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375" tabRatio="788" firstSheet="0" activeTab="9" autoFilterDateGrouping="1"/>
  </bookViews>
  <sheets>
    <sheet xmlns:r="http://schemas.openxmlformats.org/officeDocument/2006/relationships" name="主页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自备筐对账单" sheetId="3" state="visible" r:id="rId3"/>
    <sheet xmlns:r="http://schemas.openxmlformats.org/officeDocument/2006/relationships" name="筐子对账单" sheetId="4" state="visible" r:id="rId4"/>
    <sheet xmlns:r="http://schemas.openxmlformats.org/officeDocument/2006/relationships" name="物料与筐子销售对账单" sheetId="5" state="visible" r:id="rId5"/>
    <sheet xmlns:r="http://schemas.openxmlformats.org/officeDocument/2006/relationships" name="水果对账单" sheetId="6" state="visible" r:id="rId6"/>
    <sheet xmlns:r="http://schemas.openxmlformats.org/officeDocument/2006/relationships" name="果然鲜销售对账单" sheetId="7" state="visible" r:id="rId7"/>
    <sheet xmlns:r="http://schemas.openxmlformats.org/officeDocument/2006/relationships" name="公司购买果品对账单" sheetId="8" state="visible" r:id="rId8"/>
    <sheet xmlns:r="http://schemas.openxmlformats.org/officeDocument/2006/relationships" name="筐子库存汇总" sheetId="9" state="visible" r:id="rId9"/>
    <sheet xmlns:r="http://schemas.openxmlformats.org/officeDocument/2006/relationships" name="应收应付汇总" sheetId="10" state="visible" r:id="rId10"/>
    <sheet xmlns:r="http://schemas.openxmlformats.org/officeDocument/2006/relationships" name="对接源_01水果" sheetId="11" state="visible" r:id="rId11"/>
    <sheet xmlns:r="http://schemas.openxmlformats.org/officeDocument/2006/relationships" name="对接源_02物料" sheetId="12" state="visible" r:id="rId12"/>
    <sheet xmlns:r="http://schemas.openxmlformats.org/officeDocument/2006/relationships" name="_自动清单" sheetId="13" state="hidden" r:id="rId13"/>
  </sheets>
  <externalReferences>
    <externalReference xmlns:r="http://schemas.openxmlformats.org/officeDocument/2006/relationships" r:id="rId14"/>
    <externalReference xmlns:r="http://schemas.openxmlformats.org/officeDocument/2006/relationships" r:id="rId15"/>
  </externalReferences>
  <definedNames>
    <definedName name="_xlnm.Print_Area" localSheetId="2">'自备筐对账单'!$A$1:$M$209</definedName>
    <definedName name="_xlnm.Print_Area" localSheetId="3">'筐子对账单'!$A$1:$K$232</definedName>
    <definedName name="_xlnm.Print_Area" localSheetId="4">'物料与筐子销售对账单'!$A$1:$J$205</definedName>
    <definedName name="_xlnm.Print_Area" localSheetId="5">'水果对账单'!$A$1:$N$312</definedName>
    <definedName name="_xlnm.Print_Titles" localSheetId="6">'果然鲜销售对账单'!$5:$5</definedName>
    <definedName name="_xlnm.Print_Area" localSheetId="7">'公司购买果品对账单'!$A$1:$N$156</definedName>
    <definedName name="_xlnm.Print_Area" localSheetId="8">'筐子库存汇总'!$A$1:$M$20</definedName>
    <definedName name="_xlnm.Print_Area" localSheetId="9">'应收应付汇总'!$A$1:$L$18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\-d"/>
    <numFmt numFmtId="165" formatCode="#,##0;[Red]\-#,##0;\-"/>
    <numFmt numFmtId="166" formatCode="#,##0.00;[Red]\-#,##0.00;\-"/>
    <numFmt numFmtId="167" formatCode="[Red]\-#,##0;[Red]\-#,##0;\-"/>
    <numFmt numFmtId="168" formatCode="[$-409]yyyy\-mm\-dd;@"/>
    <numFmt numFmtId="169" formatCode="mm/dd/yy"/>
    <numFmt numFmtId="170" formatCode="yyyy\-mm\-dd"/>
  </numFmts>
  <fonts count="80">
    <font>
      <name val="宋体"/>
      <charset val="134"/>
      <color theme="1"/>
      <sz val="11"/>
    </font>
    <font>
      <name val="微软雅黑"/>
      <charset val="1"/>
      <b val="1"/>
      <color rgb="FFC00000"/>
      <sz val="9"/>
    </font>
    <font>
      <name val="宋体"/>
      <charset val="134"/>
      <color rgb="FFBFBFBF"/>
      <sz val="8"/>
    </font>
    <font>
      <name val="微软雅黑"/>
      <charset val="1"/>
      <b val="1"/>
      <color rgb="FF1F4E79"/>
      <sz val="9"/>
    </font>
    <font>
      <name val="微软雅黑"/>
      <charset val="1"/>
      <color theme="1"/>
      <sz val="11"/>
    </font>
    <font>
      <name val="微软雅黑"/>
      <charset val="134"/>
      <color theme="1"/>
      <sz val="11"/>
    </font>
    <font>
      <name val="微软雅黑"/>
      <charset val="1"/>
      <color rgb="FF7F7F7F"/>
      <sz val="9"/>
    </font>
    <font>
      <name val="微软雅黑"/>
      <charset val="1"/>
      <b val="1"/>
      <color rgb="FFFFFFFF"/>
      <sz val="14"/>
    </font>
    <font>
      <name val="微软雅黑"/>
      <charset val="1"/>
      <color rgb="FF595959"/>
      <sz val="9"/>
    </font>
    <font>
      <name val="微软雅黑"/>
      <charset val="1"/>
      <b val="1"/>
      <color rgb="FF006100"/>
      <sz val="10"/>
    </font>
    <font>
      <name val="微软雅黑"/>
      <charset val="1"/>
      <b val="1"/>
      <color rgb="FFFFFFFF"/>
      <sz val="10"/>
    </font>
    <font>
      <name val="宋体"/>
      <charset val="134"/>
      <color rgb="FF006100"/>
      <sz val="10"/>
    </font>
    <font>
      <name val="微软雅黑"/>
      <charset val="1"/>
      <color rgb="FF006100"/>
      <sz val="10"/>
    </font>
    <font>
      <name val="宋体"/>
      <charset val="134"/>
      <color rgb="FF006100"/>
      <sz val="8"/>
    </font>
    <font>
      <name val="微软雅黑"/>
      <charset val="1"/>
      <color rgb="FF006100"/>
      <sz val="9"/>
    </font>
    <font>
      <name val="宋体"/>
      <charset val="134"/>
      <color rgb="FF006100"/>
      <sz val="9"/>
    </font>
    <font>
      <name val="微软雅黑"/>
      <charset val="1"/>
      <b val="1"/>
      <sz val="10"/>
    </font>
    <font>
      <name val="微软雅黑"/>
      <charset val="1"/>
      <color rgb="FF808080"/>
      <sz val="9"/>
    </font>
    <font>
      <name val="宋体"/>
      <charset val="134"/>
      <color rgb="FF000000"/>
      <sz val="10"/>
    </font>
    <font>
      <name val="宋体"/>
      <charset val="134"/>
      <b val="1"/>
      <color rgb="FFFFFFFF"/>
      <sz val="10"/>
    </font>
    <font>
      <name val="宋体"/>
      <charset val="134"/>
      <color rgb="FFC00000"/>
      <sz val="10"/>
    </font>
    <font>
      <name val="微软雅黑"/>
      <charset val="1"/>
      <b val="1"/>
      <color rgb="FFFFFFFF"/>
      <sz val="22"/>
    </font>
    <font>
      <name val="微软雅黑"/>
      <charset val="1"/>
      <b val="1"/>
      <color rgb="FF275C70"/>
      <sz val="16"/>
    </font>
    <font>
      <name val="微软雅黑"/>
      <charset val="1"/>
      <b val="1"/>
      <color rgb="FF1F3864"/>
      <sz val="11"/>
    </font>
    <font>
      <name val="微软雅黑"/>
      <charset val="1"/>
      <b val="1"/>
      <color rgb="FF1F4E79"/>
      <sz val="12"/>
    </font>
    <font>
      <name val="宋体"/>
      <charset val="134"/>
      <color rgb="FF1F4E79"/>
      <sz val="10"/>
    </font>
    <font>
      <name val="微软雅黑"/>
      <charset val="1"/>
      <b val="1"/>
      <color rgb="FF1F3864"/>
      <sz val="13"/>
    </font>
    <font>
      <name val="宋体"/>
      <charset val="1"/>
      <b val="1"/>
      <color theme="1"/>
      <sz val="16"/>
    </font>
    <font>
      <name val="微软雅黑"/>
      <charset val="1"/>
      <b val="1"/>
      <color theme="1"/>
      <sz val="16"/>
    </font>
    <font>
      <name val="微软雅黑"/>
      <charset val="1"/>
      <b val="1"/>
      <color rgb="FF7F6000"/>
      <sz val="10"/>
    </font>
    <font>
      <name val="宋体"/>
      <charset val="134"/>
      <b val="1"/>
      <color rgb="FF1F3864"/>
      <sz val="11"/>
    </font>
    <font>
      <name val="微软雅黑"/>
      <charset val="1"/>
      <b val="1"/>
      <color rgb="FFC00000"/>
      <sz val="12"/>
    </font>
    <font>
      <name val="黑体"/>
      <charset val="134"/>
      <b val="1"/>
      <color rgb="FFC00000"/>
      <sz val="12"/>
    </font>
    <font>
      <name val="微软雅黑"/>
      <charset val="1"/>
      <b val="1"/>
      <color rgb="FF1F3864"/>
      <sz val="10"/>
    </font>
    <font>
      <name val="宋体"/>
      <charset val="134"/>
      <color rgb="FF1F3864"/>
      <sz val="10"/>
    </font>
    <font>
      <name val="微软雅黑"/>
      <charset val="1"/>
      <color rgb="FF1F3864"/>
      <sz val="10"/>
    </font>
    <font>
      <name val="微软雅黑"/>
      <charset val="1"/>
      <b val="1"/>
      <color rgb="FF1F3864"/>
      <sz val="14"/>
    </font>
    <font>
      <name val="微软雅黑"/>
      <charset val="1"/>
      <color rgb="FF0000C0"/>
      <sz val="10"/>
    </font>
    <font>
      <name val="微软雅黑"/>
      <charset val="1"/>
      <color rgb="FF0000C0"/>
      <sz val="10"/>
    </font>
    <font>
      <name val="微软雅黑"/>
      <charset val="1"/>
      <color rgb="FF7F7F7F"/>
      <sz val="9"/>
    </font>
    <font>
      <name val="微软雅黑"/>
      <charset val="1"/>
      <b val="1"/>
      <sz val="10"/>
    </font>
    <font>
      <name val="微软雅黑"/>
      <charset val="1"/>
      <color rgb="FF1F4E79"/>
      <sz val="10"/>
    </font>
    <font>
      <name val="微软雅黑"/>
      <charset val="1"/>
      <sz val="10"/>
    </font>
    <font>
      <name val="微软雅黑"/>
      <charset val="1"/>
      <b val="1"/>
      <color rgb="FFC00000"/>
      <sz val="10"/>
    </font>
    <font>
      <name val="宋体"/>
      <charset val="134"/>
      <b val="1"/>
      <color rgb="FFC00000"/>
      <sz val="11"/>
    </font>
    <font>
      <name val="微软雅黑"/>
      <charset val="1"/>
      <b val="1"/>
      <color rgb="FF1F3864"/>
      <sz val="12"/>
    </font>
    <font>
      <name val="宋体"/>
      <charset val="134"/>
      <b val="1"/>
      <color rgb="FFC00000"/>
      <sz val="10"/>
    </font>
    <font>
      <name val="宋体"/>
      <charset val="134"/>
      <b val="1"/>
      <sz val="11"/>
    </font>
    <font>
      <name val="微软雅黑"/>
      <charset val="1"/>
      <b val="1"/>
      <color rgb="FF1F4E79"/>
      <sz val="11"/>
    </font>
    <font>
      <name val="微软雅黑"/>
      <charset val="1"/>
      <color rgb="FF000000"/>
      <sz val="10"/>
    </font>
    <font>
      <name val="微软雅黑"/>
      <charset val="1"/>
      <color rgb="FF008000"/>
      <sz val="10"/>
    </font>
    <font>
      <name val="微软雅黑"/>
      <charset val="134"/>
      <b val="1"/>
      <color rgb="FFFFFFFF"/>
      <sz val="14"/>
    </font>
    <font>
      <name val="宋体"/>
      <charset val="134"/>
      <color rgb="FF000000"/>
      <sz val="9"/>
    </font>
    <font>
      <name val="微软雅黑"/>
      <charset val="1"/>
      <b val="1"/>
      <color rgb="FF0563C1"/>
      <sz val="10"/>
      <u val="single"/>
    </font>
    <font>
      <name val="微软雅黑"/>
      <charset val="1"/>
      <color rgb="FF000000"/>
      <sz val="9"/>
    </font>
    <font>
      <name val="微软雅黑"/>
      <charset val="1"/>
      <color rgb="FF595959"/>
      <sz val="10"/>
    </font>
    <font>
      <name val="微软雅黑"/>
      <charset val="1"/>
      <sz val="10"/>
    </font>
    <font>
      <name val="Arial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微软雅黑"/>
      <charset val="134"/>
      <color rgb="FF1F3864"/>
      <sz val="10"/>
    </font>
    <font>
      <name val="微软雅黑"/>
      <charset val="134"/>
      <b val="1"/>
      <color rgb="FFFFFFFF"/>
      <sz val="14"/>
    </font>
  </fonts>
  <fills count="46">
    <fill>
      <patternFill/>
    </fill>
    <fill>
      <patternFill patternType="gray125"/>
    </fill>
    <fill>
      <patternFill patternType="solid">
        <fgColor rgb="FF1F4E79"/>
        <bgColor rgb="FF275C70"/>
      </patternFill>
    </fill>
    <fill>
      <patternFill patternType="solid">
        <fgColor rgb="FFF2F2F2"/>
        <bgColor rgb="FFEBF3E6"/>
      </patternFill>
    </fill>
    <fill>
      <patternFill patternType="solid">
        <fgColor rgb="FFE2EFDA"/>
        <bgColor rgb="FFEBF3E6"/>
      </patternFill>
    </fill>
    <fill>
      <patternFill patternType="solid">
        <fgColor rgb="FF2E75B6"/>
        <bgColor rgb="FF2F5597"/>
      </patternFill>
    </fill>
    <fill>
      <patternFill patternType="solid">
        <fgColor rgb="FFD6E4F0"/>
        <bgColor rgb="FFDDEBF7"/>
      </patternFill>
    </fill>
    <fill>
      <patternFill patternType="solid">
        <fgColor rgb="FF275C70"/>
        <bgColor rgb="FF1F4E79"/>
      </patternFill>
    </fill>
    <fill>
      <patternFill patternType="solid">
        <fgColor rgb="FFFFFFFF"/>
        <bgColor rgb="FFF2F2F2"/>
      </patternFill>
    </fill>
    <fill>
      <patternFill patternType="solid">
        <fgColor rgb="FFDDEBF7"/>
        <bgColor rgb="FFD6E4F0"/>
      </patternFill>
    </fill>
    <fill>
      <patternFill patternType="solid">
        <fgColor rgb="FFFFF2CC"/>
        <bgColor rgb="FFEBF3E6"/>
      </patternFill>
    </fill>
    <fill>
      <patternFill patternType="solid">
        <fgColor rgb="FFFFFF00"/>
        <bgColor rgb="FFFFFF00"/>
      </patternFill>
    </fill>
    <fill>
      <patternFill patternType="solid">
        <fgColor rgb="FFEBF3E6"/>
        <bgColor rgb="FFF2F2F2"/>
      </patternFill>
    </fill>
    <fill>
      <patternFill patternType="solid">
        <fgColor rgb="FF2F5597"/>
        <bgColor rgb="FF1F4E79"/>
      </patternFill>
    </fill>
    <fill>
      <patternFill patternType="solid">
        <fgColor rgb="FF548235"/>
        <bgColor rgb="FF595959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/>
      <bottom style="thin">
        <color rgb="FF8EA9C1"/>
      </bottom>
      <diagonal/>
    </border>
    <border>
      <left style="thin">
        <color rgb="FF8EA9C1"/>
      </left>
      <right style="thin">
        <color rgb="FF8EA9C1"/>
      </right>
      <top/>
      <bottom style="thin">
        <color rgb="FF8EA9C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8EA9C1"/>
      </top>
      <bottom/>
      <diagonal/>
    </border>
    <border>
      <left/>
      <right style="thin">
        <color rgb="FF8EA9C1"/>
      </right>
      <top style="thin">
        <color rgb="FF8EA9C1"/>
      </top>
      <bottom/>
      <diagonal/>
    </border>
    <border>
      <left/>
      <right/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/>
      <bottom/>
      <diagonal/>
    </border>
    <border>
      <left/>
      <right/>
      <top/>
      <bottom style="thin">
        <color rgb="FF8EA9C1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</borders>
  <cellStyleXfs count="49">
    <xf numFmtId="0" fontId="0" fillId="0" borderId="0"/>
    <xf numFmtId="43" fontId="57" fillId="0" borderId="0"/>
    <xf numFmtId="44" fontId="57" fillId="0" borderId="0"/>
    <xf numFmtId="9" fontId="57" fillId="0" borderId="0"/>
    <xf numFmtId="41" fontId="57" fillId="0" borderId="0"/>
    <xf numFmtId="42" fontId="57" fillId="0" borderId="0"/>
    <xf numFmtId="0" fontId="58" fillId="0" borderId="0" applyAlignment="1">
      <alignment vertical="center"/>
    </xf>
    <xf numFmtId="0" fontId="59" fillId="0" borderId="0" applyAlignment="1">
      <alignment vertical="center"/>
    </xf>
    <xf numFmtId="0" fontId="60" fillId="15" borderId="8" applyAlignment="1">
      <alignment vertical="center"/>
    </xf>
    <xf numFmtId="0" fontId="61" fillId="0" borderId="0" applyAlignment="1">
      <alignment vertical="center"/>
    </xf>
    <xf numFmtId="0" fontId="62" fillId="0" borderId="0" applyAlignment="1">
      <alignment vertical="center"/>
    </xf>
    <xf numFmtId="0" fontId="63" fillId="0" borderId="0" applyAlignment="1">
      <alignment vertical="center"/>
    </xf>
    <xf numFmtId="0" fontId="64" fillId="0" borderId="9" applyAlignment="1">
      <alignment vertical="center"/>
    </xf>
    <xf numFmtId="0" fontId="65" fillId="0" borderId="9" applyAlignment="1">
      <alignment vertical="center"/>
    </xf>
    <xf numFmtId="0" fontId="66" fillId="0" borderId="10" applyAlignment="1">
      <alignment vertical="center"/>
    </xf>
    <xf numFmtId="0" fontId="66" fillId="0" borderId="0" applyAlignment="1">
      <alignment vertical="center"/>
    </xf>
    <xf numFmtId="0" fontId="67" fillId="16" borderId="11" applyAlignment="1">
      <alignment vertical="center"/>
    </xf>
    <xf numFmtId="0" fontId="68" fillId="17" borderId="12" applyAlignment="1">
      <alignment vertical="center"/>
    </xf>
    <xf numFmtId="0" fontId="69" fillId="17" borderId="11" applyAlignment="1">
      <alignment vertical="center"/>
    </xf>
    <xf numFmtId="0" fontId="70" fillId="18" borderId="13" applyAlignment="1">
      <alignment vertical="center"/>
    </xf>
    <xf numFmtId="0" fontId="71" fillId="0" borderId="14" applyAlignment="1">
      <alignment vertical="center"/>
    </xf>
    <xf numFmtId="0" fontId="72" fillId="0" borderId="15" applyAlignment="1">
      <alignment vertical="center"/>
    </xf>
    <xf numFmtId="0" fontId="73" fillId="19" borderId="0" applyAlignment="1">
      <alignment vertical="center"/>
    </xf>
    <xf numFmtId="0" fontId="74" fillId="20" borderId="0" applyAlignment="1">
      <alignment vertical="center"/>
    </xf>
    <xf numFmtId="0" fontId="75" fillId="21" borderId="0" applyAlignment="1">
      <alignment vertical="center"/>
    </xf>
    <xf numFmtId="0" fontId="76" fillId="22" borderId="0" applyAlignment="1">
      <alignment vertical="center"/>
    </xf>
    <xf numFmtId="0" fontId="77" fillId="23" borderId="0" applyAlignment="1">
      <alignment vertical="center"/>
    </xf>
    <xf numFmtId="0" fontId="77" fillId="24" borderId="0" applyAlignment="1">
      <alignment vertical="center"/>
    </xf>
    <xf numFmtId="0" fontId="76" fillId="25" borderId="0" applyAlignment="1">
      <alignment vertical="center"/>
    </xf>
    <xf numFmtId="0" fontId="76" fillId="26" borderId="0" applyAlignment="1">
      <alignment vertical="center"/>
    </xf>
    <xf numFmtId="0" fontId="77" fillId="27" borderId="0" applyAlignment="1">
      <alignment vertical="center"/>
    </xf>
    <xf numFmtId="0" fontId="77" fillId="28" borderId="0" applyAlignment="1">
      <alignment vertical="center"/>
    </xf>
    <xf numFmtId="0" fontId="76" fillId="29" borderId="0" applyAlignment="1">
      <alignment vertical="center"/>
    </xf>
    <xf numFmtId="0" fontId="76" fillId="30" borderId="0" applyAlignment="1">
      <alignment vertical="center"/>
    </xf>
    <xf numFmtId="0" fontId="77" fillId="31" borderId="0" applyAlignment="1">
      <alignment vertical="center"/>
    </xf>
    <xf numFmtId="0" fontId="77" fillId="32" borderId="0" applyAlignment="1">
      <alignment vertical="center"/>
    </xf>
    <xf numFmtId="0" fontId="76" fillId="33" borderId="0" applyAlignment="1">
      <alignment vertical="center"/>
    </xf>
    <xf numFmtId="0" fontId="76" fillId="34" borderId="0" applyAlignment="1">
      <alignment vertical="center"/>
    </xf>
    <xf numFmtId="0" fontId="77" fillId="35" borderId="0" applyAlignment="1">
      <alignment vertical="center"/>
    </xf>
    <xf numFmtId="0" fontId="77" fillId="36" borderId="0" applyAlignment="1">
      <alignment vertical="center"/>
    </xf>
    <xf numFmtId="0" fontId="76" fillId="37" borderId="0" applyAlignment="1">
      <alignment vertical="center"/>
    </xf>
    <xf numFmtId="0" fontId="76" fillId="38" borderId="0" applyAlignment="1">
      <alignment vertical="center"/>
    </xf>
    <xf numFmtId="0" fontId="77" fillId="39" borderId="0" applyAlignment="1">
      <alignment vertical="center"/>
    </xf>
    <xf numFmtId="0" fontId="77" fillId="40" borderId="0" applyAlignment="1">
      <alignment vertical="center"/>
    </xf>
    <xf numFmtId="0" fontId="76" fillId="41" borderId="0" applyAlignment="1">
      <alignment vertical="center"/>
    </xf>
    <xf numFmtId="0" fontId="76" fillId="42" borderId="0" applyAlignment="1">
      <alignment vertical="center"/>
    </xf>
    <xf numFmtId="0" fontId="77" fillId="43" borderId="0" applyAlignment="1">
      <alignment vertical="center"/>
    </xf>
    <xf numFmtId="0" fontId="77" fillId="44" borderId="0" applyAlignment="1">
      <alignment vertical="center"/>
    </xf>
    <xf numFmtId="0" fontId="76" fillId="45" borderId="0" applyAlignment="1">
      <alignment vertical="center"/>
    </xf>
  </cellStyleXfs>
  <cellXfs count="2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5" fontId="15" fillId="4" borderId="1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top" wrapText="1"/>
    </xf>
    <xf numFmtId="0" fontId="16" fillId="6" borderId="1" applyAlignment="1" pivotButton="0" quotePrefix="0" xfId="0">
      <alignment horizontal="center" vertical="center" wrapText="1"/>
    </xf>
    <xf numFmtId="166" fontId="15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6" fontId="19" fillId="5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167" fontId="20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right" vertical="center"/>
    </xf>
    <xf numFmtId="167" fontId="20" fillId="5" borderId="1" applyAlignment="1" pivotButton="0" quotePrefix="0" xfId="0">
      <alignment horizontal="right" vertical="center"/>
    </xf>
    <xf numFmtId="168" fontId="0" fillId="0" borderId="0" pivotButton="0" quotePrefix="0" xfId="0"/>
    <xf numFmtId="168" fontId="21" fillId="7" borderId="0" applyAlignment="1" pivotButton="0" quotePrefix="0" xfId="0">
      <alignment horizontal="center" vertical="center"/>
    </xf>
    <xf numFmtId="0" fontId="21" fillId="7" borderId="0" applyAlignment="1" pivotButton="0" quotePrefix="0" xfId="0">
      <alignment horizontal="center" vertical="center"/>
    </xf>
    <xf numFmtId="0" fontId="22" fillId="8" borderId="0" applyAlignment="1" pivotButton="0" quotePrefix="0" xfId="0">
      <alignment horizontal="center" vertical="center"/>
    </xf>
    <xf numFmtId="164" fontId="2" fillId="0" borderId="0" pivotButton="0" quotePrefix="0" xfId="0"/>
    <xf numFmtId="169" fontId="0" fillId="0" borderId="0" pivotButton="0" quotePrefix="0" xfId="0"/>
    <xf numFmtId="168" fontId="23" fillId="0" borderId="0" applyAlignment="1" pivotButton="0" quotePrefix="0" xfId="0">
      <alignment horizontal="left" vertical="center"/>
    </xf>
    <xf numFmtId="0" fontId="24" fillId="9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right" vertical="center"/>
    </xf>
    <xf numFmtId="164" fontId="25" fillId="9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27" fillId="0" borderId="2" applyAlignment="1" pivotButton="0" quotePrefix="0" xfId="0">
      <alignment horizontal="center" vertical="center"/>
    </xf>
    <xf numFmtId="0" fontId="28" fillId="0" borderId="3" applyAlignment="1" pivotButton="0" quotePrefix="0" xfId="0">
      <alignment horizontal="center" vertical="center"/>
    </xf>
    <xf numFmtId="168" fontId="29" fillId="10" borderId="4" applyAlignment="1" pivotButton="0" quotePrefix="0" xfId="0">
      <alignment horizontal="left" vertical="center"/>
    </xf>
    <xf numFmtId="0" fontId="29" fillId="10" borderId="4" applyAlignment="1" pivotButton="0" quotePrefix="0" xfId="0">
      <alignment horizontal="left" vertical="center"/>
    </xf>
    <xf numFmtId="0" fontId="4" fillId="0" borderId="5" applyAlignment="1" pivotButton="0" quotePrefix="0" xfId="0">
      <alignment vertical="center"/>
    </xf>
    <xf numFmtId="0" fontId="4" fillId="0" borderId="4" applyAlignment="1" pivotButton="0" quotePrefix="0" xfId="0">
      <alignment vertical="center"/>
    </xf>
    <xf numFmtId="3" fontId="30" fillId="0" borderId="2" applyAlignment="1" pivotButton="0" quotePrefix="0" xfId="0">
      <alignment horizontal="center" vertical="center"/>
    </xf>
    <xf numFmtId="168" fontId="31" fillId="11" borderId="2" applyAlignment="1" pivotButton="0" quotePrefix="0" xfId="0">
      <alignment horizontal="center" vertical="center"/>
    </xf>
    <xf numFmtId="0" fontId="31" fillId="11" borderId="2" applyAlignment="1" pivotButton="0" quotePrefix="0" xfId="0">
      <alignment horizontal="center" vertical="center"/>
    </xf>
    <xf numFmtId="166" fontId="32" fillId="11" borderId="2" applyAlignment="1" pivotButton="0" quotePrefix="0" xfId="0">
      <alignment horizontal="center" vertical="center"/>
    </xf>
    <xf numFmtId="0" fontId="33" fillId="8" borderId="2" applyAlignment="1" pivotButton="0" quotePrefix="0" xfId="0">
      <alignment horizontal="center" vertical="center"/>
    </xf>
    <xf numFmtId="4" fontId="30" fillId="0" borderId="2" applyAlignment="1" pivotButton="0" quotePrefix="0" xfId="0">
      <alignment horizontal="center" vertical="center"/>
    </xf>
    <xf numFmtId="168" fontId="10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168" fontId="34" fillId="12" borderId="2" applyAlignment="1" pivotButton="0" quotePrefix="0" xfId="0">
      <alignment horizontal="center" vertical="center"/>
    </xf>
    <xf numFmtId="0" fontId="34" fillId="12" borderId="2" applyAlignment="1" pivotButton="0" quotePrefix="0" xfId="0">
      <alignment horizontal="center" vertical="center"/>
    </xf>
    <xf numFmtId="165" fontId="34" fillId="12" borderId="2" applyAlignment="1" pivotButton="0" quotePrefix="0" xfId="0">
      <alignment horizontal="center" vertical="center"/>
    </xf>
    <xf numFmtId="166" fontId="34" fillId="12" borderId="2" applyAlignment="1" pivotButton="0" quotePrefix="0" xfId="0">
      <alignment horizontal="center" vertical="center"/>
    </xf>
    <xf numFmtId="0" fontId="35" fillId="12" borderId="2" applyAlignment="1" pivotButton="0" quotePrefix="0" xfId="0">
      <alignment horizontal="left" vertical="center"/>
    </xf>
    <xf numFmtId="0" fontId="0" fillId="0" borderId="0" pivotButton="0" quotePrefix="0" xfId="0"/>
    <xf numFmtId="168" fontId="36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170" fontId="6" fillId="0" borderId="0" applyAlignment="1" pivotButton="0" quotePrefix="0" xfId="0">
      <alignment horizontal="center" vertical="center" wrapText="1"/>
    </xf>
    <xf numFmtId="168" fontId="16" fillId="6" borderId="1" applyAlignment="1" pivotButton="0" quotePrefix="0" xfId="0">
      <alignment horizontal="right" vertical="center"/>
    </xf>
    <xf numFmtId="0" fontId="37" fillId="10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right" vertical="center"/>
    </xf>
    <xf numFmtId="170" fontId="38" fillId="10" borderId="1" applyAlignment="1" pivotButton="0" quotePrefix="0" xfId="0">
      <alignment horizontal="center" vertical="center" wrapText="1"/>
    </xf>
    <xf numFmtId="168" fontId="39" fillId="0" borderId="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3" fontId="40" fillId="3" borderId="1" applyAlignment="1" pivotButton="0" quotePrefix="0" xfId="0">
      <alignment horizontal="center" vertical="center" wrapText="1"/>
    </xf>
    <xf numFmtId="168" fontId="16" fillId="6" borderId="1" applyAlignment="1" pivotButton="0" quotePrefix="0" xfId="0">
      <alignment horizontal="left" vertical="center" wrapText="1"/>
    </xf>
    <xf numFmtId="4" fontId="40" fillId="4" borderId="1" applyAlignment="1" pivotButton="0" quotePrefix="0" xfId="0">
      <alignment horizontal="center" vertical="center" wrapText="1"/>
    </xf>
    <xf numFmtId="4" fontId="40" fillId="3" borderId="1" applyAlignment="1" pivotButton="0" quotePrefix="0" xfId="0">
      <alignment horizontal="center" vertical="center" wrapText="1"/>
    </xf>
    <xf numFmtId="168" fontId="10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168" fontId="41" fillId="0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center" vertical="center" wrapText="1"/>
    </xf>
    <xf numFmtId="165" fontId="41" fillId="0" borderId="1" applyAlignment="1" pivotButton="0" quotePrefix="0" xfId="0">
      <alignment horizontal="center" vertical="center" wrapText="1"/>
    </xf>
    <xf numFmtId="4" fontId="4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8" fontId="16" fillId="4" borderId="1" applyAlignment="1" pivotButton="0" quotePrefix="0" xfId="0">
      <alignment horizontal="center" vertical="center" wrapText="1"/>
    </xf>
    <xf numFmtId="4" fontId="16" fillId="4" borderId="1" applyAlignment="1" pivotButton="0" quotePrefix="0" xfId="0">
      <alignment horizontal="center" vertical="center" wrapText="1"/>
    </xf>
    <xf numFmtId="168" fontId="42" fillId="0" borderId="0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right" vertical="center"/>
    </xf>
    <xf numFmtId="0" fontId="22" fillId="8" borderId="6" applyAlignment="1" pivotButton="0" quotePrefix="0" xfId="0">
      <alignment horizontal="center" vertical="center"/>
    </xf>
    <xf numFmtId="0" fontId="0" fillId="7" borderId="0" pivotButton="0" quotePrefix="0" xfId="0"/>
    <xf numFmtId="0" fontId="23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9" fillId="10" borderId="0" applyAlignment="1" pivotButton="0" quotePrefix="0" xfId="0">
      <alignment horizontal="left" vertical="center"/>
    </xf>
    <xf numFmtId="165" fontId="30" fillId="0" borderId="2" applyAlignment="1" pivotButton="0" quotePrefix="0" xfId="0">
      <alignment horizontal="center" vertical="center"/>
    </xf>
    <xf numFmtId="165" fontId="32" fillId="11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4" fontId="34" fillId="12" borderId="2" applyAlignment="1" pivotButton="0" quotePrefix="0" xfId="0">
      <alignment horizontal="center" vertical="center"/>
    </xf>
    <xf numFmtId="0" fontId="43" fillId="10" borderId="2" applyAlignment="1" pivotButton="0" quotePrefix="0" xfId="0">
      <alignment horizontal="center" vertical="center"/>
    </xf>
    <xf numFmtId="165" fontId="44" fillId="0" borderId="2" applyAlignment="1" pivotButton="0" quotePrefix="0" xfId="0">
      <alignment horizontal="center" vertical="center"/>
    </xf>
    <xf numFmtId="164" fontId="34" fillId="8" borderId="2" applyAlignment="1" pivotButton="0" quotePrefix="0" xfId="0">
      <alignment horizontal="center" vertical="center"/>
    </xf>
    <xf numFmtId="0" fontId="34" fillId="8" borderId="2" applyAlignment="1" pivotButton="0" quotePrefix="0" xfId="0">
      <alignment horizontal="center" vertical="center"/>
    </xf>
    <xf numFmtId="165" fontId="34" fillId="8" borderId="2" applyAlignment="1" pivotButton="0" quotePrefix="0" xfId="0">
      <alignment horizontal="center" vertical="center"/>
    </xf>
    <xf numFmtId="166" fontId="34" fillId="8" borderId="2" applyAlignment="1" pivotButton="0" quotePrefix="0" xfId="0">
      <alignment horizontal="center" vertical="center"/>
    </xf>
    <xf numFmtId="0" fontId="35" fillId="8" borderId="2" applyAlignment="1" pivotButton="0" quotePrefix="0" xfId="0">
      <alignment horizontal="left" vertical="center"/>
    </xf>
    <xf numFmtId="0" fontId="45" fillId="0" borderId="0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43" fillId="11" borderId="1" applyAlignment="1" pivotButton="0" quotePrefix="0" xfId="0">
      <alignment horizontal="center" vertical="center"/>
    </xf>
    <xf numFmtId="165" fontId="46" fillId="11" borderId="1" applyAlignment="1" pivotButton="0" quotePrefix="0" xfId="0">
      <alignment horizontal="center" vertical="center"/>
    </xf>
    <xf numFmtId="166" fontId="46" fillId="11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0" fillId="5" borderId="2" applyAlignment="1" pivotButton="0" quotePrefix="0" xfId="0">
      <alignment horizontal="center" vertical="center"/>
    </xf>
    <xf numFmtId="166" fontId="10" fillId="5" borderId="2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35" fillId="12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166" fontId="44" fillId="0" borderId="2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16" fillId="10" borderId="2" applyAlignment="1" pivotButton="0" quotePrefix="0" xfId="0">
      <alignment horizontal="center" vertical="center"/>
    </xf>
    <xf numFmtId="165" fontId="47" fillId="0" borderId="2" applyAlignment="1" pivotButton="0" quotePrefix="0" xfId="0">
      <alignment horizontal="center" vertical="center"/>
    </xf>
    <xf numFmtId="0" fontId="35" fillId="8" borderId="2" applyAlignment="1" pivotButton="0" quotePrefix="0" xfId="0">
      <alignment horizontal="center" vertical="center"/>
    </xf>
    <xf numFmtId="167" fontId="34" fillId="12" borderId="2" applyAlignment="1" pivotButton="0" quotePrefix="0" xfId="0">
      <alignment horizontal="center" vertical="center"/>
    </xf>
    <xf numFmtId="167" fontId="34" fillId="8" borderId="2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0" borderId="0" applyAlignment="1" pivotButton="0" quotePrefix="0" xfId="0">
      <alignment horizontal="left" vertical="center"/>
    </xf>
    <xf numFmtId="0" fontId="10" fillId="5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 wrapText="1"/>
    </xf>
    <xf numFmtId="0" fontId="10" fillId="14" borderId="0" applyAlignment="1" pivotButton="0" quotePrefix="0" xfId="0">
      <alignment horizontal="left" vertical="center"/>
    </xf>
    <xf numFmtId="0" fontId="51" fillId="2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52" fillId="0" borderId="1" applyAlignment="1" pivotButton="0" quotePrefix="0" xfId="0">
      <alignment horizontal="center" vertical="center"/>
    </xf>
    <xf numFmtId="0" fontId="53" fillId="0" borderId="1" applyAlignment="1" pivotButton="0" quotePrefix="0" xfId="0">
      <alignment horizontal="left" vertical="center"/>
    </xf>
    <xf numFmtId="0" fontId="54" fillId="0" borderId="1" applyAlignment="1" pivotButton="0" quotePrefix="0" xfId="0">
      <alignment horizontal="left" vertical="center"/>
    </xf>
    <xf numFmtId="0" fontId="55" fillId="3" borderId="0" applyAlignment="1" pivotButton="0" quotePrefix="0" xfId="0">
      <alignment horizontal="left" vertical="center"/>
    </xf>
    <xf numFmtId="0" fontId="16" fillId="6" borderId="7" applyAlignment="1" pivotButton="0" quotePrefix="0" xfId="0">
      <alignment horizontal="left" vertical="center" wrapText="1"/>
    </xf>
    <xf numFmtId="0" fontId="56" fillId="0" borderId="1" applyAlignment="1" pivotButton="0" quotePrefix="0" xfId="0">
      <alignment horizontal="center" vertical="center" wrapText="1"/>
    </xf>
    <xf numFmtId="0" fontId="53" fillId="0" borderId="1" applyAlignment="1" pivotButton="0" quotePrefix="0" xfId="0">
      <alignment horizontal="center" vertical="center" wrapText="1"/>
    </xf>
    <xf numFmtId="0" fontId="42" fillId="0" borderId="1" applyAlignment="1" pivotButton="0" quotePrefix="0" xfId="0">
      <alignment horizontal="left" vertical="center" wrapText="1"/>
    </xf>
    <xf numFmtId="0" fontId="42" fillId="0" borderId="1" applyAlignment="1" pivotButton="0" quotePrefix="0" xfId="0">
      <alignment horizontal="center" vertical="center" wrapText="1"/>
    </xf>
    <xf numFmtId="0" fontId="0" fillId="0" borderId="17" pivotButton="0" quotePrefix="0" xfId="0"/>
    <xf numFmtId="164" fontId="2" fillId="0" borderId="0" pivotButton="0" quotePrefix="0" xfId="0"/>
    <xf numFmtId="0" fontId="0" fillId="0" borderId="19" pivotButton="0" quotePrefix="0" xfId="0"/>
    <xf numFmtId="164" fontId="25" fillId="9" borderId="1" applyAlignment="1" pivotButton="0" quotePrefix="0" xfId="0">
      <alignment horizontal="center" vertical="center"/>
    </xf>
    <xf numFmtId="0" fontId="0" fillId="0" borderId="3" pivotButton="0" quotePrefix="0" xfId="0"/>
    <xf numFmtId="165" fontId="30" fillId="0" borderId="2" applyAlignment="1" pivotButton="0" quotePrefix="0" xfId="0">
      <alignment horizontal="center" vertical="center"/>
    </xf>
    <xf numFmtId="0" fontId="0" fillId="0" borderId="22" pivotButton="0" quotePrefix="0" xfId="0"/>
    <xf numFmtId="165" fontId="32" fillId="11" borderId="2" applyAlignment="1" pivotButton="0" quotePrefix="0" xfId="0">
      <alignment horizontal="center" vertical="center"/>
    </xf>
    <xf numFmtId="165" fontId="44" fillId="0" borderId="2" applyAlignment="1" pivotButton="0" quotePrefix="0" xfId="0">
      <alignment horizontal="center" vertical="center"/>
    </xf>
    <xf numFmtId="164" fontId="34" fillId="12" borderId="2" applyAlignment="1" pivotButton="0" quotePrefix="0" xfId="0">
      <alignment horizontal="center" vertical="center"/>
    </xf>
    <xf numFmtId="165" fontId="34" fillId="12" borderId="2" applyAlignment="1" pivotButton="0" quotePrefix="0" xfId="0">
      <alignment horizontal="center" vertical="center"/>
    </xf>
    <xf numFmtId="164" fontId="34" fillId="8" borderId="2" applyAlignment="1" pivotButton="0" quotePrefix="0" xfId="0">
      <alignment horizontal="center" vertical="center"/>
    </xf>
    <xf numFmtId="165" fontId="34" fillId="8" borderId="2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65" fontId="47" fillId="0" borderId="2" applyAlignment="1" pivotButton="0" quotePrefix="0" xfId="0">
      <alignment horizontal="center" vertical="center"/>
    </xf>
    <xf numFmtId="167" fontId="34" fillId="12" borderId="2" applyAlignment="1" pivotButton="0" quotePrefix="0" xfId="0">
      <alignment horizontal="center" vertical="center"/>
    </xf>
    <xf numFmtId="167" fontId="34" fillId="8" borderId="2" applyAlignment="1" pivotButton="0" quotePrefix="0" xfId="0">
      <alignment horizontal="center" vertical="center"/>
    </xf>
    <xf numFmtId="166" fontId="30" fillId="0" borderId="2" applyAlignment="1" pivotButton="0" quotePrefix="0" xfId="0">
      <alignment horizontal="center" vertical="center"/>
    </xf>
    <xf numFmtId="166" fontId="32" fillId="11" borderId="2" applyAlignment="1" pivotButton="0" quotePrefix="0" xfId="0">
      <alignment horizontal="center" vertical="center"/>
    </xf>
    <xf numFmtId="166" fontId="34" fillId="12" borderId="2" applyAlignment="1" pivotButton="0" quotePrefix="0" xfId="0">
      <alignment horizontal="center" vertical="center"/>
    </xf>
    <xf numFmtId="166" fontId="44" fillId="0" borderId="2" applyAlignment="1" pivotButton="0" quotePrefix="0" xfId="0">
      <alignment horizontal="center" vertical="center"/>
    </xf>
    <xf numFmtId="166" fontId="34" fillId="8" borderId="2" applyAlignment="1" pivotButton="0" quotePrefix="0" xfId="0">
      <alignment horizontal="center" vertical="center"/>
    </xf>
    <xf numFmtId="165" fontId="11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5" fontId="46" fillId="11" borderId="1" applyAlignment="1" pivotButton="0" quotePrefix="0" xfId="0">
      <alignment horizontal="center" vertical="center"/>
    </xf>
    <xf numFmtId="166" fontId="46" fillId="11" borderId="1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166" fontId="11" fillId="0" borderId="0" applyAlignment="1" pivotButton="0" quotePrefix="0" xfId="0">
      <alignment horizontal="center" vertical="center"/>
    </xf>
    <xf numFmtId="165" fontId="10" fillId="5" borderId="2" applyAlignment="1" pivotButton="0" quotePrefix="0" xfId="0">
      <alignment horizontal="center" vertical="center"/>
    </xf>
    <xf numFmtId="166" fontId="10" fillId="5" borderId="2" applyAlignment="1" pivotButton="0" quotePrefix="0" xfId="0">
      <alignment horizontal="center" vertical="center"/>
    </xf>
    <xf numFmtId="168" fontId="36" fillId="0" borderId="0" applyAlignment="1" pivotButton="0" quotePrefix="0" xfId="0">
      <alignment horizontal="center" vertical="center" wrapText="1"/>
    </xf>
    <xf numFmtId="170" fontId="6" fillId="0" borderId="0" applyAlignment="1" pivotButton="0" quotePrefix="0" xfId="0">
      <alignment horizontal="center" vertical="center" wrapText="1"/>
    </xf>
    <xf numFmtId="168" fontId="16" fillId="6" borderId="1" applyAlignment="1" pivotButton="0" quotePrefix="0" xfId="0">
      <alignment horizontal="right" vertical="center"/>
    </xf>
    <xf numFmtId="170" fontId="38" fillId="10" borderId="1" applyAlignment="1" pivotButton="0" quotePrefix="0" xfId="0">
      <alignment horizontal="center" vertical="center" wrapText="1"/>
    </xf>
    <xf numFmtId="168" fontId="39" fillId="0" borderId="0" applyAlignment="1" pivotButton="0" quotePrefix="0" xfId="0">
      <alignment horizontal="left" vertical="center" wrapText="1"/>
    </xf>
    <xf numFmtId="168" fontId="16" fillId="6" borderId="1" applyAlignment="1" pivotButton="0" quotePrefix="0" xfId="0">
      <alignment horizontal="left" vertical="center" wrapText="1"/>
    </xf>
    <xf numFmtId="168" fontId="10" fillId="13" borderId="1" applyAlignment="1" pivotButton="0" quotePrefix="0" xfId="0">
      <alignment horizontal="center" vertical="center" wrapText="1"/>
    </xf>
    <xf numFmtId="168" fontId="41" fillId="0" borderId="1" applyAlignment="1" pivotButton="0" quotePrefix="0" xfId="0">
      <alignment horizontal="center" vertical="center" wrapText="1"/>
    </xf>
    <xf numFmtId="165" fontId="41" fillId="0" borderId="1" applyAlignment="1" pivotButton="0" quotePrefix="0" xfId="0">
      <alignment horizontal="center" vertical="center" wrapText="1"/>
    </xf>
    <xf numFmtId="168" fontId="16" fillId="4" borderId="1" applyAlignment="1" pivotButton="0" quotePrefix="0" xfId="0">
      <alignment horizontal="center" vertical="center" wrapText="1"/>
    </xf>
    <xf numFmtId="168" fontId="42" fillId="0" borderId="25" applyAlignment="1" pivotButton="0" quotePrefix="0" xfId="0">
      <alignment horizontal="left" vertical="center" wrapText="1"/>
    </xf>
    <xf numFmtId="0" fontId="0" fillId="0" borderId="27" pivotButton="0" quotePrefix="0" xfId="0"/>
    <xf numFmtId="0" fontId="0" fillId="0" borderId="25" pivotButton="0" quotePrefix="0" xfId="0"/>
    <xf numFmtId="168" fontId="0" fillId="0" borderId="0" pivotButton="0" quotePrefix="0" xfId="0"/>
    <xf numFmtId="168" fontId="21" fillId="7" borderId="0" applyAlignment="1" pivotButton="0" quotePrefix="0" xfId="0">
      <alignment horizontal="center" vertical="center"/>
    </xf>
    <xf numFmtId="169" fontId="0" fillId="0" borderId="0" pivotButton="0" quotePrefix="0" xfId="0"/>
    <xf numFmtId="168" fontId="23" fillId="0" borderId="0" applyAlignment="1" pivotButton="0" quotePrefix="0" xfId="0">
      <alignment horizontal="left" vertical="center"/>
    </xf>
    <xf numFmtId="168" fontId="29" fillId="10" borderId="4" applyAlignment="1" pivotButton="0" quotePrefix="0" xfId="0">
      <alignment horizontal="left" vertical="center"/>
    </xf>
    <xf numFmtId="0" fontId="0" fillId="0" borderId="24" pivotButton="0" quotePrefix="0" xfId="0"/>
    <xf numFmtId="0" fontId="0" fillId="0" borderId="4" pivotButton="0" quotePrefix="0" xfId="0"/>
    <xf numFmtId="168" fontId="31" fillId="11" borderId="2" applyAlignment="1" pivotButton="0" quotePrefix="0" xfId="0">
      <alignment horizontal="center" vertical="center"/>
    </xf>
    <xf numFmtId="168" fontId="10" fillId="5" borderId="2" applyAlignment="1" pivotButton="0" quotePrefix="0" xfId="0">
      <alignment horizontal="center" vertical="center" wrapText="1"/>
    </xf>
    <xf numFmtId="168" fontId="34" fillId="12" borderId="2" applyAlignment="1" pivotButton="0" quotePrefix="0" xfId="0">
      <alignment horizontal="center" vertical="center"/>
    </xf>
    <xf numFmtId="167" fontId="20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right" vertical="center"/>
    </xf>
    <xf numFmtId="167" fontId="20" fillId="5" borderId="1" applyAlignment="1" pivotButton="0" quotePrefix="0" xfId="0">
      <alignment horizontal="right" vertical="center"/>
    </xf>
    <xf numFmtId="166" fontId="19" fillId="5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center" vertical="center"/>
    </xf>
    <xf numFmtId="165" fontId="15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name val="宋体"/>
        <charset val="1"/>
        <family val="0"/>
        <b val="1"/>
        <color rgb="FFC00000"/>
        <sz val="10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7F6000"/>
      <rgbColor rgb="00800080"/>
      <rgbColor rgb="00275C70"/>
      <rgbColor rgb="00BFBFBF"/>
      <rgbColor rgb="00808080"/>
      <rgbColor rgb="007F7F7F"/>
      <rgbColor rgb="007030A0"/>
      <rgbColor rgb="00FFF2CC"/>
      <rgbColor rgb="00DDEBF7"/>
      <rgbColor rgb="00660066"/>
      <rgbColor rgb="00FF8080"/>
      <rgbColor rgb="000563C1"/>
      <rgbColor rgb="00D6E4F0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BF3E6"/>
      <rgbColor rgb="00E2EFDA"/>
      <rgbColor rgb="00F2F2F2"/>
      <rgbColor rgb="0099CCFF"/>
      <rgbColor rgb="00FF99CC"/>
      <rgbColor rgb="00CC99FF"/>
      <rgbColor rgb="00FFC7CE"/>
      <rgbColor rgb="002E75B6"/>
      <rgbColor rgb="0033CCCC"/>
      <rgbColor rgb="0099CC00"/>
      <rgbColor rgb="00FFC000"/>
      <rgbColor rgb="00FF9900"/>
      <rgbColor rgb="00FF6600"/>
      <rgbColor rgb="00595959"/>
      <rgbColor rgb="008EA9C1"/>
      <rgbColor rgb="001F3864"/>
      <rgbColor rgb="00548235"/>
      <rgbColor rgb="00006100"/>
      <rgbColor rgb="00333300"/>
      <rgbColor rgb="00993300"/>
      <rgbColor rgb="00C0504D"/>
      <rgbColor rgb="001F4E79"/>
      <rgbColor rgb="002F559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externalLink" Target="/xl/externalLinks/externalLink1.xml" Id="rId14"/><Relationship Type="http://schemas.openxmlformats.org/officeDocument/2006/relationships/externalLink" Target="/xl/externalLinks/externalLink2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01_&#27700;&#26524;&#36827;&#38144;&#23384;&#21488;&#36134;&#27169;&#26495;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02_&#29289;&#26009;&#19982;&#21608;&#36716;&#29289;&#21488;&#36134;&#27169;&#26495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计费规则"/>
      <sheetName val="原料入库明细"/>
      <sheetName val="原料出库明细"/>
      <sheetName val="成品出库明细"/>
      <sheetName val="其他代存明细"/>
      <sheetName val="库存结余"/>
      <sheetName val="库存总结余"/>
      <sheetName val="入库吨位汇总"/>
      <sheetName val="成品出库吨位汇总"/>
      <sheetName val="果然鲜采购明细"/>
      <sheetName val="果然鲜销售明细"/>
      <sheetName val="果然鲜销售汇总"/>
      <sheetName val="其他代存汇总"/>
      <sheetName val="实盘库存盘点"/>
      <sheetName val="筐子进出接口"/>
      <sheetName val="收入结算汇总"/>
      <sheetName val="财务取数接口"/>
      <sheetName val="字段对照"/>
      <sheetName val="_自动清单"/>
      <sheetName val="对账明细接口"/>
      <sheetName val="库存等级接口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">
          <cell r="B4">
            <v>46245</v>
          </cell>
          <cell r="C4" t="str">
            <v>聂新平</v>
          </cell>
          <cell r="D4" t="str">
            <v>原料入库</v>
          </cell>
          <cell r="E4" t="str">
            <v>NO0000756</v>
          </cell>
          <cell r="F4" t="str">
            <v>苹果</v>
          </cell>
          <cell r="G4" t="str">
            <v>嘎啦85#</v>
          </cell>
          <cell r="H4">
            <v>35</v>
          </cell>
          <cell r="I4" t="str">
            <v>筐</v>
          </cell>
          <cell r="J4">
            <v>763</v>
          </cell>
          <cell r="K4" t="str"/>
          <cell r="L4" t="str"/>
          <cell r="M4" t="str"/>
          <cell r="N4" t="str">
            <v>自备一次性筐</v>
          </cell>
          <cell r="O4" t="str"/>
          <cell r="P4" t="str"/>
          <cell r="Q4">
            <v>35</v>
          </cell>
          <cell r="R4" t="str">
            <v>苏M*7G796</v>
          </cell>
          <cell r="S4" t="str">
            <v>自备筐</v>
          </cell>
          <cell r="T4" t="str"/>
          <cell r="U4" t="str"/>
          <cell r="V4" t="str"/>
          <cell r="W4" t="str"/>
          <cell r="X4" t="str"/>
          <cell r="Y4" t="str"/>
        </row>
        <row r="4">
          <cell r="AA4" t="str"/>
          <cell r="AB4" t="str"/>
          <cell r="AC4" t="str"/>
          <cell r="AD4" t="str"/>
          <cell r="AE4" t="str"/>
          <cell r="AF4" t="str"/>
        </row>
        <row r="5">
          <cell r="B5">
            <v>46245</v>
          </cell>
          <cell r="C5" t="str">
            <v>聂新平</v>
          </cell>
          <cell r="D5" t="str">
            <v>原料入库</v>
          </cell>
          <cell r="E5" t="str">
            <v>NO0000756</v>
          </cell>
          <cell r="F5" t="str">
            <v>苹果</v>
          </cell>
          <cell r="G5" t="str">
            <v>嘎啦100#</v>
          </cell>
          <cell r="H5">
            <v>20</v>
          </cell>
          <cell r="I5" t="str">
            <v>筐</v>
          </cell>
          <cell r="J5">
            <v>436</v>
          </cell>
          <cell r="K5" t="str"/>
          <cell r="L5" t="str"/>
          <cell r="M5" t="str"/>
          <cell r="N5" t="str">
            <v>自备一次性筐</v>
          </cell>
          <cell r="O5" t="str"/>
          <cell r="P5" t="str"/>
          <cell r="Q5">
            <v>20</v>
          </cell>
          <cell r="R5" t="str">
            <v>苏M*7G796</v>
          </cell>
          <cell r="S5" t="str">
            <v>自备筐</v>
          </cell>
          <cell r="T5" t="str"/>
          <cell r="U5" t="str"/>
          <cell r="V5" t="str"/>
          <cell r="W5" t="str"/>
          <cell r="X5" t="str"/>
          <cell r="Y5" t="str"/>
        </row>
        <row r="5">
          <cell r="AA5" t="str"/>
          <cell r="AB5" t="str"/>
          <cell r="AC5" t="str"/>
          <cell r="AD5" t="str"/>
          <cell r="AE5" t="str"/>
          <cell r="AF5" t="str"/>
        </row>
        <row r="6">
          <cell r="B6">
            <v>46246</v>
          </cell>
          <cell r="C6" t="str">
            <v>聂新平</v>
          </cell>
          <cell r="D6" t="str">
            <v>原料入库</v>
          </cell>
          <cell r="E6" t="str">
            <v>NO0000758</v>
          </cell>
          <cell r="F6" t="str">
            <v>苹果</v>
          </cell>
          <cell r="G6" t="str">
            <v>嘎啦85#</v>
          </cell>
          <cell r="H6">
            <v>53</v>
          </cell>
          <cell r="I6" t="str">
            <v>筐</v>
          </cell>
          <cell r="J6">
            <v>1155.4</v>
          </cell>
          <cell r="K6" t="str"/>
          <cell r="L6" t="str"/>
          <cell r="M6" t="str"/>
          <cell r="N6" t="str">
            <v>自备一次性筐</v>
          </cell>
          <cell r="O6" t="str"/>
          <cell r="P6" t="str"/>
          <cell r="Q6">
            <v>53</v>
          </cell>
          <cell r="R6" t="str">
            <v>苏M*7G796</v>
          </cell>
          <cell r="S6" t="str">
            <v>自备筐</v>
          </cell>
          <cell r="T6" t="str"/>
          <cell r="U6" t="str"/>
          <cell r="V6" t="str"/>
          <cell r="W6" t="str"/>
          <cell r="X6" t="str"/>
          <cell r="Y6" t="str"/>
        </row>
        <row r="6">
          <cell r="AA6" t="str"/>
          <cell r="AB6" t="str"/>
          <cell r="AC6" t="str"/>
          <cell r="AD6" t="str"/>
          <cell r="AE6" t="str"/>
          <cell r="AF6" t="str"/>
        </row>
        <row r="7">
          <cell r="B7">
            <v>46246</v>
          </cell>
          <cell r="C7" t="str">
            <v>聂新平</v>
          </cell>
          <cell r="D7" t="str">
            <v>原料入库</v>
          </cell>
          <cell r="E7" t="str">
            <v>NO0000758</v>
          </cell>
          <cell r="F7" t="str">
            <v>苹果</v>
          </cell>
          <cell r="G7" t="str">
            <v>嘎啦100#</v>
          </cell>
          <cell r="H7">
            <v>7</v>
          </cell>
          <cell r="I7" t="str">
            <v>筐</v>
          </cell>
          <cell r="J7">
            <v>152.6</v>
          </cell>
          <cell r="K7" t="str"/>
          <cell r="L7" t="str"/>
          <cell r="M7" t="str"/>
          <cell r="N7" t="str">
            <v>自备一次性筐</v>
          </cell>
          <cell r="O7" t="str"/>
          <cell r="P7" t="str"/>
          <cell r="Q7">
            <v>7</v>
          </cell>
          <cell r="R7" t="str">
            <v>苏M*7G796</v>
          </cell>
          <cell r="S7" t="str">
            <v>自备筐</v>
          </cell>
          <cell r="T7" t="str"/>
          <cell r="U7" t="str"/>
          <cell r="V7" t="str"/>
          <cell r="W7" t="str"/>
          <cell r="X7" t="str"/>
          <cell r="Y7" t="str"/>
        </row>
        <row r="7">
          <cell r="AA7" t="str"/>
          <cell r="AB7" t="str"/>
          <cell r="AC7" t="str"/>
          <cell r="AD7" t="str"/>
          <cell r="AE7" t="str"/>
          <cell r="AF7" t="str"/>
        </row>
        <row r="8">
          <cell r="B8">
            <v>46246</v>
          </cell>
          <cell r="C8" t="str">
            <v>聂新平</v>
          </cell>
          <cell r="D8" t="str">
            <v>原料入库</v>
          </cell>
          <cell r="E8" t="str">
            <v>NO0000759</v>
          </cell>
          <cell r="F8" t="str">
            <v>苹果</v>
          </cell>
          <cell r="G8" t="str">
            <v>嘎啦85#</v>
          </cell>
          <cell r="H8">
            <v>20</v>
          </cell>
          <cell r="I8" t="str">
            <v>筐</v>
          </cell>
          <cell r="J8">
            <v>436</v>
          </cell>
          <cell r="K8" t="str"/>
          <cell r="L8" t="str"/>
          <cell r="M8" t="str"/>
          <cell r="N8" t="str">
            <v>自备一次性筐</v>
          </cell>
          <cell r="O8" t="str"/>
          <cell r="P8" t="str"/>
          <cell r="Q8">
            <v>20</v>
          </cell>
          <cell r="R8" t="str">
            <v>苏M*7G796</v>
          </cell>
          <cell r="S8" t="str">
            <v>自备筐</v>
          </cell>
          <cell r="T8" t="str"/>
          <cell r="U8" t="str"/>
          <cell r="V8" t="str"/>
          <cell r="W8" t="str"/>
          <cell r="X8" t="str"/>
          <cell r="Y8" t="str"/>
        </row>
        <row r="8">
          <cell r="AA8" t="str"/>
          <cell r="AB8" t="str"/>
          <cell r="AC8" t="str"/>
          <cell r="AD8" t="str"/>
          <cell r="AE8" t="str"/>
          <cell r="AF8" t="str"/>
        </row>
        <row r="9">
          <cell r="B9">
            <v>46246</v>
          </cell>
          <cell r="C9" t="str">
            <v>聂新平</v>
          </cell>
          <cell r="D9" t="str">
            <v>原料入库</v>
          </cell>
          <cell r="E9" t="str">
            <v>NO0000759</v>
          </cell>
          <cell r="F9" t="str">
            <v>苹果</v>
          </cell>
          <cell r="G9" t="str">
            <v>嘎啦100#</v>
          </cell>
          <cell r="H9">
            <v>28</v>
          </cell>
          <cell r="I9" t="str">
            <v>筐</v>
          </cell>
          <cell r="J9">
            <v>610.4</v>
          </cell>
          <cell r="K9" t="str"/>
          <cell r="L9" t="str"/>
          <cell r="M9" t="str"/>
          <cell r="N9" t="str">
            <v>自备一次性筐</v>
          </cell>
          <cell r="O9" t="str"/>
          <cell r="P9" t="str"/>
          <cell r="Q9">
            <v>28</v>
          </cell>
          <cell r="R9" t="str">
            <v>苏M*7G796</v>
          </cell>
          <cell r="S9" t="str">
            <v>自备筐</v>
          </cell>
          <cell r="T9" t="str"/>
          <cell r="U9" t="str"/>
          <cell r="V9" t="str"/>
          <cell r="W9" t="str"/>
          <cell r="X9" t="str"/>
          <cell r="Y9" t="str"/>
        </row>
        <row r="9">
          <cell r="AA9" t="str"/>
          <cell r="AB9" t="str"/>
          <cell r="AC9" t="str"/>
          <cell r="AD9" t="str"/>
          <cell r="AE9" t="str"/>
          <cell r="AF9" t="str"/>
        </row>
        <row r="10">
          <cell r="B10">
            <v>46246</v>
          </cell>
          <cell r="C10" t="str">
            <v>聂新平</v>
          </cell>
          <cell r="D10" t="str">
            <v>原料入库</v>
          </cell>
          <cell r="E10" t="str">
            <v>NO0000760</v>
          </cell>
          <cell r="F10" t="str">
            <v>苹果</v>
          </cell>
          <cell r="G10" t="str">
            <v>嘎啦85#</v>
          </cell>
          <cell r="H10">
            <v>19</v>
          </cell>
          <cell r="I10" t="str">
            <v>筐</v>
          </cell>
          <cell r="J10">
            <v>414.2</v>
          </cell>
          <cell r="K10" t="str"/>
          <cell r="L10" t="str"/>
          <cell r="M10" t="str"/>
          <cell r="N10" t="str">
            <v>自备一次性筐</v>
          </cell>
          <cell r="O10" t="str"/>
          <cell r="P10" t="str"/>
          <cell r="Q10">
            <v>19</v>
          </cell>
          <cell r="R10" t="str">
            <v>苏M*7G796</v>
          </cell>
          <cell r="S10" t="str">
            <v>自备筐</v>
          </cell>
          <cell r="T10" t="str"/>
          <cell r="U10" t="str"/>
          <cell r="V10" t="str"/>
          <cell r="W10" t="str"/>
          <cell r="X10" t="str"/>
          <cell r="Y10" t="str"/>
        </row>
        <row r="10">
          <cell r="AA10" t="str"/>
          <cell r="AB10" t="str"/>
          <cell r="AC10" t="str"/>
          <cell r="AD10" t="str"/>
          <cell r="AE10" t="str"/>
          <cell r="AF10" t="str"/>
        </row>
        <row r="11">
          <cell r="B11">
            <v>46246</v>
          </cell>
          <cell r="C11" t="str">
            <v>聂新平</v>
          </cell>
          <cell r="D11" t="str">
            <v>原料入库</v>
          </cell>
          <cell r="E11" t="str">
            <v>NO0000760</v>
          </cell>
          <cell r="F11" t="str">
            <v>苹果</v>
          </cell>
          <cell r="G11" t="str">
            <v>嘎啦100#</v>
          </cell>
          <cell r="H11">
            <v>14</v>
          </cell>
          <cell r="I11" t="str">
            <v>筐</v>
          </cell>
          <cell r="J11">
            <v>305.2</v>
          </cell>
          <cell r="K11" t="str"/>
          <cell r="L11" t="str"/>
          <cell r="M11" t="str"/>
          <cell r="N11" t="str">
            <v>自备一次性筐</v>
          </cell>
          <cell r="O11" t="str"/>
          <cell r="P11" t="str"/>
          <cell r="Q11">
            <v>14</v>
          </cell>
          <cell r="R11" t="str">
            <v>苏M*7G796</v>
          </cell>
          <cell r="S11" t="str">
            <v>自备筐</v>
          </cell>
          <cell r="T11" t="str"/>
          <cell r="U11" t="str"/>
          <cell r="V11" t="str"/>
          <cell r="W11" t="str"/>
          <cell r="X11" t="str"/>
          <cell r="Y11" t="str"/>
        </row>
        <row r="11">
          <cell r="AA11" t="str"/>
          <cell r="AB11" t="str"/>
          <cell r="AC11" t="str"/>
          <cell r="AD11" t="str"/>
          <cell r="AE11" t="str"/>
          <cell r="AF11" t="str"/>
        </row>
        <row r="12">
          <cell r="B12">
            <v>46247</v>
          </cell>
          <cell r="C12" t="str">
            <v>聂新平</v>
          </cell>
          <cell r="D12" t="str">
            <v>原料入库</v>
          </cell>
          <cell r="E12" t="str">
            <v>NO0000761</v>
          </cell>
          <cell r="F12" t="str">
            <v>苹果</v>
          </cell>
          <cell r="G12" t="str">
            <v>嘎啦85#</v>
          </cell>
          <cell r="H12">
            <v>17</v>
          </cell>
          <cell r="I12" t="str">
            <v>筐</v>
          </cell>
          <cell r="J12">
            <v>370.6</v>
          </cell>
          <cell r="K12" t="str"/>
          <cell r="L12" t="str"/>
          <cell r="M12" t="str"/>
          <cell r="N12" t="str">
            <v>自备一次性筐</v>
          </cell>
          <cell r="O12" t="str"/>
          <cell r="P12" t="str"/>
          <cell r="Q12">
            <v>17</v>
          </cell>
          <cell r="R12" t="str">
            <v>苏M*7G796</v>
          </cell>
          <cell r="S12" t="str">
            <v>自备筐</v>
          </cell>
          <cell r="T12" t="str"/>
          <cell r="U12" t="str"/>
          <cell r="V12" t="str"/>
          <cell r="W12" t="str"/>
          <cell r="X12" t="str"/>
          <cell r="Y12" t="str"/>
        </row>
        <row r="12">
          <cell r="AA12" t="str"/>
          <cell r="AB12" t="str"/>
          <cell r="AC12" t="str"/>
          <cell r="AD12" t="str"/>
          <cell r="AE12" t="str"/>
          <cell r="AF12" t="str"/>
        </row>
        <row r="13">
          <cell r="B13">
            <v>46247</v>
          </cell>
          <cell r="C13" t="str">
            <v>聂新平</v>
          </cell>
          <cell r="D13" t="str">
            <v>原料入库</v>
          </cell>
          <cell r="E13" t="str">
            <v>NO0000761</v>
          </cell>
          <cell r="F13" t="str">
            <v>苹果</v>
          </cell>
          <cell r="G13" t="str">
            <v>嘎啦100#</v>
          </cell>
          <cell r="H13">
            <v>43</v>
          </cell>
          <cell r="I13" t="str">
            <v>筐</v>
          </cell>
          <cell r="J13">
            <v>937.4</v>
          </cell>
          <cell r="K13" t="str"/>
          <cell r="L13" t="str"/>
          <cell r="M13" t="str"/>
          <cell r="N13" t="str">
            <v>自备一次性筐</v>
          </cell>
          <cell r="O13" t="str"/>
          <cell r="P13" t="str"/>
          <cell r="Q13">
            <v>43</v>
          </cell>
          <cell r="R13" t="str">
            <v>苏M*7G796</v>
          </cell>
          <cell r="S13" t="str">
            <v>自备筐</v>
          </cell>
          <cell r="T13" t="str"/>
          <cell r="U13" t="str"/>
          <cell r="V13" t="str"/>
          <cell r="W13" t="str"/>
          <cell r="X13" t="str"/>
          <cell r="Y13" t="str"/>
        </row>
        <row r="13">
          <cell r="AA13" t="str"/>
          <cell r="AB13" t="str"/>
          <cell r="AC13" t="str"/>
          <cell r="AD13" t="str"/>
          <cell r="AE13" t="str"/>
          <cell r="AF13" t="str"/>
        </row>
        <row r="14">
          <cell r="B14">
            <v>46247</v>
          </cell>
          <cell r="C14" t="str">
            <v>聂新平</v>
          </cell>
          <cell r="D14" t="str">
            <v>原料入库</v>
          </cell>
          <cell r="E14" t="str">
            <v>NO0000762</v>
          </cell>
          <cell r="F14" t="str">
            <v>苹果</v>
          </cell>
          <cell r="G14" t="str">
            <v>嘎啦85#</v>
          </cell>
          <cell r="H14">
            <v>20</v>
          </cell>
          <cell r="I14" t="str">
            <v>筐</v>
          </cell>
          <cell r="J14">
            <v>436</v>
          </cell>
          <cell r="K14" t="str"/>
          <cell r="L14" t="str"/>
          <cell r="M14" t="str"/>
          <cell r="N14" t="str">
            <v>自备一次性筐</v>
          </cell>
          <cell r="O14" t="str"/>
          <cell r="P14" t="str"/>
          <cell r="Q14">
            <v>20</v>
          </cell>
          <cell r="R14" t="str">
            <v>苏M*7G796</v>
          </cell>
          <cell r="S14" t="str">
            <v>自备筐</v>
          </cell>
          <cell r="T14" t="str"/>
          <cell r="U14" t="str"/>
          <cell r="V14" t="str"/>
          <cell r="W14" t="str"/>
          <cell r="X14" t="str"/>
          <cell r="Y14" t="str"/>
        </row>
        <row r="14">
          <cell r="AA14" t="str"/>
          <cell r="AB14" t="str"/>
          <cell r="AC14" t="str"/>
          <cell r="AD14" t="str"/>
          <cell r="AE14" t="str"/>
          <cell r="AF14" t="str"/>
        </row>
        <row r="15">
          <cell r="B15">
            <v>46247</v>
          </cell>
          <cell r="C15" t="str">
            <v>聂新平</v>
          </cell>
          <cell r="D15" t="str">
            <v>原料入库</v>
          </cell>
          <cell r="E15" t="str">
            <v>NO0000762</v>
          </cell>
          <cell r="F15" t="str">
            <v>苹果</v>
          </cell>
          <cell r="G15" t="str">
            <v>嘎啦100#</v>
          </cell>
          <cell r="H15">
            <v>31</v>
          </cell>
          <cell r="I15" t="str">
            <v>筐</v>
          </cell>
          <cell r="J15">
            <v>675.8</v>
          </cell>
          <cell r="K15" t="str"/>
          <cell r="L15" t="str"/>
          <cell r="M15" t="str"/>
          <cell r="N15" t="str">
            <v>自备一次性筐</v>
          </cell>
          <cell r="O15" t="str"/>
          <cell r="P15" t="str"/>
          <cell r="Q15">
            <v>31</v>
          </cell>
          <cell r="R15" t="str">
            <v>苏M*7G796</v>
          </cell>
          <cell r="S15" t="str">
            <v>自备筐</v>
          </cell>
          <cell r="T15" t="str"/>
          <cell r="U15" t="str"/>
          <cell r="V15" t="str"/>
          <cell r="W15" t="str"/>
          <cell r="X15" t="str"/>
          <cell r="Y15" t="str"/>
        </row>
        <row r="15">
          <cell r="AA15" t="str"/>
          <cell r="AB15" t="str"/>
          <cell r="AC15" t="str"/>
          <cell r="AD15" t="str"/>
          <cell r="AE15" t="str"/>
          <cell r="AF15" t="str"/>
        </row>
        <row r="16">
          <cell r="B16">
            <v>46247</v>
          </cell>
          <cell r="C16" t="str">
            <v>聂新平</v>
          </cell>
          <cell r="D16" t="str">
            <v>原料入库</v>
          </cell>
          <cell r="E16" t="str">
            <v>NO0000764</v>
          </cell>
          <cell r="F16" t="str">
            <v>苹果</v>
          </cell>
          <cell r="G16" t="str">
            <v>嘎啦85#</v>
          </cell>
          <cell r="H16">
            <v>10</v>
          </cell>
          <cell r="I16" t="str">
            <v>筐</v>
          </cell>
          <cell r="J16">
            <v>218</v>
          </cell>
          <cell r="K16" t="str"/>
          <cell r="L16" t="str"/>
          <cell r="M16" t="str"/>
          <cell r="N16" t="str">
            <v>自备一次性筐</v>
          </cell>
          <cell r="O16" t="str"/>
          <cell r="P16" t="str"/>
          <cell r="Q16">
            <v>10</v>
          </cell>
          <cell r="R16" t="str">
            <v>苏M*7G796</v>
          </cell>
          <cell r="S16" t="str">
            <v>自备筐</v>
          </cell>
          <cell r="T16" t="str"/>
          <cell r="U16" t="str"/>
          <cell r="V16" t="str"/>
          <cell r="W16" t="str"/>
          <cell r="X16" t="str"/>
          <cell r="Y16" t="str"/>
        </row>
        <row r="16">
          <cell r="AA16" t="str"/>
          <cell r="AB16" t="str"/>
          <cell r="AC16" t="str"/>
          <cell r="AD16" t="str"/>
          <cell r="AE16" t="str"/>
          <cell r="AF16" t="str"/>
        </row>
        <row r="17">
          <cell r="B17">
            <v>46247</v>
          </cell>
          <cell r="C17" t="str">
            <v>聂新平</v>
          </cell>
          <cell r="D17" t="str">
            <v>原料入库</v>
          </cell>
          <cell r="E17" t="str">
            <v>NO0000764</v>
          </cell>
          <cell r="F17" t="str">
            <v>苹果</v>
          </cell>
          <cell r="G17" t="str">
            <v>嘎啦100#</v>
          </cell>
          <cell r="H17">
            <v>7</v>
          </cell>
          <cell r="I17" t="str">
            <v>筐</v>
          </cell>
          <cell r="J17">
            <v>152.6</v>
          </cell>
          <cell r="K17" t="str"/>
          <cell r="L17" t="str"/>
          <cell r="M17" t="str"/>
          <cell r="N17" t="str">
            <v>自备一次性筐</v>
          </cell>
          <cell r="O17" t="str"/>
          <cell r="P17" t="str"/>
          <cell r="Q17">
            <v>7</v>
          </cell>
          <cell r="R17" t="str">
            <v>苏M*7G796</v>
          </cell>
          <cell r="S17" t="str">
            <v>自备筐</v>
          </cell>
          <cell r="T17" t="str"/>
          <cell r="U17" t="str"/>
          <cell r="V17" t="str"/>
          <cell r="W17" t="str"/>
          <cell r="X17" t="str"/>
          <cell r="Y17" t="str"/>
        </row>
        <row r="17">
          <cell r="AA17" t="str"/>
          <cell r="AB17" t="str"/>
          <cell r="AC17" t="str"/>
          <cell r="AD17" t="str"/>
          <cell r="AE17" t="str"/>
          <cell r="AF17" t="str"/>
        </row>
        <row r="18">
          <cell r="B18">
            <v>46247</v>
          </cell>
          <cell r="C18" t="str">
            <v>王照雪</v>
          </cell>
          <cell r="D18" t="str">
            <v>原料入库</v>
          </cell>
          <cell r="E18" t="str">
            <v>NO0000765</v>
          </cell>
          <cell r="F18" t="str">
            <v>苹果</v>
          </cell>
          <cell r="G18" t="str">
            <v>华硕一级</v>
          </cell>
          <cell r="H18">
            <v>187</v>
          </cell>
          <cell r="I18" t="str">
            <v>筐</v>
          </cell>
          <cell r="J18">
            <v>3235.1</v>
          </cell>
          <cell r="K18" t="str"/>
          <cell r="L18" t="str"/>
          <cell r="M18" t="str"/>
          <cell r="N18" t="str">
            <v>公司杂周转筐</v>
          </cell>
          <cell r="O18" t="str"/>
          <cell r="P18" t="str"/>
          <cell r="Q18">
            <v>187</v>
          </cell>
          <cell r="R18" t="str">
            <v>豫L*88X19</v>
          </cell>
          <cell r="S18" t="str">
            <v>公司筐</v>
          </cell>
          <cell r="T18" t="str"/>
          <cell r="U18" t="str"/>
          <cell r="V18" t="str"/>
          <cell r="W18" t="str"/>
          <cell r="X18" t="str"/>
          <cell r="Y18" t="str"/>
        </row>
        <row r="18">
          <cell r="AA18" t="str"/>
          <cell r="AB18" t="str"/>
          <cell r="AC18" t="str"/>
          <cell r="AD18" t="str"/>
          <cell r="AE18" t="str"/>
          <cell r="AF18" t="str"/>
        </row>
        <row r="19">
          <cell r="B19">
            <v>46247</v>
          </cell>
          <cell r="C19" t="str">
            <v>王照雪</v>
          </cell>
          <cell r="D19" t="str">
            <v>原料入库</v>
          </cell>
          <cell r="E19" t="str">
            <v>NO0000765</v>
          </cell>
          <cell r="F19" t="str">
            <v>苹果</v>
          </cell>
          <cell r="G19" t="str">
            <v>华硕二级</v>
          </cell>
          <cell r="H19">
            <v>49</v>
          </cell>
          <cell r="I19" t="str">
            <v>筐</v>
          </cell>
          <cell r="J19">
            <v>798.7</v>
          </cell>
          <cell r="K19" t="str"/>
          <cell r="L19" t="str"/>
          <cell r="M19" t="str"/>
          <cell r="N19" t="str">
            <v>公司杂周转筐</v>
          </cell>
          <cell r="O19" t="str"/>
          <cell r="P19" t="str"/>
          <cell r="Q19">
            <v>49</v>
          </cell>
          <cell r="R19" t="str">
            <v>豫L*88X19</v>
          </cell>
          <cell r="S19" t="str">
            <v>公司筐</v>
          </cell>
          <cell r="T19" t="str"/>
          <cell r="U19" t="str"/>
          <cell r="V19" t="str"/>
          <cell r="W19" t="str"/>
          <cell r="X19" t="str"/>
          <cell r="Y19" t="str"/>
        </row>
        <row r="19">
          <cell r="AA19" t="str"/>
          <cell r="AB19" t="str"/>
          <cell r="AC19" t="str"/>
          <cell r="AD19" t="str"/>
          <cell r="AE19" t="str"/>
          <cell r="AF19" t="str"/>
        </row>
        <row r="20">
          <cell r="B20">
            <v>46247</v>
          </cell>
          <cell r="C20" t="str">
            <v>王照雪</v>
          </cell>
          <cell r="D20" t="str">
            <v>原料入库</v>
          </cell>
          <cell r="E20" t="str">
            <v>NO0000765</v>
          </cell>
          <cell r="F20" t="str">
            <v>苹果</v>
          </cell>
          <cell r="G20" t="str">
            <v>华硕高次</v>
          </cell>
          <cell r="H20">
            <v>11</v>
          </cell>
          <cell r="I20" t="str">
            <v>筐</v>
          </cell>
          <cell r="J20">
            <v>190.3</v>
          </cell>
          <cell r="K20" t="str"/>
          <cell r="L20" t="str"/>
          <cell r="M20" t="str"/>
          <cell r="N20" t="str">
            <v>公司杂周转筐</v>
          </cell>
          <cell r="O20" t="str"/>
          <cell r="P20" t="str"/>
          <cell r="Q20">
            <v>11</v>
          </cell>
          <cell r="R20" t="str">
            <v>豫L*88X19</v>
          </cell>
          <cell r="S20" t="str">
            <v>公司筐</v>
          </cell>
          <cell r="T20" t="str"/>
          <cell r="U20" t="str"/>
          <cell r="V20" t="str"/>
          <cell r="W20" t="str"/>
          <cell r="X20" t="str"/>
          <cell r="Y20" t="str"/>
        </row>
        <row r="20">
          <cell r="AA20" t="str"/>
          <cell r="AB20" t="str"/>
          <cell r="AC20" t="str"/>
          <cell r="AD20" t="str"/>
          <cell r="AE20" t="str"/>
          <cell r="AF20" t="str"/>
        </row>
        <row r="21">
          <cell r="B21">
            <v>46248</v>
          </cell>
          <cell r="C21" t="str">
            <v>聂新平</v>
          </cell>
          <cell r="D21" t="str">
            <v>原料入库</v>
          </cell>
          <cell r="E21" t="str">
            <v>NO0000766</v>
          </cell>
          <cell r="F21" t="str">
            <v>苹果</v>
          </cell>
          <cell r="G21" t="str">
            <v>嘎啦85#</v>
          </cell>
          <cell r="H21">
            <v>40</v>
          </cell>
          <cell r="I21" t="str">
            <v>筐</v>
          </cell>
          <cell r="J21">
            <v>872</v>
          </cell>
          <cell r="K21" t="str"/>
          <cell r="L21" t="str"/>
          <cell r="M21" t="str"/>
          <cell r="N21" t="str">
            <v>自备一次性筐</v>
          </cell>
          <cell r="O21" t="str"/>
          <cell r="P21" t="str"/>
          <cell r="Q21">
            <v>40</v>
          </cell>
          <cell r="R21" t="str">
            <v>苏M*7G796</v>
          </cell>
          <cell r="S21" t="str">
            <v>自备筐</v>
          </cell>
          <cell r="T21" t="str"/>
          <cell r="U21" t="str"/>
          <cell r="V21" t="str"/>
          <cell r="W21" t="str"/>
          <cell r="X21" t="str"/>
          <cell r="Y21" t="str"/>
        </row>
        <row r="21">
          <cell r="AA21" t="str"/>
          <cell r="AB21" t="str"/>
          <cell r="AC21" t="str"/>
          <cell r="AD21" t="str"/>
          <cell r="AE21" t="str"/>
          <cell r="AF21" t="str"/>
        </row>
        <row r="22">
          <cell r="B22">
            <v>46248</v>
          </cell>
          <cell r="C22" t="str">
            <v>聂新平</v>
          </cell>
          <cell r="D22" t="str">
            <v>原料入库</v>
          </cell>
          <cell r="E22" t="str">
            <v>NO0000766</v>
          </cell>
          <cell r="F22" t="str">
            <v>苹果</v>
          </cell>
          <cell r="G22" t="str">
            <v>嘎啦100#</v>
          </cell>
          <cell r="H22">
            <v>74</v>
          </cell>
          <cell r="I22" t="str">
            <v>筐</v>
          </cell>
          <cell r="J22">
            <v>1613.2</v>
          </cell>
          <cell r="K22" t="str"/>
          <cell r="L22" t="str"/>
          <cell r="M22" t="str"/>
          <cell r="N22" t="str">
            <v>自备一次性筐</v>
          </cell>
          <cell r="O22" t="str"/>
          <cell r="P22" t="str"/>
          <cell r="Q22">
            <v>74</v>
          </cell>
          <cell r="R22" t="str">
            <v>苏M*7G796</v>
          </cell>
          <cell r="S22" t="str">
            <v>自备筐</v>
          </cell>
          <cell r="T22" t="str"/>
          <cell r="U22" t="str"/>
          <cell r="V22" t="str"/>
          <cell r="W22" t="str"/>
          <cell r="X22" t="str"/>
          <cell r="Y22" t="str"/>
        </row>
        <row r="22">
          <cell r="AA22" t="str"/>
          <cell r="AB22" t="str"/>
          <cell r="AC22" t="str"/>
          <cell r="AD22" t="str"/>
          <cell r="AE22" t="str"/>
          <cell r="AF22" t="str"/>
        </row>
        <row r="23">
          <cell r="B23">
            <v>46248</v>
          </cell>
          <cell r="C23" t="str">
            <v>伍元虎</v>
          </cell>
          <cell r="D23" t="str">
            <v>原料入库</v>
          </cell>
          <cell r="E23" t="str">
            <v>NO0000767</v>
          </cell>
          <cell r="F23" t="str">
            <v>苹果</v>
          </cell>
          <cell r="G23" t="str">
            <v>海棠果</v>
          </cell>
          <cell r="H23">
            <v>24</v>
          </cell>
          <cell r="I23" t="str">
            <v>筐</v>
          </cell>
          <cell r="J23">
            <v>540</v>
          </cell>
          <cell r="K23" t="str"/>
          <cell r="L23" t="str"/>
          <cell r="M23" t="str"/>
          <cell r="N23" t="str">
            <v>自备一次性筐</v>
          </cell>
          <cell r="O23" t="str"/>
          <cell r="P23" t="str"/>
          <cell r="Q23">
            <v>24</v>
          </cell>
          <cell r="R23" t="str">
            <v>三轮车</v>
          </cell>
          <cell r="S23" t="str">
            <v>自备筐</v>
          </cell>
          <cell r="T23" t="str"/>
          <cell r="U23" t="str"/>
          <cell r="V23" t="str"/>
          <cell r="W23" t="str"/>
          <cell r="X23" t="str"/>
          <cell r="Y23" t="str"/>
        </row>
        <row r="23">
          <cell r="AA23" t="str"/>
          <cell r="AB23" t="str"/>
          <cell r="AC23" t="str"/>
          <cell r="AD23" t="str"/>
          <cell r="AE23" t="str"/>
          <cell r="AF23" t="str"/>
        </row>
        <row r="24">
          <cell r="B24">
            <v>46248</v>
          </cell>
          <cell r="C24" t="str">
            <v>王照雪</v>
          </cell>
          <cell r="D24" t="str">
            <v>原料入库</v>
          </cell>
          <cell r="E24" t="str">
            <v>NO0000768</v>
          </cell>
          <cell r="F24" t="str">
            <v>李子</v>
          </cell>
          <cell r="G24" t="str">
            <v>樱桃李</v>
          </cell>
          <cell r="H24">
            <v>317</v>
          </cell>
          <cell r="I24" t="str">
            <v>筐</v>
          </cell>
          <cell r="J24">
            <v>5167.1</v>
          </cell>
          <cell r="K24" t="str"/>
          <cell r="L24" t="str"/>
          <cell r="M24" t="str"/>
          <cell r="N24" t="str">
            <v>自备一次性筐</v>
          </cell>
          <cell r="O24" t="str"/>
          <cell r="P24" t="str"/>
          <cell r="Q24">
            <v>317</v>
          </cell>
          <cell r="R24" t="str">
            <v>豫L*88X19</v>
          </cell>
          <cell r="S24" t="str">
            <v>自备筐</v>
          </cell>
          <cell r="T24" t="str"/>
          <cell r="U24" t="str"/>
          <cell r="V24" t="str"/>
          <cell r="W24" t="str"/>
          <cell r="X24" t="str"/>
          <cell r="Y24" t="str"/>
        </row>
        <row r="24">
          <cell r="AA24" t="str"/>
          <cell r="AB24" t="str"/>
          <cell r="AC24" t="str"/>
          <cell r="AD24" t="str"/>
          <cell r="AE24" t="str"/>
          <cell r="AF24" t="str"/>
        </row>
        <row r="25">
          <cell r="B25">
            <v>46249</v>
          </cell>
          <cell r="C25" t="str">
            <v>伍元虎</v>
          </cell>
          <cell r="D25" t="str">
            <v>原料入库</v>
          </cell>
          <cell r="E25" t="str">
            <v>NO0000769</v>
          </cell>
          <cell r="F25" t="str">
            <v>苹果</v>
          </cell>
          <cell r="G25" t="str">
            <v>海棠果</v>
          </cell>
          <cell r="H25">
            <v>34</v>
          </cell>
          <cell r="I25" t="str">
            <v>筐</v>
          </cell>
          <cell r="J25">
            <v>765</v>
          </cell>
          <cell r="K25" t="str"/>
          <cell r="L25" t="str"/>
          <cell r="M25" t="str"/>
          <cell r="N25" t="str">
            <v>自备一次性筐</v>
          </cell>
          <cell r="O25" t="str"/>
          <cell r="P25" t="str"/>
          <cell r="Q25">
            <v>34</v>
          </cell>
          <cell r="R25" t="str">
            <v>三轮车</v>
          </cell>
          <cell r="S25" t="str">
            <v>自备筐</v>
          </cell>
          <cell r="T25" t="str"/>
          <cell r="U25" t="str"/>
          <cell r="V25" t="str"/>
          <cell r="W25" t="str"/>
          <cell r="X25" t="str"/>
          <cell r="Y25" t="str"/>
        </row>
        <row r="25">
          <cell r="AA25" t="str"/>
          <cell r="AB25" t="str"/>
          <cell r="AC25" t="str"/>
          <cell r="AD25" t="str"/>
          <cell r="AE25" t="str"/>
          <cell r="AF25" t="str"/>
        </row>
        <row r="26">
          <cell r="B26">
            <v>46249</v>
          </cell>
          <cell r="C26" t="str">
            <v>聂新平</v>
          </cell>
          <cell r="D26" t="str">
            <v>原料入库</v>
          </cell>
          <cell r="E26" t="str">
            <v>NO0000770</v>
          </cell>
          <cell r="F26" t="str">
            <v>苹果</v>
          </cell>
          <cell r="G26" t="str">
            <v>嘎啦85#</v>
          </cell>
          <cell r="H26">
            <v>34</v>
          </cell>
          <cell r="I26" t="str">
            <v>筐</v>
          </cell>
          <cell r="J26">
            <v>741.2</v>
          </cell>
          <cell r="K26" t="str"/>
          <cell r="L26" t="str"/>
          <cell r="M26" t="str"/>
          <cell r="N26" t="str">
            <v>自备一次性筐</v>
          </cell>
          <cell r="O26" t="str"/>
          <cell r="P26" t="str"/>
          <cell r="Q26">
            <v>34</v>
          </cell>
          <cell r="R26" t="str">
            <v>苏M*7G796</v>
          </cell>
          <cell r="S26" t="str">
            <v>自备筐</v>
          </cell>
          <cell r="T26" t="str"/>
          <cell r="U26" t="str"/>
          <cell r="V26" t="str"/>
          <cell r="W26" t="str"/>
          <cell r="X26" t="str"/>
          <cell r="Y26" t="str"/>
        </row>
        <row r="26">
          <cell r="AA26" t="str"/>
          <cell r="AB26" t="str"/>
          <cell r="AC26" t="str"/>
          <cell r="AD26" t="str"/>
          <cell r="AE26" t="str"/>
          <cell r="AF26" t="str"/>
        </row>
        <row r="27">
          <cell r="B27">
            <v>46249</v>
          </cell>
          <cell r="C27" t="str">
            <v>聂新平</v>
          </cell>
          <cell r="D27" t="str">
            <v>原料入库</v>
          </cell>
          <cell r="E27" t="str">
            <v>NO0000770</v>
          </cell>
          <cell r="F27" t="str">
            <v>苹果</v>
          </cell>
          <cell r="G27" t="str">
            <v>嘎啦100#</v>
          </cell>
          <cell r="H27">
            <v>64</v>
          </cell>
          <cell r="I27" t="str">
            <v>筐</v>
          </cell>
          <cell r="J27">
            <v>1395.2</v>
          </cell>
          <cell r="K27" t="str"/>
          <cell r="L27" t="str"/>
          <cell r="M27" t="str"/>
          <cell r="N27" t="str">
            <v>自备一次性筐</v>
          </cell>
          <cell r="O27" t="str"/>
          <cell r="P27" t="str"/>
          <cell r="Q27">
            <v>64</v>
          </cell>
          <cell r="R27" t="str">
            <v>苏M*7G796</v>
          </cell>
          <cell r="S27" t="str">
            <v>自备筐</v>
          </cell>
          <cell r="T27" t="str"/>
          <cell r="U27" t="str"/>
          <cell r="V27" t="str"/>
          <cell r="W27" t="str"/>
          <cell r="X27" t="str"/>
          <cell r="Y27" t="str"/>
        </row>
        <row r="27">
          <cell r="AA27" t="str"/>
          <cell r="AB27" t="str"/>
          <cell r="AC27" t="str"/>
          <cell r="AD27" t="str"/>
          <cell r="AE27" t="str"/>
          <cell r="AF27" t="str"/>
        </row>
        <row r="28">
          <cell r="B28">
            <v>46249</v>
          </cell>
          <cell r="C28" t="str">
            <v>王照雪</v>
          </cell>
          <cell r="D28" t="str">
            <v>原料入库</v>
          </cell>
          <cell r="E28" t="str">
            <v>NO0000771</v>
          </cell>
          <cell r="F28" t="str">
            <v>李子</v>
          </cell>
          <cell r="G28" t="str">
            <v>樱桃李</v>
          </cell>
          <cell r="H28">
            <v>105</v>
          </cell>
          <cell r="I28" t="str">
            <v>筐</v>
          </cell>
          <cell r="J28">
            <v>1711.5</v>
          </cell>
          <cell r="K28" t="str"/>
          <cell r="L28" t="str"/>
          <cell r="M28" t="str"/>
          <cell r="N28" t="str">
            <v>自备一次性筐</v>
          </cell>
          <cell r="O28" t="str"/>
          <cell r="P28" t="str"/>
          <cell r="Q28">
            <v>105</v>
          </cell>
          <cell r="R28" t="str">
            <v>豫L*88X19</v>
          </cell>
          <cell r="S28" t="str">
            <v>自备筐</v>
          </cell>
          <cell r="T28" t="str"/>
          <cell r="U28" t="str"/>
          <cell r="V28" t="str"/>
          <cell r="W28" t="str"/>
          <cell r="X28" t="str"/>
          <cell r="Y28" t="str"/>
        </row>
        <row r="28">
          <cell r="AA28" t="str"/>
          <cell r="AB28" t="str"/>
          <cell r="AC28" t="str"/>
          <cell r="AD28" t="str"/>
          <cell r="AE28" t="str"/>
          <cell r="AF28" t="str"/>
        </row>
        <row r="29">
          <cell r="B29">
            <v>46250</v>
          </cell>
          <cell r="C29" t="str">
            <v>聂新平</v>
          </cell>
          <cell r="D29" t="str">
            <v>原料入库</v>
          </cell>
          <cell r="E29" t="str">
            <v>NO0000772</v>
          </cell>
          <cell r="F29" t="str">
            <v>苹果</v>
          </cell>
          <cell r="G29" t="str">
            <v>嘎啦85#</v>
          </cell>
          <cell r="H29">
            <v>10</v>
          </cell>
          <cell r="I29" t="str">
            <v>筐</v>
          </cell>
          <cell r="J29">
            <v>218</v>
          </cell>
          <cell r="K29" t="str"/>
          <cell r="L29" t="str"/>
          <cell r="M29" t="str"/>
          <cell r="N29" t="str">
            <v>自备一次性筐</v>
          </cell>
          <cell r="O29" t="str"/>
          <cell r="P29" t="str"/>
          <cell r="Q29">
            <v>10</v>
          </cell>
          <cell r="R29" t="str">
            <v>苏M*7G796</v>
          </cell>
          <cell r="S29" t="str">
            <v>自备筐</v>
          </cell>
          <cell r="T29" t="str"/>
          <cell r="U29" t="str"/>
          <cell r="V29" t="str"/>
          <cell r="W29" t="str"/>
          <cell r="X29" t="str"/>
          <cell r="Y29" t="str"/>
        </row>
        <row r="29">
          <cell r="AA29" t="str"/>
          <cell r="AB29" t="str"/>
          <cell r="AC29" t="str"/>
          <cell r="AD29" t="str"/>
          <cell r="AE29" t="str"/>
          <cell r="AF29" t="str"/>
        </row>
        <row r="30">
          <cell r="B30">
            <v>46250</v>
          </cell>
          <cell r="C30" t="str">
            <v>聂新平</v>
          </cell>
          <cell r="D30" t="str">
            <v>原料入库</v>
          </cell>
          <cell r="E30" t="str">
            <v>NO0000772</v>
          </cell>
          <cell r="F30" t="str">
            <v>苹果</v>
          </cell>
          <cell r="G30" t="str">
            <v>嘎啦100#</v>
          </cell>
          <cell r="H30">
            <v>28</v>
          </cell>
          <cell r="I30" t="str">
            <v>筐</v>
          </cell>
          <cell r="J30">
            <v>610.4</v>
          </cell>
          <cell r="K30" t="str"/>
          <cell r="L30" t="str"/>
          <cell r="M30" t="str"/>
          <cell r="N30" t="str">
            <v>自备一次性筐</v>
          </cell>
          <cell r="O30" t="str"/>
          <cell r="P30" t="str"/>
          <cell r="Q30">
            <v>28</v>
          </cell>
          <cell r="R30" t="str">
            <v>苏M*7G796</v>
          </cell>
          <cell r="S30" t="str">
            <v>自备筐</v>
          </cell>
          <cell r="T30" t="str"/>
          <cell r="U30" t="str"/>
          <cell r="V30" t="str"/>
          <cell r="W30" t="str"/>
          <cell r="X30" t="str"/>
          <cell r="Y30" t="str"/>
        </row>
        <row r="30">
          <cell r="AA30" t="str"/>
          <cell r="AB30" t="str"/>
          <cell r="AC30" t="str"/>
          <cell r="AD30" t="str"/>
          <cell r="AE30" t="str"/>
          <cell r="AF30" t="str"/>
        </row>
        <row r="31">
          <cell r="B31">
            <v>46251</v>
          </cell>
          <cell r="C31" t="str">
            <v>伍元虎</v>
          </cell>
          <cell r="D31" t="str">
            <v>原料入库</v>
          </cell>
          <cell r="E31" t="str">
            <v>NO0000773</v>
          </cell>
          <cell r="F31" t="str">
            <v>苹果</v>
          </cell>
          <cell r="G31" t="str">
            <v>海棠果</v>
          </cell>
          <cell r="H31">
            <v>29</v>
          </cell>
          <cell r="I31" t="str">
            <v>筐</v>
          </cell>
          <cell r="J31">
            <v>652.5</v>
          </cell>
          <cell r="K31" t="str"/>
          <cell r="L31" t="str"/>
          <cell r="M31" t="str"/>
          <cell r="N31" t="str">
            <v>自备一次性筐</v>
          </cell>
          <cell r="O31" t="str"/>
          <cell r="P31" t="str"/>
          <cell r="Q31">
            <v>29</v>
          </cell>
          <cell r="R31" t="str">
            <v>三轮车</v>
          </cell>
          <cell r="S31" t="str">
            <v>自备筐</v>
          </cell>
          <cell r="T31" t="str"/>
          <cell r="U31" t="str"/>
          <cell r="V31" t="str"/>
          <cell r="W31" t="str"/>
          <cell r="X31" t="str"/>
          <cell r="Y31" t="str"/>
        </row>
        <row r="31">
          <cell r="AA31" t="str"/>
          <cell r="AB31" t="str"/>
          <cell r="AC31" t="str"/>
          <cell r="AD31" t="str"/>
          <cell r="AE31" t="str"/>
          <cell r="AF31" t="str"/>
        </row>
        <row r="32">
          <cell r="B32">
            <v>46252</v>
          </cell>
          <cell r="C32" t="str">
            <v>聂新平</v>
          </cell>
          <cell r="D32" t="str">
            <v>原料入库</v>
          </cell>
          <cell r="E32" t="str">
            <v>NO0000774</v>
          </cell>
          <cell r="F32" t="str">
            <v>苹果</v>
          </cell>
          <cell r="G32" t="str">
            <v>嘎啦85#</v>
          </cell>
          <cell r="H32">
            <v>1</v>
          </cell>
          <cell r="I32" t="str">
            <v>筐</v>
          </cell>
          <cell r="J32">
            <v>21.8</v>
          </cell>
          <cell r="K32" t="str"/>
          <cell r="L32" t="str"/>
          <cell r="M32" t="str"/>
          <cell r="N32" t="str">
            <v>自备一次性筐</v>
          </cell>
          <cell r="O32" t="str"/>
          <cell r="P32" t="str"/>
          <cell r="Q32">
            <v>1</v>
          </cell>
          <cell r="R32" t="str">
            <v>苏M*7G796</v>
          </cell>
          <cell r="S32" t="str">
            <v>自备筐</v>
          </cell>
          <cell r="T32" t="str"/>
          <cell r="U32" t="str"/>
          <cell r="V32" t="str"/>
          <cell r="W32" t="str"/>
          <cell r="X32" t="str"/>
          <cell r="Y32" t="str"/>
        </row>
        <row r="32">
          <cell r="AA32" t="str"/>
          <cell r="AB32" t="str"/>
          <cell r="AC32" t="str"/>
          <cell r="AD32" t="str"/>
          <cell r="AE32" t="str"/>
          <cell r="AF32" t="str"/>
        </row>
        <row r="33">
          <cell r="B33">
            <v>46252</v>
          </cell>
          <cell r="C33" t="str">
            <v>聂新平</v>
          </cell>
          <cell r="D33" t="str">
            <v>原料入库</v>
          </cell>
          <cell r="E33" t="str">
            <v>NO0000774</v>
          </cell>
          <cell r="F33" t="str">
            <v>苹果</v>
          </cell>
          <cell r="G33" t="str">
            <v>嘎啦100#</v>
          </cell>
          <cell r="H33">
            <v>11</v>
          </cell>
          <cell r="I33" t="str">
            <v>筐</v>
          </cell>
          <cell r="J33">
            <v>239.8</v>
          </cell>
          <cell r="K33" t="str"/>
          <cell r="L33" t="str"/>
          <cell r="M33" t="str"/>
          <cell r="N33" t="str">
            <v>自备一次性筐</v>
          </cell>
          <cell r="O33" t="str"/>
          <cell r="P33" t="str"/>
          <cell r="Q33">
            <v>11</v>
          </cell>
          <cell r="R33" t="str">
            <v>苏M*7G796</v>
          </cell>
          <cell r="S33" t="str">
            <v>自备筐</v>
          </cell>
          <cell r="T33" t="str"/>
          <cell r="U33" t="str"/>
          <cell r="V33" t="str"/>
          <cell r="W33" t="str"/>
          <cell r="X33" t="str"/>
          <cell r="Y33" t="str"/>
        </row>
        <row r="33">
          <cell r="AA33" t="str"/>
          <cell r="AB33" t="str"/>
          <cell r="AC33" t="str"/>
          <cell r="AD33" t="str"/>
          <cell r="AE33" t="str"/>
          <cell r="AF33" t="str"/>
        </row>
        <row r="34">
          <cell r="B34">
            <v>46253</v>
          </cell>
          <cell r="C34" t="str">
            <v>聂新平</v>
          </cell>
          <cell r="D34" t="str">
            <v>原料入库</v>
          </cell>
          <cell r="E34" t="str">
            <v>NO0000702</v>
          </cell>
          <cell r="F34" t="str">
            <v>苹果</v>
          </cell>
          <cell r="G34" t="str">
            <v>嘎啦85#</v>
          </cell>
          <cell r="H34">
            <v>8</v>
          </cell>
          <cell r="I34" t="str">
            <v>筐</v>
          </cell>
          <cell r="J34">
            <v>174.4</v>
          </cell>
          <cell r="K34" t="str"/>
          <cell r="L34" t="str"/>
          <cell r="M34" t="str"/>
          <cell r="N34" t="str">
            <v>自备一次性筐</v>
          </cell>
          <cell r="O34" t="str"/>
          <cell r="P34" t="str"/>
          <cell r="Q34">
            <v>8</v>
          </cell>
          <cell r="R34" t="str">
            <v>苏M*7G796</v>
          </cell>
          <cell r="S34" t="str">
            <v>自备筐</v>
          </cell>
          <cell r="T34" t="str"/>
          <cell r="U34" t="str"/>
          <cell r="V34" t="str"/>
          <cell r="W34" t="str"/>
          <cell r="X34" t="str"/>
          <cell r="Y34" t="str"/>
        </row>
        <row r="34">
          <cell r="AA34" t="str"/>
          <cell r="AB34" t="str"/>
          <cell r="AC34" t="str"/>
          <cell r="AD34" t="str"/>
          <cell r="AE34" t="str"/>
          <cell r="AF34" t="str"/>
        </row>
        <row r="35">
          <cell r="B35">
            <v>46253</v>
          </cell>
          <cell r="C35" t="str">
            <v>聂新平</v>
          </cell>
          <cell r="D35" t="str">
            <v>原料入库</v>
          </cell>
          <cell r="E35" t="str">
            <v>NO0000702</v>
          </cell>
          <cell r="F35" t="str">
            <v>苹果</v>
          </cell>
          <cell r="G35" t="str">
            <v>嘎啦100#</v>
          </cell>
          <cell r="H35">
            <v>16</v>
          </cell>
          <cell r="I35" t="str">
            <v>筐</v>
          </cell>
          <cell r="J35">
            <v>348.8</v>
          </cell>
          <cell r="K35" t="str"/>
          <cell r="L35" t="str"/>
          <cell r="M35" t="str"/>
          <cell r="N35" t="str">
            <v>自备一次性筐</v>
          </cell>
          <cell r="O35" t="str"/>
          <cell r="P35" t="str"/>
          <cell r="Q35">
            <v>16</v>
          </cell>
          <cell r="R35" t="str">
            <v>苏M*7G796</v>
          </cell>
          <cell r="S35" t="str">
            <v>自备筐</v>
          </cell>
          <cell r="T35" t="str"/>
          <cell r="U35" t="str"/>
          <cell r="V35" t="str"/>
          <cell r="W35" t="str"/>
          <cell r="X35" t="str"/>
          <cell r="Y35" t="str"/>
        </row>
        <row r="35">
          <cell r="AA35" t="str"/>
          <cell r="AB35" t="str"/>
          <cell r="AC35" t="str"/>
          <cell r="AD35" t="str"/>
          <cell r="AE35" t="str"/>
          <cell r="AF35" t="str"/>
        </row>
        <row r="36">
          <cell r="B36">
            <v>46254</v>
          </cell>
          <cell r="C36" t="str">
            <v>聂新平</v>
          </cell>
          <cell r="D36" t="str">
            <v>原料入库</v>
          </cell>
          <cell r="E36" t="str">
            <v>NO0000708</v>
          </cell>
          <cell r="F36" t="str">
            <v>苹果</v>
          </cell>
          <cell r="G36" t="str">
            <v>嘎啦85#</v>
          </cell>
          <cell r="H36">
            <v>9</v>
          </cell>
          <cell r="I36" t="str">
            <v>筐</v>
          </cell>
          <cell r="J36">
            <v>196.2</v>
          </cell>
          <cell r="K36" t="str"/>
          <cell r="L36" t="str"/>
          <cell r="M36" t="str"/>
          <cell r="N36" t="str">
            <v>自备一次性筐</v>
          </cell>
          <cell r="O36" t="str"/>
          <cell r="P36" t="str"/>
          <cell r="Q36">
            <v>9</v>
          </cell>
          <cell r="R36" t="str">
            <v>苏M*7G796</v>
          </cell>
          <cell r="S36" t="str">
            <v>自备筐</v>
          </cell>
          <cell r="T36" t="str"/>
          <cell r="U36" t="str"/>
          <cell r="V36" t="str"/>
          <cell r="W36" t="str"/>
          <cell r="X36" t="str"/>
          <cell r="Y36" t="str"/>
        </row>
        <row r="36">
          <cell r="AA36" t="str"/>
          <cell r="AB36" t="str"/>
          <cell r="AC36" t="str"/>
          <cell r="AD36" t="str"/>
          <cell r="AE36" t="str"/>
          <cell r="AF36" t="str"/>
        </row>
        <row r="37">
          <cell r="B37">
            <v>46255</v>
          </cell>
          <cell r="C37" t="str">
            <v>王照雪</v>
          </cell>
          <cell r="D37" t="str">
            <v>原料入库</v>
          </cell>
          <cell r="E37" t="str">
            <v>NO0000710</v>
          </cell>
          <cell r="F37" t="str">
            <v>苹果</v>
          </cell>
          <cell r="G37" t="str">
            <v>华硕一级</v>
          </cell>
          <cell r="H37">
            <v>57</v>
          </cell>
          <cell r="I37" t="str">
            <v>筐</v>
          </cell>
          <cell r="J37">
            <v>986.1</v>
          </cell>
          <cell r="K37" t="str"/>
          <cell r="L37" t="str"/>
          <cell r="M37" t="str"/>
          <cell r="N37" t="str">
            <v>公司杂周转筐</v>
          </cell>
          <cell r="O37" t="str"/>
          <cell r="P37" t="str"/>
          <cell r="Q37">
            <v>57</v>
          </cell>
          <cell r="R37" t="str">
            <v>豫L*88X19</v>
          </cell>
          <cell r="S37" t="str">
            <v>公司筐</v>
          </cell>
          <cell r="T37" t="str"/>
          <cell r="U37" t="str"/>
          <cell r="V37" t="str"/>
          <cell r="W37" t="str"/>
          <cell r="X37" t="str"/>
          <cell r="Y37" t="str"/>
        </row>
        <row r="37">
          <cell r="AA37" t="str"/>
          <cell r="AB37" t="str"/>
          <cell r="AC37" t="str"/>
          <cell r="AD37" t="str"/>
          <cell r="AE37" t="str"/>
          <cell r="AF37" t="str"/>
        </row>
        <row r="38">
          <cell r="B38">
            <v>46255</v>
          </cell>
          <cell r="C38" t="str">
            <v>王照雪</v>
          </cell>
          <cell r="D38" t="str">
            <v>原料入库</v>
          </cell>
          <cell r="E38" t="str">
            <v>NO0000710</v>
          </cell>
          <cell r="F38" t="str">
            <v>苹果</v>
          </cell>
          <cell r="G38" t="str">
            <v>华硕二级</v>
          </cell>
          <cell r="H38">
            <v>18</v>
          </cell>
          <cell r="I38" t="str">
            <v>筐</v>
          </cell>
          <cell r="J38">
            <v>293.4</v>
          </cell>
          <cell r="K38" t="str"/>
          <cell r="L38" t="str"/>
          <cell r="M38" t="str"/>
          <cell r="N38" t="str">
            <v>公司杂周转筐</v>
          </cell>
          <cell r="O38" t="str"/>
          <cell r="P38" t="str"/>
          <cell r="Q38">
            <v>18</v>
          </cell>
          <cell r="R38" t="str">
            <v>豫L*88X19</v>
          </cell>
          <cell r="S38" t="str">
            <v>公司筐</v>
          </cell>
          <cell r="T38" t="str"/>
          <cell r="U38" t="str"/>
          <cell r="V38" t="str"/>
          <cell r="W38" t="str"/>
          <cell r="X38" t="str"/>
          <cell r="Y38" t="str"/>
        </row>
        <row r="38">
          <cell r="AA38" t="str"/>
          <cell r="AB38" t="str"/>
          <cell r="AC38" t="str"/>
          <cell r="AD38" t="str"/>
          <cell r="AE38" t="str"/>
          <cell r="AF38" t="str"/>
        </row>
        <row r="39">
          <cell r="B39">
            <v>46255</v>
          </cell>
          <cell r="C39" t="str">
            <v>王照雪</v>
          </cell>
          <cell r="D39" t="str">
            <v>原料入库</v>
          </cell>
          <cell r="E39" t="str">
            <v>NO0000710</v>
          </cell>
          <cell r="F39" t="str">
            <v>苹果</v>
          </cell>
          <cell r="G39" t="str">
            <v>华硕高次</v>
          </cell>
          <cell r="H39">
            <v>18</v>
          </cell>
          <cell r="I39" t="str">
            <v>筐</v>
          </cell>
          <cell r="J39">
            <v>311.4</v>
          </cell>
          <cell r="K39" t="str"/>
          <cell r="L39" t="str"/>
          <cell r="M39" t="str"/>
          <cell r="N39" t="str">
            <v>公司杂周转筐</v>
          </cell>
          <cell r="O39" t="str"/>
          <cell r="P39" t="str"/>
          <cell r="Q39">
            <v>18</v>
          </cell>
          <cell r="R39" t="str">
            <v>豫L*88X19</v>
          </cell>
          <cell r="S39" t="str">
            <v>公司筐</v>
          </cell>
          <cell r="T39" t="str"/>
          <cell r="U39" t="str"/>
          <cell r="V39" t="str"/>
          <cell r="W39" t="str"/>
          <cell r="X39" t="str"/>
          <cell r="Y39" t="str"/>
        </row>
        <row r="39">
          <cell r="AA39" t="str"/>
          <cell r="AB39" t="str"/>
          <cell r="AC39" t="str"/>
          <cell r="AD39" t="str"/>
          <cell r="AE39" t="str"/>
          <cell r="AF39" t="str"/>
        </row>
        <row r="40">
          <cell r="B40">
            <v>46256</v>
          </cell>
          <cell r="C40" t="str">
            <v>聂新平</v>
          </cell>
          <cell r="D40" t="str">
            <v>原料入库</v>
          </cell>
          <cell r="E40" t="str">
            <v>NO0000713</v>
          </cell>
          <cell r="F40" t="str">
            <v>苹果</v>
          </cell>
          <cell r="G40" t="str">
            <v>嘎啦100#</v>
          </cell>
          <cell r="H40">
            <v>92</v>
          </cell>
          <cell r="I40" t="str">
            <v>筐</v>
          </cell>
          <cell r="J40">
            <v>2005.6</v>
          </cell>
          <cell r="K40" t="str"/>
          <cell r="L40" t="str"/>
          <cell r="M40" t="str"/>
          <cell r="N40" t="str">
            <v>自备一次性筐</v>
          </cell>
          <cell r="O40" t="str"/>
          <cell r="P40" t="str"/>
          <cell r="Q40">
            <v>92</v>
          </cell>
          <cell r="R40" t="str">
            <v>新N*9F701</v>
          </cell>
          <cell r="S40" t="str">
            <v>自备筐</v>
          </cell>
          <cell r="T40" t="str"/>
          <cell r="U40" t="str"/>
          <cell r="V40" t="str"/>
          <cell r="W40" t="str"/>
          <cell r="X40" t="str"/>
          <cell r="Y40" t="str"/>
        </row>
        <row r="40">
          <cell r="AA40" t="str"/>
          <cell r="AB40" t="str"/>
          <cell r="AC40" t="str"/>
          <cell r="AD40" t="str"/>
          <cell r="AE40" t="str"/>
          <cell r="AF40" t="str"/>
        </row>
        <row r="41">
          <cell r="B41">
            <v>46256</v>
          </cell>
          <cell r="C41" t="str">
            <v>聂新平</v>
          </cell>
          <cell r="D41" t="str">
            <v>原料入库</v>
          </cell>
          <cell r="E41" t="str">
            <v>NO0000715</v>
          </cell>
          <cell r="F41" t="str">
            <v>苹果</v>
          </cell>
          <cell r="G41" t="str">
            <v>嘎啦100#</v>
          </cell>
          <cell r="H41">
            <v>55</v>
          </cell>
          <cell r="I41" t="str">
            <v>筐</v>
          </cell>
          <cell r="J41">
            <v>1199</v>
          </cell>
          <cell r="K41" t="str"/>
          <cell r="L41" t="str"/>
          <cell r="M41" t="str"/>
          <cell r="N41" t="str">
            <v>自备一次性筐</v>
          </cell>
          <cell r="O41" t="str"/>
          <cell r="P41" t="str"/>
          <cell r="Q41">
            <v>55</v>
          </cell>
          <cell r="R41" t="str">
            <v>苏M*7G796</v>
          </cell>
          <cell r="S41" t="str">
            <v>自备筐</v>
          </cell>
          <cell r="T41" t="str"/>
          <cell r="U41" t="str"/>
          <cell r="V41" t="str"/>
          <cell r="W41" t="str"/>
          <cell r="X41" t="str"/>
          <cell r="Y41" t="str"/>
        </row>
        <row r="41">
          <cell r="AA41" t="str"/>
          <cell r="AB41" t="str"/>
          <cell r="AC41" t="str"/>
          <cell r="AD41" t="str"/>
          <cell r="AE41" t="str"/>
          <cell r="AF41" t="str"/>
        </row>
        <row r="42">
          <cell r="B42">
            <v>46258</v>
          </cell>
          <cell r="C42" t="str">
            <v>聂新平</v>
          </cell>
          <cell r="D42" t="str">
            <v>原料入库</v>
          </cell>
          <cell r="E42" t="str">
            <v>NO0000718</v>
          </cell>
          <cell r="F42" t="str">
            <v>苹果</v>
          </cell>
          <cell r="G42" t="str">
            <v>嘎啦85#</v>
          </cell>
          <cell r="H42">
            <v>10</v>
          </cell>
          <cell r="I42" t="str">
            <v>筐</v>
          </cell>
          <cell r="J42">
            <v>218</v>
          </cell>
          <cell r="K42" t="str"/>
          <cell r="L42" t="str"/>
          <cell r="M42" t="str"/>
          <cell r="N42" t="str">
            <v>自备一次性筐</v>
          </cell>
          <cell r="O42" t="str"/>
          <cell r="P42" t="str"/>
          <cell r="Q42">
            <v>10</v>
          </cell>
          <cell r="R42" t="str">
            <v>苏M*7G796</v>
          </cell>
          <cell r="S42" t="str">
            <v>自备筐</v>
          </cell>
          <cell r="T42" t="str"/>
          <cell r="U42" t="str"/>
          <cell r="V42" t="str"/>
          <cell r="W42" t="str"/>
          <cell r="X42" t="str"/>
          <cell r="Y42" t="str"/>
        </row>
        <row r="42">
          <cell r="AA42" t="str"/>
          <cell r="AB42" t="str"/>
          <cell r="AC42" t="str"/>
          <cell r="AD42" t="str"/>
          <cell r="AE42" t="str"/>
          <cell r="AF42" t="str"/>
        </row>
        <row r="43">
          <cell r="B43">
            <v>46258</v>
          </cell>
          <cell r="C43" t="str">
            <v>聂新平</v>
          </cell>
          <cell r="D43" t="str">
            <v>原料入库</v>
          </cell>
          <cell r="E43" t="str">
            <v>NO0000718</v>
          </cell>
          <cell r="F43" t="str">
            <v>苹果</v>
          </cell>
          <cell r="G43" t="str">
            <v>嘎啦100#</v>
          </cell>
          <cell r="H43">
            <v>19</v>
          </cell>
          <cell r="I43" t="str">
            <v>筐</v>
          </cell>
          <cell r="J43">
            <v>414.2</v>
          </cell>
          <cell r="K43" t="str"/>
          <cell r="L43" t="str"/>
          <cell r="M43" t="str"/>
          <cell r="N43" t="str">
            <v>自备一次性筐</v>
          </cell>
          <cell r="O43" t="str"/>
          <cell r="P43" t="str"/>
          <cell r="Q43">
            <v>19</v>
          </cell>
          <cell r="R43" t="str">
            <v>苏M*7G796</v>
          </cell>
          <cell r="S43" t="str">
            <v>自备筐</v>
          </cell>
          <cell r="T43" t="str"/>
          <cell r="U43" t="str"/>
          <cell r="V43" t="str"/>
          <cell r="W43" t="str"/>
          <cell r="X43" t="str"/>
          <cell r="Y43" t="str"/>
        </row>
        <row r="43">
          <cell r="AA43" t="str"/>
          <cell r="AB43" t="str"/>
          <cell r="AC43" t="str"/>
          <cell r="AD43" t="str"/>
          <cell r="AE43" t="str"/>
          <cell r="AF43" t="str"/>
        </row>
        <row r="44">
          <cell r="B44">
            <v>46258</v>
          </cell>
          <cell r="C44" t="str">
            <v>聂新平</v>
          </cell>
          <cell r="D44" t="str">
            <v>原料入库</v>
          </cell>
          <cell r="E44" t="str">
            <v>NO0000719</v>
          </cell>
          <cell r="F44" t="str">
            <v>苹果</v>
          </cell>
          <cell r="G44" t="str">
            <v>嘎啦85#</v>
          </cell>
          <cell r="H44">
            <v>141</v>
          </cell>
          <cell r="I44" t="str">
            <v>筐</v>
          </cell>
          <cell r="J44">
            <v>3073.8</v>
          </cell>
          <cell r="K44" t="str"/>
          <cell r="L44" t="str"/>
          <cell r="M44" t="str"/>
          <cell r="N44" t="str">
            <v>自备一次性筐</v>
          </cell>
          <cell r="O44" t="str"/>
          <cell r="P44" t="str"/>
          <cell r="Q44">
            <v>141</v>
          </cell>
          <cell r="R44" t="str">
            <v>新N*E3V16</v>
          </cell>
          <cell r="S44" t="str">
            <v>自备筐</v>
          </cell>
          <cell r="T44" t="str"/>
          <cell r="U44" t="str"/>
          <cell r="V44" t="str"/>
          <cell r="W44" t="str"/>
          <cell r="X44" t="str"/>
          <cell r="Y44" t="str"/>
        </row>
        <row r="44">
          <cell r="AA44" t="str"/>
          <cell r="AB44" t="str"/>
          <cell r="AC44" t="str"/>
          <cell r="AD44" t="str"/>
          <cell r="AE44" t="str"/>
          <cell r="AF44" t="str"/>
        </row>
        <row r="45">
          <cell r="B45">
            <v>46258</v>
          </cell>
          <cell r="C45" t="str">
            <v>聂新平</v>
          </cell>
          <cell r="D45" t="str">
            <v>原料入库</v>
          </cell>
          <cell r="E45" t="str">
            <v>NO0000719</v>
          </cell>
          <cell r="F45" t="str">
            <v>苹果</v>
          </cell>
          <cell r="G45" t="str">
            <v>嘎啦100#</v>
          </cell>
          <cell r="H45">
            <v>233</v>
          </cell>
          <cell r="I45" t="str">
            <v>筐</v>
          </cell>
          <cell r="J45">
            <v>5079.4</v>
          </cell>
          <cell r="K45" t="str"/>
          <cell r="L45" t="str"/>
          <cell r="M45" t="str"/>
          <cell r="N45" t="str">
            <v>自备一次性筐</v>
          </cell>
          <cell r="O45" t="str"/>
          <cell r="P45" t="str"/>
          <cell r="Q45">
            <v>233</v>
          </cell>
          <cell r="R45" t="str">
            <v>新N*E3V16</v>
          </cell>
          <cell r="S45" t="str">
            <v>自备筐</v>
          </cell>
          <cell r="T45" t="str"/>
          <cell r="U45" t="str"/>
          <cell r="V45" t="str"/>
          <cell r="W45" t="str"/>
          <cell r="X45" t="str"/>
          <cell r="Y45" t="str"/>
        </row>
        <row r="45">
          <cell r="AA45" t="str"/>
          <cell r="AB45" t="str"/>
          <cell r="AC45" t="str"/>
          <cell r="AD45" t="str"/>
          <cell r="AE45" t="str"/>
          <cell r="AF45" t="str"/>
        </row>
        <row r="46">
          <cell r="B46">
            <v>46258</v>
          </cell>
          <cell r="C46" t="str">
            <v>王照雪</v>
          </cell>
          <cell r="D46" t="str">
            <v>原料入库</v>
          </cell>
          <cell r="E46" t="str">
            <v>NO0000721</v>
          </cell>
          <cell r="F46" t="str">
            <v>苹果</v>
          </cell>
          <cell r="G46" t="str">
            <v>华硕一级</v>
          </cell>
          <cell r="H46">
            <v>136</v>
          </cell>
          <cell r="I46" t="str">
            <v>筐</v>
          </cell>
          <cell r="J46">
            <v>2352.8</v>
          </cell>
          <cell r="K46" t="str"/>
          <cell r="L46" t="str"/>
          <cell r="M46" t="str"/>
          <cell r="N46" t="str">
            <v>公司杂周转筐</v>
          </cell>
          <cell r="O46" t="str"/>
          <cell r="P46" t="str"/>
          <cell r="Q46">
            <v>136</v>
          </cell>
          <cell r="R46" t="str">
            <v>豫L*88X19</v>
          </cell>
          <cell r="S46" t="str">
            <v>公司筐</v>
          </cell>
          <cell r="T46" t="str"/>
          <cell r="U46" t="str"/>
          <cell r="V46" t="str"/>
          <cell r="W46" t="str"/>
          <cell r="X46" t="str"/>
          <cell r="Y46" t="str"/>
        </row>
        <row r="46">
          <cell r="AA46" t="str"/>
          <cell r="AB46" t="str"/>
          <cell r="AC46" t="str"/>
          <cell r="AD46" t="str"/>
          <cell r="AE46" t="str"/>
          <cell r="AF46" t="str"/>
        </row>
        <row r="47">
          <cell r="B47">
            <v>46258</v>
          </cell>
          <cell r="C47" t="str">
            <v>王照雪</v>
          </cell>
          <cell r="D47" t="str">
            <v>原料入库</v>
          </cell>
          <cell r="E47" t="str">
            <v>NO0000721</v>
          </cell>
          <cell r="F47" t="str">
            <v>苹果</v>
          </cell>
          <cell r="G47" t="str">
            <v>华硕二级</v>
          </cell>
          <cell r="H47">
            <v>66</v>
          </cell>
          <cell r="I47" t="str">
            <v>筐</v>
          </cell>
          <cell r="J47">
            <v>1075.8</v>
          </cell>
          <cell r="K47" t="str"/>
          <cell r="L47" t="str"/>
          <cell r="M47" t="str"/>
          <cell r="N47" t="str">
            <v>公司杂周转筐</v>
          </cell>
          <cell r="O47" t="str"/>
          <cell r="P47" t="str"/>
          <cell r="Q47">
            <v>66</v>
          </cell>
          <cell r="R47" t="str">
            <v>豫L*88X19</v>
          </cell>
          <cell r="S47" t="str">
            <v>公司筐</v>
          </cell>
          <cell r="T47" t="str"/>
          <cell r="U47" t="str"/>
          <cell r="V47" t="str"/>
          <cell r="W47" t="str"/>
          <cell r="X47" t="str"/>
          <cell r="Y47" t="str"/>
        </row>
        <row r="47">
          <cell r="AA47" t="str"/>
          <cell r="AB47" t="str"/>
          <cell r="AC47" t="str"/>
          <cell r="AD47" t="str"/>
          <cell r="AE47" t="str"/>
          <cell r="AF47" t="str"/>
        </row>
        <row r="48">
          <cell r="B48">
            <v>46258</v>
          </cell>
          <cell r="C48" t="str">
            <v>王照雪</v>
          </cell>
          <cell r="D48" t="str">
            <v>原料入库</v>
          </cell>
          <cell r="E48" t="str">
            <v>NO0000721</v>
          </cell>
          <cell r="F48" t="str">
            <v>苹果</v>
          </cell>
          <cell r="G48" t="str">
            <v>华硕高次</v>
          </cell>
          <cell r="H48">
            <v>48</v>
          </cell>
          <cell r="I48" t="str">
            <v>筐</v>
          </cell>
          <cell r="J48">
            <v>830.4</v>
          </cell>
          <cell r="K48" t="str"/>
          <cell r="L48" t="str"/>
          <cell r="M48" t="str"/>
          <cell r="N48" t="str">
            <v>公司杂周转筐</v>
          </cell>
          <cell r="O48" t="str"/>
          <cell r="P48" t="str"/>
          <cell r="Q48">
            <v>48</v>
          </cell>
          <cell r="R48" t="str">
            <v>豫L*88X19</v>
          </cell>
          <cell r="S48" t="str">
            <v>公司筐</v>
          </cell>
          <cell r="T48" t="str"/>
          <cell r="U48" t="str"/>
          <cell r="V48" t="str"/>
          <cell r="W48" t="str"/>
          <cell r="X48" t="str"/>
          <cell r="Y48" t="str"/>
        </row>
        <row r="48">
          <cell r="AA48" t="str"/>
          <cell r="AB48" t="str"/>
          <cell r="AC48" t="str"/>
          <cell r="AD48" t="str"/>
          <cell r="AE48" t="str"/>
          <cell r="AF48" t="str"/>
        </row>
        <row r="49">
          <cell r="B49">
            <v>46259</v>
          </cell>
          <cell r="C49" t="str">
            <v>马锦祥</v>
          </cell>
          <cell r="D49" t="str">
            <v>原料入库</v>
          </cell>
          <cell r="E49" t="str">
            <v>NO0000727</v>
          </cell>
          <cell r="F49" t="str">
            <v>苹果</v>
          </cell>
          <cell r="G49" t="str">
            <v>海棠果</v>
          </cell>
          <cell r="H49">
            <v>68</v>
          </cell>
          <cell r="I49" t="str">
            <v>筐</v>
          </cell>
          <cell r="J49">
            <v>204</v>
          </cell>
          <cell r="K49" t="str"/>
          <cell r="L49" t="str"/>
          <cell r="M49" t="str"/>
          <cell r="N49" t="str">
            <v>自备一次性筐</v>
          </cell>
          <cell r="O49" t="str"/>
          <cell r="P49" t="str"/>
          <cell r="Q49">
            <v>68</v>
          </cell>
          <cell r="R49" t="str">
            <v>新N*B6R39</v>
          </cell>
          <cell r="S49" t="str">
            <v>自备筐</v>
          </cell>
          <cell r="T49" t="str"/>
          <cell r="U49" t="str"/>
          <cell r="V49" t="str"/>
          <cell r="W49" t="str"/>
          <cell r="X49" t="str"/>
          <cell r="Y49" t="str"/>
        </row>
        <row r="49">
          <cell r="AA49" t="str"/>
          <cell r="AB49" t="str"/>
          <cell r="AC49" t="str"/>
          <cell r="AD49" t="str"/>
          <cell r="AE49" t="str"/>
          <cell r="AF49" t="str"/>
        </row>
        <row r="50">
          <cell r="B50">
            <v>46260</v>
          </cell>
          <cell r="C50" t="str">
            <v>聂新平</v>
          </cell>
          <cell r="D50" t="str">
            <v>原料入库</v>
          </cell>
          <cell r="E50" t="str">
            <v>NO0000729</v>
          </cell>
          <cell r="F50" t="str">
            <v>苹果</v>
          </cell>
          <cell r="G50" t="str">
            <v>嘎啦85#</v>
          </cell>
          <cell r="H50">
            <v>80</v>
          </cell>
          <cell r="I50" t="str">
            <v>筐</v>
          </cell>
          <cell r="J50">
            <v>1744</v>
          </cell>
          <cell r="K50" t="str"/>
          <cell r="L50" t="str"/>
          <cell r="M50" t="str"/>
          <cell r="N50" t="str">
            <v>自备一次性筐</v>
          </cell>
          <cell r="O50" t="str"/>
          <cell r="P50" t="str"/>
          <cell r="Q50">
            <v>80</v>
          </cell>
          <cell r="R50" t="str">
            <v>新N*E3V16</v>
          </cell>
          <cell r="S50" t="str">
            <v>自备筐</v>
          </cell>
          <cell r="T50" t="str"/>
          <cell r="U50" t="str"/>
          <cell r="V50" t="str"/>
          <cell r="W50" t="str"/>
          <cell r="X50" t="str"/>
          <cell r="Y50" t="str"/>
        </row>
        <row r="50">
          <cell r="AA50" t="str"/>
          <cell r="AB50" t="str"/>
          <cell r="AC50" t="str"/>
          <cell r="AD50" t="str"/>
          <cell r="AE50" t="str"/>
          <cell r="AF50" t="str"/>
        </row>
        <row r="51">
          <cell r="B51">
            <v>46260</v>
          </cell>
          <cell r="C51" t="str">
            <v>聂新平</v>
          </cell>
          <cell r="D51" t="str">
            <v>原料入库</v>
          </cell>
          <cell r="E51" t="str">
            <v>NO0000729</v>
          </cell>
          <cell r="F51" t="str">
            <v>苹果</v>
          </cell>
          <cell r="G51" t="str">
            <v>嘎啦100#</v>
          </cell>
          <cell r="H51">
            <v>132</v>
          </cell>
          <cell r="I51" t="str">
            <v>筐</v>
          </cell>
          <cell r="J51">
            <v>2877.6</v>
          </cell>
          <cell r="K51" t="str"/>
          <cell r="L51" t="str"/>
          <cell r="M51" t="str"/>
          <cell r="N51" t="str">
            <v>自备一次性筐</v>
          </cell>
          <cell r="O51" t="str"/>
          <cell r="P51" t="str"/>
          <cell r="Q51">
            <v>132</v>
          </cell>
          <cell r="R51" t="str">
            <v>新N*E3V16</v>
          </cell>
          <cell r="S51" t="str">
            <v>自备筐</v>
          </cell>
          <cell r="T51" t="str"/>
          <cell r="U51" t="str"/>
          <cell r="V51" t="str"/>
          <cell r="W51" t="str"/>
          <cell r="X51" t="str"/>
          <cell r="Y51" t="str"/>
        </row>
        <row r="51">
          <cell r="AA51" t="str"/>
          <cell r="AB51" t="str"/>
          <cell r="AC51" t="str"/>
          <cell r="AD51" t="str"/>
          <cell r="AE51" t="str"/>
          <cell r="AF51" t="str"/>
        </row>
        <row r="52">
          <cell r="B52">
            <v>46260</v>
          </cell>
          <cell r="C52" t="str">
            <v>王照雪</v>
          </cell>
          <cell r="D52" t="str">
            <v>原料入库</v>
          </cell>
          <cell r="E52" t="str">
            <v>NO0000732</v>
          </cell>
          <cell r="F52" t="str">
            <v>苹果</v>
          </cell>
          <cell r="G52" t="str">
            <v>华硕一级</v>
          </cell>
          <cell r="H52">
            <v>174</v>
          </cell>
          <cell r="I52" t="str">
            <v>筐</v>
          </cell>
          <cell r="J52">
            <v>3010.2</v>
          </cell>
          <cell r="K52" t="str"/>
          <cell r="L52" t="str"/>
          <cell r="M52" t="str"/>
          <cell r="N52" t="str">
            <v>公司杂周转筐</v>
          </cell>
          <cell r="O52" t="str"/>
          <cell r="P52" t="str"/>
          <cell r="Q52">
            <v>174</v>
          </cell>
          <cell r="R52" t="str">
            <v>豫L*88X19</v>
          </cell>
          <cell r="S52" t="str">
            <v>公司筐</v>
          </cell>
          <cell r="T52" t="str"/>
          <cell r="U52" t="str"/>
          <cell r="V52" t="str"/>
          <cell r="W52" t="str"/>
          <cell r="X52" t="str"/>
          <cell r="Y52" t="str"/>
        </row>
        <row r="52">
          <cell r="AA52" t="str"/>
          <cell r="AB52" t="str"/>
          <cell r="AC52" t="str"/>
          <cell r="AD52" t="str"/>
          <cell r="AE52" t="str"/>
          <cell r="AF52" t="str"/>
        </row>
        <row r="53">
          <cell r="B53">
            <v>46260</v>
          </cell>
          <cell r="C53" t="str">
            <v>王照雪</v>
          </cell>
          <cell r="D53" t="str">
            <v>原料入库</v>
          </cell>
          <cell r="E53" t="str">
            <v>NO0000732</v>
          </cell>
          <cell r="F53" t="str">
            <v>苹果</v>
          </cell>
          <cell r="G53" t="str">
            <v>华硕二级</v>
          </cell>
          <cell r="H53">
            <v>88</v>
          </cell>
          <cell r="I53" t="str">
            <v>筐</v>
          </cell>
          <cell r="J53">
            <v>1434.4</v>
          </cell>
          <cell r="K53" t="str"/>
          <cell r="L53" t="str"/>
          <cell r="M53" t="str"/>
          <cell r="N53" t="str">
            <v>公司杂周转筐</v>
          </cell>
          <cell r="O53" t="str"/>
          <cell r="P53" t="str"/>
          <cell r="Q53">
            <v>88</v>
          </cell>
          <cell r="R53" t="str">
            <v>豫L*88X19</v>
          </cell>
          <cell r="S53" t="str">
            <v>公司筐</v>
          </cell>
          <cell r="T53" t="str"/>
          <cell r="U53" t="str"/>
          <cell r="V53" t="str"/>
          <cell r="W53" t="str"/>
          <cell r="X53" t="str"/>
          <cell r="Y53" t="str"/>
        </row>
        <row r="53">
          <cell r="AA53" t="str"/>
          <cell r="AB53" t="str"/>
          <cell r="AC53" t="str"/>
          <cell r="AD53" t="str"/>
          <cell r="AE53" t="str"/>
          <cell r="AF53" t="str"/>
        </row>
        <row r="54">
          <cell r="B54">
            <v>46260</v>
          </cell>
          <cell r="C54" t="str">
            <v>王照雪</v>
          </cell>
          <cell r="D54" t="str">
            <v>原料入库</v>
          </cell>
          <cell r="E54" t="str">
            <v>NO0000732</v>
          </cell>
          <cell r="F54" t="str">
            <v>苹果</v>
          </cell>
          <cell r="G54" t="str">
            <v>华硕高次</v>
          </cell>
          <cell r="H54">
            <v>64</v>
          </cell>
          <cell r="I54" t="str">
            <v>筐</v>
          </cell>
          <cell r="J54">
            <v>1107.2</v>
          </cell>
          <cell r="K54" t="str"/>
          <cell r="L54" t="str"/>
          <cell r="M54" t="str"/>
          <cell r="N54" t="str">
            <v>公司杂周转筐</v>
          </cell>
          <cell r="O54" t="str"/>
          <cell r="P54" t="str"/>
          <cell r="Q54">
            <v>64</v>
          </cell>
          <cell r="R54" t="str">
            <v>豫L*88X19</v>
          </cell>
          <cell r="S54" t="str">
            <v>公司筐</v>
          </cell>
          <cell r="T54" t="str"/>
          <cell r="U54" t="str"/>
          <cell r="V54" t="str"/>
          <cell r="W54" t="str"/>
          <cell r="X54" t="str"/>
          <cell r="Y54" t="str"/>
        </row>
        <row r="54">
          <cell r="AA54" t="str"/>
          <cell r="AB54" t="str"/>
          <cell r="AC54" t="str"/>
          <cell r="AD54" t="str"/>
          <cell r="AE54" t="str"/>
          <cell r="AF54" t="str"/>
        </row>
        <row r="55">
          <cell r="B55">
            <v>46262</v>
          </cell>
          <cell r="C55" t="str">
            <v>聂新平</v>
          </cell>
          <cell r="D55" t="str">
            <v>原料入库</v>
          </cell>
          <cell r="E55" t="str">
            <v>NO0000737</v>
          </cell>
          <cell r="F55" t="str">
            <v>苹果</v>
          </cell>
          <cell r="G55" t="str">
            <v>嘎啦85#</v>
          </cell>
          <cell r="H55">
            <v>69</v>
          </cell>
          <cell r="I55" t="str">
            <v>筐</v>
          </cell>
          <cell r="J55">
            <v>1504.2</v>
          </cell>
          <cell r="K55" t="str"/>
          <cell r="L55" t="str"/>
          <cell r="M55" t="str"/>
          <cell r="N55" t="str">
            <v>自备一次性筐</v>
          </cell>
          <cell r="O55" t="str"/>
          <cell r="P55" t="str"/>
          <cell r="Q55">
            <v>69</v>
          </cell>
          <cell r="R55" t="str">
            <v>新N*E3V16</v>
          </cell>
          <cell r="S55" t="str">
            <v>自备筐</v>
          </cell>
          <cell r="T55" t="str"/>
          <cell r="U55" t="str"/>
          <cell r="V55" t="str"/>
          <cell r="W55" t="str"/>
          <cell r="X55" t="str"/>
          <cell r="Y55" t="str"/>
        </row>
        <row r="55">
          <cell r="AA55" t="str"/>
          <cell r="AB55" t="str"/>
          <cell r="AC55" t="str"/>
          <cell r="AD55" t="str"/>
          <cell r="AE55" t="str"/>
          <cell r="AF55" t="str"/>
        </row>
        <row r="56">
          <cell r="B56">
            <v>46262</v>
          </cell>
          <cell r="C56" t="str">
            <v>聂新平</v>
          </cell>
          <cell r="D56" t="str">
            <v>原料入库</v>
          </cell>
          <cell r="E56" t="str">
            <v>NO0000737</v>
          </cell>
          <cell r="F56" t="str">
            <v>苹果</v>
          </cell>
          <cell r="G56" t="str">
            <v>嘎啦100#</v>
          </cell>
          <cell r="H56">
            <v>175</v>
          </cell>
          <cell r="I56" t="str">
            <v>筐</v>
          </cell>
          <cell r="J56">
            <v>3815</v>
          </cell>
          <cell r="K56" t="str"/>
          <cell r="L56" t="str"/>
          <cell r="M56" t="str"/>
          <cell r="N56" t="str">
            <v>自备一次性筐</v>
          </cell>
          <cell r="O56" t="str"/>
          <cell r="P56" t="str"/>
          <cell r="Q56">
            <v>175</v>
          </cell>
          <cell r="R56" t="str">
            <v>新N*E3V16</v>
          </cell>
          <cell r="S56" t="str">
            <v>自备筐</v>
          </cell>
          <cell r="T56" t="str"/>
          <cell r="U56" t="str"/>
          <cell r="V56" t="str"/>
          <cell r="W56" t="str"/>
          <cell r="X56" t="str"/>
          <cell r="Y56" t="str"/>
        </row>
        <row r="56">
          <cell r="AA56" t="str"/>
          <cell r="AB56" t="str"/>
          <cell r="AC56" t="str"/>
          <cell r="AD56" t="str"/>
          <cell r="AE56" t="str"/>
          <cell r="AF56" t="str"/>
        </row>
        <row r="57">
          <cell r="B57">
            <v>46262</v>
          </cell>
          <cell r="C57" t="str">
            <v>聂新平</v>
          </cell>
          <cell r="D57" t="str">
            <v>原料入库</v>
          </cell>
          <cell r="E57" t="str">
            <v>NO0000738</v>
          </cell>
          <cell r="F57" t="str">
            <v>苹果</v>
          </cell>
          <cell r="G57" t="str">
            <v>嘎啦85#</v>
          </cell>
          <cell r="H57">
            <v>20</v>
          </cell>
          <cell r="I57" t="str">
            <v>筐</v>
          </cell>
          <cell r="J57">
            <v>436</v>
          </cell>
          <cell r="K57" t="str"/>
          <cell r="L57" t="str"/>
          <cell r="M57" t="str"/>
          <cell r="N57" t="str">
            <v>自备一次性筐</v>
          </cell>
          <cell r="O57" t="str"/>
          <cell r="P57" t="str"/>
          <cell r="Q57">
            <v>20</v>
          </cell>
          <cell r="R57" t="str">
            <v>苏M*7G796</v>
          </cell>
          <cell r="S57" t="str">
            <v>自备筐</v>
          </cell>
          <cell r="T57" t="str"/>
          <cell r="U57" t="str"/>
          <cell r="V57" t="str"/>
          <cell r="W57" t="str"/>
          <cell r="X57" t="str"/>
          <cell r="Y57" t="str"/>
        </row>
        <row r="57">
          <cell r="AA57" t="str"/>
          <cell r="AB57" t="str"/>
          <cell r="AC57" t="str"/>
          <cell r="AD57" t="str"/>
          <cell r="AE57" t="str"/>
          <cell r="AF57" t="str"/>
        </row>
        <row r="58">
          <cell r="B58">
            <v>46262</v>
          </cell>
          <cell r="C58" t="str">
            <v>王照雪</v>
          </cell>
          <cell r="D58" t="str">
            <v>原料入库</v>
          </cell>
          <cell r="E58" t="str">
            <v>NO0000739</v>
          </cell>
          <cell r="F58" t="str">
            <v>苹果</v>
          </cell>
          <cell r="G58" t="str">
            <v>华硕一级</v>
          </cell>
          <cell r="H58">
            <v>103</v>
          </cell>
          <cell r="I58" t="str">
            <v>筐</v>
          </cell>
          <cell r="J58">
            <v>1781.9</v>
          </cell>
          <cell r="K58" t="str"/>
          <cell r="L58" t="str"/>
          <cell r="M58" t="str"/>
          <cell r="N58" t="str">
            <v>公司杂周转筐</v>
          </cell>
          <cell r="O58" t="str"/>
          <cell r="P58" t="str"/>
          <cell r="Q58">
            <v>103</v>
          </cell>
          <cell r="R58" t="str">
            <v>豫L*88X19</v>
          </cell>
          <cell r="S58" t="str">
            <v>公司筐</v>
          </cell>
          <cell r="T58" t="str"/>
          <cell r="U58" t="str"/>
          <cell r="V58" t="str"/>
          <cell r="W58" t="str"/>
          <cell r="X58" t="str"/>
          <cell r="Y58" t="str"/>
        </row>
        <row r="58">
          <cell r="AA58" t="str"/>
          <cell r="AB58" t="str"/>
          <cell r="AC58" t="str"/>
          <cell r="AD58" t="str"/>
          <cell r="AE58" t="str"/>
          <cell r="AF58" t="str"/>
        </row>
        <row r="59">
          <cell r="B59">
            <v>46262</v>
          </cell>
          <cell r="C59" t="str">
            <v>王照雪</v>
          </cell>
          <cell r="D59" t="str">
            <v>原料入库</v>
          </cell>
          <cell r="E59" t="str">
            <v>NO0000739</v>
          </cell>
          <cell r="F59" t="str">
            <v>苹果</v>
          </cell>
          <cell r="G59" t="str">
            <v>华硕二级</v>
          </cell>
          <cell r="H59">
            <v>81</v>
          </cell>
          <cell r="I59" t="str">
            <v>筐</v>
          </cell>
          <cell r="J59">
            <v>1320.3</v>
          </cell>
          <cell r="K59" t="str"/>
          <cell r="L59" t="str"/>
          <cell r="M59" t="str"/>
          <cell r="N59" t="str">
            <v>公司杂周转筐</v>
          </cell>
          <cell r="O59" t="str"/>
          <cell r="P59" t="str"/>
          <cell r="Q59">
            <v>81</v>
          </cell>
          <cell r="R59" t="str">
            <v>豫L*88X19</v>
          </cell>
          <cell r="S59" t="str">
            <v>公司筐</v>
          </cell>
          <cell r="T59" t="str"/>
          <cell r="U59" t="str"/>
          <cell r="V59" t="str"/>
          <cell r="W59" t="str"/>
          <cell r="X59" t="str"/>
          <cell r="Y59" t="str"/>
        </row>
        <row r="59">
          <cell r="AA59" t="str"/>
          <cell r="AB59" t="str"/>
          <cell r="AC59" t="str"/>
          <cell r="AD59" t="str"/>
          <cell r="AE59" t="str"/>
          <cell r="AF59" t="str"/>
        </row>
        <row r="60">
          <cell r="B60">
            <v>46262</v>
          </cell>
          <cell r="C60" t="str">
            <v>王照雪</v>
          </cell>
          <cell r="D60" t="str">
            <v>原料入库</v>
          </cell>
          <cell r="E60" t="str">
            <v>NO0000739</v>
          </cell>
          <cell r="F60" t="str">
            <v>苹果</v>
          </cell>
          <cell r="G60" t="str">
            <v>华硕高次</v>
          </cell>
          <cell r="H60">
            <v>20</v>
          </cell>
          <cell r="I60" t="str">
            <v>筐</v>
          </cell>
          <cell r="J60">
            <v>346</v>
          </cell>
          <cell r="K60" t="str"/>
          <cell r="L60" t="str"/>
          <cell r="M60" t="str"/>
          <cell r="N60" t="str">
            <v>公司杂周转筐</v>
          </cell>
          <cell r="O60" t="str"/>
          <cell r="P60" t="str"/>
          <cell r="Q60">
            <v>20</v>
          </cell>
          <cell r="R60" t="str">
            <v>豫L*88X19</v>
          </cell>
          <cell r="S60" t="str">
            <v>公司筐</v>
          </cell>
          <cell r="T60" t="str"/>
          <cell r="U60" t="str"/>
          <cell r="V60" t="str"/>
          <cell r="W60" t="str"/>
          <cell r="X60" t="str"/>
          <cell r="Y60" t="str"/>
        </row>
        <row r="60">
          <cell r="AA60" t="str"/>
          <cell r="AB60" t="str"/>
          <cell r="AC60" t="str"/>
          <cell r="AD60" t="str"/>
          <cell r="AE60" t="str"/>
          <cell r="AF60" t="str"/>
        </row>
        <row r="61">
          <cell r="B61">
            <v>46263</v>
          </cell>
          <cell r="C61" t="str">
            <v>聂新平</v>
          </cell>
          <cell r="D61" t="str">
            <v>原料入库</v>
          </cell>
          <cell r="E61" t="str">
            <v>NO0000740</v>
          </cell>
          <cell r="F61" t="str">
            <v>苹果</v>
          </cell>
          <cell r="G61" t="str">
            <v>嘎啦85#</v>
          </cell>
          <cell r="H61">
            <v>22</v>
          </cell>
          <cell r="I61" t="str">
            <v>筐</v>
          </cell>
          <cell r="J61">
            <v>479.6</v>
          </cell>
          <cell r="K61" t="str"/>
          <cell r="L61" t="str"/>
          <cell r="M61" t="str"/>
          <cell r="N61" t="str">
            <v>自备一次性筐</v>
          </cell>
          <cell r="O61" t="str"/>
          <cell r="P61" t="str"/>
          <cell r="Q61">
            <v>22</v>
          </cell>
          <cell r="R61" t="str">
            <v>新N*E3V16</v>
          </cell>
          <cell r="S61" t="str">
            <v>自备筐</v>
          </cell>
          <cell r="T61" t="str"/>
          <cell r="U61" t="str"/>
          <cell r="V61" t="str"/>
          <cell r="W61" t="str"/>
          <cell r="X61" t="str"/>
          <cell r="Y61" t="str"/>
        </row>
        <row r="61">
          <cell r="AA61" t="str"/>
          <cell r="AB61" t="str"/>
          <cell r="AC61" t="str"/>
          <cell r="AD61" t="str"/>
          <cell r="AE61" t="str"/>
          <cell r="AF61" t="str"/>
        </row>
        <row r="62">
          <cell r="B62">
            <v>46263</v>
          </cell>
          <cell r="C62" t="str">
            <v>聂新平</v>
          </cell>
          <cell r="D62" t="str">
            <v>原料入库</v>
          </cell>
          <cell r="E62" t="str">
            <v>NO0000740</v>
          </cell>
          <cell r="F62" t="str">
            <v>苹果</v>
          </cell>
          <cell r="G62" t="str">
            <v>嘎啦100#</v>
          </cell>
          <cell r="H62">
            <v>48</v>
          </cell>
          <cell r="I62" t="str">
            <v>筐</v>
          </cell>
          <cell r="J62">
            <v>1046.4</v>
          </cell>
          <cell r="K62" t="str"/>
          <cell r="L62" t="str"/>
          <cell r="M62" t="str"/>
          <cell r="N62" t="str">
            <v>自备一次性筐</v>
          </cell>
          <cell r="O62" t="str"/>
          <cell r="P62" t="str"/>
          <cell r="Q62">
            <v>48</v>
          </cell>
          <cell r="R62" t="str">
            <v>新N*E3V16</v>
          </cell>
          <cell r="S62" t="str">
            <v>自备筐</v>
          </cell>
          <cell r="T62" t="str"/>
          <cell r="U62" t="str"/>
          <cell r="V62" t="str"/>
          <cell r="W62" t="str"/>
          <cell r="X62" t="str"/>
          <cell r="Y62" t="str"/>
        </row>
        <row r="62">
          <cell r="AA62" t="str"/>
          <cell r="AB62" t="str"/>
          <cell r="AC62" t="str"/>
          <cell r="AD62" t="str"/>
          <cell r="AE62" t="str"/>
          <cell r="AF62" t="str"/>
        </row>
        <row r="63">
          <cell r="B63">
            <v>46266</v>
          </cell>
          <cell r="C63" t="str">
            <v>聂新平</v>
          </cell>
          <cell r="D63" t="str">
            <v>原料入库</v>
          </cell>
          <cell r="E63" t="str">
            <v>NO0000741</v>
          </cell>
          <cell r="F63" t="str">
            <v>苹果</v>
          </cell>
          <cell r="G63" t="str">
            <v>嘎啦85#</v>
          </cell>
          <cell r="H63">
            <v>14</v>
          </cell>
          <cell r="I63" t="str">
            <v>筐</v>
          </cell>
          <cell r="J63">
            <v>305.2</v>
          </cell>
          <cell r="K63" t="str"/>
          <cell r="L63" t="str"/>
          <cell r="M63" t="str"/>
          <cell r="N63" t="str">
            <v>自备一次性筐</v>
          </cell>
          <cell r="O63" t="str"/>
          <cell r="P63" t="str"/>
          <cell r="Q63">
            <v>14</v>
          </cell>
          <cell r="R63" t="str">
            <v>苏M*7G796</v>
          </cell>
          <cell r="S63" t="str">
            <v>自备筐</v>
          </cell>
          <cell r="T63" t="str"/>
          <cell r="U63" t="str"/>
          <cell r="V63" t="str"/>
          <cell r="W63" t="str"/>
          <cell r="X63" t="str"/>
          <cell r="Y63" t="str"/>
        </row>
        <row r="63">
          <cell r="AA63" t="str"/>
          <cell r="AB63" t="str"/>
          <cell r="AC63" t="str"/>
          <cell r="AD63" t="str"/>
          <cell r="AE63" t="str"/>
          <cell r="AF63" t="str"/>
        </row>
        <row r="64">
          <cell r="B64">
            <v>46266</v>
          </cell>
          <cell r="C64" t="str">
            <v>王照雪</v>
          </cell>
          <cell r="D64" t="str">
            <v>原料入库</v>
          </cell>
          <cell r="E64" t="str">
            <v>NO0000742</v>
          </cell>
          <cell r="F64" t="str">
            <v>苹果</v>
          </cell>
          <cell r="G64" t="str">
            <v>华硕一级</v>
          </cell>
          <cell r="H64">
            <v>13</v>
          </cell>
          <cell r="I64" t="str">
            <v>筐</v>
          </cell>
          <cell r="J64">
            <v>224.9</v>
          </cell>
          <cell r="K64" t="str"/>
          <cell r="L64" t="str"/>
          <cell r="M64" t="str"/>
          <cell r="N64" t="str">
            <v>公司杂周转筐</v>
          </cell>
          <cell r="O64" t="str"/>
          <cell r="P64" t="str"/>
          <cell r="Q64">
            <v>13</v>
          </cell>
          <cell r="R64" t="str">
            <v>新N*D1W48</v>
          </cell>
          <cell r="S64" t="str">
            <v>公司筐</v>
          </cell>
          <cell r="T64" t="str"/>
          <cell r="U64" t="str"/>
          <cell r="V64" t="str"/>
          <cell r="W64" t="str"/>
          <cell r="X64" t="str"/>
          <cell r="Y64" t="str"/>
        </row>
        <row r="64">
          <cell r="AA64" t="str"/>
          <cell r="AB64" t="str"/>
          <cell r="AC64" t="str"/>
          <cell r="AD64" t="str"/>
          <cell r="AE64" t="str"/>
          <cell r="AF64" t="str"/>
        </row>
        <row r="65">
          <cell r="B65">
            <v>46266</v>
          </cell>
          <cell r="C65" t="str">
            <v>王照雪</v>
          </cell>
          <cell r="D65" t="str">
            <v>原料入库</v>
          </cell>
          <cell r="E65" t="str">
            <v>NO0000742</v>
          </cell>
          <cell r="F65" t="str">
            <v>苹果</v>
          </cell>
          <cell r="G65" t="str">
            <v>华硕二级</v>
          </cell>
          <cell r="H65">
            <v>27</v>
          </cell>
          <cell r="I65" t="str">
            <v>筐</v>
          </cell>
          <cell r="J65">
            <v>440.1</v>
          </cell>
          <cell r="K65" t="str"/>
          <cell r="L65" t="str"/>
          <cell r="M65" t="str"/>
          <cell r="N65" t="str">
            <v>公司杂周转筐</v>
          </cell>
          <cell r="O65" t="str"/>
          <cell r="P65" t="str"/>
          <cell r="Q65">
            <v>27</v>
          </cell>
          <cell r="R65" t="str">
            <v>新N*D1W48</v>
          </cell>
          <cell r="S65" t="str">
            <v>公司筐</v>
          </cell>
          <cell r="T65" t="str"/>
          <cell r="U65" t="str"/>
          <cell r="V65" t="str"/>
          <cell r="W65" t="str"/>
          <cell r="X65" t="str"/>
          <cell r="Y65" t="str"/>
        </row>
        <row r="65">
          <cell r="AA65" t="str"/>
          <cell r="AB65" t="str"/>
          <cell r="AC65" t="str"/>
          <cell r="AD65" t="str"/>
          <cell r="AE65" t="str"/>
          <cell r="AF65" t="str"/>
        </row>
        <row r="66">
          <cell r="B66">
            <v>46266</v>
          </cell>
          <cell r="C66" t="str">
            <v>王照雪</v>
          </cell>
          <cell r="D66" t="str">
            <v>原料入库</v>
          </cell>
          <cell r="E66" t="str">
            <v>NO0000742</v>
          </cell>
          <cell r="F66" t="str">
            <v>苹果</v>
          </cell>
          <cell r="G66" t="str">
            <v>华硕高次</v>
          </cell>
          <cell r="H66">
            <v>13</v>
          </cell>
          <cell r="I66" t="str">
            <v>筐</v>
          </cell>
          <cell r="J66">
            <v>224.9</v>
          </cell>
          <cell r="K66" t="str"/>
          <cell r="L66" t="str"/>
          <cell r="M66" t="str"/>
          <cell r="N66" t="str">
            <v>公司杂周转筐</v>
          </cell>
          <cell r="O66" t="str"/>
          <cell r="P66" t="str"/>
          <cell r="Q66">
            <v>13</v>
          </cell>
          <cell r="R66" t="str">
            <v>新N*D1W48</v>
          </cell>
          <cell r="S66" t="str">
            <v>公司筐</v>
          </cell>
          <cell r="T66" t="str"/>
          <cell r="U66" t="str"/>
          <cell r="V66" t="str"/>
          <cell r="W66" t="str"/>
          <cell r="X66" t="str"/>
          <cell r="Y66" t="str"/>
        </row>
        <row r="66">
          <cell r="AA66" t="str"/>
          <cell r="AB66" t="str"/>
          <cell r="AC66" t="str"/>
          <cell r="AD66" t="str"/>
          <cell r="AE66" t="str"/>
          <cell r="AF66" t="str"/>
        </row>
        <row r="67">
          <cell r="B67">
            <v>46252</v>
          </cell>
          <cell r="C67" t="str">
            <v>聂新平</v>
          </cell>
          <cell r="D67" t="str">
            <v>原料入库</v>
          </cell>
          <cell r="E67" t="str">
            <v>NO:0000775</v>
          </cell>
          <cell r="F67" t="str">
            <v>西梅</v>
          </cell>
          <cell r="G67" t="str">
            <v>西梅二级</v>
          </cell>
          <cell r="H67">
            <v>336</v>
          </cell>
          <cell r="I67" t="str">
            <v>筐</v>
          </cell>
          <cell r="J67">
            <v>672</v>
          </cell>
          <cell r="K67" t="str"/>
          <cell r="L67" t="str"/>
          <cell r="M67" t="str"/>
          <cell r="N67" t="str">
            <v>自备一次性筐</v>
          </cell>
          <cell r="O67" t="str"/>
          <cell r="P67" t="str"/>
          <cell r="Q67">
            <v>336</v>
          </cell>
          <cell r="R67" t="str">
            <v>苏M*7G796</v>
          </cell>
          <cell r="S67" t="str">
            <v>自备筐</v>
          </cell>
          <cell r="T67" t="str"/>
          <cell r="U67" t="str"/>
          <cell r="V67" t="str"/>
          <cell r="W67" t="str"/>
          <cell r="X67" t="str"/>
          <cell r="Y67" t="str"/>
        </row>
        <row r="67">
          <cell r="AA67" t="str"/>
          <cell r="AB67" t="str"/>
          <cell r="AC67" t="str"/>
          <cell r="AD67" t="str"/>
          <cell r="AE67" t="str"/>
          <cell r="AF67" t="str"/>
        </row>
        <row r="68">
          <cell r="B68">
            <v>46252</v>
          </cell>
          <cell r="C68" t="str">
            <v>聂新平</v>
          </cell>
          <cell r="D68" t="str">
            <v>原料入库</v>
          </cell>
          <cell r="E68" t="str">
            <v>NO:0000775</v>
          </cell>
          <cell r="F68" t="str">
            <v>西梅</v>
          </cell>
          <cell r="G68" t="str">
            <v>西梅三级</v>
          </cell>
          <cell r="H68">
            <v>96</v>
          </cell>
          <cell r="I68" t="str">
            <v>筐</v>
          </cell>
          <cell r="J68">
            <v>192</v>
          </cell>
          <cell r="K68" t="str"/>
          <cell r="L68" t="str"/>
          <cell r="M68" t="str"/>
          <cell r="N68" t="str">
            <v>自备一次性筐</v>
          </cell>
          <cell r="O68" t="str"/>
          <cell r="P68" t="str"/>
          <cell r="Q68">
            <v>96</v>
          </cell>
          <cell r="R68" t="str">
            <v>苏M*7G796</v>
          </cell>
          <cell r="S68" t="str">
            <v>自备筐</v>
          </cell>
          <cell r="T68" t="str"/>
          <cell r="U68" t="str"/>
          <cell r="V68" t="str"/>
          <cell r="W68" t="str"/>
          <cell r="X68" t="str"/>
          <cell r="Y68" t="str"/>
        </row>
        <row r="68">
          <cell r="AA68" t="str"/>
          <cell r="AB68" t="str"/>
          <cell r="AC68" t="str"/>
          <cell r="AD68" t="str"/>
          <cell r="AE68" t="str"/>
          <cell r="AF68" t="str"/>
        </row>
        <row r="69">
          <cell r="B69">
            <v>46252</v>
          </cell>
          <cell r="C69" t="str">
            <v>聂新平</v>
          </cell>
          <cell r="D69" t="str">
            <v>原料入库</v>
          </cell>
          <cell r="E69" t="str">
            <v>NO:0000701</v>
          </cell>
          <cell r="F69" t="str">
            <v>西梅</v>
          </cell>
          <cell r="G69" t="str">
            <v>西梅一级</v>
          </cell>
          <cell r="H69">
            <v>41</v>
          </cell>
          <cell r="I69" t="str">
            <v>筐</v>
          </cell>
          <cell r="J69">
            <v>287</v>
          </cell>
          <cell r="K69" t="str"/>
          <cell r="L69" t="str"/>
          <cell r="M69" t="str"/>
          <cell r="N69" t="str">
            <v>自备一次性筐</v>
          </cell>
          <cell r="O69" t="str"/>
          <cell r="P69" t="str"/>
          <cell r="Q69">
            <v>41</v>
          </cell>
          <cell r="R69" t="str">
            <v>苏M*7G796</v>
          </cell>
          <cell r="S69" t="str">
            <v>自备筐</v>
          </cell>
          <cell r="T69" t="str"/>
          <cell r="U69" t="str"/>
          <cell r="V69" t="str"/>
          <cell r="W69" t="str"/>
          <cell r="X69" t="str"/>
          <cell r="Y69" t="str"/>
        </row>
        <row r="69">
          <cell r="AA69" t="str"/>
          <cell r="AB69" t="str"/>
          <cell r="AC69" t="str"/>
          <cell r="AD69" t="str"/>
          <cell r="AE69" t="str"/>
          <cell r="AF69" t="str"/>
        </row>
        <row r="70">
          <cell r="B70">
            <v>46252</v>
          </cell>
          <cell r="C70" t="str">
            <v>聂新平</v>
          </cell>
          <cell r="D70" t="str">
            <v>原料入库</v>
          </cell>
          <cell r="E70" t="str">
            <v>NO:0000701</v>
          </cell>
          <cell r="F70" t="str">
            <v>西梅</v>
          </cell>
          <cell r="G70" t="str">
            <v>西梅二级</v>
          </cell>
          <cell r="H70">
            <v>71</v>
          </cell>
          <cell r="I70" t="str">
            <v>筐</v>
          </cell>
          <cell r="J70">
            <v>142</v>
          </cell>
          <cell r="K70" t="str"/>
          <cell r="L70" t="str"/>
          <cell r="M70" t="str"/>
          <cell r="N70" t="str">
            <v>自备一次性筐</v>
          </cell>
          <cell r="O70" t="str"/>
          <cell r="P70" t="str"/>
          <cell r="Q70">
            <v>71</v>
          </cell>
          <cell r="R70" t="str">
            <v>苏M*7G796</v>
          </cell>
          <cell r="S70" t="str">
            <v>自备筐</v>
          </cell>
          <cell r="T70" t="str"/>
          <cell r="U70" t="str"/>
          <cell r="V70" t="str"/>
          <cell r="W70" t="str"/>
          <cell r="X70" t="str"/>
          <cell r="Y70" t="str"/>
        </row>
        <row r="70">
          <cell r="AA70" t="str"/>
          <cell r="AB70" t="str"/>
          <cell r="AC70" t="str"/>
          <cell r="AD70" t="str"/>
          <cell r="AE70" t="str"/>
          <cell r="AF70" t="str"/>
        </row>
        <row r="71">
          <cell r="B71">
            <v>46252</v>
          </cell>
          <cell r="C71" t="str">
            <v>聂新平</v>
          </cell>
          <cell r="D71" t="str">
            <v>原料入库</v>
          </cell>
          <cell r="E71" t="str">
            <v>NO:0000701</v>
          </cell>
          <cell r="F71" t="str">
            <v>西梅</v>
          </cell>
          <cell r="G71" t="str">
            <v>西梅三级</v>
          </cell>
          <cell r="H71">
            <v>54</v>
          </cell>
          <cell r="I71" t="str">
            <v>筐</v>
          </cell>
          <cell r="J71">
            <v>108</v>
          </cell>
          <cell r="K71" t="str"/>
          <cell r="L71" t="str"/>
          <cell r="M71" t="str"/>
          <cell r="N71" t="str">
            <v>自备一次性筐</v>
          </cell>
          <cell r="O71" t="str"/>
          <cell r="P71" t="str"/>
          <cell r="Q71">
            <v>54</v>
          </cell>
          <cell r="R71" t="str">
            <v>苏M*7G796</v>
          </cell>
          <cell r="S71" t="str">
            <v>自备筐</v>
          </cell>
          <cell r="T71" t="str"/>
          <cell r="U71" t="str"/>
          <cell r="V71" t="str"/>
          <cell r="W71" t="str"/>
          <cell r="X71" t="str"/>
          <cell r="Y71" t="str"/>
        </row>
        <row r="71">
          <cell r="AA71" t="str"/>
          <cell r="AB71" t="str"/>
          <cell r="AC71" t="str"/>
          <cell r="AD71" t="str"/>
          <cell r="AE71" t="str"/>
          <cell r="AF71" t="str"/>
        </row>
        <row r="72">
          <cell r="B72">
            <v>46253</v>
          </cell>
          <cell r="C72" t="str">
            <v>聂新平</v>
          </cell>
          <cell r="D72" t="str">
            <v>原料入库</v>
          </cell>
          <cell r="E72" t="str">
            <v>NO:0000703</v>
          </cell>
          <cell r="F72" t="str">
            <v>西梅</v>
          </cell>
          <cell r="G72" t="str">
            <v>西梅二级</v>
          </cell>
          <cell r="H72">
            <v>432</v>
          </cell>
          <cell r="I72" t="str">
            <v>筐</v>
          </cell>
          <cell r="J72">
            <v>864</v>
          </cell>
          <cell r="K72" t="str"/>
          <cell r="L72" t="str"/>
          <cell r="M72" t="str"/>
          <cell r="N72" t="str">
            <v>自备一次性筐</v>
          </cell>
          <cell r="O72" t="str"/>
          <cell r="P72" t="str"/>
          <cell r="Q72">
            <v>432</v>
          </cell>
          <cell r="R72" t="str">
            <v>苏M*7G796</v>
          </cell>
          <cell r="S72" t="str">
            <v>自备筐</v>
          </cell>
          <cell r="T72" t="str"/>
          <cell r="U72" t="str"/>
          <cell r="V72" t="str"/>
          <cell r="W72" t="str"/>
          <cell r="X72" t="str"/>
          <cell r="Y72" t="str"/>
        </row>
        <row r="72">
          <cell r="AA72" t="str"/>
          <cell r="AB72" t="str"/>
          <cell r="AC72" t="str"/>
          <cell r="AD72" t="str"/>
          <cell r="AE72" t="str"/>
          <cell r="AF72" t="str"/>
        </row>
        <row r="73">
          <cell r="B73">
            <v>46253</v>
          </cell>
          <cell r="C73" t="str">
            <v>聂新平</v>
          </cell>
          <cell r="D73" t="str">
            <v>原料入库</v>
          </cell>
          <cell r="E73" t="str">
            <v>NO:0000703</v>
          </cell>
          <cell r="F73" t="str">
            <v>西梅</v>
          </cell>
          <cell r="G73" t="str">
            <v>西梅三级</v>
          </cell>
          <cell r="H73">
            <v>36</v>
          </cell>
          <cell r="I73" t="str">
            <v>筐</v>
          </cell>
          <cell r="J73">
            <v>72</v>
          </cell>
          <cell r="K73" t="str"/>
          <cell r="L73" t="str"/>
          <cell r="M73" t="str"/>
          <cell r="N73" t="str">
            <v>自备一次性筐</v>
          </cell>
          <cell r="O73" t="str"/>
          <cell r="P73" t="str"/>
          <cell r="Q73">
            <v>36</v>
          </cell>
          <cell r="R73" t="str">
            <v>苏M*7G796</v>
          </cell>
          <cell r="S73" t="str">
            <v>自备筐</v>
          </cell>
          <cell r="T73" t="str"/>
          <cell r="U73" t="str"/>
          <cell r="V73" t="str"/>
          <cell r="W73" t="str"/>
          <cell r="X73" t="str"/>
          <cell r="Y73" t="str"/>
        </row>
        <row r="73">
          <cell r="AA73" t="str"/>
          <cell r="AB73" t="str"/>
          <cell r="AC73" t="str"/>
          <cell r="AD73" t="str"/>
          <cell r="AE73" t="str"/>
          <cell r="AF73" t="str"/>
        </row>
        <row r="74">
          <cell r="B74">
            <v>46253</v>
          </cell>
          <cell r="C74" t="str">
            <v>聂新平</v>
          </cell>
          <cell r="D74" t="str">
            <v>原料入库</v>
          </cell>
          <cell r="E74" t="str">
            <v>NO:0000704</v>
          </cell>
          <cell r="F74" t="str">
            <v>西梅</v>
          </cell>
          <cell r="G74" t="str">
            <v>西梅二级</v>
          </cell>
          <cell r="H74">
            <v>305</v>
          </cell>
          <cell r="I74" t="str">
            <v>筐</v>
          </cell>
          <cell r="J74">
            <v>610</v>
          </cell>
          <cell r="K74" t="str"/>
          <cell r="L74" t="str"/>
          <cell r="M74" t="str"/>
          <cell r="N74" t="str">
            <v>自备一次性筐</v>
          </cell>
          <cell r="O74" t="str"/>
          <cell r="P74" t="str"/>
          <cell r="Q74">
            <v>305</v>
          </cell>
          <cell r="R74" t="str">
            <v>苏M*7G796</v>
          </cell>
          <cell r="S74" t="str">
            <v>自备筐</v>
          </cell>
          <cell r="T74" t="str"/>
          <cell r="U74" t="str"/>
          <cell r="V74" t="str"/>
          <cell r="W74" t="str"/>
          <cell r="X74" t="str"/>
          <cell r="Y74" t="str"/>
        </row>
        <row r="74">
          <cell r="AA74" t="str"/>
          <cell r="AB74" t="str"/>
          <cell r="AC74" t="str"/>
          <cell r="AD74" t="str"/>
          <cell r="AE74" t="str"/>
          <cell r="AF74" t="str"/>
        </row>
        <row r="75">
          <cell r="B75">
            <v>46253</v>
          </cell>
          <cell r="C75" t="str">
            <v>聂新平</v>
          </cell>
          <cell r="D75" t="str">
            <v>原料入库</v>
          </cell>
          <cell r="E75" t="str">
            <v>NO:0000704</v>
          </cell>
          <cell r="F75" t="str">
            <v>西梅</v>
          </cell>
          <cell r="G75" t="str">
            <v>西梅三级</v>
          </cell>
          <cell r="H75">
            <v>163</v>
          </cell>
          <cell r="I75" t="str">
            <v>筐</v>
          </cell>
          <cell r="J75">
            <v>326</v>
          </cell>
          <cell r="K75" t="str"/>
          <cell r="L75" t="str"/>
          <cell r="M75" t="str"/>
          <cell r="N75" t="str">
            <v>自备一次性筐</v>
          </cell>
          <cell r="O75" t="str"/>
          <cell r="P75" t="str"/>
          <cell r="Q75">
            <v>163</v>
          </cell>
          <cell r="R75" t="str">
            <v>苏M*7G796</v>
          </cell>
          <cell r="S75" t="str">
            <v>自备筐</v>
          </cell>
          <cell r="T75" t="str"/>
          <cell r="U75" t="str"/>
          <cell r="V75" t="str"/>
          <cell r="W75" t="str"/>
          <cell r="X75" t="str"/>
          <cell r="Y75" t="str"/>
        </row>
        <row r="75">
          <cell r="AA75" t="str"/>
          <cell r="AB75" t="str"/>
          <cell r="AC75" t="str"/>
          <cell r="AD75" t="str"/>
          <cell r="AE75" t="str"/>
          <cell r="AF75" t="str"/>
        </row>
        <row r="76">
          <cell r="B76">
            <v>46253</v>
          </cell>
          <cell r="C76" t="str">
            <v>聂新平</v>
          </cell>
          <cell r="D76" t="str">
            <v>原料入库</v>
          </cell>
          <cell r="E76" t="str">
            <v>NO:0000705</v>
          </cell>
          <cell r="F76" t="str">
            <v>西梅</v>
          </cell>
          <cell r="G76" t="str">
            <v>西梅一级</v>
          </cell>
          <cell r="H76">
            <v>105</v>
          </cell>
          <cell r="I76" t="str">
            <v>筐</v>
          </cell>
          <cell r="J76">
            <v>735</v>
          </cell>
          <cell r="K76" t="str"/>
          <cell r="L76" t="str"/>
          <cell r="M76" t="str"/>
          <cell r="N76" t="str">
            <v>自备一次性筐</v>
          </cell>
          <cell r="O76" t="str"/>
          <cell r="P76" t="str"/>
          <cell r="Q76">
            <v>105</v>
          </cell>
          <cell r="R76" t="str">
            <v>苏M*7G796</v>
          </cell>
          <cell r="S76" t="str">
            <v>自备筐</v>
          </cell>
          <cell r="T76" t="str"/>
          <cell r="U76" t="str"/>
          <cell r="V76" t="str"/>
          <cell r="W76" t="str"/>
          <cell r="X76" t="str"/>
          <cell r="Y76" t="str"/>
        </row>
        <row r="76">
          <cell r="AA76" t="str"/>
          <cell r="AB76" t="str"/>
          <cell r="AC76" t="str"/>
          <cell r="AD76" t="str"/>
          <cell r="AE76" t="str"/>
          <cell r="AF76" t="str"/>
        </row>
        <row r="77">
          <cell r="B77">
            <v>46253</v>
          </cell>
          <cell r="C77" t="str">
            <v>聂新平</v>
          </cell>
          <cell r="D77" t="str">
            <v>原料入库</v>
          </cell>
          <cell r="E77" t="str">
            <v>NO:0000705</v>
          </cell>
          <cell r="F77" t="str">
            <v>西梅</v>
          </cell>
          <cell r="G77" t="str">
            <v>西梅二级</v>
          </cell>
          <cell r="H77">
            <v>147</v>
          </cell>
          <cell r="I77" t="str">
            <v>筐</v>
          </cell>
          <cell r="J77">
            <v>294</v>
          </cell>
          <cell r="K77" t="str"/>
          <cell r="L77" t="str"/>
          <cell r="M77" t="str"/>
          <cell r="N77" t="str">
            <v>自备一次性筐</v>
          </cell>
          <cell r="O77" t="str"/>
          <cell r="P77" t="str"/>
          <cell r="Q77">
            <v>147</v>
          </cell>
          <cell r="R77" t="str">
            <v>苏M*7G796</v>
          </cell>
          <cell r="S77" t="str">
            <v>自备筐</v>
          </cell>
          <cell r="T77" t="str"/>
          <cell r="U77" t="str"/>
          <cell r="V77" t="str"/>
          <cell r="W77" t="str"/>
          <cell r="X77" t="str"/>
          <cell r="Y77" t="str"/>
        </row>
        <row r="77">
          <cell r="AA77" t="str"/>
          <cell r="AB77" t="str"/>
          <cell r="AC77" t="str"/>
          <cell r="AD77" t="str"/>
          <cell r="AE77" t="str"/>
          <cell r="AF77" t="str"/>
        </row>
        <row r="78">
          <cell r="B78">
            <v>46253</v>
          </cell>
          <cell r="C78" t="str">
            <v>聂新平</v>
          </cell>
          <cell r="D78" t="str">
            <v>原料入库</v>
          </cell>
          <cell r="E78" t="str">
            <v>NO:0000705</v>
          </cell>
          <cell r="F78" t="str">
            <v>西梅</v>
          </cell>
          <cell r="G78" t="str">
            <v>西梅三级</v>
          </cell>
          <cell r="H78">
            <v>107</v>
          </cell>
          <cell r="I78" t="str">
            <v>筐</v>
          </cell>
          <cell r="J78">
            <v>214</v>
          </cell>
          <cell r="K78" t="str"/>
          <cell r="L78" t="str"/>
          <cell r="M78" t="str"/>
          <cell r="N78" t="str">
            <v>自备一次性筐</v>
          </cell>
          <cell r="O78" t="str"/>
          <cell r="P78" t="str"/>
          <cell r="Q78">
            <v>107</v>
          </cell>
          <cell r="R78" t="str">
            <v>苏M*7G796</v>
          </cell>
          <cell r="S78" t="str">
            <v>自备筐</v>
          </cell>
          <cell r="T78" t="str"/>
          <cell r="U78" t="str"/>
          <cell r="V78" t="str"/>
          <cell r="W78" t="str"/>
          <cell r="X78" t="str"/>
          <cell r="Y78" t="str"/>
        </row>
        <row r="78">
          <cell r="AA78" t="str"/>
          <cell r="AB78" t="str"/>
          <cell r="AC78" t="str"/>
          <cell r="AD78" t="str"/>
          <cell r="AE78" t="str"/>
          <cell r="AF78" t="str"/>
        </row>
        <row r="79">
          <cell r="B79">
            <v>46254</v>
          </cell>
          <cell r="C79" t="str">
            <v>聂新平</v>
          </cell>
          <cell r="D79" t="str">
            <v>原料入库</v>
          </cell>
          <cell r="E79" t="str">
            <v>NO:0000706</v>
          </cell>
          <cell r="F79" t="str">
            <v>西梅</v>
          </cell>
          <cell r="G79" t="str">
            <v>西梅二级</v>
          </cell>
          <cell r="H79">
            <v>283</v>
          </cell>
          <cell r="I79" t="str">
            <v>筐</v>
          </cell>
          <cell r="J79">
            <v>566</v>
          </cell>
          <cell r="K79" t="str"/>
          <cell r="L79" t="str"/>
          <cell r="M79" t="str"/>
          <cell r="N79" t="str">
            <v>自备一次性筐</v>
          </cell>
          <cell r="O79" t="str"/>
          <cell r="P79" t="str"/>
          <cell r="Q79">
            <v>283</v>
          </cell>
          <cell r="R79" t="str">
            <v>苏M*7G796</v>
          </cell>
          <cell r="S79" t="str">
            <v>自备筐</v>
          </cell>
          <cell r="T79" t="str"/>
          <cell r="U79" t="str"/>
          <cell r="V79" t="str"/>
          <cell r="W79" t="str"/>
          <cell r="X79" t="str"/>
          <cell r="Y79" t="str"/>
        </row>
        <row r="79">
          <cell r="AA79" t="str"/>
          <cell r="AB79" t="str"/>
          <cell r="AC79" t="str"/>
          <cell r="AD79" t="str"/>
          <cell r="AE79" t="str"/>
          <cell r="AF79" t="str"/>
        </row>
        <row r="80">
          <cell r="B80">
            <v>46254</v>
          </cell>
          <cell r="C80" t="str">
            <v>聂新平</v>
          </cell>
          <cell r="D80" t="str">
            <v>原料入库</v>
          </cell>
          <cell r="E80" t="str">
            <v>NO:0000706</v>
          </cell>
          <cell r="F80" t="str">
            <v>西梅</v>
          </cell>
          <cell r="G80" t="str">
            <v>西梅三级</v>
          </cell>
          <cell r="H80">
            <v>185</v>
          </cell>
          <cell r="I80" t="str">
            <v>筐</v>
          </cell>
          <cell r="J80">
            <v>370</v>
          </cell>
          <cell r="K80" t="str"/>
          <cell r="L80" t="str"/>
          <cell r="M80" t="str"/>
          <cell r="N80" t="str">
            <v>自备一次性筐</v>
          </cell>
          <cell r="O80" t="str"/>
          <cell r="P80" t="str"/>
          <cell r="Q80">
            <v>185</v>
          </cell>
          <cell r="R80" t="str">
            <v>苏M*7G796</v>
          </cell>
          <cell r="S80" t="str">
            <v>自备筐</v>
          </cell>
          <cell r="T80" t="str"/>
          <cell r="U80" t="str"/>
          <cell r="V80" t="str"/>
          <cell r="W80" t="str"/>
          <cell r="X80" t="str"/>
          <cell r="Y80" t="str"/>
        </row>
        <row r="80">
          <cell r="AA80" t="str"/>
          <cell r="AB80" t="str"/>
          <cell r="AC80" t="str"/>
          <cell r="AD80" t="str"/>
          <cell r="AE80" t="str"/>
          <cell r="AF80" t="str"/>
        </row>
        <row r="81">
          <cell r="B81">
            <v>46254</v>
          </cell>
          <cell r="C81" t="str">
            <v>聂新平</v>
          </cell>
          <cell r="D81" t="str">
            <v>原料入库</v>
          </cell>
          <cell r="E81" t="str">
            <v>NO:0000707</v>
          </cell>
          <cell r="F81" t="str">
            <v>西梅</v>
          </cell>
          <cell r="G81" t="str">
            <v>西梅一级</v>
          </cell>
          <cell r="H81">
            <v>16</v>
          </cell>
          <cell r="I81" t="str">
            <v>筐</v>
          </cell>
          <cell r="J81">
            <v>112</v>
          </cell>
          <cell r="K81" t="str"/>
          <cell r="L81" t="str"/>
          <cell r="M81" t="str"/>
          <cell r="N81" t="str">
            <v>自备一次性筐</v>
          </cell>
          <cell r="O81" t="str"/>
          <cell r="P81" t="str"/>
          <cell r="Q81">
            <v>16</v>
          </cell>
          <cell r="R81" t="str">
            <v>苏M*7G796</v>
          </cell>
          <cell r="S81" t="str">
            <v>自备筐</v>
          </cell>
          <cell r="T81" t="str"/>
          <cell r="U81" t="str"/>
          <cell r="V81" t="str"/>
          <cell r="W81" t="str"/>
          <cell r="X81" t="str"/>
          <cell r="Y81" t="str"/>
        </row>
        <row r="81">
          <cell r="AA81" t="str"/>
          <cell r="AB81" t="str"/>
          <cell r="AC81" t="str"/>
          <cell r="AD81" t="str"/>
          <cell r="AE81" t="str"/>
          <cell r="AF81" t="str"/>
        </row>
        <row r="82">
          <cell r="B82">
            <v>46254</v>
          </cell>
          <cell r="C82" t="str">
            <v>聂新平</v>
          </cell>
          <cell r="D82" t="str">
            <v>原料入库</v>
          </cell>
          <cell r="E82" t="str">
            <v>NO:0000707</v>
          </cell>
          <cell r="F82" t="str">
            <v>西梅</v>
          </cell>
          <cell r="G82" t="str">
            <v>西梅三级</v>
          </cell>
          <cell r="H82">
            <v>28</v>
          </cell>
          <cell r="I82" t="str">
            <v>筐</v>
          </cell>
          <cell r="J82">
            <v>56</v>
          </cell>
          <cell r="K82" t="str"/>
          <cell r="L82" t="str"/>
          <cell r="M82" t="str"/>
          <cell r="N82" t="str">
            <v>自备一次性筐</v>
          </cell>
          <cell r="O82" t="str"/>
          <cell r="P82" t="str"/>
          <cell r="Q82">
            <v>28</v>
          </cell>
          <cell r="R82" t="str">
            <v>苏M*7G796</v>
          </cell>
          <cell r="S82" t="str">
            <v>自备筐</v>
          </cell>
          <cell r="T82" t="str"/>
          <cell r="U82" t="str"/>
          <cell r="V82" t="str"/>
          <cell r="W82" t="str"/>
          <cell r="X82" t="str"/>
          <cell r="Y82" t="str"/>
        </row>
        <row r="82">
          <cell r="AA82" t="str"/>
          <cell r="AB82" t="str"/>
          <cell r="AC82" t="str"/>
          <cell r="AD82" t="str"/>
          <cell r="AE82" t="str"/>
          <cell r="AF82" t="str"/>
        </row>
        <row r="83">
          <cell r="B83">
            <v>46254</v>
          </cell>
          <cell r="C83" t="str">
            <v>聂新平</v>
          </cell>
          <cell r="D83" t="str">
            <v>原料入库</v>
          </cell>
          <cell r="E83" t="str">
            <v>NO:0000707</v>
          </cell>
          <cell r="F83" t="str">
            <v>西梅</v>
          </cell>
          <cell r="G83" t="str">
            <v>西梅二级</v>
          </cell>
          <cell r="H83">
            <v>133</v>
          </cell>
          <cell r="I83" t="str">
            <v>筐</v>
          </cell>
          <cell r="J83">
            <v>1197</v>
          </cell>
          <cell r="K83" t="str"/>
          <cell r="L83" t="str"/>
          <cell r="M83" t="str"/>
          <cell r="N83" t="str">
            <v>自备一次性筐</v>
          </cell>
          <cell r="O83" t="str"/>
          <cell r="P83" t="str"/>
          <cell r="Q83">
            <v>133</v>
          </cell>
          <cell r="R83" t="str">
            <v>苏M*7G796</v>
          </cell>
          <cell r="S83" t="str">
            <v>自备筐</v>
          </cell>
          <cell r="T83" t="str"/>
          <cell r="U83" t="str"/>
          <cell r="V83" t="str"/>
          <cell r="W83" t="str"/>
          <cell r="X83" t="str"/>
          <cell r="Y83" t="str"/>
        </row>
        <row r="83">
          <cell r="AA83" t="str"/>
          <cell r="AB83" t="str"/>
          <cell r="AC83" t="str"/>
          <cell r="AD83" t="str"/>
          <cell r="AE83" t="str"/>
          <cell r="AF83" t="str"/>
        </row>
        <row r="84">
          <cell r="B84">
            <v>46254</v>
          </cell>
          <cell r="C84" t="str">
            <v>聂新平</v>
          </cell>
          <cell r="D84" t="str">
            <v>原料入库</v>
          </cell>
          <cell r="E84" t="str">
            <v>NO:0000708</v>
          </cell>
          <cell r="F84" t="str">
            <v>西梅</v>
          </cell>
          <cell r="G84" t="str">
            <v>西梅一级</v>
          </cell>
          <cell r="H84">
            <v>60</v>
          </cell>
          <cell r="I84" t="str">
            <v>筐</v>
          </cell>
          <cell r="J84">
            <v>420</v>
          </cell>
          <cell r="K84" t="str"/>
          <cell r="L84" t="str"/>
          <cell r="M84" t="str"/>
          <cell r="N84" t="str">
            <v>自备一次性筐</v>
          </cell>
          <cell r="O84" t="str"/>
          <cell r="P84" t="str"/>
          <cell r="Q84">
            <v>60</v>
          </cell>
          <cell r="R84" t="str">
            <v>苏M*7G796</v>
          </cell>
          <cell r="S84" t="str">
            <v>自备筐</v>
          </cell>
          <cell r="T84" t="str"/>
          <cell r="U84" t="str"/>
          <cell r="V84" t="str"/>
          <cell r="W84" t="str"/>
          <cell r="X84" t="str"/>
          <cell r="Y84" t="str"/>
        </row>
        <row r="84">
          <cell r="AA84" t="str"/>
          <cell r="AB84" t="str"/>
          <cell r="AC84" t="str"/>
          <cell r="AD84" t="str"/>
          <cell r="AE84" t="str"/>
          <cell r="AF84" t="str"/>
        </row>
        <row r="85">
          <cell r="B85">
            <v>46254</v>
          </cell>
          <cell r="C85" t="str">
            <v>聂新平</v>
          </cell>
          <cell r="D85" t="str">
            <v>原料入库</v>
          </cell>
          <cell r="E85" t="str">
            <v>NO:0000708</v>
          </cell>
          <cell r="F85" t="str">
            <v>西梅</v>
          </cell>
          <cell r="G85" t="str">
            <v>西梅二级</v>
          </cell>
          <cell r="H85">
            <v>185</v>
          </cell>
          <cell r="I85" t="str">
            <v>筐</v>
          </cell>
          <cell r="J85">
            <v>370</v>
          </cell>
          <cell r="K85" t="str"/>
          <cell r="L85" t="str"/>
          <cell r="M85" t="str"/>
          <cell r="N85" t="str">
            <v>自备一次性筐</v>
          </cell>
          <cell r="O85" t="str"/>
          <cell r="P85" t="str"/>
          <cell r="Q85">
            <v>185</v>
          </cell>
          <cell r="R85" t="str">
            <v>苏M*7G796</v>
          </cell>
          <cell r="S85" t="str">
            <v>自备筐</v>
          </cell>
          <cell r="T85" t="str"/>
          <cell r="U85" t="str"/>
          <cell r="V85" t="str"/>
          <cell r="W85" t="str"/>
          <cell r="X85" t="str"/>
          <cell r="Y85" t="str"/>
        </row>
        <row r="85">
          <cell r="AA85" t="str"/>
          <cell r="AB85" t="str"/>
          <cell r="AC85" t="str"/>
          <cell r="AD85" t="str"/>
          <cell r="AE85" t="str"/>
          <cell r="AF85" t="str"/>
        </row>
        <row r="86">
          <cell r="B86">
            <v>46254</v>
          </cell>
          <cell r="C86" t="str">
            <v>聂新平</v>
          </cell>
          <cell r="D86" t="str">
            <v>原料入库</v>
          </cell>
          <cell r="E86" t="str">
            <v>NO:0000708</v>
          </cell>
          <cell r="F86" t="str">
            <v>西梅</v>
          </cell>
          <cell r="G86" t="str">
            <v>西梅三级</v>
          </cell>
          <cell r="H86">
            <v>115</v>
          </cell>
          <cell r="I86" t="str">
            <v>筐</v>
          </cell>
          <cell r="J86">
            <v>230</v>
          </cell>
          <cell r="K86" t="str"/>
          <cell r="L86" t="str"/>
          <cell r="M86" t="str"/>
          <cell r="N86" t="str">
            <v>自备一次性筐</v>
          </cell>
          <cell r="O86" t="str"/>
          <cell r="P86" t="str"/>
          <cell r="Q86">
            <v>115</v>
          </cell>
          <cell r="R86" t="str">
            <v>苏M*7G796</v>
          </cell>
          <cell r="S86" t="str">
            <v>自备筐</v>
          </cell>
          <cell r="T86" t="str"/>
          <cell r="U86" t="str"/>
          <cell r="V86" t="str"/>
          <cell r="W86" t="str"/>
          <cell r="X86" t="str"/>
          <cell r="Y86" t="str"/>
        </row>
        <row r="86">
          <cell r="AA86" t="str"/>
          <cell r="AB86" t="str"/>
          <cell r="AC86" t="str"/>
          <cell r="AD86" t="str"/>
          <cell r="AE86" t="str"/>
          <cell r="AF86" t="str"/>
        </row>
        <row r="87">
          <cell r="B87">
            <v>46255</v>
          </cell>
          <cell r="C87" t="str">
            <v>聂新平</v>
          </cell>
          <cell r="D87" t="str">
            <v>原料入库</v>
          </cell>
          <cell r="E87" t="str">
            <v>NO:0000709</v>
          </cell>
          <cell r="F87" t="str">
            <v>西梅</v>
          </cell>
          <cell r="G87" t="str">
            <v>西梅一级</v>
          </cell>
          <cell r="H87">
            <v>50</v>
          </cell>
          <cell r="I87" t="str">
            <v>筐</v>
          </cell>
          <cell r="J87">
            <v>350</v>
          </cell>
          <cell r="K87" t="str"/>
          <cell r="L87" t="str"/>
          <cell r="M87" t="str"/>
          <cell r="N87" t="str">
            <v>自备一次性筐</v>
          </cell>
          <cell r="O87" t="str"/>
          <cell r="P87" t="str"/>
          <cell r="Q87">
            <v>50</v>
          </cell>
          <cell r="R87" t="str">
            <v>苏M*7G796</v>
          </cell>
          <cell r="S87" t="str">
            <v>自备筐</v>
          </cell>
          <cell r="T87" t="str"/>
          <cell r="U87" t="str"/>
          <cell r="V87" t="str"/>
          <cell r="W87" t="str"/>
          <cell r="X87" t="str"/>
          <cell r="Y87" t="str"/>
        </row>
        <row r="87">
          <cell r="AA87" t="str"/>
          <cell r="AB87" t="str"/>
          <cell r="AC87" t="str"/>
          <cell r="AD87" t="str"/>
          <cell r="AE87" t="str"/>
          <cell r="AF87" t="str"/>
        </row>
        <row r="88">
          <cell r="B88">
            <v>46255</v>
          </cell>
          <cell r="C88" t="str">
            <v>聂新平</v>
          </cell>
          <cell r="D88" t="str">
            <v>原料入库</v>
          </cell>
          <cell r="E88" t="str">
            <v>NO:0000709</v>
          </cell>
          <cell r="F88" t="str">
            <v>西梅</v>
          </cell>
          <cell r="G88" t="str">
            <v>西梅二级</v>
          </cell>
          <cell r="H88">
            <v>28</v>
          </cell>
          <cell r="I88" t="str">
            <v>筐</v>
          </cell>
          <cell r="J88">
            <v>252</v>
          </cell>
          <cell r="K88" t="str"/>
          <cell r="L88" t="str"/>
          <cell r="M88" t="str"/>
          <cell r="N88" t="str">
            <v>自备一次性筐</v>
          </cell>
          <cell r="O88" t="str"/>
          <cell r="P88" t="str"/>
          <cell r="Q88">
            <v>28</v>
          </cell>
          <cell r="R88" t="str">
            <v>苏M*7G796</v>
          </cell>
          <cell r="S88" t="str">
            <v>自备筐</v>
          </cell>
          <cell r="T88" t="str"/>
          <cell r="U88" t="str"/>
          <cell r="V88" t="str"/>
          <cell r="W88" t="str"/>
          <cell r="X88" t="str"/>
          <cell r="Y88" t="str"/>
        </row>
        <row r="88">
          <cell r="AA88" t="str"/>
          <cell r="AB88" t="str"/>
          <cell r="AC88" t="str"/>
          <cell r="AD88" t="str"/>
          <cell r="AE88" t="str"/>
          <cell r="AF88" t="str"/>
        </row>
        <row r="89">
          <cell r="B89">
            <v>46255</v>
          </cell>
          <cell r="C89" t="str">
            <v>聂新平</v>
          </cell>
          <cell r="D89" t="str">
            <v>原料入库</v>
          </cell>
          <cell r="E89" t="str">
            <v>NO:0000709</v>
          </cell>
          <cell r="F89" t="str">
            <v>西梅</v>
          </cell>
          <cell r="G89" t="str">
            <v>西梅二级</v>
          </cell>
          <cell r="H89">
            <v>70</v>
          </cell>
          <cell r="I89" t="str">
            <v>筐</v>
          </cell>
          <cell r="J89">
            <v>140</v>
          </cell>
          <cell r="K89" t="str"/>
          <cell r="L89" t="str"/>
          <cell r="M89" t="str"/>
          <cell r="N89" t="str">
            <v>自备一次性筐</v>
          </cell>
          <cell r="O89" t="str"/>
          <cell r="P89" t="str"/>
          <cell r="Q89">
            <v>70</v>
          </cell>
          <cell r="R89" t="str">
            <v>苏M*7G796</v>
          </cell>
          <cell r="S89" t="str">
            <v>自备筐</v>
          </cell>
          <cell r="T89" t="str"/>
          <cell r="U89" t="str"/>
          <cell r="V89" t="str"/>
          <cell r="W89" t="str"/>
          <cell r="X89" t="str"/>
          <cell r="Y89" t="str"/>
        </row>
        <row r="89">
          <cell r="AA89" t="str"/>
          <cell r="AB89" t="str"/>
          <cell r="AC89" t="str"/>
          <cell r="AD89" t="str"/>
          <cell r="AE89" t="str"/>
          <cell r="AF89" t="str"/>
        </row>
        <row r="90">
          <cell r="B90">
            <v>46255</v>
          </cell>
          <cell r="C90" t="str">
            <v>聂新平</v>
          </cell>
          <cell r="D90" t="str">
            <v>原料入库</v>
          </cell>
          <cell r="E90" t="str">
            <v>NO:0000709</v>
          </cell>
          <cell r="F90" t="str">
            <v>西梅</v>
          </cell>
          <cell r="G90" t="str">
            <v>西梅三级</v>
          </cell>
          <cell r="H90">
            <v>182</v>
          </cell>
          <cell r="I90" t="str">
            <v>筐</v>
          </cell>
          <cell r="J90">
            <v>364</v>
          </cell>
          <cell r="K90" t="str"/>
          <cell r="L90" t="str"/>
          <cell r="M90" t="str"/>
          <cell r="N90" t="str">
            <v>自备一次性筐</v>
          </cell>
          <cell r="O90" t="str"/>
          <cell r="P90" t="str"/>
          <cell r="Q90">
            <v>182</v>
          </cell>
          <cell r="R90" t="str">
            <v>苏M*7G796</v>
          </cell>
          <cell r="S90" t="str">
            <v>自备筐</v>
          </cell>
          <cell r="T90" t="str"/>
          <cell r="U90" t="str"/>
          <cell r="V90" t="str"/>
          <cell r="W90" t="str"/>
          <cell r="X90" t="str"/>
          <cell r="Y90" t="str"/>
        </row>
        <row r="90">
          <cell r="AA90" t="str"/>
          <cell r="AB90" t="str"/>
          <cell r="AC90" t="str"/>
          <cell r="AD90" t="str"/>
          <cell r="AE90" t="str"/>
          <cell r="AF90" t="str"/>
        </row>
        <row r="91">
          <cell r="B91">
            <v>46255</v>
          </cell>
          <cell r="C91" t="str">
            <v>聂新平</v>
          </cell>
          <cell r="D91" t="str">
            <v>原料入库</v>
          </cell>
          <cell r="E91" t="str">
            <v>NO:0000711</v>
          </cell>
          <cell r="F91" t="str">
            <v>西梅</v>
          </cell>
          <cell r="G91" t="str">
            <v>西梅一级</v>
          </cell>
          <cell r="H91">
            <v>95</v>
          </cell>
          <cell r="I91" t="str">
            <v>筐</v>
          </cell>
          <cell r="J91">
            <v>665</v>
          </cell>
          <cell r="K91" t="str"/>
          <cell r="L91" t="str"/>
          <cell r="M91" t="str"/>
          <cell r="N91" t="str">
            <v>自备一次性筐</v>
          </cell>
          <cell r="O91" t="str"/>
          <cell r="P91" t="str"/>
          <cell r="Q91">
            <v>95</v>
          </cell>
          <cell r="R91" t="str">
            <v>新N*SQ607</v>
          </cell>
          <cell r="S91" t="str">
            <v>自备筐</v>
          </cell>
          <cell r="T91" t="str"/>
          <cell r="U91" t="str"/>
          <cell r="V91" t="str"/>
          <cell r="W91" t="str"/>
          <cell r="X91" t="str"/>
          <cell r="Y91" t="str"/>
        </row>
        <row r="91">
          <cell r="AA91" t="str"/>
          <cell r="AB91" t="str"/>
          <cell r="AC91" t="str"/>
          <cell r="AD91" t="str"/>
          <cell r="AE91" t="str"/>
          <cell r="AF91" t="str"/>
        </row>
        <row r="92">
          <cell r="B92">
            <v>46255</v>
          </cell>
          <cell r="C92" t="str">
            <v>聂新平</v>
          </cell>
          <cell r="D92" t="str">
            <v>原料入库</v>
          </cell>
          <cell r="E92" t="str">
            <v>NO:0000711</v>
          </cell>
          <cell r="F92" t="str">
            <v>西梅</v>
          </cell>
          <cell r="G92" t="str">
            <v>西梅二级</v>
          </cell>
          <cell r="H92">
            <v>35</v>
          </cell>
          <cell r="I92" t="str">
            <v>筐</v>
          </cell>
          <cell r="J92">
            <v>315</v>
          </cell>
          <cell r="K92" t="str"/>
          <cell r="L92" t="str"/>
          <cell r="M92" t="str"/>
          <cell r="N92" t="str">
            <v>自备一次性筐</v>
          </cell>
          <cell r="O92" t="str"/>
          <cell r="P92" t="str"/>
          <cell r="Q92">
            <v>35</v>
          </cell>
          <cell r="R92" t="str">
            <v>新N*SQ607</v>
          </cell>
          <cell r="S92" t="str">
            <v>自备筐</v>
          </cell>
          <cell r="T92" t="str"/>
          <cell r="U92" t="str"/>
          <cell r="V92" t="str"/>
          <cell r="W92" t="str"/>
          <cell r="X92" t="str"/>
          <cell r="Y92" t="str"/>
        </row>
        <row r="92">
          <cell r="AA92" t="str"/>
          <cell r="AB92" t="str"/>
          <cell r="AC92" t="str"/>
          <cell r="AD92" t="str"/>
          <cell r="AE92" t="str"/>
          <cell r="AF92" t="str"/>
        </row>
        <row r="93">
          <cell r="B93">
            <v>46255</v>
          </cell>
          <cell r="C93" t="str">
            <v>聂新平</v>
          </cell>
          <cell r="D93" t="str">
            <v>原料入库</v>
          </cell>
          <cell r="E93" t="str">
            <v>NO:0000711</v>
          </cell>
          <cell r="F93" t="str">
            <v>西梅</v>
          </cell>
          <cell r="G93" t="str">
            <v>西梅二级</v>
          </cell>
          <cell r="H93">
            <v>783</v>
          </cell>
          <cell r="I93" t="str">
            <v>筐</v>
          </cell>
          <cell r="J93">
            <v>1566</v>
          </cell>
          <cell r="K93" t="str"/>
          <cell r="L93" t="str"/>
          <cell r="M93" t="str"/>
          <cell r="N93" t="str">
            <v>自备一次性筐</v>
          </cell>
          <cell r="O93" t="str"/>
          <cell r="P93" t="str"/>
          <cell r="Q93">
            <v>783</v>
          </cell>
          <cell r="R93" t="str">
            <v>新N*SQ607</v>
          </cell>
          <cell r="S93" t="str">
            <v>自备筐</v>
          </cell>
          <cell r="T93" t="str"/>
          <cell r="U93" t="str"/>
          <cell r="V93" t="str"/>
          <cell r="W93" t="str"/>
          <cell r="X93" t="str"/>
          <cell r="Y93" t="str"/>
        </row>
        <row r="93">
          <cell r="AA93" t="str"/>
          <cell r="AB93" t="str"/>
          <cell r="AC93" t="str"/>
          <cell r="AD93" t="str"/>
          <cell r="AE93" t="str"/>
          <cell r="AF93" t="str"/>
        </row>
        <row r="94">
          <cell r="B94">
            <v>46255</v>
          </cell>
          <cell r="C94" t="str">
            <v>聂新平</v>
          </cell>
          <cell r="D94" t="str">
            <v>原料入库</v>
          </cell>
          <cell r="E94" t="str">
            <v>NO:0000711</v>
          </cell>
          <cell r="F94" t="str">
            <v>西梅</v>
          </cell>
          <cell r="G94" t="str">
            <v>西梅三级</v>
          </cell>
          <cell r="H94">
            <v>264</v>
          </cell>
          <cell r="I94" t="str">
            <v>筐</v>
          </cell>
          <cell r="J94">
            <v>528</v>
          </cell>
          <cell r="K94" t="str"/>
          <cell r="L94" t="str"/>
          <cell r="M94" t="str"/>
          <cell r="N94" t="str">
            <v>自备一次性筐</v>
          </cell>
          <cell r="O94" t="str"/>
          <cell r="P94" t="str"/>
          <cell r="Q94">
            <v>264</v>
          </cell>
          <cell r="R94" t="str">
            <v>新N*SQ607</v>
          </cell>
          <cell r="S94" t="str">
            <v>自备筐</v>
          </cell>
          <cell r="T94" t="str"/>
          <cell r="U94" t="str"/>
          <cell r="V94" t="str"/>
          <cell r="W94" t="str"/>
          <cell r="X94" t="str"/>
          <cell r="Y94" t="str"/>
        </row>
        <row r="94">
          <cell r="AA94" t="str"/>
          <cell r="AB94" t="str"/>
          <cell r="AC94" t="str"/>
          <cell r="AD94" t="str"/>
          <cell r="AE94" t="str"/>
          <cell r="AF94" t="str"/>
        </row>
        <row r="95">
          <cell r="B95">
            <v>46256</v>
          </cell>
          <cell r="C95" t="str">
            <v>聂新平</v>
          </cell>
          <cell r="D95" t="str">
            <v>原料入库</v>
          </cell>
          <cell r="E95" t="str">
            <v>NO:0000712</v>
          </cell>
          <cell r="F95" t="str">
            <v>西梅</v>
          </cell>
          <cell r="G95" t="str">
            <v>西梅一级</v>
          </cell>
          <cell r="H95">
            <v>27</v>
          </cell>
          <cell r="I95" t="str">
            <v>筐</v>
          </cell>
          <cell r="J95">
            <v>189</v>
          </cell>
          <cell r="K95" t="str"/>
          <cell r="L95" t="str"/>
          <cell r="M95" t="str"/>
          <cell r="N95" t="str">
            <v>自备一次性筐</v>
          </cell>
          <cell r="O95" t="str"/>
          <cell r="P95" t="str"/>
          <cell r="Q95">
            <v>27</v>
          </cell>
          <cell r="R95" t="str">
            <v>苏M*7G796</v>
          </cell>
          <cell r="S95" t="str">
            <v>自备筐</v>
          </cell>
          <cell r="T95" t="str"/>
          <cell r="U95" t="str"/>
          <cell r="V95" t="str"/>
          <cell r="W95" t="str"/>
          <cell r="X95" t="str"/>
          <cell r="Y95" t="str"/>
        </row>
        <row r="95">
          <cell r="AA95" t="str"/>
          <cell r="AB95" t="str"/>
          <cell r="AC95" t="str"/>
          <cell r="AD95" t="str"/>
          <cell r="AE95" t="str"/>
          <cell r="AF95" t="str"/>
        </row>
        <row r="96">
          <cell r="B96">
            <v>46256</v>
          </cell>
          <cell r="C96" t="str">
            <v>聂新平</v>
          </cell>
          <cell r="D96" t="str">
            <v>原料入库</v>
          </cell>
          <cell r="E96" t="str">
            <v>NO:0000712</v>
          </cell>
          <cell r="F96" t="str">
            <v>西梅</v>
          </cell>
          <cell r="G96" t="str">
            <v>西梅二级</v>
          </cell>
          <cell r="H96">
            <v>78</v>
          </cell>
          <cell r="I96" t="str">
            <v>筐</v>
          </cell>
          <cell r="J96">
            <v>936</v>
          </cell>
          <cell r="K96" t="str"/>
          <cell r="L96" t="str"/>
          <cell r="M96" t="str"/>
          <cell r="N96" t="str">
            <v>自备一次性筐</v>
          </cell>
          <cell r="O96" t="str"/>
          <cell r="P96" t="str"/>
          <cell r="Q96">
            <v>78</v>
          </cell>
          <cell r="R96" t="str">
            <v>苏M*7G796</v>
          </cell>
          <cell r="S96" t="str">
            <v>自备筐</v>
          </cell>
          <cell r="T96" t="str"/>
          <cell r="U96" t="str"/>
          <cell r="V96" t="str"/>
          <cell r="W96" t="str"/>
          <cell r="X96" t="str"/>
          <cell r="Y96" t="str"/>
        </row>
        <row r="96">
          <cell r="AA96" t="str"/>
          <cell r="AB96" t="str"/>
          <cell r="AC96" t="str"/>
          <cell r="AD96" t="str"/>
          <cell r="AE96" t="str"/>
          <cell r="AF96" t="str"/>
        </row>
        <row r="97">
          <cell r="B97">
            <v>46256</v>
          </cell>
          <cell r="C97" t="str">
            <v>聂新平</v>
          </cell>
          <cell r="D97" t="str">
            <v>原料入库</v>
          </cell>
          <cell r="E97" t="str">
            <v>NO:0000714</v>
          </cell>
          <cell r="F97" t="str">
            <v>西梅</v>
          </cell>
          <cell r="G97" t="str">
            <v>西梅一级</v>
          </cell>
          <cell r="H97">
            <v>189</v>
          </cell>
          <cell r="I97" t="str">
            <v>筐</v>
          </cell>
          <cell r="J97">
            <v>1323</v>
          </cell>
          <cell r="K97" t="str"/>
          <cell r="L97" t="str"/>
          <cell r="M97" t="str"/>
          <cell r="N97" t="str">
            <v>自备一次性筐</v>
          </cell>
          <cell r="O97" t="str"/>
          <cell r="P97" t="str"/>
          <cell r="Q97">
            <v>189</v>
          </cell>
          <cell r="R97" t="str">
            <v>新N*SQ607</v>
          </cell>
          <cell r="S97" t="str">
            <v>自备筐</v>
          </cell>
          <cell r="T97" t="str"/>
          <cell r="U97" t="str"/>
          <cell r="V97" t="str"/>
          <cell r="W97" t="str"/>
          <cell r="X97" t="str"/>
          <cell r="Y97" t="str"/>
        </row>
        <row r="97">
          <cell r="AA97" t="str"/>
          <cell r="AB97" t="str"/>
          <cell r="AC97" t="str"/>
          <cell r="AD97" t="str"/>
          <cell r="AE97" t="str"/>
          <cell r="AF97" t="str"/>
        </row>
        <row r="98">
          <cell r="B98">
            <v>46256</v>
          </cell>
          <cell r="C98" t="str">
            <v>聂新平</v>
          </cell>
          <cell r="D98" t="str">
            <v>原料入库</v>
          </cell>
          <cell r="E98" t="str">
            <v>NO:0000714</v>
          </cell>
          <cell r="F98" t="str">
            <v>西梅</v>
          </cell>
          <cell r="G98" t="str">
            <v>西梅二级</v>
          </cell>
          <cell r="H98">
            <v>111</v>
          </cell>
          <cell r="I98" t="str">
            <v>筐</v>
          </cell>
          <cell r="J98">
            <v>1332</v>
          </cell>
          <cell r="K98" t="str"/>
          <cell r="L98" t="str"/>
          <cell r="M98" t="str"/>
          <cell r="N98" t="str">
            <v>自备一次性筐</v>
          </cell>
          <cell r="O98" t="str"/>
          <cell r="P98" t="str"/>
          <cell r="Q98">
            <v>111</v>
          </cell>
          <cell r="R98" t="str">
            <v>新N*SQ607</v>
          </cell>
          <cell r="S98" t="str">
            <v>自备筐</v>
          </cell>
          <cell r="T98" t="str"/>
          <cell r="U98" t="str"/>
          <cell r="V98" t="str"/>
          <cell r="W98" t="str"/>
          <cell r="X98" t="str"/>
          <cell r="Y98" t="str"/>
        </row>
        <row r="98">
          <cell r="AA98" t="str"/>
          <cell r="AB98" t="str"/>
          <cell r="AC98" t="str"/>
          <cell r="AD98" t="str"/>
          <cell r="AE98" t="str"/>
          <cell r="AF98" t="str"/>
        </row>
        <row r="99">
          <cell r="B99">
            <v>46256</v>
          </cell>
          <cell r="C99" t="str">
            <v>聂新平</v>
          </cell>
          <cell r="D99" t="str">
            <v>原料入库</v>
          </cell>
          <cell r="E99" t="str">
            <v>NO:0000714</v>
          </cell>
          <cell r="F99" t="str">
            <v>西梅</v>
          </cell>
          <cell r="G99" t="str">
            <v>西梅二级</v>
          </cell>
          <cell r="H99">
            <v>253</v>
          </cell>
          <cell r="I99" t="str">
            <v>筐</v>
          </cell>
          <cell r="J99">
            <v>506</v>
          </cell>
          <cell r="K99" t="str"/>
          <cell r="L99" t="str"/>
          <cell r="M99" t="str"/>
          <cell r="N99" t="str">
            <v>自备一次性筐</v>
          </cell>
          <cell r="O99" t="str"/>
          <cell r="P99" t="str"/>
          <cell r="Q99">
            <v>253</v>
          </cell>
          <cell r="R99" t="str">
            <v>新N*SQ607</v>
          </cell>
          <cell r="S99" t="str">
            <v>自备筐</v>
          </cell>
          <cell r="T99" t="str"/>
          <cell r="U99" t="str"/>
          <cell r="V99" t="str"/>
          <cell r="W99" t="str"/>
          <cell r="X99" t="str"/>
          <cell r="Y99" t="str"/>
        </row>
        <row r="99">
          <cell r="AA99" t="str"/>
          <cell r="AB99" t="str"/>
          <cell r="AC99" t="str"/>
          <cell r="AD99" t="str"/>
          <cell r="AE99" t="str"/>
          <cell r="AF99" t="str"/>
        </row>
        <row r="100">
          <cell r="B100">
            <v>46256</v>
          </cell>
          <cell r="C100" t="str">
            <v>聂新平</v>
          </cell>
          <cell r="D100" t="str">
            <v>原料入库</v>
          </cell>
          <cell r="E100" t="str">
            <v>NO:0000714</v>
          </cell>
          <cell r="F100" t="str">
            <v>西梅</v>
          </cell>
          <cell r="G100" t="str">
            <v>西梅三级</v>
          </cell>
          <cell r="H100">
            <v>408</v>
          </cell>
          <cell r="I100" t="str">
            <v>筐</v>
          </cell>
          <cell r="J100">
            <v>816</v>
          </cell>
          <cell r="K100" t="str"/>
          <cell r="L100" t="str"/>
          <cell r="M100" t="str"/>
          <cell r="N100" t="str">
            <v>自备一次性筐</v>
          </cell>
          <cell r="O100" t="str"/>
          <cell r="P100" t="str"/>
          <cell r="Q100">
            <v>408</v>
          </cell>
          <cell r="R100" t="str">
            <v>新N*SQ607</v>
          </cell>
          <cell r="S100" t="str">
            <v>自备筐</v>
          </cell>
          <cell r="T100" t="str"/>
          <cell r="U100" t="str"/>
          <cell r="V100" t="str"/>
          <cell r="W100" t="str"/>
          <cell r="X100" t="str"/>
          <cell r="Y100" t="str"/>
        </row>
        <row r="100">
          <cell r="AA100" t="str"/>
          <cell r="AB100" t="str"/>
          <cell r="AC100" t="str"/>
          <cell r="AD100" t="str"/>
          <cell r="AE100" t="str"/>
          <cell r="AF100" t="str"/>
        </row>
        <row r="101">
          <cell r="B101">
            <v>46257</v>
          </cell>
          <cell r="C101" t="str">
            <v>聂新平</v>
          </cell>
          <cell r="D101" t="str">
            <v>原料入库</v>
          </cell>
          <cell r="E101" t="str">
            <v>NO:0000716</v>
          </cell>
          <cell r="F101" t="str">
            <v>西梅</v>
          </cell>
          <cell r="G101" t="str">
            <v>西梅一级</v>
          </cell>
          <cell r="H101">
            <v>81</v>
          </cell>
          <cell r="I101" t="str">
            <v>筐</v>
          </cell>
          <cell r="J101">
            <v>567</v>
          </cell>
          <cell r="K101" t="str"/>
          <cell r="L101" t="str"/>
          <cell r="M101" t="str"/>
          <cell r="N101" t="str">
            <v>自备一次性筐</v>
          </cell>
          <cell r="O101" t="str"/>
          <cell r="P101" t="str"/>
          <cell r="Q101">
            <v>81</v>
          </cell>
          <cell r="R101" t="str">
            <v>苏M*7G796</v>
          </cell>
          <cell r="S101" t="str">
            <v>自备筐</v>
          </cell>
          <cell r="T101" t="str"/>
          <cell r="U101" t="str"/>
          <cell r="V101" t="str"/>
          <cell r="W101" t="str"/>
          <cell r="X101" t="str"/>
          <cell r="Y101" t="str"/>
        </row>
        <row r="101">
          <cell r="AA101" t="str"/>
          <cell r="AB101" t="str"/>
          <cell r="AC101" t="str"/>
          <cell r="AD101" t="str"/>
          <cell r="AE101" t="str"/>
          <cell r="AF101" t="str"/>
        </row>
        <row r="102">
          <cell r="B102">
            <v>46257</v>
          </cell>
          <cell r="C102" t="str">
            <v>聂新平</v>
          </cell>
          <cell r="D102" t="str">
            <v>原料入库</v>
          </cell>
          <cell r="E102" t="str">
            <v>NO:0000716</v>
          </cell>
          <cell r="F102" t="str">
            <v>西梅</v>
          </cell>
          <cell r="G102" t="str">
            <v>西梅二级</v>
          </cell>
          <cell r="H102">
            <v>36</v>
          </cell>
          <cell r="I102" t="str">
            <v>筐</v>
          </cell>
          <cell r="J102">
            <v>432</v>
          </cell>
          <cell r="K102" t="str"/>
          <cell r="L102" t="str"/>
          <cell r="M102" t="str"/>
          <cell r="N102" t="str">
            <v>自备一次性筐</v>
          </cell>
          <cell r="O102" t="str"/>
          <cell r="P102" t="str"/>
          <cell r="Q102">
            <v>36</v>
          </cell>
          <cell r="R102" t="str">
            <v>苏M*7G796</v>
          </cell>
          <cell r="S102" t="str">
            <v>自备筐</v>
          </cell>
          <cell r="T102" t="str"/>
          <cell r="U102" t="str"/>
          <cell r="V102" t="str"/>
          <cell r="W102" t="str"/>
          <cell r="X102" t="str"/>
          <cell r="Y102" t="str"/>
        </row>
        <row r="102">
          <cell r="AA102" t="str"/>
          <cell r="AB102" t="str"/>
          <cell r="AC102" t="str"/>
          <cell r="AD102" t="str"/>
          <cell r="AE102" t="str"/>
          <cell r="AF102" t="str"/>
        </row>
        <row r="103">
          <cell r="B103">
            <v>46257</v>
          </cell>
          <cell r="C103" t="str">
            <v>聂新平</v>
          </cell>
          <cell r="D103" t="str">
            <v>原料入库</v>
          </cell>
          <cell r="E103" t="str">
            <v>NO:0000716</v>
          </cell>
          <cell r="F103" t="str">
            <v>西梅</v>
          </cell>
          <cell r="G103" t="str">
            <v>西梅三级</v>
          </cell>
          <cell r="H103">
            <v>13</v>
          </cell>
          <cell r="I103" t="str">
            <v>筐</v>
          </cell>
          <cell r="J103">
            <v>26</v>
          </cell>
          <cell r="K103" t="str"/>
          <cell r="L103" t="str"/>
          <cell r="M103" t="str"/>
          <cell r="N103" t="str">
            <v>自备一次性筐</v>
          </cell>
          <cell r="O103" t="str"/>
          <cell r="P103" t="str"/>
          <cell r="Q103">
            <v>13</v>
          </cell>
          <cell r="R103" t="str">
            <v>苏M*7G796</v>
          </cell>
          <cell r="S103" t="str">
            <v>自备筐</v>
          </cell>
          <cell r="T103" t="str"/>
          <cell r="U103" t="str"/>
          <cell r="V103" t="str"/>
          <cell r="W103" t="str"/>
          <cell r="X103" t="str"/>
          <cell r="Y103" t="str"/>
        </row>
        <row r="103">
          <cell r="AA103" t="str"/>
          <cell r="AB103" t="str"/>
          <cell r="AC103" t="str"/>
          <cell r="AD103" t="str"/>
          <cell r="AE103" t="str"/>
          <cell r="AF103" t="str"/>
        </row>
        <row r="104">
          <cell r="B104">
            <v>46257</v>
          </cell>
          <cell r="C104" t="str">
            <v>聂新平</v>
          </cell>
          <cell r="D104" t="str">
            <v>原料入库</v>
          </cell>
          <cell r="E104" t="str">
            <v>NO:0000717</v>
          </cell>
          <cell r="F104" t="str">
            <v>西梅</v>
          </cell>
          <cell r="G104" t="str">
            <v>西梅一级</v>
          </cell>
          <cell r="H104">
            <v>73</v>
          </cell>
          <cell r="I104" t="str">
            <v>筐</v>
          </cell>
          <cell r="J104">
            <v>511</v>
          </cell>
          <cell r="K104" t="str"/>
          <cell r="L104" t="str"/>
          <cell r="M104" t="str"/>
          <cell r="N104" t="str">
            <v>自备一次性筐</v>
          </cell>
          <cell r="O104" t="str"/>
          <cell r="P104" t="str"/>
          <cell r="Q104">
            <v>73</v>
          </cell>
          <cell r="R104" t="str">
            <v>新N*SQ607</v>
          </cell>
          <cell r="S104" t="str">
            <v>自备筐</v>
          </cell>
          <cell r="T104" t="str"/>
          <cell r="U104" t="str"/>
          <cell r="V104" t="str"/>
          <cell r="W104" t="str"/>
          <cell r="X104" t="str"/>
          <cell r="Y104" t="str"/>
        </row>
        <row r="104">
          <cell r="AA104" t="str"/>
          <cell r="AB104" t="str"/>
          <cell r="AC104" t="str"/>
          <cell r="AD104" t="str"/>
          <cell r="AE104" t="str"/>
          <cell r="AF104" t="str"/>
        </row>
        <row r="105">
          <cell r="B105">
            <v>46257</v>
          </cell>
          <cell r="C105" t="str">
            <v>聂新平</v>
          </cell>
          <cell r="D105" t="str">
            <v>原料入库</v>
          </cell>
          <cell r="E105" t="str">
            <v>NO:0000717</v>
          </cell>
          <cell r="F105" t="str">
            <v>西梅</v>
          </cell>
          <cell r="G105" t="str">
            <v>西梅二级</v>
          </cell>
          <cell r="H105">
            <v>140</v>
          </cell>
          <cell r="I105" t="str">
            <v>筐</v>
          </cell>
          <cell r="J105">
            <v>1680</v>
          </cell>
          <cell r="K105" t="str"/>
          <cell r="L105" t="str"/>
          <cell r="M105" t="str"/>
          <cell r="N105" t="str">
            <v>自备一次性筐</v>
          </cell>
          <cell r="O105" t="str"/>
          <cell r="P105" t="str"/>
          <cell r="Q105">
            <v>140</v>
          </cell>
          <cell r="R105" t="str">
            <v>新N*SQ607</v>
          </cell>
          <cell r="S105" t="str">
            <v>自备筐</v>
          </cell>
          <cell r="T105" t="str"/>
          <cell r="U105" t="str"/>
          <cell r="V105" t="str"/>
          <cell r="W105" t="str"/>
          <cell r="X105" t="str"/>
          <cell r="Y105" t="str"/>
        </row>
        <row r="105">
          <cell r="AA105" t="str"/>
          <cell r="AB105" t="str"/>
          <cell r="AC105" t="str"/>
          <cell r="AD105" t="str"/>
          <cell r="AE105" t="str"/>
          <cell r="AF105" t="str"/>
        </row>
        <row r="106">
          <cell r="B106">
            <v>46257</v>
          </cell>
          <cell r="C106" t="str">
            <v>聂新平</v>
          </cell>
          <cell r="D106" t="str">
            <v>原料入库</v>
          </cell>
          <cell r="E106" t="str">
            <v>NO:0000717</v>
          </cell>
          <cell r="F106" t="str">
            <v>西梅</v>
          </cell>
          <cell r="G106" t="str">
            <v>西梅三级</v>
          </cell>
          <cell r="H106">
            <v>354</v>
          </cell>
          <cell r="I106" t="str">
            <v>筐</v>
          </cell>
          <cell r="J106">
            <v>708</v>
          </cell>
          <cell r="K106" t="str"/>
          <cell r="L106" t="str"/>
          <cell r="M106" t="str"/>
          <cell r="N106" t="str">
            <v>自备一次性筐</v>
          </cell>
          <cell r="O106" t="str"/>
          <cell r="P106" t="str"/>
          <cell r="Q106">
            <v>354</v>
          </cell>
          <cell r="R106" t="str">
            <v>新N*SQ607</v>
          </cell>
          <cell r="S106" t="str">
            <v>自备筐</v>
          </cell>
          <cell r="T106" t="str"/>
          <cell r="U106" t="str"/>
          <cell r="V106" t="str"/>
          <cell r="W106" t="str"/>
          <cell r="X106" t="str"/>
          <cell r="Y106" t="str"/>
        </row>
        <row r="106">
          <cell r="AA106" t="str"/>
          <cell r="AB106" t="str"/>
          <cell r="AC106" t="str"/>
          <cell r="AD106" t="str"/>
          <cell r="AE106" t="str"/>
          <cell r="AF106" t="str"/>
        </row>
        <row r="107">
          <cell r="B107">
            <v>46258</v>
          </cell>
          <cell r="C107" t="str">
            <v>聂新平</v>
          </cell>
          <cell r="D107" t="str">
            <v>原料入库</v>
          </cell>
          <cell r="E107" t="str">
            <v>NO:0000720</v>
          </cell>
          <cell r="F107" t="str">
            <v>西梅</v>
          </cell>
          <cell r="G107" t="str">
            <v>西梅一级</v>
          </cell>
          <cell r="H107">
            <v>81</v>
          </cell>
          <cell r="I107" t="str">
            <v>筐</v>
          </cell>
          <cell r="J107">
            <v>567</v>
          </cell>
          <cell r="K107" t="str"/>
          <cell r="L107" t="str"/>
          <cell r="M107" t="str"/>
          <cell r="N107" t="str">
            <v>自备一次性筐</v>
          </cell>
          <cell r="O107" t="str"/>
          <cell r="P107" t="str"/>
          <cell r="Q107">
            <v>81</v>
          </cell>
          <cell r="R107" t="str">
            <v>苏M*7G796</v>
          </cell>
          <cell r="S107" t="str">
            <v>自备筐</v>
          </cell>
          <cell r="T107" t="str"/>
          <cell r="U107" t="str"/>
          <cell r="V107" t="str"/>
          <cell r="W107" t="str"/>
          <cell r="X107" t="str"/>
          <cell r="Y107" t="str"/>
        </row>
        <row r="107">
          <cell r="AA107" t="str"/>
          <cell r="AB107" t="str"/>
          <cell r="AC107" t="str"/>
          <cell r="AD107" t="str"/>
          <cell r="AE107" t="str"/>
          <cell r="AF107" t="str"/>
        </row>
        <row r="108">
          <cell r="B108">
            <v>46258</v>
          </cell>
          <cell r="C108" t="str">
            <v>聂新平</v>
          </cell>
          <cell r="D108" t="str">
            <v>原料入库</v>
          </cell>
          <cell r="E108" t="str">
            <v>NO:0000720</v>
          </cell>
          <cell r="F108" t="str">
            <v>西梅</v>
          </cell>
          <cell r="G108" t="str">
            <v>西梅二级</v>
          </cell>
          <cell r="H108">
            <v>43</v>
          </cell>
          <cell r="I108" t="str">
            <v>筐</v>
          </cell>
          <cell r="J108">
            <v>516</v>
          </cell>
          <cell r="K108" t="str"/>
          <cell r="L108" t="str"/>
          <cell r="M108" t="str"/>
          <cell r="N108" t="str">
            <v>自备一次性筐</v>
          </cell>
          <cell r="O108" t="str"/>
          <cell r="P108" t="str"/>
          <cell r="Q108">
            <v>43</v>
          </cell>
          <cell r="R108" t="str">
            <v>苏M*7G796</v>
          </cell>
          <cell r="S108" t="str">
            <v>自备筐</v>
          </cell>
          <cell r="T108" t="str"/>
          <cell r="U108" t="str"/>
          <cell r="V108" t="str"/>
          <cell r="W108" t="str"/>
          <cell r="X108" t="str"/>
          <cell r="Y108" t="str"/>
        </row>
        <row r="108">
          <cell r="AA108" t="str"/>
          <cell r="AB108" t="str"/>
          <cell r="AC108" t="str"/>
          <cell r="AD108" t="str"/>
          <cell r="AE108" t="str"/>
          <cell r="AF108" t="str"/>
        </row>
        <row r="109">
          <cell r="B109">
            <v>46258</v>
          </cell>
          <cell r="C109" t="str">
            <v>聂新平</v>
          </cell>
          <cell r="D109" t="str">
            <v>原料入库</v>
          </cell>
          <cell r="E109" t="str">
            <v>NO:0000722</v>
          </cell>
          <cell r="F109" t="str">
            <v>西梅</v>
          </cell>
          <cell r="G109" t="str">
            <v>西梅二级</v>
          </cell>
          <cell r="H109">
            <v>96</v>
          </cell>
          <cell r="I109" t="str">
            <v>筐</v>
          </cell>
          <cell r="J109">
            <v>1152</v>
          </cell>
          <cell r="K109" t="str"/>
          <cell r="L109" t="str"/>
          <cell r="M109" t="str"/>
          <cell r="N109" t="str">
            <v>自备一次性筐</v>
          </cell>
          <cell r="O109" t="str"/>
          <cell r="P109" t="str"/>
          <cell r="Q109">
            <v>96</v>
          </cell>
          <cell r="R109" t="str">
            <v>苏M*7G796</v>
          </cell>
          <cell r="S109" t="str">
            <v>自备筐</v>
          </cell>
          <cell r="T109" t="str"/>
          <cell r="U109" t="str"/>
          <cell r="V109" t="str"/>
          <cell r="W109" t="str"/>
          <cell r="X109" t="str"/>
          <cell r="Y109" t="str"/>
        </row>
        <row r="109">
          <cell r="AA109" t="str"/>
          <cell r="AB109" t="str"/>
          <cell r="AC109" t="str"/>
          <cell r="AD109" t="str"/>
          <cell r="AE109" t="str"/>
          <cell r="AF109" t="str"/>
        </row>
        <row r="110">
          <cell r="B110">
            <v>46258</v>
          </cell>
          <cell r="C110" t="str">
            <v>聂新平</v>
          </cell>
          <cell r="D110" t="str">
            <v>原料入库</v>
          </cell>
          <cell r="E110" t="str">
            <v>NO:0000722</v>
          </cell>
          <cell r="F110" t="str">
            <v>西梅</v>
          </cell>
          <cell r="G110" t="str">
            <v>西梅三级</v>
          </cell>
          <cell r="H110">
            <v>35</v>
          </cell>
          <cell r="I110" t="str">
            <v>筐</v>
          </cell>
          <cell r="J110">
            <v>70</v>
          </cell>
          <cell r="K110" t="str"/>
          <cell r="L110" t="str"/>
          <cell r="M110" t="str"/>
          <cell r="N110" t="str">
            <v>自备一次性筐</v>
          </cell>
          <cell r="O110" t="str"/>
          <cell r="P110" t="str"/>
          <cell r="Q110">
            <v>35</v>
          </cell>
          <cell r="R110" t="str">
            <v>苏M*7G796</v>
          </cell>
          <cell r="S110" t="str">
            <v>自备筐</v>
          </cell>
          <cell r="T110" t="str"/>
          <cell r="U110" t="str"/>
          <cell r="V110" t="str"/>
          <cell r="W110" t="str"/>
          <cell r="X110" t="str"/>
          <cell r="Y110" t="str"/>
        </row>
        <row r="110">
          <cell r="AA110" t="str"/>
          <cell r="AB110" t="str"/>
          <cell r="AC110" t="str"/>
          <cell r="AD110" t="str"/>
          <cell r="AE110" t="str"/>
          <cell r="AF110" t="str"/>
        </row>
        <row r="111">
          <cell r="B111">
            <v>46258</v>
          </cell>
          <cell r="C111" t="str">
            <v>聂新平</v>
          </cell>
          <cell r="D111" t="str">
            <v>原料入库</v>
          </cell>
          <cell r="E111" t="str">
            <v>NO:0000723</v>
          </cell>
          <cell r="F111" t="str">
            <v>西梅</v>
          </cell>
          <cell r="G111" t="str">
            <v>西梅一级</v>
          </cell>
          <cell r="H111">
            <v>112</v>
          </cell>
          <cell r="I111" t="str">
            <v>筐</v>
          </cell>
          <cell r="J111">
            <v>784</v>
          </cell>
          <cell r="K111" t="str"/>
          <cell r="L111" t="str"/>
          <cell r="M111" t="str"/>
          <cell r="N111" t="str">
            <v>自备一次性筐</v>
          </cell>
          <cell r="O111" t="str"/>
          <cell r="P111" t="str"/>
          <cell r="Q111">
            <v>112</v>
          </cell>
          <cell r="R111" t="str">
            <v>苏M*7G796</v>
          </cell>
          <cell r="S111" t="str">
            <v>自备筐</v>
          </cell>
          <cell r="T111" t="str"/>
          <cell r="U111" t="str"/>
          <cell r="V111" t="str"/>
          <cell r="W111" t="str"/>
          <cell r="X111" t="str"/>
          <cell r="Y111" t="str"/>
        </row>
        <row r="111">
          <cell r="AA111" t="str"/>
          <cell r="AB111" t="str"/>
          <cell r="AC111" t="str"/>
          <cell r="AD111" t="str"/>
          <cell r="AE111" t="str"/>
          <cell r="AF111" t="str"/>
        </row>
        <row r="112">
          <cell r="B112">
            <v>46258</v>
          </cell>
          <cell r="C112" t="str">
            <v>聂新平</v>
          </cell>
          <cell r="D112" t="str">
            <v>原料入库</v>
          </cell>
          <cell r="E112" t="str">
            <v>NO:0000723</v>
          </cell>
          <cell r="F112" t="str">
            <v>西梅</v>
          </cell>
          <cell r="G112" t="str">
            <v>西梅二级</v>
          </cell>
          <cell r="H112">
            <v>30</v>
          </cell>
          <cell r="I112" t="str">
            <v>筐</v>
          </cell>
          <cell r="J112">
            <v>360</v>
          </cell>
          <cell r="K112" t="str"/>
          <cell r="L112" t="str"/>
          <cell r="M112" t="str"/>
          <cell r="N112" t="str">
            <v>自备一次性筐</v>
          </cell>
          <cell r="O112" t="str"/>
          <cell r="P112" t="str"/>
          <cell r="Q112">
            <v>30</v>
          </cell>
          <cell r="R112" t="str">
            <v>苏M*7G796</v>
          </cell>
          <cell r="S112" t="str">
            <v>自备筐</v>
          </cell>
          <cell r="T112" t="str"/>
          <cell r="U112" t="str"/>
          <cell r="V112" t="str"/>
          <cell r="W112" t="str"/>
          <cell r="X112" t="str"/>
          <cell r="Y112" t="str"/>
        </row>
        <row r="112">
          <cell r="AA112" t="str"/>
          <cell r="AB112" t="str"/>
          <cell r="AC112" t="str"/>
          <cell r="AD112" t="str"/>
          <cell r="AE112" t="str"/>
          <cell r="AF112" t="str"/>
        </row>
        <row r="113">
          <cell r="B113">
            <v>46259</v>
          </cell>
          <cell r="C113" t="str">
            <v>聂新平</v>
          </cell>
          <cell r="D113" t="str">
            <v>原料入库</v>
          </cell>
          <cell r="E113" t="str">
            <v>NO:0000724</v>
          </cell>
          <cell r="F113" t="str">
            <v>西梅</v>
          </cell>
          <cell r="G113" t="str">
            <v>西梅二级</v>
          </cell>
          <cell r="H113">
            <v>97</v>
          </cell>
          <cell r="I113" t="str">
            <v>筐</v>
          </cell>
          <cell r="J113">
            <v>194</v>
          </cell>
          <cell r="K113" t="str"/>
          <cell r="L113" t="str"/>
          <cell r="M113" t="str"/>
          <cell r="N113" t="str">
            <v>自备一次性筐</v>
          </cell>
          <cell r="O113" t="str"/>
          <cell r="P113" t="str"/>
          <cell r="Q113">
            <v>97</v>
          </cell>
          <cell r="R113" t="str">
            <v>苏M*7G796</v>
          </cell>
          <cell r="S113" t="str">
            <v>自备筐</v>
          </cell>
          <cell r="T113" t="str"/>
          <cell r="U113" t="str"/>
          <cell r="V113" t="str"/>
          <cell r="W113" t="str"/>
          <cell r="X113" t="str"/>
          <cell r="Y113" t="str"/>
        </row>
        <row r="113">
          <cell r="AA113" t="str"/>
          <cell r="AB113" t="str"/>
          <cell r="AC113" t="str"/>
          <cell r="AD113" t="str"/>
          <cell r="AE113" t="str"/>
          <cell r="AF113" t="str"/>
        </row>
        <row r="114">
          <cell r="B114">
            <v>46259</v>
          </cell>
          <cell r="C114" t="str">
            <v>聂新平</v>
          </cell>
          <cell r="D114" t="str">
            <v>原料入库</v>
          </cell>
          <cell r="E114" t="str">
            <v>NO:0000724</v>
          </cell>
          <cell r="F114" t="str">
            <v>西梅</v>
          </cell>
          <cell r="G114" t="str">
            <v>西梅三级</v>
          </cell>
          <cell r="H114">
            <v>371</v>
          </cell>
          <cell r="I114" t="str">
            <v>筐</v>
          </cell>
          <cell r="J114">
            <v>742</v>
          </cell>
          <cell r="K114" t="str"/>
          <cell r="L114" t="str"/>
          <cell r="M114" t="str"/>
          <cell r="N114" t="str">
            <v>自备一次性筐</v>
          </cell>
          <cell r="O114" t="str"/>
          <cell r="P114" t="str"/>
          <cell r="Q114">
            <v>371</v>
          </cell>
          <cell r="R114" t="str">
            <v>苏M*7G796</v>
          </cell>
          <cell r="S114" t="str">
            <v>自备筐</v>
          </cell>
          <cell r="T114" t="str"/>
          <cell r="U114" t="str"/>
          <cell r="V114" t="str"/>
          <cell r="W114" t="str"/>
          <cell r="X114" t="str"/>
          <cell r="Y114" t="str"/>
        </row>
        <row r="114">
          <cell r="AA114" t="str"/>
          <cell r="AB114" t="str"/>
          <cell r="AC114" t="str"/>
          <cell r="AD114" t="str"/>
          <cell r="AE114" t="str"/>
          <cell r="AF114" t="str"/>
        </row>
        <row r="115">
          <cell r="B115">
            <v>46259</v>
          </cell>
          <cell r="C115" t="str">
            <v>聂新平</v>
          </cell>
          <cell r="D115" t="str">
            <v>原料入库</v>
          </cell>
          <cell r="E115" t="str">
            <v>NO:0000724</v>
          </cell>
          <cell r="F115" t="str">
            <v>西梅</v>
          </cell>
          <cell r="G115" t="str">
            <v>西梅二级</v>
          </cell>
          <cell r="H115">
            <v>4</v>
          </cell>
          <cell r="I115" t="str">
            <v>筐</v>
          </cell>
          <cell r="J115">
            <v>48</v>
          </cell>
          <cell r="K115" t="str"/>
          <cell r="L115" t="str"/>
          <cell r="M115" t="str"/>
          <cell r="N115" t="str">
            <v>自备一次性筐</v>
          </cell>
          <cell r="O115" t="str"/>
          <cell r="P115" t="str"/>
          <cell r="Q115">
            <v>4</v>
          </cell>
          <cell r="R115" t="str">
            <v>苏M*7G796</v>
          </cell>
          <cell r="S115" t="str">
            <v>自备筐</v>
          </cell>
          <cell r="T115" t="str"/>
          <cell r="U115" t="str"/>
          <cell r="V115" t="str"/>
          <cell r="W115" t="str"/>
          <cell r="X115" t="str"/>
          <cell r="Y115" t="str"/>
        </row>
        <row r="115">
          <cell r="AA115" t="str"/>
          <cell r="AB115" t="str"/>
          <cell r="AC115" t="str"/>
          <cell r="AD115" t="str"/>
          <cell r="AE115" t="str"/>
          <cell r="AF115" t="str"/>
        </row>
        <row r="116">
          <cell r="B116">
            <v>46259</v>
          </cell>
          <cell r="C116" t="str">
            <v>聂新平</v>
          </cell>
          <cell r="D116" t="str">
            <v>原料入库</v>
          </cell>
          <cell r="E116" t="str">
            <v>NO:0000725</v>
          </cell>
          <cell r="F116" t="str">
            <v>西梅</v>
          </cell>
          <cell r="G116" t="str">
            <v>西梅一级</v>
          </cell>
          <cell r="H116">
            <v>72</v>
          </cell>
          <cell r="I116" t="str">
            <v>筐</v>
          </cell>
          <cell r="J116">
            <v>504</v>
          </cell>
          <cell r="K116" t="str"/>
          <cell r="L116" t="str"/>
          <cell r="M116" t="str"/>
          <cell r="N116" t="str">
            <v>自备一次性筐</v>
          </cell>
          <cell r="O116" t="str"/>
          <cell r="P116" t="str"/>
          <cell r="Q116">
            <v>72</v>
          </cell>
          <cell r="R116" t="str">
            <v>苏M*7G796</v>
          </cell>
          <cell r="S116" t="str">
            <v>自备筐</v>
          </cell>
          <cell r="T116" t="str"/>
          <cell r="U116" t="str"/>
          <cell r="V116" t="str"/>
          <cell r="W116" t="str"/>
          <cell r="X116" t="str"/>
          <cell r="Y116" t="str"/>
        </row>
        <row r="116">
          <cell r="AA116" t="str"/>
          <cell r="AB116" t="str"/>
          <cell r="AC116" t="str"/>
          <cell r="AD116" t="str"/>
          <cell r="AE116" t="str"/>
          <cell r="AF116" t="str"/>
        </row>
        <row r="117">
          <cell r="B117">
            <v>46259</v>
          </cell>
          <cell r="C117" t="str">
            <v>聂新平</v>
          </cell>
          <cell r="D117" t="str">
            <v>原料入库</v>
          </cell>
          <cell r="E117" t="str">
            <v>NO:0000725</v>
          </cell>
          <cell r="F117" t="str">
            <v>西梅</v>
          </cell>
          <cell r="G117" t="str">
            <v>西梅二级</v>
          </cell>
          <cell r="H117">
            <v>238</v>
          </cell>
          <cell r="I117" t="str">
            <v>筐</v>
          </cell>
          <cell r="J117">
            <v>476</v>
          </cell>
          <cell r="K117" t="str"/>
          <cell r="L117" t="str"/>
          <cell r="M117" t="str"/>
          <cell r="N117" t="str">
            <v>自备一次性筐</v>
          </cell>
          <cell r="O117" t="str"/>
          <cell r="P117" t="str"/>
          <cell r="Q117">
            <v>238</v>
          </cell>
          <cell r="R117" t="str">
            <v>苏M*7G796</v>
          </cell>
          <cell r="S117" t="str">
            <v>自备筐</v>
          </cell>
          <cell r="T117" t="str"/>
          <cell r="U117" t="str"/>
          <cell r="V117" t="str"/>
          <cell r="W117" t="str"/>
          <cell r="X117" t="str"/>
          <cell r="Y117" t="str"/>
        </row>
        <row r="117">
          <cell r="AA117" t="str"/>
          <cell r="AB117" t="str"/>
          <cell r="AC117" t="str"/>
          <cell r="AD117" t="str"/>
          <cell r="AE117" t="str"/>
          <cell r="AF117" t="str"/>
        </row>
        <row r="118">
          <cell r="B118">
            <v>46259</v>
          </cell>
          <cell r="C118" t="str">
            <v>聂新平</v>
          </cell>
          <cell r="D118" t="str">
            <v>原料入库</v>
          </cell>
          <cell r="E118" t="str">
            <v>NO:0000726</v>
          </cell>
          <cell r="F118" t="str">
            <v>西梅</v>
          </cell>
          <cell r="G118" t="str">
            <v>西梅一级</v>
          </cell>
          <cell r="H118">
            <v>50</v>
          </cell>
          <cell r="I118" t="str">
            <v>筐</v>
          </cell>
          <cell r="J118">
            <v>350</v>
          </cell>
          <cell r="K118" t="str"/>
          <cell r="L118" t="str"/>
          <cell r="M118" t="str"/>
          <cell r="N118" t="str">
            <v>自备一次性筐</v>
          </cell>
          <cell r="O118" t="str"/>
          <cell r="P118" t="str"/>
          <cell r="Q118">
            <v>50</v>
          </cell>
          <cell r="R118" t="str">
            <v>苏M*7G796</v>
          </cell>
          <cell r="S118" t="str">
            <v>自备筐</v>
          </cell>
          <cell r="T118" t="str"/>
          <cell r="U118" t="str"/>
          <cell r="V118" t="str"/>
          <cell r="W118" t="str"/>
          <cell r="X118" t="str"/>
          <cell r="Y118" t="str"/>
        </row>
        <row r="118">
          <cell r="AA118" t="str"/>
          <cell r="AB118" t="str"/>
          <cell r="AC118" t="str"/>
          <cell r="AD118" t="str"/>
          <cell r="AE118" t="str"/>
          <cell r="AF118" t="str"/>
        </row>
        <row r="119">
          <cell r="B119">
            <v>46259</v>
          </cell>
          <cell r="C119" t="str">
            <v>聂新平</v>
          </cell>
          <cell r="D119" t="str">
            <v>原料入库</v>
          </cell>
          <cell r="E119" t="str">
            <v>NO:0000726</v>
          </cell>
          <cell r="F119" t="str">
            <v>西梅</v>
          </cell>
          <cell r="G119" t="str">
            <v>西梅二级</v>
          </cell>
          <cell r="H119">
            <v>22</v>
          </cell>
          <cell r="I119" t="str">
            <v>筐</v>
          </cell>
          <cell r="J119">
            <v>264</v>
          </cell>
          <cell r="K119" t="str"/>
          <cell r="L119" t="str"/>
          <cell r="M119" t="str"/>
          <cell r="N119" t="str">
            <v>自备一次性筐</v>
          </cell>
          <cell r="O119" t="str"/>
          <cell r="P119" t="str"/>
          <cell r="Q119">
            <v>22</v>
          </cell>
          <cell r="R119" t="str">
            <v>苏M*7G796</v>
          </cell>
          <cell r="S119" t="str">
            <v>自备筐</v>
          </cell>
          <cell r="T119" t="str"/>
          <cell r="U119" t="str"/>
          <cell r="V119" t="str"/>
          <cell r="W119" t="str"/>
          <cell r="X119" t="str"/>
          <cell r="Y119" t="str"/>
        </row>
        <row r="119">
          <cell r="AA119" t="str"/>
          <cell r="AB119" t="str"/>
          <cell r="AC119" t="str"/>
          <cell r="AD119" t="str"/>
          <cell r="AE119" t="str"/>
          <cell r="AF119" t="str"/>
        </row>
        <row r="120">
          <cell r="B120">
            <v>46259</v>
          </cell>
          <cell r="C120" t="str">
            <v>聂新平</v>
          </cell>
          <cell r="D120" t="str">
            <v>原料入库</v>
          </cell>
          <cell r="E120" t="str">
            <v>NO:0000726</v>
          </cell>
          <cell r="F120" t="str">
            <v>西梅</v>
          </cell>
          <cell r="G120" t="str">
            <v>西梅二级</v>
          </cell>
          <cell r="H120">
            <v>288</v>
          </cell>
          <cell r="I120" t="str">
            <v>筐</v>
          </cell>
          <cell r="J120">
            <v>576</v>
          </cell>
          <cell r="K120" t="str"/>
          <cell r="L120" t="str"/>
          <cell r="M120" t="str"/>
          <cell r="N120" t="str">
            <v>自备一次性筐</v>
          </cell>
          <cell r="O120" t="str"/>
          <cell r="P120" t="str"/>
          <cell r="Q120">
            <v>288</v>
          </cell>
          <cell r="R120" t="str">
            <v>苏M*7G796</v>
          </cell>
          <cell r="S120" t="str">
            <v>自备筐</v>
          </cell>
          <cell r="T120" t="str"/>
          <cell r="U120" t="str"/>
          <cell r="V120" t="str"/>
          <cell r="W120" t="str"/>
          <cell r="X120" t="str"/>
          <cell r="Y120" t="str"/>
        </row>
        <row r="120">
          <cell r="AA120" t="str"/>
          <cell r="AB120" t="str"/>
          <cell r="AC120" t="str"/>
          <cell r="AD120" t="str"/>
          <cell r="AE120" t="str"/>
          <cell r="AF120" t="str"/>
        </row>
        <row r="121">
          <cell r="B121">
            <v>46259</v>
          </cell>
          <cell r="C121" t="str">
            <v>聂新平</v>
          </cell>
          <cell r="D121" t="str">
            <v>原料入库</v>
          </cell>
          <cell r="E121" t="str">
            <v>NO:0000726</v>
          </cell>
          <cell r="F121" t="str">
            <v>西梅</v>
          </cell>
          <cell r="G121" t="str">
            <v>西梅三级</v>
          </cell>
          <cell r="H121">
            <v>68</v>
          </cell>
          <cell r="I121" t="str">
            <v>筐</v>
          </cell>
          <cell r="J121">
            <v>136</v>
          </cell>
          <cell r="K121" t="str"/>
          <cell r="L121" t="str"/>
          <cell r="M121" t="str"/>
          <cell r="N121" t="str">
            <v>自备一次性筐</v>
          </cell>
          <cell r="O121" t="str"/>
          <cell r="P121" t="str"/>
          <cell r="Q121">
            <v>68</v>
          </cell>
          <cell r="R121" t="str">
            <v>苏M*7G796</v>
          </cell>
          <cell r="S121" t="str">
            <v>自备筐</v>
          </cell>
          <cell r="T121" t="str"/>
          <cell r="U121" t="str"/>
          <cell r="V121" t="str"/>
          <cell r="W121" t="str"/>
          <cell r="X121" t="str"/>
          <cell r="Y121" t="str"/>
        </row>
        <row r="121">
          <cell r="AA121" t="str"/>
          <cell r="AB121" t="str"/>
          <cell r="AC121" t="str"/>
          <cell r="AD121" t="str"/>
          <cell r="AE121" t="str"/>
          <cell r="AF121" t="str"/>
        </row>
        <row r="122">
          <cell r="B122">
            <v>46259</v>
          </cell>
          <cell r="C122" t="str">
            <v>聂新平</v>
          </cell>
          <cell r="D122" t="str">
            <v>原料入库</v>
          </cell>
          <cell r="E122" t="str">
            <v>NO:0000728</v>
          </cell>
          <cell r="F122" t="str">
            <v>西梅</v>
          </cell>
          <cell r="G122" t="str">
            <v>西梅一级</v>
          </cell>
          <cell r="H122">
            <v>50</v>
          </cell>
          <cell r="I122" t="str">
            <v>筐</v>
          </cell>
          <cell r="J122">
            <v>350</v>
          </cell>
          <cell r="K122" t="str"/>
          <cell r="L122" t="str"/>
          <cell r="M122" t="str"/>
          <cell r="N122" t="str">
            <v>自备一次性筐</v>
          </cell>
          <cell r="O122" t="str"/>
          <cell r="P122" t="str"/>
          <cell r="Q122">
            <v>50</v>
          </cell>
          <cell r="R122" t="str">
            <v>苏M*7G796</v>
          </cell>
          <cell r="S122" t="str">
            <v>自备筐</v>
          </cell>
          <cell r="T122" t="str"/>
          <cell r="U122" t="str"/>
          <cell r="V122" t="str"/>
          <cell r="W122" t="str"/>
          <cell r="X122" t="str"/>
          <cell r="Y122" t="str"/>
        </row>
        <row r="122">
          <cell r="AA122" t="str"/>
          <cell r="AB122" t="str"/>
          <cell r="AC122" t="str"/>
          <cell r="AD122" t="str"/>
          <cell r="AE122" t="str"/>
          <cell r="AF122" t="str"/>
        </row>
        <row r="123">
          <cell r="B123">
            <v>46259</v>
          </cell>
          <cell r="C123" t="str">
            <v>聂新平</v>
          </cell>
          <cell r="D123" t="str">
            <v>原料入库</v>
          </cell>
          <cell r="E123" t="str">
            <v>NO:0000728</v>
          </cell>
          <cell r="F123" t="str">
            <v>西梅</v>
          </cell>
          <cell r="G123" t="str">
            <v>西梅二级</v>
          </cell>
          <cell r="H123">
            <v>12</v>
          </cell>
          <cell r="I123" t="str">
            <v>筐</v>
          </cell>
          <cell r="J123">
            <v>144</v>
          </cell>
          <cell r="K123" t="str"/>
          <cell r="L123" t="str"/>
          <cell r="M123" t="str"/>
          <cell r="N123" t="str">
            <v>自备一次性筐</v>
          </cell>
          <cell r="O123" t="str"/>
          <cell r="P123" t="str"/>
          <cell r="Q123">
            <v>12</v>
          </cell>
          <cell r="R123" t="str">
            <v>苏M*7G796</v>
          </cell>
          <cell r="S123" t="str">
            <v>自备筐</v>
          </cell>
          <cell r="T123" t="str"/>
          <cell r="U123" t="str"/>
          <cell r="V123" t="str"/>
          <cell r="W123" t="str"/>
          <cell r="X123" t="str"/>
          <cell r="Y123" t="str"/>
        </row>
        <row r="123">
          <cell r="AA123" t="str"/>
          <cell r="AB123" t="str"/>
          <cell r="AC123" t="str"/>
          <cell r="AD123" t="str"/>
          <cell r="AE123" t="str"/>
          <cell r="AF123" t="str"/>
        </row>
        <row r="124">
          <cell r="B124">
            <v>46259</v>
          </cell>
          <cell r="C124" t="str">
            <v>聂新平</v>
          </cell>
          <cell r="D124" t="str">
            <v>原料入库</v>
          </cell>
          <cell r="E124" t="str">
            <v>NO:0000728</v>
          </cell>
          <cell r="F124" t="str">
            <v>西梅</v>
          </cell>
          <cell r="G124" t="str">
            <v>西梅二级</v>
          </cell>
          <cell r="H124">
            <v>312</v>
          </cell>
          <cell r="I124" t="str">
            <v>筐</v>
          </cell>
          <cell r="J124">
            <v>624</v>
          </cell>
          <cell r="K124" t="str"/>
          <cell r="L124" t="str"/>
          <cell r="M124" t="str"/>
          <cell r="N124" t="str">
            <v>自备一次性筐</v>
          </cell>
          <cell r="O124" t="str"/>
          <cell r="P124" t="str"/>
          <cell r="Q124">
            <v>312</v>
          </cell>
          <cell r="R124" t="str">
            <v>苏M*7G796</v>
          </cell>
          <cell r="S124" t="str">
            <v>自备筐</v>
          </cell>
          <cell r="T124" t="str"/>
          <cell r="U124" t="str"/>
          <cell r="V124" t="str"/>
          <cell r="W124" t="str"/>
          <cell r="X124" t="str"/>
          <cell r="Y124" t="str"/>
        </row>
        <row r="124">
          <cell r="AA124" t="str"/>
          <cell r="AB124" t="str"/>
          <cell r="AC124" t="str"/>
          <cell r="AD124" t="str"/>
          <cell r="AE124" t="str"/>
          <cell r="AF124" t="str"/>
        </row>
        <row r="125">
          <cell r="B125">
            <v>46260</v>
          </cell>
          <cell r="C125" t="str">
            <v>聂新平</v>
          </cell>
          <cell r="D125" t="str">
            <v>原料入库</v>
          </cell>
          <cell r="E125" t="str">
            <v>NO:0000730</v>
          </cell>
          <cell r="F125" t="str">
            <v>西梅</v>
          </cell>
          <cell r="G125" t="str">
            <v>西梅一级</v>
          </cell>
          <cell r="H125">
            <v>20</v>
          </cell>
          <cell r="I125" t="str">
            <v>筐</v>
          </cell>
          <cell r="J125">
            <v>140</v>
          </cell>
          <cell r="K125" t="str"/>
          <cell r="L125" t="str"/>
          <cell r="M125" t="str"/>
          <cell r="N125" t="str">
            <v>自备一次性筐</v>
          </cell>
          <cell r="O125" t="str"/>
          <cell r="P125" t="str"/>
          <cell r="Q125">
            <v>20</v>
          </cell>
          <cell r="R125" t="str">
            <v>苏M*7G796</v>
          </cell>
          <cell r="S125" t="str">
            <v>自备筐</v>
          </cell>
          <cell r="T125" t="str"/>
          <cell r="U125" t="str"/>
          <cell r="V125" t="str"/>
          <cell r="W125" t="str"/>
          <cell r="X125" t="str"/>
          <cell r="Y125" t="str"/>
        </row>
        <row r="125">
          <cell r="AA125" t="str"/>
          <cell r="AB125" t="str"/>
          <cell r="AC125" t="str"/>
          <cell r="AD125" t="str"/>
          <cell r="AE125" t="str"/>
          <cell r="AF125" t="str"/>
        </row>
        <row r="126">
          <cell r="B126">
            <v>46260</v>
          </cell>
          <cell r="C126" t="str">
            <v>聂新平</v>
          </cell>
          <cell r="D126" t="str">
            <v>原料入库</v>
          </cell>
          <cell r="E126" t="str">
            <v>NO:0000730</v>
          </cell>
          <cell r="F126" t="str">
            <v>西梅</v>
          </cell>
          <cell r="G126" t="str">
            <v>西梅二级</v>
          </cell>
          <cell r="H126">
            <v>222</v>
          </cell>
          <cell r="I126" t="str">
            <v>筐</v>
          </cell>
          <cell r="J126">
            <v>444</v>
          </cell>
          <cell r="K126" t="str"/>
          <cell r="L126" t="str"/>
          <cell r="M126" t="str"/>
          <cell r="N126" t="str">
            <v>自备一次性筐</v>
          </cell>
          <cell r="O126" t="str"/>
          <cell r="P126" t="str"/>
          <cell r="Q126">
            <v>222</v>
          </cell>
          <cell r="R126" t="str">
            <v>苏M*7G796</v>
          </cell>
          <cell r="S126" t="str">
            <v>自备筐</v>
          </cell>
          <cell r="T126" t="str"/>
          <cell r="U126" t="str"/>
          <cell r="V126" t="str"/>
          <cell r="W126" t="str"/>
          <cell r="X126" t="str"/>
          <cell r="Y126" t="str"/>
        </row>
        <row r="126">
          <cell r="AA126" t="str"/>
          <cell r="AB126" t="str"/>
          <cell r="AC126" t="str"/>
          <cell r="AD126" t="str"/>
          <cell r="AE126" t="str"/>
          <cell r="AF126" t="str"/>
        </row>
        <row r="127">
          <cell r="B127">
            <v>46260</v>
          </cell>
          <cell r="C127" t="str">
            <v>聂新平</v>
          </cell>
          <cell r="D127" t="str">
            <v>原料入库</v>
          </cell>
          <cell r="E127" t="str">
            <v>NO:0000730</v>
          </cell>
          <cell r="F127" t="str">
            <v>西梅</v>
          </cell>
          <cell r="G127" t="str">
            <v>西梅三级</v>
          </cell>
          <cell r="H127">
            <v>243</v>
          </cell>
          <cell r="I127" t="str">
            <v>筐</v>
          </cell>
          <cell r="J127">
            <v>486</v>
          </cell>
          <cell r="K127" t="str"/>
          <cell r="L127" t="str"/>
          <cell r="M127" t="str"/>
          <cell r="N127" t="str">
            <v>自备一次性筐</v>
          </cell>
          <cell r="O127" t="str"/>
          <cell r="P127" t="str"/>
          <cell r="Q127">
            <v>243</v>
          </cell>
          <cell r="R127" t="str">
            <v>苏M*7G796</v>
          </cell>
          <cell r="S127" t="str">
            <v>自备筐</v>
          </cell>
          <cell r="T127" t="str"/>
          <cell r="U127" t="str"/>
          <cell r="V127" t="str"/>
          <cell r="W127" t="str"/>
          <cell r="X127" t="str"/>
          <cell r="Y127" t="str"/>
        </row>
        <row r="127">
          <cell r="AA127" t="str"/>
          <cell r="AB127" t="str"/>
          <cell r="AC127" t="str"/>
          <cell r="AD127" t="str"/>
          <cell r="AE127" t="str"/>
          <cell r="AF127" t="str"/>
        </row>
        <row r="128">
          <cell r="B128">
            <v>46260</v>
          </cell>
          <cell r="C128" t="str">
            <v>聂新平</v>
          </cell>
          <cell r="D128" t="str">
            <v>原料入库</v>
          </cell>
          <cell r="E128" t="str">
            <v>NO:0000731</v>
          </cell>
          <cell r="F128" t="str">
            <v>西梅</v>
          </cell>
          <cell r="G128" t="str">
            <v>西梅一级</v>
          </cell>
          <cell r="H128">
            <v>101</v>
          </cell>
          <cell r="I128" t="str">
            <v>筐</v>
          </cell>
          <cell r="J128">
            <v>707</v>
          </cell>
          <cell r="K128" t="str"/>
          <cell r="L128" t="str"/>
          <cell r="M128" t="str"/>
          <cell r="N128" t="str">
            <v>自备一次性筐</v>
          </cell>
          <cell r="O128" t="str"/>
          <cell r="P128" t="str"/>
          <cell r="Q128">
            <v>101</v>
          </cell>
          <cell r="R128" t="str">
            <v>苏M*7G796</v>
          </cell>
          <cell r="S128" t="str">
            <v>自备筐</v>
          </cell>
          <cell r="T128" t="str"/>
          <cell r="U128" t="str"/>
          <cell r="V128" t="str"/>
          <cell r="W128" t="str"/>
          <cell r="X128" t="str"/>
          <cell r="Y128" t="str"/>
        </row>
        <row r="128">
          <cell r="AA128" t="str"/>
          <cell r="AB128" t="str"/>
          <cell r="AC128" t="str"/>
          <cell r="AD128" t="str"/>
          <cell r="AE128" t="str"/>
          <cell r="AF128" t="str"/>
        </row>
        <row r="129">
          <cell r="B129">
            <v>46260</v>
          </cell>
          <cell r="C129" t="str">
            <v>聂新平</v>
          </cell>
          <cell r="D129" t="str">
            <v>原料入库</v>
          </cell>
          <cell r="E129" t="str">
            <v>NO:0000731</v>
          </cell>
          <cell r="F129" t="str">
            <v>西梅</v>
          </cell>
          <cell r="G129" t="str">
            <v>西梅二级</v>
          </cell>
          <cell r="H129">
            <v>24</v>
          </cell>
          <cell r="I129" t="str">
            <v>筐</v>
          </cell>
          <cell r="J129">
            <v>288</v>
          </cell>
          <cell r="K129" t="str"/>
          <cell r="L129" t="str"/>
          <cell r="M129" t="str"/>
          <cell r="N129" t="str">
            <v>自备一次性筐</v>
          </cell>
          <cell r="O129" t="str"/>
          <cell r="P129" t="str"/>
          <cell r="Q129">
            <v>24</v>
          </cell>
          <cell r="R129" t="str">
            <v>苏M*7G796</v>
          </cell>
          <cell r="S129" t="str">
            <v>自备筐</v>
          </cell>
          <cell r="T129" t="str"/>
          <cell r="U129" t="str"/>
          <cell r="V129" t="str"/>
          <cell r="W129" t="str"/>
          <cell r="X129" t="str"/>
          <cell r="Y129" t="str"/>
        </row>
        <row r="129">
          <cell r="AA129" t="str"/>
          <cell r="AB129" t="str"/>
          <cell r="AC129" t="str"/>
          <cell r="AD129" t="str"/>
          <cell r="AE129" t="str"/>
          <cell r="AF129" t="str"/>
        </row>
        <row r="130">
          <cell r="B130">
            <v>46260</v>
          </cell>
          <cell r="C130" t="str">
            <v>聂新平</v>
          </cell>
          <cell r="D130" t="str">
            <v>原料入库</v>
          </cell>
          <cell r="E130" t="str">
            <v>NO:0000731</v>
          </cell>
          <cell r="F130" t="str">
            <v>西梅</v>
          </cell>
          <cell r="G130" t="str">
            <v>西梅二级</v>
          </cell>
          <cell r="H130">
            <v>60</v>
          </cell>
          <cell r="I130" t="str">
            <v>筐</v>
          </cell>
          <cell r="J130">
            <v>120</v>
          </cell>
          <cell r="K130" t="str"/>
          <cell r="L130" t="str"/>
          <cell r="M130" t="str"/>
          <cell r="N130" t="str">
            <v>自备一次性筐</v>
          </cell>
          <cell r="O130" t="str"/>
          <cell r="P130" t="str"/>
          <cell r="Q130">
            <v>60</v>
          </cell>
          <cell r="R130" t="str">
            <v>苏M*7G796</v>
          </cell>
          <cell r="S130" t="str">
            <v>自备筐</v>
          </cell>
          <cell r="T130" t="str"/>
          <cell r="U130" t="str"/>
          <cell r="V130" t="str"/>
          <cell r="W130" t="str"/>
          <cell r="X130" t="str"/>
          <cell r="Y130" t="str"/>
        </row>
        <row r="130">
          <cell r="AA130" t="str"/>
          <cell r="AB130" t="str"/>
          <cell r="AC130" t="str"/>
          <cell r="AD130" t="str"/>
          <cell r="AE130" t="str"/>
          <cell r="AF130" t="str"/>
        </row>
        <row r="131">
          <cell r="B131">
            <v>46260</v>
          </cell>
          <cell r="C131" t="str">
            <v>聂新平</v>
          </cell>
          <cell r="D131" t="str">
            <v>原料入库</v>
          </cell>
          <cell r="E131" t="str">
            <v>NO:0000733</v>
          </cell>
          <cell r="F131" t="str">
            <v>西梅</v>
          </cell>
          <cell r="G131" t="str">
            <v>西梅一级</v>
          </cell>
          <cell r="H131">
            <v>86</v>
          </cell>
          <cell r="I131" t="str">
            <v>筐</v>
          </cell>
          <cell r="J131">
            <v>602</v>
          </cell>
          <cell r="K131" t="str"/>
          <cell r="L131" t="str"/>
          <cell r="M131" t="str"/>
          <cell r="N131" t="str">
            <v>自备一次性筐</v>
          </cell>
          <cell r="O131" t="str"/>
          <cell r="P131" t="str"/>
          <cell r="Q131">
            <v>86</v>
          </cell>
          <cell r="R131" t="str">
            <v>苏M*7G796</v>
          </cell>
          <cell r="S131" t="str">
            <v>自备筐</v>
          </cell>
          <cell r="T131" t="str"/>
          <cell r="U131" t="str"/>
          <cell r="V131" t="str"/>
          <cell r="W131" t="str"/>
          <cell r="X131" t="str"/>
          <cell r="Y131" t="str"/>
        </row>
        <row r="131">
          <cell r="AA131" t="str"/>
          <cell r="AB131" t="str"/>
          <cell r="AC131" t="str"/>
          <cell r="AD131" t="str"/>
          <cell r="AE131" t="str"/>
          <cell r="AF131" t="str"/>
        </row>
        <row r="132">
          <cell r="B132">
            <v>46260</v>
          </cell>
          <cell r="C132" t="str">
            <v>聂新平</v>
          </cell>
          <cell r="D132" t="str">
            <v>原料入库</v>
          </cell>
          <cell r="E132" t="str">
            <v>NO:0000733</v>
          </cell>
          <cell r="F132" t="str">
            <v>西梅</v>
          </cell>
          <cell r="G132" t="str">
            <v>西梅二级</v>
          </cell>
          <cell r="H132">
            <v>54</v>
          </cell>
          <cell r="I132" t="str">
            <v>筐</v>
          </cell>
          <cell r="J132">
            <v>648</v>
          </cell>
          <cell r="K132" t="str"/>
          <cell r="L132" t="str"/>
          <cell r="M132" t="str"/>
          <cell r="N132" t="str">
            <v>自备一次性筐</v>
          </cell>
          <cell r="O132" t="str"/>
          <cell r="P132" t="str"/>
          <cell r="Q132">
            <v>54</v>
          </cell>
          <cell r="R132" t="str">
            <v>苏M*7G796</v>
          </cell>
          <cell r="S132" t="str">
            <v>自备筐</v>
          </cell>
          <cell r="T132" t="str"/>
          <cell r="U132" t="str"/>
          <cell r="V132" t="str"/>
          <cell r="W132" t="str"/>
          <cell r="X132" t="str"/>
          <cell r="Y132" t="str"/>
        </row>
        <row r="132">
          <cell r="AA132" t="str"/>
          <cell r="AB132" t="str"/>
          <cell r="AC132" t="str"/>
          <cell r="AD132" t="str"/>
          <cell r="AE132" t="str"/>
          <cell r="AF132" t="str"/>
        </row>
        <row r="133">
          <cell r="B133">
            <v>46260</v>
          </cell>
          <cell r="C133" t="str">
            <v>聂新平</v>
          </cell>
          <cell r="D133" t="str">
            <v>原料入库</v>
          </cell>
          <cell r="E133" t="str">
            <v>NO:0000733</v>
          </cell>
          <cell r="F133" t="str">
            <v>西梅</v>
          </cell>
          <cell r="G133" t="str">
            <v>西梅三级</v>
          </cell>
          <cell r="H133">
            <v>53</v>
          </cell>
          <cell r="I133" t="str">
            <v>筐</v>
          </cell>
          <cell r="J133">
            <v>106</v>
          </cell>
          <cell r="K133" t="str"/>
          <cell r="L133" t="str"/>
          <cell r="M133" t="str"/>
          <cell r="N133" t="str">
            <v>自备一次性筐</v>
          </cell>
          <cell r="O133" t="str"/>
          <cell r="P133" t="str"/>
          <cell r="Q133">
            <v>53</v>
          </cell>
          <cell r="R133" t="str">
            <v>苏M*7G796</v>
          </cell>
          <cell r="S133" t="str">
            <v>自备筐</v>
          </cell>
          <cell r="T133" t="str"/>
          <cell r="U133" t="str"/>
          <cell r="V133" t="str"/>
          <cell r="W133" t="str"/>
          <cell r="X133" t="str"/>
          <cell r="Y133" t="str"/>
        </row>
        <row r="133">
          <cell r="AA133" t="str"/>
          <cell r="AB133" t="str"/>
          <cell r="AC133" t="str"/>
          <cell r="AD133" t="str"/>
          <cell r="AE133" t="str"/>
          <cell r="AF133" t="str"/>
        </row>
        <row r="134">
          <cell r="B134">
            <v>46260</v>
          </cell>
          <cell r="C134" t="str">
            <v>聂新平</v>
          </cell>
          <cell r="D134" t="str">
            <v>原料入库</v>
          </cell>
          <cell r="E134" t="str">
            <v>NO:0000734</v>
          </cell>
          <cell r="F134" t="str">
            <v>西梅</v>
          </cell>
          <cell r="G134" t="str">
            <v>西梅二级</v>
          </cell>
          <cell r="H134">
            <v>21</v>
          </cell>
          <cell r="I134" t="str">
            <v>筐</v>
          </cell>
          <cell r="J134">
            <v>252</v>
          </cell>
          <cell r="K134" t="str"/>
          <cell r="L134" t="str"/>
          <cell r="M134" t="str"/>
          <cell r="N134" t="str">
            <v>自备一次性筐</v>
          </cell>
          <cell r="O134" t="str"/>
          <cell r="P134" t="str"/>
          <cell r="Q134">
            <v>21</v>
          </cell>
          <cell r="R134" t="str">
            <v>苏M*7G796</v>
          </cell>
          <cell r="S134" t="str">
            <v>自备筐</v>
          </cell>
          <cell r="T134" t="str"/>
          <cell r="U134" t="str"/>
          <cell r="V134" t="str"/>
          <cell r="W134" t="str"/>
          <cell r="X134" t="str"/>
          <cell r="Y134" t="str"/>
        </row>
        <row r="134">
          <cell r="AA134" t="str"/>
          <cell r="AB134" t="str"/>
          <cell r="AC134" t="str"/>
          <cell r="AD134" t="str"/>
          <cell r="AE134" t="str"/>
          <cell r="AF134" t="str"/>
        </row>
        <row r="135">
          <cell r="B135">
            <v>46260</v>
          </cell>
          <cell r="C135" t="str">
            <v>聂新平</v>
          </cell>
          <cell r="D135" t="str">
            <v>原料入库</v>
          </cell>
          <cell r="E135" t="str">
            <v>NO:0000734</v>
          </cell>
          <cell r="F135" t="str">
            <v>西梅</v>
          </cell>
          <cell r="G135" t="str">
            <v>西梅二级</v>
          </cell>
          <cell r="H135">
            <v>216</v>
          </cell>
          <cell r="I135" t="str">
            <v>筐</v>
          </cell>
          <cell r="J135">
            <v>432</v>
          </cell>
          <cell r="K135" t="str"/>
          <cell r="L135" t="str"/>
          <cell r="M135" t="str"/>
          <cell r="N135" t="str">
            <v>自备一次性筐</v>
          </cell>
          <cell r="O135" t="str"/>
          <cell r="P135" t="str"/>
          <cell r="Q135">
            <v>216</v>
          </cell>
          <cell r="R135" t="str">
            <v>苏M*7G796</v>
          </cell>
          <cell r="S135" t="str">
            <v>自备筐</v>
          </cell>
          <cell r="T135" t="str"/>
          <cell r="U135" t="str"/>
          <cell r="V135" t="str"/>
          <cell r="W135" t="str"/>
          <cell r="X135" t="str"/>
          <cell r="Y135" t="str"/>
        </row>
        <row r="135">
          <cell r="AA135" t="str"/>
          <cell r="AB135" t="str"/>
          <cell r="AC135" t="str"/>
          <cell r="AD135" t="str"/>
          <cell r="AE135" t="str"/>
          <cell r="AF135" t="str"/>
        </row>
        <row r="136">
          <cell r="B136">
            <v>46260</v>
          </cell>
          <cell r="C136" t="str">
            <v>聂新平</v>
          </cell>
          <cell r="D136" t="str">
            <v>原料入库</v>
          </cell>
          <cell r="E136" t="str">
            <v>NO:0000734</v>
          </cell>
          <cell r="F136" t="str">
            <v>西梅</v>
          </cell>
          <cell r="G136" t="str">
            <v>西梅三级</v>
          </cell>
          <cell r="H136">
            <v>153</v>
          </cell>
          <cell r="I136" t="str">
            <v>筐</v>
          </cell>
          <cell r="J136">
            <v>306</v>
          </cell>
          <cell r="K136" t="str"/>
          <cell r="L136" t="str"/>
          <cell r="M136" t="str"/>
          <cell r="N136" t="str">
            <v>自备一次性筐</v>
          </cell>
          <cell r="O136" t="str"/>
          <cell r="P136" t="str"/>
          <cell r="Q136">
            <v>153</v>
          </cell>
          <cell r="R136" t="str">
            <v>苏M*7G796</v>
          </cell>
          <cell r="S136" t="str">
            <v>自备筐</v>
          </cell>
          <cell r="T136" t="str"/>
          <cell r="U136" t="str"/>
          <cell r="V136" t="str"/>
          <cell r="W136" t="str"/>
          <cell r="X136" t="str"/>
          <cell r="Y136" t="str"/>
        </row>
        <row r="136">
          <cell r="AA136" t="str"/>
          <cell r="AB136" t="str"/>
          <cell r="AC136" t="str"/>
          <cell r="AD136" t="str"/>
          <cell r="AE136" t="str"/>
          <cell r="AF136" t="str"/>
        </row>
        <row r="137">
          <cell r="B137">
            <v>46261</v>
          </cell>
          <cell r="C137" t="str">
            <v>聂新平</v>
          </cell>
          <cell r="D137" t="str">
            <v>原料入库</v>
          </cell>
          <cell r="E137" t="str">
            <v>NO:0000735</v>
          </cell>
          <cell r="F137" t="str">
            <v>西梅</v>
          </cell>
          <cell r="G137" t="str">
            <v>西梅一级</v>
          </cell>
          <cell r="H137">
            <v>100</v>
          </cell>
          <cell r="I137" t="str">
            <v>筐</v>
          </cell>
          <cell r="J137">
            <v>700</v>
          </cell>
          <cell r="K137" t="str"/>
          <cell r="L137" t="str"/>
          <cell r="M137" t="str"/>
          <cell r="N137" t="str">
            <v>自备一次性筐</v>
          </cell>
          <cell r="O137" t="str"/>
          <cell r="P137" t="str"/>
          <cell r="Q137">
            <v>100</v>
          </cell>
          <cell r="R137" t="str">
            <v>苏M*7G796</v>
          </cell>
          <cell r="S137" t="str">
            <v>自备筐</v>
          </cell>
          <cell r="T137" t="str"/>
          <cell r="U137" t="str"/>
          <cell r="V137" t="str"/>
          <cell r="W137" t="str"/>
          <cell r="X137" t="str"/>
          <cell r="Y137" t="str"/>
        </row>
        <row r="137">
          <cell r="AA137" t="str"/>
          <cell r="AB137" t="str"/>
          <cell r="AC137" t="str"/>
          <cell r="AD137" t="str"/>
          <cell r="AE137" t="str"/>
          <cell r="AF137" t="str"/>
        </row>
        <row r="138">
          <cell r="B138">
            <v>46261</v>
          </cell>
          <cell r="C138" t="str">
            <v>聂新平</v>
          </cell>
          <cell r="D138" t="str">
            <v>原料入库</v>
          </cell>
          <cell r="E138" t="str">
            <v>NO:0000735</v>
          </cell>
          <cell r="F138" t="str">
            <v>西梅</v>
          </cell>
          <cell r="G138" t="str">
            <v>西梅二级</v>
          </cell>
          <cell r="H138">
            <v>42</v>
          </cell>
          <cell r="I138" t="str">
            <v>筐</v>
          </cell>
          <cell r="J138">
            <v>504</v>
          </cell>
          <cell r="K138" t="str"/>
          <cell r="L138" t="str"/>
          <cell r="M138" t="str"/>
          <cell r="N138" t="str">
            <v>自备一次性筐</v>
          </cell>
          <cell r="O138" t="str"/>
          <cell r="P138" t="str"/>
          <cell r="Q138">
            <v>42</v>
          </cell>
          <cell r="R138" t="str">
            <v>苏M*7G796</v>
          </cell>
          <cell r="S138" t="str">
            <v>自备筐</v>
          </cell>
          <cell r="T138" t="str"/>
          <cell r="U138" t="str"/>
          <cell r="V138" t="str"/>
          <cell r="W138" t="str"/>
          <cell r="X138" t="str"/>
          <cell r="Y138" t="str"/>
        </row>
        <row r="138">
          <cell r="AA138" t="str"/>
          <cell r="AB138" t="str"/>
          <cell r="AC138" t="str"/>
          <cell r="AD138" t="str"/>
          <cell r="AE138" t="str"/>
          <cell r="AF138" t="str"/>
        </row>
        <row r="139">
          <cell r="B139">
            <v>46261</v>
          </cell>
          <cell r="C139" t="str">
            <v>聂新平</v>
          </cell>
          <cell r="D139" t="str">
            <v>原料入库</v>
          </cell>
          <cell r="E139" t="str">
            <v>NO:0000736</v>
          </cell>
          <cell r="F139" t="str">
            <v>西梅</v>
          </cell>
          <cell r="G139" t="str">
            <v>西梅一级</v>
          </cell>
          <cell r="H139">
            <v>1</v>
          </cell>
          <cell r="I139" t="str">
            <v>筐</v>
          </cell>
          <cell r="J139">
            <v>7</v>
          </cell>
          <cell r="K139" t="str"/>
          <cell r="L139" t="str"/>
          <cell r="M139" t="str"/>
          <cell r="N139" t="str">
            <v>自备一次性筐</v>
          </cell>
          <cell r="O139" t="str"/>
          <cell r="P139" t="str"/>
          <cell r="Q139">
            <v>1</v>
          </cell>
          <cell r="R139" t="str">
            <v>苏M*7G796</v>
          </cell>
          <cell r="S139" t="str">
            <v>自备筐</v>
          </cell>
          <cell r="T139" t="str"/>
          <cell r="U139" t="str"/>
          <cell r="V139" t="str"/>
          <cell r="W139" t="str"/>
          <cell r="X139" t="str"/>
          <cell r="Y139" t="str"/>
        </row>
        <row r="139">
          <cell r="AA139" t="str"/>
          <cell r="AB139" t="str"/>
          <cell r="AC139" t="str"/>
          <cell r="AD139" t="str"/>
          <cell r="AE139" t="str"/>
          <cell r="AF139" t="str"/>
        </row>
        <row r="140">
          <cell r="B140">
            <v>46261</v>
          </cell>
          <cell r="C140" t="str">
            <v>聂新平</v>
          </cell>
          <cell r="D140" t="str">
            <v>原料入库</v>
          </cell>
          <cell r="E140" t="str">
            <v>NO:0000736</v>
          </cell>
          <cell r="F140" t="str">
            <v>西梅</v>
          </cell>
          <cell r="G140" t="str">
            <v>西梅二级</v>
          </cell>
          <cell r="H140">
            <v>40</v>
          </cell>
          <cell r="I140" t="str">
            <v>筐</v>
          </cell>
          <cell r="J140">
            <v>480</v>
          </cell>
          <cell r="K140" t="str"/>
          <cell r="L140" t="str"/>
          <cell r="M140" t="str"/>
          <cell r="N140" t="str">
            <v>自备一次性筐</v>
          </cell>
          <cell r="O140" t="str"/>
          <cell r="P140" t="str"/>
          <cell r="Q140">
            <v>40</v>
          </cell>
          <cell r="R140" t="str">
            <v>苏M*7G796</v>
          </cell>
          <cell r="S140" t="str">
            <v>自备筐</v>
          </cell>
          <cell r="T140" t="str"/>
          <cell r="U140" t="str"/>
          <cell r="V140" t="str"/>
          <cell r="W140" t="str"/>
          <cell r="X140" t="str"/>
          <cell r="Y140" t="str"/>
        </row>
        <row r="140">
          <cell r="AA140" t="str"/>
          <cell r="AB140" t="str"/>
          <cell r="AC140" t="str"/>
          <cell r="AD140" t="str"/>
          <cell r="AE140" t="str"/>
          <cell r="AF140" t="str"/>
        </row>
        <row r="141">
          <cell r="B141">
            <v>46261</v>
          </cell>
          <cell r="C141" t="str">
            <v>聂新平</v>
          </cell>
          <cell r="D141" t="str">
            <v>原料入库</v>
          </cell>
          <cell r="E141" t="str">
            <v>NO:0000736</v>
          </cell>
          <cell r="F141" t="str">
            <v>西梅</v>
          </cell>
          <cell r="G141" t="str">
            <v>西梅三级</v>
          </cell>
          <cell r="H141">
            <v>107</v>
          </cell>
          <cell r="I141" t="str">
            <v>筐</v>
          </cell>
          <cell r="J141">
            <v>214</v>
          </cell>
          <cell r="K141" t="str"/>
          <cell r="L141" t="str"/>
          <cell r="M141" t="str"/>
          <cell r="N141" t="str">
            <v>自备一次性筐</v>
          </cell>
          <cell r="O141" t="str"/>
          <cell r="P141" t="str"/>
          <cell r="Q141">
            <v>107</v>
          </cell>
          <cell r="R141" t="str">
            <v>苏M*7G796</v>
          </cell>
          <cell r="S141" t="str">
            <v>自备筐</v>
          </cell>
          <cell r="T141" t="str"/>
          <cell r="U141" t="str"/>
          <cell r="V141" t="str"/>
          <cell r="W141" t="str"/>
          <cell r="X141" t="str"/>
          <cell r="Y141" t="str"/>
        </row>
        <row r="141">
          <cell r="AA141" t="str"/>
          <cell r="AB141" t="str"/>
          <cell r="AC141" t="str"/>
          <cell r="AD141" t="str"/>
          <cell r="AE141" t="str"/>
          <cell r="AF141" t="str"/>
        </row>
        <row r="142">
          <cell r="B142">
            <v>46269</v>
          </cell>
          <cell r="C142" t="str">
            <v>马锦祥</v>
          </cell>
          <cell r="D142" t="str">
            <v>原料入库</v>
          </cell>
          <cell r="E142" t="str">
            <v>NO:0000752</v>
          </cell>
          <cell r="F142" t="str">
            <v>香梨</v>
          </cell>
          <cell r="G142" t="str">
            <v>香梨一级</v>
          </cell>
          <cell r="H142">
            <v>266</v>
          </cell>
          <cell r="I142" t="str">
            <v>筐</v>
          </cell>
          <cell r="J142">
            <v>4867.8</v>
          </cell>
          <cell r="K142" t="str"/>
          <cell r="L142" t="str"/>
          <cell r="M142" t="str"/>
          <cell r="N142" t="str">
            <v>公司杂周转筐</v>
          </cell>
          <cell r="O142" t="str"/>
          <cell r="P142" t="str"/>
          <cell r="Q142">
            <v>266</v>
          </cell>
          <cell r="R142" t="str">
            <v>新N*K7V85</v>
          </cell>
          <cell r="S142" t="str">
            <v>公司筐</v>
          </cell>
          <cell r="T142" t="str"/>
          <cell r="U142" t="str"/>
          <cell r="V142" t="str"/>
          <cell r="W142" t="str"/>
          <cell r="X142" t="str"/>
          <cell r="Y142" t="str"/>
        </row>
        <row r="142">
          <cell r="AA142" t="str"/>
          <cell r="AB142" t="str"/>
          <cell r="AC142" t="str"/>
          <cell r="AD142" t="str"/>
          <cell r="AE142" t="str"/>
          <cell r="AF142" t="str"/>
        </row>
        <row r="143">
          <cell r="B143">
            <v>46269</v>
          </cell>
          <cell r="C143" t="str">
            <v>马锦祥</v>
          </cell>
          <cell r="D143" t="str">
            <v>原料入库</v>
          </cell>
          <cell r="E143" t="str">
            <v>NO:0000752</v>
          </cell>
          <cell r="F143" t="str">
            <v>香梨</v>
          </cell>
          <cell r="G143" t="str">
            <v>香梨二级</v>
          </cell>
          <cell r="H143">
            <v>70</v>
          </cell>
          <cell r="I143" t="str">
            <v>筐</v>
          </cell>
          <cell r="J143">
            <v>1561</v>
          </cell>
          <cell r="K143" t="str"/>
          <cell r="L143" t="str"/>
          <cell r="M143" t="str"/>
          <cell r="N143" t="str">
            <v>公司杂周转筐</v>
          </cell>
          <cell r="O143" t="str"/>
          <cell r="P143" t="str"/>
          <cell r="Q143">
            <v>70</v>
          </cell>
          <cell r="R143" t="str">
            <v>新N*K7V85</v>
          </cell>
          <cell r="S143" t="str">
            <v>公司筐</v>
          </cell>
          <cell r="T143" t="str"/>
          <cell r="U143" t="str"/>
          <cell r="V143" t="str"/>
          <cell r="W143" t="str"/>
          <cell r="X143" t="str"/>
          <cell r="Y143" t="str"/>
        </row>
        <row r="143">
          <cell r="AA143" t="str"/>
          <cell r="AB143" t="str"/>
          <cell r="AC143" t="str"/>
          <cell r="AD143" t="str"/>
          <cell r="AE143" t="str"/>
          <cell r="AF143" t="str"/>
        </row>
        <row r="144">
          <cell r="B144">
            <v>46269</v>
          </cell>
          <cell r="C144" t="str">
            <v>马锦祥</v>
          </cell>
          <cell r="D144" t="str">
            <v>原料入库</v>
          </cell>
          <cell r="E144" t="str">
            <v>NO:0000752</v>
          </cell>
          <cell r="F144" t="str">
            <v>香梨</v>
          </cell>
          <cell r="G144" t="str">
            <v>香梨副特</v>
          </cell>
          <cell r="H144">
            <v>21</v>
          </cell>
          <cell r="I144" t="str">
            <v>筐</v>
          </cell>
          <cell r="J144">
            <v>384.3</v>
          </cell>
          <cell r="K144" t="str"/>
          <cell r="L144" t="str"/>
          <cell r="M144" t="str"/>
          <cell r="N144" t="str">
            <v>公司杂周转筐</v>
          </cell>
          <cell r="O144" t="str"/>
          <cell r="P144" t="str"/>
          <cell r="Q144">
            <v>21</v>
          </cell>
          <cell r="R144" t="str">
            <v>新N*K7V85</v>
          </cell>
          <cell r="S144" t="str">
            <v>公司筐</v>
          </cell>
          <cell r="T144" t="str"/>
          <cell r="U144" t="str"/>
          <cell r="V144" t="str"/>
          <cell r="W144" t="str"/>
          <cell r="X144" t="str"/>
          <cell r="Y144" t="str"/>
        </row>
        <row r="144">
          <cell r="AA144" t="str"/>
          <cell r="AB144" t="str"/>
          <cell r="AC144" t="str"/>
          <cell r="AD144" t="str"/>
          <cell r="AE144" t="str"/>
          <cell r="AF144" t="str"/>
        </row>
        <row r="145">
          <cell r="B145">
            <v>46271</v>
          </cell>
          <cell r="C145" t="str">
            <v>麦麦提</v>
          </cell>
          <cell r="D145" t="str">
            <v>原料入库</v>
          </cell>
          <cell r="E145" t="str">
            <v>NO:0000754</v>
          </cell>
          <cell r="F145" t="str">
            <v>香梨</v>
          </cell>
          <cell r="G145" t="str">
            <v>香梨特级</v>
          </cell>
          <cell r="H145">
            <v>280</v>
          </cell>
          <cell r="I145" t="str">
            <v>筐</v>
          </cell>
          <cell r="J145">
            <v>5124</v>
          </cell>
          <cell r="K145" t="str"/>
          <cell r="L145" t="str"/>
          <cell r="M145" t="str"/>
          <cell r="N145" t="str">
            <v>公司红周转筐</v>
          </cell>
          <cell r="O145" t="str"/>
          <cell r="P145" t="str"/>
          <cell r="Q145">
            <v>280</v>
          </cell>
          <cell r="R145" t="str">
            <v>新A*G0554</v>
          </cell>
          <cell r="S145" t="str">
            <v>公司筐</v>
          </cell>
          <cell r="T145" t="str"/>
          <cell r="U145" t="str"/>
          <cell r="V145" t="str"/>
          <cell r="W145" t="str"/>
          <cell r="X145" t="str"/>
          <cell r="Y145" t="str"/>
        </row>
        <row r="145">
          <cell r="AA145" t="str"/>
          <cell r="AB145" t="str"/>
          <cell r="AC145" t="str"/>
          <cell r="AD145" t="str"/>
          <cell r="AE145" t="str"/>
          <cell r="AF145" t="str"/>
        </row>
        <row r="146">
          <cell r="B146">
            <v>46271</v>
          </cell>
          <cell r="C146" t="str">
            <v>麦麦提</v>
          </cell>
          <cell r="D146" t="str">
            <v>原料入库</v>
          </cell>
          <cell r="E146" t="str">
            <v>NO:0000754</v>
          </cell>
          <cell r="F146" t="str">
            <v>香梨</v>
          </cell>
          <cell r="G146" t="str">
            <v>香梨一级</v>
          </cell>
          <cell r="H146">
            <v>194</v>
          </cell>
          <cell r="I146" t="str">
            <v>筐</v>
          </cell>
          <cell r="J146">
            <v>3550.2</v>
          </cell>
          <cell r="K146" t="str"/>
          <cell r="L146" t="str"/>
          <cell r="M146" t="str"/>
          <cell r="N146" t="str">
            <v>公司红周转筐</v>
          </cell>
          <cell r="O146" t="str"/>
          <cell r="P146" t="str"/>
          <cell r="Q146">
            <v>194</v>
          </cell>
          <cell r="R146" t="str">
            <v>新A*G0554</v>
          </cell>
          <cell r="S146" t="str">
            <v>公司筐</v>
          </cell>
          <cell r="T146" t="str"/>
          <cell r="U146" t="str"/>
          <cell r="V146" t="str"/>
          <cell r="W146" t="str"/>
          <cell r="X146" t="str"/>
          <cell r="Y146" t="str"/>
        </row>
        <row r="146">
          <cell r="AA146" t="str"/>
          <cell r="AB146" t="str"/>
          <cell r="AC146" t="str"/>
          <cell r="AD146" t="str"/>
          <cell r="AE146" t="str"/>
          <cell r="AF146" t="str"/>
        </row>
        <row r="147">
          <cell r="B147">
            <v>46271</v>
          </cell>
          <cell r="C147" t="str">
            <v>麦麦提</v>
          </cell>
          <cell r="D147" t="str">
            <v>原料入库</v>
          </cell>
          <cell r="E147" t="str">
            <v>NO:0000754</v>
          </cell>
          <cell r="F147" t="str">
            <v>香梨</v>
          </cell>
          <cell r="G147" t="str">
            <v>香梨二级</v>
          </cell>
          <cell r="H147">
            <v>152</v>
          </cell>
          <cell r="I147" t="str">
            <v>筐</v>
          </cell>
          <cell r="J147">
            <v>3389.6</v>
          </cell>
          <cell r="K147" t="str"/>
          <cell r="L147" t="str"/>
          <cell r="M147" t="str"/>
          <cell r="N147" t="str">
            <v>公司红周转筐</v>
          </cell>
          <cell r="O147" t="str"/>
          <cell r="P147" t="str"/>
          <cell r="Q147">
            <v>152</v>
          </cell>
          <cell r="R147" t="str">
            <v>新A*G0554</v>
          </cell>
          <cell r="S147" t="str">
            <v>公司筐</v>
          </cell>
          <cell r="T147" t="str"/>
          <cell r="U147" t="str"/>
          <cell r="V147" t="str"/>
          <cell r="W147" t="str"/>
          <cell r="X147" t="str"/>
          <cell r="Y147" t="str"/>
        </row>
        <row r="147">
          <cell r="AA147" t="str"/>
          <cell r="AB147" t="str"/>
          <cell r="AC147" t="str"/>
          <cell r="AD147" t="str"/>
          <cell r="AE147" t="str"/>
          <cell r="AF147" t="str"/>
        </row>
        <row r="148">
          <cell r="B148">
            <v>46272</v>
          </cell>
          <cell r="C148" t="str">
            <v>吐尔洪</v>
          </cell>
          <cell r="D148" t="str">
            <v>原料入库</v>
          </cell>
          <cell r="E148" t="str">
            <v>NO:0000756</v>
          </cell>
          <cell r="F148" t="str">
            <v>香梨</v>
          </cell>
          <cell r="G148" t="str">
            <v>香梨特级</v>
          </cell>
          <cell r="H148">
            <v>110</v>
          </cell>
          <cell r="I148" t="str">
            <v>筐</v>
          </cell>
          <cell r="J148">
            <v>2013</v>
          </cell>
          <cell r="K148" t="str"/>
          <cell r="L148" t="str"/>
          <cell r="M148" t="str">
            <v>麦麦提</v>
          </cell>
          <cell r="N148" t="str">
            <v>公司红周转筐</v>
          </cell>
          <cell r="O148" t="str"/>
          <cell r="P148" t="str"/>
          <cell r="Q148">
            <v>110</v>
          </cell>
          <cell r="R148" t="str">
            <v>新N*X8S48</v>
          </cell>
          <cell r="S148" t="str">
            <v>公司筐</v>
          </cell>
          <cell r="T148" t="str"/>
          <cell r="U148" t="str"/>
          <cell r="V148" t="str"/>
          <cell r="W148" t="str"/>
          <cell r="X148" t="str"/>
          <cell r="Y148" t="str"/>
        </row>
        <row r="148">
          <cell r="AA148" t="str"/>
          <cell r="AB148" t="str"/>
          <cell r="AC148" t="str"/>
          <cell r="AD148" t="str"/>
          <cell r="AE148" t="str"/>
          <cell r="AF148" t="str"/>
        </row>
        <row r="149">
          <cell r="B149">
            <v>46272</v>
          </cell>
          <cell r="C149" t="str">
            <v>吐尔洪</v>
          </cell>
          <cell r="D149" t="str">
            <v>原料入库</v>
          </cell>
          <cell r="E149" t="str">
            <v>NO:0000756</v>
          </cell>
          <cell r="F149" t="str">
            <v>香梨</v>
          </cell>
          <cell r="G149" t="str">
            <v>香梨二级</v>
          </cell>
          <cell r="H149">
            <v>21</v>
          </cell>
          <cell r="I149" t="str">
            <v>筐</v>
          </cell>
          <cell r="J149">
            <v>384.3</v>
          </cell>
          <cell r="K149" t="str"/>
          <cell r="L149" t="str"/>
          <cell r="M149" t="str">
            <v>麦麦提</v>
          </cell>
          <cell r="N149" t="str">
            <v>公司红周转筐</v>
          </cell>
          <cell r="O149" t="str"/>
          <cell r="P149" t="str"/>
          <cell r="Q149">
            <v>21</v>
          </cell>
          <cell r="R149" t="str">
            <v>新N*X8S48</v>
          </cell>
          <cell r="S149" t="str">
            <v>公司筐</v>
          </cell>
          <cell r="T149" t="str"/>
          <cell r="U149" t="str"/>
          <cell r="V149" t="str"/>
          <cell r="W149" t="str"/>
          <cell r="X149" t="str"/>
          <cell r="Y149" t="str"/>
        </row>
        <row r="149">
          <cell r="AA149" t="str"/>
          <cell r="AB149" t="str"/>
          <cell r="AC149" t="str"/>
          <cell r="AD149" t="str"/>
          <cell r="AE149" t="str"/>
          <cell r="AF149" t="str"/>
        </row>
        <row r="150">
          <cell r="B150">
            <v>46272</v>
          </cell>
          <cell r="C150" t="str">
            <v>吐尔洪</v>
          </cell>
          <cell r="D150" t="str">
            <v>原料入库</v>
          </cell>
          <cell r="E150" t="str">
            <v>NO:0000756</v>
          </cell>
          <cell r="F150" t="str">
            <v>香梨</v>
          </cell>
          <cell r="G150" t="str">
            <v>香梨二级</v>
          </cell>
          <cell r="H150">
            <v>67</v>
          </cell>
          <cell r="I150" t="str">
            <v>筐</v>
          </cell>
          <cell r="J150">
            <v>1494.1</v>
          </cell>
          <cell r="K150" t="str"/>
          <cell r="L150" t="str"/>
          <cell r="M150" t="str">
            <v>麦麦提</v>
          </cell>
          <cell r="N150" t="str">
            <v>公司红周转筐</v>
          </cell>
          <cell r="O150" t="str"/>
          <cell r="P150" t="str"/>
          <cell r="Q150">
            <v>67</v>
          </cell>
          <cell r="R150" t="str">
            <v>新N*X8S48</v>
          </cell>
          <cell r="S150" t="str">
            <v>公司筐</v>
          </cell>
          <cell r="T150" t="str"/>
          <cell r="U150" t="str"/>
          <cell r="V150" t="str"/>
          <cell r="W150" t="str"/>
          <cell r="X150" t="str"/>
          <cell r="Y150" t="str"/>
        </row>
        <row r="150">
          <cell r="AA150" t="str"/>
          <cell r="AB150" t="str"/>
          <cell r="AC150" t="str"/>
          <cell r="AD150" t="str"/>
          <cell r="AE150" t="str"/>
          <cell r="AF150" t="str"/>
        </row>
        <row r="151">
          <cell r="B151">
            <v>46272</v>
          </cell>
          <cell r="C151" t="str">
            <v>马锦祥</v>
          </cell>
          <cell r="D151" t="str">
            <v>原料入库</v>
          </cell>
          <cell r="E151" t="str">
            <v>NO:0000757</v>
          </cell>
          <cell r="F151" t="str">
            <v>香梨</v>
          </cell>
          <cell r="G151" t="str">
            <v>香梨一级</v>
          </cell>
          <cell r="H151">
            <v>320</v>
          </cell>
          <cell r="I151" t="str">
            <v>筐</v>
          </cell>
          <cell r="J151">
            <v>5856</v>
          </cell>
          <cell r="K151" t="str"/>
          <cell r="L151" t="str"/>
          <cell r="M151" t="str"/>
          <cell r="N151" t="str">
            <v>公司杂周转筐</v>
          </cell>
          <cell r="O151" t="str"/>
          <cell r="P151" t="str"/>
          <cell r="Q151">
            <v>320</v>
          </cell>
          <cell r="R151" t="str">
            <v>新N*K7V85</v>
          </cell>
          <cell r="S151" t="str">
            <v>公司筐</v>
          </cell>
          <cell r="T151" t="str"/>
          <cell r="U151" t="str"/>
          <cell r="V151" t="str"/>
          <cell r="W151" t="str"/>
          <cell r="X151" t="str"/>
          <cell r="Y151" t="str"/>
        </row>
        <row r="151">
          <cell r="AA151" t="str"/>
          <cell r="AB151" t="str"/>
          <cell r="AC151" t="str"/>
          <cell r="AD151" t="str"/>
          <cell r="AE151" t="str"/>
          <cell r="AF151" t="str"/>
        </row>
        <row r="152">
          <cell r="B152">
            <v>46272</v>
          </cell>
          <cell r="C152" t="str">
            <v>马锦祥</v>
          </cell>
          <cell r="D152" t="str">
            <v>原料入库</v>
          </cell>
          <cell r="E152" t="str">
            <v>NO:0000757</v>
          </cell>
          <cell r="F152" t="str">
            <v>香梨</v>
          </cell>
          <cell r="G152" t="str">
            <v>香梨二级</v>
          </cell>
          <cell r="H152">
            <v>64</v>
          </cell>
          <cell r="I152" t="str">
            <v>筐</v>
          </cell>
          <cell r="J152">
            <v>1427.2</v>
          </cell>
          <cell r="K152" t="str"/>
          <cell r="L152" t="str"/>
          <cell r="M152" t="str"/>
          <cell r="N152" t="str">
            <v>公司杂周转筐</v>
          </cell>
          <cell r="O152" t="str"/>
          <cell r="P152" t="str"/>
          <cell r="Q152">
            <v>64</v>
          </cell>
          <cell r="R152" t="str">
            <v>新N*K7V85</v>
          </cell>
          <cell r="S152" t="str">
            <v>公司筐</v>
          </cell>
          <cell r="T152" t="str"/>
          <cell r="U152" t="str"/>
          <cell r="V152" t="str"/>
          <cell r="W152" t="str"/>
          <cell r="X152" t="str"/>
          <cell r="Y152" t="str"/>
        </row>
        <row r="152">
          <cell r="AA152" t="str"/>
          <cell r="AB152" t="str"/>
          <cell r="AC152" t="str"/>
          <cell r="AD152" t="str"/>
          <cell r="AE152" t="str"/>
          <cell r="AF152" t="str"/>
        </row>
        <row r="153">
          <cell r="B153">
            <v>46272</v>
          </cell>
          <cell r="C153" t="str">
            <v>马锦祥</v>
          </cell>
          <cell r="D153" t="str">
            <v>原料入库</v>
          </cell>
          <cell r="E153" t="str">
            <v>NO:0000757</v>
          </cell>
          <cell r="F153" t="str">
            <v>香梨</v>
          </cell>
          <cell r="G153" t="str">
            <v>香梨副特</v>
          </cell>
          <cell r="H153">
            <v>16</v>
          </cell>
          <cell r="I153" t="str">
            <v>筐</v>
          </cell>
          <cell r="J153">
            <v>292.8</v>
          </cell>
          <cell r="K153" t="str"/>
          <cell r="L153" t="str"/>
          <cell r="M153" t="str"/>
          <cell r="N153" t="str">
            <v>公司杂周转筐</v>
          </cell>
          <cell r="O153" t="str"/>
          <cell r="P153" t="str"/>
          <cell r="Q153">
            <v>16</v>
          </cell>
          <cell r="R153" t="str">
            <v>新N*K7V85</v>
          </cell>
          <cell r="S153" t="str">
            <v>公司筐</v>
          </cell>
          <cell r="T153" t="str"/>
          <cell r="U153" t="str"/>
          <cell r="V153" t="str"/>
          <cell r="W153" t="str"/>
          <cell r="X153" t="str"/>
          <cell r="Y153" t="str"/>
        </row>
        <row r="153">
          <cell r="AA153" t="str"/>
          <cell r="AB153" t="str"/>
          <cell r="AC153" t="str"/>
          <cell r="AD153" t="str"/>
          <cell r="AE153" t="str"/>
          <cell r="AF153" t="str"/>
        </row>
        <row r="154">
          <cell r="B154">
            <v>46272</v>
          </cell>
          <cell r="C154" t="str">
            <v>热合曼</v>
          </cell>
          <cell r="D154" t="str">
            <v>原料入库</v>
          </cell>
          <cell r="E154" t="str">
            <v>NO:0000758</v>
          </cell>
          <cell r="F154" t="str">
            <v>香梨</v>
          </cell>
          <cell r="G154" t="str">
            <v>香梨一级</v>
          </cell>
          <cell r="H154">
            <v>129</v>
          </cell>
          <cell r="I154" t="str">
            <v>筐</v>
          </cell>
          <cell r="J154">
            <v>2360.7</v>
          </cell>
          <cell r="K154" t="str"/>
          <cell r="L154" t="str"/>
          <cell r="M154" t="str"/>
          <cell r="N154" t="str">
            <v>公司红周转筐</v>
          </cell>
          <cell r="O154" t="str"/>
          <cell r="P154" t="str"/>
          <cell r="Q154">
            <v>129</v>
          </cell>
          <cell r="R154" t="str">
            <v>新A*G0554</v>
          </cell>
          <cell r="S154" t="str">
            <v>公司筐</v>
          </cell>
          <cell r="T154" t="str"/>
          <cell r="U154" t="str"/>
          <cell r="V154" t="str"/>
          <cell r="W154" t="str"/>
          <cell r="X154" t="str"/>
          <cell r="Y154" t="str"/>
        </row>
        <row r="154">
          <cell r="AA154" t="str"/>
          <cell r="AB154" t="str"/>
          <cell r="AC154" t="str"/>
          <cell r="AD154" t="str"/>
          <cell r="AE154" t="str"/>
          <cell r="AF154" t="str"/>
        </row>
        <row r="155">
          <cell r="B155">
            <v>46272</v>
          </cell>
          <cell r="C155" t="str">
            <v>热合曼</v>
          </cell>
          <cell r="D155" t="str">
            <v>原料入库</v>
          </cell>
          <cell r="E155" t="str">
            <v>NO:0000758</v>
          </cell>
          <cell r="F155" t="str">
            <v>香梨</v>
          </cell>
          <cell r="G155" t="str">
            <v>香梨二级</v>
          </cell>
          <cell r="H155">
            <v>119</v>
          </cell>
          <cell r="I155" t="str">
            <v>筐</v>
          </cell>
          <cell r="J155">
            <v>2653.7</v>
          </cell>
          <cell r="K155" t="str"/>
          <cell r="L155" t="str"/>
          <cell r="M155" t="str"/>
          <cell r="N155" t="str">
            <v>公司红周转筐</v>
          </cell>
          <cell r="O155" t="str"/>
          <cell r="P155" t="str"/>
          <cell r="Q155">
            <v>119</v>
          </cell>
          <cell r="R155" t="str">
            <v>新A*G0554</v>
          </cell>
          <cell r="S155" t="str">
            <v>公司筐</v>
          </cell>
          <cell r="T155" t="str"/>
          <cell r="U155" t="str"/>
          <cell r="V155" t="str"/>
          <cell r="W155" t="str"/>
          <cell r="X155" t="str"/>
          <cell r="Y155" t="str"/>
        </row>
        <row r="155">
          <cell r="AA155" t="str"/>
          <cell r="AB155" t="str"/>
          <cell r="AC155" t="str"/>
          <cell r="AD155" t="str"/>
          <cell r="AE155" t="str"/>
          <cell r="AF155" t="str"/>
        </row>
        <row r="156">
          <cell r="B156">
            <v>46272</v>
          </cell>
          <cell r="C156" t="str">
            <v>热合曼</v>
          </cell>
          <cell r="D156" t="str">
            <v>原料入库</v>
          </cell>
          <cell r="E156" t="str">
            <v>NO:0000758</v>
          </cell>
          <cell r="F156" t="str">
            <v>香梨</v>
          </cell>
          <cell r="G156" t="str">
            <v>香梨副特</v>
          </cell>
          <cell r="H156">
            <v>262</v>
          </cell>
          <cell r="I156" t="str">
            <v>筐</v>
          </cell>
          <cell r="J156">
            <v>5056.6</v>
          </cell>
          <cell r="K156" t="str"/>
          <cell r="L156" t="str"/>
          <cell r="M156" t="str"/>
          <cell r="N156" t="str">
            <v>公司红周转筐</v>
          </cell>
          <cell r="O156" t="str"/>
          <cell r="P156" t="str"/>
          <cell r="Q156">
            <v>262</v>
          </cell>
          <cell r="R156" t="str">
            <v>新A*G0554</v>
          </cell>
          <cell r="S156" t="str">
            <v>公司筐</v>
          </cell>
          <cell r="T156" t="str"/>
          <cell r="U156" t="str"/>
          <cell r="V156" t="str"/>
          <cell r="W156" t="str"/>
          <cell r="X156" t="str"/>
          <cell r="Y156" t="str"/>
        </row>
        <row r="156">
          <cell r="AA156" t="str"/>
          <cell r="AB156" t="str"/>
          <cell r="AC156" t="str"/>
          <cell r="AD156" t="str"/>
          <cell r="AE156" t="str"/>
          <cell r="AF156" t="str"/>
        </row>
        <row r="157">
          <cell r="B157">
            <v>46273</v>
          </cell>
          <cell r="C157" t="str">
            <v>贾建国</v>
          </cell>
          <cell r="D157" t="str">
            <v>原料入库</v>
          </cell>
          <cell r="E157" t="str">
            <v>NO:0000760</v>
          </cell>
          <cell r="F157" t="str">
            <v>香梨</v>
          </cell>
          <cell r="G157" t="str">
            <v>香梨副特</v>
          </cell>
          <cell r="H157">
            <v>144</v>
          </cell>
          <cell r="I157" t="str">
            <v>筐</v>
          </cell>
          <cell r="J157">
            <v>2779.2</v>
          </cell>
          <cell r="K157" t="str"/>
          <cell r="L157" t="str"/>
          <cell r="M157" t="str"/>
          <cell r="N157" t="str">
            <v>自备一次性筐</v>
          </cell>
          <cell r="O157" t="str"/>
          <cell r="P157" t="str"/>
          <cell r="Q157">
            <v>144</v>
          </cell>
          <cell r="R157" t="str">
            <v>豫Q*H5591</v>
          </cell>
          <cell r="S157" t="str">
            <v>自备筐</v>
          </cell>
          <cell r="T157" t="str"/>
          <cell r="U157" t="str"/>
          <cell r="V157" t="str"/>
          <cell r="W157" t="str"/>
          <cell r="X157" t="str"/>
          <cell r="Y157" t="str"/>
        </row>
        <row r="157">
          <cell r="AA157" t="str"/>
          <cell r="AB157" t="str"/>
          <cell r="AC157" t="str"/>
          <cell r="AD157" t="str"/>
          <cell r="AE157" t="str"/>
          <cell r="AF157" t="str"/>
        </row>
        <row r="158">
          <cell r="B158">
            <v>46273</v>
          </cell>
          <cell r="C158" t="str">
            <v>贾建国</v>
          </cell>
          <cell r="D158" t="str">
            <v>原料入库</v>
          </cell>
          <cell r="E158" t="str">
            <v>NO:0000760</v>
          </cell>
          <cell r="F158" t="str">
            <v>香梨</v>
          </cell>
          <cell r="G158" t="str">
            <v>香梨二级</v>
          </cell>
          <cell r="H158">
            <v>24</v>
          </cell>
          <cell r="I158" t="str">
            <v>筐</v>
          </cell>
          <cell r="J158">
            <v>540</v>
          </cell>
          <cell r="K158" t="str"/>
          <cell r="L158" t="str"/>
          <cell r="M158" t="str"/>
          <cell r="N158" t="str">
            <v>自备杂周转筐</v>
          </cell>
          <cell r="O158" t="str"/>
          <cell r="P158" t="str"/>
          <cell r="Q158">
            <v>24</v>
          </cell>
          <cell r="R158" t="str">
            <v>豫Q*H5591</v>
          </cell>
          <cell r="S158" t="str">
            <v>自备筐</v>
          </cell>
          <cell r="T158" t="str"/>
          <cell r="U158" t="str"/>
          <cell r="V158" t="str"/>
          <cell r="W158" t="str"/>
          <cell r="X158" t="str"/>
          <cell r="Y158" t="str"/>
        </row>
        <row r="158">
          <cell r="AA158" t="str"/>
          <cell r="AB158" t="str"/>
          <cell r="AC158" t="str"/>
          <cell r="AD158" t="str"/>
          <cell r="AE158" t="str"/>
          <cell r="AF158" t="str"/>
        </row>
        <row r="159">
          <cell r="B159">
            <v>46274</v>
          </cell>
          <cell r="C159" t="str">
            <v>吐尔洪</v>
          </cell>
          <cell r="D159" t="str">
            <v>原料入库</v>
          </cell>
          <cell r="E159" t="str">
            <v>NO:0000762</v>
          </cell>
          <cell r="F159" t="str">
            <v>香梨</v>
          </cell>
          <cell r="G159" t="str">
            <v>香梨特级</v>
          </cell>
          <cell r="H159">
            <v>91</v>
          </cell>
          <cell r="I159" t="str">
            <v>筐</v>
          </cell>
          <cell r="J159">
            <v>1665.3</v>
          </cell>
          <cell r="K159" t="str"/>
          <cell r="L159" t="str"/>
          <cell r="M159" t="str">
            <v>麦麦提</v>
          </cell>
          <cell r="N159" t="str">
            <v>公司红周转筐</v>
          </cell>
          <cell r="O159" t="str"/>
          <cell r="P159" t="str"/>
          <cell r="Q159">
            <v>91</v>
          </cell>
          <cell r="R159" t="str">
            <v>新N*X8S48</v>
          </cell>
          <cell r="S159" t="str">
            <v>公司筐</v>
          </cell>
          <cell r="T159" t="str"/>
          <cell r="U159" t="str"/>
          <cell r="V159" t="str"/>
          <cell r="W159" t="str"/>
          <cell r="X159" t="str"/>
          <cell r="Y159" t="str"/>
        </row>
        <row r="159">
          <cell r="AA159" t="str"/>
          <cell r="AB159" t="str"/>
          <cell r="AC159" t="str"/>
          <cell r="AD159" t="str"/>
          <cell r="AE159" t="str"/>
          <cell r="AF159" t="str"/>
        </row>
        <row r="160">
          <cell r="B160">
            <v>46274</v>
          </cell>
          <cell r="C160" t="str">
            <v>吐尔洪</v>
          </cell>
          <cell r="D160" t="str">
            <v>原料入库</v>
          </cell>
          <cell r="E160" t="str">
            <v>NO:0000762</v>
          </cell>
          <cell r="F160" t="str">
            <v>香梨</v>
          </cell>
          <cell r="G160" t="str">
            <v>香梨一级</v>
          </cell>
          <cell r="H160">
            <v>79</v>
          </cell>
          <cell r="I160" t="str">
            <v>筐</v>
          </cell>
          <cell r="J160">
            <v>1445.7</v>
          </cell>
          <cell r="K160" t="str"/>
          <cell r="L160" t="str"/>
          <cell r="M160" t="str">
            <v>麦麦提</v>
          </cell>
          <cell r="N160" t="str">
            <v>公司红周转筐</v>
          </cell>
          <cell r="O160" t="str"/>
          <cell r="P160" t="str"/>
          <cell r="Q160">
            <v>79</v>
          </cell>
          <cell r="R160" t="str">
            <v>新N*X8S48</v>
          </cell>
          <cell r="S160" t="str">
            <v>公司筐</v>
          </cell>
          <cell r="T160" t="str"/>
          <cell r="U160" t="str"/>
          <cell r="V160" t="str"/>
          <cell r="W160" t="str"/>
          <cell r="X160" t="str"/>
          <cell r="Y160" t="str"/>
        </row>
        <row r="160">
          <cell r="AA160" t="str"/>
          <cell r="AB160" t="str"/>
          <cell r="AC160" t="str"/>
          <cell r="AD160" t="str"/>
          <cell r="AE160" t="str"/>
          <cell r="AF160" t="str"/>
        </row>
        <row r="161">
          <cell r="B161">
            <v>46274</v>
          </cell>
          <cell r="C161" t="str">
            <v>吐尔洪</v>
          </cell>
          <cell r="D161" t="str">
            <v>原料入库</v>
          </cell>
          <cell r="E161" t="str">
            <v>NO:0000762</v>
          </cell>
          <cell r="F161" t="str">
            <v>香梨</v>
          </cell>
          <cell r="G161" t="str">
            <v>香梨二级</v>
          </cell>
          <cell r="H161">
            <v>72</v>
          </cell>
          <cell r="I161" t="str">
            <v>筐</v>
          </cell>
          <cell r="J161">
            <v>1605.6</v>
          </cell>
          <cell r="K161" t="str"/>
          <cell r="L161" t="str"/>
          <cell r="M161" t="str">
            <v>麦麦提</v>
          </cell>
          <cell r="N161" t="str">
            <v>公司红周转筐</v>
          </cell>
          <cell r="O161" t="str"/>
          <cell r="P161" t="str"/>
          <cell r="Q161">
            <v>72</v>
          </cell>
          <cell r="R161" t="str">
            <v>新N*X8S48</v>
          </cell>
          <cell r="S161" t="str">
            <v>公司筐</v>
          </cell>
          <cell r="T161" t="str"/>
          <cell r="U161" t="str"/>
          <cell r="V161" t="str"/>
          <cell r="W161" t="str"/>
          <cell r="X161" t="str"/>
          <cell r="Y161" t="str"/>
        </row>
        <row r="161">
          <cell r="AA161" t="str"/>
          <cell r="AB161" t="str"/>
          <cell r="AC161" t="str"/>
          <cell r="AD161" t="str"/>
          <cell r="AE161" t="str"/>
          <cell r="AF161" t="str"/>
        </row>
        <row r="162">
          <cell r="B162">
            <v>46274</v>
          </cell>
          <cell r="C162" t="str">
            <v>麦麦提</v>
          </cell>
          <cell r="D162" t="str">
            <v>原料入库</v>
          </cell>
          <cell r="E162" t="str">
            <v>NO:0000764</v>
          </cell>
          <cell r="F162" t="str">
            <v>香梨</v>
          </cell>
          <cell r="G162" t="str">
            <v>香梨特级</v>
          </cell>
          <cell r="H162">
            <v>264</v>
          </cell>
          <cell r="I162" t="str">
            <v>筐</v>
          </cell>
          <cell r="J162">
            <v>4831.2</v>
          </cell>
          <cell r="K162" t="str"/>
          <cell r="L162" t="str"/>
          <cell r="M162" t="str"/>
          <cell r="N162" t="str">
            <v>公司红周转筐</v>
          </cell>
          <cell r="O162" t="str"/>
          <cell r="P162" t="str"/>
          <cell r="Q162">
            <v>264</v>
          </cell>
          <cell r="R162" t="str">
            <v>新A*G0554</v>
          </cell>
          <cell r="S162" t="str">
            <v>公司筐</v>
          </cell>
          <cell r="T162" t="str"/>
          <cell r="U162" t="str"/>
          <cell r="V162" t="str"/>
          <cell r="W162" t="str"/>
          <cell r="X162" t="str"/>
          <cell r="Y162" t="str"/>
        </row>
        <row r="162">
          <cell r="AA162" t="str"/>
          <cell r="AB162" t="str"/>
          <cell r="AC162" t="str"/>
          <cell r="AD162" t="str"/>
          <cell r="AE162" t="str"/>
          <cell r="AF162" t="str"/>
        </row>
        <row r="163">
          <cell r="B163">
            <v>46274</v>
          </cell>
          <cell r="C163" t="str">
            <v>麦麦提</v>
          </cell>
          <cell r="D163" t="str">
            <v>原料入库</v>
          </cell>
          <cell r="E163" t="str">
            <v>NO:0000764</v>
          </cell>
          <cell r="F163" t="str">
            <v>香梨</v>
          </cell>
          <cell r="G163" t="str">
            <v>香梨一级</v>
          </cell>
          <cell r="H163">
            <v>191</v>
          </cell>
          <cell r="I163" t="str">
            <v>筐</v>
          </cell>
          <cell r="J163">
            <v>3495.3</v>
          </cell>
          <cell r="K163" t="str"/>
          <cell r="L163" t="str"/>
          <cell r="M163" t="str"/>
          <cell r="N163" t="str">
            <v>公司红周转筐</v>
          </cell>
          <cell r="O163" t="str"/>
          <cell r="P163" t="str"/>
          <cell r="Q163">
            <v>191</v>
          </cell>
          <cell r="R163" t="str">
            <v>新A*G0554</v>
          </cell>
          <cell r="S163" t="str">
            <v>公司筐</v>
          </cell>
          <cell r="T163" t="str"/>
          <cell r="U163" t="str"/>
          <cell r="V163" t="str"/>
          <cell r="W163" t="str"/>
          <cell r="X163" t="str"/>
          <cell r="Y163" t="str"/>
        </row>
        <row r="163">
          <cell r="AA163" t="str"/>
          <cell r="AB163" t="str"/>
          <cell r="AC163" t="str"/>
          <cell r="AD163" t="str"/>
          <cell r="AE163" t="str"/>
          <cell r="AF163" t="str"/>
        </row>
        <row r="164">
          <cell r="B164">
            <v>46274</v>
          </cell>
          <cell r="C164" t="str">
            <v>麦麦提</v>
          </cell>
          <cell r="D164" t="str">
            <v>原料入库</v>
          </cell>
          <cell r="E164" t="str">
            <v>NO:0000764</v>
          </cell>
          <cell r="F164" t="str">
            <v>香梨</v>
          </cell>
          <cell r="G164" t="str">
            <v>香梨二级</v>
          </cell>
          <cell r="H164">
            <v>177</v>
          </cell>
          <cell r="I164" t="str">
            <v>筐</v>
          </cell>
          <cell r="J164">
            <v>3947.1</v>
          </cell>
          <cell r="K164" t="str"/>
          <cell r="L164" t="str"/>
          <cell r="M164" t="str"/>
          <cell r="N164" t="str">
            <v>公司红周转筐</v>
          </cell>
          <cell r="O164" t="str"/>
          <cell r="P164" t="str"/>
          <cell r="Q164">
            <v>177</v>
          </cell>
          <cell r="R164" t="str">
            <v>新A*G0554</v>
          </cell>
          <cell r="S164" t="str">
            <v>公司筐</v>
          </cell>
          <cell r="T164" t="str"/>
          <cell r="U164" t="str"/>
          <cell r="V164" t="str"/>
          <cell r="W164" t="str"/>
          <cell r="X164" t="str"/>
          <cell r="Y164" t="str"/>
        </row>
        <row r="164">
          <cell r="AA164" t="str"/>
          <cell r="AB164" t="str"/>
          <cell r="AC164" t="str"/>
          <cell r="AD164" t="str"/>
          <cell r="AE164" t="str"/>
          <cell r="AF164" t="str"/>
        </row>
        <row r="165">
          <cell r="B165">
            <v>46274</v>
          </cell>
          <cell r="C165" t="str">
            <v>贾建国</v>
          </cell>
          <cell r="D165" t="str">
            <v>原料入库</v>
          </cell>
          <cell r="E165" t="str">
            <v>NO:0000767</v>
          </cell>
          <cell r="F165" t="str">
            <v>香梨</v>
          </cell>
          <cell r="G165" t="str">
            <v>香梨二级</v>
          </cell>
          <cell r="H165">
            <v>170</v>
          </cell>
          <cell r="I165" t="str">
            <v>筐</v>
          </cell>
          <cell r="J165">
            <v>3825</v>
          </cell>
          <cell r="K165" t="str"/>
          <cell r="L165" t="str"/>
          <cell r="M165" t="str">
            <v>二黄</v>
          </cell>
          <cell r="N165" t="str">
            <v>自备杂周转筐</v>
          </cell>
          <cell r="O165" t="str"/>
          <cell r="P165" t="str"/>
          <cell r="Q165">
            <v>170</v>
          </cell>
          <cell r="R165" t="str">
            <v>豫Q*H5591</v>
          </cell>
          <cell r="S165" t="str">
            <v>自备筐</v>
          </cell>
          <cell r="T165" t="str"/>
          <cell r="U165" t="str"/>
          <cell r="V165" t="str"/>
          <cell r="W165" t="str"/>
          <cell r="X165" t="str"/>
          <cell r="Y165" t="str"/>
        </row>
        <row r="165">
          <cell r="AA165" t="str"/>
          <cell r="AB165" t="str"/>
          <cell r="AC165" t="str"/>
          <cell r="AD165" t="str"/>
          <cell r="AE165" t="str"/>
          <cell r="AF165" t="str"/>
        </row>
        <row r="166">
          <cell r="B166">
            <v>46274</v>
          </cell>
          <cell r="C166" t="str">
            <v>贾建国</v>
          </cell>
          <cell r="D166" t="str">
            <v>原料入库</v>
          </cell>
          <cell r="E166" t="str">
            <v>NO:0000767</v>
          </cell>
          <cell r="F166" t="str">
            <v>香梨</v>
          </cell>
          <cell r="G166" t="str">
            <v>香梨副特</v>
          </cell>
          <cell r="H166">
            <v>28</v>
          </cell>
          <cell r="I166" t="str">
            <v>筐</v>
          </cell>
          <cell r="J166">
            <v>540.4</v>
          </cell>
          <cell r="K166" t="str"/>
          <cell r="L166" t="str"/>
          <cell r="M166" t="str">
            <v>二黄</v>
          </cell>
          <cell r="N166" t="str">
            <v>自备一次性筐</v>
          </cell>
          <cell r="O166" t="str"/>
          <cell r="P166" t="str"/>
          <cell r="Q166">
            <v>28</v>
          </cell>
          <cell r="R166" t="str">
            <v>豫Q*H5591</v>
          </cell>
          <cell r="S166" t="str">
            <v>自备筐</v>
          </cell>
          <cell r="T166" t="str"/>
          <cell r="U166" t="str"/>
          <cell r="V166" t="str"/>
          <cell r="W166" t="str"/>
          <cell r="X166" t="str"/>
          <cell r="Y166" t="str"/>
        </row>
        <row r="166">
          <cell r="AA166" t="str"/>
          <cell r="AB166" t="str"/>
          <cell r="AC166" t="str"/>
          <cell r="AD166" t="str"/>
          <cell r="AE166" t="str"/>
          <cell r="AF166" t="str"/>
        </row>
        <row r="167">
          <cell r="B167">
            <v>46275</v>
          </cell>
          <cell r="C167" t="str">
            <v>王灵云</v>
          </cell>
          <cell r="D167" t="str">
            <v>原料入库</v>
          </cell>
          <cell r="E167" t="str">
            <v>NO:0000768</v>
          </cell>
          <cell r="F167" t="str">
            <v>香梨</v>
          </cell>
          <cell r="G167" t="str">
            <v>香梨一级</v>
          </cell>
          <cell r="H167">
            <v>195</v>
          </cell>
          <cell r="I167" t="str">
            <v>筐</v>
          </cell>
          <cell r="J167">
            <v>3568.5</v>
          </cell>
          <cell r="K167" t="str"/>
          <cell r="L167" t="str"/>
          <cell r="M167" t="str"/>
          <cell r="N167" t="str">
            <v>公司红周转筐</v>
          </cell>
          <cell r="O167" t="str"/>
          <cell r="P167" t="str"/>
          <cell r="Q167">
            <v>195</v>
          </cell>
          <cell r="R167" t="str">
            <v>新N*49209</v>
          </cell>
          <cell r="S167" t="str">
            <v>公司筐</v>
          </cell>
          <cell r="T167" t="str"/>
          <cell r="U167" t="str"/>
          <cell r="V167" t="str"/>
          <cell r="W167" t="str"/>
          <cell r="X167" t="str"/>
          <cell r="Y167" t="str"/>
        </row>
        <row r="167">
          <cell r="AA167" t="str"/>
          <cell r="AB167" t="str"/>
          <cell r="AC167" t="str"/>
          <cell r="AD167" t="str"/>
          <cell r="AE167" t="str"/>
          <cell r="AF167" t="str"/>
        </row>
        <row r="168">
          <cell r="B168">
            <v>46275</v>
          </cell>
          <cell r="C168" t="str">
            <v>王灵云</v>
          </cell>
          <cell r="D168" t="str">
            <v>原料入库</v>
          </cell>
          <cell r="E168" t="str">
            <v>NO:0000768</v>
          </cell>
          <cell r="F168" t="str">
            <v>香梨</v>
          </cell>
          <cell r="G168" t="str">
            <v>香梨副特</v>
          </cell>
          <cell r="H168">
            <v>134</v>
          </cell>
          <cell r="I168" t="str">
            <v>筐</v>
          </cell>
          <cell r="J168">
            <v>2452.2</v>
          </cell>
          <cell r="K168" t="str"/>
          <cell r="L168" t="str"/>
          <cell r="M168" t="str"/>
          <cell r="N168" t="str">
            <v>公司红周转筐</v>
          </cell>
          <cell r="O168" t="str"/>
          <cell r="P168" t="str"/>
          <cell r="Q168">
            <v>134</v>
          </cell>
          <cell r="R168" t="str">
            <v>新N*49209</v>
          </cell>
          <cell r="S168" t="str">
            <v>公司筐</v>
          </cell>
          <cell r="T168" t="str"/>
          <cell r="U168" t="str"/>
          <cell r="V168" t="str"/>
          <cell r="W168" t="str"/>
          <cell r="X168" t="str"/>
          <cell r="Y168" t="str"/>
        </row>
        <row r="168">
          <cell r="AA168" t="str"/>
          <cell r="AB168" t="str"/>
          <cell r="AC168" t="str"/>
          <cell r="AD168" t="str"/>
          <cell r="AE168" t="str"/>
          <cell r="AF168" t="str"/>
        </row>
        <row r="169">
          <cell r="B169">
            <v>46275</v>
          </cell>
          <cell r="C169" t="str">
            <v>王灵云</v>
          </cell>
          <cell r="D169" t="str">
            <v>原料入库</v>
          </cell>
          <cell r="E169" t="str">
            <v>NO:0000768</v>
          </cell>
          <cell r="F169" t="str">
            <v>香梨</v>
          </cell>
          <cell r="G169" t="str">
            <v>香梨二级</v>
          </cell>
          <cell r="H169">
            <v>64</v>
          </cell>
          <cell r="I169" t="str">
            <v>筐</v>
          </cell>
          <cell r="J169">
            <v>1491.2</v>
          </cell>
          <cell r="K169" t="str"/>
          <cell r="L169" t="str"/>
          <cell r="M169" t="str">
            <v>押金3000元已退还</v>
          </cell>
          <cell r="N169" t="str">
            <v>公司红周转筐</v>
          </cell>
          <cell r="O169" t="str"/>
          <cell r="P169" t="str"/>
          <cell r="Q169">
            <v>64</v>
          </cell>
          <cell r="R169" t="str">
            <v>新N*49209</v>
          </cell>
          <cell r="S169" t="str">
            <v>公司筐</v>
          </cell>
          <cell r="T169" t="str"/>
          <cell r="U169" t="str"/>
          <cell r="V169" t="str"/>
          <cell r="W169" t="str"/>
          <cell r="X169" t="str"/>
          <cell r="Y169" t="str"/>
        </row>
        <row r="169">
          <cell r="AA169" t="str"/>
          <cell r="AB169" t="str"/>
          <cell r="AC169" t="str"/>
          <cell r="AD169" t="str"/>
          <cell r="AE169" t="str"/>
          <cell r="AF169" t="str"/>
        </row>
        <row r="170">
          <cell r="B170">
            <v>46275</v>
          </cell>
          <cell r="C170" t="str">
            <v>杨艳玲</v>
          </cell>
          <cell r="D170" t="str">
            <v>原料入库</v>
          </cell>
          <cell r="E170" t="str">
            <v>NO:0000769</v>
          </cell>
          <cell r="F170" t="str">
            <v>香梨</v>
          </cell>
          <cell r="G170" t="str">
            <v>香梨玉露</v>
          </cell>
          <cell r="H170">
            <v>104</v>
          </cell>
          <cell r="I170" t="str">
            <v>筐</v>
          </cell>
          <cell r="J170">
            <v>1799.2</v>
          </cell>
          <cell r="K170" t="str"/>
          <cell r="L170" t="str"/>
          <cell r="M170" t="str"/>
          <cell r="N170" t="str">
            <v>自备一次性筐</v>
          </cell>
          <cell r="O170" t="str"/>
          <cell r="P170" t="str"/>
          <cell r="Q170">
            <v>104</v>
          </cell>
          <cell r="R170" t="str">
            <v>新N*E3H01</v>
          </cell>
          <cell r="S170" t="str">
            <v>自备筐</v>
          </cell>
          <cell r="T170" t="str"/>
          <cell r="U170" t="str"/>
          <cell r="V170" t="str"/>
          <cell r="W170" t="str"/>
          <cell r="X170" t="str"/>
          <cell r="Y170" t="str"/>
        </row>
        <row r="170">
          <cell r="AA170" t="str"/>
          <cell r="AB170" t="str"/>
          <cell r="AC170" t="str"/>
          <cell r="AD170" t="str"/>
          <cell r="AE170" t="str"/>
          <cell r="AF170" t="str"/>
        </row>
        <row r="171">
          <cell r="B171">
            <v>46275</v>
          </cell>
          <cell r="C171" t="str">
            <v>荆建君</v>
          </cell>
          <cell r="D171" t="str">
            <v>原料入库</v>
          </cell>
          <cell r="E171" t="str">
            <v>NO:0000770</v>
          </cell>
          <cell r="F171" t="str">
            <v>香梨</v>
          </cell>
          <cell r="G171" t="str">
            <v>香梨一级</v>
          </cell>
          <cell r="H171">
            <v>239</v>
          </cell>
          <cell r="I171" t="str">
            <v>筐</v>
          </cell>
          <cell r="J171">
            <v>4373.7</v>
          </cell>
          <cell r="K171" t="str"/>
          <cell r="L171" t="str"/>
          <cell r="M171" t="str"/>
          <cell r="N171" t="str">
            <v>公司红周转筐</v>
          </cell>
          <cell r="O171" t="str"/>
          <cell r="P171" t="str"/>
          <cell r="Q171">
            <v>239</v>
          </cell>
          <cell r="R171" t="str">
            <v>豫A*2737K</v>
          </cell>
          <cell r="S171" t="str">
            <v>公司筐</v>
          </cell>
          <cell r="T171" t="str"/>
          <cell r="U171" t="str"/>
          <cell r="V171" t="str"/>
          <cell r="W171" t="str"/>
          <cell r="X171" t="str"/>
          <cell r="Y171" t="str"/>
        </row>
        <row r="171">
          <cell r="AA171" t="str"/>
          <cell r="AB171" t="str"/>
          <cell r="AC171" t="str"/>
          <cell r="AD171" t="str"/>
          <cell r="AE171" t="str"/>
          <cell r="AF171" t="str"/>
        </row>
        <row r="172">
          <cell r="B172">
            <v>46275</v>
          </cell>
          <cell r="C172" t="str">
            <v>荆建君</v>
          </cell>
          <cell r="D172" t="str">
            <v>原料入库</v>
          </cell>
          <cell r="E172" t="str">
            <v>NO:0000770</v>
          </cell>
          <cell r="F172" t="str">
            <v>香梨</v>
          </cell>
          <cell r="G172" t="str">
            <v>香梨二级</v>
          </cell>
          <cell r="H172">
            <v>329</v>
          </cell>
          <cell r="I172" t="str">
            <v>筐</v>
          </cell>
          <cell r="J172">
            <v>6020.7</v>
          </cell>
          <cell r="K172" t="str"/>
          <cell r="L172" t="str"/>
          <cell r="M172" t="str"/>
          <cell r="N172" t="str">
            <v>公司红周转筐</v>
          </cell>
          <cell r="O172" t="str"/>
          <cell r="P172" t="str"/>
          <cell r="Q172">
            <v>329</v>
          </cell>
          <cell r="R172" t="str">
            <v>豫A*2737K</v>
          </cell>
          <cell r="S172" t="str">
            <v>公司筐</v>
          </cell>
          <cell r="T172" t="str"/>
          <cell r="U172" t="str"/>
          <cell r="V172" t="str"/>
          <cell r="W172" t="str"/>
          <cell r="X172" t="str"/>
          <cell r="Y172" t="str"/>
        </row>
        <row r="172">
          <cell r="AA172" t="str"/>
          <cell r="AB172" t="str"/>
          <cell r="AC172" t="str"/>
          <cell r="AD172" t="str"/>
          <cell r="AE172" t="str"/>
          <cell r="AF172" t="str"/>
        </row>
        <row r="173">
          <cell r="B173">
            <v>46275</v>
          </cell>
          <cell r="C173" t="str">
            <v>贾建国</v>
          </cell>
          <cell r="D173" t="str">
            <v>原料入库</v>
          </cell>
          <cell r="E173" t="str">
            <v>NO:0000772</v>
          </cell>
          <cell r="F173" t="str">
            <v>香梨</v>
          </cell>
          <cell r="G173" t="str">
            <v>香梨副特</v>
          </cell>
          <cell r="H173">
            <v>74</v>
          </cell>
          <cell r="I173" t="str">
            <v>筐</v>
          </cell>
          <cell r="J173">
            <v>1665</v>
          </cell>
          <cell r="K173" t="str"/>
          <cell r="L173" t="str"/>
          <cell r="M173" t="str"/>
          <cell r="N173" t="str">
            <v>公司新周转筐</v>
          </cell>
          <cell r="O173" t="str"/>
          <cell r="P173" t="str"/>
          <cell r="Q173">
            <v>74</v>
          </cell>
          <cell r="R173" t="str">
            <v>新N*56508</v>
          </cell>
          <cell r="S173" t="str">
            <v>公司筐</v>
          </cell>
          <cell r="T173" t="str"/>
          <cell r="U173" t="str"/>
          <cell r="V173" t="str"/>
          <cell r="W173" t="str"/>
          <cell r="X173" t="str"/>
          <cell r="Y173" t="str"/>
        </row>
        <row r="173">
          <cell r="AA173" t="str"/>
          <cell r="AB173" t="str"/>
          <cell r="AC173" t="str"/>
          <cell r="AD173" t="str"/>
          <cell r="AE173" t="str"/>
          <cell r="AF173" t="str"/>
        </row>
        <row r="174">
          <cell r="B174">
            <v>46275</v>
          </cell>
          <cell r="C174" t="str">
            <v>吐尔洪</v>
          </cell>
          <cell r="D174" t="str">
            <v>原料入库</v>
          </cell>
          <cell r="E174" t="str">
            <v>NO:0000773</v>
          </cell>
          <cell r="F174" t="str">
            <v>香梨</v>
          </cell>
          <cell r="G174" t="str">
            <v>香梨特级</v>
          </cell>
          <cell r="H174">
            <v>108</v>
          </cell>
          <cell r="I174" t="str">
            <v>筐</v>
          </cell>
          <cell r="J174">
            <v>1976.4</v>
          </cell>
          <cell r="K174" t="str"/>
          <cell r="L174" t="str"/>
          <cell r="M174" t="str">
            <v>麦麦提</v>
          </cell>
          <cell r="N174" t="str">
            <v>公司红周转筐</v>
          </cell>
          <cell r="O174" t="str"/>
          <cell r="P174" t="str"/>
          <cell r="Q174">
            <v>108</v>
          </cell>
          <cell r="R174" t="str">
            <v>新N*X8S48</v>
          </cell>
          <cell r="S174" t="str">
            <v>公司筐</v>
          </cell>
          <cell r="T174" t="str"/>
          <cell r="U174" t="str"/>
          <cell r="V174" t="str"/>
          <cell r="W174" t="str"/>
          <cell r="X174" t="str"/>
          <cell r="Y174" t="str"/>
        </row>
        <row r="174">
          <cell r="AA174" t="str"/>
          <cell r="AB174" t="str"/>
          <cell r="AC174" t="str"/>
          <cell r="AD174" t="str"/>
          <cell r="AE174" t="str"/>
          <cell r="AF174" t="str"/>
        </row>
        <row r="175">
          <cell r="B175">
            <v>46275</v>
          </cell>
          <cell r="C175" t="str">
            <v>吐尔洪</v>
          </cell>
          <cell r="D175" t="str">
            <v>原料入库</v>
          </cell>
          <cell r="E175" t="str">
            <v>NO:0000773</v>
          </cell>
          <cell r="F175" t="str">
            <v>香梨</v>
          </cell>
          <cell r="G175" t="str">
            <v>香梨一级</v>
          </cell>
          <cell r="H175">
            <v>38</v>
          </cell>
          <cell r="I175" t="str">
            <v>筐</v>
          </cell>
          <cell r="J175">
            <v>695.4</v>
          </cell>
          <cell r="K175" t="str"/>
          <cell r="L175" t="str"/>
          <cell r="M175" t="str">
            <v>麦麦提</v>
          </cell>
          <cell r="N175" t="str">
            <v>公司红周转筐</v>
          </cell>
          <cell r="O175" t="str"/>
          <cell r="P175" t="str"/>
          <cell r="Q175">
            <v>38</v>
          </cell>
          <cell r="R175" t="str">
            <v>新N*X8S48</v>
          </cell>
          <cell r="S175" t="str">
            <v>公司筐</v>
          </cell>
          <cell r="T175" t="str"/>
          <cell r="U175" t="str"/>
          <cell r="V175" t="str"/>
          <cell r="W175" t="str"/>
          <cell r="X175" t="str"/>
          <cell r="Y175" t="str"/>
        </row>
        <row r="175">
          <cell r="AA175" t="str"/>
          <cell r="AB175" t="str"/>
          <cell r="AC175" t="str"/>
          <cell r="AD175" t="str"/>
          <cell r="AE175" t="str"/>
          <cell r="AF175" t="str"/>
        </row>
        <row r="176">
          <cell r="B176">
            <v>46275</v>
          </cell>
          <cell r="C176" t="str">
            <v>吐尔洪</v>
          </cell>
          <cell r="D176" t="str">
            <v>原料入库</v>
          </cell>
          <cell r="E176" t="str">
            <v>NO:0000773</v>
          </cell>
          <cell r="F176" t="str">
            <v>香梨</v>
          </cell>
          <cell r="G176" t="str">
            <v>香梨二级</v>
          </cell>
          <cell r="H176">
            <v>106</v>
          </cell>
          <cell r="I176" t="str">
            <v>筐</v>
          </cell>
          <cell r="J176">
            <v>2363.8</v>
          </cell>
          <cell r="K176" t="str"/>
          <cell r="L176" t="str"/>
          <cell r="M176" t="str">
            <v>麦麦提</v>
          </cell>
          <cell r="N176" t="str">
            <v>公司红周转筐</v>
          </cell>
          <cell r="O176" t="str"/>
          <cell r="P176" t="str"/>
          <cell r="Q176">
            <v>106</v>
          </cell>
          <cell r="R176" t="str">
            <v>新N*X8S48</v>
          </cell>
          <cell r="S176" t="str">
            <v>公司筐</v>
          </cell>
          <cell r="T176" t="str"/>
          <cell r="U176" t="str"/>
          <cell r="V176" t="str"/>
          <cell r="W176" t="str"/>
          <cell r="X176" t="str"/>
          <cell r="Y176" t="str"/>
        </row>
        <row r="176">
          <cell r="AA176" t="str"/>
          <cell r="AB176" t="str"/>
          <cell r="AC176" t="str"/>
          <cell r="AD176" t="str"/>
          <cell r="AE176" t="str"/>
          <cell r="AF176" t="str"/>
        </row>
        <row r="177">
          <cell r="B177">
            <v>46275</v>
          </cell>
          <cell r="C177" t="str">
            <v>王照雪</v>
          </cell>
          <cell r="D177" t="str">
            <v>原料入库</v>
          </cell>
          <cell r="E177" t="str">
            <v>NO:0000775</v>
          </cell>
          <cell r="F177" t="str">
            <v>香梨</v>
          </cell>
          <cell r="G177" t="str">
            <v>香梨一级</v>
          </cell>
          <cell r="H177">
            <v>196</v>
          </cell>
          <cell r="I177" t="str">
            <v>筐</v>
          </cell>
          <cell r="J177">
            <v>3626</v>
          </cell>
          <cell r="K177" t="str"/>
          <cell r="L177" t="str"/>
          <cell r="M177" t="str"/>
          <cell r="N177" t="str">
            <v>公司一次性筐</v>
          </cell>
          <cell r="O177" t="str"/>
          <cell r="P177" t="str"/>
          <cell r="Q177">
            <v>196</v>
          </cell>
          <cell r="R177" t="str">
            <v>豫L*88X19</v>
          </cell>
          <cell r="S177" t="str">
            <v>公司筐</v>
          </cell>
          <cell r="T177" t="str"/>
          <cell r="U177" t="str"/>
          <cell r="V177" t="str"/>
          <cell r="W177" t="str"/>
          <cell r="X177" t="str"/>
          <cell r="Y177" t="str"/>
        </row>
        <row r="177">
          <cell r="AA177" t="str"/>
          <cell r="AB177" t="str"/>
          <cell r="AC177" t="str"/>
          <cell r="AD177" t="str"/>
          <cell r="AE177" t="str"/>
          <cell r="AF177" t="str"/>
        </row>
        <row r="178">
          <cell r="B178">
            <v>46275</v>
          </cell>
          <cell r="C178" t="str">
            <v>王照雪</v>
          </cell>
          <cell r="D178" t="str">
            <v>原料入库</v>
          </cell>
          <cell r="E178" t="str">
            <v>NO:0000775</v>
          </cell>
          <cell r="F178" t="str">
            <v>香梨</v>
          </cell>
          <cell r="G178" t="str">
            <v>香梨副特</v>
          </cell>
          <cell r="H178">
            <v>133</v>
          </cell>
          <cell r="I178" t="str">
            <v>筐</v>
          </cell>
          <cell r="J178">
            <v>2460.5</v>
          </cell>
          <cell r="K178" t="str"/>
          <cell r="L178" t="str"/>
          <cell r="M178" t="str"/>
          <cell r="N178" t="str">
            <v>公司一次性筐</v>
          </cell>
          <cell r="O178" t="str"/>
          <cell r="P178" t="str"/>
          <cell r="Q178">
            <v>133</v>
          </cell>
          <cell r="R178" t="str">
            <v>豫L*88X19</v>
          </cell>
          <cell r="S178" t="str">
            <v>公司筐</v>
          </cell>
          <cell r="T178" t="str"/>
          <cell r="U178" t="str"/>
          <cell r="V178" t="str"/>
          <cell r="W178" t="str"/>
          <cell r="X178" t="str"/>
          <cell r="Y178" t="str"/>
        </row>
        <row r="178">
          <cell r="AA178" t="str"/>
          <cell r="AB178" t="str"/>
          <cell r="AC178" t="str"/>
          <cell r="AD178" t="str"/>
          <cell r="AE178" t="str"/>
          <cell r="AF178" t="str"/>
        </row>
        <row r="179">
          <cell r="B179">
            <v>46275</v>
          </cell>
          <cell r="C179" t="str">
            <v>热合曼</v>
          </cell>
          <cell r="D179" t="str">
            <v>原料入库</v>
          </cell>
          <cell r="E179" t="str">
            <v>NO:0000776</v>
          </cell>
          <cell r="F179" t="str">
            <v>香梨</v>
          </cell>
          <cell r="G179" t="str">
            <v>香梨一级</v>
          </cell>
          <cell r="H179">
            <v>220</v>
          </cell>
          <cell r="I179" t="str">
            <v>筐</v>
          </cell>
          <cell r="J179">
            <v>4026</v>
          </cell>
          <cell r="K179" t="str"/>
          <cell r="L179" t="str"/>
          <cell r="M179" t="str"/>
          <cell r="N179" t="str">
            <v>公司红周转筐</v>
          </cell>
          <cell r="O179" t="str"/>
          <cell r="P179" t="str"/>
          <cell r="Q179">
            <v>220</v>
          </cell>
          <cell r="R179" t="str">
            <v>新A*G0554</v>
          </cell>
          <cell r="S179" t="str">
            <v>公司筐</v>
          </cell>
          <cell r="T179" t="str"/>
          <cell r="U179" t="str"/>
          <cell r="V179" t="str"/>
          <cell r="W179" t="str"/>
          <cell r="X179" t="str"/>
          <cell r="Y179" t="str"/>
        </row>
        <row r="179">
          <cell r="AA179" t="str"/>
          <cell r="AB179" t="str"/>
          <cell r="AC179" t="str"/>
          <cell r="AD179" t="str"/>
          <cell r="AE179" t="str"/>
          <cell r="AF179" t="str"/>
        </row>
        <row r="180">
          <cell r="B180">
            <v>46275</v>
          </cell>
          <cell r="C180" t="str">
            <v>热合曼</v>
          </cell>
          <cell r="D180" t="str">
            <v>原料入库</v>
          </cell>
          <cell r="E180" t="str">
            <v>NO:0000776</v>
          </cell>
          <cell r="F180" t="str">
            <v>香梨</v>
          </cell>
          <cell r="G180" t="str">
            <v>香梨二级</v>
          </cell>
          <cell r="H180">
            <v>54</v>
          </cell>
          <cell r="I180" t="str">
            <v>筐</v>
          </cell>
          <cell r="J180">
            <v>1204.2</v>
          </cell>
          <cell r="K180" t="str"/>
          <cell r="L180" t="str"/>
          <cell r="M180" t="str"/>
          <cell r="N180" t="str">
            <v>公司红周转筐</v>
          </cell>
          <cell r="O180" t="str"/>
          <cell r="P180" t="str"/>
          <cell r="Q180">
            <v>54</v>
          </cell>
          <cell r="R180" t="str">
            <v>新A*G0554</v>
          </cell>
          <cell r="S180" t="str">
            <v>公司筐</v>
          </cell>
          <cell r="T180" t="str"/>
          <cell r="U180" t="str"/>
          <cell r="V180" t="str"/>
          <cell r="W180" t="str"/>
          <cell r="X180" t="str"/>
          <cell r="Y180" t="str"/>
        </row>
        <row r="180">
          <cell r="AA180" t="str"/>
          <cell r="AB180" t="str"/>
          <cell r="AC180" t="str"/>
          <cell r="AD180" t="str"/>
          <cell r="AE180" t="str"/>
          <cell r="AF180" t="str"/>
        </row>
        <row r="181">
          <cell r="B181">
            <v>46275</v>
          </cell>
          <cell r="C181" t="str">
            <v>热合曼</v>
          </cell>
          <cell r="D181" t="str">
            <v>原料入库</v>
          </cell>
          <cell r="E181" t="str">
            <v>NO:0000776</v>
          </cell>
          <cell r="F181" t="str">
            <v>香梨</v>
          </cell>
          <cell r="G181" t="str">
            <v>香梨副特</v>
          </cell>
          <cell r="H181">
            <v>305</v>
          </cell>
          <cell r="I181" t="str">
            <v>筐</v>
          </cell>
          <cell r="J181">
            <v>5886.5</v>
          </cell>
          <cell r="K181" t="str"/>
          <cell r="L181" t="str"/>
          <cell r="M181" t="str"/>
          <cell r="N181" t="str">
            <v>公司红周转筐</v>
          </cell>
          <cell r="O181" t="str"/>
          <cell r="P181" t="str"/>
          <cell r="Q181">
            <v>305</v>
          </cell>
          <cell r="R181" t="str">
            <v>新A*G0554</v>
          </cell>
          <cell r="S181" t="str">
            <v>公司筐</v>
          </cell>
          <cell r="T181" t="str"/>
          <cell r="U181" t="str"/>
          <cell r="V181" t="str"/>
          <cell r="W181" t="str"/>
          <cell r="X181" t="str"/>
          <cell r="Y181" t="str"/>
        </row>
        <row r="181">
          <cell r="AA181" t="str"/>
          <cell r="AB181" t="str"/>
          <cell r="AC181" t="str"/>
          <cell r="AD181" t="str"/>
          <cell r="AE181" t="str"/>
          <cell r="AF181" t="str"/>
        </row>
        <row r="182">
          <cell r="B182">
            <v>46276</v>
          </cell>
          <cell r="C182" t="str">
            <v>马锦祥</v>
          </cell>
          <cell r="D182" t="str">
            <v>原料入库</v>
          </cell>
          <cell r="E182" t="str">
            <v>NO:0000780</v>
          </cell>
          <cell r="F182" t="str">
            <v>香梨</v>
          </cell>
          <cell r="G182" t="str">
            <v>香梨一级</v>
          </cell>
          <cell r="H182">
            <v>320</v>
          </cell>
          <cell r="I182" t="str">
            <v>筐</v>
          </cell>
          <cell r="J182">
            <v>5856</v>
          </cell>
          <cell r="K182" t="str"/>
          <cell r="L182" t="str"/>
          <cell r="M182" t="str"/>
          <cell r="N182" t="str">
            <v>公司杂周转筐</v>
          </cell>
          <cell r="O182" t="str"/>
          <cell r="P182" t="str"/>
          <cell r="Q182">
            <v>320</v>
          </cell>
          <cell r="R182" t="str">
            <v>新N*K7V85</v>
          </cell>
          <cell r="S182" t="str">
            <v>公司筐</v>
          </cell>
          <cell r="T182" t="str"/>
          <cell r="U182" t="str"/>
          <cell r="V182" t="str"/>
          <cell r="W182" t="str"/>
          <cell r="X182" t="str"/>
          <cell r="Y182" t="str"/>
        </row>
        <row r="182">
          <cell r="AA182" t="str"/>
          <cell r="AB182" t="str"/>
          <cell r="AC182" t="str"/>
          <cell r="AD182" t="str"/>
          <cell r="AE182" t="str"/>
          <cell r="AF182" t="str"/>
        </row>
        <row r="183">
          <cell r="B183">
            <v>46276</v>
          </cell>
          <cell r="C183" t="str">
            <v>马锦祥</v>
          </cell>
          <cell r="D183" t="str">
            <v>原料入库</v>
          </cell>
          <cell r="E183" t="str">
            <v>NO:0000780</v>
          </cell>
          <cell r="F183" t="str">
            <v>香梨</v>
          </cell>
          <cell r="G183" t="str">
            <v>香梨二级</v>
          </cell>
          <cell r="H183">
            <v>64</v>
          </cell>
          <cell r="I183" t="str">
            <v>筐</v>
          </cell>
          <cell r="J183">
            <v>1427.2</v>
          </cell>
          <cell r="K183" t="str"/>
          <cell r="L183" t="str"/>
          <cell r="M183" t="str"/>
          <cell r="N183" t="str">
            <v>公司杂周转筐</v>
          </cell>
          <cell r="O183" t="str"/>
          <cell r="P183" t="str"/>
          <cell r="Q183">
            <v>64</v>
          </cell>
          <cell r="R183" t="str">
            <v>新N*K7V85</v>
          </cell>
          <cell r="S183" t="str">
            <v>公司筐</v>
          </cell>
          <cell r="T183" t="str"/>
          <cell r="U183" t="str"/>
          <cell r="V183" t="str"/>
          <cell r="W183" t="str"/>
          <cell r="X183" t="str"/>
          <cell r="Y183" t="str"/>
        </row>
        <row r="183">
          <cell r="AA183" t="str"/>
          <cell r="AB183" t="str"/>
          <cell r="AC183" t="str"/>
          <cell r="AD183" t="str"/>
          <cell r="AE183" t="str"/>
          <cell r="AF183" t="str"/>
        </row>
        <row r="184">
          <cell r="B184">
            <v>46276</v>
          </cell>
          <cell r="C184" t="str">
            <v>马锦祥</v>
          </cell>
          <cell r="D184" t="str">
            <v>原料入库</v>
          </cell>
          <cell r="E184" t="str">
            <v>NO:0000780</v>
          </cell>
          <cell r="F184" t="str">
            <v>香梨</v>
          </cell>
          <cell r="G184" t="str">
            <v>香梨副特</v>
          </cell>
          <cell r="H184">
            <v>16</v>
          </cell>
          <cell r="I184" t="str">
            <v>筐</v>
          </cell>
          <cell r="J184">
            <v>292.8</v>
          </cell>
          <cell r="K184" t="str"/>
          <cell r="L184" t="str"/>
          <cell r="M184" t="str"/>
          <cell r="N184" t="str">
            <v>公司杂周转筐</v>
          </cell>
          <cell r="O184" t="str"/>
          <cell r="P184" t="str"/>
          <cell r="Q184">
            <v>16</v>
          </cell>
          <cell r="R184" t="str">
            <v>新N*K7V85</v>
          </cell>
          <cell r="S184" t="str">
            <v>公司筐</v>
          </cell>
          <cell r="T184" t="str"/>
          <cell r="U184" t="str"/>
          <cell r="V184" t="str"/>
          <cell r="W184" t="str"/>
          <cell r="X184" t="str"/>
          <cell r="Y184" t="str"/>
        </row>
        <row r="184">
          <cell r="AA184" t="str"/>
          <cell r="AB184" t="str"/>
          <cell r="AC184" t="str"/>
          <cell r="AD184" t="str"/>
          <cell r="AE184" t="str"/>
          <cell r="AF184" t="str"/>
        </row>
        <row r="185">
          <cell r="B185">
            <v>46276</v>
          </cell>
          <cell r="C185" t="str">
            <v>努尔敦</v>
          </cell>
          <cell r="D185" t="str">
            <v>原料入库</v>
          </cell>
          <cell r="E185" t="str">
            <v>NO:0000781</v>
          </cell>
          <cell r="F185" t="str">
            <v>香梨</v>
          </cell>
          <cell r="G185" t="str">
            <v>香梨特级</v>
          </cell>
          <cell r="H185">
            <v>160</v>
          </cell>
          <cell r="I185" t="str">
            <v>筐</v>
          </cell>
          <cell r="J185">
            <v>2928</v>
          </cell>
          <cell r="K185" t="str"/>
          <cell r="L185" t="str"/>
          <cell r="M185" t="str">
            <v>有标签</v>
          </cell>
          <cell r="N185" t="str">
            <v>公司红周转筐</v>
          </cell>
          <cell r="O185" t="str"/>
          <cell r="P185" t="str"/>
          <cell r="Q185">
            <v>160</v>
          </cell>
          <cell r="R185" t="str">
            <v>新F*75240</v>
          </cell>
          <cell r="S185" t="str">
            <v>公司筐</v>
          </cell>
          <cell r="T185" t="str"/>
          <cell r="U185" t="str"/>
          <cell r="V185" t="str"/>
          <cell r="W185" t="str"/>
          <cell r="X185" t="str"/>
          <cell r="Y185" t="str"/>
        </row>
        <row r="185">
          <cell r="AA185" t="str"/>
          <cell r="AB185" t="str"/>
          <cell r="AC185" t="str"/>
          <cell r="AD185" t="str"/>
          <cell r="AE185" t="str"/>
          <cell r="AF185" t="str"/>
        </row>
        <row r="186">
          <cell r="B186">
            <v>46276</v>
          </cell>
          <cell r="C186" t="str">
            <v>努尔敦</v>
          </cell>
          <cell r="D186" t="str">
            <v>原料入库</v>
          </cell>
          <cell r="E186" t="str">
            <v>NO:0000781</v>
          </cell>
          <cell r="F186" t="str">
            <v>香梨</v>
          </cell>
          <cell r="G186" t="str">
            <v>香梨一级</v>
          </cell>
          <cell r="H186">
            <v>232</v>
          </cell>
          <cell r="I186" t="str">
            <v>筐</v>
          </cell>
          <cell r="J186">
            <v>4245.6</v>
          </cell>
          <cell r="K186" t="str"/>
          <cell r="L186" t="str"/>
          <cell r="M186" t="str"/>
          <cell r="N186" t="str">
            <v>公司红周转筐</v>
          </cell>
          <cell r="O186" t="str"/>
          <cell r="P186" t="str"/>
          <cell r="Q186">
            <v>232</v>
          </cell>
          <cell r="R186" t="str">
            <v>新F*75240</v>
          </cell>
          <cell r="S186" t="str">
            <v>公司筐</v>
          </cell>
          <cell r="T186" t="str"/>
          <cell r="U186" t="str"/>
          <cell r="V186" t="str"/>
          <cell r="W186" t="str"/>
          <cell r="X186" t="str"/>
          <cell r="Y186" t="str"/>
        </row>
        <row r="186">
          <cell r="AA186" t="str"/>
          <cell r="AB186" t="str"/>
          <cell r="AC186" t="str"/>
          <cell r="AD186" t="str"/>
          <cell r="AE186" t="str"/>
          <cell r="AF186" t="str"/>
        </row>
        <row r="187">
          <cell r="B187">
            <v>46276</v>
          </cell>
          <cell r="C187" t="str">
            <v>努尔敦</v>
          </cell>
          <cell r="D187" t="str">
            <v>原料入库</v>
          </cell>
          <cell r="E187" t="str">
            <v>NO:0000781</v>
          </cell>
          <cell r="F187" t="str">
            <v>香梨</v>
          </cell>
          <cell r="G187" t="str">
            <v>香梨二级</v>
          </cell>
          <cell r="H187">
            <v>248</v>
          </cell>
          <cell r="I187" t="str">
            <v>筐</v>
          </cell>
          <cell r="J187">
            <v>5530.4</v>
          </cell>
          <cell r="K187" t="str"/>
          <cell r="L187" t="str"/>
          <cell r="M187" t="str"/>
          <cell r="N187" t="str">
            <v>公司红周转筐</v>
          </cell>
          <cell r="O187" t="str"/>
          <cell r="P187" t="str"/>
          <cell r="Q187">
            <v>248</v>
          </cell>
          <cell r="R187" t="str">
            <v>新F*75240</v>
          </cell>
          <cell r="S187" t="str">
            <v>公司筐</v>
          </cell>
          <cell r="T187" t="str"/>
          <cell r="U187" t="str"/>
          <cell r="V187" t="str"/>
          <cell r="W187" t="str"/>
          <cell r="X187" t="str"/>
          <cell r="Y187" t="str"/>
        </row>
        <row r="187">
          <cell r="AA187" t="str"/>
          <cell r="AB187" t="str"/>
          <cell r="AC187" t="str"/>
          <cell r="AD187" t="str"/>
          <cell r="AE187" t="str"/>
          <cell r="AF187" t="str"/>
        </row>
        <row r="188">
          <cell r="B188">
            <v>46276</v>
          </cell>
          <cell r="C188" t="str">
            <v>麦麦提</v>
          </cell>
          <cell r="D188" t="str">
            <v>原料入库</v>
          </cell>
          <cell r="E188" t="str">
            <v>NO:0000782</v>
          </cell>
          <cell r="F188" t="str">
            <v>香梨</v>
          </cell>
          <cell r="G188" t="str">
            <v>香梨特级</v>
          </cell>
          <cell r="H188">
            <v>322</v>
          </cell>
          <cell r="I188" t="str">
            <v>筐</v>
          </cell>
          <cell r="J188">
            <v>5892.6</v>
          </cell>
          <cell r="K188" t="str"/>
          <cell r="L188" t="str"/>
          <cell r="M188" t="str"/>
          <cell r="N188" t="str">
            <v>公司红周转筐</v>
          </cell>
          <cell r="O188" t="str"/>
          <cell r="P188" t="str"/>
          <cell r="Q188">
            <v>322</v>
          </cell>
          <cell r="R188" t="str">
            <v>新A*G0554</v>
          </cell>
          <cell r="S188" t="str">
            <v>公司筐</v>
          </cell>
          <cell r="T188" t="str"/>
          <cell r="U188" t="str"/>
          <cell r="V188" t="str"/>
          <cell r="W188" t="str"/>
          <cell r="X188" t="str"/>
          <cell r="Y188" t="str"/>
        </row>
        <row r="188">
          <cell r="AA188" t="str"/>
          <cell r="AB188" t="str"/>
          <cell r="AC188" t="str"/>
          <cell r="AD188" t="str"/>
          <cell r="AE188" t="str"/>
          <cell r="AF188" t="str"/>
        </row>
        <row r="189">
          <cell r="B189">
            <v>46276</v>
          </cell>
          <cell r="C189" t="str">
            <v>麦麦提</v>
          </cell>
          <cell r="D189" t="str">
            <v>原料入库</v>
          </cell>
          <cell r="E189" t="str">
            <v>NO:0000782</v>
          </cell>
          <cell r="F189" t="str">
            <v>香梨</v>
          </cell>
          <cell r="G189" t="str">
            <v>香梨一级</v>
          </cell>
          <cell r="H189">
            <v>158</v>
          </cell>
          <cell r="I189" t="str">
            <v>筐</v>
          </cell>
          <cell r="J189">
            <v>2891.4</v>
          </cell>
          <cell r="K189" t="str"/>
          <cell r="L189" t="str"/>
          <cell r="M189" t="str"/>
          <cell r="N189" t="str">
            <v>公司红周转筐</v>
          </cell>
          <cell r="O189" t="str"/>
          <cell r="P189" t="str"/>
          <cell r="Q189">
            <v>158</v>
          </cell>
          <cell r="R189" t="str">
            <v>新A*G0554</v>
          </cell>
          <cell r="S189" t="str">
            <v>公司筐</v>
          </cell>
          <cell r="T189" t="str"/>
          <cell r="U189" t="str"/>
          <cell r="V189" t="str"/>
          <cell r="W189" t="str"/>
          <cell r="X189" t="str"/>
          <cell r="Y189" t="str"/>
        </row>
        <row r="189">
          <cell r="AA189" t="str"/>
          <cell r="AB189" t="str"/>
          <cell r="AC189" t="str"/>
          <cell r="AD189" t="str"/>
          <cell r="AE189" t="str"/>
          <cell r="AF189" t="str"/>
        </row>
        <row r="190">
          <cell r="B190">
            <v>46276</v>
          </cell>
          <cell r="C190" t="str">
            <v>麦麦提</v>
          </cell>
          <cell r="D190" t="str">
            <v>原料入库</v>
          </cell>
          <cell r="E190" t="str">
            <v>NO:0000782</v>
          </cell>
          <cell r="F190" t="str">
            <v>香梨</v>
          </cell>
          <cell r="G190" t="str">
            <v>香梨二级</v>
          </cell>
          <cell r="H190">
            <v>146</v>
          </cell>
          <cell r="I190" t="str">
            <v>筐</v>
          </cell>
          <cell r="J190">
            <v>3255.8</v>
          </cell>
          <cell r="K190" t="str"/>
          <cell r="L190" t="str"/>
          <cell r="M190" t="str"/>
          <cell r="N190" t="str">
            <v>公司红周转筐</v>
          </cell>
          <cell r="O190" t="str"/>
          <cell r="P190" t="str"/>
          <cell r="Q190">
            <v>146</v>
          </cell>
          <cell r="R190" t="str">
            <v>新A*G0554</v>
          </cell>
          <cell r="S190" t="str">
            <v>公司筐</v>
          </cell>
          <cell r="T190" t="str"/>
          <cell r="U190" t="str"/>
          <cell r="V190" t="str"/>
          <cell r="W190" t="str"/>
          <cell r="X190" t="str"/>
          <cell r="Y190" t="str"/>
        </row>
        <row r="190">
          <cell r="AA190" t="str"/>
          <cell r="AB190" t="str"/>
          <cell r="AC190" t="str"/>
          <cell r="AD190" t="str"/>
          <cell r="AE190" t="str"/>
          <cell r="AF190" t="str"/>
        </row>
        <row r="191">
          <cell r="B191">
            <v>46276</v>
          </cell>
          <cell r="C191" t="str">
            <v>王浩</v>
          </cell>
          <cell r="D191" t="str">
            <v>原料入库</v>
          </cell>
          <cell r="E191" t="str">
            <v>NO:0000783</v>
          </cell>
          <cell r="F191" t="str">
            <v>香梨</v>
          </cell>
          <cell r="G191" t="str">
            <v>香梨一级</v>
          </cell>
          <cell r="H191">
            <v>1184</v>
          </cell>
          <cell r="I191" t="str">
            <v>筐</v>
          </cell>
          <cell r="J191">
            <v>21667.2</v>
          </cell>
          <cell r="K191" t="str"/>
          <cell r="L191" t="str"/>
          <cell r="M191" t="str"/>
          <cell r="N191" t="str">
            <v>公司一次性筐</v>
          </cell>
          <cell r="O191" t="str"/>
          <cell r="P191" t="str"/>
          <cell r="Q191">
            <v>1184</v>
          </cell>
          <cell r="R191" t="str">
            <v>新M*65781</v>
          </cell>
          <cell r="S191" t="str">
            <v>公司筐</v>
          </cell>
          <cell r="T191" t="str"/>
          <cell r="U191" t="str"/>
          <cell r="V191" t="str"/>
          <cell r="W191" t="str"/>
          <cell r="X191" t="str"/>
          <cell r="Y191" t="str"/>
        </row>
        <row r="191">
          <cell r="AA191" t="str"/>
          <cell r="AB191" t="str"/>
          <cell r="AC191" t="str"/>
          <cell r="AD191" t="str"/>
          <cell r="AE191" t="str"/>
          <cell r="AF191" t="str"/>
        </row>
        <row r="192">
          <cell r="B192">
            <v>46276</v>
          </cell>
          <cell r="C192" t="str">
            <v>吐尔洪</v>
          </cell>
          <cell r="D192" t="str">
            <v>原料入库</v>
          </cell>
          <cell r="E192" t="str">
            <v>NO:0000786</v>
          </cell>
          <cell r="F192" t="str">
            <v>香梨</v>
          </cell>
          <cell r="G192" t="str">
            <v>香梨特级</v>
          </cell>
          <cell r="H192">
            <v>88</v>
          </cell>
          <cell r="I192" t="str">
            <v>筐</v>
          </cell>
          <cell r="J192">
            <v>1610.4</v>
          </cell>
          <cell r="K192" t="str"/>
          <cell r="L192" t="str"/>
          <cell r="M192" t="str">
            <v>麦麦提</v>
          </cell>
          <cell r="N192" t="str">
            <v>公司红周转筐</v>
          </cell>
          <cell r="O192" t="str"/>
          <cell r="P192" t="str"/>
          <cell r="Q192">
            <v>88</v>
          </cell>
          <cell r="R192" t="str">
            <v>新N*X8S48</v>
          </cell>
          <cell r="S192" t="str">
            <v>公司筐</v>
          </cell>
          <cell r="T192" t="str"/>
          <cell r="U192" t="str"/>
          <cell r="V192" t="str"/>
          <cell r="W192" t="str"/>
          <cell r="X192" t="str"/>
          <cell r="Y192" t="str"/>
        </row>
        <row r="192">
          <cell r="AA192" t="str"/>
          <cell r="AB192" t="str"/>
          <cell r="AC192" t="str"/>
          <cell r="AD192" t="str"/>
          <cell r="AE192" t="str"/>
          <cell r="AF192" t="str"/>
        </row>
        <row r="193">
          <cell r="B193">
            <v>46276</v>
          </cell>
          <cell r="C193" t="str">
            <v>吐尔洪</v>
          </cell>
          <cell r="D193" t="str">
            <v>原料入库</v>
          </cell>
          <cell r="E193" t="str">
            <v>NO:0000786</v>
          </cell>
          <cell r="F193" t="str">
            <v>香梨</v>
          </cell>
          <cell r="G193" t="str">
            <v>香梨一级</v>
          </cell>
          <cell r="H193">
            <v>43</v>
          </cell>
          <cell r="I193" t="str">
            <v>筐</v>
          </cell>
          <cell r="J193">
            <v>786.9</v>
          </cell>
          <cell r="K193" t="str"/>
          <cell r="L193" t="str"/>
          <cell r="M193" t="str">
            <v>麦麦提</v>
          </cell>
          <cell r="N193" t="str">
            <v>公司红周转筐</v>
          </cell>
          <cell r="O193" t="str"/>
          <cell r="P193" t="str"/>
          <cell r="Q193">
            <v>43</v>
          </cell>
          <cell r="R193" t="str">
            <v>新N*X8S48</v>
          </cell>
          <cell r="S193" t="str">
            <v>公司筐</v>
          </cell>
          <cell r="T193" t="str"/>
          <cell r="U193" t="str"/>
          <cell r="V193" t="str"/>
          <cell r="W193" t="str"/>
          <cell r="X193" t="str"/>
          <cell r="Y193" t="str"/>
        </row>
        <row r="193">
          <cell r="AA193" t="str"/>
          <cell r="AB193" t="str"/>
          <cell r="AC193" t="str"/>
          <cell r="AD193" t="str"/>
          <cell r="AE193" t="str"/>
          <cell r="AF193" t="str"/>
        </row>
        <row r="194">
          <cell r="B194">
            <v>46276</v>
          </cell>
          <cell r="C194" t="str">
            <v>吐尔洪</v>
          </cell>
          <cell r="D194" t="str">
            <v>原料入库</v>
          </cell>
          <cell r="E194" t="str">
            <v>NO:0000786</v>
          </cell>
          <cell r="F194" t="str">
            <v>香梨</v>
          </cell>
          <cell r="G194" t="str">
            <v>香梨二级</v>
          </cell>
          <cell r="H194">
            <v>88</v>
          </cell>
          <cell r="I194" t="str">
            <v>筐</v>
          </cell>
          <cell r="J194">
            <v>1962.4</v>
          </cell>
          <cell r="K194" t="str"/>
          <cell r="L194" t="str"/>
          <cell r="M194" t="str">
            <v>麦麦提</v>
          </cell>
          <cell r="N194" t="str">
            <v>公司红周转筐</v>
          </cell>
          <cell r="O194" t="str"/>
          <cell r="P194" t="str"/>
          <cell r="Q194">
            <v>88</v>
          </cell>
          <cell r="R194" t="str">
            <v>新N*X8S48</v>
          </cell>
          <cell r="S194" t="str">
            <v>公司筐</v>
          </cell>
          <cell r="T194" t="str"/>
          <cell r="U194" t="str"/>
          <cell r="V194" t="str"/>
          <cell r="W194" t="str"/>
          <cell r="X194" t="str"/>
          <cell r="Y194" t="str"/>
        </row>
        <row r="194">
          <cell r="AA194" t="str"/>
          <cell r="AB194" t="str"/>
          <cell r="AC194" t="str"/>
          <cell r="AD194" t="str"/>
          <cell r="AE194" t="str"/>
          <cell r="AF194" t="str"/>
        </row>
        <row r="195">
          <cell r="B195">
            <v>46276</v>
          </cell>
          <cell r="C195" t="str">
            <v>贾建国</v>
          </cell>
          <cell r="D195" t="str">
            <v>原料入库</v>
          </cell>
          <cell r="E195" t="str">
            <v>NO:0000787</v>
          </cell>
          <cell r="F195" t="str">
            <v>香梨</v>
          </cell>
          <cell r="G195" t="str">
            <v>香梨副特</v>
          </cell>
          <cell r="H195">
            <v>393</v>
          </cell>
          <cell r="I195" t="str">
            <v>筐</v>
          </cell>
          <cell r="J195">
            <v>7584.9</v>
          </cell>
          <cell r="K195" t="str"/>
          <cell r="L195" t="str"/>
          <cell r="M195" t="str"/>
          <cell r="N195" t="str">
            <v>自备一次性筐</v>
          </cell>
          <cell r="O195" t="str"/>
          <cell r="P195" t="str"/>
          <cell r="Q195">
            <v>393</v>
          </cell>
          <cell r="R195" t="str">
            <v>豫Q*H5591</v>
          </cell>
          <cell r="S195" t="str">
            <v>自备筐</v>
          </cell>
          <cell r="T195" t="str"/>
          <cell r="U195" t="str"/>
          <cell r="V195" t="str"/>
          <cell r="W195" t="str"/>
          <cell r="X195" t="str"/>
          <cell r="Y195" t="str"/>
        </row>
        <row r="195">
          <cell r="AA195" t="str"/>
          <cell r="AB195" t="str"/>
          <cell r="AC195" t="str"/>
          <cell r="AD195" t="str"/>
          <cell r="AE195" t="str"/>
          <cell r="AF195" t="str"/>
        </row>
        <row r="196">
          <cell r="B196">
            <v>46276</v>
          </cell>
          <cell r="C196" t="str">
            <v>贾建国</v>
          </cell>
          <cell r="D196" t="str">
            <v>原料入库</v>
          </cell>
          <cell r="E196" t="str">
            <v>NO:0000787</v>
          </cell>
          <cell r="F196" t="str">
            <v>香梨</v>
          </cell>
          <cell r="G196" t="str">
            <v>香梨副特</v>
          </cell>
          <cell r="H196">
            <v>3</v>
          </cell>
          <cell r="I196" t="str">
            <v>筐</v>
          </cell>
          <cell r="J196">
            <v>57.9</v>
          </cell>
          <cell r="K196" t="str"/>
          <cell r="L196" t="str"/>
          <cell r="M196" t="str"/>
          <cell r="N196" t="str">
            <v>公司一次性筐</v>
          </cell>
          <cell r="O196" t="str"/>
          <cell r="P196" t="str"/>
          <cell r="Q196">
            <v>3</v>
          </cell>
          <cell r="R196" t="str">
            <v>豫Q*H5591</v>
          </cell>
          <cell r="S196" t="str">
            <v>公司筐</v>
          </cell>
          <cell r="T196" t="str"/>
          <cell r="U196" t="str"/>
          <cell r="V196" t="str"/>
          <cell r="W196" t="str"/>
          <cell r="X196" t="str"/>
          <cell r="Y196" t="str"/>
        </row>
        <row r="196">
          <cell r="AA196" t="str"/>
          <cell r="AB196" t="str"/>
          <cell r="AC196" t="str"/>
          <cell r="AD196" t="str"/>
          <cell r="AE196" t="str"/>
          <cell r="AF196" t="str"/>
        </row>
        <row r="197">
          <cell r="B197">
            <v>46277</v>
          </cell>
          <cell r="C197" t="str">
            <v>王照雪</v>
          </cell>
          <cell r="D197" t="str">
            <v>原料入库</v>
          </cell>
          <cell r="E197" t="str">
            <v>NO:0000789</v>
          </cell>
          <cell r="F197" t="str">
            <v>香梨</v>
          </cell>
          <cell r="G197" t="str">
            <v>香梨一级</v>
          </cell>
          <cell r="H197">
            <v>99</v>
          </cell>
          <cell r="I197" t="str">
            <v>筐</v>
          </cell>
          <cell r="J197">
            <v>1831.5</v>
          </cell>
          <cell r="K197" t="str"/>
          <cell r="L197" t="str"/>
          <cell r="M197" t="str"/>
          <cell r="N197" t="str">
            <v>公司一次性筐</v>
          </cell>
          <cell r="O197" t="str"/>
          <cell r="P197" t="str"/>
          <cell r="Q197">
            <v>99</v>
          </cell>
          <cell r="R197" t="str">
            <v>豫L*88X19</v>
          </cell>
          <cell r="S197" t="str">
            <v>公司筐</v>
          </cell>
          <cell r="T197" t="str"/>
          <cell r="U197" t="str"/>
          <cell r="V197" t="str"/>
          <cell r="W197" t="str"/>
          <cell r="X197" t="str"/>
          <cell r="Y197" t="str"/>
        </row>
        <row r="197">
          <cell r="AA197" t="str"/>
          <cell r="AB197" t="str"/>
          <cell r="AC197" t="str"/>
          <cell r="AD197" t="str"/>
          <cell r="AE197" t="str"/>
          <cell r="AF197" t="str"/>
        </row>
        <row r="198">
          <cell r="B198">
            <v>46277</v>
          </cell>
          <cell r="C198" t="str">
            <v>王照雪</v>
          </cell>
          <cell r="D198" t="str">
            <v>原料入库</v>
          </cell>
          <cell r="E198" t="str">
            <v>NO:0000789</v>
          </cell>
          <cell r="F198" t="str">
            <v>香梨</v>
          </cell>
          <cell r="G198" t="str">
            <v>香梨二级</v>
          </cell>
          <cell r="H198">
            <v>26</v>
          </cell>
          <cell r="I198" t="str">
            <v>筐</v>
          </cell>
          <cell r="J198">
            <v>585</v>
          </cell>
          <cell r="K198" t="str"/>
          <cell r="L198" t="str"/>
          <cell r="M198" t="str"/>
          <cell r="N198" t="str">
            <v>公司一次性筐</v>
          </cell>
          <cell r="O198" t="str"/>
          <cell r="P198" t="str"/>
          <cell r="Q198">
            <v>26</v>
          </cell>
          <cell r="R198" t="str">
            <v>豫L*88X19</v>
          </cell>
          <cell r="S198" t="str">
            <v>公司筐</v>
          </cell>
          <cell r="T198" t="str"/>
          <cell r="U198" t="str"/>
          <cell r="V198" t="str"/>
          <cell r="W198" t="str"/>
          <cell r="X198" t="str"/>
          <cell r="Y198" t="str"/>
        </row>
        <row r="198">
          <cell r="AA198" t="str"/>
          <cell r="AB198" t="str"/>
          <cell r="AC198" t="str"/>
          <cell r="AD198" t="str"/>
          <cell r="AE198" t="str"/>
          <cell r="AF198" t="str"/>
        </row>
        <row r="199">
          <cell r="B199">
            <v>46277</v>
          </cell>
          <cell r="C199" t="str">
            <v>王照雪</v>
          </cell>
          <cell r="D199" t="str">
            <v>原料入库</v>
          </cell>
          <cell r="E199" t="str">
            <v>NO:0000789</v>
          </cell>
          <cell r="F199" t="str">
            <v>香梨</v>
          </cell>
          <cell r="G199" t="str">
            <v>香梨副特</v>
          </cell>
          <cell r="H199">
            <v>89</v>
          </cell>
          <cell r="I199" t="str">
            <v>筐</v>
          </cell>
          <cell r="J199">
            <v>1646.5</v>
          </cell>
          <cell r="K199" t="str"/>
          <cell r="L199" t="str"/>
          <cell r="M199" t="str"/>
          <cell r="N199" t="str">
            <v>公司一次性筐</v>
          </cell>
          <cell r="O199" t="str"/>
          <cell r="P199" t="str"/>
          <cell r="Q199">
            <v>89</v>
          </cell>
          <cell r="R199" t="str">
            <v>豫L*88X19</v>
          </cell>
          <cell r="S199" t="str">
            <v>公司筐</v>
          </cell>
          <cell r="T199" t="str"/>
          <cell r="U199" t="str"/>
          <cell r="V199" t="str"/>
          <cell r="W199" t="str"/>
          <cell r="X199" t="str"/>
          <cell r="Y199" t="str"/>
        </row>
        <row r="199">
          <cell r="AA199" t="str"/>
          <cell r="AB199" t="str"/>
          <cell r="AC199" t="str"/>
          <cell r="AD199" t="str"/>
          <cell r="AE199" t="str"/>
          <cell r="AF199" t="str"/>
        </row>
        <row r="200">
          <cell r="B200">
            <v>46277</v>
          </cell>
          <cell r="C200" t="str">
            <v>马锦祥</v>
          </cell>
          <cell r="D200" t="str">
            <v>原料入库</v>
          </cell>
          <cell r="E200" t="str">
            <v>NO:0000790</v>
          </cell>
          <cell r="F200" t="str">
            <v>香梨</v>
          </cell>
          <cell r="G200" t="str">
            <v>香梨一级</v>
          </cell>
          <cell r="H200">
            <v>312</v>
          </cell>
          <cell r="I200" t="str">
            <v>筐</v>
          </cell>
          <cell r="J200">
            <v>5709.6</v>
          </cell>
          <cell r="K200" t="str"/>
          <cell r="L200" t="str"/>
          <cell r="M200" t="str"/>
          <cell r="N200" t="str">
            <v>公司杂周转筐</v>
          </cell>
          <cell r="O200" t="str"/>
          <cell r="P200" t="str"/>
          <cell r="Q200">
            <v>312</v>
          </cell>
          <cell r="R200" t="str">
            <v>新N*K7V85</v>
          </cell>
          <cell r="S200" t="str">
            <v>公司筐</v>
          </cell>
          <cell r="T200" t="str"/>
          <cell r="U200" t="str"/>
          <cell r="V200" t="str"/>
          <cell r="W200" t="str"/>
          <cell r="X200" t="str"/>
          <cell r="Y200" t="str"/>
        </row>
        <row r="200">
          <cell r="AA200" t="str"/>
          <cell r="AB200" t="str"/>
          <cell r="AC200" t="str"/>
          <cell r="AD200" t="str"/>
          <cell r="AE200" t="str"/>
          <cell r="AF200" t="str"/>
        </row>
        <row r="201">
          <cell r="B201">
            <v>46277</v>
          </cell>
          <cell r="C201" t="str">
            <v>马锦祥</v>
          </cell>
          <cell r="D201" t="str">
            <v>原料入库</v>
          </cell>
          <cell r="E201" t="str">
            <v>NO:0000790</v>
          </cell>
          <cell r="F201" t="str">
            <v>香梨</v>
          </cell>
          <cell r="G201" t="str">
            <v>香梨二级</v>
          </cell>
          <cell r="H201">
            <v>53</v>
          </cell>
          <cell r="I201" t="str">
            <v>筐</v>
          </cell>
          <cell r="J201">
            <v>1181.9</v>
          </cell>
          <cell r="K201" t="str"/>
          <cell r="L201" t="str"/>
          <cell r="M201" t="str"/>
          <cell r="N201" t="str">
            <v>公司杂周转筐</v>
          </cell>
          <cell r="O201" t="str"/>
          <cell r="P201" t="str"/>
          <cell r="Q201">
            <v>53</v>
          </cell>
          <cell r="R201" t="str">
            <v>新N*K7V85</v>
          </cell>
          <cell r="S201" t="str">
            <v>公司筐</v>
          </cell>
          <cell r="T201" t="str"/>
          <cell r="U201" t="str"/>
          <cell r="V201" t="str"/>
          <cell r="W201" t="str"/>
          <cell r="X201" t="str"/>
          <cell r="Y201" t="str"/>
        </row>
        <row r="201">
          <cell r="AA201" t="str"/>
          <cell r="AB201" t="str"/>
          <cell r="AC201" t="str"/>
          <cell r="AD201" t="str"/>
          <cell r="AE201" t="str"/>
          <cell r="AF201" t="str"/>
        </row>
        <row r="202">
          <cell r="B202">
            <v>46277</v>
          </cell>
          <cell r="C202" t="str">
            <v>马锦祥</v>
          </cell>
          <cell r="D202" t="str">
            <v>原料入库</v>
          </cell>
          <cell r="E202" t="str">
            <v>NO:0000790</v>
          </cell>
          <cell r="F202" t="str">
            <v>香梨</v>
          </cell>
          <cell r="G202" t="str">
            <v>香梨副特</v>
          </cell>
          <cell r="H202">
            <v>35</v>
          </cell>
          <cell r="I202" t="str">
            <v>筐</v>
          </cell>
          <cell r="J202">
            <v>640.5</v>
          </cell>
          <cell r="K202" t="str"/>
          <cell r="L202" t="str"/>
          <cell r="M202" t="str"/>
          <cell r="N202" t="str">
            <v>公司杂周转筐</v>
          </cell>
          <cell r="O202" t="str"/>
          <cell r="P202" t="str"/>
          <cell r="Q202">
            <v>35</v>
          </cell>
          <cell r="R202" t="str">
            <v>新N*K7V85</v>
          </cell>
          <cell r="S202" t="str">
            <v>公司筐</v>
          </cell>
          <cell r="T202" t="str"/>
          <cell r="U202" t="str"/>
          <cell r="V202" t="str"/>
          <cell r="W202" t="str"/>
          <cell r="X202" t="str"/>
          <cell r="Y202" t="str"/>
        </row>
        <row r="202">
          <cell r="AA202" t="str"/>
          <cell r="AB202" t="str"/>
          <cell r="AC202" t="str"/>
          <cell r="AD202" t="str"/>
          <cell r="AE202" t="str"/>
          <cell r="AF202" t="str"/>
        </row>
        <row r="203">
          <cell r="B203">
            <v>46277</v>
          </cell>
          <cell r="C203" t="str">
            <v>王照雪</v>
          </cell>
          <cell r="D203" t="str">
            <v>原料入库</v>
          </cell>
          <cell r="E203" t="str">
            <v>NO:0000792</v>
          </cell>
          <cell r="F203" t="str">
            <v>苹果</v>
          </cell>
          <cell r="G203" t="str">
            <v>新世纪一级</v>
          </cell>
          <cell r="H203">
            <v>110</v>
          </cell>
          <cell r="I203" t="str">
            <v>筐</v>
          </cell>
          <cell r="J203">
            <v>1903</v>
          </cell>
          <cell r="K203" t="str"/>
          <cell r="L203" t="str"/>
          <cell r="M203" t="str">
            <v>光果</v>
          </cell>
          <cell r="N203" t="str">
            <v>公司杂周转筐</v>
          </cell>
          <cell r="O203" t="str"/>
          <cell r="P203" t="str"/>
          <cell r="Q203">
            <v>110</v>
          </cell>
          <cell r="R203" t="str">
            <v>豫L*88X19</v>
          </cell>
          <cell r="S203" t="str">
            <v>公司筐</v>
          </cell>
          <cell r="T203" t="str"/>
          <cell r="U203" t="str"/>
          <cell r="V203" t="str"/>
          <cell r="W203" t="str"/>
          <cell r="X203" t="str"/>
          <cell r="Y203" t="str"/>
        </row>
        <row r="203">
          <cell r="AA203" t="str"/>
          <cell r="AB203" t="str"/>
          <cell r="AC203" t="str"/>
          <cell r="AD203" t="str"/>
          <cell r="AE203" t="str"/>
          <cell r="AF203" t="str"/>
        </row>
        <row r="204">
          <cell r="B204">
            <v>46277</v>
          </cell>
          <cell r="C204" t="str">
            <v>王照雪</v>
          </cell>
          <cell r="D204" t="str">
            <v>原料入库</v>
          </cell>
          <cell r="E204" t="str">
            <v>NO:0000792</v>
          </cell>
          <cell r="F204" t="str">
            <v>苹果</v>
          </cell>
          <cell r="G204" t="str">
            <v>新世纪二级</v>
          </cell>
          <cell r="H204">
            <v>58</v>
          </cell>
          <cell r="I204" t="str">
            <v>筐</v>
          </cell>
          <cell r="J204">
            <v>1293.4</v>
          </cell>
          <cell r="K204" t="str"/>
          <cell r="L204" t="str"/>
          <cell r="M204" t="str">
            <v>光果</v>
          </cell>
          <cell r="N204" t="str">
            <v>公司杂周转筐</v>
          </cell>
          <cell r="O204" t="str"/>
          <cell r="P204" t="str"/>
          <cell r="Q204">
            <v>58</v>
          </cell>
          <cell r="R204" t="str">
            <v>豫L*88X19</v>
          </cell>
          <cell r="S204" t="str">
            <v>公司筐</v>
          </cell>
          <cell r="T204" t="str"/>
          <cell r="U204" t="str"/>
          <cell r="V204" t="str"/>
          <cell r="W204" t="str"/>
          <cell r="X204" t="str"/>
          <cell r="Y204" t="str"/>
        </row>
        <row r="204">
          <cell r="AA204" t="str"/>
          <cell r="AB204" t="str"/>
          <cell r="AC204" t="str"/>
          <cell r="AD204" t="str"/>
          <cell r="AE204" t="str"/>
          <cell r="AF204" t="str"/>
        </row>
        <row r="205">
          <cell r="B205">
            <v>46277</v>
          </cell>
          <cell r="C205" t="str">
            <v>麦麦提</v>
          </cell>
          <cell r="D205" t="str">
            <v>原料入库</v>
          </cell>
          <cell r="E205" t="str">
            <v>NO:0000793</v>
          </cell>
          <cell r="F205" t="str">
            <v>香梨</v>
          </cell>
          <cell r="G205" t="str">
            <v>香梨特级</v>
          </cell>
          <cell r="H205">
            <v>291</v>
          </cell>
          <cell r="I205" t="str">
            <v>筐</v>
          </cell>
          <cell r="J205">
            <v>5325.3</v>
          </cell>
          <cell r="K205" t="str"/>
          <cell r="L205" t="str"/>
          <cell r="M205" t="str"/>
          <cell r="N205" t="str">
            <v>公司红周转筐</v>
          </cell>
          <cell r="O205" t="str"/>
          <cell r="P205" t="str"/>
          <cell r="Q205">
            <v>291</v>
          </cell>
          <cell r="R205" t="str">
            <v>新A*G0554</v>
          </cell>
          <cell r="S205" t="str">
            <v>公司筐</v>
          </cell>
          <cell r="T205" t="str"/>
          <cell r="U205" t="str"/>
          <cell r="V205" t="str"/>
          <cell r="W205" t="str"/>
          <cell r="X205" t="str"/>
          <cell r="Y205" t="str"/>
        </row>
        <row r="205">
          <cell r="AA205" t="str"/>
          <cell r="AB205" t="str"/>
          <cell r="AC205" t="str"/>
          <cell r="AD205" t="str"/>
          <cell r="AE205" t="str"/>
          <cell r="AF205" t="str"/>
        </row>
        <row r="206">
          <cell r="B206">
            <v>46277</v>
          </cell>
          <cell r="C206" t="str">
            <v>麦麦提</v>
          </cell>
          <cell r="D206" t="str">
            <v>原料入库</v>
          </cell>
          <cell r="E206" t="str">
            <v>NO:0000793</v>
          </cell>
          <cell r="F206" t="str">
            <v>香梨</v>
          </cell>
          <cell r="G206" t="str">
            <v>香梨一级</v>
          </cell>
          <cell r="H206">
            <v>194</v>
          </cell>
          <cell r="I206" t="str">
            <v>筐</v>
          </cell>
          <cell r="J206">
            <v>3550.2</v>
          </cell>
          <cell r="K206" t="str"/>
          <cell r="L206" t="str"/>
          <cell r="M206" t="str"/>
          <cell r="N206" t="str">
            <v>公司红周转筐</v>
          </cell>
          <cell r="O206" t="str"/>
          <cell r="P206" t="str"/>
          <cell r="Q206">
            <v>194</v>
          </cell>
          <cell r="R206" t="str">
            <v>新A*G0554</v>
          </cell>
          <cell r="S206" t="str">
            <v>公司筐</v>
          </cell>
          <cell r="T206" t="str"/>
          <cell r="U206" t="str"/>
          <cell r="V206" t="str"/>
          <cell r="W206" t="str"/>
          <cell r="X206" t="str"/>
          <cell r="Y206" t="str"/>
        </row>
        <row r="206">
          <cell r="AA206" t="str"/>
          <cell r="AB206" t="str"/>
          <cell r="AC206" t="str"/>
          <cell r="AD206" t="str"/>
          <cell r="AE206" t="str"/>
          <cell r="AF206" t="str"/>
        </row>
        <row r="207">
          <cell r="B207">
            <v>46277</v>
          </cell>
          <cell r="C207" t="str">
            <v>麦麦提</v>
          </cell>
          <cell r="D207" t="str">
            <v>原料入库</v>
          </cell>
          <cell r="E207" t="str">
            <v>NO:0000793</v>
          </cell>
          <cell r="F207" t="str">
            <v>香梨</v>
          </cell>
          <cell r="G207" t="str">
            <v>香梨二级</v>
          </cell>
          <cell r="H207">
            <v>168</v>
          </cell>
          <cell r="I207" t="str">
            <v>筐</v>
          </cell>
          <cell r="J207">
            <v>3746.4</v>
          </cell>
          <cell r="K207" t="str"/>
          <cell r="L207" t="str"/>
          <cell r="M207" t="str"/>
          <cell r="N207" t="str">
            <v>公司红周转筐</v>
          </cell>
          <cell r="O207" t="str"/>
          <cell r="P207" t="str"/>
          <cell r="Q207">
            <v>168</v>
          </cell>
          <cell r="R207" t="str">
            <v>新A*G0554</v>
          </cell>
          <cell r="S207" t="str">
            <v>公司筐</v>
          </cell>
          <cell r="T207" t="str"/>
          <cell r="U207" t="str"/>
          <cell r="V207" t="str"/>
          <cell r="W207" t="str"/>
          <cell r="X207" t="str"/>
          <cell r="Y207" t="str"/>
        </row>
        <row r="207">
          <cell r="AA207" t="str"/>
          <cell r="AB207" t="str"/>
          <cell r="AC207" t="str"/>
          <cell r="AD207" t="str"/>
          <cell r="AE207" t="str"/>
          <cell r="AF207" t="str"/>
        </row>
        <row r="208">
          <cell r="B208">
            <v>46277</v>
          </cell>
          <cell r="C208" t="str">
            <v>王灵云</v>
          </cell>
          <cell r="D208" t="str">
            <v>原料入库</v>
          </cell>
          <cell r="E208" t="str">
            <v>NO:0000794</v>
          </cell>
          <cell r="F208" t="str">
            <v>香梨</v>
          </cell>
          <cell r="G208" t="str">
            <v>香梨一级</v>
          </cell>
          <cell r="H208">
            <v>384</v>
          </cell>
          <cell r="I208" t="str">
            <v>筐</v>
          </cell>
          <cell r="J208">
            <v>7027.2</v>
          </cell>
          <cell r="K208" t="str"/>
          <cell r="L208" t="str"/>
          <cell r="M208" t="str"/>
          <cell r="N208" t="str">
            <v>公司红周转筐</v>
          </cell>
          <cell r="O208" t="str"/>
          <cell r="P208" t="str"/>
          <cell r="Q208">
            <v>384</v>
          </cell>
          <cell r="R208" t="str">
            <v>新N*49209</v>
          </cell>
          <cell r="S208" t="str">
            <v>公司筐</v>
          </cell>
          <cell r="T208" t="str"/>
          <cell r="U208" t="str"/>
          <cell r="V208" t="str"/>
          <cell r="W208" t="str"/>
          <cell r="X208" t="str"/>
          <cell r="Y208" t="str"/>
        </row>
        <row r="208">
          <cell r="AA208" t="str"/>
          <cell r="AB208" t="str"/>
          <cell r="AC208" t="str"/>
          <cell r="AD208" t="str"/>
          <cell r="AE208" t="str"/>
          <cell r="AF208" t="str"/>
        </row>
        <row r="209">
          <cell r="B209">
            <v>46277</v>
          </cell>
          <cell r="C209" t="str">
            <v>王灵云</v>
          </cell>
          <cell r="D209" t="str">
            <v>原料入库</v>
          </cell>
          <cell r="E209" t="str">
            <v>NO:0000794</v>
          </cell>
          <cell r="F209" t="str">
            <v>香梨</v>
          </cell>
          <cell r="G209" t="str">
            <v>香梨二级</v>
          </cell>
          <cell r="H209">
            <v>52</v>
          </cell>
          <cell r="I209" t="str">
            <v>筐</v>
          </cell>
          <cell r="J209">
            <v>1211.6</v>
          </cell>
          <cell r="K209" t="str"/>
          <cell r="L209" t="str"/>
          <cell r="M209" t="str"/>
          <cell r="N209" t="str">
            <v>公司红周转筐</v>
          </cell>
          <cell r="O209" t="str"/>
          <cell r="P209" t="str"/>
          <cell r="Q209">
            <v>52</v>
          </cell>
          <cell r="R209" t="str">
            <v>新N*49209</v>
          </cell>
          <cell r="S209" t="str">
            <v>公司筐</v>
          </cell>
          <cell r="T209" t="str"/>
          <cell r="U209" t="str"/>
          <cell r="V209" t="str"/>
          <cell r="W209" t="str"/>
          <cell r="X209" t="str"/>
          <cell r="Y209" t="str"/>
        </row>
        <row r="209">
          <cell r="AA209" t="str"/>
          <cell r="AB209" t="str"/>
          <cell r="AC209" t="str"/>
          <cell r="AD209" t="str"/>
          <cell r="AE209" t="str"/>
          <cell r="AF209" t="str"/>
        </row>
        <row r="210">
          <cell r="B210">
            <v>46277</v>
          </cell>
          <cell r="C210" t="str">
            <v>王灵云</v>
          </cell>
          <cell r="D210" t="str">
            <v>原料入库</v>
          </cell>
          <cell r="E210" t="str">
            <v>NO:0000794</v>
          </cell>
          <cell r="F210" t="str">
            <v>香梨</v>
          </cell>
          <cell r="G210" t="str">
            <v>香梨副特</v>
          </cell>
          <cell r="H210">
            <v>208</v>
          </cell>
          <cell r="I210" t="str">
            <v>筐</v>
          </cell>
          <cell r="J210">
            <v>3806.4</v>
          </cell>
          <cell r="K210" t="str"/>
          <cell r="L210" t="str"/>
          <cell r="M210" t="str"/>
          <cell r="N210" t="str">
            <v>公司红周转筐</v>
          </cell>
          <cell r="O210" t="str"/>
          <cell r="P210" t="str"/>
          <cell r="Q210">
            <v>208</v>
          </cell>
          <cell r="R210" t="str">
            <v>新N*49209</v>
          </cell>
          <cell r="S210" t="str">
            <v>公司筐</v>
          </cell>
          <cell r="T210" t="str"/>
          <cell r="U210" t="str"/>
          <cell r="V210" t="str"/>
          <cell r="W210" t="str"/>
          <cell r="X210" t="str"/>
          <cell r="Y210" t="str"/>
        </row>
        <row r="210">
          <cell r="AA210" t="str"/>
          <cell r="AB210" t="str"/>
          <cell r="AC210" t="str"/>
          <cell r="AD210" t="str"/>
          <cell r="AE210" t="str"/>
          <cell r="AF210" t="str"/>
        </row>
        <row r="211">
          <cell r="B211">
            <v>46278</v>
          </cell>
          <cell r="C211" t="str">
            <v>贾建国</v>
          </cell>
          <cell r="D211" t="str">
            <v>原料入库</v>
          </cell>
          <cell r="E211" t="str">
            <v>NO:0000797</v>
          </cell>
          <cell r="F211" t="str">
            <v>香梨</v>
          </cell>
          <cell r="G211" t="str">
            <v>香梨二级</v>
          </cell>
          <cell r="H211">
            <v>160</v>
          </cell>
          <cell r="I211" t="str">
            <v>筐</v>
          </cell>
          <cell r="J211">
            <v>3600</v>
          </cell>
          <cell r="K211" t="str"/>
          <cell r="L211" t="str"/>
          <cell r="M211" t="str"/>
          <cell r="N211" t="str">
            <v>自备杂周转筐</v>
          </cell>
          <cell r="O211" t="str"/>
          <cell r="P211" t="str"/>
          <cell r="Q211">
            <v>160</v>
          </cell>
          <cell r="R211" t="str">
            <v>豫Q*H5591</v>
          </cell>
          <cell r="S211" t="str">
            <v>自备筐</v>
          </cell>
          <cell r="T211" t="str"/>
          <cell r="U211" t="str"/>
          <cell r="V211" t="str"/>
          <cell r="W211" t="str"/>
          <cell r="X211" t="str"/>
          <cell r="Y211" t="str"/>
        </row>
        <row r="211">
          <cell r="AA211" t="str"/>
          <cell r="AB211" t="str"/>
          <cell r="AC211" t="str"/>
          <cell r="AD211" t="str"/>
          <cell r="AE211" t="str"/>
          <cell r="AF211" t="str"/>
        </row>
        <row r="212">
          <cell r="B212">
            <v>46278</v>
          </cell>
          <cell r="C212" t="str">
            <v>贾建国</v>
          </cell>
          <cell r="D212" t="str">
            <v>原料入库</v>
          </cell>
          <cell r="E212" t="str">
            <v>NO:0000797</v>
          </cell>
          <cell r="F212" t="str">
            <v>香梨</v>
          </cell>
          <cell r="G212" t="str">
            <v>香梨副特</v>
          </cell>
          <cell r="H212">
            <v>267</v>
          </cell>
          <cell r="I212" t="str">
            <v>筐</v>
          </cell>
          <cell r="J212">
            <v>5153.1</v>
          </cell>
          <cell r="K212" t="str"/>
          <cell r="L212" t="str"/>
          <cell r="M212" t="str"/>
          <cell r="N212" t="str">
            <v>自备一次性筐</v>
          </cell>
          <cell r="O212" t="str"/>
          <cell r="P212" t="str"/>
          <cell r="Q212">
            <v>267</v>
          </cell>
          <cell r="R212" t="str">
            <v>豫Q*H5591</v>
          </cell>
          <cell r="S212" t="str">
            <v>自备筐</v>
          </cell>
          <cell r="T212" t="str"/>
          <cell r="U212" t="str"/>
          <cell r="V212" t="str"/>
          <cell r="W212" t="str"/>
          <cell r="X212" t="str"/>
          <cell r="Y212" t="str"/>
        </row>
        <row r="212">
          <cell r="AA212" t="str"/>
          <cell r="AB212" t="str"/>
          <cell r="AC212" t="str"/>
          <cell r="AD212" t="str"/>
          <cell r="AE212" t="str"/>
          <cell r="AF212" t="str"/>
        </row>
        <row r="213">
          <cell r="B213">
            <v>46278</v>
          </cell>
          <cell r="C213" t="str">
            <v>贾建国</v>
          </cell>
          <cell r="D213" t="str">
            <v>原料入库</v>
          </cell>
          <cell r="E213" t="str">
            <v>NO:0000797</v>
          </cell>
          <cell r="F213" t="str">
            <v>香梨</v>
          </cell>
          <cell r="G213" t="str">
            <v>香梨副特</v>
          </cell>
          <cell r="H213">
            <v>2</v>
          </cell>
          <cell r="I213" t="str">
            <v>筐</v>
          </cell>
          <cell r="J213">
            <v>38.6</v>
          </cell>
          <cell r="K213" t="str"/>
          <cell r="L213" t="str"/>
          <cell r="M213" t="str"/>
          <cell r="N213" t="str">
            <v>公司一次性筐</v>
          </cell>
          <cell r="O213" t="str"/>
          <cell r="P213" t="str"/>
          <cell r="Q213">
            <v>2</v>
          </cell>
          <cell r="R213" t="str">
            <v>豫Q*H5591</v>
          </cell>
          <cell r="S213" t="str">
            <v>公司筐</v>
          </cell>
          <cell r="T213" t="str"/>
          <cell r="U213" t="str"/>
          <cell r="V213" t="str"/>
          <cell r="W213" t="str"/>
          <cell r="X213" t="str"/>
          <cell r="Y213" t="str"/>
        </row>
        <row r="213">
          <cell r="AA213" t="str"/>
          <cell r="AB213" t="str"/>
          <cell r="AC213" t="str"/>
          <cell r="AD213" t="str"/>
          <cell r="AE213" t="str"/>
          <cell r="AF213" t="str"/>
        </row>
        <row r="214">
          <cell r="B214">
            <v>46278</v>
          </cell>
          <cell r="C214" t="str">
            <v>吐尔洪</v>
          </cell>
          <cell r="D214" t="str">
            <v>原料入库</v>
          </cell>
          <cell r="E214" t="str">
            <v>NO:0000799</v>
          </cell>
          <cell r="F214" t="str">
            <v>香梨</v>
          </cell>
          <cell r="G214" t="str">
            <v>香梨特级</v>
          </cell>
          <cell r="H214">
            <v>133</v>
          </cell>
          <cell r="I214" t="str">
            <v>筐</v>
          </cell>
          <cell r="J214">
            <v>2433.9</v>
          </cell>
          <cell r="K214" t="str"/>
          <cell r="L214" t="str"/>
          <cell r="M214" t="str">
            <v>麦麦提</v>
          </cell>
          <cell r="N214" t="str">
            <v>公司红周转筐</v>
          </cell>
          <cell r="O214" t="str"/>
          <cell r="P214" t="str"/>
          <cell r="Q214">
            <v>133</v>
          </cell>
          <cell r="R214" t="str">
            <v>新N*X8S48</v>
          </cell>
          <cell r="S214" t="str">
            <v>公司筐</v>
          </cell>
          <cell r="T214" t="str"/>
          <cell r="U214" t="str"/>
          <cell r="V214" t="str"/>
          <cell r="W214" t="str"/>
          <cell r="X214" t="str"/>
          <cell r="Y214" t="str"/>
        </row>
        <row r="214">
          <cell r="AA214" t="str"/>
          <cell r="AB214" t="str"/>
          <cell r="AC214" t="str"/>
          <cell r="AD214" t="str"/>
          <cell r="AE214" t="str"/>
          <cell r="AF214" t="str"/>
        </row>
        <row r="215">
          <cell r="B215">
            <v>46278</v>
          </cell>
          <cell r="C215" t="str">
            <v>吐尔洪</v>
          </cell>
          <cell r="D215" t="str">
            <v>原料入库</v>
          </cell>
          <cell r="E215" t="str">
            <v>NO:0000799</v>
          </cell>
          <cell r="F215" t="str">
            <v>香梨</v>
          </cell>
          <cell r="G215" t="str">
            <v>香梨一级</v>
          </cell>
          <cell r="H215">
            <v>50</v>
          </cell>
          <cell r="I215" t="str">
            <v>筐</v>
          </cell>
          <cell r="J215">
            <v>915</v>
          </cell>
          <cell r="K215" t="str"/>
          <cell r="L215" t="str"/>
          <cell r="M215" t="str">
            <v>麦麦提</v>
          </cell>
          <cell r="N215" t="str">
            <v>公司红周转筐</v>
          </cell>
          <cell r="O215" t="str"/>
          <cell r="P215" t="str"/>
          <cell r="Q215">
            <v>50</v>
          </cell>
          <cell r="R215" t="str">
            <v>新N*X8S48</v>
          </cell>
          <cell r="S215" t="str">
            <v>公司筐</v>
          </cell>
          <cell r="T215" t="str"/>
          <cell r="U215" t="str"/>
          <cell r="V215" t="str"/>
          <cell r="W215" t="str"/>
          <cell r="X215" t="str"/>
          <cell r="Y215" t="str"/>
        </row>
        <row r="215">
          <cell r="AA215" t="str"/>
          <cell r="AB215" t="str"/>
          <cell r="AC215" t="str"/>
          <cell r="AD215" t="str"/>
          <cell r="AE215" t="str"/>
          <cell r="AF215" t="str"/>
        </row>
        <row r="216">
          <cell r="B216">
            <v>46278</v>
          </cell>
          <cell r="C216" t="str">
            <v>吐尔洪</v>
          </cell>
          <cell r="D216" t="str">
            <v>原料入库</v>
          </cell>
          <cell r="E216" t="str">
            <v>NO:0000799</v>
          </cell>
          <cell r="F216" t="str">
            <v>香梨</v>
          </cell>
          <cell r="G216" t="str">
            <v>香梨二级</v>
          </cell>
          <cell r="H216">
            <v>101</v>
          </cell>
          <cell r="I216" t="str">
            <v>筐</v>
          </cell>
          <cell r="J216">
            <v>2252.3</v>
          </cell>
          <cell r="K216" t="str"/>
          <cell r="L216" t="str"/>
          <cell r="M216" t="str">
            <v>麦麦提</v>
          </cell>
          <cell r="N216" t="str">
            <v>公司红周转筐</v>
          </cell>
          <cell r="O216" t="str"/>
          <cell r="P216" t="str"/>
          <cell r="Q216">
            <v>101</v>
          </cell>
          <cell r="R216" t="str">
            <v>新N*X8S48</v>
          </cell>
          <cell r="S216" t="str">
            <v>公司筐</v>
          </cell>
          <cell r="T216" t="str"/>
          <cell r="U216" t="str"/>
          <cell r="V216" t="str"/>
          <cell r="W216" t="str"/>
          <cell r="X216" t="str"/>
          <cell r="Y216" t="str"/>
        </row>
        <row r="216">
          <cell r="AA216" t="str"/>
          <cell r="AB216" t="str"/>
          <cell r="AC216" t="str"/>
          <cell r="AD216" t="str"/>
          <cell r="AE216" t="str"/>
          <cell r="AF216" t="str"/>
        </row>
        <row r="217">
          <cell r="B217">
            <v>46278</v>
          </cell>
          <cell r="C217" t="str">
            <v>热合曼</v>
          </cell>
          <cell r="D217" t="str">
            <v>原料入库</v>
          </cell>
          <cell r="E217" t="str">
            <v>NO:0000800</v>
          </cell>
          <cell r="F217" t="str">
            <v>香梨</v>
          </cell>
          <cell r="G217" t="str">
            <v>香梨副特</v>
          </cell>
          <cell r="H217">
            <v>232</v>
          </cell>
          <cell r="I217" t="str">
            <v>筐</v>
          </cell>
          <cell r="J217">
            <v>4477.6</v>
          </cell>
          <cell r="K217" t="str"/>
          <cell r="L217" t="str"/>
          <cell r="M217" t="str"/>
          <cell r="N217" t="str">
            <v>公司红周转筐</v>
          </cell>
          <cell r="O217" t="str"/>
          <cell r="P217" t="str"/>
          <cell r="Q217">
            <v>232</v>
          </cell>
          <cell r="R217" t="str">
            <v>新A*G0554</v>
          </cell>
          <cell r="S217" t="str">
            <v>公司筐</v>
          </cell>
          <cell r="T217" t="str"/>
          <cell r="U217" t="str"/>
          <cell r="V217" t="str"/>
          <cell r="W217" t="str"/>
          <cell r="X217" t="str"/>
          <cell r="Y217" t="str"/>
        </row>
        <row r="217">
          <cell r="AA217" t="str"/>
          <cell r="AB217" t="str"/>
          <cell r="AC217" t="str"/>
          <cell r="AD217" t="str"/>
          <cell r="AE217" t="str"/>
          <cell r="AF217" t="str"/>
        </row>
        <row r="218">
          <cell r="B218">
            <v>46278</v>
          </cell>
          <cell r="C218" t="str">
            <v>热合曼</v>
          </cell>
          <cell r="D218" t="str">
            <v>原料入库</v>
          </cell>
          <cell r="E218" t="str">
            <v>NO:0000800</v>
          </cell>
          <cell r="F218" t="str">
            <v>香梨</v>
          </cell>
          <cell r="G218" t="str">
            <v>香梨一级</v>
          </cell>
          <cell r="H218">
            <v>170</v>
          </cell>
          <cell r="I218" t="str">
            <v>筐</v>
          </cell>
          <cell r="J218">
            <v>3111</v>
          </cell>
          <cell r="K218" t="str"/>
          <cell r="L218" t="str"/>
          <cell r="M218" t="str"/>
          <cell r="N218" t="str">
            <v>公司红周转筐</v>
          </cell>
          <cell r="O218" t="str"/>
          <cell r="P218" t="str"/>
          <cell r="Q218">
            <v>170</v>
          </cell>
          <cell r="R218" t="str">
            <v>新A*G0554</v>
          </cell>
          <cell r="S218" t="str">
            <v>公司筐</v>
          </cell>
          <cell r="T218" t="str"/>
          <cell r="U218" t="str"/>
          <cell r="V218" t="str"/>
          <cell r="W218" t="str"/>
          <cell r="X218" t="str"/>
          <cell r="Y218" t="str"/>
        </row>
        <row r="218">
          <cell r="AA218" t="str"/>
          <cell r="AB218" t="str"/>
          <cell r="AC218" t="str"/>
          <cell r="AD218" t="str"/>
          <cell r="AE218" t="str"/>
          <cell r="AF218" t="str"/>
        </row>
        <row r="219">
          <cell r="B219">
            <v>46278</v>
          </cell>
          <cell r="C219" t="str">
            <v>热合曼</v>
          </cell>
          <cell r="D219" t="str">
            <v>原料入库</v>
          </cell>
          <cell r="E219" t="str">
            <v>NO:0000800</v>
          </cell>
          <cell r="F219" t="str">
            <v>香梨</v>
          </cell>
          <cell r="G219" t="str">
            <v>香梨二级</v>
          </cell>
          <cell r="H219">
            <v>30</v>
          </cell>
          <cell r="I219" t="str">
            <v>筐</v>
          </cell>
          <cell r="J219">
            <v>669</v>
          </cell>
          <cell r="K219" t="str"/>
          <cell r="L219" t="str"/>
          <cell r="M219" t="str"/>
          <cell r="N219" t="str">
            <v>公司红周转筐</v>
          </cell>
          <cell r="O219" t="str"/>
          <cell r="P219" t="str"/>
          <cell r="Q219">
            <v>30</v>
          </cell>
          <cell r="R219" t="str">
            <v>新A*G0554</v>
          </cell>
          <cell r="S219" t="str">
            <v>公司筐</v>
          </cell>
          <cell r="T219" t="str"/>
          <cell r="U219" t="str"/>
          <cell r="V219" t="str"/>
          <cell r="W219" t="str"/>
          <cell r="X219" t="str"/>
          <cell r="Y219" t="str"/>
        </row>
        <row r="219">
          <cell r="AA219" t="str"/>
          <cell r="AB219" t="str"/>
          <cell r="AC219" t="str"/>
          <cell r="AD219" t="str"/>
          <cell r="AE219" t="str"/>
          <cell r="AF219" t="str"/>
        </row>
        <row r="220">
          <cell r="B220">
            <v>46278</v>
          </cell>
          <cell r="C220" t="str">
            <v>努尔敦</v>
          </cell>
          <cell r="D220" t="str">
            <v>原料入库</v>
          </cell>
          <cell r="E220" t="str">
            <v>NO:0000851</v>
          </cell>
          <cell r="F220" t="str">
            <v>香梨</v>
          </cell>
          <cell r="G220" t="str">
            <v>香梨特级</v>
          </cell>
          <cell r="H220">
            <v>162</v>
          </cell>
          <cell r="I220" t="str">
            <v>筐</v>
          </cell>
          <cell r="J220">
            <v>2964.6</v>
          </cell>
          <cell r="K220" t="str"/>
          <cell r="L220" t="str"/>
          <cell r="M220" t="str"/>
          <cell r="N220" t="str">
            <v>公司红周转筐</v>
          </cell>
          <cell r="O220" t="str"/>
          <cell r="P220" t="str"/>
          <cell r="Q220">
            <v>162</v>
          </cell>
          <cell r="R220" t="str">
            <v>新F*75240</v>
          </cell>
          <cell r="S220" t="str">
            <v>公司筐</v>
          </cell>
          <cell r="T220" t="str"/>
          <cell r="U220" t="str"/>
          <cell r="V220" t="str"/>
          <cell r="W220" t="str"/>
          <cell r="X220" t="str"/>
          <cell r="Y220" t="str"/>
        </row>
        <row r="220">
          <cell r="AA220" t="str"/>
          <cell r="AB220" t="str"/>
          <cell r="AC220" t="str"/>
          <cell r="AD220" t="str"/>
          <cell r="AE220" t="str"/>
          <cell r="AF220" t="str"/>
        </row>
        <row r="221">
          <cell r="B221">
            <v>46278</v>
          </cell>
          <cell r="C221" t="str">
            <v>努尔敦</v>
          </cell>
          <cell r="D221" t="str">
            <v>原料入库</v>
          </cell>
          <cell r="E221" t="str">
            <v>NO:0000851</v>
          </cell>
          <cell r="F221" t="str">
            <v>香梨</v>
          </cell>
          <cell r="G221" t="str">
            <v>香梨一级</v>
          </cell>
          <cell r="H221">
            <v>300</v>
          </cell>
          <cell r="I221" t="str">
            <v>筐</v>
          </cell>
          <cell r="J221">
            <v>5490</v>
          </cell>
          <cell r="K221" t="str"/>
          <cell r="L221" t="str"/>
          <cell r="M221" t="str"/>
          <cell r="N221" t="str">
            <v>公司红周转筐</v>
          </cell>
          <cell r="O221" t="str"/>
          <cell r="P221" t="str"/>
          <cell r="Q221">
            <v>300</v>
          </cell>
          <cell r="R221" t="str">
            <v>新F*75240</v>
          </cell>
          <cell r="S221" t="str">
            <v>公司筐</v>
          </cell>
          <cell r="T221" t="str"/>
          <cell r="U221" t="str"/>
          <cell r="V221" t="str"/>
          <cell r="W221" t="str"/>
          <cell r="X221" t="str"/>
          <cell r="Y221" t="str"/>
        </row>
        <row r="221">
          <cell r="AA221" t="str"/>
          <cell r="AB221" t="str"/>
          <cell r="AC221" t="str"/>
          <cell r="AD221" t="str"/>
          <cell r="AE221" t="str"/>
          <cell r="AF221" t="str"/>
        </row>
        <row r="222">
          <cell r="B222">
            <v>46278</v>
          </cell>
          <cell r="C222" t="str">
            <v>努尔敦</v>
          </cell>
          <cell r="D222" t="str">
            <v>原料入库</v>
          </cell>
          <cell r="E222" t="str">
            <v>NO:0000851</v>
          </cell>
          <cell r="F222" t="str">
            <v>香梨</v>
          </cell>
          <cell r="G222" t="str">
            <v>香梨二级</v>
          </cell>
          <cell r="H222">
            <v>188</v>
          </cell>
          <cell r="I222" t="str">
            <v>筐</v>
          </cell>
          <cell r="J222">
            <v>4192.4</v>
          </cell>
          <cell r="K222" t="str"/>
          <cell r="L222" t="str"/>
          <cell r="M222" t="str"/>
          <cell r="N222" t="str">
            <v>公司红周转筐</v>
          </cell>
          <cell r="O222" t="str"/>
          <cell r="P222" t="str"/>
          <cell r="Q222">
            <v>188</v>
          </cell>
          <cell r="R222" t="str">
            <v>新F*75240</v>
          </cell>
          <cell r="S222" t="str">
            <v>公司筐</v>
          </cell>
          <cell r="T222" t="str"/>
          <cell r="U222" t="str"/>
          <cell r="V222" t="str"/>
          <cell r="W222" t="str"/>
          <cell r="X222" t="str"/>
          <cell r="Y222" t="str"/>
        </row>
        <row r="222">
          <cell r="AA222" t="str"/>
          <cell r="AB222" t="str"/>
          <cell r="AC222" t="str"/>
          <cell r="AD222" t="str"/>
          <cell r="AE222" t="str"/>
          <cell r="AF222" t="str"/>
        </row>
        <row r="223">
          <cell r="B223">
            <v>46278</v>
          </cell>
          <cell r="C223" t="str">
            <v>马锦祥</v>
          </cell>
          <cell r="D223" t="str">
            <v>原料入库</v>
          </cell>
          <cell r="E223" t="str">
            <v>NO:0000852</v>
          </cell>
          <cell r="F223" t="str">
            <v>香梨</v>
          </cell>
          <cell r="G223" t="str">
            <v>香梨一级</v>
          </cell>
          <cell r="H223">
            <v>294</v>
          </cell>
          <cell r="I223" t="str">
            <v>筐</v>
          </cell>
          <cell r="J223">
            <v>5380.2</v>
          </cell>
          <cell r="K223" t="str"/>
          <cell r="L223" t="str"/>
          <cell r="M223" t="str"/>
          <cell r="N223" t="str">
            <v>公司杂周转筐</v>
          </cell>
          <cell r="O223" t="str"/>
          <cell r="P223" t="str"/>
          <cell r="Q223">
            <v>294</v>
          </cell>
          <cell r="R223" t="str">
            <v>新N*K7V85</v>
          </cell>
          <cell r="S223" t="str">
            <v>公司筐</v>
          </cell>
          <cell r="T223" t="str"/>
          <cell r="U223" t="str"/>
          <cell r="V223" t="str"/>
          <cell r="W223" t="str"/>
          <cell r="X223" t="str"/>
          <cell r="Y223" t="str"/>
        </row>
        <row r="223">
          <cell r="AA223" t="str"/>
          <cell r="AB223" t="str"/>
          <cell r="AC223" t="str"/>
          <cell r="AD223" t="str"/>
          <cell r="AE223" t="str"/>
          <cell r="AF223" t="str"/>
        </row>
        <row r="224">
          <cell r="B224">
            <v>46278</v>
          </cell>
          <cell r="C224" t="str">
            <v>马锦祥</v>
          </cell>
          <cell r="D224" t="str">
            <v>原料入库</v>
          </cell>
          <cell r="E224" t="str">
            <v>NO:0000852</v>
          </cell>
          <cell r="F224" t="str">
            <v>香梨</v>
          </cell>
          <cell r="G224" t="str">
            <v>香梨二级</v>
          </cell>
          <cell r="H224">
            <v>42</v>
          </cell>
          <cell r="I224" t="str">
            <v>筐</v>
          </cell>
          <cell r="J224">
            <v>936.6</v>
          </cell>
          <cell r="K224" t="str"/>
          <cell r="L224" t="str"/>
          <cell r="M224" t="str"/>
          <cell r="N224" t="str">
            <v>公司杂周转筐</v>
          </cell>
          <cell r="O224" t="str"/>
          <cell r="P224" t="str"/>
          <cell r="Q224">
            <v>42</v>
          </cell>
          <cell r="R224" t="str">
            <v>新N*K7V85</v>
          </cell>
          <cell r="S224" t="str">
            <v>公司筐</v>
          </cell>
          <cell r="T224" t="str"/>
          <cell r="U224" t="str"/>
          <cell r="V224" t="str"/>
          <cell r="W224" t="str"/>
          <cell r="X224" t="str"/>
          <cell r="Y224" t="str"/>
        </row>
        <row r="224">
          <cell r="AA224" t="str"/>
          <cell r="AB224" t="str"/>
          <cell r="AC224" t="str"/>
          <cell r="AD224" t="str"/>
          <cell r="AE224" t="str"/>
          <cell r="AF224" t="str"/>
        </row>
        <row r="225">
          <cell r="B225">
            <v>46278</v>
          </cell>
          <cell r="C225" t="str">
            <v>马锦祥</v>
          </cell>
          <cell r="D225" t="str">
            <v>原料入库</v>
          </cell>
          <cell r="E225" t="str">
            <v>NO:0000852</v>
          </cell>
          <cell r="F225" t="str">
            <v>香梨</v>
          </cell>
          <cell r="G225" t="str">
            <v>香梨副特</v>
          </cell>
          <cell r="H225">
            <v>7</v>
          </cell>
          <cell r="I225" t="str">
            <v>筐</v>
          </cell>
          <cell r="J225">
            <v>128.1</v>
          </cell>
          <cell r="K225" t="str"/>
          <cell r="L225" t="str"/>
          <cell r="M225" t="str"/>
          <cell r="N225" t="str">
            <v>公司杂周转筐</v>
          </cell>
          <cell r="O225" t="str"/>
          <cell r="P225" t="str"/>
          <cell r="Q225">
            <v>7</v>
          </cell>
          <cell r="R225" t="str">
            <v>新N*K7V85</v>
          </cell>
          <cell r="S225" t="str">
            <v>公司筐</v>
          </cell>
          <cell r="T225" t="str"/>
          <cell r="U225" t="str"/>
          <cell r="V225" t="str"/>
          <cell r="W225" t="str"/>
          <cell r="X225" t="str"/>
          <cell r="Y225" t="str"/>
        </row>
        <row r="225">
          <cell r="AA225" t="str"/>
          <cell r="AB225" t="str"/>
          <cell r="AC225" t="str"/>
          <cell r="AD225" t="str"/>
          <cell r="AE225" t="str"/>
          <cell r="AF225" t="str"/>
        </row>
        <row r="226">
          <cell r="B226">
            <v>46278</v>
          </cell>
          <cell r="C226" t="str">
            <v>荆建君</v>
          </cell>
          <cell r="D226" t="str">
            <v>原料入库</v>
          </cell>
          <cell r="E226" t="str">
            <v>NO:0000854</v>
          </cell>
          <cell r="F226" t="str">
            <v>香梨</v>
          </cell>
          <cell r="G226" t="str">
            <v>香梨一级</v>
          </cell>
          <cell r="H226">
            <v>383</v>
          </cell>
          <cell r="I226" t="str">
            <v>筐</v>
          </cell>
          <cell r="J226">
            <v>7008.9</v>
          </cell>
          <cell r="K226" t="str"/>
          <cell r="L226" t="str"/>
          <cell r="M226" t="str"/>
          <cell r="N226" t="str">
            <v>公司红周转筐</v>
          </cell>
          <cell r="O226" t="str"/>
          <cell r="P226" t="str"/>
          <cell r="Q226">
            <v>383</v>
          </cell>
          <cell r="R226" t="str">
            <v>豫A*2737K</v>
          </cell>
          <cell r="S226" t="str">
            <v>公司筐</v>
          </cell>
          <cell r="T226" t="str"/>
          <cell r="U226" t="str"/>
          <cell r="V226" t="str"/>
          <cell r="W226" t="str"/>
          <cell r="X226" t="str"/>
          <cell r="Y226" t="str"/>
        </row>
        <row r="226">
          <cell r="AA226" t="str"/>
          <cell r="AB226" t="str"/>
          <cell r="AC226" t="str"/>
          <cell r="AD226" t="str"/>
          <cell r="AE226" t="str"/>
          <cell r="AF226" t="str"/>
        </row>
        <row r="227">
          <cell r="B227">
            <v>46278</v>
          </cell>
          <cell r="C227" t="str">
            <v>荆建君</v>
          </cell>
          <cell r="D227" t="str">
            <v>原料入库</v>
          </cell>
          <cell r="E227" t="str">
            <v>NO:0000854</v>
          </cell>
          <cell r="F227" t="str">
            <v>香梨</v>
          </cell>
          <cell r="G227" t="str">
            <v>香梨二级</v>
          </cell>
          <cell r="H227">
            <v>265</v>
          </cell>
          <cell r="I227" t="str">
            <v>筐</v>
          </cell>
          <cell r="J227">
            <v>4849.5</v>
          </cell>
          <cell r="K227" t="str"/>
          <cell r="L227" t="str"/>
          <cell r="M227" t="str"/>
          <cell r="N227" t="str">
            <v>公司红周转筐</v>
          </cell>
          <cell r="O227" t="str"/>
          <cell r="P227" t="str"/>
          <cell r="Q227">
            <v>265</v>
          </cell>
          <cell r="R227" t="str">
            <v>豫A*2737K</v>
          </cell>
          <cell r="S227" t="str">
            <v>公司筐</v>
          </cell>
          <cell r="T227" t="str"/>
          <cell r="U227" t="str"/>
          <cell r="V227" t="str"/>
          <cell r="W227" t="str"/>
          <cell r="X227" t="str"/>
          <cell r="Y227" t="str"/>
        </row>
        <row r="227">
          <cell r="AA227" t="str"/>
          <cell r="AB227" t="str"/>
          <cell r="AC227" t="str"/>
          <cell r="AD227" t="str"/>
          <cell r="AE227" t="str"/>
          <cell r="AF227" t="str"/>
        </row>
        <row r="228">
          <cell r="B228">
            <v>46278</v>
          </cell>
          <cell r="C228" t="str">
            <v>王照雪</v>
          </cell>
          <cell r="D228" t="str">
            <v>原料入库</v>
          </cell>
          <cell r="E228" t="str">
            <v>NO:0000855</v>
          </cell>
          <cell r="F228" t="str">
            <v>苹果</v>
          </cell>
          <cell r="G228" t="str">
            <v>新世纪特级</v>
          </cell>
          <cell r="H228">
            <v>73</v>
          </cell>
          <cell r="I228" t="str">
            <v>筐</v>
          </cell>
          <cell r="J228">
            <v>1262.9</v>
          </cell>
          <cell r="K228" t="str"/>
          <cell r="L228" t="str"/>
          <cell r="M228" t="str">
            <v>光果</v>
          </cell>
          <cell r="N228" t="str">
            <v>公司杂周转筐</v>
          </cell>
          <cell r="O228" t="str"/>
          <cell r="P228" t="str"/>
          <cell r="Q228">
            <v>73</v>
          </cell>
          <cell r="R228" t="str">
            <v>豫L*88X19</v>
          </cell>
          <cell r="S228" t="str">
            <v>公司筐</v>
          </cell>
          <cell r="T228" t="str"/>
          <cell r="U228" t="str"/>
          <cell r="V228" t="str"/>
          <cell r="W228" t="str"/>
          <cell r="X228" t="str"/>
          <cell r="Y228" t="str"/>
        </row>
        <row r="228">
          <cell r="AA228" t="str"/>
          <cell r="AB228" t="str"/>
          <cell r="AC228" t="str"/>
          <cell r="AD228" t="str"/>
          <cell r="AE228" t="str"/>
          <cell r="AF228" t="str"/>
        </row>
        <row r="229">
          <cell r="B229">
            <v>46278</v>
          </cell>
          <cell r="C229" t="str">
            <v>王照雪</v>
          </cell>
          <cell r="D229" t="str">
            <v>原料入库</v>
          </cell>
          <cell r="E229" t="str">
            <v>NO:0000855</v>
          </cell>
          <cell r="F229" t="str">
            <v>苹果</v>
          </cell>
          <cell r="G229" t="str">
            <v>新世纪一级</v>
          </cell>
          <cell r="H229">
            <v>182</v>
          </cell>
          <cell r="I229" t="str">
            <v>筐</v>
          </cell>
          <cell r="J229">
            <v>3148.6</v>
          </cell>
          <cell r="K229" t="str"/>
          <cell r="L229" t="str"/>
          <cell r="M229" t="str">
            <v>光果</v>
          </cell>
          <cell r="N229" t="str">
            <v>公司杂周转筐</v>
          </cell>
          <cell r="O229" t="str"/>
          <cell r="P229" t="str"/>
          <cell r="Q229">
            <v>182</v>
          </cell>
          <cell r="R229" t="str">
            <v>豫L*88X19</v>
          </cell>
          <cell r="S229" t="str">
            <v>公司筐</v>
          </cell>
          <cell r="T229" t="str"/>
          <cell r="U229" t="str"/>
          <cell r="V229" t="str"/>
          <cell r="W229" t="str"/>
          <cell r="X229" t="str"/>
          <cell r="Y229" t="str"/>
        </row>
        <row r="229">
          <cell r="AA229" t="str"/>
          <cell r="AB229" t="str"/>
          <cell r="AC229" t="str"/>
          <cell r="AD229" t="str"/>
          <cell r="AE229" t="str"/>
          <cell r="AF229" t="str"/>
        </row>
        <row r="230">
          <cell r="B230">
            <v>46278</v>
          </cell>
          <cell r="C230" t="str">
            <v>王照雪</v>
          </cell>
          <cell r="D230" t="str">
            <v>原料入库</v>
          </cell>
          <cell r="E230" t="str">
            <v>NO:0000855</v>
          </cell>
          <cell r="F230" t="str">
            <v>苹果</v>
          </cell>
          <cell r="G230" t="str">
            <v>新世纪二级</v>
          </cell>
          <cell r="H230">
            <v>74</v>
          </cell>
          <cell r="I230" t="str">
            <v>筐</v>
          </cell>
          <cell r="J230">
            <v>1650.2</v>
          </cell>
          <cell r="K230" t="str"/>
          <cell r="L230" t="str"/>
          <cell r="M230" t="str">
            <v>光果</v>
          </cell>
          <cell r="N230" t="str">
            <v>公司杂周转筐</v>
          </cell>
          <cell r="O230" t="str"/>
          <cell r="P230" t="str"/>
          <cell r="Q230">
            <v>74</v>
          </cell>
          <cell r="R230" t="str">
            <v>豫L*88X19</v>
          </cell>
          <cell r="S230" t="str">
            <v>公司筐</v>
          </cell>
          <cell r="T230" t="str"/>
          <cell r="U230" t="str"/>
          <cell r="V230" t="str"/>
          <cell r="W230" t="str"/>
          <cell r="X230" t="str"/>
          <cell r="Y230" t="str"/>
        </row>
        <row r="230">
          <cell r="AA230" t="str"/>
          <cell r="AB230" t="str"/>
          <cell r="AC230" t="str"/>
          <cell r="AD230" t="str"/>
          <cell r="AE230" t="str"/>
          <cell r="AF230" t="str"/>
        </row>
        <row r="231">
          <cell r="B231">
            <v>46279</v>
          </cell>
          <cell r="C231" t="str">
            <v>麦麦提</v>
          </cell>
          <cell r="D231" t="str">
            <v>原料入库</v>
          </cell>
          <cell r="E231" t="str">
            <v>NO:0000858</v>
          </cell>
          <cell r="F231" t="str">
            <v>香梨</v>
          </cell>
          <cell r="G231" t="str">
            <v>香梨特级</v>
          </cell>
          <cell r="H231">
            <v>264</v>
          </cell>
          <cell r="I231" t="str">
            <v>筐</v>
          </cell>
          <cell r="J231">
            <v>4831.2</v>
          </cell>
          <cell r="K231" t="str"/>
          <cell r="L231" t="str"/>
          <cell r="M231" t="str"/>
          <cell r="N231" t="str">
            <v>公司红周转筐</v>
          </cell>
          <cell r="O231" t="str"/>
          <cell r="P231" t="str"/>
          <cell r="Q231">
            <v>264</v>
          </cell>
          <cell r="R231" t="str">
            <v>新A*G0554</v>
          </cell>
          <cell r="S231" t="str">
            <v>公司筐</v>
          </cell>
          <cell r="T231" t="str"/>
          <cell r="U231" t="str"/>
          <cell r="V231" t="str"/>
          <cell r="W231" t="str"/>
          <cell r="X231" t="str"/>
          <cell r="Y231" t="str"/>
        </row>
        <row r="231">
          <cell r="AA231" t="str"/>
          <cell r="AB231" t="str"/>
          <cell r="AC231" t="str"/>
          <cell r="AD231" t="str"/>
          <cell r="AE231" t="str"/>
          <cell r="AF231" t="str"/>
        </row>
        <row r="232">
          <cell r="B232">
            <v>46279</v>
          </cell>
          <cell r="C232" t="str">
            <v>麦麦提</v>
          </cell>
          <cell r="D232" t="str">
            <v>原料入库</v>
          </cell>
          <cell r="E232" t="str">
            <v>NO:0000858</v>
          </cell>
          <cell r="F232" t="str">
            <v>香梨</v>
          </cell>
          <cell r="G232" t="str">
            <v>香梨一级</v>
          </cell>
          <cell r="H232">
            <v>184</v>
          </cell>
          <cell r="I232" t="str">
            <v>筐</v>
          </cell>
          <cell r="J232">
            <v>3367.2</v>
          </cell>
          <cell r="K232" t="str"/>
          <cell r="L232" t="str"/>
          <cell r="M232" t="str"/>
          <cell r="N232" t="str">
            <v>公司红周转筐</v>
          </cell>
          <cell r="O232" t="str"/>
          <cell r="P232" t="str"/>
          <cell r="Q232">
            <v>184</v>
          </cell>
          <cell r="R232" t="str">
            <v>新A*G0554</v>
          </cell>
          <cell r="S232" t="str">
            <v>公司筐</v>
          </cell>
          <cell r="T232" t="str"/>
          <cell r="U232" t="str"/>
          <cell r="V232" t="str"/>
          <cell r="W232" t="str"/>
          <cell r="X232" t="str"/>
          <cell r="Y232" t="str"/>
        </row>
        <row r="232">
          <cell r="AA232" t="str"/>
          <cell r="AB232" t="str"/>
          <cell r="AC232" t="str"/>
          <cell r="AD232" t="str"/>
          <cell r="AE232" t="str"/>
          <cell r="AF232" t="str"/>
        </row>
        <row r="233">
          <cell r="B233">
            <v>46279</v>
          </cell>
          <cell r="C233" t="str">
            <v>麦麦提</v>
          </cell>
          <cell r="D233" t="str">
            <v>原料入库</v>
          </cell>
          <cell r="E233" t="str">
            <v>NO:0000858</v>
          </cell>
          <cell r="F233" t="str">
            <v>香梨</v>
          </cell>
          <cell r="G233" t="str">
            <v>香梨二级</v>
          </cell>
          <cell r="H233">
            <v>181</v>
          </cell>
          <cell r="I233" t="str">
            <v>筐</v>
          </cell>
          <cell r="J233">
            <v>4036.3</v>
          </cell>
          <cell r="K233" t="str"/>
          <cell r="L233" t="str"/>
          <cell r="M233" t="str"/>
          <cell r="N233" t="str">
            <v>公司红周转筐</v>
          </cell>
          <cell r="O233" t="str"/>
          <cell r="P233" t="str"/>
          <cell r="Q233">
            <v>181</v>
          </cell>
          <cell r="R233" t="str">
            <v>新A*G0554</v>
          </cell>
          <cell r="S233" t="str">
            <v>公司筐</v>
          </cell>
          <cell r="T233" t="str"/>
          <cell r="U233" t="str"/>
          <cell r="V233" t="str"/>
          <cell r="W233" t="str"/>
          <cell r="X233" t="str"/>
          <cell r="Y233" t="str"/>
        </row>
        <row r="233">
          <cell r="AA233" t="str"/>
          <cell r="AB233" t="str"/>
          <cell r="AC233" t="str"/>
          <cell r="AD233" t="str"/>
          <cell r="AE233" t="str"/>
          <cell r="AF233" t="str"/>
        </row>
        <row r="234">
          <cell r="B234">
            <v>46279</v>
          </cell>
          <cell r="C234" t="str">
            <v>贾建国</v>
          </cell>
          <cell r="D234" t="str">
            <v>原料入库</v>
          </cell>
          <cell r="E234" t="str">
            <v>NO:0000859</v>
          </cell>
          <cell r="F234" t="str">
            <v>香梨</v>
          </cell>
          <cell r="G234" t="str">
            <v>香梨二级</v>
          </cell>
          <cell r="H234">
            <v>125</v>
          </cell>
          <cell r="I234" t="str">
            <v>筐</v>
          </cell>
          <cell r="J234">
            <v>2812.5</v>
          </cell>
          <cell r="K234" t="str"/>
          <cell r="L234" t="str"/>
          <cell r="M234" t="str"/>
          <cell r="N234" t="str">
            <v>自备杂周转筐</v>
          </cell>
          <cell r="O234" t="str"/>
          <cell r="P234" t="str"/>
          <cell r="Q234">
            <v>125</v>
          </cell>
          <cell r="R234" t="str">
            <v>豫Q*H5591</v>
          </cell>
          <cell r="S234" t="str">
            <v>自备筐</v>
          </cell>
          <cell r="T234" t="str"/>
          <cell r="U234" t="str"/>
          <cell r="V234" t="str"/>
          <cell r="W234" t="str"/>
          <cell r="X234" t="str"/>
          <cell r="Y234" t="str"/>
        </row>
        <row r="234">
          <cell r="AA234" t="str"/>
          <cell r="AB234" t="str"/>
          <cell r="AC234" t="str"/>
          <cell r="AD234" t="str"/>
          <cell r="AE234" t="str"/>
          <cell r="AF234" t="str"/>
        </row>
        <row r="235">
          <cell r="B235">
            <v>46279</v>
          </cell>
          <cell r="C235" t="str">
            <v>王灵云</v>
          </cell>
          <cell r="D235" t="str">
            <v>原料入库</v>
          </cell>
          <cell r="E235" t="str">
            <v>NO:0000860</v>
          </cell>
          <cell r="F235" t="str">
            <v>香梨</v>
          </cell>
          <cell r="G235" t="str">
            <v>香梨一级</v>
          </cell>
          <cell r="H235">
            <v>465</v>
          </cell>
          <cell r="I235" t="str">
            <v>筐</v>
          </cell>
          <cell r="J235">
            <v>8509.5</v>
          </cell>
          <cell r="K235" t="str"/>
          <cell r="L235" t="str"/>
          <cell r="M235" t="str"/>
          <cell r="N235" t="str">
            <v>公司红周转筐</v>
          </cell>
          <cell r="O235" t="str"/>
          <cell r="P235" t="str"/>
          <cell r="Q235">
            <v>465</v>
          </cell>
          <cell r="R235" t="str">
            <v>新N*49209</v>
          </cell>
          <cell r="S235" t="str">
            <v>公司筐</v>
          </cell>
          <cell r="T235" t="str"/>
          <cell r="U235" t="str"/>
          <cell r="V235" t="str"/>
          <cell r="W235" t="str"/>
          <cell r="X235" t="str"/>
          <cell r="Y235" t="str"/>
        </row>
        <row r="235">
          <cell r="AA235" t="str"/>
          <cell r="AB235" t="str"/>
          <cell r="AC235" t="str"/>
          <cell r="AD235" t="str"/>
          <cell r="AE235" t="str"/>
          <cell r="AF235" t="str"/>
        </row>
        <row r="236">
          <cell r="B236">
            <v>46279</v>
          </cell>
          <cell r="C236" t="str">
            <v>王灵云</v>
          </cell>
          <cell r="D236" t="str">
            <v>原料入库</v>
          </cell>
          <cell r="E236" t="str">
            <v>NO:0000860</v>
          </cell>
          <cell r="F236" t="str">
            <v>香梨</v>
          </cell>
          <cell r="G236" t="str">
            <v>香梨二级</v>
          </cell>
          <cell r="H236">
            <v>164</v>
          </cell>
          <cell r="I236" t="str">
            <v>筐</v>
          </cell>
          <cell r="J236">
            <v>3001.2</v>
          </cell>
          <cell r="K236" t="str"/>
          <cell r="L236" t="str"/>
          <cell r="M236" t="str"/>
          <cell r="N236" t="str">
            <v>公司红周转筐</v>
          </cell>
          <cell r="O236" t="str"/>
          <cell r="P236" t="str"/>
          <cell r="Q236">
            <v>164</v>
          </cell>
          <cell r="R236" t="str">
            <v>新N*49209</v>
          </cell>
          <cell r="S236" t="str">
            <v>公司筐</v>
          </cell>
          <cell r="T236" t="str"/>
          <cell r="U236" t="str"/>
          <cell r="V236" t="str"/>
          <cell r="W236" t="str"/>
          <cell r="X236" t="str"/>
          <cell r="Y236" t="str"/>
        </row>
        <row r="236">
          <cell r="AA236" t="str"/>
          <cell r="AB236" t="str"/>
          <cell r="AC236" t="str"/>
          <cell r="AD236" t="str"/>
          <cell r="AE236" t="str"/>
          <cell r="AF236" t="str"/>
        </row>
        <row r="237">
          <cell r="B237">
            <v>46279</v>
          </cell>
          <cell r="C237" t="str">
            <v>王灵云</v>
          </cell>
          <cell r="D237" t="str">
            <v>原料入库</v>
          </cell>
          <cell r="E237" t="str">
            <v>NO:0000860</v>
          </cell>
          <cell r="F237" t="str">
            <v>香梨</v>
          </cell>
          <cell r="G237" t="str">
            <v>香梨副特</v>
          </cell>
          <cell r="H237">
            <v>60</v>
          </cell>
          <cell r="I237" t="str">
            <v>筐</v>
          </cell>
          <cell r="J237">
            <v>1398</v>
          </cell>
          <cell r="K237" t="str"/>
          <cell r="L237" t="str"/>
          <cell r="M237" t="str"/>
          <cell r="N237" t="str">
            <v>公司红周转筐</v>
          </cell>
          <cell r="O237" t="str"/>
          <cell r="P237" t="str"/>
          <cell r="Q237">
            <v>60</v>
          </cell>
          <cell r="R237" t="str">
            <v>新N*49209</v>
          </cell>
          <cell r="S237" t="str">
            <v>公司筐</v>
          </cell>
          <cell r="T237" t="str"/>
          <cell r="U237" t="str"/>
          <cell r="V237" t="str"/>
          <cell r="W237" t="str"/>
          <cell r="X237" t="str"/>
          <cell r="Y237" t="str"/>
        </row>
        <row r="237">
          <cell r="AA237" t="str"/>
          <cell r="AB237" t="str"/>
          <cell r="AC237" t="str"/>
          <cell r="AD237" t="str"/>
          <cell r="AE237" t="str"/>
          <cell r="AF237" t="str"/>
        </row>
        <row r="238">
          <cell r="B238">
            <v>46279</v>
          </cell>
          <cell r="C238" t="str">
            <v>吐尔洪</v>
          </cell>
          <cell r="D238" t="str">
            <v>原料入库</v>
          </cell>
          <cell r="E238" t="str">
            <v>NO:0000861</v>
          </cell>
          <cell r="F238" t="str">
            <v>香梨</v>
          </cell>
          <cell r="G238" t="str">
            <v>香梨特级</v>
          </cell>
          <cell r="H238">
            <v>108</v>
          </cell>
          <cell r="I238" t="str">
            <v>筐</v>
          </cell>
          <cell r="J238">
            <v>1976.4</v>
          </cell>
          <cell r="K238" t="str"/>
          <cell r="L238" t="str"/>
          <cell r="M238" t="str">
            <v>麦麦提</v>
          </cell>
          <cell r="N238" t="str">
            <v>公司红周转筐</v>
          </cell>
          <cell r="O238" t="str"/>
          <cell r="P238" t="str"/>
          <cell r="Q238">
            <v>108</v>
          </cell>
          <cell r="R238" t="str">
            <v>新N*X8S48</v>
          </cell>
          <cell r="S238" t="str">
            <v>公司筐</v>
          </cell>
          <cell r="T238" t="str"/>
          <cell r="U238" t="str"/>
          <cell r="V238" t="str"/>
          <cell r="W238" t="str"/>
          <cell r="X238" t="str"/>
          <cell r="Y238" t="str"/>
        </row>
        <row r="238">
          <cell r="AA238" t="str"/>
          <cell r="AB238" t="str"/>
          <cell r="AC238" t="str"/>
          <cell r="AD238" t="str"/>
          <cell r="AE238" t="str"/>
          <cell r="AF238" t="str"/>
        </row>
        <row r="239">
          <cell r="B239">
            <v>46279</v>
          </cell>
          <cell r="C239" t="str">
            <v>吐尔洪</v>
          </cell>
          <cell r="D239" t="str">
            <v>原料入库</v>
          </cell>
          <cell r="E239" t="str">
            <v>NO:0000861</v>
          </cell>
          <cell r="F239" t="str">
            <v>香梨</v>
          </cell>
          <cell r="G239" t="str">
            <v>香梨一级</v>
          </cell>
          <cell r="H239">
            <v>41</v>
          </cell>
          <cell r="I239" t="str">
            <v>筐</v>
          </cell>
          <cell r="J239">
            <v>750.3</v>
          </cell>
          <cell r="K239" t="str"/>
          <cell r="L239" t="str"/>
          <cell r="M239" t="str">
            <v>麦麦提</v>
          </cell>
          <cell r="N239" t="str">
            <v>公司红周转筐</v>
          </cell>
          <cell r="O239" t="str"/>
          <cell r="P239" t="str"/>
          <cell r="Q239">
            <v>41</v>
          </cell>
          <cell r="R239" t="str">
            <v>新N*X8S48</v>
          </cell>
          <cell r="S239" t="str">
            <v>公司筐</v>
          </cell>
          <cell r="T239" t="str"/>
          <cell r="U239" t="str"/>
          <cell r="V239" t="str"/>
          <cell r="W239" t="str"/>
          <cell r="X239" t="str"/>
          <cell r="Y239" t="str"/>
        </row>
        <row r="239">
          <cell r="AA239" t="str"/>
          <cell r="AB239" t="str"/>
          <cell r="AC239" t="str"/>
          <cell r="AD239" t="str"/>
          <cell r="AE239" t="str"/>
          <cell r="AF239" t="str"/>
        </row>
        <row r="240">
          <cell r="B240">
            <v>46279</v>
          </cell>
          <cell r="C240" t="str">
            <v>吐尔洪</v>
          </cell>
          <cell r="D240" t="str">
            <v>原料入库</v>
          </cell>
          <cell r="E240" t="str">
            <v>NO:0000861</v>
          </cell>
          <cell r="F240" t="str">
            <v>香梨</v>
          </cell>
          <cell r="G240" t="str">
            <v>香梨二级</v>
          </cell>
          <cell r="H240">
            <v>91</v>
          </cell>
          <cell r="I240" t="str">
            <v>筐</v>
          </cell>
          <cell r="J240">
            <v>2029.3</v>
          </cell>
          <cell r="K240" t="str"/>
          <cell r="L240" t="str"/>
          <cell r="M240" t="str">
            <v>麦麦提</v>
          </cell>
          <cell r="N240" t="str">
            <v>公司红周转筐</v>
          </cell>
          <cell r="O240" t="str"/>
          <cell r="P240" t="str"/>
          <cell r="Q240">
            <v>91</v>
          </cell>
          <cell r="R240" t="str">
            <v>新N*X8S48</v>
          </cell>
          <cell r="S240" t="str">
            <v>公司筐</v>
          </cell>
          <cell r="T240" t="str"/>
          <cell r="U240" t="str"/>
          <cell r="V240" t="str"/>
          <cell r="W240" t="str"/>
          <cell r="X240" t="str"/>
          <cell r="Y240" t="str"/>
        </row>
        <row r="240">
          <cell r="AA240" t="str"/>
          <cell r="AB240" t="str"/>
          <cell r="AC240" t="str"/>
          <cell r="AD240" t="str"/>
          <cell r="AE240" t="str"/>
          <cell r="AF240" t="str"/>
        </row>
        <row r="241">
          <cell r="B241">
            <v>46280</v>
          </cell>
          <cell r="C241" t="str">
            <v>马锦祥</v>
          </cell>
          <cell r="D241" t="str">
            <v>原料入库</v>
          </cell>
          <cell r="E241" t="str">
            <v>NO:0000864</v>
          </cell>
          <cell r="F241" t="str">
            <v>香梨</v>
          </cell>
          <cell r="G241" t="str">
            <v>香梨一级</v>
          </cell>
          <cell r="H241">
            <v>343</v>
          </cell>
          <cell r="I241" t="str">
            <v>筐</v>
          </cell>
          <cell r="J241">
            <v>6276.9</v>
          </cell>
          <cell r="K241" t="str"/>
          <cell r="L241" t="str"/>
          <cell r="M241" t="str"/>
          <cell r="N241" t="str">
            <v>公司杂周转筐</v>
          </cell>
          <cell r="O241" t="str"/>
          <cell r="P241" t="str"/>
          <cell r="Q241">
            <v>343</v>
          </cell>
          <cell r="R241" t="str">
            <v>新N*K7V85</v>
          </cell>
          <cell r="S241" t="str">
            <v>公司筐</v>
          </cell>
          <cell r="T241" t="str"/>
          <cell r="U241" t="str"/>
          <cell r="V241" t="str"/>
          <cell r="W241" t="str"/>
          <cell r="X241" t="str"/>
          <cell r="Y241" t="str"/>
        </row>
        <row r="241">
          <cell r="AA241" t="str"/>
          <cell r="AB241" t="str"/>
          <cell r="AC241" t="str"/>
          <cell r="AD241" t="str"/>
          <cell r="AE241" t="str"/>
          <cell r="AF241" t="str"/>
        </row>
        <row r="242">
          <cell r="B242">
            <v>46280</v>
          </cell>
          <cell r="C242" t="str">
            <v>马锦祥</v>
          </cell>
          <cell r="D242" t="str">
            <v>原料入库</v>
          </cell>
          <cell r="E242" t="str">
            <v>NO:0000867</v>
          </cell>
          <cell r="F242" t="str">
            <v>香梨</v>
          </cell>
          <cell r="G242" t="str">
            <v>香梨一级</v>
          </cell>
          <cell r="H242">
            <v>98</v>
          </cell>
          <cell r="I242" t="str">
            <v>筐</v>
          </cell>
          <cell r="J242">
            <v>1793.4</v>
          </cell>
          <cell r="K242" t="str"/>
          <cell r="L242" t="str"/>
          <cell r="M242" t="str"/>
          <cell r="N242" t="str">
            <v>公司杂周转筐</v>
          </cell>
          <cell r="O242" t="str"/>
          <cell r="P242" t="str"/>
          <cell r="Q242">
            <v>98</v>
          </cell>
          <cell r="R242" t="str">
            <v>新N*K7V85</v>
          </cell>
          <cell r="S242" t="str">
            <v>公司筐</v>
          </cell>
          <cell r="T242" t="str"/>
          <cell r="U242" t="str"/>
          <cell r="V242" t="str"/>
          <cell r="W242" t="str"/>
          <cell r="X242" t="str"/>
          <cell r="Y242" t="str"/>
        </row>
        <row r="242">
          <cell r="AA242" t="str"/>
          <cell r="AB242" t="str"/>
          <cell r="AC242" t="str"/>
          <cell r="AD242" t="str"/>
          <cell r="AE242" t="str"/>
          <cell r="AF242" t="str"/>
        </row>
        <row r="243">
          <cell r="B243">
            <v>46280</v>
          </cell>
          <cell r="C243" t="str">
            <v>马锦祥</v>
          </cell>
          <cell r="D243" t="str">
            <v>原料入库</v>
          </cell>
          <cell r="E243" t="str">
            <v>NO:0000867</v>
          </cell>
          <cell r="F243" t="str">
            <v>香梨</v>
          </cell>
          <cell r="G243" t="str">
            <v>香梨二级</v>
          </cell>
          <cell r="H243">
            <v>93</v>
          </cell>
          <cell r="I243" t="str">
            <v>筐</v>
          </cell>
          <cell r="J243">
            <v>2073.9</v>
          </cell>
          <cell r="K243" t="str"/>
          <cell r="L243" t="str"/>
          <cell r="M243" t="str"/>
          <cell r="N243" t="str">
            <v>公司杂周转筐</v>
          </cell>
          <cell r="O243" t="str"/>
          <cell r="P243" t="str"/>
          <cell r="Q243">
            <v>93</v>
          </cell>
          <cell r="R243" t="str">
            <v>新N*K7V85</v>
          </cell>
          <cell r="S243" t="str">
            <v>公司筐</v>
          </cell>
          <cell r="T243" t="str"/>
          <cell r="U243" t="str"/>
          <cell r="V243" t="str"/>
          <cell r="W243" t="str"/>
          <cell r="X243" t="str"/>
          <cell r="Y243" t="str"/>
        </row>
        <row r="243">
          <cell r="AA243" t="str"/>
          <cell r="AB243" t="str"/>
          <cell r="AC243" t="str"/>
          <cell r="AD243" t="str"/>
          <cell r="AE243" t="str"/>
          <cell r="AF243" t="str"/>
        </row>
        <row r="244">
          <cell r="B244">
            <v>46280</v>
          </cell>
          <cell r="C244" t="str">
            <v>马锦祥</v>
          </cell>
          <cell r="D244" t="str">
            <v>原料入库</v>
          </cell>
          <cell r="E244" t="str">
            <v>NO:0000867</v>
          </cell>
          <cell r="F244" t="str">
            <v>香梨</v>
          </cell>
          <cell r="G244" t="str">
            <v>香梨副特</v>
          </cell>
          <cell r="H244">
            <v>57</v>
          </cell>
          <cell r="I244" t="str">
            <v>筐</v>
          </cell>
          <cell r="J244">
            <v>1043.1</v>
          </cell>
          <cell r="K244" t="str"/>
          <cell r="L244" t="str"/>
          <cell r="M244" t="str"/>
          <cell r="N244" t="str">
            <v>公司杂周转筐</v>
          </cell>
          <cell r="O244" t="str"/>
          <cell r="P244" t="str"/>
          <cell r="Q244">
            <v>57</v>
          </cell>
          <cell r="R244" t="str">
            <v>新N*K7V85</v>
          </cell>
          <cell r="S244" t="str">
            <v>公司筐</v>
          </cell>
          <cell r="T244" t="str"/>
          <cell r="U244" t="str"/>
          <cell r="V244" t="str"/>
          <cell r="W244" t="str"/>
          <cell r="X244" t="str"/>
          <cell r="Y244" t="str"/>
        </row>
        <row r="244">
          <cell r="AA244" t="str"/>
          <cell r="AB244" t="str"/>
          <cell r="AC244" t="str"/>
          <cell r="AD244" t="str"/>
          <cell r="AE244" t="str"/>
          <cell r="AF244" t="str"/>
        </row>
        <row r="245">
          <cell r="B245">
            <v>46280</v>
          </cell>
          <cell r="C245" t="str">
            <v>努尔敦</v>
          </cell>
          <cell r="D245" t="str">
            <v>原料入库</v>
          </cell>
          <cell r="E245" t="str">
            <v>NO:0000868</v>
          </cell>
          <cell r="F245" t="str">
            <v>香梨</v>
          </cell>
          <cell r="G245" t="str">
            <v>香梨特级</v>
          </cell>
          <cell r="H245">
            <v>264</v>
          </cell>
          <cell r="I245" t="str">
            <v>筐</v>
          </cell>
          <cell r="J245">
            <v>4831.2</v>
          </cell>
          <cell r="K245" t="str"/>
          <cell r="L245" t="str"/>
          <cell r="M245" t="str"/>
          <cell r="N245" t="str">
            <v>公司红周转筐</v>
          </cell>
          <cell r="O245" t="str"/>
          <cell r="P245" t="str"/>
          <cell r="Q245">
            <v>264</v>
          </cell>
          <cell r="R245" t="str">
            <v>新F*75240</v>
          </cell>
          <cell r="S245" t="str">
            <v>公司筐</v>
          </cell>
          <cell r="T245" t="str"/>
          <cell r="U245" t="str"/>
          <cell r="V245" t="str"/>
          <cell r="W245" t="str"/>
          <cell r="X245" t="str"/>
          <cell r="Y245" t="str"/>
        </row>
        <row r="245">
          <cell r="AA245" t="str"/>
          <cell r="AB245" t="str"/>
          <cell r="AC245" t="str"/>
          <cell r="AD245" t="str"/>
          <cell r="AE245" t="str"/>
          <cell r="AF245" t="str"/>
        </row>
        <row r="246">
          <cell r="B246">
            <v>46280</v>
          </cell>
          <cell r="C246" t="str">
            <v>努尔敦</v>
          </cell>
          <cell r="D246" t="str">
            <v>原料入库</v>
          </cell>
          <cell r="E246" t="str">
            <v>NO:0000868</v>
          </cell>
          <cell r="F246" t="str">
            <v>香梨</v>
          </cell>
          <cell r="G246" t="str">
            <v>香梨一级</v>
          </cell>
          <cell r="H246">
            <v>220</v>
          </cell>
          <cell r="I246" t="str">
            <v>筐</v>
          </cell>
          <cell r="J246">
            <v>4026</v>
          </cell>
          <cell r="K246" t="str"/>
          <cell r="L246" t="str"/>
          <cell r="M246" t="str"/>
          <cell r="N246" t="str">
            <v>公司红周转筐</v>
          </cell>
          <cell r="O246" t="str"/>
          <cell r="P246" t="str"/>
          <cell r="Q246">
            <v>220</v>
          </cell>
          <cell r="R246" t="str">
            <v>新F*75240</v>
          </cell>
          <cell r="S246" t="str">
            <v>公司筐</v>
          </cell>
          <cell r="T246" t="str"/>
          <cell r="U246" t="str"/>
          <cell r="V246" t="str"/>
          <cell r="W246" t="str"/>
          <cell r="X246" t="str"/>
          <cell r="Y246" t="str"/>
        </row>
        <row r="246">
          <cell r="AA246" t="str"/>
          <cell r="AB246" t="str"/>
          <cell r="AC246" t="str"/>
          <cell r="AD246" t="str"/>
          <cell r="AE246" t="str"/>
          <cell r="AF246" t="str"/>
        </row>
        <row r="247">
          <cell r="B247">
            <v>46280</v>
          </cell>
          <cell r="C247" t="str">
            <v>努尔敦</v>
          </cell>
          <cell r="D247" t="str">
            <v>原料入库</v>
          </cell>
          <cell r="E247" t="str">
            <v>NO:0000868</v>
          </cell>
          <cell r="F247" t="str">
            <v>香梨</v>
          </cell>
          <cell r="G247" t="str">
            <v>香梨二级</v>
          </cell>
          <cell r="H247">
            <v>168</v>
          </cell>
          <cell r="I247" t="str">
            <v>筐</v>
          </cell>
          <cell r="J247">
            <v>3746.4</v>
          </cell>
          <cell r="K247" t="str"/>
          <cell r="L247" t="str"/>
          <cell r="M247" t="str"/>
          <cell r="N247" t="str">
            <v>公司红周转筐</v>
          </cell>
          <cell r="O247" t="str"/>
          <cell r="P247" t="str"/>
          <cell r="Q247">
            <v>168</v>
          </cell>
          <cell r="R247" t="str">
            <v>新F*75240</v>
          </cell>
          <cell r="S247" t="str">
            <v>公司筐</v>
          </cell>
          <cell r="T247" t="str"/>
          <cell r="U247" t="str"/>
          <cell r="V247" t="str"/>
          <cell r="W247" t="str"/>
          <cell r="X247" t="str"/>
          <cell r="Y247" t="str"/>
        </row>
        <row r="247">
          <cell r="AA247" t="str"/>
          <cell r="AB247" t="str"/>
          <cell r="AC247" t="str"/>
          <cell r="AD247" t="str"/>
          <cell r="AE247" t="str"/>
          <cell r="AF247" t="str"/>
        </row>
        <row r="248">
          <cell r="B248">
            <v>46280</v>
          </cell>
          <cell r="C248" t="str">
            <v>王照雪</v>
          </cell>
          <cell r="D248" t="str">
            <v>原料入库</v>
          </cell>
          <cell r="E248" t="str">
            <v>NO:0000869</v>
          </cell>
          <cell r="F248" t="str">
            <v>苹果</v>
          </cell>
          <cell r="G248" t="str">
            <v>新世纪一级</v>
          </cell>
          <cell r="H248">
            <v>52</v>
          </cell>
          <cell r="I248" t="str">
            <v>筐</v>
          </cell>
          <cell r="J248">
            <v>899.6</v>
          </cell>
          <cell r="K248" t="str"/>
          <cell r="L248" t="str"/>
          <cell r="M248" t="str">
            <v>光果</v>
          </cell>
          <cell r="N248" t="str">
            <v>公司杂周转筐</v>
          </cell>
          <cell r="O248" t="str"/>
          <cell r="P248" t="str"/>
          <cell r="Q248">
            <v>52</v>
          </cell>
          <cell r="R248" t="str">
            <v>豫L*88X19</v>
          </cell>
          <cell r="S248" t="str">
            <v>公司筐</v>
          </cell>
          <cell r="T248" t="str"/>
          <cell r="U248" t="str"/>
          <cell r="V248" t="str"/>
          <cell r="W248" t="str"/>
          <cell r="X248" t="str"/>
          <cell r="Y248" t="str"/>
        </row>
        <row r="248">
          <cell r="AA248" t="str"/>
          <cell r="AB248" t="str"/>
          <cell r="AC248" t="str"/>
          <cell r="AD248" t="str"/>
          <cell r="AE248" t="str"/>
          <cell r="AF248" t="str"/>
        </row>
        <row r="249">
          <cell r="B249">
            <v>46280</v>
          </cell>
          <cell r="C249" t="str">
            <v>王照雪</v>
          </cell>
          <cell r="D249" t="str">
            <v>原料入库</v>
          </cell>
          <cell r="E249" t="str">
            <v>NO:0000869</v>
          </cell>
          <cell r="F249" t="str">
            <v>苹果</v>
          </cell>
          <cell r="G249" t="str">
            <v>新世纪一级</v>
          </cell>
          <cell r="H249">
            <v>222</v>
          </cell>
          <cell r="I249" t="str">
            <v>筐</v>
          </cell>
          <cell r="J249">
            <v>3840.6</v>
          </cell>
          <cell r="K249" t="str"/>
          <cell r="L249" t="str"/>
          <cell r="M249" t="str">
            <v>套袋</v>
          </cell>
          <cell r="N249" t="str">
            <v>公司杂周转筐</v>
          </cell>
          <cell r="O249" t="str"/>
          <cell r="P249" t="str"/>
          <cell r="Q249">
            <v>222</v>
          </cell>
          <cell r="R249" t="str">
            <v>豫L*88X19</v>
          </cell>
          <cell r="S249" t="str">
            <v>公司筐</v>
          </cell>
          <cell r="T249" t="str"/>
          <cell r="U249" t="str"/>
          <cell r="V249" t="str"/>
          <cell r="W249" t="str"/>
          <cell r="X249" t="str"/>
          <cell r="Y249" t="str"/>
        </row>
        <row r="249">
          <cell r="AA249" t="str"/>
          <cell r="AB249" t="str"/>
          <cell r="AC249" t="str"/>
          <cell r="AD249" t="str"/>
          <cell r="AE249" t="str"/>
          <cell r="AF249" t="str"/>
        </row>
        <row r="250">
          <cell r="B250">
            <v>46280</v>
          </cell>
          <cell r="C250" t="str">
            <v>王照雪</v>
          </cell>
          <cell r="D250" t="str">
            <v>原料入库</v>
          </cell>
          <cell r="E250" t="str">
            <v>NO:0000869</v>
          </cell>
          <cell r="F250" t="str">
            <v>苹果</v>
          </cell>
          <cell r="G250" t="str">
            <v>新世纪二级</v>
          </cell>
          <cell r="H250">
            <v>23</v>
          </cell>
          <cell r="I250" t="str">
            <v>筐</v>
          </cell>
          <cell r="J250">
            <v>374.9</v>
          </cell>
          <cell r="K250" t="str"/>
          <cell r="L250" t="str"/>
          <cell r="M250" t="str">
            <v>套袋+光果</v>
          </cell>
          <cell r="N250" t="str">
            <v>公司杂周转筐</v>
          </cell>
          <cell r="O250" t="str"/>
          <cell r="P250" t="str"/>
          <cell r="Q250">
            <v>23</v>
          </cell>
          <cell r="R250" t="str">
            <v>豫L*88X19</v>
          </cell>
          <cell r="S250" t="str">
            <v>公司筐</v>
          </cell>
          <cell r="T250" t="str"/>
          <cell r="U250" t="str"/>
          <cell r="V250" t="str"/>
          <cell r="W250" t="str"/>
          <cell r="X250" t="str"/>
          <cell r="Y250" t="str"/>
        </row>
        <row r="250">
          <cell r="AA250" t="str"/>
          <cell r="AB250" t="str"/>
          <cell r="AC250" t="str"/>
          <cell r="AD250" t="str"/>
          <cell r="AE250" t="str"/>
          <cell r="AF250" t="str"/>
        </row>
        <row r="251">
          <cell r="B251">
            <v>46280</v>
          </cell>
          <cell r="C251" t="str">
            <v>王照雪</v>
          </cell>
          <cell r="D251" t="str">
            <v>原料入库</v>
          </cell>
          <cell r="E251" t="str">
            <v>NO:0000869</v>
          </cell>
          <cell r="F251" t="str">
            <v>苹果</v>
          </cell>
          <cell r="G251" t="str">
            <v>新世纪二级</v>
          </cell>
          <cell r="H251">
            <v>7</v>
          </cell>
          <cell r="I251" t="str">
            <v>筐</v>
          </cell>
          <cell r="J251">
            <v>142.1</v>
          </cell>
          <cell r="K251" t="str"/>
          <cell r="L251" t="str"/>
          <cell r="M251" t="str">
            <v>套袋+光果</v>
          </cell>
          <cell r="N251" t="str">
            <v>公司杂周转筐</v>
          </cell>
          <cell r="O251" t="str"/>
          <cell r="P251" t="str"/>
          <cell r="Q251">
            <v>7</v>
          </cell>
          <cell r="R251" t="str">
            <v>豫L*88X19</v>
          </cell>
          <cell r="S251" t="str">
            <v>公司筐</v>
          </cell>
          <cell r="T251" t="str"/>
          <cell r="U251" t="str"/>
          <cell r="V251" t="str"/>
          <cell r="W251" t="str"/>
          <cell r="X251" t="str"/>
          <cell r="Y251" t="str"/>
        </row>
        <row r="251">
          <cell r="AA251" t="str"/>
          <cell r="AB251" t="str"/>
          <cell r="AC251" t="str"/>
          <cell r="AD251" t="str"/>
          <cell r="AE251" t="str"/>
          <cell r="AF251" t="str"/>
        </row>
        <row r="252">
          <cell r="B252">
            <v>46280</v>
          </cell>
          <cell r="C252" t="str">
            <v>荆建君</v>
          </cell>
          <cell r="D252" t="str">
            <v>原料入库</v>
          </cell>
          <cell r="E252" t="str">
            <v>NO:0000870</v>
          </cell>
          <cell r="F252" t="str">
            <v>香梨</v>
          </cell>
          <cell r="G252" t="str">
            <v>香梨一级</v>
          </cell>
          <cell r="H252">
            <v>440</v>
          </cell>
          <cell r="I252" t="str">
            <v>筐</v>
          </cell>
          <cell r="J252">
            <v>8052</v>
          </cell>
          <cell r="K252" t="str"/>
          <cell r="L252" t="str"/>
          <cell r="M252" t="str"/>
          <cell r="N252" t="str">
            <v>公司红周转筐</v>
          </cell>
          <cell r="O252" t="str"/>
          <cell r="P252" t="str"/>
          <cell r="Q252">
            <v>440</v>
          </cell>
          <cell r="R252" t="str">
            <v>豫A*2737K</v>
          </cell>
          <cell r="S252" t="str">
            <v>公司筐</v>
          </cell>
          <cell r="T252" t="str"/>
          <cell r="U252" t="str"/>
          <cell r="V252" t="str"/>
          <cell r="W252" t="str"/>
          <cell r="X252" t="str"/>
          <cell r="Y252" t="str"/>
        </row>
        <row r="252">
          <cell r="AA252" t="str"/>
          <cell r="AB252" t="str"/>
          <cell r="AC252" t="str"/>
          <cell r="AD252" t="str"/>
          <cell r="AE252" t="str"/>
          <cell r="AF252" t="str"/>
        </row>
        <row r="253">
          <cell r="B253">
            <v>46280</v>
          </cell>
          <cell r="C253" t="str">
            <v>荆建君</v>
          </cell>
          <cell r="D253" t="str">
            <v>原料入库</v>
          </cell>
          <cell r="E253" t="str">
            <v>NO:0000870</v>
          </cell>
          <cell r="F253" t="str">
            <v>香梨</v>
          </cell>
          <cell r="G253" t="str">
            <v>香梨二级</v>
          </cell>
          <cell r="H253">
            <v>208</v>
          </cell>
          <cell r="I253" t="str">
            <v>筐</v>
          </cell>
          <cell r="J253">
            <v>3806.4</v>
          </cell>
          <cell r="K253" t="str"/>
          <cell r="L253" t="str"/>
          <cell r="M253" t="str"/>
          <cell r="N253" t="str">
            <v>公司红周转筐</v>
          </cell>
          <cell r="O253" t="str"/>
          <cell r="P253" t="str"/>
          <cell r="Q253">
            <v>208</v>
          </cell>
          <cell r="R253" t="str">
            <v>豫A*2737K</v>
          </cell>
          <cell r="S253" t="str">
            <v>公司筐</v>
          </cell>
          <cell r="T253" t="str"/>
          <cell r="U253" t="str"/>
          <cell r="V253" t="str"/>
          <cell r="W253" t="str"/>
          <cell r="X253" t="str"/>
          <cell r="Y253" t="str"/>
        </row>
        <row r="253">
          <cell r="AA253" t="str"/>
          <cell r="AB253" t="str"/>
          <cell r="AC253" t="str"/>
          <cell r="AD253" t="str"/>
          <cell r="AE253" t="str"/>
          <cell r="AF253" t="str"/>
        </row>
        <row r="254">
          <cell r="B254">
            <v>46280</v>
          </cell>
          <cell r="C254" t="str">
            <v>热合曼+艾则孜</v>
          </cell>
          <cell r="D254" t="str">
            <v>原料入库</v>
          </cell>
          <cell r="E254" t="str">
            <v>NO:0000873</v>
          </cell>
          <cell r="F254" t="str">
            <v>香梨</v>
          </cell>
          <cell r="G254" t="str">
            <v>香梨一级</v>
          </cell>
          <cell r="H254">
            <v>329</v>
          </cell>
          <cell r="I254" t="str">
            <v>筐</v>
          </cell>
          <cell r="J254">
            <v>6020.7</v>
          </cell>
          <cell r="K254" t="str"/>
          <cell r="L254" t="str"/>
          <cell r="M254" t="str">
            <v>热合曼</v>
          </cell>
          <cell r="N254" t="str">
            <v>公司红周转筐</v>
          </cell>
          <cell r="O254" t="str"/>
          <cell r="P254" t="str"/>
          <cell r="Q254">
            <v>329</v>
          </cell>
          <cell r="R254" t="str">
            <v>新A*G0554</v>
          </cell>
          <cell r="S254" t="str">
            <v>公司筐</v>
          </cell>
          <cell r="T254" t="str"/>
          <cell r="U254" t="str"/>
          <cell r="V254" t="str"/>
          <cell r="W254" t="str"/>
          <cell r="X254" t="str"/>
          <cell r="Y254" t="str"/>
        </row>
        <row r="254">
          <cell r="AA254" t="str"/>
          <cell r="AB254" t="str"/>
          <cell r="AC254" t="str"/>
          <cell r="AD254" t="str"/>
          <cell r="AE254" t="str"/>
          <cell r="AF254" t="str"/>
        </row>
        <row r="255">
          <cell r="B255">
            <v>46280</v>
          </cell>
          <cell r="C255" t="str">
            <v>热合曼+艾则孜</v>
          </cell>
          <cell r="D255" t="str">
            <v>原料入库</v>
          </cell>
          <cell r="E255" t="str">
            <v>NO:0000873</v>
          </cell>
          <cell r="F255" t="str">
            <v>香梨</v>
          </cell>
          <cell r="G255" t="str">
            <v>香梨二级</v>
          </cell>
          <cell r="H255">
            <v>131</v>
          </cell>
          <cell r="I255" t="str">
            <v>筐</v>
          </cell>
          <cell r="J255">
            <v>2921.3</v>
          </cell>
          <cell r="K255" t="str"/>
          <cell r="L255" t="str"/>
          <cell r="M255" t="str">
            <v>热合曼</v>
          </cell>
          <cell r="N255" t="str">
            <v>公司红周转筐</v>
          </cell>
          <cell r="O255" t="str"/>
          <cell r="P255" t="str"/>
          <cell r="Q255">
            <v>131</v>
          </cell>
          <cell r="R255" t="str">
            <v>新A*G0554</v>
          </cell>
          <cell r="S255" t="str">
            <v>公司筐</v>
          </cell>
          <cell r="T255" t="str"/>
          <cell r="U255" t="str"/>
          <cell r="V255" t="str"/>
          <cell r="W255" t="str"/>
          <cell r="X255" t="str"/>
          <cell r="Y255" t="str"/>
        </row>
        <row r="255">
          <cell r="AA255" t="str"/>
          <cell r="AB255" t="str"/>
          <cell r="AC255" t="str"/>
          <cell r="AD255" t="str"/>
          <cell r="AE255" t="str"/>
          <cell r="AF255" t="str"/>
        </row>
        <row r="256">
          <cell r="B256">
            <v>46280</v>
          </cell>
          <cell r="C256" t="str">
            <v>热合曼+艾则孜</v>
          </cell>
          <cell r="D256" t="str">
            <v>原料入库</v>
          </cell>
          <cell r="E256" t="str">
            <v>NO:0000873</v>
          </cell>
          <cell r="F256" t="str">
            <v>香梨</v>
          </cell>
          <cell r="G256" t="str">
            <v>香梨副特</v>
          </cell>
          <cell r="H256">
            <v>40</v>
          </cell>
          <cell r="I256" t="str">
            <v>筐</v>
          </cell>
          <cell r="J256">
            <v>732</v>
          </cell>
          <cell r="K256" t="str"/>
          <cell r="L256" t="str"/>
          <cell r="M256" t="str">
            <v>热合曼</v>
          </cell>
          <cell r="N256" t="str">
            <v>公司红周转筐</v>
          </cell>
          <cell r="O256" t="str"/>
          <cell r="P256" t="str"/>
          <cell r="Q256">
            <v>40</v>
          </cell>
          <cell r="R256" t="str">
            <v>新A*G0554</v>
          </cell>
          <cell r="S256" t="str">
            <v>公司筐</v>
          </cell>
          <cell r="T256" t="str"/>
          <cell r="U256" t="str"/>
          <cell r="V256" t="str"/>
          <cell r="W256" t="str"/>
          <cell r="X256" t="str"/>
          <cell r="Y256" t="str"/>
        </row>
        <row r="256">
          <cell r="AA256" t="str"/>
          <cell r="AB256" t="str"/>
          <cell r="AC256" t="str"/>
          <cell r="AD256" t="str"/>
          <cell r="AE256" t="str"/>
          <cell r="AF256" t="str"/>
        </row>
        <row r="257">
          <cell r="B257">
            <v>46280</v>
          </cell>
          <cell r="C257" t="str">
            <v>王灵云</v>
          </cell>
          <cell r="D257" t="str">
            <v>原料入库</v>
          </cell>
          <cell r="E257" t="str">
            <v>NO:0000874</v>
          </cell>
          <cell r="F257" t="str">
            <v>香梨</v>
          </cell>
          <cell r="G257" t="str">
            <v>香梨一级</v>
          </cell>
          <cell r="H257">
            <v>585</v>
          </cell>
          <cell r="I257" t="str">
            <v>筐</v>
          </cell>
          <cell r="J257">
            <v>10705.5</v>
          </cell>
          <cell r="K257" t="str"/>
          <cell r="L257" t="str"/>
          <cell r="M257" t="str"/>
          <cell r="N257" t="str">
            <v>公司红周转筐</v>
          </cell>
          <cell r="O257" t="str"/>
          <cell r="P257" t="str"/>
          <cell r="Q257">
            <v>585</v>
          </cell>
          <cell r="R257" t="str">
            <v>新N*49209</v>
          </cell>
          <cell r="S257" t="str">
            <v>公司筐</v>
          </cell>
          <cell r="T257" t="str"/>
          <cell r="U257" t="str"/>
          <cell r="V257" t="str"/>
          <cell r="W257" t="str"/>
          <cell r="X257" t="str"/>
          <cell r="Y257" t="str"/>
        </row>
        <row r="257">
          <cell r="AA257" t="str"/>
          <cell r="AB257" t="str"/>
          <cell r="AC257" t="str"/>
          <cell r="AD257" t="str"/>
          <cell r="AE257" t="str"/>
          <cell r="AF257" t="str"/>
        </row>
        <row r="258">
          <cell r="B258">
            <v>46280</v>
          </cell>
          <cell r="C258" t="str">
            <v>王灵云</v>
          </cell>
          <cell r="D258" t="str">
            <v>原料入库</v>
          </cell>
          <cell r="E258" t="str">
            <v>NO:0000874</v>
          </cell>
          <cell r="F258" t="str">
            <v>香梨</v>
          </cell>
          <cell r="G258" t="str">
            <v>香梨二级</v>
          </cell>
          <cell r="H258">
            <v>104</v>
          </cell>
          <cell r="I258" t="str">
            <v>筐</v>
          </cell>
          <cell r="J258">
            <v>2423.2</v>
          </cell>
          <cell r="K258" t="str"/>
          <cell r="L258" t="str"/>
          <cell r="M258" t="str"/>
          <cell r="N258" t="str">
            <v>公司红周转筐</v>
          </cell>
          <cell r="O258" t="str"/>
          <cell r="P258" t="str"/>
          <cell r="Q258">
            <v>104</v>
          </cell>
          <cell r="R258" t="str">
            <v>新N*49209</v>
          </cell>
          <cell r="S258" t="str">
            <v>公司筐</v>
          </cell>
          <cell r="T258" t="str"/>
          <cell r="U258" t="str"/>
          <cell r="V258" t="str"/>
          <cell r="W258" t="str"/>
          <cell r="X258" t="str"/>
          <cell r="Y258" t="str"/>
        </row>
        <row r="258">
          <cell r="AA258" t="str"/>
          <cell r="AB258" t="str"/>
          <cell r="AC258" t="str"/>
          <cell r="AD258" t="str"/>
          <cell r="AE258" t="str"/>
          <cell r="AF258" t="str"/>
        </row>
        <row r="259">
          <cell r="B259">
            <v>46280</v>
          </cell>
          <cell r="C259" t="str">
            <v>李现东</v>
          </cell>
          <cell r="D259" t="str">
            <v>原料入库</v>
          </cell>
          <cell r="E259" t="str">
            <v>NO:0000876</v>
          </cell>
          <cell r="F259" t="str">
            <v>香梨</v>
          </cell>
          <cell r="G259" t="str">
            <v>香梨一级</v>
          </cell>
          <cell r="H259">
            <v>310</v>
          </cell>
          <cell r="I259" t="str">
            <v>筐</v>
          </cell>
          <cell r="J259">
            <v>5673</v>
          </cell>
          <cell r="K259" t="str"/>
          <cell r="L259" t="str"/>
          <cell r="M259" t="str">
            <v>王照雪</v>
          </cell>
          <cell r="N259" t="str">
            <v>公司杂周转筐</v>
          </cell>
          <cell r="O259" t="str"/>
          <cell r="P259" t="str"/>
          <cell r="Q259">
            <v>310</v>
          </cell>
          <cell r="R259" t="str">
            <v>新N*53045</v>
          </cell>
          <cell r="S259" t="str">
            <v>公司筐</v>
          </cell>
          <cell r="T259" t="str"/>
          <cell r="U259" t="str"/>
          <cell r="V259" t="str"/>
          <cell r="W259" t="str"/>
          <cell r="X259" t="str"/>
          <cell r="Y259" t="str"/>
        </row>
        <row r="259">
          <cell r="AA259" t="str"/>
          <cell r="AB259" t="str"/>
          <cell r="AC259" t="str"/>
          <cell r="AD259" t="str"/>
          <cell r="AE259" t="str"/>
          <cell r="AF259" t="str"/>
        </row>
        <row r="260">
          <cell r="B260">
            <v>46280</v>
          </cell>
          <cell r="C260" t="str">
            <v>李现东</v>
          </cell>
          <cell r="D260" t="str">
            <v>原料入库</v>
          </cell>
          <cell r="E260" t="str">
            <v>NO:0000876</v>
          </cell>
          <cell r="F260" t="str">
            <v>香梨</v>
          </cell>
          <cell r="G260" t="str">
            <v>香梨二级</v>
          </cell>
          <cell r="H260">
            <v>103</v>
          </cell>
          <cell r="I260" t="str">
            <v>筐</v>
          </cell>
          <cell r="J260">
            <v>2296.9</v>
          </cell>
          <cell r="K260" t="str"/>
          <cell r="L260" t="str"/>
          <cell r="M260" t="str">
            <v>王照雪</v>
          </cell>
          <cell r="N260" t="str">
            <v>公司杂周转筐</v>
          </cell>
          <cell r="O260" t="str"/>
          <cell r="P260" t="str"/>
          <cell r="Q260">
            <v>103</v>
          </cell>
          <cell r="R260" t="str">
            <v>新N*53045</v>
          </cell>
          <cell r="S260" t="str">
            <v>公司筐</v>
          </cell>
          <cell r="T260" t="str"/>
          <cell r="U260" t="str"/>
          <cell r="V260" t="str"/>
          <cell r="W260" t="str"/>
          <cell r="X260" t="str"/>
          <cell r="Y260" t="str"/>
        </row>
        <row r="260">
          <cell r="AA260" t="str"/>
          <cell r="AB260" t="str"/>
          <cell r="AC260" t="str"/>
          <cell r="AD260" t="str"/>
          <cell r="AE260" t="str"/>
          <cell r="AF260" t="str"/>
        </row>
        <row r="261">
          <cell r="B261">
            <v>46280</v>
          </cell>
          <cell r="C261" t="str">
            <v>李现东</v>
          </cell>
          <cell r="D261" t="str">
            <v>原料入库</v>
          </cell>
          <cell r="E261" t="str">
            <v>NO:0000876</v>
          </cell>
          <cell r="F261" t="str">
            <v>香梨</v>
          </cell>
          <cell r="G261" t="str">
            <v>香梨副特</v>
          </cell>
          <cell r="H261">
            <v>56</v>
          </cell>
          <cell r="I261" t="str">
            <v>筐</v>
          </cell>
          <cell r="J261">
            <v>1024.8</v>
          </cell>
          <cell r="K261" t="str"/>
          <cell r="L261" t="str"/>
          <cell r="M261" t="str">
            <v>王照雪</v>
          </cell>
          <cell r="N261" t="str">
            <v>公司杂周转筐</v>
          </cell>
          <cell r="O261" t="str"/>
          <cell r="P261" t="str"/>
          <cell r="Q261">
            <v>56</v>
          </cell>
          <cell r="R261" t="str">
            <v>新N*53045</v>
          </cell>
          <cell r="S261" t="str">
            <v>公司筐</v>
          </cell>
          <cell r="T261" t="str"/>
          <cell r="U261" t="str"/>
          <cell r="V261" t="str"/>
          <cell r="W261" t="str"/>
          <cell r="X261" t="str"/>
          <cell r="Y261" t="str"/>
        </row>
        <row r="261">
          <cell r="AA261" t="str"/>
          <cell r="AB261" t="str"/>
          <cell r="AC261" t="str"/>
          <cell r="AD261" t="str"/>
          <cell r="AE261" t="str"/>
          <cell r="AF261" t="str"/>
        </row>
        <row r="262">
          <cell r="B262">
            <v>46281</v>
          </cell>
          <cell r="C262" t="str">
            <v>吐尔洪</v>
          </cell>
          <cell r="D262" t="str">
            <v>原料入库</v>
          </cell>
          <cell r="E262" t="str">
            <v>NO:0000878</v>
          </cell>
          <cell r="F262" t="str">
            <v>香梨</v>
          </cell>
          <cell r="G262" t="str">
            <v>香梨特级</v>
          </cell>
          <cell r="H262">
            <v>116</v>
          </cell>
          <cell r="I262" t="str">
            <v>筐</v>
          </cell>
          <cell r="J262">
            <v>2122.8</v>
          </cell>
          <cell r="K262" t="str"/>
          <cell r="L262" t="str"/>
          <cell r="M262" t="str">
            <v>麦麦提</v>
          </cell>
          <cell r="N262" t="str">
            <v>公司红周转筐</v>
          </cell>
          <cell r="O262" t="str"/>
          <cell r="P262" t="str"/>
          <cell r="Q262">
            <v>116</v>
          </cell>
          <cell r="R262" t="str">
            <v>新N*X8S48</v>
          </cell>
          <cell r="S262" t="str">
            <v>公司筐</v>
          </cell>
          <cell r="T262" t="str"/>
          <cell r="U262" t="str"/>
          <cell r="V262" t="str"/>
          <cell r="W262" t="str"/>
          <cell r="X262" t="str"/>
          <cell r="Y262" t="str"/>
        </row>
        <row r="262">
          <cell r="AA262" t="str"/>
          <cell r="AB262" t="str"/>
          <cell r="AC262" t="str"/>
          <cell r="AD262" t="str"/>
          <cell r="AE262" t="str"/>
          <cell r="AF262" t="str"/>
        </row>
        <row r="263">
          <cell r="B263">
            <v>46281</v>
          </cell>
          <cell r="C263" t="str">
            <v>吐尔洪</v>
          </cell>
          <cell r="D263" t="str">
            <v>原料入库</v>
          </cell>
          <cell r="E263" t="str">
            <v>NO:0000878</v>
          </cell>
          <cell r="F263" t="str">
            <v>香梨</v>
          </cell>
          <cell r="G263" t="str">
            <v>香梨一级</v>
          </cell>
          <cell r="H263">
            <v>28</v>
          </cell>
          <cell r="I263" t="str">
            <v>筐</v>
          </cell>
          <cell r="J263">
            <v>512.4</v>
          </cell>
          <cell r="K263" t="str"/>
          <cell r="L263" t="str"/>
          <cell r="M263" t="str">
            <v>麦麦提</v>
          </cell>
          <cell r="N263" t="str">
            <v>公司红周转筐</v>
          </cell>
          <cell r="O263" t="str"/>
          <cell r="P263" t="str"/>
          <cell r="Q263">
            <v>28</v>
          </cell>
          <cell r="R263" t="str">
            <v>新N*X8S48</v>
          </cell>
          <cell r="S263" t="str">
            <v>公司筐</v>
          </cell>
          <cell r="T263" t="str"/>
          <cell r="U263" t="str"/>
          <cell r="V263" t="str"/>
          <cell r="W263" t="str"/>
          <cell r="X263" t="str"/>
          <cell r="Y263" t="str"/>
        </row>
        <row r="263">
          <cell r="AA263" t="str"/>
          <cell r="AB263" t="str"/>
          <cell r="AC263" t="str"/>
          <cell r="AD263" t="str"/>
          <cell r="AE263" t="str"/>
          <cell r="AF263" t="str"/>
        </row>
        <row r="264">
          <cell r="B264">
            <v>46281</v>
          </cell>
          <cell r="C264" t="str">
            <v>吐尔洪</v>
          </cell>
          <cell r="D264" t="str">
            <v>原料入库</v>
          </cell>
          <cell r="E264" t="str">
            <v>NO:0000878</v>
          </cell>
          <cell r="F264" t="str">
            <v>香梨</v>
          </cell>
          <cell r="G264" t="str">
            <v>香梨二级</v>
          </cell>
          <cell r="H264">
            <v>71</v>
          </cell>
          <cell r="I264" t="str">
            <v>筐</v>
          </cell>
          <cell r="J264">
            <v>1583.3</v>
          </cell>
          <cell r="K264" t="str"/>
          <cell r="L264" t="str"/>
          <cell r="M264" t="str">
            <v>麦麦提</v>
          </cell>
          <cell r="N264" t="str">
            <v>公司红周转筐</v>
          </cell>
          <cell r="O264" t="str"/>
          <cell r="P264" t="str"/>
          <cell r="Q264">
            <v>71</v>
          </cell>
          <cell r="R264" t="str">
            <v>新N*X8S48</v>
          </cell>
          <cell r="S264" t="str">
            <v>公司筐</v>
          </cell>
          <cell r="T264" t="str"/>
          <cell r="U264" t="str"/>
          <cell r="V264" t="str"/>
          <cell r="W264" t="str"/>
          <cell r="X264" t="str"/>
          <cell r="Y264" t="str"/>
        </row>
        <row r="264">
          <cell r="AA264" t="str"/>
          <cell r="AB264" t="str"/>
          <cell r="AC264" t="str"/>
          <cell r="AD264" t="str"/>
          <cell r="AE264" t="str"/>
          <cell r="AF264" t="str"/>
        </row>
        <row r="265">
          <cell r="B265">
            <v>46281</v>
          </cell>
          <cell r="C265" t="str">
            <v>王灵云</v>
          </cell>
          <cell r="D265" t="str">
            <v>原料入库</v>
          </cell>
          <cell r="E265" t="str">
            <v>NO:0000881</v>
          </cell>
          <cell r="F265" t="str">
            <v>香梨</v>
          </cell>
          <cell r="G265" t="str">
            <v>香梨一级</v>
          </cell>
          <cell r="H265">
            <v>365</v>
          </cell>
          <cell r="I265" t="str">
            <v>筐</v>
          </cell>
          <cell r="J265">
            <v>6679.5</v>
          </cell>
          <cell r="K265" t="str"/>
          <cell r="L265" t="str"/>
          <cell r="M265" t="str"/>
          <cell r="N265" t="str">
            <v>公司红周转筐</v>
          </cell>
          <cell r="O265" t="str"/>
          <cell r="P265" t="str"/>
          <cell r="Q265">
            <v>365</v>
          </cell>
          <cell r="R265" t="str">
            <v>新N*49209</v>
          </cell>
          <cell r="S265" t="str">
            <v>公司筐</v>
          </cell>
          <cell r="T265" t="str"/>
          <cell r="U265" t="str"/>
          <cell r="V265" t="str"/>
          <cell r="W265" t="str"/>
          <cell r="X265" t="str"/>
          <cell r="Y265" t="str"/>
        </row>
        <row r="265">
          <cell r="AA265" t="str"/>
          <cell r="AB265" t="str"/>
          <cell r="AC265" t="str"/>
          <cell r="AD265" t="str"/>
          <cell r="AE265" t="str"/>
          <cell r="AF265" t="str"/>
        </row>
        <row r="266">
          <cell r="B266">
            <v>46281</v>
          </cell>
          <cell r="C266" t="str">
            <v>王灵云</v>
          </cell>
          <cell r="D266" t="str">
            <v>原料入库</v>
          </cell>
          <cell r="E266" t="str">
            <v>NO:0000881</v>
          </cell>
          <cell r="F266" t="str">
            <v>香梨</v>
          </cell>
          <cell r="G266" t="str">
            <v>香梨二级</v>
          </cell>
          <cell r="H266">
            <v>35</v>
          </cell>
          <cell r="I266" t="str">
            <v>筐</v>
          </cell>
          <cell r="J266">
            <v>815.5</v>
          </cell>
          <cell r="K266" t="str"/>
          <cell r="L266" t="str"/>
          <cell r="M266" t="str"/>
          <cell r="N266" t="str">
            <v>公司红周转筐</v>
          </cell>
          <cell r="O266" t="str"/>
          <cell r="P266" t="str"/>
          <cell r="Q266">
            <v>35</v>
          </cell>
          <cell r="R266" t="str">
            <v>新N*49209</v>
          </cell>
          <cell r="S266" t="str">
            <v>公司筐</v>
          </cell>
          <cell r="T266" t="str"/>
          <cell r="U266" t="str"/>
          <cell r="V266" t="str"/>
          <cell r="W266" t="str"/>
          <cell r="X266" t="str"/>
          <cell r="Y266" t="str"/>
        </row>
        <row r="266">
          <cell r="AA266" t="str"/>
          <cell r="AB266" t="str"/>
          <cell r="AC266" t="str"/>
          <cell r="AD266" t="str"/>
          <cell r="AE266" t="str"/>
          <cell r="AF266" t="str"/>
        </row>
        <row r="267">
          <cell r="B267">
            <v>46281</v>
          </cell>
          <cell r="C267" t="str">
            <v>王灵云</v>
          </cell>
          <cell r="D267" t="str">
            <v>原料入库</v>
          </cell>
          <cell r="E267" t="str">
            <v>NO:0000881</v>
          </cell>
          <cell r="F267" t="str">
            <v>香梨</v>
          </cell>
          <cell r="G267" t="str">
            <v>香梨副特</v>
          </cell>
          <cell r="H267">
            <v>161</v>
          </cell>
          <cell r="I267" t="str">
            <v>筐</v>
          </cell>
          <cell r="J267">
            <v>2946.3</v>
          </cell>
          <cell r="K267" t="str"/>
          <cell r="L267" t="str"/>
          <cell r="M267" t="str"/>
          <cell r="N267" t="str">
            <v>公司红周转筐</v>
          </cell>
          <cell r="O267" t="str"/>
          <cell r="P267" t="str"/>
          <cell r="Q267">
            <v>161</v>
          </cell>
          <cell r="R267" t="str">
            <v>新N*49209</v>
          </cell>
          <cell r="S267" t="str">
            <v>公司筐</v>
          </cell>
          <cell r="T267" t="str"/>
          <cell r="U267" t="str"/>
          <cell r="V267" t="str"/>
          <cell r="W267" t="str"/>
          <cell r="X267" t="str"/>
          <cell r="Y267" t="str"/>
        </row>
        <row r="267">
          <cell r="AA267" t="str"/>
          <cell r="AB267" t="str"/>
          <cell r="AC267" t="str"/>
          <cell r="AD267" t="str"/>
          <cell r="AE267" t="str"/>
          <cell r="AF267" t="str"/>
        </row>
        <row r="268">
          <cell r="B268">
            <v>46281</v>
          </cell>
          <cell r="C268" t="str">
            <v>麦麦提</v>
          </cell>
          <cell r="D268" t="str">
            <v>原料入库</v>
          </cell>
          <cell r="E268" t="str">
            <v>NO:0000882</v>
          </cell>
          <cell r="F268" t="str">
            <v>香梨</v>
          </cell>
          <cell r="G268" t="str">
            <v>香梨特级</v>
          </cell>
          <cell r="H268">
            <v>248</v>
          </cell>
          <cell r="I268" t="str">
            <v>筐</v>
          </cell>
          <cell r="J268">
            <v>4538.4</v>
          </cell>
          <cell r="K268" t="str"/>
          <cell r="L268" t="str"/>
          <cell r="M268" t="str"/>
          <cell r="N268" t="str">
            <v>公司红周转筐</v>
          </cell>
          <cell r="O268" t="str"/>
          <cell r="P268" t="str"/>
          <cell r="Q268">
            <v>248</v>
          </cell>
          <cell r="R268" t="str">
            <v>新A*G0554</v>
          </cell>
          <cell r="S268" t="str">
            <v>公司筐</v>
          </cell>
          <cell r="T268" t="str"/>
          <cell r="U268" t="str"/>
          <cell r="V268" t="str"/>
          <cell r="W268" t="str"/>
          <cell r="X268" t="str"/>
          <cell r="Y268" t="str"/>
        </row>
        <row r="268">
          <cell r="AA268" t="str"/>
          <cell r="AB268" t="str"/>
          <cell r="AC268" t="str"/>
          <cell r="AD268" t="str"/>
          <cell r="AE268" t="str"/>
          <cell r="AF268" t="str"/>
        </row>
        <row r="269">
          <cell r="B269">
            <v>46281</v>
          </cell>
          <cell r="C269" t="str">
            <v>麦麦提</v>
          </cell>
          <cell r="D269" t="str">
            <v>原料入库</v>
          </cell>
          <cell r="E269" t="str">
            <v>NO:0000882</v>
          </cell>
          <cell r="F269" t="str">
            <v>香梨</v>
          </cell>
          <cell r="G269" t="str">
            <v>香梨一级</v>
          </cell>
          <cell r="H269">
            <v>176</v>
          </cell>
          <cell r="I269" t="str">
            <v>筐</v>
          </cell>
          <cell r="J269">
            <v>3220.8</v>
          </cell>
          <cell r="K269" t="str"/>
          <cell r="L269" t="str"/>
          <cell r="M269" t="str"/>
          <cell r="N269" t="str">
            <v>公司红周转筐</v>
          </cell>
          <cell r="O269" t="str"/>
          <cell r="P269" t="str"/>
          <cell r="Q269">
            <v>176</v>
          </cell>
          <cell r="R269" t="str">
            <v>新A*G0554</v>
          </cell>
          <cell r="S269" t="str">
            <v>公司筐</v>
          </cell>
          <cell r="T269" t="str"/>
          <cell r="U269" t="str"/>
          <cell r="V269" t="str"/>
          <cell r="W269" t="str"/>
          <cell r="X269" t="str"/>
          <cell r="Y269" t="str"/>
        </row>
        <row r="269">
          <cell r="AA269" t="str"/>
          <cell r="AB269" t="str"/>
          <cell r="AC269" t="str"/>
          <cell r="AD269" t="str"/>
          <cell r="AE269" t="str"/>
          <cell r="AF269" t="str"/>
        </row>
        <row r="270">
          <cell r="B270">
            <v>46281</v>
          </cell>
          <cell r="C270" t="str">
            <v>麦麦提</v>
          </cell>
          <cell r="D270" t="str">
            <v>原料入库</v>
          </cell>
          <cell r="E270" t="str">
            <v>NO:0000882</v>
          </cell>
          <cell r="F270" t="str">
            <v>香梨</v>
          </cell>
          <cell r="G270" t="str">
            <v>香梨二级</v>
          </cell>
          <cell r="H270">
            <v>200</v>
          </cell>
          <cell r="I270" t="str">
            <v>筐</v>
          </cell>
          <cell r="J270">
            <v>4460</v>
          </cell>
          <cell r="K270" t="str"/>
          <cell r="L270" t="str"/>
          <cell r="M270" t="str"/>
          <cell r="N270" t="str">
            <v>公司红周转筐</v>
          </cell>
          <cell r="O270" t="str"/>
          <cell r="P270" t="str"/>
          <cell r="Q270">
            <v>200</v>
          </cell>
          <cell r="R270" t="str">
            <v>新A*G0554</v>
          </cell>
          <cell r="S270" t="str">
            <v>公司筐</v>
          </cell>
          <cell r="T270" t="str"/>
          <cell r="U270" t="str"/>
          <cell r="V270" t="str"/>
          <cell r="W270" t="str"/>
          <cell r="X270" t="str"/>
          <cell r="Y270" t="str"/>
        </row>
        <row r="270">
          <cell r="AA270" t="str"/>
          <cell r="AB270" t="str"/>
          <cell r="AC270" t="str"/>
          <cell r="AD270" t="str"/>
          <cell r="AE270" t="str"/>
          <cell r="AF270" t="str"/>
        </row>
        <row r="271">
          <cell r="B271">
            <v>46281</v>
          </cell>
          <cell r="C271" t="str">
            <v>努尔敦</v>
          </cell>
          <cell r="D271" t="str">
            <v>原料入库</v>
          </cell>
          <cell r="E271" t="str">
            <v>NO:0000883</v>
          </cell>
          <cell r="F271" t="str">
            <v>香梨</v>
          </cell>
          <cell r="G271" t="str">
            <v>香梨特级</v>
          </cell>
          <cell r="H271">
            <v>296</v>
          </cell>
          <cell r="I271" t="str">
            <v>筐</v>
          </cell>
          <cell r="J271">
            <v>5416.8</v>
          </cell>
          <cell r="K271" t="str"/>
          <cell r="L271" t="str"/>
          <cell r="M271" t="str"/>
          <cell r="N271" t="str">
            <v>公司红周转筐</v>
          </cell>
          <cell r="O271" t="str"/>
          <cell r="P271" t="str"/>
          <cell r="Q271">
            <v>296</v>
          </cell>
          <cell r="R271" t="str">
            <v>新F*75240</v>
          </cell>
          <cell r="S271" t="str">
            <v>公司筐</v>
          </cell>
          <cell r="T271" t="str"/>
          <cell r="U271" t="str"/>
          <cell r="V271" t="str"/>
          <cell r="W271" t="str"/>
          <cell r="X271" t="str"/>
          <cell r="Y271" t="str"/>
        </row>
        <row r="271">
          <cell r="AA271" t="str"/>
          <cell r="AB271" t="str"/>
          <cell r="AC271" t="str"/>
          <cell r="AD271" t="str"/>
          <cell r="AE271" t="str"/>
          <cell r="AF271" t="str"/>
        </row>
        <row r="272">
          <cell r="B272">
            <v>46281</v>
          </cell>
          <cell r="C272" t="str">
            <v>努尔敦</v>
          </cell>
          <cell r="D272" t="str">
            <v>原料入库</v>
          </cell>
          <cell r="E272" t="str">
            <v>NO:0000883</v>
          </cell>
          <cell r="F272" t="str">
            <v>香梨</v>
          </cell>
          <cell r="G272" t="str">
            <v>香梨一级</v>
          </cell>
          <cell r="H272">
            <v>233</v>
          </cell>
          <cell r="I272" t="str">
            <v>筐</v>
          </cell>
          <cell r="J272">
            <v>4263.9</v>
          </cell>
          <cell r="K272" t="str"/>
          <cell r="L272" t="str"/>
          <cell r="M272" t="str"/>
          <cell r="N272" t="str">
            <v>公司红周转筐</v>
          </cell>
          <cell r="O272" t="str"/>
          <cell r="P272" t="str"/>
          <cell r="Q272">
            <v>233</v>
          </cell>
          <cell r="R272" t="str">
            <v>新F*75240</v>
          </cell>
          <cell r="S272" t="str">
            <v>公司筐</v>
          </cell>
          <cell r="T272" t="str"/>
          <cell r="U272" t="str"/>
          <cell r="V272" t="str"/>
          <cell r="W272" t="str"/>
          <cell r="X272" t="str"/>
          <cell r="Y272" t="str"/>
        </row>
        <row r="272">
          <cell r="AA272" t="str"/>
          <cell r="AB272" t="str"/>
          <cell r="AC272" t="str"/>
          <cell r="AD272" t="str"/>
          <cell r="AE272" t="str"/>
          <cell r="AF272" t="str"/>
        </row>
        <row r="273">
          <cell r="B273">
            <v>46281</v>
          </cell>
          <cell r="C273" t="str">
            <v>努尔敦</v>
          </cell>
          <cell r="D273" t="str">
            <v>原料入库</v>
          </cell>
          <cell r="E273" t="str">
            <v>NO:0000883</v>
          </cell>
          <cell r="F273" t="str">
            <v>香梨</v>
          </cell>
          <cell r="G273" t="str">
            <v>香梨二级</v>
          </cell>
          <cell r="H273">
            <v>112</v>
          </cell>
          <cell r="I273" t="str">
            <v>筐</v>
          </cell>
          <cell r="J273">
            <v>2497.6</v>
          </cell>
          <cell r="K273" t="str"/>
          <cell r="L273" t="str"/>
          <cell r="M273" t="str"/>
          <cell r="N273" t="str">
            <v>公司红周转筐</v>
          </cell>
          <cell r="O273" t="str"/>
          <cell r="P273" t="str"/>
          <cell r="Q273">
            <v>112</v>
          </cell>
          <cell r="R273" t="str">
            <v>新F*75240</v>
          </cell>
          <cell r="S273" t="str">
            <v>公司筐</v>
          </cell>
          <cell r="T273" t="str"/>
          <cell r="U273" t="str"/>
          <cell r="V273" t="str"/>
          <cell r="W273" t="str"/>
          <cell r="X273" t="str"/>
          <cell r="Y273" t="str"/>
        </row>
        <row r="273">
          <cell r="AA273" t="str"/>
          <cell r="AB273" t="str"/>
          <cell r="AC273" t="str"/>
          <cell r="AD273" t="str"/>
          <cell r="AE273" t="str"/>
          <cell r="AF273" t="str"/>
        </row>
        <row r="274">
          <cell r="B274">
            <v>46282</v>
          </cell>
          <cell r="C274" t="str">
            <v>吐尔逊</v>
          </cell>
          <cell r="D274" t="str">
            <v>原料入库</v>
          </cell>
          <cell r="E274" t="str">
            <v>NO:0000886</v>
          </cell>
          <cell r="F274" t="str">
            <v>香梨</v>
          </cell>
          <cell r="G274" t="str">
            <v>香梨一级</v>
          </cell>
          <cell r="H274">
            <v>100</v>
          </cell>
          <cell r="I274" t="str">
            <v>筐</v>
          </cell>
          <cell r="J274">
            <v>1750</v>
          </cell>
          <cell r="K274" t="str"/>
          <cell r="L274" t="str"/>
          <cell r="M274" t="str"/>
          <cell r="N274" t="str">
            <v>公司一次性筐</v>
          </cell>
          <cell r="O274" t="str"/>
          <cell r="P274" t="str"/>
          <cell r="Q274">
            <v>100</v>
          </cell>
          <cell r="R274" t="str">
            <v>新A*NZ020</v>
          </cell>
          <cell r="S274" t="str">
            <v>公司筐</v>
          </cell>
          <cell r="T274" t="str"/>
          <cell r="U274" t="str"/>
          <cell r="V274" t="str"/>
          <cell r="W274" t="str"/>
          <cell r="X274" t="str"/>
          <cell r="Y274" t="str"/>
        </row>
        <row r="274">
          <cell r="AA274" t="str"/>
          <cell r="AB274" t="str"/>
          <cell r="AC274" t="str"/>
          <cell r="AD274" t="str"/>
          <cell r="AE274" t="str"/>
          <cell r="AF274" t="str"/>
        </row>
        <row r="275">
          <cell r="B275">
            <v>46282</v>
          </cell>
          <cell r="C275" t="str">
            <v>吐尔逊</v>
          </cell>
          <cell r="D275" t="str">
            <v>原料入库</v>
          </cell>
          <cell r="E275" t="str">
            <v>NO:0000886</v>
          </cell>
          <cell r="F275" t="str">
            <v>香梨</v>
          </cell>
          <cell r="G275" t="str">
            <v>香梨二级</v>
          </cell>
          <cell r="H275">
            <v>100</v>
          </cell>
          <cell r="I275" t="str">
            <v>筐</v>
          </cell>
          <cell r="J275">
            <v>2450</v>
          </cell>
          <cell r="K275" t="str"/>
          <cell r="L275" t="str"/>
          <cell r="M275" t="str"/>
          <cell r="N275" t="str">
            <v>公司一次性筐</v>
          </cell>
          <cell r="O275" t="str"/>
          <cell r="P275" t="str"/>
          <cell r="Q275">
            <v>100</v>
          </cell>
          <cell r="R275" t="str">
            <v>新A*NZ020</v>
          </cell>
          <cell r="S275" t="str">
            <v>公司筐</v>
          </cell>
          <cell r="T275" t="str"/>
          <cell r="U275" t="str"/>
          <cell r="V275" t="str"/>
          <cell r="W275" t="str"/>
          <cell r="X275" t="str"/>
          <cell r="Y275" t="str"/>
        </row>
        <row r="275">
          <cell r="AA275" t="str"/>
          <cell r="AB275" t="str"/>
          <cell r="AC275" t="str"/>
          <cell r="AD275" t="str"/>
          <cell r="AE275" t="str"/>
          <cell r="AF275" t="str"/>
        </row>
        <row r="276">
          <cell r="B276">
            <v>46282</v>
          </cell>
          <cell r="C276" t="str">
            <v>王照雪</v>
          </cell>
          <cell r="D276" t="str">
            <v>原料入库</v>
          </cell>
          <cell r="E276" t="str">
            <v>NO:0000888</v>
          </cell>
          <cell r="F276" t="str">
            <v>苹果</v>
          </cell>
          <cell r="G276" t="str">
            <v>新世纪一级</v>
          </cell>
          <cell r="H276">
            <v>125</v>
          </cell>
          <cell r="I276" t="str">
            <v>筐</v>
          </cell>
          <cell r="J276">
            <v>2162.5</v>
          </cell>
          <cell r="K276" t="str"/>
          <cell r="L276" t="str"/>
          <cell r="M276" t="str"/>
          <cell r="N276" t="str">
            <v>公司杂周转筐</v>
          </cell>
          <cell r="O276" t="str"/>
          <cell r="P276" t="str"/>
          <cell r="Q276">
            <v>125</v>
          </cell>
          <cell r="R276" t="str">
            <v>豫L*88X19</v>
          </cell>
          <cell r="S276" t="str">
            <v>公司筐</v>
          </cell>
          <cell r="T276" t="str"/>
          <cell r="U276" t="str"/>
          <cell r="V276" t="str"/>
          <cell r="W276" t="str"/>
          <cell r="X276" t="str"/>
          <cell r="Y276" t="str"/>
        </row>
        <row r="276">
          <cell r="AA276" t="str"/>
          <cell r="AB276" t="str"/>
          <cell r="AC276" t="str"/>
          <cell r="AD276" t="str"/>
          <cell r="AE276" t="str"/>
          <cell r="AF276" t="str"/>
        </row>
        <row r="277">
          <cell r="B277">
            <v>46282</v>
          </cell>
          <cell r="C277" t="str">
            <v>王照雪</v>
          </cell>
          <cell r="D277" t="str">
            <v>原料入库</v>
          </cell>
          <cell r="E277" t="str">
            <v>NO:0000888</v>
          </cell>
          <cell r="F277" t="str">
            <v>苹果</v>
          </cell>
          <cell r="G277" t="str">
            <v>新世纪二级</v>
          </cell>
          <cell r="H277">
            <v>28</v>
          </cell>
          <cell r="I277" t="str">
            <v>筐</v>
          </cell>
          <cell r="J277">
            <v>568.4</v>
          </cell>
          <cell r="K277" t="str"/>
          <cell r="L277" t="str"/>
          <cell r="M277" t="str"/>
          <cell r="N277" t="str">
            <v>公司杂周转筐</v>
          </cell>
          <cell r="O277" t="str"/>
          <cell r="P277" t="str"/>
          <cell r="Q277">
            <v>28</v>
          </cell>
          <cell r="R277" t="str">
            <v>豫L*88X19</v>
          </cell>
          <cell r="S277" t="str">
            <v>公司筐</v>
          </cell>
          <cell r="T277" t="str"/>
          <cell r="U277" t="str"/>
          <cell r="V277" t="str"/>
          <cell r="W277" t="str"/>
          <cell r="X277" t="str"/>
          <cell r="Y277" t="str"/>
        </row>
        <row r="277">
          <cell r="AA277" t="str"/>
          <cell r="AB277" t="str"/>
          <cell r="AC277" t="str"/>
          <cell r="AD277" t="str"/>
          <cell r="AE277" t="str"/>
          <cell r="AF277" t="str"/>
        </row>
        <row r="278">
          <cell r="B278">
            <v>46282</v>
          </cell>
          <cell r="C278" t="str">
            <v>王照雪</v>
          </cell>
          <cell r="D278" t="str">
            <v>原料入库</v>
          </cell>
          <cell r="E278" t="str">
            <v>NO:0000888</v>
          </cell>
          <cell r="F278" t="str">
            <v>苹果</v>
          </cell>
          <cell r="G278" t="str">
            <v>玫瑰红一级</v>
          </cell>
          <cell r="H278">
            <v>24</v>
          </cell>
          <cell r="I278" t="str">
            <v>筐</v>
          </cell>
          <cell r="J278">
            <v>415.2</v>
          </cell>
          <cell r="K278" t="str"/>
          <cell r="L278" t="str"/>
          <cell r="M278" t="str"/>
          <cell r="N278" t="str">
            <v>公司杂周转筐</v>
          </cell>
          <cell r="O278" t="str"/>
          <cell r="P278" t="str"/>
          <cell r="Q278">
            <v>24</v>
          </cell>
          <cell r="R278" t="str">
            <v>豫L*88X19</v>
          </cell>
          <cell r="S278" t="str">
            <v>公司筐</v>
          </cell>
          <cell r="T278" t="str"/>
          <cell r="U278" t="str"/>
          <cell r="V278" t="str"/>
          <cell r="W278" t="str"/>
          <cell r="X278" t="str"/>
          <cell r="Y278" t="str"/>
        </row>
        <row r="278">
          <cell r="AA278" t="str"/>
          <cell r="AB278" t="str"/>
          <cell r="AC278" t="str"/>
          <cell r="AD278" t="str"/>
          <cell r="AE278" t="str"/>
          <cell r="AF278" t="str"/>
        </row>
        <row r="279">
          <cell r="B279">
            <v>46282</v>
          </cell>
          <cell r="C279" t="str">
            <v>阿布都</v>
          </cell>
          <cell r="D279" t="str">
            <v>原料入库</v>
          </cell>
          <cell r="E279" t="str">
            <v>NO:0000891</v>
          </cell>
          <cell r="F279" t="str">
            <v>香梨</v>
          </cell>
          <cell r="G279" t="str">
            <v>香梨特级</v>
          </cell>
          <cell r="H279">
            <v>118</v>
          </cell>
          <cell r="I279" t="str">
            <v>筐</v>
          </cell>
          <cell r="J279">
            <v>2159.4</v>
          </cell>
          <cell r="K279" t="str"/>
          <cell r="L279" t="str"/>
          <cell r="M279" t="str">
            <v>努尔敦</v>
          </cell>
          <cell r="N279" t="str">
            <v>公司红周转筐</v>
          </cell>
          <cell r="O279" t="str"/>
          <cell r="P279" t="str"/>
          <cell r="Q279">
            <v>118</v>
          </cell>
          <cell r="R279" t="str">
            <v>新N*F0M01</v>
          </cell>
          <cell r="S279" t="str">
            <v>公司筐</v>
          </cell>
          <cell r="T279" t="str"/>
          <cell r="U279" t="str"/>
          <cell r="V279" t="str"/>
          <cell r="W279" t="str"/>
          <cell r="X279" t="str"/>
          <cell r="Y279" t="str"/>
        </row>
        <row r="279">
          <cell r="AA279" t="str"/>
          <cell r="AB279" t="str"/>
          <cell r="AC279" t="str"/>
          <cell r="AD279" t="str"/>
          <cell r="AE279" t="str"/>
          <cell r="AF279" t="str"/>
        </row>
        <row r="280">
          <cell r="B280">
            <v>46282</v>
          </cell>
          <cell r="C280" t="str">
            <v>阿布都</v>
          </cell>
          <cell r="D280" t="str">
            <v>原料入库</v>
          </cell>
          <cell r="E280" t="str">
            <v>NO:0000891</v>
          </cell>
          <cell r="F280" t="str">
            <v>香梨</v>
          </cell>
          <cell r="G280" t="str">
            <v>香梨一级</v>
          </cell>
          <cell r="H280">
            <v>43</v>
          </cell>
          <cell r="I280" t="str">
            <v>筐</v>
          </cell>
          <cell r="J280">
            <v>786.9</v>
          </cell>
          <cell r="K280" t="str"/>
          <cell r="L280" t="str"/>
          <cell r="M280" t="str">
            <v>努尔敦</v>
          </cell>
          <cell r="N280" t="str">
            <v>公司红周转筐</v>
          </cell>
          <cell r="O280" t="str"/>
          <cell r="P280" t="str"/>
          <cell r="Q280">
            <v>43</v>
          </cell>
          <cell r="R280" t="str">
            <v>新N*F0M01</v>
          </cell>
          <cell r="S280" t="str">
            <v>公司筐</v>
          </cell>
          <cell r="T280" t="str"/>
          <cell r="U280" t="str"/>
          <cell r="V280" t="str"/>
          <cell r="W280" t="str"/>
          <cell r="X280" t="str"/>
          <cell r="Y280" t="str"/>
        </row>
        <row r="280">
          <cell r="AA280" t="str"/>
          <cell r="AB280" t="str"/>
          <cell r="AC280" t="str"/>
          <cell r="AD280" t="str"/>
          <cell r="AE280" t="str"/>
          <cell r="AF280" t="str"/>
        </row>
        <row r="281">
          <cell r="B281">
            <v>46282</v>
          </cell>
          <cell r="C281" t="str">
            <v>阿布都</v>
          </cell>
          <cell r="D281" t="str">
            <v>原料入库</v>
          </cell>
          <cell r="E281" t="str">
            <v>NO:0000891</v>
          </cell>
          <cell r="F281" t="str">
            <v>香梨</v>
          </cell>
          <cell r="G281" t="str">
            <v>香梨副特</v>
          </cell>
          <cell r="H281">
            <v>102</v>
          </cell>
          <cell r="I281" t="str">
            <v>筐</v>
          </cell>
          <cell r="J281">
            <v>1866.6</v>
          </cell>
          <cell r="K281" t="str"/>
          <cell r="L281" t="str"/>
          <cell r="M281" t="str">
            <v>努尔敦</v>
          </cell>
          <cell r="N281" t="str">
            <v>公司红周转筐</v>
          </cell>
          <cell r="O281" t="str"/>
          <cell r="P281" t="str"/>
          <cell r="Q281">
            <v>102</v>
          </cell>
          <cell r="R281" t="str">
            <v>新N*F0M01</v>
          </cell>
          <cell r="S281" t="str">
            <v>公司筐</v>
          </cell>
          <cell r="T281" t="str"/>
          <cell r="U281" t="str"/>
          <cell r="V281" t="str"/>
          <cell r="W281" t="str"/>
          <cell r="X281" t="str"/>
          <cell r="Y281" t="str"/>
        </row>
        <row r="281">
          <cell r="AA281" t="str"/>
          <cell r="AB281" t="str"/>
          <cell r="AC281" t="str"/>
          <cell r="AD281" t="str"/>
          <cell r="AE281" t="str"/>
          <cell r="AF281" t="str"/>
        </row>
        <row r="282">
          <cell r="B282">
            <v>46282</v>
          </cell>
          <cell r="C282" t="str">
            <v>阿布都</v>
          </cell>
          <cell r="D282" t="str">
            <v>原料入库</v>
          </cell>
          <cell r="E282" t="str">
            <v>NO:0000891</v>
          </cell>
          <cell r="F282" t="str">
            <v>香梨</v>
          </cell>
          <cell r="G282" t="str">
            <v>香梨副特</v>
          </cell>
          <cell r="H282">
            <v>52</v>
          </cell>
          <cell r="I282" t="str">
            <v>筐</v>
          </cell>
          <cell r="J282">
            <v>1159.6</v>
          </cell>
          <cell r="K282" t="str"/>
          <cell r="L282" t="str"/>
          <cell r="M282" t="str">
            <v>努尔敦</v>
          </cell>
          <cell r="N282" t="str">
            <v>公司红周转筐</v>
          </cell>
          <cell r="O282" t="str"/>
          <cell r="P282" t="str"/>
          <cell r="Q282">
            <v>52</v>
          </cell>
          <cell r="R282" t="str">
            <v>新N*F0M01</v>
          </cell>
          <cell r="S282" t="str">
            <v>公司筐</v>
          </cell>
          <cell r="T282" t="str"/>
          <cell r="U282" t="str"/>
          <cell r="V282" t="str"/>
          <cell r="W282" t="str"/>
          <cell r="X282" t="str"/>
          <cell r="Y282" t="str"/>
        </row>
        <row r="282">
          <cell r="AA282" t="str"/>
          <cell r="AB282" t="str"/>
          <cell r="AC282" t="str"/>
          <cell r="AD282" t="str"/>
          <cell r="AE282" t="str"/>
          <cell r="AF282" t="str"/>
        </row>
        <row r="283">
          <cell r="B283">
            <v>46282</v>
          </cell>
          <cell r="C283" t="str">
            <v>王灵云</v>
          </cell>
          <cell r="D283" t="str">
            <v>原料入库</v>
          </cell>
          <cell r="E283" t="str">
            <v>NO:0000892</v>
          </cell>
          <cell r="F283" t="str">
            <v>香梨</v>
          </cell>
          <cell r="G283" t="str">
            <v>香梨一级</v>
          </cell>
          <cell r="H283">
            <v>528</v>
          </cell>
          <cell r="I283" t="str">
            <v>筐</v>
          </cell>
          <cell r="J283">
            <v>9662.4</v>
          </cell>
          <cell r="K283" t="str"/>
          <cell r="L283" t="str"/>
          <cell r="M283" t="str">
            <v>左</v>
          </cell>
          <cell r="N283" t="str">
            <v>公司红周转筐</v>
          </cell>
          <cell r="O283" t="str"/>
          <cell r="P283" t="str"/>
          <cell r="Q283">
            <v>528</v>
          </cell>
          <cell r="R283" t="str">
            <v>新N*49209</v>
          </cell>
          <cell r="S283" t="str">
            <v>公司筐</v>
          </cell>
          <cell r="T283" t="str"/>
          <cell r="U283" t="str"/>
          <cell r="V283" t="str"/>
          <cell r="W283" t="str"/>
          <cell r="X283" t="str"/>
          <cell r="Y283" t="str"/>
        </row>
        <row r="283">
          <cell r="AA283" t="str"/>
          <cell r="AB283" t="str"/>
          <cell r="AC283" t="str"/>
          <cell r="AD283" t="str"/>
          <cell r="AE283" t="str"/>
          <cell r="AF283" t="str"/>
        </row>
        <row r="284">
          <cell r="B284">
            <v>46282</v>
          </cell>
          <cell r="C284" t="str">
            <v>王灵云</v>
          </cell>
          <cell r="D284" t="str">
            <v>原料入库</v>
          </cell>
          <cell r="E284" t="str">
            <v>NO:0000892</v>
          </cell>
          <cell r="F284" t="str">
            <v>香梨</v>
          </cell>
          <cell r="G284" t="str">
            <v>香梨二级</v>
          </cell>
          <cell r="H284">
            <v>21</v>
          </cell>
          <cell r="I284" t="str">
            <v>筐</v>
          </cell>
          <cell r="J284">
            <v>489.3</v>
          </cell>
          <cell r="K284" t="str"/>
          <cell r="L284" t="str"/>
          <cell r="M284" t="str">
            <v>左</v>
          </cell>
          <cell r="N284" t="str">
            <v>公司红周转筐</v>
          </cell>
          <cell r="O284" t="str"/>
          <cell r="P284" t="str"/>
          <cell r="Q284">
            <v>21</v>
          </cell>
          <cell r="R284" t="str">
            <v>新N*49209</v>
          </cell>
          <cell r="S284" t="str">
            <v>公司筐</v>
          </cell>
          <cell r="T284" t="str"/>
          <cell r="U284" t="str"/>
          <cell r="V284" t="str"/>
          <cell r="W284" t="str"/>
          <cell r="X284" t="str"/>
          <cell r="Y284" t="str"/>
        </row>
        <row r="284">
          <cell r="AA284" t="str"/>
          <cell r="AB284" t="str"/>
          <cell r="AC284" t="str"/>
          <cell r="AD284" t="str"/>
          <cell r="AE284" t="str"/>
          <cell r="AF284" t="str"/>
        </row>
        <row r="285">
          <cell r="B285">
            <v>46282</v>
          </cell>
          <cell r="C285" t="str">
            <v>王照雪</v>
          </cell>
          <cell r="D285" t="str">
            <v>原料入库</v>
          </cell>
          <cell r="E285" t="str">
            <v>NO:0000893</v>
          </cell>
          <cell r="F285" t="str">
            <v>香梨</v>
          </cell>
          <cell r="G285" t="str">
            <v>香梨一级</v>
          </cell>
          <cell r="H285">
            <v>119</v>
          </cell>
          <cell r="I285" t="str">
            <v>筐</v>
          </cell>
          <cell r="J285">
            <v>2320.5</v>
          </cell>
          <cell r="K285" t="str"/>
          <cell r="L285" t="str"/>
          <cell r="M285" t="str"/>
          <cell r="N285" t="str">
            <v>公司一次性筐</v>
          </cell>
          <cell r="O285" t="str"/>
          <cell r="P285" t="str"/>
          <cell r="Q285">
            <v>119</v>
          </cell>
          <cell r="R285" t="str">
            <v>豫L*88X19</v>
          </cell>
          <cell r="S285" t="str">
            <v>公司筐</v>
          </cell>
          <cell r="T285" t="str"/>
          <cell r="U285" t="str"/>
          <cell r="V285" t="str"/>
          <cell r="W285" t="str"/>
          <cell r="X285" t="str"/>
          <cell r="Y285" t="str"/>
        </row>
        <row r="285">
          <cell r="AA285" t="str"/>
          <cell r="AB285" t="str"/>
          <cell r="AC285" t="str"/>
          <cell r="AD285" t="str"/>
          <cell r="AE285" t="str"/>
          <cell r="AF285" t="str"/>
        </row>
        <row r="286">
          <cell r="B286">
            <v>46282</v>
          </cell>
          <cell r="C286" t="str">
            <v>王照雪</v>
          </cell>
          <cell r="D286" t="str">
            <v>原料入库</v>
          </cell>
          <cell r="E286" t="str">
            <v>NO:0000893</v>
          </cell>
          <cell r="F286" t="str">
            <v>香梨</v>
          </cell>
          <cell r="G286" t="str">
            <v>香梨副特</v>
          </cell>
          <cell r="H286">
            <v>166</v>
          </cell>
          <cell r="I286" t="str">
            <v>筐</v>
          </cell>
          <cell r="J286">
            <v>3237</v>
          </cell>
          <cell r="K286" t="str"/>
          <cell r="L286" t="str"/>
          <cell r="M286" t="str"/>
          <cell r="N286" t="str">
            <v>公司一次性筐</v>
          </cell>
          <cell r="O286" t="str"/>
          <cell r="P286" t="str"/>
          <cell r="Q286">
            <v>166</v>
          </cell>
          <cell r="R286" t="str">
            <v>豫L*88X19</v>
          </cell>
          <cell r="S286" t="str">
            <v>公司筐</v>
          </cell>
          <cell r="T286" t="str"/>
          <cell r="U286" t="str"/>
          <cell r="V286" t="str"/>
          <cell r="W286" t="str"/>
          <cell r="X286" t="str"/>
          <cell r="Y286" t="str"/>
        </row>
        <row r="286">
          <cell r="AA286" t="str"/>
          <cell r="AB286" t="str"/>
          <cell r="AC286" t="str"/>
          <cell r="AD286" t="str"/>
          <cell r="AE286" t="str"/>
          <cell r="AF286" t="str"/>
        </row>
        <row r="287">
          <cell r="B287">
            <v>46282</v>
          </cell>
          <cell r="C287" t="str">
            <v>王照雪</v>
          </cell>
          <cell r="D287" t="str">
            <v>原料入库</v>
          </cell>
          <cell r="E287" t="str">
            <v>NO:0000893</v>
          </cell>
          <cell r="F287" t="str">
            <v>香梨</v>
          </cell>
          <cell r="G287" t="str">
            <v>香梨二级</v>
          </cell>
          <cell r="H287">
            <v>24</v>
          </cell>
          <cell r="I287" t="str">
            <v>筐</v>
          </cell>
          <cell r="J287">
            <v>540</v>
          </cell>
          <cell r="K287" t="str"/>
          <cell r="L287" t="str"/>
          <cell r="M287" t="str"/>
          <cell r="N287" t="str">
            <v>公司一次性筐</v>
          </cell>
          <cell r="O287" t="str"/>
          <cell r="P287" t="str"/>
          <cell r="Q287">
            <v>24</v>
          </cell>
          <cell r="R287" t="str">
            <v>豫L*88X19</v>
          </cell>
          <cell r="S287" t="str">
            <v>公司筐</v>
          </cell>
          <cell r="T287" t="str"/>
          <cell r="U287" t="str"/>
          <cell r="V287" t="str"/>
          <cell r="W287" t="str"/>
          <cell r="X287" t="str"/>
          <cell r="Y287" t="str"/>
        </row>
        <row r="287">
          <cell r="AA287" t="str"/>
          <cell r="AB287" t="str"/>
          <cell r="AC287" t="str"/>
          <cell r="AD287" t="str"/>
          <cell r="AE287" t="str"/>
          <cell r="AF287" t="str"/>
        </row>
        <row r="288">
          <cell r="B288">
            <v>46282</v>
          </cell>
          <cell r="C288" t="str">
            <v>努尔敦</v>
          </cell>
          <cell r="D288" t="str">
            <v>原料入库</v>
          </cell>
          <cell r="E288" t="str">
            <v>NO:0000896</v>
          </cell>
          <cell r="F288" t="str">
            <v>香梨</v>
          </cell>
          <cell r="G288" t="str">
            <v>香梨特级</v>
          </cell>
          <cell r="H288">
            <v>312</v>
          </cell>
          <cell r="I288" t="str">
            <v>筐</v>
          </cell>
          <cell r="J288">
            <v>5709.6</v>
          </cell>
          <cell r="K288" t="str"/>
          <cell r="L288" t="str"/>
          <cell r="M288" t="str"/>
          <cell r="N288" t="str">
            <v>公司红周转筐</v>
          </cell>
          <cell r="O288" t="str"/>
          <cell r="P288" t="str"/>
          <cell r="Q288">
            <v>312</v>
          </cell>
          <cell r="R288" t="str">
            <v>新F*75240</v>
          </cell>
          <cell r="S288" t="str">
            <v>公司筐</v>
          </cell>
          <cell r="T288" t="str"/>
          <cell r="U288" t="str"/>
          <cell r="V288" t="str"/>
          <cell r="W288" t="str"/>
          <cell r="X288" t="str"/>
          <cell r="Y288" t="str"/>
        </row>
        <row r="288">
          <cell r="AA288" t="str"/>
          <cell r="AB288" t="str"/>
          <cell r="AC288" t="str"/>
          <cell r="AD288" t="str"/>
          <cell r="AE288" t="str"/>
          <cell r="AF288" t="str"/>
        </row>
        <row r="289">
          <cell r="B289">
            <v>46282</v>
          </cell>
          <cell r="C289" t="str">
            <v>努尔敦</v>
          </cell>
          <cell r="D289" t="str">
            <v>原料入库</v>
          </cell>
          <cell r="E289" t="str">
            <v>NO:0000896</v>
          </cell>
          <cell r="F289" t="str">
            <v>香梨</v>
          </cell>
          <cell r="G289" t="str">
            <v>香梨一级</v>
          </cell>
          <cell r="H289">
            <v>192</v>
          </cell>
          <cell r="I289" t="str">
            <v>筐</v>
          </cell>
          <cell r="J289">
            <v>3513.6</v>
          </cell>
          <cell r="K289" t="str"/>
          <cell r="L289" t="str"/>
          <cell r="M289" t="str"/>
          <cell r="N289" t="str">
            <v>公司红周转筐</v>
          </cell>
          <cell r="O289" t="str"/>
          <cell r="P289" t="str"/>
          <cell r="Q289">
            <v>192</v>
          </cell>
          <cell r="R289" t="str">
            <v>新F*75240</v>
          </cell>
          <cell r="S289" t="str">
            <v>公司筐</v>
          </cell>
          <cell r="T289" t="str"/>
          <cell r="U289" t="str"/>
          <cell r="V289" t="str"/>
          <cell r="W289" t="str"/>
          <cell r="X289" t="str"/>
          <cell r="Y289" t="str"/>
        </row>
        <row r="289">
          <cell r="AA289" t="str"/>
          <cell r="AB289" t="str"/>
          <cell r="AC289" t="str"/>
          <cell r="AD289" t="str"/>
          <cell r="AE289" t="str"/>
          <cell r="AF289" t="str"/>
        </row>
        <row r="290">
          <cell r="B290">
            <v>46282</v>
          </cell>
          <cell r="C290" t="str">
            <v>努尔敦</v>
          </cell>
          <cell r="D290" t="str">
            <v>原料入库</v>
          </cell>
          <cell r="E290" t="str">
            <v>NO:0000896</v>
          </cell>
          <cell r="F290" t="str">
            <v>香梨</v>
          </cell>
          <cell r="G290" t="str">
            <v>香梨二级</v>
          </cell>
          <cell r="H290">
            <v>136</v>
          </cell>
          <cell r="I290" t="str">
            <v>筐</v>
          </cell>
          <cell r="J290">
            <v>3032.8</v>
          </cell>
          <cell r="K290" t="str"/>
          <cell r="L290" t="str"/>
          <cell r="M290" t="str"/>
          <cell r="N290" t="str">
            <v>公司红周转筐</v>
          </cell>
          <cell r="O290" t="str"/>
          <cell r="P290" t="str"/>
          <cell r="Q290">
            <v>136</v>
          </cell>
          <cell r="R290" t="str">
            <v>新F*75240</v>
          </cell>
          <cell r="S290" t="str">
            <v>公司筐</v>
          </cell>
          <cell r="T290" t="str"/>
          <cell r="U290" t="str"/>
          <cell r="V290" t="str"/>
          <cell r="W290" t="str"/>
          <cell r="X290" t="str"/>
          <cell r="Y290" t="str"/>
        </row>
        <row r="290">
          <cell r="AA290" t="str"/>
          <cell r="AB290" t="str"/>
          <cell r="AC290" t="str"/>
          <cell r="AD290" t="str"/>
          <cell r="AE290" t="str"/>
          <cell r="AF290" t="str"/>
        </row>
        <row r="291">
          <cell r="B291">
            <v>46283</v>
          </cell>
          <cell r="C291" t="str">
            <v>吐尔洪</v>
          </cell>
          <cell r="D291" t="str">
            <v>原料入库</v>
          </cell>
          <cell r="E291" t="str">
            <v>NO:0000897</v>
          </cell>
          <cell r="F291" t="str">
            <v>香梨</v>
          </cell>
          <cell r="G291" t="str">
            <v>香梨特级</v>
          </cell>
          <cell r="H291">
            <v>114</v>
          </cell>
          <cell r="I291" t="str">
            <v>筐</v>
          </cell>
          <cell r="J291">
            <v>2086.2</v>
          </cell>
          <cell r="K291" t="str"/>
          <cell r="L291" t="str"/>
          <cell r="M291" t="str">
            <v>麦麦提</v>
          </cell>
          <cell r="N291" t="str">
            <v>公司红周转筐</v>
          </cell>
          <cell r="O291" t="str"/>
          <cell r="P291" t="str"/>
          <cell r="Q291">
            <v>114</v>
          </cell>
          <cell r="R291" t="str">
            <v>新N*X8S48</v>
          </cell>
          <cell r="S291" t="str">
            <v>公司筐</v>
          </cell>
          <cell r="T291" t="str"/>
          <cell r="U291" t="str"/>
          <cell r="V291" t="str"/>
          <cell r="W291" t="str"/>
          <cell r="X291" t="str"/>
          <cell r="Y291" t="str"/>
        </row>
        <row r="291">
          <cell r="AA291" t="str"/>
          <cell r="AB291" t="str"/>
          <cell r="AC291" t="str"/>
          <cell r="AD291" t="str"/>
          <cell r="AE291" t="str"/>
          <cell r="AF291" t="str"/>
        </row>
        <row r="292">
          <cell r="B292">
            <v>46283</v>
          </cell>
          <cell r="C292" t="str">
            <v>吐尔洪</v>
          </cell>
          <cell r="D292" t="str">
            <v>原料入库</v>
          </cell>
          <cell r="E292" t="str">
            <v>NO:0000897</v>
          </cell>
          <cell r="F292" t="str">
            <v>香梨</v>
          </cell>
          <cell r="G292" t="str">
            <v>香梨一级</v>
          </cell>
          <cell r="H292">
            <v>9</v>
          </cell>
          <cell r="I292" t="str">
            <v>筐</v>
          </cell>
          <cell r="J292">
            <v>164.7</v>
          </cell>
          <cell r="K292" t="str"/>
          <cell r="L292" t="str"/>
          <cell r="M292" t="str">
            <v>麦麦提</v>
          </cell>
          <cell r="N292" t="str">
            <v>公司红周转筐</v>
          </cell>
          <cell r="O292" t="str"/>
          <cell r="P292" t="str"/>
          <cell r="Q292">
            <v>9</v>
          </cell>
          <cell r="R292" t="str">
            <v>新N*X8S48</v>
          </cell>
          <cell r="S292" t="str">
            <v>公司筐</v>
          </cell>
          <cell r="T292" t="str"/>
          <cell r="U292" t="str"/>
          <cell r="V292" t="str"/>
          <cell r="W292" t="str"/>
          <cell r="X292" t="str"/>
          <cell r="Y292" t="str"/>
        </row>
        <row r="292">
          <cell r="AA292" t="str"/>
          <cell r="AB292" t="str"/>
          <cell r="AC292" t="str"/>
          <cell r="AD292" t="str"/>
          <cell r="AE292" t="str"/>
          <cell r="AF292" t="str"/>
        </row>
        <row r="293">
          <cell r="B293">
            <v>46283</v>
          </cell>
          <cell r="C293" t="str">
            <v>吐尔洪</v>
          </cell>
          <cell r="D293" t="str">
            <v>原料入库</v>
          </cell>
          <cell r="E293" t="str">
            <v>NO:0000897</v>
          </cell>
          <cell r="F293" t="str">
            <v>香梨</v>
          </cell>
          <cell r="G293" t="str">
            <v>香梨二级</v>
          </cell>
          <cell r="H293">
            <v>59</v>
          </cell>
          <cell r="I293" t="str">
            <v>筐</v>
          </cell>
          <cell r="J293">
            <v>1315.7</v>
          </cell>
          <cell r="K293" t="str"/>
          <cell r="L293" t="str"/>
          <cell r="M293" t="str">
            <v>麦麦提</v>
          </cell>
          <cell r="N293" t="str">
            <v>公司红周转筐</v>
          </cell>
          <cell r="O293" t="str"/>
          <cell r="P293" t="str"/>
          <cell r="Q293">
            <v>59</v>
          </cell>
          <cell r="R293" t="str">
            <v>新N*X8S48</v>
          </cell>
          <cell r="S293" t="str">
            <v>公司筐</v>
          </cell>
          <cell r="T293" t="str"/>
          <cell r="U293" t="str"/>
          <cell r="V293" t="str"/>
          <cell r="W293" t="str"/>
          <cell r="X293" t="str"/>
          <cell r="Y293" t="str"/>
        </row>
        <row r="293">
          <cell r="AA293" t="str"/>
          <cell r="AB293" t="str"/>
          <cell r="AC293" t="str"/>
          <cell r="AD293" t="str"/>
          <cell r="AE293" t="str"/>
          <cell r="AF293" t="str"/>
        </row>
        <row r="294">
          <cell r="B294">
            <v>46283</v>
          </cell>
          <cell r="C294" t="str">
            <v>艾则孜</v>
          </cell>
          <cell r="D294" t="str">
            <v>原料入库</v>
          </cell>
          <cell r="E294" t="str">
            <v>NO:0000898</v>
          </cell>
          <cell r="F294" t="str">
            <v>香梨</v>
          </cell>
          <cell r="G294" t="str">
            <v>香梨一级</v>
          </cell>
          <cell r="H294">
            <v>280</v>
          </cell>
          <cell r="I294" t="str">
            <v>筐</v>
          </cell>
          <cell r="J294">
            <v>5404</v>
          </cell>
          <cell r="K294" t="str"/>
          <cell r="L294" t="str"/>
          <cell r="M294" t="str">
            <v>热合曼</v>
          </cell>
          <cell r="N294" t="str">
            <v>公司红周转筐</v>
          </cell>
          <cell r="O294" t="str"/>
          <cell r="P294" t="str"/>
          <cell r="Q294">
            <v>280</v>
          </cell>
          <cell r="R294" t="str">
            <v>新A*G0554</v>
          </cell>
          <cell r="S294" t="str">
            <v>公司筐</v>
          </cell>
          <cell r="T294" t="str"/>
          <cell r="U294" t="str"/>
          <cell r="V294" t="str"/>
          <cell r="W294" t="str"/>
          <cell r="X294" t="str"/>
          <cell r="Y294" t="str"/>
        </row>
        <row r="294">
          <cell r="AA294" t="str"/>
          <cell r="AB294" t="str"/>
          <cell r="AC294" t="str"/>
          <cell r="AD294" t="str"/>
          <cell r="AE294" t="str"/>
          <cell r="AF294" t="str"/>
        </row>
        <row r="295">
          <cell r="B295">
            <v>46283</v>
          </cell>
          <cell r="C295" t="str">
            <v>艾则孜</v>
          </cell>
          <cell r="D295" t="str">
            <v>原料入库</v>
          </cell>
          <cell r="E295" t="str">
            <v>NO:0000898</v>
          </cell>
          <cell r="F295" t="str">
            <v>香梨</v>
          </cell>
          <cell r="G295" t="str">
            <v>香梨二级</v>
          </cell>
          <cell r="H295">
            <v>88</v>
          </cell>
          <cell r="I295" t="str">
            <v>筐</v>
          </cell>
          <cell r="J295">
            <v>1962.4</v>
          </cell>
          <cell r="K295" t="str"/>
          <cell r="L295" t="str"/>
          <cell r="M295" t="str">
            <v>热合曼</v>
          </cell>
          <cell r="N295" t="str">
            <v>公司红周转筐</v>
          </cell>
          <cell r="O295" t="str"/>
          <cell r="P295" t="str"/>
          <cell r="Q295">
            <v>88</v>
          </cell>
          <cell r="R295" t="str">
            <v>新A*G0554</v>
          </cell>
          <cell r="S295" t="str">
            <v>公司筐</v>
          </cell>
          <cell r="T295" t="str"/>
          <cell r="U295" t="str"/>
          <cell r="V295" t="str"/>
          <cell r="W295" t="str"/>
          <cell r="X295" t="str"/>
          <cell r="Y295" t="str"/>
        </row>
        <row r="295">
          <cell r="AA295" t="str"/>
          <cell r="AB295" t="str"/>
          <cell r="AC295" t="str"/>
          <cell r="AD295" t="str"/>
          <cell r="AE295" t="str"/>
          <cell r="AF295" t="str"/>
        </row>
        <row r="296">
          <cell r="B296">
            <v>46283</v>
          </cell>
          <cell r="C296" t="str">
            <v>艾则孜</v>
          </cell>
          <cell r="D296" t="str">
            <v>原料入库</v>
          </cell>
          <cell r="E296" t="str">
            <v>NO:0000898</v>
          </cell>
          <cell r="F296" t="str">
            <v>香梨</v>
          </cell>
          <cell r="G296" t="str">
            <v>香梨副特</v>
          </cell>
          <cell r="H296">
            <v>170</v>
          </cell>
          <cell r="I296" t="str">
            <v>筐</v>
          </cell>
          <cell r="J296">
            <v>3281</v>
          </cell>
          <cell r="K296" t="str"/>
          <cell r="L296" t="str"/>
          <cell r="M296" t="str">
            <v>热合曼</v>
          </cell>
          <cell r="N296" t="str">
            <v>公司红周转筐</v>
          </cell>
          <cell r="O296" t="str"/>
          <cell r="P296" t="str"/>
          <cell r="Q296">
            <v>170</v>
          </cell>
          <cell r="R296" t="str">
            <v>新A*G0554</v>
          </cell>
          <cell r="S296" t="str">
            <v>公司筐</v>
          </cell>
          <cell r="T296" t="str"/>
          <cell r="U296" t="str"/>
          <cell r="V296" t="str"/>
          <cell r="W296" t="str"/>
          <cell r="X296" t="str"/>
          <cell r="Y296" t="str"/>
        </row>
        <row r="296">
          <cell r="AA296" t="str"/>
          <cell r="AB296" t="str"/>
          <cell r="AC296" t="str"/>
          <cell r="AD296" t="str"/>
          <cell r="AE296" t="str"/>
          <cell r="AF296" t="str"/>
        </row>
        <row r="297">
          <cell r="B297">
            <v>46283</v>
          </cell>
          <cell r="C297" t="str">
            <v>王灵云</v>
          </cell>
          <cell r="D297" t="str">
            <v>原料入库</v>
          </cell>
          <cell r="E297" t="str">
            <v>NO:0000901</v>
          </cell>
          <cell r="F297" t="str">
            <v>香梨</v>
          </cell>
          <cell r="G297" t="str">
            <v>香梨一级</v>
          </cell>
          <cell r="H297">
            <v>525</v>
          </cell>
          <cell r="I297" t="str">
            <v>筐</v>
          </cell>
          <cell r="J297">
            <v>9607.5</v>
          </cell>
          <cell r="K297" t="str"/>
          <cell r="L297" t="str"/>
          <cell r="M297" t="str"/>
          <cell r="N297" t="str">
            <v>公司红周转筐</v>
          </cell>
          <cell r="O297" t="str"/>
          <cell r="P297" t="str"/>
          <cell r="Q297">
            <v>525</v>
          </cell>
          <cell r="R297" t="str">
            <v>新N*49209</v>
          </cell>
          <cell r="S297" t="str">
            <v>公司筐</v>
          </cell>
          <cell r="T297" t="str"/>
          <cell r="U297" t="str"/>
          <cell r="V297" t="str"/>
          <cell r="W297" t="str"/>
          <cell r="X297" t="str"/>
          <cell r="Y297" t="str"/>
        </row>
        <row r="297">
          <cell r="AA297" t="str"/>
          <cell r="AB297" t="str"/>
          <cell r="AC297" t="str"/>
          <cell r="AD297" t="str"/>
          <cell r="AE297" t="str"/>
          <cell r="AF297" t="str"/>
        </row>
        <row r="298">
          <cell r="B298">
            <v>46283</v>
          </cell>
          <cell r="C298" t="str">
            <v>王灵云</v>
          </cell>
          <cell r="D298" t="str">
            <v>原料入库</v>
          </cell>
          <cell r="E298" t="str">
            <v>NO:0000901</v>
          </cell>
          <cell r="F298" t="str">
            <v>香梨</v>
          </cell>
          <cell r="G298" t="str">
            <v>香梨二级</v>
          </cell>
          <cell r="H298">
            <v>87</v>
          </cell>
          <cell r="I298" t="str">
            <v>筐</v>
          </cell>
          <cell r="J298">
            <v>2027.1</v>
          </cell>
          <cell r="K298" t="str"/>
          <cell r="L298" t="str"/>
          <cell r="M298" t="str"/>
          <cell r="N298" t="str">
            <v>公司红周转筐</v>
          </cell>
          <cell r="O298" t="str"/>
          <cell r="P298" t="str"/>
          <cell r="Q298">
            <v>87</v>
          </cell>
          <cell r="R298" t="str">
            <v>新N*49209</v>
          </cell>
          <cell r="S298" t="str">
            <v>公司筐</v>
          </cell>
          <cell r="T298" t="str"/>
          <cell r="U298" t="str"/>
          <cell r="V298" t="str"/>
          <cell r="W298" t="str"/>
          <cell r="X298" t="str"/>
          <cell r="Y298" t="str"/>
        </row>
        <row r="298">
          <cell r="AA298" t="str"/>
          <cell r="AB298" t="str"/>
          <cell r="AC298" t="str"/>
          <cell r="AD298" t="str"/>
          <cell r="AE298" t="str"/>
          <cell r="AF298" t="str"/>
        </row>
        <row r="299">
          <cell r="B299">
            <v>46283</v>
          </cell>
          <cell r="C299" t="str">
            <v>王灵云</v>
          </cell>
          <cell r="D299" t="str">
            <v>原料入库</v>
          </cell>
          <cell r="E299" t="str">
            <v>NO:0000901</v>
          </cell>
          <cell r="F299" t="str">
            <v>香梨</v>
          </cell>
          <cell r="G299" t="str">
            <v>香梨副特</v>
          </cell>
          <cell r="H299">
            <v>77</v>
          </cell>
          <cell r="I299" t="str">
            <v>筐</v>
          </cell>
          <cell r="J299">
            <v>1409.1</v>
          </cell>
          <cell r="K299" t="str"/>
          <cell r="L299" t="str"/>
          <cell r="M299" t="str"/>
          <cell r="N299" t="str">
            <v>公司红周转筐</v>
          </cell>
          <cell r="O299" t="str"/>
          <cell r="P299" t="str"/>
          <cell r="Q299">
            <v>77</v>
          </cell>
          <cell r="R299" t="str">
            <v>新N*49209</v>
          </cell>
          <cell r="S299" t="str">
            <v>公司筐</v>
          </cell>
          <cell r="T299" t="str"/>
          <cell r="U299" t="str"/>
          <cell r="V299" t="str"/>
          <cell r="W299" t="str"/>
          <cell r="X299" t="str"/>
          <cell r="Y299" t="str"/>
        </row>
        <row r="299">
          <cell r="AA299" t="str"/>
          <cell r="AB299" t="str"/>
          <cell r="AC299" t="str"/>
          <cell r="AD299" t="str"/>
          <cell r="AE299" t="str"/>
          <cell r="AF299" t="str"/>
        </row>
        <row r="300">
          <cell r="B300">
            <v>46283</v>
          </cell>
          <cell r="C300" t="str">
            <v>王照雪</v>
          </cell>
          <cell r="D300" t="str">
            <v>原料入库</v>
          </cell>
          <cell r="E300" t="str">
            <v>NO:0000902</v>
          </cell>
          <cell r="F300" t="str">
            <v>苹果</v>
          </cell>
          <cell r="G300" t="str">
            <v>新世纪一级</v>
          </cell>
          <cell r="H300">
            <v>182</v>
          </cell>
          <cell r="I300" t="str">
            <v>筐</v>
          </cell>
          <cell r="J300">
            <v>3148.6</v>
          </cell>
          <cell r="K300" t="str"/>
          <cell r="L300" t="str"/>
          <cell r="M300" t="str"/>
          <cell r="N300" t="str">
            <v>公司杂周转筐</v>
          </cell>
          <cell r="O300" t="str"/>
          <cell r="P300" t="str"/>
          <cell r="Q300">
            <v>182</v>
          </cell>
          <cell r="R300" t="str">
            <v>豫L*88X19</v>
          </cell>
          <cell r="S300" t="str">
            <v>公司筐</v>
          </cell>
          <cell r="T300" t="str"/>
          <cell r="U300" t="str"/>
          <cell r="V300" t="str"/>
          <cell r="W300" t="str"/>
          <cell r="X300" t="str"/>
          <cell r="Y300" t="str"/>
        </row>
        <row r="300">
          <cell r="AA300" t="str"/>
          <cell r="AB300" t="str"/>
          <cell r="AC300" t="str"/>
          <cell r="AD300" t="str"/>
          <cell r="AE300" t="str"/>
          <cell r="AF300" t="str"/>
        </row>
        <row r="301">
          <cell r="B301">
            <v>46283</v>
          </cell>
          <cell r="C301" t="str">
            <v>王照雪</v>
          </cell>
          <cell r="D301" t="str">
            <v>原料入库</v>
          </cell>
          <cell r="E301" t="str">
            <v>NO:0000902</v>
          </cell>
          <cell r="F301" t="str">
            <v>苹果</v>
          </cell>
          <cell r="G301" t="str">
            <v>新世纪二级</v>
          </cell>
          <cell r="H301">
            <v>52</v>
          </cell>
          <cell r="I301" t="str">
            <v>筐</v>
          </cell>
          <cell r="J301">
            <v>1055.6</v>
          </cell>
          <cell r="K301" t="str"/>
          <cell r="L301" t="str"/>
          <cell r="M301" t="str"/>
          <cell r="N301" t="str">
            <v>公司杂周转筐</v>
          </cell>
          <cell r="O301" t="str"/>
          <cell r="P301" t="str"/>
          <cell r="Q301">
            <v>52</v>
          </cell>
          <cell r="R301" t="str">
            <v>豫L*88X19</v>
          </cell>
          <cell r="S301" t="str">
            <v>公司筐</v>
          </cell>
          <cell r="T301" t="str"/>
          <cell r="U301" t="str"/>
          <cell r="V301" t="str"/>
          <cell r="W301" t="str"/>
          <cell r="X301" t="str"/>
          <cell r="Y301" t="str"/>
        </row>
        <row r="301">
          <cell r="AA301" t="str"/>
          <cell r="AB301" t="str"/>
          <cell r="AC301" t="str"/>
          <cell r="AD301" t="str"/>
          <cell r="AE301" t="str"/>
          <cell r="AF301" t="str"/>
        </row>
        <row r="302">
          <cell r="B302">
            <v>46283</v>
          </cell>
          <cell r="C302" t="str">
            <v>王浩</v>
          </cell>
          <cell r="D302" t="str">
            <v>原料入库</v>
          </cell>
          <cell r="E302" t="str">
            <v>NO:0000903</v>
          </cell>
          <cell r="F302" t="str">
            <v>香梨</v>
          </cell>
          <cell r="G302" t="str">
            <v>香梨一级</v>
          </cell>
          <cell r="H302">
            <v>871</v>
          </cell>
          <cell r="I302" t="str">
            <v>筐</v>
          </cell>
          <cell r="J302">
            <v>16113.5</v>
          </cell>
          <cell r="K302" t="str"/>
          <cell r="L302" t="str"/>
          <cell r="M302" t="str"/>
          <cell r="N302" t="str">
            <v>公司一次性筐</v>
          </cell>
          <cell r="O302" t="str"/>
          <cell r="P302" t="str"/>
          <cell r="Q302">
            <v>871</v>
          </cell>
          <cell r="R302" t="str">
            <v>新A*H4431</v>
          </cell>
          <cell r="S302" t="str">
            <v>公司筐</v>
          </cell>
          <cell r="T302" t="str"/>
          <cell r="U302" t="str"/>
          <cell r="V302" t="str"/>
          <cell r="W302" t="str"/>
          <cell r="X302" t="str"/>
          <cell r="Y302" t="str"/>
        </row>
        <row r="302">
          <cell r="AA302" t="str"/>
          <cell r="AB302" t="str"/>
          <cell r="AC302" t="str"/>
          <cell r="AD302" t="str"/>
          <cell r="AE302" t="str"/>
          <cell r="AF302" t="str"/>
        </row>
        <row r="303">
          <cell r="B303">
            <v>46283</v>
          </cell>
          <cell r="C303" t="str">
            <v>王浩</v>
          </cell>
          <cell r="D303" t="str">
            <v>原料入库</v>
          </cell>
          <cell r="E303" t="str">
            <v>NO:0000903</v>
          </cell>
          <cell r="F303" t="str">
            <v>香梨</v>
          </cell>
          <cell r="G303" t="str">
            <v>香梨一级</v>
          </cell>
          <cell r="H303">
            <v>175</v>
          </cell>
          <cell r="I303" t="str">
            <v>筐</v>
          </cell>
          <cell r="J303">
            <v>3202.5</v>
          </cell>
          <cell r="K303" t="str"/>
          <cell r="L303" t="str"/>
          <cell r="M303" t="str">
            <v>自备白周转筐</v>
          </cell>
          <cell r="N303" t="str">
            <v>自备杂周转筐</v>
          </cell>
          <cell r="O303" t="str"/>
          <cell r="P303" t="str"/>
          <cell r="Q303">
            <v>175</v>
          </cell>
          <cell r="R303" t="str">
            <v>新A*H4431</v>
          </cell>
          <cell r="S303" t="str">
            <v>自备筐</v>
          </cell>
          <cell r="T303" t="str"/>
          <cell r="U303" t="str"/>
          <cell r="V303" t="str"/>
          <cell r="W303" t="str"/>
          <cell r="X303" t="str"/>
          <cell r="Y303" t="str"/>
        </row>
        <row r="303">
          <cell r="AA303" t="str"/>
          <cell r="AB303" t="str"/>
          <cell r="AC303" t="str"/>
          <cell r="AD303" t="str"/>
          <cell r="AE303" t="str"/>
          <cell r="AF303" t="str"/>
        </row>
        <row r="304">
          <cell r="B304">
            <v>46283</v>
          </cell>
          <cell r="C304" t="str">
            <v>王照雪</v>
          </cell>
          <cell r="D304" t="str">
            <v>原料入库</v>
          </cell>
          <cell r="E304" t="str">
            <v>NO:0000905</v>
          </cell>
          <cell r="F304" t="str">
            <v>香梨</v>
          </cell>
          <cell r="G304" t="str">
            <v>香梨一级</v>
          </cell>
          <cell r="H304">
            <v>175</v>
          </cell>
          <cell r="I304" t="str">
            <v>筐</v>
          </cell>
          <cell r="J304">
            <v>3412.5</v>
          </cell>
          <cell r="K304" t="str"/>
          <cell r="L304" t="str"/>
          <cell r="M304" t="str"/>
          <cell r="N304" t="str">
            <v>公司一次性筐</v>
          </cell>
          <cell r="O304" t="str"/>
          <cell r="P304" t="str"/>
          <cell r="Q304">
            <v>175</v>
          </cell>
          <cell r="R304" t="str">
            <v>豫L*88X19</v>
          </cell>
          <cell r="S304" t="str">
            <v>公司筐</v>
          </cell>
          <cell r="T304" t="str"/>
          <cell r="U304" t="str"/>
          <cell r="V304" t="str"/>
          <cell r="W304" t="str"/>
          <cell r="X304" t="str"/>
          <cell r="Y304" t="str"/>
        </row>
        <row r="304">
          <cell r="AA304" t="str"/>
          <cell r="AB304" t="str"/>
          <cell r="AC304" t="str"/>
          <cell r="AD304" t="str"/>
          <cell r="AE304" t="str"/>
          <cell r="AF304" t="str"/>
        </row>
        <row r="305">
          <cell r="B305">
            <v>46283</v>
          </cell>
          <cell r="C305" t="str">
            <v>王照雪</v>
          </cell>
          <cell r="D305" t="str">
            <v>原料入库</v>
          </cell>
          <cell r="E305" t="str">
            <v>NO:0000905</v>
          </cell>
          <cell r="F305" t="str">
            <v>香梨</v>
          </cell>
          <cell r="G305" t="str">
            <v>香梨二级</v>
          </cell>
          <cell r="H305">
            <v>22</v>
          </cell>
          <cell r="I305" t="str">
            <v>筐</v>
          </cell>
          <cell r="J305">
            <v>495</v>
          </cell>
          <cell r="K305" t="str"/>
          <cell r="L305" t="str"/>
          <cell r="M305" t="str"/>
          <cell r="N305" t="str">
            <v>公司一次性筐</v>
          </cell>
          <cell r="O305" t="str"/>
          <cell r="P305" t="str"/>
          <cell r="Q305">
            <v>22</v>
          </cell>
          <cell r="R305" t="str">
            <v>豫L*88X19</v>
          </cell>
          <cell r="S305" t="str">
            <v>公司筐</v>
          </cell>
          <cell r="T305" t="str"/>
          <cell r="U305" t="str"/>
          <cell r="V305" t="str"/>
          <cell r="W305" t="str"/>
          <cell r="X305" t="str"/>
          <cell r="Y305" t="str"/>
        </row>
        <row r="305">
          <cell r="AA305" t="str"/>
          <cell r="AB305" t="str"/>
          <cell r="AC305" t="str"/>
          <cell r="AD305" t="str"/>
          <cell r="AE305" t="str"/>
          <cell r="AF305" t="str"/>
        </row>
        <row r="306">
          <cell r="B306">
            <v>46283</v>
          </cell>
          <cell r="C306" t="str">
            <v>王照雪</v>
          </cell>
          <cell r="D306" t="str">
            <v>原料入库</v>
          </cell>
          <cell r="E306" t="str">
            <v>NO:0000905</v>
          </cell>
          <cell r="F306" t="str">
            <v>香梨</v>
          </cell>
          <cell r="G306" t="str">
            <v>香梨副特</v>
          </cell>
          <cell r="H306">
            <v>121</v>
          </cell>
          <cell r="I306" t="str">
            <v>筐</v>
          </cell>
          <cell r="J306">
            <v>2359.5</v>
          </cell>
          <cell r="K306" t="str"/>
          <cell r="L306" t="str"/>
          <cell r="M306" t="str"/>
          <cell r="N306" t="str">
            <v>公司一次性筐</v>
          </cell>
          <cell r="O306" t="str"/>
          <cell r="P306" t="str"/>
          <cell r="Q306">
            <v>121</v>
          </cell>
          <cell r="R306" t="str">
            <v>豫L*88X19</v>
          </cell>
          <cell r="S306" t="str">
            <v>公司筐</v>
          </cell>
          <cell r="T306" t="str"/>
          <cell r="U306" t="str"/>
          <cell r="V306" t="str"/>
          <cell r="W306" t="str"/>
          <cell r="X306" t="str"/>
          <cell r="Y306" t="str"/>
        </row>
        <row r="306">
          <cell r="AA306" t="str"/>
          <cell r="AB306" t="str"/>
          <cell r="AC306" t="str"/>
          <cell r="AD306" t="str"/>
          <cell r="AE306" t="str"/>
          <cell r="AF306" t="str"/>
        </row>
        <row r="307">
          <cell r="B307">
            <v>46284</v>
          </cell>
          <cell r="C307" t="str">
            <v>王照雪</v>
          </cell>
          <cell r="D307" t="str">
            <v>原料入库</v>
          </cell>
          <cell r="E307" t="str">
            <v>NO:0000909</v>
          </cell>
          <cell r="F307" t="str">
            <v>苹果</v>
          </cell>
          <cell r="G307" t="str">
            <v>早富士二级</v>
          </cell>
          <cell r="H307">
            <v>18</v>
          </cell>
          <cell r="I307" t="str">
            <v>筐</v>
          </cell>
          <cell r="J307">
            <v>401.4</v>
          </cell>
          <cell r="K307" t="str"/>
          <cell r="L307" t="str"/>
          <cell r="M307" t="str"/>
          <cell r="N307" t="str">
            <v>自备一次性筐</v>
          </cell>
          <cell r="O307" t="str"/>
          <cell r="P307" t="str"/>
          <cell r="Q307">
            <v>18</v>
          </cell>
          <cell r="R307" t="str">
            <v>三轮车</v>
          </cell>
          <cell r="S307" t="str">
            <v>自备筐</v>
          </cell>
          <cell r="T307" t="str"/>
          <cell r="U307" t="str"/>
          <cell r="V307" t="str"/>
          <cell r="W307" t="str"/>
          <cell r="X307" t="str"/>
          <cell r="Y307" t="str"/>
        </row>
        <row r="307">
          <cell r="AA307" t="str"/>
          <cell r="AB307" t="str"/>
          <cell r="AC307" t="str"/>
          <cell r="AD307" t="str"/>
          <cell r="AE307" t="str"/>
          <cell r="AF307" t="str"/>
        </row>
        <row r="308">
          <cell r="B308">
            <v>46284</v>
          </cell>
          <cell r="C308" t="str">
            <v>麦麦提</v>
          </cell>
          <cell r="D308" t="str">
            <v>原料入库</v>
          </cell>
          <cell r="E308" t="str">
            <v>NO:0000910</v>
          </cell>
          <cell r="F308" t="str">
            <v>香梨</v>
          </cell>
          <cell r="G308" t="str">
            <v>香梨特级</v>
          </cell>
          <cell r="H308">
            <v>208</v>
          </cell>
          <cell r="I308" t="str">
            <v>筐</v>
          </cell>
          <cell r="J308">
            <v>3806.4</v>
          </cell>
          <cell r="K308" t="str"/>
          <cell r="L308" t="str"/>
          <cell r="M308" t="str"/>
          <cell r="N308" t="str">
            <v>公司红周转筐</v>
          </cell>
          <cell r="O308" t="str"/>
          <cell r="P308" t="str"/>
          <cell r="Q308">
            <v>208</v>
          </cell>
          <cell r="R308" t="str">
            <v>新A*G0554</v>
          </cell>
          <cell r="S308" t="str">
            <v>公司筐</v>
          </cell>
          <cell r="T308" t="str"/>
          <cell r="U308" t="str"/>
          <cell r="V308" t="str"/>
          <cell r="W308" t="str"/>
          <cell r="X308" t="str"/>
          <cell r="Y308" t="str"/>
        </row>
        <row r="308">
          <cell r="AA308" t="str"/>
          <cell r="AB308" t="str"/>
          <cell r="AC308" t="str"/>
          <cell r="AD308" t="str"/>
          <cell r="AE308" t="str"/>
          <cell r="AF308" t="str"/>
        </row>
        <row r="309">
          <cell r="B309">
            <v>46284</v>
          </cell>
          <cell r="C309" t="str">
            <v>麦麦提</v>
          </cell>
          <cell r="D309" t="str">
            <v>原料入库</v>
          </cell>
          <cell r="E309" t="str">
            <v>NO:0000910</v>
          </cell>
          <cell r="F309" t="str">
            <v>香梨</v>
          </cell>
          <cell r="G309" t="str">
            <v>香梨一级</v>
          </cell>
          <cell r="H309">
            <v>248</v>
          </cell>
          <cell r="I309" t="str">
            <v>筐</v>
          </cell>
          <cell r="J309">
            <v>4538.4</v>
          </cell>
          <cell r="K309" t="str"/>
          <cell r="L309" t="str"/>
          <cell r="M309" t="str"/>
          <cell r="N309" t="str">
            <v>公司红周转筐</v>
          </cell>
          <cell r="O309" t="str"/>
          <cell r="P309" t="str"/>
          <cell r="Q309">
            <v>248</v>
          </cell>
          <cell r="R309" t="str">
            <v>新A*G0554</v>
          </cell>
          <cell r="S309" t="str">
            <v>公司筐</v>
          </cell>
          <cell r="T309" t="str"/>
          <cell r="U309" t="str"/>
          <cell r="V309" t="str"/>
          <cell r="W309" t="str"/>
          <cell r="X309" t="str"/>
          <cell r="Y309" t="str"/>
        </row>
        <row r="309">
          <cell r="AA309" t="str"/>
          <cell r="AB309" t="str"/>
          <cell r="AC309" t="str"/>
          <cell r="AD309" t="str"/>
          <cell r="AE309" t="str"/>
          <cell r="AF309" t="str"/>
        </row>
        <row r="310">
          <cell r="B310">
            <v>46284</v>
          </cell>
          <cell r="C310" t="str">
            <v>麦麦提</v>
          </cell>
          <cell r="D310" t="str">
            <v>原料入库</v>
          </cell>
          <cell r="E310" t="str">
            <v>NO:0000910</v>
          </cell>
          <cell r="F310" t="str">
            <v>香梨</v>
          </cell>
          <cell r="G310" t="str">
            <v>香梨二级</v>
          </cell>
          <cell r="H310">
            <v>194</v>
          </cell>
          <cell r="I310" t="str">
            <v>筐</v>
          </cell>
          <cell r="J310">
            <v>4326.2</v>
          </cell>
          <cell r="K310" t="str"/>
          <cell r="L310" t="str"/>
          <cell r="M310" t="str"/>
          <cell r="N310" t="str">
            <v>公司红周转筐</v>
          </cell>
          <cell r="O310" t="str"/>
          <cell r="P310" t="str"/>
          <cell r="Q310">
            <v>194</v>
          </cell>
          <cell r="R310" t="str">
            <v>新A*G0554</v>
          </cell>
          <cell r="S310" t="str">
            <v>公司筐</v>
          </cell>
          <cell r="T310" t="str"/>
          <cell r="U310" t="str"/>
          <cell r="V310" t="str"/>
          <cell r="W310" t="str"/>
          <cell r="X310" t="str"/>
          <cell r="Y310" t="str"/>
        </row>
        <row r="310">
          <cell r="AA310" t="str"/>
          <cell r="AB310" t="str"/>
          <cell r="AC310" t="str"/>
          <cell r="AD310" t="str"/>
          <cell r="AE310" t="str"/>
          <cell r="AF310" t="str"/>
        </row>
        <row r="311">
          <cell r="B311">
            <v>46284</v>
          </cell>
          <cell r="C311" t="str">
            <v>马锦祥</v>
          </cell>
          <cell r="D311" t="str">
            <v>原料入库</v>
          </cell>
          <cell r="E311" t="str">
            <v>NO:0000911</v>
          </cell>
          <cell r="F311" t="str">
            <v>香梨</v>
          </cell>
          <cell r="G311" t="str">
            <v>香梨一级</v>
          </cell>
          <cell r="H311">
            <v>148</v>
          </cell>
          <cell r="I311" t="str">
            <v>筐</v>
          </cell>
          <cell r="J311">
            <v>2708.4</v>
          </cell>
          <cell r="K311" t="str"/>
          <cell r="L311" t="str"/>
          <cell r="M311" t="str"/>
          <cell r="N311" t="str">
            <v>公司杂周转筐</v>
          </cell>
          <cell r="O311" t="str"/>
          <cell r="P311" t="str"/>
          <cell r="Q311">
            <v>148</v>
          </cell>
          <cell r="R311" t="str">
            <v>新N*K7V85</v>
          </cell>
          <cell r="S311" t="str">
            <v>公司筐</v>
          </cell>
          <cell r="T311" t="str"/>
          <cell r="U311" t="str"/>
          <cell r="V311" t="str"/>
          <cell r="W311" t="str"/>
          <cell r="X311" t="str"/>
          <cell r="Y311" t="str"/>
        </row>
        <row r="311">
          <cell r="AA311" t="str"/>
          <cell r="AB311" t="str"/>
          <cell r="AC311" t="str"/>
          <cell r="AD311" t="str"/>
          <cell r="AE311" t="str"/>
          <cell r="AF311" t="str"/>
        </row>
        <row r="312">
          <cell r="B312">
            <v>46284</v>
          </cell>
          <cell r="C312" t="str">
            <v>马锦祥</v>
          </cell>
          <cell r="D312" t="str">
            <v>原料入库</v>
          </cell>
          <cell r="E312" t="str">
            <v>NO:0000911</v>
          </cell>
          <cell r="F312" t="str">
            <v>香梨</v>
          </cell>
          <cell r="G312" t="str">
            <v>香梨二级</v>
          </cell>
          <cell r="H312">
            <v>30</v>
          </cell>
          <cell r="I312" t="str">
            <v>筐</v>
          </cell>
          <cell r="J312">
            <v>669</v>
          </cell>
          <cell r="K312" t="str"/>
          <cell r="L312" t="str"/>
          <cell r="M312" t="str"/>
          <cell r="N312" t="str">
            <v>公司杂周转筐</v>
          </cell>
          <cell r="O312" t="str"/>
          <cell r="P312" t="str"/>
          <cell r="Q312">
            <v>30</v>
          </cell>
          <cell r="R312" t="str">
            <v>新N*K7V85</v>
          </cell>
          <cell r="S312" t="str">
            <v>公司筐</v>
          </cell>
          <cell r="T312" t="str"/>
          <cell r="U312" t="str"/>
          <cell r="V312" t="str"/>
          <cell r="W312" t="str"/>
          <cell r="X312" t="str"/>
          <cell r="Y312" t="str"/>
        </row>
        <row r="312">
          <cell r="AA312" t="str"/>
          <cell r="AB312" t="str"/>
          <cell r="AC312" t="str"/>
          <cell r="AD312" t="str"/>
          <cell r="AE312" t="str"/>
          <cell r="AF312" t="str"/>
        </row>
        <row r="313">
          <cell r="B313">
            <v>46284</v>
          </cell>
          <cell r="C313" t="str">
            <v>马锦祥</v>
          </cell>
          <cell r="D313" t="str">
            <v>原料入库</v>
          </cell>
          <cell r="E313" t="str">
            <v>NO:0000911</v>
          </cell>
          <cell r="F313" t="str">
            <v>香梨</v>
          </cell>
          <cell r="G313" t="str">
            <v>香梨副特</v>
          </cell>
          <cell r="H313">
            <v>41</v>
          </cell>
          <cell r="I313" t="str">
            <v>筐</v>
          </cell>
          <cell r="J313">
            <v>750.3</v>
          </cell>
          <cell r="K313" t="str"/>
          <cell r="L313" t="str"/>
          <cell r="M313" t="str"/>
          <cell r="N313" t="str">
            <v>公司杂周转筐</v>
          </cell>
          <cell r="O313" t="str"/>
          <cell r="P313" t="str"/>
          <cell r="Q313">
            <v>41</v>
          </cell>
          <cell r="R313" t="str">
            <v>新N*K7V85</v>
          </cell>
          <cell r="S313" t="str">
            <v>公司筐</v>
          </cell>
          <cell r="T313" t="str"/>
          <cell r="U313" t="str"/>
          <cell r="V313" t="str"/>
          <cell r="W313" t="str"/>
          <cell r="X313" t="str"/>
          <cell r="Y313" t="str"/>
        </row>
        <row r="313">
          <cell r="AA313" t="str"/>
          <cell r="AB313" t="str"/>
          <cell r="AC313" t="str"/>
          <cell r="AD313" t="str"/>
          <cell r="AE313" t="str"/>
          <cell r="AF313" t="str"/>
        </row>
        <row r="314">
          <cell r="B314">
            <v>46284</v>
          </cell>
          <cell r="C314" t="str">
            <v>王照雪</v>
          </cell>
          <cell r="D314" t="str">
            <v>原料入库</v>
          </cell>
          <cell r="E314" t="str">
            <v>NO:0000913</v>
          </cell>
          <cell r="F314" t="str">
            <v>苹果</v>
          </cell>
          <cell r="G314" t="str">
            <v>新世纪一级</v>
          </cell>
          <cell r="H314">
            <v>176</v>
          </cell>
          <cell r="I314" t="str">
            <v>筐</v>
          </cell>
          <cell r="J314">
            <v>2868.8</v>
          </cell>
          <cell r="K314" t="str"/>
          <cell r="L314" t="str"/>
          <cell r="M314" t="str"/>
          <cell r="N314" t="str">
            <v>公司杂周转筐</v>
          </cell>
          <cell r="O314" t="str"/>
          <cell r="P314" t="str"/>
          <cell r="Q314">
            <v>176</v>
          </cell>
          <cell r="R314" t="str">
            <v>豫L*88X19</v>
          </cell>
          <cell r="S314" t="str">
            <v>公司筐</v>
          </cell>
          <cell r="T314" t="str"/>
          <cell r="U314" t="str"/>
          <cell r="V314" t="str"/>
          <cell r="W314" t="str"/>
          <cell r="X314" t="str"/>
          <cell r="Y314" t="str"/>
        </row>
        <row r="314">
          <cell r="AA314" t="str"/>
          <cell r="AB314" t="str"/>
          <cell r="AC314" t="str"/>
          <cell r="AD314" t="str"/>
          <cell r="AE314" t="str"/>
          <cell r="AF314" t="str"/>
        </row>
        <row r="315">
          <cell r="B315">
            <v>46284</v>
          </cell>
          <cell r="C315" t="str">
            <v>王照雪</v>
          </cell>
          <cell r="D315" t="str">
            <v>原料入库</v>
          </cell>
          <cell r="E315" t="str">
            <v>NO:0000913</v>
          </cell>
          <cell r="F315" t="str">
            <v>苹果</v>
          </cell>
          <cell r="G315" t="str">
            <v>新世纪一级</v>
          </cell>
          <cell r="H315">
            <v>76</v>
          </cell>
          <cell r="I315" t="str">
            <v>筐</v>
          </cell>
          <cell r="J315">
            <v>1314.8</v>
          </cell>
          <cell r="K315" t="str"/>
          <cell r="L315" t="str"/>
          <cell r="M315" t="str"/>
          <cell r="N315" t="str">
            <v>公司杂周转筐</v>
          </cell>
          <cell r="O315" t="str"/>
          <cell r="P315" t="str"/>
          <cell r="Q315">
            <v>76</v>
          </cell>
          <cell r="R315" t="str">
            <v>豫L*88X19</v>
          </cell>
          <cell r="S315" t="str">
            <v>公司筐</v>
          </cell>
          <cell r="T315" t="str"/>
          <cell r="U315" t="str"/>
          <cell r="V315" t="str"/>
          <cell r="W315" t="str"/>
          <cell r="X315" t="str"/>
          <cell r="Y315" t="str"/>
        </row>
        <row r="315">
          <cell r="AA315" t="str"/>
          <cell r="AB315" t="str"/>
          <cell r="AC315" t="str"/>
          <cell r="AD315" t="str"/>
          <cell r="AE315" t="str"/>
          <cell r="AF315" t="str"/>
        </row>
        <row r="316">
          <cell r="B316">
            <v>46284</v>
          </cell>
          <cell r="C316" t="str">
            <v>王照雪</v>
          </cell>
          <cell r="D316" t="str">
            <v>原料入库</v>
          </cell>
          <cell r="E316" t="str">
            <v>NO:0000913</v>
          </cell>
          <cell r="F316" t="str">
            <v>苹果</v>
          </cell>
          <cell r="G316" t="str">
            <v>新世纪二级</v>
          </cell>
          <cell r="H316">
            <v>86</v>
          </cell>
          <cell r="I316" t="str">
            <v>筐</v>
          </cell>
          <cell r="J316">
            <v>1745.8</v>
          </cell>
          <cell r="K316" t="str"/>
          <cell r="L316" t="str"/>
          <cell r="M316" t="str"/>
          <cell r="N316" t="str">
            <v>公司杂周转筐</v>
          </cell>
          <cell r="O316" t="str"/>
          <cell r="P316" t="str"/>
          <cell r="Q316">
            <v>86</v>
          </cell>
          <cell r="R316" t="str">
            <v>豫L*88X19</v>
          </cell>
          <cell r="S316" t="str">
            <v>公司筐</v>
          </cell>
          <cell r="T316" t="str"/>
          <cell r="U316" t="str"/>
          <cell r="V316" t="str"/>
          <cell r="W316" t="str"/>
          <cell r="X316" t="str"/>
          <cell r="Y316" t="str"/>
        </row>
        <row r="316">
          <cell r="AA316" t="str"/>
          <cell r="AB316" t="str"/>
          <cell r="AC316" t="str"/>
          <cell r="AD316" t="str"/>
          <cell r="AE316" t="str"/>
          <cell r="AF316" t="str"/>
        </row>
        <row r="317">
          <cell r="B317">
            <v>46284</v>
          </cell>
          <cell r="C317" t="str">
            <v>王照雪</v>
          </cell>
          <cell r="D317" t="str">
            <v>原料入库</v>
          </cell>
          <cell r="E317" t="str">
            <v>NO:0000913</v>
          </cell>
          <cell r="F317" t="str">
            <v>苹果</v>
          </cell>
          <cell r="G317" t="str">
            <v>新世纪二级</v>
          </cell>
          <cell r="H317">
            <v>5</v>
          </cell>
          <cell r="I317" t="str">
            <v>筐</v>
          </cell>
          <cell r="J317">
            <v>81.5</v>
          </cell>
          <cell r="K317" t="str"/>
          <cell r="L317" t="str"/>
          <cell r="M317" t="str"/>
          <cell r="N317" t="str">
            <v>公司杂周转筐</v>
          </cell>
          <cell r="O317" t="str"/>
          <cell r="P317" t="str"/>
          <cell r="Q317">
            <v>5</v>
          </cell>
          <cell r="R317" t="str">
            <v>豫L*88X19</v>
          </cell>
          <cell r="S317" t="str">
            <v>公司筐</v>
          </cell>
          <cell r="T317" t="str"/>
          <cell r="U317" t="str"/>
          <cell r="V317" t="str"/>
          <cell r="W317" t="str"/>
          <cell r="X317" t="str"/>
          <cell r="Y317" t="str"/>
        </row>
        <row r="317">
          <cell r="AA317" t="str"/>
          <cell r="AB317" t="str"/>
          <cell r="AC317" t="str"/>
          <cell r="AD317" t="str"/>
          <cell r="AE317" t="str"/>
          <cell r="AF317" t="str"/>
        </row>
        <row r="318">
          <cell r="B318">
            <v>46284</v>
          </cell>
          <cell r="C318" t="str">
            <v>荆建君</v>
          </cell>
          <cell r="D318" t="str">
            <v>原料入库</v>
          </cell>
          <cell r="E318" t="str">
            <v>NO:0000915</v>
          </cell>
          <cell r="F318" t="str">
            <v>香梨</v>
          </cell>
          <cell r="G318" t="str">
            <v>香梨一级</v>
          </cell>
          <cell r="H318">
            <v>416</v>
          </cell>
          <cell r="I318" t="str">
            <v>筐</v>
          </cell>
          <cell r="J318">
            <v>7612.8</v>
          </cell>
          <cell r="K318" t="str"/>
          <cell r="L318" t="str"/>
          <cell r="M318" t="str"/>
          <cell r="N318" t="str">
            <v>公司红周转筐</v>
          </cell>
          <cell r="O318" t="str"/>
          <cell r="P318" t="str"/>
          <cell r="Q318">
            <v>416</v>
          </cell>
          <cell r="R318" t="str">
            <v>豫A*2737K</v>
          </cell>
          <cell r="S318" t="str">
            <v>公司筐</v>
          </cell>
          <cell r="T318" t="str"/>
          <cell r="U318" t="str"/>
          <cell r="V318" t="str"/>
          <cell r="W318" t="str"/>
          <cell r="X318" t="str"/>
          <cell r="Y318" t="str"/>
        </row>
        <row r="318">
          <cell r="AA318" t="str"/>
          <cell r="AB318" t="str"/>
          <cell r="AC318" t="str"/>
          <cell r="AD318" t="str"/>
          <cell r="AE318" t="str"/>
          <cell r="AF318" t="str"/>
        </row>
        <row r="319">
          <cell r="B319">
            <v>46284</v>
          </cell>
          <cell r="C319" t="str">
            <v>荆建君</v>
          </cell>
          <cell r="D319" t="str">
            <v>原料入库</v>
          </cell>
          <cell r="E319" t="str">
            <v>NO:0000915</v>
          </cell>
          <cell r="F319" t="str">
            <v>香梨</v>
          </cell>
          <cell r="G319" t="str">
            <v>香梨二级</v>
          </cell>
          <cell r="H319">
            <v>233</v>
          </cell>
          <cell r="I319" t="str">
            <v>筐</v>
          </cell>
          <cell r="J319">
            <v>4263.9</v>
          </cell>
          <cell r="K319" t="str"/>
          <cell r="L319" t="str"/>
          <cell r="M319" t="str"/>
          <cell r="N319" t="str">
            <v>公司红周转筐</v>
          </cell>
          <cell r="O319" t="str"/>
          <cell r="P319" t="str"/>
          <cell r="Q319">
            <v>233</v>
          </cell>
          <cell r="R319" t="str">
            <v>豫A*2737K</v>
          </cell>
          <cell r="S319" t="str">
            <v>公司筐</v>
          </cell>
          <cell r="T319" t="str"/>
          <cell r="U319" t="str"/>
          <cell r="V319" t="str"/>
          <cell r="W319" t="str"/>
          <cell r="X319" t="str"/>
          <cell r="Y319" t="str"/>
        </row>
        <row r="319">
          <cell r="AA319" t="str"/>
          <cell r="AB319" t="str"/>
          <cell r="AC319" t="str"/>
          <cell r="AD319" t="str"/>
          <cell r="AE319" t="str"/>
          <cell r="AF319" t="str"/>
        </row>
        <row r="320">
          <cell r="B320">
            <v>46284</v>
          </cell>
          <cell r="C320" t="str">
            <v>热合曼+艾则孜</v>
          </cell>
          <cell r="D320" t="str">
            <v>原料入库</v>
          </cell>
          <cell r="E320" t="str">
            <v>NO:0000916</v>
          </cell>
          <cell r="F320" t="str">
            <v>香梨</v>
          </cell>
          <cell r="G320" t="str">
            <v>香梨一级</v>
          </cell>
          <cell r="H320">
            <v>429</v>
          </cell>
          <cell r="I320" t="str">
            <v>筐</v>
          </cell>
          <cell r="J320">
            <v>7850.7</v>
          </cell>
          <cell r="K320" t="str"/>
          <cell r="L320" t="str"/>
          <cell r="M320" t="str">
            <v>热合曼合伙</v>
          </cell>
          <cell r="N320" t="str">
            <v>公司红周转筐</v>
          </cell>
          <cell r="O320" t="str"/>
          <cell r="P320" t="str"/>
          <cell r="Q320">
            <v>429</v>
          </cell>
          <cell r="R320" t="str">
            <v>新R*37010</v>
          </cell>
          <cell r="S320" t="str">
            <v>公司筐</v>
          </cell>
          <cell r="T320" t="str"/>
          <cell r="U320" t="str"/>
          <cell r="V320" t="str"/>
          <cell r="W320" t="str"/>
          <cell r="X320" t="str"/>
          <cell r="Y320" t="str"/>
        </row>
        <row r="320">
          <cell r="AA320" t="str"/>
          <cell r="AB320" t="str"/>
          <cell r="AC320" t="str"/>
          <cell r="AD320" t="str"/>
          <cell r="AE320" t="str"/>
          <cell r="AF320" t="str"/>
        </row>
        <row r="321">
          <cell r="B321">
            <v>46284</v>
          </cell>
          <cell r="C321" t="str">
            <v>热合曼+艾则孜</v>
          </cell>
          <cell r="D321" t="str">
            <v>原料入库</v>
          </cell>
          <cell r="E321" t="str">
            <v>NO:0000916</v>
          </cell>
          <cell r="F321" t="str">
            <v>香梨</v>
          </cell>
          <cell r="G321" t="str">
            <v>香梨二级</v>
          </cell>
          <cell r="H321">
            <v>136</v>
          </cell>
          <cell r="I321" t="str">
            <v>筐</v>
          </cell>
          <cell r="J321">
            <v>3032.8</v>
          </cell>
          <cell r="K321" t="str"/>
          <cell r="L321" t="str"/>
          <cell r="M321" t="str">
            <v>热合曼合伙</v>
          </cell>
          <cell r="N321" t="str">
            <v>公司红周转筐</v>
          </cell>
          <cell r="O321" t="str"/>
          <cell r="P321" t="str"/>
          <cell r="Q321">
            <v>136</v>
          </cell>
          <cell r="R321" t="str">
            <v>新R*37010</v>
          </cell>
          <cell r="S321" t="str">
            <v>公司筐</v>
          </cell>
          <cell r="T321" t="str"/>
          <cell r="U321" t="str"/>
          <cell r="V321" t="str"/>
          <cell r="W321" t="str"/>
          <cell r="X321" t="str"/>
          <cell r="Y321" t="str"/>
        </row>
        <row r="321">
          <cell r="AA321" t="str"/>
          <cell r="AB321" t="str"/>
          <cell r="AC321" t="str"/>
          <cell r="AD321" t="str"/>
          <cell r="AE321" t="str"/>
          <cell r="AF321" t="str"/>
        </row>
        <row r="322">
          <cell r="B322">
            <v>46284</v>
          </cell>
          <cell r="C322" t="str">
            <v>热合曼+艾则孜</v>
          </cell>
          <cell r="D322" t="str">
            <v>原料入库</v>
          </cell>
          <cell r="E322" t="str">
            <v>NO:0000916</v>
          </cell>
          <cell r="F322" t="str">
            <v>香梨</v>
          </cell>
          <cell r="G322" t="str">
            <v>香梨副特</v>
          </cell>
          <cell r="H322">
            <v>78</v>
          </cell>
          <cell r="I322" t="str">
            <v>筐</v>
          </cell>
          <cell r="J322">
            <v>1427.4</v>
          </cell>
          <cell r="K322" t="str"/>
          <cell r="L322" t="str"/>
          <cell r="M322" t="str">
            <v>热合曼合伙</v>
          </cell>
          <cell r="N322" t="str">
            <v>公司红周转筐</v>
          </cell>
          <cell r="O322" t="str"/>
          <cell r="P322" t="str"/>
          <cell r="Q322">
            <v>78</v>
          </cell>
          <cell r="R322" t="str">
            <v>新R*37010</v>
          </cell>
          <cell r="S322" t="str">
            <v>公司筐</v>
          </cell>
          <cell r="T322" t="str"/>
          <cell r="U322" t="str"/>
          <cell r="V322" t="str"/>
          <cell r="W322" t="str"/>
          <cell r="X322" t="str"/>
          <cell r="Y322" t="str"/>
        </row>
        <row r="322">
          <cell r="AA322" t="str"/>
          <cell r="AB322" t="str"/>
          <cell r="AC322" t="str"/>
          <cell r="AD322" t="str"/>
          <cell r="AE322" t="str"/>
          <cell r="AF322" t="str"/>
        </row>
        <row r="323">
          <cell r="B323">
            <v>46284</v>
          </cell>
          <cell r="C323" t="str">
            <v>王照雪</v>
          </cell>
          <cell r="D323" t="str">
            <v>原料入库</v>
          </cell>
          <cell r="E323" t="str">
            <v>NO:0000918</v>
          </cell>
          <cell r="F323" t="str">
            <v>香梨</v>
          </cell>
          <cell r="G323" t="str">
            <v>香梨一级</v>
          </cell>
          <cell r="H323">
            <v>154</v>
          </cell>
          <cell r="I323" t="str">
            <v>筐</v>
          </cell>
          <cell r="J323">
            <v>3003</v>
          </cell>
          <cell r="K323" t="str"/>
          <cell r="L323" t="str"/>
          <cell r="M323" t="str"/>
          <cell r="N323" t="str">
            <v>公司一次性筐</v>
          </cell>
          <cell r="O323" t="str"/>
          <cell r="P323" t="str"/>
          <cell r="Q323">
            <v>154</v>
          </cell>
          <cell r="R323" t="str">
            <v>豫L*88X19</v>
          </cell>
          <cell r="S323" t="str">
            <v>公司筐</v>
          </cell>
          <cell r="T323" t="str"/>
          <cell r="U323" t="str"/>
          <cell r="V323" t="str"/>
          <cell r="W323" t="str"/>
          <cell r="X323" t="str"/>
          <cell r="Y323" t="str"/>
        </row>
        <row r="323">
          <cell r="AA323" t="str"/>
          <cell r="AB323" t="str"/>
          <cell r="AC323" t="str"/>
          <cell r="AD323" t="str"/>
          <cell r="AE323" t="str"/>
          <cell r="AF323" t="str"/>
        </row>
        <row r="324">
          <cell r="B324">
            <v>46284</v>
          </cell>
          <cell r="C324" t="str">
            <v>王照雪</v>
          </cell>
          <cell r="D324" t="str">
            <v>原料入库</v>
          </cell>
          <cell r="E324" t="str">
            <v>NO:0000918</v>
          </cell>
          <cell r="F324" t="str">
            <v>香梨</v>
          </cell>
          <cell r="G324" t="str">
            <v>香梨二级</v>
          </cell>
          <cell r="H324">
            <v>49</v>
          </cell>
          <cell r="I324" t="str">
            <v>筐</v>
          </cell>
          <cell r="J324">
            <v>1102.5</v>
          </cell>
          <cell r="K324" t="str"/>
          <cell r="L324" t="str"/>
          <cell r="M324" t="str"/>
          <cell r="N324" t="str">
            <v>公司一次性筐</v>
          </cell>
          <cell r="O324" t="str"/>
          <cell r="P324" t="str"/>
          <cell r="Q324">
            <v>49</v>
          </cell>
          <cell r="R324" t="str">
            <v>豫L*88X19</v>
          </cell>
          <cell r="S324" t="str">
            <v>公司筐</v>
          </cell>
          <cell r="T324" t="str"/>
          <cell r="U324" t="str"/>
          <cell r="V324" t="str"/>
          <cell r="W324" t="str"/>
          <cell r="X324" t="str"/>
          <cell r="Y324" t="str"/>
        </row>
        <row r="324">
          <cell r="AA324" t="str"/>
          <cell r="AB324" t="str"/>
          <cell r="AC324" t="str"/>
          <cell r="AD324" t="str"/>
          <cell r="AE324" t="str"/>
          <cell r="AF324" t="str"/>
        </row>
        <row r="325">
          <cell r="B325">
            <v>46284</v>
          </cell>
          <cell r="C325" t="str">
            <v>王照雪</v>
          </cell>
          <cell r="D325" t="str">
            <v>原料入库</v>
          </cell>
          <cell r="E325" t="str">
            <v>NO:0000918</v>
          </cell>
          <cell r="F325" t="str">
            <v>香梨</v>
          </cell>
          <cell r="G325" t="str">
            <v>香梨副特</v>
          </cell>
          <cell r="H325">
            <v>126</v>
          </cell>
          <cell r="I325" t="str">
            <v>筐</v>
          </cell>
          <cell r="J325">
            <v>2457</v>
          </cell>
          <cell r="K325" t="str"/>
          <cell r="L325" t="str"/>
          <cell r="M325" t="str"/>
          <cell r="N325" t="str">
            <v>公司一次性筐</v>
          </cell>
          <cell r="O325" t="str"/>
          <cell r="P325" t="str"/>
          <cell r="Q325">
            <v>126</v>
          </cell>
          <cell r="R325" t="str">
            <v>豫L*88X19</v>
          </cell>
          <cell r="S325" t="str">
            <v>公司筐</v>
          </cell>
          <cell r="T325" t="str"/>
          <cell r="U325" t="str"/>
          <cell r="V325" t="str"/>
          <cell r="W325" t="str"/>
          <cell r="X325" t="str"/>
          <cell r="Y325" t="str"/>
        </row>
        <row r="325">
          <cell r="AA325" t="str"/>
          <cell r="AB325" t="str"/>
          <cell r="AC325" t="str"/>
          <cell r="AD325" t="str"/>
          <cell r="AE325" t="str"/>
          <cell r="AF325" t="str"/>
        </row>
        <row r="326">
          <cell r="B326">
            <v>46284</v>
          </cell>
          <cell r="C326" t="str">
            <v>王灵云</v>
          </cell>
          <cell r="D326" t="str">
            <v>原料入库</v>
          </cell>
          <cell r="E326" t="str">
            <v>NO:0000920</v>
          </cell>
          <cell r="F326" t="str">
            <v>香梨</v>
          </cell>
          <cell r="G326" t="str">
            <v>香梨一级</v>
          </cell>
          <cell r="H326">
            <v>653</v>
          </cell>
          <cell r="I326" t="str">
            <v>筐</v>
          </cell>
          <cell r="J326">
            <v>11949.9</v>
          </cell>
          <cell r="K326" t="str"/>
          <cell r="L326" t="str"/>
          <cell r="M326" t="str">
            <v>左</v>
          </cell>
          <cell r="N326" t="str">
            <v>公司红周转筐</v>
          </cell>
          <cell r="O326" t="str"/>
          <cell r="P326" t="str"/>
          <cell r="Q326">
            <v>653</v>
          </cell>
          <cell r="R326" t="str">
            <v>新N*49209</v>
          </cell>
          <cell r="S326" t="str">
            <v>公司筐</v>
          </cell>
          <cell r="T326" t="str"/>
          <cell r="U326" t="str"/>
          <cell r="V326" t="str"/>
          <cell r="W326" t="str"/>
          <cell r="X326" t="str"/>
          <cell r="Y326" t="str"/>
        </row>
        <row r="326">
          <cell r="AA326" t="str"/>
          <cell r="AB326" t="str"/>
          <cell r="AC326" t="str"/>
          <cell r="AD326" t="str"/>
          <cell r="AE326" t="str"/>
          <cell r="AF326" t="str"/>
        </row>
        <row r="327">
          <cell r="B327">
            <v>46284</v>
          </cell>
          <cell r="C327" t="str">
            <v>王灵云</v>
          </cell>
          <cell r="D327" t="str">
            <v>原料入库</v>
          </cell>
          <cell r="E327" t="str">
            <v>NO:0000920</v>
          </cell>
          <cell r="F327" t="str">
            <v>香梨</v>
          </cell>
          <cell r="G327" t="str">
            <v>香梨二级</v>
          </cell>
          <cell r="H327">
            <v>33</v>
          </cell>
          <cell r="I327" t="str">
            <v>筐</v>
          </cell>
          <cell r="J327">
            <v>768.9</v>
          </cell>
          <cell r="K327" t="str"/>
          <cell r="L327" t="str"/>
          <cell r="M327" t="str">
            <v>左</v>
          </cell>
          <cell r="N327" t="str">
            <v>公司红周转筐</v>
          </cell>
          <cell r="O327" t="str"/>
          <cell r="P327" t="str"/>
          <cell r="Q327">
            <v>33</v>
          </cell>
          <cell r="R327" t="str">
            <v>新N*49209</v>
          </cell>
          <cell r="S327" t="str">
            <v>公司筐</v>
          </cell>
          <cell r="T327" t="str"/>
          <cell r="U327" t="str"/>
          <cell r="V327" t="str"/>
          <cell r="W327" t="str"/>
          <cell r="X327" t="str"/>
          <cell r="Y327" t="str"/>
        </row>
        <row r="327">
          <cell r="AA327" t="str"/>
          <cell r="AB327" t="str"/>
          <cell r="AC327" t="str"/>
          <cell r="AD327" t="str"/>
          <cell r="AE327" t="str"/>
          <cell r="AF327" t="str"/>
        </row>
        <row r="328">
          <cell r="B328">
            <v>46284</v>
          </cell>
          <cell r="C328" t="str">
            <v>阿布都</v>
          </cell>
          <cell r="D328" t="str">
            <v>原料入库</v>
          </cell>
          <cell r="E328" t="str">
            <v>NO:0000922</v>
          </cell>
          <cell r="F328" t="str">
            <v>香梨</v>
          </cell>
          <cell r="G328" t="str">
            <v>香梨特级</v>
          </cell>
          <cell r="H328">
            <v>122</v>
          </cell>
          <cell r="I328" t="str">
            <v>筐</v>
          </cell>
          <cell r="J328">
            <v>2232.6</v>
          </cell>
          <cell r="K328" t="str"/>
          <cell r="L328" t="str"/>
          <cell r="M328" t="str">
            <v>努尔敦</v>
          </cell>
          <cell r="N328" t="str">
            <v>公司红周转筐</v>
          </cell>
          <cell r="O328" t="str"/>
          <cell r="P328" t="str"/>
          <cell r="Q328">
            <v>122</v>
          </cell>
          <cell r="R328" t="str">
            <v>新N*F0M01</v>
          </cell>
          <cell r="S328" t="str">
            <v>公司筐</v>
          </cell>
          <cell r="T328" t="str"/>
          <cell r="U328" t="str"/>
          <cell r="V328" t="str"/>
          <cell r="W328" t="str"/>
          <cell r="X328" t="str"/>
          <cell r="Y328" t="str"/>
        </row>
        <row r="328">
          <cell r="AA328" t="str"/>
          <cell r="AB328" t="str"/>
          <cell r="AC328" t="str"/>
          <cell r="AD328" t="str"/>
          <cell r="AE328" t="str"/>
          <cell r="AF328" t="str"/>
        </row>
        <row r="329">
          <cell r="B329">
            <v>46284</v>
          </cell>
          <cell r="C329" t="str">
            <v>阿布都</v>
          </cell>
          <cell r="D329" t="str">
            <v>原料入库</v>
          </cell>
          <cell r="E329" t="str">
            <v>NO:0000922</v>
          </cell>
          <cell r="F329" t="str">
            <v>香梨</v>
          </cell>
          <cell r="G329" t="str">
            <v>香梨一级</v>
          </cell>
          <cell r="H329">
            <v>59</v>
          </cell>
          <cell r="I329" t="str">
            <v>筐</v>
          </cell>
          <cell r="J329">
            <v>1079.7</v>
          </cell>
          <cell r="K329" t="str"/>
          <cell r="L329" t="str"/>
          <cell r="M329" t="str">
            <v>努尔敦</v>
          </cell>
          <cell r="N329" t="str">
            <v>公司红周转筐</v>
          </cell>
          <cell r="O329" t="str"/>
          <cell r="P329" t="str"/>
          <cell r="Q329">
            <v>59</v>
          </cell>
          <cell r="R329" t="str">
            <v>新N*F0M01</v>
          </cell>
          <cell r="S329" t="str">
            <v>公司筐</v>
          </cell>
          <cell r="T329" t="str"/>
          <cell r="U329" t="str"/>
          <cell r="V329" t="str"/>
          <cell r="W329" t="str"/>
          <cell r="X329" t="str"/>
          <cell r="Y329" t="str"/>
        </row>
        <row r="329">
          <cell r="AA329" t="str"/>
          <cell r="AB329" t="str"/>
          <cell r="AC329" t="str"/>
          <cell r="AD329" t="str"/>
          <cell r="AE329" t="str"/>
          <cell r="AF329" t="str"/>
        </row>
        <row r="330">
          <cell r="B330">
            <v>46284</v>
          </cell>
          <cell r="C330" t="str">
            <v>阿布都</v>
          </cell>
          <cell r="D330" t="str">
            <v>原料入库</v>
          </cell>
          <cell r="E330" t="str">
            <v>NO:0000922</v>
          </cell>
          <cell r="F330" t="str">
            <v>香梨</v>
          </cell>
          <cell r="G330" t="str">
            <v>香梨副特</v>
          </cell>
          <cell r="H330">
            <v>136</v>
          </cell>
          <cell r="I330" t="str">
            <v>筐</v>
          </cell>
          <cell r="J330">
            <v>2488.8</v>
          </cell>
          <cell r="K330" t="str"/>
          <cell r="L330" t="str"/>
          <cell r="M330" t="str">
            <v>努尔敦</v>
          </cell>
          <cell r="N330" t="str">
            <v>公司红周转筐</v>
          </cell>
          <cell r="O330" t="str"/>
          <cell r="P330" t="str"/>
          <cell r="Q330">
            <v>136</v>
          </cell>
          <cell r="R330" t="str">
            <v>新N*F0M01</v>
          </cell>
          <cell r="S330" t="str">
            <v>公司筐</v>
          </cell>
          <cell r="T330" t="str"/>
          <cell r="U330" t="str"/>
          <cell r="V330" t="str"/>
          <cell r="W330" t="str"/>
          <cell r="X330" t="str"/>
          <cell r="Y330" t="str"/>
        </row>
        <row r="330">
          <cell r="AA330" t="str"/>
          <cell r="AB330" t="str"/>
          <cell r="AC330" t="str"/>
          <cell r="AD330" t="str"/>
          <cell r="AE330" t="str"/>
          <cell r="AF330" t="str"/>
        </row>
        <row r="331">
          <cell r="B331">
            <v>46285</v>
          </cell>
          <cell r="C331" t="str">
            <v>努尔敦</v>
          </cell>
          <cell r="D331" t="str">
            <v>原料入库</v>
          </cell>
          <cell r="E331" t="str">
            <v>NO:0000923</v>
          </cell>
          <cell r="F331" t="str">
            <v>香梨</v>
          </cell>
          <cell r="G331" t="str">
            <v>香梨特级</v>
          </cell>
          <cell r="H331">
            <v>370</v>
          </cell>
          <cell r="I331" t="str">
            <v>筐</v>
          </cell>
          <cell r="J331">
            <v>6771</v>
          </cell>
          <cell r="K331" t="str"/>
          <cell r="L331" t="str"/>
          <cell r="M331" t="str"/>
          <cell r="N331" t="str">
            <v>公司红周转筐</v>
          </cell>
          <cell r="O331" t="str"/>
          <cell r="P331" t="str"/>
          <cell r="Q331">
            <v>370</v>
          </cell>
          <cell r="R331" t="str">
            <v>新F*75240</v>
          </cell>
          <cell r="S331" t="str">
            <v>公司筐</v>
          </cell>
          <cell r="T331" t="str"/>
          <cell r="U331" t="str"/>
          <cell r="V331" t="str"/>
          <cell r="W331" t="str"/>
          <cell r="X331" t="str"/>
          <cell r="Y331" t="str"/>
        </row>
        <row r="331">
          <cell r="AA331" t="str"/>
          <cell r="AB331" t="str"/>
          <cell r="AC331" t="str"/>
          <cell r="AD331" t="str"/>
          <cell r="AE331" t="str"/>
          <cell r="AF331" t="str"/>
        </row>
        <row r="332">
          <cell r="B332">
            <v>46285</v>
          </cell>
          <cell r="C332" t="str">
            <v>努尔敦</v>
          </cell>
          <cell r="D332" t="str">
            <v>原料入库</v>
          </cell>
          <cell r="E332" t="str">
            <v>NO:0000923</v>
          </cell>
          <cell r="F332" t="str">
            <v>香梨</v>
          </cell>
          <cell r="G332" t="str">
            <v>香梨一级</v>
          </cell>
          <cell r="H332">
            <v>168</v>
          </cell>
          <cell r="I332" t="str">
            <v>筐</v>
          </cell>
          <cell r="J332">
            <v>3074.4</v>
          </cell>
          <cell r="K332" t="str"/>
          <cell r="L332" t="str"/>
          <cell r="M332" t="str"/>
          <cell r="N332" t="str">
            <v>公司红周转筐</v>
          </cell>
          <cell r="O332" t="str"/>
          <cell r="P332" t="str"/>
          <cell r="Q332">
            <v>168</v>
          </cell>
          <cell r="R332" t="str">
            <v>新F*75240</v>
          </cell>
          <cell r="S332" t="str">
            <v>公司筐</v>
          </cell>
          <cell r="T332" t="str"/>
          <cell r="U332" t="str"/>
          <cell r="V332" t="str"/>
          <cell r="W332" t="str"/>
          <cell r="X332" t="str"/>
          <cell r="Y332" t="str"/>
        </row>
        <row r="332">
          <cell r="AA332" t="str"/>
          <cell r="AB332" t="str"/>
          <cell r="AC332" t="str"/>
          <cell r="AD332" t="str"/>
          <cell r="AE332" t="str"/>
          <cell r="AF332" t="str"/>
        </row>
        <row r="333">
          <cell r="B333">
            <v>46285</v>
          </cell>
          <cell r="C333" t="str">
            <v>努尔敦</v>
          </cell>
          <cell r="D333" t="str">
            <v>原料入库</v>
          </cell>
          <cell r="E333" t="str">
            <v>NO:0000923</v>
          </cell>
          <cell r="F333" t="str">
            <v>香梨</v>
          </cell>
          <cell r="G333" t="str">
            <v>香梨二级</v>
          </cell>
          <cell r="H333">
            <v>104</v>
          </cell>
          <cell r="I333" t="str">
            <v>筐</v>
          </cell>
          <cell r="J333">
            <v>2319.2</v>
          </cell>
          <cell r="K333" t="str"/>
          <cell r="L333" t="str"/>
          <cell r="M333" t="str"/>
          <cell r="N333" t="str">
            <v>公司红周转筐</v>
          </cell>
          <cell r="O333" t="str"/>
          <cell r="P333" t="str"/>
          <cell r="Q333">
            <v>104</v>
          </cell>
          <cell r="R333" t="str">
            <v>新F*75240</v>
          </cell>
          <cell r="S333" t="str">
            <v>公司筐</v>
          </cell>
          <cell r="T333" t="str"/>
          <cell r="U333" t="str"/>
          <cell r="V333" t="str"/>
          <cell r="W333" t="str"/>
          <cell r="X333" t="str"/>
          <cell r="Y333" t="str"/>
        </row>
        <row r="333">
          <cell r="AA333" t="str"/>
          <cell r="AB333" t="str"/>
          <cell r="AC333" t="str"/>
          <cell r="AD333" t="str"/>
          <cell r="AE333" t="str"/>
          <cell r="AF333" t="str"/>
        </row>
        <row r="334">
          <cell r="B334">
            <v>46285</v>
          </cell>
          <cell r="C334" t="str">
            <v>贾建国</v>
          </cell>
          <cell r="D334" t="str">
            <v>原料入库</v>
          </cell>
          <cell r="E334" t="str">
            <v>NO:0000924</v>
          </cell>
          <cell r="F334" t="str">
            <v>香梨</v>
          </cell>
          <cell r="G334" t="str">
            <v>香梨一级</v>
          </cell>
          <cell r="H334">
            <v>309</v>
          </cell>
          <cell r="I334" t="str">
            <v>筐</v>
          </cell>
          <cell r="J334">
            <v>5654.7</v>
          </cell>
          <cell r="K334" t="str"/>
          <cell r="L334" t="str"/>
          <cell r="M334" t="str">
            <v>刘辉</v>
          </cell>
          <cell r="N334" t="str">
            <v>自备一次性筐</v>
          </cell>
          <cell r="O334" t="str"/>
          <cell r="P334" t="str"/>
          <cell r="Q334">
            <v>309</v>
          </cell>
          <cell r="R334" t="str">
            <v>新N*54567</v>
          </cell>
          <cell r="S334" t="str">
            <v>自备筐</v>
          </cell>
          <cell r="T334" t="str"/>
          <cell r="U334" t="str"/>
          <cell r="V334" t="str"/>
          <cell r="W334" t="str"/>
          <cell r="X334" t="str"/>
          <cell r="Y334" t="str"/>
        </row>
        <row r="334">
          <cell r="AA334" t="str"/>
          <cell r="AB334" t="str"/>
          <cell r="AC334" t="str"/>
          <cell r="AD334" t="str"/>
          <cell r="AE334" t="str"/>
          <cell r="AF334" t="str"/>
        </row>
        <row r="335">
          <cell r="B335">
            <v>46285</v>
          </cell>
          <cell r="C335" t="str">
            <v>贾建国</v>
          </cell>
          <cell r="D335" t="str">
            <v>原料入库</v>
          </cell>
          <cell r="E335" t="str">
            <v>NO:0000924</v>
          </cell>
          <cell r="F335" t="str">
            <v>香梨</v>
          </cell>
          <cell r="G335" t="str">
            <v>香梨二级</v>
          </cell>
          <cell r="H335">
            <v>38</v>
          </cell>
          <cell r="I335" t="str">
            <v>筐</v>
          </cell>
          <cell r="J335">
            <v>657.4</v>
          </cell>
          <cell r="K335" t="str"/>
          <cell r="L335" t="str"/>
          <cell r="M335" t="str">
            <v>刘辉</v>
          </cell>
          <cell r="N335" t="str">
            <v>自备一次性筐</v>
          </cell>
          <cell r="O335" t="str"/>
          <cell r="P335" t="str"/>
          <cell r="Q335">
            <v>38</v>
          </cell>
          <cell r="R335" t="str">
            <v>新N*54567</v>
          </cell>
          <cell r="S335" t="str">
            <v>自备筐</v>
          </cell>
          <cell r="T335" t="str"/>
          <cell r="U335" t="str"/>
          <cell r="V335" t="str"/>
          <cell r="W335" t="str"/>
          <cell r="X335" t="str"/>
          <cell r="Y335" t="str"/>
        </row>
        <row r="335">
          <cell r="AA335" t="str"/>
          <cell r="AB335" t="str"/>
          <cell r="AC335" t="str"/>
          <cell r="AD335" t="str"/>
          <cell r="AE335" t="str"/>
          <cell r="AF335" t="str"/>
        </row>
        <row r="336">
          <cell r="B336">
            <v>46285</v>
          </cell>
          <cell r="C336" t="str">
            <v>贾建国</v>
          </cell>
          <cell r="D336" t="str">
            <v>原料入库</v>
          </cell>
          <cell r="E336" t="str">
            <v>NO:0000924</v>
          </cell>
          <cell r="F336" t="str">
            <v>香梨</v>
          </cell>
          <cell r="G336" t="str">
            <v>香梨副特</v>
          </cell>
          <cell r="H336">
            <v>335</v>
          </cell>
          <cell r="I336" t="str">
            <v>筐</v>
          </cell>
          <cell r="J336">
            <v>6465.5</v>
          </cell>
          <cell r="K336" t="str"/>
          <cell r="L336" t="str"/>
          <cell r="M336" t="str">
            <v>刘辉</v>
          </cell>
          <cell r="N336" t="str">
            <v>自备一次性筐</v>
          </cell>
          <cell r="O336" t="str"/>
          <cell r="P336" t="str"/>
          <cell r="Q336">
            <v>335</v>
          </cell>
          <cell r="R336" t="str">
            <v>新N*54567</v>
          </cell>
          <cell r="S336" t="str">
            <v>自备筐</v>
          </cell>
          <cell r="T336" t="str"/>
          <cell r="U336" t="str"/>
          <cell r="V336" t="str"/>
          <cell r="W336" t="str"/>
          <cell r="X336" t="str"/>
          <cell r="Y336" t="str"/>
        </row>
        <row r="336">
          <cell r="AA336" t="str"/>
          <cell r="AB336" t="str"/>
          <cell r="AC336" t="str"/>
          <cell r="AD336" t="str"/>
          <cell r="AE336" t="str"/>
          <cell r="AF336" t="str"/>
        </row>
        <row r="337">
          <cell r="B337">
            <v>46285</v>
          </cell>
          <cell r="C337" t="str">
            <v>王灵云</v>
          </cell>
          <cell r="D337" t="str">
            <v>原料入库</v>
          </cell>
          <cell r="E337" t="str">
            <v>NO:0000926</v>
          </cell>
          <cell r="F337" t="str">
            <v>香梨</v>
          </cell>
          <cell r="G337" t="str">
            <v>香梨一级</v>
          </cell>
          <cell r="H337">
            <v>500</v>
          </cell>
          <cell r="I337" t="str">
            <v>筐</v>
          </cell>
          <cell r="J337">
            <v>9150</v>
          </cell>
          <cell r="K337" t="str"/>
          <cell r="L337" t="str"/>
          <cell r="M337" t="str"/>
          <cell r="N337" t="str">
            <v>公司红周转筐</v>
          </cell>
          <cell r="O337" t="str"/>
          <cell r="P337" t="str"/>
          <cell r="Q337">
            <v>500</v>
          </cell>
          <cell r="R337" t="str">
            <v>新N*49209</v>
          </cell>
          <cell r="S337" t="str">
            <v>公司筐</v>
          </cell>
          <cell r="T337" t="str"/>
          <cell r="U337" t="str"/>
          <cell r="V337" t="str"/>
          <cell r="W337" t="str"/>
          <cell r="X337" t="str"/>
          <cell r="Y337" t="str"/>
        </row>
        <row r="337">
          <cell r="AA337" t="str"/>
          <cell r="AB337" t="str"/>
          <cell r="AC337" t="str"/>
          <cell r="AD337" t="str"/>
          <cell r="AE337" t="str"/>
          <cell r="AF337" t="str"/>
        </row>
        <row r="338">
          <cell r="B338">
            <v>46285</v>
          </cell>
          <cell r="C338" t="str">
            <v>王灵云</v>
          </cell>
          <cell r="D338" t="str">
            <v>原料入库</v>
          </cell>
          <cell r="E338" t="str">
            <v>NO:0000926</v>
          </cell>
          <cell r="F338" t="str">
            <v>香梨</v>
          </cell>
          <cell r="G338" t="str">
            <v>香梨二级</v>
          </cell>
          <cell r="H338">
            <v>112</v>
          </cell>
          <cell r="I338" t="str">
            <v>筐</v>
          </cell>
          <cell r="J338">
            <v>2609.6</v>
          </cell>
          <cell r="K338" t="str"/>
          <cell r="L338" t="str"/>
          <cell r="M338" t="str"/>
          <cell r="N338" t="str">
            <v>公司红周转筐</v>
          </cell>
          <cell r="O338" t="str"/>
          <cell r="P338" t="str"/>
          <cell r="Q338">
            <v>112</v>
          </cell>
          <cell r="R338" t="str">
            <v>新N*49209</v>
          </cell>
          <cell r="S338" t="str">
            <v>公司筐</v>
          </cell>
          <cell r="T338" t="str"/>
          <cell r="U338" t="str"/>
          <cell r="V338" t="str"/>
          <cell r="W338" t="str"/>
          <cell r="X338" t="str"/>
          <cell r="Y338" t="str"/>
        </row>
        <row r="338">
          <cell r="AA338" t="str"/>
          <cell r="AB338" t="str"/>
          <cell r="AC338" t="str"/>
          <cell r="AD338" t="str"/>
          <cell r="AE338" t="str"/>
          <cell r="AF338" t="str"/>
        </row>
        <row r="339">
          <cell r="B339">
            <v>46285</v>
          </cell>
          <cell r="C339" t="str">
            <v>王灵云</v>
          </cell>
          <cell r="D339" t="str">
            <v>原料入库</v>
          </cell>
          <cell r="E339" t="str">
            <v>NO:0000926</v>
          </cell>
          <cell r="F339" t="str">
            <v>香梨</v>
          </cell>
          <cell r="G339" t="str">
            <v>香梨副特</v>
          </cell>
          <cell r="H339">
            <v>77</v>
          </cell>
          <cell r="I339" t="str">
            <v>筐</v>
          </cell>
          <cell r="J339">
            <v>1409.1</v>
          </cell>
          <cell r="K339" t="str"/>
          <cell r="L339" t="str"/>
          <cell r="M339" t="str"/>
          <cell r="N339" t="str">
            <v>公司红周转筐</v>
          </cell>
          <cell r="O339" t="str"/>
          <cell r="P339" t="str"/>
          <cell r="Q339">
            <v>77</v>
          </cell>
          <cell r="R339" t="str">
            <v>新N*49209</v>
          </cell>
          <cell r="S339" t="str">
            <v>公司筐</v>
          </cell>
          <cell r="T339" t="str"/>
          <cell r="U339" t="str"/>
          <cell r="V339" t="str"/>
          <cell r="W339" t="str"/>
          <cell r="X339" t="str"/>
          <cell r="Y339" t="str"/>
        </row>
        <row r="339">
          <cell r="AA339" t="str"/>
          <cell r="AB339" t="str"/>
          <cell r="AC339" t="str"/>
          <cell r="AD339" t="str"/>
          <cell r="AE339" t="str"/>
          <cell r="AF339" t="str"/>
        </row>
        <row r="340">
          <cell r="B340">
            <v>46285</v>
          </cell>
          <cell r="C340" t="str">
            <v>王照雪</v>
          </cell>
          <cell r="D340" t="str">
            <v>原料入库</v>
          </cell>
          <cell r="E340" t="str">
            <v>NO:0000927</v>
          </cell>
          <cell r="F340" t="str">
            <v>苹果</v>
          </cell>
          <cell r="G340" t="str">
            <v>新世纪一级</v>
          </cell>
          <cell r="H340">
            <v>136</v>
          </cell>
          <cell r="I340" t="str">
            <v>筐</v>
          </cell>
          <cell r="J340">
            <v>2352.8</v>
          </cell>
          <cell r="K340" t="str"/>
          <cell r="L340" t="str"/>
          <cell r="M340" t="str"/>
          <cell r="N340" t="str">
            <v>公司杂周转筐</v>
          </cell>
          <cell r="O340" t="str"/>
          <cell r="P340" t="str"/>
          <cell r="Q340">
            <v>136</v>
          </cell>
          <cell r="R340" t="str">
            <v>豫L*88X19</v>
          </cell>
          <cell r="S340" t="str">
            <v>公司筐</v>
          </cell>
          <cell r="T340" t="str"/>
          <cell r="U340" t="str"/>
          <cell r="V340" t="str"/>
          <cell r="W340" t="str"/>
          <cell r="X340" t="str"/>
          <cell r="Y340" t="str"/>
        </row>
        <row r="340">
          <cell r="AA340" t="str"/>
          <cell r="AB340" t="str"/>
          <cell r="AC340" t="str"/>
          <cell r="AD340" t="str"/>
          <cell r="AE340" t="str"/>
          <cell r="AF340" t="str"/>
        </row>
        <row r="341">
          <cell r="B341">
            <v>46285</v>
          </cell>
          <cell r="C341" t="str">
            <v>王照雪</v>
          </cell>
          <cell r="D341" t="str">
            <v>原料入库</v>
          </cell>
          <cell r="E341" t="str">
            <v>NO:0000927</v>
          </cell>
          <cell r="F341" t="str">
            <v>苹果</v>
          </cell>
          <cell r="G341" t="str">
            <v>新世纪二级</v>
          </cell>
          <cell r="H341">
            <v>98</v>
          </cell>
          <cell r="I341" t="str">
            <v>筐</v>
          </cell>
          <cell r="J341">
            <v>1597.4</v>
          </cell>
          <cell r="K341" t="str"/>
          <cell r="L341" t="str"/>
          <cell r="M341" t="str"/>
          <cell r="N341" t="str">
            <v>公司杂周转筐</v>
          </cell>
          <cell r="O341" t="str"/>
          <cell r="P341" t="str"/>
          <cell r="Q341">
            <v>98</v>
          </cell>
          <cell r="R341" t="str">
            <v>豫L*88X19</v>
          </cell>
          <cell r="S341" t="str">
            <v>公司筐</v>
          </cell>
          <cell r="T341" t="str"/>
          <cell r="U341" t="str"/>
          <cell r="V341" t="str"/>
          <cell r="W341" t="str"/>
          <cell r="X341" t="str"/>
          <cell r="Y341" t="str"/>
        </row>
        <row r="341">
          <cell r="AA341" t="str"/>
          <cell r="AB341" t="str"/>
          <cell r="AC341" t="str"/>
          <cell r="AD341" t="str"/>
          <cell r="AE341" t="str"/>
          <cell r="AF341" t="str"/>
        </row>
        <row r="342">
          <cell r="B342">
            <v>46285</v>
          </cell>
          <cell r="C342" t="str">
            <v>王照雪</v>
          </cell>
          <cell r="D342" t="str">
            <v>原料入库</v>
          </cell>
          <cell r="E342" t="str">
            <v>NO:0000927</v>
          </cell>
          <cell r="F342" t="str">
            <v>苹果</v>
          </cell>
          <cell r="G342" t="str">
            <v>新世纪二级</v>
          </cell>
          <cell r="H342">
            <v>95</v>
          </cell>
          <cell r="I342" t="str">
            <v>筐</v>
          </cell>
          <cell r="J342">
            <v>1928.5</v>
          </cell>
          <cell r="K342" t="str"/>
          <cell r="L342" t="str"/>
          <cell r="M342" t="str"/>
          <cell r="N342" t="str">
            <v>公司杂周转筐</v>
          </cell>
          <cell r="O342" t="str"/>
          <cell r="P342" t="str"/>
          <cell r="Q342">
            <v>95</v>
          </cell>
          <cell r="R342" t="str">
            <v>豫L*88X19</v>
          </cell>
          <cell r="S342" t="str">
            <v>公司筐</v>
          </cell>
          <cell r="T342" t="str"/>
          <cell r="U342" t="str"/>
          <cell r="V342" t="str"/>
          <cell r="W342" t="str"/>
          <cell r="X342" t="str"/>
          <cell r="Y342" t="str"/>
        </row>
        <row r="342">
          <cell r="AA342" t="str"/>
          <cell r="AB342" t="str"/>
          <cell r="AC342" t="str"/>
          <cell r="AD342" t="str"/>
          <cell r="AE342" t="str"/>
          <cell r="AF342" t="str"/>
        </row>
        <row r="343">
          <cell r="B343">
            <v>46285</v>
          </cell>
          <cell r="C343" t="str">
            <v>王照雪</v>
          </cell>
          <cell r="D343" t="str">
            <v>原料入库</v>
          </cell>
          <cell r="E343" t="str">
            <v>NO:0000928</v>
          </cell>
          <cell r="F343" t="str">
            <v>苹果</v>
          </cell>
          <cell r="G343" t="str">
            <v>王林一级</v>
          </cell>
          <cell r="H343">
            <v>13</v>
          </cell>
          <cell r="I343" t="str">
            <v>筐</v>
          </cell>
          <cell r="J343">
            <v>198.9</v>
          </cell>
          <cell r="K343" t="str"/>
          <cell r="L343" t="str"/>
          <cell r="M343" t="str">
            <v>篮子装货入库后换公司筐</v>
          </cell>
          <cell r="N343" t="str">
            <v>公司杂周转筐</v>
          </cell>
          <cell r="O343" t="str"/>
          <cell r="P343" t="str"/>
          <cell r="Q343">
            <v>13</v>
          </cell>
          <cell r="R343" t="str">
            <v>三轮车</v>
          </cell>
          <cell r="S343" t="str">
            <v>公司筐</v>
          </cell>
          <cell r="T343" t="str"/>
          <cell r="U343" t="str"/>
          <cell r="V343" t="str"/>
          <cell r="W343" t="str"/>
          <cell r="X343" t="str"/>
          <cell r="Y343" t="str"/>
        </row>
        <row r="343">
          <cell r="AA343" t="str"/>
          <cell r="AB343" t="str"/>
          <cell r="AC343" t="str"/>
          <cell r="AD343" t="str"/>
          <cell r="AE343" t="str"/>
          <cell r="AF343" t="str"/>
        </row>
        <row r="344">
          <cell r="B344">
            <v>46285</v>
          </cell>
          <cell r="C344" t="str">
            <v>王照雪</v>
          </cell>
          <cell r="D344" t="str">
            <v>原料入库</v>
          </cell>
          <cell r="E344" t="str">
            <v>NO:0000928</v>
          </cell>
          <cell r="F344" t="str">
            <v>苹果</v>
          </cell>
          <cell r="G344" t="str">
            <v>早富士二级</v>
          </cell>
          <cell r="H344">
            <v>4</v>
          </cell>
          <cell r="I344" t="str">
            <v>筐</v>
          </cell>
          <cell r="J344">
            <v>89.2</v>
          </cell>
          <cell r="K344" t="str"/>
          <cell r="L344" t="str"/>
          <cell r="M344" t="str"/>
          <cell r="N344" t="str">
            <v>自备一次性筐</v>
          </cell>
          <cell r="O344" t="str"/>
          <cell r="P344" t="str"/>
          <cell r="Q344">
            <v>4</v>
          </cell>
          <cell r="R344" t="str">
            <v>三轮车</v>
          </cell>
          <cell r="S344" t="str">
            <v>自备筐</v>
          </cell>
          <cell r="T344" t="str"/>
          <cell r="U344" t="str"/>
          <cell r="V344" t="str"/>
          <cell r="W344" t="str"/>
          <cell r="X344" t="str"/>
          <cell r="Y344" t="str"/>
        </row>
        <row r="344">
          <cell r="AA344" t="str"/>
          <cell r="AB344" t="str"/>
          <cell r="AC344" t="str"/>
          <cell r="AD344" t="str"/>
          <cell r="AE344" t="str"/>
          <cell r="AF344" t="str"/>
        </row>
        <row r="345">
          <cell r="B345">
            <v>46286</v>
          </cell>
          <cell r="C345" t="str">
            <v>吐尔逊</v>
          </cell>
          <cell r="D345" t="str">
            <v>原料入库</v>
          </cell>
          <cell r="E345" t="str">
            <v>NO:0000930</v>
          </cell>
          <cell r="F345" t="str">
            <v>香梨</v>
          </cell>
          <cell r="G345" t="str">
            <v>香梨一级</v>
          </cell>
          <cell r="H345">
            <v>105</v>
          </cell>
          <cell r="I345" t="str">
            <v>筐</v>
          </cell>
          <cell r="J345">
            <v>1837.5</v>
          </cell>
          <cell r="K345" t="str"/>
          <cell r="L345" t="str"/>
          <cell r="M345" t="str"/>
          <cell r="N345" t="str">
            <v>公司一次性筐</v>
          </cell>
          <cell r="O345" t="str"/>
          <cell r="P345" t="str"/>
          <cell r="Q345">
            <v>105</v>
          </cell>
          <cell r="R345" t="str">
            <v>新A*NZ020</v>
          </cell>
          <cell r="S345" t="str">
            <v>公司筐</v>
          </cell>
          <cell r="T345" t="str"/>
          <cell r="U345" t="str"/>
          <cell r="V345" t="str"/>
          <cell r="W345" t="str"/>
          <cell r="X345" t="str"/>
          <cell r="Y345" t="str"/>
        </row>
        <row r="345">
          <cell r="AA345" t="str"/>
          <cell r="AB345" t="str"/>
          <cell r="AC345" t="str"/>
          <cell r="AD345" t="str"/>
          <cell r="AE345" t="str"/>
          <cell r="AF345" t="str"/>
        </row>
        <row r="346">
          <cell r="B346">
            <v>46286</v>
          </cell>
          <cell r="C346" t="str">
            <v>吐尔逊</v>
          </cell>
          <cell r="D346" t="str">
            <v>原料入库</v>
          </cell>
          <cell r="E346" t="str">
            <v>NO:0000930</v>
          </cell>
          <cell r="F346" t="str">
            <v>香梨</v>
          </cell>
          <cell r="G346" t="str">
            <v>香梨二级</v>
          </cell>
          <cell r="H346">
            <v>95</v>
          </cell>
          <cell r="I346" t="str">
            <v>筐</v>
          </cell>
          <cell r="J346">
            <v>2327.5</v>
          </cell>
          <cell r="K346" t="str"/>
          <cell r="L346" t="str"/>
          <cell r="M346" t="str"/>
          <cell r="N346" t="str">
            <v>公司一次性筐</v>
          </cell>
          <cell r="O346" t="str"/>
          <cell r="P346" t="str"/>
          <cell r="Q346">
            <v>95</v>
          </cell>
          <cell r="R346" t="str">
            <v>新A*NZ020</v>
          </cell>
          <cell r="S346" t="str">
            <v>公司筐</v>
          </cell>
          <cell r="T346" t="str"/>
          <cell r="U346" t="str"/>
          <cell r="V346" t="str"/>
          <cell r="W346" t="str"/>
          <cell r="X346" t="str"/>
          <cell r="Y346" t="str"/>
        </row>
        <row r="346">
          <cell r="AA346" t="str"/>
          <cell r="AB346" t="str"/>
          <cell r="AC346" t="str"/>
          <cell r="AD346" t="str"/>
          <cell r="AE346" t="str"/>
          <cell r="AF346" t="str"/>
        </row>
        <row r="347">
          <cell r="B347">
            <v>46286</v>
          </cell>
          <cell r="C347" t="str">
            <v>努尔敦</v>
          </cell>
          <cell r="D347" t="str">
            <v>原料入库</v>
          </cell>
          <cell r="E347" t="str">
            <v>NO:0000931</v>
          </cell>
          <cell r="F347" t="str">
            <v>香梨</v>
          </cell>
          <cell r="G347" t="str">
            <v>香梨特级</v>
          </cell>
          <cell r="H347">
            <v>215</v>
          </cell>
          <cell r="I347" t="str">
            <v>筐</v>
          </cell>
          <cell r="J347">
            <v>3934.5</v>
          </cell>
          <cell r="K347" t="str"/>
          <cell r="L347" t="str"/>
          <cell r="M347" t="str"/>
          <cell r="N347" t="str">
            <v>公司红周转筐</v>
          </cell>
          <cell r="O347" t="str"/>
          <cell r="P347" t="str"/>
          <cell r="Q347">
            <v>215</v>
          </cell>
          <cell r="R347" t="str">
            <v>新F*75240</v>
          </cell>
          <cell r="S347" t="str">
            <v>公司筐</v>
          </cell>
          <cell r="T347" t="str"/>
          <cell r="U347" t="str"/>
          <cell r="V347" t="str"/>
          <cell r="W347" t="str"/>
          <cell r="X347" t="str"/>
          <cell r="Y347" t="str"/>
        </row>
        <row r="347">
          <cell r="AA347" t="str"/>
          <cell r="AB347" t="str"/>
          <cell r="AC347" t="str"/>
          <cell r="AD347" t="str"/>
          <cell r="AE347" t="str"/>
          <cell r="AF347" t="str"/>
        </row>
        <row r="348">
          <cell r="B348">
            <v>46286</v>
          </cell>
          <cell r="C348" t="str">
            <v>努尔敦</v>
          </cell>
          <cell r="D348" t="str">
            <v>原料入库</v>
          </cell>
          <cell r="E348" t="str">
            <v>NO:0000931</v>
          </cell>
          <cell r="F348" t="str">
            <v>香梨</v>
          </cell>
          <cell r="G348" t="str">
            <v>香梨一级</v>
          </cell>
          <cell r="H348">
            <v>248</v>
          </cell>
          <cell r="I348" t="str">
            <v>筐</v>
          </cell>
          <cell r="J348">
            <v>4538.4</v>
          </cell>
          <cell r="K348" t="str"/>
          <cell r="L348" t="str"/>
          <cell r="M348" t="str"/>
          <cell r="N348" t="str">
            <v>公司红周转筐</v>
          </cell>
          <cell r="O348" t="str"/>
          <cell r="P348" t="str"/>
          <cell r="Q348">
            <v>248</v>
          </cell>
          <cell r="R348" t="str">
            <v>新F*75240</v>
          </cell>
          <cell r="S348" t="str">
            <v>公司筐</v>
          </cell>
          <cell r="T348" t="str"/>
          <cell r="U348" t="str"/>
          <cell r="V348" t="str"/>
          <cell r="W348" t="str"/>
          <cell r="X348" t="str"/>
          <cell r="Y348" t="str"/>
        </row>
        <row r="348">
          <cell r="AA348" t="str"/>
          <cell r="AB348" t="str"/>
          <cell r="AC348" t="str"/>
          <cell r="AD348" t="str"/>
          <cell r="AE348" t="str"/>
          <cell r="AF348" t="str"/>
        </row>
        <row r="349">
          <cell r="B349">
            <v>46286</v>
          </cell>
          <cell r="C349" t="str">
            <v>努尔敦</v>
          </cell>
          <cell r="D349" t="str">
            <v>原料入库</v>
          </cell>
          <cell r="E349" t="str">
            <v>NO:0000931</v>
          </cell>
          <cell r="F349" t="str">
            <v>香梨</v>
          </cell>
          <cell r="G349" t="str">
            <v>香梨二级</v>
          </cell>
          <cell r="H349">
            <v>187</v>
          </cell>
          <cell r="I349" t="str">
            <v>筐</v>
          </cell>
          <cell r="J349">
            <v>4207.5</v>
          </cell>
          <cell r="K349" t="str"/>
          <cell r="L349" t="str"/>
          <cell r="M349" t="str"/>
          <cell r="N349" t="str">
            <v>公司红周转筐</v>
          </cell>
          <cell r="O349" t="str"/>
          <cell r="P349" t="str"/>
          <cell r="Q349">
            <v>187</v>
          </cell>
          <cell r="R349" t="str">
            <v>新F*75240</v>
          </cell>
          <cell r="S349" t="str">
            <v>公司筐</v>
          </cell>
          <cell r="T349" t="str"/>
          <cell r="U349" t="str"/>
          <cell r="V349" t="str"/>
          <cell r="W349" t="str"/>
          <cell r="X349" t="str"/>
          <cell r="Y349" t="str"/>
        </row>
        <row r="349">
          <cell r="AA349" t="str"/>
          <cell r="AB349" t="str"/>
          <cell r="AC349" t="str"/>
          <cell r="AD349" t="str"/>
          <cell r="AE349" t="str"/>
          <cell r="AF349" t="str"/>
        </row>
        <row r="350">
          <cell r="B350">
            <v>46286</v>
          </cell>
          <cell r="C350" t="str">
            <v>艾则孜</v>
          </cell>
          <cell r="D350" t="str">
            <v>原料入库</v>
          </cell>
          <cell r="E350" t="str">
            <v>NO:0000934</v>
          </cell>
          <cell r="F350" t="str">
            <v>香梨</v>
          </cell>
          <cell r="G350" t="str">
            <v>香梨一级</v>
          </cell>
          <cell r="H350">
            <v>340</v>
          </cell>
          <cell r="I350" t="str">
            <v>筐</v>
          </cell>
          <cell r="J350">
            <v>6562</v>
          </cell>
          <cell r="K350" t="str"/>
          <cell r="L350" t="str"/>
          <cell r="M350" t="str">
            <v>热合曼</v>
          </cell>
          <cell r="N350" t="str">
            <v>公司红周转筐</v>
          </cell>
          <cell r="O350" t="str"/>
          <cell r="P350" t="str"/>
          <cell r="Q350">
            <v>340</v>
          </cell>
          <cell r="R350" t="str">
            <v>新R*37010</v>
          </cell>
          <cell r="S350" t="str">
            <v>公司筐</v>
          </cell>
          <cell r="T350" t="str"/>
          <cell r="U350" t="str"/>
          <cell r="V350" t="str"/>
          <cell r="W350" t="str"/>
          <cell r="X350" t="str"/>
          <cell r="Y350" t="str"/>
        </row>
        <row r="350">
          <cell r="AA350" t="str"/>
          <cell r="AB350" t="str"/>
          <cell r="AC350" t="str"/>
          <cell r="AD350" t="str"/>
          <cell r="AE350" t="str"/>
          <cell r="AF350" t="str"/>
        </row>
        <row r="351">
          <cell r="B351">
            <v>46286</v>
          </cell>
          <cell r="C351" t="str">
            <v>艾则孜</v>
          </cell>
          <cell r="D351" t="str">
            <v>原料入库</v>
          </cell>
          <cell r="E351" t="str">
            <v>NO:0000934</v>
          </cell>
          <cell r="F351" t="str">
            <v>香梨</v>
          </cell>
          <cell r="G351" t="str">
            <v>香梨二级</v>
          </cell>
          <cell r="H351">
            <v>74</v>
          </cell>
          <cell r="I351" t="str">
            <v>筐</v>
          </cell>
          <cell r="J351">
            <v>1650.2</v>
          </cell>
          <cell r="K351" t="str"/>
          <cell r="L351" t="str"/>
          <cell r="M351" t="str">
            <v>热合曼</v>
          </cell>
          <cell r="N351" t="str">
            <v>公司红周转筐</v>
          </cell>
          <cell r="O351" t="str"/>
          <cell r="P351" t="str"/>
          <cell r="Q351">
            <v>74</v>
          </cell>
          <cell r="R351" t="str">
            <v>新R*37010</v>
          </cell>
          <cell r="S351" t="str">
            <v>公司筐</v>
          </cell>
          <cell r="T351" t="str"/>
          <cell r="U351" t="str"/>
          <cell r="V351" t="str"/>
          <cell r="W351" t="str"/>
          <cell r="X351" t="str"/>
          <cell r="Y351" t="str"/>
        </row>
        <row r="351">
          <cell r="AA351" t="str"/>
          <cell r="AB351" t="str"/>
          <cell r="AC351" t="str"/>
          <cell r="AD351" t="str"/>
          <cell r="AE351" t="str"/>
          <cell r="AF351" t="str"/>
        </row>
        <row r="352">
          <cell r="B352">
            <v>46286</v>
          </cell>
          <cell r="C352" t="str">
            <v>艾则孜</v>
          </cell>
          <cell r="D352" t="str">
            <v>原料入库</v>
          </cell>
          <cell r="E352" t="str">
            <v>NO:0000934</v>
          </cell>
          <cell r="F352" t="str">
            <v>香梨</v>
          </cell>
          <cell r="G352" t="str">
            <v>香梨副特</v>
          </cell>
          <cell r="H352">
            <v>155</v>
          </cell>
          <cell r="I352" t="str">
            <v>筐</v>
          </cell>
          <cell r="J352">
            <v>2991.5</v>
          </cell>
          <cell r="K352" t="str"/>
          <cell r="L352" t="str"/>
          <cell r="M352" t="str">
            <v>热合曼</v>
          </cell>
          <cell r="N352" t="str">
            <v>公司红周转筐</v>
          </cell>
          <cell r="O352" t="str"/>
          <cell r="P352" t="str"/>
          <cell r="Q352">
            <v>155</v>
          </cell>
          <cell r="R352" t="str">
            <v>新R*37010</v>
          </cell>
          <cell r="S352" t="str">
            <v>公司筐</v>
          </cell>
          <cell r="T352" t="str"/>
          <cell r="U352" t="str"/>
          <cell r="V352" t="str"/>
          <cell r="W352" t="str"/>
          <cell r="X352" t="str"/>
          <cell r="Y352" t="str"/>
        </row>
        <row r="352">
          <cell r="AA352" t="str"/>
          <cell r="AB352" t="str"/>
          <cell r="AC352" t="str"/>
          <cell r="AD352" t="str"/>
          <cell r="AE352" t="str"/>
          <cell r="AF352" t="str"/>
        </row>
        <row r="353">
          <cell r="B353">
            <v>46286</v>
          </cell>
          <cell r="C353" t="str">
            <v>王照雪</v>
          </cell>
          <cell r="D353" t="str">
            <v>原料入库</v>
          </cell>
          <cell r="E353" t="str">
            <v>NO:0000935</v>
          </cell>
          <cell r="F353" t="str">
            <v>香梨</v>
          </cell>
          <cell r="G353" t="str">
            <v>香梨一级</v>
          </cell>
          <cell r="H353">
            <v>175</v>
          </cell>
          <cell r="I353" t="str">
            <v>筐</v>
          </cell>
          <cell r="J353">
            <v>3412.5</v>
          </cell>
          <cell r="K353" t="str"/>
          <cell r="L353" t="str"/>
          <cell r="M353" t="str"/>
          <cell r="N353" t="str">
            <v>公司一次性筐</v>
          </cell>
          <cell r="O353" t="str"/>
          <cell r="P353" t="str"/>
          <cell r="Q353">
            <v>175</v>
          </cell>
          <cell r="R353" t="str">
            <v>豫L*88X19</v>
          </cell>
          <cell r="S353" t="str">
            <v>公司筐</v>
          </cell>
          <cell r="T353" t="str"/>
          <cell r="U353" t="str"/>
          <cell r="V353" t="str"/>
          <cell r="W353" t="str"/>
          <cell r="X353" t="str"/>
          <cell r="Y353" t="str"/>
        </row>
        <row r="353">
          <cell r="AA353" t="str"/>
          <cell r="AB353" t="str"/>
          <cell r="AC353" t="str"/>
          <cell r="AD353" t="str"/>
          <cell r="AE353" t="str"/>
          <cell r="AF353" t="str"/>
        </row>
        <row r="354">
          <cell r="B354">
            <v>46286</v>
          </cell>
          <cell r="C354" t="str">
            <v>王照雪</v>
          </cell>
          <cell r="D354" t="str">
            <v>原料入库</v>
          </cell>
          <cell r="E354" t="str">
            <v>NO:0000935</v>
          </cell>
          <cell r="F354" t="str">
            <v>香梨</v>
          </cell>
          <cell r="G354" t="str">
            <v>香梨二级</v>
          </cell>
          <cell r="H354">
            <v>21</v>
          </cell>
          <cell r="I354" t="str">
            <v>筐</v>
          </cell>
          <cell r="J354">
            <v>472.5</v>
          </cell>
          <cell r="K354" t="str"/>
          <cell r="L354" t="str"/>
          <cell r="M354" t="str"/>
          <cell r="N354" t="str">
            <v>公司一次性筐</v>
          </cell>
          <cell r="O354" t="str"/>
          <cell r="P354" t="str"/>
          <cell r="Q354">
            <v>21</v>
          </cell>
          <cell r="R354" t="str">
            <v>豫L*88X19</v>
          </cell>
          <cell r="S354" t="str">
            <v>公司筐</v>
          </cell>
          <cell r="T354" t="str"/>
          <cell r="U354" t="str"/>
          <cell r="V354" t="str"/>
          <cell r="W354" t="str"/>
          <cell r="X354" t="str"/>
          <cell r="Y354" t="str"/>
        </row>
        <row r="354">
          <cell r="AA354" t="str"/>
          <cell r="AB354" t="str"/>
          <cell r="AC354" t="str"/>
          <cell r="AD354" t="str"/>
          <cell r="AE354" t="str"/>
          <cell r="AF354" t="str"/>
        </row>
        <row r="355">
          <cell r="B355">
            <v>46286</v>
          </cell>
          <cell r="C355" t="str">
            <v>王照雪</v>
          </cell>
          <cell r="D355" t="str">
            <v>原料入库</v>
          </cell>
          <cell r="E355" t="str">
            <v>NO:0000935</v>
          </cell>
          <cell r="F355" t="str">
            <v>香梨</v>
          </cell>
          <cell r="G355" t="str">
            <v>香梨副特</v>
          </cell>
          <cell r="H355">
            <v>133</v>
          </cell>
          <cell r="I355" t="str">
            <v>筐</v>
          </cell>
          <cell r="J355">
            <v>2593.5</v>
          </cell>
          <cell r="K355" t="str"/>
          <cell r="L355" t="str"/>
          <cell r="M355" t="str"/>
          <cell r="N355" t="str">
            <v>公司一次性筐</v>
          </cell>
          <cell r="O355" t="str"/>
          <cell r="P355" t="str"/>
          <cell r="Q355">
            <v>133</v>
          </cell>
          <cell r="R355" t="str">
            <v>豫L*88X19</v>
          </cell>
          <cell r="S355" t="str">
            <v>公司筐</v>
          </cell>
          <cell r="T355" t="str"/>
          <cell r="U355" t="str"/>
          <cell r="V355" t="str"/>
          <cell r="W355" t="str"/>
          <cell r="X355" t="str"/>
          <cell r="Y355" t="str"/>
        </row>
        <row r="355">
          <cell r="AA355" t="str"/>
          <cell r="AB355" t="str"/>
          <cell r="AC355" t="str"/>
          <cell r="AD355" t="str"/>
          <cell r="AE355" t="str"/>
          <cell r="AF355" t="str"/>
        </row>
        <row r="356">
          <cell r="B356">
            <v>46286</v>
          </cell>
          <cell r="C356" t="str">
            <v>马锦祥</v>
          </cell>
          <cell r="D356" t="str">
            <v>原料入库</v>
          </cell>
          <cell r="E356" t="str">
            <v>NO:0000936</v>
          </cell>
          <cell r="F356" t="str">
            <v>苹果</v>
          </cell>
          <cell r="G356" t="str">
            <v>早富士一级</v>
          </cell>
          <cell r="H356">
            <v>35</v>
          </cell>
          <cell r="I356" t="str">
            <v>筐</v>
          </cell>
          <cell r="J356">
            <v>605.5</v>
          </cell>
          <cell r="K356" t="str"/>
          <cell r="L356" t="str"/>
          <cell r="M356" t="str"/>
          <cell r="N356" t="str">
            <v>公司杂周转筐</v>
          </cell>
          <cell r="O356" t="str"/>
          <cell r="P356" t="str"/>
          <cell r="Q356">
            <v>35</v>
          </cell>
          <cell r="R356" t="str">
            <v>新N*B6R39</v>
          </cell>
          <cell r="S356" t="str">
            <v>公司筐</v>
          </cell>
          <cell r="T356" t="str"/>
          <cell r="U356" t="str"/>
          <cell r="V356" t="str"/>
          <cell r="W356" t="str"/>
          <cell r="X356" t="str"/>
          <cell r="Y356" t="str"/>
        </row>
        <row r="356">
          <cell r="AA356" t="str"/>
          <cell r="AB356" t="str"/>
          <cell r="AC356" t="str"/>
          <cell r="AD356" t="str"/>
          <cell r="AE356" t="str"/>
          <cell r="AF356" t="str"/>
        </row>
        <row r="357">
          <cell r="B357">
            <v>46286</v>
          </cell>
          <cell r="C357" t="str">
            <v>马锦祥</v>
          </cell>
          <cell r="D357" t="str">
            <v>原料入库</v>
          </cell>
          <cell r="E357" t="str">
            <v>NO:0000936</v>
          </cell>
          <cell r="F357" t="str">
            <v>苹果</v>
          </cell>
          <cell r="G357" t="str">
            <v>早富士二级</v>
          </cell>
          <cell r="H357">
            <v>4</v>
          </cell>
          <cell r="I357" t="str">
            <v>筐</v>
          </cell>
          <cell r="J357">
            <v>69.2</v>
          </cell>
          <cell r="K357" t="str"/>
          <cell r="L357" t="str"/>
          <cell r="M357" t="str"/>
          <cell r="N357" t="str">
            <v>公司杂周转筐</v>
          </cell>
          <cell r="O357" t="str"/>
          <cell r="P357" t="str"/>
          <cell r="Q357">
            <v>4</v>
          </cell>
          <cell r="R357" t="str">
            <v>新N*B6R39</v>
          </cell>
          <cell r="S357" t="str">
            <v>公司筐</v>
          </cell>
          <cell r="T357" t="str"/>
          <cell r="U357" t="str"/>
          <cell r="V357" t="str"/>
          <cell r="W357" t="str"/>
          <cell r="X357" t="str"/>
          <cell r="Y357" t="str"/>
        </row>
        <row r="357">
          <cell r="AA357" t="str"/>
          <cell r="AB357" t="str"/>
          <cell r="AC357" t="str"/>
          <cell r="AD357" t="str"/>
          <cell r="AE357" t="str"/>
          <cell r="AF357" t="str"/>
        </row>
        <row r="358">
          <cell r="B358">
            <v>46286</v>
          </cell>
          <cell r="C358" t="str">
            <v>热合曼+艾则孜</v>
          </cell>
          <cell r="D358" t="str">
            <v>原料入库</v>
          </cell>
          <cell r="E358" t="str">
            <v>NO:0000940</v>
          </cell>
          <cell r="F358" t="str">
            <v>香梨</v>
          </cell>
          <cell r="G358" t="str">
            <v>香梨一级</v>
          </cell>
          <cell r="H358">
            <v>318</v>
          </cell>
          <cell r="I358" t="str">
            <v>筐</v>
          </cell>
          <cell r="J358">
            <v>5819.4</v>
          </cell>
          <cell r="K358" t="str"/>
          <cell r="L358" t="str"/>
          <cell r="M358" t="str">
            <v>热合曼合伙</v>
          </cell>
          <cell r="N358" t="str">
            <v>公司红周转筐</v>
          </cell>
          <cell r="O358" t="str"/>
          <cell r="P358" t="str"/>
          <cell r="Q358">
            <v>318</v>
          </cell>
          <cell r="R358" t="str">
            <v>新A*G0554</v>
          </cell>
          <cell r="S358" t="str">
            <v>公司筐</v>
          </cell>
          <cell r="T358" t="str"/>
          <cell r="U358" t="str"/>
          <cell r="V358" t="str"/>
          <cell r="W358" t="str"/>
          <cell r="X358" t="str"/>
          <cell r="Y358" t="str"/>
        </row>
        <row r="358">
          <cell r="AA358" t="str"/>
          <cell r="AB358" t="str"/>
          <cell r="AC358" t="str"/>
          <cell r="AD358" t="str"/>
          <cell r="AE358" t="str"/>
          <cell r="AF358" t="str"/>
        </row>
        <row r="359">
          <cell r="B359">
            <v>46286</v>
          </cell>
          <cell r="C359" t="str">
            <v>热合曼+艾则孜</v>
          </cell>
          <cell r="D359" t="str">
            <v>原料入库</v>
          </cell>
          <cell r="E359" t="str">
            <v>NO:0000940</v>
          </cell>
          <cell r="F359" t="str">
            <v>香梨</v>
          </cell>
          <cell r="G359" t="str">
            <v>香梨二级</v>
          </cell>
          <cell r="H359">
            <v>204</v>
          </cell>
          <cell r="I359" t="str">
            <v>筐</v>
          </cell>
          <cell r="J359">
            <v>4549.2</v>
          </cell>
          <cell r="K359" t="str"/>
          <cell r="L359" t="str"/>
          <cell r="M359" t="str">
            <v>热合曼合伙</v>
          </cell>
          <cell r="N359" t="str">
            <v>公司红周转筐</v>
          </cell>
          <cell r="O359" t="str"/>
          <cell r="P359" t="str"/>
          <cell r="Q359">
            <v>204</v>
          </cell>
          <cell r="R359" t="str">
            <v>新A*G0554</v>
          </cell>
          <cell r="S359" t="str">
            <v>公司筐</v>
          </cell>
          <cell r="T359" t="str"/>
          <cell r="U359" t="str"/>
          <cell r="V359" t="str"/>
          <cell r="W359" t="str"/>
          <cell r="X359" t="str"/>
          <cell r="Y359" t="str"/>
        </row>
        <row r="359">
          <cell r="AA359" t="str"/>
          <cell r="AB359" t="str"/>
          <cell r="AC359" t="str"/>
          <cell r="AD359" t="str"/>
          <cell r="AE359" t="str"/>
          <cell r="AF359" t="str"/>
        </row>
        <row r="360">
          <cell r="B360">
            <v>46286</v>
          </cell>
          <cell r="C360" t="str">
            <v>热合曼+艾则孜</v>
          </cell>
          <cell r="D360" t="str">
            <v>原料入库</v>
          </cell>
          <cell r="E360" t="str">
            <v>NO:0000940</v>
          </cell>
          <cell r="F360" t="str">
            <v>香梨</v>
          </cell>
          <cell r="G360" t="str">
            <v>香梨副特</v>
          </cell>
          <cell r="H360">
            <v>120</v>
          </cell>
          <cell r="I360" t="str">
            <v>筐</v>
          </cell>
          <cell r="J360">
            <v>2196</v>
          </cell>
          <cell r="K360" t="str"/>
          <cell r="L360" t="str"/>
          <cell r="M360" t="str">
            <v>热合曼合伙</v>
          </cell>
          <cell r="N360" t="str">
            <v>公司红周转筐</v>
          </cell>
          <cell r="O360" t="str"/>
          <cell r="P360" t="str"/>
          <cell r="Q360">
            <v>120</v>
          </cell>
          <cell r="R360" t="str">
            <v>新A*G0554</v>
          </cell>
          <cell r="S360" t="str">
            <v>公司筐</v>
          </cell>
          <cell r="T360" t="str"/>
          <cell r="U360" t="str"/>
          <cell r="V360" t="str"/>
          <cell r="W360" t="str"/>
          <cell r="X360" t="str"/>
          <cell r="Y360" t="str"/>
        </row>
        <row r="360">
          <cell r="AA360" t="str"/>
          <cell r="AB360" t="str"/>
          <cell r="AC360" t="str"/>
          <cell r="AD360" t="str"/>
          <cell r="AE360" t="str"/>
          <cell r="AF360" t="str"/>
        </row>
        <row r="361">
          <cell r="B361">
            <v>46286</v>
          </cell>
          <cell r="C361" t="str">
            <v>荆建君</v>
          </cell>
          <cell r="D361" t="str">
            <v>原料入库</v>
          </cell>
          <cell r="E361" t="str">
            <v>NO:0000942</v>
          </cell>
          <cell r="F361" t="str">
            <v>香梨</v>
          </cell>
          <cell r="G361" t="str">
            <v>香梨一级</v>
          </cell>
          <cell r="H361">
            <v>312</v>
          </cell>
          <cell r="I361" t="str">
            <v>筐</v>
          </cell>
          <cell r="J361">
            <v>5709.6</v>
          </cell>
          <cell r="K361" t="str"/>
          <cell r="L361" t="str"/>
          <cell r="M361" t="str"/>
          <cell r="N361" t="str">
            <v>公司红周转筐</v>
          </cell>
          <cell r="O361" t="str"/>
          <cell r="P361" t="str"/>
          <cell r="Q361">
            <v>312</v>
          </cell>
          <cell r="R361" t="str">
            <v>豫A*2737K</v>
          </cell>
          <cell r="S361" t="str">
            <v>公司筐</v>
          </cell>
          <cell r="T361" t="str"/>
          <cell r="U361" t="str"/>
          <cell r="V361" t="str"/>
          <cell r="W361" t="str"/>
          <cell r="X361" t="str"/>
          <cell r="Y361" t="str"/>
        </row>
        <row r="361">
          <cell r="AA361" t="str"/>
          <cell r="AB361" t="str"/>
          <cell r="AC361" t="str"/>
          <cell r="AD361" t="str"/>
          <cell r="AE361" t="str"/>
          <cell r="AF361" t="str"/>
        </row>
        <row r="362">
          <cell r="B362">
            <v>46286</v>
          </cell>
          <cell r="C362" t="str">
            <v>荆建君</v>
          </cell>
          <cell r="D362" t="str">
            <v>原料入库</v>
          </cell>
          <cell r="E362" t="str">
            <v>NO:0000942</v>
          </cell>
          <cell r="F362" t="str">
            <v>香梨</v>
          </cell>
          <cell r="G362" t="str">
            <v>香梨二级</v>
          </cell>
          <cell r="H362">
            <v>336</v>
          </cell>
          <cell r="I362" t="str">
            <v>筐</v>
          </cell>
          <cell r="J362">
            <v>6148.8</v>
          </cell>
          <cell r="K362" t="str"/>
          <cell r="L362" t="str"/>
          <cell r="M362" t="str"/>
          <cell r="N362" t="str">
            <v>公司红周转筐</v>
          </cell>
          <cell r="O362" t="str"/>
          <cell r="P362" t="str"/>
          <cell r="Q362">
            <v>336</v>
          </cell>
          <cell r="R362" t="str">
            <v>豫A*2737K</v>
          </cell>
          <cell r="S362" t="str">
            <v>公司筐</v>
          </cell>
          <cell r="T362" t="str"/>
          <cell r="U362" t="str"/>
          <cell r="V362" t="str"/>
          <cell r="W362" t="str"/>
          <cell r="X362" t="str"/>
          <cell r="Y362" t="str"/>
        </row>
        <row r="362">
          <cell r="AA362" t="str"/>
          <cell r="AB362" t="str"/>
          <cell r="AC362" t="str"/>
          <cell r="AD362" t="str"/>
          <cell r="AE362" t="str"/>
          <cell r="AF362" t="str"/>
        </row>
        <row r="363">
          <cell r="B363">
            <v>46286</v>
          </cell>
          <cell r="C363" t="str">
            <v>王灵云</v>
          </cell>
          <cell r="D363" t="str">
            <v>原料入库</v>
          </cell>
          <cell r="E363" t="str">
            <v>NO:0000943</v>
          </cell>
          <cell r="F363" t="str">
            <v>香梨</v>
          </cell>
          <cell r="G363" t="str">
            <v>香梨一级</v>
          </cell>
          <cell r="H363">
            <v>616</v>
          </cell>
          <cell r="I363" t="str">
            <v>筐</v>
          </cell>
          <cell r="J363">
            <v>11272.8</v>
          </cell>
          <cell r="K363" t="str"/>
          <cell r="L363" t="str"/>
          <cell r="M363" t="str">
            <v>左</v>
          </cell>
          <cell r="N363" t="str">
            <v>公司红周转筐</v>
          </cell>
          <cell r="O363" t="str"/>
          <cell r="P363" t="str"/>
          <cell r="Q363">
            <v>616</v>
          </cell>
          <cell r="R363" t="str">
            <v>新N*49209</v>
          </cell>
          <cell r="S363" t="str">
            <v>公司筐</v>
          </cell>
          <cell r="T363" t="str"/>
          <cell r="U363" t="str"/>
          <cell r="V363" t="str"/>
          <cell r="W363" t="str"/>
          <cell r="X363" t="str"/>
          <cell r="Y363" t="str"/>
        </row>
        <row r="363">
          <cell r="AA363" t="str"/>
          <cell r="AB363" t="str"/>
          <cell r="AC363" t="str"/>
          <cell r="AD363" t="str"/>
          <cell r="AE363" t="str"/>
          <cell r="AF363" t="str"/>
        </row>
        <row r="364">
          <cell r="B364">
            <v>46286</v>
          </cell>
          <cell r="C364" t="str">
            <v>王灵云</v>
          </cell>
          <cell r="D364" t="str">
            <v>原料入库</v>
          </cell>
          <cell r="E364" t="str">
            <v>NO:0000943</v>
          </cell>
          <cell r="F364" t="str">
            <v>香梨</v>
          </cell>
          <cell r="G364" t="str">
            <v>香梨二级</v>
          </cell>
          <cell r="H364">
            <v>24</v>
          </cell>
          <cell r="I364" t="str">
            <v>筐</v>
          </cell>
          <cell r="J364">
            <v>559.2</v>
          </cell>
          <cell r="K364" t="str"/>
          <cell r="L364" t="str"/>
          <cell r="M364" t="str">
            <v>左</v>
          </cell>
          <cell r="N364" t="str">
            <v>公司红周转筐</v>
          </cell>
          <cell r="O364" t="str"/>
          <cell r="P364" t="str"/>
          <cell r="Q364">
            <v>24</v>
          </cell>
          <cell r="R364" t="str">
            <v>新N*49209</v>
          </cell>
          <cell r="S364" t="str">
            <v>公司筐</v>
          </cell>
          <cell r="T364" t="str"/>
          <cell r="U364" t="str"/>
          <cell r="V364" t="str"/>
          <cell r="W364" t="str"/>
          <cell r="X364" t="str"/>
          <cell r="Y364" t="str"/>
        </row>
        <row r="364">
          <cell r="AA364" t="str"/>
          <cell r="AB364" t="str"/>
          <cell r="AC364" t="str"/>
          <cell r="AD364" t="str"/>
          <cell r="AE364" t="str"/>
          <cell r="AF364" t="str"/>
        </row>
        <row r="365">
          <cell r="B365">
            <v>46286</v>
          </cell>
          <cell r="C365" t="str">
            <v>阿布都</v>
          </cell>
          <cell r="D365" t="str">
            <v>原料入库</v>
          </cell>
          <cell r="E365" t="str">
            <v>NO:0000944</v>
          </cell>
          <cell r="F365" t="str">
            <v>香梨</v>
          </cell>
          <cell r="G365" t="str">
            <v>香梨特级</v>
          </cell>
          <cell r="H365">
            <v>139</v>
          </cell>
          <cell r="I365" t="str">
            <v>筐</v>
          </cell>
          <cell r="J365">
            <v>2543.7</v>
          </cell>
          <cell r="K365" t="str"/>
          <cell r="L365" t="str"/>
          <cell r="M365" t="str">
            <v>努尔敦</v>
          </cell>
          <cell r="N365" t="str">
            <v>公司红周转筐</v>
          </cell>
          <cell r="O365" t="str"/>
          <cell r="P365" t="str"/>
          <cell r="Q365">
            <v>139</v>
          </cell>
          <cell r="R365" t="str">
            <v>新N*F0M01</v>
          </cell>
          <cell r="S365" t="str">
            <v>公司筐</v>
          </cell>
          <cell r="T365" t="str"/>
          <cell r="U365" t="str"/>
          <cell r="V365" t="str"/>
          <cell r="W365" t="str"/>
          <cell r="X365" t="str"/>
          <cell r="Y365" t="str"/>
        </row>
        <row r="365">
          <cell r="AA365" t="str"/>
          <cell r="AB365" t="str"/>
          <cell r="AC365" t="str"/>
          <cell r="AD365" t="str"/>
          <cell r="AE365" t="str"/>
          <cell r="AF365" t="str"/>
        </row>
        <row r="366">
          <cell r="B366">
            <v>46286</v>
          </cell>
          <cell r="C366" t="str">
            <v>阿布都</v>
          </cell>
          <cell r="D366" t="str">
            <v>原料入库</v>
          </cell>
          <cell r="E366" t="str">
            <v>NO:0000944</v>
          </cell>
          <cell r="F366" t="str">
            <v>香梨</v>
          </cell>
          <cell r="G366" t="str">
            <v>香梨一级</v>
          </cell>
          <cell r="H366">
            <v>56</v>
          </cell>
          <cell r="I366" t="str">
            <v>筐</v>
          </cell>
          <cell r="J366">
            <v>1024.8</v>
          </cell>
          <cell r="K366" t="str"/>
          <cell r="L366" t="str"/>
          <cell r="M366" t="str">
            <v>努尔敦</v>
          </cell>
          <cell r="N366" t="str">
            <v>公司红周转筐</v>
          </cell>
          <cell r="O366" t="str"/>
          <cell r="P366" t="str"/>
          <cell r="Q366">
            <v>56</v>
          </cell>
          <cell r="R366" t="str">
            <v>新N*F0M01</v>
          </cell>
          <cell r="S366" t="str">
            <v>公司筐</v>
          </cell>
          <cell r="T366" t="str"/>
          <cell r="U366" t="str"/>
          <cell r="V366" t="str"/>
          <cell r="W366" t="str"/>
          <cell r="X366" t="str"/>
          <cell r="Y366" t="str"/>
        </row>
        <row r="366">
          <cell r="AA366" t="str"/>
          <cell r="AB366" t="str"/>
          <cell r="AC366" t="str"/>
          <cell r="AD366" t="str"/>
          <cell r="AE366" t="str"/>
          <cell r="AF366" t="str"/>
        </row>
        <row r="367">
          <cell r="B367">
            <v>46286</v>
          </cell>
          <cell r="C367" t="str">
            <v>阿布都</v>
          </cell>
          <cell r="D367" t="str">
            <v>原料入库</v>
          </cell>
          <cell r="E367" t="str">
            <v>NO:0000944</v>
          </cell>
          <cell r="F367" t="str">
            <v>香梨</v>
          </cell>
          <cell r="G367" t="str">
            <v>香梨副特</v>
          </cell>
          <cell r="H367">
            <v>122</v>
          </cell>
          <cell r="I367" t="str">
            <v>筐</v>
          </cell>
          <cell r="J367">
            <v>2232.6</v>
          </cell>
          <cell r="K367" t="str"/>
          <cell r="L367" t="str"/>
          <cell r="M367" t="str">
            <v>努尔敦</v>
          </cell>
          <cell r="N367" t="str">
            <v>公司红周转筐</v>
          </cell>
          <cell r="O367" t="str"/>
          <cell r="P367" t="str"/>
          <cell r="Q367">
            <v>122</v>
          </cell>
          <cell r="R367" t="str">
            <v>新N*F0M01</v>
          </cell>
          <cell r="S367" t="str">
            <v>公司筐</v>
          </cell>
          <cell r="T367" t="str"/>
          <cell r="U367" t="str"/>
          <cell r="V367" t="str"/>
          <cell r="W367" t="str"/>
          <cell r="X367" t="str"/>
          <cell r="Y367" t="str"/>
        </row>
        <row r="367">
          <cell r="AA367" t="str"/>
          <cell r="AB367" t="str"/>
          <cell r="AC367" t="str"/>
          <cell r="AD367" t="str"/>
          <cell r="AE367" t="str"/>
          <cell r="AF367" t="str"/>
        </row>
        <row r="368">
          <cell r="B368">
            <v>46286</v>
          </cell>
          <cell r="C368" t="str">
            <v>王照雪</v>
          </cell>
          <cell r="D368" t="str">
            <v>原料入库</v>
          </cell>
          <cell r="E368" t="str">
            <v>NO:0000945</v>
          </cell>
          <cell r="F368" t="str">
            <v>苹果</v>
          </cell>
          <cell r="G368" t="str">
            <v>新世纪一级</v>
          </cell>
          <cell r="H368">
            <v>38</v>
          </cell>
          <cell r="I368" t="str">
            <v>筐</v>
          </cell>
          <cell r="J368">
            <v>657.4</v>
          </cell>
          <cell r="K368" t="str"/>
          <cell r="L368" t="str"/>
          <cell r="M368" t="str"/>
          <cell r="N368" t="str">
            <v>公司杂周转筐</v>
          </cell>
          <cell r="O368" t="str"/>
          <cell r="P368" t="str"/>
          <cell r="Q368">
            <v>38</v>
          </cell>
          <cell r="R368" t="str">
            <v>豫L*88X19</v>
          </cell>
          <cell r="S368" t="str">
            <v>公司筐</v>
          </cell>
          <cell r="T368" t="str"/>
          <cell r="U368" t="str"/>
          <cell r="V368" t="str"/>
          <cell r="W368" t="str"/>
          <cell r="X368" t="str"/>
          <cell r="Y368" t="str"/>
        </row>
        <row r="368">
          <cell r="AA368" t="str"/>
          <cell r="AB368" t="str"/>
          <cell r="AC368" t="str"/>
          <cell r="AD368" t="str"/>
          <cell r="AE368" t="str"/>
          <cell r="AF368" t="str"/>
        </row>
        <row r="369">
          <cell r="B369">
            <v>46286</v>
          </cell>
          <cell r="C369" t="str">
            <v>王照雪</v>
          </cell>
          <cell r="D369" t="str">
            <v>原料入库</v>
          </cell>
          <cell r="E369" t="str">
            <v>NO:0000945</v>
          </cell>
          <cell r="F369" t="str">
            <v>苹果</v>
          </cell>
          <cell r="G369" t="str">
            <v>新世纪二级</v>
          </cell>
          <cell r="H369">
            <v>193</v>
          </cell>
          <cell r="I369" t="str">
            <v>筐</v>
          </cell>
          <cell r="J369">
            <v>3145.9</v>
          </cell>
          <cell r="K369" t="str"/>
          <cell r="L369" t="str"/>
          <cell r="M369" t="str"/>
          <cell r="N369" t="str">
            <v>公司杂周转筐</v>
          </cell>
          <cell r="O369" t="str"/>
          <cell r="P369" t="str"/>
          <cell r="Q369">
            <v>193</v>
          </cell>
          <cell r="R369" t="str">
            <v>豫L*88X19</v>
          </cell>
          <cell r="S369" t="str">
            <v>公司筐</v>
          </cell>
          <cell r="T369" t="str"/>
          <cell r="U369" t="str"/>
          <cell r="V369" t="str"/>
          <cell r="W369" t="str"/>
          <cell r="X369" t="str"/>
          <cell r="Y369" t="str"/>
        </row>
        <row r="369">
          <cell r="AA369" t="str"/>
          <cell r="AB369" t="str"/>
          <cell r="AC369" t="str"/>
          <cell r="AD369" t="str"/>
          <cell r="AE369" t="str"/>
          <cell r="AF369" t="str"/>
        </row>
        <row r="370">
          <cell r="B370">
            <v>46286</v>
          </cell>
          <cell r="C370" t="str">
            <v>王照雪</v>
          </cell>
          <cell r="D370" t="str">
            <v>原料入库</v>
          </cell>
          <cell r="E370" t="str">
            <v>NO:0000945</v>
          </cell>
          <cell r="F370" t="str">
            <v>苹果</v>
          </cell>
          <cell r="G370" t="str">
            <v>新世纪二级</v>
          </cell>
          <cell r="H370">
            <v>105</v>
          </cell>
          <cell r="I370" t="str">
            <v>筐</v>
          </cell>
          <cell r="J370">
            <v>2131.5</v>
          </cell>
          <cell r="K370" t="str"/>
          <cell r="L370" t="str"/>
          <cell r="M370" t="str"/>
          <cell r="N370" t="str">
            <v>公司杂周转筐</v>
          </cell>
          <cell r="O370" t="str"/>
          <cell r="P370" t="str"/>
          <cell r="Q370">
            <v>105</v>
          </cell>
          <cell r="R370" t="str">
            <v>豫L*88X19</v>
          </cell>
          <cell r="S370" t="str">
            <v>公司筐</v>
          </cell>
          <cell r="T370" t="str"/>
          <cell r="U370" t="str"/>
          <cell r="V370" t="str"/>
          <cell r="W370" t="str"/>
          <cell r="X370" t="str"/>
          <cell r="Y370" t="str"/>
        </row>
        <row r="370">
          <cell r="AA370" t="str"/>
          <cell r="AB370" t="str"/>
          <cell r="AC370" t="str"/>
          <cell r="AD370" t="str"/>
          <cell r="AE370" t="str"/>
          <cell r="AF370" t="str"/>
        </row>
        <row r="371">
          <cell r="B371">
            <v>46286</v>
          </cell>
          <cell r="C371" t="str">
            <v>田浩芝</v>
          </cell>
          <cell r="D371" t="str">
            <v>原料入库</v>
          </cell>
          <cell r="E371" t="str">
            <v>NO:0000945</v>
          </cell>
          <cell r="F371" t="str">
            <v>香梨</v>
          </cell>
          <cell r="G371" t="str">
            <v>香梨一级</v>
          </cell>
          <cell r="H371">
            <v>6</v>
          </cell>
          <cell r="I371" t="str">
            <v>筐</v>
          </cell>
          <cell r="J371">
            <v>109.8</v>
          </cell>
          <cell r="K371" t="str"/>
          <cell r="L371" t="str"/>
          <cell r="M371" t="str">
            <v>篮子装货入库后换公司筐</v>
          </cell>
          <cell r="N371" t="str">
            <v>公司一次性筐</v>
          </cell>
          <cell r="O371" t="str"/>
          <cell r="P371" t="str"/>
          <cell r="Q371">
            <v>6</v>
          </cell>
          <cell r="R371" t="str">
            <v>豫L*88X19</v>
          </cell>
          <cell r="S371" t="str">
            <v>公司筐</v>
          </cell>
          <cell r="T371" t="str"/>
          <cell r="U371" t="str"/>
          <cell r="V371" t="str"/>
          <cell r="W371" t="str"/>
          <cell r="X371" t="str"/>
          <cell r="Y371" t="str"/>
        </row>
        <row r="371">
          <cell r="AA371" t="str"/>
          <cell r="AB371" t="str"/>
          <cell r="AC371" t="str"/>
          <cell r="AD371" t="str"/>
          <cell r="AE371" t="str"/>
          <cell r="AF371" t="str"/>
        </row>
        <row r="372">
          <cell r="B372">
            <v>46286</v>
          </cell>
          <cell r="C372" t="str">
            <v>麦麦提</v>
          </cell>
          <cell r="D372" t="str">
            <v>原料入库</v>
          </cell>
          <cell r="E372" t="str">
            <v>NO:0000946</v>
          </cell>
          <cell r="F372" t="str">
            <v>香梨</v>
          </cell>
          <cell r="G372" t="str">
            <v>香梨特级</v>
          </cell>
          <cell r="H372">
            <v>204</v>
          </cell>
          <cell r="I372" t="str">
            <v>筐</v>
          </cell>
          <cell r="J372">
            <v>3733.2</v>
          </cell>
          <cell r="K372" t="str"/>
          <cell r="L372" t="str"/>
          <cell r="M372" t="str"/>
          <cell r="N372" t="str">
            <v>公司红周转筐</v>
          </cell>
          <cell r="O372" t="str"/>
          <cell r="P372" t="str"/>
          <cell r="Q372">
            <v>204</v>
          </cell>
          <cell r="R372" t="str">
            <v>新R*37010</v>
          </cell>
          <cell r="S372" t="str">
            <v>公司筐</v>
          </cell>
          <cell r="T372" t="str"/>
          <cell r="U372" t="str"/>
          <cell r="V372" t="str"/>
          <cell r="W372" t="str"/>
          <cell r="X372" t="str"/>
          <cell r="Y372" t="str"/>
        </row>
        <row r="372">
          <cell r="AA372" t="str"/>
          <cell r="AB372" t="str"/>
          <cell r="AC372" t="str"/>
          <cell r="AD372" t="str"/>
          <cell r="AE372" t="str"/>
          <cell r="AF372" t="str"/>
        </row>
        <row r="373">
          <cell r="B373">
            <v>46286</v>
          </cell>
          <cell r="C373" t="str">
            <v>麦麦提</v>
          </cell>
          <cell r="D373" t="str">
            <v>原料入库</v>
          </cell>
          <cell r="E373" t="str">
            <v>NO:0000946</v>
          </cell>
          <cell r="F373" t="str">
            <v>香梨</v>
          </cell>
          <cell r="G373" t="str">
            <v>香梨一级</v>
          </cell>
          <cell r="H373">
            <v>184</v>
          </cell>
          <cell r="I373" t="str">
            <v>筐</v>
          </cell>
          <cell r="J373">
            <v>3367.2</v>
          </cell>
          <cell r="K373" t="str"/>
          <cell r="L373" t="str"/>
          <cell r="M373" t="str"/>
          <cell r="N373" t="str">
            <v>公司红周转筐</v>
          </cell>
          <cell r="O373" t="str"/>
          <cell r="P373" t="str"/>
          <cell r="Q373">
            <v>184</v>
          </cell>
          <cell r="R373" t="str">
            <v>新R*37010</v>
          </cell>
          <cell r="S373" t="str">
            <v>公司筐</v>
          </cell>
          <cell r="T373" t="str"/>
          <cell r="U373" t="str"/>
          <cell r="V373" t="str"/>
          <cell r="W373" t="str"/>
          <cell r="X373" t="str"/>
          <cell r="Y373" t="str"/>
        </row>
        <row r="373">
          <cell r="AA373" t="str"/>
          <cell r="AB373" t="str"/>
          <cell r="AC373" t="str"/>
          <cell r="AD373" t="str"/>
          <cell r="AE373" t="str"/>
          <cell r="AF373" t="str"/>
        </row>
        <row r="374">
          <cell r="B374">
            <v>46286</v>
          </cell>
          <cell r="C374" t="str">
            <v>麦麦提</v>
          </cell>
          <cell r="D374" t="str">
            <v>原料入库</v>
          </cell>
          <cell r="E374" t="str">
            <v>NO:0000946</v>
          </cell>
          <cell r="F374" t="str">
            <v>香梨</v>
          </cell>
          <cell r="G374" t="str">
            <v>香梨二级</v>
          </cell>
          <cell r="H374">
            <v>178</v>
          </cell>
          <cell r="I374" t="str">
            <v>筐</v>
          </cell>
          <cell r="J374">
            <v>3969.4</v>
          </cell>
          <cell r="K374" t="str"/>
          <cell r="L374" t="str"/>
          <cell r="M374" t="str"/>
          <cell r="N374" t="str">
            <v>公司红周转筐</v>
          </cell>
          <cell r="O374" t="str"/>
          <cell r="P374" t="str"/>
          <cell r="Q374">
            <v>178</v>
          </cell>
          <cell r="R374" t="str">
            <v>新R*37010</v>
          </cell>
          <cell r="S374" t="str">
            <v>公司筐</v>
          </cell>
          <cell r="T374" t="str"/>
          <cell r="U374" t="str"/>
          <cell r="V374" t="str"/>
          <cell r="W374" t="str"/>
          <cell r="X374" t="str"/>
          <cell r="Y374" t="str"/>
        </row>
        <row r="374">
          <cell r="AA374" t="str"/>
          <cell r="AB374" t="str"/>
          <cell r="AC374" t="str"/>
          <cell r="AD374" t="str"/>
          <cell r="AE374" t="str"/>
          <cell r="AF374" t="str"/>
        </row>
        <row r="375">
          <cell r="B375">
            <v>46287</v>
          </cell>
          <cell r="C375" t="str">
            <v>努尔敦</v>
          </cell>
          <cell r="D375" t="str">
            <v>原料入库</v>
          </cell>
          <cell r="E375" t="str">
            <v>NO:0000947</v>
          </cell>
          <cell r="F375" t="str">
            <v>香梨</v>
          </cell>
          <cell r="G375" t="str">
            <v>香梨特级</v>
          </cell>
          <cell r="H375">
            <v>387</v>
          </cell>
          <cell r="I375" t="str">
            <v>筐</v>
          </cell>
          <cell r="J375">
            <v>7082.1</v>
          </cell>
          <cell r="K375" t="str"/>
          <cell r="L375" t="str"/>
          <cell r="M375" t="str"/>
          <cell r="N375" t="str">
            <v>公司红周转筐</v>
          </cell>
          <cell r="O375" t="str"/>
          <cell r="P375" t="str"/>
          <cell r="Q375">
            <v>387</v>
          </cell>
          <cell r="R375" t="str">
            <v>新F*75240</v>
          </cell>
          <cell r="S375" t="str">
            <v>公司筐</v>
          </cell>
          <cell r="T375" t="str"/>
          <cell r="U375" t="str"/>
          <cell r="V375" t="str"/>
          <cell r="W375" t="str"/>
          <cell r="X375" t="str"/>
          <cell r="Y375" t="str"/>
        </row>
        <row r="375">
          <cell r="AA375" t="str"/>
          <cell r="AB375" t="str"/>
          <cell r="AC375" t="str"/>
          <cell r="AD375" t="str"/>
          <cell r="AE375" t="str"/>
          <cell r="AF375" t="str"/>
        </row>
        <row r="376">
          <cell r="B376">
            <v>46287</v>
          </cell>
          <cell r="C376" t="str">
            <v>努尔敦</v>
          </cell>
          <cell r="D376" t="str">
            <v>原料入库</v>
          </cell>
          <cell r="E376" t="str">
            <v>NO:0000947</v>
          </cell>
          <cell r="F376" t="str">
            <v>香梨</v>
          </cell>
          <cell r="G376" t="str">
            <v>香梨一级</v>
          </cell>
          <cell r="H376">
            <v>120</v>
          </cell>
          <cell r="I376" t="str">
            <v>筐</v>
          </cell>
          <cell r="J376">
            <v>2196</v>
          </cell>
          <cell r="K376" t="str"/>
          <cell r="L376" t="str"/>
          <cell r="M376" t="str"/>
          <cell r="N376" t="str">
            <v>公司红周转筐</v>
          </cell>
          <cell r="O376" t="str"/>
          <cell r="P376" t="str"/>
          <cell r="Q376">
            <v>120</v>
          </cell>
          <cell r="R376" t="str">
            <v>新F*75240</v>
          </cell>
          <cell r="S376" t="str">
            <v>公司筐</v>
          </cell>
          <cell r="T376" t="str"/>
          <cell r="U376" t="str"/>
          <cell r="V376" t="str"/>
          <cell r="W376" t="str"/>
          <cell r="X376" t="str"/>
          <cell r="Y376" t="str"/>
        </row>
        <row r="376">
          <cell r="AA376" t="str"/>
          <cell r="AB376" t="str"/>
          <cell r="AC376" t="str"/>
          <cell r="AD376" t="str"/>
          <cell r="AE376" t="str"/>
          <cell r="AF376" t="str"/>
        </row>
        <row r="377">
          <cell r="B377">
            <v>46287</v>
          </cell>
          <cell r="C377" t="str">
            <v>努尔敦</v>
          </cell>
          <cell r="D377" t="str">
            <v>原料入库</v>
          </cell>
          <cell r="E377" t="str">
            <v>NO:0000947</v>
          </cell>
          <cell r="F377" t="str">
            <v>香梨</v>
          </cell>
          <cell r="G377" t="str">
            <v>香梨二级</v>
          </cell>
          <cell r="H377">
            <v>143</v>
          </cell>
          <cell r="I377" t="str">
            <v>筐</v>
          </cell>
          <cell r="J377">
            <v>3188.9</v>
          </cell>
          <cell r="K377" t="str"/>
          <cell r="L377" t="str"/>
          <cell r="M377" t="str"/>
          <cell r="N377" t="str">
            <v>公司红周转筐</v>
          </cell>
          <cell r="O377" t="str"/>
          <cell r="P377" t="str"/>
          <cell r="Q377">
            <v>143</v>
          </cell>
          <cell r="R377" t="str">
            <v>新F*75240</v>
          </cell>
          <cell r="S377" t="str">
            <v>公司筐</v>
          </cell>
          <cell r="T377" t="str"/>
          <cell r="U377" t="str"/>
          <cell r="V377" t="str"/>
          <cell r="W377" t="str"/>
          <cell r="X377" t="str"/>
          <cell r="Y377" t="str"/>
        </row>
        <row r="377">
          <cell r="AA377" t="str"/>
          <cell r="AB377" t="str"/>
          <cell r="AC377" t="str"/>
          <cell r="AD377" t="str"/>
          <cell r="AE377" t="str"/>
          <cell r="AF377" t="str"/>
        </row>
        <row r="378">
          <cell r="B378">
            <v>46287</v>
          </cell>
          <cell r="C378" t="str">
            <v>王灵云</v>
          </cell>
          <cell r="D378" t="str">
            <v>原料入库</v>
          </cell>
          <cell r="E378" t="str">
            <v>NO:0000948</v>
          </cell>
          <cell r="F378" t="str">
            <v>香梨</v>
          </cell>
          <cell r="G378" t="str">
            <v>香梨一级</v>
          </cell>
          <cell r="H378">
            <v>612</v>
          </cell>
          <cell r="I378" t="str">
            <v>筐</v>
          </cell>
          <cell r="J378">
            <v>11199.6</v>
          </cell>
          <cell r="K378" t="str"/>
          <cell r="L378" t="str"/>
          <cell r="M378" t="str"/>
          <cell r="N378" t="str">
            <v>公司红周转筐</v>
          </cell>
          <cell r="O378" t="str"/>
          <cell r="P378" t="str"/>
          <cell r="Q378">
            <v>612</v>
          </cell>
          <cell r="R378" t="str">
            <v>新N*49209</v>
          </cell>
          <cell r="S378" t="str">
            <v>公司筐</v>
          </cell>
          <cell r="T378" t="str"/>
          <cell r="U378" t="str"/>
          <cell r="V378" t="str"/>
          <cell r="W378" t="str"/>
          <cell r="X378" t="str"/>
          <cell r="Y378" t="str"/>
        </row>
        <row r="378">
          <cell r="AA378" t="str"/>
          <cell r="AB378" t="str"/>
          <cell r="AC378" t="str"/>
          <cell r="AD378" t="str"/>
          <cell r="AE378" t="str"/>
          <cell r="AF378" t="str"/>
        </row>
        <row r="379">
          <cell r="B379">
            <v>46287</v>
          </cell>
          <cell r="C379" t="str">
            <v>王灵云</v>
          </cell>
          <cell r="D379" t="str">
            <v>原料入库</v>
          </cell>
          <cell r="E379" t="str">
            <v>NO:0000948</v>
          </cell>
          <cell r="F379" t="str">
            <v>香梨</v>
          </cell>
          <cell r="G379" t="str">
            <v>香梨二级</v>
          </cell>
          <cell r="H379">
            <v>52</v>
          </cell>
          <cell r="I379" t="str">
            <v>筐</v>
          </cell>
          <cell r="J379">
            <v>1211.6</v>
          </cell>
          <cell r="K379" t="str"/>
          <cell r="L379" t="str"/>
          <cell r="M379" t="str"/>
          <cell r="N379" t="str">
            <v>公司红周转筐</v>
          </cell>
          <cell r="O379" t="str"/>
          <cell r="P379" t="str"/>
          <cell r="Q379">
            <v>52</v>
          </cell>
          <cell r="R379" t="str">
            <v>新N*49209</v>
          </cell>
          <cell r="S379" t="str">
            <v>公司筐</v>
          </cell>
          <cell r="T379" t="str"/>
          <cell r="U379" t="str"/>
          <cell r="V379" t="str"/>
          <cell r="W379" t="str"/>
          <cell r="X379" t="str"/>
          <cell r="Y379" t="str"/>
        </row>
        <row r="379">
          <cell r="AA379" t="str"/>
          <cell r="AB379" t="str"/>
          <cell r="AC379" t="str"/>
          <cell r="AD379" t="str"/>
          <cell r="AE379" t="str"/>
          <cell r="AF379" t="str"/>
        </row>
        <row r="380">
          <cell r="B380">
            <v>46287</v>
          </cell>
          <cell r="C380" t="str">
            <v>王灵云</v>
          </cell>
          <cell r="D380" t="str">
            <v>原料入库</v>
          </cell>
          <cell r="E380" t="str">
            <v>NO:0000948</v>
          </cell>
          <cell r="F380" t="str">
            <v>香梨</v>
          </cell>
          <cell r="G380" t="str">
            <v>香梨副特</v>
          </cell>
          <cell r="H380">
            <v>25</v>
          </cell>
          <cell r="I380" t="str">
            <v>筐</v>
          </cell>
          <cell r="J380">
            <v>457.5</v>
          </cell>
          <cell r="K380" t="str"/>
          <cell r="L380" t="str"/>
          <cell r="M380" t="str"/>
          <cell r="N380" t="str">
            <v>公司红周转筐</v>
          </cell>
          <cell r="O380" t="str"/>
          <cell r="P380" t="str"/>
          <cell r="Q380">
            <v>25</v>
          </cell>
          <cell r="R380" t="str">
            <v>新N*49209</v>
          </cell>
          <cell r="S380" t="str">
            <v>公司筐</v>
          </cell>
          <cell r="T380" t="str"/>
          <cell r="U380" t="str"/>
          <cell r="V380" t="str"/>
          <cell r="W380" t="str"/>
          <cell r="X380" t="str"/>
          <cell r="Y380" t="str"/>
        </row>
        <row r="380">
          <cell r="AA380" t="str"/>
          <cell r="AB380" t="str"/>
          <cell r="AC380" t="str"/>
          <cell r="AD380" t="str"/>
          <cell r="AE380" t="str"/>
          <cell r="AF380" t="str"/>
        </row>
        <row r="381">
          <cell r="B381">
            <v>46287</v>
          </cell>
          <cell r="C381" t="str">
            <v>王照雪</v>
          </cell>
          <cell r="D381" t="str">
            <v>原料入库</v>
          </cell>
          <cell r="E381" t="str">
            <v>NO:0000949</v>
          </cell>
          <cell r="F381" t="str">
            <v>香梨</v>
          </cell>
          <cell r="G381" t="str">
            <v>香梨一级</v>
          </cell>
          <cell r="H381">
            <v>130</v>
          </cell>
          <cell r="I381" t="str">
            <v>筐</v>
          </cell>
          <cell r="J381">
            <v>2535</v>
          </cell>
          <cell r="K381" t="str"/>
          <cell r="L381" t="str"/>
          <cell r="M381" t="str"/>
          <cell r="N381" t="str">
            <v>公司一次性筐</v>
          </cell>
          <cell r="O381" t="str"/>
          <cell r="P381" t="str"/>
          <cell r="Q381">
            <v>130</v>
          </cell>
          <cell r="R381" t="str">
            <v>豫L*88X19</v>
          </cell>
          <cell r="S381" t="str">
            <v>公司筐</v>
          </cell>
          <cell r="T381" t="str"/>
          <cell r="U381" t="str"/>
          <cell r="V381" t="str"/>
          <cell r="W381" t="str"/>
          <cell r="X381" t="str"/>
          <cell r="Y381" t="str"/>
        </row>
        <row r="381">
          <cell r="AA381" t="str"/>
          <cell r="AB381" t="str"/>
          <cell r="AC381" t="str"/>
          <cell r="AD381" t="str"/>
          <cell r="AE381" t="str"/>
          <cell r="AF381" t="str"/>
        </row>
        <row r="382">
          <cell r="B382">
            <v>46287</v>
          </cell>
          <cell r="C382" t="str">
            <v>王照雪</v>
          </cell>
          <cell r="D382" t="str">
            <v>原料入库</v>
          </cell>
          <cell r="E382" t="str">
            <v>NO:0000949</v>
          </cell>
          <cell r="F382" t="str">
            <v>香梨</v>
          </cell>
          <cell r="G382" t="str">
            <v>香梨二级</v>
          </cell>
          <cell r="H382">
            <v>59</v>
          </cell>
          <cell r="I382" t="str">
            <v>筐</v>
          </cell>
          <cell r="J382">
            <v>1327.5</v>
          </cell>
          <cell r="K382" t="str"/>
          <cell r="L382" t="str"/>
          <cell r="M382" t="str"/>
          <cell r="N382" t="str">
            <v>公司一次性筐</v>
          </cell>
          <cell r="O382" t="str"/>
          <cell r="P382" t="str"/>
          <cell r="Q382">
            <v>59</v>
          </cell>
          <cell r="R382" t="str">
            <v>豫L*88X19</v>
          </cell>
          <cell r="S382" t="str">
            <v>公司筐</v>
          </cell>
          <cell r="T382" t="str"/>
          <cell r="U382" t="str"/>
          <cell r="V382" t="str"/>
          <cell r="W382" t="str"/>
          <cell r="X382" t="str"/>
          <cell r="Y382" t="str"/>
        </row>
        <row r="382">
          <cell r="AA382" t="str"/>
          <cell r="AB382" t="str"/>
          <cell r="AC382" t="str"/>
          <cell r="AD382" t="str"/>
          <cell r="AE382" t="str"/>
          <cell r="AF382" t="str"/>
        </row>
        <row r="383">
          <cell r="B383">
            <v>46287</v>
          </cell>
          <cell r="C383" t="str">
            <v>王照雪</v>
          </cell>
          <cell r="D383" t="str">
            <v>原料入库</v>
          </cell>
          <cell r="E383" t="str">
            <v>NO:0000949</v>
          </cell>
          <cell r="F383" t="str">
            <v>香梨</v>
          </cell>
          <cell r="G383" t="str">
            <v>香梨副特</v>
          </cell>
          <cell r="H383">
            <v>148</v>
          </cell>
          <cell r="I383" t="str">
            <v>筐</v>
          </cell>
          <cell r="J383">
            <v>2886</v>
          </cell>
          <cell r="K383" t="str"/>
          <cell r="L383" t="str"/>
          <cell r="M383" t="str"/>
          <cell r="N383" t="str">
            <v>公司一次性筐</v>
          </cell>
          <cell r="O383" t="str"/>
          <cell r="P383" t="str"/>
          <cell r="Q383">
            <v>148</v>
          </cell>
          <cell r="R383" t="str">
            <v>豫L*88X19</v>
          </cell>
          <cell r="S383" t="str">
            <v>公司筐</v>
          </cell>
          <cell r="T383" t="str"/>
          <cell r="U383" t="str"/>
          <cell r="V383" t="str"/>
          <cell r="W383" t="str"/>
          <cell r="X383" t="str"/>
          <cell r="Y383" t="str"/>
        </row>
        <row r="383">
          <cell r="AA383" t="str"/>
          <cell r="AB383" t="str"/>
          <cell r="AC383" t="str"/>
          <cell r="AD383" t="str"/>
          <cell r="AE383" t="str"/>
          <cell r="AF383" t="str"/>
        </row>
        <row r="384">
          <cell r="B384">
            <v>46287</v>
          </cell>
          <cell r="C384" t="str">
            <v>王浩</v>
          </cell>
          <cell r="D384" t="str">
            <v>原料入库</v>
          </cell>
          <cell r="E384" t="str">
            <v>NO:0000950</v>
          </cell>
          <cell r="F384" t="str">
            <v>香梨</v>
          </cell>
          <cell r="G384" t="str">
            <v>香梨一级</v>
          </cell>
          <cell r="H384">
            <v>407</v>
          </cell>
          <cell r="I384" t="str">
            <v>筐</v>
          </cell>
          <cell r="J384">
            <v>7448.1</v>
          </cell>
          <cell r="K384" t="str"/>
          <cell r="L384" t="str"/>
          <cell r="M384" t="str"/>
          <cell r="N384" t="str">
            <v>公司一次性筐</v>
          </cell>
          <cell r="O384" t="str"/>
          <cell r="P384" t="str"/>
          <cell r="Q384">
            <v>407</v>
          </cell>
          <cell r="R384" t="str">
            <v>新A*G1620</v>
          </cell>
          <cell r="S384" t="str">
            <v>公司筐</v>
          </cell>
          <cell r="T384" t="str"/>
          <cell r="U384" t="str"/>
          <cell r="V384" t="str"/>
          <cell r="W384" t="str"/>
          <cell r="X384" t="str"/>
          <cell r="Y384" t="str"/>
        </row>
        <row r="384">
          <cell r="AA384" t="str"/>
          <cell r="AB384" t="str"/>
          <cell r="AC384" t="str"/>
          <cell r="AD384" t="str"/>
          <cell r="AE384" t="str"/>
          <cell r="AF384" t="str"/>
        </row>
        <row r="385">
          <cell r="B385">
            <v>46287</v>
          </cell>
          <cell r="C385" t="str">
            <v>王浩</v>
          </cell>
          <cell r="D385" t="str">
            <v>原料入库</v>
          </cell>
          <cell r="E385" t="str">
            <v>NO:0000950</v>
          </cell>
          <cell r="F385" t="str">
            <v>香梨</v>
          </cell>
          <cell r="G385" t="str">
            <v>香梨一级</v>
          </cell>
          <cell r="H385">
            <v>226</v>
          </cell>
          <cell r="I385" t="str">
            <v>筐</v>
          </cell>
          <cell r="J385">
            <v>4022.8</v>
          </cell>
          <cell r="K385" t="str"/>
          <cell r="L385" t="str"/>
          <cell r="M385" t="str">
            <v>自备白周转筐</v>
          </cell>
          <cell r="N385" t="str">
            <v>自备杂周转筐</v>
          </cell>
          <cell r="O385" t="str"/>
          <cell r="P385" t="str"/>
          <cell r="Q385">
            <v>226</v>
          </cell>
          <cell r="R385" t="str">
            <v>新A*G1620</v>
          </cell>
          <cell r="S385" t="str">
            <v>自备筐</v>
          </cell>
          <cell r="T385" t="str"/>
          <cell r="U385" t="str"/>
          <cell r="V385" t="str"/>
          <cell r="W385" t="str"/>
          <cell r="X385" t="str"/>
          <cell r="Y385" t="str"/>
        </row>
        <row r="385">
          <cell r="AA385" t="str"/>
          <cell r="AB385" t="str"/>
          <cell r="AC385" t="str"/>
          <cell r="AD385" t="str"/>
          <cell r="AE385" t="str"/>
          <cell r="AF385" t="str"/>
        </row>
        <row r="386">
          <cell r="B386">
            <v>46287</v>
          </cell>
          <cell r="C386" t="str">
            <v>王灵云</v>
          </cell>
          <cell r="D386" t="str">
            <v>原料入库</v>
          </cell>
          <cell r="E386" t="str">
            <v>NO:0000953</v>
          </cell>
          <cell r="F386" t="str">
            <v>香梨</v>
          </cell>
          <cell r="G386" t="str">
            <v>香梨一级</v>
          </cell>
          <cell r="H386">
            <v>552</v>
          </cell>
          <cell r="I386" t="str">
            <v>筐</v>
          </cell>
          <cell r="J386">
            <v>10101.6</v>
          </cell>
          <cell r="K386" t="str"/>
          <cell r="L386" t="str"/>
          <cell r="M386" t="str"/>
          <cell r="N386" t="str">
            <v>公司红周转筐</v>
          </cell>
          <cell r="O386" t="str"/>
          <cell r="P386" t="str"/>
          <cell r="Q386">
            <v>552</v>
          </cell>
          <cell r="R386" t="str">
            <v>新N*49209</v>
          </cell>
          <cell r="S386" t="str">
            <v>公司筐</v>
          </cell>
          <cell r="T386" t="str"/>
          <cell r="U386" t="str"/>
          <cell r="V386" t="str"/>
          <cell r="W386" t="str"/>
          <cell r="X386" t="str"/>
          <cell r="Y386" t="str"/>
        </row>
        <row r="386">
          <cell r="AA386" t="str"/>
          <cell r="AB386" t="str"/>
          <cell r="AC386" t="str"/>
          <cell r="AD386" t="str"/>
          <cell r="AE386" t="str"/>
          <cell r="AF386" t="str"/>
        </row>
        <row r="387">
          <cell r="B387">
            <v>46287</v>
          </cell>
          <cell r="C387" t="str">
            <v>王灵云</v>
          </cell>
          <cell r="D387" t="str">
            <v>原料入库</v>
          </cell>
          <cell r="E387" t="str">
            <v>NO:0000953</v>
          </cell>
          <cell r="F387" t="str">
            <v>香梨</v>
          </cell>
          <cell r="G387" t="str">
            <v>香梨二级</v>
          </cell>
          <cell r="H387">
            <v>85</v>
          </cell>
          <cell r="I387" t="str">
            <v>筐</v>
          </cell>
          <cell r="J387">
            <v>1980.5</v>
          </cell>
          <cell r="K387" t="str"/>
          <cell r="L387" t="str"/>
          <cell r="M387" t="str"/>
          <cell r="N387" t="str">
            <v>公司红周转筐</v>
          </cell>
          <cell r="O387" t="str"/>
          <cell r="P387" t="str"/>
          <cell r="Q387">
            <v>85</v>
          </cell>
          <cell r="R387" t="str">
            <v>新N*49209</v>
          </cell>
          <cell r="S387" t="str">
            <v>公司筐</v>
          </cell>
          <cell r="T387" t="str"/>
          <cell r="U387" t="str"/>
          <cell r="V387" t="str"/>
          <cell r="W387" t="str"/>
          <cell r="X387" t="str"/>
          <cell r="Y387" t="str"/>
        </row>
        <row r="387">
          <cell r="AA387" t="str"/>
          <cell r="AB387" t="str"/>
          <cell r="AC387" t="str"/>
          <cell r="AD387" t="str"/>
          <cell r="AE387" t="str"/>
          <cell r="AF387" t="str"/>
        </row>
        <row r="388">
          <cell r="B388">
            <v>46287</v>
          </cell>
          <cell r="C388" t="str">
            <v>王灵云</v>
          </cell>
          <cell r="D388" t="str">
            <v>原料入库</v>
          </cell>
          <cell r="E388" t="str">
            <v>NO:0000953</v>
          </cell>
          <cell r="F388" t="str">
            <v>香梨</v>
          </cell>
          <cell r="G388" t="str">
            <v>香梨副特</v>
          </cell>
          <cell r="H388">
            <v>52</v>
          </cell>
          <cell r="I388" t="str">
            <v>筐</v>
          </cell>
          <cell r="J388">
            <v>951.6</v>
          </cell>
          <cell r="K388" t="str"/>
          <cell r="L388" t="str"/>
          <cell r="M388" t="str"/>
          <cell r="N388" t="str">
            <v>公司红周转筐</v>
          </cell>
          <cell r="O388" t="str"/>
          <cell r="P388" t="str"/>
          <cell r="Q388">
            <v>52</v>
          </cell>
          <cell r="R388" t="str">
            <v>新N*49209</v>
          </cell>
          <cell r="S388" t="str">
            <v>公司筐</v>
          </cell>
          <cell r="T388" t="str"/>
          <cell r="U388" t="str"/>
          <cell r="V388" t="str"/>
          <cell r="W388" t="str"/>
          <cell r="X388" t="str"/>
          <cell r="Y388" t="str"/>
        </row>
        <row r="388">
          <cell r="AA388" t="str"/>
          <cell r="AB388" t="str"/>
          <cell r="AC388" t="str"/>
          <cell r="AD388" t="str"/>
          <cell r="AE388" t="str"/>
          <cell r="AF388" t="str"/>
        </row>
        <row r="389">
          <cell r="B389">
            <v>46288</v>
          </cell>
          <cell r="C389" t="str">
            <v>吐尔逊</v>
          </cell>
          <cell r="D389" t="str">
            <v>原料入库</v>
          </cell>
          <cell r="E389" t="str">
            <v>NO:0000954</v>
          </cell>
          <cell r="F389" t="str">
            <v>香梨</v>
          </cell>
          <cell r="G389" t="str">
            <v>香梨一级</v>
          </cell>
          <cell r="H389">
            <v>87</v>
          </cell>
          <cell r="I389" t="str">
            <v>筐</v>
          </cell>
          <cell r="J389">
            <v>1522.5</v>
          </cell>
          <cell r="K389" t="str"/>
          <cell r="L389" t="str"/>
          <cell r="M389" t="str"/>
          <cell r="N389" t="str">
            <v>公司一次性筐</v>
          </cell>
          <cell r="O389" t="str"/>
          <cell r="P389" t="str"/>
          <cell r="Q389">
            <v>87</v>
          </cell>
          <cell r="R389" t="str">
            <v>新A*NZ020</v>
          </cell>
          <cell r="S389" t="str">
            <v>公司筐</v>
          </cell>
          <cell r="T389" t="str"/>
          <cell r="U389" t="str"/>
          <cell r="V389" t="str"/>
          <cell r="W389" t="str"/>
          <cell r="X389" t="str"/>
          <cell r="Y389" t="str"/>
        </row>
        <row r="389">
          <cell r="AA389" t="str"/>
          <cell r="AB389" t="str"/>
          <cell r="AC389" t="str"/>
          <cell r="AD389" t="str"/>
          <cell r="AE389" t="str"/>
          <cell r="AF389" t="str"/>
        </row>
        <row r="390">
          <cell r="B390">
            <v>46288</v>
          </cell>
          <cell r="C390" t="str">
            <v>吐尔逊</v>
          </cell>
          <cell r="D390" t="str">
            <v>原料入库</v>
          </cell>
          <cell r="E390" t="str">
            <v>NO:0000954</v>
          </cell>
          <cell r="F390" t="str">
            <v>香梨</v>
          </cell>
          <cell r="G390" t="str">
            <v>香梨二级</v>
          </cell>
          <cell r="H390">
            <v>73</v>
          </cell>
          <cell r="I390" t="str">
            <v>筐</v>
          </cell>
          <cell r="J390">
            <v>1788.5</v>
          </cell>
          <cell r="K390" t="str"/>
          <cell r="L390" t="str"/>
          <cell r="M390" t="str"/>
          <cell r="N390" t="str">
            <v>公司一次性筐</v>
          </cell>
          <cell r="O390" t="str"/>
          <cell r="P390" t="str"/>
          <cell r="Q390">
            <v>73</v>
          </cell>
          <cell r="R390" t="str">
            <v>新A*NZ020</v>
          </cell>
          <cell r="S390" t="str">
            <v>公司筐</v>
          </cell>
          <cell r="T390" t="str"/>
          <cell r="U390" t="str"/>
          <cell r="V390" t="str"/>
          <cell r="W390" t="str"/>
          <cell r="X390" t="str"/>
          <cell r="Y390" t="str"/>
        </row>
        <row r="390">
          <cell r="AA390" t="str"/>
          <cell r="AB390" t="str"/>
          <cell r="AC390" t="str"/>
          <cell r="AD390" t="str"/>
          <cell r="AE390" t="str"/>
          <cell r="AF390" t="str"/>
        </row>
        <row r="391">
          <cell r="B391">
            <v>46288</v>
          </cell>
          <cell r="C391" t="str">
            <v>王照雪</v>
          </cell>
          <cell r="D391" t="str">
            <v>原料入库</v>
          </cell>
          <cell r="E391" t="str">
            <v>NO:0000956</v>
          </cell>
          <cell r="F391" t="str">
            <v>苹果</v>
          </cell>
          <cell r="G391" t="str">
            <v>新世纪一级</v>
          </cell>
          <cell r="H391">
            <v>111</v>
          </cell>
          <cell r="I391" t="str">
            <v>筐</v>
          </cell>
          <cell r="J391">
            <v>1920.3</v>
          </cell>
          <cell r="K391" t="str"/>
          <cell r="L391" t="str"/>
          <cell r="M391" t="str"/>
          <cell r="N391" t="str">
            <v>公司杂周转筐</v>
          </cell>
          <cell r="O391" t="str"/>
          <cell r="P391" t="str"/>
          <cell r="Q391">
            <v>111</v>
          </cell>
          <cell r="R391" t="str">
            <v>豫L*88X19</v>
          </cell>
          <cell r="S391" t="str">
            <v>公司筐</v>
          </cell>
          <cell r="T391" t="str"/>
          <cell r="U391" t="str"/>
          <cell r="V391" t="str"/>
          <cell r="W391" t="str"/>
          <cell r="X391" t="str"/>
          <cell r="Y391" t="str"/>
        </row>
        <row r="391">
          <cell r="AA391" t="str"/>
          <cell r="AB391" t="str"/>
          <cell r="AC391" t="str"/>
          <cell r="AD391" t="str"/>
          <cell r="AE391" t="str"/>
          <cell r="AF391" t="str"/>
        </row>
        <row r="392">
          <cell r="B392">
            <v>46288</v>
          </cell>
          <cell r="C392" t="str">
            <v>王照雪</v>
          </cell>
          <cell r="D392" t="str">
            <v>原料入库</v>
          </cell>
          <cell r="E392" t="str">
            <v>NO:0000956</v>
          </cell>
          <cell r="F392" t="str">
            <v>苹果</v>
          </cell>
          <cell r="G392" t="str">
            <v>新世纪二级</v>
          </cell>
          <cell r="H392">
            <v>6</v>
          </cell>
          <cell r="I392" t="str">
            <v>筐</v>
          </cell>
          <cell r="J392">
            <v>97.8</v>
          </cell>
          <cell r="K392" t="str"/>
          <cell r="L392" t="str"/>
          <cell r="M392" t="str"/>
          <cell r="N392" t="str">
            <v>公司杂周转筐</v>
          </cell>
          <cell r="O392" t="str"/>
          <cell r="P392" t="str"/>
          <cell r="Q392">
            <v>6</v>
          </cell>
          <cell r="R392" t="str">
            <v>豫L*88X19</v>
          </cell>
          <cell r="S392" t="str">
            <v>公司筐</v>
          </cell>
          <cell r="T392" t="str"/>
          <cell r="U392" t="str"/>
          <cell r="V392" t="str"/>
          <cell r="W392" t="str"/>
          <cell r="X392" t="str"/>
          <cell r="Y392" t="str"/>
        </row>
        <row r="392">
          <cell r="AA392" t="str"/>
          <cell r="AB392" t="str"/>
          <cell r="AC392" t="str"/>
          <cell r="AD392" t="str"/>
          <cell r="AE392" t="str"/>
          <cell r="AF392" t="str"/>
        </row>
        <row r="393">
          <cell r="B393">
            <v>46288</v>
          </cell>
          <cell r="C393" t="str">
            <v>王照雪</v>
          </cell>
          <cell r="D393" t="str">
            <v>原料入库</v>
          </cell>
          <cell r="E393" t="str">
            <v>NO:0000956</v>
          </cell>
          <cell r="F393" t="str">
            <v>苹果</v>
          </cell>
          <cell r="G393" t="str">
            <v>新世纪二级</v>
          </cell>
          <cell r="H393">
            <v>35</v>
          </cell>
          <cell r="I393" t="str">
            <v>筐</v>
          </cell>
          <cell r="J393">
            <v>710.5</v>
          </cell>
          <cell r="K393" t="str"/>
          <cell r="L393" t="str"/>
          <cell r="M393" t="str"/>
          <cell r="N393" t="str">
            <v>公司杂周转筐</v>
          </cell>
          <cell r="O393" t="str"/>
          <cell r="P393" t="str"/>
          <cell r="Q393">
            <v>35</v>
          </cell>
          <cell r="R393" t="str">
            <v>豫L*88X19</v>
          </cell>
          <cell r="S393" t="str">
            <v>公司筐</v>
          </cell>
          <cell r="T393" t="str"/>
          <cell r="U393" t="str"/>
          <cell r="V393" t="str"/>
          <cell r="W393" t="str"/>
          <cell r="X393" t="str"/>
          <cell r="Y393" t="str"/>
        </row>
        <row r="393">
          <cell r="AA393" t="str"/>
          <cell r="AB393" t="str"/>
          <cell r="AC393" t="str"/>
          <cell r="AD393" t="str"/>
          <cell r="AE393" t="str"/>
          <cell r="AF393" t="str"/>
        </row>
        <row r="394">
          <cell r="B394">
            <v>46288</v>
          </cell>
          <cell r="C394" t="str">
            <v>艾海提</v>
          </cell>
          <cell r="D394" t="str">
            <v>原料入库</v>
          </cell>
          <cell r="E394" t="str">
            <v>NO:0000957</v>
          </cell>
          <cell r="F394" t="str">
            <v>香梨</v>
          </cell>
          <cell r="G394" t="str">
            <v>香梨一级</v>
          </cell>
          <cell r="H394">
            <v>114</v>
          </cell>
          <cell r="I394" t="str">
            <v>筐</v>
          </cell>
          <cell r="J394">
            <v>2188.8</v>
          </cell>
          <cell r="K394" t="str"/>
          <cell r="L394" t="str"/>
          <cell r="M394" t="str"/>
          <cell r="N394" t="str">
            <v>公司红周转筐</v>
          </cell>
          <cell r="O394" t="str"/>
          <cell r="P394" t="str"/>
          <cell r="Q394">
            <v>114</v>
          </cell>
          <cell r="R394" t="str">
            <v>新N*WX586</v>
          </cell>
          <cell r="S394" t="str">
            <v>公司筐</v>
          </cell>
          <cell r="T394" t="str"/>
          <cell r="U394" t="str"/>
          <cell r="V394" t="str"/>
          <cell r="W394" t="str"/>
          <cell r="X394" t="str"/>
          <cell r="Y394" t="str"/>
        </row>
        <row r="394">
          <cell r="AA394" t="str"/>
          <cell r="AB394" t="str"/>
          <cell r="AC394" t="str"/>
          <cell r="AD394" t="str"/>
          <cell r="AE394" t="str"/>
          <cell r="AF394" t="str"/>
        </row>
        <row r="395">
          <cell r="B395">
            <v>46288</v>
          </cell>
          <cell r="C395" t="str">
            <v>艾海提</v>
          </cell>
          <cell r="D395" t="str">
            <v>原料入库</v>
          </cell>
          <cell r="E395" t="str">
            <v>NO:0000957</v>
          </cell>
          <cell r="F395" t="str">
            <v>香梨</v>
          </cell>
          <cell r="G395" t="str">
            <v>香梨副特</v>
          </cell>
          <cell r="H395">
            <v>53</v>
          </cell>
          <cell r="I395" t="str">
            <v>筐</v>
          </cell>
          <cell r="J395">
            <v>1017.6</v>
          </cell>
          <cell r="K395" t="str"/>
          <cell r="L395" t="str"/>
          <cell r="M395" t="str"/>
          <cell r="N395" t="str">
            <v>公司红周转筐</v>
          </cell>
          <cell r="O395" t="str"/>
          <cell r="P395" t="str"/>
          <cell r="Q395">
            <v>53</v>
          </cell>
          <cell r="R395" t="str">
            <v>新N*WX586</v>
          </cell>
          <cell r="S395" t="str">
            <v>公司筐</v>
          </cell>
          <cell r="T395" t="str"/>
          <cell r="U395" t="str"/>
          <cell r="V395" t="str"/>
          <cell r="W395" t="str"/>
          <cell r="X395" t="str"/>
          <cell r="Y395" t="str"/>
        </row>
        <row r="395">
          <cell r="AA395" t="str"/>
          <cell r="AB395" t="str"/>
          <cell r="AC395" t="str"/>
          <cell r="AD395" t="str"/>
          <cell r="AE395" t="str"/>
          <cell r="AF395" t="str"/>
        </row>
        <row r="396">
          <cell r="B396">
            <v>46288</v>
          </cell>
          <cell r="C396" t="str">
            <v>王灵云</v>
          </cell>
          <cell r="D396" t="str">
            <v>原料入库</v>
          </cell>
          <cell r="E396" t="str">
            <v>NO:0000958</v>
          </cell>
          <cell r="F396" t="str">
            <v>香梨</v>
          </cell>
          <cell r="G396" t="str">
            <v>香梨一级</v>
          </cell>
          <cell r="H396">
            <v>592</v>
          </cell>
          <cell r="I396" t="str">
            <v>筐</v>
          </cell>
          <cell r="J396">
            <v>10656</v>
          </cell>
          <cell r="K396" t="str"/>
          <cell r="L396" t="str"/>
          <cell r="M396" t="str">
            <v>左</v>
          </cell>
          <cell r="N396" t="str">
            <v>公司红周转筐</v>
          </cell>
          <cell r="O396" t="str"/>
          <cell r="P396" t="str"/>
          <cell r="Q396">
            <v>592</v>
          </cell>
          <cell r="R396" t="str">
            <v>新N*49209</v>
          </cell>
          <cell r="S396" t="str">
            <v>公司筐</v>
          </cell>
          <cell r="T396" t="str"/>
          <cell r="U396" t="str"/>
          <cell r="V396" t="str"/>
          <cell r="W396" t="str"/>
          <cell r="X396" t="str"/>
          <cell r="Y396" t="str"/>
        </row>
        <row r="396">
          <cell r="AA396" t="str"/>
          <cell r="AB396" t="str"/>
          <cell r="AC396" t="str"/>
          <cell r="AD396" t="str"/>
          <cell r="AE396" t="str"/>
          <cell r="AF396" t="str"/>
        </row>
        <row r="397">
          <cell r="B397">
            <v>46288</v>
          </cell>
          <cell r="C397" t="str">
            <v>王灵云</v>
          </cell>
          <cell r="D397" t="str">
            <v>原料入库</v>
          </cell>
          <cell r="E397" t="str">
            <v>NO:0000958</v>
          </cell>
          <cell r="F397" t="str">
            <v>香梨</v>
          </cell>
          <cell r="G397" t="str">
            <v>香梨二级</v>
          </cell>
          <cell r="H397">
            <v>48</v>
          </cell>
          <cell r="I397" t="str">
            <v>筐</v>
          </cell>
          <cell r="J397">
            <v>1056</v>
          </cell>
          <cell r="K397" t="str"/>
          <cell r="L397" t="str"/>
          <cell r="M397" t="str">
            <v>左</v>
          </cell>
          <cell r="N397" t="str">
            <v>公司红周转筐</v>
          </cell>
          <cell r="O397" t="str"/>
          <cell r="P397" t="str"/>
          <cell r="Q397">
            <v>48</v>
          </cell>
          <cell r="R397" t="str">
            <v>新N*49209</v>
          </cell>
          <cell r="S397" t="str">
            <v>公司筐</v>
          </cell>
          <cell r="T397" t="str"/>
          <cell r="U397" t="str"/>
          <cell r="V397" t="str"/>
          <cell r="W397" t="str"/>
          <cell r="X397" t="str"/>
          <cell r="Y397" t="str"/>
        </row>
        <row r="397">
          <cell r="AA397" t="str"/>
          <cell r="AB397" t="str"/>
          <cell r="AC397" t="str"/>
          <cell r="AD397" t="str"/>
          <cell r="AE397" t="str"/>
          <cell r="AF397" t="str"/>
        </row>
        <row r="398">
          <cell r="B398">
            <v>46288</v>
          </cell>
          <cell r="C398" t="str">
            <v>艾则孜</v>
          </cell>
          <cell r="D398" t="str">
            <v>原料入库</v>
          </cell>
          <cell r="E398" t="str">
            <v>NO:0000959</v>
          </cell>
          <cell r="F398" t="str">
            <v>香梨</v>
          </cell>
          <cell r="G398" t="str">
            <v>香梨一级</v>
          </cell>
          <cell r="H398">
            <v>286</v>
          </cell>
          <cell r="I398" t="str">
            <v>筐</v>
          </cell>
          <cell r="J398">
            <v>5519.8</v>
          </cell>
          <cell r="K398" t="str"/>
          <cell r="L398" t="str"/>
          <cell r="M398" t="str">
            <v>热合曼</v>
          </cell>
          <cell r="N398" t="str">
            <v>公司红周转筐</v>
          </cell>
          <cell r="O398" t="str"/>
          <cell r="P398" t="str"/>
          <cell r="Q398">
            <v>286</v>
          </cell>
          <cell r="R398" t="str">
            <v>新R*37010</v>
          </cell>
          <cell r="S398" t="str">
            <v>公司筐</v>
          </cell>
          <cell r="T398" t="str"/>
          <cell r="U398" t="str"/>
          <cell r="V398" t="str"/>
          <cell r="W398" t="str"/>
          <cell r="X398" t="str"/>
          <cell r="Y398" t="str"/>
        </row>
        <row r="398">
          <cell r="AA398" t="str"/>
          <cell r="AB398" t="str"/>
          <cell r="AC398" t="str"/>
          <cell r="AD398" t="str"/>
          <cell r="AE398" t="str"/>
          <cell r="AF398" t="str"/>
        </row>
        <row r="399">
          <cell r="B399">
            <v>46288</v>
          </cell>
          <cell r="C399" t="str">
            <v>艾则孜</v>
          </cell>
          <cell r="D399" t="str">
            <v>原料入库</v>
          </cell>
          <cell r="E399" t="str">
            <v>NO:0000959</v>
          </cell>
          <cell r="F399" t="str">
            <v>香梨</v>
          </cell>
          <cell r="G399" t="str">
            <v>香梨二级</v>
          </cell>
          <cell r="H399">
            <v>47</v>
          </cell>
          <cell r="I399" t="str">
            <v>筐</v>
          </cell>
          <cell r="J399">
            <v>1048.1</v>
          </cell>
          <cell r="K399" t="str"/>
          <cell r="L399" t="str"/>
          <cell r="M399" t="str">
            <v>热合曼</v>
          </cell>
          <cell r="N399" t="str">
            <v>公司红周转筐</v>
          </cell>
          <cell r="O399" t="str"/>
          <cell r="P399" t="str"/>
          <cell r="Q399">
            <v>47</v>
          </cell>
          <cell r="R399" t="str">
            <v>新R*37010</v>
          </cell>
          <cell r="S399" t="str">
            <v>公司筐</v>
          </cell>
          <cell r="T399" t="str"/>
          <cell r="U399" t="str"/>
          <cell r="V399" t="str"/>
          <cell r="W399" t="str"/>
          <cell r="X399" t="str"/>
          <cell r="Y399" t="str"/>
        </row>
        <row r="399">
          <cell r="AA399" t="str"/>
          <cell r="AB399" t="str"/>
          <cell r="AC399" t="str"/>
          <cell r="AD399" t="str"/>
          <cell r="AE399" t="str"/>
          <cell r="AF399" t="str"/>
        </row>
        <row r="400">
          <cell r="B400">
            <v>46288</v>
          </cell>
          <cell r="C400" t="str">
            <v>艾则孜</v>
          </cell>
          <cell r="D400" t="str">
            <v>原料入库</v>
          </cell>
          <cell r="E400" t="str">
            <v>NO:0000959</v>
          </cell>
          <cell r="F400" t="str">
            <v>香梨</v>
          </cell>
          <cell r="G400" t="str">
            <v>香梨副特</v>
          </cell>
          <cell r="H400">
            <v>253</v>
          </cell>
          <cell r="I400" t="str">
            <v>筐</v>
          </cell>
          <cell r="J400">
            <v>4882.9</v>
          </cell>
          <cell r="K400" t="str"/>
          <cell r="L400" t="str"/>
          <cell r="M400" t="str">
            <v>热合曼</v>
          </cell>
          <cell r="N400" t="str">
            <v>公司红周转筐</v>
          </cell>
          <cell r="O400" t="str"/>
          <cell r="P400" t="str"/>
          <cell r="Q400">
            <v>253</v>
          </cell>
          <cell r="R400" t="str">
            <v>新R*37010</v>
          </cell>
          <cell r="S400" t="str">
            <v>公司筐</v>
          </cell>
          <cell r="T400" t="str"/>
          <cell r="U400" t="str"/>
          <cell r="V400" t="str"/>
          <cell r="W400" t="str"/>
          <cell r="X400" t="str"/>
          <cell r="Y400" t="str"/>
        </row>
        <row r="400">
          <cell r="AA400" t="str"/>
          <cell r="AB400" t="str"/>
          <cell r="AC400" t="str"/>
          <cell r="AD400" t="str"/>
          <cell r="AE400" t="str"/>
          <cell r="AF400" t="str"/>
        </row>
        <row r="401">
          <cell r="B401">
            <v>46288</v>
          </cell>
          <cell r="C401" t="str">
            <v>荆建君</v>
          </cell>
          <cell r="D401" t="str">
            <v>原料入库</v>
          </cell>
          <cell r="E401" t="str">
            <v>NO:0000960</v>
          </cell>
          <cell r="F401" t="str">
            <v>香梨</v>
          </cell>
          <cell r="G401" t="str">
            <v>香梨一级</v>
          </cell>
          <cell r="H401">
            <v>336</v>
          </cell>
          <cell r="I401" t="str">
            <v>筐</v>
          </cell>
          <cell r="J401">
            <v>6148.8</v>
          </cell>
          <cell r="K401" t="str"/>
          <cell r="L401" t="str"/>
          <cell r="M401" t="str"/>
          <cell r="N401" t="str">
            <v>公司红周转筐</v>
          </cell>
          <cell r="O401" t="str"/>
          <cell r="P401" t="str"/>
          <cell r="Q401">
            <v>336</v>
          </cell>
          <cell r="R401" t="str">
            <v>豫A*2737K</v>
          </cell>
          <cell r="S401" t="str">
            <v>公司筐</v>
          </cell>
          <cell r="T401" t="str"/>
          <cell r="U401" t="str"/>
          <cell r="V401" t="str"/>
          <cell r="W401" t="str"/>
          <cell r="X401" t="str"/>
          <cell r="Y401" t="str"/>
        </row>
        <row r="401">
          <cell r="AA401" t="str"/>
          <cell r="AB401" t="str"/>
          <cell r="AC401" t="str"/>
          <cell r="AD401" t="str"/>
          <cell r="AE401" t="str"/>
          <cell r="AF401" t="str"/>
        </row>
        <row r="402">
          <cell r="B402">
            <v>46288</v>
          </cell>
          <cell r="C402" t="str">
            <v>荆建君</v>
          </cell>
          <cell r="D402" t="str">
            <v>原料入库</v>
          </cell>
          <cell r="E402" t="str">
            <v>NO:0000960</v>
          </cell>
          <cell r="F402" t="str">
            <v>香梨</v>
          </cell>
          <cell r="G402" t="str">
            <v>香梨二级</v>
          </cell>
          <cell r="H402">
            <v>312</v>
          </cell>
          <cell r="I402" t="str">
            <v>筐</v>
          </cell>
          <cell r="J402">
            <v>5709.6</v>
          </cell>
          <cell r="K402" t="str"/>
          <cell r="L402" t="str"/>
          <cell r="M402" t="str"/>
          <cell r="N402" t="str">
            <v>公司红周转筐</v>
          </cell>
          <cell r="O402" t="str"/>
          <cell r="P402" t="str"/>
          <cell r="Q402">
            <v>312</v>
          </cell>
          <cell r="R402" t="str">
            <v>豫A*2737K</v>
          </cell>
          <cell r="S402" t="str">
            <v>公司筐</v>
          </cell>
          <cell r="T402" t="str"/>
          <cell r="U402" t="str"/>
          <cell r="V402" t="str"/>
          <cell r="W402" t="str"/>
          <cell r="X402" t="str"/>
          <cell r="Y402" t="str"/>
        </row>
        <row r="402">
          <cell r="AA402" t="str"/>
          <cell r="AB402" t="str"/>
          <cell r="AC402" t="str"/>
          <cell r="AD402" t="str"/>
          <cell r="AE402" t="str"/>
          <cell r="AF402" t="str"/>
        </row>
        <row r="403">
          <cell r="B403">
            <v>46288</v>
          </cell>
          <cell r="C403" t="str">
            <v>李现东</v>
          </cell>
          <cell r="D403" t="str">
            <v>原料入库</v>
          </cell>
          <cell r="E403" t="str">
            <v>NO:0000961</v>
          </cell>
          <cell r="F403" t="str">
            <v>香梨</v>
          </cell>
          <cell r="G403" t="str">
            <v>香梨一级</v>
          </cell>
          <cell r="H403">
            <v>326</v>
          </cell>
          <cell r="I403" t="str">
            <v>筐</v>
          </cell>
          <cell r="J403">
            <v>5965.8</v>
          </cell>
          <cell r="K403" t="str"/>
          <cell r="L403" t="str"/>
          <cell r="M403" t="str">
            <v>王照雪</v>
          </cell>
          <cell r="N403" t="str">
            <v>公司杂周转筐</v>
          </cell>
          <cell r="O403" t="str"/>
          <cell r="P403" t="str"/>
          <cell r="Q403">
            <v>326</v>
          </cell>
          <cell r="R403" t="str">
            <v>新N*53045</v>
          </cell>
          <cell r="S403" t="str">
            <v>公司筐</v>
          </cell>
          <cell r="T403" t="str"/>
          <cell r="U403" t="str"/>
          <cell r="V403" t="str"/>
          <cell r="W403" t="str"/>
          <cell r="X403" t="str"/>
          <cell r="Y403" t="str"/>
        </row>
        <row r="403">
          <cell r="AA403" t="str"/>
          <cell r="AB403" t="str"/>
          <cell r="AC403" t="str"/>
          <cell r="AD403" t="str"/>
          <cell r="AE403" t="str"/>
          <cell r="AF403" t="str"/>
        </row>
        <row r="404">
          <cell r="B404">
            <v>46288</v>
          </cell>
          <cell r="C404" t="str">
            <v>李现东</v>
          </cell>
          <cell r="D404" t="str">
            <v>原料入库</v>
          </cell>
          <cell r="E404" t="str">
            <v>NO:0000961</v>
          </cell>
          <cell r="F404" t="str">
            <v>香梨</v>
          </cell>
          <cell r="G404" t="str">
            <v>香梨二级</v>
          </cell>
          <cell r="H404">
            <v>90</v>
          </cell>
          <cell r="I404" t="str">
            <v>筐</v>
          </cell>
          <cell r="J404">
            <v>2007</v>
          </cell>
          <cell r="K404" t="str"/>
          <cell r="L404" t="str"/>
          <cell r="M404" t="str">
            <v>王照雪</v>
          </cell>
          <cell r="N404" t="str">
            <v>公司杂周转筐</v>
          </cell>
          <cell r="O404" t="str"/>
          <cell r="P404" t="str"/>
          <cell r="Q404">
            <v>90</v>
          </cell>
          <cell r="R404" t="str">
            <v>新N*53045</v>
          </cell>
          <cell r="S404" t="str">
            <v>公司筐</v>
          </cell>
          <cell r="T404" t="str"/>
          <cell r="U404" t="str"/>
          <cell r="V404" t="str"/>
          <cell r="W404" t="str"/>
          <cell r="X404" t="str"/>
          <cell r="Y404" t="str"/>
        </row>
        <row r="404">
          <cell r="AA404" t="str"/>
          <cell r="AB404" t="str"/>
          <cell r="AC404" t="str"/>
          <cell r="AD404" t="str"/>
          <cell r="AE404" t="str"/>
          <cell r="AF404" t="str"/>
        </row>
        <row r="405">
          <cell r="B405">
            <v>46288</v>
          </cell>
          <cell r="C405" t="str">
            <v>李现东</v>
          </cell>
          <cell r="D405" t="str">
            <v>原料入库</v>
          </cell>
          <cell r="E405" t="str">
            <v>NO:0000961</v>
          </cell>
          <cell r="F405" t="str">
            <v>香梨</v>
          </cell>
          <cell r="G405" t="str">
            <v>香梨副特</v>
          </cell>
          <cell r="H405">
            <v>73</v>
          </cell>
          <cell r="I405" t="str">
            <v>筐</v>
          </cell>
          <cell r="J405">
            <v>1335.9</v>
          </cell>
          <cell r="K405" t="str"/>
          <cell r="L405" t="str"/>
          <cell r="M405" t="str">
            <v>王照雪</v>
          </cell>
          <cell r="N405" t="str">
            <v>公司杂周转筐</v>
          </cell>
          <cell r="O405" t="str"/>
          <cell r="P405" t="str"/>
          <cell r="Q405">
            <v>73</v>
          </cell>
          <cell r="R405" t="str">
            <v>新N*53045</v>
          </cell>
          <cell r="S405" t="str">
            <v>公司筐</v>
          </cell>
          <cell r="T405" t="str"/>
          <cell r="U405" t="str"/>
          <cell r="V405" t="str"/>
          <cell r="W405" t="str"/>
          <cell r="X405" t="str"/>
          <cell r="Y405" t="str"/>
        </row>
        <row r="405">
          <cell r="AA405" t="str"/>
          <cell r="AB405" t="str"/>
          <cell r="AC405" t="str"/>
          <cell r="AD405" t="str"/>
          <cell r="AE405" t="str"/>
          <cell r="AF405" t="str"/>
        </row>
        <row r="406">
          <cell r="B406">
            <v>46288</v>
          </cell>
          <cell r="C406" t="str">
            <v>金龙</v>
          </cell>
          <cell r="D406" t="str">
            <v>原料入库</v>
          </cell>
          <cell r="E406" t="str">
            <v>NO:0000963</v>
          </cell>
          <cell r="F406" t="str">
            <v>香梨</v>
          </cell>
          <cell r="G406" t="str">
            <v>香梨一级</v>
          </cell>
          <cell r="H406">
            <v>168</v>
          </cell>
          <cell r="I406" t="str">
            <v>筐</v>
          </cell>
          <cell r="J406">
            <v>3108</v>
          </cell>
          <cell r="K406" t="str"/>
          <cell r="L406" t="str"/>
          <cell r="M406" t="str"/>
          <cell r="N406" t="str">
            <v>自备一次性筐</v>
          </cell>
          <cell r="O406" t="str"/>
          <cell r="P406" t="str"/>
          <cell r="Q406">
            <v>168</v>
          </cell>
          <cell r="R406" t="str">
            <v>新N*F8C39</v>
          </cell>
          <cell r="S406" t="str">
            <v>自备筐</v>
          </cell>
          <cell r="T406" t="str"/>
          <cell r="U406" t="str"/>
          <cell r="V406" t="str"/>
          <cell r="W406" t="str"/>
          <cell r="X406" t="str"/>
          <cell r="Y406" t="str"/>
        </row>
        <row r="406">
          <cell r="AA406" t="str"/>
          <cell r="AB406" t="str"/>
          <cell r="AC406" t="str"/>
          <cell r="AD406" t="str"/>
          <cell r="AE406" t="str"/>
          <cell r="AF406" t="str"/>
        </row>
        <row r="407">
          <cell r="B407">
            <v>46288</v>
          </cell>
          <cell r="C407" t="str">
            <v>金龙</v>
          </cell>
          <cell r="D407" t="str">
            <v>原料入库</v>
          </cell>
          <cell r="E407" t="str">
            <v>NO:0000964</v>
          </cell>
          <cell r="F407" t="str">
            <v>香梨</v>
          </cell>
          <cell r="G407" t="str">
            <v>香梨一级</v>
          </cell>
          <cell r="H407">
            <v>257</v>
          </cell>
          <cell r="I407" t="str">
            <v>筐</v>
          </cell>
          <cell r="J407">
            <v>4754.5</v>
          </cell>
          <cell r="K407" t="str"/>
          <cell r="L407" t="str"/>
          <cell r="M407" t="str"/>
          <cell r="N407" t="str">
            <v>自备一次性筐</v>
          </cell>
          <cell r="O407" t="str"/>
          <cell r="P407" t="str"/>
          <cell r="Q407">
            <v>257</v>
          </cell>
          <cell r="R407" t="str">
            <v>新N*X4V68</v>
          </cell>
          <cell r="S407" t="str">
            <v>自备筐</v>
          </cell>
          <cell r="T407" t="str"/>
          <cell r="U407" t="str"/>
          <cell r="V407" t="str"/>
          <cell r="W407" t="str"/>
          <cell r="X407" t="str"/>
          <cell r="Y407" t="str"/>
        </row>
        <row r="407">
          <cell r="AA407" t="str"/>
          <cell r="AB407" t="str"/>
          <cell r="AC407" t="str"/>
          <cell r="AD407" t="str"/>
          <cell r="AE407" t="str"/>
          <cell r="AF407" t="str"/>
        </row>
        <row r="408">
          <cell r="B408">
            <v>46288</v>
          </cell>
          <cell r="C408" t="str">
            <v>艾海提</v>
          </cell>
          <cell r="D408" t="str">
            <v>原料入库</v>
          </cell>
          <cell r="E408" t="str">
            <v>NO:0000965</v>
          </cell>
          <cell r="F408" t="str">
            <v>香梨</v>
          </cell>
          <cell r="G408" t="str">
            <v>香梨一级</v>
          </cell>
          <cell r="H408">
            <v>118</v>
          </cell>
          <cell r="I408" t="str">
            <v>筐</v>
          </cell>
          <cell r="J408">
            <v>2265.6</v>
          </cell>
          <cell r="K408" t="str"/>
          <cell r="L408" t="str"/>
          <cell r="M408" t="str"/>
          <cell r="N408" t="str">
            <v>公司红周转筐</v>
          </cell>
          <cell r="O408" t="str"/>
          <cell r="P408" t="str"/>
          <cell r="Q408">
            <v>118</v>
          </cell>
          <cell r="R408" t="str">
            <v>新N*WX586</v>
          </cell>
          <cell r="S408" t="str">
            <v>公司筐</v>
          </cell>
          <cell r="T408" t="str"/>
          <cell r="U408" t="str"/>
          <cell r="V408" t="str"/>
          <cell r="W408" t="str"/>
          <cell r="X408" t="str"/>
          <cell r="Y408" t="str"/>
        </row>
        <row r="408">
          <cell r="AA408" t="str"/>
          <cell r="AB408" t="str"/>
          <cell r="AC408" t="str"/>
          <cell r="AD408" t="str"/>
          <cell r="AE408" t="str"/>
          <cell r="AF408" t="str"/>
        </row>
        <row r="409">
          <cell r="B409">
            <v>46288</v>
          </cell>
          <cell r="C409" t="str">
            <v>艾海提</v>
          </cell>
          <cell r="D409" t="str">
            <v>原料入库</v>
          </cell>
          <cell r="E409" t="str">
            <v>NO:0000965</v>
          </cell>
          <cell r="F409" t="str">
            <v>香梨</v>
          </cell>
          <cell r="G409" t="str">
            <v>香梨副特</v>
          </cell>
          <cell r="H409">
            <v>60</v>
          </cell>
          <cell r="I409" t="str">
            <v>筐</v>
          </cell>
          <cell r="J409">
            <v>1152</v>
          </cell>
          <cell r="K409" t="str"/>
          <cell r="L409" t="str"/>
          <cell r="M409" t="str"/>
          <cell r="N409" t="str">
            <v>公司红周转筐</v>
          </cell>
          <cell r="O409" t="str"/>
          <cell r="P409" t="str"/>
          <cell r="Q409">
            <v>60</v>
          </cell>
          <cell r="R409" t="str">
            <v>新N*WX586</v>
          </cell>
          <cell r="S409" t="str">
            <v>公司筐</v>
          </cell>
          <cell r="T409" t="str"/>
          <cell r="U409" t="str"/>
          <cell r="V409" t="str"/>
          <cell r="W409" t="str"/>
          <cell r="X409" t="str"/>
          <cell r="Y409" t="str"/>
        </row>
        <row r="409">
          <cell r="AA409" t="str"/>
          <cell r="AB409" t="str"/>
          <cell r="AC409" t="str"/>
          <cell r="AD409" t="str"/>
          <cell r="AE409" t="str"/>
          <cell r="AF409" t="str"/>
        </row>
        <row r="410">
          <cell r="B410">
            <v>46288</v>
          </cell>
          <cell r="C410" t="str">
            <v>艾海提</v>
          </cell>
          <cell r="D410" t="str">
            <v>原料入库</v>
          </cell>
          <cell r="E410" t="str">
            <v>NO:0000965</v>
          </cell>
          <cell r="F410" t="str">
            <v>香梨</v>
          </cell>
          <cell r="G410" t="str">
            <v>香梨二级</v>
          </cell>
          <cell r="H410">
            <v>15</v>
          </cell>
          <cell r="I410" t="str">
            <v>筐</v>
          </cell>
          <cell r="J410">
            <v>333</v>
          </cell>
          <cell r="K410" t="str"/>
          <cell r="L410" t="str"/>
          <cell r="M410" t="str"/>
          <cell r="N410" t="str">
            <v>公司红周转筐</v>
          </cell>
          <cell r="O410" t="str"/>
          <cell r="P410" t="str"/>
          <cell r="Q410">
            <v>15</v>
          </cell>
          <cell r="R410" t="str">
            <v>新N*WX586</v>
          </cell>
          <cell r="S410" t="str">
            <v>公司筐</v>
          </cell>
          <cell r="T410" t="str"/>
          <cell r="U410" t="str"/>
          <cell r="V410" t="str"/>
          <cell r="W410" t="str"/>
          <cell r="X410" t="str"/>
          <cell r="Y410" t="str"/>
        </row>
        <row r="410">
          <cell r="AA410" t="str"/>
          <cell r="AB410" t="str"/>
          <cell r="AC410" t="str"/>
          <cell r="AD410" t="str"/>
          <cell r="AE410" t="str"/>
          <cell r="AF410" t="str"/>
        </row>
        <row r="411">
          <cell r="B411">
            <v>46289</v>
          </cell>
          <cell r="C411" t="str">
            <v>阿布都</v>
          </cell>
          <cell r="D411" t="str">
            <v>原料入库</v>
          </cell>
          <cell r="E411" t="str">
            <v>NO:0000966</v>
          </cell>
          <cell r="F411" t="str">
            <v>香梨</v>
          </cell>
          <cell r="G411" t="str">
            <v>香梨特级</v>
          </cell>
          <cell r="H411">
            <v>116</v>
          </cell>
          <cell r="I411" t="str">
            <v>筐</v>
          </cell>
          <cell r="J411">
            <v>2122.8</v>
          </cell>
          <cell r="K411" t="str"/>
          <cell r="L411" t="str"/>
          <cell r="M411" t="str">
            <v>努尔敦/二黄</v>
          </cell>
          <cell r="N411" t="str">
            <v>公司红周转筐</v>
          </cell>
          <cell r="O411" t="str"/>
          <cell r="P411" t="str"/>
          <cell r="Q411">
            <v>116</v>
          </cell>
          <cell r="R411" t="str">
            <v>新N*F0M01</v>
          </cell>
          <cell r="S411" t="str">
            <v>公司筐</v>
          </cell>
          <cell r="T411" t="str"/>
          <cell r="U411" t="str"/>
          <cell r="V411" t="str"/>
          <cell r="W411" t="str"/>
          <cell r="X411" t="str"/>
          <cell r="Y411" t="str"/>
        </row>
        <row r="411">
          <cell r="AA411" t="str"/>
          <cell r="AB411" t="str"/>
          <cell r="AC411" t="str"/>
          <cell r="AD411" t="str"/>
          <cell r="AE411" t="str"/>
          <cell r="AF411" t="str"/>
        </row>
        <row r="412">
          <cell r="B412">
            <v>46289</v>
          </cell>
          <cell r="C412" t="str">
            <v>阿布都</v>
          </cell>
          <cell r="D412" t="str">
            <v>原料入库</v>
          </cell>
          <cell r="E412" t="str">
            <v>NO:0000966</v>
          </cell>
          <cell r="F412" t="str">
            <v>香梨</v>
          </cell>
          <cell r="G412" t="str">
            <v>香梨一级</v>
          </cell>
          <cell r="H412">
            <v>61</v>
          </cell>
          <cell r="I412" t="str">
            <v>筐</v>
          </cell>
          <cell r="J412">
            <v>1116.3</v>
          </cell>
          <cell r="K412" t="str"/>
          <cell r="L412" t="str"/>
          <cell r="M412" t="str">
            <v>努尔敦/二黄</v>
          </cell>
          <cell r="N412" t="str">
            <v>公司红周转筐</v>
          </cell>
          <cell r="O412" t="str"/>
          <cell r="P412" t="str"/>
          <cell r="Q412">
            <v>61</v>
          </cell>
          <cell r="R412" t="str">
            <v>新N*F0M01</v>
          </cell>
          <cell r="S412" t="str">
            <v>公司筐</v>
          </cell>
          <cell r="T412" t="str"/>
          <cell r="U412" t="str"/>
          <cell r="V412" t="str"/>
          <cell r="W412" t="str"/>
          <cell r="X412" t="str"/>
          <cell r="Y412" t="str"/>
        </row>
        <row r="412">
          <cell r="AA412" t="str"/>
          <cell r="AB412" t="str"/>
          <cell r="AC412" t="str"/>
          <cell r="AD412" t="str"/>
          <cell r="AE412" t="str"/>
          <cell r="AF412" t="str"/>
        </row>
        <row r="413">
          <cell r="B413">
            <v>46289</v>
          </cell>
          <cell r="C413" t="str">
            <v>阿布都</v>
          </cell>
          <cell r="D413" t="str">
            <v>原料入库</v>
          </cell>
          <cell r="E413" t="str">
            <v>NO:0000966</v>
          </cell>
          <cell r="F413" t="str">
            <v>香梨</v>
          </cell>
          <cell r="G413" t="str">
            <v>香梨副特</v>
          </cell>
          <cell r="H413">
            <v>140</v>
          </cell>
          <cell r="I413" t="str">
            <v>筐</v>
          </cell>
          <cell r="J413">
            <v>2562</v>
          </cell>
          <cell r="K413" t="str"/>
          <cell r="L413" t="str"/>
          <cell r="M413" t="str">
            <v>努尔敦/二黄</v>
          </cell>
          <cell r="N413" t="str">
            <v>公司红周转筐</v>
          </cell>
          <cell r="O413" t="str"/>
          <cell r="P413" t="str"/>
          <cell r="Q413">
            <v>140</v>
          </cell>
          <cell r="R413" t="str">
            <v>新N*F0M01</v>
          </cell>
          <cell r="S413" t="str">
            <v>公司筐</v>
          </cell>
          <cell r="T413" t="str"/>
          <cell r="U413" t="str"/>
          <cell r="V413" t="str"/>
          <cell r="W413" t="str"/>
          <cell r="X413" t="str"/>
          <cell r="Y413" t="str"/>
        </row>
        <row r="413">
          <cell r="AA413" t="str"/>
          <cell r="AB413" t="str"/>
          <cell r="AC413" t="str"/>
          <cell r="AD413" t="str"/>
          <cell r="AE413" t="str"/>
          <cell r="AF413" t="str"/>
        </row>
        <row r="414">
          <cell r="B414">
            <v>46289</v>
          </cell>
          <cell r="C414" t="str">
            <v>努尔敦</v>
          </cell>
          <cell r="D414" t="str">
            <v>原料入库</v>
          </cell>
          <cell r="E414" t="str">
            <v>NO:0000967</v>
          </cell>
          <cell r="F414" t="str">
            <v>香梨</v>
          </cell>
          <cell r="G414" t="str">
            <v>香梨特级</v>
          </cell>
          <cell r="H414">
            <v>491</v>
          </cell>
          <cell r="I414" t="str">
            <v>筐</v>
          </cell>
          <cell r="J414">
            <v>8985.3</v>
          </cell>
          <cell r="K414" t="str"/>
          <cell r="L414" t="str"/>
          <cell r="M414" t="str"/>
          <cell r="N414" t="str">
            <v>公司红周转筐</v>
          </cell>
          <cell r="O414" t="str"/>
          <cell r="P414" t="str"/>
          <cell r="Q414">
            <v>491</v>
          </cell>
          <cell r="R414" t="str">
            <v>新F*75240</v>
          </cell>
          <cell r="S414" t="str">
            <v>公司筐</v>
          </cell>
          <cell r="T414" t="str"/>
          <cell r="U414" t="str"/>
          <cell r="V414" t="str"/>
          <cell r="W414" t="str"/>
          <cell r="X414" t="str"/>
          <cell r="Y414" t="str"/>
        </row>
        <row r="414">
          <cell r="AA414" t="str"/>
          <cell r="AB414" t="str"/>
          <cell r="AC414" t="str"/>
          <cell r="AD414" t="str"/>
          <cell r="AE414" t="str"/>
          <cell r="AF414" t="str"/>
        </row>
        <row r="415">
          <cell r="B415">
            <v>46289</v>
          </cell>
          <cell r="C415" t="str">
            <v>努尔敦</v>
          </cell>
          <cell r="D415" t="str">
            <v>原料入库</v>
          </cell>
          <cell r="E415" t="str">
            <v>NO:0000967</v>
          </cell>
          <cell r="F415" t="str">
            <v>香梨</v>
          </cell>
          <cell r="G415" t="str">
            <v>香梨二级</v>
          </cell>
          <cell r="H415">
            <v>152</v>
          </cell>
          <cell r="I415" t="str">
            <v>筐</v>
          </cell>
          <cell r="J415">
            <v>3389.6</v>
          </cell>
          <cell r="K415" t="str"/>
          <cell r="L415" t="str"/>
          <cell r="M415" t="str"/>
          <cell r="N415" t="str">
            <v>公司红周转筐</v>
          </cell>
          <cell r="O415" t="str"/>
          <cell r="P415" t="str"/>
          <cell r="Q415">
            <v>152</v>
          </cell>
          <cell r="R415" t="str">
            <v>新F*75240</v>
          </cell>
          <cell r="S415" t="str">
            <v>公司筐</v>
          </cell>
          <cell r="T415" t="str"/>
          <cell r="U415" t="str"/>
          <cell r="V415" t="str"/>
          <cell r="W415" t="str"/>
          <cell r="X415" t="str"/>
          <cell r="Y415" t="str"/>
        </row>
        <row r="415">
          <cell r="AA415" t="str"/>
          <cell r="AB415" t="str"/>
          <cell r="AC415" t="str"/>
          <cell r="AD415" t="str"/>
          <cell r="AE415" t="str"/>
          <cell r="AF415" t="str"/>
        </row>
        <row r="416">
          <cell r="B416">
            <v>46289</v>
          </cell>
          <cell r="C416" t="str">
            <v>努尔敦</v>
          </cell>
          <cell r="D416" t="str">
            <v>原料入库</v>
          </cell>
          <cell r="E416" t="str">
            <v>NO:0000970</v>
          </cell>
          <cell r="F416" t="str">
            <v>香梨</v>
          </cell>
          <cell r="G416" t="str">
            <v>香梨特级</v>
          </cell>
          <cell r="H416">
            <v>136</v>
          </cell>
          <cell r="I416" t="str">
            <v>筐</v>
          </cell>
          <cell r="J416">
            <v>2488.8</v>
          </cell>
          <cell r="K416" t="str"/>
          <cell r="L416" t="str"/>
          <cell r="M416" t="str">
            <v>二黄</v>
          </cell>
          <cell r="N416" t="str">
            <v>公司红周转筐</v>
          </cell>
          <cell r="O416" t="str"/>
          <cell r="P416" t="str"/>
          <cell r="Q416">
            <v>136</v>
          </cell>
          <cell r="R416" t="str">
            <v>新F*75240</v>
          </cell>
          <cell r="S416" t="str">
            <v>公司筐</v>
          </cell>
          <cell r="T416" t="str"/>
          <cell r="U416" t="str"/>
          <cell r="V416" t="str"/>
          <cell r="W416" t="str"/>
          <cell r="X416" t="str"/>
          <cell r="Y416" t="str"/>
        </row>
        <row r="416">
          <cell r="AA416" t="str"/>
          <cell r="AB416" t="str"/>
          <cell r="AC416" t="str"/>
          <cell r="AD416" t="str"/>
          <cell r="AE416" t="str"/>
          <cell r="AF416" t="str"/>
        </row>
        <row r="417">
          <cell r="B417">
            <v>46289</v>
          </cell>
          <cell r="C417" t="str">
            <v>努尔敦</v>
          </cell>
          <cell r="D417" t="str">
            <v>原料入库</v>
          </cell>
          <cell r="E417" t="str">
            <v>NO:0000970</v>
          </cell>
          <cell r="F417" t="str">
            <v>香梨</v>
          </cell>
          <cell r="G417" t="str">
            <v>香梨一级</v>
          </cell>
          <cell r="H417">
            <v>405</v>
          </cell>
          <cell r="I417" t="str">
            <v>筐</v>
          </cell>
          <cell r="J417">
            <v>7411.5</v>
          </cell>
          <cell r="K417" t="str"/>
          <cell r="L417" t="str"/>
          <cell r="M417" t="str">
            <v>二黄</v>
          </cell>
          <cell r="N417" t="str">
            <v>公司红周转筐</v>
          </cell>
          <cell r="O417" t="str"/>
          <cell r="P417" t="str"/>
          <cell r="Q417">
            <v>405</v>
          </cell>
          <cell r="R417" t="str">
            <v>新F*75240</v>
          </cell>
          <cell r="S417" t="str">
            <v>公司筐</v>
          </cell>
          <cell r="T417" t="str"/>
          <cell r="U417" t="str"/>
          <cell r="V417" t="str"/>
          <cell r="W417" t="str"/>
          <cell r="X417" t="str"/>
          <cell r="Y417" t="str"/>
        </row>
        <row r="417">
          <cell r="AA417" t="str"/>
          <cell r="AB417" t="str"/>
          <cell r="AC417" t="str"/>
          <cell r="AD417" t="str"/>
          <cell r="AE417" t="str"/>
          <cell r="AF417" t="str"/>
        </row>
        <row r="418">
          <cell r="B418">
            <v>46289</v>
          </cell>
          <cell r="C418" t="str">
            <v>努尔敦</v>
          </cell>
          <cell r="D418" t="str">
            <v>原料入库</v>
          </cell>
          <cell r="E418" t="str">
            <v>NO:0000970</v>
          </cell>
          <cell r="F418" t="str">
            <v>香梨</v>
          </cell>
          <cell r="G418" t="str">
            <v>香梨二级</v>
          </cell>
          <cell r="H418">
            <v>109</v>
          </cell>
          <cell r="I418" t="str">
            <v>筐</v>
          </cell>
          <cell r="J418">
            <v>2430.7</v>
          </cell>
          <cell r="K418" t="str"/>
          <cell r="L418" t="str"/>
          <cell r="M418" t="str">
            <v>二黄</v>
          </cell>
          <cell r="N418" t="str">
            <v>公司红周转筐</v>
          </cell>
          <cell r="O418" t="str"/>
          <cell r="P418" t="str"/>
          <cell r="Q418">
            <v>109</v>
          </cell>
          <cell r="R418" t="str">
            <v>新F*75240</v>
          </cell>
          <cell r="S418" t="str">
            <v>公司筐</v>
          </cell>
          <cell r="T418" t="str"/>
          <cell r="U418" t="str"/>
          <cell r="V418" t="str"/>
          <cell r="W418" t="str"/>
          <cell r="X418" t="str"/>
          <cell r="Y418" t="str"/>
        </row>
        <row r="418">
          <cell r="AA418" t="str"/>
          <cell r="AB418" t="str"/>
          <cell r="AC418" t="str"/>
          <cell r="AD418" t="str"/>
          <cell r="AE418" t="str"/>
          <cell r="AF418" t="str"/>
        </row>
        <row r="419">
          <cell r="B419">
            <v>46289</v>
          </cell>
          <cell r="C419" t="str">
            <v>王灵云</v>
          </cell>
          <cell r="D419" t="str">
            <v>原料入库</v>
          </cell>
          <cell r="E419" t="str">
            <v>NO:0000971</v>
          </cell>
          <cell r="F419" t="str">
            <v>香梨</v>
          </cell>
          <cell r="G419" t="str">
            <v>香梨一级</v>
          </cell>
          <cell r="H419">
            <v>449</v>
          </cell>
          <cell r="I419" t="str">
            <v>筐</v>
          </cell>
          <cell r="J419">
            <v>8082</v>
          </cell>
          <cell r="K419" t="str"/>
          <cell r="L419" t="str"/>
          <cell r="M419" t="str">
            <v>二黄</v>
          </cell>
          <cell r="N419" t="str">
            <v>公司红周转筐</v>
          </cell>
          <cell r="O419" t="str"/>
          <cell r="P419" t="str"/>
          <cell r="Q419">
            <v>449</v>
          </cell>
          <cell r="R419" t="str">
            <v>新N*49209</v>
          </cell>
          <cell r="S419" t="str">
            <v>公司筐</v>
          </cell>
          <cell r="T419" t="str"/>
          <cell r="U419" t="str"/>
          <cell r="V419" t="str"/>
          <cell r="W419" t="str"/>
          <cell r="X419" t="str"/>
          <cell r="Y419" t="str"/>
        </row>
        <row r="419">
          <cell r="AA419" t="str"/>
          <cell r="AB419" t="str"/>
          <cell r="AC419" t="str"/>
          <cell r="AD419" t="str"/>
          <cell r="AE419" t="str"/>
          <cell r="AF419" t="str"/>
        </row>
        <row r="420">
          <cell r="B420">
            <v>46289</v>
          </cell>
          <cell r="C420" t="str">
            <v>王灵云</v>
          </cell>
          <cell r="D420" t="str">
            <v>原料入库</v>
          </cell>
          <cell r="E420" t="str">
            <v>NO:0000971</v>
          </cell>
          <cell r="F420" t="str">
            <v>香梨</v>
          </cell>
          <cell r="G420" t="str">
            <v>香梨二级</v>
          </cell>
          <cell r="H420">
            <v>68</v>
          </cell>
          <cell r="I420" t="str">
            <v>筐</v>
          </cell>
          <cell r="J420">
            <v>1564</v>
          </cell>
          <cell r="K420" t="str"/>
          <cell r="L420" t="str"/>
          <cell r="M420" t="str">
            <v>二黄</v>
          </cell>
          <cell r="N420" t="str">
            <v>公司红周转筐</v>
          </cell>
          <cell r="O420" t="str"/>
          <cell r="P420" t="str"/>
          <cell r="Q420">
            <v>68</v>
          </cell>
          <cell r="R420" t="str">
            <v>新N*49209</v>
          </cell>
          <cell r="S420" t="str">
            <v>公司筐</v>
          </cell>
          <cell r="T420" t="str"/>
          <cell r="U420" t="str"/>
          <cell r="V420" t="str"/>
          <cell r="W420" t="str"/>
          <cell r="X420" t="str"/>
          <cell r="Y420" t="str"/>
        </row>
        <row r="420">
          <cell r="AA420" t="str"/>
          <cell r="AB420" t="str"/>
          <cell r="AC420" t="str"/>
          <cell r="AD420" t="str"/>
          <cell r="AE420" t="str"/>
          <cell r="AF420" t="str"/>
        </row>
        <row r="421">
          <cell r="B421">
            <v>46289</v>
          </cell>
          <cell r="C421" t="str">
            <v>王灵云</v>
          </cell>
          <cell r="D421" t="str">
            <v>原料入库</v>
          </cell>
          <cell r="E421" t="str">
            <v>NO:0000971</v>
          </cell>
          <cell r="F421" t="str">
            <v>香梨</v>
          </cell>
          <cell r="G421" t="str">
            <v>香梨副特</v>
          </cell>
          <cell r="H421">
            <v>172</v>
          </cell>
          <cell r="I421" t="str">
            <v>筐</v>
          </cell>
          <cell r="J421">
            <v>3096</v>
          </cell>
          <cell r="K421" t="str"/>
          <cell r="L421" t="str"/>
          <cell r="M421" t="str">
            <v>二黄</v>
          </cell>
          <cell r="N421" t="str">
            <v>公司红周转筐</v>
          </cell>
          <cell r="O421" t="str"/>
          <cell r="P421" t="str"/>
          <cell r="Q421">
            <v>172</v>
          </cell>
          <cell r="R421" t="str">
            <v>新N*49209</v>
          </cell>
          <cell r="S421" t="str">
            <v>公司筐</v>
          </cell>
          <cell r="T421" t="str"/>
          <cell r="U421" t="str"/>
          <cell r="V421" t="str"/>
          <cell r="W421" t="str"/>
          <cell r="X421" t="str"/>
          <cell r="Y421" t="str"/>
        </row>
        <row r="421">
          <cell r="AA421" t="str"/>
          <cell r="AB421" t="str"/>
          <cell r="AC421" t="str"/>
          <cell r="AD421" t="str"/>
          <cell r="AE421" t="str"/>
          <cell r="AF421" t="str"/>
        </row>
        <row r="422">
          <cell r="B422">
            <v>46289</v>
          </cell>
          <cell r="C422" t="str">
            <v>王灵云</v>
          </cell>
          <cell r="D422" t="str">
            <v>原料入库</v>
          </cell>
          <cell r="E422" t="str">
            <v>NO:0000973</v>
          </cell>
          <cell r="F422" t="str">
            <v>香梨</v>
          </cell>
          <cell r="G422" t="str">
            <v>香梨一级</v>
          </cell>
          <cell r="H422">
            <v>616</v>
          </cell>
          <cell r="I422" t="str">
            <v>筐</v>
          </cell>
          <cell r="J422">
            <v>11088</v>
          </cell>
          <cell r="K422" t="str"/>
          <cell r="L422" t="str"/>
          <cell r="M422" t="str">
            <v>左/二黄</v>
          </cell>
          <cell r="N422" t="str">
            <v>公司红周转筐</v>
          </cell>
          <cell r="O422" t="str"/>
          <cell r="P422" t="str"/>
          <cell r="Q422">
            <v>616</v>
          </cell>
          <cell r="R422" t="str">
            <v>新N*49209</v>
          </cell>
          <cell r="S422" t="str">
            <v>公司筐</v>
          </cell>
          <cell r="T422" t="str"/>
          <cell r="U422" t="str"/>
          <cell r="V422" t="str"/>
          <cell r="W422" t="str"/>
          <cell r="X422" t="str"/>
          <cell r="Y422" t="str"/>
        </row>
        <row r="422">
          <cell r="AA422" t="str"/>
          <cell r="AB422" t="str"/>
          <cell r="AC422" t="str"/>
          <cell r="AD422" t="str"/>
          <cell r="AE422" t="str"/>
          <cell r="AF422" t="str"/>
        </row>
        <row r="423">
          <cell r="B423">
            <v>46289</v>
          </cell>
          <cell r="C423" t="str">
            <v>王灵云</v>
          </cell>
          <cell r="D423" t="str">
            <v>原料入库</v>
          </cell>
          <cell r="E423" t="str">
            <v>NO:0000973</v>
          </cell>
          <cell r="F423" t="str">
            <v>香梨</v>
          </cell>
          <cell r="G423" t="str">
            <v>香梨二级</v>
          </cell>
          <cell r="H423">
            <v>24</v>
          </cell>
          <cell r="I423" t="str">
            <v>筐</v>
          </cell>
          <cell r="J423">
            <v>528</v>
          </cell>
          <cell r="K423" t="str"/>
          <cell r="L423" t="str"/>
          <cell r="M423" t="str">
            <v>左/二黄</v>
          </cell>
          <cell r="N423" t="str">
            <v>公司红周转筐</v>
          </cell>
          <cell r="O423" t="str"/>
          <cell r="P423" t="str"/>
          <cell r="Q423">
            <v>24</v>
          </cell>
          <cell r="R423" t="str">
            <v>新N*49209</v>
          </cell>
          <cell r="S423" t="str">
            <v>公司筐</v>
          </cell>
          <cell r="T423" t="str"/>
          <cell r="U423" t="str"/>
          <cell r="V423" t="str"/>
          <cell r="W423" t="str"/>
          <cell r="X423" t="str"/>
          <cell r="Y423" t="str"/>
        </row>
        <row r="423">
          <cell r="AA423" t="str"/>
          <cell r="AB423" t="str"/>
          <cell r="AC423" t="str"/>
          <cell r="AD423" t="str"/>
          <cell r="AE423" t="str"/>
          <cell r="AF423" t="str"/>
        </row>
        <row r="424">
          <cell r="B424">
            <v>46289</v>
          </cell>
          <cell r="C424" t="str">
            <v>阿布都</v>
          </cell>
          <cell r="D424" t="str">
            <v>原料入库</v>
          </cell>
          <cell r="E424" t="str">
            <v>NO:0000974</v>
          </cell>
          <cell r="F424" t="str">
            <v>香梨</v>
          </cell>
          <cell r="G424" t="str">
            <v>香梨特级</v>
          </cell>
          <cell r="H424">
            <v>151</v>
          </cell>
          <cell r="I424" t="str">
            <v>筐</v>
          </cell>
          <cell r="J424">
            <v>2763.3</v>
          </cell>
          <cell r="K424" t="str"/>
          <cell r="L424" t="str"/>
          <cell r="M424" t="str">
            <v>努尔敦/二黄</v>
          </cell>
          <cell r="N424" t="str">
            <v>公司红周转筐</v>
          </cell>
          <cell r="O424" t="str"/>
          <cell r="P424" t="str"/>
          <cell r="Q424">
            <v>151</v>
          </cell>
          <cell r="R424" t="str">
            <v>新N*F0M01</v>
          </cell>
          <cell r="S424" t="str">
            <v>公司筐</v>
          </cell>
          <cell r="T424" t="str"/>
          <cell r="U424" t="str"/>
          <cell r="V424" t="str"/>
          <cell r="W424" t="str"/>
          <cell r="X424" t="str"/>
          <cell r="Y424" t="str"/>
        </row>
        <row r="424">
          <cell r="AA424" t="str"/>
          <cell r="AB424" t="str"/>
          <cell r="AC424" t="str"/>
          <cell r="AD424" t="str"/>
          <cell r="AE424" t="str"/>
          <cell r="AF424" t="str"/>
        </row>
        <row r="425">
          <cell r="B425">
            <v>46289</v>
          </cell>
          <cell r="C425" t="str">
            <v>阿布都</v>
          </cell>
          <cell r="D425" t="str">
            <v>原料入库</v>
          </cell>
          <cell r="E425" t="str">
            <v>NO:0000974</v>
          </cell>
          <cell r="F425" t="str">
            <v>香梨</v>
          </cell>
          <cell r="G425" t="str">
            <v>香梨一级</v>
          </cell>
          <cell r="H425">
            <v>40</v>
          </cell>
          <cell r="I425" t="str">
            <v>筐</v>
          </cell>
          <cell r="J425">
            <v>732</v>
          </cell>
          <cell r="K425" t="str"/>
          <cell r="L425" t="str"/>
          <cell r="M425" t="str">
            <v>努尔敦/二黄</v>
          </cell>
          <cell r="N425" t="str">
            <v>公司红周转筐</v>
          </cell>
          <cell r="O425" t="str"/>
          <cell r="P425" t="str"/>
          <cell r="Q425">
            <v>40</v>
          </cell>
          <cell r="R425" t="str">
            <v>新N*F0M01</v>
          </cell>
          <cell r="S425" t="str">
            <v>公司筐</v>
          </cell>
          <cell r="T425" t="str"/>
          <cell r="U425" t="str"/>
          <cell r="V425" t="str"/>
          <cell r="W425" t="str"/>
          <cell r="X425" t="str"/>
          <cell r="Y425" t="str"/>
        </row>
        <row r="425">
          <cell r="AA425" t="str"/>
          <cell r="AB425" t="str"/>
          <cell r="AC425" t="str"/>
          <cell r="AD425" t="str"/>
          <cell r="AE425" t="str"/>
          <cell r="AF425" t="str"/>
        </row>
        <row r="426">
          <cell r="B426">
            <v>46289</v>
          </cell>
          <cell r="C426" t="str">
            <v>阿布都</v>
          </cell>
          <cell r="D426" t="str">
            <v>原料入库</v>
          </cell>
          <cell r="E426" t="str">
            <v>NO:0000974</v>
          </cell>
          <cell r="F426" t="str">
            <v>香梨</v>
          </cell>
          <cell r="G426" t="str">
            <v>香梨副特</v>
          </cell>
          <cell r="H426">
            <v>117</v>
          </cell>
          <cell r="I426" t="str">
            <v>筐</v>
          </cell>
          <cell r="J426">
            <v>2141.1</v>
          </cell>
          <cell r="K426" t="str"/>
          <cell r="L426" t="str"/>
          <cell r="M426" t="str">
            <v>努尔敦/二黄</v>
          </cell>
          <cell r="N426" t="str">
            <v>公司红周转筐</v>
          </cell>
          <cell r="O426" t="str"/>
          <cell r="P426" t="str"/>
          <cell r="Q426">
            <v>117</v>
          </cell>
          <cell r="R426" t="str">
            <v>新N*F0M01</v>
          </cell>
          <cell r="S426" t="str">
            <v>公司筐</v>
          </cell>
          <cell r="T426" t="str"/>
          <cell r="U426" t="str"/>
          <cell r="V426" t="str"/>
          <cell r="W426" t="str"/>
          <cell r="X426" t="str"/>
          <cell r="Y426" t="str"/>
        </row>
        <row r="426">
          <cell r="AA426" t="str"/>
          <cell r="AB426" t="str"/>
          <cell r="AC426" t="str"/>
          <cell r="AD426" t="str"/>
          <cell r="AE426" t="str"/>
          <cell r="AF426" t="str"/>
        </row>
        <row r="427">
          <cell r="B427">
            <v>46289</v>
          </cell>
          <cell r="C427" t="str">
            <v>热合曼+艾则孜</v>
          </cell>
          <cell r="D427" t="str">
            <v>原料入库</v>
          </cell>
          <cell r="E427" t="str">
            <v>NO:0000975</v>
          </cell>
          <cell r="F427" t="str">
            <v>香梨</v>
          </cell>
          <cell r="G427" t="str">
            <v>香梨一级</v>
          </cell>
          <cell r="H427">
            <v>425</v>
          </cell>
          <cell r="I427" t="str">
            <v>筐</v>
          </cell>
          <cell r="J427">
            <v>7777.5</v>
          </cell>
          <cell r="K427" t="str"/>
          <cell r="L427" t="str"/>
          <cell r="M427" t="str">
            <v>热合曼合伙/二黄</v>
          </cell>
          <cell r="N427" t="str">
            <v>公司红周转筐</v>
          </cell>
          <cell r="O427" t="str"/>
          <cell r="P427" t="str"/>
          <cell r="Q427">
            <v>425</v>
          </cell>
          <cell r="R427" t="str">
            <v>新R*37010</v>
          </cell>
          <cell r="S427" t="str">
            <v>公司筐</v>
          </cell>
          <cell r="T427" t="str"/>
          <cell r="U427" t="str"/>
          <cell r="V427" t="str"/>
          <cell r="W427" t="str"/>
          <cell r="X427" t="str"/>
          <cell r="Y427" t="str"/>
        </row>
        <row r="427">
          <cell r="AA427" t="str"/>
          <cell r="AB427" t="str"/>
          <cell r="AC427" t="str"/>
          <cell r="AD427" t="str"/>
          <cell r="AE427" t="str"/>
          <cell r="AF427" t="str"/>
        </row>
        <row r="428">
          <cell r="B428">
            <v>46289</v>
          </cell>
          <cell r="C428" t="str">
            <v>热合曼+艾则孜</v>
          </cell>
          <cell r="D428" t="str">
            <v>原料入库</v>
          </cell>
          <cell r="E428" t="str">
            <v>NO:0000975</v>
          </cell>
          <cell r="F428" t="str">
            <v>香梨</v>
          </cell>
          <cell r="G428" t="str">
            <v>香梨二级</v>
          </cell>
          <cell r="H428">
            <v>197</v>
          </cell>
          <cell r="I428" t="str">
            <v>筐</v>
          </cell>
          <cell r="J428">
            <v>4393.1</v>
          </cell>
          <cell r="K428" t="str"/>
          <cell r="L428" t="str"/>
          <cell r="M428" t="str">
            <v>热合曼合伙/二黄</v>
          </cell>
          <cell r="N428" t="str">
            <v>公司红周转筐</v>
          </cell>
          <cell r="O428" t="str"/>
          <cell r="P428" t="str"/>
          <cell r="Q428">
            <v>197</v>
          </cell>
          <cell r="R428" t="str">
            <v>新R*37010</v>
          </cell>
          <cell r="S428" t="str">
            <v>公司筐</v>
          </cell>
          <cell r="T428" t="str"/>
          <cell r="U428" t="str"/>
          <cell r="V428" t="str"/>
          <cell r="W428" t="str"/>
          <cell r="X428" t="str"/>
          <cell r="Y428" t="str"/>
        </row>
        <row r="428">
          <cell r="AA428" t="str"/>
          <cell r="AB428" t="str"/>
          <cell r="AC428" t="str"/>
          <cell r="AD428" t="str"/>
          <cell r="AE428" t="str"/>
          <cell r="AF428" t="str"/>
        </row>
        <row r="429">
          <cell r="B429">
            <v>46289</v>
          </cell>
          <cell r="C429" t="str">
            <v>热合曼+艾则孜</v>
          </cell>
          <cell r="D429" t="str">
            <v>原料入库</v>
          </cell>
          <cell r="E429" t="str">
            <v>NO:0000975</v>
          </cell>
          <cell r="F429" t="str">
            <v>香梨</v>
          </cell>
          <cell r="G429" t="str">
            <v>香梨副特</v>
          </cell>
          <cell r="H429">
            <v>32</v>
          </cell>
          <cell r="I429" t="str">
            <v>筐</v>
          </cell>
          <cell r="J429">
            <v>585.6</v>
          </cell>
          <cell r="K429" t="str"/>
          <cell r="L429" t="str"/>
          <cell r="M429" t="str">
            <v>热合曼合伙/二黄</v>
          </cell>
          <cell r="N429" t="str">
            <v>公司红周转筐</v>
          </cell>
          <cell r="O429" t="str"/>
          <cell r="P429" t="str"/>
          <cell r="Q429">
            <v>32</v>
          </cell>
          <cell r="R429" t="str">
            <v>新R*37010</v>
          </cell>
          <cell r="S429" t="str">
            <v>公司筐</v>
          </cell>
          <cell r="T429" t="str"/>
          <cell r="U429" t="str"/>
          <cell r="V429" t="str"/>
          <cell r="W429" t="str"/>
          <cell r="X429" t="str"/>
          <cell r="Y429" t="str"/>
        </row>
        <row r="429">
          <cell r="AA429" t="str"/>
          <cell r="AB429" t="str"/>
          <cell r="AC429" t="str"/>
          <cell r="AD429" t="str"/>
          <cell r="AE429" t="str"/>
          <cell r="AF429" t="str"/>
        </row>
        <row r="430">
          <cell r="B430">
            <v>46290</v>
          </cell>
          <cell r="C430" t="str">
            <v>艾海提</v>
          </cell>
          <cell r="D430" t="str">
            <v>原料入库</v>
          </cell>
          <cell r="E430" t="str">
            <v>NO:0000978</v>
          </cell>
          <cell r="F430" t="str">
            <v>香梨</v>
          </cell>
          <cell r="G430" t="str">
            <v>香梨一级</v>
          </cell>
          <cell r="H430">
            <v>88</v>
          </cell>
          <cell r="I430" t="str">
            <v>筐</v>
          </cell>
          <cell r="J430">
            <v>1689.6</v>
          </cell>
          <cell r="K430" t="str"/>
          <cell r="L430" t="str"/>
          <cell r="M430" t="str"/>
          <cell r="N430" t="str">
            <v>公司红周转筐</v>
          </cell>
          <cell r="O430" t="str"/>
          <cell r="P430" t="str"/>
          <cell r="Q430">
            <v>88</v>
          </cell>
          <cell r="R430" t="str">
            <v>新N*WX586</v>
          </cell>
          <cell r="S430" t="str">
            <v>公司筐</v>
          </cell>
          <cell r="T430" t="str"/>
          <cell r="U430" t="str"/>
          <cell r="V430" t="str"/>
          <cell r="W430" t="str"/>
          <cell r="X430" t="str"/>
          <cell r="Y430" t="str"/>
        </row>
        <row r="430">
          <cell r="AA430" t="str"/>
          <cell r="AB430" t="str"/>
          <cell r="AC430" t="str"/>
          <cell r="AD430" t="str"/>
          <cell r="AE430" t="str"/>
          <cell r="AF430" t="str"/>
        </row>
        <row r="431">
          <cell r="B431">
            <v>46290</v>
          </cell>
          <cell r="C431" t="str">
            <v>艾海提</v>
          </cell>
          <cell r="D431" t="str">
            <v>原料入库</v>
          </cell>
          <cell r="E431" t="str">
            <v>NO:0000978</v>
          </cell>
          <cell r="F431" t="str">
            <v>香梨</v>
          </cell>
          <cell r="G431" t="str">
            <v>香梨二级</v>
          </cell>
          <cell r="H431">
            <v>2</v>
          </cell>
          <cell r="I431" t="str">
            <v>筐</v>
          </cell>
          <cell r="J431">
            <v>44.4</v>
          </cell>
          <cell r="K431" t="str"/>
          <cell r="L431" t="str"/>
          <cell r="M431" t="str"/>
          <cell r="N431" t="str">
            <v>公司红周转筐</v>
          </cell>
          <cell r="O431" t="str"/>
          <cell r="P431" t="str"/>
          <cell r="Q431">
            <v>2</v>
          </cell>
          <cell r="R431" t="str">
            <v>新N*WX586</v>
          </cell>
          <cell r="S431" t="str">
            <v>公司筐</v>
          </cell>
          <cell r="T431" t="str"/>
          <cell r="U431" t="str"/>
          <cell r="V431" t="str"/>
          <cell r="W431" t="str"/>
          <cell r="X431" t="str"/>
          <cell r="Y431" t="str"/>
        </row>
        <row r="431">
          <cell r="AA431" t="str"/>
          <cell r="AB431" t="str"/>
          <cell r="AC431" t="str"/>
          <cell r="AD431" t="str"/>
          <cell r="AE431" t="str"/>
          <cell r="AF431" t="str"/>
        </row>
        <row r="432">
          <cell r="B432">
            <v>46290</v>
          </cell>
          <cell r="C432" t="str">
            <v>艾海提</v>
          </cell>
          <cell r="D432" t="str">
            <v>原料入库</v>
          </cell>
          <cell r="E432" t="str">
            <v>NO:0000978</v>
          </cell>
          <cell r="F432" t="str">
            <v>香梨</v>
          </cell>
          <cell r="G432" t="str">
            <v>香梨副特</v>
          </cell>
          <cell r="H432">
            <v>88</v>
          </cell>
          <cell r="I432" t="str">
            <v>筐</v>
          </cell>
          <cell r="J432">
            <v>1689.6</v>
          </cell>
          <cell r="K432" t="str"/>
          <cell r="L432" t="str"/>
          <cell r="M432" t="str">
            <v>用了热合曼315-96=219个筐子</v>
          </cell>
          <cell r="N432" t="str">
            <v>公司红周转筐</v>
          </cell>
          <cell r="O432" t="str"/>
          <cell r="P432" t="str"/>
          <cell r="Q432">
            <v>88</v>
          </cell>
          <cell r="R432" t="str">
            <v>新N*WX586</v>
          </cell>
          <cell r="S432" t="str">
            <v>公司筐</v>
          </cell>
          <cell r="T432" t="str"/>
          <cell r="U432" t="str"/>
          <cell r="V432" t="str"/>
          <cell r="W432" t="str"/>
          <cell r="X432" t="str"/>
          <cell r="Y432" t="str"/>
        </row>
        <row r="432">
          <cell r="AA432" t="str"/>
          <cell r="AB432" t="str"/>
          <cell r="AC432" t="str"/>
          <cell r="AD432" t="str"/>
          <cell r="AE432" t="str"/>
          <cell r="AF432" t="str"/>
        </row>
        <row r="433">
          <cell r="B433">
            <v>46290</v>
          </cell>
          <cell r="C433" t="str">
            <v>金龙</v>
          </cell>
          <cell r="D433" t="str">
            <v>原料入库</v>
          </cell>
          <cell r="E433" t="str">
            <v>NO:0000981</v>
          </cell>
          <cell r="F433" t="str">
            <v>香梨</v>
          </cell>
          <cell r="G433" t="str">
            <v>香梨一级</v>
          </cell>
          <cell r="H433">
            <v>562</v>
          </cell>
          <cell r="I433" t="str">
            <v>筐</v>
          </cell>
          <cell r="J433">
            <v>10397</v>
          </cell>
          <cell r="K433" t="str"/>
          <cell r="L433" t="str"/>
          <cell r="M433" t="str">
            <v>运输途中损耗39筐</v>
          </cell>
          <cell r="N433" t="str">
            <v>自备一次性筐</v>
          </cell>
          <cell r="O433" t="str"/>
          <cell r="P433" t="str"/>
          <cell r="Q433">
            <v>562</v>
          </cell>
          <cell r="R433" t="str">
            <v>新A*F1545</v>
          </cell>
          <cell r="S433" t="str">
            <v>自备筐</v>
          </cell>
          <cell r="T433" t="str"/>
          <cell r="U433" t="str"/>
          <cell r="V433" t="str"/>
          <cell r="W433" t="str"/>
          <cell r="X433" t="str"/>
          <cell r="Y433" t="str"/>
        </row>
        <row r="433">
          <cell r="AA433" t="str"/>
          <cell r="AB433" t="str"/>
          <cell r="AC433" t="str"/>
          <cell r="AD433" t="str"/>
          <cell r="AE433" t="str"/>
          <cell r="AF433" t="str"/>
        </row>
        <row r="434">
          <cell r="B434">
            <v>46290</v>
          </cell>
          <cell r="C434" t="str">
            <v>王灵云</v>
          </cell>
          <cell r="D434" t="str">
            <v>原料入库</v>
          </cell>
          <cell r="E434" t="str">
            <v>NO:0000982</v>
          </cell>
          <cell r="F434" t="str">
            <v>香梨</v>
          </cell>
          <cell r="G434" t="str">
            <v>香梨一级</v>
          </cell>
          <cell r="H434">
            <v>523</v>
          </cell>
          <cell r="I434" t="str">
            <v>筐</v>
          </cell>
          <cell r="J434">
            <v>9414</v>
          </cell>
          <cell r="K434" t="str"/>
          <cell r="L434" t="str"/>
          <cell r="M434" t="str">
            <v>左</v>
          </cell>
          <cell r="N434" t="str">
            <v>公司红周转筐</v>
          </cell>
          <cell r="O434" t="str"/>
          <cell r="P434" t="str"/>
          <cell r="Q434">
            <v>523</v>
          </cell>
          <cell r="R434" t="str">
            <v>新N*49209</v>
          </cell>
          <cell r="S434" t="str">
            <v>公司筐</v>
          </cell>
          <cell r="T434" t="str"/>
          <cell r="U434" t="str"/>
          <cell r="V434" t="str"/>
          <cell r="W434" t="str"/>
          <cell r="X434" t="str"/>
          <cell r="Y434" t="str"/>
        </row>
        <row r="434">
          <cell r="AA434" t="str"/>
          <cell r="AB434" t="str"/>
          <cell r="AC434" t="str"/>
          <cell r="AD434" t="str"/>
          <cell r="AE434" t="str"/>
          <cell r="AF434" t="str"/>
        </row>
        <row r="435">
          <cell r="B435">
            <v>46290</v>
          </cell>
          <cell r="C435" t="str">
            <v>王灵云</v>
          </cell>
          <cell r="D435" t="str">
            <v>原料入库</v>
          </cell>
          <cell r="E435" t="str">
            <v>NO:0000982</v>
          </cell>
          <cell r="F435" t="str">
            <v>香梨</v>
          </cell>
          <cell r="G435" t="str">
            <v>香梨二级</v>
          </cell>
          <cell r="H435">
            <v>74</v>
          </cell>
          <cell r="I435" t="str">
            <v>筐</v>
          </cell>
          <cell r="J435">
            <v>1628</v>
          </cell>
          <cell r="K435" t="str"/>
          <cell r="L435" t="str"/>
          <cell r="M435" t="str">
            <v>左</v>
          </cell>
          <cell r="N435" t="str">
            <v>公司红周转筐</v>
          </cell>
          <cell r="O435" t="str"/>
          <cell r="P435" t="str"/>
          <cell r="Q435">
            <v>74</v>
          </cell>
          <cell r="R435" t="str">
            <v>新N*49209</v>
          </cell>
          <cell r="S435" t="str">
            <v>公司筐</v>
          </cell>
          <cell r="T435" t="str"/>
          <cell r="U435" t="str"/>
          <cell r="V435" t="str"/>
          <cell r="W435" t="str"/>
          <cell r="X435" t="str"/>
          <cell r="Y435" t="str"/>
        </row>
        <row r="435">
          <cell r="AA435" t="str"/>
          <cell r="AB435" t="str"/>
          <cell r="AC435" t="str"/>
          <cell r="AD435" t="str"/>
          <cell r="AE435" t="str"/>
          <cell r="AF435" t="str"/>
        </row>
        <row r="436">
          <cell r="B436">
            <v>46290</v>
          </cell>
          <cell r="C436" t="str">
            <v>努尔敦</v>
          </cell>
          <cell r="D436" t="str">
            <v>原料入库</v>
          </cell>
          <cell r="E436" t="str">
            <v>NO:0000983</v>
          </cell>
          <cell r="F436" t="str">
            <v>香梨</v>
          </cell>
          <cell r="G436" t="str">
            <v>香梨特级</v>
          </cell>
          <cell r="H436">
            <v>592</v>
          </cell>
          <cell r="I436" t="str">
            <v>筐</v>
          </cell>
          <cell r="J436">
            <v>10833.6</v>
          </cell>
          <cell r="K436" t="str"/>
          <cell r="L436" t="str"/>
          <cell r="M436" t="str">
            <v>二黄</v>
          </cell>
          <cell r="N436" t="str">
            <v>公司红周转筐</v>
          </cell>
          <cell r="O436" t="str"/>
          <cell r="P436" t="str"/>
          <cell r="Q436">
            <v>592</v>
          </cell>
          <cell r="R436" t="str">
            <v>新F*75240</v>
          </cell>
          <cell r="S436" t="str">
            <v>公司筐</v>
          </cell>
          <cell r="T436" t="str"/>
          <cell r="U436" t="str"/>
          <cell r="V436" t="str"/>
          <cell r="W436" t="str"/>
          <cell r="X436" t="str"/>
          <cell r="Y436" t="str"/>
        </row>
        <row r="436">
          <cell r="AA436" t="str"/>
          <cell r="AB436" t="str"/>
          <cell r="AC436" t="str"/>
          <cell r="AD436" t="str"/>
          <cell r="AE436" t="str"/>
          <cell r="AF436" t="str"/>
        </row>
        <row r="437">
          <cell r="B437">
            <v>46290</v>
          </cell>
          <cell r="C437" t="str">
            <v>努尔敦</v>
          </cell>
          <cell r="D437" t="str">
            <v>原料入库</v>
          </cell>
          <cell r="E437" t="str">
            <v>NO:0000983</v>
          </cell>
          <cell r="F437" t="str">
            <v>香梨</v>
          </cell>
          <cell r="G437" t="str">
            <v>香梨二级</v>
          </cell>
          <cell r="H437">
            <v>48</v>
          </cell>
          <cell r="I437" t="str">
            <v>筐</v>
          </cell>
          <cell r="J437">
            <v>1070.4</v>
          </cell>
          <cell r="K437" t="str"/>
          <cell r="L437" t="str"/>
          <cell r="M437" t="str">
            <v>二黄</v>
          </cell>
          <cell r="N437" t="str">
            <v>公司红周转筐</v>
          </cell>
          <cell r="O437" t="str"/>
          <cell r="P437" t="str"/>
          <cell r="Q437">
            <v>48</v>
          </cell>
          <cell r="R437" t="str">
            <v>新F*75240</v>
          </cell>
          <cell r="S437" t="str">
            <v>公司筐</v>
          </cell>
          <cell r="T437" t="str"/>
          <cell r="U437" t="str"/>
          <cell r="V437" t="str"/>
          <cell r="W437" t="str"/>
          <cell r="X437" t="str"/>
          <cell r="Y437" t="str"/>
        </row>
        <row r="437">
          <cell r="AA437" t="str"/>
          <cell r="AB437" t="str"/>
          <cell r="AC437" t="str"/>
          <cell r="AD437" t="str"/>
          <cell r="AE437" t="str"/>
          <cell r="AF437" t="str"/>
        </row>
        <row r="438">
          <cell r="B438">
            <v>46290</v>
          </cell>
          <cell r="C438" t="str">
            <v>麦麦提</v>
          </cell>
          <cell r="D438" t="str">
            <v>原料入库</v>
          </cell>
          <cell r="E438" t="str">
            <v>NO:0000984</v>
          </cell>
          <cell r="F438" t="str">
            <v>香梨</v>
          </cell>
          <cell r="G438" t="str">
            <v>香梨特级</v>
          </cell>
          <cell r="H438">
            <v>266</v>
          </cell>
          <cell r="I438" t="str">
            <v>筐</v>
          </cell>
          <cell r="J438">
            <v>4867.8</v>
          </cell>
          <cell r="K438" t="str"/>
          <cell r="L438" t="str"/>
          <cell r="M438" t="str">
            <v>二黄</v>
          </cell>
          <cell r="N438" t="str">
            <v>公司红周转筐</v>
          </cell>
          <cell r="O438" t="str"/>
          <cell r="P438" t="str"/>
          <cell r="Q438">
            <v>266</v>
          </cell>
          <cell r="R438" t="str">
            <v>新R*37010</v>
          </cell>
          <cell r="S438" t="str">
            <v>公司筐</v>
          </cell>
          <cell r="T438" t="str"/>
          <cell r="U438" t="str"/>
          <cell r="V438" t="str"/>
          <cell r="W438" t="str"/>
          <cell r="X438" t="str"/>
          <cell r="Y438" t="str"/>
        </row>
        <row r="438">
          <cell r="AA438" t="str"/>
          <cell r="AB438" t="str"/>
          <cell r="AC438" t="str"/>
          <cell r="AD438" t="str"/>
          <cell r="AE438" t="str"/>
          <cell r="AF438" t="str"/>
        </row>
        <row r="439">
          <cell r="B439">
            <v>46290</v>
          </cell>
          <cell r="C439" t="str">
            <v>麦麦提</v>
          </cell>
          <cell r="D439" t="str">
            <v>原料入库</v>
          </cell>
          <cell r="E439" t="str">
            <v>NO:0000984</v>
          </cell>
          <cell r="F439" t="str">
            <v>香梨</v>
          </cell>
          <cell r="G439" t="str">
            <v>香梨一级</v>
          </cell>
          <cell r="H439">
            <v>200</v>
          </cell>
          <cell r="I439" t="str">
            <v>筐</v>
          </cell>
          <cell r="J439">
            <v>3660</v>
          </cell>
          <cell r="K439" t="str"/>
          <cell r="L439" t="str"/>
          <cell r="M439" t="str">
            <v>二黄</v>
          </cell>
          <cell r="N439" t="str">
            <v>公司红周转筐</v>
          </cell>
          <cell r="O439" t="str"/>
          <cell r="P439" t="str"/>
          <cell r="Q439">
            <v>200</v>
          </cell>
          <cell r="R439" t="str">
            <v>新R*37010</v>
          </cell>
          <cell r="S439" t="str">
            <v>公司筐</v>
          </cell>
          <cell r="T439" t="str"/>
          <cell r="U439" t="str"/>
          <cell r="V439" t="str"/>
          <cell r="W439" t="str"/>
          <cell r="X439" t="str"/>
          <cell r="Y439" t="str"/>
        </row>
        <row r="439">
          <cell r="AA439" t="str"/>
          <cell r="AB439" t="str"/>
          <cell r="AC439" t="str"/>
          <cell r="AD439" t="str"/>
          <cell r="AE439" t="str"/>
          <cell r="AF439" t="str"/>
        </row>
        <row r="440">
          <cell r="B440">
            <v>46290</v>
          </cell>
          <cell r="C440" t="str">
            <v>麦麦提</v>
          </cell>
          <cell r="D440" t="str">
            <v>原料入库</v>
          </cell>
          <cell r="E440" t="str">
            <v>NO:0000984</v>
          </cell>
          <cell r="F440" t="str">
            <v>香梨</v>
          </cell>
          <cell r="G440" t="str">
            <v>香梨二级</v>
          </cell>
          <cell r="H440">
            <v>173</v>
          </cell>
          <cell r="I440" t="str">
            <v>筐</v>
          </cell>
          <cell r="J440">
            <v>3857.9</v>
          </cell>
          <cell r="K440" t="str"/>
          <cell r="L440" t="str"/>
          <cell r="M440" t="str">
            <v>二黄</v>
          </cell>
          <cell r="N440" t="str">
            <v>公司红周转筐</v>
          </cell>
          <cell r="O440" t="str"/>
          <cell r="P440" t="str"/>
          <cell r="Q440">
            <v>173</v>
          </cell>
          <cell r="R440" t="str">
            <v>新R*37010</v>
          </cell>
          <cell r="S440" t="str">
            <v>公司筐</v>
          </cell>
          <cell r="T440" t="str"/>
          <cell r="U440" t="str"/>
          <cell r="V440" t="str"/>
          <cell r="W440" t="str"/>
          <cell r="X440" t="str"/>
          <cell r="Y440" t="str"/>
        </row>
        <row r="440">
          <cell r="AA440" t="str"/>
          <cell r="AB440" t="str"/>
          <cell r="AC440" t="str"/>
          <cell r="AD440" t="str"/>
          <cell r="AE440" t="str"/>
          <cell r="AF440" t="str"/>
        </row>
        <row r="441">
          <cell r="B441">
            <v>46291</v>
          </cell>
          <cell r="C441" t="str">
            <v>王照雪</v>
          </cell>
          <cell r="D441" t="str">
            <v>原料入库</v>
          </cell>
          <cell r="E441" t="str">
            <v>NO:0000985</v>
          </cell>
          <cell r="F441" t="str">
            <v>苹果</v>
          </cell>
          <cell r="G441" t="str">
            <v>新世纪二级</v>
          </cell>
          <cell r="H441">
            <v>158</v>
          </cell>
          <cell r="I441" t="str">
            <v>筐</v>
          </cell>
          <cell r="J441">
            <v>3207.4</v>
          </cell>
          <cell r="K441" t="str"/>
          <cell r="L441" t="str"/>
          <cell r="M441" t="str"/>
          <cell r="N441" t="str">
            <v>公司杂周转筐</v>
          </cell>
          <cell r="O441" t="str"/>
          <cell r="P441" t="str"/>
          <cell r="Q441">
            <v>158</v>
          </cell>
          <cell r="R441" t="str">
            <v>豫L*88X19</v>
          </cell>
          <cell r="S441" t="str">
            <v>公司筐</v>
          </cell>
          <cell r="T441" t="str"/>
          <cell r="U441" t="str"/>
          <cell r="V441" t="str"/>
          <cell r="W441" t="str"/>
          <cell r="X441" t="str"/>
          <cell r="Y441" t="str"/>
        </row>
        <row r="441">
          <cell r="AA441" t="str"/>
          <cell r="AB441" t="str"/>
          <cell r="AC441" t="str"/>
          <cell r="AD441" t="str"/>
          <cell r="AE441" t="str"/>
          <cell r="AF441" t="str"/>
        </row>
        <row r="442">
          <cell r="B442">
            <v>46291</v>
          </cell>
          <cell r="C442" t="str">
            <v>李现东</v>
          </cell>
          <cell r="D442" t="str">
            <v>原料入库</v>
          </cell>
          <cell r="E442" t="str">
            <v>NO:0000986</v>
          </cell>
          <cell r="F442" t="str">
            <v>香梨</v>
          </cell>
          <cell r="G442" t="str">
            <v>香梨一级</v>
          </cell>
          <cell r="H442">
            <v>297</v>
          </cell>
          <cell r="I442" t="str">
            <v>筐</v>
          </cell>
          <cell r="J442">
            <v>5435.1</v>
          </cell>
          <cell r="K442" t="str"/>
          <cell r="L442" t="str"/>
          <cell r="M442" t="str">
            <v>二黄</v>
          </cell>
          <cell r="N442" t="str">
            <v>公司杂周转筐</v>
          </cell>
          <cell r="O442" t="str"/>
          <cell r="P442" t="str"/>
          <cell r="Q442">
            <v>297</v>
          </cell>
          <cell r="R442" t="str">
            <v>新N*53045</v>
          </cell>
          <cell r="S442" t="str">
            <v>公司筐</v>
          </cell>
          <cell r="T442" t="str"/>
          <cell r="U442" t="str"/>
          <cell r="V442" t="str"/>
          <cell r="W442" t="str"/>
          <cell r="X442" t="str"/>
          <cell r="Y442" t="str"/>
        </row>
        <row r="442">
          <cell r="AA442" t="str"/>
          <cell r="AB442" t="str"/>
          <cell r="AC442" t="str"/>
          <cell r="AD442" t="str"/>
          <cell r="AE442" t="str"/>
          <cell r="AF442" t="str"/>
        </row>
        <row r="443">
          <cell r="B443">
            <v>46291</v>
          </cell>
          <cell r="C443" t="str">
            <v>李现东</v>
          </cell>
          <cell r="D443" t="str">
            <v>原料入库</v>
          </cell>
          <cell r="E443" t="str">
            <v>NO:0000986</v>
          </cell>
          <cell r="F443" t="str">
            <v>香梨</v>
          </cell>
          <cell r="G443" t="str">
            <v>香梨二级</v>
          </cell>
          <cell r="H443">
            <v>54</v>
          </cell>
          <cell r="I443" t="str">
            <v>筐</v>
          </cell>
          <cell r="J443">
            <v>1204.2</v>
          </cell>
          <cell r="K443" t="str"/>
          <cell r="L443" t="str"/>
          <cell r="M443" t="str">
            <v>二黄</v>
          </cell>
          <cell r="N443" t="str">
            <v>公司杂周转筐</v>
          </cell>
          <cell r="O443" t="str"/>
          <cell r="P443" t="str"/>
          <cell r="Q443">
            <v>54</v>
          </cell>
          <cell r="R443" t="str">
            <v>新N*53045</v>
          </cell>
          <cell r="S443" t="str">
            <v>公司筐</v>
          </cell>
          <cell r="T443" t="str"/>
          <cell r="U443" t="str"/>
          <cell r="V443" t="str"/>
          <cell r="W443" t="str"/>
          <cell r="X443" t="str"/>
          <cell r="Y443" t="str"/>
        </row>
        <row r="443">
          <cell r="AA443" t="str"/>
          <cell r="AB443" t="str"/>
          <cell r="AC443" t="str"/>
          <cell r="AD443" t="str"/>
          <cell r="AE443" t="str"/>
          <cell r="AF443" t="str"/>
        </row>
        <row r="444">
          <cell r="B444">
            <v>46291</v>
          </cell>
          <cell r="C444" t="str">
            <v>李现东</v>
          </cell>
          <cell r="D444" t="str">
            <v>原料入库</v>
          </cell>
          <cell r="E444" t="str">
            <v>NO:0000986</v>
          </cell>
          <cell r="F444" t="str">
            <v>香梨</v>
          </cell>
          <cell r="G444" t="str">
            <v>香梨副特</v>
          </cell>
          <cell r="H444">
            <v>30</v>
          </cell>
          <cell r="I444" t="str">
            <v>筐</v>
          </cell>
          <cell r="J444">
            <v>549</v>
          </cell>
          <cell r="K444" t="str"/>
          <cell r="L444" t="str"/>
          <cell r="M444" t="str">
            <v>二黄</v>
          </cell>
          <cell r="N444" t="str">
            <v>公司杂周转筐</v>
          </cell>
          <cell r="O444" t="str"/>
          <cell r="P444" t="str"/>
          <cell r="Q444">
            <v>30</v>
          </cell>
          <cell r="R444" t="str">
            <v>新N*53045</v>
          </cell>
          <cell r="S444" t="str">
            <v>公司筐</v>
          </cell>
          <cell r="T444" t="str"/>
          <cell r="U444" t="str"/>
          <cell r="V444" t="str"/>
          <cell r="W444" t="str"/>
          <cell r="X444" t="str"/>
          <cell r="Y444" t="str"/>
        </row>
        <row r="444">
          <cell r="AA444" t="str"/>
          <cell r="AB444" t="str"/>
          <cell r="AC444" t="str"/>
          <cell r="AD444" t="str"/>
          <cell r="AE444" t="str"/>
          <cell r="AF444" t="str"/>
        </row>
        <row r="445">
          <cell r="B445">
            <v>46291</v>
          </cell>
          <cell r="C445" t="str">
            <v>荆建君</v>
          </cell>
          <cell r="D445" t="str">
            <v>原料入库</v>
          </cell>
          <cell r="E445" t="str">
            <v>NO:0000988</v>
          </cell>
          <cell r="F445" t="str">
            <v>香梨</v>
          </cell>
          <cell r="G445" t="str">
            <v>香梨一级</v>
          </cell>
          <cell r="H445">
            <v>416</v>
          </cell>
          <cell r="I445" t="str">
            <v>筐</v>
          </cell>
          <cell r="J445">
            <v>7612.8</v>
          </cell>
          <cell r="K445" t="str"/>
          <cell r="L445" t="str"/>
          <cell r="M445" t="str">
            <v>二黄</v>
          </cell>
          <cell r="N445" t="str">
            <v>公司红周转筐</v>
          </cell>
          <cell r="O445" t="str"/>
          <cell r="P445" t="str"/>
          <cell r="Q445">
            <v>416</v>
          </cell>
          <cell r="R445" t="str">
            <v>豫A*2737K</v>
          </cell>
          <cell r="S445" t="str">
            <v>公司筐</v>
          </cell>
          <cell r="T445" t="str"/>
          <cell r="U445" t="str"/>
          <cell r="V445" t="str"/>
          <cell r="W445" t="str"/>
          <cell r="X445" t="str"/>
          <cell r="Y445" t="str"/>
        </row>
        <row r="445">
          <cell r="AA445" t="str"/>
          <cell r="AB445" t="str"/>
          <cell r="AC445" t="str"/>
          <cell r="AD445" t="str"/>
          <cell r="AE445" t="str"/>
          <cell r="AF445" t="str"/>
        </row>
        <row r="446">
          <cell r="B446">
            <v>46291</v>
          </cell>
          <cell r="C446" t="str">
            <v>荆建君</v>
          </cell>
          <cell r="D446" t="str">
            <v>原料入库</v>
          </cell>
          <cell r="E446" t="str">
            <v>NO:0000988</v>
          </cell>
          <cell r="F446" t="str">
            <v>香梨</v>
          </cell>
          <cell r="G446" t="str">
            <v>香梨二级</v>
          </cell>
          <cell r="H446">
            <v>232</v>
          </cell>
          <cell r="I446" t="str">
            <v>筐</v>
          </cell>
          <cell r="J446">
            <v>4245.6</v>
          </cell>
          <cell r="K446" t="str"/>
          <cell r="L446" t="str"/>
          <cell r="M446" t="str">
            <v>二黄</v>
          </cell>
          <cell r="N446" t="str">
            <v>公司红周转筐</v>
          </cell>
          <cell r="O446" t="str"/>
          <cell r="P446" t="str"/>
          <cell r="Q446">
            <v>232</v>
          </cell>
          <cell r="R446" t="str">
            <v>豫A*2737K</v>
          </cell>
          <cell r="S446" t="str">
            <v>公司筐</v>
          </cell>
          <cell r="T446" t="str"/>
          <cell r="U446" t="str"/>
          <cell r="V446" t="str"/>
          <cell r="W446" t="str"/>
          <cell r="X446" t="str"/>
          <cell r="Y446" t="str"/>
        </row>
        <row r="446">
          <cell r="AA446" t="str"/>
          <cell r="AB446" t="str"/>
          <cell r="AC446" t="str"/>
          <cell r="AD446" t="str"/>
          <cell r="AE446" t="str"/>
          <cell r="AF446" t="str"/>
        </row>
        <row r="447">
          <cell r="B447">
            <v>46291</v>
          </cell>
          <cell r="C447" t="str">
            <v>努尔敦</v>
          </cell>
          <cell r="D447" t="str">
            <v>原料入库</v>
          </cell>
          <cell r="E447" t="str">
            <v>NO:0000990</v>
          </cell>
          <cell r="F447" t="str">
            <v>香梨</v>
          </cell>
          <cell r="G447" t="str">
            <v>香梨特级</v>
          </cell>
          <cell r="H447">
            <v>257</v>
          </cell>
          <cell r="I447" t="str">
            <v>筐</v>
          </cell>
          <cell r="J447">
            <v>4703.1</v>
          </cell>
          <cell r="K447" t="str"/>
          <cell r="L447" t="str"/>
          <cell r="M447" t="str"/>
          <cell r="N447" t="str">
            <v>公司红周转筐</v>
          </cell>
          <cell r="O447" t="str"/>
          <cell r="P447" t="str"/>
          <cell r="Q447">
            <v>257</v>
          </cell>
          <cell r="R447" t="str">
            <v>新F*75240</v>
          </cell>
          <cell r="S447" t="str">
            <v>公司筐</v>
          </cell>
          <cell r="T447" t="str"/>
          <cell r="U447" t="str"/>
          <cell r="V447" t="str"/>
          <cell r="W447" t="str"/>
          <cell r="X447" t="str"/>
          <cell r="Y447" t="str"/>
        </row>
        <row r="447">
          <cell r="AA447" t="str"/>
          <cell r="AB447" t="str"/>
          <cell r="AC447" t="str"/>
          <cell r="AD447" t="str"/>
          <cell r="AE447" t="str"/>
          <cell r="AF447" t="str"/>
        </row>
        <row r="448">
          <cell r="B448">
            <v>46291</v>
          </cell>
          <cell r="C448" t="str">
            <v>努尔敦</v>
          </cell>
          <cell r="D448" t="str">
            <v>原料入库</v>
          </cell>
          <cell r="E448" t="str">
            <v>NO:0000990</v>
          </cell>
          <cell r="F448" t="str">
            <v>香梨</v>
          </cell>
          <cell r="G448" t="str">
            <v>香梨一级</v>
          </cell>
          <cell r="H448">
            <v>232</v>
          </cell>
          <cell r="I448" t="str">
            <v>筐</v>
          </cell>
          <cell r="J448">
            <v>4245.6</v>
          </cell>
          <cell r="K448" t="str"/>
          <cell r="L448" t="str"/>
          <cell r="M448" t="str"/>
          <cell r="N448" t="str">
            <v>公司红周转筐</v>
          </cell>
          <cell r="O448" t="str"/>
          <cell r="P448" t="str"/>
          <cell r="Q448">
            <v>232</v>
          </cell>
          <cell r="R448" t="str">
            <v>新F*75240</v>
          </cell>
          <cell r="S448" t="str">
            <v>公司筐</v>
          </cell>
          <cell r="T448" t="str"/>
          <cell r="U448" t="str"/>
          <cell r="V448" t="str"/>
          <cell r="W448" t="str"/>
          <cell r="X448" t="str"/>
          <cell r="Y448" t="str"/>
        </row>
        <row r="448">
          <cell r="AA448" t="str"/>
          <cell r="AB448" t="str"/>
          <cell r="AC448" t="str"/>
          <cell r="AD448" t="str"/>
          <cell r="AE448" t="str"/>
          <cell r="AF448" t="str"/>
        </row>
        <row r="449">
          <cell r="B449">
            <v>46291</v>
          </cell>
          <cell r="C449" t="str">
            <v>努尔敦</v>
          </cell>
          <cell r="D449" t="str">
            <v>原料入库</v>
          </cell>
          <cell r="E449" t="str">
            <v>NO:0000990</v>
          </cell>
          <cell r="F449" t="str">
            <v>香梨</v>
          </cell>
          <cell r="G449" t="str">
            <v>香梨二级</v>
          </cell>
          <cell r="H449">
            <v>152</v>
          </cell>
          <cell r="I449" t="str">
            <v>筐</v>
          </cell>
          <cell r="J449">
            <v>3389.6</v>
          </cell>
          <cell r="K449" t="str"/>
          <cell r="L449" t="str"/>
          <cell r="M449" t="str"/>
          <cell r="N449" t="str">
            <v>公司红周转筐</v>
          </cell>
          <cell r="O449" t="str"/>
          <cell r="P449" t="str"/>
          <cell r="Q449">
            <v>152</v>
          </cell>
          <cell r="R449" t="str">
            <v>新F*75240</v>
          </cell>
          <cell r="S449" t="str">
            <v>公司筐</v>
          </cell>
          <cell r="T449" t="str"/>
          <cell r="U449" t="str"/>
          <cell r="V449" t="str"/>
          <cell r="W449" t="str"/>
          <cell r="X449" t="str"/>
          <cell r="Y449" t="str"/>
        </row>
        <row r="449">
          <cell r="AA449" t="str"/>
          <cell r="AB449" t="str"/>
          <cell r="AC449" t="str"/>
          <cell r="AD449" t="str"/>
          <cell r="AE449" t="str"/>
          <cell r="AF449" t="str"/>
        </row>
        <row r="450">
          <cell r="B450">
            <v>46291</v>
          </cell>
          <cell r="C450" t="str">
            <v>王灵云</v>
          </cell>
          <cell r="D450" t="str">
            <v>原料入库</v>
          </cell>
          <cell r="E450" t="str">
            <v>NO:0000991</v>
          </cell>
          <cell r="F450" t="str">
            <v>香梨</v>
          </cell>
          <cell r="G450" t="str">
            <v>香梨一级</v>
          </cell>
          <cell r="H450">
            <v>399</v>
          </cell>
          <cell r="I450" t="str">
            <v>筐</v>
          </cell>
          <cell r="J450">
            <v>7182</v>
          </cell>
          <cell r="K450" t="str"/>
          <cell r="L450" t="str"/>
          <cell r="M450" t="str">
            <v>左/二黄</v>
          </cell>
          <cell r="N450" t="str">
            <v>公司红周转筐</v>
          </cell>
          <cell r="O450" t="str"/>
          <cell r="P450" t="str"/>
          <cell r="Q450">
            <v>399</v>
          </cell>
          <cell r="R450" t="str">
            <v>新N*49209</v>
          </cell>
          <cell r="S450" t="str">
            <v>公司筐</v>
          </cell>
          <cell r="T450" t="str"/>
          <cell r="U450" t="str"/>
          <cell r="V450" t="str"/>
          <cell r="W450" t="str"/>
          <cell r="X450" t="str"/>
          <cell r="Y450" t="str"/>
        </row>
        <row r="450">
          <cell r="AA450" t="str"/>
          <cell r="AB450" t="str"/>
          <cell r="AC450" t="str"/>
          <cell r="AD450" t="str"/>
          <cell r="AE450" t="str"/>
          <cell r="AF450" t="str"/>
        </row>
        <row r="451">
          <cell r="B451">
            <v>46291</v>
          </cell>
          <cell r="C451" t="str">
            <v>王灵云</v>
          </cell>
          <cell r="D451" t="str">
            <v>原料入库</v>
          </cell>
          <cell r="E451" t="str">
            <v>NO:0000991</v>
          </cell>
          <cell r="F451" t="str">
            <v>香梨</v>
          </cell>
          <cell r="G451" t="str">
            <v>香梨二级</v>
          </cell>
          <cell r="H451">
            <v>28</v>
          </cell>
          <cell r="I451" t="str">
            <v>筐</v>
          </cell>
          <cell r="J451">
            <v>616</v>
          </cell>
          <cell r="K451" t="str"/>
          <cell r="L451" t="str"/>
          <cell r="M451" t="str">
            <v>左/二黄</v>
          </cell>
          <cell r="N451" t="str">
            <v>公司红周转筐</v>
          </cell>
          <cell r="O451" t="str"/>
          <cell r="P451" t="str"/>
          <cell r="Q451">
            <v>28</v>
          </cell>
          <cell r="R451" t="str">
            <v>新N*49209</v>
          </cell>
          <cell r="S451" t="str">
            <v>公司筐</v>
          </cell>
          <cell r="T451" t="str"/>
          <cell r="U451" t="str"/>
          <cell r="V451" t="str"/>
          <cell r="W451" t="str"/>
          <cell r="X451" t="str"/>
          <cell r="Y451" t="str"/>
        </row>
        <row r="451">
          <cell r="AA451" t="str"/>
          <cell r="AB451" t="str"/>
          <cell r="AC451" t="str"/>
          <cell r="AD451" t="str"/>
          <cell r="AE451" t="str"/>
          <cell r="AF451" t="str"/>
        </row>
        <row r="452">
          <cell r="B452">
            <v>46291</v>
          </cell>
          <cell r="C452" t="str">
            <v>吐尔地</v>
          </cell>
          <cell r="D452" t="str">
            <v>原料入库</v>
          </cell>
          <cell r="E452" t="str">
            <v>NO:0000992</v>
          </cell>
          <cell r="F452" t="str">
            <v>香梨</v>
          </cell>
          <cell r="G452" t="str">
            <v>香梨一级</v>
          </cell>
          <cell r="H452">
            <v>102</v>
          </cell>
          <cell r="I452" t="str">
            <v>筐</v>
          </cell>
          <cell r="J452">
            <v>1866.6</v>
          </cell>
          <cell r="K452" t="str"/>
          <cell r="L452" t="str"/>
          <cell r="M452" t="str">
            <v>二黄</v>
          </cell>
          <cell r="N452" t="str">
            <v>公司红周转筐</v>
          </cell>
          <cell r="O452" t="str"/>
          <cell r="P452" t="str"/>
          <cell r="Q452">
            <v>102</v>
          </cell>
          <cell r="R452" t="str">
            <v>新N*X8S48</v>
          </cell>
          <cell r="S452" t="str">
            <v>公司筐</v>
          </cell>
          <cell r="T452" t="str"/>
          <cell r="U452" t="str"/>
          <cell r="V452" t="str"/>
          <cell r="W452" t="str"/>
          <cell r="X452" t="str"/>
          <cell r="Y452" t="str"/>
        </row>
        <row r="452">
          <cell r="AA452" t="str"/>
          <cell r="AB452" t="str"/>
          <cell r="AC452" t="str"/>
          <cell r="AD452" t="str"/>
          <cell r="AE452" t="str"/>
          <cell r="AF452" t="str"/>
        </row>
        <row r="453">
          <cell r="B453">
            <v>46291</v>
          </cell>
          <cell r="C453" t="str">
            <v>吐尔地</v>
          </cell>
          <cell r="D453" t="str">
            <v>原料入库</v>
          </cell>
          <cell r="E453" t="str">
            <v>NO:0000992</v>
          </cell>
          <cell r="F453" t="str">
            <v>香梨</v>
          </cell>
          <cell r="G453" t="str">
            <v>香梨二级</v>
          </cell>
          <cell r="H453">
            <v>61</v>
          </cell>
          <cell r="I453" t="str">
            <v>筐</v>
          </cell>
          <cell r="J453">
            <v>1360.3</v>
          </cell>
          <cell r="K453" t="str"/>
          <cell r="L453" t="str"/>
          <cell r="M453" t="str">
            <v>二黄</v>
          </cell>
          <cell r="N453" t="str">
            <v>公司红周转筐</v>
          </cell>
          <cell r="O453" t="str"/>
          <cell r="P453" t="str"/>
          <cell r="Q453">
            <v>61</v>
          </cell>
          <cell r="R453" t="str">
            <v>新N*X8S48</v>
          </cell>
          <cell r="S453" t="str">
            <v>公司筐</v>
          </cell>
          <cell r="T453" t="str"/>
          <cell r="U453" t="str"/>
          <cell r="V453" t="str"/>
          <cell r="W453" t="str"/>
          <cell r="X453" t="str"/>
          <cell r="Y453" t="str"/>
        </row>
        <row r="453">
          <cell r="AA453" t="str"/>
          <cell r="AB453" t="str"/>
          <cell r="AC453" t="str"/>
          <cell r="AD453" t="str"/>
          <cell r="AE453" t="str"/>
          <cell r="AF453" t="str"/>
        </row>
        <row r="454">
          <cell r="B454">
            <v>46291</v>
          </cell>
          <cell r="C454" t="str">
            <v>吐尔地</v>
          </cell>
          <cell r="D454" t="str">
            <v>原料入库</v>
          </cell>
          <cell r="E454" t="str">
            <v>NO:0000992</v>
          </cell>
          <cell r="F454" t="str">
            <v>香梨</v>
          </cell>
          <cell r="G454" t="str">
            <v>香梨副特</v>
          </cell>
          <cell r="H454">
            <v>40</v>
          </cell>
          <cell r="I454" t="str">
            <v>筐</v>
          </cell>
          <cell r="J454">
            <v>732</v>
          </cell>
          <cell r="K454" t="str"/>
          <cell r="L454" t="str"/>
          <cell r="M454" t="str">
            <v>二黄</v>
          </cell>
          <cell r="N454" t="str">
            <v>公司红周转筐</v>
          </cell>
          <cell r="O454" t="str"/>
          <cell r="P454" t="str"/>
          <cell r="Q454">
            <v>40</v>
          </cell>
          <cell r="R454" t="str">
            <v>新N*X8S48</v>
          </cell>
          <cell r="S454" t="str">
            <v>公司筐</v>
          </cell>
          <cell r="T454" t="str"/>
          <cell r="U454" t="str"/>
          <cell r="V454" t="str"/>
          <cell r="W454" t="str"/>
          <cell r="X454" t="str"/>
          <cell r="Y454" t="str"/>
        </row>
        <row r="454">
          <cell r="AA454" t="str"/>
          <cell r="AB454" t="str"/>
          <cell r="AC454" t="str"/>
          <cell r="AD454" t="str"/>
          <cell r="AE454" t="str"/>
          <cell r="AF454" t="str"/>
        </row>
        <row r="455">
          <cell r="B455">
            <v>46291</v>
          </cell>
          <cell r="C455" t="str">
            <v>吐尔地</v>
          </cell>
          <cell r="D455" t="str">
            <v>原料入库</v>
          </cell>
          <cell r="E455" t="str">
            <v>NO:0000992</v>
          </cell>
          <cell r="F455" t="str">
            <v>香梨</v>
          </cell>
          <cell r="G455" t="str">
            <v>香梨副特</v>
          </cell>
          <cell r="H455">
            <v>63</v>
          </cell>
          <cell r="I455" t="str">
            <v>筐</v>
          </cell>
          <cell r="J455">
            <v>1152.9</v>
          </cell>
          <cell r="K455" t="str"/>
          <cell r="L455" t="str"/>
          <cell r="M455" t="str">
            <v>二黄</v>
          </cell>
          <cell r="N455" t="str">
            <v>自备杂周转筐</v>
          </cell>
          <cell r="O455" t="str"/>
          <cell r="P455" t="str"/>
          <cell r="Q455">
            <v>63</v>
          </cell>
          <cell r="R455" t="str">
            <v>新N*X8S48</v>
          </cell>
          <cell r="S455" t="str">
            <v>自备筐</v>
          </cell>
          <cell r="T455" t="str"/>
          <cell r="U455" t="str"/>
          <cell r="V455" t="str"/>
          <cell r="W455" t="str"/>
          <cell r="X455" t="str"/>
          <cell r="Y455" t="str"/>
        </row>
        <row r="455">
          <cell r="AA455" t="str"/>
          <cell r="AB455" t="str"/>
          <cell r="AC455" t="str"/>
          <cell r="AD455" t="str"/>
          <cell r="AE455" t="str"/>
          <cell r="AF455" t="str"/>
        </row>
        <row r="456">
          <cell r="B456">
            <v>46291</v>
          </cell>
          <cell r="C456" t="str">
            <v>阿布都</v>
          </cell>
          <cell r="D456" t="str">
            <v>原料入库</v>
          </cell>
          <cell r="E456" t="str">
            <v>NO:0000993</v>
          </cell>
          <cell r="F456" t="str">
            <v>香梨</v>
          </cell>
          <cell r="G456" t="str">
            <v>香梨特级</v>
          </cell>
          <cell r="H456">
            <v>165</v>
          </cell>
          <cell r="I456" t="str">
            <v>筐</v>
          </cell>
          <cell r="J456">
            <v>3019.5</v>
          </cell>
          <cell r="K456" t="str"/>
          <cell r="L456" t="str"/>
          <cell r="M456" t="str">
            <v>努尔敦/二黄</v>
          </cell>
          <cell r="N456" t="str">
            <v>公司红周转筐</v>
          </cell>
          <cell r="O456" t="str"/>
          <cell r="P456" t="str"/>
          <cell r="Q456">
            <v>165</v>
          </cell>
          <cell r="R456" t="str">
            <v>新N*F0M01</v>
          </cell>
          <cell r="S456" t="str">
            <v>公司筐</v>
          </cell>
          <cell r="T456" t="str"/>
          <cell r="U456" t="str"/>
          <cell r="V456" t="str"/>
          <cell r="W456" t="str"/>
          <cell r="X456" t="str"/>
          <cell r="Y456" t="str"/>
        </row>
        <row r="456">
          <cell r="AA456" t="str"/>
          <cell r="AB456" t="str"/>
          <cell r="AC456" t="str"/>
          <cell r="AD456" t="str"/>
          <cell r="AE456" t="str"/>
          <cell r="AF456" t="str"/>
        </row>
        <row r="457">
          <cell r="B457">
            <v>46291</v>
          </cell>
          <cell r="C457" t="str">
            <v>阿布都</v>
          </cell>
          <cell r="D457" t="str">
            <v>原料入库</v>
          </cell>
          <cell r="E457" t="str">
            <v>NO:0000993</v>
          </cell>
          <cell r="F457" t="str">
            <v>香梨</v>
          </cell>
          <cell r="G457" t="str">
            <v>香梨一级</v>
          </cell>
          <cell r="H457">
            <v>27</v>
          </cell>
          <cell r="I457" t="str">
            <v>筐</v>
          </cell>
          <cell r="J457">
            <v>494.1</v>
          </cell>
          <cell r="K457" t="str"/>
          <cell r="L457" t="str"/>
          <cell r="M457" t="str">
            <v>努尔敦/二黄</v>
          </cell>
          <cell r="N457" t="str">
            <v>公司红周转筐</v>
          </cell>
          <cell r="O457" t="str"/>
          <cell r="P457" t="str"/>
          <cell r="Q457">
            <v>27</v>
          </cell>
          <cell r="R457" t="str">
            <v>新N*F0M01</v>
          </cell>
          <cell r="S457" t="str">
            <v>公司筐</v>
          </cell>
          <cell r="T457" t="str"/>
          <cell r="U457" t="str"/>
          <cell r="V457" t="str"/>
          <cell r="W457" t="str"/>
          <cell r="X457" t="str"/>
          <cell r="Y457" t="str"/>
        </row>
        <row r="457">
          <cell r="AA457" t="str"/>
          <cell r="AB457" t="str"/>
          <cell r="AC457" t="str"/>
          <cell r="AD457" t="str"/>
          <cell r="AE457" t="str"/>
          <cell r="AF457" t="str"/>
        </row>
        <row r="458">
          <cell r="B458">
            <v>46291</v>
          </cell>
          <cell r="C458" t="str">
            <v>阿布都</v>
          </cell>
          <cell r="D458" t="str">
            <v>原料入库</v>
          </cell>
          <cell r="E458" t="str">
            <v>NO:0000993</v>
          </cell>
          <cell r="F458" t="str">
            <v>香梨</v>
          </cell>
          <cell r="G458" t="str">
            <v>香梨副特</v>
          </cell>
          <cell r="H458">
            <v>102</v>
          </cell>
          <cell r="I458" t="str">
            <v>筐</v>
          </cell>
          <cell r="J458">
            <v>1866.6</v>
          </cell>
          <cell r="K458" t="str"/>
          <cell r="L458" t="str"/>
          <cell r="M458" t="str">
            <v>努尔敦/二黄</v>
          </cell>
          <cell r="N458" t="str">
            <v>公司红周转筐</v>
          </cell>
          <cell r="O458" t="str"/>
          <cell r="P458" t="str"/>
          <cell r="Q458">
            <v>102</v>
          </cell>
          <cell r="R458" t="str">
            <v>新N*F0M01</v>
          </cell>
          <cell r="S458" t="str">
            <v>公司筐</v>
          </cell>
          <cell r="T458" t="str"/>
          <cell r="U458" t="str"/>
          <cell r="V458" t="str"/>
          <cell r="W458" t="str"/>
          <cell r="X458" t="str"/>
          <cell r="Y458" t="str"/>
        </row>
        <row r="458">
          <cell r="AA458" t="str"/>
          <cell r="AB458" t="str"/>
          <cell r="AC458" t="str"/>
          <cell r="AD458" t="str"/>
          <cell r="AE458" t="str"/>
          <cell r="AF458" t="str"/>
        </row>
        <row r="459">
          <cell r="B459">
            <v>46291</v>
          </cell>
          <cell r="C459" t="str">
            <v>荆建君</v>
          </cell>
          <cell r="D459" t="str">
            <v>原料入库</v>
          </cell>
          <cell r="E459" t="str">
            <v>NO:0000994</v>
          </cell>
          <cell r="F459" t="str">
            <v>香梨</v>
          </cell>
          <cell r="G459" t="str">
            <v>香梨一级</v>
          </cell>
          <cell r="H459">
            <v>382</v>
          </cell>
          <cell r="I459" t="str">
            <v>筐</v>
          </cell>
          <cell r="J459">
            <v>6990.6</v>
          </cell>
          <cell r="K459" t="str"/>
          <cell r="L459" t="str"/>
          <cell r="M459" t="str">
            <v>二黄</v>
          </cell>
          <cell r="N459" t="str">
            <v>公司红周转筐</v>
          </cell>
          <cell r="O459" t="str"/>
          <cell r="P459" t="str"/>
          <cell r="Q459">
            <v>382</v>
          </cell>
          <cell r="R459" t="str">
            <v>豫A*2737K</v>
          </cell>
          <cell r="S459" t="str">
            <v>公司筐</v>
          </cell>
          <cell r="T459" t="str"/>
          <cell r="U459" t="str"/>
          <cell r="V459" t="str"/>
          <cell r="W459" t="str"/>
          <cell r="X459" t="str"/>
          <cell r="Y459" t="str"/>
        </row>
        <row r="459">
          <cell r="AA459" t="str"/>
          <cell r="AB459" t="str"/>
          <cell r="AC459" t="str"/>
          <cell r="AD459" t="str"/>
          <cell r="AE459" t="str"/>
          <cell r="AF459" t="str"/>
        </row>
        <row r="460">
          <cell r="B460">
            <v>46291</v>
          </cell>
          <cell r="C460" t="str">
            <v>荆建君</v>
          </cell>
          <cell r="D460" t="str">
            <v>原料入库</v>
          </cell>
          <cell r="E460" t="str">
            <v>NO:0000994</v>
          </cell>
          <cell r="F460" t="str">
            <v>香梨</v>
          </cell>
          <cell r="G460" t="str">
            <v>香梨二级</v>
          </cell>
          <cell r="H460">
            <v>264</v>
          </cell>
          <cell r="I460" t="str">
            <v>筐</v>
          </cell>
          <cell r="J460">
            <v>4831.2</v>
          </cell>
          <cell r="K460" t="str"/>
          <cell r="L460" t="str"/>
          <cell r="M460" t="str">
            <v>二黄</v>
          </cell>
          <cell r="N460" t="str">
            <v>公司红周转筐</v>
          </cell>
          <cell r="O460" t="str"/>
          <cell r="P460" t="str"/>
          <cell r="Q460">
            <v>264</v>
          </cell>
          <cell r="R460" t="str">
            <v>豫A*2737K</v>
          </cell>
          <cell r="S460" t="str">
            <v>公司筐</v>
          </cell>
          <cell r="T460" t="str"/>
          <cell r="U460" t="str"/>
          <cell r="V460" t="str"/>
          <cell r="W460" t="str"/>
          <cell r="X460" t="str"/>
          <cell r="Y460" t="str"/>
        </row>
        <row r="460">
          <cell r="AA460" t="str"/>
          <cell r="AB460" t="str"/>
          <cell r="AC460" t="str"/>
          <cell r="AD460" t="str"/>
          <cell r="AE460" t="str"/>
          <cell r="AF460" t="str"/>
        </row>
        <row r="461">
          <cell r="B461">
            <v>46291</v>
          </cell>
          <cell r="C461" t="str">
            <v>王灵云</v>
          </cell>
          <cell r="D461" t="str">
            <v>原料入库</v>
          </cell>
          <cell r="E461" t="str">
            <v>NO:0000995</v>
          </cell>
          <cell r="F461" t="str">
            <v>香梨</v>
          </cell>
          <cell r="G461" t="str">
            <v>香梨一级</v>
          </cell>
          <cell r="H461">
            <v>640</v>
          </cell>
          <cell r="I461" t="str">
            <v>筐</v>
          </cell>
          <cell r="J461">
            <v>11712</v>
          </cell>
          <cell r="K461" t="str"/>
          <cell r="L461" t="str"/>
          <cell r="M461" t="str">
            <v>二黄</v>
          </cell>
          <cell r="N461" t="str">
            <v>公司红周转筐</v>
          </cell>
          <cell r="O461" t="str"/>
          <cell r="P461" t="str"/>
          <cell r="Q461">
            <v>640</v>
          </cell>
          <cell r="R461" t="str">
            <v>新N*49209</v>
          </cell>
          <cell r="S461" t="str">
            <v>公司筐</v>
          </cell>
          <cell r="T461" t="str"/>
          <cell r="U461" t="str"/>
          <cell r="V461" t="str"/>
          <cell r="W461" t="str"/>
          <cell r="X461" t="str"/>
          <cell r="Y461" t="str"/>
        </row>
        <row r="461">
          <cell r="AA461" t="str"/>
          <cell r="AB461" t="str"/>
          <cell r="AC461" t="str"/>
          <cell r="AD461" t="str"/>
          <cell r="AE461" t="str"/>
          <cell r="AF461" t="str"/>
        </row>
        <row r="462">
          <cell r="B462">
            <v>46292</v>
          </cell>
          <cell r="C462" t="str">
            <v>热合曼</v>
          </cell>
          <cell r="D462" t="str">
            <v>原料入库</v>
          </cell>
          <cell r="E462" t="str">
            <v>NO:0000997</v>
          </cell>
          <cell r="F462" t="str">
            <v>香梨</v>
          </cell>
          <cell r="G462" t="str">
            <v>香梨一级</v>
          </cell>
          <cell r="H462">
            <v>282</v>
          </cell>
          <cell r="I462" t="str">
            <v>筐</v>
          </cell>
          <cell r="J462">
            <v>5160.6</v>
          </cell>
          <cell r="K462" t="str"/>
          <cell r="L462" t="str"/>
          <cell r="M462" t="str">
            <v>二黄</v>
          </cell>
          <cell r="N462" t="str">
            <v>公司红周转筐</v>
          </cell>
          <cell r="O462" t="str"/>
          <cell r="P462" t="str"/>
          <cell r="Q462">
            <v>282</v>
          </cell>
          <cell r="R462" t="str">
            <v>新R*37010</v>
          </cell>
          <cell r="S462" t="str">
            <v>公司筐</v>
          </cell>
          <cell r="T462" t="str"/>
          <cell r="U462" t="str"/>
          <cell r="V462" t="str"/>
          <cell r="W462" t="str"/>
          <cell r="X462" t="str"/>
          <cell r="Y462" t="str"/>
        </row>
        <row r="462">
          <cell r="AA462" t="str"/>
          <cell r="AB462" t="str"/>
          <cell r="AC462" t="str"/>
          <cell r="AD462" t="str"/>
          <cell r="AE462" t="str"/>
          <cell r="AF462" t="str"/>
        </row>
        <row r="463">
          <cell r="B463">
            <v>46292</v>
          </cell>
          <cell r="C463" t="str">
            <v>热合曼</v>
          </cell>
          <cell r="D463" t="str">
            <v>原料入库</v>
          </cell>
          <cell r="E463" t="str">
            <v>NO:0000997</v>
          </cell>
          <cell r="F463" t="str">
            <v>香梨</v>
          </cell>
          <cell r="G463" t="str">
            <v>香梨二级</v>
          </cell>
          <cell r="H463">
            <v>139</v>
          </cell>
          <cell r="I463" t="str">
            <v>筐</v>
          </cell>
          <cell r="J463">
            <v>3099.7</v>
          </cell>
          <cell r="K463" t="str"/>
          <cell r="L463" t="str"/>
          <cell r="M463" t="str">
            <v>二黄</v>
          </cell>
          <cell r="N463" t="str">
            <v>公司红周转筐</v>
          </cell>
          <cell r="O463" t="str"/>
          <cell r="P463" t="str"/>
          <cell r="Q463">
            <v>139</v>
          </cell>
          <cell r="R463" t="str">
            <v>新R*37010</v>
          </cell>
          <cell r="S463" t="str">
            <v>公司筐</v>
          </cell>
          <cell r="T463" t="str"/>
          <cell r="U463" t="str"/>
          <cell r="V463" t="str"/>
          <cell r="W463" t="str"/>
          <cell r="X463" t="str"/>
          <cell r="Y463" t="str"/>
        </row>
        <row r="463">
          <cell r="AA463" t="str"/>
          <cell r="AB463" t="str"/>
          <cell r="AC463" t="str"/>
          <cell r="AD463" t="str"/>
          <cell r="AE463" t="str"/>
          <cell r="AF463" t="str"/>
        </row>
        <row r="464">
          <cell r="B464">
            <v>46292</v>
          </cell>
          <cell r="C464" t="str">
            <v>热合曼</v>
          </cell>
          <cell r="D464" t="str">
            <v>原料入库</v>
          </cell>
          <cell r="E464" t="str">
            <v>NO:0000997</v>
          </cell>
          <cell r="F464" t="str">
            <v>香梨</v>
          </cell>
          <cell r="G464" t="str">
            <v>香梨副特</v>
          </cell>
          <cell r="H464">
            <v>296</v>
          </cell>
          <cell r="I464" t="str">
            <v>筐</v>
          </cell>
          <cell r="J464">
            <v>5416.8</v>
          </cell>
          <cell r="K464" t="str"/>
          <cell r="L464" t="str"/>
          <cell r="M464" t="str">
            <v>二黄</v>
          </cell>
          <cell r="N464" t="str">
            <v>公司红周转筐</v>
          </cell>
          <cell r="O464" t="str"/>
          <cell r="P464" t="str"/>
          <cell r="Q464">
            <v>296</v>
          </cell>
          <cell r="R464" t="str">
            <v>新R*37010</v>
          </cell>
          <cell r="S464" t="str">
            <v>公司筐</v>
          </cell>
          <cell r="T464" t="str"/>
          <cell r="U464" t="str"/>
          <cell r="V464" t="str"/>
          <cell r="W464" t="str"/>
          <cell r="X464" t="str"/>
          <cell r="Y464" t="str"/>
        </row>
        <row r="464">
          <cell r="AA464" t="str"/>
          <cell r="AB464" t="str"/>
          <cell r="AC464" t="str"/>
          <cell r="AD464" t="str"/>
          <cell r="AE464" t="str"/>
          <cell r="AF464" t="str"/>
        </row>
        <row r="465">
          <cell r="B465">
            <v>46292</v>
          </cell>
          <cell r="C465" t="str">
            <v>努尔敦</v>
          </cell>
          <cell r="D465" t="str">
            <v>原料入库</v>
          </cell>
          <cell r="E465" t="str">
            <v>NO:0000999</v>
          </cell>
          <cell r="F465" t="str">
            <v>香梨</v>
          </cell>
          <cell r="G465" t="str">
            <v>香梨特级</v>
          </cell>
          <cell r="H465">
            <v>336</v>
          </cell>
          <cell r="I465" t="str">
            <v>筐</v>
          </cell>
          <cell r="J465">
            <v>6148.8</v>
          </cell>
          <cell r="K465" t="str"/>
          <cell r="L465" t="str"/>
          <cell r="M465" t="str">
            <v>二黄</v>
          </cell>
          <cell r="N465" t="str">
            <v>公司红周转筐</v>
          </cell>
          <cell r="O465" t="str"/>
          <cell r="P465" t="str"/>
          <cell r="Q465">
            <v>336</v>
          </cell>
          <cell r="R465" t="str">
            <v>新F*75240</v>
          </cell>
          <cell r="S465" t="str">
            <v>公司筐</v>
          </cell>
          <cell r="T465" t="str"/>
          <cell r="U465" t="str"/>
          <cell r="V465" t="str"/>
          <cell r="W465" t="str"/>
          <cell r="X465" t="str"/>
          <cell r="Y465" t="str"/>
        </row>
        <row r="465">
          <cell r="AA465" t="str"/>
          <cell r="AB465" t="str"/>
          <cell r="AC465" t="str"/>
          <cell r="AD465" t="str"/>
          <cell r="AE465" t="str"/>
          <cell r="AF465" t="str"/>
        </row>
        <row r="466">
          <cell r="B466">
            <v>46292</v>
          </cell>
          <cell r="C466" t="str">
            <v>努尔敦</v>
          </cell>
          <cell r="D466" t="str">
            <v>原料入库</v>
          </cell>
          <cell r="E466" t="str">
            <v>NO:0000999</v>
          </cell>
          <cell r="F466" t="str">
            <v>香梨</v>
          </cell>
          <cell r="G466" t="str">
            <v>香梨一级</v>
          </cell>
          <cell r="H466">
            <v>208</v>
          </cell>
          <cell r="I466" t="str">
            <v>筐</v>
          </cell>
          <cell r="J466">
            <v>3806.4</v>
          </cell>
          <cell r="K466" t="str"/>
          <cell r="L466" t="str"/>
          <cell r="M466" t="str">
            <v>二黄</v>
          </cell>
          <cell r="N466" t="str">
            <v>公司红周转筐</v>
          </cell>
          <cell r="O466" t="str"/>
          <cell r="P466" t="str"/>
          <cell r="Q466">
            <v>208</v>
          </cell>
          <cell r="R466" t="str">
            <v>新F*75240</v>
          </cell>
          <cell r="S466" t="str">
            <v>公司筐</v>
          </cell>
          <cell r="T466" t="str"/>
          <cell r="U466" t="str"/>
          <cell r="V466" t="str"/>
          <cell r="W466" t="str"/>
          <cell r="X466" t="str"/>
          <cell r="Y466" t="str"/>
        </row>
        <row r="466">
          <cell r="AA466" t="str"/>
          <cell r="AB466" t="str"/>
          <cell r="AC466" t="str"/>
          <cell r="AD466" t="str"/>
          <cell r="AE466" t="str"/>
          <cell r="AF466" t="str"/>
        </row>
        <row r="467">
          <cell r="B467">
            <v>46292</v>
          </cell>
          <cell r="C467" t="str">
            <v>努尔敦</v>
          </cell>
          <cell r="D467" t="str">
            <v>原料入库</v>
          </cell>
          <cell r="E467" t="str">
            <v>NO:0000999</v>
          </cell>
          <cell r="F467" t="str">
            <v>香梨</v>
          </cell>
          <cell r="G467" t="str">
            <v>香梨二级</v>
          </cell>
          <cell r="H467">
            <v>100</v>
          </cell>
          <cell r="I467" t="str">
            <v>筐</v>
          </cell>
          <cell r="J467">
            <v>2230</v>
          </cell>
          <cell r="K467" t="str"/>
          <cell r="L467" t="str"/>
          <cell r="M467" t="str">
            <v>二黄</v>
          </cell>
          <cell r="N467" t="str">
            <v>公司红周转筐</v>
          </cell>
          <cell r="O467" t="str"/>
          <cell r="P467" t="str"/>
          <cell r="Q467">
            <v>100</v>
          </cell>
          <cell r="R467" t="str">
            <v>新F*75240</v>
          </cell>
          <cell r="S467" t="str">
            <v>公司筐</v>
          </cell>
          <cell r="T467" t="str"/>
          <cell r="U467" t="str"/>
          <cell r="V467" t="str"/>
          <cell r="W467" t="str"/>
          <cell r="X467" t="str"/>
          <cell r="Y467" t="str"/>
        </row>
        <row r="467">
          <cell r="AA467" t="str"/>
          <cell r="AB467" t="str"/>
          <cell r="AC467" t="str"/>
          <cell r="AD467" t="str"/>
          <cell r="AE467" t="str"/>
          <cell r="AF467" t="str"/>
        </row>
        <row r="468">
          <cell r="B468">
            <v>46292</v>
          </cell>
          <cell r="C468" t="str">
            <v>王灵云</v>
          </cell>
          <cell r="D468" t="str">
            <v>原料入库</v>
          </cell>
          <cell r="E468" t="str">
            <v>NO:0001000</v>
          </cell>
          <cell r="F468" t="str">
            <v>香梨</v>
          </cell>
          <cell r="G468" t="str">
            <v>香梨一级</v>
          </cell>
          <cell r="H468">
            <v>133</v>
          </cell>
          <cell r="I468" t="str">
            <v>筐</v>
          </cell>
          <cell r="J468">
            <v>2433.9</v>
          </cell>
          <cell r="K468" t="str"/>
          <cell r="L468" t="str"/>
          <cell r="M468" t="str">
            <v>二黄</v>
          </cell>
          <cell r="N468" t="str">
            <v>公司红周转筐</v>
          </cell>
          <cell r="O468" t="str"/>
          <cell r="P468" t="str"/>
          <cell r="Q468">
            <v>133</v>
          </cell>
          <cell r="R468" t="str">
            <v>新N*49209</v>
          </cell>
          <cell r="S468" t="str">
            <v>公司筐</v>
          </cell>
          <cell r="T468" t="str"/>
          <cell r="U468" t="str"/>
          <cell r="V468" t="str"/>
          <cell r="W468" t="str"/>
          <cell r="X468" t="str"/>
          <cell r="Y468" t="str"/>
        </row>
        <row r="468">
          <cell r="AA468" t="str"/>
          <cell r="AB468" t="str"/>
          <cell r="AC468" t="str"/>
          <cell r="AD468" t="str"/>
          <cell r="AE468" t="str"/>
          <cell r="AF468" t="str"/>
        </row>
        <row r="469">
          <cell r="B469">
            <v>46292</v>
          </cell>
          <cell r="C469" t="str">
            <v>王灵云</v>
          </cell>
          <cell r="D469" t="str">
            <v>原料入库</v>
          </cell>
          <cell r="E469" t="str">
            <v>NO:0001000</v>
          </cell>
          <cell r="F469" t="str">
            <v>香梨</v>
          </cell>
          <cell r="G469" t="str">
            <v>香梨二级</v>
          </cell>
          <cell r="H469">
            <v>105</v>
          </cell>
          <cell r="I469" t="str">
            <v>筐</v>
          </cell>
          <cell r="J469">
            <v>2446.5</v>
          </cell>
          <cell r="K469" t="str"/>
          <cell r="L469" t="str"/>
          <cell r="M469" t="str">
            <v>二黄</v>
          </cell>
          <cell r="N469" t="str">
            <v>公司红周转筐</v>
          </cell>
          <cell r="O469" t="str"/>
          <cell r="P469" t="str"/>
          <cell r="Q469">
            <v>105</v>
          </cell>
          <cell r="R469" t="str">
            <v>新N*49209</v>
          </cell>
          <cell r="S469" t="str">
            <v>公司筐</v>
          </cell>
          <cell r="T469" t="str"/>
          <cell r="U469" t="str"/>
          <cell r="V469" t="str"/>
          <cell r="W469" t="str"/>
          <cell r="X469" t="str"/>
          <cell r="Y469" t="str"/>
        </row>
        <row r="469">
          <cell r="AA469" t="str"/>
          <cell r="AB469" t="str"/>
          <cell r="AC469" t="str"/>
          <cell r="AD469" t="str"/>
          <cell r="AE469" t="str"/>
          <cell r="AF469" t="str"/>
        </row>
        <row r="470">
          <cell r="B470">
            <v>46292</v>
          </cell>
          <cell r="C470" t="str">
            <v>王灵云</v>
          </cell>
          <cell r="D470" t="str">
            <v>原料入库</v>
          </cell>
          <cell r="E470" t="str">
            <v>NO:0001000</v>
          </cell>
          <cell r="F470" t="str">
            <v>香梨</v>
          </cell>
          <cell r="G470" t="str">
            <v>香梨副特</v>
          </cell>
          <cell r="H470">
            <v>226</v>
          </cell>
          <cell r="I470" t="str">
            <v>筐</v>
          </cell>
          <cell r="J470">
            <v>4135.8</v>
          </cell>
          <cell r="K470" t="str"/>
          <cell r="L470" t="str"/>
          <cell r="M470" t="str">
            <v>二黄</v>
          </cell>
          <cell r="N470" t="str">
            <v>公司红周转筐</v>
          </cell>
          <cell r="O470" t="str"/>
          <cell r="P470" t="str"/>
          <cell r="Q470">
            <v>226</v>
          </cell>
          <cell r="R470" t="str">
            <v>新N*49209</v>
          </cell>
          <cell r="S470" t="str">
            <v>公司筐</v>
          </cell>
          <cell r="T470" t="str"/>
          <cell r="U470" t="str"/>
          <cell r="V470" t="str"/>
          <cell r="W470" t="str"/>
          <cell r="X470" t="str"/>
          <cell r="Y470" t="str"/>
        </row>
        <row r="470">
          <cell r="AA470" t="str"/>
          <cell r="AB470" t="str"/>
          <cell r="AC470" t="str"/>
          <cell r="AD470" t="str"/>
          <cell r="AE470" t="str"/>
          <cell r="AF470" t="str"/>
        </row>
        <row r="471">
          <cell r="B471">
            <v>46292</v>
          </cell>
          <cell r="C471" t="str">
            <v>荆建君</v>
          </cell>
          <cell r="D471" t="str">
            <v>原料入库</v>
          </cell>
          <cell r="E471" t="str">
            <v>NO:0001001</v>
          </cell>
          <cell r="F471" t="str">
            <v>香梨</v>
          </cell>
          <cell r="G471" t="str">
            <v>香梨一级</v>
          </cell>
          <cell r="H471">
            <v>279</v>
          </cell>
          <cell r="I471" t="str">
            <v>筐</v>
          </cell>
          <cell r="J471">
            <v>5105.7</v>
          </cell>
          <cell r="K471" t="str"/>
          <cell r="L471" t="str"/>
          <cell r="M471" t="str">
            <v>二黄</v>
          </cell>
          <cell r="N471" t="str">
            <v>公司红周转筐</v>
          </cell>
          <cell r="O471" t="str"/>
          <cell r="P471" t="str"/>
          <cell r="Q471">
            <v>279</v>
          </cell>
          <cell r="R471" t="str">
            <v>豫A*2737K</v>
          </cell>
          <cell r="S471" t="str">
            <v>公司筐</v>
          </cell>
          <cell r="T471" t="str"/>
          <cell r="U471" t="str"/>
          <cell r="V471" t="str"/>
          <cell r="W471" t="str"/>
          <cell r="X471" t="str"/>
          <cell r="Y471" t="str"/>
        </row>
        <row r="471">
          <cell r="AA471" t="str"/>
          <cell r="AB471" t="str"/>
          <cell r="AC471" t="str"/>
          <cell r="AD471" t="str"/>
          <cell r="AE471" t="str"/>
          <cell r="AF471" t="str"/>
        </row>
        <row r="472">
          <cell r="B472">
            <v>46292</v>
          </cell>
          <cell r="C472" t="str">
            <v>荆建君</v>
          </cell>
          <cell r="D472" t="str">
            <v>原料入库</v>
          </cell>
          <cell r="E472" t="str">
            <v>NO:0001001</v>
          </cell>
          <cell r="F472" t="str">
            <v>香梨</v>
          </cell>
          <cell r="G472" t="str">
            <v>香梨二级</v>
          </cell>
          <cell r="H472">
            <v>222</v>
          </cell>
          <cell r="I472" t="str">
            <v>筐</v>
          </cell>
          <cell r="J472">
            <v>4062.6</v>
          </cell>
          <cell r="K472" t="str"/>
          <cell r="L472" t="str"/>
          <cell r="M472" t="str">
            <v>二黄</v>
          </cell>
          <cell r="N472" t="str">
            <v>公司红周转筐</v>
          </cell>
          <cell r="O472" t="str"/>
          <cell r="P472" t="str"/>
          <cell r="Q472">
            <v>222</v>
          </cell>
          <cell r="R472" t="str">
            <v>豫A*2737K</v>
          </cell>
          <cell r="S472" t="str">
            <v>公司筐</v>
          </cell>
          <cell r="T472" t="str"/>
          <cell r="U472" t="str"/>
          <cell r="V472" t="str"/>
          <cell r="W472" t="str"/>
          <cell r="X472" t="str"/>
          <cell r="Y472" t="str"/>
        </row>
        <row r="472">
          <cell r="AA472" t="str"/>
          <cell r="AB472" t="str"/>
          <cell r="AC472" t="str"/>
          <cell r="AD472" t="str"/>
          <cell r="AE472" t="str"/>
          <cell r="AF472" t="str"/>
        </row>
        <row r="473">
          <cell r="B473">
            <v>46292</v>
          </cell>
          <cell r="C473" t="str">
            <v>麦麦提</v>
          </cell>
          <cell r="D473" t="str">
            <v>原料入库</v>
          </cell>
          <cell r="E473" t="str">
            <v>NO:0001004</v>
          </cell>
          <cell r="F473" t="str">
            <v>香梨</v>
          </cell>
          <cell r="G473" t="str">
            <v>香梨特级</v>
          </cell>
          <cell r="H473">
            <v>266</v>
          </cell>
          <cell r="I473" t="str">
            <v>筐</v>
          </cell>
          <cell r="J473">
            <v>5133.8</v>
          </cell>
          <cell r="K473" t="str"/>
          <cell r="L473" t="str"/>
          <cell r="M473" t="str">
            <v>二黄</v>
          </cell>
          <cell r="N473" t="str">
            <v>公司红周转筐</v>
          </cell>
          <cell r="O473" t="str"/>
          <cell r="P473" t="str"/>
          <cell r="Q473">
            <v>266</v>
          </cell>
          <cell r="R473" t="str">
            <v>新R*37010</v>
          </cell>
          <cell r="S473" t="str">
            <v>公司筐</v>
          </cell>
          <cell r="T473" t="str"/>
          <cell r="U473" t="str"/>
          <cell r="V473" t="str"/>
          <cell r="W473" t="str"/>
          <cell r="X473" t="str"/>
          <cell r="Y473" t="str"/>
        </row>
        <row r="473">
          <cell r="AA473" t="str"/>
          <cell r="AB473" t="str"/>
          <cell r="AC473" t="str"/>
          <cell r="AD473" t="str"/>
          <cell r="AE473" t="str"/>
          <cell r="AF473" t="str"/>
        </row>
        <row r="474">
          <cell r="B474">
            <v>46292</v>
          </cell>
          <cell r="C474" t="str">
            <v>麦麦提</v>
          </cell>
          <cell r="D474" t="str">
            <v>原料入库</v>
          </cell>
          <cell r="E474" t="str">
            <v>NO:0001004</v>
          </cell>
          <cell r="F474" t="str">
            <v>香梨</v>
          </cell>
          <cell r="G474" t="str">
            <v>香梨一级</v>
          </cell>
          <cell r="H474">
            <v>200</v>
          </cell>
          <cell r="I474" t="str">
            <v>筐</v>
          </cell>
          <cell r="J474">
            <v>3460</v>
          </cell>
          <cell r="K474" t="str"/>
          <cell r="L474" t="str"/>
          <cell r="M474" t="str">
            <v>二黄</v>
          </cell>
          <cell r="N474" t="str">
            <v>公司红周转筐</v>
          </cell>
          <cell r="O474" t="str"/>
          <cell r="P474" t="str"/>
          <cell r="Q474">
            <v>200</v>
          </cell>
          <cell r="R474" t="str">
            <v>新R*37010</v>
          </cell>
          <cell r="S474" t="str">
            <v>公司筐</v>
          </cell>
          <cell r="T474" t="str"/>
          <cell r="U474" t="str"/>
          <cell r="V474" t="str"/>
          <cell r="W474" t="str"/>
          <cell r="X474" t="str"/>
          <cell r="Y474" t="str"/>
        </row>
        <row r="474">
          <cell r="AA474" t="str"/>
          <cell r="AB474" t="str"/>
          <cell r="AC474" t="str"/>
          <cell r="AD474" t="str"/>
          <cell r="AE474" t="str"/>
          <cell r="AF474" t="str"/>
        </row>
        <row r="475">
          <cell r="B475">
            <v>46292</v>
          </cell>
          <cell r="C475" t="str">
            <v>麦麦提</v>
          </cell>
          <cell r="D475" t="str">
            <v>原料入库</v>
          </cell>
          <cell r="E475" t="str">
            <v>NO:0001004</v>
          </cell>
          <cell r="F475" t="str">
            <v>香梨</v>
          </cell>
          <cell r="G475" t="str">
            <v>香梨二级</v>
          </cell>
          <cell r="H475">
            <v>192</v>
          </cell>
          <cell r="I475" t="str">
            <v>筐</v>
          </cell>
          <cell r="J475">
            <v>4281.6</v>
          </cell>
          <cell r="K475" t="str"/>
          <cell r="L475" t="str"/>
          <cell r="M475" t="str">
            <v>二黄</v>
          </cell>
          <cell r="N475" t="str">
            <v>公司红周转筐</v>
          </cell>
          <cell r="O475" t="str"/>
          <cell r="P475" t="str"/>
          <cell r="Q475">
            <v>192</v>
          </cell>
          <cell r="R475" t="str">
            <v>新R*37010</v>
          </cell>
          <cell r="S475" t="str">
            <v>公司筐</v>
          </cell>
          <cell r="T475" t="str"/>
          <cell r="U475" t="str"/>
          <cell r="V475" t="str"/>
          <cell r="W475" t="str"/>
          <cell r="X475" t="str"/>
          <cell r="Y475" t="str"/>
        </row>
        <row r="475">
          <cell r="AA475" t="str"/>
          <cell r="AB475" t="str"/>
          <cell r="AC475" t="str"/>
          <cell r="AD475" t="str"/>
          <cell r="AE475" t="str"/>
          <cell r="AF475" t="str"/>
        </row>
        <row r="476">
          <cell r="B476">
            <v>46293</v>
          </cell>
          <cell r="C476" t="str">
            <v>吐尔地</v>
          </cell>
          <cell r="D476" t="str">
            <v>原料入库</v>
          </cell>
          <cell r="E476" t="str">
            <v>NO:0001005</v>
          </cell>
          <cell r="F476" t="str">
            <v>香梨</v>
          </cell>
          <cell r="G476" t="str">
            <v>香梨一级</v>
          </cell>
          <cell r="H476">
            <v>73</v>
          </cell>
          <cell r="I476" t="str">
            <v>筐</v>
          </cell>
          <cell r="J476">
            <v>1335.9</v>
          </cell>
          <cell r="K476" t="str"/>
          <cell r="L476" t="str"/>
          <cell r="M476" t="str">
            <v>二黄</v>
          </cell>
          <cell r="N476" t="str">
            <v>公司红周转筐</v>
          </cell>
          <cell r="O476" t="str"/>
          <cell r="P476" t="str"/>
          <cell r="Q476">
            <v>73</v>
          </cell>
          <cell r="R476" t="str">
            <v>新N*X8S48</v>
          </cell>
          <cell r="S476" t="str">
            <v>公司筐</v>
          </cell>
          <cell r="T476" t="str"/>
          <cell r="U476" t="str"/>
          <cell r="V476" t="str"/>
          <cell r="W476" t="str"/>
          <cell r="X476" t="str"/>
          <cell r="Y476" t="str"/>
        </row>
        <row r="476">
          <cell r="AA476" t="str"/>
          <cell r="AB476" t="str"/>
          <cell r="AC476" t="str"/>
          <cell r="AD476" t="str"/>
          <cell r="AE476" t="str"/>
          <cell r="AF476" t="str"/>
        </row>
        <row r="477">
          <cell r="B477">
            <v>46293</v>
          </cell>
          <cell r="C477" t="str">
            <v>吐尔地</v>
          </cell>
          <cell r="D477" t="str">
            <v>原料入库</v>
          </cell>
          <cell r="E477" t="str">
            <v>NO:0001005</v>
          </cell>
          <cell r="F477" t="str">
            <v>香梨</v>
          </cell>
          <cell r="G477" t="str">
            <v>香梨二级</v>
          </cell>
          <cell r="H477">
            <v>47</v>
          </cell>
          <cell r="I477" t="str">
            <v>筐</v>
          </cell>
          <cell r="J477">
            <v>1048.1</v>
          </cell>
          <cell r="K477" t="str"/>
          <cell r="L477" t="str"/>
          <cell r="M477" t="str">
            <v>二黄</v>
          </cell>
          <cell r="N477" t="str">
            <v>公司红周转筐</v>
          </cell>
          <cell r="O477" t="str"/>
          <cell r="P477" t="str"/>
          <cell r="Q477">
            <v>47</v>
          </cell>
          <cell r="R477" t="str">
            <v>新N*X8S48</v>
          </cell>
          <cell r="S477" t="str">
            <v>公司筐</v>
          </cell>
          <cell r="T477" t="str"/>
          <cell r="U477" t="str"/>
          <cell r="V477" t="str"/>
          <cell r="W477" t="str"/>
          <cell r="X477" t="str"/>
          <cell r="Y477" t="str"/>
        </row>
        <row r="477">
          <cell r="AA477" t="str"/>
          <cell r="AB477" t="str"/>
          <cell r="AC477" t="str"/>
          <cell r="AD477" t="str"/>
          <cell r="AE477" t="str"/>
          <cell r="AF477" t="str"/>
        </row>
        <row r="478">
          <cell r="B478">
            <v>46293</v>
          </cell>
          <cell r="C478" t="str">
            <v>吐尔地</v>
          </cell>
          <cell r="D478" t="str">
            <v>原料入库</v>
          </cell>
          <cell r="E478" t="str">
            <v>NO:0001005</v>
          </cell>
          <cell r="F478" t="str">
            <v>香梨</v>
          </cell>
          <cell r="G478" t="str">
            <v>香梨副特</v>
          </cell>
          <cell r="H478">
            <v>112</v>
          </cell>
          <cell r="I478" t="str">
            <v>筐</v>
          </cell>
          <cell r="J478">
            <v>2049.6</v>
          </cell>
          <cell r="K478" t="str"/>
          <cell r="L478" t="str"/>
          <cell r="M478" t="str">
            <v>二黄</v>
          </cell>
          <cell r="N478" t="str">
            <v>公司红周转筐</v>
          </cell>
          <cell r="O478" t="str"/>
          <cell r="P478" t="str"/>
          <cell r="Q478">
            <v>112</v>
          </cell>
          <cell r="R478" t="str">
            <v>新N*X8S48</v>
          </cell>
          <cell r="S478" t="str">
            <v>公司筐</v>
          </cell>
          <cell r="T478" t="str"/>
          <cell r="U478" t="str"/>
          <cell r="V478" t="str"/>
          <cell r="W478" t="str"/>
          <cell r="X478" t="str"/>
          <cell r="Y478" t="str"/>
        </row>
        <row r="478">
          <cell r="AA478" t="str"/>
          <cell r="AB478" t="str"/>
          <cell r="AC478" t="str"/>
          <cell r="AD478" t="str"/>
          <cell r="AE478" t="str"/>
          <cell r="AF478" t="str"/>
        </row>
        <row r="479">
          <cell r="B479">
            <v>46250</v>
          </cell>
          <cell r="C479" t="str">
            <v>王照雪</v>
          </cell>
          <cell r="D479" t="str">
            <v>原料出库－原筐出库</v>
          </cell>
          <cell r="E479" t="str">
            <v>NO:0001018</v>
          </cell>
          <cell r="F479" t="str">
            <v>李子</v>
          </cell>
          <cell r="G479" t="str">
            <v>樱桃李</v>
          </cell>
          <cell r="H479">
            <v>402</v>
          </cell>
          <cell r="I479" t="str">
            <v>筐</v>
          </cell>
          <cell r="J479">
            <v>6552.6</v>
          </cell>
          <cell r="K479" t="str"/>
          <cell r="L479" t="str"/>
          <cell r="M479" t="str"/>
          <cell r="N479" t="str">
            <v>自备一次性筐</v>
          </cell>
          <cell r="O479">
            <v>402</v>
          </cell>
          <cell r="P479" t="str"/>
          <cell r="Q479" t="str"/>
          <cell r="R479" t="str">
            <v>苏C*HB310</v>
          </cell>
          <cell r="S479" t="str">
            <v>自备筐</v>
          </cell>
          <cell r="T479" t="str"/>
          <cell r="U479" t="str"/>
          <cell r="V479" t="str"/>
          <cell r="W479" t="str"/>
          <cell r="X479" t="str"/>
          <cell r="Y479" t="str"/>
        </row>
        <row r="479">
          <cell r="AA479" t="str"/>
          <cell r="AB479" t="str"/>
          <cell r="AC479" t="str"/>
          <cell r="AD479" t="str"/>
          <cell r="AE479" t="str"/>
          <cell r="AF479" t="str"/>
        </row>
        <row r="480">
          <cell r="B480">
            <v>46251</v>
          </cell>
          <cell r="C480" t="str">
            <v>王照雪</v>
          </cell>
          <cell r="D480" t="str">
            <v>原料出库－公司购买</v>
          </cell>
          <cell r="E480" t="str">
            <v>NO:0000140</v>
          </cell>
          <cell r="F480" t="str">
            <v>李子</v>
          </cell>
          <cell r="G480" t="str">
            <v>樱桃李</v>
          </cell>
          <cell r="H480">
            <v>1</v>
          </cell>
          <cell r="I480" t="str">
            <v>筐</v>
          </cell>
          <cell r="J480">
            <v>16.3</v>
          </cell>
          <cell r="K480" t="str"/>
          <cell r="L480" t="str"/>
          <cell r="M480" t="str"/>
          <cell r="N480" t="str">
            <v>自备一次性筐</v>
          </cell>
          <cell r="O480">
            <v>1</v>
          </cell>
          <cell r="P480" t="str"/>
          <cell r="Q480" t="str"/>
          <cell r="R480" t="str"/>
          <cell r="S480" t="str">
            <v>自备筐</v>
          </cell>
          <cell r="T480" t="str"/>
          <cell r="U480" t="str"/>
          <cell r="V480" t="str"/>
          <cell r="W480" t="str"/>
          <cell r="X480" t="str"/>
          <cell r="Y480" t="str"/>
        </row>
        <row r="480">
          <cell r="AA480" t="str"/>
          <cell r="AB480" t="str"/>
          <cell r="AC480" t="str"/>
          <cell r="AD480" t="str"/>
          <cell r="AE480" t="str"/>
          <cell r="AF480" t="str"/>
        </row>
        <row r="481">
          <cell r="B481">
            <v>46255</v>
          </cell>
          <cell r="C481" t="str">
            <v>伍元虎</v>
          </cell>
          <cell r="D481" t="str">
            <v>原料出库－原筐出库</v>
          </cell>
          <cell r="E481" t="str">
            <v>NO:0001021</v>
          </cell>
          <cell r="F481" t="str">
            <v>苹果</v>
          </cell>
          <cell r="G481" t="str">
            <v>海棠果</v>
          </cell>
          <cell r="H481">
            <v>87</v>
          </cell>
          <cell r="I481" t="str">
            <v>筐</v>
          </cell>
          <cell r="J481">
            <v>1957.5</v>
          </cell>
          <cell r="K481" t="str"/>
          <cell r="L481" t="str"/>
          <cell r="M481" t="str">
            <v>出库完毕</v>
          </cell>
          <cell r="N481" t="str">
            <v>自备一次性筐</v>
          </cell>
          <cell r="O481">
            <v>87</v>
          </cell>
          <cell r="P481" t="str"/>
          <cell r="Q481" t="str"/>
          <cell r="R481" t="str">
            <v>新N*4377B</v>
          </cell>
          <cell r="S481" t="str">
            <v>自备筐</v>
          </cell>
          <cell r="T481" t="str"/>
          <cell r="U481" t="str"/>
          <cell r="V481" t="str"/>
          <cell r="W481" t="str"/>
          <cell r="X481" t="str"/>
          <cell r="Y481" t="str"/>
        </row>
        <row r="481">
          <cell r="AA481" t="str"/>
          <cell r="AB481" t="str"/>
          <cell r="AC481" t="str"/>
          <cell r="AD481" t="str"/>
          <cell r="AE481" t="str"/>
          <cell r="AF481" t="str"/>
        </row>
        <row r="482">
          <cell r="B482">
            <v>46255</v>
          </cell>
          <cell r="C482" t="str">
            <v>聂新平</v>
          </cell>
          <cell r="D482" t="str">
            <v>原料出库－原筐出库</v>
          </cell>
          <cell r="E482" t="str">
            <v>NO:0001024</v>
          </cell>
          <cell r="F482" t="str">
            <v>苹果</v>
          </cell>
          <cell r="G482" t="str">
            <v>嘎啦85#</v>
          </cell>
          <cell r="H482">
            <v>212</v>
          </cell>
          <cell r="I482" t="str">
            <v>筐</v>
          </cell>
          <cell r="J482">
            <v>4621.6</v>
          </cell>
          <cell r="K482" t="str"/>
          <cell r="L482" t="str"/>
          <cell r="M482" t="str"/>
          <cell r="N482" t="str">
            <v>自备一次性筐</v>
          </cell>
          <cell r="O482">
            <v>212</v>
          </cell>
          <cell r="P482" t="str"/>
          <cell r="Q482" t="str"/>
          <cell r="R482" t="str">
            <v>晋M*H8582</v>
          </cell>
          <cell r="S482" t="str">
            <v>自备筐</v>
          </cell>
          <cell r="T482" t="str"/>
          <cell r="U482" t="str"/>
          <cell r="V482" t="str"/>
          <cell r="W482" t="str"/>
          <cell r="X482" t="str"/>
          <cell r="Y482" t="str"/>
        </row>
        <row r="482">
          <cell r="AA482" t="str"/>
          <cell r="AB482" t="str"/>
          <cell r="AC482" t="str"/>
          <cell r="AD482" t="str"/>
          <cell r="AE482" t="str"/>
          <cell r="AF482" t="str"/>
        </row>
        <row r="483">
          <cell r="B483">
            <v>46255</v>
          </cell>
          <cell r="C483" t="str">
            <v>聂新平</v>
          </cell>
          <cell r="D483" t="str">
            <v>原料出库－原筐出库</v>
          </cell>
          <cell r="E483" t="str">
            <v>NO:0001024</v>
          </cell>
          <cell r="F483" t="str">
            <v>苹果</v>
          </cell>
          <cell r="G483" t="str">
            <v>嘎啦100#</v>
          </cell>
          <cell r="H483">
            <v>240</v>
          </cell>
          <cell r="I483" t="str">
            <v>筐</v>
          </cell>
          <cell r="J483">
            <v>5232</v>
          </cell>
          <cell r="K483" t="str"/>
          <cell r="L483" t="str"/>
          <cell r="M483" t="str"/>
          <cell r="N483" t="str">
            <v>自备一次性筐</v>
          </cell>
          <cell r="O483">
            <v>240</v>
          </cell>
          <cell r="P483" t="str"/>
          <cell r="Q483" t="str"/>
          <cell r="R483" t="str">
            <v>晋M*H8582</v>
          </cell>
          <cell r="S483" t="str">
            <v>自备筐</v>
          </cell>
          <cell r="T483" t="str"/>
          <cell r="U483" t="str"/>
          <cell r="V483" t="str"/>
          <cell r="W483" t="str"/>
          <cell r="X483" t="str"/>
          <cell r="Y483" t="str"/>
        </row>
        <row r="483">
          <cell r="AA483" t="str"/>
          <cell r="AB483" t="str"/>
          <cell r="AC483" t="str"/>
          <cell r="AD483" t="str"/>
          <cell r="AE483" t="str"/>
          <cell r="AF483" t="str"/>
        </row>
        <row r="484">
          <cell r="B484">
            <v>46258</v>
          </cell>
          <cell r="C484" t="str">
            <v>王照雪</v>
          </cell>
          <cell r="D484" t="str">
            <v>原料出库－原筐出库</v>
          </cell>
          <cell r="E484" t="str">
            <v>NO:0001032</v>
          </cell>
          <cell r="F484" t="str">
            <v>苹果</v>
          </cell>
          <cell r="G484" t="str">
            <v>华硕高次</v>
          </cell>
          <cell r="H484">
            <v>1</v>
          </cell>
          <cell r="I484" t="str">
            <v>筐</v>
          </cell>
          <cell r="J484">
            <v>17.3</v>
          </cell>
          <cell r="K484" t="str"/>
          <cell r="L484" t="str"/>
          <cell r="M484" t="str">
            <v>主播拿走</v>
          </cell>
          <cell r="N484" t="str">
            <v>公司杂周转筐</v>
          </cell>
          <cell r="O484">
            <v>1</v>
          </cell>
          <cell r="P484" t="str"/>
          <cell r="Q484" t="str"/>
          <cell r="R484" t="str"/>
          <cell r="S484" t="str">
            <v>公司筐</v>
          </cell>
          <cell r="T484" t="str"/>
          <cell r="U484" t="str"/>
          <cell r="V484" t="str"/>
          <cell r="W484" t="str"/>
          <cell r="X484" t="str"/>
          <cell r="Y484" t="str"/>
        </row>
        <row r="484">
          <cell r="AA484" t="str"/>
          <cell r="AB484" t="str"/>
          <cell r="AC484" t="str"/>
          <cell r="AD484" t="str"/>
          <cell r="AE484" t="str"/>
          <cell r="AF484" t="str"/>
        </row>
        <row r="485">
          <cell r="B485">
            <v>46259</v>
          </cell>
          <cell r="C485" t="str">
            <v>王照雪</v>
          </cell>
          <cell r="D485" t="str">
            <v>原料出库－出库加工</v>
          </cell>
          <cell r="E485" t="str">
            <v>NO:0001034</v>
          </cell>
          <cell r="F485" t="str">
            <v>苹果</v>
          </cell>
          <cell r="G485" t="str">
            <v>华硕一级</v>
          </cell>
          <cell r="H485">
            <v>44</v>
          </cell>
          <cell r="I485" t="str">
            <v>筐</v>
          </cell>
          <cell r="J485" t="str"/>
          <cell r="K485" t="str"/>
          <cell r="L485" t="str"/>
          <cell r="M485" t="str"/>
          <cell r="N485" t="str"/>
          <cell r="O485" t="str"/>
          <cell r="P485" t="str"/>
          <cell r="Q485" t="str"/>
          <cell r="R485" t="str"/>
          <cell r="S485" t="str"/>
          <cell r="T485" t="str"/>
          <cell r="U485" t="str"/>
          <cell r="V485" t="str"/>
          <cell r="W485" t="str"/>
          <cell r="X485" t="str"/>
          <cell r="Y485" t="str"/>
        </row>
        <row r="485">
          <cell r="AA485" t="str"/>
          <cell r="AB485" t="str"/>
          <cell r="AC485" t="str"/>
          <cell r="AD485" t="str"/>
          <cell r="AE485" t="str"/>
          <cell r="AF485" t="str"/>
        </row>
        <row r="486">
          <cell r="B486">
            <v>46261</v>
          </cell>
          <cell r="C486" t="str">
            <v>王照雪</v>
          </cell>
          <cell r="D486" t="str">
            <v>原料出库－出库加工</v>
          </cell>
          <cell r="E486" t="str">
            <v>NO:0001038</v>
          </cell>
          <cell r="F486" t="str">
            <v>苹果</v>
          </cell>
          <cell r="G486" t="str">
            <v>华硕一级</v>
          </cell>
          <cell r="H486">
            <v>78</v>
          </cell>
          <cell r="I486" t="str">
            <v>筐</v>
          </cell>
          <cell r="J486" t="str"/>
          <cell r="K486" t="str"/>
          <cell r="L486" t="str"/>
          <cell r="M486" t="str"/>
          <cell r="N486" t="str"/>
          <cell r="O486" t="str"/>
          <cell r="P486" t="str"/>
          <cell r="Q486" t="str"/>
          <cell r="R486" t="str"/>
          <cell r="S486" t="str"/>
          <cell r="T486" t="str"/>
          <cell r="U486" t="str"/>
          <cell r="V486" t="str"/>
          <cell r="W486" t="str"/>
          <cell r="X486" t="str"/>
          <cell r="Y486" t="str"/>
        </row>
        <row r="486">
          <cell r="AA486" t="str"/>
          <cell r="AB486" t="str"/>
          <cell r="AC486" t="str"/>
          <cell r="AD486" t="str"/>
          <cell r="AE486" t="str"/>
          <cell r="AF486" t="str"/>
        </row>
        <row r="487">
          <cell r="B487">
            <v>46261</v>
          </cell>
          <cell r="C487" t="str">
            <v>王照雪</v>
          </cell>
          <cell r="D487" t="str">
            <v>原料出库－出库加工</v>
          </cell>
          <cell r="E487" t="str">
            <v>NO:0001038</v>
          </cell>
          <cell r="F487" t="str">
            <v>苹果</v>
          </cell>
          <cell r="G487" t="str">
            <v>华硕高次</v>
          </cell>
          <cell r="H487">
            <v>44</v>
          </cell>
          <cell r="I487" t="str">
            <v>筐</v>
          </cell>
          <cell r="J487" t="str"/>
          <cell r="K487" t="str"/>
          <cell r="L487" t="str"/>
          <cell r="M487" t="str"/>
          <cell r="N487" t="str"/>
          <cell r="O487" t="str"/>
          <cell r="P487" t="str"/>
          <cell r="Q487" t="str"/>
          <cell r="R487" t="str"/>
          <cell r="S487" t="str"/>
          <cell r="T487" t="str"/>
          <cell r="U487" t="str"/>
          <cell r="V487" t="str"/>
          <cell r="W487" t="str"/>
          <cell r="X487" t="str"/>
          <cell r="Y487" t="str"/>
        </row>
        <row r="487">
          <cell r="AA487" t="str"/>
          <cell r="AB487" t="str"/>
          <cell r="AC487" t="str"/>
          <cell r="AD487" t="str"/>
          <cell r="AE487" t="str"/>
          <cell r="AF487" t="str"/>
        </row>
        <row r="488">
          <cell r="B488">
            <v>46262</v>
          </cell>
          <cell r="C488" t="str">
            <v>马锦祥</v>
          </cell>
          <cell r="D488" t="str">
            <v>原料出库－原筐出库</v>
          </cell>
          <cell r="E488" t="str">
            <v>NO:0001042</v>
          </cell>
          <cell r="F488" t="str">
            <v>苹果</v>
          </cell>
          <cell r="G488" t="str">
            <v>海棠果</v>
          </cell>
          <cell r="H488">
            <v>4</v>
          </cell>
          <cell r="I488" t="str">
            <v>筐</v>
          </cell>
          <cell r="J488">
            <v>12</v>
          </cell>
          <cell r="K488" t="str"/>
          <cell r="L488" t="str"/>
          <cell r="M488" t="str">
            <v>司机老王拿2/任斌拿2</v>
          </cell>
          <cell r="N488" t="str">
            <v>自备一次性筐</v>
          </cell>
          <cell r="O488">
            <v>2</v>
          </cell>
          <cell r="P488" t="str"/>
          <cell r="Q488" t="str"/>
          <cell r="R488" t="str"/>
          <cell r="S488" t="str">
            <v>自备筐</v>
          </cell>
          <cell r="T488" t="str"/>
          <cell r="U488" t="str"/>
          <cell r="V488" t="str"/>
          <cell r="W488" t="str"/>
          <cell r="X488" t="str"/>
          <cell r="Y488" t="str"/>
        </row>
        <row r="488">
          <cell r="AA488" t="str"/>
          <cell r="AB488" t="str"/>
          <cell r="AC488" t="str"/>
          <cell r="AD488" t="str"/>
          <cell r="AE488" t="str"/>
          <cell r="AF488" t="str"/>
        </row>
        <row r="489">
          <cell r="B489">
            <v>46263</v>
          </cell>
          <cell r="C489" t="str">
            <v>聂新平</v>
          </cell>
          <cell r="D489" t="str">
            <v>原料出库－出库加工</v>
          </cell>
          <cell r="E489" t="str">
            <v>NO:0001044</v>
          </cell>
          <cell r="F489" t="str">
            <v>苹果</v>
          </cell>
          <cell r="G489" t="str">
            <v>嘎啦100#</v>
          </cell>
          <cell r="H489">
            <v>80</v>
          </cell>
          <cell r="I489" t="str">
            <v>筐</v>
          </cell>
          <cell r="J489" t="str"/>
          <cell r="K489" t="str"/>
          <cell r="L489" t="str"/>
          <cell r="M489" t="str"/>
          <cell r="N489" t="str"/>
          <cell r="O489" t="str"/>
          <cell r="P489" t="str"/>
          <cell r="Q489" t="str"/>
          <cell r="R489" t="str"/>
          <cell r="S489" t="str"/>
          <cell r="T489" t="str"/>
          <cell r="U489" t="str"/>
          <cell r="V489" t="str"/>
          <cell r="W489" t="str"/>
          <cell r="X489" t="str"/>
          <cell r="Y489" t="str"/>
        </row>
        <row r="489">
          <cell r="AA489" t="str"/>
          <cell r="AB489" t="str"/>
          <cell r="AC489" t="str"/>
          <cell r="AD489" t="str"/>
          <cell r="AE489" t="str"/>
          <cell r="AF489" t="str"/>
        </row>
        <row r="490">
          <cell r="B490">
            <v>46263</v>
          </cell>
          <cell r="C490" t="str">
            <v>王照雪</v>
          </cell>
          <cell r="D490" t="str">
            <v>原料出库－出库加工</v>
          </cell>
          <cell r="E490" t="str">
            <v>NO:0001045</v>
          </cell>
          <cell r="F490" t="str">
            <v>苹果</v>
          </cell>
          <cell r="G490" t="str">
            <v>华硕一级</v>
          </cell>
          <cell r="H490">
            <v>240</v>
          </cell>
          <cell r="I490" t="str">
            <v>筐</v>
          </cell>
          <cell r="J490" t="str"/>
          <cell r="K490" t="str"/>
          <cell r="L490" t="str"/>
          <cell r="M490" t="str"/>
          <cell r="N490" t="str"/>
          <cell r="O490" t="str"/>
          <cell r="P490" t="str"/>
          <cell r="Q490" t="str"/>
          <cell r="R490" t="str"/>
          <cell r="S490" t="str"/>
          <cell r="T490" t="str"/>
          <cell r="U490" t="str"/>
          <cell r="V490" t="str"/>
          <cell r="W490" t="str"/>
          <cell r="X490" t="str"/>
          <cell r="Y490" t="str"/>
        </row>
        <row r="490">
          <cell r="AA490" t="str"/>
          <cell r="AB490" t="str"/>
          <cell r="AC490" t="str"/>
          <cell r="AD490" t="str"/>
          <cell r="AE490" t="str"/>
          <cell r="AF490" t="str"/>
        </row>
        <row r="491">
          <cell r="B491">
            <v>46263</v>
          </cell>
          <cell r="C491" t="str">
            <v>聂新平</v>
          </cell>
          <cell r="D491" t="str">
            <v>原料出库－出库加工</v>
          </cell>
          <cell r="E491" t="str">
            <v>NO:0001047</v>
          </cell>
          <cell r="F491" t="str">
            <v>苹果</v>
          </cell>
          <cell r="G491" t="str">
            <v>嘎啦100#</v>
          </cell>
          <cell r="H491">
            <v>240</v>
          </cell>
          <cell r="I491" t="str">
            <v>筐</v>
          </cell>
          <cell r="J491" t="str"/>
          <cell r="K491" t="str"/>
          <cell r="L491" t="str"/>
          <cell r="M491" t="str"/>
          <cell r="N491" t="str"/>
          <cell r="O491" t="str"/>
          <cell r="P491" t="str"/>
          <cell r="Q491" t="str"/>
          <cell r="R491" t="str"/>
          <cell r="S491" t="str"/>
          <cell r="T491" t="str"/>
          <cell r="U491" t="str"/>
          <cell r="V491" t="str"/>
          <cell r="W491" t="str"/>
          <cell r="X491" t="str"/>
          <cell r="Y491" t="str"/>
        </row>
        <row r="491">
          <cell r="AA491" t="str"/>
          <cell r="AB491" t="str"/>
          <cell r="AC491" t="str"/>
          <cell r="AD491" t="str"/>
          <cell r="AE491" t="str"/>
          <cell r="AF491" t="str"/>
        </row>
        <row r="492">
          <cell r="B492">
            <v>46264</v>
          </cell>
          <cell r="C492" t="str">
            <v>王照雪</v>
          </cell>
          <cell r="D492" t="str">
            <v>原料出库－出库加工</v>
          </cell>
          <cell r="E492" t="str">
            <v>NO:0001050</v>
          </cell>
          <cell r="F492" t="str">
            <v>苹果</v>
          </cell>
          <cell r="G492" t="str">
            <v>华硕二级</v>
          </cell>
          <cell r="H492">
            <v>302</v>
          </cell>
          <cell r="I492" t="str">
            <v>筐</v>
          </cell>
          <cell r="J492" t="str"/>
          <cell r="K492" t="str"/>
          <cell r="L492" t="str"/>
          <cell r="M492" t="str"/>
          <cell r="N492" t="str"/>
          <cell r="O492" t="str"/>
          <cell r="P492" t="str"/>
          <cell r="Q492" t="str"/>
          <cell r="R492" t="str"/>
          <cell r="S492" t="str"/>
          <cell r="T492" t="str"/>
          <cell r="U492" t="str"/>
          <cell r="V492" t="str"/>
          <cell r="W492" t="str"/>
          <cell r="X492" t="str"/>
          <cell r="Y492" t="str"/>
        </row>
        <row r="492">
          <cell r="AA492" t="str"/>
          <cell r="AB492" t="str"/>
          <cell r="AC492" t="str"/>
          <cell r="AD492" t="str"/>
          <cell r="AE492" t="str"/>
          <cell r="AF492" t="str"/>
        </row>
        <row r="493">
          <cell r="B493">
            <v>46264</v>
          </cell>
          <cell r="C493" t="str">
            <v>王照雪</v>
          </cell>
          <cell r="D493" t="str">
            <v>原料出库－出库加工</v>
          </cell>
          <cell r="E493" t="str">
            <v>NO:0001050</v>
          </cell>
          <cell r="F493" t="str">
            <v>苹果</v>
          </cell>
          <cell r="G493" t="str">
            <v>华硕一级</v>
          </cell>
          <cell r="H493">
            <v>27</v>
          </cell>
          <cell r="I493" t="str">
            <v>筐</v>
          </cell>
          <cell r="J493" t="str"/>
          <cell r="K493" t="str"/>
          <cell r="L493" t="str"/>
          <cell r="M493" t="str"/>
          <cell r="N493" t="str"/>
          <cell r="O493" t="str"/>
          <cell r="P493" t="str"/>
          <cell r="Q493" t="str"/>
          <cell r="R493" t="str"/>
          <cell r="S493" t="str"/>
          <cell r="T493" t="str"/>
          <cell r="U493" t="str"/>
          <cell r="V493" t="str"/>
          <cell r="W493" t="str"/>
          <cell r="X493" t="str"/>
          <cell r="Y493" t="str"/>
        </row>
        <row r="493">
          <cell r="AA493" t="str"/>
          <cell r="AB493" t="str"/>
          <cell r="AC493" t="str"/>
          <cell r="AD493" t="str"/>
          <cell r="AE493" t="str"/>
          <cell r="AF493" t="str"/>
        </row>
        <row r="494">
          <cell r="B494">
            <v>46264</v>
          </cell>
          <cell r="C494" t="str">
            <v>聂新平</v>
          </cell>
          <cell r="D494" t="str">
            <v>原料出库－出库加工</v>
          </cell>
          <cell r="E494" t="str">
            <v>NO:0001051</v>
          </cell>
          <cell r="F494" t="str">
            <v>苹果</v>
          </cell>
          <cell r="G494" t="str">
            <v>嘎啦100#</v>
          </cell>
          <cell r="H494">
            <v>336</v>
          </cell>
          <cell r="I494" t="str">
            <v>筐</v>
          </cell>
          <cell r="J494" t="str"/>
          <cell r="K494" t="str"/>
          <cell r="L494" t="str"/>
          <cell r="M494" t="str"/>
          <cell r="N494" t="str"/>
          <cell r="O494" t="str"/>
          <cell r="P494" t="str"/>
          <cell r="Q494" t="str"/>
          <cell r="R494" t="str"/>
          <cell r="S494" t="str"/>
          <cell r="T494" t="str"/>
          <cell r="U494" t="str"/>
          <cell r="V494" t="str"/>
          <cell r="W494" t="str"/>
          <cell r="X494" t="str"/>
          <cell r="Y494" t="str"/>
        </row>
        <row r="494">
          <cell r="AA494" t="str"/>
          <cell r="AB494" t="str"/>
          <cell r="AC494" t="str"/>
          <cell r="AD494" t="str"/>
          <cell r="AE494" t="str"/>
          <cell r="AF494" t="str"/>
        </row>
        <row r="495">
          <cell r="B495">
            <v>46265</v>
          </cell>
          <cell r="C495" t="str">
            <v>王照雪</v>
          </cell>
          <cell r="D495" t="str">
            <v>原料出库－出库加工</v>
          </cell>
          <cell r="E495" t="str">
            <v>NO:0001054</v>
          </cell>
          <cell r="F495" t="str">
            <v>苹果</v>
          </cell>
          <cell r="G495" t="str">
            <v>华硕一级</v>
          </cell>
          <cell r="H495">
            <v>117</v>
          </cell>
          <cell r="I495" t="str">
            <v>筐</v>
          </cell>
          <cell r="J495" t="str"/>
          <cell r="K495" t="str"/>
          <cell r="L495" t="str"/>
          <cell r="M495" t="str"/>
          <cell r="N495" t="str"/>
          <cell r="O495" t="str"/>
          <cell r="P495" t="str"/>
          <cell r="Q495" t="str"/>
          <cell r="R495" t="str"/>
          <cell r="S495" t="str"/>
          <cell r="T495" t="str"/>
          <cell r="U495" t="str"/>
          <cell r="V495" t="str"/>
          <cell r="W495" t="str"/>
          <cell r="X495" t="str"/>
          <cell r="Y495" t="str"/>
        </row>
        <row r="495">
          <cell r="AA495" t="str"/>
          <cell r="AB495" t="str"/>
          <cell r="AC495" t="str"/>
          <cell r="AD495" t="str"/>
          <cell r="AE495" t="str"/>
          <cell r="AF495" t="str"/>
        </row>
        <row r="496">
          <cell r="B496">
            <v>46265</v>
          </cell>
          <cell r="C496" t="str">
            <v>聂新平</v>
          </cell>
          <cell r="D496" t="str">
            <v>原料出库－出库加工</v>
          </cell>
          <cell r="E496" t="str">
            <v>NO:0001056</v>
          </cell>
          <cell r="F496" t="str">
            <v>苹果</v>
          </cell>
          <cell r="G496" t="str">
            <v>嘎啦100#</v>
          </cell>
          <cell r="H496">
            <v>201</v>
          </cell>
          <cell r="I496" t="str">
            <v>筐</v>
          </cell>
          <cell r="J496" t="str"/>
          <cell r="K496" t="str"/>
          <cell r="L496" t="str"/>
          <cell r="M496" t="str"/>
          <cell r="N496" t="str"/>
          <cell r="O496" t="str"/>
          <cell r="P496" t="str"/>
          <cell r="Q496" t="str"/>
          <cell r="R496" t="str"/>
          <cell r="S496" t="str"/>
          <cell r="T496" t="str"/>
          <cell r="U496" t="str"/>
          <cell r="V496" t="str"/>
          <cell r="W496" t="str"/>
          <cell r="X496" t="str"/>
          <cell r="Y496" t="str"/>
        </row>
        <row r="496">
          <cell r="AA496" t="str"/>
          <cell r="AB496" t="str"/>
          <cell r="AC496" t="str"/>
          <cell r="AD496" t="str"/>
          <cell r="AE496" t="str"/>
          <cell r="AF496" t="str"/>
        </row>
        <row r="497">
          <cell r="B497">
            <v>46265</v>
          </cell>
          <cell r="C497" t="str">
            <v>聂新平</v>
          </cell>
          <cell r="D497" t="str">
            <v>原料出库－出库加工</v>
          </cell>
          <cell r="E497" t="str">
            <v>NO:0001056</v>
          </cell>
          <cell r="F497" t="str">
            <v>苹果</v>
          </cell>
          <cell r="G497" t="str">
            <v>嘎啦85#</v>
          </cell>
          <cell r="H497">
            <v>166</v>
          </cell>
          <cell r="I497" t="str">
            <v>筐</v>
          </cell>
          <cell r="J497" t="str"/>
          <cell r="K497" t="str"/>
          <cell r="L497" t="str"/>
          <cell r="M497" t="str"/>
          <cell r="N497" t="str"/>
          <cell r="O497" t="str"/>
          <cell r="P497" t="str"/>
          <cell r="Q497" t="str"/>
          <cell r="R497" t="str"/>
          <cell r="S497" t="str"/>
          <cell r="T497" t="str"/>
          <cell r="U497" t="str"/>
          <cell r="V497" t="str"/>
          <cell r="W497" t="str"/>
          <cell r="X497" t="str"/>
          <cell r="Y497" t="str"/>
        </row>
        <row r="497">
          <cell r="AA497" t="str"/>
          <cell r="AB497" t="str"/>
          <cell r="AC497" t="str"/>
          <cell r="AD497" t="str"/>
          <cell r="AE497" t="str"/>
          <cell r="AF497" t="str"/>
        </row>
        <row r="498">
          <cell r="B498">
            <v>46266</v>
          </cell>
          <cell r="C498" t="str">
            <v>聂新平</v>
          </cell>
          <cell r="D498" t="str">
            <v>原料出库－出库加工</v>
          </cell>
          <cell r="E498" t="str">
            <v>NO:0001059</v>
          </cell>
          <cell r="F498" t="str">
            <v>苹果</v>
          </cell>
          <cell r="G498" t="str">
            <v>嘎啦85#</v>
          </cell>
          <cell r="H498">
            <v>254</v>
          </cell>
          <cell r="I498" t="str">
            <v>筐</v>
          </cell>
          <cell r="J498" t="str"/>
          <cell r="K498" t="str"/>
          <cell r="L498" t="str"/>
          <cell r="M498" t="str">
            <v>嘎啦原料全部出库</v>
          </cell>
          <cell r="N498" t="str"/>
          <cell r="O498" t="str"/>
          <cell r="P498" t="str"/>
          <cell r="Q498" t="str"/>
          <cell r="R498" t="str"/>
          <cell r="S498" t="str"/>
          <cell r="T498" t="str"/>
          <cell r="U498" t="str"/>
          <cell r="V498" t="str"/>
          <cell r="W498" t="str"/>
          <cell r="X498" t="str"/>
          <cell r="Y498" t="str"/>
        </row>
        <row r="498">
          <cell r="AA498" t="str"/>
          <cell r="AB498" t="str"/>
          <cell r="AC498" t="str"/>
          <cell r="AD498" t="str"/>
          <cell r="AE498" t="str"/>
          <cell r="AF498" t="str"/>
        </row>
        <row r="499">
          <cell r="B499">
            <v>46266</v>
          </cell>
          <cell r="C499" t="str">
            <v>王照雪</v>
          </cell>
          <cell r="D499" t="str">
            <v>原料出库－出库加工</v>
          </cell>
          <cell r="E499" t="str">
            <v>NO:0001060</v>
          </cell>
          <cell r="F499" t="str">
            <v>苹果</v>
          </cell>
          <cell r="G499" t="str">
            <v>华硕一级</v>
          </cell>
          <cell r="H499">
            <v>164</v>
          </cell>
          <cell r="I499" t="str">
            <v>筐</v>
          </cell>
          <cell r="J499" t="str"/>
          <cell r="K499" t="str"/>
          <cell r="L499" t="str"/>
          <cell r="M499" t="str"/>
          <cell r="N499" t="str"/>
          <cell r="O499" t="str"/>
          <cell r="P499" t="str"/>
          <cell r="Q499" t="str"/>
          <cell r="R499" t="str"/>
          <cell r="S499" t="str"/>
          <cell r="T499" t="str"/>
          <cell r="U499" t="str"/>
          <cell r="V499" t="str"/>
          <cell r="W499" t="str"/>
          <cell r="X499" t="str"/>
          <cell r="Y499" t="str"/>
        </row>
        <row r="499">
          <cell r="AA499" t="str"/>
          <cell r="AB499" t="str"/>
          <cell r="AC499" t="str"/>
          <cell r="AD499" t="str"/>
          <cell r="AE499" t="str"/>
          <cell r="AF499" t="str"/>
        </row>
        <row r="500">
          <cell r="B500">
            <v>46266</v>
          </cell>
          <cell r="C500" t="str">
            <v>王照雪</v>
          </cell>
          <cell r="D500" t="str">
            <v>原料出库－出库加工</v>
          </cell>
          <cell r="E500" t="str">
            <v>NO:0001060</v>
          </cell>
          <cell r="F500" t="str">
            <v>苹果</v>
          </cell>
          <cell r="G500" t="str">
            <v>华硕二级</v>
          </cell>
          <cell r="H500">
            <v>27</v>
          </cell>
          <cell r="I500" t="str">
            <v>筐</v>
          </cell>
          <cell r="J500" t="str"/>
          <cell r="K500" t="str"/>
          <cell r="L500" t="str"/>
          <cell r="M500" t="str"/>
          <cell r="N500" t="str"/>
          <cell r="O500" t="str"/>
          <cell r="P500" t="str"/>
          <cell r="Q500" t="str"/>
          <cell r="R500" t="str"/>
          <cell r="S500" t="str"/>
          <cell r="T500" t="str"/>
          <cell r="U500" t="str"/>
          <cell r="V500" t="str"/>
          <cell r="W500" t="str"/>
          <cell r="X500" t="str"/>
          <cell r="Y500" t="str"/>
        </row>
        <row r="500">
          <cell r="AA500" t="str"/>
          <cell r="AB500" t="str"/>
          <cell r="AC500" t="str"/>
          <cell r="AD500" t="str"/>
          <cell r="AE500" t="str"/>
          <cell r="AF500" t="str"/>
        </row>
        <row r="501">
          <cell r="B501">
            <v>46255</v>
          </cell>
          <cell r="C501" t="str">
            <v>聂新平</v>
          </cell>
          <cell r="D501" t="str">
            <v>原料出库－原筐出库</v>
          </cell>
          <cell r="E501" t="str">
            <v>NO:0001023</v>
          </cell>
          <cell r="F501" t="str">
            <v>西梅</v>
          </cell>
          <cell r="G501" t="str">
            <v>西梅三级</v>
          </cell>
          <cell r="H501">
            <v>784</v>
          </cell>
          <cell r="I501" t="str">
            <v>筐</v>
          </cell>
          <cell r="J501">
            <v>1568</v>
          </cell>
          <cell r="K501" t="str"/>
          <cell r="L501" t="str"/>
          <cell r="M501" t="str"/>
          <cell r="N501" t="str">
            <v>自备一次性筐</v>
          </cell>
          <cell r="O501">
            <v>784</v>
          </cell>
          <cell r="P501" t="str"/>
          <cell r="Q501" t="str"/>
          <cell r="R501" t="str">
            <v>晋M*H8582</v>
          </cell>
          <cell r="S501" t="str">
            <v>自备筐</v>
          </cell>
          <cell r="T501" t="str"/>
          <cell r="U501" t="str"/>
          <cell r="V501" t="str"/>
          <cell r="W501" t="str"/>
          <cell r="X501" t="str"/>
          <cell r="Y501" t="str"/>
        </row>
        <row r="501">
          <cell r="AA501" t="str"/>
          <cell r="AB501" t="str"/>
          <cell r="AC501" t="str"/>
          <cell r="AD501" t="str"/>
          <cell r="AE501" t="str"/>
          <cell r="AF501" t="str"/>
        </row>
        <row r="502">
          <cell r="B502">
            <v>46255</v>
          </cell>
          <cell r="C502" t="str">
            <v>聂新平</v>
          </cell>
          <cell r="D502" t="str">
            <v>原料出库－原筐出库</v>
          </cell>
          <cell r="E502" t="str">
            <v>NO:0001023</v>
          </cell>
          <cell r="F502" t="str">
            <v>西梅</v>
          </cell>
          <cell r="G502" t="str">
            <v>西梅二级</v>
          </cell>
          <cell r="H502">
            <v>1759</v>
          </cell>
          <cell r="I502" t="str">
            <v>筐</v>
          </cell>
          <cell r="J502">
            <v>3518</v>
          </cell>
          <cell r="K502" t="str"/>
          <cell r="L502" t="str"/>
          <cell r="M502" t="str"/>
          <cell r="N502" t="str">
            <v>自备一次性筐</v>
          </cell>
          <cell r="O502">
            <v>1759</v>
          </cell>
          <cell r="P502" t="str"/>
          <cell r="Q502" t="str"/>
          <cell r="R502" t="str">
            <v>晋M*H8582</v>
          </cell>
          <cell r="S502" t="str">
            <v>自备筐</v>
          </cell>
          <cell r="T502" t="str"/>
          <cell r="U502" t="str"/>
          <cell r="V502" t="str"/>
          <cell r="W502" t="str"/>
          <cell r="X502" t="str"/>
          <cell r="Y502" t="str"/>
        </row>
        <row r="502">
          <cell r="AA502" t="str"/>
          <cell r="AB502" t="str"/>
          <cell r="AC502" t="str"/>
          <cell r="AD502" t="str"/>
          <cell r="AE502" t="str"/>
          <cell r="AF502" t="str"/>
        </row>
        <row r="503">
          <cell r="B503">
            <v>46255</v>
          </cell>
          <cell r="C503" t="str">
            <v>聂新平</v>
          </cell>
          <cell r="D503" t="str">
            <v>原料出库－原筐出库</v>
          </cell>
          <cell r="E503" t="str">
            <v>NO:0001023</v>
          </cell>
          <cell r="F503" t="str">
            <v>西梅</v>
          </cell>
          <cell r="G503" t="str">
            <v>西梅一级</v>
          </cell>
          <cell r="H503">
            <v>216</v>
          </cell>
          <cell r="I503" t="str">
            <v>筐</v>
          </cell>
          <cell r="J503">
            <v>1512</v>
          </cell>
          <cell r="K503" t="str"/>
          <cell r="L503" t="str"/>
          <cell r="M503" t="str"/>
          <cell r="N503" t="str">
            <v>自备一次性筐</v>
          </cell>
          <cell r="O503">
            <v>216</v>
          </cell>
          <cell r="P503" t="str"/>
          <cell r="Q503" t="str"/>
          <cell r="R503" t="str">
            <v>晋M*H8582</v>
          </cell>
          <cell r="S503" t="str">
            <v>自备筐</v>
          </cell>
          <cell r="T503" t="str"/>
          <cell r="U503" t="str"/>
          <cell r="V503" t="str"/>
          <cell r="W503" t="str"/>
          <cell r="X503" t="str"/>
          <cell r="Y503" t="str"/>
        </row>
        <row r="503">
          <cell r="AA503" t="str"/>
          <cell r="AB503" t="str"/>
          <cell r="AC503" t="str"/>
          <cell r="AD503" t="str"/>
          <cell r="AE503" t="str"/>
          <cell r="AF503" t="str"/>
        </row>
        <row r="504">
          <cell r="B504">
            <v>46255</v>
          </cell>
          <cell r="C504" t="str">
            <v>聂新平</v>
          </cell>
          <cell r="D504" t="str">
            <v>原料出库－原筐出库</v>
          </cell>
          <cell r="E504" t="str">
            <v>NO:0001023</v>
          </cell>
          <cell r="F504" t="str">
            <v>西梅</v>
          </cell>
          <cell r="G504" t="str">
            <v>西梅二级</v>
          </cell>
          <cell r="H504">
            <v>132</v>
          </cell>
          <cell r="I504" t="str">
            <v>筐</v>
          </cell>
          <cell r="J504">
            <v>1188</v>
          </cell>
          <cell r="K504" t="str"/>
          <cell r="L504" t="str"/>
          <cell r="M504" t="str"/>
          <cell r="N504" t="str">
            <v>自备一次性筐</v>
          </cell>
          <cell r="O504">
            <v>132</v>
          </cell>
          <cell r="P504" t="str"/>
          <cell r="Q504" t="str"/>
          <cell r="R504" t="str">
            <v>晋M*H8582</v>
          </cell>
          <cell r="S504" t="str">
            <v>自备筐</v>
          </cell>
          <cell r="T504" t="str"/>
          <cell r="U504" t="str"/>
          <cell r="V504" t="str"/>
          <cell r="W504" t="str"/>
          <cell r="X504" t="str"/>
          <cell r="Y504" t="str"/>
        </row>
        <row r="504">
          <cell r="AA504" t="str"/>
          <cell r="AB504" t="str"/>
          <cell r="AC504" t="str"/>
          <cell r="AD504" t="str"/>
          <cell r="AE504" t="str"/>
          <cell r="AF504" t="str"/>
        </row>
        <row r="505">
          <cell r="B505">
            <v>46263</v>
          </cell>
          <cell r="C505" t="str">
            <v>聂新平</v>
          </cell>
          <cell r="D505" t="str">
            <v>原料出库－原筐出库</v>
          </cell>
          <cell r="E505" t="str">
            <v>NO:0001049</v>
          </cell>
          <cell r="F505" t="str">
            <v>西梅</v>
          </cell>
          <cell r="G505" t="str">
            <v>西梅一级</v>
          </cell>
          <cell r="H505">
            <v>773</v>
          </cell>
          <cell r="I505" t="str">
            <v>筐</v>
          </cell>
          <cell r="J505">
            <v>5411</v>
          </cell>
          <cell r="K505" t="str"/>
          <cell r="L505" t="str"/>
          <cell r="M505" t="str"/>
          <cell r="N505" t="str">
            <v>自备一次性筐</v>
          </cell>
          <cell r="O505">
            <v>773</v>
          </cell>
          <cell r="P505" t="str"/>
          <cell r="Q505" t="str"/>
          <cell r="R505" t="str">
            <v>鲁G*BJ206</v>
          </cell>
          <cell r="S505" t="str">
            <v>自备筐</v>
          </cell>
          <cell r="T505" t="str"/>
          <cell r="U505" t="str"/>
          <cell r="V505" t="str"/>
          <cell r="W505" t="str"/>
          <cell r="X505" t="str"/>
          <cell r="Y505" t="str"/>
        </row>
        <row r="505">
          <cell r="AA505" t="str"/>
          <cell r="AB505" t="str"/>
          <cell r="AC505" t="str"/>
          <cell r="AD505" t="str"/>
          <cell r="AE505" t="str"/>
          <cell r="AF505" t="str"/>
        </row>
        <row r="506">
          <cell r="B506">
            <v>46263</v>
          </cell>
          <cell r="C506" t="str">
            <v>聂新平</v>
          </cell>
          <cell r="D506" t="str">
            <v>原料出库－原筐出库</v>
          </cell>
          <cell r="E506" t="str">
            <v>NO:0001049</v>
          </cell>
          <cell r="F506" t="str">
            <v>西梅</v>
          </cell>
          <cell r="G506" t="str">
            <v>西梅二级</v>
          </cell>
          <cell r="H506">
            <v>423</v>
          </cell>
          <cell r="I506" t="str">
            <v>筐</v>
          </cell>
          <cell r="J506">
            <v>5076</v>
          </cell>
          <cell r="K506" t="str"/>
          <cell r="L506" t="str"/>
          <cell r="M506" t="str"/>
          <cell r="N506" t="str">
            <v>自备一次性筐</v>
          </cell>
          <cell r="O506">
            <v>423</v>
          </cell>
          <cell r="P506" t="str"/>
          <cell r="Q506" t="str"/>
          <cell r="R506" t="str">
            <v>鲁G*BJ206</v>
          </cell>
          <cell r="S506" t="str">
            <v>自备筐</v>
          </cell>
          <cell r="T506" t="str"/>
          <cell r="U506" t="str"/>
          <cell r="V506" t="str"/>
          <cell r="W506" t="str"/>
          <cell r="X506" t="str"/>
          <cell r="Y506" t="str"/>
        </row>
        <row r="506">
          <cell r="AA506" t="str"/>
          <cell r="AB506" t="str"/>
          <cell r="AC506" t="str"/>
          <cell r="AD506" t="str"/>
          <cell r="AE506" t="str"/>
          <cell r="AF506" t="str"/>
        </row>
        <row r="507">
          <cell r="B507">
            <v>46272</v>
          </cell>
          <cell r="C507" t="str">
            <v>王照雪</v>
          </cell>
          <cell r="D507" t="str">
            <v>原料出库－原筐出库</v>
          </cell>
          <cell r="E507" t="str">
            <v>NO:0001091</v>
          </cell>
          <cell r="F507" t="str">
            <v>李子</v>
          </cell>
          <cell r="G507" t="str">
            <v>樱桃李</v>
          </cell>
          <cell r="H507">
            <v>19</v>
          </cell>
          <cell r="I507" t="str">
            <v>筐</v>
          </cell>
          <cell r="J507">
            <v>309.7</v>
          </cell>
          <cell r="K507" t="str"/>
          <cell r="L507" t="str"/>
          <cell r="M507" t="str">
            <v>樱桃李全部出库</v>
          </cell>
          <cell r="N507" t="str">
            <v>自备一次性筐</v>
          </cell>
          <cell r="O507">
            <v>19</v>
          </cell>
          <cell r="P507" t="str"/>
          <cell r="Q507" t="str"/>
          <cell r="R507" t="str">
            <v>自提</v>
          </cell>
          <cell r="S507" t="str">
            <v>自备筐</v>
          </cell>
          <cell r="T507" t="str"/>
          <cell r="U507" t="str"/>
          <cell r="V507" t="str"/>
          <cell r="W507" t="str"/>
          <cell r="X507" t="str"/>
          <cell r="Y507" t="str"/>
        </row>
        <row r="507">
          <cell r="AA507" t="str"/>
          <cell r="AB507" t="str"/>
          <cell r="AC507" t="str"/>
          <cell r="AD507" t="str"/>
          <cell r="AE507" t="str"/>
          <cell r="AF507" t="str"/>
        </row>
        <row r="508">
          <cell r="B508">
            <v>46273</v>
          </cell>
          <cell r="C508" t="str">
            <v>聂新平</v>
          </cell>
          <cell r="D508" t="str">
            <v>原料出库－原筐出库</v>
          </cell>
          <cell r="E508" t="str">
            <v>NO:0001096</v>
          </cell>
          <cell r="F508" t="str">
            <v>西梅</v>
          </cell>
          <cell r="G508" t="str">
            <v>西梅二级</v>
          </cell>
          <cell r="H508">
            <v>64</v>
          </cell>
          <cell r="I508" t="str">
            <v>筐</v>
          </cell>
          <cell r="J508">
            <v>576</v>
          </cell>
          <cell r="K508" t="str"/>
          <cell r="L508" t="str"/>
          <cell r="M508" t="str"/>
          <cell r="N508" t="str">
            <v>自备一次性筐</v>
          </cell>
          <cell r="O508">
            <v>64</v>
          </cell>
          <cell r="P508" t="str"/>
          <cell r="Q508" t="str"/>
          <cell r="R508" t="str">
            <v>吉A*ZM856</v>
          </cell>
          <cell r="S508" t="str">
            <v>自备筐</v>
          </cell>
          <cell r="T508" t="str"/>
          <cell r="U508" t="str"/>
          <cell r="V508" t="str"/>
          <cell r="W508" t="str"/>
          <cell r="X508" t="str"/>
          <cell r="Y508" t="str"/>
        </row>
        <row r="508">
          <cell r="AA508" t="str"/>
          <cell r="AB508" t="str"/>
          <cell r="AC508" t="str"/>
          <cell r="AD508" t="str"/>
          <cell r="AE508" t="str"/>
          <cell r="AF508" t="str"/>
        </row>
        <row r="509">
          <cell r="B509">
            <v>46273</v>
          </cell>
          <cell r="C509" t="str">
            <v>聂新平</v>
          </cell>
          <cell r="D509" t="str">
            <v>原料出库－原筐出库</v>
          </cell>
          <cell r="E509" t="str">
            <v>NO:0001096</v>
          </cell>
          <cell r="F509" t="str">
            <v>西梅</v>
          </cell>
          <cell r="G509" t="str">
            <v>西梅一级</v>
          </cell>
          <cell r="H509">
            <v>421</v>
          </cell>
          <cell r="I509" t="str">
            <v>筐</v>
          </cell>
          <cell r="J509">
            <v>2947</v>
          </cell>
          <cell r="K509" t="str"/>
          <cell r="L509" t="str"/>
          <cell r="M509" t="str"/>
          <cell r="N509" t="str">
            <v>自备一次性筐</v>
          </cell>
          <cell r="O509">
            <v>421</v>
          </cell>
          <cell r="P509" t="str"/>
          <cell r="Q509" t="str"/>
          <cell r="R509" t="str">
            <v>吉A*ZM856</v>
          </cell>
          <cell r="S509" t="str">
            <v>自备筐</v>
          </cell>
          <cell r="T509" t="str"/>
          <cell r="U509" t="str"/>
          <cell r="V509" t="str"/>
          <cell r="W509" t="str"/>
          <cell r="X509" t="str"/>
          <cell r="Y509" t="str"/>
        </row>
        <row r="509">
          <cell r="AA509" t="str"/>
          <cell r="AB509" t="str"/>
          <cell r="AC509" t="str"/>
          <cell r="AD509" t="str"/>
          <cell r="AE509" t="str"/>
          <cell r="AF509" t="str"/>
        </row>
        <row r="510">
          <cell r="B510">
            <v>46273</v>
          </cell>
          <cell r="C510" t="str">
            <v>聂新平</v>
          </cell>
          <cell r="D510" t="str">
            <v>原料出库－原筐出库</v>
          </cell>
          <cell r="E510" t="str">
            <v>NO:0001096</v>
          </cell>
          <cell r="F510" t="str">
            <v>西梅</v>
          </cell>
          <cell r="G510" t="str">
            <v>西梅二级</v>
          </cell>
          <cell r="H510">
            <v>330</v>
          </cell>
          <cell r="I510" t="str">
            <v>筐</v>
          </cell>
          <cell r="J510">
            <v>3960</v>
          </cell>
          <cell r="K510" t="str"/>
          <cell r="L510" t="str"/>
          <cell r="M510" t="str"/>
          <cell r="N510" t="str">
            <v>自备一次性筐</v>
          </cell>
          <cell r="O510">
            <v>330</v>
          </cell>
          <cell r="P510" t="str"/>
          <cell r="Q510" t="str"/>
          <cell r="R510" t="str">
            <v>吉A*ZM856</v>
          </cell>
          <cell r="S510" t="str">
            <v>自备筐</v>
          </cell>
          <cell r="T510" t="str"/>
          <cell r="U510" t="str"/>
          <cell r="V510" t="str"/>
          <cell r="W510" t="str"/>
          <cell r="X510" t="str"/>
          <cell r="Y510" t="str"/>
        </row>
        <row r="510">
          <cell r="AA510" t="str"/>
          <cell r="AB510" t="str"/>
          <cell r="AC510" t="str"/>
          <cell r="AD510" t="str"/>
          <cell r="AE510" t="str"/>
          <cell r="AF510" t="str"/>
        </row>
        <row r="511">
          <cell r="B511">
            <v>46273</v>
          </cell>
          <cell r="C511" t="str">
            <v>聂新平</v>
          </cell>
          <cell r="D511" t="str">
            <v>原料出库－原筐出库</v>
          </cell>
          <cell r="E511" t="str">
            <v>NO:0001096</v>
          </cell>
          <cell r="F511" t="str">
            <v>西梅</v>
          </cell>
          <cell r="G511" t="str">
            <v>西梅二级</v>
          </cell>
          <cell r="H511">
            <v>2538</v>
          </cell>
          <cell r="I511" t="str">
            <v>筐</v>
          </cell>
          <cell r="J511">
            <v>5076</v>
          </cell>
          <cell r="K511" t="str"/>
          <cell r="L511" t="str"/>
          <cell r="M511" t="str"/>
          <cell r="N511" t="str">
            <v>自备一次性筐</v>
          </cell>
          <cell r="O511">
            <v>2538</v>
          </cell>
          <cell r="P511" t="str"/>
          <cell r="Q511" t="str"/>
          <cell r="R511" t="str">
            <v>吉A*ZM856</v>
          </cell>
          <cell r="S511" t="str">
            <v>自备筐</v>
          </cell>
          <cell r="T511" t="str"/>
          <cell r="U511" t="str"/>
          <cell r="V511" t="str"/>
          <cell r="W511" t="str"/>
          <cell r="X511" t="str"/>
          <cell r="Y511" t="str"/>
        </row>
        <row r="511">
          <cell r="AA511" t="str"/>
          <cell r="AB511" t="str"/>
          <cell r="AC511" t="str"/>
          <cell r="AD511" t="str"/>
          <cell r="AE511" t="str"/>
          <cell r="AF511" t="str"/>
        </row>
        <row r="512">
          <cell r="B512">
            <v>46273</v>
          </cell>
          <cell r="C512" t="str">
            <v>聂新平</v>
          </cell>
          <cell r="D512" t="str">
            <v>原料出库－原筐出库</v>
          </cell>
          <cell r="E512" t="str">
            <v>NO:0001096</v>
          </cell>
          <cell r="F512" t="str">
            <v>西梅</v>
          </cell>
          <cell r="G512" t="str">
            <v>西梅三级</v>
          </cell>
          <cell r="H512">
            <v>1238</v>
          </cell>
          <cell r="I512" t="str">
            <v>筐</v>
          </cell>
          <cell r="J512">
            <v>2476</v>
          </cell>
          <cell r="K512" t="str"/>
          <cell r="L512" t="str"/>
          <cell r="M512" t="str"/>
          <cell r="N512" t="str">
            <v>自备一次性筐</v>
          </cell>
          <cell r="O512">
            <v>1238</v>
          </cell>
          <cell r="P512" t="str"/>
          <cell r="Q512" t="str"/>
          <cell r="R512" t="str">
            <v>吉A*ZM856</v>
          </cell>
          <cell r="S512" t="str">
            <v>自备筐</v>
          </cell>
          <cell r="T512" t="str"/>
          <cell r="U512" t="str"/>
          <cell r="V512" t="str"/>
          <cell r="W512" t="str"/>
          <cell r="X512" t="str"/>
          <cell r="Y512" t="str"/>
        </row>
        <row r="512">
          <cell r="AA512" t="str"/>
          <cell r="AB512" t="str"/>
          <cell r="AC512" t="str"/>
          <cell r="AD512" t="str"/>
          <cell r="AE512" t="str"/>
          <cell r="AF512" t="str"/>
        </row>
        <row r="513">
          <cell r="B513">
            <v>46274</v>
          </cell>
          <cell r="C513" t="str">
            <v>王照雪</v>
          </cell>
          <cell r="D513" t="str">
            <v>原料出库－出库加工</v>
          </cell>
          <cell r="E513" t="str">
            <v>NO:0001101</v>
          </cell>
          <cell r="F513" t="str">
            <v>苹果</v>
          </cell>
          <cell r="G513" t="str">
            <v>华硕高次</v>
          </cell>
          <cell r="H513">
            <v>129</v>
          </cell>
          <cell r="I513" t="str">
            <v>筐</v>
          </cell>
          <cell r="J513" t="str"/>
          <cell r="K513" t="str"/>
          <cell r="L513" t="str"/>
          <cell r="M513" t="str">
            <v>华硕原料全部出库</v>
          </cell>
          <cell r="N513" t="str"/>
          <cell r="O513" t="str"/>
          <cell r="P513" t="str"/>
          <cell r="Q513" t="str"/>
          <cell r="R513" t="str"/>
          <cell r="S513" t="str"/>
          <cell r="T513" t="str"/>
          <cell r="U513" t="str"/>
          <cell r="V513" t="str"/>
          <cell r="W513" t="str"/>
          <cell r="X513" t="str"/>
          <cell r="Y513" t="str"/>
        </row>
        <row r="513">
          <cell r="AA513" t="str"/>
          <cell r="AB513" t="str"/>
          <cell r="AC513" t="str"/>
          <cell r="AD513" t="str"/>
          <cell r="AE513" t="str"/>
          <cell r="AF513" t="str"/>
        </row>
        <row r="514">
          <cell r="B514">
            <v>46274</v>
          </cell>
          <cell r="C514" t="str">
            <v>麦麦提</v>
          </cell>
          <cell r="D514" t="str">
            <v>原料出库－公司购买</v>
          </cell>
          <cell r="E514" t="str">
            <v>NO:0001103</v>
          </cell>
          <cell r="F514" t="str">
            <v>香梨</v>
          </cell>
          <cell r="G514" t="str">
            <v>香梨特级</v>
          </cell>
          <cell r="H514">
            <v>2</v>
          </cell>
          <cell r="I514" t="str">
            <v>筐</v>
          </cell>
          <cell r="J514" t="str"/>
          <cell r="K514" t="str"/>
          <cell r="L514" t="str"/>
          <cell r="M514" t="str"/>
          <cell r="N514" t="str"/>
          <cell r="O514" t="str"/>
          <cell r="P514" t="str"/>
          <cell r="Q514" t="str"/>
          <cell r="R514" t="str"/>
          <cell r="S514" t="str"/>
          <cell r="T514" t="str"/>
          <cell r="U514" t="str"/>
          <cell r="V514" t="str"/>
          <cell r="W514" t="str"/>
          <cell r="X514" t="str"/>
          <cell r="Y514" t="str"/>
        </row>
        <row r="514">
          <cell r="AA514" t="str"/>
          <cell r="AB514" t="str"/>
          <cell r="AC514" t="str"/>
          <cell r="AD514" t="str"/>
          <cell r="AE514" t="str"/>
          <cell r="AF514" t="str"/>
        </row>
        <row r="515">
          <cell r="B515">
            <v>46275</v>
          </cell>
          <cell r="C515" t="str">
            <v>聂新平</v>
          </cell>
          <cell r="D515" t="str">
            <v>原料出库－原筐出库</v>
          </cell>
          <cell r="E515" t="str">
            <v>NO:0001112</v>
          </cell>
          <cell r="F515" t="str">
            <v>西梅</v>
          </cell>
          <cell r="G515" t="str">
            <v>西梅三级</v>
          </cell>
          <cell r="H515">
            <v>1013</v>
          </cell>
          <cell r="I515" t="str">
            <v>筐</v>
          </cell>
          <cell r="J515">
            <v>2026</v>
          </cell>
          <cell r="K515" t="str"/>
          <cell r="L515" t="str"/>
          <cell r="M515" t="str">
            <v>西梅出库完毕</v>
          </cell>
          <cell r="N515" t="str">
            <v>自备一次性筐</v>
          </cell>
          <cell r="O515">
            <v>1013</v>
          </cell>
          <cell r="P515" t="str"/>
          <cell r="Q515" t="str"/>
          <cell r="R515" t="str">
            <v>新A*H0050</v>
          </cell>
          <cell r="S515" t="str">
            <v>自备筐</v>
          </cell>
          <cell r="T515" t="str"/>
          <cell r="U515" t="str"/>
          <cell r="V515" t="str"/>
          <cell r="W515" t="str"/>
          <cell r="X515" t="str"/>
          <cell r="Y515" t="str"/>
        </row>
        <row r="515">
          <cell r="AA515" t="str"/>
          <cell r="AB515" t="str"/>
          <cell r="AC515" t="str"/>
          <cell r="AD515" t="str"/>
          <cell r="AE515" t="str"/>
          <cell r="AF515" t="str"/>
        </row>
        <row r="516">
          <cell r="B516">
            <v>46277</v>
          </cell>
          <cell r="C516" t="str">
            <v>王照雪</v>
          </cell>
          <cell r="D516" t="str">
            <v>原料出库－出库加工</v>
          </cell>
          <cell r="E516" t="str">
            <v>NO:0001123</v>
          </cell>
          <cell r="F516" t="str">
            <v>香梨</v>
          </cell>
          <cell r="G516" t="str">
            <v>香梨一级</v>
          </cell>
          <cell r="H516">
            <v>2</v>
          </cell>
          <cell r="I516" t="str">
            <v>筐</v>
          </cell>
          <cell r="J516" t="str"/>
          <cell r="K516" t="str"/>
          <cell r="L516" t="str"/>
          <cell r="M516" t="str"/>
          <cell r="N516" t="str"/>
          <cell r="O516" t="str"/>
          <cell r="P516" t="str"/>
          <cell r="Q516" t="str"/>
          <cell r="R516" t="str"/>
          <cell r="S516" t="str"/>
          <cell r="T516" t="str"/>
          <cell r="U516" t="str"/>
          <cell r="V516" t="str"/>
          <cell r="W516" t="str"/>
          <cell r="X516" t="str"/>
          <cell r="Y516" t="str"/>
        </row>
        <row r="516">
          <cell r="AA516" t="str"/>
          <cell r="AB516" t="str"/>
          <cell r="AC516" t="str"/>
          <cell r="AD516" t="str"/>
          <cell r="AE516" t="str"/>
          <cell r="AF516" t="str"/>
        </row>
        <row r="517">
          <cell r="B517">
            <v>46278</v>
          </cell>
          <cell r="C517" t="str">
            <v>王照雪</v>
          </cell>
          <cell r="D517" t="str">
            <v>原料出库－出库加工</v>
          </cell>
          <cell r="E517" t="str">
            <v>NO:0001127</v>
          </cell>
          <cell r="F517" t="str">
            <v>苹果</v>
          </cell>
          <cell r="G517" t="str">
            <v>新世纪一级</v>
          </cell>
          <cell r="H517">
            <v>110</v>
          </cell>
          <cell r="I517" t="str">
            <v>筐</v>
          </cell>
          <cell r="J517" t="str"/>
          <cell r="K517" t="str"/>
          <cell r="L517" t="str"/>
          <cell r="M517" t="str"/>
          <cell r="N517" t="str"/>
          <cell r="O517" t="str"/>
          <cell r="P517" t="str"/>
          <cell r="Q517" t="str"/>
          <cell r="R517" t="str"/>
          <cell r="S517" t="str"/>
          <cell r="T517" t="str"/>
          <cell r="U517" t="str"/>
          <cell r="V517" t="str"/>
          <cell r="W517" t="str"/>
          <cell r="X517" t="str"/>
          <cell r="Y517" t="str"/>
        </row>
        <row r="517">
          <cell r="AA517" t="str"/>
          <cell r="AB517" t="str"/>
          <cell r="AC517" t="str"/>
          <cell r="AD517" t="str"/>
          <cell r="AE517" t="str"/>
          <cell r="AF517" t="str"/>
        </row>
        <row r="518">
          <cell r="B518">
            <v>46279</v>
          </cell>
          <cell r="C518" t="str">
            <v>王照雪</v>
          </cell>
          <cell r="D518" t="str">
            <v>原料出库－出库加工</v>
          </cell>
          <cell r="E518" t="str">
            <v>NO:0001139</v>
          </cell>
          <cell r="F518" t="str">
            <v>苹果</v>
          </cell>
          <cell r="G518" t="str">
            <v>新世纪特级</v>
          </cell>
          <cell r="H518">
            <v>73</v>
          </cell>
          <cell r="I518" t="str">
            <v>筐</v>
          </cell>
          <cell r="J518" t="str"/>
          <cell r="K518" t="str"/>
          <cell r="L518" t="str"/>
          <cell r="M518" t="str"/>
          <cell r="N518" t="str"/>
          <cell r="O518" t="str"/>
          <cell r="P518" t="str"/>
          <cell r="Q518" t="str"/>
          <cell r="R518" t="str"/>
          <cell r="S518" t="str"/>
          <cell r="T518" t="str"/>
          <cell r="U518" t="str"/>
          <cell r="V518" t="str"/>
          <cell r="W518" t="str"/>
          <cell r="X518" t="str"/>
          <cell r="Y518" t="str"/>
        </row>
        <row r="518">
          <cell r="AA518" t="str"/>
          <cell r="AB518" t="str"/>
          <cell r="AC518" t="str"/>
          <cell r="AD518" t="str"/>
          <cell r="AE518" t="str"/>
          <cell r="AF518" t="str"/>
        </row>
        <row r="519">
          <cell r="B519">
            <v>46279</v>
          </cell>
          <cell r="C519" t="str">
            <v>王照雪</v>
          </cell>
          <cell r="D519" t="str">
            <v>原料出库－出库加工</v>
          </cell>
          <cell r="E519" t="str">
            <v>NO:0001139</v>
          </cell>
          <cell r="F519" t="str">
            <v>苹果</v>
          </cell>
          <cell r="G519" t="str">
            <v>新世纪一级</v>
          </cell>
          <cell r="H519">
            <v>86</v>
          </cell>
          <cell r="I519" t="str">
            <v>筐</v>
          </cell>
          <cell r="J519" t="str"/>
          <cell r="K519" t="str"/>
          <cell r="L519" t="str"/>
          <cell r="M519" t="str"/>
          <cell r="N519" t="str"/>
          <cell r="O519" t="str"/>
          <cell r="P519" t="str"/>
          <cell r="Q519" t="str"/>
          <cell r="R519" t="str"/>
          <cell r="S519" t="str"/>
          <cell r="T519" t="str"/>
          <cell r="U519" t="str"/>
          <cell r="V519" t="str"/>
          <cell r="W519" t="str"/>
          <cell r="X519" t="str"/>
          <cell r="Y519" t="str"/>
        </row>
        <row r="519">
          <cell r="AA519" t="str"/>
          <cell r="AB519" t="str"/>
          <cell r="AC519" t="str"/>
          <cell r="AD519" t="str"/>
          <cell r="AE519" t="str"/>
          <cell r="AF519" t="str"/>
        </row>
        <row r="520">
          <cell r="B520">
            <v>46279</v>
          </cell>
          <cell r="C520" t="str">
            <v>王照雪</v>
          </cell>
          <cell r="D520" t="str">
            <v>原料出库－出库加工</v>
          </cell>
          <cell r="E520" t="str">
            <v>NO:0001139</v>
          </cell>
          <cell r="F520" t="str">
            <v>香梨</v>
          </cell>
          <cell r="G520" t="str">
            <v>香梨一级</v>
          </cell>
          <cell r="H520">
            <v>1</v>
          </cell>
          <cell r="I520" t="str">
            <v>筐</v>
          </cell>
          <cell r="J520" t="str"/>
          <cell r="K520" t="str"/>
          <cell r="L520" t="str"/>
          <cell r="M520" t="str"/>
          <cell r="N520" t="str"/>
          <cell r="O520" t="str"/>
          <cell r="P520" t="str"/>
          <cell r="Q520" t="str"/>
          <cell r="R520" t="str"/>
          <cell r="S520" t="str"/>
          <cell r="T520" t="str"/>
          <cell r="U520" t="str"/>
          <cell r="V520" t="str"/>
          <cell r="W520" t="str"/>
          <cell r="X520" t="str"/>
          <cell r="Y520" t="str"/>
        </row>
        <row r="520">
          <cell r="AA520" t="str"/>
          <cell r="AB520" t="str"/>
          <cell r="AC520" t="str"/>
          <cell r="AD520" t="str"/>
          <cell r="AE520" t="str"/>
          <cell r="AF520" t="str"/>
        </row>
        <row r="521">
          <cell r="B521">
            <v>46280</v>
          </cell>
          <cell r="C521" t="str">
            <v>王照雪</v>
          </cell>
          <cell r="D521" t="str">
            <v>原料出库－出库加工</v>
          </cell>
          <cell r="E521" t="str">
            <v>NO:0001144</v>
          </cell>
          <cell r="F521" t="str">
            <v>苹果</v>
          </cell>
          <cell r="G521" t="str">
            <v>新世纪一级</v>
          </cell>
          <cell r="H521">
            <v>96</v>
          </cell>
          <cell r="I521" t="str">
            <v>筐</v>
          </cell>
          <cell r="J521" t="str"/>
          <cell r="K521" t="str"/>
          <cell r="L521" t="str"/>
          <cell r="M521" t="str">
            <v>光果</v>
          </cell>
          <cell r="N521" t="str"/>
          <cell r="O521" t="str"/>
          <cell r="P521" t="str"/>
          <cell r="Q521" t="str"/>
          <cell r="R521" t="str"/>
          <cell r="S521" t="str"/>
          <cell r="T521" t="str"/>
          <cell r="U521" t="str"/>
          <cell r="V521" t="str"/>
          <cell r="W521" t="str"/>
          <cell r="X521" t="str"/>
          <cell r="Y521" t="str"/>
        </row>
        <row r="521">
          <cell r="AA521" t="str"/>
          <cell r="AB521" t="str"/>
          <cell r="AC521" t="str"/>
          <cell r="AD521" t="str"/>
          <cell r="AE521" t="str"/>
          <cell r="AF521" t="str"/>
        </row>
        <row r="522">
          <cell r="B522">
            <v>46280</v>
          </cell>
          <cell r="C522" t="str">
            <v>王照雪</v>
          </cell>
          <cell r="D522" t="str">
            <v>原料出库－出库加工</v>
          </cell>
          <cell r="E522" t="str">
            <v>NO:0001144</v>
          </cell>
          <cell r="F522" t="str">
            <v>苹果</v>
          </cell>
          <cell r="G522" t="str">
            <v>新世纪二级</v>
          </cell>
          <cell r="H522">
            <v>58</v>
          </cell>
          <cell r="I522" t="str">
            <v>筐</v>
          </cell>
          <cell r="J522" t="str"/>
          <cell r="K522" t="str"/>
          <cell r="L522" t="str"/>
          <cell r="M522" t="str">
            <v>光果</v>
          </cell>
          <cell r="N522" t="str"/>
          <cell r="O522" t="str"/>
          <cell r="P522" t="str"/>
          <cell r="Q522" t="str"/>
          <cell r="R522" t="str"/>
          <cell r="S522" t="str"/>
          <cell r="T522" t="str"/>
          <cell r="U522" t="str"/>
          <cell r="V522" t="str"/>
          <cell r="W522" t="str"/>
          <cell r="X522" t="str"/>
          <cell r="Y522" t="str"/>
        </row>
        <row r="522">
          <cell r="AA522" t="str"/>
          <cell r="AB522" t="str"/>
          <cell r="AC522" t="str"/>
          <cell r="AD522" t="str"/>
          <cell r="AE522" t="str"/>
          <cell r="AF522" t="str"/>
        </row>
        <row r="523">
          <cell r="B523">
            <v>46281</v>
          </cell>
          <cell r="C523" t="str">
            <v>王照雪</v>
          </cell>
          <cell r="D523" t="str">
            <v>原料出库－出库加工</v>
          </cell>
          <cell r="E523" t="str">
            <v>NO:0001150</v>
          </cell>
          <cell r="F523" t="str">
            <v>苹果</v>
          </cell>
          <cell r="G523" t="str">
            <v>新世纪一级</v>
          </cell>
          <cell r="H523">
            <v>174</v>
          </cell>
          <cell r="I523" t="str">
            <v>筐</v>
          </cell>
          <cell r="J523" t="str"/>
          <cell r="K523" t="str"/>
          <cell r="L523" t="str"/>
          <cell r="M523" t="str">
            <v>套袋</v>
          </cell>
          <cell r="N523" t="str"/>
          <cell r="O523" t="str"/>
          <cell r="P523" t="str"/>
          <cell r="Q523" t="str"/>
          <cell r="R523" t="str"/>
          <cell r="S523" t="str"/>
          <cell r="T523" t="str"/>
          <cell r="U523" t="str"/>
          <cell r="V523" t="str"/>
          <cell r="W523" t="str"/>
          <cell r="X523" t="str"/>
          <cell r="Y523" t="str"/>
        </row>
        <row r="523">
          <cell r="AA523" t="str"/>
          <cell r="AB523" t="str"/>
          <cell r="AC523" t="str"/>
          <cell r="AD523" t="str"/>
          <cell r="AE523" t="str"/>
          <cell r="AF523" t="str"/>
        </row>
        <row r="524">
          <cell r="B524">
            <v>46281</v>
          </cell>
          <cell r="C524" t="str">
            <v>王照雪</v>
          </cell>
          <cell r="D524" t="str">
            <v>原料出库－出库加工</v>
          </cell>
          <cell r="E524" t="str">
            <v>NO:0001150</v>
          </cell>
          <cell r="F524" t="str">
            <v>香梨</v>
          </cell>
          <cell r="G524" t="str">
            <v>香梨一级</v>
          </cell>
          <cell r="H524">
            <v>1</v>
          </cell>
          <cell r="I524" t="str">
            <v>筐</v>
          </cell>
          <cell r="J524" t="str"/>
          <cell r="K524" t="str"/>
          <cell r="L524" t="str"/>
          <cell r="M524" t="str"/>
          <cell r="N524" t="str"/>
          <cell r="O524" t="str"/>
          <cell r="P524" t="str"/>
          <cell r="Q524" t="str"/>
          <cell r="R524" t="str"/>
          <cell r="S524" t="str"/>
          <cell r="T524" t="str"/>
          <cell r="U524" t="str"/>
          <cell r="V524" t="str"/>
          <cell r="W524" t="str"/>
          <cell r="X524" t="str"/>
          <cell r="Y524" t="str"/>
        </row>
        <row r="524">
          <cell r="AA524" t="str"/>
          <cell r="AB524" t="str"/>
          <cell r="AC524" t="str"/>
          <cell r="AD524" t="str"/>
          <cell r="AE524" t="str"/>
          <cell r="AF524" t="str"/>
        </row>
        <row r="525">
          <cell r="B525">
            <v>46281</v>
          </cell>
          <cell r="C525" t="str">
            <v>麦麦提</v>
          </cell>
          <cell r="D525" t="str">
            <v>原料出库－出库加工</v>
          </cell>
          <cell r="E525" t="str">
            <v>NO:0001151</v>
          </cell>
          <cell r="F525" t="str">
            <v>香梨</v>
          </cell>
          <cell r="G525" t="str">
            <v>香梨一级</v>
          </cell>
          <cell r="H525">
            <v>280</v>
          </cell>
          <cell r="I525" t="str">
            <v>筐</v>
          </cell>
          <cell r="J525" t="str"/>
          <cell r="K525" t="str"/>
          <cell r="L525" t="str"/>
          <cell r="M525" t="str"/>
          <cell r="N525" t="str"/>
          <cell r="O525" t="str"/>
          <cell r="P525" t="str"/>
          <cell r="Q525" t="str"/>
          <cell r="R525" t="str"/>
          <cell r="S525" t="str"/>
          <cell r="T525" t="str"/>
          <cell r="U525" t="str"/>
          <cell r="V525" t="str"/>
          <cell r="W525" t="str"/>
          <cell r="X525" t="str"/>
          <cell r="Y525" t="str"/>
        </row>
        <row r="525">
          <cell r="AA525" t="str"/>
          <cell r="AB525" t="str"/>
          <cell r="AC525" t="str"/>
          <cell r="AD525" t="str"/>
          <cell r="AE525" t="str"/>
          <cell r="AF525" t="str"/>
        </row>
        <row r="526">
          <cell r="B526">
            <v>46281</v>
          </cell>
          <cell r="C526" t="str">
            <v>王浩</v>
          </cell>
          <cell r="D526" t="str">
            <v>原料出库－公司购买</v>
          </cell>
          <cell r="E526" t="str">
            <v>NO:0001152</v>
          </cell>
          <cell r="F526" t="str">
            <v>香梨</v>
          </cell>
          <cell r="G526" t="str">
            <v>香梨一级</v>
          </cell>
          <cell r="H526">
            <v>2</v>
          </cell>
          <cell r="I526" t="str">
            <v>筐</v>
          </cell>
          <cell r="J526" t="str"/>
          <cell r="K526" t="str"/>
          <cell r="L526" t="str"/>
          <cell r="M526" t="str"/>
          <cell r="N526" t="str"/>
          <cell r="O526" t="str"/>
          <cell r="P526" t="str"/>
          <cell r="Q526" t="str"/>
          <cell r="R526" t="str"/>
          <cell r="S526" t="str"/>
          <cell r="T526" t="str"/>
          <cell r="U526" t="str"/>
          <cell r="V526" t="str"/>
          <cell r="W526" t="str"/>
          <cell r="X526" t="str"/>
          <cell r="Y526" t="str"/>
        </row>
        <row r="526">
          <cell r="AA526" t="str"/>
          <cell r="AB526" t="str"/>
          <cell r="AC526" t="str"/>
          <cell r="AD526" t="str"/>
          <cell r="AE526" t="str"/>
          <cell r="AF526" t="str"/>
        </row>
        <row r="527">
          <cell r="B527">
            <v>46282</v>
          </cell>
          <cell r="C527" t="str">
            <v>麦麦提</v>
          </cell>
          <cell r="D527" t="str">
            <v>原料出库－出库加工</v>
          </cell>
          <cell r="E527" t="str">
            <v>NO:0001158</v>
          </cell>
          <cell r="F527" t="str">
            <v>香梨</v>
          </cell>
          <cell r="G527" t="str">
            <v>香梨一级</v>
          </cell>
          <cell r="H527">
            <v>168</v>
          </cell>
          <cell r="I527" t="str">
            <v>筐</v>
          </cell>
          <cell r="J527" t="str"/>
          <cell r="K527" t="str"/>
          <cell r="L527" t="str"/>
          <cell r="M527" t="str"/>
          <cell r="N527" t="str"/>
          <cell r="O527" t="str"/>
          <cell r="P527" t="str"/>
          <cell r="Q527" t="str"/>
          <cell r="R527" t="str"/>
          <cell r="S527" t="str"/>
          <cell r="T527" t="str"/>
          <cell r="U527" t="str"/>
          <cell r="V527" t="str"/>
          <cell r="W527" t="str"/>
          <cell r="X527" t="str"/>
          <cell r="Y527" t="str"/>
        </row>
        <row r="527">
          <cell r="AA527" t="str"/>
          <cell r="AB527" t="str"/>
          <cell r="AC527" t="str"/>
          <cell r="AD527" t="str"/>
          <cell r="AE527" t="str"/>
          <cell r="AF527" t="str"/>
        </row>
        <row r="528">
          <cell r="B528">
            <v>46282</v>
          </cell>
          <cell r="C528" t="str">
            <v>王照雪</v>
          </cell>
          <cell r="D528" t="str">
            <v>原料出库－出库加工</v>
          </cell>
          <cell r="E528" t="str">
            <v>NO:0001159</v>
          </cell>
          <cell r="F528" t="str">
            <v>苹果</v>
          </cell>
          <cell r="G528" t="str">
            <v>新世纪一级</v>
          </cell>
          <cell r="H528">
            <v>48</v>
          </cell>
          <cell r="I528" t="str">
            <v>筐</v>
          </cell>
          <cell r="J528" t="str"/>
          <cell r="K528" t="str"/>
          <cell r="L528" t="str"/>
          <cell r="M528" t="str">
            <v>套袋</v>
          </cell>
          <cell r="N528" t="str"/>
          <cell r="O528" t="str"/>
          <cell r="P528" t="str"/>
          <cell r="Q528" t="str"/>
          <cell r="R528" t="str"/>
          <cell r="S528" t="str"/>
          <cell r="T528" t="str"/>
          <cell r="U528" t="str"/>
          <cell r="V528" t="str"/>
          <cell r="W528" t="str"/>
          <cell r="X528" t="str"/>
          <cell r="Y528" t="str"/>
        </row>
        <row r="528">
          <cell r="AA528" t="str"/>
          <cell r="AB528" t="str"/>
          <cell r="AC528" t="str"/>
          <cell r="AD528" t="str"/>
          <cell r="AE528" t="str"/>
          <cell r="AF528" t="str"/>
        </row>
        <row r="529">
          <cell r="B529">
            <v>46282</v>
          </cell>
          <cell r="C529" t="str">
            <v>王照雪</v>
          </cell>
          <cell r="D529" t="str">
            <v>原料出库－出库加工</v>
          </cell>
          <cell r="E529" t="str">
            <v>NO:0001159</v>
          </cell>
          <cell r="F529" t="str">
            <v>苹果</v>
          </cell>
          <cell r="G529" t="str">
            <v>新世纪一级</v>
          </cell>
          <cell r="H529">
            <v>52</v>
          </cell>
          <cell r="I529" t="str">
            <v>筐</v>
          </cell>
          <cell r="J529" t="str"/>
          <cell r="K529" t="str"/>
          <cell r="L529" t="str"/>
          <cell r="M529" t="str">
            <v>光果</v>
          </cell>
          <cell r="N529" t="str"/>
          <cell r="O529" t="str"/>
          <cell r="P529" t="str"/>
          <cell r="Q529" t="str"/>
          <cell r="R529" t="str"/>
          <cell r="S529" t="str"/>
          <cell r="T529" t="str"/>
          <cell r="U529" t="str"/>
          <cell r="V529" t="str"/>
          <cell r="W529" t="str"/>
          <cell r="X529" t="str"/>
          <cell r="Y529" t="str"/>
        </row>
        <row r="529">
          <cell r="AA529" t="str"/>
          <cell r="AB529" t="str"/>
          <cell r="AC529" t="str"/>
          <cell r="AD529" t="str"/>
          <cell r="AE529" t="str"/>
          <cell r="AF529" t="str"/>
        </row>
        <row r="530">
          <cell r="B530">
            <v>46282</v>
          </cell>
          <cell r="C530" t="str">
            <v>王照雪</v>
          </cell>
          <cell r="D530" t="str">
            <v>原料出库－出库加工</v>
          </cell>
          <cell r="E530" t="str">
            <v>NO:0001159</v>
          </cell>
          <cell r="F530" t="str">
            <v>苹果</v>
          </cell>
          <cell r="G530" t="str">
            <v>新世纪二级</v>
          </cell>
          <cell r="H530">
            <v>104</v>
          </cell>
          <cell r="I530" t="str">
            <v>筐</v>
          </cell>
          <cell r="J530" t="str"/>
          <cell r="K530" t="str"/>
          <cell r="L530" t="str"/>
          <cell r="M530" t="str">
            <v>光果</v>
          </cell>
          <cell r="N530" t="str"/>
          <cell r="O530" t="str"/>
          <cell r="P530" t="str"/>
          <cell r="Q530" t="str"/>
          <cell r="R530" t="str"/>
          <cell r="S530" t="str"/>
          <cell r="T530" t="str"/>
          <cell r="U530" t="str"/>
          <cell r="V530" t="str"/>
          <cell r="W530" t="str"/>
          <cell r="X530" t="str"/>
          <cell r="Y530" t="str"/>
        </row>
        <row r="530">
          <cell r="AA530" t="str"/>
          <cell r="AB530" t="str"/>
          <cell r="AC530" t="str"/>
          <cell r="AD530" t="str"/>
          <cell r="AE530" t="str"/>
          <cell r="AF530" t="str"/>
        </row>
        <row r="531">
          <cell r="B531">
            <v>46282</v>
          </cell>
          <cell r="C531" t="str">
            <v>王照雪</v>
          </cell>
          <cell r="D531" t="str">
            <v>原料出库－出库加工</v>
          </cell>
          <cell r="E531" t="str">
            <v>NO:0001161</v>
          </cell>
          <cell r="F531" t="str">
            <v>香梨</v>
          </cell>
          <cell r="G531" t="str">
            <v>香梨一级</v>
          </cell>
          <cell r="H531">
            <v>9</v>
          </cell>
          <cell r="I531" t="str">
            <v>筐</v>
          </cell>
          <cell r="J531" t="str"/>
          <cell r="K531" t="str"/>
          <cell r="L531" t="str"/>
          <cell r="M531" t="str"/>
          <cell r="N531" t="str"/>
          <cell r="O531" t="str"/>
          <cell r="P531" t="str"/>
          <cell r="Q531" t="str"/>
          <cell r="R531" t="str"/>
          <cell r="S531" t="str"/>
          <cell r="T531" t="str"/>
          <cell r="U531" t="str"/>
          <cell r="V531" t="str"/>
          <cell r="W531" t="str"/>
          <cell r="X531" t="str"/>
          <cell r="Y531" t="str"/>
        </row>
        <row r="531">
          <cell r="AA531" t="str"/>
          <cell r="AB531" t="str"/>
          <cell r="AC531" t="str"/>
          <cell r="AD531" t="str"/>
          <cell r="AE531" t="str"/>
          <cell r="AF531" t="str"/>
        </row>
        <row r="532">
          <cell r="B532">
            <v>46282</v>
          </cell>
          <cell r="C532" t="str">
            <v>王浩</v>
          </cell>
          <cell r="D532" t="str">
            <v>原料出库－公司购买</v>
          </cell>
          <cell r="E532" t="str">
            <v>NO:0001162</v>
          </cell>
          <cell r="F532" t="str">
            <v>香梨</v>
          </cell>
          <cell r="G532" t="str">
            <v>香梨一级</v>
          </cell>
          <cell r="H532">
            <v>2</v>
          </cell>
          <cell r="I532" t="str">
            <v>筐</v>
          </cell>
          <cell r="J532" t="str"/>
          <cell r="K532" t="str"/>
          <cell r="L532" t="str"/>
          <cell r="M532" t="str">
            <v>送礼-桂疆朱总(2筐)</v>
          </cell>
          <cell r="N532" t="str"/>
          <cell r="O532" t="str"/>
          <cell r="P532" t="str"/>
          <cell r="Q532" t="str"/>
          <cell r="R532" t="str"/>
          <cell r="S532" t="str"/>
          <cell r="T532" t="str"/>
          <cell r="U532" t="str"/>
          <cell r="V532" t="str"/>
          <cell r="W532" t="str"/>
          <cell r="X532" t="str"/>
          <cell r="Y532" t="str"/>
        </row>
        <row r="532">
          <cell r="AA532" t="str"/>
          <cell r="AB532" t="str"/>
          <cell r="AC532" t="str"/>
          <cell r="AD532" t="str"/>
          <cell r="AE532" t="str"/>
          <cell r="AF532" t="str"/>
        </row>
        <row r="533">
          <cell r="B533">
            <v>46282</v>
          </cell>
          <cell r="C533" t="str">
            <v>王浩</v>
          </cell>
          <cell r="D533" t="str">
            <v>原料出库－公司购买</v>
          </cell>
          <cell r="E533" t="str">
            <v>NO:0001162</v>
          </cell>
          <cell r="F533" t="str">
            <v>香梨</v>
          </cell>
          <cell r="G533" t="str">
            <v>香梨一级</v>
          </cell>
          <cell r="H533">
            <v>3</v>
          </cell>
          <cell r="I533" t="str">
            <v>筐</v>
          </cell>
          <cell r="J533" t="str"/>
          <cell r="K533" t="str"/>
          <cell r="L533" t="str"/>
          <cell r="M533" t="str">
            <v>大汪总拿(特级成品8箱)</v>
          </cell>
          <cell r="N533" t="str"/>
          <cell r="O533" t="str"/>
          <cell r="P533" t="str"/>
          <cell r="Q533" t="str"/>
          <cell r="R533" t="str"/>
          <cell r="S533" t="str"/>
          <cell r="T533" t="str"/>
          <cell r="U533" t="str"/>
          <cell r="V533" t="str"/>
          <cell r="W533" t="str"/>
          <cell r="X533" t="str"/>
          <cell r="Y533" t="str"/>
        </row>
        <row r="533">
          <cell r="AA533" t="str"/>
          <cell r="AB533" t="str"/>
          <cell r="AC533" t="str"/>
          <cell r="AD533" t="str"/>
          <cell r="AE533" t="str"/>
          <cell r="AF533" t="str"/>
        </row>
        <row r="534">
          <cell r="B534">
            <v>46282</v>
          </cell>
          <cell r="C534" t="str">
            <v>王照雪</v>
          </cell>
          <cell r="D534" t="str">
            <v>原料出库－出库加工</v>
          </cell>
          <cell r="E534" t="str">
            <v>NO:0001165</v>
          </cell>
          <cell r="F534" t="str">
            <v>苹果</v>
          </cell>
          <cell r="G534" t="str">
            <v>新世纪一级</v>
          </cell>
          <cell r="H534">
            <v>125</v>
          </cell>
          <cell r="I534" t="str">
            <v>筐</v>
          </cell>
          <cell r="J534" t="str"/>
          <cell r="K534" t="str"/>
          <cell r="L534" t="str"/>
          <cell r="M534" t="str"/>
          <cell r="N534" t="str"/>
          <cell r="O534" t="str"/>
          <cell r="P534" t="str"/>
          <cell r="Q534" t="str"/>
          <cell r="R534" t="str"/>
          <cell r="S534" t="str"/>
          <cell r="T534" t="str"/>
          <cell r="U534" t="str"/>
          <cell r="V534" t="str"/>
          <cell r="W534" t="str"/>
          <cell r="X534" t="str"/>
          <cell r="Y534" t="str"/>
        </row>
        <row r="534">
          <cell r="AA534" t="str"/>
          <cell r="AB534" t="str"/>
          <cell r="AC534" t="str"/>
          <cell r="AD534" t="str"/>
          <cell r="AE534" t="str"/>
          <cell r="AF534" t="str"/>
        </row>
        <row r="535">
          <cell r="B535">
            <v>46282</v>
          </cell>
          <cell r="C535" t="str">
            <v>王照雪</v>
          </cell>
          <cell r="D535" t="str">
            <v>原料出库－出库加工</v>
          </cell>
          <cell r="E535" t="str">
            <v>NO:0001165</v>
          </cell>
          <cell r="F535" t="str">
            <v>苹果</v>
          </cell>
          <cell r="G535" t="str">
            <v>新世纪二级</v>
          </cell>
          <cell r="H535">
            <v>28</v>
          </cell>
          <cell r="I535" t="str">
            <v>筐</v>
          </cell>
          <cell r="J535" t="str"/>
          <cell r="K535" t="str"/>
          <cell r="L535" t="str"/>
          <cell r="M535" t="str"/>
          <cell r="N535" t="str"/>
          <cell r="O535" t="str"/>
          <cell r="P535" t="str"/>
          <cell r="Q535" t="str"/>
          <cell r="R535" t="str"/>
          <cell r="S535" t="str"/>
          <cell r="T535" t="str"/>
          <cell r="U535" t="str"/>
          <cell r="V535" t="str"/>
          <cell r="W535" t="str"/>
          <cell r="X535" t="str"/>
          <cell r="Y535" t="str"/>
        </row>
        <row r="535">
          <cell r="AA535" t="str"/>
          <cell r="AB535" t="str"/>
          <cell r="AC535" t="str"/>
          <cell r="AD535" t="str"/>
          <cell r="AE535" t="str"/>
          <cell r="AF535" t="str"/>
        </row>
        <row r="536">
          <cell r="B536">
            <v>46282</v>
          </cell>
          <cell r="C536" t="str">
            <v>王照雪</v>
          </cell>
          <cell r="D536" t="str">
            <v>原料出库－出库加工</v>
          </cell>
          <cell r="E536" t="str">
            <v>NO:0001165</v>
          </cell>
          <cell r="F536" t="str">
            <v>苹果</v>
          </cell>
          <cell r="G536" t="str">
            <v>玫瑰红一级</v>
          </cell>
          <cell r="H536">
            <v>24</v>
          </cell>
          <cell r="I536" t="str">
            <v>筐</v>
          </cell>
          <cell r="J536" t="str"/>
          <cell r="K536" t="str"/>
          <cell r="L536" t="str"/>
          <cell r="M536" t="str"/>
          <cell r="N536" t="str"/>
          <cell r="O536" t="str"/>
          <cell r="P536" t="str"/>
          <cell r="Q536" t="str"/>
          <cell r="R536" t="str"/>
          <cell r="S536" t="str"/>
          <cell r="T536" t="str"/>
          <cell r="U536" t="str"/>
          <cell r="V536" t="str"/>
          <cell r="W536" t="str"/>
          <cell r="X536" t="str"/>
          <cell r="Y536" t="str"/>
        </row>
        <row r="536">
          <cell r="AA536" t="str"/>
          <cell r="AB536" t="str"/>
          <cell r="AC536" t="str"/>
          <cell r="AD536" t="str"/>
          <cell r="AE536" t="str"/>
          <cell r="AF536" t="str"/>
        </row>
        <row r="537">
          <cell r="B537">
            <v>46283</v>
          </cell>
          <cell r="C537" t="str">
            <v>麦麦提</v>
          </cell>
          <cell r="D537" t="str">
            <v>原料出库－出库加工</v>
          </cell>
          <cell r="E537" t="str">
            <v>NO:0001172</v>
          </cell>
          <cell r="F537" t="str">
            <v>香梨</v>
          </cell>
          <cell r="G537" t="str">
            <v>香梨一级</v>
          </cell>
          <cell r="H537">
            <v>160</v>
          </cell>
          <cell r="I537" t="str">
            <v>筐</v>
          </cell>
          <cell r="J537" t="str"/>
          <cell r="K537" t="str"/>
          <cell r="L537" t="str"/>
          <cell r="M537" t="str"/>
          <cell r="N537" t="str"/>
          <cell r="O537" t="str"/>
          <cell r="P537" t="str"/>
          <cell r="Q537" t="str"/>
          <cell r="R537" t="str"/>
          <cell r="S537" t="str"/>
          <cell r="T537" t="str"/>
          <cell r="U537" t="str"/>
          <cell r="V537" t="str"/>
          <cell r="W537" t="str"/>
          <cell r="X537" t="str"/>
          <cell r="Y537" t="str"/>
        </row>
        <row r="537">
          <cell r="AA537" t="str"/>
          <cell r="AB537" t="str"/>
          <cell r="AC537" t="str"/>
          <cell r="AD537" t="str"/>
          <cell r="AE537" t="str"/>
          <cell r="AF537" t="str"/>
        </row>
        <row r="538">
          <cell r="B538">
            <v>46283</v>
          </cell>
          <cell r="C538" t="str">
            <v>王灵云</v>
          </cell>
          <cell r="D538" t="str">
            <v>原料出库－出库加工</v>
          </cell>
          <cell r="E538" t="str">
            <v>NO:0001173</v>
          </cell>
          <cell r="F538" t="str">
            <v>香梨</v>
          </cell>
          <cell r="G538" t="str">
            <v>香梨一级</v>
          </cell>
          <cell r="H538">
            <v>384</v>
          </cell>
          <cell r="I538" t="str">
            <v>筐</v>
          </cell>
          <cell r="J538" t="str"/>
          <cell r="K538" t="str"/>
          <cell r="L538" t="str"/>
          <cell r="M538" t="str"/>
          <cell r="N538" t="str"/>
          <cell r="O538" t="str"/>
          <cell r="P538" t="str"/>
          <cell r="Q538" t="str"/>
          <cell r="R538" t="str"/>
          <cell r="S538" t="str"/>
          <cell r="T538" t="str"/>
          <cell r="U538" t="str"/>
          <cell r="V538" t="str"/>
          <cell r="W538" t="str"/>
          <cell r="X538" t="str"/>
          <cell r="Y538" t="str"/>
        </row>
        <row r="538">
          <cell r="AA538" t="str"/>
          <cell r="AB538" t="str"/>
          <cell r="AC538" t="str"/>
          <cell r="AD538" t="str"/>
          <cell r="AE538" t="str"/>
          <cell r="AF538" t="str"/>
        </row>
        <row r="539">
          <cell r="B539">
            <v>46283</v>
          </cell>
          <cell r="C539" t="str">
            <v>王灵云</v>
          </cell>
          <cell r="D539" t="str">
            <v>原料出库－出库加工</v>
          </cell>
          <cell r="E539" t="str">
            <v>NO:0001173</v>
          </cell>
          <cell r="F539" t="str">
            <v>香梨</v>
          </cell>
          <cell r="G539" t="str">
            <v>香梨副特</v>
          </cell>
          <cell r="H539">
            <v>48</v>
          </cell>
          <cell r="I539" t="str">
            <v>筐</v>
          </cell>
          <cell r="J539" t="str"/>
          <cell r="K539" t="str"/>
          <cell r="L539" t="str"/>
          <cell r="M539" t="str"/>
          <cell r="N539" t="str"/>
          <cell r="O539" t="str"/>
          <cell r="P539" t="str"/>
          <cell r="Q539" t="str"/>
          <cell r="R539" t="str"/>
          <cell r="S539" t="str"/>
          <cell r="T539" t="str"/>
          <cell r="U539" t="str"/>
          <cell r="V539" t="str"/>
          <cell r="W539" t="str"/>
          <cell r="X539" t="str"/>
          <cell r="Y539" t="str"/>
        </row>
        <row r="539">
          <cell r="AA539" t="str"/>
          <cell r="AB539" t="str"/>
          <cell r="AC539" t="str"/>
          <cell r="AD539" t="str"/>
          <cell r="AE539" t="str"/>
          <cell r="AF539" t="str"/>
        </row>
        <row r="540">
          <cell r="B540">
            <v>46284</v>
          </cell>
          <cell r="C540" t="str">
            <v>王灵云</v>
          </cell>
          <cell r="D540" t="str">
            <v>原料出库－出库加工</v>
          </cell>
          <cell r="E540" t="str">
            <v>NO:0001179</v>
          </cell>
          <cell r="F540" t="str">
            <v>香梨</v>
          </cell>
          <cell r="G540" t="str">
            <v>香梨一级</v>
          </cell>
          <cell r="H540">
            <v>288</v>
          </cell>
          <cell r="I540" t="str">
            <v>筐</v>
          </cell>
          <cell r="J540" t="str"/>
          <cell r="K540" t="str"/>
          <cell r="L540" t="str"/>
          <cell r="M540" t="str"/>
          <cell r="N540" t="str"/>
          <cell r="O540" t="str"/>
          <cell r="P540" t="str"/>
          <cell r="Q540" t="str"/>
          <cell r="R540" t="str"/>
          <cell r="S540" t="str"/>
          <cell r="T540" t="str"/>
          <cell r="U540" t="str"/>
          <cell r="V540" t="str"/>
          <cell r="W540" t="str"/>
          <cell r="X540" t="str"/>
          <cell r="Y540" t="str"/>
        </row>
        <row r="540">
          <cell r="AA540" t="str"/>
          <cell r="AB540" t="str"/>
          <cell r="AC540" t="str"/>
          <cell r="AD540" t="str"/>
          <cell r="AE540" t="str"/>
          <cell r="AF540" t="str"/>
        </row>
        <row r="541">
          <cell r="B541">
            <v>46284</v>
          </cell>
          <cell r="C541" t="str">
            <v>麦麦提</v>
          </cell>
          <cell r="D541" t="str">
            <v>原料出库－出库加工</v>
          </cell>
          <cell r="E541" t="str">
            <v>NO:0001180</v>
          </cell>
          <cell r="F541" t="str">
            <v>香梨</v>
          </cell>
          <cell r="G541" t="str">
            <v>香梨一级</v>
          </cell>
          <cell r="H541">
            <v>208</v>
          </cell>
          <cell r="I541" t="str">
            <v>筐</v>
          </cell>
          <cell r="J541" t="str"/>
          <cell r="K541" t="str"/>
          <cell r="L541" t="str"/>
          <cell r="M541" t="str"/>
          <cell r="N541" t="str"/>
          <cell r="O541" t="str"/>
          <cell r="P541" t="str"/>
          <cell r="Q541" t="str"/>
          <cell r="R541" t="str"/>
          <cell r="S541" t="str"/>
          <cell r="T541" t="str"/>
          <cell r="U541" t="str"/>
          <cell r="V541" t="str"/>
          <cell r="W541" t="str"/>
          <cell r="X541" t="str"/>
          <cell r="Y541" t="str"/>
        </row>
        <row r="541">
          <cell r="AA541" t="str"/>
          <cell r="AB541" t="str"/>
          <cell r="AC541" t="str"/>
          <cell r="AD541" t="str"/>
          <cell r="AE541" t="str"/>
          <cell r="AF541" t="str"/>
        </row>
        <row r="542">
          <cell r="B542">
            <v>46284</v>
          </cell>
          <cell r="C542" t="str">
            <v>王照雪</v>
          </cell>
          <cell r="D542" t="str">
            <v>原料出库－出库加工</v>
          </cell>
          <cell r="E542" t="str">
            <v>NO:0001187</v>
          </cell>
          <cell r="F542" t="str">
            <v>苹果</v>
          </cell>
          <cell r="G542" t="str">
            <v>新世纪一级</v>
          </cell>
          <cell r="H542">
            <v>94</v>
          </cell>
          <cell r="I542" t="str">
            <v>筐</v>
          </cell>
          <cell r="J542" t="str"/>
          <cell r="K542" t="str"/>
          <cell r="L542" t="str"/>
          <cell r="M542" t="str"/>
          <cell r="N542" t="str"/>
          <cell r="O542" t="str"/>
          <cell r="P542" t="str"/>
          <cell r="Q542" t="str"/>
          <cell r="R542" t="str"/>
          <cell r="S542" t="str"/>
          <cell r="T542" t="str"/>
          <cell r="U542" t="str"/>
          <cell r="V542" t="str"/>
          <cell r="W542" t="str"/>
          <cell r="X542" t="str"/>
          <cell r="Y542" t="str"/>
        </row>
        <row r="542">
          <cell r="AA542" t="str"/>
          <cell r="AB542" t="str"/>
          <cell r="AC542" t="str"/>
          <cell r="AD542" t="str"/>
          <cell r="AE542" t="str"/>
          <cell r="AF542" t="str"/>
        </row>
        <row r="543">
          <cell r="B543">
            <v>46284</v>
          </cell>
          <cell r="C543" t="str">
            <v>王照雪</v>
          </cell>
          <cell r="D543" t="str">
            <v>原料出库－出库加工</v>
          </cell>
          <cell r="E543" t="str">
            <v>NO:0001187</v>
          </cell>
          <cell r="F543" t="str">
            <v>苹果</v>
          </cell>
          <cell r="G543" t="str">
            <v>新世纪二级</v>
          </cell>
          <cell r="H543">
            <v>143</v>
          </cell>
          <cell r="I543" t="str">
            <v>筐</v>
          </cell>
          <cell r="J543" t="str"/>
          <cell r="K543" t="str"/>
          <cell r="L543" t="str"/>
          <cell r="M543" t="str"/>
          <cell r="N543" t="str"/>
          <cell r="O543" t="str"/>
          <cell r="P543" t="str"/>
          <cell r="Q543" t="str"/>
          <cell r="R543" t="str"/>
          <cell r="S543" t="str"/>
          <cell r="T543" t="str"/>
          <cell r="U543" t="str"/>
          <cell r="V543" t="str"/>
          <cell r="W543" t="str"/>
          <cell r="X543" t="str"/>
          <cell r="Y543" t="str"/>
        </row>
        <row r="543">
          <cell r="AA543" t="str"/>
          <cell r="AB543" t="str"/>
          <cell r="AC543" t="str"/>
          <cell r="AD543" t="str"/>
          <cell r="AE543" t="str"/>
          <cell r="AF543" t="str"/>
        </row>
        <row r="544">
          <cell r="B544">
            <v>46284</v>
          </cell>
          <cell r="C544" t="str">
            <v>麦麦提</v>
          </cell>
          <cell r="D544" t="str">
            <v>原料出库－出库加工</v>
          </cell>
          <cell r="E544" t="str">
            <v>NO:0001188</v>
          </cell>
          <cell r="F544" t="str">
            <v>香梨</v>
          </cell>
          <cell r="G544" t="str">
            <v>香梨一级</v>
          </cell>
          <cell r="H544">
            <v>56</v>
          </cell>
          <cell r="I544" t="str">
            <v>筐</v>
          </cell>
          <cell r="J544" t="str"/>
          <cell r="K544" t="str"/>
          <cell r="L544" t="str"/>
          <cell r="M544" t="str"/>
          <cell r="N544" t="str"/>
          <cell r="O544" t="str"/>
          <cell r="P544" t="str"/>
          <cell r="Q544" t="str"/>
          <cell r="R544" t="str"/>
          <cell r="S544" t="str"/>
          <cell r="T544" t="str"/>
          <cell r="U544" t="str"/>
          <cell r="V544" t="str"/>
          <cell r="W544" t="str"/>
          <cell r="X544" t="str"/>
          <cell r="Y544" t="str"/>
        </row>
        <row r="544">
          <cell r="AA544" t="str"/>
          <cell r="AB544" t="str"/>
          <cell r="AC544" t="str"/>
          <cell r="AD544" t="str"/>
          <cell r="AE544" t="str"/>
          <cell r="AF544" t="str"/>
        </row>
        <row r="545">
          <cell r="B545">
            <v>46285</v>
          </cell>
          <cell r="C545" t="str">
            <v>王灵云</v>
          </cell>
          <cell r="D545" t="str">
            <v>原料出库－出库加工</v>
          </cell>
          <cell r="E545" t="str">
            <v>NO:0001196</v>
          </cell>
          <cell r="F545" t="str">
            <v>香梨</v>
          </cell>
          <cell r="G545" t="str">
            <v>香梨一级</v>
          </cell>
          <cell r="H545">
            <v>288</v>
          </cell>
          <cell r="I545" t="str">
            <v>筐</v>
          </cell>
          <cell r="J545" t="str"/>
          <cell r="K545" t="str"/>
          <cell r="L545" t="str"/>
          <cell r="M545" t="str"/>
          <cell r="N545" t="str"/>
          <cell r="O545" t="str"/>
          <cell r="P545" t="str"/>
          <cell r="Q545" t="str"/>
          <cell r="R545" t="str"/>
          <cell r="S545" t="str"/>
          <cell r="T545" t="str"/>
          <cell r="U545" t="str"/>
          <cell r="V545" t="str"/>
          <cell r="W545" t="str"/>
          <cell r="X545" t="str"/>
          <cell r="Y545" t="str"/>
        </row>
        <row r="545">
          <cell r="AA545" t="str"/>
          <cell r="AB545" t="str"/>
          <cell r="AC545" t="str"/>
          <cell r="AD545" t="str"/>
          <cell r="AE545" t="str"/>
          <cell r="AF545" t="str"/>
        </row>
        <row r="546">
          <cell r="B546">
            <v>46285</v>
          </cell>
          <cell r="C546" t="str">
            <v>麦麦提</v>
          </cell>
          <cell r="D546" t="str">
            <v>原料出库－出库加工</v>
          </cell>
          <cell r="E546" t="str">
            <v>NO:0001197</v>
          </cell>
          <cell r="F546" t="str">
            <v>香梨</v>
          </cell>
          <cell r="G546" t="str">
            <v>香梨特级</v>
          </cell>
          <cell r="H546">
            <v>536</v>
          </cell>
          <cell r="I546" t="str">
            <v>筐</v>
          </cell>
          <cell r="J546" t="str"/>
          <cell r="K546" t="str"/>
          <cell r="L546" t="str"/>
          <cell r="M546" t="str"/>
          <cell r="N546" t="str"/>
          <cell r="O546" t="str"/>
          <cell r="P546" t="str"/>
          <cell r="Q546" t="str"/>
          <cell r="R546" t="str"/>
          <cell r="S546" t="str"/>
          <cell r="T546" t="str"/>
          <cell r="U546" t="str"/>
          <cell r="V546" t="str"/>
          <cell r="W546" t="str"/>
          <cell r="X546" t="str"/>
          <cell r="Y546" t="str"/>
        </row>
        <row r="546">
          <cell r="AA546" t="str"/>
          <cell r="AB546" t="str"/>
          <cell r="AC546" t="str"/>
          <cell r="AD546" t="str"/>
          <cell r="AE546" t="str"/>
          <cell r="AF546" t="str"/>
        </row>
        <row r="547">
          <cell r="B547">
            <v>46285</v>
          </cell>
          <cell r="C547" t="str">
            <v>马锦祥</v>
          </cell>
          <cell r="D547" t="str">
            <v>原料出库－原筐出库</v>
          </cell>
          <cell r="E547" t="str">
            <v>NO:0001199</v>
          </cell>
          <cell r="F547" t="str">
            <v>苹果</v>
          </cell>
          <cell r="G547" t="str">
            <v>海棠果</v>
          </cell>
          <cell r="H547">
            <v>60</v>
          </cell>
          <cell r="I547" t="str">
            <v>筐</v>
          </cell>
          <cell r="J547">
            <v>180</v>
          </cell>
          <cell r="K547" t="str"/>
          <cell r="L547" t="str"/>
          <cell r="M547" t="str"/>
          <cell r="N547" t="str">
            <v>自备一次性筐</v>
          </cell>
          <cell r="O547">
            <v>60</v>
          </cell>
          <cell r="P547" t="str"/>
          <cell r="Q547" t="str"/>
          <cell r="R547" t="str">
            <v>新N*B6R39</v>
          </cell>
          <cell r="S547" t="str">
            <v>自备筐</v>
          </cell>
          <cell r="T547" t="str"/>
          <cell r="U547" t="str"/>
          <cell r="V547" t="str"/>
          <cell r="W547" t="str"/>
          <cell r="X547" t="str"/>
          <cell r="Y547" t="str"/>
        </row>
        <row r="547">
          <cell r="AA547" t="str"/>
          <cell r="AB547" t="str"/>
          <cell r="AC547" t="str"/>
          <cell r="AD547" t="str"/>
          <cell r="AE547" t="str"/>
          <cell r="AF547" t="str"/>
        </row>
        <row r="548">
          <cell r="B548">
            <v>46285</v>
          </cell>
          <cell r="C548" t="str">
            <v>王照雪</v>
          </cell>
          <cell r="D548" t="str">
            <v>原料出库－出库加工</v>
          </cell>
          <cell r="E548" t="str">
            <v>NO:0001202</v>
          </cell>
          <cell r="F548" t="str">
            <v>苹果</v>
          </cell>
          <cell r="G548" t="str">
            <v>新世纪二级</v>
          </cell>
          <cell r="H548">
            <v>193</v>
          </cell>
          <cell r="I548" t="str">
            <v>筐</v>
          </cell>
          <cell r="J548" t="str"/>
          <cell r="K548" t="str"/>
          <cell r="L548" t="str"/>
          <cell r="M548" t="str"/>
          <cell r="N548" t="str"/>
          <cell r="O548" t="str"/>
          <cell r="P548" t="str"/>
          <cell r="Q548" t="str"/>
          <cell r="R548" t="str"/>
          <cell r="S548" t="str"/>
          <cell r="T548" t="str"/>
          <cell r="U548" t="str"/>
          <cell r="V548" t="str"/>
          <cell r="W548" t="str"/>
          <cell r="X548" t="str"/>
          <cell r="Y548" t="str"/>
        </row>
        <row r="548">
          <cell r="AA548" t="str"/>
          <cell r="AB548" t="str"/>
          <cell r="AC548" t="str"/>
          <cell r="AD548" t="str"/>
          <cell r="AE548" t="str"/>
          <cell r="AF548" t="str"/>
        </row>
        <row r="549">
          <cell r="B549">
            <v>46286</v>
          </cell>
          <cell r="C549" t="str">
            <v>王灵云</v>
          </cell>
          <cell r="D549" t="str">
            <v>原料出库－出库加工</v>
          </cell>
          <cell r="E549" t="str">
            <v>NO:0001205</v>
          </cell>
          <cell r="F549" t="str">
            <v>香梨</v>
          </cell>
          <cell r="G549" t="str">
            <v>香梨一级</v>
          </cell>
          <cell r="H549">
            <v>384</v>
          </cell>
          <cell r="I549" t="str">
            <v>筐</v>
          </cell>
          <cell r="J549" t="str"/>
          <cell r="K549" t="str"/>
          <cell r="L549" t="str"/>
          <cell r="M549" t="str"/>
          <cell r="N549" t="str"/>
          <cell r="O549" t="str"/>
          <cell r="P549" t="str"/>
          <cell r="Q549" t="str"/>
          <cell r="R549" t="str"/>
          <cell r="S549" t="str"/>
          <cell r="T549" t="str"/>
          <cell r="U549" t="str"/>
          <cell r="V549" t="str"/>
          <cell r="W549" t="str"/>
          <cell r="X549" t="str"/>
          <cell r="Y549" t="str"/>
        </row>
        <row r="549">
          <cell r="AA549" t="str"/>
          <cell r="AB549" t="str"/>
          <cell r="AC549" t="str"/>
          <cell r="AD549" t="str"/>
          <cell r="AE549" t="str"/>
          <cell r="AF549" t="str"/>
        </row>
        <row r="550">
          <cell r="B550">
            <v>46286</v>
          </cell>
          <cell r="C550" t="str">
            <v>王照雪</v>
          </cell>
          <cell r="D550" t="str">
            <v>原料出库－原筐出库</v>
          </cell>
          <cell r="E550" t="str">
            <v>NO:0001211</v>
          </cell>
          <cell r="F550" t="str">
            <v>苹果</v>
          </cell>
          <cell r="G550" t="str">
            <v>早富士二级</v>
          </cell>
          <cell r="H550">
            <v>22</v>
          </cell>
          <cell r="I550" t="str">
            <v>筐</v>
          </cell>
          <cell r="J550">
            <v>490.6</v>
          </cell>
          <cell r="K550" t="str"/>
          <cell r="L550" t="str"/>
          <cell r="M550" t="str"/>
          <cell r="N550" t="str">
            <v>自备一次性筐</v>
          </cell>
          <cell r="O550">
            <v>22</v>
          </cell>
          <cell r="P550" t="str"/>
          <cell r="Q550" t="str"/>
          <cell r="R550" t="str">
            <v>新A*G9383</v>
          </cell>
          <cell r="S550" t="str">
            <v>自备筐</v>
          </cell>
          <cell r="T550" t="str"/>
          <cell r="U550" t="str"/>
          <cell r="V550" t="str"/>
          <cell r="W550" t="str"/>
          <cell r="X550" t="str"/>
          <cell r="Y550" t="str"/>
        </row>
        <row r="550">
          <cell r="AA550" t="str"/>
          <cell r="AB550" t="str"/>
          <cell r="AC550" t="str"/>
          <cell r="AD550" t="str"/>
          <cell r="AE550" t="str"/>
          <cell r="AF550" t="str"/>
        </row>
        <row r="551">
          <cell r="B551">
            <v>46286</v>
          </cell>
          <cell r="C551" t="str">
            <v>王照雪</v>
          </cell>
          <cell r="D551" t="str">
            <v>原料出库－出库加工</v>
          </cell>
          <cell r="E551" t="str">
            <v>NO:0001212</v>
          </cell>
          <cell r="F551" t="str">
            <v>苹果</v>
          </cell>
          <cell r="G551" t="str">
            <v>新世纪一级</v>
          </cell>
          <cell r="H551">
            <v>42</v>
          </cell>
          <cell r="I551" t="str">
            <v>筐</v>
          </cell>
          <cell r="J551" t="str"/>
          <cell r="K551" t="str"/>
          <cell r="L551" t="str"/>
          <cell r="M551" t="str"/>
          <cell r="N551" t="str"/>
          <cell r="O551" t="str"/>
          <cell r="P551" t="str"/>
          <cell r="Q551" t="str"/>
          <cell r="R551" t="str"/>
          <cell r="S551" t="str"/>
          <cell r="T551" t="str"/>
          <cell r="U551" t="str"/>
          <cell r="V551" t="str"/>
          <cell r="W551" t="str"/>
          <cell r="X551" t="str"/>
          <cell r="Y551" t="str"/>
        </row>
        <row r="551">
          <cell r="AA551" t="str"/>
          <cell r="AB551" t="str"/>
          <cell r="AC551" t="str"/>
          <cell r="AD551" t="str"/>
          <cell r="AE551" t="str"/>
          <cell r="AF551" t="str"/>
        </row>
        <row r="552">
          <cell r="B552">
            <v>46287</v>
          </cell>
          <cell r="C552" t="str">
            <v>王灵云</v>
          </cell>
          <cell r="D552" t="str">
            <v>原料出库－出库加工</v>
          </cell>
          <cell r="E552" t="str">
            <v>NO:0001214</v>
          </cell>
          <cell r="F552" t="str">
            <v>香梨</v>
          </cell>
          <cell r="G552" t="str">
            <v>香梨一级</v>
          </cell>
          <cell r="H552">
            <v>523</v>
          </cell>
          <cell r="I552" t="str">
            <v>筐</v>
          </cell>
          <cell r="J552" t="str"/>
          <cell r="K552" t="str"/>
          <cell r="L552" t="str"/>
          <cell r="M552" t="str"/>
          <cell r="N552" t="str"/>
          <cell r="O552" t="str"/>
          <cell r="P552" t="str"/>
          <cell r="Q552" t="str"/>
          <cell r="R552" t="str"/>
          <cell r="S552" t="str"/>
          <cell r="T552" t="str"/>
          <cell r="U552" t="str"/>
          <cell r="V552" t="str"/>
          <cell r="W552" t="str"/>
          <cell r="X552" t="str"/>
          <cell r="Y552" t="str"/>
        </row>
        <row r="552">
          <cell r="AA552" t="str"/>
          <cell r="AB552" t="str"/>
          <cell r="AC552" t="str"/>
          <cell r="AD552" t="str"/>
          <cell r="AE552" t="str"/>
          <cell r="AF552" t="str"/>
        </row>
        <row r="553">
          <cell r="B553">
            <v>46288</v>
          </cell>
          <cell r="C553" t="str">
            <v>麦麦提</v>
          </cell>
          <cell r="D553" t="str">
            <v>原料出库－出库加工</v>
          </cell>
          <cell r="E553" t="str">
            <v>NO:0001220</v>
          </cell>
          <cell r="F553" t="str">
            <v>香梨</v>
          </cell>
          <cell r="G553" t="str">
            <v>香梨特级</v>
          </cell>
          <cell r="H553">
            <v>112</v>
          </cell>
          <cell r="I553" t="str">
            <v>筐</v>
          </cell>
          <cell r="J553" t="str"/>
          <cell r="K553" t="str"/>
          <cell r="L553" t="str"/>
          <cell r="M553" t="str"/>
          <cell r="N553" t="str"/>
          <cell r="O553" t="str"/>
          <cell r="P553" t="str"/>
          <cell r="Q553" t="str"/>
          <cell r="R553" t="str"/>
          <cell r="S553" t="str"/>
          <cell r="T553" t="str"/>
          <cell r="U553" t="str"/>
          <cell r="V553" t="str"/>
          <cell r="W553" t="str"/>
          <cell r="X553" t="str"/>
          <cell r="Y553" t="str"/>
        </row>
        <row r="553">
          <cell r="AA553" t="str"/>
          <cell r="AB553" t="str"/>
          <cell r="AC553" t="str"/>
          <cell r="AD553" t="str"/>
          <cell r="AE553" t="str"/>
          <cell r="AF553" t="str"/>
        </row>
        <row r="554">
          <cell r="B554">
            <v>46288</v>
          </cell>
          <cell r="C554" t="str">
            <v>王灵云</v>
          </cell>
          <cell r="D554" t="str">
            <v>原料出库－出库加工</v>
          </cell>
          <cell r="E554" t="str">
            <v>NO:0001221</v>
          </cell>
          <cell r="F554" t="str">
            <v>香梨</v>
          </cell>
          <cell r="G554" t="str">
            <v>香梨一级</v>
          </cell>
          <cell r="H554">
            <v>336</v>
          </cell>
          <cell r="I554" t="str">
            <v>筐</v>
          </cell>
          <cell r="J554" t="str"/>
          <cell r="K554" t="str"/>
          <cell r="L554" t="str"/>
          <cell r="M554" t="str"/>
          <cell r="N554" t="str"/>
          <cell r="O554" t="str"/>
          <cell r="P554" t="str"/>
          <cell r="Q554" t="str"/>
          <cell r="R554" t="str"/>
          <cell r="S554" t="str"/>
          <cell r="T554" t="str"/>
          <cell r="U554" t="str"/>
          <cell r="V554" t="str"/>
          <cell r="W554" t="str"/>
          <cell r="X554" t="str"/>
          <cell r="Y554" t="str"/>
        </row>
        <row r="554">
          <cell r="AA554" t="str"/>
          <cell r="AB554" t="str"/>
          <cell r="AC554" t="str"/>
          <cell r="AD554" t="str"/>
          <cell r="AE554" t="str"/>
          <cell r="AF554" t="str"/>
        </row>
        <row r="555">
          <cell r="B555">
            <v>46288</v>
          </cell>
          <cell r="C555" t="str">
            <v>王照雪</v>
          </cell>
          <cell r="D555" t="str">
            <v>原料出库－出库加工</v>
          </cell>
          <cell r="E555" t="str">
            <v>NO:0001225</v>
          </cell>
          <cell r="F555" t="str">
            <v>苹果</v>
          </cell>
          <cell r="G555" t="str">
            <v>新世纪二级</v>
          </cell>
          <cell r="H555">
            <v>339</v>
          </cell>
          <cell r="I555" t="str">
            <v>筐</v>
          </cell>
          <cell r="J555" t="str"/>
          <cell r="K555" t="str"/>
          <cell r="L555" t="str"/>
          <cell r="M555" t="str"/>
          <cell r="N555" t="str"/>
          <cell r="O555" t="str"/>
          <cell r="P555" t="str"/>
          <cell r="Q555" t="str"/>
          <cell r="R555" t="str"/>
          <cell r="S555" t="str"/>
          <cell r="T555" t="str"/>
          <cell r="U555" t="str"/>
          <cell r="V555" t="str"/>
          <cell r="W555" t="str"/>
          <cell r="X555" t="str"/>
          <cell r="Y555" t="str"/>
        </row>
        <row r="555">
          <cell r="AA555" t="str"/>
          <cell r="AB555" t="str"/>
          <cell r="AC555" t="str"/>
          <cell r="AD555" t="str"/>
          <cell r="AE555" t="str"/>
          <cell r="AF555" t="str"/>
        </row>
        <row r="556">
          <cell r="B556">
            <v>46289</v>
          </cell>
          <cell r="C556" t="str">
            <v>王灵云</v>
          </cell>
          <cell r="D556" t="str">
            <v>原料出库－出库加工</v>
          </cell>
          <cell r="E556" t="str">
            <v>NO:0001228</v>
          </cell>
          <cell r="F556" t="str">
            <v>香梨</v>
          </cell>
          <cell r="G556" t="str">
            <v>香梨一级</v>
          </cell>
          <cell r="H556">
            <v>480</v>
          </cell>
          <cell r="I556" t="str">
            <v>筐</v>
          </cell>
          <cell r="J556" t="str"/>
          <cell r="K556" t="str"/>
          <cell r="L556" t="str"/>
          <cell r="M556" t="str"/>
          <cell r="N556" t="str"/>
          <cell r="O556" t="str"/>
          <cell r="P556" t="str"/>
          <cell r="Q556" t="str"/>
          <cell r="R556" t="str"/>
          <cell r="S556" t="str"/>
          <cell r="T556" t="str"/>
          <cell r="U556" t="str"/>
          <cell r="V556" t="str"/>
          <cell r="W556" t="str"/>
          <cell r="X556" t="str"/>
          <cell r="Y556" t="str"/>
        </row>
        <row r="556">
          <cell r="AA556" t="str"/>
          <cell r="AB556" t="str"/>
          <cell r="AC556" t="str"/>
          <cell r="AD556" t="str"/>
          <cell r="AE556" t="str"/>
          <cell r="AF556" t="str"/>
        </row>
        <row r="557">
          <cell r="B557">
            <v>46289</v>
          </cell>
          <cell r="C557" t="str">
            <v>王照雪</v>
          </cell>
          <cell r="D557" t="str">
            <v>原料出库－公司购买</v>
          </cell>
          <cell r="E557" t="str">
            <v>NO:0001233</v>
          </cell>
          <cell r="F557" t="str">
            <v>苹果</v>
          </cell>
          <cell r="G557" t="str">
            <v>新世纪一级</v>
          </cell>
          <cell r="H557">
            <v>2</v>
          </cell>
          <cell r="I557" t="str">
            <v>筐</v>
          </cell>
          <cell r="J557" t="str"/>
          <cell r="K557" t="str"/>
          <cell r="L557" t="str"/>
          <cell r="M557" t="str"/>
          <cell r="N557" t="str"/>
          <cell r="O557" t="str"/>
          <cell r="P557" t="str"/>
          <cell r="Q557" t="str"/>
          <cell r="R557" t="str"/>
          <cell r="S557" t="str"/>
          <cell r="T557" t="str"/>
          <cell r="U557" t="str"/>
          <cell r="V557" t="str"/>
          <cell r="W557" t="str"/>
          <cell r="X557" t="str"/>
          <cell r="Y557" t="str"/>
        </row>
        <row r="557">
          <cell r="AA557" t="str"/>
          <cell r="AB557" t="str"/>
          <cell r="AC557" t="str"/>
          <cell r="AD557" t="str"/>
          <cell r="AE557" t="str"/>
          <cell r="AF557" t="str"/>
        </row>
        <row r="558">
          <cell r="B558">
            <v>46289</v>
          </cell>
          <cell r="C558" t="str">
            <v>王浩</v>
          </cell>
          <cell r="D558" t="str">
            <v>原料出库－公司购买</v>
          </cell>
          <cell r="E558" t="str">
            <v>NO:0001233</v>
          </cell>
          <cell r="F558" t="str">
            <v>香梨</v>
          </cell>
          <cell r="G558" t="str">
            <v>香梨一级</v>
          </cell>
          <cell r="H558">
            <v>3</v>
          </cell>
          <cell r="I558" t="str">
            <v>筐</v>
          </cell>
          <cell r="J558" t="str"/>
          <cell r="K558" t="str"/>
          <cell r="L558" t="str"/>
          <cell r="M558" t="str"/>
          <cell r="N558" t="str"/>
          <cell r="O558" t="str"/>
          <cell r="P558" t="str"/>
          <cell r="Q558" t="str"/>
          <cell r="R558" t="str"/>
          <cell r="S558" t="str"/>
          <cell r="T558" t="str"/>
          <cell r="U558" t="str"/>
          <cell r="V558" t="str"/>
          <cell r="W558" t="str"/>
          <cell r="X558" t="str"/>
          <cell r="Y558" t="str"/>
        </row>
        <row r="558">
          <cell r="AA558" t="str"/>
          <cell r="AB558" t="str"/>
          <cell r="AC558" t="str"/>
          <cell r="AD558" t="str"/>
          <cell r="AE558" t="str"/>
          <cell r="AF558" t="str"/>
        </row>
        <row r="559">
          <cell r="B559">
            <v>46290</v>
          </cell>
          <cell r="C559" t="str">
            <v>王浩</v>
          </cell>
          <cell r="D559" t="str">
            <v>原料出库－公司购买</v>
          </cell>
          <cell r="E559" t="str">
            <v>NO:0001237</v>
          </cell>
          <cell r="F559" t="str">
            <v>香梨</v>
          </cell>
          <cell r="G559" t="str">
            <v>香梨一级</v>
          </cell>
          <cell r="H559">
            <v>1</v>
          </cell>
          <cell r="I559" t="str">
            <v>筐</v>
          </cell>
          <cell r="J559" t="str"/>
          <cell r="K559" t="str"/>
          <cell r="L559" t="str"/>
          <cell r="M559" t="str"/>
          <cell r="N559" t="str"/>
          <cell r="O559" t="str"/>
          <cell r="P559" t="str"/>
          <cell r="Q559" t="str"/>
          <cell r="R559" t="str"/>
          <cell r="S559" t="str"/>
          <cell r="T559" t="str"/>
          <cell r="U559" t="str"/>
          <cell r="V559" t="str"/>
          <cell r="W559" t="str"/>
          <cell r="X559" t="str"/>
          <cell r="Y559" t="str"/>
        </row>
        <row r="559">
          <cell r="AA559" t="str"/>
          <cell r="AB559" t="str"/>
          <cell r="AC559" t="str"/>
          <cell r="AD559" t="str"/>
          <cell r="AE559" t="str"/>
          <cell r="AF559" t="str"/>
        </row>
        <row r="560">
          <cell r="B560">
            <v>46291</v>
          </cell>
          <cell r="C560" t="str">
            <v>王灵云</v>
          </cell>
          <cell r="D560" t="str">
            <v>原料出库－出库加工</v>
          </cell>
          <cell r="E560" t="str">
            <v>NO:0001240</v>
          </cell>
          <cell r="F560" t="str">
            <v>香梨</v>
          </cell>
          <cell r="G560" t="str">
            <v>香梨二级</v>
          </cell>
          <cell r="H560">
            <v>288</v>
          </cell>
          <cell r="I560" t="str">
            <v>筐</v>
          </cell>
          <cell r="J560" t="str"/>
          <cell r="K560" t="str"/>
          <cell r="L560" t="str"/>
          <cell r="M560" t="str"/>
          <cell r="N560" t="str"/>
          <cell r="O560" t="str"/>
          <cell r="P560" t="str"/>
          <cell r="Q560" t="str"/>
          <cell r="R560" t="str"/>
          <cell r="S560" t="str"/>
          <cell r="T560" t="str"/>
          <cell r="U560" t="str"/>
          <cell r="V560" t="str"/>
          <cell r="W560" t="str"/>
          <cell r="X560" t="str"/>
          <cell r="Y560" t="str"/>
        </row>
        <row r="560">
          <cell r="AA560" t="str"/>
          <cell r="AB560" t="str"/>
          <cell r="AC560" t="str"/>
          <cell r="AD560" t="str"/>
          <cell r="AE560" t="str"/>
          <cell r="AF560" t="str"/>
        </row>
        <row r="561">
          <cell r="B561">
            <v>46291</v>
          </cell>
          <cell r="C561" t="str">
            <v>王照雪</v>
          </cell>
          <cell r="D561" t="str">
            <v>原料出库－出库加工</v>
          </cell>
          <cell r="E561" t="str">
            <v>NO:0001241</v>
          </cell>
          <cell r="F561" t="str">
            <v>苹果</v>
          </cell>
          <cell r="G561" t="str">
            <v>新世纪二级</v>
          </cell>
          <cell r="H561">
            <v>158</v>
          </cell>
          <cell r="I561" t="str">
            <v>筐</v>
          </cell>
          <cell r="J561" t="str"/>
          <cell r="K561" t="str"/>
          <cell r="L561" t="str"/>
          <cell r="M561" t="str"/>
          <cell r="N561" t="str"/>
          <cell r="O561" t="str"/>
          <cell r="P561" t="str"/>
          <cell r="Q561" t="str"/>
          <cell r="R561" t="str"/>
          <cell r="S561" t="str"/>
          <cell r="T561" t="str"/>
          <cell r="U561" t="str"/>
          <cell r="V561" t="str"/>
          <cell r="W561" t="str"/>
          <cell r="X561" t="str"/>
          <cell r="Y561" t="str"/>
        </row>
        <row r="561">
          <cell r="AA561" t="str"/>
          <cell r="AB561" t="str"/>
          <cell r="AC561" t="str"/>
          <cell r="AD561" t="str"/>
          <cell r="AE561" t="str"/>
          <cell r="AF561" t="str"/>
        </row>
        <row r="562">
          <cell r="B562">
            <v>46292</v>
          </cell>
          <cell r="C562" t="str">
            <v>王灵云</v>
          </cell>
          <cell r="D562" t="str">
            <v>原料出库－出库加工</v>
          </cell>
          <cell r="E562" t="str">
            <v>NO:0001244</v>
          </cell>
          <cell r="F562" t="str">
            <v>香梨</v>
          </cell>
          <cell r="G562" t="str">
            <v>香梨一级</v>
          </cell>
          <cell r="H562">
            <v>669</v>
          </cell>
          <cell r="I562" t="str">
            <v>筐</v>
          </cell>
          <cell r="J562" t="str"/>
          <cell r="K562" t="str"/>
          <cell r="L562" t="str"/>
          <cell r="M562" t="str"/>
          <cell r="N562" t="str"/>
          <cell r="O562" t="str"/>
          <cell r="P562" t="str"/>
          <cell r="Q562" t="str"/>
          <cell r="R562" t="str"/>
          <cell r="S562" t="str"/>
          <cell r="T562" t="str"/>
          <cell r="U562" t="str"/>
          <cell r="V562" t="str"/>
          <cell r="W562" t="str"/>
          <cell r="X562" t="str"/>
          <cell r="Y562" t="str"/>
        </row>
        <row r="562">
          <cell r="AA562" t="str"/>
          <cell r="AB562" t="str"/>
          <cell r="AC562" t="str"/>
          <cell r="AD562" t="str"/>
          <cell r="AE562" t="str"/>
          <cell r="AF562" t="str"/>
        </row>
        <row r="563">
          <cell r="B563">
            <v>46293</v>
          </cell>
          <cell r="C563" t="str">
            <v>王灵云</v>
          </cell>
          <cell r="D563" t="str">
            <v>原料出库－出库加工</v>
          </cell>
          <cell r="E563" t="str">
            <v>NO:0001249</v>
          </cell>
          <cell r="F563" t="str">
            <v>香梨</v>
          </cell>
          <cell r="G563" t="str">
            <v>香梨一级</v>
          </cell>
          <cell r="H563">
            <v>709</v>
          </cell>
          <cell r="I563" t="str">
            <v>筐</v>
          </cell>
          <cell r="J563" t="str"/>
          <cell r="K563" t="str"/>
          <cell r="L563" t="str"/>
          <cell r="M563" t="str"/>
          <cell r="N563" t="str"/>
          <cell r="O563" t="str"/>
          <cell r="P563" t="str"/>
          <cell r="Q563" t="str"/>
          <cell r="R563" t="str"/>
          <cell r="S563" t="str"/>
          <cell r="T563" t="str"/>
          <cell r="U563" t="str"/>
          <cell r="V563" t="str"/>
          <cell r="W563" t="str"/>
          <cell r="X563" t="str"/>
          <cell r="Y563" t="str"/>
        </row>
        <row r="563">
          <cell r="AA563" t="str"/>
          <cell r="AB563" t="str"/>
          <cell r="AC563" t="str"/>
          <cell r="AD563" t="str"/>
          <cell r="AE563" t="str"/>
          <cell r="AF563" t="str"/>
        </row>
        <row r="564">
          <cell r="B564">
            <v>46259</v>
          </cell>
          <cell r="C564" t="str">
            <v>王照雪</v>
          </cell>
          <cell r="D564" t="str">
            <v>成品出库－成品出库</v>
          </cell>
          <cell r="E564" t="str">
            <v>NO:0001035</v>
          </cell>
          <cell r="F564" t="str">
            <v>苹果</v>
          </cell>
          <cell r="G564" t="str">
            <v>华硕一级</v>
          </cell>
          <cell r="H564">
            <v>74</v>
          </cell>
          <cell r="I564" t="str">
            <v>箱</v>
          </cell>
          <cell r="J564">
            <v>370</v>
          </cell>
          <cell r="K564" t="str"/>
          <cell r="L564" t="str"/>
          <cell r="M564" t="str"/>
          <cell r="N564" t="str">
            <v>纸箱</v>
          </cell>
          <cell r="O564" t="str"/>
          <cell r="P564" t="str"/>
          <cell r="Q564" t="str"/>
          <cell r="R564" t="str">
            <v>新N*622UR</v>
          </cell>
          <cell r="S564" t="str">
            <v>公司筐</v>
          </cell>
          <cell r="T564" t="str">
            <v>王照雪</v>
          </cell>
          <cell r="U564" t="str"/>
          <cell r="V564" t="str"/>
          <cell r="W564" t="str"/>
          <cell r="X564" t="str">
            <v>电商/主播</v>
          </cell>
          <cell r="Y564" t="str"/>
        </row>
        <row r="564">
          <cell r="AA564" t="str"/>
          <cell r="AB564" t="str"/>
          <cell r="AC564" t="str"/>
          <cell r="AD564" t="str">
            <v>成品出库</v>
          </cell>
          <cell r="AE564" t="str"/>
          <cell r="AF564" t="str"/>
        </row>
        <row r="565">
          <cell r="B565">
            <v>46259</v>
          </cell>
          <cell r="C565" t="str">
            <v>王照雪</v>
          </cell>
          <cell r="D565" t="str">
            <v>成品出库－成品出库</v>
          </cell>
          <cell r="E565" t="str">
            <v>NO:0001035</v>
          </cell>
          <cell r="F565" t="str">
            <v>苹果</v>
          </cell>
          <cell r="G565" t="str">
            <v>华硕一级</v>
          </cell>
          <cell r="H565">
            <v>13</v>
          </cell>
          <cell r="I565" t="str">
            <v>箱</v>
          </cell>
          <cell r="J565">
            <v>32.5</v>
          </cell>
          <cell r="K565" t="str"/>
          <cell r="L565" t="str"/>
          <cell r="M565" t="str"/>
          <cell r="N565" t="str">
            <v>纸箱</v>
          </cell>
          <cell r="O565" t="str"/>
          <cell r="P565" t="str"/>
          <cell r="Q565" t="str"/>
          <cell r="R565" t="str">
            <v>新N*622UR</v>
          </cell>
          <cell r="S565" t="str">
            <v>公司筐</v>
          </cell>
          <cell r="T565" t="str">
            <v>王照雪</v>
          </cell>
          <cell r="U565" t="str"/>
          <cell r="V565" t="str"/>
          <cell r="W565" t="str"/>
          <cell r="X565" t="str">
            <v>电商/主播</v>
          </cell>
          <cell r="Y565" t="str"/>
        </row>
        <row r="565">
          <cell r="AA565" t="str"/>
          <cell r="AB565" t="str"/>
          <cell r="AC565" t="str"/>
          <cell r="AD565" t="str">
            <v>成品出库</v>
          </cell>
          <cell r="AE565" t="str"/>
          <cell r="AF565" t="str"/>
        </row>
        <row r="566">
          <cell r="B566">
            <v>46261</v>
          </cell>
          <cell r="C566" t="str">
            <v>王照雪</v>
          </cell>
          <cell r="D566" t="str">
            <v>成品出库－成品出库</v>
          </cell>
          <cell r="E566" t="str">
            <v>NO:0001040</v>
          </cell>
          <cell r="F566" t="str">
            <v>苹果</v>
          </cell>
          <cell r="G566" t="str">
            <v>华硕一级</v>
          </cell>
          <cell r="H566">
            <v>63</v>
          </cell>
          <cell r="I566" t="str">
            <v>箱</v>
          </cell>
          <cell r="J566">
            <v>321.3</v>
          </cell>
          <cell r="K566" t="str"/>
          <cell r="L566" t="str"/>
          <cell r="M566" t="str"/>
          <cell r="N566" t="str">
            <v>纸箱</v>
          </cell>
          <cell r="O566" t="str"/>
          <cell r="P566" t="str"/>
          <cell r="Q566" t="str"/>
          <cell r="R566" t="str">
            <v>豫N*P269J</v>
          </cell>
          <cell r="S566" t="str">
            <v>公司筐</v>
          </cell>
          <cell r="T566" t="str">
            <v>王照雪</v>
          </cell>
          <cell r="U566" t="str"/>
          <cell r="V566" t="str"/>
          <cell r="W566" t="str"/>
          <cell r="X566" t="str">
            <v>电商/主播</v>
          </cell>
          <cell r="Y566" t="str"/>
        </row>
        <row r="566">
          <cell r="AA566" t="str"/>
          <cell r="AB566" t="str"/>
          <cell r="AC566" t="str"/>
          <cell r="AD566" t="str">
            <v>成品出库</v>
          </cell>
          <cell r="AE566" t="str"/>
          <cell r="AF566" t="str"/>
        </row>
        <row r="567">
          <cell r="B567">
            <v>46261</v>
          </cell>
          <cell r="C567" t="str">
            <v>王照雪</v>
          </cell>
          <cell r="D567" t="str">
            <v>成品出库－成品出库</v>
          </cell>
          <cell r="E567" t="str">
            <v>NO:0001040</v>
          </cell>
          <cell r="F567" t="str">
            <v>苹果</v>
          </cell>
          <cell r="G567" t="str">
            <v>华硕一级</v>
          </cell>
          <cell r="H567">
            <v>26</v>
          </cell>
          <cell r="I567" t="str">
            <v>箱</v>
          </cell>
          <cell r="J567">
            <v>67.6</v>
          </cell>
          <cell r="K567" t="str"/>
          <cell r="L567" t="str"/>
          <cell r="M567" t="str"/>
          <cell r="N567" t="str">
            <v>纸箱</v>
          </cell>
          <cell r="O567" t="str"/>
          <cell r="P567" t="str"/>
          <cell r="Q567" t="str"/>
          <cell r="R567" t="str">
            <v>豫N*P269J</v>
          </cell>
          <cell r="S567" t="str">
            <v>公司筐</v>
          </cell>
          <cell r="T567" t="str">
            <v>王照雪</v>
          </cell>
          <cell r="U567" t="str"/>
          <cell r="V567" t="str"/>
          <cell r="W567" t="str"/>
          <cell r="X567" t="str">
            <v>电商/主播</v>
          </cell>
          <cell r="Y567" t="str"/>
        </row>
        <row r="567">
          <cell r="AA567" t="str"/>
          <cell r="AB567" t="str"/>
          <cell r="AC567" t="str"/>
          <cell r="AD567" t="str">
            <v>成品出库</v>
          </cell>
          <cell r="AE567" t="str"/>
          <cell r="AF567" t="str"/>
        </row>
        <row r="568">
          <cell r="B568">
            <v>46262</v>
          </cell>
          <cell r="C568" t="str">
            <v>王照雪</v>
          </cell>
          <cell r="D568" t="str">
            <v>成品出库－成品出库</v>
          </cell>
          <cell r="E568" t="str">
            <v>NO:0001043</v>
          </cell>
          <cell r="F568" t="str">
            <v>苹果</v>
          </cell>
          <cell r="G568" t="str">
            <v>华硕一级</v>
          </cell>
          <cell r="H568">
            <v>29</v>
          </cell>
          <cell r="I568" t="str">
            <v>箱</v>
          </cell>
          <cell r="J568">
            <v>147.9</v>
          </cell>
          <cell r="K568" t="str"/>
          <cell r="L568" t="str"/>
          <cell r="M568" t="str"/>
          <cell r="N568" t="str">
            <v>纸箱</v>
          </cell>
          <cell r="O568" t="str"/>
          <cell r="P568" t="str"/>
          <cell r="Q568" t="str"/>
          <cell r="R568" t="str">
            <v>豫N*P269J</v>
          </cell>
          <cell r="S568" t="str">
            <v>公司筐</v>
          </cell>
          <cell r="T568" t="str">
            <v>王照雪</v>
          </cell>
          <cell r="U568" t="str"/>
          <cell r="V568" t="str"/>
          <cell r="W568" t="str"/>
          <cell r="X568" t="str">
            <v>电商/主播</v>
          </cell>
          <cell r="Y568" t="str"/>
        </row>
        <row r="568">
          <cell r="AA568" t="str"/>
          <cell r="AB568" t="str"/>
          <cell r="AC568" t="str"/>
          <cell r="AD568" t="str">
            <v>成品出库</v>
          </cell>
          <cell r="AE568" t="str"/>
          <cell r="AF568" t="str"/>
        </row>
        <row r="569">
          <cell r="B569">
            <v>46262</v>
          </cell>
          <cell r="C569" t="str">
            <v>王照雪</v>
          </cell>
          <cell r="D569" t="str">
            <v>成品出库－成品出库</v>
          </cell>
          <cell r="E569" t="str">
            <v>NO:0001043</v>
          </cell>
          <cell r="F569" t="str">
            <v>苹果</v>
          </cell>
          <cell r="G569" t="str">
            <v>华硕一级</v>
          </cell>
          <cell r="H569">
            <v>12</v>
          </cell>
          <cell r="I569" t="str">
            <v>箱</v>
          </cell>
          <cell r="J569">
            <v>31.2</v>
          </cell>
          <cell r="K569" t="str"/>
          <cell r="L569" t="str"/>
          <cell r="M569" t="str"/>
          <cell r="N569" t="str">
            <v>纸箱</v>
          </cell>
          <cell r="O569" t="str"/>
          <cell r="P569" t="str"/>
          <cell r="Q569" t="str"/>
          <cell r="R569" t="str">
            <v>豫N*P269J</v>
          </cell>
          <cell r="S569" t="str">
            <v>公司筐</v>
          </cell>
          <cell r="T569" t="str">
            <v>王照雪</v>
          </cell>
          <cell r="U569" t="str"/>
          <cell r="V569" t="str"/>
          <cell r="W569" t="str"/>
          <cell r="X569" t="str">
            <v>电商/主播</v>
          </cell>
          <cell r="Y569" t="str"/>
        </row>
        <row r="569">
          <cell r="AA569" t="str"/>
          <cell r="AB569" t="str"/>
          <cell r="AC569" t="str"/>
          <cell r="AD569" t="str">
            <v>成品出库</v>
          </cell>
          <cell r="AE569" t="str"/>
          <cell r="AF569" t="str"/>
        </row>
        <row r="570">
          <cell r="B570">
            <v>46263</v>
          </cell>
          <cell r="C570" t="str">
            <v>王照雪</v>
          </cell>
          <cell r="D570" t="str">
            <v>成品出库－成品出库</v>
          </cell>
          <cell r="E570" t="str">
            <v>NO:0001048</v>
          </cell>
          <cell r="F570" t="str">
            <v>苹果</v>
          </cell>
          <cell r="G570" t="str">
            <v>华硕一级</v>
          </cell>
          <cell r="H570">
            <v>68</v>
          </cell>
          <cell r="I570" t="str">
            <v>箱</v>
          </cell>
          <cell r="J570">
            <v>346.8</v>
          </cell>
          <cell r="K570" t="str"/>
          <cell r="L570" t="str"/>
          <cell r="M570" t="str"/>
          <cell r="N570" t="str">
            <v>纸箱</v>
          </cell>
          <cell r="O570" t="str"/>
          <cell r="P570" t="str"/>
          <cell r="Q570" t="str"/>
          <cell r="R570" t="str">
            <v>豫N*P269J</v>
          </cell>
          <cell r="S570" t="str">
            <v>公司筐</v>
          </cell>
          <cell r="T570" t="str">
            <v>王照雪</v>
          </cell>
          <cell r="U570" t="str"/>
          <cell r="V570" t="str"/>
          <cell r="W570" t="str"/>
          <cell r="X570" t="str">
            <v>电商/主播</v>
          </cell>
          <cell r="Y570" t="str"/>
        </row>
        <row r="570">
          <cell r="AA570" t="str"/>
          <cell r="AB570" t="str"/>
          <cell r="AC570" t="str"/>
          <cell r="AD570" t="str">
            <v>成品出库</v>
          </cell>
          <cell r="AE570" t="str"/>
          <cell r="AF570" t="str"/>
        </row>
        <row r="571">
          <cell r="B571">
            <v>46263</v>
          </cell>
          <cell r="C571" t="str">
            <v>王照雪</v>
          </cell>
          <cell r="D571" t="str">
            <v>成品出库－成品出库</v>
          </cell>
          <cell r="E571" t="str">
            <v>NO:0001048</v>
          </cell>
          <cell r="F571" t="str">
            <v>苹果</v>
          </cell>
          <cell r="G571" t="str">
            <v>华硕一级</v>
          </cell>
          <cell r="H571">
            <v>22</v>
          </cell>
          <cell r="I571" t="str">
            <v>箱</v>
          </cell>
          <cell r="J571">
            <v>57.2</v>
          </cell>
          <cell r="K571" t="str"/>
          <cell r="L571" t="str"/>
          <cell r="M571" t="str"/>
          <cell r="N571" t="str">
            <v>纸箱</v>
          </cell>
          <cell r="O571" t="str"/>
          <cell r="P571" t="str"/>
          <cell r="Q571" t="str"/>
          <cell r="R571" t="str">
            <v>豫N*P269J</v>
          </cell>
          <cell r="S571" t="str">
            <v>公司筐</v>
          </cell>
          <cell r="T571" t="str">
            <v>王照雪</v>
          </cell>
          <cell r="U571" t="str"/>
          <cell r="V571" t="str"/>
          <cell r="W571" t="str"/>
          <cell r="X571" t="str">
            <v>电商/主播</v>
          </cell>
          <cell r="Y571" t="str"/>
        </row>
        <row r="571">
          <cell r="AA571" t="str"/>
          <cell r="AB571" t="str"/>
          <cell r="AC571" t="str"/>
          <cell r="AD571" t="str">
            <v>成品出库</v>
          </cell>
          <cell r="AE571" t="str"/>
          <cell r="AF571" t="str"/>
        </row>
        <row r="572">
          <cell r="B572">
            <v>46264</v>
          </cell>
          <cell r="C572" t="str">
            <v>王照雪</v>
          </cell>
          <cell r="D572" t="str">
            <v>成品出库－成品出库</v>
          </cell>
          <cell r="E572" t="str">
            <v>NO:0001052</v>
          </cell>
          <cell r="F572" t="str">
            <v>苹果</v>
          </cell>
          <cell r="G572" t="str">
            <v>华硕一级</v>
          </cell>
          <cell r="H572">
            <v>484</v>
          </cell>
          <cell r="I572" t="str">
            <v>箱</v>
          </cell>
          <cell r="J572">
            <v>2468.4</v>
          </cell>
          <cell r="K572" t="str"/>
          <cell r="L572" t="str"/>
          <cell r="M572" t="str"/>
          <cell r="N572" t="str">
            <v>纸箱</v>
          </cell>
          <cell r="O572" t="str"/>
          <cell r="P572" t="str"/>
          <cell r="Q572" t="str"/>
          <cell r="R572" t="str">
            <v>豫N*P269J</v>
          </cell>
          <cell r="S572" t="str">
            <v>公司筐</v>
          </cell>
          <cell r="T572" t="str">
            <v>王照雪</v>
          </cell>
          <cell r="U572" t="str"/>
          <cell r="V572" t="str"/>
          <cell r="W572" t="str"/>
          <cell r="X572" t="str">
            <v>电商/主播</v>
          </cell>
          <cell r="Y572" t="str"/>
        </row>
        <row r="572">
          <cell r="AA572" t="str"/>
          <cell r="AB572" t="str"/>
          <cell r="AC572" t="str"/>
          <cell r="AD572" t="str">
            <v>成品出库</v>
          </cell>
          <cell r="AE572" t="str"/>
          <cell r="AF572" t="str"/>
        </row>
        <row r="573">
          <cell r="B573">
            <v>46264</v>
          </cell>
          <cell r="C573" t="str">
            <v>王照雪</v>
          </cell>
          <cell r="D573" t="str">
            <v>成品出库－成品出库</v>
          </cell>
          <cell r="E573" t="str">
            <v>NO:0001053</v>
          </cell>
          <cell r="F573" t="str">
            <v>苹果</v>
          </cell>
          <cell r="G573" t="str">
            <v>华硕一级</v>
          </cell>
          <cell r="H573">
            <v>320</v>
          </cell>
          <cell r="I573" t="str">
            <v>箱</v>
          </cell>
          <cell r="J573">
            <v>1632</v>
          </cell>
          <cell r="K573" t="str"/>
          <cell r="L573" t="str"/>
          <cell r="M573" t="str"/>
          <cell r="N573" t="str">
            <v>纸箱</v>
          </cell>
          <cell r="O573" t="str"/>
          <cell r="P573" t="str"/>
          <cell r="Q573" t="str"/>
          <cell r="R573" t="str">
            <v>豫N*P269J</v>
          </cell>
          <cell r="S573" t="str">
            <v>公司筐</v>
          </cell>
          <cell r="T573" t="str">
            <v>王照雪</v>
          </cell>
          <cell r="U573" t="str"/>
          <cell r="V573" t="str"/>
          <cell r="W573" t="str"/>
          <cell r="X573" t="str">
            <v>电商/主播</v>
          </cell>
          <cell r="Y573" t="str"/>
        </row>
        <row r="573">
          <cell r="AA573" t="str"/>
          <cell r="AB573" t="str"/>
          <cell r="AC573" t="str"/>
          <cell r="AD573" t="str">
            <v>成品出库</v>
          </cell>
          <cell r="AE573" t="str"/>
          <cell r="AF573" t="str"/>
        </row>
        <row r="574">
          <cell r="B574">
            <v>46265</v>
          </cell>
          <cell r="C574" t="str">
            <v>王照雪</v>
          </cell>
          <cell r="D574" t="str">
            <v>成品出库－成品出库</v>
          </cell>
          <cell r="E574" t="str">
            <v>NO:0001058</v>
          </cell>
          <cell r="F574" t="str">
            <v>苹果</v>
          </cell>
          <cell r="G574" t="str">
            <v>华硕一级</v>
          </cell>
          <cell r="H574">
            <v>307</v>
          </cell>
          <cell r="I574" t="str">
            <v>箱</v>
          </cell>
          <cell r="J574">
            <v>1565.7</v>
          </cell>
          <cell r="K574" t="str"/>
          <cell r="L574" t="str"/>
          <cell r="M574" t="str"/>
          <cell r="N574" t="str">
            <v>纸箱</v>
          </cell>
          <cell r="O574" t="str"/>
          <cell r="P574" t="str"/>
          <cell r="Q574" t="str"/>
          <cell r="R574" t="str">
            <v>豫N*P269J</v>
          </cell>
          <cell r="S574" t="str">
            <v>公司筐</v>
          </cell>
          <cell r="T574" t="str">
            <v>王照雪</v>
          </cell>
          <cell r="U574" t="str"/>
          <cell r="V574" t="str"/>
          <cell r="W574" t="str"/>
          <cell r="X574" t="str">
            <v>电商/主播</v>
          </cell>
          <cell r="Y574" t="str"/>
        </row>
        <row r="574">
          <cell r="AA574" t="str"/>
          <cell r="AB574" t="str"/>
          <cell r="AC574" t="str"/>
          <cell r="AD574" t="str">
            <v>成品出库</v>
          </cell>
          <cell r="AE574" t="str"/>
          <cell r="AF574" t="str"/>
        </row>
        <row r="575">
          <cell r="B575">
            <v>46265</v>
          </cell>
          <cell r="C575" t="str">
            <v>王照雪</v>
          </cell>
          <cell r="D575" t="str">
            <v>成品出库－成品出库</v>
          </cell>
          <cell r="E575" t="str">
            <v>NO:0001058</v>
          </cell>
          <cell r="F575" t="str">
            <v>苹果</v>
          </cell>
          <cell r="G575" t="str">
            <v>华硕一级</v>
          </cell>
          <cell r="H575">
            <v>1</v>
          </cell>
          <cell r="I575" t="str">
            <v>箱</v>
          </cell>
          <cell r="J575">
            <v>2.6</v>
          </cell>
          <cell r="K575" t="str"/>
          <cell r="L575" t="str"/>
          <cell r="M575" t="str"/>
          <cell r="N575" t="str">
            <v>纸箱</v>
          </cell>
          <cell r="O575" t="str"/>
          <cell r="P575" t="str"/>
          <cell r="Q575" t="str"/>
          <cell r="R575" t="str">
            <v>豫N*P269J</v>
          </cell>
          <cell r="S575" t="str">
            <v>公司筐</v>
          </cell>
          <cell r="T575" t="str">
            <v>王照雪</v>
          </cell>
          <cell r="U575" t="str"/>
          <cell r="V575" t="str"/>
          <cell r="W575" t="str"/>
          <cell r="X575" t="str">
            <v>电商/主播</v>
          </cell>
          <cell r="Y575" t="str"/>
        </row>
        <row r="575">
          <cell r="AA575" t="str"/>
          <cell r="AB575" t="str"/>
          <cell r="AC575" t="str"/>
          <cell r="AD575" t="str">
            <v>成品出库</v>
          </cell>
          <cell r="AE575" t="str"/>
          <cell r="AF575" t="str"/>
        </row>
        <row r="576">
          <cell r="B576">
            <v>46266</v>
          </cell>
          <cell r="C576" t="str">
            <v>王照雪</v>
          </cell>
          <cell r="D576" t="str">
            <v>成品出库－成品出库</v>
          </cell>
          <cell r="E576" t="str">
            <v>NO:0001062</v>
          </cell>
          <cell r="F576" t="str">
            <v>苹果</v>
          </cell>
          <cell r="G576" t="str">
            <v>华硕一级</v>
          </cell>
          <cell r="H576">
            <v>346</v>
          </cell>
          <cell r="I576" t="str">
            <v>箱</v>
          </cell>
          <cell r="J576">
            <v>1764.6</v>
          </cell>
          <cell r="K576" t="str"/>
          <cell r="L576" t="str"/>
          <cell r="M576" t="str"/>
          <cell r="N576" t="str">
            <v>纸箱</v>
          </cell>
          <cell r="O576" t="str"/>
          <cell r="P576" t="str"/>
          <cell r="Q576" t="str"/>
          <cell r="R576" t="str">
            <v>豫N*P269J</v>
          </cell>
          <cell r="S576" t="str">
            <v>公司筐</v>
          </cell>
          <cell r="T576" t="str">
            <v>王照雪</v>
          </cell>
          <cell r="U576" t="str"/>
          <cell r="V576" t="str"/>
          <cell r="W576" t="str"/>
          <cell r="X576" t="str">
            <v>电商/主播</v>
          </cell>
          <cell r="Y576" t="str"/>
        </row>
        <row r="576">
          <cell r="AA576" t="str"/>
          <cell r="AB576" t="str"/>
          <cell r="AC576" t="str"/>
          <cell r="AD576" t="str">
            <v>成品出库</v>
          </cell>
          <cell r="AE576" t="str"/>
          <cell r="AF576" t="str"/>
        </row>
        <row r="577">
          <cell r="B577">
            <v>46267</v>
          </cell>
          <cell r="C577" t="str">
            <v>王照雪</v>
          </cell>
          <cell r="D577" t="str">
            <v>成品出库－成品出库</v>
          </cell>
          <cell r="E577" t="str">
            <v>NO:0001063</v>
          </cell>
          <cell r="F577" t="str">
            <v>苹果</v>
          </cell>
          <cell r="G577" t="str">
            <v>苹果扎伤</v>
          </cell>
          <cell r="H577">
            <v>1</v>
          </cell>
          <cell r="I577" t="str">
            <v>筐</v>
          </cell>
          <cell r="J577">
            <v>17.3</v>
          </cell>
          <cell r="K577" t="str"/>
          <cell r="L577" t="str"/>
          <cell r="M577" t="str"/>
          <cell r="N577" t="str">
            <v>公司杂周转筐</v>
          </cell>
          <cell r="O577">
            <v>1</v>
          </cell>
          <cell r="P577" t="str"/>
          <cell r="Q577" t="str"/>
          <cell r="R577" t="str">
            <v>自提</v>
          </cell>
          <cell r="S577" t="str">
            <v>公司筐</v>
          </cell>
          <cell r="T577" t="str">
            <v>王照雪</v>
          </cell>
          <cell r="U577" t="str"/>
          <cell r="V577" t="str"/>
          <cell r="W577" t="str"/>
          <cell r="X577" t="str">
            <v>王照雪</v>
          </cell>
          <cell r="Y577" t="str"/>
        </row>
        <row r="577">
          <cell r="AA577" t="str"/>
          <cell r="AB577" t="str"/>
          <cell r="AC577" t="str"/>
          <cell r="AD577" t="str">
            <v>成品出库</v>
          </cell>
          <cell r="AE577" t="str"/>
          <cell r="AF577" t="str"/>
        </row>
        <row r="578">
          <cell r="B578">
            <v>46267</v>
          </cell>
          <cell r="C578" t="str">
            <v>王照雪</v>
          </cell>
          <cell r="D578" t="str">
            <v>成品出库－成品出库</v>
          </cell>
          <cell r="E578" t="str">
            <v>NO:0001065</v>
          </cell>
          <cell r="F578" t="str">
            <v>苹果</v>
          </cell>
          <cell r="G578" t="str">
            <v>华硕一级</v>
          </cell>
          <cell r="H578">
            <v>242</v>
          </cell>
          <cell r="I578" t="str">
            <v>箱</v>
          </cell>
          <cell r="J578">
            <v>1234.2</v>
          </cell>
          <cell r="K578" t="str"/>
          <cell r="L578" t="str"/>
          <cell r="M578" t="str"/>
          <cell r="N578" t="str">
            <v>纸箱</v>
          </cell>
          <cell r="O578" t="str"/>
          <cell r="P578" t="str"/>
          <cell r="Q578" t="str"/>
          <cell r="R578" t="str">
            <v>豫N*P269J</v>
          </cell>
          <cell r="S578" t="str">
            <v>公司筐</v>
          </cell>
          <cell r="T578" t="str">
            <v>王照雪</v>
          </cell>
          <cell r="U578" t="str"/>
          <cell r="V578" t="str"/>
          <cell r="W578" t="str"/>
          <cell r="X578" t="str">
            <v>电商/主播</v>
          </cell>
          <cell r="Y578" t="str"/>
        </row>
        <row r="578">
          <cell r="AA578" t="str"/>
          <cell r="AB578" t="str"/>
          <cell r="AC578" t="str"/>
          <cell r="AD578" t="str">
            <v>成品出库</v>
          </cell>
          <cell r="AE578" t="str"/>
          <cell r="AF578" t="str"/>
        </row>
        <row r="579">
          <cell r="B579">
            <v>46267</v>
          </cell>
          <cell r="C579" t="str">
            <v>王照雪</v>
          </cell>
          <cell r="D579" t="str">
            <v>成品出库－成品出库</v>
          </cell>
          <cell r="E579" t="str">
            <v>NO:0001065</v>
          </cell>
          <cell r="F579" t="str">
            <v>苹果</v>
          </cell>
          <cell r="G579" t="str">
            <v>华硕一级</v>
          </cell>
          <cell r="H579">
            <v>28</v>
          </cell>
          <cell r="I579" t="str">
            <v>箱</v>
          </cell>
          <cell r="J579">
            <v>72.8</v>
          </cell>
          <cell r="K579" t="str"/>
          <cell r="L579" t="str"/>
          <cell r="M579" t="str"/>
          <cell r="N579" t="str">
            <v>纸箱</v>
          </cell>
          <cell r="O579" t="str"/>
          <cell r="P579" t="str"/>
          <cell r="Q579" t="str"/>
          <cell r="R579" t="str">
            <v>豫N*P269J</v>
          </cell>
          <cell r="S579" t="str">
            <v>公司筐</v>
          </cell>
          <cell r="T579" t="str">
            <v>王照雪</v>
          </cell>
          <cell r="U579" t="str"/>
          <cell r="V579" t="str"/>
          <cell r="W579" t="str"/>
          <cell r="X579" t="str">
            <v>电商/主播</v>
          </cell>
          <cell r="Y579" t="str"/>
        </row>
        <row r="579">
          <cell r="AA579" t="str"/>
          <cell r="AB579" t="str"/>
          <cell r="AC579" t="str"/>
          <cell r="AD579" t="str">
            <v>成品出库</v>
          </cell>
          <cell r="AE579" t="str"/>
          <cell r="AF579" t="str"/>
        </row>
        <row r="580">
          <cell r="B580">
            <v>46269</v>
          </cell>
          <cell r="C580" t="str">
            <v>聂新平</v>
          </cell>
          <cell r="D580" t="str">
            <v>成品出库－成品出库</v>
          </cell>
          <cell r="E580" t="str">
            <v>NO:0001081</v>
          </cell>
          <cell r="F580" t="str">
            <v>苹果</v>
          </cell>
          <cell r="G580" t="str">
            <v>苹果扎伤</v>
          </cell>
          <cell r="H580">
            <v>113</v>
          </cell>
          <cell r="I580" t="str">
            <v>筐</v>
          </cell>
          <cell r="J580">
            <v>2440.8</v>
          </cell>
          <cell r="K580" t="str"/>
          <cell r="L580" t="str"/>
          <cell r="M580" t="str"/>
          <cell r="N580" t="str">
            <v>公司一次性筐</v>
          </cell>
          <cell r="O580">
            <v>113</v>
          </cell>
          <cell r="P580" t="str"/>
          <cell r="Q580" t="str"/>
          <cell r="R580" t="str">
            <v>新Q*61781</v>
          </cell>
          <cell r="S580" t="str">
            <v>公司筐</v>
          </cell>
          <cell r="T580" t="str">
            <v>聂新平</v>
          </cell>
          <cell r="U580" t="str"/>
          <cell r="V580" t="str"/>
          <cell r="W580" t="str"/>
          <cell r="X580" t="str">
            <v>伍元虎</v>
          </cell>
          <cell r="Y580" t="str"/>
        </row>
        <row r="580">
          <cell r="AA580" t="str"/>
          <cell r="AB580" t="str"/>
          <cell r="AC580" t="str"/>
          <cell r="AD580" t="str">
            <v>成品出库</v>
          </cell>
          <cell r="AE580" t="str"/>
          <cell r="AF580" t="str"/>
        </row>
        <row r="581">
          <cell r="B581">
            <v>46269</v>
          </cell>
          <cell r="C581" t="str">
            <v>王照雪</v>
          </cell>
          <cell r="D581" t="str">
            <v>成品出库－成品出库</v>
          </cell>
          <cell r="E581" t="str">
            <v>NO:0001082</v>
          </cell>
          <cell r="F581" t="str">
            <v>苹果</v>
          </cell>
          <cell r="G581" t="str">
            <v>苹果扎伤</v>
          </cell>
          <cell r="H581">
            <v>81</v>
          </cell>
          <cell r="I581" t="str">
            <v>箱</v>
          </cell>
          <cell r="J581">
            <v>599.4</v>
          </cell>
          <cell r="K581" t="str"/>
          <cell r="L581" t="str"/>
          <cell r="M581" t="str"/>
          <cell r="N581" t="str">
            <v>纸箱</v>
          </cell>
          <cell r="O581" t="str"/>
          <cell r="P581" t="str"/>
          <cell r="Q581" t="str"/>
          <cell r="R581" t="str">
            <v>新Q*61781</v>
          </cell>
          <cell r="S581" t="str">
            <v>公司筐</v>
          </cell>
          <cell r="T581" t="str">
            <v>王照雪</v>
          </cell>
          <cell r="U581" t="str"/>
          <cell r="V581" t="str"/>
          <cell r="W581" t="str"/>
          <cell r="X581" t="str">
            <v>王照雪</v>
          </cell>
          <cell r="Y581" t="str"/>
        </row>
        <row r="581">
          <cell r="AA581" t="str"/>
          <cell r="AB581" t="str"/>
          <cell r="AC581" t="str"/>
          <cell r="AD581" t="str">
            <v>成品出库</v>
          </cell>
          <cell r="AE581" t="str"/>
          <cell r="AF581" t="str"/>
        </row>
        <row r="582">
          <cell r="B582">
            <v>46269</v>
          </cell>
          <cell r="C582" t="str">
            <v>王照雪</v>
          </cell>
          <cell r="D582" t="str">
            <v>成品出库－成品出库</v>
          </cell>
          <cell r="E582" t="str">
            <v>NO:0001083</v>
          </cell>
          <cell r="F582" t="str">
            <v>苹果</v>
          </cell>
          <cell r="G582" t="str">
            <v>华硕一级</v>
          </cell>
          <cell r="H582">
            <v>9</v>
          </cell>
          <cell r="I582" t="str">
            <v>箱</v>
          </cell>
          <cell r="J582">
            <v>45.9</v>
          </cell>
          <cell r="K582" t="str"/>
          <cell r="L582" t="str"/>
          <cell r="M582" t="str"/>
          <cell r="N582" t="str">
            <v>纸箱</v>
          </cell>
          <cell r="O582" t="str"/>
          <cell r="P582" t="str"/>
          <cell r="Q582" t="str"/>
          <cell r="R582" t="str">
            <v>豫N*P269J</v>
          </cell>
          <cell r="S582" t="str">
            <v>公司筐</v>
          </cell>
          <cell r="T582" t="str">
            <v>王照雪</v>
          </cell>
          <cell r="U582" t="str"/>
          <cell r="V582" t="str"/>
          <cell r="W582" t="str"/>
          <cell r="X582" t="str">
            <v>电商/主播</v>
          </cell>
          <cell r="Y582" t="str"/>
        </row>
        <row r="582">
          <cell r="AA582" t="str"/>
          <cell r="AB582" t="str"/>
          <cell r="AC582" t="str"/>
          <cell r="AD582" t="str">
            <v>成品出库</v>
          </cell>
          <cell r="AE582" t="str"/>
          <cell r="AF582" t="str"/>
        </row>
        <row r="583">
          <cell r="B583">
            <v>46269</v>
          </cell>
          <cell r="C583" t="str">
            <v>王照雪</v>
          </cell>
          <cell r="D583" t="str">
            <v>成品出库－成品出库</v>
          </cell>
          <cell r="E583" t="str">
            <v>NO:0001083</v>
          </cell>
          <cell r="F583" t="str">
            <v>苹果</v>
          </cell>
          <cell r="G583" t="str">
            <v>华硕一级</v>
          </cell>
          <cell r="H583">
            <v>4</v>
          </cell>
          <cell r="I583" t="str">
            <v>箱</v>
          </cell>
          <cell r="J583">
            <v>10.4</v>
          </cell>
          <cell r="K583" t="str"/>
          <cell r="L583" t="str"/>
          <cell r="M583" t="str"/>
          <cell r="N583" t="str">
            <v>纸箱</v>
          </cell>
          <cell r="O583" t="str"/>
          <cell r="P583" t="str"/>
          <cell r="Q583" t="str"/>
          <cell r="R583" t="str">
            <v>豫N*P269J</v>
          </cell>
          <cell r="S583" t="str">
            <v>公司筐</v>
          </cell>
          <cell r="T583" t="str">
            <v>王照雪</v>
          </cell>
          <cell r="U583" t="str"/>
          <cell r="V583" t="str"/>
          <cell r="W583" t="str"/>
          <cell r="X583" t="str">
            <v>电商/主播</v>
          </cell>
          <cell r="Y583" t="str"/>
        </row>
        <row r="583">
          <cell r="AA583" t="str"/>
          <cell r="AB583" t="str"/>
          <cell r="AC583" t="str"/>
          <cell r="AD583" t="str">
            <v>成品出库</v>
          </cell>
          <cell r="AE583" t="str"/>
          <cell r="AF583" t="str"/>
        </row>
        <row r="584">
          <cell r="B584">
            <v>46269</v>
          </cell>
          <cell r="C584" t="str">
            <v>王照雪</v>
          </cell>
          <cell r="D584" t="str">
            <v>成品出库－成品出库</v>
          </cell>
          <cell r="E584" t="str">
            <v>NO:0001083</v>
          </cell>
          <cell r="F584" t="str">
            <v>苹果</v>
          </cell>
          <cell r="G584" t="str">
            <v>苹果扎伤</v>
          </cell>
          <cell r="H584">
            <v>3</v>
          </cell>
          <cell r="I584" t="str">
            <v>筐</v>
          </cell>
          <cell r="J584">
            <v>51.9</v>
          </cell>
          <cell r="K584" t="str"/>
          <cell r="L584" t="str"/>
          <cell r="M584" t="str"/>
          <cell r="N584" t="str">
            <v>公司杂周转筐</v>
          </cell>
          <cell r="O584">
            <v>3</v>
          </cell>
          <cell r="P584" t="str"/>
          <cell r="Q584" t="str"/>
          <cell r="R584" t="str">
            <v>豫N*P269J</v>
          </cell>
          <cell r="S584" t="str">
            <v>公司筐</v>
          </cell>
          <cell r="T584" t="str">
            <v>王照雪</v>
          </cell>
          <cell r="U584" t="str"/>
          <cell r="V584" t="str"/>
          <cell r="W584" t="str"/>
          <cell r="X584" t="str">
            <v>王照雪</v>
          </cell>
          <cell r="Y584" t="str"/>
        </row>
        <row r="584">
          <cell r="AA584" t="str"/>
          <cell r="AB584" t="str"/>
          <cell r="AC584" t="str"/>
          <cell r="AD584" t="str">
            <v>成品出库</v>
          </cell>
          <cell r="AE584" t="str"/>
          <cell r="AF584" t="str"/>
        </row>
        <row r="585">
          <cell r="B585">
            <v>46269</v>
          </cell>
          <cell r="C585" t="str">
            <v>王照雪</v>
          </cell>
          <cell r="D585" t="str">
            <v>成品出库－成品出库</v>
          </cell>
          <cell r="E585" t="str">
            <v>NO:0001085</v>
          </cell>
          <cell r="F585" t="str">
            <v>苹果</v>
          </cell>
          <cell r="G585" t="str">
            <v>华硕一级</v>
          </cell>
          <cell r="H585">
            <v>93</v>
          </cell>
          <cell r="I585" t="str">
            <v>箱</v>
          </cell>
          <cell r="J585">
            <v>474.3</v>
          </cell>
          <cell r="K585" t="str"/>
          <cell r="L585" t="str"/>
          <cell r="M585" t="str"/>
          <cell r="N585" t="str">
            <v>纸箱</v>
          </cell>
          <cell r="O585" t="str"/>
          <cell r="P585" t="str"/>
          <cell r="Q585" t="str"/>
          <cell r="R585" t="str">
            <v>豫N*P269J</v>
          </cell>
          <cell r="S585" t="str">
            <v>公司筐</v>
          </cell>
          <cell r="T585" t="str">
            <v>王照雪</v>
          </cell>
          <cell r="U585" t="str"/>
          <cell r="V585" t="str"/>
          <cell r="W585" t="str"/>
          <cell r="X585" t="str">
            <v>电商/主播</v>
          </cell>
          <cell r="Y585" t="str"/>
        </row>
        <row r="585">
          <cell r="AA585" t="str"/>
          <cell r="AB585" t="str"/>
          <cell r="AC585" t="str"/>
          <cell r="AD585" t="str">
            <v>成品出库</v>
          </cell>
          <cell r="AE585" t="str"/>
          <cell r="AF585" t="str"/>
        </row>
        <row r="586">
          <cell r="B586">
            <v>46270</v>
          </cell>
          <cell r="C586" t="str">
            <v>王照雪</v>
          </cell>
          <cell r="D586" t="str">
            <v>成品出库－成品出库</v>
          </cell>
          <cell r="E586" t="str">
            <v>NO:0001085</v>
          </cell>
          <cell r="F586" t="str">
            <v>苹果</v>
          </cell>
          <cell r="G586" t="str">
            <v>华硕一级</v>
          </cell>
          <cell r="H586">
            <v>3</v>
          </cell>
          <cell r="I586" t="str">
            <v>箱</v>
          </cell>
          <cell r="J586">
            <v>7.8</v>
          </cell>
          <cell r="K586" t="str"/>
          <cell r="L586" t="str"/>
          <cell r="M586" t="str"/>
          <cell r="N586" t="str">
            <v>纸箱</v>
          </cell>
          <cell r="O586" t="str"/>
          <cell r="P586" t="str"/>
          <cell r="Q586" t="str"/>
          <cell r="R586" t="str">
            <v>豫N*P269J</v>
          </cell>
          <cell r="S586" t="str">
            <v>公司筐</v>
          </cell>
          <cell r="T586" t="str">
            <v>王照雪</v>
          </cell>
          <cell r="U586" t="str"/>
          <cell r="V586" t="str"/>
          <cell r="W586" t="str"/>
          <cell r="X586" t="str">
            <v>电商/主播</v>
          </cell>
          <cell r="Y586" t="str"/>
        </row>
        <row r="586">
          <cell r="AA586" t="str"/>
          <cell r="AB586" t="str"/>
          <cell r="AC586" t="str"/>
          <cell r="AD586" t="str">
            <v>成品出库</v>
          </cell>
          <cell r="AE586" t="str"/>
          <cell r="AF586" t="str"/>
        </row>
        <row r="587">
          <cell r="B587">
            <v>46271</v>
          </cell>
          <cell r="C587" t="str">
            <v>王照雪</v>
          </cell>
          <cell r="D587" t="str">
            <v>成品出库－成品出库</v>
          </cell>
          <cell r="E587" t="str">
            <v>NO:0001088</v>
          </cell>
          <cell r="F587" t="str">
            <v>苹果</v>
          </cell>
          <cell r="G587" t="str">
            <v>华硕一级</v>
          </cell>
          <cell r="H587">
            <v>105</v>
          </cell>
          <cell r="I587" t="str">
            <v>箱</v>
          </cell>
          <cell r="J587">
            <v>535.5</v>
          </cell>
          <cell r="K587" t="str"/>
          <cell r="L587" t="str"/>
          <cell r="M587" t="str"/>
          <cell r="N587" t="str">
            <v>纸箱</v>
          </cell>
          <cell r="O587" t="str"/>
          <cell r="P587" t="str"/>
          <cell r="Q587" t="str"/>
          <cell r="R587" t="str">
            <v>豫N*P269J</v>
          </cell>
          <cell r="S587" t="str">
            <v>公司筐</v>
          </cell>
          <cell r="T587" t="str">
            <v>王照雪</v>
          </cell>
          <cell r="U587" t="str"/>
          <cell r="V587" t="str"/>
          <cell r="W587" t="str"/>
          <cell r="X587" t="str">
            <v>电商/主播</v>
          </cell>
          <cell r="Y587" t="str"/>
        </row>
        <row r="587">
          <cell r="AA587" t="str"/>
          <cell r="AB587" t="str"/>
          <cell r="AC587" t="str"/>
          <cell r="AD587" t="str">
            <v>成品出库</v>
          </cell>
          <cell r="AE587" t="str"/>
          <cell r="AF587" t="str"/>
        </row>
        <row r="588">
          <cell r="B588">
            <v>46272</v>
          </cell>
          <cell r="C588" t="str">
            <v>王照雪</v>
          </cell>
          <cell r="D588" t="str">
            <v>成品出库－成品出库</v>
          </cell>
          <cell r="E588" t="str">
            <v>NO:0001093</v>
          </cell>
          <cell r="F588" t="str">
            <v>苹果</v>
          </cell>
          <cell r="G588" t="str">
            <v>华硕一级</v>
          </cell>
          <cell r="H588">
            <v>150</v>
          </cell>
          <cell r="I588" t="str">
            <v>箱</v>
          </cell>
          <cell r="J588">
            <v>765</v>
          </cell>
          <cell r="K588" t="str"/>
          <cell r="L588" t="str"/>
          <cell r="M588" t="str"/>
          <cell r="N588" t="str">
            <v>纸箱</v>
          </cell>
          <cell r="O588" t="str"/>
          <cell r="P588" t="str"/>
          <cell r="Q588" t="str"/>
          <cell r="R588" t="str">
            <v>豫N*P269J</v>
          </cell>
          <cell r="S588" t="str">
            <v>公司筐</v>
          </cell>
          <cell r="T588" t="str">
            <v>王照雪</v>
          </cell>
          <cell r="U588" t="str"/>
          <cell r="V588" t="str"/>
          <cell r="W588" t="str"/>
          <cell r="X588" t="str">
            <v>电商/主播</v>
          </cell>
          <cell r="Y588" t="str"/>
        </row>
        <row r="588">
          <cell r="AA588" t="str"/>
          <cell r="AB588" t="str"/>
          <cell r="AC588" t="str"/>
          <cell r="AD588" t="str">
            <v>成品出库</v>
          </cell>
          <cell r="AE588" t="str"/>
          <cell r="AF588" t="str"/>
        </row>
        <row r="589">
          <cell r="B589">
            <v>46273</v>
          </cell>
          <cell r="C589" t="str">
            <v>王照雪</v>
          </cell>
          <cell r="D589" t="str">
            <v>成品出库－成品出库</v>
          </cell>
          <cell r="E589" t="str">
            <v>NO:0001095</v>
          </cell>
          <cell r="F589" t="str">
            <v>苹果</v>
          </cell>
          <cell r="G589" t="str">
            <v>华硕一级</v>
          </cell>
          <cell r="H589">
            <v>296</v>
          </cell>
          <cell r="I589" t="str">
            <v>箱</v>
          </cell>
          <cell r="J589">
            <v>1509.6</v>
          </cell>
          <cell r="K589" t="str"/>
          <cell r="L589" t="str"/>
          <cell r="M589" t="str"/>
          <cell r="N589" t="str">
            <v>纸箱</v>
          </cell>
          <cell r="O589" t="str"/>
          <cell r="P589" t="str"/>
          <cell r="Q589" t="str"/>
          <cell r="R589" t="str">
            <v>豫N*P269J</v>
          </cell>
          <cell r="S589" t="str">
            <v>公司筐</v>
          </cell>
          <cell r="T589" t="str">
            <v>王照雪</v>
          </cell>
          <cell r="U589" t="str"/>
          <cell r="V589" t="str"/>
          <cell r="W589" t="str"/>
          <cell r="X589" t="str">
            <v>电商/主播</v>
          </cell>
          <cell r="Y589" t="str"/>
        </row>
        <row r="589">
          <cell r="AA589" t="str"/>
          <cell r="AB589" t="str"/>
          <cell r="AC589" t="str"/>
          <cell r="AD589" t="str">
            <v>成品出库</v>
          </cell>
          <cell r="AE589" t="str"/>
          <cell r="AF589" t="str"/>
        </row>
        <row r="590">
          <cell r="B590">
            <v>46273</v>
          </cell>
          <cell r="C590" t="str">
            <v>王照雪</v>
          </cell>
          <cell r="D590" t="str">
            <v>成品出库－成品出库</v>
          </cell>
          <cell r="E590" t="str">
            <v>NO:0001095</v>
          </cell>
          <cell r="F590" t="str">
            <v>苹果</v>
          </cell>
          <cell r="G590" t="str">
            <v>华硕一级</v>
          </cell>
          <cell r="H590">
            <v>16</v>
          </cell>
          <cell r="I590" t="str">
            <v>箱</v>
          </cell>
          <cell r="J590">
            <v>41.6</v>
          </cell>
          <cell r="K590" t="str"/>
          <cell r="L590" t="str"/>
          <cell r="M590" t="str"/>
          <cell r="N590" t="str">
            <v>纸箱</v>
          </cell>
          <cell r="O590" t="str"/>
          <cell r="P590" t="str"/>
          <cell r="Q590" t="str"/>
          <cell r="R590" t="str">
            <v>豫N*P269J</v>
          </cell>
          <cell r="S590" t="str">
            <v>公司筐</v>
          </cell>
          <cell r="T590" t="str">
            <v>王照雪</v>
          </cell>
          <cell r="U590" t="str"/>
          <cell r="V590" t="str"/>
          <cell r="W590" t="str"/>
          <cell r="X590" t="str">
            <v>电商/主播</v>
          </cell>
          <cell r="Y590" t="str"/>
        </row>
        <row r="590">
          <cell r="AA590" t="str"/>
          <cell r="AB590" t="str"/>
          <cell r="AC590" t="str"/>
          <cell r="AD590" t="str">
            <v>成品出库</v>
          </cell>
          <cell r="AE590" t="str"/>
          <cell r="AF590" t="str"/>
        </row>
        <row r="591">
          <cell r="B591">
            <v>46273</v>
          </cell>
          <cell r="C591" t="str">
            <v>聂新平</v>
          </cell>
          <cell r="D591" t="str">
            <v>成品出库－成品出库</v>
          </cell>
          <cell r="E591" t="str">
            <v>NO:0001097</v>
          </cell>
          <cell r="F591" t="str">
            <v>苹果</v>
          </cell>
          <cell r="G591" t="str">
            <v>嘎啦100#</v>
          </cell>
          <cell r="H591">
            <v>90</v>
          </cell>
          <cell r="I591" t="str">
            <v>筐</v>
          </cell>
          <cell r="J591">
            <v>1800</v>
          </cell>
          <cell r="K591" t="str"/>
          <cell r="L591" t="str"/>
          <cell r="M591" t="str"/>
          <cell r="N591" t="str">
            <v>自备一次性筐</v>
          </cell>
          <cell r="O591">
            <v>90</v>
          </cell>
          <cell r="P591" t="str"/>
          <cell r="Q591" t="str"/>
          <cell r="R591" t="str">
            <v>吉A*ZM856</v>
          </cell>
          <cell r="S591" t="str">
            <v>自备筐</v>
          </cell>
          <cell r="T591" t="str">
            <v>聂新平</v>
          </cell>
          <cell r="U591" t="str"/>
          <cell r="V591" t="str"/>
          <cell r="W591" t="str"/>
          <cell r="X591" t="str">
            <v>聂新平</v>
          </cell>
          <cell r="Y591" t="str"/>
        </row>
        <row r="591">
          <cell r="AA591" t="str"/>
          <cell r="AB591" t="str"/>
          <cell r="AC591" t="str"/>
          <cell r="AD591" t="str">
            <v>成品出库</v>
          </cell>
          <cell r="AE591" t="str"/>
          <cell r="AF591" t="str"/>
        </row>
        <row r="592">
          <cell r="B592">
            <v>46274</v>
          </cell>
          <cell r="C592" t="str">
            <v>王照雪</v>
          </cell>
          <cell r="D592" t="str">
            <v>成品出库－成品出库</v>
          </cell>
          <cell r="E592" t="str">
            <v>NO:0001104</v>
          </cell>
          <cell r="F592" t="str">
            <v>苹果</v>
          </cell>
          <cell r="G592" t="str">
            <v>华硕一级</v>
          </cell>
          <cell r="H592">
            <v>27</v>
          </cell>
          <cell r="I592" t="str">
            <v>箱</v>
          </cell>
          <cell r="J592">
            <v>137.7</v>
          </cell>
          <cell r="K592" t="str"/>
          <cell r="L592" t="str"/>
          <cell r="M592" t="str"/>
          <cell r="N592" t="str">
            <v>纸箱</v>
          </cell>
          <cell r="O592" t="str"/>
          <cell r="P592" t="str"/>
          <cell r="Q592" t="str"/>
          <cell r="R592" t="str">
            <v>豫N*P269J</v>
          </cell>
          <cell r="S592" t="str">
            <v>公司筐</v>
          </cell>
          <cell r="T592" t="str">
            <v>王照雪</v>
          </cell>
          <cell r="U592" t="str"/>
          <cell r="V592" t="str"/>
          <cell r="W592" t="str"/>
          <cell r="X592" t="str">
            <v>电商/主播</v>
          </cell>
          <cell r="Y592" t="str"/>
        </row>
        <row r="592">
          <cell r="AA592" t="str"/>
          <cell r="AB592" t="str"/>
          <cell r="AC592" t="str"/>
          <cell r="AD592" t="str">
            <v>成品出库</v>
          </cell>
          <cell r="AE592" t="str"/>
          <cell r="AF592" t="str"/>
        </row>
        <row r="593">
          <cell r="B593">
            <v>46275</v>
          </cell>
          <cell r="C593" t="str">
            <v>王照雪</v>
          </cell>
          <cell r="D593" t="str">
            <v>成品出库－成品出库</v>
          </cell>
          <cell r="E593" t="str">
            <v>NO:0001109</v>
          </cell>
          <cell r="F593" t="str">
            <v>苹果</v>
          </cell>
          <cell r="G593" t="str">
            <v>华硕一级</v>
          </cell>
          <cell r="H593">
            <v>132</v>
          </cell>
          <cell r="I593" t="str">
            <v>箱</v>
          </cell>
          <cell r="J593">
            <v>673.2</v>
          </cell>
          <cell r="K593" t="str"/>
          <cell r="L593" t="str"/>
          <cell r="M593" t="str"/>
          <cell r="N593" t="str">
            <v>纸箱</v>
          </cell>
          <cell r="O593" t="str"/>
          <cell r="P593" t="str"/>
          <cell r="Q593" t="str"/>
          <cell r="R593" t="str">
            <v>新N*2865J</v>
          </cell>
          <cell r="S593" t="str">
            <v>公司筐</v>
          </cell>
          <cell r="T593" t="str">
            <v>王照雪</v>
          </cell>
          <cell r="U593" t="str"/>
          <cell r="V593" t="str"/>
          <cell r="W593" t="str"/>
          <cell r="X593" t="str">
            <v>电商/主播</v>
          </cell>
          <cell r="Y593" t="str"/>
        </row>
        <row r="593">
          <cell r="AA593" t="str"/>
          <cell r="AB593" t="str"/>
          <cell r="AC593" t="str"/>
          <cell r="AD593" t="str">
            <v>成品出库</v>
          </cell>
          <cell r="AE593" t="str"/>
          <cell r="AF593" t="str"/>
        </row>
        <row r="594">
          <cell r="B594">
            <v>46275</v>
          </cell>
          <cell r="C594" t="str">
            <v>王照雪</v>
          </cell>
          <cell r="D594" t="str">
            <v>成品出库－成品出库</v>
          </cell>
          <cell r="E594" t="str">
            <v>NO:0001109</v>
          </cell>
          <cell r="F594" t="str">
            <v>苹果</v>
          </cell>
          <cell r="G594" t="str">
            <v>华硕一级</v>
          </cell>
          <cell r="H594">
            <v>17</v>
          </cell>
          <cell r="I594" t="str">
            <v>箱</v>
          </cell>
          <cell r="J594">
            <v>44.2</v>
          </cell>
          <cell r="K594" t="str"/>
          <cell r="L594" t="str"/>
          <cell r="M594" t="str"/>
          <cell r="N594" t="str">
            <v>纸箱</v>
          </cell>
          <cell r="O594" t="str"/>
          <cell r="P594" t="str"/>
          <cell r="Q594" t="str"/>
          <cell r="R594" t="str">
            <v>新N*2865J</v>
          </cell>
          <cell r="S594" t="str">
            <v>公司筐</v>
          </cell>
          <cell r="T594" t="str">
            <v>王照雪</v>
          </cell>
          <cell r="U594" t="str"/>
          <cell r="V594" t="str"/>
          <cell r="W594" t="str"/>
          <cell r="X594" t="str">
            <v>电商/主播</v>
          </cell>
          <cell r="Y594" t="str"/>
        </row>
        <row r="594">
          <cell r="AA594" t="str"/>
          <cell r="AB594" t="str"/>
          <cell r="AC594" t="str"/>
          <cell r="AD594" t="str">
            <v>成品出库</v>
          </cell>
          <cell r="AE594" t="str"/>
          <cell r="AF594" t="str"/>
        </row>
        <row r="595">
          <cell r="B595">
            <v>46275</v>
          </cell>
          <cell r="C595" t="str">
            <v>聂新平</v>
          </cell>
          <cell r="D595" t="str">
            <v>成品出库－成品出库</v>
          </cell>
          <cell r="E595" t="str">
            <v>NO:0001112</v>
          </cell>
          <cell r="F595" t="str">
            <v>苹果</v>
          </cell>
          <cell r="G595" t="str">
            <v>嘎啦85#</v>
          </cell>
          <cell r="H595">
            <v>736</v>
          </cell>
          <cell r="I595" t="str">
            <v>筐</v>
          </cell>
          <cell r="J595">
            <v>14720</v>
          </cell>
          <cell r="K595" t="str"/>
          <cell r="L595" t="str"/>
          <cell r="M595" t="str"/>
          <cell r="N595" t="str">
            <v>自备一次性筐</v>
          </cell>
          <cell r="O595">
            <v>736</v>
          </cell>
          <cell r="P595" t="str"/>
          <cell r="Q595" t="str"/>
          <cell r="R595" t="str">
            <v>新A*H0050</v>
          </cell>
          <cell r="S595" t="str">
            <v>自备筐</v>
          </cell>
          <cell r="T595" t="str">
            <v>聂新平</v>
          </cell>
          <cell r="U595" t="str"/>
          <cell r="V595" t="str"/>
          <cell r="W595" t="str"/>
          <cell r="X595" t="str">
            <v>聂新平</v>
          </cell>
          <cell r="Y595" t="str"/>
        </row>
        <row r="595">
          <cell r="AA595" t="str"/>
          <cell r="AB595" t="str"/>
          <cell r="AC595" t="str"/>
          <cell r="AD595" t="str">
            <v>成品出库</v>
          </cell>
          <cell r="AE595" t="str"/>
          <cell r="AF595" t="str"/>
        </row>
        <row r="596">
          <cell r="B596">
            <v>46275</v>
          </cell>
          <cell r="C596" t="str">
            <v>聂新平</v>
          </cell>
          <cell r="D596" t="str">
            <v>成品出库－成品出库</v>
          </cell>
          <cell r="E596" t="str">
            <v>NO:0001112</v>
          </cell>
          <cell r="F596" t="str">
            <v>苹果</v>
          </cell>
          <cell r="G596" t="str">
            <v>嘎啦100#</v>
          </cell>
          <cell r="H596">
            <v>434</v>
          </cell>
          <cell r="I596" t="str">
            <v>筐</v>
          </cell>
          <cell r="J596">
            <v>8680</v>
          </cell>
          <cell r="K596" t="str"/>
          <cell r="L596" t="str"/>
          <cell r="M596" t="str"/>
          <cell r="N596" t="str">
            <v>自备一次性筐</v>
          </cell>
          <cell r="O596">
            <v>434</v>
          </cell>
          <cell r="P596" t="str"/>
          <cell r="Q596" t="str"/>
          <cell r="R596" t="str">
            <v>新A*H0050</v>
          </cell>
          <cell r="S596" t="str">
            <v>自备筐</v>
          </cell>
          <cell r="T596" t="str">
            <v>聂新平</v>
          </cell>
          <cell r="U596" t="str"/>
          <cell r="V596" t="str"/>
          <cell r="W596" t="str"/>
          <cell r="X596" t="str">
            <v>聂新平</v>
          </cell>
          <cell r="Y596" t="str"/>
        </row>
        <row r="596">
          <cell r="AA596" t="str"/>
          <cell r="AB596" t="str"/>
          <cell r="AC596" t="str"/>
          <cell r="AD596" t="str">
            <v>成品出库</v>
          </cell>
          <cell r="AE596" t="str"/>
          <cell r="AF596" t="str"/>
        </row>
        <row r="597">
          <cell r="B597">
            <v>46276</v>
          </cell>
          <cell r="C597" t="str">
            <v>王照雪</v>
          </cell>
          <cell r="D597" t="str">
            <v>成品出库－成品出库</v>
          </cell>
          <cell r="E597" t="str">
            <v>NO:0001119</v>
          </cell>
          <cell r="F597" t="str">
            <v>苹果</v>
          </cell>
          <cell r="G597" t="str">
            <v>华硕一级</v>
          </cell>
          <cell r="H597">
            <v>228</v>
          </cell>
          <cell r="I597" t="str">
            <v>箱</v>
          </cell>
          <cell r="J597">
            <v>1162.8</v>
          </cell>
          <cell r="K597" t="str"/>
          <cell r="L597" t="str"/>
          <cell r="M597" t="str"/>
          <cell r="N597" t="str">
            <v>纸箱</v>
          </cell>
          <cell r="O597" t="str"/>
          <cell r="P597" t="str"/>
          <cell r="Q597" t="str"/>
          <cell r="R597" t="str">
            <v>豫N*P269J</v>
          </cell>
          <cell r="S597" t="str">
            <v>公司筐</v>
          </cell>
          <cell r="T597" t="str">
            <v>王照雪</v>
          </cell>
          <cell r="U597" t="str"/>
          <cell r="V597" t="str"/>
          <cell r="W597" t="str"/>
          <cell r="X597" t="str">
            <v>电商/主播</v>
          </cell>
          <cell r="Y597" t="str"/>
        </row>
        <row r="597">
          <cell r="AA597" t="str"/>
          <cell r="AB597" t="str"/>
          <cell r="AC597" t="str"/>
          <cell r="AD597" t="str">
            <v>成品出库</v>
          </cell>
          <cell r="AE597" t="str"/>
          <cell r="AF597" t="str"/>
        </row>
        <row r="598">
          <cell r="B598">
            <v>46276</v>
          </cell>
          <cell r="C598" t="str">
            <v>王照雪</v>
          </cell>
          <cell r="D598" t="str">
            <v>成品出库－成品出库</v>
          </cell>
          <cell r="E598" t="str">
            <v>NO:0001119</v>
          </cell>
          <cell r="F598" t="str">
            <v>苹果</v>
          </cell>
          <cell r="G598" t="str">
            <v>华硕一级</v>
          </cell>
          <cell r="H598">
            <v>6</v>
          </cell>
          <cell r="I598" t="str">
            <v>箱</v>
          </cell>
          <cell r="J598">
            <v>15.6</v>
          </cell>
          <cell r="K598" t="str"/>
          <cell r="L598" t="str"/>
          <cell r="M598" t="str"/>
          <cell r="N598" t="str">
            <v>纸箱</v>
          </cell>
          <cell r="O598" t="str"/>
          <cell r="P598" t="str"/>
          <cell r="Q598" t="str"/>
          <cell r="R598" t="str">
            <v>豫N*P269J</v>
          </cell>
          <cell r="S598" t="str">
            <v>公司筐</v>
          </cell>
          <cell r="T598" t="str">
            <v>王照雪</v>
          </cell>
          <cell r="U598" t="str"/>
          <cell r="V598" t="str"/>
          <cell r="W598" t="str"/>
          <cell r="X598" t="str">
            <v>电商/主播</v>
          </cell>
          <cell r="Y598" t="str"/>
        </row>
        <row r="598">
          <cell r="AA598" t="str"/>
          <cell r="AB598" t="str"/>
          <cell r="AC598" t="str"/>
          <cell r="AD598" t="str">
            <v>成品出库</v>
          </cell>
          <cell r="AE598" t="str"/>
          <cell r="AF598" t="str"/>
        </row>
        <row r="599">
          <cell r="B599">
            <v>46277</v>
          </cell>
          <cell r="C599" t="str">
            <v>王照雪</v>
          </cell>
          <cell r="D599" t="str">
            <v>成品出库－成品出库</v>
          </cell>
          <cell r="E599" t="str">
            <v>NO:0001124</v>
          </cell>
          <cell r="F599" t="str">
            <v>苹果</v>
          </cell>
          <cell r="G599" t="str">
            <v>华硕一级</v>
          </cell>
          <cell r="H599">
            <v>220</v>
          </cell>
          <cell r="I599" t="str">
            <v>箱</v>
          </cell>
          <cell r="J599">
            <v>1122</v>
          </cell>
          <cell r="K599" t="str"/>
          <cell r="L599" t="str"/>
          <cell r="M599" t="str"/>
          <cell r="N599" t="str">
            <v>纸箱</v>
          </cell>
          <cell r="O599" t="str"/>
          <cell r="P599" t="str"/>
          <cell r="Q599" t="str"/>
          <cell r="R599" t="str">
            <v>豫N*P269J</v>
          </cell>
          <cell r="S599" t="str">
            <v>公司筐</v>
          </cell>
          <cell r="T599" t="str">
            <v>王照雪</v>
          </cell>
          <cell r="U599" t="str"/>
          <cell r="V599" t="str"/>
          <cell r="W599" t="str"/>
          <cell r="X599" t="str">
            <v>电商/主播</v>
          </cell>
          <cell r="Y599" t="str"/>
        </row>
        <row r="599">
          <cell r="AA599" t="str"/>
          <cell r="AB599" t="str"/>
          <cell r="AC599" t="str"/>
          <cell r="AD599" t="str">
            <v>成品出库</v>
          </cell>
          <cell r="AE599" t="str"/>
          <cell r="AF599" t="str"/>
        </row>
        <row r="600">
          <cell r="B600">
            <v>46277</v>
          </cell>
          <cell r="C600" t="str">
            <v>王照雪</v>
          </cell>
          <cell r="D600" t="str">
            <v>成品出库－成品出库</v>
          </cell>
          <cell r="E600" t="str">
            <v>NO:0001124</v>
          </cell>
          <cell r="F600" t="str">
            <v>苹果</v>
          </cell>
          <cell r="G600" t="str">
            <v>华硕一级</v>
          </cell>
          <cell r="H600">
            <v>3</v>
          </cell>
          <cell r="I600" t="str">
            <v>箱</v>
          </cell>
          <cell r="J600">
            <v>7.8</v>
          </cell>
          <cell r="K600" t="str"/>
          <cell r="L600" t="str"/>
          <cell r="M600" t="str"/>
          <cell r="N600" t="str">
            <v>纸箱</v>
          </cell>
          <cell r="O600" t="str"/>
          <cell r="P600" t="str"/>
          <cell r="Q600" t="str"/>
          <cell r="R600" t="str">
            <v>豫N*P269J</v>
          </cell>
          <cell r="S600" t="str">
            <v>公司筐</v>
          </cell>
          <cell r="T600" t="str">
            <v>王照雪</v>
          </cell>
          <cell r="U600" t="str"/>
          <cell r="V600" t="str"/>
          <cell r="W600" t="str"/>
          <cell r="X600" t="str">
            <v>电商/主播</v>
          </cell>
          <cell r="Y600" t="str"/>
        </row>
        <row r="600">
          <cell r="AA600" t="str"/>
          <cell r="AB600" t="str"/>
          <cell r="AC600" t="str"/>
          <cell r="AD600" t="str">
            <v>成品出库</v>
          </cell>
          <cell r="AE600" t="str"/>
          <cell r="AF600" t="str"/>
        </row>
        <row r="601">
          <cell r="B601">
            <v>46277</v>
          </cell>
          <cell r="C601" t="str">
            <v>王照雪</v>
          </cell>
          <cell r="D601" t="str">
            <v>成品出库－成品出库</v>
          </cell>
          <cell r="E601" t="str">
            <v>NO:0001124</v>
          </cell>
          <cell r="F601" t="str">
            <v>香梨</v>
          </cell>
          <cell r="G601" t="str">
            <v>香梨一级</v>
          </cell>
          <cell r="H601">
            <v>7</v>
          </cell>
          <cell r="I601" t="str">
            <v>箱</v>
          </cell>
          <cell r="J601">
            <v>35.7</v>
          </cell>
          <cell r="K601" t="str"/>
          <cell r="L601" t="str"/>
          <cell r="M601" t="str"/>
          <cell r="N601" t="str">
            <v>纸箱</v>
          </cell>
          <cell r="O601" t="str"/>
          <cell r="P601" t="str"/>
          <cell r="Q601" t="str"/>
          <cell r="R601" t="str">
            <v>豫N*P269J</v>
          </cell>
          <cell r="S601" t="str">
            <v>公司筐</v>
          </cell>
          <cell r="T601" t="str">
            <v>王照雪</v>
          </cell>
          <cell r="U601" t="str"/>
          <cell r="V601" t="str"/>
          <cell r="W601" t="str"/>
          <cell r="X601" t="str">
            <v>电商/主播</v>
          </cell>
          <cell r="Y601" t="str"/>
        </row>
        <row r="601">
          <cell r="AA601" t="str"/>
          <cell r="AB601" t="str"/>
          <cell r="AC601" t="str"/>
          <cell r="AD601" t="str">
            <v>成品出库</v>
          </cell>
          <cell r="AE601" t="str"/>
          <cell r="AF601" t="str"/>
        </row>
        <row r="602">
          <cell r="B602">
            <v>46278</v>
          </cell>
          <cell r="C602" t="str">
            <v>王照雪</v>
          </cell>
          <cell r="D602" t="str">
            <v>成品出库－成品出库</v>
          </cell>
          <cell r="E602" t="str">
            <v>NO:0001134</v>
          </cell>
          <cell r="F602" t="str">
            <v>苹果</v>
          </cell>
          <cell r="G602" t="str">
            <v>苹果扎伤</v>
          </cell>
          <cell r="H602">
            <v>60</v>
          </cell>
          <cell r="I602" t="str">
            <v>箱</v>
          </cell>
          <cell r="J602">
            <v>979.8</v>
          </cell>
          <cell r="K602" t="str"/>
          <cell r="L602" t="str"/>
          <cell r="M602" t="str"/>
          <cell r="N602" t="str">
            <v>纸箱</v>
          </cell>
          <cell r="O602" t="str"/>
          <cell r="P602" t="str"/>
          <cell r="Q602" t="str"/>
          <cell r="R602" t="str">
            <v>新R*45654</v>
          </cell>
          <cell r="S602" t="str">
            <v>公司筐</v>
          </cell>
          <cell r="T602" t="str">
            <v>王照雪</v>
          </cell>
          <cell r="U602" t="str"/>
          <cell r="V602" t="str"/>
          <cell r="W602" t="str"/>
          <cell r="X602" t="str">
            <v>王照雪</v>
          </cell>
          <cell r="Y602" t="str"/>
        </row>
        <row r="602">
          <cell r="AA602" t="str"/>
          <cell r="AB602" t="str"/>
          <cell r="AC602" t="str"/>
          <cell r="AD602" t="str">
            <v>成品出库</v>
          </cell>
          <cell r="AE602" t="str"/>
          <cell r="AF602" t="str"/>
        </row>
        <row r="603">
          <cell r="B603">
            <v>46278</v>
          </cell>
          <cell r="C603" t="str">
            <v>王照雪</v>
          </cell>
          <cell r="D603" t="str">
            <v>成品出库－成品出库</v>
          </cell>
          <cell r="E603" t="str">
            <v>NO:0001136</v>
          </cell>
          <cell r="F603" t="str">
            <v>苹果</v>
          </cell>
          <cell r="G603" t="str">
            <v>华硕一级</v>
          </cell>
          <cell r="H603">
            <v>151</v>
          </cell>
          <cell r="I603" t="str">
            <v>箱</v>
          </cell>
          <cell r="J603">
            <v>770.1</v>
          </cell>
          <cell r="K603" t="str"/>
          <cell r="L603" t="str"/>
          <cell r="M603" t="str"/>
          <cell r="N603" t="str">
            <v>纸箱</v>
          </cell>
          <cell r="O603" t="str"/>
          <cell r="P603" t="str"/>
          <cell r="Q603" t="str"/>
          <cell r="R603" t="str">
            <v>豫N*P269J</v>
          </cell>
          <cell r="S603" t="str">
            <v>公司筐</v>
          </cell>
          <cell r="T603" t="str">
            <v>王照雪</v>
          </cell>
          <cell r="U603" t="str"/>
          <cell r="V603" t="str"/>
          <cell r="W603" t="str"/>
          <cell r="X603" t="str">
            <v>电商/主播</v>
          </cell>
          <cell r="Y603" t="str"/>
        </row>
        <row r="603">
          <cell r="AA603" t="str"/>
          <cell r="AB603" t="str"/>
          <cell r="AC603" t="str"/>
          <cell r="AD603" t="str">
            <v>成品出库</v>
          </cell>
          <cell r="AE603" t="str"/>
          <cell r="AF603" t="str"/>
        </row>
        <row r="604">
          <cell r="B604">
            <v>46278</v>
          </cell>
          <cell r="C604" t="str">
            <v>王照雪</v>
          </cell>
          <cell r="D604" t="str">
            <v>成品出库－成品出库</v>
          </cell>
          <cell r="E604" t="str">
            <v>NO:0001136</v>
          </cell>
          <cell r="F604" t="str">
            <v>苹果</v>
          </cell>
          <cell r="G604" t="str">
            <v>华硕一级</v>
          </cell>
          <cell r="H604">
            <v>11</v>
          </cell>
          <cell r="I604" t="str">
            <v>箱</v>
          </cell>
          <cell r="J604">
            <v>28.6</v>
          </cell>
          <cell r="K604" t="str"/>
          <cell r="L604" t="str"/>
          <cell r="M604" t="str"/>
          <cell r="N604" t="str">
            <v>纸箱</v>
          </cell>
          <cell r="O604" t="str"/>
          <cell r="P604" t="str"/>
          <cell r="Q604" t="str"/>
          <cell r="R604" t="str">
            <v>豫N*P269J</v>
          </cell>
          <cell r="S604" t="str">
            <v>公司筐</v>
          </cell>
          <cell r="T604" t="str">
            <v>王照雪</v>
          </cell>
          <cell r="U604" t="str"/>
          <cell r="V604" t="str"/>
          <cell r="W604" t="str"/>
          <cell r="X604" t="str">
            <v>电商/主播</v>
          </cell>
          <cell r="Y604" t="str"/>
        </row>
        <row r="604">
          <cell r="AA604" t="str"/>
          <cell r="AB604" t="str"/>
          <cell r="AC604" t="str"/>
          <cell r="AD604" t="str">
            <v>成品出库</v>
          </cell>
          <cell r="AE604" t="str"/>
          <cell r="AF604" t="str"/>
        </row>
        <row r="605">
          <cell r="B605">
            <v>46278</v>
          </cell>
          <cell r="C605" t="str">
            <v>王照雪</v>
          </cell>
          <cell r="D605" t="str">
            <v>成品出库－成品出库</v>
          </cell>
          <cell r="E605" t="str">
            <v>NO:0001136</v>
          </cell>
          <cell r="F605" t="str">
            <v>香梨</v>
          </cell>
          <cell r="G605" t="str">
            <v>香梨一级</v>
          </cell>
          <cell r="H605">
            <v>3</v>
          </cell>
          <cell r="I605" t="str">
            <v>箱</v>
          </cell>
          <cell r="J605">
            <v>15.3</v>
          </cell>
          <cell r="K605" t="str"/>
          <cell r="L605" t="str"/>
          <cell r="M605" t="str"/>
          <cell r="N605" t="str">
            <v>纸箱</v>
          </cell>
          <cell r="O605" t="str"/>
          <cell r="P605" t="str"/>
          <cell r="Q605" t="str"/>
          <cell r="R605" t="str">
            <v>豫N*P269J</v>
          </cell>
          <cell r="S605" t="str">
            <v>公司筐</v>
          </cell>
          <cell r="T605" t="str">
            <v>王照雪</v>
          </cell>
          <cell r="U605" t="str"/>
          <cell r="V605" t="str"/>
          <cell r="W605" t="str"/>
          <cell r="X605" t="str">
            <v>电商/主播</v>
          </cell>
          <cell r="Y605" t="str"/>
        </row>
        <row r="605">
          <cell r="AA605" t="str"/>
          <cell r="AB605" t="str"/>
          <cell r="AC605" t="str"/>
          <cell r="AD605" t="str">
            <v>成品出库</v>
          </cell>
          <cell r="AE605" t="str"/>
          <cell r="AF605" t="str"/>
        </row>
        <row r="606">
          <cell r="B606">
            <v>46279</v>
          </cell>
          <cell r="C606" t="str">
            <v>王照雪</v>
          </cell>
          <cell r="D606" t="str">
            <v>成品出库－成品出库</v>
          </cell>
          <cell r="E606" t="str">
            <v>NO:0001142</v>
          </cell>
          <cell r="F606" t="str">
            <v>苹果</v>
          </cell>
          <cell r="G606" t="str">
            <v>华硕一级</v>
          </cell>
          <cell r="H606">
            <v>42</v>
          </cell>
          <cell r="I606" t="str">
            <v>箱</v>
          </cell>
          <cell r="J606">
            <v>214.2</v>
          </cell>
          <cell r="K606" t="str"/>
          <cell r="L606" t="str"/>
          <cell r="M606" t="str"/>
          <cell r="N606" t="str">
            <v>纸箱</v>
          </cell>
          <cell r="O606" t="str"/>
          <cell r="P606" t="str"/>
          <cell r="Q606" t="str"/>
          <cell r="R606" t="str">
            <v>豫N*P269J</v>
          </cell>
          <cell r="S606" t="str">
            <v>公司筐</v>
          </cell>
          <cell r="T606" t="str">
            <v>王照雪</v>
          </cell>
          <cell r="U606" t="str"/>
          <cell r="V606" t="str"/>
          <cell r="W606" t="str"/>
          <cell r="X606" t="str">
            <v>电商/主播</v>
          </cell>
          <cell r="Y606" t="str"/>
        </row>
        <row r="606">
          <cell r="AA606" t="str"/>
          <cell r="AB606" t="str"/>
          <cell r="AC606" t="str"/>
          <cell r="AD606" t="str">
            <v>成品出库</v>
          </cell>
          <cell r="AE606" t="str"/>
          <cell r="AF606" t="str"/>
        </row>
        <row r="607">
          <cell r="B607">
            <v>46279</v>
          </cell>
          <cell r="C607" t="str">
            <v>王照雪</v>
          </cell>
          <cell r="D607" t="str">
            <v>成品出库－成品出库</v>
          </cell>
          <cell r="E607" t="str">
            <v>NO:0001142</v>
          </cell>
          <cell r="F607" t="str">
            <v>苹果</v>
          </cell>
          <cell r="G607" t="str">
            <v>华硕一级</v>
          </cell>
          <cell r="H607">
            <v>6</v>
          </cell>
          <cell r="I607" t="str">
            <v>箱</v>
          </cell>
          <cell r="J607">
            <v>15.6</v>
          </cell>
          <cell r="K607" t="str"/>
          <cell r="L607" t="str"/>
          <cell r="M607" t="str"/>
          <cell r="N607" t="str">
            <v>纸箱</v>
          </cell>
          <cell r="O607" t="str"/>
          <cell r="P607" t="str"/>
          <cell r="Q607" t="str"/>
          <cell r="R607" t="str">
            <v>豫N*P269J</v>
          </cell>
          <cell r="S607" t="str">
            <v>公司筐</v>
          </cell>
          <cell r="T607" t="str">
            <v>王照雪</v>
          </cell>
          <cell r="U607" t="str"/>
          <cell r="V607" t="str"/>
          <cell r="W607" t="str"/>
          <cell r="X607" t="str">
            <v>电商/主播</v>
          </cell>
          <cell r="Y607" t="str"/>
        </row>
        <row r="607">
          <cell r="AA607" t="str"/>
          <cell r="AB607" t="str"/>
          <cell r="AC607" t="str"/>
          <cell r="AD607" t="str">
            <v>成品出库</v>
          </cell>
          <cell r="AE607" t="str"/>
          <cell r="AF607" t="str"/>
        </row>
        <row r="608">
          <cell r="B608">
            <v>46279</v>
          </cell>
          <cell r="C608" t="str">
            <v>王照雪</v>
          </cell>
          <cell r="D608" t="str">
            <v>成品出库－成品出库</v>
          </cell>
          <cell r="E608" t="str">
            <v>NO:0001142</v>
          </cell>
          <cell r="F608" t="str">
            <v>香梨</v>
          </cell>
          <cell r="G608" t="str">
            <v>香梨一级</v>
          </cell>
          <cell r="H608">
            <v>2</v>
          </cell>
          <cell r="I608" t="str">
            <v>箱</v>
          </cell>
          <cell r="J608">
            <v>10.2</v>
          </cell>
          <cell r="K608" t="str"/>
          <cell r="L608" t="str"/>
          <cell r="M608" t="str"/>
          <cell r="N608" t="str">
            <v>纸箱</v>
          </cell>
          <cell r="O608" t="str"/>
          <cell r="P608" t="str"/>
          <cell r="Q608" t="str"/>
          <cell r="R608" t="str">
            <v>豫N*P269J</v>
          </cell>
          <cell r="S608" t="str">
            <v>公司筐</v>
          </cell>
          <cell r="T608" t="str">
            <v>王照雪</v>
          </cell>
          <cell r="U608" t="str"/>
          <cell r="V608" t="str"/>
          <cell r="W608" t="str"/>
          <cell r="X608" t="str">
            <v>电商/主播</v>
          </cell>
          <cell r="Y608" t="str"/>
        </row>
        <row r="608">
          <cell r="AA608" t="str"/>
          <cell r="AB608" t="str"/>
          <cell r="AC608" t="str"/>
          <cell r="AD608" t="str">
            <v>成品出库</v>
          </cell>
          <cell r="AE608" t="str"/>
          <cell r="AF608" t="str"/>
        </row>
        <row r="609">
          <cell r="B609">
            <v>46280</v>
          </cell>
          <cell r="C609" t="str">
            <v>王照雪</v>
          </cell>
          <cell r="D609" t="str">
            <v>成品出库－成品出库</v>
          </cell>
          <cell r="E609" t="str">
            <v>NO:0001147</v>
          </cell>
          <cell r="F609" t="str">
            <v>苹果</v>
          </cell>
          <cell r="G609" t="str">
            <v>新世纪一级</v>
          </cell>
          <cell r="H609">
            <v>195</v>
          </cell>
          <cell r="I609" t="str">
            <v>箱</v>
          </cell>
          <cell r="J609">
            <v>994.5</v>
          </cell>
          <cell r="K609" t="str"/>
          <cell r="L609" t="str"/>
          <cell r="M609" t="str"/>
          <cell r="N609" t="str">
            <v>纸箱</v>
          </cell>
          <cell r="O609" t="str"/>
          <cell r="P609" t="str"/>
          <cell r="Q609" t="str"/>
          <cell r="R609" t="str">
            <v>新N*V5L92</v>
          </cell>
          <cell r="S609" t="str">
            <v>公司筐</v>
          </cell>
          <cell r="T609" t="str">
            <v>王照雪</v>
          </cell>
          <cell r="U609" t="str"/>
          <cell r="V609" t="str"/>
          <cell r="W609" t="str"/>
          <cell r="X609" t="str">
            <v>电商/主播</v>
          </cell>
          <cell r="Y609" t="str"/>
        </row>
        <row r="609">
          <cell r="AA609" t="str"/>
          <cell r="AB609" t="str"/>
          <cell r="AC609" t="str"/>
          <cell r="AD609" t="str">
            <v>成品出库</v>
          </cell>
          <cell r="AE609" t="str"/>
          <cell r="AF609" t="str"/>
        </row>
        <row r="610">
          <cell r="B610">
            <v>46280</v>
          </cell>
          <cell r="C610" t="str">
            <v>王照雪</v>
          </cell>
          <cell r="D610" t="str">
            <v>成品出库－成品出库</v>
          </cell>
          <cell r="E610" t="str">
            <v>NO:0001147</v>
          </cell>
          <cell r="F610" t="str">
            <v>苹果</v>
          </cell>
          <cell r="G610" t="str">
            <v>新世纪一级</v>
          </cell>
          <cell r="H610">
            <v>1</v>
          </cell>
          <cell r="I610" t="str">
            <v>箱</v>
          </cell>
          <cell r="J610">
            <v>2.6</v>
          </cell>
          <cell r="K610" t="str"/>
          <cell r="L610" t="str"/>
          <cell r="M610" t="str"/>
          <cell r="N610" t="str">
            <v>纸箱</v>
          </cell>
          <cell r="O610" t="str"/>
          <cell r="P610" t="str"/>
          <cell r="Q610" t="str"/>
          <cell r="R610" t="str">
            <v>新N*V5L92</v>
          </cell>
          <cell r="S610" t="str">
            <v>公司筐</v>
          </cell>
          <cell r="T610" t="str">
            <v>王照雪</v>
          </cell>
          <cell r="U610" t="str"/>
          <cell r="V610" t="str"/>
          <cell r="W610" t="str"/>
          <cell r="X610" t="str">
            <v>电商/主播</v>
          </cell>
          <cell r="Y610" t="str"/>
        </row>
        <row r="610">
          <cell r="AA610" t="str"/>
          <cell r="AB610" t="str"/>
          <cell r="AC610" t="str"/>
          <cell r="AD610" t="str">
            <v>成品出库</v>
          </cell>
          <cell r="AE610" t="str"/>
          <cell r="AF610" t="str"/>
        </row>
        <row r="611">
          <cell r="B611">
            <v>46281</v>
          </cell>
          <cell r="C611" t="str">
            <v>王照雪</v>
          </cell>
          <cell r="D611" t="str">
            <v>成品出库－成品出库</v>
          </cell>
          <cell r="E611" t="str">
            <v>NO:0001154</v>
          </cell>
          <cell r="F611" t="str">
            <v>苹果</v>
          </cell>
          <cell r="G611" t="str">
            <v>新世纪一级</v>
          </cell>
          <cell r="H611">
            <v>29</v>
          </cell>
          <cell r="I611" t="str">
            <v>箱</v>
          </cell>
          <cell r="J611">
            <v>147.9</v>
          </cell>
          <cell r="K611" t="str"/>
          <cell r="L611" t="str"/>
          <cell r="M611" t="str"/>
          <cell r="N611" t="str">
            <v>纸箱</v>
          </cell>
          <cell r="O611" t="str"/>
          <cell r="P611" t="str"/>
          <cell r="Q611" t="str"/>
          <cell r="R611" t="str">
            <v>豫N*P269J</v>
          </cell>
          <cell r="S611" t="str">
            <v>公司筐</v>
          </cell>
          <cell r="T611" t="str">
            <v>王照雪</v>
          </cell>
          <cell r="U611" t="str"/>
          <cell r="V611" t="str"/>
          <cell r="W611" t="str"/>
          <cell r="X611" t="str">
            <v>电商/主播</v>
          </cell>
          <cell r="Y611" t="str"/>
        </row>
        <row r="611">
          <cell r="AA611" t="str"/>
          <cell r="AB611" t="str"/>
          <cell r="AC611" t="str"/>
          <cell r="AD611" t="str">
            <v>成品出库</v>
          </cell>
          <cell r="AE611" t="str"/>
          <cell r="AF611" t="str"/>
        </row>
        <row r="612">
          <cell r="B612">
            <v>46281</v>
          </cell>
          <cell r="C612" t="str">
            <v>王照雪</v>
          </cell>
          <cell r="D612" t="str">
            <v>成品出库－成品出库</v>
          </cell>
          <cell r="E612" t="str">
            <v>NO:0001154</v>
          </cell>
          <cell r="F612" t="str">
            <v>苹果</v>
          </cell>
          <cell r="G612" t="str">
            <v>新世纪一级</v>
          </cell>
          <cell r="H612">
            <v>1</v>
          </cell>
          <cell r="I612" t="str">
            <v>箱</v>
          </cell>
          <cell r="J612">
            <v>2.6</v>
          </cell>
          <cell r="K612" t="str"/>
          <cell r="L612" t="str"/>
          <cell r="M612" t="str"/>
          <cell r="N612" t="str">
            <v>纸箱</v>
          </cell>
          <cell r="O612" t="str"/>
          <cell r="P612" t="str"/>
          <cell r="Q612" t="str"/>
          <cell r="R612" t="str">
            <v>豫N*P269J</v>
          </cell>
          <cell r="S612" t="str">
            <v>公司筐</v>
          </cell>
          <cell r="T612" t="str">
            <v>王照雪</v>
          </cell>
          <cell r="U612" t="str"/>
          <cell r="V612" t="str"/>
          <cell r="W612" t="str"/>
          <cell r="X612" t="str">
            <v>电商/主播</v>
          </cell>
          <cell r="Y612" t="str"/>
        </row>
        <row r="612">
          <cell r="AA612" t="str"/>
          <cell r="AB612" t="str"/>
          <cell r="AC612" t="str"/>
          <cell r="AD612" t="str">
            <v>成品出库</v>
          </cell>
          <cell r="AE612" t="str"/>
          <cell r="AF612" t="str"/>
        </row>
        <row r="613">
          <cell r="B613">
            <v>46281</v>
          </cell>
          <cell r="C613" t="str">
            <v>王照雪</v>
          </cell>
          <cell r="D613" t="str">
            <v>成品出库－成品出库</v>
          </cell>
          <cell r="E613" t="str">
            <v>NO:0001154</v>
          </cell>
          <cell r="F613" t="str">
            <v>香梨</v>
          </cell>
          <cell r="G613" t="str">
            <v>香梨一级</v>
          </cell>
          <cell r="H613">
            <v>3</v>
          </cell>
          <cell r="I613" t="str">
            <v>箱</v>
          </cell>
          <cell r="J613">
            <v>15</v>
          </cell>
          <cell r="K613" t="str"/>
          <cell r="L613" t="str"/>
          <cell r="M613" t="str"/>
          <cell r="N613" t="str">
            <v>纸箱</v>
          </cell>
          <cell r="O613" t="str"/>
          <cell r="P613" t="str"/>
          <cell r="Q613" t="str"/>
          <cell r="R613" t="str">
            <v>豫N*P269J</v>
          </cell>
          <cell r="S613" t="str">
            <v>公司筐</v>
          </cell>
          <cell r="T613" t="str">
            <v>王照雪</v>
          </cell>
          <cell r="U613" t="str"/>
          <cell r="V613" t="str"/>
          <cell r="W613" t="str"/>
          <cell r="X613" t="str">
            <v>电商/主播</v>
          </cell>
          <cell r="Y613" t="str"/>
        </row>
        <row r="613">
          <cell r="AA613" t="str"/>
          <cell r="AB613" t="str"/>
          <cell r="AC613" t="str"/>
          <cell r="AD613" t="str">
            <v>成品出库</v>
          </cell>
          <cell r="AE613" t="str"/>
          <cell r="AF613" t="str"/>
        </row>
        <row r="614">
          <cell r="B614">
            <v>46282</v>
          </cell>
          <cell r="C614" t="str">
            <v>王照雪</v>
          </cell>
          <cell r="D614" t="str">
            <v>成品出库－成品出库</v>
          </cell>
          <cell r="E614" t="str">
            <v>NO:0001166</v>
          </cell>
          <cell r="F614" t="str">
            <v>苹果</v>
          </cell>
          <cell r="G614" t="str">
            <v>苹果扎伤</v>
          </cell>
          <cell r="H614">
            <v>25</v>
          </cell>
          <cell r="I614" t="str">
            <v>筐</v>
          </cell>
          <cell r="J614">
            <v>440</v>
          </cell>
          <cell r="K614" t="str"/>
          <cell r="L614" t="str"/>
          <cell r="M614" t="str"/>
          <cell r="N614" t="str">
            <v>公司杂周转筐</v>
          </cell>
          <cell r="O614">
            <v>25</v>
          </cell>
          <cell r="P614" t="str"/>
          <cell r="Q614" t="str"/>
          <cell r="R614" t="str">
            <v>新N*GG901</v>
          </cell>
          <cell r="S614" t="str">
            <v>公司筐</v>
          </cell>
          <cell r="T614" t="str">
            <v>王照雪</v>
          </cell>
          <cell r="U614" t="str"/>
          <cell r="V614" t="str"/>
          <cell r="W614" t="str"/>
          <cell r="X614" t="str">
            <v>王照雪</v>
          </cell>
          <cell r="Y614" t="str"/>
        </row>
        <row r="614">
          <cell r="AA614" t="str"/>
          <cell r="AB614" t="str"/>
          <cell r="AC614" t="str"/>
          <cell r="AD614" t="str">
            <v>成品出库</v>
          </cell>
          <cell r="AE614" t="str"/>
          <cell r="AF614" t="str"/>
        </row>
        <row r="615">
          <cell r="B615">
            <v>46282</v>
          </cell>
          <cell r="C615" t="str">
            <v>王照雪</v>
          </cell>
          <cell r="D615" t="str">
            <v>成品出库－成品出库</v>
          </cell>
          <cell r="E615" t="str">
            <v>NO:0001168</v>
          </cell>
          <cell r="F615" t="str">
            <v>苹果</v>
          </cell>
          <cell r="G615" t="str">
            <v>新世纪一级</v>
          </cell>
          <cell r="H615">
            <v>27</v>
          </cell>
          <cell r="I615" t="str">
            <v>箱</v>
          </cell>
          <cell r="J615">
            <v>137.7</v>
          </cell>
          <cell r="K615" t="str"/>
          <cell r="L615" t="str"/>
          <cell r="M615" t="str"/>
          <cell r="N615" t="str">
            <v>纸箱</v>
          </cell>
          <cell r="O615" t="str"/>
          <cell r="P615" t="str"/>
          <cell r="Q615" t="str"/>
          <cell r="R615" t="str">
            <v>新N*V5L92</v>
          </cell>
          <cell r="S615" t="str">
            <v>公司筐</v>
          </cell>
          <cell r="T615" t="str">
            <v>王照雪</v>
          </cell>
          <cell r="U615" t="str"/>
          <cell r="V615" t="str"/>
          <cell r="W615" t="str"/>
          <cell r="X615" t="str">
            <v>电商/主播</v>
          </cell>
          <cell r="Y615" t="str"/>
        </row>
        <row r="615">
          <cell r="AA615" t="str"/>
          <cell r="AB615" t="str"/>
          <cell r="AC615" t="str"/>
          <cell r="AD615" t="str">
            <v>成品出库</v>
          </cell>
          <cell r="AE615" t="str"/>
          <cell r="AF615" t="str"/>
        </row>
        <row r="616">
          <cell r="B616">
            <v>46282</v>
          </cell>
          <cell r="C616" t="str">
            <v>王照雪</v>
          </cell>
          <cell r="D616" t="str">
            <v>成品出库－成品出库</v>
          </cell>
          <cell r="E616" t="str">
            <v>NO:0001168</v>
          </cell>
          <cell r="F616" t="str">
            <v>香梨</v>
          </cell>
          <cell r="G616" t="str">
            <v>香梨一级</v>
          </cell>
          <cell r="H616">
            <v>24</v>
          </cell>
          <cell r="I616" t="str">
            <v>箱</v>
          </cell>
          <cell r="J616">
            <v>120</v>
          </cell>
          <cell r="K616" t="str"/>
          <cell r="L616" t="str"/>
          <cell r="M616" t="str"/>
          <cell r="N616" t="str">
            <v>纸箱</v>
          </cell>
          <cell r="O616" t="str"/>
          <cell r="P616" t="str"/>
          <cell r="Q616" t="str"/>
          <cell r="R616" t="str">
            <v>新N*V5L92</v>
          </cell>
          <cell r="S616" t="str">
            <v>公司筐</v>
          </cell>
          <cell r="T616" t="str">
            <v>王照雪</v>
          </cell>
          <cell r="U616" t="str"/>
          <cell r="V616" t="str"/>
          <cell r="W616" t="str"/>
          <cell r="X616" t="str">
            <v>电商/主播</v>
          </cell>
          <cell r="Y616" t="str"/>
        </row>
        <row r="616">
          <cell r="AA616" t="str"/>
          <cell r="AB616" t="str"/>
          <cell r="AC616" t="str"/>
          <cell r="AD616" t="str">
            <v>成品出库</v>
          </cell>
          <cell r="AE616" t="str"/>
          <cell r="AF616" t="str"/>
        </row>
        <row r="617">
          <cell r="B617">
            <v>46283</v>
          </cell>
          <cell r="C617" t="str">
            <v>王照雪</v>
          </cell>
          <cell r="D617" t="str">
            <v>成品出库－成品出库</v>
          </cell>
          <cell r="E617" t="str">
            <v>NO:0001175</v>
          </cell>
          <cell r="F617" t="str">
            <v>苹果</v>
          </cell>
          <cell r="G617" t="str">
            <v>新世纪一级</v>
          </cell>
          <cell r="H617">
            <v>486</v>
          </cell>
          <cell r="I617" t="str">
            <v>筐</v>
          </cell>
          <cell r="J617">
            <v>8748</v>
          </cell>
          <cell r="K617" t="str"/>
          <cell r="L617" t="str"/>
          <cell r="M617" t="str"/>
          <cell r="N617" t="str">
            <v>自备一次性筐</v>
          </cell>
          <cell r="O617">
            <v>486</v>
          </cell>
          <cell r="P617" t="str"/>
          <cell r="Q617" t="str"/>
          <cell r="R617" t="str">
            <v>冀B*6E205</v>
          </cell>
          <cell r="S617" t="str">
            <v>自备筐</v>
          </cell>
          <cell r="T617" t="str">
            <v>王照雪</v>
          </cell>
          <cell r="U617" t="str"/>
          <cell r="V617" t="str"/>
          <cell r="W617" t="str"/>
          <cell r="X617" t="str">
            <v>王照雪</v>
          </cell>
          <cell r="Y617" t="str"/>
        </row>
        <row r="617">
          <cell r="AA617" t="str"/>
          <cell r="AB617" t="str"/>
          <cell r="AC617" t="str"/>
          <cell r="AD617" t="str">
            <v>成品出库</v>
          </cell>
          <cell r="AE617" t="str"/>
          <cell r="AF617" t="str"/>
        </row>
        <row r="618">
          <cell r="B618">
            <v>46283</v>
          </cell>
          <cell r="C618" t="str">
            <v>王照雪</v>
          </cell>
          <cell r="D618" t="str">
            <v>成品出库－成品出库</v>
          </cell>
          <cell r="E618" t="str">
            <v>NO:0001175</v>
          </cell>
          <cell r="F618" t="str">
            <v>苹果</v>
          </cell>
          <cell r="G618" t="str">
            <v>新世纪一级</v>
          </cell>
          <cell r="H618">
            <v>1152</v>
          </cell>
          <cell r="I618" t="str">
            <v>箱</v>
          </cell>
          <cell r="J618">
            <v>5529.6</v>
          </cell>
          <cell r="K618" t="str"/>
          <cell r="L618" t="str"/>
          <cell r="M618" t="str"/>
          <cell r="N618" t="str">
            <v>纸箱</v>
          </cell>
          <cell r="O618" t="str"/>
          <cell r="P618" t="str"/>
          <cell r="Q618" t="str"/>
          <cell r="R618" t="str">
            <v>冀B*6E205</v>
          </cell>
          <cell r="S618" t="str">
            <v>公司筐</v>
          </cell>
          <cell r="T618" t="str">
            <v>王照雪</v>
          </cell>
          <cell r="U618" t="str"/>
          <cell r="V618" t="str"/>
          <cell r="W618" t="str"/>
          <cell r="X618" t="str">
            <v>王照雪</v>
          </cell>
          <cell r="Y618" t="str"/>
        </row>
        <row r="618">
          <cell r="AA618" t="str"/>
          <cell r="AB618" t="str"/>
          <cell r="AC618" t="str"/>
          <cell r="AD618" t="str">
            <v>成品出库</v>
          </cell>
          <cell r="AE618" t="str"/>
          <cell r="AF618" t="str"/>
        </row>
        <row r="619">
          <cell r="B619">
            <v>46283</v>
          </cell>
          <cell r="C619" t="str">
            <v>王照雪</v>
          </cell>
          <cell r="D619" t="str">
            <v>成品出库－成品出库</v>
          </cell>
          <cell r="E619" t="str">
            <v>NO:0001177</v>
          </cell>
          <cell r="F619" t="str">
            <v>苹果</v>
          </cell>
          <cell r="G619" t="str">
            <v>新世纪一级</v>
          </cell>
          <cell r="H619">
            <v>26</v>
          </cell>
          <cell r="I619" t="str">
            <v>箱</v>
          </cell>
          <cell r="J619">
            <v>132.6</v>
          </cell>
          <cell r="K619" t="str"/>
          <cell r="L619" t="str"/>
          <cell r="M619" t="str"/>
          <cell r="N619" t="str">
            <v>纸箱</v>
          </cell>
          <cell r="O619" t="str"/>
          <cell r="P619" t="str"/>
          <cell r="Q619" t="str"/>
          <cell r="R619" t="str">
            <v>豫N*P269J</v>
          </cell>
          <cell r="S619" t="str">
            <v>公司筐</v>
          </cell>
          <cell r="T619" t="str">
            <v>王照雪</v>
          </cell>
          <cell r="U619" t="str"/>
          <cell r="V619" t="str"/>
          <cell r="W619" t="str"/>
          <cell r="X619" t="str">
            <v>电商/主播</v>
          </cell>
          <cell r="Y619" t="str"/>
        </row>
        <row r="619">
          <cell r="AA619" t="str"/>
          <cell r="AB619" t="str"/>
          <cell r="AC619" t="str"/>
          <cell r="AD619" t="str">
            <v>成品出库</v>
          </cell>
          <cell r="AE619" t="str"/>
          <cell r="AF619" t="str"/>
        </row>
        <row r="620">
          <cell r="B620">
            <v>46283</v>
          </cell>
          <cell r="C620" t="str">
            <v>王照雪</v>
          </cell>
          <cell r="D620" t="str">
            <v>成品出库－成品出库</v>
          </cell>
          <cell r="E620" t="str">
            <v>NO:0001177</v>
          </cell>
          <cell r="F620" t="str">
            <v>苹果</v>
          </cell>
          <cell r="G620" t="str">
            <v>新世纪一级</v>
          </cell>
          <cell r="H620">
            <v>10</v>
          </cell>
          <cell r="I620" t="str">
            <v>箱</v>
          </cell>
          <cell r="J620">
            <v>50</v>
          </cell>
          <cell r="K620" t="str"/>
          <cell r="L620" t="str"/>
          <cell r="M620" t="str"/>
          <cell r="N620" t="str">
            <v>纸箱</v>
          </cell>
          <cell r="O620" t="str"/>
          <cell r="P620" t="str"/>
          <cell r="Q620" t="str"/>
          <cell r="R620" t="str">
            <v>冀B*6E205</v>
          </cell>
          <cell r="S620" t="str">
            <v>公司筐</v>
          </cell>
          <cell r="T620" t="str">
            <v>王照雪</v>
          </cell>
          <cell r="U620" t="str"/>
          <cell r="V620" t="str"/>
          <cell r="W620" t="str"/>
          <cell r="X620" t="str">
            <v>王照雪</v>
          </cell>
          <cell r="Y620" t="str"/>
        </row>
        <row r="620">
          <cell r="AA620" t="str"/>
          <cell r="AB620" t="str"/>
          <cell r="AC620" t="str"/>
          <cell r="AD620" t="str">
            <v>成品出库</v>
          </cell>
          <cell r="AE620" t="str"/>
          <cell r="AF620" t="str"/>
        </row>
        <row r="621">
          <cell r="B621">
            <v>46284</v>
          </cell>
          <cell r="C621" t="str">
            <v>王照雪</v>
          </cell>
          <cell r="D621" t="str">
            <v>成品出库－成品出库</v>
          </cell>
          <cell r="E621" t="str">
            <v>NO:0001182</v>
          </cell>
          <cell r="F621" t="str">
            <v>苹果</v>
          </cell>
          <cell r="G621" t="str">
            <v>新世纪一级</v>
          </cell>
          <cell r="H621">
            <v>16</v>
          </cell>
          <cell r="I621" t="str">
            <v>箱</v>
          </cell>
          <cell r="J621">
            <v>80</v>
          </cell>
          <cell r="K621" t="str"/>
          <cell r="L621" t="str"/>
          <cell r="M621" t="str"/>
          <cell r="N621" t="str">
            <v>纸箱</v>
          </cell>
          <cell r="O621" t="str"/>
          <cell r="P621" t="str"/>
          <cell r="Q621" t="str"/>
          <cell r="R621" t="str">
            <v>自提</v>
          </cell>
          <cell r="S621" t="str">
            <v>公司筐</v>
          </cell>
          <cell r="T621" t="str">
            <v>王照雪</v>
          </cell>
          <cell r="U621" t="str"/>
          <cell r="V621" t="str"/>
          <cell r="W621" t="str"/>
          <cell r="X621" t="str">
            <v>四连书记</v>
          </cell>
          <cell r="Y621" t="str"/>
        </row>
        <row r="621">
          <cell r="AA621" t="str"/>
          <cell r="AB621" t="str"/>
          <cell r="AC621" t="str"/>
          <cell r="AD621" t="str">
            <v>成品出库</v>
          </cell>
          <cell r="AE621" t="str"/>
          <cell r="AF621" t="str"/>
        </row>
        <row r="622">
          <cell r="B622">
            <v>46284</v>
          </cell>
          <cell r="C622" t="str">
            <v>王照雪</v>
          </cell>
          <cell r="D622" t="str">
            <v>成品出库－成品出库</v>
          </cell>
          <cell r="E622" t="str">
            <v>NO:0001185</v>
          </cell>
          <cell r="F622" t="str">
            <v>苹果</v>
          </cell>
          <cell r="G622" t="str">
            <v>新世纪一级</v>
          </cell>
          <cell r="H622">
            <v>3</v>
          </cell>
          <cell r="I622" t="str">
            <v>箱</v>
          </cell>
          <cell r="J622">
            <v>15.3</v>
          </cell>
          <cell r="K622" t="str"/>
          <cell r="L622" t="str"/>
          <cell r="M622" t="str"/>
          <cell r="N622" t="str">
            <v>纸箱</v>
          </cell>
          <cell r="O622" t="str"/>
          <cell r="P622" t="str"/>
          <cell r="Q622" t="str"/>
          <cell r="R622" t="str">
            <v>豫N*P269J</v>
          </cell>
          <cell r="S622" t="str">
            <v>公司筐</v>
          </cell>
          <cell r="T622" t="str">
            <v>王照雪</v>
          </cell>
          <cell r="U622" t="str"/>
          <cell r="V622" t="str"/>
          <cell r="W622" t="str"/>
          <cell r="X622" t="str">
            <v>电商/主播</v>
          </cell>
          <cell r="Y622" t="str"/>
        </row>
        <row r="622">
          <cell r="AA622" t="str"/>
          <cell r="AB622" t="str"/>
          <cell r="AC622" t="str"/>
          <cell r="AD622" t="str">
            <v>成品出库</v>
          </cell>
          <cell r="AE622" t="str"/>
          <cell r="AF622" t="str"/>
        </row>
        <row r="623">
          <cell r="B623">
            <v>46286</v>
          </cell>
          <cell r="C623" t="str">
            <v>王照雪</v>
          </cell>
          <cell r="D623" t="str">
            <v>成品出库－成品出库</v>
          </cell>
          <cell r="E623" t="str">
            <v>NO:0001211</v>
          </cell>
          <cell r="F623" t="str">
            <v>苹果</v>
          </cell>
          <cell r="G623" t="str">
            <v>新世纪二级</v>
          </cell>
          <cell r="H623">
            <v>250</v>
          </cell>
          <cell r="I623" t="str">
            <v>筐</v>
          </cell>
          <cell r="J623">
            <v>5575</v>
          </cell>
          <cell r="K623" t="str"/>
          <cell r="L623" t="str"/>
          <cell r="M623" t="str"/>
          <cell r="N623" t="str">
            <v>自备一次性筐</v>
          </cell>
          <cell r="O623">
            <v>250</v>
          </cell>
          <cell r="P623" t="str"/>
          <cell r="Q623" t="str"/>
          <cell r="R623" t="str">
            <v>新A*G9383</v>
          </cell>
          <cell r="S623" t="str">
            <v>自备筐</v>
          </cell>
          <cell r="T623" t="str">
            <v>王照雪</v>
          </cell>
          <cell r="U623" t="str"/>
          <cell r="V623" t="str"/>
          <cell r="W623" t="str"/>
          <cell r="X623" t="str">
            <v>王照雪</v>
          </cell>
          <cell r="Y623" t="str"/>
        </row>
        <row r="623">
          <cell r="AA623" t="str"/>
          <cell r="AB623" t="str"/>
          <cell r="AC623" t="str"/>
          <cell r="AD623" t="str">
            <v>成品出库</v>
          </cell>
          <cell r="AE623" t="str"/>
          <cell r="AF623" t="str"/>
        </row>
        <row r="624">
          <cell r="B624">
            <v>46286</v>
          </cell>
          <cell r="C624" t="str">
            <v>王照雪</v>
          </cell>
          <cell r="D624" t="str">
            <v>成品出库－成品出库</v>
          </cell>
          <cell r="E624" t="str">
            <v>NO:0001211</v>
          </cell>
          <cell r="F624" t="str">
            <v>苹果</v>
          </cell>
          <cell r="G624" t="str">
            <v>新世纪一级</v>
          </cell>
          <cell r="H624">
            <v>226</v>
          </cell>
          <cell r="I624" t="str">
            <v>筐</v>
          </cell>
          <cell r="J624">
            <v>4135.8</v>
          </cell>
          <cell r="K624" t="str"/>
          <cell r="L624" t="str"/>
          <cell r="M624" t="str"/>
          <cell r="N624" t="str">
            <v>自备一次性筐</v>
          </cell>
          <cell r="O624">
            <v>226</v>
          </cell>
          <cell r="P624" t="str"/>
          <cell r="Q624" t="str"/>
          <cell r="R624" t="str">
            <v>新A*G9383</v>
          </cell>
          <cell r="S624" t="str">
            <v>自备筐</v>
          </cell>
          <cell r="T624" t="str">
            <v>王照雪</v>
          </cell>
          <cell r="U624" t="str"/>
          <cell r="V624" t="str"/>
          <cell r="W624" t="str"/>
          <cell r="X624" t="str">
            <v>王照雪</v>
          </cell>
          <cell r="Y624" t="str"/>
        </row>
        <row r="624">
          <cell r="AA624" t="str"/>
          <cell r="AB624" t="str"/>
          <cell r="AC624" t="str"/>
          <cell r="AD624" t="str">
            <v>成品出库</v>
          </cell>
          <cell r="AE624" t="str"/>
          <cell r="AF624" t="str"/>
        </row>
        <row r="625">
          <cell r="B625">
            <v>46287</v>
          </cell>
          <cell r="C625" t="str">
            <v>王灵云</v>
          </cell>
          <cell r="D625" t="str">
            <v>成品出库－成品出库</v>
          </cell>
          <cell r="E625" t="str">
            <v>NO:0001218</v>
          </cell>
          <cell r="F625" t="str">
            <v>香梨</v>
          </cell>
          <cell r="G625" t="str">
            <v>香梨一级</v>
          </cell>
          <cell r="H625">
            <v>1283</v>
          </cell>
          <cell r="I625" t="str">
            <v>筐</v>
          </cell>
          <cell r="J625">
            <v>23735.5</v>
          </cell>
          <cell r="K625" t="str"/>
          <cell r="L625" t="str"/>
          <cell r="M625" t="str"/>
          <cell r="N625" t="str">
            <v>自备一次性筐</v>
          </cell>
          <cell r="O625">
            <v>1283</v>
          </cell>
          <cell r="P625" t="str"/>
          <cell r="Q625" t="str"/>
          <cell r="R625" t="str">
            <v>陕A*DW123</v>
          </cell>
          <cell r="S625" t="str">
            <v>自备筐</v>
          </cell>
          <cell r="T625" t="str">
            <v>王灵云</v>
          </cell>
          <cell r="U625" t="str"/>
          <cell r="V625" t="str"/>
          <cell r="W625" t="str"/>
          <cell r="X625" t="str">
            <v>王灵云</v>
          </cell>
          <cell r="Y625" t="str"/>
        </row>
        <row r="625">
          <cell r="AA625" t="str"/>
          <cell r="AB625" t="str"/>
          <cell r="AC625" t="str"/>
          <cell r="AD625" t="str">
            <v>成品出库</v>
          </cell>
          <cell r="AE625" t="str"/>
          <cell r="AF625" t="str"/>
        </row>
        <row r="626">
          <cell r="B626">
            <v>46288</v>
          </cell>
          <cell r="C626" t="str">
            <v>麦麦提</v>
          </cell>
          <cell r="D626" t="str">
            <v>成品出库－成品出库</v>
          </cell>
          <cell r="E626" t="str">
            <v>NO:0001226</v>
          </cell>
          <cell r="F626" t="str">
            <v>香梨</v>
          </cell>
          <cell r="G626" t="str">
            <v>香梨一级</v>
          </cell>
          <cell r="H626">
            <v>936</v>
          </cell>
          <cell r="I626" t="str">
            <v>筐</v>
          </cell>
          <cell r="J626">
            <v>14040</v>
          </cell>
          <cell r="K626" t="str"/>
          <cell r="L626" t="str"/>
          <cell r="M626" t="str"/>
          <cell r="N626" t="str">
            <v>自备一次性筐</v>
          </cell>
          <cell r="O626">
            <v>936</v>
          </cell>
          <cell r="P626" t="str"/>
          <cell r="Q626" t="str"/>
          <cell r="R626" t="str">
            <v>鲁Q*039NX</v>
          </cell>
          <cell r="S626" t="str">
            <v>自备筐</v>
          </cell>
          <cell r="T626" t="str">
            <v>麦麦提</v>
          </cell>
          <cell r="U626" t="str"/>
          <cell r="V626" t="str"/>
          <cell r="W626" t="str"/>
          <cell r="X626" t="str">
            <v>麦麦提</v>
          </cell>
          <cell r="Y626" t="str"/>
        </row>
        <row r="626">
          <cell r="AA626" t="str"/>
          <cell r="AB626" t="str"/>
          <cell r="AC626" t="str"/>
          <cell r="AD626" t="str">
            <v>成品出库</v>
          </cell>
          <cell r="AE626" t="str"/>
          <cell r="AF626" t="str"/>
        </row>
        <row r="627">
          <cell r="B627">
            <v>46288</v>
          </cell>
          <cell r="C627" t="str">
            <v>麦麦提</v>
          </cell>
          <cell r="D627" t="str">
            <v>成品出库－成品出库</v>
          </cell>
          <cell r="E627" t="str">
            <v>NO:0001226</v>
          </cell>
          <cell r="F627" t="str">
            <v>香梨</v>
          </cell>
          <cell r="G627" t="str">
            <v>香梨特级</v>
          </cell>
          <cell r="H627">
            <v>376</v>
          </cell>
          <cell r="I627" t="str">
            <v>筐</v>
          </cell>
          <cell r="J627">
            <v>6016</v>
          </cell>
          <cell r="K627" t="str"/>
          <cell r="L627" t="str"/>
          <cell r="M627" t="str"/>
          <cell r="N627" t="str">
            <v>自备一次性筐</v>
          </cell>
          <cell r="O627">
            <v>376</v>
          </cell>
          <cell r="P627" t="str"/>
          <cell r="Q627" t="str"/>
          <cell r="R627" t="str">
            <v>鲁Q*039NX</v>
          </cell>
          <cell r="S627" t="str">
            <v>自备筐</v>
          </cell>
          <cell r="T627" t="str">
            <v>麦麦提</v>
          </cell>
          <cell r="U627" t="str"/>
          <cell r="V627" t="str"/>
          <cell r="W627" t="str"/>
          <cell r="X627" t="str">
            <v>麦麦提</v>
          </cell>
          <cell r="Y627" t="str"/>
        </row>
        <row r="627">
          <cell r="AA627" t="str"/>
          <cell r="AB627" t="str"/>
          <cell r="AC627" t="str"/>
          <cell r="AD627" t="str">
            <v>成品出库</v>
          </cell>
          <cell r="AE627" t="str"/>
          <cell r="AF627" t="str"/>
        </row>
        <row r="628">
          <cell r="B628">
            <v>46292</v>
          </cell>
          <cell r="C628" t="str">
            <v>王灵云</v>
          </cell>
          <cell r="D628" t="str">
            <v>成品出库－成品出库</v>
          </cell>
          <cell r="E628" t="str">
            <v>NO:0001245</v>
          </cell>
          <cell r="F628" t="str">
            <v>香梨</v>
          </cell>
          <cell r="G628" t="str">
            <v>香梨一级</v>
          </cell>
          <cell r="H628">
            <v>1194</v>
          </cell>
          <cell r="I628" t="str">
            <v>筐</v>
          </cell>
          <cell r="J628">
            <v>22089</v>
          </cell>
          <cell r="K628" t="str"/>
          <cell r="L628" t="str"/>
          <cell r="M628" t="str"/>
          <cell r="N628" t="str">
            <v>自备一次性筐</v>
          </cell>
          <cell r="O628">
            <v>1194</v>
          </cell>
          <cell r="P628" t="str"/>
          <cell r="Q628" t="str"/>
          <cell r="R628" t="str">
            <v>辽P*D6006</v>
          </cell>
          <cell r="S628" t="str">
            <v>自备筐</v>
          </cell>
          <cell r="T628" t="str">
            <v>王灵云</v>
          </cell>
          <cell r="U628" t="str"/>
          <cell r="V628" t="str"/>
          <cell r="W628" t="str"/>
          <cell r="X628" t="str">
            <v>王灵云</v>
          </cell>
          <cell r="Y628" t="str"/>
        </row>
        <row r="628">
          <cell r="AA628" t="str"/>
          <cell r="AB628" t="str"/>
          <cell r="AC628" t="str"/>
          <cell r="AD628" t="str">
            <v>成品出库</v>
          </cell>
          <cell r="AE628" t="str"/>
          <cell r="AF628" t="str"/>
        </row>
        <row r="629">
          <cell r="B629">
            <v>46292</v>
          </cell>
          <cell r="C629" t="str">
            <v>王灵云</v>
          </cell>
          <cell r="D629" t="str">
            <v>成品出库－成品出库</v>
          </cell>
          <cell r="E629" t="str">
            <v>NO:0001245</v>
          </cell>
          <cell r="F629" t="str">
            <v>香梨</v>
          </cell>
          <cell r="G629" t="str">
            <v>香梨二级</v>
          </cell>
          <cell r="H629">
            <v>288</v>
          </cell>
          <cell r="I629" t="str">
            <v>箱</v>
          </cell>
          <cell r="J629">
            <v>1440</v>
          </cell>
          <cell r="K629" t="str"/>
          <cell r="L629" t="str"/>
          <cell r="M629" t="str"/>
          <cell r="N629" t="str">
            <v>纸箱</v>
          </cell>
          <cell r="O629" t="str"/>
          <cell r="P629" t="str"/>
          <cell r="Q629" t="str"/>
          <cell r="R629" t="str">
            <v>辽P*D6006</v>
          </cell>
          <cell r="S629" t="str">
            <v>公司筐</v>
          </cell>
          <cell r="T629" t="str">
            <v>王灵云</v>
          </cell>
          <cell r="U629" t="str"/>
          <cell r="V629" t="str"/>
          <cell r="W629" t="str"/>
          <cell r="X629" t="str">
            <v>王灵云</v>
          </cell>
          <cell r="Y629" t="str"/>
        </row>
        <row r="629">
          <cell r="AA629" t="str"/>
          <cell r="AB629" t="str"/>
          <cell r="AC629" t="str"/>
          <cell r="AD629" t="str">
            <v>成品出库</v>
          </cell>
          <cell r="AE629" t="str"/>
          <cell r="AF629" t="str"/>
        </row>
        <row r="630">
          <cell r="B630">
            <v>46274</v>
          </cell>
          <cell r="C630" t="str">
            <v>麦麦提</v>
          </cell>
          <cell r="D630" t="str">
            <v>成品出库－果然鲜送礼</v>
          </cell>
          <cell r="E630" t="str">
            <v>NO:0000141</v>
          </cell>
          <cell r="F630" t="str">
            <v>香梨</v>
          </cell>
          <cell r="G630" t="str">
            <v>香梨特级</v>
          </cell>
          <cell r="H630">
            <v>4</v>
          </cell>
          <cell r="I630" t="str">
            <v>箱</v>
          </cell>
          <cell r="J630">
            <v>20</v>
          </cell>
          <cell r="K630" t="str"/>
          <cell r="L630" t="str"/>
          <cell r="M630" t="str"/>
          <cell r="N630" t="str">
            <v>纸箱</v>
          </cell>
          <cell r="O630" t="str"/>
          <cell r="P630" t="str"/>
          <cell r="Q630" t="str"/>
          <cell r="R630" t="str"/>
          <cell r="S630" t="str">
            <v>公司筐</v>
          </cell>
          <cell r="T630" t="str">
            <v>麦麦提</v>
          </cell>
          <cell r="U630" t="str"/>
          <cell r="V630" t="str"/>
          <cell r="W630" t="str"/>
          <cell r="X630" t="str">
            <v>汇金纸箱厂</v>
          </cell>
          <cell r="Y630" t="str"/>
        </row>
        <row r="630">
          <cell r="AA630" t="str"/>
          <cell r="AB630" t="str"/>
          <cell r="AC630" t="str"/>
          <cell r="AD630" t="str">
            <v>果然鲜送礼</v>
          </cell>
          <cell r="AE630" t="str"/>
          <cell r="AF630" t="str"/>
        </row>
        <row r="631">
          <cell r="B631">
            <v>46281</v>
          </cell>
          <cell r="C631" t="str">
            <v>王照雪</v>
          </cell>
          <cell r="D631" t="str">
            <v>成品出库－果然鲜送礼</v>
          </cell>
          <cell r="E631" t="str">
            <v>NO:0000142</v>
          </cell>
          <cell r="F631" t="str">
            <v>苹果</v>
          </cell>
          <cell r="G631" t="str">
            <v>新世纪一级</v>
          </cell>
          <cell r="H631">
            <v>2</v>
          </cell>
          <cell r="I631" t="str">
            <v>箱</v>
          </cell>
          <cell r="J631">
            <v>10</v>
          </cell>
          <cell r="K631" t="str"/>
          <cell r="L631" t="str"/>
          <cell r="M631" t="str"/>
          <cell r="N631" t="str">
            <v>纸箱</v>
          </cell>
          <cell r="O631" t="str"/>
          <cell r="P631" t="str"/>
          <cell r="Q631" t="str"/>
          <cell r="R631" t="str"/>
          <cell r="S631" t="str">
            <v>公司筐</v>
          </cell>
          <cell r="T631" t="str">
            <v>王照雪</v>
          </cell>
          <cell r="U631" t="str"/>
          <cell r="V631" t="str"/>
          <cell r="W631" t="str"/>
          <cell r="X631" t="str">
            <v>顾宝民</v>
          </cell>
          <cell r="Y631" t="str"/>
        </row>
        <row r="631">
          <cell r="AA631" t="str"/>
          <cell r="AB631" t="str"/>
          <cell r="AC631" t="str"/>
          <cell r="AD631" t="str">
            <v>果然鲜送礼</v>
          </cell>
          <cell r="AE631" t="str"/>
          <cell r="AF631" t="str"/>
        </row>
        <row r="632">
          <cell r="B632">
            <v>46281</v>
          </cell>
          <cell r="C632" t="str">
            <v>王浩</v>
          </cell>
          <cell r="D632" t="str">
            <v>成品出库－果然鲜销售</v>
          </cell>
          <cell r="E632" t="str">
            <v>NO:0000142</v>
          </cell>
          <cell r="F632" t="str">
            <v>香梨</v>
          </cell>
          <cell r="G632" t="str">
            <v>香梨一级</v>
          </cell>
          <cell r="H632">
            <v>4</v>
          </cell>
          <cell r="I632" t="str">
            <v>箱</v>
          </cell>
          <cell r="J632">
            <v>20</v>
          </cell>
          <cell r="K632">
            <v>210</v>
          </cell>
          <cell r="L632" t="str">
            <v>已收讫</v>
          </cell>
          <cell r="M632" t="str"/>
          <cell r="N632" t="str">
            <v>纸箱</v>
          </cell>
          <cell r="O632" t="str"/>
          <cell r="P632" t="str"/>
          <cell r="Q632" t="str"/>
          <cell r="R632" t="str"/>
          <cell r="S632" t="str">
            <v>公司筐</v>
          </cell>
          <cell r="T632" t="str">
            <v>王浩</v>
          </cell>
          <cell r="U632">
            <v>40</v>
          </cell>
          <cell r="V632">
            <v>160</v>
          </cell>
          <cell r="W632" t="str">
            <v>已付清</v>
          </cell>
          <cell r="X632" t="str">
            <v>大汪总</v>
          </cell>
          <cell r="Y632">
            <v>50</v>
          </cell>
        </row>
        <row r="632">
          <cell r="AA632">
            <v>10</v>
          </cell>
          <cell r="AB632" t="str"/>
          <cell r="AC632" t="str"/>
          <cell r="AD632" t="str">
            <v>果然鲜销售</v>
          </cell>
          <cell r="AE632">
            <v>200</v>
          </cell>
          <cell r="AF632">
            <v>160</v>
          </cell>
        </row>
        <row r="633">
          <cell r="B633">
            <v>46281</v>
          </cell>
          <cell r="C633" t="str">
            <v>王浩</v>
          </cell>
          <cell r="D633" t="str">
            <v>成品出库－果然鲜销售</v>
          </cell>
          <cell r="E633" t="str">
            <v>NO:0000142</v>
          </cell>
          <cell r="F633" t="str">
            <v>香梨</v>
          </cell>
          <cell r="G633" t="str">
            <v>香梨特级</v>
          </cell>
          <cell r="H633">
            <v>8</v>
          </cell>
          <cell r="I633" t="str">
            <v>箱</v>
          </cell>
          <cell r="J633">
            <v>40</v>
          </cell>
          <cell r="K633">
            <v>400</v>
          </cell>
          <cell r="L633" t="str">
            <v>未收款</v>
          </cell>
          <cell r="M633" t="str"/>
          <cell r="N633" t="str">
            <v>纸箱</v>
          </cell>
          <cell r="O633" t="str"/>
          <cell r="P633" t="str"/>
          <cell r="Q633" t="str"/>
          <cell r="R633" t="str"/>
          <cell r="S633" t="str">
            <v>公司筐</v>
          </cell>
          <cell r="T633" t="str">
            <v>王浩</v>
          </cell>
          <cell r="U633">
            <v>40</v>
          </cell>
          <cell r="V633">
            <v>320</v>
          </cell>
          <cell r="W633" t="str">
            <v>未付款</v>
          </cell>
          <cell r="X633" t="str">
            <v>大汪总</v>
          </cell>
          <cell r="Y633">
            <v>50</v>
          </cell>
        </row>
        <row r="633">
          <cell r="AA633" t="str"/>
          <cell r="AB633" t="str"/>
          <cell r="AC633">
            <v>10</v>
          </cell>
          <cell r="AD633" t="str">
            <v>果然鲜销售</v>
          </cell>
          <cell r="AE633">
            <v>400</v>
          </cell>
          <cell r="AF633">
            <v>330</v>
          </cell>
        </row>
        <row r="634">
          <cell r="B634">
            <v>46287</v>
          </cell>
          <cell r="C634" t="str">
            <v>王照雪</v>
          </cell>
          <cell r="D634" t="str">
            <v>成品出库－果然鲜送礼</v>
          </cell>
          <cell r="E634" t="str">
            <v>NO:0000143</v>
          </cell>
          <cell r="F634" t="str">
            <v>苹果</v>
          </cell>
          <cell r="G634" t="str">
            <v>新世纪一级</v>
          </cell>
          <cell r="H634">
            <v>1</v>
          </cell>
          <cell r="I634" t="str">
            <v>箱</v>
          </cell>
          <cell r="J634">
            <v>5</v>
          </cell>
          <cell r="K634" t="str"/>
          <cell r="L634" t="str"/>
          <cell r="M634" t="str"/>
          <cell r="N634" t="str">
            <v>纸箱</v>
          </cell>
          <cell r="O634" t="str"/>
          <cell r="P634" t="str"/>
          <cell r="Q634" t="str"/>
          <cell r="R634" t="str"/>
          <cell r="S634" t="str">
            <v>公司筐</v>
          </cell>
          <cell r="T634" t="str">
            <v>王照雪</v>
          </cell>
          <cell r="U634" t="str"/>
          <cell r="V634" t="str"/>
          <cell r="W634" t="str"/>
          <cell r="X634" t="str">
            <v>松鼠</v>
          </cell>
          <cell r="Y634" t="str"/>
        </row>
        <row r="634">
          <cell r="AA634" t="str"/>
          <cell r="AB634" t="str"/>
          <cell r="AC634" t="str"/>
          <cell r="AD634" t="str">
            <v>果然鲜送礼</v>
          </cell>
          <cell r="AE634" t="str"/>
          <cell r="AF634" t="str"/>
        </row>
        <row r="635">
          <cell r="B635">
            <v>46287</v>
          </cell>
          <cell r="C635" t="str">
            <v>王照雪</v>
          </cell>
          <cell r="D635" t="str">
            <v>成品出库－果然鲜送礼</v>
          </cell>
          <cell r="E635" t="str">
            <v>NO:0000143</v>
          </cell>
          <cell r="F635" t="str">
            <v>香梨</v>
          </cell>
          <cell r="G635" t="str">
            <v>香梨一级</v>
          </cell>
          <cell r="H635">
            <v>1</v>
          </cell>
          <cell r="I635" t="str">
            <v>箱</v>
          </cell>
          <cell r="J635">
            <v>5</v>
          </cell>
          <cell r="K635" t="str"/>
          <cell r="L635" t="str"/>
          <cell r="M635" t="str"/>
          <cell r="N635" t="str">
            <v>纸箱</v>
          </cell>
          <cell r="O635" t="str"/>
          <cell r="P635" t="str"/>
          <cell r="Q635" t="str"/>
          <cell r="R635" t="str"/>
          <cell r="S635" t="str">
            <v>公司筐</v>
          </cell>
          <cell r="T635" t="str">
            <v>王照雪</v>
          </cell>
          <cell r="U635" t="str"/>
          <cell r="V635" t="str"/>
          <cell r="W635" t="str"/>
          <cell r="X635" t="str">
            <v>松鼠</v>
          </cell>
          <cell r="Y635" t="str"/>
        </row>
        <row r="635">
          <cell r="AA635" t="str"/>
          <cell r="AB635" t="str"/>
          <cell r="AC635" t="str"/>
          <cell r="AD635" t="str">
            <v>果然鲜送礼</v>
          </cell>
          <cell r="AE635" t="str"/>
          <cell r="AF635" t="str"/>
        </row>
        <row r="636">
          <cell r="B636">
            <v>46289</v>
          </cell>
          <cell r="C636" t="str">
            <v>王照雪</v>
          </cell>
          <cell r="D636" t="str">
            <v>成品出库－果然鲜销售</v>
          </cell>
          <cell r="E636" t="str">
            <v>NO:0000144</v>
          </cell>
          <cell r="F636" t="str">
            <v>苹果</v>
          </cell>
          <cell r="G636" t="str">
            <v>新世纪一级</v>
          </cell>
          <cell r="H636">
            <v>4</v>
          </cell>
          <cell r="I636" t="str">
            <v>箱</v>
          </cell>
          <cell r="J636">
            <v>20</v>
          </cell>
          <cell r="K636">
            <v>200</v>
          </cell>
          <cell r="L636" t="str">
            <v>未收款</v>
          </cell>
          <cell r="M636" t="str"/>
          <cell r="N636" t="str">
            <v>纸箱</v>
          </cell>
          <cell r="O636" t="str"/>
          <cell r="P636" t="str"/>
          <cell r="Q636" t="str"/>
          <cell r="R636" t="str"/>
          <cell r="S636" t="str">
            <v>公司筐</v>
          </cell>
          <cell r="T636" t="str">
            <v>王照雪</v>
          </cell>
          <cell r="U636">
            <v>40</v>
          </cell>
          <cell r="V636">
            <v>160</v>
          </cell>
          <cell r="W636" t="str">
            <v>未付款</v>
          </cell>
          <cell r="X636" t="str">
            <v>大汪总</v>
          </cell>
          <cell r="Y636">
            <v>50</v>
          </cell>
        </row>
        <row r="636">
          <cell r="AA636" t="str"/>
          <cell r="AB636" t="str"/>
          <cell r="AC636" t="str"/>
          <cell r="AD636" t="str">
            <v>果然鲜销售</v>
          </cell>
          <cell r="AE636">
            <v>200</v>
          </cell>
          <cell r="AF636">
            <v>160</v>
          </cell>
        </row>
        <row r="637">
          <cell r="B637">
            <v>46289</v>
          </cell>
          <cell r="C637" t="str">
            <v>王照雪</v>
          </cell>
          <cell r="D637" t="str">
            <v>成品出库－果然鲜销售</v>
          </cell>
          <cell r="E637" t="str">
            <v>NO:0000144</v>
          </cell>
          <cell r="F637" t="str">
            <v>香梨</v>
          </cell>
          <cell r="G637" t="str">
            <v>香梨一级</v>
          </cell>
          <cell r="H637">
            <v>4</v>
          </cell>
          <cell r="I637" t="str">
            <v>箱</v>
          </cell>
          <cell r="J637">
            <v>20</v>
          </cell>
          <cell r="K637">
            <v>200</v>
          </cell>
          <cell r="L637" t="str">
            <v>未收款</v>
          </cell>
          <cell r="M637" t="str"/>
          <cell r="N637" t="str">
            <v>纸箱</v>
          </cell>
          <cell r="O637" t="str"/>
          <cell r="P637" t="str"/>
          <cell r="Q637" t="str"/>
          <cell r="R637" t="str"/>
          <cell r="S637" t="str">
            <v>公司筐</v>
          </cell>
          <cell r="T637" t="str">
            <v>王照雪</v>
          </cell>
          <cell r="U637">
            <v>40</v>
          </cell>
          <cell r="V637">
            <v>160</v>
          </cell>
          <cell r="W637" t="str">
            <v>未付款</v>
          </cell>
          <cell r="X637" t="str">
            <v>大汪总</v>
          </cell>
          <cell r="Y637">
            <v>50</v>
          </cell>
        </row>
        <row r="637">
          <cell r="AA637" t="str"/>
          <cell r="AB637" t="str"/>
          <cell r="AC637" t="str"/>
          <cell r="AD637" t="str">
            <v>果然鲜销售</v>
          </cell>
          <cell r="AE637">
            <v>200</v>
          </cell>
          <cell r="AF637">
            <v>160</v>
          </cell>
        </row>
        <row r="638">
          <cell r="B638">
            <v>46289</v>
          </cell>
          <cell r="C638" t="str">
            <v>王浩</v>
          </cell>
          <cell r="D638" t="str">
            <v>成品出库－果然鲜销售</v>
          </cell>
          <cell r="E638" t="str">
            <v>NO:0000145</v>
          </cell>
          <cell r="F638" t="str">
            <v>香梨</v>
          </cell>
          <cell r="G638" t="str">
            <v>香梨一级</v>
          </cell>
          <cell r="H638">
            <v>2</v>
          </cell>
          <cell r="I638" t="str">
            <v>箱</v>
          </cell>
          <cell r="J638">
            <v>10</v>
          </cell>
          <cell r="K638">
            <v>100</v>
          </cell>
          <cell r="L638" t="str">
            <v>未收款</v>
          </cell>
          <cell r="M638" t="str"/>
          <cell r="N638" t="str">
            <v>纸箱</v>
          </cell>
          <cell r="O638" t="str"/>
          <cell r="P638" t="str"/>
          <cell r="Q638" t="str"/>
          <cell r="R638" t="str"/>
          <cell r="S638" t="str">
            <v>公司筐</v>
          </cell>
          <cell r="T638" t="str">
            <v>王浩</v>
          </cell>
          <cell r="U638">
            <v>40</v>
          </cell>
          <cell r="V638">
            <v>80</v>
          </cell>
          <cell r="W638" t="str">
            <v>未付款</v>
          </cell>
          <cell r="X638" t="str">
            <v>大汪总</v>
          </cell>
          <cell r="Y638">
            <v>50</v>
          </cell>
        </row>
        <row r="638">
          <cell r="AA638" t="str"/>
          <cell r="AB638" t="str"/>
          <cell r="AC638" t="str"/>
          <cell r="AD638" t="str">
            <v>果然鲜销售</v>
          </cell>
          <cell r="AE638">
            <v>100</v>
          </cell>
          <cell r="AF638">
            <v>80</v>
          </cell>
        </row>
        <row r="639">
          <cell r="B639">
            <v>46289</v>
          </cell>
          <cell r="C639" t="str">
            <v>王浩</v>
          </cell>
          <cell r="D639" t="str">
            <v>成品出库－果然鲜销售</v>
          </cell>
          <cell r="E639" t="str">
            <v>NO:0000145</v>
          </cell>
          <cell r="F639" t="str">
            <v>香梨</v>
          </cell>
          <cell r="G639" t="str">
            <v>香梨一级</v>
          </cell>
          <cell r="H639">
            <v>1</v>
          </cell>
          <cell r="I639" t="str">
            <v>箱</v>
          </cell>
          <cell r="J639">
            <v>5</v>
          </cell>
          <cell r="K639">
            <v>60</v>
          </cell>
          <cell r="L639" t="str">
            <v>未收款</v>
          </cell>
          <cell r="M639" t="str"/>
          <cell r="N639" t="str">
            <v>纸箱</v>
          </cell>
          <cell r="O639" t="str"/>
          <cell r="P639" t="str"/>
          <cell r="Q639" t="str"/>
          <cell r="R639" t="str"/>
          <cell r="S639" t="str">
            <v>公司筐</v>
          </cell>
          <cell r="T639" t="str">
            <v>王浩</v>
          </cell>
          <cell r="U639">
            <v>40</v>
          </cell>
          <cell r="V639">
            <v>40</v>
          </cell>
          <cell r="W639" t="str">
            <v>未付款</v>
          </cell>
          <cell r="X639" t="str">
            <v>谢老大</v>
          </cell>
          <cell r="Y639">
            <v>50</v>
          </cell>
        </row>
        <row r="639">
          <cell r="AA639" t="str"/>
          <cell r="AB639">
            <v>10</v>
          </cell>
          <cell r="AC639" t="str"/>
          <cell r="AD639" t="str">
            <v>果然鲜销售</v>
          </cell>
          <cell r="AE639">
            <v>50</v>
          </cell>
          <cell r="AF639">
            <v>40</v>
          </cell>
        </row>
        <row r="640">
          <cell r="B640">
            <v>46290</v>
          </cell>
          <cell r="C640" t="str">
            <v>王浩</v>
          </cell>
          <cell r="D640" t="str">
            <v>成品出库－果然鲜送礼</v>
          </cell>
          <cell r="E640" t="str">
            <v>NO:0000146</v>
          </cell>
          <cell r="F640" t="str">
            <v>香梨</v>
          </cell>
          <cell r="G640" t="str">
            <v>香梨一级</v>
          </cell>
          <cell r="H640">
            <v>1</v>
          </cell>
          <cell r="I640" t="str">
            <v>箱</v>
          </cell>
          <cell r="J640">
            <v>5</v>
          </cell>
          <cell r="K640" t="str"/>
          <cell r="L640" t="str"/>
          <cell r="M640" t="str"/>
          <cell r="N640" t="str">
            <v>纸箱</v>
          </cell>
          <cell r="O640" t="str"/>
          <cell r="P640" t="str"/>
          <cell r="Q640" t="str"/>
          <cell r="R640" t="str"/>
          <cell r="S640" t="str">
            <v>公司筐</v>
          </cell>
          <cell r="T640" t="str">
            <v>王浩</v>
          </cell>
          <cell r="U640" t="str"/>
          <cell r="V640" t="str"/>
          <cell r="W640" t="str"/>
          <cell r="X640" t="str">
            <v>老师</v>
          </cell>
          <cell r="Y640" t="str"/>
        </row>
        <row r="640">
          <cell r="AA640" t="str"/>
          <cell r="AB640" t="str"/>
          <cell r="AC640" t="str"/>
          <cell r="AD640" t="str">
            <v>果然鲜送礼</v>
          </cell>
          <cell r="AE640" t="str"/>
          <cell r="AF640" t="str"/>
        </row>
        <row r="641">
          <cell r="B641" t="str"/>
          <cell r="C641" t="str"/>
          <cell r="D641" t="str"/>
          <cell r="E641" t="str"/>
          <cell r="F641" t="str"/>
          <cell r="G641" t="str"/>
          <cell r="H641" t="str"/>
          <cell r="I641" t="str"/>
          <cell r="J641" t="str"/>
          <cell r="K641" t="str"/>
          <cell r="L641" t="str"/>
          <cell r="M641" t="str"/>
          <cell r="N641" t="str"/>
          <cell r="O641" t="str"/>
          <cell r="P641" t="str"/>
          <cell r="Q641" t="str"/>
          <cell r="R641" t="str"/>
          <cell r="S641" t="str"/>
          <cell r="T641" t="str"/>
          <cell r="U641" t="str"/>
          <cell r="V641" t="str"/>
          <cell r="W641" t="str"/>
          <cell r="X641" t="str"/>
          <cell r="Y641" t="str"/>
        </row>
        <row r="641">
          <cell r="AA641" t="str"/>
          <cell r="AB641" t="str"/>
          <cell r="AC641" t="str"/>
          <cell r="AD641" t="str"/>
          <cell r="AE641" t="str"/>
          <cell r="AF641" t="str"/>
        </row>
        <row r="642">
          <cell r="B642" t="str"/>
          <cell r="C642" t="str"/>
          <cell r="D642" t="str"/>
          <cell r="E642" t="str"/>
          <cell r="F642" t="str"/>
          <cell r="G642" t="str"/>
          <cell r="H642" t="str"/>
          <cell r="I642" t="str"/>
          <cell r="J642" t="str"/>
          <cell r="K642" t="str"/>
          <cell r="L642" t="str"/>
          <cell r="M642" t="str"/>
          <cell r="N642" t="str"/>
          <cell r="O642" t="str"/>
          <cell r="P642" t="str"/>
          <cell r="Q642" t="str"/>
          <cell r="R642" t="str"/>
          <cell r="S642" t="str"/>
          <cell r="T642" t="str"/>
          <cell r="U642" t="str"/>
          <cell r="V642" t="str"/>
          <cell r="W642" t="str"/>
          <cell r="X642" t="str"/>
          <cell r="Y642" t="str"/>
        </row>
        <row r="642">
          <cell r="AA642" t="str"/>
          <cell r="AB642" t="str"/>
          <cell r="AC642" t="str"/>
          <cell r="AD642" t="str"/>
          <cell r="AE642" t="str"/>
          <cell r="AF642" t="str"/>
        </row>
        <row r="643">
          <cell r="B643" t="str"/>
          <cell r="C643" t="str"/>
          <cell r="D643" t="str"/>
          <cell r="E643" t="str"/>
          <cell r="F643" t="str"/>
          <cell r="G643" t="str"/>
          <cell r="H643" t="str"/>
          <cell r="I643" t="str"/>
          <cell r="J643" t="str"/>
          <cell r="K643" t="str"/>
          <cell r="L643" t="str"/>
          <cell r="M643" t="str"/>
          <cell r="N643" t="str"/>
          <cell r="O643" t="str"/>
          <cell r="P643" t="str"/>
          <cell r="Q643" t="str"/>
          <cell r="R643" t="str"/>
          <cell r="S643" t="str"/>
          <cell r="T643" t="str"/>
          <cell r="U643" t="str"/>
          <cell r="V643" t="str"/>
          <cell r="W643" t="str"/>
          <cell r="X643" t="str"/>
          <cell r="Y643" t="str"/>
        </row>
        <row r="643">
          <cell r="AA643" t="str"/>
          <cell r="AB643" t="str"/>
          <cell r="AC643" t="str"/>
          <cell r="AD643" t="str"/>
          <cell r="AE643" t="str"/>
          <cell r="AF643" t="str"/>
        </row>
        <row r="644">
          <cell r="B644" t="str"/>
          <cell r="C644" t="str"/>
          <cell r="D644" t="str"/>
          <cell r="E644" t="str"/>
          <cell r="F644" t="str"/>
          <cell r="G644" t="str"/>
          <cell r="H644" t="str"/>
          <cell r="I644" t="str"/>
          <cell r="J644" t="str"/>
          <cell r="K644" t="str"/>
          <cell r="L644" t="str"/>
          <cell r="M644" t="str"/>
          <cell r="N644" t="str"/>
          <cell r="O644" t="str"/>
          <cell r="P644" t="str"/>
          <cell r="Q644" t="str"/>
          <cell r="R644" t="str"/>
          <cell r="S644" t="str"/>
          <cell r="T644" t="str"/>
          <cell r="U644" t="str"/>
          <cell r="V644" t="str"/>
          <cell r="W644" t="str"/>
          <cell r="X644" t="str"/>
          <cell r="Y644" t="str"/>
        </row>
        <row r="644">
          <cell r="AA644" t="str"/>
          <cell r="AB644" t="str"/>
          <cell r="AC644" t="str"/>
          <cell r="AD644" t="str"/>
          <cell r="AE644" t="str"/>
          <cell r="AF644" t="str"/>
        </row>
        <row r="645">
          <cell r="B645" t="str"/>
          <cell r="C645" t="str"/>
          <cell r="D645" t="str"/>
          <cell r="E645" t="str"/>
          <cell r="F645" t="str"/>
          <cell r="G645" t="str"/>
          <cell r="H645" t="str"/>
          <cell r="I645" t="str"/>
          <cell r="J645" t="str"/>
          <cell r="K645" t="str"/>
          <cell r="L645" t="str"/>
          <cell r="M645" t="str"/>
          <cell r="N645" t="str"/>
          <cell r="O645" t="str"/>
          <cell r="P645" t="str"/>
          <cell r="Q645" t="str"/>
          <cell r="R645" t="str"/>
          <cell r="S645" t="str"/>
          <cell r="T645" t="str"/>
          <cell r="U645" t="str"/>
          <cell r="V645" t="str"/>
          <cell r="W645" t="str"/>
          <cell r="X645" t="str"/>
          <cell r="Y645" t="str"/>
        </row>
        <row r="645">
          <cell r="AA645" t="str"/>
          <cell r="AB645" t="str"/>
          <cell r="AC645" t="str"/>
          <cell r="AD645" t="str"/>
          <cell r="AE645" t="str"/>
          <cell r="AF645" t="str"/>
        </row>
        <row r="646">
          <cell r="B646" t="str"/>
          <cell r="C646" t="str"/>
          <cell r="D646" t="str"/>
          <cell r="E646" t="str"/>
          <cell r="F646" t="str"/>
          <cell r="G646" t="str"/>
          <cell r="H646" t="str"/>
          <cell r="I646" t="str"/>
          <cell r="J646" t="str"/>
          <cell r="K646" t="str"/>
          <cell r="L646" t="str"/>
          <cell r="M646" t="str"/>
          <cell r="N646" t="str"/>
          <cell r="O646" t="str"/>
          <cell r="P646" t="str"/>
          <cell r="Q646" t="str"/>
          <cell r="R646" t="str"/>
          <cell r="S646" t="str"/>
          <cell r="T646" t="str"/>
          <cell r="U646" t="str"/>
          <cell r="V646" t="str"/>
          <cell r="W646" t="str"/>
          <cell r="X646" t="str"/>
          <cell r="Y646" t="str"/>
        </row>
        <row r="646">
          <cell r="AA646" t="str"/>
          <cell r="AB646" t="str"/>
          <cell r="AC646" t="str"/>
          <cell r="AD646" t="str"/>
          <cell r="AE646" t="str"/>
          <cell r="AF646" t="str"/>
        </row>
        <row r="647">
          <cell r="B647" t="str"/>
          <cell r="C647" t="str"/>
          <cell r="D647" t="str"/>
          <cell r="E647" t="str"/>
          <cell r="F647" t="str"/>
          <cell r="G647" t="str"/>
          <cell r="H647" t="str"/>
          <cell r="I647" t="str"/>
          <cell r="J647" t="str"/>
          <cell r="K647" t="str"/>
          <cell r="L647" t="str"/>
          <cell r="M647" t="str"/>
          <cell r="N647" t="str"/>
          <cell r="O647" t="str"/>
          <cell r="P647" t="str"/>
          <cell r="Q647" t="str"/>
          <cell r="R647" t="str"/>
          <cell r="S647" t="str"/>
          <cell r="T647" t="str"/>
          <cell r="U647" t="str"/>
          <cell r="V647" t="str"/>
          <cell r="W647" t="str"/>
          <cell r="X647" t="str"/>
          <cell r="Y647" t="str"/>
        </row>
        <row r="647">
          <cell r="AA647" t="str"/>
          <cell r="AB647" t="str"/>
          <cell r="AC647" t="str"/>
          <cell r="AD647" t="str"/>
          <cell r="AE647" t="str"/>
          <cell r="AF647" t="str"/>
        </row>
        <row r="648">
          <cell r="B648" t="str"/>
          <cell r="C648" t="str"/>
          <cell r="D648" t="str"/>
          <cell r="E648" t="str"/>
          <cell r="F648" t="str"/>
          <cell r="G648" t="str"/>
          <cell r="H648" t="str"/>
          <cell r="I648" t="str"/>
          <cell r="J648" t="str"/>
          <cell r="K648" t="str"/>
          <cell r="L648" t="str"/>
          <cell r="M648" t="str"/>
          <cell r="N648" t="str"/>
          <cell r="O648" t="str"/>
          <cell r="P648" t="str"/>
          <cell r="Q648" t="str"/>
          <cell r="R648" t="str"/>
          <cell r="S648" t="str"/>
          <cell r="T648" t="str"/>
          <cell r="U648" t="str"/>
          <cell r="V648" t="str"/>
          <cell r="W648" t="str"/>
          <cell r="X648" t="str"/>
          <cell r="Y648" t="str"/>
        </row>
        <row r="648">
          <cell r="AA648" t="str"/>
          <cell r="AB648" t="str"/>
          <cell r="AC648" t="str"/>
          <cell r="AD648" t="str"/>
          <cell r="AE648" t="str"/>
          <cell r="AF648" t="str"/>
        </row>
        <row r="649">
          <cell r="B649" t="str"/>
          <cell r="C649" t="str"/>
          <cell r="D649" t="str"/>
          <cell r="E649" t="str"/>
          <cell r="F649" t="str"/>
          <cell r="G649" t="str"/>
          <cell r="H649" t="str"/>
          <cell r="I649" t="str"/>
          <cell r="J649" t="str"/>
          <cell r="K649" t="str"/>
          <cell r="L649" t="str"/>
          <cell r="M649" t="str"/>
          <cell r="N649" t="str"/>
          <cell r="O649" t="str"/>
          <cell r="P649" t="str"/>
          <cell r="Q649" t="str"/>
          <cell r="R649" t="str"/>
          <cell r="S649" t="str"/>
          <cell r="T649" t="str"/>
          <cell r="U649" t="str"/>
          <cell r="V649" t="str"/>
          <cell r="W649" t="str"/>
          <cell r="X649" t="str"/>
          <cell r="Y649" t="str"/>
        </row>
        <row r="649">
          <cell r="AA649" t="str"/>
          <cell r="AB649" t="str"/>
          <cell r="AC649" t="str"/>
          <cell r="AD649" t="str"/>
          <cell r="AE649" t="str"/>
          <cell r="AF649" t="str"/>
        </row>
        <row r="650">
          <cell r="B650" t="str"/>
          <cell r="C650" t="str"/>
          <cell r="D650" t="str"/>
          <cell r="E650" t="str"/>
          <cell r="F650" t="str"/>
          <cell r="G650" t="str"/>
          <cell r="H650" t="str"/>
          <cell r="I650" t="str"/>
          <cell r="J650" t="str"/>
          <cell r="K650" t="str"/>
          <cell r="L650" t="str"/>
          <cell r="M650" t="str"/>
          <cell r="N650" t="str"/>
          <cell r="O650" t="str"/>
          <cell r="P650" t="str"/>
          <cell r="Q650" t="str"/>
          <cell r="R650" t="str"/>
          <cell r="S650" t="str"/>
          <cell r="T650" t="str"/>
          <cell r="U650" t="str"/>
          <cell r="V650" t="str"/>
          <cell r="W650" t="str"/>
          <cell r="X650" t="str"/>
          <cell r="Y650" t="str"/>
        </row>
        <row r="650">
          <cell r="AA650" t="str"/>
          <cell r="AB650" t="str"/>
          <cell r="AC650" t="str"/>
          <cell r="AD650" t="str"/>
          <cell r="AE650" t="str"/>
          <cell r="AF650" t="str"/>
        </row>
        <row r="651">
          <cell r="B651" t="str"/>
          <cell r="C651" t="str"/>
          <cell r="D651" t="str"/>
          <cell r="E651" t="str"/>
          <cell r="F651" t="str"/>
          <cell r="G651" t="str"/>
          <cell r="H651" t="str"/>
          <cell r="I651" t="str"/>
          <cell r="J651" t="str"/>
          <cell r="K651" t="str"/>
          <cell r="L651" t="str"/>
          <cell r="M651" t="str"/>
          <cell r="N651" t="str"/>
          <cell r="O651" t="str"/>
          <cell r="P651" t="str"/>
          <cell r="Q651" t="str"/>
          <cell r="R651" t="str"/>
          <cell r="S651" t="str"/>
          <cell r="T651" t="str"/>
          <cell r="U651" t="str"/>
          <cell r="V651" t="str"/>
          <cell r="W651" t="str"/>
          <cell r="X651" t="str"/>
          <cell r="Y651" t="str"/>
        </row>
        <row r="651">
          <cell r="AA651" t="str"/>
          <cell r="AB651" t="str"/>
          <cell r="AC651" t="str"/>
          <cell r="AD651" t="str"/>
          <cell r="AE651" t="str"/>
          <cell r="AF651" t="str"/>
        </row>
        <row r="652">
          <cell r="B652" t="str"/>
          <cell r="C652" t="str"/>
          <cell r="D652" t="str"/>
          <cell r="E652" t="str"/>
          <cell r="F652" t="str"/>
          <cell r="G652" t="str"/>
          <cell r="H652" t="str"/>
          <cell r="I652" t="str"/>
          <cell r="J652" t="str"/>
          <cell r="K652" t="str"/>
          <cell r="L652" t="str"/>
          <cell r="M652" t="str"/>
          <cell r="N652" t="str"/>
          <cell r="O652" t="str"/>
          <cell r="P652" t="str"/>
          <cell r="Q652" t="str"/>
          <cell r="R652" t="str"/>
          <cell r="S652" t="str"/>
          <cell r="T652" t="str"/>
          <cell r="U652" t="str"/>
          <cell r="V652" t="str"/>
          <cell r="W652" t="str"/>
          <cell r="X652" t="str"/>
          <cell r="Y652" t="str"/>
        </row>
        <row r="652">
          <cell r="AA652" t="str"/>
          <cell r="AB652" t="str"/>
          <cell r="AC652" t="str"/>
          <cell r="AD652" t="str"/>
          <cell r="AE652" t="str"/>
          <cell r="AF652" t="str"/>
        </row>
        <row r="653">
          <cell r="B653" t="str"/>
          <cell r="C653" t="str"/>
          <cell r="D653" t="str"/>
          <cell r="E653" t="str"/>
          <cell r="F653" t="str"/>
          <cell r="G653" t="str"/>
          <cell r="H653" t="str"/>
          <cell r="I653" t="str"/>
          <cell r="J653" t="str"/>
          <cell r="K653" t="str"/>
          <cell r="L653" t="str"/>
          <cell r="M653" t="str"/>
          <cell r="N653" t="str"/>
          <cell r="O653" t="str"/>
          <cell r="P653" t="str"/>
          <cell r="Q653" t="str"/>
          <cell r="R653" t="str"/>
          <cell r="S653" t="str"/>
          <cell r="T653" t="str"/>
          <cell r="U653" t="str"/>
          <cell r="V653" t="str"/>
          <cell r="W653" t="str"/>
          <cell r="X653" t="str"/>
          <cell r="Y653" t="str"/>
        </row>
        <row r="653">
          <cell r="AA653" t="str"/>
          <cell r="AB653" t="str"/>
          <cell r="AC653" t="str"/>
          <cell r="AD653" t="str"/>
          <cell r="AE653" t="str"/>
          <cell r="AF653" t="str"/>
        </row>
        <row r="654">
          <cell r="B654" t="str"/>
          <cell r="C654" t="str"/>
          <cell r="D654" t="str"/>
          <cell r="E654" t="str"/>
          <cell r="F654" t="str"/>
          <cell r="G654" t="str"/>
          <cell r="H654" t="str"/>
          <cell r="I654" t="str"/>
          <cell r="J654" t="str"/>
          <cell r="K654" t="str"/>
          <cell r="L654" t="str"/>
          <cell r="M654" t="str"/>
          <cell r="N654" t="str"/>
          <cell r="O654" t="str"/>
          <cell r="P654" t="str"/>
          <cell r="Q654" t="str"/>
          <cell r="R654" t="str"/>
          <cell r="S654" t="str"/>
          <cell r="T654" t="str"/>
          <cell r="U654" t="str"/>
          <cell r="V654" t="str"/>
          <cell r="W654" t="str"/>
          <cell r="X654" t="str"/>
          <cell r="Y654" t="str"/>
        </row>
        <row r="654">
          <cell r="AA654" t="str"/>
          <cell r="AB654" t="str"/>
          <cell r="AC654" t="str"/>
          <cell r="AD654" t="str"/>
          <cell r="AE654" t="str"/>
          <cell r="AF654" t="str"/>
        </row>
        <row r="655">
          <cell r="B655" t="str"/>
          <cell r="C655" t="str"/>
          <cell r="D655" t="str"/>
          <cell r="E655" t="str"/>
          <cell r="F655" t="str"/>
          <cell r="G655" t="str"/>
          <cell r="H655" t="str"/>
          <cell r="I655" t="str"/>
          <cell r="J655" t="str"/>
          <cell r="K655" t="str"/>
          <cell r="L655" t="str"/>
          <cell r="M655" t="str"/>
          <cell r="N655" t="str"/>
          <cell r="O655" t="str"/>
          <cell r="P655" t="str"/>
          <cell r="Q655" t="str"/>
          <cell r="R655" t="str"/>
          <cell r="S655" t="str"/>
          <cell r="T655" t="str"/>
          <cell r="U655" t="str"/>
          <cell r="V655" t="str"/>
          <cell r="W655" t="str"/>
          <cell r="X655" t="str"/>
          <cell r="Y655" t="str"/>
        </row>
        <row r="655">
          <cell r="AA655" t="str"/>
          <cell r="AB655" t="str"/>
          <cell r="AC655" t="str"/>
          <cell r="AD655" t="str"/>
          <cell r="AE655" t="str"/>
          <cell r="AF655" t="str"/>
        </row>
        <row r="656">
          <cell r="B656" t="str"/>
          <cell r="C656" t="str"/>
          <cell r="D656" t="str"/>
          <cell r="E656" t="str"/>
          <cell r="F656" t="str"/>
          <cell r="G656" t="str"/>
          <cell r="H656" t="str"/>
          <cell r="I656" t="str"/>
          <cell r="J656" t="str"/>
          <cell r="K656" t="str"/>
          <cell r="L656" t="str"/>
          <cell r="M656" t="str"/>
          <cell r="N656" t="str"/>
          <cell r="O656" t="str"/>
          <cell r="P656" t="str"/>
          <cell r="Q656" t="str"/>
          <cell r="R656" t="str"/>
          <cell r="S656" t="str"/>
          <cell r="T656" t="str"/>
          <cell r="U656" t="str"/>
          <cell r="V656" t="str"/>
          <cell r="W656" t="str"/>
          <cell r="X656" t="str"/>
          <cell r="Y656" t="str"/>
        </row>
        <row r="656">
          <cell r="AA656" t="str"/>
          <cell r="AB656" t="str"/>
          <cell r="AC656" t="str"/>
          <cell r="AD656" t="str"/>
          <cell r="AE656" t="str"/>
          <cell r="AF656" t="str"/>
        </row>
        <row r="657">
          <cell r="B657" t="str"/>
          <cell r="C657" t="str"/>
          <cell r="D657" t="str"/>
          <cell r="E657" t="str"/>
          <cell r="F657" t="str"/>
          <cell r="G657" t="str"/>
          <cell r="H657" t="str"/>
          <cell r="I657" t="str"/>
          <cell r="J657" t="str"/>
          <cell r="K657" t="str"/>
          <cell r="L657" t="str"/>
          <cell r="M657" t="str"/>
          <cell r="N657" t="str"/>
          <cell r="O657" t="str"/>
          <cell r="P657" t="str"/>
          <cell r="Q657" t="str"/>
          <cell r="R657" t="str"/>
          <cell r="S657" t="str"/>
          <cell r="T657" t="str"/>
          <cell r="U657" t="str"/>
          <cell r="V657" t="str"/>
          <cell r="W657" t="str"/>
          <cell r="X657" t="str"/>
          <cell r="Y657" t="str"/>
        </row>
        <row r="657">
          <cell r="AA657" t="str"/>
          <cell r="AB657" t="str"/>
          <cell r="AC657" t="str"/>
          <cell r="AD657" t="str"/>
          <cell r="AE657" t="str"/>
          <cell r="AF657" t="str"/>
        </row>
        <row r="658">
          <cell r="B658" t="str"/>
          <cell r="C658" t="str"/>
          <cell r="D658" t="str"/>
          <cell r="E658" t="str"/>
          <cell r="F658" t="str"/>
          <cell r="G658" t="str"/>
          <cell r="H658" t="str"/>
          <cell r="I658" t="str"/>
          <cell r="J658" t="str"/>
          <cell r="K658" t="str"/>
          <cell r="L658" t="str"/>
          <cell r="M658" t="str"/>
          <cell r="N658" t="str"/>
          <cell r="O658" t="str"/>
          <cell r="P658" t="str"/>
          <cell r="Q658" t="str"/>
          <cell r="R658" t="str"/>
          <cell r="S658" t="str"/>
          <cell r="T658" t="str"/>
          <cell r="U658" t="str"/>
          <cell r="V658" t="str"/>
          <cell r="W658" t="str"/>
          <cell r="X658" t="str"/>
          <cell r="Y658" t="str"/>
        </row>
        <row r="658">
          <cell r="AA658" t="str"/>
          <cell r="AB658" t="str"/>
          <cell r="AC658" t="str"/>
          <cell r="AD658" t="str"/>
          <cell r="AE658" t="str"/>
          <cell r="AF658" t="str"/>
        </row>
        <row r="659">
          <cell r="B659" t="str"/>
          <cell r="C659" t="str"/>
          <cell r="D659" t="str"/>
          <cell r="E659" t="str"/>
          <cell r="F659" t="str"/>
          <cell r="G659" t="str"/>
          <cell r="H659" t="str"/>
          <cell r="I659" t="str"/>
          <cell r="J659" t="str"/>
          <cell r="K659" t="str"/>
          <cell r="L659" t="str"/>
          <cell r="M659" t="str"/>
          <cell r="N659" t="str"/>
          <cell r="O659" t="str"/>
          <cell r="P659" t="str"/>
          <cell r="Q659" t="str"/>
          <cell r="R659" t="str"/>
          <cell r="S659" t="str"/>
          <cell r="T659" t="str"/>
          <cell r="U659" t="str"/>
          <cell r="V659" t="str"/>
          <cell r="W659" t="str"/>
          <cell r="X659" t="str"/>
          <cell r="Y659" t="str"/>
        </row>
        <row r="659">
          <cell r="AA659" t="str"/>
          <cell r="AB659" t="str"/>
          <cell r="AC659" t="str"/>
          <cell r="AD659" t="str"/>
          <cell r="AE659" t="str"/>
          <cell r="AF659" t="str"/>
        </row>
        <row r="660">
          <cell r="B660" t="str"/>
          <cell r="C660" t="str"/>
          <cell r="D660" t="str"/>
          <cell r="E660" t="str"/>
          <cell r="F660" t="str"/>
          <cell r="G660" t="str"/>
          <cell r="H660" t="str"/>
          <cell r="I660" t="str"/>
          <cell r="J660" t="str"/>
          <cell r="K660" t="str"/>
          <cell r="L660" t="str"/>
          <cell r="M660" t="str"/>
          <cell r="N660" t="str"/>
          <cell r="O660" t="str"/>
          <cell r="P660" t="str"/>
          <cell r="Q660" t="str"/>
          <cell r="R660" t="str"/>
          <cell r="S660" t="str"/>
          <cell r="T660" t="str"/>
          <cell r="U660" t="str"/>
          <cell r="V660" t="str"/>
          <cell r="W660" t="str"/>
          <cell r="X660" t="str"/>
          <cell r="Y660" t="str"/>
        </row>
        <row r="660">
          <cell r="AA660" t="str"/>
          <cell r="AB660" t="str"/>
          <cell r="AC660" t="str"/>
          <cell r="AD660" t="str"/>
          <cell r="AE660" t="str"/>
          <cell r="AF660" t="str"/>
        </row>
        <row r="661">
          <cell r="B661" t="str"/>
          <cell r="C661" t="str"/>
          <cell r="D661" t="str"/>
          <cell r="E661" t="str"/>
          <cell r="F661" t="str"/>
          <cell r="G661" t="str"/>
          <cell r="H661" t="str"/>
          <cell r="I661" t="str"/>
          <cell r="J661" t="str"/>
          <cell r="K661" t="str"/>
          <cell r="L661" t="str"/>
          <cell r="M661" t="str"/>
          <cell r="N661" t="str"/>
          <cell r="O661" t="str"/>
          <cell r="P661" t="str"/>
          <cell r="Q661" t="str"/>
          <cell r="R661" t="str"/>
          <cell r="S661" t="str"/>
          <cell r="T661" t="str"/>
          <cell r="U661" t="str"/>
          <cell r="V661" t="str"/>
          <cell r="W661" t="str"/>
          <cell r="X661" t="str"/>
          <cell r="Y661" t="str"/>
        </row>
        <row r="661">
          <cell r="AA661" t="str"/>
          <cell r="AB661" t="str"/>
          <cell r="AC661" t="str"/>
          <cell r="AD661" t="str"/>
          <cell r="AE661" t="str"/>
          <cell r="AF661" t="str"/>
        </row>
        <row r="662">
          <cell r="B662" t="str"/>
          <cell r="C662" t="str"/>
          <cell r="D662" t="str"/>
          <cell r="E662" t="str"/>
          <cell r="F662" t="str"/>
          <cell r="G662" t="str"/>
          <cell r="H662" t="str"/>
          <cell r="I662" t="str"/>
          <cell r="J662" t="str"/>
          <cell r="K662" t="str"/>
          <cell r="L662" t="str"/>
          <cell r="M662" t="str"/>
          <cell r="N662" t="str"/>
          <cell r="O662" t="str"/>
          <cell r="P662" t="str"/>
          <cell r="Q662" t="str"/>
          <cell r="R662" t="str"/>
          <cell r="S662" t="str"/>
          <cell r="T662" t="str"/>
          <cell r="U662" t="str"/>
          <cell r="V662" t="str"/>
          <cell r="W662" t="str"/>
          <cell r="X662" t="str"/>
          <cell r="Y662" t="str"/>
        </row>
        <row r="662">
          <cell r="AA662" t="str"/>
          <cell r="AB662" t="str"/>
          <cell r="AC662" t="str"/>
          <cell r="AD662" t="str"/>
          <cell r="AE662" t="str"/>
          <cell r="AF662" t="str"/>
        </row>
        <row r="663">
          <cell r="B663" t="str"/>
          <cell r="C663" t="str"/>
          <cell r="D663" t="str"/>
          <cell r="E663" t="str"/>
          <cell r="F663" t="str"/>
          <cell r="G663" t="str"/>
          <cell r="H663" t="str"/>
          <cell r="I663" t="str"/>
          <cell r="J663" t="str"/>
          <cell r="K663" t="str"/>
          <cell r="L663" t="str"/>
          <cell r="M663" t="str"/>
          <cell r="N663" t="str"/>
          <cell r="O663" t="str"/>
          <cell r="P663" t="str"/>
          <cell r="Q663" t="str"/>
          <cell r="R663" t="str"/>
          <cell r="S663" t="str"/>
          <cell r="T663" t="str"/>
          <cell r="U663" t="str"/>
          <cell r="V663" t="str"/>
          <cell r="W663" t="str"/>
          <cell r="X663" t="str"/>
          <cell r="Y663" t="str"/>
        </row>
        <row r="663">
          <cell r="AA663" t="str"/>
          <cell r="AB663" t="str"/>
          <cell r="AC663" t="str"/>
          <cell r="AD663" t="str"/>
          <cell r="AE663" t="str"/>
          <cell r="AF663" t="str"/>
        </row>
        <row r="664">
          <cell r="B664" t="str"/>
          <cell r="C664" t="str"/>
          <cell r="D664" t="str"/>
          <cell r="E664" t="str"/>
          <cell r="F664" t="str"/>
          <cell r="G664" t="str"/>
          <cell r="H664" t="str"/>
          <cell r="I664" t="str"/>
          <cell r="J664" t="str"/>
          <cell r="K664" t="str"/>
          <cell r="L664" t="str"/>
          <cell r="M664" t="str"/>
          <cell r="N664" t="str"/>
          <cell r="O664" t="str"/>
          <cell r="P664" t="str"/>
          <cell r="Q664" t="str"/>
          <cell r="R664" t="str"/>
          <cell r="S664" t="str"/>
          <cell r="T664" t="str"/>
          <cell r="U664" t="str"/>
          <cell r="V664" t="str"/>
          <cell r="W664" t="str"/>
          <cell r="X664" t="str"/>
          <cell r="Y664" t="str"/>
        </row>
        <row r="664">
          <cell r="AA664" t="str"/>
          <cell r="AB664" t="str"/>
          <cell r="AC664" t="str"/>
          <cell r="AD664" t="str"/>
          <cell r="AE664" t="str"/>
          <cell r="AF664" t="str"/>
        </row>
        <row r="665">
          <cell r="B665" t="str"/>
          <cell r="C665" t="str"/>
          <cell r="D665" t="str"/>
          <cell r="E665" t="str"/>
          <cell r="F665" t="str"/>
          <cell r="G665" t="str"/>
          <cell r="H665" t="str"/>
          <cell r="I665" t="str"/>
          <cell r="J665" t="str"/>
          <cell r="K665" t="str"/>
          <cell r="L665" t="str"/>
          <cell r="M665" t="str"/>
          <cell r="N665" t="str"/>
          <cell r="O665" t="str"/>
          <cell r="P665" t="str"/>
          <cell r="Q665" t="str"/>
          <cell r="R665" t="str"/>
          <cell r="S665" t="str"/>
          <cell r="T665" t="str"/>
          <cell r="U665" t="str"/>
          <cell r="V665" t="str"/>
          <cell r="W665" t="str"/>
          <cell r="X665" t="str"/>
          <cell r="Y665" t="str"/>
        </row>
        <row r="665">
          <cell r="AA665" t="str"/>
          <cell r="AB665" t="str"/>
          <cell r="AC665" t="str"/>
          <cell r="AD665" t="str"/>
          <cell r="AE665" t="str"/>
          <cell r="AF665" t="str"/>
        </row>
        <row r="666">
          <cell r="B666" t="str"/>
          <cell r="C666" t="str"/>
          <cell r="D666" t="str"/>
          <cell r="E666" t="str"/>
          <cell r="F666" t="str"/>
          <cell r="G666" t="str"/>
          <cell r="H666" t="str"/>
          <cell r="I666" t="str"/>
          <cell r="J666" t="str"/>
          <cell r="K666" t="str"/>
          <cell r="L666" t="str"/>
          <cell r="M666" t="str"/>
          <cell r="N666" t="str"/>
          <cell r="O666" t="str"/>
          <cell r="P666" t="str"/>
          <cell r="Q666" t="str"/>
          <cell r="R666" t="str"/>
          <cell r="S666" t="str"/>
          <cell r="T666" t="str"/>
          <cell r="U666" t="str"/>
          <cell r="V666" t="str"/>
          <cell r="W666" t="str"/>
          <cell r="X666" t="str"/>
          <cell r="Y666" t="str"/>
        </row>
        <row r="666">
          <cell r="AA666" t="str"/>
          <cell r="AB666" t="str"/>
          <cell r="AC666" t="str"/>
          <cell r="AD666" t="str"/>
          <cell r="AE666" t="str"/>
          <cell r="AF666" t="str"/>
        </row>
        <row r="667">
          <cell r="B667" t="str"/>
          <cell r="C667" t="str"/>
          <cell r="D667" t="str"/>
          <cell r="E667" t="str"/>
          <cell r="F667" t="str"/>
          <cell r="G667" t="str"/>
          <cell r="H667" t="str"/>
          <cell r="I667" t="str"/>
          <cell r="J667" t="str"/>
          <cell r="K667" t="str"/>
          <cell r="L667" t="str"/>
          <cell r="M667" t="str"/>
          <cell r="N667" t="str"/>
          <cell r="O667" t="str"/>
          <cell r="P667" t="str"/>
          <cell r="Q667" t="str"/>
          <cell r="R667" t="str"/>
          <cell r="S667" t="str"/>
          <cell r="T667" t="str"/>
          <cell r="U667" t="str"/>
          <cell r="V667" t="str"/>
          <cell r="W667" t="str"/>
          <cell r="X667" t="str"/>
          <cell r="Y667" t="str"/>
        </row>
        <row r="667">
          <cell r="AA667" t="str"/>
          <cell r="AB667" t="str"/>
          <cell r="AC667" t="str"/>
          <cell r="AD667" t="str"/>
          <cell r="AE667" t="str"/>
          <cell r="AF667" t="str"/>
        </row>
        <row r="668">
          <cell r="B668" t="str"/>
          <cell r="C668" t="str"/>
          <cell r="D668" t="str"/>
          <cell r="E668" t="str"/>
          <cell r="F668" t="str"/>
          <cell r="G668" t="str"/>
          <cell r="H668" t="str"/>
          <cell r="I668" t="str"/>
          <cell r="J668" t="str"/>
          <cell r="K668" t="str"/>
          <cell r="L668" t="str"/>
          <cell r="M668" t="str"/>
          <cell r="N668" t="str"/>
          <cell r="O668" t="str"/>
          <cell r="P668" t="str"/>
          <cell r="Q668" t="str"/>
          <cell r="R668" t="str"/>
          <cell r="S668" t="str"/>
          <cell r="T668" t="str"/>
          <cell r="U668" t="str"/>
          <cell r="V668" t="str"/>
          <cell r="W668" t="str"/>
          <cell r="X668" t="str"/>
          <cell r="Y668" t="str"/>
        </row>
        <row r="668">
          <cell r="AA668" t="str"/>
          <cell r="AB668" t="str"/>
          <cell r="AC668" t="str"/>
          <cell r="AD668" t="str"/>
          <cell r="AE668" t="str"/>
          <cell r="AF668" t="str"/>
        </row>
        <row r="669">
          <cell r="B669" t="str"/>
          <cell r="C669" t="str"/>
          <cell r="D669" t="str"/>
          <cell r="E669" t="str"/>
          <cell r="F669" t="str"/>
          <cell r="G669" t="str"/>
          <cell r="H669" t="str"/>
          <cell r="I669" t="str"/>
          <cell r="J669" t="str"/>
          <cell r="K669" t="str"/>
          <cell r="L669" t="str"/>
          <cell r="M669" t="str"/>
          <cell r="N669" t="str"/>
          <cell r="O669" t="str"/>
          <cell r="P669" t="str"/>
          <cell r="Q669" t="str"/>
          <cell r="R669" t="str"/>
          <cell r="S669" t="str"/>
          <cell r="T669" t="str"/>
          <cell r="U669" t="str"/>
          <cell r="V669" t="str"/>
          <cell r="W669" t="str"/>
          <cell r="X669" t="str"/>
          <cell r="Y669" t="str"/>
        </row>
        <row r="669">
          <cell r="AA669" t="str"/>
          <cell r="AB669" t="str"/>
          <cell r="AC669" t="str"/>
          <cell r="AD669" t="str"/>
          <cell r="AE669" t="str"/>
          <cell r="AF669" t="str"/>
        </row>
        <row r="670">
          <cell r="B670" t="str"/>
          <cell r="C670" t="str"/>
          <cell r="D670" t="str"/>
          <cell r="E670" t="str"/>
          <cell r="F670" t="str"/>
          <cell r="G670" t="str"/>
          <cell r="H670" t="str"/>
          <cell r="I670" t="str"/>
          <cell r="J670" t="str"/>
          <cell r="K670" t="str"/>
          <cell r="L670" t="str"/>
          <cell r="M670" t="str"/>
          <cell r="N670" t="str"/>
          <cell r="O670" t="str"/>
          <cell r="P670" t="str"/>
          <cell r="Q670" t="str"/>
          <cell r="R670" t="str"/>
          <cell r="S670" t="str"/>
          <cell r="T670" t="str"/>
          <cell r="U670" t="str"/>
          <cell r="V670" t="str"/>
          <cell r="W670" t="str"/>
          <cell r="X670" t="str"/>
          <cell r="Y670" t="str"/>
        </row>
        <row r="670">
          <cell r="AA670" t="str"/>
          <cell r="AB670" t="str"/>
          <cell r="AC670" t="str"/>
          <cell r="AD670" t="str"/>
          <cell r="AE670" t="str"/>
          <cell r="AF670" t="str"/>
        </row>
        <row r="671">
          <cell r="B671" t="str"/>
          <cell r="C671" t="str"/>
          <cell r="D671" t="str"/>
          <cell r="E671" t="str"/>
          <cell r="F671" t="str"/>
          <cell r="G671" t="str"/>
          <cell r="H671" t="str"/>
          <cell r="I671" t="str"/>
          <cell r="J671" t="str"/>
          <cell r="K671" t="str"/>
          <cell r="L671" t="str"/>
          <cell r="M671" t="str"/>
          <cell r="N671" t="str"/>
          <cell r="O671" t="str"/>
          <cell r="P671" t="str"/>
          <cell r="Q671" t="str"/>
          <cell r="R671" t="str"/>
          <cell r="S671" t="str"/>
          <cell r="T671" t="str"/>
          <cell r="U671" t="str"/>
          <cell r="V671" t="str"/>
          <cell r="W671" t="str"/>
          <cell r="X671" t="str"/>
          <cell r="Y671" t="str"/>
        </row>
        <row r="671">
          <cell r="AA671" t="str"/>
          <cell r="AB671" t="str"/>
          <cell r="AC671" t="str"/>
          <cell r="AD671" t="str"/>
          <cell r="AE671" t="str"/>
          <cell r="AF671" t="str"/>
        </row>
        <row r="672">
          <cell r="B672" t="str"/>
          <cell r="C672" t="str"/>
          <cell r="D672" t="str"/>
          <cell r="E672" t="str"/>
          <cell r="F672" t="str"/>
          <cell r="G672" t="str"/>
          <cell r="H672" t="str"/>
          <cell r="I672" t="str"/>
          <cell r="J672" t="str"/>
          <cell r="K672" t="str"/>
          <cell r="L672" t="str"/>
          <cell r="M672" t="str"/>
          <cell r="N672" t="str"/>
          <cell r="O672" t="str"/>
          <cell r="P672" t="str"/>
          <cell r="Q672" t="str"/>
          <cell r="R672" t="str"/>
          <cell r="S672" t="str"/>
          <cell r="T672" t="str"/>
          <cell r="U672" t="str"/>
          <cell r="V672" t="str"/>
          <cell r="W672" t="str"/>
          <cell r="X672" t="str"/>
          <cell r="Y672" t="str"/>
        </row>
        <row r="672">
          <cell r="AA672" t="str"/>
          <cell r="AB672" t="str"/>
          <cell r="AC672" t="str"/>
          <cell r="AD672" t="str"/>
          <cell r="AE672" t="str"/>
          <cell r="AF672" t="str"/>
        </row>
        <row r="673">
          <cell r="B673" t="str"/>
          <cell r="C673" t="str"/>
          <cell r="D673" t="str"/>
          <cell r="E673" t="str"/>
          <cell r="F673" t="str"/>
          <cell r="G673" t="str"/>
          <cell r="H673" t="str"/>
          <cell r="I673" t="str"/>
          <cell r="J673" t="str"/>
          <cell r="K673" t="str"/>
          <cell r="L673" t="str"/>
          <cell r="M673" t="str"/>
          <cell r="N673" t="str"/>
          <cell r="O673" t="str"/>
          <cell r="P673" t="str"/>
          <cell r="Q673" t="str"/>
          <cell r="R673" t="str"/>
          <cell r="S673" t="str"/>
          <cell r="T673" t="str"/>
          <cell r="U673" t="str"/>
          <cell r="V673" t="str"/>
          <cell r="W673" t="str"/>
          <cell r="X673" t="str"/>
          <cell r="Y673" t="str"/>
        </row>
        <row r="673">
          <cell r="AA673" t="str"/>
          <cell r="AB673" t="str"/>
          <cell r="AC673" t="str"/>
          <cell r="AD673" t="str"/>
          <cell r="AE673" t="str"/>
          <cell r="AF673" t="str"/>
        </row>
        <row r="674">
          <cell r="B674" t="str"/>
          <cell r="C674" t="str"/>
          <cell r="D674" t="str"/>
          <cell r="E674" t="str"/>
          <cell r="F674" t="str"/>
          <cell r="G674" t="str"/>
          <cell r="H674" t="str"/>
          <cell r="I674" t="str"/>
          <cell r="J674" t="str"/>
          <cell r="K674" t="str"/>
          <cell r="L674" t="str"/>
          <cell r="M674" t="str"/>
          <cell r="N674" t="str"/>
          <cell r="O674" t="str"/>
          <cell r="P674" t="str"/>
          <cell r="Q674" t="str"/>
          <cell r="R674" t="str"/>
          <cell r="S674" t="str"/>
          <cell r="T674" t="str"/>
          <cell r="U674" t="str"/>
          <cell r="V674" t="str"/>
          <cell r="W674" t="str"/>
          <cell r="X674" t="str"/>
          <cell r="Y674" t="str"/>
        </row>
        <row r="674">
          <cell r="AA674" t="str"/>
          <cell r="AB674" t="str"/>
          <cell r="AC674" t="str"/>
          <cell r="AD674" t="str"/>
          <cell r="AE674" t="str"/>
          <cell r="AF674" t="str"/>
        </row>
        <row r="675">
          <cell r="B675" t="str"/>
          <cell r="C675" t="str"/>
          <cell r="D675" t="str"/>
          <cell r="E675" t="str"/>
          <cell r="F675" t="str"/>
          <cell r="G675" t="str"/>
          <cell r="H675" t="str"/>
          <cell r="I675" t="str"/>
          <cell r="J675" t="str"/>
          <cell r="K675" t="str"/>
          <cell r="L675" t="str"/>
          <cell r="M675" t="str"/>
          <cell r="N675" t="str"/>
          <cell r="O675" t="str"/>
          <cell r="P675" t="str"/>
          <cell r="Q675" t="str"/>
          <cell r="R675" t="str"/>
          <cell r="S675" t="str"/>
          <cell r="T675" t="str"/>
          <cell r="U675" t="str"/>
          <cell r="V675" t="str"/>
          <cell r="W675" t="str"/>
          <cell r="X675" t="str"/>
          <cell r="Y675" t="str"/>
        </row>
        <row r="675">
          <cell r="AA675" t="str"/>
          <cell r="AB675" t="str"/>
          <cell r="AC675" t="str"/>
          <cell r="AD675" t="str"/>
          <cell r="AE675" t="str"/>
          <cell r="AF675" t="str"/>
        </row>
        <row r="676">
          <cell r="B676" t="str"/>
          <cell r="C676" t="str"/>
          <cell r="D676" t="str"/>
          <cell r="E676" t="str"/>
          <cell r="F676" t="str"/>
          <cell r="G676" t="str"/>
          <cell r="H676" t="str"/>
          <cell r="I676" t="str"/>
          <cell r="J676" t="str"/>
          <cell r="K676" t="str"/>
          <cell r="L676" t="str"/>
          <cell r="M676" t="str"/>
          <cell r="N676" t="str"/>
          <cell r="O676" t="str"/>
          <cell r="P676" t="str"/>
          <cell r="Q676" t="str"/>
          <cell r="R676" t="str"/>
          <cell r="S676" t="str"/>
          <cell r="T676" t="str"/>
          <cell r="U676" t="str"/>
          <cell r="V676" t="str"/>
          <cell r="W676" t="str"/>
          <cell r="X676" t="str"/>
          <cell r="Y676" t="str"/>
        </row>
        <row r="676">
          <cell r="AA676" t="str"/>
          <cell r="AB676" t="str"/>
          <cell r="AC676" t="str"/>
          <cell r="AD676" t="str"/>
          <cell r="AE676" t="str"/>
          <cell r="AF676" t="str"/>
        </row>
        <row r="677">
          <cell r="B677" t="str"/>
          <cell r="C677" t="str"/>
          <cell r="D677" t="str"/>
          <cell r="E677" t="str"/>
          <cell r="F677" t="str"/>
          <cell r="G677" t="str"/>
          <cell r="H677" t="str"/>
          <cell r="I677" t="str"/>
          <cell r="J677" t="str"/>
          <cell r="K677" t="str"/>
          <cell r="L677" t="str"/>
          <cell r="M677" t="str"/>
          <cell r="N677" t="str"/>
          <cell r="O677" t="str"/>
          <cell r="P677" t="str"/>
          <cell r="Q677" t="str"/>
          <cell r="R677" t="str"/>
          <cell r="S677" t="str"/>
          <cell r="T677" t="str"/>
          <cell r="U677" t="str"/>
          <cell r="V677" t="str"/>
          <cell r="W677" t="str"/>
          <cell r="X677" t="str"/>
          <cell r="Y677" t="str"/>
        </row>
        <row r="677">
          <cell r="AA677" t="str"/>
          <cell r="AB677" t="str"/>
          <cell r="AC677" t="str"/>
          <cell r="AD677" t="str"/>
          <cell r="AE677" t="str"/>
          <cell r="AF677" t="str"/>
        </row>
        <row r="678">
          <cell r="B678" t="str"/>
          <cell r="C678" t="str"/>
          <cell r="D678" t="str"/>
          <cell r="E678" t="str"/>
          <cell r="F678" t="str"/>
          <cell r="G678" t="str"/>
          <cell r="H678" t="str"/>
          <cell r="I678" t="str"/>
          <cell r="J678" t="str"/>
          <cell r="K678" t="str"/>
          <cell r="L678" t="str"/>
          <cell r="M678" t="str"/>
          <cell r="N678" t="str"/>
          <cell r="O678" t="str"/>
          <cell r="P678" t="str"/>
          <cell r="Q678" t="str"/>
          <cell r="R678" t="str"/>
          <cell r="S678" t="str"/>
          <cell r="T678" t="str"/>
          <cell r="U678" t="str"/>
          <cell r="V678" t="str"/>
          <cell r="W678" t="str"/>
          <cell r="X678" t="str"/>
          <cell r="Y678" t="str"/>
        </row>
        <row r="678">
          <cell r="AA678" t="str"/>
          <cell r="AB678" t="str"/>
          <cell r="AC678" t="str"/>
          <cell r="AD678" t="str"/>
          <cell r="AE678" t="str"/>
          <cell r="AF678" t="str"/>
        </row>
        <row r="679">
          <cell r="B679" t="str"/>
          <cell r="C679" t="str"/>
          <cell r="D679" t="str"/>
          <cell r="E679" t="str"/>
          <cell r="F679" t="str"/>
          <cell r="G679" t="str"/>
          <cell r="H679" t="str"/>
          <cell r="I679" t="str"/>
          <cell r="J679" t="str"/>
          <cell r="K679" t="str"/>
          <cell r="L679" t="str"/>
          <cell r="M679" t="str"/>
          <cell r="N679" t="str"/>
          <cell r="O679" t="str"/>
          <cell r="P679" t="str"/>
          <cell r="Q679" t="str"/>
          <cell r="R679" t="str"/>
          <cell r="S679" t="str"/>
          <cell r="T679" t="str"/>
          <cell r="U679" t="str"/>
          <cell r="V679" t="str"/>
          <cell r="W679" t="str"/>
          <cell r="X679" t="str"/>
          <cell r="Y679" t="str"/>
        </row>
        <row r="679">
          <cell r="AA679" t="str"/>
          <cell r="AB679" t="str"/>
          <cell r="AC679" t="str"/>
          <cell r="AD679" t="str"/>
          <cell r="AE679" t="str"/>
          <cell r="AF679" t="str"/>
        </row>
        <row r="680">
          <cell r="B680" t="str"/>
          <cell r="C680" t="str"/>
          <cell r="D680" t="str"/>
          <cell r="E680" t="str"/>
          <cell r="F680" t="str"/>
          <cell r="G680" t="str"/>
          <cell r="H680" t="str"/>
          <cell r="I680" t="str"/>
          <cell r="J680" t="str"/>
          <cell r="K680" t="str"/>
          <cell r="L680" t="str"/>
          <cell r="M680" t="str"/>
          <cell r="N680" t="str"/>
          <cell r="O680" t="str"/>
          <cell r="P680" t="str"/>
          <cell r="Q680" t="str"/>
          <cell r="R680" t="str"/>
          <cell r="S680" t="str"/>
          <cell r="T680" t="str"/>
          <cell r="U680" t="str"/>
          <cell r="V680" t="str"/>
          <cell r="W680" t="str"/>
          <cell r="X680" t="str"/>
          <cell r="Y680" t="str"/>
        </row>
        <row r="680">
          <cell r="AA680" t="str"/>
          <cell r="AB680" t="str"/>
          <cell r="AC680" t="str"/>
          <cell r="AD680" t="str"/>
          <cell r="AE680" t="str"/>
          <cell r="AF680" t="str"/>
        </row>
        <row r="681">
          <cell r="B681" t="str"/>
          <cell r="C681" t="str"/>
          <cell r="D681" t="str"/>
          <cell r="E681" t="str"/>
          <cell r="F681" t="str"/>
          <cell r="G681" t="str"/>
          <cell r="H681" t="str"/>
          <cell r="I681" t="str"/>
          <cell r="J681" t="str"/>
          <cell r="K681" t="str"/>
          <cell r="L681" t="str"/>
          <cell r="M681" t="str"/>
          <cell r="N681" t="str"/>
          <cell r="O681" t="str"/>
          <cell r="P681" t="str"/>
          <cell r="Q681" t="str"/>
          <cell r="R681" t="str"/>
          <cell r="S681" t="str"/>
          <cell r="T681" t="str"/>
          <cell r="U681" t="str"/>
          <cell r="V681" t="str"/>
          <cell r="W681" t="str"/>
          <cell r="X681" t="str"/>
          <cell r="Y681" t="str"/>
        </row>
        <row r="681">
          <cell r="AA681" t="str"/>
          <cell r="AB681" t="str"/>
          <cell r="AC681" t="str"/>
          <cell r="AD681" t="str"/>
          <cell r="AE681" t="str"/>
          <cell r="AF681" t="str"/>
        </row>
        <row r="682">
          <cell r="B682" t="str"/>
          <cell r="C682" t="str"/>
          <cell r="D682" t="str"/>
          <cell r="E682" t="str"/>
          <cell r="F682" t="str"/>
          <cell r="G682" t="str"/>
          <cell r="H682" t="str"/>
          <cell r="I682" t="str"/>
          <cell r="J682" t="str"/>
          <cell r="K682" t="str"/>
          <cell r="L682" t="str"/>
          <cell r="M682" t="str"/>
          <cell r="N682" t="str"/>
          <cell r="O682" t="str"/>
          <cell r="P682" t="str"/>
          <cell r="Q682" t="str"/>
          <cell r="R682" t="str"/>
          <cell r="S682" t="str"/>
          <cell r="T682" t="str"/>
          <cell r="U682" t="str"/>
          <cell r="V682" t="str"/>
          <cell r="W682" t="str"/>
          <cell r="X682" t="str"/>
          <cell r="Y682" t="str"/>
        </row>
        <row r="682">
          <cell r="AA682" t="str"/>
          <cell r="AB682" t="str"/>
          <cell r="AC682" t="str"/>
          <cell r="AD682" t="str"/>
          <cell r="AE682" t="str"/>
          <cell r="AF682" t="str"/>
        </row>
        <row r="683">
          <cell r="B683" t="str"/>
          <cell r="C683" t="str"/>
          <cell r="D683" t="str"/>
          <cell r="E683" t="str"/>
          <cell r="F683" t="str"/>
          <cell r="G683" t="str"/>
          <cell r="H683" t="str"/>
          <cell r="I683" t="str"/>
          <cell r="J683" t="str"/>
          <cell r="K683" t="str"/>
          <cell r="L683" t="str"/>
          <cell r="M683" t="str"/>
          <cell r="N683" t="str"/>
          <cell r="O683" t="str"/>
          <cell r="P683" t="str"/>
          <cell r="Q683" t="str"/>
          <cell r="R683" t="str"/>
          <cell r="S683" t="str"/>
          <cell r="T683" t="str"/>
          <cell r="U683" t="str"/>
          <cell r="V683" t="str"/>
          <cell r="W683" t="str"/>
          <cell r="X683" t="str"/>
          <cell r="Y683" t="str"/>
        </row>
        <row r="683">
          <cell r="AA683" t="str"/>
          <cell r="AB683" t="str"/>
          <cell r="AC683" t="str"/>
          <cell r="AD683" t="str"/>
          <cell r="AE683" t="str"/>
          <cell r="AF683" t="str"/>
        </row>
        <row r="684">
          <cell r="B684" t="str"/>
          <cell r="C684" t="str"/>
          <cell r="D684" t="str"/>
          <cell r="E684" t="str"/>
          <cell r="F684" t="str"/>
          <cell r="G684" t="str"/>
          <cell r="H684" t="str"/>
          <cell r="I684" t="str"/>
          <cell r="J684" t="str"/>
          <cell r="K684" t="str"/>
          <cell r="L684" t="str"/>
          <cell r="M684" t="str"/>
          <cell r="N684" t="str"/>
          <cell r="O684" t="str"/>
          <cell r="P684" t="str"/>
          <cell r="Q684" t="str"/>
          <cell r="R684" t="str"/>
          <cell r="S684" t="str"/>
          <cell r="T684" t="str"/>
          <cell r="U684" t="str"/>
          <cell r="V684" t="str"/>
          <cell r="W684" t="str"/>
          <cell r="X684" t="str"/>
          <cell r="Y684" t="str"/>
        </row>
        <row r="684">
          <cell r="AA684" t="str"/>
          <cell r="AB684" t="str"/>
          <cell r="AC684" t="str"/>
          <cell r="AD684" t="str"/>
          <cell r="AE684" t="str"/>
          <cell r="AF684" t="str"/>
        </row>
        <row r="685">
          <cell r="B685" t="str"/>
          <cell r="C685" t="str"/>
          <cell r="D685" t="str"/>
          <cell r="E685" t="str"/>
          <cell r="F685" t="str"/>
          <cell r="G685" t="str"/>
          <cell r="H685" t="str"/>
          <cell r="I685" t="str"/>
          <cell r="J685" t="str"/>
          <cell r="K685" t="str"/>
          <cell r="L685" t="str"/>
          <cell r="M685" t="str"/>
          <cell r="N685" t="str"/>
          <cell r="O685" t="str"/>
          <cell r="P685" t="str"/>
          <cell r="Q685" t="str"/>
          <cell r="R685" t="str"/>
          <cell r="S685" t="str"/>
          <cell r="T685" t="str"/>
          <cell r="U685" t="str"/>
          <cell r="V685" t="str"/>
          <cell r="W685" t="str"/>
          <cell r="X685" t="str"/>
          <cell r="Y685" t="str"/>
        </row>
        <row r="685">
          <cell r="AA685" t="str"/>
          <cell r="AB685" t="str"/>
          <cell r="AC685" t="str"/>
          <cell r="AD685" t="str"/>
          <cell r="AE685" t="str"/>
          <cell r="AF685" t="str"/>
        </row>
        <row r="686">
          <cell r="B686" t="str"/>
          <cell r="C686" t="str"/>
          <cell r="D686" t="str"/>
          <cell r="E686" t="str"/>
          <cell r="F686" t="str"/>
          <cell r="G686" t="str"/>
          <cell r="H686" t="str"/>
          <cell r="I686" t="str"/>
          <cell r="J686" t="str"/>
          <cell r="K686" t="str"/>
          <cell r="L686" t="str"/>
          <cell r="M686" t="str"/>
          <cell r="N686" t="str"/>
          <cell r="O686" t="str"/>
          <cell r="P686" t="str"/>
          <cell r="Q686" t="str"/>
          <cell r="R686" t="str"/>
          <cell r="S686" t="str"/>
          <cell r="T686" t="str"/>
          <cell r="U686" t="str"/>
          <cell r="V686" t="str"/>
          <cell r="W686" t="str"/>
          <cell r="X686" t="str"/>
          <cell r="Y686" t="str"/>
        </row>
        <row r="686">
          <cell r="AA686" t="str"/>
          <cell r="AB686" t="str"/>
          <cell r="AC686" t="str"/>
          <cell r="AD686" t="str"/>
          <cell r="AE686" t="str"/>
          <cell r="AF686" t="str"/>
        </row>
        <row r="687">
          <cell r="B687" t="str"/>
          <cell r="C687" t="str"/>
          <cell r="D687" t="str"/>
          <cell r="E687" t="str"/>
          <cell r="F687" t="str"/>
          <cell r="G687" t="str"/>
          <cell r="H687" t="str"/>
          <cell r="I687" t="str"/>
          <cell r="J687" t="str"/>
          <cell r="K687" t="str"/>
          <cell r="L687" t="str"/>
          <cell r="M687" t="str"/>
          <cell r="N687" t="str"/>
          <cell r="O687" t="str"/>
          <cell r="P687" t="str"/>
          <cell r="Q687" t="str"/>
          <cell r="R687" t="str"/>
          <cell r="S687" t="str"/>
          <cell r="T687" t="str"/>
          <cell r="U687" t="str"/>
          <cell r="V687" t="str"/>
          <cell r="W687" t="str"/>
          <cell r="X687" t="str"/>
          <cell r="Y687" t="str"/>
        </row>
        <row r="687">
          <cell r="AA687" t="str"/>
          <cell r="AB687" t="str"/>
          <cell r="AC687" t="str"/>
          <cell r="AD687" t="str"/>
          <cell r="AE687" t="str"/>
          <cell r="AF687" t="str"/>
        </row>
        <row r="688">
          <cell r="B688" t="str"/>
          <cell r="C688" t="str"/>
          <cell r="D688" t="str"/>
          <cell r="E688" t="str"/>
          <cell r="F688" t="str"/>
          <cell r="G688" t="str"/>
          <cell r="H688" t="str"/>
          <cell r="I688" t="str"/>
          <cell r="J688" t="str"/>
          <cell r="K688" t="str"/>
          <cell r="L688" t="str"/>
          <cell r="M688" t="str"/>
          <cell r="N688" t="str"/>
          <cell r="O688" t="str"/>
          <cell r="P688" t="str"/>
          <cell r="Q688" t="str"/>
          <cell r="R688" t="str"/>
          <cell r="S688" t="str"/>
          <cell r="T688" t="str"/>
          <cell r="U688" t="str"/>
          <cell r="V688" t="str"/>
          <cell r="W688" t="str"/>
          <cell r="X688" t="str"/>
          <cell r="Y688" t="str"/>
        </row>
        <row r="688">
          <cell r="AA688" t="str"/>
          <cell r="AB688" t="str"/>
          <cell r="AC688" t="str"/>
          <cell r="AD688" t="str"/>
          <cell r="AE688" t="str"/>
          <cell r="AF688" t="str"/>
        </row>
        <row r="689">
          <cell r="B689" t="str"/>
          <cell r="C689" t="str"/>
          <cell r="D689" t="str"/>
          <cell r="E689" t="str"/>
          <cell r="F689" t="str"/>
          <cell r="G689" t="str"/>
          <cell r="H689" t="str"/>
          <cell r="I689" t="str"/>
          <cell r="J689" t="str"/>
          <cell r="K689" t="str"/>
          <cell r="L689" t="str"/>
          <cell r="M689" t="str"/>
          <cell r="N689" t="str"/>
          <cell r="O689" t="str"/>
          <cell r="P689" t="str"/>
          <cell r="Q689" t="str"/>
          <cell r="R689" t="str"/>
          <cell r="S689" t="str"/>
          <cell r="T689" t="str"/>
          <cell r="U689" t="str"/>
          <cell r="V689" t="str"/>
          <cell r="W689" t="str"/>
          <cell r="X689" t="str"/>
          <cell r="Y689" t="str"/>
        </row>
        <row r="689">
          <cell r="AA689" t="str"/>
          <cell r="AB689" t="str"/>
          <cell r="AC689" t="str"/>
          <cell r="AD689" t="str"/>
          <cell r="AE689" t="str"/>
          <cell r="AF689" t="str"/>
        </row>
        <row r="690">
          <cell r="B690" t="str"/>
          <cell r="C690" t="str"/>
          <cell r="D690" t="str"/>
          <cell r="E690" t="str"/>
          <cell r="F690" t="str"/>
          <cell r="G690" t="str"/>
          <cell r="H690" t="str"/>
          <cell r="I690" t="str"/>
          <cell r="J690" t="str"/>
          <cell r="K690" t="str"/>
          <cell r="L690" t="str"/>
          <cell r="M690" t="str"/>
          <cell r="N690" t="str"/>
          <cell r="O690" t="str"/>
          <cell r="P690" t="str"/>
          <cell r="Q690" t="str"/>
          <cell r="R690" t="str"/>
          <cell r="S690" t="str"/>
          <cell r="T690" t="str"/>
          <cell r="U690" t="str"/>
          <cell r="V690" t="str"/>
          <cell r="W690" t="str"/>
          <cell r="X690" t="str"/>
          <cell r="Y690" t="str"/>
        </row>
        <row r="690">
          <cell r="AA690" t="str"/>
          <cell r="AB690" t="str"/>
          <cell r="AC690" t="str"/>
          <cell r="AD690" t="str"/>
          <cell r="AE690" t="str"/>
          <cell r="AF690" t="str"/>
        </row>
        <row r="691">
          <cell r="B691" t="str"/>
          <cell r="C691" t="str"/>
          <cell r="D691" t="str"/>
          <cell r="E691" t="str"/>
          <cell r="F691" t="str"/>
          <cell r="G691" t="str"/>
          <cell r="H691" t="str"/>
          <cell r="I691" t="str"/>
          <cell r="J691" t="str"/>
          <cell r="K691" t="str"/>
          <cell r="L691" t="str"/>
          <cell r="M691" t="str"/>
          <cell r="N691" t="str"/>
          <cell r="O691" t="str"/>
          <cell r="P691" t="str"/>
          <cell r="Q691" t="str"/>
          <cell r="R691" t="str"/>
          <cell r="S691" t="str"/>
          <cell r="T691" t="str"/>
          <cell r="U691" t="str"/>
          <cell r="V691" t="str"/>
          <cell r="W691" t="str"/>
          <cell r="X691" t="str"/>
          <cell r="Y691" t="str"/>
        </row>
        <row r="691">
          <cell r="AA691" t="str"/>
          <cell r="AB691" t="str"/>
          <cell r="AC691" t="str"/>
          <cell r="AD691" t="str"/>
          <cell r="AE691" t="str"/>
          <cell r="AF691" t="str"/>
        </row>
        <row r="692">
          <cell r="B692" t="str"/>
          <cell r="C692" t="str"/>
          <cell r="D692" t="str"/>
          <cell r="E692" t="str"/>
          <cell r="F692" t="str"/>
          <cell r="G692" t="str"/>
          <cell r="H692" t="str"/>
          <cell r="I692" t="str"/>
          <cell r="J692" t="str"/>
          <cell r="K692" t="str"/>
          <cell r="L692" t="str"/>
          <cell r="M692" t="str"/>
          <cell r="N692" t="str"/>
          <cell r="O692" t="str"/>
          <cell r="P692" t="str"/>
          <cell r="Q692" t="str"/>
          <cell r="R692" t="str"/>
          <cell r="S692" t="str"/>
          <cell r="T692" t="str"/>
          <cell r="U692" t="str"/>
          <cell r="V692" t="str"/>
          <cell r="W692" t="str"/>
          <cell r="X692" t="str"/>
          <cell r="Y692" t="str"/>
        </row>
        <row r="692">
          <cell r="AA692" t="str"/>
          <cell r="AB692" t="str"/>
          <cell r="AC692" t="str"/>
          <cell r="AD692" t="str"/>
          <cell r="AE692" t="str"/>
          <cell r="AF692" t="str"/>
        </row>
        <row r="693">
          <cell r="B693" t="str"/>
          <cell r="C693" t="str"/>
          <cell r="D693" t="str"/>
          <cell r="E693" t="str"/>
          <cell r="F693" t="str"/>
          <cell r="G693" t="str"/>
          <cell r="H693" t="str"/>
          <cell r="I693" t="str"/>
          <cell r="J693" t="str"/>
          <cell r="K693" t="str"/>
          <cell r="L693" t="str"/>
          <cell r="M693" t="str"/>
          <cell r="N693" t="str"/>
          <cell r="O693" t="str"/>
          <cell r="P693" t="str"/>
          <cell r="Q693" t="str"/>
          <cell r="R693" t="str"/>
          <cell r="S693" t="str"/>
          <cell r="T693" t="str"/>
          <cell r="U693" t="str"/>
          <cell r="V693" t="str"/>
          <cell r="W693" t="str"/>
          <cell r="X693" t="str"/>
          <cell r="Y693" t="str"/>
        </row>
        <row r="693">
          <cell r="AA693" t="str"/>
          <cell r="AB693" t="str"/>
          <cell r="AC693" t="str"/>
          <cell r="AD693" t="str"/>
          <cell r="AE693" t="str"/>
          <cell r="AF693" t="str"/>
        </row>
        <row r="694">
          <cell r="B694" t="str"/>
          <cell r="C694" t="str"/>
          <cell r="D694" t="str"/>
          <cell r="E694" t="str"/>
          <cell r="F694" t="str"/>
          <cell r="G694" t="str"/>
          <cell r="H694" t="str"/>
          <cell r="I694" t="str"/>
          <cell r="J694" t="str"/>
          <cell r="K694" t="str"/>
          <cell r="L694" t="str"/>
          <cell r="M694" t="str"/>
          <cell r="N694" t="str"/>
          <cell r="O694" t="str"/>
          <cell r="P694" t="str"/>
          <cell r="Q694" t="str"/>
          <cell r="R694" t="str"/>
          <cell r="S694" t="str"/>
          <cell r="T694" t="str"/>
          <cell r="U694" t="str"/>
          <cell r="V694" t="str"/>
          <cell r="W694" t="str"/>
          <cell r="X694" t="str"/>
          <cell r="Y694" t="str"/>
        </row>
        <row r="694">
          <cell r="AA694" t="str"/>
          <cell r="AB694" t="str"/>
          <cell r="AC694" t="str"/>
          <cell r="AD694" t="str"/>
          <cell r="AE694" t="str"/>
          <cell r="AF694" t="str"/>
        </row>
        <row r="695">
          <cell r="B695" t="str"/>
          <cell r="C695" t="str"/>
          <cell r="D695" t="str"/>
          <cell r="E695" t="str"/>
          <cell r="F695" t="str"/>
          <cell r="G695" t="str"/>
          <cell r="H695" t="str"/>
          <cell r="I695" t="str"/>
          <cell r="J695" t="str"/>
          <cell r="K695" t="str"/>
          <cell r="L695" t="str"/>
          <cell r="M695" t="str"/>
          <cell r="N695" t="str"/>
          <cell r="O695" t="str"/>
          <cell r="P695" t="str"/>
          <cell r="Q695" t="str"/>
          <cell r="R695" t="str"/>
          <cell r="S695" t="str"/>
          <cell r="T695" t="str"/>
          <cell r="U695" t="str"/>
          <cell r="V695" t="str"/>
          <cell r="W695" t="str"/>
          <cell r="X695" t="str"/>
          <cell r="Y695" t="str"/>
        </row>
        <row r="695">
          <cell r="AA695" t="str"/>
          <cell r="AB695" t="str"/>
          <cell r="AC695" t="str"/>
          <cell r="AD695" t="str"/>
          <cell r="AE695" t="str"/>
          <cell r="AF695" t="str"/>
        </row>
        <row r="696">
          <cell r="B696" t="str"/>
          <cell r="C696" t="str"/>
          <cell r="D696" t="str"/>
          <cell r="E696" t="str"/>
          <cell r="F696" t="str"/>
          <cell r="G696" t="str"/>
          <cell r="H696" t="str"/>
          <cell r="I696" t="str"/>
          <cell r="J696" t="str"/>
          <cell r="K696" t="str"/>
          <cell r="L696" t="str"/>
          <cell r="M696" t="str"/>
          <cell r="N696" t="str"/>
          <cell r="O696" t="str"/>
          <cell r="P696" t="str"/>
          <cell r="Q696" t="str"/>
          <cell r="R696" t="str"/>
          <cell r="S696" t="str"/>
          <cell r="T696" t="str"/>
          <cell r="U696" t="str"/>
          <cell r="V696" t="str"/>
          <cell r="W696" t="str"/>
          <cell r="X696" t="str"/>
          <cell r="Y696" t="str"/>
        </row>
        <row r="696">
          <cell r="AA696" t="str"/>
          <cell r="AB696" t="str"/>
          <cell r="AC696" t="str"/>
          <cell r="AD696" t="str"/>
          <cell r="AE696" t="str"/>
          <cell r="AF696" t="str"/>
        </row>
        <row r="697">
          <cell r="B697" t="str"/>
          <cell r="C697" t="str"/>
          <cell r="D697" t="str"/>
          <cell r="E697" t="str"/>
          <cell r="F697" t="str"/>
          <cell r="G697" t="str"/>
          <cell r="H697" t="str"/>
          <cell r="I697" t="str"/>
          <cell r="J697" t="str"/>
          <cell r="K697" t="str"/>
          <cell r="L697" t="str"/>
          <cell r="M697" t="str"/>
          <cell r="N697" t="str"/>
          <cell r="O697" t="str"/>
          <cell r="P697" t="str"/>
          <cell r="Q697" t="str"/>
          <cell r="R697" t="str"/>
          <cell r="S697" t="str"/>
          <cell r="T697" t="str"/>
          <cell r="U697" t="str"/>
          <cell r="V697" t="str"/>
          <cell r="W697" t="str"/>
          <cell r="X697" t="str"/>
          <cell r="Y697" t="str"/>
        </row>
        <row r="697">
          <cell r="AA697" t="str"/>
          <cell r="AB697" t="str"/>
          <cell r="AC697" t="str"/>
          <cell r="AD697" t="str"/>
          <cell r="AE697" t="str"/>
          <cell r="AF697" t="str"/>
        </row>
        <row r="698">
          <cell r="B698" t="str"/>
          <cell r="C698" t="str"/>
          <cell r="D698" t="str"/>
          <cell r="E698" t="str"/>
          <cell r="F698" t="str"/>
          <cell r="G698" t="str"/>
          <cell r="H698" t="str"/>
          <cell r="I698" t="str"/>
          <cell r="J698" t="str"/>
          <cell r="K698" t="str"/>
          <cell r="L698" t="str"/>
          <cell r="M698" t="str"/>
          <cell r="N698" t="str"/>
          <cell r="O698" t="str"/>
          <cell r="P698" t="str"/>
          <cell r="Q698" t="str"/>
          <cell r="R698" t="str"/>
          <cell r="S698" t="str"/>
          <cell r="T698" t="str"/>
          <cell r="U698" t="str"/>
          <cell r="V698" t="str"/>
          <cell r="W698" t="str"/>
          <cell r="X698" t="str"/>
          <cell r="Y698" t="str"/>
        </row>
        <row r="698">
          <cell r="AA698" t="str"/>
          <cell r="AB698" t="str"/>
          <cell r="AC698" t="str"/>
          <cell r="AD698" t="str"/>
          <cell r="AE698" t="str"/>
          <cell r="AF698" t="str"/>
        </row>
        <row r="699">
          <cell r="B699" t="str"/>
          <cell r="C699" t="str"/>
          <cell r="D699" t="str"/>
          <cell r="E699" t="str"/>
          <cell r="F699" t="str"/>
          <cell r="G699" t="str"/>
          <cell r="H699" t="str"/>
          <cell r="I699" t="str"/>
          <cell r="J699" t="str"/>
          <cell r="K699" t="str"/>
          <cell r="L699" t="str"/>
          <cell r="M699" t="str"/>
          <cell r="N699" t="str"/>
          <cell r="O699" t="str"/>
          <cell r="P699" t="str"/>
          <cell r="Q699" t="str"/>
          <cell r="R699" t="str"/>
          <cell r="S699" t="str"/>
          <cell r="T699" t="str"/>
          <cell r="U699" t="str"/>
          <cell r="V699" t="str"/>
          <cell r="W699" t="str"/>
          <cell r="X699" t="str"/>
          <cell r="Y699" t="str"/>
        </row>
        <row r="699">
          <cell r="AA699" t="str"/>
          <cell r="AB699" t="str"/>
          <cell r="AC699" t="str"/>
          <cell r="AD699" t="str"/>
          <cell r="AE699" t="str"/>
          <cell r="AF699" t="str"/>
        </row>
        <row r="700">
          <cell r="B700" t="str"/>
          <cell r="C700" t="str"/>
          <cell r="D700" t="str"/>
          <cell r="E700" t="str"/>
          <cell r="F700" t="str"/>
          <cell r="G700" t="str"/>
          <cell r="H700" t="str"/>
          <cell r="I700" t="str"/>
          <cell r="J700" t="str"/>
          <cell r="K700" t="str"/>
          <cell r="L700" t="str"/>
          <cell r="M700" t="str"/>
          <cell r="N700" t="str"/>
          <cell r="O700" t="str"/>
          <cell r="P700" t="str"/>
          <cell r="Q700" t="str"/>
          <cell r="R700" t="str"/>
          <cell r="S700" t="str"/>
          <cell r="T700" t="str"/>
          <cell r="U700" t="str"/>
          <cell r="V700" t="str"/>
          <cell r="W700" t="str"/>
          <cell r="X700" t="str"/>
          <cell r="Y700" t="str"/>
        </row>
        <row r="700">
          <cell r="AA700" t="str"/>
          <cell r="AB700" t="str"/>
          <cell r="AC700" t="str"/>
          <cell r="AD700" t="str"/>
          <cell r="AE700" t="str"/>
          <cell r="AF700" t="str"/>
        </row>
        <row r="701">
          <cell r="B701" t="str"/>
          <cell r="C701" t="str"/>
          <cell r="D701" t="str"/>
          <cell r="E701" t="str"/>
          <cell r="F701" t="str"/>
          <cell r="G701" t="str"/>
          <cell r="H701" t="str"/>
          <cell r="I701" t="str"/>
          <cell r="J701" t="str"/>
          <cell r="K701" t="str"/>
          <cell r="L701" t="str"/>
          <cell r="M701" t="str"/>
          <cell r="N701" t="str"/>
          <cell r="O701" t="str"/>
          <cell r="P701" t="str"/>
          <cell r="Q701" t="str"/>
          <cell r="R701" t="str"/>
          <cell r="S701" t="str"/>
          <cell r="T701" t="str"/>
          <cell r="U701" t="str"/>
          <cell r="V701" t="str"/>
          <cell r="W701" t="str"/>
          <cell r="X701" t="str"/>
          <cell r="Y701" t="str"/>
        </row>
        <row r="701">
          <cell r="AA701" t="str"/>
          <cell r="AB701" t="str"/>
          <cell r="AC701" t="str"/>
          <cell r="AD701" t="str"/>
          <cell r="AE701" t="str"/>
          <cell r="AF701" t="str"/>
        </row>
        <row r="702">
          <cell r="B702" t="str"/>
          <cell r="C702" t="str"/>
          <cell r="D702" t="str"/>
          <cell r="E702" t="str"/>
          <cell r="F702" t="str"/>
          <cell r="G702" t="str"/>
          <cell r="H702" t="str"/>
          <cell r="I702" t="str"/>
          <cell r="J702" t="str"/>
          <cell r="K702" t="str"/>
          <cell r="L702" t="str"/>
          <cell r="M702" t="str"/>
          <cell r="N702" t="str"/>
          <cell r="O702" t="str"/>
          <cell r="P702" t="str"/>
          <cell r="Q702" t="str"/>
          <cell r="R702" t="str"/>
          <cell r="S702" t="str"/>
          <cell r="T702" t="str"/>
          <cell r="U702" t="str"/>
          <cell r="V702" t="str"/>
          <cell r="W702" t="str"/>
          <cell r="X702" t="str"/>
          <cell r="Y702" t="str"/>
        </row>
        <row r="702">
          <cell r="AA702" t="str"/>
          <cell r="AB702" t="str"/>
          <cell r="AC702" t="str"/>
          <cell r="AD702" t="str"/>
          <cell r="AE702" t="str"/>
          <cell r="AF702" t="str"/>
        </row>
        <row r="703">
          <cell r="B703" t="str"/>
          <cell r="C703" t="str"/>
          <cell r="D703" t="str"/>
          <cell r="E703" t="str"/>
          <cell r="F703" t="str"/>
          <cell r="G703" t="str"/>
          <cell r="H703" t="str"/>
          <cell r="I703" t="str"/>
          <cell r="J703" t="str"/>
          <cell r="K703" t="str"/>
          <cell r="L703" t="str"/>
          <cell r="M703" t="str"/>
          <cell r="N703" t="str"/>
          <cell r="O703" t="str"/>
          <cell r="P703" t="str"/>
          <cell r="Q703" t="str"/>
          <cell r="R703" t="str"/>
          <cell r="S703" t="str"/>
          <cell r="T703" t="str"/>
          <cell r="U703" t="str"/>
          <cell r="V703" t="str"/>
          <cell r="W703" t="str"/>
          <cell r="X703" t="str"/>
          <cell r="Y703" t="str"/>
        </row>
        <row r="703">
          <cell r="AA703" t="str"/>
          <cell r="AB703" t="str"/>
          <cell r="AC703" t="str"/>
          <cell r="AD703" t="str"/>
          <cell r="AE703" t="str"/>
          <cell r="AF703" t="str"/>
        </row>
        <row r="704">
          <cell r="B704" t="str"/>
          <cell r="C704" t="str"/>
          <cell r="D704" t="str"/>
          <cell r="E704" t="str"/>
          <cell r="F704" t="str"/>
          <cell r="G704" t="str"/>
          <cell r="H704" t="str"/>
          <cell r="I704" t="str"/>
          <cell r="J704" t="str"/>
          <cell r="K704" t="str"/>
          <cell r="L704" t="str"/>
          <cell r="M704" t="str"/>
          <cell r="N704" t="str"/>
          <cell r="O704" t="str"/>
          <cell r="P704" t="str"/>
          <cell r="Q704" t="str"/>
          <cell r="R704" t="str"/>
          <cell r="S704" t="str"/>
          <cell r="T704" t="str"/>
          <cell r="U704" t="str"/>
          <cell r="V704" t="str"/>
          <cell r="W704" t="str"/>
          <cell r="X704" t="str"/>
          <cell r="Y704" t="str"/>
        </row>
        <row r="704">
          <cell r="AA704" t="str"/>
          <cell r="AB704" t="str"/>
          <cell r="AC704" t="str"/>
          <cell r="AD704" t="str"/>
          <cell r="AE704" t="str"/>
          <cell r="AF704" t="str"/>
        </row>
        <row r="705">
          <cell r="B705" t="str"/>
          <cell r="C705" t="str"/>
          <cell r="D705" t="str"/>
          <cell r="E705" t="str"/>
          <cell r="F705" t="str"/>
          <cell r="G705" t="str"/>
          <cell r="H705" t="str"/>
          <cell r="I705" t="str"/>
          <cell r="J705" t="str"/>
          <cell r="K705" t="str"/>
          <cell r="L705" t="str"/>
          <cell r="M705" t="str"/>
          <cell r="N705" t="str"/>
          <cell r="O705" t="str"/>
          <cell r="P705" t="str"/>
          <cell r="Q705" t="str"/>
          <cell r="R705" t="str"/>
          <cell r="S705" t="str"/>
          <cell r="T705" t="str"/>
          <cell r="U705" t="str"/>
          <cell r="V705" t="str"/>
          <cell r="W705" t="str"/>
          <cell r="X705" t="str"/>
          <cell r="Y705" t="str"/>
        </row>
        <row r="705">
          <cell r="AA705" t="str"/>
          <cell r="AB705" t="str"/>
          <cell r="AC705" t="str"/>
          <cell r="AD705" t="str"/>
          <cell r="AE705" t="str"/>
          <cell r="AF705" t="str"/>
        </row>
        <row r="706">
          <cell r="B706" t="str"/>
          <cell r="C706" t="str"/>
          <cell r="D706" t="str"/>
          <cell r="E706" t="str"/>
          <cell r="F706" t="str"/>
          <cell r="G706" t="str"/>
          <cell r="H706" t="str"/>
          <cell r="I706" t="str"/>
          <cell r="J706" t="str"/>
          <cell r="K706" t="str"/>
          <cell r="L706" t="str"/>
          <cell r="M706" t="str"/>
          <cell r="N706" t="str"/>
          <cell r="O706" t="str"/>
          <cell r="P706" t="str"/>
          <cell r="Q706" t="str"/>
          <cell r="R706" t="str"/>
          <cell r="S706" t="str"/>
          <cell r="T706" t="str"/>
          <cell r="U706" t="str"/>
          <cell r="V706" t="str"/>
          <cell r="W706" t="str"/>
          <cell r="X706" t="str"/>
          <cell r="Y706" t="str"/>
        </row>
        <row r="706">
          <cell r="AA706" t="str"/>
          <cell r="AB706" t="str"/>
          <cell r="AC706" t="str"/>
          <cell r="AD706" t="str"/>
          <cell r="AE706" t="str"/>
          <cell r="AF706" t="str"/>
        </row>
        <row r="707">
          <cell r="B707" t="str"/>
          <cell r="C707" t="str"/>
          <cell r="D707" t="str"/>
          <cell r="E707" t="str"/>
          <cell r="F707" t="str"/>
          <cell r="G707" t="str"/>
          <cell r="H707" t="str"/>
          <cell r="I707" t="str"/>
          <cell r="J707" t="str"/>
          <cell r="K707" t="str"/>
          <cell r="L707" t="str"/>
          <cell r="M707" t="str"/>
          <cell r="N707" t="str"/>
          <cell r="O707" t="str"/>
          <cell r="P707" t="str"/>
          <cell r="Q707" t="str"/>
          <cell r="R707" t="str"/>
          <cell r="S707" t="str"/>
          <cell r="T707" t="str"/>
          <cell r="U707" t="str"/>
          <cell r="V707" t="str"/>
          <cell r="W707" t="str"/>
          <cell r="X707" t="str"/>
          <cell r="Y707" t="str"/>
        </row>
        <row r="707">
          <cell r="AA707" t="str"/>
          <cell r="AB707" t="str"/>
          <cell r="AC707" t="str"/>
          <cell r="AD707" t="str"/>
          <cell r="AE707" t="str"/>
          <cell r="AF707" t="str"/>
        </row>
        <row r="708">
          <cell r="B708" t="str"/>
          <cell r="C708" t="str"/>
          <cell r="D708" t="str"/>
          <cell r="E708" t="str"/>
          <cell r="F708" t="str"/>
          <cell r="G708" t="str"/>
          <cell r="H708" t="str"/>
          <cell r="I708" t="str"/>
          <cell r="J708" t="str"/>
          <cell r="K708" t="str"/>
          <cell r="L708" t="str"/>
          <cell r="M708" t="str"/>
          <cell r="N708" t="str"/>
          <cell r="O708" t="str"/>
          <cell r="P708" t="str"/>
          <cell r="Q708" t="str"/>
          <cell r="R708" t="str"/>
          <cell r="S708" t="str"/>
          <cell r="T708" t="str"/>
          <cell r="U708" t="str"/>
          <cell r="V708" t="str"/>
          <cell r="W708" t="str"/>
          <cell r="X708" t="str"/>
          <cell r="Y708" t="str"/>
        </row>
        <row r="708">
          <cell r="AA708" t="str"/>
          <cell r="AB708" t="str"/>
          <cell r="AC708" t="str"/>
          <cell r="AD708" t="str"/>
          <cell r="AE708" t="str"/>
          <cell r="AF708" t="str"/>
        </row>
        <row r="709">
          <cell r="B709" t="str"/>
          <cell r="C709" t="str"/>
          <cell r="D709" t="str"/>
          <cell r="E709" t="str"/>
          <cell r="F709" t="str"/>
          <cell r="G709" t="str"/>
          <cell r="H709" t="str"/>
          <cell r="I709" t="str"/>
          <cell r="J709" t="str"/>
          <cell r="K709" t="str"/>
          <cell r="L709" t="str"/>
          <cell r="M709" t="str"/>
          <cell r="N709" t="str"/>
          <cell r="O709" t="str"/>
          <cell r="P709" t="str"/>
          <cell r="Q709" t="str"/>
          <cell r="R709" t="str"/>
          <cell r="S709" t="str"/>
          <cell r="T709" t="str"/>
          <cell r="U709" t="str"/>
          <cell r="V709" t="str"/>
          <cell r="W709" t="str"/>
          <cell r="X709" t="str"/>
          <cell r="Y709" t="str"/>
        </row>
        <row r="709">
          <cell r="AA709" t="str"/>
          <cell r="AB709" t="str"/>
          <cell r="AC709" t="str"/>
          <cell r="AD709" t="str"/>
          <cell r="AE709" t="str"/>
          <cell r="AF709" t="str"/>
        </row>
        <row r="710">
          <cell r="B710" t="str"/>
          <cell r="C710" t="str"/>
          <cell r="D710" t="str"/>
          <cell r="E710" t="str"/>
          <cell r="F710" t="str"/>
          <cell r="G710" t="str"/>
          <cell r="H710" t="str"/>
          <cell r="I710" t="str"/>
          <cell r="J710" t="str"/>
          <cell r="K710" t="str"/>
          <cell r="L710" t="str"/>
          <cell r="M710" t="str"/>
          <cell r="N710" t="str"/>
          <cell r="O710" t="str"/>
          <cell r="P710" t="str"/>
          <cell r="Q710" t="str"/>
          <cell r="R710" t="str"/>
          <cell r="S710" t="str"/>
          <cell r="T710" t="str"/>
          <cell r="U710" t="str"/>
          <cell r="V710" t="str"/>
          <cell r="W710" t="str"/>
          <cell r="X710" t="str"/>
          <cell r="Y710" t="str"/>
        </row>
        <row r="710">
          <cell r="AA710" t="str"/>
          <cell r="AB710" t="str"/>
          <cell r="AC710" t="str"/>
          <cell r="AD710" t="str"/>
          <cell r="AE710" t="str"/>
          <cell r="AF710" t="str"/>
        </row>
        <row r="711">
          <cell r="B711" t="str"/>
          <cell r="C711" t="str"/>
          <cell r="D711" t="str"/>
          <cell r="E711" t="str"/>
          <cell r="F711" t="str"/>
          <cell r="G711" t="str"/>
          <cell r="H711" t="str"/>
          <cell r="I711" t="str"/>
          <cell r="J711" t="str"/>
          <cell r="K711" t="str"/>
          <cell r="L711" t="str"/>
          <cell r="M711" t="str"/>
          <cell r="N711" t="str"/>
          <cell r="O711" t="str"/>
          <cell r="P711" t="str"/>
          <cell r="Q711" t="str"/>
          <cell r="R711" t="str"/>
          <cell r="S711" t="str"/>
          <cell r="T711" t="str"/>
          <cell r="U711" t="str"/>
          <cell r="V711" t="str"/>
          <cell r="W711" t="str"/>
          <cell r="X711" t="str"/>
          <cell r="Y711" t="str"/>
        </row>
        <row r="711">
          <cell r="AA711" t="str"/>
          <cell r="AB711" t="str"/>
          <cell r="AC711" t="str"/>
          <cell r="AD711" t="str"/>
          <cell r="AE711" t="str"/>
          <cell r="AF711" t="str"/>
        </row>
        <row r="712">
          <cell r="B712" t="str"/>
          <cell r="C712" t="str"/>
          <cell r="D712" t="str"/>
          <cell r="E712" t="str"/>
          <cell r="F712" t="str"/>
          <cell r="G712" t="str"/>
          <cell r="H712" t="str"/>
          <cell r="I712" t="str"/>
          <cell r="J712" t="str"/>
          <cell r="K712" t="str"/>
          <cell r="L712" t="str"/>
          <cell r="M712" t="str"/>
          <cell r="N712" t="str"/>
          <cell r="O712" t="str"/>
          <cell r="P712" t="str"/>
          <cell r="Q712" t="str"/>
          <cell r="R712" t="str"/>
          <cell r="S712" t="str"/>
          <cell r="T712" t="str"/>
          <cell r="U712" t="str"/>
          <cell r="V712" t="str"/>
          <cell r="W712" t="str"/>
          <cell r="X712" t="str"/>
          <cell r="Y712" t="str"/>
        </row>
        <row r="712">
          <cell r="AA712" t="str"/>
          <cell r="AB712" t="str"/>
          <cell r="AC712" t="str"/>
          <cell r="AD712" t="str"/>
          <cell r="AE712" t="str"/>
          <cell r="AF712" t="str"/>
        </row>
        <row r="713">
          <cell r="B713" t="str"/>
          <cell r="C713" t="str"/>
          <cell r="D713" t="str"/>
          <cell r="E713" t="str"/>
          <cell r="F713" t="str"/>
          <cell r="G713" t="str"/>
          <cell r="H713" t="str"/>
          <cell r="I713" t="str"/>
          <cell r="J713" t="str"/>
          <cell r="K713" t="str"/>
          <cell r="L713" t="str"/>
          <cell r="M713" t="str"/>
          <cell r="N713" t="str"/>
          <cell r="O713" t="str"/>
          <cell r="P713" t="str"/>
          <cell r="Q713" t="str"/>
          <cell r="R713" t="str"/>
          <cell r="S713" t="str"/>
          <cell r="T713" t="str"/>
          <cell r="U713" t="str"/>
          <cell r="V713" t="str"/>
          <cell r="W713" t="str"/>
          <cell r="X713" t="str"/>
          <cell r="Y713" t="str"/>
        </row>
        <row r="713">
          <cell r="AA713" t="str"/>
          <cell r="AB713" t="str"/>
          <cell r="AC713" t="str"/>
          <cell r="AD713" t="str"/>
          <cell r="AE713" t="str"/>
          <cell r="AF713" t="str"/>
        </row>
        <row r="714">
          <cell r="B714" t="str"/>
          <cell r="C714" t="str"/>
          <cell r="D714" t="str"/>
          <cell r="E714" t="str"/>
          <cell r="F714" t="str"/>
          <cell r="G714" t="str"/>
          <cell r="H714" t="str"/>
          <cell r="I714" t="str"/>
          <cell r="J714" t="str"/>
          <cell r="K714" t="str"/>
          <cell r="L714" t="str"/>
          <cell r="M714" t="str"/>
          <cell r="N714" t="str"/>
          <cell r="O714" t="str"/>
          <cell r="P714" t="str"/>
          <cell r="Q714" t="str"/>
          <cell r="R714" t="str"/>
          <cell r="S714" t="str"/>
          <cell r="T714" t="str"/>
          <cell r="U714" t="str"/>
          <cell r="V714" t="str"/>
          <cell r="W714" t="str"/>
          <cell r="X714" t="str"/>
          <cell r="Y714" t="str"/>
        </row>
        <row r="714">
          <cell r="AA714" t="str"/>
          <cell r="AB714" t="str"/>
          <cell r="AC714" t="str"/>
          <cell r="AD714" t="str"/>
          <cell r="AE714" t="str"/>
          <cell r="AF714" t="str"/>
        </row>
        <row r="715">
          <cell r="B715" t="str"/>
          <cell r="C715" t="str"/>
          <cell r="D715" t="str"/>
          <cell r="E715" t="str"/>
          <cell r="F715" t="str"/>
          <cell r="G715" t="str"/>
          <cell r="H715" t="str"/>
          <cell r="I715" t="str"/>
          <cell r="J715" t="str"/>
          <cell r="K715" t="str"/>
          <cell r="L715" t="str"/>
          <cell r="M715" t="str"/>
          <cell r="N715" t="str"/>
          <cell r="O715" t="str"/>
          <cell r="P715" t="str"/>
          <cell r="Q715" t="str"/>
          <cell r="R715" t="str"/>
          <cell r="S715" t="str"/>
          <cell r="T715" t="str"/>
          <cell r="U715" t="str"/>
          <cell r="V715" t="str"/>
          <cell r="W715" t="str"/>
          <cell r="X715" t="str"/>
          <cell r="Y715" t="str"/>
        </row>
        <row r="715">
          <cell r="AA715" t="str"/>
          <cell r="AB715" t="str"/>
          <cell r="AC715" t="str"/>
          <cell r="AD715" t="str"/>
          <cell r="AE715" t="str"/>
          <cell r="AF715" t="str"/>
        </row>
        <row r="716">
          <cell r="B716" t="str"/>
          <cell r="C716" t="str"/>
          <cell r="D716" t="str"/>
          <cell r="E716" t="str"/>
          <cell r="F716" t="str"/>
          <cell r="G716" t="str"/>
          <cell r="H716" t="str"/>
          <cell r="I716" t="str"/>
          <cell r="J716" t="str"/>
          <cell r="K716" t="str"/>
          <cell r="L716" t="str"/>
          <cell r="M716" t="str"/>
          <cell r="N716" t="str"/>
          <cell r="O716" t="str"/>
          <cell r="P716" t="str"/>
          <cell r="Q716" t="str"/>
          <cell r="R716" t="str"/>
          <cell r="S716" t="str"/>
          <cell r="T716" t="str"/>
          <cell r="U716" t="str"/>
          <cell r="V716" t="str"/>
          <cell r="W716" t="str"/>
          <cell r="X716" t="str"/>
          <cell r="Y716" t="str"/>
        </row>
        <row r="716">
          <cell r="AA716" t="str"/>
          <cell r="AB716" t="str"/>
          <cell r="AC716" t="str"/>
          <cell r="AD716" t="str"/>
          <cell r="AE716" t="str"/>
          <cell r="AF716" t="str"/>
        </row>
        <row r="717">
          <cell r="B717" t="str"/>
          <cell r="C717" t="str"/>
          <cell r="D717" t="str"/>
          <cell r="E717" t="str"/>
          <cell r="F717" t="str"/>
          <cell r="G717" t="str"/>
          <cell r="H717" t="str"/>
          <cell r="I717" t="str"/>
          <cell r="J717" t="str"/>
          <cell r="K717" t="str"/>
          <cell r="L717" t="str"/>
          <cell r="M717" t="str"/>
          <cell r="N717" t="str"/>
          <cell r="O717" t="str"/>
          <cell r="P717" t="str"/>
          <cell r="Q717" t="str"/>
          <cell r="R717" t="str"/>
          <cell r="S717" t="str"/>
          <cell r="T717" t="str"/>
          <cell r="U717" t="str"/>
          <cell r="V717" t="str"/>
          <cell r="W717" t="str"/>
          <cell r="X717" t="str"/>
          <cell r="Y717" t="str"/>
        </row>
        <row r="717">
          <cell r="AA717" t="str"/>
          <cell r="AB717" t="str"/>
          <cell r="AC717" t="str"/>
          <cell r="AD717" t="str"/>
          <cell r="AE717" t="str"/>
          <cell r="AF717" t="str"/>
        </row>
        <row r="718">
          <cell r="B718" t="str"/>
          <cell r="C718" t="str"/>
          <cell r="D718" t="str"/>
          <cell r="E718" t="str"/>
          <cell r="F718" t="str"/>
          <cell r="G718" t="str"/>
          <cell r="H718" t="str"/>
          <cell r="I718" t="str"/>
          <cell r="J718" t="str"/>
          <cell r="K718" t="str"/>
          <cell r="L718" t="str"/>
          <cell r="M718" t="str"/>
          <cell r="N718" t="str"/>
          <cell r="O718" t="str"/>
          <cell r="P718" t="str"/>
          <cell r="Q718" t="str"/>
          <cell r="R718" t="str"/>
          <cell r="S718" t="str"/>
          <cell r="T718" t="str"/>
          <cell r="U718" t="str"/>
          <cell r="V718" t="str"/>
          <cell r="W718" t="str"/>
          <cell r="X718" t="str"/>
          <cell r="Y718" t="str"/>
        </row>
        <row r="718">
          <cell r="AA718" t="str"/>
          <cell r="AB718" t="str"/>
          <cell r="AC718" t="str"/>
          <cell r="AD718" t="str"/>
          <cell r="AE718" t="str"/>
          <cell r="AF718" t="str"/>
        </row>
        <row r="719">
          <cell r="B719" t="str"/>
          <cell r="C719" t="str"/>
          <cell r="D719" t="str"/>
          <cell r="E719" t="str"/>
          <cell r="F719" t="str"/>
          <cell r="G719" t="str"/>
          <cell r="H719" t="str"/>
          <cell r="I719" t="str"/>
          <cell r="J719" t="str"/>
          <cell r="K719" t="str"/>
          <cell r="L719" t="str"/>
          <cell r="M719" t="str"/>
          <cell r="N719" t="str"/>
          <cell r="O719" t="str"/>
          <cell r="P719" t="str"/>
          <cell r="Q719" t="str"/>
          <cell r="R719" t="str"/>
          <cell r="S719" t="str"/>
          <cell r="T719" t="str"/>
          <cell r="U719" t="str"/>
          <cell r="V719" t="str"/>
          <cell r="W719" t="str"/>
          <cell r="X719" t="str"/>
          <cell r="Y719" t="str"/>
        </row>
        <row r="719">
          <cell r="AA719" t="str"/>
          <cell r="AB719" t="str"/>
          <cell r="AC719" t="str"/>
          <cell r="AD719" t="str"/>
          <cell r="AE719" t="str"/>
          <cell r="AF719" t="str"/>
        </row>
        <row r="720">
          <cell r="B720" t="str"/>
          <cell r="C720" t="str"/>
          <cell r="D720" t="str"/>
          <cell r="E720" t="str"/>
          <cell r="F720" t="str"/>
          <cell r="G720" t="str"/>
          <cell r="H720" t="str"/>
          <cell r="I720" t="str"/>
          <cell r="J720" t="str"/>
          <cell r="K720" t="str"/>
          <cell r="L720" t="str"/>
          <cell r="M720" t="str"/>
          <cell r="N720" t="str"/>
          <cell r="O720" t="str"/>
          <cell r="P720" t="str"/>
          <cell r="Q720" t="str"/>
          <cell r="R720" t="str"/>
          <cell r="S720" t="str"/>
          <cell r="T720" t="str"/>
          <cell r="U720" t="str"/>
          <cell r="V720" t="str"/>
          <cell r="W720" t="str"/>
          <cell r="X720" t="str"/>
          <cell r="Y720" t="str"/>
        </row>
        <row r="720">
          <cell r="AA720" t="str"/>
          <cell r="AB720" t="str"/>
          <cell r="AC720" t="str"/>
          <cell r="AD720" t="str"/>
          <cell r="AE720" t="str"/>
          <cell r="AF720" t="str"/>
        </row>
        <row r="721">
          <cell r="B721" t="str"/>
          <cell r="C721" t="str"/>
          <cell r="D721" t="str"/>
          <cell r="E721" t="str"/>
          <cell r="F721" t="str"/>
          <cell r="G721" t="str"/>
          <cell r="H721" t="str"/>
          <cell r="I721" t="str"/>
          <cell r="J721" t="str"/>
          <cell r="K721" t="str"/>
          <cell r="L721" t="str"/>
          <cell r="M721" t="str"/>
          <cell r="N721" t="str"/>
          <cell r="O721" t="str"/>
          <cell r="P721" t="str"/>
          <cell r="Q721" t="str"/>
          <cell r="R721" t="str"/>
          <cell r="S721" t="str"/>
          <cell r="T721" t="str"/>
          <cell r="U721" t="str"/>
          <cell r="V721" t="str"/>
          <cell r="W721" t="str"/>
          <cell r="X721" t="str"/>
          <cell r="Y721" t="str"/>
        </row>
        <row r="721">
          <cell r="AA721" t="str"/>
          <cell r="AB721" t="str"/>
          <cell r="AC721" t="str"/>
          <cell r="AD721" t="str"/>
          <cell r="AE721" t="str"/>
          <cell r="AF721" t="str"/>
        </row>
        <row r="722">
          <cell r="B722" t="str"/>
          <cell r="C722" t="str"/>
          <cell r="D722" t="str"/>
          <cell r="E722" t="str"/>
          <cell r="F722" t="str"/>
          <cell r="G722" t="str"/>
          <cell r="H722" t="str"/>
          <cell r="I722" t="str"/>
          <cell r="J722" t="str"/>
          <cell r="K722" t="str"/>
          <cell r="L722" t="str"/>
          <cell r="M722" t="str"/>
          <cell r="N722" t="str"/>
          <cell r="O722" t="str"/>
          <cell r="P722" t="str"/>
          <cell r="Q722" t="str"/>
          <cell r="R722" t="str"/>
          <cell r="S722" t="str"/>
          <cell r="T722" t="str"/>
          <cell r="U722" t="str"/>
          <cell r="V722" t="str"/>
          <cell r="W722" t="str"/>
          <cell r="X722" t="str"/>
          <cell r="Y722" t="str"/>
        </row>
        <row r="722">
          <cell r="AA722" t="str"/>
          <cell r="AB722" t="str"/>
          <cell r="AC722" t="str"/>
          <cell r="AD722" t="str"/>
          <cell r="AE722" t="str"/>
          <cell r="AF722" t="str"/>
        </row>
        <row r="723">
          <cell r="B723" t="str"/>
          <cell r="C723" t="str"/>
          <cell r="D723" t="str"/>
          <cell r="E723" t="str"/>
          <cell r="F723" t="str"/>
          <cell r="G723" t="str"/>
          <cell r="H723" t="str"/>
          <cell r="I723" t="str"/>
          <cell r="J723" t="str"/>
          <cell r="K723" t="str"/>
          <cell r="L723" t="str"/>
          <cell r="M723" t="str"/>
          <cell r="N723" t="str"/>
          <cell r="O723" t="str"/>
          <cell r="P723" t="str"/>
          <cell r="Q723" t="str"/>
          <cell r="R723" t="str"/>
          <cell r="S723" t="str"/>
          <cell r="T723" t="str"/>
          <cell r="U723" t="str"/>
          <cell r="V723" t="str"/>
          <cell r="W723" t="str"/>
          <cell r="X723" t="str"/>
          <cell r="Y723" t="str"/>
        </row>
        <row r="723">
          <cell r="AA723" t="str"/>
          <cell r="AB723" t="str"/>
          <cell r="AC723" t="str"/>
          <cell r="AD723" t="str"/>
          <cell r="AE723" t="str"/>
          <cell r="AF723" t="str"/>
        </row>
        <row r="724">
          <cell r="B724" t="str"/>
          <cell r="C724" t="str"/>
          <cell r="D724" t="str"/>
          <cell r="E724" t="str"/>
          <cell r="F724" t="str"/>
          <cell r="G724" t="str"/>
          <cell r="H724" t="str"/>
          <cell r="I724" t="str"/>
          <cell r="J724" t="str"/>
          <cell r="K724" t="str"/>
          <cell r="L724" t="str"/>
          <cell r="M724" t="str"/>
          <cell r="N724" t="str"/>
          <cell r="O724" t="str"/>
          <cell r="P724" t="str"/>
          <cell r="Q724" t="str"/>
          <cell r="R724" t="str"/>
          <cell r="S724" t="str"/>
          <cell r="T724" t="str"/>
          <cell r="U724" t="str"/>
          <cell r="V724" t="str"/>
          <cell r="W724" t="str"/>
          <cell r="X724" t="str"/>
          <cell r="Y724" t="str"/>
        </row>
        <row r="724">
          <cell r="AA724" t="str"/>
          <cell r="AB724" t="str"/>
          <cell r="AC724" t="str"/>
          <cell r="AD724" t="str"/>
          <cell r="AE724" t="str"/>
          <cell r="AF724" t="str"/>
        </row>
        <row r="725">
          <cell r="B725" t="str"/>
          <cell r="C725" t="str"/>
          <cell r="D725" t="str"/>
          <cell r="E725" t="str"/>
          <cell r="F725" t="str"/>
          <cell r="G725" t="str"/>
          <cell r="H725" t="str"/>
          <cell r="I725" t="str"/>
          <cell r="J725" t="str"/>
          <cell r="K725" t="str"/>
          <cell r="L725" t="str"/>
          <cell r="M725" t="str"/>
          <cell r="N725" t="str"/>
          <cell r="O725" t="str"/>
          <cell r="P725" t="str"/>
          <cell r="Q725" t="str"/>
          <cell r="R725" t="str"/>
          <cell r="S725" t="str"/>
          <cell r="T725" t="str"/>
          <cell r="U725" t="str"/>
          <cell r="V725" t="str"/>
          <cell r="W725" t="str"/>
          <cell r="X725" t="str"/>
          <cell r="Y725" t="str"/>
        </row>
        <row r="725">
          <cell r="AA725" t="str"/>
          <cell r="AB725" t="str"/>
          <cell r="AC725" t="str"/>
          <cell r="AD725" t="str"/>
          <cell r="AE725" t="str"/>
          <cell r="AF725" t="str"/>
        </row>
        <row r="726">
          <cell r="B726" t="str"/>
          <cell r="C726" t="str"/>
          <cell r="D726" t="str"/>
          <cell r="E726" t="str"/>
          <cell r="F726" t="str"/>
          <cell r="G726" t="str"/>
          <cell r="H726" t="str"/>
          <cell r="I726" t="str"/>
          <cell r="J726" t="str"/>
          <cell r="K726" t="str"/>
          <cell r="L726" t="str"/>
          <cell r="M726" t="str"/>
          <cell r="N726" t="str"/>
          <cell r="O726" t="str"/>
          <cell r="P726" t="str"/>
          <cell r="Q726" t="str"/>
          <cell r="R726" t="str"/>
          <cell r="S726" t="str"/>
          <cell r="T726" t="str"/>
          <cell r="U726" t="str"/>
          <cell r="V726" t="str"/>
          <cell r="W726" t="str"/>
          <cell r="X726" t="str"/>
          <cell r="Y726" t="str"/>
        </row>
        <row r="726">
          <cell r="AA726" t="str"/>
          <cell r="AB726" t="str"/>
          <cell r="AC726" t="str"/>
          <cell r="AD726" t="str"/>
          <cell r="AE726" t="str"/>
          <cell r="AF726" t="str"/>
        </row>
        <row r="727">
          <cell r="B727" t="str"/>
          <cell r="C727" t="str"/>
          <cell r="D727" t="str"/>
          <cell r="E727" t="str"/>
          <cell r="F727" t="str"/>
          <cell r="G727" t="str"/>
          <cell r="H727" t="str"/>
          <cell r="I727" t="str"/>
          <cell r="J727" t="str"/>
          <cell r="K727" t="str"/>
          <cell r="L727" t="str"/>
          <cell r="M727" t="str"/>
          <cell r="N727" t="str"/>
          <cell r="O727" t="str"/>
          <cell r="P727" t="str"/>
          <cell r="Q727" t="str"/>
          <cell r="R727" t="str"/>
          <cell r="S727" t="str"/>
          <cell r="T727" t="str"/>
          <cell r="U727" t="str"/>
          <cell r="V727" t="str"/>
          <cell r="W727" t="str"/>
          <cell r="X727" t="str"/>
          <cell r="Y727" t="str"/>
        </row>
        <row r="727">
          <cell r="AA727" t="str"/>
          <cell r="AB727" t="str"/>
          <cell r="AC727" t="str"/>
          <cell r="AD727" t="str"/>
          <cell r="AE727" t="str"/>
          <cell r="AF727" t="str"/>
        </row>
        <row r="728">
          <cell r="B728" t="str"/>
          <cell r="C728" t="str"/>
          <cell r="D728" t="str"/>
          <cell r="E728" t="str"/>
          <cell r="F728" t="str"/>
          <cell r="G728" t="str"/>
          <cell r="H728" t="str"/>
          <cell r="I728" t="str"/>
          <cell r="J728" t="str"/>
          <cell r="K728" t="str"/>
          <cell r="L728" t="str"/>
          <cell r="M728" t="str"/>
          <cell r="N728" t="str"/>
          <cell r="O728" t="str"/>
          <cell r="P728" t="str"/>
          <cell r="Q728" t="str"/>
          <cell r="R728" t="str"/>
          <cell r="S728" t="str"/>
          <cell r="T728" t="str"/>
          <cell r="U728" t="str"/>
          <cell r="V728" t="str"/>
          <cell r="W728" t="str"/>
          <cell r="X728" t="str"/>
          <cell r="Y728" t="str"/>
        </row>
        <row r="728">
          <cell r="AA728" t="str"/>
          <cell r="AB728" t="str"/>
          <cell r="AC728" t="str"/>
          <cell r="AD728" t="str"/>
          <cell r="AE728" t="str"/>
          <cell r="AF728" t="str"/>
        </row>
        <row r="729">
          <cell r="B729" t="str"/>
          <cell r="C729" t="str"/>
          <cell r="D729" t="str"/>
          <cell r="E729" t="str"/>
          <cell r="F729" t="str"/>
          <cell r="G729" t="str"/>
          <cell r="H729" t="str"/>
          <cell r="I729" t="str"/>
          <cell r="J729" t="str"/>
          <cell r="K729" t="str"/>
          <cell r="L729" t="str"/>
          <cell r="M729" t="str"/>
          <cell r="N729" t="str"/>
          <cell r="O729" t="str"/>
          <cell r="P729" t="str"/>
          <cell r="Q729" t="str"/>
          <cell r="R729" t="str"/>
          <cell r="S729" t="str"/>
          <cell r="T729" t="str"/>
          <cell r="U729" t="str"/>
          <cell r="V729" t="str"/>
          <cell r="W729" t="str"/>
          <cell r="X729" t="str"/>
          <cell r="Y729" t="str"/>
        </row>
        <row r="729">
          <cell r="AA729" t="str"/>
          <cell r="AB729" t="str"/>
          <cell r="AC729" t="str"/>
          <cell r="AD729" t="str"/>
          <cell r="AE729" t="str"/>
          <cell r="AF729" t="str"/>
        </row>
        <row r="730">
          <cell r="B730" t="str"/>
          <cell r="C730" t="str"/>
          <cell r="D730" t="str"/>
          <cell r="E730" t="str"/>
          <cell r="F730" t="str"/>
          <cell r="G730" t="str"/>
          <cell r="H730" t="str"/>
          <cell r="I730" t="str"/>
          <cell r="J730" t="str"/>
          <cell r="K730" t="str"/>
          <cell r="L730" t="str"/>
          <cell r="M730" t="str"/>
          <cell r="N730" t="str"/>
          <cell r="O730" t="str"/>
          <cell r="P730" t="str"/>
          <cell r="Q730" t="str"/>
          <cell r="R730" t="str"/>
          <cell r="S730" t="str"/>
          <cell r="T730" t="str"/>
          <cell r="U730" t="str"/>
          <cell r="V730" t="str"/>
          <cell r="W730" t="str"/>
          <cell r="X730" t="str"/>
          <cell r="Y730" t="str"/>
        </row>
        <row r="730">
          <cell r="AA730" t="str"/>
          <cell r="AB730" t="str"/>
          <cell r="AC730" t="str"/>
          <cell r="AD730" t="str"/>
          <cell r="AE730" t="str"/>
          <cell r="AF730" t="str"/>
        </row>
        <row r="731">
          <cell r="B731" t="str"/>
          <cell r="C731" t="str"/>
          <cell r="D731" t="str"/>
          <cell r="E731" t="str"/>
          <cell r="F731" t="str"/>
          <cell r="G731" t="str"/>
          <cell r="H731" t="str"/>
          <cell r="I731" t="str"/>
          <cell r="J731" t="str"/>
          <cell r="K731" t="str"/>
          <cell r="L731" t="str"/>
          <cell r="M731" t="str"/>
          <cell r="N731" t="str"/>
          <cell r="O731" t="str"/>
          <cell r="P731" t="str"/>
          <cell r="Q731" t="str"/>
          <cell r="R731" t="str"/>
          <cell r="S731" t="str"/>
          <cell r="T731" t="str"/>
          <cell r="U731" t="str"/>
          <cell r="V731" t="str"/>
          <cell r="W731" t="str"/>
          <cell r="X731" t="str"/>
          <cell r="Y731" t="str"/>
        </row>
        <row r="731">
          <cell r="AA731" t="str"/>
          <cell r="AB731" t="str"/>
          <cell r="AC731" t="str"/>
          <cell r="AD731" t="str"/>
          <cell r="AE731" t="str"/>
          <cell r="AF731" t="str"/>
        </row>
        <row r="732">
          <cell r="B732" t="str"/>
          <cell r="C732" t="str"/>
          <cell r="D732" t="str"/>
          <cell r="E732" t="str"/>
          <cell r="F732" t="str"/>
          <cell r="G732" t="str"/>
          <cell r="H732" t="str"/>
          <cell r="I732" t="str"/>
          <cell r="J732" t="str"/>
          <cell r="K732" t="str"/>
          <cell r="L732" t="str"/>
          <cell r="M732" t="str"/>
          <cell r="N732" t="str"/>
          <cell r="O732" t="str"/>
          <cell r="P732" t="str"/>
          <cell r="Q732" t="str"/>
          <cell r="R732" t="str"/>
          <cell r="S732" t="str"/>
          <cell r="T732" t="str"/>
          <cell r="U732" t="str"/>
          <cell r="V732" t="str"/>
          <cell r="W732" t="str"/>
          <cell r="X732" t="str"/>
          <cell r="Y732" t="str"/>
        </row>
        <row r="732">
          <cell r="AA732" t="str"/>
          <cell r="AB732" t="str"/>
          <cell r="AC732" t="str"/>
          <cell r="AD732" t="str"/>
          <cell r="AE732" t="str"/>
          <cell r="AF732" t="str"/>
        </row>
        <row r="733">
          <cell r="B733" t="str"/>
          <cell r="C733" t="str"/>
          <cell r="D733" t="str"/>
          <cell r="E733" t="str"/>
          <cell r="F733" t="str"/>
          <cell r="G733" t="str"/>
          <cell r="H733" t="str"/>
          <cell r="I733" t="str"/>
          <cell r="J733" t="str"/>
          <cell r="K733" t="str"/>
          <cell r="L733" t="str"/>
          <cell r="M733" t="str"/>
          <cell r="N733" t="str"/>
          <cell r="O733" t="str"/>
          <cell r="P733" t="str"/>
          <cell r="Q733" t="str"/>
          <cell r="R733" t="str"/>
          <cell r="S733" t="str"/>
          <cell r="T733" t="str"/>
          <cell r="U733" t="str"/>
          <cell r="V733" t="str"/>
          <cell r="W733" t="str"/>
          <cell r="X733" t="str"/>
          <cell r="Y733" t="str"/>
        </row>
        <row r="733">
          <cell r="AA733" t="str"/>
          <cell r="AB733" t="str"/>
          <cell r="AC733" t="str"/>
          <cell r="AD733" t="str"/>
          <cell r="AE733" t="str"/>
          <cell r="AF733" t="str"/>
        </row>
        <row r="734">
          <cell r="B734" t="str"/>
          <cell r="C734" t="str"/>
          <cell r="D734" t="str"/>
          <cell r="E734" t="str"/>
          <cell r="F734" t="str"/>
          <cell r="G734" t="str"/>
          <cell r="H734" t="str"/>
          <cell r="I734" t="str"/>
          <cell r="J734" t="str"/>
          <cell r="K734" t="str"/>
          <cell r="L734" t="str"/>
          <cell r="M734" t="str"/>
          <cell r="N734" t="str"/>
          <cell r="O734" t="str"/>
          <cell r="P734" t="str"/>
          <cell r="Q734" t="str"/>
          <cell r="R734" t="str"/>
          <cell r="S734" t="str"/>
          <cell r="T734" t="str"/>
          <cell r="U734" t="str"/>
          <cell r="V734" t="str"/>
          <cell r="W734" t="str"/>
          <cell r="X734" t="str"/>
          <cell r="Y734" t="str"/>
        </row>
        <row r="734">
          <cell r="AA734" t="str"/>
          <cell r="AB734" t="str"/>
          <cell r="AC734" t="str"/>
          <cell r="AD734" t="str"/>
          <cell r="AE734" t="str"/>
          <cell r="AF734" t="str"/>
        </row>
        <row r="735">
          <cell r="B735" t="str"/>
          <cell r="C735" t="str"/>
          <cell r="D735" t="str"/>
          <cell r="E735" t="str"/>
          <cell r="F735" t="str"/>
          <cell r="G735" t="str"/>
          <cell r="H735" t="str"/>
          <cell r="I735" t="str"/>
          <cell r="J735" t="str"/>
          <cell r="K735" t="str"/>
          <cell r="L735" t="str"/>
          <cell r="M735" t="str"/>
          <cell r="N735" t="str"/>
          <cell r="O735" t="str"/>
          <cell r="P735" t="str"/>
          <cell r="Q735" t="str"/>
          <cell r="R735" t="str"/>
          <cell r="S735" t="str"/>
          <cell r="T735" t="str"/>
          <cell r="U735" t="str"/>
          <cell r="V735" t="str"/>
          <cell r="W735" t="str"/>
          <cell r="X735" t="str"/>
          <cell r="Y735" t="str"/>
        </row>
        <row r="735">
          <cell r="AA735" t="str"/>
          <cell r="AB735" t="str"/>
          <cell r="AC735" t="str"/>
          <cell r="AD735" t="str"/>
          <cell r="AE735" t="str"/>
          <cell r="AF735" t="str"/>
        </row>
        <row r="736">
          <cell r="B736" t="str"/>
          <cell r="C736" t="str"/>
          <cell r="D736" t="str"/>
          <cell r="E736" t="str"/>
          <cell r="F736" t="str"/>
          <cell r="G736" t="str"/>
          <cell r="H736" t="str"/>
          <cell r="I736" t="str"/>
          <cell r="J736" t="str"/>
          <cell r="K736" t="str"/>
          <cell r="L736" t="str"/>
          <cell r="M736" t="str"/>
          <cell r="N736" t="str"/>
          <cell r="O736" t="str"/>
          <cell r="P736" t="str"/>
          <cell r="Q736" t="str"/>
          <cell r="R736" t="str"/>
          <cell r="S736" t="str"/>
          <cell r="T736" t="str"/>
          <cell r="U736" t="str"/>
          <cell r="V736" t="str"/>
          <cell r="W736" t="str"/>
          <cell r="X736" t="str"/>
          <cell r="Y736" t="str"/>
        </row>
        <row r="736">
          <cell r="AA736" t="str"/>
          <cell r="AB736" t="str"/>
          <cell r="AC736" t="str"/>
          <cell r="AD736" t="str"/>
          <cell r="AE736" t="str"/>
          <cell r="AF736" t="str"/>
        </row>
        <row r="737">
          <cell r="B737" t="str"/>
          <cell r="C737" t="str"/>
          <cell r="D737" t="str"/>
          <cell r="E737" t="str"/>
          <cell r="F737" t="str"/>
          <cell r="G737" t="str"/>
          <cell r="H737" t="str"/>
          <cell r="I737" t="str"/>
          <cell r="J737" t="str"/>
          <cell r="K737" t="str"/>
          <cell r="L737" t="str"/>
          <cell r="M737" t="str"/>
          <cell r="N737" t="str"/>
          <cell r="O737" t="str"/>
          <cell r="P737" t="str"/>
          <cell r="Q737" t="str"/>
          <cell r="R737" t="str"/>
          <cell r="S737" t="str"/>
          <cell r="T737" t="str"/>
          <cell r="U737" t="str"/>
          <cell r="V737" t="str"/>
          <cell r="W737" t="str"/>
          <cell r="X737" t="str"/>
          <cell r="Y737" t="str"/>
        </row>
        <row r="737">
          <cell r="AA737" t="str"/>
          <cell r="AB737" t="str"/>
          <cell r="AC737" t="str"/>
          <cell r="AD737" t="str"/>
          <cell r="AE737" t="str"/>
          <cell r="AF737" t="str"/>
        </row>
        <row r="738">
          <cell r="B738" t="str"/>
          <cell r="C738" t="str"/>
          <cell r="D738" t="str"/>
          <cell r="E738" t="str"/>
          <cell r="F738" t="str"/>
          <cell r="G738" t="str"/>
          <cell r="H738" t="str"/>
          <cell r="I738" t="str"/>
          <cell r="J738" t="str"/>
          <cell r="K738" t="str"/>
          <cell r="L738" t="str"/>
          <cell r="M738" t="str"/>
          <cell r="N738" t="str"/>
          <cell r="O738" t="str"/>
          <cell r="P738" t="str"/>
          <cell r="Q738" t="str"/>
          <cell r="R738" t="str"/>
          <cell r="S738" t="str"/>
          <cell r="T738" t="str"/>
          <cell r="U738" t="str"/>
          <cell r="V738" t="str"/>
          <cell r="W738" t="str"/>
          <cell r="X738" t="str"/>
          <cell r="Y738" t="str"/>
        </row>
        <row r="738">
          <cell r="AA738" t="str"/>
          <cell r="AB738" t="str"/>
          <cell r="AC738" t="str"/>
          <cell r="AD738" t="str"/>
          <cell r="AE738" t="str"/>
          <cell r="AF738" t="str"/>
        </row>
        <row r="739">
          <cell r="B739" t="str"/>
          <cell r="C739" t="str"/>
          <cell r="D739" t="str"/>
          <cell r="E739" t="str"/>
          <cell r="F739" t="str"/>
          <cell r="G739" t="str"/>
          <cell r="H739" t="str"/>
          <cell r="I739" t="str"/>
          <cell r="J739" t="str"/>
          <cell r="K739" t="str"/>
          <cell r="L739" t="str"/>
          <cell r="M739" t="str"/>
          <cell r="N739" t="str"/>
          <cell r="O739" t="str"/>
          <cell r="P739" t="str"/>
          <cell r="Q739" t="str"/>
          <cell r="R739" t="str"/>
          <cell r="S739" t="str"/>
          <cell r="T739" t="str"/>
          <cell r="U739" t="str"/>
          <cell r="V739" t="str"/>
          <cell r="W739" t="str"/>
          <cell r="X739" t="str"/>
          <cell r="Y739" t="str"/>
        </row>
        <row r="739">
          <cell r="AA739" t="str"/>
          <cell r="AB739" t="str"/>
          <cell r="AC739" t="str"/>
          <cell r="AD739" t="str"/>
          <cell r="AE739" t="str"/>
          <cell r="AF739" t="str"/>
        </row>
        <row r="740">
          <cell r="B740" t="str"/>
          <cell r="C740" t="str"/>
          <cell r="D740" t="str"/>
          <cell r="E740" t="str"/>
          <cell r="F740" t="str"/>
          <cell r="G740" t="str"/>
          <cell r="H740" t="str"/>
          <cell r="I740" t="str"/>
          <cell r="J740" t="str"/>
          <cell r="K740" t="str"/>
          <cell r="L740" t="str"/>
          <cell r="M740" t="str"/>
          <cell r="N740" t="str"/>
          <cell r="O740" t="str"/>
          <cell r="P740" t="str"/>
          <cell r="Q740" t="str"/>
          <cell r="R740" t="str"/>
          <cell r="S740" t="str"/>
          <cell r="T740" t="str"/>
          <cell r="U740" t="str"/>
          <cell r="V740" t="str"/>
          <cell r="W740" t="str"/>
          <cell r="X740" t="str"/>
          <cell r="Y740" t="str"/>
        </row>
        <row r="740">
          <cell r="AA740" t="str"/>
          <cell r="AB740" t="str"/>
          <cell r="AC740" t="str"/>
          <cell r="AD740" t="str"/>
          <cell r="AE740" t="str"/>
          <cell r="AF740" t="str"/>
        </row>
        <row r="741">
          <cell r="B741" t="str"/>
          <cell r="C741" t="str"/>
          <cell r="D741" t="str"/>
          <cell r="E741" t="str"/>
          <cell r="F741" t="str"/>
          <cell r="G741" t="str"/>
          <cell r="H741" t="str"/>
          <cell r="I741" t="str"/>
          <cell r="J741" t="str"/>
          <cell r="K741" t="str"/>
          <cell r="L741" t="str"/>
          <cell r="M741" t="str"/>
          <cell r="N741" t="str"/>
          <cell r="O741" t="str"/>
          <cell r="P741" t="str"/>
          <cell r="Q741" t="str"/>
          <cell r="R741" t="str"/>
          <cell r="S741" t="str"/>
          <cell r="T741" t="str"/>
          <cell r="U741" t="str"/>
          <cell r="V741" t="str"/>
          <cell r="W741" t="str"/>
          <cell r="X741" t="str"/>
          <cell r="Y741" t="str"/>
        </row>
        <row r="741">
          <cell r="AA741" t="str"/>
          <cell r="AB741" t="str"/>
          <cell r="AC741" t="str"/>
          <cell r="AD741" t="str"/>
          <cell r="AE741" t="str"/>
          <cell r="AF741" t="str"/>
        </row>
        <row r="742">
          <cell r="B742" t="str"/>
          <cell r="C742" t="str"/>
          <cell r="D742" t="str"/>
          <cell r="E742" t="str"/>
          <cell r="F742" t="str"/>
          <cell r="G742" t="str"/>
          <cell r="H742" t="str"/>
          <cell r="I742" t="str"/>
          <cell r="J742" t="str"/>
          <cell r="K742" t="str"/>
          <cell r="L742" t="str"/>
          <cell r="M742" t="str"/>
          <cell r="N742" t="str"/>
          <cell r="O742" t="str"/>
          <cell r="P742" t="str"/>
          <cell r="Q742" t="str"/>
          <cell r="R742" t="str"/>
          <cell r="S742" t="str"/>
          <cell r="T742" t="str"/>
          <cell r="U742" t="str"/>
          <cell r="V742" t="str"/>
          <cell r="W742" t="str"/>
          <cell r="X742" t="str"/>
          <cell r="Y742" t="str"/>
        </row>
        <row r="742">
          <cell r="AA742" t="str"/>
          <cell r="AB742" t="str"/>
          <cell r="AC742" t="str"/>
          <cell r="AD742" t="str"/>
          <cell r="AE742" t="str"/>
          <cell r="AF742" t="str"/>
        </row>
        <row r="743">
          <cell r="B743" t="str"/>
          <cell r="C743" t="str"/>
          <cell r="D743" t="str"/>
          <cell r="E743" t="str"/>
          <cell r="F743" t="str"/>
          <cell r="G743" t="str"/>
          <cell r="H743" t="str"/>
          <cell r="I743" t="str"/>
          <cell r="J743" t="str"/>
          <cell r="K743" t="str"/>
          <cell r="L743" t="str"/>
          <cell r="M743" t="str"/>
          <cell r="N743" t="str"/>
          <cell r="O743" t="str"/>
          <cell r="P743" t="str"/>
          <cell r="Q743" t="str"/>
          <cell r="R743" t="str"/>
          <cell r="S743" t="str"/>
          <cell r="T743" t="str"/>
          <cell r="U743" t="str"/>
          <cell r="V743" t="str"/>
          <cell r="W743" t="str"/>
          <cell r="X743" t="str"/>
          <cell r="Y743" t="str"/>
        </row>
        <row r="743">
          <cell r="AA743" t="str"/>
          <cell r="AB743" t="str"/>
          <cell r="AC743" t="str"/>
          <cell r="AD743" t="str"/>
          <cell r="AE743" t="str"/>
          <cell r="AF743" t="str"/>
        </row>
        <row r="744">
          <cell r="B744" t="str"/>
          <cell r="C744" t="str"/>
          <cell r="D744" t="str"/>
          <cell r="E744" t="str"/>
          <cell r="F744" t="str"/>
          <cell r="G744" t="str"/>
          <cell r="H744" t="str"/>
          <cell r="I744" t="str"/>
          <cell r="J744" t="str"/>
          <cell r="K744" t="str"/>
          <cell r="L744" t="str"/>
          <cell r="M744" t="str"/>
          <cell r="N744" t="str"/>
          <cell r="O744" t="str"/>
          <cell r="P744" t="str"/>
          <cell r="Q744" t="str"/>
          <cell r="R744" t="str"/>
          <cell r="S744" t="str"/>
          <cell r="T744" t="str"/>
          <cell r="U744" t="str"/>
          <cell r="V744" t="str"/>
          <cell r="W744" t="str"/>
          <cell r="X744" t="str"/>
          <cell r="Y744" t="str"/>
        </row>
        <row r="744">
          <cell r="AA744" t="str"/>
          <cell r="AB744" t="str"/>
          <cell r="AC744" t="str"/>
          <cell r="AD744" t="str"/>
          <cell r="AE744" t="str"/>
          <cell r="AF744" t="str"/>
        </row>
        <row r="745">
          <cell r="B745" t="str"/>
          <cell r="C745" t="str"/>
          <cell r="D745" t="str"/>
          <cell r="E745" t="str"/>
          <cell r="F745" t="str"/>
          <cell r="G745" t="str"/>
          <cell r="H745" t="str"/>
          <cell r="I745" t="str"/>
          <cell r="J745" t="str"/>
          <cell r="K745" t="str"/>
          <cell r="L745" t="str"/>
          <cell r="M745" t="str"/>
          <cell r="N745" t="str"/>
          <cell r="O745" t="str"/>
          <cell r="P745" t="str"/>
          <cell r="Q745" t="str"/>
          <cell r="R745" t="str"/>
          <cell r="S745" t="str"/>
          <cell r="T745" t="str"/>
          <cell r="U745" t="str"/>
          <cell r="V745" t="str"/>
          <cell r="W745" t="str"/>
          <cell r="X745" t="str"/>
          <cell r="Y745" t="str"/>
        </row>
        <row r="745">
          <cell r="AA745" t="str"/>
          <cell r="AB745" t="str"/>
          <cell r="AC745" t="str"/>
          <cell r="AD745" t="str"/>
          <cell r="AE745" t="str"/>
          <cell r="AF745" t="str"/>
        </row>
        <row r="746">
          <cell r="B746" t="str"/>
          <cell r="C746" t="str"/>
          <cell r="D746" t="str"/>
          <cell r="E746" t="str"/>
          <cell r="F746" t="str"/>
          <cell r="G746" t="str"/>
          <cell r="H746" t="str"/>
          <cell r="I746" t="str"/>
          <cell r="J746" t="str"/>
          <cell r="K746" t="str"/>
          <cell r="L746" t="str"/>
          <cell r="M746" t="str"/>
          <cell r="N746" t="str"/>
          <cell r="O746" t="str"/>
          <cell r="P746" t="str"/>
          <cell r="Q746" t="str"/>
          <cell r="R746" t="str"/>
          <cell r="S746" t="str"/>
          <cell r="T746" t="str"/>
          <cell r="U746" t="str"/>
          <cell r="V746" t="str"/>
          <cell r="W746" t="str"/>
          <cell r="X746" t="str"/>
          <cell r="Y746" t="str"/>
        </row>
        <row r="746">
          <cell r="AA746" t="str"/>
          <cell r="AB746" t="str"/>
          <cell r="AC746" t="str"/>
          <cell r="AD746" t="str"/>
          <cell r="AE746" t="str"/>
          <cell r="AF746" t="str"/>
        </row>
        <row r="747">
          <cell r="B747" t="str"/>
          <cell r="C747" t="str"/>
          <cell r="D747" t="str"/>
          <cell r="E747" t="str"/>
          <cell r="F747" t="str"/>
          <cell r="G747" t="str"/>
          <cell r="H747" t="str"/>
          <cell r="I747" t="str"/>
          <cell r="J747" t="str"/>
          <cell r="K747" t="str"/>
          <cell r="L747" t="str"/>
          <cell r="M747" t="str"/>
          <cell r="N747" t="str"/>
          <cell r="O747" t="str"/>
          <cell r="P747" t="str"/>
          <cell r="Q747" t="str"/>
          <cell r="R747" t="str"/>
          <cell r="S747" t="str"/>
          <cell r="T747" t="str"/>
          <cell r="U747" t="str"/>
          <cell r="V747" t="str"/>
          <cell r="W747" t="str"/>
          <cell r="X747" t="str"/>
          <cell r="Y747" t="str"/>
        </row>
        <row r="747">
          <cell r="AA747" t="str"/>
          <cell r="AB747" t="str"/>
          <cell r="AC747" t="str"/>
          <cell r="AD747" t="str"/>
          <cell r="AE747" t="str"/>
          <cell r="AF747" t="str"/>
        </row>
        <row r="748">
          <cell r="B748" t="str"/>
          <cell r="C748" t="str"/>
          <cell r="D748" t="str"/>
          <cell r="E748" t="str"/>
          <cell r="F748" t="str"/>
          <cell r="G748" t="str"/>
          <cell r="H748" t="str"/>
          <cell r="I748" t="str"/>
          <cell r="J748" t="str"/>
          <cell r="K748" t="str"/>
          <cell r="L748" t="str"/>
          <cell r="M748" t="str"/>
          <cell r="N748" t="str"/>
          <cell r="O748" t="str"/>
          <cell r="P748" t="str"/>
          <cell r="Q748" t="str"/>
          <cell r="R748" t="str"/>
          <cell r="S748" t="str"/>
          <cell r="T748" t="str"/>
          <cell r="U748" t="str"/>
          <cell r="V748" t="str"/>
          <cell r="W748" t="str"/>
          <cell r="X748" t="str"/>
          <cell r="Y748" t="str"/>
        </row>
        <row r="748">
          <cell r="AA748" t="str"/>
          <cell r="AB748" t="str"/>
          <cell r="AC748" t="str"/>
          <cell r="AD748" t="str"/>
          <cell r="AE748" t="str"/>
          <cell r="AF748" t="str"/>
        </row>
        <row r="749">
          <cell r="B749" t="str"/>
          <cell r="C749" t="str"/>
          <cell r="D749" t="str"/>
          <cell r="E749" t="str"/>
          <cell r="F749" t="str"/>
          <cell r="G749" t="str"/>
          <cell r="H749" t="str"/>
          <cell r="I749" t="str"/>
          <cell r="J749" t="str"/>
          <cell r="K749" t="str"/>
          <cell r="L749" t="str"/>
          <cell r="M749" t="str"/>
          <cell r="N749" t="str"/>
          <cell r="O749" t="str"/>
          <cell r="P749" t="str"/>
          <cell r="Q749" t="str"/>
          <cell r="R749" t="str"/>
          <cell r="S749" t="str"/>
          <cell r="T749" t="str"/>
          <cell r="U749" t="str"/>
          <cell r="V749" t="str"/>
          <cell r="W749" t="str"/>
          <cell r="X749" t="str"/>
          <cell r="Y749" t="str"/>
        </row>
        <row r="749">
          <cell r="AA749" t="str"/>
          <cell r="AB749" t="str"/>
          <cell r="AC749" t="str"/>
          <cell r="AD749" t="str"/>
          <cell r="AE749" t="str"/>
          <cell r="AF749" t="str"/>
        </row>
        <row r="750">
          <cell r="B750" t="str"/>
          <cell r="C750" t="str"/>
          <cell r="D750" t="str"/>
          <cell r="E750" t="str"/>
          <cell r="F750" t="str"/>
          <cell r="G750" t="str"/>
          <cell r="H750" t="str"/>
          <cell r="I750" t="str"/>
          <cell r="J750" t="str"/>
          <cell r="K750" t="str"/>
          <cell r="L750" t="str"/>
          <cell r="M750" t="str"/>
          <cell r="N750" t="str"/>
          <cell r="O750" t="str"/>
          <cell r="P750" t="str"/>
          <cell r="Q750" t="str"/>
          <cell r="R750" t="str"/>
          <cell r="S750" t="str"/>
          <cell r="T750" t="str"/>
          <cell r="U750" t="str"/>
          <cell r="V750" t="str"/>
          <cell r="W750" t="str"/>
          <cell r="X750" t="str"/>
          <cell r="Y750" t="str"/>
        </row>
        <row r="750">
          <cell r="AA750" t="str"/>
          <cell r="AB750" t="str"/>
          <cell r="AC750" t="str"/>
          <cell r="AD750" t="str"/>
          <cell r="AE750" t="str"/>
          <cell r="AF750" t="str"/>
        </row>
        <row r="751">
          <cell r="B751" t="str"/>
          <cell r="C751" t="str"/>
          <cell r="D751" t="str"/>
          <cell r="E751" t="str"/>
          <cell r="F751" t="str"/>
          <cell r="G751" t="str"/>
          <cell r="H751" t="str"/>
          <cell r="I751" t="str"/>
          <cell r="J751" t="str"/>
          <cell r="K751" t="str"/>
          <cell r="L751" t="str"/>
          <cell r="M751" t="str"/>
          <cell r="N751" t="str"/>
          <cell r="O751" t="str"/>
          <cell r="P751" t="str"/>
          <cell r="Q751" t="str"/>
          <cell r="R751" t="str"/>
          <cell r="S751" t="str"/>
          <cell r="T751" t="str"/>
          <cell r="U751" t="str"/>
          <cell r="V751" t="str"/>
          <cell r="W751" t="str"/>
          <cell r="X751" t="str"/>
          <cell r="Y751" t="str"/>
        </row>
        <row r="751">
          <cell r="AA751" t="str"/>
          <cell r="AB751" t="str"/>
          <cell r="AC751" t="str"/>
          <cell r="AD751" t="str"/>
          <cell r="AE751" t="str"/>
          <cell r="AF751" t="str"/>
        </row>
        <row r="752">
          <cell r="B752" t="str"/>
          <cell r="C752" t="str"/>
          <cell r="D752" t="str"/>
          <cell r="E752" t="str"/>
          <cell r="F752" t="str"/>
          <cell r="G752" t="str"/>
          <cell r="H752" t="str"/>
          <cell r="I752" t="str"/>
          <cell r="J752" t="str"/>
          <cell r="K752" t="str"/>
          <cell r="L752" t="str"/>
          <cell r="M752" t="str"/>
          <cell r="N752" t="str"/>
          <cell r="O752" t="str"/>
          <cell r="P752" t="str"/>
          <cell r="Q752" t="str"/>
          <cell r="R752" t="str"/>
          <cell r="S752" t="str"/>
          <cell r="T752" t="str"/>
          <cell r="U752" t="str"/>
          <cell r="V752" t="str"/>
          <cell r="W752" t="str"/>
          <cell r="X752" t="str"/>
          <cell r="Y752" t="str"/>
        </row>
        <row r="752">
          <cell r="AA752" t="str"/>
          <cell r="AB752" t="str"/>
          <cell r="AC752" t="str"/>
          <cell r="AD752" t="str"/>
          <cell r="AE752" t="str"/>
          <cell r="AF752" t="str"/>
        </row>
        <row r="753">
          <cell r="B753" t="str"/>
          <cell r="C753" t="str"/>
          <cell r="D753" t="str"/>
          <cell r="E753" t="str"/>
          <cell r="F753" t="str"/>
          <cell r="G753" t="str"/>
          <cell r="H753" t="str"/>
          <cell r="I753" t="str"/>
          <cell r="J753" t="str"/>
          <cell r="K753" t="str"/>
          <cell r="L753" t="str"/>
          <cell r="M753" t="str"/>
          <cell r="N753" t="str"/>
          <cell r="O753" t="str"/>
          <cell r="P753" t="str"/>
          <cell r="Q753" t="str"/>
          <cell r="R753" t="str"/>
          <cell r="S753" t="str"/>
          <cell r="T753" t="str"/>
          <cell r="U753" t="str"/>
          <cell r="V753" t="str"/>
          <cell r="W753" t="str"/>
          <cell r="X753" t="str"/>
          <cell r="Y753" t="str"/>
        </row>
        <row r="753">
          <cell r="AA753" t="str"/>
          <cell r="AB753" t="str"/>
          <cell r="AC753" t="str"/>
          <cell r="AD753" t="str"/>
          <cell r="AE753" t="str"/>
          <cell r="AF753" t="str"/>
        </row>
        <row r="754">
          <cell r="B754" t="str"/>
          <cell r="C754" t="str"/>
          <cell r="D754" t="str"/>
          <cell r="E754" t="str"/>
          <cell r="F754" t="str"/>
          <cell r="G754" t="str"/>
          <cell r="H754" t="str"/>
          <cell r="I754" t="str"/>
          <cell r="J754" t="str"/>
          <cell r="K754" t="str"/>
          <cell r="L754" t="str"/>
          <cell r="M754" t="str"/>
          <cell r="N754" t="str"/>
          <cell r="O754" t="str"/>
          <cell r="P754" t="str"/>
          <cell r="Q754" t="str"/>
          <cell r="R754" t="str"/>
          <cell r="S754" t="str"/>
          <cell r="T754" t="str"/>
          <cell r="U754" t="str"/>
          <cell r="V754" t="str"/>
          <cell r="W754" t="str"/>
          <cell r="X754" t="str"/>
          <cell r="Y754" t="str"/>
        </row>
        <row r="754">
          <cell r="AA754" t="str"/>
          <cell r="AB754" t="str"/>
          <cell r="AC754" t="str"/>
          <cell r="AD754" t="str"/>
          <cell r="AE754" t="str"/>
          <cell r="AF754" t="str"/>
        </row>
        <row r="755">
          <cell r="B755" t="str"/>
          <cell r="C755" t="str"/>
          <cell r="D755" t="str"/>
          <cell r="E755" t="str"/>
          <cell r="F755" t="str"/>
          <cell r="G755" t="str"/>
          <cell r="H755" t="str"/>
          <cell r="I755" t="str"/>
          <cell r="J755" t="str"/>
          <cell r="K755" t="str"/>
          <cell r="L755" t="str"/>
          <cell r="M755" t="str"/>
          <cell r="N755" t="str"/>
          <cell r="O755" t="str"/>
          <cell r="P755" t="str"/>
          <cell r="Q755" t="str"/>
          <cell r="R755" t="str"/>
          <cell r="S755" t="str"/>
          <cell r="T755" t="str"/>
          <cell r="U755" t="str"/>
          <cell r="V755" t="str"/>
          <cell r="W755" t="str"/>
          <cell r="X755" t="str"/>
          <cell r="Y755" t="str"/>
        </row>
        <row r="755">
          <cell r="AA755" t="str"/>
          <cell r="AB755" t="str"/>
          <cell r="AC755" t="str"/>
          <cell r="AD755" t="str"/>
          <cell r="AE755" t="str"/>
          <cell r="AF755" t="str"/>
        </row>
        <row r="756">
          <cell r="B756" t="str"/>
          <cell r="C756" t="str"/>
          <cell r="D756" t="str"/>
          <cell r="E756" t="str"/>
          <cell r="F756" t="str"/>
          <cell r="G756" t="str"/>
          <cell r="H756" t="str"/>
          <cell r="I756" t="str"/>
          <cell r="J756" t="str"/>
          <cell r="K756" t="str"/>
          <cell r="L756" t="str"/>
          <cell r="M756" t="str"/>
          <cell r="N756" t="str"/>
          <cell r="O756" t="str"/>
          <cell r="P756" t="str"/>
          <cell r="Q756" t="str"/>
          <cell r="R756" t="str"/>
          <cell r="S756" t="str"/>
          <cell r="T756" t="str"/>
          <cell r="U756" t="str"/>
          <cell r="V756" t="str"/>
          <cell r="W756" t="str"/>
          <cell r="X756" t="str"/>
          <cell r="Y756" t="str"/>
        </row>
        <row r="756">
          <cell r="AA756" t="str"/>
          <cell r="AB756" t="str"/>
          <cell r="AC756" t="str"/>
          <cell r="AD756" t="str"/>
          <cell r="AE756" t="str"/>
          <cell r="AF756" t="str"/>
        </row>
        <row r="757">
          <cell r="B757" t="str"/>
          <cell r="C757" t="str"/>
          <cell r="D757" t="str"/>
          <cell r="E757" t="str"/>
          <cell r="F757" t="str"/>
          <cell r="G757" t="str"/>
          <cell r="H757" t="str"/>
          <cell r="I757" t="str"/>
          <cell r="J757" t="str"/>
          <cell r="K757" t="str"/>
          <cell r="L757" t="str"/>
          <cell r="M757" t="str"/>
          <cell r="N757" t="str"/>
          <cell r="O757" t="str"/>
          <cell r="P757" t="str"/>
          <cell r="Q757" t="str"/>
          <cell r="R757" t="str"/>
          <cell r="S757" t="str"/>
          <cell r="T757" t="str"/>
          <cell r="U757" t="str"/>
          <cell r="V757" t="str"/>
          <cell r="W757" t="str"/>
          <cell r="X757" t="str"/>
          <cell r="Y757" t="str"/>
        </row>
        <row r="757">
          <cell r="AA757" t="str"/>
          <cell r="AB757" t="str"/>
          <cell r="AC757" t="str"/>
          <cell r="AD757" t="str"/>
          <cell r="AE757" t="str"/>
          <cell r="AF757" t="str"/>
        </row>
        <row r="758">
          <cell r="B758" t="str"/>
          <cell r="C758" t="str"/>
          <cell r="D758" t="str"/>
          <cell r="E758" t="str"/>
          <cell r="F758" t="str"/>
          <cell r="G758" t="str"/>
          <cell r="H758" t="str"/>
          <cell r="I758" t="str"/>
          <cell r="J758" t="str"/>
          <cell r="K758" t="str"/>
          <cell r="L758" t="str"/>
          <cell r="M758" t="str"/>
          <cell r="N758" t="str"/>
          <cell r="O758" t="str"/>
          <cell r="P758" t="str"/>
          <cell r="Q758" t="str"/>
          <cell r="R758" t="str"/>
          <cell r="S758" t="str"/>
          <cell r="T758" t="str"/>
          <cell r="U758" t="str"/>
          <cell r="V758" t="str"/>
          <cell r="W758" t="str"/>
          <cell r="X758" t="str"/>
          <cell r="Y758" t="str"/>
        </row>
        <row r="758">
          <cell r="AA758" t="str"/>
          <cell r="AB758" t="str"/>
          <cell r="AC758" t="str"/>
          <cell r="AD758" t="str"/>
          <cell r="AE758" t="str"/>
          <cell r="AF758" t="str"/>
        </row>
        <row r="759">
          <cell r="B759" t="str"/>
          <cell r="C759" t="str"/>
          <cell r="D759" t="str"/>
          <cell r="E759" t="str"/>
          <cell r="F759" t="str"/>
          <cell r="G759" t="str"/>
          <cell r="H759" t="str"/>
          <cell r="I759" t="str"/>
          <cell r="J759" t="str"/>
          <cell r="K759" t="str"/>
          <cell r="L759" t="str"/>
          <cell r="M759" t="str"/>
          <cell r="N759" t="str"/>
          <cell r="O759" t="str"/>
          <cell r="P759" t="str"/>
          <cell r="Q759" t="str"/>
          <cell r="R759" t="str"/>
          <cell r="S759" t="str"/>
          <cell r="T759" t="str"/>
          <cell r="U759" t="str"/>
          <cell r="V759" t="str"/>
          <cell r="W759" t="str"/>
          <cell r="X759" t="str"/>
          <cell r="Y759" t="str"/>
        </row>
        <row r="759">
          <cell r="AA759" t="str"/>
          <cell r="AB759" t="str"/>
          <cell r="AC759" t="str"/>
          <cell r="AD759" t="str"/>
          <cell r="AE759" t="str"/>
          <cell r="AF759" t="str"/>
        </row>
        <row r="760">
          <cell r="B760" t="str"/>
          <cell r="C760" t="str"/>
          <cell r="D760" t="str"/>
          <cell r="E760" t="str"/>
          <cell r="F760" t="str"/>
          <cell r="G760" t="str"/>
          <cell r="H760" t="str"/>
          <cell r="I760" t="str"/>
          <cell r="J760" t="str"/>
          <cell r="K760" t="str"/>
          <cell r="L760" t="str"/>
          <cell r="M760" t="str"/>
          <cell r="N760" t="str"/>
          <cell r="O760" t="str"/>
          <cell r="P760" t="str"/>
          <cell r="Q760" t="str"/>
          <cell r="R760" t="str"/>
          <cell r="S760" t="str"/>
          <cell r="T760" t="str"/>
          <cell r="U760" t="str"/>
          <cell r="V760" t="str"/>
          <cell r="W760" t="str"/>
          <cell r="X760" t="str"/>
          <cell r="Y760" t="str"/>
        </row>
        <row r="760">
          <cell r="AA760" t="str"/>
          <cell r="AB760" t="str"/>
          <cell r="AC760" t="str"/>
          <cell r="AD760" t="str"/>
          <cell r="AE760" t="str"/>
          <cell r="AF760" t="str"/>
        </row>
        <row r="761">
          <cell r="B761" t="str"/>
          <cell r="C761" t="str"/>
          <cell r="D761" t="str"/>
          <cell r="E761" t="str"/>
          <cell r="F761" t="str"/>
          <cell r="G761" t="str"/>
          <cell r="H761" t="str"/>
          <cell r="I761" t="str"/>
          <cell r="J761" t="str"/>
          <cell r="K761" t="str"/>
          <cell r="L761" t="str"/>
          <cell r="M761" t="str"/>
          <cell r="N761" t="str"/>
          <cell r="O761" t="str"/>
          <cell r="P761" t="str"/>
          <cell r="Q761" t="str"/>
          <cell r="R761" t="str"/>
          <cell r="S761" t="str"/>
          <cell r="T761" t="str"/>
          <cell r="U761" t="str"/>
          <cell r="V761" t="str"/>
          <cell r="W761" t="str"/>
          <cell r="X761" t="str"/>
          <cell r="Y761" t="str"/>
        </row>
        <row r="761">
          <cell r="AA761" t="str"/>
          <cell r="AB761" t="str"/>
          <cell r="AC761" t="str"/>
          <cell r="AD761" t="str"/>
          <cell r="AE761" t="str"/>
          <cell r="AF761" t="str"/>
        </row>
        <row r="762">
          <cell r="B762" t="str"/>
          <cell r="C762" t="str"/>
          <cell r="D762" t="str"/>
          <cell r="E762" t="str"/>
          <cell r="F762" t="str"/>
          <cell r="G762" t="str"/>
          <cell r="H762" t="str"/>
          <cell r="I762" t="str"/>
          <cell r="J762" t="str"/>
          <cell r="K762" t="str"/>
          <cell r="L762" t="str"/>
          <cell r="M762" t="str"/>
          <cell r="N762" t="str"/>
          <cell r="O762" t="str"/>
          <cell r="P762" t="str"/>
          <cell r="Q762" t="str"/>
          <cell r="R762" t="str"/>
          <cell r="S762" t="str"/>
          <cell r="T762" t="str"/>
          <cell r="U762" t="str"/>
          <cell r="V762" t="str"/>
          <cell r="W762" t="str"/>
          <cell r="X762" t="str"/>
          <cell r="Y762" t="str"/>
        </row>
        <row r="762">
          <cell r="AA762" t="str"/>
          <cell r="AB762" t="str"/>
          <cell r="AC762" t="str"/>
          <cell r="AD762" t="str"/>
          <cell r="AE762" t="str"/>
          <cell r="AF762" t="str"/>
        </row>
        <row r="763">
          <cell r="B763" t="str"/>
          <cell r="C763" t="str"/>
          <cell r="D763" t="str"/>
          <cell r="E763" t="str"/>
          <cell r="F763" t="str"/>
          <cell r="G763" t="str"/>
          <cell r="H763" t="str"/>
          <cell r="I763" t="str"/>
          <cell r="J763" t="str"/>
          <cell r="K763" t="str"/>
          <cell r="L763" t="str"/>
          <cell r="M763" t="str"/>
          <cell r="N763" t="str"/>
          <cell r="O763" t="str"/>
          <cell r="P763" t="str"/>
          <cell r="Q763" t="str"/>
          <cell r="R763" t="str"/>
          <cell r="S763" t="str"/>
          <cell r="T763" t="str"/>
          <cell r="U763" t="str"/>
          <cell r="V763" t="str"/>
          <cell r="W763" t="str"/>
          <cell r="X763" t="str"/>
          <cell r="Y763" t="str"/>
        </row>
        <row r="763">
          <cell r="AA763" t="str"/>
          <cell r="AB763" t="str"/>
          <cell r="AC763" t="str"/>
          <cell r="AD763" t="str"/>
          <cell r="AE763" t="str"/>
          <cell r="AF763" t="str"/>
        </row>
        <row r="764">
          <cell r="B764" t="str"/>
          <cell r="C764" t="str"/>
          <cell r="D764" t="str"/>
          <cell r="E764" t="str"/>
          <cell r="F764" t="str"/>
          <cell r="G764" t="str"/>
          <cell r="H764" t="str"/>
          <cell r="I764" t="str"/>
          <cell r="J764" t="str"/>
          <cell r="K764" t="str"/>
          <cell r="L764" t="str"/>
          <cell r="M764" t="str"/>
          <cell r="N764" t="str"/>
          <cell r="O764" t="str"/>
          <cell r="P764" t="str"/>
          <cell r="Q764" t="str"/>
          <cell r="R764" t="str"/>
          <cell r="S764" t="str"/>
          <cell r="T764" t="str"/>
          <cell r="U764" t="str"/>
          <cell r="V764" t="str"/>
          <cell r="W764" t="str"/>
          <cell r="X764" t="str"/>
          <cell r="Y764" t="str"/>
        </row>
        <row r="764">
          <cell r="AA764" t="str"/>
          <cell r="AB764" t="str"/>
          <cell r="AC764" t="str"/>
          <cell r="AD764" t="str"/>
          <cell r="AE764" t="str"/>
          <cell r="AF764" t="str"/>
        </row>
        <row r="765">
          <cell r="B765" t="str"/>
          <cell r="C765" t="str"/>
          <cell r="D765" t="str"/>
          <cell r="E765" t="str"/>
          <cell r="F765" t="str"/>
          <cell r="G765" t="str"/>
          <cell r="H765" t="str"/>
          <cell r="I765" t="str"/>
          <cell r="J765" t="str"/>
          <cell r="K765" t="str"/>
          <cell r="L765" t="str"/>
          <cell r="M765" t="str"/>
          <cell r="N765" t="str"/>
          <cell r="O765" t="str"/>
          <cell r="P765" t="str"/>
          <cell r="Q765" t="str"/>
          <cell r="R765" t="str"/>
          <cell r="S765" t="str"/>
          <cell r="T765" t="str"/>
          <cell r="U765" t="str"/>
          <cell r="V765" t="str"/>
          <cell r="W765" t="str"/>
          <cell r="X765" t="str"/>
          <cell r="Y765" t="str"/>
        </row>
        <row r="765">
          <cell r="AA765" t="str"/>
          <cell r="AB765" t="str"/>
          <cell r="AC765" t="str"/>
          <cell r="AD765" t="str"/>
          <cell r="AE765" t="str"/>
          <cell r="AF765" t="str"/>
        </row>
        <row r="766">
          <cell r="B766" t="str"/>
          <cell r="C766" t="str"/>
          <cell r="D766" t="str"/>
          <cell r="E766" t="str"/>
          <cell r="F766" t="str"/>
          <cell r="G766" t="str"/>
          <cell r="H766" t="str"/>
          <cell r="I766" t="str"/>
          <cell r="J766" t="str"/>
          <cell r="K766" t="str"/>
          <cell r="L766" t="str"/>
          <cell r="M766" t="str"/>
          <cell r="N766" t="str"/>
          <cell r="O766" t="str"/>
          <cell r="P766" t="str"/>
          <cell r="Q766" t="str"/>
          <cell r="R766" t="str"/>
          <cell r="S766" t="str"/>
          <cell r="T766" t="str"/>
          <cell r="U766" t="str"/>
          <cell r="V766" t="str"/>
          <cell r="W766" t="str"/>
          <cell r="X766" t="str"/>
          <cell r="Y766" t="str"/>
        </row>
        <row r="766">
          <cell r="AA766" t="str"/>
          <cell r="AB766" t="str"/>
          <cell r="AC766" t="str"/>
          <cell r="AD766" t="str"/>
          <cell r="AE766" t="str"/>
          <cell r="AF766" t="str"/>
        </row>
        <row r="767">
          <cell r="B767" t="str"/>
          <cell r="C767" t="str"/>
          <cell r="D767" t="str"/>
          <cell r="E767" t="str"/>
          <cell r="F767" t="str"/>
          <cell r="G767" t="str"/>
          <cell r="H767" t="str"/>
          <cell r="I767" t="str"/>
          <cell r="J767" t="str"/>
          <cell r="K767" t="str"/>
          <cell r="L767" t="str"/>
          <cell r="M767" t="str"/>
          <cell r="N767" t="str"/>
          <cell r="O767" t="str"/>
          <cell r="P767" t="str"/>
          <cell r="Q767" t="str"/>
          <cell r="R767" t="str"/>
          <cell r="S767" t="str"/>
          <cell r="T767" t="str"/>
          <cell r="U767" t="str"/>
          <cell r="V767" t="str"/>
          <cell r="W767" t="str"/>
          <cell r="X767" t="str"/>
          <cell r="Y767" t="str"/>
        </row>
        <row r="767">
          <cell r="AA767" t="str"/>
          <cell r="AB767" t="str"/>
          <cell r="AC767" t="str"/>
          <cell r="AD767" t="str"/>
          <cell r="AE767" t="str"/>
          <cell r="AF767" t="str"/>
        </row>
        <row r="768">
          <cell r="B768" t="str"/>
          <cell r="C768" t="str"/>
          <cell r="D768" t="str"/>
          <cell r="E768" t="str"/>
          <cell r="F768" t="str"/>
          <cell r="G768" t="str"/>
          <cell r="H768" t="str"/>
          <cell r="I768" t="str"/>
          <cell r="J768" t="str"/>
          <cell r="K768" t="str"/>
          <cell r="L768" t="str"/>
          <cell r="M768" t="str"/>
          <cell r="N768" t="str"/>
          <cell r="O768" t="str"/>
          <cell r="P768" t="str"/>
          <cell r="Q768" t="str"/>
          <cell r="R768" t="str"/>
          <cell r="S768" t="str"/>
          <cell r="T768" t="str"/>
          <cell r="U768" t="str"/>
          <cell r="V768" t="str"/>
          <cell r="W768" t="str"/>
          <cell r="X768" t="str"/>
          <cell r="Y768" t="str"/>
        </row>
        <row r="768">
          <cell r="AA768" t="str"/>
          <cell r="AB768" t="str"/>
          <cell r="AC768" t="str"/>
          <cell r="AD768" t="str"/>
          <cell r="AE768" t="str"/>
          <cell r="AF768" t="str"/>
        </row>
        <row r="769">
          <cell r="B769" t="str"/>
          <cell r="C769" t="str"/>
          <cell r="D769" t="str"/>
          <cell r="E769" t="str"/>
          <cell r="F769" t="str"/>
          <cell r="G769" t="str"/>
          <cell r="H769" t="str"/>
          <cell r="I769" t="str"/>
          <cell r="J769" t="str"/>
          <cell r="K769" t="str"/>
          <cell r="L769" t="str"/>
          <cell r="M769" t="str"/>
          <cell r="N769" t="str"/>
          <cell r="O769" t="str"/>
          <cell r="P769" t="str"/>
          <cell r="Q769" t="str"/>
          <cell r="R769" t="str"/>
          <cell r="S769" t="str"/>
          <cell r="T769" t="str"/>
          <cell r="U769" t="str"/>
          <cell r="V769" t="str"/>
          <cell r="W769" t="str"/>
          <cell r="X769" t="str"/>
          <cell r="Y769" t="str"/>
        </row>
        <row r="769">
          <cell r="AA769" t="str"/>
          <cell r="AB769" t="str"/>
          <cell r="AC769" t="str"/>
          <cell r="AD769" t="str"/>
          <cell r="AE769" t="str"/>
          <cell r="AF769" t="str"/>
        </row>
        <row r="770">
          <cell r="B770" t="str"/>
          <cell r="C770" t="str"/>
          <cell r="D770" t="str"/>
          <cell r="E770" t="str"/>
          <cell r="F770" t="str"/>
          <cell r="G770" t="str"/>
          <cell r="H770" t="str"/>
          <cell r="I770" t="str"/>
          <cell r="J770" t="str"/>
          <cell r="K770" t="str"/>
          <cell r="L770" t="str"/>
          <cell r="M770" t="str"/>
          <cell r="N770" t="str"/>
          <cell r="O770" t="str"/>
          <cell r="P770" t="str"/>
          <cell r="Q770" t="str"/>
          <cell r="R770" t="str"/>
          <cell r="S770" t="str"/>
          <cell r="T770" t="str"/>
          <cell r="U770" t="str"/>
          <cell r="V770" t="str"/>
          <cell r="W770" t="str"/>
          <cell r="X770" t="str"/>
          <cell r="Y770" t="str"/>
        </row>
        <row r="770">
          <cell r="AA770" t="str"/>
          <cell r="AB770" t="str"/>
          <cell r="AC770" t="str"/>
          <cell r="AD770" t="str"/>
          <cell r="AE770" t="str"/>
          <cell r="AF770" t="str"/>
        </row>
        <row r="771">
          <cell r="B771" t="str"/>
          <cell r="C771" t="str"/>
          <cell r="D771" t="str"/>
          <cell r="E771" t="str"/>
          <cell r="F771" t="str"/>
          <cell r="G771" t="str"/>
          <cell r="H771" t="str"/>
          <cell r="I771" t="str"/>
          <cell r="J771" t="str"/>
          <cell r="K771" t="str"/>
          <cell r="L771" t="str"/>
          <cell r="M771" t="str"/>
          <cell r="N771" t="str"/>
          <cell r="O771" t="str"/>
          <cell r="P771" t="str"/>
          <cell r="Q771" t="str"/>
          <cell r="R771" t="str"/>
          <cell r="S771" t="str"/>
          <cell r="T771" t="str"/>
          <cell r="U771" t="str"/>
          <cell r="V771" t="str"/>
          <cell r="W771" t="str"/>
          <cell r="X771" t="str"/>
          <cell r="Y771" t="str"/>
        </row>
        <row r="771">
          <cell r="AA771" t="str"/>
          <cell r="AB771" t="str"/>
          <cell r="AC771" t="str"/>
          <cell r="AD771" t="str"/>
          <cell r="AE771" t="str"/>
          <cell r="AF771" t="str"/>
        </row>
        <row r="772">
          <cell r="B772" t="str"/>
          <cell r="C772" t="str"/>
          <cell r="D772" t="str"/>
          <cell r="E772" t="str"/>
          <cell r="F772" t="str"/>
          <cell r="G772" t="str"/>
          <cell r="H772" t="str"/>
          <cell r="I772" t="str"/>
          <cell r="J772" t="str"/>
          <cell r="K772" t="str"/>
          <cell r="L772" t="str"/>
          <cell r="M772" t="str"/>
          <cell r="N772" t="str"/>
          <cell r="O772" t="str"/>
          <cell r="P772" t="str"/>
          <cell r="Q772" t="str"/>
          <cell r="R772" t="str"/>
          <cell r="S772" t="str"/>
          <cell r="T772" t="str"/>
          <cell r="U772" t="str"/>
          <cell r="V772" t="str"/>
          <cell r="W772" t="str"/>
          <cell r="X772" t="str"/>
          <cell r="Y772" t="str"/>
        </row>
        <row r="772">
          <cell r="AA772" t="str"/>
          <cell r="AB772" t="str"/>
          <cell r="AC772" t="str"/>
          <cell r="AD772" t="str"/>
          <cell r="AE772" t="str"/>
          <cell r="AF772" t="str"/>
        </row>
        <row r="773">
          <cell r="B773" t="str"/>
          <cell r="C773" t="str"/>
          <cell r="D773" t="str"/>
          <cell r="E773" t="str"/>
          <cell r="F773" t="str"/>
          <cell r="G773" t="str"/>
          <cell r="H773" t="str"/>
          <cell r="I773" t="str"/>
          <cell r="J773" t="str"/>
          <cell r="K773" t="str"/>
          <cell r="L773" t="str"/>
          <cell r="M773" t="str"/>
          <cell r="N773" t="str"/>
          <cell r="O773" t="str"/>
          <cell r="P773" t="str"/>
          <cell r="Q773" t="str"/>
          <cell r="R773" t="str"/>
          <cell r="S773" t="str"/>
          <cell r="T773" t="str"/>
          <cell r="U773" t="str"/>
          <cell r="V773" t="str"/>
          <cell r="W773" t="str"/>
          <cell r="X773" t="str"/>
          <cell r="Y773" t="str"/>
        </row>
        <row r="773">
          <cell r="AA773" t="str"/>
          <cell r="AB773" t="str"/>
          <cell r="AC773" t="str"/>
          <cell r="AD773" t="str"/>
          <cell r="AE773" t="str"/>
          <cell r="AF773" t="str"/>
        </row>
        <row r="774">
          <cell r="B774" t="str"/>
          <cell r="C774" t="str"/>
          <cell r="D774" t="str"/>
          <cell r="E774" t="str"/>
          <cell r="F774" t="str"/>
          <cell r="G774" t="str"/>
          <cell r="H774" t="str"/>
          <cell r="I774" t="str"/>
          <cell r="J774" t="str"/>
          <cell r="K774" t="str"/>
          <cell r="L774" t="str"/>
          <cell r="M774" t="str"/>
          <cell r="N774" t="str"/>
          <cell r="O774" t="str"/>
          <cell r="P774" t="str"/>
          <cell r="Q774" t="str"/>
          <cell r="R774" t="str"/>
          <cell r="S774" t="str"/>
          <cell r="T774" t="str"/>
          <cell r="U774" t="str"/>
          <cell r="V774" t="str"/>
          <cell r="W774" t="str"/>
          <cell r="X774" t="str"/>
          <cell r="Y774" t="str"/>
        </row>
        <row r="774">
          <cell r="AA774" t="str"/>
          <cell r="AB774" t="str"/>
          <cell r="AC774" t="str"/>
          <cell r="AD774" t="str"/>
          <cell r="AE774" t="str"/>
          <cell r="AF774" t="str"/>
        </row>
        <row r="775">
          <cell r="B775" t="str"/>
          <cell r="C775" t="str"/>
          <cell r="D775" t="str"/>
          <cell r="E775" t="str"/>
          <cell r="F775" t="str"/>
          <cell r="G775" t="str"/>
          <cell r="H775" t="str"/>
          <cell r="I775" t="str"/>
          <cell r="J775" t="str"/>
          <cell r="K775" t="str"/>
          <cell r="L775" t="str"/>
          <cell r="M775" t="str"/>
          <cell r="N775" t="str"/>
          <cell r="O775" t="str"/>
          <cell r="P775" t="str"/>
          <cell r="Q775" t="str"/>
          <cell r="R775" t="str"/>
          <cell r="S775" t="str"/>
          <cell r="T775" t="str"/>
          <cell r="U775" t="str"/>
          <cell r="V775" t="str"/>
          <cell r="W775" t="str"/>
          <cell r="X775" t="str"/>
          <cell r="Y775" t="str"/>
        </row>
        <row r="775">
          <cell r="AA775" t="str"/>
          <cell r="AB775" t="str"/>
          <cell r="AC775" t="str"/>
          <cell r="AD775" t="str"/>
          <cell r="AE775" t="str"/>
          <cell r="AF775" t="str"/>
        </row>
        <row r="776">
          <cell r="B776" t="str"/>
          <cell r="C776" t="str"/>
          <cell r="D776" t="str"/>
          <cell r="E776" t="str"/>
          <cell r="F776" t="str"/>
          <cell r="G776" t="str"/>
          <cell r="H776" t="str"/>
          <cell r="I776" t="str"/>
          <cell r="J776" t="str"/>
          <cell r="K776" t="str"/>
          <cell r="L776" t="str"/>
          <cell r="M776" t="str"/>
          <cell r="N776" t="str"/>
          <cell r="O776" t="str"/>
          <cell r="P776" t="str"/>
          <cell r="Q776" t="str"/>
          <cell r="R776" t="str"/>
          <cell r="S776" t="str"/>
          <cell r="T776" t="str"/>
          <cell r="U776" t="str"/>
          <cell r="V776" t="str"/>
          <cell r="W776" t="str"/>
          <cell r="X776" t="str"/>
          <cell r="Y776" t="str"/>
        </row>
        <row r="776">
          <cell r="AA776" t="str"/>
          <cell r="AB776" t="str"/>
          <cell r="AC776" t="str"/>
          <cell r="AD776" t="str"/>
          <cell r="AE776" t="str"/>
          <cell r="AF776" t="str"/>
        </row>
        <row r="777">
          <cell r="B777" t="str"/>
          <cell r="C777" t="str"/>
          <cell r="D777" t="str"/>
          <cell r="E777" t="str"/>
          <cell r="F777" t="str"/>
          <cell r="G777" t="str"/>
          <cell r="H777" t="str"/>
          <cell r="I777" t="str"/>
          <cell r="J777" t="str"/>
          <cell r="K777" t="str"/>
          <cell r="L777" t="str"/>
          <cell r="M777" t="str"/>
          <cell r="N777" t="str"/>
          <cell r="O777" t="str"/>
          <cell r="P777" t="str"/>
          <cell r="Q777" t="str"/>
          <cell r="R777" t="str"/>
          <cell r="S777" t="str"/>
          <cell r="T777" t="str"/>
          <cell r="U777" t="str"/>
          <cell r="V777" t="str"/>
          <cell r="W777" t="str"/>
          <cell r="X777" t="str"/>
          <cell r="Y777" t="str"/>
        </row>
        <row r="777">
          <cell r="AA777" t="str"/>
          <cell r="AB777" t="str"/>
          <cell r="AC777" t="str"/>
          <cell r="AD777" t="str"/>
          <cell r="AE777" t="str"/>
          <cell r="AF777" t="str"/>
        </row>
        <row r="778">
          <cell r="B778" t="str"/>
          <cell r="C778" t="str"/>
          <cell r="D778" t="str"/>
          <cell r="E778" t="str"/>
          <cell r="F778" t="str"/>
          <cell r="G778" t="str"/>
          <cell r="H778" t="str"/>
          <cell r="I778" t="str"/>
          <cell r="J778" t="str"/>
          <cell r="K778" t="str"/>
          <cell r="L778" t="str"/>
          <cell r="M778" t="str"/>
          <cell r="N778" t="str"/>
          <cell r="O778" t="str"/>
          <cell r="P778" t="str"/>
          <cell r="Q778" t="str"/>
          <cell r="R778" t="str"/>
          <cell r="S778" t="str"/>
          <cell r="T778" t="str"/>
          <cell r="U778" t="str"/>
          <cell r="V778" t="str"/>
          <cell r="W778" t="str"/>
          <cell r="X778" t="str"/>
          <cell r="Y778" t="str"/>
        </row>
        <row r="778">
          <cell r="AA778" t="str"/>
          <cell r="AB778" t="str"/>
          <cell r="AC778" t="str"/>
          <cell r="AD778" t="str"/>
          <cell r="AE778" t="str"/>
          <cell r="AF778" t="str"/>
        </row>
        <row r="779">
          <cell r="B779" t="str"/>
          <cell r="C779" t="str"/>
          <cell r="D779" t="str"/>
          <cell r="E779" t="str"/>
          <cell r="F779" t="str"/>
          <cell r="G779" t="str"/>
          <cell r="H779" t="str"/>
          <cell r="I779" t="str"/>
          <cell r="J779" t="str"/>
          <cell r="K779" t="str"/>
          <cell r="L779" t="str"/>
          <cell r="M779" t="str"/>
          <cell r="N779" t="str"/>
          <cell r="O779" t="str"/>
          <cell r="P779" t="str"/>
          <cell r="Q779" t="str"/>
          <cell r="R779" t="str"/>
          <cell r="S779" t="str"/>
          <cell r="T779" t="str"/>
          <cell r="U779" t="str"/>
          <cell r="V779" t="str"/>
          <cell r="W779" t="str"/>
          <cell r="X779" t="str"/>
          <cell r="Y779" t="str"/>
        </row>
        <row r="779">
          <cell r="AA779" t="str"/>
          <cell r="AB779" t="str"/>
          <cell r="AC779" t="str"/>
          <cell r="AD779" t="str"/>
          <cell r="AE779" t="str"/>
          <cell r="AF779" t="str"/>
        </row>
        <row r="780">
          <cell r="B780" t="str"/>
          <cell r="C780" t="str"/>
          <cell r="D780" t="str"/>
          <cell r="E780" t="str"/>
          <cell r="F780" t="str"/>
          <cell r="G780" t="str"/>
          <cell r="H780" t="str"/>
          <cell r="I780" t="str"/>
          <cell r="J780" t="str"/>
          <cell r="K780" t="str"/>
          <cell r="L780" t="str"/>
          <cell r="M780" t="str"/>
          <cell r="N780" t="str"/>
          <cell r="O780" t="str"/>
          <cell r="P780" t="str"/>
          <cell r="Q780" t="str"/>
          <cell r="R780" t="str"/>
          <cell r="S780" t="str"/>
          <cell r="T780" t="str"/>
          <cell r="U780" t="str"/>
          <cell r="V780" t="str"/>
          <cell r="W780" t="str"/>
          <cell r="X780" t="str"/>
          <cell r="Y780" t="str"/>
        </row>
        <row r="780">
          <cell r="AA780" t="str"/>
          <cell r="AB780" t="str"/>
          <cell r="AC780" t="str"/>
          <cell r="AD780" t="str"/>
          <cell r="AE780" t="str"/>
          <cell r="AF780" t="str"/>
        </row>
        <row r="781">
          <cell r="B781" t="str"/>
          <cell r="C781" t="str"/>
          <cell r="D781" t="str"/>
          <cell r="E781" t="str"/>
          <cell r="F781" t="str"/>
          <cell r="G781" t="str"/>
          <cell r="H781" t="str"/>
          <cell r="I781" t="str"/>
          <cell r="J781" t="str"/>
          <cell r="K781" t="str"/>
          <cell r="L781" t="str"/>
          <cell r="M781" t="str"/>
          <cell r="N781" t="str"/>
          <cell r="O781" t="str"/>
          <cell r="P781" t="str"/>
          <cell r="Q781" t="str"/>
          <cell r="R781" t="str"/>
          <cell r="S781" t="str"/>
          <cell r="T781" t="str"/>
          <cell r="U781" t="str"/>
          <cell r="V781" t="str"/>
          <cell r="W781" t="str"/>
          <cell r="X781" t="str"/>
          <cell r="Y781" t="str"/>
        </row>
        <row r="781">
          <cell r="AA781" t="str"/>
          <cell r="AB781" t="str"/>
          <cell r="AC781" t="str"/>
          <cell r="AD781" t="str"/>
          <cell r="AE781" t="str"/>
          <cell r="AF781" t="str"/>
        </row>
        <row r="782">
          <cell r="B782" t="str"/>
          <cell r="C782" t="str"/>
          <cell r="D782" t="str"/>
          <cell r="E782" t="str"/>
          <cell r="F782" t="str"/>
          <cell r="G782" t="str"/>
          <cell r="H782" t="str"/>
          <cell r="I782" t="str"/>
          <cell r="J782" t="str"/>
          <cell r="K782" t="str"/>
          <cell r="L782" t="str"/>
          <cell r="M782" t="str"/>
          <cell r="N782" t="str"/>
          <cell r="O782" t="str"/>
          <cell r="P782" t="str"/>
          <cell r="Q782" t="str"/>
          <cell r="R782" t="str"/>
          <cell r="S782" t="str"/>
          <cell r="T782" t="str"/>
          <cell r="U782" t="str"/>
          <cell r="V782" t="str"/>
          <cell r="W782" t="str"/>
          <cell r="X782" t="str"/>
          <cell r="Y782" t="str"/>
        </row>
        <row r="782">
          <cell r="AA782" t="str"/>
          <cell r="AB782" t="str"/>
          <cell r="AC782" t="str"/>
          <cell r="AD782" t="str"/>
          <cell r="AE782" t="str"/>
          <cell r="AF782" t="str"/>
        </row>
        <row r="783">
          <cell r="B783" t="str"/>
          <cell r="C783" t="str"/>
          <cell r="D783" t="str"/>
          <cell r="E783" t="str"/>
          <cell r="F783" t="str"/>
          <cell r="G783" t="str"/>
          <cell r="H783" t="str"/>
          <cell r="I783" t="str"/>
          <cell r="J783" t="str"/>
          <cell r="K783" t="str"/>
          <cell r="L783" t="str"/>
          <cell r="M783" t="str"/>
          <cell r="N783" t="str"/>
          <cell r="O783" t="str"/>
          <cell r="P783" t="str"/>
          <cell r="Q783" t="str"/>
          <cell r="R783" t="str"/>
          <cell r="S783" t="str"/>
          <cell r="T783" t="str"/>
          <cell r="U783" t="str"/>
          <cell r="V783" t="str"/>
          <cell r="W783" t="str"/>
          <cell r="X783" t="str"/>
          <cell r="Y783" t="str"/>
        </row>
        <row r="783">
          <cell r="AA783" t="str"/>
          <cell r="AB783" t="str"/>
          <cell r="AC783" t="str"/>
          <cell r="AD783" t="str"/>
          <cell r="AE783" t="str"/>
          <cell r="AF783" t="str"/>
        </row>
        <row r="784">
          <cell r="B784" t="str"/>
          <cell r="C784" t="str"/>
          <cell r="D784" t="str"/>
          <cell r="E784" t="str"/>
          <cell r="F784" t="str"/>
          <cell r="G784" t="str"/>
          <cell r="H784" t="str"/>
          <cell r="I784" t="str"/>
          <cell r="J784" t="str"/>
          <cell r="K784" t="str"/>
          <cell r="L784" t="str"/>
          <cell r="M784" t="str"/>
          <cell r="N784" t="str"/>
          <cell r="O784" t="str"/>
          <cell r="P784" t="str"/>
          <cell r="Q784" t="str"/>
          <cell r="R784" t="str"/>
          <cell r="S784" t="str"/>
          <cell r="T784" t="str"/>
          <cell r="U784" t="str"/>
          <cell r="V784" t="str"/>
          <cell r="W784" t="str"/>
          <cell r="X784" t="str"/>
          <cell r="Y784" t="str"/>
        </row>
        <row r="784">
          <cell r="AA784" t="str"/>
          <cell r="AB784" t="str"/>
          <cell r="AC784" t="str"/>
          <cell r="AD784" t="str"/>
          <cell r="AE784" t="str"/>
          <cell r="AF784" t="str"/>
        </row>
        <row r="785">
          <cell r="B785" t="str"/>
          <cell r="C785" t="str"/>
          <cell r="D785" t="str"/>
          <cell r="E785" t="str"/>
          <cell r="F785" t="str"/>
          <cell r="G785" t="str"/>
          <cell r="H785" t="str"/>
          <cell r="I785" t="str"/>
          <cell r="J785" t="str"/>
          <cell r="K785" t="str"/>
          <cell r="L785" t="str"/>
          <cell r="M785" t="str"/>
          <cell r="N785" t="str"/>
          <cell r="O785" t="str"/>
          <cell r="P785" t="str"/>
          <cell r="Q785" t="str"/>
          <cell r="R785" t="str"/>
          <cell r="S785" t="str"/>
          <cell r="T785" t="str"/>
          <cell r="U785" t="str"/>
          <cell r="V785" t="str"/>
          <cell r="W785" t="str"/>
          <cell r="X785" t="str"/>
          <cell r="Y785" t="str"/>
        </row>
        <row r="785">
          <cell r="AA785" t="str"/>
          <cell r="AB785" t="str"/>
          <cell r="AC785" t="str"/>
          <cell r="AD785" t="str"/>
          <cell r="AE785" t="str"/>
          <cell r="AF785" t="str"/>
        </row>
        <row r="786">
          <cell r="B786" t="str"/>
          <cell r="C786" t="str"/>
          <cell r="D786" t="str"/>
          <cell r="E786" t="str"/>
          <cell r="F786" t="str"/>
          <cell r="G786" t="str"/>
          <cell r="H786" t="str"/>
          <cell r="I786" t="str"/>
          <cell r="J786" t="str"/>
          <cell r="K786" t="str"/>
          <cell r="L786" t="str"/>
          <cell r="M786" t="str"/>
          <cell r="N786" t="str"/>
          <cell r="O786" t="str"/>
          <cell r="P786" t="str"/>
          <cell r="Q786" t="str"/>
          <cell r="R786" t="str"/>
          <cell r="S786" t="str"/>
          <cell r="T786" t="str"/>
          <cell r="U786" t="str"/>
          <cell r="V786" t="str"/>
          <cell r="W786" t="str"/>
          <cell r="X786" t="str"/>
          <cell r="Y786" t="str"/>
        </row>
        <row r="786">
          <cell r="AA786" t="str"/>
          <cell r="AB786" t="str"/>
          <cell r="AC786" t="str"/>
          <cell r="AD786" t="str"/>
          <cell r="AE786" t="str"/>
          <cell r="AF786" t="str"/>
        </row>
        <row r="787">
          <cell r="B787" t="str"/>
          <cell r="C787" t="str"/>
          <cell r="D787" t="str"/>
          <cell r="E787" t="str"/>
          <cell r="F787" t="str"/>
          <cell r="G787" t="str"/>
          <cell r="H787" t="str"/>
          <cell r="I787" t="str"/>
          <cell r="J787" t="str"/>
          <cell r="K787" t="str"/>
          <cell r="L787" t="str"/>
          <cell r="M787" t="str"/>
          <cell r="N787" t="str"/>
          <cell r="O787" t="str"/>
          <cell r="P787" t="str"/>
          <cell r="Q787" t="str"/>
          <cell r="R787" t="str"/>
          <cell r="S787" t="str"/>
          <cell r="T787" t="str"/>
          <cell r="U787" t="str"/>
          <cell r="V787" t="str"/>
          <cell r="W787" t="str"/>
          <cell r="X787" t="str"/>
          <cell r="Y787" t="str"/>
        </row>
        <row r="787">
          <cell r="AA787" t="str"/>
          <cell r="AB787" t="str"/>
          <cell r="AC787" t="str"/>
          <cell r="AD787" t="str"/>
          <cell r="AE787" t="str"/>
          <cell r="AF787" t="str"/>
        </row>
        <row r="788">
          <cell r="B788" t="str"/>
          <cell r="C788" t="str"/>
          <cell r="D788" t="str"/>
          <cell r="E788" t="str"/>
          <cell r="F788" t="str"/>
          <cell r="G788" t="str"/>
          <cell r="H788" t="str"/>
          <cell r="I788" t="str"/>
          <cell r="J788" t="str"/>
          <cell r="K788" t="str"/>
          <cell r="L788" t="str"/>
          <cell r="M788" t="str"/>
          <cell r="N788" t="str"/>
          <cell r="O788" t="str"/>
          <cell r="P788" t="str"/>
          <cell r="Q788" t="str"/>
          <cell r="R788" t="str"/>
          <cell r="S788" t="str"/>
          <cell r="T788" t="str"/>
          <cell r="U788" t="str"/>
          <cell r="V788" t="str"/>
          <cell r="W788" t="str"/>
          <cell r="X788" t="str"/>
          <cell r="Y788" t="str"/>
        </row>
        <row r="788">
          <cell r="AA788" t="str"/>
          <cell r="AB788" t="str"/>
          <cell r="AC788" t="str"/>
          <cell r="AD788" t="str"/>
          <cell r="AE788" t="str"/>
          <cell r="AF788" t="str"/>
        </row>
        <row r="789">
          <cell r="B789" t="str"/>
          <cell r="C789" t="str"/>
          <cell r="D789" t="str"/>
          <cell r="E789" t="str"/>
          <cell r="F789" t="str"/>
          <cell r="G789" t="str"/>
          <cell r="H789" t="str"/>
          <cell r="I789" t="str"/>
          <cell r="J789" t="str"/>
          <cell r="K789" t="str"/>
          <cell r="L789" t="str"/>
          <cell r="M789" t="str"/>
          <cell r="N789" t="str"/>
          <cell r="O789" t="str"/>
          <cell r="P789" t="str"/>
          <cell r="Q789" t="str"/>
          <cell r="R789" t="str"/>
          <cell r="S789" t="str"/>
          <cell r="T789" t="str"/>
          <cell r="U789" t="str"/>
          <cell r="V789" t="str"/>
          <cell r="W789" t="str"/>
          <cell r="X789" t="str"/>
          <cell r="Y789" t="str"/>
        </row>
        <row r="789">
          <cell r="AA789" t="str"/>
          <cell r="AB789" t="str"/>
          <cell r="AC789" t="str"/>
          <cell r="AD789" t="str"/>
          <cell r="AE789" t="str"/>
          <cell r="AF789" t="str"/>
        </row>
        <row r="790">
          <cell r="B790" t="str"/>
          <cell r="C790" t="str"/>
          <cell r="D790" t="str"/>
          <cell r="E790" t="str"/>
          <cell r="F790" t="str"/>
          <cell r="G790" t="str"/>
          <cell r="H790" t="str"/>
          <cell r="I790" t="str"/>
          <cell r="J790" t="str"/>
          <cell r="K790" t="str"/>
          <cell r="L790" t="str"/>
          <cell r="M790" t="str"/>
          <cell r="N790" t="str"/>
          <cell r="O790" t="str"/>
          <cell r="P790" t="str"/>
          <cell r="Q790" t="str"/>
          <cell r="R790" t="str"/>
          <cell r="S790" t="str"/>
          <cell r="T790" t="str"/>
          <cell r="U790" t="str"/>
          <cell r="V790" t="str"/>
          <cell r="W790" t="str"/>
          <cell r="X790" t="str"/>
          <cell r="Y790" t="str"/>
        </row>
        <row r="790">
          <cell r="AA790" t="str"/>
          <cell r="AB790" t="str"/>
          <cell r="AC790" t="str"/>
          <cell r="AD790" t="str"/>
          <cell r="AE790" t="str"/>
          <cell r="AF790" t="str"/>
        </row>
        <row r="791">
          <cell r="B791" t="str"/>
          <cell r="C791" t="str"/>
          <cell r="D791" t="str"/>
          <cell r="E791" t="str"/>
          <cell r="F791" t="str"/>
          <cell r="G791" t="str"/>
          <cell r="H791" t="str"/>
          <cell r="I791" t="str"/>
          <cell r="J791" t="str"/>
          <cell r="K791" t="str"/>
          <cell r="L791" t="str"/>
          <cell r="M791" t="str"/>
          <cell r="N791" t="str"/>
          <cell r="O791" t="str"/>
          <cell r="P791" t="str"/>
          <cell r="Q791" t="str"/>
          <cell r="R791" t="str"/>
          <cell r="S791" t="str"/>
          <cell r="T791" t="str"/>
          <cell r="U791" t="str"/>
          <cell r="V791" t="str"/>
          <cell r="W791" t="str"/>
          <cell r="X791" t="str"/>
          <cell r="Y791" t="str"/>
        </row>
        <row r="791">
          <cell r="AA791" t="str"/>
          <cell r="AB791" t="str"/>
          <cell r="AC791" t="str"/>
          <cell r="AD791" t="str"/>
          <cell r="AE791" t="str"/>
          <cell r="AF791" t="str"/>
        </row>
        <row r="792">
          <cell r="B792" t="str"/>
          <cell r="C792" t="str"/>
          <cell r="D792" t="str"/>
          <cell r="E792" t="str"/>
          <cell r="F792" t="str"/>
          <cell r="G792" t="str"/>
          <cell r="H792" t="str"/>
          <cell r="I792" t="str"/>
          <cell r="J792" t="str"/>
          <cell r="K792" t="str"/>
          <cell r="L792" t="str"/>
          <cell r="M792" t="str"/>
          <cell r="N792" t="str"/>
          <cell r="O792" t="str"/>
          <cell r="P792" t="str"/>
          <cell r="Q792" t="str"/>
          <cell r="R792" t="str"/>
          <cell r="S792" t="str"/>
          <cell r="T792" t="str"/>
          <cell r="U792" t="str"/>
          <cell r="V792" t="str"/>
          <cell r="W792" t="str"/>
          <cell r="X792" t="str"/>
          <cell r="Y792" t="str"/>
        </row>
        <row r="792">
          <cell r="AA792" t="str"/>
          <cell r="AB792" t="str"/>
          <cell r="AC792" t="str"/>
          <cell r="AD792" t="str"/>
          <cell r="AE792" t="str"/>
          <cell r="AF792" t="str"/>
        </row>
        <row r="793">
          <cell r="B793" t="str"/>
          <cell r="C793" t="str"/>
          <cell r="D793" t="str"/>
          <cell r="E793" t="str"/>
          <cell r="F793" t="str"/>
          <cell r="G793" t="str"/>
          <cell r="H793" t="str"/>
          <cell r="I793" t="str"/>
          <cell r="J793" t="str"/>
          <cell r="K793" t="str"/>
          <cell r="L793" t="str"/>
          <cell r="M793" t="str"/>
          <cell r="N793" t="str"/>
          <cell r="O793" t="str"/>
          <cell r="P793" t="str"/>
          <cell r="Q793" t="str"/>
          <cell r="R793" t="str"/>
          <cell r="S793" t="str"/>
          <cell r="T793" t="str"/>
          <cell r="U793" t="str"/>
          <cell r="V793" t="str"/>
          <cell r="W793" t="str"/>
          <cell r="X793" t="str"/>
          <cell r="Y793" t="str"/>
        </row>
        <row r="793">
          <cell r="AA793" t="str"/>
          <cell r="AB793" t="str"/>
          <cell r="AC793" t="str"/>
          <cell r="AD793" t="str"/>
          <cell r="AE793" t="str"/>
          <cell r="AF793" t="str"/>
        </row>
        <row r="794">
          <cell r="B794" t="str"/>
          <cell r="C794" t="str"/>
          <cell r="D794" t="str"/>
          <cell r="E794" t="str"/>
          <cell r="F794" t="str"/>
          <cell r="G794" t="str"/>
          <cell r="H794" t="str"/>
          <cell r="I794" t="str"/>
          <cell r="J794" t="str"/>
          <cell r="K794" t="str"/>
          <cell r="L794" t="str"/>
          <cell r="M794" t="str"/>
          <cell r="N794" t="str"/>
          <cell r="O794" t="str"/>
          <cell r="P794" t="str"/>
          <cell r="Q794" t="str"/>
          <cell r="R794" t="str"/>
          <cell r="S794" t="str"/>
          <cell r="T794" t="str"/>
          <cell r="U794" t="str"/>
          <cell r="V794" t="str"/>
          <cell r="W794" t="str"/>
          <cell r="X794" t="str"/>
          <cell r="Y794" t="str"/>
        </row>
        <row r="794">
          <cell r="AA794" t="str"/>
          <cell r="AB794" t="str"/>
          <cell r="AC794" t="str"/>
          <cell r="AD794" t="str"/>
          <cell r="AE794" t="str"/>
          <cell r="AF794" t="str"/>
        </row>
        <row r="795">
          <cell r="B795" t="str"/>
          <cell r="C795" t="str"/>
          <cell r="D795" t="str"/>
          <cell r="E795" t="str"/>
          <cell r="F795" t="str"/>
          <cell r="G795" t="str"/>
          <cell r="H795" t="str"/>
          <cell r="I795" t="str"/>
          <cell r="J795" t="str"/>
          <cell r="K795" t="str"/>
          <cell r="L795" t="str"/>
          <cell r="M795" t="str"/>
          <cell r="N795" t="str"/>
          <cell r="O795" t="str"/>
          <cell r="P795" t="str"/>
          <cell r="Q795" t="str"/>
          <cell r="R795" t="str"/>
          <cell r="S795" t="str"/>
          <cell r="T795" t="str"/>
          <cell r="U795" t="str"/>
          <cell r="V795" t="str"/>
          <cell r="W795" t="str"/>
          <cell r="X795" t="str"/>
          <cell r="Y795" t="str"/>
        </row>
        <row r="795">
          <cell r="AA795" t="str"/>
          <cell r="AB795" t="str"/>
          <cell r="AC795" t="str"/>
          <cell r="AD795" t="str"/>
          <cell r="AE795" t="str"/>
          <cell r="AF795" t="str"/>
        </row>
        <row r="796">
          <cell r="B796" t="str"/>
          <cell r="C796" t="str"/>
          <cell r="D796" t="str"/>
          <cell r="E796" t="str"/>
          <cell r="F796" t="str"/>
          <cell r="G796" t="str"/>
          <cell r="H796" t="str"/>
          <cell r="I796" t="str"/>
          <cell r="J796" t="str"/>
          <cell r="K796" t="str"/>
          <cell r="L796" t="str"/>
          <cell r="M796" t="str"/>
          <cell r="N796" t="str"/>
          <cell r="O796" t="str"/>
          <cell r="P796" t="str"/>
          <cell r="Q796" t="str"/>
          <cell r="R796" t="str"/>
          <cell r="S796" t="str"/>
          <cell r="T796" t="str"/>
          <cell r="U796" t="str"/>
          <cell r="V796" t="str"/>
          <cell r="W796" t="str"/>
          <cell r="X796" t="str"/>
          <cell r="Y796" t="str"/>
        </row>
        <row r="796">
          <cell r="AA796" t="str"/>
          <cell r="AB796" t="str"/>
          <cell r="AC796" t="str"/>
          <cell r="AD796" t="str"/>
          <cell r="AE796" t="str"/>
          <cell r="AF796" t="str"/>
        </row>
        <row r="797">
          <cell r="B797" t="str"/>
          <cell r="C797" t="str"/>
          <cell r="D797" t="str"/>
          <cell r="E797" t="str"/>
          <cell r="F797" t="str"/>
          <cell r="G797" t="str"/>
          <cell r="H797" t="str"/>
          <cell r="I797" t="str"/>
          <cell r="J797" t="str"/>
          <cell r="K797" t="str"/>
          <cell r="L797" t="str"/>
          <cell r="M797" t="str"/>
          <cell r="N797" t="str"/>
          <cell r="O797" t="str"/>
          <cell r="P797" t="str"/>
          <cell r="Q797" t="str"/>
          <cell r="R797" t="str"/>
          <cell r="S797" t="str"/>
          <cell r="T797" t="str"/>
          <cell r="U797" t="str"/>
          <cell r="V797" t="str"/>
          <cell r="W797" t="str"/>
          <cell r="X797" t="str"/>
          <cell r="Y797" t="str"/>
        </row>
        <row r="797">
          <cell r="AA797" t="str"/>
          <cell r="AB797" t="str"/>
          <cell r="AC797" t="str"/>
          <cell r="AD797" t="str"/>
          <cell r="AE797" t="str"/>
          <cell r="AF797" t="str"/>
        </row>
        <row r="798">
          <cell r="B798" t="str"/>
          <cell r="C798" t="str"/>
          <cell r="D798" t="str"/>
          <cell r="E798" t="str"/>
          <cell r="F798" t="str"/>
          <cell r="G798" t="str"/>
          <cell r="H798" t="str"/>
          <cell r="I798" t="str"/>
          <cell r="J798" t="str"/>
          <cell r="K798" t="str"/>
          <cell r="L798" t="str"/>
          <cell r="M798" t="str"/>
          <cell r="N798" t="str"/>
          <cell r="O798" t="str"/>
          <cell r="P798" t="str"/>
          <cell r="Q798" t="str"/>
          <cell r="R798" t="str"/>
          <cell r="S798" t="str"/>
          <cell r="T798" t="str"/>
          <cell r="U798" t="str"/>
          <cell r="V798" t="str"/>
          <cell r="W798" t="str"/>
          <cell r="X798" t="str"/>
          <cell r="Y798" t="str"/>
        </row>
        <row r="798">
          <cell r="AA798" t="str"/>
          <cell r="AB798" t="str"/>
          <cell r="AC798" t="str"/>
          <cell r="AD798" t="str"/>
          <cell r="AE798" t="str"/>
          <cell r="AF798" t="str"/>
        </row>
        <row r="799">
          <cell r="B799" t="str"/>
          <cell r="C799" t="str"/>
          <cell r="D799" t="str"/>
          <cell r="E799" t="str"/>
          <cell r="F799" t="str"/>
          <cell r="G799" t="str"/>
          <cell r="H799" t="str"/>
          <cell r="I799" t="str"/>
          <cell r="J799" t="str"/>
          <cell r="K799" t="str"/>
          <cell r="L799" t="str"/>
          <cell r="M799" t="str"/>
          <cell r="N799" t="str"/>
          <cell r="O799" t="str"/>
          <cell r="P799" t="str"/>
          <cell r="Q799" t="str"/>
          <cell r="R799" t="str"/>
          <cell r="S799" t="str"/>
          <cell r="T799" t="str"/>
          <cell r="U799" t="str"/>
          <cell r="V799" t="str"/>
          <cell r="W799" t="str"/>
          <cell r="X799" t="str"/>
          <cell r="Y799" t="str"/>
        </row>
        <row r="799">
          <cell r="AA799" t="str"/>
          <cell r="AB799" t="str"/>
          <cell r="AC799" t="str"/>
          <cell r="AD799" t="str"/>
          <cell r="AE799" t="str"/>
          <cell r="AF799" t="str"/>
        </row>
        <row r="800">
          <cell r="B800" t="str"/>
          <cell r="C800" t="str"/>
          <cell r="D800" t="str"/>
          <cell r="E800" t="str"/>
          <cell r="F800" t="str"/>
          <cell r="G800" t="str"/>
          <cell r="H800" t="str"/>
          <cell r="I800" t="str"/>
          <cell r="J800" t="str"/>
          <cell r="K800" t="str"/>
          <cell r="L800" t="str"/>
          <cell r="M800" t="str"/>
          <cell r="N800" t="str"/>
          <cell r="O800" t="str"/>
          <cell r="P800" t="str"/>
          <cell r="Q800" t="str"/>
          <cell r="R800" t="str"/>
          <cell r="S800" t="str"/>
          <cell r="T800" t="str"/>
          <cell r="U800" t="str"/>
          <cell r="V800" t="str"/>
          <cell r="W800" t="str"/>
          <cell r="X800" t="str"/>
          <cell r="Y800" t="str"/>
        </row>
        <row r="800">
          <cell r="AA800" t="str"/>
          <cell r="AB800" t="str"/>
          <cell r="AC800" t="str"/>
          <cell r="AD800" t="str"/>
          <cell r="AE800" t="str"/>
          <cell r="AF800" t="str"/>
        </row>
        <row r="801">
          <cell r="B801" t="str"/>
          <cell r="C801" t="str"/>
          <cell r="D801" t="str"/>
          <cell r="E801" t="str"/>
          <cell r="F801" t="str"/>
          <cell r="G801" t="str"/>
          <cell r="H801" t="str"/>
          <cell r="I801" t="str"/>
          <cell r="J801" t="str"/>
          <cell r="K801" t="str"/>
          <cell r="L801" t="str"/>
          <cell r="M801" t="str"/>
          <cell r="N801" t="str"/>
          <cell r="O801" t="str"/>
          <cell r="P801" t="str"/>
          <cell r="Q801" t="str"/>
          <cell r="R801" t="str"/>
          <cell r="S801" t="str"/>
          <cell r="T801" t="str"/>
          <cell r="U801" t="str"/>
          <cell r="V801" t="str"/>
          <cell r="W801" t="str"/>
          <cell r="X801" t="str"/>
          <cell r="Y801" t="str"/>
        </row>
        <row r="801">
          <cell r="AA801" t="str"/>
          <cell r="AB801" t="str"/>
          <cell r="AC801" t="str"/>
          <cell r="AD801" t="str"/>
          <cell r="AE801" t="str"/>
          <cell r="AF801" t="str"/>
        </row>
        <row r="802">
          <cell r="B802" t="str"/>
          <cell r="C802" t="str"/>
          <cell r="D802" t="str"/>
          <cell r="E802" t="str"/>
          <cell r="F802" t="str"/>
          <cell r="G802" t="str"/>
          <cell r="H802" t="str"/>
          <cell r="I802" t="str"/>
          <cell r="J802" t="str"/>
          <cell r="K802" t="str"/>
          <cell r="L802" t="str"/>
          <cell r="M802" t="str"/>
          <cell r="N802" t="str"/>
          <cell r="O802" t="str"/>
          <cell r="P802" t="str"/>
          <cell r="Q802" t="str"/>
          <cell r="R802" t="str"/>
          <cell r="S802" t="str"/>
          <cell r="T802" t="str"/>
          <cell r="U802" t="str"/>
          <cell r="V802" t="str"/>
          <cell r="W802" t="str"/>
          <cell r="X802" t="str"/>
          <cell r="Y802" t="str"/>
        </row>
        <row r="802">
          <cell r="AA802" t="str"/>
          <cell r="AB802" t="str"/>
          <cell r="AC802" t="str"/>
          <cell r="AD802" t="str"/>
          <cell r="AE802" t="str"/>
          <cell r="AF802" t="str"/>
        </row>
        <row r="803">
          <cell r="B803" t="str"/>
          <cell r="C803" t="str"/>
          <cell r="D803" t="str"/>
          <cell r="E803" t="str"/>
          <cell r="F803" t="str"/>
          <cell r="G803" t="str"/>
          <cell r="H803" t="str"/>
          <cell r="I803" t="str"/>
          <cell r="J803" t="str"/>
          <cell r="K803" t="str"/>
          <cell r="L803" t="str"/>
          <cell r="M803" t="str"/>
          <cell r="N803" t="str"/>
          <cell r="O803" t="str"/>
          <cell r="P803" t="str"/>
          <cell r="Q803" t="str"/>
          <cell r="R803" t="str"/>
          <cell r="S803" t="str"/>
          <cell r="T803" t="str"/>
          <cell r="U803" t="str"/>
          <cell r="V803" t="str"/>
          <cell r="W803" t="str"/>
          <cell r="X803" t="str"/>
          <cell r="Y803" t="str"/>
        </row>
        <row r="803">
          <cell r="AA803" t="str"/>
          <cell r="AB803" t="str"/>
          <cell r="AC803" t="str"/>
          <cell r="AD803" t="str"/>
          <cell r="AE803" t="str"/>
          <cell r="AF803" t="str"/>
        </row>
        <row r="804">
          <cell r="B804" t="str"/>
          <cell r="C804" t="str"/>
          <cell r="D804" t="str"/>
          <cell r="E804" t="str"/>
          <cell r="F804" t="str"/>
          <cell r="G804" t="str"/>
          <cell r="H804" t="str"/>
          <cell r="I804" t="str"/>
          <cell r="J804" t="str"/>
          <cell r="K804" t="str"/>
          <cell r="L804" t="str"/>
          <cell r="M804" t="str"/>
          <cell r="N804" t="str"/>
          <cell r="O804" t="str"/>
          <cell r="P804" t="str"/>
          <cell r="Q804" t="str"/>
          <cell r="R804" t="str"/>
          <cell r="S804" t="str"/>
          <cell r="T804" t="str"/>
          <cell r="U804" t="str"/>
          <cell r="V804" t="str"/>
          <cell r="W804" t="str"/>
          <cell r="X804" t="str"/>
          <cell r="Y804" t="str"/>
        </row>
        <row r="804">
          <cell r="AA804" t="str"/>
          <cell r="AB804" t="str"/>
          <cell r="AC804" t="str"/>
          <cell r="AD804" t="str"/>
          <cell r="AE804" t="str"/>
          <cell r="AF804" t="str"/>
        </row>
        <row r="805">
          <cell r="B805" t="str"/>
          <cell r="C805" t="str"/>
          <cell r="D805" t="str"/>
          <cell r="E805" t="str"/>
          <cell r="F805" t="str"/>
          <cell r="G805" t="str"/>
          <cell r="H805" t="str"/>
          <cell r="I805" t="str"/>
          <cell r="J805" t="str"/>
          <cell r="K805" t="str"/>
          <cell r="L805" t="str"/>
          <cell r="M805" t="str"/>
          <cell r="N805" t="str"/>
          <cell r="O805" t="str"/>
          <cell r="P805" t="str"/>
          <cell r="Q805" t="str"/>
          <cell r="R805" t="str"/>
          <cell r="S805" t="str"/>
          <cell r="T805" t="str"/>
          <cell r="U805" t="str"/>
          <cell r="V805" t="str"/>
          <cell r="W805" t="str"/>
          <cell r="X805" t="str"/>
          <cell r="Y805" t="str"/>
        </row>
        <row r="805">
          <cell r="AA805" t="str"/>
          <cell r="AB805" t="str"/>
          <cell r="AC805" t="str"/>
          <cell r="AD805" t="str"/>
          <cell r="AE805" t="str"/>
          <cell r="AF805" t="str"/>
        </row>
        <row r="806">
          <cell r="B806" t="str"/>
          <cell r="C806" t="str"/>
          <cell r="D806" t="str"/>
          <cell r="E806" t="str"/>
          <cell r="F806" t="str"/>
          <cell r="G806" t="str"/>
          <cell r="H806" t="str"/>
          <cell r="I806" t="str"/>
          <cell r="J806" t="str"/>
          <cell r="K806" t="str"/>
          <cell r="L806" t="str"/>
          <cell r="M806" t="str"/>
          <cell r="N806" t="str"/>
          <cell r="O806" t="str"/>
          <cell r="P806" t="str"/>
          <cell r="Q806" t="str"/>
          <cell r="R806" t="str"/>
          <cell r="S806" t="str"/>
          <cell r="T806" t="str"/>
          <cell r="U806" t="str"/>
          <cell r="V806" t="str"/>
          <cell r="W806" t="str"/>
          <cell r="X806" t="str"/>
          <cell r="Y806" t="str"/>
        </row>
        <row r="806">
          <cell r="AA806" t="str"/>
          <cell r="AB806" t="str"/>
          <cell r="AC806" t="str"/>
          <cell r="AD806" t="str"/>
          <cell r="AE806" t="str"/>
          <cell r="AF806" t="str"/>
        </row>
        <row r="807">
          <cell r="B807" t="str"/>
          <cell r="C807" t="str"/>
          <cell r="D807" t="str"/>
          <cell r="E807" t="str"/>
          <cell r="F807" t="str"/>
          <cell r="G807" t="str"/>
          <cell r="H807" t="str"/>
          <cell r="I807" t="str"/>
          <cell r="J807" t="str"/>
          <cell r="K807" t="str"/>
          <cell r="L807" t="str"/>
          <cell r="M807" t="str"/>
          <cell r="N807" t="str"/>
          <cell r="O807" t="str"/>
          <cell r="P807" t="str"/>
          <cell r="Q807" t="str"/>
          <cell r="R807" t="str"/>
          <cell r="S807" t="str"/>
          <cell r="T807" t="str"/>
          <cell r="U807" t="str"/>
          <cell r="V807" t="str"/>
          <cell r="W807" t="str"/>
          <cell r="X807" t="str"/>
          <cell r="Y807" t="str"/>
        </row>
        <row r="807">
          <cell r="AA807" t="str"/>
          <cell r="AB807" t="str"/>
          <cell r="AC807" t="str"/>
          <cell r="AD807" t="str"/>
          <cell r="AE807" t="str"/>
          <cell r="AF807" t="str"/>
        </row>
        <row r="808">
          <cell r="B808" t="str"/>
          <cell r="C808" t="str"/>
          <cell r="D808" t="str"/>
          <cell r="E808" t="str"/>
          <cell r="F808" t="str"/>
          <cell r="G808" t="str"/>
          <cell r="H808" t="str"/>
          <cell r="I808" t="str"/>
          <cell r="J808" t="str"/>
          <cell r="K808" t="str"/>
          <cell r="L808" t="str"/>
          <cell r="M808" t="str"/>
          <cell r="N808" t="str"/>
          <cell r="O808" t="str"/>
          <cell r="P808" t="str"/>
          <cell r="Q808" t="str"/>
          <cell r="R808" t="str"/>
          <cell r="S808" t="str"/>
          <cell r="T808" t="str"/>
          <cell r="U808" t="str"/>
          <cell r="V808" t="str"/>
          <cell r="W808" t="str"/>
          <cell r="X808" t="str"/>
          <cell r="Y808" t="str"/>
        </row>
        <row r="808">
          <cell r="AA808" t="str"/>
          <cell r="AB808" t="str"/>
          <cell r="AC808" t="str"/>
          <cell r="AD808" t="str"/>
          <cell r="AE808" t="str"/>
          <cell r="AF808" t="str"/>
        </row>
        <row r="809">
          <cell r="B809" t="str"/>
          <cell r="C809" t="str"/>
          <cell r="D809" t="str"/>
          <cell r="E809" t="str"/>
          <cell r="F809" t="str"/>
          <cell r="G809" t="str"/>
          <cell r="H809" t="str"/>
          <cell r="I809" t="str"/>
          <cell r="J809" t="str"/>
          <cell r="K809" t="str"/>
          <cell r="L809" t="str"/>
          <cell r="M809" t="str"/>
          <cell r="N809" t="str"/>
          <cell r="O809" t="str"/>
          <cell r="P809" t="str"/>
          <cell r="Q809" t="str"/>
          <cell r="R809" t="str"/>
          <cell r="S809" t="str"/>
          <cell r="T809" t="str"/>
          <cell r="U809" t="str"/>
          <cell r="V809" t="str"/>
          <cell r="W809" t="str"/>
          <cell r="X809" t="str"/>
          <cell r="Y809" t="str"/>
        </row>
        <row r="809">
          <cell r="AA809" t="str"/>
          <cell r="AB809" t="str"/>
          <cell r="AC809" t="str"/>
          <cell r="AD809" t="str"/>
          <cell r="AE809" t="str"/>
          <cell r="AF809" t="str"/>
        </row>
        <row r="810">
          <cell r="B810" t="str"/>
          <cell r="C810" t="str"/>
          <cell r="D810" t="str"/>
          <cell r="E810" t="str"/>
          <cell r="F810" t="str"/>
          <cell r="G810" t="str"/>
          <cell r="H810" t="str"/>
          <cell r="I810" t="str"/>
          <cell r="J810" t="str"/>
          <cell r="K810" t="str"/>
          <cell r="L810" t="str"/>
          <cell r="M810" t="str"/>
          <cell r="N810" t="str"/>
          <cell r="O810" t="str"/>
          <cell r="P810" t="str"/>
          <cell r="Q810" t="str"/>
          <cell r="R810" t="str"/>
          <cell r="S810" t="str"/>
          <cell r="T810" t="str"/>
          <cell r="U810" t="str"/>
          <cell r="V810" t="str"/>
          <cell r="W810" t="str"/>
          <cell r="X810" t="str"/>
          <cell r="Y810" t="str"/>
        </row>
        <row r="810">
          <cell r="AA810" t="str"/>
          <cell r="AB810" t="str"/>
          <cell r="AC810" t="str"/>
          <cell r="AD810" t="str"/>
          <cell r="AE810" t="str"/>
          <cell r="AF810" t="str"/>
        </row>
        <row r="811">
          <cell r="B811" t="str"/>
          <cell r="C811" t="str"/>
          <cell r="D811" t="str"/>
          <cell r="E811" t="str"/>
          <cell r="F811" t="str"/>
          <cell r="G811" t="str"/>
          <cell r="H811" t="str"/>
          <cell r="I811" t="str"/>
          <cell r="J811" t="str"/>
          <cell r="K811" t="str"/>
          <cell r="L811" t="str"/>
          <cell r="M811" t="str"/>
          <cell r="N811" t="str"/>
          <cell r="O811" t="str"/>
          <cell r="P811" t="str"/>
          <cell r="Q811" t="str"/>
          <cell r="R811" t="str"/>
          <cell r="S811" t="str"/>
          <cell r="T811" t="str"/>
          <cell r="U811" t="str"/>
          <cell r="V811" t="str"/>
          <cell r="W811" t="str"/>
          <cell r="X811" t="str"/>
          <cell r="Y811" t="str"/>
        </row>
        <row r="811">
          <cell r="AA811" t="str"/>
          <cell r="AB811" t="str"/>
          <cell r="AC811" t="str"/>
          <cell r="AD811" t="str"/>
          <cell r="AE811" t="str"/>
          <cell r="AF811" t="str"/>
        </row>
        <row r="812">
          <cell r="B812" t="str"/>
          <cell r="C812" t="str"/>
          <cell r="D812" t="str"/>
          <cell r="E812" t="str"/>
          <cell r="F812" t="str"/>
          <cell r="G812" t="str"/>
          <cell r="H812" t="str"/>
          <cell r="I812" t="str"/>
          <cell r="J812" t="str"/>
          <cell r="K812" t="str"/>
          <cell r="L812" t="str"/>
          <cell r="M812" t="str"/>
          <cell r="N812" t="str"/>
          <cell r="O812" t="str"/>
          <cell r="P812" t="str"/>
          <cell r="Q812" t="str"/>
          <cell r="R812" t="str"/>
          <cell r="S812" t="str"/>
          <cell r="T812" t="str"/>
          <cell r="U812" t="str"/>
          <cell r="V812" t="str"/>
          <cell r="W812" t="str"/>
          <cell r="X812" t="str"/>
          <cell r="Y812" t="str"/>
        </row>
        <row r="812">
          <cell r="AA812" t="str"/>
          <cell r="AB812" t="str"/>
          <cell r="AC812" t="str"/>
          <cell r="AD812" t="str"/>
          <cell r="AE812" t="str"/>
          <cell r="AF812" t="str"/>
        </row>
        <row r="813">
          <cell r="B813" t="str"/>
          <cell r="C813" t="str"/>
          <cell r="D813" t="str"/>
          <cell r="E813" t="str"/>
          <cell r="F813" t="str"/>
          <cell r="G813" t="str"/>
          <cell r="H813" t="str"/>
          <cell r="I813" t="str"/>
          <cell r="J813" t="str"/>
          <cell r="K813" t="str"/>
          <cell r="L813" t="str"/>
          <cell r="M813" t="str"/>
          <cell r="N813" t="str"/>
          <cell r="O813" t="str"/>
          <cell r="P813" t="str"/>
          <cell r="Q813" t="str"/>
          <cell r="R813" t="str"/>
          <cell r="S813" t="str"/>
          <cell r="T813" t="str"/>
          <cell r="U813" t="str"/>
          <cell r="V813" t="str"/>
          <cell r="W813" t="str"/>
          <cell r="X813" t="str"/>
          <cell r="Y813" t="str"/>
        </row>
        <row r="813">
          <cell r="AA813" t="str"/>
          <cell r="AB813" t="str"/>
          <cell r="AC813" t="str"/>
          <cell r="AD813" t="str"/>
          <cell r="AE813" t="str"/>
          <cell r="AF813" t="str"/>
        </row>
        <row r="814">
          <cell r="B814" t="str"/>
          <cell r="C814" t="str"/>
          <cell r="D814" t="str"/>
          <cell r="E814" t="str"/>
          <cell r="F814" t="str"/>
          <cell r="G814" t="str"/>
          <cell r="H814" t="str"/>
          <cell r="I814" t="str"/>
          <cell r="J814" t="str"/>
          <cell r="K814" t="str"/>
          <cell r="L814" t="str"/>
          <cell r="M814" t="str"/>
          <cell r="N814" t="str"/>
          <cell r="O814" t="str"/>
          <cell r="P814" t="str"/>
          <cell r="Q814" t="str"/>
          <cell r="R814" t="str"/>
          <cell r="S814" t="str"/>
          <cell r="T814" t="str"/>
          <cell r="U814" t="str"/>
          <cell r="V814" t="str"/>
          <cell r="W814" t="str"/>
          <cell r="X814" t="str"/>
          <cell r="Y814" t="str"/>
        </row>
        <row r="814">
          <cell r="AA814" t="str"/>
          <cell r="AB814" t="str"/>
          <cell r="AC814" t="str"/>
          <cell r="AD814" t="str"/>
          <cell r="AE814" t="str"/>
          <cell r="AF814" t="str"/>
        </row>
        <row r="815">
          <cell r="B815" t="str"/>
          <cell r="C815" t="str"/>
          <cell r="D815" t="str"/>
          <cell r="E815" t="str"/>
          <cell r="F815" t="str"/>
          <cell r="G815" t="str"/>
          <cell r="H815" t="str"/>
          <cell r="I815" t="str"/>
          <cell r="J815" t="str"/>
          <cell r="K815" t="str"/>
          <cell r="L815" t="str"/>
          <cell r="M815" t="str"/>
          <cell r="N815" t="str"/>
          <cell r="O815" t="str"/>
          <cell r="P815" t="str"/>
          <cell r="Q815" t="str"/>
          <cell r="R815" t="str"/>
          <cell r="S815" t="str"/>
          <cell r="T815" t="str"/>
          <cell r="U815" t="str"/>
          <cell r="V815" t="str"/>
          <cell r="W815" t="str"/>
          <cell r="X815" t="str"/>
          <cell r="Y815" t="str"/>
        </row>
        <row r="815">
          <cell r="AA815" t="str"/>
          <cell r="AB815" t="str"/>
          <cell r="AC815" t="str"/>
          <cell r="AD815" t="str"/>
          <cell r="AE815" t="str"/>
          <cell r="AF815" t="str"/>
        </row>
        <row r="816">
          <cell r="B816" t="str"/>
          <cell r="C816" t="str"/>
          <cell r="D816" t="str"/>
          <cell r="E816" t="str"/>
          <cell r="F816" t="str"/>
          <cell r="G816" t="str"/>
          <cell r="H816" t="str"/>
          <cell r="I816" t="str"/>
          <cell r="J816" t="str"/>
          <cell r="K816" t="str"/>
          <cell r="L816" t="str"/>
          <cell r="M816" t="str"/>
          <cell r="N816" t="str"/>
          <cell r="O816" t="str"/>
          <cell r="P816" t="str"/>
          <cell r="Q816" t="str"/>
          <cell r="R816" t="str"/>
          <cell r="S816" t="str"/>
          <cell r="T816" t="str"/>
          <cell r="U816" t="str"/>
          <cell r="V816" t="str"/>
          <cell r="W816" t="str"/>
          <cell r="X816" t="str"/>
          <cell r="Y816" t="str"/>
        </row>
        <row r="816">
          <cell r="AA816" t="str"/>
          <cell r="AB816" t="str"/>
          <cell r="AC816" t="str"/>
          <cell r="AD816" t="str"/>
          <cell r="AE816" t="str"/>
          <cell r="AF816" t="str"/>
        </row>
        <row r="817">
          <cell r="B817" t="str"/>
          <cell r="C817" t="str"/>
          <cell r="D817" t="str"/>
          <cell r="E817" t="str"/>
          <cell r="F817" t="str"/>
          <cell r="G817" t="str"/>
          <cell r="H817" t="str"/>
          <cell r="I817" t="str"/>
          <cell r="J817" t="str"/>
          <cell r="K817" t="str"/>
          <cell r="L817" t="str"/>
          <cell r="M817" t="str"/>
          <cell r="N817" t="str"/>
          <cell r="O817" t="str"/>
          <cell r="P817" t="str"/>
          <cell r="Q817" t="str"/>
          <cell r="R817" t="str"/>
          <cell r="S817" t="str"/>
          <cell r="T817" t="str"/>
          <cell r="U817" t="str"/>
          <cell r="V817" t="str"/>
          <cell r="W817" t="str"/>
          <cell r="X817" t="str"/>
          <cell r="Y817" t="str"/>
        </row>
        <row r="817">
          <cell r="AA817" t="str"/>
          <cell r="AB817" t="str"/>
          <cell r="AC817" t="str"/>
          <cell r="AD817" t="str"/>
          <cell r="AE817" t="str"/>
          <cell r="AF817" t="str"/>
        </row>
        <row r="818">
          <cell r="B818" t="str"/>
          <cell r="C818" t="str"/>
          <cell r="D818" t="str"/>
          <cell r="E818" t="str"/>
          <cell r="F818" t="str"/>
          <cell r="G818" t="str"/>
          <cell r="H818" t="str"/>
          <cell r="I818" t="str"/>
          <cell r="J818" t="str"/>
          <cell r="K818" t="str"/>
          <cell r="L818" t="str"/>
          <cell r="M818" t="str"/>
          <cell r="N818" t="str"/>
          <cell r="O818" t="str"/>
          <cell r="P818" t="str"/>
          <cell r="Q818" t="str"/>
          <cell r="R818" t="str"/>
          <cell r="S818" t="str"/>
          <cell r="T818" t="str"/>
          <cell r="U818" t="str"/>
          <cell r="V818" t="str"/>
          <cell r="W818" t="str"/>
          <cell r="X818" t="str"/>
          <cell r="Y818" t="str"/>
        </row>
        <row r="818">
          <cell r="AA818" t="str"/>
          <cell r="AB818" t="str"/>
          <cell r="AC818" t="str"/>
          <cell r="AD818" t="str"/>
          <cell r="AE818" t="str"/>
          <cell r="AF818" t="str"/>
        </row>
        <row r="819">
          <cell r="B819" t="str"/>
          <cell r="C819" t="str"/>
          <cell r="D819" t="str"/>
          <cell r="E819" t="str"/>
          <cell r="F819" t="str"/>
          <cell r="G819" t="str"/>
          <cell r="H819" t="str"/>
          <cell r="I819" t="str"/>
          <cell r="J819" t="str"/>
          <cell r="K819" t="str"/>
          <cell r="L819" t="str"/>
          <cell r="M819" t="str"/>
          <cell r="N819" t="str"/>
          <cell r="O819" t="str"/>
          <cell r="P819" t="str"/>
          <cell r="Q819" t="str"/>
          <cell r="R819" t="str"/>
          <cell r="S819" t="str"/>
          <cell r="T819" t="str"/>
          <cell r="U819" t="str"/>
          <cell r="V819" t="str"/>
          <cell r="W819" t="str"/>
          <cell r="X819" t="str"/>
          <cell r="Y819" t="str"/>
        </row>
        <row r="819">
          <cell r="AA819" t="str"/>
          <cell r="AB819" t="str"/>
          <cell r="AC819" t="str"/>
          <cell r="AD819" t="str"/>
          <cell r="AE819" t="str"/>
          <cell r="AF819" t="str"/>
        </row>
        <row r="820">
          <cell r="B820" t="str"/>
          <cell r="C820" t="str"/>
          <cell r="D820" t="str"/>
          <cell r="E820" t="str"/>
          <cell r="F820" t="str"/>
          <cell r="G820" t="str"/>
          <cell r="H820" t="str"/>
          <cell r="I820" t="str"/>
          <cell r="J820" t="str"/>
          <cell r="K820" t="str"/>
          <cell r="L820" t="str"/>
          <cell r="M820" t="str"/>
          <cell r="N820" t="str"/>
          <cell r="O820" t="str"/>
          <cell r="P820" t="str"/>
          <cell r="Q820" t="str"/>
          <cell r="R820" t="str"/>
          <cell r="S820" t="str"/>
          <cell r="T820" t="str"/>
          <cell r="U820" t="str"/>
          <cell r="V820" t="str"/>
          <cell r="W820" t="str"/>
          <cell r="X820" t="str"/>
          <cell r="Y820" t="str"/>
        </row>
        <row r="820">
          <cell r="AA820" t="str"/>
          <cell r="AB820" t="str"/>
          <cell r="AC820" t="str"/>
          <cell r="AD820" t="str"/>
          <cell r="AE820" t="str"/>
          <cell r="AF820" t="str"/>
        </row>
        <row r="821">
          <cell r="B821" t="str"/>
          <cell r="C821" t="str"/>
          <cell r="D821" t="str"/>
          <cell r="E821" t="str"/>
          <cell r="F821" t="str"/>
          <cell r="G821" t="str"/>
          <cell r="H821" t="str"/>
          <cell r="I821" t="str"/>
          <cell r="J821" t="str"/>
          <cell r="K821" t="str"/>
          <cell r="L821" t="str"/>
          <cell r="M821" t="str"/>
          <cell r="N821" t="str"/>
          <cell r="O821" t="str"/>
          <cell r="P821" t="str"/>
          <cell r="Q821" t="str"/>
          <cell r="R821" t="str"/>
          <cell r="S821" t="str"/>
          <cell r="T821" t="str"/>
          <cell r="U821" t="str"/>
          <cell r="V821" t="str"/>
          <cell r="W821" t="str"/>
          <cell r="X821" t="str"/>
          <cell r="Y821" t="str"/>
        </row>
        <row r="821">
          <cell r="AA821" t="str"/>
          <cell r="AB821" t="str"/>
          <cell r="AC821" t="str"/>
          <cell r="AD821" t="str"/>
          <cell r="AE821" t="str"/>
          <cell r="AF821" t="str"/>
        </row>
        <row r="822">
          <cell r="B822" t="str"/>
          <cell r="C822" t="str"/>
          <cell r="D822" t="str"/>
          <cell r="E822" t="str"/>
          <cell r="F822" t="str"/>
          <cell r="G822" t="str"/>
          <cell r="H822" t="str"/>
          <cell r="I822" t="str"/>
          <cell r="J822" t="str"/>
          <cell r="K822" t="str"/>
          <cell r="L822" t="str"/>
          <cell r="M822" t="str"/>
          <cell r="N822" t="str"/>
          <cell r="O822" t="str"/>
          <cell r="P822" t="str"/>
          <cell r="Q822" t="str"/>
          <cell r="R822" t="str"/>
          <cell r="S822" t="str"/>
          <cell r="T822" t="str"/>
          <cell r="U822" t="str"/>
          <cell r="V822" t="str"/>
          <cell r="W822" t="str"/>
          <cell r="X822" t="str"/>
          <cell r="Y822" t="str"/>
        </row>
        <row r="822">
          <cell r="AA822" t="str"/>
          <cell r="AB822" t="str"/>
          <cell r="AC822" t="str"/>
          <cell r="AD822" t="str"/>
          <cell r="AE822" t="str"/>
          <cell r="AF822" t="str"/>
        </row>
        <row r="823">
          <cell r="B823" t="str"/>
          <cell r="C823" t="str"/>
          <cell r="D823" t="str"/>
          <cell r="E823" t="str"/>
          <cell r="F823" t="str"/>
          <cell r="G823" t="str"/>
          <cell r="H823" t="str"/>
          <cell r="I823" t="str"/>
          <cell r="J823" t="str"/>
          <cell r="K823" t="str"/>
          <cell r="L823" t="str"/>
          <cell r="M823" t="str"/>
          <cell r="N823" t="str"/>
          <cell r="O823" t="str"/>
          <cell r="P823" t="str"/>
          <cell r="Q823" t="str"/>
          <cell r="R823" t="str"/>
          <cell r="S823" t="str"/>
          <cell r="T823" t="str"/>
          <cell r="U823" t="str"/>
          <cell r="V823" t="str"/>
          <cell r="W823" t="str"/>
          <cell r="X823" t="str"/>
          <cell r="Y823" t="str"/>
        </row>
        <row r="823">
          <cell r="AA823" t="str"/>
          <cell r="AB823" t="str"/>
          <cell r="AC823" t="str"/>
          <cell r="AD823" t="str"/>
          <cell r="AE823" t="str"/>
          <cell r="AF823" t="str"/>
        </row>
        <row r="824">
          <cell r="B824" t="str"/>
          <cell r="C824" t="str"/>
          <cell r="D824" t="str"/>
          <cell r="E824" t="str"/>
          <cell r="F824" t="str"/>
          <cell r="G824" t="str"/>
          <cell r="H824" t="str"/>
          <cell r="I824" t="str"/>
          <cell r="J824" t="str"/>
          <cell r="K824" t="str"/>
          <cell r="L824" t="str"/>
          <cell r="M824" t="str"/>
          <cell r="N824" t="str"/>
          <cell r="O824" t="str"/>
          <cell r="P824" t="str"/>
          <cell r="Q824" t="str"/>
          <cell r="R824" t="str"/>
          <cell r="S824" t="str"/>
          <cell r="T824" t="str"/>
          <cell r="U824" t="str"/>
          <cell r="V824" t="str"/>
          <cell r="W824" t="str"/>
          <cell r="X824" t="str"/>
          <cell r="Y824" t="str"/>
        </row>
        <row r="824">
          <cell r="AA824" t="str"/>
          <cell r="AB824" t="str"/>
          <cell r="AC824" t="str"/>
          <cell r="AD824" t="str"/>
          <cell r="AE824" t="str"/>
          <cell r="AF824" t="str"/>
        </row>
        <row r="825">
          <cell r="B825" t="str"/>
          <cell r="C825" t="str"/>
          <cell r="D825" t="str"/>
          <cell r="E825" t="str"/>
          <cell r="F825" t="str"/>
          <cell r="G825" t="str"/>
          <cell r="H825" t="str"/>
          <cell r="I825" t="str"/>
          <cell r="J825" t="str"/>
          <cell r="K825" t="str"/>
          <cell r="L825" t="str"/>
          <cell r="M825" t="str"/>
          <cell r="N825" t="str"/>
          <cell r="O825" t="str"/>
          <cell r="P825" t="str"/>
          <cell r="Q825" t="str"/>
          <cell r="R825" t="str"/>
          <cell r="S825" t="str"/>
          <cell r="T825" t="str"/>
          <cell r="U825" t="str"/>
          <cell r="V825" t="str"/>
          <cell r="W825" t="str"/>
          <cell r="X825" t="str"/>
          <cell r="Y825" t="str"/>
        </row>
        <row r="825">
          <cell r="AA825" t="str"/>
          <cell r="AB825" t="str"/>
          <cell r="AC825" t="str"/>
          <cell r="AD825" t="str"/>
          <cell r="AE825" t="str"/>
          <cell r="AF825" t="str"/>
        </row>
        <row r="826">
          <cell r="B826" t="str"/>
          <cell r="C826" t="str"/>
          <cell r="D826" t="str"/>
          <cell r="E826" t="str"/>
          <cell r="F826" t="str"/>
          <cell r="G826" t="str"/>
          <cell r="H826" t="str"/>
          <cell r="I826" t="str"/>
          <cell r="J826" t="str"/>
          <cell r="K826" t="str"/>
          <cell r="L826" t="str"/>
          <cell r="M826" t="str"/>
          <cell r="N826" t="str"/>
          <cell r="O826" t="str"/>
          <cell r="P826" t="str"/>
          <cell r="Q826" t="str"/>
          <cell r="R826" t="str"/>
          <cell r="S826" t="str"/>
          <cell r="T826" t="str"/>
          <cell r="U826" t="str"/>
          <cell r="V826" t="str"/>
          <cell r="W826" t="str"/>
          <cell r="X826" t="str"/>
          <cell r="Y826" t="str"/>
        </row>
        <row r="826">
          <cell r="AA826" t="str"/>
          <cell r="AB826" t="str"/>
          <cell r="AC826" t="str"/>
          <cell r="AD826" t="str"/>
          <cell r="AE826" t="str"/>
          <cell r="AF826" t="str"/>
        </row>
        <row r="827">
          <cell r="B827" t="str"/>
          <cell r="C827" t="str"/>
          <cell r="D827" t="str"/>
          <cell r="E827" t="str"/>
          <cell r="F827" t="str"/>
          <cell r="G827" t="str"/>
          <cell r="H827" t="str"/>
          <cell r="I827" t="str"/>
          <cell r="J827" t="str"/>
          <cell r="K827" t="str"/>
          <cell r="L827" t="str"/>
          <cell r="M827" t="str"/>
          <cell r="N827" t="str"/>
          <cell r="O827" t="str"/>
          <cell r="P827" t="str"/>
          <cell r="Q827" t="str"/>
          <cell r="R827" t="str"/>
          <cell r="S827" t="str"/>
          <cell r="T827" t="str"/>
          <cell r="U827" t="str"/>
          <cell r="V827" t="str"/>
          <cell r="W827" t="str"/>
          <cell r="X827" t="str"/>
          <cell r="Y827" t="str"/>
        </row>
        <row r="827">
          <cell r="AA827" t="str"/>
          <cell r="AB827" t="str"/>
          <cell r="AC827" t="str"/>
          <cell r="AD827" t="str"/>
          <cell r="AE827" t="str"/>
          <cell r="AF827" t="str"/>
        </row>
        <row r="828">
          <cell r="B828" t="str"/>
          <cell r="C828" t="str"/>
          <cell r="D828" t="str"/>
          <cell r="E828" t="str"/>
          <cell r="F828" t="str"/>
          <cell r="G828" t="str"/>
          <cell r="H828" t="str"/>
          <cell r="I828" t="str"/>
          <cell r="J828" t="str"/>
          <cell r="K828" t="str"/>
          <cell r="L828" t="str"/>
          <cell r="M828" t="str"/>
          <cell r="N828" t="str"/>
          <cell r="O828" t="str"/>
          <cell r="P828" t="str"/>
          <cell r="Q828" t="str"/>
          <cell r="R828" t="str"/>
          <cell r="S828" t="str"/>
          <cell r="T828" t="str"/>
          <cell r="U828" t="str"/>
          <cell r="V828" t="str"/>
          <cell r="W828" t="str"/>
          <cell r="X828" t="str"/>
          <cell r="Y828" t="str"/>
        </row>
        <row r="828">
          <cell r="AA828" t="str"/>
          <cell r="AB828" t="str"/>
          <cell r="AC828" t="str"/>
          <cell r="AD828" t="str"/>
          <cell r="AE828" t="str"/>
          <cell r="AF828" t="str"/>
        </row>
        <row r="829">
          <cell r="B829" t="str"/>
          <cell r="C829" t="str"/>
          <cell r="D829" t="str"/>
          <cell r="E829" t="str"/>
          <cell r="F829" t="str"/>
          <cell r="G829" t="str"/>
          <cell r="H829" t="str"/>
          <cell r="I829" t="str"/>
          <cell r="J829" t="str"/>
          <cell r="K829" t="str"/>
          <cell r="L829" t="str"/>
          <cell r="M829" t="str"/>
          <cell r="N829" t="str"/>
          <cell r="O829" t="str"/>
          <cell r="P829" t="str"/>
          <cell r="Q829" t="str"/>
          <cell r="R829" t="str"/>
          <cell r="S829" t="str"/>
          <cell r="T829" t="str"/>
          <cell r="U829" t="str"/>
          <cell r="V829" t="str"/>
          <cell r="W829" t="str"/>
          <cell r="X829" t="str"/>
          <cell r="Y829" t="str"/>
        </row>
        <row r="829">
          <cell r="AA829" t="str"/>
          <cell r="AB829" t="str"/>
          <cell r="AC829" t="str"/>
          <cell r="AD829" t="str"/>
          <cell r="AE829" t="str"/>
          <cell r="AF829" t="str"/>
        </row>
        <row r="830">
          <cell r="B830" t="str"/>
          <cell r="C830" t="str"/>
          <cell r="D830" t="str"/>
          <cell r="E830" t="str"/>
          <cell r="F830" t="str"/>
          <cell r="G830" t="str"/>
          <cell r="H830" t="str"/>
          <cell r="I830" t="str"/>
          <cell r="J830" t="str"/>
          <cell r="K830" t="str"/>
          <cell r="L830" t="str"/>
          <cell r="M830" t="str"/>
          <cell r="N830" t="str"/>
          <cell r="O830" t="str"/>
          <cell r="P830" t="str"/>
          <cell r="Q830" t="str"/>
          <cell r="R830" t="str"/>
          <cell r="S830" t="str"/>
          <cell r="T830" t="str"/>
          <cell r="U830" t="str"/>
          <cell r="V830" t="str"/>
          <cell r="W830" t="str"/>
          <cell r="X830" t="str"/>
          <cell r="Y830" t="str"/>
        </row>
        <row r="830">
          <cell r="AA830" t="str"/>
          <cell r="AB830" t="str"/>
          <cell r="AC830" t="str"/>
          <cell r="AD830" t="str"/>
          <cell r="AE830" t="str"/>
          <cell r="AF830" t="str"/>
        </row>
        <row r="831">
          <cell r="B831" t="str"/>
          <cell r="C831" t="str"/>
          <cell r="D831" t="str"/>
          <cell r="E831" t="str"/>
          <cell r="F831" t="str"/>
          <cell r="G831" t="str"/>
          <cell r="H831" t="str"/>
          <cell r="I831" t="str"/>
          <cell r="J831" t="str"/>
          <cell r="K831" t="str"/>
          <cell r="L831" t="str"/>
          <cell r="M831" t="str"/>
          <cell r="N831" t="str"/>
          <cell r="O831" t="str"/>
          <cell r="P831" t="str"/>
          <cell r="Q831" t="str"/>
          <cell r="R831" t="str"/>
          <cell r="S831" t="str"/>
          <cell r="T831" t="str"/>
          <cell r="U831" t="str"/>
          <cell r="V831" t="str"/>
          <cell r="W831" t="str"/>
          <cell r="X831" t="str"/>
          <cell r="Y831" t="str"/>
        </row>
        <row r="831">
          <cell r="AA831" t="str"/>
          <cell r="AB831" t="str"/>
          <cell r="AC831" t="str"/>
          <cell r="AD831" t="str"/>
          <cell r="AE831" t="str"/>
          <cell r="AF831" t="str"/>
        </row>
        <row r="832">
          <cell r="B832" t="str"/>
          <cell r="C832" t="str"/>
          <cell r="D832" t="str"/>
          <cell r="E832" t="str"/>
          <cell r="F832" t="str"/>
          <cell r="G832" t="str"/>
          <cell r="H832" t="str"/>
          <cell r="I832" t="str"/>
          <cell r="J832" t="str"/>
          <cell r="K832" t="str"/>
          <cell r="L832" t="str"/>
          <cell r="M832" t="str"/>
          <cell r="N832" t="str"/>
          <cell r="O832" t="str"/>
          <cell r="P832" t="str"/>
          <cell r="Q832" t="str"/>
          <cell r="R832" t="str"/>
          <cell r="S832" t="str"/>
          <cell r="T832" t="str"/>
          <cell r="U832" t="str"/>
          <cell r="V832" t="str"/>
          <cell r="W832" t="str"/>
          <cell r="X832" t="str"/>
          <cell r="Y832" t="str"/>
        </row>
        <row r="832">
          <cell r="AA832" t="str"/>
          <cell r="AB832" t="str"/>
          <cell r="AC832" t="str"/>
          <cell r="AD832" t="str"/>
          <cell r="AE832" t="str"/>
          <cell r="AF832" t="str"/>
        </row>
        <row r="833">
          <cell r="B833" t="str"/>
          <cell r="C833" t="str"/>
          <cell r="D833" t="str"/>
          <cell r="E833" t="str"/>
          <cell r="F833" t="str"/>
          <cell r="G833" t="str"/>
          <cell r="H833" t="str"/>
          <cell r="I833" t="str"/>
          <cell r="J833" t="str"/>
          <cell r="K833" t="str"/>
          <cell r="L833" t="str"/>
          <cell r="M833" t="str"/>
          <cell r="N833" t="str"/>
          <cell r="O833" t="str"/>
          <cell r="P833" t="str"/>
          <cell r="Q833" t="str"/>
          <cell r="R833" t="str"/>
          <cell r="S833" t="str"/>
          <cell r="T833" t="str"/>
          <cell r="U833" t="str"/>
          <cell r="V833" t="str"/>
          <cell r="W833" t="str"/>
          <cell r="X833" t="str"/>
          <cell r="Y833" t="str"/>
        </row>
        <row r="833">
          <cell r="AA833" t="str"/>
          <cell r="AB833" t="str"/>
          <cell r="AC833" t="str"/>
          <cell r="AD833" t="str"/>
          <cell r="AE833" t="str"/>
          <cell r="AF833" t="str"/>
        </row>
        <row r="834">
          <cell r="B834" t="str"/>
          <cell r="C834" t="str"/>
          <cell r="D834" t="str"/>
          <cell r="E834" t="str"/>
          <cell r="F834" t="str"/>
          <cell r="G834" t="str"/>
          <cell r="H834" t="str"/>
          <cell r="I834" t="str"/>
          <cell r="J834" t="str"/>
          <cell r="K834" t="str"/>
          <cell r="L834" t="str"/>
          <cell r="M834" t="str"/>
          <cell r="N834" t="str"/>
          <cell r="O834" t="str"/>
          <cell r="P834" t="str"/>
          <cell r="Q834" t="str"/>
          <cell r="R834" t="str"/>
          <cell r="S834" t="str"/>
          <cell r="T834" t="str"/>
          <cell r="U834" t="str"/>
          <cell r="V834" t="str"/>
          <cell r="W834" t="str"/>
          <cell r="X834" t="str"/>
          <cell r="Y834" t="str"/>
        </row>
        <row r="834">
          <cell r="AA834" t="str"/>
          <cell r="AB834" t="str"/>
          <cell r="AC834" t="str"/>
          <cell r="AD834" t="str"/>
          <cell r="AE834" t="str"/>
          <cell r="AF834" t="str"/>
        </row>
        <row r="835">
          <cell r="B835" t="str"/>
          <cell r="C835" t="str"/>
          <cell r="D835" t="str"/>
          <cell r="E835" t="str"/>
          <cell r="F835" t="str"/>
          <cell r="G835" t="str"/>
          <cell r="H835" t="str"/>
          <cell r="I835" t="str"/>
          <cell r="J835" t="str"/>
          <cell r="K835" t="str"/>
          <cell r="L835" t="str"/>
          <cell r="M835" t="str"/>
          <cell r="N835" t="str"/>
          <cell r="O835" t="str"/>
          <cell r="P835" t="str"/>
          <cell r="Q835" t="str"/>
          <cell r="R835" t="str"/>
          <cell r="S835" t="str"/>
          <cell r="T835" t="str"/>
          <cell r="U835" t="str"/>
          <cell r="V835" t="str"/>
          <cell r="W835" t="str"/>
          <cell r="X835" t="str"/>
          <cell r="Y835" t="str"/>
        </row>
        <row r="835">
          <cell r="AA835" t="str"/>
          <cell r="AB835" t="str"/>
          <cell r="AC835" t="str"/>
          <cell r="AD835" t="str"/>
          <cell r="AE835" t="str"/>
          <cell r="AF835" t="str"/>
        </row>
        <row r="836">
          <cell r="B836" t="str"/>
          <cell r="C836" t="str"/>
          <cell r="D836" t="str"/>
          <cell r="E836" t="str"/>
          <cell r="F836" t="str"/>
          <cell r="G836" t="str"/>
          <cell r="H836" t="str"/>
          <cell r="I836" t="str"/>
          <cell r="J836" t="str"/>
          <cell r="K836" t="str"/>
          <cell r="L836" t="str"/>
          <cell r="M836" t="str"/>
          <cell r="N836" t="str"/>
          <cell r="O836" t="str"/>
          <cell r="P836" t="str"/>
          <cell r="Q836" t="str"/>
          <cell r="R836" t="str"/>
          <cell r="S836" t="str"/>
          <cell r="T836" t="str"/>
          <cell r="U836" t="str"/>
          <cell r="V836" t="str"/>
          <cell r="W836" t="str"/>
          <cell r="X836" t="str"/>
          <cell r="Y836" t="str"/>
        </row>
        <row r="836">
          <cell r="AA836" t="str"/>
          <cell r="AB836" t="str"/>
          <cell r="AC836" t="str"/>
          <cell r="AD836" t="str"/>
          <cell r="AE836" t="str"/>
          <cell r="AF836" t="str"/>
        </row>
        <row r="837">
          <cell r="B837" t="str"/>
          <cell r="C837" t="str"/>
          <cell r="D837" t="str"/>
          <cell r="E837" t="str"/>
          <cell r="F837" t="str"/>
          <cell r="G837" t="str"/>
          <cell r="H837" t="str"/>
          <cell r="I837" t="str"/>
          <cell r="J837" t="str"/>
          <cell r="K837" t="str"/>
          <cell r="L837" t="str"/>
          <cell r="M837" t="str"/>
          <cell r="N837" t="str"/>
          <cell r="O837" t="str"/>
          <cell r="P837" t="str"/>
          <cell r="Q837" t="str"/>
          <cell r="R837" t="str"/>
          <cell r="S837" t="str"/>
          <cell r="T837" t="str"/>
          <cell r="U837" t="str"/>
          <cell r="V837" t="str"/>
          <cell r="W837" t="str"/>
          <cell r="X837" t="str"/>
          <cell r="Y837" t="str"/>
        </row>
        <row r="837">
          <cell r="AA837" t="str"/>
          <cell r="AB837" t="str"/>
          <cell r="AC837" t="str"/>
          <cell r="AD837" t="str"/>
          <cell r="AE837" t="str"/>
          <cell r="AF837" t="str"/>
        </row>
        <row r="838">
          <cell r="B838" t="str"/>
          <cell r="C838" t="str"/>
          <cell r="D838" t="str"/>
          <cell r="E838" t="str"/>
          <cell r="F838" t="str"/>
          <cell r="G838" t="str"/>
          <cell r="H838" t="str"/>
          <cell r="I838" t="str"/>
          <cell r="J838" t="str"/>
          <cell r="K838" t="str"/>
          <cell r="L838" t="str"/>
          <cell r="M838" t="str"/>
          <cell r="N838" t="str"/>
          <cell r="O838" t="str"/>
          <cell r="P838" t="str"/>
          <cell r="Q838" t="str"/>
          <cell r="R838" t="str"/>
          <cell r="S838" t="str"/>
          <cell r="T838" t="str"/>
          <cell r="U838" t="str"/>
          <cell r="V838" t="str"/>
          <cell r="W838" t="str"/>
          <cell r="X838" t="str"/>
          <cell r="Y838" t="str"/>
        </row>
        <row r="838">
          <cell r="AA838" t="str"/>
          <cell r="AB838" t="str"/>
          <cell r="AC838" t="str"/>
          <cell r="AD838" t="str"/>
          <cell r="AE838" t="str"/>
          <cell r="AF838" t="str"/>
        </row>
        <row r="839">
          <cell r="B839" t="str"/>
          <cell r="C839" t="str"/>
          <cell r="D839" t="str"/>
          <cell r="E839" t="str"/>
          <cell r="F839" t="str"/>
          <cell r="G839" t="str"/>
          <cell r="H839" t="str"/>
          <cell r="I839" t="str"/>
          <cell r="J839" t="str"/>
          <cell r="K839" t="str"/>
          <cell r="L839" t="str"/>
          <cell r="M839" t="str"/>
          <cell r="N839" t="str"/>
          <cell r="O839" t="str"/>
          <cell r="P839" t="str"/>
          <cell r="Q839" t="str"/>
          <cell r="R839" t="str"/>
          <cell r="S839" t="str"/>
          <cell r="T839" t="str"/>
          <cell r="U839" t="str"/>
          <cell r="V839" t="str"/>
          <cell r="W839" t="str"/>
          <cell r="X839" t="str"/>
          <cell r="Y839" t="str"/>
        </row>
        <row r="839">
          <cell r="AA839" t="str"/>
          <cell r="AB839" t="str"/>
          <cell r="AC839" t="str"/>
          <cell r="AD839" t="str"/>
          <cell r="AE839" t="str"/>
          <cell r="AF839" t="str"/>
        </row>
        <row r="840">
          <cell r="B840" t="str"/>
          <cell r="C840" t="str"/>
          <cell r="D840" t="str"/>
          <cell r="E840" t="str"/>
          <cell r="F840" t="str"/>
          <cell r="G840" t="str"/>
          <cell r="H840" t="str"/>
          <cell r="I840" t="str"/>
          <cell r="J840" t="str"/>
          <cell r="K840" t="str"/>
          <cell r="L840" t="str"/>
          <cell r="M840" t="str"/>
          <cell r="N840" t="str"/>
          <cell r="O840" t="str"/>
          <cell r="P840" t="str"/>
          <cell r="Q840" t="str"/>
          <cell r="R840" t="str"/>
          <cell r="S840" t="str"/>
          <cell r="T840" t="str"/>
          <cell r="U840" t="str"/>
          <cell r="V840" t="str"/>
          <cell r="W840" t="str"/>
          <cell r="X840" t="str"/>
          <cell r="Y840" t="str"/>
        </row>
        <row r="840">
          <cell r="AA840" t="str"/>
          <cell r="AB840" t="str"/>
          <cell r="AC840" t="str"/>
          <cell r="AD840" t="str"/>
          <cell r="AE840" t="str"/>
          <cell r="AF840" t="str"/>
        </row>
        <row r="841">
          <cell r="B841" t="str"/>
          <cell r="C841" t="str"/>
          <cell r="D841" t="str"/>
          <cell r="E841" t="str"/>
          <cell r="F841" t="str"/>
          <cell r="G841" t="str"/>
          <cell r="H841" t="str"/>
          <cell r="I841" t="str"/>
          <cell r="J841" t="str"/>
          <cell r="K841" t="str"/>
          <cell r="L841" t="str"/>
          <cell r="M841" t="str"/>
          <cell r="N841" t="str"/>
          <cell r="O841" t="str"/>
          <cell r="P841" t="str"/>
          <cell r="Q841" t="str"/>
          <cell r="R841" t="str"/>
          <cell r="S841" t="str"/>
          <cell r="T841" t="str"/>
          <cell r="U841" t="str"/>
          <cell r="V841" t="str"/>
          <cell r="W841" t="str"/>
          <cell r="X841" t="str"/>
          <cell r="Y841" t="str"/>
        </row>
        <row r="841">
          <cell r="AA841" t="str"/>
          <cell r="AB841" t="str"/>
          <cell r="AC841" t="str"/>
          <cell r="AD841" t="str"/>
          <cell r="AE841" t="str"/>
          <cell r="AF841" t="str"/>
        </row>
        <row r="842">
          <cell r="B842" t="str"/>
          <cell r="C842" t="str"/>
          <cell r="D842" t="str"/>
          <cell r="E842" t="str"/>
          <cell r="F842" t="str"/>
          <cell r="G842" t="str"/>
          <cell r="H842" t="str"/>
          <cell r="I842" t="str"/>
          <cell r="J842" t="str"/>
          <cell r="K842" t="str"/>
          <cell r="L842" t="str"/>
          <cell r="M842" t="str"/>
          <cell r="N842" t="str"/>
          <cell r="O842" t="str"/>
          <cell r="P842" t="str"/>
          <cell r="Q842" t="str"/>
          <cell r="R842" t="str"/>
          <cell r="S842" t="str"/>
          <cell r="T842" t="str"/>
          <cell r="U842" t="str"/>
          <cell r="V842" t="str"/>
          <cell r="W842" t="str"/>
          <cell r="X842" t="str"/>
          <cell r="Y842" t="str"/>
        </row>
        <row r="842">
          <cell r="AA842" t="str"/>
          <cell r="AB842" t="str"/>
          <cell r="AC842" t="str"/>
          <cell r="AD842" t="str"/>
          <cell r="AE842" t="str"/>
          <cell r="AF842" t="str"/>
        </row>
        <row r="843">
          <cell r="B843" t="str"/>
          <cell r="C843" t="str"/>
          <cell r="D843" t="str"/>
          <cell r="E843" t="str"/>
          <cell r="F843" t="str"/>
          <cell r="G843" t="str"/>
          <cell r="H843" t="str"/>
          <cell r="I843" t="str"/>
          <cell r="J843" t="str"/>
          <cell r="K843" t="str"/>
          <cell r="L843" t="str"/>
          <cell r="M843" t="str"/>
          <cell r="N843" t="str"/>
          <cell r="O843" t="str"/>
          <cell r="P843" t="str"/>
          <cell r="Q843" t="str"/>
          <cell r="R843" t="str"/>
          <cell r="S843" t="str"/>
          <cell r="T843" t="str"/>
          <cell r="U843" t="str"/>
          <cell r="V843" t="str"/>
          <cell r="W843" t="str"/>
          <cell r="X843" t="str"/>
          <cell r="Y843" t="str"/>
        </row>
        <row r="843">
          <cell r="AA843" t="str"/>
          <cell r="AB843" t="str"/>
          <cell r="AC843" t="str"/>
          <cell r="AD843" t="str"/>
          <cell r="AE843" t="str"/>
          <cell r="AF843" t="str"/>
        </row>
        <row r="844">
          <cell r="B844" t="str"/>
          <cell r="C844" t="str"/>
          <cell r="D844" t="str"/>
          <cell r="E844" t="str"/>
          <cell r="F844" t="str"/>
          <cell r="G844" t="str"/>
          <cell r="H844" t="str"/>
          <cell r="I844" t="str"/>
          <cell r="J844" t="str"/>
          <cell r="K844" t="str"/>
          <cell r="L844" t="str"/>
          <cell r="M844" t="str"/>
          <cell r="N844" t="str"/>
          <cell r="O844" t="str"/>
          <cell r="P844" t="str"/>
          <cell r="Q844" t="str"/>
          <cell r="R844" t="str"/>
          <cell r="S844" t="str"/>
          <cell r="T844" t="str"/>
          <cell r="U844" t="str"/>
          <cell r="V844" t="str"/>
          <cell r="W844" t="str"/>
          <cell r="X844" t="str"/>
          <cell r="Y844" t="str"/>
        </row>
        <row r="844">
          <cell r="AA844" t="str"/>
          <cell r="AB844" t="str"/>
          <cell r="AC844" t="str"/>
          <cell r="AD844" t="str"/>
          <cell r="AE844" t="str"/>
          <cell r="AF844" t="str"/>
        </row>
        <row r="845">
          <cell r="B845" t="str"/>
          <cell r="C845" t="str"/>
          <cell r="D845" t="str"/>
          <cell r="E845" t="str"/>
          <cell r="F845" t="str"/>
          <cell r="G845" t="str"/>
          <cell r="H845" t="str"/>
          <cell r="I845" t="str"/>
          <cell r="J845" t="str"/>
          <cell r="K845" t="str"/>
          <cell r="L845" t="str"/>
          <cell r="M845" t="str"/>
          <cell r="N845" t="str"/>
          <cell r="O845" t="str"/>
          <cell r="P845" t="str"/>
          <cell r="Q845" t="str"/>
          <cell r="R845" t="str"/>
          <cell r="S845" t="str"/>
          <cell r="T845" t="str"/>
          <cell r="U845" t="str"/>
          <cell r="V845" t="str"/>
          <cell r="W845" t="str"/>
          <cell r="X845" t="str"/>
          <cell r="Y845" t="str"/>
        </row>
        <row r="845">
          <cell r="AA845" t="str"/>
          <cell r="AB845" t="str"/>
          <cell r="AC845" t="str"/>
          <cell r="AD845" t="str"/>
          <cell r="AE845" t="str"/>
          <cell r="AF845" t="str"/>
        </row>
        <row r="846">
          <cell r="B846" t="str"/>
          <cell r="C846" t="str"/>
          <cell r="D846" t="str"/>
          <cell r="E846" t="str"/>
          <cell r="F846" t="str"/>
          <cell r="G846" t="str"/>
          <cell r="H846" t="str"/>
          <cell r="I846" t="str"/>
          <cell r="J846" t="str"/>
          <cell r="K846" t="str"/>
          <cell r="L846" t="str"/>
          <cell r="M846" t="str"/>
          <cell r="N846" t="str"/>
          <cell r="O846" t="str"/>
          <cell r="P846" t="str"/>
          <cell r="Q846" t="str"/>
          <cell r="R846" t="str"/>
          <cell r="S846" t="str"/>
          <cell r="T846" t="str"/>
          <cell r="U846" t="str"/>
          <cell r="V846" t="str"/>
          <cell r="W846" t="str"/>
          <cell r="X846" t="str"/>
          <cell r="Y846" t="str"/>
        </row>
        <row r="846">
          <cell r="AA846" t="str"/>
          <cell r="AB846" t="str"/>
          <cell r="AC846" t="str"/>
          <cell r="AD846" t="str"/>
          <cell r="AE846" t="str"/>
          <cell r="AF846" t="str"/>
        </row>
        <row r="847">
          <cell r="B847" t="str"/>
          <cell r="C847" t="str"/>
          <cell r="D847" t="str"/>
          <cell r="E847" t="str"/>
          <cell r="F847" t="str"/>
          <cell r="G847" t="str"/>
          <cell r="H847" t="str"/>
          <cell r="I847" t="str"/>
          <cell r="J847" t="str"/>
          <cell r="K847" t="str"/>
          <cell r="L847" t="str"/>
          <cell r="M847" t="str"/>
          <cell r="N847" t="str"/>
          <cell r="O847" t="str"/>
          <cell r="P847" t="str"/>
          <cell r="Q847" t="str"/>
          <cell r="R847" t="str"/>
          <cell r="S847" t="str"/>
          <cell r="T847" t="str"/>
          <cell r="U847" t="str"/>
          <cell r="V847" t="str"/>
          <cell r="W847" t="str"/>
          <cell r="X847" t="str"/>
          <cell r="Y847" t="str"/>
        </row>
        <row r="847">
          <cell r="AA847" t="str"/>
          <cell r="AB847" t="str"/>
          <cell r="AC847" t="str"/>
          <cell r="AD847" t="str"/>
          <cell r="AE847" t="str"/>
          <cell r="AF847" t="str"/>
        </row>
        <row r="848">
          <cell r="B848" t="str"/>
          <cell r="C848" t="str"/>
          <cell r="D848" t="str"/>
          <cell r="E848" t="str"/>
          <cell r="F848" t="str"/>
          <cell r="G848" t="str"/>
          <cell r="H848" t="str"/>
          <cell r="I848" t="str"/>
          <cell r="J848" t="str"/>
          <cell r="K848" t="str"/>
          <cell r="L848" t="str"/>
          <cell r="M848" t="str"/>
          <cell r="N848" t="str"/>
          <cell r="O848" t="str"/>
          <cell r="P848" t="str"/>
          <cell r="Q848" t="str"/>
          <cell r="R848" t="str"/>
          <cell r="S848" t="str"/>
          <cell r="T848" t="str"/>
          <cell r="U848" t="str"/>
          <cell r="V848" t="str"/>
          <cell r="W848" t="str"/>
          <cell r="X848" t="str"/>
          <cell r="Y848" t="str"/>
        </row>
        <row r="848">
          <cell r="AA848" t="str"/>
          <cell r="AB848" t="str"/>
          <cell r="AC848" t="str"/>
          <cell r="AD848" t="str"/>
          <cell r="AE848" t="str"/>
          <cell r="AF848" t="str"/>
        </row>
        <row r="849">
          <cell r="B849" t="str"/>
          <cell r="C849" t="str"/>
          <cell r="D849" t="str"/>
          <cell r="E849" t="str"/>
          <cell r="F849" t="str"/>
          <cell r="G849" t="str"/>
          <cell r="H849" t="str"/>
          <cell r="I849" t="str"/>
          <cell r="J849" t="str"/>
          <cell r="K849" t="str"/>
          <cell r="L849" t="str"/>
          <cell r="M849" t="str"/>
          <cell r="N849" t="str"/>
          <cell r="O849" t="str"/>
          <cell r="P849" t="str"/>
          <cell r="Q849" t="str"/>
          <cell r="R849" t="str"/>
          <cell r="S849" t="str"/>
          <cell r="T849" t="str"/>
          <cell r="U849" t="str"/>
          <cell r="V849" t="str"/>
          <cell r="W849" t="str"/>
          <cell r="X849" t="str"/>
          <cell r="Y849" t="str"/>
        </row>
        <row r="849">
          <cell r="AA849" t="str"/>
          <cell r="AB849" t="str"/>
          <cell r="AC849" t="str"/>
          <cell r="AD849" t="str"/>
          <cell r="AE849" t="str"/>
          <cell r="AF849" t="str"/>
        </row>
        <row r="850">
          <cell r="B850" t="str"/>
          <cell r="C850" t="str"/>
          <cell r="D850" t="str"/>
          <cell r="E850" t="str"/>
          <cell r="F850" t="str"/>
          <cell r="G850" t="str"/>
          <cell r="H850" t="str"/>
          <cell r="I850" t="str"/>
          <cell r="J850" t="str"/>
          <cell r="K850" t="str"/>
          <cell r="L850" t="str"/>
          <cell r="M850" t="str"/>
          <cell r="N850" t="str"/>
          <cell r="O850" t="str"/>
          <cell r="P850" t="str"/>
          <cell r="Q850" t="str"/>
          <cell r="R850" t="str"/>
          <cell r="S850" t="str"/>
          <cell r="T850" t="str"/>
          <cell r="U850" t="str"/>
          <cell r="V850" t="str"/>
          <cell r="W850" t="str"/>
          <cell r="X850" t="str"/>
          <cell r="Y850" t="str"/>
        </row>
        <row r="850">
          <cell r="AA850" t="str"/>
          <cell r="AB850" t="str"/>
          <cell r="AC850" t="str"/>
          <cell r="AD850" t="str"/>
          <cell r="AE850" t="str"/>
          <cell r="AF850" t="str"/>
        </row>
        <row r="851">
          <cell r="B851" t="str"/>
          <cell r="C851" t="str"/>
          <cell r="D851" t="str"/>
          <cell r="E851" t="str"/>
          <cell r="F851" t="str"/>
          <cell r="G851" t="str"/>
          <cell r="H851" t="str"/>
          <cell r="I851" t="str"/>
          <cell r="J851" t="str"/>
          <cell r="K851" t="str"/>
          <cell r="L851" t="str"/>
          <cell r="M851" t="str"/>
          <cell r="N851" t="str"/>
          <cell r="O851" t="str"/>
          <cell r="P851" t="str"/>
          <cell r="Q851" t="str"/>
          <cell r="R851" t="str"/>
          <cell r="S851" t="str"/>
          <cell r="T851" t="str"/>
          <cell r="U851" t="str"/>
          <cell r="V851" t="str"/>
          <cell r="W851" t="str"/>
          <cell r="X851" t="str"/>
          <cell r="Y851" t="str"/>
        </row>
        <row r="851">
          <cell r="AA851" t="str"/>
          <cell r="AB851" t="str"/>
          <cell r="AC851" t="str"/>
          <cell r="AD851" t="str"/>
          <cell r="AE851" t="str"/>
          <cell r="AF851" t="str"/>
        </row>
        <row r="852">
          <cell r="B852" t="str"/>
          <cell r="C852" t="str"/>
          <cell r="D852" t="str"/>
          <cell r="E852" t="str"/>
          <cell r="F852" t="str"/>
          <cell r="G852" t="str"/>
          <cell r="H852" t="str"/>
          <cell r="I852" t="str"/>
          <cell r="J852" t="str"/>
          <cell r="K852" t="str"/>
          <cell r="L852" t="str"/>
          <cell r="M852" t="str"/>
          <cell r="N852" t="str"/>
          <cell r="O852" t="str"/>
          <cell r="P852" t="str"/>
          <cell r="Q852" t="str"/>
          <cell r="R852" t="str"/>
          <cell r="S852" t="str"/>
          <cell r="T852" t="str"/>
          <cell r="U852" t="str"/>
          <cell r="V852" t="str"/>
          <cell r="W852" t="str"/>
          <cell r="X852" t="str"/>
          <cell r="Y852" t="str"/>
        </row>
        <row r="852">
          <cell r="AA852" t="str"/>
          <cell r="AB852" t="str"/>
          <cell r="AC852" t="str"/>
          <cell r="AD852" t="str"/>
          <cell r="AE852" t="str"/>
          <cell r="AF852" t="str"/>
        </row>
        <row r="853">
          <cell r="B853" t="str"/>
          <cell r="C853" t="str"/>
          <cell r="D853" t="str"/>
          <cell r="E853" t="str"/>
          <cell r="F853" t="str"/>
          <cell r="G853" t="str"/>
          <cell r="H853" t="str"/>
          <cell r="I853" t="str"/>
          <cell r="J853" t="str"/>
          <cell r="K853" t="str"/>
          <cell r="L853" t="str"/>
          <cell r="M853" t="str"/>
          <cell r="N853" t="str"/>
          <cell r="O853" t="str"/>
          <cell r="P853" t="str"/>
          <cell r="Q853" t="str"/>
          <cell r="R853" t="str"/>
          <cell r="S853" t="str"/>
          <cell r="T853" t="str"/>
          <cell r="U853" t="str"/>
          <cell r="V853" t="str"/>
          <cell r="W853" t="str"/>
          <cell r="X853" t="str"/>
          <cell r="Y853" t="str"/>
        </row>
        <row r="853">
          <cell r="AA853" t="str"/>
          <cell r="AB853" t="str"/>
          <cell r="AC853" t="str"/>
          <cell r="AD853" t="str"/>
          <cell r="AE853" t="str"/>
          <cell r="AF853" t="str"/>
        </row>
        <row r="854">
          <cell r="B854" t="str"/>
          <cell r="C854" t="str"/>
          <cell r="D854" t="str"/>
          <cell r="E854" t="str"/>
          <cell r="F854" t="str"/>
          <cell r="G854" t="str"/>
          <cell r="H854" t="str"/>
          <cell r="I854" t="str"/>
          <cell r="J854" t="str"/>
          <cell r="K854" t="str"/>
          <cell r="L854" t="str"/>
          <cell r="M854" t="str"/>
          <cell r="N854" t="str"/>
          <cell r="O854" t="str"/>
          <cell r="P854" t="str"/>
          <cell r="Q854" t="str"/>
          <cell r="R854" t="str"/>
          <cell r="S854" t="str"/>
          <cell r="T854" t="str"/>
          <cell r="U854" t="str"/>
          <cell r="V854" t="str"/>
          <cell r="W854" t="str"/>
          <cell r="X854" t="str"/>
          <cell r="Y854" t="str"/>
        </row>
        <row r="854">
          <cell r="AA854" t="str"/>
          <cell r="AB854" t="str"/>
          <cell r="AC854" t="str"/>
          <cell r="AD854" t="str"/>
          <cell r="AE854" t="str"/>
          <cell r="AF854" t="str"/>
        </row>
        <row r="855">
          <cell r="B855" t="str"/>
          <cell r="C855" t="str"/>
          <cell r="D855" t="str"/>
          <cell r="E855" t="str"/>
          <cell r="F855" t="str"/>
          <cell r="G855" t="str"/>
          <cell r="H855" t="str"/>
          <cell r="I855" t="str"/>
          <cell r="J855" t="str"/>
          <cell r="K855" t="str"/>
          <cell r="L855" t="str"/>
          <cell r="M855" t="str"/>
          <cell r="N855" t="str"/>
          <cell r="O855" t="str"/>
          <cell r="P855" t="str"/>
          <cell r="Q855" t="str"/>
          <cell r="R855" t="str"/>
          <cell r="S855" t="str"/>
          <cell r="T855" t="str"/>
          <cell r="U855" t="str"/>
          <cell r="V855" t="str"/>
          <cell r="W855" t="str"/>
          <cell r="X855" t="str"/>
          <cell r="Y855" t="str"/>
        </row>
        <row r="855">
          <cell r="AA855" t="str"/>
          <cell r="AB855" t="str"/>
          <cell r="AC855" t="str"/>
          <cell r="AD855" t="str"/>
          <cell r="AE855" t="str"/>
          <cell r="AF855" t="str"/>
        </row>
        <row r="856">
          <cell r="B856" t="str"/>
          <cell r="C856" t="str"/>
          <cell r="D856" t="str"/>
          <cell r="E856" t="str"/>
          <cell r="F856" t="str"/>
          <cell r="G856" t="str"/>
          <cell r="H856" t="str"/>
          <cell r="I856" t="str"/>
          <cell r="J856" t="str"/>
          <cell r="K856" t="str"/>
          <cell r="L856" t="str"/>
          <cell r="M856" t="str"/>
          <cell r="N856" t="str"/>
          <cell r="O856" t="str"/>
          <cell r="P856" t="str"/>
          <cell r="Q856" t="str"/>
          <cell r="R856" t="str"/>
          <cell r="S856" t="str"/>
          <cell r="T856" t="str"/>
          <cell r="U856" t="str"/>
          <cell r="V856" t="str"/>
          <cell r="W856" t="str"/>
          <cell r="X856" t="str"/>
          <cell r="Y856" t="str"/>
        </row>
        <row r="856">
          <cell r="AA856" t="str"/>
          <cell r="AB856" t="str"/>
          <cell r="AC856" t="str"/>
          <cell r="AD856" t="str"/>
          <cell r="AE856" t="str"/>
          <cell r="AF856" t="str"/>
        </row>
        <row r="857">
          <cell r="B857" t="str"/>
          <cell r="C857" t="str"/>
          <cell r="D857" t="str"/>
          <cell r="E857" t="str"/>
          <cell r="F857" t="str"/>
          <cell r="G857" t="str"/>
          <cell r="H857" t="str"/>
          <cell r="I857" t="str"/>
          <cell r="J857" t="str"/>
          <cell r="K857" t="str"/>
          <cell r="L857" t="str"/>
          <cell r="M857" t="str"/>
          <cell r="N857" t="str"/>
          <cell r="O857" t="str"/>
          <cell r="P857" t="str"/>
          <cell r="Q857" t="str"/>
          <cell r="R857" t="str"/>
          <cell r="S857" t="str"/>
          <cell r="T857" t="str"/>
          <cell r="U857" t="str"/>
          <cell r="V857" t="str"/>
          <cell r="W857" t="str"/>
          <cell r="X857" t="str"/>
          <cell r="Y857" t="str"/>
        </row>
        <row r="857">
          <cell r="AA857" t="str"/>
          <cell r="AB857" t="str"/>
          <cell r="AC857" t="str"/>
          <cell r="AD857" t="str"/>
          <cell r="AE857" t="str"/>
          <cell r="AF857" t="str"/>
        </row>
        <row r="858">
          <cell r="B858" t="str"/>
          <cell r="C858" t="str"/>
          <cell r="D858" t="str"/>
          <cell r="E858" t="str"/>
          <cell r="F858" t="str"/>
          <cell r="G858" t="str"/>
          <cell r="H858" t="str"/>
          <cell r="I858" t="str"/>
          <cell r="J858" t="str"/>
          <cell r="K858" t="str"/>
          <cell r="L858" t="str"/>
          <cell r="M858" t="str"/>
          <cell r="N858" t="str"/>
          <cell r="O858" t="str"/>
          <cell r="P858" t="str"/>
          <cell r="Q858" t="str"/>
          <cell r="R858" t="str"/>
          <cell r="S858" t="str"/>
          <cell r="T858" t="str"/>
          <cell r="U858" t="str"/>
          <cell r="V858" t="str"/>
          <cell r="W858" t="str"/>
          <cell r="X858" t="str"/>
          <cell r="Y858" t="str"/>
        </row>
        <row r="858">
          <cell r="AA858" t="str"/>
          <cell r="AB858" t="str"/>
          <cell r="AC858" t="str"/>
          <cell r="AD858" t="str"/>
          <cell r="AE858" t="str"/>
          <cell r="AF858" t="str"/>
        </row>
        <row r="859">
          <cell r="B859" t="str"/>
          <cell r="C859" t="str"/>
          <cell r="D859" t="str"/>
          <cell r="E859" t="str"/>
          <cell r="F859" t="str"/>
          <cell r="G859" t="str"/>
          <cell r="H859" t="str"/>
          <cell r="I859" t="str"/>
          <cell r="J859" t="str"/>
          <cell r="K859" t="str"/>
          <cell r="L859" t="str"/>
          <cell r="M859" t="str"/>
          <cell r="N859" t="str"/>
          <cell r="O859" t="str"/>
          <cell r="P859" t="str"/>
          <cell r="Q859" t="str"/>
          <cell r="R859" t="str"/>
          <cell r="S859" t="str"/>
          <cell r="T859" t="str"/>
          <cell r="U859" t="str"/>
          <cell r="V859" t="str"/>
          <cell r="W859" t="str"/>
          <cell r="X859" t="str"/>
          <cell r="Y859" t="str"/>
        </row>
        <row r="859">
          <cell r="AA859" t="str"/>
          <cell r="AB859" t="str"/>
          <cell r="AC859" t="str"/>
          <cell r="AD859" t="str"/>
          <cell r="AE859" t="str"/>
          <cell r="AF859" t="str"/>
        </row>
        <row r="860">
          <cell r="B860" t="str"/>
          <cell r="C860" t="str"/>
          <cell r="D860" t="str"/>
          <cell r="E860" t="str"/>
          <cell r="F860" t="str"/>
          <cell r="G860" t="str"/>
          <cell r="H860" t="str"/>
          <cell r="I860" t="str"/>
          <cell r="J860" t="str"/>
          <cell r="K860" t="str"/>
          <cell r="L860" t="str"/>
          <cell r="M860" t="str"/>
          <cell r="N860" t="str"/>
          <cell r="O860" t="str"/>
          <cell r="P860" t="str"/>
          <cell r="Q860" t="str"/>
          <cell r="R860" t="str"/>
          <cell r="S860" t="str"/>
          <cell r="T860" t="str"/>
          <cell r="U860" t="str"/>
          <cell r="V860" t="str"/>
          <cell r="W860" t="str"/>
          <cell r="X860" t="str"/>
          <cell r="Y860" t="str"/>
        </row>
        <row r="860">
          <cell r="AA860" t="str"/>
          <cell r="AB860" t="str"/>
          <cell r="AC860" t="str"/>
          <cell r="AD860" t="str"/>
          <cell r="AE860" t="str"/>
          <cell r="AF860" t="str"/>
        </row>
        <row r="861">
          <cell r="B861" t="str"/>
          <cell r="C861" t="str"/>
          <cell r="D861" t="str"/>
          <cell r="E861" t="str"/>
          <cell r="F861" t="str"/>
          <cell r="G861" t="str"/>
          <cell r="H861" t="str"/>
          <cell r="I861" t="str"/>
          <cell r="J861" t="str"/>
          <cell r="K861" t="str"/>
          <cell r="L861" t="str"/>
          <cell r="M861" t="str"/>
          <cell r="N861" t="str"/>
          <cell r="O861" t="str"/>
          <cell r="P861" t="str"/>
          <cell r="Q861" t="str"/>
          <cell r="R861" t="str"/>
          <cell r="S861" t="str"/>
          <cell r="T861" t="str"/>
          <cell r="U861" t="str"/>
          <cell r="V861" t="str"/>
          <cell r="W861" t="str"/>
          <cell r="X861" t="str"/>
          <cell r="Y861" t="str"/>
        </row>
        <row r="861">
          <cell r="AA861" t="str"/>
          <cell r="AB861" t="str"/>
          <cell r="AC861" t="str"/>
          <cell r="AD861" t="str"/>
          <cell r="AE861" t="str"/>
          <cell r="AF861" t="str"/>
        </row>
        <row r="862">
          <cell r="B862" t="str"/>
          <cell r="C862" t="str"/>
          <cell r="D862" t="str"/>
          <cell r="E862" t="str"/>
          <cell r="F862" t="str"/>
          <cell r="G862" t="str"/>
          <cell r="H862" t="str"/>
          <cell r="I862" t="str"/>
          <cell r="J862" t="str"/>
          <cell r="K862" t="str"/>
          <cell r="L862" t="str"/>
          <cell r="M862" t="str"/>
          <cell r="N862" t="str"/>
          <cell r="O862" t="str"/>
          <cell r="P862" t="str"/>
          <cell r="Q862" t="str"/>
          <cell r="R862" t="str"/>
          <cell r="S862" t="str"/>
          <cell r="T862" t="str"/>
          <cell r="U862" t="str"/>
          <cell r="V862" t="str"/>
          <cell r="W862" t="str"/>
          <cell r="X862" t="str"/>
          <cell r="Y862" t="str"/>
        </row>
        <row r="862">
          <cell r="AA862" t="str"/>
          <cell r="AB862" t="str"/>
          <cell r="AC862" t="str"/>
          <cell r="AD862" t="str"/>
          <cell r="AE862" t="str"/>
          <cell r="AF862" t="str"/>
        </row>
        <row r="863">
          <cell r="B863" t="str"/>
          <cell r="C863" t="str"/>
          <cell r="D863" t="str"/>
          <cell r="E863" t="str"/>
          <cell r="F863" t="str"/>
          <cell r="G863" t="str"/>
          <cell r="H863" t="str"/>
          <cell r="I863" t="str"/>
          <cell r="J863" t="str"/>
          <cell r="K863" t="str"/>
          <cell r="L863" t="str"/>
          <cell r="M863" t="str"/>
          <cell r="N863" t="str"/>
          <cell r="O863" t="str"/>
          <cell r="P863" t="str"/>
          <cell r="Q863" t="str"/>
          <cell r="R863" t="str"/>
          <cell r="S863" t="str"/>
          <cell r="T863" t="str"/>
          <cell r="U863" t="str"/>
          <cell r="V863" t="str"/>
          <cell r="W863" t="str"/>
          <cell r="X863" t="str"/>
          <cell r="Y863" t="str"/>
        </row>
        <row r="863">
          <cell r="AA863" t="str"/>
          <cell r="AB863" t="str"/>
          <cell r="AC863" t="str"/>
          <cell r="AD863" t="str"/>
          <cell r="AE863" t="str"/>
          <cell r="AF863" t="str"/>
        </row>
        <row r="864">
          <cell r="B864" t="str"/>
          <cell r="C864" t="str"/>
          <cell r="D864" t="str"/>
          <cell r="E864" t="str"/>
          <cell r="F864" t="str"/>
          <cell r="G864" t="str"/>
          <cell r="H864" t="str"/>
          <cell r="I864" t="str"/>
          <cell r="J864" t="str"/>
          <cell r="K864" t="str"/>
          <cell r="L864" t="str"/>
          <cell r="M864" t="str"/>
          <cell r="N864" t="str"/>
          <cell r="O864" t="str"/>
          <cell r="P864" t="str"/>
          <cell r="Q864" t="str"/>
          <cell r="R864" t="str"/>
          <cell r="S864" t="str"/>
          <cell r="T864" t="str"/>
          <cell r="U864" t="str"/>
          <cell r="V864" t="str"/>
          <cell r="W864" t="str"/>
          <cell r="X864" t="str"/>
          <cell r="Y864" t="str"/>
        </row>
        <row r="864">
          <cell r="AA864" t="str"/>
          <cell r="AB864" t="str"/>
          <cell r="AC864" t="str"/>
          <cell r="AD864" t="str"/>
          <cell r="AE864" t="str"/>
          <cell r="AF864" t="str"/>
        </row>
        <row r="865">
          <cell r="B865" t="str"/>
          <cell r="C865" t="str"/>
          <cell r="D865" t="str"/>
          <cell r="E865" t="str"/>
          <cell r="F865" t="str"/>
          <cell r="G865" t="str"/>
          <cell r="H865" t="str"/>
          <cell r="I865" t="str"/>
          <cell r="J865" t="str"/>
          <cell r="K865" t="str"/>
          <cell r="L865" t="str"/>
          <cell r="M865" t="str"/>
          <cell r="N865" t="str"/>
          <cell r="O865" t="str"/>
          <cell r="P865" t="str"/>
          <cell r="Q865" t="str"/>
          <cell r="R865" t="str"/>
          <cell r="S865" t="str"/>
          <cell r="T865" t="str"/>
          <cell r="U865" t="str"/>
          <cell r="V865" t="str"/>
          <cell r="W865" t="str"/>
          <cell r="X865" t="str"/>
          <cell r="Y865" t="str"/>
        </row>
        <row r="865">
          <cell r="AA865" t="str"/>
          <cell r="AB865" t="str"/>
          <cell r="AC865" t="str"/>
          <cell r="AD865" t="str"/>
          <cell r="AE865" t="str"/>
          <cell r="AF865" t="str"/>
        </row>
        <row r="866">
          <cell r="B866" t="str"/>
          <cell r="C866" t="str"/>
          <cell r="D866" t="str"/>
          <cell r="E866" t="str"/>
          <cell r="F866" t="str"/>
          <cell r="G866" t="str"/>
          <cell r="H866" t="str"/>
          <cell r="I866" t="str"/>
          <cell r="J866" t="str"/>
          <cell r="K866" t="str"/>
          <cell r="L866" t="str"/>
          <cell r="M866" t="str"/>
          <cell r="N866" t="str"/>
          <cell r="O866" t="str"/>
          <cell r="P866" t="str"/>
          <cell r="Q866" t="str"/>
          <cell r="R866" t="str"/>
          <cell r="S866" t="str"/>
          <cell r="T866" t="str"/>
          <cell r="U866" t="str"/>
          <cell r="V866" t="str"/>
          <cell r="W866" t="str"/>
          <cell r="X866" t="str"/>
          <cell r="Y866" t="str"/>
        </row>
        <row r="866">
          <cell r="AA866" t="str"/>
          <cell r="AB866" t="str"/>
          <cell r="AC866" t="str"/>
          <cell r="AD866" t="str"/>
          <cell r="AE866" t="str"/>
          <cell r="AF866" t="str"/>
        </row>
        <row r="867">
          <cell r="B867" t="str"/>
          <cell r="C867" t="str"/>
          <cell r="D867" t="str"/>
          <cell r="E867" t="str"/>
          <cell r="F867" t="str"/>
          <cell r="G867" t="str"/>
          <cell r="H867" t="str"/>
          <cell r="I867" t="str"/>
          <cell r="J867" t="str"/>
          <cell r="K867" t="str"/>
          <cell r="L867" t="str"/>
          <cell r="M867" t="str"/>
          <cell r="N867" t="str"/>
          <cell r="O867" t="str"/>
          <cell r="P867" t="str"/>
          <cell r="Q867" t="str"/>
          <cell r="R867" t="str"/>
          <cell r="S867" t="str"/>
          <cell r="T867" t="str"/>
          <cell r="U867" t="str"/>
          <cell r="V867" t="str"/>
          <cell r="W867" t="str"/>
          <cell r="X867" t="str"/>
          <cell r="Y867" t="str"/>
        </row>
        <row r="867">
          <cell r="AA867" t="str"/>
          <cell r="AB867" t="str"/>
          <cell r="AC867" t="str"/>
          <cell r="AD867" t="str"/>
          <cell r="AE867" t="str"/>
          <cell r="AF867" t="str"/>
        </row>
        <row r="868">
          <cell r="B868" t="str"/>
          <cell r="C868" t="str"/>
          <cell r="D868" t="str"/>
          <cell r="E868" t="str"/>
          <cell r="F868" t="str"/>
          <cell r="G868" t="str"/>
          <cell r="H868" t="str"/>
          <cell r="I868" t="str"/>
          <cell r="J868" t="str"/>
          <cell r="K868" t="str"/>
          <cell r="L868" t="str"/>
          <cell r="M868" t="str"/>
          <cell r="N868" t="str"/>
          <cell r="O868" t="str"/>
          <cell r="P868" t="str"/>
          <cell r="Q868" t="str"/>
          <cell r="R868" t="str"/>
          <cell r="S868" t="str"/>
          <cell r="T868" t="str"/>
          <cell r="U868" t="str"/>
          <cell r="V868" t="str"/>
          <cell r="W868" t="str"/>
          <cell r="X868" t="str"/>
          <cell r="Y868" t="str"/>
        </row>
        <row r="868">
          <cell r="AA868" t="str"/>
          <cell r="AB868" t="str"/>
          <cell r="AC868" t="str"/>
          <cell r="AD868" t="str"/>
          <cell r="AE868" t="str"/>
          <cell r="AF868" t="str"/>
        </row>
        <row r="869">
          <cell r="B869" t="str"/>
          <cell r="C869" t="str"/>
          <cell r="D869" t="str"/>
          <cell r="E869" t="str"/>
          <cell r="F869" t="str"/>
          <cell r="G869" t="str"/>
          <cell r="H869" t="str"/>
          <cell r="I869" t="str"/>
          <cell r="J869" t="str"/>
          <cell r="K869" t="str"/>
          <cell r="L869" t="str"/>
          <cell r="M869" t="str"/>
          <cell r="N869" t="str"/>
          <cell r="O869" t="str"/>
          <cell r="P869" t="str"/>
          <cell r="Q869" t="str"/>
          <cell r="R869" t="str"/>
          <cell r="S869" t="str"/>
          <cell r="T869" t="str"/>
          <cell r="U869" t="str"/>
          <cell r="V869" t="str"/>
          <cell r="W869" t="str"/>
          <cell r="X869" t="str"/>
          <cell r="Y869" t="str"/>
        </row>
        <row r="869">
          <cell r="AA869" t="str"/>
          <cell r="AB869" t="str"/>
          <cell r="AC869" t="str"/>
          <cell r="AD869" t="str"/>
          <cell r="AE869" t="str"/>
          <cell r="AF869" t="str"/>
        </row>
        <row r="870">
          <cell r="B870" t="str"/>
          <cell r="C870" t="str"/>
          <cell r="D870" t="str"/>
          <cell r="E870" t="str"/>
          <cell r="F870" t="str"/>
          <cell r="G870" t="str"/>
          <cell r="H870" t="str"/>
          <cell r="I870" t="str"/>
          <cell r="J870" t="str"/>
          <cell r="K870" t="str"/>
          <cell r="L870" t="str"/>
          <cell r="M870" t="str"/>
          <cell r="N870" t="str"/>
          <cell r="O870" t="str"/>
          <cell r="P870" t="str"/>
          <cell r="Q870" t="str"/>
          <cell r="R870" t="str"/>
          <cell r="S870" t="str"/>
          <cell r="T870" t="str"/>
          <cell r="U870" t="str"/>
          <cell r="V870" t="str"/>
          <cell r="W870" t="str"/>
          <cell r="X870" t="str"/>
          <cell r="Y870" t="str"/>
        </row>
        <row r="870">
          <cell r="AA870" t="str"/>
          <cell r="AB870" t="str"/>
          <cell r="AC870" t="str"/>
          <cell r="AD870" t="str"/>
          <cell r="AE870" t="str"/>
          <cell r="AF870" t="str"/>
        </row>
        <row r="871">
          <cell r="B871" t="str"/>
          <cell r="C871" t="str"/>
          <cell r="D871" t="str"/>
          <cell r="E871" t="str"/>
          <cell r="F871" t="str"/>
          <cell r="G871" t="str"/>
          <cell r="H871" t="str"/>
          <cell r="I871" t="str"/>
          <cell r="J871" t="str"/>
          <cell r="K871" t="str"/>
          <cell r="L871" t="str"/>
          <cell r="M871" t="str"/>
          <cell r="N871" t="str"/>
          <cell r="O871" t="str"/>
          <cell r="P871" t="str"/>
          <cell r="Q871" t="str"/>
          <cell r="R871" t="str"/>
          <cell r="S871" t="str"/>
          <cell r="T871" t="str"/>
          <cell r="U871" t="str"/>
          <cell r="V871" t="str"/>
          <cell r="W871" t="str"/>
          <cell r="X871" t="str"/>
          <cell r="Y871" t="str"/>
        </row>
        <row r="871">
          <cell r="AA871" t="str"/>
          <cell r="AB871" t="str"/>
          <cell r="AC871" t="str"/>
          <cell r="AD871" t="str"/>
          <cell r="AE871" t="str"/>
          <cell r="AF871" t="str"/>
        </row>
        <row r="872">
          <cell r="B872" t="str"/>
          <cell r="C872" t="str"/>
          <cell r="D872" t="str"/>
          <cell r="E872" t="str"/>
          <cell r="F872" t="str"/>
          <cell r="G872" t="str"/>
          <cell r="H872" t="str"/>
          <cell r="I872" t="str"/>
          <cell r="J872" t="str"/>
          <cell r="K872" t="str"/>
          <cell r="L872" t="str"/>
          <cell r="M872" t="str"/>
          <cell r="N872" t="str"/>
          <cell r="O872" t="str"/>
          <cell r="P872" t="str"/>
          <cell r="Q872" t="str"/>
          <cell r="R872" t="str"/>
          <cell r="S872" t="str"/>
          <cell r="T872" t="str"/>
          <cell r="U872" t="str"/>
          <cell r="V872" t="str"/>
          <cell r="W872" t="str"/>
          <cell r="X872" t="str"/>
          <cell r="Y872" t="str"/>
        </row>
        <row r="872">
          <cell r="AA872" t="str"/>
          <cell r="AB872" t="str"/>
          <cell r="AC872" t="str"/>
          <cell r="AD872" t="str"/>
          <cell r="AE872" t="str"/>
          <cell r="AF872" t="str"/>
        </row>
        <row r="873">
          <cell r="B873" t="str"/>
          <cell r="C873" t="str"/>
          <cell r="D873" t="str"/>
          <cell r="E873" t="str"/>
          <cell r="F873" t="str"/>
          <cell r="G873" t="str"/>
          <cell r="H873" t="str"/>
          <cell r="I873" t="str"/>
          <cell r="J873" t="str"/>
          <cell r="K873" t="str"/>
          <cell r="L873" t="str"/>
          <cell r="M873" t="str"/>
          <cell r="N873" t="str"/>
          <cell r="O873" t="str"/>
          <cell r="P873" t="str"/>
          <cell r="Q873" t="str"/>
          <cell r="R873" t="str"/>
          <cell r="S873" t="str"/>
          <cell r="T873" t="str"/>
          <cell r="U873" t="str"/>
          <cell r="V873" t="str"/>
          <cell r="W873" t="str"/>
          <cell r="X873" t="str"/>
          <cell r="Y873" t="str"/>
        </row>
        <row r="873">
          <cell r="AA873" t="str"/>
          <cell r="AB873" t="str"/>
          <cell r="AC873" t="str"/>
          <cell r="AD873" t="str"/>
          <cell r="AE873" t="str"/>
          <cell r="AF873" t="str"/>
        </row>
        <row r="874">
          <cell r="B874" t="str"/>
          <cell r="C874" t="str"/>
          <cell r="D874" t="str"/>
          <cell r="E874" t="str"/>
          <cell r="F874" t="str"/>
          <cell r="G874" t="str"/>
          <cell r="H874" t="str"/>
          <cell r="I874" t="str"/>
          <cell r="J874" t="str"/>
          <cell r="K874" t="str"/>
          <cell r="L874" t="str"/>
          <cell r="M874" t="str"/>
          <cell r="N874" t="str"/>
          <cell r="O874" t="str"/>
          <cell r="P874" t="str"/>
          <cell r="Q874" t="str"/>
          <cell r="R874" t="str"/>
          <cell r="S874" t="str"/>
          <cell r="T874" t="str"/>
          <cell r="U874" t="str"/>
          <cell r="V874" t="str"/>
          <cell r="W874" t="str"/>
          <cell r="X874" t="str"/>
          <cell r="Y874" t="str"/>
        </row>
        <row r="874">
          <cell r="AA874" t="str"/>
          <cell r="AB874" t="str"/>
          <cell r="AC874" t="str"/>
          <cell r="AD874" t="str"/>
          <cell r="AE874" t="str"/>
          <cell r="AF874" t="str"/>
        </row>
        <row r="875">
          <cell r="B875" t="str"/>
          <cell r="C875" t="str"/>
          <cell r="D875" t="str"/>
          <cell r="E875" t="str"/>
          <cell r="F875" t="str"/>
          <cell r="G875" t="str"/>
          <cell r="H875" t="str"/>
          <cell r="I875" t="str"/>
          <cell r="J875" t="str"/>
          <cell r="K875" t="str"/>
          <cell r="L875" t="str"/>
          <cell r="M875" t="str"/>
          <cell r="N875" t="str"/>
          <cell r="O875" t="str"/>
          <cell r="P875" t="str"/>
          <cell r="Q875" t="str"/>
          <cell r="R875" t="str"/>
          <cell r="S875" t="str"/>
          <cell r="T875" t="str"/>
          <cell r="U875" t="str"/>
          <cell r="V875" t="str"/>
          <cell r="W875" t="str"/>
          <cell r="X875" t="str"/>
          <cell r="Y875" t="str"/>
        </row>
        <row r="875">
          <cell r="AA875" t="str"/>
          <cell r="AB875" t="str"/>
          <cell r="AC875" t="str"/>
          <cell r="AD875" t="str"/>
          <cell r="AE875" t="str"/>
          <cell r="AF875" t="str"/>
        </row>
        <row r="876">
          <cell r="B876" t="str"/>
          <cell r="C876" t="str"/>
          <cell r="D876" t="str"/>
          <cell r="E876" t="str"/>
          <cell r="F876" t="str"/>
          <cell r="G876" t="str"/>
          <cell r="H876" t="str"/>
          <cell r="I876" t="str"/>
          <cell r="J876" t="str"/>
          <cell r="K876" t="str"/>
          <cell r="L876" t="str"/>
          <cell r="M876" t="str"/>
          <cell r="N876" t="str"/>
          <cell r="O876" t="str"/>
          <cell r="P876" t="str"/>
          <cell r="Q876" t="str"/>
          <cell r="R876" t="str"/>
          <cell r="S876" t="str"/>
          <cell r="T876" t="str"/>
          <cell r="U876" t="str"/>
          <cell r="V876" t="str"/>
          <cell r="W876" t="str"/>
          <cell r="X876" t="str"/>
          <cell r="Y876" t="str"/>
        </row>
        <row r="876">
          <cell r="AA876" t="str"/>
          <cell r="AB876" t="str"/>
          <cell r="AC876" t="str"/>
          <cell r="AD876" t="str"/>
          <cell r="AE876" t="str"/>
          <cell r="AF876" t="str"/>
        </row>
        <row r="877">
          <cell r="B877" t="str"/>
          <cell r="C877" t="str"/>
          <cell r="D877" t="str"/>
          <cell r="E877" t="str"/>
          <cell r="F877" t="str"/>
          <cell r="G877" t="str"/>
          <cell r="H877" t="str"/>
          <cell r="I877" t="str"/>
          <cell r="J877" t="str"/>
          <cell r="K877" t="str"/>
          <cell r="L877" t="str"/>
          <cell r="M877" t="str"/>
          <cell r="N877" t="str"/>
          <cell r="O877" t="str"/>
          <cell r="P877" t="str"/>
          <cell r="Q877" t="str"/>
          <cell r="R877" t="str"/>
          <cell r="S877" t="str"/>
          <cell r="T877" t="str"/>
          <cell r="U877" t="str"/>
          <cell r="V877" t="str"/>
          <cell r="W877" t="str"/>
          <cell r="X877" t="str"/>
          <cell r="Y877" t="str"/>
        </row>
        <row r="877">
          <cell r="AA877" t="str"/>
          <cell r="AB877" t="str"/>
          <cell r="AC877" t="str"/>
          <cell r="AD877" t="str"/>
          <cell r="AE877" t="str"/>
          <cell r="AF877" t="str"/>
        </row>
        <row r="878">
          <cell r="B878" t="str"/>
          <cell r="C878" t="str"/>
          <cell r="D878" t="str"/>
          <cell r="E878" t="str"/>
          <cell r="F878" t="str"/>
          <cell r="G878" t="str"/>
          <cell r="H878" t="str"/>
          <cell r="I878" t="str"/>
          <cell r="J878" t="str"/>
          <cell r="K878" t="str"/>
          <cell r="L878" t="str"/>
          <cell r="M878" t="str"/>
          <cell r="N878" t="str"/>
          <cell r="O878" t="str"/>
          <cell r="P878" t="str"/>
          <cell r="Q878" t="str"/>
          <cell r="R878" t="str"/>
          <cell r="S878" t="str"/>
          <cell r="T878" t="str"/>
          <cell r="U878" t="str"/>
          <cell r="V878" t="str"/>
          <cell r="W878" t="str"/>
          <cell r="X878" t="str"/>
          <cell r="Y878" t="str"/>
        </row>
        <row r="878">
          <cell r="AA878" t="str"/>
          <cell r="AB878" t="str"/>
          <cell r="AC878" t="str"/>
          <cell r="AD878" t="str"/>
          <cell r="AE878" t="str"/>
          <cell r="AF878" t="str"/>
        </row>
        <row r="879">
          <cell r="B879" t="str"/>
          <cell r="C879" t="str"/>
          <cell r="D879" t="str"/>
          <cell r="E879" t="str"/>
          <cell r="F879" t="str"/>
          <cell r="G879" t="str"/>
          <cell r="H879" t="str"/>
          <cell r="I879" t="str"/>
          <cell r="J879" t="str"/>
          <cell r="K879" t="str"/>
          <cell r="L879" t="str"/>
          <cell r="M879" t="str"/>
          <cell r="N879" t="str"/>
          <cell r="O879" t="str"/>
          <cell r="P879" t="str"/>
          <cell r="Q879" t="str"/>
          <cell r="R879" t="str"/>
          <cell r="S879" t="str"/>
          <cell r="T879" t="str"/>
          <cell r="U879" t="str"/>
          <cell r="V879" t="str"/>
          <cell r="W879" t="str"/>
          <cell r="X879" t="str"/>
          <cell r="Y879" t="str"/>
        </row>
        <row r="879">
          <cell r="AA879" t="str"/>
          <cell r="AB879" t="str"/>
          <cell r="AC879" t="str"/>
          <cell r="AD879" t="str"/>
          <cell r="AE879" t="str"/>
          <cell r="AF879" t="str"/>
        </row>
        <row r="880">
          <cell r="B880" t="str"/>
          <cell r="C880" t="str"/>
          <cell r="D880" t="str"/>
          <cell r="E880" t="str"/>
          <cell r="F880" t="str"/>
          <cell r="G880" t="str"/>
          <cell r="H880" t="str"/>
          <cell r="I880" t="str"/>
          <cell r="J880" t="str"/>
          <cell r="K880" t="str"/>
          <cell r="L880" t="str"/>
          <cell r="M880" t="str"/>
          <cell r="N880" t="str"/>
          <cell r="O880" t="str"/>
          <cell r="P880" t="str"/>
          <cell r="Q880" t="str"/>
          <cell r="R880" t="str"/>
          <cell r="S880" t="str"/>
          <cell r="T880" t="str"/>
          <cell r="U880" t="str"/>
          <cell r="V880" t="str"/>
          <cell r="W880" t="str"/>
          <cell r="X880" t="str"/>
          <cell r="Y880" t="str"/>
        </row>
        <row r="880">
          <cell r="AA880" t="str"/>
          <cell r="AB880" t="str"/>
          <cell r="AC880" t="str"/>
          <cell r="AD880" t="str"/>
          <cell r="AE880" t="str"/>
          <cell r="AF880" t="str"/>
        </row>
        <row r="881">
          <cell r="B881" t="str"/>
          <cell r="C881" t="str"/>
          <cell r="D881" t="str"/>
          <cell r="E881" t="str"/>
          <cell r="F881" t="str"/>
          <cell r="G881" t="str"/>
          <cell r="H881" t="str"/>
          <cell r="I881" t="str"/>
          <cell r="J881" t="str"/>
          <cell r="K881" t="str"/>
          <cell r="L881" t="str"/>
          <cell r="M881" t="str"/>
          <cell r="N881" t="str"/>
          <cell r="O881" t="str"/>
          <cell r="P881" t="str"/>
          <cell r="Q881" t="str"/>
          <cell r="R881" t="str"/>
          <cell r="S881" t="str"/>
          <cell r="T881" t="str"/>
          <cell r="U881" t="str"/>
          <cell r="V881" t="str"/>
          <cell r="W881" t="str"/>
          <cell r="X881" t="str"/>
          <cell r="Y881" t="str"/>
        </row>
        <row r="881">
          <cell r="AA881" t="str"/>
          <cell r="AB881" t="str"/>
          <cell r="AC881" t="str"/>
          <cell r="AD881" t="str"/>
          <cell r="AE881" t="str"/>
          <cell r="AF881" t="str"/>
        </row>
        <row r="882">
          <cell r="B882" t="str"/>
          <cell r="C882" t="str"/>
          <cell r="D882" t="str"/>
          <cell r="E882" t="str"/>
          <cell r="F882" t="str"/>
          <cell r="G882" t="str"/>
          <cell r="H882" t="str"/>
          <cell r="I882" t="str"/>
          <cell r="J882" t="str"/>
          <cell r="K882" t="str"/>
          <cell r="L882" t="str"/>
          <cell r="M882" t="str"/>
          <cell r="N882" t="str"/>
          <cell r="O882" t="str"/>
          <cell r="P882" t="str"/>
          <cell r="Q882" t="str"/>
          <cell r="R882" t="str"/>
          <cell r="S882" t="str"/>
          <cell r="T882" t="str"/>
          <cell r="U882" t="str"/>
          <cell r="V882" t="str"/>
          <cell r="W882" t="str"/>
          <cell r="X882" t="str"/>
          <cell r="Y882" t="str"/>
        </row>
        <row r="882">
          <cell r="AA882" t="str"/>
          <cell r="AB882" t="str"/>
          <cell r="AC882" t="str"/>
          <cell r="AD882" t="str"/>
          <cell r="AE882" t="str"/>
          <cell r="AF882" t="str"/>
        </row>
        <row r="883">
          <cell r="B883" t="str"/>
          <cell r="C883" t="str"/>
          <cell r="D883" t="str"/>
          <cell r="E883" t="str"/>
          <cell r="F883" t="str"/>
          <cell r="G883" t="str"/>
          <cell r="H883" t="str"/>
          <cell r="I883" t="str"/>
          <cell r="J883" t="str"/>
          <cell r="K883" t="str"/>
          <cell r="L883" t="str"/>
          <cell r="M883" t="str"/>
          <cell r="N883" t="str"/>
          <cell r="O883" t="str"/>
          <cell r="P883" t="str"/>
          <cell r="Q883" t="str"/>
          <cell r="R883" t="str"/>
          <cell r="S883" t="str"/>
          <cell r="T883" t="str"/>
          <cell r="U883" t="str"/>
          <cell r="V883" t="str"/>
          <cell r="W883" t="str"/>
          <cell r="X883" t="str"/>
          <cell r="Y883" t="str"/>
        </row>
        <row r="883">
          <cell r="AA883" t="str"/>
          <cell r="AB883" t="str"/>
          <cell r="AC883" t="str"/>
          <cell r="AD883" t="str"/>
          <cell r="AE883" t="str"/>
          <cell r="AF883" t="str"/>
        </row>
        <row r="884">
          <cell r="B884" t="str"/>
          <cell r="C884" t="str"/>
          <cell r="D884" t="str"/>
          <cell r="E884" t="str"/>
          <cell r="F884" t="str"/>
          <cell r="G884" t="str"/>
          <cell r="H884" t="str"/>
          <cell r="I884" t="str"/>
          <cell r="J884" t="str"/>
          <cell r="K884" t="str"/>
          <cell r="L884" t="str"/>
          <cell r="M884" t="str"/>
          <cell r="N884" t="str"/>
          <cell r="O884" t="str"/>
          <cell r="P884" t="str"/>
          <cell r="Q884" t="str"/>
          <cell r="R884" t="str"/>
          <cell r="S884" t="str"/>
          <cell r="T884" t="str"/>
          <cell r="U884" t="str"/>
          <cell r="V884" t="str"/>
          <cell r="W884" t="str"/>
          <cell r="X884" t="str"/>
          <cell r="Y884" t="str"/>
        </row>
        <row r="884">
          <cell r="AA884" t="str"/>
          <cell r="AB884" t="str"/>
          <cell r="AC884" t="str"/>
          <cell r="AD884" t="str"/>
          <cell r="AE884" t="str"/>
          <cell r="AF884" t="str"/>
        </row>
        <row r="885">
          <cell r="B885" t="str"/>
          <cell r="C885" t="str"/>
          <cell r="D885" t="str"/>
          <cell r="E885" t="str"/>
          <cell r="F885" t="str"/>
          <cell r="G885" t="str"/>
          <cell r="H885" t="str"/>
          <cell r="I885" t="str"/>
          <cell r="J885" t="str"/>
          <cell r="K885" t="str"/>
          <cell r="L885" t="str"/>
          <cell r="M885" t="str"/>
          <cell r="N885" t="str"/>
          <cell r="O885" t="str"/>
          <cell r="P885" t="str"/>
          <cell r="Q885" t="str"/>
          <cell r="R885" t="str"/>
          <cell r="S885" t="str"/>
          <cell r="T885" t="str"/>
          <cell r="U885" t="str"/>
          <cell r="V885" t="str"/>
          <cell r="W885" t="str"/>
          <cell r="X885" t="str"/>
          <cell r="Y885" t="str"/>
        </row>
        <row r="885">
          <cell r="AA885" t="str"/>
          <cell r="AB885" t="str"/>
          <cell r="AC885" t="str"/>
          <cell r="AD885" t="str"/>
          <cell r="AE885" t="str"/>
          <cell r="AF885" t="str"/>
        </row>
        <row r="886">
          <cell r="B886" t="str"/>
          <cell r="C886" t="str"/>
          <cell r="D886" t="str"/>
          <cell r="E886" t="str"/>
          <cell r="F886" t="str"/>
          <cell r="G886" t="str"/>
          <cell r="H886" t="str"/>
          <cell r="I886" t="str"/>
          <cell r="J886" t="str"/>
          <cell r="K886" t="str"/>
          <cell r="L886" t="str"/>
          <cell r="M886" t="str"/>
          <cell r="N886" t="str"/>
          <cell r="O886" t="str"/>
          <cell r="P886" t="str"/>
          <cell r="Q886" t="str"/>
          <cell r="R886" t="str"/>
          <cell r="S886" t="str"/>
          <cell r="T886" t="str"/>
          <cell r="U886" t="str"/>
          <cell r="V886" t="str"/>
          <cell r="W886" t="str"/>
          <cell r="X886" t="str"/>
          <cell r="Y886" t="str"/>
        </row>
        <row r="886">
          <cell r="AA886" t="str"/>
          <cell r="AB886" t="str"/>
          <cell r="AC886" t="str"/>
          <cell r="AD886" t="str"/>
          <cell r="AE886" t="str"/>
          <cell r="AF886" t="str"/>
        </row>
        <row r="887">
          <cell r="B887" t="str"/>
          <cell r="C887" t="str"/>
          <cell r="D887" t="str"/>
          <cell r="E887" t="str"/>
          <cell r="F887" t="str"/>
          <cell r="G887" t="str"/>
          <cell r="H887" t="str"/>
          <cell r="I887" t="str"/>
          <cell r="J887" t="str"/>
          <cell r="K887" t="str"/>
          <cell r="L887" t="str"/>
          <cell r="M887" t="str"/>
          <cell r="N887" t="str"/>
          <cell r="O887" t="str"/>
          <cell r="P887" t="str"/>
          <cell r="Q887" t="str"/>
          <cell r="R887" t="str"/>
          <cell r="S887" t="str"/>
          <cell r="T887" t="str"/>
          <cell r="U887" t="str"/>
          <cell r="V887" t="str"/>
          <cell r="W887" t="str"/>
          <cell r="X887" t="str"/>
          <cell r="Y887" t="str"/>
        </row>
        <row r="887">
          <cell r="AA887" t="str"/>
          <cell r="AB887" t="str"/>
          <cell r="AC887" t="str"/>
          <cell r="AD887" t="str"/>
          <cell r="AE887" t="str"/>
          <cell r="AF887" t="str"/>
        </row>
        <row r="888">
          <cell r="B888" t="str"/>
          <cell r="C888" t="str"/>
          <cell r="D888" t="str"/>
          <cell r="E888" t="str"/>
          <cell r="F888" t="str"/>
          <cell r="G888" t="str"/>
          <cell r="H888" t="str"/>
          <cell r="I888" t="str"/>
          <cell r="J888" t="str"/>
          <cell r="K888" t="str"/>
          <cell r="L888" t="str"/>
          <cell r="M888" t="str"/>
          <cell r="N888" t="str"/>
          <cell r="O888" t="str"/>
          <cell r="P888" t="str"/>
          <cell r="Q888" t="str"/>
          <cell r="R888" t="str"/>
          <cell r="S888" t="str"/>
          <cell r="T888" t="str"/>
          <cell r="U888" t="str"/>
          <cell r="V888" t="str"/>
          <cell r="W888" t="str"/>
          <cell r="X888" t="str"/>
          <cell r="Y888" t="str"/>
        </row>
        <row r="888">
          <cell r="AA888" t="str"/>
          <cell r="AB888" t="str"/>
          <cell r="AC888" t="str"/>
          <cell r="AD888" t="str"/>
          <cell r="AE888" t="str"/>
          <cell r="AF888" t="str"/>
        </row>
        <row r="889">
          <cell r="B889" t="str"/>
          <cell r="C889" t="str"/>
          <cell r="D889" t="str"/>
          <cell r="E889" t="str"/>
          <cell r="F889" t="str"/>
          <cell r="G889" t="str"/>
          <cell r="H889" t="str"/>
          <cell r="I889" t="str"/>
          <cell r="J889" t="str"/>
          <cell r="K889" t="str"/>
          <cell r="L889" t="str"/>
          <cell r="M889" t="str"/>
          <cell r="N889" t="str"/>
          <cell r="O889" t="str"/>
          <cell r="P889" t="str"/>
          <cell r="Q889" t="str"/>
          <cell r="R889" t="str"/>
          <cell r="S889" t="str"/>
          <cell r="T889" t="str"/>
          <cell r="U889" t="str"/>
          <cell r="V889" t="str"/>
          <cell r="W889" t="str"/>
          <cell r="X889" t="str"/>
          <cell r="Y889" t="str"/>
        </row>
        <row r="889">
          <cell r="AA889" t="str"/>
          <cell r="AB889" t="str"/>
          <cell r="AC889" t="str"/>
          <cell r="AD889" t="str"/>
          <cell r="AE889" t="str"/>
          <cell r="AF889" t="str"/>
        </row>
        <row r="890">
          <cell r="B890" t="str"/>
          <cell r="C890" t="str"/>
          <cell r="D890" t="str"/>
          <cell r="E890" t="str"/>
          <cell r="F890" t="str"/>
          <cell r="G890" t="str"/>
          <cell r="H890" t="str"/>
          <cell r="I890" t="str"/>
          <cell r="J890" t="str"/>
          <cell r="K890" t="str"/>
          <cell r="L890" t="str"/>
          <cell r="M890" t="str"/>
          <cell r="N890" t="str"/>
          <cell r="O890" t="str"/>
          <cell r="P890" t="str"/>
          <cell r="Q890" t="str"/>
          <cell r="R890" t="str"/>
          <cell r="S890" t="str"/>
          <cell r="T890" t="str"/>
          <cell r="U890" t="str"/>
          <cell r="V890" t="str"/>
          <cell r="W890" t="str"/>
          <cell r="X890" t="str"/>
          <cell r="Y890" t="str"/>
        </row>
        <row r="890">
          <cell r="AA890" t="str"/>
          <cell r="AB890" t="str"/>
          <cell r="AC890" t="str"/>
          <cell r="AD890" t="str"/>
          <cell r="AE890" t="str"/>
          <cell r="AF890" t="str"/>
        </row>
        <row r="891">
          <cell r="B891" t="str"/>
          <cell r="C891" t="str"/>
          <cell r="D891" t="str"/>
          <cell r="E891" t="str"/>
          <cell r="F891" t="str"/>
          <cell r="G891" t="str"/>
          <cell r="H891" t="str"/>
          <cell r="I891" t="str"/>
          <cell r="J891" t="str"/>
          <cell r="K891" t="str"/>
          <cell r="L891" t="str"/>
          <cell r="M891" t="str"/>
          <cell r="N891" t="str"/>
          <cell r="O891" t="str"/>
          <cell r="P891" t="str"/>
          <cell r="Q891" t="str"/>
          <cell r="R891" t="str"/>
          <cell r="S891" t="str"/>
          <cell r="T891" t="str"/>
          <cell r="U891" t="str"/>
          <cell r="V891" t="str"/>
          <cell r="W891" t="str"/>
          <cell r="X891" t="str"/>
          <cell r="Y891" t="str"/>
        </row>
        <row r="891">
          <cell r="AA891" t="str"/>
          <cell r="AB891" t="str"/>
          <cell r="AC891" t="str"/>
          <cell r="AD891" t="str"/>
          <cell r="AE891" t="str"/>
          <cell r="AF891" t="str"/>
        </row>
        <row r="892">
          <cell r="B892" t="str"/>
          <cell r="C892" t="str"/>
          <cell r="D892" t="str"/>
          <cell r="E892" t="str"/>
          <cell r="F892" t="str"/>
          <cell r="G892" t="str"/>
          <cell r="H892" t="str"/>
          <cell r="I892" t="str"/>
          <cell r="J892" t="str"/>
          <cell r="K892" t="str"/>
          <cell r="L892" t="str"/>
          <cell r="M892" t="str"/>
          <cell r="N892" t="str"/>
          <cell r="O892" t="str"/>
          <cell r="P892" t="str"/>
          <cell r="Q892" t="str"/>
          <cell r="R892" t="str"/>
          <cell r="S892" t="str"/>
          <cell r="T892" t="str"/>
          <cell r="U892" t="str"/>
          <cell r="V892" t="str"/>
          <cell r="W892" t="str"/>
          <cell r="X892" t="str"/>
          <cell r="Y892" t="str"/>
        </row>
        <row r="892">
          <cell r="AA892" t="str"/>
          <cell r="AB892" t="str"/>
          <cell r="AC892" t="str"/>
          <cell r="AD892" t="str"/>
          <cell r="AE892" t="str"/>
          <cell r="AF892" t="str"/>
        </row>
        <row r="893">
          <cell r="B893" t="str"/>
          <cell r="C893" t="str"/>
          <cell r="D893" t="str"/>
          <cell r="E893" t="str"/>
          <cell r="F893" t="str"/>
          <cell r="G893" t="str"/>
          <cell r="H893" t="str"/>
          <cell r="I893" t="str"/>
          <cell r="J893" t="str"/>
          <cell r="K893" t="str"/>
          <cell r="L893" t="str"/>
          <cell r="M893" t="str"/>
          <cell r="N893" t="str"/>
          <cell r="O893" t="str"/>
          <cell r="P893" t="str"/>
          <cell r="Q893" t="str"/>
          <cell r="R893" t="str"/>
          <cell r="S893" t="str"/>
          <cell r="T893" t="str"/>
          <cell r="U893" t="str"/>
          <cell r="V893" t="str"/>
          <cell r="W893" t="str"/>
          <cell r="X893" t="str"/>
          <cell r="Y893" t="str"/>
        </row>
        <row r="893">
          <cell r="AA893" t="str"/>
          <cell r="AB893" t="str"/>
          <cell r="AC893" t="str"/>
          <cell r="AD893" t="str"/>
          <cell r="AE893" t="str"/>
          <cell r="AF893" t="str"/>
        </row>
        <row r="894">
          <cell r="B894" t="str"/>
          <cell r="C894" t="str"/>
          <cell r="D894" t="str"/>
          <cell r="E894" t="str"/>
          <cell r="F894" t="str"/>
          <cell r="G894" t="str"/>
          <cell r="H894" t="str"/>
          <cell r="I894" t="str"/>
          <cell r="J894" t="str"/>
          <cell r="K894" t="str"/>
          <cell r="L894" t="str"/>
          <cell r="M894" t="str"/>
          <cell r="N894" t="str"/>
          <cell r="O894" t="str"/>
          <cell r="P894" t="str"/>
          <cell r="Q894" t="str"/>
          <cell r="R894" t="str"/>
          <cell r="S894" t="str"/>
          <cell r="T894" t="str"/>
          <cell r="U894" t="str"/>
          <cell r="V894" t="str"/>
          <cell r="W894" t="str"/>
          <cell r="X894" t="str"/>
          <cell r="Y894" t="str"/>
        </row>
        <row r="894">
          <cell r="AA894" t="str"/>
          <cell r="AB894" t="str"/>
          <cell r="AC894" t="str"/>
          <cell r="AD894" t="str"/>
          <cell r="AE894" t="str"/>
          <cell r="AF894" t="str"/>
        </row>
        <row r="895">
          <cell r="B895" t="str"/>
          <cell r="C895" t="str"/>
          <cell r="D895" t="str"/>
          <cell r="E895" t="str"/>
          <cell r="F895" t="str"/>
          <cell r="G895" t="str"/>
          <cell r="H895" t="str"/>
          <cell r="I895" t="str"/>
          <cell r="J895" t="str"/>
          <cell r="K895" t="str"/>
          <cell r="L895" t="str"/>
          <cell r="M895" t="str"/>
          <cell r="N895" t="str"/>
          <cell r="O895" t="str"/>
          <cell r="P895" t="str"/>
          <cell r="Q895" t="str"/>
          <cell r="R895" t="str"/>
          <cell r="S895" t="str"/>
          <cell r="T895" t="str"/>
          <cell r="U895" t="str"/>
          <cell r="V895" t="str"/>
          <cell r="W895" t="str"/>
          <cell r="X895" t="str"/>
          <cell r="Y895" t="str"/>
        </row>
        <row r="895">
          <cell r="AA895" t="str"/>
          <cell r="AB895" t="str"/>
          <cell r="AC895" t="str"/>
          <cell r="AD895" t="str"/>
          <cell r="AE895" t="str"/>
          <cell r="AF895" t="str"/>
        </row>
        <row r="896">
          <cell r="B896" t="str"/>
          <cell r="C896" t="str"/>
          <cell r="D896" t="str"/>
          <cell r="E896" t="str"/>
          <cell r="F896" t="str"/>
          <cell r="G896" t="str"/>
          <cell r="H896" t="str"/>
          <cell r="I896" t="str"/>
          <cell r="J896" t="str"/>
          <cell r="K896" t="str"/>
          <cell r="L896" t="str"/>
          <cell r="M896" t="str"/>
          <cell r="N896" t="str"/>
          <cell r="O896" t="str"/>
          <cell r="P896" t="str"/>
          <cell r="Q896" t="str"/>
          <cell r="R896" t="str"/>
          <cell r="S896" t="str"/>
          <cell r="T896" t="str"/>
          <cell r="U896" t="str"/>
          <cell r="V896" t="str"/>
          <cell r="W896" t="str"/>
          <cell r="X896" t="str"/>
          <cell r="Y896" t="str"/>
        </row>
        <row r="896">
          <cell r="AA896" t="str"/>
          <cell r="AB896" t="str"/>
          <cell r="AC896" t="str"/>
          <cell r="AD896" t="str"/>
          <cell r="AE896" t="str"/>
          <cell r="AF896" t="str"/>
        </row>
        <row r="897">
          <cell r="B897" t="str"/>
          <cell r="C897" t="str"/>
          <cell r="D897" t="str"/>
          <cell r="E897" t="str"/>
          <cell r="F897" t="str"/>
          <cell r="G897" t="str"/>
          <cell r="H897" t="str"/>
          <cell r="I897" t="str"/>
          <cell r="J897" t="str"/>
          <cell r="K897" t="str"/>
          <cell r="L897" t="str"/>
          <cell r="M897" t="str"/>
          <cell r="N897" t="str"/>
          <cell r="O897" t="str"/>
          <cell r="P897" t="str"/>
          <cell r="Q897" t="str"/>
          <cell r="R897" t="str"/>
          <cell r="S897" t="str"/>
          <cell r="T897" t="str"/>
          <cell r="U897" t="str"/>
          <cell r="V897" t="str"/>
          <cell r="W897" t="str"/>
          <cell r="X897" t="str"/>
          <cell r="Y897" t="str"/>
        </row>
        <row r="897">
          <cell r="AA897" t="str"/>
          <cell r="AB897" t="str"/>
          <cell r="AC897" t="str"/>
          <cell r="AD897" t="str"/>
          <cell r="AE897" t="str"/>
          <cell r="AF897" t="str"/>
        </row>
        <row r="898">
          <cell r="B898" t="str"/>
          <cell r="C898" t="str"/>
          <cell r="D898" t="str"/>
          <cell r="E898" t="str"/>
          <cell r="F898" t="str"/>
          <cell r="G898" t="str"/>
          <cell r="H898" t="str"/>
          <cell r="I898" t="str"/>
          <cell r="J898" t="str"/>
          <cell r="K898" t="str"/>
          <cell r="L898" t="str"/>
          <cell r="M898" t="str"/>
          <cell r="N898" t="str"/>
          <cell r="O898" t="str"/>
          <cell r="P898" t="str"/>
          <cell r="Q898" t="str"/>
          <cell r="R898" t="str"/>
          <cell r="S898" t="str"/>
          <cell r="T898" t="str"/>
          <cell r="U898" t="str"/>
          <cell r="V898" t="str"/>
          <cell r="W898" t="str"/>
          <cell r="X898" t="str"/>
          <cell r="Y898" t="str"/>
        </row>
        <row r="898">
          <cell r="AA898" t="str"/>
          <cell r="AB898" t="str"/>
          <cell r="AC898" t="str"/>
          <cell r="AD898" t="str"/>
          <cell r="AE898" t="str"/>
          <cell r="AF898" t="str"/>
        </row>
        <row r="899">
          <cell r="B899" t="str"/>
          <cell r="C899" t="str"/>
          <cell r="D899" t="str"/>
          <cell r="E899" t="str"/>
          <cell r="F899" t="str"/>
          <cell r="G899" t="str"/>
          <cell r="H899" t="str"/>
          <cell r="I899" t="str"/>
          <cell r="J899" t="str"/>
          <cell r="K899" t="str"/>
          <cell r="L899" t="str"/>
          <cell r="M899" t="str"/>
          <cell r="N899" t="str"/>
          <cell r="O899" t="str"/>
          <cell r="P899" t="str"/>
          <cell r="Q899" t="str"/>
          <cell r="R899" t="str"/>
          <cell r="S899" t="str"/>
          <cell r="T899" t="str"/>
          <cell r="U899" t="str"/>
          <cell r="V899" t="str"/>
          <cell r="W899" t="str"/>
          <cell r="X899" t="str"/>
          <cell r="Y899" t="str"/>
        </row>
        <row r="899">
          <cell r="AA899" t="str"/>
          <cell r="AB899" t="str"/>
          <cell r="AC899" t="str"/>
          <cell r="AD899" t="str"/>
          <cell r="AE899" t="str"/>
          <cell r="AF899" t="str"/>
        </row>
        <row r="900">
          <cell r="B900" t="str"/>
          <cell r="C900" t="str"/>
          <cell r="D900" t="str"/>
          <cell r="E900" t="str"/>
          <cell r="F900" t="str"/>
          <cell r="G900" t="str"/>
          <cell r="H900" t="str"/>
          <cell r="I900" t="str"/>
          <cell r="J900" t="str"/>
          <cell r="K900" t="str"/>
          <cell r="L900" t="str"/>
          <cell r="M900" t="str"/>
          <cell r="N900" t="str"/>
          <cell r="O900" t="str"/>
          <cell r="P900" t="str"/>
          <cell r="Q900" t="str"/>
          <cell r="R900" t="str"/>
          <cell r="S900" t="str"/>
          <cell r="T900" t="str"/>
          <cell r="U900" t="str"/>
          <cell r="V900" t="str"/>
          <cell r="W900" t="str"/>
          <cell r="X900" t="str"/>
          <cell r="Y900" t="str"/>
        </row>
        <row r="900">
          <cell r="AA900" t="str"/>
          <cell r="AB900" t="str"/>
          <cell r="AC900" t="str"/>
          <cell r="AD900" t="str"/>
          <cell r="AE900" t="str"/>
          <cell r="AF900" t="str"/>
        </row>
        <row r="901">
          <cell r="B901" t="str"/>
          <cell r="C901" t="str"/>
          <cell r="D901" t="str"/>
          <cell r="E901" t="str"/>
          <cell r="F901" t="str"/>
          <cell r="G901" t="str"/>
          <cell r="H901" t="str"/>
          <cell r="I901" t="str"/>
          <cell r="J901" t="str"/>
          <cell r="K901" t="str"/>
          <cell r="L901" t="str"/>
          <cell r="M901" t="str"/>
          <cell r="N901" t="str"/>
          <cell r="O901" t="str"/>
          <cell r="P901" t="str"/>
          <cell r="Q901" t="str"/>
          <cell r="R901" t="str"/>
          <cell r="S901" t="str"/>
          <cell r="T901" t="str"/>
          <cell r="U901" t="str"/>
          <cell r="V901" t="str"/>
          <cell r="W901" t="str"/>
          <cell r="X901" t="str"/>
          <cell r="Y901" t="str"/>
        </row>
        <row r="901">
          <cell r="AA901" t="str"/>
          <cell r="AB901" t="str"/>
          <cell r="AC901" t="str"/>
          <cell r="AD901" t="str"/>
          <cell r="AE901" t="str"/>
          <cell r="AF901" t="str"/>
        </row>
        <row r="902">
          <cell r="B902" t="str"/>
          <cell r="C902" t="str"/>
          <cell r="D902" t="str"/>
          <cell r="E902" t="str"/>
          <cell r="F902" t="str"/>
          <cell r="G902" t="str"/>
          <cell r="H902" t="str"/>
          <cell r="I902" t="str"/>
          <cell r="J902" t="str"/>
          <cell r="K902" t="str"/>
          <cell r="L902" t="str"/>
          <cell r="M902" t="str"/>
          <cell r="N902" t="str"/>
          <cell r="O902" t="str"/>
          <cell r="P902" t="str"/>
          <cell r="Q902" t="str"/>
          <cell r="R902" t="str"/>
          <cell r="S902" t="str"/>
          <cell r="T902" t="str"/>
          <cell r="U902" t="str"/>
          <cell r="V902" t="str"/>
          <cell r="W902" t="str"/>
          <cell r="X902" t="str"/>
          <cell r="Y902" t="str"/>
        </row>
        <row r="902">
          <cell r="AA902" t="str"/>
          <cell r="AB902" t="str"/>
          <cell r="AC902" t="str"/>
          <cell r="AD902" t="str"/>
          <cell r="AE902" t="str"/>
          <cell r="AF902" t="str"/>
        </row>
        <row r="903">
          <cell r="B903" t="str"/>
          <cell r="C903" t="str"/>
          <cell r="D903" t="str"/>
          <cell r="E903" t="str"/>
          <cell r="F903" t="str"/>
          <cell r="G903" t="str"/>
          <cell r="H903" t="str"/>
          <cell r="I903" t="str"/>
          <cell r="J903" t="str"/>
          <cell r="K903" t="str"/>
          <cell r="L903" t="str"/>
          <cell r="M903" t="str"/>
          <cell r="N903" t="str"/>
          <cell r="O903" t="str"/>
          <cell r="P903" t="str"/>
          <cell r="Q903" t="str"/>
          <cell r="R903" t="str"/>
          <cell r="S903" t="str"/>
          <cell r="T903" t="str"/>
          <cell r="U903" t="str"/>
          <cell r="V903" t="str"/>
          <cell r="W903" t="str"/>
          <cell r="X903" t="str"/>
          <cell r="Y903" t="str"/>
        </row>
        <row r="903">
          <cell r="AA903" t="str"/>
          <cell r="AB903" t="str"/>
          <cell r="AC903" t="str"/>
          <cell r="AD903" t="str"/>
          <cell r="AE903" t="str"/>
          <cell r="AF903" t="str"/>
        </row>
        <row r="904">
          <cell r="B904" t="str"/>
          <cell r="C904" t="str"/>
          <cell r="D904" t="str"/>
          <cell r="E904" t="str"/>
          <cell r="F904" t="str"/>
          <cell r="G904" t="str"/>
          <cell r="H904" t="str"/>
          <cell r="I904" t="str"/>
          <cell r="J904" t="str"/>
          <cell r="K904" t="str"/>
          <cell r="L904" t="str"/>
          <cell r="M904" t="str"/>
          <cell r="N904" t="str"/>
          <cell r="O904" t="str"/>
          <cell r="P904" t="str"/>
          <cell r="Q904" t="str"/>
          <cell r="R904" t="str"/>
          <cell r="S904" t="str"/>
          <cell r="T904" t="str"/>
          <cell r="U904" t="str"/>
          <cell r="V904" t="str"/>
          <cell r="W904" t="str"/>
          <cell r="X904" t="str"/>
          <cell r="Y904" t="str"/>
        </row>
        <row r="904">
          <cell r="AA904" t="str"/>
          <cell r="AB904" t="str"/>
          <cell r="AC904" t="str"/>
          <cell r="AD904" t="str"/>
          <cell r="AE904" t="str"/>
          <cell r="AF904" t="str"/>
        </row>
        <row r="905">
          <cell r="B905" t="str"/>
          <cell r="C905" t="str"/>
          <cell r="D905" t="str"/>
          <cell r="E905" t="str"/>
          <cell r="F905" t="str"/>
          <cell r="G905" t="str"/>
          <cell r="H905" t="str"/>
          <cell r="I905" t="str"/>
          <cell r="J905" t="str"/>
          <cell r="K905" t="str"/>
          <cell r="L905" t="str"/>
          <cell r="M905" t="str"/>
          <cell r="N905" t="str"/>
          <cell r="O905" t="str"/>
          <cell r="P905" t="str"/>
          <cell r="Q905" t="str"/>
          <cell r="R905" t="str"/>
          <cell r="S905" t="str"/>
          <cell r="T905" t="str"/>
          <cell r="U905" t="str"/>
          <cell r="V905" t="str"/>
          <cell r="W905" t="str"/>
          <cell r="X905" t="str"/>
          <cell r="Y905" t="str"/>
        </row>
        <row r="905">
          <cell r="AA905" t="str"/>
          <cell r="AB905" t="str"/>
          <cell r="AC905" t="str"/>
          <cell r="AD905" t="str"/>
          <cell r="AE905" t="str"/>
          <cell r="AF905" t="str"/>
        </row>
        <row r="906">
          <cell r="B906" t="str"/>
          <cell r="C906" t="str"/>
          <cell r="D906" t="str"/>
          <cell r="E906" t="str"/>
          <cell r="F906" t="str"/>
          <cell r="G906" t="str"/>
          <cell r="H906" t="str"/>
          <cell r="I906" t="str"/>
          <cell r="J906" t="str"/>
          <cell r="K906" t="str"/>
          <cell r="L906" t="str"/>
          <cell r="M906" t="str"/>
          <cell r="N906" t="str"/>
          <cell r="O906" t="str"/>
          <cell r="P906" t="str"/>
          <cell r="Q906" t="str"/>
          <cell r="R906" t="str"/>
          <cell r="S906" t="str"/>
          <cell r="T906" t="str"/>
          <cell r="U906" t="str"/>
          <cell r="V906" t="str"/>
          <cell r="W906" t="str"/>
          <cell r="X906" t="str"/>
          <cell r="Y906" t="str"/>
        </row>
        <row r="906">
          <cell r="AA906" t="str"/>
          <cell r="AB906" t="str"/>
          <cell r="AC906" t="str"/>
          <cell r="AD906" t="str"/>
          <cell r="AE906" t="str"/>
          <cell r="AF906" t="str"/>
        </row>
        <row r="907">
          <cell r="B907" t="str"/>
          <cell r="C907" t="str"/>
          <cell r="D907" t="str"/>
          <cell r="E907" t="str"/>
          <cell r="F907" t="str"/>
          <cell r="G907" t="str"/>
          <cell r="H907" t="str"/>
          <cell r="I907" t="str"/>
          <cell r="J907" t="str"/>
          <cell r="K907" t="str"/>
          <cell r="L907" t="str"/>
          <cell r="M907" t="str"/>
          <cell r="N907" t="str"/>
          <cell r="O907" t="str"/>
          <cell r="P907" t="str"/>
          <cell r="Q907" t="str"/>
          <cell r="R907" t="str"/>
          <cell r="S907" t="str"/>
          <cell r="T907" t="str"/>
          <cell r="U907" t="str"/>
          <cell r="V907" t="str"/>
          <cell r="W907" t="str"/>
          <cell r="X907" t="str"/>
          <cell r="Y907" t="str"/>
        </row>
        <row r="907">
          <cell r="AA907" t="str"/>
          <cell r="AB907" t="str"/>
          <cell r="AC907" t="str"/>
          <cell r="AD907" t="str"/>
          <cell r="AE907" t="str"/>
          <cell r="AF907" t="str"/>
        </row>
        <row r="908">
          <cell r="B908" t="str"/>
          <cell r="C908" t="str"/>
          <cell r="D908" t="str"/>
          <cell r="E908" t="str"/>
          <cell r="F908" t="str"/>
          <cell r="G908" t="str"/>
          <cell r="H908" t="str"/>
          <cell r="I908" t="str"/>
          <cell r="J908" t="str"/>
          <cell r="K908" t="str"/>
          <cell r="L908" t="str"/>
          <cell r="M908" t="str"/>
          <cell r="N908" t="str"/>
          <cell r="O908" t="str"/>
          <cell r="P908" t="str"/>
          <cell r="Q908" t="str"/>
          <cell r="R908" t="str"/>
          <cell r="S908" t="str"/>
          <cell r="T908" t="str"/>
          <cell r="U908" t="str"/>
          <cell r="V908" t="str"/>
          <cell r="W908" t="str"/>
          <cell r="X908" t="str"/>
          <cell r="Y908" t="str"/>
        </row>
        <row r="908">
          <cell r="AA908" t="str"/>
          <cell r="AB908" t="str"/>
          <cell r="AC908" t="str"/>
          <cell r="AD908" t="str"/>
          <cell r="AE908" t="str"/>
          <cell r="AF908" t="str"/>
        </row>
        <row r="909">
          <cell r="B909" t="str"/>
          <cell r="C909" t="str"/>
          <cell r="D909" t="str"/>
          <cell r="E909" t="str"/>
          <cell r="F909" t="str"/>
          <cell r="G909" t="str"/>
          <cell r="H909" t="str"/>
          <cell r="I909" t="str"/>
          <cell r="J909" t="str"/>
          <cell r="K909" t="str"/>
          <cell r="L909" t="str"/>
          <cell r="M909" t="str"/>
          <cell r="N909" t="str"/>
          <cell r="O909" t="str"/>
          <cell r="P909" t="str"/>
          <cell r="Q909" t="str"/>
          <cell r="R909" t="str"/>
          <cell r="S909" t="str"/>
          <cell r="T909" t="str"/>
          <cell r="U909" t="str"/>
          <cell r="V909" t="str"/>
          <cell r="W909" t="str"/>
          <cell r="X909" t="str"/>
          <cell r="Y909" t="str"/>
        </row>
        <row r="909">
          <cell r="AA909" t="str"/>
          <cell r="AB909" t="str"/>
          <cell r="AC909" t="str"/>
          <cell r="AD909" t="str"/>
          <cell r="AE909" t="str"/>
          <cell r="AF909" t="str"/>
        </row>
        <row r="910">
          <cell r="B910" t="str"/>
          <cell r="C910" t="str"/>
          <cell r="D910" t="str"/>
          <cell r="E910" t="str"/>
          <cell r="F910" t="str"/>
          <cell r="G910" t="str"/>
          <cell r="H910" t="str"/>
          <cell r="I910" t="str"/>
          <cell r="J910" t="str"/>
          <cell r="K910" t="str"/>
          <cell r="L910" t="str"/>
          <cell r="M910" t="str"/>
          <cell r="N910" t="str"/>
          <cell r="O910" t="str"/>
          <cell r="P910" t="str"/>
          <cell r="Q910" t="str"/>
          <cell r="R910" t="str"/>
          <cell r="S910" t="str"/>
          <cell r="T910" t="str"/>
          <cell r="U910" t="str"/>
          <cell r="V910" t="str"/>
          <cell r="W910" t="str"/>
          <cell r="X910" t="str"/>
          <cell r="Y910" t="str"/>
        </row>
        <row r="910">
          <cell r="AA910" t="str"/>
          <cell r="AB910" t="str"/>
          <cell r="AC910" t="str"/>
          <cell r="AD910" t="str"/>
          <cell r="AE910" t="str"/>
          <cell r="AF910" t="str"/>
        </row>
        <row r="911">
          <cell r="B911" t="str"/>
          <cell r="C911" t="str"/>
          <cell r="D911" t="str"/>
          <cell r="E911" t="str"/>
          <cell r="F911" t="str"/>
          <cell r="G911" t="str"/>
          <cell r="H911" t="str"/>
          <cell r="I911" t="str"/>
          <cell r="J911" t="str"/>
          <cell r="K911" t="str"/>
          <cell r="L911" t="str"/>
          <cell r="M911" t="str"/>
          <cell r="N911" t="str"/>
          <cell r="O911" t="str"/>
          <cell r="P911" t="str"/>
          <cell r="Q911" t="str"/>
          <cell r="R911" t="str"/>
          <cell r="S911" t="str"/>
          <cell r="T911" t="str"/>
          <cell r="U911" t="str"/>
          <cell r="V911" t="str"/>
          <cell r="W911" t="str"/>
          <cell r="X911" t="str"/>
          <cell r="Y911" t="str"/>
        </row>
        <row r="911">
          <cell r="AA911" t="str"/>
          <cell r="AB911" t="str"/>
          <cell r="AC911" t="str"/>
          <cell r="AD911" t="str"/>
          <cell r="AE911" t="str"/>
          <cell r="AF911" t="str"/>
        </row>
        <row r="912">
          <cell r="B912" t="str"/>
          <cell r="C912" t="str"/>
          <cell r="D912" t="str"/>
          <cell r="E912" t="str"/>
          <cell r="F912" t="str"/>
          <cell r="G912" t="str"/>
          <cell r="H912" t="str"/>
          <cell r="I912" t="str"/>
          <cell r="J912" t="str"/>
          <cell r="K912" t="str"/>
          <cell r="L912" t="str"/>
          <cell r="M912" t="str"/>
          <cell r="N912" t="str"/>
          <cell r="O912" t="str"/>
          <cell r="P912" t="str"/>
          <cell r="Q912" t="str"/>
          <cell r="R912" t="str"/>
          <cell r="S912" t="str"/>
          <cell r="T912" t="str"/>
          <cell r="U912" t="str"/>
          <cell r="V912" t="str"/>
          <cell r="W912" t="str"/>
          <cell r="X912" t="str"/>
          <cell r="Y912" t="str"/>
        </row>
        <row r="912">
          <cell r="AA912" t="str"/>
          <cell r="AB912" t="str"/>
          <cell r="AC912" t="str"/>
          <cell r="AD912" t="str"/>
          <cell r="AE912" t="str"/>
          <cell r="AF912" t="str"/>
        </row>
        <row r="913">
          <cell r="B913" t="str"/>
          <cell r="C913" t="str"/>
          <cell r="D913" t="str"/>
          <cell r="E913" t="str"/>
          <cell r="F913" t="str"/>
          <cell r="G913" t="str"/>
          <cell r="H913" t="str"/>
          <cell r="I913" t="str"/>
          <cell r="J913" t="str"/>
          <cell r="K913" t="str"/>
          <cell r="L913" t="str"/>
          <cell r="M913" t="str"/>
          <cell r="N913" t="str"/>
          <cell r="O913" t="str"/>
          <cell r="P913" t="str"/>
          <cell r="Q913" t="str"/>
          <cell r="R913" t="str"/>
          <cell r="S913" t="str"/>
          <cell r="T913" t="str"/>
          <cell r="U913" t="str"/>
          <cell r="V913" t="str"/>
          <cell r="W913" t="str"/>
          <cell r="X913" t="str"/>
          <cell r="Y913" t="str"/>
        </row>
        <row r="913">
          <cell r="AA913" t="str"/>
          <cell r="AB913" t="str"/>
          <cell r="AC913" t="str"/>
          <cell r="AD913" t="str"/>
          <cell r="AE913" t="str"/>
          <cell r="AF913" t="str"/>
        </row>
        <row r="914">
          <cell r="B914" t="str"/>
          <cell r="C914" t="str"/>
          <cell r="D914" t="str"/>
          <cell r="E914" t="str"/>
          <cell r="F914" t="str"/>
          <cell r="G914" t="str"/>
          <cell r="H914" t="str"/>
          <cell r="I914" t="str"/>
          <cell r="J914" t="str"/>
          <cell r="K914" t="str"/>
          <cell r="L914" t="str"/>
          <cell r="M914" t="str"/>
          <cell r="N914" t="str"/>
          <cell r="O914" t="str"/>
          <cell r="P914" t="str"/>
          <cell r="Q914" t="str"/>
          <cell r="R914" t="str"/>
          <cell r="S914" t="str"/>
          <cell r="T914" t="str"/>
          <cell r="U914" t="str"/>
          <cell r="V914" t="str"/>
          <cell r="W914" t="str"/>
          <cell r="X914" t="str"/>
          <cell r="Y914" t="str"/>
        </row>
        <row r="914">
          <cell r="AA914" t="str"/>
          <cell r="AB914" t="str"/>
          <cell r="AC914" t="str"/>
          <cell r="AD914" t="str"/>
          <cell r="AE914" t="str"/>
          <cell r="AF914" t="str"/>
        </row>
        <row r="915">
          <cell r="B915" t="str"/>
          <cell r="C915" t="str"/>
          <cell r="D915" t="str"/>
          <cell r="E915" t="str"/>
          <cell r="F915" t="str"/>
          <cell r="G915" t="str"/>
          <cell r="H915" t="str"/>
          <cell r="I915" t="str"/>
          <cell r="J915" t="str"/>
          <cell r="K915" t="str"/>
          <cell r="L915" t="str"/>
          <cell r="M915" t="str"/>
          <cell r="N915" t="str"/>
          <cell r="O915" t="str"/>
          <cell r="P915" t="str"/>
          <cell r="Q915" t="str"/>
          <cell r="R915" t="str"/>
          <cell r="S915" t="str"/>
          <cell r="T915" t="str"/>
          <cell r="U915" t="str"/>
          <cell r="V915" t="str"/>
          <cell r="W915" t="str"/>
          <cell r="X915" t="str"/>
          <cell r="Y915" t="str"/>
        </row>
        <row r="915">
          <cell r="AA915" t="str"/>
          <cell r="AB915" t="str"/>
          <cell r="AC915" t="str"/>
          <cell r="AD915" t="str"/>
          <cell r="AE915" t="str"/>
          <cell r="AF915" t="str"/>
        </row>
        <row r="916">
          <cell r="B916" t="str"/>
          <cell r="C916" t="str"/>
          <cell r="D916" t="str"/>
          <cell r="E916" t="str"/>
          <cell r="F916" t="str"/>
          <cell r="G916" t="str"/>
          <cell r="H916" t="str"/>
          <cell r="I916" t="str"/>
          <cell r="J916" t="str"/>
          <cell r="K916" t="str"/>
          <cell r="L916" t="str"/>
          <cell r="M916" t="str"/>
          <cell r="N916" t="str"/>
          <cell r="O916" t="str"/>
          <cell r="P916" t="str"/>
          <cell r="Q916" t="str"/>
          <cell r="R916" t="str"/>
          <cell r="S916" t="str"/>
          <cell r="T916" t="str"/>
          <cell r="U916" t="str"/>
          <cell r="V916" t="str"/>
          <cell r="W916" t="str"/>
          <cell r="X916" t="str"/>
          <cell r="Y916" t="str"/>
        </row>
        <row r="916">
          <cell r="AA916" t="str"/>
          <cell r="AB916" t="str"/>
          <cell r="AC916" t="str"/>
          <cell r="AD916" t="str"/>
          <cell r="AE916" t="str"/>
          <cell r="AF916" t="str"/>
        </row>
        <row r="917">
          <cell r="B917" t="str"/>
          <cell r="C917" t="str"/>
          <cell r="D917" t="str"/>
          <cell r="E917" t="str"/>
          <cell r="F917" t="str"/>
          <cell r="G917" t="str"/>
          <cell r="H917" t="str"/>
          <cell r="I917" t="str"/>
          <cell r="J917" t="str"/>
          <cell r="K917" t="str"/>
          <cell r="L917" t="str"/>
          <cell r="M917" t="str"/>
          <cell r="N917" t="str"/>
          <cell r="O917" t="str"/>
          <cell r="P917" t="str"/>
          <cell r="Q917" t="str"/>
          <cell r="R917" t="str"/>
          <cell r="S917" t="str"/>
          <cell r="T917" t="str"/>
          <cell r="U917" t="str"/>
          <cell r="V917" t="str"/>
          <cell r="W917" t="str"/>
          <cell r="X917" t="str"/>
          <cell r="Y917" t="str"/>
        </row>
        <row r="917">
          <cell r="AA917" t="str"/>
          <cell r="AB917" t="str"/>
          <cell r="AC917" t="str"/>
          <cell r="AD917" t="str"/>
          <cell r="AE917" t="str"/>
          <cell r="AF917" t="str"/>
        </row>
        <row r="918">
          <cell r="B918" t="str"/>
          <cell r="C918" t="str"/>
          <cell r="D918" t="str"/>
          <cell r="E918" t="str"/>
          <cell r="F918" t="str"/>
          <cell r="G918" t="str"/>
          <cell r="H918" t="str"/>
          <cell r="I918" t="str"/>
          <cell r="J918" t="str"/>
          <cell r="K918" t="str"/>
          <cell r="L918" t="str"/>
          <cell r="M918" t="str"/>
          <cell r="N918" t="str"/>
          <cell r="O918" t="str"/>
          <cell r="P918" t="str"/>
          <cell r="Q918" t="str"/>
          <cell r="R918" t="str"/>
          <cell r="S918" t="str"/>
          <cell r="T918" t="str"/>
          <cell r="U918" t="str"/>
          <cell r="V918" t="str"/>
          <cell r="W918" t="str"/>
          <cell r="X918" t="str"/>
          <cell r="Y918" t="str"/>
        </row>
        <row r="918">
          <cell r="AA918" t="str"/>
          <cell r="AB918" t="str"/>
          <cell r="AC918" t="str"/>
          <cell r="AD918" t="str"/>
          <cell r="AE918" t="str"/>
          <cell r="AF918" t="str"/>
        </row>
        <row r="919">
          <cell r="B919" t="str"/>
          <cell r="C919" t="str"/>
          <cell r="D919" t="str"/>
          <cell r="E919" t="str"/>
          <cell r="F919" t="str"/>
          <cell r="G919" t="str"/>
          <cell r="H919" t="str"/>
          <cell r="I919" t="str"/>
          <cell r="J919" t="str"/>
          <cell r="K919" t="str"/>
          <cell r="L919" t="str"/>
          <cell r="M919" t="str"/>
          <cell r="N919" t="str"/>
          <cell r="O919" t="str"/>
          <cell r="P919" t="str"/>
          <cell r="Q919" t="str"/>
          <cell r="R919" t="str"/>
          <cell r="S919" t="str"/>
          <cell r="T919" t="str"/>
          <cell r="U919" t="str"/>
          <cell r="V919" t="str"/>
          <cell r="W919" t="str"/>
          <cell r="X919" t="str"/>
          <cell r="Y919" t="str"/>
        </row>
        <row r="919">
          <cell r="AA919" t="str"/>
          <cell r="AB919" t="str"/>
          <cell r="AC919" t="str"/>
          <cell r="AD919" t="str"/>
          <cell r="AE919" t="str"/>
          <cell r="AF919" t="str"/>
        </row>
        <row r="920">
          <cell r="B920" t="str"/>
          <cell r="C920" t="str"/>
          <cell r="D920" t="str"/>
          <cell r="E920" t="str"/>
          <cell r="F920" t="str"/>
          <cell r="G920" t="str"/>
          <cell r="H920" t="str"/>
          <cell r="I920" t="str"/>
          <cell r="J920" t="str"/>
          <cell r="K920" t="str"/>
          <cell r="L920" t="str"/>
          <cell r="M920" t="str"/>
          <cell r="N920" t="str"/>
          <cell r="O920" t="str"/>
          <cell r="P920" t="str"/>
          <cell r="Q920" t="str"/>
          <cell r="R920" t="str"/>
          <cell r="S920" t="str"/>
          <cell r="T920" t="str"/>
          <cell r="U920" t="str"/>
          <cell r="V920" t="str"/>
          <cell r="W920" t="str"/>
          <cell r="X920" t="str"/>
          <cell r="Y920" t="str"/>
        </row>
        <row r="920">
          <cell r="AA920" t="str"/>
          <cell r="AB920" t="str"/>
          <cell r="AC920" t="str"/>
          <cell r="AD920" t="str"/>
          <cell r="AE920" t="str"/>
          <cell r="AF920" t="str"/>
        </row>
        <row r="921">
          <cell r="B921" t="str"/>
          <cell r="C921" t="str"/>
          <cell r="D921" t="str"/>
          <cell r="E921" t="str"/>
          <cell r="F921" t="str"/>
          <cell r="G921" t="str"/>
          <cell r="H921" t="str"/>
          <cell r="I921" t="str"/>
          <cell r="J921" t="str"/>
          <cell r="K921" t="str"/>
          <cell r="L921" t="str"/>
          <cell r="M921" t="str"/>
          <cell r="N921" t="str"/>
          <cell r="O921" t="str"/>
          <cell r="P921" t="str"/>
          <cell r="Q921" t="str"/>
          <cell r="R921" t="str"/>
          <cell r="S921" t="str"/>
          <cell r="T921" t="str"/>
          <cell r="U921" t="str"/>
          <cell r="V921" t="str"/>
          <cell r="W921" t="str"/>
          <cell r="X921" t="str"/>
          <cell r="Y921" t="str"/>
        </row>
        <row r="921">
          <cell r="AA921" t="str"/>
          <cell r="AB921" t="str"/>
          <cell r="AC921" t="str"/>
          <cell r="AD921" t="str"/>
          <cell r="AE921" t="str"/>
          <cell r="AF921" t="str"/>
        </row>
        <row r="922">
          <cell r="B922" t="str"/>
          <cell r="C922" t="str"/>
          <cell r="D922" t="str"/>
          <cell r="E922" t="str"/>
          <cell r="F922" t="str"/>
          <cell r="G922" t="str"/>
          <cell r="H922" t="str"/>
          <cell r="I922" t="str"/>
          <cell r="J922" t="str"/>
          <cell r="K922" t="str"/>
          <cell r="L922" t="str"/>
          <cell r="M922" t="str"/>
          <cell r="N922" t="str"/>
          <cell r="O922" t="str"/>
          <cell r="P922" t="str"/>
          <cell r="Q922" t="str"/>
          <cell r="R922" t="str"/>
          <cell r="S922" t="str"/>
          <cell r="T922" t="str"/>
          <cell r="U922" t="str"/>
          <cell r="V922" t="str"/>
          <cell r="W922" t="str"/>
          <cell r="X922" t="str"/>
          <cell r="Y922" t="str"/>
        </row>
        <row r="922">
          <cell r="AA922" t="str"/>
          <cell r="AB922" t="str"/>
          <cell r="AC922" t="str"/>
          <cell r="AD922" t="str"/>
          <cell r="AE922" t="str"/>
          <cell r="AF922" t="str"/>
        </row>
        <row r="923">
          <cell r="B923" t="str"/>
          <cell r="C923" t="str"/>
          <cell r="D923" t="str"/>
          <cell r="E923" t="str"/>
          <cell r="F923" t="str"/>
          <cell r="G923" t="str"/>
          <cell r="H923" t="str"/>
          <cell r="I923" t="str"/>
          <cell r="J923" t="str"/>
          <cell r="K923" t="str"/>
          <cell r="L923" t="str"/>
          <cell r="M923" t="str"/>
          <cell r="N923" t="str"/>
          <cell r="O923" t="str"/>
          <cell r="P923" t="str"/>
          <cell r="Q923" t="str"/>
          <cell r="R923" t="str"/>
          <cell r="S923" t="str"/>
          <cell r="T923" t="str"/>
          <cell r="U923" t="str"/>
          <cell r="V923" t="str"/>
          <cell r="W923" t="str"/>
          <cell r="X923" t="str"/>
          <cell r="Y923" t="str"/>
        </row>
        <row r="923">
          <cell r="AA923" t="str"/>
          <cell r="AB923" t="str"/>
          <cell r="AC923" t="str"/>
          <cell r="AD923" t="str"/>
          <cell r="AE923" t="str"/>
          <cell r="AF923" t="str"/>
        </row>
        <row r="924">
          <cell r="B924" t="str"/>
          <cell r="C924" t="str"/>
          <cell r="D924" t="str"/>
          <cell r="E924" t="str"/>
          <cell r="F924" t="str"/>
          <cell r="G924" t="str"/>
          <cell r="H924" t="str"/>
          <cell r="I924" t="str"/>
          <cell r="J924" t="str"/>
          <cell r="K924" t="str"/>
          <cell r="L924" t="str"/>
          <cell r="M924" t="str"/>
          <cell r="N924" t="str"/>
          <cell r="O924" t="str"/>
          <cell r="P924" t="str"/>
          <cell r="Q924" t="str"/>
          <cell r="R924" t="str"/>
          <cell r="S924" t="str"/>
          <cell r="T924" t="str"/>
          <cell r="U924" t="str"/>
          <cell r="V924" t="str"/>
          <cell r="W924" t="str"/>
          <cell r="X924" t="str"/>
          <cell r="Y924" t="str"/>
        </row>
        <row r="924">
          <cell r="AA924" t="str"/>
          <cell r="AB924" t="str"/>
          <cell r="AC924" t="str"/>
          <cell r="AD924" t="str"/>
          <cell r="AE924" t="str"/>
          <cell r="AF924" t="str"/>
        </row>
        <row r="925">
          <cell r="B925" t="str"/>
          <cell r="C925" t="str"/>
          <cell r="D925" t="str"/>
          <cell r="E925" t="str"/>
          <cell r="F925" t="str"/>
          <cell r="G925" t="str"/>
          <cell r="H925" t="str"/>
          <cell r="I925" t="str"/>
          <cell r="J925" t="str"/>
          <cell r="K925" t="str"/>
          <cell r="L925" t="str"/>
          <cell r="M925" t="str"/>
          <cell r="N925" t="str"/>
          <cell r="O925" t="str"/>
          <cell r="P925" t="str"/>
          <cell r="Q925" t="str"/>
          <cell r="R925" t="str"/>
          <cell r="S925" t="str"/>
          <cell r="T925" t="str"/>
          <cell r="U925" t="str"/>
          <cell r="V925" t="str"/>
          <cell r="W925" t="str"/>
          <cell r="X925" t="str"/>
          <cell r="Y925" t="str"/>
        </row>
        <row r="925">
          <cell r="AA925" t="str"/>
          <cell r="AB925" t="str"/>
          <cell r="AC925" t="str"/>
          <cell r="AD925" t="str"/>
          <cell r="AE925" t="str"/>
          <cell r="AF925" t="str"/>
        </row>
        <row r="926">
          <cell r="B926" t="str"/>
          <cell r="C926" t="str"/>
          <cell r="D926" t="str"/>
          <cell r="E926" t="str"/>
          <cell r="F926" t="str"/>
          <cell r="G926" t="str"/>
          <cell r="H926" t="str"/>
          <cell r="I926" t="str"/>
          <cell r="J926" t="str"/>
          <cell r="K926" t="str"/>
          <cell r="L926" t="str"/>
          <cell r="M926" t="str"/>
          <cell r="N926" t="str"/>
          <cell r="O926" t="str"/>
          <cell r="P926" t="str"/>
          <cell r="Q926" t="str"/>
          <cell r="R926" t="str"/>
          <cell r="S926" t="str"/>
          <cell r="T926" t="str"/>
          <cell r="U926" t="str"/>
          <cell r="V926" t="str"/>
          <cell r="W926" t="str"/>
          <cell r="X926" t="str"/>
          <cell r="Y926" t="str"/>
        </row>
        <row r="926">
          <cell r="AA926" t="str"/>
          <cell r="AB926" t="str"/>
          <cell r="AC926" t="str"/>
          <cell r="AD926" t="str"/>
          <cell r="AE926" t="str"/>
          <cell r="AF926" t="str"/>
        </row>
        <row r="927">
          <cell r="B927" t="str"/>
          <cell r="C927" t="str"/>
          <cell r="D927" t="str"/>
          <cell r="E927" t="str"/>
          <cell r="F927" t="str"/>
          <cell r="G927" t="str"/>
          <cell r="H927" t="str"/>
          <cell r="I927" t="str"/>
          <cell r="J927" t="str"/>
          <cell r="K927" t="str"/>
          <cell r="L927" t="str"/>
          <cell r="M927" t="str"/>
          <cell r="N927" t="str"/>
          <cell r="O927" t="str"/>
          <cell r="P927" t="str"/>
          <cell r="Q927" t="str"/>
          <cell r="R927" t="str"/>
          <cell r="S927" t="str"/>
          <cell r="T927" t="str"/>
          <cell r="U927" t="str"/>
          <cell r="V927" t="str"/>
          <cell r="W927" t="str"/>
          <cell r="X927" t="str"/>
          <cell r="Y927" t="str"/>
        </row>
        <row r="927">
          <cell r="AA927" t="str"/>
          <cell r="AB927" t="str"/>
          <cell r="AC927" t="str"/>
          <cell r="AD927" t="str"/>
          <cell r="AE927" t="str"/>
          <cell r="AF927" t="str"/>
        </row>
        <row r="928">
          <cell r="B928" t="str"/>
          <cell r="C928" t="str"/>
          <cell r="D928" t="str"/>
          <cell r="E928" t="str"/>
          <cell r="F928" t="str"/>
          <cell r="G928" t="str"/>
          <cell r="H928" t="str"/>
          <cell r="I928" t="str"/>
          <cell r="J928" t="str"/>
          <cell r="K928" t="str"/>
          <cell r="L928" t="str"/>
          <cell r="M928" t="str"/>
          <cell r="N928" t="str"/>
          <cell r="O928" t="str"/>
          <cell r="P928" t="str"/>
          <cell r="Q928" t="str"/>
          <cell r="R928" t="str"/>
          <cell r="S928" t="str"/>
          <cell r="T928" t="str"/>
          <cell r="U928" t="str"/>
          <cell r="V928" t="str"/>
          <cell r="W928" t="str"/>
          <cell r="X928" t="str"/>
          <cell r="Y928" t="str"/>
        </row>
        <row r="928">
          <cell r="AA928" t="str"/>
          <cell r="AB928" t="str"/>
          <cell r="AC928" t="str"/>
          <cell r="AD928" t="str"/>
          <cell r="AE928" t="str"/>
          <cell r="AF928" t="str"/>
        </row>
        <row r="929">
          <cell r="B929" t="str"/>
          <cell r="C929" t="str"/>
          <cell r="D929" t="str"/>
          <cell r="E929" t="str"/>
          <cell r="F929" t="str"/>
          <cell r="G929" t="str"/>
          <cell r="H929" t="str"/>
          <cell r="I929" t="str"/>
          <cell r="J929" t="str"/>
          <cell r="K929" t="str"/>
          <cell r="L929" t="str"/>
          <cell r="M929" t="str"/>
          <cell r="N929" t="str"/>
          <cell r="O929" t="str"/>
          <cell r="P929" t="str"/>
          <cell r="Q929" t="str"/>
          <cell r="R929" t="str"/>
          <cell r="S929" t="str"/>
          <cell r="T929" t="str"/>
          <cell r="U929" t="str"/>
          <cell r="V929" t="str"/>
          <cell r="W929" t="str"/>
          <cell r="X929" t="str"/>
          <cell r="Y929" t="str"/>
        </row>
        <row r="929">
          <cell r="AA929" t="str"/>
          <cell r="AB929" t="str"/>
          <cell r="AC929" t="str"/>
          <cell r="AD929" t="str"/>
          <cell r="AE929" t="str"/>
          <cell r="AF929" t="str"/>
        </row>
        <row r="930">
          <cell r="B930" t="str"/>
          <cell r="C930" t="str"/>
          <cell r="D930" t="str"/>
          <cell r="E930" t="str"/>
          <cell r="F930" t="str"/>
          <cell r="G930" t="str"/>
          <cell r="H930" t="str"/>
          <cell r="I930" t="str"/>
          <cell r="J930" t="str"/>
          <cell r="K930" t="str"/>
          <cell r="L930" t="str"/>
          <cell r="M930" t="str"/>
          <cell r="N930" t="str"/>
          <cell r="O930" t="str"/>
          <cell r="P930" t="str"/>
          <cell r="Q930" t="str"/>
          <cell r="R930" t="str"/>
          <cell r="S930" t="str"/>
          <cell r="T930" t="str"/>
          <cell r="U930" t="str"/>
          <cell r="V930" t="str"/>
          <cell r="W930" t="str"/>
          <cell r="X930" t="str"/>
          <cell r="Y930" t="str"/>
        </row>
        <row r="930">
          <cell r="AA930" t="str"/>
          <cell r="AB930" t="str"/>
          <cell r="AC930" t="str"/>
          <cell r="AD930" t="str"/>
          <cell r="AE930" t="str"/>
          <cell r="AF930" t="str"/>
        </row>
        <row r="931">
          <cell r="B931" t="str"/>
          <cell r="C931" t="str"/>
          <cell r="D931" t="str"/>
          <cell r="E931" t="str"/>
          <cell r="F931" t="str"/>
          <cell r="G931" t="str"/>
          <cell r="H931" t="str"/>
          <cell r="I931" t="str"/>
          <cell r="J931" t="str"/>
          <cell r="K931" t="str"/>
          <cell r="L931" t="str"/>
          <cell r="M931" t="str"/>
          <cell r="N931" t="str"/>
          <cell r="O931" t="str"/>
          <cell r="P931" t="str"/>
          <cell r="Q931" t="str"/>
          <cell r="R931" t="str"/>
          <cell r="S931" t="str"/>
          <cell r="T931" t="str"/>
          <cell r="U931" t="str"/>
          <cell r="V931" t="str"/>
          <cell r="W931" t="str"/>
          <cell r="X931" t="str"/>
          <cell r="Y931" t="str"/>
        </row>
        <row r="931">
          <cell r="AA931" t="str"/>
          <cell r="AB931" t="str"/>
          <cell r="AC931" t="str"/>
          <cell r="AD931" t="str"/>
          <cell r="AE931" t="str"/>
          <cell r="AF931" t="str"/>
        </row>
        <row r="932">
          <cell r="B932" t="str"/>
          <cell r="C932" t="str"/>
          <cell r="D932" t="str"/>
          <cell r="E932" t="str"/>
          <cell r="F932" t="str"/>
          <cell r="G932" t="str"/>
          <cell r="H932" t="str"/>
          <cell r="I932" t="str"/>
          <cell r="J932" t="str"/>
          <cell r="K932" t="str"/>
          <cell r="L932" t="str"/>
          <cell r="M932" t="str"/>
          <cell r="N932" t="str"/>
          <cell r="O932" t="str"/>
          <cell r="P932" t="str"/>
          <cell r="Q932" t="str"/>
          <cell r="R932" t="str"/>
          <cell r="S932" t="str"/>
          <cell r="T932" t="str"/>
          <cell r="U932" t="str"/>
          <cell r="V932" t="str"/>
          <cell r="W932" t="str"/>
          <cell r="X932" t="str"/>
          <cell r="Y932" t="str"/>
        </row>
        <row r="932">
          <cell r="AA932" t="str"/>
          <cell r="AB932" t="str"/>
          <cell r="AC932" t="str"/>
          <cell r="AD932" t="str"/>
          <cell r="AE932" t="str"/>
          <cell r="AF932" t="str"/>
        </row>
        <row r="933">
          <cell r="B933" t="str"/>
          <cell r="C933" t="str"/>
          <cell r="D933" t="str"/>
          <cell r="E933" t="str"/>
          <cell r="F933" t="str"/>
          <cell r="G933" t="str"/>
          <cell r="H933" t="str"/>
          <cell r="I933" t="str"/>
          <cell r="J933" t="str"/>
          <cell r="K933" t="str"/>
          <cell r="L933" t="str"/>
          <cell r="M933" t="str"/>
          <cell r="N933" t="str"/>
          <cell r="O933" t="str"/>
          <cell r="P933" t="str"/>
          <cell r="Q933" t="str"/>
          <cell r="R933" t="str"/>
          <cell r="S933" t="str"/>
          <cell r="T933" t="str"/>
          <cell r="U933" t="str"/>
          <cell r="V933" t="str"/>
          <cell r="W933" t="str"/>
          <cell r="X933" t="str"/>
          <cell r="Y933" t="str"/>
        </row>
        <row r="933">
          <cell r="AA933" t="str"/>
          <cell r="AB933" t="str"/>
          <cell r="AC933" t="str"/>
          <cell r="AD933" t="str"/>
          <cell r="AE933" t="str"/>
          <cell r="AF933" t="str"/>
        </row>
        <row r="934">
          <cell r="B934" t="str"/>
          <cell r="C934" t="str"/>
          <cell r="D934" t="str"/>
          <cell r="E934" t="str"/>
          <cell r="F934" t="str"/>
          <cell r="G934" t="str"/>
          <cell r="H934" t="str"/>
          <cell r="I934" t="str"/>
          <cell r="J934" t="str"/>
          <cell r="K934" t="str"/>
          <cell r="L934" t="str"/>
          <cell r="M934" t="str"/>
          <cell r="N934" t="str"/>
          <cell r="O934" t="str"/>
          <cell r="P934" t="str"/>
          <cell r="Q934" t="str"/>
          <cell r="R934" t="str"/>
          <cell r="S934" t="str"/>
          <cell r="T934" t="str"/>
          <cell r="U934" t="str"/>
          <cell r="V934" t="str"/>
          <cell r="W934" t="str"/>
          <cell r="X934" t="str"/>
          <cell r="Y934" t="str"/>
        </row>
        <row r="934">
          <cell r="AA934" t="str"/>
          <cell r="AB934" t="str"/>
          <cell r="AC934" t="str"/>
          <cell r="AD934" t="str"/>
          <cell r="AE934" t="str"/>
          <cell r="AF934" t="str"/>
        </row>
        <row r="935">
          <cell r="B935" t="str"/>
          <cell r="C935" t="str"/>
          <cell r="D935" t="str"/>
          <cell r="E935" t="str"/>
          <cell r="F935" t="str"/>
          <cell r="G935" t="str"/>
          <cell r="H935" t="str"/>
          <cell r="I935" t="str"/>
          <cell r="J935" t="str"/>
          <cell r="K935" t="str"/>
          <cell r="L935" t="str"/>
          <cell r="M935" t="str"/>
          <cell r="N935" t="str"/>
          <cell r="O935" t="str"/>
          <cell r="P935" t="str"/>
          <cell r="Q935" t="str"/>
          <cell r="R935" t="str"/>
          <cell r="S935" t="str"/>
          <cell r="T935" t="str"/>
          <cell r="U935" t="str"/>
          <cell r="V935" t="str"/>
          <cell r="W935" t="str"/>
          <cell r="X935" t="str"/>
          <cell r="Y935" t="str"/>
        </row>
        <row r="935">
          <cell r="AA935" t="str"/>
          <cell r="AB935" t="str"/>
          <cell r="AC935" t="str"/>
          <cell r="AD935" t="str"/>
          <cell r="AE935" t="str"/>
          <cell r="AF935" t="str"/>
        </row>
        <row r="936">
          <cell r="B936" t="str"/>
          <cell r="C936" t="str"/>
          <cell r="D936" t="str"/>
          <cell r="E936" t="str"/>
          <cell r="F936" t="str"/>
          <cell r="G936" t="str"/>
          <cell r="H936" t="str"/>
          <cell r="I936" t="str"/>
          <cell r="J936" t="str"/>
          <cell r="K936" t="str"/>
          <cell r="L936" t="str"/>
          <cell r="M936" t="str"/>
          <cell r="N936" t="str"/>
          <cell r="O936" t="str"/>
          <cell r="P936" t="str"/>
          <cell r="Q936" t="str"/>
          <cell r="R936" t="str"/>
          <cell r="S936" t="str"/>
          <cell r="T936" t="str"/>
          <cell r="U936" t="str"/>
          <cell r="V936" t="str"/>
          <cell r="W936" t="str"/>
          <cell r="X936" t="str"/>
          <cell r="Y936" t="str"/>
        </row>
        <row r="936">
          <cell r="AA936" t="str"/>
          <cell r="AB936" t="str"/>
          <cell r="AC936" t="str"/>
          <cell r="AD936" t="str"/>
          <cell r="AE936" t="str"/>
          <cell r="AF936" t="str"/>
        </row>
        <row r="937">
          <cell r="B937" t="str"/>
          <cell r="C937" t="str"/>
          <cell r="D937" t="str"/>
          <cell r="E937" t="str"/>
          <cell r="F937" t="str"/>
          <cell r="G937" t="str"/>
          <cell r="H937" t="str"/>
          <cell r="I937" t="str"/>
          <cell r="J937" t="str"/>
          <cell r="K937" t="str"/>
          <cell r="L937" t="str"/>
          <cell r="M937" t="str"/>
          <cell r="N937" t="str"/>
          <cell r="O937" t="str"/>
          <cell r="P937" t="str"/>
          <cell r="Q937" t="str"/>
          <cell r="R937" t="str"/>
          <cell r="S937" t="str"/>
          <cell r="T937" t="str"/>
          <cell r="U937" t="str"/>
          <cell r="V937" t="str"/>
          <cell r="W937" t="str"/>
          <cell r="X937" t="str"/>
          <cell r="Y937" t="str"/>
        </row>
        <row r="937">
          <cell r="AA937" t="str"/>
          <cell r="AB937" t="str"/>
          <cell r="AC937" t="str"/>
          <cell r="AD937" t="str"/>
          <cell r="AE937" t="str"/>
          <cell r="AF937" t="str"/>
        </row>
        <row r="938">
          <cell r="B938" t="str"/>
          <cell r="C938" t="str"/>
          <cell r="D938" t="str"/>
          <cell r="E938" t="str"/>
          <cell r="F938" t="str"/>
          <cell r="G938" t="str"/>
          <cell r="H938" t="str"/>
          <cell r="I938" t="str"/>
          <cell r="J938" t="str"/>
          <cell r="K938" t="str"/>
          <cell r="L938" t="str"/>
          <cell r="M938" t="str"/>
          <cell r="N938" t="str"/>
          <cell r="O938" t="str"/>
          <cell r="P938" t="str"/>
          <cell r="Q938" t="str"/>
          <cell r="R938" t="str"/>
          <cell r="S938" t="str"/>
          <cell r="T938" t="str"/>
          <cell r="U938" t="str"/>
          <cell r="V938" t="str"/>
          <cell r="W938" t="str"/>
          <cell r="X938" t="str"/>
          <cell r="Y938" t="str"/>
        </row>
        <row r="938">
          <cell r="AA938" t="str"/>
          <cell r="AB938" t="str"/>
          <cell r="AC938" t="str"/>
          <cell r="AD938" t="str"/>
          <cell r="AE938" t="str"/>
          <cell r="AF938" t="str"/>
        </row>
        <row r="939">
          <cell r="B939" t="str"/>
          <cell r="C939" t="str"/>
          <cell r="D939" t="str"/>
          <cell r="E939" t="str"/>
          <cell r="F939" t="str"/>
          <cell r="G939" t="str"/>
          <cell r="H939" t="str"/>
          <cell r="I939" t="str"/>
          <cell r="J939" t="str"/>
          <cell r="K939" t="str"/>
          <cell r="L939" t="str"/>
          <cell r="M939" t="str"/>
          <cell r="N939" t="str"/>
          <cell r="O939" t="str"/>
          <cell r="P939" t="str"/>
          <cell r="Q939" t="str"/>
          <cell r="R939" t="str"/>
          <cell r="S939" t="str"/>
          <cell r="T939" t="str"/>
          <cell r="U939" t="str"/>
          <cell r="V939" t="str"/>
          <cell r="W939" t="str"/>
          <cell r="X939" t="str"/>
          <cell r="Y939" t="str"/>
        </row>
        <row r="939">
          <cell r="AA939" t="str"/>
          <cell r="AB939" t="str"/>
          <cell r="AC939" t="str"/>
          <cell r="AD939" t="str"/>
          <cell r="AE939" t="str"/>
          <cell r="AF939" t="str"/>
        </row>
        <row r="940">
          <cell r="B940" t="str"/>
          <cell r="C940" t="str"/>
          <cell r="D940" t="str"/>
          <cell r="E940" t="str"/>
          <cell r="F940" t="str"/>
          <cell r="G940" t="str"/>
          <cell r="H940" t="str"/>
          <cell r="I940" t="str"/>
          <cell r="J940" t="str"/>
          <cell r="K940" t="str"/>
          <cell r="L940" t="str"/>
          <cell r="M940" t="str"/>
          <cell r="N940" t="str"/>
          <cell r="O940" t="str"/>
          <cell r="P940" t="str"/>
          <cell r="Q940" t="str"/>
          <cell r="R940" t="str"/>
          <cell r="S940" t="str"/>
          <cell r="T940" t="str"/>
          <cell r="U940" t="str"/>
          <cell r="V940" t="str"/>
          <cell r="W940" t="str"/>
          <cell r="X940" t="str"/>
          <cell r="Y940" t="str"/>
        </row>
        <row r="940">
          <cell r="AA940" t="str"/>
          <cell r="AB940" t="str"/>
          <cell r="AC940" t="str"/>
          <cell r="AD940" t="str"/>
          <cell r="AE940" t="str"/>
          <cell r="AF940" t="str"/>
        </row>
        <row r="941">
          <cell r="B941" t="str"/>
          <cell r="C941" t="str"/>
          <cell r="D941" t="str"/>
          <cell r="E941" t="str"/>
          <cell r="F941" t="str"/>
          <cell r="G941" t="str"/>
          <cell r="H941" t="str"/>
          <cell r="I941" t="str"/>
          <cell r="J941" t="str"/>
          <cell r="K941" t="str"/>
          <cell r="L941" t="str"/>
          <cell r="M941" t="str"/>
          <cell r="N941" t="str"/>
          <cell r="O941" t="str"/>
          <cell r="P941" t="str"/>
          <cell r="Q941" t="str"/>
          <cell r="R941" t="str"/>
          <cell r="S941" t="str"/>
          <cell r="T941" t="str"/>
          <cell r="U941" t="str"/>
          <cell r="V941" t="str"/>
          <cell r="W941" t="str"/>
          <cell r="X941" t="str"/>
          <cell r="Y941" t="str"/>
        </row>
        <row r="941">
          <cell r="AA941" t="str"/>
          <cell r="AB941" t="str"/>
          <cell r="AC941" t="str"/>
          <cell r="AD941" t="str"/>
          <cell r="AE941" t="str"/>
          <cell r="AF941" t="str"/>
        </row>
        <row r="942">
          <cell r="B942" t="str"/>
          <cell r="C942" t="str"/>
          <cell r="D942" t="str"/>
          <cell r="E942" t="str"/>
          <cell r="F942" t="str"/>
          <cell r="G942" t="str"/>
          <cell r="H942" t="str"/>
          <cell r="I942" t="str"/>
          <cell r="J942" t="str"/>
          <cell r="K942" t="str"/>
          <cell r="L942" t="str"/>
          <cell r="M942" t="str"/>
          <cell r="N942" t="str"/>
          <cell r="O942" t="str"/>
          <cell r="P942" t="str"/>
          <cell r="Q942" t="str"/>
          <cell r="R942" t="str"/>
          <cell r="S942" t="str"/>
          <cell r="T942" t="str"/>
          <cell r="U942" t="str"/>
          <cell r="V942" t="str"/>
          <cell r="W942" t="str"/>
          <cell r="X942" t="str"/>
          <cell r="Y942" t="str"/>
        </row>
        <row r="942">
          <cell r="AA942" t="str"/>
          <cell r="AB942" t="str"/>
          <cell r="AC942" t="str"/>
          <cell r="AD942" t="str"/>
          <cell r="AE942" t="str"/>
          <cell r="AF942" t="str"/>
        </row>
        <row r="943">
          <cell r="B943" t="str"/>
          <cell r="C943" t="str"/>
          <cell r="D943" t="str"/>
          <cell r="E943" t="str"/>
          <cell r="F943" t="str"/>
          <cell r="G943" t="str"/>
          <cell r="H943" t="str"/>
          <cell r="I943" t="str"/>
          <cell r="J943" t="str"/>
          <cell r="K943" t="str"/>
          <cell r="L943" t="str"/>
          <cell r="M943" t="str"/>
          <cell r="N943" t="str"/>
          <cell r="O943" t="str"/>
          <cell r="P943" t="str"/>
          <cell r="Q943" t="str"/>
          <cell r="R943" t="str"/>
          <cell r="S943" t="str"/>
          <cell r="T943" t="str"/>
          <cell r="U943" t="str"/>
          <cell r="V943" t="str"/>
          <cell r="W943" t="str"/>
          <cell r="X943" t="str"/>
          <cell r="Y943" t="str"/>
        </row>
        <row r="943">
          <cell r="AA943" t="str"/>
          <cell r="AB943" t="str"/>
          <cell r="AC943" t="str"/>
          <cell r="AD943" t="str"/>
          <cell r="AE943" t="str"/>
          <cell r="AF943" t="str"/>
        </row>
        <row r="944">
          <cell r="B944" t="str"/>
          <cell r="C944" t="str"/>
          <cell r="D944" t="str"/>
          <cell r="E944" t="str"/>
          <cell r="F944" t="str"/>
          <cell r="G944" t="str"/>
          <cell r="H944" t="str"/>
          <cell r="I944" t="str"/>
          <cell r="J944" t="str"/>
          <cell r="K944" t="str"/>
          <cell r="L944" t="str"/>
          <cell r="M944" t="str"/>
          <cell r="N944" t="str"/>
          <cell r="O944" t="str"/>
          <cell r="P944" t="str"/>
          <cell r="Q944" t="str"/>
          <cell r="R944" t="str"/>
          <cell r="S944" t="str"/>
          <cell r="T944" t="str"/>
          <cell r="U944" t="str"/>
          <cell r="V944" t="str"/>
          <cell r="W944" t="str"/>
          <cell r="X944" t="str"/>
          <cell r="Y944" t="str"/>
        </row>
        <row r="944">
          <cell r="AA944" t="str"/>
          <cell r="AB944" t="str"/>
          <cell r="AC944" t="str"/>
          <cell r="AD944" t="str"/>
          <cell r="AE944" t="str"/>
          <cell r="AF944" t="str"/>
        </row>
        <row r="945">
          <cell r="B945" t="str"/>
          <cell r="C945" t="str"/>
          <cell r="D945" t="str"/>
          <cell r="E945" t="str"/>
          <cell r="F945" t="str"/>
          <cell r="G945" t="str"/>
          <cell r="H945" t="str"/>
          <cell r="I945" t="str"/>
          <cell r="J945" t="str"/>
          <cell r="K945" t="str"/>
          <cell r="L945" t="str"/>
          <cell r="M945" t="str"/>
          <cell r="N945" t="str"/>
          <cell r="O945" t="str"/>
          <cell r="P945" t="str"/>
          <cell r="Q945" t="str"/>
          <cell r="R945" t="str"/>
          <cell r="S945" t="str"/>
          <cell r="T945" t="str"/>
          <cell r="U945" t="str"/>
          <cell r="V945" t="str"/>
          <cell r="W945" t="str"/>
          <cell r="X945" t="str"/>
          <cell r="Y945" t="str"/>
        </row>
        <row r="945">
          <cell r="AA945" t="str"/>
          <cell r="AB945" t="str"/>
          <cell r="AC945" t="str"/>
          <cell r="AD945" t="str"/>
          <cell r="AE945" t="str"/>
          <cell r="AF945" t="str"/>
        </row>
        <row r="946">
          <cell r="B946" t="str"/>
          <cell r="C946" t="str"/>
          <cell r="D946" t="str"/>
          <cell r="E946" t="str"/>
          <cell r="F946" t="str"/>
          <cell r="G946" t="str"/>
          <cell r="H946" t="str"/>
          <cell r="I946" t="str"/>
          <cell r="J946" t="str"/>
          <cell r="K946" t="str"/>
          <cell r="L946" t="str"/>
          <cell r="M946" t="str"/>
          <cell r="N946" t="str"/>
          <cell r="O946" t="str"/>
          <cell r="P946" t="str"/>
          <cell r="Q946" t="str"/>
          <cell r="R946" t="str"/>
          <cell r="S946" t="str"/>
          <cell r="T946" t="str"/>
          <cell r="U946" t="str"/>
          <cell r="V946" t="str"/>
          <cell r="W946" t="str"/>
          <cell r="X946" t="str"/>
          <cell r="Y946" t="str"/>
        </row>
        <row r="946">
          <cell r="AA946" t="str"/>
          <cell r="AB946" t="str"/>
          <cell r="AC946" t="str"/>
          <cell r="AD946" t="str"/>
          <cell r="AE946" t="str"/>
          <cell r="AF946" t="str"/>
        </row>
        <row r="947">
          <cell r="B947" t="str"/>
          <cell r="C947" t="str"/>
          <cell r="D947" t="str"/>
          <cell r="E947" t="str"/>
          <cell r="F947" t="str"/>
          <cell r="G947" t="str"/>
          <cell r="H947" t="str"/>
          <cell r="I947" t="str"/>
          <cell r="J947" t="str"/>
          <cell r="K947" t="str"/>
          <cell r="L947" t="str"/>
          <cell r="M947" t="str"/>
          <cell r="N947" t="str"/>
          <cell r="O947" t="str"/>
          <cell r="P947" t="str"/>
          <cell r="Q947" t="str"/>
          <cell r="R947" t="str"/>
          <cell r="S947" t="str"/>
          <cell r="T947" t="str"/>
          <cell r="U947" t="str"/>
          <cell r="V947" t="str"/>
          <cell r="W947" t="str"/>
          <cell r="X947" t="str"/>
          <cell r="Y947" t="str"/>
        </row>
        <row r="947">
          <cell r="AA947" t="str"/>
          <cell r="AB947" t="str"/>
          <cell r="AC947" t="str"/>
          <cell r="AD947" t="str"/>
          <cell r="AE947" t="str"/>
          <cell r="AF947" t="str"/>
        </row>
        <row r="948">
          <cell r="B948" t="str"/>
          <cell r="C948" t="str"/>
          <cell r="D948" t="str"/>
          <cell r="E948" t="str"/>
          <cell r="F948" t="str"/>
          <cell r="G948" t="str"/>
          <cell r="H948" t="str"/>
          <cell r="I948" t="str"/>
          <cell r="J948" t="str"/>
          <cell r="K948" t="str"/>
          <cell r="L948" t="str"/>
          <cell r="M948" t="str"/>
          <cell r="N948" t="str"/>
          <cell r="O948" t="str"/>
          <cell r="P948" t="str"/>
          <cell r="Q948" t="str"/>
          <cell r="R948" t="str"/>
          <cell r="S948" t="str"/>
          <cell r="T948" t="str"/>
          <cell r="U948" t="str"/>
          <cell r="V948" t="str"/>
          <cell r="W948" t="str"/>
          <cell r="X948" t="str"/>
          <cell r="Y948" t="str"/>
        </row>
        <row r="948">
          <cell r="AA948" t="str"/>
          <cell r="AB948" t="str"/>
          <cell r="AC948" t="str"/>
          <cell r="AD948" t="str"/>
          <cell r="AE948" t="str"/>
          <cell r="AF948" t="str"/>
        </row>
        <row r="949">
          <cell r="B949" t="str"/>
          <cell r="C949" t="str"/>
          <cell r="D949" t="str"/>
          <cell r="E949" t="str"/>
          <cell r="F949" t="str"/>
          <cell r="G949" t="str"/>
          <cell r="H949" t="str"/>
          <cell r="I949" t="str"/>
          <cell r="J949" t="str"/>
          <cell r="K949" t="str"/>
          <cell r="L949" t="str"/>
          <cell r="M949" t="str"/>
          <cell r="N949" t="str"/>
          <cell r="O949" t="str"/>
          <cell r="P949" t="str"/>
          <cell r="Q949" t="str"/>
          <cell r="R949" t="str"/>
          <cell r="S949" t="str"/>
          <cell r="T949" t="str"/>
          <cell r="U949" t="str"/>
          <cell r="V949" t="str"/>
          <cell r="W949" t="str"/>
          <cell r="X949" t="str"/>
          <cell r="Y949" t="str"/>
        </row>
        <row r="949">
          <cell r="AA949" t="str"/>
          <cell r="AB949" t="str"/>
          <cell r="AC949" t="str"/>
          <cell r="AD949" t="str"/>
          <cell r="AE949" t="str"/>
          <cell r="AF949" t="str"/>
        </row>
        <row r="950">
          <cell r="B950" t="str"/>
          <cell r="C950" t="str"/>
          <cell r="D950" t="str"/>
          <cell r="E950" t="str"/>
          <cell r="F950" t="str"/>
          <cell r="G950" t="str"/>
          <cell r="H950" t="str"/>
          <cell r="I950" t="str"/>
          <cell r="J950" t="str"/>
          <cell r="K950" t="str"/>
          <cell r="L950" t="str"/>
          <cell r="M950" t="str"/>
          <cell r="N950" t="str"/>
          <cell r="O950" t="str"/>
          <cell r="P950" t="str"/>
          <cell r="Q950" t="str"/>
          <cell r="R950" t="str"/>
          <cell r="S950" t="str"/>
          <cell r="T950" t="str"/>
          <cell r="U950" t="str"/>
          <cell r="V950" t="str"/>
          <cell r="W950" t="str"/>
          <cell r="X950" t="str"/>
          <cell r="Y950" t="str"/>
        </row>
        <row r="950">
          <cell r="AA950" t="str"/>
          <cell r="AB950" t="str"/>
          <cell r="AC950" t="str"/>
          <cell r="AD950" t="str"/>
          <cell r="AE950" t="str"/>
          <cell r="AF950" t="str"/>
        </row>
        <row r="951">
          <cell r="B951" t="str"/>
          <cell r="C951" t="str"/>
          <cell r="D951" t="str"/>
          <cell r="E951" t="str"/>
          <cell r="F951" t="str"/>
          <cell r="G951" t="str"/>
          <cell r="H951" t="str"/>
          <cell r="I951" t="str"/>
          <cell r="J951" t="str"/>
          <cell r="K951" t="str"/>
          <cell r="L951" t="str"/>
          <cell r="M951" t="str"/>
          <cell r="N951" t="str"/>
          <cell r="O951" t="str"/>
          <cell r="P951" t="str"/>
          <cell r="Q951" t="str"/>
          <cell r="R951" t="str"/>
          <cell r="S951" t="str"/>
          <cell r="T951" t="str"/>
          <cell r="U951" t="str"/>
          <cell r="V951" t="str"/>
          <cell r="W951" t="str"/>
          <cell r="X951" t="str"/>
          <cell r="Y951" t="str"/>
        </row>
        <row r="951">
          <cell r="AA951" t="str"/>
          <cell r="AB951" t="str"/>
          <cell r="AC951" t="str"/>
          <cell r="AD951" t="str"/>
          <cell r="AE951" t="str"/>
          <cell r="AF951" t="str"/>
        </row>
        <row r="952">
          <cell r="B952" t="str"/>
          <cell r="C952" t="str"/>
          <cell r="D952" t="str"/>
          <cell r="E952" t="str"/>
          <cell r="F952" t="str"/>
          <cell r="G952" t="str"/>
          <cell r="H952" t="str"/>
          <cell r="I952" t="str"/>
          <cell r="J952" t="str"/>
          <cell r="K952" t="str"/>
          <cell r="L952" t="str"/>
          <cell r="M952" t="str"/>
          <cell r="N952" t="str"/>
          <cell r="O952" t="str"/>
          <cell r="P952" t="str"/>
          <cell r="Q952" t="str"/>
          <cell r="R952" t="str"/>
          <cell r="S952" t="str"/>
          <cell r="T952" t="str"/>
          <cell r="U952" t="str"/>
          <cell r="V952" t="str"/>
          <cell r="W952" t="str"/>
          <cell r="X952" t="str"/>
          <cell r="Y952" t="str"/>
        </row>
        <row r="952">
          <cell r="AA952" t="str"/>
          <cell r="AB952" t="str"/>
          <cell r="AC952" t="str"/>
          <cell r="AD952" t="str"/>
          <cell r="AE952" t="str"/>
          <cell r="AF952" t="str"/>
        </row>
        <row r="953">
          <cell r="B953" t="str"/>
          <cell r="C953" t="str"/>
          <cell r="D953" t="str"/>
          <cell r="E953" t="str"/>
          <cell r="F953" t="str"/>
          <cell r="G953" t="str"/>
          <cell r="H953" t="str"/>
          <cell r="I953" t="str"/>
          <cell r="J953" t="str"/>
          <cell r="K953" t="str"/>
          <cell r="L953" t="str"/>
          <cell r="M953" t="str"/>
          <cell r="N953" t="str"/>
          <cell r="O953" t="str"/>
          <cell r="P953" t="str"/>
          <cell r="Q953" t="str"/>
          <cell r="R953" t="str"/>
          <cell r="S953" t="str"/>
          <cell r="T953" t="str"/>
          <cell r="U953" t="str"/>
          <cell r="V953" t="str"/>
          <cell r="W953" t="str"/>
          <cell r="X953" t="str"/>
          <cell r="Y953" t="str"/>
        </row>
        <row r="953">
          <cell r="AA953" t="str"/>
          <cell r="AB953" t="str"/>
          <cell r="AC953" t="str"/>
          <cell r="AD953" t="str"/>
          <cell r="AE953" t="str"/>
          <cell r="AF953" t="str"/>
        </row>
        <row r="954">
          <cell r="B954" t="str"/>
          <cell r="C954" t="str"/>
          <cell r="D954" t="str"/>
          <cell r="E954" t="str"/>
          <cell r="F954" t="str"/>
          <cell r="G954" t="str"/>
          <cell r="H954" t="str"/>
          <cell r="I954" t="str"/>
          <cell r="J954" t="str"/>
          <cell r="K954" t="str"/>
          <cell r="L954" t="str"/>
          <cell r="M954" t="str"/>
          <cell r="N954" t="str"/>
          <cell r="O954" t="str"/>
          <cell r="P954" t="str"/>
          <cell r="Q954" t="str"/>
          <cell r="R954" t="str"/>
          <cell r="S954" t="str"/>
          <cell r="T954" t="str"/>
          <cell r="U954" t="str"/>
          <cell r="V954" t="str"/>
          <cell r="W954" t="str"/>
          <cell r="X954" t="str"/>
          <cell r="Y954" t="str"/>
        </row>
        <row r="954">
          <cell r="AA954" t="str"/>
          <cell r="AB954" t="str"/>
          <cell r="AC954" t="str"/>
          <cell r="AD954" t="str"/>
          <cell r="AE954" t="str"/>
          <cell r="AF954" t="str"/>
        </row>
        <row r="955">
          <cell r="B955" t="str"/>
          <cell r="C955" t="str"/>
          <cell r="D955" t="str"/>
          <cell r="E955" t="str"/>
          <cell r="F955" t="str"/>
          <cell r="G955" t="str"/>
          <cell r="H955" t="str"/>
          <cell r="I955" t="str"/>
          <cell r="J955" t="str"/>
          <cell r="K955" t="str"/>
          <cell r="L955" t="str"/>
          <cell r="M955" t="str"/>
          <cell r="N955" t="str"/>
          <cell r="O955" t="str"/>
          <cell r="P955" t="str"/>
          <cell r="Q955" t="str"/>
          <cell r="R955" t="str"/>
          <cell r="S955" t="str"/>
          <cell r="T955" t="str"/>
          <cell r="U955" t="str"/>
          <cell r="V955" t="str"/>
          <cell r="W955" t="str"/>
          <cell r="X955" t="str"/>
          <cell r="Y955" t="str"/>
        </row>
        <row r="955">
          <cell r="AA955" t="str"/>
          <cell r="AB955" t="str"/>
          <cell r="AC955" t="str"/>
          <cell r="AD955" t="str"/>
          <cell r="AE955" t="str"/>
          <cell r="AF955" t="str"/>
        </row>
        <row r="956">
          <cell r="B956" t="str"/>
          <cell r="C956" t="str"/>
          <cell r="D956" t="str"/>
          <cell r="E956" t="str"/>
          <cell r="F956" t="str"/>
          <cell r="G956" t="str"/>
          <cell r="H956" t="str"/>
          <cell r="I956" t="str"/>
          <cell r="J956" t="str"/>
          <cell r="K956" t="str"/>
          <cell r="L956" t="str"/>
          <cell r="M956" t="str"/>
          <cell r="N956" t="str"/>
          <cell r="O956" t="str"/>
          <cell r="P956" t="str"/>
          <cell r="Q956" t="str"/>
          <cell r="R956" t="str"/>
          <cell r="S956" t="str"/>
          <cell r="T956" t="str"/>
          <cell r="U956" t="str"/>
          <cell r="V956" t="str"/>
          <cell r="W956" t="str"/>
          <cell r="X956" t="str"/>
          <cell r="Y956" t="str"/>
        </row>
        <row r="956">
          <cell r="AA956" t="str"/>
          <cell r="AB956" t="str"/>
          <cell r="AC956" t="str"/>
          <cell r="AD956" t="str"/>
          <cell r="AE956" t="str"/>
          <cell r="AF956" t="str"/>
        </row>
        <row r="957">
          <cell r="B957" t="str"/>
          <cell r="C957" t="str"/>
          <cell r="D957" t="str"/>
          <cell r="E957" t="str"/>
          <cell r="F957" t="str"/>
          <cell r="G957" t="str"/>
          <cell r="H957" t="str"/>
          <cell r="I957" t="str"/>
          <cell r="J957" t="str"/>
          <cell r="K957" t="str"/>
          <cell r="L957" t="str"/>
          <cell r="M957" t="str"/>
          <cell r="N957" t="str"/>
          <cell r="O957" t="str"/>
          <cell r="P957" t="str"/>
          <cell r="Q957" t="str"/>
          <cell r="R957" t="str"/>
          <cell r="S957" t="str"/>
          <cell r="T957" t="str"/>
          <cell r="U957" t="str"/>
          <cell r="V957" t="str"/>
          <cell r="W957" t="str"/>
          <cell r="X957" t="str"/>
          <cell r="Y957" t="str"/>
        </row>
        <row r="957">
          <cell r="AA957" t="str"/>
          <cell r="AB957" t="str"/>
          <cell r="AC957" t="str"/>
          <cell r="AD957" t="str"/>
          <cell r="AE957" t="str"/>
          <cell r="AF957" t="str"/>
        </row>
        <row r="958">
          <cell r="B958" t="str"/>
          <cell r="C958" t="str"/>
          <cell r="D958" t="str"/>
          <cell r="E958" t="str"/>
          <cell r="F958" t="str"/>
          <cell r="G958" t="str"/>
          <cell r="H958" t="str"/>
          <cell r="I958" t="str"/>
          <cell r="J958" t="str"/>
          <cell r="K958" t="str"/>
          <cell r="L958" t="str"/>
          <cell r="M958" t="str"/>
          <cell r="N958" t="str"/>
          <cell r="O958" t="str"/>
          <cell r="P958" t="str"/>
          <cell r="Q958" t="str"/>
          <cell r="R958" t="str"/>
          <cell r="S958" t="str"/>
          <cell r="T958" t="str"/>
          <cell r="U958" t="str"/>
          <cell r="V958" t="str"/>
          <cell r="W958" t="str"/>
          <cell r="X958" t="str"/>
          <cell r="Y958" t="str"/>
        </row>
        <row r="958">
          <cell r="AA958" t="str"/>
          <cell r="AB958" t="str"/>
          <cell r="AC958" t="str"/>
          <cell r="AD958" t="str"/>
          <cell r="AE958" t="str"/>
          <cell r="AF958" t="str"/>
        </row>
        <row r="959">
          <cell r="B959" t="str"/>
          <cell r="C959" t="str"/>
          <cell r="D959" t="str"/>
          <cell r="E959" t="str"/>
          <cell r="F959" t="str"/>
          <cell r="G959" t="str"/>
          <cell r="H959" t="str"/>
          <cell r="I959" t="str"/>
          <cell r="J959" t="str"/>
          <cell r="K959" t="str"/>
          <cell r="L959" t="str"/>
          <cell r="M959" t="str"/>
          <cell r="N959" t="str"/>
          <cell r="O959" t="str"/>
          <cell r="P959" t="str"/>
          <cell r="Q959" t="str"/>
          <cell r="R959" t="str"/>
          <cell r="S959" t="str"/>
          <cell r="T959" t="str"/>
          <cell r="U959" t="str"/>
          <cell r="V959" t="str"/>
          <cell r="W959" t="str"/>
          <cell r="X959" t="str"/>
          <cell r="Y959" t="str"/>
        </row>
        <row r="959">
          <cell r="AA959" t="str"/>
          <cell r="AB959" t="str"/>
          <cell r="AC959" t="str"/>
          <cell r="AD959" t="str"/>
          <cell r="AE959" t="str"/>
          <cell r="AF959" t="str"/>
        </row>
        <row r="960">
          <cell r="B960" t="str"/>
          <cell r="C960" t="str"/>
          <cell r="D960" t="str"/>
          <cell r="E960" t="str"/>
          <cell r="F960" t="str"/>
          <cell r="G960" t="str"/>
          <cell r="H960" t="str"/>
          <cell r="I960" t="str"/>
          <cell r="J960" t="str"/>
          <cell r="K960" t="str"/>
          <cell r="L960" t="str"/>
          <cell r="M960" t="str"/>
          <cell r="N960" t="str"/>
          <cell r="O960" t="str"/>
          <cell r="P960" t="str"/>
          <cell r="Q960" t="str"/>
          <cell r="R960" t="str"/>
          <cell r="S960" t="str"/>
          <cell r="T960" t="str"/>
          <cell r="U960" t="str"/>
          <cell r="V960" t="str"/>
          <cell r="W960" t="str"/>
          <cell r="X960" t="str"/>
          <cell r="Y960" t="str"/>
        </row>
        <row r="960">
          <cell r="AA960" t="str"/>
          <cell r="AB960" t="str"/>
          <cell r="AC960" t="str"/>
          <cell r="AD960" t="str"/>
          <cell r="AE960" t="str"/>
          <cell r="AF960" t="str"/>
        </row>
        <row r="961">
          <cell r="B961" t="str"/>
          <cell r="C961" t="str"/>
          <cell r="D961" t="str"/>
          <cell r="E961" t="str"/>
          <cell r="F961" t="str"/>
          <cell r="G961" t="str"/>
          <cell r="H961" t="str"/>
          <cell r="I961" t="str"/>
          <cell r="J961" t="str"/>
          <cell r="K961" t="str"/>
          <cell r="L961" t="str"/>
          <cell r="M961" t="str"/>
          <cell r="N961" t="str"/>
          <cell r="O961" t="str"/>
          <cell r="P961" t="str"/>
          <cell r="Q961" t="str"/>
          <cell r="R961" t="str"/>
          <cell r="S961" t="str"/>
          <cell r="T961" t="str"/>
          <cell r="U961" t="str"/>
          <cell r="V961" t="str"/>
          <cell r="W961" t="str"/>
          <cell r="X961" t="str"/>
          <cell r="Y961" t="str"/>
        </row>
        <row r="961">
          <cell r="AA961" t="str"/>
          <cell r="AB961" t="str"/>
          <cell r="AC961" t="str"/>
          <cell r="AD961" t="str"/>
          <cell r="AE961" t="str"/>
          <cell r="AF961" t="str"/>
        </row>
        <row r="962">
          <cell r="B962" t="str"/>
          <cell r="C962" t="str"/>
          <cell r="D962" t="str"/>
          <cell r="E962" t="str"/>
          <cell r="F962" t="str"/>
          <cell r="G962" t="str"/>
          <cell r="H962" t="str"/>
          <cell r="I962" t="str"/>
          <cell r="J962" t="str"/>
          <cell r="K962" t="str"/>
          <cell r="L962" t="str"/>
          <cell r="M962" t="str"/>
          <cell r="N962" t="str"/>
          <cell r="O962" t="str"/>
          <cell r="P962" t="str"/>
          <cell r="Q962" t="str"/>
          <cell r="R962" t="str"/>
          <cell r="S962" t="str"/>
          <cell r="T962" t="str"/>
          <cell r="U962" t="str"/>
          <cell r="V962" t="str"/>
          <cell r="W962" t="str"/>
          <cell r="X962" t="str"/>
          <cell r="Y962" t="str"/>
        </row>
        <row r="962">
          <cell r="AA962" t="str"/>
          <cell r="AB962" t="str"/>
          <cell r="AC962" t="str"/>
          <cell r="AD962" t="str"/>
          <cell r="AE962" t="str"/>
          <cell r="AF962" t="str"/>
        </row>
        <row r="963">
          <cell r="B963" t="str"/>
          <cell r="C963" t="str"/>
          <cell r="D963" t="str"/>
          <cell r="E963" t="str"/>
          <cell r="F963" t="str"/>
          <cell r="G963" t="str"/>
          <cell r="H963" t="str"/>
          <cell r="I963" t="str"/>
          <cell r="J963" t="str"/>
          <cell r="K963" t="str"/>
          <cell r="L963" t="str"/>
          <cell r="M963" t="str"/>
          <cell r="N963" t="str"/>
          <cell r="O963" t="str"/>
          <cell r="P963" t="str"/>
          <cell r="Q963" t="str"/>
          <cell r="R963" t="str"/>
          <cell r="S963" t="str"/>
          <cell r="T963" t="str"/>
          <cell r="U963" t="str"/>
          <cell r="V963" t="str"/>
          <cell r="W963" t="str"/>
          <cell r="X963" t="str"/>
          <cell r="Y963" t="str"/>
        </row>
        <row r="963">
          <cell r="AA963" t="str"/>
          <cell r="AB963" t="str"/>
          <cell r="AC963" t="str"/>
          <cell r="AD963" t="str"/>
          <cell r="AE963" t="str"/>
          <cell r="AF963" t="str"/>
        </row>
        <row r="964">
          <cell r="B964" t="str"/>
          <cell r="C964" t="str"/>
          <cell r="D964" t="str"/>
          <cell r="E964" t="str"/>
          <cell r="F964" t="str"/>
          <cell r="G964" t="str"/>
          <cell r="H964" t="str"/>
          <cell r="I964" t="str"/>
          <cell r="J964" t="str"/>
          <cell r="K964" t="str"/>
          <cell r="L964" t="str"/>
          <cell r="M964" t="str"/>
          <cell r="N964" t="str"/>
          <cell r="O964" t="str"/>
          <cell r="P964" t="str"/>
          <cell r="Q964" t="str"/>
          <cell r="R964" t="str"/>
          <cell r="S964" t="str"/>
          <cell r="T964" t="str"/>
          <cell r="U964" t="str"/>
          <cell r="V964" t="str"/>
          <cell r="W964" t="str"/>
          <cell r="X964" t="str"/>
          <cell r="Y964" t="str"/>
        </row>
        <row r="964">
          <cell r="AA964" t="str"/>
          <cell r="AB964" t="str"/>
          <cell r="AC964" t="str"/>
          <cell r="AD964" t="str"/>
          <cell r="AE964" t="str"/>
          <cell r="AF964" t="str"/>
        </row>
        <row r="965">
          <cell r="B965" t="str"/>
          <cell r="C965" t="str"/>
          <cell r="D965" t="str"/>
          <cell r="E965" t="str"/>
          <cell r="F965" t="str"/>
          <cell r="G965" t="str"/>
          <cell r="H965" t="str"/>
          <cell r="I965" t="str"/>
          <cell r="J965" t="str"/>
          <cell r="K965" t="str"/>
          <cell r="L965" t="str"/>
          <cell r="M965" t="str"/>
          <cell r="N965" t="str"/>
          <cell r="O965" t="str"/>
          <cell r="P965" t="str"/>
          <cell r="Q965" t="str"/>
          <cell r="R965" t="str"/>
          <cell r="S965" t="str"/>
          <cell r="T965" t="str"/>
          <cell r="U965" t="str"/>
          <cell r="V965" t="str"/>
          <cell r="W965" t="str"/>
          <cell r="X965" t="str"/>
          <cell r="Y965" t="str"/>
        </row>
        <row r="965">
          <cell r="AA965" t="str"/>
          <cell r="AB965" t="str"/>
          <cell r="AC965" t="str"/>
          <cell r="AD965" t="str"/>
          <cell r="AE965" t="str"/>
          <cell r="AF965" t="str"/>
        </row>
        <row r="966">
          <cell r="B966" t="str"/>
          <cell r="C966" t="str"/>
          <cell r="D966" t="str"/>
          <cell r="E966" t="str"/>
          <cell r="F966" t="str"/>
          <cell r="G966" t="str"/>
          <cell r="H966" t="str"/>
          <cell r="I966" t="str"/>
          <cell r="J966" t="str"/>
          <cell r="K966" t="str"/>
          <cell r="L966" t="str"/>
          <cell r="M966" t="str"/>
          <cell r="N966" t="str"/>
          <cell r="O966" t="str"/>
          <cell r="P966" t="str"/>
          <cell r="Q966" t="str"/>
          <cell r="R966" t="str"/>
          <cell r="S966" t="str"/>
          <cell r="T966" t="str"/>
          <cell r="U966" t="str"/>
          <cell r="V966" t="str"/>
          <cell r="W966" t="str"/>
          <cell r="X966" t="str"/>
          <cell r="Y966" t="str"/>
        </row>
        <row r="966">
          <cell r="AA966" t="str"/>
          <cell r="AB966" t="str"/>
          <cell r="AC966" t="str"/>
          <cell r="AD966" t="str"/>
          <cell r="AE966" t="str"/>
          <cell r="AF966" t="str"/>
        </row>
        <row r="967">
          <cell r="B967" t="str"/>
          <cell r="C967" t="str"/>
          <cell r="D967" t="str"/>
          <cell r="E967" t="str"/>
          <cell r="F967" t="str"/>
          <cell r="G967" t="str"/>
          <cell r="H967" t="str"/>
          <cell r="I967" t="str"/>
          <cell r="J967" t="str"/>
          <cell r="K967" t="str"/>
          <cell r="L967" t="str"/>
          <cell r="M967" t="str"/>
          <cell r="N967" t="str"/>
          <cell r="O967" t="str"/>
          <cell r="P967" t="str"/>
          <cell r="Q967" t="str"/>
          <cell r="R967" t="str"/>
          <cell r="S967" t="str"/>
          <cell r="T967" t="str"/>
          <cell r="U967" t="str"/>
          <cell r="V967" t="str"/>
          <cell r="W967" t="str"/>
          <cell r="X967" t="str"/>
          <cell r="Y967" t="str"/>
        </row>
        <row r="967">
          <cell r="AA967" t="str"/>
          <cell r="AB967" t="str"/>
          <cell r="AC967" t="str"/>
          <cell r="AD967" t="str"/>
          <cell r="AE967" t="str"/>
          <cell r="AF967" t="str"/>
        </row>
        <row r="968">
          <cell r="B968" t="str"/>
          <cell r="C968" t="str"/>
          <cell r="D968" t="str"/>
          <cell r="E968" t="str"/>
          <cell r="F968" t="str"/>
          <cell r="G968" t="str"/>
          <cell r="H968" t="str"/>
          <cell r="I968" t="str"/>
          <cell r="J968" t="str"/>
          <cell r="K968" t="str"/>
          <cell r="L968" t="str"/>
          <cell r="M968" t="str"/>
          <cell r="N968" t="str"/>
          <cell r="O968" t="str"/>
          <cell r="P968" t="str"/>
          <cell r="Q968" t="str"/>
          <cell r="R968" t="str"/>
          <cell r="S968" t="str"/>
          <cell r="T968" t="str"/>
          <cell r="U968" t="str"/>
          <cell r="V968" t="str"/>
          <cell r="W968" t="str"/>
          <cell r="X968" t="str"/>
          <cell r="Y968" t="str"/>
        </row>
        <row r="968">
          <cell r="AA968" t="str"/>
          <cell r="AB968" t="str"/>
          <cell r="AC968" t="str"/>
          <cell r="AD968" t="str"/>
          <cell r="AE968" t="str"/>
          <cell r="AF968" t="str"/>
        </row>
        <row r="969">
          <cell r="B969" t="str"/>
          <cell r="C969" t="str"/>
          <cell r="D969" t="str"/>
          <cell r="E969" t="str"/>
          <cell r="F969" t="str"/>
          <cell r="G969" t="str"/>
          <cell r="H969" t="str"/>
          <cell r="I969" t="str"/>
          <cell r="J969" t="str"/>
          <cell r="K969" t="str"/>
          <cell r="L969" t="str"/>
          <cell r="M969" t="str"/>
          <cell r="N969" t="str"/>
          <cell r="O969" t="str"/>
          <cell r="P969" t="str"/>
          <cell r="Q969" t="str"/>
          <cell r="R969" t="str"/>
          <cell r="S969" t="str"/>
          <cell r="T969" t="str"/>
          <cell r="U969" t="str"/>
          <cell r="V969" t="str"/>
          <cell r="W969" t="str"/>
          <cell r="X969" t="str"/>
          <cell r="Y969" t="str"/>
        </row>
        <row r="969">
          <cell r="AA969" t="str"/>
          <cell r="AB969" t="str"/>
          <cell r="AC969" t="str"/>
          <cell r="AD969" t="str"/>
          <cell r="AE969" t="str"/>
          <cell r="AF969" t="str"/>
        </row>
        <row r="970">
          <cell r="B970" t="str"/>
          <cell r="C970" t="str"/>
          <cell r="D970" t="str"/>
          <cell r="E970" t="str"/>
          <cell r="F970" t="str"/>
          <cell r="G970" t="str"/>
          <cell r="H970" t="str"/>
          <cell r="I970" t="str"/>
          <cell r="J970" t="str"/>
          <cell r="K970" t="str"/>
          <cell r="L970" t="str"/>
          <cell r="M970" t="str"/>
          <cell r="N970" t="str"/>
          <cell r="O970" t="str"/>
          <cell r="P970" t="str"/>
          <cell r="Q970" t="str"/>
          <cell r="R970" t="str"/>
          <cell r="S970" t="str"/>
          <cell r="T970" t="str"/>
          <cell r="U970" t="str"/>
          <cell r="V970" t="str"/>
          <cell r="W970" t="str"/>
          <cell r="X970" t="str"/>
          <cell r="Y970" t="str"/>
        </row>
        <row r="970">
          <cell r="AA970" t="str"/>
          <cell r="AB970" t="str"/>
          <cell r="AC970" t="str"/>
          <cell r="AD970" t="str"/>
          <cell r="AE970" t="str"/>
          <cell r="AF970" t="str"/>
        </row>
        <row r="971">
          <cell r="B971" t="str"/>
          <cell r="C971" t="str"/>
          <cell r="D971" t="str"/>
          <cell r="E971" t="str"/>
          <cell r="F971" t="str"/>
          <cell r="G971" t="str"/>
          <cell r="H971" t="str"/>
          <cell r="I971" t="str"/>
          <cell r="J971" t="str"/>
          <cell r="K971" t="str"/>
          <cell r="L971" t="str"/>
          <cell r="M971" t="str"/>
          <cell r="N971" t="str"/>
          <cell r="O971" t="str"/>
          <cell r="P971" t="str"/>
          <cell r="Q971" t="str"/>
          <cell r="R971" t="str"/>
          <cell r="S971" t="str"/>
          <cell r="T971" t="str"/>
          <cell r="U971" t="str"/>
          <cell r="V971" t="str"/>
          <cell r="W971" t="str"/>
          <cell r="X971" t="str"/>
          <cell r="Y971" t="str"/>
        </row>
        <row r="971">
          <cell r="AA971" t="str"/>
          <cell r="AB971" t="str"/>
          <cell r="AC971" t="str"/>
          <cell r="AD971" t="str"/>
          <cell r="AE971" t="str"/>
          <cell r="AF971" t="str"/>
        </row>
        <row r="972">
          <cell r="B972" t="str"/>
          <cell r="C972" t="str"/>
          <cell r="D972" t="str"/>
          <cell r="E972" t="str"/>
          <cell r="F972" t="str"/>
          <cell r="G972" t="str"/>
          <cell r="H972" t="str"/>
          <cell r="I972" t="str"/>
          <cell r="J972" t="str"/>
          <cell r="K972" t="str"/>
          <cell r="L972" t="str"/>
          <cell r="M972" t="str"/>
          <cell r="N972" t="str"/>
          <cell r="O972" t="str"/>
          <cell r="P972" t="str"/>
          <cell r="Q972" t="str"/>
          <cell r="R972" t="str"/>
          <cell r="S972" t="str"/>
          <cell r="T972" t="str"/>
          <cell r="U972" t="str"/>
          <cell r="V972" t="str"/>
          <cell r="W972" t="str"/>
          <cell r="X972" t="str"/>
          <cell r="Y972" t="str"/>
        </row>
        <row r="972">
          <cell r="AA972" t="str"/>
          <cell r="AB972" t="str"/>
          <cell r="AC972" t="str"/>
          <cell r="AD972" t="str"/>
          <cell r="AE972" t="str"/>
          <cell r="AF972" t="str"/>
        </row>
        <row r="973">
          <cell r="B973" t="str"/>
          <cell r="C973" t="str"/>
          <cell r="D973" t="str"/>
          <cell r="E973" t="str"/>
          <cell r="F973" t="str"/>
          <cell r="G973" t="str"/>
          <cell r="H973" t="str"/>
          <cell r="I973" t="str"/>
          <cell r="J973" t="str"/>
          <cell r="K973" t="str"/>
          <cell r="L973" t="str"/>
          <cell r="M973" t="str"/>
          <cell r="N973" t="str"/>
          <cell r="O973" t="str"/>
          <cell r="P973" t="str"/>
          <cell r="Q973" t="str"/>
          <cell r="R973" t="str"/>
          <cell r="S973" t="str"/>
          <cell r="T973" t="str"/>
          <cell r="U973" t="str"/>
          <cell r="V973" t="str"/>
          <cell r="W973" t="str"/>
          <cell r="X973" t="str"/>
          <cell r="Y973" t="str"/>
        </row>
        <row r="973">
          <cell r="AA973" t="str"/>
          <cell r="AB973" t="str"/>
          <cell r="AC973" t="str"/>
          <cell r="AD973" t="str"/>
          <cell r="AE973" t="str"/>
          <cell r="AF973" t="str"/>
        </row>
        <row r="974">
          <cell r="B974" t="str"/>
          <cell r="C974" t="str"/>
          <cell r="D974" t="str"/>
          <cell r="E974" t="str"/>
          <cell r="F974" t="str"/>
          <cell r="G974" t="str"/>
          <cell r="H974" t="str"/>
          <cell r="I974" t="str"/>
          <cell r="J974" t="str"/>
          <cell r="K974" t="str"/>
          <cell r="L974" t="str"/>
          <cell r="M974" t="str"/>
          <cell r="N974" t="str"/>
          <cell r="O974" t="str"/>
          <cell r="P974" t="str"/>
          <cell r="Q974" t="str"/>
          <cell r="R974" t="str"/>
          <cell r="S974" t="str"/>
          <cell r="T974" t="str"/>
          <cell r="U974" t="str"/>
          <cell r="V974" t="str"/>
          <cell r="W974" t="str"/>
          <cell r="X974" t="str"/>
          <cell r="Y974" t="str"/>
        </row>
        <row r="974">
          <cell r="AA974" t="str"/>
          <cell r="AB974" t="str"/>
          <cell r="AC974" t="str"/>
          <cell r="AD974" t="str"/>
          <cell r="AE974" t="str"/>
          <cell r="AF974" t="str"/>
        </row>
        <row r="975">
          <cell r="B975" t="str"/>
          <cell r="C975" t="str"/>
          <cell r="D975" t="str"/>
          <cell r="E975" t="str"/>
          <cell r="F975" t="str"/>
          <cell r="G975" t="str"/>
          <cell r="H975" t="str"/>
          <cell r="I975" t="str"/>
          <cell r="J975" t="str"/>
          <cell r="K975" t="str"/>
          <cell r="L975" t="str"/>
          <cell r="M975" t="str"/>
          <cell r="N975" t="str"/>
          <cell r="O975" t="str"/>
          <cell r="P975" t="str"/>
          <cell r="Q975" t="str"/>
          <cell r="R975" t="str"/>
          <cell r="S975" t="str"/>
          <cell r="T975" t="str"/>
          <cell r="U975" t="str"/>
          <cell r="V975" t="str"/>
          <cell r="W975" t="str"/>
          <cell r="X975" t="str"/>
          <cell r="Y975" t="str"/>
        </row>
        <row r="975">
          <cell r="AA975" t="str"/>
          <cell r="AB975" t="str"/>
          <cell r="AC975" t="str"/>
          <cell r="AD975" t="str"/>
          <cell r="AE975" t="str"/>
          <cell r="AF975" t="str"/>
        </row>
        <row r="976">
          <cell r="B976" t="str"/>
          <cell r="C976" t="str"/>
          <cell r="D976" t="str"/>
          <cell r="E976" t="str"/>
          <cell r="F976" t="str"/>
          <cell r="G976" t="str"/>
          <cell r="H976" t="str"/>
          <cell r="I976" t="str"/>
          <cell r="J976" t="str"/>
          <cell r="K976" t="str"/>
          <cell r="L976" t="str"/>
          <cell r="M976" t="str"/>
          <cell r="N976" t="str"/>
          <cell r="O976" t="str"/>
          <cell r="P976" t="str"/>
          <cell r="Q976" t="str"/>
          <cell r="R976" t="str"/>
          <cell r="S976" t="str"/>
          <cell r="T976" t="str"/>
          <cell r="U976" t="str"/>
          <cell r="V976" t="str"/>
          <cell r="W976" t="str"/>
          <cell r="X976" t="str"/>
          <cell r="Y976" t="str"/>
        </row>
        <row r="976">
          <cell r="AA976" t="str"/>
          <cell r="AB976" t="str"/>
          <cell r="AC976" t="str"/>
          <cell r="AD976" t="str"/>
          <cell r="AE976" t="str"/>
          <cell r="AF976" t="str"/>
        </row>
        <row r="977">
          <cell r="B977" t="str"/>
          <cell r="C977" t="str"/>
          <cell r="D977" t="str"/>
          <cell r="E977" t="str"/>
          <cell r="F977" t="str"/>
          <cell r="G977" t="str"/>
          <cell r="H977" t="str"/>
          <cell r="I977" t="str"/>
          <cell r="J977" t="str"/>
          <cell r="K977" t="str"/>
          <cell r="L977" t="str"/>
          <cell r="M977" t="str"/>
          <cell r="N977" t="str"/>
          <cell r="O977" t="str"/>
          <cell r="P977" t="str"/>
          <cell r="Q977" t="str"/>
          <cell r="R977" t="str"/>
          <cell r="S977" t="str"/>
          <cell r="T977" t="str"/>
          <cell r="U977" t="str"/>
          <cell r="V977" t="str"/>
          <cell r="W977" t="str"/>
          <cell r="X977" t="str"/>
          <cell r="Y977" t="str"/>
        </row>
        <row r="977">
          <cell r="AA977" t="str"/>
          <cell r="AB977" t="str"/>
          <cell r="AC977" t="str"/>
          <cell r="AD977" t="str"/>
          <cell r="AE977" t="str"/>
          <cell r="AF977" t="str"/>
        </row>
        <row r="978">
          <cell r="B978" t="str"/>
          <cell r="C978" t="str"/>
          <cell r="D978" t="str"/>
          <cell r="E978" t="str"/>
          <cell r="F978" t="str"/>
          <cell r="G978" t="str"/>
          <cell r="H978" t="str"/>
          <cell r="I978" t="str"/>
          <cell r="J978" t="str"/>
          <cell r="K978" t="str"/>
          <cell r="L978" t="str"/>
          <cell r="M978" t="str"/>
          <cell r="N978" t="str"/>
          <cell r="O978" t="str"/>
          <cell r="P978" t="str"/>
          <cell r="Q978" t="str"/>
          <cell r="R978" t="str"/>
          <cell r="S978" t="str"/>
          <cell r="T978" t="str"/>
          <cell r="U978" t="str"/>
          <cell r="V978" t="str"/>
          <cell r="W978" t="str"/>
          <cell r="X978" t="str"/>
          <cell r="Y978" t="str"/>
        </row>
        <row r="978">
          <cell r="AA978" t="str"/>
          <cell r="AB978" t="str"/>
          <cell r="AC978" t="str"/>
          <cell r="AD978" t="str"/>
          <cell r="AE978" t="str"/>
          <cell r="AF978" t="str"/>
        </row>
        <row r="979">
          <cell r="B979" t="str"/>
          <cell r="C979" t="str"/>
          <cell r="D979" t="str"/>
          <cell r="E979" t="str"/>
          <cell r="F979" t="str"/>
          <cell r="G979" t="str"/>
          <cell r="H979" t="str"/>
          <cell r="I979" t="str"/>
          <cell r="J979" t="str"/>
          <cell r="K979" t="str"/>
          <cell r="L979" t="str"/>
          <cell r="M979" t="str"/>
          <cell r="N979" t="str"/>
          <cell r="O979" t="str"/>
          <cell r="P979" t="str"/>
          <cell r="Q979" t="str"/>
          <cell r="R979" t="str"/>
          <cell r="S979" t="str"/>
          <cell r="T979" t="str"/>
          <cell r="U979" t="str"/>
          <cell r="V979" t="str"/>
          <cell r="W979" t="str"/>
          <cell r="X979" t="str"/>
          <cell r="Y979" t="str"/>
        </row>
        <row r="979">
          <cell r="AA979" t="str"/>
          <cell r="AB979" t="str"/>
          <cell r="AC979" t="str"/>
          <cell r="AD979" t="str"/>
          <cell r="AE979" t="str"/>
          <cell r="AF979" t="str"/>
        </row>
        <row r="980">
          <cell r="B980" t="str"/>
          <cell r="C980" t="str"/>
          <cell r="D980" t="str"/>
          <cell r="E980" t="str"/>
          <cell r="F980" t="str"/>
          <cell r="G980" t="str"/>
          <cell r="H980" t="str"/>
          <cell r="I980" t="str"/>
          <cell r="J980" t="str"/>
          <cell r="K980" t="str"/>
          <cell r="L980" t="str"/>
          <cell r="M980" t="str"/>
          <cell r="N980" t="str"/>
          <cell r="O980" t="str"/>
          <cell r="P980" t="str"/>
          <cell r="Q980" t="str"/>
          <cell r="R980" t="str"/>
          <cell r="S980" t="str"/>
          <cell r="T980" t="str"/>
          <cell r="U980" t="str"/>
          <cell r="V980" t="str"/>
          <cell r="W980" t="str"/>
          <cell r="X980" t="str"/>
          <cell r="Y980" t="str"/>
        </row>
        <row r="980">
          <cell r="AA980" t="str"/>
          <cell r="AB980" t="str"/>
          <cell r="AC980" t="str"/>
          <cell r="AD980" t="str"/>
          <cell r="AE980" t="str"/>
          <cell r="AF980" t="str"/>
        </row>
        <row r="981">
          <cell r="B981" t="str"/>
          <cell r="C981" t="str"/>
          <cell r="D981" t="str"/>
          <cell r="E981" t="str"/>
          <cell r="F981" t="str"/>
          <cell r="G981" t="str"/>
          <cell r="H981" t="str"/>
          <cell r="I981" t="str"/>
          <cell r="J981" t="str"/>
          <cell r="K981" t="str"/>
          <cell r="L981" t="str"/>
          <cell r="M981" t="str"/>
          <cell r="N981" t="str"/>
          <cell r="O981" t="str"/>
          <cell r="P981" t="str"/>
          <cell r="Q981" t="str"/>
          <cell r="R981" t="str"/>
          <cell r="S981" t="str"/>
          <cell r="T981" t="str"/>
          <cell r="U981" t="str"/>
          <cell r="V981" t="str"/>
          <cell r="W981" t="str"/>
          <cell r="X981" t="str"/>
          <cell r="Y981" t="str"/>
        </row>
        <row r="981">
          <cell r="AA981" t="str"/>
          <cell r="AB981" t="str"/>
          <cell r="AC981" t="str"/>
          <cell r="AD981" t="str"/>
          <cell r="AE981" t="str"/>
          <cell r="AF981" t="str"/>
        </row>
        <row r="982">
          <cell r="B982" t="str"/>
          <cell r="C982" t="str"/>
          <cell r="D982" t="str"/>
          <cell r="E982" t="str"/>
          <cell r="F982" t="str"/>
          <cell r="G982" t="str"/>
          <cell r="H982" t="str"/>
          <cell r="I982" t="str"/>
          <cell r="J982" t="str"/>
          <cell r="K982" t="str"/>
          <cell r="L982" t="str"/>
          <cell r="M982" t="str"/>
          <cell r="N982" t="str"/>
          <cell r="O982" t="str"/>
          <cell r="P982" t="str"/>
          <cell r="Q982" t="str"/>
          <cell r="R982" t="str"/>
          <cell r="S982" t="str"/>
          <cell r="T982" t="str"/>
          <cell r="U982" t="str"/>
          <cell r="V982" t="str"/>
          <cell r="W982" t="str"/>
          <cell r="X982" t="str"/>
          <cell r="Y982" t="str"/>
        </row>
        <row r="982">
          <cell r="AA982" t="str"/>
          <cell r="AB982" t="str"/>
          <cell r="AC982" t="str"/>
          <cell r="AD982" t="str"/>
          <cell r="AE982" t="str"/>
          <cell r="AF982" t="str"/>
        </row>
        <row r="983">
          <cell r="B983" t="str"/>
          <cell r="C983" t="str"/>
          <cell r="D983" t="str"/>
          <cell r="E983" t="str"/>
          <cell r="F983" t="str"/>
          <cell r="G983" t="str"/>
          <cell r="H983" t="str"/>
          <cell r="I983" t="str"/>
          <cell r="J983" t="str"/>
          <cell r="K983" t="str"/>
          <cell r="L983" t="str"/>
          <cell r="M983" t="str"/>
          <cell r="N983" t="str"/>
          <cell r="O983" t="str"/>
          <cell r="P983" t="str"/>
          <cell r="Q983" t="str"/>
          <cell r="R983" t="str"/>
          <cell r="S983" t="str"/>
          <cell r="T983" t="str"/>
          <cell r="U983" t="str"/>
          <cell r="V983" t="str"/>
          <cell r="W983" t="str"/>
          <cell r="X983" t="str"/>
          <cell r="Y983" t="str"/>
        </row>
        <row r="983">
          <cell r="AA983" t="str"/>
          <cell r="AB983" t="str"/>
          <cell r="AC983" t="str"/>
          <cell r="AD983" t="str"/>
          <cell r="AE983" t="str"/>
          <cell r="AF983" t="str"/>
        </row>
        <row r="984">
          <cell r="B984" t="str"/>
          <cell r="C984" t="str"/>
          <cell r="D984" t="str"/>
          <cell r="E984" t="str"/>
          <cell r="F984" t="str"/>
          <cell r="G984" t="str"/>
          <cell r="H984" t="str"/>
          <cell r="I984" t="str"/>
          <cell r="J984" t="str"/>
          <cell r="K984" t="str"/>
          <cell r="L984" t="str"/>
          <cell r="M984" t="str"/>
          <cell r="N984" t="str"/>
          <cell r="O984" t="str"/>
          <cell r="P984" t="str"/>
          <cell r="Q984" t="str"/>
          <cell r="R984" t="str"/>
          <cell r="S984" t="str"/>
          <cell r="T984" t="str"/>
          <cell r="U984" t="str"/>
          <cell r="V984" t="str"/>
          <cell r="W984" t="str"/>
          <cell r="X984" t="str"/>
          <cell r="Y984" t="str"/>
        </row>
        <row r="984">
          <cell r="AA984" t="str"/>
          <cell r="AB984" t="str"/>
          <cell r="AC984" t="str"/>
          <cell r="AD984" t="str"/>
          <cell r="AE984" t="str"/>
          <cell r="AF984" t="str"/>
        </row>
        <row r="985">
          <cell r="B985" t="str"/>
          <cell r="C985" t="str"/>
          <cell r="D985" t="str"/>
          <cell r="E985" t="str"/>
          <cell r="F985" t="str"/>
          <cell r="G985" t="str"/>
          <cell r="H985" t="str"/>
          <cell r="I985" t="str"/>
          <cell r="J985" t="str"/>
          <cell r="K985" t="str"/>
          <cell r="L985" t="str"/>
          <cell r="M985" t="str"/>
          <cell r="N985" t="str"/>
          <cell r="O985" t="str"/>
          <cell r="P985" t="str"/>
          <cell r="Q985" t="str"/>
          <cell r="R985" t="str"/>
          <cell r="S985" t="str"/>
          <cell r="T985" t="str"/>
          <cell r="U985" t="str"/>
          <cell r="V985" t="str"/>
          <cell r="W985" t="str"/>
          <cell r="X985" t="str"/>
          <cell r="Y985" t="str"/>
        </row>
        <row r="985">
          <cell r="AA985" t="str"/>
          <cell r="AB985" t="str"/>
          <cell r="AC985" t="str"/>
          <cell r="AD985" t="str"/>
          <cell r="AE985" t="str"/>
          <cell r="AF985" t="str"/>
        </row>
        <row r="986">
          <cell r="B986" t="str"/>
          <cell r="C986" t="str"/>
          <cell r="D986" t="str"/>
          <cell r="E986" t="str"/>
          <cell r="F986" t="str"/>
          <cell r="G986" t="str"/>
          <cell r="H986" t="str"/>
          <cell r="I986" t="str"/>
          <cell r="J986" t="str"/>
          <cell r="K986" t="str"/>
          <cell r="L986" t="str"/>
          <cell r="M986" t="str"/>
          <cell r="N986" t="str"/>
          <cell r="O986" t="str"/>
          <cell r="P986" t="str"/>
          <cell r="Q986" t="str"/>
          <cell r="R986" t="str"/>
          <cell r="S986" t="str"/>
          <cell r="T986" t="str"/>
          <cell r="U986" t="str"/>
          <cell r="V986" t="str"/>
          <cell r="W986" t="str"/>
          <cell r="X986" t="str"/>
          <cell r="Y986" t="str"/>
        </row>
        <row r="986">
          <cell r="AA986" t="str"/>
          <cell r="AB986" t="str"/>
          <cell r="AC986" t="str"/>
          <cell r="AD986" t="str"/>
          <cell r="AE986" t="str"/>
          <cell r="AF986" t="str"/>
        </row>
        <row r="987">
          <cell r="B987" t="str"/>
          <cell r="C987" t="str"/>
          <cell r="D987" t="str"/>
          <cell r="E987" t="str"/>
          <cell r="F987" t="str"/>
          <cell r="G987" t="str"/>
          <cell r="H987" t="str"/>
          <cell r="I987" t="str"/>
          <cell r="J987" t="str"/>
          <cell r="K987" t="str"/>
          <cell r="L987" t="str"/>
          <cell r="M987" t="str"/>
          <cell r="N987" t="str"/>
          <cell r="O987" t="str"/>
          <cell r="P987" t="str"/>
          <cell r="Q987" t="str"/>
          <cell r="R987" t="str"/>
          <cell r="S987" t="str"/>
          <cell r="T987" t="str"/>
          <cell r="U987" t="str"/>
          <cell r="V987" t="str"/>
          <cell r="W987" t="str"/>
          <cell r="X987" t="str"/>
          <cell r="Y987" t="str"/>
        </row>
        <row r="987">
          <cell r="AA987" t="str"/>
          <cell r="AB987" t="str"/>
          <cell r="AC987" t="str"/>
          <cell r="AD987" t="str"/>
          <cell r="AE987" t="str"/>
          <cell r="AF987" t="str"/>
        </row>
        <row r="988">
          <cell r="B988" t="str"/>
          <cell r="C988" t="str"/>
          <cell r="D988" t="str"/>
          <cell r="E988" t="str"/>
          <cell r="F988" t="str"/>
          <cell r="G988" t="str"/>
          <cell r="H988" t="str"/>
          <cell r="I988" t="str"/>
          <cell r="J988" t="str"/>
          <cell r="K988" t="str"/>
          <cell r="L988" t="str"/>
          <cell r="M988" t="str"/>
          <cell r="N988" t="str"/>
          <cell r="O988" t="str"/>
          <cell r="P988" t="str"/>
          <cell r="Q988" t="str"/>
          <cell r="R988" t="str"/>
          <cell r="S988" t="str"/>
          <cell r="T988" t="str"/>
          <cell r="U988" t="str"/>
          <cell r="V988" t="str"/>
          <cell r="W988" t="str"/>
          <cell r="X988" t="str"/>
          <cell r="Y988" t="str"/>
        </row>
        <row r="988">
          <cell r="AA988" t="str"/>
          <cell r="AB988" t="str"/>
          <cell r="AC988" t="str"/>
          <cell r="AD988" t="str"/>
          <cell r="AE988" t="str"/>
          <cell r="AF988" t="str"/>
        </row>
        <row r="989">
          <cell r="B989" t="str"/>
          <cell r="C989" t="str"/>
          <cell r="D989" t="str"/>
          <cell r="E989" t="str"/>
          <cell r="F989" t="str"/>
          <cell r="G989" t="str"/>
          <cell r="H989" t="str"/>
          <cell r="I989" t="str"/>
          <cell r="J989" t="str"/>
          <cell r="K989" t="str"/>
          <cell r="L989" t="str"/>
          <cell r="M989" t="str"/>
          <cell r="N989" t="str"/>
          <cell r="O989" t="str"/>
          <cell r="P989" t="str"/>
          <cell r="Q989" t="str"/>
          <cell r="R989" t="str"/>
          <cell r="S989" t="str"/>
          <cell r="T989" t="str"/>
          <cell r="U989" t="str"/>
          <cell r="V989" t="str"/>
          <cell r="W989" t="str"/>
          <cell r="X989" t="str"/>
          <cell r="Y989" t="str"/>
        </row>
        <row r="989">
          <cell r="AA989" t="str"/>
          <cell r="AB989" t="str"/>
          <cell r="AC989" t="str"/>
          <cell r="AD989" t="str"/>
          <cell r="AE989" t="str"/>
          <cell r="AF989" t="str"/>
        </row>
        <row r="990">
          <cell r="B990" t="str"/>
          <cell r="C990" t="str"/>
          <cell r="D990" t="str"/>
          <cell r="E990" t="str"/>
          <cell r="F990" t="str"/>
          <cell r="G990" t="str"/>
          <cell r="H990" t="str"/>
          <cell r="I990" t="str"/>
          <cell r="J990" t="str"/>
          <cell r="K990" t="str"/>
          <cell r="L990" t="str"/>
          <cell r="M990" t="str"/>
          <cell r="N990" t="str"/>
          <cell r="O990" t="str"/>
          <cell r="P990" t="str"/>
          <cell r="Q990" t="str"/>
          <cell r="R990" t="str"/>
          <cell r="S990" t="str"/>
          <cell r="T990" t="str"/>
          <cell r="U990" t="str"/>
          <cell r="V990" t="str"/>
          <cell r="W990" t="str"/>
          <cell r="X990" t="str"/>
          <cell r="Y990" t="str"/>
        </row>
        <row r="990">
          <cell r="AA990" t="str"/>
          <cell r="AB990" t="str"/>
          <cell r="AC990" t="str"/>
          <cell r="AD990" t="str"/>
          <cell r="AE990" t="str"/>
          <cell r="AF990" t="str"/>
        </row>
        <row r="991">
          <cell r="B991" t="str"/>
          <cell r="C991" t="str"/>
          <cell r="D991" t="str"/>
          <cell r="E991" t="str"/>
          <cell r="F991" t="str"/>
          <cell r="G991" t="str"/>
          <cell r="H991" t="str"/>
          <cell r="I991" t="str"/>
          <cell r="J991" t="str"/>
          <cell r="K991" t="str"/>
          <cell r="L991" t="str"/>
          <cell r="M991" t="str"/>
          <cell r="N991" t="str"/>
          <cell r="O991" t="str"/>
          <cell r="P991" t="str"/>
          <cell r="Q991" t="str"/>
          <cell r="R991" t="str"/>
          <cell r="S991" t="str"/>
          <cell r="T991" t="str"/>
          <cell r="U991" t="str"/>
          <cell r="V991" t="str"/>
          <cell r="W991" t="str"/>
          <cell r="X991" t="str"/>
          <cell r="Y991" t="str"/>
        </row>
        <row r="991">
          <cell r="AA991" t="str"/>
          <cell r="AB991" t="str"/>
          <cell r="AC991" t="str"/>
          <cell r="AD991" t="str"/>
          <cell r="AE991" t="str"/>
          <cell r="AF991" t="str"/>
        </row>
        <row r="992">
          <cell r="B992" t="str"/>
          <cell r="C992" t="str"/>
          <cell r="D992" t="str"/>
          <cell r="E992" t="str"/>
          <cell r="F992" t="str"/>
          <cell r="G992" t="str"/>
          <cell r="H992" t="str"/>
          <cell r="I992" t="str"/>
          <cell r="J992" t="str"/>
          <cell r="K992" t="str"/>
          <cell r="L992" t="str"/>
          <cell r="M992" t="str"/>
          <cell r="N992" t="str"/>
          <cell r="O992" t="str"/>
          <cell r="P992" t="str"/>
          <cell r="Q992" t="str"/>
          <cell r="R992" t="str"/>
          <cell r="S992" t="str"/>
          <cell r="T992" t="str"/>
          <cell r="U992" t="str"/>
          <cell r="V992" t="str"/>
          <cell r="W992" t="str"/>
          <cell r="X992" t="str"/>
          <cell r="Y992" t="str"/>
        </row>
        <row r="992">
          <cell r="AA992" t="str"/>
          <cell r="AB992" t="str"/>
          <cell r="AC992" t="str"/>
          <cell r="AD992" t="str"/>
          <cell r="AE992" t="str"/>
          <cell r="AF992" t="str"/>
        </row>
        <row r="993">
          <cell r="B993" t="str"/>
          <cell r="C993" t="str"/>
          <cell r="D993" t="str"/>
          <cell r="E993" t="str"/>
          <cell r="F993" t="str"/>
          <cell r="G993" t="str"/>
          <cell r="H993" t="str"/>
          <cell r="I993" t="str"/>
          <cell r="J993" t="str"/>
          <cell r="K993" t="str"/>
          <cell r="L993" t="str"/>
          <cell r="M993" t="str"/>
          <cell r="N993" t="str"/>
          <cell r="O993" t="str"/>
          <cell r="P993" t="str"/>
          <cell r="Q993" t="str"/>
          <cell r="R993" t="str"/>
          <cell r="S993" t="str"/>
          <cell r="T993" t="str"/>
          <cell r="U993" t="str"/>
          <cell r="V993" t="str"/>
          <cell r="W993" t="str"/>
          <cell r="X993" t="str"/>
          <cell r="Y993" t="str"/>
        </row>
        <row r="993">
          <cell r="AA993" t="str"/>
          <cell r="AB993" t="str"/>
          <cell r="AC993" t="str"/>
          <cell r="AD993" t="str"/>
          <cell r="AE993" t="str"/>
          <cell r="AF993" t="str"/>
        </row>
        <row r="994">
          <cell r="B994" t="str"/>
          <cell r="C994" t="str"/>
          <cell r="D994" t="str"/>
          <cell r="E994" t="str"/>
          <cell r="F994" t="str"/>
          <cell r="G994" t="str"/>
          <cell r="H994" t="str"/>
          <cell r="I994" t="str"/>
          <cell r="J994" t="str"/>
          <cell r="K994" t="str"/>
          <cell r="L994" t="str"/>
          <cell r="M994" t="str"/>
          <cell r="N994" t="str"/>
          <cell r="O994" t="str"/>
          <cell r="P994" t="str"/>
          <cell r="Q994" t="str"/>
          <cell r="R994" t="str"/>
          <cell r="S994" t="str"/>
          <cell r="T994" t="str"/>
          <cell r="U994" t="str"/>
          <cell r="V994" t="str"/>
          <cell r="W994" t="str"/>
          <cell r="X994" t="str"/>
          <cell r="Y994" t="str"/>
        </row>
        <row r="994">
          <cell r="AA994" t="str"/>
          <cell r="AB994" t="str"/>
          <cell r="AC994" t="str"/>
          <cell r="AD994" t="str"/>
          <cell r="AE994" t="str"/>
          <cell r="AF994" t="str"/>
        </row>
        <row r="995">
          <cell r="B995" t="str"/>
          <cell r="C995" t="str"/>
          <cell r="D995" t="str"/>
          <cell r="E995" t="str"/>
          <cell r="F995" t="str"/>
          <cell r="G995" t="str"/>
          <cell r="H995" t="str"/>
          <cell r="I995" t="str"/>
          <cell r="J995" t="str"/>
          <cell r="K995" t="str"/>
          <cell r="L995" t="str"/>
          <cell r="M995" t="str"/>
          <cell r="N995" t="str"/>
          <cell r="O995" t="str"/>
          <cell r="P995" t="str"/>
          <cell r="Q995" t="str"/>
          <cell r="R995" t="str"/>
          <cell r="S995" t="str"/>
          <cell r="T995" t="str"/>
          <cell r="U995" t="str"/>
          <cell r="V995" t="str"/>
          <cell r="W995" t="str"/>
          <cell r="X995" t="str"/>
          <cell r="Y995" t="str"/>
        </row>
        <row r="995">
          <cell r="AA995" t="str"/>
          <cell r="AB995" t="str"/>
          <cell r="AC995" t="str"/>
          <cell r="AD995" t="str"/>
          <cell r="AE995" t="str"/>
          <cell r="AF995" t="str"/>
        </row>
        <row r="996">
          <cell r="B996" t="str"/>
          <cell r="C996" t="str"/>
          <cell r="D996" t="str"/>
          <cell r="E996" t="str"/>
          <cell r="F996" t="str"/>
          <cell r="G996" t="str"/>
          <cell r="H996" t="str"/>
          <cell r="I996" t="str"/>
          <cell r="J996" t="str"/>
          <cell r="K996" t="str"/>
          <cell r="L996" t="str"/>
          <cell r="M996" t="str"/>
          <cell r="N996" t="str"/>
          <cell r="O996" t="str"/>
          <cell r="P996" t="str"/>
          <cell r="Q996" t="str"/>
          <cell r="R996" t="str"/>
          <cell r="S996" t="str"/>
          <cell r="T996" t="str"/>
          <cell r="U996" t="str"/>
          <cell r="V996" t="str"/>
          <cell r="W996" t="str"/>
          <cell r="X996" t="str"/>
          <cell r="Y996" t="str"/>
        </row>
        <row r="996">
          <cell r="AA996" t="str"/>
          <cell r="AB996" t="str"/>
          <cell r="AC996" t="str"/>
          <cell r="AD996" t="str"/>
          <cell r="AE996" t="str"/>
          <cell r="AF996" t="str"/>
        </row>
        <row r="997">
          <cell r="B997" t="str"/>
          <cell r="C997" t="str"/>
          <cell r="D997" t="str"/>
          <cell r="E997" t="str"/>
          <cell r="F997" t="str"/>
          <cell r="G997" t="str"/>
          <cell r="H997" t="str"/>
          <cell r="I997" t="str"/>
          <cell r="J997" t="str"/>
          <cell r="K997" t="str"/>
          <cell r="L997" t="str"/>
          <cell r="M997" t="str"/>
          <cell r="N997" t="str"/>
          <cell r="O997" t="str"/>
          <cell r="P997" t="str"/>
          <cell r="Q997" t="str"/>
          <cell r="R997" t="str"/>
          <cell r="S997" t="str"/>
          <cell r="T997" t="str"/>
          <cell r="U997" t="str"/>
          <cell r="V997" t="str"/>
          <cell r="W997" t="str"/>
          <cell r="X997" t="str"/>
          <cell r="Y997" t="str"/>
        </row>
        <row r="997">
          <cell r="AA997" t="str"/>
          <cell r="AB997" t="str"/>
          <cell r="AC997" t="str"/>
          <cell r="AD997" t="str"/>
          <cell r="AE997" t="str"/>
          <cell r="AF997" t="str"/>
        </row>
        <row r="998">
          <cell r="B998" t="str"/>
          <cell r="C998" t="str"/>
          <cell r="D998" t="str"/>
          <cell r="E998" t="str"/>
          <cell r="F998" t="str"/>
          <cell r="G998" t="str"/>
          <cell r="H998" t="str"/>
          <cell r="I998" t="str"/>
          <cell r="J998" t="str"/>
          <cell r="K998" t="str"/>
          <cell r="L998" t="str"/>
          <cell r="M998" t="str"/>
          <cell r="N998" t="str"/>
          <cell r="O998" t="str"/>
          <cell r="P998" t="str"/>
          <cell r="Q998" t="str"/>
          <cell r="R998" t="str"/>
          <cell r="S998" t="str"/>
          <cell r="T998" t="str"/>
          <cell r="U998" t="str"/>
          <cell r="V998" t="str"/>
          <cell r="W998" t="str"/>
          <cell r="X998" t="str"/>
          <cell r="Y998" t="str"/>
        </row>
        <row r="998">
          <cell r="AA998" t="str"/>
          <cell r="AB998" t="str"/>
          <cell r="AC998" t="str"/>
          <cell r="AD998" t="str"/>
          <cell r="AE998" t="str"/>
          <cell r="AF998" t="str"/>
        </row>
        <row r="999">
          <cell r="B999" t="str"/>
          <cell r="C999" t="str"/>
          <cell r="D999" t="str"/>
          <cell r="E999" t="str"/>
          <cell r="F999" t="str"/>
          <cell r="G999" t="str"/>
          <cell r="H999" t="str"/>
          <cell r="I999" t="str"/>
          <cell r="J999" t="str"/>
          <cell r="K999" t="str"/>
          <cell r="L999" t="str"/>
          <cell r="M999" t="str"/>
          <cell r="N999" t="str"/>
          <cell r="O999" t="str"/>
          <cell r="P999" t="str"/>
          <cell r="Q999" t="str"/>
          <cell r="R999" t="str"/>
          <cell r="S999" t="str"/>
          <cell r="T999" t="str"/>
          <cell r="U999" t="str"/>
          <cell r="V999" t="str"/>
          <cell r="W999" t="str"/>
          <cell r="X999" t="str"/>
          <cell r="Y999" t="str"/>
        </row>
        <row r="999">
          <cell r="AA999" t="str"/>
          <cell r="AB999" t="str"/>
          <cell r="AC999" t="str"/>
          <cell r="AD999" t="str"/>
          <cell r="AE999" t="str"/>
          <cell r="AF999" t="str"/>
        </row>
        <row r="1000">
          <cell r="B1000" t="str"/>
          <cell r="C1000" t="str"/>
          <cell r="D1000" t="str"/>
          <cell r="E1000" t="str"/>
          <cell r="F1000" t="str"/>
          <cell r="G1000" t="str"/>
          <cell r="H1000" t="str"/>
          <cell r="I1000" t="str"/>
          <cell r="J1000" t="str"/>
          <cell r="K1000" t="str"/>
          <cell r="L1000" t="str"/>
          <cell r="M1000" t="str"/>
          <cell r="N1000" t="str"/>
          <cell r="O1000" t="str"/>
          <cell r="P1000" t="str"/>
          <cell r="Q1000" t="str"/>
          <cell r="R1000" t="str"/>
          <cell r="S1000" t="str"/>
          <cell r="T1000" t="str"/>
          <cell r="U1000" t="str"/>
          <cell r="V1000" t="str"/>
          <cell r="W1000" t="str"/>
          <cell r="X1000" t="str"/>
          <cell r="Y1000" t="str"/>
        </row>
        <row r="1000">
          <cell r="AA1000" t="str"/>
          <cell r="AB1000" t="str"/>
          <cell r="AC1000" t="str"/>
          <cell r="AD1000" t="str"/>
          <cell r="AE1000" t="str"/>
          <cell r="AF1000" t="str"/>
        </row>
        <row r="1001">
          <cell r="B1001" t="str"/>
          <cell r="C1001" t="str"/>
          <cell r="D1001" t="str"/>
          <cell r="E1001" t="str"/>
          <cell r="F1001" t="str"/>
          <cell r="G1001" t="str"/>
          <cell r="H1001" t="str"/>
          <cell r="I1001" t="str"/>
          <cell r="J1001" t="str"/>
          <cell r="K1001" t="str"/>
          <cell r="L1001" t="str"/>
          <cell r="M1001" t="str"/>
          <cell r="N1001" t="str"/>
          <cell r="O1001" t="str"/>
          <cell r="P1001" t="str"/>
          <cell r="Q1001" t="str"/>
          <cell r="R1001" t="str"/>
          <cell r="S1001" t="str"/>
          <cell r="T1001" t="str"/>
          <cell r="U1001" t="str"/>
          <cell r="V1001" t="str"/>
          <cell r="W1001" t="str"/>
          <cell r="X1001" t="str"/>
          <cell r="Y1001" t="str"/>
        </row>
        <row r="1001">
          <cell r="AA1001" t="str"/>
          <cell r="AB1001" t="str"/>
          <cell r="AC1001" t="str"/>
          <cell r="AD1001" t="str"/>
          <cell r="AE1001" t="str"/>
          <cell r="AF1001" t="str"/>
        </row>
        <row r="1002">
          <cell r="B1002" t="str"/>
          <cell r="C1002" t="str"/>
          <cell r="D1002" t="str"/>
          <cell r="E1002" t="str"/>
          <cell r="F1002" t="str"/>
          <cell r="G1002" t="str"/>
          <cell r="H1002" t="str"/>
          <cell r="I1002" t="str"/>
          <cell r="J1002" t="str"/>
          <cell r="K1002" t="str"/>
          <cell r="L1002" t="str"/>
          <cell r="M1002" t="str"/>
          <cell r="N1002" t="str"/>
          <cell r="O1002" t="str"/>
          <cell r="P1002" t="str"/>
          <cell r="Q1002" t="str"/>
          <cell r="R1002" t="str"/>
          <cell r="S1002" t="str"/>
          <cell r="T1002" t="str"/>
          <cell r="U1002" t="str"/>
          <cell r="V1002" t="str"/>
          <cell r="W1002" t="str"/>
          <cell r="X1002" t="str"/>
          <cell r="Y1002" t="str"/>
        </row>
        <row r="1002">
          <cell r="AA1002" t="str"/>
          <cell r="AB1002" t="str"/>
          <cell r="AC1002" t="str"/>
          <cell r="AD1002" t="str"/>
          <cell r="AE1002" t="str"/>
          <cell r="AF1002" t="str"/>
        </row>
        <row r="1003">
          <cell r="B1003" t="str"/>
          <cell r="C1003" t="str"/>
          <cell r="D1003" t="str"/>
          <cell r="E1003" t="str"/>
          <cell r="F1003" t="str"/>
          <cell r="G1003" t="str"/>
          <cell r="H1003" t="str"/>
          <cell r="I1003" t="str"/>
          <cell r="J1003" t="str"/>
          <cell r="K1003" t="str"/>
          <cell r="L1003" t="str"/>
          <cell r="M1003" t="str"/>
          <cell r="N1003" t="str"/>
          <cell r="O1003" t="str"/>
          <cell r="P1003" t="str"/>
          <cell r="Q1003" t="str"/>
          <cell r="R1003" t="str"/>
          <cell r="S1003" t="str"/>
          <cell r="T1003" t="str"/>
          <cell r="U1003" t="str"/>
          <cell r="V1003" t="str"/>
          <cell r="W1003" t="str"/>
          <cell r="X1003" t="str"/>
          <cell r="Y1003" t="str"/>
        </row>
        <row r="1003">
          <cell r="AA1003" t="str"/>
          <cell r="AB1003" t="str"/>
          <cell r="AC1003" t="str"/>
          <cell r="AD1003" t="str"/>
          <cell r="AE1003" t="str"/>
          <cell r="AF1003" t="str"/>
        </row>
        <row r="1004">
          <cell r="B1004" t="str"/>
          <cell r="C1004" t="str"/>
          <cell r="D1004" t="str"/>
          <cell r="E1004" t="str"/>
          <cell r="F1004" t="str"/>
          <cell r="G1004" t="str"/>
          <cell r="H1004" t="str"/>
          <cell r="I1004" t="str"/>
          <cell r="J1004" t="str"/>
          <cell r="K1004" t="str"/>
          <cell r="L1004" t="str"/>
          <cell r="M1004" t="str"/>
          <cell r="N1004" t="str"/>
          <cell r="O1004" t="str"/>
          <cell r="P1004" t="str"/>
          <cell r="Q1004" t="str"/>
          <cell r="R1004" t="str"/>
          <cell r="S1004" t="str"/>
          <cell r="T1004" t="str"/>
          <cell r="U1004" t="str"/>
          <cell r="V1004" t="str"/>
          <cell r="W1004" t="str"/>
          <cell r="X1004" t="str"/>
          <cell r="Y1004" t="str"/>
        </row>
        <row r="1004">
          <cell r="AA1004" t="str"/>
          <cell r="AB1004" t="str"/>
          <cell r="AC1004" t="str"/>
          <cell r="AD1004" t="str"/>
          <cell r="AE1004" t="str"/>
          <cell r="AF1004" t="str"/>
        </row>
        <row r="1005">
          <cell r="B1005" t="str"/>
          <cell r="C1005" t="str"/>
          <cell r="D1005" t="str"/>
          <cell r="E1005" t="str"/>
          <cell r="F1005" t="str"/>
          <cell r="G1005" t="str"/>
          <cell r="H1005" t="str"/>
          <cell r="I1005" t="str"/>
          <cell r="J1005" t="str"/>
          <cell r="K1005" t="str"/>
          <cell r="L1005" t="str"/>
          <cell r="M1005" t="str"/>
          <cell r="N1005" t="str"/>
          <cell r="O1005" t="str"/>
          <cell r="P1005" t="str"/>
          <cell r="Q1005" t="str"/>
          <cell r="R1005" t="str"/>
          <cell r="S1005" t="str"/>
          <cell r="T1005" t="str"/>
          <cell r="U1005" t="str"/>
          <cell r="V1005" t="str"/>
          <cell r="W1005" t="str"/>
          <cell r="X1005" t="str"/>
          <cell r="Y1005" t="str"/>
        </row>
        <row r="1005">
          <cell r="AA1005" t="str"/>
          <cell r="AB1005" t="str"/>
          <cell r="AC1005" t="str"/>
          <cell r="AD1005" t="str"/>
          <cell r="AE1005" t="str"/>
          <cell r="AF1005" t="str"/>
        </row>
        <row r="1006">
          <cell r="B1006" t="str"/>
          <cell r="C1006" t="str"/>
          <cell r="D1006" t="str"/>
          <cell r="E1006" t="str"/>
          <cell r="F1006" t="str"/>
          <cell r="G1006" t="str"/>
          <cell r="H1006" t="str"/>
          <cell r="I1006" t="str"/>
          <cell r="J1006" t="str"/>
          <cell r="K1006" t="str"/>
          <cell r="L1006" t="str"/>
          <cell r="M1006" t="str"/>
          <cell r="N1006" t="str"/>
          <cell r="O1006" t="str"/>
          <cell r="P1006" t="str"/>
          <cell r="Q1006" t="str"/>
          <cell r="R1006" t="str"/>
          <cell r="S1006" t="str"/>
          <cell r="T1006" t="str"/>
          <cell r="U1006" t="str"/>
          <cell r="V1006" t="str"/>
          <cell r="W1006" t="str"/>
          <cell r="X1006" t="str"/>
          <cell r="Y1006" t="str"/>
        </row>
        <row r="1006">
          <cell r="AA1006" t="str"/>
          <cell r="AB1006" t="str"/>
          <cell r="AC1006" t="str"/>
          <cell r="AD1006" t="str"/>
          <cell r="AE1006" t="str"/>
          <cell r="AF1006" t="str"/>
        </row>
        <row r="1007">
          <cell r="B1007" t="str"/>
          <cell r="C1007" t="str"/>
          <cell r="D1007" t="str"/>
          <cell r="E1007" t="str"/>
          <cell r="F1007" t="str"/>
          <cell r="G1007" t="str"/>
          <cell r="H1007" t="str"/>
          <cell r="I1007" t="str"/>
          <cell r="J1007" t="str"/>
          <cell r="K1007" t="str"/>
          <cell r="L1007" t="str"/>
          <cell r="M1007" t="str"/>
          <cell r="N1007" t="str"/>
          <cell r="O1007" t="str"/>
          <cell r="P1007" t="str"/>
          <cell r="Q1007" t="str"/>
          <cell r="R1007" t="str"/>
          <cell r="S1007" t="str"/>
          <cell r="T1007" t="str"/>
          <cell r="U1007" t="str"/>
          <cell r="V1007" t="str"/>
          <cell r="W1007" t="str"/>
          <cell r="X1007" t="str"/>
          <cell r="Y1007" t="str"/>
        </row>
        <row r="1007">
          <cell r="AA1007" t="str"/>
          <cell r="AB1007" t="str"/>
          <cell r="AC1007" t="str"/>
          <cell r="AD1007" t="str"/>
          <cell r="AE1007" t="str"/>
          <cell r="AF1007" t="str"/>
        </row>
        <row r="1008">
          <cell r="B1008" t="str"/>
          <cell r="C1008" t="str"/>
          <cell r="D1008" t="str"/>
          <cell r="E1008" t="str"/>
          <cell r="F1008" t="str"/>
          <cell r="G1008" t="str"/>
          <cell r="H1008" t="str"/>
          <cell r="I1008" t="str"/>
          <cell r="J1008" t="str"/>
          <cell r="K1008" t="str"/>
          <cell r="L1008" t="str"/>
          <cell r="M1008" t="str"/>
          <cell r="N1008" t="str"/>
          <cell r="O1008" t="str"/>
          <cell r="P1008" t="str"/>
          <cell r="Q1008" t="str"/>
          <cell r="R1008" t="str"/>
          <cell r="S1008" t="str"/>
          <cell r="T1008" t="str"/>
          <cell r="U1008" t="str"/>
          <cell r="V1008" t="str"/>
          <cell r="W1008" t="str"/>
          <cell r="X1008" t="str"/>
          <cell r="Y1008" t="str"/>
        </row>
        <row r="1008">
          <cell r="AA1008" t="str"/>
          <cell r="AB1008" t="str"/>
          <cell r="AC1008" t="str"/>
          <cell r="AD1008" t="str"/>
          <cell r="AE1008" t="str"/>
          <cell r="AF1008" t="str"/>
        </row>
        <row r="1009">
          <cell r="B1009" t="str"/>
          <cell r="C1009" t="str"/>
          <cell r="D1009" t="str"/>
          <cell r="E1009" t="str"/>
          <cell r="F1009" t="str"/>
          <cell r="G1009" t="str"/>
          <cell r="H1009" t="str"/>
          <cell r="I1009" t="str"/>
          <cell r="J1009" t="str"/>
          <cell r="K1009" t="str"/>
          <cell r="L1009" t="str"/>
          <cell r="M1009" t="str"/>
          <cell r="N1009" t="str"/>
          <cell r="O1009" t="str"/>
          <cell r="P1009" t="str"/>
          <cell r="Q1009" t="str"/>
          <cell r="R1009" t="str"/>
          <cell r="S1009" t="str"/>
          <cell r="T1009" t="str"/>
          <cell r="U1009" t="str"/>
          <cell r="V1009" t="str"/>
          <cell r="W1009" t="str"/>
          <cell r="X1009" t="str"/>
          <cell r="Y1009" t="str"/>
        </row>
        <row r="1009">
          <cell r="AA1009" t="str"/>
          <cell r="AB1009" t="str"/>
          <cell r="AC1009" t="str"/>
          <cell r="AD1009" t="str"/>
          <cell r="AE1009" t="str"/>
          <cell r="AF1009" t="str"/>
        </row>
        <row r="1010">
          <cell r="B1010" t="str"/>
          <cell r="C1010" t="str"/>
          <cell r="D1010" t="str"/>
          <cell r="E1010" t="str"/>
          <cell r="F1010" t="str"/>
          <cell r="G1010" t="str"/>
          <cell r="H1010" t="str"/>
          <cell r="I1010" t="str"/>
          <cell r="J1010" t="str"/>
          <cell r="K1010" t="str"/>
          <cell r="L1010" t="str"/>
          <cell r="M1010" t="str"/>
          <cell r="N1010" t="str"/>
          <cell r="O1010" t="str"/>
          <cell r="P1010" t="str"/>
          <cell r="Q1010" t="str"/>
          <cell r="R1010" t="str"/>
          <cell r="S1010" t="str"/>
          <cell r="T1010" t="str"/>
          <cell r="U1010" t="str"/>
          <cell r="V1010" t="str"/>
          <cell r="W1010" t="str"/>
          <cell r="X1010" t="str"/>
          <cell r="Y1010" t="str"/>
        </row>
        <row r="1010">
          <cell r="AA1010" t="str"/>
          <cell r="AB1010" t="str"/>
          <cell r="AC1010" t="str"/>
          <cell r="AD1010" t="str"/>
          <cell r="AE1010" t="str"/>
          <cell r="AF1010" t="str"/>
        </row>
        <row r="1011">
          <cell r="B1011" t="str"/>
          <cell r="C1011" t="str"/>
          <cell r="D1011" t="str"/>
          <cell r="E1011" t="str"/>
          <cell r="F1011" t="str"/>
          <cell r="G1011" t="str"/>
          <cell r="H1011" t="str"/>
          <cell r="I1011" t="str"/>
          <cell r="J1011" t="str"/>
          <cell r="K1011" t="str"/>
          <cell r="L1011" t="str"/>
          <cell r="M1011" t="str"/>
          <cell r="N1011" t="str"/>
          <cell r="O1011" t="str"/>
          <cell r="P1011" t="str"/>
          <cell r="Q1011" t="str"/>
          <cell r="R1011" t="str"/>
          <cell r="S1011" t="str"/>
          <cell r="T1011" t="str"/>
          <cell r="U1011" t="str"/>
          <cell r="V1011" t="str"/>
          <cell r="W1011" t="str"/>
          <cell r="X1011" t="str"/>
          <cell r="Y1011" t="str"/>
        </row>
        <row r="1011">
          <cell r="AA1011" t="str"/>
          <cell r="AB1011" t="str"/>
          <cell r="AC1011" t="str"/>
          <cell r="AD1011" t="str"/>
          <cell r="AE1011" t="str"/>
          <cell r="AF1011" t="str"/>
        </row>
        <row r="1012">
          <cell r="B1012" t="str"/>
          <cell r="C1012" t="str"/>
          <cell r="D1012" t="str"/>
          <cell r="E1012" t="str"/>
          <cell r="F1012" t="str"/>
          <cell r="G1012" t="str"/>
          <cell r="H1012" t="str"/>
          <cell r="I1012" t="str"/>
          <cell r="J1012" t="str"/>
          <cell r="K1012" t="str"/>
          <cell r="L1012" t="str"/>
          <cell r="M1012" t="str"/>
          <cell r="N1012" t="str"/>
          <cell r="O1012" t="str"/>
          <cell r="P1012" t="str"/>
          <cell r="Q1012" t="str"/>
          <cell r="R1012" t="str"/>
          <cell r="S1012" t="str"/>
          <cell r="T1012" t="str"/>
          <cell r="U1012" t="str"/>
          <cell r="V1012" t="str"/>
          <cell r="W1012" t="str"/>
          <cell r="X1012" t="str"/>
          <cell r="Y1012" t="str"/>
        </row>
        <row r="1012">
          <cell r="AA1012" t="str"/>
          <cell r="AB1012" t="str"/>
          <cell r="AC1012" t="str"/>
          <cell r="AD1012" t="str"/>
          <cell r="AE1012" t="str"/>
          <cell r="AF1012" t="str"/>
        </row>
        <row r="1013">
          <cell r="B1013" t="str"/>
          <cell r="C1013" t="str"/>
          <cell r="D1013" t="str"/>
          <cell r="E1013" t="str"/>
          <cell r="F1013" t="str"/>
          <cell r="G1013" t="str"/>
          <cell r="H1013" t="str"/>
          <cell r="I1013" t="str"/>
          <cell r="J1013" t="str"/>
          <cell r="K1013" t="str"/>
          <cell r="L1013" t="str"/>
          <cell r="M1013" t="str"/>
          <cell r="N1013" t="str"/>
          <cell r="O1013" t="str"/>
          <cell r="P1013" t="str"/>
          <cell r="Q1013" t="str"/>
          <cell r="R1013" t="str"/>
          <cell r="S1013" t="str"/>
          <cell r="T1013" t="str"/>
          <cell r="U1013" t="str"/>
          <cell r="V1013" t="str"/>
          <cell r="W1013" t="str"/>
          <cell r="X1013" t="str"/>
          <cell r="Y1013" t="str"/>
        </row>
        <row r="1013">
          <cell r="AA1013" t="str"/>
          <cell r="AB1013" t="str"/>
          <cell r="AC1013" t="str"/>
          <cell r="AD1013" t="str"/>
          <cell r="AE1013" t="str"/>
          <cell r="AF1013" t="str"/>
        </row>
        <row r="1014">
          <cell r="B1014" t="str"/>
          <cell r="C1014" t="str"/>
          <cell r="D1014" t="str"/>
          <cell r="E1014" t="str"/>
          <cell r="F1014" t="str"/>
          <cell r="G1014" t="str"/>
          <cell r="H1014" t="str"/>
          <cell r="I1014" t="str"/>
          <cell r="J1014" t="str"/>
          <cell r="K1014" t="str"/>
          <cell r="L1014" t="str"/>
          <cell r="M1014" t="str"/>
          <cell r="N1014" t="str"/>
          <cell r="O1014" t="str"/>
          <cell r="P1014" t="str"/>
          <cell r="Q1014" t="str"/>
          <cell r="R1014" t="str"/>
          <cell r="S1014" t="str"/>
          <cell r="T1014" t="str"/>
          <cell r="U1014" t="str"/>
          <cell r="V1014" t="str"/>
          <cell r="W1014" t="str"/>
          <cell r="X1014" t="str"/>
          <cell r="Y1014" t="str"/>
        </row>
        <row r="1014">
          <cell r="AA1014" t="str"/>
          <cell r="AB1014" t="str"/>
          <cell r="AC1014" t="str"/>
          <cell r="AD1014" t="str"/>
          <cell r="AE1014" t="str"/>
          <cell r="AF1014" t="str"/>
        </row>
        <row r="1015">
          <cell r="B1015" t="str"/>
          <cell r="C1015" t="str"/>
          <cell r="D1015" t="str"/>
          <cell r="E1015" t="str"/>
          <cell r="F1015" t="str"/>
          <cell r="G1015" t="str"/>
          <cell r="H1015" t="str"/>
          <cell r="I1015" t="str"/>
          <cell r="J1015" t="str"/>
          <cell r="K1015" t="str"/>
          <cell r="L1015" t="str"/>
          <cell r="M1015" t="str"/>
          <cell r="N1015" t="str"/>
          <cell r="O1015" t="str"/>
          <cell r="P1015" t="str"/>
          <cell r="Q1015" t="str"/>
          <cell r="R1015" t="str"/>
          <cell r="S1015" t="str"/>
          <cell r="T1015" t="str"/>
          <cell r="U1015" t="str"/>
          <cell r="V1015" t="str"/>
          <cell r="W1015" t="str"/>
          <cell r="X1015" t="str"/>
          <cell r="Y1015" t="str"/>
        </row>
        <row r="1015">
          <cell r="AA1015" t="str"/>
          <cell r="AB1015" t="str"/>
          <cell r="AC1015" t="str"/>
          <cell r="AD1015" t="str"/>
          <cell r="AE1015" t="str"/>
          <cell r="AF1015" t="str"/>
        </row>
        <row r="1016">
          <cell r="B1016" t="str"/>
          <cell r="C1016" t="str"/>
          <cell r="D1016" t="str"/>
          <cell r="E1016" t="str"/>
          <cell r="F1016" t="str"/>
          <cell r="G1016" t="str"/>
          <cell r="H1016" t="str"/>
          <cell r="I1016" t="str"/>
          <cell r="J1016" t="str"/>
          <cell r="K1016" t="str"/>
          <cell r="L1016" t="str"/>
          <cell r="M1016" t="str"/>
          <cell r="N1016" t="str"/>
          <cell r="O1016" t="str"/>
          <cell r="P1016" t="str"/>
          <cell r="Q1016" t="str"/>
          <cell r="R1016" t="str"/>
          <cell r="S1016" t="str"/>
          <cell r="T1016" t="str"/>
          <cell r="U1016" t="str"/>
          <cell r="V1016" t="str"/>
          <cell r="W1016" t="str"/>
          <cell r="X1016" t="str"/>
          <cell r="Y1016" t="str"/>
        </row>
        <row r="1016">
          <cell r="AA1016" t="str"/>
          <cell r="AB1016" t="str"/>
          <cell r="AC1016" t="str"/>
          <cell r="AD1016" t="str"/>
          <cell r="AE1016" t="str"/>
          <cell r="AF1016" t="str"/>
        </row>
        <row r="1017">
          <cell r="B1017" t="str"/>
          <cell r="C1017" t="str"/>
          <cell r="D1017" t="str"/>
          <cell r="E1017" t="str"/>
          <cell r="F1017" t="str"/>
          <cell r="G1017" t="str"/>
          <cell r="H1017" t="str"/>
          <cell r="I1017" t="str"/>
          <cell r="J1017" t="str"/>
          <cell r="K1017" t="str"/>
          <cell r="L1017" t="str"/>
          <cell r="M1017" t="str"/>
          <cell r="N1017" t="str"/>
          <cell r="O1017" t="str"/>
          <cell r="P1017" t="str"/>
          <cell r="Q1017" t="str"/>
          <cell r="R1017" t="str"/>
          <cell r="S1017" t="str"/>
          <cell r="T1017" t="str"/>
          <cell r="U1017" t="str"/>
          <cell r="V1017" t="str"/>
          <cell r="W1017" t="str"/>
          <cell r="X1017" t="str"/>
          <cell r="Y1017" t="str"/>
        </row>
        <row r="1017">
          <cell r="AA1017" t="str"/>
          <cell r="AB1017" t="str"/>
          <cell r="AC1017" t="str"/>
          <cell r="AD1017" t="str"/>
          <cell r="AE1017" t="str"/>
          <cell r="AF1017" t="str"/>
        </row>
        <row r="1018">
          <cell r="B1018" t="str"/>
          <cell r="C1018" t="str"/>
          <cell r="D1018" t="str"/>
          <cell r="E1018" t="str"/>
          <cell r="F1018" t="str"/>
          <cell r="G1018" t="str"/>
          <cell r="H1018" t="str"/>
          <cell r="I1018" t="str"/>
          <cell r="J1018" t="str"/>
          <cell r="K1018" t="str"/>
          <cell r="L1018" t="str"/>
          <cell r="M1018" t="str"/>
          <cell r="N1018" t="str"/>
          <cell r="O1018" t="str"/>
          <cell r="P1018" t="str"/>
          <cell r="Q1018" t="str"/>
          <cell r="R1018" t="str"/>
          <cell r="S1018" t="str"/>
          <cell r="T1018" t="str"/>
          <cell r="U1018" t="str"/>
          <cell r="V1018" t="str"/>
          <cell r="W1018" t="str"/>
          <cell r="X1018" t="str"/>
          <cell r="Y1018" t="str"/>
        </row>
        <row r="1018">
          <cell r="AA1018" t="str"/>
          <cell r="AB1018" t="str"/>
          <cell r="AC1018" t="str"/>
          <cell r="AD1018" t="str"/>
          <cell r="AE1018" t="str"/>
          <cell r="AF1018" t="str"/>
        </row>
        <row r="1019">
          <cell r="B1019" t="str"/>
          <cell r="C1019" t="str"/>
          <cell r="D1019" t="str"/>
          <cell r="E1019" t="str"/>
          <cell r="F1019" t="str"/>
          <cell r="G1019" t="str"/>
          <cell r="H1019" t="str"/>
          <cell r="I1019" t="str"/>
          <cell r="J1019" t="str"/>
          <cell r="K1019" t="str"/>
          <cell r="L1019" t="str"/>
          <cell r="M1019" t="str"/>
          <cell r="N1019" t="str"/>
          <cell r="O1019" t="str"/>
          <cell r="P1019" t="str"/>
          <cell r="Q1019" t="str"/>
          <cell r="R1019" t="str"/>
          <cell r="S1019" t="str"/>
          <cell r="T1019" t="str"/>
          <cell r="U1019" t="str"/>
          <cell r="V1019" t="str"/>
          <cell r="W1019" t="str"/>
          <cell r="X1019" t="str"/>
          <cell r="Y1019" t="str"/>
        </row>
        <row r="1019">
          <cell r="AA1019" t="str"/>
          <cell r="AB1019" t="str"/>
          <cell r="AC1019" t="str"/>
          <cell r="AD1019" t="str"/>
          <cell r="AE1019" t="str"/>
          <cell r="AF1019" t="str"/>
        </row>
        <row r="1020">
          <cell r="B1020" t="str"/>
          <cell r="C1020" t="str"/>
          <cell r="D1020" t="str"/>
          <cell r="E1020" t="str"/>
          <cell r="F1020" t="str"/>
          <cell r="G1020" t="str"/>
          <cell r="H1020" t="str"/>
          <cell r="I1020" t="str"/>
          <cell r="J1020" t="str"/>
          <cell r="K1020" t="str"/>
          <cell r="L1020" t="str"/>
          <cell r="M1020" t="str"/>
          <cell r="N1020" t="str"/>
          <cell r="O1020" t="str"/>
          <cell r="P1020" t="str"/>
          <cell r="Q1020" t="str"/>
          <cell r="R1020" t="str"/>
          <cell r="S1020" t="str"/>
          <cell r="T1020" t="str"/>
          <cell r="U1020" t="str"/>
          <cell r="V1020" t="str"/>
          <cell r="W1020" t="str"/>
          <cell r="X1020" t="str"/>
          <cell r="Y1020" t="str"/>
        </row>
        <row r="1020">
          <cell r="AA1020" t="str"/>
          <cell r="AB1020" t="str"/>
          <cell r="AC1020" t="str"/>
          <cell r="AD1020" t="str"/>
          <cell r="AE1020" t="str"/>
          <cell r="AF1020" t="str"/>
        </row>
        <row r="1021">
          <cell r="B1021" t="str"/>
          <cell r="C1021" t="str"/>
          <cell r="D1021" t="str"/>
          <cell r="E1021" t="str"/>
          <cell r="F1021" t="str"/>
          <cell r="G1021" t="str"/>
          <cell r="H1021" t="str"/>
          <cell r="I1021" t="str"/>
          <cell r="J1021" t="str"/>
          <cell r="K1021" t="str"/>
          <cell r="L1021" t="str"/>
          <cell r="M1021" t="str"/>
          <cell r="N1021" t="str"/>
          <cell r="O1021" t="str"/>
          <cell r="P1021" t="str"/>
          <cell r="Q1021" t="str"/>
          <cell r="R1021" t="str"/>
          <cell r="S1021" t="str"/>
          <cell r="T1021" t="str"/>
          <cell r="U1021" t="str"/>
          <cell r="V1021" t="str"/>
          <cell r="W1021" t="str"/>
          <cell r="X1021" t="str"/>
          <cell r="Y1021" t="str"/>
        </row>
        <row r="1021">
          <cell r="AA1021" t="str"/>
          <cell r="AB1021" t="str"/>
          <cell r="AC1021" t="str"/>
          <cell r="AD1021" t="str"/>
          <cell r="AE1021" t="str"/>
          <cell r="AF1021" t="str"/>
        </row>
        <row r="1022">
          <cell r="B1022" t="str"/>
          <cell r="C1022" t="str"/>
          <cell r="D1022" t="str"/>
          <cell r="E1022" t="str"/>
          <cell r="F1022" t="str"/>
          <cell r="G1022" t="str"/>
          <cell r="H1022" t="str"/>
          <cell r="I1022" t="str"/>
          <cell r="J1022" t="str"/>
          <cell r="K1022" t="str"/>
          <cell r="L1022" t="str"/>
          <cell r="M1022" t="str"/>
          <cell r="N1022" t="str"/>
          <cell r="O1022" t="str"/>
          <cell r="P1022" t="str"/>
          <cell r="Q1022" t="str"/>
          <cell r="R1022" t="str"/>
          <cell r="S1022" t="str"/>
          <cell r="T1022" t="str"/>
          <cell r="U1022" t="str"/>
          <cell r="V1022" t="str"/>
          <cell r="W1022" t="str"/>
          <cell r="X1022" t="str"/>
          <cell r="Y1022" t="str"/>
        </row>
        <row r="1022">
          <cell r="AA1022" t="str"/>
          <cell r="AB1022" t="str"/>
          <cell r="AC1022" t="str"/>
          <cell r="AD1022" t="str"/>
          <cell r="AE1022" t="str"/>
          <cell r="AF1022" t="str"/>
        </row>
        <row r="1023">
          <cell r="B1023" t="str"/>
          <cell r="C1023" t="str"/>
          <cell r="D1023" t="str"/>
          <cell r="E1023" t="str"/>
          <cell r="F1023" t="str"/>
          <cell r="G1023" t="str"/>
          <cell r="H1023" t="str"/>
          <cell r="I1023" t="str"/>
          <cell r="J1023" t="str"/>
          <cell r="K1023" t="str"/>
          <cell r="L1023" t="str"/>
          <cell r="M1023" t="str"/>
          <cell r="N1023" t="str"/>
          <cell r="O1023" t="str"/>
          <cell r="P1023" t="str"/>
          <cell r="Q1023" t="str"/>
          <cell r="R1023" t="str"/>
          <cell r="S1023" t="str"/>
          <cell r="T1023" t="str"/>
          <cell r="U1023" t="str"/>
          <cell r="V1023" t="str"/>
          <cell r="W1023" t="str"/>
          <cell r="X1023" t="str"/>
          <cell r="Y1023" t="str"/>
        </row>
        <row r="1023">
          <cell r="AA1023" t="str"/>
          <cell r="AB1023" t="str"/>
          <cell r="AC1023" t="str"/>
          <cell r="AD1023" t="str"/>
          <cell r="AE1023" t="str"/>
          <cell r="AF1023" t="str"/>
        </row>
        <row r="1024">
          <cell r="B1024" t="str"/>
          <cell r="C1024" t="str"/>
          <cell r="D1024" t="str"/>
          <cell r="E1024" t="str"/>
          <cell r="F1024" t="str"/>
          <cell r="G1024" t="str"/>
          <cell r="H1024" t="str"/>
          <cell r="I1024" t="str"/>
          <cell r="J1024" t="str"/>
          <cell r="K1024" t="str"/>
          <cell r="L1024" t="str"/>
          <cell r="M1024" t="str"/>
          <cell r="N1024" t="str"/>
          <cell r="O1024" t="str"/>
          <cell r="P1024" t="str"/>
          <cell r="Q1024" t="str"/>
          <cell r="R1024" t="str"/>
          <cell r="S1024" t="str"/>
          <cell r="T1024" t="str"/>
          <cell r="U1024" t="str"/>
          <cell r="V1024" t="str"/>
          <cell r="W1024" t="str"/>
          <cell r="X1024" t="str"/>
          <cell r="Y1024" t="str"/>
        </row>
        <row r="1024">
          <cell r="AA1024" t="str"/>
          <cell r="AB1024" t="str"/>
          <cell r="AC1024" t="str"/>
          <cell r="AD1024" t="str"/>
          <cell r="AE1024" t="str"/>
          <cell r="AF1024" t="str"/>
        </row>
        <row r="1025">
          <cell r="B1025" t="str"/>
          <cell r="C1025" t="str"/>
          <cell r="D1025" t="str"/>
          <cell r="E1025" t="str"/>
          <cell r="F1025" t="str"/>
          <cell r="G1025" t="str"/>
          <cell r="H1025" t="str"/>
          <cell r="I1025" t="str"/>
          <cell r="J1025" t="str"/>
          <cell r="K1025" t="str"/>
          <cell r="L1025" t="str"/>
          <cell r="M1025" t="str"/>
          <cell r="N1025" t="str"/>
          <cell r="O1025" t="str"/>
          <cell r="P1025" t="str"/>
          <cell r="Q1025" t="str"/>
          <cell r="R1025" t="str"/>
          <cell r="S1025" t="str"/>
          <cell r="T1025" t="str"/>
          <cell r="U1025" t="str"/>
          <cell r="V1025" t="str"/>
          <cell r="W1025" t="str"/>
          <cell r="X1025" t="str"/>
          <cell r="Y1025" t="str"/>
        </row>
        <row r="1025">
          <cell r="AA1025" t="str"/>
          <cell r="AB1025" t="str"/>
          <cell r="AC1025" t="str"/>
          <cell r="AD1025" t="str"/>
          <cell r="AE1025" t="str"/>
          <cell r="AF1025" t="str"/>
        </row>
        <row r="1026">
          <cell r="B1026" t="str"/>
          <cell r="C1026" t="str"/>
          <cell r="D1026" t="str"/>
          <cell r="E1026" t="str"/>
          <cell r="F1026" t="str"/>
          <cell r="G1026" t="str"/>
          <cell r="H1026" t="str"/>
          <cell r="I1026" t="str"/>
          <cell r="J1026" t="str"/>
          <cell r="K1026" t="str"/>
          <cell r="L1026" t="str"/>
          <cell r="M1026" t="str"/>
          <cell r="N1026" t="str"/>
          <cell r="O1026" t="str"/>
          <cell r="P1026" t="str"/>
          <cell r="Q1026" t="str"/>
          <cell r="R1026" t="str"/>
          <cell r="S1026" t="str"/>
          <cell r="T1026" t="str"/>
          <cell r="U1026" t="str"/>
          <cell r="V1026" t="str"/>
          <cell r="W1026" t="str"/>
          <cell r="X1026" t="str"/>
          <cell r="Y1026" t="str"/>
        </row>
        <row r="1026">
          <cell r="AA1026" t="str"/>
          <cell r="AB1026" t="str"/>
          <cell r="AC1026" t="str"/>
          <cell r="AD1026" t="str"/>
          <cell r="AE1026" t="str"/>
          <cell r="AF1026" t="str"/>
        </row>
        <row r="1027">
          <cell r="B1027" t="str"/>
          <cell r="C1027" t="str"/>
          <cell r="D1027" t="str"/>
          <cell r="E1027" t="str"/>
          <cell r="F1027" t="str"/>
          <cell r="G1027" t="str"/>
          <cell r="H1027" t="str"/>
          <cell r="I1027" t="str"/>
          <cell r="J1027" t="str"/>
          <cell r="K1027" t="str"/>
          <cell r="L1027" t="str"/>
          <cell r="M1027" t="str"/>
          <cell r="N1027" t="str"/>
          <cell r="O1027" t="str"/>
          <cell r="P1027" t="str"/>
          <cell r="Q1027" t="str"/>
          <cell r="R1027" t="str"/>
          <cell r="S1027" t="str"/>
          <cell r="T1027" t="str"/>
          <cell r="U1027" t="str"/>
          <cell r="V1027" t="str"/>
          <cell r="W1027" t="str"/>
          <cell r="X1027" t="str"/>
          <cell r="Y1027" t="str"/>
        </row>
        <row r="1027">
          <cell r="AA1027" t="str"/>
          <cell r="AB1027" t="str"/>
          <cell r="AC1027" t="str"/>
          <cell r="AD1027" t="str"/>
          <cell r="AE1027" t="str"/>
          <cell r="AF1027" t="str"/>
        </row>
        <row r="1028">
          <cell r="B1028" t="str"/>
          <cell r="C1028" t="str"/>
          <cell r="D1028" t="str"/>
          <cell r="E1028" t="str"/>
          <cell r="F1028" t="str"/>
          <cell r="G1028" t="str"/>
          <cell r="H1028" t="str"/>
          <cell r="I1028" t="str"/>
          <cell r="J1028" t="str"/>
          <cell r="K1028" t="str"/>
          <cell r="L1028" t="str"/>
          <cell r="M1028" t="str"/>
          <cell r="N1028" t="str"/>
          <cell r="O1028" t="str"/>
          <cell r="P1028" t="str"/>
          <cell r="Q1028" t="str"/>
          <cell r="R1028" t="str"/>
          <cell r="S1028" t="str"/>
          <cell r="T1028" t="str"/>
          <cell r="U1028" t="str"/>
          <cell r="V1028" t="str"/>
          <cell r="W1028" t="str"/>
          <cell r="X1028" t="str"/>
          <cell r="Y1028" t="str"/>
        </row>
        <row r="1028">
          <cell r="AA1028" t="str"/>
          <cell r="AB1028" t="str"/>
          <cell r="AC1028" t="str"/>
          <cell r="AD1028" t="str"/>
          <cell r="AE1028" t="str"/>
          <cell r="AF1028" t="str"/>
        </row>
        <row r="1029">
          <cell r="B1029" t="str"/>
          <cell r="C1029" t="str"/>
          <cell r="D1029" t="str"/>
          <cell r="E1029" t="str"/>
          <cell r="F1029" t="str"/>
          <cell r="G1029" t="str"/>
          <cell r="H1029" t="str"/>
          <cell r="I1029" t="str"/>
          <cell r="J1029" t="str"/>
          <cell r="K1029" t="str"/>
          <cell r="L1029" t="str"/>
          <cell r="M1029" t="str"/>
          <cell r="N1029" t="str"/>
          <cell r="O1029" t="str"/>
          <cell r="P1029" t="str"/>
          <cell r="Q1029" t="str"/>
          <cell r="R1029" t="str"/>
          <cell r="S1029" t="str"/>
          <cell r="T1029" t="str"/>
          <cell r="U1029" t="str"/>
          <cell r="V1029" t="str"/>
          <cell r="W1029" t="str"/>
          <cell r="X1029" t="str"/>
          <cell r="Y1029" t="str"/>
        </row>
        <row r="1029">
          <cell r="AA1029" t="str"/>
          <cell r="AB1029" t="str"/>
          <cell r="AC1029" t="str"/>
          <cell r="AD1029" t="str"/>
          <cell r="AE1029" t="str"/>
          <cell r="AF1029" t="str"/>
        </row>
        <row r="1030">
          <cell r="B1030" t="str"/>
          <cell r="C1030" t="str"/>
          <cell r="D1030" t="str"/>
          <cell r="E1030" t="str"/>
          <cell r="F1030" t="str"/>
          <cell r="G1030" t="str"/>
          <cell r="H1030" t="str"/>
          <cell r="I1030" t="str"/>
          <cell r="J1030" t="str"/>
          <cell r="K1030" t="str"/>
          <cell r="L1030" t="str"/>
          <cell r="M1030" t="str"/>
          <cell r="N1030" t="str"/>
          <cell r="O1030" t="str"/>
          <cell r="P1030" t="str"/>
          <cell r="Q1030" t="str"/>
          <cell r="R1030" t="str"/>
          <cell r="S1030" t="str"/>
          <cell r="T1030" t="str"/>
          <cell r="U1030" t="str"/>
          <cell r="V1030" t="str"/>
          <cell r="W1030" t="str"/>
          <cell r="X1030" t="str"/>
          <cell r="Y1030" t="str"/>
        </row>
        <row r="1030">
          <cell r="AA1030" t="str"/>
          <cell r="AB1030" t="str"/>
          <cell r="AC1030" t="str"/>
          <cell r="AD1030" t="str"/>
          <cell r="AE1030" t="str"/>
          <cell r="AF1030" t="str"/>
        </row>
        <row r="1031">
          <cell r="B1031" t="str"/>
          <cell r="C1031" t="str"/>
          <cell r="D1031" t="str"/>
          <cell r="E1031" t="str"/>
          <cell r="F1031" t="str"/>
          <cell r="G1031" t="str"/>
          <cell r="H1031" t="str"/>
          <cell r="I1031" t="str"/>
          <cell r="J1031" t="str"/>
          <cell r="K1031" t="str"/>
          <cell r="L1031" t="str"/>
          <cell r="M1031" t="str"/>
          <cell r="N1031" t="str"/>
          <cell r="O1031" t="str"/>
          <cell r="P1031" t="str"/>
          <cell r="Q1031" t="str"/>
          <cell r="R1031" t="str"/>
          <cell r="S1031" t="str"/>
          <cell r="T1031" t="str"/>
          <cell r="U1031" t="str"/>
          <cell r="V1031" t="str"/>
          <cell r="W1031" t="str"/>
          <cell r="X1031" t="str"/>
          <cell r="Y1031" t="str"/>
        </row>
        <row r="1031">
          <cell r="AA1031" t="str"/>
          <cell r="AB1031" t="str"/>
          <cell r="AC1031" t="str"/>
          <cell r="AD1031" t="str"/>
          <cell r="AE1031" t="str"/>
          <cell r="AF1031" t="str"/>
        </row>
        <row r="1032">
          <cell r="B1032" t="str"/>
          <cell r="C1032" t="str"/>
          <cell r="D1032" t="str"/>
          <cell r="E1032" t="str"/>
          <cell r="F1032" t="str"/>
          <cell r="G1032" t="str"/>
          <cell r="H1032" t="str"/>
          <cell r="I1032" t="str"/>
          <cell r="J1032" t="str"/>
          <cell r="K1032" t="str"/>
          <cell r="L1032" t="str"/>
          <cell r="M1032" t="str"/>
          <cell r="N1032" t="str"/>
          <cell r="O1032" t="str"/>
          <cell r="P1032" t="str"/>
          <cell r="Q1032" t="str"/>
          <cell r="R1032" t="str"/>
          <cell r="S1032" t="str"/>
          <cell r="T1032" t="str"/>
          <cell r="U1032" t="str"/>
          <cell r="V1032" t="str"/>
          <cell r="W1032" t="str"/>
          <cell r="X1032" t="str"/>
          <cell r="Y1032" t="str"/>
        </row>
        <row r="1032">
          <cell r="AA1032" t="str"/>
          <cell r="AB1032" t="str"/>
          <cell r="AC1032" t="str"/>
          <cell r="AD1032" t="str"/>
          <cell r="AE1032" t="str"/>
          <cell r="AF1032" t="str"/>
        </row>
        <row r="1033">
          <cell r="B1033" t="str"/>
          <cell r="C1033" t="str"/>
          <cell r="D1033" t="str"/>
          <cell r="E1033" t="str"/>
          <cell r="F1033" t="str"/>
          <cell r="G1033" t="str"/>
          <cell r="H1033" t="str"/>
          <cell r="I1033" t="str"/>
          <cell r="J1033" t="str"/>
          <cell r="K1033" t="str"/>
          <cell r="L1033" t="str"/>
          <cell r="M1033" t="str"/>
          <cell r="N1033" t="str"/>
          <cell r="O1033" t="str"/>
          <cell r="P1033" t="str"/>
          <cell r="Q1033" t="str"/>
          <cell r="R1033" t="str"/>
          <cell r="S1033" t="str"/>
          <cell r="T1033" t="str"/>
          <cell r="U1033" t="str"/>
          <cell r="V1033" t="str"/>
          <cell r="W1033" t="str"/>
          <cell r="X1033" t="str"/>
          <cell r="Y1033" t="str"/>
        </row>
        <row r="1033">
          <cell r="AA1033" t="str"/>
          <cell r="AB1033" t="str"/>
          <cell r="AC1033" t="str"/>
          <cell r="AD1033" t="str"/>
          <cell r="AE1033" t="str"/>
          <cell r="AF1033" t="str"/>
        </row>
        <row r="1034">
          <cell r="B1034" t="str"/>
          <cell r="C1034" t="str"/>
          <cell r="D1034" t="str"/>
          <cell r="E1034" t="str"/>
          <cell r="F1034" t="str"/>
          <cell r="G1034" t="str"/>
          <cell r="H1034" t="str"/>
          <cell r="I1034" t="str"/>
          <cell r="J1034" t="str"/>
          <cell r="K1034" t="str"/>
          <cell r="L1034" t="str"/>
          <cell r="M1034" t="str"/>
          <cell r="N1034" t="str"/>
          <cell r="O1034" t="str"/>
          <cell r="P1034" t="str"/>
          <cell r="Q1034" t="str"/>
          <cell r="R1034" t="str"/>
          <cell r="S1034" t="str"/>
          <cell r="T1034" t="str"/>
          <cell r="U1034" t="str"/>
          <cell r="V1034" t="str"/>
          <cell r="W1034" t="str"/>
          <cell r="X1034" t="str"/>
          <cell r="Y1034" t="str"/>
        </row>
        <row r="1034">
          <cell r="AA1034" t="str"/>
          <cell r="AB1034" t="str"/>
          <cell r="AC1034" t="str"/>
          <cell r="AD1034" t="str"/>
          <cell r="AE1034" t="str"/>
          <cell r="AF1034" t="str"/>
        </row>
        <row r="1035">
          <cell r="B1035" t="str"/>
          <cell r="C1035" t="str"/>
          <cell r="D1035" t="str"/>
          <cell r="E1035" t="str"/>
          <cell r="F1035" t="str"/>
          <cell r="G1035" t="str"/>
          <cell r="H1035" t="str"/>
          <cell r="I1035" t="str"/>
          <cell r="J1035" t="str"/>
          <cell r="K1035" t="str"/>
          <cell r="L1035" t="str"/>
          <cell r="M1035" t="str"/>
          <cell r="N1035" t="str"/>
          <cell r="O1035" t="str"/>
          <cell r="P1035" t="str"/>
          <cell r="Q1035" t="str"/>
          <cell r="R1035" t="str"/>
          <cell r="S1035" t="str"/>
          <cell r="T1035" t="str"/>
          <cell r="U1035" t="str"/>
          <cell r="V1035" t="str"/>
          <cell r="W1035" t="str"/>
          <cell r="X1035" t="str"/>
          <cell r="Y1035" t="str"/>
        </row>
        <row r="1035">
          <cell r="AA1035" t="str"/>
          <cell r="AB1035" t="str"/>
          <cell r="AC1035" t="str"/>
          <cell r="AD1035" t="str"/>
          <cell r="AE1035" t="str"/>
          <cell r="AF1035" t="str"/>
        </row>
        <row r="1036">
          <cell r="B1036" t="str"/>
          <cell r="C1036" t="str"/>
          <cell r="D1036" t="str"/>
          <cell r="E1036" t="str"/>
          <cell r="F1036" t="str"/>
          <cell r="G1036" t="str"/>
          <cell r="H1036" t="str"/>
          <cell r="I1036" t="str"/>
          <cell r="J1036" t="str"/>
          <cell r="K1036" t="str"/>
          <cell r="L1036" t="str"/>
          <cell r="M1036" t="str"/>
          <cell r="N1036" t="str"/>
          <cell r="O1036" t="str"/>
          <cell r="P1036" t="str"/>
          <cell r="Q1036" t="str"/>
          <cell r="R1036" t="str"/>
          <cell r="S1036" t="str"/>
          <cell r="T1036" t="str"/>
          <cell r="U1036" t="str"/>
          <cell r="V1036" t="str"/>
          <cell r="W1036" t="str"/>
          <cell r="X1036" t="str"/>
          <cell r="Y1036" t="str"/>
        </row>
        <row r="1036">
          <cell r="AA1036" t="str"/>
          <cell r="AB1036" t="str"/>
          <cell r="AC1036" t="str"/>
          <cell r="AD1036" t="str"/>
          <cell r="AE1036" t="str"/>
          <cell r="AF1036" t="str"/>
        </row>
        <row r="1037">
          <cell r="B1037" t="str"/>
          <cell r="C1037" t="str"/>
          <cell r="D1037" t="str"/>
          <cell r="E1037" t="str"/>
          <cell r="F1037" t="str"/>
          <cell r="G1037" t="str"/>
          <cell r="H1037" t="str"/>
          <cell r="I1037" t="str"/>
          <cell r="J1037" t="str"/>
          <cell r="K1037" t="str"/>
          <cell r="L1037" t="str"/>
          <cell r="M1037" t="str"/>
          <cell r="N1037" t="str"/>
          <cell r="O1037" t="str"/>
          <cell r="P1037" t="str"/>
          <cell r="Q1037" t="str"/>
          <cell r="R1037" t="str"/>
          <cell r="S1037" t="str"/>
          <cell r="T1037" t="str"/>
          <cell r="U1037" t="str"/>
          <cell r="V1037" t="str"/>
          <cell r="W1037" t="str"/>
          <cell r="X1037" t="str"/>
          <cell r="Y1037" t="str"/>
        </row>
        <row r="1037">
          <cell r="AA1037" t="str"/>
          <cell r="AB1037" t="str"/>
          <cell r="AC1037" t="str"/>
          <cell r="AD1037" t="str"/>
          <cell r="AE1037" t="str"/>
          <cell r="AF1037" t="str"/>
        </row>
        <row r="1038">
          <cell r="B1038" t="str"/>
          <cell r="C1038" t="str"/>
          <cell r="D1038" t="str"/>
          <cell r="E1038" t="str"/>
          <cell r="F1038" t="str"/>
          <cell r="G1038" t="str"/>
          <cell r="H1038" t="str"/>
          <cell r="I1038" t="str"/>
          <cell r="J1038" t="str"/>
          <cell r="K1038" t="str"/>
          <cell r="L1038" t="str"/>
          <cell r="M1038" t="str"/>
          <cell r="N1038" t="str"/>
          <cell r="O1038" t="str"/>
          <cell r="P1038" t="str"/>
          <cell r="Q1038" t="str"/>
          <cell r="R1038" t="str"/>
          <cell r="S1038" t="str"/>
          <cell r="T1038" t="str"/>
          <cell r="U1038" t="str"/>
          <cell r="V1038" t="str"/>
          <cell r="W1038" t="str"/>
          <cell r="X1038" t="str"/>
          <cell r="Y1038" t="str"/>
        </row>
        <row r="1038">
          <cell r="AA1038" t="str"/>
          <cell r="AB1038" t="str"/>
          <cell r="AC1038" t="str"/>
          <cell r="AD1038" t="str"/>
          <cell r="AE1038" t="str"/>
          <cell r="AF1038" t="str"/>
        </row>
        <row r="1039">
          <cell r="B1039" t="str"/>
          <cell r="C1039" t="str"/>
          <cell r="D1039" t="str"/>
          <cell r="E1039" t="str"/>
          <cell r="F1039" t="str"/>
          <cell r="G1039" t="str"/>
          <cell r="H1039" t="str"/>
          <cell r="I1039" t="str"/>
          <cell r="J1039" t="str"/>
          <cell r="K1039" t="str"/>
          <cell r="L1039" t="str"/>
          <cell r="M1039" t="str"/>
          <cell r="N1039" t="str"/>
          <cell r="O1039" t="str"/>
          <cell r="P1039" t="str"/>
          <cell r="Q1039" t="str"/>
          <cell r="R1039" t="str"/>
          <cell r="S1039" t="str"/>
          <cell r="T1039" t="str"/>
          <cell r="U1039" t="str"/>
          <cell r="V1039" t="str"/>
          <cell r="W1039" t="str"/>
          <cell r="X1039" t="str"/>
          <cell r="Y1039" t="str"/>
        </row>
        <row r="1039">
          <cell r="AA1039" t="str"/>
          <cell r="AB1039" t="str"/>
          <cell r="AC1039" t="str"/>
          <cell r="AD1039" t="str"/>
          <cell r="AE1039" t="str"/>
          <cell r="AF1039" t="str"/>
        </row>
        <row r="1040">
          <cell r="B1040" t="str"/>
          <cell r="C1040" t="str"/>
          <cell r="D1040" t="str"/>
          <cell r="E1040" t="str"/>
          <cell r="F1040" t="str"/>
          <cell r="G1040" t="str"/>
          <cell r="H1040" t="str"/>
          <cell r="I1040" t="str"/>
          <cell r="J1040" t="str"/>
          <cell r="K1040" t="str"/>
          <cell r="L1040" t="str"/>
          <cell r="M1040" t="str"/>
          <cell r="N1040" t="str"/>
          <cell r="O1040" t="str"/>
          <cell r="P1040" t="str"/>
          <cell r="Q1040" t="str"/>
          <cell r="R1040" t="str"/>
          <cell r="S1040" t="str"/>
          <cell r="T1040" t="str"/>
          <cell r="U1040" t="str"/>
          <cell r="V1040" t="str"/>
          <cell r="W1040" t="str"/>
          <cell r="X1040" t="str"/>
          <cell r="Y1040" t="str"/>
        </row>
        <row r="1040">
          <cell r="AA1040" t="str"/>
          <cell r="AB1040" t="str"/>
          <cell r="AC1040" t="str"/>
          <cell r="AD1040" t="str"/>
          <cell r="AE1040" t="str"/>
          <cell r="AF1040" t="str"/>
        </row>
        <row r="1041">
          <cell r="B1041" t="str"/>
          <cell r="C1041" t="str"/>
          <cell r="D1041" t="str"/>
          <cell r="E1041" t="str"/>
          <cell r="F1041" t="str"/>
          <cell r="G1041" t="str"/>
          <cell r="H1041" t="str"/>
          <cell r="I1041" t="str"/>
          <cell r="J1041" t="str"/>
          <cell r="K1041" t="str"/>
          <cell r="L1041" t="str"/>
          <cell r="M1041" t="str"/>
          <cell r="N1041" t="str"/>
          <cell r="O1041" t="str"/>
          <cell r="P1041" t="str"/>
          <cell r="Q1041" t="str"/>
          <cell r="R1041" t="str"/>
          <cell r="S1041" t="str"/>
          <cell r="T1041" t="str"/>
          <cell r="U1041" t="str"/>
          <cell r="V1041" t="str"/>
          <cell r="W1041" t="str"/>
          <cell r="X1041" t="str"/>
          <cell r="Y1041" t="str"/>
        </row>
        <row r="1041">
          <cell r="AA1041" t="str"/>
          <cell r="AB1041" t="str"/>
          <cell r="AC1041" t="str"/>
          <cell r="AD1041" t="str"/>
          <cell r="AE1041" t="str"/>
          <cell r="AF1041" t="str"/>
        </row>
        <row r="1042">
          <cell r="B1042" t="str"/>
          <cell r="C1042" t="str"/>
          <cell r="D1042" t="str"/>
          <cell r="E1042" t="str"/>
          <cell r="F1042" t="str"/>
          <cell r="G1042" t="str"/>
          <cell r="H1042" t="str"/>
          <cell r="I1042" t="str"/>
          <cell r="J1042" t="str"/>
          <cell r="K1042" t="str"/>
          <cell r="L1042" t="str"/>
          <cell r="M1042" t="str"/>
          <cell r="N1042" t="str"/>
          <cell r="O1042" t="str"/>
          <cell r="P1042" t="str"/>
          <cell r="Q1042" t="str"/>
          <cell r="R1042" t="str"/>
          <cell r="S1042" t="str"/>
          <cell r="T1042" t="str"/>
          <cell r="U1042" t="str"/>
          <cell r="V1042" t="str"/>
          <cell r="W1042" t="str"/>
          <cell r="X1042" t="str"/>
          <cell r="Y1042" t="str"/>
        </row>
        <row r="1042">
          <cell r="AA1042" t="str"/>
          <cell r="AB1042" t="str"/>
          <cell r="AC1042" t="str"/>
          <cell r="AD1042" t="str"/>
          <cell r="AE1042" t="str"/>
          <cell r="AF1042" t="str"/>
        </row>
        <row r="1043">
          <cell r="B1043" t="str"/>
          <cell r="C1043" t="str"/>
          <cell r="D1043" t="str"/>
          <cell r="E1043" t="str"/>
          <cell r="F1043" t="str"/>
          <cell r="G1043" t="str"/>
          <cell r="H1043" t="str"/>
          <cell r="I1043" t="str"/>
          <cell r="J1043" t="str"/>
          <cell r="K1043" t="str"/>
          <cell r="L1043" t="str"/>
          <cell r="M1043" t="str"/>
          <cell r="N1043" t="str"/>
          <cell r="O1043" t="str"/>
          <cell r="P1043" t="str"/>
          <cell r="Q1043" t="str"/>
          <cell r="R1043" t="str"/>
          <cell r="S1043" t="str"/>
          <cell r="T1043" t="str"/>
          <cell r="U1043" t="str"/>
          <cell r="V1043" t="str"/>
          <cell r="W1043" t="str"/>
          <cell r="X1043" t="str"/>
          <cell r="Y1043" t="str"/>
        </row>
        <row r="1043">
          <cell r="AA1043" t="str"/>
          <cell r="AB1043" t="str"/>
          <cell r="AC1043" t="str"/>
          <cell r="AD1043" t="str"/>
          <cell r="AE1043" t="str"/>
          <cell r="AF1043" t="str"/>
        </row>
        <row r="1044">
          <cell r="B1044" t="str"/>
          <cell r="C1044" t="str"/>
          <cell r="D1044" t="str"/>
          <cell r="E1044" t="str"/>
          <cell r="F1044" t="str"/>
          <cell r="G1044" t="str"/>
          <cell r="H1044" t="str"/>
          <cell r="I1044" t="str"/>
          <cell r="J1044" t="str"/>
          <cell r="K1044" t="str"/>
          <cell r="L1044" t="str"/>
          <cell r="M1044" t="str"/>
          <cell r="N1044" t="str"/>
          <cell r="O1044" t="str"/>
          <cell r="P1044" t="str"/>
          <cell r="Q1044" t="str"/>
          <cell r="R1044" t="str"/>
          <cell r="S1044" t="str"/>
          <cell r="T1044" t="str"/>
          <cell r="U1044" t="str"/>
          <cell r="V1044" t="str"/>
          <cell r="W1044" t="str"/>
          <cell r="X1044" t="str"/>
          <cell r="Y1044" t="str"/>
        </row>
        <row r="1044">
          <cell r="AA1044" t="str"/>
          <cell r="AB1044" t="str"/>
          <cell r="AC1044" t="str"/>
          <cell r="AD1044" t="str"/>
          <cell r="AE1044" t="str"/>
          <cell r="AF1044" t="str"/>
        </row>
        <row r="1045">
          <cell r="B1045" t="str"/>
          <cell r="C1045" t="str"/>
          <cell r="D1045" t="str"/>
          <cell r="E1045" t="str"/>
          <cell r="F1045" t="str"/>
          <cell r="G1045" t="str"/>
          <cell r="H1045" t="str"/>
          <cell r="I1045" t="str"/>
          <cell r="J1045" t="str"/>
          <cell r="K1045" t="str"/>
          <cell r="L1045" t="str"/>
          <cell r="M1045" t="str"/>
          <cell r="N1045" t="str"/>
          <cell r="O1045" t="str"/>
          <cell r="P1045" t="str"/>
          <cell r="Q1045" t="str"/>
          <cell r="R1045" t="str"/>
          <cell r="S1045" t="str"/>
          <cell r="T1045" t="str"/>
          <cell r="U1045" t="str"/>
          <cell r="V1045" t="str"/>
          <cell r="W1045" t="str"/>
          <cell r="X1045" t="str"/>
          <cell r="Y1045" t="str"/>
        </row>
        <row r="1045">
          <cell r="AA1045" t="str"/>
          <cell r="AB1045" t="str"/>
          <cell r="AC1045" t="str"/>
          <cell r="AD1045" t="str"/>
          <cell r="AE1045" t="str"/>
          <cell r="AF1045" t="str"/>
        </row>
        <row r="1046">
          <cell r="B1046" t="str"/>
          <cell r="C1046" t="str"/>
          <cell r="D1046" t="str"/>
          <cell r="E1046" t="str"/>
          <cell r="F1046" t="str"/>
          <cell r="G1046" t="str"/>
          <cell r="H1046" t="str"/>
          <cell r="I1046" t="str"/>
          <cell r="J1046" t="str"/>
          <cell r="K1046" t="str"/>
          <cell r="L1046" t="str"/>
          <cell r="M1046" t="str"/>
          <cell r="N1046" t="str"/>
          <cell r="O1046" t="str"/>
          <cell r="P1046" t="str"/>
          <cell r="Q1046" t="str"/>
          <cell r="R1046" t="str"/>
          <cell r="S1046" t="str"/>
          <cell r="T1046" t="str"/>
          <cell r="U1046" t="str"/>
          <cell r="V1046" t="str"/>
          <cell r="W1046" t="str"/>
          <cell r="X1046" t="str"/>
          <cell r="Y1046" t="str"/>
        </row>
        <row r="1046">
          <cell r="AA1046" t="str"/>
          <cell r="AB1046" t="str"/>
          <cell r="AC1046" t="str"/>
          <cell r="AD1046" t="str"/>
          <cell r="AE1046" t="str"/>
          <cell r="AF1046" t="str"/>
        </row>
        <row r="1047">
          <cell r="B1047" t="str"/>
          <cell r="C1047" t="str"/>
          <cell r="D1047" t="str"/>
          <cell r="E1047" t="str"/>
          <cell r="F1047" t="str"/>
          <cell r="G1047" t="str"/>
          <cell r="H1047" t="str"/>
          <cell r="I1047" t="str"/>
          <cell r="J1047" t="str"/>
          <cell r="K1047" t="str"/>
          <cell r="L1047" t="str"/>
          <cell r="M1047" t="str"/>
          <cell r="N1047" t="str"/>
          <cell r="O1047" t="str"/>
          <cell r="P1047" t="str"/>
          <cell r="Q1047" t="str"/>
          <cell r="R1047" t="str"/>
          <cell r="S1047" t="str"/>
          <cell r="T1047" t="str"/>
          <cell r="U1047" t="str"/>
          <cell r="V1047" t="str"/>
          <cell r="W1047" t="str"/>
          <cell r="X1047" t="str"/>
          <cell r="Y1047" t="str"/>
        </row>
        <row r="1047">
          <cell r="AA1047" t="str"/>
          <cell r="AB1047" t="str"/>
          <cell r="AC1047" t="str"/>
          <cell r="AD1047" t="str"/>
          <cell r="AE1047" t="str"/>
          <cell r="AF1047" t="str"/>
        </row>
        <row r="1048">
          <cell r="B1048" t="str"/>
          <cell r="C1048" t="str"/>
          <cell r="D1048" t="str"/>
          <cell r="E1048" t="str"/>
          <cell r="F1048" t="str"/>
          <cell r="G1048" t="str"/>
          <cell r="H1048" t="str"/>
          <cell r="I1048" t="str"/>
          <cell r="J1048" t="str"/>
          <cell r="K1048" t="str"/>
          <cell r="L1048" t="str"/>
          <cell r="M1048" t="str"/>
          <cell r="N1048" t="str"/>
          <cell r="O1048" t="str"/>
          <cell r="P1048" t="str"/>
          <cell r="Q1048" t="str"/>
          <cell r="R1048" t="str"/>
          <cell r="S1048" t="str"/>
          <cell r="T1048" t="str"/>
          <cell r="U1048" t="str"/>
          <cell r="V1048" t="str"/>
          <cell r="W1048" t="str"/>
          <cell r="X1048" t="str"/>
          <cell r="Y1048" t="str"/>
        </row>
        <row r="1048">
          <cell r="AA1048" t="str"/>
          <cell r="AB1048" t="str"/>
          <cell r="AC1048" t="str"/>
          <cell r="AD1048" t="str"/>
          <cell r="AE1048" t="str"/>
          <cell r="AF1048" t="str"/>
        </row>
        <row r="1049">
          <cell r="B1049" t="str"/>
          <cell r="C1049" t="str"/>
          <cell r="D1049" t="str"/>
          <cell r="E1049" t="str"/>
          <cell r="F1049" t="str"/>
          <cell r="G1049" t="str"/>
          <cell r="H1049" t="str"/>
          <cell r="I1049" t="str"/>
          <cell r="J1049" t="str"/>
          <cell r="K1049" t="str"/>
          <cell r="L1049" t="str"/>
          <cell r="M1049" t="str"/>
          <cell r="N1049" t="str"/>
          <cell r="O1049" t="str"/>
          <cell r="P1049" t="str"/>
          <cell r="Q1049" t="str"/>
          <cell r="R1049" t="str"/>
          <cell r="S1049" t="str"/>
          <cell r="T1049" t="str"/>
          <cell r="U1049" t="str"/>
          <cell r="V1049" t="str"/>
          <cell r="W1049" t="str"/>
          <cell r="X1049" t="str"/>
          <cell r="Y1049" t="str"/>
        </row>
        <row r="1049">
          <cell r="AA1049" t="str"/>
          <cell r="AB1049" t="str"/>
          <cell r="AC1049" t="str"/>
          <cell r="AD1049" t="str"/>
          <cell r="AE1049" t="str"/>
          <cell r="AF1049" t="str"/>
        </row>
        <row r="1050">
          <cell r="B1050" t="str"/>
          <cell r="C1050" t="str"/>
          <cell r="D1050" t="str"/>
          <cell r="E1050" t="str"/>
          <cell r="F1050" t="str"/>
          <cell r="G1050" t="str"/>
          <cell r="H1050" t="str"/>
          <cell r="I1050" t="str"/>
          <cell r="J1050" t="str"/>
          <cell r="K1050" t="str"/>
          <cell r="L1050" t="str"/>
          <cell r="M1050" t="str"/>
          <cell r="N1050" t="str"/>
          <cell r="O1050" t="str"/>
          <cell r="P1050" t="str"/>
          <cell r="Q1050" t="str"/>
          <cell r="R1050" t="str"/>
          <cell r="S1050" t="str"/>
          <cell r="T1050" t="str"/>
          <cell r="U1050" t="str"/>
          <cell r="V1050" t="str"/>
          <cell r="W1050" t="str"/>
          <cell r="X1050" t="str"/>
          <cell r="Y1050" t="str"/>
        </row>
        <row r="1050">
          <cell r="AA1050" t="str"/>
          <cell r="AB1050" t="str"/>
          <cell r="AC1050" t="str"/>
          <cell r="AD1050" t="str"/>
          <cell r="AE1050" t="str"/>
          <cell r="AF1050" t="str"/>
        </row>
        <row r="1051">
          <cell r="B1051" t="str"/>
          <cell r="C1051" t="str"/>
          <cell r="D1051" t="str"/>
          <cell r="E1051" t="str"/>
          <cell r="F1051" t="str"/>
          <cell r="G1051" t="str"/>
          <cell r="H1051" t="str"/>
          <cell r="I1051" t="str"/>
          <cell r="J1051" t="str"/>
          <cell r="K1051" t="str"/>
          <cell r="L1051" t="str"/>
          <cell r="M1051" t="str"/>
          <cell r="N1051" t="str"/>
          <cell r="O1051" t="str"/>
          <cell r="P1051" t="str"/>
          <cell r="Q1051" t="str"/>
          <cell r="R1051" t="str"/>
          <cell r="S1051" t="str"/>
          <cell r="T1051" t="str"/>
          <cell r="U1051" t="str"/>
          <cell r="V1051" t="str"/>
          <cell r="W1051" t="str"/>
          <cell r="X1051" t="str"/>
          <cell r="Y1051" t="str"/>
        </row>
        <row r="1051">
          <cell r="AA1051" t="str"/>
          <cell r="AB1051" t="str"/>
          <cell r="AC1051" t="str"/>
          <cell r="AD1051" t="str"/>
          <cell r="AE1051" t="str"/>
          <cell r="AF1051" t="str"/>
        </row>
        <row r="1052">
          <cell r="B1052" t="str"/>
          <cell r="C1052" t="str"/>
          <cell r="D1052" t="str"/>
          <cell r="E1052" t="str"/>
          <cell r="F1052" t="str"/>
          <cell r="G1052" t="str"/>
          <cell r="H1052" t="str"/>
          <cell r="I1052" t="str"/>
          <cell r="J1052" t="str"/>
          <cell r="K1052" t="str"/>
          <cell r="L1052" t="str"/>
          <cell r="M1052" t="str"/>
          <cell r="N1052" t="str"/>
          <cell r="O1052" t="str"/>
          <cell r="P1052" t="str"/>
          <cell r="Q1052" t="str"/>
          <cell r="R1052" t="str"/>
          <cell r="S1052" t="str"/>
          <cell r="T1052" t="str"/>
          <cell r="U1052" t="str"/>
          <cell r="V1052" t="str"/>
          <cell r="W1052" t="str"/>
          <cell r="X1052" t="str"/>
          <cell r="Y1052" t="str"/>
        </row>
        <row r="1052">
          <cell r="AA1052" t="str"/>
          <cell r="AB1052" t="str"/>
          <cell r="AC1052" t="str"/>
          <cell r="AD1052" t="str"/>
          <cell r="AE1052" t="str"/>
          <cell r="AF1052" t="str"/>
        </row>
        <row r="1053">
          <cell r="B1053" t="str"/>
          <cell r="C1053" t="str"/>
          <cell r="D1053" t="str"/>
          <cell r="E1053" t="str"/>
          <cell r="F1053" t="str"/>
          <cell r="G1053" t="str"/>
          <cell r="H1053" t="str"/>
          <cell r="I1053" t="str"/>
          <cell r="J1053" t="str"/>
          <cell r="K1053" t="str"/>
          <cell r="L1053" t="str"/>
          <cell r="M1053" t="str"/>
          <cell r="N1053" t="str"/>
          <cell r="O1053" t="str"/>
          <cell r="P1053" t="str"/>
          <cell r="Q1053" t="str"/>
          <cell r="R1053" t="str"/>
          <cell r="S1053" t="str"/>
          <cell r="T1053" t="str"/>
          <cell r="U1053" t="str"/>
          <cell r="V1053" t="str"/>
          <cell r="W1053" t="str"/>
          <cell r="X1053" t="str"/>
          <cell r="Y1053" t="str"/>
        </row>
        <row r="1053">
          <cell r="AA1053" t="str"/>
          <cell r="AB1053" t="str"/>
          <cell r="AC1053" t="str"/>
          <cell r="AD1053" t="str"/>
          <cell r="AE1053" t="str"/>
          <cell r="AF1053" t="str"/>
        </row>
        <row r="1054">
          <cell r="B1054" t="str"/>
          <cell r="C1054" t="str"/>
          <cell r="D1054" t="str"/>
          <cell r="E1054" t="str"/>
          <cell r="F1054" t="str"/>
          <cell r="G1054" t="str"/>
          <cell r="H1054" t="str"/>
          <cell r="I1054" t="str"/>
          <cell r="J1054" t="str"/>
          <cell r="K1054" t="str"/>
          <cell r="L1054" t="str"/>
          <cell r="M1054" t="str"/>
          <cell r="N1054" t="str"/>
          <cell r="O1054" t="str"/>
          <cell r="P1054" t="str"/>
          <cell r="Q1054" t="str"/>
          <cell r="R1054" t="str"/>
          <cell r="S1054" t="str"/>
          <cell r="T1054" t="str"/>
          <cell r="U1054" t="str"/>
          <cell r="V1054" t="str"/>
          <cell r="W1054" t="str"/>
          <cell r="X1054" t="str"/>
          <cell r="Y1054" t="str"/>
        </row>
        <row r="1054">
          <cell r="AA1054" t="str"/>
          <cell r="AB1054" t="str"/>
          <cell r="AC1054" t="str"/>
          <cell r="AD1054" t="str"/>
          <cell r="AE1054" t="str"/>
          <cell r="AF1054" t="str"/>
        </row>
        <row r="1055">
          <cell r="B1055" t="str"/>
          <cell r="C1055" t="str"/>
          <cell r="D1055" t="str"/>
          <cell r="E1055" t="str"/>
          <cell r="F1055" t="str"/>
          <cell r="G1055" t="str"/>
          <cell r="H1055" t="str"/>
          <cell r="I1055" t="str"/>
          <cell r="J1055" t="str"/>
          <cell r="K1055" t="str"/>
          <cell r="L1055" t="str"/>
          <cell r="M1055" t="str"/>
          <cell r="N1055" t="str"/>
          <cell r="O1055" t="str"/>
          <cell r="P1055" t="str"/>
          <cell r="Q1055" t="str"/>
          <cell r="R1055" t="str"/>
          <cell r="S1055" t="str"/>
          <cell r="T1055" t="str"/>
          <cell r="U1055" t="str"/>
          <cell r="V1055" t="str"/>
          <cell r="W1055" t="str"/>
          <cell r="X1055" t="str"/>
          <cell r="Y1055" t="str"/>
        </row>
        <row r="1055">
          <cell r="AA1055" t="str"/>
          <cell r="AB1055" t="str"/>
          <cell r="AC1055" t="str"/>
          <cell r="AD1055" t="str"/>
          <cell r="AE1055" t="str"/>
          <cell r="AF1055" t="str"/>
        </row>
        <row r="1056">
          <cell r="B1056" t="str"/>
          <cell r="C1056" t="str"/>
          <cell r="D1056" t="str"/>
          <cell r="E1056" t="str"/>
          <cell r="F1056" t="str"/>
          <cell r="G1056" t="str"/>
          <cell r="H1056" t="str"/>
          <cell r="I1056" t="str"/>
          <cell r="J1056" t="str"/>
          <cell r="K1056" t="str"/>
          <cell r="L1056" t="str"/>
          <cell r="M1056" t="str"/>
          <cell r="N1056" t="str"/>
          <cell r="O1056" t="str"/>
          <cell r="P1056" t="str"/>
          <cell r="Q1056" t="str"/>
          <cell r="R1056" t="str"/>
          <cell r="S1056" t="str"/>
          <cell r="T1056" t="str"/>
          <cell r="U1056" t="str"/>
          <cell r="V1056" t="str"/>
          <cell r="W1056" t="str"/>
          <cell r="X1056" t="str"/>
          <cell r="Y1056" t="str"/>
        </row>
        <row r="1056">
          <cell r="AA1056" t="str"/>
          <cell r="AB1056" t="str"/>
          <cell r="AC1056" t="str"/>
          <cell r="AD1056" t="str"/>
          <cell r="AE1056" t="str"/>
          <cell r="AF1056" t="str"/>
        </row>
        <row r="1057">
          <cell r="B1057" t="str"/>
          <cell r="C1057" t="str"/>
          <cell r="D1057" t="str"/>
          <cell r="E1057" t="str"/>
          <cell r="F1057" t="str"/>
          <cell r="G1057" t="str"/>
          <cell r="H1057" t="str"/>
          <cell r="I1057" t="str"/>
          <cell r="J1057" t="str"/>
          <cell r="K1057" t="str"/>
          <cell r="L1057" t="str"/>
          <cell r="M1057" t="str"/>
          <cell r="N1057" t="str"/>
          <cell r="O1057" t="str"/>
          <cell r="P1057" t="str"/>
          <cell r="Q1057" t="str"/>
          <cell r="R1057" t="str"/>
          <cell r="S1057" t="str"/>
          <cell r="T1057" t="str"/>
          <cell r="U1057" t="str"/>
          <cell r="V1057" t="str"/>
          <cell r="W1057" t="str"/>
          <cell r="X1057" t="str"/>
          <cell r="Y1057" t="str"/>
        </row>
        <row r="1057">
          <cell r="AA1057" t="str"/>
          <cell r="AB1057" t="str"/>
          <cell r="AC1057" t="str"/>
          <cell r="AD1057" t="str"/>
          <cell r="AE1057" t="str"/>
          <cell r="AF1057" t="str"/>
        </row>
        <row r="1058">
          <cell r="B1058" t="str"/>
          <cell r="C1058" t="str"/>
          <cell r="D1058" t="str"/>
          <cell r="E1058" t="str"/>
          <cell r="F1058" t="str"/>
          <cell r="G1058" t="str"/>
          <cell r="H1058" t="str"/>
          <cell r="I1058" t="str"/>
          <cell r="J1058" t="str"/>
          <cell r="K1058" t="str"/>
          <cell r="L1058" t="str"/>
          <cell r="M1058" t="str"/>
          <cell r="N1058" t="str"/>
          <cell r="O1058" t="str"/>
          <cell r="P1058" t="str"/>
          <cell r="Q1058" t="str"/>
          <cell r="R1058" t="str"/>
          <cell r="S1058" t="str"/>
          <cell r="T1058" t="str"/>
          <cell r="U1058" t="str"/>
          <cell r="V1058" t="str"/>
          <cell r="W1058" t="str"/>
          <cell r="X1058" t="str"/>
          <cell r="Y1058" t="str"/>
        </row>
        <row r="1058">
          <cell r="AA1058" t="str"/>
          <cell r="AB1058" t="str"/>
          <cell r="AC1058" t="str"/>
          <cell r="AD1058" t="str"/>
          <cell r="AE1058" t="str"/>
          <cell r="AF1058" t="str"/>
        </row>
        <row r="1059">
          <cell r="B1059" t="str"/>
          <cell r="C1059" t="str"/>
          <cell r="D1059" t="str"/>
          <cell r="E1059" t="str"/>
          <cell r="F1059" t="str"/>
          <cell r="G1059" t="str"/>
          <cell r="H1059" t="str"/>
          <cell r="I1059" t="str"/>
          <cell r="J1059" t="str"/>
          <cell r="K1059" t="str"/>
          <cell r="L1059" t="str"/>
          <cell r="M1059" t="str"/>
          <cell r="N1059" t="str"/>
          <cell r="O1059" t="str"/>
          <cell r="P1059" t="str"/>
          <cell r="Q1059" t="str"/>
          <cell r="R1059" t="str"/>
          <cell r="S1059" t="str"/>
          <cell r="T1059" t="str"/>
          <cell r="U1059" t="str"/>
          <cell r="V1059" t="str"/>
          <cell r="W1059" t="str"/>
          <cell r="X1059" t="str"/>
          <cell r="Y1059" t="str"/>
        </row>
        <row r="1059">
          <cell r="AA1059" t="str"/>
          <cell r="AB1059" t="str"/>
          <cell r="AC1059" t="str"/>
          <cell r="AD1059" t="str"/>
          <cell r="AE1059" t="str"/>
          <cell r="AF1059" t="str"/>
        </row>
        <row r="1060">
          <cell r="B1060" t="str"/>
          <cell r="C1060" t="str"/>
          <cell r="D1060" t="str"/>
          <cell r="E1060" t="str"/>
          <cell r="F1060" t="str"/>
          <cell r="G1060" t="str"/>
          <cell r="H1060" t="str"/>
          <cell r="I1060" t="str"/>
          <cell r="J1060" t="str"/>
          <cell r="K1060" t="str"/>
          <cell r="L1060" t="str"/>
          <cell r="M1060" t="str"/>
          <cell r="N1060" t="str"/>
          <cell r="O1060" t="str"/>
          <cell r="P1060" t="str"/>
          <cell r="Q1060" t="str"/>
          <cell r="R1060" t="str"/>
          <cell r="S1060" t="str"/>
          <cell r="T1060" t="str"/>
          <cell r="U1060" t="str"/>
          <cell r="V1060" t="str"/>
          <cell r="W1060" t="str"/>
          <cell r="X1060" t="str"/>
          <cell r="Y1060" t="str"/>
        </row>
        <row r="1060">
          <cell r="AA1060" t="str"/>
          <cell r="AB1060" t="str"/>
          <cell r="AC1060" t="str"/>
          <cell r="AD1060" t="str"/>
          <cell r="AE1060" t="str"/>
          <cell r="AF1060" t="str"/>
        </row>
        <row r="1061">
          <cell r="B1061" t="str"/>
          <cell r="C1061" t="str"/>
          <cell r="D1061" t="str"/>
          <cell r="E1061" t="str"/>
          <cell r="F1061" t="str"/>
          <cell r="G1061" t="str"/>
          <cell r="H1061" t="str"/>
          <cell r="I1061" t="str"/>
          <cell r="J1061" t="str"/>
          <cell r="K1061" t="str"/>
          <cell r="L1061" t="str"/>
          <cell r="M1061" t="str"/>
          <cell r="N1061" t="str"/>
          <cell r="O1061" t="str"/>
          <cell r="P1061" t="str"/>
          <cell r="Q1061" t="str"/>
          <cell r="R1061" t="str"/>
          <cell r="S1061" t="str"/>
          <cell r="T1061" t="str"/>
          <cell r="U1061" t="str"/>
          <cell r="V1061" t="str"/>
          <cell r="W1061" t="str"/>
          <cell r="X1061" t="str"/>
          <cell r="Y1061" t="str"/>
        </row>
        <row r="1061">
          <cell r="AA1061" t="str"/>
          <cell r="AB1061" t="str"/>
          <cell r="AC1061" t="str"/>
          <cell r="AD1061" t="str"/>
          <cell r="AE1061" t="str"/>
          <cell r="AF1061" t="str"/>
        </row>
        <row r="1062">
          <cell r="B1062" t="str"/>
          <cell r="C1062" t="str"/>
          <cell r="D1062" t="str"/>
          <cell r="E1062" t="str"/>
          <cell r="F1062" t="str"/>
          <cell r="G1062" t="str"/>
          <cell r="H1062" t="str"/>
          <cell r="I1062" t="str"/>
          <cell r="J1062" t="str"/>
          <cell r="K1062" t="str"/>
          <cell r="L1062" t="str"/>
          <cell r="M1062" t="str"/>
          <cell r="N1062" t="str"/>
          <cell r="O1062" t="str"/>
          <cell r="P1062" t="str"/>
          <cell r="Q1062" t="str"/>
          <cell r="R1062" t="str"/>
          <cell r="S1062" t="str"/>
          <cell r="T1062" t="str"/>
          <cell r="U1062" t="str"/>
          <cell r="V1062" t="str"/>
          <cell r="W1062" t="str"/>
          <cell r="X1062" t="str"/>
          <cell r="Y1062" t="str"/>
        </row>
        <row r="1062">
          <cell r="AA1062" t="str"/>
          <cell r="AB1062" t="str"/>
          <cell r="AC1062" t="str"/>
          <cell r="AD1062" t="str"/>
          <cell r="AE1062" t="str"/>
          <cell r="AF1062" t="str"/>
        </row>
        <row r="1063">
          <cell r="B1063" t="str"/>
          <cell r="C1063" t="str"/>
          <cell r="D1063" t="str"/>
          <cell r="E1063" t="str"/>
          <cell r="F1063" t="str"/>
          <cell r="G1063" t="str"/>
          <cell r="H1063" t="str"/>
          <cell r="I1063" t="str"/>
          <cell r="J1063" t="str"/>
          <cell r="K1063" t="str"/>
          <cell r="L1063" t="str"/>
          <cell r="M1063" t="str"/>
          <cell r="N1063" t="str"/>
          <cell r="O1063" t="str"/>
          <cell r="P1063" t="str"/>
          <cell r="Q1063" t="str"/>
          <cell r="R1063" t="str"/>
          <cell r="S1063" t="str"/>
          <cell r="T1063" t="str"/>
          <cell r="U1063" t="str"/>
          <cell r="V1063" t="str"/>
          <cell r="W1063" t="str"/>
          <cell r="X1063" t="str"/>
          <cell r="Y1063" t="str"/>
        </row>
        <row r="1063">
          <cell r="AA1063" t="str"/>
          <cell r="AB1063" t="str"/>
          <cell r="AC1063" t="str"/>
          <cell r="AD1063" t="str"/>
          <cell r="AE1063" t="str"/>
          <cell r="AF1063" t="str"/>
        </row>
        <row r="1064">
          <cell r="B1064" t="str"/>
          <cell r="C1064" t="str"/>
          <cell r="D1064" t="str"/>
          <cell r="E1064" t="str"/>
          <cell r="F1064" t="str"/>
          <cell r="G1064" t="str"/>
          <cell r="H1064" t="str"/>
          <cell r="I1064" t="str"/>
          <cell r="J1064" t="str"/>
          <cell r="K1064" t="str"/>
          <cell r="L1064" t="str"/>
          <cell r="M1064" t="str"/>
          <cell r="N1064" t="str"/>
          <cell r="O1064" t="str"/>
          <cell r="P1064" t="str"/>
          <cell r="Q1064" t="str"/>
          <cell r="R1064" t="str"/>
          <cell r="S1064" t="str"/>
          <cell r="T1064" t="str"/>
          <cell r="U1064" t="str"/>
          <cell r="V1064" t="str"/>
          <cell r="W1064" t="str"/>
          <cell r="X1064" t="str"/>
          <cell r="Y1064" t="str"/>
        </row>
        <row r="1064">
          <cell r="AA1064" t="str"/>
          <cell r="AB1064" t="str"/>
          <cell r="AC1064" t="str"/>
          <cell r="AD1064" t="str"/>
          <cell r="AE1064" t="str"/>
          <cell r="AF1064" t="str"/>
        </row>
        <row r="1065">
          <cell r="B1065" t="str"/>
          <cell r="C1065" t="str"/>
          <cell r="D1065" t="str"/>
          <cell r="E1065" t="str"/>
          <cell r="F1065" t="str"/>
          <cell r="G1065" t="str"/>
          <cell r="H1065" t="str"/>
          <cell r="I1065" t="str"/>
          <cell r="J1065" t="str"/>
          <cell r="K1065" t="str"/>
          <cell r="L1065" t="str"/>
          <cell r="M1065" t="str"/>
          <cell r="N1065" t="str"/>
          <cell r="O1065" t="str"/>
          <cell r="P1065" t="str"/>
          <cell r="Q1065" t="str"/>
          <cell r="R1065" t="str"/>
          <cell r="S1065" t="str"/>
          <cell r="T1065" t="str"/>
          <cell r="U1065" t="str"/>
          <cell r="V1065" t="str"/>
          <cell r="W1065" t="str"/>
          <cell r="X1065" t="str"/>
          <cell r="Y1065" t="str"/>
        </row>
        <row r="1065">
          <cell r="AA1065" t="str"/>
          <cell r="AB1065" t="str"/>
          <cell r="AC1065" t="str"/>
          <cell r="AD1065" t="str"/>
          <cell r="AE1065" t="str"/>
          <cell r="AF1065" t="str"/>
        </row>
        <row r="1066">
          <cell r="B1066" t="str"/>
          <cell r="C1066" t="str"/>
          <cell r="D1066" t="str"/>
          <cell r="E1066" t="str"/>
          <cell r="F1066" t="str"/>
          <cell r="G1066" t="str"/>
          <cell r="H1066" t="str"/>
          <cell r="I1066" t="str"/>
          <cell r="J1066" t="str"/>
          <cell r="K1066" t="str"/>
          <cell r="L1066" t="str"/>
          <cell r="M1066" t="str"/>
          <cell r="N1066" t="str"/>
          <cell r="O1066" t="str"/>
          <cell r="P1066" t="str"/>
          <cell r="Q1066" t="str"/>
          <cell r="R1066" t="str"/>
          <cell r="S1066" t="str"/>
          <cell r="T1066" t="str"/>
          <cell r="U1066" t="str"/>
          <cell r="V1066" t="str"/>
          <cell r="W1066" t="str"/>
          <cell r="X1066" t="str"/>
          <cell r="Y1066" t="str"/>
        </row>
        <row r="1066">
          <cell r="AA1066" t="str"/>
          <cell r="AB1066" t="str"/>
          <cell r="AC1066" t="str"/>
          <cell r="AD1066" t="str"/>
          <cell r="AE1066" t="str"/>
          <cell r="AF1066" t="str"/>
        </row>
        <row r="1067">
          <cell r="B1067" t="str"/>
          <cell r="C1067" t="str"/>
          <cell r="D1067" t="str"/>
          <cell r="E1067" t="str"/>
          <cell r="F1067" t="str"/>
          <cell r="G1067" t="str"/>
          <cell r="H1067" t="str"/>
          <cell r="I1067" t="str"/>
          <cell r="J1067" t="str"/>
          <cell r="K1067" t="str"/>
          <cell r="L1067" t="str"/>
          <cell r="M1067" t="str"/>
          <cell r="N1067" t="str"/>
          <cell r="O1067" t="str"/>
          <cell r="P1067" t="str"/>
          <cell r="Q1067" t="str"/>
          <cell r="R1067" t="str"/>
          <cell r="S1067" t="str"/>
          <cell r="T1067" t="str"/>
          <cell r="U1067" t="str"/>
          <cell r="V1067" t="str"/>
          <cell r="W1067" t="str"/>
          <cell r="X1067" t="str"/>
          <cell r="Y1067" t="str"/>
        </row>
        <row r="1067">
          <cell r="AA1067" t="str"/>
          <cell r="AB1067" t="str"/>
          <cell r="AC1067" t="str"/>
          <cell r="AD1067" t="str"/>
          <cell r="AE1067" t="str"/>
          <cell r="AF1067" t="str"/>
        </row>
        <row r="1068">
          <cell r="B1068" t="str"/>
          <cell r="C1068" t="str"/>
          <cell r="D1068" t="str"/>
          <cell r="E1068" t="str"/>
          <cell r="F1068" t="str"/>
          <cell r="G1068" t="str"/>
          <cell r="H1068" t="str"/>
          <cell r="I1068" t="str"/>
          <cell r="J1068" t="str"/>
          <cell r="K1068" t="str"/>
          <cell r="L1068" t="str"/>
          <cell r="M1068" t="str"/>
          <cell r="N1068" t="str"/>
          <cell r="O1068" t="str"/>
          <cell r="P1068" t="str"/>
          <cell r="Q1068" t="str"/>
          <cell r="R1068" t="str"/>
          <cell r="S1068" t="str"/>
          <cell r="T1068" t="str"/>
          <cell r="U1068" t="str"/>
          <cell r="V1068" t="str"/>
          <cell r="W1068" t="str"/>
          <cell r="X1068" t="str"/>
          <cell r="Y1068" t="str"/>
        </row>
        <row r="1068">
          <cell r="AA1068" t="str"/>
          <cell r="AB1068" t="str"/>
          <cell r="AC1068" t="str"/>
          <cell r="AD1068" t="str"/>
          <cell r="AE1068" t="str"/>
          <cell r="AF1068" t="str"/>
        </row>
        <row r="1069">
          <cell r="B1069" t="str"/>
          <cell r="C1069" t="str"/>
          <cell r="D1069" t="str"/>
          <cell r="E1069" t="str"/>
          <cell r="F1069" t="str"/>
          <cell r="G1069" t="str"/>
          <cell r="H1069" t="str"/>
          <cell r="I1069" t="str"/>
          <cell r="J1069" t="str"/>
          <cell r="K1069" t="str"/>
          <cell r="L1069" t="str"/>
          <cell r="M1069" t="str"/>
          <cell r="N1069" t="str"/>
          <cell r="O1069" t="str"/>
          <cell r="P1069" t="str"/>
          <cell r="Q1069" t="str"/>
          <cell r="R1069" t="str"/>
          <cell r="S1069" t="str"/>
          <cell r="T1069" t="str"/>
          <cell r="U1069" t="str"/>
          <cell r="V1069" t="str"/>
          <cell r="W1069" t="str"/>
          <cell r="X1069" t="str"/>
          <cell r="Y1069" t="str"/>
        </row>
        <row r="1069">
          <cell r="AA1069" t="str"/>
          <cell r="AB1069" t="str"/>
          <cell r="AC1069" t="str"/>
          <cell r="AD1069" t="str"/>
          <cell r="AE1069" t="str"/>
          <cell r="AF1069" t="str"/>
        </row>
        <row r="1070">
          <cell r="B1070" t="str"/>
          <cell r="C1070" t="str"/>
          <cell r="D1070" t="str"/>
          <cell r="E1070" t="str"/>
          <cell r="F1070" t="str"/>
          <cell r="G1070" t="str"/>
          <cell r="H1070" t="str"/>
          <cell r="I1070" t="str"/>
          <cell r="J1070" t="str"/>
          <cell r="K1070" t="str"/>
          <cell r="L1070" t="str"/>
          <cell r="M1070" t="str"/>
          <cell r="N1070" t="str"/>
          <cell r="O1070" t="str"/>
          <cell r="P1070" t="str"/>
          <cell r="Q1070" t="str"/>
          <cell r="R1070" t="str"/>
          <cell r="S1070" t="str"/>
          <cell r="T1070" t="str"/>
          <cell r="U1070" t="str"/>
          <cell r="V1070" t="str"/>
          <cell r="W1070" t="str"/>
          <cell r="X1070" t="str"/>
          <cell r="Y1070" t="str"/>
        </row>
        <row r="1070">
          <cell r="AA1070" t="str"/>
          <cell r="AB1070" t="str"/>
          <cell r="AC1070" t="str"/>
          <cell r="AD1070" t="str"/>
          <cell r="AE1070" t="str"/>
          <cell r="AF1070" t="str"/>
        </row>
        <row r="1071">
          <cell r="B1071" t="str"/>
          <cell r="C1071" t="str"/>
          <cell r="D1071" t="str"/>
          <cell r="E1071" t="str"/>
          <cell r="F1071" t="str"/>
          <cell r="G1071" t="str"/>
          <cell r="H1071" t="str"/>
          <cell r="I1071" t="str"/>
          <cell r="J1071" t="str"/>
          <cell r="K1071" t="str"/>
          <cell r="L1071" t="str"/>
          <cell r="M1071" t="str"/>
          <cell r="N1071" t="str"/>
          <cell r="O1071" t="str"/>
          <cell r="P1071" t="str"/>
          <cell r="Q1071" t="str"/>
          <cell r="R1071" t="str"/>
          <cell r="S1071" t="str"/>
          <cell r="T1071" t="str"/>
          <cell r="U1071" t="str"/>
          <cell r="V1071" t="str"/>
          <cell r="W1071" t="str"/>
          <cell r="X1071" t="str"/>
          <cell r="Y1071" t="str"/>
        </row>
        <row r="1071">
          <cell r="AA1071" t="str"/>
          <cell r="AB1071" t="str"/>
          <cell r="AC1071" t="str"/>
          <cell r="AD1071" t="str"/>
          <cell r="AE1071" t="str"/>
          <cell r="AF1071" t="str"/>
        </row>
        <row r="1072">
          <cell r="B1072" t="str"/>
          <cell r="C1072" t="str"/>
          <cell r="D1072" t="str"/>
          <cell r="E1072" t="str"/>
          <cell r="F1072" t="str"/>
          <cell r="G1072" t="str"/>
          <cell r="H1072" t="str"/>
          <cell r="I1072" t="str"/>
          <cell r="J1072" t="str"/>
          <cell r="K1072" t="str"/>
          <cell r="L1072" t="str"/>
          <cell r="M1072" t="str"/>
          <cell r="N1072" t="str"/>
          <cell r="O1072" t="str"/>
          <cell r="P1072" t="str"/>
          <cell r="Q1072" t="str"/>
          <cell r="R1072" t="str"/>
          <cell r="S1072" t="str"/>
          <cell r="T1072" t="str"/>
          <cell r="U1072" t="str"/>
          <cell r="V1072" t="str"/>
          <cell r="W1072" t="str"/>
          <cell r="X1072" t="str"/>
          <cell r="Y1072" t="str"/>
        </row>
        <row r="1072">
          <cell r="AA1072" t="str"/>
          <cell r="AB1072" t="str"/>
          <cell r="AC1072" t="str"/>
          <cell r="AD1072" t="str"/>
          <cell r="AE1072" t="str"/>
          <cell r="AF1072" t="str"/>
        </row>
        <row r="1073">
          <cell r="B1073" t="str"/>
          <cell r="C1073" t="str"/>
          <cell r="D1073" t="str"/>
          <cell r="E1073" t="str"/>
          <cell r="F1073" t="str"/>
          <cell r="G1073" t="str"/>
          <cell r="H1073" t="str"/>
          <cell r="I1073" t="str"/>
          <cell r="J1073" t="str"/>
          <cell r="K1073" t="str"/>
          <cell r="L1073" t="str"/>
          <cell r="M1073" t="str"/>
          <cell r="N1073" t="str"/>
          <cell r="O1073" t="str"/>
          <cell r="P1073" t="str"/>
          <cell r="Q1073" t="str"/>
          <cell r="R1073" t="str"/>
          <cell r="S1073" t="str"/>
          <cell r="T1073" t="str"/>
          <cell r="U1073" t="str"/>
          <cell r="V1073" t="str"/>
          <cell r="W1073" t="str"/>
          <cell r="X1073" t="str"/>
          <cell r="Y1073" t="str"/>
        </row>
        <row r="1073">
          <cell r="AA1073" t="str"/>
          <cell r="AB1073" t="str"/>
          <cell r="AC1073" t="str"/>
          <cell r="AD1073" t="str"/>
          <cell r="AE1073" t="str"/>
          <cell r="AF1073" t="str"/>
        </row>
        <row r="1074">
          <cell r="B1074" t="str"/>
          <cell r="C1074" t="str"/>
          <cell r="D1074" t="str"/>
          <cell r="E1074" t="str"/>
          <cell r="F1074" t="str"/>
          <cell r="G1074" t="str"/>
          <cell r="H1074" t="str"/>
          <cell r="I1074" t="str"/>
          <cell r="J1074" t="str"/>
          <cell r="K1074" t="str"/>
          <cell r="L1074" t="str"/>
          <cell r="M1074" t="str"/>
          <cell r="N1074" t="str"/>
          <cell r="O1074" t="str"/>
          <cell r="P1074" t="str"/>
          <cell r="Q1074" t="str"/>
          <cell r="R1074" t="str"/>
          <cell r="S1074" t="str"/>
          <cell r="T1074" t="str"/>
          <cell r="U1074" t="str"/>
          <cell r="V1074" t="str"/>
          <cell r="W1074" t="str"/>
          <cell r="X1074" t="str"/>
          <cell r="Y1074" t="str"/>
        </row>
        <row r="1074">
          <cell r="AA1074" t="str"/>
          <cell r="AB1074" t="str"/>
          <cell r="AC1074" t="str"/>
          <cell r="AD1074" t="str"/>
          <cell r="AE1074" t="str"/>
          <cell r="AF1074" t="str"/>
        </row>
        <row r="1075">
          <cell r="B1075" t="str"/>
          <cell r="C1075" t="str"/>
          <cell r="D1075" t="str"/>
          <cell r="E1075" t="str"/>
          <cell r="F1075" t="str"/>
          <cell r="G1075" t="str"/>
          <cell r="H1075" t="str"/>
          <cell r="I1075" t="str"/>
          <cell r="J1075" t="str"/>
          <cell r="K1075" t="str"/>
          <cell r="L1075" t="str"/>
          <cell r="M1075" t="str"/>
          <cell r="N1075" t="str"/>
          <cell r="O1075" t="str"/>
          <cell r="P1075" t="str"/>
          <cell r="Q1075" t="str"/>
          <cell r="R1075" t="str"/>
          <cell r="S1075" t="str"/>
          <cell r="T1075" t="str"/>
          <cell r="U1075" t="str"/>
          <cell r="V1075" t="str"/>
          <cell r="W1075" t="str"/>
          <cell r="X1075" t="str"/>
          <cell r="Y1075" t="str"/>
        </row>
        <row r="1075">
          <cell r="AA1075" t="str"/>
          <cell r="AB1075" t="str"/>
          <cell r="AC1075" t="str"/>
          <cell r="AD1075" t="str"/>
          <cell r="AE1075" t="str"/>
          <cell r="AF1075" t="str"/>
        </row>
        <row r="1076">
          <cell r="B1076" t="str"/>
          <cell r="C1076" t="str"/>
          <cell r="D1076" t="str"/>
          <cell r="E1076" t="str"/>
          <cell r="F1076" t="str"/>
          <cell r="G1076" t="str"/>
          <cell r="H1076" t="str"/>
          <cell r="I1076" t="str"/>
          <cell r="J1076" t="str"/>
          <cell r="K1076" t="str"/>
          <cell r="L1076" t="str"/>
          <cell r="M1076" t="str"/>
          <cell r="N1076" t="str"/>
          <cell r="O1076" t="str"/>
          <cell r="P1076" t="str"/>
          <cell r="Q1076" t="str"/>
          <cell r="R1076" t="str"/>
          <cell r="S1076" t="str"/>
          <cell r="T1076" t="str"/>
          <cell r="U1076" t="str"/>
          <cell r="V1076" t="str"/>
          <cell r="W1076" t="str"/>
          <cell r="X1076" t="str"/>
          <cell r="Y1076" t="str"/>
        </row>
        <row r="1076">
          <cell r="AA1076" t="str"/>
          <cell r="AB1076" t="str"/>
          <cell r="AC1076" t="str"/>
          <cell r="AD1076" t="str"/>
          <cell r="AE1076" t="str"/>
          <cell r="AF1076" t="str"/>
        </row>
        <row r="1077">
          <cell r="B1077" t="str"/>
          <cell r="C1077" t="str"/>
          <cell r="D1077" t="str"/>
          <cell r="E1077" t="str"/>
          <cell r="F1077" t="str"/>
          <cell r="G1077" t="str"/>
          <cell r="H1077" t="str"/>
          <cell r="I1077" t="str"/>
          <cell r="J1077" t="str"/>
          <cell r="K1077" t="str"/>
          <cell r="L1077" t="str"/>
          <cell r="M1077" t="str"/>
          <cell r="N1077" t="str"/>
          <cell r="O1077" t="str"/>
          <cell r="P1077" t="str"/>
          <cell r="Q1077" t="str"/>
          <cell r="R1077" t="str"/>
          <cell r="S1077" t="str"/>
          <cell r="T1077" t="str"/>
          <cell r="U1077" t="str"/>
          <cell r="V1077" t="str"/>
          <cell r="W1077" t="str"/>
          <cell r="X1077" t="str"/>
          <cell r="Y1077" t="str"/>
        </row>
        <row r="1077">
          <cell r="AA1077" t="str"/>
          <cell r="AB1077" t="str"/>
          <cell r="AC1077" t="str"/>
          <cell r="AD1077" t="str"/>
          <cell r="AE1077" t="str"/>
          <cell r="AF1077" t="str"/>
        </row>
        <row r="1078">
          <cell r="B1078" t="str"/>
          <cell r="C1078" t="str"/>
          <cell r="D1078" t="str"/>
          <cell r="E1078" t="str"/>
          <cell r="F1078" t="str"/>
          <cell r="G1078" t="str"/>
          <cell r="H1078" t="str"/>
          <cell r="I1078" t="str"/>
          <cell r="J1078" t="str"/>
          <cell r="K1078" t="str"/>
          <cell r="L1078" t="str"/>
          <cell r="M1078" t="str"/>
          <cell r="N1078" t="str"/>
          <cell r="O1078" t="str"/>
          <cell r="P1078" t="str"/>
          <cell r="Q1078" t="str"/>
          <cell r="R1078" t="str"/>
          <cell r="S1078" t="str"/>
          <cell r="T1078" t="str"/>
          <cell r="U1078" t="str"/>
          <cell r="V1078" t="str"/>
          <cell r="W1078" t="str"/>
          <cell r="X1078" t="str"/>
          <cell r="Y1078" t="str"/>
        </row>
        <row r="1078">
          <cell r="AA1078" t="str"/>
          <cell r="AB1078" t="str"/>
          <cell r="AC1078" t="str"/>
          <cell r="AD1078" t="str"/>
          <cell r="AE1078" t="str"/>
          <cell r="AF1078" t="str"/>
        </row>
        <row r="1079">
          <cell r="B1079" t="str"/>
          <cell r="C1079" t="str"/>
          <cell r="D1079" t="str"/>
          <cell r="E1079" t="str"/>
          <cell r="F1079" t="str"/>
          <cell r="G1079" t="str"/>
          <cell r="H1079" t="str"/>
          <cell r="I1079" t="str"/>
          <cell r="J1079" t="str"/>
          <cell r="K1079" t="str"/>
          <cell r="L1079" t="str"/>
          <cell r="M1079" t="str"/>
          <cell r="N1079" t="str"/>
          <cell r="O1079" t="str"/>
          <cell r="P1079" t="str"/>
          <cell r="Q1079" t="str"/>
          <cell r="R1079" t="str"/>
          <cell r="S1079" t="str"/>
          <cell r="T1079" t="str"/>
          <cell r="U1079" t="str"/>
          <cell r="V1079" t="str"/>
          <cell r="W1079" t="str"/>
          <cell r="X1079" t="str"/>
          <cell r="Y1079" t="str"/>
        </row>
        <row r="1079">
          <cell r="AA1079" t="str"/>
          <cell r="AB1079" t="str"/>
          <cell r="AC1079" t="str"/>
          <cell r="AD1079" t="str"/>
          <cell r="AE1079" t="str"/>
          <cell r="AF1079" t="str"/>
        </row>
        <row r="1080">
          <cell r="B1080" t="str"/>
          <cell r="C1080" t="str"/>
          <cell r="D1080" t="str"/>
          <cell r="E1080" t="str"/>
          <cell r="F1080" t="str"/>
          <cell r="G1080" t="str"/>
          <cell r="H1080" t="str"/>
          <cell r="I1080" t="str"/>
          <cell r="J1080" t="str"/>
          <cell r="K1080" t="str"/>
          <cell r="L1080" t="str"/>
          <cell r="M1080" t="str"/>
          <cell r="N1080" t="str"/>
          <cell r="O1080" t="str"/>
          <cell r="P1080" t="str"/>
          <cell r="Q1080" t="str"/>
          <cell r="R1080" t="str"/>
          <cell r="S1080" t="str"/>
          <cell r="T1080" t="str"/>
          <cell r="U1080" t="str"/>
          <cell r="V1080" t="str"/>
          <cell r="W1080" t="str"/>
          <cell r="X1080" t="str"/>
          <cell r="Y1080" t="str"/>
        </row>
        <row r="1080">
          <cell r="AA1080" t="str"/>
          <cell r="AB1080" t="str"/>
          <cell r="AC1080" t="str"/>
          <cell r="AD1080" t="str"/>
          <cell r="AE1080" t="str"/>
          <cell r="AF1080" t="str"/>
        </row>
        <row r="1081">
          <cell r="B1081" t="str"/>
          <cell r="C1081" t="str"/>
          <cell r="D1081" t="str"/>
          <cell r="E1081" t="str"/>
          <cell r="F1081" t="str"/>
          <cell r="G1081" t="str"/>
          <cell r="H1081" t="str"/>
          <cell r="I1081" t="str"/>
          <cell r="J1081" t="str"/>
          <cell r="K1081" t="str"/>
          <cell r="L1081" t="str"/>
          <cell r="M1081" t="str"/>
          <cell r="N1081" t="str"/>
          <cell r="O1081" t="str"/>
          <cell r="P1081" t="str"/>
          <cell r="Q1081" t="str"/>
          <cell r="R1081" t="str"/>
          <cell r="S1081" t="str"/>
          <cell r="T1081" t="str"/>
          <cell r="U1081" t="str"/>
          <cell r="V1081" t="str"/>
          <cell r="W1081" t="str"/>
          <cell r="X1081" t="str"/>
          <cell r="Y1081" t="str"/>
        </row>
        <row r="1081">
          <cell r="AA1081" t="str"/>
          <cell r="AB1081" t="str"/>
          <cell r="AC1081" t="str"/>
          <cell r="AD1081" t="str"/>
          <cell r="AE1081" t="str"/>
          <cell r="AF1081" t="str"/>
        </row>
        <row r="1082">
          <cell r="B1082" t="str"/>
          <cell r="C1082" t="str"/>
          <cell r="D1082" t="str"/>
          <cell r="E1082" t="str"/>
          <cell r="F1082" t="str"/>
          <cell r="G1082" t="str"/>
          <cell r="H1082" t="str"/>
          <cell r="I1082" t="str"/>
          <cell r="J1082" t="str"/>
          <cell r="K1082" t="str"/>
          <cell r="L1082" t="str"/>
          <cell r="M1082" t="str"/>
          <cell r="N1082" t="str"/>
          <cell r="O1082" t="str"/>
          <cell r="P1082" t="str"/>
          <cell r="Q1082" t="str"/>
          <cell r="R1082" t="str"/>
          <cell r="S1082" t="str"/>
          <cell r="T1082" t="str"/>
          <cell r="U1082" t="str"/>
          <cell r="V1082" t="str"/>
          <cell r="W1082" t="str"/>
          <cell r="X1082" t="str"/>
          <cell r="Y1082" t="str"/>
        </row>
        <row r="1082">
          <cell r="AA1082" t="str"/>
          <cell r="AB1082" t="str"/>
          <cell r="AC1082" t="str"/>
          <cell r="AD1082" t="str"/>
          <cell r="AE1082" t="str"/>
          <cell r="AF1082" t="str"/>
        </row>
        <row r="1083">
          <cell r="B1083" t="str"/>
          <cell r="C1083" t="str"/>
          <cell r="D1083" t="str"/>
          <cell r="E1083" t="str"/>
          <cell r="F1083" t="str"/>
          <cell r="G1083" t="str"/>
          <cell r="H1083" t="str"/>
          <cell r="I1083" t="str"/>
          <cell r="J1083" t="str"/>
          <cell r="K1083" t="str"/>
          <cell r="L1083" t="str"/>
          <cell r="M1083" t="str"/>
          <cell r="N1083" t="str"/>
          <cell r="O1083" t="str"/>
          <cell r="P1083" t="str"/>
          <cell r="Q1083" t="str"/>
          <cell r="R1083" t="str"/>
          <cell r="S1083" t="str"/>
          <cell r="T1083" t="str"/>
          <cell r="U1083" t="str"/>
          <cell r="V1083" t="str"/>
          <cell r="W1083" t="str"/>
          <cell r="X1083" t="str"/>
          <cell r="Y1083" t="str"/>
        </row>
        <row r="1083">
          <cell r="AA1083" t="str"/>
          <cell r="AB1083" t="str"/>
          <cell r="AC1083" t="str"/>
          <cell r="AD1083" t="str"/>
          <cell r="AE1083" t="str"/>
          <cell r="AF1083" t="str"/>
        </row>
        <row r="1084">
          <cell r="B1084" t="str"/>
          <cell r="C1084" t="str"/>
          <cell r="D1084" t="str"/>
          <cell r="E1084" t="str"/>
          <cell r="F1084" t="str"/>
          <cell r="G1084" t="str"/>
          <cell r="H1084" t="str"/>
          <cell r="I1084" t="str"/>
          <cell r="J1084" t="str"/>
          <cell r="K1084" t="str"/>
          <cell r="L1084" t="str"/>
          <cell r="M1084" t="str"/>
          <cell r="N1084" t="str"/>
          <cell r="O1084" t="str"/>
          <cell r="P1084" t="str"/>
          <cell r="Q1084" t="str"/>
          <cell r="R1084" t="str"/>
          <cell r="S1084" t="str"/>
          <cell r="T1084" t="str"/>
          <cell r="U1084" t="str"/>
          <cell r="V1084" t="str"/>
          <cell r="W1084" t="str"/>
          <cell r="X1084" t="str"/>
          <cell r="Y1084" t="str"/>
        </row>
        <row r="1084">
          <cell r="AA1084" t="str"/>
          <cell r="AB1084" t="str"/>
          <cell r="AC1084" t="str"/>
          <cell r="AD1084" t="str"/>
          <cell r="AE1084" t="str"/>
          <cell r="AF1084" t="str"/>
        </row>
        <row r="1085">
          <cell r="B1085" t="str"/>
          <cell r="C1085" t="str"/>
          <cell r="D1085" t="str"/>
          <cell r="E1085" t="str"/>
          <cell r="F1085" t="str"/>
          <cell r="G1085" t="str"/>
          <cell r="H1085" t="str"/>
          <cell r="I1085" t="str"/>
          <cell r="J1085" t="str"/>
          <cell r="K1085" t="str"/>
          <cell r="L1085" t="str"/>
          <cell r="M1085" t="str"/>
          <cell r="N1085" t="str"/>
          <cell r="O1085" t="str"/>
          <cell r="P1085" t="str"/>
          <cell r="Q1085" t="str"/>
          <cell r="R1085" t="str"/>
          <cell r="S1085" t="str"/>
          <cell r="T1085" t="str"/>
          <cell r="U1085" t="str"/>
          <cell r="V1085" t="str"/>
          <cell r="W1085" t="str"/>
          <cell r="X1085" t="str"/>
          <cell r="Y1085" t="str"/>
        </row>
        <row r="1085">
          <cell r="AA1085" t="str"/>
          <cell r="AB1085" t="str"/>
          <cell r="AC1085" t="str"/>
          <cell r="AD1085" t="str"/>
          <cell r="AE1085" t="str"/>
          <cell r="AF1085" t="str"/>
        </row>
        <row r="1086">
          <cell r="B1086" t="str"/>
          <cell r="C1086" t="str"/>
          <cell r="D1086" t="str"/>
          <cell r="E1086" t="str"/>
          <cell r="F1086" t="str"/>
          <cell r="G1086" t="str"/>
          <cell r="H1086" t="str"/>
          <cell r="I1086" t="str"/>
          <cell r="J1086" t="str"/>
          <cell r="K1086" t="str"/>
          <cell r="L1086" t="str"/>
          <cell r="M1086" t="str"/>
          <cell r="N1086" t="str"/>
          <cell r="O1086" t="str"/>
          <cell r="P1086" t="str"/>
          <cell r="Q1086" t="str"/>
          <cell r="R1086" t="str"/>
          <cell r="S1086" t="str"/>
          <cell r="T1086" t="str"/>
          <cell r="U1086" t="str"/>
          <cell r="V1086" t="str"/>
          <cell r="W1086" t="str"/>
          <cell r="X1086" t="str"/>
          <cell r="Y1086" t="str"/>
        </row>
        <row r="1086">
          <cell r="AA1086" t="str"/>
          <cell r="AB1086" t="str"/>
          <cell r="AC1086" t="str"/>
          <cell r="AD1086" t="str"/>
          <cell r="AE1086" t="str"/>
          <cell r="AF1086" t="str"/>
        </row>
        <row r="1087">
          <cell r="B1087" t="str"/>
          <cell r="C1087" t="str"/>
          <cell r="D1087" t="str"/>
          <cell r="E1087" t="str"/>
          <cell r="F1087" t="str"/>
          <cell r="G1087" t="str"/>
          <cell r="H1087" t="str"/>
          <cell r="I1087" t="str"/>
          <cell r="J1087" t="str"/>
          <cell r="K1087" t="str"/>
          <cell r="L1087" t="str"/>
          <cell r="M1087" t="str"/>
          <cell r="N1087" t="str"/>
          <cell r="O1087" t="str"/>
          <cell r="P1087" t="str"/>
          <cell r="Q1087" t="str"/>
          <cell r="R1087" t="str"/>
          <cell r="S1087" t="str"/>
          <cell r="T1087" t="str"/>
          <cell r="U1087" t="str"/>
          <cell r="V1087" t="str"/>
          <cell r="W1087" t="str"/>
          <cell r="X1087" t="str"/>
          <cell r="Y1087" t="str"/>
        </row>
        <row r="1087">
          <cell r="AA1087" t="str"/>
          <cell r="AB1087" t="str"/>
          <cell r="AC1087" t="str"/>
          <cell r="AD1087" t="str"/>
          <cell r="AE1087" t="str"/>
          <cell r="AF1087" t="str"/>
        </row>
        <row r="1088">
          <cell r="B1088" t="str"/>
          <cell r="C1088" t="str"/>
          <cell r="D1088" t="str"/>
          <cell r="E1088" t="str"/>
          <cell r="F1088" t="str"/>
          <cell r="G1088" t="str"/>
          <cell r="H1088" t="str"/>
          <cell r="I1088" t="str"/>
          <cell r="J1088" t="str"/>
          <cell r="K1088" t="str"/>
          <cell r="L1088" t="str"/>
          <cell r="M1088" t="str"/>
          <cell r="N1088" t="str"/>
          <cell r="O1088" t="str"/>
          <cell r="P1088" t="str"/>
          <cell r="Q1088" t="str"/>
          <cell r="R1088" t="str"/>
          <cell r="S1088" t="str"/>
          <cell r="T1088" t="str"/>
          <cell r="U1088" t="str"/>
          <cell r="V1088" t="str"/>
          <cell r="W1088" t="str"/>
          <cell r="X1088" t="str"/>
          <cell r="Y1088" t="str"/>
        </row>
        <row r="1088">
          <cell r="AA1088" t="str"/>
          <cell r="AB1088" t="str"/>
          <cell r="AC1088" t="str"/>
          <cell r="AD1088" t="str"/>
          <cell r="AE1088" t="str"/>
          <cell r="AF1088" t="str"/>
        </row>
        <row r="1089">
          <cell r="B1089" t="str"/>
          <cell r="C1089" t="str"/>
          <cell r="D1089" t="str"/>
          <cell r="E1089" t="str"/>
          <cell r="F1089" t="str"/>
          <cell r="G1089" t="str"/>
          <cell r="H1089" t="str"/>
          <cell r="I1089" t="str"/>
          <cell r="J1089" t="str"/>
          <cell r="K1089" t="str"/>
          <cell r="L1089" t="str"/>
          <cell r="M1089" t="str"/>
          <cell r="N1089" t="str"/>
          <cell r="O1089" t="str"/>
          <cell r="P1089" t="str"/>
          <cell r="Q1089" t="str"/>
          <cell r="R1089" t="str"/>
          <cell r="S1089" t="str"/>
          <cell r="T1089" t="str"/>
          <cell r="U1089" t="str"/>
          <cell r="V1089" t="str"/>
          <cell r="W1089" t="str"/>
          <cell r="X1089" t="str"/>
          <cell r="Y1089" t="str"/>
        </row>
        <row r="1089">
          <cell r="AA1089" t="str"/>
          <cell r="AB1089" t="str"/>
          <cell r="AC1089" t="str"/>
          <cell r="AD1089" t="str"/>
          <cell r="AE1089" t="str"/>
          <cell r="AF1089" t="str"/>
        </row>
        <row r="1090">
          <cell r="B1090" t="str"/>
          <cell r="C1090" t="str"/>
          <cell r="D1090" t="str"/>
          <cell r="E1090" t="str"/>
          <cell r="F1090" t="str"/>
          <cell r="G1090" t="str"/>
          <cell r="H1090" t="str"/>
          <cell r="I1090" t="str"/>
          <cell r="J1090" t="str"/>
          <cell r="K1090" t="str"/>
          <cell r="L1090" t="str"/>
          <cell r="M1090" t="str"/>
          <cell r="N1090" t="str"/>
          <cell r="O1090" t="str"/>
          <cell r="P1090" t="str"/>
          <cell r="Q1090" t="str"/>
          <cell r="R1090" t="str"/>
          <cell r="S1090" t="str"/>
          <cell r="T1090" t="str"/>
          <cell r="U1090" t="str"/>
          <cell r="V1090" t="str"/>
          <cell r="W1090" t="str"/>
          <cell r="X1090" t="str"/>
          <cell r="Y1090" t="str"/>
        </row>
        <row r="1090">
          <cell r="AA1090" t="str"/>
          <cell r="AB1090" t="str"/>
          <cell r="AC1090" t="str"/>
          <cell r="AD1090" t="str"/>
          <cell r="AE1090" t="str"/>
          <cell r="AF1090" t="str"/>
        </row>
        <row r="1091">
          <cell r="B1091" t="str"/>
          <cell r="C1091" t="str"/>
          <cell r="D1091" t="str"/>
          <cell r="E1091" t="str"/>
          <cell r="F1091" t="str"/>
          <cell r="G1091" t="str"/>
          <cell r="H1091" t="str"/>
          <cell r="I1091" t="str"/>
          <cell r="J1091" t="str"/>
          <cell r="K1091" t="str"/>
          <cell r="L1091" t="str"/>
          <cell r="M1091" t="str"/>
          <cell r="N1091" t="str"/>
          <cell r="O1091" t="str"/>
          <cell r="P1091" t="str"/>
          <cell r="Q1091" t="str"/>
          <cell r="R1091" t="str"/>
          <cell r="S1091" t="str"/>
          <cell r="T1091" t="str"/>
          <cell r="U1091" t="str"/>
          <cell r="V1091" t="str"/>
          <cell r="W1091" t="str"/>
          <cell r="X1091" t="str"/>
          <cell r="Y1091" t="str"/>
        </row>
        <row r="1091">
          <cell r="AA1091" t="str"/>
          <cell r="AB1091" t="str"/>
          <cell r="AC1091" t="str"/>
          <cell r="AD1091" t="str"/>
          <cell r="AE1091" t="str"/>
          <cell r="AF1091" t="str"/>
        </row>
        <row r="1092">
          <cell r="B1092" t="str"/>
          <cell r="C1092" t="str"/>
          <cell r="D1092" t="str"/>
          <cell r="E1092" t="str"/>
          <cell r="F1092" t="str"/>
          <cell r="G1092" t="str"/>
          <cell r="H1092" t="str"/>
          <cell r="I1092" t="str"/>
          <cell r="J1092" t="str"/>
          <cell r="K1092" t="str"/>
          <cell r="L1092" t="str"/>
          <cell r="M1092" t="str"/>
          <cell r="N1092" t="str"/>
          <cell r="O1092" t="str"/>
          <cell r="P1092" t="str"/>
          <cell r="Q1092" t="str"/>
          <cell r="R1092" t="str"/>
          <cell r="S1092" t="str"/>
          <cell r="T1092" t="str"/>
          <cell r="U1092" t="str"/>
          <cell r="V1092" t="str"/>
          <cell r="W1092" t="str"/>
          <cell r="X1092" t="str"/>
          <cell r="Y1092" t="str"/>
        </row>
        <row r="1092">
          <cell r="AA1092" t="str"/>
          <cell r="AB1092" t="str"/>
          <cell r="AC1092" t="str"/>
          <cell r="AD1092" t="str"/>
          <cell r="AE1092" t="str"/>
          <cell r="AF1092" t="str"/>
        </row>
        <row r="1093">
          <cell r="B1093" t="str"/>
          <cell r="C1093" t="str"/>
          <cell r="D1093" t="str"/>
          <cell r="E1093" t="str"/>
          <cell r="F1093" t="str"/>
          <cell r="G1093" t="str"/>
          <cell r="H1093" t="str"/>
          <cell r="I1093" t="str"/>
          <cell r="J1093" t="str"/>
          <cell r="K1093" t="str"/>
          <cell r="L1093" t="str"/>
          <cell r="M1093" t="str"/>
          <cell r="N1093" t="str"/>
          <cell r="O1093" t="str"/>
          <cell r="P1093" t="str"/>
          <cell r="Q1093" t="str"/>
          <cell r="R1093" t="str"/>
          <cell r="S1093" t="str"/>
          <cell r="T1093" t="str"/>
          <cell r="U1093" t="str"/>
          <cell r="V1093" t="str"/>
          <cell r="W1093" t="str"/>
          <cell r="X1093" t="str"/>
          <cell r="Y1093" t="str"/>
        </row>
        <row r="1093">
          <cell r="AA1093" t="str"/>
          <cell r="AB1093" t="str"/>
          <cell r="AC1093" t="str"/>
          <cell r="AD1093" t="str"/>
          <cell r="AE1093" t="str"/>
          <cell r="AF1093" t="str"/>
        </row>
        <row r="1094">
          <cell r="B1094" t="str"/>
          <cell r="C1094" t="str"/>
          <cell r="D1094" t="str"/>
          <cell r="E1094" t="str"/>
          <cell r="F1094" t="str"/>
          <cell r="G1094" t="str"/>
          <cell r="H1094" t="str"/>
          <cell r="I1094" t="str"/>
          <cell r="J1094" t="str"/>
          <cell r="K1094" t="str"/>
          <cell r="L1094" t="str"/>
          <cell r="M1094" t="str"/>
          <cell r="N1094" t="str"/>
          <cell r="O1094" t="str"/>
          <cell r="P1094" t="str"/>
          <cell r="Q1094" t="str"/>
          <cell r="R1094" t="str"/>
          <cell r="S1094" t="str"/>
          <cell r="T1094" t="str"/>
          <cell r="U1094" t="str"/>
          <cell r="V1094" t="str"/>
          <cell r="W1094" t="str"/>
          <cell r="X1094" t="str"/>
          <cell r="Y1094" t="str"/>
        </row>
        <row r="1094">
          <cell r="AA1094" t="str"/>
          <cell r="AB1094" t="str"/>
          <cell r="AC1094" t="str"/>
          <cell r="AD1094" t="str"/>
          <cell r="AE1094" t="str"/>
          <cell r="AF1094" t="str"/>
        </row>
        <row r="1095">
          <cell r="B1095" t="str"/>
          <cell r="C1095" t="str"/>
          <cell r="D1095" t="str"/>
          <cell r="E1095" t="str"/>
          <cell r="F1095" t="str"/>
          <cell r="G1095" t="str"/>
          <cell r="H1095" t="str"/>
          <cell r="I1095" t="str"/>
          <cell r="J1095" t="str"/>
          <cell r="K1095" t="str"/>
          <cell r="L1095" t="str"/>
          <cell r="M1095" t="str"/>
          <cell r="N1095" t="str"/>
          <cell r="O1095" t="str"/>
          <cell r="P1095" t="str"/>
          <cell r="Q1095" t="str"/>
          <cell r="R1095" t="str"/>
          <cell r="S1095" t="str"/>
          <cell r="T1095" t="str"/>
          <cell r="U1095" t="str"/>
          <cell r="V1095" t="str"/>
          <cell r="W1095" t="str"/>
          <cell r="X1095" t="str"/>
          <cell r="Y1095" t="str"/>
        </row>
        <row r="1095">
          <cell r="AA1095" t="str"/>
          <cell r="AB1095" t="str"/>
          <cell r="AC1095" t="str"/>
          <cell r="AD1095" t="str"/>
          <cell r="AE1095" t="str"/>
          <cell r="AF1095" t="str"/>
        </row>
        <row r="1096">
          <cell r="B1096" t="str"/>
          <cell r="C1096" t="str"/>
          <cell r="D1096" t="str"/>
          <cell r="E1096" t="str"/>
          <cell r="F1096" t="str"/>
          <cell r="G1096" t="str"/>
          <cell r="H1096" t="str"/>
          <cell r="I1096" t="str"/>
          <cell r="J1096" t="str"/>
          <cell r="K1096" t="str"/>
          <cell r="L1096" t="str"/>
          <cell r="M1096" t="str"/>
          <cell r="N1096" t="str"/>
          <cell r="O1096" t="str"/>
          <cell r="P1096" t="str"/>
          <cell r="Q1096" t="str"/>
          <cell r="R1096" t="str"/>
          <cell r="S1096" t="str"/>
          <cell r="T1096" t="str"/>
          <cell r="U1096" t="str"/>
          <cell r="V1096" t="str"/>
          <cell r="W1096" t="str"/>
          <cell r="X1096" t="str"/>
          <cell r="Y1096" t="str"/>
        </row>
        <row r="1096">
          <cell r="AA1096" t="str"/>
          <cell r="AB1096" t="str"/>
          <cell r="AC1096" t="str"/>
          <cell r="AD1096" t="str"/>
          <cell r="AE1096" t="str"/>
          <cell r="AF1096" t="str"/>
        </row>
        <row r="1097">
          <cell r="B1097" t="str"/>
          <cell r="C1097" t="str"/>
          <cell r="D1097" t="str"/>
          <cell r="E1097" t="str"/>
          <cell r="F1097" t="str"/>
          <cell r="G1097" t="str"/>
          <cell r="H1097" t="str"/>
          <cell r="I1097" t="str"/>
          <cell r="J1097" t="str"/>
          <cell r="K1097" t="str"/>
          <cell r="L1097" t="str"/>
          <cell r="M1097" t="str"/>
          <cell r="N1097" t="str"/>
          <cell r="O1097" t="str"/>
          <cell r="P1097" t="str"/>
          <cell r="Q1097" t="str"/>
          <cell r="R1097" t="str"/>
          <cell r="S1097" t="str"/>
          <cell r="T1097" t="str"/>
          <cell r="U1097" t="str"/>
          <cell r="V1097" t="str"/>
          <cell r="W1097" t="str"/>
          <cell r="X1097" t="str"/>
          <cell r="Y1097" t="str"/>
        </row>
        <row r="1097">
          <cell r="AA1097" t="str"/>
          <cell r="AB1097" t="str"/>
          <cell r="AC1097" t="str"/>
          <cell r="AD1097" t="str"/>
          <cell r="AE1097" t="str"/>
          <cell r="AF1097" t="str"/>
        </row>
        <row r="1098">
          <cell r="B1098" t="str"/>
          <cell r="C1098" t="str"/>
          <cell r="D1098" t="str"/>
          <cell r="E1098" t="str"/>
          <cell r="F1098" t="str"/>
          <cell r="G1098" t="str"/>
          <cell r="H1098" t="str"/>
          <cell r="I1098" t="str"/>
          <cell r="J1098" t="str"/>
          <cell r="K1098" t="str"/>
          <cell r="L1098" t="str"/>
          <cell r="M1098" t="str"/>
          <cell r="N1098" t="str"/>
          <cell r="O1098" t="str"/>
          <cell r="P1098" t="str"/>
          <cell r="Q1098" t="str"/>
          <cell r="R1098" t="str"/>
          <cell r="S1098" t="str"/>
          <cell r="T1098" t="str"/>
          <cell r="U1098" t="str"/>
          <cell r="V1098" t="str"/>
          <cell r="W1098" t="str"/>
          <cell r="X1098" t="str"/>
          <cell r="Y1098" t="str"/>
        </row>
        <row r="1098">
          <cell r="AA1098" t="str"/>
          <cell r="AB1098" t="str"/>
          <cell r="AC1098" t="str"/>
          <cell r="AD1098" t="str"/>
          <cell r="AE1098" t="str"/>
          <cell r="AF1098" t="str"/>
        </row>
        <row r="1099">
          <cell r="B1099" t="str"/>
          <cell r="C1099" t="str"/>
          <cell r="D1099" t="str"/>
          <cell r="E1099" t="str"/>
          <cell r="F1099" t="str"/>
          <cell r="G1099" t="str"/>
          <cell r="H1099" t="str"/>
          <cell r="I1099" t="str"/>
          <cell r="J1099" t="str"/>
          <cell r="K1099" t="str"/>
          <cell r="L1099" t="str"/>
          <cell r="M1099" t="str"/>
          <cell r="N1099" t="str"/>
          <cell r="O1099" t="str"/>
          <cell r="P1099" t="str"/>
          <cell r="Q1099" t="str"/>
          <cell r="R1099" t="str"/>
          <cell r="S1099" t="str"/>
          <cell r="T1099" t="str"/>
          <cell r="U1099" t="str"/>
          <cell r="V1099" t="str"/>
          <cell r="W1099" t="str"/>
          <cell r="X1099" t="str"/>
          <cell r="Y1099" t="str"/>
        </row>
        <row r="1099">
          <cell r="AA1099" t="str"/>
          <cell r="AB1099" t="str"/>
          <cell r="AC1099" t="str"/>
          <cell r="AD1099" t="str"/>
          <cell r="AE1099" t="str"/>
          <cell r="AF1099" t="str"/>
        </row>
        <row r="1100">
          <cell r="B1100" t="str"/>
          <cell r="C1100" t="str"/>
          <cell r="D1100" t="str"/>
          <cell r="E1100" t="str"/>
          <cell r="F1100" t="str"/>
          <cell r="G1100" t="str"/>
          <cell r="H1100" t="str"/>
          <cell r="I1100" t="str"/>
          <cell r="J1100" t="str"/>
          <cell r="K1100" t="str"/>
          <cell r="L1100" t="str"/>
          <cell r="M1100" t="str"/>
          <cell r="N1100" t="str"/>
          <cell r="O1100" t="str"/>
          <cell r="P1100" t="str"/>
          <cell r="Q1100" t="str"/>
          <cell r="R1100" t="str"/>
          <cell r="S1100" t="str"/>
          <cell r="T1100" t="str"/>
          <cell r="U1100" t="str"/>
          <cell r="V1100" t="str"/>
          <cell r="W1100" t="str"/>
          <cell r="X1100" t="str"/>
          <cell r="Y1100" t="str"/>
        </row>
        <row r="1100">
          <cell r="AA1100" t="str"/>
          <cell r="AB1100" t="str"/>
          <cell r="AC1100" t="str"/>
          <cell r="AD1100" t="str"/>
          <cell r="AE1100" t="str"/>
          <cell r="AF1100" t="str"/>
        </row>
        <row r="1101">
          <cell r="B1101" t="str"/>
          <cell r="C1101" t="str"/>
          <cell r="D1101" t="str"/>
          <cell r="E1101" t="str"/>
          <cell r="F1101" t="str"/>
          <cell r="G1101" t="str"/>
          <cell r="H1101" t="str"/>
          <cell r="I1101" t="str"/>
          <cell r="J1101" t="str"/>
          <cell r="K1101" t="str"/>
          <cell r="L1101" t="str"/>
          <cell r="M1101" t="str"/>
          <cell r="N1101" t="str"/>
          <cell r="O1101" t="str"/>
          <cell r="P1101" t="str"/>
          <cell r="Q1101" t="str"/>
          <cell r="R1101" t="str"/>
          <cell r="S1101" t="str"/>
          <cell r="T1101" t="str"/>
          <cell r="U1101" t="str"/>
          <cell r="V1101" t="str"/>
          <cell r="W1101" t="str"/>
          <cell r="X1101" t="str"/>
          <cell r="Y1101" t="str"/>
        </row>
        <row r="1101">
          <cell r="AA1101" t="str"/>
          <cell r="AB1101" t="str"/>
          <cell r="AC1101" t="str"/>
          <cell r="AD1101" t="str"/>
          <cell r="AE1101" t="str"/>
          <cell r="AF1101" t="str"/>
        </row>
        <row r="1102">
          <cell r="B1102" t="str"/>
          <cell r="C1102" t="str"/>
          <cell r="D1102" t="str"/>
          <cell r="E1102" t="str"/>
          <cell r="F1102" t="str"/>
          <cell r="G1102" t="str"/>
          <cell r="H1102" t="str"/>
          <cell r="I1102" t="str"/>
          <cell r="J1102" t="str"/>
          <cell r="K1102" t="str"/>
          <cell r="L1102" t="str"/>
          <cell r="M1102" t="str"/>
          <cell r="N1102" t="str"/>
          <cell r="O1102" t="str"/>
          <cell r="P1102" t="str"/>
          <cell r="Q1102" t="str"/>
          <cell r="R1102" t="str"/>
          <cell r="S1102" t="str"/>
          <cell r="T1102" t="str"/>
          <cell r="U1102" t="str"/>
          <cell r="V1102" t="str"/>
          <cell r="W1102" t="str"/>
          <cell r="X1102" t="str"/>
          <cell r="Y1102" t="str"/>
        </row>
        <row r="1102">
          <cell r="AA1102" t="str"/>
          <cell r="AB1102" t="str"/>
          <cell r="AC1102" t="str"/>
          <cell r="AD1102" t="str"/>
          <cell r="AE1102" t="str"/>
          <cell r="AF1102" t="str"/>
        </row>
        <row r="1103">
          <cell r="B1103" t="str"/>
          <cell r="C1103" t="str"/>
          <cell r="D1103" t="str"/>
          <cell r="E1103" t="str"/>
          <cell r="F1103" t="str"/>
          <cell r="G1103" t="str"/>
          <cell r="H1103" t="str"/>
          <cell r="I1103" t="str"/>
          <cell r="J1103" t="str"/>
          <cell r="K1103" t="str"/>
          <cell r="L1103" t="str"/>
          <cell r="M1103" t="str"/>
          <cell r="N1103" t="str"/>
          <cell r="O1103" t="str"/>
          <cell r="P1103" t="str"/>
          <cell r="Q1103" t="str"/>
          <cell r="R1103" t="str"/>
          <cell r="S1103" t="str"/>
          <cell r="T1103" t="str"/>
          <cell r="U1103" t="str"/>
          <cell r="V1103" t="str"/>
          <cell r="W1103" t="str"/>
          <cell r="X1103" t="str"/>
          <cell r="Y1103" t="str"/>
        </row>
        <row r="1103">
          <cell r="AA1103" t="str"/>
          <cell r="AB1103" t="str"/>
          <cell r="AC1103" t="str"/>
          <cell r="AD1103" t="str"/>
          <cell r="AE1103" t="str"/>
          <cell r="AF1103" t="str"/>
        </row>
        <row r="1104">
          <cell r="B1104" t="str"/>
          <cell r="C1104" t="str"/>
          <cell r="D1104" t="str"/>
          <cell r="E1104" t="str"/>
          <cell r="F1104" t="str"/>
          <cell r="G1104" t="str"/>
          <cell r="H1104" t="str"/>
          <cell r="I1104" t="str"/>
          <cell r="J1104" t="str"/>
          <cell r="K1104" t="str"/>
          <cell r="L1104" t="str"/>
          <cell r="M1104" t="str"/>
          <cell r="N1104" t="str"/>
          <cell r="O1104" t="str"/>
          <cell r="P1104" t="str"/>
          <cell r="Q1104" t="str"/>
          <cell r="R1104" t="str"/>
          <cell r="S1104" t="str"/>
          <cell r="T1104" t="str"/>
          <cell r="U1104" t="str"/>
          <cell r="V1104" t="str"/>
          <cell r="W1104" t="str"/>
          <cell r="X1104" t="str"/>
          <cell r="Y1104" t="str"/>
        </row>
        <row r="1104">
          <cell r="AA1104" t="str"/>
          <cell r="AB1104" t="str"/>
          <cell r="AC1104" t="str"/>
          <cell r="AD1104" t="str"/>
          <cell r="AE1104" t="str"/>
          <cell r="AF1104" t="str"/>
        </row>
        <row r="1105">
          <cell r="B1105" t="str"/>
          <cell r="C1105" t="str"/>
          <cell r="D1105" t="str"/>
          <cell r="E1105" t="str"/>
          <cell r="F1105" t="str"/>
          <cell r="G1105" t="str"/>
          <cell r="H1105" t="str"/>
          <cell r="I1105" t="str"/>
          <cell r="J1105" t="str"/>
          <cell r="K1105" t="str"/>
          <cell r="L1105" t="str"/>
          <cell r="M1105" t="str"/>
          <cell r="N1105" t="str"/>
          <cell r="O1105" t="str"/>
          <cell r="P1105" t="str"/>
          <cell r="Q1105" t="str"/>
          <cell r="R1105" t="str"/>
          <cell r="S1105" t="str"/>
          <cell r="T1105" t="str"/>
          <cell r="U1105" t="str"/>
          <cell r="V1105" t="str"/>
          <cell r="W1105" t="str"/>
          <cell r="X1105" t="str"/>
          <cell r="Y1105" t="str"/>
        </row>
        <row r="1105">
          <cell r="AA1105" t="str"/>
          <cell r="AB1105" t="str"/>
          <cell r="AC1105" t="str"/>
          <cell r="AD1105" t="str"/>
          <cell r="AE1105" t="str"/>
          <cell r="AF1105" t="str"/>
        </row>
        <row r="1106">
          <cell r="B1106" t="str"/>
          <cell r="C1106" t="str"/>
          <cell r="D1106" t="str"/>
          <cell r="E1106" t="str"/>
          <cell r="F1106" t="str"/>
          <cell r="G1106" t="str"/>
          <cell r="H1106" t="str"/>
          <cell r="I1106" t="str"/>
          <cell r="J1106" t="str"/>
          <cell r="K1106" t="str"/>
          <cell r="L1106" t="str"/>
          <cell r="M1106" t="str"/>
          <cell r="N1106" t="str"/>
          <cell r="O1106" t="str"/>
          <cell r="P1106" t="str"/>
          <cell r="Q1106" t="str"/>
          <cell r="R1106" t="str"/>
          <cell r="S1106" t="str"/>
          <cell r="T1106" t="str"/>
          <cell r="U1106" t="str"/>
          <cell r="V1106" t="str"/>
          <cell r="W1106" t="str"/>
          <cell r="X1106" t="str"/>
          <cell r="Y1106" t="str"/>
        </row>
        <row r="1106">
          <cell r="AA1106" t="str"/>
          <cell r="AB1106" t="str"/>
          <cell r="AC1106" t="str"/>
          <cell r="AD1106" t="str"/>
          <cell r="AE1106" t="str"/>
          <cell r="AF1106" t="str"/>
        </row>
        <row r="1107">
          <cell r="B1107" t="str"/>
          <cell r="C1107" t="str"/>
          <cell r="D1107" t="str"/>
          <cell r="E1107" t="str"/>
          <cell r="F1107" t="str"/>
          <cell r="G1107" t="str"/>
          <cell r="H1107" t="str"/>
          <cell r="I1107" t="str"/>
          <cell r="J1107" t="str"/>
          <cell r="K1107" t="str"/>
          <cell r="L1107" t="str"/>
          <cell r="M1107" t="str"/>
          <cell r="N1107" t="str"/>
          <cell r="O1107" t="str"/>
          <cell r="P1107" t="str"/>
          <cell r="Q1107" t="str"/>
          <cell r="R1107" t="str"/>
          <cell r="S1107" t="str"/>
          <cell r="T1107" t="str"/>
          <cell r="U1107" t="str"/>
          <cell r="V1107" t="str"/>
          <cell r="W1107" t="str"/>
          <cell r="X1107" t="str"/>
          <cell r="Y1107" t="str"/>
        </row>
        <row r="1107">
          <cell r="AA1107" t="str"/>
          <cell r="AB1107" t="str"/>
          <cell r="AC1107" t="str"/>
          <cell r="AD1107" t="str"/>
          <cell r="AE1107" t="str"/>
          <cell r="AF1107" t="str"/>
        </row>
        <row r="1108">
          <cell r="B1108" t="str"/>
          <cell r="C1108" t="str"/>
          <cell r="D1108" t="str"/>
          <cell r="E1108" t="str"/>
          <cell r="F1108" t="str"/>
          <cell r="G1108" t="str"/>
          <cell r="H1108" t="str"/>
          <cell r="I1108" t="str"/>
          <cell r="J1108" t="str"/>
          <cell r="K1108" t="str"/>
          <cell r="L1108" t="str"/>
          <cell r="M1108" t="str"/>
          <cell r="N1108" t="str"/>
          <cell r="O1108" t="str"/>
          <cell r="P1108" t="str"/>
          <cell r="Q1108" t="str"/>
          <cell r="R1108" t="str"/>
          <cell r="S1108" t="str"/>
          <cell r="T1108" t="str"/>
          <cell r="U1108" t="str"/>
          <cell r="V1108" t="str"/>
          <cell r="W1108" t="str"/>
          <cell r="X1108" t="str"/>
          <cell r="Y1108" t="str"/>
        </row>
        <row r="1108">
          <cell r="AA1108" t="str"/>
          <cell r="AB1108" t="str"/>
          <cell r="AC1108" t="str"/>
          <cell r="AD1108" t="str"/>
          <cell r="AE1108" t="str"/>
          <cell r="AF1108" t="str"/>
        </row>
        <row r="1109">
          <cell r="B1109" t="str"/>
          <cell r="C1109" t="str"/>
          <cell r="D1109" t="str"/>
          <cell r="E1109" t="str"/>
          <cell r="F1109" t="str"/>
          <cell r="G1109" t="str"/>
          <cell r="H1109" t="str"/>
          <cell r="I1109" t="str"/>
          <cell r="J1109" t="str"/>
          <cell r="K1109" t="str"/>
          <cell r="L1109" t="str"/>
          <cell r="M1109" t="str"/>
          <cell r="N1109" t="str"/>
          <cell r="O1109" t="str"/>
          <cell r="P1109" t="str"/>
          <cell r="Q1109" t="str"/>
          <cell r="R1109" t="str"/>
          <cell r="S1109" t="str"/>
          <cell r="T1109" t="str"/>
          <cell r="U1109" t="str"/>
          <cell r="V1109" t="str"/>
          <cell r="W1109" t="str"/>
          <cell r="X1109" t="str"/>
          <cell r="Y1109" t="str"/>
        </row>
        <row r="1109">
          <cell r="AA1109" t="str"/>
          <cell r="AB1109" t="str"/>
          <cell r="AC1109" t="str"/>
          <cell r="AD1109" t="str"/>
          <cell r="AE1109" t="str"/>
          <cell r="AF1109" t="str"/>
        </row>
        <row r="1110">
          <cell r="B1110" t="str"/>
          <cell r="C1110" t="str"/>
          <cell r="D1110" t="str"/>
          <cell r="E1110" t="str"/>
          <cell r="F1110" t="str"/>
          <cell r="G1110" t="str"/>
          <cell r="H1110" t="str"/>
          <cell r="I1110" t="str"/>
          <cell r="J1110" t="str"/>
          <cell r="K1110" t="str"/>
          <cell r="L1110" t="str"/>
          <cell r="M1110" t="str"/>
          <cell r="N1110" t="str"/>
          <cell r="O1110" t="str"/>
          <cell r="P1110" t="str"/>
          <cell r="Q1110" t="str"/>
          <cell r="R1110" t="str"/>
          <cell r="S1110" t="str"/>
          <cell r="T1110" t="str"/>
          <cell r="U1110" t="str"/>
          <cell r="V1110" t="str"/>
          <cell r="W1110" t="str"/>
          <cell r="X1110" t="str"/>
          <cell r="Y1110" t="str"/>
        </row>
        <row r="1110">
          <cell r="AA1110" t="str"/>
          <cell r="AB1110" t="str"/>
          <cell r="AC1110" t="str"/>
          <cell r="AD1110" t="str"/>
          <cell r="AE1110" t="str"/>
          <cell r="AF1110" t="str"/>
        </row>
        <row r="1111">
          <cell r="B1111" t="str"/>
          <cell r="C1111" t="str"/>
          <cell r="D1111" t="str"/>
          <cell r="E1111" t="str"/>
          <cell r="F1111" t="str"/>
          <cell r="G1111" t="str"/>
          <cell r="H1111" t="str"/>
          <cell r="I1111" t="str"/>
          <cell r="J1111" t="str"/>
          <cell r="K1111" t="str"/>
          <cell r="L1111" t="str"/>
          <cell r="M1111" t="str"/>
          <cell r="N1111" t="str"/>
          <cell r="O1111" t="str"/>
          <cell r="P1111" t="str"/>
          <cell r="Q1111" t="str"/>
          <cell r="R1111" t="str"/>
          <cell r="S1111" t="str"/>
          <cell r="T1111" t="str"/>
          <cell r="U1111" t="str"/>
          <cell r="V1111" t="str"/>
          <cell r="W1111" t="str"/>
          <cell r="X1111" t="str"/>
          <cell r="Y1111" t="str"/>
        </row>
        <row r="1111">
          <cell r="AA1111" t="str"/>
          <cell r="AB1111" t="str"/>
          <cell r="AC1111" t="str"/>
          <cell r="AD1111" t="str"/>
          <cell r="AE1111" t="str"/>
          <cell r="AF1111" t="str"/>
        </row>
        <row r="1112">
          <cell r="B1112" t="str"/>
          <cell r="C1112" t="str"/>
          <cell r="D1112" t="str"/>
          <cell r="E1112" t="str"/>
          <cell r="F1112" t="str"/>
          <cell r="G1112" t="str"/>
          <cell r="H1112" t="str"/>
          <cell r="I1112" t="str"/>
          <cell r="J1112" t="str"/>
          <cell r="K1112" t="str"/>
          <cell r="L1112" t="str"/>
          <cell r="M1112" t="str"/>
          <cell r="N1112" t="str"/>
          <cell r="O1112" t="str"/>
          <cell r="P1112" t="str"/>
          <cell r="Q1112" t="str"/>
          <cell r="R1112" t="str"/>
          <cell r="S1112" t="str"/>
          <cell r="T1112" t="str"/>
          <cell r="U1112" t="str"/>
          <cell r="V1112" t="str"/>
          <cell r="W1112" t="str"/>
          <cell r="X1112" t="str"/>
          <cell r="Y1112" t="str"/>
        </row>
        <row r="1112">
          <cell r="AA1112" t="str"/>
          <cell r="AB1112" t="str"/>
          <cell r="AC1112" t="str"/>
          <cell r="AD1112" t="str"/>
          <cell r="AE1112" t="str"/>
          <cell r="AF1112" t="str"/>
        </row>
        <row r="1113">
          <cell r="B1113" t="str"/>
          <cell r="C1113" t="str"/>
          <cell r="D1113" t="str"/>
          <cell r="E1113" t="str"/>
          <cell r="F1113" t="str"/>
          <cell r="G1113" t="str"/>
          <cell r="H1113" t="str"/>
          <cell r="I1113" t="str"/>
          <cell r="J1113" t="str"/>
          <cell r="K1113" t="str"/>
          <cell r="L1113" t="str"/>
          <cell r="M1113" t="str"/>
          <cell r="N1113" t="str"/>
          <cell r="O1113" t="str"/>
          <cell r="P1113" t="str"/>
          <cell r="Q1113" t="str"/>
          <cell r="R1113" t="str"/>
          <cell r="S1113" t="str"/>
          <cell r="T1113" t="str"/>
          <cell r="U1113" t="str"/>
          <cell r="V1113" t="str"/>
          <cell r="W1113" t="str"/>
          <cell r="X1113" t="str"/>
          <cell r="Y1113" t="str"/>
        </row>
        <row r="1113">
          <cell r="AA1113" t="str"/>
          <cell r="AB1113" t="str"/>
          <cell r="AC1113" t="str"/>
          <cell r="AD1113" t="str"/>
          <cell r="AE1113" t="str"/>
          <cell r="AF1113" t="str"/>
        </row>
        <row r="1114">
          <cell r="B1114" t="str"/>
          <cell r="C1114" t="str"/>
          <cell r="D1114" t="str"/>
          <cell r="E1114" t="str"/>
          <cell r="F1114" t="str"/>
          <cell r="G1114" t="str"/>
          <cell r="H1114" t="str"/>
          <cell r="I1114" t="str"/>
          <cell r="J1114" t="str"/>
          <cell r="K1114" t="str"/>
          <cell r="L1114" t="str"/>
          <cell r="M1114" t="str"/>
          <cell r="N1114" t="str"/>
          <cell r="O1114" t="str"/>
          <cell r="P1114" t="str"/>
          <cell r="Q1114" t="str"/>
          <cell r="R1114" t="str"/>
          <cell r="S1114" t="str"/>
          <cell r="T1114" t="str"/>
          <cell r="U1114" t="str"/>
          <cell r="V1114" t="str"/>
          <cell r="W1114" t="str"/>
          <cell r="X1114" t="str"/>
          <cell r="Y1114" t="str"/>
        </row>
        <row r="1114">
          <cell r="AA1114" t="str"/>
          <cell r="AB1114" t="str"/>
          <cell r="AC1114" t="str"/>
          <cell r="AD1114" t="str"/>
          <cell r="AE1114" t="str"/>
          <cell r="AF1114" t="str"/>
        </row>
        <row r="1115">
          <cell r="B1115" t="str"/>
          <cell r="C1115" t="str"/>
          <cell r="D1115" t="str"/>
          <cell r="E1115" t="str"/>
          <cell r="F1115" t="str"/>
          <cell r="G1115" t="str"/>
          <cell r="H1115" t="str"/>
          <cell r="I1115" t="str"/>
          <cell r="J1115" t="str"/>
          <cell r="K1115" t="str"/>
          <cell r="L1115" t="str"/>
          <cell r="M1115" t="str"/>
          <cell r="N1115" t="str"/>
          <cell r="O1115" t="str"/>
          <cell r="P1115" t="str"/>
          <cell r="Q1115" t="str"/>
          <cell r="R1115" t="str"/>
          <cell r="S1115" t="str"/>
          <cell r="T1115" t="str"/>
          <cell r="U1115" t="str"/>
          <cell r="V1115" t="str"/>
          <cell r="W1115" t="str"/>
          <cell r="X1115" t="str"/>
          <cell r="Y1115" t="str"/>
        </row>
        <row r="1115">
          <cell r="AA1115" t="str"/>
          <cell r="AB1115" t="str"/>
          <cell r="AC1115" t="str"/>
          <cell r="AD1115" t="str"/>
          <cell r="AE1115" t="str"/>
          <cell r="AF1115" t="str"/>
        </row>
        <row r="1116">
          <cell r="B1116" t="str"/>
          <cell r="C1116" t="str"/>
          <cell r="D1116" t="str"/>
          <cell r="E1116" t="str"/>
          <cell r="F1116" t="str"/>
          <cell r="G1116" t="str"/>
          <cell r="H1116" t="str"/>
          <cell r="I1116" t="str"/>
          <cell r="J1116" t="str"/>
          <cell r="K1116" t="str"/>
          <cell r="L1116" t="str"/>
          <cell r="M1116" t="str"/>
          <cell r="N1116" t="str"/>
          <cell r="O1116" t="str"/>
          <cell r="P1116" t="str"/>
          <cell r="Q1116" t="str"/>
          <cell r="R1116" t="str"/>
          <cell r="S1116" t="str"/>
          <cell r="T1116" t="str"/>
          <cell r="U1116" t="str"/>
          <cell r="V1116" t="str"/>
          <cell r="W1116" t="str"/>
          <cell r="X1116" t="str"/>
          <cell r="Y1116" t="str"/>
        </row>
        <row r="1116">
          <cell r="AA1116" t="str"/>
          <cell r="AB1116" t="str"/>
          <cell r="AC1116" t="str"/>
          <cell r="AD1116" t="str"/>
          <cell r="AE1116" t="str"/>
          <cell r="AF1116" t="str"/>
        </row>
        <row r="1117">
          <cell r="B1117" t="str"/>
          <cell r="C1117" t="str"/>
          <cell r="D1117" t="str"/>
          <cell r="E1117" t="str"/>
          <cell r="F1117" t="str"/>
          <cell r="G1117" t="str"/>
          <cell r="H1117" t="str"/>
          <cell r="I1117" t="str"/>
          <cell r="J1117" t="str"/>
          <cell r="K1117" t="str"/>
          <cell r="L1117" t="str"/>
          <cell r="M1117" t="str"/>
          <cell r="N1117" t="str"/>
          <cell r="O1117" t="str"/>
          <cell r="P1117" t="str"/>
          <cell r="Q1117" t="str"/>
          <cell r="R1117" t="str"/>
          <cell r="S1117" t="str"/>
          <cell r="T1117" t="str"/>
          <cell r="U1117" t="str"/>
          <cell r="V1117" t="str"/>
          <cell r="W1117" t="str"/>
          <cell r="X1117" t="str"/>
          <cell r="Y1117" t="str"/>
        </row>
        <row r="1117">
          <cell r="AA1117" t="str"/>
          <cell r="AB1117" t="str"/>
          <cell r="AC1117" t="str"/>
          <cell r="AD1117" t="str"/>
          <cell r="AE1117" t="str"/>
          <cell r="AF1117" t="str"/>
        </row>
        <row r="1118">
          <cell r="B1118" t="str"/>
          <cell r="C1118" t="str"/>
          <cell r="D1118" t="str"/>
          <cell r="E1118" t="str"/>
          <cell r="F1118" t="str"/>
          <cell r="G1118" t="str"/>
          <cell r="H1118" t="str"/>
          <cell r="I1118" t="str"/>
          <cell r="J1118" t="str"/>
          <cell r="K1118" t="str"/>
          <cell r="L1118" t="str"/>
          <cell r="M1118" t="str"/>
          <cell r="N1118" t="str"/>
          <cell r="O1118" t="str"/>
          <cell r="P1118" t="str"/>
          <cell r="Q1118" t="str"/>
          <cell r="R1118" t="str"/>
          <cell r="S1118" t="str"/>
          <cell r="T1118" t="str"/>
          <cell r="U1118" t="str"/>
          <cell r="V1118" t="str"/>
          <cell r="W1118" t="str"/>
          <cell r="X1118" t="str"/>
          <cell r="Y1118" t="str"/>
        </row>
        <row r="1118">
          <cell r="AA1118" t="str"/>
          <cell r="AB1118" t="str"/>
          <cell r="AC1118" t="str"/>
          <cell r="AD1118" t="str"/>
          <cell r="AE1118" t="str"/>
          <cell r="AF1118" t="str"/>
        </row>
        <row r="1119">
          <cell r="B1119" t="str"/>
          <cell r="C1119" t="str"/>
          <cell r="D1119" t="str"/>
          <cell r="E1119" t="str"/>
          <cell r="F1119" t="str"/>
          <cell r="G1119" t="str"/>
          <cell r="H1119" t="str"/>
          <cell r="I1119" t="str"/>
          <cell r="J1119" t="str"/>
          <cell r="K1119" t="str"/>
          <cell r="L1119" t="str"/>
          <cell r="M1119" t="str"/>
          <cell r="N1119" t="str"/>
          <cell r="O1119" t="str"/>
          <cell r="P1119" t="str"/>
          <cell r="Q1119" t="str"/>
          <cell r="R1119" t="str"/>
          <cell r="S1119" t="str"/>
          <cell r="T1119" t="str"/>
          <cell r="U1119" t="str"/>
          <cell r="V1119" t="str"/>
          <cell r="W1119" t="str"/>
          <cell r="X1119" t="str"/>
          <cell r="Y1119" t="str"/>
        </row>
        <row r="1119">
          <cell r="AA1119" t="str"/>
          <cell r="AB1119" t="str"/>
          <cell r="AC1119" t="str"/>
          <cell r="AD1119" t="str"/>
          <cell r="AE1119" t="str"/>
          <cell r="AF1119" t="str"/>
        </row>
        <row r="1120">
          <cell r="B1120" t="str"/>
          <cell r="C1120" t="str"/>
          <cell r="D1120" t="str"/>
          <cell r="E1120" t="str"/>
          <cell r="F1120" t="str"/>
          <cell r="G1120" t="str"/>
          <cell r="H1120" t="str"/>
          <cell r="I1120" t="str"/>
          <cell r="J1120" t="str"/>
          <cell r="K1120" t="str"/>
          <cell r="L1120" t="str"/>
          <cell r="M1120" t="str"/>
          <cell r="N1120" t="str"/>
          <cell r="O1120" t="str"/>
          <cell r="P1120" t="str"/>
          <cell r="Q1120" t="str"/>
          <cell r="R1120" t="str"/>
          <cell r="S1120" t="str"/>
          <cell r="T1120" t="str"/>
          <cell r="U1120" t="str"/>
          <cell r="V1120" t="str"/>
          <cell r="W1120" t="str"/>
          <cell r="X1120" t="str"/>
          <cell r="Y1120" t="str"/>
        </row>
        <row r="1120">
          <cell r="AA1120" t="str"/>
          <cell r="AB1120" t="str"/>
          <cell r="AC1120" t="str"/>
          <cell r="AD1120" t="str"/>
          <cell r="AE1120" t="str"/>
          <cell r="AF1120" t="str"/>
        </row>
        <row r="1121">
          <cell r="B1121" t="str"/>
          <cell r="C1121" t="str"/>
          <cell r="D1121" t="str"/>
          <cell r="E1121" t="str"/>
          <cell r="F1121" t="str"/>
          <cell r="G1121" t="str"/>
          <cell r="H1121" t="str"/>
          <cell r="I1121" t="str"/>
          <cell r="J1121" t="str"/>
          <cell r="K1121" t="str"/>
          <cell r="L1121" t="str"/>
          <cell r="M1121" t="str"/>
          <cell r="N1121" t="str"/>
          <cell r="O1121" t="str"/>
          <cell r="P1121" t="str"/>
          <cell r="Q1121" t="str"/>
          <cell r="R1121" t="str"/>
          <cell r="S1121" t="str"/>
          <cell r="T1121" t="str"/>
          <cell r="U1121" t="str"/>
          <cell r="V1121" t="str"/>
          <cell r="W1121" t="str"/>
          <cell r="X1121" t="str"/>
          <cell r="Y1121" t="str"/>
        </row>
        <row r="1121">
          <cell r="AA1121" t="str"/>
          <cell r="AB1121" t="str"/>
          <cell r="AC1121" t="str"/>
          <cell r="AD1121" t="str"/>
          <cell r="AE1121" t="str"/>
          <cell r="AF1121" t="str"/>
        </row>
        <row r="1122">
          <cell r="B1122" t="str"/>
          <cell r="C1122" t="str"/>
          <cell r="D1122" t="str"/>
          <cell r="E1122" t="str"/>
          <cell r="F1122" t="str"/>
          <cell r="G1122" t="str"/>
          <cell r="H1122" t="str"/>
          <cell r="I1122" t="str"/>
          <cell r="J1122" t="str"/>
          <cell r="K1122" t="str"/>
          <cell r="L1122" t="str"/>
          <cell r="M1122" t="str"/>
          <cell r="N1122" t="str"/>
          <cell r="O1122" t="str"/>
          <cell r="P1122" t="str"/>
          <cell r="Q1122" t="str"/>
          <cell r="R1122" t="str"/>
          <cell r="S1122" t="str"/>
          <cell r="T1122" t="str"/>
          <cell r="U1122" t="str"/>
          <cell r="V1122" t="str"/>
          <cell r="W1122" t="str"/>
          <cell r="X1122" t="str"/>
          <cell r="Y1122" t="str"/>
        </row>
        <row r="1122">
          <cell r="AA1122" t="str"/>
          <cell r="AB1122" t="str"/>
          <cell r="AC1122" t="str"/>
          <cell r="AD1122" t="str"/>
          <cell r="AE1122" t="str"/>
          <cell r="AF1122" t="str"/>
        </row>
        <row r="1123">
          <cell r="B1123" t="str"/>
          <cell r="C1123" t="str"/>
          <cell r="D1123" t="str"/>
          <cell r="E1123" t="str"/>
          <cell r="F1123" t="str"/>
          <cell r="G1123" t="str"/>
          <cell r="H1123" t="str"/>
          <cell r="I1123" t="str"/>
          <cell r="J1123" t="str"/>
          <cell r="K1123" t="str"/>
          <cell r="L1123" t="str"/>
          <cell r="M1123" t="str"/>
          <cell r="N1123" t="str"/>
          <cell r="O1123" t="str"/>
          <cell r="P1123" t="str"/>
          <cell r="Q1123" t="str"/>
          <cell r="R1123" t="str"/>
          <cell r="S1123" t="str"/>
          <cell r="T1123" t="str"/>
          <cell r="U1123" t="str"/>
          <cell r="V1123" t="str"/>
          <cell r="W1123" t="str"/>
          <cell r="X1123" t="str"/>
          <cell r="Y1123" t="str"/>
        </row>
        <row r="1123">
          <cell r="AA1123" t="str"/>
          <cell r="AB1123" t="str"/>
          <cell r="AC1123" t="str"/>
          <cell r="AD1123" t="str"/>
          <cell r="AE1123" t="str"/>
          <cell r="AF1123" t="str"/>
        </row>
        <row r="1124">
          <cell r="B1124" t="str"/>
          <cell r="C1124" t="str"/>
          <cell r="D1124" t="str"/>
          <cell r="E1124" t="str"/>
          <cell r="F1124" t="str"/>
          <cell r="G1124" t="str"/>
          <cell r="H1124" t="str"/>
          <cell r="I1124" t="str"/>
          <cell r="J1124" t="str"/>
          <cell r="K1124" t="str"/>
          <cell r="L1124" t="str"/>
          <cell r="M1124" t="str"/>
          <cell r="N1124" t="str"/>
          <cell r="O1124" t="str"/>
          <cell r="P1124" t="str"/>
          <cell r="Q1124" t="str"/>
          <cell r="R1124" t="str"/>
          <cell r="S1124" t="str"/>
          <cell r="T1124" t="str"/>
          <cell r="U1124" t="str"/>
          <cell r="V1124" t="str"/>
          <cell r="W1124" t="str"/>
          <cell r="X1124" t="str"/>
          <cell r="Y1124" t="str"/>
        </row>
        <row r="1124">
          <cell r="AA1124" t="str"/>
          <cell r="AB1124" t="str"/>
          <cell r="AC1124" t="str"/>
          <cell r="AD1124" t="str"/>
          <cell r="AE1124" t="str"/>
          <cell r="AF1124" t="str"/>
        </row>
        <row r="1125">
          <cell r="B1125" t="str"/>
          <cell r="C1125" t="str"/>
          <cell r="D1125" t="str"/>
          <cell r="E1125" t="str"/>
          <cell r="F1125" t="str"/>
          <cell r="G1125" t="str"/>
          <cell r="H1125" t="str"/>
          <cell r="I1125" t="str"/>
          <cell r="J1125" t="str"/>
          <cell r="K1125" t="str"/>
          <cell r="L1125" t="str"/>
          <cell r="M1125" t="str"/>
          <cell r="N1125" t="str"/>
          <cell r="O1125" t="str"/>
          <cell r="P1125" t="str"/>
          <cell r="Q1125" t="str"/>
          <cell r="R1125" t="str"/>
          <cell r="S1125" t="str"/>
          <cell r="T1125" t="str"/>
          <cell r="U1125" t="str"/>
          <cell r="V1125" t="str"/>
          <cell r="W1125" t="str"/>
          <cell r="X1125" t="str"/>
          <cell r="Y1125" t="str"/>
        </row>
        <row r="1125">
          <cell r="AA1125" t="str"/>
          <cell r="AB1125" t="str"/>
          <cell r="AC1125" t="str"/>
          <cell r="AD1125" t="str"/>
          <cell r="AE1125" t="str"/>
          <cell r="AF1125" t="str"/>
        </row>
        <row r="1126">
          <cell r="B1126" t="str"/>
          <cell r="C1126" t="str"/>
          <cell r="D1126" t="str"/>
          <cell r="E1126" t="str"/>
          <cell r="F1126" t="str"/>
          <cell r="G1126" t="str"/>
          <cell r="H1126" t="str"/>
          <cell r="I1126" t="str"/>
          <cell r="J1126" t="str"/>
          <cell r="K1126" t="str"/>
          <cell r="L1126" t="str"/>
          <cell r="M1126" t="str"/>
          <cell r="N1126" t="str"/>
          <cell r="O1126" t="str"/>
          <cell r="P1126" t="str"/>
          <cell r="Q1126" t="str"/>
          <cell r="R1126" t="str"/>
          <cell r="S1126" t="str"/>
          <cell r="T1126" t="str"/>
          <cell r="U1126" t="str"/>
          <cell r="V1126" t="str"/>
          <cell r="W1126" t="str"/>
          <cell r="X1126" t="str"/>
          <cell r="Y1126" t="str"/>
        </row>
        <row r="1126">
          <cell r="AA1126" t="str"/>
          <cell r="AB1126" t="str"/>
          <cell r="AC1126" t="str"/>
          <cell r="AD1126" t="str"/>
          <cell r="AE1126" t="str"/>
          <cell r="AF1126" t="str"/>
        </row>
        <row r="1127">
          <cell r="B1127" t="str"/>
          <cell r="C1127" t="str"/>
          <cell r="D1127" t="str"/>
          <cell r="E1127" t="str"/>
          <cell r="F1127" t="str"/>
          <cell r="G1127" t="str"/>
          <cell r="H1127" t="str"/>
          <cell r="I1127" t="str"/>
          <cell r="J1127" t="str"/>
          <cell r="K1127" t="str"/>
          <cell r="L1127" t="str"/>
          <cell r="M1127" t="str"/>
          <cell r="N1127" t="str"/>
          <cell r="O1127" t="str"/>
          <cell r="P1127" t="str"/>
          <cell r="Q1127" t="str"/>
          <cell r="R1127" t="str"/>
          <cell r="S1127" t="str"/>
          <cell r="T1127" t="str"/>
          <cell r="U1127" t="str"/>
          <cell r="V1127" t="str"/>
          <cell r="W1127" t="str"/>
          <cell r="X1127" t="str"/>
          <cell r="Y1127" t="str"/>
        </row>
        <row r="1127">
          <cell r="AA1127" t="str"/>
          <cell r="AB1127" t="str"/>
          <cell r="AC1127" t="str"/>
          <cell r="AD1127" t="str"/>
          <cell r="AE1127" t="str"/>
          <cell r="AF1127" t="str"/>
        </row>
        <row r="1128">
          <cell r="B1128" t="str"/>
          <cell r="C1128" t="str"/>
          <cell r="D1128" t="str"/>
          <cell r="E1128" t="str"/>
          <cell r="F1128" t="str"/>
          <cell r="G1128" t="str"/>
          <cell r="H1128" t="str"/>
          <cell r="I1128" t="str"/>
          <cell r="J1128" t="str"/>
          <cell r="K1128" t="str"/>
          <cell r="L1128" t="str"/>
          <cell r="M1128" t="str"/>
          <cell r="N1128" t="str"/>
          <cell r="O1128" t="str"/>
          <cell r="P1128" t="str"/>
          <cell r="Q1128" t="str"/>
          <cell r="R1128" t="str"/>
          <cell r="S1128" t="str"/>
          <cell r="T1128" t="str"/>
          <cell r="U1128" t="str"/>
          <cell r="V1128" t="str"/>
          <cell r="W1128" t="str"/>
          <cell r="X1128" t="str"/>
          <cell r="Y1128" t="str"/>
        </row>
        <row r="1128">
          <cell r="AA1128" t="str"/>
          <cell r="AB1128" t="str"/>
          <cell r="AC1128" t="str"/>
          <cell r="AD1128" t="str"/>
          <cell r="AE1128" t="str"/>
          <cell r="AF1128" t="str"/>
        </row>
        <row r="1129">
          <cell r="B1129" t="str"/>
          <cell r="C1129" t="str"/>
          <cell r="D1129" t="str"/>
          <cell r="E1129" t="str"/>
          <cell r="F1129" t="str"/>
          <cell r="G1129" t="str"/>
          <cell r="H1129" t="str"/>
          <cell r="I1129" t="str"/>
          <cell r="J1129" t="str"/>
          <cell r="K1129" t="str"/>
          <cell r="L1129" t="str"/>
          <cell r="M1129" t="str"/>
          <cell r="N1129" t="str"/>
          <cell r="O1129" t="str"/>
          <cell r="P1129" t="str"/>
          <cell r="Q1129" t="str"/>
          <cell r="R1129" t="str"/>
          <cell r="S1129" t="str"/>
          <cell r="T1129" t="str"/>
          <cell r="U1129" t="str"/>
          <cell r="V1129" t="str"/>
          <cell r="W1129" t="str"/>
          <cell r="X1129" t="str"/>
          <cell r="Y1129" t="str"/>
        </row>
        <row r="1129">
          <cell r="AA1129" t="str"/>
          <cell r="AB1129" t="str"/>
          <cell r="AC1129" t="str"/>
          <cell r="AD1129" t="str"/>
          <cell r="AE1129" t="str"/>
          <cell r="AF1129" t="str"/>
        </row>
        <row r="1130">
          <cell r="B1130" t="str"/>
          <cell r="C1130" t="str"/>
          <cell r="D1130" t="str"/>
          <cell r="E1130" t="str"/>
          <cell r="F1130" t="str"/>
          <cell r="G1130" t="str"/>
          <cell r="H1130" t="str"/>
          <cell r="I1130" t="str"/>
          <cell r="J1130" t="str"/>
          <cell r="K1130" t="str"/>
          <cell r="L1130" t="str"/>
          <cell r="M1130" t="str"/>
          <cell r="N1130" t="str"/>
          <cell r="O1130" t="str"/>
          <cell r="P1130" t="str"/>
          <cell r="Q1130" t="str"/>
          <cell r="R1130" t="str"/>
          <cell r="S1130" t="str"/>
          <cell r="T1130" t="str"/>
          <cell r="U1130" t="str"/>
          <cell r="V1130" t="str"/>
          <cell r="W1130" t="str"/>
          <cell r="X1130" t="str"/>
          <cell r="Y1130" t="str"/>
        </row>
        <row r="1130">
          <cell r="AA1130" t="str"/>
          <cell r="AB1130" t="str"/>
          <cell r="AC1130" t="str"/>
          <cell r="AD1130" t="str"/>
          <cell r="AE1130" t="str"/>
          <cell r="AF1130" t="str"/>
        </row>
        <row r="1131">
          <cell r="B1131" t="str"/>
          <cell r="C1131" t="str"/>
          <cell r="D1131" t="str"/>
          <cell r="E1131" t="str"/>
          <cell r="F1131" t="str"/>
          <cell r="G1131" t="str"/>
          <cell r="H1131" t="str"/>
          <cell r="I1131" t="str"/>
          <cell r="J1131" t="str"/>
          <cell r="K1131" t="str"/>
          <cell r="L1131" t="str"/>
          <cell r="M1131" t="str"/>
          <cell r="N1131" t="str"/>
          <cell r="O1131" t="str"/>
          <cell r="P1131" t="str"/>
          <cell r="Q1131" t="str"/>
          <cell r="R1131" t="str"/>
          <cell r="S1131" t="str"/>
          <cell r="T1131" t="str"/>
          <cell r="U1131" t="str"/>
          <cell r="V1131" t="str"/>
          <cell r="W1131" t="str"/>
          <cell r="X1131" t="str"/>
          <cell r="Y1131" t="str"/>
        </row>
        <row r="1131">
          <cell r="AA1131" t="str"/>
          <cell r="AB1131" t="str"/>
          <cell r="AC1131" t="str"/>
          <cell r="AD1131" t="str"/>
          <cell r="AE1131" t="str"/>
          <cell r="AF1131" t="str"/>
        </row>
        <row r="1132">
          <cell r="B1132" t="str"/>
          <cell r="C1132" t="str"/>
          <cell r="D1132" t="str"/>
          <cell r="E1132" t="str"/>
          <cell r="F1132" t="str"/>
          <cell r="G1132" t="str"/>
          <cell r="H1132" t="str"/>
          <cell r="I1132" t="str"/>
          <cell r="J1132" t="str"/>
          <cell r="K1132" t="str"/>
          <cell r="L1132" t="str"/>
          <cell r="M1132" t="str"/>
          <cell r="N1132" t="str"/>
          <cell r="O1132" t="str"/>
          <cell r="P1132" t="str"/>
          <cell r="Q1132" t="str"/>
          <cell r="R1132" t="str"/>
          <cell r="S1132" t="str"/>
          <cell r="T1132" t="str"/>
          <cell r="U1132" t="str"/>
          <cell r="V1132" t="str"/>
          <cell r="W1132" t="str"/>
          <cell r="X1132" t="str"/>
          <cell r="Y1132" t="str"/>
        </row>
        <row r="1132">
          <cell r="AA1132" t="str"/>
          <cell r="AB1132" t="str"/>
          <cell r="AC1132" t="str"/>
          <cell r="AD1132" t="str"/>
          <cell r="AE1132" t="str"/>
          <cell r="AF1132" t="str"/>
        </row>
        <row r="1133">
          <cell r="B1133" t="str"/>
          <cell r="C1133" t="str"/>
          <cell r="D1133" t="str"/>
          <cell r="E1133" t="str"/>
          <cell r="F1133" t="str"/>
          <cell r="G1133" t="str"/>
          <cell r="H1133" t="str"/>
          <cell r="I1133" t="str"/>
          <cell r="J1133" t="str"/>
          <cell r="K1133" t="str"/>
          <cell r="L1133" t="str"/>
          <cell r="M1133" t="str"/>
          <cell r="N1133" t="str"/>
          <cell r="O1133" t="str"/>
          <cell r="P1133" t="str"/>
          <cell r="Q1133" t="str"/>
          <cell r="R1133" t="str"/>
          <cell r="S1133" t="str"/>
          <cell r="T1133" t="str"/>
          <cell r="U1133" t="str"/>
          <cell r="V1133" t="str"/>
          <cell r="W1133" t="str"/>
          <cell r="X1133" t="str"/>
          <cell r="Y1133" t="str"/>
        </row>
        <row r="1133">
          <cell r="AA1133" t="str"/>
          <cell r="AB1133" t="str"/>
          <cell r="AC1133" t="str"/>
          <cell r="AD1133" t="str"/>
          <cell r="AE1133" t="str"/>
          <cell r="AF1133" t="str"/>
        </row>
        <row r="1134">
          <cell r="B1134" t="str"/>
          <cell r="C1134" t="str"/>
          <cell r="D1134" t="str"/>
          <cell r="E1134" t="str"/>
          <cell r="F1134" t="str"/>
          <cell r="G1134" t="str"/>
          <cell r="H1134" t="str"/>
          <cell r="I1134" t="str"/>
          <cell r="J1134" t="str"/>
          <cell r="K1134" t="str"/>
          <cell r="L1134" t="str"/>
          <cell r="M1134" t="str"/>
          <cell r="N1134" t="str"/>
          <cell r="O1134" t="str"/>
          <cell r="P1134" t="str"/>
          <cell r="Q1134" t="str"/>
          <cell r="R1134" t="str"/>
          <cell r="S1134" t="str"/>
          <cell r="T1134" t="str"/>
          <cell r="U1134" t="str"/>
          <cell r="V1134" t="str"/>
          <cell r="W1134" t="str"/>
          <cell r="X1134" t="str"/>
          <cell r="Y1134" t="str"/>
        </row>
        <row r="1134">
          <cell r="AA1134" t="str"/>
          <cell r="AB1134" t="str"/>
          <cell r="AC1134" t="str"/>
          <cell r="AD1134" t="str"/>
          <cell r="AE1134" t="str"/>
          <cell r="AF1134" t="str"/>
        </row>
        <row r="1135">
          <cell r="B1135" t="str"/>
          <cell r="C1135" t="str"/>
          <cell r="D1135" t="str"/>
          <cell r="E1135" t="str"/>
          <cell r="F1135" t="str"/>
          <cell r="G1135" t="str"/>
          <cell r="H1135" t="str"/>
          <cell r="I1135" t="str"/>
          <cell r="J1135" t="str"/>
          <cell r="K1135" t="str"/>
          <cell r="L1135" t="str"/>
          <cell r="M1135" t="str"/>
          <cell r="N1135" t="str"/>
          <cell r="O1135" t="str"/>
          <cell r="P1135" t="str"/>
          <cell r="Q1135" t="str"/>
          <cell r="R1135" t="str"/>
          <cell r="S1135" t="str"/>
          <cell r="T1135" t="str"/>
          <cell r="U1135" t="str"/>
          <cell r="V1135" t="str"/>
          <cell r="W1135" t="str"/>
          <cell r="X1135" t="str"/>
          <cell r="Y1135" t="str"/>
        </row>
        <row r="1135">
          <cell r="AA1135" t="str"/>
          <cell r="AB1135" t="str"/>
          <cell r="AC1135" t="str"/>
          <cell r="AD1135" t="str"/>
          <cell r="AE1135" t="str"/>
          <cell r="AF1135" t="str"/>
        </row>
        <row r="1136">
          <cell r="B1136" t="str"/>
          <cell r="C1136" t="str"/>
          <cell r="D1136" t="str"/>
          <cell r="E1136" t="str"/>
          <cell r="F1136" t="str"/>
          <cell r="G1136" t="str"/>
          <cell r="H1136" t="str"/>
          <cell r="I1136" t="str"/>
          <cell r="J1136" t="str"/>
          <cell r="K1136" t="str"/>
          <cell r="L1136" t="str"/>
          <cell r="M1136" t="str"/>
          <cell r="N1136" t="str"/>
          <cell r="O1136" t="str"/>
          <cell r="P1136" t="str"/>
          <cell r="Q1136" t="str"/>
          <cell r="R1136" t="str"/>
          <cell r="S1136" t="str"/>
          <cell r="T1136" t="str"/>
          <cell r="U1136" t="str"/>
          <cell r="V1136" t="str"/>
          <cell r="W1136" t="str"/>
          <cell r="X1136" t="str"/>
          <cell r="Y1136" t="str"/>
        </row>
        <row r="1136">
          <cell r="AA1136" t="str"/>
          <cell r="AB1136" t="str"/>
          <cell r="AC1136" t="str"/>
          <cell r="AD1136" t="str"/>
          <cell r="AE1136" t="str"/>
          <cell r="AF1136" t="str"/>
        </row>
        <row r="1137">
          <cell r="B1137" t="str"/>
          <cell r="C1137" t="str"/>
          <cell r="D1137" t="str"/>
          <cell r="E1137" t="str"/>
          <cell r="F1137" t="str"/>
          <cell r="G1137" t="str"/>
          <cell r="H1137" t="str"/>
          <cell r="I1137" t="str"/>
          <cell r="J1137" t="str"/>
          <cell r="K1137" t="str"/>
          <cell r="L1137" t="str"/>
          <cell r="M1137" t="str"/>
          <cell r="N1137" t="str"/>
          <cell r="O1137" t="str"/>
          <cell r="P1137" t="str"/>
          <cell r="Q1137" t="str"/>
          <cell r="R1137" t="str"/>
          <cell r="S1137" t="str"/>
          <cell r="T1137" t="str"/>
          <cell r="U1137" t="str"/>
          <cell r="V1137" t="str"/>
          <cell r="W1137" t="str"/>
          <cell r="X1137" t="str"/>
          <cell r="Y1137" t="str"/>
        </row>
        <row r="1137">
          <cell r="AA1137" t="str"/>
          <cell r="AB1137" t="str"/>
          <cell r="AC1137" t="str"/>
          <cell r="AD1137" t="str"/>
          <cell r="AE1137" t="str"/>
          <cell r="AF1137" t="str"/>
        </row>
        <row r="1138">
          <cell r="B1138" t="str"/>
          <cell r="C1138" t="str"/>
          <cell r="D1138" t="str"/>
          <cell r="E1138" t="str"/>
          <cell r="F1138" t="str"/>
          <cell r="G1138" t="str"/>
          <cell r="H1138" t="str"/>
          <cell r="I1138" t="str"/>
          <cell r="J1138" t="str"/>
          <cell r="K1138" t="str"/>
          <cell r="L1138" t="str"/>
          <cell r="M1138" t="str"/>
          <cell r="N1138" t="str"/>
          <cell r="O1138" t="str"/>
          <cell r="P1138" t="str"/>
          <cell r="Q1138" t="str"/>
          <cell r="R1138" t="str"/>
          <cell r="S1138" t="str"/>
          <cell r="T1138" t="str"/>
          <cell r="U1138" t="str"/>
          <cell r="V1138" t="str"/>
          <cell r="W1138" t="str"/>
          <cell r="X1138" t="str"/>
          <cell r="Y1138" t="str"/>
        </row>
        <row r="1138">
          <cell r="AA1138" t="str"/>
          <cell r="AB1138" t="str"/>
          <cell r="AC1138" t="str"/>
          <cell r="AD1138" t="str"/>
          <cell r="AE1138" t="str"/>
          <cell r="AF1138" t="str"/>
        </row>
        <row r="1139">
          <cell r="B1139" t="str"/>
          <cell r="C1139" t="str"/>
          <cell r="D1139" t="str"/>
          <cell r="E1139" t="str"/>
          <cell r="F1139" t="str"/>
          <cell r="G1139" t="str"/>
          <cell r="H1139" t="str"/>
          <cell r="I1139" t="str"/>
          <cell r="J1139" t="str"/>
          <cell r="K1139" t="str"/>
          <cell r="L1139" t="str"/>
          <cell r="M1139" t="str"/>
          <cell r="N1139" t="str"/>
          <cell r="O1139" t="str"/>
          <cell r="P1139" t="str"/>
          <cell r="Q1139" t="str"/>
          <cell r="R1139" t="str"/>
          <cell r="S1139" t="str"/>
          <cell r="T1139" t="str"/>
          <cell r="U1139" t="str"/>
          <cell r="V1139" t="str"/>
          <cell r="W1139" t="str"/>
          <cell r="X1139" t="str"/>
          <cell r="Y1139" t="str"/>
        </row>
        <row r="1139">
          <cell r="AA1139" t="str"/>
          <cell r="AB1139" t="str"/>
          <cell r="AC1139" t="str"/>
          <cell r="AD1139" t="str"/>
          <cell r="AE1139" t="str"/>
          <cell r="AF1139" t="str"/>
        </row>
        <row r="1140">
          <cell r="B1140" t="str"/>
          <cell r="C1140" t="str"/>
          <cell r="D1140" t="str"/>
          <cell r="E1140" t="str"/>
          <cell r="F1140" t="str"/>
          <cell r="G1140" t="str"/>
          <cell r="H1140" t="str"/>
          <cell r="I1140" t="str"/>
          <cell r="J1140" t="str"/>
          <cell r="K1140" t="str"/>
          <cell r="L1140" t="str"/>
          <cell r="M1140" t="str"/>
          <cell r="N1140" t="str"/>
          <cell r="O1140" t="str"/>
          <cell r="P1140" t="str"/>
          <cell r="Q1140" t="str"/>
          <cell r="R1140" t="str"/>
          <cell r="S1140" t="str"/>
          <cell r="T1140" t="str"/>
          <cell r="U1140" t="str"/>
          <cell r="V1140" t="str"/>
          <cell r="W1140" t="str"/>
          <cell r="X1140" t="str"/>
          <cell r="Y1140" t="str"/>
        </row>
        <row r="1140">
          <cell r="AA1140" t="str"/>
          <cell r="AB1140" t="str"/>
          <cell r="AC1140" t="str"/>
          <cell r="AD1140" t="str"/>
          <cell r="AE1140" t="str"/>
          <cell r="AF1140" t="str"/>
        </row>
        <row r="1141">
          <cell r="B1141" t="str"/>
          <cell r="C1141" t="str"/>
          <cell r="D1141" t="str"/>
          <cell r="E1141" t="str"/>
          <cell r="F1141" t="str"/>
          <cell r="G1141" t="str"/>
          <cell r="H1141" t="str"/>
          <cell r="I1141" t="str"/>
          <cell r="J1141" t="str"/>
          <cell r="K1141" t="str"/>
          <cell r="L1141" t="str"/>
          <cell r="M1141" t="str"/>
          <cell r="N1141" t="str"/>
          <cell r="O1141" t="str"/>
          <cell r="P1141" t="str"/>
          <cell r="Q1141" t="str"/>
          <cell r="R1141" t="str"/>
          <cell r="S1141" t="str"/>
          <cell r="T1141" t="str"/>
          <cell r="U1141" t="str"/>
          <cell r="V1141" t="str"/>
          <cell r="W1141" t="str"/>
          <cell r="X1141" t="str"/>
          <cell r="Y1141" t="str"/>
        </row>
        <row r="1141">
          <cell r="AA1141" t="str"/>
          <cell r="AB1141" t="str"/>
          <cell r="AC1141" t="str"/>
          <cell r="AD1141" t="str"/>
          <cell r="AE1141" t="str"/>
          <cell r="AF1141" t="str"/>
        </row>
        <row r="1142">
          <cell r="B1142" t="str"/>
          <cell r="C1142" t="str"/>
          <cell r="D1142" t="str"/>
          <cell r="E1142" t="str"/>
          <cell r="F1142" t="str"/>
          <cell r="G1142" t="str"/>
          <cell r="H1142" t="str"/>
          <cell r="I1142" t="str"/>
          <cell r="J1142" t="str"/>
          <cell r="K1142" t="str"/>
          <cell r="L1142" t="str"/>
          <cell r="M1142" t="str"/>
          <cell r="N1142" t="str"/>
          <cell r="O1142" t="str"/>
          <cell r="P1142" t="str"/>
          <cell r="Q1142" t="str"/>
          <cell r="R1142" t="str"/>
          <cell r="S1142" t="str"/>
          <cell r="T1142" t="str"/>
          <cell r="U1142" t="str"/>
          <cell r="V1142" t="str"/>
          <cell r="W1142" t="str"/>
          <cell r="X1142" t="str"/>
          <cell r="Y1142" t="str"/>
        </row>
        <row r="1142">
          <cell r="AA1142" t="str"/>
          <cell r="AB1142" t="str"/>
          <cell r="AC1142" t="str"/>
          <cell r="AD1142" t="str"/>
          <cell r="AE1142" t="str"/>
          <cell r="AF1142" t="str"/>
        </row>
        <row r="1143">
          <cell r="B1143" t="str"/>
          <cell r="C1143" t="str"/>
          <cell r="D1143" t="str"/>
          <cell r="E1143" t="str"/>
          <cell r="F1143" t="str"/>
          <cell r="G1143" t="str"/>
          <cell r="H1143" t="str"/>
          <cell r="I1143" t="str"/>
          <cell r="J1143" t="str"/>
          <cell r="K1143" t="str"/>
          <cell r="L1143" t="str"/>
          <cell r="M1143" t="str"/>
          <cell r="N1143" t="str"/>
          <cell r="O1143" t="str"/>
          <cell r="P1143" t="str"/>
          <cell r="Q1143" t="str"/>
          <cell r="R1143" t="str"/>
          <cell r="S1143" t="str"/>
          <cell r="T1143" t="str"/>
          <cell r="U1143" t="str"/>
          <cell r="V1143" t="str"/>
          <cell r="W1143" t="str"/>
          <cell r="X1143" t="str"/>
          <cell r="Y1143" t="str"/>
        </row>
        <row r="1143">
          <cell r="AA1143" t="str"/>
          <cell r="AB1143" t="str"/>
          <cell r="AC1143" t="str"/>
          <cell r="AD1143" t="str"/>
          <cell r="AE1143" t="str"/>
          <cell r="AF1143" t="str"/>
        </row>
        <row r="1144">
          <cell r="B1144" t="str"/>
          <cell r="C1144" t="str"/>
          <cell r="D1144" t="str"/>
          <cell r="E1144" t="str"/>
          <cell r="F1144" t="str"/>
          <cell r="G1144" t="str"/>
          <cell r="H1144" t="str"/>
          <cell r="I1144" t="str"/>
          <cell r="J1144" t="str"/>
          <cell r="K1144" t="str"/>
          <cell r="L1144" t="str"/>
          <cell r="M1144" t="str"/>
          <cell r="N1144" t="str"/>
          <cell r="O1144" t="str"/>
          <cell r="P1144" t="str"/>
          <cell r="Q1144" t="str"/>
          <cell r="R1144" t="str"/>
          <cell r="S1144" t="str"/>
          <cell r="T1144" t="str"/>
          <cell r="U1144" t="str"/>
          <cell r="V1144" t="str"/>
          <cell r="W1144" t="str"/>
          <cell r="X1144" t="str"/>
          <cell r="Y1144" t="str"/>
        </row>
        <row r="1144">
          <cell r="AA1144" t="str"/>
          <cell r="AB1144" t="str"/>
          <cell r="AC1144" t="str"/>
          <cell r="AD1144" t="str"/>
          <cell r="AE1144" t="str"/>
          <cell r="AF1144" t="str"/>
        </row>
        <row r="1145">
          <cell r="B1145" t="str"/>
          <cell r="C1145" t="str"/>
          <cell r="D1145" t="str"/>
          <cell r="E1145" t="str"/>
          <cell r="F1145" t="str"/>
          <cell r="G1145" t="str"/>
          <cell r="H1145" t="str"/>
          <cell r="I1145" t="str"/>
          <cell r="J1145" t="str"/>
          <cell r="K1145" t="str"/>
          <cell r="L1145" t="str"/>
          <cell r="M1145" t="str"/>
          <cell r="N1145" t="str"/>
          <cell r="O1145" t="str"/>
          <cell r="P1145" t="str"/>
          <cell r="Q1145" t="str"/>
          <cell r="R1145" t="str"/>
          <cell r="S1145" t="str"/>
          <cell r="T1145" t="str"/>
          <cell r="U1145" t="str"/>
          <cell r="V1145" t="str"/>
          <cell r="W1145" t="str"/>
          <cell r="X1145" t="str"/>
          <cell r="Y1145" t="str"/>
        </row>
        <row r="1145">
          <cell r="AA1145" t="str"/>
          <cell r="AB1145" t="str"/>
          <cell r="AC1145" t="str"/>
          <cell r="AD1145" t="str"/>
          <cell r="AE1145" t="str"/>
          <cell r="AF1145" t="str"/>
        </row>
        <row r="1146">
          <cell r="B1146" t="str"/>
          <cell r="C1146" t="str"/>
          <cell r="D1146" t="str"/>
          <cell r="E1146" t="str"/>
          <cell r="F1146" t="str"/>
          <cell r="G1146" t="str"/>
          <cell r="H1146" t="str"/>
          <cell r="I1146" t="str"/>
          <cell r="J1146" t="str"/>
          <cell r="K1146" t="str"/>
          <cell r="L1146" t="str"/>
          <cell r="M1146" t="str"/>
          <cell r="N1146" t="str"/>
          <cell r="O1146" t="str"/>
          <cell r="P1146" t="str"/>
          <cell r="Q1146" t="str"/>
          <cell r="R1146" t="str"/>
          <cell r="S1146" t="str"/>
          <cell r="T1146" t="str"/>
          <cell r="U1146" t="str"/>
          <cell r="V1146" t="str"/>
          <cell r="W1146" t="str"/>
          <cell r="X1146" t="str"/>
          <cell r="Y1146" t="str"/>
        </row>
        <row r="1146">
          <cell r="AA1146" t="str"/>
          <cell r="AB1146" t="str"/>
          <cell r="AC1146" t="str"/>
          <cell r="AD1146" t="str"/>
          <cell r="AE1146" t="str"/>
          <cell r="AF1146" t="str"/>
        </row>
        <row r="1147">
          <cell r="B1147" t="str"/>
          <cell r="C1147" t="str"/>
          <cell r="D1147" t="str"/>
          <cell r="E1147" t="str"/>
          <cell r="F1147" t="str"/>
          <cell r="G1147" t="str"/>
          <cell r="H1147" t="str"/>
          <cell r="I1147" t="str"/>
          <cell r="J1147" t="str"/>
          <cell r="K1147" t="str"/>
          <cell r="L1147" t="str"/>
          <cell r="M1147" t="str"/>
          <cell r="N1147" t="str"/>
          <cell r="O1147" t="str"/>
          <cell r="P1147" t="str"/>
          <cell r="Q1147" t="str"/>
          <cell r="R1147" t="str"/>
          <cell r="S1147" t="str"/>
          <cell r="T1147" t="str"/>
          <cell r="U1147" t="str"/>
          <cell r="V1147" t="str"/>
          <cell r="W1147" t="str"/>
          <cell r="X1147" t="str"/>
          <cell r="Y1147" t="str"/>
        </row>
        <row r="1147">
          <cell r="AA1147" t="str"/>
          <cell r="AB1147" t="str"/>
          <cell r="AC1147" t="str"/>
          <cell r="AD1147" t="str"/>
          <cell r="AE1147" t="str"/>
          <cell r="AF1147" t="str"/>
        </row>
        <row r="1148">
          <cell r="B1148" t="str"/>
          <cell r="C1148" t="str"/>
          <cell r="D1148" t="str"/>
          <cell r="E1148" t="str"/>
          <cell r="F1148" t="str"/>
          <cell r="G1148" t="str"/>
          <cell r="H1148" t="str"/>
          <cell r="I1148" t="str"/>
          <cell r="J1148" t="str"/>
          <cell r="K1148" t="str"/>
          <cell r="L1148" t="str"/>
          <cell r="M1148" t="str"/>
          <cell r="N1148" t="str"/>
          <cell r="O1148" t="str"/>
          <cell r="P1148" t="str"/>
          <cell r="Q1148" t="str"/>
          <cell r="R1148" t="str"/>
          <cell r="S1148" t="str"/>
          <cell r="T1148" t="str"/>
          <cell r="U1148" t="str"/>
          <cell r="V1148" t="str"/>
          <cell r="W1148" t="str"/>
          <cell r="X1148" t="str"/>
          <cell r="Y1148" t="str"/>
        </row>
        <row r="1148">
          <cell r="AA1148" t="str"/>
          <cell r="AB1148" t="str"/>
          <cell r="AC1148" t="str"/>
          <cell r="AD1148" t="str"/>
          <cell r="AE1148" t="str"/>
          <cell r="AF1148" t="str"/>
        </row>
        <row r="1149">
          <cell r="B1149" t="str"/>
          <cell r="C1149" t="str"/>
          <cell r="D1149" t="str"/>
          <cell r="E1149" t="str"/>
          <cell r="F1149" t="str"/>
          <cell r="G1149" t="str"/>
          <cell r="H1149" t="str"/>
          <cell r="I1149" t="str"/>
          <cell r="J1149" t="str"/>
          <cell r="K1149" t="str"/>
          <cell r="L1149" t="str"/>
          <cell r="M1149" t="str"/>
          <cell r="N1149" t="str"/>
          <cell r="O1149" t="str"/>
          <cell r="P1149" t="str"/>
          <cell r="Q1149" t="str"/>
          <cell r="R1149" t="str"/>
          <cell r="S1149" t="str"/>
          <cell r="T1149" t="str"/>
          <cell r="U1149" t="str"/>
          <cell r="V1149" t="str"/>
          <cell r="W1149" t="str"/>
          <cell r="X1149" t="str"/>
          <cell r="Y1149" t="str"/>
        </row>
        <row r="1149">
          <cell r="AA1149" t="str"/>
          <cell r="AB1149" t="str"/>
          <cell r="AC1149" t="str"/>
          <cell r="AD1149" t="str"/>
          <cell r="AE1149" t="str"/>
          <cell r="AF1149" t="str"/>
        </row>
        <row r="1150">
          <cell r="B1150" t="str"/>
          <cell r="C1150" t="str"/>
          <cell r="D1150" t="str"/>
          <cell r="E1150" t="str"/>
          <cell r="F1150" t="str"/>
          <cell r="G1150" t="str"/>
          <cell r="H1150" t="str"/>
          <cell r="I1150" t="str"/>
          <cell r="J1150" t="str"/>
          <cell r="K1150" t="str"/>
          <cell r="L1150" t="str"/>
          <cell r="M1150" t="str"/>
          <cell r="N1150" t="str"/>
          <cell r="O1150" t="str"/>
          <cell r="P1150" t="str"/>
          <cell r="Q1150" t="str"/>
          <cell r="R1150" t="str"/>
          <cell r="S1150" t="str"/>
          <cell r="T1150" t="str"/>
          <cell r="U1150" t="str"/>
          <cell r="V1150" t="str"/>
          <cell r="W1150" t="str"/>
          <cell r="X1150" t="str"/>
          <cell r="Y1150" t="str"/>
        </row>
        <row r="1150">
          <cell r="AA1150" t="str"/>
          <cell r="AB1150" t="str"/>
          <cell r="AC1150" t="str"/>
          <cell r="AD1150" t="str"/>
          <cell r="AE1150" t="str"/>
          <cell r="AF1150" t="str"/>
        </row>
        <row r="1151">
          <cell r="B1151" t="str"/>
          <cell r="C1151" t="str"/>
          <cell r="D1151" t="str"/>
          <cell r="E1151" t="str"/>
          <cell r="F1151" t="str"/>
          <cell r="G1151" t="str"/>
          <cell r="H1151" t="str"/>
          <cell r="I1151" t="str"/>
          <cell r="J1151" t="str"/>
          <cell r="K1151" t="str"/>
          <cell r="L1151" t="str"/>
          <cell r="M1151" t="str"/>
          <cell r="N1151" t="str"/>
          <cell r="O1151" t="str"/>
          <cell r="P1151" t="str"/>
          <cell r="Q1151" t="str"/>
          <cell r="R1151" t="str"/>
          <cell r="S1151" t="str"/>
          <cell r="T1151" t="str"/>
          <cell r="U1151" t="str"/>
          <cell r="V1151" t="str"/>
          <cell r="W1151" t="str"/>
          <cell r="X1151" t="str"/>
          <cell r="Y1151" t="str"/>
        </row>
        <row r="1151">
          <cell r="AA1151" t="str"/>
          <cell r="AB1151" t="str"/>
          <cell r="AC1151" t="str"/>
          <cell r="AD1151" t="str"/>
          <cell r="AE1151" t="str"/>
          <cell r="AF1151" t="str"/>
        </row>
        <row r="1152">
          <cell r="B1152" t="str"/>
          <cell r="C1152" t="str"/>
          <cell r="D1152" t="str"/>
          <cell r="E1152" t="str"/>
          <cell r="F1152" t="str"/>
          <cell r="G1152" t="str"/>
          <cell r="H1152" t="str"/>
          <cell r="I1152" t="str"/>
          <cell r="J1152" t="str"/>
          <cell r="K1152" t="str"/>
          <cell r="L1152" t="str"/>
          <cell r="M1152" t="str"/>
          <cell r="N1152" t="str"/>
          <cell r="O1152" t="str"/>
          <cell r="P1152" t="str"/>
          <cell r="Q1152" t="str"/>
          <cell r="R1152" t="str"/>
          <cell r="S1152" t="str"/>
          <cell r="T1152" t="str"/>
          <cell r="U1152" t="str"/>
          <cell r="V1152" t="str"/>
          <cell r="W1152" t="str"/>
          <cell r="X1152" t="str"/>
          <cell r="Y1152" t="str"/>
        </row>
        <row r="1152">
          <cell r="AA1152" t="str"/>
          <cell r="AB1152" t="str"/>
          <cell r="AC1152" t="str"/>
          <cell r="AD1152" t="str"/>
          <cell r="AE1152" t="str"/>
          <cell r="AF1152" t="str"/>
        </row>
        <row r="1153">
          <cell r="B1153" t="str"/>
          <cell r="C1153" t="str"/>
          <cell r="D1153" t="str"/>
          <cell r="E1153" t="str"/>
          <cell r="F1153" t="str"/>
          <cell r="G1153" t="str"/>
          <cell r="H1153" t="str"/>
          <cell r="I1153" t="str"/>
          <cell r="J1153" t="str"/>
          <cell r="K1153" t="str"/>
          <cell r="L1153" t="str"/>
          <cell r="M1153" t="str"/>
          <cell r="N1153" t="str"/>
          <cell r="O1153" t="str"/>
          <cell r="P1153" t="str"/>
          <cell r="Q1153" t="str"/>
          <cell r="R1153" t="str"/>
          <cell r="S1153" t="str"/>
          <cell r="T1153" t="str"/>
          <cell r="U1153" t="str"/>
          <cell r="V1153" t="str"/>
          <cell r="W1153" t="str"/>
          <cell r="X1153" t="str"/>
          <cell r="Y1153" t="str"/>
        </row>
        <row r="1153">
          <cell r="AA1153" t="str"/>
          <cell r="AB1153" t="str"/>
          <cell r="AC1153" t="str"/>
          <cell r="AD1153" t="str"/>
          <cell r="AE1153" t="str"/>
          <cell r="AF1153" t="str"/>
        </row>
        <row r="1154">
          <cell r="B1154" t="str"/>
          <cell r="C1154" t="str"/>
          <cell r="D1154" t="str"/>
          <cell r="E1154" t="str"/>
          <cell r="F1154" t="str"/>
          <cell r="G1154" t="str"/>
          <cell r="H1154" t="str"/>
          <cell r="I1154" t="str"/>
          <cell r="J1154" t="str"/>
          <cell r="K1154" t="str"/>
          <cell r="L1154" t="str"/>
          <cell r="M1154" t="str"/>
          <cell r="N1154" t="str"/>
          <cell r="O1154" t="str"/>
          <cell r="P1154" t="str"/>
          <cell r="Q1154" t="str"/>
          <cell r="R1154" t="str"/>
          <cell r="S1154" t="str"/>
          <cell r="T1154" t="str"/>
          <cell r="U1154" t="str"/>
          <cell r="V1154" t="str"/>
          <cell r="W1154" t="str"/>
          <cell r="X1154" t="str"/>
          <cell r="Y1154" t="str"/>
        </row>
        <row r="1154">
          <cell r="AA1154" t="str"/>
          <cell r="AB1154" t="str"/>
          <cell r="AC1154" t="str"/>
          <cell r="AD1154" t="str"/>
          <cell r="AE1154" t="str"/>
          <cell r="AF1154" t="str"/>
        </row>
        <row r="1155">
          <cell r="B1155" t="str"/>
          <cell r="C1155" t="str"/>
          <cell r="D1155" t="str"/>
          <cell r="E1155" t="str"/>
          <cell r="F1155" t="str"/>
          <cell r="G1155" t="str"/>
          <cell r="H1155" t="str"/>
          <cell r="I1155" t="str"/>
          <cell r="J1155" t="str"/>
          <cell r="K1155" t="str"/>
          <cell r="L1155" t="str"/>
          <cell r="M1155" t="str"/>
          <cell r="N1155" t="str"/>
          <cell r="O1155" t="str"/>
          <cell r="P1155" t="str"/>
          <cell r="Q1155" t="str"/>
          <cell r="R1155" t="str"/>
          <cell r="S1155" t="str"/>
          <cell r="T1155" t="str"/>
          <cell r="U1155" t="str"/>
          <cell r="V1155" t="str"/>
          <cell r="W1155" t="str"/>
          <cell r="X1155" t="str"/>
          <cell r="Y1155" t="str"/>
        </row>
        <row r="1155">
          <cell r="AA1155" t="str"/>
          <cell r="AB1155" t="str"/>
          <cell r="AC1155" t="str"/>
          <cell r="AD1155" t="str"/>
          <cell r="AE1155" t="str"/>
          <cell r="AF1155" t="str"/>
        </row>
        <row r="1156">
          <cell r="B1156" t="str"/>
          <cell r="C1156" t="str"/>
          <cell r="D1156" t="str"/>
          <cell r="E1156" t="str"/>
          <cell r="F1156" t="str"/>
          <cell r="G1156" t="str"/>
          <cell r="H1156" t="str"/>
          <cell r="I1156" t="str"/>
          <cell r="J1156" t="str"/>
          <cell r="K1156" t="str"/>
          <cell r="L1156" t="str"/>
          <cell r="M1156" t="str"/>
          <cell r="N1156" t="str"/>
          <cell r="O1156" t="str"/>
          <cell r="P1156" t="str"/>
          <cell r="Q1156" t="str"/>
          <cell r="R1156" t="str"/>
          <cell r="S1156" t="str"/>
          <cell r="T1156" t="str"/>
          <cell r="U1156" t="str"/>
          <cell r="V1156" t="str"/>
          <cell r="W1156" t="str"/>
          <cell r="X1156" t="str"/>
          <cell r="Y1156" t="str"/>
        </row>
        <row r="1156">
          <cell r="AA1156" t="str"/>
          <cell r="AB1156" t="str"/>
          <cell r="AC1156" t="str"/>
          <cell r="AD1156" t="str"/>
          <cell r="AE1156" t="str"/>
          <cell r="AF1156" t="str"/>
        </row>
        <row r="1157">
          <cell r="B1157" t="str"/>
          <cell r="C1157" t="str"/>
          <cell r="D1157" t="str"/>
          <cell r="E1157" t="str"/>
          <cell r="F1157" t="str"/>
          <cell r="G1157" t="str"/>
          <cell r="H1157" t="str"/>
          <cell r="I1157" t="str"/>
          <cell r="J1157" t="str"/>
          <cell r="K1157" t="str"/>
          <cell r="L1157" t="str"/>
          <cell r="M1157" t="str"/>
          <cell r="N1157" t="str"/>
          <cell r="O1157" t="str"/>
          <cell r="P1157" t="str"/>
          <cell r="Q1157" t="str"/>
          <cell r="R1157" t="str"/>
          <cell r="S1157" t="str"/>
          <cell r="T1157" t="str"/>
          <cell r="U1157" t="str"/>
          <cell r="V1157" t="str"/>
          <cell r="W1157" t="str"/>
          <cell r="X1157" t="str"/>
          <cell r="Y1157" t="str"/>
        </row>
        <row r="1157">
          <cell r="AA1157" t="str"/>
          <cell r="AB1157" t="str"/>
          <cell r="AC1157" t="str"/>
          <cell r="AD1157" t="str"/>
          <cell r="AE1157" t="str"/>
          <cell r="AF1157" t="str"/>
        </row>
        <row r="1158">
          <cell r="B1158" t="str"/>
          <cell r="C1158" t="str"/>
          <cell r="D1158" t="str"/>
          <cell r="E1158" t="str"/>
          <cell r="F1158" t="str"/>
          <cell r="G1158" t="str"/>
          <cell r="H1158" t="str"/>
          <cell r="I1158" t="str"/>
          <cell r="J1158" t="str"/>
          <cell r="K1158" t="str"/>
          <cell r="L1158" t="str"/>
          <cell r="M1158" t="str"/>
          <cell r="N1158" t="str"/>
          <cell r="O1158" t="str"/>
          <cell r="P1158" t="str"/>
          <cell r="Q1158" t="str"/>
          <cell r="R1158" t="str"/>
          <cell r="S1158" t="str"/>
          <cell r="T1158" t="str"/>
          <cell r="U1158" t="str"/>
          <cell r="V1158" t="str"/>
          <cell r="W1158" t="str"/>
          <cell r="X1158" t="str"/>
          <cell r="Y1158" t="str"/>
        </row>
        <row r="1158">
          <cell r="AA1158" t="str"/>
          <cell r="AB1158" t="str"/>
          <cell r="AC1158" t="str"/>
          <cell r="AD1158" t="str"/>
          <cell r="AE1158" t="str"/>
          <cell r="AF1158" t="str"/>
        </row>
        <row r="1159">
          <cell r="B1159" t="str"/>
          <cell r="C1159" t="str"/>
          <cell r="D1159" t="str"/>
          <cell r="E1159" t="str"/>
          <cell r="F1159" t="str"/>
          <cell r="G1159" t="str"/>
          <cell r="H1159" t="str"/>
          <cell r="I1159" t="str"/>
          <cell r="J1159" t="str"/>
          <cell r="K1159" t="str"/>
          <cell r="L1159" t="str"/>
          <cell r="M1159" t="str"/>
          <cell r="N1159" t="str"/>
          <cell r="O1159" t="str"/>
          <cell r="P1159" t="str"/>
          <cell r="Q1159" t="str"/>
          <cell r="R1159" t="str"/>
          <cell r="S1159" t="str"/>
          <cell r="T1159" t="str"/>
          <cell r="U1159" t="str"/>
          <cell r="V1159" t="str"/>
          <cell r="W1159" t="str"/>
          <cell r="X1159" t="str"/>
          <cell r="Y1159" t="str"/>
        </row>
        <row r="1159">
          <cell r="AA1159" t="str"/>
          <cell r="AB1159" t="str"/>
          <cell r="AC1159" t="str"/>
          <cell r="AD1159" t="str"/>
          <cell r="AE1159" t="str"/>
          <cell r="AF1159" t="str"/>
        </row>
        <row r="1160">
          <cell r="B1160" t="str"/>
          <cell r="C1160" t="str"/>
          <cell r="D1160" t="str"/>
          <cell r="E1160" t="str"/>
          <cell r="F1160" t="str"/>
          <cell r="G1160" t="str"/>
          <cell r="H1160" t="str"/>
          <cell r="I1160" t="str"/>
          <cell r="J1160" t="str"/>
          <cell r="K1160" t="str"/>
          <cell r="L1160" t="str"/>
          <cell r="M1160" t="str"/>
          <cell r="N1160" t="str"/>
          <cell r="O1160" t="str"/>
          <cell r="P1160" t="str"/>
          <cell r="Q1160" t="str"/>
          <cell r="R1160" t="str"/>
          <cell r="S1160" t="str"/>
          <cell r="T1160" t="str"/>
          <cell r="U1160" t="str"/>
          <cell r="V1160" t="str"/>
          <cell r="W1160" t="str"/>
          <cell r="X1160" t="str"/>
          <cell r="Y1160" t="str"/>
        </row>
        <row r="1160">
          <cell r="AA1160" t="str"/>
          <cell r="AB1160" t="str"/>
          <cell r="AC1160" t="str"/>
          <cell r="AD1160" t="str"/>
          <cell r="AE1160" t="str"/>
          <cell r="AF1160" t="str"/>
        </row>
        <row r="1161">
          <cell r="B1161" t="str"/>
          <cell r="C1161" t="str"/>
          <cell r="D1161" t="str"/>
          <cell r="E1161" t="str"/>
          <cell r="F1161" t="str"/>
          <cell r="G1161" t="str"/>
          <cell r="H1161" t="str"/>
          <cell r="I1161" t="str"/>
          <cell r="J1161" t="str"/>
          <cell r="K1161" t="str"/>
          <cell r="L1161" t="str"/>
          <cell r="M1161" t="str"/>
          <cell r="N1161" t="str"/>
          <cell r="O1161" t="str"/>
          <cell r="P1161" t="str"/>
          <cell r="Q1161" t="str"/>
          <cell r="R1161" t="str"/>
          <cell r="S1161" t="str"/>
          <cell r="T1161" t="str"/>
          <cell r="U1161" t="str"/>
          <cell r="V1161" t="str"/>
          <cell r="W1161" t="str"/>
          <cell r="X1161" t="str"/>
          <cell r="Y1161" t="str"/>
        </row>
        <row r="1161">
          <cell r="AA1161" t="str"/>
          <cell r="AB1161" t="str"/>
          <cell r="AC1161" t="str"/>
          <cell r="AD1161" t="str"/>
          <cell r="AE1161" t="str"/>
          <cell r="AF1161" t="str"/>
        </row>
        <row r="1162">
          <cell r="B1162" t="str"/>
          <cell r="C1162" t="str"/>
          <cell r="D1162" t="str"/>
          <cell r="E1162" t="str"/>
          <cell r="F1162" t="str"/>
          <cell r="G1162" t="str"/>
          <cell r="H1162" t="str"/>
          <cell r="I1162" t="str"/>
          <cell r="J1162" t="str"/>
          <cell r="K1162" t="str"/>
          <cell r="L1162" t="str"/>
          <cell r="M1162" t="str"/>
          <cell r="N1162" t="str"/>
          <cell r="O1162" t="str"/>
          <cell r="P1162" t="str"/>
          <cell r="Q1162" t="str"/>
          <cell r="R1162" t="str"/>
          <cell r="S1162" t="str"/>
          <cell r="T1162" t="str"/>
          <cell r="U1162" t="str"/>
          <cell r="V1162" t="str"/>
          <cell r="W1162" t="str"/>
          <cell r="X1162" t="str"/>
          <cell r="Y1162" t="str"/>
        </row>
        <row r="1162">
          <cell r="AA1162" t="str"/>
          <cell r="AB1162" t="str"/>
          <cell r="AC1162" t="str"/>
          <cell r="AD1162" t="str"/>
          <cell r="AE1162" t="str"/>
          <cell r="AF1162" t="str"/>
        </row>
        <row r="1163">
          <cell r="B1163" t="str"/>
          <cell r="C1163" t="str"/>
          <cell r="D1163" t="str"/>
          <cell r="E1163" t="str"/>
          <cell r="F1163" t="str"/>
          <cell r="G1163" t="str"/>
          <cell r="H1163" t="str"/>
          <cell r="I1163" t="str"/>
          <cell r="J1163" t="str"/>
          <cell r="K1163" t="str"/>
          <cell r="L1163" t="str"/>
          <cell r="M1163" t="str"/>
          <cell r="N1163" t="str"/>
          <cell r="O1163" t="str"/>
          <cell r="P1163" t="str"/>
          <cell r="Q1163" t="str"/>
          <cell r="R1163" t="str"/>
          <cell r="S1163" t="str"/>
          <cell r="T1163" t="str"/>
          <cell r="U1163" t="str"/>
          <cell r="V1163" t="str"/>
          <cell r="W1163" t="str"/>
          <cell r="X1163" t="str"/>
          <cell r="Y1163" t="str"/>
        </row>
        <row r="1163">
          <cell r="AA1163" t="str"/>
          <cell r="AB1163" t="str"/>
          <cell r="AC1163" t="str"/>
          <cell r="AD1163" t="str"/>
          <cell r="AE1163" t="str"/>
          <cell r="AF1163" t="str"/>
        </row>
        <row r="1164">
          <cell r="B1164" t="str"/>
          <cell r="C1164" t="str"/>
          <cell r="D1164" t="str"/>
          <cell r="E1164" t="str"/>
          <cell r="F1164" t="str"/>
          <cell r="G1164" t="str"/>
          <cell r="H1164" t="str"/>
          <cell r="I1164" t="str"/>
          <cell r="J1164" t="str"/>
          <cell r="K1164" t="str"/>
          <cell r="L1164" t="str"/>
          <cell r="M1164" t="str"/>
          <cell r="N1164" t="str"/>
          <cell r="O1164" t="str"/>
          <cell r="P1164" t="str"/>
          <cell r="Q1164" t="str"/>
          <cell r="R1164" t="str"/>
          <cell r="S1164" t="str"/>
          <cell r="T1164" t="str"/>
          <cell r="U1164" t="str"/>
          <cell r="V1164" t="str"/>
          <cell r="W1164" t="str"/>
          <cell r="X1164" t="str"/>
          <cell r="Y1164" t="str"/>
        </row>
        <row r="1164">
          <cell r="AA1164" t="str"/>
          <cell r="AB1164" t="str"/>
          <cell r="AC1164" t="str"/>
          <cell r="AD1164" t="str"/>
          <cell r="AE1164" t="str"/>
          <cell r="AF1164" t="str"/>
        </row>
        <row r="1165">
          <cell r="B1165" t="str"/>
          <cell r="C1165" t="str"/>
          <cell r="D1165" t="str"/>
          <cell r="E1165" t="str"/>
          <cell r="F1165" t="str"/>
          <cell r="G1165" t="str"/>
          <cell r="H1165" t="str"/>
          <cell r="I1165" t="str"/>
          <cell r="J1165" t="str"/>
          <cell r="K1165" t="str"/>
          <cell r="L1165" t="str"/>
          <cell r="M1165" t="str"/>
          <cell r="N1165" t="str"/>
          <cell r="O1165" t="str"/>
          <cell r="P1165" t="str"/>
          <cell r="Q1165" t="str"/>
          <cell r="R1165" t="str"/>
          <cell r="S1165" t="str"/>
          <cell r="T1165" t="str"/>
          <cell r="U1165" t="str"/>
          <cell r="V1165" t="str"/>
          <cell r="W1165" t="str"/>
          <cell r="X1165" t="str"/>
          <cell r="Y1165" t="str"/>
        </row>
        <row r="1165">
          <cell r="AA1165" t="str"/>
          <cell r="AB1165" t="str"/>
          <cell r="AC1165" t="str"/>
          <cell r="AD1165" t="str"/>
          <cell r="AE1165" t="str"/>
          <cell r="AF1165" t="str"/>
        </row>
        <row r="1166">
          <cell r="B1166" t="str"/>
          <cell r="C1166" t="str"/>
          <cell r="D1166" t="str"/>
          <cell r="E1166" t="str"/>
          <cell r="F1166" t="str"/>
          <cell r="G1166" t="str"/>
          <cell r="H1166" t="str"/>
          <cell r="I1166" t="str"/>
          <cell r="J1166" t="str"/>
          <cell r="K1166" t="str"/>
          <cell r="L1166" t="str"/>
          <cell r="M1166" t="str"/>
          <cell r="N1166" t="str"/>
          <cell r="O1166" t="str"/>
          <cell r="P1166" t="str"/>
          <cell r="Q1166" t="str"/>
          <cell r="R1166" t="str"/>
          <cell r="S1166" t="str"/>
          <cell r="T1166" t="str"/>
          <cell r="U1166" t="str"/>
          <cell r="V1166" t="str"/>
          <cell r="W1166" t="str"/>
          <cell r="X1166" t="str"/>
          <cell r="Y1166" t="str"/>
        </row>
        <row r="1166">
          <cell r="AA1166" t="str"/>
          <cell r="AB1166" t="str"/>
          <cell r="AC1166" t="str"/>
          <cell r="AD1166" t="str"/>
          <cell r="AE1166" t="str"/>
          <cell r="AF1166" t="str"/>
        </row>
        <row r="1167">
          <cell r="B1167" t="str"/>
          <cell r="C1167" t="str"/>
          <cell r="D1167" t="str"/>
          <cell r="E1167" t="str"/>
          <cell r="F1167" t="str"/>
          <cell r="G1167" t="str"/>
          <cell r="H1167" t="str"/>
          <cell r="I1167" t="str"/>
          <cell r="J1167" t="str"/>
          <cell r="K1167" t="str"/>
          <cell r="L1167" t="str"/>
          <cell r="M1167" t="str"/>
          <cell r="N1167" t="str"/>
          <cell r="O1167" t="str"/>
          <cell r="P1167" t="str"/>
          <cell r="Q1167" t="str"/>
          <cell r="R1167" t="str"/>
          <cell r="S1167" t="str"/>
          <cell r="T1167" t="str"/>
          <cell r="U1167" t="str"/>
          <cell r="V1167" t="str"/>
          <cell r="W1167" t="str"/>
          <cell r="X1167" t="str"/>
          <cell r="Y1167" t="str"/>
        </row>
        <row r="1167">
          <cell r="AA1167" t="str"/>
          <cell r="AB1167" t="str"/>
          <cell r="AC1167" t="str"/>
          <cell r="AD1167" t="str"/>
          <cell r="AE1167" t="str"/>
          <cell r="AF1167" t="str"/>
        </row>
        <row r="1168">
          <cell r="B1168" t="str"/>
          <cell r="C1168" t="str"/>
          <cell r="D1168" t="str"/>
          <cell r="E1168" t="str"/>
          <cell r="F1168" t="str"/>
          <cell r="G1168" t="str"/>
          <cell r="H1168" t="str"/>
          <cell r="I1168" t="str"/>
          <cell r="J1168" t="str"/>
          <cell r="K1168" t="str"/>
          <cell r="L1168" t="str"/>
          <cell r="M1168" t="str"/>
          <cell r="N1168" t="str"/>
          <cell r="O1168" t="str"/>
          <cell r="P1168" t="str"/>
          <cell r="Q1168" t="str"/>
          <cell r="R1168" t="str"/>
          <cell r="S1168" t="str"/>
          <cell r="T1168" t="str"/>
          <cell r="U1168" t="str"/>
          <cell r="V1168" t="str"/>
          <cell r="W1168" t="str"/>
          <cell r="X1168" t="str"/>
          <cell r="Y1168" t="str"/>
        </row>
        <row r="1168">
          <cell r="AA1168" t="str"/>
          <cell r="AB1168" t="str"/>
          <cell r="AC1168" t="str"/>
          <cell r="AD1168" t="str"/>
          <cell r="AE1168" t="str"/>
          <cell r="AF1168" t="str"/>
        </row>
        <row r="1169">
          <cell r="B1169" t="str"/>
          <cell r="C1169" t="str"/>
          <cell r="D1169" t="str"/>
          <cell r="E1169" t="str"/>
          <cell r="F1169" t="str"/>
          <cell r="G1169" t="str"/>
          <cell r="H1169" t="str"/>
          <cell r="I1169" t="str"/>
          <cell r="J1169" t="str"/>
          <cell r="K1169" t="str"/>
          <cell r="L1169" t="str"/>
          <cell r="M1169" t="str"/>
          <cell r="N1169" t="str"/>
          <cell r="O1169" t="str"/>
          <cell r="P1169" t="str"/>
          <cell r="Q1169" t="str"/>
          <cell r="R1169" t="str"/>
          <cell r="S1169" t="str"/>
          <cell r="T1169" t="str"/>
          <cell r="U1169" t="str"/>
          <cell r="V1169" t="str"/>
          <cell r="W1169" t="str"/>
          <cell r="X1169" t="str"/>
          <cell r="Y1169" t="str"/>
        </row>
        <row r="1169">
          <cell r="AA1169" t="str"/>
          <cell r="AB1169" t="str"/>
          <cell r="AC1169" t="str"/>
          <cell r="AD1169" t="str"/>
          <cell r="AE1169" t="str"/>
          <cell r="AF1169" t="str"/>
        </row>
        <row r="1170">
          <cell r="B1170" t="str"/>
          <cell r="C1170" t="str"/>
          <cell r="D1170" t="str"/>
          <cell r="E1170" t="str"/>
          <cell r="F1170" t="str"/>
          <cell r="G1170" t="str"/>
          <cell r="H1170" t="str"/>
          <cell r="I1170" t="str"/>
          <cell r="J1170" t="str"/>
          <cell r="K1170" t="str"/>
          <cell r="L1170" t="str"/>
          <cell r="M1170" t="str"/>
          <cell r="N1170" t="str"/>
          <cell r="O1170" t="str"/>
          <cell r="P1170" t="str"/>
          <cell r="Q1170" t="str"/>
          <cell r="R1170" t="str"/>
          <cell r="S1170" t="str"/>
          <cell r="T1170" t="str"/>
          <cell r="U1170" t="str"/>
          <cell r="V1170" t="str"/>
          <cell r="W1170" t="str"/>
          <cell r="X1170" t="str"/>
          <cell r="Y1170" t="str"/>
        </row>
        <row r="1170">
          <cell r="AA1170" t="str"/>
          <cell r="AB1170" t="str"/>
          <cell r="AC1170" t="str"/>
          <cell r="AD1170" t="str"/>
          <cell r="AE1170" t="str"/>
          <cell r="AF1170" t="str"/>
        </row>
        <row r="1171">
          <cell r="B1171" t="str"/>
          <cell r="C1171" t="str"/>
          <cell r="D1171" t="str"/>
          <cell r="E1171" t="str"/>
          <cell r="F1171" t="str"/>
          <cell r="G1171" t="str"/>
          <cell r="H1171" t="str"/>
          <cell r="I1171" t="str"/>
          <cell r="J1171" t="str"/>
          <cell r="K1171" t="str"/>
          <cell r="L1171" t="str"/>
          <cell r="M1171" t="str"/>
          <cell r="N1171" t="str"/>
          <cell r="O1171" t="str"/>
          <cell r="P1171" t="str"/>
          <cell r="Q1171" t="str"/>
          <cell r="R1171" t="str"/>
          <cell r="S1171" t="str"/>
          <cell r="T1171" t="str"/>
          <cell r="U1171" t="str"/>
          <cell r="V1171" t="str"/>
          <cell r="W1171" t="str"/>
          <cell r="X1171" t="str"/>
          <cell r="Y1171" t="str"/>
        </row>
        <row r="1171">
          <cell r="AA1171" t="str"/>
          <cell r="AB1171" t="str"/>
          <cell r="AC1171" t="str"/>
          <cell r="AD1171" t="str"/>
          <cell r="AE1171" t="str"/>
          <cell r="AF1171" t="str"/>
        </row>
        <row r="1172">
          <cell r="B1172" t="str"/>
          <cell r="C1172" t="str"/>
          <cell r="D1172" t="str"/>
          <cell r="E1172" t="str"/>
          <cell r="F1172" t="str"/>
          <cell r="G1172" t="str"/>
          <cell r="H1172" t="str"/>
          <cell r="I1172" t="str"/>
          <cell r="J1172" t="str"/>
          <cell r="K1172" t="str"/>
          <cell r="L1172" t="str"/>
          <cell r="M1172" t="str"/>
          <cell r="N1172" t="str"/>
          <cell r="O1172" t="str"/>
          <cell r="P1172" t="str"/>
          <cell r="Q1172" t="str"/>
          <cell r="R1172" t="str"/>
          <cell r="S1172" t="str"/>
          <cell r="T1172" t="str"/>
          <cell r="U1172" t="str"/>
          <cell r="V1172" t="str"/>
          <cell r="W1172" t="str"/>
          <cell r="X1172" t="str"/>
          <cell r="Y1172" t="str"/>
        </row>
        <row r="1172">
          <cell r="AA1172" t="str"/>
          <cell r="AB1172" t="str"/>
          <cell r="AC1172" t="str"/>
          <cell r="AD1172" t="str"/>
          <cell r="AE1172" t="str"/>
          <cell r="AF1172" t="str"/>
        </row>
        <row r="1173">
          <cell r="B1173" t="str"/>
          <cell r="C1173" t="str"/>
          <cell r="D1173" t="str"/>
          <cell r="E1173" t="str"/>
          <cell r="F1173" t="str"/>
          <cell r="G1173" t="str"/>
          <cell r="H1173" t="str"/>
          <cell r="I1173" t="str"/>
          <cell r="J1173" t="str"/>
          <cell r="K1173" t="str"/>
          <cell r="L1173" t="str"/>
          <cell r="M1173" t="str"/>
          <cell r="N1173" t="str"/>
          <cell r="O1173" t="str"/>
          <cell r="P1173" t="str"/>
          <cell r="Q1173" t="str"/>
          <cell r="R1173" t="str"/>
          <cell r="S1173" t="str"/>
          <cell r="T1173" t="str"/>
          <cell r="U1173" t="str"/>
          <cell r="V1173" t="str"/>
          <cell r="W1173" t="str"/>
          <cell r="X1173" t="str"/>
          <cell r="Y1173" t="str"/>
        </row>
        <row r="1173">
          <cell r="AA1173" t="str"/>
          <cell r="AB1173" t="str"/>
          <cell r="AC1173" t="str"/>
          <cell r="AD1173" t="str"/>
          <cell r="AE1173" t="str"/>
          <cell r="AF1173" t="str"/>
        </row>
        <row r="1174">
          <cell r="B1174" t="str"/>
          <cell r="C1174" t="str"/>
          <cell r="D1174" t="str"/>
          <cell r="E1174" t="str"/>
          <cell r="F1174" t="str"/>
          <cell r="G1174" t="str"/>
          <cell r="H1174" t="str"/>
          <cell r="I1174" t="str"/>
          <cell r="J1174" t="str"/>
          <cell r="K1174" t="str"/>
          <cell r="L1174" t="str"/>
          <cell r="M1174" t="str"/>
          <cell r="N1174" t="str"/>
          <cell r="O1174" t="str"/>
          <cell r="P1174" t="str"/>
          <cell r="Q1174" t="str"/>
          <cell r="R1174" t="str"/>
          <cell r="S1174" t="str"/>
          <cell r="T1174" t="str"/>
          <cell r="U1174" t="str"/>
          <cell r="V1174" t="str"/>
          <cell r="W1174" t="str"/>
          <cell r="X1174" t="str"/>
          <cell r="Y1174" t="str"/>
        </row>
        <row r="1174">
          <cell r="AA1174" t="str"/>
          <cell r="AB1174" t="str"/>
          <cell r="AC1174" t="str"/>
          <cell r="AD1174" t="str"/>
          <cell r="AE1174" t="str"/>
          <cell r="AF1174" t="str"/>
        </row>
        <row r="1175">
          <cell r="B1175" t="str"/>
          <cell r="C1175" t="str"/>
          <cell r="D1175" t="str"/>
          <cell r="E1175" t="str"/>
          <cell r="F1175" t="str"/>
          <cell r="G1175" t="str"/>
          <cell r="H1175" t="str"/>
          <cell r="I1175" t="str"/>
          <cell r="J1175" t="str"/>
          <cell r="K1175" t="str"/>
          <cell r="L1175" t="str"/>
          <cell r="M1175" t="str"/>
          <cell r="N1175" t="str"/>
          <cell r="O1175" t="str"/>
          <cell r="P1175" t="str"/>
          <cell r="Q1175" t="str"/>
          <cell r="R1175" t="str"/>
          <cell r="S1175" t="str"/>
          <cell r="T1175" t="str"/>
          <cell r="U1175" t="str"/>
          <cell r="V1175" t="str"/>
          <cell r="W1175" t="str"/>
          <cell r="X1175" t="str"/>
          <cell r="Y1175" t="str"/>
        </row>
        <row r="1175">
          <cell r="AA1175" t="str"/>
          <cell r="AB1175" t="str"/>
          <cell r="AC1175" t="str"/>
          <cell r="AD1175" t="str"/>
          <cell r="AE1175" t="str"/>
          <cell r="AF1175" t="str"/>
        </row>
        <row r="1176">
          <cell r="B1176" t="str"/>
          <cell r="C1176" t="str"/>
          <cell r="D1176" t="str"/>
          <cell r="E1176" t="str"/>
          <cell r="F1176" t="str"/>
          <cell r="G1176" t="str"/>
          <cell r="H1176" t="str"/>
          <cell r="I1176" t="str"/>
          <cell r="J1176" t="str"/>
          <cell r="K1176" t="str"/>
          <cell r="L1176" t="str"/>
          <cell r="M1176" t="str"/>
          <cell r="N1176" t="str"/>
          <cell r="O1176" t="str"/>
          <cell r="P1176" t="str"/>
          <cell r="Q1176" t="str"/>
          <cell r="R1176" t="str"/>
          <cell r="S1176" t="str"/>
          <cell r="T1176" t="str"/>
          <cell r="U1176" t="str"/>
          <cell r="V1176" t="str"/>
          <cell r="W1176" t="str"/>
          <cell r="X1176" t="str"/>
          <cell r="Y1176" t="str"/>
        </row>
        <row r="1176">
          <cell r="AA1176" t="str"/>
          <cell r="AB1176" t="str"/>
          <cell r="AC1176" t="str"/>
          <cell r="AD1176" t="str"/>
          <cell r="AE1176" t="str"/>
          <cell r="AF1176" t="str"/>
        </row>
        <row r="1177">
          <cell r="B1177" t="str"/>
          <cell r="C1177" t="str"/>
          <cell r="D1177" t="str"/>
          <cell r="E1177" t="str"/>
          <cell r="F1177" t="str"/>
          <cell r="G1177" t="str"/>
          <cell r="H1177" t="str"/>
          <cell r="I1177" t="str"/>
          <cell r="J1177" t="str"/>
          <cell r="K1177" t="str"/>
          <cell r="L1177" t="str"/>
          <cell r="M1177" t="str"/>
          <cell r="N1177" t="str"/>
          <cell r="O1177" t="str"/>
          <cell r="P1177" t="str"/>
          <cell r="Q1177" t="str"/>
          <cell r="R1177" t="str"/>
          <cell r="S1177" t="str"/>
          <cell r="T1177" t="str"/>
          <cell r="U1177" t="str"/>
          <cell r="V1177" t="str"/>
          <cell r="W1177" t="str"/>
          <cell r="X1177" t="str"/>
          <cell r="Y1177" t="str"/>
        </row>
        <row r="1177">
          <cell r="AA1177" t="str"/>
          <cell r="AB1177" t="str"/>
          <cell r="AC1177" t="str"/>
          <cell r="AD1177" t="str"/>
          <cell r="AE1177" t="str"/>
          <cell r="AF1177" t="str"/>
        </row>
        <row r="1178">
          <cell r="B1178" t="str"/>
          <cell r="C1178" t="str"/>
          <cell r="D1178" t="str"/>
          <cell r="E1178" t="str"/>
          <cell r="F1178" t="str"/>
          <cell r="G1178" t="str"/>
          <cell r="H1178" t="str"/>
          <cell r="I1178" t="str"/>
          <cell r="J1178" t="str"/>
          <cell r="K1178" t="str"/>
          <cell r="L1178" t="str"/>
          <cell r="M1178" t="str"/>
          <cell r="N1178" t="str"/>
          <cell r="O1178" t="str"/>
          <cell r="P1178" t="str"/>
          <cell r="Q1178" t="str"/>
          <cell r="R1178" t="str"/>
          <cell r="S1178" t="str"/>
          <cell r="T1178" t="str"/>
          <cell r="U1178" t="str"/>
          <cell r="V1178" t="str"/>
          <cell r="W1178" t="str"/>
          <cell r="X1178" t="str"/>
          <cell r="Y1178" t="str"/>
        </row>
        <row r="1178">
          <cell r="AA1178" t="str"/>
          <cell r="AB1178" t="str"/>
          <cell r="AC1178" t="str"/>
          <cell r="AD1178" t="str"/>
          <cell r="AE1178" t="str"/>
          <cell r="AF1178" t="str"/>
        </row>
        <row r="1179">
          <cell r="B1179" t="str"/>
          <cell r="C1179" t="str"/>
          <cell r="D1179" t="str"/>
          <cell r="E1179" t="str"/>
          <cell r="F1179" t="str"/>
          <cell r="G1179" t="str"/>
          <cell r="H1179" t="str"/>
          <cell r="I1179" t="str"/>
          <cell r="J1179" t="str"/>
          <cell r="K1179" t="str"/>
          <cell r="L1179" t="str"/>
          <cell r="M1179" t="str"/>
          <cell r="N1179" t="str"/>
          <cell r="O1179" t="str"/>
          <cell r="P1179" t="str"/>
          <cell r="Q1179" t="str"/>
          <cell r="R1179" t="str"/>
          <cell r="S1179" t="str"/>
          <cell r="T1179" t="str"/>
          <cell r="U1179" t="str"/>
          <cell r="V1179" t="str"/>
          <cell r="W1179" t="str"/>
          <cell r="X1179" t="str"/>
          <cell r="Y1179" t="str"/>
        </row>
        <row r="1179">
          <cell r="AA1179" t="str"/>
          <cell r="AB1179" t="str"/>
          <cell r="AC1179" t="str"/>
          <cell r="AD1179" t="str"/>
          <cell r="AE1179" t="str"/>
          <cell r="AF1179" t="str"/>
        </row>
        <row r="1180">
          <cell r="B1180" t="str"/>
          <cell r="C1180" t="str"/>
          <cell r="D1180" t="str"/>
          <cell r="E1180" t="str"/>
          <cell r="F1180" t="str"/>
          <cell r="G1180" t="str"/>
          <cell r="H1180" t="str"/>
          <cell r="I1180" t="str"/>
          <cell r="J1180" t="str"/>
          <cell r="K1180" t="str"/>
          <cell r="L1180" t="str"/>
          <cell r="M1180" t="str"/>
          <cell r="N1180" t="str"/>
          <cell r="O1180" t="str"/>
          <cell r="P1180" t="str"/>
          <cell r="Q1180" t="str"/>
          <cell r="R1180" t="str"/>
          <cell r="S1180" t="str"/>
          <cell r="T1180" t="str"/>
          <cell r="U1180" t="str"/>
          <cell r="V1180" t="str"/>
          <cell r="W1180" t="str"/>
          <cell r="X1180" t="str"/>
          <cell r="Y1180" t="str"/>
        </row>
        <row r="1180">
          <cell r="AA1180" t="str"/>
          <cell r="AB1180" t="str"/>
          <cell r="AC1180" t="str"/>
          <cell r="AD1180" t="str"/>
          <cell r="AE1180" t="str"/>
          <cell r="AF1180" t="str"/>
        </row>
        <row r="1181">
          <cell r="B1181" t="str"/>
          <cell r="C1181" t="str"/>
          <cell r="D1181" t="str"/>
          <cell r="E1181" t="str"/>
          <cell r="F1181" t="str"/>
          <cell r="G1181" t="str"/>
          <cell r="H1181" t="str"/>
          <cell r="I1181" t="str"/>
          <cell r="J1181" t="str"/>
          <cell r="K1181" t="str"/>
          <cell r="L1181" t="str"/>
          <cell r="M1181" t="str"/>
          <cell r="N1181" t="str"/>
          <cell r="O1181" t="str"/>
          <cell r="P1181" t="str"/>
          <cell r="Q1181" t="str"/>
          <cell r="R1181" t="str"/>
          <cell r="S1181" t="str"/>
          <cell r="T1181" t="str"/>
          <cell r="U1181" t="str"/>
          <cell r="V1181" t="str"/>
          <cell r="W1181" t="str"/>
          <cell r="X1181" t="str"/>
          <cell r="Y1181" t="str"/>
        </row>
        <row r="1181">
          <cell r="AA1181" t="str"/>
          <cell r="AB1181" t="str"/>
          <cell r="AC1181" t="str"/>
          <cell r="AD1181" t="str"/>
          <cell r="AE1181" t="str"/>
          <cell r="AF1181" t="str"/>
        </row>
        <row r="1182">
          <cell r="B1182" t="str"/>
          <cell r="C1182" t="str"/>
          <cell r="D1182" t="str"/>
          <cell r="E1182" t="str"/>
          <cell r="F1182" t="str"/>
          <cell r="G1182" t="str"/>
          <cell r="H1182" t="str"/>
          <cell r="I1182" t="str"/>
          <cell r="J1182" t="str"/>
          <cell r="K1182" t="str"/>
          <cell r="L1182" t="str"/>
          <cell r="M1182" t="str"/>
          <cell r="N1182" t="str"/>
          <cell r="O1182" t="str"/>
          <cell r="P1182" t="str"/>
          <cell r="Q1182" t="str"/>
          <cell r="R1182" t="str"/>
          <cell r="S1182" t="str"/>
          <cell r="T1182" t="str"/>
          <cell r="U1182" t="str"/>
          <cell r="V1182" t="str"/>
          <cell r="W1182" t="str"/>
          <cell r="X1182" t="str"/>
          <cell r="Y1182" t="str"/>
        </row>
        <row r="1182">
          <cell r="AA1182" t="str"/>
          <cell r="AB1182" t="str"/>
          <cell r="AC1182" t="str"/>
          <cell r="AD1182" t="str"/>
          <cell r="AE1182" t="str"/>
          <cell r="AF1182" t="str"/>
        </row>
        <row r="1183">
          <cell r="B1183" t="str"/>
          <cell r="C1183" t="str"/>
          <cell r="D1183" t="str"/>
          <cell r="E1183" t="str"/>
          <cell r="F1183" t="str"/>
          <cell r="G1183" t="str"/>
          <cell r="H1183" t="str"/>
          <cell r="I1183" t="str"/>
          <cell r="J1183" t="str"/>
          <cell r="K1183" t="str"/>
          <cell r="L1183" t="str"/>
          <cell r="M1183" t="str"/>
          <cell r="N1183" t="str"/>
          <cell r="O1183" t="str"/>
          <cell r="P1183" t="str"/>
          <cell r="Q1183" t="str"/>
          <cell r="R1183" t="str"/>
          <cell r="S1183" t="str"/>
          <cell r="T1183" t="str"/>
          <cell r="U1183" t="str"/>
          <cell r="V1183" t="str"/>
          <cell r="W1183" t="str"/>
          <cell r="X1183" t="str"/>
          <cell r="Y1183" t="str"/>
        </row>
        <row r="1183">
          <cell r="AA1183" t="str"/>
          <cell r="AB1183" t="str"/>
          <cell r="AC1183" t="str"/>
          <cell r="AD1183" t="str"/>
          <cell r="AE1183" t="str"/>
          <cell r="AF1183" t="str"/>
        </row>
        <row r="1184">
          <cell r="B1184" t="str"/>
          <cell r="C1184" t="str"/>
          <cell r="D1184" t="str"/>
          <cell r="E1184" t="str"/>
          <cell r="F1184" t="str"/>
          <cell r="G1184" t="str"/>
          <cell r="H1184" t="str"/>
          <cell r="I1184" t="str"/>
          <cell r="J1184" t="str"/>
          <cell r="K1184" t="str"/>
          <cell r="L1184" t="str"/>
          <cell r="M1184" t="str"/>
          <cell r="N1184" t="str"/>
          <cell r="O1184" t="str"/>
          <cell r="P1184" t="str"/>
          <cell r="Q1184" t="str"/>
          <cell r="R1184" t="str"/>
          <cell r="S1184" t="str"/>
          <cell r="T1184" t="str"/>
          <cell r="U1184" t="str"/>
          <cell r="V1184" t="str"/>
          <cell r="W1184" t="str"/>
          <cell r="X1184" t="str"/>
          <cell r="Y1184" t="str"/>
        </row>
        <row r="1184">
          <cell r="AA1184" t="str"/>
          <cell r="AB1184" t="str"/>
          <cell r="AC1184" t="str"/>
          <cell r="AD1184" t="str"/>
          <cell r="AE1184" t="str"/>
          <cell r="AF1184" t="str"/>
        </row>
        <row r="1185">
          <cell r="B1185" t="str"/>
          <cell r="C1185" t="str"/>
          <cell r="D1185" t="str"/>
          <cell r="E1185" t="str"/>
          <cell r="F1185" t="str"/>
          <cell r="G1185" t="str"/>
          <cell r="H1185" t="str"/>
          <cell r="I1185" t="str"/>
          <cell r="J1185" t="str"/>
          <cell r="K1185" t="str"/>
          <cell r="L1185" t="str"/>
          <cell r="M1185" t="str"/>
          <cell r="N1185" t="str"/>
          <cell r="O1185" t="str"/>
          <cell r="P1185" t="str"/>
          <cell r="Q1185" t="str"/>
          <cell r="R1185" t="str"/>
          <cell r="S1185" t="str"/>
          <cell r="T1185" t="str"/>
          <cell r="U1185" t="str"/>
          <cell r="V1185" t="str"/>
          <cell r="W1185" t="str"/>
          <cell r="X1185" t="str"/>
          <cell r="Y1185" t="str"/>
        </row>
        <row r="1185">
          <cell r="AA1185" t="str"/>
          <cell r="AB1185" t="str"/>
          <cell r="AC1185" t="str"/>
          <cell r="AD1185" t="str"/>
          <cell r="AE1185" t="str"/>
          <cell r="AF1185" t="str"/>
        </row>
        <row r="1186">
          <cell r="B1186" t="str"/>
          <cell r="C1186" t="str"/>
          <cell r="D1186" t="str"/>
          <cell r="E1186" t="str"/>
          <cell r="F1186" t="str"/>
          <cell r="G1186" t="str"/>
          <cell r="H1186" t="str"/>
          <cell r="I1186" t="str"/>
          <cell r="J1186" t="str"/>
          <cell r="K1186" t="str"/>
          <cell r="L1186" t="str"/>
          <cell r="M1186" t="str"/>
          <cell r="N1186" t="str"/>
          <cell r="O1186" t="str"/>
          <cell r="P1186" t="str"/>
          <cell r="Q1186" t="str"/>
          <cell r="R1186" t="str"/>
          <cell r="S1186" t="str"/>
          <cell r="T1186" t="str"/>
          <cell r="U1186" t="str"/>
          <cell r="V1186" t="str"/>
          <cell r="W1186" t="str"/>
          <cell r="X1186" t="str"/>
          <cell r="Y1186" t="str"/>
        </row>
        <row r="1186">
          <cell r="AA1186" t="str"/>
          <cell r="AB1186" t="str"/>
          <cell r="AC1186" t="str"/>
          <cell r="AD1186" t="str"/>
          <cell r="AE1186" t="str"/>
          <cell r="AF1186" t="str"/>
        </row>
        <row r="1187">
          <cell r="B1187" t="str"/>
          <cell r="C1187" t="str"/>
          <cell r="D1187" t="str"/>
          <cell r="E1187" t="str"/>
          <cell r="F1187" t="str"/>
          <cell r="G1187" t="str"/>
          <cell r="H1187" t="str"/>
          <cell r="I1187" t="str"/>
          <cell r="J1187" t="str"/>
          <cell r="K1187" t="str"/>
          <cell r="L1187" t="str"/>
          <cell r="M1187" t="str"/>
          <cell r="N1187" t="str"/>
          <cell r="O1187" t="str"/>
          <cell r="P1187" t="str"/>
          <cell r="Q1187" t="str"/>
          <cell r="R1187" t="str"/>
          <cell r="S1187" t="str"/>
          <cell r="T1187" t="str"/>
          <cell r="U1187" t="str"/>
          <cell r="V1187" t="str"/>
          <cell r="W1187" t="str"/>
          <cell r="X1187" t="str"/>
          <cell r="Y1187" t="str"/>
        </row>
        <row r="1187">
          <cell r="AA1187" t="str"/>
          <cell r="AB1187" t="str"/>
          <cell r="AC1187" t="str"/>
          <cell r="AD1187" t="str"/>
          <cell r="AE1187" t="str"/>
          <cell r="AF1187" t="str"/>
        </row>
        <row r="1188">
          <cell r="B1188" t="str"/>
          <cell r="C1188" t="str"/>
          <cell r="D1188" t="str"/>
          <cell r="E1188" t="str"/>
          <cell r="F1188" t="str"/>
          <cell r="G1188" t="str"/>
          <cell r="H1188" t="str"/>
          <cell r="I1188" t="str"/>
          <cell r="J1188" t="str"/>
          <cell r="K1188" t="str"/>
          <cell r="L1188" t="str"/>
          <cell r="M1188" t="str"/>
          <cell r="N1188" t="str"/>
          <cell r="O1188" t="str"/>
          <cell r="P1188" t="str"/>
          <cell r="Q1188" t="str"/>
          <cell r="R1188" t="str"/>
          <cell r="S1188" t="str"/>
          <cell r="T1188" t="str"/>
          <cell r="U1188" t="str"/>
          <cell r="V1188" t="str"/>
          <cell r="W1188" t="str"/>
          <cell r="X1188" t="str"/>
          <cell r="Y1188" t="str"/>
        </row>
        <row r="1188">
          <cell r="AA1188" t="str"/>
          <cell r="AB1188" t="str"/>
          <cell r="AC1188" t="str"/>
          <cell r="AD1188" t="str"/>
          <cell r="AE1188" t="str"/>
          <cell r="AF1188" t="str"/>
        </row>
        <row r="1189">
          <cell r="B1189" t="str"/>
          <cell r="C1189" t="str"/>
          <cell r="D1189" t="str"/>
          <cell r="E1189" t="str"/>
          <cell r="F1189" t="str"/>
          <cell r="G1189" t="str"/>
          <cell r="H1189" t="str"/>
          <cell r="I1189" t="str"/>
          <cell r="J1189" t="str"/>
          <cell r="K1189" t="str"/>
          <cell r="L1189" t="str"/>
          <cell r="M1189" t="str"/>
          <cell r="N1189" t="str"/>
          <cell r="O1189" t="str"/>
          <cell r="P1189" t="str"/>
          <cell r="Q1189" t="str"/>
          <cell r="R1189" t="str"/>
          <cell r="S1189" t="str"/>
          <cell r="T1189" t="str"/>
          <cell r="U1189" t="str"/>
          <cell r="V1189" t="str"/>
          <cell r="W1189" t="str"/>
          <cell r="X1189" t="str"/>
          <cell r="Y1189" t="str"/>
        </row>
        <row r="1189">
          <cell r="AA1189" t="str"/>
          <cell r="AB1189" t="str"/>
          <cell r="AC1189" t="str"/>
          <cell r="AD1189" t="str"/>
          <cell r="AE1189" t="str"/>
          <cell r="AF1189" t="str"/>
        </row>
        <row r="1190">
          <cell r="B1190" t="str"/>
          <cell r="C1190" t="str"/>
          <cell r="D1190" t="str"/>
          <cell r="E1190" t="str"/>
          <cell r="F1190" t="str"/>
          <cell r="G1190" t="str"/>
          <cell r="H1190" t="str"/>
          <cell r="I1190" t="str"/>
          <cell r="J1190" t="str"/>
          <cell r="K1190" t="str"/>
          <cell r="L1190" t="str"/>
          <cell r="M1190" t="str"/>
          <cell r="N1190" t="str"/>
          <cell r="O1190" t="str"/>
          <cell r="P1190" t="str"/>
          <cell r="Q1190" t="str"/>
          <cell r="R1190" t="str"/>
          <cell r="S1190" t="str"/>
          <cell r="T1190" t="str"/>
          <cell r="U1190" t="str"/>
          <cell r="V1190" t="str"/>
          <cell r="W1190" t="str"/>
          <cell r="X1190" t="str"/>
          <cell r="Y1190" t="str"/>
        </row>
        <row r="1190">
          <cell r="AA1190" t="str"/>
          <cell r="AB1190" t="str"/>
          <cell r="AC1190" t="str"/>
          <cell r="AD1190" t="str"/>
          <cell r="AE1190" t="str"/>
          <cell r="AF1190" t="str"/>
        </row>
        <row r="1191">
          <cell r="B1191" t="str"/>
          <cell r="C1191" t="str"/>
          <cell r="D1191" t="str"/>
          <cell r="E1191" t="str"/>
          <cell r="F1191" t="str"/>
          <cell r="G1191" t="str"/>
          <cell r="H1191" t="str"/>
          <cell r="I1191" t="str"/>
          <cell r="J1191" t="str"/>
          <cell r="K1191" t="str"/>
          <cell r="L1191" t="str"/>
          <cell r="M1191" t="str"/>
          <cell r="N1191" t="str"/>
          <cell r="O1191" t="str"/>
          <cell r="P1191" t="str"/>
          <cell r="Q1191" t="str"/>
          <cell r="R1191" t="str"/>
          <cell r="S1191" t="str"/>
          <cell r="T1191" t="str"/>
          <cell r="U1191" t="str"/>
          <cell r="V1191" t="str"/>
          <cell r="W1191" t="str"/>
          <cell r="X1191" t="str"/>
          <cell r="Y1191" t="str"/>
        </row>
        <row r="1191">
          <cell r="AA1191" t="str"/>
          <cell r="AB1191" t="str"/>
          <cell r="AC1191" t="str"/>
          <cell r="AD1191" t="str"/>
          <cell r="AE1191" t="str"/>
          <cell r="AF1191" t="str"/>
        </row>
        <row r="1192">
          <cell r="B1192" t="str"/>
          <cell r="C1192" t="str"/>
          <cell r="D1192" t="str"/>
          <cell r="E1192" t="str"/>
          <cell r="F1192" t="str"/>
          <cell r="G1192" t="str"/>
          <cell r="H1192" t="str"/>
          <cell r="I1192" t="str"/>
          <cell r="J1192" t="str"/>
          <cell r="K1192" t="str"/>
          <cell r="L1192" t="str"/>
          <cell r="M1192" t="str"/>
          <cell r="N1192" t="str"/>
          <cell r="O1192" t="str"/>
          <cell r="P1192" t="str"/>
          <cell r="Q1192" t="str"/>
          <cell r="R1192" t="str"/>
          <cell r="S1192" t="str"/>
          <cell r="T1192" t="str"/>
          <cell r="U1192" t="str"/>
          <cell r="V1192" t="str"/>
          <cell r="W1192" t="str"/>
          <cell r="X1192" t="str"/>
          <cell r="Y1192" t="str"/>
        </row>
        <row r="1192">
          <cell r="AA1192" t="str"/>
          <cell r="AB1192" t="str"/>
          <cell r="AC1192" t="str"/>
          <cell r="AD1192" t="str"/>
          <cell r="AE1192" t="str"/>
          <cell r="AF1192" t="str"/>
        </row>
        <row r="1193">
          <cell r="B1193" t="str"/>
          <cell r="C1193" t="str"/>
          <cell r="D1193" t="str"/>
          <cell r="E1193" t="str"/>
          <cell r="F1193" t="str"/>
          <cell r="G1193" t="str"/>
          <cell r="H1193" t="str"/>
          <cell r="I1193" t="str"/>
          <cell r="J1193" t="str"/>
          <cell r="K1193" t="str"/>
          <cell r="L1193" t="str"/>
          <cell r="M1193" t="str"/>
          <cell r="N1193" t="str"/>
          <cell r="O1193" t="str"/>
          <cell r="P1193" t="str"/>
          <cell r="Q1193" t="str"/>
          <cell r="R1193" t="str"/>
          <cell r="S1193" t="str"/>
          <cell r="T1193" t="str"/>
          <cell r="U1193" t="str"/>
          <cell r="V1193" t="str"/>
          <cell r="W1193" t="str"/>
          <cell r="X1193" t="str"/>
          <cell r="Y1193" t="str"/>
        </row>
        <row r="1193">
          <cell r="AA1193" t="str"/>
          <cell r="AB1193" t="str"/>
          <cell r="AC1193" t="str"/>
          <cell r="AD1193" t="str"/>
          <cell r="AE1193" t="str"/>
          <cell r="AF1193" t="str"/>
        </row>
        <row r="1194">
          <cell r="B1194" t="str"/>
          <cell r="C1194" t="str"/>
          <cell r="D1194" t="str"/>
          <cell r="E1194" t="str"/>
          <cell r="F1194" t="str"/>
          <cell r="G1194" t="str"/>
          <cell r="H1194" t="str"/>
          <cell r="I1194" t="str"/>
          <cell r="J1194" t="str"/>
          <cell r="K1194" t="str"/>
          <cell r="L1194" t="str"/>
          <cell r="M1194" t="str"/>
          <cell r="N1194" t="str"/>
          <cell r="O1194" t="str"/>
          <cell r="P1194" t="str"/>
          <cell r="Q1194" t="str"/>
          <cell r="R1194" t="str"/>
          <cell r="S1194" t="str"/>
          <cell r="T1194" t="str"/>
          <cell r="U1194" t="str"/>
          <cell r="V1194" t="str"/>
          <cell r="W1194" t="str"/>
          <cell r="X1194" t="str"/>
          <cell r="Y1194" t="str"/>
        </row>
        <row r="1194">
          <cell r="AA1194" t="str"/>
          <cell r="AB1194" t="str"/>
          <cell r="AC1194" t="str"/>
          <cell r="AD1194" t="str"/>
          <cell r="AE1194" t="str"/>
          <cell r="AF1194" t="str"/>
        </row>
        <row r="1195">
          <cell r="B1195" t="str"/>
          <cell r="C1195" t="str"/>
          <cell r="D1195" t="str"/>
          <cell r="E1195" t="str"/>
          <cell r="F1195" t="str"/>
          <cell r="G1195" t="str"/>
          <cell r="H1195" t="str"/>
          <cell r="I1195" t="str"/>
          <cell r="J1195" t="str"/>
          <cell r="K1195" t="str"/>
          <cell r="L1195" t="str"/>
          <cell r="M1195" t="str"/>
          <cell r="N1195" t="str"/>
          <cell r="O1195" t="str"/>
          <cell r="P1195" t="str"/>
          <cell r="Q1195" t="str"/>
          <cell r="R1195" t="str"/>
          <cell r="S1195" t="str"/>
          <cell r="T1195" t="str"/>
          <cell r="U1195" t="str"/>
          <cell r="V1195" t="str"/>
          <cell r="W1195" t="str"/>
          <cell r="X1195" t="str"/>
          <cell r="Y1195" t="str"/>
        </row>
        <row r="1195">
          <cell r="AA1195" t="str"/>
          <cell r="AB1195" t="str"/>
          <cell r="AC1195" t="str"/>
          <cell r="AD1195" t="str"/>
          <cell r="AE1195" t="str"/>
          <cell r="AF1195" t="str"/>
        </row>
        <row r="1196">
          <cell r="B1196" t="str"/>
          <cell r="C1196" t="str"/>
          <cell r="D1196" t="str"/>
          <cell r="E1196" t="str"/>
          <cell r="F1196" t="str"/>
          <cell r="G1196" t="str"/>
          <cell r="H1196" t="str"/>
          <cell r="I1196" t="str"/>
          <cell r="J1196" t="str"/>
          <cell r="K1196" t="str"/>
          <cell r="L1196" t="str"/>
          <cell r="M1196" t="str"/>
          <cell r="N1196" t="str"/>
          <cell r="O1196" t="str"/>
          <cell r="P1196" t="str"/>
          <cell r="Q1196" t="str"/>
          <cell r="R1196" t="str"/>
          <cell r="S1196" t="str"/>
          <cell r="T1196" t="str"/>
          <cell r="U1196" t="str"/>
          <cell r="V1196" t="str"/>
          <cell r="W1196" t="str"/>
          <cell r="X1196" t="str"/>
          <cell r="Y1196" t="str"/>
        </row>
        <row r="1196">
          <cell r="AA1196" t="str"/>
          <cell r="AB1196" t="str"/>
          <cell r="AC1196" t="str"/>
          <cell r="AD1196" t="str"/>
          <cell r="AE1196" t="str"/>
          <cell r="AF1196" t="str"/>
        </row>
        <row r="1197">
          <cell r="B1197" t="str"/>
          <cell r="C1197" t="str"/>
          <cell r="D1197" t="str"/>
          <cell r="E1197" t="str"/>
          <cell r="F1197" t="str"/>
          <cell r="G1197" t="str"/>
          <cell r="H1197" t="str"/>
          <cell r="I1197" t="str"/>
          <cell r="J1197" t="str"/>
          <cell r="K1197" t="str"/>
          <cell r="L1197" t="str"/>
          <cell r="M1197" t="str"/>
          <cell r="N1197" t="str"/>
          <cell r="O1197" t="str"/>
          <cell r="P1197" t="str"/>
          <cell r="Q1197" t="str"/>
          <cell r="R1197" t="str"/>
          <cell r="S1197" t="str"/>
          <cell r="T1197" t="str"/>
          <cell r="U1197" t="str"/>
          <cell r="V1197" t="str"/>
          <cell r="W1197" t="str"/>
          <cell r="X1197" t="str"/>
          <cell r="Y1197" t="str"/>
        </row>
        <row r="1197">
          <cell r="AA1197" t="str"/>
          <cell r="AB1197" t="str"/>
          <cell r="AC1197" t="str"/>
          <cell r="AD1197" t="str"/>
          <cell r="AE1197" t="str"/>
          <cell r="AF1197" t="str"/>
        </row>
        <row r="1198">
          <cell r="B1198" t="str"/>
          <cell r="C1198" t="str"/>
          <cell r="D1198" t="str"/>
          <cell r="E1198" t="str"/>
          <cell r="F1198" t="str"/>
          <cell r="G1198" t="str"/>
          <cell r="H1198" t="str"/>
          <cell r="I1198" t="str"/>
          <cell r="J1198" t="str"/>
          <cell r="K1198" t="str"/>
          <cell r="L1198" t="str"/>
          <cell r="M1198" t="str"/>
          <cell r="N1198" t="str"/>
          <cell r="O1198" t="str"/>
          <cell r="P1198" t="str"/>
          <cell r="Q1198" t="str"/>
          <cell r="R1198" t="str"/>
          <cell r="S1198" t="str"/>
          <cell r="T1198" t="str"/>
          <cell r="U1198" t="str"/>
          <cell r="V1198" t="str"/>
          <cell r="W1198" t="str"/>
          <cell r="X1198" t="str"/>
          <cell r="Y1198" t="str"/>
        </row>
        <row r="1198">
          <cell r="AA1198" t="str"/>
          <cell r="AB1198" t="str"/>
          <cell r="AC1198" t="str"/>
          <cell r="AD1198" t="str"/>
          <cell r="AE1198" t="str"/>
          <cell r="AF1198" t="str"/>
        </row>
        <row r="1199">
          <cell r="B1199" t="str"/>
          <cell r="C1199" t="str"/>
          <cell r="D1199" t="str"/>
          <cell r="E1199" t="str"/>
          <cell r="F1199" t="str"/>
          <cell r="G1199" t="str"/>
          <cell r="H1199" t="str"/>
          <cell r="I1199" t="str"/>
          <cell r="J1199" t="str"/>
          <cell r="K1199" t="str"/>
          <cell r="L1199" t="str"/>
          <cell r="M1199" t="str"/>
          <cell r="N1199" t="str"/>
          <cell r="O1199" t="str"/>
          <cell r="P1199" t="str"/>
          <cell r="Q1199" t="str"/>
          <cell r="R1199" t="str"/>
          <cell r="S1199" t="str"/>
          <cell r="T1199" t="str"/>
          <cell r="U1199" t="str"/>
          <cell r="V1199" t="str"/>
          <cell r="W1199" t="str"/>
          <cell r="X1199" t="str"/>
          <cell r="Y1199" t="str"/>
        </row>
        <row r="1199">
          <cell r="AA1199" t="str"/>
          <cell r="AB1199" t="str"/>
          <cell r="AC1199" t="str"/>
          <cell r="AD1199" t="str"/>
          <cell r="AE1199" t="str"/>
          <cell r="AF1199" t="str"/>
        </row>
        <row r="1200">
          <cell r="B1200" t="str"/>
          <cell r="C1200" t="str"/>
          <cell r="D1200" t="str"/>
          <cell r="E1200" t="str"/>
          <cell r="F1200" t="str"/>
          <cell r="G1200" t="str"/>
          <cell r="H1200" t="str"/>
          <cell r="I1200" t="str"/>
          <cell r="J1200" t="str"/>
          <cell r="K1200" t="str"/>
          <cell r="L1200" t="str"/>
          <cell r="M1200" t="str"/>
          <cell r="N1200" t="str"/>
          <cell r="O1200" t="str"/>
          <cell r="P1200" t="str"/>
          <cell r="Q1200" t="str"/>
          <cell r="R1200" t="str"/>
          <cell r="S1200" t="str"/>
          <cell r="T1200" t="str"/>
          <cell r="U1200" t="str"/>
          <cell r="V1200" t="str"/>
          <cell r="W1200" t="str"/>
          <cell r="X1200" t="str"/>
          <cell r="Y1200" t="str"/>
        </row>
        <row r="1200">
          <cell r="AA1200" t="str"/>
          <cell r="AB1200" t="str"/>
          <cell r="AC1200" t="str"/>
          <cell r="AD1200" t="str"/>
          <cell r="AE1200" t="str"/>
          <cell r="AF1200" t="str"/>
        </row>
        <row r="1201">
          <cell r="B1201" t="str"/>
          <cell r="C1201" t="str"/>
          <cell r="D1201" t="str"/>
          <cell r="E1201" t="str"/>
          <cell r="F1201" t="str"/>
          <cell r="G1201" t="str"/>
          <cell r="H1201" t="str"/>
          <cell r="I1201" t="str"/>
          <cell r="J1201" t="str"/>
          <cell r="K1201" t="str"/>
          <cell r="L1201" t="str"/>
          <cell r="M1201" t="str"/>
          <cell r="N1201" t="str"/>
          <cell r="O1201" t="str"/>
          <cell r="P1201" t="str"/>
          <cell r="Q1201" t="str"/>
          <cell r="R1201" t="str"/>
          <cell r="S1201" t="str"/>
          <cell r="T1201" t="str"/>
          <cell r="U1201" t="str"/>
          <cell r="V1201" t="str"/>
          <cell r="W1201" t="str"/>
          <cell r="X1201" t="str"/>
          <cell r="Y1201" t="str"/>
        </row>
        <row r="1201">
          <cell r="AA1201" t="str"/>
          <cell r="AB1201" t="str"/>
          <cell r="AC1201" t="str"/>
          <cell r="AD1201" t="str"/>
          <cell r="AE1201" t="str"/>
          <cell r="AF1201" t="str"/>
        </row>
        <row r="1202">
          <cell r="B1202" t="str"/>
          <cell r="C1202" t="str"/>
          <cell r="D1202" t="str"/>
          <cell r="E1202" t="str"/>
          <cell r="F1202" t="str"/>
          <cell r="G1202" t="str"/>
          <cell r="H1202" t="str"/>
          <cell r="I1202" t="str"/>
          <cell r="J1202" t="str"/>
          <cell r="K1202" t="str"/>
          <cell r="L1202" t="str"/>
          <cell r="M1202" t="str"/>
          <cell r="N1202" t="str"/>
          <cell r="O1202" t="str"/>
          <cell r="P1202" t="str"/>
          <cell r="Q1202" t="str"/>
          <cell r="R1202" t="str"/>
          <cell r="S1202" t="str"/>
          <cell r="T1202" t="str"/>
          <cell r="U1202" t="str"/>
          <cell r="V1202" t="str"/>
          <cell r="W1202" t="str"/>
          <cell r="X1202" t="str"/>
          <cell r="Y1202" t="str"/>
        </row>
        <row r="1202">
          <cell r="AA1202" t="str"/>
          <cell r="AB1202" t="str"/>
          <cell r="AC1202" t="str"/>
          <cell r="AD1202" t="str"/>
          <cell r="AE1202" t="str"/>
          <cell r="AF1202" t="str"/>
        </row>
        <row r="1203">
          <cell r="B1203" t="str"/>
          <cell r="C1203" t="str"/>
          <cell r="D1203" t="str"/>
          <cell r="E1203" t="str"/>
          <cell r="F1203" t="str"/>
          <cell r="G1203" t="str"/>
          <cell r="H1203" t="str"/>
          <cell r="I1203" t="str"/>
          <cell r="J1203" t="str"/>
          <cell r="K1203" t="str"/>
          <cell r="L1203" t="str"/>
          <cell r="M1203" t="str"/>
          <cell r="N1203" t="str"/>
          <cell r="O1203" t="str"/>
          <cell r="P1203" t="str"/>
          <cell r="Q1203" t="str"/>
          <cell r="R1203" t="str"/>
          <cell r="S1203" t="str"/>
          <cell r="T1203" t="str"/>
          <cell r="U1203" t="str"/>
          <cell r="V1203" t="str"/>
          <cell r="W1203" t="str"/>
          <cell r="X1203" t="str"/>
          <cell r="Y1203" t="str"/>
        </row>
        <row r="1203">
          <cell r="AA1203" t="str"/>
          <cell r="AB1203" t="str"/>
          <cell r="AC1203" t="str"/>
          <cell r="AD1203" t="str"/>
          <cell r="AE1203" t="str"/>
          <cell r="AF1203" t="str"/>
        </row>
      </sheetData>
      <sheetData sheetId="2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主页"/>
      <sheetName val="使用说明"/>
      <sheetName val="基础资料"/>
      <sheetName val="对接源_01水果筐数"/>
      <sheetName val="周转筐出入库明细"/>
      <sheetName val="包装物料出入库明细"/>
      <sheetName val="客户自备加工筐明细"/>
      <sheetName val="次果筐+托盘明细"/>
      <sheetName val="物料库存结余"/>
      <sheetName val="筐子库存汇总"/>
      <sheetName val="筐子往来汇总"/>
      <sheetName val="筐子采购汇总"/>
      <sheetName val="筐子销售汇总"/>
      <sheetName val="自备筐汇总"/>
      <sheetName val="次果筐汇总"/>
      <sheetName val="押金汇总"/>
      <sheetName val="客户领用物料汇总"/>
      <sheetName val="实盘库存盘点"/>
      <sheetName val="收入结算汇总"/>
      <sheetName val="对账明细接口"/>
      <sheetName val="财务取数接口"/>
      <sheetName val="字段对照"/>
      <sheetName val="_自动清单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>
            <v>1</v>
          </cell>
          <cell r="B4" t="str">
            <v>公司一次性筐</v>
          </cell>
          <cell r="C4">
            <v>69840</v>
          </cell>
          <cell r="D4">
            <v>0</v>
          </cell>
          <cell r="E4">
            <v>388</v>
          </cell>
          <cell r="F4">
            <v>6906</v>
          </cell>
          <cell r="G4">
            <v>0</v>
          </cell>
          <cell r="H4">
            <v>0</v>
          </cell>
          <cell r="I4">
            <v>63322</v>
          </cell>
          <cell r="J4">
            <v>6518</v>
          </cell>
          <cell r="K4">
            <v>-5085</v>
          </cell>
          <cell r="L4">
            <v>64755</v>
          </cell>
          <cell r="M4" t="str"/>
        </row>
        <row r="5">
          <cell r="A5">
            <v>2</v>
          </cell>
          <cell r="B5" t="str">
            <v>公司杂周转筐</v>
          </cell>
          <cell r="C5">
            <v>35928</v>
          </cell>
          <cell r="D5">
            <v>0</v>
          </cell>
          <cell r="E5">
            <v>1136</v>
          </cell>
          <cell r="F5">
            <v>9313</v>
          </cell>
          <cell r="G5">
            <v>0</v>
          </cell>
          <cell r="H5">
            <v>0</v>
          </cell>
          <cell r="I5">
            <v>27751</v>
          </cell>
          <cell r="J5">
            <v>8177</v>
          </cell>
          <cell r="K5">
            <v>-7774</v>
          </cell>
          <cell r="L5">
            <v>28154</v>
          </cell>
          <cell r="M5" t="str"/>
        </row>
        <row r="6">
          <cell r="A6">
            <v>3</v>
          </cell>
          <cell r="B6" t="str">
            <v>公司新周转筐</v>
          </cell>
          <cell r="C6">
            <v>58032</v>
          </cell>
          <cell r="D6">
            <v>0</v>
          </cell>
          <cell r="E6">
            <v>759</v>
          </cell>
          <cell r="F6">
            <v>1312</v>
          </cell>
          <cell r="G6">
            <v>0</v>
          </cell>
          <cell r="H6">
            <v>0</v>
          </cell>
          <cell r="I6">
            <v>57479</v>
          </cell>
          <cell r="J6">
            <v>553</v>
          </cell>
          <cell r="K6">
            <v>-74</v>
          </cell>
          <cell r="L6">
            <v>57958</v>
          </cell>
          <cell r="M6" t="str"/>
        </row>
        <row r="7">
          <cell r="A7">
            <v>4</v>
          </cell>
          <cell r="B7" t="str">
            <v>公司白周转筐</v>
          </cell>
          <cell r="C7">
            <v>13968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13968</v>
          </cell>
          <cell r="J7">
            <v>0</v>
          </cell>
          <cell r="K7">
            <v>0</v>
          </cell>
          <cell r="L7">
            <v>13968</v>
          </cell>
          <cell r="M7" t="str"/>
        </row>
        <row r="8">
          <cell r="A8">
            <v>5</v>
          </cell>
          <cell r="B8" t="str">
            <v>公司红周转筐</v>
          </cell>
          <cell r="C8">
            <v>0</v>
          </cell>
          <cell r="D8">
            <v>45216</v>
          </cell>
          <cell r="E8">
            <v>574</v>
          </cell>
          <cell r="F8">
            <v>50694</v>
          </cell>
          <cell r="G8">
            <v>49</v>
          </cell>
          <cell r="H8">
            <v>0</v>
          </cell>
          <cell r="I8">
            <v>-4953</v>
          </cell>
          <cell r="J8">
            <v>50120</v>
          </cell>
          <cell r="K8">
            <v>-43037</v>
          </cell>
          <cell r="L8">
            <v>2130</v>
          </cell>
          <cell r="M8" t="str"/>
        </row>
        <row r="9">
          <cell r="A9">
            <v>6</v>
          </cell>
          <cell r="B9" t="str">
            <v>大托盘</v>
          </cell>
          <cell r="C9">
            <v>0</v>
          </cell>
          <cell r="D9">
            <v>210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210</v>
          </cell>
          <cell r="J9">
            <v>0</v>
          </cell>
          <cell r="K9">
            <v>0</v>
          </cell>
          <cell r="L9">
            <v>210</v>
          </cell>
          <cell r="M9" t="str"/>
        </row>
        <row r="10">
          <cell r="A10">
            <v>7</v>
          </cell>
          <cell r="B10" t="str">
            <v>自备一次性筐</v>
          </cell>
          <cell r="C10" t="str"/>
          <cell r="D10" t="str"/>
          <cell r="E10" t="str"/>
          <cell r="F10" t="str"/>
          <cell r="G10" t="str"/>
          <cell r="H10" t="str"/>
          <cell r="I10" t="str"/>
          <cell r="J10" t="str"/>
          <cell r="K10" t="str"/>
          <cell r="L10" t="str"/>
          <cell r="M10" t="str">
            <v>客户自备筐，不计公司资产，见【自备筐汇总】</v>
          </cell>
        </row>
        <row r="11">
          <cell r="A11">
            <v>8</v>
          </cell>
          <cell r="B11" t="str">
            <v>自备杂周转筐</v>
          </cell>
          <cell r="C11" t="str"/>
          <cell r="D11" t="str"/>
          <cell r="E11" t="str"/>
          <cell r="F11" t="str"/>
          <cell r="G11" t="str"/>
          <cell r="H11" t="str"/>
          <cell r="I11" t="str"/>
          <cell r="J11" t="str"/>
          <cell r="K11" t="str"/>
          <cell r="L11" t="str"/>
          <cell r="M11" t="str">
            <v>客户自备筐，不计公司资产，见【自备筐汇总】</v>
          </cell>
        </row>
        <row r="12">
          <cell r="A12">
            <v>9</v>
          </cell>
          <cell r="B12" t="str">
            <v>纸箱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 t="str"/>
        </row>
        <row r="13">
          <cell r="A13" t="str"/>
          <cell r="B13" t="str"/>
          <cell r="C13" t="str"/>
          <cell r="D13" t="str"/>
          <cell r="E13" t="str"/>
          <cell r="F13" t="str"/>
          <cell r="G13" t="str"/>
          <cell r="H13" t="str"/>
          <cell r="I13" t="str"/>
          <cell r="J13" t="str"/>
          <cell r="K13" t="str"/>
          <cell r="L13" t="str"/>
          <cell r="M13" t="str"/>
        </row>
        <row r="14">
          <cell r="A14" t="str"/>
          <cell r="B14" t="str"/>
          <cell r="C14" t="str"/>
          <cell r="D14" t="str"/>
          <cell r="E14" t="str"/>
          <cell r="F14" t="str"/>
          <cell r="G14" t="str"/>
          <cell r="H14" t="str"/>
          <cell r="I14" t="str"/>
          <cell r="J14" t="str"/>
          <cell r="K14" t="str"/>
          <cell r="L14" t="str"/>
          <cell r="M14" t="str"/>
        </row>
        <row r="15">
          <cell r="A15" t="str"/>
          <cell r="B15" t="str"/>
          <cell r="C15" t="str"/>
          <cell r="D15" t="str"/>
          <cell r="E15" t="str"/>
          <cell r="F15" t="str"/>
          <cell r="G15" t="str"/>
          <cell r="H15" t="str"/>
          <cell r="I15" t="str"/>
          <cell r="J15" t="str"/>
          <cell r="K15" t="str"/>
          <cell r="L15" t="str"/>
          <cell r="M15" t="str"/>
        </row>
        <row r="16">
          <cell r="A16" t="str"/>
          <cell r="B16" t="str"/>
          <cell r="C16" t="str"/>
          <cell r="D16" t="str"/>
          <cell r="E16" t="str"/>
          <cell r="F16" t="str"/>
          <cell r="G16" t="str"/>
          <cell r="H16" t="str"/>
          <cell r="I16" t="str"/>
          <cell r="J16" t="str"/>
          <cell r="K16" t="str"/>
          <cell r="L16" t="str"/>
          <cell r="M16" t="str"/>
        </row>
        <row r="17">
          <cell r="A17" t="str"/>
          <cell r="B17" t="str"/>
          <cell r="C17" t="str"/>
          <cell r="D17" t="str"/>
          <cell r="E17" t="str"/>
          <cell r="F17" t="str"/>
          <cell r="G17" t="str"/>
          <cell r="H17" t="str"/>
          <cell r="I17" t="str"/>
          <cell r="J17" t="str"/>
          <cell r="K17" t="str"/>
          <cell r="L17" t="str"/>
          <cell r="M17" t="str"/>
        </row>
        <row r="18">
          <cell r="A18" t="str"/>
          <cell r="B18" t="str"/>
          <cell r="C18" t="str"/>
          <cell r="D18" t="str"/>
          <cell r="E18" t="str"/>
          <cell r="F18" t="str"/>
          <cell r="G18" t="str"/>
          <cell r="H18" t="str"/>
          <cell r="I18" t="str"/>
          <cell r="J18" t="str"/>
          <cell r="K18" t="str"/>
          <cell r="L18" t="str"/>
          <cell r="M18" t="str"/>
        </row>
        <row r="19">
          <cell r="A19" t="str"/>
          <cell r="B19" t="str"/>
          <cell r="C19" t="str"/>
          <cell r="D19" t="str"/>
          <cell r="E19" t="str"/>
          <cell r="F19" t="str"/>
          <cell r="G19" t="str"/>
          <cell r="H19" t="str"/>
          <cell r="I19" t="str"/>
          <cell r="J19" t="str"/>
          <cell r="K19" t="str"/>
          <cell r="L19" t="str"/>
          <cell r="M19" t="str"/>
        </row>
        <row r="20">
          <cell r="A20" t="str"/>
          <cell r="B20" t="str"/>
          <cell r="C20" t="str"/>
          <cell r="D20" t="str"/>
          <cell r="E20" t="str"/>
          <cell r="F20" t="str"/>
          <cell r="G20" t="str"/>
          <cell r="H20" t="str"/>
          <cell r="I20" t="str"/>
          <cell r="J20" t="str"/>
          <cell r="K20" t="str"/>
          <cell r="L20" t="str"/>
          <cell r="M20" t="str"/>
        </row>
        <row r="21">
          <cell r="A21" t="str"/>
          <cell r="B21" t="str"/>
          <cell r="C21" t="str"/>
          <cell r="D21" t="str"/>
          <cell r="E21" t="str"/>
          <cell r="F21" t="str"/>
          <cell r="G21" t="str"/>
          <cell r="H21" t="str"/>
          <cell r="I21" t="str"/>
          <cell r="J21" t="str"/>
          <cell r="K21" t="str"/>
          <cell r="L21" t="str"/>
          <cell r="M21" t="str"/>
        </row>
        <row r="22">
          <cell r="A22" t="str"/>
          <cell r="B22" t="str"/>
          <cell r="C22" t="str"/>
          <cell r="D22" t="str"/>
          <cell r="E22" t="str"/>
          <cell r="F22" t="str"/>
          <cell r="G22" t="str"/>
          <cell r="H22" t="str"/>
          <cell r="I22" t="str"/>
          <cell r="J22" t="str"/>
          <cell r="K22" t="str"/>
          <cell r="L22" t="str"/>
          <cell r="M22" t="str"/>
        </row>
        <row r="23">
          <cell r="A23" t="str"/>
          <cell r="B23" t="str"/>
          <cell r="C23" t="str"/>
          <cell r="D23" t="str"/>
          <cell r="E23" t="str"/>
          <cell r="F23" t="str"/>
          <cell r="G23" t="str"/>
          <cell r="H23" t="str"/>
          <cell r="I23" t="str"/>
          <cell r="J23" t="str"/>
          <cell r="K23" t="str"/>
          <cell r="L23" t="str"/>
          <cell r="M23" t="str"/>
        </row>
        <row r="24">
          <cell r="A24" t="str"/>
          <cell r="B24" t="str"/>
          <cell r="C24" t="str"/>
          <cell r="D24" t="str"/>
          <cell r="E24" t="str"/>
          <cell r="F24" t="str"/>
          <cell r="G24" t="str"/>
          <cell r="H24" t="str"/>
          <cell r="I24" t="str"/>
          <cell r="J24" t="str"/>
          <cell r="K24" t="str"/>
          <cell r="L24" t="str"/>
          <cell r="M24" t="str"/>
        </row>
        <row r="25">
          <cell r="A25" t="str"/>
          <cell r="B25" t="str"/>
          <cell r="C25" t="str"/>
          <cell r="D25" t="str"/>
          <cell r="E25" t="str"/>
          <cell r="F25" t="str"/>
          <cell r="G25" t="str"/>
          <cell r="H25" t="str"/>
          <cell r="I25" t="str"/>
          <cell r="J25" t="str"/>
          <cell r="K25" t="str"/>
          <cell r="L25" t="str"/>
          <cell r="M25" t="str"/>
        </row>
        <row r="26">
          <cell r="A26" t="str"/>
          <cell r="B26" t="str"/>
          <cell r="C26" t="str"/>
          <cell r="D26" t="str"/>
          <cell r="E26" t="str"/>
          <cell r="F26" t="str"/>
          <cell r="G26" t="str"/>
          <cell r="H26" t="str"/>
          <cell r="I26" t="str"/>
          <cell r="J26" t="str"/>
          <cell r="K26" t="str"/>
          <cell r="L26" t="str"/>
          <cell r="M26" t="str"/>
        </row>
        <row r="27">
          <cell r="A27" t="str"/>
          <cell r="B27" t="str"/>
          <cell r="C27" t="str"/>
          <cell r="D27" t="str"/>
          <cell r="E27" t="str"/>
          <cell r="F27" t="str"/>
          <cell r="G27" t="str"/>
          <cell r="H27" t="str"/>
          <cell r="I27" t="str"/>
          <cell r="J27" t="str"/>
          <cell r="K27" t="str"/>
          <cell r="L27" t="str"/>
          <cell r="M27" t="str"/>
        </row>
        <row r="28">
          <cell r="A28" t="str"/>
          <cell r="B28" t="str"/>
          <cell r="C28" t="str"/>
          <cell r="D28" t="str"/>
          <cell r="E28" t="str"/>
          <cell r="F28" t="str"/>
          <cell r="G28" t="str"/>
          <cell r="H28" t="str"/>
          <cell r="I28" t="str"/>
          <cell r="J28" t="str"/>
          <cell r="K28" t="str"/>
          <cell r="L28" t="str"/>
          <cell r="M28" t="str"/>
        </row>
        <row r="29">
          <cell r="A29" t="str"/>
          <cell r="B29" t="str"/>
          <cell r="C29" t="str"/>
          <cell r="D29" t="str"/>
          <cell r="E29" t="str"/>
          <cell r="F29" t="str"/>
          <cell r="G29" t="str"/>
          <cell r="H29" t="str"/>
          <cell r="I29" t="str"/>
          <cell r="J29" t="str"/>
          <cell r="K29" t="str"/>
          <cell r="L29" t="str"/>
          <cell r="M29" t="str"/>
        </row>
        <row r="30">
          <cell r="A30" t="str"/>
          <cell r="B30" t="str"/>
          <cell r="C30" t="str"/>
          <cell r="D30" t="str"/>
          <cell r="E30" t="str"/>
          <cell r="F30" t="str"/>
          <cell r="G30" t="str"/>
          <cell r="H30" t="str"/>
          <cell r="I30" t="str"/>
          <cell r="J30" t="str"/>
          <cell r="K30" t="str"/>
          <cell r="L30" t="str"/>
          <cell r="M30" t="str"/>
        </row>
        <row r="31">
          <cell r="A31" t="str"/>
          <cell r="B31" t="str"/>
          <cell r="C31" t="str"/>
          <cell r="D31" t="str"/>
          <cell r="E31" t="str"/>
          <cell r="F31" t="str"/>
          <cell r="G31" t="str"/>
          <cell r="H31" t="str"/>
          <cell r="I31" t="str"/>
          <cell r="J31" t="str"/>
          <cell r="K31" t="str"/>
          <cell r="L31" t="str"/>
          <cell r="M31" t="str"/>
        </row>
        <row r="32">
          <cell r="A32" t="str"/>
          <cell r="B32" t="str"/>
          <cell r="C32" t="str"/>
          <cell r="D32" t="str"/>
          <cell r="E32" t="str"/>
          <cell r="F32" t="str"/>
          <cell r="G32" t="str"/>
          <cell r="H32" t="str"/>
          <cell r="I32" t="str"/>
          <cell r="J32" t="str"/>
          <cell r="K32" t="str"/>
          <cell r="L32" t="str"/>
          <cell r="M32" t="str"/>
        </row>
        <row r="33">
          <cell r="A33" t="str"/>
          <cell r="B33" t="str"/>
          <cell r="C33" t="str"/>
          <cell r="D33" t="str"/>
          <cell r="E33" t="str"/>
          <cell r="F33" t="str"/>
          <cell r="G33" t="str"/>
          <cell r="H33" t="str"/>
          <cell r="I33" t="str"/>
          <cell r="J33" t="str"/>
          <cell r="K33" t="str"/>
          <cell r="L33" t="str"/>
          <cell r="M33" t="str"/>
        </row>
        <row r="34">
          <cell r="A34" t="str"/>
          <cell r="B34" t="str"/>
          <cell r="C34" t="str"/>
          <cell r="D34" t="str"/>
          <cell r="E34" t="str"/>
          <cell r="F34" t="str"/>
          <cell r="G34" t="str"/>
          <cell r="H34" t="str"/>
          <cell r="I34" t="str"/>
          <cell r="J34" t="str"/>
          <cell r="K34" t="str"/>
          <cell r="L34" t="str"/>
          <cell r="M34" t="str"/>
        </row>
        <row r="35">
          <cell r="A35" t="str"/>
          <cell r="B35" t="str"/>
          <cell r="C35" t="str"/>
          <cell r="D35" t="str"/>
          <cell r="E35" t="str"/>
          <cell r="F35" t="str"/>
          <cell r="G35" t="str"/>
          <cell r="H35" t="str"/>
          <cell r="I35" t="str"/>
          <cell r="J35" t="str"/>
          <cell r="K35" t="str"/>
          <cell r="L35" t="str"/>
          <cell r="M35" t="str"/>
        </row>
        <row r="36">
          <cell r="A36" t="str"/>
          <cell r="B36" t="str"/>
          <cell r="C36" t="str"/>
          <cell r="D36" t="str"/>
          <cell r="E36" t="str"/>
          <cell r="F36" t="str"/>
          <cell r="G36" t="str"/>
          <cell r="H36" t="str"/>
          <cell r="I36" t="str"/>
          <cell r="J36" t="str"/>
          <cell r="K36" t="str"/>
          <cell r="L36" t="str"/>
          <cell r="M36" t="str"/>
        </row>
        <row r="37">
          <cell r="A37" t="str"/>
          <cell r="B37" t="str"/>
          <cell r="C37" t="str"/>
          <cell r="D37" t="str"/>
          <cell r="E37" t="str"/>
          <cell r="F37" t="str"/>
          <cell r="G37" t="str"/>
          <cell r="H37" t="str"/>
          <cell r="I37" t="str"/>
          <cell r="J37" t="str"/>
          <cell r="K37" t="str"/>
          <cell r="L37" t="str"/>
          <cell r="M37" t="str"/>
        </row>
        <row r="38">
          <cell r="A38" t="str"/>
          <cell r="B38" t="str"/>
          <cell r="C38" t="str"/>
          <cell r="D38" t="str"/>
          <cell r="E38" t="str"/>
          <cell r="F38" t="str"/>
          <cell r="G38" t="str"/>
          <cell r="H38" t="str"/>
          <cell r="I38" t="str"/>
          <cell r="J38" t="str"/>
          <cell r="K38" t="str"/>
          <cell r="L38" t="str"/>
          <cell r="M38" t="str"/>
        </row>
        <row r="39">
          <cell r="A39" t="str"/>
          <cell r="B39" t="str"/>
          <cell r="C39" t="str"/>
          <cell r="D39" t="str"/>
          <cell r="E39" t="str"/>
          <cell r="F39" t="str"/>
          <cell r="G39" t="str"/>
          <cell r="H39" t="str"/>
          <cell r="I39" t="str"/>
          <cell r="J39" t="str"/>
          <cell r="K39" t="str"/>
          <cell r="L39" t="str"/>
          <cell r="M39" t="str"/>
        </row>
        <row r="40">
          <cell r="A40" t="str"/>
          <cell r="B40" t="str"/>
          <cell r="C40" t="str"/>
          <cell r="D40" t="str"/>
          <cell r="E40" t="str"/>
          <cell r="F40" t="str"/>
          <cell r="G40" t="str"/>
          <cell r="H40" t="str"/>
          <cell r="I40" t="str"/>
          <cell r="J40" t="str"/>
          <cell r="K40" t="str"/>
          <cell r="L40" t="str"/>
          <cell r="M40" t="str"/>
        </row>
        <row r="41">
          <cell r="A41" t="str"/>
          <cell r="B41" t="str"/>
          <cell r="C41" t="str"/>
          <cell r="D41" t="str"/>
          <cell r="E41" t="str"/>
          <cell r="F41" t="str"/>
          <cell r="G41" t="str"/>
          <cell r="H41" t="str"/>
          <cell r="I41" t="str"/>
          <cell r="J41" t="str"/>
          <cell r="K41" t="str"/>
          <cell r="L41" t="str"/>
          <cell r="M41" t="str"/>
        </row>
        <row r="42">
          <cell r="A42" t="str"/>
          <cell r="B42" t="str"/>
          <cell r="C42" t="str"/>
          <cell r="D42" t="str"/>
          <cell r="E42" t="str"/>
          <cell r="F42" t="str"/>
          <cell r="G42" t="str"/>
          <cell r="H42" t="str"/>
          <cell r="I42" t="str"/>
          <cell r="J42" t="str"/>
          <cell r="K42" t="str"/>
          <cell r="L42" t="str"/>
          <cell r="M42" t="str"/>
        </row>
        <row r="43">
          <cell r="A43" t="str"/>
          <cell r="B43" t="str"/>
          <cell r="C43" t="str"/>
          <cell r="D43" t="str"/>
          <cell r="E43" t="str"/>
          <cell r="F43" t="str"/>
          <cell r="G43" t="str"/>
          <cell r="H43" t="str"/>
          <cell r="I43" t="str"/>
          <cell r="J43" t="str"/>
          <cell r="K43" t="str"/>
          <cell r="L43" t="str"/>
          <cell r="M43" t="str"/>
        </row>
        <row r="44">
          <cell r="A44" t="str"/>
          <cell r="B44" t="str"/>
          <cell r="C44" t="str"/>
          <cell r="D44" t="str"/>
          <cell r="E44" t="str"/>
          <cell r="F44" t="str"/>
          <cell r="G44" t="str"/>
          <cell r="H44" t="str"/>
          <cell r="I44" t="str"/>
          <cell r="J44" t="str"/>
          <cell r="K44" t="str"/>
          <cell r="L44" t="str"/>
          <cell r="M44" t="str"/>
        </row>
        <row r="45">
          <cell r="A45" t="str"/>
          <cell r="B45" t="str"/>
          <cell r="C45" t="str"/>
          <cell r="D45" t="str"/>
          <cell r="E45" t="str"/>
          <cell r="F45" t="str"/>
          <cell r="G45" t="str"/>
          <cell r="H45" t="str"/>
          <cell r="I45" t="str"/>
          <cell r="J45" t="str"/>
          <cell r="K45" t="str"/>
          <cell r="L45" t="str"/>
          <cell r="M45" t="str"/>
        </row>
        <row r="46">
          <cell r="A46" t="str"/>
          <cell r="B46" t="str"/>
          <cell r="C46" t="str"/>
          <cell r="D46" t="str"/>
          <cell r="E46" t="str"/>
          <cell r="F46" t="str"/>
          <cell r="G46" t="str"/>
          <cell r="H46" t="str"/>
          <cell r="I46" t="str"/>
          <cell r="J46" t="str"/>
          <cell r="K46" t="str"/>
          <cell r="L46" t="str"/>
          <cell r="M46" t="str"/>
        </row>
        <row r="47">
          <cell r="A47" t="str"/>
          <cell r="B47" t="str"/>
          <cell r="C47" t="str"/>
          <cell r="D47" t="str"/>
          <cell r="E47" t="str"/>
          <cell r="F47" t="str"/>
          <cell r="G47" t="str"/>
          <cell r="H47" t="str"/>
          <cell r="I47" t="str"/>
          <cell r="J47" t="str"/>
          <cell r="K47" t="str"/>
          <cell r="L47" t="str"/>
          <cell r="M47" t="str"/>
        </row>
        <row r="48">
          <cell r="A48" t="str"/>
          <cell r="B48" t="str"/>
          <cell r="C48" t="str"/>
          <cell r="D48" t="str"/>
          <cell r="E48" t="str"/>
          <cell r="F48" t="str"/>
          <cell r="G48" t="str"/>
          <cell r="H48" t="str"/>
          <cell r="I48" t="str"/>
          <cell r="J48" t="str"/>
          <cell r="K48" t="str"/>
          <cell r="L48" t="str"/>
          <cell r="M48" t="str"/>
        </row>
        <row r="49">
          <cell r="A49" t="str"/>
          <cell r="B49" t="str"/>
          <cell r="C49" t="str"/>
          <cell r="D49" t="str"/>
          <cell r="E49" t="str"/>
          <cell r="F49" t="str"/>
          <cell r="G49" t="str"/>
          <cell r="H49" t="str"/>
          <cell r="I49" t="str"/>
          <cell r="J49" t="str"/>
          <cell r="K49" t="str"/>
          <cell r="L49" t="str"/>
          <cell r="M49" t="str"/>
        </row>
        <row r="50">
          <cell r="A50" t="str"/>
          <cell r="B50" t="str"/>
          <cell r="C50" t="str"/>
          <cell r="D50" t="str"/>
          <cell r="E50" t="str"/>
          <cell r="F50" t="str"/>
          <cell r="G50" t="str"/>
          <cell r="H50" t="str"/>
          <cell r="I50" t="str"/>
          <cell r="J50" t="str"/>
          <cell r="K50" t="str"/>
          <cell r="L50" t="str"/>
          <cell r="M50" t="str"/>
        </row>
        <row r="51">
          <cell r="A51" t="str"/>
          <cell r="B51" t="str"/>
          <cell r="C51" t="str"/>
          <cell r="D51" t="str"/>
          <cell r="E51" t="str"/>
          <cell r="F51" t="str"/>
          <cell r="G51" t="str"/>
          <cell r="H51" t="str"/>
          <cell r="I51" t="str"/>
          <cell r="J51" t="str"/>
          <cell r="K51" t="str"/>
          <cell r="L51" t="str"/>
          <cell r="M51" t="str"/>
        </row>
        <row r="52">
          <cell r="A52" t="str"/>
          <cell r="B52" t="str"/>
          <cell r="C52" t="str"/>
          <cell r="D52" t="str"/>
          <cell r="E52" t="str"/>
          <cell r="F52" t="str"/>
          <cell r="G52" t="str"/>
          <cell r="H52" t="str"/>
          <cell r="I52" t="str"/>
          <cell r="J52" t="str"/>
          <cell r="K52" t="str"/>
          <cell r="L52" t="str"/>
          <cell r="M52" t="str"/>
        </row>
        <row r="53">
          <cell r="A53" t="str"/>
          <cell r="B53" t="str"/>
          <cell r="C53" t="str"/>
          <cell r="D53" t="str"/>
          <cell r="E53" t="str"/>
          <cell r="F53" t="str"/>
          <cell r="G53" t="str"/>
          <cell r="H53" t="str"/>
          <cell r="I53" t="str"/>
          <cell r="J53" t="str"/>
          <cell r="K53" t="str"/>
          <cell r="L53" t="str"/>
          <cell r="M53" t="str"/>
        </row>
        <row r="54">
          <cell r="A54" t="str"/>
          <cell r="B54" t="str"/>
          <cell r="C54" t="str"/>
          <cell r="D54" t="str"/>
          <cell r="E54" t="str"/>
          <cell r="F54" t="str"/>
          <cell r="G54" t="str"/>
          <cell r="H54" t="str"/>
          <cell r="I54" t="str"/>
          <cell r="J54" t="str"/>
          <cell r="K54" t="str"/>
          <cell r="L54" t="str"/>
          <cell r="M54" t="str"/>
        </row>
        <row r="55">
          <cell r="A55" t="str"/>
          <cell r="B55" t="str"/>
          <cell r="C55" t="str"/>
          <cell r="D55" t="str"/>
          <cell r="E55" t="str"/>
          <cell r="F55" t="str"/>
          <cell r="G55" t="str"/>
          <cell r="H55" t="str"/>
          <cell r="I55" t="str"/>
          <cell r="J55" t="str"/>
          <cell r="K55" t="str"/>
          <cell r="L55" t="str"/>
          <cell r="M55" t="str"/>
        </row>
        <row r="56">
          <cell r="A56" t="str"/>
          <cell r="B56" t="str"/>
          <cell r="C56" t="str"/>
          <cell r="D56" t="str"/>
          <cell r="E56" t="str"/>
          <cell r="F56" t="str"/>
          <cell r="G56" t="str"/>
          <cell r="H56" t="str"/>
          <cell r="I56" t="str"/>
          <cell r="J56" t="str"/>
          <cell r="K56" t="str"/>
          <cell r="L56" t="str"/>
          <cell r="M56" t="str"/>
        </row>
        <row r="57">
          <cell r="A57" t="str"/>
          <cell r="B57" t="str"/>
          <cell r="C57" t="str"/>
          <cell r="D57" t="str"/>
          <cell r="E57" t="str"/>
          <cell r="F57" t="str"/>
          <cell r="G57" t="str"/>
          <cell r="H57" t="str"/>
          <cell r="I57" t="str"/>
          <cell r="J57" t="str"/>
          <cell r="K57" t="str"/>
          <cell r="L57" t="str"/>
          <cell r="M57" t="str"/>
        </row>
        <row r="58">
          <cell r="A58" t="str"/>
          <cell r="B58" t="str"/>
          <cell r="C58" t="str"/>
          <cell r="D58" t="str"/>
          <cell r="E58" t="str"/>
          <cell r="F58" t="str"/>
          <cell r="G58" t="str"/>
          <cell r="H58" t="str"/>
          <cell r="I58" t="str"/>
          <cell r="J58" t="str"/>
          <cell r="K58" t="str"/>
          <cell r="L58" t="str"/>
          <cell r="M58" t="str"/>
        </row>
        <row r="59">
          <cell r="A59" t="str"/>
          <cell r="B59" t="str"/>
          <cell r="C59" t="str"/>
          <cell r="D59" t="str"/>
          <cell r="E59" t="str"/>
          <cell r="F59" t="str"/>
          <cell r="G59" t="str"/>
          <cell r="H59" t="str"/>
          <cell r="I59" t="str"/>
          <cell r="J59" t="str"/>
          <cell r="K59" t="str"/>
          <cell r="L59" t="str"/>
          <cell r="M59" t="str"/>
        </row>
        <row r="60">
          <cell r="A60" t="str"/>
          <cell r="B60" t="str"/>
          <cell r="C60" t="str"/>
          <cell r="D60" t="str"/>
          <cell r="E60" t="str"/>
          <cell r="F60" t="str"/>
          <cell r="G60" t="str"/>
          <cell r="H60" t="str"/>
          <cell r="I60" t="str"/>
          <cell r="J60" t="str"/>
          <cell r="K60" t="str"/>
          <cell r="L60" t="str"/>
          <cell r="M60" t="str"/>
        </row>
        <row r="61">
          <cell r="A61" t="str"/>
          <cell r="B61" t="str"/>
          <cell r="C61" t="str"/>
          <cell r="D61" t="str"/>
          <cell r="E61" t="str"/>
          <cell r="F61" t="str"/>
          <cell r="G61" t="str"/>
          <cell r="H61" t="str"/>
          <cell r="I61" t="str"/>
          <cell r="J61" t="str"/>
          <cell r="K61" t="str"/>
          <cell r="L61" t="str"/>
          <cell r="M61" t="str"/>
        </row>
        <row r="62">
          <cell r="A62" t="str"/>
          <cell r="B62" t="str"/>
          <cell r="C62" t="str"/>
          <cell r="D62" t="str"/>
          <cell r="E62" t="str"/>
          <cell r="F62" t="str"/>
          <cell r="G62" t="str"/>
          <cell r="H62" t="str"/>
          <cell r="I62" t="str"/>
          <cell r="J62" t="str"/>
          <cell r="K62" t="str"/>
          <cell r="L62" t="str"/>
          <cell r="M62" t="str"/>
        </row>
        <row r="63">
          <cell r="A63" t="str"/>
          <cell r="B63" t="str"/>
          <cell r="C63" t="str"/>
          <cell r="D63" t="str"/>
          <cell r="E63" t="str"/>
          <cell r="F63" t="str"/>
          <cell r="G63" t="str"/>
          <cell r="H63" t="str"/>
          <cell r="I63" t="str"/>
          <cell r="J63" t="str"/>
          <cell r="K63" t="str"/>
          <cell r="L63" t="str"/>
          <cell r="M63" t="str"/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B4">
            <v>46266</v>
          </cell>
          <cell r="C4" t="str">
            <v>果然鲜</v>
          </cell>
          <cell r="D4" t="str">
            <v>包装物料－期初库存</v>
          </cell>
          <cell r="E4" t="str"/>
          <cell r="F4" t="str">
            <v>气泡垫</v>
          </cell>
          <cell r="G4" t="str">
            <v>*1000</v>
          </cell>
          <cell r="H4">
            <v>13800</v>
          </cell>
          <cell r="I4" t="str">
            <v>片</v>
          </cell>
          <cell r="J4" t="str"/>
          <cell r="K4" t="str"/>
          <cell r="L4" t="str"/>
          <cell r="M4" t="str"/>
          <cell r="N4" t="str"/>
          <cell r="O4" t="str"/>
          <cell r="P4" t="str"/>
          <cell r="Q4" t="str"/>
          <cell r="R4" t="str"/>
          <cell r="S4" t="str"/>
        </row>
        <row r="5">
          <cell r="B5">
            <v>46266</v>
          </cell>
          <cell r="C5" t="str">
            <v>果然鲜</v>
          </cell>
          <cell r="D5" t="str">
            <v>包装物料－期初库存</v>
          </cell>
          <cell r="E5" t="str"/>
          <cell r="F5" t="str">
            <v>无纺布</v>
          </cell>
          <cell r="G5" t="str">
            <v>*400</v>
          </cell>
          <cell r="H5">
            <v>2400</v>
          </cell>
          <cell r="I5" t="str">
            <v>个</v>
          </cell>
          <cell r="J5" t="str"/>
          <cell r="K5" t="str"/>
          <cell r="L5" t="str"/>
          <cell r="M5" t="str"/>
          <cell r="N5" t="str"/>
          <cell r="O5" t="str"/>
          <cell r="P5" t="str"/>
          <cell r="Q5" t="str"/>
          <cell r="R5" t="str"/>
          <cell r="S5" t="str"/>
        </row>
        <row r="6">
          <cell r="B6">
            <v>46266</v>
          </cell>
          <cell r="C6" t="str">
            <v>果然鲜</v>
          </cell>
          <cell r="D6" t="str">
            <v>包装物料－期初库存</v>
          </cell>
          <cell r="E6" t="str"/>
          <cell r="F6" t="str">
            <v>纸垫板</v>
          </cell>
          <cell r="G6" t="str">
            <v>*100张</v>
          </cell>
          <cell r="H6">
            <v>8700</v>
          </cell>
          <cell r="I6" t="str">
            <v>张</v>
          </cell>
          <cell r="J6" t="str"/>
          <cell r="K6" t="str"/>
          <cell r="L6" t="str"/>
          <cell r="M6" t="str"/>
          <cell r="N6" t="str"/>
          <cell r="O6" t="str"/>
          <cell r="P6" t="str"/>
          <cell r="Q6" t="str"/>
          <cell r="R6" t="str"/>
          <cell r="S6" t="str"/>
        </row>
        <row r="7">
          <cell r="B7">
            <v>46266</v>
          </cell>
          <cell r="C7" t="str">
            <v>果然鲜</v>
          </cell>
          <cell r="D7" t="str">
            <v>包装物料－期初库存</v>
          </cell>
          <cell r="E7" t="str"/>
          <cell r="F7" t="str">
            <v>香梨纸</v>
          </cell>
          <cell r="G7" t="str">
            <v>*捆</v>
          </cell>
          <cell r="H7">
            <v>48</v>
          </cell>
          <cell r="I7" t="str">
            <v>捆</v>
          </cell>
          <cell r="J7" t="str"/>
          <cell r="K7" t="str"/>
          <cell r="L7" t="str"/>
          <cell r="M7" t="str"/>
          <cell r="N7" t="str"/>
          <cell r="O7" t="str"/>
          <cell r="P7" t="str"/>
          <cell r="Q7" t="str"/>
          <cell r="R7" t="str"/>
          <cell r="S7" t="str"/>
        </row>
        <row r="8">
          <cell r="B8">
            <v>46266</v>
          </cell>
          <cell r="C8" t="str">
            <v>果然鲜</v>
          </cell>
          <cell r="D8" t="str">
            <v>包装物料－期初库存</v>
          </cell>
          <cell r="E8" t="str"/>
          <cell r="F8" t="str">
            <v>冷煤/氟利昂</v>
          </cell>
          <cell r="G8" t="str">
            <v>*瓶</v>
          </cell>
          <cell r="H8">
            <v>23</v>
          </cell>
          <cell r="I8" t="str">
            <v>瓶</v>
          </cell>
          <cell r="J8" t="str"/>
          <cell r="K8" t="str"/>
          <cell r="L8" t="str"/>
          <cell r="M8" t="str"/>
          <cell r="N8" t="str"/>
          <cell r="O8" t="str"/>
          <cell r="P8" t="str"/>
          <cell r="Q8" t="str"/>
          <cell r="R8" t="str"/>
          <cell r="S8" t="str"/>
        </row>
        <row r="9">
          <cell r="B9">
            <v>46266</v>
          </cell>
          <cell r="C9" t="str">
            <v>果然鲜</v>
          </cell>
          <cell r="D9" t="str">
            <v>包装物料－期初库存</v>
          </cell>
          <cell r="E9" t="str"/>
          <cell r="F9" t="str">
            <v>胶带</v>
          </cell>
          <cell r="G9" t="str">
            <v>*30卷</v>
          </cell>
          <cell r="H9">
            <v>2</v>
          </cell>
          <cell r="I9" t="str">
            <v>卷</v>
          </cell>
          <cell r="J9" t="str"/>
          <cell r="K9" t="str"/>
          <cell r="L9" t="str"/>
          <cell r="M9" t="str"/>
          <cell r="N9" t="str"/>
          <cell r="O9" t="str"/>
          <cell r="P9" t="str"/>
          <cell r="Q9" t="str"/>
          <cell r="R9" t="str"/>
          <cell r="S9" t="str"/>
        </row>
        <row r="10">
          <cell r="B10">
            <v>46266</v>
          </cell>
          <cell r="C10" t="str">
            <v>新顺发泡网</v>
          </cell>
          <cell r="D10" t="str">
            <v>包装物料－采购入库</v>
          </cell>
          <cell r="E10" t="str">
            <v>NO:0000743</v>
          </cell>
          <cell r="F10" t="str">
            <v>香梨网</v>
          </cell>
          <cell r="G10" t="str">
            <v>*包</v>
          </cell>
          <cell r="H10">
            <v>644</v>
          </cell>
          <cell r="I10" t="str">
            <v>包</v>
          </cell>
          <cell r="J10" t="str"/>
          <cell r="K10">
            <v>23828</v>
          </cell>
          <cell r="L10" t="str">
            <v>已付款</v>
          </cell>
          <cell r="M10" t="str">
            <v>12#</v>
          </cell>
          <cell r="N10" t="str"/>
          <cell r="O10" t="str"/>
          <cell r="P10" t="str"/>
          <cell r="Q10" t="str"/>
          <cell r="R10" t="str">
            <v>新Q*48887</v>
          </cell>
          <cell r="S10" t="str"/>
        </row>
        <row r="11">
          <cell r="B11">
            <v>46267</v>
          </cell>
          <cell r="C11" t="str">
            <v>吐尔洪</v>
          </cell>
          <cell r="D11" t="str">
            <v>包装物料－领用出库</v>
          </cell>
          <cell r="E11" t="str">
            <v>NO:0001067</v>
          </cell>
          <cell r="F11" t="str">
            <v>香梨网</v>
          </cell>
          <cell r="G11" t="str">
            <v>*包</v>
          </cell>
          <cell r="H11">
            <v>24</v>
          </cell>
          <cell r="I11" t="str">
            <v>包</v>
          </cell>
          <cell r="J11" t="str"/>
          <cell r="K11">
            <v>1080</v>
          </cell>
          <cell r="L11" t="str">
            <v>未付款</v>
          </cell>
          <cell r="M11" t="str"/>
          <cell r="N11" t="str"/>
          <cell r="O11" t="str"/>
          <cell r="P11" t="str"/>
          <cell r="Q11" t="str"/>
          <cell r="R11" t="str">
            <v>新N*X8S48</v>
          </cell>
          <cell r="S11" t="str"/>
        </row>
        <row r="12">
          <cell r="B12">
            <v>46268</v>
          </cell>
          <cell r="C12" t="str">
            <v>热合曼</v>
          </cell>
          <cell r="D12" t="str">
            <v>包装物料－领用出库</v>
          </cell>
          <cell r="E12" t="str">
            <v>NO:0001069</v>
          </cell>
          <cell r="F12" t="str">
            <v>香梨网</v>
          </cell>
          <cell r="G12" t="str">
            <v>*包</v>
          </cell>
          <cell r="H12">
            <v>44</v>
          </cell>
          <cell r="I12" t="str">
            <v>包</v>
          </cell>
          <cell r="J12" t="str"/>
          <cell r="K12">
            <v>1980</v>
          </cell>
          <cell r="L12" t="str">
            <v>未付款</v>
          </cell>
          <cell r="M12" t="str"/>
          <cell r="N12" t="str"/>
          <cell r="O12" t="str"/>
          <cell r="P12" t="str"/>
          <cell r="Q12" t="str"/>
          <cell r="R12" t="str">
            <v>新A*G0544</v>
          </cell>
          <cell r="S12" t="str"/>
        </row>
        <row r="13">
          <cell r="B13">
            <v>46268</v>
          </cell>
          <cell r="C13" t="str">
            <v>麦麦提</v>
          </cell>
          <cell r="D13" t="str">
            <v>包装物料－领用出库</v>
          </cell>
          <cell r="E13" t="str">
            <v>NO:0001070</v>
          </cell>
          <cell r="F13" t="str">
            <v>香梨纸</v>
          </cell>
          <cell r="G13" t="str">
            <v>*捆</v>
          </cell>
          <cell r="H13">
            <v>2</v>
          </cell>
          <cell r="I13" t="str">
            <v>捆</v>
          </cell>
          <cell r="J13" t="str"/>
          <cell r="K13">
            <v>96</v>
          </cell>
          <cell r="L13" t="str">
            <v>已收讫</v>
          </cell>
          <cell r="M13" t="str"/>
          <cell r="N13" t="str"/>
          <cell r="O13" t="str"/>
          <cell r="P13" t="str"/>
          <cell r="Q13" t="str"/>
          <cell r="R13" t="str">
            <v>自提</v>
          </cell>
          <cell r="S13" t="str"/>
        </row>
        <row r="14">
          <cell r="B14">
            <v>46268</v>
          </cell>
          <cell r="C14" t="str">
            <v>热合曼</v>
          </cell>
          <cell r="D14" t="str">
            <v>包装物料－领用出库</v>
          </cell>
          <cell r="E14" t="str">
            <v>NO:0001071</v>
          </cell>
          <cell r="F14" t="str">
            <v>香梨纸</v>
          </cell>
          <cell r="G14" t="str">
            <v>*捆</v>
          </cell>
          <cell r="H14">
            <v>2</v>
          </cell>
          <cell r="I14" t="str">
            <v>捆</v>
          </cell>
          <cell r="J14" t="str"/>
          <cell r="K14">
            <v>96</v>
          </cell>
          <cell r="L14" t="str">
            <v>已收讫</v>
          </cell>
          <cell r="M14" t="str"/>
          <cell r="N14" t="str"/>
          <cell r="O14" t="str"/>
          <cell r="P14" t="str"/>
          <cell r="Q14" t="str"/>
          <cell r="R14" t="str">
            <v>自提</v>
          </cell>
          <cell r="S14" t="str"/>
        </row>
        <row r="15">
          <cell r="B15">
            <v>46268</v>
          </cell>
          <cell r="C15" t="str">
            <v>麦麦提</v>
          </cell>
          <cell r="D15" t="str">
            <v>包装物料－领用出库</v>
          </cell>
          <cell r="E15" t="str">
            <v>NO:0001074</v>
          </cell>
          <cell r="F15" t="str">
            <v>香梨网</v>
          </cell>
          <cell r="G15" t="str">
            <v>*包</v>
          </cell>
          <cell r="H15">
            <v>44</v>
          </cell>
          <cell r="I15" t="str">
            <v>包</v>
          </cell>
          <cell r="J15" t="str"/>
          <cell r="K15">
            <v>1980</v>
          </cell>
          <cell r="L15" t="str">
            <v>未付款</v>
          </cell>
          <cell r="M15" t="str"/>
          <cell r="N15" t="str"/>
          <cell r="O15" t="str"/>
          <cell r="P15" t="str"/>
          <cell r="Q15" t="str"/>
          <cell r="R15" t="str">
            <v>新A*G0544</v>
          </cell>
          <cell r="S15" t="str"/>
        </row>
        <row r="16">
          <cell r="B16">
            <v>46269</v>
          </cell>
          <cell r="C16" t="str">
            <v>荆建君</v>
          </cell>
          <cell r="D16" t="str">
            <v>包装物料－领用出库</v>
          </cell>
          <cell r="E16" t="str">
            <v>NO:0001079</v>
          </cell>
          <cell r="F16" t="str">
            <v>香梨网</v>
          </cell>
          <cell r="G16" t="str">
            <v>*包</v>
          </cell>
          <cell r="H16">
            <v>64</v>
          </cell>
          <cell r="I16" t="str">
            <v>包</v>
          </cell>
          <cell r="J16" t="str"/>
          <cell r="K16">
            <v>2880</v>
          </cell>
          <cell r="L16" t="str">
            <v>未付款</v>
          </cell>
          <cell r="M16" t="str"/>
          <cell r="N16" t="str"/>
          <cell r="O16" t="str"/>
          <cell r="P16" t="str"/>
          <cell r="Q16" t="str"/>
          <cell r="R16" t="str">
            <v>豫A*2737K</v>
          </cell>
          <cell r="S16" t="str"/>
        </row>
        <row r="17">
          <cell r="B17">
            <v>46269</v>
          </cell>
          <cell r="C17" t="str">
            <v>努尔敦</v>
          </cell>
          <cell r="D17" t="str">
            <v>包装物料－领用出库</v>
          </cell>
          <cell r="E17" t="str">
            <v>NO:0001080</v>
          </cell>
          <cell r="F17" t="str">
            <v>香梨网</v>
          </cell>
          <cell r="G17" t="str">
            <v>*包</v>
          </cell>
          <cell r="H17">
            <v>120</v>
          </cell>
          <cell r="I17" t="str">
            <v>包</v>
          </cell>
          <cell r="J17" t="str"/>
          <cell r="K17">
            <v>5400</v>
          </cell>
          <cell r="L17" t="str">
            <v>未付款</v>
          </cell>
          <cell r="M17" t="str"/>
          <cell r="N17" t="str"/>
          <cell r="O17" t="str"/>
          <cell r="P17" t="str"/>
          <cell r="Q17" t="str"/>
          <cell r="R17" t="str">
            <v>新F*75240</v>
          </cell>
          <cell r="S17" t="str"/>
        </row>
        <row r="18">
          <cell r="B18">
            <v>46270</v>
          </cell>
          <cell r="C18" t="str">
            <v>热合曼</v>
          </cell>
          <cell r="D18" t="str">
            <v>包装物料－领用出库</v>
          </cell>
          <cell r="E18" t="str">
            <v>NO:0001084</v>
          </cell>
          <cell r="F18" t="str">
            <v>香梨纸</v>
          </cell>
          <cell r="G18" t="str">
            <v>*捆</v>
          </cell>
          <cell r="H18">
            <v>10</v>
          </cell>
          <cell r="I18" t="str">
            <v>捆</v>
          </cell>
          <cell r="J18" t="str"/>
          <cell r="K18">
            <v>560</v>
          </cell>
          <cell r="L18" t="str">
            <v>未付款</v>
          </cell>
          <cell r="M18" t="str"/>
          <cell r="N18" t="str"/>
          <cell r="O18" t="str"/>
          <cell r="P18" t="str"/>
          <cell r="Q18" t="str"/>
          <cell r="R18" t="str">
            <v>新N*FJ0676</v>
          </cell>
          <cell r="S18" t="str"/>
        </row>
        <row r="19">
          <cell r="B19">
            <v>46272</v>
          </cell>
          <cell r="C19" t="str">
            <v>麦麦提</v>
          </cell>
          <cell r="D19" t="str">
            <v>包装物料－领用出库</v>
          </cell>
          <cell r="E19" t="str">
            <v>NO:0001089</v>
          </cell>
          <cell r="F19" t="str">
            <v>香梨网</v>
          </cell>
          <cell r="G19" t="str">
            <v>*包</v>
          </cell>
          <cell r="H19">
            <v>48</v>
          </cell>
          <cell r="I19" t="str">
            <v>包</v>
          </cell>
          <cell r="J19" t="str"/>
          <cell r="K19">
            <v>2160</v>
          </cell>
          <cell r="L19" t="str">
            <v>未付款</v>
          </cell>
          <cell r="M19" t="str"/>
          <cell r="N19" t="str"/>
          <cell r="O19" t="str"/>
          <cell r="P19" t="str"/>
          <cell r="Q19" t="str"/>
          <cell r="R19" t="str">
            <v>新A*G0544</v>
          </cell>
          <cell r="S19" t="str"/>
        </row>
        <row r="20">
          <cell r="B20">
            <v>46272</v>
          </cell>
          <cell r="C20" t="str">
            <v>贾建国</v>
          </cell>
          <cell r="D20" t="str">
            <v>包装物料－领用出库</v>
          </cell>
          <cell r="E20" t="str">
            <v>NO:0001092</v>
          </cell>
          <cell r="F20" t="str">
            <v>香梨网</v>
          </cell>
          <cell r="G20" t="str">
            <v>*包</v>
          </cell>
          <cell r="H20">
            <v>32</v>
          </cell>
          <cell r="I20" t="str">
            <v>包</v>
          </cell>
          <cell r="J20" t="str"/>
          <cell r="K20">
            <v>1440</v>
          </cell>
          <cell r="L20" t="str">
            <v>未付款</v>
          </cell>
          <cell r="M20" t="str"/>
          <cell r="N20" t="str"/>
          <cell r="O20" t="str"/>
          <cell r="P20" t="str"/>
          <cell r="Q20" t="str"/>
          <cell r="R20" t="str">
            <v>豫Q*H5591</v>
          </cell>
          <cell r="S20" t="str"/>
        </row>
        <row r="21">
          <cell r="B21">
            <v>46272</v>
          </cell>
          <cell r="C21" t="str">
            <v>贾建国</v>
          </cell>
          <cell r="D21" t="str">
            <v>包装物料－领用出库</v>
          </cell>
          <cell r="E21" t="str">
            <v>NO:0001092</v>
          </cell>
          <cell r="F21" t="str">
            <v>无纺布</v>
          </cell>
          <cell r="G21" t="str">
            <v>*400</v>
          </cell>
          <cell r="H21">
            <v>800</v>
          </cell>
          <cell r="I21" t="str">
            <v>个</v>
          </cell>
          <cell r="J21" t="str"/>
          <cell r="K21">
            <v>400</v>
          </cell>
          <cell r="L21" t="str">
            <v>未付款</v>
          </cell>
          <cell r="M21" t="str"/>
          <cell r="N21" t="str"/>
          <cell r="O21" t="str"/>
          <cell r="P21" t="str"/>
          <cell r="Q21" t="str"/>
          <cell r="R21" t="str">
            <v>豫Q*H5591</v>
          </cell>
          <cell r="S21" t="str"/>
        </row>
        <row r="22">
          <cell r="B22">
            <v>46272</v>
          </cell>
          <cell r="C22" t="str">
            <v>热合曼</v>
          </cell>
          <cell r="D22" t="str">
            <v>包装物料－领用出库</v>
          </cell>
          <cell r="E22" t="str">
            <v>NO:0001094</v>
          </cell>
          <cell r="F22" t="str">
            <v>香梨网</v>
          </cell>
          <cell r="G22" t="str">
            <v>*包</v>
          </cell>
          <cell r="H22">
            <v>48</v>
          </cell>
          <cell r="I22" t="str">
            <v>包</v>
          </cell>
          <cell r="J22" t="str"/>
          <cell r="K22">
            <v>2160</v>
          </cell>
          <cell r="L22" t="str">
            <v>未付款</v>
          </cell>
          <cell r="M22" t="str"/>
          <cell r="N22" t="str"/>
          <cell r="O22" t="str"/>
          <cell r="P22" t="str"/>
          <cell r="Q22" t="str"/>
          <cell r="R22" t="str">
            <v>新A*G0544</v>
          </cell>
          <cell r="S22" t="str"/>
        </row>
        <row r="23">
          <cell r="B23">
            <v>46273</v>
          </cell>
          <cell r="C23" t="str">
            <v>贾建国</v>
          </cell>
          <cell r="D23" t="str">
            <v>包装物料－退回入库</v>
          </cell>
          <cell r="E23" t="str">
            <v>NO:0000760</v>
          </cell>
          <cell r="F23" t="str">
            <v>无纺布</v>
          </cell>
          <cell r="G23" t="str">
            <v>*400</v>
          </cell>
          <cell r="H23">
            <v>-800</v>
          </cell>
          <cell r="I23" t="str">
            <v>个</v>
          </cell>
          <cell r="J23" t="str"/>
          <cell r="K23">
            <v>-400</v>
          </cell>
          <cell r="L23" t="str">
            <v>无需付款</v>
          </cell>
          <cell r="M23" t="str"/>
          <cell r="N23" t="str"/>
          <cell r="O23" t="str"/>
          <cell r="P23" t="str"/>
          <cell r="Q23" t="str"/>
          <cell r="R23" t="str">
            <v>豫Q*H5591</v>
          </cell>
          <cell r="S23" t="str"/>
        </row>
        <row r="24">
          <cell r="B24">
            <v>46274</v>
          </cell>
          <cell r="C24" t="str">
            <v>吐尔逊</v>
          </cell>
          <cell r="D24" t="str">
            <v>包装物料－领用出库</v>
          </cell>
          <cell r="E24" t="str">
            <v>NO:0001099</v>
          </cell>
          <cell r="F24" t="str">
            <v>香梨网</v>
          </cell>
          <cell r="G24" t="str">
            <v>*包</v>
          </cell>
          <cell r="H24">
            <v>16</v>
          </cell>
          <cell r="I24" t="str">
            <v>包</v>
          </cell>
          <cell r="J24" t="str"/>
          <cell r="K24">
            <v>720</v>
          </cell>
          <cell r="L24" t="str">
            <v>未付款</v>
          </cell>
          <cell r="M24" t="str"/>
          <cell r="N24" t="str"/>
          <cell r="O24" t="str"/>
          <cell r="P24" t="str"/>
          <cell r="Q24" t="str"/>
          <cell r="R24" t="str">
            <v>新M*87613</v>
          </cell>
          <cell r="S24" t="str"/>
        </row>
        <row r="25">
          <cell r="B25">
            <v>46274</v>
          </cell>
          <cell r="C25" t="str">
            <v>吐尔逊</v>
          </cell>
          <cell r="D25" t="str">
            <v>包装物料－领用出库</v>
          </cell>
          <cell r="E25" t="str">
            <v>NO:0001099</v>
          </cell>
          <cell r="F25" t="str">
            <v>香梨纸</v>
          </cell>
          <cell r="G25" t="str">
            <v>*捆</v>
          </cell>
          <cell r="H25">
            <v>2</v>
          </cell>
          <cell r="I25" t="str">
            <v>捆</v>
          </cell>
          <cell r="J25" t="str"/>
          <cell r="K25">
            <v>120</v>
          </cell>
          <cell r="L25" t="str">
            <v>未付款</v>
          </cell>
          <cell r="M25" t="str"/>
          <cell r="N25" t="str"/>
          <cell r="O25" t="str"/>
          <cell r="P25" t="str"/>
          <cell r="Q25" t="str"/>
          <cell r="R25" t="str">
            <v>新M*87613</v>
          </cell>
          <cell r="S25" t="str"/>
        </row>
        <row r="26">
          <cell r="B26">
            <v>46274</v>
          </cell>
          <cell r="C26" t="str">
            <v>吐尔洪</v>
          </cell>
          <cell r="D26" t="str">
            <v>包装物料－领用出库</v>
          </cell>
          <cell r="E26" t="str">
            <v>NO:0001100</v>
          </cell>
          <cell r="F26" t="str">
            <v>香梨网</v>
          </cell>
          <cell r="G26" t="str">
            <v>*包</v>
          </cell>
          <cell r="H26">
            <v>12</v>
          </cell>
          <cell r="I26" t="str">
            <v>包</v>
          </cell>
          <cell r="J26" t="str"/>
          <cell r="K26">
            <v>540</v>
          </cell>
          <cell r="L26" t="str">
            <v>未付款</v>
          </cell>
          <cell r="M26" t="str"/>
          <cell r="N26" t="str"/>
          <cell r="O26" t="str"/>
          <cell r="P26" t="str"/>
          <cell r="Q26" t="str"/>
          <cell r="R26" t="str">
            <v>新N*X8S48</v>
          </cell>
          <cell r="S26" t="str"/>
        </row>
        <row r="27">
          <cell r="B27">
            <v>46274</v>
          </cell>
          <cell r="C27" t="str">
            <v>荆建君</v>
          </cell>
          <cell r="D27" t="str">
            <v>包装物料－领用出库</v>
          </cell>
          <cell r="E27" t="str">
            <v>NO:0001105</v>
          </cell>
          <cell r="F27" t="str">
            <v>香梨网</v>
          </cell>
          <cell r="G27" t="str">
            <v>*包</v>
          </cell>
          <cell r="H27">
            <v>48</v>
          </cell>
          <cell r="I27" t="str">
            <v>包</v>
          </cell>
          <cell r="J27" t="str"/>
          <cell r="K27">
            <v>2160</v>
          </cell>
          <cell r="L27" t="str">
            <v>未付款</v>
          </cell>
          <cell r="M27" t="str"/>
          <cell r="N27" t="str"/>
          <cell r="O27" t="str"/>
          <cell r="P27" t="str"/>
          <cell r="Q27" t="str"/>
          <cell r="R27" t="str">
            <v>豫A*2737K</v>
          </cell>
          <cell r="S27" t="str"/>
        </row>
        <row r="28">
          <cell r="B28">
            <v>46274</v>
          </cell>
          <cell r="C28" t="str">
            <v>麦麦提</v>
          </cell>
          <cell r="D28" t="str">
            <v>包装物料－领用出库</v>
          </cell>
          <cell r="E28" t="str">
            <v>NO:0001106</v>
          </cell>
          <cell r="F28" t="str">
            <v>香梨网</v>
          </cell>
          <cell r="G28" t="str">
            <v>*包</v>
          </cell>
          <cell r="H28">
            <v>48</v>
          </cell>
          <cell r="I28" t="str">
            <v>包</v>
          </cell>
          <cell r="J28" t="str"/>
          <cell r="K28">
            <v>2160</v>
          </cell>
          <cell r="L28" t="str">
            <v>未付款</v>
          </cell>
          <cell r="M28" t="str"/>
          <cell r="N28" t="str"/>
          <cell r="O28" t="str"/>
          <cell r="P28" t="str"/>
          <cell r="Q28" t="str"/>
          <cell r="R28" t="str">
            <v>新A*G0544</v>
          </cell>
          <cell r="S28" t="str"/>
        </row>
        <row r="29">
          <cell r="B29">
            <v>46276</v>
          </cell>
          <cell r="C29" t="str">
            <v>新顺发泡网</v>
          </cell>
          <cell r="D29" t="str">
            <v>包装物料－采购入库</v>
          </cell>
          <cell r="E29" t="str">
            <v>NO:0000777</v>
          </cell>
          <cell r="F29" t="str">
            <v>香梨网</v>
          </cell>
          <cell r="G29" t="str">
            <v>*包</v>
          </cell>
          <cell r="H29">
            <v>120</v>
          </cell>
          <cell r="I29" t="str">
            <v>包</v>
          </cell>
          <cell r="J29" t="str"/>
          <cell r="K29">
            <v>4440</v>
          </cell>
          <cell r="L29" t="str">
            <v>未付款</v>
          </cell>
          <cell r="M29" t="str">
            <v>12#</v>
          </cell>
          <cell r="N29" t="str"/>
          <cell r="O29" t="str"/>
          <cell r="P29" t="str"/>
          <cell r="Q29" t="str"/>
          <cell r="R29" t="str">
            <v>皖L*SD929</v>
          </cell>
          <cell r="S29" t="str"/>
        </row>
        <row r="30">
          <cell r="B30">
            <v>46276</v>
          </cell>
          <cell r="C30" t="str">
            <v>麦麦提</v>
          </cell>
          <cell r="D30" t="str">
            <v>包装物料－领用出库</v>
          </cell>
          <cell r="E30" t="str">
            <v>NO:0001113</v>
          </cell>
          <cell r="F30" t="str">
            <v>香梨网</v>
          </cell>
          <cell r="G30" t="str">
            <v>*包</v>
          </cell>
          <cell r="H30">
            <v>48</v>
          </cell>
          <cell r="I30" t="str">
            <v>包</v>
          </cell>
          <cell r="J30" t="str"/>
          <cell r="K30">
            <v>2160</v>
          </cell>
          <cell r="L30" t="str">
            <v>未付款</v>
          </cell>
          <cell r="M30" t="str"/>
          <cell r="N30" t="str"/>
          <cell r="O30" t="str"/>
          <cell r="P30" t="str"/>
          <cell r="Q30" t="str"/>
          <cell r="R30" t="str">
            <v>新A*G0544</v>
          </cell>
          <cell r="S30" t="str"/>
        </row>
        <row r="31">
          <cell r="B31">
            <v>46276</v>
          </cell>
          <cell r="C31" t="str">
            <v>新顺发泡网</v>
          </cell>
          <cell r="D31" t="str">
            <v>包装物料－采购入库</v>
          </cell>
          <cell r="E31" t="str">
            <v>NO:0000779</v>
          </cell>
          <cell r="F31" t="str">
            <v>香梨网</v>
          </cell>
          <cell r="G31" t="str">
            <v>*包</v>
          </cell>
          <cell r="H31">
            <v>120</v>
          </cell>
          <cell r="I31" t="str">
            <v>包</v>
          </cell>
          <cell r="J31" t="str"/>
          <cell r="K31">
            <v>4440</v>
          </cell>
          <cell r="L31" t="str">
            <v>未付款</v>
          </cell>
          <cell r="M31" t="str">
            <v>12#</v>
          </cell>
          <cell r="N31" t="str"/>
          <cell r="O31" t="str"/>
          <cell r="P31" t="str"/>
          <cell r="Q31" t="str"/>
          <cell r="R31" t="str">
            <v>皖L*KW876</v>
          </cell>
          <cell r="S31" t="str"/>
        </row>
        <row r="32">
          <cell r="B32">
            <v>46276</v>
          </cell>
          <cell r="C32" t="str">
            <v>吐尔洪</v>
          </cell>
          <cell r="D32" t="str">
            <v>包装物料－领用出库</v>
          </cell>
          <cell r="E32" t="str">
            <v>NO:0001117</v>
          </cell>
          <cell r="F32" t="str">
            <v>香梨网</v>
          </cell>
          <cell r="G32" t="str">
            <v>*包</v>
          </cell>
          <cell r="H32">
            <v>3</v>
          </cell>
          <cell r="I32" t="str">
            <v>包</v>
          </cell>
          <cell r="J32" t="str"/>
          <cell r="K32">
            <v>135</v>
          </cell>
          <cell r="L32" t="str">
            <v>未付款</v>
          </cell>
          <cell r="M32" t="str"/>
          <cell r="N32" t="str"/>
          <cell r="O32" t="str"/>
          <cell r="P32" t="str"/>
          <cell r="Q32" t="str"/>
          <cell r="R32" t="str">
            <v>新N*Z0305</v>
          </cell>
          <cell r="S32" t="str"/>
        </row>
        <row r="33">
          <cell r="B33">
            <v>46276</v>
          </cell>
          <cell r="C33" t="str">
            <v>热合曼</v>
          </cell>
          <cell r="D33" t="str">
            <v>包装物料－领用出库</v>
          </cell>
          <cell r="E33" t="str">
            <v>NO:0001120</v>
          </cell>
          <cell r="F33" t="str">
            <v>香梨网</v>
          </cell>
          <cell r="G33" t="str">
            <v>*包</v>
          </cell>
          <cell r="H33">
            <v>48</v>
          </cell>
          <cell r="I33" t="str">
            <v>包</v>
          </cell>
          <cell r="J33" t="str"/>
          <cell r="K33">
            <v>2160</v>
          </cell>
          <cell r="L33" t="str">
            <v>未付款</v>
          </cell>
          <cell r="M33" t="str"/>
          <cell r="N33" t="str"/>
          <cell r="O33" t="str"/>
          <cell r="P33" t="str"/>
          <cell r="Q33" t="str"/>
          <cell r="R33" t="str">
            <v>新A*G0544</v>
          </cell>
          <cell r="S33" t="str"/>
        </row>
        <row r="34">
          <cell r="B34">
            <v>46276</v>
          </cell>
          <cell r="C34" t="str">
            <v>吐尔洪</v>
          </cell>
          <cell r="D34" t="str">
            <v>包装物料－领用出库</v>
          </cell>
          <cell r="E34" t="str">
            <v>NO:0001121</v>
          </cell>
          <cell r="F34" t="str">
            <v>香梨网</v>
          </cell>
          <cell r="G34" t="str">
            <v>*包</v>
          </cell>
          <cell r="H34">
            <v>12</v>
          </cell>
          <cell r="I34" t="str">
            <v>包</v>
          </cell>
          <cell r="J34" t="str"/>
          <cell r="K34">
            <v>540</v>
          </cell>
          <cell r="L34" t="str">
            <v>未付款</v>
          </cell>
          <cell r="M34" t="str"/>
          <cell r="N34" t="str"/>
          <cell r="O34" t="str"/>
          <cell r="P34" t="str"/>
          <cell r="Q34" t="str"/>
          <cell r="R34" t="str">
            <v>新N*X8S48</v>
          </cell>
          <cell r="S34" t="str"/>
        </row>
        <row r="35">
          <cell r="B35">
            <v>46277</v>
          </cell>
          <cell r="C35" t="str">
            <v>新顺发泡网</v>
          </cell>
          <cell r="D35" t="str">
            <v>包装物料－采购入库</v>
          </cell>
          <cell r="E35" t="str">
            <v>NO:0000791</v>
          </cell>
          <cell r="F35" t="str">
            <v>香梨网</v>
          </cell>
          <cell r="G35" t="str">
            <v>*包</v>
          </cell>
          <cell r="H35">
            <v>120</v>
          </cell>
          <cell r="I35" t="str">
            <v>包</v>
          </cell>
          <cell r="J35" t="str"/>
          <cell r="K35">
            <v>4440</v>
          </cell>
          <cell r="L35" t="str">
            <v>未付款</v>
          </cell>
          <cell r="M35" t="str">
            <v>12#</v>
          </cell>
          <cell r="N35" t="str"/>
          <cell r="O35" t="str"/>
          <cell r="P35" t="str"/>
          <cell r="Q35" t="str"/>
          <cell r="R35" t="str">
            <v>皖L*SD929</v>
          </cell>
          <cell r="S35" t="str"/>
        </row>
        <row r="36">
          <cell r="B36">
            <v>46277</v>
          </cell>
          <cell r="C36" t="str">
            <v>麦麦提</v>
          </cell>
          <cell r="D36" t="str">
            <v>包装物料－领用出库</v>
          </cell>
          <cell r="E36" t="str">
            <v>NO:0001125</v>
          </cell>
          <cell r="F36" t="str">
            <v>香梨网</v>
          </cell>
          <cell r="G36" t="str">
            <v>*包</v>
          </cell>
          <cell r="H36">
            <v>48</v>
          </cell>
          <cell r="I36" t="str">
            <v>包</v>
          </cell>
          <cell r="J36" t="str"/>
          <cell r="K36">
            <v>2160</v>
          </cell>
          <cell r="L36" t="str">
            <v>未付款</v>
          </cell>
          <cell r="M36" t="str"/>
          <cell r="N36" t="str"/>
          <cell r="O36" t="str"/>
          <cell r="P36" t="str"/>
          <cell r="Q36" t="str"/>
          <cell r="R36" t="str">
            <v>新A*G0544</v>
          </cell>
          <cell r="S36" t="str"/>
        </row>
        <row r="37">
          <cell r="B37">
            <v>46278</v>
          </cell>
          <cell r="C37" t="str">
            <v>荆建君</v>
          </cell>
          <cell r="D37" t="str">
            <v>包装物料－领用出库</v>
          </cell>
          <cell r="E37" t="str">
            <v>NO:0001126</v>
          </cell>
          <cell r="F37" t="str">
            <v>香梨网</v>
          </cell>
          <cell r="G37" t="str">
            <v>*包</v>
          </cell>
          <cell r="H37">
            <v>120</v>
          </cell>
          <cell r="I37" t="str">
            <v>包</v>
          </cell>
          <cell r="J37" t="str"/>
          <cell r="K37">
            <v>5400</v>
          </cell>
          <cell r="L37" t="str">
            <v>未付款</v>
          </cell>
          <cell r="M37" t="str"/>
          <cell r="N37" t="str"/>
          <cell r="O37" t="str"/>
          <cell r="P37" t="str"/>
          <cell r="Q37" t="str"/>
          <cell r="R37" t="str">
            <v>豫A*2737K</v>
          </cell>
          <cell r="S37" t="str"/>
        </row>
        <row r="38">
          <cell r="B38">
            <v>46278</v>
          </cell>
          <cell r="C38" t="str">
            <v>吐尔洪</v>
          </cell>
          <cell r="D38" t="str">
            <v>包装物料－领用出库</v>
          </cell>
          <cell r="E38" t="str">
            <v>NO:0001132</v>
          </cell>
          <cell r="F38" t="str">
            <v>香梨网</v>
          </cell>
          <cell r="G38" t="str">
            <v>*包</v>
          </cell>
          <cell r="H38">
            <v>24</v>
          </cell>
          <cell r="I38" t="str">
            <v>包</v>
          </cell>
          <cell r="J38" t="str"/>
          <cell r="K38">
            <v>1080</v>
          </cell>
          <cell r="L38" t="str">
            <v>未付款</v>
          </cell>
          <cell r="M38" t="str"/>
          <cell r="N38" t="str"/>
          <cell r="O38" t="str"/>
          <cell r="P38" t="str"/>
          <cell r="Q38" t="str"/>
          <cell r="R38" t="str">
            <v>新N*X8S48</v>
          </cell>
          <cell r="S38" t="str"/>
        </row>
        <row r="39">
          <cell r="B39">
            <v>46278</v>
          </cell>
          <cell r="C39" t="str">
            <v>努尔敦</v>
          </cell>
          <cell r="D39" t="str">
            <v>包装物料－领用出库</v>
          </cell>
          <cell r="E39" t="str">
            <v>NO:0001133</v>
          </cell>
          <cell r="F39" t="str">
            <v>香梨网</v>
          </cell>
          <cell r="G39" t="str">
            <v>*包</v>
          </cell>
          <cell r="H39">
            <v>120</v>
          </cell>
          <cell r="I39" t="str">
            <v>包</v>
          </cell>
          <cell r="J39" t="str"/>
          <cell r="K39">
            <v>5400</v>
          </cell>
          <cell r="L39" t="str">
            <v>未付款</v>
          </cell>
          <cell r="M39" t="str"/>
          <cell r="N39" t="str"/>
          <cell r="O39" t="str"/>
          <cell r="P39" t="str"/>
          <cell r="Q39" t="str"/>
          <cell r="R39" t="str">
            <v>新F*75240</v>
          </cell>
          <cell r="S39" t="str"/>
        </row>
        <row r="40">
          <cell r="B40">
            <v>46279</v>
          </cell>
          <cell r="C40" t="str">
            <v>新顺发泡网</v>
          </cell>
          <cell r="D40" t="str">
            <v>包装物料－采购入库</v>
          </cell>
          <cell r="E40" t="str">
            <v>NO:0000856</v>
          </cell>
          <cell r="F40" t="str">
            <v>香梨网</v>
          </cell>
          <cell r="G40" t="str">
            <v>*包</v>
          </cell>
          <cell r="H40">
            <v>100</v>
          </cell>
          <cell r="I40" t="str">
            <v>包</v>
          </cell>
          <cell r="J40" t="str"/>
          <cell r="K40">
            <v>3700</v>
          </cell>
          <cell r="L40" t="str">
            <v>未付款</v>
          </cell>
          <cell r="M40" t="str">
            <v>12#</v>
          </cell>
          <cell r="N40" t="str"/>
          <cell r="O40" t="str"/>
          <cell r="P40" t="str"/>
          <cell r="Q40" t="str"/>
          <cell r="R40" t="str">
            <v>新N*2698H</v>
          </cell>
          <cell r="S40" t="str"/>
        </row>
        <row r="41">
          <cell r="B41">
            <v>46280</v>
          </cell>
          <cell r="C41" t="str">
            <v>新顺发泡网</v>
          </cell>
          <cell r="D41" t="str">
            <v>包装物料－采购入库</v>
          </cell>
          <cell r="E41" t="str">
            <v>NO:0000862</v>
          </cell>
          <cell r="F41" t="str">
            <v>香梨网</v>
          </cell>
          <cell r="G41" t="str">
            <v>*包</v>
          </cell>
          <cell r="H41">
            <v>120</v>
          </cell>
          <cell r="I41" t="str">
            <v>包</v>
          </cell>
          <cell r="J41" t="str"/>
          <cell r="K41">
            <v>4440</v>
          </cell>
          <cell r="L41" t="str">
            <v>未付款</v>
          </cell>
          <cell r="M41" t="str">
            <v>12#</v>
          </cell>
          <cell r="N41" t="str"/>
          <cell r="O41" t="str"/>
          <cell r="P41" t="str"/>
          <cell r="Q41" t="str"/>
          <cell r="R41" t="str">
            <v>皖L*SD929</v>
          </cell>
          <cell r="S41" t="str"/>
        </row>
        <row r="42">
          <cell r="B42">
            <v>46280</v>
          </cell>
          <cell r="C42" t="str">
            <v>新顺发泡网</v>
          </cell>
          <cell r="D42" t="str">
            <v>包装物料－采购入库</v>
          </cell>
          <cell r="E42" t="str">
            <v>NO:0000865</v>
          </cell>
          <cell r="F42" t="str">
            <v>香梨网</v>
          </cell>
          <cell r="G42" t="str">
            <v>*包</v>
          </cell>
          <cell r="H42">
            <v>120</v>
          </cell>
          <cell r="I42" t="str">
            <v>包</v>
          </cell>
          <cell r="J42" t="str"/>
          <cell r="K42">
            <v>4440</v>
          </cell>
          <cell r="L42" t="str">
            <v>未付款</v>
          </cell>
          <cell r="M42" t="str">
            <v>12#</v>
          </cell>
          <cell r="N42" t="str"/>
          <cell r="O42" t="str"/>
          <cell r="P42" t="str"/>
          <cell r="Q42" t="str"/>
          <cell r="R42" t="str">
            <v>皖L*KW876</v>
          </cell>
          <cell r="S42" t="str"/>
        </row>
        <row r="43">
          <cell r="B43">
            <v>46281</v>
          </cell>
          <cell r="C43" t="str">
            <v>热合曼</v>
          </cell>
          <cell r="D43" t="str">
            <v>包装物料－领用出库</v>
          </cell>
          <cell r="E43" t="str">
            <v>NO:0001149</v>
          </cell>
          <cell r="F43" t="str">
            <v>香梨网</v>
          </cell>
          <cell r="G43" t="str">
            <v>*包</v>
          </cell>
          <cell r="H43">
            <v>48</v>
          </cell>
          <cell r="I43" t="str">
            <v>包</v>
          </cell>
          <cell r="J43" t="str"/>
          <cell r="K43">
            <v>2160</v>
          </cell>
          <cell r="L43" t="str">
            <v>未付款</v>
          </cell>
          <cell r="M43" t="str"/>
          <cell r="N43" t="str"/>
          <cell r="O43" t="str"/>
          <cell r="P43" t="str"/>
          <cell r="Q43" t="str"/>
          <cell r="R43" t="str">
            <v>新A*G0544</v>
          </cell>
          <cell r="S43" t="str"/>
        </row>
        <row r="44">
          <cell r="B44">
            <v>46282</v>
          </cell>
          <cell r="C44" t="str">
            <v>努尔敦</v>
          </cell>
          <cell r="D44" t="str">
            <v>包装物料－领用出库</v>
          </cell>
          <cell r="E44" t="str">
            <v>NO:0001163</v>
          </cell>
          <cell r="F44" t="str">
            <v>香梨网</v>
          </cell>
          <cell r="G44" t="str">
            <v>*包</v>
          </cell>
          <cell r="H44">
            <v>60</v>
          </cell>
          <cell r="I44" t="str">
            <v>包</v>
          </cell>
          <cell r="J44" t="str"/>
          <cell r="K44">
            <v>2700</v>
          </cell>
          <cell r="L44" t="str">
            <v>未付款</v>
          </cell>
          <cell r="M44" t="str"/>
          <cell r="N44" t="str"/>
          <cell r="O44" t="str"/>
          <cell r="P44" t="str"/>
          <cell r="Q44" t="str"/>
          <cell r="R44" t="str">
            <v>新N*F0M01</v>
          </cell>
          <cell r="S44" t="str"/>
        </row>
        <row r="45">
          <cell r="B45">
            <v>46282</v>
          </cell>
          <cell r="C45" t="str">
            <v>热合曼</v>
          </cell>
          <cell r="D45" t="str">
            <v>包装物料－领用出库</v>
          </cell>
          <cell r="E45" t="str">
            <v>NO:0001169</v>
          </cell>
          <cell r="F45" t="str">
            <v>香梨网</v>
          </cell>
          <cell r="G45" t="str">
            <v>*包</v>
          </cell>
          <cell r="H45">
            <v>48</v>
          </cell>
          <cell r="I45" t="str">
            <v>包</v>
          </cell>
          <cell r="J45" t="str"/>
          <cell r="K45">
            <v>2160</v>
          </cell>
          <cell r="L45" t="str">
            <v>未付款</v>
          </cell>
          <cell r="M45" t="str"/>
          <cell r="N45" t="str"/>
          <cell r="O45" t="str"/>
          <cell r="P45" t="str"/>
          <cell r="Q45" t="str"/>
          <cell r="R45" t="str">
            <v>新A*G0544</v>
          </cell>
          <cell r="S45" t="str"/>
        </row>
        <row r="46">
          <cell r="B46">
            <v>46282</v>
          </cell>
          <cell r="C46" t="str">
            <v>努尔敦</v>
          </cell>
          <cell r="D46" t="str">
            <v>包装物料－领用出库</v>
          </cell>
          <cell r="E46" t="str">
            <v>NO:0001171</v>
          </cell>
          <cell r="F46" t="str">
            <v>香梨网</v>
          </cell>
          <cell r="G46" t="str">
            <v>*包</v>
          </cell>
          <cell r="H46">
            <v>77</v>
          </cell>
          <cell r="I46" t="str">
            <v>包</v>
          </cell>
          <cell r="J46" t="str"/>
          <cell r="K46">
            <v>3465</v>
          </cell>
          <cell r="L46" t="str">
            <v>未付款</v>
          </cell>
          <cell r="M46" t="str"/>
          <cell r="N46" t="str"/>
          <cell r="O46" t="str"/>
          <cell r="P46" t="str"/>
          <cell r="Q46" t="str"/>
          <cell r="R46" t="str">
            <v>新F*75240</v>
          </cell>
          <cell r="S46" t="str"/>
        </row>
        <row r="47">
          <cell r="B47">
            <v>46284</v>
          </cell>
          <cell r="C47" t="str">
            <v>新顺发泡网</v>
          </cell>
          <cell r="D47" t="str">
            <v>包装物料－采购入库</v>
          </cell>
          <cell r="E47" t="str">
            <v>NO:0000907</v>
          </cell>
          <cell r="F47" t="str">
            <v>香梨网</v>
          </cell>
          <cell r="G47" t="str">
            <v>*包</v>
          </cell>
          <cell r="H47">
            <v>248</v>
          </cell>
          <cell r="I47" t="str">
            <v>包</v>
          </cell>
          <cell r="J47" t="str"/>
          <cell r="K47">
            <v>9176</v>
          </cell>
          <cell r="L47" t="str">
            <v>未付款</v>
          </cell>
          <cell r="M47" t="str">
            <v>12#</v>
          </cell>
          <cell r="N47" t="str"/>
          <cell r="O47" t="str"/>
          <cell r="P47" t="str"/>
          <cell r="Q47" t="str"/>
          <cell r="R47" t="str">
            <v>皖L*KW876</v>
          </cell>
          <cell r="S47" t="str"/>
        </row>
        <row r="48">
          <cell r="B48">
            <v>46284</v>
          </cell>
          <cell r="C48" t="str">
            <v>吐尔洪</v>
          </cell>
          <cell r="D48" t="str">
            <v>包装物料－退回入库</v>
          </cell>
          <cell r="E48" t="str">
            <v>NO:0000908</v>
          </cell>
          <cell r="F48" t="str">
            <v>香梨网</v>
          </cell>
          <cell r="G48" t="str">
            <v>*包</v>
          </cell>
          <cell r="H48">
            <v>-10</v>
          </cell>
          <cell r="I48" t="str">
            <v>包</v>
          </cell>
          <cell r="J48" t="str"/>
          <cell r="K48">
            <v>-450</v>
          </cell>
          <cell r="L48" t="str">
            <v>无需收款</v>
          </cell>
          <cell r="M48" t="str"/>
          <cell r="N48" t="str"/>
          <cell r="O48" t="str"/>
          <cell r="P48" t="str"/>
          <cell r="Q48" t="str"/>
          <cell r="R48" t="str">
            <v>新N*X8S48</v>
          </cell>
          <cell r="S48" t="str"/>
        </row>
        <row r="49">
          <cell r="B49">
            <v>46284</v>
          </cell>
          <cell r="C49" t="str">
            <v>热合曼</v>
          </cell>
          <cell r="D49" t="str">
            <v>包装物料－领用出库</v>
          </cell>
          <cell r="E49" t="str">
            <v>NO:0001184</v>
          </cell>
          <cell r="F49" t="str">
            <v>香梨网</v>
          </cell>
          <cell r="G49" t="str">
            <v>*包</v>
          </cell>
          <cell r="H49">
            <v>48</v>
          </cell>
          <cell r="I49" t="str">
            <v>包</v>
          </cell>
          <cell r="J49" t="str"/>
          <cell r="K49">
            <v>2160</v>
          </cell>
          <cell r="L49" t="str">
            <v>未收款</v>
          </cell>
          <cell r="M49" t="str"/>
          <cell r="N49" t="str"/>
          <cell r="O49" t="str"/>
          <cell r="P49" t="str"/>
          <cell r="Q49" t="str"/>
          <cell r="R49" t="str">
            <v>新A*G0544</v>
          </cell>
          <cell r="S49" t="str"/>
        </row>
        <row r="50">
          <cell r="B50">
            <v>46284</v>
          </cell>
          <cell r="C50" t="str">
            <v>贾建国</v>
          </cell>
          <cell r="D50" t="str">
            <v>包装物料－领用出库</v>
          </cell>
          <cell r="E50" t="str">
            <v>NO:0001191</v>
          </cell>
          <cell r="F50" t="str">
            <v>香梨网</v>
          </cell>
          <cell r="G50" t="str">
            <v>*包</v>
          </cell>
          <cell r="H50">
            <v>15</v>
          </cell>
          <cell r="I50" t="str">
            <v>包</v>
          </cell>
          <cell r="J50" t="str"/>
          <cell r="K50">
            <v>675</v>
          </cell>
          <cell r="L50" t="str">
            <v>未收款</v>
          </cell>
          <cell r="M50" t="str"/>
          <cell r="N50" t="str"/>
          <cell r="O50" t="str"/>
          <cell r="P50" t="str"/>
          <cell r="Q50" t="str"/>
          <cell r="R50" t="str">
            <v>新N*48236</v>
          </cell>
          <cell r="S50" t="str"/>
        </row>
        <row r="51">
          <cell r="B51">
            <v>46284</v>
          </cell>
          <cell r="C51" t="str">
            <v>麦麦提</v>
          </cell>
          <cell r="D51" t="str">
            <v>包装物料－领用出库</v>
          </cell>
          <cell r="E51" t="str">
            <v>NO:0001193</v>
          </cell>
          <cell r="F51" t="str">
            <v>香梨网</v>
          </cell>
          <cell r="G51" t="str">
            <v>*包</v>
          </cell>
          <cell r="H51">
            <v>40</v>
          </cell>
          <cell r="I51" t="str">
            <v>包</v>
          </cell>
          <cell r="J51" t="str"/>
          <cell r="K51">
            <v>1800</v>
          </cell>
          <cell r="L51" t="str">
            <v>未收款</v>
          </cell>
          <cell r="M51" t="str"/>
          <cell r="N51" t="str"/>
          <cell r="O51" t="str"/>
          <cell r="P51" t="str"/>
          <cell r="Q51" t="str"/>
          <cell r="R51" t="str">
            <v>新R*37010</v>
          </cell>
          <cell r="S51" t="str"/>
        </row>
        <row r="52">
          <cell r="B52">
            <v>46284</v>
          </cell>
          <cell r="C52" t="str">
            <v>努尔敦</v>
          </cell>
          <cell r="D52" t="str">
            <v>包装物料－领用出库</v>
          </cell>
          <cell r="E52" t="str">
            <v>NO:0001195</v>
          </cell>
          <cell r="F52" t="str">
            <v>香梨网</v>
          </cell>
          <cell r="G52" t="str">
            <v>*包</v>
          </cell>
          <cell r="H52">
            <v>60</v>
          </cell>
          <cell r="I52" t="str">
            <v>包</v>
          </cell>
          <cell r="J52" t="str"/>
          <cell r="K52">
            <v>2700</v>
          </cell>
          <cell r="L52" t="str">
            <v>未收款</v>
          </cell>
          <cell r="M52" t="str">
            <v>阿布都</v>
          </cell>
          <cell r="N52" t="str"/>
          <cell r="O52" t="str"/>
          <cell r="P52" t="str"/>
          <cell r="Q52" t="str"/>
          <cell r="R52" t="str">
            <v>新N*F0M01</v>
          </cell>
          <cell r="S52" t="str"/>
        </row>
        <row r="53">
          <cell r="B53">
            <v>46285</v>
          </cell>
          <cell r="C53" t="str">
            <v>王浩</v>
          </cell>
          <cell r="D53" t="str">
            <v>包装物料－领用出库</v>
          </cell>
          <cell r="E53" t="str">
            <v>NO:0001201</v>
          </cell>
          <cell r="F53" t="str">
            <v>胶带</v>
          </cell>
          <cell r="G53" t="str">
            <v>*30卷</v>
          </cell>
          <cell r="H53">
            <v>1</v>
          </cell>
          <cell r="I53" t="str">
            <v>卷</v>
          </cell>
          <cell r="J53" t="str"/>
          <cell r="K53">
            <v>150</v>
          </cell>
          <cell r="L53" t="str">
            <v>已收讫</v>
          </cell>
          <cell r="M53" t="str"/>
          <cell r="N53" t="str"/>
          <cell r="O53" t="str"/>
          <cell r="P53" t="str"/>
          <cell r="Q53" t="str"/>
          <cell r="R53" t="str">
            <v>自提</v>
          </cell>
          <cell r="S53" t="str"/>
        </row>
        <row r="54">
          <cell r="B54">
            <v>46285</v>
          </cell>
          <cell r="C54" t="str">
            <v>吐尔逊</v>
          </cell>
          <cell r="D54" t="str">
            <v>包装物料－领用出库</v>
          </cell>
          <cell r="E54" t="str">
            <v>NO:0001206</v>
          </cell>
          <cell r="F54" t="str">
            <v>香梨网</v>
          </cell>
          <cell r="G54" t="str">
            <v>*包</v>
          </cell>
          <cell r="H54">
            <v>8</v>
          </cell>
          <cell r="I54" t="str">
            <v>包</v>
          </cell>
          <cell r="J54" t="str"/>
          <cell r="K54">
            <v>360</v>
          </cell>
          <cell r="L54" t="str">
            <v>未收款</v>
          </cell>
          <cell r="M54" t="str"/>
          <cell r="N54" t="str"/>
          <cell r="O54" t="str"/>
          <cell r="P54" t="str"/>
          <cell r="Q54" t="str"/>
          <cell r="R54" t="str">
            <v>新A*NZ020</v>
          </cell>
          <cell r="S54" t="str"/>
        </row>
        <row r="55">
          <cell r="B55">
            <v>46286</v>
          </cell>
          <cell r="C55" t="str">
            <v>荆建君</v>
          </cell>
          <cell r="D55" t="str">
            <v>包装物料－领用出库</v>
          </cell>
          <cell r="E55" t="str">
            <v>NO:0001208</v>
          </cell>
          <cell r="F55" t="str">
            <v>香梨网</v>
          </cell>
          <cell r="G55" t="str">
            <v>*包</v>
          </cell>
          <cell r="H55">
            <v>40</v>
          </cell>
          <cell r="I55" t="str">
            <v>包</v>
          </cell>
          <cell r="J55" t="str"/>
          <cell r="K55">
            <v>1800</v>
          </cell>
          <cell r="L55" t="str">
            <v>未收款</v>
          </cell>
          <cell r="M55" t="str"/>
          <cell r="N55" t="str"/>
          <cell r="O55" t="str"/>
          <cell r="P55" t="str"/>
          <cell r="Q55" t="str"/>
          <cell r="R55" t="str">
            <v>豫A*2737K</v>
          </cell>
          <cell r="S55" t="str"/>
        </row>
        <row r="56">
          <cell r="B56">
            <v>46286</v>
          </cell>
          <cell r="C56" t="str">
            <v>热合曼</v>
          </cell>
          <cell r="D56" t="str">
            <v>包装物料－领用出库</v>
          </cell>
          <cell r="E56" t="str">
            <v>NO:0001209</v>
          </cell>
          <cell r="F56" t="str">
            <v>香梨网</v>
          </cell>
          <cell r="G56" t="str">
            <v>*包</v>
          </cell>
          <cell r="H56">
            <v>39</v>
          </cell>
          <cell r="I56" t="str">
            <v>包</v>
          </cell>
          <cell r="J56" t="str"/>
          <cell r="K56">
            <v>1755</v>
          </cell>
          <cell r="L56" t="str">
            <v>未收款</v>
          </cell>
          <cell r="M56" t="str">
            <v>艾则孜</v>
          </cell>
          <cell r="N56" t="str"/>
          <cell r="O56" t="str"/>
          <cell r="P56" t="str"/>
          <cell r="Q56" t="str"/>
          <cell r="R56" t="str">
            <v>新R*37010</v>
          </cell>
          <cell r="S56" t="str"/>
        </row>
        <row r="57">
          <cell r="B57">
            <v>46286</v>
          </cell>
          <cell r="C57" t="str">
            <v>努尔敦</v>
          </cell>
          <cell r="D57" t="str">
            <v>包装物料－领用出库</v>
          </cell>
          <cell r="E57" t="str">
            <v>NO:0001213</v>
          </cell>
          <cell r="F57" t="str">
            <v>香梨网</v>
          </cell>
          <cell r="G57" t="str">
            <v>*包</v>
          </cell>
          <cell r="H57">
            <v>60</v>
          </cell>
          <cell r="I57" t="str">
            <v>包</v>
          </cell>
          <cell r="J57" t="str"/>
          <cell r="K57">
            <v>2700</v>
          </cell>
          <cell r="L57" t="str">
            <v>未收款</v>
          </cell>
          <cell r="M57" t="str">
            <v>阿布都</v>
          </cell>
          <cell r="N57" t="str"/>
          <cell r="O57" t="str"/>
          <cell r="P57" t="str"/>
          <cell r="Q57" t="str"/>
          <cell r="R57" t="str">
            <v>新N*F0M01</v>
          </cell>
          <cell r="S57" t="str"/>
        </row>
        <row r="58">
          <cell r="B58">
            <v>46286</v>
          </cell>
          <cell r="C58" t="str">
            <v>新顺发泡网</v>
          </cell>
          <cell r="D58" t="str">
            <v>包装物料－采购入库</v>
          </cell>
          <cell r="E58" t="str">
            <v>NO:0000941</v>
          </cell>
          <cell r="F58" t="str">
            <v>香梨网</v>
          </cell>
          <cell r="G58" t="str">
            <v>*包</v>
          </cell>
          <cell r="H58">
            <v>240</v>
          </cell>
          <cell r="I58" t="str">
            <v>包</v>
          </cell>
          <cell r="J58" t="str"/>
          <cell r="K58">
            <v>8880</v>
          </cell>
          <cell r="L58" t="str">
            <v>未付款</v>
          </cell>
          <cell r="M58" t="str">
            <v>12#</v>
          </cell>
          <cell r="N58" t="str"/>
          <cell r="O58" t="str"/>
          <cell r="P58" t="str"/>
          <cell r="Q58" t="str"/>
          <cell r="R58" t="str">
            <v>皖L*KW876</v>
          </cell>
          <cell r="S58" t="str"/>
        </row>
        <row r="59">
          <cell r="B59">
            <v>46287</v>
          </cell>
          <cell r="C59" t="str">
            <v>艾海提</v>
          </cell>
          <cell r="D59" t="str">
            <v>包装物料－领用出库</v>
          </cell>
          <cell r="E59" t="str">
            <v>NO:0001215</v>
          </cell>
          <cell r="F59" t="str">
            <v>香梨网</v>
          </cell>
          <cell r="G59" t="str">
            <v>*包</v>
          </cell>
          <cell r="H59">
            <v>12</v>
          </cell>
          <cell r="I59" t="str">
            <v>包</v>
          </cell>
          <cell r="J59" t="str"/>
          <cell r="K59">
            <v>540</v>
          </cell>
          <cell r="L59" t="str">
            <v>未收款</v>
          </cell>
          <cell r="M59" t="str"/>
          <cell r="N59" t="str"/>
          <cell r="O59" t="str"/>
          <cell r="P59" t="str"/>
          <cell r="Q59" t="str"/>
          <cell r="R59" t="str">
            <v>新N*WX586</v>
          </cell>
          <cell r="S59" t="str"/>
        </row>
        <row r="60">
          <cell r="B60">
            <v>46287</v>
          </cell>
          <cell r="C60" t="str">
            <v>努尔敦</v>
          </cell>
          <cell r="D60" t="str">
            <v>包装物料－领用出库</v>
          </cell>
          <cell r="E60" t="str">
            <v>NO:0001216</v>
          </cell>
          <cell r="F60" t="str">
            <v>香梨网</v>
          </cell>
          <cell r="G60" t="str">
            <v>*包</v>
          </cell>
          <cell r="H60">
            <v>60</v>
          </cell>
          <cell r="I60" t="str">
            <v>包</v>
          </cell>
          <cell r="J60" t="str"/>
          <cell r="K60">
            <v>2700</v>
          </cell>
          <cell r="L60" t="str">
            <v>未收款</v>
          </cell>
          <cell r="M60" t="str">
            <v>阿布都</v>
          </cell>
          <cell r="N60" t="str"/>
          <cell r="O60" t="str"/>
          <cell r="P60" t="str"/>
          <cell r="Q60" t="str"/>
          <cell r="R60" t="str">
            <v>新N*F0M01</v>
          </cell>
          <cell r="S60" t="str"/>
        </row>
        <row r="61">
          <cell r="B61">
            <v>46288</v>
          </cell>
          <cell r="C61" t="str">
            <v>热合曼</v>
          </cell>
          <cell r="D61" t="str">
            <v>包装物料－领用出库</v>
          </cell>
          <cell r="E61" t="str">
            <v>NO:0001222</v>
          </cell>
          <cell r="F61" t="str">
            <v>香梨网</v>
          </cell>
          <cell r="G61" t="str">
            <v>*包</v>
          </cell>
          <cell r="H61">
            <v>44</v>
          </cell>
          <cell r="I61" t="str">
            <v>包</v>
          </cell>
          <cell r="J61" t="str"/>
          <cell r="K61">
            <v>1980</v>
          </cell>
          <cell r="L61" t="str">
            <v>未收款</v>
          </cell>
          <cell r="M61" t="str"/>
          <cell r="N61" t="str"/>
          <cell r="O61" t="str"/>
          <cell r="P61" t="str"/>
          <cell r="Q61" t="str"/>
          <cell r="R61" t="str">
            <v>新R*37010</v>
          </cell>
          <cell r="S61" t="str"/>
        </row>
        <row r="62">
          <cell r="B62">
            <v>46288</v>
          </cell>
          <cell r="C62" t="str">
            <v>荆建君</v>
          </cell>
          <cell r="D62" t="str">
            <v>包装物料－领用出库</v>
          </cell>
          <cell r="E62" t="str">
            <v>NO:0001223</v>
          </cell>
          <cell r="F62" t="str">
            <v>香梨网</v>
          </cell>
          <cell r="G62" t="str">
            <v>*包</v>
          </cell>
          <cell r="H62">
            <v>24</v>
          </cell>
          <cell r="I62" t="str">
            <v>包</v>
          </cell>
          <cell r="J62" t="str"/>
          <cell r="K62">
            <v>1080</v>
          </cell>
          <cell r="L62" t="str">
            <v>未收款</v>
          </cell>
          <cell r="M62" t="str"/>
          <cell r="N62" t="str"/>
          <cell r="O62" t="str"/>
          <cell r="P62" t="str"/>
          <cell r="Q62" t="str"/>
          <cell r="R62" t="str">
            <v>豫A*2737K</v>
          </cell>
          <cell r="S62" t="str"/>
        </row>
        <row r="63">
          <cell r="B63">
            <v>46288</v>
          </cell>
          <cell r="C63" t="str">
            <v>麦麦提</v>
          </cell>
          <cell r="D63" t="str">
            <v>包装物料－领用出库</v>
          </cell>
          <cell r="E63" t="str">
            <v>NO:0001227</v>
          </cell>
          <cell r="F63" t="str">
            <v>香梨网</v>
          </cell>
          <cell r="G63" t="str">
            <v>*包</v>
          </cell>
          <cell r="H63">
            <v>8</v>
          </cell>
          <cell r="I63" t="str">
            <v>包</v>
          </cell>
          <cell r="J63" t="str"/>
          <cell r="K63">
            <v>360</v>
          </cell>
          <cell r="L63" t="str">
            <v>未收款</v>
          </cell>
          <cell r="M63" t="str"/>
          <cell r="N63" t="str"/>
          <cell r="O63" t="str"/>
          <cell r="P63" t="str"/>
          <cell r="Q63" t="str"/>
          <cell r="R63" t="str">
            <v>新R*37010</v>
          </cell>
          <cell r="S63" t="str"/>
        </row>
        <row r="64">
          <cell r="B64">
            <v>46289</v>
          </cell>
          <cell r="C64" t="str">
            <v>吐尔地</v>
          </cell>
          <cell r="D64" t="str">
            <v>包装物料－领用出库</v>
          </cell>
          <cell r="E64" t="str">
            <v>NO:0001232</v>
          </cell>
          <cell r="F64" t="str">
            <v>香梨网</v>
          </cell>
          <cell r="G64" t="str">
            <v>*包</v>
          </cell>
          <cell r="H64">
            <v>12</v>
          </cell>
          <cell r="I64" t="str">
            <v>包</v>
          </cell>
          <cell r="J64" t="str"/>
          <cell r="K64">
            <v>540</v>
          </cell>
          <cell r="L64" t="str">
            <v>未收款</v>
          </cell>
          <cell r="M64" t="str"/>
          <cell r="N64" t="str"/>
          <cell r="O64" t="str"/>
          <cell r="P64" t="str"/>
          <cell r="Q64" t="str"/>
          <cell r="R64" t="str">
            <v>新N*X8S48</v>
          </cell>
          <cell r="S64" t="str"/>
        </row>
        <row r="65">
          <cell r="B65">
            <v>46289</v>
          </cell>
          <cell r="C65" t="str">
            <v>吐尔地</v>
          </cell>
          <cell r="D65" t="str">
            <v>包装物料－领用出库</v>
          </cell>
          <cell r="E65" t="str">
            <v>NO:0001232</v>
          </cell>
          <cell r="F65" t="str">
            <v>香梨纸</v>
          </cell>
          <cell r="G65" t="str">
            <v>*捆</v>
          </cell>
          <cell r="H65">
            <v>2</v>
          </cell>
          <cell r="I65" t="str">
            <v>捆</v>
          </cell>
          <cell r="J65" t="str"/>
          <cell r="K65">
            <v>120</v>
          </cell>
          <cell r="L65" t="str">
            <v>未收款</v>
          </cell>
          <cell r="M65" t="str"/>
          <cell r="N65" t="str"/>
          <cell r="O65" t="str"/>
          <cell r="P65" t="str"/>
          <cell r="Q65" t="str"/>
          <cell r="R65" t="str">
            <v>新N*X8S48</v>
          </cell>
          <cell r="S65" t="str"/>
        </row>
        <row r="66">
          <cell r="B66">
            <v>46289</v>
          </cell>
          <cell r="C66" t="str">
            <v>麦麦提</v>
          </cell>
          <cell r="D66" t="str">
            <v>包装物料－领用出库</v>
          </cell>
          <cell r="E66" t="str">
            <v>NO:0001235</v>
          </cell>
          <cell r="F66" t="str">
            <v>香梨网</v>
          </cell>
          <cell r="G66" t="str">
            <v>*包</v>
          </cell>
          <cell r="H66">
            <v>48</v>
          </cell>
          <cell r="I66" t="str">
            <v>包</v>
          </cell>
          <cell r="J66" t="str"/>
          <cell r="K66">
            <v>2160</v>
          </cell>
          <cell r="L66" t="str">
            <v>未收款</v>
          </cell>
          <cell r="M66" t="str"/>
          <cell r="N66" t="str"/>
          <cell r="O66" t="str"/>
          <cell r="P66" t="str"/>
          <cell r="Q66" t="str"/>
          <cell r="R66" t="str">
            <v>新R*37010</v>
          </cell>
          <cell r="S66" t="str"/>
        </row>
        <row r="67">
          <cell r="B67">
            <v>46290</v>
          </cell>
          <cell r="C67" t="str">
            <v>吐尔地</v>
          </cell>
          <cell r="D67" t="str">
            <v>包装物料－退回入库</v>
          </cell>
          <cell r="E67" t="str">
            <v>NO:0000979</v>
          </cell>
          <cell r="F67" t="str">
            <v>香梨纸</v>
          </cell>
          <cell r="G67" t="str">
            <v>*捆</v>
          </cell>
          <cell r="H67">
            <v>-2</v>
          </cell>
          <cell r="I67" t="str">
            <v>捆</v>
          </cell>
          <cell r="J67" t="str"/>
          <cell r="K67">
            <v>-120</v>
          </cell>
          <cell r="L67" t="str">
            <v>无需收款</v>
          </cell>
          <cell r="M67" t="str"/>
          <cell r="N67" t="str"/>
          <cell r="O67" t="str"/>
          <cell r="P67" t="str"/>
          <cell r="Q67" t="str"/>
          <cell r="R67" t="str">
            <v>新N*X8S48</v>
          </cell>
          <cell r="S67" t="str"/>
        </row>
        <row r="68">
          <cell r="B68">
            <v>46290</v>
          </cell>
          <cell r="C68" t="str">
            <v>吐尔地</v>
          </cell>
          <cell r="D68" t="str">
            <v>包装物料－领用出库</v>
          </cell>
          <cell r="E68" t="str">
            <v>NO:0001238</v>
          </cell>
          <cell r="F68" t="str">
            <v>香梨网</v>
          </cell>
          <cell r="G68" t="str">
            <v>*包</v>
          </cell>
          <cell r="H68">
            <v>24</v>
          </cell>
          <cell r="I68" t="str">
            <v>包</v>
          </cell>
          <cell r="J68" t="str"/>
          <cell r="K68">
            <v>1080</v>
          </cell>
          <cell r="L68" t="str">
            <v>未收款</v>
          </cell>
          <cell r="M68" t="str"/>
          <cell r="N68" t="str"/>
          <cell r="O68" t="str"/>
          <cell r="P68" t="str"/>
          <cell r="Q68" t="str"/>
          <cell r="R68" t="str">
            <v>新N*X8S48</v>
          </cell>
          <cell r="S68" t="str"/>
        </row>
        <row r="69">
          <cell r="B69">
            <v>46290</v>
          </cell>
          <cell r="C69" t="str">
            <v>努尔敦</v>
          </cell>
          <cell r="D69" t="str">
            <v>包装物料－领用出库</v>
          </cell>
          <cell r="E69" t="str">
            <v>NO:0001239</v>
          </cell>
          <cell r="F69" t="str">
            <v>香梨网</v>
          </cell>
          <cell r="G69" t="str">
            <v>*包</v>
          </cell>
          <cell r="H69">
            <v>96</v>
          </cell>
          <cell r="I69" t="str">
            <v>包</v>
          </cell>
          <cell r="J69" t="str"/>
          <cell r="K69">
            <v>4320</v>
          </cell>
          <cell r="L69" t="str">
            <v>未收款</v>
          </cell>
          <cell r="M69" t="str"/>
          <cell r="N69" t="str"/>
          <cell r="O69" t="str"/>
          <cell r="P69" t="str"/>
          <cell r="Q69" t="str"/>
          <cell r="R69" t="str">
            <v>新F*75240</v>
          </cell>
          <cell r="S69" t="str"/>
        </row>
        <row r="70">
          <cell r="B70">
            <v>46290</v>
          </cell>
          <cell r="C70" t="str">
            <v>新顺发泡网</v>
          </cell>
          <cell r="D70" t="str">
            <v>包装物料－采购入库</v>
          </cell>
          <cell r="E70" t="str">
            <v>NO:0000980</v>
          </cell>
          <cell r="F70" t="str">
            <v>香梨网</v>
          </cell>
          <cell r="G70" t="str">
            <v>*包</v>
          </cell>
          <cell r="H70">
            <v>220</v>
          </cell>
          <cell r="I70" t="str">
            <v>包</v>
          </cell>
          <cell r="J70" t="str"/>
          <cell r="K70">
            <v>8140</v>
          </cell>
          <cell r="L70" t="str">
            <v>未付款</v>
          </cell>
          <cell r="M70" t="str">
            <v>12#</v>
          </cell>
          <cell r="N70" t="str"/>
          <cell r="O70" t="str"/>
          <cell r="P70" t="str"/>
          <cell r="Q70" t="str"/>
          <cell r="R70" t="str">
            <v>新N*2698H</v>
          </cell>
          <cell r="S70" t="str"/>
        </row>
        <row r="71">
          <cell r="B71">
            <v>46291</v>
          </cell>
          <cell r="C71" t="str">
            <v>热合曼</v>
          </cell>
          <cell r="D71" t="str">
            <v>包装物料－退回入库</v>
          </cell>
          <cell r="E71" t="str">
            <v>NO:0000989</v>
          </cell>
          <cell r="F71" t="str">
            <v>香梨网</v>
          </cell>
          <cell r="G71" t="str">
            <v>*包</v>
          </cell>
          <cell r="H71">
            <v>-20</v>
          </cell>
          <cell r="I71" t="str">
            <v>包</v>
          </cell>
          <cell r="J71" t="str"/>
          <cell r="K71">
            <v>-900</v>
          </cell>
          <cell r="L71" t="str">
            <v>无需收款</v>
          </cell>
          <cell r="M71" t="str">
            <v>艾海提</v>
          </cell>
          <cell r="N71" t="str"/>
          <cell r="O71" t="str"/>
          <cell r="P71" t="str"/>
          <cell r="Q71" t="str"/>
          <cell r="R71" t="str">
            <v>新N*WX586</v>
          </cell>
          <cell r="S71" t="str"/>
        </row>
        <row r="72">
          <cell r="B72">
            <v>46292</v>
          </cell>
          <cell r="C72" t="str">
            <v>荆建君</v>
          </cell>
          <cell r="D72" t="str">
            <v>包装物料－领用出库</v>
          </cell>
          <cell r="E72" t="str">
            <v>NO:0001246</v>
          </cell>
          <cell r="F72" t="str">
            <v>香梨网</v>
          </cell>
          <cell r="G72" t="str">
            <v>*包</v>
          </cell>
          <cell r="H72">
            <v>1</v>
          </cell>
          <cell r="I72" t="str">
            <v>包</v>
          </cell>
          <cell r="J72" t="str"/>
          <cell r="K72">
            <v>45</v>
          </cell>
          <cell r="L72" t="str">
            <v>未收款</v>
          </cell>
          <cell r="M72" t="str"/>
          <cell r="N72" t="str"/>
          <cell r="O72" t="str"/>
          <cell r="P72" t="str"/>
          <cell r="Q72" t="str"/>
          <cell r="R72" t="str">
            <v>豫A*2737K</v>
          </cell>
          <cell r="S72" t="str"/>
        </row>
        <row r="73">
          <cell r="B73">
            <v>46292</v>
          </cell>
          <cell r="C73" t="str">
            <v>麦麦提</v>
          </cell>
          <cell r="D73" t="str">
            <v>包装物料－领用出库</v>
          </cell>
          <cell r="E73" t="str">
            <v>NO:0001247</v>
          </cell>
          <cell r="F73" t="str">
            <v>香梨网</v>
          </cell>
          <cell r="G73" t="str">
            <v>*包</v>
          </cell>
          <cell r="H73">
            <v>40</v>
          </cell>
          <cell r="I73" t="str">
            <v>包</v>
          </cell>
          <cell r="J73" t="str"/>
          <cell r="K73">
            <v>1800</v>
          </cell>
          <cell r="L73" t="str">
            <v>未收款</v>
          </cell>
          <cell r="M73" t="str"/>
          <cell r="N73" t="str"/>
          <cell r="O73" t="str"/>
          <cell r="P73" t="str"/>
          <cell r="Q73" t="str"/>
          <cell r="R73" t="str">
            <v>新R*37010</v>
          </cell>
          <cell r="S73" t="str"/>
        </row>
        <row r="74">
          <cell r="B74">
            <v>46292</v>
          </cell>
          <cell r="C74" t="str">
            <v>努尔敦</v>
          </cell>
          <cell r="D74" t="str">
            <v>包装物料－领用出库</v>
          </cell>
          <cell r="E74" t="str">
            <v>NO:0001248</v>
          </cell>
          <cell r="F74" t="str">
            <v>香梨网</v>
          </cell>
          <cell r="G74" t="str">
            <v>*包</v>
          </cell>
          <cell r="H74">
            <v>40</v>
          </cell>
          <cell r="I74" t="str">
            <v>包</v>
          </cell>
          <cell r="J74" t="str"/>
          <cell r="K74">
            <v>1800</v>
          </cell>
          <cell r="L74" t="str">
            <v>未收款</v>
          </cell>
          <cell r="M74" t="str"/>
          <cell r="N74" t="str"/>
          <cell r="O74" t="str"/>
          <cell r="P74" t="str"/>
          <cell r="Q74" t="str"/>
          <cell r="R74" t="str">
            <v>新F*75240</v>
          </cell>
          <cell r="S74" t="str"/>
        </row>
        <row r="75">
          <cell r="B75">
            <v>46293</v>
          </cell>
          <cell r="C75" t="str">
            <v>吐尔地</v>
          </cell>
          <cell r="D75" t="str">
            <v>包装物料－领用出库</v>
          </cell>
          <cell r="E75" t="str">
            <v>NO:0001250</v>
          </cell>
          <cell r="F75" t="str">
            <v>香梨网</v>
          </cell>
          <cell r="G75" t="str">
            <v>*包</v>
          </cell>
          <cell r="H75">
            <v>16</v>
          </cell>
          <cell r="I75" t="str">
            <v>包</v>
          </cell>
          <cell r="J75" t="str"/>
          <cell r="K75">
            <v>720</v>
          </cell>
          <cell r="L75" t="str">
            <v>未收款</v>
          </cell>
          <cell r="M75" t="str"/>
          <cell r="N75" t="str"/>
          <cell r="O75" t="str"/>
          <cell r="P75" t="str"/>
          <cell r="Q75" t="str"/>
          <cell r="R75" t="str">
            <v>新N*X8S48</v>
          </cell>
          <cell r="S75" t="str"/>
        </row>
        <row r="76">
          <cell r="B76">
            <v>46293</v>
          </cell>
          <cell r="C76" t="str">
            <v>热合曼</v>
          </cell>
          <cell r="D76" t="str">
            <v>包装物料－退回入库</v>
          </cell>
          <cell r="E76" t="str">
            <v>NO:0001006</v>
          </cell>
          <cell r="F76" t="str">
            <v>香梨网</v>
          </cell>
          <cell r="G76" t="str">
            <v>*包</v>
          </cell>
          <cell r="H76">
            <v>-29</v>
          </cell>
          <cell r="I76" t="str">
            <v>包</v>
          </cell>
          <cell r="J76" t="str"/>
          <cell r="K76">
            <v>-1305</v>
          </cell>
          <cell r="L76" t="str">
            <v>无需收款</v>
          </cell>
          <cell r="M76" t="str"/>
          <cell r="N76" t="str"/>
          <cell r="O76" t="str"/>
          <cell r="P76" t="str"/>
          <cell r="Q76" t="str"/>
          <cell r="R76" t="str">
            <v>新R*37010</v>
          </cell>
          <cell r="S76" t="str"/>
        </row>
        <row r="77">
          <cell r="B77" t="str"/>
          <cell r="C77" t="str">
            <v>果然鲜</v>
          </cell>
          <cell r="D77" t="str">
            <v>周转筐－期初库存</v>
          </cell>
          <cell r="E77" t="str"/>
          <cell r="F77" t="str">
            <v>公司一次性筐</v>
          </cell>
          <cell r="G77" t="str"/>
          <cell r="H77">
            <v>69840</v>
          </cell>
          <cell r="I77" t="str">
            <v>个</v>
          </cell>
          <cell r="J77" t="str"/>
          <cell r="K77" t="str"/>
          <cell r="L77" t="str"/>
          <cell r="M77" t="str"/>
          <cell r="N77" t="str">
            <v>公司一次性筐</v>
          </cell>
          <cell r="O77" t="str"/>
          <cell r="P77" t="str"/>
          <cell r="Q77">
            <v>69840</v>
          </cell>
          <cell r="R77" t="str"/>
          <cell r="S77" t="str">
            <v>公司筐</v>
          </cell>
        </row>
        <row r="78">
          <cell r="B78" t="str"/>
          <cell r="C78" t="str">
            <v>果然鲜</v>
          </cell>
          <cell r="D78" t="str">
            <v>周转筐－期初库存</v>
          </cell>
          <cell r="E78" t="str"/>
          <cell r="F78" t="str">
            <v>公司杂周转筐</v>
          </cell>
          <cell r="G78" t="str"/>
          <cell r="H78">
            <v>35928</v>
          </cell>
          <cell r="I78" t="str">
            <v>个</v>
          </cell>
          <cell r="J78" t="str"/>
          <cell r="K78" t="str"/>
          <cell r="L78" t="str"/>
          <cell r="M78" t="str"/>
          <cell r="N78" t="str">
            <v>公司杂周转筐</v>
          </cell>
          <cell r="O78" t="str"/>
          <cell r="P78" t="str"/>
          <cell r="Q78">
            <v>35928</v>
          </cell>
          <cell r="R78" t="str"/>
          <cell r="S78" t="str">
            <v>公司筐</v>
          </cell>
        </row>
        <row r="79">
          <cell r="B79" t="str"/>
          <cell r="C79" t="str">
            <v>果然鲜</v>
          </cell>
          <cell r="D79" t="str">
            <v>周转筐－期初库存</v>
          </cell>
          <cell r="E79" t="str"/>
          <cell r="F79" t="str">
            <v>公司新周转筐</v>
          </cell>
          <cell r="G79" t="str"/>
          <cell r="H79">
            <v>58032</v>
          </cell>
          <cell r="I79" t="str">
            <v>个</v>
          </cell>
          <cell r="J79" t="str"/>
          <cell r="K79" t="str"/>
          <cell r="L79" t="str"/>
          <cell r="M79" t="str"/>
          <cell r="N79" t="str">
            <v>公司新周转筐</v>
          </cell>
          <cell r="O79" t="str"/>
          <cell r="P79" t="str"/>
          <cell r="Q79">
            <v>58032</v>
          </cell>
          <cell r="R79" t="str"/>
          <cell r="S79" t="str">
            <v>公司筐</v>
          </cell>
        </row>
        <row r="80">
          <cell r="B80" t="str"/>
          <cell r="C80" t="str">
            <v>果然鲜</v>
          </cell>
          <cell r="D80" t="str">
            <v>周转筐－期初库存</v>
          </cell>
          <cell r="E80" t="str"/>
          <cell r="F80" t="str">
            <v>公司白周转筐</v>
          </cell>
          <cell r="G80" t="str"/>
          <cell r="H80">
            <v>13968</v>
          </cell>
          <cell r="I80" t="str">
            <v>个</v>
          </cell>
          <cell r="J80" t="str"/>
          <cell r="K80" t="str"/>
          <cell r="L80" t="str"/>
          <cell r="M80" t="str"/>
          <cell r="N80" t="str">
            <v>公司白周转筐</v>
          </cell>
          <cell r="O80" t="str"/>
          <cell r="P80" t="str"/>
          <cell r="Q80">
            <v>13968</v>
          </cell>
          <cell r="R80" t="str"/>
          <cell r="S80" t="str">
            <v>公司筐</v>
          </cell>
        </row>
        <row r="81">
          <cell r="B81">
            <v>46245</v>
          </cell>
          <cell r="C81" t="str">
            <v>王照雪</v>
          </cell>
          <cell r="D81" t="str">
            <v>周转筐－领用出库</v>
          </cell>
          <cell r="E81" t="str">
            <v>NO:0001015</v>
          </cell>
          <cell r="F81" t="str">
            <v>公司杂周转筐</v>
          </cell>
          <cell r="G81" t="str"/>
          <cell r="H81">
            <v>351</v>
          </cell>
          <cell r="I81" t="str">
            <v>个</v>
          </cell>
          <cell r="J81" t="str"/>
          <cell r="K81" t="str"/>
          <cell r="L81" t="str"/>
          <cell r="M81" t="str"/>
          <cell r="N81" t="str">
            <v>公司杂周转筐</v>
          </cell>
          <cell r="O81">
            <v>351</v>
          </cell>
          <cell r="P81" t="str"/>
          <cell r="Q81" t="str"/>
          <cell r="R81" t="str">
            <v>豫L*88X19</v>
          </cell>
          <cell r="S81" t="str">
            <v>公司筐</v>
          </cell>
        </row>
        <row r="82">
          <cell r="B82">
            <v>46255</v>
          </cell>
          <cell r="C82" t="str">
            <v>王照雪</v>
          </cell>
          <cell r="D82" t="str">
            <v>周转筐－领用出库</v>
          </cell>
          <cell r="E82" t="str">
            <v>NO:0001022</v>
          </cell>
          <cell r="F82" t="str">
            <v>公司杂周转筐</v>
          </cell>
          <cell r="G82" t="str"/>
          <cell r="H82">
            <v>432</v>
          </cell>
          <cell r="I82" t="str">
            <v>个</v>
          </cell>
          <cell r="J82" t="str"/>
          <cell r="K82" t="str"/>
          <cell r="L82" t="str"/>
          <cell r="M82" t="str"/>
          <cell r="N82" t="str">
            <v>公司杂周转筐</v>
          </cell>
          <cell r="O82">
            <v>432</v>
          </cell>
          <cell r="P82" t="str"/>
          <cell r="Q82" t="str"/>
          <cell r="R82" t="str">
            <v>豫L*88X19</v>
          </cell>
          <cell r="S82" t="str">
            <v>公司筐</v>
          </cell>
        </row>
        <row r="83">
          <cell r="B83">
            <v>46258</v>
          </cell>
          <cell r="C83" t="str">
            <v>王照雪</v>
          </cell>
          <cell r="D83" t="str">
            <v>周转筐－领用出库</v>
          </cell>
          <cell r="E83" t="str">
            <v>NO:0001031</v>
          </cell>
          <cell r="F83" t="str">
            <v>公司杂周转筐</v>
          </cell>
          <cell r="G83" t="str"/>
          <cell r="H83">
            <v>282</v>
          </cell>
          <cell r="I83" t="str">
            <v>个</v>
          </cell>
          <cell r="J83" t="str"/>
          <cell r="K83" t="str"/>
          <cell r="L83" t="str"/>
          <cell r="M83" t="str"/>
          <cell r="N83" t="str">
            <v>公司杂周转筐</v>
          </cell>
          <cell r="O83">
            <v>282</v>
          </cell>
          <cell r="P83" t="str"/>
          <cell r="Q83" t="str"/>
          <cell r="R83" t="str">
            <v>豫L*88X19</v>
          </cell>
          <cell r="S83" t="str">
            <v>公司筐</v>
          </cell>
        </row>
        <row r="84">
          <cell r="B84">
            <v>46260</v>
          </cell>
          <cell r="C84" t="str">
            <v>王照雪</v>
          </cell>
          <cell r="D84" t="str">
            <v>周转筐－领用出库</v>
          </cell>
          <cell r="E84" t="str">
            <v>NO:0001037</v>
          </cell>
          <cell r="F84" t="str">
            <v>公司杂周转筐</v>
          </cell>
          <cell r="G84" t="str"/>
          <cell r="H84">
            <v>144</v>
          </cell>
          <cell r="I84" t="str">
            <v>个</v>
          </cell>
          <cell r="J84" t="str"/>
          <cell r="K84" t="str"/>
          <cell r="L84" t="str"/>
          <cell r="M84" t="str"/>
          <cell r="N84" t="str">
            <v>公司杂周转筐</v>
          </cell>
          <cell r="O84">
            <v>144</v>
          </cell>
          <cell r="P84" t="str"/>
          <cell r="Q84" t="str"/>
          <cell r="R84" t="str">
            <v>豫L*88X19</v>
          </cell>
          <cell r="S84" t="str">
            <v>公司筐</v>
          </cell>
        </row>
        <row r="85">
          <cell r="B85">
            <v>46258</v>
          </cell>
          <cell r="C85" t="str">
            <v>王照雪</v>
          </cell>
          <cell r="D85" t="str">
            <v>周转筐－退回入库</v>
          </cell>
          <cell r="E85" t="str">
            <v>NO:0000721</v>
          </cell>
          <cell r="F85" t="str">
            <v>公司杂周转筐</v>
          </cell>
          <cell r="G85" t="str"/>
          <cell r="H85">
            <v>4</v>
          </cell>
          <cell r="I85" t="str">
            <v>个</v>
          </cell>
          <cell r="J85" t="str"/>
          <cell r="K85" t="str"/>
          <cell r="L85" t="str"/>
          <cell r="M85" t="str"/>
          <cell r="N85" t="str">
            <v>公司杂周转筐</v>
          </cell>
          <cell r="O85" t="str"/>
          <cell r="P85">
            <v>4</v>
          </cell>
          <cell r="Q85" t="str"/>
          <cell r="R85" t="str">
            <v>豫L*88X19</v>
          </cell>
          <cell r="S85" t="str">
            <v>公司筐</v>
          </cell>
        </row>
        <row r="86">
          <cell r="B86">
            <v>46265</v>
          </cell>
          <cell r="C86" t="str">
            <v>王浩</v>
          </cell>
          <cell r="D86" t="str">
            <v>周转筐－领用出库</v>
          </cell>
          <cell r="E86" t="str">
            <v>NO:0001057</v>
          </cell>
          <cell r="F86" t="str">
            <v>公司一次性筐</v>
          </cell>
          <cell r="G86" t="str"/>
          <cell r="H86">
            <v>2040</v>
          </cell>
          <cell r="I86" t="str">
            <v>个</v>
          </cell>
          <cell r="J86" t="str"/>
          <cell r="K86" t="str"/>
          <cell r="L86" t="str"/>
          <cell r="M86" t="str"/>
          <cell r="N86" t="str">
            <v>公司一次性筐</v>
          </cell>
          <cell r="O86">
            <v>2040</v>
          </cell>
          <cell r="P86" t="str"/>
          <cell r="Q86" t="str"/>
          <cell r="R86" t="str">
            <v>新Q*67674</v>
          </cell>
          <cell r="S86" t="str">
            <v>公司筐</v>
          </cell>
        </row>
        <row r="87">
          <cell r="B87">
            <v>46266</v>
          </cell>
          <cell r="C87" t="str">
            <v>马锦祥</v>
          </cell>
          <cell r="D87" t="str">
            <v>周转筐－领用出库</v>
          </cell>
          <cell r="E87" t="str">
            <v>NO:0001061</v>
          </cell>
          <cell r="F87" t="str">
            <v>公司杂周转筐</v>
          </cell>
          <cell r="G87" t="str"/>
          <cell r="H87">
            <v>588</v>
          </cell>
          <cell r="I87" t="str">
            <v>个</v>
          </cell>
          <cell r="J87" t="str"/>
          <cell r="K87" t="str"/>
          <cell r="L87" t="str"/>
          <cell r="M87" t="str"/>
          <cell r="N87" t="str">
            <v>公司杂周转筐</v>
          </cell>
          <cell r="O87">
            <v>588</v>
          </cell>
          <cell r="P87" t="str"/>
          <cell r="Q87" t="str"/>
          <cell r="R87" t="str">
            <v>新N*K7V85</v>
          </cell>
          <cell r="S87" t="str">
            <v>公司筐</v>
          </cell>
        </row>
        <row r="88">
          <cell r="B88">
            <v>46266</v>
          </cell>
          <cell r="C88" t="str">
            <v>王照雪</v>
          </cell>
          <cell r="D88" t="str">
            <v>周转筐－退回入库</v>
          </cell>
          <cell r="E88" t="str">
            <v>NO:0000742</v>
          </cell>
          <cell r="F88" t="str">
            <v>公司杂周转筐</v>
          </cell>
          <cell r="G88" t="str"/>
          <cell r="H88">
            <v>30</v>
          </cell>
          <cell r="I88" t="str">
            <v>个</v>
          </cell>
          <cell r="J88" t="str"/>
          <cell r="K88" t="str"/>
          <cell r="L88" t="str"/>
          <cell r="M88" t="str"/>
          <cell r="N88" t="str">
            <v>公司杂周转筐</v>
          </cell>
          <cell r="O88" t="str"/>
          <cell r="P88">
            <v>30</v>
          </cell>
          <cell r="Q88" t="str"/>
          <cell r="R88" t="str">
            <v>新N*D1W48</v>
          </cell>
          <cell r="S88" t="str">
            <v>公司筐</v>
          </cell>
        </row>
        <row r="89">
          <cell r="B89">
            <v>46267</v>
          </cell>
          <cell r="C89" t="str">
            <v>全修塑业</v>
          </cell>
          <cell r="D89" t="str">
            <v>周转筐－采购入库</v>
          </cell>
          <cell r="E89" t="str">
            <v>NO:0000744</v>
          </cell>
          <cell r="F89" t="str">
            <v>公司红周转筐</v>
          </cell>
          <cell r="G89" t="str"/>
          <cell r="H89">
            <v>315</v>
          </cell>
          <cell r="I89" t="str">
            <v>个</v>
          </cell>
          <cell r="J89" t="str"/>
          <cell r="K89">
            <v>3150</v>
          </cell>
          <cell r="L89" t="str">
            <v>未付款</v>
          </cell>
          <cell r="M89" t="str">
            <v>NO:2745225</v>
          </cell>
          <cell r="N89" t="str">
            <v>公司红周转筐</v>
          </cell>
          <cell r="O89" t="str"/>
          <cell r="P89" t="str"/>
          <cell r="Q89">
            <v>315</v>
          </cell>
          <cell r="R89" t="str">
            <v>新N*X8S48</v>
          </cell>
          <cell r="S89" t="str">
            <v>公司筐</v>
          </cell>
        </row>
        <row r="90">
          <cell r="B90">
            <v>46267</v>
          </cell>
          <cell r="C90" t="str">
            <v>吐尔洪</v>
          </cell>
          <cell r="D90" t="str">
            <v>周转筐－领用出库</v>
          </cell>
          <cell r="E90" t="str">
            <v>NO:0001067</v>
          </cell>
          <cell r="F90" t="str">
            <v>公司红周转筐</v>
          </cell>
          <cell r="G90" t="str"/>
          <cell r="H90">
            <v>315</v>
          </cell>
          <cell r="I90" t="str">
            <v>个</v>
          </cell>
          <cell r="J90" t="str"/>
          <cell r="K90" t="str"/>
          <cell r="L90" t="str"/>
          <cell r="M90" t="str"/>
          <cell r="N90" t="str">
            <v>公司红周转筐</v>
          </cell>
          <cell r="O90">
            <v>315</v>
          </cell>
          <cell r="P90" t="str"/>
          <cell r="Q90" t="str"/>
          <cell r="R90" t="str">
            <v>新N*X8S48</v>
          </cell>
          <cell r="S90" t="str">
            <v>公司筐</v>
          </cell>
        </row>
        <row r="91">
          <cell r="B91">
            <v>46268</v>
          </cell>
          <cell r="C91" t="str">
            <v>全修塑业</v>
          </cell>
          <cell r="D91" t="str">
            <v>周转筐－采购入库</v>
          </cell>
          <cell r="E91" t="str">
            <v>NO:0000745</v>
          </cell>
          <cell r="F91" t="str">
            <v>公司红周转筐</v>
          </cell>
          <cell r="G91" t="str"/>
          <cell r="H91">
            <v>315</v>
          </cell>
          <cell r="I91" t="str">
            <v>个</v>
          </cell>
          <cell r="J91" t="str"/>
          <cell r="K91">
            <v>3150</v>
          </cell>
          <cell r="L91" t="str">
            <v>未付款</v>
          </cell>
          <cell r="M91" t="str">
            <v>NO:2745241</v>
          </cell>
          <cell r="N91" t="str">
            <v>公司红周转筐</v>
          </cell>
          <cell r="O91" t="str"/>
          <cell r="P91" t="str"/>
          <cell r="Q91">
            <v>315</v>
          </cell>
          <cell r="R91" t="str">
            <v>新N*X8S48</v>
          </cell>
          <cell r="S91" t="str">
            <v>公司筐</v>
          </cell>
        </row>
        <row r="92">
          <cell r="B92">
            <v>46268</v>
          </cell>
          <cell r="C92" t="str">
            <v>吐尔洪</v>
          </cell>
          <cell r="D92" t="str">
            <v>周转筐－领用出库</v>
          </cell>
          <cell r="E92" t="str">
            <v>NO:0001068</v>
          </cell>
          <cell r="F92" t="str">
            <v>公司红周转筐</v>
          </cell>
          <cell r="G92" t="str"/>
          <cell r="H92">
            <v>315</v>
          </cell>
          <cell r="I92" t="str">
            <v>个</v>
          </cell>
          <cell r="J92" t="str"/>
          <cell r="K92" t="str"/>
          <cell r="L92" t="str"/>
          <cell r="M92" t="str"/>
          <cell r="N92" t="str">
            <v>公司红周转筐</v>
          </cell>
          <cell r="O92">
            <v>315</v>
          </cell>
          <cell r="P92" t="str"/>
          <cell r="Q92" t="str"/>
          <cell r="R92" t="str">
            <v>新N*X8S48</v>
          </cell>
          <cell r="S92" t="str">
            <v>公司筐</v>
          </cell>
        </row>
        <row r="93">
          <cell r="B93">
            <v>46268</v>
          </cell>
          <cell r="C93" t="str">
            <v>全修塑业</v>
          </cell>
          <cell r="D93" t="str">
            <v>周转筐－采购入库</v>
          </cell>
          <cell r="E93" t="str">
            <v>NO:0000746</v>
          </cell>
          <cell r="F93" t="str">
            <v>公司红周转筐</v>
          </cell>
          <cell r="G93" t="str"/>
          <cell r="H93">
            <v>846</v>
          </cell>
          <cell r="I93" t="str">
            <v>个</v>
          </cell>
          <cell r="J93" t="str"/>
          <cell r="K93">
            <v>8460</v>
          </cell>
          <cell r="L93" t="str">
            <v>未付款</v>
          </cell>
          <cell r="M93" t="str">
            <v>NO:2745242</v>
          </cell>
          <cell r="N93" t="str">
            <v>公司红周转筐</v>
          </cell>
          <cell r="O93" t="str"/>
          <cell r="P93" t="str"/>
          <cell r="Q93">
            <v>846</v>
          </cell>
          <cell r="R93" t="str">
            <v>新A*G0554</v>
          </cell>
          <cell r="S93" t="str">
            <v>公司筐</v>
          </cell>
        </row>
        <row r="94">
          <cell r="B94">
            <v>46268</v>
          </cell>
          <cell r="C94" t="str">
            <v>热合曼</v>
          </cell>
          <cell r="D94" t="str">
            <v>周转筐－领用出库</v>
          </cell>
          <cell r="E94" t="str">
            <v>NO:0001069</v>
          </cell>
          <cell r="F94" t="str">
            <v>公司红周转筐</v>
          </cell>
          <cell r="G94" t="str"/>
          <cell r="H94">
            <v>846</v>
          </cell>
          <cell r="I94" t="str">
            <v>个</v>
          </cell>
          <cell r="J94" t="str"/>
          <cell r="K94" t="str"/>
          <cell r="L94" t="str"/>
          <cell r="M94" t="str"/>
          <cell r="N94" t="str">
            <v>公司红周转筐</v>
          </cell>
          <cell r="O94">
            <v>846</v>
          </cell>
          <cell r="P94" t="str"/>
          <cell r="Q94" t="str"/>
          <cell r="R94" t="str">
            <v>新A*G0554</v>
          </cell>
          <cell r="S94" t="str">
            <v>公司筐</v>
          </cell>
        </row>
        <row r="95">
          <cell r="B95">
            <v>46268</v>
          </cell>
          <cell r="C95" t="str">
            <v>全修塑业</v>
          </cell>
          <cell r="D95" t="str">
            <v>周转筐－采购入库</v>
          </cell>
          <cell r="E95" t="str">
            <v>NO:0000747</v>
          </cell>
          <cell r="F95" t="str">
            <v>公司红周转筐</v>
          </cell>
          <cell r="G95" t="str"/>
          <cell r="H95">
            <v>960</v>
          </cell>
          <cell r="I95" t="str">
            <v>个</v>
          </cell>
          <cell r="J95" t="str"/>
          <cell r="K95">
            <v>9600</v>
          </cell>
          <cell r="L95" t="str">
            <v>未付款</v>
          </cell>
          <cell r="M95" t="str">
            <v>NO:2745243</v>
          </cell>
          <cell r="N95" t="str">
            <v>公司红周转筐</v>
          </cell>
          <cell r="O95" t="str"/>
          <cell r="P95" t="str"/>
          <cell r="Q95">
            <v>960</v>
          </cell>
          <cell r="R95" t="str">
            <v>新N*49209</v>
          </cell>
          <cell r="S95" t="str">
            <v>公司筐</v>
          </cell>
        </row>
        <row r="96">
          <cell r="B96">
            <v>46268</v>
          </cell>
          <cell r="C96" t="str">
            <v>王灵云</v>
          </cell>
          <cell r="D96" t="str">
            <v>周转筐－领用出库</v>
          </cell>
          <cell r="E96" t="str">
            <v>NO:0001072</v>
          </cell>
          <cell r="F96" t="str">
            <v>公司红周转筐</v>
          </cell>
          <cell r="G96" t="str"/>
          <cell r="H96">
            <v>960</v>
          </cell>
          <cell r="I96" t="str">
            <v>个</v>
          </cell>
          <cell r="J96" t="str"/>
          <cell r="K96" t="str"/>
          <cell r="L96" t="str"/>
          <cell r="M96" t="str"/>
          <cell r="N96" t="str">
            <v>公司红周转筐</v>
          </cell>
          <cell r="O96">
            <v>960</v>
          </cell>
          <cell r="P96" t="str"/>
          <cell r="Q96" t="str"/>
          <cell r="R96" t="str">
            <v>新N*49209</v>
          </cell>
          <cell r="S96" t="str">
            <v>公司筐</v>
          </cell>
        </row>
        <row r="97">
          <cell r="B97">
            <v>46268</v>
          </cell>
          <cell r="C97" t="str">
            <v>全修塑业</v>
          </cell>
          <cell r="D97" t="str">
            <v>周转筐－采购入库</v>
          </cell>
          <cell r="E97" t="str">
            <v>NO:0000748</v>
          </cell>
          <cell r="F97" t="str">
            <v>公司红周转筐</v>
          </cell>
          <cell r="G97" t="str"/>
          <cell r="H97">
            <v>846</v>
          </cell>
          <cell r="I97" t="str">
            <v>个</v>
          </cell>
          <cell r="J97" t="str"/>
          <cell r="K97">
            <v>8460</v>
          </cell>
          <cell r="L97" t="str">
            <v>未付款</v>
          </cell>
          <cell r="M97" t="str">
            <v>NO:2745244</v>
          </cell>
          <cell r="N97" t="str">
            <v>公司红周转筐</v>
          </cell>
          <cell r="O97" t="str"/>
          <cell r="P97" t="str"/>
          <cell r="Q97">
            <v>846</v>
          </cell>
          <cell r="R97" t="str">
            <v>新A*G0554</v>
          </cell>
          <cell r="S97" t="str">
            <v>公司筐</v>
          </cell>
        </row>
        <row r="98">
          <cell r="B98">
            <v>46268</v>
          </cell>
          <cell r="C98" t="str">
            <v>麦麦提</v>
          </cell>
          <cell r="D98" t="str">
            <v>周转筐－领用出库</v>
          </cell>
          <cell r="E98" t="str">
            <v>NO:0001074</v>
          </cell>
          <cell r="F98" t="str">
            <v>公司红周转筐</v>
          </cell>
          <cell r="G98" t="str"/>
          <cell r="H98">
            <v>846</v>
          </cell>
          <cell r="I98" t="str">
            <v>个</v>
          </cell>
          <cell r="J98" t="str"/>
          <cell r="K98" t="str"/>
          <cell r="L98" t="str"/>
          <cell r="M98" t="str"/>
          <cell r="N98" t="str">
            <v>公司红周转筐</v>
          </cell>
          <cell r="O98">
            <v>846</v>
          </cell>
          <cell r="P98" t="str"/>
          <cell r="Q98" t="str"/>
          <cell r="R98" t="str">
            <v>新A*G0554</v>
          </cell>
          <cell r="S98" t="str">
            <v>公司筐</v>
          </cell>
        </row>
        <row r="99">
          <cell r="B99">
            <v>46268</v>
          </cell>
          <cell r="C99" t="str">
            <v>全修塑业</v>
          </cell>
          <cell r="D99" t="str">
            <v>周转筐－采购入库</v>
          </cell>
          <cell r="E99" t="str">
            <v>NO:0000749</v>
          </cell>
          <cell r="F99" t="str">
            <v>公司红周转筐</v>
          </cell>
          <cell r="G99" t="str"/>
          <cell r="H99">
            <v>936</v>
          </cell>
          <cell r="I99" t="str">
            <v>个</v>
          </cell>
          <cell r="J99" t="str"/>
          <cell r="K99">
            <v>9360</v>
          </cell>
          <cell r="L99" t="str">
            <v>未付款</v>
          </cell>
          <cell r="M99" t="str">
            <v>NO:2745245</v>
          </cell>
          <cell r="N99" t="str">
            <v>公司红周转筐</v>
          </cell>
          <cell r="O99" t="str"/>
          <cell r="P99" t="str"/>
          <cell r="Q99">
            <v>936</v>
          </cell>
          <cell r="R99" t="str">
            <v>新F*75240</v>
          </cell>
          <cell r="S99" t="str">
            <v>公司筐</v>
          </cell>
        </row>
        <row r="100">
          <cell r="B100">
            <v>46268</v>
          </cell>
          <cell r="C100" t="str">
            <v>努尔敦</v>
          </cell>
          <cell r="D100" t="str">
            <v>周转筐－领用出库</v>
          </cell>
          <cell r="E100" t="str">
            <v>NO:0001075</v>
          </cell>
          <cell r="F100" t="str">
            <v>公司红周转筐</v>
          </cell>
          <cell r="G100" t="str"/>
          <cell r="H100">
            <v>936</v>
          </cell>
          <cell r="I100" t="str">
            <v>个</v>
          </cell>
          <cell r="J100" t="str"/>
          <cell r="K100" t="str"/>
          <cell r="L100" t="str"/>
          <cell r="M100" t="str"/>
          <cell r="N100" t="str">
            <v>公司红周转筐</v>
          </cell>
          <cell r="O100">
            <v>936</v>
          </cell>
          <cell r="P100" t="str"/>
          <cell r="Q100" t="str"/>
          <cell r="R100" t="str">
            <v>新F*75240</v>
          </cell>
          <cell r="S100" t="str">
            <v>公司筐</v>
          </cell>
        </row>
        <row r="101">
          <cell r="B101">
            <v>46269</v>
          </cell>
          <cell r="C101" t="str">
            <v>全修塑业</v>
          </cell>
          <cell r="D101" t="str">
            <v>周转筐－采购入库</v>
          </cell>
          <cell r="E101" t="str">
            <v>NO:0000750</v>
          </cell>
          <cell r="F101" t="str">
            <v>公司红周转筐</v>
          </cell>
          <cell r="G101" t="str"/>
          <cell r="H101">
            <v>960</v>
          </cell>
          <cell r="I101" t="str">
            <v>个</v>
          </cell>
          <cell r="J101" t="str"/>
          <cell r="K101">
            <v>9600</v>
          </cell>
          <cell r="L101" t="str">
            <v>未付款</v>
          </cell>
          <cell r="M101" t="str">
            <v>NO:2745247</v>
          </cell>
          <cell r="N101" t="str">
            <v>公司红周转筐</v>
          </cell>
          <cell r="O101" t="str"/>
          <cell r="P101" t="str"/>
          <cell r="Q101">
            <v>960</v>
          </cell>
          <cell r="R101" t="str">
            <v>豫A*2737K</v>
          </cell>
          <cell r="S101" t="str">
            <v>公司筐</v>
          </cell>
        </row>
        <row r="102">
          <cell r="B102">
            <v>46269</v>
          </cell>
          <cell r="C102" t="str">
            <v>荆建君</v>
          </cell>
          <cell r="D102" t="str">
            <v>周转筐－领用出库</v>
          </cell>
          <cell r="E102" t="str">
            <v>NO:0001077</v>
          </cell>
          <cell r="F102" t="str">
            <v>公司红周转筐</v>
          </cell>
          <cell r="G102" t="str"/>
          <cell r="H102">
            <v>960</v>
          </cell>
          <cell r="I102" t="str">
            <v>个</v>
          </cell>
          <cell r="J102" t="str"/>
          <cell r="K102" t="str"/>
          <cell r="L102" t="str"/>
          <cell r="M102" t="str"/>
          <cell r="N102" t="str">
            <v>公司红周转筐</v>
          </cell>
          <cell r="O102">
            <v>960</v>
          </cell>
          <cell r="P102" t="str"/>
          <cell r="Q102" t="str"/>
          <cell r="R102" t="str">
            <v>豫A*2737K</v>
          </cell>
          <cell r="S102" t="str">
            <v>公司筐</v>
          </cell>
        </row>
        <row r="103">
          <cell r="B103">
            <v>46269</v>
          </cell>
          <cell r="C103" t="str">
            <v>马锦祥</v>
          </cell>
          <cell r="D103" t="str">
            <v>周转筐－领用出库</v>
          </cell>
          <cell r="E103" t="str">
            <v>NO:0001076</v>
          </cell>
          <cell r="F103" t="str">
            <v>公司杂周转筐</v>
          </cell>
          <cell r="G103" t="str"/>
          <cell r="H103">
            <v>574</v>
          </cell>
          <cell r="I103" t="str">
            <v>个</v>
          </cell>
          <cell r="J103" t="str"/>
          <cell r="K103" t="str"/>
          <cell r="L103" t="str"/>
          <cell r="M103" t="str"/>
          <cell r="N103" t="str">
            <v>公司杂周转筐</v>
          </cell>
          <cell r="O103">
            <v>574</v>
          </cell>
          <cell r="P103" t="str"/>
          <cell r="Q103" t="str"/>
          <cell r="R103" t="str">
            <v>新N*K7V85</v>
          </cell>
          <cell r="S103" t="str">
            <v>公司筐</v>
          </cell>
        </row>
        <row r="104">
          <cell r="B104">
            <v>46269</v>
          </cell>
          <cell r="C104" t="str">
            <v>全修塑业</v>
          </cell>
          <cell r="D104" t="str">
            <v>周转筐－采购入库</v>
          </cell>
          <cell r="E104" t="str">
            <v>NO:0000751</v>
          </cell>
          <cell r="F104" t="str">
            <v>公司红周转筐</v>
          </cell>
          <cell r="G104" t="str"/>
          <cell r="H104">
            <v>936</v>
          </cell>
          <cell r="I104" t="str">
            <v>个</v>
          </cell>
          <cell r="J104" t="str"/>
          <cell r="K104">
            <v>9360</v>
          </cell>
          <cell r="L104" t="str">
            <v>未付款</v>
          </cell>
          <cell r="M104" t="str">
            <v>NO:2745248</v>
          </cell>
          <cell r="N104" t="str">
            <v>公司红周转筐</v>
          </cell>
          <cell r="O104" t="str"/>
          <cell r="P104" t="str"/>
          <cell r="Q104">
            <v>936</v>
          </cell>
          <cell r="R104" t="str">
            <v>新F*75240</v>
          </cell>
          <cell r="S104" t="str">
            <v>公司筐</v>
          </cell>
        </row>
        <row r="105">
          <cell r="B105">
            <v>46269</v>
          </cell>
          <cell r="C105" t="str">
            <v>努尔敦</v>
          </cell>
          <cell r="D105" t="str">
            <v>周转筐－领用出库</v>
          </cell>
          <cell r="E105" t="str">
            <v>NO:0001078</v>
          </cell>
          <cell r="F105" t="str">
            <v>公司红周转筐</v>
          </cell>
          <cell r="G105" t="str"/>
          <cell r="H105">
            <v>936</v>
          </cell>
          <cell r="I105" t="str">
            <v>个</v>
          </cell>
          <cell r="J105" t="str"/>
          <cell r="K105" t="str"/>
          <cell r="L105" t="str"/>
          <cell r="M105" t="str"/>
          <cell r="N105" t="str">
            <v>公司红周转筐</v>
          </cell>
          <cell r="O105">
            <v>936</v>
          </cell>
          <cell r="P105" t="str"/>
          <cell r="Q105" t="str"/>
          <cell r="R105" t="str">
            <v>新F*75240</v>
          </cell>
          <cell r="S105" t="str">
            <v>公司筐</v>
          </cell>
        </row>
        <row r="106">
          <cell r="B106">
            <v>46269</v>
          </cell>
          <cell r="C106" t="str">
            <v>全修塑业</v>
          </cell>
          <cell r="D106" t="str">
            <v>周转筐－采购入库</v>
          </cell>
          <cell r="E106" t="str">
            <v>NO:0000753</v>
          </cell>
          <cell r="F106" t="str">
            <v>公司红周转筐</v>
          </cell>
          <cell r="G106" t="str"/>
          <cell r="H106">
            <v>582</v>
          </cell>
          <cell r="I106" t="str">
            <v>个</v>
          </cell>
          <cell r="J106" t="str"/>
          <cell r="K106">
            <v>5820</v>
          </cell>
          <cell r="L106" t="str">
            <v>未付款</v>
          </cell>
          <cell r="M106" t="str">
            <v>NO:2745249</v>
          </cell>
          <cell r="N106" t="str">
            <v>公司红周转筐</v>
          </cell>
          <cell r="O106" t="str"/>
          <cell r="P106" t="str"/>
          <cell r="Q106">
            <v>582</v>
          </cell>
          <cell r="R106" t="str">
            <v>豫A*2737K</v>
          </cell>
          <cell r="S106" t="str">
            <v>公司筐</v>
          </cell>
        </row>
        <row r="107">
          <cell r="B107">
            <v>46269</v>
          </cell>
          <cell r="C107" t="str">
            <v>荆建君</v>
          </cell>
          <cell r="D107" t="str">
            <v>周转筐－领用出库</v>
          </cell>
          <cell r="E107" t="str">
            <v>NO:0001079</v>
          </cell>
          <cell r="F107" t="str">
            <v>公司红周转筐</v>
          </cell>
          <cell r="G107" t="str"/>
          <cell r="H107">
            <v>582</v>
          </cell>
          <cell r="I107" t="str">
            <v>个</v>
          </cell>
          <cell r="J107" t="str"/>
          <cell r="K107" t="str"/>
          <cell r="L107" t="str"/>
          <cell r="M107" t="str"/>
          <cell r="N107" t="str">
            <v>公司红周转筐</v>
          </cell>
          <cell r="O107">
            <v>582</v>
          </cell>
          <cell r="P107" t="str"/>
          <cell r="Q107" t="str"/>
          <cell r="R107" t="str">
            <v>豫A*2737K</v>
          </cell>
          <cell r="S107" t="str">
            <v>公司筐</v>
          </cell>
        </row>
        <row r="108">
          <cell r="B108">
            <v>46270</v>
          </cell>
          <cell r="C108" t="str">
            <v>王浩</v>
          </cell>
          <cell r="D108" t="str">
            <v>周转筐－领用出库</v>
          </cell>
          <cell r="E108" t="str">
            <v>NO:0001086</v>
          </cell>
          <cell r="F108" t="str">
            <v>公司一次性筐</v>
          </cell>
          <cell r="G108" t="str"/>
          <cell r="H108">
            <v>1320</v>
          </cell>
          <cell r="I108" t="str">
            <v>个</v>
          </cell>
          <cell r="J108" t="str"/>
          <cell r="K108" t="str"/>
          <cell r="L108" t="str"/>
          <cell r="M108" t="str"/>
          <cell r="N108" t="str">
            <v>公司一次性筐</v>
          </cell>
          <cell r="O108">
            <v>1320</v>
          </cell>
          <cell r="P108" t="str"/>
          <cell r="Q108" t="str"/>
          <cell r="R108" t="str">
            <v>新M*79997</v>
          </cell>
          <cell r="S108" t="str">
            <v>公司筐</v>
          </cell>
        </row>
        <row r="109">
          <cell r="B109">
            <v>46271</v>
          </cell>
          <cell r="C109" t="str">
            <v>贾建国</v>
          </cell>
          <cell r="D109" t="str">
            <v>周转筐－领用出库</v>
          </cell>
          <cell r="E109" t="str">
            <v>NO:0001087</v>
          </cell>
          <cell r="F109" t="str">
            <v>公司新周转筐</v>
          </cell>
          <cell r="G109" t="str"/>
          <cell r="H109">
            <v>252</v>
          </cell>
          <cell r="I109" t="str">
            <v>个</v>
          </cell>
          <cell r="J109" t="str"/>
          <cell r="K109" t="str"/>
          <cell r="L109" t="str"/>
          <cell r="M109" t="str"/>
          <cell r="N109" t="str">
            <v>公司新周转筐</v>
          </cell>
          <cell r="O109">
            <v>252</v>
          </cell>
          <cell r="P109" t="str"/>
          <cell r="Q109" t="str"/>
          <cell r="R109" t="str">
            <v>新N*56508</v>
          </cell>
          <cell r="S109" t="str">
            <v>公司筐</v>
          </cell>
        </row>
        <row r="110">
          <cell r="B110">
            <v>46272</v>
          </cell>
          <cell r="C110" t="str">
            <v>全修塑业</v>
          </cell>
          <cell r="D110" t="str">
            <v>周转筐－采购入库</v>
          </cell>
          <cell r="E110" t="str">
            <v>NO:0000755</v>
          </cell>
          <cell r="F110" t="str">
            <v>公司红周转筐</v>
          </cell>
          <cell r="G110" t="str"/>
          <cell r="H110">
            <v>846</v>
          </cell>
          <cell r="I110" t="str">
            <v>个</v>
          </cell>
          <cell r="J110" t="str"/>
          <cell r="K110">
            <v>8460</v>
          </cell>
          <cell r="L110" t="str">
            <v>未付款</v>
          </cell>
          <cell r="M110" t="str">
            <v>NO:2745250</v>
          </cell>
          <cell r="N110" t="str">
            <v>公司红周转筐</v>
          </cell>
          <cell r="O110" t="str"/>
          <cell r="P110" t="str"/>
          <cell r="Q110">
            <v>846</v>
          </cell>
          <cell r="R110" t="str">
            <v>新A*G0554</v>
          </cell>
          <cell r="S110" t="str">
            <v>公司筐</v>
          </cell>
        </row>
        <row r="111">
          <cell r="B111">
            <v>46272</v>
          </cell>
          <cell r="C111" t="str">
            <v>麦麦提</v>
          </cell>
          <cell r="D111" t="str">
            <v>周转筐－领用出库</v>
          </cell>
          <cell r="E111" t="str">
            <v>NO:0001089</v>
          </cell>
          <cell r="F111" t="str">
            <v>公司红周转筐</v>
          </cell>
          <cell r="G111" t="str"/>
          <cell r="H111">
            <v>846</v>
          </cell>
          <cell r="I111" t="str">
            <v>个</v>
          </cell>
          <cell r="J111" t="str"/>
          <cell r="K111" t="str"/>
          <cell r="L111" t="str"/>
          <cell r="M111" t="str"/>
          <cell r="N111" t="str">
            <v>公司红周转筐</v>
          </cell>
          <cell r="O111">
            <v>846</v>
          </cell>
          <cell r="P111" t="str"/>
          <cell r="Q111" t="str"/>
          <cell r="R111" t="str">
            <v>新A*G0554</v>
          </cell>
          <cell r="S111" t="str">
            <v>公司筐</v>
          </cell>
        </row>
        <row r="112">
          <cell r="B112">
            <v>46272</v>
          </cell>
          <cell r="C112" t="str">
            <v>全修塑业</v>
          </cell>
          <cell r="D112" t="str">
            <v>周转筐－采购入库</v>
          </cell>
          <cell r="E112" t="str">
            <v>NO:0000759</v>
          </cell>
          <cell r="F112" t="str">
            <v>公司红周转筐</v>
          </cell>
          <cell r="G112" t="str"/>
          <cell r="H112">
            <v>846</v>
          </cell>
          <cell r="I112" t="str">
            <v>个</v>
          </cell>
          <cell r="J112" t="str"/>
          <cell r="K112">
            <v>8460</v>
          </cell>
          <cell r="L112" t="str">
            <v>未付款</v>
          </cell>
          <cell r="M112" t="str">
            <v>NO:2745251</v>
          </cell>
          <cell r="N112" t="str">
            <v>公司红周转筐</v>
          </cell>
          <cell r="O112" t="str"/>
          <cell r="P112" t="str"/>
          <cell r="Q112">
            <v>846</v>
          </cell>
          <cell r="R112" t="str">
            <v>新A*G0554</v>
          </cell>
          <cell r="S112" t="str">
            <v>公司筐</v>
          </cell>
        </row>
        <row r="113">
          <cell r="B113">
            <v>46272</v>
          </cell>
          <cell r="C113" t="str">
            <v>马锦祥</v>
          </cell>
          <cell r="D113" t="str">
            <v>周转筐－领用出库</v>
          </cell>
          <cell r="E113" t="str">
            <v>NO:0001090</v>
          </cell>
          <cell r="F113" t="str">
            <v>公司杂周转筐</v>
          </cell>
          <cell r="G113" t="str"/>
          <cell r="H113">
            <v>588</v>
          </cell>
          <cell r="I113" t="str">
            <v>个</v>
          </cell>
          <cell r="J113" t="str"/>
          <cell r="K113" t="str"/>
          <cell r="L113" t="str"/>
          <cell r="M113" t="str"/>
          <cell r="N113" t="str">
            <v>公司杂周转筐</v>
          </cell>
          <cell r="O113">
            <v>588</v>
          </cell>
          <cell r="P113" t="str"/>
          <cell r="Q113" t="str"/>
          <cell r="R113" t="str">
            <v>新N*K7V85</v>
          </cell>
          <cell r="S113" t="str">
            <v>公司筐</v>
          </cell>
        </row>
        <row r="114">
          <cell r="B114">
            <v>46272</v>
          </cell>
          <cell r="C114" t="str">
            <v>贾建国</v>
          </cell>
          <cell r="D114" t="str">
            <v>周转筐－领用出库</v>
          </cell>
          <cell r="E114" t="str">
            <v>NO:0001092</v>
          </cell>
          <cell r="F114" t="str">
            <v>公司新周转筐</v>
          </cell>
          <cell r="G114" t="str"/>
          <cell r="H114">
            <v>759</v>
          </cell>
          <cell r="I114" t="str">
            <v>个</v>
          </cell>
          <cell r="J114" t="str"/>
          <cell r="K114" t="str"/>
          <cell r="L114" t="str"/>
          <cell r="M114" t="str"/>
          <cell r="N114" t="str">
            <v>公司新周转筐</v>
          </cell>
          <cell r="O114">
            <v>759</v>
          </cell>
          <cell r="P114" t="str"/>
          <cell r="Q114" t="str"/>
          <cell r="R114" t="str">
            <v>豫Q*H5591</v>
          </cell>
          <cell r="S114" t="str">
            <v>公司筐</v>
          </cell>
        </row>
        <row r="115">
          <cell r="B115">
            <v>46272</v>
          </cell>
          <cell r="C115" t="str">
            <v>热合曼</v>
          </cell>
          <cell r="D115" t="str">
            <v>周转筐－领用出库</v>
          </cell>
          <cell r="E115" t="str">
            <v>NO:0001094</v>
          </cell>
          <cell r="F115" t="str">
            <v>公司红周转筐</v>
          </cell>
          <cell r="G115" t="str"/>
          <cell r="H115">
            <v>846</v>
          </cell>
          <cell r="I115" t="str">
            <v>个</v>
          </cell>
          <cell r="J115" t="str"/>
          <cell r="K115" t="str"/>
          <cell r="L115" t="str"/>
          <cell r="M115" t="str"/>
          <cell r="N115" t="str">
            <v>公司红周转筐</v>
          </cell>
          <cell r="O115">
            <v>846</v>
          </cell>
          <cell r="P115" t="str"/>
          <cell r="Q115" t="str"/>
          <cell r="R115" t="str">
            <v>新A*G0554</v>
          </cell>
          <cell r="S115" t="str">
            <v>公司筐</v>
          </cell>
        </row>
        <row r="116">
          <cell r="B116">
            <v>46273</v>
          </cell>
          <cell r="C116" t="str">
            <v>王照雪</v>
          </cell>
          <cell r="D116" t="str">
            <v>周转筐－退回入库</v>
          </cell>
          <cell r="E116" t="str">
            <v>NO:0000761</v>
          </cell>
          <cell r="F116" t="str">
            <v>公司杂周转筐</v>
          </cell>
          <cell r="G116" t="str"/>
          <cell r="H116">
            <v>2</v>
          </cell>
          <cell r="I116" t="str">
            <v>个</v>
          </cell>
          <cell r="J116" t="str"/>
          <cell r="K116" t="str"/>
          <cell r="L116" t="str"/>
          <cell r="M116" t="str">
            <v>装扎伤电商退回</v>
          </cell>
          <cell r="N116" t="str">
            <v>公司杂周转筐</v>
          </cell>
          <cell r="O116" t="str"/>
          <cell r="P116">
            <v>2</v>
          </cell>
          <cell r="Q116" t="str"/>
          <cell r="R116" t="str"/>
          <cell r="S116" t="str">
            <v>公司筐</v>
          </cell>
        </row>
        <row r="117">
          <cell r="B117">
            <v>46274</v>
          </cell>
          <cell r="C117" t="str">
            <v>王照雪</v>
          </cell>
          <cell r="D117" t="str">
            <v>周转筐－领用出库</v>
          </cell>
          <cell r="E117" t="str">
            <v>NO:0001098</v>
          </cell>
          <cell r="F117" t="str">
            <v>公司一次性筐</v>
          </cell>
          <cell r="G117" t="str"/>
          <cell r="H117">
            <v>423</v>
          </cell>
          <cell r="I117" t="str">
            <v>个</v>
          </cell>
          <cell r="J117" t="str"/>
          <cell r="K117" t="str"/>
          <cell r="L117" t="str"/>
          <cell r="M117" t="str"/>
          <cell r="N117" t="str">
            <v>公司一次性筐</v>
          </cell>
          <cell r="O117">
            <v>423</v>
          </cell>
          <cell r="P117" t="str"/>
          <cell r="Q117" t="str"/>
          <cell r="R117" t="str">
            <v>豫L*88X19</v>
          </cell>
          <cell r="S117" t="str">
            <v>公司筐</v>
          </cell>
        </row>
        <row r="118">
          <cell r="B118">
            <v>46274</v>
          </cell>
          <cell r="C118" t="str">
            <v>吐尔逊</v>
          </cell>
          <cell r="D118" t="str">
            <v>周转筐－领用出库</v>
          </cell>
          <cell r="E118" t="str">
            <v>NO:0001099</v>
          </cell>
          <cell r="F118" t="str">
            <v>公司一次性筐</v>
          </cell>
          <cell r="G118" t="str"/>
          <cell r="H118">
            <v>1008</v>
          </cell>
          <cell r="I118" t="str">
            <v>个</v>
          </cell>
          <cell r="J118" t="str"/>
          <cell r="K118" t="str"/>
          <cell r="L118" t="str"/>
          <cell r="M118" t="str"/>
          <cell r="N118" t="str">
            <v>公司一次性筐</v>
          </cell>
          <cell r="O118">
            <v>1008</v>
          </cell>
          <cell r="P118" t="str"/>
          <cell r="Q118" t="str"/>
          <cell r="R118" t="str">
            <v>新M*87613</v>
          </cell>
          <cell r="S118" t="str">
            <v>公司筐</v>
          </cell>
        </row>
        <row r="119">
          <cell r="B119">
            <v>46274</v>
          </cell>
          <cell r="C119" t="str">
            <v>全修塑业</v>
          </cell>
          <cell r="D119" t="str">
            <v>周转筐－采购入库</v>
          </cell>
          <cell r="E119" t="str">
            <v>NO:0000763</v>
          </cell>
          <cell r="F119" t="str">
            <v>公司红周转筐</v>
          </cell>
          <cell r="G119" t="str"/>
          <cell r="H119">
            <v>378</v>
          </cell>
          <cell r="I119" t="str">
            <v>个</v>
          </cell>
          <cell r="J119" t="str"/>
          <cell r="K119">
            <v>3780</v>
          </cell>
          <cell r="L119" t="str">
            <v>未付款</v>
          </cell>
          <cell r="M119" t="str">
            <v>NO:2745254</v>
          </cell>
          <cell r="N119" t="str">
            <v>公司红周转筐</v>
          </cell>
          <cell r="O119" t="str"/>
          <cell r="P119" t="str"/>
          <cell r="Q119">
            <v>378</v>
          </cell>
          <cell r="R119" t="str">
            <v>新N*X8S48</v>
          </cell>
          <cell r="S119" t="str">
            <v>公司筐</v>
          </cell>
        </row>
        <row r="120">
          <cell r="B120">
            <v>46274</v>
          </cell>
          <cell r="C120" t="str">
            <v>全修塑业</v>
          </cell>
          <cell r="D120" t="str">
            <v>周转筐－采购入库</v>
          </cell>
          <cell r="E120" t="str">
            <v>NO:0000765</v>
          </cell>
          <cell r="F120" t="str">
            <v>公司红周转筐</v>
          </cell>
          <cell r="G120" t="str"/>
          <cell r="H120">
            <v>759</v>
          </cell>
          <cell r="I120" t="str">
            <v>个</v>
          </cell>
          <cell r="J120" t="str"/>
          <cell r="K120">
            <v>7590</v>
          </cell>
          <cell r="L120" t="str">
            <v>未付款</v>
          </cell>
          <cell r="M120" t="str">
            <v>NO:0017201</v>
          </cell>
          <cell r="N120" t="str">
            <v>公司红周转筐</v>
          </cell>
          <cell r="O120" t="str"/>
          <cell r="P120" t="str"/>
          <cell r="Q120">
            <v>759</v>
          </cell>
          <cell r="R120" t="str">
            <v>豫A*2737K</v>
          </cell>
          <cell r="S120" t="str">
            <v>公司筐</v>
          </cell>
        </row>
        <row r="121">
          <cell r="B121">
            <v>46274</v>
          </cell>
          <cell r="C121" t="str">
            <v>全修塑业</v>
          </cell>
          <cell r="D121" t="str">
            <v>周转筐－采购入库</v>
          </cell>
          <cell r="E121" t="str">
            <v>NO:0000766</v>
          </cell>
          <cell r="F121" t="str">
            <v>公司红周转筐</v>
          </cell>
          <cell r="G121" t="str"/>
          <cell r="H121">
            <v>846</v>
          </cell>
          <cell r="I121" t="str">
            <v>个</v>
          </cell>
          <cell r="J121" t="str"/>
          <cell r="K121">
            <v>8460</v>
          </cell>
          <cell r="L121" t="str">
            <v>未付款</v>
          </cell>
          <cell r="M121" t="str">
            <v>NO:0017203</v>
          </cell>
          <cell r="N121" t="str">
            <v>公司红周转筐</v>
          </cell>
          <cell r="O121" t="str"/>
          <cell r="P121" t="str"/>
          <cell r="Q121">
            <v>846</v>
          </cell>
          <cell r="R121" t="str">
            <v>新A*G0554</v>
          </cell>
          <cell r="S121" t="str">
            <v>公司筐</v>
          </cell>
        </row>
        <row r="122">
          <cell r="B122">
            <v>46274</v>
          </cell>
          <cell r="C122" t="str">
            <v>吐尔洪</v>
          </cell>
          <cell r="D122" t="str">
            <v>周转筐－领用出库</v>
          </cell>
          <cell r="E122" t="str">
            <v>NO:0001102</v>
          </cell>
          <cell r="F122" t="str">
            <v>公司红周转筐</v>
          </cell>
          <cell r="G122" t="str"/>
          <cell r="H122">
            <v>378</v>
          </cell>
          <cell r="I122" t="str">
            <v>个</v>
          </cell>
          <cell r="J122" t="str"/>
          <cell r="K122" t="str"/>
          <cell r="L122" t="str"/>
          <cell r="M122" t="str"/>
          <cell r="N122" t="str">
            <v>公司红周转筐</v>
          </cell>
          <cell r="O122">
            <v>378</v>
          </cell>
          <cell r="P122" t="str"/>
          <cell r="Q122" t="str"/>
          <cell r="R122" t="str">
            <v>新N*X8S48</v>
          </cell>
          <cell r="S122" t="str">
            <v>公司筐</v>
          </cell>
        </row>
        <row r="123">
          <cell r="B123">
            <v>46274</v>
          </cell>
          <cell r="C123" t="str">
            <v>荆建君</v>
          </cell>
          <cell r="D123" t="str">
            <v>周转筐－领用出库</v>
          </cell>
          <cell r="E123" t="str">
            <v>NO:0001105</v>
          </cell>
          <cell r="F123" t="str">
            <v>公司红周转筐</v>
          </cell>
          <cell r="G123" t="str"/>
          <cell r="H123">
            <v>759</v>
          </cell>
          <cell r="I123" t="str">
            <v>个</v>
          </cell>
          <cell r="J123" t="str"/>
          <cell r="K123" t="str"/>
          <cell r="L123" t="str"/>
          <cell r="M123" t="str"/>
          <cell r="N123" t="str">
            <v>公司红周转筐</v>
          </cell>
          <cell r="O123">
            <v>759</v>
          </cell>
          <cell r="P123" t="str"/>
          <cell r="Q123" t="str"/>
          <cell r="R123" t="str">
            <v>豫A*2737K</v>
          </cell>
          <cell r="S123" t="str">
            <v>公司筐</v>
          </cell>
        </row>
        <row r="124">
          <cell r="B124">
            <v>46274</v>
          </cell>
          <cell r="C124" t="str">
            <v>麦麦提</v>
          </cell>
          <cell r="D124" t="str">
            <v>周转筐－领用出库</v>
          </cell>
          <cell r="E124" t="str">
            <v>NO:0001106</v>
          </cell>
          <cell r="F124" t="str">
            <v>公司红周转筐</v>
          </cell>
          <cell r="G124" t="str"/>
          <cell r="H124">
            <v>846</v>
          </cell>
          <cell r="I124" t="str">
            <v>个</v>
          </cell>
          <cell r="J124" t="str"/>
          <cell r="K124" t="str"/>
          <cell r="L124" t="str"/>
          <cell r="M124" t="str"/>
          <cell r="N124" t="str">
            <v>公司红周转筐</v>
          </cell>
          <cell r="O124">
            <v>846</v>
          </cell>
          <cell r="P124" t="str"/>
          <cell r="Q124" t="str"/>
          <cell r="R124" t="str">
            <v>新A*G0554</v>
          </cell>
          <cell r="S124" t="str">
            <v>公司筐</v>
          </cell>
        </row>
        <row r="125">
          <cell r="B125">
            <v>46275</v>
          </cell>
          <cell r="C125" t="str">
            <v>王照雪</v>
          </cell>
          <cell r="D125" t="str">
            <v>周转筐－领用出库</v>
          </cell>
          <cell r="E125" t="str">
            <v>NO:0001107</v>
          </cell>
          <cell r="F125" t="str">
            <v>公司一次性筐</v>
          </cell>
          <cell r="G125" t="str"/>
          <cell r="H125">
            <v>423</v>
          </cell>
          <cell r="I125" t="str">
            <v>个</v>
          </cell>
          <cell r="J125" t="str"/>
          <cell r="K125" t="str"/>
          <cell r="L125" t="str"/>
          <cell r="M125" t="str"/>
          <cell r="N125" t="str">
            <v>公司一次性筐</v>
          </cell>
          <cell r="O125">
            <v>423</v>
          </cell>
          <cell r="P125" t="str"/>
          <cell r="Q125" t="str"/>
          <cell r="R125" t="str">
            <v>豫L*88X19</v>
          </cell>
          <cell r="S125" t="str">
            <v>公司筐</v>
          </cell>
        </row>
        <row r="126">
          <cell r="B126">
            <v>46275</v>
          </cell>
          <cell r="C126" t="str">
            <v>全修塑业</v>
          </cell>
          <cell r="D126" t="str">
            <v>周转筐－采购入库</v>
          </cell>
          <cell r="E126" t="str">
            <v>NO:0000771</v>
          </cell>
          <cell r="F126" t="str">
            <v>公司红周转筐</v>
          </cell>
          <cell r="G126" t="str"/>
          <cell r="H126">
            <v>960</v>
          </cell>
          <cell r="I126" t="str">
            <v>个</v>
          </cell>
          <cell r="J126" t="str"/>
          <cell r="K126">
            <v>9600</v>
          </cell>
          <cell r="L126" t="str">
            <v>未付款</v>
          </cell>
          <cell r="M126" t="str">
            <v>NO:0017204</v>
          </cell>
          <cell r="N126" t="str">
            <v>公司红周转筐</v>
          </cell>
          <cell r="O126" t="str"/>
          <cell r="P126" t="str"/>
          <cell r="Q126">
            <v>960</v>
          </cell>
          <cell r="R126" t="str">
            <v>新N*49209</v>
          </cell>
          <cell r="S126" t="str">
            <v>公司筐</v>
          </cell>
        </row>
        <row r="127">
          <cell r="B127">
            <v>46275</v>
          </cell>
          <cell r="C127" t="str">
            <v>王灵云</v>
          </cell>
          <cell r="D127" t="str">
            <v>周转筐－领用出库</v>
          </cell>
          <cell r="E127" t="str">
            <v>NO:0001108</v>
          </cell>
          <cell r="F127" t="str">
            <v>公司红周转筐</v>
          </cell>
          <cell r="G127" t="str"/>
          <cell r="H127">
            <v>960</v>
          </cell>
          <cell r="I127" t="str">
            <v>个</v>
          </cell>
          <cell r="J127" t="str"/>
          <cell r="K127" t="str"/>
          <cell r="L127" t="str"/>
          <cell r="M127" t="str"/>
          <cell r="N127" t="str">
            <v>公司红周转筐</v>
          </cell>
          <cell r="O127">
            <v>960</v>
          </cell>
          <cell r="P127" t="str"/>
          <cell r="Q127" t="str"/>
          <cell r="R127" t="str">
            <v>新N*49209</v>
          </cell>
          <cell r="S127" t="str">
            <v>公司筐</v>
          </cell>
        </row>
        <row r="128">
          <cell r="B128">
            <v>46275</v>
          </cell>
          <cell r="C128" t="str">
            <v>全修塑业</v>
          </cell>
          <cell r="D128" t="str">
            <v>周转筐－采购入库</v>
          </cell>
          <cell r="E128" t="str">
            <v>NO:0000774</v>
          </cell>
          <cell r="F128" t="str">
            <v>公司红周转筐</v>
          </cell>
          <cell r="G128" t="str"/>
          <cell r="H128">
            <v>369</v>
          </cell>
          <cell r="I128" t="str">
            <v>个</v>
          </cell>
          <cell r="J128" t="str"/>
          <cell r="K128">
            <v>3690</v>
          </cell>
          <cell r="L128" t="str">
            <v>未付款</v>
          </cell>
          <cell r="M128" t="str">
            <v>NO:0017205</v>
          </cell>
          <cell r="N128" t="str">
            <v>公司红周转筐</v>
          </cell>
          <cell r="O128" t="str"/>
          <cell r="P128" t="str"/>
          <cell r="Q128">
            <v>369</v>
          </cell>
          <cell r="R128" t="str">
            <v>新N*X8S48</v>
          </cell>
          <cell r="S128" t="str">
            <v>公司筐</v>
          </cell>
        </row>
        <row r="129">
          <cell r="B129">
            <v>46275</v>
          </cell>
          <cell r="C129" t="str">
            <v>吐尔洪</v>
          </cell>
          <cell r="D129" t="str">
            <v>周转筐－领用出库</v>
          </cell>
          <cell r="E129" t="str">
            <v>NO:0001110</v>
          </cell>
          <cell r="F129" t="str">
            <v>公司红周转筐</v>
          </cell>
          <cell r="G129" t="str"/>
          <cell r="H129">
            <v>369</v>
          </cell>
          <cell r="I129" t="str">
            <v>个</v>
          </cell>
          <cell r="J129" t="str"/>
          <cell r="K129" t="str"/>
          <cell r="L129" t="str"/>
          <cell r="M129" t="str"/>
          <cell r="N129" t="str">
            <v>公司红周转筐</v>
          </cell>
          <cell r="O129">
            <v>369</v>
          </cell>
          <cell r="P129" t="str"/>
          <cell r="Q129" t="str"/>
          <cell r="R129" t="str">
            <v>新N*X8S48</v>
          </cell>
          <cell r="S129" t="str">
            <v>公司筐</v>
          </cell>
        </row>
        <row r="130">
          <cell r="B130">
            <v>46276</v>
          </cell>
          <cell r="C130" t="str">
            <v>全修塑业</v>
          </cell>
          <cell r="D130" t="str">
            <v>周转筐－采购入库</v>
          </cell>
          <cell r="E130" t="str">
            <v>NO:0000778</v>
          </cell>
          <cell r="F130" t="str">
            <v>公司红周转筐</v>
          </cell>
          <cell r="G130" t="str"/>
          <cell r="H130">
            <v>846</v>
          </cell>
          <cell r="I130" t="str">
            <v>个</v>
          </cell>
          <cell r="J130" t="str"/>
          <cell r="K130">
            <v>8460</v>
          </cell>
          <cell r="L130" t="str">
            <v>未付款</v>
          </cell>
          <cell r="M130" t="str">
            <v>NO:0017207</v>
          </cell>
          <cell r="N130" t="str">
            <v>公司红周转筐</v>
          </cell>
          <cell r="O130" t="str"/>
          <cell r="P130" t="str"/>
          <cell r="Q130">
            <v>846</v>
          </cell>
          <cell r="R130" t="str">
            <v>新A*G0554</v>
          </cell>
          <cell r="S130" t="str">
            <v>公司筐</v>
          </cell>
        </row>
        <row r="131">
          <cell r="B131">
            <v>46276</v>
          </cell>
          <cell r="C131" t="str">
            <v>麦麦提</v>
          </cell>
          <cell r="D131" t="str">
            <v>周转筐－领用出库</v>
          </cell>
          <cell r="E131" t="str">
            <v>NO:0001113</v>
          </cell>
          <cell r="F131" t="str">
            <v>公司红周转筐</v>
          </cell>
          <cell r="G131" t="str"/>
          <cell r="H131">
            <v>846</v>
          </cell>
          <cell r="I131" t="str">
            <v>个</v>
          </cell>
          <cell r="J131" t="str"/>
          <cell r="K131" t="str"/>
          <cell r="L131" t="str"/>
          <cell r="M131" t="str"/>
          <cell r="N131" t="str">
            <v>公司红周转筐</v>
          </cell>
          <cell r="O131">
            <v>846</v>
          </cell>
          <cell r="P131" t="str"/>
          <cell r="Q131" t="str"/>
          <cell r="R131" t="str">
            <v>新A*G0554</v>
          </cell>
          <cell r="S131" t="str">
            <v>公司筐</v>
          </cell>
        </row>
        <row r="132">
          <cell r="B132">
            <v>46276</v>
          </cell>
          <cell r="C132" t="str">
            <v>全修塑业</v>
          </cell>
          <cell r="D132" t="str">
            <v>周转筐－采购入库</v>
          </cell>
          <cell r="E132" t="str">
            <v>NO:0000784</v>
          </cell>
          <cell r="F132" t="str">
            <v>公司红周转筐</v>
          </cell>
          <cell r="G132" t="str"/>
          <cell r="H132">
            <v>936</v>
          </cell>
          <cell r="I132" t="str">
            <v>个</v>
          </cell>
          <cell r="J132" t="str"/>
          <cell r="K132">
            <v>9360</v>
          </cell>
          <cell r="L132" t="str">
            <v>未付款</v>
          </cell>
          <cell r="M132" t="str">
            <v>NO:0017209</v>
          </cell>
          <cell r="N132" t="str">
            <v>公司红周转筐</v>
          </cell>
          <cell r="O132" t="str"/>
          <cell r="P132" t="str"/>
          <cell r="Q132">
            <v>936</v>
          </cell>
          <cell r="R132" t="str">
            <v>新F*75240</v>
          </cell>
          <cell r="S132" t="str">
            <v>公司筐</v>
          </cell>
        </row>
        <row r="133">
          <cell r="B133">
            <v>46276</v>
          </cell>
          <cell r="C133" t="str">
            <v>马锦祥</v>
          </cell>
          <cell r="D133" t="str">
            <v>周转筐－领用出库</v>
          </cell>
          <cell r="E133" t="str">
            <v>NO:0001114</v>
          </cell>
          <cell r="F133" t="str">
            <v>公司杂周转筐</v>
          </cell>
          <cell r="G133" t="str"/>
          <cell r="H133">
            <v>588</v>
          </cell>
          <cell r="I133" t="str">
            <v>个</v>
          </cell>
          <cell r="J133" t="str"/>
          <cell r="K133" t="str"/>
          <cell r="L133" t="str"/>
          <cell r="M133" t="str"/>
          <cell r="N133" t="str">
            <v>公司杂周转筐</v>
          </cell>
          <cell r="O133">
            <v>588</v>
          </cell>
          <cell r="P133" t="str"/>
          <cell r="Q133" t="str"/>
          <cell r="R133" t="str">
            <v>新N*K7V85</v>
          </cell>
          <cell r="S133" t="str">
            <v>公司筐</v>
          </cell>
        </row>
        <row r="134">
          <cell r="B134">
            <v>46276</v>
          </cell>
          <cell r="C134" t="str">
            <v>王照雪</v>
          </cell>
          <cell r="D134" t="str">
            <v>周转筐－领用出库</v>
          </cell>
          <cell r="E134" t="str">
            <v>NO:0001115</v>
          </cell>
          <cell r="F134" t="str">
            <v>公司杂周转筐</v>
          </cell>
          <cell r="G134" t="str"/>
          <cell r="H134">
            <v>213</v>
          </cell>
          <cell r="I134" t="str">
            <v>个</v>
          </cell>
          <cell r="J134" t="str"/>
          <cell r="K134" t="str"/>
          <cell r="L134" t="str"/>
          <cell r="M134" t="str"/>
          <cell r="N134" t="str">
            <v>公司杂周转筐</v>
          </cell>
          <cell r="O134">
            <v>213</v>
          </cell>
          <cell r="P134" t="str"/>
          <cell r="Q134" t="str"/>
          <cell r="R134" t="str">
            <v>豫L*88X19</v>
          </cell>
          <cell r="S134" t="str">
            <v>公司筐</v>
          </cell>
        </row>
        <row r="135">
          <cell r="B135">
            <v>46276</v>
          </cell>
          <cell r="C135" t="str">
            <v>王照雪</v>
          </cell>
          <cell r="D135" t="str">
            <v>周转筐－领用出库</v>
          </cell>
          <cell r="E135" t="str">
            <v>NO:0001116</v>
          </cell>
          <cell r="F135" t="str">
            <v>公司杂周转筐</v>
          </cell>
          <cell r="G135" t="str"/>
          <cell r="H135">
            <v>423</v>
          </cell>
          <cell r="I135" t="str">
            <v>个</v>
          </cell>
          <cell r="J135" t="str"/>
          <cell r="K135" t="str"/>
          <cell r="L135" t="str"/>
          <cell r="M135" t="str"/>
          <cell r="N135" t="str">
            <v>公司杂周转筐</v>
          </cell>
          <cell r="O135">
            <v>423</v>
          </cell>
          <cell r="P135" t="str"/>
          <cell r="Q135" t="str"/>
          <cell r="R135" t="str">
            <v>豫L*88X19</v>
          </cell>
          <cell r="S135" t="str">
            <v>公司筐</v>
          </cell>
        </row>
        <row r="136">
          <cell r="B136">
            <v>46276</v>
          </cell>
          <cell r="C136" t="str">
            <v>努尔敦</v>
          </cell>
          <cell r="D136" t="str">
            <v>周转筐－领用出库</v>
          </cell>
          <cell r="E136" t="str">
            <v>NO:0001118</v>
          </cell>
          <cell r="F136" t="str">
            <v>公司红周转筐</v>
          </cell>
          <cell r="G136" t="str"/>
          <cell r="H136">
            <v>936</v>
          </cell>
          <cell r="I136" t="str">
            <v>个</v>
          </cell>
          <cell r="J136" t="str"/>
          <cell r="K136" t="str"/>
          <cell r="L136" t="str"/>
          <cell r="M136" t="str"/>
          <cell r="N136" t="str">
            <v>公司红周转筐</v>
          </cell>
          <cell r="O136">
            <v>936</v>
          </cell>
          <cell r="P136" t="str"/>
          <cell r="Q136" t="str"/>
          <cell r="R136" t="str">
            <v>新F*75240</v>
          </cell>
          <cell r="S136" t="str">
            <v>公司筐</v>
          </cell>
        </row>
        <row r="137">
          <cell r="B137">
            <v>46276</v>
          </cell>
          <cell r="C137" t="str">
            <v>全修塑业</v>
          </cell>
          <cell r="D137" t="str">
            <v>周转筐－采购入库</v>
          </cell>
          <cell r="E137" t="str">
            <v>NO:0000785</v>
          </cell>
          <cell r="F137" t="str">
            <v>公司红周转筐</v>
          </cell>
          <cell r="G137" t="str"/>
          <cell r="H137">
            <v>846</v>
          </cell>
          <cell r="I137" t="str">
            <v>个</v>
          </cell>
          <cell r="J137" t="str"/>
          <cell r="K137">
            <v>8460</v>
          </cell>
          <cell r="L137" t="str">
            <v>未付款</v>
          </cell>
          <cell r="M137" t="str">
            <v>NO:0017211</v>
          </cell>
          <cell r="N137" t="str">
            <v>公司红周转筐</v>
          </cell>
          <cell r="O137" t="str"/>
          <cell r="P137" t="str"/>
          <cell r="Q137">
            <v>846</v>
          </cell>
          <cell r="R137" t="str">
            <v>新A*G0554</v>
          </cell>
          <cell r="S137" t="str">
            <v>公司筐</v>
          </cell>
        </row>
        <row r="138">
          <cell r="B138">
            <v>46276</v>
          </cell>
          <cell r="C138" t="str">
            <v>热合曼</v>
          </cell>
          <cell r="D138" t="str">
            <v>周转筐－领用出库</v>
          </cell>
          <cell r="E138" t="str">
            <v>NO:0001120</v>
          </cell>
          <cell r="F138" t="str">
            <v>公司红周转筐</v>
          </cell>
          <cell r="G138" t="str"/>
          <cell r="H138">
            <v>846</v>
          </cell>
          <cell r="I138" t="str">
            <v>个</v>
          </cell>
          <cell r="J138" t="str"/>
          <cell r="K138" t="str"/>
          <cell r="L138" t="str"/>
          <cell r="M138" t="str"/>
          <cell r="N138" t="str">
            <v>公司红周转筐</v>
          </cell>
          <cell r="O138">
            <v>846</v>
          </cell>
          <cell r="P138" t="str"/>
          <cell r="Q138" t="str"/>
          <cell r="R138" t="str">
            <v>新A*G0554</v>
          </cell>
          <cell r="S138" t="str">
            <v>公司筐</v>
          </cell>
        </row>
        <row r="139">
          <cell r="B139">
            <v>46276</v>
          </cell>
          <cell r="C139" t="str">
            <v>全修塑业</v>
          </cell>
          <cell r="D139" t="str">
            <v>周转筐－采购入库</v>
          </cell>
          <cell r="E139" t="str">
            <v>NO:0000788</v>
          </cell>
          <cell r="F139" t="str">
            <v>公司红周转筐</v>
          </cell>
          <cell r="G139" t="str"/>
          <cell r="H139">
            <v>378</v>
          </cell>
          <cell r="I139" t="str">
            <v>个</v>
          </cell>
          <cell r="J139" t="str"/>
          <cell r="K139">
            <v>3780</v>
          </cell>
          <cell r="L139" t="str">
            <v>未付款</v>
          </cell>
          <cell r="M139" t="str">
            <v>NO:0017212</v>
          </cell>
          <cell r="N139" t="str">
            <v>公司红周转筐</v>
          </cell>
          <cell r="O139" t="str"/>
          <cell r="P139" t="str"/>
          <cell r="Q139">
            <v>378</v>
          </cell>
          <cell r="R139" t="str">
            <v>新N*X8S48</v>
          </cell>
          <cell r="S139" t="str">
            <v>公司筐</v>
          </cell>
        </row>
        <row r="140">
          <cell r="B140">
            <v>46276</v>
          </cell>
          <cell r="C140" t="str">
            <v>吐尔洪</v>
          </cell>
          <cell r="D140" t="str">
            <v>周转筐－领用出库</v>
          </cell>
          <cell r="E140" t="str">
            <v>NO:0001122</v>
          </cell>
          <cell r="F140" t="str">
            <v>公司红周转筐</v>
          </cell>
          <cell r="G140" t="str"/>
          <cell r="H140">
            <v>378</v>
          </cell>
          <cell r="I140" t="str">
            <v>个</v>
          </cell>
          <cell r="J140" t="str"/>
          <cell r="K140" t="str"/>
          <cell r="L140" t="str"/>
          <cell r="M140" t="str"/>
          <cell r="N140" t="str">
            <v>公司红周转筐</v>
          </cell>
          <cell r="O140">
            <v>378</v>
          </cell>
          <cell r="P140" t="str"/>
          <cell r="Q140" t="str"/>
          <cell r="R140" t="str">
            <v>新N*X8S48</v>
          </cell>
          <cell r="S140" t="str">
            <v>公司筐</v>
          </cell>
        </row>
        <row r="141">
          <cell r="B141">
            <v>46277</v>
          </cell>
          <cell r="C141" t="str">
            <v>王照雪</v>
          </cell>
          <cell r="D141" t="str">
            <v>周转筐－退回入库</v>
          </cell>
          <cell r="E141" t="str">
            <v>NO:0000789</v>
          </cell>
          <cell r="F141" t="str">
            <v>公司一次性筐</v>
          </cell>
          <cell r="G141" t="str"/>
          <cell r="H141">
            <v>1</v>
          </cell>
          <cell r="I141" t="str">
            <v>个</v>
          </cell>
          <cell r="J141" t="str"/>
          <cell r="K141" t="str"/>
          <cell r="L141" t="str"/>
          <cell r="M141" t="str"/>
          <cell r="N141" t="str">
            <v>公司一次性筐</v>
          </cell>
          <cell r="O141" t="str"/>
          <cell r="P141">
            <v>1</v>
          </cell>
          <cell r="Q141" t="str"/>
          <cell r="R141" t="str">
            <v>豫L*88X19</v>
          </cell>
          <cell r="S141" t="str">
            <v>公司筐</v>
          </cell>
        </row>
        <row r="142">
          <cell r="B142">
            <v>46277</v>
          </cell>
          <cell r="C142" t="str">
            <v>王照雪</v>
          </cell>
          <cell r="D142" t="str">
            <v>周转筐－退回入库</v>
          </cell>
          <cell r="E142" t="str">
            <v>NO:0000792</v>
          </cell>
          <cell r="F142" t="str">
            <v>公司杂周转筐</v>
          </cell>
          <cell r="G142" t="str"/>
          <cell r="H142">
            <v>45</v>
          </cell>
          <cell r="I142" t="str">
            <v>个</v>
          </cell>
          <cell r="J142" t="str"/>
          <cell r="K142" t="str"/>
          <cell r="L142" t="str"/>
          <cell r="M142" t="str"/>
          <cell r="N142" t="str">
            <v>公司杂周转筐</v>
          </cell>
          <cell r="O142" t="str"/>
          <cell r="P142">
            <v>45</v>
          </cell>
          <cell r="Q142" t="str"/>
          <cell r="R142" t="str">
            <v>豫L*88X19</v>
          </cell>
          <cell r="S142" t="str">
            <v>公司筐</v>
          </cell>
        </row>
        <row r="143">
          <cell r="B143">
            <v>46277</v>
          </cell>
          <cell r="C143" t="str">
            <v>全修塑业</v>
          </cell>
          <cell r="D143" t="str">
            <v>周转筐－采购入库</v>
          </cell>
          <cell r="E143" t="str">
            <v>NO:0000795</v>
          </cell>
          <cell r="F143" t="str">
            <v>公司红周转筐</v>
          </cell>
          <cell r="G143" t="str"/>
          <cell r="H143">
            <v>846</v>
          </cell>
          <cell r="I143" t="str">
            <v>个</v>
          </cell>
          <cell r="J143" t="str"/>
          <cell r="K143">
            <v>8460</v>
          </cell>
          <cell r="L143" t="str">
            <v>未付款</v>
          </cell>
          <cell r="M143" t="str">
            <v>NO:0017213</v>
          </cell>
          <cell r="N143" t="str">
            <v>公司红周转筐</v>
          </cell>
          <cell r="O143" t="str"/>
          <cell r="P143" t="str"/>
          <cell r="Q143">
            <v>846</v>
          </cell>
          <cell r="R143" t="str">
            <v>新A*G0554</v>
          </cell>
          <cell r="S143" t="str">
            <v>公司筐</v>
          </cell>
        </row>
        <row r="144">
          <cell r="B144">
            <v>46277</v>
          </cell>
          <cell r="C144" t="str">
            <v>麦麦提</v>
          </cell>
          <cell r="D144" t="str">
            <v>周转筐－领用出库</v>
          </cell>
          <cell r="E144" t="str">
            <v>NO:0001125</v>
          </cell>
          <cell r="F144" t="str">
            <v>公司红周转筐</v>
          </cell>
          <cell r="G144" t="str"/>
          <cell r="H144">
            <v>846</v>
          </cell>
          <cell r="I144" t="str">
            <v>个</v>
          </cell>
          <cell r="J144" t="str"/>
          <cell r="K144" t="str"/>
          <cell r="L144" t="str"/>
          <cell r="M144" t="str"/>
          <cell r="N144" t="str">
            <v>公司红周转筐</v>
          </cell>
          <cell r="O144">
            <v>846</v>
          </cell>
          <cell r="P144" t="str"/>
          <cell r="Q144" t="str"/>
          <cell r="R144" t="str">
            <v>新A*G0554</v>
          </cell>
          <cell r="S144" t="str">
            <v>公司筐</v>
          </cell>
        </row>
        <row r="145">
          <cell r="B145">
            <v>46278</v>
          </cell>
          <cell r="C145" t="str">
            <v>全修塑业</v>
          </cell>
          <cell r="D145" t="str">
            <v>周转筐－采购入库</v>
          </cell>
          <cell r="E145" t="str">
            <v>NO:0000798</v>
          </cell>
          <cell r="F145" t="str">
            <v>公司红周转筐</v>
          </cell>
          <cell r="G145" t="str"/>
          <cell r="H145">
            <v>960</v>
          </cell>
          <cell r="I145" t="str">
            <v>个</v>
          </cell>
          <cell r="J145" t="str"/>
          <cell r="K145">
            <v>9600</v>
          </cell>
          <cell r="L145" t="str">
            <v>未付款</v>
          </cell>
          <cell r="M145" t="str">
            <v>NO:0017215</v>
          </cell>
          <cell r="N145" t="str">
            <v>公司红周转筐</v>
          </cell>
          <cell r="O145" t="str"/>
          <cell r="P145" t="str"/>
          <cell r="Q145">
            <v>960</v>
          </cell>
          <cell r="R145" t="str">
            <v>新N*49209</v>
          </cell>
          <cell r="S145" t="str">
            <v>公司筐</v>
          </cell>
        </row>
        <row r="146">
          <cell r="B146">
            <v>46278</v>
          </cell>
          <cell r="C146" t="str">
            <v>王照雪</v>
          </cell>
          <cell r="D146" t="str">
            <v>周转筐－领用出库</v>
          </cell>
          <cell r="E146" t="str">
            <v>NO:0001129</v>
          </cell>
          <cell r="F146" t="str">
            <v>公司杂周转筐</v>
          </cell>
          <cell r="G146" t="str"/>
          <cell r="H146">
            <v>423</v>
          </cell>
          <cell r="I146" t="str">
            <v>个</v>
          </cell>
          <cell r="J146" t="str"/>
          <cell r="K146" t="str"/>
          <cell r="L146" t="str"/>
          <cell r="M146" t="str"/>
          <cell r="N146" t="str">
            <v>公司杂周转筐</v>
          </cell>
          <cell r="O146">
            <v>423</v>
          </cell>
          <cell r="P146" t="str"/>
          <cell r="Q146" t="str"/>
          <cell r="R146" t="str">
            <v>豫L*88X19</v>
          </cell>
          <cell r="S146" t="str">
            <v>公司筐</v>
          </cell>
        </row>
        <row r="147">
          <cell r="B147">
            <v>46278</v>
          </cell>
          <cell r="C147" t="str">
            <v>王灵云</v>
          </cell>
          <cell r="D147" t="str">
            <v>周转筐－领用出库</v>
          </cell>
          <cell r="E147" t="str">
            <v>NO:0001130</v>
          </cell>
          <cell r="F147" t="str">
            <v>公司红周转筐</v>
          </cell>
          <cell r="G147" t="str"/>
          <cell r="H147">
            <v>960</v>
          </cell>
          <cell r="I147" t="str">
            <v>个</v>
          </cell>
          <cell r="J147" t="str"/>
          <cell r="K147" t="str"/>
          <cell r="L147" t="str"/>
          <cell r="M147" t="str"/>
          <cell r="N147" t="str">
            <v>公司红周转筐</v>
          </cell>
          <cell r="O147">
            <v>960</v>
          </cell>
          <cell r="P147" t="str"/>
          <cell r="Q147" t="str"/>
          <cell r="R147" t="str">
            <v>新N*49209</v>
          </cell>
          <cell r="S147" t="str">
            <v>公司筐</v>
          </cell>
        </row>
        <row r="148">
          <cell r="B148">
            <v>46278</v>
          </cell>
          <cell r="C148" t="str">
            <v>马锦祥</v>
          </cell>
          <cell r="D148" t="str">
            <v>周转筐－领用出库</v>
          </cell>
          <cell r="E148" t="str">
            <v>NO:0001131</v>
          </cell>
          <cell r="F148" t="str">
            <v>公司杂周转筐</v>
          </cell>
          <cell r="G148" t="str"/>
          <cell r="H148">
            <v>588</v>
          </cell>
          <cell r="I148" t="str">
            <v>个</v>
          </cell>
          <cell r="J148" t="str"/>
          <cell r="K148" t="str"/>
          <cell r="L148" t="str"/>
          <cell r="M148" t="str"/>
          <cell r="N148" t="str">
            <v>公司杂周转筐</v>
          </cell>
          <cell r="O148">
            <v>588</v>
          </cell>
          <cell r="P148" t="str"/>
          <cell r="Q148" t="str"/>
          <cell r="R148" t="str">
            <v>新N*K7V85</v>
          </cell>
          <cell r="S148" t="str">
            <v>公司筐</v>
          </cell>
        </row>
        <row r="149">
          <cell r="B149">
            <v>46278</v>
          </cell>
          <cell r="C149" t="str">
            <v>全修塑业</v>
          </cell>
          <cell r="D149" t="str">
            <v>周转筐－采购入库</v>
          </cell>
          <cell r="E149" t="str">
            <v>NO:0000853</v>
          </cell>
          <cell r="F149" t="str">
            <v>公司红周转筐</v>
          </cell>
          <cell r="G149" t="str"/>
          <cell r="H149">
            <v>960</v>
          </cell>
          <cell r="I149" t="str">
            <v>个</v>
          </cell>
          <cell r="J149" t="str"/>
          <cell r="K149">
            <v>9600</v>
          </cell>
          <cell r="L149" t="str">
            <v>未付款</v>
          </cell>
          <cell r="M149" t="str">
            <v>NO:0017217</v>
          </cell>
          <cell r="N149" t="str">
            <v>公司红周转筐</v>
          </cell>
          <cell r="O149" t="str"/>
          <cell r="P149" t="str"/>
          <cell r="Q149">
            <v>960</v>
          </cell>
          <cell r="R149" t="str">
            <v>新N*49209</v>
          </cell>
          <cell r="S149" t="str">
            <v>公司筐</v>
          </cell>
        </row>
        <row r="150">
          <cell r="B150">
            <v>46278</v>
          </cell>
          <cell r="C150" t="str">
            <v>王灵云</v>
          </cell>
          <cell r="D150" t="str">
            <v>周转筐－领用出库</v>
          </cell>
          <cell r="E150" t="str">
            <v>NO:0001135</v>
          </cell>
          <cell r="F150" t="str">
            <v>公司红周转筐</v>
          </cell>
          <cell r="G150" t="str"/>
          <cell r="H150">
            <v>960</v>
          </cell>
          <cell r="I150" t="str">
            <v>个</v>
          </cell>
          <cell r="J150" t="str"/>
          <cell r="K150" t="str"/>
          <cell r="L150" t="str"/>
          <cell r="M150" t="str"/>
          <cell r="N150" t="str">
            <v>公司红周转筐</v>
          </cell>
          <cell r="O150">
            <v>960</v>
          </cell>
          <cell r="P150" t="str"/>
          <cell r="Q150" t="str"/>
          <cell r="R150" t="str">
            <v>新N*49209</v>
          </cell>
          <cell r="S150" t="str">
            <v>公司筐</v>
          </cell>
        </row>
        <row r="151">
          <cell r="B151">
            <v>46278</v>
          </cell>
          <cell r="C151" t="str">
            <v>李现东</v>
          </cell>
          <cell r="D151" t="str">
            <v>周转筐－领用出库</v>
          </cell>
          <cell r="E151" t="str">
            <v>NO:0001137</v>
          </cell>
          <cell r="F151" t="str">
            <v>公司杂周转筐</v>
          </cell>
          <cell r="G151" t="str"/>
          <cell r="H151">
            <v>711</v>
          </cell>
          <cell r="I151" t="str">
            <v>个</v>
          </cell>
          <cell r="J151" t="str"/>
          <cell r="K151" t="str"/>
          <cell r="L151" t="str"/>
          <cell r="M151" t="str">
            <v>李现东</v>
          </cell>
          <cell r="N151" t="str">
            <v>公司杂周转筐</v>
          </cell>
          <cell r="O151">
            <v>711</v>
          </cell>
          <cell r="P151" t="str"/>
          <cell r="Q151" t="str"/>
          <cell r="R151" t="str">
            <v>新N*53045</v>
          </cell>
          <cell r="S151" t="str">
            <v>公司筐</v>
          </cell>
        </row>
        <row r="152">
          <cell r="B152">
            <v>46279</v>
          </cell>
          <cell r="C152" t="str">
            <v>李现东</v>
          </cell>
          <cell r="D152" t="str">
            <v>周转筐－领用出库</v>
          </cell>
          <cell r="E152" t="str">
            <v>NO:0001140</v>
          </cell>
          <cell r="F152" t="str">
            <v>公司杂周转筐</v>
          </cell>
          <cell r="G152" t="str"/>
          <cell r="H152">
            <v>702</v>
          </cell>
          <cell r="I152" t="str">
            <v>个</v>
          </cell>
          <cell r="J152" t="str"/>
          <cell r="K152" t="str"/>
          <cell r="L152" t="str"/>
          <cell r="M152" t="str">
            <v>李现东</v>
          </cell>
          <cell r="N152" t="str">
            <v>公司杂周转筐</v>
          </cell>
          <cell r="O152">
            <v>702</v>
          </cell>
          <cell r="P152" t="str"/>
          <cell r="Q152" t="str"/>
          <cell r="R152" t="str">
            <v>新N*53045</v>
          </cell>
          <cell r="S152" t="str">
            <v>公司筐</v>
          </cell>
        </row>
        <row r="153">
          <cell r="B153">
            <v>46279</v>
          </cell>
          <cell r="C153" t="str">
            <v>全修塑业</v>
          </cell>
          <cell r="D153" t="str">
            <v>周转筐－采购入库</v>
          </cell>
          <cell r="E153" t="str">
            <v>NO:0000857</v>
          </cell>
          <cell r="F153" t="str">
            <v>公司红周转筐</v>
          </cell>
          <cell r="G153" t="str"/>
          <cell r="H153">
            <v>960</v>
          </cell>
          <cell r="I153" t="str">
            <v>个</v>
          </cell>
          <cell r="J153" t="str"/>
          <cell r="K153">
            <v>9600</v>
          </cell>
          <cell r="L153" t="str">
            <v>未付款</v>
          </cell>
          <cell r="M153" t="str">
            <v>NO:0017220</v>
          </cell>
          <cell r="N153" t="str">
            <v>公司红周转筐</v>
          </cell>
          <cell r="O153" t="str"/>
          <cell r="P153" t="str"/>
          <cell r="Q153">
            <v>960</v>
          </cell>
          <cell r="R153" t="str">
            <v>新F*75240</v>
          </cell>
          <cell r="S153" t="str">
            <v>公司筐</v>
          </cell>
        </row>
        <row r="154">
          <cell r="B154">
            <v>46279</v>
          </cell>
          <cell r="C154" t="str">
            <v>努尔敦</v>
          </cell>
          <cell r="D154" t="str">
            <v>周转筐－领用出库</v>
          </cell>
          <cell r="E154" t="str">
            <v>NO:0001143</v>
          </cell>
          <cell r="F154" t="str">
            <v>公司红周转筐</v>
          </cell>
          <cell r="G154" t="str"/>
          <cell r="H154">
            <v>960</v>
          </cell>
          <cell r="I154" t="str">
            <v>个</v>
          </cell>
          <cell r="J154" t="str"/>
          <cell r="K154" t="str"/>
          <cell r="L154" t="str"/>
          <cell r="M154" t="str"/>
          <cell r="N154" t="str">
            <v>公司红周转筐</v>
          </cell>
          <cell r="O154">
            <v>960</v>
          </cell>
          <cell r="P154" t="str"/>
          <cell r="Q154" t="str"/>
          <cell r="R154" t="str">
            <v>新F*75240</v>
          </cell>
          <cell r="S154" t="str">
            <v>公司筐</v>
          </cell>
        </row>
        <row r="155">
          <cell r="B155">
            <v>46280</v>
          </cell>
          <cell r="C155" t="str">
            <v>全修塑业</v>
          </cell>
          <cell r="D155" t="str">
            <v>周转筐－采购入库</v>
          </cell>
          <cell r="E155" t="str">
            <v>NO:0000863</v>
          </cell>
          <cell r="F155" t="str">
            <v>公司红周转筐</v>
          </cell>
          <cell r="G155" t="str"/>
          <cell r="H155">
            <v>720</v>
          </cell>
          <cell r="I155" t="str">
            <v>个</v>
          </cell>
          <cell r="J155" t="str"/>
          <cell r="K155">
            <v>7200</v>
          </cell>
          <cell r="L155" t="str">
            <v>未付款</v>
          </cell>
          <cell r="M155" t="str">
            <v>NO:0017222</v>
          </cell>
          <cell r="N155" t="str">
            <v>公司红周转筐</v>
          </cell>
          <cell r="O155" t="str"/>
          <cell r="P155" t="str"/>
          <cell r="Q155">
            <v>720</v>
          </cell>
          <cell r="R155" t="str">
            <v>豫A*2737K</v>
          </cell>
          <cell r="S155" t="str">
            <v>公司筐</v>
          </cell>
        </row>
        <row r="156">
          <cell r="B156">
            <v>46280</v>
          </cell>
          <cell r="C156" t="str">
            <v>王照雪</v>
          </cell>
          <cell r="D156" t="str">
            <v>周转筐－领用出库</v>
          </cell>
          <cell r="E156" t="str">
            <v>NO:0001141</v>
          </cell>
          <cell r="F156" t="str">
            <v>公司杂周转筐</v>
          </cell>
          <cell r="G156" t="str"/>
          <cell r="H156">
            <v>423</v>
          </cell>
          <cell r="I156" t="str">
            <v>个</v>
          </cell>
          <cell r="J156" t="str"/>
          <cell r="K156" t="str"/>
          <cell r="L156" t="str"/>
          <cell r="M156" t="str"/>
          <cell r="N156" t="str">
            <v>公司杂周转筐</v>
          </cell>
          <cell r="O156">
            <v>423</v>
          </cell>
          <cell r="P156" t="str"/>
          <cell r="Q156" t="str"/>
          <cell r="R156" t="str">
            <v>豫L*88X19</v>
          </cell>
          <cell r="S156" t="str">
            <v>公司筐</v>
          </cell>
        </row>
        <row r="157">
          <cell r="B157">
            <v>46280</v>
          </cell>
          <cell r="C157" t="str">
            <v>荆建君</v>
          </cell>
          <cell r="D157" t="str">
            <v>周转筐－领用出库</v>
          </cell>
          <cell r="E157" t="str">
            <v>NO:0001145</v>
          </cell>
          <cell r="F157" t="str">
            <v>公司红周转筐</v>
          </cell>
          <cell r="G157" t="str"/>
          <cell r="H157">
            <v>720</v>
          </cell>
          <cell r="I157" t="str">
            <v>个</v>
          </cell>
          <cell r="J157" t="str"/>
          <cell r="K157" t="str"/>
          <cell r="L157" t="str"/>
          <cell r="M157" t="str"/>
          <cell r="N157" t="str">
            <v>公司红周转筐</v>
          </cell>
          <cell r="O157">
            <v>720</v>
          </cell>
          <cell r="P157" t="str"/>
          <cell r="Q157" t="str"/>
          <cell r="R157" t="str">
            <v>豫A*2737K</v>
          </cell>
          <cell r="S157" t="str">
            <v>公司筐</v>
          </cell>
        </row>
        <row r="158">
          <cell r="B158">
            <v>46280</v>
          </cell>
          <cell r="C158" t="str">
            <v>全修塑业</v>
          </cell>
          <cell r="D158" t="str">
            <v>周转筐－采购入库</v>
          </cell>
          <cell r="E158" t="str">
            <v>NO:0000866</v>
          </cell>
          <cell r="F158" t="str">
            <v>公司红周转筐</v>
          </cell>
          <cell r="G158" t="str"/>
          <cell r="H158">
            <v>960</v>
          </cell>
          <cell r="I158" t="str">
            <v>个</v>
          </cell>
          <cell r="J158" t="str"/>
          <cell r="K158">
            <v>9600</v>
          </cell>
          <cell r="L158" t="str">
            <v>未付款</v>
          </cell>
          <cell r="M158" t="str">
            <v>NO:0017223</v>
          </cell>
          <cell r="N158" t="str">
            <v>公司红周转筐</v>
          </cell>
          <cell r="O158" t="str"/>
          <cell r="P158" t="str"/>
          <cell r="Q158">
            <v>960</v>
          </cell>
          <cell r="R158" t="str">
            <v>新N*49209</v>
          </cell>
          <cell r="S158" t="str">
            <v>公司筐</v>
          </cell>
        </row>
        <row r="159">
          <cell r="B159">
            <v>46280</v>
          </cell>
          <cell r="C159" t="str">
            <v>王灵云</v>
          </cell>
          <cell r="D159" t="str">
            <v>周转筐－领用出库</v>
          </cell>
          <cell r="E159" t="str">
            <v>NO:0001146</v>
          </cell>
          <cell r="F159" t="str">
            <v>公司红周转筐</v>
          </cell>
          <cell r="G159" t="str"/>
          <cell r="H159">
            <v>960</v>
          </cell>
          <cell r="I159" t="str">
            <v>个</v>
          </cell>
          <cell r="J159" t="str"/>
          <cell r="K159" t="str"/>
          <cell r="L159" t="str"/>
          <cell r="M159" t="str"/>
          <cell r="N159" t="str">
            <v>公司红周转筐</v>
          </cell>
          <cell r="O159">
            <v>960</v>
          </cell>
          <cell r="P159" t="str"/>
          <cell r="Q159" t="str"/>
          <cell r="R159" t="str">
            <v>新N*49209</v>
          </cell>
          <cell r="S159" t="str">
            <v>公司筐</v>
          </cell>
        </row>
        <row r="160">
          <cell r="B160">
            <v>46280</v>
          </cell>
          <cell r="C160" t="str">
            <v>全修塑业</v>
          </cell>
          <cell r="D160" t="str">
            <v>周转筐－采购入库</v>
          </cell>
          <cell r="E160" t="str">
            <v>NO:0000875</v>
          </cell>
          <cell r="F160" t="str">
            <v>公司红周转筐</v>
          </cell>
          <cell r="G160" t="str"/>
          <cell r="H160">
            <v>846</v>
          </cell>
          <cell r="I160" t="str">
            <v>个</v>
          </cell>
          <cell r="J160" t="str"/>
          <cell r="K160">
            <v>8460</v>
          </cell>
          <cell r="L160" t="str">
            <v>未付款</v>
          </cell>
          <cell r="M160" t="str">
            <v>NO:0017225</v>
          </cell>
          <cell r="N160" t="str">
            <v>公司红周转筐</v>
          </cell>
          <cell r="O160" t="str"/>
          <cell r="P160" t="str"/>
          <cell r="Q160">
            <v>846</v>
          </cell>
          <cell r="R160" t="str">
            <v>新A*G0554</v>
          </cell>
          <cell r="S160" t="str">
            <v>公司筐</v>
          </cell>
        </row>
        <row r="161">
          <cell r="B161">
            <v>46280</v>
          </cell>
          <cell r="C161" t="str">
            <v>热合曼</v>
          </cell>
          <cell r="D161" t="str">
            <v>周转筐－领用出库</v>
          </cell>
          <cell r="E161" t="str">
            <v>NO:0001149</v>
          </cell>
          <cell r="F161" t="str">
            <v>公司红周转筐</v>
          </cell>
          <cell r="G161" t="str"/>
          <cell r="H161">
            <v>846</v>
          </cell>
          <cell r="I161" t="str">
            <v>个</v>
          </cell>
          <cell r="J161" t="str"/>
          <cell r="K161" t="str"/>
          <cell r="L161" t="str"/>
          <cell r="M161" t="str"/>
          <cell r="N161" t="str">
            <v>公司红周转筐</v>
          </cell>
          <cell r="O161">
            <v>846</v>
          </cell>
          <cell r="P161" t="str"/>
          <cell r="Q161" t="str"/>
          <cell r="R161" t="str">
            <v>新A*G0554</v>
          </cell>
          <cell r="S161" t="str">
            <v>公司筐</v>
          </cell>
        </row>
        <row r="162">
          <cell r="B162">
            <v>46280</v>
          </cell>
          <cell r="C162" t="str">
            <v>全修塑业</v>
          </cell>
          <cell r="D162" t="str">
            <v>周转筐－采购入库</v>
          </cell>
          <cell r="E162" t="str">
            <v>NO:0000877</v>
          </cell>
          <cell r="F162" t="str">
            <v>公司红周转筐</v>
          </cell>
          <cell r="G162" t="str"/>
          <cell r="H162">
            <v>960</v>
          </cell>
          <cell r="I162" t="str">
            <v>个</v>
          </cell>
          <cell r="J162" t="str"/>
          <cell r="K162">
            <v>9600</v>
          </cell>
          <cell r="L162" t="str">
            <v>未付款</v>
          </cell>
          <cell r="M162" t="str">
            <v>NO:0017224</v>
          </cell>
          <cell r="N162" t="str">
            <v>公司红周转筐</v>
          </cell>
          <cell r="O162" t="str"/>
          <cell r="P162" t="str"/>
          <cell r="Q162">
            <v>960</v>
          </cell>
          <cell r="R162" t="str">
            <v>新F*75240</v>
          </cell>
          <cell r="S162" t="str">
            <v>公司筐</v>
          </cell>
        </row>
        <row r="163">
          <cell r="B163">
            <v>46280</v>
          </cell>
          <cell r="C163" t="str">
            <v>努尔敦</v>
          </cell>
          <cell r="D163" t="str">
            <v>周转筐－领用出库</v>
          </cell>
          <cell r="E163" t="str">
            <v>NO:0001148</v>
          </cell>
          <cell r="F163" t="str">
            <v>公司红周转筐</v>
          </cell>
          <cell r="G163" t="str"/>
          <cell r="H163">
            <v>960</v>
          </cell>
          <cell r="I163" t="str">
            <v>个</v>
          </cell>
          <cell r="J163" t="str"/>
          <cell r="K163" t="str"/>
          <cell r="L163" t="str"/>
          <cell r="M163" t="str"/>
          <cell r="N163" t="str">
            <v>公司红周转筐</v>
          </cell>
          <cell r="O163">
            <v>960</v>
          </cell>
          <cell r="P163" t="str"/>
          <cell r="Q163" t="str"/>
          <cell r="R163" t="str">
            <v>新F*75240</v>
          </cell>
          <cell r="S163" t="str">
            <v>公司筐</v>
          </cell>
        </row>
        <row r="164">
          <cell r="B164">
            <v>46280</v>
          </cell>
          <cell r="C164" t="str">
            <v>李现东</v>
          </cell>
          <cell r="D164" t="str">
            <v>周转筐－退回入库</v>
          </cell>
          <cell r="E164" t="str">
            <v>NO:0000876</v>
          </cell>
          <cell r="F164" t="str">
            <v>公司杂周转筐</v>
          </cell>
          <cell r="G164" t="str"/>
          <cell r="H164">
            <v>18</v>
          </cell>
          <cell r="I164" t="str">
            <v>个</v>
          </cell>
          <cell r="J164" t="str"/>
          <cell r="K164" t="str"/>
          <cell r="L164" t="str"/>
          <cell r="M164" t="str">
            <v>烂筐退回</v>
          </cell>
          <cell r="N164" t="str">
            <v>公司杂周转筐</v>
          </cell>
          <cell r="O164" t="str"/>
          <cell r="P164">
            <v>18</v>
          </cell>
          <cell r="Q164" t="str"/>
          <cell r="R164" t="str">
            <v>新N*53045</v>
          </cell>
          <cell r="S164" t="str">
            <v>公司筐</v>
          </cell>
        </row>
        <row r="165">
          <cell r="B165">
            <v>46281</v>
          </cell>
          <cell r="C165" t="str">
            <v>全修塑业</v>
          </cell>
          <cell r="D165" t="str">
            <v>周转筐－采购入库</v>
          </cell>
          <cell r="E165" t="str">
            <v>NO:0000879</v>
          </cell>
          <cell r="F165" t="str">
            <v>公司红周转筐</v>
          </cell>
          <cell r="G165" t="str"/>
          <cell r="H165">
            <v>315</v>
          </cell>
          <cell r="I165" t="str">
            <v>个</v>
          </cell>
          <cell r="J165" t="str"/>
          <cell r="K165">
            <v>3150</v>
          </cell>
          <cell r="L165" t="str">
            <v>未付款</v>
          </cell>
          <cell r="M165" t="str">
            <v>NO:0017226</v>
          </cell>
          <cell r="N165" t="str">
            <v>公司红周转筐</v>
          </cell>
          <cell r="O165" t="str"/>
          <cell r="P165" t="str"/>
          <cell r="Q165">
            <v>315</v>
          </cell>
          <cell r="R165" t="str">
            <v>新N*X8S48</v>
          </cell>
          <cell r="S165" t="str">
            <v>公司筐</v>
          </cell>
        </row>
        <row r="166">
          <cell r="B166">
            <v>46281</v>
          </cell>
          <cell r="C166" t="str">
            <v>吐尔洪</v>
          </cell>
          <cell r="D166" t="str">
            <v>周转筐－领用出库</v>
          </cell>
          <cell r="E166" t="str">
            <v>NO:0001153</v>
          </cell>
          <cell r="F166" t="str">
            <v>公司红周转筐</v>
          </cell>
          <cell r="G166" t="str"/>
          <cell r="H166">
            <v>315</v>
          </cell>
          <cell r="I166" t="str">
            <v>个</v>
          </cell>
          <cell r="J166" t="str"/>
          <cell r="K166" t="str"/>
          <cell r="L166" t="str"/>
          <cell r="M166" t="str"/>
          <cell r="N166" t="str">
            <v>公司红周转筐</v>
          </cell>
          <cell r="O166">
            <v>315</v>
          </cell>
          <cell r="P166" t="str"/>
          <cell r="Q166" t="str"/>
          <cell r="R166" t="str">
            <v>新N*X8S48</v>
          </cell>
          <cell r="S166" t="str">
            <v>公司筐</v>
          </cell>
        </row>
        <row r="167">
          <cell r="B167">
            <v>46281</v>
          </cell>
          <cell r="C167" t="str">
            <v>全修塑业</v>
          </cell>
          <cell r="D167" t="str">
            <v>周转筐－采购入库</v>
          </cell>
          <cell r="E167" t="str">
            <v>NO:0000884</v>
          </cell>
          <cell r="F167" t="str">
            <v>公司红周转筐</v>
          </cell>
          <cell r="G167" t="str"/>
          <cell r="H167">
            <v>936</v>
          </cell>
          <cell r="I167" t="str">
            <v>个</v>
          </cell>
          <cell r="J167" t="str"/>
          <cell r="K167">
            <v>9360</v>
          </cell>
          <cell r="L167" t="str">
            <v>未付款</v>
          </cell>
          <cell r="M167" t="str">
            <v>NO:0017227</v>
          </cell>
          <cell r="N167" t="str">
            <v>公司红周转筐</v>
          </cell>
          <cell r="O167" t="str"/>
          <cell r="P167" t="str"/>
          <cell r="Q167">
            <v>936</v>
          </cell>
          <cell r="R167" t="str">
            <v>新F*75240</v>
          </cell>
          <cell r="S167" t="str">
            <v>公司筐</v>
          </cell>
        </row>
        <row r="168">
          <cell r="B168">
            <v>46281</v>
          </cell>
          <cell r="C168" t="str">
            <v>全修塑业</v>
          </cell>
          <cell r="D168" t="str">
            <v>周转筐－采购入库</v>
          </cell>
          <cell r="E168" t="str">
            <v>NO:0000885</v>
          </cell>
          <cell r="F168" t="str">
            <v>公司红周转筐</v>
          </cell>
          <cell r="G168" t="str"/>
          <cell r="H168">
            <v>960</v>
          </cell>
          <cell r="I168" t="str">
            <v>个</v>
          </cell>
          <cell r="J168" t="str"/>
          <cell r="K168">
            <v>9600</v>
          </cell>
          <cell r="L168" t="str">
            <v>未付款</v>
          </cell>
          <cell r="M168" t="str">
            <v>NO:0017228</v>
          </cell>
          <cell r="N168" t="str">
            <v>公司红周转筐</v>
          </cell>
          <cell r="O168" t="str"/>
          <cell r="P168" t="str"/>
          <cell r="Q168">
            <v>960</v>
          </cell>
          <cell r="R168" t="str">
            <v>新A*G0554</v>
          </cell>
          <cell r="S168" t="str">
            <v>公司筐</v>
          </cell>
        </row>
        <row r="169">
          <cell r="B169">
            <v>46281</v>
          </cell>
          <cell r="C169" t="str">
            <v>努尔敦</v>
          </cell>
          <cell r="D169" t="str">
            <v>周转筐－领用出库</v>
          </cell>
          <cell r="E169" t="str">
            <v>NO:0001155</v>
          </cell>
          <cell r="F169" t="str">
            <v>公司红周转筐</v>
          </cell>
          <cell r="G169" t="str"/>
          <cell r="H169">
            <v>936</v>
          </cell>
          <cell r="I169" t="str">
            <v>个</v>
          </cell>
          <cell r="J169" t="str"/>
          <cell r="K169" t="str"/>
          <cell r="L169" t="str"/>
          <cell r="M169" t="str"/>
          <cell r="N169" t="str">
            <v>公司红周转筐</v>
          </cell>
          <cell r="O169">
            <v>936</v>
          </cell>
          <cell r="P169" t="str"/>
          <cell r="Q169" t="str"/>
          <cell r="R169" t="str">
            <v>新F*75240</v>
          </cell>
          <cell r="S169" t="str">
            <v>公司筐</v>
          </cell>
        </row>
        <row r="170">
          <cell r="B170">
            <v>46281</v>
          </cell>
          <cell r="C170" t="str">
            <v>麦麦提</v>
          </cell>
          <cell r="D170" t="str">
            <v>周转筐－领用出库</v>
          </cell>
          <cell r="E170" t="str">
            <v>NO:0001156</v>
          </cell>
          <cell r="F170" t="str">
            <v>公司红周转筐</v>
          </cell>
          <cell r="G170" t="str"/>
          <cell r="H170">
            <v>960</v>
          </cell>
          <cell r="I170" t="str">
            <v>个</v>
          </cell>
          <cell r="J170" t="str"/>
          <cell r="K170" t="str"/>
          <cell r="L170" t="str"/>
          <cell r="M170" t="str"/>
          <cell r="N170" t="str">
            <v>公司红周转筐</v>
          </cell>
          <cell r="O170">
            <v>960</v>
          </cell>
          <cell r="P170" t="str"/>
          <cell r="Q170" t="str"/>
          <cell r="R170" t="str">
            <v>新A*G0554</v>
          </cell>
          <cell r="S170" t="str">
            <v>公司筐</v>
          </cell>
        </row>
        <row r="171">
          <cell r="B171">
            <v>46282</v>
          </cell>
          <cell r="C171" t="str">
            <v>王照雪</v>
          </cell>
          <cell r="D171" t="str">
            <v>周转筐－领用出库</v>
          </cell>
          <cell r="E171" t="str">
            <v>NO:0001157</v>
          </cell>
          <cell r="F171" t="str">
            <v>公司杂周转筐</v>
          </cell>
          <cell r="G171" t="str"/>
          <cell r="H171">
            <v>288</v>
          </cell>
          <cell r="I171" t="str">
            <v>个</v>
          </cell>
          <cell r="J171" t="str"/>
          <cell r="K171" t="str"/>
          <cell r="L171" t="str"/>
          <cell r="M171" t="str"/>
          <cell r="N171" t="str">
            <v>公司杂周转筐</v>
          </cell>
          <cell r="O171">
            <v>288</v>
          </cell>
          <cell r="P171" t="str"/>
          <cell r="Q171" t="str"/>
          <cell r="R171" t="str">
            <v>豫L*88X19</v>
          </cell>
          <cell r="S171" t="str">
            <v>公司筐</v>
          </cell>
        </row>
        <row r="172">
          <cell r="B172">
            <v>46282</v>
          </cell>
          <cell r="C172" t="str">
            <v>全修塑业</v>
          </cell>
          <cell r="D172" t="str">
            <v>周转筐－采购入库</v>
          </cell>
          <cell r="E172" t="str">
            <v>NO:0000887</v>
          </cell>
          <cell r="F172" t="str">
            <v>公司红周转筐</v>
          </cell>
          <cell r="G172" t="str"/>
          <cell r="H172">
            <v>936</v>
          </cell>
          <cell r="I172" t="str">
            <v>个</v>
          </cell>
          <cell r="J172" t="str"/>
          <cell r="K172">
            <v>9360</v>
          </cell>
          <cell r="L172" t="str">
            <v>未付款</v>
          </cell>
          <cell r="M172" t="str">
            <v>NO:0017229</v>
          </cell>
          <cell r="N172" t="str">
            <v>公司红周转筐</v>
          </cell>
          <cell r="O172" t="str"/>
          <cell r="P172" t="str"/>
          <cell r="Q172">
            <v>936</v>
          </cell>
          <cell r="R172" t="str">
            <v>新N*49209</v>
          </cell>
          <cell r="S172" t="str">
            <v>公司筐</v>
          </cell>
        </row>
        <row r="173">
          <cell r="B173">
            <v>46282</v>
          </cell>
          <cell r="C173" t="str">
            <v>全修塑业</v>
          </cell>
          <cell r="D173" t="str">
            <v>周转筐－采购入库</v>
          </cell>
          <cell r="E173" t="str">
            <v>NO:0000889</v>
          </cell>
          <cell r="F173" t="str">
            <v>公司红周转筐</v>
          </cell>
          <cell r="G173" t="str"/>
          <cell r="H173">
            <v>801</v>
          </cell>
          <cell r="I173" t="str">
            <v>个</v>
          </cell>
          <cell r="J173" t="str"/>
          <cell r="K173">
            <v>8010</v>
          </cell>
          <cell r="L173" t="str">
            <v>未付款</v>
          </cell>
          <cell r="M173" t="str">
            <v>NO:0017231</v>
          </cell>
          <cell r="N173" t="str">
            <v>公司红周转筐</v>
          </cell>
          <cell r="O173" t="str"/>
          <cell r="P173" t="str"/>
          <cell r="Q173">
            <v>801</v>
          </cell>
          <cell r="R173" t="str">
            <v>新N*49209</v>
          </cell>
          <cell r="S173" t="str">
            <v>公司筐</v>
          </cell>
        </row>
        <row r="174">
          <cell r="B174">
            <v>46282</v>
          </cell>
          <cell r="C174" t="str">
            <v>全修塑业</v>
          </cell>
          <cell r="D174" t="str">
            <v>周转筐－采购入库</v>
          </cell>
          <cell r="E174" t="str">
            <v>NO:0000890</v>
          </cell>
          <cell r="F174" t="str">
            <v>公司红周转筐</v>
          </cell>
          <cell r="G174" t="str"/>
          <cell r="H174">
            <v>846</v>
          </cell>
          <cell r="I174" t="str">
            <v>个</v>
          </cell>
          <cell r="J174" t="str"/>
          <cell r="K174">
            <v>8460</v>
          </cell>
          <cell r="L174" t="str">
            <v>未付款</v>
          </cell>
          <cell r="M174" t="str">
            <v>NO:0017232</v>
          </cell>
          <cell r="N174" t="str">
            <v>公司红周转筐</v>
          </cell>
          <cell r="O174" t="str"/>
          <cell r="P174" t="str"/>
          <cell r="Q174">
            <v>846</v>
          </cell>
          <cell r="R174" t="str">
            <v>新A*G0554</v>
          </cell>
          <cell r="S174" t="str">
            <v>公司筐</v>
          </cell>
        </row>
        <row r="175">
          <cell r="B175">
            <v>46282</v>
          </cell>
          <cell r="C175" t="str">
            <v>王灵云</v>
          </cell>
          <cell r="D175" t="str">
            <v>周转筐－领用出库</v>
          </cell>
          <cell r="E175" t="str">
            <v>NO:0001160</v>
          </cell>
          <cell r="F175" t="str">
            <v>公司红周转筐</v>
          </cell>
          <cell r="G175" t="str"/>
          <cell r="H175">
            <v>936</v>
          </cell>
          <cell r="I175" t="str">
            <v>个</v>
          </cell>
          <cell r="J175" t="str"/>
          <cell r="K175" t="str"/>
          <cell r="L175" t="str"/>
          <cell r="M175" t="str"/>
          <cell r="N175" t="str">
            <v>公司红周转筐</v>
          </cell>
          <cell r="O175">
            <v>936</v>
          </cell>
          <cell r="P175" t="str"/>
          <cell r="Q175" t="str"/>
          <cell r="R175" t="str">
            <v>新N*49209</v>
          </cell>
          <cell r="S175" t="str">
            <v>公司筐</v>
          </cell>
        </row>
        <row r="176">
          <cell r="B176">
            <v>46282</v>
          </cell>
          <cell r="C176" t="str">
            <v>王照雪</v>
          </cell>
          <cell r="D176" t="str">
            <v>周转筐－领用出库</v>
          </cell>
          <cell r="E176" t="str">
            <v>NO:0001164</v>
          </cell>
          <cell r="F176" t="str">
            <v>公司一次性筐</v>
          </cell>
          <cell r="G176" t="str"/>
          <cell r="H176">
            <v>423</v>
          </cell>
          <cell r="I176" t="str">
            <v>个</v>
          </cell>
          <cell r="J176" t="str"/>
          <cell r="K176" t="str"/>
          <cell r="L176" t="str"/>
          <cell r="M176" t="str"/>
          <cell r="N176" t="str">
            <v>公司一次性筐</v>
          </cell>
          <cell r="O176">
            <v>423</v>
          </cell>
          <cell r="P176" t="str"/>
          <cell r="Q176" t="str"/>
          <cell r="R176" t="str">
            <v>豫L*88X19</v>
          </cell>
          <cell r="S176" t="str">
            <v>公司筐</v>
          </cell>
        </row>
        <row r="177">
          <cell r="B177">
            <v>46282</v>
          </cell>
          <cell r="C177" t="str">
            <v>王灵云</v>
          </cell>
          <cell r="D177" t="str">
            <v>周转筐－领用出库</v>
          </cell>
          <cell r="E177" t="str">
            <v>NO:0001167</v>
          </cell>
          <cell r="F177" t="str">
            <v>公司红周转筐</v>
          </cell>
          <cell r="G177" t="str"/>
          <cell r="H177">
            <v>801</v>
          </cell>
          <cell r="I177" t="str">
            <v>个</v>
          </cell>
          <cell r="J177" t="str"/>
          <cell r="K177" t="str"/>
          <cell r="L177" t="str"/>
          <cell r="M177" t="str"/>
          <cell r="N177" t="str">
            <v>公司红周转筐</v>
          </cell>
          <cell r="O177">
            <v>801</v>
          </cell>
          <cell r="P177" t="str"/>
          <cell r="Q177" t="str"/>
          <cell r="R177" t="str">
            <v>新N*49209</v>
          </cell>
          <cell r="S177" t="str">
            <v>公司筐</v>
          </cell>
        </row>
        <row r="178">
          <cell r="B178">
            <v>46282</v>
          </cell>
          <cell r="C178" t="str">
            <v>热合曼</v>
          </cell>
          <cell r="D178" t="str">
            <v>周转筐－领用出库</v>
          </cell>
          <cell r="E178" t="str">
            <v>NO:0001169</v>
          </cell>
          <cell r="F178" t="str">
            <v>公司红周转筐</v>
          </cell>
          <cell r="G178" t="str"/>
          <cell r="H178">
            <v>846</v>
          </cell>
          <cell r="I178" t="str">
            <v>个</v>
          </cell>
          <cell r="J178" t="str"/>
          <cell r="K178" t="str"/>
          <cell r="L178" t="str"/>
          <cell r="M178" t="str"/>
          <cell r="N178" t="str">
            <v>公司红周转筐</v>
          </cell>
          <cell r="O178">
            <v>846</v>
          </cell>
          <cell r="P178" t="str"/>
          <cell r="Q178" t="str"/>
          <cell r="R178" t="str">
            <v>新A*G0554</v>
          </cell>
          <cell r="S178" t="str">
            <v>公司筐</v>
          </cell>
        </row>
        <row r="179">
          <cell r="B179">
            <v>46282</v>
          </cell>
          <cell r="C179" t="str">
            <v>全修塑业</v>
          </cell>
          <cell r="D179" t="str">
            <v>周转筐－采购入库</v>
          </cell>
          <cell r="E179" t="str">
            <v>NO:0000894</v>
          </cell>
          <cell r="F179" t="str">
            <v>公司红周转筐</v>
          </cell>
          <cell r="G179" t="str"/>
          <cell r="H179">
            <v>504</v>
          </cell>
          <cell r="I179" t="str">
            <v>个</v>
          </cell>
          <cell r="J179" t="str"/>
          <cell r="K179">
            <v>5040</v>
          </cell>
          <cell r="L179" t="str">
            <v>未付款</v>
          </cell>
          <cell r="M179" t="str">
            <v>NO:0017234</v>
          </cell>
          <cell r="N179" t="str">
            <v>公司红周转筐</v>
          </cell>
          <cell r="O179" t="str"/>
          <cell r="P179" t="str"/>
          <cell r="Q179">
            <v>504</v>
          </cell>
          <cell r="R179" t="str">
            <v>新N*F0M01</v>
          </cell>
          <cell r="S179" t="str">
            <v>公司筐</v>
          </cell>
        </row>
        <row r="180">
          <cell r="B180">
            <v>46282</v>
          </cell>
          <cell r="C180" t="str">
            <v>努尔敦</v>
          </cell>
          <cell r="D180" t="str">
            <v>周转筐－领用出库</v>
          </cell>
          <cell r="E180" t="str">
            <v>NO:0001170</v>
          </cell>
          <cell r="F180" t="str">
            <v>公司红周转筐</v>
          </cell>
          <cell r="G180" t="str"/>
          <cell r="H180">
            <v>504</v>
          </cell>
          <cell r="I180" t="str">
            <v>个</v>
          </cell>
          <cell r="J180" t="str"/>
          <cell r="K180" t="str"/>
          <cell r="L180" t="str"/>
          <cell r="M180" t="str"/>
          <cell r="N180" t="str">
            <v>公司红周转筐</v>
          </cell>
          <cell r="O180">
            <v>504</v>
          </cell>
          <cell r="P180" t="str"/>
          <cell r="Q180" t="str"/>
          <cell r="R180" t="str">
            <v>新N*F0M01</v>
          </cell>
          <cell r="S180" t="str">
            <v>公司筐</v>
          </cell>
        </row>
        <row r="181">
          <cell r="B181">
            <v>46282</v>
          </cell>
          <cell r="C181" t="str">
            <v>努尔敦</v>
          </cell>
          <cell r="D181" t="str">
            <v>周转筐－领用出库</v>
          </cell>
          <cell r="E181" t="str">
            <v>NO:0001171</v>
          </cell>
          <cell r="F181" t="str">
            <v>公司红周转筐</v>
          </cell>
          <cell r="G181" t="str"/>
          <cell r="H181">
            <v>344</v>
          </cell>
          <cell r="I181" t="str">
            <v>个</v>
          </cell>
          <cell r="J181" t="str"/>
          <cell r="K181" t="str"/>
          <cell r="L181" t="str"/>
          <cell r="M181" t="str"/>
          <cell r="N181" t="str">
            <v>公司红周转筐</v>
          </cell>
          <cell r="O181">
            <v>344</v>
          </cell>
          <cell r="P181" t="str"/>
          <cell r="Q181" t="str"/>
          <cell r="R181" t="str">
            <v>新F*75240</v>
          </cell>
          <cell r="S181" t="str">
            <v>公司筐</v>
          </cell>
        </row>
        <row r="182">
          <cell r="B182">
            <v>46282</v>
          </cell>
          <cell r="C182" t="str">
            <v>王照雪</v>
          </cell>
          <cell r="D182" t="str">
            <v>周转筐－退回入库</v>
          </cell>
          <cell r="E182" t="str">
            <v>NO:0000899</v>
          </cell>
          <cell r="F182" t="str">
            <v>公司杂周转筐</v>
          </cell>
          <cell r="G182" t="str"/>
          <cell r="H182">
            <v>4</v>
          </cell>
          <cell r="I182" t="str">
            <v>个</v>
          </cell>
          <cell r="J182" t="str"/>
          <cell r="K182" t="str"/>
          <cell r="L182" t="str"/>
          <cell r="M182" t="str">
            <v>电商退回</v>
          </cell>
          <cell r="N182" t="str">
            <v>公司杂周转筐</v>
          </cell>
          <cell r="O182" t="str"/>
          <cell r="P182">
            <v>4</v>
          </cell>
          <cell r="Q182" t="str"/>
          <cell r="R182" t="str"/>
          <cell r="S182" t="str">
            <v>公司筐</v>
          </cell>
        </row>
        <row r="183">
          <cell r="B183">
            <v>46283</v>
          </cell>
          <cell r="C183" t="str">
            <v>王照雪</v>
          </cell>
          <cell r="D183" t="str">
            <v>周转筐－领用出库</v>
          </cell>
          <cell r="E183" t="str">
            <v>NO:0001174</v>
          </cell>
          <cell r="F183" t="str">
            <v>公司杂周转筐</v>
          </cell>
          <cell r="G183" t="str"/>
          <cell r="H183">
            <v>423</v>
          </cell>
          <cell r="I183" t="str">
            <v>个</v>
          </cell>
          <cell r="J183" t="str"/>
          <cell r="K183" t="str"/>
          <cell r="L183" t="str"/>
          <cell r="M183" t="str"/>
          <cell r="N183" t="str">
            <v>公司杂周转筐</v>
          </cell>
          <cell r="O183">
            <v>423</v>
          </cell>
          <cell r="P183" t="str"/>
          <cell r="Q183" t="str"/>
          <cell r="R183" t="str">
            <v>豫L*88X19</v>
          </cell>
          <cell r="S183" t="str">
            <v>公司筐</v>
          </cell>
        </row>
        <row r="184">
          <cell r="B184">
            <v>46283</v>
          </cell>
          <cell r="C184" t="str">
            <v>全修塑业</v>
          </cell>
          <cell r="D184" t="str">
            <v>周转筐－采购入库</v>
          </cell>
          <cell r="E184" t="str">
            <v>NO:0000900</v>
          </cell>
          <cell r="F184" t="str">
            <v>公司红周转筐</v>
          </cell>
          <cell r="G184" t="str"/>
          <cell r="H184">
            <v>960</v>
          </cell>
          <cell r="I184" t="str">
            <v>个</v>
          </cell>
          <cell r="J184" t="str"/>
          <cell r="K184">
            <v>9600</v>
          </cell>
          <cell r="L184" t="str">
            <v>未付款</v>
          </cell>
          <cell r="M184" t="str">
            <v>NO:0017235</v>
          </cell>
          <cell r="N184" t="str">
            <v>公司红周转筐</v>
          </cell>
          <cell r="O184" t="str"/>
          <cell r="P184" t="str"/>
          <cell r="Q184">
            <v>960</v>
          </cell>
          <cell r="R184" t="str">
            <v>新N*49209</v>
          </cell>
          <cell r="S184" t="str">
            <v>公司筐</v>
          </cell>
        </row>
        <row r="185">
          <cell r="B185">
            <v>46283</v>
          </cell>
          <cell r="C185" t="str">
            <v>桂疆</v>
          </cell>
          <cell r="D185" t="str">
            <v>周转筐－采购入库</v>
          </cell>
          <cell r="E185" t="str">
            <v>NO:0000904</v>
          </cell>
          <cell r="F185" t="str">
            <v>大托盘</v>
          </cell>
          <cell r="G185" t="str"/>
          <cell r="H185">
            <v>210</v>
          </cell>
          <cell r="I185" t="str">
            <v>个</v>
          </cell>
          <cell r="J185" t="str"/>
          <cell r="K185">
            <v>8400</v>
          </cell>
          <cell r="L185" t="str">
            <v>已付款</v>
          </cell>
          <cell r="M185" t="str">
            <v>实付8000元整</v>
          </cell>
          <cell r="N185" t="str">
            <v>大托盘</v>
          </cell>
          <cell r="O185" t="str"/>
          <cell r="P185" t="str"/>
          <cell r="Q185">
            <v>210</v>
          </cell>
          <cell r="R185" t="str"/>
          <cell r="S185" t="str">
            <v>公司筐</v>
          </cell>
        </row>
        <row r="186">
          <cell r="B186">
            <v>46283</v>
          </cell>
          <cell r="C186" t="str">
            <v>王灵云</v>
          </cell>
          <cell r="D186" t="str">
            <v>周转筐－领用出库</v>
          </cell>
          <cell r="E186" t="str">
            <v>NO:0001176</v>
          </cell>
          <cell r="F186" t="str">
            <v>公司红周转筐</v>
          </cell>
          <cell r="G186" t="str"/>
          <cell r="H186">
            <v>960</v>
          </cell>
          <cell r="I186" t="str">
            <v>个</v>
          </cell>
          <cell r="J186" t="str"/>
          <cell r="K186" t="str"/>
          <cell r="L186" t="str"/>
          <cell r="M186" t="str"/>
          <cell r="N186" t="str">
            <v>公司红周转筐</v>
          </cell>
          <cell r="O186">
            <v>960</v>
          </cell>
          <cell r="P186" t="str"/>
          <cell r="Q186" t="str"/>
          <cell r="R186" t="str">
            <v>新N*49209</v>
          </cell>
          <cell r="S186" t="str">
            <v>公司筐</v>
          </cell>
        </row>
        <row r="187">
          <cell r="B187">
            <v>46283</v>
          </cell>
          <cell r="C187" t="str">
            <v>王照雪</v>
          </cell>
          <cell r="D187" t="str">
            <v>周转筐－领用出库</v>
          </cell>
          <cell r="E187" t="str">
            <v>NO:0001178</v>
          </cell>
          <cell r="F187" t="str">
            <v>公司一次性筐</v>
          </cell>
          <cell r="G187" t="str"/>
          <cell r="H187">
            <v>423</v>
          </cell>
          <cell r="I187" t="str">
            <v>个</v>
          </cell>
          <cell r="J187" t="str"/>
          <cell r="K187" t="str"/>
          <cell r="L187" t="str"/>
          <cell r="M187" t="str"/>
          <cell r="N187" t="str">
            <v>公司一次性筐</v>
          </cell>
          <cell r="O187">
            <v>423</v>
          </cell>
          <cell r="P187" t="str"/>
          <cell r="Q187" t="str"/>
          <cell r="R187" t="str">
            <v>豫L*88X19</v>
          </cell>
          <cell r="S187" t="str">
            <v>公司筐</v>
          </cell>
        </row>
        <row r="188">
          <cell r="B188">
            <v>46284</v>
          </cell>
          <cell r="C188" t="str">
            <v>全修塑业</v>
          </cell>
          <cell r="D188" t="str">
            <v>周转筐－采购入库</v>
          </cell>
          <cell r="E188" t="str">
            <v>NO:0000906</v>
          </cell>
          <cell r="F188" t="str">
            <v>公司红周转筐</v>
          </cell>
          <cell r="G188" t="str"/>
          <cell r="H188">
            <v>720</v>
          </cell>
          <cell r="I188" t="str">
            <v>个</v>
          </cell>
          <cell r="J188" t="str"/>
          <cell r="K188">
            <v>7200</v>
          </cell>
          <cell r="L188" t="str">
            <v>未付款</v>
          </cell>
          <cell r="M188" t="str">
            <v>NO:0017239</v>
          </cell>
          <cell r="N188" t="str">
            <v>公司红周转筐</v>
          </cell>
          <cell r="O188" t="str"/>
          <cell r="P188" t="str"/>
          <cell r="Q188">
            <v>720</v>
          </cell>
          <cell r="R188" t="str">
            <v>豫A*2737K</v>
          </cell>
          <cell r="S188" t="str">
            <v>公司筐</v>
          </cell>
        </row>
        <row r="189">
          <cell r="B189">
            <v>46284</v>
          </cell>
          <cell r="C189" t="str">
            <v>吐尔洪</v>
          </cell>
          <cell r="D189" t="str">
            <v>周转筐－退回入库</v>
          </cell>
          <cell r="E189" t="str">
            <v>NO:0000907</v>
          </cell>
          <cell r="F189" t="str">
            <v>公司红周转筐</v>
          </cell>
          <cell r="G189" t="str"/>
          <cell r="H189">
            <v>189</v>
          </cell>
          <cell r="I189" t="str">
            <v>个</v>
          </cell>
          <cell r="J189" t="str"/>
          <cell r="K189" t="str"/>
          <cell r="L189" t="str"/>
          <cell r="M189" t="str"/>
          <cell r="N189" t="str">
            <v>公司红周转筐</v>
          </cell>
          <cell r="O189" t="str"/>
          <cell r="P189">
            <v>189</v>
          </cell>
          <cell r="Q189" t="str"/>
          <cell r="R189" t="str">
            <v>新N*X8S48</v>
          </cell>
          <cell r="S189" t="str">
            <v>公司筐</v>
          </cell>
        </row>
        <row r="190">
          <cell r="B190">
            <v>46284</v>
          </cell>
          <cell r="C190" t="str">
            <v>马锦祥</v>
          </cell>
          <cell r="D190" t="str">
            <v>周转筐－退回入库</v>
          </cell>
          <cell r="E190" t="str">
            <v>NO:0000911</v>
          </cell>
          <cell r="F190" t="str">
            <v>公司杂周转筐</v>
          </cell>
          <cell r="G190" t="str"/>
          <cell r="H190">
            <v>87</v>
          </cell>
          <cell r="I190" t="str">
            <v>个</v>
          </cell>
          <cell r="J190" t="str"/>
          <cell r="K190" t="str"/>
          <cell r="L190" t="str"/>
          <cell r="M190" t="str">
            <v>坏筐退回</v>
          </cell>
          <cell r="N190" t="str">
            <v>公司杂周转筐</v>
          </cell>
          <cell r="O190" t="str"/>
          <cell r="P190">
            <v>87</v>
          </cell>
          <cell r="Q190" t="str"/>
          <cell r="R190" t="str">
            <v>新N*K7V85</v>
          </cell>
          <cell r="S190" t="str">
            <v>公司筐</v>
          </cell>
        </row>
        <row r="191">
          <cell r="B191">
            <v>46284</v>
          </cell>
          <cell r="C191" t="str">
            <v>全修塑业</v>
          </cell>
          <cell r="D191" t="str">
            <v>周转筐－采购入库</v>
          </cell>
          <cell r="E191" t="str">
            <v>NO:0000912</v>
          </cell>
          <cell r="F191" t="str">
            <v>公司红周转筐</v>
          </cell>
          <cell r="G191" t="str"/>
          <cell r="H191">
            <v>846</v>
          </cell>
          <cell r="I191" t="str">
            <v>个</v>
          </cell>
          <cell r="J191" t="str"/>
          <cell r="K191">
            <v>8460</v>
          </cell>
          <cell r="L191" t="str">
            <v>未付款</v>
          </cell>
          <cell r="M191" t="str">
            <v>NO:0017240</v>
          </cell>
          <cell r="N191" t="str">
            <v>公司红周转筐</v>
          </cell>
          <cell r="O191" t="str"/>
          <cell r="P191" t="str"/>
          <cell r="Q191">
            <v>846</v>
          </cell>
          <cell r="R191" t="str">
            <v>新A*G0554</v>
          </cell>
          <cell r="S191" t="str">
            <v>公司筐</v>
          </cell>
        </row>
        <row r="192">
          <cell r="B192">
            <v>46284</v>
          </cell>
          <cell r="C192" t="str">
            <v>荆建君</v>
          </cell>
          <cell r="D192" t="str">
            <v>周转筐－领用出库</v>
          </cell>
          <cell r="E192" t="str">
            <v>NO:0001181</v>
          </cell>
          <cell r="F192" t="str">
            <v>公司红周转筐</v>
          </cell>
          <cell r="G192" t="str"/>
          <cell r="H192">
            <v>720</v>
          </cell>
          <cell r="I192" t="str">
            <v>个</v>
          </cell>
          <cell r="J192" t="str"/>
          <cell r="K192" t="str"/>
          <cell r="L192" t="str"/>
          <cell r="M192" t="str"/>
          <cell r="N192" t="str">
            <v>公司红周转筐</v>
          </cell>
          <cell r="O192">
            <v>720</v>
          </cell>
          <cell r="P192" t="str"/>
          <cell r="Q192" t="str"/>
          <cell r="R192" t="str">
            <v>豫A*2737K</v>
          </cell>
          <cell r="S192" t="str">
            <v>公司筐</v>
          </cell>
        </row>
        <row r="193">
          <cell r="B193">
            <v>46284</v>
          </cell>
          <cell r="C193" t="str">
            <v>吐尔洪</v>
          </cell>
          <cell r="D193" t="str">
            <v>周转筐－销售出库</v>
          </cell>
          <cell r="E193" t="str">
            <v>NO:0001183</v>
          </cell>
          <cell r="F193" t="str">
            <v>公司红周转筐</v>
          </cell>
          <cell r="G193" t="str"/>
          <cell r="H193">
            <v>49</v>
          </cell>
          <cell r="I193" t="str">
            <v>个</v>
          </cell>
          <cell r="J193" t="str"/>
          <cell r="K193">
            <v>588</v>
          </cell>
          <cell r="L193" t="str">
            <v>已收讫</v>
          </cell>
          <cell r="M193" t="str">
            <v>发出未退回-出售</v>
          </cell>
          <cell r="N193" t="str">
            <v>公司红周转筐</v>
          </cell>
          <cell r="O193" t="str"/>
          <cell r="P193" t="str"/>
          <cell r="Q193" t="str"/>
          <cell r="R193" t="str">
            <v>新N*X8S48</v>
          </cell>
          <cell r="S193" t="str">
            <v>公司筐</v>
          </cell>
        </row>
        <row r="194">
          <cell r="B194">
            <v>46284</v>
          </cell>
          <cell r="C194" t="str">
            <v>热合曼</v>
          </cell>
          <cell r="D194" t="str">
            <v>周转筐－领用出库</v>
          </cell>
          <cell r="E194" t="str">
            <v>NO:0001184</v>
          </cell>
          <cell r="F194" t="str">
            <v>公司红周转筐</v>
          </cell>
          <cell r="G194" t="str"/>
          <cell r="H194">
            <v>846</v>
          </cell>
          <cell r="I194" t="str">
            <v>个</v>
          </cell>
          <cell r="J194" t="str"/>
          <cell r="K194" t="str"/>
          <cell r="L194" t="str"/>
          <cell r="M194" t="str"/>
          <cell r="N194" t="str">
            <v>公司红周转筐</v>
          </cell>
          <cell r="O194">
            <v>846</v>
          </cell>
          <cell r="P194" t="str"/>
          <cell r="Q194" t="str"/>
          <cell r="R194" t="str">
            <v>新A*G0554</v>
          </cell>
          <cell r="S194" t="str">
            <v>公司筐</v>
          </cell>
        </row>
        <row r="195">
          <cell r="B195">
            <v>46284</v>
          </cell>
          <cell r="C195" t="str">
            <v>全修塑业</v>
          </cell>
          <cell r="D195" t="str">
            <v>周转筐－采购入库</v>
          </cell>
          <cell r="E195" t="str">
            <v>NO:0000914</v>
          </cell>
          <cell r="F195" t="str">
            <v>公司红周转筐</v>
          </cell>
          <cell r="G195" t="str"/>
          <cell r="H195">
            <v>960</v>
          </cell>
          <cell r="I195" t="str">
            <v>个</v>
          </cell>
          <cell r="J195" t="str"/>
          <cell r="K195">
            <v>9600</v>
          </cell>
          <cell r="L195" t="str">
            <v>未付款</v>
          </cell>
          <cell r="M195" t="str">
            <v>NO:0017241</v>
          </cell>
          <cell r="N195" t="str">
            <v>公司红周转筐</v>
          </cell>
          <cell r="O195" t="str"/>
          <cell r="P195" t="str"/>
          <cell r="Q195">
            <v>960</v>
          </cell>
          <cell r="R195" t="str">
            <v>新N*49209</v>
          </cell>
          <cell r="S195" t="str">
            <v>公司筐</v>
          </cell>
        </row>
        <row r="196">
          <cell r="B196">
            <v>46284</v>
          </cell>
          <cell r="C196" t="str">
            <v>王灵云</v>
          </cell>
          <cell r="D196" t="str">
            <v>周转筐－领用出库</v>
          </cell>
          <cell r="E196" t="str">
            <v>NO:0001186</v>
          </cell>
          <cell r="F196" t="str">
            <v>公司红周转筐</v>
          </cell>
          <cell r="G196" t="str"/>
          <cell r="H196">
            <v>960</v>
          </cell>
          <cell r="I196" t="str">
            <v>个</v>
          </cell>
          <cell r="J196" t="str"/>
          <cell r="K196" t="str"/>
          <cell r="L196" t="str"/>
          <cell r="M196" t="str"/>
          <cell r="N196" t="str">
            <v>公司红周转筐</v>
          </cell>
          <cell r="O196">
            <v>960</v>
          </cell>
          <cell r="P196" t="str"/>
          <cell r="Q196" t="str"/>
          <cell r="R196" t="str">
            <v>新N*49209</v>
          </cell>
          <cell r="S196" t="str">
            <v>公司筐</v>
          </cell>
        </row>
        <row r="197">
          <cell r="B197">
            <v>46284</v>
          </cell>
          <cell r="C197" t="str">
            <v>王照雪</v>
          </cell>
          <cell r="D197" t="str">
            <v>周转筐－领用出库</v>
          </cell>
          <cell r="E197" t="str">
            <v>NO:0001189</v>
          </cell>
          <cell r="F197" t="str">
            <v>公司一次性筐</v>
          </cell>
          <cell r="G197" t="str"/>
          <cell r="H197">
            <v>423</v>
          </cell>
          <cell r="I197" t="str">
            <v>个</v>
          </cell>
          <cell r="J197" t="str"/>
          <cell r="K197" t="str"/>
          <cell r="L197" t="str"/>
          <cell r="M197" t="str"/>
          <cell r="N197" t="str">
            <v>公司一次性筐</v>
          </cell>
          <cell r="O197">
            <v>423</v>
          </cell>
          <cell r="P197" t="str"/>
          <cell r="Q197" t="str"/>
          <cell r="R197" t="str">
            <v>豫L*88X19</v>
          </cell>
          <cell r="S197" t="str">
            <v>公司筐</v>
          </cell>
        </row>
        <row r="198">
          <cell r="B198">
            <v>46284</v>
          </cell>
          <cell r="C198" t="str">
            <v>全修塑业</v>
          </cell>
          <cell r="D198" t="str">
            <v>周转筐－采购入库</v>
          </cell>
          <cell r="E198" t="str">
            <v>NO:0000917</v>
          </cell>
          <cell r="F198" t="str">
            <v>公司红周转筐</v>
          </cell>
          <cell r="G198" t="str"/>
          <cell r="H198">
            <v>504</v>
          </cell>
          <cell r="I198" t="str">
            <v>个</v>
          </cell>
          <cell r="J198" t="str"/>
          <cell r="K198">
            <v>5040</v>
          </cell>
          <cell r="L198" t="str">
            <v>未付款</v>
          </cell>
          <cell r="M198" t="str">
            <v>NO:0017242</v>
          </cell>
          <cell r="N198" t="str">
            <v>公司红周转筐</v>
          </cell>
          <cell r="O198" t="str"/>
          <cell r="P198" t="str"/>
          <cell r="Q198">
            <v>504</v>
          </cell>
          <cell r="R198" t="str">
            <v>新N*F0M01</v>
          </cell>
          <cell r="S198" t="str">
            <v>公司筐</v>
          </cell>
        </row>
        <row r="199">
          <cell r="B199">
            <v>46284</v>
          </cell>
          <cell r="C199" t="str">
            <v>全修塑业</v>
          </cell>
          <cell r="D199" t="str">
            <v>周转筐－采购入库</v>
          </cell>
          <cell r="E199" t="str">
            <v>NO:0000919</v>
          </cell>
          <cell r="F199" t="str">
            <v>公司红周转筐</v>
          </cell>
          <cell r="G199" t="str"/>
          <cell r="H199">
            <v>720</v>
          </cell>
          <cell r="I199" t="str">
            <v>个</v>
          </cell>
          <cell r="J199" t="str"/>
          <cell r="K199">
            <v>7200</v>
          </cell>
          <cell r="L199" t="str">
            <v>未付款</v>
          </cell>
          <cell r="M199" t="str">
            <v>NO:0017243</v>
          </cell>
          <cell r="N199" t="str">
            <v>公司红周转筐</v>
          </cell>
          <cell r="O199" t="str"/>
          <cell r="P199" t="str"/>
          <cell r="Q199">
            <v>720</v>
          </cell>
          <cell r="R199" t="str">
            <v>新R*37010</v>
          </cell>
          <cell r="S199" t="str">
            <v>公司筐</v>
          </cell>
        </row>
        <row r="200">
          <cell r="B200">
            <v>46284</v>
          </cell>
          <cell r="C200" t="str">
            <v>全修塑业</v>
          </cell>
          <cell r="D200" t="str">
            <v>周转筐－采购入库</v>
          </cell>
          <cell r="E200" t="str">
            <v>NO:0000921</v>
          </cell>
          <cell r="F200" t="str">
            <v>公司红周转筐</v>
          </cell>
          <cell r="G200" t="str"/>
          <cell r="H200">
            <v>960</v>
          </cell>
          <cell r="I200" t="str">
            <v>个</v>
          </cell>
          <cell r="J200" t="str"/>
          <cell r="K200">
            <v>9600</v>
          </cell>
          <cell r="L200" t="str">
            <v>未付款</v>
          </cell>
          <cell r="M200" t="str">
            <v>NO:0017244</v>
          </cell>
          <cell r="N200" t="str">
            <v>公司红周转筐</v>
          </cell>
          <cell r="O200" t="str"/>
          <cell r="P200" t="str"/>
          <cell r="Q200">
            <v>960</v>
          </cell>
          <cell r="R200" t="str">
            <v>新F*75240</v>
          </cell>
          <cell r="S200" t="str">
            <v>公司筐</v>
          </cell>
        </row>
        <row r="201">
          <cell r="B201">
            <v>46284</v>
          </cell>
          <cell r="C201" t="str">
            <v>努尔敦</v>
          </cell>
          <cell r="D201" t="str">
            <v>周转筐－领用出库</v>
          </cell>
          <cell r="E201" t="str">
            <v>NO:0001190</v>
          </cell>
          <cell r="F201" t="str">
            <v>公司红周转筐</v>
          </cell>
          <cell r="G201" t="str"/>
          <cell r="H201">
            <v>504</v>
          </cell>
          <cell r="I201" t="str">
            <v>个</v>
          </cell>
          <cell r="J201" t="str"/>
          <cell r="K201" t="str"/>
          <cell r="L201" t="str"/>
          <cell r="M201" t="str">
            <v>阿布都</v>
          </cell>
          <cell r="N201" t="str">
            <v>公司红周转筐</v>
          </cell>
          <cell r="O201">
            <v>504</v>
          </cell>
          <cell r="P201" t="str"/>
          <cell r="Q201" t="str"/>
          <cell r="R201" t="str">
            <v>新N*F0M01</v>
          </cell>
          <cell r="S201" t="str">
            <v>公司筐</v>
          </cell>
        </row>
        <row r="202">
          <cell r="B202">
            <v>46284</v>
          </cell>
          <cell r="C202" t="str">
            <v>贾建国</v>
          </cell>
          <cell r="D202" t="str">
            <v>周转筐－领用出库</v>
          </cell>
          <cell r="E202" t="str">
            <v>NO:0001191</v>
          </cell>
          <cell r="F202" t="str">
            <v>公司新周转筐</v>
          </cell>
          <cell r="G202" t="str"/>
          <cell r="H202">
            <v>301</v>
          </cell>
          <cell r="I202" t="str">
            <v>个</v>
          </cell>
          <cell r="J202" t="str"/>
          <cell r="K202" t="str"/>
          <cell r="L202" t="str"/>
          <cell r="M202" t="str"/>
          <cell r="N202" t="str">
            <v>公司新周转筐</v>
          </cell>
          <cell r="O202">
            <v>301</v>
          </cell>
          <cell r="P202" t="str"/>
          <cell r="Q202" t="str"/>
          <cell r="R202" t="str">
            <v>新N*48236</v>
          </cell>
          <cell r="S202" t="str">
            <v>公司筐</v>
          </cell>
        </row>
        <row r="203">
          <cell r="B203">
            <v>46284</v>
          </cell>
          <cell r="C203" t="str">
            <v>李现东</v>
          </cell>
          <cell r="D203" t="str">
            <v>周转筐－领用出库</v>
          </cell>
          <cell r="E203" t="str">
            <v>NO:0001192</v>
          </cell>
          <cell r="F203" t="str">
            <v>公司杂周转筐</v>
          </cell>
          <cell r="G203" t="str"/>
          <cell r="H203">
            <v>936</v>
          </cell>
          <cell r="I203" t="str">
            <v>个</v>
          </cell>
          <cell r="J203" t="str"/>
          <cell r="K203" t="str"/>
          <cell r="L203" t="str"/>
          <cell r="M203" t="str">
            <v>李现东</v>
          </cell>
          <cell r="N203" t="str">
            <v>公司杂周转筐</v>
          </cell>
          <cell r="O203">
            <v>936</v>
          </cell>
          <cell r="P203" t="str"/>
          <cell r="Q203" t="str"/>
          <cell r="R203" t="str">
            <v>新N*53045</v>
          </cell>
          <cell r="S203" t="str">
            <v>公司筐</v>
          </cell>
        </row>
        <row r="204">
          <cell r="B204">
            <v>46284</v>
          </cell>
          <cell r="C204" t="str">
            <v>麦麦提</v>
          </cell>
          <cell r="D204" t="str">
            <v>周转筐－领用出库</v>
          </cell>
          <cell r="E204" t="str">
            <v>NO:0001193</v>
          </cell>
          <cell r="F204" t="str">
            <v>公司红周转筐</v>
          </cell>
          <cell r="G204" t="str"/>
          <cell r="H204">
            <v>720</v>
          </cell>
          <cell r="I204" t="str">
            <v>个</v>
          </cell>
          <cell r="J204" t="str"/>
          <cell r="K204" t="str"/>
          <cell r="L204" t="str"/>
          <cell r="M204" t="str"/>
          <cell r="N204" t="str">
            <v>公司红周转筐</v>
          </cell>
          <cell r="O204">
            <v>720</v>
          </cell>
          <cell r="P204" t="str"/>
          <cell r="Q204" t="str"/>
          <cell r="R204" t="str">
            <v>新R*37010</v>
          </cell>
          <cell r="S204" t="str">
            <v>公司筐</v>
          </cell>
        </row>
        <row r="205">
          <cell r="B205">
            <v>46284</v>
          </cell>
          <cell r="C205" t="str">
            <v>努尔敦</v>
          </cell>
          <cell r="D205" t="str">
            <v>周转筐－领用出库</v>
          </cell>
          <cell r="E205" t="str">
            <v>NO:0001194</v>
          </cell>
          <cell r="F205" t="str">
            <v>公司红周转筐</v>
          </cell>
          <cell r="G205" t="str"/>
          <cell r="H205">
            <v>960</v>
          </cell>
          <cell r="I205" t="str">
            <v>个</v>
          </cell>
          <cell r="J205" t="str"/>
          <cell r="K205" t="str"/>
          <cell r="L205" t="str"/>
          <cell r="M205" t="str"/>
          <cell r="N205" t="str">
            <v>公司红周转筐</v>
          </cell>
          <cell r="O205">
            <v>960</v>
          </cell>
          <cell r="P205" t="str"/>
          <cell r="Q205" t="str"/>
          <cell r="R205" t="str">
            <v>新F*75240</v>
          </cell>
          <cell r="S205" t="str">
            <v>公司筐</v>
          </cell>
        </row>
        <row r="206">
          <cell r="B206">
            <v>46285</v>
          </cell>
          <cell r="C206" t="str">
            <v>王照雪</v>
          </cell>
          <cell r="D206" t="str">
            <v>周转筐－领用出库</v>
          </cell>
          <cell r="E206" t="str">
            <v>NO:0001198</v>
          </cell>
          <cell r="F206" t="str">
            <v>公司杂周转筐</v>
          </cell>
          <cell r="G206" t="str"/>
          <cell r="H206">
            <v>213</v>
          </cell>
          <cell r="I206" t="str">
            <v>个</v>
          </cell>
          <cell r="J206" t="str"/>
          <cell r="K206" t="str"/>
          <cell r="L206" t="str"/>
          <cell r="M206" t="str"/>
          <cell r="N206" t="str">
            <v>公司杂周转筐</v>
          </cell>
          <cell r="O206">
            <v>213</v>
          </cell>
          <cell r="P206" t="str"/>
          <cell r="Q206" t="str"/>
          <cell r="R206" t="str">
            <v>豫L*88X19</v>
          </cell>
          <cell r="S206" t="str">
            <v>公司筐</v>
          </cell>
        </row>
        <row r="207">
          <cell r="B207">
            <v>46285</v>
          </cell>
          <cell r="C207" t="str">
            <v>全修塑业</v>
          </cell>
          <cell r="D207" t="str">
            <v>周转筐－采购入库</v>
          </cell>
          <cell r="E207" t="str">
            <v>NO:0000925</v>
          </cell>
          <cell r="F207" t="str">
            <v>公司红周转筐</v>
          </cell>
          <cell r="G207" t="str"/>
          <cell r="H207">
            <v>936</v>
          </cell>
          <cell r="I207" t="str">
            <v>个</v>
          </cell>
          <cell r="J207" t="str"/>
          <cell r="K207">
            <v>9360</v>
          </cell>
          <cell r="L207" t="str">
            <v>未付款</v>
          </cell>
          <cell r="M207" t="str">
            <v>NO:0017246</v>
          </cell>
          <cell r="N207" t="str">
            <v>公司红周转筐</v>
          </cell>
          <cell r="O207" t="str"/>
          <cell r="P207" t="str"/>
          <cell r="Q207">
            <v>936</v>
          </cell>
          <cell r="R207" t="str">
            <v>新F*75240</v>
          </cell>
          <cell r="S207" t="str">
            <v>公司筐</v>
          </cell>
        </row>
        <row r="208">
          <cell r="B208">
            <v>46285</v>
          </cell>
          <cell r="C208" t="str">
            <v>努尔敦</v>
          </cell>
          <cell r="D208" t="str">
            <v>周转筐－领用出库</v>
          </cell>
          <cell r="E208" t="str">
            <v>NO:0001200</v>
          </cell>
          <cell r="F208" t="str">
            <v>公司红周转筐</v>
          </cell>
          <cell r="G208" t="str"/>
          <cell r="H208">
            <v>936</v>
          </cell>
          <cell r="I208" t="str">
            <v>个</v>
          </cell>
          <cell r="J208" t="str"/>
          <cell r="K208" t="str"/>
          <cell r="L208" t="str"/>
          <cell r="M208" t="str"/>
          <cell r="N208" t="str">
            <v>公司红周转筐</v>
          </cell>
          <cell r="O208">
            <v>936</v>
          </cell>
          <cell r="P208" t="str"/>
          <cell r="Q208" t="str"/>
          <cell r="R208" t="str">
            <v>新F*75240</v>
          </cell>
          <cell r="S208" t="str">
            <v>公司筐</v>
          </cell>
        </row>
        <row r="209">
          <cell r="B209">
            <v>46285</v>
          </cell>
          <cell r="C209" t="str">
            <v>王照雪</v>
          </cell>
          <cell r="D209" t="str">
            <v>周转筐－领用出库</v>
          </cell>
          <cell r="E209" t="str">
            <v>NO:0001203</v>
          </cell>
          <cell r="F209" t="str">
            <v>公司一次性筐</v>
          </cell>
          <cell r="G209" t="str"/>
          <cell r="H209">
            <v>423</v>
          </cell>
          <cell r="I209" t="str">
            <v>个</v>
          </cell>
          <cell r="J209" t="str"/>
          <cell r="K209" t="str"/>
          <cell r="L209" t="str"/>
          <cell r="M209" t="str"/>
          <cell r="N209" t="str">
            <v>公司一次性筐</v>
          </cell>
          <cell r="O209">
            <v>423</v>
          </cell>
          <cell r="P209" t="str"/>
          <cell r="Q209" t="str"/>
          <cell r="R209" t="str">
            <v>豫L*88X19</v>
          </cell>
          <cell r="S209" t="str">
            <v>公司筐</v>
          </cell>
        </row>
        <row r="210">
          <cell r="B210">
            <v>46285</v>
          </cell>
          <cell r="C210" t="str">
            <v>全修塑业</v>
          </cell>
          <cell r="D210" t="str">
            <v>周转筐－采购入库</v>
          </cell>
          <cell r="E210" t="str">
            <v>NO:0000929</v>
          </cell>
          <cell r="F210" t="str">
            <v>公司红周转筐</v>
          </cell>
          <cell r="G210" t="str"/>
          <cell r="H210">
            <v>960</v>
          </cell>
          <cell r="I210" t="str">
            <v>个</v>
          </cell>
          <cell r="J210" t="str"/>
          <cell r="K210">
            <v>9600</v>
          </cell>
          <cell r="L210" t="str">
            <v>未付款</v>
          </cell>
          <cell r="M210" t="str">
            <v>NO:0017247</v>
          </cell>
          <cell r="N210" t="str">
            <v>公司红周转筐</v>
          </cell>
          <cell r="O210" t="str"/>
          <cell r="P210" t="str"/>
          <cell r="Q210">
            <v>960</v>
          </cell>
          <cell r="R210" t="str">
            <v>新N*49209</v>
          </cell>
          <cell r="S210" t="str">
            <v>公司筐</v>
          </cell>
        </row>
        <row r="211">
          <cell r="B211">
            <v>46285</v>
          </cell>
          <cell r="C211" t="str">
            <v>王灵云</v>
          </cell>
          <cell r="D211" t="str">
            <v>周转筐－领用出库</v>
          </cell>
          <cell r="E211" t="str">
            <v>NO:0001204</v>
          </cell>
          <cell r="F211" t="str">
            <v>公司红周转筐</v>
          </cell>
          <cell r="G211" t="str"/>
          <cell r="H211">
            <v>960</v>
          </cell>
          <cell r="I211" t="str">
            <v>个</v>
          </cell>
          <cell r="J211" t="str"/>
          <cell r="K211" t="str"/>
          <cell r="L211" t="str"/>
          <cell r="M211" t="str"/>
          <cell r="N211" t="str">
            <v>公司红周转筐</v>
          </cell>
          <cell r="O211">
            <v>960</v>
          </cell>
          <cell r="P211" t="str"/>
          <cell r="Q211" t="str"/>
          <cell r="R211" t="str">
            <v>新N*49209</v>
          </cell>
          <cell r="S211" t="str">
            <v>公司筐</v>
          </cell>
        </row>
        <row r="212">
          <cell r="B212">
            <v>46286</v>
          </cell>
          <cell r="C212" t="str">
            <v>全修塑业</v>
          </cell>
          <cell r="D212" t="str">
            <v>周转筐－采购入库</v>
          </cell>
          <cell r="E212" t="str">
            <v>NO:0000932</v>
          </cell>
          <cell r="F212" t="str">
            <v>公司红周转筐</v>
          </cell>
          <cell r="G212" t="str"/>
          <cell r="H212">
            <v>960</v>
          </cell>
          <cell r="I212" t="str">
            <v>个</v>
          </cell>
          <cell r="J212" t="str"/>
          <cell r="K212">
            <v>9600</v>
          </cell>
          <cell r="L212" t="str">
            <v>未付款</v>
          </cell>
          <cell r="M212" t="str">
            <v>NO:0017249</v>
          </cell>
          <cell r="N212" t="str">
            <v>公司红周转筐</v>
          </cell>
          <cell r="O212" t="str"/>
          <cell r="P212" t="str"/>
          <cell r="Q212">
            <v>960</v>
          </cell>
          <cell r="R212" t="str">
            <v>新F*75240</v>
          </cell>
          <cell r="S212" t="str">
            <v>公司筐</v>
          </cell>
        </row>
        <row r="213">
          <cell r="B213">
            <v>46286</v>
          </cell>
          <cell r="C213" t="str">
            <v>全修塑业</v>
          </cell>
          <cell r="D213" t="str">
            <v>周转筐－采购入库</v>
          </cell>
          <cell r="E213" t="str">
            <v>NO:0000933</v>
          </cell>
          <cell r="F213" t="str">
            <v>公司红周转筐</v>
          </cell>
          <cell r="G213" t="str"/>
          <cell r="H213">
            <v>720</v>
          </cell>
          <cell r="I213" t="str">
            <v>个</v>
          </cell>
          <cell r="J213" t="str"/>
          <cell r="K213">
            <v>7200</v>
          </cell>
          <cell r="L213" t="str">
            <v>未付款</v>
          </cell>
          <cell r="M213" t="str">
            <v>NO:0017250</v>
          </cell>
          <cell r="N213" t="str">
            <v>公司红周转筐</v>
          </cell>
          <cell r="O213" t="str"/>
          <cell r="P213" t="str"/>
          <cell r="Q213">
            <v>720</v>
          </cell>
          <cell r="R213" t="str">
            <v>豫A*2737K</v>
          </cell>
          <cell r="S213" t="str">
            <v>公司筐</v>
          </cell>
        </row>
        <row r="214">
          <cell r="B214">
            <v>46286</v>
          </cell>
          <cell r="C214" t="str">
            <v>努尔敦</v>
          </cell>
          <cell r="D214" t="str">
            <v>周转筐－领用出库</v>
          </cell>
          <cell r="E214" t="str">
            <v>NO:0001207</v>
          </cell>
          <cell r="F214" t="str">
            <v>公司红周转筐</v>
          </cell>
          <cell r="G214" t="str"/>
          <cell r="H214">
            <v>960</v>
          </cell>
          <cell r="I214" t="str">
            <v>个</v>
          </cell>
          <cell r="J214" t="str"/>
          <cell r="K214" t="str"/>
          <cell r="L214" t="str"/>
          <cell r="M214" t="str"/>
          <cell r="N214" t="str">
            <v>公司红周转筐</v>
          </cell>
          <cell r="O214">
            <v>960</v>
          </cell>
          <cell r="P214" t="str"/>
          <cell r="Q214" t="str"/>
          <cell r="R214" t="str">
            <v>新F*75240</v>
          </cell>
          <cell r="S214" t="str">
            <v>公司筐</v>
          </cell>
        </row>
        <row r="215">
          <cell r="B215">
            <v>46286</v>
          </cell>
          <cell r="C215" t="str">
            <v>荆建君</v>
          </cell>
          <cell r="D215" t="str">
            <v>周转筐－领用出库</v>
          </cell>
          <cell r="E215" t="str">
            <v>NO:0001208</v>
          </cell>
          <cell r="F215" t="str">
            <v>公司红周转筐</v>
          </cell>
          <cell r="G215" t="str"/>
          <cell r="H215">
            <v>720</v>
          </cell>
          <cell r="I215" t="str">
            <v>个</v>
          </cell>
          <cell r="J215" t="str"/>
          <cell r="K215" t="str"/>
          <cell r="L215" t="str"/>
          <cell r="M215" t="str"/>
          <cell r="N215" t="str">
            <v>公司红周转筐</v>
          </cell>
          <cell r="O215">
            <v>720</v>
          </cell>
          <cell r="P215" t="str"/>
          <cell r="Q215" t="str"/>
          <cell r="R215" t="str">
            <v>豫A*2737K</v>
          </cell>
          <cell r="S215" t="str">
            <v>公司筐</v>
          </cell>
        </row>
        <row r="216">
          <cell r="B216">
            <v>46286</v>
          </cell>
          <cell r="C216" t="str">
            <v>全修塑业</v>
          </cell>
          <cell r="D216" t="str">
            <v>周转筐－采购入库</v>
          </cell>
          <cell r="E216" t="str">
            <v>NO:0000937</v>
          </cell>
          <cell r="F216" t="str">
            <v>公司红周转筐</v>
          </cell>
          <cell r="G216" t="str"/>
          <cell r="H216">
            <v>852</v>
          </cell>
          <cell r="I216" t="str">
            <v>个</v>
          </cell>
          <cell r="J216" t="str"/>
          <cell r="K216">
            <v>8520</v>
          </cell>
          <cell r="L216" t="str">
            <v>未付款</v>
          </cell>
          <cell r="M216" t="str">
            <v>NO:0005253</v>
          </cell>
          <cell r="N216" t="str">
            <v>公司红周转筐</v>
          </cell>
          <cell r="O216" t="str"/>
          <cell r="P216" t="str"/>
          <cell r="Q216">
            <v>852</v>
          </cell>
          <cell r="R216" t="str">
            <v>新R*37010</v>
          </cell>
          <cell r="S216" t="str">
            <v>公司筐</v>
          </cell>
        </row>
        <row r="217">
          <cell r="B217">
            <v>46286</v>
          </cell>
          <cell r="C217" t="str">
            <v>全修塑业</v>
          </cell>
          <cell r="D217" t="str">
            <v>周转筐－采购入库</v>
          </cell>
          <cell r="E217" t="str">
            <v>NO:0000938</v>
          </cell>
          <cell r="F217" t="str">
            <v>公司红周转筐</v>
          </cell>
          <cell r="G217" t="str"/>
          <cell r="H217">
            <v>960</v>
          </cell>
          <cell r="I217" t="str">
            <v>个</v>
          </cell>
          <cell r="J217" t="str"/>
          <cell r="K217">
            <v>9600</v>
          </cell>
          <cell r="L217" t="str">
            <v>未付款</v>
          </cell>
          <cell r="M217" t="str">
            <v>NO:0005254</v>
          </cell>
          <cell r="N217" t="str">
            <v>公司红周转筐</v>
          </cell>
          <cell r="O217" t="str"/>
          <cell r="P217" t="str"/>
          <cell r="Q217">
            <v>960</v>
          </cell>
          <cell r="R217" t="str">
            <v>新N*49209</v>
          </cell>
          <cell r="S217" t="str">
            <v>公司筐</v>
          </cell>
        </row>
        <row r="218">
          <cell r="B218">
            <v>46286</v>
          </cell>
          <cell r="C218" t="str">
            <v>热合曼</v>
          </cell>
          <cell r="D218" t="str">
            <v>周转筐－领用出库</v>
          </cell>
          <cell r="E218" t="str">
            <v>NO:0001209</v>
          </cell>
          <cell r="F218" t="str">
            <v>公司红周转筐</v>
          </cell>
          <cell r="G218" t="str"/>
          <cell r="H218">
            <v>852</v>
          </cell>
          <cell r="I218" t="str">
            <v>个</v>
          </cell>
          <cell r="J218" t="str"/>
          <cell r="K218" t="str"/>
          <cell r="L218" t="str"/>
          <cell r="M218" t="str"/>
          <cell r="N218" t="str">
            <v>公司红周转筐</v>
          </cell>
          <cell r="O218">
            <v>852</v>
          </cell>
          <cell r="P218" t="str"/>
          <cell r="Q218" t="str"/>
          <cell r="R218" t="str">
            <v>新R*37010</v>
          </cell>
          <cell r="S218" t="str">
            <v>公司筐</v>
          </cell>
        </row>
        <row r="219">
          <cell r="B219">
            <v>46286</v>
          </cell>
          <cell r="C219" t="str">
            <v>王灵云</v>
          </cell>
          <cell r="D219" t="str">
            <v>周转筐－领用出库</v>
          </cell>
          <cell r="E219" t="str">
            <v>NO:0001210</v>
          </cell>
          <cell r="F219" t="str">
            <v>公司红周转筐</v>
          </cell>
          <cell r="G219" t="str"/>
          <cell r="H219">
            <v>960</v>
          </cell>
          <cell r="I219" t="str">
            <v>个</v>
          </cell>
          <cell r="J219" t="str"/>
          <cell r="K219" t="str"/>
          <cell r="L219" t="str"/>
          <cell r="M219" t="str"/>
          <cell r="N219" t="str">
            <v>公司红周转筐</v>
          </cell>
          <cell r="O219">
            <v>960</v>
          </cell>
          <cell r="P219" t="str"/>
          <cell r="Q219" t="str"/>
          <cell r="R219" t="str">
            <v>新N*49209</v>
          </cell>
          <cell r="S219" t="str">
            <v>公司筐</v>
          </cell>
        </row>
        <row r="220">
          <cell r="B220">
            <v>46287</v>
          </cell>
          <cell r="C220" t="str">
            <v>艾海提</v>
          </cell>
          <cell r="D220" t="str">
            <v>周转筐－领用出库</v>
          </cell>
          <cell r="E220" t="str">
            <v>NO:0001215</v>
          </cell>
          <cell r="F220" t="str">
            <v>公司红周转筐</v>
          </cell>
          <cell r="G220" t="str"/>
          <cell r="H220">
            <v>321</v>
          </cell>
          <cell r="I220" t="str">
            <v>个</v>
          </cell>
          <cell r="J220" t="str"/>
          <cell r="K220" t="str"/>
          <cell r="L220" t="str"/>
          <cell r="M220" t="str"/>
          <cell r="N220" t="str">
            <v>公司红周转筐</v>
          </cell>
          <cell r="O220">
            <v>321</v>
          </cell>
          <cell r="P220" t="str"/>
          <cell r="Q220" t="str"/>
          <cell r="R220" t="str">
            <v>新N*WX586</v>
          </cell>
          <cell r="S220" t="str">
            <v>公司筐</v>
          </cell>
        </row>
        <row r="221">
          <cell r="B221">
            <v>46287</v>
          </cell>
          <cell r="C221" t="str">
            <v>王浩</v>
          </cell>
          <cell r="D221" t="str">
            <v>周转筐－退回入库</v>
          </cell>
          <cell r="E221" t="str">
            <v>NO:0000950</v>
          </cell>
          <cell r="F221" t="str">
            <v>公司一次性筐</v>
          </cell>
          <cell r="G221" t="str"/>
          <cell r="H221">
            <v>24</v>
          </cell>
          <cell r="I221" t="str">
            <v>个</v>
          </cell>
          <cell r="J221" t="str"/>
          <cell r="K221" t="str"/>
          <cell r="L221" t="str"/>
          <cell r="M221" t="str">
            <v>坏筐退回</v>
          </cell>
          <cell r="N221" t="str">
            <v>公司一次性筐</v>
          </cell>
          <cell r="O221" t="str"/>
          <cell r="P221">
            <v>24</v>
          </cell>
          <cell r="Q221" t="str"/>
          <cell r="R221" t="str">
            <v>新A*G1620</v>
          </cell>
          <cell r="S221" t="str">
            <v>公司筐</v>
          </cell>
        </row>
        <row r="222">
          <cell r="B222">
            <v>46287</v>
          </cell>
          <cell r="C222" t="str">
            <v>全修塑业</v>
          </cell>
          <cell r="D222" t="str">
            <v>周转筐－采购入库</v>
          </cell>
          <cell r="E222" t="str">
            <v>NO:0000951</v>
          </cell>
          <cell r="F222" t="str">
            <v>公司红周转筐</v>
          </cell>
          <cell r="G222" t="str"/>
          <cell r="H222">
            <v>960</v>
          </cell>
          <cell r="I222" t="str">
            <v>个</v>
          </cell>
          <cell r="J222" t="str"/>
          <cell r="K222">
            <v>9600</v>
          </cell>
          <cell r="L222" t="str">
            <v>未付款</v>
          </cell>
          <cell r="M222" t="str">
            <v>NO:0005255</v>
          </cell>
          <cell r="N222" t="str">
            <v>公司红周转筐</v>
          </cell>
          <cell r="O222" t="str"/>
          <cell r="P222" t="str"/>
          <cell r="Q222">
            <v>960</v>
          </cell>
          <cell r="R222" t="str">
            <v>新N*49209</v>
          </cell>
          <cell r="S222" t="str">
            <v>公司筐</v>
          </cell>
        </row>
        <row r="223">
          <cell r="B223">
            <v>46287</v>
          </cell>
          <cell r="C223" t="str">
            <v>王灵云</v>
          </cell>
          <cell r="D223" t="str">
            <v>周转筐－领用出库</v>
          </cell>
          <cell r="E223" t="str">
            <v>NO:0001217</v>
          </cell>
          <cell r="F223" t="str">
            <v>公司红周转筐</v>
          </cell>
          <cell r="G223" t="str"/>
          <cell r="H223">
            <v>960</v>
          </cell>
          <cell r="I223" t="str">
            <v>个</v>
          </cell>
          <cell r="J223" t="str"/>
          <cell r="K223" t="str"/>
          <cell r="L223" t="str"/>
          <cell r="M223" t="str"/>
          <cell r="N223" t="str">
            <v>公司红周转筐</v>
          </cell>
          <cell r="O223">
            <v>960</v>
          </cell>
          <cell r="P223" t="str"/>
          <cell r="Q223" t="str"/>
          <cell r="R223" t="str">
            <v>新N*49209</v>
          </cell>
          <cell r="S223" t="str">
            <v>公司筐</v>
          </cell>
        </row>
        <row r="224">
          <cell r="B224">
            <v>46287</v>
          </cell>
          <cell r="C224" t="str">
            <v>王照雪</v>
          </cell>
          <cell r="D224" t="str">
            <v>周转筐－退回入库</v>
          </cell>
          <cell r="E224" t="str">
            <v>NO:0000952</v>
          </cell>
          <cell r="F224" t="str">
            <v>公司一次性筐</v>
          </cell>
          <cell r="G224" t="str"/>
          <cell r="H224">
            <v>363</v>
          </cell>
          <cell r="I224" t="str">
            <v>个</v>
          </cell>
          <cell r="J224" t="str"/>
          <cell r="K224" t="str"/>
          <cell r="L224" t="str"/>
          <cell r="M224" t="str">
            <v>坏筐退回15</v>
          </cell>
          <cell r="N224" t="str">
            <v>公司一次性筐</v>
          </cell>
          <cell r="O224" t="str"/>
          <cell r="P224">
            <v>363</v>
          </cell>
          <cell r="Q224" t="str"/>
          <cell r="R224" t="str">
            <v>豫L*88X19</v>
          </cell>
          <cell r="S224" t="str">
            <v>公司筐</v>
          </cell>
        </row>
        <row r="225">
          <cell r="B225">
            <v>46287</v>
          </cell>
          <cell r="C225" t="str">
            <v>王照雪</v>
          </cell>
          <cell r="D225" t="str">
            <v>周转筐－领用出库</v>
          </cell>
          <cell r="E225" t="str">
            <v>NO:0001219</v>
          </cell>
          <cell r="F225" t="str">
            <v>公司杂周转筐</v>
          </cell>
          <cell r="G225" t="str"/>
          <cell r="H225">
            <v>423</v>
          </cell>
          <cell r="I225" t="str">
            <v>个</v>
          </cell>
          <cell r="J225" t="str"/>
          <cell r="K225" t="str"/>
          <cell r="L225" t="str"/>
          <cell r="M225" t="str"/>
          <cell r="N225" t="str">
            <v>公司杂周转筐</v>
          </cell>
          <cell r="O225">
            <v>423</v>
          </cell>
          <cell r="P225" t="str"/>
          <cell r="Q225" t="str"/>
          <cell r="R225" t="str">
            <v>豫L*88X19</v>
          </cell>
          <cell r="S225" t="str">
            <v>公司筐</v>
          </cell>
        </row>
        <row r="226">
          <cell r="B226">
            <v>46288</v>
          </cell>
          <cell r="C226" t="str">
            <v>热合曼</v>
          </cell>
          <cell r="D226" t="str">
            <v>周转筐－领用出库</v>
          </cell>
          <cell r="E226" t="str">
            <v>NO:0001222</v>
          </cell>
          <cell r="F226" t="str">
            <v>公司红周转筐</v>
          </cell>
          <cell r="G226" t="str"/>
          <cell r="H226">
            <v>864</v>
          </cell>
          <cell r="I226" t="str">
            <v>个</v>
          </cell>
          <cell r="J226" t="str"/>
          <cell r="K226" t="str"/>
          <cell r="L226" t="str"/>
          <cell r="M226" t="str"/>
          <cell r="N226" t="str">
            <v>公司红周转筐</v>
          </cell>
          <cell r="O226">
            <v>864</v>
          </cell>
          <cell r="P226" t="str"/>
          <cell r="Q226" t="str"/>
          <cell r="R226" t="str">
            <v>新R*37010</v>
          </cell>
          <cell r="S226" t="str">
            <v>公司筐</v>
          </cell>
        </row>
        <row r="227">
          <cell r="B227">
            <v>46288</v>
          </cell>
          <cell r="C227" t="str">
            <v>荆建君</v>
          </cell>
          <cell r="D227" t="str">
            <v>周转筐－领用出库</v>
          </cell>
          <cell r="E227" t="str">
            <v>NO:0001223</v>
          </cell>
          <cell r="F227" t="str">
            <v>公司红周转筐</v>
          </cell>
          <cell r="G227" t="str"/>
          <cell r="H227">
            <v>720</v>
          </cell>
          <cell r="I227" t="str">
            <v>个</v>
          </cell>
          <cell r="J227" t="str"/>
          <cell r="K227" t="str"/>
          <cell r="L227" t="str"/>
          <cell r="M227" t="str"/>
          <cell r="N227" t="str">
            <v>公司红周转筐</v>
          </cell>
          <cell r="O227">
            <v>720</v>
          </cell>
          <cell r="P227" t="str"/>
          <cell r="Q227" t="str"/>
          <cell r="R227" t="str">
            <v>豫A*2737K</v>
          </cell>
          <cell r="S227" t="str">
            <v>公司筐</v>
          </cell>
        </row>
        <row r="228">
          <cell r="B228">
            <v>46288</v>
          </cell>
          <cell r="C228" t="str">
            <v>全修塑业</v>
          </cell>
          <cell r="D228" t="str">
            <v>周转筐－采购入库</v>
          </cell>
          <cell r="E228" t="str">
            <v>NO:0000955</v>
          </cell>
          <cell r="F228" t="str">
            <v>公司红周转筐</v>
          </cell>
          <cell r="G228" t="str"/>
          <cell r="H228">
            <v>600</v>
          </cell>
          <cell r="I228" t="str">
            <v>个</v>
          </cell>
          <cell r="J228" t="str"/>
          <cell r="K228">
            <v>6000</v>
          </cell>
          <cell r="L228" t="str">
            <v>未付款</v>
          </cell>
          <cell r="M228" t="str">
            <v>NO:0005256</v>
          </cell>
          <cell r="N228" t="str">
            <v>公司红周转筐</v>
          </cell>
          <cell r="O228" t="str"/>
          <cell r="P228" t="str"/>
          <cell r="Q228">
            <v>600</v>
          </cell>
          <cell r="R228" t="str">
            <v>新N*49209</v>
          </cell>
          <cell r="S228" t="str">
            <v>公司筐</v>
          </cell>
        </row>
        <row r="229">
          <cell r="B229">
            <v>46288</v>
          </cell>
          <cell r="C229" t="str">
            <v>王灵云</v>
          </cell>
          <cell r="D229" t="str">
            <v>周转筐－领用出库</v>
          </cell>
          <cell r="E229" t="str">
            <v>NO:0001224</v>
          </cell>
          <cell r="F229" t="str">
            <v>公司红周转筐</v>
          </cell>
          <cell r="G229" t="str"/>
          <cell r="H229">
            <v>600</v>
          </cell>
          <cell r="I229" t="str">
            <v>个</v>
          </cell>
          <cell r="J229" t="str"/>
          <cell r="K229" t="str"/>
          <cell r="L229" t="str"/>
          <cell r="M229" t="str"/>
          <cell r="N229" t="str">
            <v>公司红周转筐</v>
          </cell>
          <cell r="O229">
            <v>600</v>
          </cell>
          <cell r="P229" t="str"/>
          <cell r="Q229" t="str"/>
          <cell r="R229" t="str">
            <v>新N*49209</v>
          </cell>
          <cell r="S229" t="str">
            <v>公司筐</v>
          </cell>
        </row>
        <row r="230">
          <cell r="B230">
            <v>46288</v>
          </cell>
          <cell r="C230" t="str">
            <v>王照雪</v>
          </cell>
          <cell r="D230" t="str">
            <v>周转筐－退回入库</v>
          </cell>
          <cell r="E230" t="str">
            <v>NO:0000956</v>
          </cell>
          <cell r="F230" t="str">
            <v>公司杂周转筐</v>
          </cell>
          <cell r="G230" t="str"/>
          <cell r="H230">
            <v>7</v>
          </cell>
          <cell r="I230" t="str">
            <v>个</v>
          </cell>
          <cell r="J230" t="str"/>
          <cell r="K230" t="str"/>
          <cell r="L230" t="str"/>
          <cell r="M230" t="str">
            <v>坏筐退回</v>
          </cell>
          <cell r="N230" t="str">
            <v>公司杂周转筐</v>
          </cell>
          <cell r="O230" t="str"/>
          <cell r="P230">
            <v>7</v>
          </cell>
          <cell r="Q230" t="str"/>
          <cell r="R230" t="str">
            <v>豫L*88X19</v>
          </cell>
          <cell r="S230" t="str">
            <v>公司筐</v>
          </cell>
        </row>
        <row r="231">
          <cell r="B231">
            <v>46288</v>
          </cell>
          <cell r="C231" t="str">
            <v>艾海提</v>
          </cell>
          <cell r="D231" t="str">
            <v>周转筐－退回入库</v>
          </cell>
          <cell r="E231" t="str">
            <v>NO:0000957</v>
          </cell>
          <cell r="F231" t="str">
            <v>公司红周转筐</v>
          </cell>
          <cell r="G231" t="str"/>
          <cell r="H231">
            <v>2</v>
          </cell>
          <cell r="I231" t="str">
            <v>个</v>
          </cell>
          <cell r="J231" t="str"/>
          <cell r="K231" t="str"/>
          <cell r="L231" t="str"/>
          <cell r="M231" t="str">
            <v>退回</v>
          </cell>
          <cell r="N231" t="str">
            <v>公司红周转筐</v>
          </cell>
          <cell r="O231" t="str"/>
          <cell r="P231">
            <v>2</v>
          </cell>
          <cell r="Q231" t="str"/>
          <cell r="R231" t="str">
            <v>新N*WX586</v>
          </cell>
          <cell r="S231" t="str">
            <v>公司筐</v>
          </cell>
        </row>
        <row r="232">
          <cell r="B232">
            <v>46288</v>
          </cell>
          <cell r="C232" t="str">
            <v>全修塑业</v>
          </cell>
          <cell r="D232" t="str">
            <v>周转筐－采购入库</v>
          </cell>
          <cell r="E232" t="str">
            <v>NO:0000962</v>
          </cell>
          <cell r="F232" t="str">
            <v>公司红周转筐</v>
          </cell>
          <cell r="G232" t="str"/>
          <cell r="H232">
            <v>960</v>
          </cell>
          <cell r="I232" t="str">
            <v>个</v>
          </cell>
          <cell r="J232" t="str"/>
          <cell r="K232">
            <v>9600</v>
          </cell>
          <cell r="L232" t="str">
            <v>未付款</v>
          </cell>
          <cell r="M232" t="str">
            <v>NO:0005257</v>
          </cell>
          <cell r="N232" t="str">
            <v>公司红周转筐</v>
          </cell>
          <cell r="O232" t="str"/>
          <cell r="P232" t="str"/>
          <cell r="Q232">
            <v>960</v>
          </cell>
          <cell r="R232" t="str">
            <v>新R*37010</v>
          </cell>
          <cell r="S232" t="str">
            <v>公司筐</v>
          </cell>
        </row>
        <row r="233">
          <cell r="B233">
            <v>46288</v>
          </cell>
          <cell r="C233" t="str">
            <v>麦麦提</v>
          </cell>
          <cell r="D233" t="str">
            <v>周转筐－领用出库</v>
          </cell>
          <cell r="E233" t="str">
            <v>NO:0001227</v>
          </cell>
          <cell r="F233" t="str">
            <v>公司红周转筐</v>
          </cell>
          <cell r="G233" t="str"/>
          <cell r="H233">
            <v>960</v>
          </cell>
          <cell r="I233" t="str">
            <v>个</v>
          </cell>
          <cell r="J233" t="str"/>
          <cell r="K233" t="str"/>
          <cell r="L233" t="str"/>
          <cell r="M233" t="str"/>
          <cell r="N233" t="str">
            <v>公司红周转筐</v>
          </cell>
          <cell r="O233">
            <v>960</v>
          </cell>
          <cell r="P233" t="str"/>
          <cell r="Q233" t="str"/>
          <cell r="R233" t="str">
            <v>新R*37010</v>
          </cell>
          <cell r="S233" t="str">
            <v>公司筐</v>
          </cell>
        </row>
        <row r="234">
          <cell r="B234">
            <v>46289</v>
          </cell>
          <cell r="C234" t="str">
            <v>全修塑业</v>
          </cell>
          <cell r="D234" t="str">
            <v>周转筐－采购入库</v>
          </cell>
          <cell r="E234" t="str">
            <v>NO:0000968</v>
          </cell>
          <cell r="F234" t="str">
            <v>公司红周转筐</v>
          </cell>
          <cell r="G234" t="str"/>
          <cell r="H234">
            <v>960</v>
          </cell>
          <cell r="I234" t="str">
            <v>个</v>
          </cell>
          <cell r="J234" t="str"/>
          <cell r="K234">
            <v>9600</v>
          </cell>
          <cell r="L234" t="str">
            <v>未付款</v>
          </cell>
          <cell r="M234" t="str">
            <v>NO:0005258</v>
          </cell>
          <cell r="N234" t="str">
            <v>公司红周转筐</v>
          </cell>
          <cell r="O234" t="str"/>
          <cell r="P234" t="str"/>
          <cell r="Q234">
            <v>960</v>
          </cell>
          <cell r="R234" t="str">
            <v>新F*75240</v>
          </cell>
          <cell r="S234" t="str">
            <v>公司筐</v>
          </cell>
        </row>
        <row r="235">
          <cell r="B235">
            <v>46289</v>
          </cell>
          <cell r="C235" t="str">
            <v>全修塑业</v>
          </cell>
          <cell r="D235" t="str">
            <v>周转筐－采购入库</v>
          </cell>
          <cell r="E235" t="str">
            <v>NO:0000969</v>
          </cell>
          <cell r="F235" t="str">
            <v>公司红周转筐</v>
          </cell>
          <cell r="G235" t="str"/>
          <cell r="H235">
            <v>504</v>
          </cell>
          <cell r="I235" t="str">
            <v>个</v>
          </cell>
          <cell r="J235" t="str"/>
          <cell r="K235">
            <v>5040</v>
          </cell>
          <cell r="L235" t="str">
            <v>未付款</v>
          </cell>
          <cell r="M235" t="str">
            <v>NO:0005259</v>
          </cell>
          <cell r="N235" t="str">
            <v>公司红周转筐</v>
          </cell>
          <cell r="O235" t="str"/>
          <cell r="P235" t="str"/>
          <cell r="Q235">
            <v>504</v>
          </cell>
          <cell r="R235" t="str">
            <v>新N*F0M01</v>
          </cell>
          <cell r="S235" t="str">
            <v>公司筐</v>
          </cell>
        </row>
        <row r="236">
          <cell r="B236">
            <v>46289</v>
          </cell>
          <cell r="C236" t="str">
            <v>努尔敦</v>
          </cell>
          <cell r="D236" t="str">
            <v>周转筐－领用出库</v>
          </cell>
          <cell r="E236" t="str">
            <v>NO:0001229</v>
          </cell>
          <cell r="F236" t="str">
            <v>公司红周转筐</v>
          </cell>
          <cell r="G236" t="str"/>
          <cell r="H236">
            <v>960</v>
          </cell>
          <cell r="I236" t="str">
            <v>个</v>
          </cell>
          <cell r="J236" t="str"/>
          <cell r="K236" t="str"/>
          <cell r="L236" t="str"/>
          <cell r="M236" t="str"/>
          <cell r="N236" t="str">
            <v>公司红周转筐</v>
          </cell>
          <cell r="O236">
            <v>960</v>
          </cell>
          <cell r="P236" t="str"/>
          <cell r="Q236" t="str"/>
          <cell r="R236" t="str">
            <v>新F*75240</v>
          </cell>
          <cell r="S236" t="str">
            <v>公司筐</v>
          </cell>
        </row>
        <row r="237">
          <cell r="B237">
            <v>46289</v>
          </cell>
          <cell r="C237" t="str">
            <v>努尔敦</v>
          </cell>
          <cell r="D237" t="str">
            <v>周转筐－领用出库</v>
          </cell>
          <cell r="E237" t="str">
            <v>NO:0001230</v>
          </cell>
          <cell r="F237" t="str">
            <v>公司红周转筐</v>
          </cell>
          <cell r="G237" t="str"/>
          <cell r="H237">
            <v>504</v>
          </cell>
          <cell r="I237" t="str">
            <v>个</v>
          </cell>
          <cell r="J237" t="str"/>
          <cell r="K237" t="str"/>
          <cell r="L237" t="str"/>
          <cell r="M237" t="str">
            <v>阿布都</v>
          </cell>
          <cell r="N237" t="str">
            <v>公司红周转筐</v>
          </cell>
          <cell r="O237">
            <v>504</v>
          </cell>
          <cell r="P237" t="str"/>
          <cell r="Q237" t="str"/>
          <cell r="R237" t="str">
            <v>新N*F0M01</v>
          </cell>
          <cell r="S237" t="str">
            <v>公司筐</v>
          </cell>
        </row>
        <row r="238">
          <cell r="B238">
            <v>46289</v>
          </cell>
          <cell r="C238" t="str">
            <v>全修塑业</v>
          </cell>
          <cell r="D238" t="str">
            <v>周转筐－采购入库</v>
          </cell>
          <cell r="E238" t="str">
            <v>NO:0000972</v>
          </cell>
          <cell r="F238" t="str">
            <v>公司红周转筐</v>
          </cell>
          <cell r="G238" t="str"/>
          <cell r="H238">
            <v>936</v>
          </cell>
          <cell r="I238" t="str">
            <v>个</v>
          </cell>
          <cell r="J238" t="str"/>
          <cell r="K238">
            <v>9360</v>
          </cell>
          <cell r="L238" t="str">
            <v>未付款</v>
          </cell>
          <cell r="M238" t="str">
            <v>NO:0005260</v>
          </cell>
          <cell r="N238" t="str">
            <v>公司红周转筐</v>
          </cell>
          <cell r="O238" t="str"/>
          <cell r="P238" t="str"/>
          <cell r="Q238">
            <v>936</v>
          </cell>
          <cell r="R238" t="str">
            <v>新F*75240</v>
          </cell>
          <cell r="S238" t="str">
            <v>公司筐</v>
          </cell>
        </row>
        <row r="239">
          <cell r="B239">
            <v>46289</v>
          </cell>
          <cell r="C239" t="str">
            <v>努尔敦</v>
          </cell>
          <cell r="D239" t="str">
            <v>周转筐－领用出库</v>
          </cell>
          <cell r="E239" t="str">
            <v>NO:0001231</v>
          </cell>
          <cell r="F239" t="str">
            <v>公司红周转筐</v>
          </cell>
          <cell r="G239" t="str"/>
          <cell r="H239">
            <v>960</v>
          </cell>
          <cell r="I239" t="str">
            <v>个</v>
          </cell>
          <cell r="J239" t="str"/>
          <cell r="K239" t="str"/>
          <cell r="L239" t="str"/>
          <cell r="M239" t="str"/>
          <cell r="N239" t="str">
            <v>公司红周转筐</v>
          </cell>
          <cell r="O239">
            <v>960</v>
          </cell>
          <cell r="P239" t="str"/>
          <cell r="Q239" t="str"/>
          <cell r="R239" t="str">
            <v>新F*75240</v>
          </cell>
          <cell r="S239" t="str">
            <v>公司筐</v>
          </cell>
        </row>
        <row r="240">
          <cell r="B240">
            <v>46289</v>
          </cell>
          <cell r="C240" t="str">
            <v>全修塑业</v>
          </cell>
          <cell r="D240" t="str">
            <v>周转筐－采购入库</v>
          </cell>
          <cell r="E240" t="str">
            <v>NO:0000977</v>
          </cell>
          <cell r="F240" t="str">
            <v>公司红周转筐</v>
          </cell>
          <cell r="G240" t="str"/>
          <cell r="H240">
            <v>315</v>
          </cell>
          <cell r="I240" t="str">
            <v>个</v>
          </cell>
          <cell r="J240" t="str"/>
          <cell r="K240">
            <v>3150</v>
          </cell>
          <cell r="L240" t="str">
            <v>未付款</v>
          </cell>
          <cell r="M240" t="str">
            <v>NO:0005261</v>
          </cell>
          <cell r="N240" t="str">
            <v>公司红周转筐</v>
          </cell>
          <cell r="O240" t="str"/>
          <cell r="P240" t="str"/>
          <cell r="Q240">
            <v>315</v>
          </cell>
          <cell r="R240" t="str">
            <v>新N*X8S48</v>
          </cell>
          <cell r="S240" t="str">
            <v>公司筐</v>
          </cell>
        </row>
        <row r="241">
          <cell r="B241">
            <v>46289</v>
          </cell>
          <cell r="C241" t="str">
            <v>吐尔地</v>
          </cell>
          <cell r="D241" t="str">
            <v>周转筐－领用出库</v>
          </cell>
          <cell r="E241" t="str">
            <v>NO:0001234</v>
          </cell>
          <cell r="F241" t="str">
            <v>公司红周转筐</v>
          </cell>
          <cell r="G241" t="str"/>
          <cell r="H241">
            <v>315</v>
          </cell>
          <cell r="I241" t="str">
            <v>个</v>
          </cell>
          <cell r="J241" t="str"/>
          <cell r="K241" t="str"/>
          <cell r="L241" t="str"/>
          <cell r="M241" t="str"/>
          <cell r="N241" t="str">
            <v>公司红周转筐</v>
          </cell>
          <cell r="O241">
            <v>315</v>
          </cell>
          <cell r="P241" t="str"/>
          <cell r="Q241" t="str"/>
          <cell r="R241" t="str">
            <v>新N*X8S48</v>
          </cell>
          <cell r="S241" t="str">
            <v>公司筐</v>
          </cell>
        </row>
        <row r="242">
          <cell r="B242">
            <v>46289</v>
          </cell>
          <cell r="C242" t="str">
            <v>麦麦提</v>
          </cell>
          <cell r="D242" t="str">
            <v>周转筐－领用出库</v>
          </cell>
          <cell r="E242" t="str">
            <v>NO:0001235</v>
          </cell>
          <cell r="F242" t="str">
            <v>公司红周转筐</v>
          </cell>
          <cell r="G242" t="str"/>
          <cell r="H242">
            <v>720</v>
          </cell>
          <cell r="I242" t="str">
            <v>个</v>
          </cell>
          <cell r="J242" t="str"/>
          <cell r="K242" t="str"/>
          <cell r="L242" t="str"/>
          <cell r="M242" t="str"/>
          <cell r="N242" t="str">
            <v>公司红周转筐</v>
          </cell>
          <cell r="O242">
            <v>720</v>
          </cell>
          <cell r="P242" t="str"/>
          <cell r="Q242" t="str"/>
          <cell r="R242" t="str">
            <v>新R*37010</v>
          </cell>
          <cell r="S242" t="str">
            <v>公司筐</v>
          </cell>
        </row>
        <row r="243">
          <cell r="B243">
            <v>46290</v>
          </cell>
          <cell r="C243" t="str">
            <v>荆建君</v>
          </cell>
          <cell r="D243" t="str">
            <v>周转筐－领用出库</v>
          </cell>
          <cell r="E243" t="str">
            <v>NO:0001236</v>
          </cell>
          <cell r="F243" t="str">
            <v>公司红周转筐</v>
          </cell>
          <cell r="G243" t="str"/>
          <cell r="H243">
            <v>480</v>
          </cell>
          <cell r="I243" t="str">
            <v>个</v>
          </cell>
          <cell r="J243" t="str"/>
          <cell r="K243" t="str"/>
          <cell r="L243" t="str"/>
          <cell r="M243" t="str"/>
          <cell r="N243" t="str">
            <v>公司红周转筐</v>
          </cell>
          <cell r="O243">
            <v>480</v>
          </cell>
          <cell r="P243" t="str"/>
          <cell r="Q243" t="str"/>
          <cell r="R243" t="str">
            <v>豫A*2737K</v>
          </cell>
          <cell r="S243" t="str">
            <v>公司筐</v>
          </cell>
        </row>
        <row r="244">
          <cell r="B244">
            <v>46290</v>
          </cell>
          <cell r="C244" t="str">
            <v>李现东</v>
          </cell>
          <cell r="D244" t="str">
            <v>周转筐－退回入库</v>
          </cell>
          <cell r="E244" t="str">
            <v>NO:0000976</v>
          </cell>
          <cell r="F244" t="str">
            <v>公司杂周转筐</v>
          </cell>
          <cell r="G244" t="str"/>
          <cell r="H244">
            <v>939</v>
          </cell>
          <cell r="I244" t="str">
            <v>个</v>
          </cell>
          <cell r="J244" t="str"/>
          <cell r="K244" t="str"/>
          <cell r="L244" t="str"/>
          <cell r="M244" t="str">
            <v>退回库</v>
          </cell>
          <cell r="N244" t="str">
            <v>公司杂周转筐</v>
          </cell>
          <cell r="O244" t="str"/>
          <cell r="P244">
            <v>939</v>
          </cell>
          <cell r="Q244" t="str"/>
          <cell r="R244" t="str">
            <v>新N*53045</v>
          </cell>
          <cell r="S244" t="str">
            <v>公司筐</v>
          </cell>
        </row>
        <row r="245">
          <cell r="B245">
            <v>46290</v>
          </cell>
          <cell r="C245" t="str">
            <v>吐尔地</v>
          </cell>
          <cell r="D245" t="str">
            <v>周转筐－领用出库</v>
          </cell>
          <cell r="E245" t="str">
            <v>NO:0001238</v>
          </cell>
          <cell r="F245" t="str">
            <v>公司红周转筐</v>
          </cell>
          <cell r="G245" t="str"/>
          <cell r="H245">
            <v>319</v>
          </cell>
          <cell r="I245" t="str">
            <v>个</v>
          </cell>
          <cell r="J245" t="str"/>
          <cell r="K245" t="str"/>
          <cell r="L245" t="str"/>
          <cell r="M245" t="str"/>
          <cell r="N245" t="str">
            <v>公司红周转筐</v>
          </cell>
          <cell r="O245">
            <v>319</v>
          </cell>
          <cell r="P245" t="str"/>
          <cell r="Q245" t="str"/>
          <cell r="R245" t="str">
            <v>新N*X8S48</v>
          </cell>
          <cell r="S245" t="str">
            <v>公司筐</v>
          </cell>
        </row>
        <row r="246">
          <cell r="B246">
            <v>46291</v>
          </cell>
          <cell r="C246" t="str">
            <v>全修塑业</v>
          </cell>
          <cell r="D246" t="str">
            <v>周转筐－采购入库</v>
          </cell>
          <cell r="E246" t="str">
            <v>NO:0000987</v>
          </cell>
          <cell r="F246" t="str">
            <v>公司红周转筐</v>
          </cell>
          <cell r="G246" t="str"/>
          <cell r="H246">
            <v>501</v>
          </cell>
          <cell r="I246" t="str">
            <v>个</v>
          </cell>
          <cell r="J246" t="str"/>
          <cell r="K246">
            <v>5010</v>
          </cell>
          <cell r="L246" t="str">
            <v>未付款</v>
          </cell>
          <cell r="M246" t="str">
            <v>NO:0005262</v>
          </cell>
          <cell r="N246" t="str">
            <v>公司红周转筐</v>
          </cell>
          <cell r="O246" t="str"/>
          <cell r="P246" t="str"/>
          <cell r="Q246">
            <v>501</v>
          </cell>
          <cell r="R246" t="str">
            <v>新N*49209</v>
          </cell>
          <cell r="S246" t="str">
            <v>公司筐</v>
          </cell>
        </row>
        <row r="247">
          <cell r="B247">
            <v>46292</v>
          </cell>
          <cell r="C247" t="str">
            <v>王灵云</v>
          </cell>
          <cell r="D247" t="str">
            <v>周转筐－领用出库</v>
          </cell>
          <cell r="E247" t="str">
            <v>NO:0001242</v>
          </cell>
          <cell r="F247" t="str">
            <v>公司红周转筐</v>
          </cell>
          <cell r="G247" t="str"/>
          <cell r="H247">
            <v>501</v>
          </cell>
          <cell r="I247" t="str">
            <v>个</v>
          </cell>
          <cell r="J247" t="str"/>
          <cell r="K247" t="str"/>
          <cell r="L247" t="str"/>
          <cell r="M247" t="str"/>
          <cell r="N247" t="str">
            <v>公司红周转筐</v>
          </cell>
          <cell r="O247">
            <v>501</v>
          </cell>
          <cell r="P247" t="str"/>
          <cell r="Q247" t="str"/>
          <cell r="R247" t="str">
            <v>新N*49209</v>
          </cell>
          <cell r="S247" t="str">
            <v>公司筐</v>
          </cell>
        </row>
        <row r="248">
          <cell r="B248">
            <v>46292</v>
          </cell>
          <cell r="C248" t="str">
            <v>热合曼</v>
          </cell>
          <cell r="D248" t="str">
            <v>周转筐－退回入库</v>
          </cell>
          <cell r="E248" t="str">
            <v>NO:0000989</v>
          </cell>
          <cell r="F248" t="str">
            <v>公司红周转筐</v>
          </cell>
          <cell r="G248" t="str"/>
          <cell r="H248">
            <v>96</v>
          </cell>
          <cell r="I248" t="str">
            <v>个</v>
          </cell>
          <cell r="J248" t="str"/>
          <cell r="K248" t="str"/>
          <cell r="L248" t="str"/>
          <cell r="M248" t="str">
            <v>艾海提</v>
          </cell>
          <cell r="N248" t="str">
            <v>公司红周转筐</v>
          </cell>
          <cell r="O248" t="str"/>
          <cell r="P248">
            <v>96</v>
          </cell>
          <cell r="Q248" t="str"/>
          <cell r="R248" t="str">
            <v>新N*WX586</v>
          </cell>
          <cell r="S248" t="str">
            <v>公司筐</v>
          </cell>
        </row>
        <row r="249">
          <cell r="B249">
            <v>46292</v>
          </cell>
          <cell r="C249" t="str">
            <v>全修塑业</v>
          </cell>
          <cell r="D249" t="str">
            <v>周转筐－采购入库</v>
          </cell>
          <cell r="E249" t="str">
            <v>NO:0000996</v>
          </cell>
          <cell r="F249" t="str">
            <v>公司红周转筐</v>
          </cell>
          <cell r="G249" t="str"/>
          <cell r="H249">
            <v>504</v>
          </cell>
          <cell r="I249" t="str">
            <v>个</v>
          </cell>
          <cell r="J249" t="str"/>
          <cell r="K249">
            <v>5040</v>
          </cell>
          <cell r="L249" t="str">
            <v>未付款</v>
          </cell>
          <cell r="M249" t="str">
            <v>NO:0005264</v>
          </cell>
          <cell r="N249" t="str">
            <v>公司红周转筐</v>
          </cell>
          <cell r="O249" t="str"/>
          <cell r="P249" t="str"/>
          <cell r="Q249">
            <v>504</v>
          </cell>
          <cell r="R249" t="str">
            <v>新N*F0M01</v>
          </cell>
          <cell r="S249" t="str">
            <v>公司筐</v>
          </cell>
        </row>
        <row r="250">
          <cell r="B250">
            <v>46292</v>
          </cell>
          <cell r="C250" t="str">
            <v>努尔敦</v>
          </cell>
          <cell r="D250" t="str">
            <v>周转筐－领用出库</v>
          </cell>
          <cell r="E250" t="str">
            <v>NO:0001243</v>
          </cell>
          <cell r="F250" t="str">
            <v>公司红周转筐</v>
          </cell>
          <cell r="G250" t="str"/>
          <cell r="H250">
            <v>504</v>
          </cell>
          <cell r="I250" t="str">
            <v>个</v>
          </cell>
          <cell r="J250" t="str"/>
          <cell r="K250" t="str"/>
          <cell r="L250" t="str"/>
          <cell r="M250" t="str">
            <v>红筐+绿筐</v>
          </cell>
          <cell r="N250" t="str">
            <v>公司红周转筐</v>
          </cell>
          <cell r="O250">
            <v>504</v>
          </cell>
          <cell r="P250" t="str"/>
          <cell r="Q250" t="str"/>
          <cell r="R250" t="str">
            <v>新N*F0M01</v>
          </cell>
          <cell r="S250" t="str">
            <v>公司筐</v>
          </cell>
        </row>
        <row r="251">
          <cell r="B251">
            <v>46292</v>
          </cell>
          <cell r="C251" t="str">
            <v>贾建国</v>
          </cell>
          <cell r="D251" t="str">
            <v>周转筐－退回入库</v>
          </cell>
          <cell r="E251" t="str">
            <v>NO:0000998</v>
          </cell>
          <cell r="F251" t="str">
            <v>公司新周转筐</v>
          </cell>
          <cell r="G251" t="str"/>
          <cell r="H251">
            <v>759</v>
          </cell>
          <cell r="I251" t="str">
            <v>个</v>
          </cell>
          <cell r="J251" t="str"/>
          <cell r="K251" t="str"/>
          <cell r="L251" t="str"/>
          <cell r="M251" t="str"/>
          <cell r="N251" t="str">
            <v>公司新周转筐</v>
          </cell>
          <cell r="O251" t="str"/>
          <cell r="P251">
            <v>759</v>
          </cell>
          <cell r="Q251" t="str"/>
          <cell r="R251" t="str">
            <v>新N*48236</v>
          </cell>
          <cell r="S251" t="str">
            <v>公司筐</v>
          </cell>
        </row>
        <row r="252">
          <cell r="B252">
            <v>46292</v>
          </cell>
          <cell r="C252" t="str">
            <v>王灵云</v>
          </cell>
          <cell r="D252" t="str">
            <v>周转筐－退回入库</v>
          </cell>
          <cell r="E252" t="str">
            <v>NO:0001000</v>
          </cell>
          <cell r="F252" t="str">
            <v>公司红周转筐</v>
          </cell>
          <cell r="G252" t="str"/>
          <cell r="H252">
            <v>118</v>
          </cell>
          <cell r="I252" t="str">
            <v>个</v>
          </cell>
          <cell r="J252" t="str"/>
          <cell r="K252" t="str"/>
          <cell r="L252" t="str"/>
          <cell r="M252" t="str"/>
          <cell r="N252" t="str">
            <v>公司红周转筐</v>
          </cell>
          <cell r="O252" t="str"/>
          <cell r="P252">
            <v>118</v>
          </cell>
          <cell r="Q252" t="str"/>
          <cell r="R252" t="str">
            <v>新N*49209</v>
          </cell>
          <cell r="S252" t="str">
            <v>公司筐</v>
          </cell>
        </row>
        <row r="253">
          <cell r="B253">
            <v>46292</v>
          </cell>
          <cell r="C253" t="str">
            <v>荆建君</v>
          </cell>
          <cell r="D253" t="str">
            <v>周转筐－退回入库</v>
          </cell>
          <cell r="E253" t="str">
            <v>NO:0001001</v>
          </cell>
          <cell r="F253" t="str">
            <v>公司红周转筐</v>
          </cell>
          <cell r="G253" t="str"/>
          <cell r="H253">
            <v>56</v>
          </cell>
          <cell r="I253" t="str">
            <v>个</v>
          </cell>
          <cell r="J253" t="str"/>
          <cell r="K253" t="str"/>
          <cell r="L253" t="str"/>
          <cell r="M253" t="str"/>
          <cell r="N253" t="str">
            <v>公司红周转筐</v>
          </cell>
          <cell r="O253" t="str"/>
          <cell r="P253">
            <v>56</v>
          </cell>
          <cell r="Q253" t="str"/>
          <cell r="R253" t="str">
            <v>豫A*2737K</v>
          </cell>
          <cell r="S253" t="str">
            <v>公司筐</v>
          </cell>
        </row>
        <row r="254">
          <cell r="B254">
            <v>46292</v>
          </cell>
          <cell r="C254" t="str">
            <v>全修塑业</v>
          </cell>
          <cell r="D254" t="str">
            <v>周转筐－采购入库</v>
          </cell>
          <cell r="E254" t="str">
            <v>NO:0001002</v>
          </cell>
          <cell r="F254" t="str">
            <v>公司红周转筐</v>
          </cell>
          <cell r="G254" t="str"/>
          <cell r="H254">
            <v>702</v>
          </cell>
          <cell r="I254" t="str">
            <v>个</v>
          </cell>
          <cell r="J254" t="str"/>
          <cell r="K254">
            <v>7020</v>
          </cell>
          <cell r="L254" t="str">
            <v>未付款</v>
          </cell>
          <cell r="M254" t="str">
            <v>NO:0005266</v>
          </cell>
          <cell r="N254" t="str">
            <v>公司红周转筐</v>
          </cell>
          <cell r="O254" t="str"/>
          <cell r="P254" t="str"/>
          <cell r="Q254">
            <v>702</v>
          </cell>
          <cell r="R254" t="str">
            <v>新F*75240</v>
          </cell>
          <cell r="S254" t="str">
            <v>公司筐</v>
          </cell>
        </row>
        <row r="255">
          <cell r="B255">
            <v>46292</v>
          </cell>
          <cell r="C255" t="str">
            <v>努尔敦</v>
          </cell>
          <cell r="D255" t="str">
            <v>周转筐－领用出库</v>
          </cell>
          <cell r="E255" t="str">
            <v>NO:0001248</v>
          </cell>
          <cell r="F255" t="str">
            <v>公司红周转筐</v>
          </cell>
          <cell r="G255" t="str"/>
          <cell r="H255">
            <v>702</v>
          </cell>
          <cell r="I255" t="str">
            <v>个</v>
          </cell>
          <cell r="J255" t="str"/>
          <cell r="K255" t="str"/>
          <cell r="L255" t="str"/>
          <cell r="M255" t="str">
            <v>绿筐</v>
          </cell>
          <cell r="N255" t="str">
            <v>公司红周转筐</v>
          </cell>
          <cell r="O255">
            <v>702</v>
          </cell>
          <cell r="P255" t="str"/>
          <cell r="Q255" t="str"/>
          <cell r="R255" t="str">
            <v>新F*75240</v>
          </cell>
          <cell r="S255" t="str">
            <v>公司筐</v>
          </cell>
        </row>
        <row r="256">
          <cell r="B256">
            <v>46292</v>
          </cell>
          <cell r="C256" t="str">
            <v>麦麦提</v>
          </cell>
          <cell r="D256" t="str">
            <v>周转筐－领用出库</v>
          </cell>
          <cell r="E256" t="str">
            <v>NO:0001247</v>
          </cell>
          <cell r="F256" t="str">
            <v>公司红周转筐</v>
          </cell>
          <cell r="G256" t="str"/>
          <cell r="H256">
            <v>720</v>
          </cell>
          <cell r="I256" t="str">
            <v>个</v>
          </cell>
          <cell r="J256" t="str"/>
          <cell r="K256" t="str"/>
          <cell r="L256" t="str"/>
          <cell r="M256" t="str"/>
          <cell r="N256" t="str">
            <v>公司红周转筐</v>
          </cell>
          <cell r="O256">
            <v>720</v>
          </cell>
          <cell r="P256" t="str"/>
          <cell r="Q256" t="str"/>
          <cell r="R256" t="str">
            <v>新R*37010</v>
          </cell>
          <cell r="S256" t="str">
            <v>公司筐</v>
          </cell>
        </row>
        <row r="257">
          <cell r="B257">
            <v>46293</v>
          </cell>
          <cell r="C257" t="str">
            <v>吐尔地</v>
          </cell>
          <cell r="D257" t="str">
            <v>周转筐－领用出库</v>
          </cell>
          <cell r="E257" t="str">
            <v>NO:0001250</v>
          </cell>
          <cell r="F257" t="str">
            <v>公司红周转筐</v>
          </cell>
          <cell r="G257" t="str"/>
          <cell r="H257">
            <v>288</v>
          </cell>
          <cell r="I257" t="str">
            <v>个</v>
          </cell>
          <cell r="J257" t="str"/>
          <cell r="K257" t="str"/>
          <cell r="L257" t="str"/>
          <cell r="M257" t="str"/>
          <cell r="N257" t="str">
            <v>公司红周转筐</v>
          </cell>
          <cell r="O257">
            <v>288</v>
          </cell>
          <cell r="P257" t="str"/>
          <cell r="Q257" t="str"/>
          <cell r="R257" t="str">
            <v>新N*X8S48</v>
          </cell>
          <cell r="S257" t="str">
            <v>公司筐</v>
          </cell>
        </row>
        <row r="258">
          <cell r="B258">
            <v>46293</v>
          </cell>
          <cell r="C258" t="str">
            <v>热合曼</v>
          </cell>
          <cell r="D258" t="str">
            <v>周转筐－退回入库</v>
          </cell>
          <cell r="E258" t="str">
            <v>NO:0001006</v>
          </cell>
          <cell r="F258" t="str">
            <v>公司红周转筐</v>
          </cell>
          <cell r="G258" t="str"/>
          <cell r="H258">
            <v>113</v>
          </cell>
          <cell r="I258" t="str">
            <v>个</v>
          </cell>
          <cell r="J258" t="str"/>
          <cell r="K258" t="str"/>
          <cell r="L258" t="str"/>
          <cell r="M258" t="str"/>
          <cell r="N258" t="str">
            <v>公司红周转筐</v>
          </cell>
          <cell r="O258" t="str"/>
          <cell r="P258">
            <v>113</v>
          </cell>
          <cell r="Q258" t="str"/>
          <cell r="R258" t="str">
            <v>新R*37010</v>
          </cell>
          <cell r="S258" t="str">
            <v>公司筐</v>
          </cell>
        </row>
        <row r="259">
          <cell r="B259">
            <v>46293</v>
          </cell>
          <cell r="C259" t="str">
            <v>麦麦提</v>
          </cell>
          <cell r="D259" t="str">
            <v>周转筐－领用出库</v>
          </cell>
          <cell r="E259" t="str">
            <v>NO:0001276</v>
          </cell>
          <cell r="F259" t="str">
            <v>公司红周转筐</v>
          </cell>
          <cell r="G259" t="str"/>
          <cell r="H259">
            <v>678</v>
          </cell>
          <cell r="I259" t="str">
            <v>个</v>
          </cell>
          <cell r="J259" t="str"/>
          <cell r="K259" t="str"/>
          <cell r="L259" t="str"/>
          <cell r="M259" t="str"/>
          <cell r="N259" t="str">
            <v>公司红周转筐</v>
          </cell>
          <cell r="O259">
            <v>678</v>
          </cell>
          <cell r="P259" t="str"/>
          <cell r="Q259" t="str"/>
          <cell r="R259" t="str">
            <v>新R*37010</v>
          </cell>
          <cell r="S259" t="str">
            <v>公司筐</v>
          </cell>
        </row>
        <row r="260">
          <cell r="B260">
            <v>46277</v>
          </cell>
          <cell r="C260" t="str">
            <v>王照雪</v>
          </cell>
          <cell r="D260" t="str">
            <v>客户自备筐－</v>
          </cell>
          <cell r="E260" t="str"/>
          <cell r="F260" t="str">
            <v>自备一次性筐</v>
          </cell>
          <cell r="G260" t="str"/>
          <cell r="H260">
            <v>1000</v>
          </cell>
          <cell r="I260" t="str">
            <v>个</v>
          </cell>
          <cell r="J260" t="str"/>
          <cell r="K260" t="str"/>
          <cell r="L260" t="str"/>
          <cell r="M260" t="str">
            <v>黑筐</v>
          </cell>
          <cell r="N260" t="str">
            <v>自备一次性筐</v>
          </cell>
          <cell r="O260" t="str"/>
          <cell r="P260" t="str"/>
          <cell r="Q260">
            <v>1000</v>
          </cell>
          <cell r="R260" t="str"/>
          <cell r="S260" t="str">
            <v>自备筐</v>
          </cell>
        </row>
        <row r="261">
          <cell r="B261">
            <v>46278</v>
          </cell>
          <cell r="C261" t="str">
            <v>王照雪</v>
          </cell>
          <cell r="D261" t="str">
            <v>客户自备筐－拉扎伤果</v>
          </cell>
          <cell r="E261" t="str">
            <v>NO:0001134</v>
          </cell>
          <cell r="F261" t="str">
            <v>自备一次性筐</v>
          </cell>
          <cell r="G261" t="str"/>
          <cell r="H261">
            <v>12</v>
          </cell>
          <cell r="I261" t="str">
            <v>个</v>
          </cell>
          <cell r="J261" t="str"/>
          <cell r="K261" t="str"/>
          <cell r="L261" t="str"/>
          <cell r="M261" t="str">
            <v>黑筐</v>
          </cell>
          <cell r="N261" t="str">
            <v>自备一次性筐</v>
          </cell>
          <cell r="O261">
            <v>12</v>
          </cell>
          <cell r="P261" t="str"/>
          <cell r="Q261" t="str"/>
          <cell r="R261" t="str">
            <v>新R*45654</v>
          </cell>
          <cell r="S261" t="str">
            <v>自备筐</v>
          </cell>
        </row>
        <row r="262">
          <cell r="B262">
            <v>46280</v>
          </cell>
          <cell r="C262" t="str">
            <v>麦麦提</v>
          </cell>
          <cell r="D262" t="str">
            <v>客户自备筐－</v>
          </cell>
          <cell r="E262" t="str"/>
          <cell r="F262" t="str">
            <v>自备一次性筐</v>
          </cell>
          <cell r="G262" t="str"/>
          <cell r="H262">
            <v>546</v>
          </cell>
          <cell r="I262" t="str">
            <v>个</v>
          </cell>
          <cell r="J262" t="str"/>
          <cell r="K262" t="str"/>
          <cell r="L262" t="str"/>
          <cell r="M262" t="str">
            <v>蓝筐</v>
          </cell>
          <cell r="N262" t="str">
            <v>自备一次性筐</v>
          </cell>
          <cell r="O262" t="str"/>
          <cell r="P262" t="str"/>
          <cell r="Q262">
            <v>546</v>
          </cell>
          <cell r="R262" t="str"/>
          <cell r="S262" t="str">
            <v>自备筐</v>
          </cell>
        </row>
        <row r="263">
          <cell r="B263">
            <v>46281</v>
          </cell>
          <cell r="C263" t="str">
            <v>王灵云</v>
          </cell>
          <cell r="D263" t="str">
            <v>客户自备筐－</v>
          </cell>
          <cell r="E263" t="str"/>
          <cell r="F263" t="str">
            <v>自备一次性筐</v>
          </cell>
          <cell r="G263" t="str"/>
          <cell r="H263">
            <v>1000</v>
          </cell>
          <cell r="I263" t="str">
            <v>个</v>
          </cell>
          <cell r="J263" t="str"/>
          <cell r="K263" t="str"/>
          <cell r="L263" t="str"/>
          <cell r="M263" t="str">
            <v>黑筐</v>
          </cell>
          <cell r="N263" t="str">
            <v>自备一次性筐</v>
          </cell>
          <cell r="O263" t="str"/>
          <cell r="P263" t="str"/>
          <cell r="Q263">
            <v>1000</v>
          </cell>
          <cell r="R263" t="str"/>
          <cell r="S263" t="str">
            <v>自备筐</v>
          </cell>
        </row>
        <row r="264">
          <cell r="B264">
            <v>46282</v>
          </cell>
          <cell r="C264" t="str">
            <v>麦麦提</v>
          </cell>
          <cell r="D264" t="str">
            <v>客户自备筐－</v>
          </cell>
          <cell r="E264" t="str"/>
          <cell r="F264" t="str">
            <v>自备一次性筐</v>
          </cell>
          <cell r="G264" t="str"/>
          <cell r="H264">
            <v>546</v>
          </cell>
          <cell r="I264" t="str">
            <v>个</v>
          </cell>
          <cell r="J264" t="str"/>
          <cell r="K264" t="str"/>
          <cell r="L264" t="str"/>
          <cell r="M264" t="str">
            <v>蓝筐</v>
          </cell>
          <cell r="N264" t="str">
            <v>自备一次性筐</v>
          </cell>
          <cell r="O264" t="str"/>
          <cell r="P264" t="str"/>
          <cell r="Q264">
            <v>546</v>
          </cell>
          <cell r="R264" t="str"/>
          <cell r="S264" t="str">
            <v>自备筐</v>
          </cell>
        </row>
        <row r="265">
          <cell r="B265">
            <v>46283</v>
          </cell>
          <cell r="C265" t="str">
            <v>王照雪</v>
          </cell>
          <cell r="D265" t="str">
            <v>客户自备筐－</v>
          </cell>
          <cell r="E265" t="str"/>
          <cell r="F265" t="str">
            <v>自备一次性筐</v>
          </cell>
          <cell r="G265" t="str"/>
          <cell r="H265">
            <v>548</v>
          </cell>
          <cell r="I265" t="str">
            <v>个</v>
          </cell>
          <cell r="J265" t="str"/>
          <cell r="K265" t="str"/>
          <cell r="L265" t="str"/>
          <cell r="M265" t="str">
            <v>黑筐</v>
          </cell>
          <cell r="N265" t="str">
            <v>自备一次性筐</v>
          </cell>
          <cell r="O265">
            <v>48</v>
          </cell>
          <cell r="P265" t="str"/>
          <cell r="Q265">
            <v>500</v>
          </cell>
          <cell r="R265" t="str"/>
          <cell r="S265" t="str">
            <v>自备筐</v>
          </cell>
        </row>
        <row r="266">
          <cell r="B266">
            <v>46286</v>
          </cell>
          <cell r="C266" t="str">
            <v>王灵云</v>
          </cell>
          <cell r="D266" t="str">
            <v>客户自备筐－</v>
          </cell>
          <cell r="E266" t="str"/>
          <cell r="F266" t="str">
            <v>自备一次性筐</v>
          </cell>
          <cell r="G266" t="str"/>
          <cell r="H266">
            <v>1000</v>
          </cell>
          <cell r="I266" t="str">
            <v>个</v>
          </cell>
          <cell r="J266" t="str"/>
          <cell r="K266" t="str"/>
          <cell r="L266" t="str"/>
          <cell r="M266" t="str">
            <v>黑筐</v>
          </cell>
          <cell r="N266" t="str">
            <v>自备一次性筐</v>
          </cell>
          <cell r="O266" t="str"/>
          <cell r="P266" t="str"/>
          <cell r="Q266">
            <v>1000</v>
          </cell>
          <cell r="R266" t="str"/>
          <cell r="S266" t="str">
            <v>自备筐</v>
          </cell>
        </row>
        <row r="267">
          <cell r="B267">
            <v>46287</v>
          </cell>
          <cell r="C267" t="str">
            <v>麦麦提</v>
          </cell>
          <cell r="D267" t="str">
            <v>客户自备筐－</v>
          </cell>
          <cell r="E267" t="str"/>
          <cell r="F267" t="str">
            <v>自备一次性筐</v>
          </cell>
          <cell r="G267" t="str"/>
          <cell r="H267">
            <v>200</v>
          </cell>
          <cell r="I267" t="str">
            <v>个</v>
          </cell>
          <cell r="J267" t="str"/>
          <cell r="K267" t="str"/>
          <cell r="L267" t="str"/>
          <cell r="M267" t="str">
            <v>黑筐</v>
          </cell>
          <cell r="N267" t="str">
            <v>自备一次性筐</v>
          </cell>
          <cell r="O267" t="str"/>
          <cell r="P267" t="str"/>
          <cell r="Q267">
            <v>200</v>
          </cell>
          <cell r="R267" t="str"/>
          <cell r="S267" t="str">
            <v>自备筐</v>
          </cell>
        </row>
        <row r="268">
          <cell r="B268">
            <v>46287</v>
          </cell>
          <cell r="C268" t="str">
            <v>王浩</v>
          </cell>
          <cell r="D268" t="str">
            <v>客户自备筐－</v>
          </cell>
          <cell r="E268" t="str">
            <v>NO:0000950</v>
          </cell>
          <cell r="F268" t="str">
            <v>自备杂周转筐</v>
          </cell>
          <cell r="G268" t="str"/>
          <cell r="H268">
            <v>39</v>
          </cell>
          <cell r="I268" t="str">
            <v>个</v>
          </cell>
          <cell r="J268" t="str"/>
          <cell r="K268" t="str"/>
          <cell r="L268" t="str"/>
          <cell r="M268" t="str">
            <v>自备白周转筐</v>
          </cell>
          <cell r="N268" t="str">
            <v>自备杂周转筐</v>
          </cell>
          <cell r="O268" t="str"/>
          <cell r="P268" t="str"/>
          <cell r="Q268">
            <v>39</v>
          </cell>
          <cell r="R268" t="str">
            <v>新A*G1620</v>
          </cell>
          <cell r="S268" t="str">
            <v>自备筐</v>
          </cell>
        </row>
        <row r="269">
          <cell r="B269">
            <v>46287</v>
          </cell>
          <cell r="C269" t="str">
            <v>王灵云</v>
          </cell>
          <cell r="D269" t="str">
            <v>客户自备筐－</v>
          </cell>
          <cell r="E269" t="str"/>
          <cell r="F269" t="str">
            <v>自备一次性筐</v>
          </cell>
          <cell r="G269" t="str"/>
          <cell r="H269">
            <v>1000</v>
          </cell>
          <cell r="I269" t="str">
            <v>个</v>
          </cell>
          <cell r="J269" t="str"/>
          <cell r="K269" t="str"/>
          <cell r="L269" t="str"/>
          <cell r="M269" t="str">
            <v>黑筐</v>
          </cell>
          <cell r="N269" t="str">
            <v>自备一次性筐</v>
          </cell>
          <cell r="O269" t="str"/>
          <cell r="P269" t="str"/>
          <cell r="Q269">
            <v>1000</v>
          </cell>
          <cell r="R269" t="str"/>
          <cell r="S269" t="str">
            <v>自备筐</v>
          </cell>
        </row>
        <row r="270">
          <cell r="B270">
            <v>46291</v>
          </cell>
          <cell r="C270" t="str">
            <v>王灵云</v>
          </cell>
          <cell r="D270" t="str">
            <v>客户自备筐－</v>
          </cell>
          <cell r="E270" t="str"/>
          <cell r="F270" t="str">
            <v>自备一次性筐</v>
          </cell>
          <cell r="G270" t="str"/>
          <cell r="H270">
            <v>1000</v>
          </cell>
          <cell r="I270" t="str">
            <v>个</v>
          </cell>
          <cell r="J270" t="str"/>
          <cell r="K270" t="str"/>
          <cell r="L270" t="str"/>
          <cell r="M270" t="str">
            <v>黑筐</v>
          </cell>
          <cell r="N270" t="str">
            <v>自备一次性筐</v>
          </cell>
          <cell r="O270" t="str"/>
          <cell r="P270" t="str"/>
          <cell r="Q270">
            <v>1000</v>
          </cell>
          <cell r="R270" t="str"/>
          <cell r="S270" t="str">
            <v>自备筐</v>
          </cell>
        </row>
        <row r="271">
          <cell r="B271">
            <v>46292</v>
          </cell>
          <cell r="C271" t="str">
            <v>金龙</v>
          </cell>
          <cell r="D271" t="str">
            <v>客户自备筐－</v>
          </cell>
          <cell r="E271" t="str"/>
          <cell r="F271" t="str">
            <v>自备一次性筐</v>
          </cell>
          <cell r="G271" t="str"/>
          <cell r="H271">
            <v>1000</v>
          </cell>
          <cell r="I271" t="str">
            <v>个</v>
          </cell>
          <cell r="J271" t="str"/>
          <cell r="K271" t="str"/>
          <cell r="L271" t="str"/>
          <cell r="M271" t="str">
            <v>黑筐</v>
          </cell>
          <cell r="N271" t="str">
            <v>自备一次性筐</v>
          </cell>
          <cell r="O271" t="str"/>
          <cell r="P271" t="str"/>
          <cell r="Q271">
            <v>1000</v>
          </cell>
          <cell r="R271" t="str"/>
          <cell r="S271" t="str">
            <v>自备筐</v>
          </cell>
        </row>
        <row r="272">
          <cell r="B272">
            <v>46280</v>
          </cell>
          <cell r="C272" t="str">
            <v>王照雪</v>
          </cell>
          <cell r="D272" t="str">
            <v>次果筐/托盘－领用出库</v>
          </cell>
          <cell r="E272" t="str">
            <v>NO:0001147</v>
          </cell>
          <cell r="F272" t="str">
            <v>大托盘</v>
          </cell>
          <cell r="G272" t="str"/>
          <cell r="H272">
            <v>1</v>
          </cell>
          <cell r="I272" t="str">
            <v>个</v>
          </cell>
          <cell r="J272" t="str"/>
          <cell r="K272">
            <v>100</v>
          </cell>
          <cell r="L272" t="str"/>
          <cell r="M272" t="str"/>
          <cell r="N272" t="str">
            <v>大托盘</v>
          </cell>
          <cell r="O272">
            <v>1</v>
          </cell>
          <cell r="P272" t="str"/>
          <cell r="Q272" t="str"/>
          <cell r="R272" t="str">
            <v>新N*V5L92</v>
          </cell>
          <cell r="S272" t="str">
            <v>公司筐</v>
          </cell>
        </row>
        <row r="273">
          <cell r="B273">
            <v>46281</v>
          </cell>
          <cell r="C273" t="str">
            <v>王照雪</v>
          </cell>
          <cell r="D273" t="str">
            <v>次果筐/托盘－退回入库</v>
          </cell>
          <cell r="E273" t="str">
            <v>NO:0000880</v>
          </cell>
          <cell r="F273" t="str">
            <v>大托盘</v>
          </cell>
          <cell r="G273" t="str"/>
          <cell r="H273">
            <v>1</v>
          </cell>
          <cell r="I273" t="str">
            <v>个</v>
          </cell>
          <cell r="J273" t="str"/>
          <cell r="K273">
            <v>0</v>
          </cell>
          <cell r="L273" t="str"/>
          <cell r="M273" t="str">
            <v>电商退回</v>
          </cell>
          <cell r="N273" t="str">
            <v>大托盘</v>
          </cell>
          <cell r="O273" t="str"/>
          <cell r="P273">
            <v>1</v>
          </cell>
          <cell r="Q273" t="str"/>
          <cell r="R273" t="str">
            <v>豫N*P269J</v>
          </cell>
          <cell r="S273" t="str">
            <v>公司筐</v>
          </cell>
        </row>
        <row r="274">
          <cell r="B274">
            <v>46282</v>
          </cell>
          <cell r="C274" t="str">
            <v>王照雪</v>
          </cell>
          <cell r="D274" t="str">
            <v>次果筐/托盘－领用出库</v>
          </cell>
          <cell r="E274" t="str">
            <v>NO:0001166</v>
          </cell>
          <cell r="F274" t="str">
            <v>公司杂周转筐</v>
          </cell>
          <cell r="G274" t="str"/>
          <cell r="H274">
            <v>25</v>
          </cell>
          <cell r="I274" t="str">
            <v>个</v>
          </cell>
          <cell r="J274" t="str"/>
          <cell r="K274">
            <v>375</v>
          </cell>
          <cell r="L274" t="str"/>
          <cell r="M274" t="str"/>
          <cell r="N274" t="str">
            <v>公司杂周转筐</v>
          </cell>
          <cell r="O274">
            <v>25</v>
          </cell>
          <cell r="P274" t="str"/>
          <cell r="Q274" t="str"/>
          <cell r="R274" t="str">
            <v>新N*GG901</v>
          </cell>
          <cell r="S274" t="str">
            <v>公司筐</v>
          </cell>
        </row>
        <row r="275">
          <cell r="B275">
            <v>46286</v>
          </cell>
          <cell r="C275" t="str">
            <v>王照雪</v>
          </cell>
          <cell r="D275" t="str">
            <v>次果筐/托盘－退回入库</v>
          </cell>
          <cell r="E275" t="str">
            <v>NO:0000939</v>
          </cell>
          <cell r="F275" t="str">
            <v>公司杂周转筐</v>
          </cell>
          <cell r="G275" t="str"/>
          <cell r="H275">
            <v>25</v>
          </cell>
          <cell r="I275" t="str">
            <v>个</v>
          </cell>
          <cell r="J275" t="str"/>
          <cell r="K275">
            <v>25</v>
          </cell>
          <cell r="L275" t="str">
            <v>已收讫</v>
          </cell>
          <cell r="M275" t="str"/>
          <cell r="N275" t="str">
            <v>公司杂周转筐</v>
          </cell>
          <cell r="O275" t="str"/>
          <cell r="P275">
            <v>25</v>
          </cell>
          <cell r="Q275" t="str"/>
          <cell r="R275" t="str">
            <v>新N*GG901</v>
          </cell>
          <cell r="S275" t="str">
            <v>公司筐</v>
          </cell>
        </row>
        <row r="276">
          <cell r="B276" t="str"/>
          <cell r="C276" t="str"/>
          <cell r="D276" t="str"/>
          <cell r="E276" t="str"/>
          <cell r="F276" t="str"/>
          <cell r="G276" t="str"/>
          <cell r="H276" t="str"/>
          <cell r="I276" t="str"/>
          <cell r="J276" t="str"/>
          <cell r="K276" t="str"/>
          <cell r="L276" t="str"/>
          <cell r="M276" t="str"/>
          <cell r="N276" t="str"/>
          <cell r="O276" t="str"/>
          <cell r="P276" t="str"/>
          <cell r="Q276" t="str"/>
          <cell r="R276" t="str"/>
          <cell r="S276" t="str"/>
        </row>
        <row r="277">
          <cell r="B277" t="str"/>
          <cell r="C277" t="str"/>
          <cell r="D277" t="str"/>
          <cell r="E277" t="str"/>
          <cell r="F277" t="str"/>
          <cell r="G277" t="str"/>
          <cell r="H277" t="str"/>
          <cell r="I277" t="str"/>
          <cell r="J277" t="str"/>
          <cell r="K277" t="str"/>
          <cell r="L277" t="str"/>
          <cell r="M277" t="str"/>
          <cell r="N277" t="str"/>
          <cell r="O277" t="str"/>
          <cell r="P277" t="str"/>
          <cell r="Q277" t="str"/>
          <cell r="R277" t="str"/>
          <cell r="S277" t="str"/>
        </row>
        <row r="278">
          <cell r="B278" t="str"/>
          <cell r="C278" t="str"/>
          <cell r="D278" t="str"/>
          <cell r="E278" t="str"/>
          <cell r="F278" t="str"/>
          <cell r="G278" t="str"/>
          <cell r="H278" t="str"/>
          <cell r="I278" t="str"/>
          <cell r="J278" t="str"/>
          <cell r="K278" t="str"/>
          <cell r="L278" t="str"/>
          <cell r="M278" t="str"/>
          <cell r="N278" t="str"/>
          <cell r="O278" t="str"/>
          <cell r="P278" t="str"/>
          <cell r="Q278" t="str"/>
          <cell r="R278" t="str"/>
          <cell r="S278" t="str"/>
        </row>
        <row r="279">
          <cell r="B279" t="str"/>
          <cell r="C279" t="str"/>
          <cell r="D279" t="str"/>
          <cell r="E279" t="str"/>
          <cell r="F279" t="str"/>
          <cell r="G279" t="str"/>
          <cell r="H279" t="str"/>
          <cell r="I279" t="str"/>
          <cell r="J279" t="str"/>
          <cell r="K279" t="str"/>
          <cell r="L279" t="str"/>
          <cell r="M279" t="str"/>
          <cell r="N279" t="str"/>
          <cell r="O279" t="str"/>
          <cell r="P279" t="str"/>
          <cell r="Q279" t="str"/>
          <cell r="R279" t="str"/>
          <cell r="S279" t="str"/>
        </row>
        <row r="280">
          <cell r="B280" t="str"/>
          <cell r="C280" t="str"/>
          <cell r="D280" t="str"/>
          <cell r="E280" t="str"/>
          <cell r="F280" t="str"/>
          <cell r="G280" t="str"/>
          <cell r="H280" t="str"/>
          <cell r="I280" t="str"/>
          <cell r="J280" t="str"/>
          <cell r="K280" t="str"/>
          <cell r="L280" t="str"/>
          <cell r="M280" t="str"/>
          <cell r="N280" t="str"/>
          <cell r="O280" t="str"/>
          <cell r="P280" t="str"/>
          <cell r="Q280" t="str"/>
          <cell r="R280" t="str"/>
          <cell r="S280" t="str"/>
        </row>
        <row r="281">
          <cell r="B281" t="str"/>
          <cell r="C281" t="str"/>
          <cell r="D281" t="str"/>
          <cell r="E281" t="str"/>
          <cell r="F281" t="str"/>
          <cell r="G281" t="str"/>
          <cell r="H281" t="str"/>
          <cell r="I281" t="str"/>
          <cell r="J281" t="str"/>
          <cell r="K281" t="str"/>
          <cell r="L281" t="str"/>
          <cell r="M281" t="str"/>
          <cell r="N281" t="str"/>
          <cell r="O281" t="str"/>
          <cell r="P281" t="str"/>
          <cell r="Q281" t="str"/>
          <cell r="R281" t="str"/>
          <cell r="S281" t="str"/>
        </row>
        <row r="282">
          <cell r="B282" t="str"/>
          <cell r="C282" t="str"/>
          <cell r="D282" t="str"/>
          <cell r="E282" t="str"/>
          <cell r="F282" t="str"/>
          <cell r="G282" t="str"/>
          <cell r="H282" t="str"/>
          <cell r="I282" t="str"/>
          <cell r="J282" t="str"/>
          <cell r="K282" t="str"/>
          <cell r="L282" t="str"/>
          <cell r="M282" t="str"/>
          <cell r="N282" t="str"/>
          <cell r="O282" t="str"/>
          <cell r="P282" t="str"/>
          <cell r="Q282" t="str"/>
          <cell r="R282" t="str"/>
          <cell r="S282" t="str"/>
        </row>
        <row r="283">
          <cell r="B283" t="str"/>
          <cell r="C283" t="str"/>
          <cell r="D283" t="str"/>
          <cell r="E283" t="str"/>
          <cell r="F283" t="str"/>
          <cell r="G283" t="str"/>
          <cell r="H283" t="str"/>
          <cell r="I283" t="str"/>
          <cell r="J283" t="str"/>
          <cell r="K283" t="str"/>
          <cell r="L283" t="str"/>
          <cell r="M283" t="str"/>
          <cell r="N283" t="str"/>
          <cell r="O283" t="str"/>
          <cell r="P283" t="str"/>
          <cell r="Q283" t="str"/>
          <cell r="R283" t="str"/>
          <cell r="S283" t="str"/>
        </row>
        <row r="284">
          <cell r="B284" t="str"/>
          <cell r="C284" t="str"/>
          <cell r="D284" t="str"/>
          <cell r="E284" t="str"/>
          <cell r="F284" t="str"/>
          <cell r="G284" t="str"/>
          <cell r="H284" t="str"/>
          <cell r="I284" t="str"/>
          <cell r="J284" t="str"/>
          <cell r="K284" t="str"/>
          <cell r="L284" t="str"/>
          <cell r="M284" t="str"/>
          <cell r="N284" t="str"/>
          <cell r="O284" t="str"/>
          <cell r="P284" t="str"/>
          <cell r="Q284" t="str"/>
          <cell r="R284" t="str"/>
          <cell r="S284" t="str"/>
        </row>
        <row r="285">
          <cell r="B285" t="str"/>
          <cell r="C285" t="str"/>
          <cell r="D285" t="str"/>
          <cell r="E285" t="str"/>
          <cell r="F285" t="str"/>
          <cell r="G285" t="str"/>
          <cell r="H285" t="str"/>
          <cell r="I285" t="str"/>
          <cell r="J285" t="str"/>
          <cell r="K285" t="str"/>
          <cell r="L285" t="str"/>
          <cell r="M285" t="str"/>
          <cell r="N285" t="str"/>
          <cell r="O285" t="str"/>
          <cell r="P285" t="str"/>
          <cell r="Q285" t="str"/>
          <cell r="R285" t="str"/>
          <cell r="S285" t="str"/>
        </row>
        <row r="286">
          <cell r="B286" t="str"/>
          <cell r="C286" t="str"/>
          <cell r="D286" t="str"/>
          <cell r="E286" t="str"/>
          <cell r="F286" t="str"/>
          <cell r="G286" t="str"/>
          <cell r="H286" t="str"/>
          <cell r="I286" t="str"/>
          <cell r="J286" t="str"/>
          <cell r="K286" t="str"/>
          <cell r="L286" t="str"/>
          <cell r="M286" t="str"/>
          <cell r="N286" t="str"/>
          <cell r="O286" t="str"/>
          <cell r="P286" t="str"/>
          <cell r="Q286" t="str"/>
          <cell r="R286" t="str"/>
          <cell r="S286" t="str"/>
        </row>
        <row r="287">
          <cell r="B287" t="str"/>
          <cell r="C287" t="str"/>
          <cell r="D287" t="str"/>
          <cell r="E287" t="str"/>
          <cell r="F287" t="str"/>
          <cell r="G287" t="str"/>
          <cell r="H287" t="str"/>
          <cell r="I287" t="str"/>
          <cell r="J287" t="str"/>
          <cell r="K287" t="str"/>
          <cell r="L287" t="str"/>
          <cell r="M287" t="str"/>
          <cell r="N287" t="str"/>
          <cell r="O287" t="str"/>
          <cell r="P287" t="str"/>
          <cell r="Q287" t="str"/>
          <cell r="R287" t="str"/>
          <cell r="S287" t="str"/>
        </row>
        <row r="288">
          <cell r="B288" t="str"/>
          <cell r="C288" t="str"/>
          <cell r="D288" t="str"/>
          <cell r="E288" t="str"/>
          <cell r="F288" t="str"/>
          <cell r="G288" t="str"/>
          <cell r="H288" t="str"/>
          <cell r="I288" t="str"/>
          <cell r="J288" t="str"/>
          <cell r="K288" t="str"/>
          <cell r="L288" t="str"/>
          <cell r="M288" t="str"/>
          <cell r="N288" t="str"/>
          <cell r="O288" t="str"/>
          <cell r="P288" t="str"/>
          <cell r="Q288" t="str"/>
          <cell r="R288" t="str"/>
          <cell r="S288" t="str"/>
        </row>
        <row r="289">
          <cell r="B289" t="str"/>
          <cell r="C289" t="str"/>
          <cell r="D289" t="str"/>
          <cell r="E289" t="str"/>
          <cell r="F289" t="str"/>
          <cell r="G289" t="str"/>
          <cell r="H289" t="str"/>
          <cell r="I289" t="str"/>
          <cell r="J289" t="str"/>
          <cell r="K289" t="str"/>
          <cell r="L289" t="str"/>
          <cell r="M289" t="str"/>
          <cell r="N289" t="str"/>
          <cell r="O289" t="str"/>
          <cell r="P289" t="str"/>
          <cell r="Q289" t="str"/>
          <cell r="R289" t="str"/>
          <cell r="S289" t="str"/>
        </row>
        <row r="290">
          <cell r="B290" t="str"/>
          <cell r="C290" t="str"/>
          <cell r="D290" t="str"/>
          <cell r="E290" t="str"/>
          <cell r="F290" t="str"/>
          <cell r="G290" t="str"/>
          <cell r="H290" t="str"/>
          <cell r="I290" t="str"/>
          <cell r="J290" t="str"/>
          <cell r="K290" t="str"/>
          <cell r="L290" t="str"/>
          <cell r="M290" t="str"/>
          <cell r="N290" t="str"/>
          <cell r="O290" t="str"/>
          <cell r="P290" t="str"/>
          <cell r="Q290" t="str"/>
          <cell r="R290" t="str"/>
          <cell r="S290" t="str"/>
        </row>
        <row r="291">
          <cell r="B291" t="str"/>
          <cell r="C291" t="str"/>
          <cell r="D291" t="str"/>
          <cell r="E291" t="str"/>
          <cell r="F291" t="str"/>
          <cell r="G291" t="str"/>
          <cell r="H291" t="str"/>
          <cell r="I291" t="str"/>
          <cell r="J291" t="str"/>
          <cell r="K291" t="str"/>
          <cell r="L291" t="str"/>
          <cell r="M291" t="str"/>
          <cell r="N291" t="str"/>
          <cell r="O291" t="str"/>
          <cell r="P291" t="str"/>
          <cell r="Q291" t="str"/>
          <cell r="R291" t="str"/>
          <cell r="S291" t="str"/>
        </row>
        <row r="292">
          <cell r="B292" t="str"/>
          <cell r="C292" t="str"/>
          <cell r="D292" t="str"/>
          <cell r="E292" t="str"/>
          <cell r="F292" t="str"/>
          <cell r="G292" t="str"/>
          <cell r="H292" t="str"/>
          <cell r="I292" t="str"/>
          <cell r="J292" t="str"/>
          <cell r="K292" t="str"/>
          <cell r="L292" t="str"/>
          <cell r="M292" t="str"/>
          <cell r="N292" t="str"/>
          <cell r="O292" t="str"/>
          <cell r="P292" t="str"/>
          <cell r="Q292" t="str"/>
          <cell r="R292" t="str"/>
          <cell r="S292" t="str"/>
        </row>
        <row r="293">
          <cell r="B293" t="str"/>
          <cell r="C293" t="str"/>
          <cell r="D293" t="str"/>
          <cell r="E293" t="str"/>
          <cell r="F293" t="str"/>
          <cell r="G293" t="str"/>
          <cell r="H293" t="str"/>
          <cell r="I293" t="str"/>
          <cell r="J293" t="str"/>
          <cell r="K293" t="str"/>
          <cell r="L293" t="str"/>
          <cell r="M293" t="str"/>
          <cell r="N293" t="str"/>
          <cell r="O293" t="str"/>
          <cell r="P293" t="str"/>
          <cell r="Q293" t="str"/>
          <cell r="R293" t="str"/>
          <cell r="S293" t="str"/>
        </row>
        <row r="294">
          <cell r="B294" t="str"/>
          <cell r="C294" t="str"/>
          <cell r="D294" t="str"/>
          <cell r="E294" t="str"/>
          <cell r="F294" t="str"/>
          <cell r="G294" t="str"/>
          <cell r="H294" t="str"/>
          <cell r="I294" t="str"/>
          <cell r="J294" t="str"/>
          <cell r="K294" t="str"/>
          <cell r="L294" t="str"/>
          <cell r="M294" t="str"/>
          <cell r="N294" t="str"/>
          <cell r="O294" t="str"/>
          <cell r="P294" t="str"/>
          <cell r="Q294" t="str"/>
          <cell r="R294" t="str"/>
          <cell r="S294" t="str"/>
        </row>
        <row r="295">
          <cell r="B295" t="str"/>
          <cell r="C295" t="str"/>
          <cell r="D295" t="str"/>
          <cell r="E295" t="str"/>
          <cell r="F295" t="str"/>
          <cell r="G295" t="str"/>
          <cell r="H295" t="str"/>
          <cell r="I295" t="str"/>
          <cell r="J295" t="str"/>
          <cell r="K295" t="str"/>
          <cell r="L295" t="str"/>
          <cell r="M295" t="str"/>
          <cell r="N295" t="str"/>
          <cell r="O295" t="str"/>
          <cell r="P295" t="str"/>
          <cell r="Q295" t="str"/>
          <cell r="R295" t="str"/>
          <cell r="S295" t="str"/>
        </row>
        <row r="296">
          <cell r="B296" t="str"/>
          <cell r="C296" t="str"/>
          <cell r="D296" t="str"/>
          <cell r="E296" t="str"/>
          <cell r="F296" t="str"/>
          <cell r="G296" t="str"/>
          <cell r="H296" t="str"/>
          <cell r="I296" t="str"/>
          <cell r="J296" t="str"/>
          <cell r="K296" t="str"/>
          <cell r="L296" t="str"/>
          <cell r="M296" t="str"/>
          <cell r="N296" t="str"/>
          <cell r="O296" t="str"/>
          <cell r="P296" t="str"/>
          <cell r="Q296" t="str"/>
          <cell r="R296" t="str"/>
          <cell r="S296" t="str"/>
        </row>
        <row r="297">
          <cell r="B297" t="str"/>
          <cell r="C297" t="str"/>
          <cell r="D297" t="str"/>
          <cell r="E297" t="str"/>
          <cell r="F297" t="str"/>
          <cell r="G297" t="str"/>
          <cell r="H297" t="str"/>
          <cell r="I297" t="str"/>
          <cell r="J297" t="str"/>
          <cell r="K297" t="str"/>
          <cell r="L297" t="str"/>
          <cell r="M297" t="str"/>
          <cell r="N297" t="str"/>
          <cell r="O297" t="str"/>
          <cell r="P297" t="str"/>
          <cell r="Q297" t="str"/>
          <cell r="R297" t="str"/>
          <cell r="S297" t="str"/>
        </row>
        <row r="298">
          <cell r="B298" t="str"/>
          <cell r="C298" t="str"/>
          <cell r="D298" t="str"/>
          <cell r="E298" t="str"/>
          <cell r="F298" t="str"/>
          <cell r="G298" t="str"/>
          <cell r="H298" t="str"/>
          <cell r="I298" t="str"/>
          <cell r="J298" t="str"/>
          <cell r="K298" t="str"/>
          <cell r="L298" t="str"/>
          <cell r="M298" t="str"/>
          <cell r="N298" t="str"/>
          <cell r="O298" t="str"/>
          <cell r="P298" t="str"/>
          <cell r="Q298" t="str"/>
          <cell r="R298" t="str"/>
          <cell r="S298" t="str"/>
        </row>
        <row r="299">
          <cell r="B299" t="str"/>
          <cell r="C299" t="str"/>
          <cell r="D299" t="str"/>
          <cell r="E299" t="str"/>
          <cell r="F299" t="str"/>
          <cell r="G299" t="str"/>
          <cell r="H299" t="str"/>
          <cell r="I299" t="str"/>
          <cell r="J299" t="str"/>
          <cell r="K299" t="str"/>
          <cell r="L299" t="str"/>
          <cell r="M299" t="str"/>
          <cell r="N299" t="str"/>
          <cell r="O299" t="str"/>
          <cell r="P299" t="str"/>
          <cell r="Q299" t="str"/>
          <cell r="R299" t="str"/>
          <cell r="S299" t="str"/>
        </row>
        <row r="300">
          <cell r="B300" t="str"/>
          <cell r="C300" t="str"/>
          <cell r="D300" t="str"/>
          <cell r="E300" t="str"/>
          <cell r="F300" t="str"/>
          <cell r="G300" t="str"/>
          <cell r="H300" t="str"/>
          <cell r="I300" t="str"/>
          <cell r="J300" t="str"/>
          <cell r="K300" t="str"/>
          <cell r="L300" t="str"/>
          <cell r="M300" t="str"/>
          <cell r="N300" t="str"/>
          <cell r="O300" t="str"/>
          <cell r="P300" t="str"/>
          <cell r="Q300" t="str"/>
          <cell r="R300" t="str"/>
          <cell r="S300" t="str"/>
        </row>
        <row r="301">
          <cell r="B301" t="str"/>
          <cell r="C301" t="str"/>
          <cell r="D301" t="str"/>
          <cell r="E301" t="str"/>
          <cell r="F301" t="str"/>
          <cell r="G301" t="str"/>
          <cell r="H301" t="str"/>
          <cell r="I301" t="str"/>
          <cell r="J301" t="str"/>
          <cell r="K301" t="str"/>
          <cell r="L301" t="str"/>
          <cell r="M301" t="str"/>
          <cell r="N301" t="str"/>
          <cell r="O301" t="str"/>
          <cell r="P301" t="str"/>
          <cell r="Q301" t="str"/>
          <cell r="R301" t="str"/>
          <cell r="S301" t="str"/>
        </row>
        <row r="302">
          <cell r="B302" t="str"/>
          <cell r="C302" t="str"/>
          <cell r="D302" t="str"/>
          <cell r="E302" t="str"/>
          <cell r="F302" t="str"/>
          <cell r="G302" t="str"/>
          <cell r="H302" t="str"/>
          <cell r="I302" t="str"/>
          <cell r="J302" t="str"/>
          <cell r="K302" t="str"/>
          <cell r="L302" t="str"/>
          <cell r="M302" t="str"/>
          <cell r="N302" t="str"/>
          <cell r="O302" t="str"/>
          <cell r="P302" t="str"/>
          <cell r="Q302" t="str"/>
          <cell r="R302" t="str"/>
          <cell r="S302" t="str"/>
        </row>
        <row r="303">
          <cell r="B303" t="str"/>
          <cell r="C303" t="str"/>
          <cell r="D303" t="str"/>
          <cell r="E303" t="str"/>
          <cell r="F303" t="str"/>
          <cell r="G303" t="str"/>
          <cell r="H303" t="str"/>
          <cell r="I303" t="str"/>
          <cell r="J303" t="str"/>
          <cell r="K303" t="str"/>
          <cell r="L303" t="str"/>
          <cell r="M303" t="str"/>
          <cell r="N303" t="str"/>
          <cell r="O303" t="str"/>
          <cell r="P303" t="str"/>
          <cell r="Q303" t="str"/>
          <cell r="R303" t="str"/>
          <cell r="S303" t="str"/>
        </row>
        <row r="304">
          <cell r="B304" t="str"/>
          <cell r="C304" t="str"/>
          <cell r="D304" t="str"/>
          <cell r="E304" t="str"/>
          <cell r="F304" t="str"/>
          <cell r="G304" t="str"/>
          <cell r="H304" t="str"/>
          <cell r="I304" t="str"/>
          <cell r="J304" t="str"/>
          <cell r="K304" t="str"/>
          <cell r="L304" t="str"/>
          <cell r="M304" t="str"/>
          <cell r="N304" t="str"/>
          <cell r="O304" t="str"/>
          <cell r="P304" t="str"/>
          <cell r="Q304" t="str"/>
          <cell r="R304" t="str"/>
          <cell r="S304" t="str"/>
        </row>
        <row r="305">
          <cell r="B305" t="str"/>
          <cell r="C305" t="str"/>
          <cell r="D305" t="str"/>
          <cell r="E305" t="str"/>
          <cell r="F305" t="str"/>
          <cell r="G305" t="str"/>
          <cell r="H305" t="str"/>
          <cell r="I305" t="str"/>
          <cell r="J305" t="str"/>
          <cell r="K305" t="str"/>
          <cell r="L305" t="str"/>
          <cell r="M305" t="str"/>
          <cell r="N305" t="str"/>
          <cell r="O305" t="str"/>
          <cell r="P305" t="str"/>
          <cell r="Q305" t="str"/>
          <cell r="R305" t="str"/>
          <cell r="S305" t="str"/>
        </row>
        <row r="306">
          <cell r="B306" t="str"/>
          <cell r="C306" t="str"/>
          <cell r="D306" t="str"/>
          <cell r="E306" t="str"/>
          <cell r="F306" t="str"/>
          <cell r="G306" t="str"/>
          <cell r="H306" t="str"/>
          <cell r="I306" t="str"/>
          <cell r="J306" t="str"/>
          <cell r="K306" t="str"/>
          <cell r="L306" t="str"/>
          <cell r="M306" t="str"/>
          <cell r="N306" t="str"/>
          <cell r="O306" t="str"/>
          <cell r="P306" t="str"/>
          <cell r="Q306" t="str"/>
          <cell r="R306" t="str"/>
          <cell r="S306" t="str"/>
        </row>
        <row r="307">
          <cell r="B307" t="str"/>
          <cell r="C307" t="str"/>
          <cell r="D307" t="str"/>
          <cell r="E307" t="str"/>
          <cell r="F307" t="str"/>
          <cell r="G307" t="str"/>
          <cell r="H307" t="str"/>
          <cell r="I307" t="str"/>
          <cell r="J307" t="str"/>
          <cell r="K307" t="str"/>
          <cell r="L307" t="str"/>
          <cell r="M307" t="str"/>
          <cell r="N307" t="str"/>
          <cell r="O307" t="str"/>
          <cell r="P307" t="str"/>
          <cell r="Q307" t="str"/>
          <cell r="R307" t="str"/>
          <cell r="S307" t="str"/>
        </row>
        <row r="308">
          <cell r="B308" t="str"/>
          <cell r="C308" t="str"/>
          <cell r="D308" t="str"/>
          <cell r="E308" t="str"/>
          <cell r="F308" t="str"/>
          <cell r="G308" t="str"/>
          <cell r="H308" t="str"/>
          <cell r="I308" t="str"/>
          <cell r="J308" t="str"/>
          <cell r="K308" t="str"/>
          <cell r="L308" t="str"/>
          <cell r="M308" t="str"/>
          <cell r="N308" t="str"/>
          <cell r="O308" t="str"/>
          <cell r="P308" t="str"/>
          <cell r="Q308" t="str"/>
          <cell r="R308" t="str"/>
          <cell r="S308" t="str"/>
        </row>
        <row r="309">
          <cell r="B309" t="str"/>
          <cell r="C309" t="str"/>
          <cell r="D309" t="str"/>
          <cell r="E309" t="str"/>
          <cell r="F309" t="str"/>
          <cell r="G309" t="str"/>
          <cell r="H309" t="str"/>
          <cell r="I309" t="str"/>
          <cell r="J309" t="str"/>
          <cell r="K309" t="str"/>
          <cell r="L309" t="str"/>
          <cell r="M309" t="str"/>
          <cell r="N309" t="str"/>
          <cell r="O309" t="str"/>
          <cell r="P309" t="str"/>
          <cell r="Q309" t="str"/>
          <cell r="R309" t="str"/>
          <cell r="S309" t="str"/>
        </row>
        <row r="310">
          <cell r="B310" t="str"/>
          <cell r="C310" t="str"/>
          <cell r="D310" t="str"/>
          <cell r="E310" t="str"/>
          <cell r="F310" t="str"/>
          <cell r="G310" t="str"/>
          <cell r="H310" t="str"/>
          <cell r="I310" t="str"/>
          <cell r="J310" t="str"/>
          <cell r="K310" t="str"/>
          <cell r="L310" t="str"/>
          <cell r="M310" t="str"/>
          <cell r="N310" t="str"/>
          <cell r="O310" t="str"/>
          <cell r="P310" t="str"/>
          <cell r="Q310" t="str"/>
          <cell r="R310" t="str"/>
          <cell r="S310" t="str"/>
        </row>
        <row r="311">
          <cell r="B311" t="str"/>
          <cell r="C311" t="str"/>
          <cell r="D311" t="str"/>
          <cell r="E311" t="str"/>
          <cell r="F311" t="str"/>
          <cell r="G311" t="str"/>
          <cell r="H311" t="str"/>
          <cell r="I311" t="str"/>
          <cell r="J311" t="str"/>
          <cell r="K311" t="str"/>
          <cell r="L311" t="str"/>
          <cell r="M311" t="str"/>
          <cell r="N311" t="str"/>
          <cell r="O311" t="str"/>
          <cell r="P311" t="str"/>
          <cell r="Q311" t="str"/>
          <cell r="R311" t="str"/>
          <cell r="S311" t="str"/>
        </row>
        <row r="312">
          <cell r="B312" t="str"/>
          <cell r="C312" t="str"/>
          <cell r="D312" t="str"/>
          <cell r="E312" t="str"/>
          <cell r="F312" t="str"/>
          <cell r="G312" t="str"/>
          <cell r="H312" t="str"/>
          <cell r="I312" t="str"/>
          <cell r="J312" t="str"/>
          <cell r="K312" t="str"/>
          <cell r="L312" t="str"/>
          <cell r="M312" t="str"/>
          <cell r="N312" t="str"/>
          <cell r="O312" t="str"/>
          <cell r="P312" t="str"/>
          <cell r="Q312" t="str"/>
          <cell r="R312" t="str"/>
          <cell r="S312" t="str"/>
        </row>
        <row r="313">
          <cell r="B313" t="str"/>
          <cell r="C313" t="str"/>
          <cell r="D313" t="str"/>
          <cell r="E313" t="str"/>
          <cell r="F313" t="str"/>
          <cell r="G313" t="str"/>
          <cell r="H313" t="str"/>
          <cell r="I313" t="str"/>
          <cell r="J313" t="str"/>
          <cell r="K313" t="str"/>
          <cell r="L313" t="str"/>
          <cell r="M313" t="str"/>
          <cell r="N313" t="str"/>
          <cell r="O313" t="str"/>
          <cell r="P313" t="str"/>
          <cell r="Q313" t="str"/>
          <cell r="R313" t="str"/>
          <cell r="S313" t="str"/>
        </row>
        <row r="314">
          <cell r="B314" t="str"/>
          <cell r="C314" t="str"/>
          <cell r="D314" t="str"/>
          <cell r="E314" t="str"/>
          <cell r="F314" t="str"/>
          <cell r="G314" t="str"/>
          <cell r="H314" t="str"/>
          <cell r="I314" t="str"/>
          <cell r="J314" t="str"/>
          <cell r="K314" t="str"/>
          <cell r="L314" t="str"/>
          <cell r="M314" t="str"/>
          <cell r="N314" t="str"/>
          <cell r="O314" t="str"/>
          <cell r="P314" t="str"/>
          <cell r="Q314" t="str"/>
          <cell r="R314" t="str"/>
          <cell r="S314" t="str"/>
        </row>
        <row r="315">
          <cell r="B315" t="str"/>
          <cell r="C315" t="str"/>
          <cell r="D315" t="str"/>
          <cell r="E315" t="str"/>
          <cell r="F315" t="str"/>
          <cell r="G315" t="str"/>
          <cell r="H315" t="str"/>
          <cell r="I315" t="str"/>
          <cell r="J315" t="str"/>
          <cell r="K315" t="str"/>
          <cell r="L315" t="str"/>
          <cell r="M315" t="str"/>
          <cell r="N315" t="str"/>
          <cell r="O315" t="str"/>
          <cell r="P315" t="str"/>
          <cell r="Q315" t="str"/>
          <cell r="R315" t="str"/>
          <cell r="S315" t="str"/>
        </row>
        <row r="316">
          <cell r="B316" t="str"/>
          <cell r="C316" t="str"/>
          <cell r="D316" t="str"/>
          <cell r="E316" t="str"/>
          <cell r="F316" t="str"/>
          <cell r="G316" t="str"/>
          <cell r="H316" t="str"/>
          <cell r="I316" t="str"/>
          <cell r="J316" t="str"/>
          <cell r="K316" t="str"/>
          <cell r="L316" t="str"/>
          <cell r="M316" t="str"/>
          <cell r="N316" t="str"/>
          <cell r="O316" t="str"/>
          <cell r="P316" t="str"/>
          <cell r="Q316" t="str"/>
          <cell r="R316" t="str"/>
          <cell r="S316" t="str"/>
        </row>
        <row r="317">
          <cell r="B317" t="str"/>
          <cell r="C317" t="str"/>
          <cell r="D317" t="str"/>
          <cell r="E317" t="str"/>
          <cell r="F317" t="str"/>
          <cell r="G317" t="str"/>
          <cell r="H317" t="str"/>
          <cell r="I317" t="str"/>
          <cell r="J317" t="str"/>
          <cell r="K317" t="str"/>
          <cell r="L317" t="str"/>
          <cell r="M317" t="str"/>
          <cell r="N317" t="str"/>
          <cell r="O317" t="str"/>
          <cell r="P317" t="str"/>
          <cell r="Q317" t="str"/>
          <cell r="R317" t="str"/>
          <cell r="S317" t="str"/>
        </row>
        <row r="318">
          <cell r="B318" t="str"/>
          <cell r="C318" t="str"/>
          <cell r="D318" t="str"/>
          <cell r="E318" t="str"/>
          <cell r="F318" t="str"/>
          <cell r="G318" t="str"/>
          <cell r="H318" t="str"/>
          <cell r="I318" t="str"/>
          <cell r="J318" t="str"/>
          <cell r="K318" t="str"/>
          <cell r="L318" t="str"/>
          <cell r="M318" t="str"/>
          <cell r="N318" t="str"/>
          <cell r="O318" t="str"/>
          <cell r="P318" t="str"/>
          <cell r="Q318" t="str"/>
          <cell r="R318" t="str"/>
          <cell r="S318" t="str"/>
        </row>
        <row r="319">
          <cell r="B319" t="str"/>
          <cell r="C319" t="str"/>
          <cell r="D319" t="str"/>
          <cell r="E319" t="str"/>
          <cell r="F319" t="str"/>
          <cell r="G319" t="str"/>
          <cell r="H319" t="str"/>
          <cell r="I319" t="str"/>
          <cell r="J319" t="str"/>
          <cell r="K319" t="str"/>
          <cell r="L319" t="str"/>
          <cell r="M319" t="str"/>
          <cell r="N319" t="str"/>
          <cell r="O319" t="str"/>
          <cell r="P319" t="str"/>
          <cell r="Q319" t="str"/>
          <cell r="R319" t="str"/>
          <cell r="S319" t="str"/>
        </row>
        <row r="320">
          <cell r="B320" t="str"/>
          <cell r="C320" t="str"/>
          <cell r="D320" t="str"/>
          <cell r="E320" t="str"/>
          <cell r="F320" t="str"/>
          <cell r="G320" t="str"/>
          <cell r="H320" t="str"/>
          <cell r="I320" t="str"/>
          <cell r="J320" t="str"/>
          <cell r="K320" t="str"/>
          <cell r="L320" t="str"/>
          <cell r="M320" t="str"/>
          <cell r="N320" t="str"/>
          <cell r="O320" t="str"/>
          <cell r="P320" t="str"/>
          <cell r="Q320" t="str"/>
          <cell r="R320" t="str"/>
          <cell r="S320" t="str"/>
        </row>
        <row r="321">
          <cell r="B321" t="str"/>
          <cell r="C321" t="str"/>
          <cell r="D321" t="str"/>
          <cell r="E321" t="str"/>
          <cell r="F321" t="str"/>
          <cell r="G321" t="str"/>
          <cell r="H321" t="str"/>
          <cell r="I321" t="str"/>
          <cell r="J321" t="str"/>
          <cell r="K321" t="str"/>
          <cell r="L321" t="str"/>
          <cell r="M321" t="str"/>
          <cell r="N321" t="str"/>
          <cell r="O321" t="str"/>
          <cell r="P321" t="str"/>
          <cell r="Q321" t="str"/>
          <cell r="R321" t="str"/>
          <cell r="S321" t="str"/>
        </row>
        <row r="322">
          <cell r="B322" t="str"/>
          <cell r="C322" t="str"/>
          <cell r="D322" t="str"/>
          <cell r="E322" t="str"/>
          <cell r="F322" t="str"/>
          <cell r="G322" t="str"/>
          <cell r="H322" t="str"/>
          <cell r="I322" t="str"/>
          <cell r="J322" t="str"/>
          <cell r="K322" t="str"/>
          <cell r="L322" t="str"/>
          <cell r="M322" t="str"/>
          <cell r="N322" t="str"/>
          <cell r="O322" t="str"/>
          <cell r="P322" t="str"/>
          <cell r="Q322" t="str"/>
          <cell r="R322" t="str"/>
          <cell r="S322" t="str"/>
        </row>
        <row r="323">
          <cell r="B323" t="str"/>
          <cell r="C323" t="str"/>
          <cell r="D323" t="str"/>
          <cell r="E323" t="str"/>
          <cell r="F323" t="str"/>
          <cell r="G323" t="str"/>
          <cell r="H323" t="str"/>
          <cell r="I323" t="str"/>
          <cell r="J323" t="str"/>
          <cell r="K323" t="str"/>
          <cell r="L323" t="str"/>
          <cell r="M323" t="str"/>
          <cell r="N323" t="str"/>
          <cell r="O323" t="str"/>
          <cell r="P323" t="str"/>
          <cell r="Q323" t="str"/>
          <cell r="R323" t="str"/>
          <cell r="S323" t="str"/>
        </row>
        <row r="324">
          <cell r="B324" t="str"/>
          <cell r="C324" t="str"/>
          <cell r="D324" t="str"/>
          <cell r="E324" t="str"/>
          <cell r="F324" t="str"/>
          <cell r="G324" t="str"/>
          <cell r="H324" t="str"/>
          <cell r="I324" t="str"/>
          <cell r="J324" t="str"/>
          <cell r="K324" t="str"/>
          <cell r="L324" t="str"/>
          <cell r="M324" t="str"/>
          <cell r="N324" t="str"/>
          <cell r="O324" t="str"/>
          <cell r="P324" t="str"/>
          <cell r="Q324" t="str"/>
          <cell r="R324" t="str"/>
          <cell r="S324" t="str"/>
        </row>
        <row r="325">
          <cell r="B325" t="str"/>
          <cell r="C325" t="str"/>
          <cell r="D325" t="str"/>
          <cell r="E325" t="str"/>
          <cell r="F325" t="str"/>
          <cell r="G325" t="str"/>
          <cell r="H325" t="str"/>
          <cell r="I325" t="str"/>
          <cell r="J325" t="str"/>
          <cell r="K325" t="str"/>
          <cell r="L325" t="str"/>
          <cell r="M325" t="str"/>
          <cell r="N325" t="str"/>
          <cell r="O325" t="str"/>
          <cell r="P325" t="str"/>
          <cell r="Q325" t="str"/>
          <cell r="R325" t="str"/>
          <cell r="S325" t="str"/>
        </row>
        <row r="326">
          <cell r="B326" t="str"/>
          <cell r="C326" t="str"/>
          <cell r="D326" t="str"/>
          <cell r="E326" t="str"/>
          <cell r="F326" t="str"/>
          <cell r="G326" t="str"/>
          <cell r="H326" t="str"/>
          <cell r="I326" t="str"/>
          <cell r="J326" t="str"/>
          <cell r="K326" t="str"/>
          <cell r="L326" t="str"/>
          <cell r="M326" t="str"/>
          <cell r="N326" t="str"/>
          <cell r="O326" t="str"/>
          <cell r="P326" t="str"/>
          <cell r="Q326" t="str"/>
          <cell r="R326" t="str"/>
          <cell r="S326" t="str"/>
        </row>
        <row r="327">
          <cell r="B327" t="str"/>
          <cell r="C327" t="str"/>
          <cell r="D327" t="str"/>
          <cell r="E327" t="str"/>
          <cell r="F327" t="str"/>
          <cell r="G327" t="str"/>
          <cell r="H327" t="str"/>
          <cell r="I327" t="str"/>
          <cell r="J327" t="str"/>
          <cell r="K327" t="str"/>
          <cell r="L327" t="str"/>
          <cell r="M327" t="str"/>
          <cell r="N327" t="str"/>
          <cell r="O327" t="str"/>
          <cell r="P327" t="str"/>
          <cell r="Q327" t="str"/>
          <cell r="R327" t="str"/>
          <cell r="S327" t="str"/>
        </row>
        <row r="328">
          <cell r="B328" t="str"/>
          <cell r="C328" t="str"/>
          <cell r="D328" t="str"/>
          <cell r="E328" t="str"/>
          <cell r="F328" t="str"/>
          <cell r="G328" t="str"/>
          <cell r="H328" t="str"/>
          <cell r="I328" t="str"/>
          <cell r="J328" t="str"/>
          <cell r="K328" t="str"/>
          <cell r="L328" t="str"/>
          <cell r="M328" t="str"/>
          <cell r="N328" t="str"/>
          <cell r="O328" t="str"/>
          <cell r="P328" t="str"/>
          <cell r="Q328" t="str"/>
          <cell r="R328" t="str"/>
          <cell r="S328" t="str"/>
        </row>
        <row r="329">
          <cell r="B329" t="str"/>
          <cell r="C329" t="str"/>
          <cell r="D329" t="str"/>
          <cell r="E329" t="str"/>
          <cell r="F329" t="str"/>
          <cell r="G329" t="str"/>
          <cell r="H329" t="str"/>
          <cell r="I329" t="str"/>
          <cell r="J329" t="str"/>
          <cell r="K329" t="str"/>
          <cell r="L329" t="str"/>
          <cell r="M329" t="str"/>
          <cell r="N329" t="str"/>
          <cell r="O329" t="str"/>
          <cell r="P329" t="str"/>
          <cell r="Q329" t="str"/>
          <cell r="R329" t="str"/>
          <cell r="S329" t="str"/>
        </row>
        <row r="330">
          <cell r="B330" t="str"/>
          <cell r="C330" t="str"/>
          <cell r="D330" t="str"/>
          <cell r="E330" t="str"/>
          <cell r="F330" t="str"/>
          <cell r="G330" t="str"/>
          <cell r="H330" t="str"/>
          <cell r="I330" t="str"/>
          <cell r="J330" t="str"/>
          <cell r="K330" t="str"/>
          <cell r="L330" t="str"/>
          <cell r="M330" t="str"/>
          <cell r="N330" t="str"/>
          <cell r="O330" t="str"/>
          <cell r="P330" t="str"/>
          <cell r="Q330" t="str"/>
          <cell r="R330" t="str"/>
          <cell r="S330" t="str"/>
        </row>
        <row r="331">
          <cell r="B331" t="str"/>
          <cell r="C331" t="str"/>
          <cell r="D331" t="str"/>
          <cell r="E331" t="str"/>
          <cell r="F331" t="str"/>
          <cell r="G331" t="str"/>
          <cell r="H331" t="str"/>
          <cell r="I331" t="str"/>
          <cell r="J331" t="str"/>
          <cell r="K331" t="str"/>
          <cell r="L331" t="str"/>
          <cell r="M331" t="str"/>
          <cell r="N331" t="str"/>
          <cell r="O331" t="str"/>
          <cell r="P331" t="str"/>
          <cell r="Q331" t="str"/>
          <cell r="R331" t="str"/>
          <cell r="S331" t="str"/>
        </row>
        <row r="332">
          <cell r="B332" t="str"/>
          <cell r="C332" t="str"/>
          <cell r="D332" t="str"/>
          <cell r="E332" t="str"/>
          <cell r="F332" t="str"/>
          <cell r="G332" t="str"/>
          <cell r="H332" t="str"/>
          <cell r="I332" t="str"/>
          <cell r="J332" t="str"/>
          <cell r="K332" t="str"/>
          <cell r="L332" t="str"/>
          <cell r="M332" t="str"/>
          <cell r="N332" t="str"/>
          <cell r="O332" t="str"/>
          <cell r="P332" t="str"/>
          <cell r="Q332" t="str"/>
          <cell r="R332" t="str"/>
          <cell r="S332" t="str"/>
        </row>
        <row r="333">
          <cell r="B333" t="str"/>
          <cell r="C333" t="str"/>
          <cell r="D333" t="str"/>
          <cell r="E333" t="str"/>
          <cell r="F333" t="str"/>
          <cell r="G333" t="str"/>
          <cell r="H333" t="str"/>
          <cell r="I333" t="str"/>
          <cell r="J333" t="str"/>
          <cell r="K333" t="str"/>
          <cell r="L333" t="str"/>
          <cell r="M333" t="str"/>
          <cell r="N333" t="str"/>
          <cell r="O333" t="str"/>
          <cell r="P333" t="str"/>
          <cell r="Q333" t="str"/>
          <cell r="R333" t="str"/>
          <cell r="S333" t="str"/>
        </row>
        <row r="334">
          <cell r="B334" t="str"/>
          <cell r="C334" t="str"/>
          <cell r="D334" t="str"/>
          <cell r="E334" t="str"/>
          <cell r="F334" t="str"/>
          <cell r="G334" t="str"/>
          <cell r="H334" t="str"/>
          <cell r="I334" t="str"/>
          <cell r="J334" t="str"/>
          <cell r="K334" t="str"/>
          <cell r="L334" t="str"/>
          <cell r="M334" t="str"/>
          <cell r="N334" t="str"/>
          <cell r="O334" t="str"/>
          <cell r="P334" t="str"/>
          <cell r="Q334" t="str"/>
          <cell r="R334" t="str"/>
          <cell r="S334" t="str"/>
        </row>
        <row r="335">
          <cell r="B335" t="str"/>
          <cell r="C335" t="str"/>
          <cell r="D335" t="str"/>
          <cell r="E335" t="str"/>
          <cell r="F335" t="str"/>
          <cell r="G335" t="str"/>
          <cell r="H335" t="str"/>
          <cell r="I335" t="str"/>
          <cell r="J335" t="str"/>
          <cell r="K335" t="str"/>
          <cell r="L335" t="str"/>
          <cell r="M335" t="str"/>
          <cell r="N335" t="str"/>
          <cell r="O335" t="str"/>
          <cell r="P335" t="str"/>
          <cell r="Q335" t="str"/>
          <cell r="R335" t="str"/>
          <cell r="S335" t="str"/>
        </row>
        <row r="336">
          <cell r="B336" t="str"/>
          <cell r="C336" t="str"/>
          <cell r="D336" t="str"/>
          <cell r="E336" t="str"/>
          <cell r="F336" t="str"/>
          <cell r="G336" t="str"/>
          <cell r="H336" t="str"/>
          <cell r="I336" t="str"/>
          <cell r="J336" t="str"/>
          <cell r="K336" t="str"/>
          <cell r="L336" t="str"/>
          <cell r="M336" t="str"/>
          <cell r="N336" t="str"/>
          <cell r="O336" t="str"/>
          <cell r="P336" t="str"/>
          <cell r="Q336" t="str"/>
          <cell r="R336" t="str"/>
          <cell r="S336" t="str"/>
        </row>
        <row r="337">
          <cell r="B337" t="str"/>
          <cell r="C337" t="str"/>
          <cell r="D337" t="str"/>
          <cell r="E337" t="str"/>
          <cell r="F337" t="str"/>
          <cell r="G337" t="str"/>
          <cell r="H337" t="str"/>
          <cell r="I337" t="str"/>
          <cell r="J337" t="str"/>
          <cell r="K337" t="str"/>
          <cell r="L337" t="str"/>
          <cell r="M337" t="str"/>
          <cell r="N337" t="str"/>
          <cell r="O337" t="str"/>
          <cell r="P337" t="str"/>
          <cell r="Q337" t="str"/>
          <cell r="R337" t="str"/>
          <cell r="S337" t="str"/>
        </row>
        <row r="338">
          <cell r="B338" t="str"/>
          <cell r="C338" t="str"/>
          <cell r="D338" t="str"/>
          <cell r="E338" t="str"/>
          <cell r="F338" t="str"/>
          <cell r="G338" t="str"/>
          <cell r="H338" t="str"/>
          <cell r="I338" t="str"/>
          <cell r="J338" t="str"/>
          <cell r="K338" t="str"/>
          <cell r="L338" t="str"/>
          <cell r="M338" t="str"/>
          <cell r="N338" t="str"/>
          <cell r="O338" t="str"/>
          <cell r="P338" t="str"/>
          <cell r="Q338" t="str"/>
          <cell r="R338" t="str"/>
          <cell r="S338" t="str"/>
        </row>
        <row r="339">
          <cell r="B339" t="str"/>
          <cell r="C339" t="str"/>
          <cell r="D339" t="str"/>
          <cell r="E339" t="str"/>
          <cell r="F339" t="str"/>
          <cell r="G339" t="str"/>
          <cell r="H339" t="str"/>
          <cell r="I339" t="str"/>
          <cell r="J339" t="str"/>
          <cell r="K339" t="str"/>
          <cell r="L339" t="str"/>
          <cell r="M339" t="str"/>
          <cell r="N339" t="str"/>
          <cell r="O339" t="str"/>
          <cell r="P339" t="str"/>
          <cell r="Q339" t="str"/>
          <cell r="R339" t="str"/>
          <cell r="S339" t="str"/>
        </row>
        <row r="340">
          <cell r="B340" t="str"/>
          <cell r="C340" t="str"/>
          <cell r="D340" t="str"/>
          <cell r="E340" t="str"/>
          <cell r="F340" t="str"/>
          <cell r="G340" t="str"/>
          <cell r="H340" t="str"/>
          <cell r="I340" t="str"/>
          <cell r="J340" t="str"/>
          <cell r="K340" t="str"/>
          <cell r="L340" t="str"/>
          <cell r="M340" t="str"/>
          <cell r="N340" t="str"/>
          <cell r="O340" t="str"/>
          <cell r="P340" t="str"/>
          <cell r="Q340" t="str"/>
          <cell r="R340" t="str"/>
          <cell r="S340" t="str"/>
        </row>
        <row r="341">
          <cell r="B341" t="str"/>
          <cell r="C341" t="str"/>
          <cell r="D341" t="str"/>
          <cell r="E341" t="str"/>
          <cell r="F341" t="str"/>
          <cell r="G341" t="str"/>
          <cell r="H341" t="str"/>
          <cell r="I341" t="str"/>
          <cell r="J341" t="str"/>
          <cell r="K341" t="str"/>
          <cell r="L341" t="str"/>
          <cell r="M341" t="str"/>
          <cell r="N341" t="str"/>
          <cell r="O341" t="str"/>
          <cell r="P341" t="str"/>
          <cell r="Q341" t="str"/>
          <cell r="R341" t="str"/>
          <cell r="S341" t="str"/>
        </row>
        <row r="342">
          <cell r="B342" t="str"/>
          <cell r="C342" t="str"/>
          <cell r="D342" t="str"/>
          <cell r="E342" t="str"/>
          <cell r="F342" t="str"/>
          <cell r="G342" t="str"/>
          <cell r="H342" t="str"/>
          <cell r="I342" t="str"/>
          <cell r="J342" t="str"/>
          <cell r="K342" t="str"/>
          <cell r="L342" t="str"/>
          <cell r="M342" t="str"/>
          <cell r="N342" t="str"/>
          <cell r="O342" t="str"/>
          <cell r="P342" t="str"/>
          <cell r="Q342" t="str"/>
          <cell r="R342" t="str"/>
          <cell r="S342" t="str"/>
        </row>
        <row r="343">
          <cell r="B343" t="str"/>
          <cell r="C343" t="str"/>
          <cell r="D343" t="str"/>
          <cell r="E343" t="str"/>
          <cell r="F343" t="str"/>
          <cell r="G343" t="str"/>
          <cell r="H343" t="str"/>
          <cell r="I343" t="str"/>
          <cell r="J343" t="str"/>
          <cell r="K343" t="str"/>
          <cell r="L343" t="str"/>
          <cell r="M343" t="str"/>
          <cell r="N343" t="str"/>
          <cell r="O343" t="str"/>
          <cell r="P343" t="str"/>
          <cell r="Q343" t="str"/>
          <cell r="R343" t="str"/>
          <cell r="S343" t="str"/>
        </row>
        <row r="344">
          <cell r="B344" t="str"/>
          <cell r="C344" t="str"/>
          <cell r="D344" t="str"/>
          <cell r="E344" t="str"/>
          <cell r="F344" t="str"/>
          <cell r="G344" t="str"/>
          <cell r="H344" t="str"/>
          <cell r="I344" t="str"/>
          <cell r="J344" t="str"/>
          <cell r="K344" t="str"/>
          <cell r="L344" t="str"/>
          <cell r="M344" t="str"/>
          <cell r="N344" t="str"/>
          <cell r="O344" t="str"/>
          <cell r="P344" t="str"/>
          <cell r="Q344" t="str"/>
          <cell r="R344" t="str"/>
          <cell r="S344" t="str"/>
        </row>
        <row r="345">
          <cell r="B345" t="str"/>
          <cell r="C345" t="str"/>
          <cell r="D345" t="str"/>
          <cell r="E345" t="str"/>
          <cell r="F345" t="str"/>
          <cell r="G345" t="str"/>
          <cell r="H345" t="str"/>
          <cell r="I345" t="str"/>
          <cell r="J345" t="str"/>
          <cell r="K345" t="str"/>
          <cell r="L345" t="str"/>
          <cell r="M345" t="str"/>
          <cell r="N345" t="str"/>
          <cell r="O345" t="str"/>
          <cell r="P345" t="str"/>
          <cell r="Q345" t="str"/>
          <cell r="R345" t="str"/>
          <cell r="S345" t="str"/>
        </row>
        <row r="346">
          <cell r="B346" t="str"/>
          <cell r="C346" t="str"/>
          <cell r="D346" t="str"/>
          <cell r="E346" t="str"/>
          <cell r="F346" t="str"/>
          <cell r="G346" t="str"/>
          <cell r="H346" t="str"/>
          <cell r="I346" t="str"/>
          <cell r="J346" t="str"/>
          <cell r="K346" t="str"/>
          <cell r="L346" t="str"/>
          <cell r="M346" t="str"/>
          <cell r="N346" t="str"/>
          <cell r="O346" t="str"/>
          <cell r="P346" t="str"/>
          <cell r="Q346" t="str"/>
          <cell r="R346" t="str"/>
          <cell r="S346" t="str"/>
        </row>
        <row r="347">
          <cell r="B347" t="str"/>
          <cell r="C347" t="str"/>
          <cell r="D347" t="str"/>
          <cell r="E347" t="str"/>
          <cell r="F347" t="str"/>
          <cell r="G347" t="str"/>
          <cell r="H347" t="str"/>
          <cell r="I347" t="str"/>
          <cell r="J347" t="str"/>
          <cell r="K347" t="str"/>
          <cell r="L347" t="str"/>
          <cell r="M347" t="str"/>
          <cell r="N347" t="str"/>
          <cell r="O347" t="str"/>
          <cell r="P347" t="str"/>
          <cell r="Q347" t="str"/>
          <cell r="R347" t="str"/>
          <cell r="S347" t="str"/>
        </row>
        <row r="348">
          <cell r="B348" t="str"/>
          <cell r="C348" t="str"/>
          <cell r="D348" t="str"/>
          <cell r="E348" t="str"/>
          <cell r="F348" t="str"/>
          <cell r="G348" t="str"/>
          <cell r="H348" t="str"/>
          <cell r="I348" t="str"/>
          <cell r="J348" t="str"/>
          <cell r="K348" t="str"/>
          <cell r="L348" t="str"/>
          <cell r="M348" t="str"/>
          <cell r="N348" t="str"/>
          <cell r="O348" t="str"/>
          <cell r="P348" t="str"/>
          <cell r="Q348" t="str"/>
          <cell r="R348" t="str"/>
          <cell r="S348" t="str"/>
        </row>
        <row r="349">
          <cell r="B349" t="str"/>
          <cell r="C349" t="str"/>
          <cell r="D349" t="str"/>
          <cell r="E349" t="str"/>
          <cell r="F349" t="str"/>
          <cell r="G349" t="str"/>
          <cell r="H349" t="str"/>
          <cell r="I349" t="str"/>
          <cell r="J349" t="str"/>
          <cell r="K349" t="str"/>
          <cell r="L349" t="str"/>
          <cell r="M349" t="str"/>
          <cell r="N349" t="str"/>
          <cell r="O349" t="str"/>
          <cell r="P349" t="str"/>
          <cell r="Q349" t="str"/>
          <cell r="R349" t="str"/>
          <cell r="S349" t="str"/>
        </row>
        <row r="350">
          <cell r="B350" t="str"/>
          <cell r="C350" t="str"/>
          <cell r="D350" t="str"/>
          <cell r="E350" t="str"/>
          <cell r="F350" t="str"/>
          <cell r="G350" t="str"/>
          <cell r="H350" t="str"/>
          <cell r="I350" t="str"/>
          <cell r="J350" t="str"/>
          <cell r="K350" t="str"/>
          <cell r="L350" t="str"/>
          <cell r="M350" t="str"/>
          <cell r="N350" t="str"/>
          <cell r="O350" t="str"/>
          <cell r="P350" t="str"/>
          <cell r="Q350" t="str"/>
          <cell r="R350" t="str"/>
          <cell r="S350" t="str"/>
        </row>
        <row r="351">
          <cell r="B351" t="str"/>
          <cell r="C351" t="str"/>
          <cell r="D351" t="str"/>
          <cell r="E351" t="str"/>
          <cell r="F351" t="str"/>
          <cell r="G351" t="str"/>
          <cell r="H351" t="str"/>
          <cell r="I351" t="str"/>
          <cell r="J351" t="str"/>
          <cell r="K351" t="str"/>
          <cell r="L351" t="str"/>
          <cell r="M351" t="str"/>
          <cell r="N351" t="str"/>
          <cell r="O351" t="str"/>
          <cell r="P351" t="str"/>
          <cell r="Q351" t="str"/>
          <cell r="R351" t="str"/>
          <cell r="S351" t="str"/>
        </row>
        <row r="352">
          <cell r="B352" t="str"/>
          <cell r="C352" t="str"/>
          <cell r="D352" t="str"/>
          <cell r="E352" t="str"/>
          <cell r="F352" t="str"/>
          <cell r="G352" t="str"/>
          <cell r="H352" t="str"/>
          <cell r="I352" t="str"/>
          <cell r="J352" t="str"/>
          <cell r="K352" t="str"/>
          <cell r="L352" t="str"/>
          <cell r="M352" t="str"/>
          <cell r="N352" t="str"/>
          <cell r="O352" t="str"/>
          <cell r="P352" t="str"/>
          <cell r="Q352" t="str"/>
          <cell r="R352" t="str"/>
          <cell r="S352" t="str"/>
        </row>
        <row r="353">
          <cell r="B353" t="str"/>
          <cell r="C353" t="str"/>
          <cell r="D353" t="str"/>
          <cell r="E353" t="str"/>
          <cell r="F353" t="str"/>
          <cell r="G353" t="str"/>
          <cell r="H353" t="str"/>
          <cell r="I353" t="str"/>
          <cell r="J353" t="str"/>
          <cell r="K353" t="str"/>
          <cell r="L353" t="str"/>
          <cell r="M353" t="str"/>
          <cell r="N353" t="str"/>
          <cell r="O353" t="str"/>
          <cell r="P353" t="str"/>
          <cell r="Q353" t="str"/>
          <cell r="R353" t="str"/>
          <cell r="S353" t="str"/>
        </row>
        <row r="354">
          <cell r="B354" t="str"/>
          <cell r="C354" t="str"/>
          <cell r="D354" t="str"/>
          <cell r="E354" t="str"/>
          <cell r="F354" t="str"/>
          <cell r="G354" t="str"/>
          <cell r="H354" t="str"/>
          <cell r="I354" t="str"/>
          <cell r="J354" t="str"/>
          <cell r="K354" t="str"/>
          <cell r="L354" t="str"/>
          <cell r="M354" t="str"/>
          <cell r="N354" t="str"/>
          <cell r="O354" t="str"/>
          <cell r="P354" t="str"/>
          <cell r="Q354" t="str"/>
          <cell r="R354" t="str"/>
          <cell r="S354" t="str"/>
        </row>
        <row r="355">
          <cell r="B355" t="str"/>
          <cell r="C355" t="str"/>
          <cell r="D355" t="str"/>
          <cell r="E355" t="str"/>
          <cell r="F355" t="str"/>
          <cell r="G355" t="str"/>
          <cell r="H355" t="str"/>
          <cell r="I355" t="str"/>
          <cell r="J355" t="str"/>
          <cell r="K355" t="str"/>
          <cell r="L355" t="str"/>
          <cell r="M355" t="str"/>
          <cell r="N355" t="str"/>
          <cell r="O355" t="str"/>
          <cell r="P355" t="str"/>
          <cell r="Q355" t="str"/>
          <cell r="R355" t="str"/>
          <cell r="S355" t="str"/>
        </row>
        <row r="356">
          <cell r="B356" t="str"/>
          <cell r="C356" t="str"/>
          <cell r="D356" t="str"/>
          <cell r="E356" t="str"/>
          <cell r="F356" t="str"/>
          <cell r="G356" t="str"/>
          <cell r="H356" t="str"/>
          <cell r="I356" t="str"/>
          <cell r="J356" t="str"/>
          <cell r="K356" t="str"/>
          <cell r="L356" t="str"/>
          <cell r="M356" t="str"/>
          <cell r="N356" t="str"/>
          <cell r="O356" t="str"/>
          <cell r="P356" t="str"/>
          <cell r="Q356" t="str"/>
          <cell r="R356" t="str"/>
          <cell r="S356" t="str"/>
        </row>
        <row r="357">
          <cell r="B357" t="str"/>
          <cell r="C357" t="str"/>
          <cell r="D357" t="str"/>
          <cell r="E357" t="str"/>
          <cell r="F357" t="str"/>
          <cell r="G357" t="str"/>
          <cell r="H357" t="str"/>
          <cell r="I357" t="str"/>
          <cell r="J357" t="str"/>
          <cell r="K357" t="str"/>
          <cell r="L357" t="str"/>
          <cell r="M357" t="str"/>
          <cell r="N357" t="str"/>
          <cell r="O357" t="str"/>
          <cell r="P357" t="str"/>
          <cell r="Q357" t="str"/>
          <cell r="R357" t="str"/>
          <cell r="S357" t="str"/>
        </row>
        <row r="358">
          <cell r="B358" t="str"/>
          <cell r="C358" t="str"/>
          <cell r="D358" t="str"/>
          <cell r="E358" t="str"/>
          <cell r="F358" t="str"/>
          <cell r="G358" t="str"/>
          <cell r="H358" t="str"/>
          <cell r="I358" t="str"/>
          <cell r="J358" t="str"/>
          <cell r="K358" t="str"/>
          <cell r="L358" t="str"/>
          <cell r="M358" t="str"/>
          <cell r="N358" t="str"/>
          <cell r="O358" t="str"/>
          <cell r="P358" t="str"/>
          <cell r="Q358" t="str"/>
          <cell r="R358" t="str"/>
          <cell r="S358" t="str"/>
        </row>
        <row r="359">
          <cell r="B359" t="str"/>
          <cell r="C359" t="str"/>
          <cell r="D359" t="str"/>
          <cell r="E359" t="str"/>
          <cell r="F359" t="str"/>
          <cell r="G359" t="str"/>
          <cell r="H359" t="str"/>
          <cell r="I359" t="str"/>
          <cell r="J359" t="str"/>
          <cell r="K359" t="str"/>
          <cell r="L359" t="str"/>
          <cell r="M359" t="str"/>
          <cell r="N359" t="str"/>
          <cell r="O359" t="str"/>
          <cell r="P359" t="str"/>
          <cell r="Q359" t="str"/>
          <cell r="R359" t="str"/>
          <cell r="S359" t="str"/>
        </row>
        <row r="360">
          <cell r="B360" t="str"/>
          <cell r="C360" t="str"/>
          <cell r="D360" t="str"/>
          <cell r="E360" t="str"/>
          <cell r="F360" t="str"/>
          <cell r="G360" t="str"/>
          <cell r="H360" t="str"/>
          <cell r="I360" t="str"/>
          <cell r="J360" t="str"/>
          <cell r="K360" t="str"/>
          <cell r="L360" t="str"/>
          <cell r="M360" t="str"/>
          <cell r="N360" t="str"/>
          <cell r="O360" t="str"/>
          <cell r="P360" t="str"/>
          <cell r="Q360" t="str"/>
          <cell r="R360" t="str"/>
          <cell r="S360" t="str"/>
        </row>
        <row r="361">
          <cell r="B361" t="str"/>
          <cell r="C361" t="str"/>
          <cell r="D361" t="str"/>
          <cell r="E361" t="str"/>
          <cell r="F361" t="str"/>
          <cell r="G361" t="str"/>
          <cell r="H361" t="str"/>
          <cell r="I361" t="str"/>
          <cell r="J361" t="str"/>
          <cell r="K361" t="str"/>
          <cell r="L361" t="str"/>
          <cell r="M361" t="str"/>
          <cell r="N361" t="str"/>
          <cell r="O361" t="str"/>
          <cell r="P361" t="str"/>
          <cell r="Q361" t="str"/>
          <cell r="R361" t="str"/>
          <cell r="S361" t="str"/>
        </row>
        <row r="362">
          <cell r="B362" t="str"/>
          <cell r="C362" t="str"/>
          <cell r="D362" t="str"/>
          <cell r="E362" t="str"/>
          <cell r="F362" t="str"/>
          <cell r="G362" t="str"/>
          <cell r="H362" t="str"/>
          <cell r="I362" t="str"/>
          <cell r="J362" t="str"/>
          <cell r="K362" t="str"/>
          <cell r="L362" t="str"/>
          <cell r="M362" t="str"/>
          <cell r="N362" t="str"/>
          <cell r="O362" t="str"/>
          <cell r="P362" t="str"/>
          <cell r="Q362" t="str"/>
          <cell r="R362" t="str"/>
          <cell r="S362" t="str"/>
        </row>
        <row r="363">
          <cell r="B363" t="str"/>
          <cell r="C363" t="str"/>
          <cell r="D363" t="str"/>
          <cell r="E363" t="str"/>
          <cell r="F363" t="str"/>
          <cell r="G363" t="str"/>
          <cell r="H363" t="str"/>
          <cell r="I363" t="str"/>
          <cell r="J363" t="str"/>
          <cell r="K363" t="str"/>
          <cell r="L363" t="str"/>
          <cell r="M363" t="str"/>
          <cell r="N363" t="str"/>
          <cell r="O363" t="str"/>
          <cell r="P363" t="str"/>
          <cell r="Q363" t="str"/>
          <cell r="R363" t="str"/>
          <cell r="S363" t="str"/>
        </row>
        <row r="364">
          <cell r="B364" t="str"/>
          <cell r="C364" t="str"/>
          <cell r="D364" t="str"/>
          <cell r="E364" t="str"/>
          <cell r="F364" t="str"/>
          <cell r="G364" t="str"/>
          <cell r="H364" t="str"/>
          <cell r="I364" t="str"/>
          <cell r="J364" t="str"/>
          <cell r="K364" t="str"/>
          <cell r="L364" t="str"/>
          <cell r="M364" t="str"/>
          <cell r="N364" t="str"/>
          <cell r="O364" t="str"/>
          <cell r="P364" t="str"/>
          <cell r="Q364" t="str"/>
          <cell r="R364" t="str"/>
          <cell r="S364" t="str"/>
        </row>
        <row r="365">
          <cell r="B365" t="str"/>
          <cell r="C365" t="str"/>
          <cell r="D365" t="str"/>
          <cell r="E365" t="str"/>
          <cell r="F365" t="str"/>
          <cell r="G365" t="str"/>
          <cell r="H365" t="str"/>
          <cell r="I365" t="str"/>
          <cell r="J365" t="str"/>
          <cell r="K365" t="str"/>
          <cell r="L365" t="str"/>
          <cell r="M365" t="str"/>
          <cell r="N365" t="str"/>
          <cell r="O365" t="str"/>
          <cell r="P365" t="str"/>
          <cell r="Q365" t="str"/>
          <cell r="R365" t="str"/>
          <cell r="S365" t="str"/>
        </row>
        <row r="366">
          <cell r="B366" t="str"/>
          <cell r="C366" t="str"/>
          <cell r="D366" t="str"/>
          <cell r="E366" t="str"/>
          <cell r="F366" t="str"/>
          <cell r="G366" t="str"/>
          <cell r="H366" t="str"/>
          <cell r="I366" t="str"/>
          <cell r="J366" t="str"/>
          <cell r="K366" t="str"/>
          <cell r="L366" t="str"/>
          <cell r="M366" t="str"/>
          <cell r="N366" t="str"/>
          <cell r="O366" t="str"/>
          <cell r="P366" t="str"/>
          <cell r="Q366" t="str"/>
          <cell r="R366" t="str"/>
          <cell r="S366" t="str"/>
        </row>
        <row r="367">
          <cell r="B367" t="str"/>
          <cell r="C367" t="str"/>
          <cell r="D367" t="str"/>
          <cell r="E367" t="str"/>
          <cell r="F367" t="str"/>
          <cell r="G367" t="str"/>
          <cell r="H367" t="str"/>
          <cell r="I367" t="str"/>
          <cell r="J367" t="str"/>
          <cell r="K367" t="str"/>
          <cell r="L367" t="str"/>
          <cell r="M367" t="str"/>
          <cell r="N367" t="str"/>
          <cell r="O367" t="str"/>
          <cell r="P367" t="str"/>
          <cell r="Q367" t="str"/>
          <cell r="R367" t="str"/>
          <cell r="S367" t="str"/>
        </row>
        <row r="368">
          <cell r="B368" t="str"/>
          <cell r="C368" t="str"/>
          <cell r="D368" t="str"/>
          <cell r="E368" t="str"/>
          <cell r="F368" t="str"/>
          <cell r="G368" t="str"/>
          <cell r="H368" t="str"/>
          <cell r="I368" t="str"/>
          <cell r="J368" t="str"/>
          <cell r="K368" t="str"/>
          <cell r="L368" t="str"/>
          <cell r="M368" t="str"/>
          <cell r="N368" t="str"/>
          <cell r="O368" t="str"/>
          <cell r="P368" t="str"/>
          <cell r="Q368" t="str"/>
          <cell r="R368" t="str"/>
          <cell r="S368" t="str"/>
        </row>
        <row r="369">
          <cell r="B369" t="str"/>
          <cell r="C369" t="str"/>
          <cell r="D369" t="str"/>
          <cell r="E369" t="str"/>
          <cell r="F369" t="str"/>
          <cell r="G369" t="str"/>
          <cell r="H369" t="str"/>
          <cell r="I369" t="str"/>
          <cell r="J369" t="str"/>
          <cell r="K369" t="str"/>
          <cell r="L369" t="str"/>
          <cell r="M369" t="str"/>
          <cell r="N369" t="str"/>
          <cell r="O369" t="str"/>
          <cell r="P369" t="str"/>
          <cell r="Q369" t="str"/>
          <cell r="R369" t="str"/>
          <cell r="S369" t="str"/>
        </row>
        <row r="370">
          <cell r="B370" t="str"/>
          <cell r="C370" t="str"/>
          <cell r="D370" t="str"/>
          <cell r="E370" t="str"/>
          <cell r="F370" t="str"/>
          <cell r="G370" t="str"/>
          <cell r="H370" t="str"/>
          <cell r="I370" t="str"/>
          <cell r="J370" t="str"/>
          <cell r="K370" t="str"/>
          <cell r="L370" t="str"/>
          <cell r="M370" t="str"/>
          <cell r="N370" t="str"/>
          <cell r="O370" t="str"/>
          <cell r="P370" t="str"/>
          <cell r="Q370" t="str"/>
          <cell r="R370" t="str"/>
          <cell r="S370" t="str"/>
        </row>
        <row r="371">
          <cell r="B371" t="str"/>
          <cell r="C371" t="str"/>
          <cell r="D371" t="str"/>
          <cell r="E371" t="str"/>
          <cell r="F371" t="str"/>
          <cell r="G371" t="str"/>
          <cell r="H371" t="str"/>
          <cell r="I371" t="str"/>
          <cell r="J371" t="str"/>
          <cell r="K371" t="str"/>
          <cell r="L371" t="str"/>
          <cell r="M371" t="str"/>
          <cell r="N371" t="str"/>
          <cell r="O371" t="str"/>
          <cell r="P371" t="str"/>
          <cell r="Q371" t="str"/>
          <cell r="R371" t="str"/>
          <cell r="S371" t="str"/>
        </row>
        <row r="372">
          <cell r="B372" t="str"/>
          <cell r="C372" t="str"/>
          <cell r="D372" t="str"/>
          <cell r="E372" t="str"/>
          <cell r="F372" t="str"/>
          <cell r="G372" t="str"/>
          <cell r="H372" t="str"/>
          <cell r="I372" t="str"/>
          <cell r="J372" t="str"/>
          <cell r="K372" t="str"/>
          <cell r="L372" t="str"/>
          <cell r="M372" t="str"/>
          <cell r="N372" t="str"/>
          <cell r="O372" t="str"/>
          <cell r="P372" t="str"/>
          <cell r="Q372" t="str"/>
          <cell r="R372" t="str"/>
          <cell r="S372" t="str"/>
        </row>
        <row r="373">
          <cell r="B373" t="str"/>
          <cell r="C373" t="str"/>
          <cell r="D373" t="str"/>
          <cell r="E373" t="str"/>
          <cell r="F373" t="str"/>
          <cell r="G373" t="str"/>
          <cell r="H373" t="str"/>
          <cell r="I373" t="str"/>
          <cell r="J373" t="str"/>
          <cell r="K373" t="str"/>
          <cell r="L373" t="str"/>
          <cell r="M373" t="str"/>
          <cell r="N373" t="str"/>
          <cell r="O373" t="str"/>
          <cell r="P373" t="str"/>
          <cell r="Q373" t="str"/>
          <cell r="R373" t="str"/>
          <cell r="S373" t="str"/>
        </row>
        <row r="374">
          <cell r="B374" t="str"/>
          <cell r="C374" t="str"/>
          <cell r="D374" t="str"/>
          <cell r="E374" t="str"/>
          <cell r="F374" t="str"/>
          <cell r="G374" t="str"/>
          <cell r="H374" t="str"/>
          <cell r="I374" t="str"/>
          <cell r="J374" t="str"/>
          <cell r="K374" t="str"/>
          <cell r="L374" t="str"/>
          <cell r="M374" t="str"/>
          <cell r="N374" t="str"/>
          <cell r="O374" t="str"/>
          <cell r="P374" t="str"/>
          <cell r="Q374" t="str"/>
          <cell r="R374" t="str"/>
          <cell r="S374" t="str"/>
        </row>
        <row r="375">
          <cell r="B375" t="str"/>
          <cell r="C375" t="str"/>
          <cell r="D375" t="str"/>
          <cell r="E375" t="str"/>
          <cell r="F375" t="str"/>
          <cell r="G375" t="str"/>
          <cell r="H375" t="str"/>
          <cell r="I375" t="str"/>
          <cell r="J375" t="str"/>
          <cell r="K375" t="str"/>
          <cell r="L375" t="str"/>
          <cell r="M375" t="str"/>
          <cell r="N375" t="str"/>
          <cell r="O375" t="str"/>
          <cell r="P375" t="str"/>
          <cell r="Q375" t="str"/>
          <cell r="R375" t="str"/>
          <cell r="S375" t="str"/>
        </row>
        <row r="376">
          <cell r="B376" t="str"/>
          <cell r="C376" t="str"/>
          <cell r="D376" t="str"/>
          <cell r="E376" t="str"/>
          <cell r="F376" t="str"/>
          <cell r="G376" t="str"/>
          <cell r="H376" t="str"/>
          <cell r="I376" t="str"/>
          <cell r="J376" t="str"/>
          <cell r="K376" t="str"/>
          <cell r="L376" t="str"/>
          <cell r="M376" t="str"/>
          <cell r="N376" t="str"/>
          <cell r="O376" t="str"/>
          <cell r="P376" t="str"/>
          <cell r="Q376" t="str"/>
          <cell r="R376" t="str"/>
          <cell r="S376" t="str"/>
        </row>
        <row r="377">
          <cell r="B377" t="str"/>
          <cell r="C377" t="str"/>
          <cell r="D377" t="str"/>
          <cell r="E377" t="str"/>
          <cell r="F377" t="str"/>
          <cell r="G377" t="str"/>
          <cell r="H377" t="str"/>
          <cell r="I377" t="str"/>
          <cell r="J377" t="str"/>
          <cell r="K377" t="str"/>
          <cell r="L377" t="str"/>
          <cell r="M377" t="str"/>
          <cell r="N377" t="str"/>
          <cell r="O377" t="str"/>
          <cell r="P377" t="str"/>
          <cell r="Q377" t="str"/>
          <cell r="R377" t="str"/>
          <cell r="S377" t="str"/>
        </row>
        <row r="378">
          <cell r="B378" t="str"/>
          <cell r="C378" t="str"/>
          <cell r="D378" t="str"/>
          <cell r="E378" t="str"/>
          <cell r="F378" t="str"/>
          <cell r="G378" t="str"/>
          <cell r="H378" t="str"/>
          <cell r="I378" t="str"/>
          <cell r="J378" t="str"/>
          <cell r="K378" t="str"/>
          <cell r="L378" t="str"/>
          <cell r="M378" t="str"/>
          <cell r="N378" t="str"/>
          <cell r="O378" t="str"/>
          <cell r="P378" t="str"/>
          <cell r="Q378" t="str"/>
          <cell r="R378" t="str"/>
          <cell r="S378" t="str"/>
        </row>
        <row r="379">
          <cell r="B379" t="str"/>
          <cell r="C379" t="str"/>
          <cell r="D379" t="str"/>
          <cell r="E379" t="str"/>
          <cell r="F379" t="str"/>
          <cell r="G379" t="str"/>
          <cell r="H379" t="str"/>
          <cell r="I379" t="str"/>
          <cell r="J379" t="str"/>
          <cell r="K379" t="str"/>
          <cell r="L379" t="str"/>
          <cell r="M379" t="str"/>
          <cell r="N379" t="str"/>
          <cell r="O379" t="str"/>
          <cell r="P379" t="str"/>
          <cell r="Q379" t="str"/>
          <cell r="R379" t="str"/>
          <cell r="S379" t="str"/>
        </row>
        <row r="380">
          <cell r="B380" t="str"/>
          <cell r="C380" t="str"/>
          <cell r="D380" t="str"/>
          <cell r="E380" t="str"/>
          <cell r="F380" t="str"/>
          <cell r="G380" t="str"/>
          <cell r="H380" t="str"/>
          <cell r="I380" t="str"/>
          <cell r="J380" t="str"/>
          <cell r="K380" t="str"/>
          <cell r="L380" t="str"/>
          <cell r="M380" t="str"/>
          <cell r="N380" t="str"/>
          <cell r="O380" t="str"/>
          <cell r="P380" t="str"/>
          <cell r="Q380" t="str"/>
          <cell r="R380" t="str"/>
          <cell r="S380" t="str"/>
        </row>
        <row r="381">
          <cell r="B381" t="str"/>
          <cell r="C381" t="str"/>
          <cell r="D381" t="str"/>
          <cell r="E381" t="str"/>
          <cell r="F381" t="str"/>
          <cell r="G381" t="str"/>
          <cell r="H381" t="str"/>
          <cell r="I381" t="str"/>
          <cell r="J381" t="str"/>
          <cell r="K381" t="str"/>
          <cell r="L381" t="str"/>
          <cell r="M381" t="str"/>
          <cell r="N381" t="str"/>
          <cell r="O381" t="str"/>
          <cell r="P381" t="str"/>
          <cell r="Q381" t="str"/>
          <cell r="R381" t="str"/>
          <cell r="S381" t="str"/>
        </row>
        <row r="382">
          <cell r="B382" t="str"/>
          <cell r="C382" t="str"/>
          <cell r="D382" t="str"/>
          <cell r="E382" t="str"/>
          <cell r="F382" t="str"/>
          <cell r="G382" t="str"/>
          <cell r="H382" t="str"/>
          <cell r="I382" t="str"/>
          <cell r="J382" t="str"/>
          <cell r="K382" t="str"/>
          <cell r="L382" t="str"/>
          <cell r="M382" t="str"/>
          <cell r="N382" t="str"/>
          <cell r="O382" t="str"/>
          <cell r="P382" t="str"/>
          <cell r="Q382" t="str"/>
          <cell r="R382" t="str"/>
          <cell r="S382" t="str"/>
        </row>
        <row r="383">
          <cell r="B383" t="str"/>
          <cell r="C383" t="str"/>
          <cell r="D383" t="str"/>
          <cell r="E383" t="str"/>
          <cell r="F383" t="str"/>
          <cell r="G383" t="str"/>
          <cell r="H383" t="str"/>
          <cell r="I383" t="str"/>
          <cell r="J383" t="str"/>
          <cell r="K383" t="str"/>
          <cell r="L383" t="str"/>
          <cell r="M383" t="str"/>
          <cell r="N383" t="str"/>
          <cell r="O383" t="str"/>
          <cell r="P383" t="str"/>
          <cell r="Q383" t="str"/>
          <cell r="R383" t="str"/>
          <cell r="S383" t="str"/>
        </row>
        <row r="384">
          <cell r="B384" t="str"/>
          <cell r="C384" t="str"/>
          <cell r="D384" t="str"/>
          <cell r="E384" t="str"/>
          <cell r="F384" t="str"/>
          <cell r="G384" t="str"/>
          <cell r="H384" t="str"/>
          <cell r="I384" t="str"/>
          <cell r="J384" t="str"/>
          <cell r="K384" t="str"/>
          <cell r="L384" t="str"/>
          <cell r="M384" t="str"/>
          <cell r="N384" t="str"/>
          <cell r="O384" t="str"/>
          <cell r="P384" t="str"/>
          <cell r="Q384" t="str"/>
          <cell r="R384" t="str"/>
          <cell r="S384" t="str"/>
        </row>
        <row r="385">
          <cell r="B385" t="str"/>
          <cell r="C385" t="str"/>
          <cell r="D385" t="str"/>
          <cell r="E385" t="str"/>
          <cell r="F385" t="str"/>
          <cell r="G385" t="str"/>
          <cell r="H385" t="str"/>
          <cell r="I385" t="str"/>
          <cell r="J385" t="str"/>
          <cell r="K385" t="str"/>
          <cell r="L385" t="str"/>
          <cell r="M385" t="str"/>
          <cell r="N385" t="str"/>
          <cell r="O385" t="str"/>
          <cell r="P385" t="str"/>
          <cell r="Q385" t="str"/>
          <cell r="R385" t="str"/>
          <cell r="S385" t="str"/>
        </row>
        <row r="386">
          <cell r="B386" t="str"/>
          <cell r="C386" t="str"/>
          <cell r="D386" t="str"/>
          <cell r="E386" t="str"/>
          <cell r="F386" t="str"/>
          <cell r="G386" t="str"/>
          <cell r="H386" t="str"/>
          <cell r="I386" t="str"/>
          <cell r="J386" t="str"/>
          <cell r="K386" t="str"/>
          <cell r="L386" t="str"/>
          <cell r="M386" t="str"/>
          <cell r="N386" t="str"/>
          <cell r="O386" t="str"/>
          <cell r="P386" t="str"/>
          <cell r="Q386" t="str"/>
          <cell r="R386" t="str"/>
          <cell r="S386" t="str"/>
        </row>
        <row r="387">
          <cell r="B387" t="str"/>
          <cell r="C387" t="str"/>
          <cell r="D387" t="str"/>
          <cell r="E387" t="str"/>
          <cell r="F387" t="str"/>
          <cell r="G387" t="str"/>
          <cell r="H387" t="str"/>
          <cell r="I387" t="str"/>
          <cell r="J387" t="str"/>
          <cell r="K387" t="str"/>
          <cell r="L387" t="str"/>
          <cell r="M387" t="str"/>
          <cell r="N387" t="str"/>
          <cell r="O387" t="str"/>
          <cell r="P387" t="str"/>
          <cell r="Q387" t="str"/>
          <cell r="R387" t="str"/>
          <cell r="S387" t="str"/>
        </row>
        <row r="388">
          <cell r="B388" t="str"/>
          <cell r="C388" t="str"/>
          <cell r="D388" t="str"/>
          <cell r="E388" t="str"/>
          <cell r="F388" t="str"/>
          <cell r="G388" t="str"/>
          <cell r="H388" t="str"/>
          <cell r="I388" t="str"/>
          <cell r="J388" t="str"/>
          <cell r="K388" t="str"/>
          <cell r="L388" t="str"/>
          <cell r="M388" t="str"/>
          <cell r="N388" t="str"/>
          <cell r="O388" t="str"/>
          <cell r="P388" t="str"/>
          <cell r="Q388" t="str"/>
          <cell r="R388" t="str"/>
          <cell r="S388" t="str"/>
        </row>
        <row r="389">
          <cell r="B389" t="str"/>
          <cell r="C389" t="str"/>
          <cell r="D389" t="str"/>
          <cell r="E389" t="str"/>
          <cell r="F389" t="str"/>
          <cell r="G389" t="str"/>
          <cell r="H389" t="str"/>
          <cell r="I389" t="str"/>
          <cell r="J389" t="str"/>
          <cell r="K389" t="str"/>
          <cell r="L389" t="str"/>
          <cell r="M389" t="str"/>
          <cell r="N389" t="str"/>
          <cell r="O389" t="str"/>
          <cell r="P389" t="str"/>
          <cell r="Q389" t="str"/>
          <cell r="R389" t="str"/>
          <cell r="S389" t="str"/>
        </row>
        <row r="390">
          <cell r="B390" t="str"/>
          <cell r="C390" t="str"/>
          <cell r="D390" t="str"/>
          <cell r="E390" t="str"/>
          <cell r="F390" t="str"/>
          <cell r="G390" t="str"/>
          <cell r="H390" t="str"/>
          <cell r="I390" t="str"/>
          <cell r="J390" t="str"/>
          <cell r="K390" t="str"/>
          <cell r="L390" t="str"/>
          <cell r="M390" t="str"/>
          <cell r="N390" t="str"/>
          <cell r="O390" t="str"/>
          <cell r="P390" t="str"/>
          <cell r="Q390" t="str"/>
          <cell r="R390" t="str"/>
          <cell r="S390" t="str"/>
        </row>
        <row r="391">
          <cell r="B391" t="str"/>
          <cell r="C391" t="str"/>
          <cell r="D391" t="str"/>
          <cell r="E391" t="str"/>
          <cell r="F391" t="str"/>
          <cell r="G391" t="str"/>
          <cell r="H391" t="str"/>
          <cell r="I391" t="str"/>
          <cell r="J391" t="str"/>
          <cell r="K391" t="str"/>
          <cell r="L391" t="str"/>
          <cell r="M391" t="str"/>
          <cell r="N391" t="str"/>
          <cell r="O391" t="str"/>
          <cell r="P391" t="str"/>
          <cell r="Q391" t="str"/>
          <cell r="R391" t="str"/>
          <cell r="S391" t="str"/>
        </row>
        <row r="392">
          <cell r="B392" t="str"/>
          <cell r="C392" t="str"/>
          <cell r="D392" t="str"/>
          <cell r="E392" t="str"/>
          <cell r="F392" t="str"/>
          <cell r="G392" t="str"/>
          <cell r="H392" t="str"/>
          <cell r="I392" t="str"/>
          <cell r="J392" t="str"/>
          <cell r="K392" t="str"/>
          <cell r="L392" t="str"/>
          <cell r="M392" t="str"/>
          <cell r="N392" t="str"/>
          <cell r="O392" t="str"/>
          <cell r="P392" t="str"/>
          <cell r="Q392" t="str"/>
          <cell r="R392" t="str"/>
          <cell r="S392" t="str"/>
        </row>
        <row r="393">
          <cell r="B393" t="str"/>
          <cell r="C393" t="str"/>
          <cell r="D393" t="str"/>
          <cell r="E393" t="str"/>
          <cell r="F393" t="str"/>
          <cell r="G393" t="str"/>
          <cell r="H393" t="str"/>
          <cell r="I393" t="str"/>
          <cell r="J393" t="str"/>
          <cell r="K393" t="str"/>
          <cell r="L393" t="str"/>
          <cell r="M393" t="str"/>
          <cell r="N393" t="str"/>
          <cell r="O393" t="str"/>
          <cell r="P393" t="str"/>
          <cell r="Q393" t="str"/>
          <cell r="R393" t="str"/>
          <cell r="S393" t="str"/>
        </row>
        <row r="394">
          <cell r="B394" t="str"/>
          <cell r="C394" t="str"/>
          <cell r="D394" t="str"/>
          <cell r="E394" t="str"/>
          <cell r="F394" t="str"/>
          <cell r="G394" t="str"/>
          <cell r="H394" t="str"/>
          <cell r="I394" t="str"/>
          <cell r="J394" t="str"/>
          <cell r="K394" t="str"/>
          <cell r="L394" t="str"/>
          <cell r="M394" t="str"/>
          <cell r="N394" t="str"/>
          <cell r="O394" t="str"/>
          <cell r="P394" t="str"/>
          <cell r="Q394" t="str"/>
          <cell r="R394" t="str"/>
          <cell r="S394" t="str"/>
        </row>
        <row r="395">
          <cell r="B395" t="str"/>
          <cell r="C395" t="str"/>
          <cell r="D395" t="str"/>
          <cell r="E395" t="str"/>
          <cell r="F395" t="str"/>
          <cell r="G395" t="str"/>
          <cell r="H395" t="str"/>
          <cell r="I395" t="str"/>
          <cell r="J395" t="str"/>
          <cell r="K395" t="str"/>
          <cell r="L395" t="str"/>
          <cell r="M395" t="str"/>
          <cell r="N395" t="str"/>
          <cell r="O395" t="str"/>
          <cell r="P395" t="str"/>
          <cell r="Q395" t="str"/>
          <cell r="R395" t="str"/>
          <cell r="S395" t="str"/>
        </row>
        <row r="396">
          <cell r="B396" t="str"/>
          <cell r="C396" t="str"/>
          <cell r="D396" t="str"/>
          <cell r="E396" t="str"/>
          <cell r="F396" t="str"/>
          <cell r="G396" t="str"/>
          <cell r="H396" t="str"/>
          <cell r="I396" t="str"/>
          <cell r="J396" t="str"/>
          <cell r="K396" t="str"/>
          <cell r="L396" t="str"/>
          <cell r="M396" t="str"/>
          <cell r="N396" t="str"/>
          <cell r="O396" t="str"/>
          <cell r="P396" t="str"/>
          <cell r="Q396" t="str"/>
          <cell r="R396" t="str"/>
          <cell r="S396" t="str"/>
        </row>
        <row r="397">
          <cell r="B397" t="str"/>
          <cell r="C397" t="str"/>
          <cell r="D397" t="str"/>
          <cell r="E397" t="str"/>
          <cell r="F397" t="str"/>
          <cell r="G397" t="str"/>
          <cell r="H397" t="str"/>
          <cell r="I397" t="str"/>
          <cell r="J397" t="str"/>
          <cell r="K397" t="str"/>
          <cell r="L397" t="str"/>
          <cell r="M397" t="str"/>
          <cell r="N397" t="str"/>
          <cell r="O397" t="str"/>
          <cell r="P397" t="str"/>
          <cell r="Q397" t="str"/>
          <cell r="R397" t="str"/>
          <cell r="S397" t="str"/>
        </row>
        <row r="398">
          <cell r="B398" t="str"/>
          <cell r="C398" t="str"/>
          <cell r="D398" t="str"/>
          <cell r="E398" t="str"/>
          <cell r="F398" t="str"/>
          <cell r="G398" t="str"/>
          <cell r="H398" t="str"/>
          <cell r="I398" t="str"/>
          <cell r="J398" t="str"/>
          <cell r="K398" t="str"/>
          <cell r="L398" t="str"/>
          <cell r="M398" t="str"/>
          <cell r="N398" t="str"/>
          <cell r="O398" t="str"/>
          <cell r="P398" t="str"/>
          <cell r="Q398" t="str"/>
          <cell r="R398" t="str"/>
          <cell r="S398" t="str"/>
        </row>
        <row r="399">
          <cell r="B399" t="str"/>
          <cell r="C399" t="str"/>
          <cell r="D399" t="str"/>
          <cell r="E399" t="str"/>
          <cell r="F399" t="str"/>
          <cell r="G399" t="str"/>
          <cell r="H399" t="str"/>
          <cell r="I399" t="str"/>
          <cell r="J399" t="str"/>
          <cell r="K399" t="str"/>
          <cell r="L399" t="str"/>
          <cell r="M399" t="str"/>
          <cell r="N399" t="str"/>
          <cell r="O399" t="str"/>
          <cell r="P399" t="str"/>
          <cell r="Q399" t="str"/>
          <cell r="R399" t="str"/>
          <cell r="S399" t="str"/>
        </row>
        <row r="400">
          <cell r="B400" t="str"/>
          <cell r="C400" t="str"/>
          <cell r="D400" t="str"/>
          <cell r="E400" t="str"/>
          <cell r="F400" t="str"/>
          <cell r="G400" t="str"/>
          <cell r="H400" t="str"/>
          <cell r="I400" t="str"/>
          <cell r="J400" t="str"/>
          <cell r="K400" t="str"/>
          <cell r="L400" t="str"/>
          <cell r="M400" t="str"/>
          <cell r="N400" t="str"/>
          <cell r="O400" t="str"/>
          <cell r="P400" t="str"/>
          <cell r="Q400" t="str"/>
          <cell r="R400" t="str"/>
          <cell r="S400" t="str"/>
        </row>
        <row r="401">
          <cell r="B401" t="str"/>
          <cell r="C401" t="str"/>
          <cell r="D401" t="str"/>
          <cell r="E401" t="str"/>
          <cell r="F401" t="str"/>
          <cell r="G401" t="str"/>
          <cell r="H401" t="str"/>
          <cell r="I401" t="str"/>
          <cell r="J401" t="str"/>
          <cell r="K401" t="str"/>
          <cell r="L401" t="str"/>
          <cell r="M401" t="str"/>
          <cell r="N401" t="str"/>
          <cell r="O401" t="str"/>
          <cell r="P401" t="str"/>
          <cell r="Q401" t="str"/>
          <cell r="R401" t="str"/>
          <cell r="S401" t="str"/>
        </row>
        <row r="402">
          <cell r="B402" t="str"/>
          <cell r="C402" t="str"/>
          <cell r="D402" t="str"/>
          <cell r="E402" t="str"/>
          <cell r="F402" t="str"/>
          <cell r="G402" t="str"/>
          <cell r="H402" t="str"/>
          <cell r="I402" t="str"/>
          <cell r="J402" t="str"/>
          <cell r="K402" t="str"/>
          <cell r="L402" t="str"/>
          <cell r="M402" t="str"/>
          <cell r="N402" t="str"/>
          <cell r="O402" t="str"/>
          <cell r="P402" t="str"/>
          <cell r="Q402" t="str"/>
          <cell r="R402" t="str"/>
          <cell r="S402" t="str"/>
        </row>
        <row r="403">
          <cell r="B403" t="str"/>
          <cell r="C403" t="str"/>
          <cell r="D403" t="str"/>
          <cell r="E403" t="str"/>
          <cell r="F403" t="str"/>
          <cell r="G403" t="str"/>
          <cell r="H403" t="str"/>
          <cell r="I403" t="str"/>
          <cell r="J403" t="str"/>
          <cell r="K403" t="str"/>
          <cell r="L403" t="str"/>
          <cell r="M403" t="str"/>
          <cell r="N403" t="str"/>
          <cell r="O403" t="str"/>
          <cell r="P403" t="str"/>
          <cell r="Q403" t="str"/>
          <cell r="R403" t="str"/>
          <cell r="S403" t="str"/>
        </row>
        <row r="404">
          <cell r="B404" t="str"/>
          <cell r="C404" t="str"/>
          <cell r="D404" t="str"/>
          <cell r="E404" t="str"/>
          <cell r="F404" t="str"/>
          <cell r="G404" t="str"/>
          <cell r="H404" t="str"/>
          <cell r="I404" t="str"/>
          <cell r="J404" t="str"/>
          <cell r="K404" t="str"/>
          <cell r="L404" t="str"/>
          <cell r="M404" t="str"/>
          <cell r="N404" t="str"/>
          <cell r="O404" t="str"/>
          <cell r="P404" t="str"/>
          <cell r="Q404" t="str"/>
          <cell r="R404" t="str"/>
          <cell r="S404" t="str"/>
        </row>
        <row r="405">
          <cell r="B405" t="str"/>
          <cell r="C405" t="str"/>
          <cell r="D405" t="str"/>
          <cell r="E405" t="str"/>
          <cell r="F405" t="str"/>
          <cell r="G405" t="str"/>
          <cell r="H405" t="str"/>
          <cell r="I405" t="str"/>
          <cell r="J405" t="str"/>
          <cell r="K405" t="str"/>
          <cell r="L405" t="str"/>
          <cell r="M405" t="str"/>
          <cell r="N405" t="str"/>
          <cell r="O405" t="str"/>
          <cell r="P405" t="str"/>
          <cell r="Q405" t="str"/>
          <cell r="R405" t="str"/>
          <cell r="S405" t="str"/>
        </row>
        <row r="406">
          <cell r="B406" t="str"/>
          <cell r="C406" t="str"/>
          <cell r="D406" t="str"/>
          <cell r="E406" t="str"/>
          <cell r="F406" t="str"/>
          <cell r="G406" t="str"/>
          <cell r="H406" t="str"/>
          <cell r="I406" t="str"/>
          <cell r="J406" t="str"/>
          <cell r="K406" t="str"/>
          <cell r="L406" t="str"/>
          <cell r="M406" t="str"/>
          <cell r="N406" t="str"/>
          <cell r="O406" t="str"/>
          <cell r="P406" t="str"/>
          <cell r="Q406" t="str"/>
          <cell r="R406" t="str"/>
          <cell r="S406" t="str"/>
        </row>
        <row r="407">
          <cell r="B407" t="str"/>
          <cell r="C407" t="str"/>
          <cell r="D407" t="str"/>
          <cell r="E407" t="str"/>
          <cell r="F407" t="str"/>
          <cell r="G407" t="str"/>
          <cell r="H407" t="str"/>
          <cell r="I407" t="str"/>
          <cell r="J407" t="str"/>
          <cell r="K407" t="str"/>
          <cell r="L407" t="str"/>
          <cell r="M407" t="str"/>
          <cell r="N407" t="str"/>
          <cell r="O407" t="str"/>
          <cell r="P407" t="str"/>
          <cell r="Q407" t="str"/>
          <cell r="R407" t="str"/>
          <cell r="S407" t="str"/>
        </row>
        <row r="408">
          <cell r="B408" t="str"/>
          <cell r="C408" t="str"/>
          <cell r="D408" t="str"/>
          <cell r="E408" t="str"/>
          <cell r="F408" t="str"/>
          <cell r="G408" t="str"/>
          <cell r="H408" t="str"/>
          <cell r="I408" t="str"/>
          <cell r="J408" t="str"/>
          <cell r="K408" t="str"/>
          <cell r="L408" t="str"/>
          <cell r="M408" t="str"/>
          <cell r="N408" t="str"/>
          <cell r="O408" t="str"/>
          <cell r="P408" t="str"/>
          <cell r="Q408" t="str"/>
          <cell r="R408" t="str"/>
          <cell r="S408" t="str"/>
        </row>
        <row r="409">
          <cell r="B409" t="str"/>
          <cell r="C409" t="str"/>
          <cell r="D409" t="str"/>
          <cell r="E409" t="str"/>
          <cell r="F409" t="str"/>
          <cell r="G409" t="str"/>
          <cell r="H409" t="str"/>
          <cell r="I409" t="str"/>
          <cell r="J409" t="str"/>
          <cell r="K409" t="str"/>
          <cell r="L409" t="str"/>
          <cell r="M409" t="str"/>
          <cell r="N409" t="str"/>
          <cell r="O409" t="str"/>
          <cell r="P409" t="str"/>
          <cell r="Q409" t="str"/>
          <cell r="R409" t="str"/>
          <cell r="S409" t="str"/>
        </row>
        <row r="410">
          <cell r="B410" t="str"/>
          <cell r="C410" t="str"/>
          <cell r="D410" t="str"/>
          <cell r="E410" t="str"/>
          <cell r="F410" t="str"/>
          <cell r="G410" t="str"/>
          <cell r="H410" t="str"/>
          <cell r="I410" t="str"/>
          <cell r="J410" t="str"/>
          <cell r="K410" t="str"/>
          <cell r="L410" t="str"/>
          <cell r="M410" t="str"/>
          <cell r="N410" t="str"/>
          <cell r="O410" t="str"/>
          <cell r="P410" t="str"/>
          <cell r="Q410" t="str"/>
          <cell r="R410" t="str"/>
          <cell r="S410" t="str"/>
        </row>
        <row r="411">
          <cell r="B411" t="str"/>
          <cell r="C411" t="str"/>
          <cell r="D411" t="str"/>
          <cell r="E411" t="str"/>
          <cell r="F411" t="str"/>
          <cell r="G411" t="str"/>
          <cell r="H411" t="str"/>
          <cell r="I411" t="str"/>
          <cell r="J411" t="str"/>
          <cell r="K411" t="str"/>
          <cell r="L411" t="str"/>
          <cell r="M411" t="str"/>
          <cell r="N411" t="str"/>
          <cell r="O411" t="str"/>
          <cell r="P411" t="str"/>
          <cell r="Q411" t="str"/>
          <cell r="R411" t="str"/>
          <cell r="S411" t="str"/>
        </row>
        <row r="412">
          <cell r="B412" t="str"/>
          <cell r="C412" t="str"/>
          <cell r="D412" t="str"/>
          <cell r="E412" t="str"/>
          <cell r="F412" t="str"/>
          <cell r="G412" t="str"/>
          <cell r="H412" t="str"/>
          <cell r="I412" t="str"/>
          <cell r="J412" t="str"/>
          <cell r="K412" t="str"/>
          <cell r="L412" t="str"/>
          <cell r="M412" t="str"/>
          <cell r="N412" t="str"/>
          <cell r="O412" t="str"/>
          <cell r="P412" t="str"/>
          <cell r="Q412" t="str"/>
          <cell r="R412" t="str"/>
          <cell r="S412" t="str"/>
        </row>
        <row r="413">
          <cell r="B413" t="str"/>
          <cell r="C413" t="str"/>
          <cell r="D413" t="str"/>
          <cell r="E413" t="str"/>
          <cell r="F413" t="str"/>
          <cell r="G413" t="str"/>
          <cell r="H413" t="str"/>
          <cell r="I413" t="str"/>
          <cell r="J413" t="str"/>
          <cell r="K413" t="str"/>
          <cell r="L413" t="str"/>
          <cell r="M413" t="str"/>
          <cell r="N413" t="str"/>
          <cell r="O413" t="str"/>
          <cell r="P413" t="str"/>
          <cell r="Q413" t="str"/>
          <cell r="R413" t="str"/>
          <cell r="S413" t="str"/>
        </row>
        <row r="414">
          <cell r="B414" t="str"/>
          <cell r="C414" t="str"/>
          <cell r="D414" t="str"/>
          <cell r="E414" t="str"/>
          <cell r="F414" t="str"/>
          <cell r="G414" t="str"/>
          <cell r="H414" t="str"/>
          <cell r="I414" t="str"/>
          <cell r="J414" t="str"/>
          <cell r="K414" t="str"/>
          <cell r="L414" t="str"/>
          <cell r="M414" t="str"/>
          <cell r="N414" t="str"/>
          <cell r="O414" t="str"/>
          <cell r="P414" t="str"/>
          <cell r="Q414" t="str"/>
          <cell r="R414" t="str"/>
          <cell r="S414" t="str"/>
        </row>
        <row r="415">
          <cell r="B415" t="str"/>
          <cell r="C415" t="str"/>
          <cell r="D415" t="str"/>
          <cell r="E415" t="str"/>
          <cell r="F415" t="str"/>
          <cell r="G415" t="str"/>
          <cell r="H415" t="str"/>
          <cell r="I415" t="str"/>
          <cell r="J415" t="str"/>
          <cell r="K415" t="str"/>
          <cell r="L415" t="str"/>
          <cell r="M415" t="str"/>
          <cell r="N415" t="str"/>
          <cell r="O415" t="str"/>
          <cell r="P415" t="str"/>
          <cell r="Q415" t="str"/>
          <cell r="R415" t="str"/>
          <cell r="S415" t="str"/>
        </row>
        <row r="416">
          <cell r="B416" t="str"/>
          <cell r="C416" t="str"/>
          <cell r="D416" t="str"/>
          <cell r="E416" t="str"/>
          <cell r="F416" t="str"/>
          <cell r="G416" t="str"/>
          <cell r="H416" t="str"/>
          <cell r="I416" t="str"/>
          <cell r="J416" t="str"/>
          <cell r="K416" t="str"/>
          <cell r="L416" t="str"/>
          <cell r="M416" t="str"/>
          <cell r="N416" t="str"/>
          <cell r="O416" t="str"/>
          <cell r="P416" t="str"/>
          <cell r="Q416" t="str"/>
          <cell r="R416" t="str"/>
          <cell r="S416" t="str"/>
        </row>
        <row r="417">
          <cell r="B417" t="str"/>
          <cell r="C417" t="str"/>
          <cell r="D417" t="str"/>
          <cell r="E417" t="str"/>
          <cell r="F417" t="str"/>
          <cell r="G417" t="str"/>
          <cell r="H417" t="str"/>
          <cell r="I417" t="str"/>
          <cell r="J417" t="str"/>
          <cell r="K417" t="str"/>
          <cell r="L417" t="str"/>
          <cell r="M417" t="str"/>
          <cell r="N417" t="str"/>
          <cell r="O417" t="str"/>
          <cell r="P417" t="str"/>
          <cell r="Q417" t="str"/>
          <cell r="R417" t="str"/>
          <cell r="S417" t="str"/>
        </row>
        <row r="418">
          <cell r="B418" t="str"/>
          <cell r="C418" t="str"/>
          <cell r="D418" t="str"/>
          <cell r="E418" t="str"/>
          <cell r="F418" t="str"/>
          <cell r="G418" t="str"/>
          <cell r="H418" t="str"/>
          <cell r="I418" t="str"/>
          <cell r="J418" t="str"/>
          <cell r="K418" t="str"/>
          <cell r="L418" t="str"/>
          <cell r="M418" t="str"/>
          <cell r="N418" t="str"/>
          <cell r="O418" t="str"/>
          <cell r="P418" t="str"/>
          <cell r="Q418" t="str"/>
          <cell r="R418" t="str"/>
          <cell r="S418" t="str"/>
        </row>
        <row r="419">
          <cell r="B419" t="str"/>
          <cell r="C419" t="str"/>
          <cell r="D419" t="str"/>
          <cell r="E419" t="str"/>
          <cell r="F419" t="str"/>
          <cell r="G419" t="str"/>
          <cell r="H419" t="str"/>
          <cell r="I419" t="str"/>
          <cell r="J419" t="str"/>
          <cell r="K419" t="str"/>
          <cell r="L419" t="str"/>
          <cell r="M419" t="str"/>
          <cell r="N419" t="str"/>
          <cell r="O419" t="str"/>
          <cell r="P419" t="str"/>
          <cell r="Q419" t="str"/>
          <cell r="R419" t="str"/>
          <cell r="S419" t="str"/>
        </row>
        <row r="420">
          <cell r="B420" t="str"/>
          <cell r="C420" t="str"/>
          <cell r="D420" t="str"/>
          <cell r="E420" t="str"/>
          <cell r="F420" t="str"/>
          <cell r="G420" t="str"/>
          <cell r="H420" t="str"/>
          <cell r="I420" t="str"/>
          <cell r="J420" t="str"/>
          <cell r="K420" t="str"/>
          <cell r="L420" t="str"/>
          <cell r="M420" t="str"/>
          <cell r="N420" t="str"/>
          <cell r="O420" t="str"/>
          <cell r="P420" t="str"/>
          <cell r="Q420" t="str"/>
          <cell r="R420" t="str"/>
          <cell r="S420" t="str"/>
        </row>
        <row r="421">
          <cell r="B421" t="str"/>
          <cell r="C421" t="str"/>
          <cell r="D421" t="str"/>
          <cell r="E421" t="str"/>
          <cell r="F421" t="str"/>
          <cell r="G421" t="str"/>
          <cell r="H421" t="str"/>
          <cell r="I421" t="str"/>
          <cell r="J421" t="str"/>
          <cell r="K421" t="str"/>
          <cell r="L421" t="str"/>
          <cell r="M421" t="str"/>
          <cell r="N421" t="str"/>
          <cell r="O421" t="str"/>
          <cell r="P421" t="str"/>
          <cell r="Q421" t="str"/>
          <cell r="R421" t="str"/>
          <cell r="S421" t="str"/>
        </row>
        <row r="422">
          <cell r="B422" t="str"/>
          <cell r="C422" t="str"/>
          <cell r="D422" t="str"/>
          <cell r="E422" t="str"/>
          <cell r="F422" t="str"/>
          <cell r="G422" t="str"/>
          <cell r="H422" t="str"/>
          <cell r="I422" t="str"/>
          <cell r="J422" t="str"/>
          <cell r="K422" t="str"/>
          <cell r="L422" t="str"/>
          <cell r="M422" t="str"/>
          <cell r="N422" t="str"/>
          <cell r="O422" t="str"/>
          <cell r="P422" t="str"/>
          <cell r="Q422" t="str"/>
          <cell r="R422" t="str"/>
          <cell r="S422" t="str"/>
        </row>
        <row r="423">
          <cell r="B423" t="str"/>
          <cell r="C423" t="str"/>
          <cell r="D423" t="str"/>
          <cell r="E423" t="str"/>
          <cell r="F423" t="str"/>
          <cell r="G423" t="str"/>
          <cell r="H423" t="str"/>
          <cell r="I423" t="str"/>
          <cell r="J423" t="str"/>
          <cell r="K423" t="str"/>
          <cell r="L423" t="str"/>
          <cell r="M423" t="str"/>
          <cell r="N423" t="str"/>
          <cell r="O423" t="str"/>
          <cell r="P423" t="str"/>
          <cell r="Q423" t="str"/>
          <cell r="R423" t="str"/>
          <cell r="S423" t="str"/>
        </row>
        <row r="424">
          <cell r="B424" t="str"/>
          <cell r="C424" t="str"/>
          <cell r="D424" t="str"/>
          <cell r="E424" t="str"/>
          <cell r="F424" t="str"/>
          <cell r="G424" t="str"/>
          <cell r="H424" t="str"/>
          <cell r="I424" t="str"/>
          <cell r="J424" t="str"/>
          <cell r="K424" t="str"/>
          <cell r="L424" t="str"/>
          <cell r="M424" t="str"/>
          <cell r="N424" t="str"/>
          <cell r="O424" t="str"/>
          <cell r="P424" t="str"/>
          <cell r="Q424" t="str"/>
          <cell r="R424" t="str"/>
          <cell r="S424" t="str"/>
        </row>
        <row r="425">
          <cell r="B425" t="str"/>
          <cell r="C425" t="str"/>
          <cell r="D425" t="str"/>
          <cell r="E425" t="str"/>
          <cell r="F425" t="str"/>
          <cell r="G425" t="str"/>
          <cell r="H425" t="str"/>
          <cell r="I425" t="str"/>
          <cell r="J425" t="str"/>
          <cell r="K425" t="str"/>
          <cell r="L425" t="str"/>
          <cell r="M425" t="str"/>
          <cell r="N425" t="str"/>
          <cell r="O425" t="str"/>
          <cell r="P425" t="str"/>
          <cell r="Q425" t="str"/>
          <cell r="R425" t="str"/>
          <cell r="S425" t="str"/>
        </row>
        <row r="426">
          <cell r="B426" t="str"/>
          <cell r="C426" t="str"/>
          <cell r="D426" t="str"/>
          <cell r="E426" t="str"/>
          <cell r="F426" t="str"/>
          <cell r="G426" t="str"/>
          <cell r="H426" t="str"/>
          <cell r="I426" t="str"/>
          <cell r="J426" t="str"/>
          <cell r="K426" t="str"/>
          <cell r="L426" t="str"/>
          <cell r="M426" t="str"/>
          <cell r="N426" t="str"/>
          <cell r="O426" t="str"/>
          <cell r="P426" t="str"/>
          <cell r="Q426" t="str"/>
          <cell r="R426" t="str"/>
          <cell r="S426" t="str"/>
        </row>
        <row r="427">
          <cell r="B427" t="str"/>
          <cell r="C427" t="str"/>
          <cell r="D427" t="str"/>
          <cell r="E427" t="str"/>
          <cell r="F427" t="str"/>
          <cell r="G427" t="str"/>
          <cell r="H427" t="str"/>
          <cell r="I427" t="str"/>
          <cell r="J427" t="str"/>
          <cell r="K427" t="str"/>
          <cell r="L427" t="str"/>
          <cell r="M427" t="str"/>
          <cell r="N427" t="str"/>
          <cell r="O427" t="str"/>
          <cell r="P427" t="str"/>
          <cell r="Q427" t="str"/>
          <cell r="R427" t="str"/>
          <cell r="S427" t="str"/>
        </row>
        <row r="428">
          <cell r="B428" t="str"/>
          <cell r="C428" t="str"/>
          <cell r="D428" t="str"/>
          <cell r="E428" t="str"/>
          <cell r="F428" t="str"/>
          <cell r="G428" t="str"/>
          <cell r="H428" t="str"/>
          <cell r="I428" t="str"/>
          <cell r="J428" t="str"/>
          <cell r="K428" t="str"/>
          <cell r="L428" t="str"/>
          <cell r="M428" t="str"/>
          <cell r="N428" t="str"/>
          <cell r="O428" t="str"/>
          <cell r="P428" t="str"/>
          <cell r="Q428" t="str"/>
          <cell r="R428" t="str"/>
          <cell r="S428" t="str"/>
        </row>
        <row r="429">
          <cell r="B429" t="str"/>
          <cell r="C429" t="str"/>
          <cell r="D429" t="str"/>
          <cell r="E429" t="str"/>
          <cell r="F429" t="str"/>
          <cell r="G429" t="str"/>
          <cell r="H429" t="str"/>
          <cell r="I429" t="str"/>
          <cell r="J429" t="str"/>
          <cell r="K429" t="str"/>
          <cell r="L429" t="str"/>
          <cell r="M429" t="str"/>
          <cell r="N429" t="str"/>
          <cell r="O429" t="str"/>
          <cell r="P429" t="str"/>
          <cell r="Q429" t="str"/>
          <cell r="R429" t="str"/>
          <cell r="S429" t="str"/>
        </row>
        <row r="430">
          <cell r="B430" t="str"/>
          <cell r="C430" t="str"/>
          <cell r="D430" t="str"/>
          <cell r="E430" t="str"/>
          <cell r="F430" t="str"/>
          <cell r="G430" t="str"/>
          <cell r="H430" t="str"/>
          <cell r="I430" t="str"/>
          <cell r="J430" t="str"/>
          <cell r="K430" t="str"/>
          <cell r="L430" t="str"/>
          <cell r="M430" t="str"/>
          <cell r="N430" t="str"/>
          <cell r="O430" t="str"/>
          <cell r="P430" t="str"/>
          <cell r="Q430" t="str"/>
          <cell r="R430" t="str"/>
          <cell r="S430" t="str"/>
        </row>
        <row r="431">
          <cell r="B431" t="str"/>
          <cell r="C431" t="str"/>
          <cell r="D431" t="str"/>
          <cell r="E431" t="str"/>
          <cell r="F431" t="str"/>
          <cell r="G431" t="str"/>
          <cell r="H431" t="str"/>
          <cell r="I431" t="str"/>
          <cell r="J431" t="str"/>
          <cell r="K431" t="str"/>
          <cell r="L431" t="str"/>
          <cell r="M431" t="str"/>
          <cell r="N431" t="str"/>
          <cell r="O431" t="str"/>
          <cell r="P431" t="str"/>
          <cell r="Q431" t="str"/>
          <cell r="R431" t="str"/>
          <cell r="S431" t="str"/>
        </row>
        <row r="432">
          <cell r="B432" t="str"/>
          <cell r="C432" t="str"/>
          <cell r="D432" t="str"/>
          <cell r="E432" t="str"/>
          <cell r="F432" t="str"/>
          <cell r="G432" t="str"/>
          <cell r="H432" t="str"/>
          <cell r="I432" t="str"/>
          <cell r="J432" t="str"/>
          <cell r="K432" t="str"/>
          <cell r="L432" t="str"/>
          <cell r="M432" t="str"/>
          <cell r="N432" t="str"/>
          <cell r="O432" t="str"/>
          <cell r="P432" t="str"/>
          <cell r="Q432" t="str"/>
          <cell r="R432" t="str"/>
          <cell r="S432" t="str"/>
        </row>
        <row r="433">
          <cell r="B433" t="str"/>
          <cell r="C433" t="str"/>
          <cell r="D433" t="str"/>
          <cell r="E433" t="str"/>
          <cell r="F433" t="str"/>
          <cell r="G433" t="str"/>
          <cell r="H433" t="str"/>
          <cell r="I433" t="str"/>
          <cell r="J433" t="str"/>
          <cell r="K433" t="str"/>
          <cell r="L433" t="str"/>
          <cell r="M433" t="str"/>
          <cell r="N433" t="str"/>
          <cell r="O433" t="str"/>
          <cell r="P433" t="str"/>
          <cell r="Q433" t="str"/>
          <cell r="R433" t="str"/>
          <cell r="S433" t="str"/>
        </row>
        <row r="434">
          <cell r="B434" t="str"/>
          <cell r="C434" t="str"/>
          <cell r="D434" t="str"/>
          <cell r="E434" t="str"/>
          <cell r="F434" t="str"/>
          <cell r="G434" t="str"/>
          <cell r="H434" t="str"/>
          <cell r="I434" t="str"/>
          <cell r="J434" t="str"/>
          <cell r="K434" t="str"/>
          <cell r="L434" t="str"/>
          <cell r="M434" t="str"/>
          <cell r="N434" t="str"/>
          <cell r="O434" t="str"/>
          <cell r="P434" t="str"/>
          <cell r="Q434" t="str"/>
          <cell r="R434" t="str"/>
          <cell r="S434" t="str"/>
        </row>
        <row r="435">
          <cell r="B435" t="str"/>
          <cell r="C435" t="str"/>
          <cell r="D435" t="str"/>
          <cell r="E435" t="str"/>
          <cell r="F435" t="str"/>
          <cell r="G435" t="str"/>
          <cell r="H435" t="str"/>
          <cell r="I435" t="str"/>
          <cell r="J435" t="str"/>
          <cell r="K435" t="str"/>
          <cell r="L435" t="str"/>
          <cell r="M435" t="str"/>
          <cell r="N435" t="str"/>
          <cell r="O435" t="str"/>
          <cell r="P435" t="str"/>
          <cell r="Q435" t="str"/>
          <cell r="R435" t="str"/>
          <cell r="S435" t="str"/>
        </row>
        <row r="436">
          <cell r="B436" t="str"/>
          <cell r="C436" t="str"/>
          <cell r="D436" t="str"/>
          <cell r="E436" t="str"/>
          <cell r="F436" t="str"/>
          <cell r="G436" t="str"/>
          <cell r="H436" t="str"/>
          <cell r="I436" t="str"/>
          <cell r="J436" t="str"/>
          <cell r="K436" t="str"/>
          <cell r="L436" t="str"/>
          <cell r="M436" t="str"/>
          <cell r="N436" t="str"/>
          <cell r="O436" t="str"/>
          <cell r="P436" t="str"/>
          <cell r="Q436" t="str"/>
          <cell r="R436" t="str"/>
          <cell r="S436" t="str"/>
        </row>
        <row r="437">
          <cell r="B437" t="str"/>
          <cell r="C437" t="str"/>
          <cell r="D437" t="str"/>
          <cell r="E437" t="str"/>
          <cell r="F437" t="str"/>
          <cell r="G437" t="str"/>
          <cell r="H437" t="str"/>
          <cell r="I437" t="str"/>
          <cell r="J437" t="str"/>
          <cell r="K437" t="str"/>
          <cell r="L437" t="str"/>
          <cell r="M437" t="str"/>
          <cell r="N437" t="str"/>
          <cell r="O437" t="str"/>
          <cell r="P437" t="str"/>
          <cell r="Q437" t="str"/>
          <cell r="R437" t="str"/>
          <cell r="S437" t="str"/>
        </row>
        <row r="438">
          <cell r="B438" t="str"/>
          <cell r="C438" t="str"/>
          <cell r="D438" t="str"/>
          <cell r="E438" t="str"/>
          <cell r="F438" t="str"/>
          <cell r="G438" t="str"/>
          <cell r="H438" t="str"/>
          <cell r="I438" t="str"/>
          <cell r="J438" t="str"/>
          <cell r="K438" t="str"/>
          <cell r="L438" t="str"/>
          <cell r="M438" t="str"/>
          <cell r="N438" t="str"/>
          <cell r="O438" t="str"/>
          <cell r="P438" t="str"/>
          <cell r="Q438" t="str"/>
          <cell r="R438" t="str"/>
          <cell r="S438" t="str"/>
        </row>
        <row r="439">
          <cell r="B439" t="str"/>
          <cell r="C439" t="str"/>
          <cell r="D439" t="str"/>
          <cell r="E439" t="str"/>
          <cell r="F439" t="str"/>
          <cell r="G439" t="str"/>
          <cell r="H439" t="str"/>
          <cell r="I439" t="str"/>
          <cell r="J439" t="str"/>
          <cell r="K439" t="str"/>
          <cell r="L439" t="str"/>
          <cell r="M439" t="str"/>
          <cell r="N439" t="str"/>
          <cell r="O439" t="str"/>
          <cell r="P439" t="str"/>
          <cell r="Q439" t="str"/>
          <cell r="R439" t="str"/>
          <cell r="S439" t="str"/>
        </row>
        <row r="440">
          <cell r="B440" t="str"/>
          <cell r="C440" t="str"/>
          <cell r="D440" t="str"/>
          <cell r="E440" t="str"/>
          <cell r="F440" t="str"/>
          <cell r="G440" t="str"/>
          <cell r="H440" t="str"/>
          <cell r="I440" t="str"/>
          <cell r="J440" t="str"/>
          <cell r="K440" t="str"/>
          <cell r="L440" t="str"/>
          <cell r="M440" t="str"/>
          <cell r="N440" t="str"/>
          <cell r="O440" t="str"/>
          <cell r="P440" t="str"/>
          <cell r="Q440" t="str"/>
          <cell r="R440" t="str"/>
          <cell r="S440" t="str"/>
        </row>
        <row r="441">
          <cell r="B441" t="str"/>
          <cell r="C441" t="str"/>
          <cell r="D441" t="str"/>
          <cell r="E441" t="str"/>
          <cell r="F441" t="str"/>
          <cell r="G441" t="str"/>
          <cell r="H441" t="str"/>
          <cell r="I441" t="str"/>
          <cell r="J441" t="str"/>
          <cell r="K441" t="str"/>
          <cell r="L441" t="str"/>
          <cell r="M441" t="str"/>
          <cell r="N441" t="str"/>
          <cell r="O441" t="str"/>
          <cell r="P441" t="str"/>
          <cell r="Q441" t="str"/>
          <cell r="R441" t="str"/>
          <cell r="S441" t="str"/>
        </row>
        <row r="442">
          <cell r="B442" t="str"/>
          <cell r="C442" t="str"/>
          <cell r="D442" t="str"/>
          <cell r="E442" t="str"/>
          <cell r="F442" t="str"/>
          <cell r="G442" t="str"/>
          <cell r="H442" t="str"/>
          <cell r="I442" t="str"/>
          <cell r="J442" t="str"/>
          <cell r="K442" t="str"/>
          <cell r="L442" t="str"/>
          <cell r="M442" t="str"/>
          <cell r="N442" t="str"/>
          <cell r="O442" t="str"/>
          <cell r="P442" t="str"/>
          <cell r="Q442" t="str"/>
          <cell r="R442" t="str"/>
          <cell r="S442" t="str"/>
        </row>
        <row r="443">
          <cell r="B443" t="str"/>
          <cell r="C443" t="str"/>
          <cell r="D443" t="str"/>
          <cell r="E443" t="str"/>
          <cell r="F443" t="str"/>
          <cell r="G443" t="str"/>
          <cell r="H443" t="str"/>
          <cell r="I443" t="str"/>
          <cell r="J443" t="str"/>
          <cell r="K443" t="str"/>
          <cell r="L443" t="str"/>
          <cell r="M443" t="str"/>
          <cell r="N443" t="str"/>
          <cell r="O443" t="str"/>
          <cell r="P443" t="str"/>
          <cell r="Q443" t="str"/>
          <cell r="R443" t="str"/>
          <cell r="S443" t="str"/>
        </row>
        <row r="444">
          <cell r="B444" t="str"/>
          <cell r="C444" t="str"/>
          <cell r="D444" t="str"/>
          <cell r="E444" t="str"/>
          <cell r="F444" t="str"/>
          <cell r="G444" t="str"/>
          <cell r="H444" t="str"/>
          <cell r="I444" t="str"/>
          <cell r="J444" t="str"/>
          <cell r="K444" t="str"/>
          <cell r="L444" t="str"/>
          <cell r="M444" t="str"/>
          <cell r="N444" t="str"/>
          <cell r="O444" t="str"/>
          <cell r="P444" t="str"/>
          <cell r="Q444" t="str"/>
          <cell r="R444" t="str"/>
          <cell r="S444" t="str"/>
        </row>
        <row r="445">
          <cell r="B445" t="str"/>
          <cell r="C445" t="str"/>
          <cell r="D445" t="str"/>
          <cell r="E445" t="str"/>
          <cell r="F445" t="str"/>
          <cell r="G445" t="str"/>
          <cell r="H445" t="str"/>
          <cell r="I445" t="str"/>
          <cell r="J445" t="str"/>
          <cell r="K445" t="str"/>
          <cell r="L445" t="str"/>
          <cell r="M445" t="str"/>
          <cell r="N445" t="str"/>
          <cell r="O445" t="str"/>
          <cell r="P445" t="str"/>
          <cell r="Q445" t="str"/>
          <cell r="R445" t="str"/>
          <cell r="S445" t="str"/>
        </row>
        <row r="446">
          <cell r="B446" t="str"/>
          <cell r="C446" t="str"/>
          <cell r="D446" t="str"/>
          <cell r="E446" t="str"/>
          <cell r="F446" t="str"/>
          <cell r="G446" t="str"/>
          <cell r="H446" t="str"/>
          <cell r="I446" t="str"/>
          <cell r="J446" t="str"/>
          <cell r="K446" t="str"/>
          <cell r="L446" t="str"/>
          <cell r="M446" t="str"/>
          <cell r="N446" t="str"/>
          <cell r="O446" t="str"/>
          <cell r="P446" t="str"/>
          <cell r="Q446" t="str"/>
          <cell r="R446" t="str"/>
          <cell r="S446" t="str"/>
        </row>
        <row r="447">
          <cell r="B447" t="str"/>
          <cell r="C447" t="str"/>
          <cell r="D447" t="str"/>
          <cell r="E447" t="str"/>
          <cell r="F447" t="str"/>
          <cell r="G447" t="str"/>
          <cell r="H447" t="str"/>
          <cell r="I447" t="str"/>
          <cell r="J447" t="str"/>
          <cell r="K447" t="str"/>
          <cell r="L447" t="str"/>
          <cell r="M447" t="str"/>
          <cell r="N447" t="str"/>
          <cell r="O447" t="str"/>
          <cell r="P447" t="str"/>
          <cell r="Q447" t="str"/>
          <cell r="R447" t="str"/>
          <cell r="S447" t="str"/>
        </row>
        <row r="448">
          <cell r="B448" t="str"/>
          <cell r="C448" t="str"/>
          <cell r="D448" t="str"/>
          <cell r="E448" t="str"/>
          <cell r="F448" t="str"/>
          <cell r="G448" t="str"/>
          <cell r="H448" t="str"/>
          <cell r="I448" t="str"/>
          <cell r="J448" t="str"/>
          <cell r="K448" t="str"/>
          <cell r="L448" t="str"/>
          <cell r="M448" t="str"/>
          <cell r="N448" t="str"/>
          <cell r="O448" t="str"/>
          <cell r="P448" t="str"/>
          <cell r="Q448" t="str"/>
          <cell r="R448" t="str"/>
          <cell r="S448" t="str"/>
        </row>
        <row r="449">
          <cell r="B449" t="str"/>
          <cell r="C449" t="str"/>
          <cell r="D449" t="str"/>
          <cell r="E449" t="str"/>
          <cell r="F449" t="str"/>
          <cell r="G449" t="str"/>
          <cell r="H449" t="str"/>
          <cell r="I449" t="str"/>
          <cell r="J449" t="str"/>
          <cell r="K449" t="str"/>
          <cell r="L449" t="str"/>
          <cell r="M449" t="str"/>
          <cell r="N449" t="str"/>
          <cell r="O449" t="str"/>
          <cell r="P449" t="str"/>
          <cell r="Q449" t="str"/>
          <cell r="R449" t="str"/>
          <cell r="S449" t="str"/>
        </row>
        <row r="450">
          <cell r="B450" t="str"/>
          <cell r="C450" t="str"/>
          <cell r="D450" t="str"/>
          <cell r="E450" t="str"/>
          <cell r="F450" t="str"/>
          <cell r="G450" t="str"/>
          <cell r="H450" t="str"/>
          <cell r="I450" t="str"/>
          <cell r="J450" t="str"/>
          <cell r="K450" t="str"/>
          <cell r="L450" t="str"/>
          <cell r="M450" t="str"/>
          <cell r="N450" t="str"/>
          <cell r="O450" t="str"/>
          <cell r="P450" t="str"/>
          <cell r="Q450" t="str"/>
          <cell r="R450" t="str"/>
          <cell r="S450" t="str"/>
        </row>
        <row r="451">
          <cell r="B451" t="str"/>
          <cell r="C451" t="str"/>
          <cell r="D451" t="str"/>
          <cell r="E451" t="str"/>
          <cell r="F451" t="str"/>
          <cell r="G451" t="str"/>
          <cell r="H451" t="str"/>
          <cell r="I451" t="str"/>
          <cell r="J451" t="str"/>
          <cell r="K451" t="str"/>
          <cell r="L451" t="str"/>
          <cell r="M451" t="str"/>
          <cell r="N451" t="str"/>
          <cell r="O451" t="str"/>
          <cell r="P451" t="str"/>
          <cell r="Q451" t="str"/>
          <cell r="R451" t="str"/>
          <cell r="S451" t="str"/>
        </row>
        <row r="452">
          <cell r="B452" t="str"/>
          <cell r="C452" t="str"/>
          <cell r="D452" t="str"/>
          <cell r="E452" t="str"/>
          <cell r="F452" t="str"/>
          <cell r="G452" t="str"/>
          <cell r="H452" t="str"/>
          <cell r="I452" t="str"/>
          <cell r="J452" t="str"/>
          <cell r="K452" t="str"/>
          <cell r="L452" t="str"/>
          <cell r="M452" t="str"/>
          <cell r="N452" t="str"/>
          <cell r="O452" t="str"/>
          <cell r="P452" t="str"/>
          <cell r="Q452" t="str"/>
          <cell r="R452" t="str"/>
          <cell r="S452" t="str"/>
        </row>
        <row r="453">
          <cell r="B453" t="str"/>
          <cell r="C453" t="str"/>
          <cell r="D453" t="str"/>
          <cell r="E453" t="str"/>
          <cell r="F453" t="str"/>
          <cell r="G453" t="str"/>
          <cell r="H453" t="str"/>
          <cell r="I453" t="str"/>
          <cell r="J453" t="str"/>
          <cell r="K453" t="str"/>
          <cell r="L453" t="str"/>
          <cell r="M453" t="str"/>
          <cell r="N453" t="str"/>
          <cell r="O453" t="str"/>
          <cell r="P453" t="str"/>
          <cell r="Q453" t="str"/>
          <cell r="R453" t="str"/>
          <cell r="S453" t="str"/>
        </row>
        <row r="454">
          <cell r="B454" t="str"/>
          <cell r="C454" t="str"/>
          <cell r="D454" t="str"/>
          <cell r="E454" t="str"/>
          <cell r="F454" t="str"/>
          <cell r="G454" t="str"/>
          <cell r="H454" t="str"/>
          <cell r="I454" t="str"/>
          <cell r="J454" t="str"/>
          <cell r="K454" t="str"/>
          <cell r="L454" t="str"/>
          <cell r="M454" t="str"/>
          <cell r="N454" t="str"/>
          <cell r="O454" t="str"/>
          <cell r="P454" t="str"/>
          <cell r="Q454" t="str"/>
          <cell r="R454" t="str"/>
          <cell r="S454" t="str"/>
        </row>
        <row r="455">
          <cell r="B455" t="str"/>
          <cell r="C455" t="str"/>
          <cell r="D455" t="str"/>
          <cell r="E455" t="str"/>
          <cell r="F455" t="str"/>
          <cell r="G455" t="str"/>
          <cell r="H455" t="str"/>
          <cell r="I455" t="str"/>
          <cell r="J455" t="str"/>
          <cell r="K455" t="str"/>
          <cell r="L455" t="str"/>
          <cell r="M455" t="str"/>
          <cell r="N455" t="str"/>
          <cell r="O455" t="str"/>
          <cell r="P455" t="str"/>
          <cell r="Q455" t="str"/>
          <cell r="R455" t="str"/>
          <cell r="S455" t="str"/>
        </row>
        <row r="456">
          <cell r="B456" t="str"/>
          <cell r="C456" t="str"/>
          <cell r="D456" t="str"/>
          <cell r="E456" t="str"/>
          <cell r="F456" t="str"/>
          <cell r="G456" t="str"/>
          <cell r="H456" t="str"/>
          <cell r="I456" t="str"/>
          <cell r="J456" t="str"/>
          <cell r="K456" t="str"/>
          <cell r="L456" t="str"/>
          <cell r="M456" t="str"/>
          <cell r="N456" t="str"/>
          <cell r="O456" t="str"/>
          <cell r="P456" t="str"/>
          <cell r="Q456" t="str"/>
          <cell r="R456" t="str"/>
          <cell r="S456" t="str"/>
        </row>
        <row r="457">
          <cell r="B457" t="str"/>
          <cell r="C457" t="str"/>
          <cell r="D457" t="str"/>
          <cell r="E457" t="str"/>
          <cell r="F457" t="str"/>
          <cell r="G457" t="str"/>
          <cell r="H457" t="str"/>
          <cell r="I457" t="str"/>
          <cell r="J457" t="str"/>
          <cell r="K457" t="str"/>
          <cell r="L457" t="str"/>
          <cell r="M457" t="str"/>
          <cell r="N457" t="str"/>
          <cell r="O457" t="str"/>
          <cell r="P457" t="str"/>
          <cell r="Q457" t="str"/>
          <cell r="R457" t="str"/>
          <cell r="S457" t="str"/>
        </row>
        <row r="458">
          <cell r="B458" t="str"/>
          <cell r="C458" t="str"/>
          <cell r="D458" t="str"/>
          <cell r="E458" t="str"/>
          <cell r="F458" t="str"/>
          <cell r="G458" t="str"/>
          <cell r="H458" t="str"/>
          <cell r="I458" t="str"/>
          <cell r="J458" t="str"/>
          <cell r="K458" t="str"/>
          <cell r="L458" t="str"/>
          <cell r="M458" t="str"/>
          <cell r="N458" t="str"/>
          <cell r="O458" t="str"/>
          <cell r="P458" t="str"/>
          <cell r="Q458" t="str"/>
          <cell r="R458" t="str"/>
          <cell r="S458" t="str"/>
        </row>
        <row r="459">
          <cell r="B459" t="str"/>
          <cell r="C459" t="str"/>
          <cell r="D459" t="str"/>
          <cell r="E459" t="str"/>
          <cell r="F459" t="str"/>
          <cell r="G459" t="str"/>
          <cell r="H459" t="str"/>
          <cell r="I459" t="str"/>
          <cell r="J459" t="str"/>
          <cell r="K459" t="str"/>
          <cell r="L459" t="str"/>
          <cell r="M459" t="str"/>
          <cell r="N459" t="str"/>
          <cell r="O459" t="str"/>
          <cell r="P459" t="str"/>
          <cell r="Q459" t="str"/>
          <cell r="R459" t="str"/>
          <cell r="S459" t="str"/>
        </row>
        <row r="460">
          <cell r="B460" t="str"/>
          <cell r="C460" t="str"/>
          <cell r="D460" t="str"/>
          <cell r="E460" t="str"/>
          <cell r="F460" t="str"/>
          <cell r="G460" t="str"/>
          <cell r="H460" t="str"/>
          <cell r="I460" t="str"/>
          <cell r="J460" t="str"/>
          <cell r="K460" t="str"/>
          <cell r="L460" t="str"/>
          <cell r="M460" t="str"/>
          <cell r="N460" t="str"/>
          <cell r="O460" t="str"/>
          <cell r="P460" t="str"/>
          <cell r="Q460" t="str"/>
          <cell r="R460" t="str"/>
          <cell r="S460" t="str"/>
        </row>
        <row r="461">
          <cell r="B461" t="str"/>
          <cell r="C461" t="str"/>
          <cell r="D461" t="str"/>
          <cell r="E461" t="str"/>
          <cell r="F461" t="str"/>
          <cell r="G461" t="str"/>
          <cell r="H461" t="str"/>
          <cell r="I461" t="str"/>
          <cell r="J461" t="str"/>
          <cell r="K461" t="str"/>
          <cell r="L461" t="str"/>
          <cell r="M461" t="str"/>
          <cell r="N461" t="str"/>
          <cell r="O461" t="str"/>
          <cell r="P461" t="str"/>
          <cell r="Q461" t="str"/>
          <cell r="R461" t="str"/>
          <cell r="S461" t="str"/>
        </row>
        <row r="462">
          <cell r="B462" t="str"/>
          <cell r="C462" t="str"/>
          <cell r="D462" t="str"/>
          <cell r="E462" t="str"/>
          <cell r="F462" t="str"/>
          <cell r="G462" t="str"/>
          <cell r="H462" t="str"/>
          <cell r="I462" t="str"/>
          <cell r="J462" t="str"/>
          <cell r="K462" t="str"/>
          <cell r="L462" t="str"/>
          <cell r="M462" t="str"/>
          <cell r="N462" t="str"/>
          <cell r="O462" t="str"/>
          <cell r="P462" t="str"/>
          <cell r="Q462" t="str"/>
          <cell r="R462" t="str"/>
          <cell r="S462" t="str"/>
        </row>
        <row r="463">
          <cell r="B463" t="str"/>
          <cell r="C463" t="str"/>
          <cell r="D463" t="str"/>
          <cell r="E463" t="str"/>
          <cell r="F463" t="str"/>
          <cell r="G463" t="str"/>
          <cell r="H463" t="str"/>
          <cell r="I463" t="str"/>
          <cell r="J463" t="str"/>
          <cell r="K463" t="str"/>
          <cell r="L463" t="str"/>
          <cell r="M463" t="str"/>
          <cell r="N463" t="str"/>
          <cell r="O463" t="str"/>
          <cell r="P463" t="str"/>
          <cell r="Q463" t="str"/>
          <cell r="R463" t="str"/>
          <cell r="S463" t="str"/>
        </row>
        <row r="464">
          <cell r="B464" t="str"/>
          <cell r="C464" t="str"/>
          <cell r="D464" t="str"/>
          <cell r="E464" t="str"/>
          <cell r="F464" t="str"/>
          <cell r="G464" t="str"/>
          <cell r="H464" t="str"/>
          <cell r="I464" t="str"/>
          <cell r="J464" t="str"/>
          <cell r="K464" t="str"/>
          <cell r="L464" t="str"/>
          <cell r="M464" t="str"/>
          <cell r="N464" t="str"/>
          <cell r="O464" t="str"/>
          <cell r="P464" t="str"/>
          <cell r="Q464" t="str"/>
          <cell r="R464" t="str"/>
          <cell r="S464" t="str"/>
        </row>
        <row r="465">
          <cell r="B465" t="str"/>
          <cell r="C465" t="str"/>
          <cell r="D465" t="str"/>
          <cell r="E465" t="str"/>
          <cell r="F465" t="str"/>
          <cell r="G465" t="str"/>
          <cell r="H465" t="str"/>
          <cell r="I465" t="str"/>
          <cell r="J465" t="str"/>
          <cell r="K465" t="str"/>
          <cell r="L465" t="str"/>
          <cell r="M465" t="str"/>
          <cell r="N465" t="str"/>
          <cell r="O465" t="str"/>
          <cell r="P465" t="str"/>
          <cell r="Q465" t="str"/>
          <cell r="R465" t="str"/>
          <cell r="S465" t="str"/>
        </row>
        <row r="466">
          <cell r="B466" t="str"/>
          <cell r="C466" t="str"/>
          <cell r="D466" t="str"/>
          <cell r="E466" t="str"/>
          <cell r="F466" t="str"/>
          <cell r="G466" t="str"/>
          <cell r="H466" t="str"/>
          <cell r="I466" t="str"/>
          <cell r="J466" t="str"/>
          <cell r="K466" t="str"/>
          <cell r="L466" t="str"/>
          <cell r="M466" t="str"/>
          <cell r="N466" t="str"/>
          <cell r="O466" t="str"/>
          <cell r="P466" t="str"/>
          <cell r="Q466" t="str"/>
          <cell r="R466" t="str"/>
          <cell r="S466" t="str"/>
        </row>
        <row r="467">
          <cell r="B467" t="str"/>
          <cell r="C467" t="str"/>
          <cell r="D467" t="str"/>
          <cell r="E467" t="str"/>
          <cell r="F467" t="str"/>
          <cell r="G467" t="str"/>
          <cell r="H467" t="str"/>
          <cell r="I467" t="str"/>
          <cell r="J467" t="str"/>
          <cell r="K467" t="str"/>
          <cell r="L467" t="str"/>
          <cell r="M467" t="str"/>
          <cell r="N467" t="str"/>
          <cell r="O467" t="str"/>
          <cell r="P467" t="str"/>
          <cell r="Q467" t="str"/>
          <cell r="R467" t="str"/>
          <cell r="S467" t="str"/>
        </row>
        <row r="468">
          <cell r="B468" t="str"/>
          <cell r="C468" t="str"/>
          <cell r="D468" t="str"/>
          <cell r="E468" t="str"/>
          <cell r="F468" t="str"/>
          <cell r="G468" t="str"/>
          <cell r="H468" t="str"/>
          <cell r="I468" t="str"/>
          <cell r="J468" t="str"/>
          <cell r="K468" t="str"/>
          <cell r="L468" t="str"/>
          <cell r="M468" t="str"/>
          <cell r="N468" t="str"/>
          <cell r="O468" t="str"/>
          <cell r="P468" t="str"/>
          <cell r="Q468" t="str"/>
          <cell r="R468" t="str"/>
          <cell r="S468" t="str"/>
        </row>
        <row r="469">
          <cell r="B469" t="str"/>
          <cell r="C469" t="str"/>
          <cell r="D469" t="str"/>
          <cell r="E469" t="str"/>
          <cell r="F469" t="str"/>
          <cell r="G469" t="str"/>
          <cell r="H469" t="str"/>
          <cell r="I469" t="str"/>
          <cell r="J469" t="str"/>
          <cell r="K469" t="str"/>
          <cell r="L469" t="str"/>
          <cell r="M469" t="str"/>
          <cell r="N469" t="str"/>
          <cell r="O469" t="str"/>
          <cell r="P469" t="str"/>
          <cell r="Q469" t="str"/>
          <cell r="R469" t="str"/>
          <cell r="S469" t="str"/>
        </row>
        <row r="470">
          <cell r="B470" t="str"/>
          <cell r="C470" t="str"/>
          <cell r="D470" t="str"/>
          <cell r="E470" t="str"/>
          <cell r="F470" t="str"/>
          <cell r="G470" t="str"/>
          <cell r="H470" t="str"/>
          <cell r="I470" t="str"/>
          <cell r="J470" t="str"/>
          <cell r="K470" t="str"/>
          <cell r="L470" t="str"/>
          <cell r="M470" t="str"/>
          <cell r="N470" t="str"/>
          <cell r="O470" t="str"/>
          <cell r="P470" t="str"/>
          <cell r="Q470" t="str"/>
          <cell r="R470" t="str"/>
          <cell r="S470" t="str"/>
        </row>
        <row r="471">
          <cell r="B471" t="str"/>
          <cell r="C471" t="str"/>
          <cell r="D471" t="str"/>
          <cell r="E471" t="str"/>
          <cell r="F471" t="str"/>
          <cell r="G471" t="str"/>
          <cell r="H471" t="str"/>
          <cell r="I471" t="str"/>
          <cell r="J471" t="str"/>
          <cell r="K471" t="str"/>
          <cell r="L471" t="str"/>
          <cell r="M471" t="str"/>
          <cell r="N471" t="str"/>
          <cell r="O471" t="str"/>
          <cell r="P471" t="str"/>
          <cell r="Q471" t="str"/>
          <cell r="R471" t="str"/>
          <cell r="S471" t="str"/>
        </row>
        <row r="472">
          <cell r="B472" t="str"/>
          <cell r="C472" t="str"/>
          <cell r="D472" t="str"/>
          <cell r="E472" t="str"/>
          <cell r="F472" t="str"/>
          <cell r="G472" t="str"/>
          <cell r="H472" t="str"/>
          <cell r="I472" t="str"/>
          <cell r="J472" t="str"/>
          <cell r="K472" t="str"/>
          <cell r="L472" t="str"/>
          <cell r="M472" t="str"/>
          <cell r="N472" t="str"/>
          <cell r="O472" t="str"/>
          <cell r="P472" t="str"/>
          <cell r="Q472" t="str"/>
          <cell r="R472" t="str"/>
          <cell r="S472" t="str"/>
        </row>
        <row r="473">
          <cell r="B473" t="str"/>
          <cell r="C473" t="str"/>
          <cell r="D473" t="str"/>
          <cell r="E473" t="str"/>
          <cell r="F473" t="str"/>
          <cell r="G473" t="str"/>
          <cell r="H473" t="str"/>
          <cell r="I473" t="str"/>
          <cell r="J473" t="str"/>
          <cell r="K473" t="str"/>
          <cell r="L473" t="str"/>
          <cell r="M473" t="str"/>
          <cell r="N473" t="str"/>
          <cell r="O473" t="str"/>
          <cell r="P473" t="str"/>
          <cell r="Q473" t="str"/>
          <cell r="R473" t="str"/>
          <cell r="S473" t="str"/>
        </row>
        <row r="474">
          <cell r="B474" t="str"/>
          <cell r="C474" t="str"/>
          <cell r="D474" t="str"/>
          <cell r="E474" t="str"/>
          <cell r="F474" t="str"/>
          <cell r="G474" t="str"/>
          <cell r="H474" t="str"/>
          <cell r="I474" t="str"/>
          <cell r="J474" t="str"/>
          <cell r="K474" t="str"/>
          <cell r="L474" t="str"/>
          <cell r="M474" t="str"/>
          <cell r="N474" t="str"/>
          <cell r="O474" t="str"/>
          <cell r="P474" t="str"/>
          <cell r="Q474" t="str"/>
          <cell r="R474" t="str"/>
          <cell r="S474" t="str"/>
        </row>
        <row r="475">
          <cell r="B475" t="str"/>
          <cell r="C475" t="str"/>
          <cell r="D475" t="str"/>
          <cell r="E475" t="str"/>
          <cell r="F475" t="str"/>
          <cell r="G475" t="str"/>
          <cell r="H475" t="str"/>
          <cell r="I475" t="str"/>
          <cell r="J475" t="str"/>
          <cell r="K475" t="str"/>
          <cell r="L475" t="str"/>
          <cell r="M475" t="str"/>
          <cell r="N475" t="str"/>
          <cell r="O475" t="str"/>
          <cell r="P475" t="str"/>
          <cell r="Q475" t="str"/>
          <cell r="R475" t="str"/>
          <cell r="S475" t="str"/>
        </row>
        <row r="476">
          <cell r="B476" t="str"/>
          <cell r="C476" t="str"/>
          <cell r="D476" t="str"/>
          <cell r="E476" t="str"/>
          <cell r="F476" t="str"/>
          <cell r="G476" t="str"/>
          <cell r="H476" t="str"/>
          <cell r="I476" t="str"/>
          <cell r="J476" t="str"/>
          <cell r="K476" t="str"/>
          <cell r="L476" t="str"/>
          <cell r="M476" t="str"/>
          <cell r="N476" t="str"/>
          <cell r="O476" t="str"/>
          <cell r="P476" t="str"/>
          <cell r="Q476" t="str"/>
          <cell r="R476" t="str"/>
          <cell r="S476" t="str"/>
        </row>
        <row r="477">
          <cell r="B477" t="str"/>
          <cell r="C477" t="str"/>
          <cell r="D477" t="str"/>
          <cell r="E477" t="str"/>
          <cell r="F477" t="str"/>
          <cell r="G477" t="str"/>
          <cell r="H477" t="str"/>
          <cell r="I477" t="str"/>
          <cell r="J477" t="str"/>
          <cell r="K477" t="str"/>
          <cell r="L477" t="str"/>
          <cell r="M477" t="str"/>
          <cell r="N477" t="str"/>
          <cell r="O477" t="str"/>
          <cell r="P477" t="str"/>
          <cell r="Q477" t="str"/>
          <cell r="R477" t="str"/>
          <cell r="S477" t="str"/>
        </row>
        <row r="478">
          <cell r="B478" t="str"/>
          <cell r="C478" t="str"/>
          <cell r="D478" t="str"/>
          <cell r="E478" t="str"/>
          <cell r="F478" t="str"/>
          <cell r="G478" t="str"/>
          <cell r="H478" t="str"/>
          <cell r="I478" t="str"/>
          <cell r="J478" t="str"/>
          <cell r="K478" t="str"/>
          <cell r="L478" t="str"/>
          <cell r="M478" t="str"/>
          <cell r="N478" t="str"/>
          <cell r="O478" t="str"/>
          <cell r="P478" t="str"/>
          <cell r="Q478" t="str"/>
          <cell r="R478" t="str"/>
          <cell r="S478" t="str"/>
        </row>
        <row r="479">
          <cell r="B479" t="str"/>
          <cell r="C479" t="str"/>
          <cell r="D479" t="str"/>
          <cell r="E479" t="str"/>
          <cell r="F479" t="str"/>
          <cell r="G479" t="str"/>
          <cell r="H479" t="str"/>
          <cell r="I479" t="str"/>
          <cell r="J479" t="str"/>
          <cell r="K479" t="str"/>
          <cell r="L479" t="str"/>
          <cell r="M479" t="str"/>
          <cell r="N479" t="str"/>
          <cell r="O479" t="str"/>
          <cell r="P479" t="str"/>
          <cell r="Q479" t="str"/>
          <cell r="R479" t="str"/>
          <cell r="S479" t="str"/>
        </row>
        <row r="480">
          <cell r="B480" t="str"/>
          <cell r="C480" t="str"/>
          <cell r="D480" t="str"/>
          <cell r="E480" t="str"/>
          <cell r="F480" t="str"/>
          <cell r="G480" t="str"/>
          <cell r="H480" t="str"/>
          <cell r="I480" t="str"/>
          <cell r="J480" t="str"/>
          <cell r="K480" t="str"/>
          <cell r="L480" t="str"/>
          <cell r="M480" t="str"/>
          <cell r="N480" t="str"/>
          <cell r="O480" t="str"/>
          <cell r="P480" t="str"/>
          <cell r="Q480" t="str"/>
          <cell r="R480" t="str"/>
          <cell r="S480" t="str"/>
        </row>
        <row r="481">
          <cell r="B481" t="str"/>
          <cell r="C481" t="str"/>
          <cell r="D481" t="str"/>
          <cell r="E481" t="str"/>
          <cell r="F481" t="str"/>
          <cell r="G481" t="str"/>
          <cell r="H481" t="str"/>
          <cell r="I481" t="str"/>
          <cell r="J481" t="str"/>
          <cell r="K481" t="str"/>
          <cell r="L481" t="str"/>
          <cell r="M481" t="str"/>
          <cell r="N481" t="str"/>
          <cell r="O481" t="str"/>
          <cell r="P481" t="str"/>
          <cell r="Q481" t="str"/>
          <cell r="R481" t="str"/>
          <cell r="S481" t="str"/>
        </row>
        <row r="482">
          <cell r="B482" t="str"/>
          <cell r="C482" t="str"/>
          <cell r="D482" t="str"/>
          <cell r="E482" t="str"/>
          <cell r="F482" t="str"/>
          <cell r="G482" t="str"/>
          <cell r="H482" t="str"/>
          <cell r="I482" t="str"/>
          <cell r="J482" t="str"/>
          <cell r="K482" t="str"/>
          <cell r="L482" t="str"/>
          <cell r="M482" t="str"/>
          <cell r="N482" t="str"/>
          <cell r="O482" t="str"/>
          <cell r="P482" t="str"/>
          <cell r="Q482" t="str"/>
          <cell r="R482" t="str"/>
          <cell r="S482" t="str"/>
        </row>
        <row r="483">
          <cell r="B483" t="str"/>
          <cell r="C483" t="str"/>
          <cell r="D483" t="str"/>
          <cell r="E483" t="str"/>
          <cell r="F483" t="str"/>
          <cell r="G483" t="str"/>
          <cell r="H483" t="str"/>
          <cell r="I483" t="str"/>
          <cell r="J483" t="str"/>
          <cell r="K483" t="str"/>
          <cell r="L483" t="str"/>
          <cell r="M483" t="str"/>
          <cell r="N483" t="str"/>
          <cell r="O483" t="str"/>
          <cell r="P483" t="str"/>
          <cell r="Q483" t="str"/>
          <cell r="R483" t="str"/>
          <cell r="S483" t="str"/>
        </row>
        <row r="484">
          <cell r="B484" t="str"/>
          <cell r="C484" t="str"/>
          <cell r="D484" t="str"/>
          <cell r="E484" t="str"/>
          <cell r="F484" t="str"/>
          <cell r="G484" t="str"/>
          <cell r="H484" t="str"/>
          <cell r="I484" t="str"/>
          <cell r="J484" t="str"/>
          <cell r="K484" t="str"/>
          <cell r="L484" t="str"/>
          <cell r="M484" t="str"/>
          <cell r="N484" t="str"/>
          <cell r="O484" t="str"/>
          <cell r="P484" t="str"/>
          <cell r="Q484" t="str"/>
          <cell r="R484" t="str"/>
          <cell r="S484" t="str"/>
        </row>
        <row r="485">
          <cell r="B485" t="str"/>
          <cell r="C485" t="str"/>
          <cell r="D485" t="str"/>
          <cell r="E485" t="str"/>
          <cell r="F485" t="str"/>
          <cell r="G485" t="str"/>
          <cell r="H485" t="str"/>
          <cell r="I485" t="str"/>
          <cell r="J485" t="str"/>
          <cell r="K485" t="str"/>
          <cell r="L485" t="str"/>
          <cell r="M485" t="str"/>
          <cell r="N485" t="str"/>
          <cell r="O485" t="str"/>
          <cell r="P485" t="str"/>
          <cell r="Q485" t="str"/>
          <cell r="R485" t="str"/>
          <cell r="S485" t="str"/>
        </row>
        <row r="486">
          <cell r="B486" t="str"/>
          <cell r="C486" t="str"/>
          <cell r="D486" t="str"/>
          <cell r="E486" t="str"/>
          <cell r="F486" t="str"/>
          <cell r="G486" t="str"/>
          <cell r="H486" t="str"/>
          <cell r="I486" t="str"/>
          <cell r="J486" t="str"/>
          <cell r="K486" t="str"/>
          <cell r="L486" t="str"/>
          <cell r="M486" t="str"/>
          <cell r="N486" t="str"/>
          <cell r="O486" t="str"/>
          <cell r="P486" t="str"/>
          <cell r="Q486" t="str"/>
          <cell r="R486" t="str"/>
          <cell r="S486" t="str"/>
        </row>
        <row r="487">
          <cell r="B487" t="str"/>
          <cell r="C487" t="str"/>
          <cell r="D487" t="str"/>
          <cell r="E487" t="str"/>
          <cell r="F487" t="str"/>
          <cell r="G487" t="str"/>
          <cell r="H487" t="str"/>
          <cell r="I487" t="str"/>
          <cell r="J487" t="str"/>
          <cell r="K487" t="str"/>
          <cell r="L487" t="str"/>
          <cell r="M487" t="str"/>
          <cell r="N487" t="str"/>
          <cell r="O487" t="str"/>
          <cell r="P487" t="str"/>
          <cell r="Q487" t="str"/>
          <cell r="R487" t="str"/>
          <cell r="S487" t="str"/>
        </row>
        <row r="488">
          <cell r="B488" t="str"/>
          <cell r="C488" t="str"/>
          <cell r="D488" t="str"/>
          <cell r="E488" t="str"/>
          <cell r="F488" t="str"/>
          <cell r="G488" t="str"/>
          <cell r="H488" t="str"/>
          <cell r="I488" t="str"/>
          <cell r="J488" t="str"/>
          <cell r="K488" t="str"/>
          <cell r="L488" t="str"/>
          <cell r="M488" t="str"/>
          <cell r="N488" t="str"/>
          <cell r="O488" t="str"/>
          <cell r="P488" t="str"/>
          <cell r="Q488" t="str"/>
          <cell r="R488" t="str"/>
          <cell r="S488" t="str"/>
        </row>
        <row r="489">
          <cell r="B489" t="str"/>
          <cell r="C489" t="str"/>
          <cell r="D489" t="str"/>
          <cell r="E489" t="str"/>
          <cell r="F489" t="str"/>
          <cell r="G489" t="str"/>
          <cell r="H489" t="str"/>
          <cell r="I489" t="str"/>
          <cell r="J489" t="str"/>
          <cell r="K489" t="str"/>
          <cell r="L489" t="str"/>
          <cell r="M489" t="str"/>
          <cell r="N489" t="str"/>
          <cell r="O489" t="str"/>
          <cell r="P489" t="str"/>
          <cell r="Q489" t="str"/>
          <cell r="R489" t="str"/>
          <cell r="S489" t="str"/>
        </row>
        <row r="490">
          <cell r="B490" t="str"/>
          <cell r="C490" t="str"/>
          <cell r="D490" t="str"/>
          <cell r="E490" t="str"/>
          <cell r="F490" t="str"/>
          <cell r="G490" t="str"/>
          <cell r="H490" t="str"/>
          <cell r="I490" t="str"/>
          <cell r="J490" t="str"/>
          <cell r="K490" t="str"/>
          <cell r="L490" t="str"/>
          <cell r="M490" t="str"/>
          <cell r="N490" t="str"/>
          <cell r="O490" t="str"/>
          <cell r="P490" t="str"/>
          <cell r="Q490" t="str"/>
          <cell r="R490" t="str"/>
          <cell r="S490" t="str"/>
        </row>
        <row r="491">
          <cell r="B491" t="str"/>
          <cell r="C491" t="str"/>
          <cell r="D491" t="str"/>
          <cell r="E491" t="str"/>
          <cell r="F491" t="str"/>
          <cell r="G491" t="str"/>
          <cell r="H491" t="str"/>
          <cell r="I491" t="str"/>
          <cell r="J491" t="str"/>
          <cell r="K491" t="str"/>
          <cell r="L491" t="str"/>
          <cell r="M491" t="str"/>
          <cell r="N491" t="str"/>
          <cell r="O491" t="str"/>
          <cell r="P491" t="str"/>
          <cell r="Q491" t="str"/>
          <cell r="R491" t="str"/>
          <cell r="S491" t="str"/>
        </row>
        <row r="492">
          <cell r="B492" t="str"/>
          <cell r="C492" t="str"/>
          <cell r="D492" t="str"/>
          <cell r="E492" t="str"/>
          <cell r="F492" t="str"/>
          <cell r="G492" t="str"/>
          <cell r="H492" t="str"/>
          <cell r="I492" t="str"/>
          <cell r="J492" t="str"/>
          <cell r="K492" t="str"/>
          <cell r="L492" t="str"/>
          <cell r="M492" t="str"/>
          <cell r="N492" t="str"/>
          <cell r="O492" t="str"/>
          <cell r="P492" t="str"/>
          <cell r="Q492" t="str"/>
          <cell r="R492" t="str"/>
          <cell r="S492" t="str"/>
        </row>
        <row r="493">
          <cell r="B493" t="str"/>
          <cell r="C493" t="str"/>
          <cell r="D493" t="str"/>
          <cell r="E493" t="str"/>
          <cell r="F493" t="str"/>
          <cell r="G493" t="str"/>
          <cell r="H493" t="str"/>
          <cell r="I493" t="str"/>
          <cell r="J493" t="str"/>
          <cell r="K493" t="str"/>
          <cell r="L493" t="str"/>
          <cell r="M493" t="str"/>
          <cell r="N493" t="str"/>
          <cell r="O493" t="str"/>
          <cell r="P493" t="str"/>
          <cell r="Q493" t="str"/>
          <cell r="R493" t="str"/>
          <cell r="S493" t="str"/>
        </row>
        <row r="494">
          <cell r="B494" t="str"/>
          <cell r="C494" t="str"/>
          <cell r="D494" t="str"/>
          <cell r="E494" t="str"/>
          <cell r="F494" t="str"/>
          <cell r="G494" t="str"/>
          <cell r="H494" t="str"/>
          <cell r="I494" t="str"/>
          <cell r="J494" t="str"/>
          <cell r="K494" t="str"/>
          <cell r="L494" t="str"/>
          <cell r="M494" t="str"/>
          <cell r="N494" t="str"/>
          <cell r="O494" t="str"/>
          <cell r="P494" t="str"/>
          <cell r="Q494" t="str"/>
          <cell r="R494" t="str"/>
          <cell r="S494" t="str"/>
        </row>
        <row r="495">
          <cell r="B495" t="str"/>
          <cell r="C495" t="str"/>
          <cell r="D495" t="str"/>
          <cell r="E495" t="str"/>
          <cell r="F495" t="str"/>
          <cell r="G495" t="str"/>
          <cell r="H495" t="str"/>
          <cell r="I495" t="str"/>
          <cell r="J495" t="str"/>
          <cell r="K495" t="str"/>
          <cell r="L495" t="str"/>
          <cell r="M495" t="str"/>
          <cell r="N495" t="str"/>
          <cell r="O495" t="str"/>
          <cell r="P495" t="str"/>
          <cell r="Q495" t="str"/>
          <cell r="R495" t="str"/>
          <cell r="S495" t="str"/>
        </row>
        <row r="496">
          <cell r="B496" t="str"/>
          <cell r="C496" t="str"/>
          <cell r="D496" t="str"/>
          <cell r="E496" t="str"/>
          <cell r="F496" t="str"/>
          <cell r="G496" t="str"/>
          <cell r="H496" t="str"/>
          <cell r="I496" t="str"/>
          <cell r="J496" t="str"/>
          <cell r="K496" t="str"/>
          <cell r="L496" t="str"/>
          <cell r="M496" t="str"/>
          <cell r="N496" t="str"/>
          <cell r="O496" t="str"/>
          <cell r="P496" t="str"/>
          <cell r="Q496" t="str"/>
          <cell r="R496" t="str"/>
          <cell r="S496" t="str"/>
        </row>
        <row r="497">
          <cell r="B497" t="str"/>
          <cell r="C497" t="str"/>
          <cell r="D497" t="str"/>
          <cell r="E497" t="str"/>
          <cell r="F497" t="str"/>
          <cell r="G497" t="str"/>
          <cell r="H497" t="str"/>
          <cell r="I497" t="str"/>
          <cell r="J497" t="str"/>
          <cell r="K497" t="str"/>
          <cell r="L497" t="str"/>
          <cell r="M497" t="str"/>
          <cell r="N497" t="str"/>
          <cell r="O497" t="str"/>
          <cell r="P497" t="str"/>
          <cell r="Q497" t="str"/>
          <cell r="R497" t="str"/>
          <cell r="S497" t="str"/>
        </row>
        <row r="498">
          <cell r="B498" t="str"/>
          <cell r="C498" t="str"/>
          <cell r="D498" t="str"/>
          <cell r="E498" t="str"/>
          <cell r="F498" t="str"/>
          <cell r="G498" t="str"/>
          <cell r="H498" t="str"/>
          <cell r="I498" t="str"/>
          <cell r="J498" t="str"/>
          <cell r="K498" t="str"/>
          <cell r="L498" t="str"/>
          <cell r="M498" t="str"/>
          <cell r="N498" t="str"/>
          <cell r="O498" t="str"/>
          <cell r="P498" t="str"/>
          <cell r="Q498" t="str"/>
          <cell r="R498" t="str"/>
          <cell r="S498" t="str"/>
        </row>
        <row r="499">
          <cell r="B499" t="str"/>
          <cell r="C499" t="str"/>
          <cell r="D499" t="str"/>
          <cell r="E499" t="str"/>
          <cell r="F499" t="str"/>
          <cell r="G499" t="str"/>
          <cell r="H499" t="str"/>
          <cell r="I499" t="str"/>
          <cell r="J499" t="str"/>
          <cell r="K499" t="str"/>
          <cell r="L499" t="str"/>
          <cell r="M499" t="str"/>
          <cell r="N499" t="str"/>
          <cell r="O499" t="str"/>
          <cell r="P499" t="str"/>
          <cell r="Q499" t="str"/>
          <cell r="R499" t="str"/>
          <cell r="S499" t="str"/>
        </row>
        <row r="500">
          <cell r="B500" t="str"/>
          <cell r="C500" t="str"/>
          <cell r="D500" t="str"/>
          <cell r="E500" t="str"/>
          <cell r="F500" t="str"/>
          <cell r="G500" t="str"/>
          <cell r="H500" t="str"/>
          <cell r="I500" t="str"/>
          <cell r="J500" t="str"/>
          <cell r="K500" t="str"/>
          <cell r="L500" t="str"/>
          <cell r="M500" t="str"/>
          <cell r="N500" t="str"/>
          <cell r="O500" t="str"/>
          <cell r="P500" t="str"/>
          <cell r="Q500" t="str"/>
          <cell r="R500" t="str"/>
          <cell r="S500" t="str"/>
        </row>
        <row r="501">
          <cell r="B501" t="str"/>
          <cell r="C501" t="str"/>
          <cell r="D501" t="str"/>
          <cell r="E501" t="str"/>
          <cell r="F501" t="str"/>
          <cell r="G501" t="str"/>
          <cell r="H501" t="str"/>
          <cell r="I501" t="str"/>
          <cell r="J501" t="str"/>
          <cell r="K501" t="str"/>
          <cell r="L501" t="str"/>
          <cell r="M501" t="str"/>
          <cell r="N501" t="str"/>
          <cell r="O501" t="str"/>
          <cell r="P501" t="str"/>
          <cell r="Q501" t="str"/>
          <cell r="R501" t="str"/>
          <cell r="S501" t="str"/>
        </row>
        <row r="502">
          <cell r="B502" t="str"/>
          <cell r="C502" t="str"/>
          <cell r="D502" t="str"/>
          <cell r="E502" t="str"/>
          <cell r="F502" t="str"/>
          <cell r="G502" t="str"/>
          <cell r="H502" t="str"/>
          <cell r="I502" t="str"/>
          <cell r="J502" t="str"/>
          <cell r="K502" t="str"/>
          <cell r="L502" t="str"/>
          <cell r="M502" t="str"/>
          <cell r="N502" t="str"/>
          <cell r="O502" t="str"/>
          <cell r="P502" t="str"/>
          <cell r="Q502" t="str"/>
          <cell r="R502" t="str"/>
          <cell r="S502" t="str"/>
        </row>
        <row r="503">
          <cell r="B503" t="str"/>
          <cell r="C503" t="str"/>
          <cell r="D503" t="str"/>
          <cell r="E503" t="str"/>
          <cell r="F503" t="str"/>
          <cell r="G503" t="str"/>
          <cell r="H503" t="str"/>
          <cell r="I503" t="str"/>
          <cell r="J503" t="str"/>
          <cell r="K503" t="str"/>
          <cell r="L503" t="str"/>
          <cell r="M503" t="str"/>
          <cell r="N503" t="str"/>
          <cell r="O503" t="str"/>
          <cell r="P503" t="str"/>
          <cell r="Q503" t="str"/>
          <cell r="R503" t="str"/>
          <cell r="S503" t="str"/>
        </row>
        <row r="504">
          <cell r="B504" t="str"/>
          <cell r="C504" t="str"/>
          <cell r="D504" t="str"/>
          <cell r="E504" t="str"/>
          <cell r="F504" t="str"/>
          <cell r="G504" t="str"/>
          <cell r="H504" t="str"/>
          <cell r="I504" t="str"/>
          <cell r="J504" t="str"/>
          <cell r="K504" t="str"/>
          <cell r="L504" t="str"/>
          <cell r="M504" t="str"/>
          <cell r="N504" t="str"/>
          <cell r="O504" t="str"/>
          <cell r="P504" t="str"/>
          <cell r="Q504" t="str"/>
          <cell r="R504" t="str"/>
          <cell r="S504" t="str"/>
        </row>
        <row r="505">
          <cell r="B505" t="str"/>
          <cell r="C505" t="str"/>
          <cell r="D505" t="str"/>
          <cell r="E505" t="str"/>
          <cell r="F505" t="str"/>
          <cell r="G505" t="str"/>
          <cell r="H505" t="str"/>
          <cell r="I505" t="str"/>
          <cell r="J505" t="str"/>
          <cell r="K505" t="str"/>
          <cell r="L505" t="str"/>
          <cell r="M505" t="str"/>
          <cell r="N505" t="str"/>
          <cell r="O505" t="str"/>
          <cell r="P505" t="str"/>
          <cell r="Q505" t="str"/>
          <cell r="R505" t="str"/>
          <cell r="S505" t="str"/>
        </row>
        <row r="506">
          <cell r="B506" t="str"/>
          <cell r="C506" t="str"/>
          <cell r="D506" t="str"/>
          <cell r="E506" t="str"/>
          <cell r="F506" t="str"/>
          <cell r="G506" t="str"/>
          <cell r="H506" t="str"/>
          <cell r="I506" t="str"/>
          <cell r="J506" t="str"/>
          <cell r="K506" t="str"/>
          <cell r="L506" t="str"/>
          <cell r="M506" t="str"/>
          <cell r="N506" t="str"/>
          <cell r="O506" t="str"/>
          <cell r="P506" t="str"/>
          <cell r="Q506" t="str"/>
          <cell r="R506" t="str"/>
          <cell r="S506" t="str"/>
        </row>
        <row r="507">
          <cell r="B507" t="str"/>
          <cell r="C507" t="str"/>
          <cell r="D507" t="str"/>
          <cell r="E507" t="str"/>
          <cell r="F507" t="str"/>
          <cell r="G507" t="str"/>
          <cell r="H507" t="str"/>
          <cell r="I507" t="str"/>
          <cell r="J507" t="str"/>
          <cell r="K507" t="str"/>
          <cell r="L507" t="str"/>
          <cell r="M507" t="str"/>
          <cell r="N507" t="str"/>
          <cell r="O507" t="str"/>
          <cell r="P507" t="str"/>
          <cell r="Q507" t="str"/>
          <cell r="R507" t="str"/>
          <cell r="S507" t="str"/>
        </row>
        <row r="508">
          <cell r="B508" t="str"/>
          <cell r="C508" t="str"/>
          <cell r="D508" t="str"/>
          <cell r="E508" t="str"/>
          <cell r="F508" t="str"/>
          <cell r="G508" t="str"/>
          <cell r="H508" t="str"/>
          <cell r="I508" t="str"/>
          <cell r="J508" t="str"/>
          <cell r="K508" t="str"/>
          <cell r="L508" t="str"/>
          <cell r="M508" t="str"/>
          <cell r="N508" t="str"/>
          <cell r="O508" t="str"/>
          <cell r="P508" t="str"/>
          <cell r="Q508" t="str"/>
          <cell r="R508" t="str"/>
          <cell r="S508" t="str"/>
        </row>
        <row r="509">
          <cell r="B509" t="str"/>
          <cell r="C509" t="str"/>
          <cell r="D509" t="str"/>
          <cell r="E509" t="str"/>
          <cell r="F509" t="str"/>
          <cell r="G509" t="str"/>
          <cell r="H509" t="str"/>
          <cell r="I509" t="str"/>
          <cell r="J509" t="str"/>
          <cell r="K509" t="str"/>
          <cell r="L509" t="str"/>
          <cell r="M509" t="str"/>
          <cell r="N509" t="str"/>
          <cell r="O509" t="str"/>
          <cell r="P509" t="str"/>
          <cell r="Q509" t="str"/>
          <cell r="R509" t="str"/>
          <cell r="S509" t="str"/>
        </row>
        <row r="510">
          <cell r="B510" t="str"/>
          <cell r="C510" t="str"/>
          <cell r="D510" t="str"/>
          <cell r="E510" t="str"/>
          <cell r="F510" t="str"/>
          <cell r="G510" t="str"/>
          <cell r="H510" t="str"/>
          <cell r="I510" t="str"/>
          <cell r="J510" t="str"/>
          <cell r="K510" t="str"/>
          <cell r="L510" t="str"/>
          <cell r="M510" t="str"/>
          <cell r="N510" t="str"/>
          <cell r="O510" t="str"/>
          <cell r="P510" t="str"/>
          <cell r="Q510" t="str"/>
          <cell r="R510" t="str"/>
          <cell r="S510" t="str"/>
        </row>
        <row r="511">
          <cell r="B511" t="str"/>
          <cell r="C511" t="str"/>
          <cell r="D511" t="str"/>
          <cell r="E511" t="str"/>
          <cell r="F511" t="str"/>
          <cell r="G511" t="str"/>
          <cell r="H511" t="str"/>
          <cell r="I511" t="str"/>
          <cell r="J511" t="str"/>
          <cell r="K511" t="str"/>
          <cell r="L511" t="str"/>
          <cell r="M511" t="str"/>
          <cell r="N511" t="str"/>
          <cell r="O511" t="str"/>
          <cell r="P511" t="str"/>
          <cell r="Q511" t="str"/>
          <cell r="R511" t="str"/>
          <cell r="S511" t="str"/>
        </row>
        <row r="512">
          <cell r="B512" t="str"/>
          <cell r="C512" t="str"/>
          <cell r="D512" t="str"/>
          <cell r="E512" t="str"/>
          <cell r="F512" t="str"/>
          <cell r="G512" t="str"/>
          <cell r="H512" t="str"/>
          <cell r="I512" t="str"/>
          <cell r="J512" t="str"/>
          <cell r="K512" t="str"/>
          <cell r="L512" t="str"/>
          <cell r="M512" t="str"/>
          <cell r="N512" t="str"/>
          <cell r="O512" t="str"/>
          <cell r="P512" t="str"/>
          <cell r="Q512" t="str"/>
          <cell r="R512" t="str"/>
          <cell r="S512" t="str"/>
        </row>
        <row r="513">
          <cell r="B513" t="str"/>
          <cell r="C513" t="str"/>
          <cell r="D513" t="str"/>
          <cell r="E513" t="str"/>
          <cell r="F513" t="str"/>
          <cell r="G513" t="str"/>
          <cell r="H513" t="str"/>
          <cell r="I513" t="str"/>
          <cell r="J513" t="str"/>
          <cell r="K513" t="str"/>
          <cell r="L513" t="str"/>
          <cell r="M513" t="str"/>
          <cell r="N513" t="str"/>
          <cell r="O513" t="str"/>
          <cell r="P513" t="str"/>
          <cell r="Q513" t="str"/>
          <cell r="R513" t="str"/>
          <cell r="S513" t="str"/>
        </row>
        <row r="514">
          <cell r="B514" t="str"/>
          <cell r="C514" t="str"/>
          <cell r="D514" t="str"/>
          <cell r="E514" t="str"/>
          <cell r="F514" t="str"/>
          <cell r="G514" t="str"/>
          <cell r="H514" t="str"/>
          <cell r="I514" t="str"/>
          <cell r="J514" t="str"/>
          <cell r="K514" t="str"/>
          <cell r="L514" t="str"/>
          <cell r="M514" t="str"/>
          <cell r="N514" t="str"/>
          <cell r="O514" t="str"/>
          <cell r="P514" t="str"/>
          <cell r="Q514" t="str"/>
          <cell r="R514" t="str"/>
          <cell r="S514" t="str"/>
        </row>
        <row r="515">
          <cell r="B515" t="str"/>
          <cell r="C515" t="str"/>
          <cell r="D515" t="str"/>
          <cell r="E515" t="str"/>
          <cell r="F515" t="str"/>
          <cell r="G515" t="str"/>
          <cell r="H515" t="str"/>
          <cell r="I515" t="str"/>
          <cell r="J515" t="str"/>
          <cell r="K515" t="str"/>
          <cell r="L515" t="str"/>
          <cell r="M515" t="str"/>
          <cell r="N515" t="str"/>
          <cell r="O515" t="str"/>
          <cell r="P515" t="str"/>
          <cell r="Q515" t="str"/>
          <cell r="R515" t="str"/>
          <cell r="S515" t="str"/>
        </row>
        <row r="516">
          <cell r="B516" t="str"/>
          <cell r="C516" t="str"/>
          <cell r="D516" t="str"/>
          <cell r="E516" t="str"/>
          <cell r="F516" t="str"/>
          <cell r="G516" t="str"/>
          <cell r="H516" t="str"/>
          <cell r="I516" t="str"/>
          <cell r="J516" t="str"/>
          <cell r="K516" t="str"/>
          <cell r="L516" t="str"/>
          <cell r="M516" t="str"/>
          <cell r="N516" t="str"/>
          <cell r="O516" t="str"/>
          <cell r="P516" t="str"/>
          <cell r="Q516" t="str"/>
          <cell r="R516" t="str"/>
          <cell r="S516" t="str"/>
        </row>
        <row r="517">
          <cell r="B517" t="str"/>
          <cell r="C517" t="str"/>
          <cell r="D517" t="str"/>
          <cell r="E517" t="str"/>
          <cell r="F517" t="str"/>
          <cell r="G517" t="str"/>
          <cell r="H517" t="str"/>
          <cell r="I517" t="str"/>
          <cell r="J517" t="str"/>
          <cell r="K517" t="str"/>
          <cell r="L517" t="str"/>
          <cell r="M517" t="str"/>
          <cell r="N517" t="str"/>
          <cell r="O517" t="str"/>
          <cell r="P517" t="str"/>
          <cell r="Q517" t="str"/>
          <cell r="R517" t="str"/>
          <cell r="S517" t="str"/>
        </row>
        <row r="518">
          <cell r="B518" t="str"/>
          <cell r="C518" t="str"/>
          <cell r="D518" t="str"/>
          <cell r="E518" t="str"/>
          <cell r="F518" t="str"/>
          <cell r="G518" t="str"/>
          <cell r="H518" t="str"/>
          <cell r="I518" t="str"/>
          <cell r="J518" t="str"/>
          <cell r="K518" t="str"/>
          <cell r="L518" t="str"/>
          <cell r="M518" t="str"/>
          <cell r="N518" t="str"/>
          <cell r="O518" t="str"/>
          <cell r="P518" t="str"/>
          <cell r="Q518" t="str"/>
          <cell r="R518" t="str"/>
          <cell r="S518" t="str"/>
        </row>
        <row r="519">
          <cell r="B519" t="str"/>
          <cell r="C519" t="str"/>
          <cell r="D519" t="str"/>
          <cell r="E519" t="str"/>
          <cell r="F519" t="str"/>
          <cell r="G519" t="str"/>
          <cell r="H519" t="str"/>
          <cell r="I519" t="str"/>
          <cell r="J519" t="str"/>
          <cell r="K519" t="str"/>
          <cell r="L519" t="str"/>
          <cell r="M519" t="str"/>
          <cell r="N519" t="str"/>
          <cell r="O519" t="str"/>
          <cell r="P519" t="str"/>
          <cell r="Q519" t="str"/>
          <cell r="R519" t="str"/>
          <cell r="S519" t="str"/>
        </row>
        <row r="520">
          <cell r="B520" t="str"/>
          <cell r="C520" t="str"/>
          <cell r="D520" t="str"/>
          <cell r="E520" t="str"/>
          <cell r="F520" t="str"/>
          <cell r="G520" t="str"/>
          <cell r="H520" t="str"/>
          <cell r="I520" t="str"/>
          <cell r="J520" t="str"/>
          <cell r="K520" t="str"/>
          <cell r="L520" t="str"/>
          <cell r="M520" t="str"/>
          <cell r="N520" t="str"/>
          <cell r="O520" t="str"/>
          <cell r="P520" t="str"/>
          <cell r="Q520" t="str"/>
          <cell r="R520" t="str"/>
          <cell r="S520" t="str"/>
        </row>
        <row r="521">
          <cell r="B521" t="str"/>
          <cell r="C521" t="str"/>
          <cell r="D521" t="str"/>
          <cell r="E521" t="str"/>
          <cell r="F521" t="str"/>
          <cell r="G521" t="str"/>
          <cell r="H521" t="str"/>
          <cell r="I521" t="str"/>
          <cell r="J521" t="str"/>
          <cell r="K521" t="str"/>
          <cell r="L521" t="str"/>
          <cell r="M521" t="str"/>
          <cell r="N521" t="str"/>
          <cell r="O521" t="str"/>
          <cell r="P521" t="str"/>
          <cell r="Q521" t="str"/>
          <cell r="R521" t="str"/>
          <cell r="S521" t="str"/>
        </row>
        <row r="522">
          <cell r="B522" t="str"/>
          <cell r="C522" t="str"/>
          <cell r="D522" t="str"/>
          <cell r="E522" t="str"/>
          <cell r="F522" t="str"/>
          <cell r="G522" t="str"/>
          <cell r="H522" t="str"/>
          <cell r="I522" t="str"/>
          <cell r="J522" t="str"/>
          <cell r="K522" t="str"/>
          <cell r="L522" t="str"/>
          <cell r="M522" t="str"/>
          <cell r="N522" t="str"/>
          <cell r="O522" t="str"/>
          <cell r="P522" t="str"/>
          <cell r="Q522" t="str"/>
          <cell r="R522" t="str"/>
          <cell r="S522" t="str"/>
        </row>
        <row r="523">
          <cell r="B523" t="str"/>
          <cell r="C523" t="str"/>
          <cell r="D523" t="str"/>
          <cell r="E523" t="str"/>
          <cell r="F523" t="str"/>
          <cell r="G523" t="str"/>
          <cell r="H523" t="str"/>
          <cell r="I523" t="str"/>
          <cell r="J523" t="str"/>
          <cell r="K523" t="str"/>
          <cell r="L523" t="str"/>
          <cell r="M523" t="str"/>
          <cell r="N523" t="str"/>
          <cell r="O523" t="str"/>
          <cell r="P523" t="str"/>
          <cell r="Q523" t="str"/>
          <cell r="R523" t="str"/>
          <cell r="S523" t="str"/>
        </row>
        <row r="524">
          <cell r="B524" t="str"/>
          <cell r="C524" t="str"/>
          <cell r="D524" t="str"/>
          <cell r="E524" t="str"/>
          <cell r="F524" t="str"/>
          <cell r="G524" t="str"/>
          <cell r="H524" t="str"/>
          <cell r="I524" t="str"/>
          <cell r="J524" t="str"/>
          <cell r="K524" t="str"/>
          <cell r="L524" t="str"/>
          <cell r="M524" t="str"/>
          <cell r="N524" t="str"/>
          <cell r="O524" t="str"/>
          <cell r="P524" t="str"/>
          <cell r="Q524" t="str"/>
          <cell r="R524" t="str"/>
          <cell r="S524" t="str"/>
        </row>
        <row r="525">
          <cell r="B525" t="str"/>
          <cell r="C525" t="str"/>
          <cell r="D525" t="str"/>
          <cell r="E525" t="str"/>
          <cell r="F525" t="str"/>
          <cell r="G525" t="str"/>
          <cell r="H525" t="str"/>
          <cell r="I525" t="str"/>
          <cell r="J525" t="str"/>
          <cell r="K525" t="str"/>
          <cell r="L525" t="str"/>
          <cell r="M525" t="str"/>
          <cell r="N525" t="str"/>
          <cell r="O525" t="str"/>
          <cell r="P525" t="str"/>
          <cell r="Q525" t="str"/>
          <cell r="R525" t="str"/>
          <cell r="S525" t="str"/>
        </row>
        <row r="526">
          <cell r="B526" t="str"/>
          <cell r="C526" t="str"/>
          <cell r="D526" t="str"/>
          <cell r="E526" t="str"/>
          <cell r="F526" t="str"/>
          <cell r="G526" t="str"/>
          <cell r="H526" t="str"/>
          <cell r="I526" t="str"/>
          <cell r="J526" t="str"/>
          <cell r="K526" t="str"/>
          <cell r="L526" t="str"/>
          <cell r="M526" t="str"/>
          <cell r="N526" t="str"/>
          <cell r="O526" t="str"/>
          <cell r="P526" t="str"/>
          <cell r="Q526" t="str"/>
          <cell r="R526" t="str"/>
          <cell r="S526" t="str"/>
        </row>
        <row r="527">
          <cell r="B527" t="str"/>
          <cell r="C527" t="str"/>
          <cell r="D527" t="str"/>
          <cell r="E527" t="str"/>
          <cell r="F527" t="str"/>
          <cell r="G527" t="str"/>
          <cell r="H527" t="str"/>
          <cell r="I527" t="str"/>
          <cell r="J527" t="str"/>
          <cell r="K527" t="str"/>
          <cell r="L527" t="str"/>
          <cell r="M527" t="str"/>
          <cell r="N527" t="str"/>
          <cell r="O527" t="str"/>
          <cell r="P527" t="str"/>
          <cell r="Q527" t="str"/>
          <cell r="R527" t="str"/>
          <cell r="S527" t="str"/>
        </row>
        <row r="528">
          <cell r="B528" t="str"/>
          <cell r="C528" t="str"/>
          <cell r="D528" t="str"/>
          <cell r="E528" t="str"/>
          <cell r="F528" t="str"/>
          <cell r="G528" t="str"/>
          <cell r="H528" t="str"/>
          <cell r="I528" t="str"/>
          <cell r="J528" t="str"/>
          <cell r="K528" t="str"/>
          <cell r="L528" t="str"/>
          <cell r="M528" t="str"/>
          <cell r="N528" t="str"/>
          <cell r="O528" t="str"/>
          <cell r="P528" t="str"/>
          <cell r="Q528" t="str"/>
          <cell r="R528" t="str"/>
          <cell r="S528" t="str"/>
        </row>
        <row r="529">
          <cell r="B529" t="str"/>
          <cell r="C529" t="str"/>
          <cell r="D529" t="str"/>
          <cell r="E529" t="str"/>
          <cell r="F529" t="str"/>
          <cell r="G529" t="str"/>
          <cell r="H529" t="str"/>
          <cell r="I529" t="str"/>
          <cell r="J529" t="str"/>
          <cell r="K529" t="str"/>
          <cell r="L529" t="str"/>
          <cell r="M529" t="str"/>
          <cell r="N529" t="str"/>
          <cell r="O529" t="str"/>
          <cell r="P529" t="str"/>
          <cell r="Q529" t="str"/>
          <cell r="R529" t="str"/>
          <cell r="S529" t="str"/>
        </row>
        <row r="530">
          <cell r="B530" t="str"/>
          <cell r="C530" t="str"/>
          <cell r="D530" t="str"/>
          <cell r="E530" t="str"/>
          <cell r="F530" t="str"/>
          <cell r="G530" t="str"/>
          <cell r="H530" t="str"/>
          <cell r="I530" t="str"/>
          <cell r="J530" t="str"/>
          <cell r="K530" t="str"/>
          <cell r="L530" t="str"/>
          <cell r="M530" t="str"/>
          <cell r="N530" t="str"/>
          <cell r="O530" t="str"/>
          <cell r="P530" t="str"/>
          <cell r="Q530" t="str"/>
          <cell r="R530" t="str"/>
          <cell r="S530" t="str"/>
        </row>
        <row r="531">
          <cell r="B531" t="str"/>
          <cell r="C531" t="str"/>
          <cell r="D531" t="str"/>
          <cell r="E531" t="str"/>
          <cell r="F531" t="str"/>
          <cell r="G531" t="str"/>
          <cell r="H531" t="str"/>
          <cell r="I531" t="str"/>
          <cell r="J531" t="str"/>
          <cell r="K531" t="str"/>
          <cell r="L531" t="str"/>
          <cell r="M531" t="str"/>
          <cell r="N531" t="str"/>
          <cell r="O531" t="str"/>
          <cell r="P531" t="str"/>
          <cell r="Q531" t="str"/>
          <cell r="R531" t="str"/>
          <cell r="S531" t="str"/>
        </row>
        <row r="532">
          <cell r="B532" t="str"/>
          <cell r="C532" t="str"/>
          <cell r="D532" t="str"/>
          <cell r="E532" t="str"/>
          <cell r="F532" t="str"/>
          <cell r="G532" t="str"/>
          <cell r="H532" t="str"/>
          <cell r="I532" t="str"/>
          <cell r="J532" t="str"/>
          <cell r="K532" t="str"/>
          <cell r="L532" t="str"/>
          <cell r="M532" t="str"/>
          <cell r="N532" t="str"/>
          <cell r="O532" t="str"/>
          <cell r="P532" t="str"/>
          <cell r="Q532" t="str"/>
          <cell r="R532" t="str"/>
          <cell r="S532" t="str"/>
        </row>
        <row r="533">
          <cell r="B533" t="str"/>
          <cell r="C533" t="str"/>
          <cell r="D533" t="str"/>
          <cell r="E533" t="str"/>
          <cell r="F533" t="str"/>
          <cell r="G533" t="str"/>
          <cell r="H533" t="str"/>
          <cell r="I533" t="str"/>
          <cell r="J533" t="str"/>
          <cell r="K533" t="str"/>
          <cell r="L533" t="str"/>
          <cell r="M533" t="str"/>
          <cell r="N533" t="str"/>
          <cell r="O533" t="str"/>
          <cell r="P533" t="str"/>
          <cell r="Q533" t="str"/>
          <cell r="R533" t="str"/>
          <cell r="S533" t="str"/>
        </row>
        <row r="534">
          <cell r="B534" t="str"/>
          <cell r="C534" t="str"/>
          <cell r="D534" t="str"/>
          <cell r="E534" t="str"/>
          <cell r="F534" t="str"/>
          <cell r="G534" t="str"/>
          <cell r="H534" t="str"/>
          <cell r="I534" t="str"/>
          <cell r="J534" t="str"/>
          <cell r="K534" t="str"/>
          <cell r="L534" t="str"/>
          <cell r="M534" t="str"/>
          <cell r="N534" t="str"/>
          <cell r="O534" t="str"/>
          <cell r="P534" t="str"/>
          <cell r="Q534" t="str"/>
          <cell r="R534" t="str"/>
          <cell r="S534" t="str"/>
        </row>
        <row r="535">
          <cell r="B535" t="str"/>
          <cell r="C535" t="str"/>
          <cell r="D535" t="str"/>
          <cell r="E535" t="str"/>
          <cell r="F535" t="str"/>
          <cell r="G535" t="str"/>
          <cell r="H535" t="str"/>
          <cell r="I535" t="str"/>
          <cell r="J535" t="str"/>
          <cell r="K535" t="str"/>
          <cell r="L535" t="str"/>
          <cell r="M535" t="str"/>
          <cell r="N535" t="str"/>
          <cell r="O535" t="str"/>
          <cell r="P535" t="str"/>
          <cell r="Q535" t="str"/>
          <cell r="R535" t="str"/>
          <cell r="S535" t="str"/>
        </row>
        <row r="536">
          <cell r="B536" t="str"/>
          <cell r="C536" t="str"/>
          <cell r="D536" t="str"/>
          <cell r="E536" t="str"/>
          <cell r="F536" t="str"/>
          <cell r="G536" t="str"/>
          <cell r="H536" t="str"/>
          <cell r="I536" t="str"/>
          <cell r="J536" t="str"/>
          <cell r="K536" t="str"/>
          <cell r="L536" t="str"/>
          <cell r="M536" t="str"/>
          <cell r="N536" t="str"/>
          <cell r="O536" t="str"/>
          <cell r="P536" t="str"/>
          <cell r="Q536" t="str"/>
          <cell r="R536" t="str"/>
          <cell r="S536" t="str"/>
        </row>
        <row r="537">
          <cell r="B537" t="str"/>
          <cell r="C537" t="str"/>
          <cell r="D537" t="str"/>
          <cell r="E537" t="str"/>
          <cell r="F537" t="str"/>
          <cell r="G537" t="str"/>
          <cell r="H537" t="str"/>
          <cell r="I537" t="str"/>
          <cell r="J537" t="str"/>
          <cell r="K537" t="str"/>
          <cell r="L537" t="str"/>
          <cell r="M537" t="str"/>
          <cell r="N537" t="str"/>
          <cell r="O537" t="str"/>
          <cell r="P537" t="str"/>
          <cell r="Q537" t="str"/>
          <cell r="R537" t="str"/>
          <cell r="S537" t="str"/>
        </row>
        <row r="538">
          <cell r="B538" t="str"/>
          <cell r="C538" t="str"/>
          <cell r="D538" t="str"/>
          <cell r="E538" t="str"/>
          <cell r="F538" t="str"/>
          <cell r="G538" t="str"/>
          <cell r="H538" t="str"/>
          <cell r="I538" t="str"/>
          <cell r="J538" t="str"/>
          <cell r="K538" t="str"/>
          <cell r="L538" t="str"/>
          <cell r="M538" t="str"/>
          <cell r="N538" t="str"/>
          <cell r="O538" t="str"/>
          <cell r="P538" t="str"/>
          <cell r="Q538" t="str"/>
          <cell r="R538" t="str"/>
          <cell r="S538" t="str"/>
        </row>
        <row r="539">
          <cell r="B539" t="str"/>
          <cell r="C539" t="str"/>
          <cell r="D539" t="str"/>
          <cell r="E539" t="str"/>
          <cell r="F539" t="str"/>
          <cell r="G539" t="str"/>
          <cell r="H539" t="str"/>
          <cell r="I539" t="str"/>
          <cell r="J539" t="str"/>
          <cell r="K539" t="str"/>
          <cell r="L539" t="str"/>
          <cell r="M539" t="str"/>
          <cell r="N539" t="str"/>
          <cell r="O539" t="str"/>
          <cell r="P539" t="str"/>
          <cell r="Q539" t="str"/>
          <cell r="R539" t="str"/>
          <cell r="S539" t="str"/>
        </row>
        <row r="540">
          <cell r="B540" t="str"/>
          <cell r="C540" t="str"/>
          <cell r="D540" t="str"/>
          <cell r="E540" t="str"/>
          <cell r="F540" t="str"/>
          <cell r="G540" t="str"/>
          <cell r="H540" t="str"/>
          <cell r="I540" t="str"/>
          <cell r="J540" t="str"/>
          <cell r="K540" t="str"/>
          <cell r="L540" t="str"/>
          <cell r="M540" t="str"/>
          <cell r="N540" t="str"/>
          <cell r="O540" t="str"/>
          <cell r="P540" t="str"/>
          <cell r="Q540" t="str"/>
          <cell r="R540" t="str"/>
          <cell r="S540" t="str"/>
        </row>
        <row r="541">
          <cell r="B541" t="str"/>
          <cell r="C541" t="str"/>
          <cell r="D541" t="str"/>
          <cell r="E541" t="str"/>
          <cell r="F541" t="str"/>
          <cell r="G541" t="str"/>
          <cell r="H541" t="str"/>
          <cell r="I541" t="str"/>
          <cell r="J541" t="str"/>
          <cell r="K541" t="str"/>
          <cell r="L541" t="str"/>
          <cell r="M541" t="str"/>
          <cell r="N541" t="str"/>
          <cell r="O541" t="str"/>
          <cell r="P541" t="str"/>
          <cell r="Q541" t="str"/>
          <cell r="R541" t="str"/>
          <cell r="S541" t="str"/>
        </row>
        <row r="542">
          <cell r="B542" t="str"/>
          <cell r="C542" t="str"/>
          <cell r="D542" t="str"/>
          <cell r="E542" t="str"/>
          <cell r="F542" t="str"/>
          <cell r="G542" t="str"/>
          <cell r="H542" t="str"/>
          <cell r="I542" t="str"/>
          <cell r="J542" t="str"/>
          <cell r="K542" t="str"/>
          <cell r="L542" t="str"/>
          <cell r="M542" t="str"/>
          <cell r="N542" t="str"/>
          <cell r="O542" t="str"/>
          <cell r="P542" t="str"/>
          <cell r="Q542" t="str"/>
          <cell r="R542" t="str"/>
          <cell r="S542" t="str"/>
        </row>
        <row r="543">
          <cell r="B543" t="str"/>
          <cell r="C543" t="str"/>
          <cell r="D543" t="str"/>
          <cell r="E543" t="str"/>
          <cell r="F543" t="str"/>
          <cell r="G543" t="str"/>
          <cell r="H543" t="str"/>
          <cell r="I543" t="str"/>
          <cell r="J543" t="str"/>
          <cell r="K543" t="str"/>
          <cell r="L543" t="str"/>
          <cell r="M543" t="str"/>
          <cell r="N543" t="str"/>
          <cell r="O543" t="str"/>
          <cell r="P543" t="str"/>
          <cell r="Q543" t="str"/>
          <cell r="R543" t="str"/>
          <cell r="S543" t="str"/>
        </row>
        <row r="544">
          <cell r="B544" t="str"/>
          <cell r="C544" t="str"/>
          <cell r="D544" t="str"/>
          <cell r="E544" t="str"/>
          <cell r="F544" t="str"/>
          <cell r="G544" t="str"/>
          <cell r="H544" t="str"/>
          <cell r="I544" t="str"/>
          <cell r="J544" t="str"/>
          <cell r="K544" t="str"/>
          <cell r="L544" t="str"/>
          <cell r="M544" t="str"/>
          <cell r="N544" t="str"/>
          <cell r="O544" t="str"/>
          <cell r="P544" t="str"/>
          <cell r="Q544" t="str"/>
          <cell r="R544" t="str"/>
          <cell r="S544" t="str"/>
        </row>
        <row r="545">
          <cell r="B545" t="str"/>
          <cell r="C545" t="str"/>
          <cell r="D545" t="str"/>
          <cell r="E545" t="str"/>
          <cell r="F545" t="str"/>
          <cell r="G545" t="str"/>
          <cell r="H545" t="str"/>
          <cell r="I545" t="str"/>
          <cell r="J545" t="str"/>
          <cell r="K545" t="str"/>
          <cell r="L545" t="str"/>
          <cell r="M545" t="str"/>
          <cell r="N545" t="str"/>
          <cell r="O545" t="str"/>
          <cell r="P545" t="str"/>
          <cell r="Q545" t="str"/>
          <cell r="R545" t="str"/>
          <cell r="S545" t="str"/>
        </row>
        <row r="546">
          <cell r="B546" t="str"/>
          <cell r="C546" t="str"/>
          <cell r="D546" t="str"/>
          <cell r="E546" t="str"/>
          <cell r="F546" t="str"/>
          <cell r="G546" t="str"/>
          <cell r="H546" t="str"/>
          <cell r="I546" t="str"/>
          <cell r="J546" t="str"/>
          <cell r="K546" t="str"/>
          <cell r="L546" t="str"/>
          <cell r="M546" t="str"/>
          <cell r="N546" t="str"/>
          <cell r="O546" t="str"/>
          <cell r="P546" t="str"/>
          <cell r="Q546" t="str"/>
          <cell r="R546" t="str"/>
          <cell r="S546" t="str"/>
        </row>
        <row r="547">
          <cell r="B547" t="str"/>
          <cell r="C547" t="str"/>
          <cell r="D547" t="str"/>
          <cell r="E547" t="str"/>
          <cell r="F547" t="str"/>
          <cell r="G547" t="str"/>
          <cell r="H547" t="str"/>
          <cell r="I547" t="str"/>
          <cell r="J547" t="str"/>
          <cell r="K547" t="str"/>
          <cell r="L547" t="str"/>
          <cell r="M547" t="str"/>
          <cell r="N547" t="str"/>
          <cell r="O547" t="str"/>
          <cell r="P547" t="str"/>
          <cell r="Q547" t="str"/>
          <cell r="R547" t="str"/>
          <cell r="S547" t="str"/>
        </row>
        <row r="548">
          <cell r="B548" t="str"/>
          <cell r="C548" t="str"/>
          <cell r="D548" t="str"/>
          <cell r="E548" t="str"/>
          <cell r="F548" t="str"/>
          <cell r="G548" t="str"/>
          <cell r="H548" t="str"/>
          <cell r="I548" t="str"/>
          <cell r="J548" t="str"/>
          <cell r="K548" t="str"/>
          <cell r="L548" t="str"/>
          <cell r="M548" t="str"/>
          <cell r="N548" t="str"/>
          <cell r="O548" t="str"/>
          <cell r="P548" t="str"/>
          <cell r="Q548" t="str"/>
          <cell r="R548" t="str"/>
          <cell r="S548" t="str"/>
        </row>
        <row r="549">
          <cell r="B549" t="str"/>
          <cell r="C549" t="str"/>
          <cell r="D549" t="str"/>
          <cell r="E549" t="str"/>
          <cell r="F549" t="str"/>
          <cell r="G549" t="str"/>
          <cell r="H549" t="str"/>
          <cell r="I549" t="str"/>
          <cell r="J549" t="str"/>
          <cell r="K549" t="str"/>
          <cell r="L549" t="str"/>
          <cell r="M549" t="str"/>
          <cell r="N549" t="str"/>
          <cell r="O549" t="str"/>
          <cell r="P549" t="str"/>
          <cell r="Q549" t="str"/>
          <cell r="R549" t="str"/>
          <cell r="S549" t="str"/>
        </row>
        <row r="550">
          <cell r="B550" t="str"/>
          <cell r="C550" t="str"/>
          <cell r="D550" t="str"/>
          <cell r="E550" t="str"/>
          <cell r="F550" t="str"/>
          <cell r="G550" t="str"/>
          <cell r="H550" t="str"/>
          <cell r="I550" t="str"/>
          <cell r="J550" t="str"/>
          <cell r="K550" t="str"/>
          <cell r="L550" t="str"/>
          <cell r="M550" t="str"/>
          <cell r="N550" t="str"/>
          <cell r="O550" t="str"/>
          <cell r="P550" t="str"/>
          <cell r="Q550" t="str"/>
          <cell r="R550" t="str"/>
          <cell r="S550" t="str"/>
        </row>
        <row r="551">
          <cell r="B551" t="str"/>
          <cell r="C551" t="str"/>
          <cell r="D551" t="str"/>
          <cell r="E551" t="str"/>
          <cell r="F551" t="str"/>
          <cell r="G551" t="str"/>
          <cell r="H551" t="str"/>
          <cell r="I551" t="str"/>
          <cell r="J551" t="str"/>
          <cell r="K551" t="str"/>
          <cell r="L551" t="str"/>
          <cell r="M551" t="str"/>
          <cell r="N551" t="str"/>
          <cell r="O551" t="str"/>
          <cell r="P551" t="str"/>
          <cell r="Q551" t="str"/>
          <cell r="R551" t="str"/>
          <cell r="S551" t="str"/>
        </row>
        <row r="552">
          <cell r="B552" t="str"/>
          <cell r="C552" t="str"/>
          <cell r="D552" t="str"/>
          <cell r="E552" t="str"/>
          <cell r="F552" t="str"/>
          <cell r="G552" t="str"/>
          <cell r="H552" t="str"/>
          <cell r="I552" t="str"/>
          <cell r="J552" t="str"/>
          <cell r="K552" t="str"/>
          <cell r="L552" t="str"/>
          <cell r="M552" t="str"/>
          <cell r="N552" t="str"/>
          <cell r="O552" t="str"/>
          <cell r="P552" t="str"/>
          <cell r="Q552" t="str"/>
          <cell r="R552" t="str"/>
          <cell r="S552" t="str"/>
        </row>
        <row r="553">
          <cell r="B553" t="str"/>
          <cell r="C553" t="str"/>
          <cell r="D553" t="str"/>
          <cell r="E553" t="str"/>
          <cell r="F553" t="str"/>
          <cell r="G553" t="str"/>
          <cell r="H553" t="str"/>
          <cell r="I553" t="str"/>
          <cell r="J553" t="str"/>
          <cell r="K553" t="str"/>
          <cell r="L553" t="str"/>
          <cell r="M553" t="str"/>
          <cell r="N553" t="str"/>
          <cell r="O553" t="str"/>
          <cell r="P553" t="str"/>
          <cell r="Q553" t="str"/>
          <cell r="R553" t="str"/>
          <cell r="S553" t="str"/>
        </row>
        <row r="554">
          <cell r="B554" t="str"/>
          <cell r="C554" t="str"/>
          <cell r="D554" t="str"/>
          <cell r="E554" t="str"/>
          <cell r="F554" t="str"/>
          <cell r="G554" t="str"/>
          <cell r="H554" t="str"/>
          <cell r="I554" t="str"/>
          <cell r="J554" t="str"/>
          <cell r="K554" t="str"/>
          <cell r="L554" t="str"/>
          <cell r="M554" t="str"/>
          <cell r="N554" t="str"/>
          <cell r="O554" t="str"/>
          <cell r="P554" t="str"/>
          <cell r="Q554" t="str"/>
          <cell r="R554" t="str"/>
          <cell r="S554" t="str"/>
        </row>
        <row r="555">
          <cell r="B555" t="str"/>
          <cell r="C555" t="str"/>
          <cell r="D555" t="str"/>
          <cell r="E555" t="str"/>
          <cell r="F555" t="str"/>
          <cell r="G555" t="str"/>
          <cell r="H555" t="str"/>
          <cell r="I555" t="str"/>
          <cell r="J555" t="str"/>
          <cell r="K555" t="str"/>
          <cell r="L555" t="str"/>
          <cell r="M555" t="str"/>
          <cell r="N555" t="str"/>
          <cell r="O555" t="str"/>
          <cell r="P555" t="str"/>
          <cell r="Q555" t="str"/>
          <cell r="R555" t="str"/>
          <cell r="S555" t="str"/>
        </row>
        <row r="556">
          <cell r="B556" t="str"/>
          <cell r="C556" t="str"/>
          <cell r="D556" t="str"/>
          <cell r="E556" t="str"/>
          <cell r="F556" t="str"/>
          <cell r="G556" t="str"/>
          <cell r="H556" t="str"/>
          <cell r="I556" t="str"/>
          <cell r="J556" t="str"/>
          <cell r="K556" t="str"/>
          <cell r="L556" t="str"/>
          <cell r="M556" t="str"/>
          <cell r="N556" t="str"/>
          <cell r="O556" t="str"/>
          <cell r="P556" t="str"/>
          <cell r="Q556" t="str"/>
          <cell r="R556" t="str"/>
          <cell r="S556" t="str"/>
        </row>
        <row r="557">
          <cell r="B557" t="str"/>
          <cell r="C557" t="str"/>
          <cell r="D557" t="str"/>
          <cell r="E557" t="str"/>
          <cell r="F557" t="str"/>
          <cell r="G557" t="str"/>
          <cell r="H557" t="str"/>
          <cell r="I557" t="str"/>
          <cell r="J557" t="str"/>
          <cell r="K557" t="str"/>
          <cell r="L557" t="str"/>
          <cell r="M557" t="str"/>
          <cell r="N557" t="str"/>
          <cell r="O557" t="str"/>
          <cell r="P557" t="str"/>
          <cell r="Q557" t="str"/>
          <cell r="R557" t="str"/>
          <cell r="S557" t="str"/>
        </row>
        <row r="558">
          <cell r="B558" t="str"/>
          <cell r="C558" t="str"/>
          <cell r="D558" t="str"/>
          <cell r="E558" t="str"/>
          <cell r="F558" t="str"/>
          <cell r="G558" t="str"/>
          <cell r="H558" t="str"/>
          <cell r="I558" t="str"/>
          <cell r="J558" t="str"/>
          <cell r="K558" t="str"/>
          <cell r="L558" t="str"/>
          <cell r="M558" t="str"/>
          <cell r="N558" t="str"/>
          <cell r="O558" t="str"/>
          <cell r="P558" t="str"/>
          <cell r="Q558" t="str"/>
          <cell r="R558" t="str"/>
          <cell r="S558" t="str"/>
        </row>
        <row r="559">
          <cell r="B559" t="str"/>
          <cell r="C559" t="str"/>
          <cell r="D559" t="str"/>
          <cell r="E559" t="str"/>
          <cell r="F559" t="str"/>
          <cell r="G559" t="str"/>
          <cell r="H559" t="str"/>
          <cell r="I559" t="str"/>
          <cell r="J559" t="str"/>
          <cell r="K559" t="str"/>
          <cell r="L559" t="str"/>
          <cell r="M559" t="str"/>
          <cell r="N559" t="str"/>
          <cell r="O559" t="str"/>
          <cell r="P559" t="str"/>
          <cell r="Q559" t="str"/>
          <cell r="R559" t="str"/>
          <cell r="S559" t="str"/>
        </row>
        <row r="560">
          <cell r="B560" t="str"/>
          <cell r="C560" t="str"/>
          <cell r="D560" t="str"/>
          <cell r="E560" t="str"/>
          <cell r="F560" t="str"/>
          <cell r="G560" t="str"/>
          <cell r="H560" t="str"/>
          <cell r="I560" t="str"/>
          <cell r="J560" t="str"/>
          <cell r="K560" t="str"/>
          <cell r="L560" t="str"/>
          <cell r="M560" t="str"/>
          <cell r="N560" t="str"/>
          <cell r="O560" t="str"/>
          <cell r="P560" t="str"/>
          <cell r="Q560" t="str"/>
          <cell r="R560" t="str"/>
          <cell r="S560" t="str"/>
        </row>
        <row r="561">
          <cell r="B561" t="str"/>
          <cell r="C561" t="str"/>
          <cell r="D561" t="str"/>
          <cell r="E561" t="str"/>
          <cell r="F561" t="str"/>
          <cell r="G561" t="str"/>
          <cell r="H561" t="str"/>
          <cell r="I561" t="str"/>
          <cell r="J561" t="str"/>
          <cell r="K561" t="str"/>
          <cell r="L561" t="str"/>
          <cell r="M561" t="str"/>
          <cell r="N561" t="str"/>
          <cell r="O561" t="str"/>
          <cell r="P561" t="str"/>
          <cell r="Q561" t="str"/>
          <cell r="R561" t="str"/>
          <cell r="S561" t="str"/>
        </row>
        <row r="562">
          <cell r="B562" t="str"/>
          <cell r="C562" t="str"/>
          <cell r="D562" t="str"/>
          <cell r="E562" t="str"/>
          <cell r="F562" t="str"/>
          <cell r="G562" t="str"/>
          <cell r="H562" t="str"/>
          <cell r="I562" t="str"/>
          <cell r="J562" t="str"/>
          <cell r="K562" t="str"/>
          <cell r="L562" t="str"/>
          <cell r="M562" t="str"/>
          <cell r="N562" t="str"/>
          <cell r="O562" t="str"/>
          <cell r="P562" t="str"/>
          <cell r="Q562" t="str"/>
          <cell r="R562" t="str"/>
          <cell r="S562" t="str"/>
        </row>
        <row r="563">
          <cell r="B563" t="str"/>
          <cell r="C563" t="str"/>
          <cell r="D563" t="str"/>
          <cell r="E563" t="str"/>
          <cell r="F563" t="str"/>
          <cell r="G563" t="str"/>
          <cell r="H563" t="str"/>
          <cell r="I563" t="str"/>
          <cell r="J563" t="str"/>
          <cell r="K563" t="str"/>
          <cell r="L563" t="str"/>
          <cell r="M563" t="str"/>
          <cell r="N563" t="str"/>
          <cell r="O563" t="str"/>
          <cell r="P563" t="str"/>
          <cell r="Q563" t="str"/>
          <cell r="R563" t="str"/>
          <cell r="S563" t="str"/>
        </row>
        <row r="564">
          <cell r="B564" t="str"/>
          <cell r="C564" t="str"/>
          <cell r="D564" t="str"/>
          <cell r="E564" t="str"/>
          <cell r="F564" t="str"/>
          <cell r="G564" t="str"/>
          <cell r="H564" t="str"/>
          <cell r="I564" t="str"/>
          <cell r="J564" t="str"/>
          <cell r="K564" t="str"/>
          <cell r="L564" t="str"/>
          <cell r="M564" t="str"/>
          <cell r="N564" t="str"/>
          <cell r="O564" t="str"/>
          <cell r="P564" t="str"/>
          <cell r="Q564" t="str"/>
          <cell r="R564" t="str"/>
          <cell r="S564" t="str"/>
        </row>
        <row r="565">
          <cell r="B565" t="str"/>
          <cell r="C565" t="str"/>
          <cell r="D565" t="str"/>
          <cell r="E565" t="str"/>
          <cell r="F565" t="str"/>
          <cell r="G565" t="str"/>
          <cell r="H565" t="str"/>
          <cell r="I565" t="str"/>
          <cell r="J565" t="str"/>
          <cell r="K565" t="str"/>
          <cell r="L565" t="str"/>
          <cell r="M565" t="str"/>
          <cell r="N565" t="str"/>
          <cell r="O565" t="str"/>
          <cell r="P565" t="str"/>
          <cell r="Q565" t="str"/>
          <cell r="R565" t="str"/>
          <cell r="S565" t="str"/>
        </row>
        <row r="566">
          <cell r="B566" t="str"/>
          <cell r="C566" t="str"/>
          <cell r="D566" t="str"/>
          <cell r="E566" t="str"/>
          <cell r="F566" t="str"/>
          <cell r="G566" t="str"/>
          <cell r="H566" t="str"/>
          <cell r="I566" t="str"/>
          <cell r="J566" t="str"/>
          <cell r="K566" t="str"/>
          <cell r="L566" t="str"/>
          <cell r="M566" t="str"/>
          <cell r="N566" t="str"/>
          <cell r="O566" t="str"/>
          <cell r="P566" t="str"/>
          <cell r="Q566" t="str"/>
          <cell r="R566" t="str"/>
          <cell r="S566" t="str"/>
        </row>
        <row r="567">
          <cell r="B567" t="str"/>
          <cell r="C567" t="str"/>
          <cell r="D567" t="str"/>
          <cell r="E567" t="str"/>
          <cell r="F567" t="str"/>
          <cell r="G567" t="str"/>
          <cell r="H567" t="str"/>
          <cell r="I567" t="str"/>
          <cell r="J567" t="str"/>
          <cell r="K567" t="str"/>
          <cell r="L567" t="str"/>
          <cell r="M567" t="str"/>
          <cell r="N567" t="str"/>
          <cell r="O567" t="str"/>
          <cell r="P567" t="str"/>
          <cell r="Q567" t="str"/>
          <cell r="R567" t="str"/>
          <cell r="S567" t="str"/>
        </row>
        <row r="568">
          <cell r="B568" t="str"/>
          <cell r="C568" t="str"/>
          <cell r="D568" t="str"/>
          <cell r="E568" t="str"/>
          <cell r="F568" t="str"/>
          <cell r="G568" t="str"/>
          <cell r="H568" t="str"/>
          <cell r="I568" t="str"/>
          <cell r="J568" t="str"/>
          <cell r="K568" t="str"/>
          <cell r="L568" t="str"/>
          <cell r="M568" t="str"/>
          <cell r="N568" t="str"/>
          <cell r="O568" t="str"/>
          <cell r="P568" t="str"/>
          <cell r="Q568" t="str"/>
          <cell r="R568" t="str"/>
          <cell r="S568" t="str"/>
        </row>
        <row r="569">
          <cell r="B569" t="str"/>
          <cell r="C569" t="str"/>
          <cell r="D569" t="str"/>
          <cell r="E569" t="str"/>
          <cell r="F569" t="str"/>
          <cell r="G569" t="str"/>
          <cell r="H569" t="str"/>
          <cell r="I569" t="str"/>
          <cell r="J569" t="str"/>
          <cell r="K569" t="str"/>
          <cell r="L569" t="str"/>
          <cell r="M569" t="str"/>
          <cell r="N569" t="str"/>
          <cell r="O569" t="str"/>
          <cell r="P569" t="str"/>
          <cell r="Q569" t="str"/>
          <cell r="R569" t="str"/>
          <cell r="S569" t="str"/>
        </row>
        <row r="570">
          <cell r="B570" t="str"/>
          <cell r="C570" t="str"/>
          <cell r="D570" t="str"/>
          <cell r="E570" t="str"/>
          <cell r="F570" t="str"/>
          <cell r="G570" t="str"/>
          <cell r="H570" t="str"/>
          <cell r="I570" t="str"/>
          <cell r="J570" t="str"/>
          <cell r="K570" t="str"/>
          <cell r="L570" t="str"/>
          <cell r="M570" t="str"/>
          <cell r="N570" t="str"/>
          <cell r="O570" t="str"/>
          <cell r="P570" t="str"/>
          <cell r="Q570" t="str"/>
          <cell r="R570" t="str"/>
          <cell r="S570" t="str"/>
        </row>
        <row r="571">
          <cell r="B571" t="str"/>
          <cell r="C571" t="str"/>
          <cell r="D571" t="str"/>
          <cell r="E571" t="str"/>
          <cell r="F571" t="str"/>
          <cell r="G571" t="str"/>
          <cell r="H571" t="str"/>
          <cell r="I571" t="str"/>
          <cell r="J571" t="str"/>
          <cell r="K571" t="str"/>
          <cell r="L571" t="str"/>
          <cell r="M571" t="str"/>
          <cell r="N571" t="str"/>
          <cell r="O571" t="str"/>
          <cell r="P571" t="str"/>
          <cell r="Q571" t="str"/>
          <cell r="R571" t="str"/>
          <cell r="S571" t="str"/>
        </row>
        <row r="572">
          <cell r="B572" t="str"/>
          <cell r="C572" t="str"/>
          <cell r="D572" t="str"/>
          <cell r="E572" t="str"/>
          <cell r="F572" t="str"/>
          <cell r="G572" t="str"/>
          <cell r="H572" t="str"/>
          <cell r="I572" t="str"/>
          <cell r="J572" t="str"/>
          <cell r="K572" t="str"/>
          <cell r="L572" t="str"/>
          <cell r="M572" t="str"/>
          <cell r="N572" t="str"/>
          <cell r="O572" t="str"/>
          <cell r="P572" t="str"/>
          <cell r="Q572" t="str"/>
          <cell r="R572" t="str"/>
          <cell r="S572" t="str"/>
        </row>
        <row r="573">
          <cell r="B573" t="str"/>
          <cell r="C573" t="str"/>
          <cell r="D573" t="str"/>
          <cell r="E573" t="str"/>
          <cell r="F573" t="str"/>
          <cell r="G573" t="str"/>
          <cell r="H573" t="str"/>
          <cell r="I573" t="str"/>
          <cell r="J573" t="str"/>
          <cell r="K573" t="str"/>
          <cell r="L573" t="str"/>
          <cell r="M573" t="str"/>
          <cell r="N573" t="str"/>
          <cell r="O573" t="str"/>
          <cell r="P573" t="str"/>
          <cell r="Q573" t="str"/>
          <cell r="R573" t="str"/>
          <cell r="S573" t="str"/>
        </row>
        <row r="574">
          <cell r="B574" t="str"/>
          <cell r="C574" t="str"/>
          <cell r="D574" t="str"/>
          <cell r="E574" t="str"/>
          <cell r="F574" t="str"/>
          <cell r="G574" t="str"/>
          <cell r="H574" t="str"/>
          <cell r="I574" t="str"/>
          <cell r="J574" t="str"/>
          <cell r="K574" t="str"/>
          <cell r="L574" t="str"/>
          <cell r="M574" t="str"/>
          <cell r="N574" t="str"/>
          <cell r="O574" t="str"/>
          <cell r="P574" t="str"/>
          <cell r="Q574" t="str"/>
          <cell r="R574" t="str"/>
          <cell r="S574" t="str"/>
        </row>
        <row r="575">
          <cell r="B575" t="str"/>
          <cell r="C575" t="str"/>
          <cell r="D575" t="str"/>
          <cell r="E575" t="str"/>
          <cell r="F575" t="str"/>
          <cell r="G575" t="str"/>
          <cell r="H575" t="str"/>
          <cell r="I575" t="str"/>
          <cell r="J575" t="str"/>
          <cell r="K575" t="str"/>
          <cell r="L575" t="str"/>
          <cell r="M575" t="str"/>
          <cell r="N575" t="str"/>
          <cell r="O575" t="str"/>
          <cell r="P575" t="str"/>
          <cell r="Q575" t="str"/>
          <cell r="R575" t="str"/>
          <cell r="S575" t="str"/>
        </row>
        <row r="576">
          <cell r="B576" t="str"/>
          <cell r="C576" t="str"/>
          <cell r="D576" t="str"/>
          <cell r="E576" t="str"/>
          <cell r="F576" t="str"/>
          <cell r="G576" t="str"/>
          <cell r="H576" t="str"/>
          <cell r="I576" t="str"/>
          <cell r="J576" t="str"/>
          <cell r="K576" t="str"/>
          <cell r="L576" t="str"/>
          <cell r="M576" t="str"/>
          <cell r="N576" t="str"/>
          <cell r="O576" t="str"/>
          <cell r="P576" t="str"/>
          <cell r="Q576" t="str"/>
          <cell r="R576" t="str"/>
          <cell r="S576" t="str"/>
        </row>
        <row r="577">
          <cell r="B577" t="str"/>
          <cell r="C577" t="str"/>
          <cell r="D577" t="str"/>
          <cell r="E577" t="str"/>
          <cell r="F577" t="str"/>
          <cell r="G577" t="str"/>
          <cell r="H577" t="str"/>
          <cell r="I577" t="str"/>
          <cell r="J577" t="str"/>
          <cell r="K577" t="str"/>
          <cell r="L577" t="str"/>
          <cell r="M577" t="str"/>
          <cell r="N577" t="str"/>
          <cell r="O577" t="str"/>
          <cell r="P577" t="str"/>
          <cell r="Q577" t="str"/>
          <cell r="R577" t="str"/>
          <cell r="S577" t="str"/>
        </row>
        <row r="578">
          <cell r="B578" t="str"/>
          <cell r="C578" t="str"/>
          <cell r="D578" t="str"/>
          <cell r="E578" t="str"/>
          <cell r="F578" t="str"/>
          <cell r="G578" t="str"/>
          <cell r="H578" t="str"/>
          <cell r="I578" t="str"/>
          <cell r="J578" t="str"/>
          <cell r="K578" t="str"/>
          <cell r="L578" t="str"/>
          <cell r="M578" t="str"/>
          <cell r="N578" t="str"/>
          <cell r="O578" t="str"/>
          <cell r="P578" t="str"/>
          <cell r="Q578" t="str"/>
          <cell r="R578" t="str"/>
          <cell r="S578" t="str"/>
        </row>
        <row r="579">
          <cell r="B579" t="str"/>
          <cell r="C579" t="str"/>
          <cell r="D579" t="str"/>
          <cell r="E579" t="str"/>
          <cell r="F579" t="str"/>
          <cell r="G579" t="str"/>
          <cell r="H579" t="str"/>
          <cell r="I579" t="str"/>
          <cell r="J579" t="str"/>
          <cell r="K579" t="str"/>
          <cell r="L579" t="str"/>
          <cell r="M579" t="str"/>
          <cell r="N579" t="str"/>
          <cell r="O579" t="str"/>
          <cell r="P579" t="str"/>
          <cell r="Q579" t="str"/>
          <cell r="R579" t="str"/>
          <cell r="S579" t="str"/>
        </row>
        <row r="580">
          <cell r="B580" t="str"/>
          <cell r="C580" t="str"/>
          <cell r="D580" t="str"/>
          <cell r="E580" t="str"/>
          <cell r="F580" t="str"/>
          <cell r="G580" t="str"/>
          <cell r="H580" t="str"/>
          <cell r="I580" t="str"/>
          <cell r="J580" t="str"/>
          <cell r="K580" t="str"/>
          <cell r="L580" t="str"/>
          <cell r="M580" t="str"/>
          <cell r="N580" t="str"/>
          <cell r="O580" t="str"/>
          <cell r="P580" t="str"/>
          <cell r="Q580" t="str"/>
          <cell r="R580" t="str"/>
          <cell r="S580" t="str"/>
        </row>
        <row r="581">
          <cell r="B581" t="str"/>
          <cell r="C581" t="str"/>
          <cell r="D581" t="str"/>
          <cell r="E581" t="str"/>
          <cell r="F581" t="str"/>
          <cell r="G581" t="str"/>
          <cell r="H581" t="str"/>
          <cell r="I581" t="str"/>
          <cell r="J581" t="str"/>
          <cell r="K581" t="str"/>
          <cell r="L581" t="str"/>
          <cell r="M581" t="str"/>
          <cell r="N581" t="str"/>
          <cell r="O581" t="str"/>
          <cell r="P581" t="str"/>
          <cell r="Q581" t="str"/>
          <cell r="R581" t="str"/>
          <cell r="S581" t="str"/>
        </row>
        <row r="582">
          <cell r="B582" t="str"/>
          <cell r="C582" t="str"/>
          <cell r="D582" t="str"/>
          <cell r="E582" t="str"/>
          <cell r="F582" t="str"/>
          <cell r="G582" t="str"/>
          <cell r="H582" t="str"/>
          <cell r="I582" t="str"/>
          <cell r="J582" t="str"/>
          <cell r="K582" t="str"/>
          <cell r="L582" t="str"/>
          <cell r="M582" t="str"/>
          <cell r="N582" t="str"/>
          <cell r="O582" t="str"/>
          <cell r="P582" t="str"/>
          <cell r="Q582" t="str"/>
          <cell r="R582" t="str"/>
          <cell r="S582" t="str"/>
        </row>
        <row r="583">
          <cell r="B583" t="str"/>
          <cell r="C583" t="str"/>
          <cell r="D583" t="str"/>
          <cell r="E583" t="str"/>
          <cell r="F583" t="str"/>
          <cell r="G583" t="str"/>
          <cell r="H583" t="str"/>
          <cell r="I583" t="str"/>
          <cell r="J583" t="str"/>
          <cell r="K583" t="str"/>
          <cell r="L583" t="str"/>
          <cell r="M583" t="str"/>
          <cell r="N583" t="str"/>
          <cell r="O583" t="str"/>
          <cell r="P583" t="str"/>
          <cell r="Q583" t="str"/>
          <cell r="R583" t="str"/>
          <cell r="S583" t="str"/>
        </row>
        <row r="584">
          <cell r="B584" t="str"/>
          <cell r="C584" t="str"/>
          <cell r="D584" t="str"/>
          <cell r="E584" t="str"/>
          <cell r="F584" t="str"/>
          <cell r="G584" t="str"/>
          <cell r="H584" t="str"/>
          <cell r="I584" t="str"/>
          <cell r="J584" t="str"/>
          <cell r="K584" t="str"/>
          <cell r="L584" t="str"/>
          <cell r="M584" t="str"/>
          <cell r="N584" t="str"/>
          <cell r="O584" t="str"/>
          <cell r="P584" t="str"/>
          <cell r="Q584" t="str"/>
          <cell r="R584" t="str"/>
          <cell r="S584" t="str"/>
        </row>
        <row r="585">
          <cell r="B585" t="str"/>
          <cell r="C585" t="str"/>
          <cell r="D585" t="str"/>
          <cell r="E585" t="str"/>
          <cell r="F585" t="str"/>
          <cell r="G585" t="str"/>
          <cell r="H585" t="str"/>
          <cell r="I585" t="str"/>
          <cell r="J585" t="str"/>
          <cell r="K585" t="str"/>
          <cell r="L585" t="str"/>
          <cell r="M585" t="str"/>
          <cell r="N585" t="str"/>
          <cell r="O585" t="str"/>
          <cell r="P585" t="str"/>
          <cell r="Q585" t="str"/>
          <cell r="R585" t="str"/>
          <cell r="S585" t="str"/>
        </row>
        <row r="586">
          <cell r="B586" t="str"/>
          <cell r="C586" t="str"/>
          <cell r="D586" t="str"/>
          <cell r="E586" t="str"/>
          <cell r="F586" t="str"/>
          <cell r="G586" t="str"/>
          <cell r="H586" t="str"/>
          <cell r="I586" t="str"/>
          <cell r="J586" t="str"/>
          <cell r="K586" t="str"/>
          <cell r="L586" t="str"/>
          <cell r="M586" t="str"/>
          <cell r="N586" t="str"/>
          <cell r="O586" t="str"/>
          <cell r="P586" t="str"/>
          <cell r="Q586" t="str"/>
          <cell r="R586" t="str"/>
          <cell r="S586" t="str"/>
        </row>
        <row r="587">
          <cell r="B587" t="str"/>
          <cell r="C587" t="str"/>
          <cell r="D587" t="str"/>
          <cell r="E587" t="str"/>
          <cell r="F587" t="str"/>
          <cell r="G587" t="str"/>
          <cell r="H587" t="str"/>
          <cell r="I587" t="str"/>
          <cell r="J587" t="str"/>
          <cell r="K587" t="str"/>
          <cell r="L587" t="str"/>
          <cell r="M587" t="str"/>
          <cell r="N587" t="str"/>
          <cell r="O587" t="str"/>
          <cell r="P587" t="str"/>
          <cell r="Q587" t="str"/>
          <cell r="R587" t="str"/>
          <cell r="S587" t="str"/>
        </row>
        <row r="588">
          <cell r="B588" t="str"/>
          <cell r="C588" t="str"/>
          <cell r="D588" t="str"/>
          <cell r="E588" t="str"/>
          <cell r="F588" t="str"/>
          <cell r="G588" t="str"/>
          <cell r="H588" t="str"/>
          <cell r="I588" t="str"/>
          <cell r="J588" t="str"/>
          <cell r="K588" t="str"/>
          <cell r="L588" t="str"/>
          <cell r="M588" t="str"/>
          <cell r="N588" t="str"/>
          <cell r="O588" t="str"/>
          <cell r="P588" t="str"/>
          <cell r="Q588" t="str"/>
          <cell r="R588" t="str"/>
          <cell r="S588" t="str"/>
        </row>
        <row r="589">
          <cell r="B589" t="str"/>
          <cell r="C589" t="str"/>
          <cell r="D589" t="str"/>
          <cell r="E589" t="str"/>
          <cell r="F589" t="str"/>
          <cell r="G589" t="str"/>
          <cell r="H589" t="str"/>
          <cell r="I589" t="str"/>
          <cell r="J589" t="str"/>
          <cell r="K589" t="str"/>
          <cell r="L589" t="str"/>
          <cell r="M589" t="str"/>
          <cell r="N589" t="str"/>
          <cell r="O589" t="str"/>
          <cell r="P589" t="str"/>
          <cell r="Q589" t="str"/>
          <cell r="R589" t="str"/>
          <cell r="S589" t="str"/>
        </row>
        <row r="590">
          <cell r="B590" t="str"/>
          <cell r="C590" t="str"/>
          <cell r="D590" t="str"/>
          <cell r="E590" t="str"/>
          <cell r="F590" t="str"/>
          <cell r="G590" t="str"/>
          <cell r="H590" t="str"/>
          <cell r="I590" t="str"/>
          <cell r="J590" t="str"/>
          <cell r="K590" t="str"/>
          <cell r="L590" t="str"/>
          <cell r="M590" t="str"/>
          <cell r="N590" t="str"/>
          <cell r="O590" t="str"/>
          <cell r="P590" t="str"/>
          <cell r="Q590" t="str"/>
          <cell r="R590" t="str"/>
          <cell r="S590" t="str"/>
        </row>
        <row r="591">
          <cell r="B591" t="str"/>
          <cell r="C591" t="str"/>
          <cell r="D591" t="str"/>
          <cell r="E591" t="str"/>
          <cell r="F591" t="str"/>
          <cell r="G591" t="str"/>
          <cell r="H591" t="str"/>
          <cell r="I591" t="str"/>
          <cell r="J591" t="str"/>
          <cell r="K591" t="str"/>
          <cell r="L591" t="str"/>
          <cell r="M591" t="str"/>
          <cell r="N591" t="str"/>
          <cell r="O591" t="str"/>
          <cell r="P591" t="str"/>
          <cell r="Q591" t="str"/>
          <cell r="R591" t="str"/>
          <cell r="S591" t="str"/>
        </row>
        <row r="592">
          <cell r="B592" t="str"/>
          <cell r="C592" t="str"/>
          <cell r="D592" t="str"/>
          <cell r="E592" t="str"/>
          <cell r="F592" t="str"/>
          <cell r="G592" t="str"/>
          <cell r="H592" t="str"/>
          <cell r="I592" t="str"/>
          <cell r="J592" t="str"/>
          <cell r="K592" t="str"/>
          <cell r="L592" t="str"/>
          <cell r="M592" t="str"/>
          <cell r="N592" t="str"/>
          <cell r="O592" t="str"/>
          <cell r="P592" t="str"/>
          <cell r="Q592" t="str"/>
          <cell r="R592" t="str"/>
          <cell r="S592" t="str"/>
        </row>
        <row r="593">
          <cell r="B593" t="str"/>
          <cell r="C593" t="str"/>
          <cell r="D593" t="str"/>
          <cell r="E593" t="str"/>
          <cell r="F593" t="str"/>
          <cell r="G593" t="str"/>
          <cell r="H593" t="str"/>
          <cell r="I593" t="str"/>
          <cell r="J593" t="str"/>
          <cell r="K593" t="str"/>
          <cell r="L593" t="str"/>
          <cell r="M593" t="str"/>
          <cell r="N593" t="str"/>
          <cell r="O593" t="str"/>
          <cell r="P593" t="str"/>
          <cell r="Q593" t="str"/>
          <cell r="R593" t="str"/>
          <cell r="S593" t="str"/>
        </row>
        <row r="594">
          <cell r="B594" t="str"/>
          <cell r="C594" t="str"/>
          <cell r="D594" t="str"/>
          <cell r="E594" t="str"/>
          <cell r="F594" t="str"/>
          <cell r="G594" t="str"/>
          <cell r="H594" t="str"/>
          <cell r="I594" t="str"/>
          <cell r="J594" t="str"/>
          <cell r="K594" t="str"/>
          <cell r="L594" t="str"/>
          <cell r="M594" t="str"/>
          <cell r="N594" t="str"/>
          <cell r="O594" t="str"/>
          <cell r="P594" t="str"/>
          <cell r="Q594" t="str"/>
          <cell r="R594" t="str"/>
          <cell r="S594" t="str"/>
        </row>
        <row r="595">
          <cell r="B595" t="str"/>
          <cell r="C595" t="str"/>
          <cell r="D595" t="str"/>
          <cell r="E595" t="str"/>
          <cell r="F595" t="str"/>
          <cell r="G595" t="str"/>
          <cell r="H595" t="str"/>
          <cell r="I595" t="str"/>
          <cell r="J595" t="str"/>
          <cell r="K595" t="str"/>
          <cell r="L595" t="str"/>
          <cell r="M595" t="str"/>
          <cell r="N595" t="str"/>
          <cell r="O595" t="str"/>
          <cell r="P595" t="str"/>
          <cell r="Q595" t="str"/>
          <cell r="R595" t="str"/>
          <cell r="S595" t="str"/>
        </row>
        <row r="596">
          <cell r="B596" t="str"/>
          <cell r="C596" t="str"/>
          <cell r="D596" t="str"/>
          <cell r="E596" t="str"/>
          <cell r="F596" t="str"/>
          <cell r="G596" t="str"/>
          <cell r="H596" t="str"/>
          <cell r="I596" t="str"/>
          <cell r="J596" t="str"/>
          <cell r="K596" t="str"/>
          <cell r="L596" t="str"/>
          <cell r="M596" t="str"/>
          <cell r="N596" t="str"/>
          <cell r="O596" t="str"/>
          <cell r="P596" t="str"/>
          <cell r="Q596" t="str"/>
          <cell r="R596" t="str"/>
          <cell r="S596" t="str"/>
        </row>
        <row r="597">
          <cell r="B597" t="str"/>
          <cell r="C597" t="str"/>
          <cell r="D597" t="str"/>
          <cell r="E597" t="str"/>
          <cell r="F597" t="str"/>
          <cell r="G597" t="str"/>
          <cell r="H597" t="str"/>
          <cell r="I597" t="str"/>
          <cell r="J597" t="str"/>
          <cell r="K597" t="str"/>
          <cell r="L597" t="str"/>
          <cell r="M597" t="str"/>
          <cell r="N597" t="str"/>
          <cell r="O597" t="str"/>
          <cell r="P597" t="str"/>
          <cell r="Q597" t="str"/>
          <cell r="R597" t="str"/>
          <cell r="S597" t="str"/>
        </row>
        <row r="598">
          <cell r="B598" t="str"/>
          <cell r="C598" t="str"/>
          <cell r="D598" t="str"/>
          <cell r="E598" t="str"/>
          <cell r="F598" t="str"/>
          <cell r="G598" t="str"/>
          <cell r="H598" t="str"/>
          <cell r="I598" t="str"/>
          <cell r="J598" t="str"/>
          <cell r="K598" t="str"/>
          <cell r="L598" t="str"/>
          <cell r="M598" t="str"/>
          <cell r="N598" t="str"/>
          <cell r="O598" t="str"/>
          <cell r="P598" t="str"/>
          <cell r="Q598" t="str"/>
          <cell r="R598" t="str"/>
          <cell r="S598" t="str"/>
        </row>
        <row r="599">
          <cell r="B599" t="str"/>
          <cell r="C599" t="str"/>
          <cell r="D599" t="str"/>
          <cell r="E599" t="str"/>
          <cell r="F599" t="str"/>
          <cell r="G599" t="str"/>
          <cell r="H599" t="str"/>
          <cell r="I599" t="str"/>
          <cell r="J599" t="str"/>
          <cell r="K599" t="str"/>
          <cell r="L599" t="str"/>
          <cell r="M599" t="str"/>
          <cell r="N599" t="str"/>
          <cell r="O599" t="str"/>
          <cell r="P599" t="str"/>
          <cell r="Q599" t="str"/>
          <cell r="R599" t="str"/>
          <cell r="S599" t="str"/>
        </row>
        <row r="600">
          <cell r="B600" t="str"/>
          <cell r="C600" t="str"/>
          <cell r="D600" t="str"/>
          <cell r="E600" t="str"/>
          <cell r="F600" t="str"/>
          <cell r="G600" t="str"/>
          <cell r="H600" t="str"/>
          <cell r="I600" t="str"/>
          <cell r="J600" t="str"/>
          <cell r="K600" t="str"/>
          <cell r="L600" t="str"/>
          <cell r="M600" t="str"/>
          <cell r="N600" t="str"/>
          <cell r="O600" t="str"/>
          <cell r="P600" t="str"/>
          <cell r="Q600" t="str"/>
          <cell r="R600" t="str"/>
          <cell r="S600" t="str"/>
        </row>
        <row r="601">
          <cell r="B601" t="str"/>
          <cell r="C601" t="str"/>
          <cell r="D601" t="str"/>
          <cell r="E601" t="str"/>
          <cell r="F601" t="str"/>
          <cell r="G601" t="str"/>
          <cell r="H601" t="str"/>
          <cell r="I601" t="str"/>
          <cell r="J601" t="str"/>
          <cell r="K601" t="str"/>
          <cell r="L601" t="str"/>
          <cell r="M601" t="str"/>
          <cell r="N601" t="str"/>
          <cell r="O601" t="str"/>
          <cell r="P601" t="str"/>
          <cell r="Q601" t="str"/>
          <cell r="R601" t="str"/>
          <cell r="S601" t="str"/>
        </row>
        <row r="602">
          <cell r="B602" t="str"/>
          <cell r="C602" t="str"/>
          <cell r="D602" t="str"/>
          <cell r="E602" t="str"/>
          <cell r="F602" t="str"/>
          <cell r="G602" t="str"/>
          <cell r="H602" t="str"/>
          <cell r="I602" t="str"/>
          <cell r="J602" t="str"/>
          <cell r="K602" t="str"/>
          <cell r="L602" t="str"/>
          <cell r="M602" t="str"/>
          <cell r="N602" t="str"/>
          <cell r="O602" t="str"/>
          <cell r="P602" t="str"/>
          <cell r="Q602" t="str"/>
          <cell r="R602" t="str"/>
          <cell r="S602" t="str"/>
        </row>
        <row r="603">
          <cell r="B603" t="str"/>
          <cell r="C603" t="str"/>
          <cell r="D603" t="str"/>
          <cell r="E603" t="str"/>
          <cell r="F603" t="str"/>
          <cell r="G603" t="str"/>
          <cell r="H603" t="str"/>
          <cell r="I603" t="str"/>
          <cell r="J603" t="str"/>
          <cell r="K603" t="str"/>
          <cell r="L603" t="str"/>
          <cell r="M603" t="str"/>
          <cell r="N603" t="str"/>
          <cell r="O603" t="str"/>
          <cell r="P603" t="str"/>
          <cell r="Q603" t="str"/>
          <cell r="R603" t="str"/>
          <cell r="S603" t="str"/>
        </row>
        <row r="604">
          <cell r="B604" t="str"/>
          <cell r="C604" t="str"/>
          <cell r="D604" t="str"/>
          <cell r="E604" t="str"/>
          <cell r="F604" t="str"/>
          <cell r="G604" t="str"/>
          <cell r="H604" t="str"/>
          <cell r="I604" t="str"/>
          <cell r="J604" t="str"/>
          <cell r="K604" t="str"/>
          <cell r="L604" t="str"/>
          <cell r="M604" t="str"/>
          <cell r="N604" t="str"/>
          <cell r="O604" t="str"/>
          <cell r="P604" t="str"/>
          <cell r="Q604" t="str"/>
          <cell r="R604" t="str"/>
          <cell r="S604" t="str"/>
        </row>
        <row r="605">
          <cell r="B605" t="str"/>
          <cell r="C605" t="str"/>
          <cell r="D605" t="str"/>
          <cell r="E605" t="str"/>
          <cell r="F605" t="str"/>
          <cell r="G605" t="str"/>
          <cell r="H605" t="str"/>
          <cell r="I605" t="str"/>
          <cell r="J605" t="str"/>
          <cell r="K605" t="str"/>
          <cell r="L605" t="str"/>
          <cell r="M605" t="str"/>
          <cell r="N605" t="str"/>
          <cell r="O605" t="str"/>
          <cell r="P605" t="str"/>
          <cell r="Q605" t="str"/>
          <cell r="R605" t="str"/>
          <cell r="S605" t="str"/>
        </row>
        <row r="606">
          <cell r="B606" t="str"/>
          <cell r="C606" t="str"/>
          <cell r="D606" t="str"/>
          <cell r="E606" t="str"/>
          <cell r="F606" t="str"/>
          <cell r="G606" t="str"/>
          <cell r="H606" t="str"/>
          <cell r="I606" t="str"/>
          <cell r="J606" t="str"/>
          <cell r="K606" t="str"/>
          <cell r="L606" t="str"/>
          <cell r="M606" t="str"/>
          <cell r="N606" t="str"/>
          <cell r="O606" t="str"/>
          <cell r="P606" t="str"/>
          <cell r="Q606" t="str"/>
          <cell r="R606" t="str"/>
          <cell r="S606" t="str"/>
        </row>
        <row r="607">
          <cell r="B607" t="str"/>
          <cell r="C607" t="str"/>
          <cell r="D607" t="str"/>
          <cell r="E607" t="str"/>
          <cell r="F607" t="str"/>
          <cell r="G607" t="str"/>
          <cell r="H607" t="str"/>
          <cell r="I607" t="str"/>
          <cell r="J607" t="str"/>
          <cell r="K607" t="str"/>
          <cell r="L607" t="str"/>
          <cell r="M607" t="str"/>
          <cell r="N607" t="str"/>
          <cell r="O607" t="str"/>
          <cell r="P607" t="str"/>
          <cell r="Q607" t="str"/>
          <cell r="R607" t="str"/>
          <cell r="S607" t="str"/>
        </row>
        <row r="608">
          <cell r="B608" t="str"/>
          <cell r="C608" t="str"/>
          <cell r="D608" t="str"/>
          <cell r="E608" t="str"/>
          <cell r="F608" t="str"/>
          <cell r="G608" t="str"/>
          <cell r="H608" t="str"/>
          <cell r="I608" t="str"/>
          <cell r="J608" t="str"/>
          <cell r="K608" t="str"/>
          <cell r="L608" t="str"/>
          <cell r="M608" t="str"/>
          <cell r="N608" t="str"/>
          <cell r="O608" t="str"/>
          <cell r="P608" t="str"/>
          <cell r="Q608" t="str"/>
          <cell r="R608" t="str"/>
          <cell r="S608" t="str"/>
        </row>
        <row r="609">
          <cell r="B609" t="str"/>
          <cell r="C609" t="str"/>
          <cell r="D609" t="str"/>
          <cell r="E609" t="str"/>
          <cell r="F609" t="str"/>
          <cell r="G609" t="str"/>
          <cell r="H609" t="str"/>
          <cell r="I609" t="str"/>
          <cell r="J609" t="str"/>
          <cell r="K609" t="str"/>
          <cell r="L609" t="str"/>
          <cell r="M609" t="str"/>
          <cell r="N609" t="str"/>
          <cell r="O609" t="str"/>
          <cell r="P609" t="str"/>
          <cell r="Q609" t="str"/>
          <cell r="R609" t="str"/>
          <cell r="S609" t="str"/>
        </row>
        <row r="610">
          <cell r="B610" t="str"/>
          <cell r="C610" t="str"/>
          <cell r="D610" t="str"/>
          <cell r="E610" t="str"/>
          <cell r="F610" t="str"/>
          <cell r="G610" t="str"/>
          <cell r="H610" t="str"/>
          <cell r="I610" t="str"/>
          <cell r="J610" t="str"/>
          <cell r="K610" t="str"/>
          <cell r="L610" t="str"/>
          <cell r="M610" t="str"/>
          <cell r="N610" t="str"/>
          <cell r="O610" t="str"/>
          <cell r="P610" t="str"/>
          <cell r="Q610" t="str"/>
          <cell r="R610" t="str"/>
          <cell r="S610" t="str"/>
        </row>
        <row r="611">
          <cell r="B611" t="str"/>
          <cell r="C611" t="str"/>
          <cell r="D611" t="str"/>
          <cell r="E611" t="str"/>
          <cell r="F611" t="str"/>
          <cell r="G611" t="str"/>
          <cell r="H611" t="str"/>
          <cell r="I611" t="str"/>
          <cell r="J611" t="str"/>
          <cell r="K611" t="str"/>
          <cell r="L611" t="str"/>
          <cell r="M611" t="str"/>
          <cell r="N611" t="str"/>
          <cell r="O611" t="str"/>
          <cell r="P611" t="str"/>
          <cell r="Q611" t="str"/>
          <cell r="R611" t="str"/>
          <cell r="S611" t="str"/>
        </row>
        <row r="612">
          <cell r="B612" t="str"/>
          <cell r="C612" t="str"/>
          <cell r="D612" t="str"/>
          <cell r="E612" t="str"/>
          <cell r="F612" t="str"/>
          <cell r="G612" t="str"/>
          <cell r="H612" t="str"/>
          <cell r="I612" t="str"/>
          <cell r="J612" t="str"/>
          <cell r="K612" t="str"/>
          <cell r="L612" t="str"/>
          <cell r="M612" t="str"/>
          <cell r="N612" t="str"/>
          <cell r="O612" t="str"/>
          <cell r="P612" t="str"/>
          <cell r="Q612" t="str"/>
          <cell r="R612" t="str"/>
          <cell r="S612" t="str"/>
        </row>
        <row r="613">
          <cell r="B613" t="str"/>
          <cell r="C613" t="str"/>
          <cell r="D613" t="str"/>
          <cell r="E613" t="str"/>
          <cell r="F613" t="str"/>
          <cell r="G613" t="str"/>
          <cell r="H613" t="str"/>
          <cell r="I613" t="str"/>
          <cell r="J613" t="str"/>
          <cell r="K613" t="str"/>
          <cell r="L613" t="str"/>
          <cell r="M613" t="str"/>
          <cell r="N613" t="str"/>
          <cell r="O613" t="str"/>
          <cell r="P613" t="str"/>
          <cell r="Q613" t="str"/>
          <cell r="R613" t="str"/>
          <cell r="S613" t="str"/>
        </row>
        <row r="614">
          <cell r="B614" t="str"/>
          <cell r="C614" t="str"/>
          <cell r="D614" t="str"/>
          <cell r="E614" t="str"/>
          <cell r="F614" t="str"/>
          <cell r="G614" t="str"/>
          <cell r="H614" t="str"/>
          <cell r="I614" t="str"/>
          <cell r="J614" t="str"/>
          <cell r="K614" t="str"/>
          <cell r="L614" t="str"/>
          <cell r="M614" t="str"/>
          <cell r="N614" t="str"/>
          <cell r="O614" t="str"/>
          <cell r="P614" t="str"/>
          <cell r="Q614" t="str"/>
          <cell r="R614" t="str"/>
          <cell r="S614" t="str"/>
        </row>
        <row r="615">
          <cell r="B615" t="str"/>
          <cell r="C615" t="str"/>
          <cell r="D615" t="str"/>
          <cell r="E615" t="str"/>
          <cell r="F615" t="str"/>
          <cell r="G615" t="str"/>
          <cell r="H615" t="str"/>
          <cell r="I615" t="str"/>
          <cell r="J615" t="str"/>
          <cell r="K615" t="str"/>
          <cell r="L615" t="str"/>
          <cell r="M615" t="str"/>
          <cell r="N615" t="str"/>
          <cell r="O615" t="str"/>
          <cell r="P615" t="str"/>
          <cell r="Q615" t="str"/>
          <cell r="R615" t="str"/>
          <cell r="S615" t="str"/>
        </row>
        <row r="616">
          <cell r="B616" t="str"/>
          <cell r="C616" t="str"/>
          <cell r="D616" t="str"/>
          <cell r="E616" t="str"/>
          <cell r="F616" t="str"/>
          <cell r="G616" t="str"/>
          <cell r="H616" t="str"/>
          <cell r="I616" t="str"/>
          <cell r="J616" t="str"/>
          <cell r="K616" t="str"/>
          <cell r="L616" t="str"/>
          <cell r="M616" t="str"/>
          <cell r="N616" t="str"/>
          <cell r="O616" t="str"/>
          <cell r="P616" t="str"/>
          <cell r="Q616" t="str"/>
          <cell r="R616" t="str"/>
          <cell r="S616" t="str"/>
        </row>
        <row r="617">
          <cell r="B617" t="str"/>
          <cell r="C617" t="str"/>
          <cell r="D617" t="str"/>
          <cell r="E617" t="str"/>
          <cell r="F617" t="str"/>
          <cell r="G617" t="str"/>
          <cell r="H617" t="str"/>
          <cell r="I617" t="str"/>
          <cell r="J617" t="str"/>
          <cell r="K617" t="str"/>
          <cell r="L617" t="str"/>
          <cell r="M617" t="str"/>
          <cell r="N617" t="str"/>
          <cell r="O617" t="str"/>
          <cell r="P617" t="str"/>
          <cell r="Q617" t="str"/>
          <cell r="R617" t="str"/>
          <cell r="S617" t="str"/>
        </row>
        <row r="618">
          <cell r="B618" t="str"/>
          <cell r="C618" t="str"/>
          <cell r="D618" t="str"/>
          <cell r="E618" t="str"/>
          <cell r="F618" t="str"/>
          <cell r="G618" t="str"/>
          <cell r="H618" t="str"/>
          <cell r="I618" t="str"/>
          <cell r="J618" t="str"/>
          <cell r="K618" t="str"/>
          <cell r="L618" t="str"/>
          <cell r="M618" t="str"/>
          <cell r="N618" t="str"/>
          <cell r="O618" t="str"/>
          <cell r="P618" t="str"/>
          <cell r="Q618" t="str"/>
          <cell r="R618" t="str"/>
          <cell r="S618" t="str"/>
        </row>
        <row r="619">
          <cell r="B619" t="str"/>
          <cell r="C619" t="str"/>
          <cell r="D619" t="str"/>
          <cell r="E619" t="str"/>
          <cell r="F619" t="str"/>
          <cell r="G619" t="str"/>
          <cell r="H619" t="str"/>
          <cell r="I619" t="str"/>
          <cell r="J619" t="str"/>
          <cell r="K619" t="str"/>
          <cell r="L619" t="str"/>
          <cell r="M619" t="str"/>
          <cell r="N619" t="str"/>
          <cell r="O619" t="str"/>
          <cell r="P619" t="str"/>
          <cell r="Q619" t="str"/>
          <cell r="R619" t="str"/>
          <cell r="S619" t="str"/>
        </row>
        <row r="620">
          <cell r="B620" t="str"/>
          <cell r="C620" t="str"/>
          <cell r="D620" t="str"/>
          <cell r="E620" t="str"/>
          <cell r="F620" t="str"/>
          <cell r="G620" t="str"/>
          <cell r="H620" t="str"/>
          <cell r="I620" t="str"/>
          <cell r="J620" t="str"/>
          <cell r="K620" t="str"/>
          <cell r="L620" t="str"/>
          <cell r="M620" t="str"/>
          <cell r="N620" t="str"/>
          <cell r="O620" t="str"/>
          <cell r="P620" t="str"/>
          <cell r="Q620" t="str"/>
          <cell r="R620" t="str"/>
          <cell r="S620" t="str"/>
        </row>
        <row r="621">
          <cell r="B621" t="str"/>
          <cell r="C621" t="str"/>
          <cell r="D621" t="str"/>
          <cell r="E621" t="str"/>
          <cell r="F621" t="str"/>
          <cell r="G621" t="str"/>
          <cell r="H621" t="str"/>
          <cell r="I621" t="str"/>
          <cell r="J621" t="str"/>
          <cell r="K621" t="str"/>
          <cell r="L621" t="str"/>
          <cell r="M621" t="str"/>
          <cell r="N621" t="str"/>
          <cell r="O621" t="str"/>
          <cell r="P621" t="str"/>
          <cell r="Q621" t="str"/>
          <cell r="R621" t="str"/>
          <cell r="S621" t="str"/>
        </row>
        <row r="622">
          <cell r="B622" t="str"/>
          <cell r="C622" t="str"/>
          <cell r="D622" t="str"/>
          <cell r="E622" t="str"/>
          <cell r="F622" t="str"/>
          <cell r="G622" t="str"/>
          <cell r="H622" t="str"/>
          <cell r="I622" t="str"/>
          <cell r="J622" t="str"/>
          <cell r="K622" t="str"/>
          <cell r="L622" t="str"/>
          <cell r="M622" t="str"/>
          <cell r="N622" t="str"/>
          <cell r="O622" t="str"/>
          <cell r="P622" t="str"/>
          <cell r="Q622" t="str"/>
          <cell r="R622" t="str"/>
          <cell r="S622" t="str"/>
        </row>
        <row r="623">
          <cell r="B623" t="str"/>
          <cell r="C623" t="str"/>
          <cell r="D623" t="str"/>
          <cell r="E623" t="str"/>
          <cell r="F623" t="str"/>
          <cell r="G623" t="str"/>
          <cell r="H623" t="str"/>
          <cell r="I623" t="str"/>
          <cell r="J623" t="str"/>
          <cell r="K623" t="str"/>
          <cell r="L623" t="str"/>
          <cell r="M623" t="str"/>
          <cell r="N623" t="str"/>
          <cell r="O623" t="str"/>
          <cell r="P623" t="str"/>
          <cell r="Q623" t="str"/>
          <cell r="R623" t="str"/>
          <cell r="S623" t="str"/>
        </row>
        <row r="624">
          <cell r="B624" t="str"/>
          <cell r="C624" t="str"/>
          <cell r="D624" t="str"/>
          <cell r="E624" t="str"/>
          <cell r="F624" t="str"/>
          <cell r="G624" t="str"/>
          <cell r="H624" t="str"/>
          <cell r="I624" t="str"/>
          <cell r="J624" t="str"/>
          <cell r="K624" t="str"/>
          <cell r="L624" t="str"/>
          <cell r="M624" t="str"/>
          <cell r="N624" t="str"/>
          <cell r="O624" t="str"/>
          <cell r="P624" t="str"/>
          <cell r="Q624" t="str"/>
          <cell r="R624" t="str"/>
          <cell r="S624" t="str"/>
        </row>
        <row r="625">
          <cell r="B625" t="str"/>
          <cell r="C625" t="str"/>
          <cell r="D625" t="str"/>
          <cell r="E625" t="str"/>
          <cell r="F625" t="str"/>
          <cell r="G625" t="str"/>
          <cell r="H625" t="str"/>
          <cell r="I625" t="str"/>
          <cell r="J625" t="str"/>
          <cell r="K625" t="str"/>
          <cell r="L625" t="str"/>
          <cell r="M625" t="str"/>
          <cell r="N625" t="str"/>
          <cell r="O625" t="str"/>
          <cell r="P625" t="str"/>
          <cell r="Q625" t="str"/>
          <cell r="R625" t="str"/>
          <cell r="S625" t="str"/>
        </row>
        <row r="626">
          <cell r="B626" t="str"/>
          <cell r="C626" t="str"/>
          <cell r="D626" t="str"/>
          <cell r="E626" t="str"/>
          <cell r="F626" t="str"/>
          <cell r="G626" t="str"/>
          <cell r="H626" t="str"/>
          <cell r="I626" t="str"/>
          <cell r="J626" t="str"/>
          <cell r="K626" t="str"/>
          <cell r="L626" t="str"/>
          <cell r="M626" t="str"/>
          <cell r="N626" t="str"/>
          <cell r="O626" t="str"/>
          <cell r="P626" t="str"/>
          <cell r="Q626" t="str"/>
          <cell r="R626" t="str"/>
          <cell r="S626" t="str"/>
        </row>
        <row r="627">
          <cell r="B627" t="str"/>
          <cell r="C627" t="str"/>
          <cell r="D627" t="str"/>
          <cell r="E627" t="str"/>
          <cell r="F627" t="str"/>
          <cell r="G627" t="str"/>
          <cell r="H627" t="str"/>
          <cell r="I627" t="str"/>
          <cell r="J627" t="str"/>
          <cell r="K627" t="str"/>
          <cell r="L627" t="str"/>
          <cell r="M627" t="str"/>
          <cell r="N627" t="str"/>
          <cell r="O627" t="str"/>
          <cell r="P627" t="str"/>
          <cell r="Q627" t="str"/>
          <cell r="R627" t="str"/>
          <cell r="S627" t="str"/>
        </row>
        <row r="628">
          <cell r="B628" t="str"/>
          <cell r="C628" t="str"/>
          <cell r="D628" t="str"/>
          <cell r="E628" t="str"/>
          <cell r="F628" t="str"/>
          <cell r="G628" t="str"/>
          <cell r="H628" t="str"/>
          <cell r="I628" t="str"/>
          <cell r="J628" t="str"/>
          <cell r="K628" t="str"/>
          <cell r="L628" t="str"/>
          <cell r="M628" t="str"/>
          <cell r="N628" t="str"/>
          <cell r="O628" t="str"/>
          <cell r="P628" t="str"/>
          <cell r="Q628" t="str"/>
          <cell r="R628" t="str"/>
          <cell r="S628" t="str"/>
        </row>
        <row r="629">
          <cell r="B629" t="str"/>
          <cell r="C629" t="str"/>
          <cell r="D629" t="str"/>
          <cell r="E629" t="str"/>
          <cell r="F629" t="str"/>
          <cell r="G629" t="str"/>
          <cell r="H629" t="str"/>
          <cell r="I629" t="str"/>
          <cell r="J629" t="str"/>
          <cell r="K629" t="str"/>
          <cell r="L629" t="str"/>
          <cell r="M629" t="str"/>
          <cell r="N629" t="str"/>
          <cell r="O629" t="str"/>
          <cell r="P629" t="str"/>
          <cell r="Q629" t="str"/>
          <cell r="R629" t="str"/>
          <cell r="S629" t="str"/>
        </row>
        <row r="630">
          <cell r="B630" t="str"/>
          <cell r="C630" t="str"/>
          <cell r="D630" t="str"/>
          <cell r="E630" t="str"/>
          <cell r="F630" t="str"/>
          <cell r="G630" t="str"/>
          <cell r="H630" t="str"/>
          <cell r="I630" t="str"/>
          <cell r="J630" t="str"/>
          <cell r="K630" t="str"/>
          <cell r="L630" t="str"/>
          <cell r="M630" t="str"/>
          <cell r="N630" t="str"/>
          <cell r="O630" t="str"/>
          <cell r="P630" t="str"/>
          <cell r="Q630" t="str"/>
          <cell r="R630" t="str"/>
          <cell r="S630" t="str"/>
        </row>
        <row r="631">
          <cell r="B631" t="str"/>
          <cell r="C631" t="str"/>
          <cell r="D631" t="str"/>
          <cell r="E631" t="str"/>
          <cell r="F631" t="str"/>
          <cell r="G631" t="str"/>
          <cell r="H631" t="str"/>
          <cell r="I631" t="str"/>
          <cell r="J631" t="str"/>
          <cell r="K631" t="str"/>
          <cell r="L631" t="str"/>
          <cell r="M631" t="str"/>
          <cell r="N631" t="str"/>
          <cell r="O631" t="str"/>
          <cell r="P631" t="str"/>
          <cell r="Q631" t="str"/>
          <cell r="R631" t="str"/>
          <cell r="S631" t="str"/>
        </row>
        <row r="632">
          <cell r="B632" t="str"/>
          <cell r="C632" t="str"/>
          <cell r="D632" t="str"/>
          <cell r="E632" t="str"/>
          <cell r="F632" t="str"/>
          <cell r="G632" t="str"/>
          <cell r="H632" t="str"/>
          <cell r="I632" t="str"/>
          <cell r="J632" t="str"/>
          <cell r="K632" t="str"/>
          <cell r="L632" t="str"/>
          <cell r="M632" t="str"/>
          <cell r="N632" t="str"/>
          <cell r="O632" t="str"/>
          <cell r="P632" t="str"/>
          <cell r="Q632" t="str"/>
          <cell r="R632" t="str"/>
          <cell r="S632" t="str"/>
        </row>
        <row r="633">
          <cell r="B633" t="str"/>
          <cell r="C633" t="str"/>
          <cell r="D633" t="str"/>
          <cell r="E633" t="str"/>
          <cell r="F633" t="str"/>
          <cell r="G633" t="str"/>
          <cell r="H633" t="str"/>
          <cell r="I633" t="str"/>
          <cell r="J633" t="str"/>
          <cell r="K633" t="str"/>
          <cell r="L633" t="str"/>
          <cell r="M633" t="str"/>
          <cell r="N633" t="str"/>
          <cell r="O633" t="str"/>
          <cell r="P633" t="str"/>
          <cell r="Q633" t="str"/>
          <cell r="R633" t="str"/>
          <cell r="S633" t="str"/>
        </row>
        <row r="634">
          <cell r="B634" t="str"/>
          <cell r="C634" t="str"/>
          <cell r="D634" t="str"/>
          <cell r="E634" t="str"/>
          <cell r="F634" t="str"/>
          <cell r="G634" t="str"/>
          <cell r="H634" t="str"/>
          <cell r="I634" t="str"/>
          <cell r="J634" t="str"/>
          <cell r="K634" t="str"/>
          <cell r="L634" t="str"/>
          <cell r="M634" t="str"/>
          <cell r="N634" t="str"/>
          <cell r="O634" t="str"/>
          <cell r="P634" t="str"/>
          <cell r="Q634" t="str"/>
          <cell r="R634" t="str"/>
          <cell r="S634" t="str"/>
        </row>
        <row r="635">
          <cell r="B635" t="str"/>
          <cell r="C635" t="str"/>
          <cell r="D635" t="str"/>
          <cell r="E635" t="str"/>
          <cell r="F635" t="str"/>
          <cell r="G635" t="str"/>
          <cell r="H635" t="str"/>
          <cell r="I635" t="str"/>
          <cell r="J635" t="str"/>
          <cell r="K635" t="str"/>
          <cell r="L635" t="str"/>
          <cell r="M635" t="str"/>
          <cell r="N635" t="str"/>
          <cell r="O635" t="str"/>
          <cell r="P635" t="str"/>
          <cell r="Q635" t="str"/>
          <cell r="R635" t="str"/>
          <cell r="S635" t="str"/>
        </row>
        <row r="636">
          <cell r="B636" t="str"/>
          <cell r="C636" t="str"/>
          <cell r="D636" t="str"/>
          <cell r="E636" t="str"/>
          <cell r="F636" t="str"/>
          <cell r="G636" t="str"/>
          <cell r="H636" t="str"/>
          <cell r="I636" t="str"/>
          <cell r="J636" t="str"/>
          <cell r="K636" t="str"/>
          <cell r="L636" t="str"/>
          <cell r="M636" t="str"/>
          <cell r="N636" t="str"/>
          <cell r="O636" t="str"/>
          <cell r="P636" t="str"/>
          <cell r="Q636" t="str"/>
          <cell r="R636" t="str"/>
          <cell r="S636" t="str"/>
        </row>
        <row r="637">
          <cell r="B637" t="str"/>
          <cell r="C637" t="str"/>
          <cell r="D637" t="str"/>
          <cell r="E637" t="str"/>
          <cell r="F637" t="str"/>
          <cell r="G637" t="str"/>
          <cell r="H637" t="str"/>
          <cell r="I637" t="str"/>
          <cell r="J637" t="str"/>
          <cell r="K637" t="str"/>
          <cell r="L637" t="str"/>
          <cell r="M637" t="str"/>
          <cell r="N637" t="str"/>
          <cell r="O637" t="str"/>
          <cell r="P637" t="str"/>
          <cell r="Q637" t="str"/>
          <cell r="R637" t="str"/>
          <cell r="S637" t="str"/>
        </row>
        <row r="638">
          <cell r="B638" t="str"/>
          <cell r="C638" t="str"/>
          <cell r="D638" t="str"/>
          <cell r="E638" t="str"/>
          <cell r="F638" t="str"/>
          <cell r="G638" t="str"/>
          <cell r="H638" t="str"/>
          <cell r="I638" t="str"/>
          <cell r="J638" t="str"/>
          <cell r="K638" t="str"/>
          <cell r="L638" t="str"/>
          <cell r="M638" t="str"/>
          <cell r="N638" t="str"/>
          <cell r="O638" t="str"/>
          <cell r="P638" t="str"/>
          <cell r="Q638" t="str"/>
          <cell r="R638" t="str"/>
          <cell r="S638" t="str"/>
        </row>
        <row r="639">
          <cell r="B639" t="str"/>
          <cell r="C639" t="str"/>
          <cell r="D639" t="str"/>
          <cell r="E639" t="str"/>
          <cell r="F639" t="str"/>
          <cell r="G639" t="str"/>
          <cell r="H639" t="str"/>
          <cell r="I639" t="str"/>
          <cell r="J639" t="str"/>
          <cell r="K639" t="str"/>
          <cell r="L639" t="str"/>
          <cell r="M639" t="str"/>
          <cell r="N639" t="str"/>
          <cell r="O639" t="str"/>
          <cell r="P639" t="str"/>
          <cell r="Q639" t="str"/>
          <cell r="R639" t="str"/>
          <cell r="S639" t="str"/>
        </row>
        <row r="640">
          <cell r="B640" t="str"/>
          <cell r="C640" t="str"/>
          <cell r="D640" t="str"/>
          <cell r="E640" t="str"/>
          <cell r="F640" t="str"/>
          <cell r="G640" t="str"/>
          <cell r="H640" t="str"/>
          <cell r="I640" t="str"/>
          <cell r="J640" t="str"/>
          <cell r="K640" t="str"/>
          <cell r="L640" t="str"/>
          <cell r="M640" t="str"/>
          <cell r="N640" t="str"/>
          <cell r="O640" t="str"/>
          <cell r="P640" t="str"/>
          <cell r="Q640" t="str"/>
          <cell r="R640" t="str"/>
          <cell r="S640" t="str"/>
        </row>
        <row r="641">
          <cell r="B641" t="str"/>
          <cell r="C641" t="str"/>
          <cell r="D641" t="str"/>
          <cell r="E641" t="str"/>
          <cell r="F641" t="str"/>
          <cell r="G641" t="str"/>
          <cell r="H641" t="str"/>
          <cell r="I641" t="str"/>
          <cell r="J641" t="str"/>
          <cell r="K641" t="str"/>
          <cell r="L641" t="str"/>
          <cell r="M641" t="str"/>
          <cell r="N641" t="str"/>
          <cell r="O641" t="str"/>
          <cell r="P641" t="str"/>
          <cell r="Q641" t="str"/>
          <cell r="R641" t="str"/>
          <cell r="S641" t="str"/>
        </row>
        <row r="642">
          <cell r="B642" t="str"/>
          <cell r="C642" t="str"/>
          <cell r="D642" t="str"/>
          <cell r="E642" t="str"/>
          <cell r="F642" t="str"/>
          <cell r="G642" t="str"/>
          <cell r="H642" t="str"/>
          <cell r="I642" t="str"/>
          <cell r="J642" t="str"/>
          <cell r="K642" t="str"/>
          <cell r="L642" t="str"/>
          <cell r="M642" t="str"/>
          <cell r="N642" t="str"/>
          <cell r="O642" t="str"/>
          <cell r="P642" t="str"/>
          <cell r="Q642" t="str"/>
          <cell r="R642" t="str"/>
          <cell r="S642" t="str"/>
        </row>
        <row r="643">
          <cell r="B643" t="str"/>
          <cell r="C643" t="str"/>
          <cell r="D643" t="str"/>
          <cell r="E643" t="str"/>
          <cell r="F643" t="str"/>
          <cell r="G643" t="str"/>
          <cell r="H643" t="str"/>
          <cell r="I643" t="str"/>
          <cell r="J643" t="str"/>
          <cell r="K643" t="str"/>
          <cell r="L643" t="str"/>
          <cell r="M643" t="str"/>
          <cell r="N643" t="str"/>
          <cell r="O643" t="str"/>
          <cell r="P643" t="str"/>
          <cell r="Q643" t="str"/>
          <cell r="R643" t="str"/>
          <cell r="S643" t="str"/>
        </row>
        <row r="644">
          <cell r="B644" t="str"/>
          <cell r="C644" t="str"/>
          <cell r="D644" t="str"/>
          <cell r="E644" t="str"/>
          <cell r="F644" t="str"/>
          <cell r="G644" t="str"/>
          <cell r="H644" t="str"/>
          <cell r="I644" t="str"/>
          <cell r="J644" t="str"/>
          <cell r="K644" t="str"/>
          <cell r="L644" t="str"/>
          <cell r="M644" t="str"/>
          <cell r="N644" t="str"/>
          <cell r="O644" t="str"/>
          <cell r="P644" t="str"/>
          <cell r="Q644" t="str"/>
          <cell r="R644" t="str"/>
          <cell r="S644" t="str"/>
        </row>
        <row r="645">
          <cell r="B645" t="str"/>
          <cell r="C645" t="str"/>
          <cell r="D645" t="str"/>
          <cell r="E645" t="str"/>
          <cell r="F645" t="str"/>
          <cell r="G645" t="str"/>
          <cell r="H645" t="str"/>
          <cell r="I645" t="str"/>
          <cell r="J645" t="str"/>
          <cell r="K645" t="str"/>
          <cell r="L645" t="str"/>
          <cell r="M645" t="str"/>
          <cell r="N645" t="str"/>
          <cell r="O645" t="str"/>
          <cell r="P645" t="str"/>
          <cell r="Q645" t="str"/>
          <cell r="R645" t="str"/>
          <cell r="S645" t="str"/>
        </row>
        <row r="646">
          <cell r="B646" t="str"/>
          <cell r="C646" t="str"/>
          <cell r="D646" t="str"/>
          <cell r="E646" t="str"/>
          <cell r="F646" t="str"/>
          <cell r="G646" t="str"/>
          <cell r="H646" t="str"/>
          <cell r="I646" t="str"/>
          <cell r="J646" t="str"/>
          <cell r="K646" t="str"/>
          <cell r="L646" t="str"/>
          <cell r="M646" t="str"/>
          <cell r="N646" t="str"/>
          <cell r="O646" t="str"/>
          <cell r="P646" t="str"/>
          <cell r="Q646" t="str"/>
          <cell r="R646" t="str"/>
          <cell r="S646" t="str"/>
        </row>
        <row r="647">
          <cell r="B647" t="str"/>
          <cell r="C647" t="str"/>
          <cell r="D647" t="str"/>
          <cell r="E647" t="str"/>
          <cell r="F647" t="str"/>
          <cell r="G647" t="str"/>
          <cell r="H647" t="str"/>
          <cell r="I647" t="str"/>
          <cell r="J647" t="str"/>
          <cell r="K647" t="str"/>
          <cell r="L647" t="str"/>
          <cell r="M647" t="str"/>
          <cell r="N647" t="str"/>
          <cell r="O647" t="str"/>
          <cell r="P647" t="str"/>
          <cell r="Q647" t="str"/>
          <cell r="R647" t="str"/>
          <cell r="S647" t="str"/>
        </row>
        <row r="648">
          <cell r="B648" t="str"/>
          <cell r="C648" t="str"/>
          <cell r="D648" t="str"/>
          <cell r="E648" t="str"/>
          <cell r="F648" t="str"/>
          <cell r="G648" t="str"/>
          <cell r="H648" t="str"/>
          <cell r="I648" t="str"/>
          <cell r="J648" t="str"/>
          <cell r="K648" t="str"/>
          <cell r="L648" t="str"/>
          <cell r="M648" t="str"/>
          <cell r="N648" t="str"/>
          <cell r="O648" t="str"/>
          <cell r="P648" t="str"/>
          <cell r="Q648" t="str"/>
          <cell r="R648" t="str"/>
          <cell r="S648" t="str"/>
        </row>
        <row r="649">
          <cell r="B649" t="str"/>
          <cell r="C649" t="str"/>
          <cell r="D649" t="str"/>
          <cell r="E649" t="str"/>
          <cell r="F649" t="str"/>
          <cell r="G649" t="str"/>
          <cell r="H649" t="str"/>
          <cell r="I649" t="str"/>
          <cell r="J649" t="str"/>
          <cell r="K649" t="str"/>
          <cell r="L649" t="str"/>
          <cell r="M649" t="str"/>
          <cell r="N649" t="str"/>
          <cell r="O649" t="str"/>
          <cell r="P649" t="str"/>
          <cell r="Q649" t="str"/>
          <cell r="R649" t="str"/>
          <cell r="S649" t="str"/>
        </row>
        <row r="650">
          <cell r="B650" t="str"/>
          <cell r="C650" t="str"/>
          <cell r="D650" t="str"/>
          <cell r="E650" t="str"/>
          <cell r="F650" t="str"/>
          <cell r="G650" t="str"/>
          <cell r="H650" t="str"/>
          <cell r="I650" t="str"/>
          <cell r="J650" t="str"/>
          <cell r="K650" t="str"/>
          <cell r="L650" t="str"/>
          <cell r="M650" t="str"/>
          <cell r="N650" t="str"/>
          <cell r="O650" t="str"/>
          <cell r="P650" t="str"/>
          <cell r="Q650" t="str"/>
          <cell r="R650" t="str"/>
          <cell r="S650" t="str"/>
        </row>
        <row r="651">
          <cell r="B651" t="str"/>
          <cell r="C651" t="str"/>
          <cell r="D651" t="str"/>
          <cell r="E651" t="str"/>
          <cell r="F651" t="str"/>
          <cell r="G651" t="str"/>
          <cell r="H651" t="str"/>
          <cell r="I651" t="str"/>
          <cell r="J651" t="str"/>
          <cell r="K651" t="str"/>
          <cell r="L651" t="str"/>
          <cell r="M651" t="str"/>
          <cell r="N651" t="str"/>
          <cell r="O651" t="str"/>
          <cell r="P651" t="str"/>
          <cell r="Q651" t="str"/>
          <cell r="R651" t="str"/>
          <cell r="S651" t="str"/>
        </row>
        <row r="652">
          <cell r="B652" t="str"/>
          <cell r="C652" t="str"/>
          <cell r="D652" t="str"/>
          <cell r="E652" t="str"/>
          <cell r="F652" t="str"/>
          <cell r="G652" t="str"/>
          <cell r="H652" t="str"/>
          <cell r="I652" t="str"/>
          <cell r="J652" t="str"/>
          <cell r="K652" t="str"/>
          <cell r="L652" t="str"/>
          <cell r="M652" t="str"/>
          <cell r="N652" t="str"/>
          <cell r="O652" t="str"/>
          <cell r="P652" t="str"/>
          <cell r="Q652" t="str"/>
          <cell r="R652" t="str"/>
          <cell r="S652" t="str"/>
        </row>
        <row r="653">
          <cell r="B653" t="str"/>
          <cell r="C653" t="str"/>
          <cell r="D653" t="str"/>
          <cell r="E653" t="str"/>
          <cell r="F653" t="str"/>
          <cell r="G653" t="str"/>
          <cell r="H653" t="str"/>
          <cell r="I653" t="str"/>
          <cell r="J653" t="str"/>
          <cell r="K653" t="str"/>
          <cell r="L653" t="str"/>
          <cell r="M653" t="str"/>
          <cell r="N653" t="str"/>
          <cell r="O653" t="str"/>
          <cell r="P653" t="str"/>
          <cell r="Q653" t="str"/>
          <cell r="R653" t="str"/>
          <cell r="S653" t="str"/>
        </row>
        <row r="654">
          <cell r="B654" t="str"/>
          <cell r="C654" t="str"/>
          <cell r="D654" t="str"/>
          <cell r="E654" t="str"/>
          <cell r="F654" t="str"/>
          <cell r="G654" t="str"/>
          <cell r="H654" t="str"/>
          <cell r="I654" t="str"/>
          <cell r="J654" t="str"/>
          <cell r="K654" t="str"/>
          <cell r="L654" t="str"/>
          <cell r="M654" t="str"/>
          <cell r="N654" t="str"/>
          <cell r="O654" t="str"/>
          <cell r="P654" t="str"/>
          <cell r="Q654" t="str"/>
          <cell r="R654" t="str"/>
          <cell r="S654" t="str"/>
        </row>
        <row r="655">
          <cell r="B655" t="str"/>
          <cell r="C655" t="str"/>
          <cell r="D655" t="str"/>
          <cell r="E655" t="str"/>
          <cell r="F655" t="str"/>
          <cell r="G655" t="str"/>
          <cell r="H655" t="str"/>
          <cell r="I655" t="str"/>
          <cell r="J655" t="str"/>
          <cell r="K655" t="str"/>
          <cell r="L655" t="str"/>
          <cell r="M655" t="str"/>
          <cell r="N655" t="str"/>
          <cell r="O655" t="str"/>
          <cell r="P655" t="str"/>
          <cell r="Q655" t="str"/>
          <cell r="R655" t="str"/>
          <cell r="S655" t="str"/>
        </row>
        <row r="656">
          <cell r="B656" t="str"/>
          <cell r="C656" t="str"/>
          <cell r="D656" t="str"/>
          <cell r="E656" t="str"/>
          <cell r="F656" t="str"/>
          <cell r="G656" t="str"/>
          <cell r="H656" t="str"/>
          <cell r="I656" t="str"/>
          <cell r="J656" t="str"/>
          <cell r="K656" t="str"/>
          <cell r="L656" t="str"/>
          <cell r="M656" t="str"/>
          <cell r="N656" t="str"/>
          <cell r="O656" t="str"/>
          <cell r="P656" t="str"/>
          <cell r="Q656" t="str"/>
          <cell r="R656" t="str"/>
          <cell r="S656" t="str"/>
        </row>
        <row r="657">
          <cell r="B657" t="str"/>
          <cell r="C657" t="str"/>
          <cell r="D657" t="str"/>
          <cell r="E657" t="str"/>
          <cell r="F657" t="str"/>
          <cell r="G657" t="str"/>
          <cell r="H657" t="str"/>
          <cell r="I657" t="str"/>
          <cell r="J657" t="str"/>
          <cell r="K657" t="str"/>
          <cell r="L657" t="str"/>
          <cell r="M657" t="str"/>
          <cell r="N657" t="str"/>
          <cell r="O657" t="str"/>
          <cell r="P657" t="str"/>
          <cell r="Q657" t="str"/>
          <cell r="R657" t="str"/>
          <cell r="S657" t="str"/>
        </row>
        <row r="658">
          <cell r="B658" t="str"/>
          <cell r="C658" t="str"/>
          <cell r="D658" t="str"/>
          <cell r="E658" t="str"/>
          <cell r="F658" t="str"/>
          <cell r="G658" t="str"/>
          <cell r="H658" t="str"/>
          <cell r="I658" t="str"/>
          <cell r="J658" t="str"/>
          <cell r="K658" t="str"/>
          <cell r="L658" t="str"/>
          <cell r="M658" t="str"/>
          <cell r="N658" t="str"/>
          <cell r="O658" t="str"/>
          <cell r="P658" t="str"/>
          <cell r="Q658" t="str"/>
          <cell r="R658" t="str"/>
          <cell r="S658" t="str"/>
        </row>
        <row r="659">
          <cell r="B659" t="str"/>
          <cell r="C659" t="str"/>
          <cell r="D659" t="str"/>
          <cell r="E659" t="str"/>
          <cell r="F659" t="str"/>
          <cell r="G659" t="str"/>
          <cell r="H659" t="str"/>
          <cell r="I659" t="str"/>
          <cell r="J659" t="str"/>
          <cell r="K659" t="str"/>
          <cell r="L659" t="str"/>
          <cell r="M659" t="str"/>
          <cell r="N659" t="str"/>
          <cell r="O659" t="str"/>
          <cell r="P659" t="str"/>
          <cell r="Q659" t="str"/>
          <cell r="R659" t="str"/>
          <cell r="S659" t="str"/>
        </row>
        <row r="660">
          <cell r="B660" t="str"/>
          <cell r="C660" t="str"/>
          <cell r="D660" t="str"/>
          <cell r="E660" t="str"/>
          <cell r="F660" t="str"/>
          <cell r="G660" t="str"/>
          <cell r="H660" t="str"/>
          <cell r="I660" t="str"/>
          <cell r="J660" t="str"/>
          <cell r="K660" t="str"/>
          <cell r="L660" t="str"/>
          <cell r="M660" t="str"/>
          <cell r="N660" t="str"/>
          <cell r="O660" t="str"/>
          <cell r="P660" t="str"/>
          <cell r="Q660" t="str"/>
          <cell r="R660" t="str"/>
          <cell r="S660" t="str"/>
        </row>
        <row r="661">
          <cell r="B661" t="str"/>
          <cell r="C661" t="str"/>
          <cell r="D661" t="str"/>
          <cell r="E661" t="str"/>
          <cell r="F661" t="str"/>
          <cell r="G661" t="str"/>
          <cell r="H661" t="str"/>
          <cell r="I661" t="str"/>
          <cell r="J661" t="str"/>
          <cell r="K661" t="str"/>
          <cell r="L661" t="str"/>
          <cell r="M661" t="str"/>
          <cell r="N661" t="str"/>
          <cell r="O661" t="str"/>
          <cell r="P661" t="str"/>
          <cell r="Q661" t="str"/>
          <cell r="R661" t="str"/>
          <cell r="S661" t="str"/>
        </row>
        <row r="662">
          <cell r="B662" t="str"/>
          <cell r="C662" t="str"/>
          <cell r="D662" t="str"/>
          <cell r="E662" t="str"/>
          <cell r="F662" t="str"/>
          <cell r="G662" t="str"/>
          <cell r="H662" t="str"/>
          <cell r="I662" t="str"/>
          <cell r="J662" t="str"/>
          <cell r="K662" t="str"/>
          <cell r="L662" t="str"/>
          <cell r="M662" t="str"/>
          <cell r="N662" t="str"/>
          <cell r="O662" t="str"/>
          <cell r="P662" t="str"/>
          <cell r="Q662" t="str"/>
          <cell r="R662" t="str"/>
          <cell r="S662" t="str"/>
        </row>
        <row r="663">
          <cell r="B663" t="str"/>
          <cell r="C663" t="str"/>
          <cell r="D663" t="str"/>
          <cell r="E663" t="str"/>
          <cell r="F663" t="str"/>
          <cell r="G663" t="str"/>
          <cell r="H663" t="str"/>
          <cell r="I663" t="str"/>
          <cell r="J663" t="str"/>
          <cell r="K663" t="str"/>
          <cell r="L663" t="str"/>
          <cell r="M663" t="str"/>
          <cell r="N663" t="str"/>
          <cell r="O663" t="str"/>
          <cell r="P663" t="str"/>
          <cell r="Q663" t="str"/>
          <cell r="R663" t="str"/>
          <cell r="S663" t="str"/>
        </row>
        <row r="664">
          <cell r="B664" t="str"/>
          <cell r="C664" t="str"/>
          <cell r="D664" t="str"/>
          <cell r="E664" t="str"/>
          <cell r="F664" t="str"/>
          <cell r="G664" t="str"/>
          <cell r="H664" t="str"/>
          <cell r="I664" t="str"/>
          <cell r="J664" t="str"/>
          <cell r="K664" t="str"/>
          <cell r="L664" t="str"/>
          <cell r="M664" t="str"/>
          <cell r="N664" t="str"/>
          <cell r="O664" t="str"/>
          <cell r="P664" t="str"/>
          <cell r="Q664" t="str"/>
          <cell r="R664" t="str"/>
          <cell r="S664" t="str"/>
        </row>
        <row r="665">
          <cell r="B665" t="str"/>
          <cell r="C665" t="str"/>
          <cell r="D665" t="str"/>
          <cell r="E665" t="str"/>
          <cell r="F665" t="str"/>
          <cell r="G665" t="str"/>
          <cell r="H665" t="str"/>
          <cell r="I665" t="str"/>
          <cell r="J665" t="str"/>
          <cell r="K665" t="str"/>
          <cell r="L665" t="str"/>
          <cell r="M665" t="str"/>
          <cell r="N665" t="str"/>
          <cell r="O665" t="str"/>
          <cell r="P665" t="str"/>
          <cell r="Q665" t="str"/>
          <cell r="R665" t="str"/>
          <cell r="S665" t="str"/>
        </row>
        <row r="666">
          <cell r="B666" t="str"/>
          <cell r="C666" t="str"/>
          <cell r="D666" t="str"/>
          <cell r="E666" t="str"/>
          <cell r="F666" t="str"/>
          <cell r="G666" t="str"/>
          <cell r="H666" t="str"/>
          <cell r="I666" t="str"/>
          <cell r="J666" t="str"/>
          <cell r="K666" t="str"/>
          <cell r="L666" t="str"/>
          <cell r="M666" t="str"/>
          <cell r="N666" t="str"/>
          <cell r="O666" t="str"/>
          <cell r="P666" t="str"/>
          <cell r="Q666" t="str"/>
          <cell r="R666" t="str"/>
          <cell r="S666" t="str"/>
        </row>
        <row r="667">
          <cell r="B667" t="str"/>
          <cell r="C667" t="str"/>
          <cell r="D667" t="str"/>
          <cell r="E667" t="str"/>
          <cell r="F667" t="str"/>
          <cell r="G667" t="str"/>
          <cell r="H667" t="str"/>
          <cell r="I667" t="str"/>
          <cell r="J667" t="str"/>
          <cell r="K667" t="str"/>
          <cell r="L667" t="str"/>
          <cell r="M667" t="str"/>
          <cell r="N667" t="str"/>
          <cell r="O667" t="str"/>
          <cell r="P667" t="str"/>
          <cell r="Q667" t="str"/>
          <cell r="R667" t="str"/>
          <cell r="S667" t="str"/>
        </row>
        <row r="668">
          <cell r="B668" t="str"/>
          <cell r="C668" t="str"/>
          <cell r="D668" t="str"/>
          <cell r="E668" t="str"/>
          <cell r="F668" t="str"/>
          <cell r="G668" t="str"/>
          <cell r="H668" t="str"/>
          <cell r="I668" t="str"/>
          <cell r="J668" t="str"/>
          <cell r="K668" t="str"/>
          <cell r="L668" t="str"/>
          <cell r="M668" t="str"/>
          <cell r="N668" t="str"/>
          <cell r="O668" t="str"/>
          <cell r="P668" t="str"/>
          <cell r="Q668" t="str"/>
          <cell r="R668" t="str"/>
          <cell r="S668" t="str"/>
        </row>
        <row r="669">
          <cell r="B669" t="str"/>
          <cell r="C669" t="str"/>
          <cell r="D669" t="str"/>
          <cell r="E669" t="str"/>
          <cell r="F669" t="str"/>
          <cell r="G669" t="str"/>
          <cell r="H669" t="str"/>
          <cell r="I669" t="str"/>
          <cell r="J669" t="str"/>
          <cell r="K669" t="str"/>
          <cell r="L669" t="str"/>
          <cell r="M669" t="str"/>
          <cell r="N669" t="str"/>
          <cell r="O669" t="str"/>
          <cell r="P669" t="str"/>
          <cell r="Q669" t="str"/>
          <cell r="R669" t="str"/>
          <cell r="S669" t="str"/>
        </row>
        <row r="670">
          <cell r="B670" t="str"/>
          <cell r="C670" t="str"/>
          <cell r="D670" t="str"/>
          <cell r="E670" t="str"/>
          <cell r="F670" t="str"/>
          <cell r="G670" t="str"/>
          <cell r="H670" t="str"/>
          <cell r="I670" t="str"/>
          <cell r="J670" t="str"/>
          <cell r="K670" t="str"/>
          <cell r="L670" t="str"/>
          <cell r="M670" t="str"/>
          <cell r="N670" t="str"/>
          <cell r="O670" t="str"/>
          <cell r="P670" t="str"/>
          <cell r="Q670" t="str"/>
          <cell r="R670" t="str"/>
          <cell r="S670" t="str"/>
        </row>
        <row r="671">
          <cell r="B671" t="str"/>
          <cell r="C671" t="str"/>
          <cell r="D671" t="str"/>
          <cell r="E671" t="str"/>
          <cell r="F671" t="str"/>
          <cell r="G671" t="str"/>
          <cell r="H671" t="str"/>
          <cell r="I671" t="str"/>
          <cell r="J671" t="str"/>
          <cell r="K671" t="str"/>
          <cell r="L671" t="str"/>
          <cell r="M671" t="str"/>
          <cell r="N671" t="str"/>
          <cell r="O671" t="str"/>
          <cell r="P671" t="str"/>
          <cell r="Q671" t="str"/>
          <cell r="R671" t="str"/>
          <cell r="S671" t="str"/>
        </row>
        <row r="672">
          <cell r="B672" t="str"/>
          <cell r="C672" t="str"/>
          <cell r="D672" t="str"/>
          <cell r="E672" t="str"/>
          <cell r="F672" t="str"/>
          <cell r="G672" t="str"/>
          <cell r="H672" t="str"/>
          <cell r="I672" t="str"/>
          <cell r="J672" t="str"/>
          <cell r="K672" t="str"/>
          <cell r="L672" t="str"/>
          <cell r="M672" t="str"/>
          <cell r="N672" t="str"/>
          <cell r="O672" t="str"/>
          <cell r="P672" t="str"/>
          <cell r="Q672" t="str"/>
          <cell r="R672" t="str"/>
          <cell r="S672" t="str"/>
        </row>
        <row r="673">
          <cell r="B673" t="str"/>
          <cell r="C673" t="str"/>
          <cell r="D673" t="str"/>
          <cell r="E673" t="str"/>
          <cell r="F673" t="str"/>
          <cell r="G673" t="str"/>
          <cell r="H673" t="str"/>
          <cell r="I673" t="str"/>
          <cell r="J673" t="str"/>
          <cell r="K673" t="str"/>
          <cell r="L673" t="str"/>
          <cell r="M673" t="str"/>
          <cell r="N673" t="str"/>
          <cell r="O673" t="str"/>
          <cell r="P673" t="str"/>
          <cell r="Q673" t="str"/>
          <cell r="R673" t="str"/>
          <cell r="S673" t="str"/>
        </row>
        <row r="674">
          <cell r="B674" t="str"/>
          <cell r="C674" t="str"/>
          <cell r="D674" t="str"/>
          <cell r="E674" t="str"/>
          <cell r="F674" t="str"/>
          <cell r="G674" t="str"/>
          <cell r="H674" t="str"/>
          <cell r="I674" t="str"/>
          <cell r="J674" t="str"/>
          <cell r="K674" t="str"/>
          <cell r="L674" t="str"/>
          <cell r="M674" t="str"/>
          <cell r="N674" t="str"/>
          <cell r="O674" t="str"/>
          <cell r="P674" t="str"/>
          <cell r="Q674" t="str"/>
          <cell r="R674" t="str"/>
          <cell r="S674" t="str"/>
        </row>
        <row r="675">
          <cell r="B675" t="str"/>
          <cell r="C675" t="str"/>
          <cell r="D675" t="str"/>
          <cell r="E675" t="str"/>
          <cell r="F675" t="str"/>
          <cell r="G675" t="str"/>
          <cell r="H675" t="str"/>
          <cell r="I675" t="str"/>
          <cell r="J675" t="str"/>
          <cell r="K675" t="str"/>
          <cell r="L675" t="str"/>
          <cell r="M675" t="str"/>
          <cell r="N675" t="str"/>
          <cell r="O675" t="str"/>
          <cell r="P675" t="str"/>
          <cell r="Q675" t="str"/>
          <cell r="R675" t="str"/>
          <cell r="S675" t="str"/>
        </row>
        <row r="676">
          <cell r="B676" t="str"/>
          <cell r="C676" t="str"/>
          <cell r="D676" t="str"/>
          <cell r="E676" t="str"/>
          <cell r="F676" t="str"/>
          <cell r="G676" t="str"/>
          <cell r="H676" t="str"/>
          <cell r="I676" t="str"/>
          <cell r="J676" t="str"/>
          <cell r="K676" t="str"/>
          <cell r="L676" t="str"/>
          <cell r="M676" t="str"/>
          <cell r="N676" t="str"/>
          <cell r="O676" t="str"/>
          <cell r="P676" t="str"/>
          <cell r="Q676" t="str"/>
          <cell r="R676" t="str"/>
          <cell r="S676" t="str"/>
        </row>
        <row r="677">
          <cell r="B677" t="str"/>
          <cell r="C677" t="str"/>
          <cell r="D677" t="str"/>
          <cell r="E677" t="str"/>
          <cell r="F677" t="str"/>
          <cell r="G677" t="str"/>
          <cell r="H677" t="str"/>
          <cell r="I677" t="str"/>
          <cell r="J677" t="str"/>
          <cell r="K677" t="str"/>
          <cell r="L677" t="str"/>
          <cell r="M677" t="str"/>
          <cell r="N677" t="str"/>
          <cell r="O677" t="str"/>
          <cell r="P677" t="str"/>
          <cell r="Q677" t="str"/>
          <cell r="R677" t="str"/>
          <cell r="S677" t="str"/>
        </row>
        <row r="678">
          <cell r="B678" t="str"/>
          <cell r="C678" t="str"/>
          <cell r="D678" t="str"/>
          <cell r="E678" t="str"/>
          <cell r="F678" t="str"/>
          <cell r="G678" t="str"/>
          <cell r="H678" t="str"/>
          <cell r="I678" t="str"/>
          <cell r="J678" t="str"/>
          <cell r="K678" t="str"/>
          <cell r="L678" t="str"/>
          <cell r="M678" t="str"/>
          <cell r="N678" t="str"/>
          <cell r="O678" t="str"/>
          <cell r="P678" t="str"/>
          <cell r="Q678" t="str"/>
          <cell r="R678" t="str"/>
          <cell r="S678" t="str"/>
        </row>
        <row r="679">
          <cell r="B679" t="str"/>
          <cell r="C679" t="str"/>
          <cell r="D679" t="str"/>
          <cell r="E679" t="str"/>
          <cell r="F679" t="str"/>
          <cell r="G679" t="str"/>
          <cell r="H679" t="str"/>
          <cell r="I679" t="str"/>
          <cell r="J679" t="str"/>
          <cell r="K679" t="str"/>
          <cell r="L679" t="str"/>
          <cell r="M679" t="str"/>
          <cell r="N679" t="str"/>
          <cell r="O679" t="str"/>
          <cell r="P679" t="str"/>
          <cell r="Q679" t="str"/>
          <cell r="R679" t="str"/>
          <cell r="S679" t="str"/>
        </row>
        <row r="680">
          <cell r="B680" t="str"/>
          <cell r="C680" t="str"/>
          <cell r="D680" t="str"/>
          <cell r="E680" t="str"/>
          <cell r="F680" t="str"/>
          <cell r="G680" t="str"/>
          <cell r="H680" t="str"/>
          <cell r="I680" t="str"/>
          <cell r="J680" t="str"/>
          <cell r="K680" t="str"/>
          <cell r="L680" t="str"/>
          <cell r="M680" t="str"/>
          <cell r="N680" t="str"/>
          <cell r="O680" t="str"/>
          <cell r="P680" t="str"/>
          <cell r="Q680" t="str"/>
          <cell r="R680" t="str"/>
          <cell r="S680" t="str"/>
        </row>
        <row r="681">
          <cell r="B681" t="str"/>
          <cell r="C681" t="str"/>
          <cell r="D681" t="str"/>
          <cell r="E681" t="str"/>
          <cell r="F681" t="str"/>
          <cell r="G681" t="str"/>
          <cell r="H681" t="str"/>
          <cell r="I681" t="str"/>
          <cell r="J681" t="str"/>
          <cell r="K681" t="str"/>
          <cell r="L681" t="str"/>
          <cell r="M681" t="str"/>
          <cell r="N681" t="str"/>
          <cell r="O681" t="str"/>
          <cell r="P681" t="str"/>
          <cell r="Q681" t="str"/>
          <cell r="R681" t="str"/>
          <cell r="S681" t="str"/>
        </row>
        <row r="682">
          <cell r="B682" t="str"/>
          <cell r="C682" t="str"/>
          <cell r="D682" t="str"/>
          <cell r="E682" t="str"/>
          <cell r="F682" t="str"/>
          <cell r="G682" t="str"/>
          <cell r="H682" t="str"/>
          <cell r="I682" t="str"/>
          <cell r="J682" t="str"/>
          <cell r="K682" t="str"/>
          <cell r="L682" t="str"/>
          <cell r="M682" t="str"/>
          <cell r="N682" t="str"/>
          <cell r="O682" t="str"/>
          <cell r="P682" t="str"/>
          <cell r="Q682" t="str"/>
          <cell r="R682" t="str"/>
          <cell r="S682" t="str"/>
        </row>
        <row r="683">
          <cell r="B683" t="str"/>
          <cell r="C683" t="str"/>
          <cell r="D683" t="str"/>
          <cell r="E683" t="str"/>
          <cell r="F683" t="str"/>
          <cell r="G683" t="str"/>
          <cell r="H683" t="str"/>
          <cell r="I683" t="str"/>
          <cell r="J683" t="str"/>
          <cell r="K683" t="str"/>
          <cell r="L683" t="str"/>
          <cell r="M683" t="str"/>
          <cell r="N683" t="str"/>
          <cell r="O683" t="str"/>
          <cell r="P683" t="str"/>
          <cell r="Q683" t="str"/>
          <cell r="R683" t="str"/>
          <cell r="S683" t="str"/>
        </row>
        <row r="684">
          <cell r="B684" t="str"/>
          <cell r="C684" t="str"/>
          <cell r="D684" t="str"/>
          <cell r="E684" t="str"/>
          <cell r="F684" t="str"/>
          <cell r="G684" t="str"/>
          <cell r="H684" t="str"/>
          <cell r="I684" t="str"/>
          <cell r="J684" t="str"/>
          <cell r="K684" t="str"/>
          <cell r="L684" t="str"/>
          <cell r="M684" t="str"/>
          <cell r="N684" t="str"/>
          <cell r="O684" t="str"/>
          <cell r="P684" t="str"/>
          <cell r="Q684" t="str"/>
          <cell r="R684" t="str"/>
          <cell r="S684" t="str"/>
        </row>
        <row r="685">
          <cell r="B685" t="str"/>
          <cell r="C685" t="str"/>
          <cell r="D685" t="str"/>
          <cell r="E685" t="str"/>
          <cell r="F685" t="str"/>
          <cell r="G685" t="str"/>
          <cell r="H685" t="str"/>
          <cell r="I685" t="str"/>
          <cell r="J685" t="str"/>
          <cell r="K685" t="str"/>
          <cell r="L685" t="str"/>
          <cell r="M685" t="str"/>
          <cell r="N685" t="str"/>
          <cell r="O685" t="str"/>
          <cell r="P685" t="str"/>
          <cell r="Q685" t="str"/>
          <cell r="R685" t="str"/>
          <cell r="S685" t="str"/>
        </row>
        <row r="686">
          <cell r="B686" t="str"/>
          <cell r="C686" t="str"/>
          <cell r="D686" t="str"/>
          <cell r="E686" t="str"/>
          <cell r="F686" t="str"/>
          <cell r="G686" t="str"/>
          <cell r="H686" t="str"/>
          <cell r="I686" t="str"/>
          <cell r="J686" t="str"/>
          <cell r="K686" t="str"/>
          <cell r="L686" t="str"/>
          <cell r="M686" t="str"/>
          <cell r="N686" t="str"/>
          <cell r="O686" t="str"/>
          <cell r="P686" t="str"/>
          <cell r="Q686" t="str"/>
          <cell r="R686" t="str"/>
          <cell r="S686" t="str"/>
        </row>
        <row r="687">
          <cell r="B687" t="str"/>
          <cell r="C687" t="str"/>
          <cell r="D687" t="str"/>
          <cell r="E687" t="str"/>
          <cell r="F687" t="str"/>
          <cell r="G687" t="str"/>
          <cell r="H687" t="str"/>
          <cell r="I687" t="str"/>
          <cell r="J687" t="str"/>
          <cell r="K687" t="str"/>
          <cell r="L687" t="str"/>
          <cell r="M687" t="str"/>
          <cell r="N687" t="str"/>
          <cell r="O687" t="str"/>
          <cell r="P687" t="str"/>
          <cell r="Q687" t="str"/>
          <cell r="R687" t="str"/>
          <cell r="S687" t="str"/>
        </row>
        <row r="688">
          <cell r="B688" t="str"/>
          <cell r="C688" t="str"/>
          <cell r="D688" t="str"/>
          <cell r="E688" t="str"/>
          <cell r="F688" t="str"/>
          <cell r="G688" t="str"/>
          <cell r="H688" t="str"/>
          <cell r="I688" t="str"/>
          <cell r="J688" t="str"/>
          <cell r="K688" t="str"/>
          <cell r="L688" t="str"/>
          <cell r="M688" t="str"/>
          <cell r="N688" t="str"/>
          <cell r="O688" t="str"/>
          <cell r="P688" t="str"/>
          <cell r="Q688" t="str"/>
          <cell r="R688" t="str"/>
          <cell r="S688" t="str"/>
        </row>
        <row r="689">
          <cell r="B689" t="str"/>
          <cell r="C689" t="str"/>
          <cell r="D689" t="str"/>
          <cell r="E689" t="str"/>
          <cell r="F689" t="str"/>
          <cell r="G689" t="str"/>
          <cell r="H689" t="str"/>
          <cell r="I689" t="str"/>
          <cell r="J689" t="str"/>
          <cell r="K689" t="str"/>
          <cell r="L689" t="str"/>
          <cell r="M689" t="str"/>
          <cell r="N689" t="str"/>
          <cell r="O689" t="str"/>
          <cell r="P689" t="str"/>
          <cell r="Q689" t="str"/>
          <cell r="R689" t="str"/>
          <cell r="S689" t="str"/>
        </row>
        <row r="690">
          <cell r="B690" t="str"/>
          <cell r="C690" t="str"/>
          <cell r="D690" t="str"/>
          <cell r="E690" t="str"/>
          <cell r="F690" t="str"/>
          <cell r="G690" t="str"/>
          <cell r="H690" t="str"/>
          <cell r="I690" t="str"/>
          <cell r="J690" t="str"/>
          <cell r="K690" t="str"/>
          <cell r="L690" t="str"/>
          <cell r="M690" t="str"/>
          <cell r="N690" t="str"/>
          <cell r="O690" t="str"/>
          <cell r="P690" t="str"/>
          <cell r="Q690" t="str"/>
          <cell r="R690" t="str"/>
          <cell r="S690" t="str"/>
        </row>
        <row r="691">
          <cell r="B691" t="str"/>
          <cell r="C691" t="str"/>
          <cell r="D691" t="str"/>
          <cell r="E691" t="str"/>
          <cell r="F691" t="str"/>
          <cell r="G691" t="str"/>
          <cell r="H691" t="str"/>
          <cell r="I691" t="str"/>
          <cell r="J691" t="str"/>
          <cell r="K691" t="str"/>
          <cell r="L691" t="str"/>
          <cell r="M691" t="str"/>
          <cell r="N691" t="str"/>
          <cell r="O691" t="str"/>
          <cell r="P691" t="str"/>
          <cell r="Q691" t="str"/>
          <cell r="R691" t="str"/>
          <cell r="S691" t="str"/>
        </row>
        <row r="692">
          <cell r="B692" t="str"/>
          <cell r="C692" t="str"/>
          <cell r="D692" t="str"/>
          <cell r="E692" t="str"/>
          <cell r="F692" t="str"/>
          <cell r="G692" t="str"/>
          <cell r="H692" t="str"/>
          <cell r="I692" t="str"/>
          <cell r="J692" t="str"/>
          <cell r="K692" t="str"/>
          <cell r="L692" t="str"/>
          <cell r="M692" t="str"/>
          <cell r="N692" t="str"/>
          <cell r="O692" t="str"/>
          <cell r="P692" t="str"/>
          <cell r="Q692" t="str"/>
          <cell r="R692" t="str"/>
          <cell r="S692" t="str"/>
        </row>
        <row r="693">
          <cell r="B693" t="str"/>
          <cell r="C693" t="str"/>
          <cell r="D693" t="str"/>
          <cell r="E693" t="str"/>
          <cell r="F693" t="str"/>
          <cell r="G693" t="str"/>
          <cell r="H693" t="str"/>
          <cell r="I693" t="str"/>
          <cell r="J693" t="str"/>
          <cell r="K693" t="str"/>
          <cell r="L693" t="str"/>
          <cell r="M693" t="str"/>
          <cell r="N693" t="str"/>
          <cell r="O693" t="str"/>
          <cell r="P693" t="str"/>
          <cell r="Q693" t="str"/>
          <cell r="R693" t="str"/>
          <cell r="S693" t="str"/>
        </row>
        <row r="694">
          <cell r="B694" t="str"/>
          <cell r="C694" t="str"/>
          <cell r="D694" t="str"/>
          <cell r="E694" t="str"/>
          <cell r="F694" t="str"/>
          <cell r="G694" t="str"/>
          <cell r="H694" t="str"/>
          <cell r="I694" t="str"/>
          <cell r="J694" t="str"/>
          <cell r="K694" t="str"/>
          <cell r="L694" t="str"/>
          <cell r="M694" t="str"/>
          <cell r="N694" t="str"/>
          <cell r="O694" t="str"/>
          <cell r="P694" t="str"/>
          <cell r="Q694" t="str"/>
          <cell r="R694" t="str"/>
          <cell r="S694" t="str"/>
        </row>
        <row r="695">
          <cell r="B695" t="str"/>
          <cell r="C695" t="str"/>
          <cell r="D695" t="str"/>
          <cell r="E695" t="str"/>
          <cell r="F695" t="str"/>
          <cell r="G695" t="str"/>
          <cell r="H695" t="str"/>
          <cell r="I695" t="str"/>
          <cell r="J695" t="str"/>
          <cell r="K695" t="str"/>
          <cell r="L695" t="str"/>
          <cell r="M695" t="str"/>
          <cell r="N695" t="str"/>
          <cell r="O695" t="str"/>
          <cell r="P695" t="str"/>
          <cell r="Q695" t="str"/>
          <cell r="R695" t="str"/>
          <cell r="S695" t="str"/>
        </row>
        <row r="696">
          <cell r="B696" t="str"/>
          <cell r="C696" t="str"/>
          <cell r="D696" t="str"/>
          <cell r="E696" t="str"/>
          <cell r="F696" t="str"/>
          <cell r="G696" t="str"/>
          <cell r="H696" t="str"/>
          <cell r="I696" t="str"/>
          <cell r="J696" t="str"/>
          <cell r="K696" t="str"/>
          <cell r="L696" t="str"/>
          <cell r="M696" t="str"/>
          <cell r="N696" t="str"/>
          <cell r="O696" t="str"/>
          <cell r="P696" t="str"/>
          <cell r="Q696" t="str"/>
          <cell r="R696" t="str"/>
          <cell r="S696" t="str"/>
        </row>
        <row r="697">
          <cell r="B697" t="str"/>
          <cell r="C697" t="str"/>
          <cell r="D697" t="str"/>
          <cell r="E697" t="str"/>
          <cell r="F697" t="str"/>
          <cell r="G697" t="str"/>
          <cell r="H697" t="str"/>
          <cell r="I697" t="str"/>
          <cell r="J697" t="str"/>
          <cell r="K697" t="str"/>
          <cell r="L697" t="str"/>
          <cell r="M697" t="str"/>
          <cell r="N697" t="str"/>
          <cell r="O697" t="str"/>
          <cell r="P697" t="str"/>
          <cell r="Q697" t="str"/>
          <cell r="R697" t="str"/>
          <cell r="S697" t="str"/>
        </row>
        <row r="698">
          <cell r="B698" t="str"/>
          <cell r="C698" t="str"/>
          <cell r="D698" t="str"/>
          <cell r="E698" t="str"/>
          <cell r="F698" t="str"/>
          <cell r="G698" t="str"/>
          <cell r="H698" t="str"/>
          <cell r="I698" t="str"/>
          <cell r="J698" t="str"/>
          <cell r="K698" t="str"/>
          <cell r="L698" t="str"/>
          <cell r="M698" t="str"/>
          <cell r="N698" t="str"/>
          <cell r="O698" t="str"/>
          <cell r="P698" t="str"/>
          <cell r="Q698" t="str"/>
          <cell r="R698" t="str"/>
          <cell r="S698" t="str"/>
        </row>
        <row r="699">
          <cell r="B699" t="str"/>
          <cell r="C699" t="str"/>
          <cell r="D699" t="str"/>
          <cell r="E699" t="str"/>
          <cell r="F699" t="str"/>
          <cell r="G699" t="str"/>
          <cell r="H699" t="str"/>
          <cell r="I699" t="str"/>
          <cell r="J699" t="str"/>
          <cell r="K699" t="str"/>
          <cell r="L699" t="str"/>
          <cell r="M699" t="str"/>
          <cell r="N699" t="str"/>
          <cell r="O699" t="str"/>
          <cell r="P699" t="str"/>
          <cell r="Q699" t="str"/>
          <cell r="R699" t="str"/>
          <cell r="S699" t="str"/>
        </row>
        <row r="700">
          <cell r="B700" t="str"/>
          <cell r="C700" t="str"/>
          <cell r="D700" t="str"/>
          <cell r="E700" t="str"/>
          <cell r="F700" t="str"/>
          <cell r="G700" t="str"/>
          <cell r="H700" t="str"/>
          <cell r="I700" t="str"/>
          <cell r="J700" t="str"/>
          <cell r="K700" t="str"/>
          <cell r="L700" t="str"/>
          <cell r="M700" t="str"/>
          <cell r="N700" t="str"/>
          <cell r="O700" t="str"/>
          <cell r="P700" t="str"/>
          <cell r="Q700" t="str"/>
          <cell r="R700" t="str"/>
          <cell r="S700" t="str"/>
        </row>
        <row r="701">
          <cell r="B701" t="str"/>
          <cell r="C701" t="str"/>
          <cell r="D701" t="str"/>
          <cell r="E701" t="str"/>
          <cell r="F701" t="str"/>
          <cell r="G701" t="str"/>
          <cell r="H701" t="str"/>
          <cell r="I701" t="str"/>
          <cell r="J701" t="str"/>
          <cell r="K701" t="str"/>
          <cell r="L701" t="str"/>
          <cell r="M701" t="str"/>
          <cell r="N701" t="str"/>
          <cell r="O701" t="str"/>
          <cell r="P701" t="str"/>
          <cell r="Q701" t="str"/>
          <cell r="R701" t="str"/>
          <cell r="S701" t="str"/>
        </row>
        <row r="702">
          <cell r="B702" t="str"/>
          <cell r="C702" t="str"/>
          <cell r="D702" t="str"/>
          <cell r="E702" t="str"/>
          <cell r="F702" t="str"/>
          <cell r="G702" t="str"/>
          <cell r="H702" t="str"/>
          <cell r="I702" t="str"/>
          <cell r="J702" t="str"/>
          <cell r="K702" t="str"/>
          <cell r="L702" t="str"/>
          <cell r="M702" t="str"/>
          <cell r="N702" t="str"/>
          <cell r="O702" t="str"/>
          <cell r="P702" t="str"/>
          <cell r="Q702" t="str"/>
          <cell r="R702" t="str"/>
          <cell r="S702" t="str"/>
        </row>
        <row r="703">
          <cell r="B703" t="str"/>
          <cell r="C703" t="str"/>
          <cell r="D703" t="str"/>
          <cell r="E703" t="str"/>
          <cell r="F703" t="str"/>
          <cell r="G703" t="str"/>
          <cell r="H703" t="str"/>
          <cell r="I703" t="str"/>
          <cell r="J703" t="str"/>
          <cell r="K703" t="str"/>
          <cell r="L703" t="str"/>
          <cell r="M703" t="str"/>
          <cell r="N703" t="str"/>
          <cell r="O703" t="str"/>
          <cell r="P703" t="str"/>
          <cell r="Q703" t="str"/>
          <cell r="R703" t="str"/>
          <cell r="S703" t="str"/>
        </row>
        <row r="704">
          <cell r="B704" t="str"/>
          <cell r="C704" t="str"/>
          <cell r="D704" t="str"/>
          <cell r="E704" t="str"/>
          <cell r="F704" t="str"/>
          <cell r="G704" t="str"/>
          <cell r="H704" t="str"/>
          <cell r="I704" t="str"/>
          <cell r="J704" t="str"/>
          <cell r="K704" t="str"/>
          <cell r="L704" t="str"/>
          <cell r="M704" t="str"/>
          <cell r="N704" t="str"/>
          <cell r="O704" t="str"/>
          <cell r="P704" t="str"/>
          <cell r="Q704" t="str"/>
          <cell r="R704" t="str"/>
          <cell r="S704" t="str"/>
        </row>
        <row r="705">
          <cell r="B705" t="str"/>
          <cell r="C705" t="str"/>
          <cell r="D705" t="str"/>
          <cell r="E705" t="str"/>
          <cell r="F705" t="str"/>
          <cell r="G705" t="str"/>
          <cell r="H705" t="str"/>
          <cell r="I705" t="str"/>
          <cell r="J705" t="str"/>
          <cell r="K705" t="str"/>
          <cell r="L705" t="str"/>
          <cell r="M705" t="str"/>
          <cell r="N705" t="str"/>
          <cell r="O705" t="str"/>
          <cell r="P705" t="str"/>
          <cell r="Q705" t="str"/>
          <cell r="R705" t="str"/>
          <cell r="S705" t="str"/>
        </row>
        <row r="706">
          <cell r="B706" t="str"/>
          <cell r="C706" t="str"/>
          <cell r="D706" t="str"/>
          <cell r="E706" t="str"/>
          <cell r="F706" t="str"/>
          <cell r="G706" t="str"/>
          <cell r="H706" t="str"/>
          <cell r="I706" t="str"/>
          <cell r="J706" t="str"/>
          <cell r="K706" t="str"/>
          <cell r="L706" t="str"/>
          <cell r="M706" t="str"/>
          <cell r="N706" t="str"/>
          <cell r="O706" t="str"/>
          <cell r="P706" t="str"/>
          <cell r="Q706" t="str"/>
          <cell r="R706" t="str"/>
          <cell r="S706" t="str"/>
        </row>
        <row r="707">
          <cell r="B707" t="str"/>
          <cell r="C707" t="str"/>
          <cell r="D707" t="str"/>
          <cell r="E707" t="str"/>
          <cell r="F707" t="str"/>
          <cell r="G707" t="str"/>
          <cell r="H707" t="str"/>
          <cell r="I707" t="str"/>
          <cell r="J707" t="str"/>
          <cell r="K707" t="str"/>
          <cell r="L707" t="str"/>
          <cell r="M707" t="str"/>
          <cell r="N707" t="str"/>
          <cell r="O707" t="str"/>
          <cell r="P707" t="str"/>
          <cell r="Q707" t="str"/>
          <cell r="R707" t="str"/>
          <cell r="S707" t="str"/>
        </row>
        <row r="708">
          <cell r="B708" t="str"/>
          <cell r="C708" t="str"/>
          <cell r="D708" t="str"/>
          <cell r="E708" t="str"/>
          <cell r="F708" t="str"/>
          <cell r="G708" t="str"/>
          <cell r="H708" t="str"/>
          <cell r="I708" t="str"/>
          <cell r="J708" t="str"/>
          <cell r="K708" t="str"/>
          <cell r="L708" t="str"/>
          <cell r="M708" t="str"/>
          <cell r="N708" t="str"/>
          <cell r="O708" t="str"/>
          <cell r="P708" t="str"/>
          <cell r="Q708" t="str"/>
          <cell r="R708" t="str"/>
          <cell r="S708" t="str"/>
        </row>
        <row r="709">
          <cell r="B709" t="str"/>
          <cell r="C709" t="str"/>
          <cell r="D709" t="str"/>
          <cell r="E709" t="str"/>
          <cell r="F709" t="str"/>
          <cell r="G709" t="str"/>
          <cell r="H709" t="str"/>
          <cell r="I709" t="str"/>
          <cell r="J709" t="str"/>
          <cell r="K709" t="str"/>
          <cell r="L709" t="str"/>
          <cell r="M709" t="str"/>
          <cell r="N709" t="str"/>
          <cell r="O709" t="str"/>
          <cell r="P709" t="str"/>
          <cell r="Q709" t="str"/>
          <cell r="R709" t="str"/>
          <cell r="S709" t="str"/>
        </row>
        <row r="710">
          <cell r="B710" t="str"/>
          <cell r="C710" t="str"/>
          <cell r="D710" t="str"/>
          <cell r="E710" t="str"/>
          <cell r="F710" t="str"/>
          <cell r="G710" t="str"/>
          <cell r="H710" t="str"/>
          <cell r="I710" t="str"/>
          <cell r="J710" t="str"/>
          <cell r="K710" t="str"/>
          <cell r="L710" t="str"/>
          <cell r="M710" t="str"/>
          <cell r="N710" t="str"/>
          <cell r="O710" t="str"/>
          <cell r="P710" t="str"/>
          <cell r="Q710" t="str"/>
          <cell r="R710" t="str"/>
          <cell r="S710" t="str"/>
        </row>
        <row r="711">
          <cell r="B711" t="str"/>
          <cell r="C711" t="str"/>
          <cell r="D711" t="str"/>
          <cell r="E711" t="str"/>
          <cell r="F711" t="str"/>
          <cell r="G711" t="str"/>
          <cell r="H711" t="str"/>
          <cell r="I711" t="str"/>
          <cell r="J711" t="str"/>
          <cell r="K711" t="str"/>
          <cell r="L711" t="str"/>
          <cell r="M711" t="str"/>
          <cell r="N711" t="str"/>
          <cell r="O711" t="str"/>
          <cell r="P711" t="str"/>
          <cell r="Q711" t="str"/>
          <cell r="R711" t="str"/>
          <cell r="S711" t="str"/>
        </row>
        <row r="712">
          <cell r="B712" t="str"/>
          <cell r="C712" t="str"/>
          <cell r="D712" t="str"/>
          <cell r="E712" t="str"/>
          <cell r="F712" t="str"/>
          <cell r="G712" t="str"/>
          <cell r="H712" t="str"/>
          <cell r="I712" t="str"/>
          <cell r="J712" t="str"/>
          <cell r="K712" t="str"/>
          <cell r="L712" t="str"/>
          <cell r="M712" t="str"/>
          <cell r="N712" t="str"/>
          <cell r="O712" t="str"/>
          <cell r="P712" t="str"/>
          <cell r="Q712" t="str"/>
          <cell r="R712" t="str"/>
          <cell r="S712" t="str"/>
        </row>
        <row r="713">
          <cell r="B713" t="str"/>
          <cell r="C713" t="str"/>
          <cell r="D713" t="str"/>
          <cell r="E713" t="str"/>
          <cell r="F713" t="str"/>
          <cell r="G713" t="str"/>
          <cell r="H713" t="str"/>
          <cell r="I713" t="str"/>
          <cell r="J713" t="str"/>
          <cell r="K713" t="str"/>
          <cell r="L713" t="str"/>
          <cell r="M713" t="str"/>
          <cell r="N713" t="str"/>
          <cell r="O713" t="str"/>
          <cell r="P713" t="str"/>
          <cell r="Q713" t="str"/>
          <cell r="R713" t="str"/>
          <cell r="S713" t="str"/>
        </row>
        <row r="714">
          <cell r="B714" t="str"/>
          <cell r="C714" t="str"/>
          <cell r="D714" t="str"/>
          <cell r="E714" t="str"/>
          <cell r="F714" t="str"/>
          <cell r="G714" t="str"/>
          <cell r="H714" t="str"/>
          <cell r="I714" t="str"/>
          <cell r="J714" t="str"/>
          <cell r="K714" t="str"/>
          <cell r="L714" t="str"/>
          <cell r="M714" t="str"/>
          <cell r="N714" t="str"/>
          <cell r="O714" t="str"/>
          <cell r="P714" t="str"/>
          <cell r="Q714" t="str"/>
          <cell r="R714" t="str"/>
          <cell r="S714" t="str"/>
        </row>
        <row r="715">
          <cell r="B715" t="str"/>
          <cell r="C715" t="str"/>
          <cell r="D715" t="str"/>
          <cell r="E715" t="str"/>
          <cell r="F715" t="str"/>
          <cell r="G715" t="str"/>
          <cell r="H715" t="str"/>
          <cell r="I715" t="str"/>
          <cell r="J715" t="str"/>
          <cell r="K715" t="str"/>
          <cell r="L715" t="str"/>
          <cell r="M715" t="str"/>
          <cell r="N715" t="str"/>
          <cell r="O715" t="str"/>
          <cell r="P715" t="str"/>
          <cell r="Q715" t="str"/>
          <cell r="R715" t="str"/>
          <cell r="S715" t="str"/>
        </row>
        <row r="716">
          <cell r="B716" t="str"/>
          <cell r="C716" t="str"/>
          <cell r="D716" t="str"/>
          <cell r="E716" t="str"/>
          <cell r="F716" t="str"/>
          <cell r="G716" t="str"/>
          <cell r="H716" t="str"/>
          <cell r="I716" t="str"/>
          <cell r="J716" t="str"/>
          <cell r="K716" t="str"/>
          <cell r="L716" t="str"/>
          <cell r="M716" t="str"/>
          <cell r="N716" t="str"/>
          <cell r="O716" t="str"/>
          <cell r="P716" t="str"/>
          <cell r="Q716" t="str"/>
          <cell r="R716" t="str"/>
          <cell r="S716" t="str"/>
        </row>
        <row r="717">
          <cell r="B717" t="str"/>
          <cell r="C717" t="str"/>
          <cell r="D717" t="str"/>
          <cell r="E717" t="str"/>
          <cell r="F717" t="str"/>
          <cell r="G717" t="str"/>
          <cell r="H717" t="str"/>
          <cell r="I717" t="str"/>
          <cell r="J717" t="str"/>
          <cell r="K717" t="str"/>
          <cell r="L717" t="str"/>
          <cell r="M717" t="str"/>
          <cell r="N717" t="str"/>
          <cell r="O717" t="str"/>
          <cell r="P717" t="str"/>
          <cell r="Q717" t="str"/>
          <cell r="R717" t="str"/>
          <cell r="S717" t="str"/>
        </row>
        <row r="718">
          <cell r="B718" t="str"/>
          <cell r="C718" t="str"/>
          <cell r="D718" t="str"/>
          <cell r="E718" t="str"/>
          <cell r="F718" t="str"/>
          <cell r="G718" t="str"/>
          <cell r="H718" t="str"/>
          <cell r="I718" t="str"/>
          <cell r="J718" t="str"/>
          <cell r="K718" t="str"/>
          <cell r="L718" t="str"/>
          <cell r="M718" t="str"/>
          <cell r="N718" t="str"/>
          <cell r="O718" t="str"/>
          <cell r="P718" t="str"/>
          <cell r="Q718" t="str"/>
          <cell r="R718" t="str"/>
          <cell r="S718" t="str"/>
        </row>
        <row r="719">
          <cell r="B719" t="str"/>
          <cell r="C719" t="str"/>
          <cell r="D719" t="str"/>
          <cell r="E719" t="str"/>
          <cell r="F719" t="str"/>
          <cell r="G719" t="str"/>
          <cell r="H719" t="str"/>
          <cell r="I719" t="str"/>
          <cell r="J719" t="str"/>
          <cell r="K719" t="str"/>
          <cell r="L719" t="str"/>
          <cell r="M719" t="str"/>
          <cell r="N719" t="str"/>
          <cell r="O719" t="str"/>
          <cell r="P719" t="str"/>
          <cell r="Q719" t="str"/>
          <cell r="R719" t="str"/>
          <cell r="S719" t="str"/>
        </row>
        <row r="720">
          <cell r="B720" t="str"/>
          <cell r="C720" t="str"/>
          <cell r="D720" t="str"/>
          <cell r="E720" t="str"/>
          <cell r="F720" t="str"/>
          <cell r="G720" t="str"/>
          <cell r="H720" t="str"/>
          <cell r="I720" t="str"/>
          <cell r="J720" t="str"/>
          <cell r="K720" t="str"/>
          <cell r="L720" t="str"/>
          <cell r="M720" t="str"/>
          <cell r="N720" t="str"/>
          <cell r="O720" t="str"/>
          <cell r="P720" t="str"/>
          <cell r="Q720" t="str"/>
          <cell r="R720" t="str"/>
          <cell r="S720" t="str"/>
        </row>
        <row r="721">
          <cell r="B721" t="str"/>
          <cell r="C721" t="str"/>
          <cell r="D721" t="str"/>
          <cell r="E721" t="str"/>
          <cell r="F721" t="str"/>
          <cell r="G721" t="str"/>
          <cell r="H721" t="str"/>
          <cell r="I721" t="str"/>
          <cell r="J721" t="str"/>
          <cell r="K721" t="str"/>
          <cell r="L721" t="str"/>
          <cell r="M721" t="str"/>
          <cell r="N721" t="str"/>
          <cell r="O721" t="str"/>
          <cell r="P721" t="str"/>
          <cell r="Q721" t="str"/>
          <cell r="R721" t="str"/>
          <cell r="S721" t="str"/>
        </row>
        <row r="722">
          <cell r="B722" t="str"/>
          <cell r="C722" t="str"/>
          <cell r="D722" t="str"/>
          <cell r="E722" t="str"/>
          <cell r="F722" t="str"/>
          <cell r="G722" t="str"/>
          <cell r="H722" t="str"/>
          <cell r="I722" t="str"/>
          <cell r="J722" t="str"/>
          <cell r="K722" t="str"/>
          <cell r="L722" t="str"/>
          <cell r="M722" t="str"/>
          <cell r="N722" t="str"/>
          <cell r="O722" t="str"/>
          <cell r="P722" t="str"/>
          <cell r="Q722" t="str"/>
          <cell r="R722" t="str"/>
          <cell r="S722" t="str"/>
        </row>
        <row r="723">
          <cell r="B723" t="str"/>
          <cell r="C723" t="str"/>
          <cell r="D723" t="str"/>
          <cell r="E723" t="str"/>
          <cell r="F723" t="str"/>
          <cell r="G723" t="str"/>
          <cell r="H723" t="str"/>
          <cell r="I723" t="str"/>
          <cell r="J723" t="str"/>
          <cell r="K723" t="str"/>
          <cell r="L723" t="str"/>
          <cell r="M723" t="str"/>
          <cell r="N723" t="str"/>
          <cell r="O723" t="str"/>
          <cell r="P723" t="str"/>
          <cell r="Q723" t="str"/>
          <cell r="R723" t="str"/>
          <cell r="S723" t="str"/>
        </row>
        <row r="724">
          <cell r="B724" t="str"/>
          <cell r="C724" t="str"/>
          <cell r="D724" t="str"/>
          <cell r="E724" t="str"/>
          <cell r="F724" t="str"/>
          <cell r="G724" t="str"/>
          <cell r="H724" t="str"/>
          <cell r="I724" t="str"/>
          <cell r="J724" t="str"/>
          <cell r="K724" t="str"/>
          <cell r="L724" t="str"/>
          <cell r="M724" t="str"/>
          <cell r="N724" t="str"/>
          <cell r="O724" t="str"/>
          <cell r="P724" t="str"/>
          <cell r="Q724" t="str"/>
          <cell r="R724" t="str"/>
          <cell r="S724" t="str"/>
        </row>
        <row r="725">
          <cell r="B725" t="str"/>
          <cell r="C725" t="str"/>
          <cell r="D725" t="str"/>
          <cell r="E725" t="str"/>
          <cell r="F725" t="str"/>
          <cell r="G725" t="str"/>
          <cell r="H725" t="str"/>
          <cell r="I725" t="str"/>
          <cell r="J725" t="str"/>
          <cell r="K725" t="str"/>
          <cell r="L725" t="str"/>
          <cell r="M725" t="str"/>
          <cell r="N725" t="str"/>
          <cell r="O725" t="str"/>
          <cell r="P725" t="str"/>
          <cell r="Q725" t="str"/>
          <cell r="R725" t="str"/>
          <cell r="S725" t="str"/>
        </row>
        <row r="726">
          <cell r="B726" t="str"/>
          <cell r="C726" t="str"/>
          <cell r="D726" t="str"/>
          <cell r="E726" t="str"/>
          <cell r="F726" t="str"/>
          <cell r="G726" t="str"/>
          <cell r="H726" t="str"/>
          <cell r="I726" t="str"/>
          <cell r="J726" t="str"/>
          <cell r="K726" t="str"/>
          <cell r="L726" t="str"/>
          <cell r="M726" t="str"/>
          <cell r="N726" t="str"/>
          <cell r="O726" t="str"/>
          <cell r="P726" t="str"/>
          <cell r="Q726" t="str"/>
          <cell r="R726" t="str"/>
          <cell r="S726" t="str"/>
        </row>
        <row r="727">
          <cell r="B727" t="str"/>
          <cell r="C727" t="str"/>
          <cell r="D727" t="str"/>
          <cell r="E727" t="str"/>
          <cell r="F727" t="str"/>
          <cell r="G727" t="str"/>
          <cell r="H727" t="str"/>
          <cell r="I727" t="str"/>
          <cell r="J727" t="str"/>
          <cell r="K727" t="str"/>
          <cell r="L727" t="str"/>
          <cell r="M727" t="str"/>
          <cell r="N727" t="str"/>
          <cell r="O727" t="str"/>
          <cell r="P727" t="str"/>
          <cell r="Q727" t="str"/>
          <cell r="R727" t="str"/>
          <cell r="S727" t="str"/>
        </row>
        <row r="728">
          <cell r="B728" t="str"/>
          <cell r="C728" t="str"/>
          <cell r="D728" t="str"/>
          <cell r="E728" t="str"/>
          <cell r="F728" t="str"/>
          <cell r="G728" t="str"/>
          <cell r="H728" t="str"/>
          <cell r="I728" t="str"/>
          <cell r="J728" t="str"/>
          <cell r="K728" t="str"/>
          <cell r="L728" t="str"/>
          <cell r="M728" t="str"/>
          <cell r="N728" t="str"/>
          <cell r="O728" t="str"/>
          <cell r="P728" t="str"/>
          <cell r="Q728" t="str"/>
          <cell r="R728" t="str"/>
          <cell r="S728" t="str"/>
        </row>
        <row r="729">
          <cell r="B729" t="str"/>
          <cell r="C729" t="str"/>
          <cell r="D729" t="str"/>
          <cell r="E729" t="str"/>
          <cell r="F729" t="str"/>
          <cell r="G729" t="str"/>
          <cell r="H729" t="str"/>
          <cell r="I729" t="str"/>
          <cell r="J729" t="str"/>
          <cell r="K729" t="str"/>
          <cell r="L729" t="str"/>
          <cell r="M729" t="str"/>
          <cell r="N729" t="str"/>
          <cell r="O729" t="str"/>
          <cell r="P729" t="str"/>
          <cell r="Q729" t="str"/>
          <cell r="R729" t="str"/>
          <cell r="S729" t="str"/>
        </row>
        <row r="730">
          <cell r="B730" t="str"/>
          <cell r="C730" t="str"/>
          <cell r="D730" t="str"/>
          <cell r="E730" t="str"/>
          <cell r="F730" t="str"/>
          <cell r="G730" t="str"/>
          <cell r="H730" t="str"/>
          <cell r="I730" t="str"/>
          <cell r="J730" t="str"/>
          <cell r="K730" t="str"/>
          <cell r="L730" t="str"/>
          <cell r="M730" t="str"/>
          <cell r="N730" t="str"/>
          <cell r="O730" t="str"/>
          <cell r="P730" t="str"/>
          <cell r="Q730" t="str"/>
          <cell r="R730" t="str"/>
          <cell r="S730" t="str"/>
        </row>
        <row r="731">
          <cell r="B731" t="str"/>
          <cell r="C731" t="str"/>
          <cell r="D731" t="str"/>
          <cell r="E731" t="str"/>
          <cell r="F731" t="str"/>
          <cell r="G731" t="str"/>
          <cell r="H731" t="str"/>
          <cell r="I731" t="str"/>
          <cell r="J731" t="str"/>
          <cell r="K731" t="str"/>
          <cell r="L731" t="str"/>
          <cell r="M731" t="str"/>
          <cell r="N731" t="str"/>
          <cell r="O731" t="str"/>
          <cell r="P731" t="str"/>
          <cell r="Q731" t="str"/>
          <cell r="R731" t="str"/>
          <cell r="S731" t="str"/>
        </row>
        <row r="732">
          <cell r="B732" t="str"/>
          <cell r="C732" t="str"/>
          <cell r="D732" t="str"/>
          <cell r="E732" t="str"/>
          <cell r="F732" t="str"/>
          <cell r="G732" t="str"/>
          <cell r="H732" t="str"/>
          <cell r="I732" t="str"/>
          <cell r="J732" t="str"/>
          <cell r="K732" t="str"/>
          <cell r="L732" t="str"/>
          <cell r="M732" t="str"/>
          <cell r="N732" t="str"/>
          <cell r="O732" t="str"/>
          <cell r="P732" t="str"/>
          <cell r="Q732" t="str"/>
          <cell r="R732" t="str"/>
          <cell r="S732" t="str"/>
        </row>
        <row r="733">
          <cell r="B733" t="str"/>
          <cell r="C733" t="str"/>
          <cell r="D733" t="str"/>
          <cell r="E733" t="str"/>
          <cell r="F733" t="str"/>
          <cell r="G733" t="str"/>
          <cell r="H733" t="str"/>
          <cell r="I733" t="str"/>
          <cell r="J733" t="str"/>
          <cell r="K733" t="str"/>
          <cell r="L733" t="str"/>
          <cell r="M733" t="str"/>
          <cell r="N733" t="str"/>
          <cell r="O733" t="str"/>
          <cell r="P733" t="str"/>
          <cell r="Q733" t="str"/>
          <cell r="R733" t="str"/>
          <cell r="S733" t="str"/>
        </row>
        <row r="734">
          <cell r="B734" t="str"/>
          <cell r="C734" t="str"/>
          <cell r="D734" t="str"/>
          <cell r="E734" t="str"/>
          <cell r="F734" t="str"/>
          <cell r="G734" t="str"/>
          <cell r="H734" t="str"/>
          <cell r="I734" t="str"/>
          <cell r="J734" t="str"/>
          <cell r="K734" t="str"/>
          <cell r="L734" t="str"/>
          <cell r="M734" t="str"/>
          <cell r="N734" t="str"/>
          <cell r="O734" t="str"/>
          <cell r="P734" t="str"/>
          <cell r="Q734" t="str"/>
          <cell r="R734" t="str"/>
          <cell r="S734" t="str"/>
        </row>
        <row r="735">
          <cell r="B735" t="str"/>
          <cell r="C735" t="str"/>
          <cell r="D735" t="str"/>
          <cell r="E735" t="str"/>
          <cell r="F735" t="str"/>
          <cell r="G735" t="str"/>
          <cell r="H735" t="str"/>
          <cell r="I735" t="str"/>
          <cell r="J735" t="str"/>
          <cell r="K735" t="str"/>
          <cell r="L735" t="str"/>
          <cell r="M735" t="str"/>
          <cell r="N735" t="str"/>
          <cell r="O735" t="str"/>
          <cell r="P735" t="str"/>
          <cell r="Q735" t="str"/>
          <cell r="R735" t="str"/>
          <cell r="S735" t="str"/>
        </row>
        <row r="736">
          <cell r="B736" t="str"/>
          <cell r="C736" t="str"/>
          <cell r="D736" t="str"/>
          <cell r="E736" t="str"/>
          <cell r="F736" t="str"/>
          <cell r="G736" t="str"/>
          <cell r="H736" t="str"/>
          <cell r="I736" t="str"/>
          <cell r="J736" t="str"/>
          <cell r="K736" t="str"/>
          <cell r="L736" t="str"/>
          <cell r="M736" t="str"/>
          <cell r="N736" t="str"/>
          <cell r="O736" t="str"/>
          <cell r="P736" t="str"/>
          <cell r="Q736" t="str"/>
          <cell r="R736" t="str"/>
          <cell r="S736" t="str"/>
        </row>
        <row r="737">
          <cell r="B737" t="str"/>
          <cell r="C737" t="str"/>
          <cell r="D737" t="str"/>
          <cell r="E737" t="str"/>
          <cell r="F737" t="str"/>
          <cell r="G737" t="str"/>
          <cell r="H737" t="str"/>
          <cell r="I737" t="str"/>
          <cell r="J737" t="str"/>
          <cell r="K737" t="str"/>
          <cell r="L737" t="str"/>
          <cell r="M737" t="str"/>
          <cell r="N737" t="str"/>
          <cell r="O737" t="str"/>
          <cell r="P737" t="str"/>
          <cell r="Q737" t="str"/>
          <cell r="R737" t="str"/>
          <cell r="S737" t="str"/>
        </row>
        <row r="738">
          <cell r="B738" t="str"/>
          <cell r="C738" t="str"/>
          <cell r="D738" t="str"/>
          <cell r="E738" t="str"/>
          <cell r="F738" t="str"/>
          <cell r="G738" t="str"/>
          <cell r="H738" t="str"/>
          <cell r="I738" t="str"/>
          <cell r="J738" t="str"/>
          <cell r="K738" t="str"/>
          <cell r="L738" t="str"/>
          <cell r="M738" t="str"/>
          <cell r="N738" t="str"/>
          <cell r="O738" t="str"/>
          <cell r="P738" t="str"/>
          <cell r="Q738" t="str"/>
          <cell r="R738" t="str"/>
          <cell r="S738" t="str"/>
        </row>
        <row r="739">
          <cell r="B739" t="str"/>
          <cell r="C739" t="str"/>
          <cell r="D739" t="str"/>
          <cell r="E739" t="str"/>
          <cell r="F739" t="str"/>
          <cell r="G739" t="str"/>
          <cell r="H739" t="str"/>
          <cell r="I739" t="str"/>
          <cell r="J739" t="str"/>
          <cell r="K739" t="str"/>
          <cell r="L739" t="str"/>
          <cell r="M739" t="str"/>
          <cell r="N739" t="str"/>
          <cell r="O739" t="str"/>
          <cell r="P739" t="str"/>
          <cell r="Q739" t="str"/>
          <cell r="R739" t="str"/>
          <cell r="S739" t="str"/>
        </row>
        <row r="740">
          <cell r="B740" t="str"/>
          <cell r="C740" t="str"/>
          <cell r="D740" t="str"/>
          <cell r="E740" t="str"/>
          <cell r="F740" t="str"/>
          <cell r="G740" t="str"/>
          <cell r="H740" t="str"/>
          <cell r="I740" t="str"/>
          <cell r="J740" t="str"/>
          <cell r="K740" t="str"/>
          <cell r="L740" t="str"/>
          <cell r="M740" t="str"/>
          <cell r="N740" t="str"/>
          <cell r="O740" t="str"/>
          <cell r="P740" t="str"/>
          <cell r="Q740" t="str"/>
          <cell r="R740" t="str"/>
          <cell r="S740" t="str"/>
        </row>
        <row r="741">
          <cell r="B741" t="str"/>
          <cell r="C741" t="str"/>
          <cell r="D741" t="str"/>
          <cell r="E741" t="str"/>
          <cell r="F741" t="str"/>
          <cell r="G741" t="str"/>
          <cell r="H741" t="str"/>
          <cell r="I741" t="str"/>
          <cell r="J741" t="str"/>
          <cell r="K741" t="str"/>
          <cell r="L741" t="str"/>
          <cell r="M741" t="str"/>
          <cell r="N741" t="str"/>
          <cell r="O741" t="str"/>
          <cell r="P741" t="str"/>
          <cell r="Q741" t="str"/>
          <cell r="R741" t="str"/>
          <cell r="S741" t="str"/>
        </row>
        <row r="742">
          <cell r="B742" t="str"/>
          <cell r="C742" t="str"/>
          <cell r="D742" t="str"/>
          <cell r="E742" t="str"/>
          <cell r="F742" t="str"/>
          <cell r="G742" t="str"/>
          <cell r="H742" t="str"/>
          <cell r="I742" t="str"/>
          <cell r="J742" t="str"/>
          <cell r="K742" t="str"/>
          <cell r="L742" t="str"/>
          <cell r="M742" t="str"/>
          <cell r="N742" t="str"/>
          <cell r="O742" t="str"/>
          <cell r="P742" t="str"/>
          <cell r="Q742" t="str"/>
          <cell r="R742" t="str"/>
          <cell r="S742" t="str"/>
        </row>
        <row r="743">
          <cell r="B743" t="str"/>
          <cell r="C743" t="str"/>
          <cell r="D743" t="str"/>
          <cell r="E743" t="str"/>
          <cell r="F743" t="str"/>
          <cell r="G743" t="str"/>
          <cell r="H743" t="str"/>
          <cell r="I743" t="str"/>
          <cell r="J743" t="str"/>
          <cell r="K743" t="str"/>
          <cell r="L743" t="str"/>
          <cell r="M743" t="str"/>
          <cell r="N743" t="str"/>
          <cell r="O743" t="str"/>
          <cell r="P743" t="str"/>
          <cell r="Q743" t="str"/>
          <cell r="R743" t="str"/>
          <cell r="S743" t="str"/>
        </row>
        <row r="744">
          <cell r="B744" t="str"/>
          <cell r="C744" t="str"/>
          <cell r="D744" t="str"/>
          <cell r="E744" t="str"/>
          <cell r="F744" t="str"/>
          <cell r="G744" t="str"/>
          <cell r="H744" t="str"/>
          <cell r="I744" t="str"/>
          <cell r="J744" t="str"/>
          <cell r="K744" t="str"/>
          <cell r="L744" t="str"/>
          <cell r="M744" t="str"/>
          <cell r="N744" t="str"/>
          <cell r="O744" t="str"/>
          <cell r="P744" t="str"/>
          <cell r="Q744" t="str"/>
          <cell r="R744" t="str"/>
          <cell r="S744" t="str"/>
        </row>
        <row r="745">
          <cell r="B745" t="str"/>
          <cell r="C745" t="str"/>
          <cell r="D745" t="str"/>
          <cell r="E745" t="str"/>
          <cell r="F745" t="str"/>
          <cell r="G745" t="str"/>
          <cell r="H745" t="str"/>
          <cell r="I745" t="str"/>
          <cell r="J745" t="str"/>
          <cell r="K745" t="str"/>
          <cell r="L745" t="str"/>
          <cell r="M745" t="str"/>
          <cell r="N745" t="str"/>
          <cell r="O745" t="str"/>
          <cell r="P745" t="str"/>
          <cell r="Q745" t="str"/>
          <cell r="R745" t="str"/>
          <cell r="S745" t="str"/>
        </row>
        <row r="746">
          <cell r="B746" t="str"/>
          <cell r="C746" t="str"/>
          <cell r="D746" t="str"/>
          <cell r="E746" t="str"/>
          <cell r="F746" t="str"/>
          <cell r="G746" t="str"/>
          <cell r="H746" t="str"/>
          <cell r="I746" t="str"/>
          <cell r="J746" t="str"/>
          <cell r="K746" t="str"/>
          <cell r="L746" t="str"/>
          <cell r="M746" t="str"/>
          <cell r="N746" t="str"/>
          <cell r="O746" t="str"/>
          <cell r="P746" t="str"/>
          <cell r="Q746" t="str"/>
          <cell r="R746" t="str"/>
          <cell r="S746" t="str"/>
        </row>
        <row r="747">
          <cell r="B747" t="str"/>
          <cell r="C747" t="str"/>
          <cell r="D747" t="str"/>
          <cell r="E747" t="str"/>
          <cell r="F747" t="str"/>
          <cell r="G747" t="str"/>
          <cell r="H747" t="str"/>
          <cell r="I747" t="str"/>
          <cell r="J747" t="str"/>
          <cell r="K747" t="str"/>
          <cell r="L747" t="str"/>
          <cell r="M747" t="str"/>
          <cell r="N747" t="str"/>
          <cell r="O747" t="str"/>
          <cell r="P747" t="str"/>
          <cell r="Q747" t="str"/>
          <cell r="R747" t="str"/>
          <cell r="S747" t="str"/>
        </row>
        <row r="748">
          <cell r="B748" t="str"/>
          <cell r="C748" t="str"/>
          <cell r="D748" t="str"/>
          <cell r="E748" t="str"/>
          <cell r="F748" t="str"/>
          <cell r="G748" t="str"/>
          <cell r="H748" t="str"/>
          <cell r="I748" t="str"/>
          <cell r="J748" t="str"/>
          <cell r="K748" t="str"/>
          <cell r="L748" t="str"/>
          <cell r="M748" t="str"/>
          <cell r="N748" t="str"/>
          <cell r="O748" t="str"/>
          <cell r="P748" t="str"/>
          <cell r="Q748" t="str"/>
          <cell r="R748" t="str"/>
          <cell r="S748" t="str"/>
        </row>
        <row r="749">
          <cell r="B749" t="str"/>
          <cell r="C749" t="str"/>
          <cell r="D749" t="str"/>
          <cell r="E749" t="str"/>
          <cell r="F749" t="str"/>
          <cell r="G749" t="str"/>
          <cell r="H749" t="str"/>
          <cell r="I749" t="str"/>
          <cell r="J749" t="str"/>
          <cell r="K749" t="str"/>
          <cell r="L749" t="str"/>
          <cell r="M749" t="str"/>
          <cell r="N749" t="str"/>
          <cell r="O749" t="str"/>
          <cell r="P749" t="str"/>
          <cell r="Q749" t="str"/>
          <cell r="R749" t="str"/>
          <cell r="S749" t="str"/>
        </row>
        <row r="750">
          <cell r="B750" t="str"/>
          <cell r="C750" t="str"/>
          <cell r="D750" t="str"/>
          <cell r="E750" t="str"/>
          <cell r="F750" t="str"/>
          <cell r="G750" t="str"/>
          <cell r="H750" t="str"/>
          <cell r="I750" t="str"/>
          <cell r="J750" t="str"/>
          <cell r="K750" t="str"/>
          <cell r="L750" t="str"/>
          <cell r="M750" t="str"/>
          <cell r="N750" t="str"/>
          <cell r="O750" t="str"/>
          <cell r="P750" t="str"/>
          <cell r="Q750" t="str"/>
          <cell r="R750" t="str"/>
          <cell r="S750" t="str"/>
        </row>
        <row r="751">
          <cell r="B751" t="str"/>
          <cell r="C751" t="str"/>
          <cell r="D751" t="str"/>
          <cell r="E751" t="str"/>
          <cell r="F751" t="str"/>
          <cell r="G751" t="str"/>
          <cell r="H751" t="str"/>
          <cell r="I751" t="str"/>
          <cell r="J751" t="str"/>
          <cell r="K751" t="str"/>
          <cell r="L751" t="str"/>
          <cell r="M751" t="str"/>
          <cell r="N751" t="str"/>
          <cell r="O751" t="str"/>
          <cell r="P751" t="str"/>
          <cell r="Q751" t="str"/>
          <cell r="R751" t="str"/>
          <cell r="S751" t="str"/>
        </row>
        <row r="752">
          <cell r="B752" t="str"/>
          <cell r="C752" t="str"/>
          <cell r="D752" t="str"/>
          <cell r="E752" t="str"/>
          <cell r="F752" t="str"/>
          <cell r="G752" t="str"/>
          <cell r="H752" t="str"/>
          <cell r="I752" t="str"/>
          <cell r="J752" t="str"/>
          <cell r="K752" t="str"/>
          <cell r="L752" t="str"/>
          <cell r="M752" t="str"/>
          <cell r="N752" t="str"/>
          <cell r="O752" t="str"/>
          <cell r="P752" t="str"/>
          <cell r="Q752" t="str"/>
          <cell r="R752" t="str"/>
          <cell r="S752" t="str"/>
        </row>
        <row r="753">
          <cell r="B753" t="str"/>
          <cell r="C753" t="str"/>
          <cell r="D753" t="str"/>
          <cell r="E753" t="str"/>
          <cell r="F753" t="str"/>
          <cell r="G753" t="str"/>
          <cell r="H753" t="str"/>
          <cell r="I753" t="str"/>
          <cell r="J753" t="str"/>
          <cell r="K753" t="str"/>
          <cell r="L753" t="str"/>
          <cell r="M753" t="str"/>
          <cell r="N753" t="str"/>
          <cell r="O753" t="str"/>
          <cell r="P753" t="str"/>
          <cell r="Q753" t="str"/>
          <cell r="R753" t="str"/>
          <cell r="S753" t="str"/>
        </row>
        <row r="754">
          <cell r="B754" t="str"/>
          <cell r="C754" t="str"/>
          <cell r="D754" t="str"/>
          <cell r="E754" t="str"/>
          <cell r="F754" t="str"/>
          <cell r="G754" t="str"/>
          <cell r="H754" t="str"/>
          <cell r="I754" t="str"/>
          <cell r="J754" t="str"/>
          <cell r="K754" t="str"/>
          <cell r="L754" t="str"/>
          <cell r="M754" t="str"/>
          <cell r="N754" t="str"/>
          <cell r="O754" t="str"/>
          <cell r="P754" t="str"/>
          <cell r="Q754" t="str"/>
          <cell r="R754" t="str"/>
          <cell r="S754" t="str"/>
        </row>
        <row r="755">
          <cell r="B755" t="str"/>
          <cell r="C755" t="str"/>
          <cell r="D755" t="str"/>
          <cell r="E755" t="str"/>
          <cell r="F755" t="str"/>
          <cell r="G755" t="str"/>
          <cell r="H755" t="str"/>
          <cell r="I755" t="str"/>
          <cell r="J755" t="str"/>
          <cell r="K755" t="str"/>
          <cell r="L755" t="str"/>
          <cell r="M755" t="str"/>
          <cell r="N755" t="str"/>
          <cell r="O755" t="str"/>
          <cell r="P755" t="str"/>
          <cell r="Q755" t="str"/>
          <cell r="R755" t="str"/>
          <cell r="S755" t="str"/>
        </row>
        <row r="756">
          <cell r="B756" t="str"/>
          <cell r="C756" t="str"/>
          <cell r="D756" t="str"/>
          <cell r="E756" t="str"/>
          <cell r="F756" t="str"/>
          <cell r="G756" t="str"/>
          <cell r="H756" t="str"/>
          <cell r="I756" t="str"/>
          <cell r="J756" t="str"/>
          <cell r="K756" t="str"/>
          <cell r="L756" t="str"/>
          <cell r="M756" t="str"/>
          <cell r="N756" t="str"/>
          <cell r="O756" t="str"/>
          <cell r="P756" t="str"/>
          <cell r="Q756" t="str"/>
          <cell r="R756" t="str"/>
          <cell r="S756" t="str"/>
        </row>
        <row r="757">
          <cell r="B757" t="str"/>
          <cell r="C757" t="str"/>
          <cell r="D757" t="str"/>
          <cell r="E757" t="str"/>
          <cell r="F757" t="str"/>
          <cell r="G757" t="str"/>
          <cell r="H757" t="str"/>
          <cell r="I757" t="str"/>
          <cell r="J757" t="str"/>
          <cell r="K757" t="str"/>
          <cell r="L757" t="str"/>
          <cell r="M757" t="str"/>
          <cell r="N757" t="str"/>
          <cell r="O757" t="str"/>
          <cell r="P757" t="str"/>
          <cell r="Q757" t="str"/>
          <cell r="R757" t="str"/>
          <cell r="S757" t="str"/>
        </row>
        <row r="758">
          <cell r="B758" t="str"/>
          <cell r="C758" t="str"/>
          <cell r="D758" t="str"/>
          <cell r="E758" t="str"/>
          <cell r="F758" t="str"/>
          <cell r="G758" t="str"/>
          <cell r="H758" t="str"/>
          <cell r="I758" t="str"/>
          <cell r="J758" t="str"/>
          <cell r="K758" t="str"/>
          <cell r="L758" t="str"/>
          <cell r="M758" t="str"/>
          <cell r="N758" t="str"/>
          <cell r="O758" t="str"/>
          <cell r="P758" t="str"/>
          <cell r="Q758" t="str"/>
          <cell r="R758" t="str"/>
          <cell r="S758" t="str"/>
        </row>
        <row r="759">
          <cell r="B759" t="str"/>
          <cell r="C759" t="str"/>
          <cell r="D759" t="str"/>
          <cell r="E759" t="str"/>
          <cell r="F759" t="str"/>
          <cell r="G759" t="str"/>
          <cell r="H759" t="str"/>
          <cell r="I759" t="str"/>
          <cell r="J759" t="str"/>
          <cell r="K759" t="str"/>
          <cell r="L759" t="str"/>
          <cell r="M759" t="str"/>
          <cell r="N759" t="str"/>
          <cell r="O759" t="str"/>
          <cell r="P759" t="str"/>
          <cell r="Q759" t="str"/>
          <cell r="R759" t="str"/>
          <cell r="S759" t="str"/>
        </row>
        <row r="760">
          <cell r="B760" t="str"/>
          <cell r="C760" t="str"/>
          <cell r="D760" t="str"/>
          <cell r="E760" t="str"/>
          <cell r="F760" t="str"/>
          <cell r="G760" t="str"/>
          <cell r="H760" t="str"/>
          <cell r="I760" t="str"/>
          <cell r="J760" t="str"/>
          <cell r="K760" t="str"/>
          <cell r="L760" t="str"/>
          <cell r="M760" t="str"/>
          <cell r="N760" t="str"/>
          <cell r="O760" t="str"/>
          <cell r="P760" t="str"/>
          <cell r="Q760" t="str"/>
          <cell r="R760" t="str"/>
          <cell r="S760" t="str"/>
        </row>
        <row r="761">
          <cell r="B761" t="str"/>
          <cell r="C761" t="str"/>
          <cell r="D761" t="str"/>
          <cell r="E761" t="str"/>
          <cell r="F761" t="str"/>
          <cell r="G761" t="str"/>
          <cell r="H761" t="str"/>
          <cell r="I761" t="str"/>
          <cell r="J761" t="str"/>
          <cell r="K761" t="str"/>
          <cell r="L761" t="str"/>
          <cell r="M761" t="str"/>
          <cell r="N761" t="str"/>
          <cell r="O761" t="str"/>
          <cell r="P761" t="str"/>
          <cell r="Q761" t="str"/>
          <cell r="R761" t="str"/>
          <cell r="S761" t="str"/>
        </row>
        <row r="762">
          <cell r="B762" t="str"/>
          <cell r="C762" t="str"/>
          <cell r="D762" t="str"/>
          <cell r="E762" t="str"/>
          <cell r="F762" t="str"/>
          <cell r="G762" t="str"/>
          <cell r="H762" t="str"/>
          <cell r="I762" t="str"/>
          <cell r="J762" t="str"/>
          <cell r="K762" t="str"/>
          <cell r="L762" t="str"/>
          <cell r="M762" t="str"/>
          <cell r="N762" t="str"/>
          <cell r="O762" t="str"/>
          <cell r="P762" t="str"/>
          <cell r="Q762" t="str"/>
          <cell r="R762" t="str"/>
          <cell r="S762" t="str"/>
        </row>
        <row r="763">
          <cell r="B763" t="str"/>
          <cell r="C763" t="str"/>
          <cell r="D763" t="str"/>
          <cell r="E763" t="str"/>
          <cell r="F763" t="str"/>
          <cell r="G763" t="str"/>
          <cell r="H763" t="str"/>
          <cell r="I763" t="str"/>
          <cell r="J763" t="str"/>
          <cell r="K763" t="str"/>
          <cell r="L763" t="str"/>
          <cell r="M763" t="str"/>
          <cell r="N763" t="str"/>
          <cell r="O763" t="str"/>
          <cell r="P763" t="str"/>
          <cell r="Q763" t="str"/>
          <cell r="R763" t="str"/>
          <cell r="S763" t="str"/>
        </row>
        <row r="764">
          <cell r="B764" t="str"/>
          <cell r="C764" t="str"/>
          <cell r="D764" t="str"/>
          <cell r="E764" t="str"/>
          <cell r="F764" t="str"/>
          <cell r="G764" t="str"/>
          <cell r="H764" t="str"/>
          <cell r="I764" t="str"/>
          <cell r="J764" t="str"/>
          <cell r="K764" t="str"/>
          <cell r="L764" t="str"/>
          <cell r="M764" t="str"/>
          <cell r="N764" t="str"/>
          <cell r="O764" t="str"/>
          <cell r="P764" t="str"/>
          <cell r="Q764" t="str"/>
          <cell r="R764" t="str"/>
          <cell r="S764" t="str"/>
        </row>
        <row r="765">
          <cell r="B765" t="str"/>
          <cell r="C765" t="str"/>
          <cell r="D765" t="str"/>
          <cell r="E765" t="str"/>
          <cell r="F765" t="str"/>
          <cell r="G765" t="str"/>
          <cell r="H765" t="str"/>
          <cell r="I765" t="str"/>
          <cell r="J765" t="str"/>
          <cell r="K765" t="str"/>
          <cell r="L765" t="str"/>
          <cell r="M765" t="str"/>
          <cell r="N765" t="str"/>
          <cell r="O765" t="str"/>
          <cell r="P765" t="str"/>
          <cell r="Q765" t="str"/>
          <cell r="R765" t="str"/>
          <cell r="S765" t="str"/>
        </row>
        <row r="766">
          <cell r="B766" t="str"/>
          <cell r="C766" t="str"/>
          <cell r="D766" t="str"/>
          <cell r="E766" t="str"/>
          <cell r="F766" t="str"/>
          <cell r="G766" t="str"/>
          <cell r="H766" t="str"/>
          <cell r="I766" t="str"/>
          <cell r="J766" t="str"/>
          <cell r="K766" t="str"/>
          <cell r="L766" t="str"/>
          <cell r="M766" t="str"/>
          <cell r="N766" t="str"/>
          <cell r="O766" t="str"/>
          <cell r="P766" t="str"/>
          <cell r="Q766" t="str"/>
          <cell r="R766" t="str"/>
          <cell r="S766" t="str"/>
        </row>
        <row r="767">
          <cell r="B767" t="str"/>
          <cell r="C767" t="str"/>
          <cell r="D767" t="str"/>
          <cell r="E767" t="str"/>
          <cell r="F767" t="str"/>
          <cell r="G767" t="str"/>
          <cell r="H767" t="str"/>
          <cell r="I767" t="str"/>
          <cell r="J767" t="str"/>
          <cell r="K767" t="str"/>
          <cell r="L767" t="str"/>
          <cell r="M767" t="str"/>
          <cell r="N767" t="str"/>
          <cell r="O767" t="str"/>
          <cell r="P767" t="str"/>
          <cell r="Q767" t="str"/>
          <cell r="R767" t="str"/>
          <cell r="S767" t="str"/>
        </row>
        <row r="768">
          <cell r="B768" t="str"/>
          <cell r="C768" t="str"/>
          <cell r="D768" t="str"/>
          <cell r="E768" t="str"/>
          <cell r="F768" t="str"/>
          <cell r="G768" t="str"/>
          <cell r="H768" t="str"/>
          <cell r="I768" t="str"/>
          <cell r="J768" t="str"/>
          <cell r="K768" t="str"/>
          <cell r="L768" t="str"/>
          <cell r="M768" t="str"/>
          <cell r="N768" t="str"/>
          <cell r="O768" t="str"/>
          <cell r="P768" t="str"/>
          <cell r="Q768" t="str"/>
          <cell r="R768" t="str"/>
          <cell r="S768" t="str"/>
        </row>
        <row r="769">
          <cell r="B769" t="str"/>
          <cell r="C769" t="str"/>
          <cell r="D769" t="str"/>
          <cell r="E769" t="str"/>
          <cell r="F769" t="str"/>
          <cell r="G769" t="str"/>
          <cell r="H769" t="str"/>
          <cell r="I769" t="str"/>
          <cell r="J769" t="str"/>
          <cell r="K769" t="str"/>
          <cell r="L769" t="str"/>
          <cell r="M769" t="str"/>
          <cell r="N769" t="str"/>
          <cell r="O769" t="str"/>
          <cell r="P769" t="str"/>
          <cell r="Q769" t="str"/>
          <cell r="R769" t="str"/>
          <cell r="S769" t="str"/>
        </row>
        <row r="770">
          <cell r="B770" t="str"/>
          <cell r="C770" t="str"/>
          <cell r="D770" t="str"/>
          <cell r="E770" t="str"/>
          <cell r="F770" t="str"/>
          <cell r="G770" t="str"/>
          <cell r="H770" t="str"/>
          <cell r="I770" t="str"/>
          <cell r="J770" t="str"/>
          <cell r="K770" t="str"/>
          <cell r="L770" t="str"/>
          <cell r="M770" t="str"/>
          <cell r="N770" t="str"/>
          <cell r="O770" t="str"/>
          <cell r="P770" t="str"/>
          <cell r="Q770" t="str"/>
          <cell r="R770" t="str"/>
          <cell r="S770" t="str"/>
        </row>
        <row r="771">
          <cell r="B771" t="str"/>
          <cell r="C771" t="str"/>
          <cell r="D771" t="str"/>
          <cell r="E771" t="str"/>
          <cell r="F771" t="str"/>
          <cell r="G771" t="str"/>
          <cell r="H771" t="str"/>
          <cell r="I771" t="str"/>
          <cell r="J771" t="str"/>
          <cell r="K771" t="str"/>
          <cell r="L771" t="str"/>
          <cell r="M771" t="str"/>
          <cell r="N771" t="str"/>
          <cell r="O771" t="str"/>
          <cell r="P771" t="str"/>
          <cell r="Q771" t="str"/>
          <cell r="R771" t="str"/>
          <cell r="S771" t="str"/>
        </row>
        <row r="772">
          <cell r="B772" t="str"/>
          <cell r="C772" t="str"/>
          <cell r="D772" t="str"/>
          <cell r="E772" t="str"/>
          <cell r="F772" t="str"/>
          <cell r="G772" t="str"/>
          <cell r="H772" t="str"/>
          <cell r="I772" t="str"/>
          <cell r="J772" t="str"/>
          <cell r="K772" t="str"/>
          <cell r="L772" t="str"/>
          <cell r="M772" t="str"/>
          <cell r="N772" t="str"/>
          <cell r="O772" t="str"/>
          <cell r="P772" t="str"/>
          <cell r="Q772" t="str"/>
          <cell r="R772" t="str"/>
          <cell r="S772" t="str"/>
        </row>
        <row r="773">
          <cell r="B773" t="str"/>
          <cell r="C773" t="str"/>
          <cell r="D773" t="str"/>
          <cell r="E773" t="str"/>
          <cell r="F773" t="str"/>
          <cell r="G773" t="str"/>
          <cell r="H773" t="str"/>
          <cell r="I773" t="str"/>
          <cell r="J773" t="str"/>
          <cell r="K773" t="str"/>
          <cell r="L773" t="str"/>
          <cell r="M773" t="str"/>
          <cell r="N773" t="str"/>
          <cell r="O773" t="str"/>
          <cell r="P773" t="str"/>
          <cell r="Q773" t="str"/>
          <cell r="R773" t="str"/>
          <cell r="S773" t="str"/>
        </row>
        <row r="774">
          <cell r="B774" t="str"/>
          <cell r="C774" t="str"/>
          <cell r="D774" t="str"/>
          <cell r="E774" t="str"/>
          <cell r="F774" t="str"/>
          <cell r="G774" t="str"/>
          <cell r="H774" t="str"/>
          <cell r="I774" t="str"/>
          <cell r="J774" t="str"/>
          <cell r="K774" t="str"/>
          <cell r="L774" t="str"/>
          <cell r="M774" t="str"/>
          <cell r="N774" t="str"/>
          <cell r="O774" t="str"/>
          <cell r="P774" t="str"/>
          <cell r="Q774" t="str"/>
          <cell r="R774" t="str"/>
          <cell r="S774" t="str"/>
        </row>
        <row r="775">
          <cell r="B775" t="str"/>
          <cell r="C775" t="str"/>
          <cell r="D775" t="str"/>
          <cell r="E775" t="str"/>
          <cell r="F775" t="str"/>
          <cell r="G775" t="str"/>
          <cell r="H775" t="str"/>
          <cell r="I775" t="str"/>
          <cell r="J775" t="str"/>
          <cell r="K775" t="str"/>
          <cell r="L775" t="str"/>
          <cell r="M775" t="str"/>
          <cell r="N775" t="str"/>
          <cell r="O775" t="str"/>
          <cell r="P775" t="str"/>
          <cell r="Q775" t="str"/>
          <cell r="R775" t="str"/>
          <cell r="S775" t="str"/>
        </row>
        <row r="776">
          <cell r="B776" t="str"/>
          <cell r="C776" t="str"/>
          <cell r="D776" t="str"/>
          <cell r="E776" t="str"/>
          <cell r="F776" t="str"/>
          <cell r="G776" t="str"/>
          <cell r="H776" t="str"/>
          <cell r="I776" t="str"/>
          <cell r="J776" t="str"/>
          <cell r="K776" t="str"/>
          <cell r="L776" t="str"/>
          <cell r="M776" t="str"/>
          <cell r="N776" t="str"/>
          <cell r="O776" t="str"/>
          <cell r="P776" t="str"/>
          <cell r="Q776" t="str"/>
          <cell r="R776" t="str"/>
          <cell r="S776" t="str"/>
        </row>
        <row r="777">
          <cell r="B777" t="str"/>
          <cell r="C777" t="str"/>
          <cell r="D777" t="str"/>
          <cell r="E777" t="str"/>
          <cell r="F777" t="str"/>
          <cell r="G777" t="str"/>
          <cell r="H777" t="str"/>
          <cell r="I777" t="str"/>
          <cell r="J777" t="str"/>
          <cell r="K777" t="str"/>
          <cell r="L777" t="str"/>
          <cell r="M777" t="str"/>
          <cell r="N777" t="str"/>
          <cell r="O777" t="str"/>
          <cell r="P777" t="str"/>
          <cell r="Q777" t="str"/>
          <cell r="R777" t="str"/>
          <cell r="S777" t="str"/>
        </row>
        <row r="778">
          <cell r="B778" t="str"/>
          <cell r="C778" t="str"/>
          <cell r="D778" t="str"/>
          <cell r="E778" t="str"/>
          <cell r="F778" t="str"/>
          <cell r="G778" t="str"/>
          <cell r="H778" t="str"/>
          <cell r="I778" t="str"/>
          <cell r="J778" t="str"/>
          <cell r="K778" t="str"/>
          <cell r="L778" t="str"/>
          <cell r="M778" t="str"/>
          <cell r="N778" t="str"/>
          <cell r="O778" t="str"/>
          <cell r="P778" t="str"/>
          <cell r="Q778" t="str"/>
          <cell r="R778" t="str"/>
          <cell r="S778" t="str"/>
        </row>
        <row r="779">
          <cell r="B779" t="str"/>
          <cell r="C779" t="str"/>
          <cell r="D779" t="str"/>
          <cell r="E779" t="str"/>
          <cell r="F779" t="str"/>
          <cell r="G779" t="str"/>
          <cell r="H779" t="str"/>
          <cell r="I779" t="str"/>
          <cell r="J779" t="str"/>
          <cell r="K779" t="str"/>
          <cell r="L779" t="str"/>
          <cell r="M779" t="str"/>
          <cell r="N779" t="str"/>
          <cell r="O779" t="str"/>
          <cell r="P779" t="str"/>
          <cell r="Q779" t="str"/>
          <cell r="R779" t="str"/>
          <cell r="S779" t="str"/>
        </row>
        <row r="780">
          <cell r="B780" t="str"/>
          <cell r="C780" t="str"/>
          <cell r="D780" t="str"/>
          <cell r="E780" t="str"/>
          <cell r="F780" t="str"/>
          <cell r="G780" t="str"/>
          <cell r="H780" t="str"/>
          <cell r="I780" t="str"/>
          <cell r="J780" t="str"/>
          <cell r="K780" t="str"/>
          <cell r="L780" t="str"/>
          <cell r="M780" t="str"/>
          <cell r="N780" t="str"/>
          <cell r="O780" t="str"/>
          <cell r="P780" t="str"/>
          <cell r="Q780" t="str"/>
          <cell r="R780" t="str"/>
          <cell r="S780" t="str"/>
        </row>
        <row r="781">
          <cell r="B781" t="str"/>
          <cell r="C781" t="str"/>
          <cell r="D781" t="str"/>
          <cell r="E781" t="str"/>
          <cell r="F781" t="str"/>
          <cell r="G781" t="str"/>
          <cell r="H781" t="str"/>
          <cell r="I781" t="str"/>
          <cell r="J781" t="str"/>
          <cell r="K781" t="str"/>
          <cell r="L781" t="str"/>
          <cell r="M781" t="str"/>
          <cell r="N781" t="str"/>
          <cell r="O781" t="str"/>
          <cell r="P781" t="str"/>
          <cell r="Q781" t="str"/>
          <cell r="R781" t="str"/>
          <cell r="S781" t="str"/>
        </row>
        <row r="782">
          <cell r="B782" t="str"/>
          <cell r="C782" t="str"/>
          <cell r="D782" t="str"/>
          <cell r="E782" t="str"/>
          <cell r="F782" t="str"/>
          <cell r="G782" t="str"/>
          <cell r="H782" t="str"/>
          <cell r="I782" t="str"/>
          <cell r="J782" t="str"/>
          <cell r="K782" t="str"/>
          <cell r="L782" t="str"/>
          <cell r="M782" t="str"/>
          <cell r="N782" t="str"/>
          <cell r="O782" t="str"/>
          <cell r="P782" t="str"/>
          <cell r="Q782" t="str"/>
          <cell r="R782" t="str"/>
          <cell r="S782" t="str"/>
        </row>
        <row r="783">
          <cell r="B783" t="str"/>
          <cell r="C783" t="str"/>
          <cell r="D783" t="str"/>
          <cell r="E783" t="str"/>
          <cell r="F783" t="str"/>
          <cell r="G783" t="str"/>
          <cell r="H783" t="str"/>
          <cell r="I783" t="str"/>
          <cell r="J783" t="str"/>
          <cell r="K783" t="str"/>
          <cell r="L783" t="str"/>
          <cell r="M783" t="str"/>
          <cell r="N783" t="str"/>
          <cell r="O783" t="str"/>
          <cell r="P783" t="str"/>
          <cell r="Q783" t="str"/>
          <cell r="R783" t="str"/>
          <cell r="S783" t="str"/>
        </row>
        <row r="784">
          <cell r="B784" t="str"/>
          <cell r="C784" t="str"/>
          <cell r="D784" t="str"/>
          <cell r="E784" t="str"/>
          <cell r="F784" t="str"/>
          <cell r="G784" t="str"/>
          <cell r="H784" t="str"/>
          <cell r="I784" t="str"/>
          <cell r="J784" t="str"/>
          <cell r="K784" t="str"/>
          <cell r="L784" t="str"/>
          <cell r="M784" t="str"/>
          <cell r="N784" t="str"/>
          <cell r="O784" t="str"/>
          <cell r="P784" t="str"/>
          <cell r="Q784" t="str"/>
          <cell r="R784" t="str"/>
          <cell r="S784" t="str"/>
        </row>
        <row r="785">
          <cell r="B785" t="str"/>
          <cell r="C785" t="str"/>
          <cell r="D785" t="str"/>
          <cell r="E785" t="str"/>
          <cell r="F785" t="str"/>
          <cell r="G785" t="str"/>
          <cell r="H785" t="str"/>
          <cell r="I785" t="str"/>
          <cell r="J785" t="str"/>
          <cell r="K785" t="str"/>
          <cell r="L785" t="str"/>
          <cell r="M785" t="str"/>
          <cell r="N785" t="str"/>
          <cell r="O785" t="str"/>
          <cell r="P785" t="str"/>
          <cell r="Q785" t="str"/>
          <cell r="R785" t="str"/>
          <cell r="S785" t="str"/>
        </row>
        <row r="786">
          <cell r="B786" t="str"/>
          <cell r="C786" t="str"/>
          <cell r="D786" t="str"/>
          <cell r="E786" t="str"/>
          <cell r="F786" t="str"/>
          <cell r="G786" t="str"/>
          <cell r="H786" t="str"/>
          <cell r="I786" t="str"/>
          <cell r="J786" t="str"/>
          <cell r="K786" t="str"/>
          <cell r="L786" t="str"/>
          <cell r="M786" t="str"/>
          <cell r="N786" t="str"/>
          <cell r="O786" t="str"/>
          <cell r="P786" t="str"/>
          <cell r="Q786" t="str"/>
          <cell r="R786" t="str"/>
          <cell r="S786" t="str"/>
        </row>
        <row r="787">
          <cell r="B787" t="str"/>
          <cell r="C787" t="str"/>
          <cell r="D787" t="str"/>
          <cell r="E787" t="str"/>
          <cell r="F787" t="str"/>
          <cell r="G787" t="str"/>
          <cell r="H787" t="str"/>
          <cell r="I787" t="str"/>
          <cell r="J787" t="str"/>
          <cell r="K787" t="str"/>
          <cell r="L787" t="str"/>
          <cell r="M787" t="str"/>
          <cell r="N787" t="str"/>
          <cell r="O787" t="str"/>
          <cell r="P787" t="str"/>
          <cell r="Q787" t="str"/>
          <cell r="R787" t="str"/>
          <cell r="S787" t="str"/>
        </row>
        <row r="788">
          <cell r="B788" t="str"/>
          <cell r="C788" t="str"/>
          <cell r="D788" t="str"/>
          <cell r="E788" t="str"/>
          <cell r="F788" t="str"/>
          <cell r="G788" t="str"/>
          <cell r="H788" t="str"/>
          <cell r="I788" t="str"/>
          <cell r="J788" t="str"/>
          <cell r="K788" t="str"/>
          <cell r="L788" t="str"/>
          <cell r="M788" t="str"/>
          <cell r="N788" t="str"/>
          <cell r="O788" t="str"/>
          <cell r="P788" t="str"/>
          <cell r="Q788" t="str"/>
          <cell r="R788" t="str"/>
          <cell r="S788" t="str"/>
        </row>
        <row r="789">
          <cell r="B789" t="str"/>
          <cell r="C789" t="str"/>
          <cell r="D789" t="str"/>
          <cell r="E789" t="str"/>
          <cell r="F789" t="str"/>
          <cell r="G789" t="str"/>
          <cell r="H789" t="str"/>
          <cell r="I789" t="str"/>
          <cell r="J789" t="str"/>
          <cell r="K789" t="str"/>
          <cell r="L789" t="str"/>
          <cell r="M789" t="str"/>
          <cell r="N789" t="str"/>
          <cell r="O789" t="str"/>
          <cell r="P789" t="str"/>
          <cell r="Q789" t="str"/>
          <cell r="R789" t="str"/>
          <cell r="S789" t="str"/>
        </row>
        <row r="790">
          <cell r="B790" t="str"/>
          <cell r="C790" t="str"/>
          <cell r="D790" t="str"/>
          <cell r="E790" t="str"/>
          <cell r="F790" t="str"/>
          <cell r="G790" t="str"/>
          <cell r="H790" t="str"/>
          <cell r="I790" t="str"/>
          <cell r="J790" t="str"/>
          <cell r="K790" t="str"/>
          <cell r="L790" t="str"/>
          <cell r="M790" t="str"/>
          <cell r="N790" t="str"/>
          <cell r="O790" t="str"/>
          <cell r="P790" t="str"/>
          <cell r="Q790" t="str"/>
          <cell r="R790" t="str"/>
          <cell r="S790" t="str"/>
        </row>
        <row r="791">
          <cell r="B791" t="str"/>
          <cell r="C791" t="str"/>
          <cell r="D791" t="str"/>
          <cell r="E791" t="str"/>
          <cell r="F791" t="str"/>
          <cell r="G791" t="str"/>
          <cell r="H791" t="str"/>
          <cell r="I791" t="str"/>
          <cell r="J791" t="str"/>
          <cell r="K791" t="str"/>
          <cell r="L791" t="str"/>
          <cell r="M791" t="str"/>
          <cell r="N791" t="str"/>
          <cell r="O791" t="str"/>
          <cell r="P791" t="str"/>
          <cell r="Q791" t="str"/>
          <cell r="R791" t="str"/>
          <cell r="S791" t="str"/>
        </row>
        <row r="792">
          <cell r="B792" t="str"/>
          <cell r="C792" t="str"/>
          <cell r="D792" t="str"/>
          <cell r="E792" t="str"/>
          <cell r="F792" t="str"/>
          <cell r="G792" t="str"/>
          <cell r="H792" t="str"/>
          <cell r="I792" t="str"/>
          <cell r="J792" t="str"/>
          <cell r="K792" t="str"/>
          <cell r="L792" t="str"/>
          <cell r="M792" t="str"/>
          <cell r="N792" t="str"/>
          <cell r="O792" t="str"/>
          <cell r="P792" t="str"/>
          <cell r="Q792" t="str"/>
          <cell r="R792" t="str"/>
          <cell r="S792" t="str"/>
        </row>
        <row r="793">
          <cell r="B793" t="str"/>
          <cell r="C793" t="str"/>
          <cell r="D793" t="str"/>
          <cell r="E793" t="str"/>
          <cell r="F793" t="str"/>
          <cell r="G793" t="str"/>
          <cell r="H793" t="str"/>
          <cell r="I793" t="str"/>
          <cell r="J793" t="str"/>
          <cell r="K793" t="str"/>
          <cell r="L793" t="str"/>
          <cell r="M793" t="str"/>
          <cell r="N793" t="str"/>
          <cell r="O793" t="str"/>
          <cell r="P793" t="str"/>
          <cell r="Q793" t="str"/>
          <cell r="R793" t="str"/>
          <cell r="S793" t="str"/>
        </row>
        <row r="794">
          <cell r="B794" t="str"/>
          <cell r="C794" t="str"/>
          <cell r="D794" t="str"/>
          <cell r="E794" t="str"/>
          <cell r="F794" t="str"/>
          <cell r="G794" t="str"/>
          <cell r="H794" t="str"/>
          <cell r="I794" t="str"/>
          <cell r="J794" t="str"/>
          <cell r="K794" t="str"/>
          <cell r="L794" t="str"/>
          <cell r="M794" t="str"/>
          <cell r="N794" t="str"/>
          <cell r="O794" t="str"/>
          <cell r="P794" t="str"/>
          <cell r="Q794" t="str"/>
          <cell r="R794" t="str"/>
          <cell r="S794" t="str"/>
        </row>
        <row r="795">
          <cell r="B795" t="str"/>
          <cell r="C795" t="str"/>
          <cell r="D795" t="str"/>
          <cell r="E795" t="str"/>
          <cell r="F795" t="str"/>
          <cell r="G795" t="str"/>
          <cell r="H795" t="str"/>
          <cell r="I795" t="str"/>
          <cell r="J795" t="str"/>
          <cell r="K795" t="str"/>
          <cell r="L795" t="str"/>
          <cell r="M795" t="str"/>
          <cell r="N795" t="str"/>
          <cell r="O795" t="str"/>
          <cell r="P795" t="str"/>
          <cell r="Q795" t="str"/>
          <cell r="R795" t="str"/>
          <cell r="S795" t="str"/>
        </row>
        <row r="796">
          <cell r="B796" t="str"/>
          <cell r="C796" t="str"/>
          <cell r="D796" t="str"/>
          <cell r="E796" t="str"/>
          <cell r="F796" t="str"/>
          <cell r="G796" t="str"/>
          <cell r="H796" t="str"/>
          <cell r="I796" t="str"/>
          <cell r="J796" t="str"/>
          <cell r="K796" t="str"/>
          <cell r="L796" t="str"/>
          <cell r="M796" t="str"/>
          <cell r="N796" t="str"/>
          <cell r="O796" t="str"/>
          <cell r="P796" t="str"/>
          <cell r="Q796" t="str"/>
          <cell r="R796" t="str"/>
          <cell r="S796" t="str"/>
        </row>
        <row r="797">
          <cell r="B797" t="str"/>
          <cell r="C797" t="str"/>
          <cell r="D797" t="str"/>
          <cell r="E797" t="str"/>
          <cell r="F797" t="str"/>
          <cell r="G797" t="str"/>
          <cell r="H797" t="str"/>
          <cell r="I797" t="str"/>
          <cell r="J797" t="str"/>
          <cell r="K797" t="str"/>
          <cell r="L797" t="str"/>
          <cell r="M797" t="str"/>
          <cell r="N797" t="str"/>
          <cell r="O797" t="str"/>
          <cell r="P797" t="str"/>
          <cell r="Q797" t="str"/>
          <cell r="R797" t="str"/>
          <cell r="S797" t="str"/>
        </row>
        <row r="798">
          <cell r="B798" t="str"/>
          <cell r="C798" t="str"/>
          <cell r="D798" t="str"/>
          <cell r="E798" t="str"/>
          <cell r="F798" t="str"/>
          <cell r="G798" t="str"/>
          <cell r="H798" t="str"/>
          <cell r="I798" t="str"/>
          <cell r="J798" t="str"/>
          <cell r="K798" t="str"/>
          <cell r="L798" t="str"/>
          <cell r="M798" t="str"/>
          <cell r="N798" t="str"/>
          <cell r="O798" t="str"/>
          <cell r="P798" t="str"/>
          <cell r="Q798" t="str"/>
          <cell r="R798" t="str"/>
          <cell r="S798" t="str"/>
        </row>
        <row r="799">
          <cell r="B799" t="str"/>
          <cell r="C799" t="str"/>
          <cell r="D799" t="str"/>
          <cell r="E799" t="str"/>
          <cell r="F799" t="str"/>
          <cell r="G799" t="str"/>
          <cell r="H799" t="str"/>
          <cell r="I799" t="str"/>
          <cell r="J799" t="str"/>
          <cell r="K799" t="str"/>
          <cell r="L799" t="str"/>
          <cell r="M799" t="str"/>
          <cell r="N799" t="str"/>
          <cell r="O799" t="str"/>
          <cell r="P799" t="str"/>
          <cell r="Q799" t="str"/>
          <cell r="R799" t="str"/>
          <cell r="S799" t="str"/>
        </row>
        <row r="800">
          <cell r="B800" t="str"/>
          <cell r="C800" t="str"/>
          <cell r="D800" t="str"/>
          <cell r="E800" t="str"/>
          <cell r="F800" t="str"/>
          <cell r="G800" t="str"/>
          <cell r="H800" t="str"/>
          <cell r="I800" t="str"/>
          <cell r="J800" t="str"/>
          <cell r="K800" t="str"/>
          <cell r="L800" t="str"/>
          <cell r="M800" t="str"/>
          <cell r="N800" t="str"/>
          <cell r="O800" t="str"/>
          <cell r="P800" t="str"/>
          <cell r="Q800" t="str"/>
          <cell r="R800" t="str"/>
          <cell r="S800" t="str"/>
        </row>
        <row r="801">
          <cell r="B801" t="str"/>
          <cell r="C801" t="str"/>
          <cell r="D801" t="str"/>
          <cell r="E801" t="str"/>
          <cell r="F801" t="str"/>
          <cell r="G801" t="str"/>
          <cell r="H801" t="str"/>
          <cell r="I801" t="str"/>
          <cell r="J801" t="str"/>
          <cell r="K801" t="str"/>
          <cell r="L801" t="str"/>
          <cell r="M801" t="str"/>
          <cell r="N801" t="str"/>
          <cell r="O801" t="str"/>
          <cell r="P801" t="str"/>
          <cell r="Q801" t="str"/>
          <cell r="R801" t="str"/>
          <cell r="S801" t="str"/>
        </row>
        <row r="802">
          <cell r="B802" t="str"/>
          <cell r="C802" t="str"/>
          <cell r="D802" t="str"/>
          <cell r="E802" t="str"/>
          <cell r="F802" t="str"/>
          <cell r="G802" t="str"/>
          <cell r="H802" t="str"/>
          <cell r="I802" t="str"/>
          <cell r="J802" t="str"/>
          <cell r="K802" t="str"/>
          <cell r="L802" t="str"/>
          <cell r="M802" t="str"/>
          <cell r="N802" t="str"/>
          <cell r="O802" t="str"/>
          <cell r="P802" t="str"/>
          <cell r="Q802" t="str"/>
          <cell r="R802" t="str"/>
          <cell r="S802" t="str"/>
        </row>
        <row r="803">
          <cell r="B803" t="str"/>
          <cell r="C803" t="str"/>
          <cell r="D803" t="str"/>
          <cell r="E803" t="str"/>
          <cell r="F803" t="str"/>
          <cell r="G803" t="str"/>
          <cell r="H803" t="str"/>
          <cell r="I803" t="str"/>
          <cell r="J803" t="str"/>
          <cell r="K803" t="str"/>
          <cell r="L803" t="str"/>
          <cell r="M803" t="str"/>
          <cell r="N803" t="str"/>
          <cell r="O803" t="str"/>
          <cell r="P803" t="str"/>
          <cell r="Q803" t="str"/>
          <cell r="R803" t="str"/>
          <cell r="S803" t="str"/>
        </row>
        <row r="804">
          <cell r="B804" t="str"/>
          <cell r="C804" t="str"/>
          <cell r="D804" t="str"/>
          <cell r="E804" t="str"/>
          <cell r="F804" t="str"/>
          <cell r="G804" t="str"/>
          <cell r="H804" t="str"/>
          <cell r="I804" t="str"/>
          <cell r="J804" t="str"/>
          <cell r="K804" t="str"/>
          <cell r="L804" t="str"/>
          <cell r="M804" t="str"/>
          <cell r="N804" t="str"/>
          <cell r="O804" t="str"/>
          <cell r="P804" t="str"/>
          <cell r="Q804" t="str"/>
          <cell r="R804" t="str"/>
          <cell r="S804" t="str"/>
        </row>
        <row r="805">
          <cell r="B805" t="str"/>
          <cell r="C805" t="str"/>
          <cell r="D805" t="str"/>
          <cell r="E805" t="str"/>
          <cell r="F805" t="str"/>
          <cell r="G805" t="str"/>
          <cell r="H805" t="str"/>
          <cell r="I805" t="str"/>
          <cell r="J805" t="str"/>
          <cell r="K805" t="str"/>
          <cell r="L805" t="str"/>
          <cell r="M805" t="str"/>
          <cell r="N805" t="str"/>
          <cell r="O805" t="str"/>
          <cell r="P805" t="str"/>
          <cell r="Q805" t="str"/>
          <cell r="R805" t="str"/>
          <cell r="S805" t="str"/>
        </row>
        <row r="806">
          <cell r="B806" t="str"/>
          <cell r="C806" t="str"/>
          <cell r="D806" t="str"/>
          <cell r="E806" t="str"/>
          <cell r="F806" t="str"/>
          <cell r="G806" t="str"/>
          <cell r="H806" t="str"/>
          <cell r="I806" t="str"/>
          <cell r="J806" t="str"/>
          <cell r="K806" t="str"/>
          <cell r="L806" t="str"/>
          <cell r="M806" t="str"/>
          <cell r="N806" t="str"/>
          <cell r="O806" t="str"/>
          <cell r="P806" t="str"/>
          <cell r="Q806" t="str"/>
          <cell r="R806" t="str"/>
          <cell r="S806" t="str"/>
        </row>
        <row r="807">
          <cell r="B807" t="str"/>
          <cell r="C807" t="str"/>
          <cell r="D807" t="str"/>
          <cell r="E807" t="str"/>
          <cell r="F807" t="str"/>
          <cell r="G807" t="str"/>
          <cell r="H807" t="str"/>
          <cell r="I807" t="str"/>
          <cell r="J807" t="str"/>
          <cell r="K807" t="str"/>
          <cell r="L807" t="str"/>
          <cell r="M807" t="str"/>
          <cell r="N807" t="str"/>
          <cell r="O807" t="str"/>
          <cell r="P807" t="str"/>
          <cell r="Q807" t="str"/>
          <cell r="R807" t="str"/>
          <cell r="S807" t="str"/>
        </row>
        <row r="808">
          <cell r="B808" t="str"/>
          <cell r="C808" t="str"/>
          <cell r="D808" t="str"/>
          <cell r="E808" t="str"/>
          <cell r="F808" t="str"/>
          <cell r="G808" t="str"/>
          <cell r="H808" t="str"/>
          <cell r="I808" t="str"/>
          <cell r="J808" t="str"/>
          <cell r="K808" t="str"/>
          <cell r="L808" t="str"/>
          <cell r="M808" t="str"/>
          <cell r="N808" t="str"/>
          <cell r="O808" t="str"/>
          <cell r="P808" t="str"/>
          <cell r="Q808" t="str"/>
          <cell r="R808" t="str"/>
          <cell r="S808" t="str"/>
        </row>
        <row r="809">
          <cell r="B809" t="str"/>
          <cell r="C809" t="str"/>
          <cell r="D809" t="str"/>
          <cell r="E809" t="str"/>
          <cell r="F809" t="str"/>
          <cell r="G809" t="str"/>
          <cell r="H809" t="str"/>
          <cell r="I809" t="str"/>
          <cell r="J809" t="str"/>
          <cell r="K809" t="str"/>
          <cell r="L809" t="str"/>
          <cell r="M809" t="str"/>
          <cell r="N809" t="str"/>
          <cell r="O809" t="str"/>
          <cell r="P809" t="str"/>
          <cell r="Q809" t="str"/>
          <cell r="R809" t="str"/>
          <cell r="S809" t="str"/>
        </row>
        <row r="810">
          <cell r="B810" t="str"/>
          <cell r="C810" t="str"/>
          <cell r="D810" t="str"/>
          <cell r="E810" t="str"/>
          <cell r="F810" t="str"/>
          <cell r="G810" t="str"/>
          <cell r="H810" t="str"/>
          <cell r="I810" t="str"/>
          <cell r="J810" t="str"/>
          <cell r="K810" t="str"/>
          <cell r="L810" t="str"/>
          <cell r="M810" t="str"/>
          <cell r="N810" t="str"/>
          <cell r="O810" t="str"/>
          <cell r="P810" t="str"/>
          <cell r="Q810" t="str"/>
          <cell r="R810" t="str"/>
          <cell r="S810" t="str"/>
        </row>
        <row r="811">
          <cell r="B811" t="str"/>
          <cell r="C811" t="str"/>
          <cell r="D811" t="str"/>
          <cell r="E811" t="str"/>
          <cell r="F811" t="str"/>
          <cell r="G811" t="str"/>
          <cell r="H811" t="str"/>
          <cell r="I811" t="str"/>
          <cell r="J811" t="str"/>
          <cell r="K811" t="str"/>
          <cell r="L811" t="str"/>
          <cell r="M811" t="str"/>
          <cell r="N811" t="str"/>
          <cell r="O811" t="str"/>
          <cell r="P811" t="str"/>
          <cell r="Q811" t="str"/>
          <cell r="R811" t="str"/>
          <cell r="S811" t="str"/>
        </row>
        <row r="812">
          <cell r="B812" t="str"/>
          <cell r="C812" t="str"/>
          <cell r="D812" t="str"/>
          <cell r="E812" t="str"/>
          <cell r="F812" t="str"/>
          <cell r="G812" t="str"/>
          <cell r="H812" t="str"/>
          <cell r="I812" t="str"/>
          <cell r="J812" t="str"/>
          <cell r="K812" t="str"/>
          <cell r="L812" t="str"/>
          <cell r="M812" t="str"/>
          <cell r="N812" t="str"/>
          <cell r="O812" t="str"/>
          <cell r="P812" t="str"/>
          <cell r="Q812" t="str"/>
          <cell r="R812" t="str"/>
          <cell r="S812" t="str"/>
        </row>
        <row r="813">
          <cell r="B813" t="str"/>
          <cell r="C813" t="str"/>
          <cell r="D813" t="str"/>
          <cell r="E813" t="str"/>
          <cell r="F813" t="str"/>
          <cell r="G813" t="str"/>
          <cell r="H813" t="str"/>
          <cell r="I813" t="str"/>
          <cell r="J813" t="str"/>
          <cell r="K813" t="str"/>
          <cell r="L813" t="str"/>
          <cell r="M813" t="str"/>
          <cell r="N813" t="str"/>
          <cell r="O813" t="str"/>
          <cell r="P813" t="str"/>
          <cell r="Q813" t="str"/>
          <cell r="R813" t="str"/>
          <cell r="S813" t="str"/>
        </row>
        <row r="814">
          <cell r="B814" t="str"/>
          <cell r="C814" t="str"/>
          <cell r="D814" t="str"/>
          <cell r="E814" t="str"/>
          <cell r="F814" t="str"/>
          <cell r="G814" t="str"/>
          <cell r="H814" t="str"/>
          <cell r="I814" t="str"/>
          <cell r="J814" t="str"/>
          <cell r="K814" t="str"/>
          <cell r="L814" t="str"/>
          <cell r="M814" t="str"/>
          <cell r="N814" t="str"/>
          <cell r="O814" t="str"/>
          <cell r="P814" t="str"/>
          <cell r="Q814" t="str"/>
          <cell r="R814" t="str"/>
          <cell r="S814" t="str"/>
        </row>
        <row r="815">
          <cell r="B815" t="str"/>
          <cell r="C815" t="str"/>
          <cell r="D815" t="str"/>
          <cell r="E815" t="str"/>
          <cell r="F815" t="str"/>
          <cell r="G815" t="str"/>
          <cell r="H815" t="str"/>
          <cell r="I815" t="str"/>
          <cell r="J815" t="str"/>
          <cell r="K815" t="str"/>
          <cell r="L815" t="str"/>
          <cell r="M815" t="str"/>
          <cell r="N815" t="str"/>
          <cell r="O815" t="str"/>
          <cell r="P815" t="str"/>
          <cell r="Q815" t="str"/>
          <cell r="R815" t="str"/>
          <cell r="S815" t="str"/>
        </row>
        <row r="816">
          <cell r="B816" t="str"/>
          <cell r="C816" t="str"/>
          <cell r="D816" t="str"/>
          <cell r="E816" t="str"/>
          <cell r="F816" t="str"/>
          <cell r="G816" t="str"/>
          <cell r="H816" t="str"/>
          <cell r="I816" t="str"/>
          <cell r="J816" t="str"/>
          <cell r="K816" t="str"/>
          <cell r="L816" t="str"/>
          <cell r="M816" t="str"/>
          <cell r="N816" t="str"/>
          <cell r="O816" t="str"/>
          <cell r="P816" t="str"/>
          <cell r="Q816" t="str"/>
          <cell r="R816" t="str"/>
          <cell r="S816" t="str"/>
        </row>
        <row r="817">
          <cell r="B817" t="str"/>
          <cell r="C817" t="str"/>
          <cell r="D817" t="str"/>
          <cell r="E817" t="str"/>
          <cell r="F817" t="str"/>
          <cell r="G817" t="str"/>
          <cell r="H817" t="str"/>
          <cell r="I817" t="str"/>
          <cell r="J817" t="str"/>
          <cell r="K817" t="str"/>
          <cell r="L817" t="str"/>
          <cell r="M817" t="str"/>
          <cell r="N817" t="str"/>
          <cell r="O817" t="str"/>
          <cell r="P817" t="str"/>
          <cell r="Q817" t="str"/>
          <cell r="R817" t="str"/>
          <cell r="S817" t="str"/>
        </row>
        <row r="818">
          <cell r="B818" t="str"/>
          <cell r="C818" t="str"/>
          <cell r="D818" t="str"/>
          <cell r="E818" t="str"/>
          <cell r="F818" t="str"/>
          <cell r="G818" t="str"/>
          <cell r="H818" t="str"/>
          <cell r="I818" t="str"/>
          <cell r="J818" t="str"/>
          <cell r="K818" t="str"/>
          <cell r="L818" t="str"/>
          <cell r="M818" t="str"/>
          <cell r="N818" t="str"/>
          <cell r="O818" t="str"/>
          <cell r="P818" t="str"/>
          <cell r="Q818" t="str"/>
          <cell r="R818" t="str"/>
          <cell r="S818" t="str"/>
        </row>
        <row r="819">
          <cell r="B819" t="str"/>
          <cell r="C819" t="str"/>
          <cell r="D819" t="str"/>
          <cell r="E819" t="str"/>
          <cell r="F819" t="str"/>
          <cell r="G819" t="str"/>
          <cell r="H819" t="str"/>
          <cell r="I819" t="str"/>
          <cell r="J819" t="str"/>
          <cell r="K819" t="str"/>
          <cell r="L819" t="str"/>
          <cell r="M819" t="str"/>
          <cell r="N819" t="str"/>
          <cell r="O819" t="str"/>
          <cell r="P819" t="str"/>
          <cell r="Q819" t="str"/>
          <cell r="R819" t="str"/>
          <cell r="S819" t="str"/>
        </row>
        <row r="820">
          <cell r="B820" t="str"/>
          <cell r="C820" t="str"/>
          <cell r="D820" t="str"/>
          <cell r="E820" t="str"/>
          <cell r="F820" t="str"/>
          <cell r="G820" t="str"/>
          <cell r="H820" t="str"/>
          <cell r="I820" t="str"/>
          <cell r="J820" t="str"/>
          <cell r="K820" t="str"/>
          <cell r="L820" t="str"/>
          <cell r="M820" t="str"/>
          <cell r="N820" t="str"/>
          <cell r="O820" t="str"/>
          <cell r="P820" t="str"/>
          <cell r="Q820" t="str"/>
          <cell r="R820" t="str"/>
          <cell r="S820" t="str"/>
        </row>
        <row r="821">
          <cell r="B821" t="str"/>
          <cell r="C821" t="str"/>
          <cell r="D821" t="str"/>
          <cell r="E821" t="str"/>
          <cell r="F821" t="str"/>
          <cell r="G821" t="str"/>
          <cell r="H821" t="str"/>
          <cell r="I821" t="str"/>
          <cell r="J821" t="str"/>
          <cell r="K821" t="str"/>
          <cell r="L821" t="str"/>
          <cell r="M821" t="str"/>
          <cell r="N821" t="str"/>
          <cell r="O821" t="str"/>
          <cell r="P821" t="str"/>
          <cell r="Q821" t="str"/>
          <cell r="R821" t="str"/>
          <cell r="S821" t="str"/>
        </row>
        <row r="822">
          <cell r="B822" t="str"/>
          <cell r="C822" t="str"/>
          <cell r="D822" t="str"/>
          <cell r="E822" t="str"/>
          <cell r="F822" t="str"/>
          <cell r="G822" t="str"/>
          <cell r="H822" t="str"/>
          <cell r="I822" t="str"/>
          <cell r="J822" t="str"/>
          <cell r="K822" t="str"/>
          <cell r="L822" t="str"/>
          <cell r="M822" t="str"/>
          <cell r="N822" t="str"/>
          <cell r="O822" t="str"/>
          <cell r="P822" t="str"/>
          <cell r="Q822" t="str"/>
          <cell r="R822" t="str"/>
          <cell r="S822" t="str"/>
        </row>
        <row r="823">
          <cell r="B823" t="str"/>
          <cell r="C823" t="str"/>
          <cell r="D823" t="str"/>
          <cell r="E823" t="str"/>
          <cell r="F823" t="str"/>
          <cell r="G823" t="str"/>
          <cell r="H823" t="str"/>
          <cell r="I823" t="str"/>
          <cell r="J823" t="str"/>
          <cell r="K823" t="str"/>
          <cell r="L823" t="str"/>
          <cell r="M823" t="str"/>
          <cell r="N823" t="str"/>
          <cell r="O823" t="str"/>
          <cell r="P823" t="str"/>
          <cell r="Q823" t="str"/>
          <cell r="R823" t="str"/>
          <cell r="S823" t="str"/>
        </row>
        <row r="824">
          <cell r="B824" t="str"/>
          <cell r="C824" t="str"/>
          <cell r="D824" t="str"/>
          <cell r="E824" t="str"/>
          <cell r="F824" t="str"/>
          <cell r="G824" t="str"/>
          <cell r="H824" t="str"/>
          <cell r="I824" t="str"/>
          <cell r="J824" t="str"/>
          <cell r="K824" t="str"/>
          <cell r="L824" t="str"/>
          <cell r="M824" t="str"/>
          <cell r="N824" t="str"/>
          <cell r="O824" t="str"/>
          <cell r="P824" t="str"/>
          <cell r="Q824" t="str"/>
          <cell r="R824" t="str"/>
          <cell r="S824" t="str"/>
        </row>
        <row r="825">
          <cell r="B825" t="str"/>
          <cell r="C825" t="str"/>
          <cell r="D825" t="str"/>
          <cell r="E825" t="str"/>
          <cell r="F825" t="str"/>
          <cell r="G825" t="str"/>
          <cell r="H825" t="str"/>
          <cell r="I825" t="str"/>
          <cell r="J825" t="str"/>
          <cell r="K825" t="str"/>
          <cell r="L825" t="str"/>
          <cell r="M825" t="str"/>
          <cell r="N825" t="str"/>
          <cell r="O825" t="str"/>
          <cell r="P825" t="str"/>
          <cell r="Q825" t="str"/>
          <cell r="R825" t="str"/>
          <cell r="S825" t="str"/>
        </row>
        <row r="826">
          <cell r="B826" t="str"/>
          <cell r="C826" t="str"/>
          <cell r="D826" t="str"/>
          <cell r="E826" t="str"/>
          <cell r="F826" t="str"/>
          <cell r="G826" t="str"/>
          <cell r="H826" t="str"/>
          <cell r="I826" t="str"/>
          <cell r="J826" t="str"/>
          <cell r="K826" t="str"/>
          <cell r="L826" t="str"/>
          <cell r="M826" t="str"/>
          <cell r="N826" t="str"/>
          <cell r="O826" t="str"/>
          <cell r="P826" t="str"/>
          <cell r="Q826" t="str"/>
          <cell r="R826" t="str"/>
          <cell r="S826" t="str"/>
        </row>
        <row r="827">
          <cell r="B827" t="str"/>
          <cell r="C827" t="str"/>
          <cell r="D827" t="str"/>
          <cell r="E827" t="str"/>
          <cell r="F827" t="str"/>
          <cell r="G827" t="str"/>
          <cell r="H827" t="str"/>
          <cell r="I827" t="str"/>
          <cell r="J827" t="str"/>
          <cell r="K827" t="str"/>
          <cell r="L827" t="str"/>
          <cell r="M827" t="str"/>
          <cell r="N827" t="str"/>
          <cell r="O827" t="str"/>
          <cell r="P827" t="str"/>
          <cell r="Q827" t="str"/>
          <cell r="R827" t="str"/>
          <cell r="S827" t="str"/>
        </row>
        <row r="828">
          <cell r="B828" t="str"/>
          <cell r="C828" t="str"/>
          <cell r="D828" t="str"/>
          <cell r="E828" t="str"/>
          <cell r="F828" t="str"/>
          <cell r="G828" t="str"/>
          <cell r="H828" t="str"/>
          <cell r="I828" t="str"/>
          <cell r="J828" t="str"/>
          <cell r="K828" t="str"/>
          <cell r="L828" t="str"/>
          <cell r="M828" t="str"/>
          <cell r="N828" t="str"/>
          <cell r="O828" t="str"/>
          <cell r="P828" t="str"/>
          <cell r="Q828" t="str"/>
          <cell r="R828" t="str"/>
          <cell r="S828" t="str"/>
        </row>
        <row r="829">
          <cell r="B829" t="str"/>
          <cell r="C829" t="str"/>
          <cell r="D829" t="str"/>
          <cell r="E829" t="str"/>
          <cell r="F829" t="str"/>
          <cell r="G829" t="str"/>
          <cell r="H829" t="str"/>
          <cell r="I829" t="str"/>
          <cell r="J829" t="str"/>
          <cell r="K829" t="str"/>
          <cell r="L829" t="str"/>
          <cell r="M829" t="str"/>
          <cell r="N829" t="str"/>
          <cell r="O829" t="str"/>
          <cell r="P829" t="str"/>
          <cell r="Q829" t="str"/>
          <cell r="R829" t="str"/>
          <cell r="S829" t="str"/>
        </row>
        <row r="830">
          <cell r="B830" t="str"/>
          <cell r="C830" t="str"/>
          <cell r="D830" t="str"/>
          <cell r="E830" t="str"/>
          <cell r="F830" t="str"/>
          <cell r="G830" t="str"/>
          <cell r="H830" t="str"/>
          <cell r="I830" t="str"/>
          <cell r="J830" t="str"/>
          <cell r="K830" t="str"/>
          <cell r="L830" t="str"/>
          <cell r="M830" t="str"/>
          <cell r="N830" t="str"/>
          <cell r="O830" t="str"/>
          <cell r="P830" t="str"/>
          <cell r="Q830" t="str"/>
          <cell r="R830" t="str"/>
          <cell r="S830" t="str"/>
        </row>
        <row r="831">
          <cell r="B831" t="str"/>
          <cell r="C831" t="str"/>
          <cell r="D831" t="str"/>
          <cell r="E831" t="str"/>
          <cell r="F831" t="str"/>
          <cell r="G831" t="str"/>
          <cell r="H831" t="str"/>
          <cell r="I831" t="str"/>
          <cell r="J831" t="str"/>
          <cell r="K831" t="str"/>
          <cell r="L831" t="str"/>
          <cell r="M831" t="str"/>
          <cell r="N831" t="str"/>
          <cell r="O831" t="str"/>
          <cell r="P831" t="str"/>
          <cell r="Q831" t="str"/>
          <cell r="R831" t="str"/>
          <cell r="S831" t="str"/>
        </row>
        <row r="832">
          <cell r="B832" t="str"/>
          <cell r="C832" t="str"/>
          <cell r="D832" t="str"/>
          <cell r="E832" t="str"/>
          <cell r="F832" t="str"/>
          <cell r="G832" t="str"/>
          <cell r="H832" t="str"/>
          <cell r="I832" t="str"/>
          <cell r="J832" t="str"/>
          <cell r="K832" t="str"/>
          <cell r="L832" t="str"/>
          <cell r="M832" t="str"/>
          <cell r="N832" t="str"/>
          <cell r="O832" t="str"/>
          <cell r="P832" t="str"/>
          <cell r="Q832" t="str"/>
          <cell r="R832" t="str"/>
          <cell r="S832" t="str"/>
        </row>
        <row r="833">
          <cell r="B833" t="str"/>
          <cell r="C833" t="str"/>
          <cell r="D833" t="str"/>
          <cell r="E833" t="str"/>
          <cell r="F833" t="str"/>
          <cell r="G833" t="str"/>
          <cell r="H833" t="str"/>
          <cell r="I833" t="str"/>
          <cell r="J833" t="str"/>
          <cell r="K833" t="str"/>
          <cell r="L833" t="str"/>
          <cell r="M833" t="str"/>
          <cell r="N833" t="str"/>
          <cell r="O833" t="str"/>
          <cell r="P833" t="str"/>
          <cell r="Q833" t="str"/>
          <cell r="R833" t="str"/>
          <cell r="S833" t="str"/>
        </row>
        <row r="834">
          <cell r="B834" t="str"/>
          <cell r="C834" t="str"/>
          <cell r="D834" t="str"/>
          <cell r="E834" t="str"/>
          <cell r="F834" t="str"/>
          <cell r="G834" t="str"/>
          <cell r="H834" t="str"/>
          <cell r="I834" t="str"/>
          <cell r="J834" t="str"/>
          <cell r="K834" t="str"/>
          <cell r="L834" t="str"/>
          <cell r="M834" t="str"/>
          <cell r="N834" t="str"/>
          <cell r="O834" t="str"/>
          <cell r="P834" t="str"/>
          <cell r="Q834" t="str"/>
          <cell r="R834" t="str"/>
          <cell r="S834" t="str"/>
        </row>
        <row r="835">
          <cell r="B835" t="str"/>
          <cell r="C835" t="str"/>
          <cell r="D835" t="str"/>
          <cell r="E835" t="str"/>
          <cell r="F835" t="str"/>
          <cell r="G835" t="str"/>
          <cell r="H835" t="str"/>
          <cell r="I835" t="str"/>
          <cell r="J835" t="str"/>
          <cell r="K835" t="str"/>
          <cell r="L835" t="str"/>
          <cell r="M835" t="str"/>
          <cell r="N835" t="str"/>
          <cell r="O835" t="str"/>
          <cell r="P835" t="str"/>
          <cell r="Q835" t="str"/>
          <cell r="R835" t="str"/>
          <cell r="S835" t="str"/>
        </row>
        <row r="836">
          <cell r="B836" t="str"/>
          <cell r="C836" t="str"/>
          <cell r="D836" t="str"/>
          <cell r="E836" t="str"/>
          <cell r="F836" t="str"/>
          <cell r="G836" t="str"/>
          <cell r="H836" t="str"/>
          <cell r="I836" t="str"/>
          <cell r="J836" t="str"/>
          <cell r="K836" t="str"/>
          <cell r="L836" t="str"/>
          <cell r="M836" t="str"/>
          <cell r="N836" t="str"/>
          <cell r="O836" t="str"/>
          <cell r="P836" t="str"/>
          <cell r="Q836" t="str"/>
          <cell r="R836" t="str"/>
          <cell r="S836" t="str"/>
        </row>
        <row r="837">
          <cell r="B837" t="str"/>
          <cell r="C837" t="str"/>
          <cell r="D837" t="str"/>
          <cell r="E837" t="str"/>
          <cell r="F837" t="str"/>
          <cell r="G837" t="str"/>
          <cell r="H837" t="str"/>
          <cell r="I837" t="str"/>
          <cell r="J837" t="str"/>
          <cell r="K837" t="str"/>
          <cell r="L837" t="str"/>
          <cell r="M837" t="str"/>
          <cell r="N837" t="str"/>
          <cell r="O837" t="str"/>
          <cell r="P837" t="str"/>
          <cell r="Q837" t="str"/>
          <cell r="R837" t="str"/>
          <cell r="S837" t="str"/>
        </row>
        <row r="838">
          <cell r="B838" t="str"/>
          <cell r="C838" t="str"/>
          <cell r="D838" t="str"/>
          <cell r="E838" t="str"/>
          <cell r="F838" t="str"/>
          <cell r="G838" t="str"/>
          <cell r="H838" t="str"/>
          <cell r="I838" t="str"/>
          <cell r="J838" t="str"/>
          <cell r="K838" t="str"/>
          <cell r="L838" t="str"/>
          <cell r="M838" t="str"/>
          <cell r="N838" t="str"/>
          <cell r="O838" t="str"/>
          <cell r="P838" t="str"/>
          <cell r="Q838" t="str"/>
          <cell r="R838" t="str"/>
          <cell r="S838" t="str"/>
        </row>
        <row r="839">
          <cell r="B839" t="str"/>
          <cell r="C839" t="str"/>
          <cell r="D839" t="str"/>
          <cell r="E839" t="str"/>
          <cell r="F839" t="str"/>
          <cell r="G839" t="str"/>
          <cell r="H839" t="str"/>
          <cell r="I839" t="str"/>
          <cell r="J839" t="str"/>
          <cell r="K839" t="str"/>
          <cell r="L839" t="str"/>
          <cell r="M839" t="str"/>
          <cell r="N839" t="str"/>
          <cell r="O839" t="str"/>
          <cell r="P839" t="str"/>
          <cell r="Q839" t="str"/>
          <cell r="R839" t="str"/>
          <cell r="S839" t="str"/>
        </row>
        <row r="840">
          <cell r="B840" t="str"/>
          <cell r="C840" t="str"/>
          <cell r="D840" t="str"/>
          <cell r="E840" t="str"/>
          <cell r="F840" t="str"/>
          <cell r="G840" t="str"/>
          <cell r="H840" t="str"/>
          <cell r="I840" t="str"/>
          <cell r="J840" t="str"/>
          <cell r="K840" t="str"/>
          <cell r="L840" t="str"/>
          <cell r="M840" t="str"/>
          <cell r="N840" t="str"/>
          <cell r="O840" t="str"/>
          <cell r="P840" t="str"/>
          <cell r="Q840" t="str"/>
          <cell r="R840" t="str"/>
          <cell r="S840" t="str"/>
        </row>
        <row r="841">
          <cell r="B841" t="str"/>
          <cell r="C841" t="str"/>
          <cell r="D841" t="str"/>
          <cell r="E841" t="str"/>
          <cell r="F841" t="str"/>
          <cell r="G841" t="str"/>
          <cell r="H841" t="str"/>
          <cell r="I841" t="str"/>
          <cell r="J841" t="str"/>
          <cell r="K841" t="str"/>
          <cell r="L841" t="str"/>
          <cell r="M841" t="str"/>
          <cell r="N841" t="str"/>
          <cell r="O841" t="str"/>
          <cell r="P841" t="str"/>
          <cell r="Q841" t="str"/>
          <cell r="R841" t="str"/>
          <cell r="S841" t="str"/>
        </row>
        <row r="842">
          <cell r="B842" t="str"/>
          <cell r="C842" t="str"/>
          <cell r="D842" t="str"/>
          <cell r="E842" t="str"/>
          <cell r="F842" t="str"/>
          <cell r="G842" t="str"/>
          <cell r="H842" t="str"/>
          <cell r="I842" t="str"/>
          <cell r="J842" t="str"/>
          <cell r="K842" t="str"/>
          <cell r="L842" t="str"/>
          <cell r="M842" t="str"/>
          <cell r="N842" t="str"/>
          <cell r="O842" t="str"/>
          <cell r="P842" t="str"/>
          <cell r="Q842" t="str"/>
          <cell r="R842" t="str"/>
          <cell r="S842" t="str"/>
        </row>
        <row r="843">
          <cell r="B843" t="str"/>
          <cell r="C843" t="str"/>
          <cell r="D843" t="str"/>
          <cell r="E843" t="str"/>
          <cell r="F843" t="str"/>
          <cell r="G843" t="str"/>
          <cell r="H843" t="str"/>
          <cell r="I843" t="str"/>
          <cell r="J843" t="str"/>
          <cell r="K843" t="str"/>
          <cell r="L843" t="str"/>
          <cell r="M843" t="str"/>
          <cell r="N843" t="str"/>
          <cell r="O843" t="str"/>
          <cell r="P843" t="str"/>
          <cell r="Q843" t="str"/>
          <cell r="R843" t="str"/>
          <cell r="S843" t="str"/>
        </row>
        <row r="844">
          <cell r="B844" t="str"/>
          <cell r="C844" t="str"/>
          <cell r="D844" t="str"/>
          <cell r="E844" t="str"/>
          <cell r="F844" t="str"/>
          <cell r="G844" t="str"/>
          <cell r="H844" t="str"/>
          <cell r="I844" t="str"/>
          <cell r="J844" t="str"/>
          <cell r="K844" t="str"/>
          <cell r="L844" t="str"/>
          <cell r="M844" t="str"/>
          <cell r="N844" t="str"/>
          <cell r="O844" t="str"/>
          <cell r="P844" t="str"/>
          <cell r="Q844" t="str"/>
          <cell r="R844" t="str"/>
          <cell r="S844" t="str"/>
        </row>
        <row r="845">
          <cell r="B845" t="str"/>
          <cell r="C845" t="str"/>
          <cell r="D845" t="str"/>
          <cell r="E845" t="str"/>
          <cell r="F845" t="str"/>
          <cell r="G845" t="str"/>
          <cell r="H845" t="str"/>
          <cell r="I845" t="str"/>
          <cell r="J845" t="str"/>
          <cell r="K845" t="str"/>
          <cell r="L845" t="str"/>
          <cell r="M845" t="str"/>
          <cell r="N845" t="str"/>
          <cell r="O845" t="str"/>
          <cell r="P845" t="str"/>
          <cell r="Q845" t="str"/>
          <cell r="R845" t="str"/>
          <cell r="S845" t="str"/>
        </row>
        <row r="846">
          <cell r="B846" t="str"/>
          <cell r="C846" t="str"/>
          <cell r="D846" t="str"/>
          <cell r="E846" t="str"/>
          <cell r="F846" t="str"/>
          <cell r="G846" t="str"/>
          <cell r="H846" t="str"/>
          <cell r="I846" t="str"/>
          <cell r="J846" t="str"/>
          <cell r="K846" t="str"/>
          <cell r="L846" t="str"/>
          <cell r="M846" t="str"/>
          <cell r="N846" t="str"/>
          <cell r="O846" t="str"/>
          <cell r="P846" t="str"/>
          <cell r="Q846" t="str"/>
          <cell r="R846" t="str"/>
          <cell r="S846" t="str"/>
        </row>
        <row r="847">
          <cell r="B847" t="str"/>
          <cell r="C847" t="str"/>
          <cell r="D847" t="str"/>
          <cell r="E847" t="str"/>
          <cell r="F847" t="str"/>
          <cell r="G847" t="str"/>
          <cell r="H847" t="str"/>
          <cell r="I847" t="str"/>
          <cell r="J847" t="str"/>
          <cell r="K847" t="str"/>
          <cell r="L847" t="str"/>
          <cell r="M847" t="str"/>
          <cell r="N847" t="str"/>
          <cell r="O847" t="str"/>
          <cell r="P847" t="str"/>
          <cell r="Q847" t="str"/>
          <cell r="R847" t="str"/>
          <cell r="S847" t="str"/>
        </row>
        <row r="848">
          <cell r="B848" t="str"/>
          <cell r="C848" t="str"/>
          <cell r="D848" t="str"/>
          <cell r="E848" t="str"/>
          <cell r="F848" t="str"/>
          <cell r="G848" t="str"/>
          <cell r="H848" t="str"/>
          <cell r="I848" t="str"/>
          <cell r="J848" t="str"/>
          <cell r="K848" t="str"/>
          <cell r="L848" t="str"/>
          <cell r="M848" t="str"/>
          <cell r="N848" t="str"/>
          <cell r="O848" t="str"/>
          <cell r="P848" t="str"/>
          <cell r="Q848" t="str"/>
          <cell r="R848" t="str"/>
          <cell r="S848" t="str"/>
        </row>
        <row r="849">
          <cell r="B849" t="str"/>
          <cell r="C849" t="str"/>
          <cell r="D849" t="str"/>
          <cell r="E849" t="str"/>
          <cell r="F849" t="str"/>
          <cell r="G849" t="str"/>
          <cell r="H849" t="str"/>
          <cell r="I849" t="str"/>
          <cell r="J849" t="str"/>
          <cell r="K849" t="str"/>
          <cell r="L849" t="str"/>
          <cell r="M849" t="str"/>
          <cell r="N849" t="str"/>
          <cell r="O849" t="str"/>
          <cell r="P849" t="str"/>
          <cell r="Q849" t="str"/>
          <cell r="R849" t="str"/>
          <cell r="S849" t="str"/>
        </row>
        <row r="850">
          <cell r="B850" t="str"/>
          <cell r="C850" t="str"/>
          <cell r="D850" t="str"/>
          <cell r="E850" t="str"/>
          <cell r="F850" t="str"/>
          <cell r="G850" t="str"/>
          <cell r="H850" t="str"/>
          <cell r="I850" t="str"/>
          <cell r="J850" t="str"/>
          <cell r="K850" t="str"/>
          <cell r="L850" t="str"/>
          <cell r="M850" t="str"/>
          <cell r="N850" t="str"/>
          <cell r="O850" t="str"/>
          <cell r="P850" t="str"/>
          <cell r="Q850" t="str"/>
          <cell r="R850" t="str"/>
          <cell r="S850" t="str"/>
        </row>
        <row r="851">
          <cell r="B851" t="str"/>
          <cell r="C851" t="str"/>
          <cell r="D851" t="str"/>
          <cell r="E851" t="str"/>
          <cell r="F851" t="str"/>
          <cell r="G851" t="str"/>
          <cell r="H851" t="str"/>
          <cell r="I851" t="str"/>
          <cell r="J851" t="str"/>
          <cell r="K851" t="str"/>
          <cell r="L851" t="str"/>
          <cell r="M851" t="str"/>
          <cell r="N851" t="str"/>
          <cell r="O851" t="str"/>
          <cell r="P851" t="str"/>
          <cell r="Q851" t="str"/>
          <cell r="R851" t="str"/>
          <cell r="S851" t="str"/>
        </row>
        <row r="852">
          <cell r="B852" t="str"/>
          <cell r="C852" t="str"/>
          <cell r="D852" t="str"/>
          <cell r="E852" t="str"/>
          <cell r="F852" t="str"/>
          <cell r="G852" t="str"/>
          <cell r="H852" t="str"/>
          <cell r="I852" t="str"/>
          <cell r="J852" t="str"/>
          <cell r="K852" t="str"/>
          <cell r="L852" t="str"/>
          <cell r="M852" t="str"/>
          <cell r="N852" t="str"/>
          <cell r="O852" t="str"/>
          <cell r="P852" t="str"/>
          <cell r="Q852" t="str"/>
          <cell r="R852" t="str"/>
          <cell r="S852" t="str"/>
        </row>
        <row r="853">
          <cell r="B853" t="str"/>
          <cell r="C853" t="str"/>
          <cell r="D853" t="str"/>
          <cell r="E853" t="str"/>
          <cell r="F853" t="str"/>
          <cell r="G853" t="str"/>
          <cell r="H853" t="str"/>
          <cell r="I853" t="str"/>
          <cell r="J853" t="str"/>
          <cell r="K853" t="str"/>
          <cell r="L853" t="str"/>
          <cell r="M853" t="str"/>
          <cell r="N853" t="str"/>
          <cell r="O853" t="str"/>
          <cell r="P853" t="str"/>
          <cell r="Q853" t="str"/>
          <cell r="R853" t="str"/>
          <cell r="S853" t="str"/>
        </row>
        <row r="854">
          <cell r="B854" t="str"/>
          <cell r="C854" t="str"/>
          <cell r="D854" t="str"/>
          <cell r="E854" t="str"/>
          <cell r="F854" t="str"/>
          <cell r="G854" t="str"/>
          <cell r="H854" t="str"/>
          <cell r="I854" t="str"/>
          <cell r="J854" t="str"/>
          <cell r="K854" t="str"/>
          <cell r="L854" t="str"/>
          <cell r="M854" t="str"/>
          <cell r="N854" t="str"/>
          <cell r="O854" t="str"/>
          <cell r="P854" t="str"/>
          <cell r="Q854" t="str"/>
          <cell r="R854" t="str"/>
          <cell r="S854" t="str"/>
        </row>
        <row r="855">
          <cell r="B855" t="str"/>
          <cell r="C855" t="str"/>
          <cell r="D855" t="str"/>
          <cell r="E855" t="str"/>
          <cell r="F855" t="str"/>
          <cell r="G855" t="str"/>
          <cell r="H855" t="str"/>
          <cell r="I855" t="str"/>
          <cell r="J855" t="str"/>
          <cell r="K855" t="str"/>
          <cell r="L855" t="str"/>
          <cell r="M855" t="str"/>
          <cell r="N855" t="str"/>
          <cell r="O855" t="str"/>
          <cell r="P855" t="str"/>
          <cell r="Q855" t="str"/>
          <cell r="R855" t="str"/>
          <cell r="S855" t="str"/>
        </row>
        <row r="856">
          <cell r="B856" t="str"/>
          <cell r="C856" t="str"/>
          <cell r="D856" t="str"/>
          <cell r="E856" t="str"/>
          <cell r="F856" t="str"/>
          <cell r="G856" t="str"/>
          <cell r="H856" t="str"/>
          <cell r="I856" t="str"/>
          <cell r="J856" t="str"/>
          <cell r="K856" t="str"/>
          <cell r="L856" t="str"/>
          <cell r="M856" t="str"/>
          <cell r="N856" t="str"/>
          <cell r="O856" t="str"/>
          <cell r="P856" t="str"/>
          <cell r="Q856" t="str"/>
          <cell r="R856" t="str"/>
          <cell r="S856" t="str"/>
        </row>
        <row r="857">
          <cell r="B857" t="str"/>
          <cell r="C857" t="str"/>
          <cell r="D857" t="str"/>
          <cell r="E857" t="str"/>
          <cell r="F857" t="str"/>
          <cell r="G857" t="str"/>
          <cell r="H857" t="str"/>
          <cell r="I857" t="str"/>
          <cell r="J857" t="str"/>
          <cell r="K857" t="str"/>
          <cell r="L857" t="str"/>
          <cell r="M857" t="str"/>
          <cell r="N857" t="str"/>
          <cell r="O857" t="str"/>
          <cell r="P857" t="str"/>
          <cell r="Q857" t="str"/>
          <cell r="R857" t="str"/>
          <cell r="S857" t="str"/>
        </row>
        <row r="858">
          <cell r="B858" t="str"/>
          <cell r="C858" t="str"/>
          <cell r="D858" t="str"/>
          <cell r="E858" t="str"/>
          <cell r="F858" t="str"/>
          <cell r="G858" t="str"/>
          <cell r="H858" t="str"/>
          <cell r="I858" t="str"/>
          <cell r="J858" t="str"/>
          <cell r="K858" t="str"/>
          <cell r="L858" t="str"/>
          <cell r="M858" t="str"/>
          <cell r="N858" t="str"/>
          <cell r="O858" t="str"/>
          <cell r="P858" t="str"/>
          <cell r="Q858" t="str"/>
          <cell r="R858" t="str"/>
          <cell r="S858" t="str"/>
        </row>
        <row r="859">
          <cell r="B859" t="str"/>
          <cell r="C859" t="str"/>
          <cell r="D859" t="str"/>
          <cell r="E859" t="str"/>
          <cell r="F859" t="str"/>
          <cell r="G859" t="str"/>
          <cell r="H859" t="str"/>
          <cell r="I859" t="str"/>
          <cell r="J859" t="str"/>
          <cell r="K859" t="str"/>
          <cell r="L859" t="str"/>
          <cell r="M859" t="str"/>
          <cell r="N859" t="str"/>
          <cell r="O859" t="str"/>
          <cell r="P859" t="str"/>
          <cell r="Q859" t="str"/>
          <cell r="R859" t="str"/>
          <cell r="S859" t="str"/>
        </row>
        <row r="860">
          <cell r="B860" t="str"/>
          <cell r="C860" t="str"/>
          <cell r="D860" t="str"/>
          <cell r="E860" t="str"/>
          <cell r="F860" t="str"/>
          <cell r="G860" t="str"/>
          <cell r="H860" t="str"/>
          <cell r="I860" t="str"/>
          <cell r="J860" t="str"/>
          <cell r="K860" t="str"/>
          <cell r="L860" t="str"/>
          <cell r="M860" t="str"/>
          <cell r="N860" t="str"/>
          <cell r="O860" t="str"/>
          <cell r="P860" t="str"/>
          <cell r="Q860" t="str"/>
          <cell r="R860" t="str"/>
          <cell r="S860" t="str"/>
        </row>
        <row r="861">
          <cell r="B861" t="str"/>
          <cell r="C861" t="str"/>
          <cell r="D861" t="str"/>
          <cell r="E861" t="str"/>
          <cell r="F861" t="str"/>
          <cell r="G861" t="str"/>
          <cell r="H861" t="str"/>
          <cell r="I861" t="str"/>
          <cell r="J861" t="str"/>
          <cell r="K861" t="str"/>
          <cell r="L861" t="str"/>
          <cell r="M861" t="str"/>
          <cell r="N861" t="str"/>
          <cell r="O861" t="str"/>
          <cell r="P861" t="str"/>
          <cell r="Q861" t="str"/>
          <cell r="R861" t="str"/>
          <cell r="S861" t="str"/>
        </row>
        <row r="862">
          <cell r="B862" t="str"/>
          <cell r="C862" t="str"/>
          <cell r="D862" t="str"/>
          <cell r="E862" t="str"/>
          <cell r="F862" t="str"/>
          <cell r="G862" t="str"/>
          <cell r="H862" t="str"/>
          <cell r="I862" t="str"/>
          <cell r="J862" t="str"/>
          <cell r="K862" t="str"/>
          <cell r="L862" t="str"/>
          <cell r="M862" t="str"/>
          <cell r="N862" t="str"/>
          <cell r="O862" t="str"/>
          <cell r="P862" t="str"/>
          <cell r="Q862" t="str"/>
          <cell r="R862" t="str"/>
          <cell r="S862" t="str"/>
        </row>
        <row r="863">
          <cell r="B863" t="str"/>
          <cell r="C863" t="str"/>
          <cell r="D863" t="str"/>
          <cell r="E863" t="str"/>
          <cell r="F863" t="str"/>
          <cell r="G863" t="str"/>
          <cell r="H863" t="str"/>
          <cell r="I863" t="str"/>
          <cell r="J863" t="str"/>
          <cell r="K863" t="str"/>
          <cell r="L863" t="str"/>
          <cell r="M863" t="str"/>
          <cell r="N863" t="str"/>
          <cell r="O863" t="str"/>
          <cell r="P863" t="str"/>
          <cell r="Q863" t="str"/>
          <cell r="R863" t="str"/>
          <cell r="S863" t="str"/>
        </row>
        <row r="864">
          <cell r="B864" t="str"/>
          <cell r="C864" t="str"/>
          <cell r="D864" t="str"/>
          <cell r="E864" t="str"/>
          <cell r="F864" t="str"/>
          <cell r="G864" t="str"/>
          <cell r="H864" t="str"/>
          <cell r="I864" t="str"/>
          <cell r="J864" t="str"/>
          <cell r="K864" t="str"/>
          <cell r="L864" t="str"/>
          <cell r="M864" t="str"/>
          <cell r="N864" t="str"/>
          <cell r="O864" t="str"/>
          <cell r="P864" t="str"/>
          <cell r="Q864" t="str"/>
          <cell r="R864" t="str"/>
          <cell r="S864" t="str"/>
        </row>
        <row r="865">
          <cell r="B865" t="str"/>
          <cell r="C865" t="str"/>
          <cell r="D865" t="str"/>
          <cell r="E865" t="str"/>
          <cell r="F865" t="str"/>
          <cell r="G865" t="str"/>
          <cell r="H865" t="str"/>
          <cell r="I865" t="str"/>
          <cell r="J865" t="str"/>
          <cell r="K865" t="str"/>
          <cell r="L865" t="str"/>
          <cell r="M865" t="str"/>
          <cell r="N865" t="str"/>
          <cell r="O865" t="str"/>
          <cell r="P865" t="str"/>
          <cell r="Q865" t="str"/>
          <cell r="R865" t="str"/>
          <cell r="S865" t="str"/>
        </row>
        <row r="866">
          <cell r="B866" t="str"/>
          <cell r="C866" t="str"/>
          <cell r="D866" t="str"/>
          <cell r="E866" t="str"/>
          <cell r="F866" t="str"/>
          <cell r="G866" t="str"/>
          <cell r="H866" t="str"/>
          <cell r="I866" t="str"/>
          <cell r="J866" t="str"/>
          <cell r="K866" t="str"/>
          <cell r="L866" t="str"/>
          <cell r="M866" t="str"/>
          <cell r="N866" t="str"/>
          <cell r="O866" t="str"/>
          <cell r="P866" t="str"/>
          <cell r="Q866" t="str"/>
          <cell r="R866" t="str"/>
          <cell r="S866" t="str"/>
        </row>
        <row r="867">
          <cell r="B867" t="str"/>
          <cell r="C867" t="str"/>
          <cell r="D867" t="str"/>
          <cell r="E867" t="str"/>
          <cell r="F867" t="str"/>
          <cell r="G867" t="str"/>
          <cell r="H867" t="str"/>
          <cell r="I867" t="str"/>
          <cell r="J867" t="str"/>
          <cell r="K867" t="str"/>
          <cell r="L867" t="str"/>
          <cell r="M867" t="str"/>
          <cell r="N867" t="str"/>
          <cell r="O867" t="str"/>
          <cell r="P867" t="str"/>
          <cell r="Q867" t="str"/>
          <cell r="R867" t="str"/>
          <cell r="S867" t="str"/>
        </row>
        <row r="868">
          <cell r="B868" t="str"/>
          <cell r="C868" t="str"/>
          <cell r="D868" t="str"/>
          <cell r="E868" t="str"/>
          <cell r="F868" t="str"/>
          <cell r="G868" t="str"/>
          <cell r="H868" t="str"/>
          <cell r="I868" t="str"/>
          <cell r="J868" t="str"/>
          <cell r="K868" t="str"/>
          <cell r="L868" t="str"/>
          <cell r="M868" t="str"/>
          <cell r="N868" t="str"/>
          <cell r="O868" t="str"/>
          <cell r="P868" t="str"/>
          <cell r="Q868" t="str"/>
          <cell r="R868" t="str"/>
          <cell r="S868" t="str"/>
        </row>
        <row r="869">
          <cell r="B869" t="str"/>
          <cell r="C869" t="str"/>
          <cell r="D869" t="str"/>
          <cell r="E869" t="str"/>
          <cell r="F869" t="str"/>
          <cell r="G869" t="str"/>
          <cell r="H869" t="str"/>
          <cell r="I869" t="str"/>
          <cell r="J869" t="str"/>
          <cell r="K869" t="str"/>
          <cell r="L869" t="str"/>
          <cell r="M869" t="str"/>
          <cell r="N869" t="str"/>
          <cell r="O869" t="str"/>
          <cell r="P869" t="str"/>
          <cell r="Q869" t="str"/>
          <cell r="R869" t="str"/>
          <cell r="S869" t="str"/>
        </row>
        <row r="870">
          <cell r="B870" t="str"/>
          <cell r="C870" t="str"/>
          <cell r="D870" t="str"/>
          <cell r="E870" t="str"/>
          <cell r="F870" t="str"/>
          <cell r="G870" t="str"/>
          <cell r="H870" t="str"/>
          <cell r="I870" t="str"/>
          <cell r="J870" t="str"/>
          <cell r="K870" t="str"/>
          <cell r="L870" t="str"/>
          <cell r="M870" t="str"/>
          <cell r="N870" t="str"/>
          <cell r="O870" t="str"/>
          <cell r="P870" t="str"/>
          <cell r="Q870" t="str"/>
          <cell r="R870" t="str"/>
          <cell r="S870" t="str"/>
        </row>
        <row r="871">
          <cell r="B871" t="str"/>
          <cell r="C871" t="str"/>
          <cell r="D871" t="str"/>
          <cell r="E871" t="str"/>
          <cell r="F871" t="str"/>
          <cell r="G871" t="str"/>
          <cell r="H871" t="str"/>
          <cell r="I871" t="str"/>
          <cell r="J871" t="str"/>
          <cell r="K871" t="str"/>
          <cell r="L871" t="str"/>
          <cell r="M871" t="str"/>
          <cell r="N871" t="str"/>
          <cell r="O871" t="str"/>
          <cell r="P871" t="str"/>
          <cell r="Q871" t="str"/>
          <cell r="R871" t="str"/>
          <cell r="S871" t="str"/>
        </row>
        <row r="872">
          <cell r="B872" t="str"/>
          <cell r="C872" t="str"/>
          <cell r="D872" t="str"/>
          <cell r="E872" t="str"/>
          <cell r="F872" t="str"/>
          <cell r="G872" t="str"/>
          <cell r="H872" t="str"/>
          <cell r="I872" t="str"/>
          <cell r="J872" t="str"/>
          <cell r="K872" t="str"/>
          <cell r="L872" t="str"/>
          <cell r="M872" t="str"/>
          <cell r="N872" t="str"/>
          <cell r="O872" t="str"/>
          <cell r="P872" t="str"/>
          <cell r="Q872" t="str"/>
          <cell r="R872" t="str"/>
          <cell r="S872" t="str"/>
        </row>
        <row r="873">
          <cell r="B873" t="str"/>
          <cell r="C873" t="str"/>
          <cell r="D873" t="str"/>
          <cell r="E873" t="str"/>
          <cell r="F873" t="str"/>
          <cell r="G873" t="str"/>
          <cell r="H873" t="str"/>
          <cell r="I873" t="str"/>
          <cell r="J873" t="str"/>
          <cell r="K873" t="str"/>
          <cell r="L873" t="str"/>
          <cell r="M873" t="str"/>
          <cell r="N873" t="str"/>
          <cell r="O873" t="str"/>
          <cell r="P873" t="str"/>
          <cell r="Q873" t="str"/>
          <cell r="R873" t="str"/>
          <cell r="S873" t="str"/>
        </row>
        <row r="874">
          <cell r="B874" t="str"/>
          <cell r="C874" t="str"/>
          <cell r="D874" t="str"/>
          <cell r="E874" t="str"/>
          <cell r="F874" t="str"/>
          <cell r="G874" t="str"/>
          <cell r="H874" t="str"/>
          <cell r="I874" t="str"/>
          <cell r="J874" t="str"/>
          <cell r="K874" t="str"/>
          <cell r="L874" t="str"/>
          <cell r="M874" t="str"/>
          <cell r="N874" t="str"/>
          <cell r="O874" t="str"/>
          <cell r="P874" t="str"/>
          <cell r="Q874" t="str"/>
          <cell r="R874" t="str"/>
          <cell r="S874" t="str"/>
        </row>
        <row r="875">
          <cell r="B875" t="str"/>
          <cell r="C875" t="str"/>
          <cell r="D875" t="str"/>
          <cell r="E875" t="str"/>
          <cell r="F875" t="str"/>
          <cell r="G875" t="str"/>
          <cell r="H875" t="str"/>
          <cell r="I875" t="str"/>
          <cell r="J875" t="str"/>
          <cell r="K875" t="str"/>
          <cell r="L875" t="str"/>
          <cell r="M875" t="str"/>
          <cell r="N875" t="str"/>
          <cell r="O875" t="str"/>
          <cell r="P875" t="str"/>
          <cell r="Q875" t="str"/>
          <cell r="R875" t="str"/>
          <cell r="S875" t="str"/>
        </row>
        <row r="876">
          <cell r="B876" t="str"/>
          <cell r="C876" t="str"/>
          <cell r="D876" t="str"/>
          <cell r="E876" t="str"/>
          <cell r="F876" t="str"/>
          <cell r="G876" t="str"/>
          <cell r="H876" t="str"/>
          <cell r="I876" t="str"/>
          <cell r="J876" t="str"/>
          <cell r="K876" t="str"/>
          <cell r="L876" t="str"/>
          <cell r="M876" t="str"/>
          <cell r="N876" t="str"/>
          <cell r="O876" t="str"/>
          <cell r="P876" t="str"/>
          <cell r="Q876" t="str"/>
          <cell r="R876" t="str"/>
          <cell r="S876" t="str"/>
        </row>
        <row r="877">
          <cell r="B877" t="str"/>
          <cell r="C877" t="str"/>
          <cell r="D877" t="str"/>
          <cell r="E877" t="str"/>
          <cell r="F877" t="str"/>
          <cell r="G877" t="str"/>
          <cell r="H877" t="str"/>
          <cell r="I877" t="str"/>
          <cell r="J877" t="str"/>
          <cell r="K877" t="str"/>
          <cell r="L877" t="str"/>
          <cell r="M877" t="str"/>
          <cell r="N877" t="str"/>
          <cell r="O877" t="str"/>
          <cell r="P877" t="str"/>
          <cell r="Q877" t="str"/>
          <cell r="R877" t="str"/>
          <cell r="S877" t="str"/>
        </row>
        <row r="878">
          <cell r="B878" t="str"/>
          <cell r="C878" t="str"/>
          <cell r="D878" t="str"/>
          <cell r="E878" t="str"/>
          <cell r="F878" t="str"/>
          <cell r="G878" t="str"/>
          <cell r="H878" t="str"/>
          <cell r="I878" t="str"/>
          <cell r="J878" t="str"/>
          <cell r="K878" t="str"/>
          <cell r="L878" t="str"/>
          <cell r="M878" t="str"/>
          <cell r="N878" t="str"/>
          <cell r="O878" t="str"/>
          <cell r="P878" t="str"/>
          <cell r="Q878" t="str"/>
          <cell r="R878" t="str"/>
          <cell r="S878" t="str"/>
        </row>
        <row r="879">
          <cell r="B879" t="str"/>
          <cell r="C879" t="str"/>
          <cell r="D879" t="str"/>
          <cell r="E879" t="str"/>
          <cell r="F879" t="str"/>
          <cell r="G879" t="str"/>
          <cell r="H879" t="str"/>
          <cell r="I879" t="str"/>
          <cell r="J879" t="str"/>
          <cell r="K879" t="str"/>
          <cell r="L879" t="str"/>
          <cell r="M879" t="str"/>
          <cell r="N879" t="str"/>
          <cell r="O879" t="str"/>
          <cell r="P879" t="str"/>
          <cell r="Q879" t="str"/>
          <cell r="R879" t="str"/>
          <cell r="S879" t="str"/>
        </row>
        <row r="880">
          <cell r="B880" t="str"/>
          <cell r="C880" t="str"/>
          <cell r="D880" t="str"/>
          <cell r="E880" t="str"/>
          <cell r="F880" t="str"/>
          <cell r="G880" t="str"/>
          <cell r="H880" t="str"/>
          <cell r="I880" t="str"/>
          <cell r="J880" t="str"/>
          <cell r="K880" t="str"/>
          <cell r="L880" t="str"/>
          <cell r="M880" t="str"/>
          <cell r="N880" t="str"/>
          <cell r="O880" t="str"/>
          <cell r="P880" t="str"/>
          <cell r="Q880" t="str"/>
          <cell r="R880" t="str"/>
          <cell r="S880" t="str"/>
        </row>
        <row r="881">
          <cell r="B881" t="str"/>
          <cell r="C881" t="str"/>
          <cell r="D881" t="str"/>
          <cell r="E881" t="str"/>
          <cell r="F881" t="str"/>
          <cell r="G881" t="str"/>
          <cell r="H881" t="str"/>
          <cell r="I881" t="str"/>
          <cell r="J881" t="str"/>
          <cell r="K881" t="str"/>
          <cell r="L881" t="str"/>
          <cell r="M881" t="str"/>
          <cell r="N881" t="str"/>
          <cell r="O881" t="str"/>
          <cell r="P881" t="str"/>
          <cell r="Q881" t="str"/>
          <cell r="R881" t="str"/>
          <cell r="S881" t="str"/>
        </row>
        <row r="882">
          <cell r="B882" t="str"/>
          <cell r="C882" t="str"/>
          <cell r="D882" t="str"/>
          <cell r="E882" t="str"/>
          <cell r="F882" t="str"/>
          <cell r="G882" t="str"/>
          <cell r="H882" t="str"/>
          <cell r="I882" t="str"/>
          <cell r="J882" t="str"/>
          <cell r="K882" t="str"/>
          <cell r="L882" t="str"/>
          <cell r="M882" t="str"/>
          <cell r="N882" t="str"/>
          <cell r="O882" t="str"/>
          <cell r="P882" t="str"/>
          <cell r="Q882" t="str"/>
          <cell r="R882" t="str"/>
          <cell r="S882" t="str"/>
        </row>
        <row r="883">
          <cell r="B883" t="str"/>
          <cell r="C883" t="str"/>
          <cell r="D883" t="str"/>
          <cell r="E883" t="str"/>
          <cell r="F883" t="str"/>
          <cell r="G883" t="str"/>
          <cell r="H883" t="str"/>
          <cell r="I883" t="str"/>
          <cell r="J883" t="str"/>
          <cell r="K883" t="str"/>
          <cell r="L883" t="str"/>
          <cell r="M883" t="str"/>
          <cell r="N883" t="str"/>
          <cell r="O883" t="str"/>
          <cell r="P883" t="str"/>
          <cell r="Q883" t="str"/>
          <cell r="R883" t="str"/>
          <cell r="S883" t="str"/>
        </row>
        <row r="884">
          <cell r="B884" t="str"/>
          <cell r="C884" t="str"/>
          <cell r="D884" t="str"/>
          <cell r="E884" t="str"/>
          <cell r="F884" t="str"/>
          <cell r="G884" t="str"/>
          <cell r="H884" t="str"/>
          <cell r="I884" t="str"/>
          <cell r="J884" t="str"/>
          <cell r="K884" t="str"/>
          <cell r="L884" t="str"/>
          <cell r="M884" t="str"/>
          <cell r="N884" t="str"/>
          <cell r="O884" t="str"/>
          <cell r="P884" t="str"/>
          <cell r="Q884" t="str"/>
          <cell r="R884" t="str"/>
          <cell r="S884" t="str"/>
        </row>
        <row r="885">
          <cell r="B885" t="str"/>
          <cell r="C885" t="str"/>
          <cell r="D885" t="str"/>
          <cell r="E885" t="str"/>
          <cell r="F885" t="str"/>
          <cell r="G885" t="str"/>
          <cell r="H885" t="str"/>
          <cell r="I885" t="str"/>
          <cell r="J885" t="str"/>
          <cell r="K885" t="str"/>
          <cell r="L885" t="str"/>
          <cell r="M885" t="str"/>
          <cell r="N885" t="str"/>
          <cell r="O885" t="str"/>
          <cell r="P885" t="str"/>
          <cell r="Q885" t="str"/>
          <cell r="R885" t="str"/>
          <cell r="S885" t="str"/>
        </row>
        <row r="886">
          <cell r="B886" t="str"/>
          <cell r="C886" t="str"/>
          <cell r="D886" t="str"/>
          <cell r="E886" t="str"/>
          <cell r="F886" t="str"/>
          <cell r="G886" t="str"/>
          <cell r="H886" t="str"/>
          <cell r="I886" t="str"/>
          <cell r="J886" t="str"/>
          <cell r="K886" t="str"/>
          <cell r="L886" t="str"/>
          <cell r="M886" t="str"/>
          <cell r="N886" t="str"/>
          <cell r="O886" t="str"/>
          <cell r="P886" t="str"/>
          <cell r="Q886" t="str"/>
          <cell r="R886" t="str"/>
          <cell r="S886" t="str"/>
        </row>
        <row r="887">
          <cell r="B887" t="str"/>
          <cell r="C887" t="str"/>
          <cell r="D887" t="str"/>
          <cell r="E887" t="str"/>
          <cell r="F887" t="str"/>
          <cell r="G887" t="str"/>
          <cell r="H887" t="str"/>
          <cell r="I887" t="str"/>
          <cell r="J887" t="str"/>
          <cell r="K887" t="str"/>
          <cell r="L887" t="str"/>
          <cell r="M887" t="str"/>
          <cell r="N887" t="str"/>
          <cell r="O887" t="str"/>
          <cell r="P887" t="str"/>
          <cell r="Q887" t="str"/>
          <cell r="R887" t="str"/>
          <cell r="S887" t="str"/>
        </row>
        <row r="888">
          <cell r="B888" t="str"/>
          <cell r="C888" t="str"/>
          <cell r="D888" t="str"/>
          <cell r="E888" t="str"/>
          <cell r="F888" t="str"/>
          <cell r="G888" t="str"/>
          <cell r="H888" t="str"/>
          <cell r="I888" t="str"/>
          <cell r="J888" t="str"/>
          <cell r="K888" t="str"/>
          <cell r="L888" t="str"/>
          <cell r="M888" t="str"/>
          <cell r="N888" t="str"/>
          <cell r="O888" t="str"/>
          <cell r="P888" t="str"/>
          <cell r="Q888" t="str"/>
          <cell r="R888" t="str"/>
          <cell r="S888" t="str"/>
        </row>
        <row r="889">
          <cell r="B889" t="str"/>
          <cell r="C889" t="str"/>
          <cell r="D889" t="str"/>
          <cell r="E889" t="str"/>
          <cell r="F889" t="str"/>
          <cell r="G889" t="str"/>
          <cell r="H889" t="str"/>
          <cell r="I889" t="str"/>
          <cell r="J889" t="str"/>
          <cell r="K889" t="str"/>
          <cell r="L889" t="str"/>
          <cell r="M889" t="str"/>
          <cell r="N889" t="str"/>
          <cell r="O889" t="str"/>
          <cell r="P889" t="str"/>
          <cell r="Q889" t="str"/>
          <cell r="R889" t="str"/>
          <cell r="S889" t="str"/>
        </row>
        <row r="890">
          <cell r="B890" t="str"/>
          <cell r="C890" t="str"/>
          <cell r="D890" t="str"/>
          <cell r="E890" t="str"/>
          <cell r="F890" t="str"/>
          <cell r="G890" t="str"/>
          <cell r="H890" t="str"/>
          <cell r="I890" t="str"/>
          <cell r="J890" t="str"/>
          <cell r="K890" t="str"/>
          <cell r="L890" t="str"/>
          <cell r="M890" t="str"/>
          <cell r="N890" t="str"/>
          <cell r="O890" t="str"/>
          <cell r="P890" t="str"/>
          <cell r="Q890" t="str"/>
          <cell r="R890" t="str"/>
          <cell r="S890" t="str"/>
        </row>
        <row r="891">
          <cell r="B891" t="str"/>
          <cell r="C891" t="str"/>
          <cell r="D891" t="str"/>
          <cell r="E891" t="str"/>
          <cell r="F891" t="str"/>
          <cell r="G891" t="str"/>
          <cell r="H891" t="str"/>
          <cell r="I891" t="str"/>
          <cell r="J891" t="str"/>
          <cell r="K891" t="str"/>
          <cell r="L891" t="str"/>
          <cell r="M891" t="str"/>
          <cell r="N891" t="str"/>
          <cell r="O891" t="str"/>
          <cell r="P891" t="str"/>
          <cell r="Q891" t="str"/>
          <cell r="R891" t="str"/>
          <cell r="S891" t="str"/>
        </row>
        <row r="892">
          <cell r="B892" t="str"/>
          <cell r="C892" t="str"/>
          <cell r="D892" t="str"/>
          <cell r="E892" t="str"/>
          <cell r="F892" t="str"/>
          <cell r="G892" t="str"/>
          <cell r="H892" t="str"/>
          <cell r="I892" t="str"/>
          <cell r="J892" t="str"/>
          <cell r="K892" t="str"/>
          <cell r="L892" t="str"/>
          <cell r="M892" t="str"/>
          <cell r="N892" t="str"/>
          <cell r="O892" t="str"/>
          <cell r="P892" t="str"/>
          <cell r="Q892" t="str"/>
          <cell r="R892" t="str"/>
          <cell r="S892" t="str"/>
        </row>
        <row r="893">
          <cell r="B893" t="str"/>
          <cell r="C893" t="str"/>
          <cell r="D893" t="str"/>
          <cell r="E893" t="str"/>
          <cell r="F893" t="str"/>
          <cell r="G893" t="str"/>
          <cell r="H893" t="str"/>
          <cell r="I893" t="str"/>
          <cell r="J893" t="str"/>
          <cell r="K893" t="str"/>
          <cell r="L893" t="str"/>
          <cell r="M893" t="str"/>
          <cell r="N893" t="str"/>
          <cell r="O893" t="str"/>
          <cell r="P893" t="str"/>
          <cell r="Q893" t="str"/>
          <cell r="R893" t="str"/>
          <cell r="S893" t="str"/>
        </row>
        <row r="894">
          <cell r="B894" t="str"/>
          <cell r="C894" t="str"/>
          <cell r="D894" t="str"/>
          <cell r="E894" t="str"/>
          <cell r="F894" t="str"/>
          <cell r="G894" t="str"/>
          <cell r="H894" t="str"/>
          <cell r="I894" t="str"/>
          <cell r="J894" t="str"/>
          <cell r="K894" t="str"/>
          <cell r="L894" t="str"/>
          <cell r="M894" t="str"/>
          <cell r="N894" t="str"/>
          <cell r="O894" t="str"/>
          <cell r="P894" t="str"/>
          <cell r="Q894" t="str"/>
          <cell r="R894" t="str"/>
          <cell r="S894" t="str"/>
        </row>
        <row r="895">
          <cell r="B895" t="str"/>
          <cell r="C895" t="str"/>
          <cell r="D895" t="str"/>
          <cell r="E895" t="str"/>
          <cell r="F895" t="str"/>
          <cell r="G895" t="str"/>
          <cell r="H895" t="str"/>
          <cell r="I895" t="str"/>
          <cell r="J895" t="str"/>
          <cell r="K895" t="str"/>
          <cell r="L895" t="str"/>
          <cell r="M895" t="str"/>
          <cell r="N895" t="str"/>
          <cell r="O895" t="str"/>
          <cell r="P895" t="str"/>
          <cell r="Q895" t="str"/>
          <cell r="R895" t="str"/>
          <cell r="S895" t="str"/>
        </row>
        <row r="896">
          <cell r="B896" t="str"/>
          <cell r="C896" t="str"/>
          <cell r="D896" t="str"/>
          <cell r="E896" t="str"/>
          <cell r="F896" t="str"/>
          <cell r="G896" t="str"/>
          <cell r="H896" t="str"/>
          <cell r="I896" t="str"/>
          <cell r="J896" t="str"/>
          <cell r="K896" t="str"/>
          <cell r="L896" t="str"/>
          <cell r="M896" t="str"/>
          <cell r="N896" t="str"/>
          <cell r="O896" t="str"/>
          <cell r="P896" t="str"/>
          <cell r="Q896" t="str"/>
          <cell r="R896" t="str"/>
          <cell r="S896" t="str"/>
        </row>
        <row r="897">
          <cell r="B897" t="str"/>
          <cell r="C897" t="str"/>
          <cell r="D897" t="str"/>
          <cell r="E897" t="str"/>
          <cell r="F897" t="str"/>
          <cell r="G897" t="str"/>
          <cell r="H897" t="str"/>
          <cell r="I897" t="str"/>
          <cell r="J897" t="str"/>
          <cell r="K897" t="str"/>
          <cell r="L897" t="str"/>
          <cell r="M897" t="str"/>
          <cell r="N897" t="str"/>
          <cell r="O897" t="str"/>
          <cell r="P897" t="str"/>
          <cell r="Q897" t="str"/>
          <cell r="R897" t="str"/>
          <cell r="S897" t="str"/>
        </row>
        <row r="898">
          <cell r="B898" t="str"/>
          <cell r="C898" t="str"/>
          <cell r="D898" t="str"/>
          <cell r="E898" t="str"/>
          <cell r="F898" t="str"/>
          <cell r="G898" t="str"/>
          <cell r="H898" t="str"/>
          <cell r="I898" t="str"/>
          <cell r="J898" t="str"/>
          <cell r="K898" t="str"/>
          <cell r="L898" t="str"/>
          <cell r="M898" t="str"/>
          <cell r="N898" t="str"/>
          <cell r="O898" t="str"/>
          <cell r="P898" t="str"/>
          <cell r="Q898" t="str"/>
          <cell r="R898" t="str"/>
          <cell r="S898" t="str"/>
        </row>
        <row r="899">
          <cell r="B899" t="str"/>
          <cell r="C899" t="str"/>
          <cell r="D899" t="str"/>
          <cell r="E899" t="str"/>
          <cell r="F899" t="str"/>
          <cell r="G899" t="str"/>
          <cell r="H899" t="str"/>
          <cell r="I899" t="str"/>
          <cell r="J899" t="str"/>
          <cell r="K899" t="str"/>
          <cell r="L899" t="str"/>
          <cell r="M899" t="str"/>
          <cell r="N899" t="str"/>
          <cell r="O899" t="str"/>
          <cell r="P899" t="str"/>
          <cell r="Q899" t="str"/>
          <cell r="R899" t="str"/>
          <cell r="S899" t="str"/>
        </row>
        <row r="900">
          <cell r="B900" t="str"/>
          <cell r="C900" t="str"/>
          <cell r="D900" t="str"/>
          <cell r="E900" t="str"/>
          <cell r="F900" t="str"/>
          <cell r="G900" t="str"/>
          <cell r="H900" t="str"/>
          <cell r="I900" t="str"/>
          <cell r="J900" t="str"/>
          <cell r="K900" t="str"/>
          <cell r="L900" t="str"/>
          <cell r="M900" t="str"/>
          <cell r="N900" t="str"/>
          <cell r="O900" t="str"/>
          <cell r="P900" t="str"/>
          <cell r="Q900" t="str"/>
          <cell r="R900" t="str"/>
          <cell r="S900" t="str"/>
        </row>
        <row r="901">
          <cell r="B901" t="str"/>
          <cell r="C901" t="str"/>
          <cell r="D901" t="str"/>
          <cell r="E901" t="str"/>
          <cell r="F901" t="str"/>
          <cell r="G901" t="str"/>
          <cell r="H901" t="str"/>
          <cell r="I901" t="str"/>
          <cell r="J901" t="str"/>
          <cell r="K901" t="str"/>
          <cell r="L901" t="str"/>
          <cell r="M901" t="str"/>
          <cell r="N901" t="str"/>
          <cell r="O901" t="str"/>
          <cell r="P901" t="str"/>
          <cell r="Q901" t="str"/>
          <cell r="R901" t="str"/>
          <cell r="S901" t="str"/>
        </row>
        <row r="902">
          <cell r="B902" t="str"/>
          <cell r="C902" t="str"/>
          <cell r="D902" t="str"/>
          <cell r="E902" t="str"/>
          <cell r="F902" t="str"/>
          <cell r="G902" t="str"/>
          <cell r="H902" t="str"/>
          <cell r="I902" t="str"/>
          <cell r="J902" t="str"/>
          <cell r="K902" t="str"/>
          <cell r="L902" t="str"/>
          <cell r="M902" t="str"/>
          <cell r="N902" t="str"/>
          <cell r="O902" t="str"/>
          <cell r="P902" t="str"/>
          <cell r="Q902" t="str"/>
          <cell r="R902" t="str"/>
          <cell r="S902" t="str"/>
        </row>
        <row r="903">
          <cell r="B903" t="str"/>
          <cell r="C903" t="str"/>
          <cell r="D903" t="str"/>
          <cell r="E903" t="str"/>
          <cell r="F903" t="str"/>
          <cell r="G903" t="str"/>
          <cell r="H903" t="str"/>
          <cell r="I903" t="str"/>
          <cell r="J903" t="str"/>
          <cell r="K903" t="str"/>
          <cell r="L903" t="str"/>
          <cell r="M903" t="str"/>
          <cell r="N903" t="str"/>
          <cell r="O903" t="str"/>
          <cell r="P903" t="str"/>
          <cell r="Q903" t="str"/>
          <cell r="R903" t="str"/>
          <cell r="S903" t="str"/>
        </row>
        <row r="904">
          <cell r="B904" t="str"/>
          <cell r="C904" t="str"/>
          <cell r="D904" t="str"/>
          <cell r="E904" t="str"/>
          <cell r="F904" t="str"/>
          <cell r="G904" t="str"/>
          <cell r="H904" t="str"/>
          <cell r="I904" t="str"/>
          <cell r="J904" t="str"/>
          <cell r="K904" t="str"/>
          <cell r="L904" t="str"/>
          <cell r="M904" t="str"/>
          <cell r="N904" t="str"/>
          <cell r="O904" t="str"/>
          <cell r="P904" t="str"/>
          <cell r="Q904" t="str"/>
          <cell r="R904" t="str"/>
          <cell r="S904" t="str"/>
        </row>
        <row r="905">
          <cell r="B905" t="str"/>
          <cell r="C905" t="str"/>
          <cell r="D905" t="str"/>
          <cell r="E905" t="str"/>
          <cell r="F905" t="str"/>
          <cell r="G905" t="str"/>
          <cell r="H905" t="str"/>
          <cell r="I905" t="str"/>
          <cell r="J905" t="str"/>
          <cell r="K905" t="str"/>
          <cell r="L905" t="str"/>
          <cell r="M905" t="str"/>
          <cell r="N905" t="str"/>
          <cell r="O905" t="str"/>
          <cell r="P905" t="str"/>
          <cell r="Q905" t="str"/>
          <cell r="R905" t="str"/>
          <cell r="S905" t="str"/>
        </row>
        <row r="906">
          <cell r="B906" t="str"/>
          <cell r="C906" t="str"/>
          <cell r="D906" t="str"/>
          <cell r="E906" t="str"/>
          <cell r="F906" t="str"/>
          <cell r="G906" t="str"/>
          <cell r="H906" t="str"/>
          <cell r="I906" t="str"/>
          <cell r="J906" t="str"/>
          <cell r="K906" t="str"/>
          <cell r="L906" t="str"/>
          <cell r="M906" t="str"/>
          <cell r="N906" t="str"/>
          <cell r="O906" t="str"/>
          <cell r="P906" t="str"/>
          <cell r="Q906" t="str"/>
          <cell r="R906" t="str"/>
          <cell r="S906" t="str"/>
        </row>
        <row r="907">
          <cell r="B907" t="str"/>
          <cell r="C907" t="str"/>
          <cell r="D907" t="str"/>
          <cell r="E907" t="str"/>
          <cell r="F907" t="str"/>
          <cell r="G907" t="str"/>
          <cell r="H907" t="str"/>
          <cell r="I907" t="str"/>
          <cell r="J907" t="str"/>
          <cell r="K907" t="str"/>
          <cell r="L907" t="str"/>
          <cell r="M907" t="str"/>
          <cell r="N907" t="str"/>
          <cell r="O907" t="str"/>
          <cell r="P907" t="str"/>
          <cell r="Q907" t="str"/>
          <cell r="R907" t="str"/>
          <cell r="S907" t="str"/>
        </row>
        <row r="908">
          <cell r="B908" t="str"/>
          <cell r="C908" t="str"/>
          <cell r="D908" t="str"/>
          <cell r="E908" t="str"/>
          <cell r="F908" t="str"/>
          <cell r="G908" t="str"/>
          <cell r="H908" t="str"/>
          <cell r="I908" t="str"/>
          <cell r="J908" t="str"/>
          <cell r="K908" t="str"/>
          <cell r="L908" t="str"/>
          <cell r="M908" t="str"/>
          <cell r="N908" t="str"/>
          <cell r="O908" t="str"/>
          <cell r="P908" t="str"/>
          <cell r="Q908" t="str"/>
          <cell r="R908" t="str"/>
          <cell r="S908" t="str"/>
        </row>
        <row r="909">
          <cell r="B909" t="str"/>
          <cell r="C909" t="str"/>
          <cell r="D909" t="str"/>
          <cell r="E909" t="str"/>
          <cell r="F909" t="str"/>
          <cell r="G909" t="str"/>
          <cell r="H909" t="str"/>
          <cell r="I909" t="str"/>
          <cell r="J909" t="str"/>
          <cell r="K909" t="str"/>
          <cell r="L909" t="str"/>
          <cell r="M909" t="str"/>
          <cell r="N909" t="str"/>
          <cell r="O909" t="str"/>
          <cell r="P909" t="str"/>
          <cell r="Q909" t="str"/>
          <cell r="R909" t="str"/>
          <cell r="S909" t="str"/>
        </row>
        <row r="910">
          <cell r="B910" t="str"/>
          <cell r="C910" t="str"/>
          <cell r="D910" t="str"/>
          <cell r="E910" t="str"/>
          <cell r="F910" t="str"/>
          <cell r="G910" t="str"/>
          <cell r="H910" t="str"/>
          <cell r="I910" t="str"/>
          <cell r="J910" t="str"/>
          <cell r="K910" t="str"/>
          <cell r="L910" t="str"/>
          <cell r="M910" t="str"/>
          <cell r="N910" t="str"/>
          <cell r="O910" t="str"/>
          <cell r="P910" t="str"/>
          <cell r="Q910" t="str"/>
          <cell r="R910" t="str"/>
          <cell r="S910" t="str"/>
        </row>
        <row r="911">
          <cell r="B911" t="str"/>
          <cell r="C911" t="str"/>
          <cell r="D911" t="str"/>
          <cell r="E911" t="str"/>
          <cell r="F911" t="str"/>
          <cell r="G911" t="str"/>
          <cell r="H911" t="str"/>
          <cell r="I911" t="str"/>
          <cell r="J911" t="str"/>
          <cell r="K911" t="str"/>
          <cell r="L911" t="str"/>
          <cell r="M911" t="str"/>
          <cell r="N911" t="str"/>
          <cell r="O911" t="str"/>
          <cell r="P911" t="str"/>
          <cell r="Q911" t="str"/>
          <cell r="R911" t="str"/>
          <cell r="S911" t="str"/>
        </row>
        <row r="912">
          <cell r="B912" t="str"/>
          <cell r="C912" t="str"/>
          <cell r="D912" t="str"/>
          <cell r="E912" t="str"/>
          <cell r="F912" t="str"/>
          <cell r="G912" t="str"/>
          <cell r="H912" t="str"/>
          <cell r="I912" t="str"/>
          <cell r="J912" t="str"/>
          <cell r="K912" t="str"/>
          <cell r="L912" t="str"/>
          <cell r="M912" t="str"/>
          <cell r="N912" t="str"/>
          <cell r="O912" t="str"/>
          <cell r="P912" t="str"/>
          <cell r="Q912" t="str"/>
          <cell r="R912" t="str"/>
          <cell r="S912" t="str"/>
        </row>
        <row r="913">
          <cell r="B913" t="str"/>
          <cell r="C913" t="str"/>
          <cell r="D913" t="str"/>
          <cell r="E913" t="str"/>
          <cell r="F913" t="str"/>
          <cell r="G913" t="str"/>
          <cell r="H913" t="str"/>
          <cell r="I913" t="str"/>
          <cell r="J913" t="str"/>
          <cell r="K913" t="str"/>
          <cell r="L913" t="str"/>
          <cell r="M913" t="str"/>
          <cell r="N913" t="str"/>
          <cell r="O913" t="str"/>
          <cell r="P913" t="str"/>
          <cell r="Q913" t="str"/>
          <cell r="R913" t="str"/>
          <cell r="S913" t="str"/>
        </row>
        <row r="914">
          <cell r="B914" t="str"/>
          <cell r="C914" t="str"/>
          <cell r="D914" t="str"/>
          <cell r="E914" t="str"/>
          <cell r="F914" t="str"/>
          <cell r="G914" t="str"/>
          <cell r="H914" t="str"/>
          <cell r="I914" t="str"/>
          <cell r="J914" t="str"/>
          <cell r="K914" t="str"/>
          <cell r="L914" t="str"/>
          <cell r="M914" t="str"/>
          <cell r="N914" t="str"/>
          <cell r="O914" t="str"/>
          <cell r="P914" t="str"/>
          <cell r="Q914" t="str"/>
          <cell r="R914" t="str"/>
          <cell r="S914" t="str"/>
        </row>
        <row r="915">
          <cell r="B915" t="str"/>
          <cell r="C915" t="str"/>
          <cell r="D915" t="str"/>
          <cell r="E915" t="str"/>
          <cell r="F915" t="str"/>
          <cell r="G915" t="str"/>
          <cell r="H915" t="str"/>
          <cell r="I915" t="str"/>
          <cell r="J915" t="str"/>
          <cell r="K915" t="str"/>
          <cell r="L915" t="str"/>
          <cell r="M915" t="str"/>
          <cell r="N915" t="str"/>
          <cell r="O915" t="str"/>
          <cell r="P915" t="str"/>
          <cell r="Q915" t="str"/>
          <cell r="R915" t="str"/>
          <cell r="S915" t="str"/>
        </row>
        <row r="916">
          <cell r="B916" t="str"/>
          <cell r="C916" t="str"/>
          <cell r="D916" t="str"/>
          <cell r="E916" t="str"/>
          <cell r="F916" t="str"/>
          <cell r="G916" t="str"/>
          <cell r="H916" t="str"/>
          <cell r="I916" t="str"/>
          <cell r="J916" t="str"/>
          <cell r="K916" t="str"/>
          <cell r="L916" t="str"/>
          <cell r="M916" t="str"/>
          <cell r="N916" t="str"/>
          <cell r="O916" t="str"/>
          <cell r="P916" t="str"/>
          <cell r="Q916" t="str"/>
          <cell r="R916" t="str"/>
          <cell r="S916" t="str"/>
        </row>
        <row r="917">
          <cell r="B917" t="str"/>
          <cell r="C917" t="str"/>
          <cell r="D917" t="str"/>
          <cell r="E917" t="str"/>
          <cell r="F917" t="str"/>
          <cell r="G917" t="str"/>
          <cell r="H917" t="str"/>
          <cell r="I917" t="str"/>
          <cell r="J917" t="str"/>
          <cell r="K917" t="str"/>
          <cell r="L917" t="str"/>
          <cell r="M917" t="str"/>
          <cell r="N917" t="str"/>
          <cell r="O917" t="str"/>
          <cell r="P917" t="str"/>
          <cell r="Q917" t="str"/>
          <cell r="R917" t="str"/>
          <cell r="S917" t="str"/>
        </row>
        <row r="918">
          <cell r="B918" t="str"/>
          <cell r="C918" t="str"/>
          <cell r="D918" t="str"/>
          <cell r="E918" t="str"/>
          <cell r="F918" t="str"/>
          <cell r="G918" t="str"/>
          <cell r="H918" t="str"/>
          <cell r="I918" t="str"/>
          <cell r="J918" t="str"/>
          <cell r="K918" t="str"/>
          <cell r="L918" t="str"/>
          <cell r="M918" t="str"/>
          <cell r="N918" t="str"/>
          <cell r="O918" t="str"/>
          <cell r="P918" t="str"/>
          <cell r="Q918" t="str"/>
          <cell r="R918" t="str"/>
          <cell r="S918" t="str"/>
        </row>
        <row r="919">
          <cell r="B919" t="str"/>
          <cell r="C919" t="str"/>
          <cell r="D919" t="str"/>
          <cell r="E919" t="str"/>
          <cell r="F919" t="str"/>
          <cell r="G919" t="str"/>
          <cell r="H919" t="str"/>
          <cell r="I919" t="str"/>
          <cell r="J919" t="str"/>
          <cell r="K919" t="str"/>
          <cell r="L919" t="str"/>
          <cell r="M919" t="str"/>
          <cell r="N919" t="str"/>
          <cell r="O919" t="str"/>
          <cell r="P919" t="str"/>
          <cell r="Q919" t="str"/>
          <cell r="R919" t="str"/>
          <cell r="S919" t="str"/>
        </row>
        <row r="920">
          <cell r="B920" t="str"/>
          <cell r="C920" t="str"/>
          <cell r="D920" t="str"/>
          <cell r="E920" t="str"/>
          <cell r="F920" t="str"/>
          <cell r="G920" t="str"/>
          <cell r="H920" t="str"/>
          <cell r="I920" t="str"/>
          <cell r="J920" t="str"/>
          <cell r="K920" t="str"/>
          <cell r="L920" t="str"/>
          <cell r="M920" t="str"/>
          <cell r="N920" t="str"/>
          <cell r="O920" t="str"/>
          <cell r="P920" t="str"/>
          <cell r="Q920" t="str"/>
          <cell r="R920" t="str"/>
          <cell r="S920" t="str"/>
        </row>
        <row r="921">
          <cell r="B921" t="str"/>
          <cell r="C921" t="str"/>
          <cell r="D921" t="str"/>
          <cell r="E921" t="str"/>
          <cell r="F921" t="str"/>
          <cell r="G921" t="str"/>
          <cell r="H921" t="str"/>
          <cell r="I921" t="str"/>
          <cell r="J921" t="str"/>
          <cell r="K921" t="str"/>
          <cell r="L921" t="str"/>
          <cell r="M921" t="str"/>
          <cell r="N921" t="str"/>
          <cell r="O921" t="str"/>
          <cell r="P921" t="str"/>
          <cell r="Q921" t="str"/>
          <cell r="R921" t="str"/>
          <cell r="S921" t="str"/>
        </row>
        <row r="922">
          <cell r="B922" t="str"/>
          <cell r="C922" t="str"/>
          <cell r="D922" t="str"/>
          <cell r="E922" t="str"/>
          <cell r="F922" t="str"/>
          <cell r="G922" t="str"/>
          <cell r="H922" t="str"/>
          <cell r="I922" t="str"/>
          <cell r="J922" t="str"/>
          <cell r="K922" t="str"/>
          <cell r="L922" t="str"/>
          <cell r="M922" t="str"/>
          <cell r="N922" t="str"/>
          <cell r="O922" t="str"/>
          <cell r="P922" t="str"/>
          <cell r="Q922" t="str"/>
          <cell r="R922" t="str"/>
          <cell r="S922" t="str"/>
        </row>
        <row r="923">
          <cell r="B923" t="str"/>
          <cell r="C923" t="str"/>
          <cell r="D923" t="str"/>
          <cell r="E923" t="str"/>
          <cell r="F923" t="str"/>
          <cell r="G923" t="str"/>
          <cell r="H923" t="str"/>
          <cell r="I923" t="str"/>
          <cell r="J923" t="str"/>
          <cell r="K923" t="str"/>
          <cell r="L923" t="str"/>
          <cell r="M923" t="str"/>
          <cell r="N923" t="str"/>
          <cell r="O923" t="str"/>
          <cell r="P923" t="str"/>
          <cell r="Q923" t="str"/>
          <cell r="R923" t="str"/>
          <cell r="S923" t="str"/>
        </row>
        <row r="924">
          <cell r="B924" t="str"/>
          <cell r="C924" t="str"/>
          <cell r="D924" t="str"/>
          <cell r="E924" t="str"/>
          <cell r="F924" t="str"/>
          <cell r="G924" t="str"/>
          <cell r="H924" t="str"/>
          <cell r="I924" t="str"/>
          <cell r="J924" t="str"/>
          <cell r="K924" t="str"/>
          <cell r="L924" t="str"/>
          <cell r="M924" t="str"/>
          <cell r="N924" t="str"/>
          <cell r="O924" t="str"/>
          <cell r="P924" t="str"/>
          <cell r="Q924" t="str"/>
          <cell r="R924" t="str"/>
          <cell r="S924" t="str"/>
        </row>
        <row r="925">
          <cell r="B925" t="str"/>
          <cell r="C925" t="str"/>
          <cell r="D925" t="str"/>
          <cell r="E925" t="str"/>
          <cell r="F925" t="str"/>
          <cell r="G925" t="str"/>
          <cell r="H925" t="str"/>
          <cell r="I925" t="str"/>
          <cell r="J925" t="str"/>
          <cell r="K925" t="str"/>
          <cell r="L925" t="str"/>
          <cell r="M925" t="str"/>
          <cell r="N925" t="str"/>
          <cell r="O925" t="str"/>
          <cell r="P925" t="str"/>
          <cell r="Q925" t="str"/>
          <cell r="R925" t="str"/>
          <cell r="S925" t="str"/>
        </row>
        <row r="926">
          <cell r="B926" t="str"/>
          <cell r="C926" t="str"/>
          <cell r="D926" t="str"/>
          <cell r="E926" t="str"/>
          <cell r="F926" t="str"/>
          <cell r="G926" t="str"/>
          <cell r="H926" t="str"/>
          <cell r="I926" t="str"/>
          <cell r="J926" t="str"/>
          <cell r="K926" t="str"/>
          <cell r="L926" t="str"/>
          <cell r="M926" t="str"/>
          <cell r="N926" t="str"/>
          <cell r="O926" t="str"/>
          <cell r="P926" t="str"/>
          <cell r="Q926" t="str"/>
          <cell r="R926" t="str"/>
          <cell r="S926" t="str"/>
        </row>
        <row r="927">
          <cell r="B927" t="str"/>
          <cell r="C927" t="str"/>
          <cell r="D927" t="str"/>
          <cell r="E927" t="str"/>
          <cell r="F927" t="str"/>
          <cell r="G927" t="str"/>
          <cell r="H927" t="str"/>
          <cell r="I927" t="str"/>
          <cell r="J927" t="str"/>
          <cell r="K927" t="str"/>
          <cell r="L927" t="str"/>
          <cell r="M927" t="str"/>
          <cell r="N927" t="str"/>
          <cell r="O927" t="str"/>
          <cell r="P927" t="str"/>
          <cell r="Q927" t="str"/>
          <cell r="R927" t="str"/>
          <cell r="S927" t="str"/>
        </row>
        <row r="928">
          <cell r="B928" t="str"/>
          <cell r="C928" t="str"/>
          <cell r="D928" t="str"/>
          <cell r="E928" t="str"/>
          <cell r="F928" t="str"/>
          <cell r="G928" t="str"/>
          <cell r="H928" t="str"/>
          <cell r="I928" t="str"/>
          <cell r="J928" t="str"/>
          <cell r="K928" t="str"/>
          <cell r="L928" t="str"/>
          <cell r="M928" t="str"/>
          <cell r="N928" t="str"/>
          <cell r="O928" t="str"/>
          <cell r="P928" t="str"/>
          <cell r="Q928" t="str"/>
          <cell r="R928" t="str"/>
          <cell r="S928" t="str"/>
        </row>
        <row r="929">
          <cell r="B929" t="str"/>
          <cell r="C929" t="str"/>
          <cell r="D929" t="str"/>
          <cell r="E929" t="str"/>
          <cell r="F929" t="str"/>
          <cell r="G929" t="str"/>
          <cell r="H929" t="str"/>
          <cell r="I929" t="str"/>
          <cell r="J929" t="str"/>
          <cell r="K929" t="str"/>
          <cell r="L929" t="str"/>
          <cell r="M929" t="str"/>
          <cell r="N929" t="str"/>
          <cell r="O929" t="str"/>
          <cell r="P929" t="str"/>
          <cell r="Q929" t="str"/>
          <cell r="R929" t="str"/>
          <cell r="S929" t="str"/>
        </row>
        <row r="930">
          <cell r="B930" t="str"/>
          <cell r="C930" t="str"/>
          <cell r="D930" t="str"/>
          <cell r="E930" t="str"/>
          <cell r="F930" t="str"/>
          <cell r="G930" t="str"/>
          <cell r="H930" t="str"/>
          <cell r="I930" t="str"/>
          <cell r="J930" t="str"/>
          <cell r="K930" t="str"/>
          <cell r="L930" t="str"/>
          <cell r="M930" t="str"/>
          <cell r="N930" t="str"/>
          <cell r="O930" t="str"/>
          <cell r="P930" t="str"/>
          <cell r="Q930" t="str"/>
          <cell r="R930" t="str"/>
          <cell r="S930" t="str"/>
        </row>
        <row r="931">
          <cell r="B931" t="str"/>
          <cell r="C931" t="str"/>
          <cell r="D931" t="str"/>
          <cell r="E931" t="str"/>
          <cell r="F931" t="str"/>
          <cell r="G931" t="str"/>
          <cell r="H931" t="str"/>
          <cell r="I931" t="str"/>
          <cell r="J931" t="str"/>
          <cell r="K931" t="str"/>
          <cell r="L931" t="str"/>
          <cell r="M931" t="str"/>
          <cell r="N931" t="str"/>
          <cell r="O931" t="str"/>
          <cell r="P931" t="str"/>
          <cell r="Q931" t="str"/>
          <cell r="R931" t="str"/>
          <cell r="S931" t="str"/>
        </row>
        <row r="932">
          <cell r="B932" t="str"/>
          <cell r="C932" t="str"/>
          <cell r="D932" t="str"/>
          <cell r="E932" t="str"/>
          <cell r="F932" t="str"/>
          <cell r="G932" t="str"/>
          <cell r="H932" t="str"/>
          <cell r="I932" t="str"/>
          <cell r="J932" t="str"/>
          <cell r="K932" t="str"/>
          <cell r="L932" t="str"/>
          <cell r="M932" t="str"/>
          <cell r="N932" t="str"/>
          <cell r="O932" t="str"/>
          <cell r="P932" t="str"/>
          <cell r="Q932" t="str"/>
          <cell r="R932" t="str"/>
          <cell r="S932" t="str"/>
        </row>
        <row r="933">
          <cell r="B933" t="str"/>
          <cell r="C933" t="str"/>
          <cell r="D933" t="str"/>
          <cell r="E933" t="str"/>
          <cell r="F933" t="str"/>
          <cell r="G933" t="str"/>
          <cell r="H933" t="str"/>
          <cell r="I933" t="str"/>
          <cell r="J933" t="str"/>
          <cell r="K933" t="str"/>
          <cell r="L933" t="str"/>
          <cell r="M933" t="str"/>
          <cell r="N933" t="str"/>
          <cell r="O933" t="str"/>
          <cell r="P933" t="str"/>
          <cell r="Q933" t="str"/>
          <cell r="R933" t="str"/>
          <cell r="S933" t="str"/>
        </row>
        <row r="934">
          <cell r="B934" t="str"/>
          <cell r="C934" t="str"/>
          <cell r="D934" t="str"/>
          <cell r="E934" t="str"/>
          <cell r="F934" t="str"/>
          <cell r="G934" t="str"/>
          <cell r="H934" t="str"/>
          <cell r="I934" t="str"/>
          <cell r="J934" t="str"/>
          <cell r="K934" t="str"/>
          <cell r="L934" t="str"/>
          <cell r="M934" t="str"/>
          <cell r="N934" t="str"/>
          <cell r="O934" t="str"/>
          <cell r="P934" t="str"/>
          <cell r="Q934" t="str"/>
          <cell r="R934" t="str"/>
          <cell r="S934" t="str"/>
        </row>
        <row r="935">
          <cell r="B935" t="str"/>
          <cell r="C935" t="str"/>
          <cell r="D935" t="str"/>
          <cell r="E935" t="str"/>
          <cell r="F935" t="str"/>
          <cell r="G935" t="str"/>
          <cell r="H935" t="str"/>
          <cell r="I935" t="str"/>
          <cell r="J935" t="str"/>
          <cell r="K935" t="str"/>
          <cell r="L935" t="str"/>
          <cell r="M935" t="str"/>
          <cell r="N935" t="str"/>
          <cell r="O935" t="str"/>
          <cell r="P935" t="str"/>
          <cell r="Q935" t="str"/>
          <cell r="R935" t="str"/>
          <cell r="S935" t="str"/>
        </row>
        <row r="936">
          <cell r="B936" t="str"/>
          <cell r="C936" t="str"/>
          <cell r="D936" t="str"/>
          <cell r="E936" t="str"/>
          <cell r="F936" t="str"/>
          <cell r="G936" t="str"/>
          <cell r="H936" t="str"/>
          <cell r="I936" t="str"/>
          <cell r="J936" t="str"/>
          <cell r="K936" t="str"/>
          <cell r="L936" t="str"/>
          <cell r="M936" t="str"/>
          <cell r="N936" t="str"/>
          <cell r="O936" t="str"/>
          <cell r="P936" t="str"/>
          <cell r="Q936" t="str"/>
          <cell r="R936" t="str"/>
          <cell r="S936" t="str"/>
        </row>
        <row r="937">
          <cell r="B937" t="str"/>
          <cell r="C937" t="str"/>
          <cell r="D937" t="str"/>
          <cell r="E937" t="str"/>
          <cell r="F937" t="str"/>
          <cell r="G937" t="str"/>
          <cell r="H937" t="str"/>
          <cell r="I937" t="str"/>
          <cell r="J937" t="str"/>
          <cell r="K937" t="str"/>
          <cell r="L937" t="str"/>
          <cell r="M937" t="str"/>
          <cell r="N937" t="str"/>
          <cell r="O937" t="str"/>
          <cell r="P937" t="str"/>
          <cell r="Q937" t="str"/>
          <cell r="R937" t="str"/>
          <cell r="S937" t="str"/>
        </row>
        <row r="938">
          <cell r="B938" t="str"/>
          <cell r="C938" t="str"/>
          <cell r="D938" t="str"/>
          <cell r="E938" t="str"/>
          <cell r="F938" t="str"/>
          <cell r="G938" t="str"/>
          <cell r="H938" t="str"/>
          <cell r="I938" t="str"/>
          <cell r="J938" t="str"/>
          <cell r="K938" t="str"/>
          <cell r="L938" t="str"/>
          <cell r="M938" t="str"/>
          <cell r="N938" t="str"/>
          <cell r="O938" t="str"/>
          <cell r="P938" t="str"/>
          <cell r="Q938" t="str"/>
          <cell r="R938" t="str"/>
          <cell r="S938" t="str"/>
        </row>
        <row r="939">
          <cell r="B939" t="str"/>
          <cell r="C939" t="str"/>
          <cell r="D939" t="str"/>
          <cell r="E939" t="str"/>
          <cell r="F939" t="str"/>
          <cell r="G939" t="str"/>
          <cell r="H939" t="str"/>
          <cell r="I939" t="str"/>
          <cell r="J939" t="str"/>
          <cell r="K939" t="str"/>
          <cell r="L939" t="str"/>
          <cell r="M939" t="str"/>
          <cell r="N939" t="str"/>
          <cell r="O939" t="str"/>
          <cell r="P939" t="str"/>
          <cell r="Q939" t="str"/>
          <cell r="R939" t="str"/>
          <cell r="S939" t="str"/>
        </row>
        <row r="940">
          <cell r="B940" t="str"/>
          <cell r="C940" t="str"/>
          <cell r="D940" t="str"/>
          <cell r="E940" t="str"/>
          <cell r="F940" t="str"/>
          <cell r="G940" t="str"/>
          <cell r="H940" t="str"/>
          <cell r="I940" t="str"/>
          <cell r="J940" t="str"/>
          <cell r="K940" t="str"/>
          <cell r="L940" t="str"/>
          <cell r="M940" t="str"/>
          <cell r="N940" t="str"/>
          <cell r="O940" t="str"/>
          <cell r="P940" t="str"/>
          <cell r="Q940" t="str"/>
          <cell r="R940" t="str"/>
          <cell r="S940" t="str"/>
        </row>
        <row r="941">
          <cell r="B941" t="str"/>
          <cell r="C941" t="str"/>
          <cell r="D941" t="str"/>
          <cell r="E941" t="str"/>
          <cell r="F941" t="str"/>
          <cell r="G941" t="str"/>
          <cell r="H941" t="str"/>
          <cell r="I941" t="str"/>
          <cell r="J941" t="str"/>
          <cell r="K941" t="str"/>
          <cell r="L941" t="str"/>
          <cell r="M941" t="str"/>
          <cell r="N941" t="str"/>
          <cell r="O941" t="str"/>
          <cell r="P941" t="str"/>
          <cell r="Q941" t="str"/>
          <cell r="R941" t="str"/>
          <cell r="S941" t="str"/>
        </row>
        <row r="942">
          <cell r="B942" t="str"/>
          <cell r="C942" t="str"/>
          <cell r="D942" t="str"/>
          <cell r="E942" t="str"/>
          <cell r="F942" t="str"/>
          <cell r="G942" t="str"/>
          <cell r="H942" t="str"/>
          <cell r="I942" t="str"/>
          <cell r="J942" t="str"/>
          <cell r="K942" t="str"/>
          <cell r="L942" t="str"/>
          <cell r="M942" t="str"/>
          <cell r="N942" t="str"/>
          <cell r="O942" t="str"/>
          <cell r="P942" t="str"/>
          <cell r="Q942" t="str"/>
          <cell r="R942" t="str"/>
          <cell r="S942" t="str"/>
        </row>
        <row r="943">
          <cell r="B943" t="str"/>
          <cell r="C943" t="str"/>
          <cell r="D943" t="str"/>
          <cell r="E943" t="str"/>
          <cell r="F943" t="str"/>
          <cell r="G943" t="str"/>
          <cell r="H943" t="str"/>
          <cell r="I943" t="str"/>
          <cell r="J943" t="str"/>
          <cell r="K943" t="str"/>
          <cell r="L943" t="str"/>
          <cell r="M943" t="str"/>
          <cell r="N943" t="str"/>
          <cell r="O943" t="str"/>
          <cell r="P943" t="str"/>
          <cell r="Q943" t="str"/>
          <cell r="R943" t="str"/>
          <cell r="S943" t="str"/>
        </row>
        <row r="944">
          <cell r="B944" t="str"/>
          <cell r="C944" t="str"/>
          <cell r="D944" t="str"/>
          <cell r="E944" t="str"/>
          <cell r="F944" t="str"/>
          <cell r="G944" t="str"/>
          <cell r="H944" t="str"/>
          <cell r="I944" t="str"/>
          <cell r="J944" t="str"/>
          <cell r="K944" t="str"/>
          <cell r="L944" t="str"/>
          <cell r="M944" t="str"/>
          <cell r="N944" t="str"/>
          <cell r="O944" t="str"/>
          <cell r="P944" t="str"/>
          <cell r="Q944" t="str"/>
          <cell r="R944" t="str"/>
          <cell r="S944" t="str"/>
        </row>
        <row r="945">
          <cell r="B945" t="str"/>
          <cell r="C945" t="str"/>
          <cell r="D945" t="str"/>
          <cell r="E945" t="str"/>
          <cell r="F945" t="str"/>
          <cell r="G945" t="str"/>
          <cell r="H945" t="str"/>
          <cell r="I945" t="str"/>
          <cell r="J945" t="str"/>
          <cell r="K945" t="str"/>
          <cell r="L945" t="str"/>
          <cell r="M945" t="str"/>
          <cell r="N945" t="str"/>
          <cell r="O945" t="str"/>
          <cell r="P945" t="str"/>
          <cell r="Q945" t="str"/>
          <cell r="R945" t="str"/>
          <cell r="S945" t="str"/>
        </row>
        <row r="946">
          <cell r="B946" t="str"/>
          <cell r="C946" t="str"/>
          <cell r="D946" t="str"/>
          <cell r="E946" t="str"/>
          <cell r="F946" t="str"/>
          <cell r="G946" t="str"/>
          <cell r="H946" t="str"/>
          <cell r="I946" t="str"/>
          <cell r="J946" t="str"/>
          <cell r="K946" t="str"/>
          <cell r="L946" t="str"/>
          <cell r="M946" t="str"/>
          <cell r="N946" t="str"/>
          <cell r="O946" t="str"/>
          <cell r="P946" t="str"/>
          <cell r="Q946" t="str"/>
          <cell r="R946" t="str"/>
          <cell r="S946" t="str"/>
        </row>
        <row r="947">
          <cell r="B947" t="str"/>
          <cell r="C947" t="str"/>
          <cell r="D947" t="str"/>
          <cell r="E947" t="str"/>
          <cell r="F947" t="str"/>
          <cell r="G947" t="str"/>
          <cell r="H947" t="str"/>
          <cell r="I947" t="str"/>
          <cell r="J947" t="str"/>
          <cell r="K947" t="str"/>
          <cell r="L947" t="str"/>
          <cell r="M947" t="str"/>
          <cell r="N947" t="str"/>
          <cell r="O947" t="str"/>
          <cell r="P947" t="str"/>
          <cell r="Q947" t="str"/>
          <cell r="R947" t="str"/>
          <cell r="S947" t="str"/>
        </row>
        <row r="948">
          <cell r="B948" t="str"/>
          <cell r="C948" t="str"/>
          <cell r="D948" t="str"/>
          <cell r="E948" t="str"/>
          <cell r="F948" t="str"/>
          <cell r="G948" t="str"/>
          <cell r="H948" t="str"/>
          <cell r="I948" t="str"/>
          <cell r="J948" t="str"/>
          <cell r="K948" t="str"/>
          <cell r="L948" t="str"/>
          <cell r="M948" t="str"/>
          <cell r="N948" t="str"/>
          <cell r="O948" t="str"/>
          <cell r="P948" t="str"/>
          <cell r="Q948" t="str"/>
          <cell r="R948" t="str"/>
          <cell r="S948" t="str"/>
        </row>
        <row r="949">
          <cell r="B949" t="str"/>
          <cell r="C949" t="str"/>
          <cell r="D949" t="str"/>
          <cell r="E949" t="str"/>
          <cell r="F949" t="str"/>
          <cell r="G949" t="str"/>
          <cell r="H949" t="str"/>
          <cell r="I949" t="str"/>
          <cell r="J949" t="str"/>
          <cell r="K949" t="str"/>
          <cell r="L949" t="str"/>
          <cell r="M949" t="str"/>
          <cell r="N949" t="str"/>
          <cell r="O949" t="str"/>
          <cell r="P949" t="str"/>
          <cell r="Q949" t="str"/>
          <cell r="R949" t="str"/>
          <cell r="S949" t="str"/>
        </row>
        <row r="950">
          <cell r="B950" t="str"/>
          <cell r="C950" t="str"/>
          <cell r="D950" t="str"/>
          <cell r="E950" t="str"/>
          <cell r="F950" t="str"/>
          <cell r="G950" t="str"/>
          <cell r="H950" t="str"/>
          <cell r="I950" t="str"/>
          <cell r="J950" t="str"/>
          <cell r="K950" t="str"/>
          <cell r="L950" t="str"/>
          <cell r="M950" t="str"/>
          <cell r="N950" t="str"/>
          <cell r="O950" t="str"/>
          <cell r="P950" t="str"/>
          <cell r="Q950" t="str"/>
          <cell r="R950" t="str"/>
          <cell r="S950" t="str"/>
        </row>
        <row r="951">
          <cell r="B951" t="str"/>
          <cell r="C951" t="str"/>
          <cell r="D951" t="str"/>
          <cell r="E951" t="str"/>
          <cell r="F951" t="str"/>
          <cell r="G951" t="str"/>
          <cell r="H951" t="str"/>
          <cell r="I951" t="str"/>
          <cell r="J951" t="str"/>
          <cell r="K951" t="str"/>
          <cell r="L951" t="str"/>
          <cell r="M951" t="str"/>
          <cell r="N951" t="str"/>
          <cell r="O951" t="str"/>
          <cell r="P951" t="str"/>
          <cell r="Q951" t="str"/>
          <cell r="R951" t="str"/>
          <cell r="S951" t="str"/>
        </row>
        <row r="952">
          <cell r="B952" t="str"/>
          <cell r="C952" t="str"/>
          <cell r="D952" t="str"/>
          <cell r="E952" t="str"/>
          <cell r="F952" t="str"/>
          <cell r="G952" t="str"/>
          <cell r="H952" t="str"/>
          <cell r="I952" t="str"/>
          <cell r="J952" t="str"/>
          <cell r="K952" t="str"/>
          <cell r="L952" t="str"/>
          <cell r="M952" t="str"/>
          <cell r="N952" t="str"/>
          <cell r="O952" t="str"/>
          <cell r="P952" t="str"/>
          <cell r="Q952" t="str"/>
          <cell r="R952" t="str"/>
          <cell r="S952" t="str"/>
        </row>
        <row r="953">
          <cell r="B953" t="str"/>
          <cell r="C953" t="str"/>
          <cell r="D953" t="str"/>
          <cell r="E953" t="str"/>
          <cell r="F953" t="str"/>
          <cell r="G953" t="str"/>
          <cell r="H953" t="str"/>
          <cell r="I953" t="str"/>
          <cell r="J953" t="str"/>
          <cell r="K953" t="str"/>
          <cell r="L953" t="str"/>
          <cell r="M953" t="str"/>
          <cell r="N953" t="str"/>
          <cell r="O953" t="str"/>
          <cell r="P953" t="str"/>
          <cell r="Q953" t="str"/>
          <cell r="R953" t="str"/>
          <cell r="S953" t="str"/>
        </row>
        <row r="954">
          <cell r="B954" t="str"/>
          <cell r="C954" t="str"/>
          <cell r="D954" t="str"/>
          <cell r="E954" t="str"/>
          <cell r="F954" t="str"/>
          <cell r="G954" t="str"/>
          <cell r="H954" t="str"/>
          <cell r="I954" t="str"/>
          <cell r="J954" t="str"/>
          <cell r="K954" t="str"/>
          <cell r="L954" t="str"/>
          <cell r="M954" t="str"/>
          <cell r="N954" t="str"/>
          <cell r="O954" t="str"/>
          <cell r="P954" t="str"/>
          <cell r="Q954" t="str"/>
          <cell r="R954" t="str"/>
          <cell r="S954" t="str"/>
        </row>
        <row r="955">
          <cell r="B955" t="str"/>
          <cell r="C955" t="str"/>
          <cell r="D955" t="str"/>
          <cell r="E955" t="str"/>
          <cell r="F955" t="str"/>
          <cell r="G955" t="str"/>
          <cell r="H955" t="str"/>
          <cell r="I955" t="str"/>
          <cell r="J955" t="str"/>
          <cell r="K955" t="str"/>
          <cell r="L955" t="str"/>
          <cell r="M955" t="str"/>
          <cell r="N955" t="str"/>
          <cell r="O955" t="str"/>
          <cell r="P955" t="str"/>
          <cell r="Q955" t="str"/>
          <cell r="R955" t="str"/>
          <cell r="S955" t="str"/>
        </row>
        <row r="956">
          <cell r="B956" t="str"/>
          <cell r="C956" t="str"/>
          <cell r="D956" t="str"/>
          <cell r="E956" t="str"/>
          <cell r="F956" t="str"/>
          <cell r="G956" t="str"/>
          <cell r="H956" t="str"/>
          <cell r="I956" t="str"/>
          <cell r="J956" t="str"/>
          <cell r="K956" t="str"/>
          <cell r="L956" t="str"/>
          <cell r="M956" t="str"/>
          <cell r="N956" t="str"/>
          <cell r="O956" t="str"/>
          <cell r="P956" t="str"/>
          <cell r="Q956" t="str"/>
          <cell r="R956" t="str"/>
          <cell r="S956" t="str"/>
        </row>
        <row r="957">
          <cell r="B957" t="str"/>
          <cell r="C957" t="str"/>
          <cell r="D957" t="str"/>
          <cell r="E957" t="str"/>
          <cell r="F957" t="str"/>
          <cell r="G957" t="str"/>
          <cell r="H957" t="str"/>
          <cell r="I957" t="str"/>
          <cell r="J957" t="str"/>
          <cell r="K957" t="str"/>
          <cell r="L957" t="str"/>
          <cell r="M957" t="str"/>
          <cell r="N957" t="str"/>
          <cell r="O957" t="str"/>
          <cell r="P957" t="str"/>
          <cell r="Q957" t="str"/>
          <cell r="R957" t="str"/>
          <cell r="S957" t="str"/>
        </row>
        <row r="958">
          <cell r="B958" t="str"/>
          <cell r="C958" t="str"/>
          <cell r="D958" t="str"/>
          <cell r="E958" t="str"/>
          <cell r="F958" t="str"/>
          <cell r="G958" t="str"/>
          <cell r="H958" t="str"/>
          <cell r="I958" t="str"/>
          <cell r="J958" t="str"/>
          <cell r="K958" t="str"/>
          <cell r="L958" t="str"/>
          <cell r="M958" t="str"/>
          <cell r="N958" t="str"/>
          <cell r="O958" t="str"/>
          <cell r="P958" t="str"/>
          <cell r="Q958" t="str"/>
          <cell r="R958" t="str"/>
          <cell r="S958" t="str"/>
        </row>
        <row r="959">
          <cell r="B959" t="str"/>
          <cell r="C959" t="str"/>
          <cell r="D959" t="str"/>
          <cell r="E959" t="str"/>
          <cell r="F959" t="str"/>
          <cell r="G959" t="str"/>
          <cell r="H959" t="str"/>
          <cell r="I959" t="str"/>
          <cell r="J959" t="str"/>
          <cell r="K959" t="str"/>
          <cell r="L959" t="str"/>
          <cell r="M959" t="str"/>
          <cell r="N959" t="str"/>
          <cell r="O959" t="str"/>
          <cell r="P959" t="str"/>
          <cell r="Q959" t="str"/>
          <cell r="R959" t="str"/>
          <cell r="S959" t="str"/>
        </row>
        <row r="960">
          <cell r="B960" t="str"/>
          <cell r="C960" t="str"/>
          <cell r="D960" t="str"/>
          <cell r="E960" t="str"/>
          <cell r="F960" t="str"/>
          <cell r="G960" t="str"/>
          <cell r="H960" t="str"/>
          <cell r="I960" t="str"/>
          <cell r="J960" t="str"/>
          <cell r="K960" t="str"/>
          <cell r="L960" t="str"/>
          <cell r="M960" t="str"/>
          <cell r="N960" t="str"/>
          <cell r="O960" t="str"/>
          <cell r="P960" t="str"/>
          <cell r="Q960" t="str"/>
          <cell r="R960" t="str"/>
          <cell r="S960" t="str"/>
        </row>
        <row r="961">
          <cell r="B961" t="str"/>
          <cell r="C961" t="str"/>
          <cell r="D961" t="str"/>
          <cell r="E961" t="str"/>
          <cell r="F961" t="str"/>
          <cell r="G961" t="str"/>
          <cell r="H961" t="str"/>
          <cell r="I961" t="str"/>
          <cell r="J961" t="str"/>
          <cell r="K961" t="str"/>
          <cell r="L961" t="str"/>
          <cell r="M961" t="str"/>
          <cell r="N961" t="str"/>
          <cell r="O961" t="str"/>
          <cell r="P961" t="str"/>
          <cell r="Q961" t="str"/>
          <cell r="R961" t="str"/>
          <cell r="S961" t="str"/>
        </row>
        <row r="962">
          <cell r="B962" t="str"/>
          <cell r="C962" t="str"/>
          <cell r="D962" t="str"/>
          <cell r="E962" t="str"/>
          <cell r="F962" t="str"/>
          <cell r="G962" t="str"/>
          <cell r="H962" t="str"/>
          <cell r="I962" t="str"/>
          <cell r="J962" t="str"/>
          <cell r="K962" t="str"/>
          <cell r="L962" t="str"/>
          <cell r="M962" t="str"/>
          <cell r="N962" t="str"/>
          <cell r="O962" t="str"/>
          <cell r="P962" t="str"/>
          <cell r="Q962" t="str"/>
          <cell r="R962" t="str"/>
          <cell r="S962" t="str"/>
        </row>
        <row r="963">
          <cell r="B963" t="str"/>
          <cell r="C963" t="str"/>
          <cell r="D963" t="str"/>
          <cell r="E963" t="str"/>
          <cell r="F963" t="str"/>
          <cell r="G963" t="str"/>
          <cell r="H963" t="str"/>
          <cell r="I963" t="str"/>
          <cell r="J963" t="str"/>
          <cell r="K963" t="str"/>
          <cell r="L963" t="str"/>
          <cell r="M963" t="str"/>
          <cell r="N963" t="str"/>
          <cell r="O963" t="str"/>
          <cell r="P963" t="str"/>
          <cell r="Q963" t="str"/>
          <cell r="R963" t="str"/>
          <cell r="S963" t="str"/>
        </row>
        <row r="964">
          <cell r="B964" t="str"/>
          <cell r="C964" t="str"/>
          <cell r="D964" t="str"/>
          <cell r="E964" t="str"/>
          <cell r="F964" t="str"/>
          <cell r="G964" t="str"/>
          <cell r="H964" t="str"/>
          <cell r="I964" t="str"/>
          <cell r="J964" t="str"/>
          <cell r="K964" t="str"/>
          <cell r="L964" t="str"/>
          <cell r="M964" t="str"/>
          <cell r="N964" t="str"/>
          <cell r="O964" t="str"/>
          <cell r="P964" t="str"/>
          <cell r="Q964" t="str"/>
          <cell r="R964" t="str"/>
          <cell r="S964" t="str"/>
        </row>
        <row r="965">
          <cell r="B965" t="str"/>
          <cell r="C965" t="str"/>
          <cell r="D965" t="str"/>
          <cell r="E965" t="str"/>
          <cell r="F965" t="str"/>
          <cell r="G965" t="str"/>
          <cell r="H965" t="str"/>
          <cell r="I965" t="str"/>
          <cell r="J965" t="str"/>
          <cell r="K965" t="str"/>
          <cell r="L965" t="str"/>
          <cell r="M965" t="str"/>
          <cell r="N965" t="str"/>
          <cell r="O965" t="str"/>
          <cell r="P965" t="str"/>
          <cell r="Q965" t="str"/>
          <cell r="R965" t="str"/>
          <cell r="S965" t="str"/>
        </row>
        <row r="966">
          <cell r="B966" t="str"/>
          <cell r="C966" t="str"/>
          <cell r="D966" t="str"/>
          <cell r="E966" t="str"/>
          <cell r="F966" t="str"/>
          <cell r="G966" t="str"/>
          <cell r="H966" t="str"/>
          <cell r="I966" t="str"/>
          <cell r="J966" t="str"/>
          <cell r="K966" t="str"/>
          <cell r="L966" t="str"/>
          <cell r="M966" t="str"/>
          <cell r="N966" t="str"/>
          <cell r="O966" t="str"/>
          <cell r="P966" t="str"/>
          <cell r="Q966" t="str"/>
          <cell r="R966" t="str"/>
          <cell r="S966" t="str"/>
        </row>
        <row r="967">
          <cell r="B967" t="str"/>
          <cell r="C967" t="str"/>
          <cell r="D967" t="str"/>
          <cell r="E967" t="str"/>
          <cell r="F967" t="str"/>
          <cell r="G967" t="str"/>
          <cell r="H967" t="str"/>
          <cell r="I967" t="str"/>
          <cell r="J967" t="str"/>
          <cell r="K967" t="str"/>
          <cell r="L967" t="str"/>
          <cell r="M967" t="str"/>
          <cell r="N967" t="str"/>
          <cell r="O967" t="str"/>
          <cell r="P967" t="str"/>
          <cell r="Q967" t="str"/>
          <cell r="R967" t="str"/>
          <cell r="S967" t="str"/>
        </row>
        <row r="968">
          <cell r="B968" t="str"/>
          <cell r="C968" t="str"/>
          <cell r="D968" t="str"/>
          <cell r="E968" t="str"/>
          <cell r="F968" t="str"/>
          <cell r="G968" t="str"/>
          <cell r="H968" t="str"/>
          <cell r="I968" t="str"/>
          <cell r="J968" t="str"/>
          <cell r="K968" t="str"/>
          <cell r="L968" t="str"/>
          <cell r="M968" t="str"/>
          <cell r="N968" t="str"/>
          <cell r="O968" t="str"/>
          <cell r="P968" t="str"/>
          <cell r="Q968" t="str"/>
          <cell r="R968" t="str"/>
          <cell r="S968" t="str"/>
        </row>
        <row r="969">
          <cell r="B969" t="str"/>
          <cell r="C969" t="str"/>
          <cell r="D969" t="str"/>
          <cell r="E969" t="str"/>
          <cell r="F969" t="str"/>
          <cell r="G969" t="str"/>
          <cell r="H969" t="str"/>
          <cell r="I969" t="str"/>
          <cell r="J969" t="str"/>
          <cell r="K969" t="str"/>
          <cell r="L969" t="str"/>
          <cell r="M969" t="str"/>
          <cell r="N969" t="str"/>
          <cell r="O969" t="str"/>
          <cell r="P969" t="str"/>
          <cell r="Q969" t="str"/>
          <cell r="R969" t="str"/>
          <cell r="S969" t="str"/>
        </row>
        <row r="970">
          <cell r="B970" t="str"/>
          <cell r="C970" t="str"/>
          <cell r="D970" t="str"/>
          <cell r="E970" t="str"/>
          <cell r="F970" t="str"/>
          <cell r="G970" t="str"/>
          <cell r="H970" t="str"/>
          <cell r="I970" t="str"/>
          <cell r="J970" t="str"/>
          <cell r="K970" t="str"/>
          <cell r="L970" t="str"/>
          <cell r="M970" t="str"/>
          <cell r="N970" t="str"/>
          <cell r="O970" t="str"/>
          <cell r="P970" t="str"/>
          <cell r="Q970" t="str"/>
          <cell r="R970" t="str"/>
          <cell r="S970" t="str"/>
        </row>
        <row r="971">
          <cell r="B971" t="str"/>
          <cell r="C971" t="str"/>
          <cell r="D971" t="str"/>
          <cell r="E971" t="str"/>
          <cell r="F971" t="str"/>
          <cell r="G971" t="str"/>
          <cell r="H971" t="str"/>
          <cell r="I971" t="str"/>
          <cell r="J971" t="str"/>
          <cell r="K971" t="str"/>
          <cell r="L971" t="str"/>
          <cell r="M971" t="str"/>
          <cell r="N971" t="str"/>
          <cell r="O971" t="str"/>
          <cell r="P971" t="str"/>
          <cell r="Q971" t="str"/>
          <cell r="R971" t="str"/>
          <cell r="S971" t="str"/>
        </row>
        <row r="972">
          <cell r="B972" t="str"/>
          <cell r="C972" t="str"/>
          <cell r="D972" t="str"/>
          <cell r="E972" t="str"/>
          <cell r="F972" t="str"/>
          <cell r="G972" t="str"/>
          <cell r="H972" t="str"/>
          <cell r="I972" t="str"/>
          <cell r="J972" t="str"/>
          <cell r="K972" t="str"/>
          <cell r="L972" t="str"/>
          <cell r="M972" t="str"/>
          <cell r="N972" t="str"/>
          <cell r="O972" t="str"/>
          <cell r="P972" t="str"/>
          <cell r="Q972" t="str"/>
          <cell r="R972" t="str"/>
          <cell r="S972" t="str"/>
        </row>
        <row r="973">
          <cell r="B973" t="str"/>
          <cell r="C973" t="str"/>
          <cell r="D973" t="str"/>
          <cell r="E973" t="str"/>
          <cell r="F973" t="str"/>
          <cell r="G973" t="str"/>
          <cell r="H973" t="str"/>
          <cell r="I973" t="str"/>
          <cell r="J973" t="str"/>
          <cell r="K973" t="str"/>
          <cell r="L973" t="str"/>
          <cell r="M973" t="str"/>
          <cell r="N973" t="str"/>
          <cell r="O973" t="str"/>
          <cell r="P973" t="str"/>
          <cell r="Q973" t="str"/>
          <cell r="R973" t="str"/>
          <cell r="S973" t="str"/>
        </row>
        <row r="974">
          <cell r="B974" t="str"/>
          <cell r="C974" t="str"/>
          <cell r="D974" t="str"/>
          <cell r="E974" t="str"/>
          <cell r="F974" t="str"/>
          <cell r="G974" t="str"/>
          <cell r="H974" t="str"/>
          <cell r="I974" t="str"/>
          <cell r="J974" t="str"/>
          <cell r="K974" t="str"/>
          <cell r="L974" t="str"/>
          <cell r="M974" t="str"/>
          <cell r="N974" t="str"/>
          <cell r="O974" t="str"/>
          <cell r="P974" t="str"/>
          <cell r="Q974" t="str"/>
          <cell r="R974" t="str"/>
          <cell r="S974" t="str"/>
        </row>
        <row r="975">
          <cell r="B975" t="str"/>
          <cell r="C975" t="str"/>
          <cell r="D975" t="str"/>
          <cell r="E975" t="str"/>
          <cell r="F975" t="str"/>
          <cell r="G975" t="str"/>
          <cell r="H975" t="str"/>
          <cell r="I975" t="str"/>
          <cell r="J975" t="str"/>
          <cell r="K975" t="str"/>
          <cell r="L975" t="str"/>
          <cell r="M975" t="str"/>
          <cell r="N975" t="str"/>
          <cell r="O975" t="str"/>
          <cell r="P975" t="str"/>
          <cell r="Q975" t="str"/>
          <cell r="R975" t="str"/>
          <cell r="S975" t="str"/>
        </row>
        <row r="976">
          <cell r="B976" t="str"/>
          <cell r="C976" t="str"/>
          <cell r="D976" t="str"/>
          <cell r="E976" t="str"/>
          <cell r="F976" t="str"/>
          <cell r="G976" t="str"/>
          <cell r="H976" t="str"/>
          <cell r="I976" t="str"/>
          <cell r="J976" t="str"/>
          <cell r="K976" t="str"/>
          <cell r="L976" t="str"/>
          <cell r="M976" t="str"/>
          <cell r="N976" t="str"/>
          <cell r="O976" t="str"/>
          <cell r="P976" t="str"/>
          <cell r="Q976" t="str"/>
          <cell r="R976" t="str"/>
          <cell r="S976" t="str"/>
        </row>
        <row r="977">
          <cell r="B977" t="str"/>
          <cell r="C977" t="str"/>
          <cell r="D977" t="str"/>
          <cell r="E977" t="str"/>
          <cell r="F977" t="str"/>
          <cell r="G977" t="str"/>
          <cell r="H977" t="str"/>
          <cell r="I977" t="str"/>
          <cell r="J977" t="str"/>
          <cell r="K977" t="str"/>
          <cell r="L977" t="str"/>
          <cell r="M977" t="str"/>
          <cell r="N977" t="str"/>
          <cell r="O977" t="str"/>
          <cell r="P977" t="str"/>
          <cell r="Q977" t="str"/>
          <cell r="R977" t="str"/>
          <cell r="S977" t="str"/>
        </row>
        <row r="978">
          <cell r="B978" t="str"/>
          <cell r="C978" t="str"/>
          <cell r="D978" t="str"/>
          <cell r="E978" t="str"/>
          <cell r="F978" t="str"/>
          <cell r="G978" t="str"/>
          <cell r="H978" t="str"/>
          <cell r="I978" t="str"/>
          <cell r="J978" t="str"/>
          <cell r="K978" t="str"/>
          <cell r="L978" t="str"/>
          <cell r="M978" t="str"/>
          <cell r="N978" t="str"/>
          <cell r="O978" t="str"/>
          <cell r="P978" t="str"/>
          <cell r="Q978" t="str"/>
          <cell r="R978" t="str"/>
          <cell r="S978" t="str"/>
        </row>
        <row r="979">
          <cell r="B979" t="str"/>
          <cell r="C979" t="str"/>
          <cell r="D979" t="str"/>
          <cell r="E979" t="str"/>
          <cell r="F979" t="str"/>
          <cell r="G979" t="str"/>
          <cell r="H979" t="str"/>
          <cell r="I979" t="str"/>
          <cell r="J979" t="str"/>
          <cell r="K979" t="str"/>
          <cell r="L979" t="str"/>
          <cell r="M979" t="str"/>
          <cell r="N979" t="str"/>
          <cell r="O979" t="str"/>
          <cell r="P979" t="str"/>
          <cell r="Q979" t="str"/>
          <cell r="R979" t="str"/>
          <cell r="S979" t="str"/>
        </row>
        <row r="980">
          <cell r="B980" t="str"/>
          <cell r="C980" t="str"/>
          <cell r="D980" t="str"/>
          <cell r="E980" t="str"/>
          <cell r="F980" t="str"/>
          <cell r="G980" t="str"/>
          <cell r="H980" t="str"/>
          <cell r="I980" t="str"/>
          <cell r="J980" t="str"/>
          <cell r="K980" t="str"/>
          <cell r="L980" t="str"/>
          <cell r="M980" t="str"/>
          <cell r="N980" t="str"/>
          <cell r="O980" t="str"/>
          <cell r="P980" t="str"/>
          <cell r="Q980" t="str"/>
          <cell r="R980" t="str"/>
          <cell r="S980" t="str"/>
        </row>
        <row r="981">
          <cell r="B981" t="str"/>
          <cell r="C981" t="str"/>
          <cell r="D981" t="str"/>
          <cell r="E981" t="str"/>
          <cell r="F981" t="str"/>
          <cell r="G981" t="str"/>
          <cell r="H981" t="str"/>
          <cell r="I981" t="str"/>
          <cell r="J981" t="str"/>
          <cell r="K981" t="str"/>
          <cell r="L981" t="str"/>
          <cell r="M981" t="str"/>
          <cell r="N981" t="str"/>
          <cell r="O981" t="str"/>
          <cell r="P981" t="str"/>
          <cell r="Q981" t="str"/>
          <cell r="R981" t="str"/>
          <cell r="S981" t="str"/>
        </row>
        <row r="982">
          <cell r="B982" t="str"/>
          <cell r="C982" t="str"/>
          <cell r="D982" t="str"/>
          <cell r="E982" t="str"/>
          <cell r="F982" t="str"/>
          <cell r="G982" t="str"/>
          <cell r="H982" t="str"/>
          <cell r="I982" t="str"/>
          <cell r="J982" t="str"/>
          <cell r="K982" t="str"/>
          <cell r="L982" t="str"/>
          <cell r="M982" t="str"/>
          <cell r="N982" t="str"/>
          <cell r="O982" t="str"/>
          <cell r="P982" t="str"/>
          <cell r="Q982" t="str"/>
          <cell r="R982" t="str"/>
          <cell r="S982" t="str"/>
        </row>
        <row r="983">
          <cell r="B983" t="str"/>
          <cell r="C983" t="str"/>
          <cell r="D983" t="str"/>
          <cell r="E983" t="str"/>
          <cell r="F983" t="str"/>
          <cell r="G983" t="str"/>
          <cell r="H983" t="str"/>
          <cell r="I983" t="str"/>
          <cell r="J983" t="str"/>
          <cell r="K983" t="str"/>
          <cell r="L983" t="str"/>
          <cell r="M983" t="str"/>
          <cell r="N983" t="str"/>
          <cell r="O983" t="str"/>
          <cell r="P983" t="str"/>
          <cell r="Q983" t="str"/>
          <cell r="R983" t="str"/>
          <cell r="S983" t="str"/>
        </row>
        <row r="984">
          <cell r="B984" t="str"/>
          <cell r="C984" t="str"/>
          <cell r="D984" t="str"/>
          <cell r="E984" t="str"/>
          <cell r="F984" t="str"/>
          <cell r="G984" t="str"/>
          <cell r="H984" t="str"/>
          <cell r="I984" t="str"/>
          <cell r="J984" t="str"/>
          <cell r="K984" t="str"/>
          <cell r="L984" t="str"/>
          <cell r="M984" t="str"/>
          <cell r="N984" t="str"/>
          <cell r="O984" t="str"/>
          <cell r="P984" t="str"/>
          <cell r="Q984" t="str"/>
          <cell r="R984" t="str"/>
          <cell r="S984" t="str"/>
        </row>
        <row r="985">
          <cell r="B985" t="str"/>
          <cell r="C985" t="str"/>
          <cell r="D985" t="str"/>
          <cell r="E985" t="str"/>
          <cell r="F985" t="str"/>
          <cell r="G985" t="str"/>
          <cell r="H985" t="str"/>
          <cell r="I985" t="str"/>
          <cell r="J985" t="str"/>
          <cell r="K985" t="str"/>
          <cell r="L985" t="str"/>
          <cell r="M985" t="str"/>
          <cell r="N985" t="str"/>
          <cell r="O985" t="str"/>
          <cell r="P985" t="str"/>
          <cell r="Q985" t="str"/>
          <cell r="R985" t="str"/>
          <cell r="S985" t="str"/>
        </row>
        <row r="986">
          <cell r="B986" t="str"/>
          <cell r="C986" t="str"/>
          <cell r="D986" t="str"/>
          <cell r="E986" t="str"/>
          <cell r="F986" t="str"/>
          <cell r="G986" t="str"/>
          <cell r="H986" t="str"/>
          <cell r="I986" t="str"/>
          <cell r="J986" t="str"/>
          <cell r="K986" t="str"/>
          <cell r="L986" t="str"/>
          <cell r="M986" t="str"/>
          <cell r="N986" t="str"/>
          <cell r="O986" t="str"/>
          <cell r="P986" t="str"/>
          <cell r="Q986" t="str"/>
          <cell r="R986" t="str"/>
          <cell r="S986" t="str"/>
        </row>
        <row r="987">
          <cell r="B987" t="str"/>
          <cell r="C987" t="str"/>
          <cell r="D987" t="str"/>
          <cell r="E987" t="str"/>
          <cell r="F987" t="str"/>
          <cell r="G987" t="str"/>
          <cell r="H987" t="str"/>
          <cell r="I987" t="str"/>
          <cell r="J987" t="str"/>
          <cell r="K987" t="str"/>
          <cell r="L987" t="str"/>
          <cell r="M987" t="str"/>
          <cell r="N987" t="str"/>
          <cell r="O987" t="str"/>
          <cell r="P987" t="str"/>
          <cell r="Q987" t="str"/>
          <cell r="R987" t="str"/>
          <cell r="S987" t="str"/>
        </row>
        <row r="988">
          <cell r="B988" t="str"/>
          <cell r="C988" t="str"/>
          <cell r="D988" t="str"/>
          <cell r="E988" t="str"/>
          <cell r="F988" t="str"/>
          <cell r="G988" t="str"/>
          <cell r="H988" t="str"/>
          <cell r="I988" t="str"/>
          <cell r="J988" t="str"/>
          <cell r="K988" t="str"/>
          <cell r="L988" t="str"/>
          <cell r="M988" t="str"/>
          <cell r="N988" t="str"/>
          <cell r="O988" t="str"/>
          <cell r="P988" t="str"/>
          <cell r="Q988" t="str"/>
          <cell r="R988" t="str"/>
          <cell r="S988" t="str"/>
        </row>
        <row r="989">
          <cell r="B989" t="str"/>
          <cell r="C989" t="str"/>
          <cell r="D989" t="str"/>
          <cell r="E989" t="str"/>
          <cell r="F989" t="str"/>
          <cell r="G989" t="str"/>
          <cell r="H989" t="str"/>
          <cell r="I989" t="str"/>
          <cell r="J989" t="str"/>
          <cell r="K989" t="str"/>
          <cell r="L989" t="str"/>
          <cell r="M989" t="str"/>
          <cell r="N989" t="str"/>
          <cell r="O989" t="str"/>
          <cell r="P989" t="str"/>
          <cell r="Q989" t="str"/>
          <cell r="R989" t="str"/>
          <cell r="S989" t="str"/>
        </row>
        <row r="990">
          <cell r="B990" t="str"/>
          <cell r="C990" t="str"/>
          <cell r="D990" t="str"/>
          <cell r="E990" t="str"/>
          <cell r="F990" t="str"/>
          <cell r="G990" t="str"/>
          <cell r="H990" t="str"/>
          <cell r="I990" t="str"/>
          <cell r="J990" t="str"/>
          <cell r="K990" t="str"/>
          <cell r="L990" t="str"/>
          <cell r="M990" t="str"/>
          <cell r="N990" t="str"/>
          <cell r="O990" t="str"/>
          <cell r="P990" t="str"/>
          <cell r="Q990" t="str"/>
          <cell r="R990" t="str"/>
          <cell r="S990" t="str"/>
        </row>
        <row r="991">
          <cell r="B991" t="str"/>
          <cell r="C991" t="str"/>
          <cell r="D991" t="str"/>
          <cell r="E991" t="str"/>
          <cell r="F991" t="str"/>
          <cell r="G991" t="str"/>
          <cell r="H991" t="str"/>
          <cell r="I991" t="str"/>
          <cell r="J991" t="str"/>
          <cell r="K991" t="str"/>
          <cell r="L991" t="str"/>
          <cell r="M991" t="str"/>
          <cell r="N991" t="str"/>
          <cell r="O991" t="str"/>
          <cell r="P991" t="str"/>
          <cell r="Q991" t="str"/>
          <cell r="R991" t="str"/>
          <cell r="S991" t="str"/>
        </row>
        <row r="992">
          <cell r="B992" t="str"/>
          <cell r="C992" t="str"/>
          <cell r="D992" t="str"/>
          <cell r="E992" t="str"/>
          <cell r="F992" t="str"/>
          <cell r="G992" t="str"/>
          <cell r="H992" t="str"/>
          <cell r="I992" t="str"/>
          <cell r="J992" t="str"/>
          <cell r="K992" t="str"/>
          <cell r="L992" t="str"/>
          <cell r="M992" t="str"/>
          <cell r="N992" t="str"/>
          <cell r="O992" t="str"/>
          <cell r="P992" t="str"/>
          <cell r="Q992" t="str"/>
          <cell r="R992" t="str"/>
          <cell r="S992" t="str"/>
        </row>
        <row r="993">
          <cell r="B993" t="str"/>
          <cell r="C993" t="str"/>
          <cell r="D993" t="str"/>
          <cell r="E993" t="str"/>
          <cell r="F993" t="str"/>
          <cell r="G993" t="str"/>
          <cell r="H993" t="str"/>
          <cell r="I993" t="str"/>
          <cell r="J993" t="str"/>
          <cell r="K993" t="str"/>
          <cell r="L993" t="str"/>
          <cell r="M993" t="str"/>
          <cell r="N993" t="str"/>
          <cell r="O993" t="str"/>
          <cell r="P993" t="str"/>
          <cell r="Q993" t="str"/>
          <cell r="R993" t="str"/>
          <cell r="S993" t="str"/>
        </row>
        <row r="994">
          <cell r="B994" t="str"/>
          <cell r="C994" t="str"/>
          <cell r="D994" t="str"/>
          <cell r="E994" t="str"/>
          <cell r="F994" t="str"/>
          <cell r="G994" t="str"/>
          <cell r="H994" t="str"/>
          <cell r="I994" t="str"/>
          <cell r="J994" t="str"/>
          <cell r="K994" t="str"/>
          <cell r="L994" t="str"/>
          <cell r="M994" t="str"/>
          <cell r="N994" t="str"/>
          <cell r="O994" t="str"/>
          <cell r="P994" t="str"/>
          <cell r="Q994" t="str"/>
          <cell r="R994" t="str"/>
          <cell r="S994" t="str"/>
        </row>
        <row r="995">
          <cell r="B995" t="str"/>
          <cell r="C995" t="str"/>
          <cell r="D995" t="str"/>
          <cell r="E995" t="str"/>
          <cell r="F995" t="str"/>
          <cell r="G995" t="str"/>
          <cell r="H995" t="str"/>
          <cell r="I995" t="str"/>
          <cell r="J995" t="str"/>
          <cell r="K995" t="str"/>
          <cell r="L995" t="str"/>
          <cell r="M995" t="str"/>
          <cell r="N995" t="str"/>
          <cell r="O995" t="str"/>
          <cell r="P995" t="str"/>
          <cell r="Q995" t="str"/>
          <cell r="R995" t="str"/>
          <cell r="S995" t="str"/>
        </row>
        <row r="996">
          <cell r="B996" t="str"/>
          <cell r="C996" t="str"/>
          <cell r="D996" t="str"/>
          <cell r="E996" t="str"/>
          <cell r="F996" t="str"/>
          <cell r="G996" t="str"/>
          <cell r="H996" t="str"/>
          <cell r="I996" t="str"/>
          <cell r="J996" t="str"/>
          <cell r="K996" t="str"/>
          <cell r="L996" t="str"/>
          <cell r="M996" t="str"/>
          <cell r="N996" t="str"/>
          <cell r="O996" t="str"/>
          <cell r="P996" t="str"/>
          <cell r="Q996" t="str"/>
          <cell r="R996" t="str"/>
          <cell r="S996" t="str"/>
        </row>
        <row r="997">
          <cell r="B997" t="str"/>
          <cell r="C997" t="str"/>
          <cell r="D997" t="str"/>
          <cell r="E997" t="str"/>
          <cell r="F997" t="str"/>
          <cell r="G997" t="str"/>
          <cell r="H997" t="str"/>
          <cell r="I997" t="str"/>
          <cell r="J997" t="str"/>
          <cell r="K997" t="str"/>
          <cell r="L997" t="str"/>
          <cell r="M997" t="str"/>
          <cell r="N997" t="str"/>
          <cell r="O997" t="str"/>
          <cell r="P997" t="str"/>
          <cell r="Q997" t="str"/>
          <cell r="R997" t="str"/>
          <cell r="S997" t="str"/>
        </row>
        <row r="998">
          <cell r="B998" t="str"/>
          <cell r="C998" t="str"/>
          <cell r="D998" t="str"/>
          <cell r="E998" t="str"/>
          <cell r="F998" t="str"/>
          <cell r="G998" t="str"/>
          <cell r="H998" t="str"/>
          <cell r="I998" t="str"/>
          <cell r="J998" t="str"/>
          <cell r="K998" t="str"/>
          <cell r="L998" t="str"/>
          <cell r="M998" t="str"/>
          <cell r="N998" t="str"/>
          <cell r="O998" t="str"/>
          <cell r="P998" t="str"/>
          <cell r="Q998" t="str"/>
          <cell r="R998" t="str"/>
          <cell r="S998" t="str"/>
        </row>
        <row r="999">
          <cell r="B999" t="str"/>
          <cell r="C999" t="str"/>
          <cell r="D999" t="str"/>
          <cell r="E999" t="str"/>
          <cell r="F999" t="str"/>
          <cell r="G999" t="str"/>
          <cell r="H999" t="str"/>
          <cell r="I999" t="str"/>
          <cell r="J999" t="str"/>
          <cell r="K999" t="str"/>
          <cell r="L999" t="str"/>
          <cell r="M999" t="str"/>
          <cell r="N999" t="str"/>
          <cell r="O999" t="str"/>
          <cell r="P999" t="str"/>
          <cell r="Q999" t="str"/>
          <cell r="R999" t="str"/>
          <cell r="S999" t="str"/>
        </row>
        <row r="1000">
          <cell r="B1000" t="str"/>
          <cell r="C1000" t="str"/>
          <cell r="D1000" t="str"/>
          <cell r="E1000" t="str"/>
          <cell r="F1000" t="str"/>
          <cell r="G1000" t="str"/>
          <cell r="H1000" t="str"/>
          <cell r="I1000" t="str"/>
          <cell r="J1000" t="str"/>
          <cell r="K1000" t="str"/>
          <cell r="L1000" t="str"/>
          <cell r="M1000" t="str"/>
          <cell r="N1000" t="str"/>
          <cell r="O1000" t="str"/>
          <cell r="P1000" t="str"/>
          <cell r="Q1000" t="str"/>
          <cell r="R1000" t="str"/>
          <cell r="S1000" t="str"/>
        </row>
        <row r="1001">
          <cell r="B1001" t="str"/>
          <cell r="C1001" t="str"/>
          <cell r="D1001" t="str"/>
          <cell r="E1001" t="str"/>
          <cell r="F1001" t="str"/>
          <cell r="G1001" t="str"/>
          <cell r="H1001" t="str"/>
          <cell r="I1001" t="str"/>
          <cell r="J1001" t="str"/>
          <cell r="K1001" t="str"/>
          <cell r="L1001" t="str"/>
          <cell r="M1001" t="str"/>
          <cell r="N1001" t="str"/>
          <cell r="O1001" t="str"/>
          <cell r="P1001" t="str"/>
          <cell r="Q1001" t="str"/>
          <cell r="R1001" t="str"/>
          <cell r="S1001" t="str"/>
        </row>
        <row r="1002">
          <cell r="B1002" t="str"/>
          <cell r="C1002" t="str"/>
          <cell r="D1002" t="str"/>
          <cell r="E1002" t="str"/>
          <cell r="F1002" t="str"/>
          <cell r="G1002" t="str"/>
          <cell r="H1002" t="str"/>
          <cell r="I1002" t="str"/>
          <cell r="J1002" t="str"/>
          <cell r="K1002" t="str"/>
          <cell r="L1002" t="str"/>
          <cell r="M1002" t="str"/>
          <cell r="N1002" t="str"/>
          <cell r="O1002" t="str"/>
          <cell r="P1002" t="str"/>
          <cell r="Q1002" t="str"/>
          <cell r="R1002" t="str"/>
          <cell r="S1002" t="str"/>
        </row>
        <row r="1003">
          <cell r="B1003" t="str"/>
          <cell r="C1003" t="str"/>
          <cell r="D1003" t="str"/>
          <cell r="E1003" t="str"/>
          <cell r="F1003" t="str"/>
          <cell r="G1003" t="str"/>
          <cell r="H1003" t="str"/>
          <cell r="I1003" t="str"/>
          <cell r="J1003" t="str"/>
          <cell r="K1003" t="str"/>
          <cell r="L1003" t="str"/>
          <cell r="M1003" t="str"/>
          <cell r="N1003" t="str"/>
          <cell r="O1003" t="str"/>
          <cell r="P1003" t="str"/>
          <cell r="Q1003" t="str"/>
          <cell r="R1003" t="str"/>
          <cell r="S1003" t="str"/>
        </row>
        <row r="1004">
          <cell r="B1004" t="str"/>
          <cell r="C1004" t="str"/>
          <cell r="D1004" t="str"/>
          <cell r="E1004" t="str"/>
          <cell r="F1004" t="str"/>
          <cell r="G1004" t="str"/>
          <cell r="H1004" t="str"/>
          <cell r="I1004" t="str"/>
          <cell r="J1004" t="str"/>
          <cell r="K1004" t="str"/>
          <cell r="L1004" t="str"/>
          <cell r="M1004" t="str"/>
          <cell r="N1004" t="str"/>
          <cell r="O1004" t="str"/>
          <cell r="P1004" t="str"/>
          <cell r="Q1004" t="str"/>
          <cell r="R1004" t="str"/>
          <cell r="S1004" t="str"/>
        </row>
        <row r="1005">
          <cell r="B1005" t="str"/>
          <cell r="C1005" t="str"/>
          <cell r="D1005" t="str"/>
          <cell r="E1005" t="str"/>
          <cell r="F1005" t="str"/>
          <cell r="G1005" t="str"/>
          <cell r="H1005" t="str"/>
          <cell r="I1005" t="str"/>
          <cell r="J1005" t="str"/>
          <cell r="K1005" t="str"/>
          <cell r="L1005" t="str"/>
          <cell r="M1005" t="str"/>
          <cell r="N1005" t="str"/>
          <cell r="O1005" t="str"/>
          <cell r="P1005" t="str"/>
          <cell r="Q1005" t="str"/>
          <cell r="R1005" t="str"/>
          <cell r="S1005" t="str"/>
        </row>
        <row r="1006">
          <cell r="B1006" t="str"/>
          <cell r="C1006" t="str"/>
          <cell r="D1006" t="str"/>
          <cell r="E1006" t="str"/>
          <cell r="F1006" t="str"/>
          <cell r="G1006" t="str"/>
          <cell r="H1006" t="str"/>
          <cell r="I1006" t="str"/>
          <cell r="J1006" t="str"/>
          <cell r="K1006" t="str"/>
          <cell r="L1006" t="str"/>
          <cell r="M1006" t="str"/>
          <cell r="N1006" t="str"/>
          <cell r="O1006" t="str"/>
          <cell r="P1006" t="str"/>
          <cell r="Q1006" t="str"/>
          <cell r="R1006" t="str"/>
          <cell r="S1006" t="str"/>
        </row>
        <row r="1007">
          <cell r="B1007" t="str"/>
          <cell r="C1007" t="str"/>
          <cell r="D1007" t="str"/>
          <cell r="E1007" t="str"/>
          <cell r="F1007" t="str"/>
          <cell r="G1007" t="str"/>
          <cell r="H1007" t="str"/>
          <cell r="I1007" t="str"/>
          <cell r="J1007" t="str"/>
          <cell r="K1007" t="str"/>
          <cell r="L1007" t="str"/>
          <cell r="M1007" t="str"/>
          <cell r="N1007" t="str"/>
          <cell r="O1007" t="str"/>
          <cell r="P1007" t="str"/>
          <cell r="Q1007" t="str"/>
          <cell r="R1007" t="str"/>
          <cell r="S1007" t="str"/>
        </row>
        <row r="1008">
          <cell r="B1008" t="str"/>
          <cell r="C1008" t="str"/>
          <cell r="D1008" t="str"/>
          <cell r="E1008" t="str"/>
          <cell r="F1008" t="str"/>
          <cell r="G1008" t="str"/>
          <cell r="H1008" t="str"/>
          <cell r="I1008" t="str"/>
          <cell r="J1008" t="str"/>
          <cell r="K1008" t="str"/>
          <cell r="L1008" t="str"/>
          <cell r="M1008" t="str"/>
          <cell r="N1008" t="str"/>
          <cell r="O1008" t="str"/>
          <cell r="P1008" t="str"/>
          <cell r="Q1008" t="str"/>
          <cell r="R1008" t="str"/>
          <cell r="S1008" t="str"/>
        </row>
        <row r="1009">
          <cell r="B1009" t="str"/>
          <cell r="C1009" t="str"/>
          <cell r="D1009" t="str"/>
          <cell r="E1009" t="str"/>
          <cell r="F1009" t="str"/>
          <cell r="G1009" t="str"/>
          <cell r="H1009" t="str"/>
          <cell r="I1009" t="str"/>
          <cell r="J1009" t="str"/>
          <cell r="K1009" t="str"/>
          <cell r="L1009" t="str"/>
          <cell r="M1009" t="str"/>
          <cell r="N1009" t="str"/>
          <cell r="O1009" t="str"/>
          <cell r="P1009" t="str"/>
          <cell r="Q1009" t="str"/>
          <cell r="R1009" t="str"/>
          <cell r="S1009" t="str"/>
        </row>
        <row r="1010">
          <cell r="B1010" t="str"/>
          <cell r="C1010" t="str"/>
          <cell r="D1010" t="str"/>
          <cell r="E1010" t="str"/>
          <cell r="F1010" t="str"/>
          <cell r="G1010" t="str"/>
          <cell r="H1010" t="str"/>
          <cell r="I1010" t="str"/>
          <cell r="J1010" t="str"/>
          <cell r="K1010" t="str"/>
          <cell r="L1010" t="str"/>
          <cell r="M1010" t="str"/>
          <cell r="N1010" t="str"/>
          <cell r="O1010" t="str"/>
          <cell r="P1010" t="str"/>
          <cell r="Q1010" t="str"/>
          <cell r="R1010" t="str"/>
          <cell r="S1010" t="str"/>
        </row>
        <row r="1011">
          <cell r="B1011" t="str"/>
          <cell r="C1011" t="str"/>
          <cell r="D1011" t="str"/>
          <cell r="E1011" t="str"/>
          <cell r="F1011" t="str"/>
          <cell r="G1011" t="str"/>
          <cell r="H1011" t="str"/>
          <cell r="I1011" t="str"/>
          <cell r="J1011" t="str"/>
          <cell r="K1011" t="str"/>
          <cell r="L1011" t="str"/>
          <cell r="M1011" t="str"/>
          <cell r="N1011" t="str"/>
          <cell r="O1011" t="str"/>
          <cell r="P1011" t="str"/>
          <cell r="Q1011" t="str"/>
          <cell r="R1011" t="str"/>
          <cell r="S1011" t="str"/>
        </row>
        <row r="1012">
          <cell r="B1012" t="str"/>
          <cell r="C1012" t="str"/>
          <cell r="D1012" t="str"/>
          <cell r="E1012" t="str"/>
          <cell r="F1012" t="str"/>
          <cell r="G1012" t="str"/>
          <cell r="H1012" t="str"/>
          <cell r="I1012" t="str"/>
          <cell r="J1012" t="str"/>
          <cell r="K1012" t="str"/>
          <cell r="L1012" t="str"/>
          <cell r="M1012" t="str"/>
          <cell r="N1012" t="str"/>
          <cell r="O1012" t="str"/>
          <cell r="P1012" t="str"/>
          <cell r="Q1012" t="str"/>
          <cell r="R1012" t="str"/>
          <cell r="S1012" t="str"/>
        </row>
        <row r="1013">
          <cell r="B1013" t="str"/>
          <cell r="C1013" t="str"/>
          <cell r="D1013" t="str"/>
          <cell r="E1013" t="str"/>
          <cell r="F1013" t="str"/>
          <cell r="G1013" t="str"/>
          <cell r="H1013" t="str"/>
          <cell r="I1013" t="str"/>
          <cell r="J1013" t="str"/>
          <cell r="K1013" t="str"/>
          <cell r="L1013" t="str"/>
          <cell r="M1013" t="str"/>
          <cell r="N1013" t="str"/>
          <cell r="O1013" t="str"/>
          <cell r="P1013" t="str"/>
          <cell r="Q1013" t="str"/>
          <cell r="R1013" t="str"/>
          <cell r="S1013" t="str"/>
        </row>
        <row r="1014">
          <cell r="B1014" t="str"/>
          <cell r="C1014" t="str"/>
          <cell r="D1014" t="str"/>
          <cell r="E1014" t="str"/>
          <cell r="F1014" t="str"/>
          <cell r="G1014" t="str"/>
          <cell r="H1014" t="str"/>
          <cell r="I1014" t="str"/>
          <cell r="J1014" t="str"/>
          <cell r="K1014" t="str"/>
          <cell r="L1014" t="str"/>
          <cell r="M1014" t="str"/>
          <cell r="N1014" t="str"/>
          <cell r="O1014" t="str"/>
          <cell r="P1014" t="str"/>
          <cell r="Q1014" t="str"/>
          <cell r="R1014" t="str"/>
          <cell r="S1014" t="str"/>
        </row>
        <row r="1015">
          <cell r="B1015" t="str"/>
          <cell r="C1015" t="str"/>
          <cell r="D1015" t="str"/>
          <cell r="E1015" t="str"/>
          <cell r="F1015" t="str"/>
          <cell r="G1015" t="str"/>
          <cell r="H1015" t="str"/>
          <cell r="I1015" t="str"/>
          <cell r="J1015" t="str"/>
          <cell r="K1015" t="str"/>
          <cell r="L1015" t="str"/>
          <cell r="M1015" t="str"/>
          <cell r="N1015" t="str"/>
          <cell r="O1015" t="str"/>
          <cell r="P1015" t="str"/>
          <cell r="Q1015" t="str"/>
          <cell r="R1015" t="str"/>
          <cell r="S1015" t="str"/>
        </row>
        <row r="1016">
          <cell r="B1016" t="str"/>
          <cell r="C1016" t="str"/>
          <cell r="D1016" t="str"/>
          <cell r="E1016" t="str"/>
          <cell r="F1016" t="str"/>
          <cell r="G1016" t="str"/>
          <cell r="H1016" t="str"/>
          <cell r="I1016" t="str"/>
          <cell r="J1016" t="str"/>
          <cell r="K1016" t="str"/>
          <cell r="L1016" t="str"/>
          <cell r="M1016" t="str"/>
          <cell r="N1016" t="str"/>
          <cell r="O1016" t="str"/>
          <cell r="P1016" t="str"/>
          <cell r="Q1016" t="str"/>
          <cell r="R1016" t="str"/>
          <cell r="S1016" t="str"/>
        </row>
        <row r="1017">
          <cell r="B1017" t="str"/>
          <cell r="C1017" t="str"/>
          <cell r="D1017" t="str"/>
          <cell r="E1017" t="str"/>
          <cell r="F1017" t="str"/>
          <cell r="G1017" t="str"/>
          <cell r="H1017" t="str"/>
          <cell r="I1017" t="str"/>
          <cell r="J1017" t="str"/>
          <cell r="K1017" t="str"/>
          <cell r="L1017" t="str"/>
          <cell r="M1017" t="str"/>
          <cell r="N1017" t="str"/>
          <cell r="O1017" t="str"/>
          <cell r="P1017" t="str"/>
          <cell r="Q1017" t="str"/>
          <cell r="R1017" t="str"/>
          <cell r="S1017" t="str"/>
        </row>
        <row r="1018">
          <cell r="B1018" t="str"/>
          <cell r="C1018" t="str"/>
          <cell r="D1018" t="str"/>
          <cell r="E1018" t="str"/>
          <cell r="F1018" t="str"/>
          <cell r="G1018" t="str"/>
          <cell r="H1018" t="str"/>
          <cell r="I1018" t="str"/>
          <cell r="J1018" t="str"/>
          <cell r="K1018" t="str"/>
          <cell r="L1018" t="str"/>
          <cell r="M1018" t="str"/>
          <cell r="N1018" t="str"/>
          <cell r="O1018" t="str"/>
          <cell r="P1018" t="str"/>
          <cell r="Q1018" t="str"/>
          <cell r="R1018" t="str"/>
          <cell r="S1018" t="str"/>
        </row>
        <row r="1019">
          <cell r="B1019" t="str"/>
          <cell r="C1019" t="str"/>
          <cell r="D1019" t="str"/>
          <cell r="E1019" t="str"/>
          <cell r="F1019" t="str"/>
          <cell r="G1019" t="str"/>
          <cell r="H1019" t="str"/>
          <cell r="I1019" t="str"/>
          <cell r="J1019" t="str"/>
          <cell r="K1019" t="str"/>
          <cell r="L1019" t="str"/>
          <cell r="M1019" t="str"/>
          <cell r="N1019" t="str"/>
          <cell r="O1019" t="str"/>
          <cell r="P1019" t="str"/>
          <cell r="Q1019" t="str"/>
          <cell r="R1019" t="str"/>
          <cell r="S1019" t="str"/>
        </row>
        <row r="1020">
          <cell r="B1020" t="str"/>
          <cell r="C1020" t="str"/>
          <cell r="D1020" t="str"/>
          <cell r="E1020" t="str"/>
          <cell r="F1020" t="str"/>
          <cell r="G1020" t="str"/>
          <cell r="H1020" t="str"/>
          <cell r="I1020" t="str"/>
          <cell r="J1020" t="str"/>
          <cell r="K1020" t="str"/>
          <cell r="L1020" t="str"/>
          <cell r="M1020" t="str"/>
          <cell r="N1020" t="str"/>
          <cell r="O1020" t="str"/>
          <cell r="P1020" t="str"/>
          <cell r="Q1020" t="str"/>
          <cell r="R1020" t="str"/>
          <cell r="S1020" t="str"/>
        </row>
        <row r="1021">
          <cell r="B1021" t="str"/>
          <cell r="C1021" t="str"/>
          <cell r="D1021" t="str"/>
          <cell r="E1021" t="str"/>
          <cell r="F1021" t="str"/>
          <cell r="G1021" t="str"/>
          <cell r="H1021" t="str"/>
          <cell r="I1021" t="str"/>
          <cell r="J1021" t="str"/>
          <cell r="K1021" t="str"/>
          <cell r="L1021" t="str"/>
          <cell r="M1021" t="str"/>
          <cell r="N1021" t="str"/>
          <cell r="O1021" t="str"/>
          <cell r="P1021" t="str"/>
          <cell r="Q1021" t="str"/>
          <cell r="R1021" t="str"/>
          <cell r="S1021" t="str"/>
        </row>
        <row r="1022">
          <cell r="B1022" t="str"/>
          <cell r="C1022" t="str"/>
          <cell r="D1022" t="str"/>
          <cell r="E1022" t="str"/>
          <cell r="F1022" t="str"/>
          <cell r="G1022" t="str"/>
          <cell r="H1022" t="str"/>
          <cell r="I1022" t="str"/>
          <cell r="J1022" t="str"/>
          <cell r="K1022" t="str"/>
          <cell r="L1022" t="str"/>
          <cell r="M1022" t="str"/>
          <cell r="N1022" t="str"/>
          <cell r="O1022" t="str"/>
          <cell r="P1022" t="str"/>
          <cell r="Q1022" t="str"/>
          <cell r="R1022" t="str"/>
          <cell r="S1022" t="str"/>
        </row>
        <row r="1023">
          <cell r="B1023" t="str"/>
          <cell r="C1023" t="str"/>
          <cell r="D1023" t="str"/>
          <cell r="E1023" t="str"/>
          <cell r="F1023" t="str"/>
          <cell r="G1023" t="str"/>
          <cell r="H1023" t="str"/>
          <cell r="I1023" t="str"/>
          <cell r="J1023" t="str"/>
          <cell r="K1023" t="str"/>
          <cell r="L1023" t="str"/>
          <cell r="M1023" t="str"/>
          <cell r="N1023" t="str"/>
          <cell r="O1023" t="str"/>
          <cell r="P1023" t="str"/>
          <cell r="Q1023" t="str"/>
          <cell r="R1023" t="str"/>
          <cell r="S1023" t="str"/>
        </row>
        <row r="1024">
          <cell r="B1024" t="str"/>
          <cell r="C1024" t="str"/>
          <cell r="D1024" t="str"/>
          <cell r="E1024" t="str"/>
          <cell r="F1024" t="str"/>
          <cell r="G1024" t="str"/>
          <cell r="H1024" t="str"/>
          <cell r="I1024" t="str"/>
          <cell r="J1024" t="str"/>
          <cell r="K1024" t="str"/>
          <cell r="L1024" t="str"/>
          <cell r="M1024" t="str"/>
          <cell r="N1024" t="str"/>
          <cell r="O1024" t="str"/>
          <cell r="P1024" t="str"/>
          <cell r="Q1024" t="str"/>
          <cell r="R1024" t="str"/>
          <cell r="S1024" t="str"/>
        </row>
        <row r="1025">
          <cell r="B1025" t="str"/>
          <cell r="C1025" t="str"/>
          <cell r="D1025" t="str"/>
          <cell r="E1025" t="str"/>
          <cell r="F1025" t="str"/>
          <cell r="G1025" t="str"/>
          <cell r="H1025" t="str"/>
          <cell r="I1025" t="str"/>
          <cell r="J1025" t="str"/>
          <cell r="K1025" t="str"/>
          <cell r="L1025" t="str"/>
          <cell r="M1025" t="str"/>
          <cell r="N1025" t="str"/>
          <cell r="O1025" t="str"/>
          <cell r="P1025" t="str"/>
          <cell r="Q1025" t="str"/>
          <cell r="R1025" t="str"/>
          <cell r="S1025" t="str"/>
        </row>
        <row r="1026">
          <cell r="B1026" t="str"/>
          <cell r="C1026" t="str"/>
          <cell r="D1026" t="str"/>
          <cell r="E1026" t="str"/>
          <cell r="F1026" t="str"/>
          <cell r="G1026" t="str"/>
          <cell r="H1026" t="str"/>
          <cell r="I1026" t="str"/>
          <cell r="J1026" t="str"/>
          <cell r="K1026" t="str"/>
          <cell r="L1026" t="str"/>
          <cell r="M1026" t="str"/>
          <cell r="N1026" t="str"/>
          <cell r="O1026" t="str"/>
          <cell r="P1026" t="str"/>
          <cell r="Q1026" t="str"/>
          <cell r="R1026" t="str"/>
          <cell r="S1026" t="str"/>
        </row>
        <row r="1027">
          <cell r="B1027" t="str"/>
          <cell r="C1027" t="str"/>
          <cell r="D1027" t="str"/>
          <cell r="E1027" t="str"/>
          <cell r="F1027" t="str"/>
          <cell r="G1027" t="str"/>
          <cell r="H1027" t="str"/>
          <cell r="I1027" t="str"/>
          <cell r="J1027" t="str"/>
          <cell r="K1027" t="str"/>
          <cell r="L1027" t="str"/>
          <cell r="M1027" t="str"/>
          <cell r="N1027" t="str"/>
          <cell r="O1027" t="str"/>
          <cell r="P1027" t="str"/>
          <cell r="Q1027" t="str"/>
          <cell r="R1027" t="str"/>
          <cell r="S1027" t="str"/>
        </row>
        <row r="1028">
          <cell r="B1028" t="str"/>
          <cell r="C1028" t="str"/>
          <cell r="D1028" t="str"/>
          <cell r="E1028" t="str"/>
          <cell r="F1028" t="str"/>
          <cell r="G1028" t="str"/>
          <cell r="H1028" t="str"/>
          <cell r="I1028" t="str"/>
          <cell r="J1028" t="str"/>
          <cell r="K1028" t="str"/>
          <cell r="L1028" t="str"/>
          <cell r="M1028" t="str"/>
          <cell r="N1028" t="str"/>
          <cell r="O1028" t="str"/>
          <cell r="P1028" t="str"/>
          <cell r="Q1028" t="str"/>
          <cell r="R1028" t="str"/>
          <cell r="S1028" t="str"/>
        </row>
        <row r="1029">
          <cell r="B1029" t="str"/>
          <cell r="C1029" t="str"/>
          <cell r="D1029" t="str"/>
          <cell r="E1029" t="str"/>
          <cell r="F1029" t="str"/>
          <cell r="G1029" t="str"/>
          <cell r="H1029" t="str"/>
          <cell r="I1029" t="str"/>
          <cell r="J1029" t="str"/>
          <cell r="K1029" t="str"/>
          <cell r="L1029" t="str"/>
          <cell r="M1029" t="str"/>
          <cell r="N1029" t="str"/>
          <cell r="O1029" t="str"/>
          <cell r="P1029" t="str"/>
          <cell r="Q1029" t="str"/>
          <cell r="R1029" t="str"/>
          <cell r="S1029" t="str"/>
        </row>
        <row r="1030">
          <cell r="B1030" t="str"/>
          <cell r="C1030" t="str"/>
          <cell r="D1030" t="str"/>
          <cell r="E1030" t="str"/>
          <cell r="F1030" t="str"/>
          <cell r="G1030" t="str"/>
          <cell r="H1030" t="str"/>
          <cell r="I1030" t="str"/>
          <cell r="J1030" t="str"/>
          <cell r="K1030" t="str"/>
          <cell r="L1030" t="str"/>
          <cell r="M1030" t="str"/>
          <cell r="N1030" t="str"/>
          <cell r="O1030" t="str"/>
          <cell r="P1030" t="str"/>
          <cell r="Q1030" t="str"/>
          <cell r="R1030" t="str"/>
          <cell r="S1030" t="str"/>
        </row>
        <row r="1031">
          <cell r="B1031" t="str"/>
          <cell r="C1031" t="str"/>
          <cell r="D1031" t="str"/>
          <cell r="E1031" t="str"/>
          <cell r="F1031" t="str"/>
          <cell r="G1031" t="str"/>
          <cell r="H1031" t="str"/>
          <cell r="I1031" t="str"/>
          <cell r="J1031" t="str"/>
          <cell r="K1031" t="str"/>
          <cell r="L1031" t="str"/>
          <cell r="M1031" t="str"/>
          <cell r="N1031" t="str"/>
          <cell r="O1031" t="str"/>
          <cell r="P1031" t="str"/>
          <cell r="Q1031" t="str"/>
          <cell r="R1031" t="str"/>
          <cell r="S1031" t="str"/>
        </row>
        <row r="1032">
          <cell r="B1032" t="str"/>
          <cell r="C1032" t="str"/>
          <cell r="D1032" t="str"/>
          <cell r="E1032" t="str"/>
          <cell r="F1032" t="str"/>
          <cell r="G1032" t="str"/>
          <cell r="H1032" t="str"/>
          <cell r="I1032" t="str"/>
          <cell r="J1032" t="str"/>
          <cell r="K1032" t="str"/>
          <cell r="L1032" t="str"/>
          <cell r="M1032" t="str"/>
          <cell r="N1032" t="str"/>
          <cell r="O1032" t="str"/>
          <cell r="P1032" t="str"/>
          <cell r="Q1032" t="str"/>
          <cell r="R1032" t="str"/>
          <cell r="S1032" t="str"/>
        </row>
        <row r="1033">
          <cell r="B1033" t="str"/>
          <cell r="C1033" t="str"/>
          <cell r="D1033" t="str"/>
          <cell r="E1033" t="str"/>
          <cell r="F1033" t="str"/>
          <cell r="G1033" t="str"/>
          <cell r="H1033" t="str"/>
          <cell r="I1033" t="str"/>
          <cell r="J1033" t="str"/>
          <cell r="K1033" t="str"/>
          <cell r="L1033" t="str"/>
          <cell r="M1033" t="str"/>
          <cell r="N1033" t="str"/>
          <cell r="O1033" t="str"/>
          <cell r="P1033" t="str"/>
          <cell r="Q1033" t="str"/>
          <cell r="R1033" t="str"/>
          <cell r="S1033" t="str"/>
        </row>
        <row r="1034">
          <cell r="B1034" t="str"/>
          <cell r="C1034" t="str"/>
          <cell r="D1034" t="str"/>
          <cell r="E1034" t="str"/>
          <cell r="F1034" t="str"/>
          <cell r="G1034" t="str"/>
          <cell r="H1034" t="str"/>
          <cell r="I1034" t="str"/>
          <cell r="J1034" t="str"/>
          <cell r="K1034" t="str"/>
          <cell r="L1034" t="str"/>
          <cell r="M1034" t="str"/>
          <cell r="N1034" t="str"/>
          <cell r="O1034" t="str"/>
          <cell r="P1034" t="str"/>
          <cell r="Q1034" t="str"/>
          <cell r="R1034" t="str"/>
          <cell r="S1034" t="str"/>
        </row>
        <row r="1035">
          <cell r="B1035" t="str"/>
          <cell r="C1035" t="str"/>
          <cell r="D1035" t="str"/>
          <cell r="E1035" t="str"/>
          <cell r="F1035" t="str"/>
          <cell r="G1035" t="str"/>
          <cell r="H1035" t="str"/>
          <cell r="I1035" t="str"/>
          <cell r="J1035" t="str"/>
          <cell r="K1035" t="str"/>
          <cell r="L1035" t="str"/>
          <cell r="M1035" t="str"/>
          <cell r="N1035" t="str"/>
          <cell r="O1035" t="str"/>
          <cell r="P1035" t="str"/>
          <cell r="Q1035" t="str"/>
          <cell r="R1035" t="str"/>
          <cell r="S1035" t="str"/>
        </row>
        <row r="1036">
          <cell r="B1036" t="str"/>
          <cell r="C1036" t="str"/>
          <cell r="D1036" t="str"/>
          <cell r="E1036" t="str"/>
          <cell r="F1036" t="str"/>
          <cell r="G1036" t="str"/>
          <cell r="H1036" t="str"/>
          <cell r="I1036" t="str"/>
          <cell r="J1036" t="str"/>
          <cell r="K1036" t="str"/>
          <cell r="L1036" t="str"/>
          <cell r="M1036" t="str"/>
          <cell r="N1036" t="str"/>
          <cell r="O1036" t="str"/>
          <cell r="P1036" t="str"/>
          <cell r="Q1036" t="str"/>
          <cell r="R1036" t="str"/>
          <cell r="S1036" t="str"/>
        </row>
        <row r="1037">
          <cell r="B1037" t="str"/>
          <cell r="C1037" t="str"/>
          <cell r="D1037" t="str"/>
          <cell r="E1037" t="str"/>
          <cell r="F1037" t="str"/>
          <cell r="G1037" t="str"/>
          <cell r="H1037" t="str"/>
          <cell r="I1037" t="str"/>
          <cell r="J1037" t="str"/>
          <cell r="K1037" t="str"/>
          <cell r="L1037" t="str"/>
          <cell r="M1037" t="str"/>
          <cell r="N1037" t="str"/>
          <cell r="O1037" t="str"/>
          <cell r="P1037" t="str"/>
          <cell r="Q1037" t="str"/>
          <cell r="R1037" t="str"/>
          <cell r="S1037" t="str"/>
        </row>
        <row r="1038">
          <cell r="B1038" t="str"/>
          <cell r="C1038" t="str"/>
          <cell r="D1038" t="str"/>
          <cell r="E1038" t="str"/>
          <cell r="F1038" t="str"/>
          <cell r="G1038" t="str"/>
          <cell r="H1038" t="str"/>
          <cell r="I1038" t="str"/>
          <cell r="J1038" t="str"/>
          <cell r="K1038" t="str"/>
          <cell r="L1038" t="str"/>
          <cell r="M1038" t="str"/>
          <cell r="N1038" t="str"/>
          <cell r="O1038" t="str"/>
          <cell r="P1038" t="str"/>
          <cell r="Q1038" t="str"/>
          <cell r="R1038" t="str"/>
          <cell r="S1038" t="str"/>
        </row>
        <row r="1039">
          <cell r="B1039" t="str"/>
          <cell r="C1039" t="str"/>
          <cell r="D1039" t="str"/>
          <cell r="E1039" t="str"/>
          <cell r="F1039" t="str"/>
          <cell r="G1039" t="str"/>
          <cell r="H1039" t="str"/>
          <cell r="I1039" t="str"/>
          <cell r="J1039" t="str"/>
          <cell r="K1039" t="str"/>
          <cell r="L1039" t="str"/>
          <cell r="M1039" t="str"/>
          <cell r="N1039" t="str"/>
          <cell r="O1039" t="str"/>
          <cell r="P1039" t="str"/>
          <cell r="Q1039" t="str"/>
          <cell r="R1039" t="str"/>
          <cell r="S1039" t="str"/>
        </row>
        <row r="1040">
          <cell r="B1040" t="str"/>
          <cell r="C1040" t="str"/>
          <cell r="D1040" t="str"/>
          <cell r="E1040" t="str"/>
          <cell r="F1040" t="str"/>
          <cell r="G1040" t="str"/>
          <cell r="H1040" t="str"/>
          <cell r="I1040" t="str"/>
          <cell r="J1040" t="str"/>
          <cell r="K1040" t="str"/>
          <cell r="L1040" t="str"/>
          <cell r="M1040" t="str"/>
          <cell r="N1040" t="str"/>
          <cell r="O1040" t="str"/>
          <cell r="P1040" t="str"/>
          <cell r="Q1040" t="str"/>
          <cell r="R1040" t="str"/>
          <cell r="S1040" t="str"/>
        </row>
        <row r="1041">
          <cell r="B1041" t="str"/>
          <cell r="C1041" t="str"/>
          <cell r="D1041" t="str"/>
          <cell r="E1041" t="str"/>
          <cell r="F1041" t="str"/>
          <cell r="G1041" t="str"/>
          <cell r="H1041" t="str"/>
          <cell r="I1041" t="str"/>
          <cell r="J1041" t="str"/>
          <cell r="K1041" t="str"/>
          <cell r="L1041" t="str"/>
          <cell r="M1041" t="str"/>
          <cell r="N1041" t="str"/>
          <cell r="O1041" t="str"/>
          <cell r="P1041" t="str"/>
          <cell r="Q1041" t="str"/>
          <cell r="R1041" t="str"/>
          <cell r="S1041" t="str"/>
        </row>
        <row r="1042">
          <cell r="B1042" t="str"/>
          <cell r="C1042" t="str"/>
          <cell r="D1042" t="str"/>
          <cell r="E1042" t="str"/>
          <cell r="F1042" t="str"/>
          <cell r="G1042" t="str"/>
          <cell r="H1042" t="str"/>
          <cell r="I1042" t="str"/>
          <cell r="J1042" t="str"/>
          <cell r="K1042" t="str"/>
          <cell r="L1042" t="str"/>
          <cell r="M1042" t="str"/>
          <cell r="N1042" t="str"/>
          <cell r="O1042" t="str"/>
          <cell r="P1042" t="str"/>
          <cell r="Q1042" t="str"/>
          <cell r="R1042" t="str"/>
          <cell r="S1042" t="str"/>
        </row>
        <row r="1043">
          <cell r="B1043" t="str"/>
          <cell r="C1043" t="str"/>
          <cell r="D1043" t="str"/>
          <cell r="E1043" t="str"/>
          <cell r="F1043" t="str"/>
          <cell r="G1043" t="str"/>
          <cell r="H1043" t="str"/>
          <cell r="I1043" t="str"/>
          <cell r="J1043" t="str"/>
          <cell r="K1043" t="str"/>
          <cell r="L1043" t="str"/>
          <cell r="M1043" t="str"/>
          <cell r="N1043" t="str"/>
          <cell r="O1043" t="str"/>
          <cell r="P1043" t="str"/>
          <cell r="Q1043" t="str"/>
          <cell r="R1043" t="str"/>
          <cell r="S1043" t="str"/>
        </row>
        <row r="1044">
          <cell r="B1044" t="str"/>
          <cell r="C1044" t="str"/>
          <cell r="D1044" t="str"/>
          <cell r="E1044" t="str"/>
          <cell r="F1044" t="str"/>
          <cell r="G1044" t="str"/>
          <cell r="H1044" t="str"/>
          <cell r="I1044" t="str"/>
          <cell r="J1044" t="str"/>
          <cell r="K1044" t="str"/>
          <cell r="L1044" t="str"/>
          <cell r="M1044" t="str"/>
          <cell r="N1044" t="str"/>
          <cell r="O1044" t="str"/>
          <cell r="P1044" t="str"/>
          <cell r="Q1044" t="str"/>
          <cell r="R1044" t="str"/>
          <cell r="S1044" t="str"/>
        </row>
        <row r="1045">
          <cell r="B1045" t="str"/>
          <cell r="C1045" t="str"/>
          <cell r="D1045" t="str"/>
          <cell r="E1045" t="str"/>
          <cell r="F1045" t="str"/>
          <cell r="G1045" t="str"/>
          <cell r="H1045" t="str"/>
          <cell r="I1045" t="str"/>
          <cell r="J1045" t="str"/>
          <cell r="K1045" t="str"/>
          <cell r="L1045" t="str"/>
          <cell r="M1045" t="str"/>
          <cell r="N1045" t="str"/>
          <cell r="O1045" t="str"/>
          <cell r="P1045" t="str"/>
          <cell r="Q1045" t="str"/>
          <cell r="R1045" t="str"/>
          <cell r="S1045" t="str"/>
        </row>
        <row r="1046">
          <cell r="B1046" t="str"/>
          <cell r="C1046" t="str"/>
          <cell r="D1046" t="str"/>
          <cell r="E1046" t="str"/>
          <cell r="F1046" t="str"/>
          <cell r="G1046" t="str"/>
          <cell r="H1046" t="str"/>
          <cell r="I1046" t="str"/>
          <cell r="J1046" t="str"/>
          <cell r="K1046" t="str"/>
          <cell r="L1046" t="str"/>
          <cell r="M1046" t="str"/>
          <cell r="N1046" t="str"/>
          <cell r="O1046" t="str"/>
          <cell r="P1046" t="str"/>
          <cell r="Q1046" t="str"/>
          <cell r="R1046" t="str"/>
          <cell r="S1046" t="str"/>
        </row>
        <row r="1047">
          <cell r="B1047" t="str"/>
          <cell r="C1047" t="str"/>
          <cell r="D1047" t="str"/>
          <cell r="E1047" t="str"/>
          <cell r="F1047" t="str"/>
          <cell r="G1047" t="str"/>
          <cell r="H1047" t="str"/>
          <cell r="I1047" t="str"/>
          <cell r="J1047" t="str"/>
          <cell r="K1047" t="str"/>
          <cell r="L1047" t="str"/>
          <cell r="M1047" t="str"/>
          <cell r="N1047" t="str"/>
          <cell r="O1047" t="str"/>
          <cell r="P1047" t="str"/>
          <cell r="Q1047" t="str"/>
          <cell r="R1047" t="str"/>
          <cell r="S1047" t="str"/>
        </row>
        <row r="1048">
          <cell r="B1048" t="str"/>
          <cell r="C1048" t="str"/>
          <cell r="D1048" t="str"/>
          <cell r="E1048" t="str"/>
          <cell r="F1048" t="str"/>
          <cell r="G1048" t="str"/>
          <cell r="H1048" t="str"/>
          <cell r="I1048" t="str"/>
          <cell r="J1048" t="str"/>
          <cell r="K1048" t="str"/>
          <cell r="L1048" t="str"/>
          <cell r="M1048" t="str"/>
          <cell r="N1048" t="str"/>
          <cell r="O1048" t="str"/>
          <cell r="P1048" t="str"/>
          <cell r="Q1048" t="str"/>
          <cell r="R1048" t="str"/>
          <cell r="S1048" t="str"/>
        </row>
        <row r="1049">
          <cell r="B1049" t="str"/>
          <cell r="C1049" t="str"/>
          <cell r="D1049" t="str"/>
          <cell r="E1049" t="str"/>
          <cell r="F1049" t="str"/>
          <cell r="G1049" t="str"/>
          <cell r="H1049" t="str"/>
          <cell r="I1049" t="str"/>
          <cell r="J1049" t="str"/>
          <cell r="K1049" t="str"/>
          <cell r="L1049" t="str"/>
          <cell r="M1049" t="str"/>
          <cell r="N1049" t="str"/>
          <cell r="O1049" t="str"/>
          <cell r="P1049" t="str"/>
          <cell r="Q1049" t="str"/>
          <cell r="R1049" t="str"/>
          <cell r="S1049" t="str"/>
        </row>
        <row r="1050">
          <cell r="B1050" t="str"/>
          <cell r="C1050" t="str"/>
          <cell r="D1050" t="str"/>
          <cell r="E1050" t="str"/>
          <cell r="F1050" t="str"/>
          <cell r="G1050" t="str"/>
          <cell r="H1050" t="str"/>
          <cell r="I1050" t="str"/>
          <cell r="J1050" t="str"/>
          <cell r="K1050" t="str"/>
          <cell r="L1050" t="str"/>
          <cell r="M1050" t="str"/>
          <cell r="N1050" t="str"/>
          <cell r="O1050" t="str"/>
          <cell r="P1050" t="str"/>
          <cell r="Q1050" t="str"/>
          <cell r="R1050" t="str"/>
          <cell r="S1050" t="str"/>
        </row>
        <row r="1051">
          <cell r="B1051" t="str"/>
          <cell r="C1051" t="str"/>
          <cell r="D1051" t="str"/>
          <cell r="E1051" t="str"/>
          <cell r="F1051" t="str"/>
          <cell r="G1051" t="str"/>
          <cell r="H1051" t="str"/>
          <cell r="I1051" t="str"/>
          <cell r="J1051" t="str"/>
          <cell r="K1051" t="str"/>
          <cell r="L1051" t="str"/>
          <cell r="M1051" t="str"/>
          <cell r="N1051" t="str"/>
          <cell r="O1051" t="str"/>
          <cell r="P1051" t="str"/>
          <cell r="Q1051" t="str"/>
          <cell r="R1051" t="str"/>
          <cell r="S1051" t="str"/>
        </row>
        <row r="1052">
          <cell r="B1052" t="str"/>
          <cell r="C1052" t="str"/>
          <cell r="D1052" t="str"/>
          <cell r="E1052" t="str"/>
          <cell r="F1052" t="str"/>
          <cell r="G1052" t="str"/>
          <cell r="H1052" t="str"/>
          <cell r="I1052" t="str"/>
          <cell r="J1052" t="str"/>
          <cell r="K1052" t="str"/>
          <cell r="L1052" t="str"/>
          <cell r="M1052" t="str"/>
          <cell r="N1052" t="str"/>
          <cell r="O1052" t="str"/>
          <cell r="P1052" t="str"/>
          <cell r="Q1052" t="str"/>
          <cell r="R1052" t="str"/>
          <cell r="S1052" t="str"/>
        </row>
        <row r="1053">
          <cell r="B1053" t="str"/>
          <cell r="C1053" t="str"/>
          <cell r="D1053" t="str"/>
          <cell r="E1053" t="str"/>
          <cell r="F1053" t="str"/>
          <cell r="G1053" t="str"/>
          <cell r="H1053" t="str"/>
          <cell r="I1053" t="str"/>
          <cell r="J1053" t="str"/>
          <cell r="K1053" t="str"/>
          <cell r="L1053" t="str"/>
          <cell r="M1053" t="str"/>
          <cell r="N1053" t="str"/>
          <cell r="O1053" t="str"/>
          <cell r="P1053" t="str"/>
          <cell r="Q1053" t="str"/>
          <cell r="R1053" t="str"/>
          <cell r="S1053" t="str"/>
        </row>
        <row r="1054">
          <cell r="B1054" t="str"/>
          <cell r="C1054" t="str"/>
          <cell r="D1054" t="str"/>
          <cell r="E1054" t="str"/>
          <cell r="F1054" t="str"/>
          <cell r="G1054" t="str"/>
          <cell r="H1054" t="str"/>
          <cell r="I1054" t="str"/>
          <cell r="J1054" t="str"/>
          <cell r="K1054" t="str"/>
          <cell r="L1054" t="str"/>
          <cell r="M1054" t="str"/>
          <cell r="N1054" t="str"/>
          <cell r="O1054" t="str"/>
          <cell r="P1054" t="str"/>
          <cell r="Q1054" t="str"/>
          <cell r="R1054" t="str"/>
          <cell r="S1054" t="str"/>
        </row>
        <row r="1055">
          <cell r="B1055" t="str"/>
          <cell r="C1055" t="str"/>
          <cell r="D1055" t="str"/>
          <cell r="E1055" t="str"/>
          <cell r="F1055" t="str"/>
          <cell r="G1055" t="str"/>
          <cell r="H1055" t="str"/>
          <cell r="I1055" t="str"/>
          <cell r="J1055" t="str"/>
          <cell r="K1055" t="str"/>
          <cell r="L1055" t="str"/>
          <cell r="M1055" t="str"/>
          <cell r="N1055" t="str"/>
          <cell r="O1055" t="str"/>
          <cell r="P1055" t="str"/>
          <cell r="Q1055" t="str"/>
          <cell r="R1055" t="str"/>
          <cell r="S1055" t="str"/>
        </row>
        <row r="1056">
          <cell r="B1056" t="str"/>
          <cell r="C1056" t="str"/>
          <cell r="D1056" t="str"/>
          <cell r="E1056" t="str"/>
          <cell r="F1056" t="str"/>
          <cell r="G1056" t="str"/>
          <cell r="H1056" t="str"/>
          <cell r="I1056" t="str"/>
          <cell r="J1056" t="str"/>
          <cell r="K1056" t="str"/>
          <cell r="L1056" t="str"/>
          <cell r="M1056" t="str"/>
          <cell r="N1056" t="str"/>
          <cell r="O1056" t="str"/>
          <cell r="P1056" t="str"/>
          <cell r="Q1056" t="str"/>
          <cell r="R1056" t="str"/>
          <cell r="S1056" t="str"/>
        </row>
        <row r="1057">
          <cell r="B1057" t="str"/>
          <cell r="C1057" t="str"/>
          <cell r="D1057" t="str"/>
          <cell r="E1057" t="str"/>
          <cell r="F1057" t="str"/>
          <cell r="G1057" t="str"/>
          <cell r="H1057" t="str"/>
          <cell r="I1057" t="str"/>
          <cell r="J1057" t="str"/>
          <cell r="K1057" t="str"/>
          <cell r="L1057" t="str"/>
          <cell r="M1057" t="str"/>
          <cell r="N1057" t="str"/>
          <cell r="O1057" t="str"/>
          <cell r="P1057" t="str"/>
          <cell r="Q1057" t="str"/>
          <cell r="R1057" t="str"/>
          <cell r="S1057" t="str"/>
        </row>
        <row r="1058">
          <cell r="B1058" t="str"/>
          <cell r="C1058" t="str"/>
          <cell r="D1058" t="str"/>
          <cell r="E1058" t="str"/>
          <cell r="F1058" t="str"/>
          <cell r="G1058" t="str"/>
          <cell r="H1058" t="str"/>
          <cell r="I1058" t="str"/>
          <cell r="J1058" t="str"/>
          <cell r="K1058" t="str"/>
          <cell r="L1058" t="str"/>
          <cell r="M1058" t="str"/>
          <cell r="N1058" t="str"/>
          <cell r="O1058" t="str"/>
          <cell r="P1058" t="str"/>
          <cell r="Q1058" t="str"/>
          <cell r="R1058" t="str"/>
          <cell r="S1058" t="str"/>
        </row>
        <row r="1059">
          <cell r="B1059" t="str"/>
          <cell r="C1059" t="str"/>
          <cell r="D1059" t="str"/>
          <cell r="E1059" t="str"/>
          <cell r="F1059" t="str"/>
          <cell r="G1059" t="str"/>
          <cell r="H1059" t="str"/>
          <cell r="I1059" t="str"/>
          <cell r="J1059" t="str"/>
          <cell r="K1059" t="str"/>
          <cell r="L1059" t="str"/>
          <cell r="M1059" t="str"/>
          <cell r="N1059" t="str"/>
          <cell r="O1059" t="str"/>
          <cell r="P1059" t="str"/>
          <cell r="Q1059" t="str"/>
          <cell r="R1059" t="str"/>
          <cell r="S1059" t="str"/>
        </row>
        <row r="1060">
          <cell r="B1060" t="str"/>
          <cell r="C1060" t="str"/>
          <cell r="D1060" t="str"/>
          <cell r="E1060" t="str"/>
          <cell r="F1060" t="str"/>
          <cell r="G1060" t="str"/>
          <cell r="H1060" t="str"/>
          <cell r="I1060" t="str"/>
          <cell r="J1060" t="str"/>
          <cell r="K1060" t="str"/>
          <cell r="L1060" t="str"/>
          <cell r="M1060" t="str"/>
          <cell r="N1060" t="str"/>
          <cell r="O1060" t="str"/>
          <cell r="P1060" t="str"/>
          <cell r="Q1060" t="str"/>
          <cell r="R1060" t="str"/>
          <cell r="S1060" t="str"/>
        </row>
        <row r="1061">
          <cell r="B1061" t="str"/>
          <cell r="C1061" t="str"/>
          <cell r="D1061" t="str"/>
          <cell r="E1061" t="str"/>
          <cell r="F1061" t="str"/>
          <cell r="G1061" t="str"/>
          <cell r="H1061" t="str"/>
          <cell r="I1061" t="str"/>
          <cell r="J1061" t="str"/>
          <cell r="K1061" t="str"/>
          <cell r="L1061" t="str"/>
          <cell r="M1061" t="str"/>
          <cell r="N1061" t="str"/>
          <cell r="O1061" t="str"/>
          <cell r="P1061" t="str"/>
          <cell r="Q1061" t="str"/>
          <cell r="R1061" t="str"/>
          <cell r="S1061" t="str"/>
        </row>
        <row r="1062">
          <cell r="B1062" t="str"/>
          <cell r="C1062" t="str"/>
          <cell r="D1062" t="str"/>
          <cell r="E1062" t="str"/>
          <cell r="F1062" t="str"/>
          <cell r="G1062" t="str"/>
          <cell r="H1062" t="str"/>
          <cell r="I1062" t="str"/>
          <cell r="J1062" t="str"/>
          <cell r="K1062" t="str"/>
          <cell r="L1062" t="str"/>
          <cell r="M1062" t="str"/>
          <cell r="N1062" t="str"/>
          <cell r="O1062" t="str"/>
          <cell r="P1062" t="str"/>
          <cell r="Q1062" t="str"/>
          <cell r="R1062" t="str"/>
          <cell r="S1062" t="str"/>
        </row>
        <row r="1063">
          <cell r="B1063" t="str"/>
          <cell r="C1063" t="str"/>
          <cell r="D1063" t="str"/>
          <cell r="E1063" t="str"/>
          <cell r="F1063" t="str"/>
          <cell r="G1063" t="str"/>
          <cell r="H1063" t="str"/>
          <cell r="I1063" t="str"/>
          <cell r="J1063" t="str"/>
          <cell r="K1063" t="str"/>
          <cell r="L1063" t="str"/>
          <cell r="M1063" t="str"/>
          <cell r="N1063" t="str"/>
          <cell r="O1063" t="str"/>
          <cell r="P1063" t="str"/>
          <cell r="Q1063" t="str"/>
          <cell r="R1063" t="str"/>
          <cell r="S1063" t="str"/>
        </row>
        <row r="1064">
          <cell r="B1064" t="str"/>
          <cell r="C1064" t="str"/>
          <cell r="D1064" t="str"/>
          <cell r="E1064" t="str"/>
          <cell r="F1064" t="str"/>
          <cell r="G1064" t="str"/>
          <cell r="H1064" t="str"/>
          <cell r="I1064" t="str"/>
          <cell r="J1064" t="str"/>
          <cell r="K1064" t="str"/>
          <cell r="L1064" t="str"/>
          <cell r="M1064" t="str"/>
          <cell r="N1064" t="str"/>
          <cell r="O1064" t="str"/>
          <cell r="P1064" t="str"/>
          <cell r="Q1064" t="str"/>
          <cell r="R1064" t="str"/>
          <cell r="S1064" t="str"/>
        </row>
        <row r="1065">
          <cell r="B1065" t="str"/>
          <cell r="C1065" t="str"/>
          <cell r="D1065" t="str"/>
          <cell r="E1065" t="str"/>
          <cell r="F1065" t="str"/>
          <cell r="G1065" t="str"/>
          <cell r="H1065" t="str"/>
          <cell r="I1065" t="str"/>
          <cell r="J1065" t="str"/>
          <cell r="K1065" t="str"/>
          <cell r="L1065" t="str"/>
          <cell r="M1065" t="str"/>
          <cell r="N1065" t="str"/>
          <cell r="O1065" t="str"/>
          <cell r="P1065" t="str"/>
          <cell r="Q1065" t="str"/>
          <cell r="R1065" t="str"/>
          <cell r="S1065" t="str"/>
        </row>
        <row r="1066">
          <cell r="B1066" t="str"/>
          <cell r="C1066" t="str"/>
          <cell r="D1066" t="str"/>
          <cell r="E1066" t="str"/>
          <cell r="F1066" t="str"/>
          <cell r="G1066" t="str"/>
          <cell r="H1066" t="str"/>
          <cell r="I1066" t="str"/>
          <cell r="J1066" t="str"/>
          <cell r="K1066" t="str"/>
          <cell r="L1066" t="str"/>
          <cell r="M1066" t="str"/>
          <cell r="N1066" t="str"/>
          <cell r="O1066" t="str"/>
          <cell r="P1066" t="str"/>
          <cell r="Q1066" t="str"/>
          <cell r="R1066" t="str"/>
          <cell r="S1066" t="str"/>
        </row>
        <row r="1067">
          <cell r="B1067" t="str"/>
          <cell r="C1067" t="str"/>
          <cell r="D1067" t="str"/>
          <cell r="E1067" t="str"/>
          <cell r="F1067" t="str"/>
          <cell r="G1067" t="str"/>
          <cell r="H1067" t="str"/>
          <cell r="I1067" t="str"/>
          <cell r="J1067" t="str"/>
          <cell r="K1067" t="str"/>
          <cell r="L1067" t="str"/>
          <cell r="M1067" t="str"/>
          <cell r="N1067" t="str"/>
          <cell r="O1067" t="str"/>
          <cell r="P1067" t="str"/>
          <cell r="Q1067" t="str"/>
          <cell r="R1067" t="str"/>
          <cell r="S1067" t="str"/>
        </row>
        <row r="1068">
          <cell r="B1068" t="str"/>
          <cell r="C1068" t="str"/>
          <cell r="D1068" t="str"/>
          <cell r="E1068" t="str"/>
          <cell r="F1068" t="str"/>
          <cell r="G1068" t="str"/>
          <cell r="H1068" t="str"/>
          <cell r="I1068" t="str"/>
          <cell r="J1068" t="str"/>
          <cell r="K1068" t="str"/>
          <cell r="L1068" t="str"/>
          <cell r="M1068" t="str"/>
          <cell r="N1068" t="str"/>
          <cell r="O1068" t="str"/>
          <cell r="P1068" t="str"/>
          <cell r="Q1068" t="str"/>
          <cell r="R1068" t="str"/>
          <cell r="S1068" t="str"/>
        </row>
        <row r="1069">
          <cell r="B1069" t="str"/>
          <cell r="C1069" t="str"/>
          <cell r="D1069" t="str"/>
          <cell r="E1069" t="str"/>
          <cell r="F1069" t="str"/>
          <cell r="G1069" t="str"/>
          <cell r="H1069" t="str"/>
          <cell r="I1069" t="str"/>
          <cell r="J1069" t="str"/>
          <cell r="K1069" t="str"/>
          <cell r="L1069" t="str"/>
          <cell r="M1069" t="str"/>
          <cell r="N1069" t="str"/>
          <cell r="O1069" t="str"/>
          <cell r="P1069" t="str"/>
          <cell r="Q1069" t="str"/>
          <cell r="R1069" t="str"/>
          <cell r="S1069" t="str"/>
        </row>
        <row r="1070">
          <cell r="B1070" t="str"/>
          <cell r="C1070" t="str"/>
          <cell r="D1070" t="str"/>
          <cell r="E1070" t="str"/>
          <cell r="F1070" t="str"/>
          <cell r="G1070" t="str"/>
          <cell r="H1070" t="str"/>
          <cell r="I1070" t="str"/>
          <cell r="J1070" t="str"/>
          <cell r="K1070" t="str"/>
          <cell r="L1070" t="str"/>
          <cell r="M1070" t="str"/>
          <cell r="N1070" t="str"/>
          <cell r="O1070" t="str"/>
          <cell r="P1070" t="str"/>
          <cell r="Q1070" t="str"/>
          <cell r="R1070" t="str"/>
          <cell r="S1070" t="str"/>
        </row>
        <row r="1071">
          <cell r="B1071" t="str"/>
          <cell r="C1071" t="str"/>
          <cell r="D1071" t="str"/>
          <cell r="E1071" t="str"/>
          <cell r="F1071" t="str"/>
          <cell r="G1071" t="str"/>
          <cell r="H1071" t="str"/>
          <cell r="I1071" t="str"/>
          <cell r="J1071" t="str"/>
          <cell r="K1071" t="str"/>
          <cell r="L1071" t="str"/>
          <cell r="M1071" t="str"/>
          <cell r="N1071" t="str"/>
          <cell r="O1071" t="str"/>
          <cell r="P1071" t="str"/>
          <cell r="Q1071" t="str"/>
          <cell r="R1071" t="str"/>
          <cell r="S1071" t="str"/>
        </row>
        <row r="1072">
          <cell r="B1072" t="str"/>
          <cell r="C1072" t="str"/>
          <cell r="D1072" t="str"/>
          <cell r="E1072" t="str"/>
          <cell r="F1072" t="str"/>
          <cell r="G1072" t="str"/>
          <cell r="H1072" t="str"/>
          <cell r="I1072" t="str"/>
          <cell r="J1072" t="str"/>
          <cell r="K1072" t="str"/>
          <cell r="L1072" t="str"/>
          <cell r="M1072" t="str"/>
          <cell r="N1072" t="str"/>
          <cell r="O1072" t="str"/>
          <cell r="P1072" t="str"/>
          <cell r="Q1072" t="str"/>
          <cell r="R1072" t="str"/>
          <cell r="S1072" t="str"/>
        </row>
        <row r="1073">
          <cell r="B1073" t="str"/>
          <cell r="C1073" t="str"/>
          <cell r="D1073" t="str"/>
          <cell r="E1073" t="str"/>
          <cell r="F1073" t="str"/>
          <cell r="G1073" t="str"/>
          <cell r="H1073" t="str"/>
          <cell r="I1073" t="str"/>
          <cell r="J1073" t="str"/>
          <cell r="K1073" t="str"/>
          <cell r="L1073" t="str"/>
          <cell r="M1073" t="str"/>
          <cell r="N1073" t="str"/>
          <cell r="O1073" t="str"/>
          <cell r="P1073" t="str"/>
          <cell r="Q1073" t="str"/>
          <cell r="R1073" t="str"/>
          <cell r="S1073" t="str"/>
        </row>
        <row r="1074">
          <cell r="B1074" t="str"/>
          <cell r="C1074" t="str"/>
          <cell r="D1074" t="str"/>
          <cell r="E1074" t="str"/>
          <cell r="F1074" t="str"/>
          <cell r="G1074" t="str"/>
          <cell r="H1074" t="str"/>
          <cell r="I1074" t="str"/>
          <cell r="J1074" t="str"/>
          <cell r="K1074" t="str"/>
          <cell r="L1074" t="str"/>
          <cell r="M1074" t="str"/>
          <cell r="N1074" t="str"/>
          <cell r="O1074" t="str"/>
          <cell r="P1074" t="str"/>
          <cell r="Q1074" t="str"/>
          <cell r="R1074" t="str"/>
          <cell r="S1074" t="str"/>
        </row>
        <row r="1075">
          <cell r="B1075" t="str"/>
          <cell r="C1075" t="str"/>
          <cell r="D1075" t="str"/>
          <cell r="E1075" t="str"/>
          <cell r="F1075" t="str"/>
          <cell r="G1075" t="str"/>
          <cell r="H1075" t="str"/>
          <cell r="I1075" t="str"/>
          <cell r="J1075" t="str"/>
          <cell r="K1075" t="str"/>
          <cell r="L1075" t="str"/>
          <cell r="M1075" t="str"/>
          <cell r="N1075" t="str"/>
          <cell r="O1075" t="str"/>
          <cell r="P1075" t="str"/>
          <cell r="Q1075" t="str"/>
          <cell r="R1075" t="str"/>
          <cell r="S1075" t="str"/>
        </row>
        <row r="1076">
          <cell r="B1076" t="str"/>
          <cell r="C1076" t="str"/>
          <cell r="D1076" t="str"/>
          <cell r="E1076" t="str"/>
          <cell r="F1076" t="str"/>
          <cell r="G1076" t="str"/>
          <cell r="H1076" t="str"/>
          <cell r="I1076" t="str"/>
          <cell r="J1076" t="str"/>
          <cell r="K1076" t="str"/>
          <cell r="L1076" t="str"/>
          <cell r="M1076" t="str"/>
          <cell r="N1076" t="str"/>
          <cell r="O1076" t="str"/>
          <cell r="P1076" t="str"/>
          <cell r="Q1076" t="str"/>
          <cell r="R1076" t="str"/>
          <cell r="S1076" t="str"/>
        </row>
        <row r="1077">
          <cell r="B1077" t="str"/>
          <cell r="C1077" t="str"/>
          <cell r="D1077" t="str"/>
          <cell r="E1077" t="str"/>
          <cell r="F1077" t="str"/>
          <cell r="G1077" t="str"/>
          <cell r="H1077" t="str"/>
          <cell r="I1077" t="str"/>
          <cell r="J1077" t="str"/>
          <cell r="K1077" t="str"/>
          <cell r="L1077" t="str"/>
          <cell r="M1077" t="str"/>
          <cell r="N1077" t="str"/>
          <cell r="O1077" t="str"/>
          <cell r="P1077" t="str"/>
          <cell r="Q1077" t="str"/>
          <cell r="R1077" t="str"/>
          <cell r="S1077" t="str"/>
        </row>
        <row r="1078">
          <cell r="B1078" t="str"/>
          <cell r="C1078" t="str"/>
          <cell r="D1078" t="str"/>
          <cell r="E1078" t="str"/>
          <cell r="F1078" t="str"/>
          <cell r="G1078" t="str"/>
          <cell r="H1078" t="str"/>
          <cell r="I1078" t="str"/>
          <cell r="J1078" t="str"/>
          <cell r="K1078" t="str"/>
          <cell r="L1078" t="str"/>
          <cell r="M1078" t="str"/>
          <cell r="N1078" t="str"/>
          <cell r="O1078" t="str"/>
          <cell r="P1078" t="str"/>
          <cell r="Q1078" t="str"/>
          <cell r="R1078" t="str"/>
          <cell r="S1078" t="str"/>
        </row>
        <row r="1079">
          <cell r="B1079" t="str"/>
          <cell r="C1079" t="str"/>
          <cell r="D1079" t="str"/>
          <cell r="E1079" t="str"/>
          <cell r="F1079" t="str"/>
          <cell r="G1079" t="str"/>
          <cell r="H1079" t="str"/>
          <cell r="I1079" t="str"/>
          <cell r="J1079" t="str"/>
          <cell r="K1079" t="str"/>
          <cell r="L1079" t="str"/>
          <cell r="M1079" t="str"/>
          <cell r="N1079" t="str"/>
          <cell r="O1079" t="str"/>
          <cell r="P1079" t="str"/>
          <cell r="Q1079" t="str"/>
          <cell r="R1079" t="str"/>
          <cell r="S1079" t="str"/>
        </row>
        <row r="1080">
          <cell r="B1080" t="str"/>
          <cell r="C1080" t="str"/>
          <cell r="D1080" t="str"/>
          <cell r="E1080" t="str"/>
          <cell r="F1080" t="str"/>
          <cell r="G1080" t="str"/>
          <cell r="H1080" t="str"/>
          <cell r="I1080" t="str"/>
          <cell r="J1080" t="str"/>
          <cell r="K1080" t="str"/>
          <cell r="L1080" t="str"/>
          <cell r="M1080" t="str"/>
          <cell r="N1080" t="str"/>
          <cell r="O1080" t="str"/>
          <cell r="P1080" t="str"/>
          <cell r="Q1080" t="str"/>
          <cell r="R1080" t="str"/>
          <cell r="S1080" t="str"/>
        </row>
        <row r="1081">
          <cell r="B1081" t="str"/>
          <cell r="C1081" t="str"/>
          <cell r="D1081" t="str"/>
          <cell r="E1081" t="str"/>
          <cell r="F1081" t="str"/>
          <cell r="G1081" t="str"/>
          <cell r="H1081" t="str"/>
          <cell r="I1081" t="str"/>
          <cell r="J1081" t="str"/>
          <cell r="K1081" t="str"/>
          <cell r="L1081" t="str"/>
          <cell r="M1081" t="str"/>
          <cell r="N1081" t="str"/>
          <cell r="O1081" t="str"/>
          <cell r="P1081" t="str"/>
          <cell r="Q1081" t="str"/>
          <cell r="R1081" t="str"/>
          <cell r="S1081" t="str"/>
        </row>
        <row r="1082">
          <cell r="B1082" t="str"/>
          <cell r="C1082" t="str"/>
          <cell r="D1082" t="str"/>
          <cell r="E1082" t="str"/>
          <cell r="F1082" t="str"/>
          <cell r="G1082" t="str"/>
          <cell r="H1082" t="str"/>
          <cell r="I1082" t="str"/>
          <cell r="J1082" t="str"/>
          <cell r="K1082" t="str"/>
          <cell r="L1082" t="str"/>
          <cell r="M1082" t="str"/>
          <cell r="N1082" t="str"/>
          <cell r="O1082" t="str"/>
          <cell r="P1082" t="str"/>
          <cell r="Q1082" t="str"/>
          <cell r="R1082" t="str"/>
          <cell r="S1082" t="str"/>
        </row>
        <row r="1083">
          <cell r="B1083" t="str"/>
          <cell r="C1083" t="str"/>
          <cell r="D1083" t="str"/>
          <cell r="E1083" t="str"/>
          <cell r="F1083" t="str"/>
          <cell r="G1083" t="str"/>
          <cell r="H1083" t="str"/>
          <cell r="I1083" t="str"/>
          <cell r="J1083" t="str"/>
          <cell r="K1083" t="str"/>
          <cell r="L1083" t="str"/>
          <cell r="M1083" t="str"/>
          <cell r="N1083" t="str"/>
          <cell r="O1083" t="str"/>
          <cell r="P1083" t="str"/>
          <cell r="Q1083" t="str"/>
          <cell r="R1083" t="str"/>
          <cell r="S1083" t="str"/>
        </row>
        <row r="1084">
          <cell r="B1084" t="str"/>
          <cell r="C1084" t="str"/>
          <cell r="D1084" t="str"/>
          <cell r="E1084" t="str"/>
          <cell r="F1084" t="str"/>
          <cell r="G1084" t="str"/>
          <cell r="H1084" t="str"/>
          <cell r="I1084" t="str"/>
          <cell r="J1084" t="str"/>
          <cell r="K1084" t="str"/>
          <cell r="L1084" t="str"/>
          <cell r="M1084" t="str"/>
          <cell r="N1084" t="str"/>
          <cell r="O1084" t="str"/>
          <cell r="P1084" t="str"/>
          <cell r="Q1084" t="str"/>
          <cell r="R1084" t="str"/>
          <cell r="S1084" t="str"/>
        </row>
        <row r="1085">
          <cell r="B1085" t="str"/>
          <cell r="C1085" t="str"/>
          <cell r="D1085" t="str"/>
          <cell r="E1085" t="str"/>
          <cell r="F1085" t="str"/>
          <cell r="G1085" t="str"/>
          <cell r="H1085" t="str"/>
          <cell r="I1085" t="str"/>
          <cell r="J1085" t="str"/>
          <cell r="K1085" t="str"/>
          <cell r="L1085" t="str"/>
          <cell r="M1085" t="str"/>
          <cell r="N1085" t="str"/>
          <cell r="O1085" t="str"/>
          <cell r="P1085" t="str"/>
          <cell r="Q1085" t="str"/>
          <cell r="R1085" t="str"/>
          <cell r="S1085" t="str"/>
        </row>
        <row r="1086">
          <cell r="B1086" t="str"/>
          <cell r="C1086" t="str"/>
          <cell r="D1086" t="str"/>
          <cell r="E1086" t="str"/>
          <cell r="F1086" t="str"/>
          <cell r="G1086" t="str"/>
          <cell r="H1086" t="str"/>
          <cell r="I1086" t="str"/>
          <cell r="J1086" t="str"/>
          <cell r="K1086" t="str"/>
          <cell r="L1086" t="str"/>
          <cell r="M1086" t="str"/>
          <cell r="N1086" t="str"/>
          <cell r="O1086" t="str"/>
          <cell r="P1086" t="str"/>
          <cell r="Q1086" t="str"/>
          <cell r="R1086" t="str"/>
          <cell r="S1086" t="str"/>
        </row>
        <row r="1087">
          <cell r="B1087" t="str"/>
          <cell r="C1087" t="str"/>
          <cell r="D1087" t="str"/>
          <cell r="E1087" t="str"/>
          <cell r="F1087" t="str"/>
          <cell r="G1087" t="str"/>
          <cell r="H1087" t="str"/>
          <cell r="I1087" t="str"/>
          <cell r="J1087" t="str"/>
          <cell r="K1087" t="str"/>
          <cell r="L1087" t="str"/>
          <cell r="M1087" t="str"/>
          <cell r="N1087" t="str"/>
          <cell r="O1087" t="str"/>
          <cell r="P1087" t="str"/>
          <cell r="Q1087" t="str"/>
          <cell r="R1087" t="str"/>
          <cell r="S1087" t="str"/>
        </row>
        <row r="1088">
          <cell r="B1088" t="str"/>
          <cell r="C1088" t="str"/>
          <cell r="D1088" t="str"/>
          <cell r="E1088" t="str"/>
          <cell r="F1088" t="str"/>
          <cell r="G1088" t="str"/>
          <cell r="H1088" t="str"/>
          <cell r="I1088" t="str"/>
          <cell r="J1088" t="str"/>
          <cell r="K1088" t="str"/>
          <cell r="L1088" t="str"/>
          <cell r="M1088" t="str"/>
          <cell r="N1088" t="str"/>
          <cell r="O1088" t="str"/>
          <cell r="P1088" t="str"/>
          <cell r="Q1088" t="str"/>
          <cell r="R1088" t="str"/>
          <cell r="S1088" t="str"/>
        </row>
        <row r="1089">
          <cell r="B1089" t="str"/>
          <cell r="C1089" t="str"/>
          <cell r="D1089" t="str"/>
          <cell r="E1089" t="str"/>
          <cell r="F1089" t="str"/>
          <cell r="G1089" t="str"/>
          <cell r="H1089" t="str"/>
          <cell r="I1089" t="str"/>
          <cell r="J1089" t="str"/>
          <cell r="K1089" t="str"/>
          <cell r="L1089" t="str"/>
          <cell r="M1089" t="str"/>
          <cell r="N1089" t="str"/>
          <cell r="O1089" t="str"/>
          <cell r="P1089" t="str"/>
          <cell r="Q1089" t="str"/>
          <cell r="R1089" t="str"/>
          <cell r="S1089" t="str"/>
        </row>
        <row r="1090">
          <cell r="B1090" t="str"/>
          <cell r="C1090" t="str"/>
          <cell r="D1090" t="str"/>
          <cell r="E1090" t="str"/>
          <cell r="F1090" t="str"/>
          <cell r="G1090" t="str"/>
          <cell r="H1090" t="str"/>
          <cell r="I1090" t="str"/>
          <cell r="J1090" t="str"/>
          <cell r="K1090" t="str"/>
          <cell r="L1090" t="str"/>
          <cell r="M1090" t="str"/>
          <cell r="N1090" t="str"/>
          <cell r="O1090" t="str"/>
          <cell r="P1090" t="str"/>
          <cell r="Q1090" t="str"/>
          <cell r="R1090" t="str"/>
          <cell r="S1090" t="str"/>
        </row>
        <row r="1091">
          <cell r="B1091" t="str"/>
          <cell r="C1091" t="str"/>
          <cell r="D1091" t="str"/>
          <cell r="E1091" t="str"/>
          <cell r="F1091" t="str"/>
          <cell r="G1091" t="str"/>
          <cell r="H1091" t="str"/>
          <cell r="I1091" t="str"/>
          <cell r="J1091" t="str"/>
          <cell r="K1091" t="str"/>
          <cell r="L1091" t="str"/>
          <cell r="M1091" t="str"/>
          <cell r="N1091" t="str"/>
          <cell r="O1091" t="str"/>
          <cell r="P1091" t="str"/>
          <cell r="Q1091" t="str"/>
          <cell r="R1091" t="str"/>
          <cell r="S1091" t="str"/>
        </row>
        <row r="1092">
          <cell r="B1092" t="str"/>
          <cell r="C1092" t="str"/>
          <cell r="D1092" t="str"/>
          <cell r="E1092" t="str"/>
          <cell r="F1092" t="str"/>
          <cell r="G1092" t="str"/>
          <cell r="H1092" t="str"/>
          <cell r="I1092" t="str"/>
          <cell r="J1092" t="str"/>
          <cell r="K1092" t="str"/>
          <cell r="L1092" t="str"/>
          <cell r="M1092" t="str"/>
          <cell r="N1092" t="str"/>
          <cell r="O1092" t="str"/>
          <cell r="P1092" t="str"/>
          <cell r="Q1092" t="str"/>
          <cell r="R1092" t="str"/>
          <cell r="S1092" t="str"/>
        </row>
        <row r="1093">
          <cell r="B1093" t="str"/>
          <cell r="C1093" t="str"/>
          <cell r="D1093" t="str"/>
          <cell r="E1093" t="str"/>
          <cell r="F1093" t="str"/>
          <cell r="G1093" t="str"/>
          <cell r="H1093" t="str"/>
          <cell r="I1093" t="str"/>
          <cell r="J1093" t="str"/>
          <cell r="K1093" t="str"/>
          <cell r="L1093" t="str"/>
          <cell r="M1093" t="str"/>
          <cell r="N1093" t="str"/>
          <cell r="O1093" t="str"/>
          <cell r="P1093" t="str"/>
          <cell r="Q1093" t="str"/>
          <cell r="R1093" t="str"/>
          <cell r="S1093" t="str"/>
        </row>
        <row r="1094">
          <cell r="B1094" t="str"/>
          <cell r="C1094" t="str"/>
          <cell r="D1094" t="str"/>
          <cell r="E1094" t="str"/>
          <cell r="F1094" t="str"/>
          <cell r="G1094" t="str"/>
          <cell r="H1094" t="str"/>
          <cell r="I1094" t="str"/>
          <cell r="J1094" t="str"/>
          <cell r="K1094" t="str"/>
          <cell r="L1094" t="str"/>
          <cell r="M1094" t="str"/>
          <cell r="N1094" t="str"/>
          <cell r="O1094" t="str"/>
          <cell r="P1094" t="str"/>
          <cell r="Q1094" t="str"/>
          <cell r="R1094" t="str"/>
          <cell r="S1094" t="str"/>
        </row>
        <row r="1095">
          <cell r="B1095" t="str"/>
          <cell r="C1095" t="str"/>
          <cell r="D1095" t="str"/>
          <cell r="E1095" t="str"/>
          <cell r="F1095" t="str"/>
          <cell r="G1095" t="str"/>
          <cell r="H1095" t="str"/>
          <cell r="I1095" t="str"/>
          <cell r="J1095" t="str"/>
          <cell r="K1095" t="str"/>
          <cell r="L1095" t="str"/>
          <cell r="M1095" t="str"/>
          <cell r="N1095" t="str"/>
          <cell r="O1095" t="str"/>
          <cell r="P1095" t="str"/>
          <cell r="Q1095" t="str"/>
          <cell r="R1095" t="str"/>
          <cell r="S1095" t="str"/>
        </row>
        <row r="1096">
          <cell r="B1096" t="str"/>
          <cell r="C1096" t="str"/>
          <cell r="D1096" t="str"/>
          <cell r="E1096" t="str"/>
          <cell r="F1096" t="str"/>
          <cell r="G1096" t="str"/>
          <cell r="H1096" t="str"/>
          <cell r="I1096" t="str"/>
          <cell r="J1096" t="str"/>
          <cell r="K1096" t="str"/>
          <cell r="L1096" t="str"/>
          <cell r="M1096" t="str"/>
          <cell r="N1096" t="str"/>
          <cell r="O1096" t="str"/>
          <cell r="P1096" t="str"/>
          <cell r="Q1096" t="str"/>
          <cell r="R1096" t="str"/>
          <cell r="S1096" t="str"/>
        </row>
        <row r="1097">
          <cell r="B1097" t="str"/>
          <cell r="C1097" t="str"/>
          <cell r="D1097" t="str"/>
          <cell r="E1097" t="str"/>
          <cell r="F1097" t="str"/>
          <cell r="G1097" t="str"/>
          <cell r="H1097" t="str"/>
          <cell r="I1097" t="str"/>
          <cell r="J1097" t="str"/>
          <cell r="K1097" t="str"/>
          <cell r="L1097" t="str"/>
          <cell r="M1097" t="str"/>
          <cell r="N1097" t="str"/>
          <cell r="O1097" t="str"/>
          <cell r="P1097" t="str"/>
          <cell r="Q1097" t="str"/>
          <cell r="R1097" t="str"/>
          <cell r="S1097" t="str"/>
        </row>
        <row r="1098">
          <cell r="B1098" t="str"/>
          <cell r="C1098" t="str"/>
          <cell r="D1098" t="str"/>
          <cell r="E1098" t="str"/>
          <cell r="F1098" t="str"/>
          <cell r="G1098" t="str"/>
          <cell r="H1098" t="str"/>
          <cell r="I1098" t="str"/>
          <cell r="J1098" t="str"/>
          <cell r="K1098" t="str"/>
          <cell r="L1098" t="str"/>
          <cell r="M1098" t="str"/>
          <cell r="N1098" t="str"/>
          <cell r="O1098" t="str"/>
          <cell r="P1098" t="str"/>
          <cell r="Q1098" t="str"/>
          <cell r="R1098" t="str"/>
          <cell r="S1098" t="str"/>
        </row>
        <row r="1099">
          <cell r="B1099" t="str"/>
          <cell r="C1099" t="str"/>
          <cell r="D1099" t="str"/>
          <cell r="E1099" t="str"/>
          <cell r="F1099" t="str"/>
          <cell r="G1099" t="str"/>
          <cell r="H1099" t="str"/>
          <cell r="I1099" t="str"/>
          <cell r="J1099" t="str"/>
          <cell r="K1099" t="str"/>
          <cell r="L1099" t="str"/>
          <cell r="M1099" t="str"/>
          <cell r="N1099" t="str"/>
          <cell r="O1099" t="str"/>
          <cell r="P1099" t="str"/>
          <cell r="Q1099" t="str"/>
          <cell r="R1099" t="str"/>
          <cell r="S1099" t="str"/>
        </row>
        <row r="1100">
          <cell r="B1100" t="str"/>
          <cell r="C1100" t="str"/>
          <cell r="D1100" t="str"/>
          <cell r="E1100" t="str"/>
          <cell r="F1100" t="str"/>
          <cell r="G1100" t="str"/>
          <cell r="H1100" t="str"/>
          <cell r="I1100" t="str"/>
          <cell r="J1100" t="str"/>
          <cell r="K1100" t="str"/>
          <cell r="L1100" t="str"/>
          <cell r="M1100" t="str"/>
          <cell r="N1100" t="str"/>
          <cell r="O1100" t="str"/>
          <cell r="P1100" t="str"/>
          <cell r="Q1100" t="str"/>
          <cell r="R1100" t="str"/>
          <cell r="S1100" t="str"/>
        </row>
        <row r="1101">
          <cell r="B1101" t="str"/>
          <cell r="C1101" t="str"/>
          <cell r="D1101" t="str"/>
          <cell r="E1101" t="str"/>
          <cell r="F1101" t="str"/>
          <cell r="G1101" t="str"/>
          <cell r="H1101" t="str"/>
          <cell r="I1101" t="str"/>
          <cell r="J1101" t="str"/>
          <cell r="K1101" t="str"/>
          <cell r="L1101" t="str"/>
          <cell r="M1101" t="str"/>
          <cell r="N1101" t="str"/>
          <cell r="O1101" t="str"/>
          <cell r="P1101" t="str"/>
          <cell r="Q1101" t="str"/>
          <cell r="R1101" t="str"/>
          <cell r="S1101" t="str"/>
        </row>
        <row r="1102">
          <cell r="B1102" t="str"/>
          <cell r="C1102" t="str"/>
          <cell r="D1102" t="str"/>
          <cell r="E1102" t="str"/>
          <cell r="F1102" t="str"/>
          <cell r="G1102" t="str"/>
          <cell r="H1102" t="str"/>
          <cell r="I1102" t="str"/>
          <cell r="J1102" t="str"/>
          <cell r="K1102" t="str"/>
          <cell r="L1102" t="str"/>
          <cell r="M1102" t="str"/>
          <cell r="N1102" t="str"/>
          <cell r="O1102" t="str"/>
          <cell r="P1102" t="str"/>
          <cell r="Q1102" t="str"/>
          <cell r="R1102" t="str"/>
          <cell r="S1102" t="str"/>
        </row>
        <row r="1103">
          <cell r="B1103" t="str"/>
          <cell r="C1103" t="str"/>
          <cell r="D1103" t="str"/>
          <cell r="E1103" t="str"/>
          <cell r="F1103" t="str"/>
          <cell r="G1103" t="str"/>
          <cell r="H1103" t="str"/>
          <cell r="I1103" t="str"/>
          <cell r="J1103" t="str"/>
          <cell r="K1103" t="str"/>
          <cell r="L1103" t="str"/>
          <cell r="M1103" t="str"/>
          <cell r="N1103" t="str"/>
          <cell r="O1103" t="str"/>
          <cell r="P1103" t="str"/>
          <cell r="Q1103" t="str"/>
          <cell r="R1103" t="str"/>
          <cell r="S1103" t="str"/>
        </row>
        <row r="1104">
          <cell r="B1104" t="str"/>
          <cell r="C1104" t="str"/>
          <cell r="D1104" t="str"/>
          <cell r="E1104" t="str"/>
          <cell r="F1104" t="str"/>
          <cell r="G1104" t="str"/>
          <cell r="H1104" t="str"/>
          <cell r="I1104" t="str"/>
          <cell r="J1104" t="str"/>
          <cell r="K1104" t="str"/>
          <cell r="L1104" t="str"/>
          <cell r="M1104" t="str"/>
          <cell r="N1104" t="str"/>
          <cell r="O1104" t="str"/>
          <cell r="P1104" t="str"/>
          <cell r="Q1104" t="str"/>
          <cell r="R1104" t="str"/>
          <cell r="S1104" t="str"/>
        </row>
        <row r="1105">
          <cell r="B1105" t="str"/>
          <cell r="C1105" t="str"/>
          <cell r="D1105" t="str"/>
          <cell r="E1105" t="str"/>
          <cell r="F1105" t="str"/>
          <cell r="G1105" t="str"/>
          <cell r="H1105" t="str"/>
          <cell r="I1105" t="str"/>
          <cell r="J1105" t="str"/>
          <cell r="K1105" t="str"/>
          <cell r="L1105" t="str"/>
          <cell r="M1105" t="str"/>
          <cell r="N1105" t="str"/>
          <cell r="O1105" t="str"/>
          <cell r="P1105" t="str"/>
          <cell r="Q1105" t="str"/>
          <cell r="R1105" t="str"/>
          <cell r="S1105" t="str"/>
        </row>
        <row r="1106">
          <cell r="B1106" t="str"/>
          <cell r="C1106" t="str"/>
          <cell r="D1106" t="str"/>
          <cell r="E1106" t="str"/>
          <cell r="F1106" t="str"/>
          <cell r="G1106" t="str"/>
          <cell r="H1106" t="str"/>
          <cell r="I1106" t="str"/>
          <cell r="J1106" t="str"/>
          <cell r="K1106" t="str"/>
          <cell r="L1106" t="str"/>
          <cell r="M1106" t="str"/>
          <cell r="N1106" t="str"/>
          <cell r="O1106" t="str"/>
          <cell r="P1106" t="str"/>
          <cell r="Q1106" t="str"/>
          <cell r="R1106" t="str"/>
          <cell r="S1106" t="str"/>
        </row>
        <row r="1107">
          <cell r="B1107" t="str"/>
          <cell r="C1107" t="str"/>
          <cell r="D1107" t="str"/>
          <cell r="E1107" t="str"/>
          <cell r="F1107" t="str"/>
          <cell r="G1107" t="str"/>
          <cell r="H1107" t="str"/>
          <cell r="I1107" t="str"/>
          <cell r="J1107" t="str"/>
          <cell r="K1107" t="str"/>
          <cell r="L1107" t="str"/>
          <cell r="M1107" t="str"/>
          <cell r="N1107" t="str"/>
          <cell r="O1107" t="str"/>
          <cell r="P1107" t="str"/>
          <cell r="Q1107" t="str"/>
          <cell r="R1107" t="str"/>
          <cell r="S1107" t="str"/>
        </row>
        <row r="1108">
          <cell r="B1108" t="str"/>
          <cell r="C1108" t="str"/>
          <cell r="D1108" t="str"/>
          <cell r="E1108" t="str"/>
          <cell r="F1108" t="str"/>
          <cell r="G1108" t="str"/>
          <cell r="H1108" t="str"/>
          <cell r="I1108" t="str"/>
          <cell r="J1108" t="str"/>
          <cell r="K1108" t="str"/>
          <cell r="L1108" t="str"/>
          <cell r="M1108" t="str"/>
          <cell r="N1108" t="str"/>
          <cell r="O1108" t="str"/>
          <cell r="P1108" t="str"/>
          <cell r="Q1108" t="str"/>
          <cell r="R1108" t="str"/>
          <cell r="S1108" t="str"/>
        </row>
        <row r="1109">
          <cell r="B1109" t="str"/>
          <cell r="C1109" t="str"/>
          <cell r="D1109" t="str"/>
          <cell r="E1109" t="str"/>
          <cell r="F1109" t="str"/>
          <cell r="G1109" t="str"/>
          <cell r="H1109" t="str"/>
          <cell r="I1109" t="str"/>
          <cell r="J1109" t="str"/>
          <cell r="K1109" t="str"/>
          <cell r="L1109" t="str"/>
          <cell r="M1109" t="str"/>
          <cell r="N1109" t="str"/>
          <cell r="O1109" t="str"/>
          <cell r="P1109" t="str"/>
          <cell r="Q1109" t="str"/>
          <cell r="R1109" t="str"/>
          <cell r="S1109" t="str"/>
        </row>
        <row r="1110">
          <cell r="B1110" t="str"/>
          <cell r="C1110" t="str"/>
          <cell r="D1110" t="str"/>
          <cell r="E1110" t="str"/>
          <cell r="F1110" t="str"/>
          <cell r="G1110" t="str"/>
          <cell r="H1110" t="str"/>
          <cell r="I1110" t="str"/>
          <cell r="J1110" t="str"/>
          <cell r="K1110" t="str"/>
          <cell r="L1110" t="str"/>
          <cell r="M1110" t="str"/>
          <cell r="N1110" t="str"/>
          <cell r="O1110" t="str"/>
          <cell r="P1110" t="str"/>
          <cell r="Q1110" t="str"/>
          <cell r="R1110" t="str"/>
          <cell r="S1110" t="str"/>
        </row>
        <row r="1111">
          <cell r="B1111" t="str"/>
          <cell r="C1111" t="str"/>
          <cell r="D1111" t="str"/>
          <cell r="E1111" t="str"/>
          <cell r="F1111" t="str"/>
          <cell r="G1111" t="str"/>
          <cell r="H1111" t="str"/>
          <cell r="I1111" t="str"/>
          <cell r="J1111" t="str"/>
          <cell r="K1111" t="str"/>
          <cell r="L1111" t="str"/>
          <cell r="M1111" t="str"/>
          <cell r="N1111" t="str"/>
          <cell r="O1111" t="str"/>
          <cell r="P1111" t="str"/>
          <cell r="Q1111" t="str"/>
          <cell r="R1111" t="str"/>
          <cell r="S1111" t="str"/>
        </row>
        <row r="1112">
          <cell r="B1112" t="str"/>
          <cell r="C1112" t="str"/>
          <cell r="D1112" t="str"/>
          <cell r="E1112" t="str"/>
          <cell r="F1112" t="str"/>
          <cell r="G1112" t="str"/>
          <cell r="H1112" t="str"/>
          <cell r="I1112" t="str"/>
          <cell r="J1112" t="str"/>
          <cell r="K1112" t="str"/>
          <cell r="L1112" t="str"/>
          <cell r="M1112" t="str"/>
          <cell r="N1112" t="str"/>
          <cell r="O1112" t="str"/>
          <cell r="P1112" t="str"/>
          <cell r="Q1112" t="str"/>
          <cell r="R1112" t="str"/>
          <cell r="S1112" t="str"/>
        </row>
        <row r="1113">
          <cell r="B1113" t="str"/>
          <cell r="C1113" t="str"/>
          <cell r="D1113" t="str"/>
          <cell r="E1113" t="str"/>
          <cell r="F1113" t="str"/>
          <cell r="G1113" t="str"/>
          <cell r="H1113" t="str"/>
          <cell r="I1113" t="str"/>
          <cell r="J1113" t="str"/>
          <cell r="K1113" t="str"/>
          <cell r="L1113" t="str"/>
          <cell r="M1113" t="str"/>
          <cell r="N1113" t="str"/>
          <cell r="O1113" t="str"/>
          <cell r="P1113" t="str"/>
          <cell r="Q1113" t="str"/>
          <cell r="R1113" t="str"/>
          <cell r="S1113" t="str"/>
        </row>
        <row r="1114">
          <cell r="B1114" t="str"/>
          <cell r="C1114" t="str"/>
          <cell r="D1114" t="str"/>
          <cell r="E1114" t="str"/>
          <cell r="F1114" t="str"/>
          <cell r="G1114" t="str"/>
          <cell r="H1114" t="str"/>
          <cell r="I1114" t="str"/>
          <cell r="J1114" t="str"/>
          <cell r="K1114" t="str"/>
          <cell r="L1114" t="str"/>
          <cell r="M1114" t="str"/>
          <cell r="N1114" t="str"/>
          <cell r="O1114" t="str"/>
          <cell r="P1114" t="str"/>
          <cell r="Q1114" t="str"/>
          <cell r="R1114" t="str"/>
          <cell r="S1114" t="str"/>
        </row>
        <row r="1115">
          <cell r="B1115" t="str"/>
          <cell r="C1115" t="str"/>
          <cell r="D1115" t="str"/>
          <cell r="E1115" t="str"/>
          <cell r="F1115" t="str"/>
          <cell r="G1115" t="str"/>
          <cell r="H1115" t="str"/>
          <cell r="I1115" t="str"/>
          <cell r="J1115" t="str"/>
          <cell r="K1115" t="str"/>
          <cell r="L1115" t="str"/>
          <cell r="M1115" t="str"/>
          <cell r="N1115" t="str"/>
          <cell r="O1115" t="str"/>
          <cell r="P1115" t="str"/>
          <cell r="Q1115" t="str"/>
          <cell r="R1115" t="str"/>
          <cell r="S1115" t="str"/>
        </row>
        <row r="1116">
          <cell r="B1116" t="str"/>
          <cell r="C1116" t="str"/>
          <cell r="D1116" t="str"/>
          <cell r="E1116" t="str"/>
          <cell r="F1116" t="str"/>
          <cell r="G1116" t="str"/>
          <cell r="H1116" t="str"/>
          <cell r="I1116" t="str"/>
          <cell r="J1116" t="str"/>
          <cell r="K1116" t="str"/>
          <cell r="L1116" t="str"/>
          <cell r="M1116" t="str"/>
          <cell r="N1116" t="str"/>
          <cell r="O1116" t="str"/>
          <cell r="P1116" t="str"/>
          <cell r="Q1116" t="str"/>
          <cell r="R1116" t="str"/>
          <cell r="S1116" t="str"/>
        </row>
        <row r="1117">
          <cell r="B1117" t="str"/>
          <cell r="C1117" t="str"/>
          <cell r="D1117" t="str"/>
          <cell r="E1117" t="str"/>
          <cell r="F1117" t="str"/>
          <cell r="G1117" t="str"/>
          <cell r="H1117" t="str"/>
          <cell r="I1117" t="str"/>
          <cell r="J1117" t="str"/>
          <cell r="K1117" t="str"/>
          <cell r="L1117" t="str"/>
          <cell r="M1117" t="str"/>
          <cell r="N1117" t="str"/>
          <cell r="O1117" t="str"/>
          <cell r="P1117" t="str"/>
          <cell r="Q1117" t="str"/>
          <cell r="R1117" t="str"/>
          <cell r="S1117" t="str"/>
        </row>
        <row r="1118">
          <cell r="B1118" t="str"/>
          <cell r="C1118" t="str"/>
          <cell r="D1118" t="str"/>
          <cell r="E1118" t="str"/>
          <cell r="F1118" t="str"/>
          <cell r="G1118" t="str"/>
          <cell r="H1118" t="str"/>
          <cell r="I1118" t="str"/>
          <cell r="J1118" t="str"/>
          <cell r="K1118" t="str"/>
          <cell r="L1118" t="str"/>
          <cell r="M1118" t="str"/>
          <cell r="N1118" t="str"/>
          <cell r="O1118" t="str"/>
          <cell r="P1118" t="str"/>
          <cell r="Q1118" t="str"/>
          <cell r="R1118" t="str"/>
          <cell r="S1118" t="str"/>
        </row>
        <row r="1119">
          <cell r="B1119" t="str"/>
          <cell r="C1119" t="str"/>
          <cell r="D1119" t="str"/>
          <cell r="E1119" t="str"/>
          <cell r="F1119" t="str"/>
          <cell r="G1119" t="str"/>
          <cell r="H1119" t="str"/>
          <cell r="I1119" t="str"/>
          <cell r="J1119" t="str"/>
          <cell r="K1119" t="str"/>
          <cell r="L1119" t="str"/>
          <cell r="M1119" t="str"/>
          <cell r="N1119" t="str"/>
          <cell r="O1119" t="str"/>
          <cell r="P1119" t="str"/>
          <cell r="Q1119" t="str"/>
          <cell r="R1119" t="str"/>
          <cell r="S1119" t="str"/>
        </row>
        <row r="1120">
          <cell r="B1120" t="str"/>
          <cell r="C1120" t="str"/>
          <cell r="D1120" t="str"/>
          <cell r="E1120" t="str"/>
          <cell r="F1120" t="str"/>
          <cell r="G1120" t="str"/>
          <cell r="H1120" t="str"/>
          <cell r="I1120" t="str"/>
          <cell r="J1120" t="str"/>
          <cell r="K1120" t="str"/>
          <cell r="L1120" t="str"/>
          <cell r="M1120" t="str"/>
          <cell r="N1120" t="str"/>
          <cell r="O1120" t="str"/>
          <cell r="P1120" t="str"/>
          <cell r="Q1120" t="str"/>
          <cell r="R1120" t="str"/>
          <cell r="S1120" t="str"/>
        </row>
        <row r="1121">
          <cell r="B1121" t="str"/>
          <cell r="C1121" t="str"/>
          <cell r="D1121" t="str"/>
          <cell r="E1121" t="str"/>
          <cell r="F1121" t="str"/>
          <cell r="G1121" t="str"/>
          <cell r="H1121" t="str"/>
          <cell r="I1121" t="str"/>
          <cell r="J1121" t="str"/>
          <cell r="K1121" t="str"/>
          <cell r="L1121" t="str"/>
          <cell r="M1121" t="str"/>
          <cell r="N1121" t="str"/>
          <cell r="O1121" t="str"/>
          <cell r="P1121" t="str"/>
          <cell r="Q1121" t="str"/>
          <cell r="R1121" t="str"/>
          <cell r="S1121" t="str"/>
        </row>
        <row r="1122">
          <cell r="B1122" t="str"/>
          <cell r="C1122" t="str"/>
          <cell r="D1122" t="str"/>
          <cell r="E1122" t="str"/>
          <cell r="F1122" t="str"/>
          <cell r="G1122" t="str"/>
          <cell r="H1122" t="str"/>
          <cell r="I1122" t="str"/>
          <cell r="J1122" t="str"/>
          <cell r="K1122" t="str"/>
          <cell r="L1122" t="str"/>
          <cell r="M1122" t="str"/>
          <cell r="N1122" t="str"/>
          <cell r="O1122" t="str"/>
          <cell r="P1122" t="str"/>
          <cell r="Q1122" t="str"/>
          <cell r="R1122" t="str"/>
          <cell r="S1122" t="str"/>
        </row>
        <row r="1123">
          <cell r="B1123" t="str"/>
          <cell r="C1123" t="str"/>
          <cell r="D1123" t="str"/>
          <cell r="E1123" t="str"/>
          <cell r="F1123" t="str"/>
          <cell r="G1123" t="str"/>
          <cell r="H1123" t="str"/>
          <cell r="I1123" t="str"/>
          <cell r="J1123" t="str"/>
          <cell r="K1123" t="str"/>
          <cell r="L1123" t="str"/>
          <cell r="M1123" t="str"/>
          <cell r="N1123" t="str"/>
          <cell r="O1123" t="str"/>
          <cell r="P1123" t="str"/>
          <cell r="Q1123" t="str"/>
          <cell r="R1123" t="str"/>
          <cell r="S1123" t="str"/>
        </row>
        <row r="1124">
          <cell r="B1124" t="str"/>
          <cell r="C1124" t="str"/>
          <cell r="D1124" t="str"/>
          <cell r="E1124" t="str"/>
          <cell r="F1124" t="str"/>
          <cell r="G1124" t="str"/>
          <cell r="H1124" t="str"/>
          <cell r="I1124" t="str"/>
          <cell r="J1124" t="str"/>
          <cell r="K1124" t="str"/>
          <cell r="L1124" t="str"/>
          <cell r="M1124" t="str"/>
          <cell r="N1124" t="str"/>
          <cell r="O1124" t="str"/>
          <cell r="P1124" t="str"/>
          <cell r="Q1124" t="str"/>
          <cell r="R1124" t="str"/>
          <cell r="S1124" t="str"/>
        </row>
        <row r="1125">
          <cell r="B1125" t="str"/>
          <cell r="C1125" t="str"/>
          <cell r="D1125" t="str"/>
          <cell r="E1125" t="str"/>
          <cell r="F1125" t="str"/>
          <cell r="G1125" t="str"/>
          <cell r="H1125" t="str"/>
          <cell r="I1125" t="str"/>
          <cell r="J1125" t="str"/>
          <cell r="K1125" t="str"/>
          <cell r="L1125" t="str"/>
          <cell r="M1125" t="str"/>
          <cell r="N1125" t="str"/>
          <cell r="O1125" t="str"/>
          <cell r="P1125" t="str"/>
          <cell r="Q1125" t="str"/>
          <cell r="R1125" t="str"/>
          <cell r="S1125" t="str"/>
        </row>
        <row r="1126">
          <cell r="B1126" t="str"/>
          <cell r="C1126" t="str"/>
          <cell r="D1126" t="str"/>
          <cell r="E1126" t="str"/>
          <cell r="F1126" t="str"/>
          <cell r="G1126" t="str"/>
          <cell r="H1126" t="str"/>
          <cell r="I1126" t="str"/>
          <cell r="J1126" t="str"/>
          <cell r="K1126" t="str"/>
          <cell r="L1126" t="str"/>
          <cell r="M1126" t="str"/>
          <cell r="N1126" t="str"/>
          <cell r="O1126" t="str"/>
          <cell r="P1126" t="str"/>
          <cell r="Q1126" t="str"/>
          <cell r="R1126" t="str"/>
          <cell r="S1126" t="str"/>
        </row>
        <row r="1127">
          <cell r="B1127" t="str"/>
          <cell r="C1127" t="str"/>
          <cell r="D1127" t="str"/>
          <cell r="E1127" t="str"/>
          <cell r="F1127" t="str"/>
          <cell r="G1127" t="str"/>
          <cell r="H1127" t="str"/>
          <cell r="I1127" t="str"/>
          <cell r="J1127" t="str"/>
          <cell r="K1127" t="str"/>
          <cell r="L1127" t="str"/>
          <cell r="M1127" t="str"/>
          <cell r="N1127" t="str"/>
          <cell r="O1127" t="str"/>
          <cell r="P1127" t="str"/>
          <cell r="Q1127" t="str"/>
          <cell r="R1127" t="str"/>
          <cell r="S1127" t="str"/>
        </row>
        <row r="1128">
          <cell r="B1128" t="str"/>
          <cell r="C1128" t="str"/>
          <cell r="D1128" t="str"/>
          <cell r="E1128" t="str"/>
          <cell r="F1128" t="str"/>
          <cell r="G1128" t="str"/>
          <cell r="H1128" t="str"/>
          <cell r="I1128" t="str"/>
          <cell r="J1128" t="str"/>
          <cell r="K1128" t="str"/>
          <cell r="L1128" t="str"/>
          <cell r="M1128" t="str"/>
          <cell r="N1128" t="str"/>
          <cell r="O1128" t="str"/>
          <cell r="P1128" t="str"/>
          <cell r="Q1128" t="str"/>
          <cell r="R1128" t="str"/>
          <cell r="S1128" t="str"/>
        </row>
        <row r="1129">
          <cell r="B1129" t="str"/>
          <cell r="C1129" t="str"/>
          <cell r="D1129" t="str"/>
          <cell r="E1129" t="str"/>
          <cell r="F1129" t="str"/>
          <cell r="G1129" t="str"/>
          <cell r="H1129" t="str"/>
          <cell r="I1129" t="str"/>
          <cell r="J1129" t="str"/>
          <cell r="K1129" t="str"/>
          <cell r="L1129" t="str"/>
          <cell r="M1129" t="str"/>
          <cell r="N1129" t="str"/>
          <cell r="O1129" t="str"/>
          <cell r="P1129" t="str"/>
          <cell r="Q1129" t="str"/>
          <cell r="R1129" t="str"/>
          <cell r="S1129" t="str"/>
        </row>
        <row r="1130">
          <cell r="B1130" t="str"/>
          <cell r="C1130" t="str"/>
          <cell r="D1130" t="str"/>
          <cell r="E1130" t="str"/>
          <cell r="F1130" t="str"/>
          <cell r="G1130" t="str"/>
          <cell r="H1130" t="str"/>
          <cell r="I1130" t="str"/>
          <cell r="J1130" t="str"/>
          <cell r="K1130" t="str"/>
          <cell r="L1130" t="str"/>
          <cell r="M1130" t="str"/>
          <cell r="N1130" t="str"/>
          <cell r="O1130" t="str"/>
          <cell r="P1130" t="str"/>
          <cell r="Q1130" t="str"/>
          <cell r="R1130" t="str"/>
          <cell r="S1130" t="str"/>
        </row>
        <row r="1131">
          <cell r="B1131" t="str"/>
          <cell r="C1131" t="str"/>
          <cell r="D1131" t="str"/>
          <cell r="E1131" t="str"/>
          <cell r="F1131" t="str"/>
          <cell r="G1131" t="str"/>
          <cell r="H1131" t="str"/>
          <cell r="I1131" t="str"/>
          <cell r="J1131" t="str"/>
          <cell r="K1131" t="str"/>
          <cell r="L1131" t="str"/>
          <cell r="M1131" t="str"/>
          <cell r="N1131" t="str"/>
          <cell r="O1131" t="str"/>
          <cell r="P1131" t="str"/>
          <cell r="Q1131" t="str"/>
          <cell r="R1131" t="str"/>
          <cell r="S1131" t="str"/>
        </row>
        <row r="1132">
          <cell r="B1132" t="str"/>
          <cell r="C1132" t="str"/>
          <cell r="D1132" t="str"/>
          <cell r="E1132" t="str"/>
          <cell r="F1132" t="str"/>
          <cell r="G1132" t="str"/>
          <cell r="H1132" t="str"/>
          <cell r="I1132" t="str"/>
          <cell r="J1132" t="str"/>
          <cell r="K1132" t="str"/>
          <cell r="L1132" t="str"/>
          <cell r="M1132" t="str"/>
          <cell r="N1132" t="str"/>
          <cell r="O1132" t="str"/>
          <cell r="P1132" t="str"/>
          <cell r="Q1132" t="str"/>
          <cell r="R1132" t="str"/>
          <cell r="S1132" t="str"/>
        </row>
        <row r="1133">
          <cell r="B1133" t="str"/>
          <cell r="C1133" t="str"/>
          <cell r="D1133" t="str"/>
          <cell r="E1133" t="str"/>
          <cell r="F1133" t="str"/>
          <cell r="G1133" t="str"/>
          <cell r="H1133" t="str"/>
          <cell r="I1133" t="str"/>
          <cell r="J1133" t="str"/>
          <cell r="K1133" t="str"/>
          <cell r="L1133" t="str"/>
          <cell r="M1133" t="str"/>
          <cell r="N1133" t="str"/>
          <cell r="O1133" t="str"/>
          <cell r="P1133" t="str"/>
          <cell r="Q1133" t="str"/>
          <cell r="R1133" t="str"/>
          <cell r="S1133" t="str"/>
        </row>
        <row r="1134">
          <cell r="B1134" t="str"/>
          <cell r="C1134" t="str"/>
          <cell r="D1134" t="str"/>
          <cell r="E1134" t="str"/>
          <cell r="F1134" t="str"/>
          <cell r="G1134" t="str"/>
          <cell r="H1134" t="str"/>
          <cell r="I1134" t="str"/>
          <cell r="J1134" t="str"/>
          <cell r="K1134" t="str"/>
          <cell r="L1134" t="str"/>
          <cell r="M1134" t="str"/>
          <cell r="N1134" t="str"/>
          <cell r="O1134" t="str"/>
          <cell r="P1134" t="str"/>
          <cell r="Q1134" t="str"/>
          <cell r="R1134" t="str"/>
          <cell r="S1134" t="str"/>
        </row>
        <row r="1135">
          <cell r="B1135" t="str"/>
          <cell r="C1135" t="str"/>
          <cell r="D1135" t="str"/>
          <cell r="E1135" t="str"/>
          <cell r="F1135" t="str"/>
          <cell r="G1135" t="str"/>
          <cell r="H1135" t="str"/>
          <cell r="I1135" t="str"/>
          <cell r="J1135" t="str"/>
          <cell r="K1135" t="str"/>
          <cell r="L1135" t="str"/>
          <cell r="M1135" t="str"/>
          <cell r="N1135" t="str"/>
          <cell r="O1135" t="str"/>
          <cell r="P1135" t="str"/>
          <cell r="Q1135" t="str"/>
          <cell r="R1135" t="str"/>
          <cell r="S1135" t="str"/>
        </row>
        <row r="1136">
          <cell r="B1136" t="str"/>
          <cell r="C1136" t="str"/>
          <cell r="D1136" t="str"/>
          <cell r="E1136" t="str"/>
          <cell r="F1136" t="str"/>
          <cell r="G1136" t="str"/>
          <cell r="H1136" t="str"/>
          <cell r="I1136" t="str"/>
          <cell r="J1136" t="str"/>
          <cell r="K1136" t="str"/>
          <cell r="L1136" t="str"/>
          <cell r="M1136" t="str"/>
          <cell r="N1136" t="str"/>
          <cell r="O1136" t="str"/>
          <cell r="P1136" t="str"/>
          <cell r="Q1136" t="str"/>
          <cell r="R1136" t="str"/>
          <cell r="S1136" t="str"/>
        </row>
        <row r="1137">
          <cell r="B1137" t="str"/>
          <cell r="C1137" t="str"/>
          <cell r="D1137" t="str"/>
          <cell r="E1137" t="str"/>
          <cell r="F1137" t="str"/>
          <cell r="G1137" t="str"/>
          <cell r="H1137" t="str"/>
          <cell r="I1137" t="str"/>
          <cell r="J1137" t="str"/>
          <cell r="K1137" t="str"/>
          <cell r="L1137" t="str"/>
          <cell r="M1137" t="str"/>
          <cell r="N1137" t="str"/>
          <cell r="O1137" t="str"/>
          <cell r="P1137" t="str"/>
          <cell r="Q1137" t="str"/>
          <cell r="R1137" t="str"/>
          <cell r="S1137" t="str"/>
        </row>
        <row r="1138">
          <cell r="B1138" t="str"/>
          <cell r="C1138" t="str"/>
          <cell r="D1138" t="str"/>
          <cell r="E1138" t="str"/>
          <cell r="F1138" t="str"/>
          <cell r="G1138" t="str"/>
          <cell r="H1138" t="str"/>
          <cell r="I1138" t="str"/>
          <cell r="J1138" t="str"/>
          <cell r="K1138" t="str"/>
          <cell r="L1138" t="str"/>
          <cell r="M1138" t="str"/>
          <cell r="N1138" t="str"/>
          <cell r="O1138" t="str"/>
          <cell r="P1138" t="str"/>
          <cell r="Q1138" t="str"/>
          <cell r="R1138" t="str"/>
          <cell r="S1138" t="str"/>
        </row>
        <row r="1139">
          <cell r="B1139" t="str"/>
          <cell r="C1139" t="str"/>
          <cell r="D1139" t="str"/>
          <cell r="E1139" t="str"/>
          <cell r="F1139" t="str"/>
          <cell r="G1139" t="str"/>
          <cell r="H1139" t="str"/>
          <cell r="I1139" t="str"/>
          <cell r="J1139" t="str"/>
          <cell r="K1139" t="str"/>
          <cell r="L1139" t="str"/>
          <cell r="M1139" t="str"/>
          <cell r="N1139" t="str"/>
          <cell r="O1139" t="str"/>
          <cell r="P1139" t="str"/>
          <cell r="Q1139" t="str"/>
          <cell r="R1139" t="str"/>
          <cell r="S1139" t="str"/>
        </row>
        <row r="1140">
          <cell r="B1140" t="str"/>
          <cell r="C1140" t="str"/>
          <cell r="D1140" t="str"/>
          <cell r="E1140" t="str"/>
          <cell r="F1140" t="str"/>
          <cell r="G1140" t="str"/>
          <cell r="H1140" t="str"/>
          <cell r="I1140" t="str"/>
          <cell r="J1140" t="str"/>
          <cell r="K1140" t="str"/>
          <cell r="L1140" t="str"/>
          <cell r="M1140" t="str"/>
          <cell r="N1140" t="str"/>
          <cell r="O1140" t="str"/>
          <cell r="P1140" t="str"/>
          <cell r="Q1140" t="str"/>
          <cell r="R1140" t="str"/>
          <cell r="S1140" t="str"/>
        </row>
        <row r="1141">
          <cell r="B1141" t="str"/>
          <cell r="C1141" t="str"/>
          <cell r="D1141" t="str"/>
          <cell r="E1141" t="str"/>
          <cell r="F1141" t="str"/>
          <cell r="G1141" t="str"/>
          <cell r="H1141" t="str"/>
          <cell r="I1141" t="str"/>
          <cell r="J1141" t="str"/>
          <cell r="K1141" t="str"/>
          <cell r="L1141" t="str"/>
          <cell r="M1141" t="str"/>
          <cell r="N1141" t="str"/>
          <cell r="O1141" t="str"/>
          <cell r="P1141" t="str"/>
          <cell r="Q1141" t="str"/>
          <cell r="R1141" t="str"/>
          <cell r="S1141" t="str"/>
        </row>
        <row r="1142">
          <cell r="B1142" t="str"/>
          <cell r="C1142" t="str"/>
          <cell r="D1142" t="str"/>
          <cell r="E1142" t="str"/>
          <cell r="F1142" t="str"/>
          <cell r="G1142" t="str"/>
          <cell r="H1142" t="str"/>
          <cell r="I1142" t="str"/>
          <cell r="J1142" t="str"/>
          <cell r="K1142" t="str"/>
          <cell r="L1142" t="str"/>
          <cell r="M1142" t="str"/>
          <cell r="N1142" t="str"/>
          <cell r="O1142" t="str"/>
          <cell r="P1142" t="str"/>
          <cell r="Q1142" t="str"/>
          <cell r="R1142" t="str"/>
          <cell r="S1142" t="str"/>
        </row>
        <row r="1143">
          <cell r="B1143" t="str"/>
          <cell r="C1143" t="str"/>
          <cell r="D1143" t="str"/>
          <cell r="E1143" t="str"/>
          <cell r="F1143" t="str"/>
          <cell r="G1143" t="str"/>
          <cell r="H1143" t="str"/>
          <cell r="I1143" t="str"/>
          <cell r="J1143" t="str"/>
          <cell r="K1143" t="str"/>
          <cell r="L1143" t="str"/>
          <cell r="M1143" t="str"/>
          <cell r="N1143" t="str"/>
          <cell r="O1143" t="str"/>
          <cell r="P1143" t="str"/>
          <cell r="Q1143" t="str"/>
          <cell r="R1143" t="str"/>
          <cell r="S1143" t="str"/>
        </row>
        <row r="1144">
          <cell r="B1144" t="str"/>
          <cell r="C1144" t="str"/>
          <cell r="D1144" t="str"/>
          <cell r="E1144" t="str"/>
          <cell r="F1144" t="str"/>
          <cell r="G1144" t="str"/>
          <cell r="H1144" t="str"/>
          <cell r="I1144" t="str"/>
          <cell r="J1144" t="str"/>
          <cell r="K1144" t="str"/>
          <cell r="L1144" t="str"/>
          <cell r="M1144" t="str"/>
          <cell r="N1144" t="str"/>
          <cell r="O1144" t="str"/>
          <cell r="P1144" t="str"/>
          <cell r="Q1144" t="str"/>
          <cell r="R1144" t="str"/>
          <cell r="S1144" t="str"/>
        </row>
        <row r="1145">
          <cell r="B1145" t="str"/>
          <cell r="C1145" t="str"/>
          <cell r="D1145" t="str"/>
          <cell r="E1145" t="str"/>
          <cell r="F1145" t="str"/>
          <cell r="G1145" t="str"/>
          <cell r="H1145" t="str"/>
          <cell r="I1145" t="str"/>
          <cell r="J1145" t="str"/>
          <cell r="K1145" t="str"/>
          <cell r="L1145" t="str"/>
          <cell r="M1145" t="str"/>
          <cell r="N1145" t="str"/>
          <cell r="O1145" t="str"/>
          <cell r="P1145" t="str"/>
          <cell r="Q1145" t="str"/>
          <cell r="R1145" t="str"/>
          <cell r="S1145" t="str"/>
        </row>
        <row r="1146">
          <cell r="B1146" t="str"/>
          <cell r="C1146" t="str"/>
          <cell r="D1146" t="str"/>
          <cell r="E1146" t="str"/>
          <cell r="F1146" t="str"/>
          <cell r="G1146" t="str"/>
          <cell r="H1146" t="str"/>
          <cell r="I1146" t="str"/>
          <cell r="J1146" t="str"/>
          <cell r="K1146" t="str"/>
          <cell r="L1146" t="str"/>
          <cell r="M1146" t="str"/>
          <cell r="N1146" t="str"/>
          <cell r="O1146" t="str"/>
          <cell r="P1146" t="str"/>
          <cell r="Q1146" t="str"/>
          <cell r="R1146" t="str"/>
          <cell r="S1146" t="str"/>
        </row>
        <row r="1147">
          <cell r="B1147" t="str"/>
          <cell r="C1147" t="str"/>
          <cell r="D1147" t="str"/>
          <cell r="E1147" t="str"/>
          <cell r="F1147" t="str"/>
          <cell r="G1147" t="str"/>
          <cell r="H1147" t="str"/>
          <cell r="I1147" t="str"/>
          <cell r="J1147" t="str"/>
          <cell r="K1147" t="str"/>
          <cell r="L1147" t="str"/>
          <cell r="M1147" t="str"/>
          <cell r="N1147" t="str"/>
          <cell r="O1147" t="str"/>
          <cell r="P1147" t="str"/>
          <cell r="Q1147" t="str"/>
          <cell r="R1147" t="str"/>
          <cell r="S1147" t="str"/>
        </row>
        <row r="1148">
          <cell r="B1148" t="str"/>
          <cell r="C1148" t="str"/>
          <cell r="D1148" t="str"/>
          <cell r="E1148" t="str"/>
          <cell r="F1148" t="str"/>
          <cell r="G1148" t="str"/>
          <cell r="H1148" t="str"/>
          <cell r="I1148" t="str"/>
          <cell r="J1148" t="str"/>
          <cell r="K1148" t="str"/>
          <cell r="L1148" t="str"/>
          <cell r="M1148" t="str"/>
          <cell r="N1148" t="str"/>
          <cell r="O1148" t="str"/>
          <cell r="P1148" t="str"/>
          <cell r="Q1148" t="str"/>
          <cell r="R1148" t="str"/>
          <cell r="S1148" t="str"/>
        </row>
        <row r="1149">
          <cell r="B1149" t="str"/>
          <cell r="C1149" t="str"/>
          <cell r="D1149" t="str"/>
          <cell r="E1149" t="str"/>
          <cell r="F1149" t="str"/>
          <cell r="G1149" t="str"/>
          <cell r="H1149" t="str"/>
          <cell r="I1149" t="str"/>
          <cell r="J1149" t="str"/>
          <cell r="K1149" t="str"/>
          <cell r="L1149" t="str"/>
          <cell r="M1149" t="str"/>
          <cell r="N1149" t="str"/>
          <cell r="O1149" t="str"/>
          <cell r="P1149" t="str"/>
          <cell r="Q1149" t="str"/>
          <cell r="R1149" t="str"/>
          <cell r="S1149" t="str"/>
        </row>
        <row r="1150">
          <cell r="B1150" t="str"/>
          <cell r="C1150" t="str"/>
          <cell r="D1150" t="str"/>
          <cell r="E1150" t="str"/>
          <cell r="F1150" t="str"/>
          <cell r="G1150" t="str"/>
          <cell r="H1150" t="str"/>
          <cell r="I1150" t="str"/>
          <cell r="J1150" t="str"/>
          <cell r="K1150" t="str"/>
          <cell r="L1150" t="str"/>
          <cell r="M1150" t="str"/>
          <cell r="N1150" t="str"/>
          <cell r="O1150" t="str"/>
          <cell r="P1150" t="str"/>
          <cell r="Q1150" t="str"/>
          <cell r="R1150" t="str"/>
          <cell r="S1150" t="str"/>
        </row>
        <row r="1151">
          <cell r="B1151" t="str"/>
          <cell r="C1151" t="str"/>
          <cell r="D1151" t="str"/>
          <cell r="E1151" t="str"/>
          <cell r="F1151" t="str"/>
          <cell r="G1151" t="str"/>
          <cell r="H1151" t="str"/>
          <cell r="I1151" t="str"/>
          <cell r="J1151" t="str"/>
          <cell r="K1151" t="str"/>
          <cell r="L1151" t="str"/>
          <cell r="M1151" t="str"/>
          <cell r="N1151" t="str"/>
          <cell r="O1151" t="str"/>
          <cell r="P1151" t="str"/>
          <cell r="Q1151" t="str"/>
          <cell r="R1151" t="str"/>
          <cell r="S1151" t="str"/>
        </row>
        <row r="1152">
          <cell r="B1152" t="str"/>
          <cell r="C1152" t="str"/>
          <cell r="D1152" t="str"/>
          <cell r="E1152" t="str"/>
          <cell r="F1152" t="str"/>
          <cell r="G1152" t="str"/>
          <cell r="H1152" t="str"/>
          <cell r="I1152" t="str"/>
          <cell r="J1152" t="str"/>
          <cell r="K1152" t="str"/>
          <cell r="L1152" t="str"/>
          <cell r="M1152" t="str"/>
          <cell r="N1152" t="str"/>
          <cell r="O1152" t="str"/>
          <cell r="P1152" t="str"/>
          <cell r="Q1152" t="str"/>
          <cell r="R1152" t="str"/>
          <cell r="S1152" t="str"/>
        </row>
        <row r="1153">
          <cell r="B1153" t="str"/>
          <cell r="C1153" t="str"/>
          <cell r="D1153" t="str"/>
          <cell r="E1153" t="str"/>
          <cell r="F1153" t="str"/>
          <cell r="G1153" t="str"/>
          <cell r="H1153" t="str"/>
          <cell r="I1153" t="str"/>
          <cell r="J1153" t="str"/>
          <cell r="K1153" t="str"/>
          <cell r="L1153" t="str"/>
          <cell r="M1153" t="str"/>
          <cell r="N1153" t="str"/>
          <cell r="O1153" t="str"/>
          <cell r="P1153" t="str"/>
          <cell r="Q1153" t="str"/>
          <cell r="R1153" t="str"/>
          <cell r="S1153" t="str"/>
        </row>
        <row r="1154">
          <cell r="B1154" t="str"/>
          <cell r="C1154" t="str"/>
          <cell r="D1154" t="str"/>
          <cell r="E1154" t="str"/>
          <cell r="F1154" t="str"/>
          <cell r="G1154" t="str"/>
          <cell r="H1154" t="str"/>
          <cell r="I1154" t="str"/>
          <cell r="J1154" t="str"/>
          <cell r="K1154" t="str"/>
          <cell r="L1154" t="str"/>
          <cell r="M1154" t="str"/>
          <cell r="N1154" t="str"/>
          <cell r="O1154" t="str"/>
          <cell r="P1154" t="str"/>
          <cell r="Q1154" t="str"/>
          <cell r="R1154" t="str"/>
          <cell r="S1154" t="str"/>
        </row>
        <row r="1155">
          <cell r="B1155" t="str"/>
          <cell r="C1155" t="str"/>
          <cell r="D1155" t="str"/>
          <cell r="E1155" t="str"/>
          <cell r="F1155" t="str"/>
          <cell r="G1155" t="str"/>
          <cell r="H1155" t="str"/>
          <cell r="I1155" t="str"/>
          <cell r="J1155" t="str"/>
          <cell r="K1155" t="str"/>
          <cell r="L1155" t="str"/>
          <cell r="M1155" t="str"/>
          <cell r="N1155" t="str"/>
          <cell r="O1155" t="str"/>
          <cell r="P1155" t="str"/>
          <cell r="Q1155" t="str"/>
          <cell r="R1155" t="str"/>
          <cell r="S1155" t="str"/>
        </row>
        <row r="1156">
          <cell r="B1156" t="str"/>
          <cell r="C1156" t="str"/>
          <cell r="D1156" t="str"/>
          <cell r="E1156" t="str"/>
          <cell r="F1156" t="str"/>
          <cell r="G1156" t="str"/>
          <cell r="H1156" t="str"/>
          <cell r="I1156" t="str"/>
          <cell r="J1156" t="str"/>
          <cell r="K1156" t="str"/>
          <cell r="L1156" t="str"/>
          <cell r="M1156" t="str"/>
          <cell r="N1156" t="str"/>
          <cell r="O1156" t="str"/>
          <cell r="P1156" t="str"/>
          <cell r="Q1156" t="str"/>
          <cell r="R1156" t="str"/>
          <cell r="S1156" t="str"/>
        </row>
        <row r="1157">
          <cell r="B1157" t="str"/>
          <cell r="C1157" t="str"/>
          <cell r="D1157" t="str"/>
          <cell r="E1157" t="str"/>
          <cell r="F1157" t="str"/>
          <cell r="G1157" t="str"/>
          <cell r="H1157" t="str"/>
          <cell r="I1157" t="str"/>
          <cell r="J1157" t="str"/>
          <cell r="K1157" t="str"/>
          <cell r="L1157" t="str"/>
          <cell r="M1157" t="str"/>
          <cell r="N1157" t="str"/>
          <cell r="O1157" t="str"/>
          <cell r="P1157" t="str"/>
          <cell r="Q1157" t="str"/>
          <cell r="R1157" t="str"/>
          <cell r="S1157" t="str"/>
        </row>
        <row r="1158">
          <cell r="B1158" t="str"/>
          <cell r="C1158" t="str"/>
          <cell r="D1158" t="str"/>
          <cell r="E1158" t="str"/>
          <cell r="F1158" t="str"/>
          <cell r="G1158" t="str"/>
          <cell r="H1158" t="str"/>
          <cell r="I1158" t="str"/>
          <cell r="J1158" t="str"/>
          <cell r="K1158" t="str"/>
          <cell r="L1158" t="str"/>
          <cell r="M1158" t="str"/>
          <cell r="N1158" t="str"/>
          <cell r="O1158" t="str"/>
          <cell r="P1158" t="str"/>
          <cell r="Q1158" t="str"/>
          <cell r="R1158" t="str"/>
          <cell r="S1158" t="str"/>
        </row>
        <row r="1159">
          <cell r="B1159" t="str"/>
          <cell r="C1159" t="str"/>
          <cell r="D1159" t="str"/>
          <cell r="E1159" t="str"/>
          <cell r="F1159" t="str"/>
          <cell r="G1159" t="str"/>
          <cell r="H1159" t="str"/>
          <cell r="I1159" t="str"/>
          <cell r="J1159" t="str"/>
          <cell r="K1159" t="str"/>
          <cell r="L1159" t="str"/>
          <cell r="M1159" t="str"/>
          <cell r="N1159" t="str"/>
          <cell r="O1159" t="str"/>
          <cell r="P1159" t="str"/>
          <cell r="Q1159" t="str"/>
          <cell r="R1159" t="str"/>
          <cell r="S1159" t="str"/>
        </row>
        <row r="1160">
          <cell r="B1160" t="str"/>
          <cell r="C1160" t="str"/>
          <cell r="D1160" t="str"/>
          <cell r="E1160" t="str"/>
          <cell r="F1160" t="str"/>
          <cell r="G1160" t="str"/>
          <cell r="H1160" t="str"/>
          <cell r="I1160" t="str"/>
          <cell r="J1160" t="str"/>
          <cell r="K1160" t="str"/>
          <cell r="L1160" t="str"/>
          <cell r="M1160" t="str"/>
          <cell r="N1160" t="str"/>
          <cell r="O1160" t="str"/>
          <cell r="P1160" t="str"/>
          <cell r="Q1160" t="str"/>
          <cell r="R1160" t="str"/>
          <cell r="S1160" t="str"/>
        </row>
        <row r="1161">
          <cell r="B1161" t="str"/>
          <cell r="C1161" t="str"/>
          <cell r="D1161" t="str"/>
          <cell r="E1161" t="str"/>
          <cell r="F1161" t="str"/>
          <cell r="G1161" t="str"/>
          <cell r="H1161" t="str"/>
          <cell r="I1161" t="str"/>
          <cell r="J1161" t="str"/>
          <cell r="K1161" t="str"/>
          <cell r="L1161" t="str"/>
          <cell r="M1161" t="str"/>
          <cell r="N1161" t="str"/>
          <cell r="O1161" t="str"/>
          <cell r="P1161" t="str"/>
          <cell r="Q1161" t="str"/>
          <cell r="R1161" t="str"/>
          <cell r="S1161" t="str"/>
        </row>
        <row r="1162">
          <cell r="B1162" t="str"/>
          <cell r="C1162" t="str"/>
          <cell r="D1162" t="str"/>
          <cell r="E1162" t="str"/>
          <cell r="F1162" t="str"/>
          <cell r="G1162" t="str"/>
          <cell r="H1162" t="str"/>
          <cell r="I1162" t="str"/>
          <cell r="J1162" t="str"/>
          <cell r="K1162" t="str"/>
          <cell r="L1162" t="str"/>
          <cell r="M1162" t="str"/>
          <cell r="N1162" t="str"/>
          <cell r="O1162" t="str"/>
          <cell r="P1162" t="str"/>
          <cell r="Q1162" t="str"/>
          <cell r="R1162" t="str"/>
          <cell r="S1162" t="str"/>
        </row>
        <row r="1163">
          <cell r="B1163" t="str"/>
          <cell r="C1163" t="str"/>
          <cell r="D1163" t="str"/>
          <cell r="E1163" t="str"/>
          <cell r="F1163" t="str"/>
          <cell r="G1163" t="str"/>
          <cell r="H1163" t="str"/>
          <cell r="I1163" t="str"/>
          <cell r="J1163" t="str"/>
          <cell r="K1163" t="str"/>
          <cell r="L1163" t="str"/>
          <cell r="M1163" t="str"/>
          <cell r="N1163" t="str"/>
          <cell r="O1163" t="str"/>
          <cell r="P1163" t="str"/>
          <cell r="Q1163" t="str"/>
          <cell r="R1163" t="str"/>
          <cell r="S1163" t="str"/>
        </row>
        <row r="1164">
          <cell r="B1164" t="str"/>
          <cell r="C1164" t="str"/>
          <cell r="D1164" t="str"/>
          <cell r="E1164" t="str"/>
          <cell r="F1164" t="str"/>
          <cell r="G1164" t="str"/>
          <cell r="H1164" t="str"/>
          <cell r="I1164" t="str"/>
          <cell r="J1164" t="str"/>
          <cell r="K1164" t="str"/>
          <cell r="L1164" t="str"/>
          <cell r="M1164" t="str"/>
          <cell r="N1164" t="str"/>
          <cell r="O1164" t="str"/>
          <cell r="P1164" t="str"/>
          <cell r="Q1164" t="str"/>
          <cell r="R1164" t="str"/>
          <cell r="S1164" t="str"/>
        </row>
        <row r="1165">
          <cell r="B1165" t="str"/>
          <cell r="C1165" t="str"/>
          <cell r="D1165" t="str"/>
          <cell r="E1165" t="str"/>
          <cell r="F1165" t="str"/>
          <cell r="G1165" t="str"/>
          <cell r="H1165" t="str"/>
          <cell r="I1165" t="str"/>
          <cell r="J1165" t="str"/>
          <cell r="K1165" t="str"/>
          <cell r="L1165" t="str"/>
          <cell r="M1165" t="str"/>
          <cell r="N1165" t="str"/>
          <cell r="O1165" t="str"/>
          <cell r="P1165" t="str"/>
          <cell r="Q1165" t="str"/>
          <cell r="R1165" t="str"/>
          <cell r="S1165" t="str"/>
        </row>
        <row r="1166">
          <cell r="B1166" t="str"/>
          <cell r="C1166" t="str"/>
          <cell r="D1166" t="str"/>
          <cell r="E1166" t="str"/>
          <cell r="F1166" t="str"/>
          <cell r="G1166" t="str"/>
          <cell r="H1166" t="str"/>
          <cell r="I1166" t="str"/>
          <cell r="J1166" t="str"/>
          <cell r="K1166" t="str"/>
          <cell r="L1166" t="str"/>
          <cell r="M1166" t="str"/>
          <cell r="N1166" t="str"/>
          <cell r="O1166" t="str"/>
          <cell r="P1166" t="str"/>
          <cell r="Q1166" t="str"/>
          <cell r="R1166" t="str"/>
          <cell r="S1166" t="str"/>
        </row>
        <row r="1167">
          <cell r="B1167" t="str"/>
          <cell r="C1167" t="str"/>
          <cell r="D1167" t="str"/>
          <cell r="E1167" t="str"/>
          <cell r="F1167" t="str"/>
          <cell r="G1167" t="str"/>
          <cell r="H1167" t="str"/>
          <cell r="I1167" t="str"/>
          <cell r="J1167" t="str"/>
          <cell r="K1167" t="str"/>
          <cell r="L1167" t="str"/>
          <cell r="M1167" t="str"/>
          <cell r="N1167" t="str"/>
          <cell r="O1167" t="str"/>
          <cell r="P1167" t="str"/>
          <cell r="Q1167" t="str"/>
          <cell r="R1167" t="str"/>
          <cell r="S1167" t="str"/>
        </row>
        <row r="1168">
          <cell r="B1168" t="str"/>
          <cell r="C1168" t="str"/>
          <cell r="D1168" t="str"/>
          <cell r="E1168" t="str"/>
          <cell r="F1168" t="str"/>
          <cell r="G1168" t="str"/>
          <cell r="H1168" t="str"/>
          <cell r="I1168" t="str"/>
          <cell r="J1168" t="str"/>
          <cell r="K1168" t="str"/>
          <cell r="L1168" t="str"/>
          <cell r="M1168" t="str"/>
          <cell r="N1168" t="str"/>
          <cell r="O1168" t="str"/>
          <cell r="P1168" t="str"/>
          <cell r="Q1168" t="str"/>
          <cell r="R1168" t="str"/>
          <cell r="S1168" t="str"/>
        </row>
        <row r="1169">
          <cell r="B1169" t="str"/>
          <cell r="C1169" t="str"/>
          <cell r="D1169" t="str"/>
          <cell r="E1169" t="str"/>
          <cell r="F1169" t="str"/>
          <cell r="G1169" t="str"/>
          <cell r="H1169" t="str"/>
          <cell r="I1169" t="str"/>
          <cell r="J1169" t="str"/>
          <cell r="K1169" t="str"/>
          <cell r="L1169" t="str"/>
          <cell r="M1169" t="str"/>
          <cell r="N1169" t="str"/>
          <cell r="O1169" t="str"/>
          <cell r="P1169" t="str"/>
          <cell r="Q1169" t="str"/>
          <cell r="R1169" t="str"/>
          <cell r="S1169" t="str"/>
        </row>
        <row r="1170">
          <cell r="B1170" t="str"/>
          <cell r="C1170" t="str"/>
          <cell r="D1170" t="str"/>
          <cell r="E1170" t="str"/>
          <cell r="F1170" t="str"/>
          <cell r="G1170" t="str"/>
          <cell r="H1170" t="str"/>
          <cell r="I1170" t="str"/>
          <cell r="J1170" t="str"/>
          <cell r="K1170" t="str"/>
          <cell r="L1170" t="str"/>
          <cell r="M1170" t="str"/>
          <cell r="N1170" t="str"/>
          <cell r="O1170" t="str"/>
          <cell r="P1170" t="str"/>
          <cell r="Q1170" t="str"/>
          <cell r="R1170" t="str"/>
          <cell r="S1170" t="str"/>
        </row>
        <row r="1171">
          <cell r="B1171" t="str"/>
          <cell r="C1171" t="str"/>
          <cell r="D1171" t="str"/>
          <cell r="E1171" t="str"/>
          <cell r="F1171" t="str"/>
          <cell r="G1171" t="str"/>
          <cell r="H1171" t="str"/>
          <cell r="I1171" t="str"/>
          <cell r="J1171" t="str"/>
          <cell r="K1171" t="str"/>
          <cell r="L1171" t="str"/>
          <cell r="M1171" t="str"/>
          <cell r="N1171" t="str"/>
          <cell r="O1171" t="str"/>
          <cell r="P1171" t="str"/>
          <cell r="Q1171" t="str"/>
          <cell r="R1171" t="str"/>
          <cell r="S1171" t="str"/>
        </row>
        <row r="1172">
          <cell r="B1172" t="str"/>
          <cell r="C1172" t="str"/>
          <cell r="D1172" t="str"/>
          <cell r="E1172" t="str"/>
          <cell r="F1172" t="str"/>
          <cell r="G1172" t="str"/>
          <cell r="H1172" t="str"/>
          <cell r="I1172" t="str"/>
          <cell r="J1172" t="str"/>
          <cell r="K1172" t="str"/>
          <cell r="L1172" t="str"/>
          <cell r="M1172" t="str"/>
          <cell r="N1172" t="str"/>
          <cell r="O1172" t="str"/>
          <cell r="P1172" t="str"/>
          <cell r="Q1172" t="str"/>
          <cell r="R1172" t="str"/>
          <cell r="S1172" t="str"/>
        </row>
        <row r="1173">
          <cell r="B1173" t="str"/>
          <cell r="C1173" t="str"/>
          <cell r="D1173" t="str"/>
          <cell r="E1173" t="str"/>
          <cell r="F1173" t="str"/>
          <cell r="G1173" t="str"/>
          <cell r="H1173" t="str"/>
          <cell r="I1173" t="str"/>
          <cell r="J1173" t="str"/>
          <cell r="K1173" t="str"/>
          <cell r="L1173" t="str"/>
          <cell r="M1173" t="str"/>
          <cell r="N1173" t="str"/>
          <cell r="O1173" t="str"/>
          <cell r="P1173" t="str"/>
          <cell r="Q1173" t="str"/>
          <cell r="R1173" t="str"/>
          <cell r="S1173" t="str"/>
        </row>
        <row r="1174">
          <cell r="B1174" t="str"/>
          <cell r="C1174" t="str"/>
          <cell r="D1174" t="str"/>
          <cell r="E1174" t="str"/>
          <cell r="F1174" t="str"/>
          <cell r="G1174" t="str"/>
          <cell r="H1174" t="str"/>
          <cell r="I1174" t="str"/>
          <cell r="J1174" t="str"/>
          <cell r="K1174" t="str"/>
          <cell r="L1174" t="str"/>
          <cell r="M1174" t="str"/>
          <cell r="N1174" t="str"/>
          <cell r="O1174" t="str"/>
          <cell r="P1174" t="str"/>
          <cell r="Q1174" t="str"/>
          <cell r="R1174" t="str"/>
          <cell r="S1174" t="str"/>
        </row>
        <row r="1175">
          <cell r="B1175" t="str"/>
          <cell r="C1175" t="str"/>
          <cell r="D1175" t="str"/>
          <cell r="E1175" t="str"/>
          <cell r="F1175" t="str"/>
          <cell r="G1175" t="str"/>
          <cell r="H1175" t="str"/>
          <cell r="I1175" t="str"/>
          <cell r="J1175" t="str"/>
          <cell r="K1175" t="str"/>
          <cell r="L1175" t="str"/>
          <cell r="M1175" t="str"/>
          <cell r="N1175" t="str"/>
          <cell r="O1175" t="str"/>
          <cell r="P1175" t="str"/>
          <cell r="Q1175" t="str"/>
          <cell r="R1175" t="str"/>
          <cell r="S1175" t="str"/>
        </row>
        <row r="1176">
          <cell r="B1176" t="str"/>
          <cell r="C1176" t="str"/>
          <cell r="D1176" t="str"/>
          <cell r="E1176" t="str"/>
          <cell r="F1176" t="str"/>
          <cell r="G1176" t="str"/>
          <cell r="H1176" t="str"/>
          <cell r="I1176" t="str"/>
          <cell r="J1176" t="str"/>
          <cell r="K1176" t="str"/>
          <cell r="L1176" t="str"/>
          <cell r="M1176" t="str"/>
          <cell r="N1176" t="str"/>
          <cell r="O1176" t="str"/>
          <cell r="P1176" t="str"/>
          <cell r="Q1176" t="str"/>
          <cell r="R1176" t="str"/>
          <cell r="S1176" t="str"/>
        </row>
        <row r="1177">
          <cell r="B1177" t="str"/>
          <cell r="C1177" t="str"/>
          <cell r="D1177" t="str"/>
          <cell r="E1177" t="str"/>
          <cell r="F1177" t="str"/>
          <cell r="G1177" t="str"/>
          <cell r="H1177" t="str"/>
          <cell r="I1177" t="str"/>
          <cell r="J1177" t="str"/>
          <cell r="K1177" t="str"/>
          <cell r="L1177" t="str"/>
          <cell r="M1177" t="str"/>
          <cell r="N1177" t="str"/>
          <cell r="O1177" t="str"/>
          <cell r="P1177" t="str"/>
          <cell r="Q1177" t="str"/>
          <cell r="R1177" t="str"/>
          <cell r="S1177" t="str"/>
        </row>
        <row r="1178">
          <cell r="B1178" t="str"/>
          <cell r="C1178" t="str"/>
          <cell r="D1178" t="str"/>
          <cell r="E1178" t="str"/>
          <cell r="F1178" t="str"/>
          <cell r="G1178" t="str"/>
          <cell r="H1178" t="str"/>
          <cell r="I1178" t="str"/>
          <cell r="J1178" t="str"/>
          <cell r="K1178" t="str"/>
          <cell r="L1178" t="str"/>
          <cell r="M1178" t="str"/>
          <cell r="N1178" t="str"/>
          <cell r="O1178" t="str"/>
          <cell r="P1178" t="str"/>
          <cell r="Q1178" t="str"/>
          <cell r="R1178" t="str"/>
          <cell r="S1178" t="str"/>
        </row>
        <row r="1179">
          <cell r="B1179" t="str"/>
          <cell r="C1179" t="str"/>
          <cell r="D1179" t="str"/>
          <cell r="E1179" t="str"/>
          <cell r="F1179" t="str"/>
          <cell r="G1179" t="str"/>
          <cell r="H1179" t="str"/>
          <cell r="I1179" t="str"/>
          <cell r="J1179" t="str"/>
          <cell r="K1179" t="str"/>
          <cell r="L1179" t="str"/>
          <cell r="M1179" t="str"/>
          <cell r="N1179" t="str"/>
          <cell r="O1179" t="str"/>
          <cell r="P1179" t="str"/>
          <cell r="Q1179" t="str"/>
          <cell r="R1179" t="str"/>
          <cell r="S1179" t="str"/>
        </row>
        <row r="1180">
          <cell r="B1180" t="str"/>
          <cell r="C1180" t="str"/>
          <cell r="D1180" t="str"/>
          <cell r="E1180" t="str"/>
          <cell r="F1180" t="str"/>
          <cell r="G1180" t="str"/>
          <cell r="H1180" t="str"/>
          <cell r="I1180" t="str"/>
          <cell r="J1180" t="str"/>
          <cell r="K1180" t="str"/>
          <cell r="L1180" t="str"/>
          <cell r="M1180" t="str"/>
          <cell r="N1180" t="str"/>
          <cell r="O1180" t="str"/>
          <cell r="P1180" t="str"/>
          <cell r="Q1180" t="str"/>
          <cell r="R1180" t="str"/>
          <cell r="S1180" t="str"/>
        </row>
        <row r="1181">
          <cell r="B1181" t="str"/>
          <cell r="C1181" t="str"/>
          <cell r="D1181" t="str"/>
          <cell r="E1181" t="str"/>
          <cell r="F1181" t="str"/>
          <cell r="G1181" t="str"/>
          <cell r="H1181" t="str"/>
          <cell r="I1181" t="str"/>
          <cell r="J1181" t="str"/>
          <cell r="K1181" t="str"/>
          <cell r="L1181" t="str"/>
          <cell r="M1181" t="str"/>
          <cell r="N1181" t="str"/>
          <cell r="O1181" t="str"/>
          <cell r="P1181" t="str"/>
          <cell r="Q1181" t="str"/>
          <cell r="R1181" t="str"/>
          <cell r="S1181" t="str"/>
        </row>
        <row r="1182">
          <cell r="B1182" t="str"/>
          <cell r="C1182" t="str"/>
          <cell r="D1182" t="str"/>
          <cell r="E1182" t="str"/>
          <cell r="F1182" t="str"/>
          <cell r="G1182" t="str"/>
          <cell r="H1182" t="str"/>
          <cell r="I1182" t="str"/>
          <cell r="J1182" t="str"/>
          <cell r="K1182" t="str"/>
          <cell r="L1182" t="str"/>
          <cell r="M1182" t="str"/>
          <cell r="N1182" t="str"/>
          <cell r="O1182" t="str"/>
          <cell r="P1182" t="str"/>
          <cell r="Q1182" t="str"/>
          <cell r="R1182" t="str"/>
          <cell r="S1182" t="str"/>
        </row>
        <row r="1183">
          <cell r="B1183" t="str"/>
          <cell r="C1183" t="str"/>
          <cell r="D1183" t="str"/>
          <cell r="E1183" t="str"/>
          <cell r="F1183" t="str"/>
          <cell r="G1183" t="str"/>
          <cell r="H1183" t="str"/>
          <cell r="I1183" t="str"/>
          <cell r="J1183" t="str"/>
          <cell r="K1183" t="str"/>
          <cell r="L1183" t="str"/>
          <cell r="M1183" t="str"/>
          <cell r="N1183" t="str"/>
          <cell r="O1183" t="str"/>
          <cell r="P1183" t="str"/>
          <cell r="Q1183" t="str"/>
          <cell r="R1183" t="str"/>
          <cell r="S1183" t="str"/>
        </row>
        <row r="1184">
          <cell r="B1184" t="str"/>
          <cell r="C1184" t="str"/>
          <cell r="D1184" t="str"/>
          <cell r="E1184" t="str"/>
          <cell r="F1184" t="str"/>
          <cell r="G1184" t="str"/>
          <cell r="H1184" t="str"/>
          <cell r="I1184" t="str"/>
          <cell r="J1184" t="str"/>
          <cell r="K1184" t="str"/>
          <cell r="L1184" t="str"/>
          <cell r="M1184" t="str"/>
          <cell r="N1184" t="str"/>
          <cell r="O1184" t="str"/>
          <cell r="P1184" t="str"/>
          <cell r="Q1184" t="str"/>
          <cell r="R1184" t="str"/>
          <cell r="S1184" t="str"/>
        </row>
        <row r="1185">
          <cell r="B1185" t="str"/>
          <cell r="C1185" t="str"/>
          <cell r="D1185" t="str"/>
          <cell r="E1185" t="str"/>
          <cell r="F1185" t="str"/>
          <cell r="G1185" t="str"/>
          <cell r="H1185" t="str"/>
          <cell r="I1185" t="str"/>
          <cell r="J1185" t="str"/>
          <cell r="K1185" t="str"/>
          <cell r="L1185" t="str"/>
          <cell r="M1185" t="str"/>
          <cell r="N1185" t="str"/>
          <cell r="O1185" t="str"/>
          <cell r="P1185" t="str"/>
          <cell r="Q1185" t="str"/>
          <cell r="R1185" t="str"/>
          <cell r="S1185" t="str"/>
        </row>
        <row r="1186">
          <cell r="B1186" t="str"/>
          <cell r="C1186" t="str"/>
          <cell r="D1186" t="str"/>
          <cell r="E1186" t="str"/>
          <cell r="F1186" t="str"/>
          <cell r="G1186" t="str"/>
          <cell r="H1186" t="str"/>
          <cell r="I1186" t="str"/>
          <cell r="J1186" t="str"/>
          <cell r="K1186" t="str"/>
          <cell r="L1186" t="str"/>
          <cell r="M1186" t="str"/>
          <cell r="N1186" t="str"/>
          <cell r="O1186" t="str"/>
          <cell r="P1186" t="str"/>
          <cell r="Q1186" t="str"/>
          <cell r="R1186" t="str"/>
          <cell r="S1186" t="str"/>
        </row>
        <row r="1187">
          <cell r="B1187" t="str"/>
          <cell r="C1187" t="str"/>
          <cell r="D1187" t="str"/>
          <cell r="E1187" t="str"/>
          <cell r="F1187" t="str"/>
          <cell r="G1187" t="str"/>
          <cell r="H1187" t="str"/>
          <cell r="I1187" t="str"/>
          <cell r="J1187" t="str"/>
          <cell r="K1187" t="str"/>
          <cell r="L1187" t="str"/>
          <cell r="M1187" t="str"/>
          <cell r="N1187" t="str"/>
          <cell r="O1187" t="str"/>
          <cell r="P1187" t="str"/>
          <cell r="Q1187" t="str"/>
          <cell r="R1187" t="str"/>
          <cell r="S1187" t="str"/>
        </row>
        <row r="1188">
          <cell r="B1188" t="str"/>
          <cell r="C1188" t="str"/>
          <cell r="D1188" t="str"/>
          <cell r="E1188" t="str"/>
          <cell r="F1188" t="str"/>
          <cell r="G1188" t="str"/>
          <cell r="H1188" t="str"/>
          <cell r="I1188" t="str"/>
          <cell r="J1188" t="str"/>
          <cell r="K1188" t="str"/>
          <cell r="L1188" t="str"/>
          <cell r="M1188" t="str"/>
          <cell r="N1188" t="str"/>
          <cell r="O1188" t="str"/>
          <cell r="P1188" t="str"/>
          <cell r="Q1188" t="str"/>
          <cell r="R1188" t="str"/>
          <cell r="S1188" t="str"/>
        </row>
        <row r="1189">
          <cell r="B1189" t="str"/>
          <cell r="C1189" t="str"/>
          <cell r="D1189" t="str"/>
          <cell r="E1189" t="str"/>
          <cell r="F1189" t="str"/>
          <cell r="G1189" t="str"/>
          <cell r="H1189" t="str"/>
          <cell r="I1189" t="str"/>
          <cell r="J1189" t="str"/>
          <cell r="K1189" t="str"/>
          <cell r="L1189" t="str"/>
          <cell r="M1189" t="str"/>
          <cell r="N1189" t="str"/>
          <cell r="O1189" t="str"/>
          <cell r="P1189" t="str"/>
          <cell r="Q1189" t="str"/>
          <cell r="R1189" t="str"/>
          <cell r="S1189" t="str"/>
        </row>
        <row r="1190">
          <cell r="B1190" t="str"/>
          <cell r="C1190" t="str"/>
          <cell r="D1190" t="str"/>
          <cell r="E1190" t="str"/>
          <cell r="F1190" t="str"/>
          <cell r="G1190" t="str"/>
          <cell r="H1190" t="str"/>
          <cell r="I1190" t="str"/>
          <cell r="J1190" t="str"/>
          <cell r="K1190" t="str"/>
          <cell r="L1190" t="str"/>
          <cell r="M1190" t="str"/>
          <cell r="N1190" t="str"/>
          <cell r="O1190" t="str"/>
          <cell r="P1190" t="str"/>
          <cell r="Q1190" t="str"/>
          <cell r="R1190" t="str"/>
          <cell r="S1190" t="str"/>
        </row>
        <row r="1191">
          <cell r="B1191" t="str"/>
          <cell r="C1191" t="str"/>
          <cell r="D1191" t="str"/>
          <cell r="E1191" t="str"/>
          <cell r="F1191" t="str"/>
          <cell r="G1191" t="str"/>
          <cell r="H1191" t="str"/>
          <cell r="I1191" t="str"/>
          <cell r="J1191" t="str"/>
          <cell r="K1191" t="str"/>
          <cell r="L1191" t="str"/>
          <cell r="M1191" t="str"/>
          <cell r="N1191" t="str"/>
          <cell r="O1191" t="str"/>
          <cell r="P1191" t="str"/>
          <cell r="Q1191" t="str"/>
          <cell r="R1191" t="str"/>
          <cell r="S1191" t="str"/>
        </row>
        <row r="1192">
          <cell r="B1192" t="str"/>
          <cell r="C1192" t="str"/>
          <cell r="D1192" t="str"/>
          <cell r="E1192" t="str"/>
          <cell r="F1192" t="str"/>
          <cell r="G1192" t="str"/>
          <cell r="H1192" t="str"/>
          <cell r="I1192" t="str"/>
          <cell r="J1192" t="str"/>
          <cell r="K1192" t="str"/>
          <cell r="L1192" t="str"/>
          <cell r="M1192" t="str"/>
          <cell r="N1192" t="str"/>
          <cell r="O1192" t="str"/>
          <cell r="P1192" t="str"/>
          <cell r="Q1192" t="str"/>
          <cell r="R1192" t="str"/>
          <cell r="S1192" t="str"/>
        </row>
        <row r="1193">
          <cell r="B1193" t="str"/>
          <cell r="C1193" t="str"/>
          <cell r="D1193" t="str"/>
          <cell r="E1193" t="str"/>
          <cell r="F1193" t="str"/>
          <cell r="G1193" t="str"/>
          <cell r="H1193" t="str"/>
          <cell r="I1193" t="str"/>
          <cell r="J1193" t="str"/>
          <cell r="K1193" t="str"/>
          <cell r="L1193" t="str"/>
          <cell r="M1193" t="str"/>
          <cell r="N1193" t="str"/>
          <cell r="O1193" t="str"/>
          <cell r="P1193" t="str"/>
          <cell r="Q1193" t="str"/>
          <cell r="R1193" t="str"/>
          <cell r="S1193" t="str"/>
        </row>
        <row r="1194">
          <cell r="B1194" t="str"/>
          <cell r="C1194" t="str"/>
          <cell r="D1194" t="str"/>
          <cell r="E1194" t="str"/>
          <cell r="F1194" t="str"/>
          <cell r="G1194" t="str"/>
          <cell r="H1194" t="str"/>
          <cell r="I1194" t="str"/>
          <cell r="J1194" t="str"/>
          <cell r="K1194" t="str"/>
          <cell r="L1194" t="str"/>
          <cell r="M1194" t="str"/>
          <cell r="N1194" t="str"/>
          <cell r="O1194" t="str"/>
          <cell r="P1194" t="str"/>
          <cell r="Q1194" t="str"/>
          <cell r="R1194" t="str"/>
          <cell r="S1194" t="str"/>
        </row>
        <row r="1195">
          <cell r="B1195" t="str"/>
          <cell r="C1195" t="str"/>
          <cell r="D1195" t="str"/>
          <cell r="E1195" t="str"/>
          <cell r="F1195" t="str"/>
          <cell r="G1195" t="str"/>
          <cell r="H1195" t="str"/>
          <cell r="I1195" t="str"/>
          <cell r="J1195" t="str"/>
          <cell r="K1195" t="str"/>
          <cell r="L1195" t="str"/>
          <cell r="M1195" t="str"/>
          <cell r="N1195" t="str"/>
          <cell r="O1195" t="str"/>
          <cell r="P1195" t="str"/>
          <cell r="Q1195" t="str"/>
          <cell r="R1195" t="str"/>
          <cell r="S1195" t="str"/>
        </row>
        <row r="1196">
          <cell r="B1196" t="str"/>
          <cell r="C1196" t="str"/>
          <cell r="D1196" t="str"/>
          <cell r="E1196" t="str"/>
          <cell r="F1196" t="str"/>
          <cell r="G1196" t="str"/>
          <cell r="H1196" t="str"/>
          <cell r="I1196" t="str"/>
          <cell r="J1196" t="str"/>
          <cell r="K1196" t="str"/>
          <cell r="L1196" t="str"/>
          <cell r="M1196" t="str"/>
          <cell r="N1196" t="str"/>
          <cell r="O1196" t="str"/>
          <cell r="P1196" t="str"/>
          <cell r="Q1196" t="str"/>
          <cell r="R1196" t="str"/>
          <cell r="S1196" t="str"/>
        </row>
        <row r="1197">
          <cell r="B1197" t="str"/>
          <cell r="C1197" t="str"/>
          <cell r="D1197" t="str"/>
          <cell r="E1197" t="str"/>
          <cell r="F1197" t="str"/>
          <cell r="G1197" t="str"/>
          <cell r="H1197" t="str"/>
          <cell r="I1197" t="str"/>
          <cell r="J1197" t="str"/>
          <cell r="K1197" t="str"/>
          <cell r="L1197" t="str"/>
          <cell r="M1197" t="str"/>
          <cell r="N1197" t="str"/>
          <cell r="O1197" t="str"/>
          <cell r="P1197" t="str"/>
          <cell r="Q1197" t="str"/>
          <cell r="R1197" t="str"/>
          <cell r="S1197" t="str"/>
        </row>
        <row r="1198">
          <cell r="B1198" t="str"/>
          <cell r="C1198" t="str"/>
          <cell r="D1198" t="str"/>
          <cell r="E1198" t="str"/>
          <cell r="F1198" t="str"/>
          <cell r="G1198" t="str"/>
          <cell r="H1198" t="str"/>
          <cell r="I1198" t="str"/>
          <cell r="J1198" t="str"/>
          <cell r="K1198" t="str"/>
          <cell r="L1198" t="str"/>
          <cell r="M1198" t="str"/>
          <cell r="N1198" t="str"/>
          <cell r="O1198" t="str"/>
          <cell r="P1198" t="str"/>
          <cell r="Q1198" t="str"/>
          <cell r="R1198" t="str"/>
          <cell r="S1198" t="str"/>
        </row>
        <row r="1199">
          <cell r="B1199" t="str"/>
          <cell r="C1199" t="str"/>
          <cell r="D1199" t="str"/>
          <cell r="E1199" t="str"/>
          <cell r="F1199" t="str"/>
          <cell r="G1199" t="str"/>
          <cell r="H1199" t="str"/>
          <cell r="I1199" t="str"/>
          <cell r="J1199" t="str"/>
          <cell r="K1199" t="str"/>
          <cell r="L1199" t="str"/>
          <cell r="M1199" t="str"/>
          <cell r="N1199" t="str"/>
          <cell r="O1199" t="str"/>
          <cell r="P1199" t="str"/>
          <cell r="Q1199" t="str"/>
          <cell r="R1199" t="str"/>
          <cell r="S1199" t="str"/>
        </row>
        <row r="1200">
          <cell r="B1200" t="str"/>
          <cell r="C1200" t="str"/>
          <cell r="D1200" t="str"/>
          <cell r="E1200" t="str"/>
          <cell r="F1200" t="str"/>
          <cell r="G1200" t="str"/>
          <cell r="H1200" t="str"/>
          <cell r="I1200" t="str"/>
          <cell r="J1200" t="str"/>
          <cell r="K1200" t="str"/>
          <cell r="L1200" t="str"/>
          <cell r="M1200" t="str"/>
          <cell r="N1200" t="str"/>
          <cell r="O1200" t="str"/>
          <cell r="P1200" t="str"/>
          <cell r="Q1200" t="str"/>
          <cell r="R1200" t="str"/>
          <cell r="S1200" t="str"/>
        </row>
        <row r="1201">
          <cell r="B1201" t="str"/>
          <cell r="C1201" t="str"/>
          <cell r="D1201" t="str"/>
          <cell r="E1201" t="str"/>
          <cell r="F1201" t="str"/>
          <cell r="G1201" t="str"/>
          <cell r="H1201" t="str"/>
          <cell r="I1201" t="str"/>
          <cell r="J1201" t="str"/>
          <cell r="K1201" t="str"/>
          <cell r="L1201" t="str"/>
          <cell r="M1201" t="str"/>
          <cell r="N1201" t="str"/>
          <cell r="O1201" t="str"/>
          <cell r="P1201" t="str"/>
          <cell r="Q1201" t="str"/>
          <cell r="R1201" t="str"/>
          <cell r="S1201" t="str"/>
        </row>
        <row r="1202">
          <cell r="B1202" t="str"/>
          <cell r="C1202" t="str"/>
          <cell r="D1202" t="str"/>
          <cell r="E1202" t="str"/>
          <cell r="F1202" t="str"/>
          <cell r="G1202" t="str"/>
          <cell r="H1202" t="str"/>
          <cell r="I1202" t="str"/>
          <cell r="J1202" t="str"/>
          <cell r="K1202" t="str"/>
          <cell r="L1202" t="str"/>
          <cell r="M1202" t="str"/>
          <cell r="N1202" t="str"/>
          <cell r="O1202" t="str"/>
          <cell r="P1202" t="str"/>
          <cell r="Q1202" t="str"/>
          <cell r="R1202" t="str"/>
          <cell r="S1202" t="str"/>
        </row>
        <row r="1203">
          <cell r="B1203" t="str"/>
          <cell r="C1203" t="str"/>
          <cell r="D1203" t="str"/>
          <cell r="E1203" t="str"/>
          <cell r="F1203" t="str"/>
          <cell r="G1203" t="str"/>
          <cell r="H1203" t="str"/>
          <cell r="I1203" t="str"/>
          <cell r="J1203" t="str"/>
          <cell r="K1203" t="str"/>
          <cell r="L1203" t="str"/>
          <cell r="M1203" t="str"/>
          <cell r="N1203" t="str"/>
          <cell r="O1203" t="str"/>
          <cell r="P1203" t="str"/>
          <cell r="Q1203" t="str"/>
          <cell r="R1203" t="str"/>
          <cell r="S1203" t="str"/>
        </row>
      </sheetData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tabColor rgb="FF1F4E79"/>
    <outlinePr summaryBelow="1" summaryRight="1"/>
    <pageSetUpPr/>
  </sheetPr>
  <dimension ref="A1:D39"/>
  <sheetViews>
    <sheetView showGridLines="0" workbookViewId="0">
      <pane ySplit="3" topLeftCell="A4" activePane="bottomLeft" state="frozen"/>
      <selection activeCell="A1" sqref="A1"/>
      <selection pane="bottomLeft" activeCell="A1" sqref="A1:D1"/>
    </sheetView>
  </sheetViews>
  <sheetFormatPr baseColWidth="8" defaultColWidth="9" defaultRowHeight="13.5"/>
  <cols>
    <col width="5" customWidth="1" style="127" min="1" max="1"/>
    <col width="24" customWidth="1" style="127" min="2" max="2"/>
    <col width="62" customWidth="1" style="127" min="3" max="3"/>
    <col width="16" customWidth="1" style="127" min="4" max="4"/>
  </cols>
  <sheetData>
    <row r="1" ht="37.5" customHeight="1" s="127">
      <c r="A1" s="142" t="inlineStr">
        <is>
          <t>04　综 合 查 询 对 账 单</t>
        </is>
      </c>
    </row>
    <row r="2" ht="18" customHeight="1" s="127">
      <c r="A2" s="135" t="inlineStr">
        <is>
          <t>所有对账单集中在这一本；数据全部来自《01》《02》，三个文件必须放同一个文件夹　｜　点蓝色表名可跳转</t>
        </is>
      </c>
    </row>
    <row r="3" ht="24" customHeight="1" s="127">
      <c r="A3" s="143" t="str">
        <f>IF(N(对接源_01水果!$R$1)+N(对接源_02物料!$R$1)=0,"联动状态：★★ 两本业务册的数据都没接进来 —— 请打开对接源表按提示修复链接",IF(N(对接源_01水果!$R$4)*N(对接源_02物料!$R$4)=0,"联动状态：⚠ 有业务册没接上（不是实时数）—— 01水果 "&amp;N(对接源_01水果!$R$1)&amp;" 笔，02物料 "&amp;N(对接源_02物料!$R$1)&amp;" 笔，请尽快修复链接","联动状态：✔ 正常 —— 01水果 "&amp;N(对接源_01水果!$R$1)&amp;" 笔 ＋ 02物料 "&amp;N(对接源_02物料!$R$1)&amp;" 笔已自动接入"))</f>
        <v>联动状态：✔ 正常 —— 01水果 637 笔 ＋ 02物料 272 笔已自动接入</v>
      </c>
    </row>
    <row r="4"/>
    <row r="5" ht="24" customHeight="1" s="127">
      <c r="A5" s="139" t="inlineStr">
        <is>
          <t>一、分类对账单（只填客户和起止日期）</t>
        </is>
      </c>
    </row>
    <row r="6" ht="19.5" customHeight="1" s="127">
      <c r="A6" s="144" t="inlineStr">
        <is>
          <t>序号</t>
        </is>
      </c>
      <c r="B6" s="144" t="inlineStr">
        <is>
          <t>子表名称</t>
        </is>
      </c>
      <c r="C6" s="144" t="inlineStr">
        <is>
          <t>用途说明</t>
        </is>
      </c>
      <c r="D6" s="144" t="inlineStr">
        <is>
          <t>属性</t>
        </is>
      </c>
    </row>
    <row r="7" ht="18.75" customHeight="1" s="127">
      <c r="A7" s="145" t="n">
        <v>1</v>
      </c>
      <c r="B7" s="146" t="inlineStr">
        <is>
          <t>筐子对账单</t>
        </is>
      </c>
      <c r="C7" s="147" t="inlineStr">
        <is>
          <t>公司筐：出库／退回（负）／随筐入库（负），含未回库筐子（欠筐）</t>
        </is>
      </c>
      <c r="D7" s="20" t="inlineStr">
        <is>
          <t>录入+自动</t>
        </is>
      </c>
    </row>
    <row r="8" ht="18.75" customHeight="1" s="127">
      <c r="A8" s="145" t="n">
        <v>2</v>
      </c>
      <c r="B8" s="146" t="inlineStr">
        <is>
          <t>自备筐对账单</t>
        </is>
      </c>
      <c r="C8" s="147" t="inlineStr">
        <is>
          <t>客户自备筐的入库、出库明细及汇总</t>
        </is>
      </c>
      <c r="D8" s="20" t="inlineStr">
        <is>
          <t>录入+自动</t>
        </is>
      </c>
    </row>
    <row r="9" ht="18.75" customHeight="1" s="127">
      <c r="A9" s="145" t="n">
        <v>3</v>
      </c>
      <c r="B9" s="146" t="inlineStr">
        <is>
          <t>水果对账单</t>
        </is>
      </c>
      <c r="C9" s="147" t="inlineStr">
        <is>
          <t>原料入库/出库/结存 ＋ 成品出库，含进出库等级汇总</t>
        </is>
      </c>
      <c r="D9" s="20" t="inlineStr">
        <is>
          <t>录入+自动</t>
        </is>
      </c>
    </row>
    <row r="10" ht="18.75" customHeight="1" s="127">
      <c r="A10" s="145" t="n">
        <v>4</v>
      </c>
      <c r="B10" s="146" t="inlineStr">
        <is>
          <t>公司购买果品对账单</t>
        </is>
      </c>
      <c r="C10" s="147" t="inlineStr">
        <is>
          <t>★公司（果然鲜）买下客户果品的逐笔明细与应付金额</t>
        </is>
      </c>
      <c r="D10" s="20" t="inlineStr">
        <is>
          <t>录入+自动</t>
        </is>
      </c>
    </row>
    <row r="11" ht="18.75" customHeight="1" s="127">
      <c r="A11" s="145" t="n">
        <v>5</v>
      </c>
      <c r="B11" s="146" t="inlineStr">
        <is>
          <t>物料与筐子销售对账单</t>
        </is>
      </c>
      <c r="C11" s="147" t="inlineStr">
        <is>
          <t>包装物料销售 ＋ 卖断筐子销售，含已收/未收</t>
        </is>
      </c>
      <c r="D11" s="20" t="inlineStr">
        <is>
          <t>录入+自动</t>
        </is>
      </c>
    </row>
    <row r="12"/>
    <row r="13" ht="24" customHeight="1" s="127">
      <c r="A13" s="139" t="inlineStr">
        <is>
          <t>二、公用汇总</t>
        </is>
      </c>
    </row>
    <row r="14" ht="19.5" customHeight="1" s="127">
      <c r="A14" s="144" t="inlineStr">
        <is>
          <t>序号</t>
        </is>
      </c>
      <c r="B14" s="144" t="inlineStr">
        <is>
          <t>子表名称</t>
        </is>
      </c>
      <c r="C14" s="144" t="inlineStr">
        <is>
          <t>用途说明</t>
        </is>
      </c>
      <c r="D14" s="144" t="inlineStr">
        <is>
          <t>属性</t>
        </is>
      </c>
    </row>
    <row r="15" ht="18.75" customHeight="1" s="127">
      <c r="A15" s="145" t="n">
        <v>6</v>
      </c>
      <c r="B15" s="146" t="inlineStr">
        <is>
          <t>筐子库存汇总</t>
        </is>
      </c>
      <c r="C15" s="147" t="inlineStr">
        <is>
          <t>公司自有各类型筐子的期初、采购、退回、发出、销售与在库结存</t>
        </is>
      </c>
      <c r="D15" s="20" t="inlineStr">
        <is>
          <t>自动</t>
        </is>
      </c>
    </row>
    <row r="16" ht="18.75" customHeight="1" s="127">
      <c r="A16" s="145" t="n">
        <v>7</v>
      </c>
      <c r="B16" s="146" t="inlineStr">
        <is>
          <t>应收应付汇总</t>
        </is>
      </c>
      <c r="C16" s="147" t="inlineStr">
        <is>
          <t>各往来单位的应收、应付与净往来</t>
        </is>
      </c>
      <c r="D16" s="20" t="inlineStr">
        <is>
          <t>自动</t>
        </is>
      </c>
    </row>
    <row r="17"/>
    <row r="18" ht="24" customHeight="1" s="127">
      <c r="A18" s="139" t="inlineStr">
        <is>
          <t>三、跨册对接（自动取数，勿手工填）</t>
        </is>
      </c>
    </row>
    <row r="19" ht="19.5" customHeight="1" s="127">
      <c r="A19" s="144" t="inlineStr">
        <is>
          <t>序号</t>
        </is>
      </c>
      <c r="B19" s="144" t="inlineStr">
        <is>
          <t>子表名称</t>
        </is>
      </c>
      <c r="C19" s="144" t="inlineStr">
        <is>
          <t>用途说明</t>
        </is>
      </c>
      <c r="D19" s="144" t="inlineStr">
        <is>
          <t>属性</t>
        </is>
      </c>
    </row>
    <row r="20" ht="18.75" customHeight="1" s="127">
      <c r="A20" s="145" t="n">
        <v>8</v>
      </c>
      <c r="B20" s="146" t="inlineStr">
        <is>
          <t>对接源_01水果</t>
        </is>
      </c>
      <c r="C20" s="147" t="inlineStr">
        <is>
          <t>跨文件取《01》对账明细接口（含筐子与采购字段）</t>
        </is>
      </c>
      <c r="D20" s="20" t="inlineStr">
        <is>
          <t>自动</t>
        </is>
      </c>
    </row>
    <row r="21" ht="18.75" customHeight="1" s="127">
      <c r="A21" s="145" t="n">
        <v>9</v>
      </c>
      <c r="B21" s="146" t="inlineStr">
        <is>
          <t>对接源_02物料</t>
        </is>
      </c>
      <c r="C21" s="147" t="inlineStr">
        <is>
          <t>跨文件取《02》对账明细接口</t>
        </is>
      </c>
      <c r="D21" s="20" t="inlineStr">
        <is>
          <t>自动</t>
        </is>
      </c>
    </row>
    <row r="22"/>
    <row r="23" ht="19.5" customHeight="1" s="127">
      <c r="A23" s="148" t="inlineStr">
        <is>
          <t>图例：浅绿＝公式自动生成，请勿覆盖　｜　浅蓝＝需要手工录入　｜　浅黄＝码表/规则，偶尔维护</t>
        </is>
      </c>
    </row>
    <row r="24"/>
    <row r="25" ht="19.5" customHeight="1" s="127">
      <c r="A25" s="149" t="inlineStr">
        <is>
          <t>本 轮 新 增</t>
        </is>
      </c>
      <c r="B25" s="154" t="n"/>
      <c r="C25" s="154" t="n"/>
      <c r="D25" s="154" t="n"/>
    </row>
    <row r="26" ht="19.5" customHeight="1" s="127">
      <c r="A26" s="82" t="inlineStr">
        <is>
          <t>序号</t>
        </is>
      </c>
      <c r="B26" s="82" t="inlineStr">
        <is>
          <t>子表名称</t>
        </is>
      </c>
      <c r="C26" s="82" t="inlineStr">
        <is>
          <t>用途说明</t>
        </is>
      </c>
      <c r="D26" s="82" t="inlineStr">
        <is>
          <t>属性</t>
        </is>
      </c>
    </row>
    <row r="27" ht="18" customHeight="1" s="127">
      <c r="A27" s="150" t="n">
        <v>1</v>
      </c>
      <c r="B27" s="151" t="str">
        <f>HYPERLINK("#'果然鲜销售对账单'!A1","果然鲜销售对账单")</f>
        <v>果然鲜销售对账单</v>
      </c>
      <c r="C27" s="152" t="inlineStr">
        <is>
          <t>★按销售类型（送礼/销售/商务/福利）出：逐笔列购买人、卖了什么、多少钱、运费多少、收了多少、还欠多少</t>
        </is>
      </c>
      <c r="D27" s="153" t="inlineStr">
        <is>
          <t>录入+自动</t>
        </is>
      </c>
    </row>
    <row r="28"/>
    <row r="29"/>
    <row r="30"/>
    <row r="31"/>
    <row r="32"/>
    <row r="33"/>
    <row r="34"/>
    <row r="35"/>
    <row r="36"/>
    <row r="37"/>
    <row r="38"/>
    <row r="39"/>
  </sheetData>
  <mergeCells count="8">
    <mergeCell ref="A1:D1"/>
    <mergeCell ref="A23:D23"/>
    <mergeCell ref="A18:D18"/>
    <mergeCell ref="A5:D5"/>
    <mergeCell ref="A3:D3"/>
    <mergeCell ref="A25:D25"/>
    <mergeCell ref="A2:D2"/>
    <mergeCell ref="A13:D13"/>
  </mergeCells>
  <conditionalFormatting sqref="A3">
    <cfRule type="expression" priority="2" dxfId="0">
      <formula>LEFT(A3,7)&lt;&gt;"联动状态：✔"</formula>
    </cfRule>
  </conditionalFormatting>
  <hyperlinks>
    <hyperlink ref="B7" location="'筐子对账单'!A1" display="筐子对账单"/>
    <hyperlink ref="B8" location="'自备筐对账单'!A1" display="自备筐对账单"/>
    <hyperlink ref="B9" location="'水果对账单'!A1" display="水果对账单"/>
    <hyperlink ref="B10" location="'公司购买果品对账单'!A1" display="公司购买果品对账单"/>
    <hyperlink ref="B11" location="'物料与筐子销售对账单'!A1" display="物料与筐子销售对账单"/>
    <hyperlink ref="B15" location="'筐子库存汇总'!A1" display="筐子库存汇总"/>
    <hyperlink ref="B16" location="'应收应付汇总'!A1" display="应收应付汇总"/>
    <hyperlink ref="B20" location="'对接源_01水果'!A1" display="对接源_01水果"/>
    <hyperlink ref="B21" location="'对接源_02物料'!A1" display="对接源_02物料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7F7F7F"/>
    <outlinePr summaryBelow="1" summaryRight="1"/>
    <pageSetUpPr/>
  </sheetPr>
  <dimension ref="A1:H50"/>
  <sheetViews>
    <sheetView showGridLines="0" topLeftCell="A21" workbookViewId="0">
      <selection activeCell="I48" sqref="I48"/>
    </sheetView>
  </sheetViews>
  <sheetFormatPr baseColWidth="8" defaultColWidth="9" defaultRowHeight="13.5"/>
  <cols>
    <col width="2" customWidth="1" style="127" min="1" max="1"/>
    <col width="16" customWidth="1" style="127" min="2" max="8"/>
  </cols>
  <sheetData>
    <row r="1" ht="30" customHeight="1" s="127">
      <c r="A1" s="9" t="inlineStr">
        <is>
          <t>综 合 查 询 对 账 单  使 用 说 明</t>
        </is>
      </c>
    </row>
    <row r="2" ht="18" customHeight="1" s="127">
      <c r="A2" s="135" t="inlineStr">
        <is>
          <t>本册只用来查询和打印对账单，不录任何数据；数据全部来自《01 水果进销存台账》和《02 物料与周转物台账》</t>
        </is>
      </c>
    </row>
    <row r="3"/>
    <row r="4" ht="18" customHeight="1" s="127">
      <c r="B4" s="136" t="inlineStr">
        <is>
          <t>一、四个文件放在同一个文件夹</t>
        </is>
      </c>
    </row>
    <row r="5"/>
    <row r="6" ht="18" customHeight="1" s="127">
      <c r="B6" s="137" t="inlineStr">
        <is>
          <t xml:space="preserve">　01_水果进销存台账模板.xlsx</t>
        </is>
      </c>
    </row>
    <row r="7" ht="18" customHeight="1" s="127">
      <c r="B7" s="137" t="inlineStr">
        <is>
          <t xml:space="preserve">　02_物料与周转物台账模板.xlsx</t>
        </is>
      </c>
    </row>
    <row r="8" ht="18" customHeight="1" s="127">
      <c r="B8" s="137" t="inlineStr">
        <is>
          <t xml:space="preserve">　03_财务账套与报表模板.xlsx</t>
        </is>
      </c>
    </row>
    <row r="9" ht="18" customHeight="1" s="127">
      <c r="B9" s="137" t="inlineStr">
        <is>
          <t xml:space="preserve">　04_综合查询对账单.xlsx（本文件）</t>
        </is>
      </c>
    </row>
    <row r="10" ht="18" customHeight="1" s="127">
      <c r="B10" s="137" t="inlineStr">
        <is>
          <t xml:space="preserve">　文件名一个字都不要改。打开本文件时如提示"是否更新链接"，请点【更新】。</t>
        </is>
      </c>
    </row>
    <row r="11"/>
    <row r="12" ht="18" customHeight="1" s="127">
      <c r="B12" s="136" t="inlineStr">
        <is>
          <t>二、怎么查对账单</t>
        </is>
      </c>
    </row>
    <row r="13"/>
    <row r="14" ht="18" customHeight="1" s="127">
      <c r="B14" s="137" t="inlineStr">
        <is>
          <t xml:space="preserve">　打开【综合对账单】，第 3 行三个浅蓝格填一下：往来单位（下拉选）、开始日期、结束日期。</t>
        </is>
      </c>
    </row>
    <row r="15" ht="18" customHeight="1" s="127">
      <c r="B15" s="137" t="inlineStr">
        <is>
          <t xml:space="preserve">　日期留空＝不限时间。上面自动出八类业务的汇总，下面自动列出每一笔，按业务类别成组排列。</t>
        </is>
      </c>
    </row>
    <row r="16" ht="18" customHeight="1" s="127">
      <c r="B16" s="137" t="inlineStr">
        <is>
          <t xml:space="preserve">　确认无误直接打印给客户签字即可。</t>
        </is>
      </c>
    </row>
    <row r="17"/>
    <row r="18" ht="18" customHeight="1" s="127">
      <c r="B18" s="136" t="inlineStr">
        <is>
          <t>三、其他两张表</t>
        </is>
      </c>
    </row>
    <row r="19"/>
    <row r="20" ht="18" customHeight="1" s="127">
      <c r="B20" s="137" t="inlineStr">
        <is>
          <t xml:space="preserve">　【筐子库存汇总】：公司每种筐子/托盘还剩多少、客户手上还有多少、公司筐总量是多少。</t>
        </is>
      </c>
    </row>
    <row r="21" ht="18" customHeight="1" s="127">
      <c r="B21" s="137" t="inlineStr">
        <is>
          <t xml:space="preserve">　【应收应付汇总】：一眼看清每家往来单位的业务金额、已收已付、还欠多少、谁欠谁。</t>
        </is>
      </c>
    </row>
    <row r="22"/>
    <row r="23" ht="18" customHeight="1" s="127">
      <c r="B23" s="136" t="inlineStr">
        <is>
          <t>四、取不到数怎么办</t>
        </is>
      </c>
    </row>
    <row r="24"/>
    <row r="25" ht="18" customHeight="1" s="127">
      <c r="B25" s="137" t="inlineStr">
        <is>
          <t xml:space="preserve">　两张【对接源】表最上面一行会显示"✔ 链接正常"还是"★★ 链接没接上"。</t>
        </is>
      </c>
    </row>
    <row r="26" ht="18" customHeight="1" s="127">
      <c r="B26" s="137" t="inlineStr">
        <is>
          <t xml:space="preserve">　修复：菜单【数据】→【编辑链接】→先点【立即更新值】；还取不到就点【更改源】重新指向那两个文件。</t>
        </is>
      </c>
    </row>
    <row r="27" ht="18" customHeight="1" s="127">
      <c r="B27" s="138" t="inlineStr">
        <is>
          <t xml:space="preserve">　本册只是查询工具，取不到数就是空的，不会算错账，放心。</t>
        </is>
      </c>
    </row>
    <row r="28"/>
    <row r="29" ht="18" customHeight="1" s="127">
      <c r="B29" s="136" t="inlineStr">
        <is>
          <t>五、和《03 财务账套》的分工</t>
        </is>
      </c>
    </row>
    <row r="30"/>
    <row r="31" ht="18" customHeight="1" s="127">
      <c r="B31" s="137" t="inlineStr">
        <is>
          <t xml:space="preserve">　本册给业务和老板看：逐笔业务、筐子库存、谁欠谁。</t>
        </is>
      </c>
    </row>
    <row r="32" ht="18" customHeight="1" s="127">
      <c r="B32" s="137" t="inlineStr">
        <is>
          <t xml:space="preserve">　《03》给会计看：会计科目、记账凭证、资产负债表和利润表。两边的应收口径可能略有差异——</t>
        </is>
      </c>
    </row>
    <row r="33" ht="18" customHeight="1" s="127">
      <c r="B33" s="137" t="inlineStr">
        <is>
          <t xml:space="preserve">　本册按业务台账的收付状态统计，《03》按资金日记账的实际收付统计，以《03》为准。</t>
        </is>
      </c>
    </row>
    <row r="34"/>
    <row r="35" ht="19.5" customHeight="1" s="127">
      <c r="A35" s="139" t="inlineStr">
        <is>
          <t>★ 本 次 更 新（2026-09）</t>
        </is>
      </c>
    </row>
    <row r="36" ht="30" customHeight="1" s="127">
      <c r="A36" s="140" t="inlineStr">
        <is>
          <t>1、原「综合对账单」拆成 4 张分类对账单：【筐子对账单】【自备筐对账单】【水果对账单】【物料与筐子销售对账单】；原综合对账单保留，想看全部业务时用它。</t>
        </is>
      </c>
    </row>
    <row r="37" ht="30" customHeight="1" s="127">
      <c r="A37" s="140" t="inlineStr">
        <is>
          <t>2、四张对账单版式统一：抬头＋客户/起止日期筛选，黄条显示各段总数，右侧小盒显示汇总；只填 B2 客户与 F2/H2 起止日期，其余全自动。</t>
        </is>
      </c>
    </row>
    <row r="38" ht="30" customHeight="1" s="127">
      <c r="A38" s="140" t="inlineStr">
        <is>
          <t>3、【筐子对账单】只统计公司筐（筐子类型不以「自备」开头）：发出＝原料出库/成品出库带走＋周转筐出库销售；退回＝客户退回的空筐；入库＝随原料入库带回来的筐；未回库筐子（欠筐子数）＝发出−退回−入库（负数表示对方送回来的比我们发出的多）。</t>
        </is>
      </c>
    </row>
    <row r="39" ht="30" customHeight="1" s="127">
      <c r="A39" s="140" t="inlineStr">
        <is>
          <t>4、【自备筐对账单】＝《01》三张明细里筐子类型以「自备」开头的随货筐数 ＋《02》客户自备加工筐明细，表外备查。</t>
        </is>
      </c>
    </row>
    <row r="40" ht="30" customHeight="1" s="127">
      <c r="A40" s="140" t="inlineStr">
        <is>
          <t>5、【水果对账单】右侧「入库等级汇总」按下方入库明细自动分等级合计数量与总毛重。</t>
        </is>
      </c>
    </row>
    <row r="41" ht="30" customHeight="1" s="127">
      <c r="A41" s="140" t="inlineStr">
        <is>
          <t>6、【物料与筐子销售对账单】单价＝金额÷数量自动算，右侧显示物料/筐子销售金额与已收未收。</t>
        </is>
      </c>
    </row>
    <row r="42"/>
    <row r="43" ht="19.5" customHeight="1" s="127">
      <c r="A43" s="139" t="inlineStr">
        <is>
          <t>★ 本 次 更 新（2026-09 · 第三版）</t>
        </is>
      </c>
    </row>
    <row r="44" ht="31.5" customHeight="1" s="127">
      <c r="A44" s="140" t="inlineStr">
        <is>
          <t>1、【筐子对账单】改成周转筐出入库的样式：日期｜票据单号｜筐子类型｜数量｜车牌号，依次显示 出库 → 退回（负数）→ 随筐入库（负数）三段，右侧汇总含「未回库筐子（欠筐）」＝出库＋退回＋随筐入库。</t>
        </is>
      </c>
    </row>
    <row r="45" ht="31.5" customHeight="1" s="127">
      <c r="A45" s="140" t="inlineStr">
        <is>
          <t>2、【水果对账单】右侧汇总去掉了「出库总毛重」和「结存毛重」，并在「入库等级汇总」下面新增「出库等级汇总」，按等级自动合计出库数量与总毛重。</t>
        </is>
      </c>
    </row>
    <row r="46" ht="31.5" customHeight="1" s="127">
      <c r="A46" s="140" t="inlineStr">
        <is>
          <t>3、四张对账单都只填 B2 客户 与 F2/H2 起止日期，可跨 2026—2027 两年任意区间查询。</t>
        </is>
      </c>
    </row>
    <row r="47"/>
    <row r="48" ht="19.5" customHeight="1" s="127">
      <c r="A48" s="141" t="inlineStr">
        <is>
          <t>★ 本 次 更 新（2026-09 · 第八版）</t>
        </is>
      </c>
    </row>
    <row r="49" ht="33.75" customHeight="1" s="127">
      <c r="A49" s="140" t="inlineStr">
        <is>
          <t>1、新增【公司购买果品对账单】：列出《01 成品出库明细》里填了「采购单价」的每一笔 ——也就是公司（果然鲜）从这位货主手里买下的果品，右侧汇总显示采购总数量、总金额、已付、未付（应付）。</t>
        </is>
      </c>
    </row>
    <row r="50" ht="33.75" customHeight="1" s="127">
      <c r="A50" s="140" t="inlineStr">
        <is>
          <t>2、这张单的汇总数会自动进《03 往来对账单》，作为负数抵扣该客户的应收，不用手工加减。</t>
        </is>
      </c>
    </row>
  </sheetData>
  <mergeCells count="37">
    <mergeCell ref="A48:H48"/>
    <mergeCell ref="A39:H39"/>
    <mergeCell ref="B9:H9"/>
    <mergeCell ref="B6:H6"/>
    <mergeCell ref="A36:H36"/>
    <mergeCell ref="A49:H49"/>
    <mergeCell ref="B15:H15"/>
    <mergeCell ref="B33:H33"/>
    <mergeCell ref="A45:H45"/>
    <mergeCell ref="A1:H1"/>
    <mergeCell ref="B20:H20"/>
    <mergeCell ref="B32:H32"/>
    <mergeCell ref="B26:H26"/>
    <mergeCell ref="B4:H4"/>
    <mergeCell ref="A41:H41"/>
    <mergeCell ref="B16:H16"/>
    <mergeCell ref="B7:H7"/>
    <mergeCell ref="B25:H25"/>
    <mergeCell ref="A37:H37"/>
    <mergeCell ref="A46:H46"/>
    <mergeCell ref="B31:H31"/>
    <mergeCell ref="A50:H50"/>
    <mergeCell ref="B18:H18"/>
    <mergeCell ref="B27:H27"/>
    <mergeCell ref="B21:H21"/>
    <mergeCell ref="A2:H2"/>
    <mergeCell ref="B12:H12"/>
    <mergeCell ref="B23:H23"/>
    <mergeCell ref="B8:H8"/>
    <mergeCell ref="B14:H14"/>
    <mergeCell ref="A35:H35"/>
    <mergeCell ref="A43:H43"/>
    <mergeCell ref="A38:H38"/>
    <mergeCell ref="B29:H29"/>
    <mergeCell ref="B10:H10"/>
    <mergeCell ref="A44:H44"/>
    <mergeCell ref="A40:H40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275C70"/>
    <outlinePr summaryBelow="1" summaryRight="1"/>
    <pageSetUpPr/>
  </sheetPr>
  <dimension ref="A1:AF208"/>
  <sheetViews>
    <sheetView showGridLines="0" workbookViewId="0">
      <pane ySplit="3" topLeftCell="A4" activePane="bottomLeft" state="frozen"/>
      <selection activeCell="A1" sqref="A1"/>
      <selection pane="bottomLeft" activeCell="M11" sqref="M11"/>
    </sheetView>
  </sheetViews>
  <sheetFormatPr baseColWidth="8" defaultColWidth="9" defaultRowHeight="13.5"/>
  <cols>
    <col width="12" customWidth="1" style="127" min="1" max="1"/>
    <col width="14" customWidth="1" style="127" min="2" max="2"/>
    <col width="15" customWidth="1" style="127" min="3" max="3"/>
    <col width="11" customWidth="1" style="127" min="4" max="4"/>
    <col width="15" customWidth="1" style="127" min="5" max="6"/>
    <col width="22" customWidth="1" style="127" min="7" max="7"/>
    <col width="10" customWidth="1" style="127" min="8" max="8"/>
    <col width="20" customWidth="1" style="127" min="9" max="9"/>
    <col width="2" customWidth="1" style="127" min="10" max="10"/>
    <col width="11" customWidth="1" style="127" min="13" max="13"/>
    <col width="2" customWidth="1" style="127" min="14" max="14"/>
    <col width="12" customWidth="1" style="127" min="16" max="16"/>
  </cols>
  <sheetData>
    <row r="1" ht="49.5" customHeight="1" s="127">
      <c r="A1" s="37" t="inlineStr">
        <is>
          <t>新疆果然鲜仓储有限公司</t>
        </is>
      </c>
      <c r="H1" s="92" t="inlineStr">
        <is>
          <t>对账单</t>
        </is>
      </c>
      <c r="I1" s="93" t="n"/>
      <c r="P1" s="155">
        <f>IF($F$2="",DATE(1900,1,1),$F$2)</f>
        <v>2.0</v>
      </c>
    </row>
    <row r="2" ht="25.5" customHeight="1" s="127">
      <c r="A2" s="94" t="inlineStr">
        <is>
          <t>客　户:</t>
        </is>
      </c>
      <c r="B2" s="134" t="inlineStr">
        <is>
          <t>贾建国</t>
        </is>
      </c>
      <c r="C2" s="156" t="n"/>
      <c r="E2" s="43" t="inlineStr">
        <is>
          <t>开始日期:</t>
        </is>
      </c>
      <c r="F2" s="157" t="n"/>
      <c r="G2" s="43" t="inlineStr">
        <is>
          <t>结束日期:</t>
        </is>
      </c>
      <c r="H2" s="157" t="n"/>
      <c r="K2" s="95" t="inlineStr">
        <is>
          <t>自 备 筐 汇 总</t>
        </is>
      </c>
      <c r="P2" s="155">
        <f>IF($H$2="",DATE(2999,12,31),$H$2)</f>
        <v>401768.0</v>
      </c>
    </row>
    <row r="3" ht="19.5" customHeight="1" s="127">
      <c r="A3" s="96" t="inlineStr">
        <is>
          <t>★ 客户自己带来的筐（筐子类型以「自备」开头）＋《02》客户自备加工筐明细。表外备查，不进公司资产。</t>
        </is>
      </c>
      <c r="K3" s="56" t="inlineStr">
        <is>
          <t>自备筐入库</t>
        </is>
      </c>
      <c r="L3" s="158" t="n"/>
      <c r="M3" s="159">
        <f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1993</v>
      </c>
    </row>
    <row r="4" ht="24" customHeight="1" s="127">
      <c r="A4" s="54" t="inlineStr">
        <is>
          <t>自备筐入库总数</t>
        </is>
      </c>
      <c r="B4" s="160" t="n"/>
      <c r="C4" s="160" t="n"/>
      <c r="D4" s="160" t="n"/>
      <c r="E4" s="160" t="n"/>
      <c r="F4" s="158" t="n"/>
      <c r="G4" s="161">
        <f>ROUND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,0)</f>
        <v>1993</v>
      </c>
      <c r="H4" s="160" t="n"/>
      <c r="I4" s="158" t="n"/>
      <c r="K4" s="56" t="inlineStr">
        <is>
          <t>自备筐出库</t>
        </is>
      </c>
      <c r="L4" s="158" t="n"/>
      <c r="M4" s="159">
        <f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</row>
    <row r="5" ht="30" customHeight="1" s="127">
      <c r="A5" s="59" t="inlineStr">
        <is>
          <t>日　期</t>
        </is>
      </c>
      <c r="B5" s="59" t="inlineStr">
        <is>
          <t>筐子类型</t>
        </is>
      </c>
      <c r="C5" s="59" t="inlineStr">
        <is>
          <t>票据单号</t>
        </is>
      </c>
      <c r="D5" s="59" t="inlineStr">
        <is>
          <t>入库数量</t>
        </is>
      </c>
      <c r="E5" s="59" t="inlineStr">
        <is>
          <t>客　户</t>
        </is>
      </c>
      <c r="F5" s="59" t="inlineStr">
        <is>
          <t>承运人车牌号</t>
        </is>
      </c>
      <c r="G5" s="59" t="inlineStr">
        <is>
          <t>业务类别</t>
        </is>
      </c>
      <c r="H5" s="59" t="inlineStr">
        <is>
          <t>来源册</t>
        </is>
      </c>
      <c r="I5" s="59" t="inlineStr">
        <is>
          <t>备　注</t>
        </is>
      </c>
      <c r="K5" s="101" t="inlineStr">
        <is>
          <t>剩余在我库</t>
        </is>
      </c>
      <c r="L5" s="158" t="n"/>
      <c r="M5" s="162">
        <f>ROUND((SUMIFS(对接源_01水果!$V$4:$V$1203,对接源_01水果!$C$4:$C$1203,$B$2,对接源_01水果!$B$4:$B$1203,"&gt;="&amp;$P$1,对接源_01水果!$B$4:$B$1203,"&lt;="&amp;$P$2,对接源_01水果!$X$4:$X$1203,"自备筐")+SUMIFS(对接源_02物料!$V$4:$V$1203,对接源_02物料!$C$4:$C$1203,$B$2,对接源_02物料!$B$4:$B$1203,"&gt;="&amp;$P$1,对接源_02物料!$B$4:$B$1203,"&lt;="&amp;$P$2,对接源_02物料!$X$4:$X$1203,"自备筐"))-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),0)</f>
        <v>1993</v>
      </c>
    </row>
    <row r="6" ht="18" customHeight="1" s="127">
      <c r="A6" s="163">
        <f>IF($AE6="","",IF($AE6&lt;=1200,IF(INDEX(对接源_01水果!$B$4:$B$1203,$AE6)=0,"",INDEX(对接源_01水果!$B$4:$B$1203,$AE6)),IF(INDEX(对接源_02物料!$B$4:$B$1203,$AE6-1200)=0,"",INDEX(对接源_02物料!$B$4:$B$1203,$AE6-1200))))</f>
        <v>46273.0</v>
      </c>
      <c r="B6" s="64" t="str">
        <f>IF($AE6="","",IF($AE6&lt;=1200,IF(INDEX(对接源_01水果!$S$4:$S$1203,$AE6)=0,"",INDEX(对接源_01水果!$S$4:$S$1203,$AE6)),IF(INDEX(对接源_02物料!$S$4:$S$1203,$AE6-1200)=0,"",INDEX(对接源_02物料!$S$4:$S$1203,$AE6-1200))))</f>
        <v>自备一次性筐</v>
      </c>
      <c r="C6" s="61" t="str">
        <f>IF($AE6="","",IF($AE6&lt;=1200,IF(INDEX(对接源_01水果!$E$4:$E$1203,$AE6)=0,"",INDEX(对接源_01水果!$E$4:$E$1203,$AE6)),IF(INDEX(对接源_02物料!$E$4:$E$1203,$AE6-1200)=0,"",INDEX(对接源_02物料!$E$4:$E$1203,$AE6-1200))))</f>
        <v>NO:0000760</v>
      </c>
      <c r="D6" s="164">
        <f>IF($AE6="","",IF($AE6&lt;=1200,IF(INDEX(对接源_01水果!$V$4:$V$1203,$AE6)=0,"",INDEX(对接源_01水果!$V$4:$V$1203,$AE6)),IF(INDEX(对接源_02物料!$V$4:$V$1203,$AE6-1200)=0,"",INDEX(对接源_02物料!$V$4:$V$1203,$AE6-1200))))</f>
        <v>144</v>
      </c>
      <c r="E6" s="64" t="str">
        <f>IF($AE6="","",IF($AE6&lt;=1200,IF(INDEX(对接源_01水果!$C$4:$C$1203,$AE6)=0,"",INDEX(对接源_01水果!$C$4:$C$1203,$AE6)),IF(INDEX(对接源_02物料!$C$4:$C$1203,$AE6-1200)=0,"",INDEX(对接源_02物料!$C$4:$C$1203,$AE6-1200))))</f>
        <v>贾建国</v>
      </c>
      <c r="F6" s="61" t="str">
        <f>IF($AE6="","",IF($AE6&lt;=1200,IF(INDEX(对接源_01水果!$W$4:$W$1203,$AE6)=0,"",INDEX(对接源_01水果!$W$4:$W$1203,$AE6)),IF(INDEX(对接源_02物料!$W$4:$W$1203,$AE6-1200)=0,"",INDEX(对接源_02物料!$W$4:$W$1203,$AE6-1200))))</f>
        <v>豫Q*H5591</v>
      </c>
      <c r="G6" s="64" t="str">
        <f>IF($AE6="","",IF($AE6&lt;=1200,IF(INDEX(对接源_01水果!$D$4:$D$1203,$AE6)=0,"",INDEX(对接源_01水果!$D$4:$D$1203,$AE6)),IF(INDEX(对接源_02物料!$D$4:$D$1203,$AE6-1200)=0,"",INDEX(对接源_02物料!$D$4:$D$1203,$AE6-1200))))</f>
        <v>原料入库</v>
      </c>
      <c r="H6" s="61" t="str">
        <f>IF($AE6="","",IF($AE6&lt;=1200,"01水果册","02物料册"))</f>
        <v>01水果册</v>
      </c>
      <c r="I6" s="64">
        <f>IF($AE6="","",IF($AE6&lt;=1200,IF(INDEX(对接源_01水果!$M$4:$M$1203,$AE6)=0,"",INDEX(对接源_01水果!$M$4:$M$1203,$AE6)),IF(INDEX(对接源_02物料!$M$4:$M$1203,$AE6-1200)=0,"",INDEX(对接源_02物料!$M$4:$M$1203,$AE6-1200))))</f>
      </c>
      <c r="AE6" s="2">
        <f>IFERROR(MATCH(1,_自动清单!$W$4:$W$2403,0),"")</f>
        <v>154</v>
      </c>
    </row>
    <row r="7" ht="18" customHeight="1" s="127">
      <c r="A7" s="165">
        <f>IF($AE7="","",IF($AE7&lt;=1200,IF(INDEX(对接源_01水果!$B$4:$B$1203,$AE7)=0,"",INDEX(对接源_01水果!$B$4:$B$1203,$AE7)),IF(INDEX(对接源_02物料!$B$4:$B$1203,$AE7-1200)=0,"",INDEX(对接源_02物料!$B$4:$B$1203,$AE7-1200))))</f>
        <v>46273.0</v>
      </c>
      <c r="B7" s="107" t="str">
        <f>IF($AE7="","",IF($AE7&lt;=1200,IF(INDEX(对接源_01水果!$S$4:$S$1203,$AE7)=0,"",INDEX(对接源_01水果!$S$4:$S$1203,$AE7)),IF(INDEX(对接源_02物料!$S$4:$S$1203,$AE7-1200)=0,"",INDEX(对接源_02物料!$S$4:$S$1203,$AE7-1200))))</f>
        <v>自备杂周转筐</v>
      </c>
      <c r="C7" s="104" t="str">
        <f>IF($AE7="","",IF($AE7&lt;=1200,IF(INDEX(对接源_01水果!$E$4:$E$1203,$AE7)=0,"",INDEX(对接源_01水果!$E$4:$E$1203,$AE7)),IF(INDEX(对接源_02物料!$E$4:$E$1203,$AE7-1200)=0,"",INDEX(对接源_02物料!$E$4:$E$1203,$AE7-1200))))</f>
        <v>NO:0000760</v>
      </c>
      <c r="D7" s="166">
        <f>IF($AE7="","",IF($AE7&lt;=1200,IF(INDEX(对接源_01水果!$V$4:$V$1203,$AE7)=0,"",INDEX(对接源_01水果!$V$4:$V$1203,$AE7)),IF(INDEX(对接源_02物料!$V$4:$V$1203,$AE7-1200)=0,"",INDEX(对接源_02物料!$V$4:$V$1203,$AE7-1200))))</f>
        <v>24</v>
      </c>
      <c r="E7" s="107" t="str">
        <f>IF($AE7="","",IF($AE7&lt;=1200,IF(INDEX(对接源_01水果!$C$4:$C$1203,$AE7)=0,"",INDEX(对接源_01水果!$C$4:$C$1203,$AE7)),IF(INDEX(对接源_02物料!$C$4:$C$1203,$AE7-1200)=0,"",INDEX(对接源_02物料!$C$4:$C$1203,$AE7-1200))))</f>
        <v>贾建国</v>
      </c>
      <c r="F7" s="104" t="str">
        <f>IF($AE7="","",IF($AE7&lt;=1200,IF(INDEX(对接源_01水果!$W$4:$W$1203,$AE7)=0,"",INDEX(对接源_01水果!$W$4:$W$1203,$AE7)),IF(INDEX(对接源_02物料!$W$4:$W$1203,$AE7-1200)=0,"",INDEX(对接源_02物料!$W$4:$W$1203,$AE7-1200))))</f>
        <v>豫Q*H5591</v>
      </c>
      <c r="G7" s="107" t="str">
        <f>IF($AE7="","",IF($AE7&lt;=1200,IF(INDEX(对接源_01水果!$D$4:$D$1203,$AE7)=0,"",INDEX(对接源_01水果!$D$4:$D$1203,$AE7)),IF(INDEX(对接源_02物料!$D$4:$D$1203,$AE7-1200)=0,"",INDEX(对接源_02物料!$D$4:$D$1203,$AE7-1200))))</f>
        <v>原料入库</v>
      </c>
      <c r="H7" s="104" t="str">
        <f>IF($AE7="","",IF($AE7&lt;=1200,"01水果册","02物料册"))</f>
        <v>01水果册</v>
      </c>
      <c r="I7" s="107">
        <f>IF($AE7="","",IF($AE7&lt;=1200,IF(INDEX(对接源_01水果!$M$4:$M$1203,$AE7)=0,"",INDEX(对接源_01水果!$M$4:$M$1203,$AE7)),IF(INDEX(对接源_02物料!$M$4:$M$1203,$AE7-1200)=0,"",INDEX(对接源_02物料!$M$4:$M$1203,$AE7-1200))))</f>
      </c>
      <c r="AE7" s="2">
        <f>IFERROR(MATCH(2,_自动清单!$W$4:$W$2403,0),"")</f>
        <v>155</v>
      </c>
    </row>
    <row r="8" ht="18" customHeight="1" s="127">
      <c r="A8" s="163">
        <f>IF($AE8="","",IF($AE8&lt;=1200,IF(INDEX(对接源_01水果!$B$4:$B$1203,$AE8)=0,"",INDEX(对接源_01水果!$B$4:$B$1203,$AE8)),IF(INDEX(对接源_02物料!$B$4:$B$1203,$AE8-1200)=0,"",INDEX(对接源_02物料!$B$4:$B$1203,$AE8-1200))))</f>
        <v>46274.0</v>
      </c>
      <c r="B8" s="64" t="str">
        <f>IF($AE8="","",IF($AE8&lt;=1200,IF(INDEX(对接源_01水果!$S$4:$S$1203,$AE8)=0,"",INDEX(对接源_01水果!$S$4:$S$1203,$AE8)),IF(INDEX(对接源_02物料!$S$4:$S$1203,$AE8-1200)=0,"",INDEX(对接源_02物料!$S$4:$S$1203,$AE8-1200))))</f>
        <v>自备杂周转筐</v>
      </c>
      <c r="C8" s="61" t="str">
        <f>IF($AE8="","",IF($AE8&lt;=1200,IF(INDEX(对接源_01水果!$E$4:$E$1203,$AE8)=0,"",INDEX(对接源_01水果!$E$4:$E$1203,$AE8)),IF(INDEX(对接源_02物料!$E$4:$E$1203,$AE8-1200)=0,"",INDEX(对接源_02物料!$E$4:$E$1203,$AE8-1200))))</f>
        <v>NO:0000767</v>
      </c>
      <c r="D8" s="164">
        <f>IF($AE8="","",IF($AE8&lt;=1200,IF(INDEX(对接源_01水果!$V$4:$V$1203,$AE8)=0,"",INDEX(对接源_01水果!$V$4:$V$1203,$AE8)),IF(INDEX(对接源_02物料!$V$4:$V$1203,$AE8-1200)=0,"",INDEX(对接源_02物料!$V$4:$V$1203,$AE8-1200))))</f>
        <v>170</v>
      </c>
      <c r="E8" s="64" t="str">
        <f>IF($AE8="","",IF($AE8&lt;=1200,IF(INDEX(对接源_01水果!$C$4:$C$1203,$AE8)=0,"",INDEX(对接源_01水果!$C$4:$C$1203,$AE8)),IF(INDEX(对接源_02物料!$C$4:$C$1203,$AE8-1200)=0,"",INDEX(对接源_02物料!$C$4:$C$1203,$AE8-1200))))</f>
        <v>贾建国</v>
      </c>
      <c r="F8" s="61" t="str">
        <f>IF($AE8="","",IF($AE8&lt;=1200,IF(INDEX(对接源_01水果!$W$4:$W$1203,$AE8)=0,"",INDEX(对接源_01水果!$W$4:$W$1203,$AE8)),IF(INDEX(对接源_02物料!$W$4:$W$1203,$AE8-1200)=0,"",INDEX(对接源_02物料!$W$4:$W$1203,$AE8-1200))))</f>
        <v>豫Q*H5591</v>
      </c>
      <c r="G8" s="64" t="str">
        <f>IF($AE8="","",IF($AE8&lt;=1200,IF(INDEX(对接源_01水果!$D$4:$D$1203,$AE8)=0,"",INDEX(对接源_01水果!$D$4:$D$1203,$AE8)),IF(INDEX(对接源_02物料!$D$4:$D$1203,$AE8-1200)=0,"",INDEX(对接源_02物料!$D$4:$D$1203,$AE8-1200))))</f>
        <v>原料入库</v>
      </c>
      <c r="H8" s="61" t="str">
        <f>IF($AE8="","",IF($AE8&lt;=1200,"01水果册","02物料册"))</f>
        <v>01水果册</v>
      </c>
      <c r="I8" s="64" t="str">
        <f>IF($AE8="","",IF($AE8&lt;=1200,IF(INDEX(对接源_01水果!$M$4:$M$1203,$AE8)=0,"",INDEX(对接源_01水果!$M$4:$M$1203,$AE8)),IF(INDEX(对接源_02物料!$M$4:$M$1203,$AE8-1200)=0,"",INDEX(对接源_02物料!$M$4:$M$1203,$AE8-1200))))</f>
        <v>二黄</v>
      </c>
      <c r="AE8" s="2">
        <f>IFERROR(MATCH(3,_自动清单!$W$4:$W$2403,0),"")</f>
        <v>162</v>
      </c>
    </row>
    <row r="9" ht="18" customHeight="1" s="127">
      <c r="A9" s="165">
        <f>IF($AE9="","",IF($AE9&lt;=1200,IF(INDEX(对接源_01水果!$B$4:$B$1203,$AE9)=0,"",INDEX(对接源_01水果!$B$4:$B$1203,$AE9)),IF(INDEX(对接源_02物料!$B$4:$B$1203,$AE9-1200)=0,"",INDEX(对接源_02物料!$B$4:$B$1203,$AE9-1200))))</f>
        <v>46274.0</v>
      </c>
      <c r="B9" s="107" t="str">
        <f>IF($AE9="","",IF($AE9&lt;=1200,IF(INDEX(对接源_01水果!$S$4:$S$1203,$AE9)=0,"",INDEX(对接源_01水果!$S$4:$S$1203,$AE9)),IF(INDEX(对接源_02物料!$S$4:$S$1203,$AE9-1200)=0,"",INDEX(对接源_02物料!$S$4:$S$1203,$AE9-1200))))</f>
        <v>自备一次性筐</v>
      </c>
      <c r="C9" s="104" t="str">
        <f>IF($AE9="","",IF($AE9&lt;=1200,IF(INDEX(对接源_01水果!$E$4:$E$1203,$AE9)=0,"",INDEX(对接源_01水果!$E$4:$E$1203,$AE9)),IF(INDEX(对接源_02物料!$E$4:$E$1203,$AE9-1200)=0,"",INDEX(对接源_02物料!$E$4:$E$1203,$AE9-1200))))</f>
        <v>NO:0000767</v>
      </c>
      <c r="D9" s="166">
        <f>IF($AE9="","",IF($AE9&lt;=1200,IF(INDEX(对接源_01水果!$V$4:$V$1203,$AE9)=0,"",INDEX(对接源_01水果!$V$4:$V$1203,$AE9)),IF(INDEX(对接源_02物料!$V$4:$V$1203,$AE9-1200)=0,"",INDEX(对接源_02物料!$V$4:$V$1203,$AE9-1200))))</f>
        <v>28</v>
      </c>
      <c r="E9" s="107" t="str">
        <f>IF($AE9="","",IF($AE9&lt;=1200,IF(INDEX(对接源_01水果!$C$4:$C$1203,$AE9)=0,"",INDEX(对接源_01水果!$C$4:$C$1203,$AE9)),IF(INDEX(对接源_02物料!$C$4:$C$1203,$AE9-1200)=0,"",INDEX(对接源_02物料!$C$4:$C$1203,$AE9-1200))))</f>
        <v>贾建国</v>
      </c>
      <c r="F9" s="104" t="str">
        <f>IF($AE9="","",IF($AE9&lt;=1200,IF(INDEX(对接源_01水果!$W$4:$W$1203,$AE9)=0,"",INDEX(对接源_01水果!$W$4:$W$1203,$AE9)),IF(INDEX(对接源_02物料!$W$4:$W$1203,$AE9-1200)=0,"",INDEX(对接源_02物料!$W$4:$W$1203,$AE9-1200))))</f>
        <v>豫Q*H5591</v>
      </c>
      <c r="G9" s="107" t="str">
        <f>IF($AE9="","",IF($AE9&lt;=1200,IF(INDEX(对接源_01水果!$D$4:$D$1203,$AE9)=0,"",INDEX(对接源_01水果!$D$4:$D$1203,$AE9)),IF(INDEX(对接源_02物料!$D$4:$D$1203,$AE9-1200)=0,"",INDEX(对接源_02物料!$D$4:$D$1203,$AE9-1200))))</f>
        <v>原料入库</v>
      </c>
      <c r="H9" s="104" t="str">
        <f>IF($AE9="","",IF($AE9&lt;=1200,"01水果册","02物料册"))</f>
        <v>01水果册</v>
      </c>
      <c r="I9" s="107" t="str">
        <f>IF($AE9="","",IF($AE9&lt;=1200,IF(INDEX(对接源_01水果!$M$4:$M$1203,$AE9)=0,"",INDEX(对接源_01水果!$M$4:$M$1203,$AE9)),IF(INDEX(对接源_02物料!$M$4:$M$1203,$AE9-1200)=0,"",INDEX(对接源_02物料!$M$4:$M$1203,$AE9-1200))))</f>
        <v>二黄</v>
      </c>
      <c r="AE9" s="2">
        <f>IFERROR(MATCH(4,_自动清单!$W$4:$W$2403,0),"")</f>
        <v>163</v>
      </c>
    </row>
    <row r="10" ht="18" customHeight="1" s="127">
      <c r="A10" s="163">
        <f>IF($AE10="","",IF($AE10&lt;=1200,IF(INDEX(对接源_01水果!$B$4:$B$1203,$AE10)=0,"",INDEX(对接源_01水果!$B$4:$B$1203,$AE10)),IF(INDEX(对接源_02物料!$B$4:$B$1203,$AE10-1200)=0,"",INDEX(对接源_02物料!$B$4:$B$1203,$AE10-1200))))</f>
        <v>46276.0</v>
      </c>
      <c r="B10" s="64" t="str">
        <f>IF($AE10="","",IF($AE10&lt;=1200,IF(INDEX(对接源_01水果!$S$4:$S$1203,$AE10)=0,"",INDEX(对接源_01水果!$S$4:$S$1203,$AE10)),IF(INDEX(对接源_02物料!$S$4:$S$1203,$AE10-1200)=0,"",INDEX(对接源_02物料!$S$4:$S$1203,$AE10-1200))))</f>
        <v>自备一次性筐</v>
      </c>
      <c r="C10" s="61" t="str">
        <f>IF($AE10="","",IF($AE10&lt;=1200,IF(INDEX(对接源_01水果!$E$4:$E$1203,$AE10)=0,"",INDEX(对接源_01水果!$E$4:$E$1203,$AE10)),IF(INDEX(对接源_02物料!$E$4:$E$1203,$AE10-1200)=0,"",INDEX(对接源_02物料!$E$4:$E$1203,$AE10-1200))))</f>
        <v>NO:0000787</v>
      </c>
      <c r="D10" s="164">
        <f>IF($AE10="","",IF($AE10&lt;=1200,IF(INDEX(对接源_01水果!$V$4:$V$1203,$AE10)=0,"",INDEX(对接源_01水果!$V$4:$V$1203,$AE10)),IF(INDEX(对接源_02物料!$V$4:$V$1203,$AE10-1200)=0,"",INDEX(对接源_02物料!$V$4:$V$1203,$AE10-1200))))</f>
        <v>393</v>
      </c>
      <c r="E10" s="64" t="str">
        <f>IF($AE10="","",IF($AE10&lt;=1200,IF(INDEX(对接源_01水果!$C$4:$C$1203,$AE10)=0,"",INDEX(对接源_01水果!$C$4:$C$1203,$AE10)),IF(INDEX(对接源_02物料!$C$4:$C$1203,$AE10-1200)=0,"",INDEX(对接源_02物料!$C$4:$C$1203,$AE10-1200))))</f>
        <v>贾建国</v>
      </c>
      <c r="F10" s="61" t="str">
        <f>IF($AE10="","",IF($AE10&lt;=1200,IF(INDEX(对接源_01水果!$W$4:$W$1203,$AE10)=0,"",INDEX(对接源_01水果!$W$4:$W$1203,$AE10)),IF(INDEX(对接源_02物料!$W$4:$W$1203,$AE10-1200)=0,"",INDEX(对接源_02物料!$W$4:$W$1203,$AE10-1200))))</f>
        <v>豫Q*H5591</v>
      </c>
      <c r="G10" s="64" t="str">
        <f>IF($AE10="","",IF($AE10&lt;=1200,IF(INDEX(对接源_01水果!$D$4:$D$1203,$AE10)=0,"",INDEX(对接源_01水果!$D$4:$D$1203,$AE10)),IF(INDEX(对接源_02物料!$D$4:$D$1203,$AE10-1200)=0,"",INDEX(对接源_02物料!$D$4:$D$1203,$AE10-1200))))</f>
        <v>原料入库</v>
      </c>
      <c r="H10" s="61" t="str">
        <f>IF($AE10="","",IF($AE10&lt;=1200,"01水果册","02物料册"))</f>
        <v>01水果册</v>
      </c>
      <c r="I10" s="64">
        <f>IF($AE10="","",IF($AE10&lt;=1200,IF(INDEX(对接源_01水果!$M$4:$M$1203,$AE10)=0,"",INDEX(对接源_01水果!$M$4:$M$1203,$AE10)),IF(INDEX(对接源_02物料!$M$4:$M$1203,$AE10-1200)=0,"",INDEX(对接源_02物料!$M$4:$M$1203,$AE10-1200))))</f>
      </c>
      <c r="AE10" s="2">
        <f>IFERROR(MATCH(5,_自动清单!$W$4:$W$2403,0),"")</f>
        <v>192</v>
      </c>
    </row>
    <row r="11" ht="18" customHeight="1" s="127">
      <c r="A11" s="165">
        <f>IF($AE11="","",IF($AE11&lt;=1200,IF(INDEX(对接源_01水果!$B$4:$B$1203,$AE11)=0,"",INDEX(对接源_01水果!$B$4:$B$1203,$AE11)),IF(INDEX(对接源_02物料!$B$4:$B$1203,$AE11-1200)=0,"",INDEX(对接源_02物料!$B$4:$B$1203,$AE11-1200))))</f>
        <v>46278.0</v>
      </c>
      <c r="B11" s="107" t="str">
        <f>IF($AE11="","",IF($AE11&lt;=1200,IF(INDEX(对接源_01水果!$S$4:$S$1203,$AE11)=0,"",INDEX(对接源_01水果!$S$4:$S$1203,$AE11)),IF(INDEX(对接源_02物料!$S$4:$S$1203,$AE11-1200)=0,"",INDEX(对接源_02物料!$S$4:$S$1203,$AE11-1200))))</f>
        <v>自备杂周转筐</v>
      </c>
      <c r="C11" s="104" t="str">
        <f>IF($AE11="","",IF($AE11&lt;=1200,IF(INDEX(对接源_01水果!$E$4:$E$1203,$AE11)=0,"",INDEX(对接源_01水果!$E$4:$E$1203,$AE11)),IF(INDEX(对接源_02物料!$E$4:$E$1203,$AE11-1200)=0,"",INDEX(对接源_02物料!$E$4:$E$1203,$AE11-1200))))</f>
        <v>NO:0000797</v>
      </c>
      <c r="D11" s="166">
        <f>IF($AE11="","",IF($AE11&lt;=1200,IF(INDEX(对接源_01水果!$V$4:$V$1203,$AE11)=0,"",INDEX(对接源_01水果!$V$4:$V$1203,$AE11)),IF(INDEX(对接源_02物料!$V$4:$V$1203,$AE11-1200)=0,"",INDEX(对接源_02物料!$V$4:$V$1203,$AE11-1200))))</f>
        <v>160</v>
      </c>
      <c r="E11" s="107" t="str">
        <f>IF($AE11="","",IF($AE11&lt;=1200,IF(INDEX(对接源_01水果!$C$4:$C$1203,$AE11)=0,"",INDEX(对接源_01水果!$C$4:$C$1203,$AE11)),IF(INDEX(对接源_02物料!$C$4:$C$1203,$AE11-1200)=0,"",INDEX(对接源_02物料!$C$4:$C$1203,$AE11-1200))))</f>
        <v>贾建国</v>
      </c>
      <c r="F11" s="104" t="str">
        <f>IF($AE11="","",IF($AE11&lt;=1200,IF(INDEX(对接源_01水果!$W$4:$W$1203,$AE11)=0,"",INDEX(对接源_01水果!$W$4:$W$1203,$AE11)),IF(INDEX(对接源_02物料!$W$4:$W$1203,$AE11-1200)=0,"",INDEX(对接源_02物料!$W$4:$W$1203,$AE11-1200))))</f>
        <v>豫Q*H5591</v>
      </c>
      <c r="G11" s="107" t="str">
        <f>IF($AE11="","",IF($AE11&lt;=1200,IF(INDEX(对接源_01水果!$D$4:$D$1203,$AE11)=0,"",INDEX(对接源_01水果!$D$4:$D$1203,$AE11)),IF(INDEX(对接源_02物料!$D$4:$D$1203,$AE11-1200)=0,"",INDEX(对接源_02物料!$D$4:$D$1203,$AE11-1200))))</f>
        <v>原料入库</v>
      </c>
      <c r="H11" s="104" t="str">
        <f>IF($AE11="","",IF($AE11&lt;=1200,"01水果册","02物料册"))</f>
        <v>01水果册</v>
      </c>
      <c r="I11" s="107">
        <f>IF($AE11="","",IF($AE11&lt;=1200,IF(INDEX(对接源_01水果!$M$4:$M$1203,$AE11)=0,"",INDEX(对接源_01水果!$M$4:$M$1203,$AE11)),IF(INDEX(对接源_02物料!$M$4:$M$1203,$AE11-1200)=0,"",INDEX(对接源_02物料!$M$4:$M$1203,$AE11-1200))))</f>
      </c>
      <c r="AE11" s="2">
        <f>IFERROR(MATCH(6,_自动清单!$W$4:$W$2403,0),"")</f>
        <v>208</v>
      </c>
    </row>
    <row r="12" ht="18" customHeight="1" s="127">
      <c r="A12" s="163">
        <f>IF($AE12="","",IF($AE12&lt;=1200,IF(INDEX(对接源_01水果!$B$4:$B$1203,$AE12)=0,"",INDEX(对接源_01水果!$B$4:$B$1203,$AE12)),IF(INDEX(对接源_02物料!$B$4:$B$1203,$AE12-1200)=0,"",INDEX(对接源_02物料!$B$4:$B$1203,$AE12-1200))))</f>
        <v>46278.0</v>
      </c>
      <c r="B12" s="64" t="str">
        <f>IF($AE12="","",IF($AE12&lt;=1200,IF(INDEX(对接源_01水果!$S$4:$S$1203,$AE12)=0,"",INDEX(对接源_01水果!$S$4:$S$1203,$AE12)),IF(INDEX(对接源_02物料!$S$4:$S$1203,$AE12-1200)=0,"",INDEX(对接源_02物料!$S$4:$S$1203,$AE12-1200))))</f>
        <v>自备一次性筐</v>
      </c>
      <c r="C12" s="61" t="str">
        <f>IF($AE12="","",IF($AE12&lt;=1200,IF(INDEX(对接源_01水果!$E$4:$E$1203,$AE12)=0,"",INDEX(对接源_01水果!$E$4:$E$1203,$AE12)),IF(INDEX(对接源_02物料!$E$4:$E$1203,$AE12-1200)=0,"",INDEX(对接源_02物料!$E$4:$E$1203,$AE12-1200))))</f>
        <v>NO:0000797</v>
      </c>
      <c r="D12" s="164">
        <f>IF($AE12="","",IF($AE12&lt;=1200,IF(INDEX(对接源_01水果!$V$4:$V$1203,$AE12)=0,"",INDEX(对接源_01水果!$V$4:$V$1203,$AE12)),IF(INDEX(对接源_02物料!$V$4:$V$1203,$AE12-1200)=0,"",INDEX(对接源_02物料!$V$4:$V$1203,$AE12-1200))))</f>
        <v>267</v>
      </c>
      <c r="E12" s="64" t="str">
        <f>IF($AE12="","",IF($AE12&lt;=1200,IF(INDEX(对接源_01水果!$C$4:$C$1203,$AE12)=0,"",INDEX(对接源_01水果!$C$4:$C$1203,$AE12)),IF(INDEX(对接源_02物料!$C$4:$C$1203,$AE12-1200)=0,"",INDEX(对接源_02物料!$C$4:$C$1203,$AE12-1200))))</f>
        <v>贾建国</v>
      </c>
      <c r="F12" s="61" t="str">
        <f>IF($AE12="","",IF($AE12&lt;=1200,IF(INDEX(对接源_01水果!$W$4:$W$1203,$AE12)=0,"",INDEX(对接源_01水果!$W$4:$W$1203,$AE12)),IF(INDEX(对接源_02物料!$W$4:$W$1203,$AE12-1200)=0,"",INDEX(对接源_02物料!$W$4:$W$1203,$AE12-1200))))</f>
        <v>豫Q*H5591</v>
      </c>
      <c r="G12" s="64" t="str">
        <f>IF($AE12="","",IF($AE12&lt;=1200,IF(INDEX(对接源_01水果!$D$4:$D$1203,$AE12)=0,"",INDEX(对接源_01水果!$D$4:$D$1203,$AE12)),IF(INDEX(对接源_02物料!$D$4:$D$1203,$AE12-1200)=0,"",INDEX(对接源_02物料!$D$4:$D$1203,$AE12-1200))))</f>
        <v>原料入库</v>
      </c>
      <c r="H12" s="61" t="str">
        <f>IF($AE12="","",IF($AE12&lt;=1200,"01水果册","02物料册"))</f>
        <v>01水果册</v>
      </c>
      <c r="I12" s="64">
        <f>IF($AE12="","",IF($AE12&lt;=1200,IF(INDEX(对接源_01水果!$M$4:$M$1203,$AE12)=0,"",INDEX(对接源_01水果!$M$4:$M$1203,$AE12)),IF(INDEX(对接源_02物料!$M$4:$M$1203,$AE12-1200)=0,"",INDEX(对接源_02物料!$M$4:$M$1203,$AE12-1200))))</f>
      </c>
      <c r="AE12" s="2">
        <f>IFERROR(MATCH(7,_自动清单!$W$4:$W$2403,0),"")</f>
        <v>209</v>
      </c>
    </row>
    <row r="13" ht="18" customHeight="1" s="127">
      <c r="A13" s="165">
        <f>IF($AE13="","",IF($AE13&lt;=1200,IF(INDEX(对接源_01水果!$B$4:$B$1203,$AE13)=0,"",INDEX(对接源_01水果!$B$4:$B$1203,$AE13)),IF(INDEX(对接源_02物料!$B$4:$B$1203,$AE13-1200)=0,"",INDEX(对接源_02物料!$B$4:$B$1203,$AE13-1200))))</f>
        <v>46279.0</v>
      </c>
      <c r="B13" s="107" t="str">
        <f>IF($AE13="","",IF($AE13&lt;=1200,IF(INDEX(对接源_01水果!$S$4:$S$1203,$AE13)=0,"",INDEX(对接源_01水果!$S$4:$S$1203,$AE13)),IF(INDEX(对接源_02物料!$S$4:$S$1203,$AE13-1200)=0,"",INDEX(对接源_02物料!$S$4:$S$1203,$AE13-1200))))</f>
        <v>自备杂周转筐</v>
      </c>
      <c r="C13" s="104" t="str">
        <f>IF($AE13="","",IF($AE13&lt;=1200,IF(INDEX(对接源_01水果!$E$4:$E$1203,$AE13)=0,"",INDEX(对接源_01水果!$E$4:$E$1203,$AE13)),IF(INDEX(对接源_02物料!$E$4:$E$1203,$AE13-1200)=0,"",INDEX(对接源_02物料!$E$4:$E$1203,$AE13-1200))))</f>
        <v>NO:0000859</v>
      </c>
      <c r="D13" s="166">
        <f>IF($AE13="","",IF($AE13&lt;=1200,IF(INDEX(对接源_01水果!$V$4:$V$1203,$AE13)=0,"",INDEX(对接源_01水果!$V$4:$V$1203,$AE13)),IF(INDEX(对接源_02物料!$V$4:$V$1203,$AE13-1200)=0,"",INDEX(对接源_02物料!$V$4:$V$1203,$AE13-1200))))</f>
        <v>125</v>
      </c>
      <c r="E13" s="107" t="str">
        <f>IF($AE13="","",IF($AE13&lt;=1200,IF(INDEX(对接源_01水果!$C$4:$C$1203,$AE13)=0,"",INDEX(对接源_01水果!$C$4:$C$1203,$AE13)),IF(INDEX(对接源_02物料!$C$4:$C$1203,$AE13-1200)=0,"",INDEX(对接源_02物料!$C$4:$C$1203,$AE13-1200))))</f>
        <v>贾建国</v>
      </c>
      <c r="F13" s="104" t="str">
        <f>IF($AE13="","",IF($AE13&lt;=1200,IF(INDEX(对接源_01水果!$W$4:$W$1203,$AE13)=0,"",INDEX(对接源_01水果!$W$4:$W$1203,$AE13)),IF(INDEX(对接源_02物料!$W$4:$W$1203,$AE13-1200)=0,"",INDEX(对接源_02物料!$W$4:$W$1203,$AE13-1200))))</f>
        <v>豫Q*H5591</v>
      </c>
      <c r="G13" s="107" t="str">
        <f>IF($AE13="","",IF($AE13&lt;=1200,IF(INDEX(对接源_01水果!$D$4:$D$1203,$AE13)=0,"",INDEX(对接源_01水果!$D$4:$D$1203,$AE13)),IF(INDEX(对接源_02物料!$D$4:$D$1203,$AE13-1200)=0,"",INDEX(对接源_02物料!$D$4:$D$1203,$AE13-1200))))</f>
        <v>原料入库</v>
      </c>
      <c r="H13" s="104" t="str">
        <f>IF($AE13="","",IF($AE13&lt;=1200,"01水果册","02物料册"))</f>
        <v>01水果册</v>
      </c>
      <c r="I13" s="107">
        <f>IF($AE13="","",IF($AE13&lt;=1200,IF(INDEX(对接源_01水果!$M$4:$M$1203,$AE13)=0,"",INDEX(对接源_01水果!$M$4:$M$1203,$AE13)),IF(INDEX(对接源_02物料!$M$4:$M$1203,$AE13-1200)=0,"",INDEX(对接源_02物料!$M$4:$M$1203,$AE13-1200))))</f>
      </c>
      <c r="AE13" s="2">
        <f>IFERROR(MATCH(8,_自动清单!$W$4:$W$2403,0),"")</f>
        <v>231</v>
      </c>
    </row>
    <row r="14" ht="18" customHeight="1" s="127">
      <c r="A14" s="163">
        <f>IF($AE14="","",IF($AE14&lt;=1200,IF(INDEX(对接源_01水果!$B$4:$B$1203,$AE14)=0,"",INDEX(对接源_01水果!$B$4:$B$1203,$AE14)),IF(INDEX(对接源_02物料!$B$4:$B$1203,$AE14-1200)=0,"",INDEX(对接源_02物料!$B$4:$B$1203,$AE14-1200))))</f>
        <v>46285.0</v>
      </c>
      <c r="B14" s="64" t="str">
        <f>IF($AE14="","",IF($AE14&lt;=1200,IF(INDEX(对接源_01水果!$S$4:$S$1203,$AE14)=0,"",INDEX(对接源_01水果!$S$4:$S$1203,$AE14)),IF(INDEX(对接源_02物料!$S$4:$S$1203,$AE14-1200)=0,"",INDEX(对接源_02物料!$S$4:$S$1203,$AE14-1200))))</f>
        <v>自备一次性筐</v>
      </c>
      <c r="C14" s="61" t="str">
        <f>IF($AE14="","",IF($AE14&lt;=1200,IF(INDEX(对接源_01水果!$E$4:$E$1203,$AE14)=0,"",INDEX(对接源_01水果!$E$4:$E$1203,$AE14)),IF(INDEX(对接源_02物料!$E$4:$E$1203,$AE14-1200)=0,"",INDEX(对接源_02物料!$E$4:$E$1203,$AE14-1200))))</f>
        <v>NO:0000924</v>
      </c>
      <c r="D14" s="164">
        <f>IF($AE14="","",IF($AE14&lt;=1200,IF(INDEX(对接源_01水果!$V$4:$V$1203,$AE14)=0,"",INDEX(对接源_01水果!$V$4:$V$1203,$AE14)),IF(INDEX(对接源_02物料!$V$4:$V$1203,$AE14-1200)=0,"",INDEX(对接源_02物料!$V$4:$V$1203,$AE14-1200))))</f>
        <v>309</v>
      </c>
      <c r="E14" s="64" t="str">
        <f>IF($AE14="","",IF($AE14&lt;=1200,IF(INDEX(对接源_01水果!$C$4:$C$1203,$AE14)=0,"",INDEX(对接源_01水果!$C$4:$C$1203,$AE14)),IF(INDEX(对接源_02物料!$C$4:$C$1203,$AE14-1200)=0,"",INDEX(对接源_02物料!$C$4:$C$1203,$AE14-1200))))</f>
        <v>贾建国</v>
      </c>
      <c r="F14" s="61" t="str">
        <f>IF($AE14="","",IF($AE14&lt;=1200,IF(INDEX(对接源_01水果!$W$4:$W$1203,$AE14)=0,"",INDEX(对接源_01水果!$W$4:$W$1203,$AE14)),IF(INDEX(对接源_02物料!$W$4:$W$1203,$AE14-1200)=0,"",INDEX(对接源_02物料!$W$4:$W$1203,$AE14-1200))))</f>
        <v>新N*54567</v>
      </c>
      <c r="G14" s="64" t="str">
        <f>IF($AE14="","",IF($AE14&lt;=1200,IF(INDEX(对接源_01水果!$D$4:$D$1203,$AE14)=0,"",INDEX(对接源_01水果!$D$4:$D$1203,$AE14)),IF(INDEX(对接源_02物料!$D$4:$D$1203,$AE14-1200)=0,"",INDEX(对接源_02物料!$D$4:$D$1203,$AE14-1200))))</f>
        <v>原料入库</v>
      </c>
      <c r="H14" s="61" t="str">
        <f>IF($AE14="","",IF($AE14&lt;=1200,"01水果册","02物料册"))</f>
        <v>01水果册</v>
      </c>
      <c r="I14" s="64" t="str">
        <f>IF($AE14="","",IF($AE14&lt;=1200,IF(INDEX(对接源_01水果!$M$4:$M$1203,$AE14)=0,"",INDEX(对接源_01水果!$M$4:$M$1203,$AE14)),IF(INDEX(对接源_02物料!$M$4:$M$1203,$AE14-1200)=0,"",INDEX(对接源_02物料!$M$4:$M$1203,$AE14-1200))))</f>
        <v>刘辉</v>
      </c>
      <c r="AE14" s="2">
        <f>IFERROR(MATCH(9,_自动清单!$W$4:$W$2403,0),"")</f>
        <v>331</v>
      </c>
    </row>
    <row r="15" ht="18" customHeight="1" s="127">
      <c r="A15" s="165">
        <f>IF($AE15="","",IF($AE15&lt;=1200,IF(INDEX(对接源_01水果!$B$4:$B$1203,$AE15)=0,"",INDEX(对接源_01水果!$B$4:$B$1203,$AE15)),IF(INDEX(对接源_02物料!$B$4:$B$1203,$AE15-1200)=0,"",INDEX(对接源_02物料!$B$4:$B$1203,$AE15-1200))))</f>
        <v>46285.0</v>
      </c>
      <c r="B15" s="107" t="str">
        <f>IF($AE15="","",IF($AE15&lt;=1200,IF(INDEX(对接源_01水果!$S$4:$S$1203,$AE15)=0,"",INDEX(对接源_01水果!$S$4:$S$1203,$AE15)),IF(INDEX(对接源_02物料!$S$4:$S$1203,$AE15-1200)=0,"",INDEX(对接源_02物料!$S$4:$S$1203,$AE15-1200))))</f>
        <v>自备一次性筐</v>
      </c>
      <c r="C15" s="104" t="str">
        <f>IF($AE15="","",IF($AE15&lt;=1200,IF(INDEX(对接源_01水果!$E$4:$E$1203,$AE15)=0,"",INDEX(对接源_01水果!$E$4:$E$1203,$AE15)),IF(INDEX(对接源_02物料!$E$4:$E$1203,$AE15-1200)=0,"",INDEX(对接源_02物料!$E$4:$E$1203,$AE15-1200))))</f>
        <v>NO:0000924</v>
      </c>
      <c r="D15" s="166">
        <f>IF($AE15="","",IF($AE15&lt;=1200,IF(INDEX(对接源_01水果!$V$4:$V$1203,$AE15)=0,"",INDEX(对接源_01水果!$V$4:$V$1203,$AE15)),IF(INDEX(对接源_02物料!$V$4:$V$1203,$AE15-1200)=0,"",INDEX(对接源_02物料!$V$4:$V$1203,$AE15-1200))))</f>
        <v>38</v>
      </c>
      <c r="E15" s="107" t="str">
        <f>IF($AE15="","",IF($AE15&lt;=1200,IF(INDEX(对接源_01水果!$C$4:$C$1203,$AE15)=0,"",INDEX(对接源_01水果!$C$4:$C$1203,$AE15)),IF(INDEX(对接源_02物料!$C$4:$C$1203,$AE15-1200)=0,"",INDEX(对接源_02物料!$C$4:$C$1203,$AE15-1200))))</f>
        <v>贾建国</v>
      </c>
      <c r="F15" s="104" t="str">
        <f>IF($AE15="","",IF($AE15&lt;=1200,IF(INDEX(对接源_01水果!$W$4:$W$1203,$AE15)=0,"",INDEX(对接源_01水果!$W$4:$W$1203,$AE15)),IF(INDEX(对接源_02物料!$W$4:$W$1203,$AE15-1200)=0,"",INDEX(对接源_02物料!$W$4:$W$1203,$AE15-1200))))</f>
        <v>新N*54567</v>
      </c>
      <c r="G15" s="107" t="str">
        <f>IF($AE15="","",IF($AE15&lt;=1200,IF(INDEX(对接源_01水果!$D$4:$D$1203,$AE15)=0,"",INDEX(对接源_01水果!$D$4:$D$1203,$AE15)),IF(INDEX(对接源_02物料!$D$4:$D$1203,$AE15-1200)=0,"",INDEX(对接源_02物料!$D$4:$D$1203,$AE15-1200))))</f>
        <v>原料入库</v>
      </c>
      <c r="H15" s="104" t="str">
        <f>IF($AE15="","",IF($AE15&lt;=1200,"01水果册","02物料册"))</f>
        <v>01水果册</v>
      </c>
      <c r="I15" s="107" t="str">
        <f>IF($AE15="","",IF($AE15&lt;=1200,IF(INDEX(对接源_01水果!$M$4:$M$1203,$AE15)=0,"",INDEX(对接源_01水果!$M$4:$M$1203,$AE15)),IF(INDEX(对接源_02物料!$M$4:$M$1203,$AE15-1200)=0,"",INDEX(对接源_02物料!$M$4:$M$1203,$AE15-1200))))</f>
        <v>刘辉</v>
      </c>
      <c r="AE15" s="2">
        <f>IFERROR(MATCH(10,_自动清单!$W$4:$W$2403,0),"")</f>
        <v>332</v>
      </c>
    </row>
    <row r="16" ht="18" customHeight="1" s="127">
      <c r="A16" s="163">
        <f>IF($AE16="","",IF($AE16&lt;=1200,IF(INDEX(对接源_01水果!$B$4:$B$1203,$AE16)=0,"",INDEX(对接源_01水果!$B$4:$B$1203,$AE16)),IF(INDEX(对接源_02物料!$B$4:$B$1203,$AE16-1200)=0,"",INDEX(对接源_02物料!$B$4:$B$1203,$AE16-1200))))</f>
        <v>46285.0</v>
      </c>
      <c r="B16" s="64" t="str">
        <f>IF($AE16="","",IF($AE16&lt;=1200,IF(INDEX(对接源_01水果!$S$4:$S$1203,$AE16)=0,"",INDEX(对接源_01水果!$S$4:$S$1203,$AE16)),IF(INDEX(对接源_02物料!$S$4:$S$1203,$AE16-1200)=0,"",INDEX(对接源_02物料!$S$4:$S$1203,$AE16-1200))))</f>
        <v>自备一次性筐</v>
      </c>
      <c r="C16" s="61" t="str">
        <f>IF($AE16="","",IF($AE16&lt;=1200,IF(INDEX(对接源_01水果!$E$4:$E$1203,$AE16)=0,"",INDEX(对接源_01水果!$E$4:$E$1203,$AE16)),IF(INDEX(对接源_02物料!$E$4:$E$1203,$AE16-1200)=0,"",INDEX(对接源_02物料!$E$4:$E$1203,$AE16-1200))))</f>
        <v>NO:0000924</v>
      </c>
      <c r="D16" s="164">
        <f>IF($AE16="","",IF($AE16&lt;=1200,IF(INDEX(对接源_01水果!$V$4:$V$1203,$AE16)=0,"",INDEX(对接源_01水果!$V$4:$V$1203,$AE16)),IF(INDEX(对接源_02物料!$V$4:$V$1203,$AE16-1200)=0,"",INDEX(对接源_02物料!$V$4:$V$1203,$AE16-1200))))</f>
        <v>335</v>
      </c>
      <c r="E16" s="64" t="str">
        <f>IF($AE16="","",IF($AE16&lt;=1200,IF(INDEX(对接源_01水果!$C$4:$C$1203,$AE16)=0,"",INDEX(对接源_01水果!$C$4:$C$1203,$AE16)),IF(INDEX(对接源_02物料!$C$4:$C$1203,$AE16-1200)=0,"",INDEX(对接源_02物料!$C$4:$C$1203,$AE16-1200))))</f>
        <v>贾建国</v>
      </c>
      <c r="F16" s="61" t="str">
        <f>IF($AE16="","",IF($AE16&lt;=1200,IF(INDEX(对接源_01水果!$W$4:$W$1203,$AE16)=0,"",INDEX(对接源_01水果!$W$4:$W$1203,$AE16)),IF(INDEX(对接源_02物料!$W$4:$W$1203,$AE16-1200)=0,"",INDEX(对接源_02物料!$W$4:$W$1203,$AE16-1200))))</f>
        <v>新N*54567</v>
      </c>
      <c r="G16" s="64" t="str">
        <f>IF($AE16="","",IF($AE16&lt;=1200,IF(INDEX(对接源_01水果!$D$4:$D$1203,$AE16)=0,"",INDEX(对接源_01水果!$D$4:$D$1203,$AE16)),IF(INDEX(对接源_02物料!$D$4:$D$1203,$AE16-1200)=0,"",INDEX(对接源_02物料!$D$4:$D$1203,$AE16-1200))))</f>
        <v>原料入库</v>
      </c>
      <c r="H16" s="61" t="str">
        <f>IF($AE16="","",IF($AE16&lt;=1200,"01水果册","02物料册"))</f>
        <v>01水果册</v>
      </c>
      <c r="I16" s="64" t="str">
        <f>IF($AE16="","",IF($AE16&lt;=1200,IF(INDEX(对接源_01水果!$M$4:$M$1203,$AE16)=0,"",INDEX(对接源_01水果!$M$4:$M$1203,$AE16)),IF(INDEX(对接源_02物料!$M$4:$M$1203,$AE16-1200)=0,"",INDEX(对接源_02物料!$M$4:$M$1203,$AE16-1200))))</f>
        <v>刘辉</v>
      </c>
      <c r="AE16" s="2">
        <f>IFERROR(MATCH(11,_自动清单!$W$4:$W$2403,0),"")</f>
        <v>333</v>
      </c>
    </row>
    <row r="17" ht="18" customHeight="1" s="127">
      <c r="A17" s="165">
        <f>IF($AE17="","",IF($AE17&lt;=1200,IF(INDEX(对接源_01水果!$B$4:$B$1203,$AE17)=0,"",INDEX(对接源_01水果!$B$4:$B$1203,$AE17)),IF(INDEX(对接源_02物料!$B$4:$B$1203,$AE17-1200)=0,"",INDEX(对接源_02物料!$B$4:$B$1203,$AE17-1200))))</f>
      </c>
      <c r="B17" s="107">
        <f>IF($AE17="","",IF($AE17&lt;=1200,IF(INDEX(对接源_01水果!$S$4:$S$1203,$AE17)=0,"",INDEX(对接源_01水果!$S$4:$S$1203,$AE17)),IF(INDEX(对接源_02物料!$S$4:$S$1203,$AE17-1200)=0,"",INDEX(对接源_02物料!$S$4:$S$1203,$AE17-1200))))</f>
      </c>
      <c r="C17" s="104">
        <f>IF($AE17="","",IF($AE17&lt;=1200,IF(INDEX(对接源_01水果!$E$4:$E$1203,$AE17)=0,"",INDEX(对接源_01水果!$E$4:$E$1203,$AE17)),IF(INDEX(对接源_02物料!$E$4:$E$1203,$AE17-1200)=0,"",INDEX(对接源_02物料!$E$4:$E$1203,$AE17-1200))))</f>
      </c>
      <c r="D17" s="166">
        <f>IF($AE17="","",IF($AE17&lt;=1200,IF(INDEX(对接源_01水果!$V$4:$V$1203,$AE17)=0,"",INDEX(对接源_01水果!$V$4:$V$1203,$AE17)),IF(INDEX(对接源_02物料!$V$4:$V$1203,$AE17-1200)=0,"",INDEX(对接源_02物料!$V$4:$V$1203,$AE17-1200))))</f>
      </c>
      <c r="E17" s="107">
        <f>IF($AE17="","",IF($AE17&lt;=1200,IF(INDEX(对接源_01水果!$C$4:$C$1203,$AE17)=0,"",INDEX(对接源_01水果!$C$4:$C$1203,$AE17)),IF(INDEX(对接源_02物料!$C$4:$C$1203,$AE17-1200)=0,"",INDEX(对接源_02物料!$C$4:$C$1203,$AE17-1200))))</f>
      </c>
      <c r="F17" s="104">
        <f>IF($AE17="","",IF($AE17&lt;=1200,IF(INDEX(对接源_01水果!$W$4:$W$1203,$AE17)=0,"",INDEX(对接源_01水果!$W$4:$W$1203,$AE17)),IF(INDEX(对接源_02物料!$W$4:$W$1203,$AE17-1200)=0,"",INDEX(对接源_02物料!$W$4:$W$1203,$AE17-1200))))</f>
      </c>
      <c r="G17" s="107">
        <f>IF($AE17="","",IF($AE17&lt;=1200,IF(INDEX(对接源_01水果!$D$4:$D$1203,$AE17)=0,"",INDEX(对接源_01水果!$D$4:$D$1203,$AE17)),IF(INDEX(对接源_02物料!$D$4:$D$1203,$AE17-1200)=0,"",INDEX(对接源_02物料!$D$4:$D$1203,$AE17-1200))))</f>
      </c>
      <c r="H17" s="104">
        <f>IF($AE17="","",IF($AE17&lt;=1200,"01水果册","02物料册"))</f>
      </c>
      <c r="I17" s="107">
        <f>IF($AE17="","",IF($AE17&lt;=1200,IF(INDEX(对接源_01水果!$M$4:$M$1203,$AE17)=0,"",INDEX(对接源_01水果!$M$4:$M$1203,$AE17)),IF(INDEX(对接源_02物料!$M$4:$M$1203,$AE17-1200)=0,"",INDEX(对接源_02物料!$M$4:$M$1203,$AE17-1200))))</f>
      </c>
      <c r="AE17" s="2">
        <f>IFERROR(MATCH(12,_自动清单!$W$4:$W$2403,0),"")</f>
      </c>
    </row>
    <row r="18" ht="18" customHeight="1" s="127">
      <c r="A18" s="163">
        <f>IF($AE18="","",IF($AE18&lt;=1200,IF(INDEX(对接源_01水果!$B$4:$B$1203,$AE18)=0,"",INDEX(对接源_01水果!$B$4:$B$1203,$AE18)),IF(INDEX(对接源_02物料!$B$4:$B$1203,$AE18-1200)=0,"",INDEX(对接源_02物料!$B$4:$B$1203,$AE18-1200))))</f>
      </c>
      <c r="B18" s="64">
        <f>IF($AE18="","",IF($AE18&lt;=1200,IF(INDEX(对接源_01水果!$S$4:$S$1203,$AE18)=0,"",INDEX(对接源_01水果!$S$4:$S$1203,$AE18)),IF(INDEX(对接源_02物料!$S$4:$S$1203,$AE18-1200)=0,"",INDEX(对接源_02物料!$S$4:$S$1203,$AE18-1200))))</f>
      </c>
      <c r="C18" s="61">
        <f>IF($AE18="","",IF($AE18&lt;=1200,IF(INDEX(对接源_01水果!$E$4:$E$1203,$AE18)=0,"",INDEX(对接源_01水果!$E$4:$E$1203,$AE18)),IF(INDEX(对接源_02物料!$E$4:$E$1203,$AE18-1200)=0,"",INDEX(对接源_02物料!$E$4:$E$1203,$AE18-1200))))</f>
      </c>
      <c r="D18" s="164">
        <f>IF($AE18="","",IF($AE18&lt;=1200,IF(INDEX(对接源_01水果!$V$4:$V$1203,$AE18)=0,"",INDEX(对接源_01水果!$V$4:$V$1203,$AE18)),IF(INDEX(对接源_02物料!$V$4:$V$1203,$AE18-1200)=0,"",INDEX(对接源_02物料!$V$4:$V$1203,$AE18-1200))))</f>
      </c>
      <c r="E18" s="64">
        <f>IF($AE18="","",IF($AE18&lt;=1200,IF(INDEX(对接源_01水果!$C$4:$C$1203,$AE18)=0,"",INDEX(对接源_01水果!$C$4:$C$1203,$AE18)),IF(INDEX(对接源_02物料!$C$4:$C$1203,$AE18-1200)=0,"",INDEX(对接源_02物料!$C$4:$C$1203,$AE18-1200))))</f>
      </c>
      <c r="F18" s="61">
        <f>IF($AE18="","",IF($AE18&lt;=1200,IF(INDEX(对接源_01水果!$W$4:$W$1203,$AE18)=0,"",INDEX(对接源_01水果!$W$4:$W$1203,$AE18)),IF(INDEX(对接源_02物料!$W$4:$W$1203,$AE18-1200)=0,"",INDEX(对接源_02物料!$W$4:$W$1203,$AE18-1200))))</f>
      </c>
      <c r="G18" s="64">
        <f>IF($AE18="","",IF($AE18&lt;=1200,IF(INDEX(对接源_01水果!$D$4:$D$1203,$AE18)=0,"",INDEX(对接源_01水果!$D$4:$D$1203,$AE18)),IF(INDEX(对接源_02物料!$D$4:$D$1203,$AE18-1200)=0,"",INDEX(对接源_02物料!$D$4:$D$1203,$AE18-1200))))</f>
      </c>
      <c r="H18" s="61">
        <f>IF($AE18="","",IF($AE18&lt;=1200,"01水果册","02物料册"))</f>
      </c>
      <c r="I18" s="64">
        <f>IF($AE18="","",IF($AE18&lt;=1200,IF(INDEX(对接源_01水果!$M$4:$M$1203,$AE18)=0,"",INDEX(对接源_01水果!$M$4:$M$1203,$AE18)),IF(INDEX(对接源_02物料!$M$4:$M$1203,$AE18-1200)=0,"",INDEX(对接源_02物料!$M$4:$M$1203,$AE18-1200))))</f>
      </c>
      <c r="AE18" s="2">
        <f>IFERROR(MATCH(13,_自动清单!$W$4:$W$2403,0),"")</f>
      </c>
    </row>
    <row r="19" ht="18" customHeight="1" s="127">
      <c r="A19" s="165">
        <f>IF($AE19="","",IF($AE19&lt;=1200,IF(INDEX(对接源_01水果!$B$4:$B$1203,$AE19)=0,"",INDEX(对接源_01水果!$B$4:$B$1203,$AE19)),IF(INDEX(对接源_02物料!$B$4:$B$1203,$AE19-1200)=0,"",INDEX(对接源_02物料!$B$4:$B$1203,$AE19-1200))))</f>
      </c>
      <c r="B19" s="107">
        <f>IF($AE19="","",IF($AE19&lt;=1200,IF(INDEX(对接源_01水果!$S$4:$S$1203,$AE19)=0,"",INDEX(对接源_01水果!$S$4:$S$1203,$AE19)),IF(INDEX(对接源_02物料!$S$4:$S$1203,$AE19-1200)=0,"",INDEX(对接源_02物料!$S$4:$S$1203,$AE19-1200))))</f>
      </c>
      <c r="C19" s="104">
        <f>IF($AE19="","",IF($AE19&lt;=1200,IF(INDEX(对接源_01水果!$E$4:$E$1203,$AE19)=0,"",INDEX(对接源_01水果!$E$4:$E$1203,$AE19)),IF(INDEX(对接源_02物料!$E$4:$E$1203,$AE19-1200)=0,"",INDEX(对接源_02物料!$E$4:$E$1203,$AE19-1200))))</f>
      </c>
      <c r="D19" s="166">
        <f>IF($AE19="","",IF($AE19&lt;=1200,IF(INDEX(对接源_01水果!$V$4:$V$1203,$AE19)=0,"",INDEX(对接源_01水果!$V$4:$V$1203,$AE19)),IF(INDEX(对接源_02物料!$V$4:$V$1203,$AE19-1200)=0,"",INDEX(对接源_02物料!$V$4:$V$1203,$AE19-1200))))</f>
      </c>
      <c r="E19" s="107">
        <f>IF($AE19="","",IF($AE19&lt;=1200,IF(INDEX(对接源_01水果!$C$4:$C$1203,$AE19)=0,"",INDEX(对接源_01水果!$C$4:$C$1203,$AE19)),IF(INDEX(对接源_02物料!$C$4:$C$1203,$AE19-1200)=0,"",INDEX(对接源_02物料!$C$4:$C$1203,$AE19-1200))))</f>
      </c>
      <c r="F19" s="104">
        <f>IF($AE19="","",IF($AE19&lt;=1200,IF(INDEX(对接源_01水果!$W$4:$W$1203,$AE19)=0,"",INDEX(对接源_01水果!$W$4:$W$1203,$AE19)),IF(INDEX(对接源_02物料!$W$4:$W$1203,$AE19-1200)=0,"",INDEX(对接源_02物料!$W$4:$W$1203,$AE19-1200))))</f>
      </c>
      <c r="G19" s="107">
        <f>IF($AE19="","",IF($AE19&lt;=1200,IF(INDEX(对接源_01水果!$D$4:$D$1203,$AE19)=0,"",INDEX(对接源_01水果!$D$4:$D$1203,$AE19)),IF(INDEX(对接源_02物料!$D$4:$D$1203,$AE19-1200)=0,"",INDEX(对接源_02物料!$D$4:$D$1203,$AE19-1200))))</f>
      </c>
      <c r="H19" s="104">
        <f>IF($AE19="","",IF($AE19&lt;=1200,"01水果册","02物料册"))</f>
      </c>
      <c r="I19" s="107">
        <f>IF($AE19="","",IF($AE19&lt;=1200,IF(INDEX(对接源_01水果!$M$4:$M$1203,$AE19)=0,"",INDEX(对接源_01水果!$M$4:$M$1203,$AE19)),IF(INDEX(对接源_02物料!$M$4:$M$1203,$AE19-1200)=0,"",INDEX(对接源_02物料!$M$4:$M$1203,$AE19-1200))))</f>
      </c>
      <c r="AE19" s="2">
        <f>IFERROR(MATCH(14,_自动清单!$W$4:$W$2403,0),"")</f>
      </c>
    </row>
    <row r="20" ht="18" customHeight="1" s="127">
      <c r="A20" s="163">
        <f>IF($AE20="","",IF($AE20&lt;=1200,IF(INDEX(对接源_01水果!$B$4:$B$1203,$AE20)=0,"",INDEX(对接源_01水果!$B$4:$B$1203,$AE20)),IF(INDEX(对接源_02物料!$B$4:$B$1203,$AE20-1200)=0,"",INDEX(对接源_02物料!$B$4:$B$1203,$AE20-1200))))</f>
      </c>
      <c r="B20" s="64">
        <f>IF($AE20="","",IF($AE20&lt;=1200,IF(INDEX(对接源_01水果!$S$4:$S$1203,$AE20)=0,"",INDEX(对接源_01水果!$S$4:$S$1203,$AE20)),IF(INDEX(对接源_02物料!$S$4:$S$1203,$AE20-1200)=0,"",INDEX(对接源_02物料!$S$4:$S$1203,$AE20-1200))))</f>
      </c>
      <c r="C20" s="61">
        <f>IF($AE20="","",IF($AE20&lt;=1200,IF(INDEX(对接源_01水果!$E$4:$E$1203,$AE20)=0,"",INDEX(对接源_01水果!$E$4:$E$1203,$AE20)),IF(INDEX(对接源_02物料!$E$4:$E$1203,$AE20-1200)=0,"",INDEX(对接源_02物料!$E$4:$E$1203,$AE20-1200))))</f>
      </c>
      <c r="D20" s="164">
        <f>IF($AE20="","",IF($AE20&lt;=1200,IF(INDEX(对接源_01水果!$V$4:$V$1203,$AE20)=0,"",INDEX(对接源_01水果!$V$4:$V$1203,$AE20)),IF(INDEX(对接源_02物料!$V$4:$V$1203,$AE20-1200)=0,"",INDEX(对接源_02物料!$V$4:$V$1203,$AE20-1200))))</f>
      </c>
      <c r="E20" s="64">
        <f>IF($AE20="","",IF($AE20&lt;=1200,IF(INDEX(对接源_01水果!$C$4:$C$1203,$AE20)=0,"",INDEX(对接源_01水果!$C$4:$C$1203,$AE20)),IF(INDEX(对接源_02物料!$C$4:$C$1203,$AE20-1200)=0,"",INDEX(对接源_02物料!$C$4:$C$1203,$AE20-1200))))</f>
      </c>
      <c r="F20" s="61">
        <f>IF($AE20="","",IF($AE20&lt;=1200,IF(INDEX(对接源_01水果!$W$4:$W$1203,$AE20)=0,"",INDEX(对接源_01水果!$W$4:$W$1203,$AE20)),IF(INDEX(对接源_02物料!$W$4:$W$1203,$AE20-1200)=0,"",INDEX(对接源_02物料!$W$4:$W$1203,$AE20-1200))))</f>
      </c>
      <c r="G20" s="64">
        <f>IF($AE20="","",IF($AE20&lt;=1200,IF(INDEX(对接源_01水果!$D$4:$D$1203,$AE20)=0,"",INDEX(对接源_01水果!$D$4:$D$1203,$AE20)),IF(INDEX(对接源_02物料!$D$4:$D$1203,$AE20-1200)=0,"",INDEX(对接源_02物料!$D$4:$D$1203,$AE20-1200))))</f>
      </c>
      <c r="H20" s="61">
        <f>IF($AE20="","",IF($AE20&lt;=1200,"01水果册","02物料册"))</f>
      </c>
      <c r="I20" s="64">
        <f>IF($AE20="","",IF($AE20&lt;=1200,IF(INDEX(对接源_01水果!$M$4:$M$1203,$AE20)=0,"",INDEX(对接源_01水果!$M$4:$M$1203,$AE20)),IF(INDEX(对接源_02物料!$M$4:$M$1203,$AE20-1200)=0,"",INDEX(对接源_02物料!$M$4:$M$1203,$AE20-1200))))</f>
      </c>
      <c r="AE20" s="2">
        <f>IFERROR(MATCH(15,_自动清单!$W$4:$W$2403,0),"")</f>
      </c>
    </row>
    <row r="21" ht="18" customHeight="1" s="127">
      <c r="A21" s="165">
        <f>IF($AE21="","",IF($AE21&lt;=1200,IF(INDEX(对接源_01水果!$B$4:$B$1203,$AE21)=0,"",INDEX(对接源_01水果!$B$4:$B$1203,$AE21)),IF(INDEX(对接源_02物料!$B$4:$B$1203,$AE21-1200)=0,"",INDEX(对接源_02物料!$B$4:$B$1203,$AE21-1200))))</f>
      </c>
      <c r="B21" s="107">
        <f>IF($AE21="","",IF($AE21&lt;=1200,IF(INDEX(对接源_01水果!$S$4:$S$1203,$AE21)=0,"",INDEX(对接源_01水果!$S$4:$S$1203,$AE21)),IF(INDEX(对接源_02物料!$S$4:$S$1203,$AE21-1200)=0,"",INDEX(对接源_02物料!$S$4:$S$1203,$AE21-1200))))</f>
      </c>
      <c r="C21" s="104">
        <f>IF($AE21="","",IF($AE21&lt;=1200,IF(INDEX(对接源_01水果!$E$4:$E$1203,$AE21)=0,"",INDEX(对接源_01水果!$E$4:$E$1203,$AE21)),IF(INDEX(对接源_02物料!$E$4:$E$1203,$AE21-1200)=0,"",INDEX(对接源_02物料!$E$4:$E$1203,$AE21-1200))))</f>
      </c>
      <c r="D21" s="166">
        <f>IF($AE21="","",IF($AE21&lt;=1200,IF(INDEX(对接源_01水果!$V$4:$V$1203,$AE21)=0,"",INDEX(对接源_01水果!$V$4:$V$1203,$AE21)),IF(INDEX(对接源_02物料!$V$4:$V$1203,$AE21-1200)=0,"",INDEX(对接源_02物料!$V$4:$V$1203,$AE21-1200))))</f>
      </c>
      <c r="E21" s="107">
        <f>IF($AE21="","",IF($AE21&lt;=1200,IF(INDEX(对接源_01水果!$C$4:$C$1203,$AE21)=0,"",INDEX(对接源_01水果!$C$4:$C$1203,$AE21)),IF(INDEX(对接源_02物料!$C$4:$C$1203,$AE21-1200)=0,"",INDEX(对接源_02物料!$C$4:$C$1203,$AE21-1200))))</f>
      </c>
      <c r="F21" s="104">
        <f>IF($AE21="","",IF($AE21&lt;=1200,IF(INDEX(对接源_01水果!$W$4:$W$1203,$AE21)=0,"",INDEX(对接源_01水果!$W$4:$W$1203,$AE21)),IF(INDEX(对接源_02物料!$W$4:$W$1203,$AE21-1200)=0,"",INDEX(对接源_02物料!$W$4:$W$1203,$AE21-1200))))</f>
      </c>
      <c r="G21" s="107">
        <f>IF($AE21="","",IF($AE21&lt;=1200,IF(INDEX(对接源_01水果!$D$4:$D$1203,$AE21)=0,"",INDEX(对接源_01水果!$D$4:$D$1203,$AE21)),IF(INDEX(对接源_02物料!$D$4:$D$1203,$AE21-1200)=0,"",INDEX(对接源_02物料!$D$4:$D$1203,$AE21-1200))))</f>
      </c>
      <c r="H21" s="104">
        <f>IF($AE21="","",IF($AE21&lt;=1200,"01水果册","02物料册"))</f>
      </c>
      <c r="I21" s="107">
        <f>IF($AE21="","",IF($AE21&lt;=1200,IF(INDEX(对接源_01水果!$M$4:$M$1203,$AE21)=0,"",INDEX(对接源_01水果!$M$4:$M$1203,$AE21)),IF(INDEX(对接源_02物料!$M$4:$M$1203,$AE21-1200)=0,"",INDEX(对接源_02物料!$M$4:$M$1203,$AE21-1200))))</f>
      </c>
      <c r="AE21" s="2">
        <f>IFERROR(MATCH(16,_自动清单!$W$4:$W$2403,0),"")</f>
      </c>
    </row>
    <row r="22" ht="18" customHeight="1" s="127">
      <c r="A22" s="163">
        <f>IF($AE22="","",IF($AE22&lt;=1200,IF(INDEX(对接源_01水果!$B$4:$B$1203,$AE22)=0,"",INDEX(对接源_01水果!$B$4:$B$1203,$AE22)),IF(INDEX(对接源_02物料!$B$4:$B$1203,$AE22-1200)=0,"",INDEX(对接源_02物料!$B$4:$B$1203,$AE22-1200))))</f>
      </c>
      <c r="B22" s="64">
        <f>IF($AE22="","",IF($AE22&lt;=1200,IF(INDEX(对接源_01水果!$S$4:$S$1203,$AE22)=0,"",INDEX(对接源_01水果!$S$4:$S$1203,$AE22)),IF(INDEX(对接源_02物料!$S$4:$S$1203,$AE22-1200)=0,"",INDEX(对接源_02物料!$S$4:$S$1203,$AE22-1200))))</f>
      </c>
      <c r="C22" s="61">
        <f>IF($AE22="","",IF($AE22&lt;=1200,IF(INDEX(对接源_01水果!$E$4:$E$1203,$AE22)=0,"",INDEX(对接源_01水果!$E$4:$E$1203,$AE22)),IF(INDEX(对接源_02物料!$E$4:$E$1203,$AE22-1200)=0,"",INDEX(对接源_02物料!$E$4:$E$1203,$AE22-1200))))</f>
      </c>
      <c r="D22" s="164">
        <f>IF($AE22="","",IF($AE22&lt;=1200,IF(INDEX(对接源_01水果!$V$4:$V$1203,$AE22)=0,"",INDEX(对接源_01水果!$V$4:$V$1203,$AE22)),IF(INDEX(对接源_02物料!$V$4:$V$1203,$AE22-1200)=0,"",INDEX(对接源_02物料!$V$4:$V$1203,$AE22-1200))))</f>
      </c>
      <c r="E22" s="64">
        <f>IF($AE22="","",IF($AE22&lt;=1200,IF(INDEX(对接源_01水果!$C$4:$C$1203,$AE22)=0,"",INDEX(对接源_01水果!$C$4:$C$1203,$AE22)),IF(INDEX(对接源_02物料!$C$4:$C$1203,$AE22-1200)=0,"",INDEX(对接源_02物料!$C$4:$C$1203,$AE22-1200))))</f>
      </c>
      <c r="F22" s="61">
        <f>IF($AE22="","",IF($AE22&lt;=1200,IF(INDEX(对接源_01水果!$W$4:$W$1203,$AE22)=0,"",INDEX(对接源_01水果!$W$4:$W$1203,$AE22)),IF(INDEX(对接源_02物料!$W$4:$W$1203,$AE22-1200)=0,"",INDEX(对接源_02物料!$W$4:$W$1203,$AE22-1200))))</f>
      </c>
      <c r="G22" s="64">
        <f>IF($AE22="","",IF($AE22&lt;=1200,IF(INDEX(对接源_01水果!$D$4:$D$1203,$AE22)=0,"",INDEX(对接源_01水果!$D$4:$D$1203,$AE22)),IF(INDEX(对接源_02物料!$D$4:$D$1203,$AE22-1200)=0,"",INDEX(对接源_02物料!$D$4:$D$1203,$AE22-1200))))</f>
      </c>
      <c r="H22" s="61">
        <f>IF($AE22="","",IF($AE22&lt;=1200,"01水果册","02物料册"))</f>
      </c>
      <c r="I22" s="64">
        <f>IF($AE22="","",IF($AE22&lt;=1200,IF(INDEX(对接源_01水果!$M$4:$M$1203,$AE22)=0,"",INDEX(对接源_01水果!$M$4:$M$1203,$AE22)),IF(INDEX(对接源_02物料!$M$4:$M$1203,$AE22-1200)=0,"",INDEX(对接源_02物料!$M$4:$M$1203,$AE22-1200))))</f>
      </c>
      <c r="AE22" s="2">
        <f>IFERROR(MATCH(17,_自动清单!$W$4:$W$2403,0),"")</f>
      </c>
    </row>
    <row r="23" ht="18" customHeight="1" s="127">
      <c r="A23" s="165">
        <f>IF($AE23="","",IF($AE23&lt;=1200,IF(INDEX(对接源_01水果!$B$4:$B$1203,$AE23)=0,"",INDEX(对接源_01水果!$B$4:$B$1203,$AE23)),IF(INDEX(对接源_02物料!$B$4:$B$1203,$AE23-1200)=0,"",INDEX(对接源_02物料!$B$4:$B$1203,$AE23-1200))))</f>
      </c>
      <c r="B23" s="107">
        <f>IF($AE23="","",IF($AE23&lt;=1200,IF(INDEX(对接源_01水果!$S$4:$S$1203,$AE23)=0,"",INDEX(对接源_01水果!$S$4:$S$1203,$AE23)),IF(INDEX(对接源_02物料!$S$4:$S$1203,$AE23-1200)=0,"",INDEX(对接源_02物料!$S$4:$S$1203,$AE23-1200))))</f>
      </c>
      <c r="C23" s="104">
        <f>IF($AE23="","",IF($AE23&lt;=1200,IF(INDEX(对接源_01水果!$E$4:$E$1203,$AE23)=0,"",INDEX(对接源_01水果!$E$4:$E$1203,$AE23)),IF(INDEX(对接源_02物料!$E$4:$E$1203,$AE23-1200)=0,"",INDEX(对接源_02物料!$E$4:$E$1203,$AE23-1200))))</f>
      </c>
      <c r="D23" s="166">
        <f>IF($AE23="","",IF($AE23&lt;=1200,IF(INDEX(对接源_01水果!$V$4:$V$1203,$AE23)=0,"",INDEX(对接源_01水果!$V$4:$V$1203,$AE23)),IF(INDEX(对接源_02物料!$V$4:$V$1203,$AE23-1200)=0,"",INDEX(对接源_02物料!$V$4:$V$1203,$AE23-1200))))</f>
      </c>
      <c r="E23" s="107">
        <f>IF($AE23="","",IF($AE23&lt;=1200,IF(INDEX(对接源_01水果!$C$4:$C$1203,$AE23)=0,"",INDEX(对接源_01水果!$C$4:$C$1203,$AE23)),IF(INDEX(对接源_02物料!$C$4:$C$1203,$AE23-1200)=0,"",INDEX(对接源_02物料!$C$4:$C$1203,$AE23-1200))))</f>
      </c>
      <c r="F23" s="104">
        <f>IF($AE23="","",IF($AE23&lt;=1200,IF(INDEX(对接源_01水果!$W$4:$W$1203,$AE23)=0,"",INDEX(对接源_01水果!$W$4:$W$1203,$AE23)),IF(INDEX(对接源_02物料!$W$4:$W$1203,$AE23-1200)=0,"",INDEX(对接源_02物料!$W$4:$W$1203,$AE23-1200))))</f>
      </c>
      <c r="G23" s="107">
        <f>IF($AE23="","",IF($AE23&lt;=1200,IF(INDEX(对接源_01水果!$D$4:$D$1203,$AE23)=0,"",INDEX(对接源_01水果!$D$4:$D$1203,$AE23)),IF(INDEX(对接源_02物料!$D$4:$D$1203,$AE23-1200)=0,"",INDEX(对接源_02物料!$D$4:$D$1203,$AE23-1200))))</f>
      </c>
      <c r="H23" s="104">
        <f>IF($AE23="","",IF($AE23&lt;=1200,"01水果册","02物料册"))</f>
      </c>
      <c r="I23" s="107">
        <f>IF($AE23="","",IF($AE23&lt;=1200,IF(INDEX(对接源_01水果!$M$4:$M$1203,$AE23)=0,"",INDEX(对接源_01水果!$M$4:$M$1203,$AE23)),IF(INDEX(对接源_02物料!$M$4:$M$1203,$AE23-1200)=0,"",INDEX(对接源_02物料!$M$4:$M$1203,$AE23-1200))))</f>
      </c>
      <c r="AE23" s="2">
        <f>IFERROR(MATCH(18,_自动清单!$W$4:$W$2403,0),"")</f>
      </c>
    </row>
    <row r="24" ht="18" customHeight="1" s="127">
      <c r="A24" s="163">
        <f>IF($AE24="","",IF($AE24&lt;=1200,IF(INDEX(对接源_01水果!$B$4:$B$1203,$AE24)=0,"",INDEX(对接源_01水果!$B$4:$B$1203,$AE24)),IF(INDEX(对接源_02物料!$B$4:$B$1203,$AE24-1200)=0,"",INDEX(对接源_02物料!$B$4:$B$1203,$AE24-1200))))</f>
      </c>
      <c r="B24" s="64">
        <f>IF($AE24="","",IF($AE24&lt;=1200,IF(INDEX(对接源_01水果!$S$4:$S$1203,$AE24)=0,"",INDEX(对接源_01水果!$S$4:$S$1203,$AE24)),IF(INDEX(对接源_02物料!$S$4:$S$1203,$AE24-1200)=0,"",INDEX(对接源_02物料!$S$4:$S$1203,$AE24-1200))))</f>
      </c>
      <c r="C24" s="61">
        <f>IF($AE24="","",IF($AE24&lt;=1200,IF(INDEX(对接源_01水果!$E$4:$E$1203,$AE24)=0,"",INDEX(对接源_01水果!$E$4:$E$1203,$AE24)),IF(INDEX(对接源_02物料!$E$4:$E$1203,$AE24-1200)=0,"",INDEX(对接源_02物料!$E$4:$E$1203,$AE24-1200))))</f>
      </c>
      <c r="D24" s="164">
        <f>IF($AE24="","",IF($AE24&lt;=1200,IF(INDEX(对接源_01水果!$V$4:$V$1203,$AE24)=0,"",INDEX(对接源_01水果!$V$4:$V$1203,$AE24)),IF(INDEX(对接源_02物料!$V$4:$V$1203,$AE24-1200)=0,"",INDEX(对接源_02物料!$V$4:$V$1203,$AE24-1200))))</f>
      </c>
      <c r="E24" s="64">
        <f>IF($AE24="","",IF($AE24&lt;=1200,IF(INDEX(对接源_01水果!$C$4:$C$1203,$AE24)=0,"",INDEX(对接源_01水果!$C$4:$C$1203,$AE24)),IF(INDEX(对接源_02物料!$C$4:$C$1203,$AE24-1200)=0,"",INDEX(对接源_02物料!$C$4:$C$1203,$AE24-1200))))</f>
      </c>
      <c r="F24" s="61">
        <f>IF($AE24="","",IF($AE24&lt;=1200,IF(INDEX(对接源_01水果!$W$4:$W$1203,$AE24)=0,"",INDEX(对接源_01水果!$W$4:$W$1203,$AE24)),IF(INDEX(对接源_02物料!$W$4:$W$1203,$AE24-1200)=0,"",INDEX(对接源_02物料!$W$4:$W$1203,$AE24-1200))))</f>
      </c>
      <c r="G24" s="64">
        <f>IF($AE24="","",IF($AE24&lt;=1200,IF(INDEX(对接源_01水果!$D$4:$D$1203,$AE24)=0,"",INDEX(对接源_01水果!$D$4:$D$1203,$AE24)),IF(INDEX(对接源_02物料!$D$4:$D$1203,$AE24-1200)=0,"",INDEX(对接源_02物料!$D$4:$D$1203,$AE24-1200))))</f>
      </c>
      <c r="H24" s="61">
        <f>IF($AE24="","",IF($AE24&lt;=1200,"01水果册","02物料册"))</f>
      </c>
      <c r="I24" s="64">
        <f>IF($AE24="","",IF($AE24&lt;=1200,IF(INDEX(对接源_01水果!$M$4:$M$1203,$AE24)=0,"",INDEX(对接源_01水果!$M$4:$M$1203,$AE24)),IF(INDEX(对接源_02物料!$M$4:$M$1203,$AE24-1200)=0,"",INDEX(对接源_02物料!$M$4:$M$1203,$AE24-1200))))</f>
      </c>
      <c r="AE24" s="2">
        <f>IFERROR(MATCH(19,_自动清单!$W$4:$W$2403,0),"")</f>
      </c>
    </row>
    <row r="25" ht="18" customHeight="1" s="127">
      <c r="A25" s="165">
        <f>IF($AE25="","",IF($AE25&lt;=1200,IF(INDEX(对接源_01水果!$B$4:$B$1203,$AE25)=0,"",INDEX(对接源_01水果!$B$4:$B$1203,$AE25)),IF(INDEX(对接源_02物料!$B$4:$B$1203,$AE25-1200)=0,"",INDEX(对接源_02物料!$B$4:$B$1203,$AE25-1200))))</f>
      </c>
      <c r="B25" s="107">
        <f>IF($AE25="","",IF($AE25&lt;=1200,IF(INDEX(对接源_01水果!$S$4:$S$1203,$AE25)=0,"",INDEX(对接源_01水果!$S$4:$S$1203,$AE25)),IF(INDEX(对接源_02物料!$S$4:$S$1203,$AE25-1200)=0,"",INDEX(对接源_02物料!$S$4:$S$1203,$AE25-1200))))</f>
      </c>
      <c r="C25" s="104">
        <f>IF($AE25="","",IF($AE25&lt;=1200,IF(INDEX(对接源_01水果!$E$4:$E$1203,$AE25)=0,"",INDEX(对接源_01水果!$E$4:$E$1203,$AE25)),IF(INDEX(对接源_02物料!$E$4:$E$1203,$AE25-1200)=0,"",INDEX(对接源_02物料!$E$4:$E$1203,$AE25-1200))))</f>
      </c>
      <c r="D25" s="166">
        <f>IF($AE25="","",IF($AE25&lt;=1200,IF(INDEX(对接源_01水果!$V$4:$V$1203,$AE25)=0,"",INDEX(对接源_01水果!$V$4:$V$1203,$AE25)),IF(INDEX(对接源_02物料!$V$4:$V$1203,$AE25-1200)=0,"",INDEX(对接源_02物料!$V$4:$V$1203,$AE25-1200))))</f>
      </c>
      <c r="E25" s="107">
        <f>IF($AE25="","",IF($AE25&lt;=1200,IF(INDEX(对接源_01水果!$C$4:$C$1203,$AE25)=0,"",INDEX(对接源_01水果!$C$4:$C$1203,$AE25)),IF(INDEX(对接源_02物料!$C$4:$C$1203,$AE25-1200)=0,"",INDEX(对接源_02物料!$C$4:$C$1203,$AE25-1200))))</f>
      </c>
      <c r="F25" s="104">
        <f>IF($AE25="","",IF($AE25&lt;=1200,IF(INDEX(对接源_01水果!$W$4:$W$1203,$AE25)=0,"",INDEX(对接源_01水果!$W$4:$W$1203,$AE25)),IF(INDEX(对接源_02物料!$W$4:$W$1203,$AE25-1200)=0,"",INDEX(对接源_02物料!$W$4:$W$1203,$AE25-1200))))</f>
      </c>
      <c r="G25" s="107">
        <f>IF($AE25="","",IF($AE25&lt;=1200,IF(INDEX(对接源_01水果!$D$4:$D$1203,$AE25)=0,"",INDEX(对接源_01水果!$D$4:$D$1203,$AE25)),IF(INDEX(对接源_02物料!$D$4:$D$1203,$AE25-1200)=0,"",INDEX(对接源_02物料!$D$4:$D$1203,$AE25-1200))))</f>
      </c>
      <c r="H25" s="104">
        <f>IF($AE25="","",IF($AE25&lt;=1200,"01水果册","02物料册"))</f>
      </c>
      <c r="I25" s="107">
        <f>IF($AE25="","",IF($AE25&lt;=1200,IF(INDEX(对接源_01水果!$M$4:$M$1203,$AE25)=0,"",INDEX(对接源_01水果!$M$4:$M$1203,$AE25)),IF(INDEX(对接源_02物料!$M$4:$M$1203,$AE25-1200)=0,"",INDEX(对接源_02物料!$M$4:$M$1203,$AE25-1200))))</f>
      </c>
      <c r="AE25" s="2">
        <f>IFERROR(MATCH(20,_自动清单!$W$4:$W$2403,0),"")</f>
      </c>
    </row>
    <row r="26" ht="18" customHeight="1" s="127">
      <c r="A26" s="163">
        <f>IF($AE26="","",IF($AE26&lt;=1200,IF(INDEX(对接源_01水果!$B$4:$B$1203,$AE26)=0,"",INDEX(对接源_01水果!$B$4:$B$1203,$AE26)),IF(INDEX(对接源_02物料!$B$4:$B$1203,$AE26-1200)=0,"",INDEX(对接源_02物料!$B$4:$B$1203,$AE26-1200))))</f>
      </c>
      <c r="B26" s="64">
        <f>IF($AE26="","",IF($AE26&lt;=1200,IF(INDEX(对接源_01水果!$S$4:$S$1203,$AE26)=0,"",INDEX(对接源_01水果!$S$4:$S$1203,$AE26)),IF(INDEX(对接源_02物料!$S$4:$S$1203,$AE26-1200)=0,"",INDEX(对接源_02物料!$S$4:$S$1203,$AE26-1200))))</f>
      </c>
      <c r="C26" s="61">
        <f>IF($AE26="","",IF($AE26&lt;=1200,IF(INDEX(对接源_01水果!$E$4:$E$1203,$AE26)=0,"",INDEX(对接源_01水果!$E$4:$E$1203,$AE26)),IF(INDEX(对接源_02物料!$E$4:$E$1203,$AE26-1200)=0,"",INDEX(对接源_02物料!$E$4:$E$1203,$AE26-1200))))</f>
      </c>
      <c r="D26" s="164">
        <f>IF($AE26="","",IF($AE26&lt;=1200,IF(INDEX(对接源_01水果!$V$4:$V$1203,$AE26)=0,"",INDEX(对接源_01水果!$V$4:$V$1203,$AE26)),IF(INDEX(对接源_02物料!$V$4:$V$1203,$AE26-1200)=0,"",INDEX(对接源_02物料!$V$4:$V$1203,$AE26-1200))))</f>
      </c>
      <c r="E26" s="64">
        <f>IF($AE26="","",IF($AE26&lt;=1200,IF(INDEX(对接源_01水果!$C$4:$C$1203,$AE26)=0,"",INDEX(对接源_01水果!$C$4:$C$1203,$AE26)),IF(INDEX(对接源_02物料!$C$4:$C$1203,$AE26-1200)=0,"",INDEX(对接源_02物料!$C$4:$C$1203,$AE26-1200))))</f>
      </c>
      <c r="F26" s="61">
        <f>IF($AE26="","",IF($AE26&lt;=1200,IF(INDEX(对接源_01水果!$W$4:$W$1203,$AE26)=0,"",INDEX(对接源_01水果!$W$4:$W$1203,$AE26)),IF(INDEX(对接源_02物料!$W$4:$W$1203,$AE26-1200)=0,"",INDEX(对接源_02物料!$W$4:$W$1203,$AE26-1200))))</f>
      </c>
      <c r="G26" s="64">
        <f>IF($AE26="","",IF($AE26&lt;=1200,IF(INDEX(对接源_01水果!$D$4:$D$1203,$AE26)=0,"",INDEX(对接源_01水果!$D$4:$D$1203,$AE26)),IF(INDEX(对接源_02物料!$D$4:$D$1203,$AE26-1200)=0,"",INDEX(对接源_02物料!$D$4:$D$1203,$AE26-1200))))</f>
      </c>
      <c r="H26" s="61">
        <f>IF($AE26="","",IF($AE26&lt;=1200,"01水果册","02物料册"))</f>
      </c>
      <c r="I26" s="64">
        <f>IF($AE26="","",IF($AE26&lt;=1200,IF(INDEX(对接源_01水果!$M$4:$M$1203,$AE26)=0,"",INDEX(对接源_01水果!$M$4:$M$1203,$AE26)),IF(INDEX(对接源_02物料!$M$4:$M$1203,$AE26-1200)=0,"",INDEX(对接源_02物料!$M$4:$M$1203,$AE26-1200))))</f>
      </c>
      <c r="AE26" s="2">
        <f>IFERROR(MATCH(21,_自动清单!$W$4:$W$2403,0),"")</f>
      </c>
    </row>
    <row r="27" ht="18" customHeight="1" s="127">
      <c r="A27" s="165">
        <f>IF($AE27="","",IF($AE27&lt;=1200,IF(INDEX(对接源_01水果!$B$4:$B$1203,$AE27)=0,"",INDEX(对接源_01水果!$B$4:$B$1203,$AE27)),IF(INDEX(对接源_02物料!$B$4:$B$1203,$AE27-1200)=0,"",INDEX(对接源_02物料!$B$4:$B$1203,$AE27-1200))))</f>
      </c>
      <c r="B27" s="107">
        <f>IF($AE27="","",IF($AE27&lt;=1200,IF(INDEX(对接源_01水果!$S$4:$S$1203,$AE27)=0,"",INDEX(对接源_01水果!$S$4:$S$1203,$AE27)),IF(INDEX(对接源_02物料!$S$4:$S$1203,$AE27-1200)=0,"",INDEX(对接源_02物料!$S$4:$S$1203,$AE27-1200))))</f>
      </c>
      <c r="C27" s="104">
        <f>IF($AE27="","",IF($AE27&lt;=1200,IF(INDEX(对接源_01水果!$E$4:$E$1203,$AE27)=0,"",INDEX(对接源_01水果!$E$4:$E$1203,$AE27)),IF(INDEX(对接源_02物料!$E$4:$E$1203,$AE27-1200)=0,"",INDEX(对接源_02物料!$E$4:$E$1203,$AE27-1200))))</f>
      </c>
      <c r="D27" s="166">
        <f>IF($AE27="","",IF($AE27&lt;=1200,IF(INDEX(对接源_01水果!$V$4:$V$1203,$AE27)=0,"",INDEX(对接源_01水果!$V$4:$V$1203,$AE27)),IF(INDEX(对接源_02物料!$V$4:$V$1203,$AE27-1200)=0,"",INDEX(对接源_02物料!$V$4:$V$1203,$AE27-1200))))</f>
      </c>
      <c r="E27" s="107">
        <f>IF($AE27="","",IF($AE27&lt;=1200,IF(INDEX(对接源_01水果!$C$4:$C$1203,$AE27)=0,"",INDEX(对接源_01水果!$C$4:$C$1203,$AE27)),IF(INDEX(对接源_02物料!$C$4:$C$1203,$AE27-1200)=0,"",INDEX(对接源_02物料!$C$4:$C$1203,$AE27-1200))))</f>
      </c>
      <c r="F27" s="104">
        <f>IF($AE27="","",IF($AE27&lt;=1200,IF(INDEX(对接源_01水果!$W$4:$W$1203,$AE27)=0,"",INDEX(对接源_01水果!$W$4:$W$1203,$AE27)),IF(INDEX(对接源_02物料!$W$4:$W$1203,$AE27-1200)=0,"",INDEX(对接源_02物料!$W$4:$W$1203,$AE27-1200))))</f>
      </c>
      <c r="G27" s="107">
        <f>IF($AE27="","",IF($AE27&lt;=1200,IF(INDEX(对接源_01水果!$D$4:$D$1203,$AE27)=0,"",INDEX(对接源_01水果!$D$4:$D$1203,$AE27)),IF(INDEX(对接源_02物料!$D$4:$D$1203,$AE27-1200)=0,"",INDEX(对接源_02物料!$D$4:$D$1203,$AE27-1200))))</f>
      </c>
      <c r="H27" s="104">
        <f>IF($AE27="","",IF($AE27&lt;=1200,"01水果册","02物料册"))</f>
      </c>
      <c r="I27" s="107">
        <f>IF($AE27="","",IF($AE27&lt;=1200,IF(INDEX(对接源_01水果!$M$4:$M$1203,$AE27)=0,"",INDEX(对接源_01水果!$M$4:$M$1203,$AE27)),IF(INDEX(对接源_02物料!$M$4:$M$1203,$AE27-1200)=0,"",INDEX(对接源_02物料!$M$4:$M$1203,$AE27-1200))))</f>
      </c>
      <c r="AE27" s="2">
        <f>IFERROR(MATCH(22,_自动清单!$W$4:$W$2403,0),"")</f>
      </c>
    </row>
    <row r="28" ht="18" customHeight="1" s="127">
      <c r="A28" s="163">
        <f>IF($AE28="","",IF($AE28&lt;=1200,IF(INDEX(对接源_01水果!$B$4:$B$1203,$AE28)=0,"",INDEX(对接源_01水果!$B$4:$B$1203,$AE28)),IF(INDEX(对接源_02物料!$B$4:$B$1203,$AE28-1200)=0,"",INDEX(对接源_02物料!$B$4:$B$1203,$AE28-1200))))</f>
      </c>
      <c r="B28" s="64">
        <f>IF($AE28="","",IF($AE28&lt;=1200,IF(INDEX(对接源_01水果!$S$4:$S$1203,$AE28)=0,"",INDEX(对接源_01水果!$S$4:$S$1203,$AE28)),IF(INDEX(对接源_02物料!$S$4:$S$1203,$AE28-1200)=0,"",INDEX(对接源_02物料!$S$4:$S$1203,$AE28-1200))))</f>
      </c>
      <c r="C28" s="61">
        <f>IF($AE28="","",IF($AE28&lt;=1200,IF(INDEX(对接源_01水果!$E$4:$E$1203,$AE28)=0,"",INDEX(对接源_01水果!$E$4:$E$1203,$AE28)),IF(INDEX(对接源_02物料!$E$4:$E$1203,$AE28-1200)=0,"",INDEX(对接源_02物料!$E$4:$E$1203,$AE28-1200))))</f>
      </c>
      <c r="D28" s="164">
        <f>IF($AE28="","",IF($AE28&lt;=1200,IF(INDEX(对接源_01水果!$V$4:$V$1203,$AE28)=0,"",INDEX(对接源_01水果!$V$4:$V$1203,$AE28)),IF(INDEX(对接源_02物料!$V$4:$V$1203,$AE28-1200)=0,"",INDEX(对接源_02物料!$V$4:$V$1203,$AE28-1200))))</f>
      </c>
      <c r="E28" s="64">
        <f>IF($AE28="","",IF($AE28&lt;=1200,IF(INDEX(对接源_01水果!$C$4:$C$1203,$AE28)=0,"",INDEX(对接源_01水果!$C$4:$C$1203,$AE28)),IF(INDEX(对接源_02物料!$C$4:$C$1203,$AE28-1200)=0,"",INDEX(对接源_02物料!$C$4:$C$1203,$AE28-1200))))</f>
      </c>
      <c r="F28" s="61">
        <f>IF($AE28="","",IF($AE28&lt;=1200,IF(INDEX(对接源_01水果!$W$4:$W$1203,$AE28)=0,"",INDEX(对接源_01水果!$W$4:$W$1203,$AE28)),IF(INDEX(对接源_02物料!$W$4:$W$1203,$AE28-1200)=0,"",INDEX(对接源_02物料!$W$4:$W$1203,$AE28-1200))))</f>
      </c>
      <c r="G28" s="64">
        <f>IF($AE28="","",IF($AE28&lt;=1200,IF(INDEX(对接源_01水果!$D$4:$D$1203,$AE28)=0,"",INDEX(对接源_01水果!$D$4:$D$1203,$AE28)),IF(INDEX(对接源_02物料!$D$4:$D$1203,$AE28-1200)=0,"",INDEX(对接源_02物料!$D$4:$D$1203,$AE28-1200))))</f>
      </c>
      <c r="H28" s="61">
        <f>IF($AE28="","",IF($AE28&lt;=1200,"01水果册","02物料册"))</f>
      </c>
      <c r="I28" s="64">
        <f>IF($AE28="","",IF($AE28&lt;=1200,IF(INDEX(对接源_01水果!$M$4:$M$1203,$AE28)=0,"",INDEX(对接源_01水果!$M$4:$M$1203,$AE28)),IF(INDEX(对接源_02物料!$M$4:$M$1203,$AE28-1200)=0,"",INDEX(对接源_02物料!$M$4:$M$1203,$AE28-1200))))</f>
      </c>
      <c r="AE28" s="2">
        <f>IFERROR(MATCH(23,_自动清单!$W$4:$W$2403,0),"")</f>
      </c>
    </row>
    <row r="29" ht="18" customHeight="1" s="127">
      <c r="A29" s="165">
        <f>IF($AE29="","",IF($AE29&lt;=1200,IF(INDEX(对接源_01水果!$B$4:$B$1203,$AE29)=0,"",INDEX(对接源_01水果!$B$4:$B$1203,$AE29)),IF(INDEX(对接源_02物料!$B$4:$B$1203,$AE29-1200)=0,"",INDEX(对接源_02物料!$B$4:$B$1203,$AE29-1200))))</f>
      </c>
      <c r="B29" s="107">
        <f>IF($AE29="","",IF($AE29&lt;=1200,IF(INDEX(对接源_01水果!$S$4:$S$1203,$AE29)=0,"",INDEX(对接源_01水果!$S$4:$S$1203,$AE29)),IF(INDEX(对接源_02物料!$S$4:$S$1203,$AE29-1200)=0,"",INDEX(对接源_02物料!$S$4:$S$1203,$AE29-1200))))</f>
      </c>
      <c r="C29" s="104">
        <f>IF($AE29="","",IF($AE29&lt;=1200,IF(INDEX(对接源_01水果!$E$4:$E$1203,$AE29)=0,"",INDEX(对接源_01水果!$E$4:$E$1203,$AE29)),IF(INDEX(对接源_02物料!$E$4:$E$1203,$AE29-1200)=0,"",INDEX(对接源_02物料!$E$4:$E$1203,$AE29-1200))))</f>
      </c>
      <c r="D29" s="166">
        <f>IF($AE29="","",IF($AE29&lt;=1200,IF(INDEX(对接源_01水果!$V$4:$V$1203,$AE29)=0,"",INDEX(对接源_01水果!$V$4:$V$1203,$AE29)),IF(INDEX(对接源_02物料!$V$4:$V$1203,$AE29-1200)=0,"",INDEX(对接源_02物料!$V$4:$V$1203,$AE29-1200))))</f>
      </c>
      <c r="E29" s="107">
        <f>IF($AE29="","",IF($AE29&lt;=1200,IF(INDEX(对接源_01水果!$C$4:$C$1203,$AE29)=0,"",INDEX(对接源_01水果!$C$4:$C$1203,$AE29)),IF(INDEX(对接源_02物料!$C$4:$C$1203,$AE29-1200)=0,"",INDEX(对接源_02物料!$C$4:$C$1203,$AE29-1200))))</f>
      </c>
      <c r="F29" s="104">
        <f>IF($AE29="","",IF($AE29&lt;=1200,IF(INDEX(对接源_01水果!$W$4:$W$1203,$AE29)=0,"",INDEX(对接源_01水果!$W$4:$W$1203,$AE29)),IF(INDEX(对接源_02物料!$W$4:$W$1203,$AE29-1200)=0,"",INDEX(对接源_02物料!$W$4:$W$1203,$AE29-1200))))</f>
      </c>
      <c r="G29" s="107">
        <f>IF($AE29="","",IF($AE29&lt;=1200,IF(INDEX(对接源_01水果!$D$4:$D$1203,$AE29)=0,"",INDEX(对接源_01水果!$D$4:$D$1203,$AE29)),IF(INDEX(对接源_02物料!$D$4:$D$1203,$AE29-1200)=0,"",INDEX(对接源_02物料!$D$4:$D$1203,$AE29-1200))))</f>
      </c>
      <c r="H29" s="104">
        <f>IF($AE29="","",IF($AE29&lt;=1200,"01水果册","02物料册"))</f>
      </c>
      <c r="I29" s="107">
        <f>IF($AE29="","",IF($AE29&lt;=1200,IF(INDEX(对接源_01水果!$M$4:$M$1203,$AE29)=0,"",INDEX(对接源_01水果!$M$4:$M$1203,$AE29)),IF(INDEX(对接源_02物料!$M$4:$M$1203,$AE29-1200)=0,"",INDEX(对接源_02物料!$M$4:$M$1203,$AE29-1200))))</f>
      </c>
      <c r="AE29" s="2">
        <f>IFERROR(MATCH(24,_自动清单!$W$4:$W$2403,0),"")</f>
      </c>
    </row>
    <row r="30" ht="18" customHeight="1" s="127">
      <c r="A30" s="163">
        <f>IF($AE30="","",IF($AE30&lt;=1200,IF(INDEX(对接源_01水果!$B$4:$B$1203,$AE30)=0,"",INDEX(对接源_01水果!$B$4:$B$1203,$AE30)),IF(INDEX(对接源_02物料!$B$4:$B$1203,$AE30-1200)=0,"",INDEX(对接源_02物料!$B$4:$B$1203,$AE30-1200))))</f>
      </c>
      <c r="B30" s="64">
        <f>IF($AE30="","",IF($AE30&lt;=1200,IF(INDEX(对接源_01水果!$S$4:$S$1203,$AE30)=0,"",INDEX(对接源_01水果!$S$4:$S$1203,$AE30)),IF(INDEX(对接源_02物料!$S$4:$S$1203,$AE30-1200)=0,"",INDEX(对接源_02物料!$S$4:$S$1203,$AE30-1200))))</f>
      </c>
      <c r="C30" s="61">
        <f>IF($AE30="","",IF($AE30&lt;=1200,IF(INDEX(对接源_01水果!$E$4:$E$1203,$AE30)=0,"",INDEX(对接源_01水果!$E$4:$E$1203,$AE30)),IF(INDEX(对接源_02物料!$E$4:$E$1203,$AE30-1200)=0,"",INDEX(对接源_02物料!$E$4:$E$1203,$AE30-1200))))</f>
      </c>
      <c r="D30" s="164">
        <f>IF($AE30="","",IF($AE30&lt;=1200,IF(INDEX(对接源_01水果!$V$4:$V$1203,$AE30)=0,"",INDEX(对接源_01水果!$V$4:$V$1203,$AE30)),IF(INDEX(对接源_02物料!$V$4:$V$1203,$AE30-1200)=0,"",INDEX(对接源_02物料!$V$4:$V$1203,$AE30-1200))))</f>
      </c>
      <c r="E30" s="64">
        <f>IF($AE30="","",IF($AE30&lt;=1200,IF(INDEX(对接源_01水果!$C$4:$C$1203,$AE30)=0,"",INDEX(对接源_01水果!$C$4:$C$1203,$AE30)),IF(INDEX(对接源_02物料!$C$4:$C$1203,$AE30-1200)=0,"",INDEX(对接源_02物料!$C$4:$C$1203,$AE30-1200))))</f>
      </c>
      <c r="F30" s="61">
        <f>IF($AE30="","",IF($AE30&lt;=1200,IF(INDEX(对接源_01水果!$W$4:$W$1203,$AE30)=0,"",INDEX(对接源_01水果!$W$4:$W$1203,$AE30)),IF(INDEX(对接源_02物料!$W$4:$W$1203,$AE30-1200)=0,"",INDEX(对接源_02物料!$W$4:$W$1203,$AE30-1200))))</f>
      </c>
      <c r="G30" s="64">
        <f>IF($AE30="","",IF($AE30&lt;=1200,IF(INDEX(对接源_01水果!$D$4:$D$1203,$AE30)=0,"",INDEX(对接源_01水果!$D$4:$D$1203,$AE30)),IF(INDEX(对接源_02物料!$D$4:$D$1203,$AE30-1200)=0,"",INDEX(对接源_02物料!$D$4:$D$1203,$AE30-1200))))</f>
      </c>
      <c r="H30" s="61">
        <f>IF($AE30="","",IF($AE30&lt;=1200,"01水果册","02物料册"))</f>
      </c>
      <c r="I30" s="64">
        <f>IF($AE30="","",IF($AE30&lt;=1200,IF(INDEX(对接源_01水果!$M$4:$M$1203,$AE30)=0,"",INDEX(对接源_01水果!$M$4:$M$1203,$AE30)),IF(INDEX(对接源_02物料!$M$4:$M$1203,$AE30-1200)=0,"",INDEX(对接源_02物料!$M$4:$M$1203,$AE30-1200))))</f>
      </c>
      <c r="AE30" s="2">
        <f>IFERROR(MATCH(25,_自动清单!$W$4:$W$2403,0),"")</f>
      </c>
    </row>
    <row r="31" ht="18" customHeight="1" s="127">
      <c r="A31" s="165">
        <f>IF($AE31="","",IF($AE31&lt;=1200,IF(INDEX(对接源_01水果!$B$4:$B$1203,$AE31)=0,"",INDEX(对接源_01水果!$B$4:$B$1203,$AE31)),IF(INDEX(对接源_02物料!$B$4:$B$1203,$AE31-1200)=0,"",INDEX(对接源_02物料!$B$4:$B$1203,$AE31-1200))))</f>
      </c>
      <c r="B31" s="107">
        <f>IF($AE31="","",IF($AE31&lt;=1200,IF(INDEX(对接源_01水果!$S$4:$S$1203,$AE31)=0,"",INDEX(对接源_01水果!$S$4:$S$1203,$AE31)),IF(INDEX(对接源_02物料!$S$4:$S$1203,$AE31-1200)=0,"",INDEX(对接源_02物料!$S$4:$S$1203,$AE31-1200))))</f>
      </c>
      <c r="C31" s="104">
        <f>IF($AE31="","",IF($AE31&lt;=1200,IF(INDEX(对接源_01水果!$E$4:$E$1203,$AE31)=0,"",INDEX(对接源_01水果!$E$4:$E$1203,$AE31)),IF(INDEX(对接源_02物料!$E$4:$E$1203,$AE31-1200)=0,"",INDEX(对接源_02物料!$E$4:$E$1203,$AE31-1200))))</f>
      </c>
      <c r="D31" s="166">
        <f>IF($AE31="","",IF($AE31&lt;=1200,IF(INDEX(对接源_01水果!$V$4:$V$1203,$AE31)=0,"",INDEX(对接源_01水果!$V$4:$V$1203,$AE31)),IF(INDEX(对接源_02物料!$V$4:$V$1203,$AE31-1200)=0,"",INDEX(对接源_02物料!$V$4:$V$1203,$AE31-1200))))</f>
      </c>
      <c r="E31" s="107">
        <f>IF($AE31="","",IF($AE31&lt;=1200,IF(INDEX(对接源_01水果!$C$4:$C$1203,$AE31)=0,"",INDEX(对接源_01水果!$C$4:$C$1203,$AE31)),IF(INDEX(对接源_02物料!$C$4:$C$1203,$AE31-1200)=0,"",INDEX(对接源_02物料!$C$4:$C$1203,$AE31-1200))))</f>
      </c>
      <c r="F31" s="104">
        <f>IF($AE31="","",IF($AE31&lt;=1200,IF(INDEX(对接源_01水果!$W$4:$W$1203,$AE31)=0,"",INDEX(对接源_01水果!$W$4:$W$1203,$AE31)),IF(INDEX(对接源_02物料!$W$4:$W$1203,$AE31-1200)=0,"",INDEX(对接源_02物料!$W$4:$W$1203,$AE31-1200))))</f>
      </c>
      <c r="G31" s="107">
        <f>IF($AE31="","",IF($AE31&lt;=1200,IF(INDEX(对接源_01水果!$D$4:$D$1203,$AE31)=0,"",INDEX(对接源_01水果!$D$4:$D$1203,$AE31)),IF(INDEX(对接源_02物料!$D$4:$D$1203,$AE31-1200)=0,"",INDEX(对接源_02物料!$D$4:$D$1203,$AE31-1200))))</f>
      </c>
      <c r="H31" s="104">
        <f>IF($AE31="","",IF($AE31&lt;=1200,"01水果册","02物料册"))</f>
      </c>
      <c r="I31" s="107">
        <f>IF($AE31="","",IF($AE31&lt;=1200,IF(INDEX(对接源_01水果!$M$4:$M$1203,$AE31)=0,"",INDEX(对接源_01水果!$M$4:$M$1203,$AE31)),IF(INDEX(对接源_02物料!$M$4:$M$1203,$AE31-1200)=0,"",INDEX(对接源_02物料!$M$4:$M$1203,$AE31-1200))))</f>
      </c>
      <c r="AE31" s="2">
        <f>IFERROR(MATCH(26,_自动清单!$W$4:$W$2403,0),"")</f>
      </c>
    </row>
    <row r="32" ht="18" customHeight="1" s="127">
      <c r="A32" s="163">
        <f>IF($AE32="","",IF($AE32&lt;=1200,IF(INDEX(对接源_01水果!$B$4:$B$1203,$AE32)=0,"",INDEX(对接源_01水果!$B$4:$B$1203,$AE32)),IF(INDEX(对接源_02物料!$B$4:$B$1203,$AE32-1200)=0,"",INDEX(对接源_02物料!$B$4:$B$1203,$AE32-1200))))</f>
      </c>
      <c r="B32" s="64">
        <f>IF($AE32="","",IF($AE32&lt;=1200,IF(INDEX(对接源_01水果!$S$4:$S$1203,$AE32)=0,"",INDEX(对接源_01水果!$S$4:$S$1203,$AE32)),IF(INDEX(对接源_02物料!$S$4:$S$1203,$AE32-1200)=0,"",INDEX(对接源_02物料!$S$4:$S$1203,$AE32-1200))))</f>
      </c>
      <c r="C32" s="61">
        <f>IF($AE32="","",IF($AE32&lt;=1200,IF(INDEX(对接源_01水果!$E$4:$E$1203,$AE32)=0,"",INDEX(对接源_01水果!$E$4:$E$1203,$AE32)),IF(INDEX(对接源_02物料!$E$4:$E$1203,$AE32-1200)=0,"",INDEX(对接源_02物料!$E$4:$E$1203,$AE32-1200))))</f>
      </c>
      <c r="D32" s="164">
        <f>IF($AE32="","",IF($AE32&lt;=1200,IF(INDEX(对接源_01水果!$V$4:$V$1203,$AE32)=0,"",INDEX(对接源_01水果!$V$4:$V$1203,$AE32)),IF(INDEX(对接源_02物料!$V$4:$V$1203,$AE32-1200)=0,"",INDEX(对接源_02物料!$V$4:$V$1203,$AE32-1200))))</f>
      </c>
      <c r="E32" s="64">
        <f>IF($AE32="","",IF($AE32&lt;=1200,IF(INDEX(对接源_01水果!$C$4:$C$1203,$AE32)=0,"",INDEX(对接源_01水果!$C$4:$C$1203,$AE32)),IF(INDEX(对接源_02物料!$C$4:$C$1203,$AE32-1200)=0,"",INDEX(对接源_02物料!$C$4:$C$1203,$AE32-1200))))</f>
      </c>
      <c r="F32" s="61">
        <f>IF($AE32="","",IF($AE32&lt;=1200,IF(INDEX(对接源_01水果!$W$4:$W$1203,$AE32)=0,"",INDEX(对接源_01水果!$W$4:$W$1203,$AE32)),IF(INDEX(对接源_02物料!$W$4:$W$1203,$AE32-1200)=0,"",INDEX(对接源_02物料!$W$4:$W$1203,$AE32-1200))))</f>
      </c>
      <c r="G32" s="64">
        <f>IF($AE32="","",IF($AE32&lt;=1200,IF(INDEX(对接源_01水果!$D$4:$D$1203,$AE32)=0,"",INDEX(对接源_01水果!$D$4:$D$1203,$AE32)),IF(INDEX(对接源_02物料!$D$4:$D$1203,$AE32-1200)=0,"",INDEX(对接源_02物料!$D$4:$D$1203,$AE32-1200))))</f>
      </c>
      <c r="H32" s="61">
        <f>IF($AE32="","",IF($AE32&lt;=1200,"01水果册","02物料册"))</f>
      </c>
      <c r="I32" s="64">
        <f>IF($AE32="","",IF($AE32&lt;=1200,IF(INDEX(对接源_01水果!$M$4:$M$1203,$AE32)=0,"",INDEX(对接源_01水果!$M$4:$M$1203,$AE32)),IF(INDEX(对接源_02物料!$M$4:$M$1203,$AE32-1200)=0,"",INDEX(对接源_02物料!$M$4:$M$1203,$AE32-1200))))</f>
      </c>
      <c r="AE32" s="2">
        <f>IFERROR(MATCH(27,_自动清单!$W$4:$W$2403,0),"")</f>
      </c>
    </row>
    <row r="33" ht="18" customHeight="1" s="127">
      <c r="A33" s="165">
        <f>IF($AE33="","",IF($AE33&lt;=1200,IF(INDEX(对接源_01水果!$B$4:$B$1203,$AE33)=0,"",INDEX(对接源_01水果!$B$4:$B$1203,$AE33)),IF(INDEX(对接源_02物料!$B$4:$B$1203,$AE33-1200)=0,"",INDEX(对接源_02物料!$B$4:$B$1203,$AE33-1200))))</f>
      </c>
      <c r="B33" s="107">
        <f>IF($AE33="","",IF($AE33&lt;=1200,IF(INDEX(对接源_01水果!$S$4:$S$1203,$AE33)=0,"",INDEX(对接源_01水果!$S$4:$S$1203,$AE33)),IF(INDEX(对接源_02物料!$S$4:$S$1203,$AE33-1200)=0,"",INDEX(对接源_02物料!$S$4:$S$1203,$AE33-1200))))</f>
      </c>
      <c r="C33" s="104">
        <f>IF($AE33="","",IF($AE33&lt;=1200,IF(INDEX(对接源_01水果!$E$4:$E$1203,$AE33)=0,"",INDEX(对接源_01水果!$E$4:$E$1203,$AE33)),IF(INDEX(对接源_02物料!$E$4:$E$1203,$AE33-1200)=0,"",INDEX(对接源_02物料!$E$4:$E$1203,$AE33-1200))))</f>
      </c>
      <c r="D33" s="166">
        <f>IF($AE33="","",IF($AE33&lt;=1200,IF(INDEX(对接源_01水果!$V$4:$V$1203,$AE33)=0,"",INDEX(对接源_01水果!$V$4:$V$1203,$AE33)),IF(INDEX(对接源_02物料!$V$4:$V$1203,$AE33-1200)=0,"",INDEX(对接源_02物料!$V$4:$V$1203,$AE33-1200))))</f>
      </c>
      <c r="E33" s="107">
        <f>IF($AE33="","",IF($AE33&lt;=1200,IF(INDEX(对接源_01水果!$C$4:$C$1203,$AE33)=0,"",INDEX(对接源_01水果!$C$4:$C$1203,$AE33)),IF(INDEX(对接源_02物料!$C$4:$C$1203,$AE33-1200)=0,"",INDEX(对接源_02物料!$C$4:$C$1203,$AE33-1200))))</f>
      </c>
      <c r="F33" s="104">
        <f>IF($AE33="","",IF($AE33&lt;=1200,IF(INDEX(对接源_01水果!$W$4:$W$1203,$AE33)=0,"",INDEX(对接源_01水果!$W$4:$W$1203,$AE33)),IF(INDEX(对接源_02物料!$W$4:$W$1203,$AE33-1200)=0,"",INDEX(对接源_02物料!$W$4:$W$1203,$AE33-1200))))</f>
      </c>
      <c r="G33" s="107">
        <f>IF($AE33="","",IF($AE33&lt;=1200,IF(INDEX(对接源_01水果!$D$4:$D$1203,$AE33)=0,"",INDEX(对接源_01水果!$D$4:$D$1203,$AE33)),IF(INDEX(对接源_02物料!$D$4:$D$1203,$AE33-1200)=0,"",INDEX(对接源_02物料!$D$4:$D$1203,$AE33-1200))))</f>
      </c>
      <c r="H33" s="104">
        <f>IF($AE33="","",IF($AE33&lt;=1200,"01水果册","02物料册"))</f>
      </c>
      <c r="I33" s="107">
        <f>IF($AE33="","",IF($AE33&lt;=1200,IF(INDEX(对接源_01水果!$M$4:$M$1203,$AE33)=0,"",INDEX(对接源_01水果!$M$4:$M$1203,$AE33)),IF(INDEX(对接源_02物料!$M$4:$M$1203,$AE33-1200)=0,"",INDEX(对接源_02物料!$M$4:$M$1203,$AE33-1200))))</f>
      </c>
      <c r="AE33" s="2">
        <f>IFERROR(MATCH(28,_自动清单!$W$4:$W$2403,0),"")</f>
      </c>
    </row>
    <row r="34" ht="18" customHeight="1" s="127">
      <c r="A34" s="163">
        <f>IF($AE34="","",IF($AE34&lt;=1200,IF(INDEX(对接源_01水果!$B$4:$B$1203,$AE34)=0,"",INDEX(对接源_01水果!$B$4:$B$1203,$AE34)),IF(INDEX(对接源_02物料!$B$4:$B$1203,$AE34-1200)=0,"",INDEX(对接源_02物料!$B$4:$B$1203,$AE34-1200))))</f>
      </c>
      <c r="B34" s="64">
        <f>IF($AE34="","",IF($AE34&lt;=1200,IF(INDEX(对接源_01水果!$S$4:$S$1203,$AE34)=0,"",INDEX(对接源_01水果!$S$4:$S$1203,$AE34)),IF(INDEX(对接源_02物料!$S$4:$S$1203,$AE34-1200)=0,"",INDEX(对接源_02物料!$S$4:$S$1203,$AE34-1200))))</f>
      </c>
      <c r="C34" s="61">
        <f>IF($AE34="","",IF($AE34&lt;=1200,IF(INDEX(对接源_01水果!$E$4:$E$1203,$AE34)=0,"",INDEX(对接源_01水果!$E$4:$E$1203,$AE34)),IF(INDEX(对接源_02物料!$E$4:$E$1203,$AE34-1200)=0,"",INDEX(对接源_02物料!$E$4:$E$1203,$AE34-1200))))</f>
      </c>
      <c r="D34" s="164">
        <f>IF($AE34="","",IF($AE34&lt;=1200,IF(INDEX(对接源_01水果!$V$4:$V$1203,$AE34)=0,"",INDEX(对接源_01水果!$V$4:$V$1203,$AE34)),IF(INDEX(对接源_02物料!$V$4:$V$1203,$AE34-1200)=0,"",INDEX(对接源_02物料!$V$4:$V$1203,$AE34-1200))))</f>
      </c>
      <c r="E34" s="64">
        <f>IF($AE34="","",IF($AE34&lt;=1200,IF(INDEX(对接源_01水果!$C$4:$C$1203,$AE34)=0,"",INDEX(对接源_01水果!$C$4:$C$1203,$AE34)),IF(INDEX(对接源_02物料!$C$4:$C$1203,$AE34-1200)=0,"",INDEX(对接源_02物料!$C$4:$C$1203,$AE34-1200))))</f>
      </c>
      <c r="F34" s="61">
        <f>IF($AE34="","",IF($AE34&lt;=1200,IF(INDEX(对接源_01水果!$W$4:$W$1203,$AE34)=0,"",INDEX(对接源_01水果!$W$4:$W$1203,$AE34)),IF(INDEX(对接源_02物料!$W$4:$W$1203,$AE34-1200)=0,"",INDEX(对接源_02物料!$W$4:$W$1203,$AE34-1200))))</f>
      </c>
      <c r="G34" s="64">
        <f>IF($AE34="","",IF($AE34&lt;=1200,IF(INDEX(对接源_01水果!$D$4:$D$1203,$AE34)=0,"",INDEX(对接源_01水果!$D$4:$D$1203,$AE34)),IF(INDEX(对接源_02物料!$D$4:$D$1203,$AE34-1200)=0,"",INDEX(对接源_02物料!$D$4:$D$1203,$AE34-1200))))</f>
      </c>
      <c r="H34" s="61">
        <f>IF($AE34="","",IF($AE34&lt;=1200,"01水果册","02物料册"))</f>
      </c>
      <c r="I34" s="64">
        <f>IF($AE34="","",IF($AE34&lt;=1200,IF(INDEX(对接源_01水果!$M$4:$M$1203,$AE34)=0,"",INDEX(对接源_01水果!$M$4:$M$1203,$AE34)),IF(INDEX(对接源_02物料!$M$4:$M$1203,$AE34-1200)=0,"",INDEX(对接源_02物料!$M$4:$M$1203,$AE34-1200))))</f>
      </c>
      <c r="AE34" s="2">
        <f>IFERROR(MATCH(29,_自动清单!$W$4:$W$2403,0),"")</f>
      </c>
    </row>
    <row r="35" ht="18" customHeight="1" s="127">
      <c r="A35" s="165">
        <f>IF($AE35="","",IF($AE35&lt;=1200,IF(INDEX(对接源_01水果!$B$4:$B$1203,$AE35)=0,"",INDEX(对接源_01水果!$B$4:$B$1203,$AE35)),IF(INDEX(对接源_02物料!$B$4:$B$1203,$AE35-1200)=0,"",INDEX(对接源_02物料!$B$4:$B$1203,$AE35-1200))))</f>
      </c>
      <c r="B35" s="107">
        <f>IF($AE35="","",IF($AE35&lt;=1200,IF(INDEX(对接源_01水果!$S$4:$S$1203,$AE35)=0,"",INDEX(对接源_01水果!$S$4:$S$1203,$AE35)),IF(INDEX(对接源_02物料!$S$4:$S$1203,$AE35-1200)=0,"",INDEX(对接源_02物料!$S$4:$S$1203,$AE35-1200))))</f>
      </c>
      <c r="C35" s="104">
        <f>IF($AE35="","",IF($AE35&lt;=1200,IF(INDEX(对接源_01水果!$E$4:$E$1203,$AE35)=0,"",INDEX(对接源_01水果!$E$4:$E$1203,$AE35)),IF(INDEX(对接源_02物料!$E$4:$E$1203,$AE35-1200)=0,"",INDEX(对接源_02物料!$E$4:$E$1203,$AE35-1200))))</f>
      </c>
      <c r="D35" s="166">
        <f>IF($AE35="","",IF($AE35&lt;=1200,IF(INDEX(对接源_01水果!$V$4:$V$1203,$AE35)=0,"",INDEX(对接源_01水果!$V$4:$V$1203,$AE35)),IF(INDEX(对接源_02物料!$V$4:$V$1203,$AE35-1200)=0,"",INDEX(对接源_02物料!$V$4:$V$1203,$AE35-1200))))</f>
      </c>
      <c r="E35" s="107">
        <f>IF($AE35="","",IF($AE35&lt;=1200,IF(INDEX(对接源_01水果!$C$4:$C$1203,$AE35)=0,"",INDEX(对接源_01水果!$C$4:$C$1203,$AE35)),IF(INDEX(对接源_02物料!$C$4:$C$1203,$AE35-1200)=0,"",INDEX(对接源_02物料!$C$4:$C$1203,$AE35-1200))))</f>
      </c>
      <c r="F35" s="104">
        <f>IF($AE35="","",IF($AE35&lt;=1200,IF(INDEX(对接源_01水果!$W$4:$W$1203,$AE35)=0,"",INDEX(对接源_01水果!$W$4:$W$1203,$AE35)),IF(INDEX(对接源_02物料!$W$4:$W$1203,$AE35-1200)=0,"",INDEX(对接源_02物料!$W$4:$W$1203,$AE35-1200))))</f>
      </c>
      <c r="G35" s="107">
        <f>IF($AE35="","",IF($AE35&lt;=1200,IF(INDEX(对接源_01水果!$D$4:$D$1203,$AE35)=0,"",INDEX(对接源_01水果!$D$4:$D$1203,$AE35)),IF(INDEX(对接源_02物料!$D$4:$D$1203,$AE35-1200)=0,"",INDEX(对接源_02物料!$D$4:$D$1203,$AE35-1200))))</f>
      </c>
      <c r="H35" s="104">
        <f>IF($AE35="","",IF($AE35&lt;=1200,"01水果册","02物料册"))</f>
      </c>
      <c r="I35" s="107">
        <f>IF($AE35="","",IF($AE35&lt;=1200,IF(INDEX(对接源_01水果!$M$4:$M$1203,$AE35)=0,"",INDEX(对接源_01水果!$M$4:$M$1203,$AE35)),IF(INDEX(对接源_02物料!$M$4:$M$1203,$AE35-1200)=0,"",INDEX(对接源_02物料!$M$4:$M$1203,$AE35-1200))))</f>
      </c>
      <c r="AE35" s="2">
        <f>IFERROR(MATCH(30,_自动清单!$W$4:$W$2403,0),"")</f>
      </c>
    </row>
    <row r="36" ht="18" customHeight="1" s="127">
      <c r="A36" s="163">
        <f>IF($AE36="","",IF($AE36&lt;=1200,IF(INDEX(对接源_01水果!$B$4:$B$1203,$AE36)=0,"",INDEX(对接源_01水果!$B$4:$B$1203,$AE36)),IF(INDEX(对接源_02物料!$B$4:$B$1203,$AE36-1200)=0,"",INDEX(对接源_02物料!$B$4:$B$1203,$AE36-1200))))</f>
      </c>
      <c r="B36" s="64">
        <f>IF($AE36="","",IF($AE36&lt;=1200,IF(INDEX(对接源_01水果!$S$4:$S$1203,$AE36)=0,"",INDEX(对接源_01水果!$S$4:$S$1203,$AE36)),IF(INDEX(对接源_02物料!$S$4:$S$1203,$AE36-1200)=0,"",INDEX(对接源_02物料!$S$4:$S$1203,$AE36-1200))))</f>
      </c>
      <c r="C36" s="61">
        <f>IF($AE36="","",IF($AE36&lt;=1200,IF(INDEX(对接源_01水果!$E$4:$E$1203,$AE36)=0,"",INDEX(对接源_01水果!$E$4:$E$1203,$AE36)),IF(INDEX(对接源_02物料!$E$4:$E$1203,$AE36-1200)=0,"",INDEX(对接源_02物料!$E$4:$E$1203,$AE36-1200))))</f>
      </c>
      <c r="D36" s="164">
        <f>IF($AE36="","",IF($AE36&lt;=1200,IF(INDEX(对接源_01水果!$V$4:$V$1203,$AE36)=0,"",INDEX(对接源_01水果!$V$4:$V$1203,$AE36)),IF(INDEX(对接源_02物料!$V$4:$V$1203,$AE36-1200)=0,"",INDEX(对接源_02物料!$V$4:$V$1203,$AE36-1200))))</f>
      </c>
      <c r="E36" s="64">
        <f>IF($AE36="","",IF($AE36&lt;=1200,IF(INDEX(对接源_01水果!$C$4:$C$1203,$AE36)=0,"",INDEX(对接源_01水果!$C$4:$C$1203,$AE36)),IF(INDEX(对接源_02物料!$C$4:$C$1203,$AE36-1200)=0,"",INDEX(对接源_02物料!$C$4:$C$1203,$AE36-1200))))</f>
      </c>
      <c r="F36" s="61">
        <f>IF($AE36="","",IF($AE36&lt;=1200,IF(INDEX(对接源_01水果!$W$4:$W$1203,$AE36)=0,"",INDEX(对接源_01水果!$W$4:$W$1203,$AE36)),IF(INDEX(对接源_02物料!$W$4:$W$1203,$AE36-1200)=0,"",INDEX(对接源_02物料!$W$4:$W$1203,$AE36-1200))))</f>
      </c>
      <c r="G36" s="64">
        <f>IF($AE36="","",IF($AE36&lt;=1200,IF(INDEX(对接源_01水果!$D$4:$D$1203,$AE36)=0,"",INDEX(对接源_01水果!$D$4:$D$1203,$AE36)),IF(INDEX(对接源_02物料!$D$4:$D$1203,$AE36-1200)=0,"",INDEX(对接源_02物料!$D$4:$D$1203,$AE36-1200))))</f>
      </c>
      <c r="H36" s="61">
        <f>IF($AE36="","",IF($AE36&lt;=1200,"01水果册","02物料册"))</f>
      </c>
      <c r="I36" s="64">
        <f>IF($AE36="","",IF($AE36&lt;=1200,IF(INDEX(对接源_01水果!$M$4:$M$1203,$AE36)=0,"",INDEX(对接源_01水果!$M$4:$M$1203,$AE36)),IF(INDEX(对接源_02物料!$M$4:$M$1203,$AE36-1200)=0,"",INDEX(对接源_02物料!$M$4:$M$1203,$AE36-1200))))</f>
      </c>
      <c r="AE36" s="2">
        <f>IFERROR(MATCH(31,_自动清单!$W$4:$W$2403,0),"")</f>
      </c>
    </row>
    <row r="37" ht="18" customHeight="1" s="127">
      <c r="A37" s="165">
        <f>IF($AE37="","",IF($AE37&lt;=1200,IF(INDEX(对接源_01水果!$B$4:$B$1203,$AE37)=0,"",INDEX(对接源_01水果!$B$4:$B$1203,$AE37)),IF(INDEX(对接源_02物料!$B$4:$B$1203,$AE37-1200)=0,"",INDEX(对接源_02物料!$B$4:$B$1203,$AE37-1200))))</f>
      </c>
      <c r="B37" s="107">
        <f>IF($AE37="","",IF($AE37&lt;=1200,IF(INDEX(对接源_01水果!$S$4:$S$1203,$AE37)=0,"",INDEX(对接源_01水果!$S$4:$S$1203,$AE37)),IF(INDEX(对接源_02物料!$S$4:$S$1203,$AE37-1200)=0,"",INDEX(对接源_02物料!$S$4:$S$1203,$AE37-1200))))</f>
      </c>
      <c r="C37" s="104">
        <f>IF($AE37="","",IF($AE37&lt;=1200,IF(INDEX(对接源_01水果!$E$4:$E$1203,$AE37)=0,"",INDEX(对接源_01水果!$E$4:$E$1203,$AE37)),IF(INDEX(对接源_02物料!$E$4:$E$1203,$AE37-1200)=0,"",INDEX(对接源_02物料!$E$4:$E$1203,$AE37-1200))))</f>
      </c>
      <c r="D37" s="166">
        <f>IF($AE37="","",IF($AE37&lt;=1200,IF(INDEX(对接源_01水果!$V$4:$V$1203,$AE37)=0,"",INDEX(对接源_01水果!$V$4:$V$1203,$AE37)),IF(INDEX(对接源_02物料!$V$4:$V$1203,$AE37-1200)=0,"",INDEX(对接源_02物料!$V$4:$V$1203,$AE37-1200))))</f>
      </c>
      <c r="E37" s="107">
        <f>IF($AE37="","",IF($AE37&lt;=1200,IF(INDEX(对接源_01水果!$C$4:$C$1203,$AE37)=0,"",INDEX(对接源_01水果!$C$4:$C$1203,$AE37)),IF(INDEX(对接源_02物料!$C$4:$C$1203,$AE37-1200)=0,"",INDEX(对接源_02物料!$C$4:$C$1203,$AE37-1200))))</f>
      </c>
      <c r="F37" s="104">
        <f>IF($AE37="","",IF($AE37&lt;=1200,IF(INDEX(对接源_01水果!$W$4:$W$1203,$AE37)=0,"",INDEX(对接源_01水果!$W$4:$W$1203,$AE37)),IF(INDEX(对接源_02物料!$W$4:$W$1203,$AE37-1200)=0,"",INDEX(对接源_02物料!$W$4:$W$1203,$AE37-1200))))</f>
      </c>
      <c r="G37" s="107">
        <f>IF($AE37="","",IF($AE37&lt;=1200,IF(INDEX(对接源_01水果!$D$4:$D$1203,$AE37)=0,"",INDEX(对接源_01水果!$D$4:$D$1203,$AE37)),IF(INDEX(对接源_02物料!$D$4:$D$1203,$AE37-1200)=0,"",INDEX(对接源_02物料!$D$4:$D$1203,$AE37-1200))))</f>
      </c>
      <c r="H37" s="104">
        <f>IF($AE37="","",IF($AE37&lt;=1200,"01水果册","02物料册"))</f>
      </c>
      <c r="I37" s="107">
        <f>IF($AE37="","",IF($AE37&lt;=1200,IF(INDEX(对接源_01水果!$M$4:$M$1203,$AE37)=0,"",INDEX(对接源_01水果!$M$4:$M$1203,$AE37)),IF(INDEX(对接源_02物料!$M$4:$M$1203,$AE37-1200)=0,"",INDEX(对接源_02物料!$M$4:$M$1203,$AE37-1200))))</f>
      </c>
      <c r="AE37" s="2">
        <f>IFERROR(MATCH(32,_自动清单!$W$4:$W$2403,0),"")</f>
      </c>
    </row>
    <row r="38" ht="18" customHeight="1" s="127">
      <c r="A38" s="163">
        <f>IF($AE38="","",IF($AE38&lt;=1200,IF(INDEX(对接源_01水果!$B$4:$B$1203,$AE38)=0,"",INDEX(对接源_01水果!$B$4:$B$1203,$AE38)),IF(INDEX(对接源_02物料!$B$4:$B$1203,$AE38-1200)=0,"",INDEX(对接源_02物料!$B$4:$B$1203,$AE38-1200))))</f>
      </c>
      <c r="B38" s="64">
        <f>IF($AE38="","",IF($AE38&lt;=1200,IF(INDEX(对接源_01水果!$S$4:$S$1203,$AE38)=0,"",INDEX(对接源_01水果!$S$4:$S$1203,$AE38)),IF(INDEX(对接源_02物料!$S$4:$S$1203,$AE38-1200)=0,"",INDEX(对接源_02物料!$S$4:$S$1203,$AE38-1200))))</f>
      </c>
      <c r="C38" s="61">
        <f>IF($AE38="","",IF($AE38&lt;=1200,IF(INDEX(对接源_01水果!$E$4:$E$1203,$AE38)=0,"",INDEX(对接源_01水果!$E$4:$E$1203,$AE38)),IF(INDEX(对接源_02物料!$E$4:$E$1203,$AE38-1200)=0,"",INDEX(对接源_02物料!$E$4:$E$1203,$AE38-1200))))</f>
      </c>
      <c r="D38" s="164">
        <f>IF($AE38="","",IF($AE38&lt;=1200,IF(INDEX(对接源_01水果!$V$4:$V$1203,$AE38)=0,"",INDEX(对接源_01水果!$V$4:$V$1203,$AE38)),IF(INDEX(对接源_02物料!$V$4:$V$1203,$AE38-1200)=0,"",INDEX(对接源_02物料!$V$4:$V$1203,$AE38-1200))))</f>
      </c>
      <c r="E38" s="64">
        <f>IF($AE38="","",IF($AE38&lt;=1200,IF(INDEX(对接源_01水果!$C$4:$C$1203,$AE38)=0,"",INDEX(对接源_01水果!$C$4:$C$1203,$AE38)),IF(INDEX(对接源_02物料!$C$4:$C$1203,$AE38-1200)=0,"",INDEX(对接源_02物料!$C$4:$C$1203,$AE38-1200))))</f>
      </c>
      <c r="F38" s="61">
        <f>IF($AE38="","",IF($AE38&lt;=1200,IF(INDEX(对接源_01水果!$W$4:$W$1203,$AE38)=0,"",INDEX(对接源_01水果!$W$4:$W$1203,$AE38)),IF(INDEX(对接源_02物料!$W$4:$W$1203,$AE38-1200)=0,"",INDEX(对接源_02物料!$W$4:$W$1203,$AE38-1200))))</f>
      </c>
      <c r="G38" s="64">
        <f>IF($AE38="","",IF($AE38&lt;=1200,IF(INDEX(对接源_01水果!$D$4:$D$1203,$AE38)=0,"",INDEX(对接源_01水果!$D$4:$D$1203,$AE38)),IF(INDEX(对接源_02物料!$D$4:$D$1203,$AE38-1200)=0,"",INDEX(对接源_02物料!$D$4:$D$1203,$AE38-1200))))</f>
      </c>
      <c r="H38" s="61">
        <f>IF($AE38="","",IF($AE38&lt;=1200,"01水果册","02物料册"))</f>
      </c>
      <c r="I38" s="64">
        <f>IF($AE38="","",IF($AE38&lt;=1200,IF(INDEX(对接源_01水果!$M$4:$M$1203,$AE38)=0,"",INDEX(对接源_01水果!$M$4:$M$1203,$AE38)),IF(INDEX(对接源_02物料!$M$4:$M$1203,$AE38-1200)=0,"",INDEX(对接源_02物料!$M$4:$M$1203,$AE38-1200))))</f>
      </c>
      <c r="AE38" s="2">
        <f>IFERROR(MATCH(33,_自动清单!$W$4:$W$2403,0),"")</f>
      </c>
    </row>
    <row r="39" ht="18" customHeight="1" s="127">
      <c r="A39" s="165">
        <f>IF($AE39="","",IF($AE39&lt;=1200,IF(INDEX(对接源_01水果!$B$4:$B$1203,$AE39)=0,"",INDEX(对接源_01水果!$B$4:$B$1203,$AE39)),IF(INDEX(对接源_02物料!$B$4:$B$1203,$AE39-1200)=0,"",INDEX(对接源_02物料!$B$4:$B$1203,$AE39-1200))))</f>
      </c>
      <c r="B39" s="107">
        <f>IF($AE39="","",IF($AE39&lt;=1200,IF(INDEX(对接源_01水果!$S$4:$S$1203,$AE39)=0,"",INDEX(对接源_01水果!$S$4:$S$1203,$AE39)),IF(INDEX(对接源_02物料!$S$4:$S$1203,$AE39-1200)=0,"",INDEX(对接源_02物料!$S$4:$S$1203,$AE39-1200))))</f>
      </c>
      <c r="C39" s="104">
        <f>IF($AE39="","",IF($AE39&lt;=1200,IF(INDEX(对接源_01水果!$E$4:$E$1203,$AE39)=0,"",INDEX(对接源_01水果!$E$4:$E$1203,$AE39)),IF(INDEX(对接源_02物料!$E$4:$E$1203,$AE39-1200)=0,"",INDEX(对接源_02物料!$E$4:$E$1203,$AE39-1200))))</f>
      </c>
      <c r="D39" s="166">
        <f>IF($AE39="","",IF($AE39&lt;=1200,IF(INDEX(对接源_01水果!$V$4:$V$1203,$AE39)=0,"",INDEX(对接源_01水果!$V$4:$V$1203,$AE39)),IF(INDEX(对接源_02物料!$V$4:$V$1203,$AE39-1200)=0,"",INDEX(对接源_02物料!$V$4:$V$1203,$AE39-1200))))</f>
      </c>
      <c r="E39" s="107">
        <f>IF($AE39="","",IF($AE39&lt;=1200,IF(INDEX(对接源_01水果!$C$4:$C$1203,$AE39)=0,"",INDEX(对接源_01水果!$C$4:$C$1203,$AE39)),IF(INDEX(对接源_02物料!$C$4:$C$1203,$AE39-1200)=0,"",INDEX(对接源_02物料!$C$4:$C$1203,$AE39-1200))))</f>
      </c>
      <c r="F39" s="104">
        <f>IF($AE39="","",IF($AE39&lt;=1200,IF(INDEX(对接源_01水果!$W$4:$W$1203,$AE39)=0,"",INDEX(对接源_01水果!$W$4:$W$1203,$AE39)),IF(INDEX(对接源_02物料!$W$4:$W$1203,$AE39-1200)=0,"",INDEX(对接源_02物料!$W$4:$W$1203,$AE39-1200))))</f>
      </c>
      <c r="G39" s="107">
        <f>IF($AE39="","",IF($AE39&lt;=1200,IF(INDEX(对接源_01水果!$D$4:$D$1203,$AE39)=0,"",INDEX(对接源_01水果!$D$4:$D$1203,$AE39)),IF(INDEX(对接源_02物料!$D$4:$D$1203,$AE39-1200)=0,"",INDEX(对接源_02物料!$D$4:$D$1203,$AE39-1200))))</f>
      </c>
      <c r="H39" s="104">
        <f>IF($AE39="","",IF($AE39&lt;=1200,"01水果册","02物料册"))</f>
      </c>
      <c r="I39" s="107">
        <f>IF($AE39="","",IF($AE39&lt;=1200,IF(INDEX(对接源_01水果!$M$4:$M$1203,$AE39)=0,"",INDEX(对接源_01水果!$M$4:$M$1203,$AE39)),IF(INDEX(对接源_02物料!$M$4:$M$1203,$AE39-1200)=0,"",INDEX(对接源_02物料!$M$4:$M$1203,$AE39-1200))))</f>
      </c>
      <c r="AE39" s="2">
        <f>IFERROR(MATCH(34,_自动清单!$W$4:$W$2403,0),"")</f>
      </c>
    </row>
    <row r="40" ht="18" customHeight="1" s="127">
      <c r="A40" s="163">
        <f>IF($AE40="","",IF($AE40&lt;=1200,IF(INDEX(对接源_01水果!$B$4:$B$1203,$AE40)=0,"",INDEX(对接源_01水果!$B$4:$B$1203,$AE40)),IF(INDEX(对接源_02物料!$B$4:$B$1203,$AE40-1200)=0,"",INDEX(对接源_02物料!$B$4:$B$1203,$AE40-1200))))</f>
      </c>
      <c r="B40" s="64">
        <f>IF($AE40="","",IF($AE40&lt;=1200,IF(INDEX(对接源_01水果!$S$4:$S$1203,$AE40)=0,"",INDEX(对接源_01水果!$S$4:$S$1203,$AE40)),IF(INDEX(对接源_02物料!$S$4:$S$1203,$AE40-1200)=0,"",INDEX(对接源_02物料!$S$4:$S$1203,$AE40-1200))))</f>
      </c>
      <c r="C40" s="61">
        <f>IF($AE40="","",IF($AE40&lt;=1200,IF(INDEX(对接源_01水果!$E$4:$E$1203,$AE40)=0,"",INDEX(对接源_01水果!$E$4:$E$1203,$AE40)),IF(INDEX(对接源_02物料!$E$4:$E$1203,$AE40-1200)=0,"",INDEX(对接源_02物料!$E$4:$E$1203,$AE40-1200))))</f>
      </c>
      <c r="D40" s="164">
        <f>IF($AE40="","",IF($AE40&lt;=1200,IF(INDEX(对接源_01水果!$V$4:$V$1203,$AE40)=0,"",INDEX(对接源_01水果!$V$4:$V$1203,$AE40)),IF(INDEX(对接源_02物料!$V$4:$V$1203,$AE40-1200)=0,"",INDEX(对接源_02物料!$V$4:$V$1203,$AE40-1200))))</f>
      </c>
      <c r="E40" s="64">
        <f>IF($AE40="","",IF($AE40&lt;=1200,IF(INDEX(对接源_01水果!$C$4:$C$1203,$AE40)=0,"",INDEX(对接源_01水果!$C$4:$C$1203,$AE40)),IF(INDEX(对接源_02物料!$C$4:$C$1203,$AE40-1200)=0,"",INDEX(对接源_02物料!$C$4:$C$1203,$AE40-1200))))</f>
      </c>
      <c r="F40" s="61">
        <f>IF($AE40="","",IF($AE40&lt;=1200,IF(INDEX(对接源_01水果!$W$4:$W$1203,$AE40)=0,"",INDEX(对接源_01水果!$W$4:$W$1203,$AE40)),IF(INDEX(对接源_02物料!$W$4:$W$1203,$AE40-1200)=0,"",INDEX(对接源_02物料!$W$4:$W$1203,$AE40-1200))))</f>
      </c>
      <c r="G40" s="64">
        <f>IF($AE40="","",IF($AE40&lt;=1200,IF(INDEX(对接源_01水果!$D$4:$D$1203,$AE40)=0,"",INDEX(对接源_01水果!$D$4:$D$1203,$AE40)),IF(INDEX(对接源_02物料!$D$4:$D$1203,$AE40-1200)=0,"",INDEX(对接源_02物料!$D$4:$D$1203,$AE40-1200))))</f>
      </c>
      <c r="H40" s="61">
        <f>IF($AE40="","",IF($AE40&lt;=1200,"01水果册","02物料册"))</f>
      </c>
      <c r="I40" s="64">
        <f>IF($AE40="","",IF($AE40&lt;=1200,IF(INDEX(对接源_01水果!$M$4:$M$1203,$AE40)=0,"",INDEX(对接源_01水果!$M$4:$M$1203,$AE40)),IF(INDEX(对接源_02物料!$M$4:$M$1203,$AE40-1200)=0,"",INDEX(对接源_02物料!$M$4:$M$1203,$AE40-1200))))</f>
      </c>
      <c r="AE40" s="2">
        <f>IFERROR(MATCH(35,_自动清单!$W$4:$W$2403,0),"")</f>
      </c>
    </row>
    <row r="41" ht="18" customHeight="1" s="127">
      <c r="A41" s="165">
        <f>IF($AE41="","",IF($AE41&lt;=1200,IF(INDEX(对接源_01水果!$B$4:$B$1203,$AE41)=0,"",INDEX(对接源_01水果!$B$4:$B$1203,$AE41)),IF(INDEX(对接源_02物料!$B$4:$B$1203,$AE41-1200)=0,"",INDEX(对接源_02物料!$B$4:$B$1203,$AE41-1200))))</f>
      </c>
      <c r="B41" s="107">
        <f>IF($AE41="","",IF($AE41&lt;=1200,IF(INDEX(对接源_01水果!$S$4:$S$1203,$AE41)=0,"",INDEX(对接源_01水果!$S$4:$S$1203,$AE41)),IF(INDEX(对接源_02物料!$S$4:$S$1203,$AE41-1200)=0,"",INDEX(对接源_02物料!$S$4:$S$1203,$AE41-1200))))</f>
      </c>
      <c r="C41" s="104">
        <f>IF($AE41="","",IF($AE41&lt;=1200,IF(INDEX(对接源_01水果!$E$4:$E$1203,$AE41)=0,"",INDEX(对接源_01水果!$E$4:$E$1203,$AE41)),IF(INDEX(对接源_02物料!$E$4:$E$1203,$AE41-1200)=0,"",INDEX(对接源_02物料!$E$4:$E$1203,$AE41-1200))))</f>
      </c>
      <c r="D41" s="166">
        <f>IF($AE41="","",IF($AE41&lt;=1200,IF(INDEX(对接源_01水果!$V$4:$V$1203,$AE41)=0,"",INDEX(对接源_01水果!$V$4:$V$1203,$AE41)),IF(INDEX(对接源_02物料!$V$4:$V$1203,$AE41-1200)=0,"",INDEX(对接源_02物料!$V$4:$V$1203,$AE41-1200))))</f>
      </c>
      <c r="E41" s="107">
        <f>IF($AE41="","",IF($AE41&lt;=1200,IF(INDEX(对接源_01水果!$C$4:$C$1203,$AE41)=0,"",INDEX(对接源_01水果!$C$4:$C$1203,$AE41)),IF(INDEX(对接源_02物料!$C$4:$C$1203,$AE41-1200)=0,"",INDEX(对接源_02物料!$C$4:$C$1203,$AE41-1200))))</f>
      </c>
      <c r="F41" s="104">
        <f>IF($AE41="","",IF($AE41&lt;=1200,IF(INDEX(对接源_01水果!$W$4:$W$1203,$AE41)=0,"",INDEX(对接源_01水果!$W$4:$W$1203,$AE41)),IF(INDEX(对接源_02物料!$W$4:$W$1203,$AE41-1200)=0,"",INDEX(对接源_02物料!$W$4:$W$1203,$AE41-1200))))</f>
      </c>
      <c r="G41" s="107">
        <f>IF($AE41="","",IF($AE41&lt;=1200,IF(INDEX(对接源_01水果!$D$4:$D$1203,$AE41)=0,"",INDEX(对接源_01水果!$D$4:$D$1203,$AE41)),IF(INDEX(对接源_02物料!$D$4:$D$1203,$AE41-1200)=0,"",INDEX(对接源_02物料!$D$4:$D$1203,$AE41-1200))))</f>
      </c>
      <c r="H41" s="104">
        <f>IF($AE41="","",IF($AE41&lt;=1200,"01水果册","02物料册"))</f>
      </c>
      <c r="I41" s="107">
        <f>IF($AE41="","",IF($AE41&lt;=1200,IF(INDEX(对接源_01水果!$M$4:$M$1203,$AE41)=0,"",INDEX(对接源_01水果!$M$4:$M$1203,$AE41)),IF(INDEX(对接源_02物料!$M$4:$M$1203,$AE41-1200)=0,"",INDEX(对接源_02物料!$M$4:$M$1203,$AE41-1200))))</f>
      </c>
      <c r="AE41" s="2">
        <f>IFERROR(MATCH(36,_自动清单!$W$4:$W$2403,0),"")</f>
      </c>
    </row>
    <row r="42" ht="18" customHeight="1" s="127">
      <c r="A42" s="163">
        <f>IF($AE42="","",IF($AE42&lt;=1200,IF(INDEX(对接源_01水果!$B$4:$B$1203,$AE42)=0,"",INDEX(对接源_01水果!$B$4:$B$1203,$AE42)),IF(INDEX(对接源_02物料!$B$4:$B$1203,$AE42-1200)=0,"",INDEX(对接源_02物料!$B$4:$B$1203,$AE42-1200))))</f>
      </c>
      <c r="B42" s="64">
        <f>IF($AE42="","",IF($AE42&lt;=1200,IF(INDEX(对接源_01水果!$S$4:$S$1203,$AE42)=0,"",INDEX(对接源_01水果!$S$4:$S$1203,$AE42)),IF(INDEX(对接源_02物料!$S$4:$S$1203,$AE42-1200)=0,"",INDEX(对接源_02物料!$S$4:$S$1203,$AE42-1200))))</f>
      </c>
      <c r="C42" s="61">
        <f>IF($AE42="","",IF($AE42&lt;=1200,IF(INDEX(对接源_01水果!$E$4:$E$1203,$AE42)=0,"",INDEX(对接源_01水果!$E$4:$E$1203,$AE42)),IF(INDEX(对接源_02物料!$E$4:$E$1203,$AE42-1200)=0,"",INDEX(对接源_02物料!$E$4:$E$1203,$AE42-1200))))</f>
      </c>
      <c r="D42" s="164">
        <f>IF($AE42="","",IF($AE42&lt;=1200,IF(INDEX(对接源_01水果!$V$4:$V$1203,$AE42)=0,"",INDEX(对接源_01水果!$V$4:$V$1203,$AE42)),IF(INDEX(对接源_02物料!$V$4:$V$1203,$AE42-1200)=0,"",INDEX(对接源_02物料!$V$4:$V$1203,$AE42-1200))))</f>
      </c>
      <c r="E42" s="64">
        <f>IF($AE42="","",IF($AE42&lt;=1200,IF(INDEX(对接源_01水果!$C$4:$C$1203,$AE42)=0,"",INDEX(对接源_01水果!$C$4:$C$1203,$AE42)),IF(INDEX(对接源_02物料!$C$4:$C$1203,$AE42-1200)=0,"",INDEX(对接源_02物料!$C$4:$C$1203,$AE42-1200))))</f>
      </c>
      <c r="F42" s="61">
        <f>IF($AE42="","",IF($AE42&lt;=1200,IF(INDEX(对接源_01水果!$W$4:$W$1203,$AE42)=0,"",INDEX(对接源_01水果!$W$4:$W$1203,$AE42)),IF(INDEX(对接源_02物料!$W$4:$W$1203,$AE42-1200)=0,"",INDEX(对接源_02物料!$W$4:$W$1203,$AE42-1200))))</f>
      </c>
      <c r="G42" s="64">
        <f>IF($AE42="","",IF($AE42&lt;=1200,IF(INDEX(对接源_01水果!$D$4:$D$1203,$AE42)=0,"",INDEX(对接源_01水果!$D$4:$D$1203,$AE42)),IF(INDEX(对接源_02物料!$D$4:$D$1203,$AE42-1200)=0,"",INDEX(对接源_02物料!$D$4:$D$1203,$AE42-1200))))</f>
      </c>
      <c r="H42" s="61">
        <f>IF($AE42="","",IF($AE42&lt;=1200,"01水果册","02物料册"))</f>
      </c>
      <c r="I42" s="64">
        <f>IF($AE42="","",IF($AE42&lt;=1200,IF(INDEX(对接源_01水果!$M$4:$M$1203,$AE42)=0,"",INDEX(对接源_01水果!$M$4:$M$1203,$AE42)),IF(INDEX(对接源_02物料!$M$4:$M$1203,$AE42-1200)=0,"",INDEX(对接源_02物料!$M$4:$M$1203,$AE42-1200))))</f>
      </c>
      <c r="AE42" s="2">
        <f>IFERROR(MATCH(37,_自动清单!$W$4:$W$2403,0),"")</f>
      </c>
    </row>
    <row r="43" ht="18" customHeight="1" s="127">
      <c r="A43" s="165">
        <f>IF($AE43="","",IF($AE43&lt;=1200,IF(INDEX(对接源_01水果!$B$4:$B$1203,$AE43)=0,"",INDEX(对接源_01水果!$B$4:$B$1203,$AE43)),IF(INDEX(对接源_02物料!$B$4:$B$1203,$AE43-1200)=0,"",INDEX(对接源_02物料!$B$4:$B$1203,$AE43-1200))))</f>
      </c>
      <c r="B43" s="107">
        <f>IF($AE43="","",IF($AE43&lt;=1200,IF(INDEX(对接源_01水果!$S$4:$S$1203,$AE43)=0,"",INDEX(对接源_01水果!$S$4:$S$1203,$AE43)),IF(INDEX(对接源_02物料!$S$4:$S$1203,$AE43-1200)=0,"",INDEX(对接源_02物料!$S$4:$S$1203,$AE43-1200))))</f>
      </c>
      <c r="C43" s="104">
        <f>IF($AE43="","",IF($AE43&lt;=1200,IF(INDEX(对接源_01水果!$E$4:$E$1203,$AE43)=0,"",INDEX(对接源_01水果!$E$4:$E$1203,$AE43)),IF(INDEX(对接源_02物料!$E$4:$E$1203,$AE43-1200)=0,"",INDEX(对接源_02物料!$E$4:$E$1203,$AE43-1200))))</f>
      </c>
      <c r="D43" s="166">
        <f>IF($AE43="","",IF($AE43&lt;=1200,IF(INDEX(对接源_01水果!$V$4:$V$1203,$AE43)=0,"",INDEX(对接源_01水果!$V$4:$V$1203,$AE43)),IF(INDEX(对接源_02物料!$V$4:$V$1203,$AE43-1200)=0,"",INDEX(对接源_02物料!$V$4:$V$1203,$AE43-1200))))</f>
      </c>
      <c r="E43" s="107">
        <f>IF($AE43="","",IF($AE43&lt;=1200,IF(INDEX(对接源_01水果!$C$4:$C$1203,$AE43)=0,"",INDEX(对接源_01水果!$C$4:$C$1203,$AE43)),IF(INDEX(对接源_02物料!$C$4:$C$1203,$AE43-1200)=0,"",INDEX(对接源_02物料!$C$4:$C$1203,$AE43-1200))))</f>
      </c>
      <c r="F43" s="104">
        <f>IF($AE43="","",IF($AE43&lt;=1200,IF(INDEX(对接源_01水果!$W$4:$W$1203,$AE43)=0,"",INDEX(对接源_01水果!$W$4:$W$1203,$AE43)),IF(INDEX(对接源_02物料!$W$4:$W$1203,$AE43-1200)=0,"",INDEX(对接源_02物料!$W$4:$W$1203,$AE43-1200))))</f>
      </c>
      <c r="G43" s="107">
        <f>IF($AE43="","",IF($AE43&lt;=1200,IF(INDEX(对接源_01水果!$D$4:$D$1203,$AE43)=0,"",INDEX(对接源_01水果!$D$4:$D$1203,$AE43)),IF(INDEX(对接源_02物料!$D$4:$D$1203,$AE43-1200)=0,"",INDEX(对接源_02物料!$D$4:$D$1203,$AE43-1200))))</f>
      </c>
      <c r="H43" s="104">
        <f>IF($AE43="","",IF($AE43&lt;=1200,"01水果册","02物料册"))</f>
      </c>
      <c r="I43" s="107">
        <f>IF($AE43="","",IF($AE43&lt;=1200,IF(INDEX(对接源_01水果!$M$4:$M$1203,$AE43)=0,"",INDEX(对接源_01水果!$M$4:$M$1203,$AE43)),IF(INDEX(对接源_02物料!$M$4:$M$1203,$AE43-1200)=0,"",INDEX(对接源_02物料!$M$4:$M$1203,$AE43-1200))))</f>
      </c>
      <c r="AE43" s="2">
        <f>IFERROR(MATCH(38,_自动清单!$W$4:$W$2403,0),"")</f>
      </c>
    </row>
    <row r="44" ht="18" customHeight="1" s="127">
      <c r="A44" s="163">
        <f>IF($AE44="","",IF($AE44&lt;=1200,IF(INDEX(对接源_01水果!$B$4:$B$1203,$AE44)=0,"",INDEX(对接源_01水果!$B$4:$B$1203,$AE44)),IF(INDEX(对接源_02物料!$B$4:$B$1203,$AE44-1200)=0,"",INDEX(对接源_02物料!$B$4:$B$1203,$AE44-1200))))</f>
      </c>
      <c r="B44" s="64">
        <f>IF($AE44="","",IF($AE44&lt;=1200,IF(INDEX(对接源_01水果!$S$4:$S$1203,$AE44)=0,"",INDEX(对接源_01水果!$S$4:$S$1203,$AE44)),IF(INDEX(对接源_02物料!$S$4:$S$1203,$AE44-1200)=0,"",INDEX(对接源_02物料!$S$4:$S$1203,$AE44-1200))))</f>
      </c>
      <c r="C44" s="61">
        <f>IF($AE44="","",IF($AE44&lt;=1200,IF(INDEX(对接源_01水果!$E$4:$E$1203,$AE44)=0,"",INDEX(对接源_01水果!$E$4:$E$1203,$AE44)),IF(INDEX(对接源_02物料!$E$4:$E$1203,$AE44-1200)=0,"",INDEX(对接源_02物料!$E$4:$E$1203,$AE44-1200))))</f>
      </c>
      <c r="D44" s="164">
        <f>IF($AE44="","",IF($AE44&lt;=1200,IF(INDEX(对接源_01水果!$V$4:$V$1203,$AE44)=0,"",INDEX(对接源_01水果!$V$4:$V$1203,$AE44)),IF(INDEX(对接源_02物料!$V$4:$V$1203,$AE44-1200)=0,"",INDEX(对接源_02物料!$V$4:$V$1203,$AE44-1200))))</f>
      </c>
      <c r="E44" s="64">
        <f>IF($AE44="","",IF($AE44&lt;=1200,IF(INDEX(对接源_01水果!$C$4:$C$1203,$AE44)=0,"",INDEX(对接源_01水果!$C$4:$C$1203,$AE44)),IF(INDEX(对接源_02物料!$C$4:$C$1203,$AE44-1200)=0,"",INDEX(对接源_02物料!$C$4:$C$1203,$AE44-1200))))</f>
      </c>
      <c r="F44" s="61">
        <f>IF($AE44="","",IF($AE44&lt;=1200,IF(INDEX(对接源_01水果!$W$4:$W$1203,$AE44)=0,"",INDEX(对接源_01水果!$W$4:$W$1203,$AE44)),IF(INDEX(对接源_02物料!$W$4:$W$1203,$AE44-1200)=0,"",INDEX(对接源_02物料!$W$4:$W$1203,$AE44-1200))))</f>
      </c>
      <c r="G44" s="64">
        <f>IF($AE44="","",IF($AE44&lt;=1200,IF(INDEX(对接源_01水果!$D$4:$D$1203,$AE44)=0,"",INDEX(对接源_01水果!$D$4:$D$1203,$AE44)),IF(INDEX(对接源_02物料!$D$4:$D$1203,$AE44-1200)=0,"",INDEX(对接源_02物料!$D$4:$D$1203,$AE44-1200))))</f>
      </c>
      <c r="H44" s="61">
        <f>IF($AE44="","",IF($AE44&lt;=1200,"01水果册","02物料册"))</f>
      </c>
      <c r="I44" s="64">
        <f>IF($AE44="","",IF($AE44&lt;=1200,IF(INDEX(对接源_01水果!$M$4:$M$1203,$AE44)=0,"",INDEX(对接源_01水果!$M$4:$M$1203,$AE44)),IF(INDEX(对接源_02物料!$M$4:$M$1203,$AE44-1200)=0,"",INDEX(对接源_02物料!$M$4:$M$1203,$AE44-1200))))</f>
      </c>
      <c r="AE44" s="2">
        <f>IFERROR(MATCH(39,_自动清单!$W$4:$W$2403,0),"")</f>
      </c>
    </row>
    <row r="45" ht="18" customHeight="1" s="127">
      <c r="A45" s="165">
        <f>IF($AE45="","",IF($AE45&lt;=1200,IF(INDEX(对接源_01水果!$B$4:$B$1203,$AE45)=0,"",INDEX(对接源_01水果!$B$4:$B$1203,$AE45)),IF(INDEX(对接源_02物料!$B$4:$B$1203,$AE45-1200)=0,"",INDEX(对接源_02物料!$B$4:$B$1203,$AE45-1200))))</f>
      </c>
      <c r="B45" s="107">
        <f>IF($AE45="","",IF($AE45&lt;=1200,IF(INDEX(对接源_01水果!$S$4:$S$1203,$AE45)=0,"",INDEX(对接源_01水果!$S$4:$S$1203,$AE45)),IF(INDEX(对接源_02物料!$S$4:$S$1203,$AE45-1200)=0,"",INDEX(对接源_02物料!$S$4:$S$1203,$AE45-1200))))</f>
      </c>
      <c r="C45" s="104">
        <f>IF($AE45="","",IF($AE45&lt;=1200,IF(INDEX(对接源_01水果!$E$4:$E$1203,$AE45)=0,"",INDEX(对接源_01水果!$E$4:$E$1203,$AE45)),IF(INDEX(对接源_02物料!$E$4:$E$1203,$AE45-1200)=0,"",INDEX(对接源_02物料!$E$4:$E$1203,$AE45-1200))))</f>
      </c>
      <c r="D45" s="166">
        <f>IF($AE45="","",IF($AE45&lt;=1200,IF(INDEX(对接源_01水果!$V$4:$V$1203,$AE45)=0,"",INDEX(对接源_01水果!$V$4:$V$1203,$AE45)),IF(INDEX(对接源_02物料!$V$4:$V$1203,$AE45-1200)=0,"",INDEX(对接源_02物料!$V$4:$V$1203,$AE45-1200))))</f>
      </c>
      <c r="E45" s="107">
        <f>IF($AE45="","",IF($AE45&lt;=1200,IF(INDEX(对接源_01水果!$C$4:$C$1203,$AE45)=0,"",INDEX(对接源_01水果!$C$4:$C$1203,$AE45)),IF(INDEX(对接源_02物料!$C$4:$C$1203,$AE45-1200)=0,"",INDEX(对接源_02物料!$C$4:$C$1203,$AE45-1200))))</f>
      </c>
      <c r="F45" s="104">
        <f>IF($AE45="","",IF($AE45&lt;=1200,IF(INDEX(对接源_01水果!$W$4:$W$1203,$AE45)=0,"",INDEX(对接源_01水果!$W$4:$W$1203,$AE45)),IF(INDEX(对接源_02物料!$W$4:$W$1203,$AE45-1200)=0,"",INDEX(对接源_02物料!$W$4:$W$1203,$AE45-1200))))</f>
      </c>
      <c r="G45" s="107">
        <f>IF($AE45="","",IF($AE45&lt;=1200,IF(INDEX(对接源_01水果!$D$4:$D$1203,$AE45)=0,"",INDEX(对接源_01水果!$D$4:$D$1203,$AE45)),IF(INDEX(对接源_02物料!$D$4:$D$1203,$AE45-1200)=0,"",INDEX(对接源_02物料!$D$4:$D$1203,$AE45-1200))))</f>
      </c>
      <c r="H45" s="104">
        <f>IF($AE45="","",IF($AE45&lt;=1200,"01水果册","02物料册"))</f>
      </c>
      <c r="I45" s="107">
        <f>IF($AE45="","",IF($AE45&lt;=1200,IF(INDEX(对接源_01水果!$M$4:$M$1203,$AE45)=0,"",INDEX(对接源_01水果!$M$4:$M$1203,$AE45)),IF(INDEX(对接源_02物料!$M$4:$M$1203,$AE45-1200)=0,"",INDEX(对接源_02物料!$M$4:$M$1203,$AE45-1200))))</f>
      </c>
      <c r="AE45" s="2">
        <f>IFERROR(MATCH(40,_自动清单!$W$4:$W$2403,0),"")</f>
      </c>
    </row>
    <row r="46" ht="18" customHeight="1" s="127">
      <c r="A46" s="163">
        <f>IF($AE46="","",IF($AE46&lt;=1200,IF(INDEX(对接源_01水果!$B$4:$B$1203,$AE46)=0,"",INDEX(对接源_01水果!$B$4:$B$1203,$AE46)),IF(INDEX(对接源_02物料!$B$4:$B$1203,$AE46-1200)=0,"",INDEX(对接源_02物料!$B$4:$B$1203,$AE46-1200))))</f>
      </c>
      <c r="B46" s="64">
        <f>IF($AE46="","",IF($AE46&lt;=1200,IF(INDEX(对接源_01水果!$S$4:$S$1203,$AE46)=0,"",INDEX(对接源_01水果!$S$4:$S$1203,$AE46)),IF(INDEX(对接源_02物料!$S$4:$S$1203,$AE46-1200)=0,"",INDEX(对接源_02物料!$S$4:$S$1203,$AE46-1200))))</f>
      </c>
      <c r="C46" s="61">
        <f>IF($AE46="","",IF($AE46&lt;=1200,IF(INDEX(对接源_01水果!$E$4:$E$1203,$AE46)=0,"",INDEX(对接源_01水果!$E$4:$E$1203,$AE46)),IF(INDEX(对接源_02物料!$E$4:$E$1203,$AE46-1200)=0,"",INDEX(对接源_02物料!$E$4:$E$1203,$AE46-1200))))</f>
      </c>
      <c r="D46" s="164">
        <f>IF($AE46="","",IF($AE46&lt;=1200,IF(INDEX(对接源_01水果!$V$4:$V$1203,$AE46)=0,"",INDEX(对接源_01水果!$V$4:$V$1203,$AE46)),IF(INDEX(对接源_02物料!$V$4:$V$1203,$AE46-1200)=0,"",INDEX(对接源_02物料!$V$4:$V$1203,$AE46-1200))))</f>
      </c>
      <c r="E46" s="64">
        <f>IF($AE46="","",IF($AE46&lt;=1200,IF(INDEX(对接源_01水果!$C$4:$C$1203,$AE46)=0,"",INDEX(对接源_01水果!$C$4:$C$1203,$AE46)),IF(INDEX(对接源_02物料!$C$4:$C$1203,$AE46-1200)=0,"",INDEX(对接源_02物料!$C$4:$C$1203,$AE46-1200))))</f>
      </c>
      <c r="F46" s="61">
        <f>IF($AE46="","",IF($AE46&lt;=1200,IF(INDEX(对接源_01水果!$W$4:$W$1203,$AE46)=0,"",INDEX(对接源_01水果!$W$4:$W$1203,$AE46)),IF(INDEX(对接源_02物料!$W$4:$W$1203,$AE46-1200)=0,"",INDEX(对接源_02物料!$W$4:$W$1203,$AE46-1200))))</f>
      </c>
      <c r="G46" s="64">
        <f>IF($AE46="","",IF($AE46&lt;=1200,IF(INDEX(对接源_01水果!$D$4:$D$1203,$AE46)=0,"",INDEX(对接源_01水果!$D$4:$D$1203,$AE46)),IF(INDEX(对接源_02物料!$D$4:$D$1203,$AE46-1200)=0,"",INDEX(对接源_02物料!$D$4:$D$1203,$AE46-1200))))</f>
      </c>
      <c r="H46" s="61">
        <f>IF($AE46="","",IF($AE46&lt;=1200,"01水果册","02物料册"))</f>
      </c>
      <c r="I46" s="64">
        <f>IF($AE46="","",IF($AE46&lt;=1200,IF(INDEX(对接源_01水果!$M$4:$M$1203,$AE46)=0,"",INDEX(对接源_01水果!$M$4:$M$1203,$AE46)),IF(INDEX(对接源_02物料!$M$4:$M$1203,$AE46-1200)=0,"",INDEX(对接源_02物料!$M$4:$M$1203,$AE46-1200))))</f>
      </c>
      <c r="AE46" s="2">
        <f>IFERROR(MATCH(41,_自动清单!$W$4:$W$2403,0),"")</f>
      </c>
    </row>
    <row r="47" ht="18" customHeight="1" s="127">
      <c r="A47" s="165">
        <f>IF($AE47="","",IF($AE47&lt;=1200,IF(INDEX(对接源_01水果!$B$4:$B$1203,$AE47)=0,"",INDEX(对接源_01水果!$B$4:$B$1203,$AE47)),IF(INDEX(对接源_02物料!$B$4:$B$1203,$AE47-1200)=0,"",INDEX(对接源_02物料!$B$4:$B$1203,$AE47-1200))))</f>
      </c>
      <c r="B47" s="107">
        <f>IF($AE47="","",IF($AE47&lt;=1200,IF(INDEX(对接源_01水果!$S$4:$S$1203,$AE47)=0,"",INDEX(对接源_01水果!$S$4:$S$1203,$AE47)),IF(INDEX(对接源_02物料!$S$4:$S$1203,$AE47-1200)=0,"",INDEX(对接源_02物料!$S$4:$S$1203,$AE47-1200))))</f>
      </c>
      <c r="C47" s="104">
        <f>IF($AE47="","",IF($AE47&lt;=1200,IF(INDEX(对接源_01水果!$E$4:$E$1203,$AE47)=0,"",INDEX(对接源_01水果!$E$4:$E$1203,$AE47)),IF(INDEX(对接源_02物料!$E$4:$E$1203,$AE47-1200)=0,"",INDEX(对接源_02物料!$E$4:$E$1203,$AE47-1200))))</f>
      </c>
      <c r="D47" s="166">
        <f>IF($AE47="","",IF($AE47&lt;=1200,IF(INDEX(对接源_01水果!$V$4:$V$1203,$AE47)=0,"",INDEX(对接源_01水果!$V$4:$V$1203,$AE47)),IF(INDEX(对接源_02物料!$V$4:$V$1203,$AE47-1200)=0,"",INDEX(对接源_02物料!$V$4:$V$1203,$AE47-1200))))</f>
      </c>
      <c r="E47" s="107">
        <f>IF($AE47="","",IF($AE47&lt;=1200,IF(INDEX(对接源_01水果!$C$4:$C$1203,$AE47)=0,"",INDEX(对接源_01水果!$C$4:$C$1203,$AE47)),IF(INDEX(对接源_02物料!$C$4:$C$1203,$AE47-1200)=0,"",INDEX(对接源_02物料!$C$4:$C$1203,$AE47-1200))))</f>
      </c>
      <c r="F47" s="104">
        <f>IF($AE47="","",IF($AE47&lt;=1200,IF(INDEX(对接源_01水果!$W$4:$W$1203,$AE47)=0,"",INDEX(对接源_01水果!$W$4:$W$1203,$AE47)),IF(INDEX(对接源_02物料!$W$4:$W$1203,$AE47-1200)=0,"",INDEX(对接源_02物料!$W$4:$W$1203,$AE47-1200))))</f>
      </c>
      <c r="G47" s="107">
        <f>IF($AE47="","",IF($AE47&lt;=1200,IF(INDEX(对接源_01水果!$D$4:$D$1203,$AE47)=0,"",INDEX(对接源_01水果!$D$4:$D$1203,$AE47)),IF(INDEX(对接源_02物料!$D$4:$D$1203,$AE47-1200)=0,"",INDEX(对接源_02物料!$D$4:$D$1203,$AE47-1200))))</f>
      </c>
      <c r="H47" s="104">
        <f>IF($AE47="","",IF($AE47&lt;=1200,"01水果册","02物料册"))</f>
      </c>
      <c r="I47" s="107">
        <f>IF($AE47="","",IF($AE47&lt;=1200,IF(INDEX(对接源_01水果!$M$4:$M$1203,$AE47)=0,"",INDEX(对接源_01水果!$M$4:$M$1203,$AE47)),IF(INDEX(对接源_02物料!$M$4:$M$1203,$AE47-1200)=0,"",INDEX(对接源_02物料!$M$4:$M$1203,$AE47-1200))))</f>
      </c>
      <c r="AE47" s="2">
        <f>IFERROR(MATCH(42,_自动清单!$W$4:$W$2403,0),"")</f>
      </c>
    </row>
    <row r="48" ht="18" customHeight="1" s="127">
      <c r="A48" s="163">
        <f>IF($AE48="","",IF($AE48&lt;=1200,IF(INDEX(对接源_01水果!$B$4:$B$1203,$AE48)=0,"",INDEX(对接源_01水果!$B$4:$B$1203,$AE48)),IF(INDEX(对接源_02物料!$B$4:$B$1203,$AE48-1200)=0,"",INDEX(对接源_02物料!$B$4:$B$1203,$AE48-1200))))</f>
      </c>
      <c r="B48" s="64">
        <f>IF($AE48="","",IF($AE48&lt;=1200,IF(INDEX(对接源_01水果!$S$4:$S$1203,$AE48)=0,"",INDEX(对接源_01水果!$S$4:$S$1203,$AE48)),IF(INDEX(对接源_02物料!$S$4:$S$1203,$AE48-1200)=0,"",INDEX(对接源_02物料!$S$4:$S$1203,$AE48-1200))))</f>
      </c>
      <c r="C48" s="61">
        <f>IF($AE48="","",IF($AE48&lt;=1200,IF(INDEX(对接源_01水果!$E$4:$E$1203,$AE48)=0,"",INDEX(对接源_01水果!$E$4:$E$1203,$AE48)),IF(INDEX(对接源_02物料!$E$4:$E$1203,$AE48-1200)=0,"",INDEX(对接源_02物料!$E$4:$E$1203,$AE48-1200))))</f>
      </c>
      <c r="D48" s="164">
        <f>IF($AE48="","",IF($AE48&lt;=1200,IF(INDEX(对接源_01水果!$V$4:$V$1203,$AE48)=0,"",INDEX(对接源_01水果!$V$4:$V$1203,$AE48)),IF(INDEX(对接源_02物料!$V$4:$V$1203,$AE48-1200)=0,"",INDEX(对接源_02物料!$V$4:$V$1203,$AE48-1200))))</f>
      </c>
      <c r="E48" s="64">
        <f>IF($AE48="","",IF($AE48&lt;=1200,IF(INDEX(对接源_01水果!$C$4:$C$1203,$AE48)=0,"",INDEX(对接源_01水果!$C$4:$C$1203,$AE48)),IF(INDEX(对接源_02物料!$C$4:$C$1203,$AE48-1200)=0,"",INDEX(对接源_02物料!$C$4:$C$1203,$AE48-1200))))</f>
      </c>
      <c r="F48" s="61">
        <f>IF($AE48="","",IF($AE48&lt;=1200,IF(INDEX(对接源_01水果!$W$4:$W$1203,$AE48)=0,"",INDEX(对接源_01水果!$W$4:$W$1203,$AE48)),IF(INDEX(对接源_02物料!$W$4:$W$1203,$AE48-1200)=0,"",INDEX(对接源_02物料!$W$4:$W$1203,$AE48-1200))))</f>
      </c>
      <c r="G48" s="64">
        <f>IF($AE48="","",IF($AE48&lt;=1200,IF(INDEX(对接源_01水果!$D$4:$D$1203,$AE48)=0,"",INDEX(对接源_01水果!$D$4:$D$1203,$AE48)),IF(INDEX(对接源_02物料!$D$4:$D$1203,$AE48-1200)=0,"",INDEX(对接源_02物料!$D$4:$D$1203,$AE48-1200))))</f>
      </c>
      <c r="H48" s="61">
        <f>IF($AE48="","",IF($AE48&lt;=1200,"01水果册","02物料册"))</f>
      </c>
      <c r="I48" s="64">
        <f>IF($AE48="","",IF($AE48&lt;=1200,IF(INDEX(对接源_01水果!$M$4:$M$1203,$AE48)=0,"",INDEX(对接源_01水果!$M$4:$M$1203,$AE48)),IF(INDEX(对接源_02物料!$M$4:$M$1203,$AE48-1200)=0,"",INDEX(对接源_02物料!$M$4:$M$1203,$AE48-1200))))</f>
      </c>
      <c r="AE48" s="2">
        <f>IFERROR(MATCH(43,_自动清单!$W$4:$W$2403,0),"")</f>
      </c>
    </row>
    <row r="49" ht="18" customHeight="1" s="127">
      <c r="A49" s="165">
        <f>IF($AE49="","",IF($AE49&lt;=1200,IF(INDEX(对接源_01水果!$B$4:$B$1203,$AE49)=0,"",INDEX(对接源_01水果!$B$4:$B$1203,$AE49)),IF(INDEX(对接源_02物料!$B$4:$B$1203,$AE49-1200)=0,"",INDEX(对接源_02物料!$B$4:$B$1203,$AE49-1200))))</f>
      </c>
      <c r="B49" s="107">
        <f>IF($AE49="","",IF($AE49&lt;=1200,IF(INDEX(对接源_01水果!$S$4:$S$1203,$AE49)=0,"",INDEX(对接源_01水果!$S$4:$S$1203,$AE49)),IF(INDEX(对接源_02物料!$S$4:$S$1203,$AE49-1200)=0,"",INDEX(对接源_02物料!$S$4:$S$1203,$AE49-1200))))</f>
      </c>
      <c r="C49" s="104">
        <f>IF($AE49="","",IF($AE49&lt;=1200,IF(INDEX(对接源_01水果!$E$4:$E$1203,$AE49)=0,"",INDEX(对接源_01水果!$E$4:$E$1203,$AE49)),IF(INDEX(对接源_02物料!$E$4:$E$1203,$AE49-1200)=0,"",INDEX(对接源_02物料!$E$4:$E$1203,$AE49-1200))))</f>
      </c>
      <c r="D49" s="166">
        <f>IF($AE49="","",IF($AE49&lt;=1200,IF(INDEX(对接源_01水果!$V$4:$V$1203,$AE49)=0,"",INDEX(对接源_01水果!$V$4:$V$1203,$AE49)),IF(INDEX(对接源_02物料!$V$4:$V$1203,$AE49-1200)=0,"",INDEX(对接源_02物料!$V$4:$V$1203,$AE49-1200))))</f>
      </c>
      <c r="E49" s="107">
        <f>IF($AE49="","",IF($AE49&lt;=1200,IF(INDEX(对接源_01水果!$C$4:$C$1203,$AE49)=0,"",INDEX(对接源_01水果!$C$4:$C$1203,$AE49)),IF(INDEX(对接源_02物料!$C$4:$C$1203,$AE49-1200)=0,"",INDEX(对接源_02物料!$C$4:$C$1203,$AE49-1200))))</f>
      </c>
      <c r="F49" s="104">
        <f>IF($AE49="","",IF($AE49&lt;=1200,IF(INDEX(对接源_01水果!$W$4:$W$1203,$AE49)=0,"",INDEX(对接源_01水果!$W$4:$W$1203,$AE49)),IF(INDEX(对接源_02物料!$W$4:$W$1203,$AE49-1200)=0,"",INDEX(对接源_02物料!$W$4:$W$1203,$AE49-1200))))</f>
      </c>
      <c r="G49" s="107">
        <f>IF($AE49="","",IF($AE49&lt;=1200,IF(INDEX(对接源_01水果!$D$4:$D$1203,$AE49)=0,"",INDEX(对接源_01水果!$D$4:$D$1203,$AE49)),IF(INDEX(对接源_02物料!$D$4:$D$1203,$AE49-1200)=0,"",INDEX(对接源_02物料!$D$4:$D$1203,$AE49-1200))))</f>
      </c>
      <c r="H49" s="104">
        <f>IF($AE49="","",IF($AE49&lt;=1200,"01水果册","02物料册"))</f>
      </c>
      <c r="I49" s="107">
        <f>IF($AE49="","",IF($AE49&lt;=1200,IF(INDEX(对接源_01水果!$M$4:$M$1203,$AE49)=0,"",INDEX(对接源_01水果!$M$4:$M$1203,$AE49)),IF(INDEX(对接源_02物料!$M$4:$M$1203,$AE49-1200)=0,"",INDEX(对接源_02物料!$M$4:$M$1203,$AE49-1200))))</f>
      </c>
      <c r="AE49" s="2">
        <f>IFERROR(MATCH(44,_自动清单!$W$4:$W$2403,0),"")</f>
      </c>
    </row>
    <row r="50" ht="18" customHeight="1" s="127">
      <c r="A50" s="163">
        <f>IF($AE50="","",IF($AE50&lt;=1200,IF(INDEX(对接源_01水果!$B$4:$B$1203,$AE50)=0,"",INDEX(对接源_01水果!$B$4:$B$1203,$AE50)),IF(INDEX(对接源_02物料!$B$4:$B$1203,$AE50-1200)=0,"",INDEX(对接源_02物料!$B$4:$B$1203,$AE50-1200))))</f>
      </c>
      <c r="B50" s="64">
        <f>IF($AE50="","",IF($AE50&lt;=1200,IF(INDEX(对接源_01水果!$S$4:$S$1203,$AE50)=0,"",INDEX(对接源_01水果!$S$4:$S$1203,$AE50)),IF(INDEX(对接源_02物料!$S$4:$S$1203,$AE50-1200)=0,"",INDEX(对接源_02物料!$S$4:$S$1203,$AE50-1200))))</f>
      </c>
      <c r="C50" s="61">
        <f>IF($AE50="","",IF($AE50&lt;=1200,IF(INDEX(对接源_01水果!$E$4:$E$1203,$AE50)=0,"",INDEX(对接源_01水果!$E$4:$E$1203,$AE50)),IF(INDEX(对接源_02物料!$E$4:$E$1203,$AE50-1200)=0,"",INDEX(对接源_02物料!$E$4:$E$1203,$AE50-1200))))</f>
      </c>
      <c r="D50" s="164">
        <f>IF($AE50="","",IF($AE50&lt;=1200,IF(INDEX(对接源_01水果!$V$4:$V$1203,$AE50)=0,"",INDEX(对接源_01水果!$V$4:$V$1203,$AE50)),IF(INDEX(对接源_02物料!$V$4:$V$1203,$AE50-1200)=0,"",INDEX(对接源_02物料!$V$4:$V$1203,$AE50-1200))))</f>
      </c>
      <c r="E50" s="64">
        <f>IF($AE50="","",IF($AE50&lt;=1200,IF(INDEX(对接源_01水果!$C$4:$C$1203,$AE50)=0,"",INDEX(对接源_01水果!$C$4:$C$1203,$AE50)),IF(INDEX(对接源_02物料!$C$4:$C$1203,$AE50-1200)=0,"",INDEX(对接源_02物料!$C$4:$C$1203,$AE50-1200))))</f>
      </c>
      <c r="F50" s="61">
        <f>IF($AE50="","",IF($AE50&lt;=1200,IF(INDEX(对接源_01水果!$W$4:$W$1203,$AE50)=0,"",INDEX(对接源_01水果!$W$4:$W$1203,$AE50)),IF(INDEX(对接源_02物料!$W$4:$W$1203,$AE50-1200)=0,"",INDEX(对接源_02物料!$W$4:$W$1203,$AE50-1200))))</f>
      </c>
      <c r="G50" s="64">
        <f>IF($AE50="","",IF($AE50&lt;=1200,IF(INDEX(对接源_01水果!$D$4:$D$1203,$AE50)=0,"",INDEX(对接源_01水果!$D$4:$D$1203,$AE50)),IF(INDEX(对接源_02物料!$D$4:$D$1203,$AE50-1200)=0,"",INDEX(对接源_02物料!$D$4:$D$1203,$AE50-1200))))</f>
      </c>
      <c r="H50" s="61">
        <f>IF($AE50="","",IF($AE50&lt;=1200,"01水果册","02物料册"))</f>
      </c>
      <c r="I50" s="64">
        <f>IF($AE50="","",IF($AE50&lt;=1200,IF(INDEX(对接源_01水果!$M$4:$M$1203,$AE50)=0,"",INDEX(对接源_01水果!$M$4:$M$1203,$AE50)),IF(INDEX(对接源_02物料!$M$4:$M$1203,$AE50-1200)=0,"",INDEX(对接源_02物料!$M$4:$M$1203,$AE50-1200))))</f>
      </c>
      <c r="AE50" s="2">
        <f>IFERROR(MATCH(45,_自动清单!$W$4:$W$2403,0),"")</f>
      </c>
    </row>
    <row r="51" ht="18" customHeight="1" s="127">
      <c r="A51" s="165">
        <f>IF($AE51="","",IF($AE51&lt;=1200,IF(INDEX(对接源_01水果!$B$4:$B$1203,$AE51)=0,"",INDEX(对接源_01水果!$B$4:$B$1203,$AE51)),IF(INDEX(对接源_02物料!$B$4:$B$1203,$AE51-1200)=0,"",INDEX(对接源_02物料!$B$4:$B$1203,$AE51-1200))))</f>
      </c>
      <c r="B51" s="107">
        <f>IF($AE51="","",IF($AE51&lt;=1200,IF(INDEX(对接源_01水果!$S$4:$S$1203,$AE51)=0,"",INDEX(对接源_01水果!$S$4:$S$1203,$AE51)),IF(INDEX(对接源_02物料!$S$4:$S$1203,$AE51-1200)=0,"",INDEX(对接源_02物料!$S$4:$S$1203,$AE51-1200))))</f>
      </c>
      <c r="C51" s="104">
        <f>IF($AE51="","",IF($AE51&lt;=1200,IF(INDEX(对接源_01水果!$E$4:$E$1203,$AE51)=0,"",INDEX(对接源_01水果!$E$4:$E$1203,$AE51)),IF(INDEX(对接源_02物料!$E$4:$E$1203,$AE51-1200)=0,"",INDEX(对接源_02物料!$E$4:$E$1203,$AE51-1200))))</f>
      </c>
      <c r="D51" s="166">
        <f>IF($AE51="","",IF($AE51&lt;=1200,IF(INDEX(对接源_01水果!$V$4:$V$1203,$AE51)=0,"",INDEX(对接源_01水果!$V$4:$V$1203,$AE51)),IF(INDEX(对接源_02物料!$V$4:$V$1203,$AE51-1200)=0,"",INDEX(对接源_02物料!$V$4:$V$1203,$AE51-1200))))</f>
      </c>
      <c r="E51" s="107">
        <f>IF($AE51="","",IF($AE51&lt;=1200,IF(INDEX(对接源_01水果!$C$4:$C$1203,$AE51)=0,"",INDEX(对接源_01水果!$C$4:$C$1203,$AE51)),IF(INDEX(对接源_02物料!$C$4:$C$1203,$AE51-1200)=0,"",INDEX(对接源_02物料!$C$4:$C$1203,$AE51-1200))))</f>
      </c>
      <c r="F51" s="104">
        <f>IF($AE51="","",IF($AE51&lt;=1200,IF(INDEX(对接源_01水果!$W$4:$W$1203,$AE51)=0,"",INDEX(对接源_01水果!$W$4:$W$1203,$AE51)),IF(INDEX(对接源_02物料!$W$4:$W$1203,$AE51-1200)=0,"",INDEX(对接源_02物料!$W$4:$W$1203,$AE51-1200))))</f>
      </c>
      <c r="G51" s="107">
        <f>IF($AE51="","",IF($AE51&lt;=1200,IF(INDEX(对接源_01水果!$D$4:$D$1203,$AE51)=0,"",INDEX(对接源_01水果!$D$4:$D$1203,$AE51)),IF(INDEX(对接源_02物料!$D$4:$D$1203,$AE51-1200)=0,"",INDEX(对接源_02物料!$D$4:$D$1203,$AE51-1200))))</f>
      </c>
      <c r="H51" s="104">
        <f>IF($AE51="","",IF($AE51&lt;=1200,"01水果册","02物料册"))</f>
      </c>
      <c r="I51" s="107">
        <f>IF($AE51="","",IF($AE51&lt;=1200,IF(INDEX(对接源_01水果!$M$4:$M$1203,$AE51)=0,"",INDEX(对接源_01水果!$M$4:$M$1203,$AE51)),IF(INDEX(对接源_02物料!$M$4:$M$1203,$AE51-1200)=0,"",INDEX(对接源_02物料!$M$4:$M$1203,$AE51-1200))))</f>
      </c>
      <c r="AE51" s="2">
        <f>IFERROR(MATCH(46,_自动清单!$W$4:$W$2403,0),"")</f>
      </c>
    </row>
    <row r="52" ht="18" customHeight="1" s="127">
      <c r="A52" s="163">
        <f>IF($AE52="","",IF($AE52&lt;=1200,IF(INDEX(对接源_01水果!$B$4:$B$1203,$AE52)=0,"",INDEX(对接源_01水果!$B$4:$B$1203,$AE52)),IF(INDEX(对接源_02物料!$B$4:$B$1203,$AE52-1200)=0,"",INDEX(对接源_02物料!$B$4:$B$1203,$AE52-1200))))</f>
      </c>
      <c r="B52" s="64">
        <f>IF($AE52="","",IF($AE52&lt;=1200,IF(INDEX(对接源_01水果!$S$4:$S$1203,$AE52)=0,"",INDEX(对接源_01水果!$S$4:$S$1203,$AE52)),IF(INDEX(对接源_02物料!$S$4:$S$1203,$AE52-1200)=0,"",INDEX(对接源_02物料!$S$4:$S$1203,$AE52-1200))))</f>
      </c>
      <c r="C52" s="61">
        <f>IF($AE52="","",IF($AE52&lt;=1200,IF(INDEX(对接源_01水果!$E$4:$E$1203,$AE52)=0,"",INDEX(对接源_01水果!$E$4:$E$1203,$AE52)),IF(INDEX(对接源_02物料!$E$4:$E$1203,$AE52-1200)=0,"",INDEX(对接源_02物料!$E$4:$E$1203,$AE52-1200))))</f>
      </c>
      <c r="D52" s="164">
        <f>IF($AE52="","",IF($AE52&lt;=1200,IF(INDEX(对接源_01水果!$V$4:$V$1203,$AE52)=0,"",INDEX(对接源_01水果!$V$4:$V$1203,$AE52)),IF(INDEX(对接源_02物料!$V$4:$V$1203,$AE52-1200)=0,"",INDEX(对接源_02物料!$V$4:$V$1203,$AE52-1200))))</f>
      </c>
      <c r="E52" s="64">
        <f>IF($AE52="","",IF($AE52&lt;=1200,IF(INDEX(对接源_01水果!$C$4:$C$1203,$AE52)=0,"",INDEX(对接源_01水果!$C$4:$C$1203,$AE52)),IF(INDEX(对接源_02物料!$C$4:$C$1203,$AE52-1200)=0,"",INDEX(对接源_02物料!$C$4:$C$1203,$AE52-1200))))</f>
      </c>
      <c r="F52" s="61">
        <f>IF($AE52="","",IF($AE52&lt;=1200,IF(INDEX(对接源_01水果!$W$4:$W$1203,$AE52)=0,"",INDEX(对接源_01水果!$W$4:$W$1203,$AE52)),IF(INDEX(对接源_02物料!$W$4:$W$1203,$AE52-1200)=0,"",INDEX(对接源_02物料!$W$4:$W$1203,$AE52-1200))))</f>
      </c>
      <c r="G52" s="64">
        <f>IF($AE52="","",IF($AE52&lt;=1200,IF(INDEX(对接源_01水果!$D$4:$D$1203,$AE52)=0,"",INDEX(对接源_01水果!$D$4:$D$1203,$AE52)),IF(INDEX(对接源_02物料!$D$4:$D$1203,$AE52-1200)=0,"",INDEX(对接源_02物料!$D$4:$D$1203,$AE52-1200))))</f>
      </c>
      <c r="H52" s="61">
        <f>IF($AE52="","",IF($AE52&lt;=1200,"01水果册","02物料册"))</f>
      </c>
      <c r="I52" s="64">
        <f>IF($AE52="","",IF($AE52&lt;=1200,IF(INDEX(对接源_01水果!$M$4:$M$1203,$AE52)=0,"",INDEX(对接源_01水果!$M$4:$M$1203,$AE52)),IF(INDEX(对接源_02物料!$M$4:$M$1203,$AE52-1200)=0,"",INDEX(对接源_02物料!$M$4:$M$1203,$AE52-1200))))</f>
      </c>
      <c r="AE52" s="2">
        <f>IFERROR(MATCH(47,_自动清单!$W$4:$W$2403,0),"")</f>
      </c>
    </row>
    <row r="53" ht="18" customHeight="1" s="127">
      <c r="A53" s="165">
        <f>IF($AE53="","",IF($AE53&lt;=1200,IF(INDEX(对接源_01水果!$B$4:$B$1203,$AE53)=0,"",INDEX(对接源_01水果!$B$4:$B$1203,$AE53)),IF(INDEX(对接源_02物料!$B$4:$B$1203,$AE53-1200)=0,"",INDEX(对接源_02物料!$B$4:$B$1203,$AE53-1200))))</f>
      </c>
      <c r="B53" s="107">
        <f>IF($AE53="","",IF($AE53&lt;=1200,IF(INDEX(对接源_01水果!$S$4:$S$1203,$AE53)=0,"",INDEX(对接源_01水果!$S$4:$S$1203,$AE53)),IF(INDEX(对接源_02物料!$S$4:$S$1203,$AE53-1200)=0,"",INDEX(对接源_02物料!$S$4:$S$1203,$AE53-1200))))</f>
      </c>
      <c r="C53" s="104">
        <f>IF($AE53="","",IF($AE53&lt;=1200,IF(INDEX(对接源_01水果!$E$4:$E$1203,$AE53)=0,"",INDEX(对接源_01水果!$E$4:$E$1203,$AE53)),IF(INDEX(对接源_02物料!$E$4:$E$1203,$AE53-1200)=0,"",INDEX(对接源_02物料!$E$4:$E$1203,$AE53-1200))))</f>
      </c>
      <c r="D53" s="166">
        <f>IF($AE53="","",IF($AE53&lt;=1200,IF(INDEX(对接源_01水果!$V$4:$V$1203,$AE53)=0,"",INDEX(对接源_01水果!$V$4:$V$1203,$AE53)),IF(INDEX(对接源_02物料!$V$4:$V$1203,$AE53-1200)=0,"",INDEX(对接源_02物料!$V$4:$V$1203,$AE53-1200))))</f>
      </c>
      <c r="E53" s="107">
        <f>IF($AE53="","",IF($AE53&lt;=1200,IF(INDEX(对接源_01水果!$C$4:$C$1203,$AE53)=0,"",INDEX(对接源_01水果!$C$4:$C$1203,$AE53)),IF(INDEX(对接源_02物料!$C$4:$C$1203,$AE53-1200)=0,"",INDEX(对接源_02物料!$C$4:$C$1203,$AE53-1200))))</f>
      </c>
      <c r="F53" s="104">
        <f>IF($AE53="","",IF($AE53&lt;=1200,IF(INDEX(对接源_01水果!$W$4:$W$1203,$AE53)=0,"",INDEX(对接源_01水果!$W$4:$W$1203,$AE53)),IF(INDEX(对接源_02物料!$W$4:$W$1203,$AE53-1200)=0,"",INDEX(对接源_02物料!$W$4:$W$1203,$AE53-1200))))</f>
      </c>
      <c r="G53" s="107">
        <f>IF($AE53="","",IF($AE53&lt;=1200,IF(INDEX(对接源_01水果!$D$4:$D$1203,$AE53)=0,"",INDEX(对接源_01水果!$D$4:$D$1203,$AE53)),IF(INDEX(对接源_02物料!$D$4:$D$1203,$AE53-1200)=0,"",INDEX(对接源_02物料!$D$4:$D$1203,$AE53-1200))))</f>
      </c>
      <c r="H53" s="104">
        <f>IF($AE53="","",IF($AE53&lt;=1200,"01水果册","02物料册"))</f>
      </c>
      <c r="I53" s="107">
        <f>IF($AE53="","",IF($AE53&lt;=1200,IF(INDEX(对接源_01水果!$M$4:$M$1203,$AE53)=0,"",INDEX(对接源_01水果!$M$4:$M$1203,$AE53)),IF(INDEX(对接源_02物料!$M$4:$M$1203,$AE53-1200)=0,"",INDEX(对接源_02物料!$M$4:$M$1203,$AE53-1200))))</f>
      </c>
      <c r="AE53" s="2">
        <f>IFERROR(MATCH(48,_自动清单!$W$4:$W$2403,0),"")</f>
      </c>
    </row>
    <row r="54" ht="18" customHeight="1" s="127">
      <c r="A54" s="163">
        <f>IF($AE54="","",IF($AE54&lt;=1200,IF(INDEX(对接源_01水果!$B$4:$B$1203,$AE54)=0,"",INDEX(对接源_01水果!$B$4:$B$1203,$AE54)),IF(INDEX(对接源_02物料!$B$4:$B$1203,$AE54-1200)=0,"",INDEX(对接源_02物料!$B$4:$B$1203,$AE54-1200))))</f>
      </c>
      <c r="B54" s="64">
        <f>IF($AE54="","",IF($AE54&lt;=1200,IF(INDEX(对接源_01水果!$S$4:$S$1203,$AE54)=0,"",INDEX(对接源_01水果!$S$4:$S$1203,$AE54)),IF(INDEX(对接源_02物料!$S$4:$S$1203,$AE54-1200)=0,"",INDEX(对接源_02物料!$S$4:$S$1203,$AE54-1200))))</f>
      </c>
      <c r="C54" s="61">
        <f>IF($AE54="","",IF($AE54&lt;=1200,IF(INDEX(对接源_01水果!$E$4:$E$1203,$AE54)=0,"",INDEX(对接源_01水果!$E$4:$E$1203,$AE54)),IF(INDEX(对接源_02物料!$E$4:$E$1203,$AE54-1200)=0,"",INDEX(对接源_02物料!$E$4:$E$1203,$AE54-1200))))</f>
      </c>
      <c r="D54" s="164">
        <f>IF($AE54="","",IF($AE54&lt;=1200,IF(INDEX(对接源_01水果!$V$4:$V$1203,$AE54)=0,"",INDEX(对接源_01水果!$V$4:$V$1203,$AE54)),IF(INDEX(对接源_02物料!$V$4:$V$1203,$AE54-1200)=0,"",INDEX(对接源_02物料!$V$4:$V$1203,$AE54-1200))))</f>
      </c>
      <c r="E54" s="64">
        <f>IF($AE54="","",IF($AE54&lt;=1200,IF(INDEX(对接源_01水果!$C$4:$C$1203,$AE54)=0,"",INDEX(对接源_01水果!$C$4:$C$1203,$AE54)),IF(INDEX(对接源_02物料!$C$4:$C$1203,$AE54-1200)=0,"",INDEX(对接源_02物料!$C$4:$C$1203,$AE54-1200))))</f>
      </c>
      <c r="F54" s="61">
        <f>IF($AE54="","",IF($AE54&lt;=1200,IF(INDEX(对接源_01水果!$W$4:$W$1203,$AE54)=0,"",INDEX(对接源_01水果!$W$4:$W$1203,$AE54)),IF(INDEX(对接源_02物料!$W$4:$W$1203,$AE54-1200)=0,"",INDEX(对接源_02物料!$W$4:$W$1203,$AE54-1200))))</f>
      </c>
      <c r="G54" s="64">
        <f>IF($AE54="","",IF($AE54&lt;=1200,IF(INDEX(对接源_01水果!$D$4:$D$1203,$AE54)=0,"",INDEX(对接源_01水果!$D$4:$D$1203,$AE54)),IF(INDEX(对接源_02物料!$D$4:$D$1203,$AE54-1200)=0,"",INDEX(对接源_02物料!$D$4:$D$1203,$AE54-1200))))</f>
      </c>
      <c r="H54" s="61">
        <f>IF($AE54="","",IF($AE54&lt;=1200,"01水果册","02物料册"))</f>
      </c>
      <c r="I54" s="64">
        <f>IF($AE54="","",IF($AE54&lt;=1200,IF(INDEX(对接源_01水果!$M$4:$M$1203,$AE54)=0,"",INDEX(对接源_01水果!$M$4:$M$1203,$AE54)),IF(INDEX(对接源_02物料!$M$4:$M$1203,$AE54-1200)=0,"",INDEX(对接源_02物料!$M$4:$M$1203,$AE54-1200))))</f>
      </c>
      <c r="AE54" s="2">
        <f>IFERROR(MATCH(49,_自动清单!$W$4:$W$2403,0),"")</f>
      </c>
    </row>
    <row r="55" ht="18" customHeight="1" s="127">
      <c r="A55" s="165">
        <f>IF($AE55="","",IF($AE55&lt;=1200,IF(INDEX(对接源_01水果!$B$4:$B$1203,$AE55)=0,"",INDEX(对接源_01水果!$B$4:$B$1203,$AE55)),IF(INDEX(对接源_02物料!$B$4:$B$1203,$AE55-1200)=0,"",INDEX(对接源_02物料!$B$4:$B$1203,$AE55-1200))))</f>
      </c>
      <c r="B55" s="107">
        <f>IF($AE55="","",IF($AE55&lt;=1200,IF(INDEX(对接源_01水果!$S$4:$S$1203,$AE55)=0,"",INDEX(对接源_01水果!$S$4:$S$1203,$AE55)),IF(INDEX(对接源_02物料!$S$4:$S$1203,$AE55-1200)=0,"",INDEX(对接源_02物料!$S$4:$S$1203,$AE55-1200))))</f>
      </c>
      <c r="C55" s="104">
        <f>IF($AE55="","",IF($AE55&lt;=1200,IF(INDEX(对接源_01水果!$E$4:$E$1203,$AE55)=0,"",INDEX(对接源_01水果!$E$4:$E$1203,$AE55)),IF(INDEX(对接源_02物料!$E$4:$E$1203,$AE55-1200)=0,"",INDEX(对接源_02物料!$E$4:$E$1203,$AE55-1200))))</f>
      </c>
      <c r="D55" s="166">
        <f>IF($AE55="","",IF($AE55&lt;=1200,IF(INDEX(对接源_01水果!$V$4:$V$1203,$AE55)=0,"",INDEX(对接源_01水果!$V$4:$V$1203,$AE55)),IF(INDEX(对接源_02物料!$V$4:$V$1203,$AE55-1200)=0,"",INDEX(对接源_02物料!$V$4:$V$1203,$AE55-1200))))</f>
      </c>
      <c r="E55" s="107">
        <f>IF($AE55="","",IF($AE55&lt;=1200,IF(INDEX(对接源_01水果!$C$4:$C$1203,$AE55)=0,"",INDEX(对接源_01水果!$C$4:$C$1203,$AE55)),IF(INDEX(对接源_02物料!$C$4:$C$1203,$AE55-1200)=0,"",INDEX(对接源_02物料!$C$4:$C$1203,$AE55-1200))))</f>
      </c>
      <c r="F55" s="104">
        <f>IF($AE55="","",IF($AE55&lt;=1200,IF(INDEX(对接源_01水果!$W$4:$W$1203,$AE55)=0,"",INDEX(对接源_01水果!$W$4:$W$1203,$AE55)),IF(INDEX(对接源_02物料!$W$4:$W$1203,$AE55-1200)=0,"",INDEX(对接源_02物料!$W$4:$W$1203,$AE55-1200))))</f>
      </c>
      <c r="G55" s="107">
        <f>IF($AE55="","",IF($AE55&lt;=1200,IF(INDEX(对接源_01水果!$D$4:$D$1203,$AE55)=0,"",INDEX(对接源_01水果!$D$4:$D$1203,$AE55)),IF(INDEX(对接源_02物料!$D$4:$D$1203,$AE55-1200)=0,"",INDEX(对接源_02物料!$D$4:$D$1203,$AE55-1200))))</f>
      </c>
      <c r="H55" s="104">
        <f>IF($AE55="","",IF($AE55&lt;=1200,"01水果册","02物料册"))</f>
      </c>
      <c r="I55" s="107">
        <f>IF($AE55="","",IF($AE55&lt;=1200,IF(INDEX(对接源_01水果!$M$4:$M$1203,$AE55)=0,"",INDEX(对接源_01水果!$M$4:$M$1203,$AE55)),IF(INDEX(对接源_02物料!$M$4:$M$1203,$AE55-1200)=0,"",INDEX(对接源_02物料!$M$4:$M$1203,$AE55-1200))))</f>
      </c>
      <c r="AE55" s="2">
        <f>IFERROR(MATCH(50,_自动清单!$W$4:$W$2403,0),"")</f>
      </c>
    </row>
    <row r="56" ht="18" customHeight="1" s="127">
      <c r="A56" s="163">
        <f>IF($AE56="","",IF($AE56&lt;=1200,IF(INDEX(对接源_01水果!$B$4:$B$1203,$AE56)=0,"",INDEX(对接源_01水果!$B$4:$B$1203,$AE56)),IF(INDEX(对接源_02物料!$B$4:$B$1203,$AE56-1200)=0,"",INDEX(对接源_02物料!$B$4:$B$1203,$AE56-1200))))</f>
      </c>
      <c r="B56" s="64">
        <f>IF($AE56="","",IF($AE56&lt;=1200,IF(INDEX(对接源_01水果!$S$4:$S$1203,$AE56)=0,"",INDEX(对接源_01水果!$S$4:$S$1203,$AE56)),IF(INDEX(对接源_02物料!$S$4:$S$1203,$AE56-1200)=0,"",INDEX(对接源_02物料!$S$4:$S$1203,$AE56-1200))))</f>
      </c>
      <c r="C56" s="61">
        <f>IF($AE56="","",IF($AE56&lt;=1200,IF(INDEX(对接源_01水果!$E$4:$E$1203,$AE56)=0,"",INDEX(对接源_01水果!$E$4:$E$1203,$AE56)),IF(INDEX(对接源_02物料!$E$4:$E$1203,$AE56-1200)=0,"",INDEX(对接源_02物料!$E$4:$E$1203,$AE56-1200))))</f>
      </c>
      <c r="D56" s="164">
        <f>IF($AE56="","",IF($AE56&lt;=1200,IF(INDEX(对接源_01水果!$V$4:$V$1203,$AE56)=0,"",INDEX(对接源_01水果!$V$4:$V$1203,$AE56)),IF(INDEX(对接源_02物料!$V$4:$V$1203,$AE56-1200)=0,"",INDEX(对接源_02物料!$V$4:$V$1203,$AE56-1200))))</f>
      </c>
      <c r="E56" s="64">
        <f>IF($AE56="","",IF($AE56&lt;=1200,IF(INDEX(对接源_01水果!$C$4:$C$1203,$AE56)=0,"",INDEX(对接源_01水果!$C$4:$C$1203,$AE56)),IF(INDEX(对接源_02物料!$C$4:$C$1203,$AE56-1200)=0,"",INDEX(对接源_02物料!$C$4:$C$1203,$AE56-1200))))</f>
      </c>
      <c r="F56" s="61">
        <f>IF($AE56="","",IF($AE56&lt;=1200,IF(INDEX(对接源_01水果!$W$4:$W$1203,$AE56)=0,"",INDEX(对接源_01水果!$W$4:$W$1203,$AE56)),IF(INDEX(对接源_02物料!$W$4:$W$1203,$AE56-1200)=0,"",INDEX(对接源_02物料!$W$4:$W$1203,$AE56-1200))))</f>
      </c>
      <c r="G56" s="64">
        <f>IF($AE56="","",IF($AE56&lt;=1200,IF(INDEX(对接源_01水果!$D$4:$D$1203,$AE56)=0,"",INDEX(对接源_01水果!$D$4:$D$1203,$AE56)),IF(INDEX(对接源_02物料!$D$4:$D$1203,$AE56-1200)=0,"",INDEX(对接源_02物料!$D$4:$D$1203,$AE56-1200))))</f>
      </c>
      <c r="H56" s="61">
        <f>IF($AE56="","",IF($AE56&lt;=1200,"01水果册","02物料册"))</f>
      </c>
      <c r="I56" s="64">
        <f>IF($AE56="","",IF($AE56&lt;=1200,IF(INDEX(对接源_01水果!$M$4:$M$1203,$AE56)=0,"",INDEX(对接源_01水果!$M$4:$M$1203,$AE56)),IF(INDEX(对接源_02物料!$M$4:$M$1203,$AE56-1200)=0,"",INDEX(对接源_02物料!$M$4:$M$1203,$AE56-1200))))</f>
      </c>
      <c r="AE56" s="2">
        <f>IFERROR(MATCH(51,_自动清单!$W$4:$W$2403,0),"")</f>
      </c>
    </row>
    <row r="57" ht="18" customHeight="1" s="127">
      <c r="A57" s="165">
        <f>IF($AE57="","",IF($AE57&lt;=1200,IF(INDEX(对接源_01水果!$B$4:$B$1203,$AE57)=0,"",INDEX(对接源_01水果!$B$4:$B$1203,$AE57)),IF(INDEX(对接源_02物料!$B$4:$B$1203,$AE57-1200)=0,"",INDEX(对接源_02物料!$B$4:$B$1203,$AE57-1200))))</f>
      </c>
      <c r="B57" s="107">
        <f>IF($AE57="","",IF($AE57&lt;=1200,IF(INDEX(对接源_01水果!$S$4:$S$1203,$AE57)=0,"",INDEX(对接源_01水果!$S$4:$S$1203,$AE57)),IF(INDEX(对接源_02物料!$S$4:$S$1203,$AE57-1200)=0,"",INDEX(对接源_02物料!$S$4:$S$1203,$AE57-1200))))</f>
      </c>
      <c r="C57" s="104">
        <f>IF($AE57="","",IF($AE57&lt;=1200,IF(INDEX(对接源_01水果!$E$4:$E$1203,$AE57)=0,"",INDEX(对接源_01水果!$E$4:$E$1203,$AE57)),IF(INDEX(对接源_02物料!$E$4:$E$1203,$AE57-1200)=0,"",INDEX(对接源_02物料!$E$4:$E$1203,$AE57-1200))))</f>
      </c>
      <c r="D57" s="166">
        <f>IF($AE57="","",IF($AE57&lt;=1200,IF(INDEX(对接源_01水果!$V$4:$V$1203,$AE57)=0,"",INDEX(对接源_01水果!$V$4:$V$1203,$AE57)),IF(INDEX(对接源_02物料!$V$4:$V$1203,$AE57-1200)=0,"",INDEX(对接源_02物料!$V$4:$V$1203,$AE57-1200))))</f>
      </c>
      <c r="E57" s="107">
        <f>IF($AE57="","",IF($AE57&lt;=1200,IF(INDEX(对接源_01水果!$C$4:$C$1203,$AE57)=0,"",INDEX(对接源_01水果!$C$4:$C$1203,$AE57)),IF(INDEX(对接源_02物料!$C$4:$C$1203,$AE57-1200)=0,"",INDEX(对接源_02物料!$C$4:$C$1203,$AE57-1200))))</f>
      </c>
      <c r="F57" s="104">
        <f>IF($AE57="","",IF($AE57&lt;=1200,IF(INDEX(对接源_01水果!$W$4:$W$1203,$AE57)=0,"",INDEX(对接源_01水果!$W$4:$W$1203,$AE57)),IF(INDEX(对接源_02物料!$W$4:$W$1203,$AE57-1200)=0,"",INDEX(对接源_02物料!$W$4:$W$1203,$AE57-1200))))</f>
      </c>
      <c r="G57" s="107">
        <f>IF($AE57="","",IF($AE57&lt;=1200,IF(INDEX(对接源_01水果!$D$4:$D$1203,$AE57)=0,"",INDEX(对接源_01水果!$D$4:$D$1203,$AE57)),IF(INDEX(对接源_02物料!$D$4:$D$1203,$AE57-1200)=0,"",INDEX(对接源_02物料!$D$4:$D$1203,$AE57-1200))))</f>
      </c>
      <c r="H57" s="104">
        <f>IF($AE57="","",IF($AE57&lt;=1200,"01水果册","02物料册"))</f>
      </c>
      <c r="I57" s="107">
        <f>IF($AE57="","",IF($AE57&lt;=1200,IF(INDEX(对接源_01水果!$M$4:$M$1203,$AE57)=0,"",INDEX(对接源_01水果!$M$4:$M$1203,$AE57)),IF(INDEX(对接源_02物料!$M$4:$M$1203,$AE57-1200)=0,"",INDEX(对接源_02物料!$M$4:$M$1203,$AE57-1200))))</f>
      </c>
      <c r="AE57" s="2">
        <f>IFERROR(MATCH(52,_自动清单!$W$4:$W$2403,0),"")</f>
      </c>
    </row>
    <row r="58" ht="18" customHeight="1" s="127">
      <c r="A58" s="163">
        <f>IF($AE58="","",IF($AE58&lt;=1200,IF(INDEX(对接源_01水果!$B$4:$B$1203,$AE58)=0,"",INDEX(对接源_01水果!$B$4:$B$1203,$AE58)),IF(INDEX(对接源_02物料!$B$4:$B$1203,$AE58-1200)=0,"",INDEX(对接源_02物料!$B$4:$B$1203,$AE58-1200))))</f>
      </c>
      <c r="B58" s="64">
        <f>IF($AE58="","",IF($AE58&lt;=1200,IF(INDEX(对接源_01水果!$S$4:$S$1203,$AE58)=0,"",INDEX(对接源_01水果!$S$4:$S$1203,$AE58)),IF(INDEX(对接源_02物料!$S$4:$S$1203,$AE58-1200)=0,"",INDEX(对接源_02物料!$S$4:$S$1203,$AE58-1200))))</f>
      </c>
      <c r="C58" s="61">
        <f>IF($AE58="","",IF($AE58&lt;=1200,IF(INDEX(对接源_01水果!$E$4:$E$1203,$AE58)=0,"",INDEX(对接源_01水果!$E$4:$E$1203,$AE58)),IF(INDEX(对接源_02物料!$E$4:$E$1203,$AE58-1200)=0,"",INDEX(对接源_02物料!$E$4:$E$1203,$AE58-1200))))</f>
      </c>
      <c r="D58" s="164">
        <f>IF($AE58="","",IF($AE58&lt;=1200,IF(INDEX(对接源_01水果!$V$4:$V$1203,$AE58)=0,"",INDEX(对接源_01水果!$V$4:$V$1203,$AE58)),IF(INDEX(对接源_02物料!$V$4:$V$1203,$AE58-1200)=0,"",INDEX(对接源_02物料!$V$4:$V$1203,$AE58-1200))))</f>
      </c>
      <c r="E58" s="64">
        <f>IF($AE58="","",IF($AE58&lt;=1200,IF(INDEX(对接源_01水果!$C$4:$C$1203,$AE58)=0,"",INDEX(对接源_01水果!$C$4:$C$1203,$AE58)),IF(INDEX(对接源_02物料!$C$4:$C$1203,$AE58-1200)=0,"",INDEX(对接源_02物料!$C$4:$C$1203,$AE58-1200))))</f>
      </c>
      <c r="F58" s="61">
        <f>IF($AE58="","",IF($AE58&lt;=1200,IF(INDEX(对接源_01水果!$W$4:$W$1203,$AE58)=0,"",INDEX(对接源_01水果!$W$4:$W$1203,$AE58)),IF(INDEX(对接源_02物料!$W$4:$W$1203,$AE58-1200)=0,"",INDEX(对接源_02物料!$W$4:$W$1203,$AE58-1200))))</f>
      </c>
      <c r="G58" s="64">
        <f>IF($AE58="","",IF($AE58&lt;=1200,IF(INDEX(对接源_01水果!$D$4:$D$1203,$AE58)=0,"",INDEX(对接源_01水果!$D$4:$D$1203,$AE58)),IF(INDEX(对接源_02物料!$D$4:$D$1203,$AE58-1200)=0,"",INDEX(对接源_02物料!$D$4:$D$1203,$AE58-1200))))</f>
      </c>
      <c r="H58" s="61">
        <f>IF($AE58="","",IF($AE58&lt;=1200,"01水果册","02物料册"))</f>
      </c>
      <c r="I58" s="64">
        <f>IF($AE58="","",IF($AE58&lt;=1200,IF(INDEX(对接源_01水果!$M$4:$M$1203,$AE58)=0,"",INDEX(对接源_01水果!$M$4:$M$1203,$AE58)),IF(INDEX(对接源_02物料!$M$4:$M$1203,$AE58-1200)=0,"",INDEX(对接源_02物料!$M$4:$M$1203,$AE58-1200))))</f>
      </c>
      <c r="AE58" s="2">
        <f>IFERROR(MATCH(53,_自动清单!$W$4:$W$2403,0),"")</f>
      </c>
    </row>
    <row r="59" ht="18" customHeight="1" s="127">
      <c r="A59" s="165">
        <f>IF($AE59="","",IF($AE59&lt;=1200,IF(INDEX(对接源_01水果!$B$4:$B$1203,$AE59)=0,"",INDEX(对接源_01水果!$B$4:$B$1203,$AE59)),IF(INDEX(对接源_02物料!$B$4:$B$1203,$AE59-1200)=0,"",INDEX(对接源_02物料!$B$4:$B$1203,$AE59-1200))))</f>
      </c>
      <c r="B59" s="107">
        <f>IF($AE59="","",IF($AE59&lt;=1200,IF(INDEX(对接源_01水果!$S$4:$S$1203,$AE59)=0,"",INDEX(对接源_01水果!$S$4:$S$1203,$AE59)),IF(INDEX(对接源_02物料!$S$4:$S$1203,$AE59-1200)=0,"",INDEX(对接源_02物料!$S$4:$S$1203,$AE59-1200))))</f>
      </c>
      <c r="C59" s="104">
        <f>IF($AE59="","",IF($AE59&lt;=1200,IF(INDEX(对接源_01水果!$E$4:$E$1203,$AE59)=0,"",INDEX(对接源_01水果!$E$4:$E$1203,$AE59)),IF(INDEX(对接源_02物料!$E$4:$E$1203,$AE59-1200)=0,"",INDEX(对接源_02物料!$E$4:$E$1203,$AE59-1200))))</f>
      </c>
      <c r="D59" s="166">
        <f>IF($AE59="","",IF($AE59&lt;=1200,IF(INDEX(对接源_01水果!$V$4:$V$1203,$AE59)=0,"",INDEX(对接源_01水果!$V$4:$V$1203,$AE59)),IF(INDEX(对接源_02物料!$V$4:$V$1203,$AE59-1200)=0,"",INDEX(对接源_02物料!$V$4:$V$1203,$AE59-1200))))</f>
      </c>
      <c r="E59" s="107">
        <f>IF($AE59="","",IF($AE59&lt;=1200,IF(INDEX(对接源_01水果!$C$4:$C$1203,$AE59)=0,"",INDEX(对接源_01水果!$C$4:$C$1203,$AE59)),IF(INDEX(对接源_02物料!$C$4:$C$1203,$AE59-1200)=0,"",INDEX(对接源_02物料!$C$4:$C$1203,$AE59-1200))))</f>
      </c>
      <c r="F59" s="104">
        <f>IF($AE59="","",IF($AE59&lt;=1200,IF(INDEX(对接源_01水果!$W$4:$W$1203,$AE59)=0,"",INDEX(对接源_01水果!$W$4:$W$1203,$AE59)),IF(INDEX(对接源_02物料!$W$4:$W$1203,$AE59-1200)=0,"",INDEX(对接源_02物料!$W$4:$W$1203,$AE59-1200))))</f>
      </c>
      <c r="G59" s="107">
        <f>IF($AE59="","",IF($AE59&lt;=1200,IF(INDEX(对接源_01水果!$D$4:$D$1203,$AE59)=0,"",INDEX(对接源_01水果!$D$4:$D$1203,$AE59)),IF(INDEX(对接源_02物料!$D$4:$D$1203,$AE59-1200)=0,"",INDEX(对接源_02物料!$D$4:$D$1203,$AE59-1200))))</f>
      </c>
      <c r="H59" s="104">
        <f>IF($AE59="","",IF($AE59&lt;=1200,"01水果册","02物料册"))</f>
      </c>
      <c r="I59" s="107">
        <f>IF($AE59="","",IF($AE59&lt;=1200,IF(INDEX(对接源_01水果!$M$4:$M$1203,$AE59)=0,"",INDEX(对接源_01水果!$M$4:$M$1203,$AE59)),IF(INDEX(对接源_02物料!$M$4:$M$1203,$AE59-1200)=0,"",INDEX(对接源_02物料!$M$4:$M$1203,$AE59-1200))))</f>
      </c>
      <c r="AE59" s="2">
        <f>IFERROR(MATCH(54,_自动清单!$W$4:$W$2403,0),"")</f>
      </c>
    </row>
    <row r="60" ht="18" customHeight="1" s="127">
      <c r="A60" s="163">
        <f>IF($AE60="","",IF($AE60&lt;=1200,IF(INDEX(对接源_01水果!$B$4:$B$1203,$AE60)=0,"",INDEX(对接源_01水果!$B$4:$B$1203,$AE60)),IF(INDEX(对接源_02物料!$B$4:$B$1203,$AE60-1200)=0,"",INDEX(对接源_02物料!$B$4:$B$1203,$AE60-1200))))</f>
      </c>
      <c r="B60" s="64">
        <f>IF($AE60="","",IF($AE60&lt;=1200,IF(INDEX(对接源_01水果!$S$4:$S$1203,$AE60)=0,"",INDEX(对接源_01水果!$S$4:$S$1203,$AE60)),IF(INDEX(对接源_02物料!$S$4:$S$1203,$AE60-1200)=0,"",INDEX(对接源_02物料!$S$4:$S$1203,$AE60-1200))))</f>
      </c>
      <c r="C60" s="61">
        <f>IF($AE60="","",IF($AE60&lt;=1200,IF(INDEX(对接源_01水果!$E$4:$E$1203,$AE60)=0,"",INDEX(对接源_01水果!$E$4:$E$1203,$AE60)),IF(INDEX(对接源_02物料!$E$4:$E$1203,$AE60-1200)=0,"",INDEX(对接源_02物料!$E$4:$E$1203,$AE60-1200))))</f>
      </c>
      <c r="D60" s="164">
        <f>IF($AE60="","",IF($AE60&lt;=1200,IF(INDEX(对接源_01水果!$V$4:$V$1203,$AE60)=0,"",INDEX(对接源_01水果!$V$4:$V$1203,$AE60)),IF(INDEX(对接源_02物料!$V$4:$V$1203,$AE60-1200)=0,"",INDEX(对接源_02物料!$V$4:$V$1203,$AE60-1200))))</f>
      </c>
      <c r="E60" s="64">
        <f>IF($AE60="","",IF($AE60&lt;=1200,IF(INDEX(对接源_01水果!$C$4:$C$1203,$AE60)=0,"",INDEX(对接源_01水果!$C$4:$C$1203,$AE60)),IF(INDEX(对接源_02物料!$C$4:$C$1203,$AE60-1200)=0,"",INDEX(对接源_02物料!$C$4:$C$1203,$AE60-1200))))</f>
      </c>
      <c r="F60" s="61">
        <f>IF($AE60="","",IF($AE60&lt;=1200,IF(INDEX(对接源_01水果!$W$4:$W$1203,$AE60)=0,"",INDEX(对接源_01水果!$W$4:$W$1203,$AE60)),IF(INDEX(对接源_02物料!$W$4:$W$1203,$AE60-1200)=0,"",INDEX(对接源_02物料!$W$4:$W$1203,$AE60-1200))))</f>
      </c>
      <c r="G60" s="64">
        <f>IF($AE60="","",IF($AE60&lt;=1200,IF(INDEX(对接源_01水果!$D$4:$D$1203,$AE60)=0,"",INDEX(对接源_01水果!$D$4:$D$1203,$AE60)),IF(INDEX(对接源_02物料!$D$4:$D$1203,$AE60-1200)=0,"",INDEX(对接源_02物料!$D$4:$D$1203,$AE60-1200))))</f>
      </c>
      <c r="H60" s="61">
        <f>IF($AE60="","",IF($AE60&lt;=1200,"01水果册","02物料册"))</f>
      </c>
      <c r="I60" s="64">
        <f>IF($AE60="","",IF($AE60&lt;=1200,IF(INDEX(对接源_01水果!$M$4:$M$1203,$AE60)=0,"",INDEX(对接源_01水果!$M$4:$M$1203,$AE60)),IF(INDEX(对接源_02物料!$M$4:$M$1203,$AE60-1200)=0,"",INDEX(对接源_02物料!$M$4:$M$1203,$AE60-1200))))</f>
      </c>
      <c r="AE60" s="2">
        <f>IFERROR(MATCH(55,_自动清单!$W$4:$W$2403,0),"")</f>
      </c>
    </row>
    <row r="61" ht="18" customHeight="1" s="127">
      <c r="A61" s="165">
        <f>IF($AE61="","",IF($AE61&lt;=1200,IF(INDEX(对接源_01水果!$B$4:$B$1203,$AE61)=0,"",INDEX(对接源_01水果!$B$4:$B$1203,$AE61)),IF(INDEX(对接源_02物料!$B$4:$B$1203,$AE61-1200)=0,"",INDEX(对接源_02物料!$B$4:$B$1203,$AE61-1200))))</f>
      </c>
      <c r="B61" s="107">
        <f>IF($AE61="","",IF($AE61&lt;=1200,IF(INDEX(对接源_01水果!$S$4:$S$1203,$AE61)=0,"",INDEX(对接源_01水果!$S$4:$S$1203,$AE61)),IF(INDEX(对接源_02物料!$S$4:$S$1203,$AE61-1200)=0,"",INDEX(对接源_02物料!$S$4:$S$1203,$AE61-1200))))</f>
      </c>
      <c r="C61" s="104">
        <f>IF($AE61="","",IF($AE61&lt;=1200,IF(INDEX(对接源_01水果!$E$4:$E$1203,$AE61)=0,"",INDEX(对接源_01水果!$E$4:$E$1203,$AE61)),IF(INDEX(对接源_02物料!$E$4:$E$1203,$AE61-1200)=0,"",INDEX(对接源_02物料!$E$4:$E$1203,$AE61-1200))))</f>
      </c>
      <c r="D61" s="166">
        <f>IF($AE61="","",IF($AE61&lt;=1200,IF(INDEX(对接源_01水果!$V$4:$V$1203,$AE61)=0,"",INDEX(对接源_01水果!$V$4:$V$1203,$AE61)),IF(INDEX(对接源_02物料!$V$4:$V$1203,$AE61-1200)=0,"",INDEX(对接源_02物料!$V$4:$V$1203,$AE61-1200))))</f>
      </c>
      <c r="E61" s="107">
        <f>IF($AE61="","",IF($AE61&lt;=1200,IF(INDEX(对接源_01水果!$C$4:$C$1203,$AE61)=0,"",INDEX(对接源_01水果!$C$4:$C$1203,$AE61)),IF(INDEX(对接源_02物料!$C$4:$C$1203,$AE61-1200)=0,"",INDEX(对接源_02物料!$C$4:$C$1203,$AE61-1200))))</f>
      </c>
      <c r="F61" s="104">
        <f>IF($AE61="","",IF($AE61&lt;=1200,IF(INDEX(对接源_01水果!$W$4:$W$1203,$AE61)=0,"",INDEX(对接源_01水果!$W$4:$W$1203,$AE61)),IF(INDEX(对接源_02物料!$W$4:$W$1203,$AE61-1200)=0,"",INDEX(对接源_02物料!$W$4:$W$1203,$AE61-1200))))</f>
      </c>
      <c r="G61" s="107">
        <f>IF($AE61="","",IF($AE61&lt;=1200,IF(INDEX(对接源_01水果!$D$4:$D$1203,$AE61)=0,"",INDEX(对接源_01水果!$D$4:$D$1203,$AE61)),IF(INDEX(对接源_02物料!$D$4:$D$1203,$AE61-1200)=0,"",INDEX(对接源_02物料!$D$4:$D$1203,$AE61-1200))))</f>
      </c>
      <c r="H61" s="104">
        <f>IF($AE61="","",IF($AE61&lt;=1200,"01水果册","02物料册"))</f>
      </c>
      <c r="I61" s="107">
        <f>IF($AE61="","",IF($AE61&lt;=1200,IF(INDEX(对接源_01水果!$M$4:$M$1203,$AE61)=0,"",INDEX(对接源_01水果!$M$4:$M$1203,$AE61)),IF(INDEX(对接源_02物料!$M$4:$M$1203,$AE61-1200)=0,"",INDEX(对接源_02物料!$M$4:$M$1203,$AE61-1200))))</f>
      </c>
      <c r="AE61" s="2">
        <f>IFERROR(MATCH(56,_自动清单!$W$4:$W$2403,0),"")</f>
      </c>
    </row>
    <row r="62" ht="18" customHeight="1" s="127">
      <c r="A62" s="163">
        <f>IF($AE62="","",IF($AE62&lt;=1200,IF(INDEX(对接源_01水果!$B$4:$B$1203,$AE62)=0,"",INDEX(对接源_01水果!$B$4:$B$1203,$AE62)),IF(INDEX(对接源_02物料!$B$4:$B$1203,$AE62-1200)=0,"",INDEX(对接源_02物料!$B$4:$B$1203,$AE62-1200))))</f>
      </c>
      <c r="B62" s="64">
        <f>IF($AE62="","",IF($AE62&lt;=1200,IF(INDEX(对接源_01水果!$S$4:$S$1203,$AE62)=0,"",INDEX(对接源_01水果!$S$4:$S$1203,$AE62)),IF(INDEX(对接源_02物料!$S$4:$S$1203,$AE62-1200)=0,"",INDEX(对接源_02物料!$S$4:$S$1203,$AE62-1200))))</f>
      </c>
      <c r="C62" s="61">
        <f>IF($AE62="","",IF($AE62&lt;=1200,IF(INDEX(对接源_01水果!$E$4:$E$1203,$AE62)=0,"",INDEX(对接源_01水果!$E$4:$E$1203,$AE62)),IF(INDEX(对接源_02物料!$E$4:$E$1203,$AE62-1200)=0,"",INDEX(对接源_02物料!$E$4:$E$1203,$AE62-1200))))</f>
      </c>
      <c r="D62" s="164">
        <f>IF($AE62="","",IF($AE62&lt;=1200,IF(INDEX(对接源_01水果!$V$4:$V$1203,$AE62)=0,"",INDEX(对接源_01水果!$V$4:$V$1203,$AE62)),IF(INDEX(对接源_02物料!$V$4:$V$1203,$AE62-1200)=0,"",INDEX(对接源_02物料!$V$4:$V$1203,$AE62-1200))))</f>
      </c>
      <c r="E62" s="64">
        <f>IF($AE62="","",IF($AE62&lt;=1200,IF(INDEX(对接源_01水果!$C$4:$C$1203,$AE62)=0,"",INDEX(对接源_01水果!$C$4:$C$1203,$AE62)),IF(INDEX(对接源_02物料!$C$4:$C$1203,$AE62-1200)=0,"",INDEX(对接源_02物料!$C$4:$C$1203,$AE62-1200))))</f>
      </c>
      <c r="F62" s="61">
        <f>IF($AE62="","",IF($AE62&lt;=1200,IF(INDEX(对接源_01水果!$W$4:$W$1203,$AE62)=0,"",INDEX(对接源_01水果!$W$4:$W$1203,$AE62)),IF(INDEX(对接源_02物料!$W$4:$W$1203,$AE62-1200)=0,"",INDEX(对接源_02物料!$W$4:$W$1203,$AE62-1200))))</f>
      </c>
      <c r="G62" s="64">
        <f>IF($AE62="","",IF($AE62&lt;=1200,IF(INDEX(对接源_01水果!$D$4:$D$1203,$AE62)=0,"",INDEX(对接源_01水果!$D$4:$D$1203,$AE62)),IF(INDEX(对接源_02物料!$D$4:$D$1203,$AE62-1200)=0,"",INDEX(对接源_02物料!$D$4:$D$1203,$AE62-1200))))</f>
      </c>
      <c r="H62" s="61">
        <f>IF($AE62="","",IF($AE62&lt;=1200,"01水果册","02物料册"))</f>
      </c>
      <c r="I62" s="64">
        <f>IF($AE62="","",IF($AE62&lt;=1200,IF(INDEX(对接源_01水果!$M$4:$M$1203,$AE62)=0,"",INDEX(对接源_01水果!$M$4:$M$1203,$AE62)),IF(INDEX(对接源_02物料!$M$4:$M$1203,$AE62-1200)=0,"",INDEX(对接源_02物料!$M$4:$M$1203,$AE62-1200))))</f>
      </c>
      <c r="AE62" s="2">
        <f>IFERROR(MATCH(57,_自动清单!$W$4:$W$2403,0),"")</f>
      </c>
    </row>
    <row r="63" ht="18" customHeight="1" s="127">
      <c r="A63" s="165">
        <f>IF($AE63="","",IF($AE63&lt;=1200,IF(INDEX(对接源_01水果!$B$4:$B$1203,$AE63)=0,"",INDEX(对接源_01水果!$B$4:$B$1203,$AE63)),IF(INDEX(对接源_02物料!$B$4:$B$1203,$AE63-1200)=0,"",INDEX(对接源_02物料!$B$4:$B$1203,$AE63-1200))))</f>
      </c>
      <c r="B63" s="107">
        <f>IF($AE63="","",IF($AE63&lt;=1200,IF(INDEX(对接源_01水果!$S$4:$S$1203,$AE63)=0,"",INDEX(对接源_01水果!$S$4:$S$1203,$AE63)),IF(INDEX(对接源_02物料!$S$4:$S$1203,$AE63-1200)=0,"",INDEX(对接源_02物料!$S$4:$S$1203,$AE63-1200))))</f>
      </c>
      <c r="C63" s="104">
        <f>IF($AE63="","",IF($AE63&lt;=1200,IF(INDEX(对接源_01水果!$E$4:$E$1203,$AE63)=0,"",INDEX(对接源_01水果!$E$4:$E$1203,$AE63)),IF(INDEX(对接源_02物料!$E$4:$E$1203,$AE63-1200)=0,"",INDEX(对接源_02物料!$E$4:$E$1203,$AE63-1200))))</f>
      </c>
      <c r="D63" s="166">
        <f>IF($AE63="","",IF($AE63&lt;=1200,IF(INDEX(对接源_01水果!$V$4:$V$1203,$AE63)=0,"",INDEX(对接源_01水果!$V$4:$V$1203,$AE63)),IF(INDEX(对接源_02物料!$V$4:$V$1203,$AE63-1200)=0,"",INDEX(对接源_02物料!$V$4:$V$1203,$AE63-1200))))</f>
      </c>
      <c r="E63" s="107">
        <f>IF($AE63="","",IF($AE63&lt;=1200,IF(INDEX(对接源_01水果!$C$4:$C$1203,$AE63)=0,"",INDEX(对接源_01水果!$C$4:$C$1203,$AE63)),IF(INDEX(对接源_02物料!$C$4:$C$1203,$AE63-1200)=0,"",INDEX(对接源_02物料!$C$4:$C$1203,$AE63-1200))))</f>
      </c>
      <c r="F63" s="104">
        <f>IF($AE63="","",IF($AE63&lt;=1200,IF(INDEX(对接源_01水果!$W$4:$W$1203,$AE63)=0,"",INDEX(对接源_01水果!$W$4:$W$1203,$AE63)),IF(INDEX(对接源_02物料!$W$4:$W$1203,$AE63-1200)=0,"",INDEX(对接源_02物料!$W$4:$W$1203,$AE63-1200))))</f>
      </c>
      <c r="G63" s="107">
        <f>IF($AE63="","",IF($AE63&lt;=1200,IF(INDEX(对接源_01水果!$D$4:$D$1203,$AE63)=0,"",INDEX(对接源_01水果!$D$4:$D$1203,$AE63)),IF(INDEX(对接源_02物料!$D$4:$D$1203,$AE63-1200)=0,"",INDEX(对接源_02物料!$D$4:$D$1203,$AE63-1200))))</f>
      </c>
      <c r="H63" s="104">
        <f>IF($AE63="","",IF($AE63&lt;=1200,"01水果册","02物料册"))</f>
      </c>
      <c r="I63" s="107">
        <f>IF($AE63="","",IF($AE63&lt;=1200,IF(INDEX(对接源_01水果!$M$4:$M$1203,$AE63)=0,"",INDEX(对接源_01水果!$M$4:$M$1203,$AE63)),IF(INDEX(对接源_02物料!$M$4:$M$1203,$AE63-1200)=0,"",INDEX(对接源_02物料!$M$4:$M$1203,$AE63-1200))))</f>
      </c>
      <c r="AE63" s="2">
        <f>IFERROR(MATCH(58,_自动清单!$W$4:$W$2403,0),"")</f>
      </c>
    </row>
    <row r="64" ht="18" customHeight="1" s="127">
      <c r="A64" s="163">
        <f>IF($AE64="","",IF($AE64&lt;=1200,IF(INDEX(对接源_01水果!$B$4:$B$1203,$AE64)=0,"",INDEX(对接源_01水果!$B$4:$B$1203,$AE64)),IF(INDEX(对接源_02物料!$B$4:$B$1203,$AE64-1200)=0,"",INDEX(对接源_02物料!$B$4:$B$1203,$AE64-1200))))</f>
      </c>
      <c r="B64" s="64">
        <f>IF($AE64="","",IF($AE64&lt;=1200,IF(INDEX(对接源_01水果!$S$4:$S$1203,$AE64)=0,"",INDEX(对接源_01水果!$S$4:$S$1203,$AE64)),IF(INDEX(对接源_02物料!$S$4:$S$1203,$AE64-1200)=0,"",INDEX(对接源_02物料!$S$4:$S$1203,$AE64-1200))))</f>
      </c>
      <c r="C64" s="61">
        <f>IF($AE64="","",IF($AE64&lt;=1200,IF(INDEX(对接源_01水果!$E$4:$E$1203,$AE64)=0,"",INDEX(对接源_01水果!$E$4:$E$1203,$AE64)),IF(INDEX(对接源_02物料!$E$4:$E$1203,$AE64-1200)=0,"",INDEX(对接源_02物料!$E$4:$E$1203,$AE64-1200))))</f>
      </c>
      <c r="D64" s="164">
        <f>IF($AE64="","",IF($AE64&lt;=1200,IF(INDEX(对接源_01水果!$V$4:$V$1203,$AE64)=0,"",INDEX(对接源_01水果!$V$4:$V$1203,$AE64)),IF(INDEX(对接源_02物料!$V$4:$V$1203,$AE64-1200)=0,"",INDEX(对接源_02物料!$V$4:$V$1203,$AE64-1200))))</f>
      </c>
      <c r="E64" s="64">
        <f>IF($AE64="","",IF($AE64&lt;=1200,IF(INDEX(对接源_01水果!$C$4:$C$1203,$AE64)=0,"",INDEX(对接源_01水果!$C$4:$C$1203,$AE64)),IF(INDEX(对接源_02物料!$C$4:$C$1203,$AE64-1200)=0,"",INDEX(对接源_02物料!$C$4:$C$1203,$AE64-1200))))</f>
      </c>
      <c r="F64" s="61">
        <f>IF($AE64="","",IF($AE64&lt;=1200,IF(INDEX(对接源_01水果!$W$4:$W$1203,$AE64)=0,"",INDEX(对接源_01水果!$W$4:$W$1203,$AE64)),IF(INDEX(对接源_02物料!$W$4:$W$1203,$AE64-1200)=0,"",INDEX(对接源_02物料!$W$4:$W$1203,$AE64-1200))))</f>
      </c>
      <c r="G64" s="64">
        <f>IF($AE64="","",IF($AE64&lt;=1200,IF(INDEX(对接源_01水果!$D$4:$D$1203,$AE64)=0,"",INDEX(对接源_01水果!$D$4:$D$1203,$AE64)),IF(INDEX(对接源_02物料!$D$4:$D$1203,$AE64-1200)=0,"",INDEX(对接源_02物料!$D$4:$D$1203,$AE64-1200))))</f>
      </c>
      <c r="H64" s="61">
        <f>IF($AE64="","",IF($AE64&lt;=1200,"01水果册","02物料册"))</f>
      </c>
      <c r="I64" s="64">
        <f>IF($AE64="","",IF($AE64&lt;=1200,IF(INDEX(对接源_01水果!$M$4:$M$1203,$AE64)=0,"",INDEX(对接源_01水果!$M$4:$M$1203,$AE64)),IF(INDEX(对接源_02物料!$M$4:$M$1203,$AE64-1200)=0,"",INDEX(对接源_02物料!$M$4:$M$1203,$AE64-1200))))</f>
      </c>
      <c r="AE64" s="2">
        <f>IFERROR(MATCH(59,_自动清单!$W$4:$W$2403,0),"")</f>
      </c>
    </row>
    <row r="65" ht="18" customHeight="1" s="127">
      <c r="A65" s="165">
        <f>IF($AE65="","",IF($AE65&lt;=1200,IF(INDEX(对接源_01水果!$B$4:$B$1203,$AE65)=0,"",INDEX(对接源_01水果!$B$4:$B$1203,$AE65)),IF(INDEX(对接源_02物料!$B$4:$B$1203,$AE65-1200)=0,"",INDEX(对接源_02物料!$B$4:$B$1203,$AE65-1200))))</f>
      </c>
      <c r="B65" s="107">
        <f>IF($AE65="","",IF($AE65&lt;=1200,IF(INDEX(对接源_01水果!$S$4:$S$1203,$AE65)=0,"",INDEX(对接源_01水果!$S$4:$S$1203,$AE65)),IF(INDEX(对接源_02物料!$S$4:$S$1203,$AE65-1200)=0,"",INDEX(对接源_02物料!$S$4:$S$1203,$AE65-1200))))</f>
      </c>
      <c r="C65" s="104">
        <f>IF($AE65="","",IF($AE65&lt;=1200,IF(INDEX(对接源_01水果!$E$4:$E$1203,$AE65)=0,"",INDEX(对接源_01水果!$E$4:$E$1203,$AE65)),IF(INDEX(对接源_02物料!$E$4:$E$1203,$AE65-1200)=0,"",INDEX(对接源_02物料!$E$4:$E$1203,$AE65-1200))))</f>
      </c>
      <c r="D65" s="166">
        <f>IF($AE65="","",IF($AE65&lt;=1200,IF(INDEX(对接源_01水果!$V$4:$V$1203,$AE65)=0,"",INDEX(对接源_01水果!$V$4:$V$1203,$AE65)),IF(INDEX(对接源_02物料!$V$4:$V$1203,$AE65-1200)=0,"",INDEX(对接源_02物料!$V$4:$V$1203,$AE65-1200))))</f>
      </c>
      <c r="E65" s="107">
        <f>IF($AE65="","",IF($AE65&lt;=1200,IF(INDEX(对接源_01水果!$C$4:$C$1203,$AE65)=0,"",INDEX(对接源_01水果!$C$4:$C$1203,$AE65)),IF(INDEX(对接源_02物料!$C$4:$C$1203,$AE65-1200)=0,"",INDEX(对接源_02物料!$C$4:$C$1203,$AE65-1200))))</f>
      </c>
      <c r="F65" s="104">
        <f>IF($AE65="","",IF($AE65&lt;=1200,IF(INDEX(对接源_01水果!$W$4:$W$1203,$AE65)=0,"",INDEX(对接源_01水果!$W$4:$W$1203,$AE65)),IF(INDEX(对接源_02物料!$W$4:$W$1203,$AE65-1200)=0,"",INDEX(对接源_02物料!$W$4:$W$1203,$AE65-1200))))</f>
      </c>
      <c r="G65" s="107">
        <f>IF($AE65="","",IF($AE65&lt;=1200,IF(INDEX(对接源_01水果!$D$4:$D$1203,$AE65)=0,"",INDEX(对接源_01水果!$D$4:$D$1203,$AE65)),IF(INDEX(对接源_02物料!$D$4:$D$1203,$AE65-1200)=0,"",INDEX(对接源_02物料!$D$4:$D$1203,$AE65-1200))))</f>
      </c>
      <c r="H65" s="104">
        <f>IF($AE65="","",IF($AE65&lt;=1200,"01水果册","02物料册"))</f>
      </c>
      <c r="I65" s="107">
        <f>IF($AE65="","",IF($AE65&lt;=1200,IF(INDEX(对接源_01水果!$M$4:$M$1203,$AE65)=0,"",INDEX(对接源_01水果!$M$4:$M$1203,$AE65)),IF(INDEX(对接源_02物料!$M$4:$M$1203,$AE65-1200)=0,"",INDEX(对接源_02物料!$M$4:$M$1203,$AE65-1200))))</f>
      </c>
      <c r="AE65" s="2">
        <f>IFERROR(MATCH(60,_自动清单!$W$4:$W$2403,0),"")</f>
      </c>
    </row>
    <row r="66" ht="18" customHeight="1" s="127">
      <c r="A66" s="163">
        <f>IF($AE66="","",IF($AE66&lt;=1200,IF(INDEX(对接源_01水果!$B$4:$B$1203,$AE66)=0,"",INDEX(对接源_01水果!$B$4:$B$1203,$AE66)),IF(INDEX(对接源_02物料!$B$4:$B$1203,$AE66-1200)=0,"",INDEX(对接源_02物料!$B$4:$B$1203,$AE66-1200))))</f>
      </c>
      <c r="B66" s="64">
        <f>IF($AE66="","",IF($AE66&lt;=1200,IF(INDEX(对接源_01水果!$S$4:$S$1203,$AE66)=0,"",INDEX(对接源_01水果!$S$4:$S$1203,$AE66)),IF(INDEX(对接源_02物料!$S$4:$S$1203,$AE66-1200)=0,"",INDEX(对接源_02物料!$S$4:$S$1203,$AE66-1200))))</f>
      </c>
      <c r="C66" s="61">
        <f>IF($AE66="","",IF($AE66&lt;=1200,IF(INDEX(对接源_01水果!$E$4:$E$1203,$AE66)=0,"",INDEX(对接源_01水果!$E$4:$E$1203,$AE66)),IF(INDEX(对接源_02物料!$E$4:$E$1203,$AE66-1200)=0,"",INDEX(对接源_02物料!$E$4:$E$1203,$AE66-1200))))</f>
      </c>
      <c r="D66" s="164">
        <f>IF($AE66="","",IF($AE66&lt;=1200,IF(INDEX(对接源_01水果!$V$4:$V$1203,$AE66)=0,"",INDEX(对接源_01水果!$V$4:$V$1203,$AE66)),IF(INDEX(对接源_02物料!$V$4:$V$1203,$AE66-1200)=0,"",INDEX(对接源_02物料!$V$4:$V$1203,$AE66-1200))))</f>
      </c>
      <c r="E66" s="64">
        <f>IF($AE66="","",IF($AE66&lt;=1200,IF(INDEX(对接源_01水果!$C$4:$C$1203,$AE66)=0,"",INDEX(对接源_01水果!$C$4:$C$1203,$AE66)),IF(INDEX(对接源_02物料!$C$4:$C$1203,$AE66-1200)=0,"",INDEX(对接源_02物料!$C$4:$C$1203,$AE66-1200))))</f>
      </c>
      <c r="F66" s="61">
        <f>IF($AE66="","",IF($AE66&lt;=1200,IF(INDEX(对接源_01水果!$W$4:$W$1203,$AE66)=0,"",INDEX(对接源_01水果!$W$4:$W$1203,$AE66)),IF(INDEX(对接源_02物料!$W$4:$W$1203,$AE66-1200)=0,"",INDEX(对接源_02物料!$W$4:$W$1203,$AE66-1200))))</f>
      </c>
      <c r="G66" s="64">
        <f>IF($AE66="","",IF($AE66&lt;=1200,IF(INDEX(对接源_01水果!$D$4:$D$1203,$AE66)=0,"",INDEX(对接源_01水果!$D$4:$D$1203,$AE66)),IF(INDEX(对接源_02物料!$D$4:$D$1203,$AE66-1200)=0,"",INDEX(对接源_02物料!$D$4:$D$1203,$AE66-1200))))</f>
      </c>
      <c r="H66" s="61">
        <f>IF($AE66="","",IF($AE66&lt;=1200,"01水果册","02物料册"))</f>
      </c>
      <c r="I66" s="64">
        <f>IF($AE66="","",IF($AE66&lt;=1200,IF(INDEX(对接源_01水果!$M$4:$M$1203,$AE66)=0,"",INDEX(对接源_01水果!$M$4:$M$1203,$AE66)),IF(INDEX(对接源_02物料!$M$4:$M$1203,$AE66-1200)=0,"",INDEX(对接源_02物料!$M$4:$M$1203,$AE66-1200))))</f>
      </c>
      <c r="AE66" s="2">
        <f>IFERROR(MATCH(61,_自动清单!$W$4:$W$2403,0),"")</f>
      </c>
    </row>
    <row r="67" ht="18" customHeight="1" s="127">
      <c r="A67" s="165">
        <f>IF($AE67="","",IF($AE67&lt;=1200,IF(INDEX(对接源_01水果!$B$4:$B$1203,$AE67)=0,"",INDEX(对接源_01水果!$B$4:$B$1203,$AE67)),IF(INDEX(对接源_02物料!$B$4:$B$1203,$AE67-1200)=0,"",INDEX(对接源_02物料!$B$4:$B$1203,$AE67-1200))))</f>
      </c>
      <c r="B67" s="107">
        <f>IF($AE67="","",IF($AE67&lt;=1200,IF(INDEX(对接源_01水果!$S$4:$S$1203,$AE67)=0,"",INDEX(对接源_01水果!$S$4:$S$1203,$AE67)),IF(INDEX(对接源_02物料!$S$4:$S$1203,$AE67-1200)=0,"",INDEX(对接源_02物料!$S$4:$S$1203,$AE67-1200))))</f>
      </c>
      <c r="C67" s="104">
        <f>IF($AE67="","",IF($AE67&lt;=1200,IF(INDEX(对接源_01水果!$E$4:$E$1203,$AE67)=0,"",INDEX(对接源_01水果!$E$4:$E$1203,$AE67)),IF(INDEX(对接源_02物料!$E$4:$E$1203,$AE67-1200)=0,"",INDEX(对接源_02物料!$E$4:$E$1203,$AE67-1200))))</f>
      </c>
      <c r="D67" s="166">
        <f>IF($AE67="","",IF($AE67&lt;=1200,IF(INDEX(对接源_01水果!$V$4:$V$1203,$AE67)=0,"",INDEX(对接源_01水果!$V$4:$V$1203,$AE67)),IF(INDEX(对接源_02物料!$V$4:$V$1203,$AE67-1200)=0,"",INDEX(对接源_02物料!$V$4:$V$1203,$AE67-1200))))</f>
      </c>
      <c r="E67" s="107">
        <f>IF($AE67="","",IF($AE67&lt;=1200,IF(INDEX(对接源_01水果!$C$4:$C$1203,$AE67)=0,"",INDEX(对接源_01水果!$C$4:$C$1203,$AE67)),IF(INDEX(对接源_02物料!$C$4:$C$1203,$AE67-1200)=0,"",INDEX(对接源_02物料!$C$4:$C$1203,$AE67-1200))))</f>
      </c>
      <c r="F67" s="104">
        <f>IF($AE67="","",IF($AE67&lt;=1200,IF(INDEX(对接源_01水果!$W$4:$W$1203,$AE67)=0,"",INDEX(对接源_01水果!$W$4:$W$1203,$AE67)),IF(INDEX(对接源_02物料!$W$4:$W$1203,$AE67-1200)=0,"",INDEX(对接源_02物料!$W$4:$W$1203,$AE67-1200))))</f>
      </c>
      <c r="G67" s="107">
        <f>IF($AE67="","",IF($AE67&lt;=1200,IF(INDEX(对接源_01水果!$D$4:$D$1203,$AE67)=0,"",INDEX(对接源_01水果!$D$4:$D$1203,$AE67)),IF(INDEX(对接源_02物料!$D$4:$D$1203,$AE67-1200)=0,"",INDEX(对接源_02物料!$D$4:$D$1203,$AE67-1200))))</f>
      </c>
      <c r="H67" s="104">
        <f>IF($AE67="","",IF($AE67&lt;=1200,"01水果册","02物料册"))</f>
      </c>
      <c r="I67" s="107">
        <f>IF($AE67="","",IF($AE67&lt;=1200,IF(INDEX(对接源_01水果!$M$4:$M$1203,$AE67)=0,"",INDEX(对接源_01水果!$M$4:$M$1203,$AE67)),IF(INDEX(对接源_02物料!$M$4:$M$1203,$AE67-1200)=0,"",INDEX(对接源_02物料!$M$4:$M$1203,$AE67-1200))))</f>
      </c>
      <c r="AE67" s="2">
        <f>IFERROR(MATCH(62,_自动清单!$W$4:$W$2403,0),"")</f>
      </c>
    </row>
    <row r="68" ht="18" customHeight="1" s="127">
      <c r="A68" s="163">
        <f>IF($AE68="","",IF($AE68&lt;=1200,IF(INDEX(对接源_01水果!$B$4:$B$1203,$AE68)=0,"",INDEX(对接源_01水果!$B$4:$B$1203,$AE68)),IF(INDEX(对接源_02物料!$B$4:$B$1203,$AE68-1200)=0,"",INDEX(对接源_02物料!$B$4:$B$1203,$AE68-1200))))</f>
      </c>
      <c r="B68" s="64">
        <f>IF($AE68="","",IF($AE68&lt;=1200,IF(INDEX(对接源_01水果!$S$4:$S$1203,$AE68)=0,"",INDEX(对接源_01水果!$S$4:$S$1203,$AE68)),IF(INDEX(对接源_02物料!$S$4:$S$1203,$AE68-1200)=0,"",INDEX(对接源_02物料!$S$4:$S$1203,$AE68-1200))))</f>
      </c>
      <c r="C68" s="61">
        <f>IF($AE68="","",IF($AE68&lt;=1200,IF(INDEX(对接源_01水果!$E$4:$E$1203,$AE68)=0,"",INDEX(对接源_01水果!$E$4:$E$1203,$AE68)),IF(INDEX(对接源_02物料!$E$4:$E$1203,$AE68-1200)=0,"",INDEX(对接源_02物料!$E$4:$E$1203,$AE68-1200))))</f>
      </c>
      <c r="D68" s="164">
        <f>IF($AE68="","",IF($AE68&lt;=1200,IF(INDEX(对接源_01水果!$V$4:$V$1203,$AE68)=0,"",INDEX(对接源_01水果!$V$4:$V$1203,$AE68)),IF(INDEX(对接源_02物料!$V$4:$V$1203,$AE68-1200)=0,"",INDEX(对接源_02物料!$V$4:$V$1203,$AE68-1200))))</f>
      </c>
      <c r="E68" s="64">
        <f>IF($AE68="","",IF($AE68&lt;=1200,IF(INDEX(对接源_01水果!$C$4:$C$1203,$AE68)=0,"",INDEX(对接源_01水果!$C$4:$C$1203,$AE68)),IF(INDEX(对接源_02物料!$C$4:$C$1203,$AE68-1200)=0,"",INDEX(对接源_02物料!$C$4:$C$1203,$AE68-1200))))</f>
      </c>
      <c r="F68" s="61">
        <f>IF($AE68="","",IF($AE68&lt;=1200,IF(INDEX(对接源_01水果!$W$4:$W$1203,$AE68)=0,"",INDEX(对接源_01水果!$W$4:$W$1203,$AE68)),IF(INDEX(对接源_02物料!$W$4:$W$1203,$AE68-1200)=0,"",INDEX(对接源_02物料!$W$4:$W$1203,$AE68-1200))))</f>
      </c>
      <c r="G68" s="64">
        <f>IF($AE68="","",IF($AE68&lt;=1200,IF(INDEX(对接源_01水果!$D$4:$D$1203,$AE68)=0,"",INDEX(对接源_01水果!$D$4:$D$1203,$AE68)),IF(INDEX(对接源_02物料!$D$4:$D$1203,$AE68-1200)=0,"",INDEX(对接源_02物料!$D$4:$D$1203,$AE68-1200))))</f>
      </c>
      <c r="H68" s="61">
        <f>IF($AE68="","",IF($AE68&lt;=1200,"01水果册","02物料册"))</f>
      </c>
      <c r="I68" s="64">
        <f>IF($AE68="","",IF($AE68&lt;=1200,IF(INDEX(对接源_01水果!$M$4:$M$1203,$AE68)=0,"",INDEX(对接源_01水果!$M$4:$M$1203,$AE68)),IF(INDEX(对接源_02物料!$M$4:$M$1203,$AE68-1200)=0,"",INDEX(对接源_02物料!$M$4:$M$1203,$AE68-1200))))</f>
      </c>
      <c r="AE68" s="2">
        <f>IFERROR(MATCH(63,_自动清单!$W$4:$W$2403,0),"")</f>
      </c>
    </row>
    <row r="69" ht="18" customHeight="1" s="127">
      <c r="A69" s="165">
        <f>IF($AE69="","",IF($AE69&lt;=1200,IF(INDEX(对接源_01水果!$B$4:$B$1203,$AE69)=0,"",INDEX(对接源_01水果!$B$4:$B$1203,$AE69)),IF(INDEX(对接源_02物料!$B$4:$B$1203,$AE69-1200)=0,"",INDEX(对接源_02物料!$B$4:$B$1203,$AE69-1200))))</f>
      </c>
      <c r="B69" s="107">
        <f>IF($AE69="","",IF($AE69&lt;=1200,IF(INDEX(对接源_01水果!$S$4:$S$1203,$AE69)=0,"",INDEX(对接源_01水果!$S$4:$S$1203,$AE69)),IF(INDEX(对接源_02物料!$S$4:$S$1203,$AE69-1200)=0,"",INDEX(对接源_02物料!$S$4:$S$1203,$AE69-1200))))</f>
      </c>
      <c r="C69" s="104">
        <f>IF($AE69="","",IF($AE69&lt;=1200,IF(INDEX(对接源_01水果!$E$4:$E$1203,$AE69)=0,"",INDEX(对接源_01水果!$E$4:$E$1203,$AE69)),IF(INDEX(对接源_02物料!$E$4:$E$1203,$AE69-1200)=0,"",INDEX(对接源_02物料!$E$4:$E$1203,$AE69-1200))))</f>
      </c>
      <c r="D69" s="166">
        <f>IF($AE69="","",IF($AE69&lt;=1200,IF(INDEX(对接源_01水果!$V$4:$V$1203,$AE69)=0,"",INDEX(对接源_01水果!$V$4:$V$1203,$AE69)),IF(INDEX(对接源_02物料!$V$4:$V$1203,$AE69-1200)=0,"",INDEX(对接源_02物料!$V$4:$V$1203,$AE69-1200))))</f>
      </c>
      <c r="E69" s="107">
        <f>IF($AE69="","",IF($AE69&lt;=1200,IF(INDEX(对接源_01水果!$C$4:$C$1203,$AE69)=0,"",INDEX(对接源_01水果!$C$4:$C$1203,$AE69)),IF(INDEX(对接源_02物料!$C$4:$C$1203,$AE69-1200)=0,"",INDEX(对接源_02物料!$C$4:$C$1203,$AE69-1200))))</f>
      </c>
      <c r="F69" s="104">
        <f>IF($AE69="","",IF($AE69&lt;=1200,IF(INDEX(对接源_01水果!$W$4:$W$1203,$AE69)=0,"",INDEX(对接源_01水果!$W$4:$W$1203,$AE69)),IF(INDEX(对接源_02物料!$W$4:$W$1203,$AE69-1200)=0,"",INDEX(对接源_02物料!$W$4:$W$1203,$AE69-1200))))</f>
      </c>
      <c r="G69" s="107">
        <f>IF($AE69="","",IF($AE69&lt;=1200,IF(INDEX(对接源_01水果!$D$4:$D$1203,$AE69)=0,"",INDEX(对接源_01水果!$D$4:$D$1203,$AE69)),IF(INDEX(对接源_02物料!$D$4:$D$1203,$AE69-1200)=0,"",INDEX(对接源_02物料!$D$4:$D$1203,$AE69-1200))))</f>
      </c>
      <c r="H69" s="104">
        <f>IF($AE69="","",IF($AE69&lt;=1200,"01水果册","02物料册"))</f>
      </c>
      <c r="I69" s="107">
        <f>IF($AE69="","",IF($AE69&lt;=1200,IF(INDEX(对接源_01水果!$M$4:$M$1203,$AE69)=0,"",INDEX(对接源_01水果!$M$4:$M$1203,$AE69)),IF(INDEX(对接源_02物料!$M$4:$M$1203,$AE69-1200)=0,"",INDEX(对接源_02物料!$M$4:$M$1203,$AE69-1200))))</f>
      </c>
      <c r="AE69" s="2">
        <f>IFERROR(MATCH(64,_自动清单!$W$4:$W$2403,0),"")</f>
      </c>
    </row>
    <row r="70" ht="18" customHeight="1" s="127">
      <c r="A70" s="163">
        <f>IF($AE70="","",IF($AE70&lt;=1200,IF(INDEX(对接源_01水果!$B$4:$B$1203,$AE70)=0,"",INDEX(对接源_01水果!$B$4:$B$1203,$AE70)),IF(INDEX(对接源_02物料!$B$4:$B$1203,$AE70-1200)=0,"",INDEX(对接源_02物料!$B$4:$B$1203,$AE70-1200))))</f>
      </c>
      <c r="B70" s="64">
        <f>IF($AE70="","",IF($AE70&lt;=1200,IF(INDEX(对接源_01水果!$S$4:$S$1203,$AE70)=0,"",INDEX(对接源_01水果!$S$4:$S$1203,$AE70)),IF(INDEX(对接源_02物料!$S$4:$S$1203,$AE70-1200)=0,"",INDEX(对接源_02物料!$S$4:$S$1203,$AE70-1200))))</f>
      </c>
      <c r="C70" s="61">
        <f>IF($AE70="","",IF($AE70&lt;=1200,IF(INDEX(对接源_01水果!$E$4:$E$1203,$AE70)=0,"",INDEX(对接源_01水果!$E$4:$E$1203,$AE70)),IF(INDEX(对接源_02物料!$E$4:$E$1203,$AE70-1200)=0,"",INDEX(对接源_02物料!$E$4:$E$1203,$AE70-1200))))</f>
      </c>
      <c r="D70" s="164">
        <f>IF($AE70="","",IF($AE70&lt;=1200,IF(INDEX(对接源_01水果!$V$4:$V$1203,$AE70)=0,"",INDEX(对接源_01水果!$V$4:$V$1203,$AE70)),IF(INDEX(对接源_02物料!$V$4:$V$1203,$AE70-1200)=0,"",INDEX(对接源_02物料!$V$4:$V$1203,$AE70-1200))))</f>
      </c>
      <c r="E70" s="64">
        <f>IF($AE70="","",IF($AE70&lt;=1200,IF(INDEX(对接源_01水果!$C$4:$C$1203,$AE70)=0,"",INDEX(对接源_01水果!$C$4:$C$1203,$AE70)),IF(INDEX(对接源_02物料!$C$4:$C$1203,$AE70-1200)=0,"",INDEX(对接源_02物料!$C$4:$C$1203,$AE70-1200))))</f>
      </c>
      <c r="F70" s="61">
        <f>IF($AE70="","",IF($AE70&lt;=1200,IF(INDEX(对接源_01水果!$W$4:$W$1203,$AE70)=0,"",INDEX(对接源_01水果!$W$4:$W$1203,$AE70)),IF(INDEX(对接源_02物料!$W$4:$W$1203,$AE70-1200)=0,"",INDEX(对接源_02物料!$W$4:$W$1203,$AE70-1200))))</f>
      </c>
      <c r="G70" s="64">
        <f>IF($AE70="","",IF($AE70&lt;=1200,IF(INDEX(对接源_01水果!$D$4:$D$1203,$AE70)=0,"",INDEX(对接源_01水果!$D$4:$D$1203,$AE70)),IF(INDEX(对接源_02物料!$D$4:$D$1203,$AE70-1200)=0,"",INDEX(对接源_02物料!$D$4:$D$1203,$AE70-1200))))</f>
      </c>
      <c r="H70" s="61">
        <f>IF($AE70="","",IF($AE70&lt;=1200,"01水果册","02物料册"))</f>
      </c>
      <c r="I70" s="64">
        <f>IF($AE70="","",IF($AE70&lt;=1200,IF(INDEX(对接源_01水果!$M$4:$M$1203,$AE70)=0,"",INDEX(对接源_01水果!$M$4:$M$1203,$AE70)),IF(INDEX(对接源_02物料!$M$4:$M$1203,$AE70-1200)=0,"",INDEX(对接源_02物料!$M$4:$M$1203,$AE70-1200))))</f>
      </c>
      <c r="AE70" s="2">
        <f>IFERROR(MATCH(65,_自动清单!$W$4:$W$2403,0),"")</f>
      </c>
    </row>
    <row r="71" ht="18" customHeight="1" s="127">
      <c r="A71" s="165">
        <f>IF($AE71="","",IF($AE71&lt;=1200,IF(INDEX(对接源_01水果!$B$4:$B$1203,$AE71)=0,"",INDEX(对接源_01水果!$B$4:$B$1203,$AE71)),IF(INDEX(对接源_02物料!$B$4:$B$1203,$AE71-1200)=0,"",INDEX(对接源_02物料!$B$4:$B$1203,$AE71-1200))))</f>
      </c>
      <c r="B71" s="107">
        <f>IF($AE71="","",IF($AE71&lt;=1200,IF(INDEX(对接源_01水果!$S$4:$S$1203,$AE71)=0,"",INDEX(对接源_01水果!$S$4:$S$1203,$AE71)),IF(INDEX(对接源_02物料!$S$4:$S$1203,$AE71-1200)=0,"",INDEX(对接源_02物料!$S$4:$S$1203,$AE71-1200))))</f>
      </c>
      <c r="C71" s="104">
        <f>IF($AE71="","",IF($AE71&lt;=1200,IF(INDEX(对接源_01水果!$E$4:$E$1203,$AE71)=0,"",INDEX(对接源_01水果!$E$4:$E$1203,$AE71)),IF(INDEX(对接源_02物料!$E$4:$E$1203,$AE71-1200)=0,"",INDEX(对接源_02物料!$E$4:$E$1203,$AE71-1200))))</f>
      </c>
      <c r="D71" s="166">
        <f>IF($AE71="","",IF($AE71&lt;=1200,IF(INDEX(对接源_01水果!$V$4:$V$1203,$AE71)=0,"",INDEX(对接源_01水果!$V$4:$V$1203,$AE71)),IF(INDEX(对接源_02物料!$V$4:$V$1203,$AE71-1200)=0,"",INDEX(对接源_02物料!$V$4:$V$1203,$AE71-1200))))</f>
      </c>
      <c r="E71" s="107">
        <f>IF($AE71="","",IF($AE71&lt;=1200,IF(INDEX(对接源_01水果!$C$4:$C$1203,$AE71)=0,"",INDEX(对接源_01水果!$C$4:$C$1203,$AE71)),IF(INDEX(对接源_02物料!$C$4:$C$1203,$AE71-1200)=0,"",INDEX(对接源_02物料!$C$4:$C$1203,$AE71-1200))))</f>
      </c>
      <c r="F71" s="104">
        <f>IF($AE71="","",IF($AE71&lt;=1200,IF(INDEX(对接源_01水果!$W$4:$W$1203,$AE71)=0,"",INDEX(对接源_01水果!$W$4:$W$1203,$AE71)),IF(INDEX(对接源_02物料!$W$4:$W$1203,$AE71-1200)=0,"",INDEX(对接源_02物料!$W$4:$W$1203,$AE71-1200))))</f>
      </c>
      <c r="G71" s="107">
        <f>IF($AE71="","",IF($AE71&lt;=1200,IF(INDEX(对接源_01水果!$D$4:$D$1203,$AE71)=0,"",INDEX(对接源_01水果!$D$4:$D$1203,$AE71)),IF(INDEX(对接源_02物料!$D$4:$D$1203,$AE71-1200)=0,"",INDEX(对接源_02物料!$D$4:$D$1203,$AE71-1200))))</f>
      </c>
      <c r="H71" s="104">
        <f>IF($AE71="","",IF($AE71&lt;=1200,"01水果册","02物料册"))</f>
      </c>
      <c r="I71" s="107">
        <f>IF($AE71="","",IF($AE71&lt;=1200,IF(INDEX(对接源_01水果!$M$4:$M$1203,$AE71)=0,"",INDEX(对接源_01水果!$M$4:$M$1203,$AE71)),IF(INDEX(对接源_02物料!$M$4:$M$1203,$AE71-1200)=0,"",INDEX(对接源_02物料!$M$4:$M$1203,$AE71-1200))))</f>
      </c>
      <c r="AE71" s="2">
        <f>IFERROR(MATCH(66,_自动清单!$W$4:$W$2403,0),"")</f>
      </c>
    </row>
    <row r="72" ht="18" customHeight="1" s="127">
      <c r="A72" s="163">
        <f>IF($AE72="","",IF($AE72&lt;=1200,IF(INDEX(对接源_01水果!$B$4:$B$1203,$AE72)=0,"",INDEX(对接源_01水果!$B$4:$B$1203,$AE72)),IF(INDEX(对接源_02物料!$B$4:$B$1203,$AE72-1200)=0,"",INDEX(对接源_02物料!$B$4:$B$1203,$AE72-1200))))</f>
      </c>
      <c r="B72" s="64">
        <f>IF($AE72="","",IF($AE72&lt;=1200,IF(INDEX(对接源_01水果!$S$4:$S$1203,$AE72)=0,"",INDEX(对接源_01水果!$S$4:$S$1203,$AE72)),IF(INDEX(对接源_02物料!$S$4:$S$1203,$AE72-1200)=0,"",INDEX(对接源_02物料!$S$4:$S$1203,$AE72-1200))))</f>
      </c>
      <c r="C72" s="61">
        <f>IF($AE72="","",IF($AE72&lt;=1200,IF(INDEX(对接源_01水果!$E$4:$E$1203,$AE72)=0,"",INDEX(对接源_01水果!$E$4:$E$1203,$AE72)),IF(INDEX(对接源_02物料!$E$4:$E$1203,$AE72-1200)=0,"",INDEX(对接源_02物料!$E$4:$E$1203,$AE72-1200))))</f>
      </c>
      <c r="D72" s="164">
        <f>IF($AE72="","",IF($AE72&lt;=1200,IF(INDEX(对接源_01水果!$V$4:$V$1203,$AE72)=0,"",INDEX(对接源_01水果!$V$4:$V$1203,$AE72)),IF(INDEX(对接源_02物料!$V$4:$V$1203,$AE72-1200)=0,"",INDEX(对接源_02物料!$V$4:$V$1203,$AE72-1200))))</f>
      </c>
      <c r="E72" s="64">
        <f>IF($AE72="","",IF($AE72&lt;=1200,IF(INDEX(对接源_01水果!$C$4:$C$1203,$AE72)=0,"",INDEX(对接源_01水果!$C$4:$C$1203,$AE72)),IF(INDEX(对接源_02物料!$C$4:$C$1203,$AE72-1200)=0,"",INDEX(对接源_02物料!$C$4:$C$1203,$AE72-1200))))</f>
      </c>
      <c r="F72" s="61">
        <f>IF($AE72="","",IF($AE72&lt;=1200,IF(INDEX(对接源_01水果!$W$4:$W$1203,$AE72)=0,"",INDEX(对接源_01水果!$W$4:$W$1203,$AE72)),IF(INDEX(对接源_02物料!$W$4:$W$1203,$AE72-1200)=0,"",INDEX(对接源_02物料!$W$4:$W$1203,$AE72-1200))))</f>
      </c>
      <c r="G72" s="64">
        <f>IF($AE72="","",IF($AE72&lt;=1200,IF(INDEX(对接源_01水果!$D$4:$D$1203,$AE72)=0,"",INDEX(对接源_01水果!$D$4:$D$1203,$AE72)),IF(INDEX(对接源_02物料!$D$4:$D$1203,$AE72-1200)=0,"",INDEX(对接源_02物料!$D$4:$D$1203,$AE72-1200))))</f>
      </c>
      <c r="H72" s="61">
        <f>IF($AE72="","",IF($AE72&lt;=1200,"01水果册","02物料册"))</f>
      </c>
      <c r="I72" s="64">
        <f>IF($AE72="","",IF($AE72&lt;=1200,IF(INDEX(对接源_01水果!$M$4:$M$1203,$AE72)=0,"",INDEX(对接源_01水果!$M$4:$M$1203,$AE72)),IF(INDEX(对接源_02物料!$M$4:$M$1203,$AE72-1200)=0,"",INDEX(对接源_02物料!$M$4:$M$1203,$AE72-1200))))</f>
      </c>
      <c r="AE72" s="2">
        <f>IFERROR(MATCH(67,_自动清单!$W$4:$W$2403,0),"")</f>
      </c>
    </row>
    <row r="73" ht="18" customHeight="1" s="127">
      <c r="A73" s="165">
        <f>IF($AE73="","",IF($AE73&lt;=1200,IF(INDEX(对接源_01水果!$B$4:$B$1203,$AE73)=0,"",INDEX(对接源_01水果!$B$4:$B$1203,$AE73)),IF(INDEX(对接源_02物料!$B$4:$B$1203,$AE73-1200)=0,"",INDEX(对接源_02物料!$B$4:$B$1203,$AE73-1200))))</f>
      </c>
      <c r="B73" s="107">
        <f>IF($AE73="","",IF($AE73&lt;=1200,IF(INDEX(对接源_01水果!$S$4:$S$1203,$AE73)=0,"",INDEX(对接源_01水果!$S$4:$S$1203,$AE73)),IF(INDEX(对接源_02物料!$S$4:$S$1203,$AE73-1200)=0,"",INDEX(对接源_02物料!$S$4:$S$1203,$AE73-1200))))</f>
      </c>
      <c r="C73" s="104">
        <f>IF($AE73="","",IF($AE73&lt;=1200,IF(INDEX(对接源_01水果!$E$4:$E$1203,$AE73)=0,"",INDEX(对接源_01水果!$E$4:$E$1203,$AE73)),IF(INDEX(对接源_02物料!$E$4:$E$1203,$AE73-1200)=0,"",INDEX(对接源_02物料!$E$4:$E$1203,$AE73-1200))))</f>
      </c>
      <c r="D73" s="166">
        <f>IF($AE73="","",IF($AE73&lt;=1200,IF(INDEX(对接源_01水果!$V$4:$V$1203,$AE73)=0,"",INDEX(对接源_01水果!$V$4:$V$1203,$AE73)),IF(INDEX(对接源_02物料!$V$4:$V$1203,$AE73-1200)=0,"",INDEX(对接源_02物料!$V$4:$V$1203,$AE73-1200))))</f>
      </c>
      <c r="E73" s="107">
        <f>IF($AE73="","",IF($AE73&lt;=1200,IF(INDEX(对接源_01水果!$C$4:$C$1203,$AE73)=0,"",INDEX(对接源_01水果!$C$4:$C$1203,$AE73)),IF(INDEX(对接源_02物料!$C$4:$C$1203,$AE73-1200)=0,"",INDEX(对接源_02物料!$C$4:$C$1203,$AE73-1200))))</f>
      </c>
      <c r="F73" s="104">
        <f>IF($AE73="","",IF($AE73&lt;=1200,IF(INDEX(对接源_01水果!$W$4:$W$1203,$AE73)=0,"",INDEX(对接源_01水果!$W$4:$W$1203,$AE73)),IF(INDEX(对接源_02物料!$W$4:$W$1203,$AE73-1200)=0,"",INDEX(对接源_02物料!$W$4:$W$1203,$AE73-1200))))</f>
      </c>
      <c r="G73" s="107">
        <f>IF($AE73="","",IF($AE73&lt;=1200,IF(INDEX(对接源_01水果!$D$4:$D$1203,$AE73)=0,"",INDEX(对接源_01水果!$D$4:$D$1203,$AE73)),IF(INDEX(对接源_02物料!$D$4:$D$1203,$AE73-1200)=0,"",INDEX(对接源_02物料!$D$4:$D$1203,$AE73-1200))))</f>
      </c>
      <c r="H73" s="104">
        <f>IF($AE73="","",IF($AE73&lt;=1200,"01水果册","02物料册"))</f>
      </c>
      <c r="I73" s="107">
        <f>IF($AE73="","",IF($AE73&lt;=1200,IF(INDEX(对接源_01水果!$M$4:$M$1203,$AE73)=0,"",INDEX(对接源_01水果!$M$4:$M$1203,$AE73)),IF(INDEX(对接源_02物料!$M$4:$M$1203,$AE73-1200)=0,"",INDEX(对接源_02物料!$M$4:$M$1203,$AE73-1200))))</f>
      </c>
      <c r="AE73" s="2">
        <f>IFERROR(MATCH(68,_自动清单!$W$4:$W$2403,0),"")</f>
      </c>
    </row>
    <row r="74" ht="18" customHeight="1" s="127">
      <c r="A74" s="163">
        <f>IF($AE74="","",IF($AE74&lt;=1200,IF(INDEX(对接源_01水果!$B$4:$B$1203,$AE74)=0,"",INDEX(对接源_01水果!$B$4:$B$1203,$AE74)),IF(INDEX(对接源_02物料!$B$4:$B$1203,$AE74-1200)=0,"",INDEX(对接源_02物料!$B$4:$B$1203,$AE74-1200))))</f>
      </c>
      <c r="B74" s="64">
        <f>IF($AE74="","",IF($AE74&lt;=1200,IF(INDEX(对接源_01水果!$S$4:$S$1203,$AE74)=0,"",INDEX(对接源_01水果!$S$4:$S$1203,$AE74)),IF(INDEX(对接源_02物料!$S$4:$S$1203,$AE74-1200)=0,"",INDEX(对接源_02物料!$S$4:$S$1203,$AE74-1200))))</f>
      </c>
      <c r="C74" s="61">
        <f>IF($AE74="","",IF($AE74&lt;=1200,IF(INDEX(对接源_01水果!$E$4:$E$1203,$AE74)=0,"",INDEX(对接源_01水果!$E$4:$E$1203,$AE74)),IF(INDEX(对接源_02物料!$E$4:$E$1203,$AE74-1200)=0,"",INDEX(对接源_02物料!$E$4:$E$1203,$AE74-1200))))</f>
      </c>
      <c r="D74" s="164">
        <f>IF($AE74="","",IF($AE74&lt;=1200,IF(INDEX(对接源_01水果!$V$4:$V$1203,$AE74)=0,"",INDEX(对接源_01水果!$V$4:$V$1203,$AE74)),IF(INDEX(对接源_02物料!$V$4:$V$1203,$AE74-1200)=0,"",INDEX(对接源_02物料!$V$4:$V$1203,$AE74-1200))))</f>
      </c>
      <c r="E74" s="64">
        <f>IF($AE74="","",IF($AE74&lt;=1200,IF(INDEX(对接源_01水果!$C$4:$C$1203,$AE74)=0,"",INDEX(对接源_01水果!$C$4:$C$1203,$AE74)),IF(INDEX(对接源_02物料!$C$4:$C$1203,$AE74-1200)=0,"",INDEX(对接源_02物料!$C$4:$C$1203,$AE74-1200))))</f>
      </c>
      <c r="F74" s="61">
        <f>IF($AE74="","",IF($AE74&lt;=1200,IF(INDEX(对接源_01水果!$W$4:$W$1203,$AE74)=0,"",INDEX(对接源_01水果!$W$4:$W$1203,$AE74)),IF(INDEX(对接源_02物料!$W$4:$W$1203,$AE74-1200)=0,"",INDEX(对接源_02物料!$W$4:$W$1203,$AE74-1200))))</f>
      </c>
      <c r="G74" s="64">
        <f>IF($AE74="","",IF($AE74&lt;=1200,IF(INDEX(对接源_01水果!$D$4:$D$1203,$AE74)=0,"",INDEX(对接源_01水果!$D$4:$D$1203,$AE74)),IF(INDEX(对接源_02物料!$D$4:$D$1203,$AE74-1200)=0,"",INDEX(对接源_02物料!$D$4:$D$1203,$AE74-1200))))</f>
      </c>
      <c r="H74" s="61">
        <f>IF($AE74="","",IF($AE74&lt;=1200,"01水果册","02物料册"))</f>
      </c>
      <c r="I74" s="64">
        <f>IF($AE74="","",IF($AE74&lt;=1200,IF(INDEX(对接源_01水果!$M$4:$M$1203,$AE74)=0,"",INDEX(对接源_01水果!$M$4:$M$1203,$AE74)),IF(INDEX(对接源_02物料!$M$4:$M$1203,$AE74-1200)=0,"",INDEX(对接源_02物料!$M$4:$M$1203,$AE74-1200))))</f>
      </c>
      <c r="AE74" s="2">
        <f>IFERROR(MATCH(69,_自动清单!$W$4:$W$2403,0),"")</f>
      </c>
    </row>
    <row r="75" ht="18" customHeight="1" s="127">
      <c r="A75" s="165">
        <f>IF($AE75="","",IF($AE75&lt;=1200,IF(INDEX(对接源_01水果!$B$4:$B$1203,$AE75)=0,"",INDEX(对接源_01水果!$B$4:$B$1203,$AE75)),IF(INDEX(对接源_02物料!$B$4:$B$1203,$AE75-1200)=0,"",INDEX(对接源_02物料!$B$4:$B$1203,$AE75-1200))))</f>
      </c>
      <c r="B75" s="107">
        <f>IF($AE75="","",IF($AE75&lt;=1200,IF(INDEX(对接源_01水果!$S$4:$S$1203,$AE75)=0,"",INDEX(对接源_01水果!$S$4:$S$1203,$AE75)),IF(INDEX(对接源_02物料!$S$4:$S$1203,$AE75-1200)=0,"",INDEX(对接源_02物料!$S$4:$S$1203,$AE75-1200))))</f>
      </c>
      <c r="C75" s="104">
        <f>IF($AE75="","",IF($AE75&lt;=1200,IF(INDEX(对接源_01水果!$E$4:$E$1203,$AE75)=0,"",INDEX(对接源_01水果!$E$4:$E$1203,$AE75)),IF(INDEX(对接源_02物料!$E$4:$E$1203,$AE75-1200)=0,"",INDEX(对接源_02物料!$E$4:$E$1203,$AE75-1200))))</f>
      </c>
      <c r="D75" s="166">
        <f>IF($AE75="","",IF($AE75&lt;=1200,IF(INDEX(对接源_01水果!$V$4:$V$1203,$AE75)=0,"",INDEX(对接源_01水果!$V$4:$V$1203,$AE75)),IF(INDEX(对接源_02物料!$V$4:$V$1203,$AE75-1200)=0,"",INDEX(对接源_02物料!$V$4:$V$1203,$AE75-1200))))</f>
      </c>
      <c r="E75" s="107">
        <f>IF($AE75="","",IF($AE75&lt;=1200,IF(INDEX(对接源_01水果!$C$4:$C$1203,$AE75)=0,"",INDEX(对接源_01水果!$C$4:$C$1203,$AE75)),IF(INDEX(对接源_02物料!$C$4:$C$1203,$AE75-1200)=0,"",INDEX(对接源_02物料!$C$4:$C$1203,$AE75-1200))))</f>
      </c>
      <c r="F75" s="104">
        <f>IF($AE75="","",IF($AE75&lt;=1200,IF(INDEX(对接源_01水果!$W$4:$W$1203,$AE75)=0,"",INDEX(对接源_01水果!$W$4:$W$1203,$AE75)),IF(INDEX(对接源_02物料!$W$4:$W$1203,$AE75-1200)=0,"",INDEX(对接源_02物料!$W$4:$W$1203,$AE75-1200))))</f>
      </c>
      <c r="G75" s="107">
        <f>IF($AE75="","",IF($AE75&lt;=1200,IF(INDEX(对接源_01水果!$D$4:$D$1203,$AE75)=0,"",INDEX(对接源_01水果!$D$4:$D$1203,$AE75)),IF(INDEX(对接源_02物料!$D$4:$D$1203,$AE75-1200)=0,"",INDEX(对接源_02物料!$D$4:$D$1203,$AE75-1200))))</f>
      </c>
      <c r="H75" s="104">
        <f>IF($AE75="","",IF($AE75&lt;=1200,"01水果册","02物料册"))</f>
      </c>
      <c r="I75" s="107">
        <f>IF($AE75="","",IF($AE75&lt;=1200,IF(INDEX(对接源_01水果!$M$4:$M$1203,$AE75)=0,"",INDEX(对接源_01水果!$M$4:$M$1203,$AE75)),IF(INDEX(对接源_02物料!$M$4:$M$1203,$AE75-1200)=0,"",INDEX(对接源_02物料!$M$4:$M$1203,$AE75-1200))))</f>
      </c>
      <c r="AE75" s="2">
        <f>IFERROR(MATCH(70,_自动清单!$W$4:$W$2403,0),"")</f>
      </c>
    </row>
    <row r="76" ht="18" customHeight="1" s="127">
      <c r="A76" s="163">
        <f>IF($AE76="","",IF($AE76&lt;=1200,IF(INDEX(对接源_01水果!$B$4:$B$1203,$AE76)=0,"",INDEX(对接源_01水果!$B$4:$B$1203,$AE76)),IF(INDEX(对接源_02物料!$B$4:$B$1203,$AE76-1200)=0,"",INDEX(对接源_02物料!$B$4:$B$1203,$AE76-1200))))</f>
      </c>
      <c r="B76" s="64">
        <f>IF($AE76="","",IF($AE76&lt;=1200,IF(INDEX(对接源_01水果!$S$4:$S$1203,$AE76)=0,"",INDEX(对接源_01水果!$S$4:$S$1203,$AE76)),IF(INDEX(对接源_02物料!$S$4:$S$1203,$AE76-1200)=0,"",INDEX(对接源_02物料!$S$4:$S$1203,$AE76-1200))))</f>
      </c>
      <c r="C76" s="61">
        <f>IF($AE76="","",IF($AE76&lt;=1200,IF(INDEX(对接源_01水果!$E$4:$E$1203,$AE76)=0,"",INDEX(对接源_01水果!$E$4:$E$1203,$AE76)),IF(INDEX(对接源_02物料!$E$4:$E$1203,$AE76-1200)=0,"",INDEX(对接源_02物料!$E$4:$E$1203,$AE76-1200))))</f>
      </c>
      <c r="D76" s="164">
        <f>IF($AE76="","",IF($AE76&lt;=1200,IF(INDEX(对接源_01水果!$V$4:$V$1203,$AE76)=0,"",INDEX(对接源_01水果!$V$4:$V$1203,$AE76)),IF(INDEX(对接源_02物料!$V$4:$V$1203,$AE76-1200)=0,"",INDEX(对接源_02物料!$V$4:$V$1203,$AE76-1200))))</f>
      </c>
      <c r="E76" s="64">
        <f>IF($AE76="","",IF($AE76&lt;=1200,IF(INDEX(对接源_01水果!$C$4:$C$1203,$AE76)=0,"",INDEX(对接源_01水果!$C$4:$C$1203,$AE76)),IF(INDEX(对接源_02物料!$C$4:$C$1203,$AE76-1200)=0,"",INDEX(对接源_02物料!$C$4:$C$1203,$AE76-1200))))</f>
      </c>
      <c r="F76" s="61">
        <f>IF($AE76="","",IF($AE76&lt;=1200,IF(INDEX(对接源_01水果!$W$4:$W$1203,$AE76)=0,"",INDEX(对接源_01水果!$W$4:$W$1203,$AE76)),IF(INDEX(对接源_02物料!$W$4:$W$1203,$AE76-1200)=0,"",INDEX(对接源_02物料!$W$4:$W$1203,$AE76-1200))))</f>
      </c>
      <c r="G76" s="64">
        <f>IF($AE76="","",IF($AE76&lt;=1200,IF(INDEX(对接源_01水果!$D$4:$D$1203,$AE76)=0,"",INDEX(对接源_01水果!$D$4:$D$1203,$AE76)),IF(INDEX(对接源_02物料!$D$4:$D$1203,$AE76-1200)=0,"",INDEX(对接源_02物料!$D$4:$D$1203,$AE76-1200))))</f>
      </c>
      <c r="H76" s="61">
        <f>IF($AE76="","",IF($AE76&lt;=1200,"01水果册","02物料册"))</f>
      </c>
      <c r="I76" s="64">
        <f>IF($AE76="","",IF($AE76&lt;=1200,IF(INDEX(对接源_01水果!$M$4:$M$1203,$AE76)=0,"",INDEX(对接源_01水果!$M$4:$M$1203,$AE76)),IF(INDEX(对接源_02物料!$M$4:$M$1203,$AE76-1200)=0,"",INDEX(对接源_02物料!$M$4:$M$1203,$AE76-1200))))</f>
      </c>
      <c r="AE76" s="2">
        <f>IFERROR(MATCH(71,_自动清单!$W$4:$W$2403,0),"")</f>
      </c>
    </row>
    <row r="77" ht="18" customHeight="1" s="127">
      <c r="A77" s="165">
        <f>IF($AE77="","",IF($AE77&lt;=1200,IF(INDEX(对接源_01水果!$B$4:$B$1203,$AE77)=0,"",INDEX(对接源_01水果!$B$4:$B$1203,$AE77)),IF(INDEX(对接源_02物料!$B$4:$B$1203,$AE77-1200)=0,"",INDEX(对接源_02物料!$B$4:$B$1203,$AE77-1200))))</f>
      </c>
      <c r="B77" s="107">
        <f>IF($AE77="","",IF($AE77&lt;=1200,IF(INDEX(对接源_01水果!$S$4:$S$1203,$AE77)=0,"",INDEX(对接源_01水果!$S$4:$S$1203,$AE77)),IF(INDEX(对接源_02物料!$S$4:$S$1203,$AE77-1200)=0,"",INDEX(对接源_02物料!$S$4:$S$1203,$AE77-1200))))</f>
      </c>
      <c r="C77" s="104">
        <f>IF($AE77="","",IF($AE77&lt;=1200,IF(INDEX(对接源_01水果!$E$4:$E$1203,$AE77)=0,"",INDEX(对接源_01水果!$E$4:$E$1203,$AE77)),IF(INDEX(对接源_02物料!$E$4:$E$1203,$AE77-1200)=0,"",INDEX(对接源_02物料!$E$4:$E$1203,$AE77-1200))))</f>
      </c>
      <c r="D77" s="166">
        <f>IF($AE77="","",IF($AE77&lt;=1200,IF(INDEX(对接源_01水果!$V$4:$V$1203,$AE77)=0,"",INDEX(对接源_01水果!$V$4:$V$1203,$AE77)),IF(INDEX(对接源_02物料!$V$4:$V$1203,$AE77-1200)=0,"",INDEX(对接源_02物料!$V$4:$V$1203,$AE77-1200))))</f>
      </c>
      <c r="E77" s="107">
        <f>IF($AE77="","",IF($AE77&lt;=1200,IF(INDEX(对接源_01水果!$C$4:$C$1203,$AE77)=0,"",INDEX(对接源_01水果!$C$4:$C$1203,$AE77)),IF(INDEX(对接源_02物料!$C$4:$C$1203,$AE77-1200)=0,"",INDEX(对接源_02物料!$C$4:$C$1203,$AE77-1200))))</f>
      </c>
      <c r="F77" s="104">
        <f>IF($AE77="","",IF($AE77&lt;=1200,IF(INDEX(对接源_01水果!$W$4:$W$1203,$AE77)=0,"",INDEX(对接源_01水果!$W$4:$W$1203,$AE77)),IF(INDEX(对接源_02物料!$W$4:$W$1203,$AE77-1200)=0,"",INDEX(对接源_02物料!$W$4:$W$1203,$AE77-1200))))</f>
      </c>
      <c r="G77" s="107">
        <f>IF($AE77="","",IF($AE77&lt;=1200,IF(INDEX(对接源_01水果!$D$4:$D$1203,$AE77)=0,"",INDEX(对接源_01水果!$D$4:$D$1203,$AE77)),IF(INDEX(对接源_02物料!$D$4:$D$1203,$AE77-1200)=0,"",INDEX(对接源_02物料!$D$4:$D$1203,$AE77-1200))))</f>
      </c>
      <c r="H77" s="104">
        <f>IF($AE77="","",IF($AE77&lt;=1200,"01水果册","02物料册"))</f>
      </c>
      <c r="I77" s="107">
        <f>IF($AE77="","",IF($AE77&lt;=1200,IF(INDEX(对接源_01水果!$M$4:$M$1203,$AE77)=0,"",INDEX(对接源_01水果!$M$4:$M$1203,$AE77)),IF(INDEX(对接源_02物料!$M$4:$M$1203,$AE77-1200)=0,"",INDEX(对接源_02物料!$M$4:$M$1203,$AE77-1200))))</f>
      </c>
      <c r="AE77" s="2">
        <f>IFERROR(MATCH(72,_自动清单!$W$4:$W$2403,0),"")</f>
      </c>
    </row>
    <row r="78" ht="18" customHeight="1" s="127">
      <c r="A78" s="163">
        <f>IF($AE78="","",IF($AE78&lt;=1200,IF(INDEX(对接源_01水果!$B$4:$B$1203,$AE78)=0,"",INDEX(对接源_01水果!$B$4:$B$1203,$AE78)),IF(INDEX(对接源_02物料!$B$4:$B$1203,$AE78-1200)=0,"",INDEX(对接源_02物料!$B$4:$B$1203,$AE78-1200))))</f>
      </c>
      <c r="B78" s="64">
        <f>IF($AE78="","",IF($AE78&lt;=1200,IF(INDEX(对接源_01水果!$S$4:$S$1203,$AE78)=0,"",INDEX(对接源_01水果!$S$4:$S$1203,$AE78)),IF(INDEX(对接源_02物料!$S$4:$S$1203,$AE78-1200)=0,"",INDEX(对接源_02物料!$S$4:$S$1203,$AE78-1200))))</f>
      </c>
      <c r="C78" s="61">
        <f>IF($AE78="","",IF($AE78&lt;=1200,IF(INDEX(对接源_01水果!$E$4:$E$1203,$AE78)=0,"",INDEX(对接源_01水果!$E$4:$E$1203,$AE78)),IF(INDEX(对接源_02物料!$E$4:$E$1203,$AE78-1200)=0,"",INDEX(对接源_02物料!$E$4:$E$1203,$AE78-1200))))</f>
      </c>
      <c r="D78" s="164">
        <f>IF($AE78="","",IF($AE78&lt;=1200,IF(INDEX(对接源_01水果!$V$4:$V$1203,$AE78)=0,"",INDEX(对接源_01水果!$V$4:$V$1203,$AE78)),IF(INDEX(对接源_02物料!$V$4:$V$1203,$AE78-1200)=0,"",INDEX(对接源_02物料!$V$4:$V$1203,$AE78-1200))))</f>
      </c>
      <c r="E78" s="64">
        <f>IF($AE78="","",IF($AE78&lt;=1200,IF(INDEX(对接源_01水果!$C$4:$C$1203,$AE78)=0,"",INDEX(对接源_01水果!$C$4:$C$1203,$AE78)),IF(INDEX(对接源_02物料!$C$4:$C$1203,$AE78-1200)=0,"",INDEX(对接源_02物料!$C$4:$C$1203,$AE78-1200))))</f>
      </c>
      <c r="F78" s="61">
        <f>IF($AE78="","",IF($AE78&lt;=1200,IF(INDEX(对接源_01水果!$W$4:$W$1203,$AE78)=0,"",INDEX(对接源_01水果!$W$4:$W$1203,$AE78)),IF(INDEX(对接源_02物料!$W$4:$W$1203,$AE78-1200)=0,"",INDEX(对接源_02物料!$W$4:$W$1203,$AE78-1200))))</f>
      </c>
      <c r="G78" s="64">
        <f>IF($AE78="","",IF($AE78&lt;=1200,IF(INDEX(对接源_01水果!$D$4:$D$1203,$AE78)=0,"",INDEX(对接源_01水果!$D$4:$D$1203,$AE78)),IF(INDEX(对接源_02物料!$D$4:$D$1203,$AE78-1200)=0,"",INDEX(对接源_02物料!$D$4:$D$1203,$AE78-1200))))</f>
      </c>
      <c r="H78" s="61">
        <f>IF($AE78="","",IF($AE78&lt;=1200,"01水果册","02物料册"))</f>
      </c>
      <c r="I78" s="64">
        <f>IF($AE78="","",IF($AE78&lt;=1200,IF(INDEX(对接源_01水果!$M$4:$M$1203,$AE78)=0,"",INDEX(对接源_01水果!$M$4:$M$1203,$AE78)),IF(INDEX(对接源_02物料!$M$4:$M$1203,$AE78-1200)=0,"",INDEX(对接源_02物料!$M$4:$M$1203,$AE78-1200))))</f>
      </c>
      <c r="AE78" s="2">
        <f>IFERROR(MATCH(73,_自动清单!$W$4:$W$2403,0),"")</f>
      </c>
    </row>
    <row r="79" ht="18" customHeight="1" s="127">
      <c r="A79" s="165">
        <f>IF($AE79="","",IF($AE79&lt;=1200,IF(INDEX(对接源_01水果!$B$4:$B$1203,$AE79)=0,"",INDEX(对接源_01水果!$B$4:$B$1203,$AE79)),IF(INDEX(对接源_02物料!$B$4:$B$1203,$AE79-1200)=0,"",INDEX(对接源_02物料!$B$4:$B$1203,$AE79-1200))))</f>
      </c>
      <c r="B79" s="107">
        <f>IF($AE79="","",IF($AE79&lt;=1200,IF(INDEX(对接源_01水果!$S$4:$S$1203,$AE79)=0,"",INDEX(对接源_01水果!$S$4:$S$1203,$AE79)),IF(INDEX(对接源_02物料!$S$4:$S$1203,$AE79-1200)=0,"",INDEX(对接源_02物料!$S$4:$S$1203,$AE79-1200))))</f>
      </c>
      <c r="C79" s="104">
        <f>IF($AE79="","",IF($AE79&lt;=1200,IF(INDEX(对接源_01水果!$E$4:$E$1203,$AE79)=0,"",INDEX(对接源_01水果!$E$4:$E$1203,$AE79)),IF(INDEX(对接源_02物料!$E$4:$E$1203,$AE79-1200)=0,"",INDEX(对接源_02物料!$E$4:$E$1203,$AE79-1200))))</f>
      </c>
      <c r="D79" s="166">
        <f>IF($AE79="","",IF($AE79&lt;=1200,IF(INDEX(对接源_01水果!$V$4:$V$1203,$AE79)=0,"",INDEX(对接源_01水果!$V$4:$V$1203,$AE79)),IF(INDEX(对接源_02物料!$V$4:$V$1203,$AE79-1200)=0,"",INDEX(对接源_02物料!$V$4:$V$1203,$AE79-1200))))</f>
      </c>
      <c r="E79" s="107">
        <f>IF($AE79="","",IF($AE79&lt;=1200,IF(INDEX(对接源_01水果!$C$4:$C$1203,$AE79)=0,"",INDEX(对接源_01水果!$C$4:$C$1203,$AE79)),IF(INDEX(对接源_02物料!$C$4:$C$1203,$AE79-1200)=0,"",INDEX(对接源_02物料!$C$4:$C$1203,$AE79-1200))))</f>
      </c>
      <c r="F79" s="104">
        <f>IF($AE79="","",IF($AE79&lt;=1200,IF(INDEX(对接源_01水果!$W$4:$W$1203,$AE79)=0,"",INDEX(对接源_01水果!$W$4:$W$1203,$AE79)),IF(INDEX(对接源_02物料!$W$4:$W$1203,$AE79-1200)=0,"",INDEX(对接源_02物料!$W$4:$W$1203,$AE79-1200))))</f>
      </c>
      <c r="G79" s="107">
        <f>IF($AE79="","",IF($AE79&lt;=1200,IF(INDEX(对接源_01水果!$D$4:$D$1203,$AE79)=0,"",INDEX(对接源_01水果!$D$4:$D$1203,$AE79)),IF(INDEX(对接源_02物料!$D$4:$D$1203,$AE79-1200)=0,"",INDEX(对接源_02物料!$D$4:$D$1203,$AE79-1200))))</f>
      </c>
      <c r="H79" s="104">
        <f>IF($AE79="","",IF($AE79&lt;=1200,"01水果册","02物料册"))</f>
      </c>
      <c r="I79" s="107">
        <f>IF($AE79="","",IF($AE79&lt;=1200,IF(INDEX(对接源_01水果!$M$4:$M$1203,$AE79)=0,"",INDEX(对接源_01水果!$M$4:$M$1203,$AE79)),IF(INDEX(对接源_02物料!$M$4:$M$1203,$AE79-1200)=0,"",INDEX(对接源_02物料!$M$4:$M$1203,$AE79-1200))))</f>
      </c>
      <c r="AE79" s="2">
        <f>IFERROR(MATCH(74,_自动清单!$W$4:$W$2403,0),"")</f>
      </c>
    </row>
    <row r="80" ht="18" customHeight="1" s="127">
      <c r="A80" s="163">
        <f>IF($AE80="","",IF($AE80&lt;=1200,IF(INDEX(对接源_01水果!$B$4:$B$1203,$AE80)=0,"",INDEX(对接源_01水果!$B$4:$B$1203,$AE80)),IF(INDEX(对接源_02物料!$B$4:$B$1203,$AE80-1200)=0,"",INDEX(对接源_02物料!$B$4:$B$1203,$AE80-1200))))</f>
      </c>
      <c r="B80" s="64">
        <f>IF($AE80="","",IF($AE80&lt;=1200,IF(INDEX(对接源_01水果!$S$4:$S$1203,$AE80)=0,"",INDEX(对接源_01水果!$S$4:$S$1203,$AE80)),IF(INDEX(对接源_02物料!$S$4:$S$1203,$AE80-1200)=0,"",INDEX(对接源_02物料!$S$4:$S$1203,$AE80-1200))))</f>
      </c>
      <c r="C80" s="61">
        <f>IF($AE80="","",IF($AE80&lt;=1200,IF(INDEX(对接源_01水果!$E$4:$E$1203,$AE80)=0,"",INDEX(对接源_01水果!$E$4:$E$1203,$AE80)),IF(INDEX(对接源_02物料!$E$4:$E$1203,$AE80-1200)=0,"",INDEX(对接源_02物料!$E$4:$E$1203,$AE80-1200))))</f>
      </c>
      <c r="D80" s="164">
        <f>IF($AE80="","",IF($AE80&lt;=1200,IF(INDEX(对接源_01水果!$V$4:$V$1203,$AE80)=0,"",INDEX(对接源_01水果!$V$4:$V$1203,$AE80)),IF(INDEX(对接源_02物料!$V$4:$V$1203,$AE80-1200)=0,"",INDEX(对接源_02物料!$V$4:$V$1203,$AE80-1200))))</f>
      </c>
      <c r="E80" s="64">
        <f>IF($AE80="","",IF($AE80&lt;=1200,IF(INDEX(对接源_01水果!$C$4:$C$1203,$AE80)=0,"",INDEX(对接源_01水果!$C$4:$C$1203,$AE80)),IF(INDEX(对接源_02物料!$C$4:$C$1203,$AE80-1200)=0,"",INDEX(对接源_02物料!$C$4:$C$1203,$AE80-1200))))</f>
      </c>
      <c r="F80" s="61">
        <f>IF($AE80="","",IF($AE80&lt;=1200,IF(INDEX(对接源_01水果!$W$4:$W$1203,$AE80)=0,"",INDEX(对接源_01水果!$W$4:$W$1203,$AE80)),IF(INDEX(对接源_02物料!$W$4:$W$1203,$AE80-1200)=0,"",INDEX(对接源_02物料!$W$4:$W$1203,$AE80-1200))))</f>
      </c>
      <c r="G80" s="64">
        <f>IF($AE80="","",IF($AE80&lt;=1200,IF(INDEX(对接源_01水果!$D$4:$D$1203,$AE80)=0,"",INDEX(对接源_01水果!$D$4:$D$1203,$AE80)),IF(INDEX(对接源_02物料!$D$4:$D$1203,$AE80-1200)=0,"",INDEX(对接源_02物料!$D$4:$D$1203,$AE80-1200))))</f>
      </c>
      <c r="H80" s="61">
        <f>IF($AE80="","",IF($AE80&lt;=1200,"01水果册","02物料册"))</f>
      </c>
      <c r="I80" s="64">
        <f>IF($AE80="","",IF($AE80&lt;=1200,IF(INDEX(对接源_01水果!$M$4:$M$1203,$AE80)=0,"",INDEX(对接源_01水果!$M$4:$M$1203,$AE80)),IF(INDEX(对接源_02物料!$M$4:$M$1203,$AE80-1200)=0,"",INDEX(对接源_02物料!$M$4:$M$1203,$AE80-1200))))</f>
      </c>
      <c r="AE80" s="2">
        <f>IFERROR(MATCH(75,_自动清单!$W$4:$W$2403,0),"")</f>
      </c>
    </row>
    <row r="81" ht="18" customHeight="1" s="127">
      <c r="A81" s="165">
        <f>IF($AE81="","",IF($AE81&lt;=1200,IF(INDEX(对接源_01水果!$B$4:$B$1203,$AE81)=0,"",INDEX(对接源_01水果!$B$4:$B$1203,$AE81)),IF(INDEX(对接源_02物料!$B$4:$B$1203,$AE81-1200)=0,"",INDEX(对接源_02物料!$B$4:$B$1203,$AE81-1200))))</f>
      </c>
      <c r="B81" s="107">
        <f>IF($AE81="","",IF($AE81&lt;=1200,IF(INDEX(对接源_01水果!$S$4:$S$1203,$AE81)=0,"",INDEX(对接源_01水果!$S$4:$S$1203,$AE81)),IF(INDEX(对接源_02物料!$S$4:$S$1203,$AE81-1200)=0,"",INDEX(对接源_02物料!$S$4:$S$1203,$AE81-1200))))</f>
      </c>
      <c r="C81" s="104">
        <f>IF($AE81="","",IF($AE81&lt;=1200,IF(INDEX(对接源_01水果!$E$4:$E$1203,$AE81)=0,"",INDEX(对接源_01水果!$E$4:$E$1203,$AE81)),IF(INDEX(对接源_02物料!$E$4:$E$1203,$AE81-1200)=0,"",INDEX(对接源_02物料!$E$4:$E$1203,$AE81-1200))))</f>
      </c>
      <c r="D81" s="166">
        <f>IF($AE81="","",IF($AE81&lt;=1200,IF(INDEX(对接源_01水果!$V$4:$V$1203,$AE81)=0,"",INDEX(对接源_01水果!$V$4:$V$1203,$AE81)),IF(INDEX(对接源_02物料!$V$4:$V$1203,$AE81-1200)=0,"",INDEX(对接源_02物料!$V$4:$V$1203,$AE81-1200))))</f>
      </c>
      <c r="E81" s="107">
        <f>IF($AE81="","",IF($AE81&lt;=1200,IF(INDEX(对接源_01水果!$C$4:$C$1203,$AE81)=0,"",INDEX(对接源_01水果!$C$4:$C$1203,$AE81)),IF(INDEX(对接源_02物料!$C$4:$C$1203,$AE81-1200)=0,"",INDEX(对接源_02物料!$C$4:$C$1203,$AE81-1200))))</f>
      </c>
      <c r="F81" s="104">
        <f>IF($AE81="","",IF($AE81&lt;=1200,IF(INDEX(对接源_01水果!$W$4:$W$1203,$AE81)=0,"",INDEX(对接源_01水果!$W$4:$W$1203,$AE81)),IF(INDEX(对接源_02物料!$W$4:$W$1203,$AE81-1200)=0,"",INDEX(对接源_02物料!$W$4:$W$1203,$AE81-1200))))</f>
      </c>
      <c r="G81" s="107">
        <f>IF($AE81="","",IF($AE81&lt;=1200,IF(INDEX(对接源_01水果!$D$4:$D$1203,$AE81)=0,"",INDEX(对接源_01水果!$D$4:$D$1203,$AE81)),IF(INDEX(对接源_02物料!$D$4:$D$1203,$AE81-1200)=0,"",INDEX(对接源_02物料!$D$4:$D$1203,$AE81-1200))))</f>
      </c>
      <c r="H81" s="104">
        <f>IF($AE81="","",IF($AE81&lt;=1200,"01水果册","02物料册"))</f>
      </c>
      <c r="I81" s="107">
        <f>IF($AE81="","",IF($AE81&lt;=1200,IF(INDEX(对接源_01水果!$M$4:$M$1203,$AE81)=0,"",INDEX(对接源_01水果!$M$4:$M$1203,$AE81)),IF(INDEX(对接源_02物料!$M$4:$M$1203,$AE81-1200)=0,"",INDEX(对接源_02物料!$M$4:$M$1203,$AE81-1200))))</f>
      </c>
      <c r="AE81" s="2">
        <f>IFERROR(MATCH(76,_自动清单!$W$4:$W$2403,0),"")</f>
      </c>
    </row>
    <row r="82" ht="18" customHeight="1" s="127">
      <c r="A82" s="163">
        <f>IF($AE82="","",IF($AE82&lt;=1200,IF(INDEX(对接源_01水果!$B$4:$B$1203,$AE82)=0,"",INDEX(对接源_01水果!$B$4:$B$1203,$AE82)),IF(INDEX(对接源_02物料!$B$4:$B$1203,$AE82-1200)=0,"",INDEX(对接源_02物料!$B$4:$B$1203,$AE82-1200))))</f>
      </c>
      <c r="B82" s="64">
        <f>IF($AE82="","",IF($AE82&lt;=1200,IF(INDEX(对接源_01水果!$S$4:$S$1203,$AE82)=0,"",INDEX(对接源_01水果!$S$4:$S$1203,$AE82)),IF(INDEX(对接源_02物料!$S$4:$S$1203,$AE82-1200)=0,"",INDEX(对接源_02物料!$S$4:$S$1203,$AE82-1200))))</f>
      </c>
      <c r="C82" s="61">
        <f>IF($AE82="","",IF($AE82&lt;=1200,IF(INDEX(对接源_01水果!$E$4:$E$1203,$AE82)=0,"",INDEX(对接源_01水果!$E$4:$E$1203,$AE82)),IF(INDEX(对接源_02物料!$E$4:$E$1203,$AE82-1200)=0,"",INDEX(对接源_02物料!$E$4:$E$1203,$AE82-1200))))</f>
      </c>
      <c r="D82" s="164">
        <f>IF($AE82="","",IF($AE82&lt;=1200,IF(INDEX(对接源_01水果!$V$4:$V$1203,$AE82)=0,"",INDEX(对接源_01水果!$V$4:$V$1203,$AE82)),IF(INDEX(对接源_02物料!$V$4:$V$1203,$AE82-1200)=0,"",INDEX(对接源_02物料!$V$4:$V$1203,$AE82-1200))))</f>
      </c>
      <c r="E82" s="64">
        <f>IF($AE82="","",IF($AE82&lt;=1200,IF(INDEX(对接源_01水果!$C$4:$C$1203,$AE82)=0,"",INDEX(对接源_01水果!$C$4:$C$1203,$AE82)),IF(INDEX(对接源_02物料!$C$4:$C$1203,$AE82-1200)=0,"",INDEX(对接源_02物料!$C$4:$C$1203,$AE82-1200))))</f>
      </c>
      <c r="F82" s="61">
        <f>IF($AE82="","",IF($AE82&lt;=1200,IF(INDEX(对接源_01水果!$W$4:$W$1203,$AE82)=0,"",INDEX(对接源_01水果!$W$4:$W$1203,$AE82)),IF(INDEX(对接源_02物料!$W$4:$W$1203,$AE82-1200)=0,"",INDEX(对接源_02物料!$W$4:$W$1203,$AE82-1200))))</f>
      </c>
      <c r="G82" s="64">
        <f>IF($AE82="","",IF($AE82&lt;=1200,IF(INDEX(对接源_01水果!$D$4:$D$1203,$AE82)=0,"",INDEX(对接源_01水果!$D$4:$D$1203,$AE82)),IF(INDEX(对接源_02物料!$D$4:$D$1203,$AE82-1200)=0,"",INDEX(对接源_02物料!$D$4:$D$1203,$AE82-1200))))</f>
      </c>
      <c r="H82" s="61">
        <f>IF($AE82="","",IF($AE82&lt;=1200,"01水果册","02物料册"))</f>
      </c>
      <c r="I82" s="64">
        <f>IF($AE82="","",IF($AE82&lt;=1200,IF(INDEX(对接源_01水果!$M$4:$M$1203,$AE82)=0,"",INDEX(对接源_01水果!$M$4:$M$1203,$AE82)),IF(INDEX(对接源_02物料!$M$4:$M$1203,$AE82-1200)=0,"",INDEX(对接源_02物料!$M$4:$M$1203,$AE82-1200))))</f>
      </c>
      <c r="AE82" s="2">
        <f>IFERROR(MATCH(77,_自动清单!$W$4:$W$2403,0),"")</f>
      </c>
    </row>
    <row r="83" ht="18" customHeight="1" s="127">
      <c r="A83" s="165">
        <f>IF($AE83="","",IF($AE83&lt;=1200,IF(INDEX(对接源_01水果!$B$4:$B$1203,$AE83)=0,"",INDEX(对接源_01水果!$B$4:$B$1203,$AE83)),IF(INDEX(对接源_02物料!$B$4:$B$1203,$AE83-1200)=0,"",INDEX(对接源_02物料!$B$4:$B$1203,$AE83-1200))))</f>
      </c>
      <c r="B83" s="107">
        <f>IF($AE83="","",IF($AE83&lt;=1200,IF(INDEX(对接源_01水果!$S$4:$S$1203,$AE83)=0,"",INDEX(对接源_01水果!$S$4:$S$1203,$AE83)),IF(INDEX(对接源_02物料!$S$4:$S$1203,$AE83-1200)=0,"",INDEX(对接源_02物料!$S$4:$S$1203,$AE83-1200))))</f>
      </c>
      <c r="C83" s="104">
        <f>IF($AE83="","",IF($AE83&lt;=1200,IF(INDEX(对接源_01水果!$E$4:$E$1203,$AE83)=0,"",INDEX(对接源_01水果!$E$4:$E$1203,$AE83)),IF(INDEX(对接源_02物料!$E$4:$E$1203,$AE83-1200)=0,"",INDEX(对接源_02物料!$E$4:$E$1203,$AE83-1200))))</f>
      </c>
      <c r="D83" s="166">
        <f>IF($AE83="","",IF($AE83&lt;=1200,IF(INDEX(对接源_01水果!$V$4:$V$1203,$AE83)=0,"",INDEX(对接源_01水果!$V$4:$V$1203,$AE83)),IF(INDEX(对接源_02物料!$V$4:$V$1203,$AE83-1200)=0,"",INDEX(对接源_02物料!$V$4:$V$1203,$AE83-1200))))</f>
      </c>
      <c r="E83" s="107">
        <f>IF($AE83="","",IF($AE83&lt;=1200,IF(INDEX(对接源_01水果!$C$4:$C$1203,$AE83)=0,"",INDEX(对接源_01水果!$C$4:$C$1203,$AE83)),IF(INDEX(对接源_02物料!$C$4:$C$1203,$AE83-1200)=0,"",INDEX(对接源_02物料!$C$4:$C$1203,$AE83-1200))))</f>
      </c>
      <c r="F83" s="104">
        <f>IF($AE83="","",IF($AE83&lt;=1200,IF(INDEX(对接源_01水果!$W$4:$W$1203,$AE83)=0,"",INDEX(对接源_01水果!$W$4:$W$1203,$AE83)),IF(INDEX(对接源_02物料!$W$4:$W$1203,$AE83-1200)=0,"",INDEX(对接源_02物料!$W$4:$W$1203,$AE83-1200))))</f>
      </c>
      <c r="G83" s="107">
        <f>IF($AE83="","",IF($AE83&lt;=1200,IF(INDEX(对接源_01水果!$D$4:$D$1203,$AE83)=0,"",INDEX(对接源_01水果!$D$4:$D$1203,$AE83)),IF(INDEX(对接源_02物料!$D$4:$D$1203,$AE83-1200)=0,"",INDEX(对接源_02物料!$D$4:$D$1203,$AE83-1200))))</f>
      </c>
      <c r="H83" s="104">
        <f>IF($AE83="","",IF($AE83&lt;=1200,"01水果册","02物料册"))</f>
      </c>
      <c r="I83" s="107">
        <f>IF($AE83="","",IF($AE83&lt;=1200,IF(INDEX(对接源_01水果!$M$4:$M$1203,$AE83)=0,"",INDEX(对接源_01水果!$M$4:$M$1203,$AE83)),IF(INDEX(对接源_02物料!$M$4:$M$1203,$AE83-1200)=0,"",INDEX(对接源_02物料!$M$4:$M$1203,$AE83-1200))))</f>
      </c>
      <c r="AE83" s="2">
        <f>IFERROR(MATCH(78,_自动清单!$W$4:$W$2403,0),"")</f>
      </c>
    </row>
    <row r="84" ht="18" customHeight="1" s="127">
      <c r="A84" s="163">
        <f>IF($AE84="","",IF($AE84&lt;=1200,IF(INDEX(对接源_01水果!$B$4:$B$1203,$AE84)=0,"",INDEX(对接源_01水果!$B$4:$B$1203,$AE84)),IF(INDEX(对接源_02物料!$B$4:$B$1203,$AE84-1200)=0,"",INDEX(对接源_02物料!$B$4:$B$1203,$AE84-1200))))</f>
      </c>
      <c r="B84" s="64">
        <f>IF($AE84="","",IF($AE84&lt;=1200,IF(INDEX(对接源_01水果!$S$4:$S$1203,$AE84)=0,"",INDEX(对接源_01水果!$S$4:$S$1203,$AE84)),IF(INDEX(对接源_02物料!$S$4:$S$1203,$AE84-1200)=0,"",INDEX(对接源_02物料!$S$4:$S$1203,$AE84-1200))))</f>
      </c>
      <c r="C84" s="61">
        <f>IF($AE84="","",IF($AE84&lt;=1200,IF(INDEX(对接源_01水果!$E$4:$E$1203,$AE84)=0,"",INDEX(对接源_01水果!$E$4:$E$1203,$AE84)),IF(INDEX(对接源_02物料!$E$4:$E$1203,$AE84-1200)=0,"",INDEX(对接源_02物料!$E$4:$E$1203,$AE84-1200))))</f>
      </c>
      <c r="D84" s="164">
        <f>IF($AE84="","",IF($AE84&lt;=1200,IF(INDEX(对接源_01水果!$V$4:$V$1203,$AE84)=0,"",INDEX(对接源_01水果!$V$4:$V$1203,$AE84)),IF(INDEX(对接源_02物料!$V$4:$V$1203,$AE84-1200)=0,"",INDEX(对接源_02物料!$V$4:$V$1203,$AE84-1200))))</f>
      </c>
      <c r="E84" s="64">
        <f>IF($AE84="","",IF($AE84&lt;=1200,IF(INDEX(对接源_01水果!$C$4:$C$1203,$AE84)=0,"",INDEX(对接源_01水果!$C$4:$C$1203,$AE84)),IF(INDEX(对接源_02物料!$C$4:$C$1203,$AE84-1200)=0,"",INDEX(对接源_02物料!$C$4:$C$1203,$AE84-1200))))</f>
      </c>
      <c r="F84" s="61">
        <f>IF($AE84="","",IF($AE84&lt;=1200,IF(INDEX(对接源_01水果!$W$4:$W$1203,$AE84)=0,"",INDEX(对接源_01水果!$W$4:$W$1203,$AE84)),IF(INDEX(对接源_02物料!$W$4:$W$1203,$AE84-1200)=0,"",INDEX(对接源_02物料!$W$4:$W$1203,$AE84-1200))))</f>
      </c>
      <c r="G84" s="64">
        <f>IF($AE84="","",IF($AE84&lt;=1200,IF(INDEX(对接源_01水果!$D$4:$D$1203,$AE84)=0,"",INDEX(对接源_01水果!$D$4:$D$1203,$AE84)),IF(INDEX(对接源_02物料!$D$4:$D$1203,$AE84-1200)=0,"",INDEX(对接源_02物料!$D$4:$D$1203,$AE84-1200))))</f>
      </c>
      <c r="H84" s="61">
        <f>IF($AE84="","",IF($AE84&lt;=1200,"01水果册","02物料册"))</f>
      </c>
      <c r="I84" s="64">
        <f>IF($AE84="","",IF($AE84&lt;=1200,IF(INDEX(对接源_01水果!$M$4:$M$1203,$AE84)=0,"",INDEX(对接源_01水果!$M$4:$M$1203,$AE84)),IF(INDEX(对接源_02物料!$M$4:$M$1203,$AE84-1200)=0,"",INDEX(对接源_02物料!$M$4:$M$1203,$AE84-1200))))</f>
      </c>
      <c r="AE84" s="2">
        <f>IFERROR(MATCH(79,_自动清单!$W$4:$W$2403,0),"")</f>
      </c>
    </row>
    <row r="85" ht="18" customHeight="1" s="127">
      <c r="A85" s="165">
        <f>IF($AE85="","",IF($AE85&lt;=1200,IF(INDEX(对接源_01水果!$B$4:$B$1203,$AE85)=0,"",INDEX(对接源_01水果!$B$4:$B$1203,$AE85)),IF(INDEX(对接源_02物料!$B$4:$B$1203,$AE85-1200)=0,"",INDEX(对接源_02物料!$B$4:$B$1203,$AE85-1200))))</f>
      </c>
      <c r="B85" s="107">
        <f>IF($AE85="","",IF($AE85&lt;=1200,IF(INDEX(对接源_01水果!$S$4:$S$1203,$AE85)=0,"",INDEX(对接源_01水果!$S$4:$S$1203,$AE85)),IF(INDEX(对接源_02物料!$S$4:$S$1203,$AE85-1200)=0,"",INDEX(对接源_02物料!$S$4:$S$1203,$AE85-1200))))</f>
      </c>
      <c r="C85" s="104">
        <f>IF($AE85="","",IF($AE85&lt;=1200,IF(INDEX(对接源_01水果!$E$4:$E$1203,$AE85)=0,"",INDEX(对接源_01水果!$E$4:$E$1203,$AE85)),IF(INDEX(对接源_02物料!$E$4:$E$1203,$AE85-1200)=0,"",INDEX(对接源_02物料!$E$4:$E$1203,$AE85-1200))))</f>
      </c>
      <c r="D85" s="166">
        <f>IF($AE85="","",IF($AE85&lt;=1200,IF(INDEX(对接源_01水果!$V$4:$V$1203,$AE85)=0,"",INDEX(对接源_01水果!$V$4:$V$1203,$AE85)),IF(INDEX(对接源_02物料!$V$4:$V$1203,$AE85-1200)=0,"",INDEX(对接源_02物料!$V$4:$V$1203,$AE85-1200))))</f>
      </c>
      <c r="E85" s="107">
        <f>IF($AE85="","",IF($AE85&lt;=1200,IF(INDEX(对接源_01水果!$C$4:$C$1203,$AE85)=0,"",INDEX(对接源_01水果!$C$4:$C$1203,$AE85)),IF(INDEX(对接源_02物料!$C$4:$C$1203,$AE85-1200)=0,"",INDEX(对接源_02物料!$C$4:$C$1203,$AE85-1200))))</f>
      </c>
      <c r="F85" s="104">
        <f>IF($AE85="","",IF($AE85&lt;=1200,IF(INDEX(对接源_01水果!$W$4:$W$1203,$AE85)=0,"",INDEX(对接源_01水果!$W$4:$W$1203,$AE85)),IF(INDEX(对接源_02物料!$W$4:$W$1203,$AE85-1200)=0,"",INDEX(对接源_02物料!$W$4:$W$1203,$AE85-1200))))</f>
      </c>
      <c r="G85" s="107">
        <f>IF($AE85="","",IF($AE85&lt;=1200,IF(INDEX(对接源_01水果!$D$4:$D$1203,$AE85)=0,"",INDEX(对接源_01水果!$D$4:$D$1203,$AE85)),IF(INDEX(对接源_02物料!$D$4:$D$1203,$AE85-1200)=0,"",INDEX(对接源_02物料!$D$4:$D$1203,$AE85-1200))))</f>
      </c>
      <c r="H85" s="104">
        <f>IF($AE85="","",IF($AE85&lt;=1200,"01水果册","02物料册"))</f>
      </c>
      <c r="I85" s="107">
        <f>IF($AE85="","",IF($AE85&lt;=1200,IF(INDEX(对接源_01水果!$M$4:$M$1203,$AE85)=0,"",INDEX(对接源_01水果!$M$4:$M$1203,$AE85)),IF(INDEX(对接源_02物料!$M$4:$M$1203,$AE85-1200)=0,"",INDEX(对接源_02物料!$M$4:$M$1203,$AE85-1200))))</f>
      </c>
      <c r="AE85" s="2">
        <f>IFERROR(MATCH(80,_自动清单!$W$4:$W$2403,0),"")</f>
      </c>
    </row>
    <row r="86" ht="18" customHeight="1" s="127">
      <c r="A86" s="163">
        <f>IF($AE86="","",IF($AE86&lt;=1200,IF(INDEX(对接源_01水果!$B$4:$B$1203,$AE86)=0,"",INDEX(对接源_01水果!$B$4:$B$1203,$AE86)),IF(INDEX(对接源_02物料!$B$4:$B$1203,$AE86-1200)=0,"",INDEX(对接源_02物料!$B$4:$B$1203,$AE86-1200))))</f>
      </c>
      <c r="B86" s="64">
        <f>IF($AE86="","",IF($AE86&lt;=1200,IF(INDEX(对接源_01水果!$S$4:$S$1203,$AE86)=0,"",INDEX(对接源_01水果!$S$4:$S$1203,$AE86)),IF(INDEX(对接源_02物料!$S$4:$S$1203,$AE86-1200)=0,"",INDEX(对接源_02物料!$S$4:$S$1203,$AE86-1200))))</f>
      </c>
      <c r="C86" s="61">
        <f>IF($AE86="","",IF($AE86&lt;=1200,IF(INDEX(对接源_01水果!$E$4:$E$1203,$AE86)=0,"",INDEX(对接源_01水果!$E$4:$E$1203,$AE86)),IF(INDEX(对接源_02物料!$E$4:$E$1203,$AE86-1200)=0,"",INDEX(对接源_02物料!$E$4:$E$1203,$AE86-1200))))</f>
      </c>
      <c r="D86" s="164">
        <f>IF($AE86="","",IF($AE86&lt;=1200,IF(INDEX(对接源_01水果!$V$4:$V$1203,$AE86)=0,"",INDEX(对接源_01水果!$V$4:$V$1203,$AE86)),IF(INDEX(对接源_02物料!$V$4:$V$1203,$AE86-1200)=0,"",INDEX(对接源_02物料!$V$4:$V$1203,$AE86-1200))))</f>
      </c>
      <c r="E86" s="64">
        <f>IF($AE86="","",IF($AE86&lt;=1200,IF(INDEX(对接源_01水果!$C$4:$C$1203,$AE86)=0,"",INDEX(对接源_01水果!$C$4:$C$1203,$AE86)),IF(INDEX(对接源_02物料!$C$4:$C$1203,$AE86-1200)=0,"",INDEX(对接源_02物料!$C$4:$C$1203,$AE86-1200))))</f>
      </c>
      <c r="F86" s="61">
        <f>IF($AE86="","",IF($AE86&lt;=1200,IF(INDEX(对接源_01水果!$W$4:$W$1203,$AE86)=0,"",INDEX(对接源_01水果!$W$4:$W$1203,$AE86)),IF(INDEX(对接源_02物料!$W$4:$W$1203,$AE86-1200)=0,"",INDEX(对接源_02物料!$W$4:$W$1203,$AE86-1200))))</f>
      </c>
      <c r="G86" s="64">
        <f>IF($AE86="","",IF($AE86&lt;=1200,IF(INDEX(对接源_01水果!$D$4:$D$1203,$AE86)=0,"",INDEX(对接源_01水果!$D$4:$D$1203,$AE86)),IF(INDEX(对接源_02物料!$D$4:$D$1203,$AE86-1200)=0,"",INDEX(对接源_02物料!$D$4:$D$1203,$AE86-1200))))</f>
      </c>
      <c r="H86" s="61">
        <f>IF($AE86="","",IF($AE86&lt;=1200,"01水果册","02物料册"))</f>
      </c>
      <c r="I86" s="64">
        <f>IF($AE86="","",IF($AE86&lt;=1200,IF(INDEX(对接源_01水果!$M$4:$M$1203,$AE86)=0,"",INDEX(对接源_01水果!$M$4:$M$1203,$AE86)),IF(INDEX(对接源_02物料!$M$4:$M$1203,$AE86-1200)=0,"",INDEX(对接源_02物料!$M$4:$M$1203,$AE86-1200))))</f>
      </c>
      <c r="AE86" s="2">
        <f>IFERROR(MATCH(81,_自动清单!$W$4:$W$2403,0),"")</f>
      </c>
    </row>
    <row r="87" ht="18" customHeight="1" s="127">
      <c r="A87" s="165">
        <f>IF($AE87="","",IF($AE87&lt;=1200,IF(INDEX(对接源_01水果!$B$4:$B$1203,$AE87)=0,"",INDEX(对接源_01水果!$B$4:$B$1203,$AE87)),IF(INDEX(对接源_02物料!$B$4:$B$1203,$AE87-1200)=0,"",INDEX(对接源_02物料!$B$4:$B$1203,$AE87-1200))))</f>
      </c>
      <c r="B87" s="107">
        <f>IF($AE87="","",IF($AE87&lt;=1200,IF(INDEX(对接源_01水果!$S$4:$S$1203,$AE87)=0,"",INDEX(对接源_01水果!$S$4:$S$1203,$AE87)),IF(INDEX(对接源_02物料!$S$4:$S$1203,$AE87-1200)=0,"",INDEX(对接源_02物料!$S$4:$S$1203,$AE87-1200))))</f>
      </c>
      <c r="C87" s="104">
        <f>IF($AE87="","",IF($AE87&lt;=1200,IF(INDEX(对接源_01水果!$E$4:$E$1203,$AE87)=0,"",INDEX(对接源_01水果!$E$4:$E$1203,$AE87)),IF(INDEX(对接源_02物料!$E$4:$E$1203,$AE87-1200)=0,"",INDEX(对接源_02物料!$E$4:$E$1203,$AE87-1200))))</f>
      </c>
      <c r="D87" s="166">
        <f>IF($AE87="","",IF($AE87&lt;=1200,IF(INDEX(对接源_01水果!$V$4:$V$1203,$AE87)=0,"",INDEX(对接源_01水果!$V$4:$V$1203,$AE87)),IF(INDEX(对接源_02物料!$V$4:$V$1203,$AE87-1200)=0,"",INDEX(对接源_02物料!$V$4:$V$1203,$AE87-1200))))</f>
      </c>
      <c r="E87" s="107">
        <f>IF($AE87="","",IF($AE87&lt;=1200,IF(INDEX(对接源_01水果!$C$4:$C$1203,$AE87)=0,"",INDEX(对接源_01水果!$C$4:$C$1203,$AE87)),IF(INDEX(对接源_02物料!$C$4:$C$1203,$AE87-1200)=0,"",INDEX(对接源_02物料!$C$4:$C$1203,$AE87-1200))))</f>
      </c>
      <c r="F87" s="104">
        <f>IF($AE87="","",IF($AE87&lt;=1200,IF(INDEX(对接源_01水果!$W$4:$W$1203,$AE87)=0,"",INDEX(对接源_01水果!$W$4:$W$1203,$AE87)),IF(INDEX(对接源_02物料!$W$4:$W$1203,$AE87-1200)=0,"",INDEX(对接源_02物料!$W$4:$W$1203,$AE87-1200))))</f>
      </c>
      <c r="G87" s="107">
        <f>IF($AE87="","",IF($AE87&lt;=1200,IF(INDEX(对接源_01水果!$D$4:$D$1203,$AE87)=0,"",INDEX(对接源_01水果!$D$4:$D$1203,$AE87)),IF(INDEX(对接源_02物料!$D$4:$D$1203,$AE87-1200)=0,"",INDEX(对接源_02物料!$D$4:$D$1203,$AE87-1200))))</f>
      </c>
      <c r="H87" s="104">
        <f>IF($AE87="","",IF($AE87&lt;=1200,"01水果册","02物料册"))</f>
      </c>
      <c r="I87" s="107">
        <f>IF($AE87="","",IF($AE87&lt;=1200,IF(INDEX(对接源_01水果!$M$4:$M$1203,$AE87)=0,"",INDEX(对接源_01水果!$M$4:$M$1203,$AE87)),IF(INDEX(对接源_02物料!$M$4:$M$1203,$AE87-1200)=0,"",INDEX(对接源_02物料!$M$4:$M$1203,$AE87-1200))))</f>
      </c>
      <c r="AE87" s="2">
        <f>IFERROR(MATCH(82,_自动清单!$W$4:$W$2403,0),"")</f>
      </c>
    </row>
    <row r="88" ht="18" customHeight="1" s="127">
      <c r="A88" s="163">
        <f>IF($AE88="","",IF($AE88&lt;=1200,IF(INDEX(对接源_01水果!$B$4:$B$1203,$AE88)=0,"",INDEX(对接源_01水果!$B$4:$B$1203,$AE88)),IF(INDEX(对接源_02物料!$B$4:$B$1203,$AE88-1200)=0,"",INDEX(对接源_02物料!$B$4:$B$1203,$AE88-1200))))</f>
      </c>
      <c r="B88" s="64">
        <f>IF($AE88="","",IF($AE88&lt;=1200,IF(INDEX(对接源_01水果!$S$4:$S$1203,$AE88)=0,"",INDEX(对接源_01水果!$S$4:$S$1203,$AE88)),IF(INDEX(对接源_02物料!$S$4:$S$1203,$AE88-1200)=0,"",INDEX(对接源_02物料!$S$4:$S$1203,$AE88-1200))))</f>
      </c>
      <c r="C88" s="61">
        <f>IF($AE88="","",IF($AE88&lt;=1200,IF(INDEX(对接源_01水果!$E$4:$E$1203,$AE88)=0,"",INDEX(对接源_01水果!$E$4:$E$1203,$AE88)),IF(INDEX(对接源_02物料!$E$4:$E$1203,$AE88-1200)=0,"",INDEX(对接源_02物料!$E$4:$E$1203,$AE88-1200))))</f>
      </c>
      <c r="D88" s="164">
        <f>IF($AE88="","",IF($AE88&lt;=1200,IF(INDEX(对接源_01水果!$V$4:$V$1203,$AE88)=0,"",INDEX(对接源_01水果!$V$4:$V$1203,$AE88)),IF(INDEX(对接源_02物料!$V$4:$V$1203,$AE88-1200)=0,"",INDEX(对接源_02物料!$V$4:$V$1203,$AE88-1200))))</f>
      </c>
      <c r="E88" s="64">
        <f>IF($AE88="","",IF($AE88&lt;=1200,IF(INDEX(对接源_01水果!$C$4:$C$1203,$AE88)=0,"",INDEX(对接源_01水果!$C$4:$C$1203,$AE88)),IF(INDEX(对接源_02物料!$C$4:$C$1203,$AE88-1200)=0,"",INDEX(对接源_02物料!$C$4:$C$1203,$AE88-1200))))</f>
      </c>
      <c r="F88" s="61">
        <f>IF($AE88="","",IF($AE88&lt;=1200,IF(INDEX(对接源_01水果!$W$4:$W$1203,$AE88)=0,"",INDEX(对接源_01水果!$W$4:$W$1203,$AE88)),IF(INDEX(对接源_02物料!$W$4:$W$1203,$AE88-1200)=0,"",INDEX(对接源_02物料!$W$4:$W$1203,$AE88-1200))))</f>
      </c>
      <c r="G88" s="64">
        <f>IF($AE88="","",IF($AE88&lt;=1200,IF(INDEX(对接源_01水果!$D$4:$D$1203,$AE88)=0,"",INDEX(对接源_01水果!$D$4:$D$1203,$AE88)),IF(INDEX(对接源_02物料!$D$4:$D$1203,$AE88-1200)=0,"",INDEX(对接源_02物料!$D$4:$D$1203,$AE88-1200))))</f>
      </c>
      <c r="H88" s="61">
        <f>IF($AE88="","",IF($AE88&lt;=1200,"01水果册","02物料册"))</f>
      </c>
      <c r="I88" s="64">
        <f>IF($AE88="","",IF($AE88&lt;=1200,IF(INDEX(对接源_01水果!$M$4:$M$1203,$AE88)=0,"",INDEX(对接源_01水果!$M$4:$M$1203,$AE88)),IF(INDEX(对接源_02物料!$M$4:$M$1203,$AE88-1200)=0,"",INDEX(对接源_02物料!$M$4:$M$1203,$AE88-1200))))</f>
      </c>
      <c r="AE88" s="2">
        <f>IFERROR(MATCH(83,_自动清单!$W$4:$W$2403,0),"")</f>
      </c>
    </row>
    <row r="89" ht="18" customHeight="1" s="127">
      <c r="A89" s="165">
        <f>IF($AE89="","",IF($AE89&lt;=1200,IF(INDEX(对接源_01水果!$B$4:$B$1203,$AE89)=0,"",INDEX(对接源_01水果!$B$4:$B$1203,$AE89)),IF(INDEX(对接源_02物料!$B$4:$B$1203,$AE89-1200)=0,"",INDEX(对接源_02物料!$B$4:$B$1203,$AE89-1200))))</f>
      </c>
      <c r="B89" s="107">
        <f>IF($AE89="","",IF($AE89&lt;=1200,IF(INDEX(对接源_01水果!$S$4:$S$1203,$AE89)=0,"",INDEX(对接源_01水果!$S$4:$S$1203,$AE89)),IF(INDEX(对接源_02物料!$S$4:$S$1203,$AE89-1200)=0,"",INDEX(对接源_02物料!$S$4:$S$1203,$AE89-1200))))</f>
      </c>
      <c r="C89" s="104">
        <f>IF($AE89="","",IF($AE89&lt;=1200,IF(INDEX(对接源_01水果!$E$4:$E$1203,$AE89)=0,"",INDEX(对接源_01水果!$E$4:$E$1203,$AE89)),IF(INDEX(对接源_02物料!$E$4:$E$1203,$AE89-1200)=0,"",INDEX(对接源_02物料!$E$4:$E$1203,$AE89-1200))))</f>
      </c>
      <c r="D89" s="166">
        <f>IF($AE89="","",IF($AE89&lt;=1200,IF(INDEX(对接源_01水果!$V$4:$V$1203,$AE89)=0,"",INDEX(对接源_01水果!$V$4:$V$1203,$AE89)),IF(INDEX(对接源_02物料!$V$4:$V$1203,$AE89-1200)=0,"",INDEX(对接源_02物料!$V$4:$V$1203,$AE89-1200))))</f>
      </c>
      <c r="E89" s="107">
        <f>IF($AE89="","",IF($AE89&lt;=1200,IF(INDEX(对接源_01水果!$C$4:$C$1203,$AE89)=0,"",INDEX(对接源_01水果!$C$4:$C$1203,$AE89)),IF(INDEX(对接源_02物料!$C$4:$C$1203,$AE89-1200)=0,"",INDEX(对接源_02物料!$C$4:$C$1203,$AE89-1200))))</f>
      </c>
      <c r="F89" s="104">
        <f>IF($AE89="","",IF($AE89&lt;=1200,IF(INDEX(对接源_01水果!$W$4:$W$1203,$AE89)=0,"",INDEX(对接源_01水果!$W$4:$W$1203,$AE89)),IF(INDEX(对接源_02物料!$W$4:$W$1203,$AE89-1200)=0,"",INDEX(对接源_02物料!$W$4:$W$1203,$AE89-1200))))</f>
      </c>
      <c r="G89" s="107">
        <f>IF($AE89="","",IF($AE89&lt;=1200,IF(INDEX(对接源_01水果!$D$4:$D$1203,$AE89)=0,"",INDEX(对接源_01水果!$D$4:$D$1203,$AE89)),IF(INDEX(对接源_02物料!$D$4:$D$1203,$AE89-1200)=0,"",INDEX(对接源_02物料!$D$4:$D$1203,$AE89-1200))))</f>
      </c>
      <c r="H89" s="104">
        <f>IF($AE89="","",IF($AE89&lt;=1200,"01水果册","02物料册"))</f>
      </c>
      <c r="I89" s="107">
        <f>IF($AE89="","",IF($AE89&lt;=1200,IF(INDEX(对接源_01水果!$M$4:$M$1203,$AE89)=0,"",INDEX(对接源_01水果!$M$4:$M$1203,$AE89)),IF(INDEX(对接源_02物料!$M$4:$M$1203,$AE89-1200)=0,"",INDEX(对接源_02物料!$M$4:$M$1203,$AE89-1200))))</f>
      </c>
      <c r="AE89" s="2">
        <f>IFERROR(MATCH(84,_自动清单!$W$4:$W$2403,0),"")</f>
      </c>
    </row>
    <row r="90" ht="18" customHeight="1" s="127">
      <c r="A90" s="163">
        <f>IF($AE90="","",IF($AE90&lt;=1200,IF(INDEX(对接源_01水果!$B$4:$B$1203,$AE90)=0,"",INDEX(对接源_01水果!$B$4:$B$1203,$AE90)),IF(INDEX(对接源_02物料!$B$4:$B$1203,$AE90-1200)=0,"",INDEX(对接源_02物料!$B$4:$B$1203,$AE90-1200))))</f>
      </c>
      <c r="B90" s="64">
        <f>IF($AE90="","",IF($AE90&lt;=1200,IF(INDEX(对接源_01水果!$S$4:$S$1203,$AE90)=0,"",INDEX(对接源_01水果!$S$4:$S$1203,$AE90)),IF(INDEX(对接源_02物料!$S$4:$S$1203,$AE90-1200)=0,"",INDEX(对接源_02物料!$S$4:$S$1203,$AE90-1200))))</f>
      </c>
      <c r="C90" s="61">
        <f>IF($AE90="","",IF($AE90&lt;=1200,IF(INDEX(对接源_01水果!$E$4:$E$1203,$AE90)=0,"",INDEX(对接源_01水果!$E$4:$E$1203,$AE90)),IF(INDEX(对接源_02物料!$E$4:$E$1203,$AE90-1200)=0,"",INDEX(对接源_02物料!$E$4:$E$1203,$AE90-1200))))</f>
      </c>
      <c r="D90" s="164">
        <f>IF($AE90="","",IF($AE90&lt;=1200,IF(INDEX(对接源_01水果!$V$4:$V$1203,$AE90)=0,"",INDEX(对接源_01水果!$V$4:$V$1203,$AE90)),IF(INDEX(对接源_02物料!$V$4:$V$1203,$AE90-1200)=0,"",INDEX(对接源_02物料!$V$4:$V$1203,$AE90-1200))))</f>
      </c>
      <c r="E90" s="64">
        <f>IF($AE90="","",IF($AE90&lt;=1200,IF(INDEX(对接源_01水果!$C$4:$C$1203,$AE90)=0,"",INDEX(对接源_01水果!$C$4:$C$1203,$AE90)),IF(INDEX(对接源_02物料!$C$4:$C$1203,$AE90-1200)=0,"",INDEX(对接源_02物料!$C$4:$C$1203,$AE90-1200))))</f>
      </c>
      <c r="F90" s="61">
        <f>IF($AE90="","",IF($AE90&lt;=1200,IF(INDEX(对接源_01水果!$W$4:$W$1203,$AE90)=0,"",INDEX(对接源_01水果!$W$4:$W$1203,$AE90)),IF(INDEX(对接源_02物料!$W$4:$W$1203,$AE90-1200)=0,"",INDEX(对接源_02物料!$W$4:$W$1203,$AE90-1200))))</f>
      </c>
      <c r="G90" s="64">
        <f>IF($AE90="","",IF($AE90&lt;=1200,IF(INDEX(对接源_01水果!$D$4:$D$1203,$AE90)=0,"",INDEX(对接源_01水果!$D$4:$D$1203,$AE90)),IF(INDEX(对接源_02物料!$D$4:$D$1203,$AE90-1200)=0,"",INDEX(对接源_02物料!$D$4:$D$1203,$AE90-1200))))</f>
      </c>
      <c r="H90" s="61">
        <f>IF($AE90="","",IF($AE90&lt;=1200,"01水果册","02物料册"))</f>
      </c>
      <c r="I90" s="64">
        <f>IF($AE90="","",IF($AE90&lt;=1200,IF(INDEX(对接源_01水果!$M$4:$M$1203,$AE90)=0,"",INDEX(对接源_01水果!$M$4:$M$1203,$AE90)),IF(INDEX(对接源_02物料!$M$4:$M$1203,$AE90-1200)=0,"",INDEX(对接源_02物料!$M$4:$M$1203,$AE90-1200))))</f>
      </c>
      <c r="AE90" s="2">
        <f>IFERROR(MATCH(85,_自动清单!$W$4:$W$2403,0),"")</f>
      </c>
    </row>
    <row r="91" ht="18" customHeight="1" s="127">
      <c r="A91" s="165">
        <f>IF($AE91="","",IF($AE91&lt;=1200,IF(INDEX(对接源_01水果!$B$4:$B$1203,$AE91)=0,"",INDEX(对接源_01水果!$B$4:$B$1203,$AE91)),IF(INDEX(对接源_02物料!$B$4:$B$1203,$AE91-1200)=0,"",INDEX(对接源_02物料!$B$4:$B$1203,$AE91-1200))))</f>
      </c>
      <c r="B91" s="107">
        <f>IF($AE91="","",IF($AE91&lt;=1200,IF(INDEX(对接源_01水果!$S$4:$S$1203,$AE91)=0,"",INDEX(对接源_01水果!$S$4:$S$1203,$AE91)),IF(INDEX(对接源_02物料!$S$4:$S$1203,$AE91-1200)=0,"",INDEX(对接源_02物料!$S$4:$S$1203,$AE91-1200))))</f>
      </c>
      <c r="C91" s="104">
        <f>IF($AE91="","",IF($AE91&lt;=1200,IF(INDEX(对接源_01水果!$E$4:$E$1203,$AE91)=0,"",INDEX(对接源_01水果!$E$4:$E$1203,$AE91)),IF(INDEX(对接源_02物料!$E$4:$E$1203,$AE91-1200)=0,"",INDEX(对接源_02物料!$E$4:$E$1203,$AE91-1200))))</f>
      </c>
      <c r="D91" s="166">
        <f>IF($AE91="","",IF($AE91&lt;=1200,IF(INDEX(对接源_01水果!$V$4:$V$1203,$AE91)=0,"",INDEX(对接源_01水果!$V$4:$V$1203,$AE91)),IF(INDEX(对接源_02物料!$V$4:$V$1203,$AE91-1200)=0,"",INDEX(对接源_02物料!$V$4:$V$1203,$AE91-1200))))</f>
      </c>
      <c r="E91" s="107">
        <f>IF($AE91="","",IF($AE91&lt;=1200,IF(INDEX(对接源_01水果!$C$4:$C$1203,$AE91)=0,"",INDEX(对接源_01水果!$C$4:$C$1203,$AE91)),IF(INDEX(对接源_02物料!$C$4:$C$1203,$AE91-1200)=0,"",INDEX(对接源_02物料!$C$4:$C$1203,$AE91-1200))))</f>
      </c>
      <c r="F91" s="104">
        <f>IF($AE91="","",IF($AE91&lt;=1200,IF(INDEX(对接源_01水果!$W$4:$W$1203,$AE91)=0,"",INDEX(对接源_01水果!$W$4:$W$1203,$AE91)),IF(INDEX(对接源_02物料!$W$4:$W$1203,$AE91-1200)=0,"",INDEX(对接源_02物料!$W$4:$W$1203,$AE91-1200))))</f>
      </c>
      <c r="G91" s="107">
        <f>IF($AE91="","",IF($AE91&lt;=1200,IF(INDEX(对接源_01水果!$D$4:$D$1203,$AE91)=0,"",INDEX(对接源_01水果!$D$4:$D$1203,$AE91)),IF(INDEX(对接源_02物料!$D$4:$D$1203,$AE91-1200)=0,"",INDEX(对接源_02物料!$D$4:$D$1203,$AE91-1200))))</f>
      </c>
      <c r="H91" s="104">
        <f>IF($AE91="","",IF($AE91&lt;=1200,"01水果册","02物料册"))</f>
      </c>
      <c r="I91" s="107">
        <f>IF($AE91="","",IF($AE91&lt;=1200,IF(INDEX(对接源_01水果!$M$4:$M$1203,$AE91)=0,"",INDEX(对接源_01水果!$M$4:$M$1203,$AE91)),IF(INDEX(对接源_02物料!$M$4:$M$1203,$AE91-1200)=0,"",INDEX(对接源_02物料!$M$4:$M$1203,$AE91-1200))))</f>
      </c>
      <c r="AE91" s="2">
        <f>IFERROR(MATCH(86,_自动清单!$W$4:$W$2403,0),"")</f>
      </c>
    </row>
    <row r="92" ht="18" customHeight="1" s="127">
      <c r="A92" s="163">
        <f>IF($AE92="","",IF($AE92&lt;=1200,IF(INDEX(对接源_01水果!$B$4:$B$1203,$AE92)=0,"",INDEX(对接源_01水果!$B$4:$B$1203,$AE92)),IF(INDEX(对接源_02物料!$B$4:$B$1203,$AE92-1200)=0,"",INDEX(对接源_02物料!$B$4:$B$1203,$AE92-1200))))</f>
      </c>
      <c r="B92" s="64">
        <f>IF($AE92="","",IF($AE92&lt;=1200,IF(INDEX(对接源_01水果!$S$4:$S$1203,$AE92)=0,"",INDEX(对接源_01水果!$S$4:$S$1203,$AE92)),IF(INDEX(对接源_02物料!$S$4:$S$1203,$AE92-1200)=0,"",INDEX(对接源_02物料!$S$4:$S$1203,$AE92-1200))))</f>
      </c>
      <c r="C92" s="61">
        <f>IF($AE92="","",IF($AE92&lt;=1200,IF(INDEX(对接源_01水果!$E$4:$E$1203,$AE92)=0,"",INDEX(对接源_01水果!$E$4:$E$1203,$AE92)),IF(INDEX(对接源_02物料!$E$4:$E$1203,$AE92-1200)=0,"",INDEX(对接源_02物料!$E$4:$E$1203,$AE92-1200))))</f>
      </c>
      <c r="D92" s="164">
        <f>IF($AE92="","",IF($AE92&lt;=1200,IF(INDEX(对接源_01水果!$V$4:$V$1203,$AE92)=0,"",INDEX(对接源_01水果!$V$4:$V$1203,$AE92)),IF(INDEX(对接源_02物料!$V$4:$V$1203,$AE92-1200)=0,"",INDEX(对接源_02物料!$V$4:$V$1203,$AE92-1200))))</f>
      </c>
      <c r="E92" s="64">
        <f>IF($AE92="","",IF($AE92&lt;=1200,IF(INDEX(对接源_01水果!$C$4:$C$1203,$AE92)=0,"",INDEX(对接源_01水果!$C$4:$C$1203,$AE92)),IF(INDEX(对接源_02物料!$C$4:$C$1203,$AE92-1200)=0,"",INDEX(对接源_02物料!$C$4:$C$1203,$AE92-1200))))</f>
      </c>
      <c r="F92" s="61">
        <f>IF($AE92="","",IF($AE92&lt;=1200,IF(INDEX(对接源_01水果!$W$4:$W$1203,$AE92)=0,"",INDEX(对接源_01水果!$W$4:$W$1203,$AE92)),IF(INDEX(对接源_02物料!$W$4:$W$1203,$AE92-1200)=0,"",INDEX(对接源_02物料!$W$4:$W$1203,$AE92-1200))))</f>
      </c>
      <c r="G92" s="64">
        <f>IF($AE92="","",IF($AE92&lt;=1200,IF(INDEX(对接源_01水果!$D$4:$D$1203,$AE92)=0,"",INDEX(对接源_01水果!$D$4:$D$1203,$AE92)),IF(INDEX(对接源_02物料!$D$4:$D$1203,$AE92-1200)=0,"",INDEX(对接源_02物料!$D$4:$D$1203,$AE92-1200))))</f>
      </c>
      <c r="H92" s="61">
        <f>IF($AE92="","",IF($AE92&lt;=1200,"01水果册","02物料册"))</f>
      </c>
      <c r="I92" s="64">
        <f>IF($AE92="","",IF($AE92&lt;=1200,IF(INDEX(对接源_01水果!$M$4:$M$1203,$AE92)=0,"",INDEX(对接源_01水果!$M$4:$M$1203,$AE92)),IF(INDEX(对接源_02物料!$M$4:$M$1203,$AE92-1200)=0,"",INDEX(对接源_02物料!$M$4:$M$1203,$AE92-1200))))</f>
      </c>
      <c r="AE92" s="2">
        <f>IFERROR(MATCH(87,_自动清单!$W$4:$W$2403,0),"")</f>
      </c>
    </row>
    <row r="93" ht="18" customHeight="1" s="127">
      <c r="A93" s="165">
        <f>IF($AE93="","",IF($AE93&lt;=1200,IF(INDEX(对接源_01水果!$B$4:$B$1203,$AE93)=0,"",INDEX(对接源_01水果!$B$4:$B$1203,$AE93)),IF(INDEX(对接源_02物料!$B$4:$B$1203,$AE93-1200)=0,"",INDEX(对接源_02物料!$B$4:$B$1203,$AE93-1200))))</f>
      </c>
      <c r="B93" s="107">
        <f>IF($AE93="","",IF($AE93&lt;=1200,IF(INDEX(对接源_01水果!$S$4:$S$1203,$AE93)=0,"",INDEX(对接源_01水果!$S$4:$S$1203,$AE93)),IF(INDEX(对接源_02物料!$S$4:$S$1203,$AE93-1200)=0,"",INDEX(对接源_02物料!$S$4:$S$1203,$AE93-1200))))</f>
      </c>
      <c r="C93" s="104">
        <f>IF($AE93="","",IF($AE93&lt;=1200,IF(INDEX(对接源_01水果!$E$4:$E$1203,$AE93)=0,"",INDEX(对接源_01水果!$E$4:$E$1203,$AE93)),IF(INDEX(对接源_02物料!$E$4:$E$1203,$AE93-1200)=0,"",INDEX(对接源_02物料!$E$4:$E$1203,$AE93-1200))))</f>
      </c>
      <c r="D93" s="166">
        <f>IF($AE93="","",IF($AE93&lt;=1200,IF(INDEX(对接源_01水果!$V$4:$V$1203,$AE93)=0,"",INDEX(对接源_01水果!$V$4:$V$1203,$AE93)),IF(INDEX(对接源_02物料!$V$4:$V$1203,$AE93-1200)=0,"",INDEX(对接源_02物料!$V$4:$V$1203,$AE93-1200))))</f>
      </c>
      <c r="E93" s="107">
        <f>IF($AE93="","",IF($AE93&lt;=1200,IF(INDEX(对接源_01水果!$C$4:$C$1203,$AE93)=0,"",INDEX(对接源_01水果!$C$4:$C$1203,$AE93)),IF(INDEX(对接源_02物料!$C$4:$C$1203,$AE93-1200)=0,"",INDEX(对接源_02物料!$C$4:$C$1203,$AE93-1200))))</f>
      </c>
      <c r="F93" s="104">
        <f>IF($AE93="","",IF($AE93&lt;=1200,IF(INDEX(对接源_01水果!$W$4:$W$1203,$AE93)=0,"",INDEX(对接源_01水果!$W$4:$W$1203,$AE93)),IF(INDEX(对接源_02物料!$W$4:$W$1203,$AE93-1200)=0,"",INDEX(对接源_02物料!$W$4:$W$1203,$AE93-1200))))</f>
      </c>
      <c r="G93" s="107">
        <f>IF($AE93="","",IF($AE93&lt;=1200,IF(INDEX(对接源_01水果!$D$4:$D$1203,$AE93)=0,"",INDEX(对接源_01水果!$D$4:$D$1203,$AE93)),IF(INDEX(对接源_02物料!$D$4:$D$1203,$AE93-1200)=0,"",INDEX(对接源_02物料!$D$4:$D$1203,$AE93-1200))))</f>
      </c>
      <c r="H93" s="104">
        <f>IF($AE93="","",IF($AE93&lt;=1200,"01水果册","02物料册"))</f>
      </c>
      <c r="I93" s="107">
        <f>IF($AE93="","",IF($AE93&lt;=1200,IF(INDEX(对接源_01水果!$M$4:$M$1203,$AE93)=0,"",INDEX(对接源_01水果!$M$4:$M$1203,$AE93)),IF(INDEX(对接源_02物料!$M$4:$M$1203,$AE93-1200)=0,"",INDEX(对接源_02物料!$M$4:$M$1203,$AE93-1200))))</f>
      </c>
      <c r="AE93" s="2">
        <f>IFERROR(MATCH(88,_自动清单!$W$4:$W$2403,0),"")</f>
      </c>
    </row>
    <row r="94" ht="18" customHeight="1" s="127">
      <c r="A94" s="163">
        <f>IF($AE94="","",IF($AE94&lt;=1200,IF(INDEX(对接源_01水果!$B$4:$B$1203,$AE94)=0,"",INDEX(对接源_01水果!$B$4:$B$1203,$AE94)),IF(INDEX(对接源_02物料!$B$4:$B$1203,$AE94-1200)=0,"",INDEX(对接源_02物料!$B$4:$B$1203,$AE94-1200))))</f>
      </c>
      <c r="B94" s="64">
        <f>IF($AE94="","",IF($AE94&lt;=1200,IF(INDEX(对接源_01水果!$S$4:$S$1203,$AE94)=0,"",INDEX(对接源_01水果!$S$4:$S$1203,$AE94)),IF(INDEX(对接源_02物料!$S$4:$S$1203,$AE94-1200)=0,"",INDEX(对接源_02物料!$S$4:$S$1203,$AE94-1200))))</f>
      </c>
      <c r="C94" s="61">
        <f>IF($AE94="","",IF($AE94&lt;=1200,IF(INDEX(对接源_01水果!$E$4:$E$1203,$AE94)=0,"",INDEX(对接源_01水果!$E$4:$E$1203,$AE94)),IF(INDEX(对接源_02物料!$E$4:$E$1203,$AE94-1200)=0,"",INDEX(对接源_02物料!$E$4:$E$1203,$AE94-1200))))</f>
      </c>
      <c r="D94" s="164">
        <f>IF($AE94="","",IF($AE94&lt;=1200,IF(INDEX(对接源_01水果!$V$4:$V$1203,$AE94)=0,"",INDEX(对接源_01水果!$V$4:$V$1203,$AE94)),IF(INDEX(对接源_02物料!$V$4:$V$1203,$AE94-1200)=0,"",INDEX(对接源_02物料!$V$4:$V$1203,$AE94-1200))))</f>
      </c>
      <c r="E94" s="64">
        <f>IF($AE94="","",IF($AE94&lt;=1200,IF(INDEX(对接源_01水果!$C$4:$C$1203,$AE94)=0,"",INDEX(对接源_01水果!$C$4:$C$1203,$AE94)),IF(INDEX(对接源_02物料!$C$4:$C$1203,$AE94-1200)=0,"",INDEX(对接源_02物料!$C$4:$C$1203,$AE94-1200))))</f>
      </c>
      <c r="F94" s="61">
        <f>IF($AE94="","",IF($AE94&lt;=1200,IF(INDEX(对接源_01水果!$W$4:$W$1203,$AE94)=0,"",INDEX(对接源_01水果!$W$4:$W$1203,$AE94)),IF(INDEX(对接源_02物料!$W$4:$W$1203,$AE94-1200)=0,"",INDEX(对接源_02物料!$W$4:$W$1203,$AE94-1200))))</f>
      </c>
      <c r="G94" s="64">
        <f>IF($AE94="","",IF($AE94&lt;=1200,IF(INDEX(对接源_01水果!$D$4:$D$1203,$AE94)=0,"",INDEX(对接源_01水果!$D$4:$D$1203,$AE94)),IF(INDEX(对接源_02物料!$D$4:$D$1203,$AE94-1200)=0,"",INDEX(对接源_02物料!$D$4:$D$1203,$AE94-1200))))</f>
      </c>
      <c r="H94" s="61">
        <f>IF($AE94="","",IF($AE94&lt;=1200,"01水果册","02物料册"))</f>
      </c>
      <c r="I94" s="64">
        <f>IF($AE94="","",IF($AE94&lt;=1200,IF(INDEX(对接源_01水果!$M$4:$M$1203,$AE94)=0,"",INDEX(对接源_01水果!$M$4:$M$1203,$AE94)),IF(INDEX(对接源_02物料!$M$4:$M$1203,$AE94-1200)=0,"",INDEX(对接源_02物料!$M$4:$M$1203,$AE94-1200))))</f>
      </c>
      <c r="AE94" s="2">
        <f>IFERROR(MATCH(89,_自动清单!$W$4:$W$2403,0),"")</f>
      </c>
    </row>
    <row r="95" ht="18" customHeight="1" s="127">
      <c r="A95" s="165">
        <f>IF($AE95="","",IF($AE95&lt;=1200,IF(INDEX(对接源_01水果!$B$4:$B$1203,$AE95)=0,"",INDEX(对接源_01水果!$B$4:$B$1203,$AE95)),IF(INDEX(对接源_02物料!$B$4:$B$1203,$AE95-1200)=0,"",INDEX(对接源_02物料!$B$4:$B$1203,$AE95-1200))))</f>
      </c>
      <c r="B95" s="107">
        <f>IF($AE95="","",IF($AE95&lt;=1200,IF(INDEX(对接源_01水果!$S$4:$S$1203,$AE95)=0,"",INDEX(对接源_01水果!$S$4:$S$1203,$AE95)),IF(INDEX(对接源_02物料!$S$4:$S$1203,$AE95-1200)=0,"",INDEX(对接源_02物料!$S$4:$S$1203,$AE95-1200))))</f>
      </c>
      <c r="C95" s="104">
        <f>IF($AE95="","",IF($AE95&lt;=1200,IF(INDEX(对接源_01水果!$E$4:$E$1203,$AE95)=0,"",INDEX(对接源_01水果!$E$4:$E$1203,$AE95)),IF(INDEX(对接源_02物料!$E$4:$E$1203,$AE95-1200)=0,"",INDEX(对接源_02物料!$E$4:$E$1203,$AE95-1200))))</f>
      </c>
      <c r="D95" s="166">
        <f>IF($AE95="","",IF($AE95&lt;=1200,IF(INDEX(对接源_01水果!$V$4:$V$1203,$AE95)=0,"",INDEX(对接源_01水果!$V$4:$V$1203,$AE95)),IF(INDEX(对接源_02物料!$V$4:$V$1203,$AE95-1200)=0,"",INDEX(对接源_02物料!$V$4:$V$1203,$AE95-1200))))</f>
      </c>
      <c r="E95" s="107">
        <f>IF($AE95="","",IF($AE95&lt;=1200,IF(INDEX(对接源_01水果!$C$4:$C$1203,$AE95)=0,"",INDEX(对接源_01水果!$C$4:$C$1203,$AE95)),IF(INDEX(对接源_02物料!$C$4:$C$1203,$AE95-1200)=0,"",INDEX(对接源_02物料!$C$4:$C$1203,$AE95-1200))))</f>
      </c>
      <c r="F95" s="104">
        <f>IF($AE95="","",IF($AE95&lt;=1200,IF(INDEX(对接源_01水果!$W$4:$W$1203,$AE95)=0,"",INDEX(对接源_01水果!$W$4:$W$1203,$AE95)),IF(INDEX(对接源_02物料!$W$4:$W$1203,$AE95-1200)=0,"",INDEX(对接源_02物料!$W$4:$W$1203,$AE95-1200))))</f>
      </c>
      <c r="G95" s="107">
        <f>IF($AE95="","",IF($AE95&lt;=1200,IF(INDEX(对接源_01水果!$D$4:$D$1203,$AE95)=0,"",INDEX(对接源_01水果!$D$4:$D$1203,$AE95)),IF(INDEX(对接源_02物料!$D$4:$D$1203,$AE95-1200)=0,"",INDEX(对接源_02物料!$D$4:$D$1203,$AE95-1200))))</f>
      </c>
      <c r="H95" s="104">
        <f>IF($AE95="","",IF($AE95&lt;=1200,"01水果册","02物料册"))</f>
      </c>
      <c r="I95" s="107">
        <f>IF($AE95="","",IF($AE95&lt;=1200,IF(INDEX(对接源_01水果!$M$4:$M$1203,$AE95)=0,"",INDEX(对接源_01水果!$M$4:$M$1203,$AE95)),IF(INDEX(对接源_02物料!$M$4:$M$1203,$AE95-1200)=0,"",INDEX(对接源_02物料!$M$4:$M$1203,$AE95-1200))))</f>
      </c>
      <c r="AE95" s="2">
        <f>IFERROR(MATCH(90,_自动清单!$W$4:$W$2403,0),"")</f>
      </c>
    </row>
    <row r="96" ht="18" customHeight="1" s="127">
      <c r="A96" s="163">
        <f>IF($AE96="","",IF($AE96&lt;=1200,IF(INDEX(对接源_01水果!$B$4:$B$1203,$AE96)=0,"",INDEX(对接源_01水果!$B$4:$B$1203,$AE96)),IF(INDEX(对接源_02物料!$B$4:$B$1203,$AE96-1200)=0,"",INDEX(对接源_02物料!$B$4:$B$1203,$AE96-1200))))</f>
      </c>
      <c r="B96" s="64">
        <f>IF($AE96="","",IF($AE96&lt;=1200,IF(INDEX(对接源_01水果!$S$4:$S$1203,$AE96)=0,"",INDEX(对接源_01水果!$S$4:$S$1203,$AE96)),IF(INDEX(对接源_02物料!$S$4:$S$1203,$AE96-1200)=0,"",INDEX(对接源_02物料!$S$4:$S$1203,$AE96-1200))))</f>
      </c>
      <c r="C96" s="61">
        <f>IF($AE96="","",IF($AE96&lt;=1200,IF(INDEX(对接源_01水果!$E$4:$E$1203,$AE96)=0,"",INDEX(对接源_01水果!$E$4:$E$1203,$AE96)),IF(INDEX(对接源_02物料!$E$4:$E$1203,$AE96-1200)=0,"",INDEX(对接源_02物料!$E$4:$E$1203,$AE96-1200))))</f>
      </c>
      <c r="D96" s="164">
        <f>IF($AE96="","",IF($AE96&lt;=1200,IF(INDEX(对接源_01水果!$V$4:$V$1203,$AE96)=0,"",INDEX(对接源_01水果!$V$4:$V$1203,$AE96)),IF(INDEX(对接源_02物料!$V$4:$V$1203,$AE96-1200)=0,"",INDEX(对接源_02物料!$V$4:$V$1203,$AE96-1200))))</f>
      </c>
      <c r="E96" s="64">
        <f>IF($AE96="","",IF($AE96&lt;=1200,IF(INDEX(对接源_01水果!$C$4:$C$1203,$AE96)=0,"",INDEX(对接源_01水果!$C$4:$C$1203,$AE96)),IF(INDEX(对接源_02物料!$C$4:$C$1203,$AE96-1200)=0,"",INDEX(对接源_02物料!$C$4:$C$1203,$AE96-1200))))</f>
      </c>
      <c r="F96" s="61">
        <f>IF($AE96="","",IF($AE96&lt;=1200,IF(INDEX(对接源_01水果!$W$4:$W$1203,$AE96)=0,"",INDEX(对接源_01水果!$W$4:$W$1203,$AE96)),IF(INDEX(对接源_02物料!$W$4:$W$1203,$AE96-1200)=0,"",INDEX(对接源_02物料!$W$4:$W$1203,$AE96-1200))))</f>
      </c>
      <c r="G96" s="64">
        <f>IF($AE96="","",IF($AE96&lt;=1200,IF(INDEX(对接源_01水果!$D$4:$D$1203,$AE96)=0,"",INDEX(对接源_01水果!$D$4:$D$1203,$AE96)),IF(INDEX(对接源_02物料!$D$4:$D$1203,$AE96-1200)=0,"",INDEX(对接源_02物料!$D$4:$D$1203,$AE96-1200))))</f>
      </c>
      <c r="H96" s="61">
        <f>IF($AE96="","",IF($AE96&lt;=1200,"01水果册","02物料册"))</f>
      </c>
      <c r="I96" s="64">
        <f>IF($AE96="","",IF($AE96&lt;=1200,IF(INDEX(对接源_01水果!$M$4:$M$1203,$AE96)=0,"",INDEX(对接源_01水果!$M$4:$M$1203,$AE96)),IF(INDEX(对接源_02物料!$M$4:$M$1203,$AE96-1200)=0,"",INDEX(对接源_02物料!$M$4:$M$1203,$AE96-1200))))</f>
      </c>
      <c r="AE96" s="2">
        <f>IFERROR(MATCH(91,_自动清单!$W$4:$W$2403,0),"")</f>
      </c>
    </row>
    <row r="97" ht="18" customHeight="1" s="127">
      <c r="A97" s="165">
        <f>IF($AE97="","",IF($AE97&lt;=1200,IF(INDEX(对接源_01水果!$B$4:$B$1203,$AE97)=0,"",INDEX(对接源_01水果!$B$4:$B$1203,$AE97)),IF(INDEX(对接源_02物料!$B$4:$B$1203,$AE97-1200)=0,"",INDEX(对接源_02物料!$B$4:$B$1203,$AE97-1200))))</f>
      </c>
      <c r="B97" s="107">
        <f>IF($AE97="","",IF($AE97&lt;=1200,IF(INDEX(对接源_01水果!$S$4:$S$1203,$AE97)=0,"",INDEX(对接源_01水果!$S$4:$S$1203,$AE97)),IF(INDEX(对接源_02物料!$S$4:$S$1203,$AE97-1200)=0,"",INDEX(对接源_02物料!$S$4:$S$1203,$AE97-1200))))</f>
      </c>
      <c r="C97" s="104">
        <f>IF($AE97="","",IF($AE97&lt;=1200,IF(INDEX(对接源_01水果!$E$4:$E$1203,$AE97)=0,"",INDEX(对接源_01水果!$E$4:$E$1203,$AE97)),IF(INDEX(对接源_02物料!$E$4:$E$1203,$AE97-1200)=0,"",INDEX(对接源_02物料!$E$4:$E$1203,$AE97-1200))))</f>
      </c>
      <c r="D97" s="166">
        <f>IF($AE97="","",IF($AE97&lt;=1200,IF(INDEX(对接源_01水果!$V$4:$V$1203,$AE97)=0,"",INDEX(对接源_01水果!$V$4:$V$1203,$AE97)),IF(INDEX(对接源_02物料!$V$4:$V$1203,$AE97-1200)=0,"",INDEX(对接源_02物料!$V$4:$V$1203,$AE97-1200))))</f>
      </c>
      <c r="E97" s="107">
        <f>IF($AE97="","",IF($AE97&lt;=1200,IF(INDEX(对接源_01水果!$C$4:$C$1203,$AE97)=0,"",INDEX(对接源_01水果!$C$4:$C$1203,$AE97)),IF(INDEX(对接源_02物料!$C$4:$C$1203,$AE97-1200)=0,"",INDEX(对接源_02物料!$C$4:$C$1203,$AE97-1200))))</f>
      </c>
      <c r="F97" s="104">
        <f>IF($AE97="","",IF($AE97&lt;=1200,IF(INDEX(对接源_01水果!$W$4:$W$1203,$AE97)=0,"",INDEX(对接源_01水果!$W$4:$W$1203,$AE97)),IF(INDEX(对接源_02物料!$W$4:$W$1203,$AE97-1200)=0,"",INDEX(对接源_02物料!$W$4:$W$1203,$AE97-1200))))</f>
      </c>
      <c r="G97" s="107">
        <f>IF($AE97="","",IF($AE97&lt;=1200,IF(INDEX(对接源_01水果!$D$4:$D$1203,$AE97)=0,"",INDEX(对接源_01水果!$D$4:$D$1203,$AE97)),IF(INDEX(对接源_02物料!$D$4:$D$1203,$AE97-1200)=0,"",INDEX(对接源_02物料!$D$4:$D$1203,$AE97-1200))))</f>
      </c>
      <c r="H97" s="104">
        <f>IF($AE97="","",IF($AE97&lt;=1200,"01水果册","02物料册"))</f>
      </c>
      <c r="I97" s="107">
        <f>IF($AE97="","",IF($AE97&lt;=1200,IF(INDEX(对接源_01水果!$M$4:$M$1203,$AE97)=0,"",INDEX(对接源_01水果!$M$4:$M$1203,$AE97)),IF(INDEX(对接源_02物料!$M$4:$M$1203,$AE97-1200)=0,"",INDEX(对接源_02物料!$M$4:$M$1203,$AE97-1200))))</f>
      </c>
      <c r="AE97" s="2">
        <f>IFERROR(MATCH(92,_自动清单!$W$4:$W$2403,0),"")</f>
      </c>
    </row>
    <row r="98" ht="18" customHeight="1" s="127">
      <c r="A98" s="163">
        <f>IF($AE98="","",IF($AE98&lt;=1200,IF(INDEX(对接源_01水果!$B$4:$B$1203,$AE98)=0,"",INDEX(对接源_01水果!$B$4:$B$1203,$AE98)),IF(INDEX(对接源_02物料!$B$4:$B$1203,$AE98-1200)=0,"",INDEX(对接源_02物料!$B$4:$B$1203,$AE98-1200))))</f>
      </c>
      <c r="B98" s="64">
        <f>IF($AE98="","",IF($AE98&lt;=1200,IF(INDEX(对接源_01水果!$S$4:$S$1203,$AE98)=0,"",INDEX(对接源_01水果!$S$4:$S$1203,$AE98)),IF(INDEX(对接源_02物料!$S$4:$S$1203,$AE98-1200)=0,"",INDEX(对接源_02物料!$S$4:$S$1203,$AE98-1200))))</f>
      </c>
      <c r="C98" s="61">
        <f>IF($AE98="","",IF($AE98&lt;=1200,IF(INDEX(对接源_01水果!$E$4:$E$1203,$AE98)=0,"",INDEX(对接源_01水果!$E$4:$E$1203,$AE98)),IF(INDEX(对接源_02物料!$E$4:$E$1203,$AE98-1200)=0,"",INDEX(对接源_02物料!$E$4:$E$1203,$AE98-1200))))</f>
      </c>
      <c r="D98" s="164">
        <f>IF($AE98="","",IF($AE98&lt;=1200,IF(INDEX(对接源_01水果!$V$4:$V$1203,$AE98)=0,"",INDEX(对接源_01水果!$V$4:$V$1203,$AE98)),IF(INDEX(对接源_02物料!$V$4:$V$1203,$AE98-1200)=0,"",INDEX(对接源_02物料!$V$4:$V$1203,$AE98-1200))))</f>
      </c>
      <c r="E98" s="64">
        <f>IF($AE98="","",IF($AE98&lt;=1200,IF(INDEX(对接源_01水果!$C$4:$C$1203,$AE98)=0,"",INDEX(对接源_01水果!$C$4:$C$1203,$AE98)),IF(INDEX(对接源_02物料!$C$4:$C$1203,$AE98-1200)=0,"",INDEX(对接源_02物料!$C$4:$C$1203,$AE98-1200))))</f>
      </c>
      <c r="F98" s="61">
        <f>IF($AE98="","",IF($AE98&lt;=1200,IF(INDEX(对接源_01水果!$W$4:$W$1203,$AE98)=0,"",INDEX(对接源_01水果!$W$4:$W$1203,$AE98)),IF(INDEX(对接源_02物料!$W$4:$W$1203,$AE98-1200)=0,"",INDEX(对接源_02物料!$W$4:$W$1203,$AE98-1200))))</f>
      </c>
      <c r="G98" s="64">
        <f>IF($AE98="","",IF($AE98&lt;=1200,IF(INDEX(对接源_01水果!$D$4:$D$1203,$AE98)=0,"",INDEX(对接源_01水果!$D$4:$D$1203,$AE98)),IF(INDEX(对接源_02物料!$D$4:$D$1203,$AE98-1200)=0,"",INDEX(对接源_02物料!$D$4:$D$1203,$AE98-1200))))</f>
      </c>
      <c r="H98" s="61">
        <f>IF($AE98="","",IF($AE98&lt;=1200,"01水果册","02物料册"))</f>
      </c>
      <c r="I98" s="64">
        <f>IF($AE98="","",IF($AE98&lt;=1200,IF(INDEX(对接源_01水果!$M$4:$M$1203,$AE98)=0,"",INDEX(对接源_01水果!$M$4:$M$1203,$AE98)),IF(INDEX(对接源_02物料!$M$4:$M$1203,$AE98-1200)=0,"",INDEX(对接源_02物料!$M$4:$M$1203,$AE98-1200))))</f>
      </c>
      <c r="AE98" s="2">
        <f>IFERROR(MATCH(93,_自动清单!$W$4:$W$2403,0),"")</f>
      </c>
    </row>
    <row r="99" ht="18" customHeight="1" s="127">
      <c r="A99" s="165">
        <f>IF($AE99="","",IF($AE99&lt;=1200,IF(INDEX(对接源_01水果!$B$4:$B$1203,$AE99)=0,"",INDEX(对接源_01水果!$B$4:$B$1203,$AE99)),IF(INDEX(对接源_02物料!$B$4:$B$1203,$AE99-1200)=0,"",INDEX(对接源_02物料!$B$4:$B$1203,$AE99-1200))))</f>
      </c>
      <c r="B99" s="107">
        <f>IF($AE99="","",IF($AE99&lt;=1200,IF(INDEX(对接源_01水果!$S$4:$S$1203,$AE99)=0,"",INDEX(对接源_01水果!$S$4:$S$1203,$AE99)),IF(INDEX(对接源_02物料!$S$4:$S$1203,$AE99-1200)=0,"",INDEX(对接源_02物料!$S$4:$S$1203,$AE99-1200))))</f>
      </c>
      <c r="C99" s="104">
        <f>IF($AE99="","",IF($AE99&lt;=1200,IF(INDEX(对接源_01水果!$E$4:$E$1203,$AE99)=0,"",INDEX(对接源_01水果!$E$4:$E$1203,$AE99)),IF(INDEX(对接源_02物料!$E$4:$E$1203,$AE99-1200)=0,"",INDEX(对接源_02物料!$E$4:$E$1203,$AE99-1200))))</f>
      </c>
      <c r="D99" s="166">
        <f>IF($AE99="","",IF($AE99&lt;=1200,IF(INDEX(对接源_01水果!$V$4:$V$1203,$AE99)=0,"",INDEX(对接源_01水果!$V$4:$V$1203,$AE99)),IF(INDEX(对接源_02物料!$V$4:$V$1203,$AE99-1200)=0,"",INDEX(对接源_02物料!$V$4:$V$1203,$AE99-1200))))</f>
      </c>
      <c r="E99" s="107">
        <f>IF($AE99="","",IF($AE99&lt;=1200,IF(INDEX(对接源_01水果!$C$4:$C$1203,$AE99)=0,"",INDEX(对接源_01水果!$C$4:$C$1203,$AE99)),IF(INDEX(对接源_02物料!$C$4:$C$1203,$AE99-1200)=0,"",INDEX(对接源_02物料!$C$4:$C$1203,$AE99-1200))))</f>
      </c>
      <c r="F99" s="104">
        <f>IF($AE99="","",IF($AE99&lt;=1200,IF(INDEX(对接源_01水果!$W$4:$W$1203,$AE99)=0,"",INDEX(对接源_01水果!$W$4:$W$1203,$AE99)),IF(INDEX(对接源_02物料!$W$4:$W$1203,$AE99-1200)=0,"",INDEX(对接源_02物料!$W$4:$W$1203,$AE99-1200))))</f>
      </c>
      <c r="G99" s="107">
        <f>IF($AE99="","",IF($AE99&lt;=1200,IF(INDEX(对接源_01水果!$D$4:$D$1203,$AE99)=0,"",INDEX(对接源_01水果!$D$4:$D$1203,$AE99)),IF(INDEX(对接源_02物料!$D$4:$D$1203,$AE99-1200)=0,"",INDEX(对接源_02物料!$D$4:$D$1203,$AE99-1200))))</f>
      </c>
      <c r="H99" s="104">
        <f>IF($AE99="","",IF($AE99&lt;=1200,"01水果册","02物料册"))</f>
      </c>
      <c r="I99" s="107">
        <f>IF($AE99="","",IF($AE99&lt;=1200,IF(INDEX(对接源_01水果!$M$4:$M$1203,$AE99)=0,"",INDEX(对接源_01水果!$M$4:$M$1203,$AE99)),IF(INDEX(对接源_02物料!$M$4:$M$1203,$AE99-1200)=0,"",INDEX(对接源_02物料!$M$4:$M$1203,$AE99-1200))))</f>
      </c>
      <c r="AE99" s="2">
        <f>IFERROR(MATCH(94,_自动清单!$W$4:$W$2403,0),"")</f>
      </c>
    </row>
    <row r="100" ht="18" customHeight="1" s="127">
      <c r="A100" s="163">
        <f>IF($AE100="","",IF($AE100&lt;=1200,IF(INDEX(对接源_01水果!$B$4:$B$1203,$AE100)=0,"",INDEX(对接源_01水果!$B$4:$B$1203,$AE100)),IF(INDEX(对接源_02物料!$B$4:$B$1203,$AE100-1200)=0,"",INDEX(对接源_02物料!$B$4:$B$1203,$AE100-1200))))</f>
      </c>
      <c r="B100" s="64">
        <f>IF($AE100="","",IF($AE100&lt;=1200,IF(INDEX(对接源_01水果!$S$4:$S$1203,$AE100)=0,"",INDEX(对接源_01水果!$S$4:$S$1203,$AE100)),IF(INDEX(对接源_02物料!$S$4:$S$1203,$AE100-1200)=0,"",INDEX(对接源_02物料!$S$4:$S$1203,$AE100-1200))))</f>
      </c>
      <c r="C100" s="61">
        <f>IF($AE100="","",IF($AE100&lt;=1200,IF(INDEX(对接源_01水果!$E$4:$E$1203,$AE100)=0,"",INDEX(对接源_01水果!$E$4:$E$1203,$AE100)),IF(INDEX(对接源_02物料!$E$4:$E$1203,$AE100-1200)=0,"",INDEX(对接源_02物料!$E$4:$E$1203,$AE100-1200))))</f>
      </c>
      <c r="D100" s="164">
        <f>IF($AE100="","",IF($AE100&lt;=1200,IF(INDEX(对接源_01水果!$V$4:$V$1203,$AE100)=0,"",INDEX(对接源_01水果!$V$4:$V$1203,$AE100)),IF(INDEX(对接源_02物料!$V$4:$V$1203,$AE100-1200)=0,"",INDEX(对接源_02物料!$V$4:$V$1203,$AE100-1200))))</f>
      </c>
      <c r="E100" s="64">
        <f>IF($AE100="","",IF($AE100&lt;=1200,IF(INDEX(对接源_01水果!$C$4:$C$1203,$AE100)=0,"",INDEX(对接源_01水果!$C$4:$C$1203,$AE100)),IF(INDEX(对接源_02物料!$C$4:$C$1203,$AE100-1200)=0,"",INDEX(对接源_02物料!$C$4:$C$1203,$AE100-1200))))</f>
      </c>
      <c r="F100" s="61">
        <f>IF($AE100="","",IF($AE100&lt;=1200,IF(INDEX(对接源_01水果!$W$4:$W$1203,$AE100)=0,"",INDEX(对接源_01水果!$W$4:$W$1203,$AE100)),IF(INDEX(对接源_02物料!$W$4:$W$1203,$AE100-1200)=0,"",INDEX(对接源_02物料!$W$4:$W$1203,$AE100-1200))))</f>
      </c>
      <c r="G100" s="64">
        <f>IF($AE100="","",IF($AE100&lt;=1200,IF(INDEX(对接源_01水果!$D$4:$D$1203,$AE100)=0,"",INDEX(对接源_01水果!$D$4:$D$1203,$AE100)),IF(INDEX(对接源_02物料!$D$4:$D$1203,$AE100-1200)=0,"",INDEX(对接源_02物料!$D$4:$D$1203,$AE100-1200))))</f>
      </c>
      <c r="H100" s="61">
        <f>IF($AE100="","",IF($AE100&lt;=1200,"01水果册","02物料册"))</f>
      </c>
      <c r="I100" s="64">
        <f>IF($AE100="","",IF($AE100&lt;=1200,IF(INDEX(对接源_01水果!$M$4:$M$1203,$AE100)=0,"",INDEX(对接源_01水果!$M$4:$M$1203,$AE100)),IF(INDEX(对接源_02物料!$M$4:$M$1203,$AE100-1200)=0,"",INDEX(对接源_02物料!$M$4:$M$1203,$AE100-1200))))</f>
      </c>
      <c r="AE100" s="2">
        <f>IFERROR(MATCH(95,_自动清单!$W$4:$W$2403,0),"")</f>
      </c>
    </row>
    <row r="101" ht="18" customHeight="1" s="127">
      <c r="A101" s="165">
        <f>IF($AE101="","",IF($AE101&lt;=1200,IF(INDEX(对接源_01水果!$B$4:$B$1203,$AE101)=0,"",INDEX(对接源_01水果!$B$4:$B$1203,$AE101)),IF(INDEX(对接源_02物料!$B$4:$B$1203,$AE101-1200)=0,"",INDEX(对接源_02物料!$B$4:$B$1203,$AE101-1200))))</f>
      </c>
      <c r="B101" s="107">
        <f>IF($AE101="","",IF($AE101&lt;=1200,IF(INDEX(对接源_01水果!$S$4:$S$1203,$AE101)=0,"",INDEX(对接源_01水果!$S$4:$S$1203,$AE101)),IF(INDEX(对接源_02物料!$S$4:$S$1203,$AE101-1200)=0,"",INDEX(对接源_02物料!$S$4:$S$1203,$AE101-1200))))</f>
      </c>
      <c r="C101" s="104">
        <f>IF($AE101="","",IF($AE101&lt;=1200,IF(INDEX(对接源_01水果!$E$4:$E$1203,$AE101)=0,"",INDEX(对接源_01水果!$E$4:$E$1203,$AE101)),IF(INDEX(对接源_02物料!$E$4:$E$1203,$AE101-1200)=0,"",INDEX(对接源_02物料!$E$4:$E$1203,$AE101-1200))))</f>
      </c>
      <c r="D101" s="166">
        <f>IF($AE101="","",IF($AE101&lt;=1200,IF(INDEX(对接源_01水果!$V$4:$V$1203,$AE101)=0,"",INDEX(对接源_01水果!$V$4:$V$1203,$AE101)),IF(INDEX(对接源_02物料!$V$4:$V$1203,$AE101-1200)=0,"",INDEX(对接源_02物料!$V$4:$V$1203,$AE101-1200))))</f>
      </c>
      <c r="E101" s="107">
        <f>IF($AE101="","",IF($AE101&lt;=1200,IF(INDEX(对接源_01水果!$C$4:$C$1203,$AE101)=0,"",INDEX(对接源_01水果!$C$4:$C$1203,$AE101)),IF(INDEX(对接源_02物料!$C$4:$C$1203,$AE101-1200)=0,"",INDEX(对接源_02物料!$C$4:$C$1203,$AE101-1200))))</f>
      </c>
      <c r="F101" s="104">
        <f>IF($AE101="","",IF($AE101&lt;=1200,IF(INDEX(对接源_01水果!$W$4:$W$1203,$AE101)=0,"",INDEX(对接源_01水果!$W$4:$W$1203,$AE101)),IF(INDEX(对接源_02物料!$W$4:$W$1203,$AE101-1200)=0,"",INDEX(对接源_02物料!$W$4:$W$1203,$AE101-1200))))</f>
      </c>
      <c r="G101" s="107">
        <f>IF($AE101="","",IF($AE101&lt;=1200,IF(INDEX(对接源_01水果!$D$4:$D$1203,$AE101)=0,"",INDEX(对接源_01水果!$D$4:$D$1203,$AE101)),IF(INDEX(对接源_02物料!$D$4:$D$1203,$AE101-1200)=0,"",INDEX(对接源_02物料!$D$4:$D$1203,$AE101-1200))))</f>
      </c>
      <c r="H101" s="104">
        <f>IF($AE101="","",IF($AE101&lt;=1200,"01水果册","02物料册"))</f>
      </c>
      <c r="I101" s="107">
        <f>IF($AE101="","",IF($AE101&lt;=1200,IF(INDEX(对接源_01水果!$M$4:$M$1203,$AE101)=0,"",INDEX(对接源_01水果!$M$4:$M$1203,$AE101)),IF(INDEX(对接源_02物料!$M$4:$M$1203,$AE101-1200)=0,"",INDEX(对接源_02物料!$M$4:$M$1203,$AE101-1200))))</f>
      </c>
      <c r="AE101" s="2">
        <f>IFERROR(MATCH(96,_自动清单!$W$4:$W$2403,0),"")</f>
      </c>
    </row>
    <row r="102" ht="18" customHeight="1" s="127">
      <c r="A102" s="163">
        <f>IF($AE102="","",IF($AE102&lt;=1200,IF(INDEX(对接源_01水果!$B$4:$B$1203,$AE102)=0,"",INDEX(对接源_01水果!$B$4:$B$1203,$AE102)),IF(INDEX(对接源_02物料!$B$4:$B$1203,$AE102-1200)=0,"",INDEX(对接源_02物料!$B$4:$B$1203,$AE102-1200))))</f>
      </c>
      <c r="B102" s="64">
        <f>IF($AE102="","",IF($AE102&lt;=1200,IF(INDEX(对接源_01水果!$S$4:$S$1203,$AE102)=0,"",INDEX(对接源_01水果!$S$4:$S$1203,$AE102)),IF(INDEX(对接源_02物料!$S$4:$S$1203,$AE102-1200)=0,"",INDEX(对接源_02物料!$S$4:$S$1203,$AE102-1200))))</f>
      </c>
      <c r="C102" s="61">
        <f>IF($AE102="","",IF($AE102&lt;=1200,IF(INDEX(对接源_01水果!$E$4:$E$1203,$AE102)=0,"",INDEX(对接源_01水果!$E$4:$E$1203,$AE102)),IF(INDEX(对接源_02物料!$E$4:$E$1203,$AE102-1200)=0,"",INDEX(对接源_02物料!$E$4:$E$1203,$AE102-1200))))</f>
      </c>
      <c r="D102" s="164">
        <f>IF($AE102="","",IF($AE102&lt;=1200,IF(INDEX(对接源_01水果!$V$4:$V$1203,$AE102)=0,"",INDEX(对接源_01水果!$V$4:$V$1203,$AE102)),IF(INDEX(对接源_02物料!$V$4:$V$1203,$AE102-1200)=0,"",INDEX(对接源_02物料!$V$4:$V$1203,$AE102-1200))))</f>
      </c>
      <c r="E102" s="64">
        <f>IF($AE102="","",IF($AE102&lt;=1200,IF(INDEX(对接源_01水果!$C$4:$C$1203,$AE102)=0,"",INDEX(对接源_01水果!$C$4:$C$1203,$AE102)),IF(INDEX(对接源_02物料!$C$4:$C$1203,$AE102-1200)=0,"",INDEX(对接源_02物料!$C$4:$C$1203,$AE102-1200))))</f>
      </c>
      <c r="F102" s="61">
        <f>IF($AE102="","",IF($AE102&lt;=1200,IF(INDEX(对接源_01水果!$W$4:$W$1203,$AE102)=0,"",INDEX(对接源_01水果!$W$4:$W$1203,$AE102)),IF(INDEX(对接源_02物料!$W$4:$W$1203,$AE102-1200)=0,"",INDEX(对接源_02物料!$W$4:$W$1203,$AE102-1200))))</f>
      </c>
      <c r="G102" s="64">
        <f>IF($AE102="","",IF($AE102&lt;=1200,IF(INDEX(对接源_01水果!$D$4:$D$1203,$AE102)=0,"",INDEX(对接源_01水果!$D$4:$D$1203,$AE102)),IF(INDEX(对接源_02物料!$D$4:$D$1203,$AE102-1200)=0,"",INDEX(对接源_02物料!$D$4:$D$1203,$AE102-1200))))</f>
      </c>
      <c r="H102" s="61">
        <f>IF($AE102="","",IF($AE102&lt;=1200,"01水果册","02物料册"))</f>
      </c>
      <c r="I102" s="64">
        <f>IF($AE102="","",IF($AE102&lt;=1200,IF(INDEX(对接源_01水果!$M$4:$M$1203,$AE102)=0,"",INDEX(对接源_01水果!$M$4:$M$1203,$AE102)),IF(INDEX(对接源_02物料!$M$4:$M$1203,$AE102-1200)=0,"",INDEX(对接源_02物料!$M$4:$M$1203,$AE102-1200))))</f>
      </c>
      <c r="AE102" s="2">
        <f>IFERROR(MATCH(97,_自动清单!$W$4:$W$2403,0),"")</f>
      </c>
    </row>
    <row r="103" ht="18" customHeight="1" s="127">
      <c r="A103" s="165">
        <f>IF($AE103="","",IF($AE103&lt;=1200,IF(INDEX(对接源_01水果!$B$4:$B$1203,$AE103)=0,"",INDEX(对接源_01水果!$B$4:$B$1203,$AE103)),IF(INDEX(对接源_02物料!$B$4:$B$1203,$AE103-1200)=0,"",INDEX(对接源_02物料!$B$4:$B$1203,$AE103-1200))))</f>
      </c>
      <c r="B103" s="107">
        <f>IF($AE103="","",IF($AE103&lt;=1200,IF(INDEX(对接源_01水果!$S$4:$S$1203,$AE103)=0,"",INDEX(对接源_01水果!$S$4:$S$1203,$AE103)),IF(INDEX(对接源_02物料!$S$4:$S$1203,$AE103-1200)=0,"",INDEX(对接源_02物料!$S$4:$S$1203,$AE103-1200))))</f>
      </c>
      <c r="C103" s="104">
        <f>IF($AE103="","",IF($AE103&lt;=1200,IF(INDEX(对接源_01水果!$E$4:$E$1203,$AE103)=0,"",INDEX(对接源_01水果!$E$4:$E$1203,$AE103)),IF(INDEX(对接源_02物料!$E$4:$E$1203,$AE103-1200)=0,"",INDEX(对接源_02物料!$E$4:$E$1203,$AE103-1200))))</f>
      </c>
      <c r="D103" s="166">
        <f>IF($AE103="","",IF($AE103&lt;=1200,IF(INDEX(对接源_01水果!$V$4:$V$1203,$AE103)=0,"",INDEX(对接源_01水果!$V$4:$V$1203,$AE103)),IF(INDEX(对接源_02物料!$V$4:$V$1203,$AE103-1200)=0,"",INDEX(对接源_02物料!$V$4:$V$1203,$AE103-1200))))</f>
      </c>
      <c r="E103" s="107">
        <f>IF($AE103="","",IF($AE103&lt;=1200,IF(INDEX(对接源_01水果!$C$4:$C$1203,$AE103)=0,"",INDEX(对接源_01水果!$C$4:$C$1203,$AE103)),IF(INDEX(对接源_02物料!$C$4:$C$1203,$AE103-1200)=0,"",INDEX(对接源_02物料!$C$4:$C$1203,$AE103-1200))))</f>
      </c>
      <c r="F103" s="104">
        <f>IF($AE103="","",IF($AE103&lt;=1200,IF(INDEX(对接源_01水果!$W$4:$W$1203,$AE103)=0,"",INDEX(对接源_01水果!$W$4:$W$1203,$AE103)),IF(INDEX(对接源_02物料!$W$4:$W$1203,$AE103-1200)=0,"",INDEX(对接源_02物料!$W$4:$W$1203,$AE103-1200))))</f>
      </c>
      <c r="G103" s="107">
        <f>IF($AE103="","",IF($AE103&lt;=1200,IF(INDEX(对接源_01水果!$D$4:$D$1203,$AE103)=0,"",INDEX(对接源_01水果!$D$4:$D$1203,$AE103)),IF(INDEX(对接源_02物料!$D$4:$D$1203,$AE103-1200)=0,"",INDEX(对接源_02物料!$D$4:$D$1203,$AE103-1200))))</f>
      </c>
      <c r="H103" s="104">
        <f>IF($AE103="","",IF($AE103&lt;=1200,"01水果册","02物料册"))</f>
      </c>
      <c r="I103" s="107">
        <f>IF($AE103="","",IF($AE103&lt;=1200,IF(INDEX(对接源_01水果!$M$4:$M$1203,$AE103)=0,"",INDEX(对接源_01水果!$M$4:$M$1203,$AE103)),IF(INDEX(对接源_02物料!$M$4:$M$1203,$AE103-1200)=0,"",INDEX(对接源_02物料!$M$4:$M$1203,$AE103-1200))))</f>
      </c>
      <c r="AE103" s="2">
        <f>IFERROR(MATCH(98,_自动清单!$W$4:$W$2403,0),"")</f>
      </c>
    </row>
    <row r="104" ht="18" customHeight="1" s="127">
      <c r="A104" s="163">
        <f>IF($AE104="","",IF($AE104&lt;=1200,IF(INDEX(对接源_01水果!$B$4:$B$1203,$AE104)=0,"",INDEX(对接源_01水果!$B$4:$B$1203,$AE104)),IF(INDEX(对接源_02物料!$B$4:$B$1203,$AE104-1200)=0,"",INDEX(对接源_02物料!$B$4:$B$1203,$AE104-1200))))</f>
      </c>
      <c r="B104" s="64">
        <f>IF($AE104="","",IF($AE104&lt;=1200,IF(INDEX(对接源_01水果!$S$4:$S$1203,$AE104)=0,"",INDEX(对接源_01水果!$S$4:$S$1203,$AE104)),IF(INDEX(对接源_02物料!$S$4:$S$1203,$AE104-1200)=0,"",INDEX(对接源_02物料!$S$4:$S$1203,$AE104-1200))))</f>
      </c>
      <c r="C104" s="61">
        <f>IF($AE104="","",IF($AE104&lt;=1200,IF(INDEX(对接源_01水果!$E$4:$E$1203,$AE104)=0,"",INDEX(对接源_01水果!$E$4:$E$1203,$AE104)),IF(INDEX(对接源_02物料!$E$4:$E$1203,$AE104-1200)=0,"",INDEX(对接源_02物料!$E$4:$E$1203,$AE104-1200))))</f>
      </c>
      <c r="D104" s="164">
        <f>IF($AE104="","",IF($AE104&lt;=1200,IF(INDEX(对接源_01水果!$V$4:$V$1203,$AE104)=0,"",INDEX(对接源_01水果!$V$4:$V$1203,$AE104)),IF(INDEX(对接源_02物料!$V$4:$V$1203,$AE104-1200)=0,"",INDEX(对接源_02物料!$V$4:$V$1203,$AE104-1200))))</f>
      </c>
      <c r="E104" s="64">
        <f>IF($AE104="","",IF($AE104&lt;=1200,IF(INDEX(对接源_01水果!$C$4:$C$1203,$AE104)=0,"",INDEX(对接源_01水果!$C$4:$C$1203,$AE104)),IF(INDEX(对接源_02物料!$C$4:$C$1203,$AE104-1200)=0,"",INDEX(对接源_02物料!$C$4:$C$1203,$AE104-1200))))</f>
      </c>
      <c r="F104" s="61">
        <f>IF($AE104="","",IF($AE104&lt;=1200,IF(INDEX(对接源_01水果!$W$4:$W$1203,$AE104)=0,"",INDEX(对接源_01水果!$W$4:$W$1203,$AE104)),IF(INDEX(对接源_02物料!$W$4:$W$1203,$AE104-1200)=0,"",INDEX(对接源_02物料!$W$4:$W$1203,$AE104-1200))))</f>
      </c>
      <c r="G104" s="64">
        <f>IF($AE104="","",IF($AE104&lt;=1200,IF(INDEX(对接源_01水果!$D$4:$D$1203,$AE104)=0,"",INDEX(对接源_01水果!$D$4:$D$1203,$AE104)),IF(INDEX(对接源_02物料!$D$4:$D$1203,$AE104-1200)=0,"",INDEX(对接源_02物料!$D$4:$D$1203,$AE104-1200))))</f>
      </c>
      <c r="H104" s="61">
        <f>IF($AE104="","",IF($AE104&lt;=1200,"01水果册","02物料册"))</f>
      </c>
      <c r="I104" s="64">
        <f>IF($AE104="","",IF($AE104&lt;=1200,IF(INDEX(对接源_01水果!$M$4:$M$1203,$AE104)=0,"",INDEX(对接源_01水果!$M$4:$M$1203,$AE104)),IF(INDEX(对接源_02物料!$M$4:$M$1203,$AE104-1200)=0,"",INDEX(对接源_02物料!$M$4:$M$1203,$AE104-1200))))</f>
      </c>
      <c r="AE104" s="2">
        <f>IFERROR(MATCH(99,_自动清单!$W$4:$W$2403,0),"")</f>
      </c>
    </row>
    <row r="105" ht="18" customHeight="1" s="127">
      <c r="A105" s="165">
        <f>IF($AE105="","",IF($AE105&lt;=1200,IF(INDEX(对接源_01水果!$B$4:$B$1203,$AE105)=0,"",INDEX(对接源_01水果!$B$4:$B$1203,$AE105)),IF(INDEX(对接源_02物料!$B$4:$B$1203,$AE105-1200)=0,"",INDEX(对接源_02物料!$B$4:$B$1203,$AE105-1200))))</f>
      </c>
      <c r="B105" s="107">
        <f>IF($AE105="","",IF($AE105&lt;=1200,IF(INDEX(对接源_01水果!$S$4:$S$1203,$AE105)=0,"",INDEX(对接源_01水果!$S$4:$S$1203,$AE105)),IF(INDEX(对接源_02物料!$S$4:$S$1203,$AE105-1200)=0,"",INDEX(对接源_02物料!$S$4:$S$1203,$AE105-1200))))</f>
      </c>
      <c r="C105" s="104">
        <f>IF($AE105="","",IF($AE105&lt;=1200,IF(INDEX(对接源_01水果!$E$4:$E$1203,$AE105)=0,"",INDEX(对接源_01水果!$E$4:$E$1203,$AE105)),IF(INDEX(对接源_02物料!$E$4:$E$1203,$AE105-1200)=0,"",INDEX(对接源_02物料!$E$4:$E$1203,$AE105-1200))))</f>
      </c>
      <c r="D105" s="166">
        <f>IF($AE105="","",IF($AE105&lt;=1200,IF(INDEX(对接源_01水果!$V$4:$V$1203,$AE105)=0,"",INDEX(对接源_01水果!$V$4:$V$1203,$AE105)),IF(INDEX(对接源_02物料!$V$4:$V$1203,$AE105-1200)=0,"",INDEX(对接源_02物料!$V$4:$V$1203,$AE105-1200))))</f>
      </c>
      <c r="E105" s="107">
        <f>IF($AE105="","",IF($AE105&lt;=1200,IF(INDEX(对接源_01水果!$C$4:$C$1203,$AE105)=0,"",INDEX(对接源_01水果!$C$4:$C$1203,$AE105)),IF(INDEX(对接源_02物料!$C$4:$C$1203,$AE105-1200)=0,"",INDEX(对接源_02物料!$C$4:$C$1203,$AE105-1200))))</f>
      </c>
      <c r="F105" s="104">
        <f>IF($AE105="","",IF($AE105&lt;=1200,IF(INDEX(对接源_01水果!$W$4:$W$1203,$AE105)=0,"",INDEX(对接源_01水果!$W$4:$W$1203,$AE105)),IF(INDEX(对接源_02物料!$W$4:$W$1203,$AE105-1200)=0,"",INDEX(对接源_02物料!$W$4:$W$1203,$AE105-1200))))</f>
      </c>
      <c r="G105" s="107">
        <f>IF($AE105="","",IF($AE105&lt;=1200,IF(INDEX(对接源_01水果!$D$4:$D$1203,$AE105)=0,"",INDEX(对接源_01水果!$D$4:$D$1203,$AE105)),IF(INDEX(对接源_02物料!$D$4:$D$1203,$AE105-1200)=0,"",INDEX(对接源_02物料!$D$4:$D$1203,$AE105-1200))))</f>
      </c>
      <c r="H105" s="104">
        <f>IF($AE105="","",IF($AE105&lt;=1200,"01水果册","02物料册"))</f>
      </c>
      <c r="I105" s="107">
        <f>IF($AE105="","",IF($AE105&lt;=1200,IF(INDEX(对接源_01水果!$M$4:$M$1203,$AE105)=0,"",INDEX(对接源_01水果!$M$4:$M$1203,$AE105)),IF(INDEX(对接源_02物料!$M$4:$M$1203,$AE105-1200)=0,"",INDEX(对接源_02物料!$M$4:$M$1203,$AE105-1200))))</f>
      </c>
      <c r="AE105" s="2">
        <f>IFERROR(MATCH(100,_自动清单!$W$4:$W$2403,0),"")</f>
      </c>
    </row>
    <row r="106"/>
    <row r="107" ht="24" customHeight="1" s="127">
      <c r="A107" s="54" t="inlineStr">
        <is>
          <t>自备筐出库（随货带走/退还）总数</t>
        </is>
      </c>
      <c r="B107" s="160" t="n"/>
      <c r="C107" s="160" t="n"/>
      <c r="D107" s="160" t="n"/>
      <c r="E107" s="160" t="n"/>
      <c r="F107" s="158" t="n"/>
      <c r="G107" s="161">
        <f>ROUND(SUMIFS(对接源_01水果!$T$4:$T$1203,对接源_01水果!$C$4:$C$1203,$B$2,对接源_01水果!$B$4:$B$1203,"&gt;="&amp;$P$1,对接源_01水果!$B$4:$B$1203,"&lt;="&amp;$P$2,对接源_01水果!$X$4:$X$1203,"自备筐")+SUMIFS(对接源_02物料!$T$4:$T$1203,对接源_02物料!$C$4:$C$1203,$B$2,对接源_02物料!$B$4:$B$1203,"&gt;="&amp;$P$1,对接源_02物料!$B$4:$B$1203,"&lt;="&amp;$P$2,对接源_02物料!$X$4:$X$1203,"自备筐"),0)</f>
        <v>0</v>
      </c>
      <c r="H107" s="160" t="n"/>
      <c r="I107" s="158" t="n"/>
    </row>
    <row r="108" ht="30" customHeight="1" s="127">
      <c r="A108" s="59" t="inlineStr">
        <is>
          <t>日　期</t>
        </is>
      </c>
      <c r="B108" s="59" t="inlineStr">
        <is>
          <t>筐子类型</t>
        </is>
      </c>
      <c r="C108" s="59" t="inlineStr">
        <is>
          <t>票据单号</t>
        </is>
      </c>
      <c r="D108" s="59" t="inlineStr">
        <is>
          <t>出库数量</t>
        </is>
      </c>
      <c r="E108" s="59" t="inlineStr">
        <is>
          <t>客　户</t>
        </is>
      </c>
      <c r="F108" s="59" t="inlineStr">
        <is>
          <t>承运人车牌号</t>
        </is>
      </c>
      <c r="G108" s="59" t="inlineStr">
        <is>
          <t>业务类别</t>
        </is>
      </c>
      <c r="H108" s="59" t="inlineStr">
        <is>
          <t>来源册</t>
        </is>
      </c>
      <c r="I108" s="59" t="inlineStr">
        <is>
          <t>备　注</t>
        </is>
      </c>
    </row>
    <row r="109" ht="18" customHeight="1" s="127">
      <c r="A109" s="163">
        <f>IF($AF109="","",IF($AF109&lt;=1200,IF(INDEX(对接源_01水果!$B$4:$B$1203,$AF109)=0,"",INDEX(对接源_01水果!$B$4:$B$1203,$AF109)),IF(INDEX(对接源_02物料!$B$4:$B$1203,$AF109-1200)=0,"",INDEX(对接源_02物料!$B$4:$B$1203,$AF109-1200))))</f>
      </c>
      <c r="B109" s="64">
        <f>IF($AF109="","",IF($AF109&lt;=1200,IF(INDEX(对接源_01水果!$S$4:$S$1203,$AF109)=0,"",INDEX(对接源_01水果!$S$4:$S$1203,$AF109)),IF(INDEX(对接源_02物料!$S$4:$S$1203,$AF109-1200)=0,"",INDEX(对接源_02物料!$S$4:$S$1203,$AF109-1200))))</f>
      </c>
      <c r="C109" s="61">
        <f>IF($AF109="","",IF($AF109&lt;=1200,IF(INDEX(对接源_01水果!$E$4:$E$1203,$AF109)=0,"",INDEX(对接源_01水果!$E$4:$E$1203,$AF109)),IF(INDEX(对接源_02物料!$E$4:$E$1203,$AF109-1200)=0,"",INDEX(对接源_02物料!$E$4:$E$1203,$AF109-1200))))</f>
      </c>
      <c r="D109" s="164">
        <f>IF($AF109="","",IF($AF109&lt;=1200,IF(INDEX(对接源_01水果!$T$4:$T$1203,$AF109)=0,"",INDEX(对接源_01水果!$T$4:$T$1203,$AF109)),IF(INDEX(对接源_02物料!$T$4:$T$1203,$AF109-1200)=0,"",INDEX(对接源_02物料!$T$4:$T$1203,$AF109-1200))))</f>
      </c>
      <c r="E109" s="64">
        <f>IF($AF109="","",IF($AF109&lt;=1200,IF(INDEX(对接源_01水果!$C$4:$C$1203,$AF109)=0,"",INDEX(对接源_01水果!$C$4:$C$1203,$AF109)),IF(INDEX(对接源_02物料!$C$4:$C$1203,$AF109-1200)=0,"",INDEX(对接源_02物料!$C$4:$C$1203,$AF109-1200))))</f>
      </c>
      <c r="F109" s="61">
        <f>IF($AF109="","",IF($AF109&lt;=1200,IF(INDEX(对接源_01水果!$W$4:$W$1203,$AF109)=0,"",INDEX(对接源_01水果!$W$4:$W$1203,$AF109)),IF(INDEX(对接源_02物料!$W$4:$W$1203,$AF109-1200)=0,"",INDEX(对接源_02物料!$W$4:$W$1203,$AF109-1200))))</f>
      </c>
      <c r="G109" s="64">
        <f>IF($AF109="","",IF($AF109&lt;=1200,IF(INDEX(对接源_01水果!$D$4:$D$1203,$AF109)=0,"",INDEX(对接源_01水果!$D$4:$D$1203,$AF109)),IF(INDEX(对接源_02物料!$D$4:$D$1203,$AF109-1200)=0,"",INDEX(对接源_02物料!$D$4:$D$1203,$AF109-1200))))</f>
      </c>
      <c r="H109" s="61">
        <f>IF($AF109="","",IF($AF109&lt;=1200,"01水果册","02物料册"))</f>
      </c>
      <c r="I109" s="64">
        <f>IF($AF109="","",IF($AF109&lt;=1200,IF(INDEX(对接源_01水果!$M$4:$M$1203,$AF109)=0,"",INDEX(对接源_01水果!$M$4:$M$1203,$AF109)),IF(INDEX(对接源_02物料!$M$4:$M$1203,$AF109-1200)=0,"",INDEX(对接源_02物料!$M$4:$M$1203,$AF109-1200))))</f>
      </c>
      <c r="AF109" s="2">
        <f>IFERROR(MATCH(1,_自动清单!$Y$4:$Y$2403,0),"")</f>
      </c>
    </row>
    <row r="110" ht="18" customHeight="1" s="127">
      <c r="A110" s="165">
        <f>IF($AF110="","",IF($AF110&lt;=1200,IF(INDEX(对接源_01水果!$B$4:$B$1203,$AF110)=0,"",INDEX(对接源_01水果!$B$4:$B$1203,$AF110)),IF(INDEX(对接源_02物料!$B$4:$B$1203,$AF110-1200)=0,"",INDEX(对接源_02物料!$B$4:$B$1203,$AF110-1200))))</f>
      </c>
      <c r="B110" s="107">
        <f>IF($AF110="","",IF($AF110&lt;=1200,IF(INDEX(对接源_01水果!$S$4:$S$1203,$AF110)=0,"",INDEX(对接源_01水果!$S$4:$S$1203,$AF110)),IF(INDEX(对接源_02物料!$S$4:$S$1203,$AF110-1200)=0,"",INDEX(对接源_02物料!$S$4:$S$1203,$AF110-1200))))</f>
      </c>
      <c r="C110" s="104">
        <f>IF($AF110="","",IF($AF110&lt;=1200,IF(INDEX(对接源_01水果!$E$4:$E$1203,$AF110)=0,"",INDEX(对接源_01水果!$E$4:$E$1203,$AF110)),IF(INDEX(对接源_02物料!$E$4:$E$1203,$AF110-1200)=0,"",INDEX(对接源_02物料!$E$4:$E$1203,$AF110-1200))))</f>
      </c>
      <c r="D110" s="166">
        <f>IF($AF110="","",IF($AF110&lt;=1200,IF(INDEX(对接源_01水果!$T$4:$T$1203,$AF110)=0,"",INDEX(对接源_01水果!$T$4:$T$1203,$AF110)),IF(INDEX(对接源_02物料!$T$4:$T$1203,$AF110-1200)=0,"",INDEX(对接源_02物料!$T$4:$T$1203,$AF110-1200))))</f>
      </c>
      <c r="E110" s="107">
        <f>IF($AF110="","",IF($AF110&lt;=1200,IF(INDEX(对接源_01水果!$C$4:$C$1203,$AF110)=0,"",INDEX(对接源_01水果!$C$4:$C$1203,$AF110)),IF(INDEX(对接源_02物料!$C$4:$C$1203,$AF110-1200)=0,"",INDEX(对接源_02物料!$C$4:$C$1203,$AF110-1200))))</f>
      </c>
      <c r="F110" s="104">
        <f>IF($AF110="","",IF($AF110&lt;=1200,IF(INDEX(对接源_01水果!$W$4:$W$1203,$AF110)=0,"",INDEX(对接源_01水果!$W$4:$W$1203,$AF110)),IF(INDEX(对接源_02物料!$W$4:$W$1203,$AF110-1200)=0,"",INDEX(对接源_02物料!$W$4:$W$1203,$AF110-1200))))</f>
      </c>
      <c r="G110" s="107">
        <f>IF($AF110="","",IF($AF110&lt;=1200,IF(INDEX(对接源_01水果!$D$4:$D$1203,$AF110)=0,"",INDEX(对接源_01水果!$D$4:$D$1203,$AF110)),IF(INDEX(对接源_02物料!$D$4:$D$1203,$AF110-1200)=0,"",INDEX(对接源_02物料!$D$4:$D$1203,$AF110-1200))))</f>
      </c>
      <c r="H110" s="104">
        <f>IF($AF110="","",IF($AF110&lt;=1200,"01水果册","02物料册"))</f>
      </c>
      <c r="I110" s="107">
        <f>IF($AF110="","",IF($AF110&lt;=1200,IF(INDEX(对接源_01水果!$M$4:$M$1203,$AF110)=0,"",INDEX(对接源_01水果!$M$4:$M$1203,$AF110)),IF(INDEX(对接源_02物料!$M$4:$M$1203,$AF110-1200)=0,"",INDEX(对接源_02物料!$M$4:$M$1203,$AF110-1200))))</f>
      </c>
      <c r="AF110" s="2">
        <f>IFERROR(MATCH(2,_自动清单!$Y$4:$Y$2403,0),"")</f>
      </c>
    </row>
    <row r="111" ht="18" customHeight="1" s="127">
      <c r="A111" s="163">
        <f>IF($AF111="","",IF($AF111&lt;=1200,IF(INDEX(对接源_01水果!$B$4:$B$1203,$AF111)=0,"",INDEX(对接源_01水果!$B$4:$B$1203,$AF111)),IF(INDEX(对接源_02物料!$B$4:$B$1203,$AF111-1200)=0,"",INDEX(对接源_02物料!$B$4:$B$1203,$AF111-1200))))</f>
      </c>
      <c r="B111" s="64">
        <f>IF($AF111="","",IF($AF111&lt;=1200,IF(INDEX(对接源_01水果!$S$4:$S$1203,$AF111)=0,"",INDEX(对接源_01水果!$S$4:$S$1203,$AF111)),IF(INDEX(对接源_02物料!$S$4:$S$1203,$AF111-1200)=0,"",INDEX(对接源_02物料!$S$4:$S$1203,$AF111-1200))))</f>
      </c>
      <c r="C111" s="61">
        <f>IF($AF111="","",IF($AF111&lt;=1200,IF(INDEX(对接源_01水果!$E$4:$E$1203,$AF111)=0,"",INDEX(对接源_01水果!$E$4:$E$1203,$AF111)),IF(INDEX(对接源_02物料!$E$4:$E$1203,$AF111-1200)=0,"",INDEX(对接源_02物料!$E$4:$E$1203,$AF111-1200))))</f>
      </c>
      <c r="D111" s="164">
        <f>IF($AF111="","",IF($AF111&lt;=1200,IF(INDEX(对接源_01水果!$T$4:$T$1203,$AF111)=0,"",INDEX(对接源_01水果!$T$4:$T$1203,$AF111)),IF(INDEX(对接源_02物料!$T$4:$T$1203,$AF111-1200)=0,"",INDEX(对接源_02物料!$T$4:$T$1203,$AF111-1200))))</f>
      </c>
      <c r="E111" s="64">
        <f>IF($AF111="","",IF($AF111&lt;=1200,IF(INDEX(对接源_01水果!$C$4:$C$1203,$AF111)=0,"",INDEX(对接源_01水果!$C$4:$C$1203,$AF111)),IF(INDEX(对接源_02物料!$C$4:$C$1203,$AF111-1200)=0,"",INDEX(对接源_02物料!$C$4:$C$1203,$AF111-1200))))</f>
      </c>
      <c r="F111" s="61">
        <f>IF($AF111="","",IF($AF111&lt;=1200,IF(INDEX(对接源_01水果!$W$4:$W$1203,$AF111)=0,"",INDEX(对接源_01水果!$W$4:$W$1203,$AF111)),IF(INDEX(对接源_02物料!$W$4:$W$1203,$AF111-1200)=0,"",INDEX(对接源_02物料!$W$4:$W$1203,$AF111-1200))))</f>
      </c>
      <c r="G111" s="64">
        <f>IF($AF111="","",IF($AF111&lt;=1200,IF(INDEX(对接源_01水果!$D$4:$D$1203,$AF111)=0,"",INDEX(对接源_01水果!$D$4:$D$1203,$AF111)),IF(INDEX(对接源_02物料!$D$4:$D$1203,$AF111-1200)=0,"",INDEX(对接源_02物料!$D$4:$D$1203,$AF111-1200))))</f>
      </c>
      <c r="H111" s="61">
        <f>IF($AF111="","",IF($AF111&lt;=1200,"01水果册","02物料册"))</f>
      </c>
      <c r="I111" s="64">
        <f>IF($AF111="","",IF($AF111&lt;=1200,IF(INDEX(对接源_01水果!$M$4:$M$1203,$AF111)=0,"",INDEX(对接源_01水果!$M$4:$M$1203,$AF111)),IF(INDEX(对接源_02物料!$M$4:$M$1203,$AF111-1200)=0,"",INDEX(对接源_02物料!$M$4:$M$1203,$AF111-1200))))</f>
      </c>
      <c r="AF111" s="2">
        <f>IFERROR(MATCH(3,_自动清单!$Y$4:$Y$2403,0),"")</f>
      </c>
    </row>
    <row r="112" ht="18" customHeight="1" s="127">
      <c r="A112" s="165">
        <f>IF($AF112="","",IF($AF112&lt;=1200,IF(INDEX(对接源_01水果!$B$4:$B$1203,$AF112)=0,"",INDEX(对接源_01水果!$B$4:$B$1203,$AF112)),IF(INDEX(对接源_02物料!$B$4:$B$1203,$AF112-1200)=0,"",INDEX(对接源_02物料!$B$4:$B$1203,$AF112-1200))))</f>
      </c>
      <c r="B112" s="107">
        <f>IF($AF112="","",IF($AF112&lt;=1200,IF(INDEX(对接源_01水果!$S$4:$S$1203,$AF112)=0,"",INDEX(对接源_01水果!$S$4:$S$1203,$AF112)),IF(INDEX(对接源_02物料!$S$4:$S$1203,$AF112-1200)=0,"",INDEX(对接源_02物料!$S$4:$S$1203,$AF112-1200))))</f>
      </c>
      <c r="C112" s="104">
        <f>IF($AF112="","",IF($AF112&lt;=1200,IF(INDEX(对接源_01水果!$E$4:$E$1203,$AF112)=0,"",INDEX(对接源_01水果!$E$4:$E$1203,$AF112)),IF(INDEX(对接源_02物料!$E$4:$E$1203,$AF112-1200)=0,"",INDEX(对接源_02物料!$E$4:$E$1203,$AF112-1200))))</f>
      </c>
      <c r="D112" s="166">
        <f>IF($AF112="","",IF($AF112&lt;=1200,IF(INDEX(对接源_01水果!$T$4:$T$1203,$AF112)=0,"",INDEX(对接源_01水果!$T$4:$T$1203,$AF112)),IF(INDEX(对接源_02物料!$T$4:$T$1203,$AF112-1200)=0,"",INDEX(对接源_02物料!$T$4:$T$1203,$AF112-1200))))</f>
      </c>
      <c r="E112" s="107">
        <f>IF($AF112="","",IF($AF112&lt;=1200,IF(INDEX(对接源_01水果!$C$4:$C$1203,$AF112)=0,"",INDEX(对接源_01水果!$C$4:$C$1203,$AF112)),IF(INDEX(对接源_02物料!$C$4:$C$1203,$AF112-1200)=0,"",INDEX(对接源_02物料!$C$4:$C$1203,$AF112-1200))))</f>
      </c>
      <c r="F112" s="104">
        <f>IF($AF112="","",IF($AF112&lt;=1200,IF(INDEX(对接源_01水果!$W$4:$W$1203,$AF112)=0,"",INDEX(对接源_01水果!$W$4:$W$1203,$AF112)),IF(INDEX(对接源_02物料!$W$4:$W$1203,$AF112-1200)=0,"",INDEX(对接源_02物料!$W$4:$W$1203,$AF112-1200))))</f>
      </c>
      <c r="G112" s="107">
        <f>IF($AF112="","",IF($AF112&lt;=1200,IF(INDEX(对接源_01水果!$D$4:$D$1203,$AF112)=0,"",INDEX(对接源_01水果!$D$4:$D$1203,$AF112)),IF(INDEX(对接源_02物料!$D$4:$D$1203,$AF112-1200)=0,"",INDEX(对接源_02物料!$D$4:$D$1203,$AF112-1200))))</f>
      </c>
      <c r="H112" s="104">
        <f>IF($AF112="","",IF($AF112&lt;=1200,"01水果册","02物料册"))</f>
      </c>
      <c r="I112" s="107">
        <f>IF($AF112="","",IF($AF112&lt;=1200,IF(INDEX(对接源_01水果!$M$4:$M$1203,$AF112)=0,"",INDEX(对接源_01水果!$M$4:$M$1203,$AF112)),IF(INDEX(对接源_02物料!$M$4:$M$1203,$AF112-1200)=0,"",INDEX(对接源_02物料!$M$4:$M$1203,$AF112-1200))))</f>
      </c>
      <c r="AF112" s="2">
        <f>IFERROR(MATCH(4,_自动清单!$Y$4:$Y$2403,0),"")</f>
      </c>
    </row>
    <row r="113" ht="18" customHeight="1" s="127">
      <c r="A113" s="163">
        <f>IF($AF113="","",IF($AF113&lt;=1200,IF(INDEX(对接源_01水果!$B$4:$B$1203,$AF113)=0,"",INDEX(对接源_01水果!$B$4:$B$1203,$AF113)),IF(INDEX(对接源_02物料!$B$4:$B$1203,$AF113-1200)=0,"",INDEX(对接源_02物料!$B$4:$B$1203,$AF113-1200))))</f>
      </c>
      <c r="B113" s="64">
        <f>IF($AF113="","",IF($AF113&lt;=1200,IF(INDEX(对接源_01水果!$S$4:$S$1203,$AF113)=0,"",INDEX(对接源_01水果!$S$4:$S$1203,$AF113)),IF(INDEX(对接源_02物料!$S$4:$S$1203,$AF113-1200)=0,"",INDEX(对接源_02物料!$S$4:$S$1203,$AF113-1200))))</f>
      </c>
      <c r="C113" s="61">
        <f>IF($AF113="","",IF($AF113&lt;=1200,IF(INDEX(对接源_01水果!$E$4:$E$1203,$AF113)=0,"",INDEX(对接源_01水果!$E$4:$E$1203,$AF113)),IF(INDEX(对接源_02物料!$E$4:$E$1203,$AF113-1200)=0,"",INDEX(对接源_02物料!$E$4:$E$1203,$AF113-1200))))</f>
      </c>
      <c r="D113" s="164">
        <f>IF($AF113="","",IF($AF113&lt;=1200,IF(INDEX(对接源_01水果!$T$4:$T$1203,$AF113)=0,"",INDEX(对接源_01水果!$T$4:$T$1203,$AF113)),IF(INDEX(对接源_02物料!$T$4:$T$1203,$AF113-1200)=0,"",INDEX(对接源_02物料!$T$4:$T$1203,$AF113-1200))))</f>
      </c>
      <c r="E113" s="64">
        <f>IF($AF113="","",IF($AF113&lt;=1200,IF(INDEX(对接源_01水果!$C$4:$C$1203,$AF113)=0,"",INDEX(对接源_01水果!$C$4:$C$1203,$AF113)),IF(INDEX(对接源_02物料!$C$4:$C$1203,$AF113-1200)=0,"",INDEX(对接源_02物料!$C$4:$C$1203,$AF113-1200))))</f>
      </c>
      <c r="F113" s="61">
        <f>IF($AF113="","",IF($AF113&lt;=1200,IF(INDEX(对接源_01水果!$W$4:$W$1203,$AF113)=0,"",INDEX(对接源_01水果!$W$4:$W$1203,$AF113)),IF(INDEX(对接源_02物料!$W$4:$W$1203,$AF113-1200)=0,"",INDEX(对接源_02物料!$W$4:$W$1203,$AF113-1200))))</f>
      </c>
      <c r="G113" s="64">
        <f>IF($AF113="","",IF($AF113&lt;=1200,IF(INDEX(对接源_01水果!$D$4:$D$1203,$AF113)=0,"",INDEX(对接源_01水果!$D$4:$D$1203,$AF113)),IF(INDEX(对接源_02物料!$D$4:$D$1203,$AF113-1200)=0,"",INDEX(对接源_02物料!$D$4:$D$1203,$AF113-1200))))</f>
      </c>
      <c r="H113" s="61">
        <f>IF($AF113="","",IF($AF113&lt;=1200,"01水果册","02物料册"))</f>
      </c>
      <c r="I113" s="64">
        <f>IF($AF113="","",IF($AF113&lt;=1200,IF(INDEX(对接源_01水果!$M$4:$M$1203,$AF113)=0,"",INDEX(对接源_01水果!$M$4:$M$1203,$AF113)),IF(INDEX(对接源_02物料!$M$4:$M$1203,$AF113-1200)=0,"",INDEX(对接源_02物料!$M$4:$M$1203,$AF113-1200))))</f>
      </c>
      <c r="AF113" s="2">
        <f>IFERROR(MATCH(5,_自动清单!$Y$4:$Y$2403,0),"")</f>
      </c>
    </row>
    <row r="114" ht="18" customHeight="1" s="127">
      <c r="A114" s="165">
        <f>IF($AF114="","",IF($AF114&lt;=1200,IF(INDEX(对接源_01水果!$B$4:$B$1203,$AF114)=0,"",INDEX(对接源_01水果!$B$4:$B$1203,$AF114)),IF(INDEX(对接源_02物料!$B$4:$B$1203,$AF114-1200)=0,"",INDEX(对接源_02物料!$B$4:$B$1203,$AF114-1200))))</f>
      </c>
      <c r="B114" s="107">
        <f>IF($AF114="","",IF($AF114&lt;=1200,IF(INDEX(对接源_01水果!$S$4:$S$1203,$AF114)=0,"",INDEX(对接源_01水果!$S$4:$S$1203,$AF114)),IF(INDEX(对接源_02物料!$S$4:$S$1203,$AF114-1200)=0,"",INDEX(对接源_02物料!$S$4:$S$1203,$AF114-1200))))</f>
      </c>
      <c r="C114" s="104">
        <f>IF($AF114="","",IF($AF114&lt;=1200,IF(INDEX(对接源_01水果!$E$4:$E$1203,$AF114)=0,"",INDEX(对接源_01水果!$E$4:$E$1203,$AF114)),IF(INDEX(对接源_02物料!$E$4:$E$1203,$AF114-1200)=0,"",INDEX(对接源_02物料!$E$4:$E$1203,$AF114-1200))))</f>
      </c>
      <c r="D114" s="166">
        <f>IF($AF114="","",IF($AF114&lt;=1200,IF(INDEX(对接源_01水果!$T$4:$T$1203,$AF114)=0,"",INDEX(对接源_01水果!$T$4:$T$1203,$AF114)),IF(INDEX(对接源_02物料!$T$4:$T$1203,$AF114-1200)=0,"",INDEX(对接源_02物料!$T$4:$T$1203,$AF114-1200))))</f>
      </c>
      <c r="E114" s="107">
        <f>IF($AF114="","",IF($AF114&lt;=1200,IF(INDEX(对接源_01水果!$C$4:$C$1203,$AF114)=0,"",INDEX(对接源_01水果!$C$4:$C$1203,$AF114)),IF(INDEX(对接源_02物料!$C$4:$C$1203,$AF114-1200)=0,"",INDEX(对接源_02物料!$C$4:$C$1203,$AF114-1200))))</f>
      </c>
      <c r="F114" s="104">
        <f>IF($AF114="","",IF($AF114&lt;=1200,IF(INDEX(对接源_01水果!$W$4:$W$1203,$AF114)=0,"",INDEX(对接源_01水果!$W$4:$W$1203,$AF114)),IF(INDEX(对接源_02物料!$W$4:$W$1203,$AF114-1200)=0,"",INDEX(对接源_02物料!$W$4:$W$1203,$AF114-1200))))</f>
      </c>
      <c r="G114" s="107">
        <f>IF($AF114="","",IF($AF114&lt;=1200,IF(INDEX(对接源_01水果!$D$4:$D$1203,$AF114)=0,"",INDEX(对接源_01水果!$D$4:$D$1203,$AF114)),IF(INDEX(对接源_02物料!$D$4:$D$1203,$AF114-1200)=0,"",INDEX(对接源_02物料!$D$4:$D$1203,$AF114-1200))))</f>
      </c>
      <c r="H114" s="104">
        <f>IF($AF114="","",IF($AF114&lt;=1200,"01水果册","02物料册"))</f>
      </c>
      <c r="I114" s="107">
        <f>IF($AF114="","",IF($AF114&lt;=1200,IF(INDEX(对接源_01水果!$M$4:$M$1203,$AF114)=0,"",INDEX(对接源_01水果!$M$4:$M$1203,$AF114)),IF(INDEX(对接源_02物料!$M$4:$M$1203,$AF114-1200)=0,"",INDEX(对接源_02物料!$M$4:$M$1203,$AF114-1200))))</f>
      </c>
      <c r="AF114" s="2">
        <f>IFERROR(MATCH(6,_自动清单!$Y$4:$Y$2403,0),"")</f>
      </c>
    </row>
    <row r="115" ht="18" customHeight="1" s="127">
      <c r="A115" s="163">
        <f>IF($AF115="","",IF($AF115&lt;=1200,IF(INDEX(对接源_01水果!$B$4:$B$1203,$AF115)=0,"",INDEX(对接源_01水果!$B$4:$B$1203,$AF115)),IF(INDEX(对接源_02物料!$B$4:$B$1203,$AF115-1200)=0,"",INDEX(对接源_02物料!$B$4:$B$1203,$AF115-1200))))</f>
      </c>
      <c r="B115" s="64">
        <f>IF($AF115="","",IF($AF115&lt;=1200,IF(INDEX(对接源_01水果!$S$4:$S$1203,$AF115)=0,"",INDEX(对接源_01水果!$S$4:$S$1203,$AF115)),IF(INDEX(对接源_02物料!$S$4:$S$1203,$AF115-1200)=0,"",INDEX(对接源_02物料!$S$4:$S$1203,$AF115-1200))))</f>
      </c>
      <c r="C115" s="61">
        <f>IF($AF115="","",IF($AF115&lt;=1200,IF(INDEX(对接源_01水果!$E$4:$E$1203,$AF115)=0,"",INDEX(对接源_01水果!$E$4:$E$1203,$AF115)),IF(INDEX(对接源_02物料!$E$4:$E$1203,$AF115-1200)=0,"",INDEX(对接源_02物料!$E$4:$E$1203,$AF115-1200))))</f>
      </c>
      <c r="D115" s="164">
        <f>IF($AF115="","",IF($AF115&lt;=1200,IF(INDEX(对接源_01水果!$T$4:$T$1203,$AF115)=0,"",INDEX(对接源_01水果!$T$4:$T$1203,$AF115)),IF(INDEX(对接源_02物料!$T$4:$T$1203,$AF115-1200)=0,"",INDEX(对接源_02物料!$T$4:$T$1203,$AF115-1200))))</f>
      </c>
      <c r="E115" s="64">
        <f>IF($AF115="","",IF($AF115&lt;=1200,IF(INDEX(对接源_01水果!$C$4:$C$1203,$AF115)=0,"",INDEX(对接源_01水果!$C$4:$C$1203,$AF115)),IF(INDEX(对接源_02物料!$C$4:$C$1203,$AF115-1200)=0,"",INDEX(对接源_02物料!$C$4:$C$1203,$AF115-1200))))</f>
      </c>
      <c r="F115" s="61">
        <f>IF($AF115="","",IF($AF115&lt;=1200,IF(INDEX(对接源_01水果!$W$4:$W$1203,$AF115)=0,"",INDEX(对接源_01水果!$W$4:$W$1203,$AF115)),IF(INDEX(对接源_02物料!$W$4:$W$1203,$AF115-1200)=0,"",INDEX(对接源_02物料!$W$4:$W$1203,$AF115-1200))))</f>
      </c>
      <c r="G115" s="64">
        <f>IF($AF115="","",IF($AF115&lt;=1200,IF(INDEX(对接源_01水果!$D$4:$D$1203,$AF115)=0,"",INDEX(对接源_01水果!$D$4:$D$1203,$AF115)),IF(INDEX(对接源_02物料!$D$4:$D$1203,$AF115-1200)=0,"",INDEX(对接源_02物料!$D$4:$D$1203,$AF115-1200))))</f>
      </c>
      <c r="H115" s="61">
        <f>IF($AF115="","",IF($AF115&lt;=1200,"01水果册","02物料册"))</f>
      </c>
      <c r="I115" s="64">
        <f>IF($AF115="","",IF($AF115&lt;=1200,IF(INDEX(对接源_01水果!$M$4:$M$1203,$AF115)=0,"",INDEX(对接源_01水果!$M$4:$M$1203,$AF115)),IF(INDEX(对接源_02物料!$M$4:$M$1203,$AF115-1200)=0,"",INDEX(对接源_02物料!$M$4:$M$1203,$AF115-1200))))</f>
      </c>
      <c r="AF115" s="2">
        <f>IFERROR(MATCH(7,_自动清单!$Y$4:$Y$2403,0),"")</f>
      </c>
    </row>
    <row r="116" ht="18" customHeight="1" s="127">
      <c r="A116" s="165">
        <f>IF($AF116="","",IF($AF116&lt;=1200,IF(INDEX(对接源_01水果!$B$4:$B$1203,$AF116)=0,"",INDEX(对接源_01水果!$B$4:$B$1203,$AF116)),IF(INDEX(对接源_02物料!$B$4:$B$1203,$AF116-1200)=0,"",INDEX(对接源_02物料!$B$4:$B$1203,$AF116-1200))))</f>
      </c>
      <c r="B116" s="107">
        <f>IF($AF116="","",IF($AF116&lt;=1200,IF(INDEX(对接源_01水果!$S$4:$S$1203,$AF116)=0,"",INDEX(对接源_01水果!$S$4:$S$1203,$AF116)),IF(INDEX(对接源_02物料!$S$4:$S$1203,$AF116-1200)=0,"",INDEX(对接源_02物料!$S$4:$S$1203,$AF116-1200))))</f>
      </c>
      <c r="C116" s="104">
        <f>IF($AF116="","",IF($AF116&lt;=1200,IF(INDEX(对接源_01水果!$E$4:$E$1203,$AF116)=0,"",INDEX(对接源_01水果!$E$4:$E$1203,$AF116)),IF(INDEX(对接源_02物料!$E$4:$E$1203,$AF116-1200)=0,"",INDEX(对接源_02物料!$E$4:$E$1203,$AF116-1200))))</f>
      </c>
      <c r="D116" s="166">
        <f>IF($AF116="","",IF($AF116&lt;=1200,IF(INDEX(对接源_01水果!$T$4:$T$1203,$AF116)=0,"",INDEX(对接源_01水果!$T$4:$T$1203,$AF116)),IF(INDEX(对接源_02物料!$T$4:$T$1203,$AF116-1200)=0,"",INDEX(对接源_02物料!$T$4:$T$1203,$AF116-1200))))</f>
      </c>
      <c r="E116" s="107">
        <f>IF($AF116="","",IF($AF116&lt;=1200,IF(INDEX(对接源_01水果!$C$4:$C$1203,$AF116)=0,"",INDEX(对接源_01水果!$C$4:$C$1203,$AF116)),IF(INDEX(对接源_02物料!$C$4:$C$1203,$AF116-1200)=0,"",INDEX(对接源_02物料!$C$4:$C$1203,$AF116-1200))))</f>
      </c>
      <c r="F116" s="104">
        <f>IF($AF116="","",IF($AF116&lt;=1200,IF(INDEX(对接源_01水果!$W$4:$W$1203,$AF116)=0,"",INDEX(对接源_01水果!$W$4:$W$1203,$AF116)),IF(INDEX(对接源_02物料!$W$4:$W$1203,$AF116-1200)=0,"",INDEX(对接源_02物料!$W$4:$W$1203,$AF116-1200))))</f>
      </c>
      <c r="G116" s="107">
        <f>IF($AF116="","",IF($AF116&lt;=1200,IF(INDEX(对接源_01水果!$D$4:$D$1203,$AF116)=0,"",INDEX(对接源_01水果!$D$4:$D$1203,$AF116)),IF(INDEX(对接源_02物料!$D$4:$D$1203,$AF116-1200)=0,"",INDEX(对接源_02物料!$D$4:$D$1203,$AF116-1200))))</f>
      </c>
      <c r="H116" s="104">
        <f>IF($AF116="","",IF($AF116&lt;=1200,"01水果册","02物料册"))</f>
      </c>
      <c r="I116" s="107">
        <f>IF($AF116="","",IF($AF116&lt;=1200,IF(INDEX(对接源_01水果!$M$4:$M$1203,$AF116)=0,"",INDEX(对接源_01水果!$M$4:$M$1203,$AF116)),IF(INDEX(对接源_02物料!$M$4:$M$1203,$AF116-1200)=0,"",INDEX(对接源_02物料!$M$4:$M$1203,$AF116-1200))))</f>
      </c>
      <c r="AF116" s="2">
        <f>IFERROR(MATCH(8,_自动清单!$Y$4:$Y$2403,0),"")</f>
      </c>
    </row>
    <row r="117" ht="18" customHeight="1" s="127">
      <c r="A117" s="163">
        <f>IF($AF117="","",IF($AF117&lt;=1200,IF(INDEX(对接源_01水果!$B$4:$B$1203,$AF117)=0,"",INDEX(对接源_01水果!$B$4:$B$1203,$AF117)),IF(INDEX(对接源_02物料!$B$4:$B$1203,$AF117-1200)=0,"",INDEX(对接源_02物料!$B$4:$B$1203,$AF117-1200))))</f>
      </c>
      <c r="B117" s="64">
        <f>IF($AF117="","",IF($AF117&lt;=1200,IF(INDEX(对接源_01水果!$S$4:$S$1203,$AF117)=0,"",INDEX(对接源_01水果!$S$4:$S$1203,$AF117)),IF(INDEX(对接源_02物料!$S$4:$S$1203,$AF117-1200)=0,"",INDEX(对接源_02物料!$S$4:$S$1203,$AF117-1200))))</f>
      </c>
      <c r="C117" s="61">
        <f>IF($AF117="","",IF($AF117&lt;=1200,IF(INDEX(对接源_01水果!$E$4:$E$1203,$AF117)=0,"",INDEX(对接源_01水果!$E$4:$E$1203,$AF117)),IF(INDEX(对接源_02物料!$E$4:$E$1203,$AF117-1200)=0,"",INDEX(对接源_02物料!$E$4:$E$1203,$AF117-1200))))</f>
      </c>
      <c r="D117" s="164">
        <f>IF($AF117="","",IF($AF117&lt;=1200,IF(INDEX(对接源_01水果!$T$4:$T$1203,$AF117)=0,"",INDEX(对接源_01水果!$T$4:$T$1203,$AF117)),IF(INDEX(对接源_02物料!$T$4:$T$1203,$AF117-1200)=0,"",INDEX(对接源_02物料!$T$4:$T$1203,$AF117-1200))))</f>
      </c>
      <c r="E117" s="64">
        <f>IF($AF117="","",IF($AF117&lt;=1200,IF(INDEX(对接源_01水果!$C$4:$C$1203,$AF117)=0,"",INDEX(对接源_01水果!$C$4:$C$1203,$AF117)),IF(INDEX(对接源_02物料!$C$4:$C$1203,$AF117-1200)=0,"",INDEX(对接源_02物料!$C$4:$C$1203,$AF117-1200))))</f>
      </c>
      <c r="F117" s="61">
        <f>IF($AF117="","",IF($AF117&lt;=1200,IF(INDEX(对接源_01水果!$W$4:$W$1203,$AF117)=0,"",INDEX(对接源_01水果!$W$4:$W$1203,$AF117)),IF(INDEX(对接源_02物料!$W$4:$W$1203,$AF117-1200)=0,"",INDEX(对接源_02物料!$W$4:$W$1203,$AF117-1200))))</f>
      </c>
      <c r="G117" s="64">
        <f>IF($AF117="","",IF($AF117&lt;=1200,IF(INDEX(对接源_01水果!$D$4:$D$1203,$AF117)=0,"",INDEX(对接源_01水果!$D$4:$D$1203,$AF117)),IF(INDEX(对接源_02物料!$D$4:$D$1203,$AF117-1200)=0,"",INDEX(对接源_02物料!$D$4:$D$1203,$AF117-1200))))</f>
      </c>
      <c r="H117" s="61">
        <f>IF($AF117="","",IF($AF117&lt;=1200,"01水果册","02物料册"))</f>
      </c>
      <c r="I117" s="64">
        <f>IF($AF117="","",IF($AF117&lt;=1200,IF(INDEX(对接源_01水果!$M$4:$M$1203,$AF117)=0,"",INDEX(对接源_01水果!$M$4:$M$1203,$AF117)),IF(INDEX(对接源_02物料!$M$4:$M$1203,$AF117-1200)=0,"",INDEX(对接源_02物料!$M$4:$M$1203,$AF117-1200))))</f>
      </c>
      <c r="AF117" s="2">
        <f>IFERROR(MATCH(9,_自动清单!$Y$4:$Y$2403,0),"")</f>
      </c>
    </row>
    <row r="118" ht="18" customHeight="1" s="127">
      <c r="A118" s="165">
        <f>IF($AF118="","",IF($AF118&lt;=1200,IF(INDEX(对接源_01水果!$B$4:$B$1203,$AF118)=0,"",INDEX(对接源_01水果!$B$4:$B$1203,$AF118)),IF(INDEX(对接源_02物料!$B$4:$B$1203,$AF118-1200)=0,"",INDEX(对接源_02物料!$B$4:$B$1203,$AF118-1200))))</f>
      </c>
      <c r="B118" s="107">
        <f>IF($AF118="","",IF($AF118&lt;=1200,IF(INDEX(对接源_01水果!$S$4:$S$1203,$AF118)=0,"",INDEX(对接源_01水果!$S$4:$S$1203,$AF118)),IF(INDEX(对接源_02物料!$S$4:$S$1203,$AF118-1200)=0,"",INDEX(对接源_02物料!$S$4:$S$1203,$AF118-1200))))</f>
      </c>
      <c r="C118" s="104">
        <f>IF($AF118="","",IF($AF118&lt;=1200,IF(INDEX(对接源_01水果!$E$4:$E$1203,$AF118)=0,"",INDEX(对接源_01水果!$E$4:$E$1203,$AF118)),IF(INDEX(对接源_02物料!$E$4:$E$1203,$AF118-1200)=0,"",INDEX(对接源_02物料!$E$4:$E$1203,$AF118-1200))))</f>
      </c>
      <c r="D118" s="166">
        <f>IF($AF118="","",IF($AF118&lt;=1200,IF(INDEX(对接源_01水果!$T$4:$T$1203,$AF118)=0,"",INDEX(对接源_01水果!$T$4:$T$1203,$AF118)),IF(INDEX(对接源_02物料!$T$4:$T$1203,$AF118-1200)=0,"",INDEX(对接源_02物料!$T$4:$T$1203,$AF118-1200))))</f>
      </c>
      <c r="E118" s="107">
        <f>IF($AF118="","",IF($AF118&lt;=1200,IF(INDEX(对接源_01水果!$C$4:$C$1203,$AF118)=0,"",INDEX(对接源_01水果!$C$4:$C$1203,$AF118)),IF(INDEX(对接源_02物料!$C$4:$C$1203,$AF118-1200)=0,"",INDEX(对接源_02物料!$C$4:$C$1203,$AF118-1200))))</f>
      </c>
      <c r="F118" s="104">
        <f>IF($AF118="","",IF($AF118&lt;=1200,IF(INDEX(对接源_01水果!$W$4:$W$1203,$AF118)=0,"",INDEX(对接源_01水果!$W$4:$W$1203,$AF118)),IF(INDEX(对接源_02物料!$W$4:$W$1203,$AF118-1200)=0,"",INDEX(对接源_02物料!$W$4:$W$1203,$AF118-1200))))</f>
      </c>
      <c r="G118" s="107">
        <f>IF($AF118="","",IF($AF118&lt;=1200,IF(INDEX(对接源_01水果!$D$4:$D$1203,$AF118)=0,"",INDEX(对接源_01水果!$D$4:$D$1203,$AF118)),IF(INDEX(对接源_02物料!$D$4:$D$1203,$AF118-1200)=0,"",INDEX(对接源_02物料!$D$4:$D$1203,$AF118-1200))))</f>
      </c>
      <c r="H118" s="104">
        <f>IF($AF118="","",IF($AF118&lt;=1200,"01水果册","02物料册"))</f>
      </c>
      <c r="I118" s="107">
        <f>IF($AF118="","",IF($AF118&lt;=1200,IF(INDEX(对接源_01水果!$M$4:$M$1203,$AF118)=0,"",INDEX(对接源_01水果!$M$4:$M$1203,$AF118)),IF(INDEX(对接源_02物料!$M$4:$M$1203,$AF118-1200)=0,"",INDEX(对接源_02物料!$M$4:$M$1203,$AF118-1200))))</f>
      </c>
      <c r="AF118" s="2">
        <f>IFERROR(MATCH(10,_自动清单!$Y$4:$Y$2403,0),"")</f>
      </c>
    </row>
    <row r="119" ht="18" customHeight="1" s="127">
      <c r="A119" s="163">
        <f>IF($AF119="","",IF($AF119&lt;=1200,IF(INDEX(对接源_01水果!$B$4:$B$1203,$AF119)=0,"",INDEX(对接源_01水果!$B$4:$B$1203,$AF119)),IF(INDEX(对接源_02物料!$B$4:$B$1203,$AF119-1200)=0,"",INDEX(对接源_02物料!$B$4:$B$1203,$AF119-1200))))</f>
      </c>
      <c r="B119" s="64">
        <f>IF($AF119="","",IF($AF119&lt;=1200,IF(INDEX(对接源_01水果!$S$4:$S$1203,$AF119)=0,"",INDEX(对接源_01水果!$S$4:$S$1203,$AF119)),IF(INDEX(对接源_02物料!$S$4:$S$1203,$AF119-1200)=0,"",INDEX(对接源_02物料!$S$4:$S$1203,$AF119-1200))))</f>
      </c>
      <c r="C119" s="61">
        <f>IF($AF119="","",IF($AF119&lt;=1200,IF(INDEX(对接源_01水果!$E$4:$E$1203,$AF119)=0,"",INDEX(对接源_01水果!$E$4:$E$1203,$AF119)),IF(INDEX(对接源_02物料!$E$4:$E$1203,$AF119-1200)=0,"",INDEX(对接源_02物料!$E$4:$E$1203,$AF119-1200))))</f>
      </c>
      <c r="D119" s="164">
        <f>IF($AF119="","",IF($AF119&lt;=1200,IF(INDEX(对接源_01水果!$T$4:$T$1203,$AF119)=0,"",INDEX(对接源_01水果!$T$4:$T$1203,$AF119)),IF(INDEX(对接源_02物料!$T$4:$T$1203,$AF119-1200)=0,"",INDEX(对接源_02物料!$T$4:$T$1203,$AF119-1200))))</f>
      </c>
      <c r="E119" s="64">
        <f>IF($AF119="","",IF($AF119&lt;=1200,IF(INDEX(对接源_01水果!$C$4:$C$1203,$AF119)=0,"",INDEX(对接源_01水果!$C$4:$C$1203,$AF119)),IF(INDEX(对接源_02物料!$C$4:$C$1203,$AF119-1200)=0,"",INDEX(对接源_02物料!$C$4:$C$1203,$AF119-1200))))</f>
      </c>
      <c r="F119" s="61">
        <f>IF($AF119="","",IF($AF119&lt;=1200,IF(INDEX(对接源_01水果!$W$4:$W$1203,$AF119)=0,"",INDEX(对接源_01水果!$W$4:$W$1203,$AF119)),IF(INDEX(对接源_02物料!$W$4:$W$1203,$AF119-1200)=0,"",INDEX(对接源_02物料!$W$4:$W$1203,$AF119-1200))))</f>
      </c>
      <c r="G119" s="64">
        <f>IF($AF119="","",IF($AF119&lt;=1200,IF(INDEX(对接源_01水果!$D$4:$D$1203,$AF119)=0,"",INDEX(对接源_01水果!$D$4:$D$1203,$AF119)),IF(INDEX(对接源_02物料!$D$4:$D$1203,$AF119-1200)=0,"",INDEX(对接源_02物料!$D$4:$D$1203,$AF119-1200))))</f>
      </c>
      <c r="H119" s="61">
        <f>IF($AF119="","",IF($AF119&lt;=1200,"01水果册","02物料册"))</f>
      </c>
      <c r="I119" s="64">
        <f>IF($AF119="","",IF($AF119&lt;=1200,IF(INDEX(对接源_01水果!$M$4:$M$1203,$AF119)=0,"",INDEX(对接源_01水果!$M$4:$M$1203,$AF119)),IF(INDEX(对接源_02物料!$M$4:$M$1203,$AF119-1200)=0,"",INDEX(对接源_02物料!$M$4:$M$1203,$AF119-1200))))</f>
      </c>
      <c r="AF119" s="2">
        <f>IFERROR(MATCH(11,_自动清单!$Y$4:$Y$2403,0),"")</f>
      </c>
    </row>
    <row r="120" ht="18" customHeight="1" s="127">
      <c r="A120" s="165">
        <f>IF($AF120="","",IF($AF120&lt;=1200,IF(INDEX(对接源_01水果!$B$4:$B$1203,$AF120)=0,"",INDEX(对接源_01水果!$B$4:$B$1203,$AF120)),IF(INDEX(对接源_02物料!$B$4:$B$1203,$AF120-1200)=0,"",INDEX(对接源_02物料!$B$4:$B$1203,$AF120-1200))))</f>
      </c>
      <c r="B120" s="107">
        <f>IF($AF120="","",IF($AF120&lt;=1200,IF(INDEX(对接源_01水果!$S$4:$S$1203,$AF120)=0,"",INDEX(对接源_01水果!$S$4:$S$1203,$AF120)),IF(INDEX(对接源_02物料!$S$4:$S$1203,$AF120-1200)=0,"",INDEX(对接源_02物料!$S$4:$S$1203,$AF120-1200))))</f>
      </c>
      <c r="C120" s="104">
        <f>IF($AF120="","",IF($AF120&lt;=1200,IF(INDEX(对接源_01水果!$E$4:$E$1203,$AF120)=0,"",INDEX(对接源_01水果!$E$4:$E$1203,$AF120)),IF(INDEX(对接源_02物料!$E$4:$E$1203,$AF120-1200)=0,"",INDEX(对接源_02物料!$E$4:$E$1203,$AF120-1200))))</f>
      </c>
      <c r="D120" s="166">
        <f>IF($AF120="","",IF($AF120&lt;=1200,IF(INDEX(对接源_01水果!$T$4:$T$1203,$AF120)=0,"",INDEX(对接源_01水果!$T$4:$T$1203,$AF120)),IF(INDEX(对接源_02物料!$T$4:$T$1203,$AF120-1200)=0,"",INDEX(对接源_02物料!$T$4:$T$1203,$AF120-1200))))</f>
      </c>
      <c r="E120" s="107">
        <f>IF($AF120="","",IF($AF120&lt;=1200,IF(INDEX(对接源_01水果!$C$4:$C$1203,$AF120)=0,"",INDEX(对接源_01水果!$C$4:$C$1203,$AF120)),IF(INDEX(对接源_02物料!$C$4:$C$1203,$AF120-1200)=0,"",INDEX(对接源_02物料!$C$4:$C$1203,$AF120-1200))))</f>
      </c>
      <c r="F120" s="104">
        <f>IF($AF120="","",IF($AF120&lt;=1200,IF(INDEX(对接源_01水果!$W$4:$W$1203,$AF120)=0,"",INDEX(对接源_01水果!$W$4:$W$1203,$AF120)),IF(INDEX(对接源_02物料!$W$4:$W$1203,$AF120-1200)=0,"",INDEX(对接源_02物料!$W$4:$W$1203,$AF120-1200))))</f>
      </c>
      <c r="G120" s="107">
        <f>IF($AF120="","",IF($AF120&lt;=1200,IF(INDEX(对接源_01水果!$D$4:$D$1203,$AF120)=0,"",INDEX(对接源_01水果!$D$4:$D$1203,$AF120)),IF(INDEX(对接源_02物料!$D$4:$D$1203,$AF120-1200)=0,"",INDEX(对接源_02物料!$D$4:$D$1203,$AF120-1200))))</f>
      </c>
      <c r="H120" s="104">
        <f>IF($AF120="","",IF($AF120&lt;=1200,"01水果册","02物料册"))</f>
      </c>
      <c r="I120" s="107">
        <f>IF($AF120="","",IF($AF120&lt;=1200,IF(INDEX(对接源_01水果!$M$4:$M$1203,$AF120)=0,"",INDEX(对接源_01水果!$M$4:$M$1203,$AF120)),IF(INDEX(对接源_02物料!$M$4:$M$1203,$AF120-1200)=0,"",INDEX(对接源_02物料!$M$4:$M$1203,$AF120-1200))))</f>
      </c>
      <c r="AF120" s="2">
        <f>IFERROR(MATCH(12,_自动清单!$Y$4:$Y$2403,0),"")</f>
      </c>
    </row>
    <row r="121" ht="18" customHeight="1" s="127">
      <c r="A121" s="163">
        <f>IF($AF121="","",IF($AF121&lt;=1200,IF(INDEX(对接源_01水果!$B$4:$B$1203,$AF121)=0,"",INDEX(对接源_01水果!$B$4:$B$1203,$AF121)),IF(INDEX(对接源_02物料!$B$4:$B$1203,$AF121-1200)=0,"",INDEX(对接源_02物料!$B$4:$B$1203,$AF121-1200))))</f>
      </c>
      <c r="B121" s="64">
        <f>IF($AF121="","",IF($AF121&lt;=1200,IF(INDEX(对接源_01水果!$S$4:$S$1203,$AF121)=0,"",INDEX(对接源_01水果!$S$4:$S$1203,$AF121)),IF(INDEX(对接源_02物料!$S$4:$S$1203,$AF121-1200)=0,"",INDEX(对接源_02物料!$S$4:$S$1203,$AF121-1200))))</f>
      </c>
      <c r="C121" s="61">
        <f>IF($AF121="","",IF($AF121&lt;=1200,IF(INDEX(对接源_01水果!$E$4:$E$1203,$AF121)=0,"",INDEX(对接源_01水果!$E$4:$E$1203,$AF121)),IF(INDEX(对接源_02物料!$E$4:$E$1203,$AF121-1200)=0,"",INDEX(对接源_02物料!$E$4:$E$1203,$AF121-1200))))</f>
      </c>
      <c r="D121" s="164">
        <f>IF($AF121="","",IF($AF121&lt;=1200,IF(INDEX(对接源_01水果!$T$4:$T$1203,$AF121)=0,"",INDEX(对接源_01水果!$T$4:$T$1203,$AF121)),IF(INDEX(对接源_02物料!$T$4:$T$1203,$AF121-1200)=0,"",INDEX(对接源_02物料!$T$4:$T$1203,$AF121-1200))))</f>
      </c>
      <c r="E121" s="64">
        <f>IF($AF121="","",IF($AF121&lt;=1200,IF(INDEX(对接源_01水果!$C$4:$C$1203,$AF121)=0,"",INDEX(对接源_01水果!$C$4:$C$1203,$AF121)),IF(INDEX(对接源_02物料!$C$4:$C$1203,$AF121-1200)=0,"",INDEX(对接源_02物料!$C$4:$C$1203,$AF121-1200))))</f>
      </c>
      <c r="F121" s="61">
        <f>IF($AF121="","",IF($AF121&lt;=1200,IF(INDEX(对接源_01水果!$W$4:$W$1203,$AF121)=0,"",INDEX(对接源_01水果!$W$4:$W$1203,$AF121)),IF(INDEX(对接源_02物料!$W$4:$W$1203,$AF121-1200)=0,"",INDEX(对接源_02物料!$W$4:$W$1203,$AF121-1200))))</f>
      </c>
      <c r="G121" s="64">
        <f>IF($AF121="","",IF($AF121&lt;=1200,IF(INDEX(对接源_01水果!$D$4:$D$1203,$AF121)=0,"",INDEX(对接源_01水果!$D$4:$D$1203,$AF121)),IF(INDEX(对接源_02物料!$D$4:$D$1203,$AF121-1200)=0,"",INDEX(对接源_02物料!$D$4:$D$1203,$AF121-1200))))</f>
      </c>
      <c r="H121" s="61">
        <f>IF($AF121="","",IF($AF121&lt;=1200,"01水果册","02物料册"))</f>
      </c>
      <c r="I121" s="64">
        <f>IF($AF121="","",IF($AF121&lt;=1200,IF(INDEX(对接源_01水果!$M$4:$M$1203,$AF121)=0,"",INDEX(对接源_01水果!$M$4:$M$1203,$AF121)),IF(INDEX(对接源_02物料!$M$4:$M$1203,$AF121-1200)=0,"",INDEX(对接源_02物料!$M$4:$M$1203,$AF121-1200))))</f>
      </c>
      <c r="AF121" s="2">
        <f>IFERROR(MATCH(13,_自动清单!$Y$4:$Y$2403,0),"")</f>
      </c>
    </row>
    <row r="122" ht="18" customHeight="1" s="127">
      <c r="A122" s="165">
        <f>IF($AF122="","",IF($AF122&lt;=1200,IF(INDEX(对接源_01水果!$B$4:$B$1203,$AF122)=0,"",INDEX(对接源_01水果!$B$4:$B$1203,$AF122)),IF(INDEX(对接源_02物料!$B$4:$B$1203,$AF122-1200)=0,"",INDEX(对接源_02物料!$B$4:$B$1203,$AF122-1200))))</f>
      </c>
      <c r="B122" s="107">
        <f>IF($AF122="","",IF($AF122&lt;=1200,IF(INDEX(对接源_01水果!$S$4:$S$1203,$AF122)=0,"",INDEX(对接源_01水果!$S$4:$S$1203,$AF122)),IF(INDEX(对接源_02物料!$S$4:$S$1203,$AF122-1200)=0,"",INDEX(对接源_02物料!$S$4:$S$1203,$AF122-1200))))</f>
      </c>
      <c r="C122" s="104">
        <f>IF($AF122="","",IF($AF122&lt;=1200,IF(INDEX(对接源_01水果!$E$4:$E$1203,$AF122)=0,"",INDEX(对接源_01水果!$E$4:$E$1203,$AF122)),IF(INDEX(对接源_02物料!$E$4:$E$1203,$AF122-1200)=0,"",INDEX(对接源_02物料!$E$4:$E$1203,$AF122-1200))))</f>
      </c>
      <c r="D122" s="166">
        <f>IF($AF122="","",IF($AF122&lt;=1200,IF(INDEX(对接源_01水果!$T$4:$T$1203,$AF122)=0,"",INDEX(对接源_01水果!$T$4:$T$1203,$AF122)),IF(INDEX(对接源_02物料!$T$4:$T$1203,$AF122-1200)=0,"",INDEX(对接源_02物料!$T$4:$T$1203,$AF122-1200))))</f>
      </c>
      <c r="E122" s="107">
        <f>IF($AF122="","",IF($AF122&lt;=1200,IF(INDEX(对接源_01水果!$C$4:$C$1203,$AF122)=0,"",INDEX(对接源_01水果!$C$4:$C$1203,$AF122)),IF(INDEX(对接源_02物料!$C$4:$C$1203,$AF122-1200)=0,"",INDEX(对接源_02物料!$C$4:$C$1203,$AF122-1200))))</f>
      </c>
      <c r="F122" s="104">
        <f>IF($AF122="","",IF($AF122&lt;=1200,IF(INDEX(对接源_01水果!$W$4:$W$1203,$AF122)=0,"",INDEX(对接源_01水果!$W$4:$W$1203,$AF122)),IF(INDEX(对接源_02物料!$W$4:$W$1203,$AF122-1200)=0,"",INDEX(对接源_02物料!$W$4:$W$1203,$AF122-1200))))</f>
      </c>
      <c r="G122" s="107">
        <f>IF($AF122="","",IF($AF122&lt;=1200,IF(INDEX(对接源_01水果!$D$4:$D$1203,$AF122)=0,"",INDEX(对接源_01水果!$D$4:$D$1203,$AF122)),IF(INDEX(对接源_02物料!$D$4:$D$1203,$AF122-1200)=0,"",INDEX(对接源_02物料!$D$4:$D$1203,$AF122-1200))))</f>
      </c>
      <c r="H122" s="104">
        <f>IF($AF122="","",IF($AF122&lt;=1200,"01水果册","02物料册"))</f>
      </c>
      <c r="I122" s="107">
        <f>IF($AF122="","",IF($AF122&lt;=1200,IF(INDEX(对接源_01水果!$M$4:$M$1203,$AF122)=0,"",INDEX(对接源_01水果!$M$4:$M$1203,$AF122)),IF(INDEX(对接源_02物料!$M$4:$M$1203,$AF122-1200)=0,"",INDEX(对接源_02物料!$M$4:$M$1203,$AF122-1200))))</f>
      </c>
      <c r="AF122" s="2">
        <f>IFERROR(MATCH(14,_自动清单!$Y$4:$Y$2403,0),"")</f>
      </c>
    </row>
    <row r="123" ht="18" customHeight="1" s="127">
      <c r="A123" s="163">
        <f>IF($AF123="","",IF($AF123&lt;=1200,IF(INDEX(对接源_01水果!$B$4:$B$1203,$AF123)=0,"",INDEX(对接源_01水果!$B$4:$B$1203,$AF123)),IF(INDEX(对接源_02物料!$B$4:$B$1203,$AF123-1200)=0,"",INDEX(对接源_02物料!$B$4:$B$1203,$AF123-1200))))</f>
      </c>
      <c r="B123" s="64">
        <f>IF($AF123="","",IF($AF123&lt;=1200,IF(INDEX(对接源_01水果!$S$4:$S$1203,$AF123)=0,"",INDEX(对接源_01水果!$S$4:$S$1203,$AF123)),IF(INDEX(对接源_02物料!$S$4:$S$1203,$AF123-1200)=0,"",INDEX(对接源_02物料!$S$4:$S$1203,$AF123-1200))))</f>
      </c>
      <c r="C123" s="61">
        <f>IF($AF123="","",IF($AF123&lt;=1200,IF(INDEX(对接源_01水果!$E$4:$E$1203,$AF123)=0,"",INDEX(对接源_01水果!$E$4:$E$1203,$AF123)),IF(INDEX(对接源_02物料!$E$4:$E$1203,$AF123-1200)=0,"",INDEX(对接源_02物料!$E$4:$E$1203,$AF123-1200))))</f>
      </c>
      <c r="D123" s="164">
        <f>IF($AF123="","",IF($AF123&lt;=1200,IF(INDEX(对接源_01水果!$T$4:$T$1203,$AF123)=0,"",INDEX(对接源_01水果!$T$4:$T$1203,$AF123)),IF(INDEX(对接源_02物料!$T$4:$T$1203,$AF123-1200)=0,"",INDEX(对接源_02物料!$T$4:$T$1203,$AF123-1200))))</f>
      </c>
      <c r="E123" s="64">
        <f>IF($AF123="","",IF($AF123&lt;=1200,IF(INDEX(对接源_01水果!$C$4:$C$1203,$AF123)=0,"",INDEX(对接源_01水果!$C$4:$C$1203,$AF123)),IF(INDEX(对接源_02物料!$C$4:$C$1203,$AF123-1200)=0,"",INDEX(对接源_02物料!$C$4:$C$1203,$AF123-1200))))</f>
      </c>
      <c r="F123" s="61">
        <f>IF($AF123="","",IF($AF123&lt;=1200,IF(INDEX(对接源_01水果!$W$4:$W$1203,$AF123)=0,"",INDEX(对接源_01水果!$W$4:$W$1203,$AF123)),IF(INDEX(对接源_02物料!$W$4:$W$1203,$AF123-1200)=0,"",INDEX(对接源_02物料!$W$4:$W$1203,$AF123-1200))))</f>
      </c>
      <c r="G123" s="64">
        <f>IF($AF123="","",IF($AF123&lt;=1200,IF(INDEX(对接源_01水果!$D$4:$D$1203,$AF123)=0,"",INDEX(对接源_01水果!$D$4:$D$1203,$AF123)),IF(INDEX(对接源_02物料!$D$4:$D$1203,$AF123-1200)=0,"",INDEX(对接源_02物料!$D$4:$D$1203,$AF123-1200))))</f>
      </c>
      <c r="H123" s="61">
        <f>IF($AF123="","",IF($AF123&lt;=1200,"01水果册","02物料册"))</f>
      </c>
      <c r="I123" s="64">
        <f>IF($AF123="","",IF($AF123&lt;=1200,IF(INDEX(对接源_01水果!$M$4:$M$1203,$AF123)=0,"",INDEX(对接源_01水果!$M$4:$M$1203,$AF123)),IF(INDEX(对接源_02物料!$M$4:$M$1203,$AF123-1200)=0,"",INDEX(对接源_02物料!$M$4:$M$1203,$AF123-1200))))</f>
      </c>
      <c r="AF123" s="2">
        <f>IFERROR(MATCH(15,_自动清单!$Y$4:$Y$2403,0),"")</f>
      </c>
    </row>
    <row r="124" ht="18" customHeight="1" s="127">
      <c r="A124" s="165">
        <f>IF($AF124="","",IF($AF124&lt;=1200,IF(INDEX(对接源_01水果!$B$4:$B$1203,$AF124)=0,"",INDEX(对接源_01水果!$B$4:$B$1203,$AF124)),IF(INDEX(对接源_02物料!$B$4:$B$1203,$AF124-1200)=0,"",INDEX(对接源_02物料!$B$4:$B$1203,$AF124-1200))))</f>
      </c>
      <c r="B124" s="107">
        <f>IF($AF124="","",IF($AF124&lt;=1200,IF(INDEX(对接源_01水果!$S$4:$S$1203,$AF124)=0,"",INDEX(对接源_01水果!$S$4:$S$1203,$AF124)),IF(INDEX(对接源_02物料!$S$4:$S$1203,$AF124-1200)=0,"",INDEX(对接源_02物料!$S$4:$S$1203,$AF124-1200))))</f>
      </c>
      <c r="C124" s="104">
        <f>IF($AF124="","",IF($AF124&lt;=1200,IF(INDEX(对接源_01水果!$E$4:$E$1203,$AF124)=0,"",INDEX(对接源_01水果!$E$4:$E$1203,$AF124)),IF(INDEX(对接源_02物料!$E$4:$E$1203,$AF124-1200)=0,"",INDEX(对接源_02物料!$E$4:$E$1203,$AF124-1200))))</f>
      </c>
      <c r="D124" s="166">
        <f>IF($AF124="","",IF($AF124&lt;=1200,IF(INDEX(对接源_01水果!$T$4:$T$1203,$AF124)=0,"",INDEX(对接源_01水果!$T$4:$T$1203,$AF124)),IF(INDEX(对接源_02物料!$T$4:$T$1203,$AF124-1200)=0,"",INDEX(对接源_02物料!$T$4:$T$1203,$AF124-1200))))</f>
      </c>
      <c r="E124" s="107">
        <f>IF($AF124="","",IF($AF124&lt;=1200,IF(INDEX(对接源_01水果!$C$4:$C$1203,$AF124)=0,"",INDEX(对接源_01水果!$C$4:$C$1203,$AF124)),IF(INDEX(对接源_02物料!$C$4:$C$1203,$AF124-1200)=0,"",INDEX(对接源_02物料!$C$4:$C$1203,$AF124-1200))))</f>
      </c>
      <c r="F124" s="104">
        <f>IF($AF124="","",IF($AF124&lt;=1200,IF(INDEX(对接源_01水果!$W$4:$W$1203,$AF124)=0,"",INDEX(对接源_01水果!$W$4:$W$1203,$AF124)),IF(INDEX(对接源_02物料!$W$4:$W$1203,$AF124-1200)=0,"",INDEX(对接源_02物料!$W$4:$W$1203,$AF124-1200))))</f>
      </c>
      <c r="G124" s="107">
        <f>IF($AF124="","",IF($AF124&lt;=1200,IF(INDEX(对接源_01水果!$D$4:$D$1203,$AF124)=0,"",INDEX(对接源_01水果!$D$4:$D$1203,$AF124)),IF(INDEX(对接源_02物料!$D$4:$D$1203,$AF124-1200)=0,"",INDEX(对接源_02物料!$D$4:$D$1203,$AF124-1200))))</f>
      </c>
      <c r="H124" s="104">
        <f>IF($AF124="","",IF($AF124&lt;=1200,"01水果册","02物料册"))</f>
      </c>
      <c r="I124" s="107">
        <f>IF($AF124="","",IF($AF124&lt;=1200,IF(INDEX(对接源_01水果!$M$4:$M$1203,$AF124)=0,"",INDEX(对接源_01水果!$M$4:$M$1203,$AF124)),IF(INDEX(对接源_02物料!$M$4:$M$1203,$AF124-1200)=0,"",INDEX(对接源_02物料!$M$4:$M$1203,$AF124-1200))))</f>
      </c>
      <c r="AF124" s="2">
        <f>IFERROR(MATCH(16,_自动清单!$Y$4:$Y$2403,0),"")</f>
      </c>
    </row>
    <row r="125" ht="18" customHeight="1" s="127">
      <c r="A125" s="163">
        <f>IF($AF125="","",IF($AF125&lt;=1200,IF(INDEX(对接源_01水果!$B$4:$B$1203,$AF125)=0,"",INDEX(对接源_01水果!$B$4:$B$1203,$AF125)),IF(INDEX(对接源_02物料!$B$4:$B$1203,$AF125-1200)=0,"",INDEX(对接源_02物料!$B$4:$B$1203,$AF125-1200))))</f>
      </c>
      <c r="B125" s="64">
        <f>IF($AF125="","",IF($AF125&lt;=1200,IF(INDEX(对接源_01水果!$S$4:$S$1203,$AF125)=0,"",INDEX(对接源_01水果!$S$4:$S$1203,$AF125)),IF(INDEX(对接源_02物料!$S$4:$S$1203,$AF125-1200)=0,"",INDEX(对接源_02物料!$S$4:$S$1203,$AF125-1200))))</f>
      </c>
      <c r="C125" s="61">
        <f>IF($AF125="","",IF($AF125&lt;=1200,IF(INDEX(对接源_01水果!$E$4:$E$1203,$AF125)=0,"",INDEX(对接源_01水果!$E$4:$E$1203,$AF125)),IF(INDEX(对接源_02物料!$E$4:$E$1203,$AF125-1200)=0,"",INDEX(对接源_02物料!$E$4:$E$1203,$AF125-1200))))</f>
      </c>
      <c r="D125" s="164">
        <f>IF($AF125="","",IF($AF125&lt;=1200,IF(INDEX(对接源_01水果!$T$4:$T$1203,$AF125)=0,"",INDEX(对接源_01水果!$T$4:$T$1203,$AF125)),IF(INDEX(对接源_02物料!$T$4:$T$1203,$AF125-1200)=0,"",INDEX(对接源_02物料!$T$4:$T$1203,$AF125-1200))))</f>
      </c>
      <c r="E125" s="64">
        <f>IF($AF125="","",IF($AF125&lt;=1200,IF(INDEX(对接源_01水果!$C$4:$C$1203,$AF125)=0,"",INDEX(对接源_01水果!$C$4:$C$1203,$AF125)),IF(INDEX(对接源_02物料!$C$4:$C$1203,$AF125-1200)=0,"",INDEX(对接源_02物料!$C$4:$C$1203,$AF125-1200))))</f>
      </c>
      <c r="F125" s="61">
        <f>IF($AF125="","",IF($AF125&lt;=1200,IF(INDEX(对接源_01水果!$W$4:$W$1203,$AF125)=0,"",INDEX(对接源_01水果!$W$4:$W$1203,$AF125)),IF(INDEX(对接源_02物料!$W$4:$W$1203,$AF125-1200)=0,"",INDEX(对接源_02物料!$W$4:$W$1203,$AF125-1200))))</f>
      </c>
      <c r="G125" s="64">
        <f>IF($AF125="","",IF($AF125&lt;=1200,IF(INDEX(对接源_01水果!$D$4:$D$1203,$AF125)=0,"",INDEX(对接源_01水果!$D$4:$D$1203,$AF125)),IF(INDEX(对接源_02物料!$D$4:$D$1203,$AF125-1200)=0,"",INDEX(对接源_02物料!$D$4:$D$1203,$AF125-1200))))</f>
      </c>
      <c r="H125" s="61">
        <f>IF($AF125="","",IF($AF125&lt;=1200,"01水果册","02物料册"))</f>
      </c>
      <c r="I125" s="64">
        <f>IF($AF125="","",IF($AF125&lt;=1200,IF(INDEX(对接源_01水果!$M$4:$M$1203,$AF125)=0,"",INDEX(对接源_01水果!$M$4:$M$1203,$AF125)),IF(INDEX(对接源_02物料!$M$4:$M$1203,$AF125-1200)=0,"",INDEX(对接源_02物料!$M$4:$M$1203,$AF125-1200))))</f>
      </c>
      <c r="AF125" s="2">
        <f>IFERROR(MATCH(17,_自动清单!$Y$4:$Y$2403,0),"")</f>
      </c>
    </row>
    <row r="126" ht="18" customHeight="1" s="127">
      <c r="A126" s="165">
        <f>IF($AF126="","",IF($AF126&lt;=1200,IF(INDEX(对接源_01水果!$B$4:$B$1203,$AF126)=0,"",INDEX(对接源_01水果!$B$4:$B$1203,$AF126)),IF(INDEX(对接源_02物料!$B$4:$B$1203,$AF126-1200)=0,"",INDEX(对接源_02物料!$B$4:$B$1203,$AF126-1200))))</f>
      </c>
      <c r="B126" s="107">
        <f>IF($AF126="","",IF($AF126&lt;=1200,IF(INDEX(对接源_01水果!$S$4:$S$1203,$AF126)=0,"",INDEX(对接源_01水果!$S$4:$S$1203,$AF126)),IF(INDEX(对接源_02物料!$S$4:$S$1203,$AF126-1200)=0,"",INDEX(对接源_02物料!$S$4:$S$1203,$AF126-1200))))</f>
      </c>
      <c r="C126" s="104">
        <f>IF($AF126="","",IF($AF126&lt;=1200,IF(INDEX(对接源_01水果!$E$4:$E$1203,$AF126)=0,"",INDEX(对接源_01水果!$E$4:$E$1203,$AF126)),IF(INDEX(对接源_02物料!$E$4:$E$1203,$AF126-1200)=0,"",INDEX(对接源_02物料!$E$4:$E$1203,$AF126-1200))))</f>
      </c>
      <c r="D126" s="166">
        <f>IF($AF126="","",IF($AF126&lt;=1200,IF(INDEX(对接源_01水果!$T$4:$T$1203,$AF126)=0,"",INDEX(对接源_01水果!$T$4:$T$1203,$AF126)),IF(INDEX(对接源_02物料!$T$4:$T$1203,$AF126-1200)=0,"",INDEX(对接源_02物料!$T$4:$T$1203,$AF126-1200))))</f>
      </c>
      <c r="E126" s="107">
        <f>IF($AF126="","",IF($AF126&lt;=1200,IF(INDEX(对接源_01水果!$C$4:$C$1203,$AF126)=0,"",INDEX(对接源_01水果!$C$4:$C$1203,$AF126)),IF(INDEX(对接源_02物料!$C$4:$C$1203,$AF126-1200)=0,"",INDEX(对接源_02物料!$C$4:$C$1203,$AF126-1200))))</f>
      </c>
      <c r="F126" s="104">
        <f>IF($AF126="","",IF($AF126&lt;=1200,IF(INDEX(对接源_01水果!$W$4:$W$1203,$AF126)=0,"",INDEX(对接源_01水果!$W$4:$W$1203,$AF126)),IF(INDEX(对接源_02物料!$W$4:$W$1203,$AF126-1200)=0,"",INDEX(对接源_02物料!$W$4:$W$1203,$AF126-1200))))</f>
      </c>
      <c r="G126" s="107">
        <f>IF($AF126="","",IF($AF126&lt;=1200,IF(INDEX(对接源_01水果!$D$4:$D$1203,$AF126)=0,"",INDEX(对接源_01水果!$D$4:$D$1203,$AF126)),IF(INDEX(对接源_02物料!$D$4:$D$1203,$AF126-1200)=0,"",INDEX(对接源_02物料!$D$4:$D$1203,$AF126-1200))))</f>
      </c>
      <c r="H126" s="104">
        <f>IF($AF126="","",IF($AF126&lt;=1200,"01水果册","02物料册"))</f>
      </c>
      <c r="I126" s="107">
        <f>IF($AF126="","",IF($AF126&lt;=1200,IF(INDEX(对接源_01水果!$M$4:$M$1203,$AF126)=0,"",INDEX(对接源_01水果!$M$4:$M$1203,$AF126)),IF(INDEX(对接源_02物料!$M$4:$M$1203,$AF126-1200)=0,"",INDEX(对接源_02物料!$M$4:$M$1203,$AF126-1200))))</f>
      </c>
      <c r="AF126" s="2">
        <f>IFERROR(MATCH(18,_自动清单!$Y$4:$Y$2403,0),"")</f>
      </c>
    </row>
    <row r="127" ht="18" customHeight="1" s="127">
      <c r="A127" s="163">
        <f>IF($AF127="","",IF($AF127&lt;=1200,IF(INDEX(对接源_01水果!$B$4:$B$1203,$AF127)=0,"",INDEX(对接源_01水果!$B$4:$B$1203,$AF127)),IF(INDEX(对接源_02物料!$B$4:$B$1203,$AF127-1200)=0,"",INDEX(对接源_02物料!$B$4:$B$1203,$AF127-1200))))</f>
      </c>
      <c r="B127" s="64">
        <f>IF($AF127="","",IF($AF127&lt;=1200,IF(INDEX(对接源_01水果!$S$4:$S$1203,$AF127)=0,"",INDEX(对接源_01水果!$S$4:$S$1203,$AF127)),IF(INDEX(对接源_02物料!$S$4:$S$1203,$AF127-1200)=0,"",INDEX(对接源_02物料!$S$4:$S$1203,$AF127-1200))))</f>
      </c>
      <c r="C127" s="61">
        <f>IF($AF127="","",IF($AF127&lt;=1200,IF(INDEX(对接源_01水果!$E$4:$E$1203,$AF127)=0,"",INDEX(对接源_01水果!$E$4:$E$1203,$AF127)),IF(INDEX(对接源_02物料!$E$4:$E$1203,$AF127-1200)=0,"",INDEX(对接源_02物料!$E$4:$E$1203,$AF127-1200))))</f>
      </c>
      <c r="D127" s="164">
        <f>IF($AF127="","",IF($AF127&lt;=1200,IF(INDEX(对接源_01水果!$T$4:$T$1203,$AF127)=0,"",INDEX(对接源_01水果!$T$4:$T$1203,$AF127)),IF(INDEX(对接源_02物料!$T$4:$T$1203,$AF127-1200)=0,"",INDEX(对接源_02物料!$T$4:$T$1203,$AF127-1200))))</f>
      </c>
      <c r="E127" s="64">
        <f>IF($AF127="","",IF($AF127&lt;=1200,IF(INDEX(对接源_01水果!$C$4:$C$1203,$AF127)=0,"",INDEX(对接源_01水果!$C$4:$C$1203,$AF127)),IF(INDEX(对接源_02物料!$C$4:$C$1203,$AF127-1200)=0,"",INDEX(对接源_02物料!$C$4:$C$1203,$AF127-1200))))</f>
      </c>
      <c r="F127" s="61">
        <f>IF($AF127="","",IF($AF127&lt;=1200,IF(INDEX(对接源_01水果!$W$4:$W$1203,$AF127)=0,"",INDEX(对接源_01水果!$W$4:$W$1203,$AF127)),IF(INDEX(对接源_02物料!$W$4:$W$1203,$AF127-1200)=0,"",INDEX(对接源_02物料!$W$4:$W$1203,$AF127-1200))))</f>
      </c>
      <c r="G127" s="64">
        <f>IF($AF127="","",IF($AF127&lt;=1200,IF(INDEX(对接源_01水果!$D$4:$D$1203,$AF127)=0,"",INDEX(对接源_01水果!$D$4:$D$1203,$AF127)),IF(INDEX(对接源_02物料!$D$4:$D$1203,$AF127-1200)=0,"",INDEX(对接源_02物料!$D$4:$D$1203,$AF127-1200))))</f>
      </c>
      <c r="H127" s="61">
        <f>IF($AF127="","",IF($AF127&lt;=1200,"01水果册","02物料册"))</f>
      </c>
      <c r="I127" s="64">
        <f>IF($AF127="","",IF($AF127&lt;=1200,IF(INDEX(对接源_01水果!$M$4:$M$1203,$AF127)=0,"",INDEX(对接源_01水果!$M$4:$M$1203,$AF127)),IF(INDEX(对接源_02物料!$M$4:$M$1203,$AF127-1200)=0,"",INDEX(对接源_02物料!$M$4:$M$1203,$AF127-1200))))</f>
      </c>
      <c r="AF127" s="2">
        <f>IFERROR(MATCH(19,_自动清单!$Y$4:$Y$2403,0),"")</f>
      </c>
    </row>
    <row r="128" ht="18" customHeight="1" s="127">
      <c r="A128" s="165">
        <f>IF($AF128="","",IF($AF128&lt;=1200,IF(INDEX(对接源_01水果!$B$4:$B$1203,$AF128)=0,"",INDEX(对接源_01水果!$B$4:$B$1203,$AF128)),IF(INDEX(对接源_02物料!$B$4:$B$1203,$AF128-1200)=0,"",INDEX(对接源_02物料!$B$4:$B$1203,$AF128-1200))))</f>
      </c>
      <c r="B128" s="107">
        <f>IF($AF128="","",IF($AF128&lt;=1200,IF(INDEX(对接源_01水果!$S$4:$S$1203,$AF128)=0,"",INDEX(对接源_01水果!$S$4:$S$1203,$AF128)),IF(INDEX(对接源_02物料!$S$4:$S$1203,$AF128-1200)=0,"",INDEX(对接源_02物料!$S$4:$S$1203,$AF128-1200))))</f>
      </c>
      <c r="C128" s="104">
        <f>IF($AF128="","",IF($AF128&lt;=1200,IF(INDEX(对接源_01水果!$E$4:$E$1203,$AF128)=0,"",INDEX(对接源_01水果!$E$4:$E$1203,$AF128)),IF(INDEX(对接源_02物料!$E$4:$E$1203,$AF128-1200)=0,"",INDEX(对接源_02物料!$E$4:$E$1203,$AF128-1200))))</f>
      </c>
      <c r="D128" s="166">
        <f>IF($AF128="","",IF($AF128&lt;=1200,IF(INDEX(对接源_01水果!$T$4:$T$1203,$AF128)=0,"",INDEX(对接源_01水果!$T$4:$T$1203,$AF128)),IF(INDEX(对接源_02物料!$T$4:$T$1203,$AF128-1200)=0,"",INDEX(对接源_02物料!$T$4:$T$1203,$AF128-1200))))</f>
      </c>
      <c r="E128" s="107">
        <f>IF($AF128="","",IF($AF128&lt;=1200,IF(INDEX(对接源_01水果!$C$4:$C$1203,$AF128)=0,"",INDEX(对接源_01水果!$C$4:$C$1203,$AF128)),IF(INDEX(对接源_02物料!$C$4:$C$1203,$AF128-1200)=0,"",INDEX(对接源_02物料!$C$4:$C$1203,$AF128-1200))))</f>
      </c>
      <c r="F128" s="104">
        <f>IF($AF128="","",IF($AF128&lt;=1200,IF(INDEX(对接源_01水果!$W$4:$W$1203,$AF128)=0,"",INDEX(对接源_01水果!$W$4:$W$1203,$AF128)),IF(INDEX(对接源_02物料!$W$4:$W$1203,$AF128-1200)=0,"",INDEX(对接源_02物料!$W$4:$W$1203,$AF128-1200))))</f>
      </c>
      <c r="G128" s="107">
        <f>IF($AF128="","",IF($AF128&lt;=1200,IF(INDEX(对接源_01水果!$D$4:$D$1203,$AF128)=0,"",INDEX(对接源_01水果!$D$4:$D$1203,$AF128)),IF(INDEX(对接源_02物料!$D$4:$D$1203,$AF128-1200)=0,"",INDEX(对接源_02物料!$D$4:$D$1203,$AF128-1200))))</f>
      </c>
      <c r="H128" s="104">
        <f>IF($AF128="","",IF($AF128&lt;=1200,"01水果册","02物料册"))</f>
      </c>
      <c r="I128" s="107">
        <f>IF($AF128="","",IF($AF128&lt;=1200,IF(INDEX(对接源_01水果!$M$4:$M$1203,$AF128)=0,"",INDEX(对接源_01水果!$M$4:$M$1203,$AF128)),IF(INDEX(对接源_02物料!$M$4:$M$1203,$AF128-1200)=0,"",INDEX(对接源_02物料!$M$4:$M$1203,$AF128-1200))))</f>
      </c>
      <c r="AF128" s="2">
        <f>IFERROR(MATCH(20,_自动清单!$Y$4:$Y$2403,0),"")</f>
      </c>
    </row>
    <row r="129" ht="18" customHeight="1" s="127">
      <c r="A129" s="163">
        <f>IF($AF129="","",IF($AF129&lt;=1200,IF(INDEX(对接源_01水果!$B$4:$B$1203,$AF129)=0,"",INDEX(对接源_01水果!$B$4:$B$1203,$AF129)),IF(INDEX(对接源_02物料!$B$4:$B$1203,$AF129-1200)=0,"",INDEX(对接源_02物料!$B$4:$B$1203,$AF129-1200))))</f>
      </c>
      <c r="B129" s="64">
        <f>IF($AF129="","",IF($AF129&lt;=1200,IF(INDEX(对接源_01水果!$S$4:$S$1203,$AF129)=0,"",INDEX(对接源_01水果!$S$4:$S$1203,$AF129)),IF(INDEX(对接源_02物料!$S$4:$S$1203,$AF129-1200)=0,"",INDEX(对接源_02物料!$S$4:$S$1203,$AF129-1200))))</f>
      </c>
      <c r="C129" s="61">
        <f>IF($AF129="","",IF($AF129&lt;=1200,IF(INDEX(对接源_01水果!$E$4:$E$1203,$AF129)=0,"",INDEX(对接源_01水果!$E$4:$E$1203,$AF129)),IF(INDEX(对接源_02物料!$E$4:$E$1203,$AF129-1200)=0,"",INDEX(对接源_02物料!$E$4:$E$1203,$AF129-1200))))</f>
      </c>
      <c r="D129" s="164">
        <f>IF($AF129="","",IF($AF129&lt;=1200,IF(INDEX(对接源_01水果!$T$4:$T$1203,$AF129)=0,"",INDEX(对接源_01水果!$T$4:$T$1203,$AF129)),IF(INDEX(对接源_02物料!$T$4:$T$1203,$AF129-1200)=0,"",INDEX(对接源_02物料!$T$4:$T$1203,$AF129-1200))))</f>
      </c>
      <c r="E129" s="64">
        <f>IF($AF129="","",IF($AF129&lt;=1200,IF(INDEX(对接源_01水果!$C$4:$C$1203,$AF129)=0,"",INDEX(对接源_01水果!$C$4:$C$1203,$AF129)),IF(INDEX(对接源_02物料!$C$4:$C$1203,$AF129-1200)=0,"",INDEX(对接源_02物料!$C$4:$C$1203,$AF129-1200))))</f>
      </c>
      <c r="F129" s="61">
        <f>IF($AF129="","",IF($AF129&lt;=1200,IF(INDEX(对接源_01水果!$W$4:$W$1203,$AF129)=0,"",INDEX(对接源_01水果!$W$4:$W$1203,$AF129)),IF(INDEX(对接源_02物料!$W$4:$W$1203,$AF129-1200)=0,"",INDEX(对接源_02物料!$W$4:$W$1203,$AF129-1200))))</f>
      </c>
      <c r="G129" s="64">
        <f>IF($AF129="","",IF($AF129&lt;=1200,IF(INDEX(对接源_01水果!$D$4:$D$1203,$AF129)=0,"",INDEX(对接源_01水果!$D$4:$D$1203,$AF129)),IF(INDEX(对接源_02物料!$D$4:$D$1203,$AF129-1200)=0,"",INDEX(对接源_02物料!$D$4:$D$1203,$AF129-1200))))</f>
      </c>
      <c r="H129" s="61">
        <f>IF($AF129="","",IF($AF129&lt;=1200,"01水果册","02物料册"))</f>
      </c>
      <c r="I129" s="64">
        <f>IF($AF129="","",IF($AF129&lt;=1200,IF(INDEX(对接源_01水果!$M$4:$M$1203,$AF129)=0,"",INDEX(对接源_01水果!$M$4:$M$1203,$AF129)),IF(INDEX(对接源_02物料!$M$4:$M$1203,$AF129-1200)=0,"",INDEX(对接源_02物料!$M$4:$M$1203,$AF129-1200))))</f>
      </c>
      <c r="AF129" s="2">
        <f>IFERROR(MATCH(21,_自动清单!$Y$4:$Y$2403,0),"")</f>
      </c>
    </row>
    <row r="130" ht="18" customHeight="1" s="127">
      <c r="A130" s="165">
        <f>IF($AF130="","",IF($AF130&lt;=1200,IF(INDEX(对接源_01水果!$B$4:$B$1203,$AF130)=0,"",INDEX(对接源_01水果!$B$4:$B$1203,$AF130)),IF(INDEX(对接源_02物料!$B$4:$B$1203,$AF130-1200)=0,"",INDEX(对接源_02物料!$B$4:$B$1203,$AF130-1200))))</f>
      </c>
      <c r="B130" s="107">
        <f>IF($AF130="","",IF($AF130&lt;=1200,IF(INDEX(对接源_01水果!$S$4:$S$1203,$AF130)=0,"",INDEX(对接源_01水果!$S$4:$S$1203,$AF130)),IF(INDEX(对接源_02物料!$S$4:$S$1203,$AF130-1200)=0,"",INDEX(对接源_02物料!$S$4:$S$1203,$AF130-1200))))</f>
      </c>
      <c r="C130" s="104">
        <f>IF($AF130="","",IF($AF130&lt;=1200,IF(INDEX(对接源_01水果!$E$4:$E$1203,$AF130)=0,"",INDEX(对接源_01水果!$E$4:$E$1203,$AF130)),IF(INDEX(对接源_02物料!$E$4:$E$1203,$AF130-1200)=0,"",INDEX(对接源_02物料!$E$4:$E$1203,$AF130-1200))))</f>
      </c>
      <c r="D130" s="166">
        <f>IF($AF130="","",IF($AF130&lt;=1200,IF(INDEX(对接源_01水果!$T$4:$T$1203,$AF130)=0,"",INDEX(对接源_01水果!$T$4:$T$1203,$AF130)),IF(INDEX(对接源_02物料!$T$4:$T$1203,$AF130-1200)=0,"",INDEX(对接源_02物料!$T$4:$T$1203,$AF130-1200))))</f>
      </c>
      <c r="E130" s="107">
        <f>IF($AF130="","",IF($AF130&lt;=1200,IF(INDEX(对接源_01水果!$C$4:$C$1203,$AF130)=0,"",INDEX(对接源_01水果!$C$4:$C$1203,$AF130)),IF(INDEX(对接源_02物料!$C$4:$C$1203,$AF130-1200)=0,"",INDEX(对接源_02物料!$C$4:$C$1203,$AF130-1200))))</f>
      </c>
      <c r="F130" s="104">
        <f>IF($AF130="","",IF($AF130&lt;=1200,IF(INDEX(对接源_01水果!$W$4:$W$1203,$AF130)=0,"",INDEX(对接源_01水果!$W$4:$W$1203,$AF130)),IF(INDEX(对接源_02物料!$W$4:$W$1203,$AF130-1200)=0,"",INDEX(对接源_02物料!$W$4:$W$1203,$AF130-1200))))</f>
      </c>
      <c r="G130" s="107">
        <f>IF($AF130="","",IF($AF130&lt;=1200,IF(INDEX(对接源_01水果!$D$4:$D$1203,$AF130)=0,"",INDEX(对接源_01水果!$D$4:$D$1203,$AF130)),IF(INDEX(对接源_02物料!$D$4:$D$1203,$AF130-1200)=0,"",INDEX(对接源_02物料!$D$4:$D$1203,$AF130-1200))))</f>
      </c>
      <c r="H130" s="104">
        <f>IF($AF130="","",IF($AF130&lt;=1200,"01水果册","02物料册"))</f>
      </c>
      <c r="I130" s="107">
        <f>IF($AF130="","",IF($AF130&lt;=1200,IF(INDEX(对接源_01水果!$M$4:$M$1203,$AF130)=0,"",INDEX(对接源_01水果!$M$4:$M$1203,$AF130)),IF(INDEX(对接源_02物料!$M$4:$M$1203,$AF130-1200)=0,"",INDEX(对接源_02物料!$M$4:$M$1203,$AF130-1200))))</f>
      </c>
      <c r="AF130" s="2">
        <f>IFERROR(MATCH(22,_自动清单!$Y$4:$Y$2403,0),"")</f>
      </c>
    </row>
    <row r="131" ht="18" customHeight="1" s="127">
      <c r="A131" s="163">
        <f>IF($AF131="","",IF($AF131&lt;=1200,IF(INDEX(对接源_01水果!$B$4:$B$1203,$AF131)=0,"",INDEX(对接源_01水果!$B$4:$B$1203,$AF131)),IF(INDEX(对接源_02物料!$B$4:$B$1203,$AF131-1200)=0,"",INDEX(对接源_02物料!$B$4:$B$1203,$AF131-1200))))</f>
      </c>
      <c r="B131" s="64">
        <f>IF($AF131="","",IF($AF131&lt;=1200,IF(INDEX(对接源_01水果!$S$4:$S$1203,$AF131)=0,"",INDEX(对接源_01水果!$S$4:$S$1203,$AF131)),IF(INDEX(对接源_02物料!$S$4:$S$1203,$AF131-1200)=0,"",INDEX(对接源_02物料!$S$4:$S$1203,$AF131-1200))))</f>
      </c>
      <c r="C131" s="61">
        <f>IF($AF131="","",IF($AF131&lt;=1200,IF(INDEX(对接源_01水果!$E$4:$E$1203,$AF131)=0,"",INDEX(对接源_01水果!$E$4:$E$1203,$AF131)),IF(INDEX(对接源_02物料!$E$4:$E$1203,$AF131-1200)=0,"",INDEX(对接源_02物料!$E$4:$E$1203,$AF131-1200))))</f>
      </c>
      <c r="D131" s="164">
        <f>IF($AF131="","",IF($AF131&lt;=1200,IF(INDEX(对接源_01水果!$T$4:$T$1203,$AF131)=0,"",INDEX(对接源_01水果!$T$4:$T$1203,$AF131)),IF(INDEX(对接源_02物料!$T$4:$T$1203,$AF131-1200)=0,"",INDEX(对接源_02物料!$T$4:$T$1203,$AF131-1200))))</f>
      </c>
      <c r="E131" s="64">
        <f>IF($AF131="","",IF($AF131&lt;=1200,IF(INDEX(对接源_01水果!$C$4:$C$1203,$AF131)=0,"",INDEX(对接源_01水果!$C$4:$C$1203,$AF131)),IF(INDEX(对接源_02物料!$C$4:$C$1203,$AF131-1200)=0,"",INDEX(对接源_02物料!$C$4:$C$1203,$AF131-1200))))</f>
      </c>
      <c r="F131" s="61">
        <f>IF($AF131="","",IF($AF131&lt;=1200,IF(INDEX(对接源_01水果!$W$4:$W$1203,$AF131)=0,"",INDEX(对接源_01水果!$W$4:$W$1203,$AF131)),IF(INDEX(对接源_02物料!$W$4:$W$1203,$AF131-1200)=0,"",INDEX(对接源_02物料!$W$4:$W$1203,$AF131-1200))))</f>
      </c>
      <c r="G131" s="64">
        <f>IF($AF131="","",IF($AF131&lt;=1200,IF(INDEX(对接源_01水果!$D$4:$D$1203,$AF131)=0,"",INDEX(对接源_01水果!$D$4:$D$1203,$AF131)),IF(INDEX(对接源_02物料!$D$4:$D$1203,$AF131-1200)=0,"",INDEX(对接源_02物料!$D$4:$D$1203,$AF131-1200))))</f>
      </c>
      <c r="H131" s="61">
        <f>IF($AF131="","",IF($AF131&lt;=1200,"01水果册","02物料册"))</f>
      </c>
      <c r="I131" s="64">
        <f>IF($AF131="","",IF($AF131&lt;=1200,IF(INDEX(对接源_01水果!$M$4:$M$1203,$AF131)=0,"",INDEX(对接源_01水果!$M$4:$M$1203,$AF131)),IF(INDEX(对接源_02物料!$M$4:$M$1203,$AF131-1200)=0,"",INDEX(对接源_02物料!$M$4:$M$1203,$AF131-1200))))</f>
      </c>
      <c r="AF131" s="2">
        <f>IFERROR(MATCH(23,_自动清单!$Y$4:$Y$2403,0),"")</f>
      </c>
    </row>
    <row r="132" ht="18" customHeight="1" s="127">
      <c r="A132" s="165">
        <f>IF($AF132="","",IF($AF132&lt;=1200,IF(INDEX(对接源_01水果!$B$4:$B$1203,$AF132)=0,"",INDEX(对接源_01水果!$B$4:$B$1203,$AF132)),IF(INDEX(对接源_02物料!$B$4:$B$1203,$AF132-1200)=0,"",INDEX(对接源_02物料!$B$4:$B$1203,$AF132-1200))))</f>
      </c>
      <c r="B132" s="107">
        <f>IF($AF132="","",IF($AF132&lt;=1200,IF(INDEX(对接源_01水果!$S$4:$S$1203,$AF132)=0,"",INDEX(对接源_01水果!$S$4:$S$1203,$AF132)),IF(INDEX(对接源_02物料!$S$4:$S$1203,$AF132-1200)=0,"",INDEX(对接源_02物料!$S$4:$S$1203,$AF132-1200))))</f>
      </c>
      <c r="C132" s="104">
        <f>IF($AF132="","",IF($AF132&lt;=1200,IF(INDEX(对接源_01水果!$E$4:$E$1203,$AF132)=0,"",INDEX(对接源_01水果!$E$4:$E$1203,$AF132)),IF(INDEX(对接源_02物料!$E$4:$E$1203,$AF132-1200)=0,"",INDEX(对接源_02物料!$E$4:$E$1203,$AF132-1200))))</f>
      </c>
      <c r="D132" s="166">
        <f>IF($AF132="","",IF($AF132&lt;=1200,IF(INDEX(对接源_01水果!$T$4:$T$1203,$AF132)=0,"",INDEX(对接源_01水果!$T$4:$T$1203,$AF132)),IF(INDEX(对接源_02物料!$T$4:$T$1203,$AF132-1200)=0,"",INDEX(对接源_02物料!$T$4:$T$1203,$AF132-1200))))</f>
      </c>
      <c r="E132" s="107">
        <f>IF($AF132="","",IF($AF132&lt;=1200,IF(INDEX(对接源_01水果!$C$4:$C$1203,$AF132)=0,"",INDEX(对接源_01水果!$C$4:$C$1203,$AF132)),IF(INDEX(对接源_02物料!$C$4:$C$1203,$AF132-1200)=0,"",INDEX(对接源_02物料!$C$4:$C$1203,$AF132-1200))))</f>
      </c>
      <c r="F132" s="104">
        <f>IF($AF132="","",IF($AF132&lt;=1200,IF(INDEX(对接源_01水果!$W$4:$W$1203,$AF132)=0,"",INDEX(对接源_01水果!$W$4:$W$1203,$AF132)),IF(INDEX(对接源_02物料!$W$4:$W$1203,$AF132-1200)=0,"",INDEX(对接源_02物料!$W$4:$W$1203,$AF132-1200))))</f>
      </c>
      <c r="G132" s="107">
        <f>IF($AF132="","",IF($AF132&lt;=1200,IF(INDEX(对接源_01水果!$D$4:$D$1203,$AF132)=0,"",INDEX(对接源_01水果!$D$4:$D$1203,$AF132)),IF(INDEX(对接源_02物料!$D$4:$D$1203,$AF132-1200)=0,"",INDEX(对接源_02物料!$D$4:$D$1203,$AF132-1200))))</f>
      </c>
      <c r="H132" s="104">
        <f>IF($AF132="","",IF($AF132&lt;=1200,"01水果册","02物料册"))</f>
      </c>
      <c r="I132" s="107">
        <f>IF($AF132="","",IF($AF132&lt;=1200,IF(INDEX(对接源_01水果!$M$4:$M$1203,$AF132)=0,"",INDEX(对接源_01水果!$M$4:$M$1203,$AF132)),IF(INDEX(对接源_02物料!$M$4:$M$1203,$AF132-1200)=0,"",INDEX(对接源_02物料!$M$4:$M$1203,$AF132-1200))))</f>
      </c>
      <c r="AF132" s="2">
        <f>IFERROR(MATCH(24,_自动清单!$Y$4:$Y$2403,0),"")</f>
      </c>
    </row>
    <row r="133" ht="18" customHeight="1" s="127">
      <c r="A133" s="163">
        <f>IF($AF133="","",IF($AF133&lt;=1200,IF(INDEX(对接源_01水果!$B$4:$B$1203,$AF133)=0,"",INDEX(对接源_01水果!$B$4:$B$1203,$AF133)),IF(INDEX(对接源_02物料!$B$4:$B$1203,$AF133-1200)=0,"",INDEX(对接源_02物料!$B$4:$B$1203,$AF133-1200))))</f>
      </c>
      <c r="B133" s="64">
        <f>IF($AF133="","",IF($AF133&lt;=1200,IF(INDEX(对接源_01水果!$S$4:$S$1203,$AF133)=0,"",INDEX(对接源_01水果!$S$4:$S$1203,$AF133)),IF(INDEX(对接源_02物料!$S$4:$S$1203,$AF133-1200)=0,"",INDEX(对接源_02物料!$S$4:$S$1203,$AF133-1200))))</f>
      </c>
      <c r="C133" s="61">
        <f>IF($AF133="","",IF($AF133&lt;=1200,IF(INDEX(对接源_01水果!$E$4:$E$1203,$AF133)=0,"",INDEX(对接源_01水果!$E$4:$E$1203,$AF133)),IF(INDEX(对接源_02物料!$E$4:$E$1203,$AF133-1200)=0,"",INDEX(对接源_02物料!$E$4:$E$1203,$AF133-1200))))</f>
      </c>
      <c r="D133" s="164">
        <f>IF($AF133="","",IF($AF133&lt;=1200,IF(INDEX(对接源_01水果!$T$4:$T$1203,$AF133)=0,"",INDEX(对接源_01水果!$T$4:$T$1203,$AF133)),IF(INDEX(对接源_02物料!$T$4:$T$1203,$AF133-1200)=0,"",INDEX(对接源_02物料!$T$4:$T$1203,$AF133-1200))))</f>
      </c>
      <c r="E133" s="64">
        <f>IF($AF133="","",IF($AF133&lt;=1200,IF(INDEX(对接源_01水果!$C$4:$C$1203,$AF133)=0,"",INDEX(对接源_01水果!$C$4:$C$1203,$AF133)),IF(INDEX(对接源_02物料!$C$4:$C$1203,$AF133-1200)=0,"",INDEX(对接源_02物料!$C$4:$C$1203,$AF133-1200))))</f>
      </c>
      <c r="F133" s="61">
        <f>IF($AF133="","",IF($AF133&lt;=1200,IF(INDEX(对接源_01水果!$W$4:$W$1203,$AF133)=0,"",INDEX(对接源_01水果!$W$4:$W$1203,$AF133)),IF(INDEX(对接源_02物料!$W$4:$W$1203,$AF133-1200)=0,"",INDEX(对接源_02物料!$W$4:$W$1203,$AF133-1200))))</f>
      </c>
      <c r="G133" s="64">
        <f>IF($AF133="","",IF($AF133&lt;=1200,IF(INDEX(对接源_01水果!$D$4:$D$1203,$AF133)=0,"",INDEX(对接源_01水果!$D$4:$D$1203,$AF133)),IF(INDEX(对接源_02物料!$D$4:$D$1203,$AF133-1200)=0,"",INDEX(对接源_02物料!$D$4:$D$1203,$AF133-1200))))</f>
      </c>
      <c r="H133" s="61">
        <f>IF($AF133="","",IF($AF133&lt;=1200,"01水果册","02物料册"))</f>
      </c>
      <c r="I133" s="64">
        <f>IF($AF133="","",IF($AF133&lt;=1200,IF(INDEX(对接源_01水果!$M$4:$M$1203,$AF133)=0,"",INDEX(对接源_01水果!$M$4:$M$1203,$AF133)),IF(INDEX(对接源_02物料!$M$4:$M$1203,$AF133-1200)=0,"",INDEX(对接源_02物料!$M$4:$M$1203,$AF133-1200))))</f>
      </c>
      <c r="AF133" s="2">
        <f>IFERROR(MATCH(25,_自动清单!$Y$4:$Y$2403,0),"")</f>
      </c>
    </row>
    <row r="134" ht="18" customHeight="1" s="127">
      <c r="A134" s="165">
        <f>IF($AF134="","",IF($AF134&lt;=1200,IF(INDEX(对接源_01水果!$B$4:$B$1203,$AF134)=0,"",INDEX(对接源_01水果!$B$4:$B$1203,$AF134)),IF(INDEX(对接源_02物料!$B$4:$B$1203,$AF134-1200)=0,"",INDEX(对接源_02物料!$B$4:$B$1203,$AF134-1200))))</f>
      </c>
      <c r="B134" s="107">
        <f>IF($AF134="","",IF($AF134&lt;=1200,IF(INDEX(对接源_01水果!$S$4:$S$1203,$AF134)=0,"",INDEX(对接源_01水果!$S$4:$S$1203,$AF134)),IF(INDEX(对接源_02物料!$S$4:$S$1203,$AF134-1200)=0,"",INDEX(对接源_02物料!$S$4:$S$1203,$AF134-1200))))</f>
      </c>
      <c r="C134" s="104">
        <f>IF($AF134="","",IF($AF134&lt;=1200,IF(INDEX(对接源_01水果!$E$4:$E$1203,$AF134)=0,"",INDEX(对接源_01水果!$E$4:$E$1203,$AF134)),IF(INDEX(对接源_02物料!$E$4:$E$1203,$AF134-1200)=0,"",INDEX(对接源_02物料!$E$4:$E$1203,$AF134-1200))))</f>
      </c>
      <c r="D134" s="166">
        <f>IF($AF134="","",IF($AF134&lt;=1200,IF(INDEX(对接源_01水果!$T$4:$T$1203,$AF134)=0,"",INDEX(对接源_01水果!$T$4:$T$1203,$AF134)),IF(INDEX(对接源_02物料!$T$4:$T$1203,$AF134-1200)=0,"",INDEX(对接源_02物料!$T$4:$T$1203,$AF134-1200))))</f>
      </c>
      <c r="E134" s="107">
        <f>IF($AF134="","",IF($AF134&lt;=1200,IF(INDEX(对接源_01水果!$C$4:$C$1203,$AF134)=0,"",INDEX(对接源_01水果!$C$4:$C$1203,$AF134)),IF(INDEX(对接源_02物料!$C$4:$C$1203,$AF134-1200)=0,"",INDEX(对接源_02物料!$C$4:$C$1203,$AF134-1200))))</f>
      </c>
      <c r="F134" s="104">
        <f>IF($AF134="","",IF($AF134&lt;=1200,IF(INDEX(对接源_01水果!$W$4:$W$1203,$AF134)=0,"",INDEX(对接源_01水果!$W$4:$W$1203,$AF134)),IF(INDEX(对接源_02物料!$W$4:$W$1203,$AF134-1200)=0,"",INDEX(对接源_02物料!$W$4:$W$1203,$AF134-1200))))</f>
      </c>
      <c r="G134" s="107">
        <f>IF($AF134="","",IF($AF134&lt;=1200,IF(INDEX(对接源_01水果!$D$4:$D$1203,$AF134)=0,"",INDEX(对接源_01水果!$D$4:$D$1203,$AF134)),IF(INDEX(对接源_02物料!$D$4:$D$1203,$AF134-1200)=0,"",INDEX(对接源_02物料!$D$4:$D$1203,$AF134-1200))))</f>
      </c>
      <c r="H134" s="104">
        <f>IF($AF134="","",IF($AF134&lt;=1200,"01水果册","02物料册"))</f>
      </c>
      <c r="I134" s="107">
        <f>IF($AF134="","",IF($AF134&lt;=1200,IF(INDEX(对接源_01水果!$M$4:$M$1203,$AF134)=0,"",INDEX(对接源_01水果!$M$4:$M$1203,$AF134)),IF(INDEX(对接源_02物料!$M$4:$M$1203,$AF134-1200)=0,"",INDEX(对接源_02物料!$M$4:$M$1203,$AF134-1200))))</f>
      </c>
      <c r="AF134" s="2">
        <f>IFERROR(MATCH(26,_自动清单!$Y$4:$Y$2403,0),"")</f>
      </c>
    </row>
    <row r="135" ht="18" customHeight="1" s="127">
      <c r="A135" s="163">
        <f>IF($AF135="","",IF($AF135&lt;=1200,IF(INDEX(对接源_01水果!$B$4:$B$1203,$AF135)=0,"",INDEX(对接源_01水果!$B$4:$B$1203,$AF135)),IF(INDEX(对接源_02物料!$B$4:$B$1203,$AF135-1200)=0,"",INDEX(对接源_02物料!$B$4:$B$1203,$AF135-1200))))</f>
      </c>
      <c r="B135" s="64">
        <f>IF($AF135="","",IF($AF135&lt;=1200,IF(INDEX(对接源_01水果!$S$4:$S$1203,$AF135)=0,"",INDEX(对接源_01水果!$S$4:$S$1203,$AF135)),IF(INDEX(对接源_02物料!$S$4:$S$1203,$AF135-1200)=0,"",INDEX(对接源_02物料!$S$4:$S$1203,$AF135-1200))))</f>
      </c>
      <c r="C135" s="61">
        <f>IF($AF135="","",IF($AF135&lt;=1200,IF(INDEX(对接源_01水果!$E$4:$E$1203,$AF135)=0,"",INDEX(对接源_01水果!$E$4:$E$1203,$AF135)),IF(INDEX(对接源_02物料!$E$4:$E$1203,$AF135-1200)=0,"",INDEX(对接源_02物料!$E$4:$E$1203,$AF135-1200))))</f>
      </c>
      <c r="D135" s="164">
        <f>IF($AF135="","",IF($AF135&lt;=1200,IF(INDEX(对接源_01水果!$T$4:$T$1203,$AF135)=0,"",INDEX(对接源_01水果!$T$4:$T$1203,$AF135)),IF(INDEX(对接源_02物料!$T$4:$T$1203,$AF135-1200)=0,"",INDEX(对接源_02物料!$T$4:$T$1203,$AF135-1200))))</f>
      </c>
      <c r="E135" s="64">
        <f>IF($AF135="","",IF($AF135&lt;=1200,IF(INDEX(对接源_01水果!$C$4:$C$1203,$AF135)=0,"",INDEX(对接源_01水果!$C$4:$C$1203,$AF135)),IF(INDEX(对接源_02物料!$C$4:$C$1203,$AF135-1200)=0,"",INDEX(对接源_02物料!$C$4:$C$1203,$AF135-1200))))</f>
      </c>
      <c r="F135" s="61">
        <f>IF($AF135="","",IF($AF135&lt;=1200,IF(INDEX(对接源_01水果!$W$4:$W$1203,$AF135)=0,"",INDEX(对接源_01水果!$W$4:$W$1203,$AF135)),IF(INDEX(对接源_02物料!$W$4:$W$1203,$AF135-1200)=0,"",INDEX(对接源_02物料!$W$4:$W$1203,$AF135-1200))))</f>
      </c>
      <c r="G135" s="64">
        <f>IF($AF135="","",IF($AF135&lt;=1200,IF(INDEX(对接源_01水果!$D$4:$D$1203,$AF135)=0,"",INDEX(对接源_01水果!$D$4:$D$1203,$AF135)),IF(INDEX(对接源_02物料!$D$4:$D$1203,$AF135-1200)=0,"",INDEX(对接源_02物料!$D$4:$D$1203,$AF135-1200))))</f>
      </c>
      <c r="H135" s="61">
        <f>IF($AF135="","",IF($AF135&lt;=1200,"01水果册","02物料册"))</f>
      </c>
      <c r="I135" s="64">
        <f>IF($AF135="","",IF($AF135&lt;=1200,IF(INDEX(对接源_01水果!$M$4:$M$1203,$AF135)=0,"",INDEX(对接源_01水果!$M$4:$M$1203,$AF135)),IF(INDEX(对接源_02物料!$M$4:$M$1203,$AF135-1200)=0,"",INDEX(对接源_02物料!$M$4:$M$1203,$AF135-1200))))</f>
      </c>
      <c r="AF135" s="2">
        <f>IFERROR(MATCH(27,_自动清单!$Y$4:$Y$2403,0),"")</f>
      </c>
    </row>
    <row r="136" ht="18" customHeight="1" s="127">
      <c r="A136" s="165">
        <f>IF($AF136="","",IF($AF136&lt;=1200,IF(INDEX(对接源_01水果!$B$4:$B$1203,$AF136)=0,"",INDEX(对接源_01水果!$B$4:$B$1203,$AF136)),IF(INDEX(对接源_02物料!$B$4:$B$1203,$AF136-1200)=0,"",INDEX(对接源_02物料!$B$4:$B$1203,$AF136-1200))))</f>
      </c>
      <c r="B136" s="107">
        <f>IF($AF136="","",IF($AF136&lt;=1200,IF(INDEX(对接源_01水果!$S$4:$S$1203,$AF136)=0,"",INDEX(对接源_01水果!$S$4:$S$1203,$AF136)),IF(INDEX(对接源_02物料!$S$4:$S$1203,$AF136-1200)=0,"",INDEX(对接源_02物料!$S$4:$S$1203,$AF136-1200))))</f>
      </c>
      <c r="C136" s="104">
        <f>IF($AF136="","",IF($AF136&lt;=1200,IF(INDEX(对接源_01水果!$E$4:$E$1203,$AF136)=0,"",INDEX(对接源_01水果!$E$4:$E$1203,$AF136)),IF(INDEX(对接源_02物料!$E$4:$E$1203,$AF136-1200)=0,"",INDEX(对接源_02物料!$E$4:$E$1203,$AF136-1200))))</f>
      </c>
      <c r="D136" s="166">
        <f>IF($AF136="","",IF($AF136&lt;=1200,IF(INDEX(对接源_01水果!$T$4:$T$1203,$AF136)=0,"",INDEX(对接源_01水果!$T$4:$T$1203,$AF136)),IF(INDEX(对接源_02物料!$T$4:$T$1203,$AF136-1200)=0,"",INDEX(对接源_02物料!$T$4:$T$1203,$AF136-1200))))</f>
      </c>
      <c r="E136" s="107">
        <f>IF($AF136="","",IF($AF136&lt;=1200,IF(INDEX(对接源_01水果!$C$4:$C$1203,$AF136)=0,"",INDEX(对接源_01水果!$C$4:$C$1203,$AF136)),IF(INDEX(对接源_02物料!$C$4:$C$1203,$AF136-1200)=0,"",INDEX(对接源_02物料!$C$4:$C$1203,$AF136-1200))))</f>
      </c>
      <c r="F136" s="104">
        <f>IF($AF136="","",IF($AF136&lt;=1200,IF(INDEX(对接源_01水果!$W$4:$W$1203,$AF136)=0,"",INDEX(对接源_01水果!$W$4:$W$1203,$AF136)),IF(INDEX(对接源_02物料!$W$4:$W$1203,$AF136-1200)=0,"",INDEX(对接源_02物料!$W$4:$W$1203,$AF136-1200))))</f>
      </c>
      <c r="G136" s="107">
        <f>IF($AF136="","",IF($AF136&lt;=1200,IF(INDEX(对接源_01水果!$D$4:$D$1203,$AF136)=0,"",INDEX(对接源_01水果!$D$4:$D$1203,$AF136)),IF(INDEX(对接源_02物料!$D$4:$D$1203,$AF136-1200)=0,"",INDEX(对接源_02物料!$D$4:$D$1203,$AF136-1200))))</f>
      </c>
      <c r="H136" s="104">
        <f>IF($AF136="","",IF($AF136&lt;=1200,"01水果册","02物料册"))</f>
      </c>
      <c r="I136" s="107">
        <f>IF($AF136="","",IF($AF136&lt;=1200,IF(INDEX(对接源_01水果!$M$4:$M$1203,$AF136)=0,"",INDEX(对接源_01水果!$M$4:$M$1203,$AF136)),IF(INDEX(对接源_02物料!$M$4:$M$1203,$AF136-1200)=0,"",INDEX(对接源_02物料!$M$4:$M$1203,$AF136-1200))))</f>
      </c>
      <c r="AF136" s="2">
        <f>IFERROR(MATCH(28,_自动清单!$Y$4:$Y$2403,0),"")</f>
      </c>
    </row>
    <row r="137" ht="18" customHeight="1" s="127">
      <c r="A137" s="163">
        <f>IF($AF137="","",IF($AF137&lt;=1200,IF(INDEX(对接源_01水果!$B$4:$B$1203,$AF137)=0,"",INDEX(对接源_01水果!$B$4:$B$1203,$AF137)),IF(INDEX(对接源_02物料!$B$4:$B$1203,$AF137-1200)=0,"",INDEX(对接源_02物料!$B$4:$B$1203,$AF137-1200))))</f>
      </c>
      <c r="B137" s="64">
        <f>IF($AF137="","",IF($AF137&lt;=1200,IF(INDEX(对接源_01水果!$S$4:$S$1203,$AF137)=0,"",INDEX(对接源_01水果!$S$4:$S$1203,$AF137)),IF(INDEX(对接源_02物料!$S$4:$S$1203,$AF137-1200)=0,"",INDEX(对接源_02物料!$S$4:$S$1203,$AF137-1200))))</f>
      </c>
      <c r="C137" s="61">
        <f>IF($AF137="","",IF($AF137&lt;=1200,IF(INDEX(对接源_01水果!$E$4:$E$1203,$AF137)=0,"",INDEX(对接源_01水果!$E$4:$E$1203,$AF137)),IF(INDEX(对接源_02物料!$E$4:$E$1203,$AF137-1200)=0,"",INDEX(对接源_02物料!$E$4:$E$1203,$AF137-1200))))</f>
      </c>
      <c r="D137" s="164">
        <f>IF($AF137="","",IF($AF137&lt;=1200,IF(INDEX(对接源_01水果!$T$4:$T$1203,$AF137)=0,"",INDEX(对接源_01水果!$T$4:$T$1203,$AF137)),IF(INDEX(对接源_02物料!$T$4:$T$1203,$AF137-1200)=0,"",INDEX(对接源_02物料!$T$4:$T$1203,$AF137-1200))))</f>
      </c>
      <c r="E137" s="64">
        <f>IF($AF137="","",IF($AF137&lt;=1200,IF(INDEX(对接源_01水果!$C$4:$C$1203,$AF137)=0,"",INDEX(对接源_01水果!$C$4:$C$1203,$AF137)),IF(INDEX(对接源_02物料!$C$4:$C$1203,$AF137-1200)=0,"",INDEX(对接源_02物料!$C$4:$C$1203,$AF137-1200))))</f>
      </c>
      <c r="F137" s="61">
        <f>IF($AF137="","",IF($AF137&lt;=1200,IF(INDEX(对接源_01水果!$W$4:$W$1203,$AF137)=0,"",INDEX(对接源_01水果!$W$4:$W$1203,$AF137)),IF(INDEX(对接源_02物料!$W$4:$W$1203,$AF137-1200)=0,"",INDEX(对接源_02物料!$W$4:$W$1203,$AF137-1200))))</f>
      </c>
      <c r="G137" s="64">
        <f>IF($AF137="","",IF($AF137&lt;=1200,IF(INDEX(对接源_01水果!$D$4:$D$1203,$AF137)=0,"",INDEX(对接源_01水果!$D$4:$D$1203,$AF137)),IF(INDEX(对接源_02物料!$D$4:$D$1203,$AF137-1200)=0,"",INDEX(对接源_02物料!$D$4:$D$1203,$AF137-1200))))</f>
      </c>
      <c r="H137" s="61">
        <f>IF($AF137="","",IF($AF137&lt;=1200,"01水果册","02物料册"))</f>
      </c>
      <c r="I137" s="64">
        <f>IF($AF137="","",IF($AF137&lt;=1200,IF(INDEX(对接源_01水果!$M$4:$M$1203,$AF137)=0,"",INDEX(对接源_01水果!$M$4:$M$1203,$AF137)),IF(INDEX(对接源_02物料!$M$4:$M$1203,$AF137-1200)=0,"",INDEX(对接源_02物料!$M$4:$M$1203,$AF137-1200))))</f>
      </c>
      <c r="AF137" s="2">
        <f>IFERROR(MATCH(29,_自动清单!$Y$4:$Y$2403,0),"")</f>
      </c>
    </row>
    <row r="138" ht="18" customHeight="1" s="127">
      <c r="A138" s="165">
        <f>IF($AF138="","",IF($AF138&lt;=1200,IF(INDEX(对接源_01水果!$B$4:$B$1203,$AF138)=0,"",INDEX(对接源_01水果!$B$4:$B$1203,$AF138)),IF(INDEX(对接源_02物料!$B$4:$B$1203,$AF138-1200)=0,"",INDEX(对接源_02物料!$B$4:$B$1203,$AF138-1200))))</f>
      </c>
      <c r="B138" s="107">
        <f>IF($AF138="","",IF($AF138&lt;=1200,IF(INDEX(对接源_01水果!$S$4:$S$1203,$AF138)=0,"",INDEX(对接源_01水果!$S$4:$S$1203,$AF138)),IF(INDEX(对接源_02物料!$S$4:$S$1203,$AF138-1200)=0,"",INDEX(对接源_02物料!$S$4:$S$1203,$AF138-1200))))</f>
      </c>
      <c r="C138" s="104">
        <f>IF($AF138="","",IF($AF138&lt;=1200,IF(INDEX(对接源_01水果!$E$4:$E$1203,$AF138)=0,"",INDEX(对接源_01水果!$E$4:$E$1203,$AF138)),IF(INDEX(对接源_02物料!$E$4:$E$1203,$AF138-1200)=0,"",INDEX(对接源_02物料!$E$4:$E$1203,$AF138-1200))))</f>
      </c>
      <c r="D138" s="166">
        <f>IF($AF138="","",IF($AF138&lt;=1200,IF(INDEX(对接源_01水果!$T$4:$T$1203,$AF138)=0,"",INDEX(对接源_01水果!$T$4:$T$1203,$AF138)),IF(INDEX(对接源_02物料!$T$4:$T$1203,$AF138-1200)=0,"",INDEX(对接源_02物料!$T$4:$T$1203,$AF138-1200))))</f>
      </c>
      <c r="E138" s="107">
        <f>IF($AF138="","",IF($AF138&lt;=1200,IF(INDEX(对接源_01水果!$C$4:$C$1203,$AF138)=0,"",INDEX(对接源_01水果!$C$4:$C$1203,$AF138)),IF(INDEX(对接源_02物料!$C$4:$C$1203,$AF138-1200)=0,"",INDEX(对接源_02物料!$C$4:$C$1203,$AF138-1200))))</f>
      </c>
      <c r="F138" s="104">
        <f>IF($AF138="","",IF($AF138&lt;=1200,IF(INDEX(对接源_01水果!$W$4:$W$1203,$AF138)=0,"",INDEX(对接源_01水果!$W$4:$W$1203,$AF138)),IF(INDEX(对接源_02物料!$W$4:$W$1203,$AF138-1200)=0,"",INDEX(对接源_02物料!$W$4:$W$1203,$AF138-1200))))</f>
      </c>
      <c r="G138" s="107">
        <f>IF($AF138="","",IF($AF138&lt;=1200,IF(INDEX(对接源_01水果!$D$4:$D$1203,$AF138)=0,"",INDEX(对接源_01水果!$D$4:$D$1203,$AF138)),IF(INDEX(对接源_02物料!$D$4:$D$1203,$AF138-1200)=0,"",INDEX(对接源_02物料!$D$4:$D$1203,$AF138-1200))))</f>
      </c>
      <c r="H138" s="104">
        <f>IF($AF138="","",IF($AF138&lt;=1200,"01水果册","02物料册"))</f>
      </c>
      <c r="I138" s="107">
        <f>IF($AF138="","",IF($AF138&lt;=1200,IF(INDEX(对接源_01水果!$M$4:$M$1203,$AF138)=0,"",INDEX(对接源_01水果!$M$4:$M$1203,$AF138)),IF(INDEX(对接源_02物料!$M$4:$M$1203,$AF138-1200)=0,"",INDEX(对接源_02物料!$M$4:$M$1203,$AF138-1200))))</f>
      </c>
      <c r="AF138" s="2">
        <f>IFERROR(MATCH(30,_自动清单!$Y$4:$Y$2403,0),"")</f>
      </c>
    </row>
    <row r="139" ht="18" customHeight="1" s="127">
      <c r="A139" s="163">
        <f>IF($AF139="","",IF($AF139&lt;=1200,IF(INDEX(对接源_01水果!$B$4:$B$1203,$AF139)=0,"",INDEX(对接源_01水果!$B$4:$B$1203,$AF139)),IF(INDEX(对接源_02物料!$B$4:$B$1203,$AF139-1200)=0,"",INDEX(对接源_02物料!$B$4:$B$1203,$AF139-1200))))</f>
      </c>
      <c r="B139" s="64">
        <f>IF($AF139="","",IF($AF139&lt;=1200,IF(INDEX(对接源_01水果!$S$4:$S$1203,$AF139)=0,"",INDEX(对接源_01水果!$S$4:$S$1203,$AF139)),IF(INDEX(对接源_02物料!$S$4:$S$1203,$AF139-1200)=0,"",INDEX(对接源_02物料!$S$4:$S$1203,$AF139-1200))))</f>
      </c>
      <c r="C139" s="61">
        <f>IF($AF139="","",IF($AF139&lt;=1200,IF(INDEX(对接源_01水果!$E$4:$E$1203,$AF139)=0,"",INDEX(对接源_01水果!$E$4:$E$1203,$AF139)),IF(INDEX(对接源_02物料!$E$4:$E$1203,$AF139-1200)=0,"",INDEX(对接源_02物料!$E$4:$E$1203,$AF139-1200))))</f>
      </c>
      <c r="D139" s="164">
        <f>IF($AF139="","",IF($AF139&lt;=1200,IF(INDEX(对接源_01水果!$T$4:$T$1203,$AF139)=0,"",INDEX(对接源_01水果!$T$4:$T$1203,$AF139)),IF(INDEX(对接源_02物料!$T$4:$T$1203,$AF139-1200)=0,"",INDEX(对接源_02物料!$T$4:$T$1203,$AF139-1200))))</f>
      </c>
      <c r="E139" s="64">
        <f>IF($AF139="","",IF($AF139&lt;=1200,IF(INDEX(对接源_01水果!$C$4:$C$1203,$AF139)=0,"",INDEX(对接源_01水果!$C$4:$C$1203,$AF139)),IF(INDEX(对接源_02物料!$C$4:$C$1203,$AF139-1200)=0,"",INDEX(对接源_02物料!$C$4:$C$1203,$AF139-1200))))</f>
      </c>
      <c r="F139" s="61">
        <f>IF($AF139="","",IF($AF139&lt;=1200,IF(INDEX(对接源_01水果!$W$4:$W$1203,$AF139)=0,"",INDEX(对接源_01水果!$W$4:$W$1203,$AF139)),IF(INDEX(对接源_02物料!$W$4:$W$1203,$AF139-1200)=0,"",INDEX(对接源_02物料!$W$4:$W$1203,$AF139-1200))))</f>
      </c>
      <c r="G139" s="64">
        <f>IF($AF139="","",IF($AF139&lt;=1200,IF(INDEX(对接源_01水果!$D$4:$D$1203,$AF139)=0,"",INDEX(对接源_01水果!$D$4:$D$1203,$AF139)),IF(INDEX(对接源_02物料!$D$4:$D$1203,$AF139-1200)=0,"",INDEX(对接源_02物料!$D$4:$D$1203,$AF139-1200))))</f>
      </c>
      <c r="H139" s="61">
        <f>IF($AF139="","",IF($AF139&lt;=1200,"01水果册","02物料册"))</f>
      </c>
      <c r="I139" s="64">
        <f>IF($AF139="","",IF($AF139&lt;=1200,IF(INDEX(对接源_01水果!$M$4:$M$1203,$AF139)=0,"",INDEX(对接源_01水果!$M$4:$M$1203,$AF139)),IF(INDEX(对接源_02物料!$M$4:$M$1203,$AF139-1200)=0,"",INDEX(对接源_02物料!$M$4:$M$1203,$AF139-1200))))</f>
      </c>
      <c r="AF139" s="2">
        <f>IFERROR(MATCH(31,_自动清单!$Y$4:$Y$2403,0),"")</f>
      </c>
    </row>
    <row r="140" ht="18" customHeight="1" s="127">
      <c r="A140" s="165">
        <f>IF($AF140="","",IF($AF140&lt;=1200,IF(INDEX(对接源_01水果!$B$4:$B$1203,$AF140)=0,"",INDEX(对接源_01水果!$B$4:$B$1203,$AF140)),IF(INDEX(对接源_02物料!$B$4:$B$1203,$AF140-1200)=0,"",INDEX(对接源_02物料!$B$4:$B$1203,$AF140-1200))))</f>
      </c>
      <c r="B140" s="107">
        <f>IF($AF140="","",IF($AF140&lt;=1200,IF(INDEX(对接源_01水果!$S$4:$S$1203,$AF140)=0,"",INDEX(对接源_01水果!$S$4:$S$1203,$AF140)),IF(INDEX(对接源_02物料!$S$4:$S$1203,$AF140-1200)=0,"",INDEX(对接源_02物料!$S$4:$S$1203,$AF140-1200))))</f>
      </c>
      <c r="C140" s="104">
        <f>IF($AF140="","",IF($AF140&lt;=1200,IF(INDEX(对接源_01水果!$E$4:$E$1203,$AF140)=0,"",INDEX(对接源_01水果!$E$4:$E$1203,$AF140)),IF(INDEX(对接源_02物料!$E$4:$E$1203,$AF140-1200)=0,"",INDEX(对接源_02物料!$E$4:$E$1203,$AF140-1200))))</f>
      </c>
      <c r="D140" s="166">
        <f>IF($AF140="","",IF($AF140&lt;=1200,IF(INDEX(对接源_01水果!$T$4:$T$1203,$AF140)=0,"",INDEX(对接源_01水果!$T$4:$T$1203,$AF140)),IF(INDEX(对接源_02物料!$T$4:$T$1203,$AF140-1200)=0,"",INDEX(对接源_02物料!$T$4:$T$1203,$AF140-1200))))</f>
      </c>
      <c r="E140" s="107">
        <f>IF($AF140="","",IF($AF140&lt;=1200,IF(INDEX(对接源_01水果!$C$4:$C$1203,$AF140)=0,"",INDEX(对接源_01水果!$C$4:$C$1203,$AF140)),IF(INDEX(对接源_02物料!$C$4:$C$1203,$AF140-1200)=0,"",INDEX(对接源_02物料!$C$4:$C$1203,$AF140-1200))))</f>
      </c>
      <c r="F140" s="104">
        <f>IF($AF140="","",IF($AF140&lt;=1200,IF(INDEX(对接源_01水果!$W$4:$W$1203,$AF140)=0,"",INDEX(对接源_01水果!$W$4:$W$1203,$AF140)),IF(INDEX(对接源_02物料!$W$4:$W$1203,$AF140-1200)=0,"",INDEX(对接源_02物料!$W$4:$W$1203,$AF140-1200))))</f>
      </c>
      <c r="G140" s="107">
        <f>IF($AF140="","",IF($AF140&lt;=1200,IF(INDEX(对接源_01水果!$D$4:$D$1203,$AF140)=0,"",INDEX(对接源_01水果!$D$4:$D$1203,$AF140)),IF(INDEX(对接源_02物料!$D$4:$D$1203,$AF140-1200)=0,"",INDEX(对接源_02物料!$D$4:$D$1203,$AF140-1200))))</f>
      </c>
      <c r="H140" s="104">
        <f>IF($AF140="","",IF($AF140&lt;=1200,"01水果册","02物料册"))</f>
      </c>
      <c r="I140" s="107">
        <f>IF($AF140="","",IF($AF140&lt;=1200,IF(INDEX(对接源_01水果!$M$4:$M$1203,$AF140)=0,"",INDEX(对接源_01水果!$M$4:$M$1203,$AF140)),IF(INDEX(对接源_02物料!$M$4:$M$1203,$AF140-1200)=0,"",INDEX(对接源_02物料!$M$4:$M$1203,$AF140-1200))))</f>
      </c>
      <c r="AF140" s="2">
        <f>IFERROR(MATCH(32,_自动清单!$Y$4:$Y$2403,0),"")</f>
      </c>
    </row>
    <row r="141" ht="18" customHeight="1" s="127">
      <c r="A141" s="163">
        <f>IF($AF141="","",IF($AF141&lt;=1200,IF(INDEX(对接源_01水果!$B$4:$B$1203,$AF141)=0,"",INDEX(对接源_01水果!$B$4:$B$1203,$AF141)),IF(INDEX(对接源_02物料!$B$4:$B$1203,$AF141-1200)=0,"",INDEX(对接源_02物料!$B$4:$B$1203,$AF141-1200))))</f>
      </c>
      <c r="B141" s="64">
        <f>IF($AF141="","",IF($AF141&lt;=1200,IF(INDEX(对接源_01水果!$S$4:$S$1203,$AF141)=0,"",INDEX(对接源_01水果!$S$4:$S$1203,$AF141)),IF(INDEX(对接源_02物料!$S$4:$S$1203,$AF141-1200)=0,"",INDEX(对接源_02物料!$S$4:$S$1203,$AF141-1200))))</f>
      </c>
      <c r="C141" s="61">
        <f>IF($AF141="","",IF($AF141&lt;=1200,IF(INDEX(对接源_01水果!$E$4:$E$1203,$AF141)=0,"",INDEX(对接源_01水果!$E$4:$E$1203,$AF141)),IF(INDEX(对接源_02物料!$E$4:$E$1203,$AF141-1200)=0,"",INDEX(对接源_02物料!$E$4:$E$1203,$AF141-1200))))</f>
      </c>
      <c r="D141" s="164">
        <f>IF($AF141="","",IF($AF141&lt;=1200,IF(INDEX(对接源_01水果!$T$4:$T$1203,$AF141)=0,"",INDEX(对接源_01水果!$T$4:$T$1203,$AF141)),IF(INDEX(对接源_02物料!$T$4:$T$1203,$AF141-1200)=0,"",INDEX(对接源_02物料!$T$4:$T$1203,$AF141-1200))))</f>
      </c>
      <c r="E141" s="64">
        <f>IF($AF141="","",IF($AF141&lt;=1200,IF(INDEX(对接源_01水果!$C$4:$C$1203,$AF141)=0,"",INDEX(对接源_01水果!$C$4:$C$1203,$AF141)),IF(INDEX(对接源_02物料!$C$4:$C$1203,$AF141-1200)=0,"",INDEX(对接源_02物料!$C$4:$C$1203,$AF141-1200))))</f>
      </c>
      <c r="F141" s="61">
        <f>IF($AF141="","",IF($AF141&lt;=1200,IF(INDEX(对接源_01水果!$W$4:$W$1203,$AF141)=0,"",INDEX(对接源_01水果!$W$4:$W$1203,$AF141)),IF(INDEX(对接源_02物料!$W$4:$W$1203,$AF141-1200)=0,"",INDEX(对接源_02物料!$W$4:$W$1203,$AF141-1200))))</f>
      </c>
      <c r="G141" s="64">
        <f>IF($AF141="","",IF($AF141&lt;=1200,IF(INDEX(对接源_01水果!$D$4:$D$1203,$AF141)=0,"",INDEX(对接源_01水果!$D$4:$D$1203,$AF141)),IF(INDEX(对接源_02物料!$D$4:$D$1203,$AF141-1200)=0,"",INDEX(对接源_02物料!$D$4:$D$1203,$AF141-1200))))</f>
      </c>
      <c r="H141" s="61">
        <f>IF($AF141="","",IF($AF141&lt;=1200,"01水果册","02物料册"))</f>
      </c>
      <c r="I141" s="64">
        <f>IF($AF141="","",IF($AF141&lt;=1200,IF(INDEX(对接源_01水果!$M$4:$M$1203,$AF141)=0,"",INDEX(对接源_01水果!$M$4:$M$1203,$AF141)),IF(INDEX(对接源_02物料!$M$4:$M$1203,$AF141-1200)=0,"",INDEX(对接源_02物料!$M$4:$M$1203,$AF141-1200))))</f>
      </c>
      <c r="AF141" s="2">
        <f>IFERROR(MATCH(33,_自动清单!$Y$4:$Y$2403,0),"")</f>
      </c>
    </row>
    <row r="142" ht="18" customHeight="1" s="127">
      <c r="A142" s="165">
        <f>IF($AF142="","",IF($AF142&lt;=1200,IF(INDEX(对接源_01水果!$B$4:$B$1203,$AF142)=0,"",INDEX(对接源_01水果!$B$4:$B$1203,$AF142)),IF(INDEX(对接源_02物料!$B$4:$B$1203,$AF142-1200)=0,"",INDEX(对接源_02物料!$B$4:$B$1203,$AF142-1200))))</f>
      </c>
      <c r="B142" s="107">
        <f>IF($AF142="","",IF($AF142&lt;=1200,IF(INDEX(对接源_01水果!$S$4:$S$1203,$AF142)=0,"",INDEX(对接源_01水果!$S$4:$S$1203,$AF142)),IF(INDEX(对接源_02物料!$S$4:$S$1203,$AF142-1200)=0,"",INDEX(对接源_02物料!$S$4:$S$1203,$AF142-1200))))</f>
      </c>
      <c r="C142" s="104">
        <f>IF($AF142="","",IF($AF142&lt;=1200,IF(INDEX(对接源_01水果!$E$4:$E$1203,$AF142)=0,"",INDEX(对接源_01水果!$E$4:$E$1203,$AF142)),IF(INDEX(对接源_02物料!$E$4:$E$1203,$AF142-1200)=0,"",INDEX(对接源_02物料!$E$4:$E$1203,$AF142-1200))))</f>
      </c>
      <c r="D142" s="166">
        <f>IF($AF142="","",IF($AF142&lt;=1200,IF(INDEX(对接源_01水果!$T$4:$T$1203,$AF142)=0,"",INDEX(对接源_01水果!$T$4:$T$1203,$AF142)),IF(INDEX(对接源_02物料!$T$4:$T$1203,$AF142-1200)=0,"",INDEX(对接源_02物料!$T$4:$T$1203,$AF142-1200))))</f>
      </c>
      <c r="E142" s="107">
        <f>IF($AF142="","",IF($AF142&lt;=1200,IF(INDEX(对接源_01水果!$C$4:$C$1203,$AF142)=0,"",INDEX(对接源_01水果!$C$4:$C$1203,$AF142)),IF(INDEX(对接源_02物料!$C$4:$C$1203,$AF142-1200)=0,"",INDEX(对接源_02物料!$C$4:$C$1203,$AF142-1200))))</f>
      </c>
      <c r="F142" s="104">
        <f>IF($AF142="","",IF($AF142&lt;=1200,IF(INDEX(对接源_01水果!$W$4:$W$1203,$AF142)=0,"",INDEX(对接源_01水果!$W$4:$W$1203,$AF142)),IF(INDEX(对接源_02物料!$W$4:$W$1203,$AF142-1200)=0,"",INDEX(对接源_02物料!$W$4:$W$1203,$AF142-1200))))</f>
      </c>
      <c r="G142" s="107">
        <f>IF($AF142="","",IF($AF142&lt;=1200,IF(INDEX(对接源_01水果!$D$4:$D$1203,$AF142)=0,"",INDEX(对接源_01水果!$D$4:$D$1203,$AF142)),IF(INDEX(对接源_02物料!$D$4:$D$1203,$AF142-1200)=0,"",INDEX(对接源_02物料!$D$4:$D$1203,$AF142-1200))))</f>
      </c>
      <c r="H142" s="104">
        <f>IF($AF142="","",IF($AF142&lt;=1200,"01水果册","02物料册"))</f>
      </c>
      <c r="I142" s="107">
        <f>IF($AF142="","",IF($AF142&lt;=1200,IF(INDEX(对接源_01水果!$M$4:$M$1203,$AF142)=0,"",INDEX(对接源_01水果!$M$4:$M$1203,$AF142)),IF(INDEX(对接源_02物料!$M$4:$M$1203,$AF142-1200)=0,"",INDEX(对接源_02物料!$M$4:$M$1203,$AF142-1200))))</f>
      </c>
      <c r="AF142" s="2">
        <f>IFERROR(MATCH(34,_自动清单!$Y$4:$Y$2403,0),"")</f>
      </c>
    </row>
    <row r="143" ht="18" customHeight="1" s="127">
      <c r="A143" s="163">
        <f>IF($AF143="","",IF($AF143&lt;=1200,IF(INDEX(对接源_01水果!$B$4:$B$1203,$AF143)=0,"",INDEX(对接源_01水果!$B$4:$B$1203,$AF143)),IF(INDEX(对接源_02物料!$B$4:$B$1203,$AF143-1200)=0,"",INDEX(对接源_02物料!$B$4:$B$1203,$AF143-1200))))</f>
      </c>
      <c r="B143" s="64">
        <f>IF($AF143="","",IF($AF143&lt;=1200,IF(INDEX(对接源_01水果!$S$4:$S$1203,$AF143)=0,"",INDEX(对接源_01水果!$S$4:$S$1203,$AF143)),IF(INDEX(对接源_02物料!$S$4:$S$1203,$AF143-1200)=0,"",INDEX(对接源_02物料!$S$4:$S$1203,$AF143-1200))))</f>
      </c>
      <c r="C143" s="61">
        <f>IF($AF143="","",IF($AF143&lt;=1200,IF(INDEX(对接源_01水果!$E$4:$E$1203,$AF143)=0,"",INDEX(对接源_01水果!$E$4:$E$1203,$AF143)),IF(INDEX(对接源_02物料!$E$4:$E$1203,$AF143-1200)=0,"",INDEX(对接源_02物料!$E$4:$E$1203,$AF143-1200))))</f>
      </c>
      <c r="D143" s="164">
        <f>IF($AF143="","",IF($AF143&lt;=1200,IF(INDEX(对接源_01水果!$T$4:$T$1203,$AF143)=0,"",INDEX(对接源_01水果!$T$4:$T$1203,$AF143)),IF(INDEX(对接源_02物料!$T$4:$T$1203,$AF143-1200)=0,"",INDEX(对接源_02物料!$T$4:$T$1203,$AF143-1200))))</f>
      </c>
      <c r="E143" s="64">
        <f>IF($AF143="","",IF($AF143&lt;=1200,IF(INDEX(对接源_01水果!$C$4:$C$1203,$AF143)=0,"",INDEX(对接源_01水果!$C$4:$C$1203,$AF143)),IF(INDEX(对接源_02物料!$C$4:$C$1203,$AF143-1200)=0,"",INDEX(对接源_02物料!$C$4:$C$1203,$AF143-1200))))</f>
      </c>
      <c r="F143" s="61">
        <f>IF($AF143="","",IF($AF143&lt;=1200,IF(INDEX(对接源_01水果!$W$4:$W$1203,$AF143)=0,"",INDEX(对接源_01水果!$W$4:$W$1203,$AF143)),IF(INDEX(对接源_02物料!$W$4:$W$1203,$AF143-1200)=0,"",INDEX(对接源_02物料!$W$4:$W$1203,$AF143-1200))))</f>
      </c>
      <c r="G143" s="64">
        <f>IF($AF143="","",IF($AF143&lt;=1200,IF(INDEX(对接源_01水果!$D$4:$D$1203,$AF143)=0,"",INDEX(对接源_01水果!$D$4:$D$1203,$AF143)),IF(INDEX(对接源_02物料!$D$4:$D$1203,$AF143-1200)=0,"",INDEX(对接源_02物料!$D$4:$D$1203,$AF143-1200))))</f>
      </c>
      <c r="H143" s="61">
        <f>IF($AF143="","",IF($AF143&lt;=1200,"01水果册","02物料册"))</f>
      </c>
      <c r="I143" s="64">
        <f>IF($AF143="","",IF($AF143&lt;=1200,IF(INDEX(对接源_01水果!$M$4:$M$1203,$AF143)=0,"",INDEX(对接源_01水果!$M$4:$M$1203,$AF143)),IF(INDEX(对接源_02物料!$M$4:$M$1203,$AF143-1200)=0,"",INDEX(对接源_02物料!$M$4:$M$1203,$AF143-1200))))</f>
      </c>
      <c r="AF143" s="2">
        <f>IFERROR(MATCH(35,_自动清单!$Y$4:$Y$2403,0),"")</f>
      </c>
    </row>
    <row r="144" ht="18" customHeight="1" s="127">
      <c r="A144" s="165">
        <f>IF($AF144="","",IF($AF144&lt;=1200,IF(INDEX(对接源_01水果!$B$4:$B$1203,$AF144)=0,"",INDEX(对接源_01水果!$B$4:$B$1203,$AF144)),IF(INDEX(对接源_02物料!$B$4:$B$1203,$AF144-1200)=0,"",INDEX(对接源_02物料!$B$4:$B$1203,$AF144-1200))))</f>
      </c>
      <c r="B144" s="107">
        <f>IF($AF144="","",IF($AF144&lt;=1200,IF(INDEX(对接源_01水果!$S$4:$S$1203,$AF144)=0,"",INDEX(对接源_01水果!$S$4:$S$1203,$AF144)),IF(INDEX(对接源_02物料!$S$4:$S$1203,$AF144-1200)=0,"",INDEX(对接源_02物料!$S$4:$S$1203,$AF144-1200))))</f>
      </c>
      <c r="C144" s="104">
        <f>IF($AF144="","",IF($AF144&lt;=1200,IF(INDEX(对接源_01水果!$E$4:$E$1203,$AF144)=0,"",INDEX(对接源_01水果!$E$4:$E$1203,$AF144)),IF(INDEX(对接源_02物料!$E$4:$E$1203,$AF144-1200)=0,"",INDEX(对接源_02物料!$E$4:$E$1203,$AF144-1200))))</f>
      </c>
      <c r="D144" s="166">
        <f>IF($AF144="","",IF($AF144&lt;=1200,IF(INDEX(对接源_01水果!$T$4:$T$1203,$AF144)=0,"",INDEX(对接源_01水果!$T$4:$T$1203,$AF144)),IF(INDEX(对接源_02物料!$T$4:$T$1203,$AF144-1200)=0,"",INDEX(对接源_02物料!$T$4:$T$1203,$AF144-1200))))</f>
      </c>
      <c r="E144" s="107">
        <f>IF($AF144="","",IF($AF144&lt;=1200,IF(INDEX(对接源_01水果!$C$4:$C$1203,$AF144)=0,"",INDEX(对接源_01水果!$C$4:$C$1203,$AF144)),IF(INDEX(对接源_02物料!$C$4:$C$1203,$AF144-1200)=0,"",INDEX(对接源_02物料!$C$4:$C$1203,$AF144-1200))))</f>
      </c>
      <c r="F144" s="104">
        <f>IF($AF144="","",IF($AF144&lt;=1200,IF(INDEX(对接源_01水果!$W$4:$W$1203,$AF144)=0,"",INDEX(对接源_01水果!$W$4:$W$1203,$AF144)),IF(INDEX(对接源_02物料!$W$4:$W$1203,$AF144-1200)=0,"",INDEX(对接源_02物料!$W$4:$W$1203,$AF144-1200))))</f>
      </c>
      <c r="G144" s="107">
        <f>IF($AF144="","",IF($AF144&lt;=1200,IF(INDEX(对接源_01水果!$D$4:$D$1203,$AF144)=0,"",INDEX(对接源_01水果!$D$4:$D$1203,$AF144)),IF(INDEX(对接源_02物料!$D$4:$D$1203,$AF144-1200)=0,"",INDEX(对接源_02物料!$D$4:$D$1203,$AF144-1200))))</f>
      </c>
      <c r="H144" s="104">
        <f>IF($AF144="","",IF($AF144&lt;=1200,"01水果册","02物料册"))</f>
      </c>
      <c r="I144" s="107">
        <f>IF($AF144="","",IF($AF144&lt;=1200,IF(INDEX(对接源_01水果!$M$4:$M$1203,$AF144)=0,"",INDEX(对接源_01水果!$M$4:$M$1203,$AF144)),IF(INDEX(对接源_02物料!$M$4:$M$1203,$AF144-1200)=0,"",INDEX(对接源_02物料!$M$4:$M$1203,$AF144-1200))))</f>
      </c>
      <c r="AF144" s="2">
        <f>IFERROR(MATCH(36,_自动清单!$Y$4:$Y$2403,0),"")</f>
      </c>
    </row>
    <row r="145" ht="18" customHeight="1" s="127">
      <c r="A145" s="163">
        <f>IF($AF145="","",IF($AF145&lt;=1200,IF(INDEX(对接源_01水果!$B$4:$B$1203,$AF145)=0,"",INDEX(对接源_01水果!$B$4:$B$1203,$AF145)),IF(INDEX(对接源_02物料!$B$4:$B$1203,$AF145-1200)=0,"",INDEX(对接源_02物料!$B$4:$B$1203,$AF145-1200))))</f>
      </c>
      <c r="B145" s="64">
        <f>IF($AF145="","",IF($AF145&lt;=1200,IF(INDEX(对接源_01水果!$S$4:$S$1203,$AF145)=0,"",INDEX(对接源_01水果!$S$4:$S$1203,$AF145)),IF(INDEX(对接源_02物料!$S$4:$S$1203,$AF145-1200)=0,"",INDEX(对接源_02物料!$S$4:$S$1203,$AF145-1200))))</f>
      </c>
      <c r="C145" s="61">
        <f>IF($AF145="","",IF($AF145&lt;=1200,IF(INDEX(对接源_01水果!$E$4:$E$1203,$AF145)=0,"",INDEX(对接源_01水果!$E$4:$E$1203,$AF145)),IF(INDEX(对接源_02物料!$E$4:$E$1203,$AF145-1200)=0,"",INDEX(对接源_02物料!$E$4:$E$1203,$AF145-1200))))</f>
      </c>
      <c r="D145" s="164">
        <f>IF($AF145="","",IF($AF145&lt;=1200,IF(INDEX(对接源_01水果!$T$4:$T$1203,$AF145)=0,"",INDEX(对接源_01水果!$T$4:$T$1203,$AF145)),IF(INDEX(对接源_02物料!$T$4:$T$1203,$AF145-1200)=0,"",INDEX(对接源_02物料!$T$4:$T$1203,$AF145-1200))))</f>
      </c>
      <c r="E145" s="64">
        <f>IF($AF145="","",IF($AF145&lt;=1200,IF(INDEX(对接源_01水果!$C$4:$C$1203,$AF145)=0,"",INDEX(对接源_01水果!$C$4:$C$1203,$AF145)),IF(INDEX(对接源_02物料!$C$4:$C$1203,$AF145-1200)=0,"",INDEX(对接源_02物料!$C$4:$C$1203,$AF145-1200))))</f>
      </c>
      <c r="F145" s="61">
        <f>IF($AF145="","",IF($AF145&lt;=1200,IF(INDEX(对接源_01水果!$W$4:$W$1203,$AF145)=0,"",INDEX(对接源_01水果!$W$4:$W$1203,$AF145)),IF(INDEX(对接源_02物料!$W$4:$W$1203,$AF145-1200)=0,"",INDEX(对接源_02物料!$W$4:$W$1203,$AF145-1200))))</f>
      </c>
      <c r="G145" s="64">
        <f>IF($AF145="","",IF($AF145&lt;=1200,IF(INDEX(对接源_01水果!$D$4:$D$1203,$AF145)=0,"",INDEX(对接源_01水果!$D$4:$D$1203,$AF145)),IF(INDEX(对接源_02物料!$D$4:$D$1203,$AF145-1200)=0,"",INDEX(对接源_02物料!$D$4:$D$1203,$AF145-1200))))</f>
      </c>
      <c r="H145" s="61">
        <f>IF($AF145="","",IF($AF145&lt;=1200,"01水果册","02物料册"))</f>
      </c>
      <c r="I145" s="64">
        <f>IF($AF145="","",IF($AF145&lt;=1200,IF(INDEX(对接源_01水果!$M$4:$M$1203,$AF145)=0,"",INDEX(对接源_01水果!$M$4:$M$1203,$AF145)),IF(INDEX(对接源_02物料!$M$4:$M$1203,$AF145-1200)=0,"",INDEX(对接源_02物料!$M$4:$M$1203,$AF145-1200))))</f>
      </c>
      <c r="AF145" s="2">
        <f>IFERROR(MATCH(37,_自动清单!$Y$4:$Y$2403,0),"")</f>
      </c>
    </row>
    <row r="146" ht="18" customHeight="1" s="127">
      <c r="A146" s="165">
        <f>IF($AF146="","",IF($AF146&lt;=1200,IF(INDEX(对接源_01水果!$B$4:$B$1203,$AF146)=0,"",INDEX(对接源_01水果!$B$4:$B$1203,$AF146)),IF(INDEX(对接源_02物料!$B$4:$B$1203,$AF146-1200)=0,"",INDEX(对接源_02物料!$B$4:$B$1203,$AF146-1200))))</f>
      </c>
      <c r="B146" s="107">
        <f>IF($AF146="","",IF($AF146&lt;=1200,IF(INDEX(对接源_01水果!$S$4:$S$1203,$AF146)=0,"",INDEX(对接源_01水果!$S$4:$S$1203,$AF146)),IF(INDEX(对接源_02物料!$S$4:$S$1203,$AF146-1200)=0,"",INDEX(对接源_02物料!$S$4:$S$1203,$AF146-1200))))</f>
      </c>
      <c r="C146" s="104">
        <f>IF($AF146="","",IF($AF146&lt;=1200,IF(INDEX(对接源_01水果!$E$4:$E$1203,$AF146)=0,"",INDEX(对接源_01水果!$E$4:$E$1203,$AF146)),IF(INDEX(对接源_02物料!$E$4:$E$1203,$AF146-1200)=0,"",INDEX(对接源_02物料!$E$4:$E$1203,$AF146-1200))))</f>
      </c>
      <c r="D146" s="166">
        <f>IF($AF146="","",IF($AF146&lt;=1200,IF(INDEX(对接源_01水果!$T$4:$T$1203,$AF146)=0,"",INDEX(对接源_01水果!$T$4:$T$1203,$AF146)),IF(INDEX(对接源_02物料!$T$4:$T$1203,$AF146-1200)=0,"",INDEX(对接源_02物料!$T$4:$T$1203,$AF146-1200))))</f>
      </c>
      <c r="E146" s="107">
        <f>IF($AF146="","",IF($AF146&lt;=1200,IF(INDEX(对接源_01水果!$C$4:$C$1203,$AF146)=0,"",INDEX(对接源_01水果!$C$4:$C$1203,$AF146)),IF(INDEX(对接源_02物料!$C$4:$C$1203,$AF146-1200)=0,"",INDEX(对接源_02物料!$C$4:$C$1203,$AF146-1200))))</f>
      </c>
      <c r="F146" s="104">
        <f>IF($AF146="","",IF($AF146&lt;=1200,IF(INDEX(对接源_01水果!$W$4:$W$1203,$AF146)=0,"",INDEX(对接源_01水果!$W$4:$W$1203,$AF146)),IF(INDEX(对接源_02物料!$W$4:$W$1203,$AF146-1200)=0,"",INDEX(对接源_02物料!$W$4:$W$1203,$AF146-1200))))</f>
      </c>
      <c r="G146" s="107">
        <f>IF($AF146="","",IF($AF146&lt;=1200,IF(INDEX(对接源_01水果!$D$4:$D$1203,$AF146)=0,"",INDEX(对接源_01水果!$D$4:$D$1203,$AF146)),IF(INDEX(对接源_02物料!$D$4:$D$1203,$AF146-1200)=0,"",INDEX(对接源_02物料!$D$4:$D$1203,$AF146-1200))))</f>
      </c>
      <c r="H146" s="104">
        <f>IF($AF146="","",IF($AF146&lt;=1200,"01水果册","02物料册"))</f>
      </c>
      <c r="I146" s="107">
        <f>IF($AF146="","",IF($AF146&lt;=1200,IF(INDEX(对接源_01水果!$M$4:$M$1203,$AF146)=0,"",INDEX(对接源_01水果!$M$4:$M$1203,$AF146)),IF(INDEX(对接源_02物料!$M$4:$M$1203,$AF146-1200)=0,"",INDEX(对接源_02物料!$M$4:$M$1203,$AF146-1200))))</f>
      </c>
      <c r="AF146" s="2">
        <f>IFERROR(MATCH(38,_自动清单!$Y$4:$Y$2403,0),"")</f>
      </c>
    </row>
    <row r="147" ht="18" customHeight="1" s="127">
      <c r="A147" s="163">
        <f>IF($AF147="","",IF($AF147&lt;=1200,IF(INDEX(对接源_01水果!$B$4:$B$1203,$AF147)=0,"",INDEX(对接源_01水果!$B$4:$B$1203,$AF147)),IF(INDEX(对接源_02物料!$B$4:$B$1203,$AF147-1200)=0,"",INDEX(对接源_02物料!$B$4:$B$1203,$AF147-1200))))</f>
      </c>
      <c r="B147" s="64">
        <f>IF($AF147="","",IF($AF147&lt;=1200,IF(INDEX(对接源_01水果!$S$4:$S$1203,$AF147)=0,"",INDEX(对接源_01水果!$S$4:$S$1203,$AF147)),IF(INDEX(对接源_02物料!$S$4:$S$1203,$AF147-1200)=0,"",INDEX(对接源_02物料!$S$4:$S$1203,$AF147-1200))))</f>
      </c>
      <c r="C147" s="61">
        <f>IF($AF147="","",IF($AF147&lt;=1200,IF(INDEX(对接源_01水果!$E$4:$E$1203,$AF147)=0,"",INDEX(对接源_01水果!$E$4:$E$1203,$AF147)),IF(INDEX(对接源_02物料!$E$4:$E$1203,$AF147-1200)=0,"",INDEX(对接源_02物料!$E$4:$E$1203,$AF147-1200))))</f>
      </c>
      <c r="D147" s="164">
        <f>IF($AF147="","",IF($AF147&lt;=1200,IF(INDEX(对接源_01水果!$T$4:$T$1203,$AF147)=0,"",INDEX(对接源_01水果!$T$4:$T$1203,$AF147)),IF(INDEX(对接源_02物料!$T$4:$T$1203,$AF147-1200)=0,"",INDEX(对接源_02物料!$T$4:$T$1203,$AF147-1200))))</f>
      </c>
      <c r="E147" s="64">
        <f>IF($AF147="","",IF($AF147&lt;=1200,IF(INDEX(对接源_01水果!$C$4:$C$1203,$AF147)=0,"",INDEX(对接源_01水果!$C$4:$C$1203,$AF147)),IF(INDEX(对接源_02物料!$C$4:$C$1203,$AF147-1200)=0,"",INDEX(对接源_02物料!$C$4:$C$1203,$AF147-1200))))</f>
      </c>
      <c r="F147" s="61">
        <f>IF($AF147="","",IF($AF147&lt;=1200,IF(INDEX(对接源_01水果!$W$4:$W$1203,$AF147)=0,"",INDEX(对接源_01水果!$W$4:$W$1203,$AF147)),IF(INDEX(对接源_02物料!$W$4:$W$1203,$AF147-1200)=0,"",INDEX(对接源_02物料!$W$4:$W$1203,$AF147-1200))))</f>
      </c>
      <c r="G147" s="64">
        <f>IF($AF147="","",IF($AF147&lt;=1200,IF(INDEX(对接源_01水果!$D$4:$D$1203,$AF147)=0,"",INDEX(对接源_01水果!$D$4:$D$1203,$AF147)),IF(INDEX(对接源_02物料!$D$4:$D$1203,$AF147-1200)=0,"",INDEX(对接源_02物料!$D$4:$D$1203,$AF147-1200))))</f>
      </c>
      <c r="H147" s="61">
        <f>IF($AF147="","",IF($AF147&lt;=1200,"01水果册","02物料册"))</f>
      </c>
      <c r="I147" s="64">
        <f>IF($AF147="","",IF($AF147&lt;=1200,IF(INDEX(对接源_01水果!$M$4:$M$1203,$AF147)=0,"",INDEX(对接源_01水果!$M$4:$M$1203,$AF147)),IF(INDEX(对接源_02物料!$M$4:$M$1203,$AF147-1200)=0,"",INDEX(对接源_02物料!$M$4:$M$1203,$AF147-1200))))</f>
      </c>
      <c r="AF147" s="2">
        <f>IFERROR(MATCH(39,_自动清单!$Y$4:$Y$2403,0),"")</f>
      </c>
    </row>
    <row r="148" ht="18" customHeight="1" s="127">
      <c r="A148" s="165">
        <f>IF($AF148="","",IF($AF148&lt;=1200,IF(INDEX(对接源_01水果!$B$4:$B$1203,$AF148)=0,"",INDEX(对接源_01水果!$B$4:$B$1203,$AF148)),IF(INDEX(对接源_02物料!$B$4:$B$1203,$AF148-1200)=0,"",INDEX(对接源_02物料!$B$4:$B$1203,$AF148-1200))))</f>
      </c>
      <c r="B148" s="107">
        <f>IF($AF148="","",IF($AF148&lt;=1200,IF(INDEX(对接源_01水果!$S$4:$S$1203,$AF148)=0,"",INDEX(对接源_01水果!$S$4:$S$1203,$AF148)),IF(INDEX(对接源_02物料!$S$4:$S$1203,$AF148-1200)=0,"",INDEX(对接源_02物料!$S$4:$S$1203,$AF148-1200))))</f>
      </c>
      <c r="C148" s="104">
        <f>IF($AF148="","",IF($AF148&lt;=1200,IF(INDEX(对接源_01水果!$E$4:$E$1203,$AF148)=0,"",INDEX(对接源_01水果!$E$4:$E$1203,$AF148)),IF(INDEX(对接源_02物料!$E$4:$E$1203,$AF148-1200)=0,"",INDEX(对接源_02物料!$E$4:$E$1203,$AF148-1200))))</f>
      </c>
      <c r="D148" s="166">
        <f>IF($AF148="","",IF($AF148&lt;=1200,IF(INDEX(对接源_01水果!$T$4:$T$1203,$AF148)=0,"",INDEX(对接源_01水果!$T$4:$T$1203,$AF148)),IF(INDEX(对接源_02物料!$T$4:$T$1203,$AF148-1200)=0,"",INDEX(对接源_02物料!$T$4:$T$1203,$AF148-1200))))</f>
      </c>
      <c r="E148" s="107">
        <f>IF($AF148="","",IF($AF148&lt;=1200,IF(INDEX(对接源_01水果!$C$4:$C$1203,$AF148)=0,"",INDEX(对接源_01水果!$C$4:$C$1203,$AF148)),IF(INDEX(对接源_02物料!$C$4:$C$1203,$AF148-1200)=0,"",INDEX(对接源_02物料!$C$4:$C$1203,$AF148-1200))))</f>
      </c>
      <c r="F148" s="104">
        <f>IF($AF148="","",IF($AF148&lt;=1200,IF(INDEX(对接源_01水果!$W$4:$W$1203,$AF148)=0,"",INDEX(对接源_01水果!$W$4:$W$1203,$AF148)),IF(INDEX(对接源_02物料!$W$4:$W$1203,$AF148-1200)=0,"",INDEX(对接源_02物料!$W$4:$W$1203,$AF148-1200))))</f>
      </c>
      <c r="G148" s="107">
        <f>IF($AF148="","",IF($AF148&lt;=1200,IF(INDEX(对接源_01水果!$D$4:$D$1203,$AF148)=0,"",INDEX(对接源_01水果!$D$4:$D$1203,$AF148)),IF(INDEX(对接源_02物料!$D$4:$D$1203,$AF148-1200)=0,"",INDEX(对接源_02物料!$D$4:$D$1203,$AF148-1200))))</f>
      </c>
      <c r="H148" s="104">
        <f>IF($AF148="","",IF($AF148&lt;=1200,"01水果册","02物料册"))</f>
      </c>
      <c r="I148" s="107">
        <f>IF($AF148="","",IF($AF148&lt;=1200,IF(INDEX(对接源_01水果!$M$4:$M$1203,$AF148)=0,"",INDEX(对接源_01水果!$M$4:$M$1203,$AF148)),IF(INDEX(对接源_02物料!$M$4:$M$1203,$AF148-1200)=0,"",INDEX(对接源_02物料!$M$4:$M$1203,$AF148-1200))))</f>
      </c>
      <c r="AF148" s="2">
        <f>IFERROR(MATCH(40,_自动清单!$Y$4:$Y$2403,0),"")</f>
      </c>
    </row>
    <row r="149" ht="18" customHeight="1" s="127">
      <c r="A149" s="163">
        <f>IF($AF149="","",IF($AF149&lt;=1200,IF(INDEX(对接源_01水果!$B$4:$B$1203,$AF149)=0,"",INDEX(对接源_01水果!$B$4:$B$1203,$AF149)),IF(INDEX(对接源_02物料!$B$4:$B$1203,$AF149-1200)=0,"",INDEX(对接源_02物料!$B$4:$B$1203,$AF149-1200))))</f>
      </c>
      <c r="B149" s="64">
        <f>IF($AF149="","",IF($AF149&lt;=1200,IF(INDEX(对接源_01水果!$S$4:$S$1203,$AF149)=0,"",INDEX(对接源_01水果!$S$4:$S$1203,$AF149)),IF(INDEX(对接源_02物料!$S$4:$S$1203,$AF149-1200)=0,"",INDEX(对接源_02物料!$S$4:$S$1203,$AF149-1200))))</f>
      </c>
      <c r="C149" s="61">
        <f>IF($AF149="","",IF($AF149&lt;=1200,IF(INDEX(对接源_01水果!$E$4:$E$1203,$AF149)=0,"",INDEX(对接源_01水果!$E$4:$E$1203,$AF149)),IF(INDEX(对接源_02物料!$E$4:$E$1203,$AF149-1200)=0,"",INDEX(对接源_02物料!$E$4:$E$1203,$AF149-1200))))</f>
      </c>
      <c r="D149" s="164">
        <f>IF($AF149="","",IF($AF149&lt;=1200,IF(INDEX(对接源_01水果!$T$4:$T$1203,$AF149)=0,"",INDEX(对接源_01水果!$T$4:$T$1203,$AF149)),IF(INDEX(对接源_02物料!$T$4:$T$1203,$AF149-1200)=0,"",INDEX(对接源_02物料!$T$4:$T$1203,$AF149-1200))))</f>
      </c>
      <c r="E149" s="64">
        <f>IF($AF149="","",IF($AF149&lt;=1200,IF(INDEX(对接源_01水果!$C$4:$C$1203,$AF149)=0,"",INDEX(对接源_01水果!$C$4:$C$1203,$AF149)),IF(INDEX(对接源_02物料!$C$4:$C$1203,$AF149-1200)=0,"",INDEX(对接源_02物料!$C$4:$C$1203,$AF149-1200))))</f>
      </c>
      <c r="F149" s="61">
        <f>IF($AF149="","",IF($AF149&lt;=1200,IF(INDEX(对接源_01水果!$W$4:$W$1203,$AF149)=0,"",INDEX(对接源_01水果!$W$4:$W$1203,$AF149)),IF(INDEX(对接源_02物料!$W$4:$W$1203,$AF149-1200)=0,"",INDEX(对接源_02物料!$W$4:$W$1203,$AF149-1200))))</f>
      </c>
      <c r="G149" s="64">
        <f>IF($AF149="","",IF($AF149&lt;=1200,IF(INDEX(对接源_01水果!$D$4:$D$1203,$AF149)=0,"",INDEX(对接源_01水果!$D$4:$D$1203,$AF149)),IF(INDEX(对接源_02物料!$D$4:$D$1203,$AF149-1200)=0,"",INDEX(对接源_02物料!$D$4:$D$1203,$AF149-1200))))</f>
      </c>
      <c r="H149" s="61">
        <f>IF($AF149="","",IF($AF149&lt;=1200,"01水果册","02物料册"))</f>
      </c>
      <c r="I149" s="64">
        <f>IF($AF149="","",IF($AF149&lt;=1200,IF(INDEX(对接源_01水果!$M$4:$M$1203,$AF149)=0,"",INDEX(对接源_01水果!$M$4:$M$1203,$AF149)),IF(INDEX(对接源_02物料!$M$4:$M$1203,$AF149-1200)=0,"",INDEX(对接源_02物料!$M$4:$M$1203,$AF149-1200))))</f>
      </c>
      <c r="AF149" s="2">
        <f>IFERROR(MATCH(41,_自动清单!$Y$4:$Y$2403,0),"")</f>
      </c>
    </row>
    <row r="150" ht="18" customHeight="1" s="127">
      <c r="A150" s="165">
        <f>IF($AF150="","",IF($AF150&lt;=1200,IF(INDEX(对接源_01水果!$B$4:$B$1203,$AF150)=0,"",INDEX(对接源_01水果!$B$4:$B$1203,$AF150)),IF(INDEX(对接源_02物料!$B$4:$B$1203,$AF150-1200)=0,"",INDEX(对接源_02物料!$B$4:$B$1203,$AF150-1200))))</f>
      </c>
      <c r="B150" s="107">
        <f>IF($AF150="","",IF($AF150&lt;=1200,IF(INDEX(对接源_01水果!$S$4:$S$1203,$AF150)=0,"",INDEX(对接源_01水果!$S$4:$S$1203,$AF150)),IF(INDEX(对接源_02物料!$S$4:$S$1203,$AF150-1200)=0,"",INDEX(对接源_02物料!$S$4:$S$1203,$AF150-1200))))</f>
      </c>
      <c r="C150" s="104">
        <f>IF($AF150="","",IF($AF150&lt;=1200,IF(INDEX(对接源_01水果!$E$4:$E$1203,$AF150)=0,"",INDEX(对接源_01水果!$E$4:$E$1203,$AF150)),IF(INDEX(对接源_02物料!$E$4:$E$1203,$AF150-1200)=0,"",INDEX(对接源_02物料!$E$4:$E$1203,$AF150-1200))))</f>
      </c>
      <c r="D150" s="166">
        <f>IF($AF150="","",IF($AF150&lt;=1200,IF(INDEX(对接源_01水果!$T$4:$T$1203,$AF150)=0,"",INDEX(对接源_01水果!$T$4:$T$1203,$AF150)),IF(INDEX(对接源_02物料!$T$4:$T$1203,$AF150-1200)=0,"",INDEX(对接源_02物料!$T$4:$T$1203,$AF150-1200))))</f>
      </c>
      <c r="E150" s="107">
        <f>IF($AF150="","",IF($AF150&lt;=1200,IF(INDEX(对接源_01水果!$C$4:$C$1203,$AF150)=0,"",INDEX(对接源_01水果!$C$4:$C$1203,$AF150)),IF(INDEX(对接源_02物料!$C$4:$C$1203,$AF150-1200)=0,"",INDEX(对接源_02物料!$C$4:$C$1203,$AF150-1200))))</f>
      </c>
      <c r="F150" s="104">
        <f>IF($AF150="","",IF($AF150&lt;=1200,IF(INDEX(对接源_01水果!$W$4:$W$1203,$AF150)=0,"",INDEX(对接源_01水果!$W$4:$W$1203,$AF150)),IF(INDEX(对接源_02物料!$W$4:$W$1203,$AF150-1200)=0,"",INDEX(对接源_02物料!$W$4:$W$1203,$AF150-1200))))</f>
      </c>
      <c r="G150" s="107">
        <f>IF($AF150="","",IF($AF150&lt;=1200,IF(INDEX(对接源_01水果!$D$4:$D$1203,$AF150)=0,"",INDEX(对接源_01水果!$D$4:$D$1203,$AF150)),IF(INDEX(对接源_02物料!$D$4:$D$1203,$AF150-1200)=0,"",INDEX(对接源_02物料!$D$4:$D$1203,$AF150-1200))))</f>
      </c>
      <c r="H150" s="104">
        <f>IF($AF150="","",IF($AF150&lt;=1200,"01水果册","02物料册"))</f>
      </c>
      <c r="I150" s="107">
        <f>IF($AF150="","",IF($AF150&lt;=1200,IF(INDEX(对接源_01水果!$M$4:$M$1203,$AF150)=0,"",INDEX(对接源_01水果!$M$4:$M$1203,$AF150)),IF(INDEX(对接源_02物料!$M$4:$M$1203,$AF150-1200)=0,"",INDEX(对接源_02物料!$M$4:$M$1203,$AF150-1200))))</f>
      </c>
      <c r="AF150" s="2">
        <f>IFERROR(MATCH(42,_自动清单!$Y$4:$Y$2403,0),"")</f>
      </c>
    </row>
    <row r="151" ht="18" customHeight="1" s="127">
      <c r="A151" s="163">
        <f>IF($AF151="","",IF($AF151&lt;=1200,IF(INDEX(对接源_01水果!$B$4:$B$1203,$AF151)=0,"",INDEX(对接源_01水果!$B$4:$B$1203,$AF151)),IF(INDEX(对接源_02物料!$B$4:$B$1203,$AF151-1200)=0,"",INDEX(对接源_02物料!$B$4:$B$1203,$AF151-1200))))</f>
      </c>
      <c r="B151" s="64">
        <f>IF($AF151="","",IF($AF151&lt;=1200,IF(INDEX(对接源_01水果!$S$4:$S$1203,$AF151)=0,"",INDEX(对接源_01水果!$S$4:$S$1203,$AF151)),IF(INDEX(对接源_02物料!$S$4:$S$1203,$AF151-1200)=0,"",INDEX(对接源_02物料!$S$4:$S$1203,$AF151-1200))))</f>
      </c>
      <c r="C151" s="61">
        <f>IF($AF151="","",IF($AF151&lt;=1200,IF(INDEX(对接源_01水果!$E$4:$E$1203,$AF151)=0,"",INDEX(对接源_01水果!$E$4:$E$1203,$AF151)),IF(INDEX(对接源_02物料!$E$4:$E$1203,$AF151-1200)=0,"",INDEX(对接源_02物料!$E$4:$E$1203,$AF151-1200))))</f>
      </c>
      <c r="D151" s="164">
        <f>IF($AF151="","",IF($AF151&lt;=1200,IF(INDEX(对接源_01水果!$T$4:$T$1203,$AF151)=0,"",INDEX(对接源_01水果!$T$4:$T$1203,$AF151)),IF(INDEX(对接源_02物料!$T$4:$T$1203,$AF151-1200)=0,"",INDEX(对接源_02物料!$T$4:$T$1203,$AF151-1200))))</f>
      </c>
      <c r="E151" s="64">
        <f>IF($AF151="","",IF($AF151&lt;=1200,IF(INDEX(对接源_01水果!$C$4:$C$1203,$AF151)=0,"",INDEX(对接源_01水果!$C$4:$C$1203,$AF151)),IF(INDEX(对接源_02物料!$C$4:$C$1203,$AF151-1200)=0,"",INDEX(对接源_02物料!$C$4:$C$1203,$AF151-1200))))</f>
      </c>
      <c r="F151" s="61">
        <f>IF($AF151="","",IF($AF151&lt;=1200,IF(INDEX(对接源_01水果!$W$4:$W$1203,$AF151)=0,"",INDEX(对接源_01水果!$W$4:$W$1203,$AF151)),IF(INDEX(对接源_02物料!$W$4:$W$1203,$AF151-1200)=0,"",INDEX(对接源_02物料!$W$4:$W$1203,$AF151-1200))))</f>
      </c>
      <c r="G151" s="64">
        <f>IF($AF151="","",IF($AF151&lt;=1200,IF(INDEX(对接源_01水果!$D$4:$D$1203,$AF151)=0,"",INDEX(对接源_01水果!$D$4:$D$1203,$AF151)),IF(INDEX(对接源_02物料!$D$4:$D$1203,$AF151-1200)=0,"",INDEX(对接源_02物料!$D$4:$D$1203,$AF151-1200))))</f>
      </c>
      <c r="H151" s="61">
        <f>IF($AF151="","",IF($AF151&lt;=1200,"01水果册","02物料册"))</f>
      </c>
      <c r="I151" s="64">
        <f>IF($AF151="","",IF($AF151&lt;=1200,IF(INDEX(对接源_01水果!$M$4:$M$1203,$AF151)=0,"",INDEX(对接源_01水果!$M$4:$M$1203,$AF151)),IF(INDEX(对接源_02物料!$M$4:$M$1203,$AF151-1200)=0,"",INDEX(对接源_02物料!$M$4:$M$1203,$AF151-1200))))</f>
      </c>
      <c r="AF151" s="2">
        <f>IFERROR(MATCH(43,_自动清单!$Y$4:$Y$2403,0),"")</f>
      </c>
    </row>
    <row r="152" ht="18" customHeight="1" s="127">
      <c r="A152" s="165">
        <f>IF($AF152="","",IF($AF152&lt;=1200,IF(INDEX(对接源_01水果!$B$4:$B$1203,$AF152)=0,"",INDEX(对接源_01水果!$B$4:$B$1203,$AF152)),IF(INDEX(对接源_02物料!$B$4:$B$1203,$AF152-1200)=0,"",INDEX(对接源_02物料!$B$4:$B$1203,$AF152-1200))))</f>
      </c>
      <c r="B152" s="107">
        <f>IF($AF152="","",IF($AF152&lt;=1200,IF(INDEX(对接源_01水果!$S$4:$S$1203,$AF152)=0,"",INDEX(对接源_01水果!$S$4:$S$1203,$AF152)),IF(INDEX(对接源_02物料!$S$4:$S$1203,$AF152-1200)=0,"",INDEX(对接源_02物料!$S$4:$S$1203,$AF152-1200))))</f>
      </c>
      <c r="C152" s="104">
        <f>IF($AF152="","",IF($AF152&lt;=1200,IF(INDEX(对接源_01水果!$E$4:$E$1203,$AF152)=0,"",INDEX(对接源_01水果!$E$4:$E$1203,$AF152)),IF(INDEX(对接源_02物料!$E$4:$E$1203,$AF152-1200)=0,"",INDEX(对接源_02物料!$E$4:$E$1203,$AF152-1200))))</f>
      </c>
      <c r="D152" s="166">
        <f>IF($AF152="","",IF($AF152&lt;=1200,IF(INDEX(对接源_01水果!$T$4:$T$1203,$AF152)=0,"",INDEX(对接源_01水果!$T$4:$T$1203,$AF152)),IF(INDEX(对接源_02物料!$T$4:$T$1203,$AF152-1200)=0,"",INDEX(对接源_02物料!$T$4:$T$1203,$AF152-1200))))</f>
      </c>
      <c r="E152" s="107">
        <f>IF($AF152="","",IF($AF152&lt;=1200,IF(INDEX(对接源_01水果!$C$4:$C$1203,$AF152)=0,"",INDEX(对接源_01水果!$C$4:$C$1203,$AF152)),IF(INDEX(对接源_02物料!$C$4:$C$1203,$AF152-1200)=0,"",INDEX(对接源_02物料!$C$4:$C$1203,$AF152-1200))))</f>
      </c>
      <c r="F152" s="104">
        <f>IF($AF152="","",IF($AF152&lt;=1200,IF(INDEX(对接源_01水果!$W$4:$W$1203,$AF152)=0,"",INDEX(对接源_01水果!$W$4:$W$1203,$AF152)),IF(INDEX(对接源_02物料!$W$4:$W$1203,$AF152-1200)=0,"",INDEX(对接源_02物料!$W$4:$W$1203,$AF152-1200))))</f>
      </c>
      <c r="G152" s="107">
        <f>IF($AF152="","",IF($AF152&lt;=1200,IF(INDEX(对接源_01水果!$D$4:$D$1203,$AF152)=0,"",INDEX(对接源_01水果!$D$4:$D$1203,$AF152)),IF(INDEX(对接源_02物料!$D$4:$D$1203,$AF152-1200)=0,"",INDEX(对接源_02物料!$D$4:$D$1203,$AF152-1200))))</f>
      </c>
      <c r="H152" s="104">
        <f>IF($AF152="","",IF($AF152&lt;=1200,"01水果册","02物料册"))</f>
      </c>
      <c r="I152" s="107">
        <f>IF($AF152="","",IF($AF152&lt;=1200,IF(INDEX(对接源_01水果!$M$4:$M$1203,$AF152)=0,"",INDEX(对接源_01水果!$M$4:$M$1203,$AF152)),IF(INDEX(对接源_02物料!$M$4:$M$1203,$AF152-1200)=0,"",INDEX(对接源_02物料!$M$4:$M$1203,$AF152-1200))))</f>
      </c>
      <c r="AF152" s="2">
        <f>IFERROR(MATCH(44,_自动清单!$Y$4:$Y$2403,0),"")</f>
      </c>
    </row>
    <row r="153" ht="18" customHeight="1" s="127">
      <c r="A153" s="163">
        <f>IF($AF153="","",IF($AF153&lt;=1200,IF(INDEX(对接源_01水果!$B$4:$B$1203,$AF153)=0,"",INDEX(对接源_01水果!$B$4:$B$1203,$AF153)),IF(INDEX(对接源_02物料!$B$4:$B$1203,$AF153-1200)=0,"",INDEX(对接源_02物料!$B$4:$B$1203,$AF153-1200))))</f>
      </c>
      <c r="B153" s="64">
        <f>IF($AF153="","",IF($AF153&lt;=1200,IF(INDEX(对接源_01水果!$S$4:$S$1203,$AF153)=0,"",INDEX(对接源_01水果!$S$4:$S$1203,$AF153)),IF(INDEX(对接源_02物料!$S$4:$S$1203,$AF153-1200)=0,"",INDEX(对接源_02物料!$S$4:$S$1203,$AF153-1200))))</f>
      </c>
      <c r="C153" s="61">
        <f>IF($AF153="","",IF($AF153&lt;=1200,IF(INDEX(对接源_01水果!$E$4:$E$1203,$AF153)=0,"",INDEX(对接源_01水果!$E$4:$E$1203,$AF153)),IF(INDEX(对接源_02物料!$E$4:$E$1203,$AF153-1200)=0,"",INDEX(对接源_02物料!$E$4:$E$1203,$AF153-1200))))</f>
      </c>
      <c r="D153" s="164">
        <f>IF($AF153="","",IF($AF153&lt;=1200,IF(INDEX(对接源_01水果!$T$4:$T$1203,$AF153)=0,"",INDEX(对接源_01水果!$T$4:$T$1203,$AF153)),IF(INDEX(对接源_02物料!$T$4:$T$1203,$AF153-1200)=0,"",INDEX(对接源_02物料!$T$4:$T$1203,$AF153-1200))))</f>
      </c>
      <c r="E153" s="64">
        <f>IF($AF153="","",IF($AF153&lt;=1200,IF(INDEX(对接源_01水果!$C$4:$C$1203,$AF153)=0,"",INDEX(对接源_01水果!$C$4:$C$1203,$AF153)),IF(INDEX(对接源_02物料!$C$4:$C$1203,$AF153-1200)=0,"",INDEX(对接源_02物料!$C$4:$C$1203,$AF153-1200))))</f>
      </c>
      <c r="F153" s="61">
        <f>IF($AF153="","",IF($AF153&lt;=1200,IF(INDEX(对接源_01水果!$W$4:$W$1203,$AF153)=0,"",INDEX(对接源_01水果!$W$4:$W$1203,$AF153)),IF(INDEX(对接源_02物料!$W$4:$W$1203,$AF153-1200)=0,"",INDEX(对接源_02物料!$W$4:$W$1203,$AF153-1200))))</f>
      </c>
      <c r="G153" s="64">
        <f>IF($AF153="","",IF($AF153&lt;=1200,IF(INDEX(对接源_01水果!$D$4:$D$1203,$AF153)=0,"",INDEX(对接源_01水果!$D$4:$D$1203,$AF153)),IF(INDEX(对接源_02物料!$D$4:$D$1203,$AF153-1200)=0,"",INDEX(对接源_02物料!$D$4:$D$1203,$AF153-1200))))</f>
      </c>
      <c r="H153" s="61">
        <f>IF($AF153="","",IF($AF153&lt;=1200,"01水果册","02物料册"))</f>
      </c>
      <c r="I153" s="64">
        <f>IF($AF153="","",IF($AF153&lt;=1200,IF(INDEX(对接源_01水果!$M$4:$M$1203,$AF153)=0,"",INDEX(对接源_01水果!$M$4:$M$1203,$AF153)),IF(INDEX(对接源_02物料!$M$4:$M$1203,$AF153-1200)=0,"",INDEX(对接源_02物料!$M$4:$M$1203,$AF153-1200))))</f>
      </c>
      <c r="AF153" s="2">
        <f>IFERROR(MATCH(45,_自动清单!$Y$4:$Y$2403,0),"")</f>
      </c>
    </row>
    <row r="154" ht="18" customHeight="1" s="127">
      <c r="A154" s="165">
        <f>IF($AF154="","",IF($AF154&lt;=1200,IF(INDEX(对接源_01水果!$B$4:$B$1203,$AF154)=0,"",INDEX(对接源_01水果!$B$4:$B$1203,$AF154)),IF(INDEX(对接源_02物料!$B$4:$B$1203,$AF154-1200)=0,"",INDEX(对接源_02物料!$B$4:$B$1203,$AF154-1200))))</f>
      </c>
      <c r="B154" s="107">
        <f>IF($AF154="","",IF($AF154&lt;=1200,IF(INDEX(对接源_01水果!$S$4:$S$1203,$AF154)=0,"",INDEX(对接源_01水果!$S$4:$S$1203,$AF154)),IF(INDEX(对接源_02物料!$S$4:$S$1203,$AF154-1200)=0,"",INDEX(对接源_02物料!$S$4:$S$1203,$AF154-1200))))</f>
      </c>
      <c r="C154" s="104">
        <f>IF($AF154="","",IF($AF154&lt;=1200,IF(INDEX(对接源_01水果!$E$4:$E$1203,$AF154)=0,"",INDEX(对接源_01水果!$E$4:$E$1203,$AF154)),IF(INDEX(对接源_02物料!$E$4:$E$1203,$AF154-1200)=0,"",INDEX(对接源_02物料!$E$4:$E$1203,$AF154-1200))))</f>
      </c>
      <c r="D154" s="166">
        <f>IF($AF154="","",IF($AF154&lt;=1200,IF(INDEX(对接源_01水果!$T$4:$T$1203,$AF154)=0,"",INDEX(对接源_01水果!$T$4:$T$1203,$AF154)),IF(INDEX(对接源_02物料!$T$4:$T$1203,$AF154-1200)=0,"",INDEX(对接源_02物料!$T$4:$T$1203,$AF154-1200))))</f>
      </c>
      <c r="E154" s="107">
        <f>IF($AF154="","",IF($AF154&lt;=1200,IF(INDEX(对接源_01水果!$C$4:$C$1203,$AF154)=0,"",INDEX(对接源_01水果!$C$4:$C$1203,$AF154)),IF(INDEX(对接源_02物料!$C$4:$C$1203,$AF154-1200)=0,"",INDEX(对接源_02物料!$C$4:$C$1203,$AF154-1200))))</f>
      </c>
      <c r="F154" s="104">
        <f>IF($AF154="","",IF($AF154&lt;=1200,IF(INDEX(对接源_01水果!$W$4:$W$1203,$AF154)=0,"",INDEX(对接源_01水果!$W$4:$W$1203,$AF154)),IF(INDEX(对接源_02物料!$W$4:$W$1203,$AF154-1200)=0,"",INDEX(对接源_02物料!$W$4:$W$1203,$AF154-1200))))</f>
      </c>
      <c r="G154" s="107">
        <f>IF($AF154="","",IF($AF154&lt;=1200,IF(INDEX(对接源_01水果!$D$4:$D$1203,$AF154)=0,"",INDEX(对接源_01水果!$D$4:$D$1203,$AF154)),IF(INDEX(对接源_02物料!$D$4:$D$1203,$AF154-1200)=0,"",INDEX(对接源_02物料!$D$4:$D$1203,$AF154-1200))))</f>
      </c>
      <c r="H154" s="104">
        <f>IF($AF154="","",IF($AF154&lt;=1200,"01水果册","02物料册"))</f>
      </c>
      <c r="I154" s="107">
        <f>IF($AF154="","",IF($AF154&lt;=1200,IF(INDEX(对接源_01水果!$M$4:$M$1203,$AF154)=0,"",INDEX(对接源_01水果!$M$4:$M$1203,$AF154)),IF(INDEX(对接源_02物料!$M$4:$M$1203,$AF154-1200)=0,"",INDEX(对接源_02物料!$M$4:$M$1203,$AF154-1200))))</f>
      </c>
      <c r="AF154" s="2">
        <f>IFERROR(MATCH(46,_自动清单!$Y$4:$Y$2403,0),"")</f>
      </c>
    </row>
    <row r="155" ht="18" customHeight="1" s="127">
      <c r="A155" s="163">
        <f>IF($AF155="","",IF($AF155&lt;=1200,IF(INDEX(对接源_01水果!$B$4:$B$1203,$AF155)=0,"",INDEX(对接源_01水果!$B$4:$B$1203,$AF155)),IF(INDEX(对接源_02物料!$B$4:$B$1203,$AF155-1200)=0,"",INDEX(对接源_02物料!$B$4:$B$1203,$AF155-1200))))</f>
      </c>
      <c r="B155" s="64">
        <f>IF($AF155="","",IF($AF155&lt;=1200,IF(INDEX(对接源_01水果!$S$4:$S$1203,$AF155)=0,"",INDEX(对接源_01水果!$S$4:$S$1203,$AF155)),IF(INDEX(对接源_02物料!$S$4:$S$1203,$AF155-1200)=0,"",INDEX(对接源_02物料!$S$4:$S$1203,$AF155-1200))))</f>
      </c>
      <c r="C155" s="61">
        <f>IF($AF155="","",IF($AF155&lt;=1200,IF(INDEX(对接源_01水果!$E$4:$E$1203,$AF155)=0,"",INDEX(对接源_01水果!$E$4:$E$1203,$AF155)),IF(INDEX(对接源_02物料!$E$4:$E$1203,$AF155-1200)=0,"",INDEX(对接源_02物料!$E$4:$E$1203,$AF155-1200))))</f>
      </c>
      <c r="D155" s="164">
        <f>IF($AF155="","",IF($AF155&lt;=1200,IF(INDEX(对接源_01水果!$T$4:$T$1203,$AF155)=0,"",INDEX(对接源_01水果!$T$4:$T$1203,$AF155)),IF(INDEX(对接源_02物料!$T$4:$T$1203,$AF155-1200)=0,"",INDEX(对接源_02物料!$T$4:$T$1203,$AF155-1200))))</f>
      </c>
      <c r="E155" s="64">
        <f>IF($AF155="","",IF($AF155&lt;=1200,IF(INDEX(对接源_01水果!$C$4:$C$1203,$AF155)=0,"",INDEX(对接源_01水果!$C$4:$C$1203,$AF155)),IF(INDEX(对接源_02物料!$C$4:$C$1203,$AF155-1200)=0,"",INDEX(对接源_02物料!$C$4:$C$1203,$AF155-1200))))</f>
      </c>
      <c r="F155" s="61">
        <f>IF($AF155="","",IF($AF155&lt;=1200,IF(INDEX(对接源_01水果!$W$4:$W$1203,$AF155)=0,"",INDEX(对接源_01水果!$W$4:$W$1203,$AF155)),IF(INDEX(对接源_02物料!$W$4:$W$1203,$AF155-1200)=0,"",INDEX(对接源_02物料!$W$4:$W$1203,$AF155-1200))))</f>
      </c>
      <c r="G155" s="64">
        <f>IF($AF155="","",IF($AF155&lt;=1200,IF(INDEX(对接源_01水果!$D$4:$D$1203,$AF155)=0,"",INDEX(对接源_01水果!$D$4:$D$1203,$AF155)),IF(INDEX(对接源_02物料!$D$4:$D$1203,$AF155-1200)=0,"",INDEX(对接源_02物料!$D$4:$D$1203,$AF155-1200))))</f>
      </c>
      <c r="H155" s="61">
        <f>IF($AF155="","",IF($AF155&lt;=1200,"01水果册","02物料册"))</f>
      </c>
      <c r="I155" s="64">
        <f>IF($AF155="","",IF($AF155&lt;=1200,IF(INDEX(对接源_01水果!$M$4:$M$1203,$AF155)=0,"",INDEX(对接源_01水果!$M$4:$M$1203,$AF155)),IF(INDEX(对接源_02物料!$M$4:$M$1203,$AF155-1200)=0,"",INDEX(对接源_02物料!$M$4:$M$1203,$AF155-1200))))</f>
      </c>
      <c r="AF155" s="2">
        <f>IFERROR(MATCH(47,_自动清单!$Y$4:$Y$2403,0),"")</f>
      </c>
    </row>
    <row r="156" ht="18" customHeight="1" s="127">
      <c r="A156" s="165">
        <f>IF($AF156="","",IF($AF156&lt;=1200,IF(INDEX(对接源_01水果!$B$4:$B$1203,$AF156)=0,"",INDEX(对接源_01水果!$B$4:$B$1203,$AF156)),IF(INDEX(对接源_02物料!$B$4:$B$1203,$AF156-1200)=0,"",INDEX(对接源_02物料!$B$4:$B$1203,$AF156-1200))))</f>
      </c>
      <c r="B156" s="107">
        <f>IF($AF156="","",IF($AF156&lt;=1200,IF(INDEX(对接源_01水果!$S$4:$S$1203,$AF156)=0,"",INDEX(对接源_01水果!$S$4:$S$1203,$AF156)),IF(INDEX(对接源_02物料!$S$4:$S$1203,$AF156-1200)=0,"",INDEX(对接源_02物料!$S$4:$S$1203,$AF156-1200))))</f>
      </c>
      <c r="C156" s="104">
        <f>IF($AF156="","",IF($AF156&lt;=1200,IF(INDEX(对接源_01水果!$E$4:$E$1203,$AF156)=0,"",INDEX(对接源_01水果!$E$4:$E$1203,$AF156)),IF(INDEX(对接源_02物料!$E$4:$E$1203,$AF156-1200)=0,"",INDEX(对接源_02物料!$E$4:$E$1203,$AF156-1200))))</f>
      </c>
      <c r="D156" s="166">
        <f>IF($AF156="","",IF($AF156&lt;=1200,IF(INDEX(对接源_01水果!$T$4:$T$1203,$AF156)=0,"",INDEX(对接源_01水果!$T$4:$T$1203,$AF156)),IF(INDEX(对接源_02物料!$T$4:$T$1203,$AF156-1200)=0,"",INDEX(对接源_02物料!$T$4:$T$1203,$AF156-1200))))</f>
      </c>
      <c r="E156" s="107">
        <f>IF($AF156="","",IF($AF156&lt;=1200,IF(INDEX(对接源_01水果!$C$4:$C$1203,$AF156)=0,"",INDEX(对接源_01水果!$C$4:$C$1203,$AF156)),IF(INDEX(对接源_02物料!$C$4:$C$1203,$AF156-1200)=0,"",INDEX(对接源_02物料!$C$4:$C$1203,$AF156-1200))))</f>
      </c>
      <c r="F156" s="104">
        <f>IF($AF156="","",IF($AF156&lt;=1200,IF(INDEX(对接源_01水果!$W$4:$W$1203,$AF156)=0,"",INDEX(对接源_01水果!$W$4:$W$1203,$AF156)),IF(INDEX(对接源_02物料!$W$4:$W$1203,$AF156-1200)=0,"",INDEX(对接源_02物料!$W$4:$W$1203,$AF156-1200))))</f>
      </c>
      <c r="G156" s="107">
        <f>IF($AF156="","",IF($AF156&lt;=1200,IF(INDEX(对接源_01水果!$D$4:$D$1203,$AF156)=0,"",INDEX(对接源_01水果!$D$4:$D$1203,$AF156)),IF(INDEX(对接源_02物料!$D$4:$D$1203,$AF156-1200)=0,"",INDEX(对接源_02物料!$D$4:$D$1203,$AF156-1200))))</f>
      </c>
      <c r="H156" s="104">
        <f>IF($AF156="","",IF($AF156&lt;=1200,"01水果册","02物料册"))</f>
      </c>
      <c r="I156" s="107">
        <f>IF($AF156="","",IF($AF156&lt;=1200,IF(INDEX(对接源_01水果!$M$4:$M$1203,$AF156)=0,"",INDEX(对接源_01水果!$M$4:$M$1203,$AF156)),IF(INDEX(对接源_02物料!$M$4:$M$1203,$AF156-1200)=0,"",INDEX(对接源_02物料!$M$4:$M$1203,$AF156-1200))))</f>
      </c>
      <c r="AF156" s="2">
        <f>IFERROR(MATCH(48,_自动清单!$Y$4:$Y$2403,0),"")</f>
      </c>
    </row>
    <row r="157" ht="18" customHeight="1" s="127">
      <c r="A157" s="163">
        <f>IF($AF157="","",IF($AF157&lt;=1200,IF(INDEX(对接源_01水果!$B$4:$B$1203,$AF157)=0,"",INDEX(对接源_01水果!$B$4:$B$1203,$AF157)),IF(INDEX(对接源_02物料!$B$4:$B$1203,$AF157-1200)=0,"",INDEX(对接源_02物料!$B$4:$B$1203,$AF157-1200))))</f>
      </c>
      <c r="B157" s="64">
        <f>IF($AF157="","",IF($AF157&lt;=1200,IF(INDEX(对接源_01水果!$S$4:$S$1203,$AF157)=0,"",INDEX(对接源_01水果!$S$4:$S$1203,$AF157)),IF(INDEX(对接源_02物料!$S$4:$S$1203,$AF157-1200)=0,"",INDEX(对接源_02物料!$S$4:$S$1203,$AF157-1200))))</f>
      </c>
      <c r="C157" s="61">
        <f>IF($AF157="","",IF($AF157&lt;=1200,IF(INDEX(对接源_01水果!$E$4:$E$1203,$AF157)=0,"",INDEX(对接源_01水果!$E$4:$E$1203,$AF157)),IF(INDEX(对接源_02物料!$E$4:$E$1203,$AF157-1200)=0,"",INDEX(对接源_02物料!$E$4:$E$1203,$AF157-1200))))</f>
      </c>
      <c r="D157" s="164">
        <f>IF($AF157="","",IF($AF157&lt;=1200,IF(INDEX(对接源_01水果!$T$4:$T$1203,$AF157)=0,"",INDEX(对接源_01水果!$T$4:$T$1203,$AF157)),IF(INDEX(对接源_02物料!$T$4:$T$1203,$AF157-1200)=0,"",INDEX(对接源_02物料!$T$4:$T$1203,$AF157-1200))))</f>
      </c>
      <c r="E157" s="64">
        <f>IF($AF157="","",IF($AF157&lt;=1200,IF(INDEX(对接源_01水果!$C$4:$C$1203,$AF157)=0,"",INDEX(对接源_01水果!$C$4:$C$1203,$AF157)),IF(INDEX(对接源_02物料!$C$4:$C$1203,$AF157-1200)=0,"",INDEX(对接源_02物料!$C$4:$C$1203,$AF157-1200))))</f>
      </c>
      <c r="F157" s="61">
        <f>IF($AF157="","",IF($AF157&lt;=1200,IF(INDEX(对接源_01水果!$W$4:$W$1203,$AF157)=0,"",INDEX(对接源_01水果!$W$4:$W$1203,$AF157)),IF(INDEX(对接源_02物料!$W$4:$W$1203,$AF157-1200)=0,"",INDEX(对接源_02物料!$W$4:$W$1203,$AF157-1200))))</f>
      </c>
      <c r="G157" s="64">
        <f>IF($AF157="","",IF($AF157&lt;=1200,IF(INDEX(对接源_01水果!$D$4:$D$1203,$AF157)=0,"",INDEX(对接源_01水果!$D$4:$D$1203,$AF157)),IF(INDEX(对接源_02物料!$D$4:$D$1203,$AF157-1200)=0,"",INDEX(对接源_02物料!$D$4:$D$1203,$AF157-1200))))</f>
      </c>
      <c r="H157" s="61">
        <f>IF($AF157="","",IF($AF157&lt;=1200,"01水果册","02物料册"))</f>
      </c>
      <c r="I157" s="64">
        <f>IF($AF157="","",IF($AF157&lt;=1200,IF(INDEX(对接源_01水果!$M$4:$M$1203,$AF157)=0,"",INDEX(对接源_01水果!$M$4:$M$1203,$AF157)),IF(INDEX(对接源_02物料!$M$4:$M$1203,$AF157-1200)=0,"",INDEX(对接源_02物料!$M$4:$M$1203,$AF157-1200))))</f>
      </c>
      <c r="AF157" s="2">
        <f>IFERROR(MATCH(49,_自动清单!$Y$4:$Y$2403,0),"")</f>
      </c>
    </row>
    <row r="158" ht="18" customHeight="1" s="127">
      <c r="A158" s="165">
        <f>IF($AF158="","",IF($AF158&lt;=1200,IF(INDEX(对接源_01水果!$B$4:$B$1203,$AF158)=0,"",INDEX(对接源_01水果!$B$4:$B$1203,$AF158)),IF(INDEX(对接源_02物料!$B$4:$B$1203,$AF158-1200)=0,"",INDEX(对接源_02物料!$B$4:$B$1203,$AF158-1200))))</f>
      </c>
      <c r="B158" s="107">
        <f>IF($AF158="","",IF($AF158&lt;=1200,IF(INDEX(对接源_01水果!$S$4:$S$1203,$AF158)=0,"",INDEX(对接源_01水果!$S$4:$S$1203,$AF158)),IF(INDEX(对接源_02物料!$S$4:$S$1203,$AF158-1200)=0,"",INDEX(对接源_02物料!$S$4:$S$1203,$AF158-1200))))</f>
      </c>
      <c r="C158" s="104">
        <f>IF($AF158="","",IF($AF158&lt;=1200,IF(INDEX(对接源_01水果!$E$4:$E$1203,$AF158)=0,"",INDEX(对接源_01水果!$E$4:$E$1203,$AF158)),IF(INDEX(对接源_02物料!$E$4:$E$1203,$AF158-1200)=0,"",INDEX(对接源_02物料!$E$4:$E$1203,$AF158-1200))))</f>
      </c>
      <c r="D158" s="166">
        <f>IF($AF158="","",IF($AF158&lt;=1200,IF(INDEX(对接源_01水果!$T$4:$T$1203,$AF158)=0,"",INDEX(对接源_01水果!$T$4:$T$1203,$AF158)),IF(INDEX(对接源_02物料!$T$4:$T$1203,$AF158-1200)=0,"",INDEX(对接源_02物料!$T$4:$T$1203,$AF158-1200))))</f>
      </c>
      <c r="E158" s="107">
        <f>IF($AF158="","",IF($AF158&lt;=1200,IF(INDEX(对接源_01水果!$C$4:$C$1203,$AF158)=0,"",INDEX(对接源_01水果!$C$4:$C$1203,$AF158)),IF(INDEX(对接源_02物料!$C$4:$C$1203,$AF158-1200)=0,"",INDEX(对接源_02物料!$C$4:$C$1203,$AF158-1200))))</f>
      </c>
      <c r="F158" s="104">
        <f>IF($AF158="","",IF($AF158&lt;=1200,IF(INDEX(对接源_01水果!$W$4:$W$1203,$AF158)=0,"",INDEX(对接源_01水果!$W$4:$W$1203,$AF158)),IF(INDEX(对接源_02物料!$W$4:$W$1203,$AF158-1200)=0,"",INDEX(对接源_02物料!$W$4:$W$1203,$AF158-1200))))</f>
      </c>
      <c r="G158" s="107">
        <f>IF($AF158="","",IF($AF158&lt;=1200,IF(INDEX(对接源_01水果!$D$4:$D$1203,$AF158)=0,"",INDEX(对接源_01水果!$D$4:$D$1203,$AF158)),IF(INDEX(对接源_02物料!$D$4:$D$1203,$AF158-1200)=0,"",INDEX(对接源_02物料!$D$4:$D$1203,$AF158-1200))))</f>
      </c>
      <c r="H158" s="104">
        <f>IF($AF158="","",IF($AF158&lt;=1200,"01水果册","02物料册"))</f>
      </c>
      <c r="I158" s="107">
        <f>IF($AF158="","",IF($AF158&lt;=1200,IF(INDEX(对接源_01水果!$M$4:$M$1203,$AF158)=0,"",INDEX(对接源_01水果!$M$4:$M$1203,$AF158)),IF(INDEX(对接源_02物料!$M$4:$M$1203,$AF158-1200)=0,"",INDEX(对接源_02物料!$M$4:$M$1203,$AF158-1200))))</f>
      </c>
      <c r="AF158" s="2">
        <f>IFERROR(MATCH(50,_自动清单!$Y$4:$Y$2403,0),"")</f>
      </c>
    </row>
    <row r="159" ht="18" customHeight="1" s="127">
      <c r="A159" s="163">
        <f>IF($AF159="","",IF($AF159&lt;=1200,IF(INDEX(对接源_01水果!$B$4:$B$1203,$AF159)=0,"",INDEX(对接源_01水果!$B$4:$B$1203,$AF159)),IF(INDEX(对接源_02物料!$B$4:$B$1203,$AF159-1200)=0,"",INDEX(对接源_02物料!$B$4:$B$1203,$AF159-1200))))</f>
      </c>
      <c r="B159" s="64">
        <f>IF($AF159="","",IF($AF159&lt;=1200,IF(INDEX(对接源_01水果!$S$4:$S$1203,$AF159)=0,"",INDEX(对接源_01水果!$S$4:$S$1203,$AF159)),IF(INDEX(对接源_02物料!$S$4:$S$1203,$AF159-1200)=0,"",INDEX(对接源_02物料!$S$4:$S$1203,$AF159-1200))))</f>
      </c>
      <c r="C159" s="61">
        <f>IF($AF159="","",IF($AF159&lt;=1200,IF(INDEX(对接源_01水果!$E$4:$E$1203,$AF159)=0,"",INDEX(对接源_01水果!$E$4:$E$1203,$AF159)),IF(INDEX(对接源_02物料!$E$4:$E$1203,$AF159-1200)=0,"",INDEX(对接源_02物料!$E$4:$E$1203,$AF159-1200))))</f>
      </c>
      <c r="D159" s="164">
        <f>IF($AF159="","",IF($AF159&lt;=1200,IF(INDEX(对接源_01水果!$T$4:$T$1203,$AF159)=0,"",INDEX(对接源_01水果!$T$4:$T$1203,$AF159)),IF(INDEX(对接源_02物料!$T$4:$T$1203,$AF159-1200)=0,"",INDEX(对接源_02物料!$T$4:$T$1203,$AF159-1200))))</f>
      </c>
      <c r="E159" s="64">
        <f>IF($AF159="","",IF($AF159&lt;=1200,IF(INDEX(对接源_01水果!$C$4:$C$1203,$AF159)=0,"",INDEX(对接源_01水果!$C$4:$C$1203,$AF159)),IF(INDEX(对接源_02物料!$C$4:$C$1203,$AF159-1200)=0,"",INDEX(对接源_02物料!$C$4:$C$1203,$AF159-1200))))</f>
      </c>
      <c r="F159" s="61">
        <f>IF($AF159="","",IF($AF159&lt;=1200,IF(INDEX(对接源_01水果!$W$4:$W$1203,$AF159)=0,"",INDEX(对接源_01水果!$W$4:$W$1203,$AF159)),IF(INDEX(对接源_02物料!$W$4:$W$1203,$AF159-1200)=0,"",INDEX(对接源_02物料!$W$4:$W$1203,$AF159-1200))))</f>
      </c>
      <c r="G159" s="64">
        <f>IF($AF159="","",IF($AF159&lt;=1200,IF(INDEX(对接源_01水果!$D$4:$D$1203,$AF159)=0,"",INDEX(对接源_01水果!$D$4:$D$1203,$AF159)),IF(INDEX(对接源_02物料!$D$4:$D$1203,$AF159-1200)=0,"",INDEX(对接源_02物料!$D$4:$D$1203,$AF159-1200))))</f>
      </c>
      <c r="H159" s="61">
        <f>IF($AF159="","",IF($AF159&lt;=1200,"01水果册","02物料册"))</f>
      </c>
      <c r="I159" s="64">
        <f>IF($AF159="","",IF($AF159&lt;=1200,IF(INDEX(对接源_01水果!$M$4:$M$1203,$AF159)=0,"",INDEX(对接源_01水果!$M$4:$M$1203,$AF159)),IF(INDEX(对接源_02物料!$M$4:$M$1203,$AF159-1200)=0,"",INDEX(对接源_02物料!$M$4:$M$1203,$AF159-1200))))</f>
      </c>
      <c r="AF159" s="2">
        <f>IFERROR(MATCH(51,_自动清单!$Y$4:$Y$2403,0),"")</f>
      </c>
    </row>
    <row r="160" ht="18" customHeight="1" s="127">
      <c r="A160" s="165">
        <f>IF($AF160="","",IF($AF160&lt;=1200,IF(INDEX(对接源_01水果!$B$4:$B$1203,$AF160)=0,"",INDEX(对接源_01水果!$B$4:$B$1203,$AF160)),IF(INDEX(对接源_02物料!$B$4:$B$1203,$AF160-1200)=0,"",INDEX(对接源_02物料!$B$4:$B$1203,$AF160-1200))))</f>
      </c>
      <c r="B160" s="107">
        <f>IF($AF160="","",IF($AF160&lt;=1200,IF(INDEX(对接源_01水果!$S$4:$S$1203,$AF160)=0,"",INDEX(对接源_01水果!$S$4:$S$1203,$AF160)),IF(INDEX(对接源_02物料!$S$4:$S$1203,$AF160-1200)=0,"",INDEX(对接源_02物料!$S$4:$S$1203,$AF160-1200))))</f>
      </c>
      <c r="C160" s="104">
        <f>IF($AF160="","",IF($AF160&lt;=1200,IF(INDEX(对接源_01水果!$E$4:$E$1203,$AF160)=0,"",INDEX(对接源_01水果!$E$4:$E$1203,$AF160)),IF(INDEX(对接源_02物料!$E$4:$E$1203,$AF160-1200)=0,"",INDEX(对接源_02物料!$E$4:$E$1203,$AF160-1200))))</f>
      </c>
      <c r="D160" s="166">
        <f>IF($AF160="","",IF($AF160&lt;=1200,IF(INDEX(对接源_01水果!$T$4:$T$1203,$AF160)=0,"",INDEX(对接源_01水果!$T$4:$T$1203,$AF160)),IF(INDEX(对接源_02物料!$T$4:$T$1203,$AF160-1200)=0,"",INDEX(对接源_02物料!$T$4:$T$1203,$AF160-1200))))</f>
      </c>
      <c r="E160" s="107">
        <f>IF($AF160="","",IF($AF160&lt;=1200,IF(INDEX(对接源_01水果!$C$4:$C$1203,$AF160)=0,"",INDEX(对接源_01水果!$C$4:$C$1203,$AF160)),IF(INDEX(对接源_02物料!$C$4:$C$1203,$AF160-1200)=0,"",INDEX(对接源_02物料!$C$4:$C$1203,$AF160-1200))))</f>
      </c>
      <c r="F160" s="104">
        <f>IF($AF160="","",IF($AF160&lt;=1200,IF(INDEX(对接源_01水果!$W$4:$W$1203,$AF160)=0,"",INDEX(对接源_01水果!$W$4:$W$1203,$AF160)),IF(INDEX(对接源_02物料!$W$4:$W$1203,$AF160-1200)=0,"",INDEX(对接源_02物料!$W$4:$W$1203,$AF160-1200))))</f>
      </c>
      <c r="G160" s="107">
        <f>IF($AF160="","",IF($AF160&lt;=1200,IF(INDEX(对接源_01水果!$D$4:$D$1203,$AF160)=0,"",INDEX(对接源_01水果!$D$4:$D$1203,$AF160)),IF(INDEX(对接源_02物料!$D$4:$D$1203,$AF160-1200)=0,"",INDEX(对接源_02物料!$D$4:$D$1203,$AF160-1200))))</f>
      </c>
      <c r="H160" s="104">
        <f>IF($AF160="","",IF($AF160&lt;=1200,"01水果册","02物料册"))</f>
      </c>
      <c r="I160" s="107">
        <f>IF($AF160="","",IF($AF160&lt;=1200,IF(INDEX(对接源_01水果!$M$4:$M$1203,$AF160)=0,"",INDEX(对接源_01水果!$M$4:$M$1203,$AF160)),IF(INDEX(对接源_02物料!$M$4:$M$1203,$AF160-1200)=0,"",INDEX(对接源_02物料!$M$4:$M$1203,$AF160-1200))))</f>
      </c>
      <c r="AF160" s="2">
        <f>IFERROR(MATCH(52,_自动清单!$Y$4:$Y$2403,0),"")</f>
      </c>
    </row>
    <row r="161" ht="18" customHeight="1" s="127">
      <c r="A161" s="163">
        <f>IF($AF161="","",IF($AF161&lt;=1200,IF(INDEX(对接源_01水果!$B$4:$B$1203,$AF161)=0,"",INDEX(对接源_01水果!$B$4:$B$1203,$AF161)),IF(INDEX(对接源_02物料!$B$4:$B$1203,$AF161-1200)=0,"",INDEX(对接源_02物料!$B$4:$B$1203,$AF161-1200))))</f>
      </c>
      <c r="B161" s="64">
        <f>IF($AF161="","",IF($AF161&lt;=1200,IF(INDEX(对接源_01水果!$S$4:$S$1203,$AF161)=0,"",INDEX(对接源_01水果!$S$4:$S$1203,$AF161)),IF(INDEX(对接源_02物料!$S$4:$S$1203,$AF161-1200)=0,"",INDEX(对接源_02物料!$S$4:$S$1203,$AF161-1200))))</f>
      </c>
      <c r="C161" s="61">
        <f>IF($AF161="","",IF($AF161&lt;=1200,IF(INDEX(对接源_01水果!$E$4:$E$1203,$AF161)=0,"",INDEX(对接源_01水果!$E$4:$E$1203,$AF161)),IF(INDEX(对接源_02物料!$E$4:$E$1203,$AF161-1200)=0,"",INDEX(对接源_02物料!$E$4:$E$1203,$AF161-1200))))</f>
      </c>
      <c r="D161" s="164">
        <f>IF($AF161="","",IF($AF161&lt;=1200,IF(INDEX(对接源_01水果!$T$4:$T$1203,$AF161)=0,"",INDEX(对接源_01水果!$T$4:$T$1203,$AF161)),IF(INDEX(对接源_02物料!$T$4:$T$1203,$AF161-1200)=0,"",INDEX(对接源_02物料!$T$4:$T$1203,$AF161-1200))))</f>
      </c>
      <c r="E161" s="64">
        <f>IF($AF161="","",IF($AF161&lt;=1200,IF(INDEX(对接源_01水果!$C$4:$C$1203,$AF161)=0,"",INDEX(对接源_01水果!$C$4:$C$1203,$AF161)),IF(INDEX(对接源_02物料!$C$4:$C$1203,$AF161-1200)=0,"",INDEX(对接源_02物料!$C$4:$C$1203,$AF161-1200))))</f>
      </c>
      <c r="F161" s="61">
        <f>IF($AF161="","",IF($AF161&lt;=1200,IF(INDEX(对接源_01水果!$W$4:$W$1203,$AF161)=0,"",INDEX(对接源_01水果!$W$4:$W$1203,$AF161)),IF(INDEX(对接源_02物料!$W$4:$W$1203,$AF161-1200)=0,"",INDEX(对接源_02物料!$W$4:$W$1203,$AF161-1200))))</f>
      </c>
      <c r="G161" s="64">
        <f>IF($AF161="","",IF($AF161&lt;=1200,IF(INDEX(对接源_01水果!$D$4:$D$1203,$AF161)=0,"",INDEX(对接源_01水果!$D$4:$D$1203,$AF161)),IF(INDEX(对接源_02物料!$D$4:$D$1203,$AF161-1200)=0,"",INDEX(对接源_02物料!$D$4:$D$1203,$AF161-1200))))</f>
      </c>
      <c r="H161" s="61">
        <f>IF($AF161="","",IF($AF161&lt;=1200,"01水果册","02物料册"))</f>
      </c>
      <c r="I161" s="64">
        <f>IF($AF161="","",IF($AF161&lt;=1200,IF(INDEX(对接源_01水果!$M$4:$M$1203,$AF161)=0,"",INDEX(对接源_01水果!$M$4:$M$1203,$AF161)),IF(INDEX(对接源_02物料!$M$4:$M$1203,$AF161-1200)=0,"",INDEX(对接源_02物料!$M$4:$M$1203,$AF161-1200))))</f>
      </c>
      <c r="AF161" s="2">
        <f>IFERROR(MATCH(53,_自动清单!$Y$4:$Y$2403,0),"")</f>
      </c>
    </row>
    <row r="162" ht="18" customHeight="1" s="127">
      <c r="A162" s="165">
        <f>IF($AF162="","",IF($AF162&lt;=1200,IF(INDEX(对接源_01水果!$B$4:$B$1203,$AF162)=0,"",INDEX(对接源_01水果!$B$4:$B$1203,$AF162)),IF(INDEX(对接源_02物料!$B$4:$B$1203,$AF162-1200)=0,"",INDEX(对接源_02物料!$B$4:$B$1203,$AF162-1200))))</f>
      </c>
      <c r="B162" s="107">
        <f>IF($AF162="","",IF($AF162&lt;=1200,IF(INDEX(对接源_01水果!$S$4:$S$1203,$AF162)=0,"",INDEX(对接源_01水果!$S$4:$S$1203,$AF162)),IF(INDEX(对接源_02物料!$S$4:$S$1203,$AF162-1200)=0,"",INDEX(对接源_02物料!$S$4:$S$1203,$AF162-1200))))</f>
      </c>
      <c r="C162" s="104">
        <f>IF($AF162="","",IF($AF162&lt;=1200,IF(INDEX(对接源_01水果!$E$4:$E$1203,$AF162)=0,"",INDEX(对接源_01水果!$E$4:$E$1203,$AF162)),IF(INDEX(对接源_02物料!$E$4:$E$1203,$AF162-1200)=0,"",INDEX(对接源_02物料!$E$4:$E$1203,$AF162-1200))))</f>
      </c>
      <c r="D162" s="166">
        <f>IF($AF162="","",IF($AF162&lt;=1200,IF(INDEX(对接源_01水果!$T$4:$T$1203,$AF162)=0,"",INDEX(对接源_01水果!$T$4:$T$1203,$AF162)),IF(INDEX(对接源_02物料!$T$4:$T$1203,$AF162-1200)=0,"",INDEX(对接源_02物料!$T$4:$T$1203,$AF162-1200))))</f>
      </c>
      <c r="E162" s="107">
        <f>IF($AF162="","",IF($AF162&lt;=1200,IF(INDEX(对接源_01水果!$C$4:$C$1203,$AF162)=0,"",INDEX(对接源_01水果!$C$4:$C$1203,$AF162)),IF(INDEX(对接源_02物料!$C$4:$C$1203,$AF162-1200)=0,"",INDEX(对接源_02物料!$C$4:$C$1203,$AF162-1200))))</f>
      </c>
      <c r="F162" s="104">
        <f>IF($AF162="","",IF($AF162&lt;=1200,IF(INDEX(对接源_01水果!$W$4:$W$1203,$AF162)=0,"",INDEX(对接源_01水果!$W$4:$W$1203,$AF162)),IF(INDEX(对接源_02物料!$W$4:$W$1203,$AF162-1200)=0,"",INDEX(对接源_02物料!$W$4:$W$1203,$AF162-1200))))</f>
      </c>
      <c r="G162" s="107">
        <f>IF($AF162="","",IF($AF162&lt;=1200,IF(INDEX(对接源_01水果!$D$4:$D$1203,$AF162)=0,"",INDEX(对接源_01水果!$D$4:$D$1203,$AF162)),IF(INDEX(对接源_02物料!$D$4:$D$1203,$AF162-1200)=0,"",INDEX(对接源_02物料!$D$4:$D$1203,$AF162-1200))))</f>
      </c>
      <c r="H162" s="104">
        <f>IF($AF162="","",IF($AF162&lt;=1200,"01水果册","02物料册"))</f>
      </c>
      <c r="I162" s="107">
        <f>IF($AF162="","",IF($AF162&lt;=1200,IF(INDEX(对接源_01水果!$M$4:$M$1203,$AF162)=0,"",INDEX(对接源_01水果!$M$4:$M$1203,$AF162)),IF(INDEX(对接源_02物料!$M$4:$M$1203,$AF162-1200)=0,"",INDEX(对接源_02物料!$M$4:$M$1203,$AF162-1200))))</f>
      </c>
      <c r="AF162" s="2">
        <f>IFERROR(MATCH(54,_自动清单!$Y$4:$Y$2403,0),"")</f>
      </c>
    </row>
    <row r="163" ht="18" customHeight="1" s="127">
      <c r="A163" s="163">
        <f>IF($AF163="","",IF($AF163&lt;=1200,IF(INDEX(对接源_01水果!$B$4:$B$1203,$AF163)=0,"",INDEX(对接源_01水果!$B$4:$B$1203,$AF163)),IF(INDEX(对接源_02物料!$B$4:$B$1203,$AF163-1200)=0,"",INDEX(对接源_02物料!$B$4:$B$1203,$AF163-1200))))</f>
      </c>
      <c r="B163" s="64">
        <f>IF($AF163="","",IF($AF163&lt;=1200,IF(INDEX(对接源_01水果!$S$4:$S$1203,$AF163)=0,"",INDEX(对接源_01水果!$S$4:$S$1203,$AF163)),IF(INDEX(对接源_02物料!$S$4:$S$1203,$AF163-1200)=0,"",INDEX(对接源_02物料!$S$4:$S$1203,$AF163-1200))))</f>
      </c>
      <c r="C163" s="61">
        <f>IF($AF163="","",IF($AF163&lt;=1200,IF(INDEX(对接源_01水果!$E$4:$E$1203,$AF163)=0,"",INDEX(对接源_01水果!$E$4:$E$1203,$AF163)),IF(INDEX(对接源_02物料!$E$4:$E$1203,$AF163-1200)=0,"",INDEX(对接源_02物料!$E$4:$E$1203,$AF163-1200))))</f>
      </c>
      <c r="D163" s="164">
        <f>IF($AF163="","",IF($AF163&lt;=1200,IF(INDEX(对接源_01水果!$T$4:$T$1203,$AF163)=0,"",INDEX(对接源_01水果!$T$4:$T$1203,$AF163)),IF(INDEX(对接源_02物料!$T$4:$T$1203,$AF163-1200)=0,"",INDEX(对接源_02物料!$T$4:$T$1203,$AF163-1200))))</f>
      </c>
      <c r="E163" s="64">
        <f>IF($AF163="","",IF($AF163&lt;=1200,IF(INDEX(对接源_01水果!$C$4:$C$1203,$AF163)=0,"",INDEX(对接源_01水果!$C$4:$C$1203,$AF163)),IF(INDEX(对接源_02物料!$C$4:$C$1203,$AF163-1200)=0,"",INDEX(对接源_02物料!$C$4:$C$1203,$AF163-1200))))</f>
      </c>
      <c r="F163" s="61">
        <f>IF($AF163="","",IF($AF163&lt;=1200,IF(INDEX(对接源_01水果!$W$4:$W$1203,$AF163)=0,"",INDEX(对接源_01水果!$W$4:$W$1203,$AF163)),IF(INDEX(对接源_02物料!$W$4:$W$1203,$AF163-1200)=0,"",INDEX(对接源_02物料!$W$4:$W$1203,$AF163-1200))))</f>
      </c>
      <c r="G163" s="64">
        <f>IF($AF163="","",IF($AF163&lt;=1200,IF(INDEX(对接源_01水果!$D$4:$D$1203,$AF163)=0,"",INDEX(对接源_01水果!$D$4:$D$1203,$AF163)),IF(INDEX(对接源_02物料!$D$4:$D$1203,$AF163-1200)=0,"",INDEX(对接源_02物料!$D$4:$D$1203,$AF163-1200))))</f>
      </c>
      <c r="H163" s="61">
        <f>IF($AF163="","",IF($AF163&lt;=1200,"01水果册","02物料册"))</f>
      </c>
      <c r="I163" s="64">
        <f>IF($AF163="","",IF($AF163&lt;=1200,IF(INDEX(对接源_01水果!$M$4:$M$1203,$AF163)=0,"",INDEX(对接源_01水果!$M$4:$M$1203,$AF163)),IF(INDEX(对接源_02物料!$M$4:$M$1203,$AF163-1200)=0,"",INDEX(对接源_02物料!$M$4:$M$1203,$AF163-1200))))</f>
      </c>
      <c r="AF163" s="2">
        <f>IFERROR(MATCH(55,_自动清单!$Y$4:$Y$2403,0),"")</f>
      </c>
    </row>
    <row r="164" ht="18" customHeight="1" s="127">
      <c r="A164" s="165">
        <f>IF($AF164="","",IF($AF164&lt;=1200,IF(INDEX(对接源_01水果!$B$4:$B$1203,$AF164)=0,"",INDEX(对接源_01水果!$B$4:$B$1203,$AF164)),IF(INDEX(对接源_02物料!$B$4:$B$1203,$AF164-1200)=0,"",INDEX(对接源_02物料!$B$4:$B$1203,$AF164-1200))))</f>
      </c>
      <c r="B164" s="107">
        <f>IF($AF164="","",IF($AF164&lt;=1200,IF(INDEX(对接源_01水果!$S$4:$S$1203,$AF164)=0,"",INDEX(对接源_01水果!$S$4:$S$1203,$AF164)),IF(INDEX(对接源_02物料!$S$4:$S$1203,$AF164-1200)=0,"",INDEX(对接源_02物料!$S$4:$S$1203,$AF164-1200))))</f>
      </c>
      <c r="C164" s="104">
        <f>IF($AF164="","",IF($AF164&lt;=1200,IF(INDEX(对接源_01水果!$E$4:$E$1203,$AF164)=0,"",INDEX(对接源_01水果!$E$4:$E$1203,$AF164)),IF(INDEX(对接源_02物料!$E$4:$E$1203,$AF164-1200)=0,"",INDEX(对接源_02物料!$E$4:$E$1203,$AF164-1200))))</f>
      </c>
      <c r="D164" s="166">
        <f>IF($AF164="","",IF($AF164&lt;=1200,IF(INDEX(对接源_01水果!$T$4:$T$1203,$AF164)=0,"",INDEX(对接源_01水果!$T$4:$T$1203,$AF164)),IF(INDEX(对接源_02物料!$T$4:$T$1203,$AF164-1200)=0,"",INDEX(对接源_02物料!$T$4:$T$1203,$AF164-1200))))</f>
      </c>
      <c r="E164" s="107">
        <f>IF($AF164="","",IF($AF164&lt;=1200,IF(INDEX(对接源_01水果!$C$4:$C$1203,$AF164)=0,"",INDEX(对接源_01水果!$C$4:$C$1203,$AF164)),IF(INDEX(对接源_02物料!$C$4:$C$1203,$AF164-1200)=0,"",INDEX(对接源_02物料!$C$4:$C$1203,$AF164-1200))))</f>
      </c>
      <c r="F164" s="104">
        <f>IF($AF164="","",IF($AF164&lt;=1200,IF(INDEX(对接源_01水果!$W$4:$W$1203,$AF164)=0,"",INDEX(对接源_01水果!$W$4:$W$1203,$AF164)),IF(INDEX(对接源_02物料!$W$4:$W$1203,$AF164-1200)=0,"",INDEX(对接源_02物料!$W$4:$W$1203,$AF164-1200))))</f>
      </c>
      <c r="G164" s="107">
        <f>IF($AF164="","",IF($AF164&lt;=1200,IF(INDEX(对接源_01水果!$D$4:$D$1203,$AF164)=0,"",INDEX(对接源_01水果!$D$4:$D$1203,$AF164)),IF(INDEX(对接源_02物料!$D$4:$D$1203,$AF164-1200)=0,"",INDEX(对接源_02物料!$D$4:$D$1203,$AF164-1200))))</f>
      </c>
      <c r="H164" s="104">
        <f>IF($AF164="","",IF($AF164&lt;=1200,"01水果册","02物料册"))</f>
      </c>
      <c r="I164" s="107">
        <f>IF($AF164="","",IF($AF164&lt;=1200,IF(INDEX(对接源_01水果!$M$4:$M$1203,$AF164)=0,"",INDEX(对接源_01水果!$M$4:$M$1203,$AF164)),IF(INDEX(对接源_02物料!$M$4:$M$1203,$AF164-1200)=0,"",INDEX(对接源_02物料!$M$4:$M$1203,$AF164-1200))))</f>
      </c>
      <c r="AF164" s="2">
        <f>IFERROR(MATCH(56,_自动清单!$Y$4:$Y$2403,0),"")</f>
      </c>
    </row>
    <row r="165" ht="18" customHeight="1" s="127">
      <c r="A165" s="163">
        <f>IF($AF165="","",IF($AF165&lt;=1200,IF(INDEX(对接源_01水果!$B$4:$B$1203,$AF165)=0,"",INDEX(对接源_01水果!$B$4:$B$1203,$AF165)),IF(INDEX(对接源_02物料!$B$4:$B$1203,$AF165-1200)=0,"",INDEX(对接源_02物料!$B$4:$B$1203,$AF165-1200))))</f>
      </c>
      <c r="B165" s="64">
        <f>IF($AF165="","",IF($AF165&lt;=1200,IF(INDEX(对接源_01水果!$S$4:$S$1203,$AF165)=0,"",INDEX(对接源_01水果!$S$4:$S$1203,$AF165)),IF(INDEX(对接源_02物料!$S$4:$S$1203,$AF165-1200)=0,"",INDEX(对接源_02物料!$S$4:$S$1203,$AF165-1200))))</f>
      </c>
      <c r="C165" s="61">
        <f>IF($AF165="","",IF($AF165&lt;=1200,IF(INDEX(对接源_01水果!$E$4:$E$1203,$AF165)=0,"",INDEX(对接源_01水果!$E$4:$E$1203,$AF165)),IF(INDEX(对接源_02物料!$E$4:$E$1203,$AF165-1200)=0,"",INDEX(对接源_02物料!$E$4:$E$1203,$AF165-1200))))</f>
      </c>
      <c r="D165" s="164">
        <f>IF($AF165="","",IF($AF165&lt;=1200,IF(INDEX(对接源_01水果!$T$4:$T$1203,$AF165)=0,"",INDEX(对接源_01水果!$T$4:$T$1203,$AF165)),IF(INDEX(对接源_02物料!$T$4:$T$1203,$AF165-1200)=0,"",INDEX(对接源_02物料!$T$4:$T$1203,$AF165-1200))))</f>
      </c>
      <c r="E165" s="64">
        <f>IF($AF165="","",IF($AF165&lt;=1200,IF(INDEX(对接源_01水果!$C$4:$C$1203,$AF165)=0,"",INDEX(对接源_01水果!$C$4:$C$1203,$AF165)),IF(INDEX(对接源_02物料!$C$4:$C$1203,$AF165-1200)=0,"",INDEX(对接源_02物料!$C$4:$C$1203,$AF165-1200))))</f>
      </c>
      <c r="F165" s="61">
        <f>IF($AF165="","",IF($AF165&lt;=1200,IF(INDEX(对接源_01水果!$W$4:$W$1203,$AF165)=0,"",INDEX(对接源_01水果!$W$4:$W$1203,$AF165)),IF(INDEX(对接源_02物料!$W$4:$W$1203,$AF165-1200)=0,"",INDEX(对接源_02物料!$W$4:$W$1203,$AF165-1200))))</f>
      </c>
      <c r="G165" s="64">
        <f>IF($AF165="","",IF($AF165&lt;=1200,IF(INDEX(对接源_01水果!$D$4:$D$1203,$AF165)=0,"",INDEX(对接源_01水果!$D$4:$D$1203,$AF165)),IF(INDEX(对接源_02物料!$D$4:$D$1203,$AF165-1200)=0,"",INDEX(对接源_02物料!$D$4:$D$1203,$AF165-1200))))</f>
      </c>
      <c r="H165" s="61">
        <f>IF($AF165="","",IF($AF165&lt;=1200,"01水果册","02物料册"))</f>
      </c>
      <c r="I165" s="64">
        <f>IF($AF165="","",IF($AF165&lt;=1200,IF(INDEX(对接源_01水果!$M$4:$M$1203,$AF165)=0,"",INDEX(对接源_01水果!$M$4:$M$1203,$AF165)),IF(INDEX(对接源_02物料!$M$4:$M$1203,$AF165-1200)=0,"",INDEX(对接源_02物料!$M$4:$M$1203,$AF165-1200))))</f>
      </c>
      <c r="AF165" s="2">
        <f>IFERROR(MATCH(57,_自动清单!$Y$4:$Y$2403,0),"")</f>
      </c>
    </row>
    <row r="166" ht="18" customHeight="1" s="127">
      <c r="A166" s="165">
        <f>IF($AF166="","",IF($AF166&lt;=1200,IF(INDEX(对接源_01水果!$B$4:$B$1203,$AF166)=0,"",INDEX(对接源_01水果!$B$4:$B$1203,$AF166)),IF(INDEX(对接源_02物料!$B$4:$B$1203,$AF166-1200)=0,"",INDEX(对接源_02物料!$B$4:$B$1203,$AF166-1200))))</f>
      </c>
      <c r="B166" s="107">
        <f>IF($AF166="","",IF($AF166&lt;=1200,IF(INDEX(对接源_01水果!$S$4:$S$1203,$AF166)=0,"",INDEX(对接源_01水果!$S$4:$S$1203,$AF166)),IF(INDEX(对接源_02物料!$S$4:$S$1203,$AF166-1200)=0,"",INDEX(对接源_02物料!$S$4:$S$1203,$AF166-1200))))</f>
      </c>
      <c r="C166" s="104">
        <f>IF($AF166="","",IF($AF166&lt;=1200,IF(INDEX(对接源_01水果!$E$4:$E$1203,$AF166)=0,"",INDEX(对接源_01水果!$E$4:$E$1203,$AF166)),IF(INDEX(对接源_02物料!$E$4:$E$1203,$AF166-1200)=0,"",INDEX(对接源_02物料!$E$4:$E$1203,$AF166-1200))))</f>
      </c>
      <c r="D166" s="166">
        <f>IF($AF166="","",IF($AF166&lt;=1200,IF(INDEX(对接源_01水果!$T$4:$T$1203,$AF166)=0,"",INDEX(对接源_01水果!$T$4:$T$1203,$AF166)),IF(INDEX(对接源_02物料!$T$4:$T$1203,$AF166-1200)=0,"",INDEX(对接源_02物料!$T$4:$T$1203,$AF166-1200))))</f>
      </c>
      <c r="E166" s="107">
        <f>IF($AF166="","",IF($AF166&lt;=1200,IF(INDEX(对接源_01水果!$C$4:$C$1203,$AF166)=0,"",INDEX(对接源_01水果!$C$4:$C$1203,$AF166)),IF(INDEX(对接源_02物料!$C$4:$C$1203,$AF166-1200)=0,"",INDEX(对接源_02物料!$C$4:$C$1203,$AF166-1200))))</f>
      </c>
      <c r="F166" s="104">
        <f>IF($AF166="","",IF($AF166&lt;=1200,IF(INDEX(对接源_01水果!$W$4:$W$1203,$AF166)=0,"",INDEX(对接源_01水果!$W$4:$W$1203,$AF166)),IF(INDEX(对接源_02物料!$W$4:$W$1203,$AF166-1200)=0,"",INDEX(对接源_02物料!$W$4:$W$1203,$AF166-1200))))</f>
      </c>
      <c r="G166" s="107">
        <f>IF($AF166="","",IF($AF166&lt;=1200,IF(INDEX(对接源_01水果!$D$4:$D$1203,$AF166)=0,"",INDEX(对接源_01水果!$D$4:$D$1203,$AF166)),IF(INDEX(对接源_02物料!$D$4:$D$1203,$AF166-1200)=0,"",INDEX(对接源_02物料!$D$4:$D$1203,$AF166-1200))))</f>
      </c>
      <c r="H166" s="104">
        <f>IF($AF166="","",IF($AF166&lt;=1200,"01水果册","02物料册"))</f>
      </c>
      <c r="I166" s="107">
        <f>IF($AF166="","",IF($AF166&lt;=1200,IF(INDEX(对接源_01水果!$M$4:$M$1203,$AF166)=0,"",INDEX(对接源_01水果!$M$4:$M$1203,$AF166)),IF(INDEX(对接源_02物料!$M$4:$M$1203,$AF166-1200)=0,"",INDEX(对接源_02物料!$M$4:$M$1203,$AF166-1200))))</f>
      </c>
      <c r="AF166" s="2">
        <f>IFERROR(MATCH(58,_自动清单!$Y$4:$Y$2403,0),"")</f>
      </c>
    </row>
    <row r="167" ht="18" customHeight="1" s="127">
      <c r="A167" s="163">
        <f>IF($AF167="","",IF($AF167&lt;=1200,IF(INDEX(对接源_01水果!$B$4:$B$1203,$AF167)=0,"",INDEX(对接源_01水果!$B$4:$B$1203,$AF167)),IF(INDEX(对接源_02物料!$B$4:$B$1203,$AF167-1200)=0,"",INDEX(对接源_02物料!$B$4:$B$1203,$AF167-1200))))</f>
      </c>
      <c r="B167" s="64">
        <f>IF($AF167="","",IF($AF167&lt;=1200,IF(INDEX(对接源_01水果!$S$4:$S$1203,$AF167)=0,"",INDEX(对接源_01水果!$S$4:$S$1203,$AF167)),IF(INDEX(对接源_02物料!$S$4:$S$1203,$AF167-1200)=0,"",INDEX(对接源_02物料!$S$4:$S$1203,$AF167-1200))))</f>
      </c>
      <c r="C167" s="61">
        <f>IF($AF167="","",IF($AF167&lt;=1200,IF(INDEX(对接源_01水果!$E$4:$E$1203,$AF167)=0,"",INDEX(对接源_01水果!$E$4:$E$1203,$AF167)),IF(INDEX(对接源_02物料!$E$4:$E$1203,$AF167-1200)=0,"",INDEX(对接源_02物料!$E$4:$E$1203,$AF167-1200))))</f>
      </c>
      <c r="D167" s="164">
        <f>IF($AF167="","",IF($AF167&lt;=1200,IF(INDEX(对接源_01水果!$T$4:$T$1203,$AF167)=0,"",INDEX(对接源_01水果!$T$4:$T$1203,$AF167)),IF(INDEX(对接源_02物料!$T$4:$T$1203,$AF167-1200)=0,"",INDEX(对接源_02物料!$T$4:$T$1203,$AF167-1200))))</f>
      </c>
      <c r="E167" s="64">
        <f>IF($AF167="","",IF($AF167&lt;=1200,IF(INDEX(对接源_01水果!$C$4:$C$1203,$AF167)=0,"",INDEX(对接源_01水果!$C$4:$C$1203,$AF167)),IF(INDEX(对接源_02物料!$C$4:$C$1203,$AF167-1200)=0,"",INDEX(对接源_02物料!$C$4:$C$1203,$AF167-1200))))</f>
      </c>
      <c r="F167" s="61">
        <f>IF($AF167="","",IF($AF167&lt;=1200,IF(INDEX(对接源_01水果!$W$4:$W$1203,$AF167)=0,"",INDEX(对接源_01水果!$W$4:$W$1203,$AF167)),IF(INDEX(对接源_02物料!$W$4:$W$1203,$AF167-1200)=0,"",INDEX(对接源_02物料!$W$4:$W$1203,$AF167-1200))))</f>
      </c>
      <c r="G167" s="64">
        <f>IF($AF167="","",IF($AF167&lt;=1200,IF(INDEX(对接源_01水果!$D$4:$D$1203,$AF167)=0,"",INDEX(对接源_01水果!$D$4:$D$1203,$AF167)),IF(INDEX(对接源_02物料!$D$4:$D$1203,$AF167-1200)=0,"",INDEX(对接源_02物料!$D$4:$D$1203,$AF167-1200))))</f>
      </c>
      <c r="H167" s="61">
        <f>IF($AF167="","",IF($AF167&lt;=1200,"01水果册","02物料册"))</f>
      </c>
      <c r="I167" s="64">
        <f>IF($AF167="","",IF($AF167&lt;=1200,IF(INDEX(对接源_01水果!$M$4:$M$1203,$AF167)=0,"",INDEX(对接源_01水果!$M$4:$M$1203,$AF167)),IF(INDEX(对接源_02物料!$M$4:$M$1203,$AF167-1200)=0,"",INDEX(对接源_02物料!$M$4:$M$1203,$AF167-1200))))</f>
      </c>
      <c r="AF167" s="2">
        <f>IFERROR(MATCH(59,_自动清单!$Y$4:$Y$2403,0),"")</f>
      </c>
    </row>
    <row r="168" ht="18" customHeight="1" s="127">
      <c r="A168" s="165">
        <f>IF($AF168="","",IF($AF168&lt;=1200,IF(INDEX(对接源_01水果!$B$4:$B$1203,$AF168)=0,"",INDEX(对接源_01水果!$B$4:$B$1203,$AF168)),IF(INDEX(对接源_02物料!$B$4:$B$1203,$AF168-1200)=0,"",INDEX(对接源_02物料!$B$4:$B$1203,$AF168-1200))))</f>
      </c>
      <c r="B168" s="107">
        <f>IF($AF168="","",IF($AF168&lt;=1200,IF(INDEX(对接源_01水果!$S$4:$S$1203,$AF168)=0,"",INDEX(对接源_01水果!$S$4:$S$1203,$AF168)),IF(INDEX(对接源_02物料!$S$4:$S$1203,$AF168-1200)=0,"",INDEX(对接源_02物料!$S$4:$S$1203,$AF168-1200))))</f>
      </c>
      <c r="C168" s="104">
        <f>IF($AF168="","",IF($AF168&lt;=1200,IF(INDEX(对接源_01水果!$E$4:$E$1203,$AF168)=0,"",INDEX(对接源_01水果!$E$4:$E$1203,$AF168)),IF(INDEX(对接源_02物料!$E$4:$E$1203,$AF168-1200)=0,"",INDEX(对接源_02物料!$E$4:$E$1203,$AF168-1200))))</f>
      </c>
      <c r="D168" s="166">
        <f>IF($AF168="","",IF($AF168&lt;=1200,IF(INDEX(对接源_01水果!$T$4:$T$1203,$AF168)=0,"",INDEX(对接源_01水果!$T$4:$T$1203,$AF168)),IF(INDEX(对接源_02物料!$T$4:$T$1203,$AF168-1200)=0,"",INDEX(对接源_02物料!$T$4:$T$1203,$AF168-1200))))</f>
      </c>
      <c r="E168" s="107">
        <f>IF($AF168="","",IF($AF168&lt;=1200,IF(INDEX(对接源_01水果!$C$4:$C$1203,$AF168)=0,"",INDEX(对接源_01水果!$C$4:$C$1203,$AF168)),IF(INDEX(对接源_02物料!$C$4:$C$1203,$AF168-1200)=0,"",INDEX(对接源_02物料!$C$4:$C$1203,$AF168-1200))))</f>
      </c>
      <c r="F168" s="104">
        <f>IF($AF168="","",IF($AF168&lt;=1200,IF(INDEX(对接源_01水果!$W$4:$W$1203,$AF168)=0,"",INDEX(对接源_01水果!$W$4:$W$1203,$AF168)),IF(INDEX(对接源_02物料!$W$4:$W$1203,$AF168-1200)=0,"",INDEX(对接源_02物料!$W$4:$W$1203,$AF168-1200))))</f>
      </c>
      <c r="G168" s="107">
        <f>IF($AF168="","",IF($AF168&lt;=1200,IF(INDEX(对接源_01水果!$D$4:$D$1203,$AF168)=0,"",INDEX(对接源_01水果!$D$4:$D$1203,$AF168)),IF(INDEX(对接源_02物料!$D$4:$D$1203,$AF168-1200)=0,"",INDEX(对接源_02物料!$D$4:$D$1203,$AF168-1200))))</f>
      </c>
      <c r="H168" s="104">
        <f>IF($AF168="","",IF($AF168&lt;=1200,"01水果册","02物料册"))</f>
      </c>
      <c r="I168" s="107">
        <f>IF($AF168="","",IF($AF168&lt;=1200,IF(INDEX(对接源_01水果!$M$4:$M$1203,$AF168)=0,"",INDEX(对接源_01水果!$M$4:$M$1203,$AF168)),IF(INDEX(对接源_02物料!$M$4:$M$1203,$AF168-1200)=0,"",INDEX(对接源_02物料!$M$4:$M$1203,$AF168-1200))))</f>
      </c>
      <c r="AF168" s="2">
        <f>IFERROR(MATCH(60,_自动清单!$Y$4:$Y$2403,0),"")</f>
      </c>
    </row>
    <row r="169" ht="18" customHeight="1" s="127">
      <c r="A169" s="163">
        <f>IF($AF169="","",IF($AF169&lt;=1200,IF(INDEX(对接源_01水果!$B$4:$B$1203,$AF169)=0,"",INDEX(对接源_01水果!$B$4:$B$1203,$AF169)),IF(INDEX(对接源_02物料!$B$4:$B$1203,$AF169-1200)=0,"",INDEX(对接源_02物料!$B$4:$B$1203,$AF169-1200))))</f>
      </c>
      <c r="B169" s="64">
        <f>IF($AF169="","",IF($AF169&lt;=1200,IF(INDEX(对接源_01水果!$S$4:$S$1203,$AF169)=0,"",INDEX(对接源_01水果!$S$4:$S$1203,$AF169)),IF(INDEX(对接源_02物料!$S$4:$S$1203,$AF169-1200)=0,"",INDEX(对接源_02物料!$S$4:$S$1203,$AF169-1200))))</f>
      </c>
      <c r="C169" s="61">
        <f>IF($AF169="","",IF($AF169&lt;=1200,IF(INDEX(对接源_01水果!$E$4:$E$1203,$AF169)=0,"",INDEX(对接源_01水果!$E$4:$E$1203,$AF169)),IF(INDEX(对接源_02物料!$E$4:$E$1203,$AF169-1200)=0,"",INDEX(对接源_02物料!$E$4:$E$1203,$AF169-1200))))</f>
      </c>
      <c r="D169" s="164">
        <f>IF($AF169="","",IF($AF169&lt;=1200,IF(INDEX(对接源_01水果!$T$4:$T$1203,$AF169)=0,"",INDEX(对接源_01水果!$T$4:$T$1203,$AF169)),IF(INDEX(对接源_02物料!$T$4:$T$1203,$AF169-1200)=0,"",INDEX(对接源_02物料!$T$4:$T$1203,$AF169-1200))))</f>
      </c>
      <c r="E169" s="64">
        <f>IF($AF169="","",IF($AF169&lt;=1200,IF(INDEX(对接源_01水果!$C$4:$C$1203,$AF169)=0,"",INDEX(对接源_01水果!$C$4:$C$1203,$AF169)),IF(INDEX(对接源_02物料!$C$4:$C$1203,$AF169-1200)=0,"",INDEX(对接源_02物料!$C$4:$C$1203,$AF169-1200))))</f>
      </c>
      <c r="F169" s="61">
        <f>IF($AF169="","",IF($AF169&lt;=1200,IF(INDEX(对接源_01水果!$W$4:$W$1203,$AF169)=0,"",INDEX(对接源_01水果!$W$4:$W$1203,$AF169)),IF(INDEX(对接源_02物料!$W$4:$W$1203,$AF169-1200)=0,"",INDEX(对接源_02物料!$W$4:$W$1203,$AF169-1200))))</f>
      </c>
      <c r="G169" s="64">
        <f>IF($AF169="","",IF($AF169&lt;=1200,IF(INDEX(对接源_01水果!$D$4:$D$1203,$AF169)=0,"",INDEX(对接源_01水果!$D$4:$D$1203,$AF169)),IF(INDEX(对接源_02物料!$D$4:$D$1203,$AF169-1200)=0,"",INDEX(对接源_02物料!$D$4:$D$1203,$AF169-1200))))</f>
      </c>
      <c r="H169" s="61">
        <f>IF($AF169="","",IF($AF169&lt;=1200,"01水果册","02物料册"))</f>
      </c>
      <c r="I169" s="64">
        <f>IF($AF169="","",IF($AF169&lt;=1200,IF(INDEX(对接源_01水果!$M$4:$M$1203,$AF169)=0,"",INDEX(对接源_01水果!$M$4:$M$1203,$AF169)),IF(INDEX(对接源_02物料!$M$4:$M$1203,$AF169-1200)=0,"",INDEX(对接源_02物料!$M$4:$M$1203,$AF169-1200))))</f>
      </c>
      <c r="AF169" s="2">
        <f>IFERROR(MATCH(61,_自动清单!$Y$4:$Y$2403,0),"")</f>
      </c>
    </row>
    <row r="170" ht="18" customHeight="1" s="127">
      <c r="A170" s="165">
        <f>IF($AF170="","",IF($AF170&lt;=1200,IF(INDEX(对接源_01水果!$B$4:$B$1203,$AF170)=0,"",INDEX(对接源_01水果!$B$4:$B$1203,$AF170)),IF(INDEX(对接源_02物料!$B$4:$B$1203,$AF170-1200)=0,"",INDEX(对接源_02物料!$B$4:$B$1203,$AF170-1200))))</f>
      </c>
      <c r="B170" s="107">
        <f>IF($AF170="","",IF($AF170&lt;=1200,IF(INDEX(对接源_01水果!$S$4:$S$1203,$AF170)=0,"",INDEX(对接源_01水果!$S$4:$S$1203,$AF170)),IF(INDEX(对接源_02物料!$S$4:$S$1203,$AF170-1200)=0,"",INDEX(对接源_02物料!$S$4:$S$1203,$AF170-1200))))</f>
      </c>
      <c r="C170" s="104">
        <f>IF($AF170="","",IF($AF170&lt;=1200,IF(INDEX(对接源_01水果!$E$4:$E$1203,$AF170)=0,"",INDEX(对接源_01水果!$E$4:$E$1203,$AF170)),IF(INDEX(对接源_02物料!$E$4:$E$1203,$AF170-1200)=0,"",INDEX(对接源_02物料!$E$4:$E$1203,$AF170-1200))))</f>
      </c>
      <c r="D170" s="166">
        <f>IF($AF170="","",IF($AF170&lt;=1200,IF(INDEX(对接源_01水果!$T$4:$T$1203,$AF170)=0,"",INDEX(对接源_01水果!$T$4:$T$1203,$AF170)),IF(INDEX(对接源_02物料!$T$4:$T$1203,$AF170-1200)=0,"",INDEX(对接源_02物料!$T$4:$T$1203,$AF170-1200))))</f>
      </c>
      <c r="E170" s="107">
        <f>IF($AF170="","",IF($AF170&lt;=1200,IF(INDEX(对接源_01水果!$C$4:$C$1203,$AF170)=0,"",INDEX(对接源_01水果!$C$4:$C$1203,$AF170)),IF(INDEX(对接源_02物料!$C$4:$C$1203,$AF170-1200)=0,"",INDEX(对接源_02物料!$C$4:$C$1203,$AF170-1200))))</f>
      </c>
      <c r="F170" s="104">
        <f>IF($AF170="","",IF($AF170&lt;=1200,IF(INDEX(对接源_01水果!$W$4:$W$1203,$AF170)=0,"",INDEX(对接源_01水果!$W$4:$W$1203,$AF170)),IF(INDEX(对接源_02物料!$W$4:$W$1203,$AF170-1200)=0,"",INDEX(对接源_02物料!$W$4:$W$1203,$AF170-1200))))</f>
      </c>
      <c r="G170" s="107">
        <f>IF($AF170="","",IF($AF170&lt;=1200,IF(INDEX(对接源_01水果!$D$4:$D$1203,$AF170)=0,"",INDEX(对接源_01水果!$D$4:$D$1203,$AF170)),IF(INDEX(对接源_02物料!$D$4:$D$1203,$AF170-1200)=0,"",INDEX(对接源_02物料!$D$4:$D$1203,$AF170-1200))))</f>
      </c>
      <c r="H170" s="104">
        <f>IF($AF170="","",IF($AF170&lt;=1200,"01水果册","02物料册"))</f>
      </c>
      <c r="I170" s="107">
        <f>IF($AF170="","",IF($AF170&lt;=1200,IF(INDEX(对接源_01水果!$M$4:$M$1203,$AF170)=0,"",INDEX(对接源_01水果!$M$4:$M$1203,$AF170)),IF(INDEX(对接源_02物料!$M$4:$M$1203,$AF170-1200)=0,"",INDEX(对接源_02物料!$M$4:$M$1203,$AF170-1200))))</f>
      </c>
      <c r="AF170" s="2">
        <f>IFERROR(MATCH(62,_自动清单!$Y$4:$Y$2403,0),"")</f>
      </c>
    </row>
    <row r="171" ht="18" customHeight="1" s="127">
      <c r="A171" s="163">
        <f>IF($AF171="","",IF($AF171&lt;=1200,IF(INDEX(对接源_01水果!$B$4:$B$1203,$AF171)=0,"",INDEX(对接源_01水果!$B$4:$B$1203,$AF171)),IF(INDEX(对接源_02物料!$B$4:$B$1203,$AF171-1200)=0,"",INDEX(对接源_02物料!$B$4:$B$1203,$AF171-1200))))</f>
      </c>
      <c r="B171" s="64">
        <f>IF($AF171="","",IF($AF171&lt;=1200,IF(INDEX(对接源_01水果!$S$4:$S$1203,$AF171)=0,"",INDEX(对接源_01水果!$S$4:$S$1203,$AF171)),IF(INDEX(对接源_02物料!$S$4:$S$1203,$AF171-1200)=0,"",INDEX(对接源_02物料!$S$4:$S$1203,$AF171-1200))))</f>
      </c>
      <c r="C171" s="61">
        <f>IF($AF171="","",IF($AF171&lt;=1200,IF(INDEX(对接源_01水果!$E$4:$E$1203,$AF171)=0,"",INDEX(对接源_01水果!$E$4:$E$1203,$AF171)),IF(INDEX(对接源_02物料!$E$4:$E$1203,$AF171-1200)=0,"",INDEX(对接源_02物料!$E$4:$E$1203,$AF171-1200))))</f>
      </c>
      <c r="D171" s="164">
        <f>IF($AF171="","",IF($AF171&lt;=1200,IF(INDEX(对接源_01水果!$T$4:$T$1203,$AF171)=0,"",INDEX(对接源_01水果!$T$4:$T$1203,$AF171)),IF(INDEX(对接源_02物料!$T$4:$T$1203,$AF171-1200)=0,"",INDEX(对接源_02物料!$T$4:$T$1203,$AF171-1200))))</f>
      </c>
      <c r="E171" s="64">
        <f>IF($AF171="","",IF($AF171&lt;=1200,IF(INDEX(对接源_01水果!$C$4:$C$1203,$AF171)=0,"",INDEX(对接源_01水果!$C$4:$C$1203,$AF171)),IF(INDEX(对接源_02物料!$C$4:$C$1203,$AF171-1200)=0,"",INDEX(对接源_02物料!$C$4:$C$1203,$AF171-1200))))</f>
      </c>
      <c r="F171" s="61">
        <f>IF($AF171="","",IF($AF171&lt;=1200,IF(INDEX(对接源_01水果!$W$4:$W$1203,$AF171)=0,"",INDEX(对接源_01水果!$W$4:$W$1203,$AF171)),IF(INDEX(对接源_02物料!$W$4:$W$1203,$AF171-1200)=0,"",INDEX(对接源_02物料!$W$4:$W$1203,$AF171-1200))))</f>
      </c>
      <c r="G171" s="64">
        <f>IF($AF171="","",IF($AF171&lt;=1200,IF(INDEX(对接源_01水果!$D$4:$D$1203,$AF171)=0,"",INDEX(对接源_01水果!$D$4:$D$1203,$AF171)),IF(INDEX(对接源_02物料!$D$4:$D$1203,$AF171-1200)=0,"",INDEX(对接源_02物料!$D$4:$D$1203,$AF171-1200))))</f>
      </c>
      <c r="H171" s="61">
        <f>IF($AF171="","",IF($AF171&lt;=1200,"01水果册","02物料册"))</f>
      </c>
      <c r="I171" s="64">
        <f>IF($AF171="","",IF($AF171&lt;=1200,IF(INDEX(对接源_01水果!$M$4:$M$1203,$AF171)=0,"",INDEX(对接源_01水果!$M$4:$M$1203,$AF171)),IF(INDEX(对接源_02物料!$M$4:$M$1203,$AF171-1200)=0,"",INDEX(对接源_02物料!$M$4:$M$1203,$AF171-1200))))</f>
      </c>
      <c r="AF171" s="2">
        <f>IFERROR(MATCH(63,_自动清单!$Y$4:$Y$2403,0),"")</f>
      </c>
    </row>
    <row r="172" ht="18" customHeight="1" s="127">
      <c r="A172" s="165">
        <f>IF($AF172="","",IF($AF172&lt;=1200,IF(INDEX(对接源_01水果!$B$4:$B$1203,$AF172)=0,"",INDEX(对接源_01水果!$B$4:$B$1203,$AF172)),IF(INDEX(对接源_02物料!$B$4:$B$1203,$AF172-1200)=0,"",INDEX(对接源_02物料!$B$4:$B$1203,$AF172-1200))))</f>
      </c>
      <c r="B172" s="107">
        <f>IF($AF172="","",IF($AF172&lt;=1200,IF(INDEX(对接源_01水果!$S$4:$S$1203,$AF172)=0,"",INDEX(对接源_01水果!$S$4:$S$1203,$AF172)),IF(INDEX(对接源_02物料!$S$4:$S$1203,$AF172-1200)=0,"",INDEX(对接源_02物料!$S$4:$S$1203,$AF172-1200))))</f>
      </c>
      <c r="C172" s="104">
        <f>IF($AF172="","",IF($AF172&lt;=1200,IF(INDEX(对接源_01水果!$E$4:$E$1203,$AF172)=0,"",INDEX(对接源_01水果!$E$4:$E$1203,$AF172)),IF(INDEX(对接源_02物料!$E$4:$E$1203,$AF172-1200)=0,"",INDEX(对接源_02物料!$E$4:$E$1203,$AF172-1200))))</f>
      </c>
      <c r="D172" s="166">
        <f>IF($AF172="","",IF($AF172&lt;=1200,IF(INDEX(对接源_01水果!$T$4:$T$1203,$AF172)=0,"",INDEX(对接源_01水果!$T$4:$T$1203,$AF172)),IF(INDEX(对接源_02物料!$T$4:$T$1203,$AF172-1200)=0,"",INDEX(对接源_02物料!$T$4:$T$1203,$AF172-1200))))</f>
      </c>
      <c r="E172" s="107">
        <f>IF($AF172="","",IF($AF172&lt;=1200,IF(INDEX(对接源_01水果!$C$4:$C$1203,$AF172)=0,"",INDEX(对接源_01水果!$C$4:$C$1203,$AF172)),IF(INDEX(对接源_02物料!$C$4:$C$1203,$AF172-1200)=0,"",INDEX(对接源_02物料!$C$4:$C$1203,$AF172-1200))))</f>
      </c>
      <c r="F172" s="104">
        <f>IF($AF172="","",IF($AF172&lt;=1200,IF(INDEX(对接源_01水果!$W$4:$W$1203,$AF172)=0,"",INDEX(对接源_01水果!$W$4:$W$1203,$AF172)),IF(INDEX(对接源_02物料!$W$4:$W$1203,$AF172-1200)=0,"",INDEX(对接源_02物料!$W$4:$W$1203,$AF172-1200))))</f>
      </c>
      <c r="G172" s="107">
        <f>IF($AF172="","",IF($AF172&lt;=1200,IF(INDEX(对接源_01水果!$D$4:$D$1203,$AF172)=0,"",INDEX(对接源_01水果!$D$4:$D$1203,$AF172)),IF(INDEX(对接源_02物料!$D$4:$D$1203,$AF172-1200)=0,"",INDEX(对接源_02物料!$D$4:$D$1203,$AF172-1200))))</f>
      </c>
      <c r="H172" s="104">
        <f>IF($AF172="","",IF($AF172&lt;=1200,"01水果册","02物料册"))</f>
      </c>
      <c r="I172" s="107">
        <f>IF($AF172="","",IF($AF172&lt;=1200,IF(INDEX(对接源_01水果!$M$4:$M$1203,$AF172)=0,"",INDEX(对接源_01水果!$M$4:$M$1203,$AF172)),IF(INDEX(对接源_02物料!$M$4:$M$1203,$AF172-1200)=0,"",INDEX(对接源_02物料!$M$4:$M$1203,$AF172-1200))))</f>
      </c>
      <c r="AF172" s="2">
        <f>IFERROR(MATCH(64,_自动清单!$Y$4:$Y$2403,0),"")</f>
      </c>
    </row>
    <row r="173" ht="18" customHeight="1" s="127">
      <c r="A173" s="163">
        <f>IF($AF173="","",IF($AF173&lt;=1200,IF(INDEX(对接源_01水果!$B$4:$B$1203,$AF173)=0,"",INDEX(对接源_01水果!$B$4:$B$1203,$AF173)),IF(INDEX(对接源_02物料!$B$4:$B$1203,$AF173-1200)=0,"",INDEX(对接源_02物料!$B$4:$B$1203,$AF173-1200))))</f>
      </c>
      <c r="B173" s="64">
        <f>IF($AF173="","",IF($AF173&lt;=1200,IF(INDEX(对接源_01水果!$S$4:$S$1203,$AF173)=0,"",INDEX(对接源_01水果!$S$4:$S$1203,$AF173)),IF(INDEX(对接源_02物料!$S$4:$S$1203,$AF173-1200)=0,"",INDEX(对接源_02物料!$S$4:$S$1203,$AF173-1200))))</f>
      </c>
      <c r="C173" s="61">
        <f>IF($AF173="","",IF($AF173&lt;=1200,IF(INDEX(对接源_01水果!$E$4:$E$1203,$AF173)=0,"",INDEX(对接源_01水果!$E$4:$E$1203,$AF173)),IF(INDEX(对接源_02物料!$E$4:$E$1203,$AF173-1200)=0,"",INDEX(对接源_02物料!$E$4:$E$1203,$AF173-1200))))</f>
      </c>
      <c r="D173" s="164">
        <f>IF($AF173="","",IF($AF173&lt;=1200,IF(INDEX(对接源_01水果!$T$4:$T$1203,$AF173)=0,"",INDEX(对接源_01水果!$T$4:$T$1203,$AF173)),IF(INDEX(对接源_02物料!$T$4:$T$1203,$AF173-1200)=0,"",INDEX(对接源_02物料!$T$4:$T$1203,$AF173-1200))))</f>
      </c>
      <c r="E173" s="64">
        <f>IF($AF173="","",IF($AF173&lt;=1200,IF(INDEX(对接源_01水果!$C$4:$C$1203,$AF173)=0,"",INDEX(对接源_01水果!$C$4:$C$1203,$AF173)),IF(INDEX(对接源_02物料!$C$4:$C$1203,$AF173-1200)=0,"",INDEX(对接源_02物料!$C$4:$C$1203,$AF173-1200))))</f>
      </c>
      <c r="F173" s="61">
        <f>IF($AF173="","",IF($AF173&lt;=1200,IF(INDEX(对接源_01水果!$W$4:$W$1203,$AF173)=0,"",INDEX(对接源_01水果!$W$4:$W$1203,$AF173)),IF(INDEX(对接源_02物料!$W$4:$W$1203,$AF173-1200)=0,"",INDEX(对接源_02物料!$W$4:$W$1203,$AF173-1200))))</f>
      </c>
      <c r="G173" s="64">
        <f>IF($AF173="","",IF($AF173&lt;=1200,IF(INDEX(对接源_01水果!$D$4:$D$1203,$AF173)=0,"",INDEX(对接源_01水果!$D$4:$D$1203,$AF173)),IF(INDEX(对接源_02物料!$D$4:$D$1203,$AF173-1200)=0,"",INDEX(对接源_02物料!$D$4:$D$1203,$AF173-1200))))</f>
      </c>
      <c r="H173" s="61">
        <f>IF($AF173="","",IF($AF173&lt;=1200,"01水果册","02物料册"))</f>
      </c>
      <c r="I173" s="64">
        <f>IF($AF173="","",IF($AF173&lt;=1200,IF(INDEX(对接源_01水果!$M$4:$M$1203,$AF173)=0,"",INDEX(对接源_01水果!$M$4:$M$1203,$AF173)),IF(INDEX(对接源_02物料!$M$4:$M$1203,$AF173-1200)=0,"",INDEX(对接源_02物料!$M$4:$M$1203,$AF173-1200))))</f>
      </c>
      <c r="AF173" s="2">
        <f>IFERROR(MATCH(65,_自动清单!$Y$4:$Y$2403,0),"")</f>
      </c>
    </row>
    <row r="174" ht="18" customHeight="1" s="127">
      <c r="A174" s="165">
        <f>IF($AF174="","",IF($AF174&lt;=1200,IF(INDEX(对接源_01水果!$B$4:$B$1203,$AF174)=0,"",INDEX(对接源_01水果!$B$4:$B$1203,$AF174)),IF(INDEX(对接源_02物料!$B$4:$B$1203,$AF174-1200)=0,"",INDEX(对接源_02物料!$B$4:$B$1203,$AF174-1200))))</f>
      </c>
      <c r="B174" s="107">
        <f>IF($AF174="","",IF($AF174&lt;=1200,IF(INDEX(对接源_01水果!$S$4:$S$1203,$AF174)=0,"",INDEX(对接源_01水果!$S$4:$S$1203,$AF174)),IF(INDEX(对接源_02物料!$S$4:$S$1203,$AF174-1200)=0,"",INDEX(对接源_02物料!$S$4:$S$1203,$AF174-1200))))</f>
      </c>
      <c r="C174" s="104">
        <f>IF($AF174="","",IF($AF174&lt;=1200,IF(INDEX(对接源_01水果!$E$4:$E$1203,$AF174)=0,"",INDEX(对接源_01水果!$E$4:$E$1203,$AF174)),IF(INDEX(对接源_02物料!$E$4:$E$1203,$AF174-1200)=0,"",INDEX(对接源_02物料!$E$4:$E$1203,$AF174-1200))))</f>
      </c>
      <c r="D174" s="166">
        <f>IF($AF174="","",IF($AF174&lt;=1200,IF(INDEX(对接源_01水果!$T$4:$T$1203,$AF174)=0,"",INDEX(对接源_01水果!$T$4:$T$1203,$AF174)),IF(INDEX(对接源_02物料!$T$4:$T$1203,$AF174-1200)=0,"",INDEX(对接源_02物料!$T$4:$T$1203,$AF174-1200))))</f>
      </c>
      <c r="E174" s="107">
        <f>IF($AF174="","",IF($AF174&lt;=1200,IF(INDEX(对接源_01水果!$C$4:$C$1203,$AF174)=0,"",INDEX(对接源_01水果!$C$4:$C$1203,$AF174)),IF(INDEX(对接源_02物料!$C$4:$C$1203,$AF174-1200)=0,"",INDEX(对接源_02物料!$C$4:$C$1203,$AF174-1200))))</f>
      </c>
      <c r="F174" s="104">
        <f>IF($AF174="","",IF($AF174&lt;=1200,IF(INDEX(对接源_01水果!$W$4:$W$1203,$AF174)=0,"",INDEX(对接源_01水果!$W$4:$W$1203,$AF174)),IF(INDEX(对接源_02物料!$W$4:$W$1203,$AF174-1200)=0,"",INDEX(对接源_02物料!$W$4:$W$1203,$AF174-1200))))</f>
      </c>
      <c r="G174" s="107">
        <f>IF($AF174="","",IF($AF174&lt;=1200,IF(INDEX(对接源_01水果!$D$4:$D$1203,$AF174)=0,"",INDEX(对接源_01水果!$D$4:$D$1203,$AF174)),IF(INDEX(对接源_02物料!$D$4:$D$1203,$AF174-1200)=0,"",INDEX(对接源_02物料!$D$4:$D$1203,$AF174-1200))))</f>
      </c>
      <c r="H174" s="104">
        <f>IF($AF174="","",IF($AF174&lt;=1200,"01水果册","02物料册"))</f>
      </c>
      <c r="I174" s="107">
        <f>IF($AF174="","",IF($AF174&lt;=1200,IF(INDEX(对接源_01水果!$M$4:$M$1203,$AF174)=0,"",INDEX(对接源_01水果!$M$4:$M$1203,$AF174)),IF(INDEX(对接源_02物料!$M$4:$M$1203,$AF174-1200)=0,"",INDEX(对接源_02物料!$M$4:$M$1203,$AF174-1200))))</f>
      </c>
      <c r="AF174" s="2">
        <f>IFERROR(MATCH(66,_自动清单!$Y$4:$Y$2403,0),"")</f>
      </c>
    </row>
    <row r="175" ht="18" customHeight="1" s="127">
      <c r="A175" s="163">
        <f>IF($AF175="","",IF($AF175&lt;=1200,IF(INDEX(对接源_01水果!$B$4:$B$1203,$AF175)=0,"",INDEX(对接源_01水果!$B$4:$B$1203,$AF175)),IF(INDEX(对接源_02物料!$B$4:$B$1203,$AF175-1200)=0,"",INDEX(对接源_02物料!$B$4:$B$1203,$AF175-1200))))</f>
      </c>
      <c r="B175" s="64">
        <f>IF($AF175="","",IF($AF175&lt;=1200,IF(INDEX(对接源_01水果!$S$4:$S$1203,$AF175)=0,"",INDEX(对接源_01水果!$S$4:$S$1203,$AF175)),IF(INDEX(对接源_02物料!$S$4:$S$1203,$AF175-1200)=0,"",INDEX(对接源_02物料!$S$4:$S$1203,$AF175-1200))))</f>
      </c>
      <c r="C175" s="61">
        <f>IF($AF175="","",IF($AF175&lt;=1200,IF(INDEX(对接源_01水果!$E$4:$E$1203,$AF175)=0,"",INDEX(对接源_01水果!$E$4:$E$1203,$AF175)),IF(INDEX(对接源_02物料!$E$4:$E$1203,$AF175-1200)=0,"",INDEX(对接源_02物料!$E$4:$E$1203,$AF175-1200))))</f>
      </c>
      <c r="D175" s="164">
        <f>IF($AF175="","",IF($AF175&lt;=1200,IF(INDEX(对接源_01水果!$T$4:$T$1203,$AF175)=0,"",INDEX(对接源_01水果!$T$4:$T$1203,$AF175)),IF(INDEX(对接源_02物料!$T$4:$T$1203,$AF175-1200)=0,"",INDEX(对接源_02物料!$T$4:$T$1203,$AF175-1200))))</f>
      </c>
      <c r="E175" s="64">
        <f>IF($AF175="","",IF($AF175&lt;=1200,IF(INDEX(对接源_01水果!$C$4:$C$1203,$AF175)=0,"",INDEX(对接源_01水果!$C$4:$C$1203,$AF175)),IF(INDEX(对接源_02物料!$C$4:$C$1203,$AF175-1200)=0,"",INDEX(对接源_02物料!$C$4:$C$1203,$AF175-1200))))</f>
      </c>
      <c r="F175" s="61">
        <f>IF($AF175="","",IF($AF175&lt;=1200,IF(INDEX(对接源_01水果!$W$4:$W$1203,$AF175)=0,"",INDEX(对接源_01水果!$W$4:$W$1203,$AF175)),IF(INDEX(对接源_02物料!$W$4:$W$1203,$AF175-1200)=0,"",INDEX(对接源_02物料!$W$4:$W$1203,$AF175-1200))))</f>
      </c>
      <c r="G175" s="64">
        <f>IF($AF175="","",IF($AF175&lt;=1200,IF(INDEX(对接源_01水果!$D$4:$D$1203,$AF175)=0,"",INDEX(对接源_01水果!$D$4:$D$1203,$AF175)),IF(INDEX(对接源_02物料!$D$4:$D$1203,$AF175-1200)=0,"",INDEX(对接源_02物料!$D$4:$D$1203,$AF175-1200))))</f>
      </c>
      <c r="H175" s="61">
        <f>IF($AF175="","",IF($AF175&lt;=1200,"01水果册","02物料册"))</f>
      </c>
      <c r="I175" s="64">
        <f>IF($AF175="","",IF($AF175&lt;=1200,IF(INDEX(对接源_01水果!$M$4:$M$1203,$AF175)=0,"",INDEX(对接源_01水果!$M$4:$M$1203,$AF175)),IF(INDEX(对接源_02物料!$M$4:$M$1203,$AF175-1200)=0,"",INDEX(对接源_02物料!$M$4:$M$1203,$AF175-1200))))</f>
      </c>
      <c r="AF175" s="2">
        <f>IFERROR(MATCH(67,_自动清单!$Y$4:$Y$2403,0),"")</f>
      </c>
    </row>
    <row r="176" ht="18" customHeight="1" s="127">
      <c r="A176" s="165">
        <f>IF($AF176="","",IF($AF176&lt;=1200,IF(INDEX(对接源_01水果!$B$4:$B$1203,$AF176)=0,"",INDEX(对接源_01水果!$B$4:$B$1203,$AF176)),IF(INDEX(对接源_02物料!$B$4:$B$1203,$AF176-1200)=0,"",INDEX(对接源_02物料!$B$4:$B$1203,$AF176-1200))))</f>
      </c>
      <c r="B176" s="107">
        <f>IF($AF176="","",IF($AF176&lt;=1200,IF(INDEX(对接源_01水果!$S$4:$S$1203,$AF176)=0,"",INDEX(对接源_01水果!$S$4:$S$1203,$AF176)),IF(INDEX(对接源_02物料!$S$4:$S$1203,$AF176-1200)=0,"",INDEX(对接源_02物料!$S$4:$S$1203,$AF176-1200))))</f>
      </c>
      <c r="C176" s="104">
        <f>IF($AF176="","",IF($AF176&lt;=1200,IF(INDEX(对接源_01水果!$E$4:$E$1203,$AF176)=0,"",INDEX(对接源_01水果!$E$4:$E$1203,$AF176)),IF(INDEX(对接源_02物料!$E$4:$E$1203,$AF176-1200)=0,"",INDEX(对接源_02物料!$E$4:$E$1203,$AF176-1200))))</f>
      </c>
      <c r="D176" s="166">
        <f>IF($AF176="","",IF($AF176&lt;=1200,IF(INDEX(对接源_01水果!$T$4:$T$1203,$AF176)=0,"",INDEX(对接源_01水果!$T$4:$T$1203,$AF176)),IF(INDEX(对接源_02物料!$T$4:$T$1203,$AF176-1200)=0,"",INDEX(对接源_02物料!$T$4:$T$1203,$AF176-1200))))</f>
      </c>
      <c r="E176" s="107">
        <f>IF($AF176="","",IF($AF176&lt;=1200,IF(INDEX(对接源_01水果!$C$4:$C$1203,$AF176)=0,"",INDEX(对接源_01水果!$C$4:$C$1203,$AF176)),IF(INDEX(对接源_02物料!$C$4:$C$1203,$AF176-1200)=0,"",INDEX(对接源_02物料!$C$4:$C$1203,$AF176-1200))))</f>
      </c>
      <c r="F176" s="104">
        <f>IF($AF176="","",IF($AF176&lt;=1200,IF(INDEX(对接源_01水果!$W$4:$W$1203,$AF176)=0,"",INDEX(对接源_01水果!$W$4:$W$1203,$AF176)),IF(INDEX(对接源_02物料!$W$4:$W$1203,$AF176-1200)=0,"",INDEX(对接源_02物料!$W$4:$W$1203,$AF176-1200))))</f>
      </c>
      <c r="G176" s="107">
        <f>IF($AF176="","",IF($AF176&lt;=1200,IF(INDEX(对接源_01水果!$D$4:$D$1203,$AF176)=0,"",INDEX(对接源_01水果!$D$4:$D$1203,$AF176)),IF(INDEX(对接源_02物料!$D$4:$D$1203,$AF176-1200)=0,"",INDEX(对接源_02物料!$D$4:$D$1203,$AF176-1200))))</f>
      </c>
      <c r="H176" s="104">
        <f>IF($AF176="","",IF($AF176&lt;=1200,"01水果册","02物料册"))</f>
      </c>
      <c r="I176" s="107">
        <f>IF($AF176="","",IF($AF176&lt;=1200,IF(INDEX(对接源_01水果!$M$4:$M$1203,$AF176)=0,"",INDEX(对接源_01水果!$M$4:$M$1203,$AF176)),IF(INDEX(对接源_02物料!$M$4:$M$1203,$AF176-1200)=0,"",INDEX(对接源_02物料!$M$4:$M$1203,$AF176-1200))))</f>
      </c>
      <c r="AF176" s="2">
        <f>IFERROR(MATCH(68,_自动清单!$Y$4:$Y$2403,0),"")</f>
      </c>
    </row>
    <row r="177" ht="18" customHeight="1" s="127">
      <c r="A177" s="163">
        <f>IF($AF177="","",IF($AF177&lt;=1200,IF(INDEX(对接源_01水果!$B$4:$B$1203,$AF177)=0,"",INDEX(对接源_01水果!$B$4:$B$1203,$AF177)),IF(INDEX(对接源_02物料!$B$4:$B$1203,$AF177-1200)=0,"",INDEX(对接源_02物料!$B$4:$B$1203,$AF177-1200))))</f>
      </c>
      <c r="B177" s="64">
        <f>IF($AF177="","",IF($AF177&lt;=1200,IF(INDEX(对接源_01水果!$S$4:$S$1203,$AF177)=0,"",INDEX(对接源_01水果!$S$4:$S$1203,$AF177)),IF(INDEX(对接源_02物料!$S$4:$S$1203,$AF177-1200)=0,"",INDEX(对接源_02物料!$S$4:$S$1203,$AF177-1200))))</f>
      </c>
      <c r="C177" s="61">
        <f>IF($AF177="","",IF($AF177&lt;=1200,IF(INDEX(对接源_01水果!$E$4:$E$1203,$AF177)=0,"",INDEX(对接源_01水果!$E$4:$E$1203,$AF177)),IF(INDEX(对接源_02物料!$E$4:$E$1203,$AF177-1200)=0,"",INDEX(对接源_02物料!$E$4:$E$1203,$AF177-1200))))</f>
      </c>
      <c r="D177" s="164">
        <f>IF($AF177="","",IF($AF177&lt;=1200,IF(INDEX(对接源_01水果!$T$4:$T$1203,$AF177)=0,"",INDEX(对接源_01水果!$T$4:$T$1203,$AF177)),IF(INDEX(对接源_02物料!$T$4:$T$1203,$AF177-1200)=0,"",INDEX(对接源_02物料!$T$4:$T$1203,$AF177-1200))))</f>
      </c>
      <c r="E177" s="64">
        <f>IF($AF177="","",IF($AF177&lt;=1200,IF(INDEX(对接源_01水果!$C$4:$C$1203,$AF177)=0,"",INDEX(对接源_01水果!$C$4:$C$1203,$AF177)),IF(INDEX(对接源_02物料!$C$4:$C$1203,$AF177-1200)=0,"",INDEX(对接源_02物料!$C$4:$C$1203,$AF177-1200))))</f>
      </c>
      <c r="F177" s="61">
        <f>IF($AF177="","",IF($AF177&lt;=1200,IF(INDEX(对接源_01水果!$W$4:$W$1203,$AF177)=0,"",INDEX(对接源_01水果!$W$4:$W$1203,$AF177)),IF(INDEX(对接源_02物料!$W$4:$W$1203,$AF177-1200)=0,"",INDEX(对接源_02物料!$W$4:$W$1203,$AF177-1200))))</f>
      </c>
      <c r="G177" s="64">
        <f>IF($AF177="","",IF($AF177&lt;=1200,IF(INDEX(对接源_01水果!$D$4:$D$1203,$AF177)=0,"",INDEX(对接源_01水果!$D$4:$D$1203,$AF177)),IF(INDEX(对接源_02物料!$D$4:$D$1203,$AF177-1200)=0,"",INDEX(对接源_02物料!$D$4:$D$1203,$AF177-1200))))</f>
      </c>
      <c r="H177" s="61">
        <f>IF($AF177="","",IF($AF177&lt;=1200,"01水果册","02物料册"))</f>
      </c>
      <c r="I177" s="64">
        <f>IF($AF177="","",IF($AF177&lt;=1200,IF(INDEX(对接源_01水果!$M$4:$M$1203,$AF177)=0,"",INDEX(对接源_01水果!$M$4:$M$1203,$AF177)),IF(INDEX(对接源_02物料!$M$4:$M$1203,$AF177-1200)=0,"",INDEX(对接源_02物料!$M$4:$M$1203,$AF177-1200))))</f>
      </c>
      <c r="AF177" s="2">
        <f>IFERROR(MATCH(69,_自动清单!$Y$4:$Y$2403,0),"")</f>
      </c>
    </row>
    <row r="178" ht="18" customHeight="1" s="127">
      <c r="A178" s="165">
        <f>IF($AF178="","",IF($AF178&lt;=1200,IF(INDEX(对接源_01水果!$B$4:$B$1203,$AF178)=0,"",INDEX(对接源_01水果!$B$4:$B$1203,$AF178)),IF(INDEX(对接源_02物料!$B$4:$B$1203,$AF178-1200)=0,"",INDEX(对接源_02物料!$B$4:$B$1203,$AF178-1200))))</f>
      </c>
      <c r="B178" s="107">
        <f>IF($AF178="","",IF($AF178&lt;=1200,IF(INDEX(对接源_01水果!$S$4:$S$1203,$AF178)=0,"",INDEX(对接源_01水果!$S$4:$S$1203,$AF178)),IF(INDEX(对接源_02物料!$S$4:$S$1203,$AF178-1200)=0,"",INDEX(对接源_02物料!$S$4:$S$1203,$AF178-1200))))</f>
      </c>
      <c r="C178" s="104">
        <f>IF($AF178="","",IF($AF178&lt;=1200,IF(INDEX(对接源_01水果!$E$4:$E$1203,$AF178)=0,"",INDEX(对接源_01水果!$E$4:$E$1203,$AF178)),IF(INDEX(对接源_02物料!$E$4:$E$1203,$AF178-1200)=0,"",INDEX(对接源_02物料!$E$4:$E$1203,$AF178-1200))))</f>
      </c>
      <c r="D178" s="166">
        <f>IF($AF178="","",IF($AF178&lt;=1200,IF(INDEX(对接源_01水果!$T$4:$T$1203,$AF178)=0,"",INDEX(对接源_01水果!$T$4:$T$1203,$AF178)),IF(INDEX(对接源_02物料!$T$4:$T$1203,$AF178-1200)=0,"",INDEX(对接源_02物料!$T$4:$T$1203,$AF178-1200))))</f>
      </c>
      <c r="E178" s="107">
        <f>IF($AF178="","",IF($AF178&lt;=1200,IF(INDEX(对接源_01水果!$C$4:$C$1203,$AF178)=0,"",INDEX(对接源_01水果!$C$4:$C$1203,$AF178)),IF(INDEX(对接源_02物料!$C$4:$C$1203,$AF178-1200)=0,"",INDEX(对接源_02物料!$C$4:$C$1203,$AF178-1200))))</f>
      </c>
      <c r="F178" s="104">
        <f>IF($AF178="","",IF($AF178&lt;=1200,IF(INDEX(对接源_01水果!$W$4:$W$1203,$AF178)=0,"",INDEX(对接源_01水果!$W$4:$W$1203,$AF178)),IF(INDEX(对接源_02物料!$W$4:$W$1203,$AF178-1200)=0,"",INDEX(对接源_02物料!$W$4:$W$1203,$AF178-1200))))</f>
      </c>
      <c r="G178" s="107">
        <f>IF($AF178="","",IF($AF178&lt;=1200,IF(INDEX(对接源_01水果!$D$4:$D$1203,$AF178)=0,"",INDEX(对接源_01水果!$D$4:$D$1203,$AF178)),IF(INDEX(对接源_02物料!$D$4:$D$1203,$AF178-1200)=0,"",INDEX(对接源_02物料!$D$4:$D$1203,$AF178-1200))))</f>
      </c>
      <c r="H178" s="104">
        <f>IF($AF178="","",IF($AF178&lt;=1200,"01水果册","02物料册"))</f>
      </c>
      <c r="I178" s="107">
        <f>IF($AF178="","",IF($AF178&lt;=1200,IF(INDEX(对接源_01水果!$M$4:$M$1203,$AF178)=0,"",INDEX(对接源_01水果!$M$4:$M$1203,$AF178)),IF(INDEX(对接源_02物料!$M$4:$M$1203,$AF178-1200)=0,"",INDEX(对接源_02物料!$M$4:$M$1203,$AF178-1200))))</f>
      </c>
      <c r="AF178" s="2">
        <f>IFERROR(MATCH(70,_自动清单!$Y$4:$Y$2403,0),"")</f>
      </c>
    </row>
    <row r="179" ht="18" customHeight="1" s="127">
      <c r="A179" s="163">
        <f>IF($AF179="","",IF($AF179&lt;=1200,IF(INDEX(对接源_01水果!$B$4:$B$1203,$AF179)=0,"",INDEX(对接源_01水果!$B$4:$B$1203,$AF179)),IF(INDEX(对接源_02物料!$B$4:$B$1203,$AF179-1200)=0,"",INDEX(对接源_02物料!$B$4:$B$1203,$AF179-1200))))</f>
      </c>
      <c r="B179" s="64">
        <f>IF($AF179="","",IF($AF179&lt;=1200,IF(INDEX(对接源_01水果!$S$4:$S$1203,$AF179)=0,"",INDEX(对接源_01水果!$S$4:$S$1203,$AF179)),IF(INDEX(对接源_02物料!$S$4:$S$1203,$AF179-1200)=0,"",INDEX(对接源_02物料!$S$4:$S$1203,$AF179-1200))))</f>
      </c>
      <c r="C179" s="61">
        <f>IF($AF179="","",IF($AF179&lt;=1200,IF(INDEX(对接源_01水果!$E$4:$E$1203,$AF179)=0,"",INDEX(对接源_01水果!$E$4:$E$1203,$AF179)),IF(INDEX(对接源_02物料!$E$4:$E$1203,$AF179-1200)=0,"",INDEX(对接源_02物料!$E$4:$E$1203,$AF179-1200))))</f>
      </c>
      <c r="D179" s="164">
        <f>IF($AF179="","",IF($AF179&lt;=1200,IF(INDEX(对接源_01水果!$T$4:$T$1203,$AF179)=0,"",INDEX(对接源_01水果!$T$4:$T$1203,$AF179)),IF(INDEX(对接源_02物料!$T$4:$T$1203,$AF179-1200)=0,"",INDEX(对接源_02物料!$T$4:$T$1203,$AF179-1200))))</f>
      </c>
      <c r="E179" s="64">
        <f>IF($AF179="","",IF($AF179&lt;=1200,IF(INDEX(对接源_01水果!$C$4:$C$1203,$AF179)=0,"",INDEX(对接源_01水果!$C$4:$C$1203,$AF179)),IF(INDEX(对接源_02物料!$C$4:$C$1203,$AF179-1200)=0,"",INDEX(对接源_02物料!$C$4:$C$1203,$AF179-1200))))</f>
      </c>
      <c r="F179" s="61">
        <f>IF($AF179="","",IF($AF179&lt;=1200,IF(INDEX(对接源_01水果!$W$4:$W$1203,$AF179)=0,"",INDEX(对接源_01水果!$W$4:$W$1203,$AF179)),IF(INDEX(对接源_02物料!$W$4:$W$1203,$AF179-1200)=0,"",INDEX(对接源_02物料!$W$4:$W$1203,$AF179-1200))))</f>
      </c>
      <c r="G179" s="64">
        <f>IF($AF179="","",IF($AF179&lt;=1200,IF(INDEX(对接源_01水果!$D$4:$D$1203,$AF179)=0,"",INDEX(对接源_01水果!$D$4:$D$1203,$AF179)),IF(INDEX(对接源_02物料!$D$4:$D$1203,$AF179-1200)=0,"",INDEX(对接源_02物料!$D$4:$D$1203,$AF179-1200))))</f>
      </c>
      <c r="H179" s="61">
        <f>IF($AF179="","",IF($AF179&lt;=1200,"01水果册","02物料册"))</f>
      </c>
      <c r="I179" s="64">
        <f>IF($AF179="","",IF($AF179&lt;=1200,IF(INDEX(对接源_01水果!$M$4:$M$1203,$AF179)=0,"",INDEX(对接源_01水果!$M$4:$M$1203,$AF179)),IF(INDEX(对接源_02物料!$M$4:$M$1203,$AF179-1200)=0,"",INDEX(对接源_02物料!$M$4:$M$1203,$AF179-1200))))</f>
      </c>
      <c r="AF179" s="2">
        <f>IFERROR(MATCH(71,_自动清单!$Y$4:$Y$2403,0),"")</f>
      </c>
    </row>
    <row r="180" ht="18" customHeight="1" s="127">
      <c r="A180" s="165">
        <f>IF($AF180="","",IF($AF180&lt;=1200,IF(INDEX(对接源_01水果!$B$4:$B$1203,$AF180)=0,"",INDEX(对接源_01水果!$B$4:$B$1203,$AF180)),IF(INDEX(对接源_02物料!$B$4:$B$1203,$AF180-1200)=0,"",INDEX(对接源_02物料!$B$4:$B$1203,$AF180-1200))))</f>
      </c>
      <c r="B180" s="107">
        <f>IF($AF180="","",IF($AF180&lt;=1200,IF(INDEX(对接源_01水果!$S$4:$S$1203,$AF180)=0,"",INDEX(对接源_01水果!$S$4:$S$1203,$AF180)),IF(INDEX(对接源_02物料!$S$4:$S$1203,$AF180-1200)=0,"",INDEX(对接源_02物料!$S$4:$S$1203,$AF180-1200))))</f>
      </c>
      <c r="C180" s="104">
        <f>IF($AF180="","",IF($AF180&lt;=1200,IF(INDEX(对接源_01水果!$E$4:$E$1203,$AF180)=0,"",INDEX(对接源_01水果!$E$4:$E$1203,$AF180)),IF(INDEX(对接源_02物料!$E$4:$E$1203,$AF180-1200)=0,"",INDEX(对接源_02物料!$E$4:$E$1203,$AF180-1200))))</f>
      </c>
      <c r="D180" s="166">
        <f>IF($AF180="","",IF($AF180&lt;=1200,IF(INDEX(对接源_01水果!$T$4:$T$1203,$AF180)=0,"",INDEX(对接源_01水果!$T$4:$T$1203,$AF180)),IF(INDEX(对接源_02物料!$T$4:$T$1203,$AF180-1200)=0,"",INDEX(对接源_02物料!$T$4:$T$1203,$AF180-1200))))</f>
      </c>
      <c r="E180" s="107">
        <f>IF($AF180="","",IF($AF180&lt;=1200,IF(INDEX(对接源_01水果!$C$4:$C$1203,$AF180)=0,"",INDEX(对接源_01水果!$C$4:$C$1203,$AF180)),IF(INDEX(对接源_02物料!$C$4:$C$1203,$AF180-1200)=0,"",INDEX(对接源_02物料!$C$4:$C$1203,$AF180-1200))))</f>
      </c>
      <c r="F180" s="104">
        <f>IF($AF180="","",IF($AF180&lt;=1200,IF(INDEX(对接源_01水果!$W$4:$W$1203,$AF180)=0,"",INDEX(对接源_01水果!$W$4:$W$1203,$AF180)),IF(INDEX(对接源_02物料!$W$4:$W$1203,$AF180-1200)=0,"",INDEX(对接源_02物料!$W$4:$W$1203,$AF180-1200))))</f>
      </c>
      <c r="G180" s="107">
        <f>IF($AF180="","",IF($AF180&lt;=1200,IF(INDEX(对接源_01水果!$D$4:$D$1203,$AF180)=0,"",INDEX(对接源_01水果!$D$4:$D$1203,$AF180)),IF(INDEX(对接源_02物料!$D$4:$D$1203,$AF180-1200)=0,"",INDEX(对接源_02物料!$D$4:$D$1203,$AF180-1200))))</f>
      </c>
      <c r="H180" s="104">
        <f>IF($AF180="","",IF($AF180&lt;=1200,"01水果册","02物料册"))</f>
      </c>
      <c r="I180" s="107">
        <f>IF($AF180="","",IF($AF180&lt;=1200,IF(INDEX(对接源_01水果!$M$4:$M$1203,$AF180)=0,"",INDEX(对接源_01水果!$M$4:$M$1203,$AF180)),IF(INDEX(对接源_02物料!$M$4:$M$1203,$AF180-1200)=0,"",INDEX(对接源_02物料!$M$4:$M$1203,$AF180-1200))))</f>
      </c>
      <c r="AF180" s="2">
        <f>IFERROR(MATCH(72,_自动清单!$Y$4:$Y$2403,0),"")</f>
      </c>
    </row>
    <row r="181" ht="18" customHeight="1" s="127">
      <c r="A181" s="163">
        <f>IF($AF181="","",IF($AF181&lt;=1200,IF(INDEX(对接源_01水果!$B$4:$B$1203,$AF181)=0,"",INDEX(对接源_01水果!$B$4:$B$1203,$AF181)),IF(INDEX(对接源_02物料!$B$4:$B$1203,$AF181-1200)=0,"",INDEX(对接源_02物料!$B$4:$B$1203,$AF181-1200))))</f>
      </c>
      <c r="B181" s="64">
        <f>IF($AF181="","",IF($AF181&lt;=1200,IF(INDEX(对接源_01水果!$S$4:$S$1203,$AF181)=0,"",INDEX(对接源_01水果!$S$4:$S$1203,$AF181)),IF(INDEX(对接源_02物料!$S$4:$S$1203,$AF181-1200)=0,"",INDEX(对接源_02物料!$S$4:$S$1203,$AF181-1200))))</f>
      </c>
      <c r="C181" s="61">
        <f>IF($AF181="","",IF($AF181&lt;=1200,IF(INDEX(对接源_01水果!$E$4:$E$1203,$AF181)=0,"",INDEX(对接源_01水果!$E$4:$E$1203,$AF181)),IF(INDEX(对接源_02物料!$E$4:$E$1203,$AF181-1200)=0,"",INDEX(对接源_02物料!$E$4:$E$1203,$AF181-1200))))</f>
      </c>
      <c r="D181" s="164">
        <f>IF($AF181="","",IF($AF181&lt;=1200,IF(INDEX(对接源_01水果!$T$4:$T$1203,$AF181)=0,"",INDEX(对接源_01水果!$T$4:$T$1203,$AF181)),IF(INDEX(对接源_02物料!$T$4:$T$1203,$AF181-1200)=0,"",INDEX(对接源_02物料!$T$4:$T$1203,$AF181-1200))))</f>
      </c>
      <c r="E181" s="64">
        <f>IF($AF181="","",IF($AF181&lt;=1200,IF(INDEX(对接源_01水果!$C$4:$C$1203,$AF181)=0,"",INDEX(对接源_01水果!$C$4:$C$1203,$AF181)),IF(INDEX(对接源_02物料!$C$4:$C$1203,$AF181-1200)=0,"",INDEX(对接源_02物料!$C$4:$C$1203,$AF181-1200))))</f>
      </c>
      <c r="F181" s="61">
        <f>IF($AF181="","",IF($AF181&lt;=1200,IF(INDEX(对接源_01水果!$W$4:$W$1203,$AF181)=0,"",INDEX(对接源_01水果!$W$4:$W$1203,$AF181)),IF(INDEX(对接源_02物料!$W$4:$W$1203,$AF181-1200)=0,"",INDEX(对接源_02物料!$W$4:$W$1203,$AF181-1200))))</f>
      </c>
      <c r="G181" s="64">
        <f>IF($AF181="","",IF($AF181&lt;=1200,IF(INDEX(对接源_01水果!$D$4:$D$1203,$AF181)=0,"",INDEX(对接源_01水果!$D$4:$D$1203,$AF181)),IF(INDEX(对接源_02物料!$D$4:$D$1203,$AF181-1200)=0,"",INDEX(对接源_02物料!$D$4:$D$1203,$AF181-1200))))</f>
      </c>
      <c r="H181" s="61">
        <f>IF($AF181="","",IF($AF181&lt;=1200,"01水果册","02物料册"))</f>
      </c>
      <c r="I181" s="64">
        <f>IF($AF181="","",IF($AF181&lt;=1200,IF(INDEX(对接源_01水果!$M$4:$M$1203,$AF181)=0,"",INDEX(对接源_01水果!$M$4:$M$1203,$AF181)),IF(INDEX(对接源_02物料!$M$4:$M$1203,$AF181-1200)=0,"",INDEX(对接源_02物料!$M$4:$M$1203,$AF181-1200))))</f>
      </c>
      <c r="AF181" s="2">
        <f>IFERROR(MATCH(73,_自动清单!$Y$4:$Y$2403,0),"")</f>
      </c>
    </row>
    <row r="182" ht="18" customHeight="1" s="127">
      <c r="A182" s="165">
        <f>IF($AF182="","",IF($AF182&lt;=1200,IF(INDEX(对接源_01水果!$B$4:$B$1203,$AF182)=0,"",INDEX(对接源_01水果!$B$4:$B$1203,$AF182)),IF(INDEX(对接源_02物料!$B$4:$B$1203,$AF182-1200)=0,"",INDEX(对接源_02物料!$B$4:$B$1203,$AF182-1200))))</f>
      </c>
      <c r="B182" s="107">
        <f>IF($AF182="","",IF($AF182&lt;=1200,IF(INDEX(对接源_01水果!$S$4:$S$1203,$AF182)=0,"",INDEX(对接源_01水果!$S$4:$S$1203,$AF182)),IF(INDEX(对接源_02物料!$S$4:$S$1203,$AF182-1200)=0,"",INDEX(对接源_02物料!$S$4:$S$1203,$AF182-1200))))</f>
      </c>
      <c r="C182" s="104">
        <f>IF($AF182="","",IF($AF182&lt;=1200,IF(INDEX(对接源_01水果!$E$4:$E$1203,$AF182)=0,"",INDEX(对接源_01水果!$E$4:$E$1203,$AF182)),IF(INDEX(对接源_02物料!$E$4:$E$1203,$AF182-1200)=0,"",INDEX(对接源_02物料!$E$4:$E$1203,$AF182-1200))))</f>
      </c>
      <c r="D182" s="166">
        <f>IF($AF182="","",IF($AF182&lt;=1200,IF(INDEX(对接源_01水果!$T$4:$T$1203,$AF182)=0,"",INDEX(对接源_01水果!$T$4:$T$1203,$AF182)),IF(INDEX(对接源_02物料!$T$4:$T$1203,$AF182-1200)=0,"",INDEX(对接源_02物料!$T$4:$T$1203,$AF182-1200))))</f>
      </c>
      <c r="E182" s="107">
        <f>IF($AF182="","",IF($AF182&lt;=1200,IF(INDEX(对接源_01水果!$C$4:$C$1203,$AF182)=0,"",INDEX(对接源_01水果!$C$4:$C$1203,$AF182)),IF(INDEX(对接源_02物料!$C$4:$C$1203,$AF182-1200)=0,"",INDEX(对接源_02物料!$C$4:$C$1203,$AF182-1200))))</f>
      </c>
      <c r="F182" s="104">
        <f>IF($AF182="","",IF($AF182&lt;=1200,IF(INDEX(对接源_01水果!$W$4:$W$1203,$AF182)=0,"",INDEX(对接源_01水果!$W$4:$W$1203,$AF182)),IF(INDEX(对接源_02物料!$W$4:$W$1203,$AF182-1200)=0,"",INDEX(对接源_02物料!$W$4:$W$1203,$AF182-1200))))</f>
      </c>
      <c r="G182" s="107">
        <f>IF($AF182="","",IF($AF182&lt;=1200,IF(INDEX(对接源_01水果!$D$4:$D$1203,$AF182)=0,"",INDEX(对接源_01水果!$D$4:$D$1203,$AF182)),IF(INDEX(对接源_02物料!$D$4:$D$1203,$AF182-1200)=0,"",INDEX(对接源_02物料!$D$4:$D$1203,$AF182-1200))))</f>
      </c>
      <c r="H182" s="104">
        <f>IF($AF182="","",IF($AF182&lt;=1200,"01水果册","02物料册"))</f>
      </c>
      <c r="I182" s="107">
        <f>IF($AF182="","",IF($AF182&lt;=1200,IF(INDEX(对接源_01水果!$M$4:$M$1203,$AF182)=0,"",INDEX(对接源_01水果!$M$4:$M$1203,$AF182)),IF(INDEX(对接源_02物料!$M$4:$M$1203,$AF182-1200)=0,"",INDEX(对接源_02物料!$M$4:$M$1203,$AF182-1200))))</f>
      </c>
      <c r="AF182" s="2">
        <f>IFERROR(MATCH(74,_自动清单!$Y$4:$Y$2403,0),"")</f>
      </c>
    </row>
    <row r="183" ht="18" customHeight="1" s="127">
      <c r="A183" s="163">
        <f>IF($AF183="","",IF($AF183&lt;=1200,IF(INDEX(对接源_01水果!$B$4:$B$1203,$AF183)=0,"",INDEX(对接源_01水果!$B$4:$B$1203,$AF183)),IF(INDEX(对接源_02物料!$B$4:$B$1203,$AF183-1200)=0,"",INDEX(对接源_02物料!$B$4:$B$1203,$AF183-1200))))</f>
      </c>
      <c r="B183" s="64">
        <f>IF($AF183="","",IF($AF183&lt;=1200,IF(INDEX(对接源_01水果!$S$4:$S$1203,$AF183)=0,"",INDEX(对接源_01水果!$S$4:$S$1203,$AF183)),IF(INDEX(对接源_02物料!$S$4:$S$1203,$AF183-1200)=0,"",INDEX(对接源_02物料!$S$4:$S$1203,$AF183-1200))))</f>
      </c>
      <c r="C183" s="61">
        <f>IF($AF183="","",IF($AF183&lt;=1200,IF(INDEX(对接源_01水果!$E$4:$E$1203,$AF183)=0,"",INDEX(对接源_01水果!$E$4:$E$1203,$AF183)),IF(INDEX(对接源_02物料!$E$4:$E$1203,$AF183-1200)=0,"",INDEX(对接源_02物料!$E$4:$E$1203,$AF183-1200))))</f>
      </c>
      <c r="D183" s="164">
        <f>IF($AF183="","",IF($AF183&lt;=1200,IF(INDEX(对接源_01水果!$T$4:$T$1203,$AF183)=0,"",INDEX(对接源_01水果!$T$4:$T$1203,$AF183)),IF(INDEX(对接源_02物料!$T$4:$T$1203,$AF183-1200)=0,"",INDEX(对接源_02物料!$T$4:$T$1203,$AF183-1200))))</f>
      </c>
      <c r="E183" s="64">
        <f>IF($AF183="","",IF($AF183&lt;=1200,IF(INDEX(对接源_01水果!$C$4:$C$1203,$AF183)=0,"",INDEX(对接源_01水果!$C$4:$C$1203,$AF183)),IF(INDEX(对接源_02物料!$C$4:$C$1203,$AF183-1200)=0,"",INDEX(对接源_02物料!$C$4:$C$1203,$AF183-1200))))</f>
      </c>
      <c r="F183" s="61">
        <f>IF($AF183="","",IF($AF183&lt;=1200,IF(INDEX(对接源_01水果!$W$4:$W$1203,$AF183)=0,"",INDEX(对接源_01水果!$W$4:$W$1203,$AF183)),IF(INDEX(对接源_02物料!$W$4:$W$1203,$AF183-1200)=0,"",INDEX(对接源_02物料!$W$4:$W$1203,$AF183-1200))))</f>
      </c>
      <c r="G183" s="64">
        <f>IF($AF183="","",IF($AF183&lt;=1200,IF(INDEX(对接源_01水果!$D$4:$D$1203,$AF183)=0,"",INDEX(对接源_01水果!$D$4:$D$1203,$AF183)),IF(INDEX(对接源_02物料!$D$4:$D$1203,$AF183-1200)=0,"",INDEX(对接源_02物料!$D$4:$D$1203,$AF183-1200))))</f>
      </c>
      <c r="H183" s="61">
        <f>IF($AF183="","",IF($AF183&lt;=1200,"01水果册","02物料册"))</f>
      </c>
      <c r="I183" s="64">
        <f>IF($AF183="","",IF($AF183&lt;=1200,IF(INDEX(对接源_01水果!$M$4:$M$1203,$AF183)=0,"",INDEX(对接源_01水果!$M$4:$M$1203,$AF183)),IF(INDEX(对接源_02物料!$M$4:$M$1203,$AF183-1200)=0,"",INDEX(对接源_02物料!$M$4:$M$1203,$AF183-1200))))</f>
      </c>
      <c r="AF183" s="2">
        <f>IFERROR(MATCH(75,_自动清单!$Y$4:$Y$2403,0),"")</f>
      </c>
    </row>
    <row r="184" ht="18" customHeight="1" s="127">
      <c r="A184" s="165">
        <f>IF($AF184="","",IF($AF184&lt;=1200,IF(INDEX(对接源_01水果!$B$4:$B$1203,$AF184)=0,"",INDEX(对接源_01水果!$B$4:$B$1203,$AF184)),IF(INDEX(对接源_02物料!$B$4:$B$1203,$AF184-1200)=0,"",INDEX(对接源_02物料!$B$4:$B$1203,$AF184-1200))))</f>
      </c>
      <c r="B184" s="107">
        <f>IF($AF184="","",IF($AF184&lt;=1200,IF(INDEX(对接源_01水果!$S$4:$S$1203,$AF184)=0,"",INDEX(对接源_01水果!$S$4:$S$1203,$AF184)),IF(INDEX(对接源_02物料!$S$4:$S$1203,$AF184-1200)=0,"",INDEX(对接源_02物料!$S$4:$S$1203,$AF184-1200))))</f>
      </c>
      <c r="C184" s="104">
        <f>IF($AF184="","",IF($AF184&lt;=1200,IF(INDEX(对接源_01水果!$E$4:$E$1203,$AF184)=0,"",INDEX(对接源_01水果!$E$4:$E$1203,$AF184)),IF(INDEX(对接源_02物料!$E$4:$E$1203,$AF184-1200)=0,"",INDEX(对接源_02物料!$E$4:$E$1203,$AF184-1200))))</f>
      </c>
      <c r="D184" s="166">
        <f>IF($AF184="","",IF($AF184&lt;=1200,IF(INDEX(对接源_01水果!$T$4:$T$1203,$AF184)=0,"",INDEX(对接源_01水果!$T$4:$T$1203,$AF184)),IF(INDEX(对接源_02物料!$T$4:$T$1203,$AF184-1200)=0,"",INDEX(对接源_02物料!$T$4:$T$1203,$AF184-1200))))</f>
      </c>
      <c r="E184" s="107">
        <f>IF($AF184="","",IF($AF184&lt;=1200,IF(INDEX(对接源_01水果!$C$4:$C$1203,$AF184)=0,"",INDEX(对接源_01水果!$C$4:$C$1203,$AF184)),IF(INDEX(对接源_02物料!$C$4:$C$1203,$AF184-1200)=0,"",INDEX(对接源_02物料!$C$4:$C$1203,$AF184-1200))))</f>
      </c>
      <c r="F184" s="104">
        <f>IF($AF184="","",IF($AF184&lt;=1200,IF(INDEX(对接源_01水果!$W$4:$W$1203,$AF184)=0,"",INDEX(对接源_01水果!$W$4:$W$1203,$AF184)),IF(INDEX(对接源_02物料!$W$4:$W$1203,$AF184-1200)=0,"",INDEX(对接源_02物料!$W$4:$W$1203,$AF184-1200))))</f>
      </c>
      <c r="G184" s="107">
        <f>IF($AF184="","",IF($AF184&lt;=1200,IF(INDEX(对接源_01水果!$D$4:$D$1203,$AF184)=0,"",INDEX(对接源_01水果!$D$4:$D$1203,$AF184)),IF(INDEX(对接源_02物料!$D$4:$D$1203,$AF184-1200)=0,"",INDEX(对接源_02物料!$D$4:$D$1203,$AF184-1200))))</f>
      </c>
      <c r="H184" s="104">
        <f>IF($AF184="","",IF($AF184&lt;=1200,"01水果册","02物料册"))</f>
      </c>
      <c r="I184" s="107">
        <f>IF($AF184="","",IF($AF184&lt;=1200,IF(INDEX(对接源_01水果!$M$4:$M$1203,$AF184)=0,"",INDEX(对接源_01水果!$M$4:$M$1203,$AF184)),IF(INDEX(对接源_02物料!$M$4:$M$1203,$AF184-1200)=0,"",INDEX(对接源_02物料!$M$4:$M$1203,$AF184-1200))))</f>
      </c>
      <c r="AF184" s="2">
        <f>IFERROR(MATCH(76,_自动清单!$Y$4:$Y$2403,0),"")</f>
      </c>
    </row>
    <row r="185" ht="18" customHeight="1" s="127">
      <c r="A185" s="163">
        <f>IF($AF185="","",IF($AF185&lt;=1200,IF(INDEX(对接源_01水果!$B$4:$B$1203,$AF185)=0,"",INDEX(对接源_01水果!$B$4:$B$1203,$AF185)),IF(INDEX(对接源_02物料!$B$4:$B$1203,$AF185-1200)=0,"",INDEX(对接源_02物料!$B$4:$B$1203,$AF185-1200))))</f>
      </c>
      <c r="B185" s="64">
        <f>IF($AF185="","",IF($AF185&lt;=1200,IF(INDEX(对接源_01水果!$S$4:$S$1203,$AF185)=0,"",INDEX(对接源_01水果!$S$4:$S$1203,$AF185)),IF(INDEX(对接源_02物料!$S$4:$S$1203,$AF185-1200)=0,"",INDEX(对接源_02物料!$S$4:$S$1203,$AF185-1200))))</f>
      </c>
      <c r="C185" s="61">
        <f>IF($AF185="","",IF($AF185&lt;=1200,IF(INDEX(对接源_01水果!$E$4:$E$1203,$AF185)=0,"",INDEX(对接源_01水果!$E$4:$E$1203,$AF185)),IF(INDEX(对接源_02物料!$E$4:$E$1203,$AF185-1200)=0,"",INDEX(对接源_02物料!$E$4:$E$1203,$AF185-1200))))</f>
      </c>
      <c r="D185" s="164">
        <f>IF($AF185="","",IF($AF185&lt;=1200,IF(INDEX(对接源_01水果!$T$4:$T$1203,$AF185)=0,"",INDEX(对接源_01水果!$T$4:$T$1203,$AF185)),IF(INDEX(对接源_02物料!$T$4:$T$1203,$AF185-1200)=0,"",INDEX(对接源_02物料!$T$4:$T$1203,$AF185-1200))))</f>
      </c>
      <c r="E185" s="64">
        <f>IF($AF185="","",IF($AF185&lt;=1200,IF(INDEX(对接源_01水果!$C$4:$C$1203,$AF185)=0,"",INDEX(对接源_01水果!$C$4:$C$1203,$AF185)),IF(INDEX(对接源_02物料!$C$4:$C$1203,$AF185-1200)=0,"",INDEX(对接源_02物料!$C$4:$C$1203,$AF185-1200))))</f>
      </c>
      <c r="F185" s="61">
        <f>IF($AF185="","",IF($AF185&lt;=1200,IF(INDEX(对接源_01水果!$W$4:$W$1203,$AF185)=0,"",INDEX(对接源_01水果!$W$4:$W$1203,$AF185)),IF(INDEX(对接源_02物料!$W$4:$W$1203,$AF185-1200)=0,"",INDEX(对接源_02物料!$W$4:$W$1203,$AF185-1200))))</f>
      </c>
      <c r="G185" s="64">
        <f>IF($AF185="","",IF($AF185&lt;=1200,IF(INDEX(对接源_01水果!$D$4:$D$1203,$AF185)=0,"",INDEX(对接源_01水果!$D$4:$D$1203,$AF185)),IF(INDEX(对接源_02物料!$D$4:$D$1203,$AF185-1200)=0,"",INDEX(对接源_02物料!$D$4:$D$1203,$AF185-1200))))</f>
      </c>
      <c r="H185" s="61">
        <f>IF($AF185="","",IF($AF185&lt;=1200,"01水果册","02物料册"))</f>
      </c>
      <c r="I185" s="64">
        <f>IF($AF185="","",IF($AF185&lt;=1200,IF(INDEX(对接源_01水果!$M$4:$M$1203,$AF185)=0,"",INDEX(对接源_01水果!$M$4:$M$1203,$AF185)),IF(INDEX(对接源_02物料!$M$4:$M$1203,$AF185-1200)=0,"",INDEX(对接源_02物料!$M$4:$M$1203,$AF185-1200))))</f>
      </c>
      <c r="AF185" s="2">
        <f>IFERROR(MATCH(77,_自动清单!$Y$4:$Y$2403,0),"")</f>
      </c>
    </row>
    <row r="186" ht="18" customHeight="1" s="127">
      <c r="A186" s="165">
        <f>IF($AF186="","",IF($AF186&lt;=1200,IF(INDEX(对接源_01水果!$B$4:$B$1203,$AF186)=0,"",INDEX(对接源_01水果!$B$4:$B$1203,$AF186)),IF(INDEX(对接源_02物料!$B$4:$B$1203,$AF186-1200)=0,"",INDEX(对接源_02物料!$B$4:$B$1203,$AF186-1200))))</f>
      </c>
      <c r="B186" s="107">
        <f>IF($AF186="","",IF($AF186&lt;=1200,IF(INDEX(对接源_01水果!$S$4:$S$1203,$AF186)=0,"",INDEX(对接源_01水果!$S$4:$S$1203,$AF186)),IF(INDEX(对接源_02物料!$S$4:$S$1203,$AF186-1200)=0,"",INDEX(对接源_02物料!$S$4:$S$1203,$AF186-1200))))</f>
      </c>
      <c r="C186" s="104">
        <f>IF($AF186="","",IF($AF186&lt;=1200,IF(INDEX(对接源_01水果!$E$4:$E$1203,$AF186)=0,"",INDEX(对接源_01水果!$E$4:$E$1203,$AF186)),IF(INDEX(对接源_02物料!$E$4:$E$1203,$AF186-1200)=0,"",INDEX(对接源_02物料!$E$4:$E$1203,$AF186-1200))))</f>
      </c>
      <c r="D186" s="166">
        <f>IF($AF186="","",IF($AF186&lt;=1200,IF(INDEX(对接源_01水果!$T$4:$T$1203,$AF186)=0,"",INDEX(对接源_01水果!$T$4:$T$1203,$AF186)),IF(INDEX(对接源_02物料!$T$4:$T$1203,$AF186-1200)=0,"",INDEX(对接源_02物料!$T$4:$T$1203,$AF186-1200))))</f>
      </c>
      <c r="E186" s="107">
        <f>IF($AF186="","",IF($AF186&lt;=1200,IF(INDEX(对接源_01水果!$C$4:$C$1203,$AF186)=0,"",INDEX(对接源_01水果!$C$4:$C$1203,$AF186)),IF(INDEX(对接源_02物料!$C$4:$C$1203,$AF186-1200)=0,"",INDEX(对接源_02物料!$C$4:$C$1203,$AF186-1200))))</f>
      </c>
      <c r="F186" s="104">
        <f>IF($AF186="","",IF($AF186&lt;=1200,IF(INDEX(对接源_01水果!$W$4:$W$1203,$AF186)=0,"",INDEX(对接源_01水果!$W$4:$W$1203,$AF186)),IF(INDEX(对接源_02物料!$W$4:$W$1203,$AF186-1200)=0,"",INDEX(对接源_02物料!$W$4:$W$1203,$AF186-1200))))</f>
      </c>
      <c r="G186" s="107">
        <f>IF($AF186="","",IF($AF186&lt;=1200,IF(INDEX(对接源_01水果!$D$4:$D$1203,$AF186)=0,"",INDEX(对接源_01水果!$D$4:$D$1203,$AF186)),IF(INDEX(对接源_02物料!$D$4:$D$1203,$AF186-1200)=0,"",INDEX(对接源_02物料!$D$4:$D$1203,$AF186-1200))))</f>
      </c>
      <c r="H186" s="104">
        <f>IF($AF186="","",IF($AF186&lt;=1200,"01水果册","02物料册"))</f>
      </c>
      <c r="I186" s="107">
        <f>IF($AF186="","",IF($AF186&lt;=1200,IF(INDEX(对接源_01水果!$M$4:$M$1203,$AF186)=0,"",INDEX(对接源_01水果!$M$4:$M$1203,$AF186)),IF(INDEX(对接源_02物料!$M$4:$M$1203,$AF186-1200)=0,"",INDEX(对接源_02物料!$M$4:$M$1203,$AF186-1200))))</f>
      </c>
      <c r="AF186" s="2">
        <f>IFERROR(MATCH(78,_自动清单!$Y$4:$Y$2403,0),"")</f>
      </c>
    </row>
    <row r="187" ht="18" customHeight="1" s="127">
      <c r="A187" s="163">
        <f>IF($AF187="","",IF($AF187&lt;=1200,IF(INDEX(对接源_01水果!$B$4:$B$1203,$AF187)=0,"",INDEX(对接源_01水果!$B$4:$B$1203,$AF187)),IF(INDEX(对接源_02物料!$B$4:$B$1203,$AF187-1200)=0,"",INDEX(对接源_02物料!$B$4:$B$1203,$AF187-1200))))</f>
      </c>
      <c r="B187" s="64">
        <f>IF($AF187="","",IF($AF187&lt;=1200,IF(INDEX(对接源_01水果!$S$4:$S$1203,$AF187)=0,"",INDEX(对接源_01水果!$S$4:$S$1203,$AF187)),IF(INDEX(对接源_02物料!$S$4:$S$1203,$AF187-1200)=0,"",INDEX(对接源_02物料!$S$4:$S$1203,$AF187-1200))))</f>
      </c>
      <c r="C187" s="61">
        <f>IF($AF187="","",IF($AF187&lt;=1200,IF(INDEX(对接源_01水果!$E$4:$E$1203,$AF187)=0,"",INDEX(对接源_01水果!$E$4:$E$1203,$AF187)),IF(INDEX(对接源_02物料!$E$4:$E$1203,$AF187-1200)=0,"",INDEX(对接源_02物料!$E$4:$E$1203,$AF187-1200))))</f>
      </c>
      <c r="D187" s="164">
        <f>IF($AF187="","",IF($AF187&lt;=1200,IF(INDEX(对接源_01水果!$T$4:$T$1203,$AF187)=0,"",INDEX(对接源_01水果!$T$4:$T$1203,$AF187)),IF(INDEX(对接源_02物料!$T$4:$T$1203,$AF187-1200)=0,"",INDEX(对接源_02物料!$T$4:$T$1203,$AF187-1200))))</f>
      </c>
      <c r="E187" s="64">
        <f>IF($AF187="","",IF($AF187&lt;=1200,IF(INDEX(对接源_01水果!$C$4:$C$1203,$AF187)=0,"",INDEX(对接源_01水果!$C$4:$C$1203,$AF187)),IF(INDEX(对接源_02物料!$C$4:$C$1203,$AF187-1200)=0,"",INDEX(对接源_02物料!$C$4:$C$1203,$AF187-1200))))</f>
      </c>
      <c r="F187" s="61">
        <f>IF($AF187="","",IF($AF187&lt;=1200,IF(INDEX(对接源_01水果!$W$4:$W$1203,$AF187)=0,"",INDEX(对接源_01水果!$W$4:$W$1203,$AF187)),IF(INDEX(对接源_02物料!$W$4:$W$1203,$AF187-1200)=0,"",INDEX(对接源_02物料!$W$4:$W$1203,$AF187-1200))))</f>
      </c>
      <c r="G187" s="64">
        <f>IF($AF187="","",IF($AF187&lt;=1200,IF(INDEX(对接源_01水果!$D$4:$D$1203,$AF187)=0,"",INDEX(对接源_01水果!$D$4:$D$1203,$AF187)),IF(INDEX(对接源_02物料!$D$4:$D$1203,$AF187-1200)=0,"",INDEX(对接源_02物料!$D$4:$D$1203,$AF187-1200))))</f>
      </c>
      <c r="H187" s="61">
        <f>IF($AF187="","",IF($AF187&lt;=1200,"01水果册","02物料册"))</f>
      </c>
      <c r="I187" s="64">
        <f>IF($AF187="","",IF($AF187&lt;=1200,IF(INDEX(对接源_01水果!$M$4:$M$1203,$AF187)=0,"",INDEX(对接源_01水果!$M$4:$M$1203,$AF187)),IF(INDEX(对接源_02物料!$M$4:$M$1203,$AF187-1200)=0,"",INDEX(对接源_02物料!$M$4:$M$1203,$AF187-1200))))</f>
      </c>
      <c r="AF187" s="2">
        <f>IFERROR(MATCH(79,_自动清单!$Y$4:$Y$2403,0),"")</f>
      </c>
    </row>
    <row r="188" ht="18" customHeight="1" s="127">
      <c r="A188" s="165">
        <f>IF($AF188="","",IF($AF188&lt;=1200,IF(INDEX(对接源_01水果!$B$4:$B$1203,$AF188)=0,"",INDEX(对接源_01水果!$B$4:$B$1203,$AF188)),IF(INDEX(对接源_02物料!$B$4:$B$1203,$AF188-1200)=0,"",INDEX(对接源_02物料!$B$4:$B$1203,$AF188-1200))))</f>
      </c>
      <c r="B188" s="107">
        <f>IF($AF188="","",IF($AF188&lt;=1200,IF(INDEX(对接源_01水果!$S$4:$S$1203,$AF188)=0,"",INDEX(对接源_01水果!$S$4:$S$1203,$AF188)),IF(INDEX(对接源_02物料!$S$4:$S$1203,$AF188-1200)=0,"",INDEX(对接源_02物料!$S$4:$S$1203,$AF188-1200))))</f>
      </c>
      <c r="C188" s="104">
        <f>IF($AF188="","",IF($AF188&lt;=1200,IF(INDEX(对接源_01水果!$E$4:$E$1203,$AF188)=0,"",INDEX(对接源_01水果!$E$4:$E$1203,$AF188)),IF(INDEX(对接源_02物料!$E$4:$E$1203,$AF188-1200)=0,"",INDEX(对接源_02物料!$E$4:$E$1203,$AF188-1200))))</f>
      </c>
      <c r="D188" s="166">
        <f>IF($AF188="","",IF($AF188&lt;=1200,IF(INDEX(对接源_01水果!$T$4:$T$1203,$AF188)=0,"",INDEX(对接源_01水果!$T$4:$T$1203,$AF188)),IF(INDEX(对接源_02物料!$T$4:$T$1203,$AF188-1200)=0,"",INDEX(对接源_02物料!$T$4:$T$1203,$AF188-1200))))</f>
      </c>
      <c r="E188" s="107">
        <f>IF($AF188="","",IF($AF188&lt;=1200,IF(INDEX(对接源_01水果!$C$4:$C$1203,$AF188)=0,"",INDEX(对接源_01水果!$C$4:$C$1203,$AF188)),IF(INDEX(对接源_02物料!$C$4:$C$1203,$AF188-1200)=0,"",INDEX(对接源_02物料!$C$4:$C$1203,$AF188-1200))))</f>
      </c>
      <c r="F188" s="104">
        <f>IF($AF188="","",IF($AF188&lt;=1200,IF(INDEX(对接源_01水果!$W$4:$W$1203,$AF188)=0,"",INDEX(对接源_01水果!$W$4:$W$1203,$AF188)),IF(INDEX(对接源_02物料!$W$4:$W$1203,$AF188-1200)=0,"",INDEX(对接源_02物料!$W$4:$W$1203,$AF188-1200))))</f>
      </c>
      <c r="G188" s="107">
        <f>IF($AF188="","",IF($AF188&lt;=1200,IF(INDEX(对接源_01水果!$D$4:$D$1203,$AF188)=0,"",INDEX(对接源_01水果!$D$4:$D$1203,$AF188)),IF(INDEX(对接源_02物料!$D$4:$D$1203,$AF188-1200)=0,"",INDEX(对接源_02物料!$D$4:$D$1203,$AF188-1200))))</f>
      </c>
      <c r="H188" s="104">
        <f>IF($AF188="","",IF($AF188&lt;=1200,"01水果册","02物料册"))</f>
      </c>
      <c r="I188" s="107">
        <f>IF($AF188="","",IF($AF188&lt;=1200,IF(INDEX(对接源_01水果!$M$4:$M$1203,$AF188)=0,"",INDEX(对接源_01水果!$M$4:$M$1203,$AF188)),IF(INDEX(对接源_02物料!$M$4:$M$1203,$AF188-1200)=0,"",INDEX(对接源_02物料!$M$4:$M$1203,$AF188-1200))))</f>
      </c>
      <c r="AF188" s="2">
        <f>IFERROR(MATCH(80,_自动清单!$Y$4:$Y$2403,0),"")</f>
      </c>
    </row>
    <row r="189" ht="18" customHeight="1" s="127">
      <c r="A189" s="163">
        <f>IF($AF189="","",IF($AF189&lt;=1200,IF(INDEX(对接源_01水果!$B$4:$B$1203,$AF189)=0,"",INDEX(对接源_01水果!$B$4:$B$1203,$AF189)),IF(INDEX(对接源_02物料!$B$4:$B$1203,$AF189-1200)=0,"",INDEX(对接源_02物料!$B$4:$B$1203,$AF189-1200))))</f>
      </c>
      <c r="B189" s="64">
        <f>IF($AF189="","",IF($AF189&lt;=1200,IF(INDEX(对接源_01水果!$S$4:$S$1203,$AF189)=0,"",INDEX(对接源_01水果!$S$4:$S$1203,$AF189)),IF(INDEX(对接源_02物料!$S$4:$S$1203,$AF189-1200)=0,"",INDEX(对接源_02物料!$S$4:$S$1203,$AF189-1200))))</f>
      </c>
      <c r="C189" s="61">
        <f>IF($AF189="","",IF($AF189&lt;=1200,IF(INDEX(对接源_01水果!$E$4:$E$1203,$AF189)=0,"",INDEX(对接源_01水果!$E$4:$E$1203,$AF189)),IF(INDEX(对接源_02物料!$E$4:$E$1203,$AF189-1200)=0,"",INDEX(对接源_02物料!$E$4:$E$1203,$AF189-1200))))</f>
      </c>
      <c r="D189" s="164">
        <f>IF($AF189="","",IF($AF189&lt;=1200,IF(INDEX(对接源_01水果!$T$4:$T$1203,$AF189)=0,"",INDEX(对接源_01水果!$T$4:$T$1203,$AF189)),IF(INDEX(对接源_02物料!$T$4:$T$1203,$AF189-1200)=0,"",INDEX(对接源_02物料!$T$4:$T$1203,$AF189-1200))))</f>
      </c>
      <c r="E189" s="64">
        <f>IF($AF189="","",IF($AF189&lt;=1200,IF(INDEX(对接源_01水果!$C$4:$C$1203,$AF189)=0,"",INDEX(对接源_01水果!$C$4:$C$1203,$AF189)),IF(INDEX(对接源_02物料!$C$4:$C$1203,$AF189-1200)=0,"",INDEX(对接源_02物料!$C$4:$C$1203,$AF189-1200))))</f>
      </c>
      <c r="F189" s="61">
        <f>IF($AF189="","",IF($AF189&lt;=1200,IF(INDEX(对接源_01水果!$W$4:$W$1203,$AF189)=0,"",INDEX(对接源_01水果!$W$4:$W$1203,$AF189)),IF(INDEX(对接源_02物料!$W$4:$W$1203,$AF189-1200)=0,"",INDEX(对接源_02物料!$W$4:$W$1203,$AF189-1200))))</f>
      </c>
      <c r="G189" s="64">
        <f>IF($AF189="","",IF($AF189&lt;=1200,IF(INDEX(对接源_01水果!$D$4:$D$1203,$AF189)=0,"",INDEX(对接源_01水果!$D$4:$D$1203,$AF189)),IF(INDEX(对接源_02物料!$D$4:$D$1203,$AF189-1200)=0,"",INDEX(对接源_02物料!$D$4:$D$1203,$AF189-1200))))</f>
      </c>
      <c r="H189" s="61">
        <f>IF($AF189="","",IF($AF189&lt;=1200,"01水果册","02物料册"))</f>
      </c>
      <c r="I189" s="64">
        <f>IF($AF189="","",IF($AF189&lt;=1200,IF(INDEX(对接源_01水果!$M$4:$M$1203,$AF189)=0,"",INDEX(对接源_01水果!$M$4:$M$1203,$AF189)),IF(INDEX(对接源_02物料!$M$4:$M$1203,$AF189-1200)=0,"",INDEX(对接源_02物料!$M$4:$M$1203,$AF189-1200))))</f>
      </c>
      <c r="AF189" s="2">
        <f>IFERROR(MATCH(81,_自动清单!$Y$4:$Y$2403,0),"")</f>
      </c>
    </row>
    <row r="190" ht="18" customHeight="1" s="127">
      <c r="A190" s="165">
        <f>IF($AF190="","",IF($AF190&lt;=1200,IF(INDEX(对接源_01水果!$B$4:$B$1203,$AF190)=0,"",INDEX(对接源_01水果!$B$4:$B$1203,$AF190)),IF(INDEX(对接源_02物料!$B$4:$B$1203,$AF190-1200)=0,"",INDEX(对接源_02物料!$B$4:$B$1203,$AF190-1200))))</f>
      </c>
      <c r="B190" s="107">
        <f>IF($AF190="","",IF($AF190&lt;=1200,IF(INDEX(对接源_01水果!$S$4:$S$1203,$AF190)=0,"",INDEX(对接源_01水果!$S$4:$S$1203,$AF190)),IF(INDEX(对接源_02物料!$S$4:$S$1203,$AF190-1200)=0,"",INDEX(对接源_02物料!$S$4:$S$1203,$AF190-1200))))</f>
      </c>
      <c r="C190" s="104">
        <f>IF($AF190="","",IF($AF190&lt;=1200,IF(INDEX(对接源_01水果!$E$4:$E$1203,$AF190)=0,"",INDEX(对接源_01水果!$E$4:$E$1203,$AF190)),IF(INDEX(对接源_02物料!$E$4:$E$1203,$AF190-1200)=0,"",INDEX(对接源_02物料!$E$4:$E$1203,$AF190-1200))))</f>
      </c>
      <c r="D190" s="166">
        <f>IF($AF190="","",IF($AF190&lt;=1200,IF(INDEX(对接源_01水果!$T$4:$T$1203,$AF190)=0,"",INDEX(对接源_01水果!$T$4:$T$1203,$AF190)),IF(INDEX(对接源_02物料!$T$4:$T$1203,$AF190-1200)=0,"",INDEX(对接源_02物料!$T$4:$T$1203,$AF190-1200))))</f>
      </c>
      <c r="E190" s="107">
        <f>IF($AF190="","",IF($AF190&lt;=1200,IF(INDEX(对接源_01水果!$C$4:$C$1203,$AF190)=0,"",INDEX(对接源_01水果!$C$4:$C$1203,$AF190)),IF(INDEX(对接源_02物料!$C$4:$C$1203,$AF190-1200)=0,"",INDEX(对接源_02物料!$C$4:$C$1203,$AF190-1200))))</f>
      </c>
      <c r="F190" s="104">
        <f>IF($AF190="","",IF($AF190&lt;=1200,IF(INDEX(对接源_01水果!$W$4:$W$1203,$AF190)=0,"",INDEX(对接源_01水果!$W$4:$W$1203,$AF190)),IF(INDEX(对接源_02物料!$W$4:$W$1203,$AF190-1200)=0,"",INDEX(对接源_02物料!$W$4:$W$1203,$AF190-1200))))</f>
      </c>
      <c r="G190" s="107">
        <f>IF($AF190="","",IF($AF190&lt;=1200,IF(INDEX(对接源_01水果!$D$4:$D$1203,$AF190)=0,"",INDEX(对接源_01水果!$D$4:$D$1203,$AF190)),IF(INDEX(对接源_02物料!$D$4:$D$1203,$AF190-1200)=0,"",INDEX(对接源_02物料!$D$4:$D$1203,$AF190-1200))))</f>
      </c>
      <c r="H190" s="104">
        <f>IF($AF190="","",IF($AF190&lt;=1200,"01水果册","02物料册"))</f>
      </c>
      <c r="I190" s="107">
        <f>IF($AF190="","",IF($AF190&lt;=1200,IF(INDEX(对接源_01水果!$M$4:$M$1203,$AF190)=0,"",INDEX(对接源_01水果!$M$4:$M$1203,$AF190)),IF(INDEX(对接源_02物料!$M$4:$M$1203,$AF190-1200)=0,"",INDEX(对接源_02物料!$M$4:$M$1203,$AF190-1200))))</f>
      </c>
      <c r="AF190" s="2">
        <f>IFERROR(MATCH(82,_自动清单!$Y$4:$Y$2403,0),"")</f>
      </c>
    </row>
    <row r="191" ht="18" customHeight="1" s="127">
      <c r="A191" s="163">
        <f>IF($AF191="","",IF($AF191&lt;=1200,IF(INDEX(对接源_01水果!$B$4:$B$1203,$AF191)=0,"",INDEX(对接源_01水果!$B$4:$B$1203,$AF191)),IF(INDEX(对接源_02物料!$B$4:$B$1203,$AF191-1200)=0,"",INDEX(对接源_02物料!$B$4:$B$1203,$AF191-1200))))</f>
      </c>
      <c r="B191" s="64">
        <f>IF($AF191="","",IF($AF191&lt;=1200,IF(INDEX(对接源_01水果!$S$4:$S$1203,$AF191)=0,"",INDEX(对接源_01水果!$S$4:$S$1203,$AF191)),IF(INDEX(对接源_02物料!$S$4:$S$1203,$AF191-1200)=0,"",INDEX(对接源_02物料!$S$4:$S$1203,$AF191-1200))))</f>
      </c>
      <c r="C191" s="61">
        <f>IF($AF191="","",IF($AF191&lt;=1200,IF(INDEX(对接源_01水果!$E$4:$E$1203,$AF191)=0,"",INDEX(对接源_01水果!$E$4:$E$1203,$AF191)),IF(INDEX(对接源_02物料!$E$4:$E$1203,$AF191-1200)=0,"",INDEX(对接源_02物料!$E$4:$E$1203,$AF191-1200))))</f>
      </c>
      <c r="D191" s="164">
        <f>IF($AF191="","",IF($AF191&lt;=1200,IF(INDEX(对接源_01水果!$T$4:$T$1203,$AF191)=0,"",INDEX(对接源_01水果!$T$4:$T$1203,$AF191)),IF(INDEX(对接源_02物料!$T$4:$T$1203,$AF191-1200)=0,"",INDEX(对接源_02物料!$T$4:$T$1203,$AF191-1200))))</f>
      </c>
      <c r="E191" s="64">
        <f>IF($AF191="","",IF($AF191&lt;=1200,IF(INDEX(对接源_01水果!$C$4:$C$1203,$AF191)=0,"",INDEX(对接源_01水果!$C$4:$C$1203,$AF191)),IF(INDEX(对接源_02物料!$C$4:$C$1203,$AF191-1200)=0,"",INDEX(对接源_02物料!$C$4:$C$1203,$AF191-1200))))</f>
      </c>
      <c r="F191" s="61">
        <f>IF($AF191="","",IF($AF191&lt;=1200,IF(INDEX(对接源_01水果!$W$4:$W$1203,$AF191)=0,"",INDEX(对接源_01水果!$W$4:$W$1203,$AF191)),IF(INDEX(对接源_02物料!$W$4:$W$1203,$AF191-1200)=0,"",INDEX(对接源_02物料!$W$4:$W$1203,$AF191-1200))))</f>
      </c>
      <c r="G191" s="64">
        <f>IF($AF191="","",IF($AF191&lt;=1200,IF(INDEX(对接源_01水果!$D$4:$D$1203,$AF191)=0,"",INDEX(对接源_01水果!$D$4:$D$1203,$AF191)),IF(INDEX(对接源_02物料!$D$4:$D$1203,$AF191-1200)=0,"",INDEX(对接源_02物料!$D$4:$D$1203,$AF191-1200))))</f>
      </c>
      <c r="H191" s="61">
        <f>IF($AF191="","",IF($AF191&lt;=1200,"01水果册","02物料册"))</f>
      </c>
      <c r="I191" s="64">
        <f>IF($AF191="","",IF($AF191&lt;=1200,IF(INDEX(对接源_01水果!$M$4:$M$1203,$AF191)=0,"",INDEX(对接源_01水果!$M$4:$M$1203,$AF191)),IF(INDEX(对接源_02物料!$M$4:$M$1203,$AF191-1200)=0,"",INDEX(对接源_02物料!$M$4:$M$1203,$AF191-1200))))</f>
      </c>
      <c r="AF191" s="2">
        <f>IFERROR(MATCH(83,_自动清单!$Y$4:$Y$2403,0),"")</f>
      </c>
    </row>
    <row r="192" ht="18" customHeight="1" s="127">
      <c r="A192" s="165">
        <f>IF($AF192="","",IF($AF192&lt;=1200,IF(INDEX(对接源_01水果!$B$4:$B$1203,$AF192)=0,"",INDEX(对接源_01水果!$B$4:$B$1203,$AF192)),IF(INDEX(对接源_02物料!$B$4:$B$1203,$AF192-1200)=0,"",INDEX(对接源_02物料!$B$4:$B$1203,$AF192-1200))))</f>
      </c>
      <c r="B192" s="107">
        <f>IF($AF192="","",IF($AF192&lt;=1200,IF(INDEX(对接源_01水果!$S$4:$S$1203,$AF192)=0,"",INDEX(对接源_01水果!$S$4:$S$1203,$AF192)),IF(INDEX(对接源_02物料!$S$4:$S$1203,$AF192-1200)=0,"",INDEX(对接源_02物料!$S$4:$S$1203,$AF192-1200))))</f>
      </c>
      <c r="C192" s="104">
        <f>IF($AF192="","",IF($AF192&lt;=1200,IF(INDEX(对接源_01水果!$E$4:$E$1203,$AF192)=0,"",INDEX(对接源_01水果!$E$4:$E$1203,$AF192)),IF(INDEX(对接源_02物料!$E$4:$E$1203,$AF192-1200)=0,"",INDEX(对接源_02物料!$E$4:$E$1203,$AF192-1200))))</f>
      </c>
      <c r="D192" s="166">
        <f>IF($AF192="","",IF($AF192&lt;=1200,IF(INDEX(对接源_01水果!$T$4:$T$1203,$AF192)=0,"",INDEX(对接源_01水果!$T$4:$T$1203,$AF192)),IF(INDEX(对接源_02物料!$T$4:$T$1203,$AF192-1200)=0,"",INDEX(对接源_02物料!$T$4:$T$1203,$AF192-1200))))</f>
      </c>
      <c r="E192" s="107">
        <f>IF($AF192="","",IF($AF192&lt;=1200,IF(INDEX(对接源_01水果!$C$4:$C$1203,$AF192)=0,"",INDEX(对接源_01水果!$C$4:$C$1203,$AF192)),IF(INDEX(对接源_02物料!$C$4:$C$1203,$AF192-1200)=0,"",INDEX(对接源_02物料!$C$4:$C$1203,$AF192-1200))))</f>
      </c>
      <c r="F192" s="104">
        <f>IF($AF192="","",IF($AF192&lt;=1200,IF(INDEX(对接源_01水果!$W$4:$W$1203,$AF192)=0,"",INDEX(对接源_01水果!$W$4:$W$1203,$AF192)),IF(INDEX(对接源_02物料!$W$4:$W$1203,$AF192-1200)=0,"",INDEX(对接源_02物料!$W$4:$W$1203,$AF192-1200))))</f>
      </c>
      <c r="G192" s="107">
        <f>IF($AF192="","",IF($AF192&lt;=1200,IF(INDEX(对接源_01水果!$D$4:$D$1203,$AF192)=0,"",INDEX(对接源_01水果!$D$4:$D$1203,$AF192)),IF(INDEX(对接源_02物料!$D$4:$D$1203,$AF192-1200)=0,"",INDEX(对接源_02物料!$D$4:$D$1203,$AF192-1200))))</f>
      </c>
      <c r="H192" s="104">
        <f>IF($AF192="","",IF($AF192&lt;=1200,"01水果册","02物料册"))</f>
      </c>
      <c r="I192" s="107">
        <f>IF($AF192="","",IF($AF192&lt;=1200,IF(INDEX(对接源_01水果!$M$4:$M$1203,$AF192)=0,"",INDEX(对接源_01水果!$M$4:$M$1203,$AF192)),IF(INDEX(对接源_02物料!$M$4:$M$1203,$AF192-1200)=0,"",INDEX(对接源_02物料!$M$4:$M$1203,$AF192-1200))))</f>
      </c>
      <c r="AF192" s="2">
        <f>IFERROR(MATCH(84,_自动清单!$Y$4:$Y$2403,0),"")</f>
      </c>
    </row>
    <row r="193" ht="18" customHeight="1" s="127">
      <c r="A193" s="163">
        <f>IF($AF193="","",IF($AF193&lt;=1200,IF(INDEX(对接源_01水果!$B$4:$B$1203,$AF193)=0,"",INDEX(对接源_01水果!$B$4:$B$1203,$AF193)),IF(INDEX(对接源_02物料!$B$4:$B$1203,$AF193-1200)=0,"",INDEX(对接源_02物料!$B$4:$B$1203,$AF193-1200))))</f>
      </c>
      <c r="B193" s="64">
        <f>IF($AF193="","",IF($AF193&lt;=1200,IF(INDEX(对接源_01水果!$S$4:$S$1203,$AF193)=0,"",INDEX(对接源_01水果!$S$4:$S$1203,$AF193)),IF(INDEX(对接源_02物料!$S$4:$S$1203,$AF193-1200)=0,"",INDEX(对接源_02物料!$S$4:$S$1203,$AF193-1200))))</f>
      </c>
      <c r="C193" s="61">
        <f>IF($AF193="","",IF($AF193&lt;=1200,IF(INDEX(对接源_01水果!$E$4:$E$1203,$AF193)=0,"",INDEX(对接源_01水果!$E$4:$E$1203,$AF193)),IF(INDEX(对接源_02物料!$E$4:$E$1203,$AF193-1200)=0,"",INDEX(对接源_02物料!$E$4:$E$1203,$AF193-1200))))</f>
      </c>
      <c r="D193" s="164">
        <f>IF($AF193="","",IF($AF193&lt;=1200,IF(INDEX(对接源_01水果!$T$4:$T$1203,$AF193)=0,"",INDEX(对接源_01水果!$T$4:$T$1203,$AF193)),IF(INDEX(对接源_02物料!$T$4:$T$1203,$AF193-1200)=0,"",INDEX(对接源_02物料!$T$4:$T$1203,$AF193-1200))))</f>
      </c>
      <c r="E193" s="64">
        <f>IF($AF193="","",IF($AF193&lt;=1200,IF(INDEX(对接源_01水果!$C$4:$C$1203,$AF193)=0,"",INDEX(对接源_01水果!$C$4:$C$1203,$AF193)),IF(INDEX(对接源_02物料!$C$4:$C$1203,$AF193-1200)=0,"",INDEX(对接源_02物料!$C$4:$C$1203,$AF193-1200))))</f>
      </c>
      <c r="F193" s="61">
        <f>IF($AF193="","",IF($AF193&lt;=1200,IF(INDEX(对接源_01水果!$W$4:$W$1203,$AF193)=0,"",INDEX(对接源_01水果!$W$4:$W$1203,$AF193)),IF(INDEX(对接源_02物料!$W$4:$W$1203,$AF193-1200)=0,"",INDEX(对接源_02物料!$W$4:$W$1203,$AF193-1200))))</f>
      </c>
      <c r="G193" s="64">
        <f>IF($AF193="","",IF($AF193&lt;=1200,IF(INDEX(对接源_01水果!$D$4:$D$1203,$AF193)=0,"",INDEX(对接源_01水果!$D$4:$D$1203,$AF193)),IF(INDEX(对接源_02物料!$D$4:$D$1203,$AF193-1200)=0,"",INDEX(对接源_02物料!$D$4:$D$1203,$AF193-1200))))</f>
      </c>
      <c r="H193" s="61">
        <f>IF($AF193="","",IF($AF193&lt;=1200,"01水果册","02物料册"))</f>
      </c>
      <c r="I193" s="64">
        <f>IF($AF193="","",IF($AF193&lt;=1200,IF(INDEX(对接源_01水果!$M$4:$M$1203,$AF193)=0,"",INDEX(对接源_01水果!$M$4:$M$1203,$AF193)),IF(INDEX(对接源_02物料!$M$4:$M$1203,$AF193-1200)=0,"",INDEX(对接源_02物料!$M$4:$M$1203,$AF193-1200))))</f>
      </c>
      <c r="AF193" s="2">
        <f>IFERROR(MATCH(85,_自动清单!$Y$4:$Y$2403,0),"")</f>
      </c>
    </row>
    <row r="194" ht="18" customHeight="1" s="127">
      <c r="A194" s="165">
        <f>IF($AF194="","",IF($AF194&lt;=1200,IF(INDEX(对接源_01水果!$B$4:$B$1203,$AF194)=0,"",INDEX(对接源_01水果!$B$4:$B$1203,$AF194)),IF(INDEX(对接源_02物料!$B$4:$B$1203,$AF194-1200)=0,"",INDEX(对接源_02物料!$B$4:$B$1203,$AF194-1200))))</f>
      </c>
      <c r="B194" s="107">
        <f>IF($AF194="","",IF($AF194&lt;=1200,IF(INDEX(对接源_01水果!$S$4:$S$1203,$AF194)=0,"",INDEX(对接源_01水果!$S$4:$S$1203,$AF194)),IF(INDEX(对接源_02物料!$S$4:$S$1203,$AF194-1200)=0,"",INDEX(对接源_02物料!$S$4:$S$1203,$AF194-1200))))</f>
      </c>
      <c r="C194" s="104">
        <f>IF($AF194="","",IF($AF194&lt;=1200,IF(INDEX(对接源_01水果!$E$4:$E$1203,$AF194)=0,"",INDEX(对接源_01水果!$E$4:$E$1203,$AF194)),IF(INDEX(对接源_02物料!$E$4:$E$1203,$AF194-1200)=0,"",INDEX(对接源_02物料!$E$4:$E$1203,$AF194-1200))))</f>
      </c>
      <c r="D194" s="166">
        <f>IF($AF194="","",IF($AF194&lt;=1200,IF(INDEX(对接源_01水果!$T$4:$T$1203,$AF194)=0,"",INDEX(对接源_01水果!$T$4:$T$1203,$AF194)),IF(INDEX(对接源_02物料!$T$4:$T$1203,$AF194-1200)=0,"",INDEX(对接源_02物料!$T$4:$T$1203,$AF194-1200))))</f>
      </c>
      <c r="E194" s="107">
        <f>IF($AF194="","",IF($AF194&lt;=1200,IF(INDEX(对接源_01水果!$C$4:$C$1203,$AF194)=0,"",INDEX(对接源_01水果!$C$4:$C$1203,$AF194)),IF(INDEX(对接源_02物料!$C$4:$C$1203,$AF194-1200)=0,"",INDEX(对接源_02物料!$C$4:$C$1203,$AF194-1200))))</f>
      </c>
      <c r="F194" s="104">
        <f>IF($AF194="","",IF($AF194&lt;=1200,IF(INDEX(对接源_01水果!$W$4:$W$1203,$AF194)=0,"",INDEX(对接源_01水果!$W$4:$W$1203,$AF194)),IF(INDEX(对接源_02物料!$W$4:$W$1203,$AF194-1200)=0,"",INDEX(对接源_02物料!$W$4:$W$1203,$AF194-1200))))</f>
      </c>
      <c r="G194" s="107">
        <f>IF($AF194="","",IF($AF194&lt;=1200,IF(INDEX(对接源_01水果!$D$4:$D$1203,$AF194)=0,"",INDEX(对接源_01水果!$D$4:$D$1203,$AF194)),IF(INDEX(对接源_02物料!$D$4:$D$1203,$AF194-1200)=0,"",INDEX(对接源_02物料!$D$4:$D$1203,$AF194-1200))))</f>
      </c>
      <c r="H194" s="104">
        <f>IF($AF194="","",IF($AF194&lt;=1200,"01水果册","02物料册"))</f>
      </c>
      <c r="I194" s="107">
        <f>IF($AF194="","",IF($AF194&lt;=1200,IF(INDEX(对接源_01水果!$M$4:$M$1203,$AF194)=0,"",INDEX(对接源_01水果!$M$4:$M$1203,$AF194)),IF(INDEX(对接源_02物料!$M$4:$M$1203,$AF194-1200)=0,"",INDEX(对接源_02物料!$M$4:$M$1203,$AF194-1200))))</f>
      </c>
      <c r="AF194" s="2">
        <f>IFERROR(MATCH(86,_自动清单!$Y$4:$Y$2403,0),"")</f>
      </c>
    </row>
    <row r="195" ht="18" customHeight="1" s="127">
      <c r="A195" s="163">
        <f>IF($AF195="","",IF($AF195&lt;=1200,IF(INDEX(对接源_01水果!$B$4:$B$1203,$AF195)=0,"",INDEX(对接源_01水果!$B$4:$B$1203,$AF195)),IF(INDEX(对接源_02物料!$B$4:$B$1203,$AF195-1200)=0,"",INDEX(对接源_02物料!$B$4:$B$1203,$AF195-1200))))</f>
      </c>
      <c r="B195" s="64">
        <f>IF($AF195="","",IF($AF195&lt;=1200,IF(INDEX(对接源_01水果!$S$4:$S$1203,$AF195)=0,"",INDEX(对接源_01水果!$S$4:$S$1203,$AF195)),IF(INDEX(对接源_02物料!$S$4:$S$1203,$AF195-1200)=0,"",INDEX(对接源_02物料!$S$4:$S$1203,$AF195-1200))))</f>
      </c>
      <c r="C195" s="61">
        <f>IF($AF195="","",IF($AF195&lt;=1200,IF(INDEX(对接源_01水果!$E$4:$E$1203,$AF195)=0,"",INDEX(对接源_01水果!$E$4:$E$1203,$AF195)),IF(INDEX(对接源_02物料!$E$4:$E$1203,$AF195-1200)=0,"",INDEX(对接源_02物料!$E$4:$E$1203,$AF195-1200))))</f>
      </c>
      <c r="D195" s="164">
        <f>IF($AF195="","",IF($AF195&lt;=1200,IF(INDEX(对接源_01水果!$T$4:$T$1203,$AF195)=0,"",INDEX(对接源_01水果!$T$4:$T$1203,$AF195)),IF(INDEX(对接源_02物料!$T$4:$T$1203,$AF195-1200)=0,"",INDEX(对接源_02物料!$T$4:$T$1203,$AF195-1200))))</f>
      </c>
      <c r="E195" s="64">
        <f>IF($AF195="","",IF($AF195&lt;=1200,IF(INDEX(对接源_01水果!$C$4:$C$1203,$AF195)=0,"",INDEX(对接源_01水果!$C$4:$C$1203,$AF195)),IF(INDEX(对接源_02物料!$C$4:$C$1203,$AF195-1200)=0,"",INDEX(对接源_02物料!$C$4:$C$1203,$AF195-1200))))</f>
      </c>
      <c r="F195" s="61">
        <f>IF($AF195="","",IF($AF195&lt;=1200,IF(INDEX(对接源_01水果!$W$4:$W$1203,$AF195)=0,"",INDEX(对接源_01水果!$W$4:$W$1203,$AF195)),IF(INDEX(对接源_02物料!$W$4:$W$1203,$AF195-1200)=0,"",INDEX(对接源_02物料!$W$4:$W$1203,$AF195-1200))))</f>
      </c>
      <c r="G195" s="64">
        <f>IF($AF195="","",IF($AF195&lt;=1200,IF(INDEX(对接源_01水果!$D$4:$D$1203,$AF195)=0,"",INDEX(对接源_01水果!$D$4:$D$1203,$AF195)),IF(INDEX(对接源_02物料!$D$4:$D$1203,$AF195-1200)=0,"",INDEX(对接源_02物料!$D$4:$D$1203,$AF195-1200))))</f>
      </c>
      <c r="H195" s="61">
        <f>IF($AF195="","",IF($AF195&lt;=1200,"01水果册","02物料册"))</f>
      </c>
      <c r="I195" s="64">
        <f>IF($AF195="","",IF($AF195&lt;=1200,IF(INDEX(对接源_01水果!$M$4:$M$1203,$AF195)=0,"",INDEX(对接源_01水果!$M$4:$M$1203,$AF195)),IF(INDEX(对接源_02物料!$M$4:$M$1203,$AF195-1200)=0,"",INDEX(对接源_02物料!$M$4:$M$1203,$AF195-1200))))</f>
      </c>
      <c r="AF195" s="2">
        <f>IFERROR(MATCH(87,_自动清单!$Y$4:$Y$2403,0),"")</f>
      </c>
    </row>
    <row r="196" ht="18" customHeight="1" s="127">
      <c r="A196" s="165">
        <f>IF($AF196="","",IF($AF196&lt;=1200,IF(INDEX(对接源_01水果!$B$4:$B$1203,$AF196)=0,"",INDEX(对接源_01水果!$B$4:$B$1203,$AF196)),IF(INDEX(对接源_02物料!$B$4:$B$1203,$AF196-1200)=0,"",INDEX(对接源_02物料!$B$4:$B$1203,$AF196-1200))))</f>
      </c>
      <c r="B196" s="107">
        <f>IF($AF196="","",IF($AF196&lt;=1200,IF(INDEX(对接源_01水果!$S$4:$S$1203,$AF196)=0,"",INDEX(对接源_01水果!$S$4:$S$1203,$AF196)),IF(INDEX(对接源_02物料!$S$4:$S$1203,$AF196-1200)=0,"",INDEX(对接源_02物料!$S$4:$S$1203,$AF196-1200))))</f>
      </c>
      <c r="C196" s="104">
        <f>IF($AF196="","",IF($AF196&lt;=1200,IF(INDEX(对接源_01水果!$E$4:$E$1203,$AF196)=0,"",INDEX(对接源_01水果!$E$4:$E$1203,$AF196)),IF(INDEX(对接源_02物料!$E$4:$E$1203,$AF196-1200)=0,"",INDEX(对接源_02物料!$E$4:$E$1203,$AF196-1200))))</f>
      </c>
      <c r="D196" s="166">
        <f>IF($AF196="","",IF($AF196&lt;=1200,IF(INDEX(对接源_01水果!$T$4:$T$1203,$AF196)=0,"",INDEX(对接源_01水果!$T$4:$T$1203,$AF196)),IF(INDEX(对接源_02物料!$T$4:$T$1203,$AF196-1200)=0,"",INDEX(对接源_02物料!$T$4:$T$1203,$AF196-1200))))</f>
      </c>
      <c r="E196" s="107">
        <f>IF($AF196="","",IF($AF196&lt;=1200,IF(INDEX(对接源_01水果!$C$4:$C$1203,$AF196)=0,"",INDEX(对接源_01水果!$C$4:$C$1203,$AF196)),IF(INDEX(对接源_02物料!$C$4:$C$1203,$AF196-1200)=0,"",INDEX(对接源_02物料!$C$4:$C$1203,$AF196-1200))))</f>
      </c>
      <c r="F196" s="104">
        <f>IF($AF196="","",IF($AF196&lt;=1200,IF(INDEX(对接源_01水果!$W$4:$W$1203,$AF196)=0,"",INDEX(对接源_01水果!$W$4:$W$1203,$AF196)),IF(INDEX(对接源_02物料!$W$4:$W$1203,$AF196-1200)=0,"",INDEX(对接源_02物料!$W$4:$W$1203,$AF196-1200))))</f>
      </c>
      <c r="G196" s="107">
        <f>IF($AF196="","",IF($AF196&lt;=1200,IF(INDEX(对接源_01水果!$D$4:$D$1203,$AF196)=0,"",INDEX(对接源_01水果!$D$4:$D$1203,$AF196)),IF(INDEX(对接源_02物料!$D$4:$D$1203,$AF196-1200)=0,"",INDEX(对接源_02物料!$D$4:$D$1203,$AF196-1200))))</f>
      </c>
      <c r="H196" s="104">
        <f>IF($AF196="","",IF($AF196&lt;=1200,"01水果册","02物料册"))</f>
      </c>
      <c r="I196" s="107">
        <f>IF($AF196="","",IF($AF196&lt;=1200,IF(INDEX(对接源_01水果!$M$4:$M$1203,$AF196)=0,"",INDEX(对接源_01水果!$M$4:$M$1203,$AF196)),IF(INDEX(对接源_02物料!$M$4:$M$1203,$AF196-1200)=0,"",INDEX(对接源_02物料!$M$4:$M$1203,$AF196-1200))))</f>
      </c>
      <c r="AF196" s="2">
        <f>IFERROR(MATCH(88,_自动清单!$Y$4:$Y$2403,0),"")</f>
      </c>
    </row>
    <row r="197" ht="18" customHeight="1" s="127">
      <c r="A197" s="163">
        <f>IF($AF197="","",IF($AF197&lt;=1200,IF(INDEX(对接源_01水果!$B$4:$B$1203,$AF197)=0,"",INDEX(对接源_01水果!$B$4:$B$1203,$AF197)),IF(INDEX(对接源_02物料!$B$4:$B$1203,$AF197-1200)=0,"",INDEX(对接源_02物料!$B$4:$B$1203,$AF197-1200))))</f>
      </c>
      <c r="B197" s="64">
        <f>IF($AF197="","",IF($AF197&lt;=1200,IF(INDEX(对接源_01水果!$S$4:$S$1203,$AF197)=0,"",INDEX(对接源_01水果!$S$4:$S$1203,$AF197)),IF(INDEX(对接源_02物料!$S$4:$S$1203,$AF197-1200)=0,"",INDEX(对接源_02物料!$S$4:$S$1203,$AF197-1200))))</f>
      </c>
      <c r="C197" s="61">
        <f>IF($AF197="","",IF($AF197&lt;=1200,IF(INDEX(对接源_01水果!$E$4:$E$1203,$AF197)=0,"",INDEX(对接源_01水果!$E$4:$E$1203,$AF197)),IF(INDEX(对接源_02物料!$E$4:$E$1203,$AF197-1200)=0,"",INDEX(对接源_02物料!$E$4:$E$1203,$AF197-1200))))</f>
      </c>
      <c r="D197" s="164">
        <f>IF($AF197="","",IF($AF197&lt;=1200,IF(INDEX(对接源_01水果!$T$4:$T$1203,$AF197)=0,"",INDEX(对接源_01水果!$T$4:$T$1203,$AF197)),IF(INDEX(对接源_02物料!$T$4:$T$1203,$AF197-1200)=0,"",INDEX(对接源_02物料!$T$4:$T$1203,$AF197-1200))))</f>
      </c>
      <c r="E197" s="64">
        <f>IF($AF197="","",IF($AF197&lt;=1200,IF(INDEX(对接源_01水果!$C$4:$C$1203,$AF197)=0,"",INDEX(对接源_01水果!$C$4:$C$1203,$AF197)),IF(INDEX(对接源_02物料!$C$4:$C$1203,$AF197-1200)=0,"",INDEX(对接源_02物料!$C$4:$C$1203,$AF197-1200))))</f>
      </c>
      <c r="F197" s="61">
        <f>IF($AF197="","",IF($AF197&lt;=1200,IF(INDEX(对接源_01水果!$W$4:$W$1203,$AF197)=0,"",INDEX(对接源_01水果!$W$4:$W$1203,$AF197)),IF(INDEX(对接源_02物料!$W$4:$W$1203,$AF197-1200)=0,"",INDEX(对接源_02物料!$W$4:$W$1203,$AF197-1200))))</f>
      </c>
      <c r="G197" s="64">
        <f>IF($AF197="","",IF($AF197&lt;=1200,IF(INDEX(对接源_01水果!$D$4:$D$1203,$AF197)=0,"",INDEX(对接源_01水果!$D$4:$D$1203,$AF197)),IF(INDEX(对接源_02物料!$D$4:$D$1203,$AF197-1200)=0,"",INDEX(对接源_02物料!$D$4:$D$1203,$AF197-1200))))</f>
      </c>
      <c r="H197" s="61">
        <f>IF($AF197="","",IF($AF197&lt;=1200,"01水果册","02物料册"))</f>
      </c>
      <c r="I197" s="64">
        <f>IF($AF197="","",IF($AF197&lt;=1200,IF(INDEX(对接源_01水果!$M$4:$M$1203,$AF197)=0,"",INDEX(对接源_01水果!$M$4:$M$1203,$AF197)),IF(INDEX(对接源_02物料!$M$4:$M$1203,$AF197-1200)=0,"",INDEX(对接源_02物料!$M$4:$M$1203,$AF197-1200))))</f>
      </c>
      <c r="AF197" s="2">
        <f>IFERROR(MATCH(89,_自动清单!$Y$4:$Y$2403,0),"")</f>
      </c>
    </row>
    <row r="198" ht="18" customHeight="1" s="127">
      <c r="A198" s="165">
        <f>IF($AF198="","",IF($AF198&lt;=1200,IF(INDEX(对接源_01水果!$B$4:$B$1203,$AF198)=0,"",INDEX(对接源_01水果!$B$4:$B$1203,$AF198)),IF(INDEX(对接源_02物料!$B$4:$B$1203,$AF198-1200)=0,"",INDEX(对接源_02物料!$B$4:$B$1203,$AF198-1200))))</f>
      </c>
      <c r="B198" s="107">
        <f>IF($AF198="","",IF($AF198&lt;=1200,IF(INDEX(对接源_01水果!$S$4:$S$1203,$AF198)=0,"",INDEX(对接源_01水果!$S$4:$S$1203,$AF198)),IF(INDEX(对接源_02物料!$S$4:$S$1203,$AF198-1200)=0,"",INDEX(对接源_02物料!$S$4:$S$1203,$AF198-1200))))</f>
      </c>
      <c r="C198" s="104">
        <f>IF($AF198="","",IF($AF198&lt;=1200,IF(INDEX(对接源_01水果!$E$4:$E$1203,$AF198)=0,"",INDEX(对接源_01水果!$E$4:$E$1203,$AF198)),IF(INDEX(对接源_02物料!$E$4:$E$1203,$AF198-1200)=0,"",INDEX(对接源_02物料!$E$4:$E$1203,$AF198-1200))))</f>
      </c>
      <c r="D198" s="166">
        <f>IF($AF198="","",IF($AF198&lt;=1200,IF(INDEX(对接源_01水果!$T$4:$T$1203,$AF198)=0,"",INDEX(对接源_01水果!$T$4:$T$1203,$AF198)),IF(INDEX(对接源_02物料!$T$4:$T$1203,$AF198-1200)=0,"",INDEX(对接源_02物料!$T$4:$T$1203,$AF198-1200))))</f>
      </c>
      <c r="E198" s="107">
        <f>IF($AF198="","",IF($AF198&lt;=1200,IF(INDEX(对接源_01水果!$C$4:$C$1203,$AF198)=0,"",INDEX(对接源_01水果!$C$4:$C$1203,$AF198)),IF(INDEX(对接源_02物料!$C$4:$C$1203,$AF198-1200)=0,"",INDEX(对接源_02物料!$C$4:$C$1203,$AF198-1200))))</f>
      </c>
      <c r="F198" s="104">
        <f>IF($AF198="","",IF($AF198&lt;=1200,IF(INDEX(对接源_01水果!$W$4:$W$1203,$AF198)=0,"",INDEX(对接源_01水果!$W$4:$W$1203,$AF198)),IF(INDEX(对接源_02物料!$W$4:$W$1203,$AF198-1200)=0,"",INDEX(对接源_02物料!$W$4:$W$1203,$AF198-1200))))</f>
      </c>
      <c r="G198" s="107">
        <f>IF($AF198="","",IF($AF198&lt;=1200,IF(INDEX(对接源_01水果!$D$4:$D$1203,$AF198)=0,"",INDEX(对接源_01水果!$D$4:$D$1203,$AF198)),IF(INDEX(对接源_02物料!$D$4:$D$1203,$AF198-1200)=0,"",INDEX(对接源_02物料!$D$4:$D$1203,$AF198-1200))))</f>
      </c>
      <c r="H198" s="104">
        <f>IF($AF198="","",IF($AF198&lt;=1200,"01水果册","02物料册"))</f>
      </c>
      <c r="I198" s="107">
        <f>IF($AF198="","",IF($AF198&lt;=1200,IF(INDEX(对接源_01水果!$M$4:$M$1203,$AF198)=0,"",INDEX(对接源_01水果!$M$4:$M$1203,$AF198)),IF(INDEX(对接源_02物料!$M$4:$M$1203,$AF198-1200)=0,"",INDEX(对接源_02物料!$M$4:$M$1203,$AF198-1200))))</f>
      </c>
      <c r="AF198" s="2">
        <f>IFERROR(MATCH(90,_自动清单!$Y$4:$Y$2403,0),"")</f>
      </c>
    </row>
    <row r="199" ht="18" customHeight="1" s="127">
      <c r="A199" s="163">
        <f>IF($AF199="","",IF($AF199&lt;=1200,IF(INDEX(对接源_01水果!$B$4:$B$1203,$AF199)=0,"",INDEX(对接源_01水果!$B$4:$B$1203,$AF199)),IF(INDEX(对接源_02物料!$B$4:$B$1203,$AF199-1200)=0,"",INDEX(对接源_02物料!$B$4:$B$1203,$AF199-1200))))</f>
      </c>
      <c r="B199" s="64">
        <f>IF($AF199="","",IF($AF199&lt;=1200,IF(INDEX(对接源_01水果!$S$4:$S$1203,$AF199)=0,"",INDEX(对接源_01水果!$S$4:$S$1203,$AF199)),IF(INDEX(对接源_02物料!$S$4:$S$1203,$AF199-1200)=0,"",INDEX(对接源_02物料!$S$4:$S$1203,$AF199-1200))))</f>
      </c>
      <c r="C199" s="61">
        <f>IF($AF199="","",IF($AF199&lt;=1200,IF(INDEX(对接源_01水果!$E$4:$E$1203,$AF199)=0,"",INDEX(对接源_01水果!$E$4:$E$1203,$AF199)),IF(INDEX(对接源_02物料!$E$4:$E$1203,$AF199-1200)=0,"",INDEX(对接源_02物料!$E$4:$E$1203,$AF199-1200))))</f>
      </c>
      <c r="D199" s="164">
        <f>IF($AF199="","",IF($AF199&lt;=1200,IF(INDEX(对接源_01水果!$T$4:$T$1203,$AF199)=0,"",INDEX(对接源_01水果!$T$4:$T$1203,$AF199)),IF(INDEX(对接源_02物料!$T$4:$T$1203,$AF199-1200)=0,"",INDEX(对接源_02物料!$T$4:$T$1203,$AF199-1200))))</f>
      </c>
      <c r="E199" s="64">
        <f>IF($AF199="","",IF($AF199&lt;=1200,IF(INDEX(对接源_01水果!$C$4:$C$1203,$AF199)=0,"",INDEX(对接源_01水果!$C$4:$C$1203,$AF199)),IF(INDEX(对接源_02物料!$C$4:$C$1203,$AF199-1200)=0,"",INDEX(对接源_02物料!$C$4:$C$1203,$AF199-1200))))</f>
      </c>
      <c r="F199" s="61">
        <f>IF($AF199="","",IF($AF199&lt;=1200,IF(INDEX(对接源_01水果!$W$4:$W$1203,$AF199)=0,"",INDEX(对接源_01水果!$W$4:$W$1203,$AF199)),IF(INDEX(对接源_02物料!$W$4:$W$1203,$AF199-1200)=0,"",INDEX(对接源_02物料!$W$4:$W$1203,$AF199-1200))))</f>
      </c>
      <c r="G199" s="64">
        <f>IF($AF199="","",IF($AF199&lt;=1200,IF(INDEX(对接源_01水果!$D$4:$D$1203,$AF199)=0,"",INDEX(对接源_01水果!$D$4:$D$1203,$AF199)),IF(INDEX(对接源_02物料!$D$4:$D$1203,$AF199-1200)=0,"",INDEX(对接源_02物料!$D$4:$D$1203,$AF199-1200))))</f>
      </c>
      <c r="H199" s="61">
        <f>IF($AF199="","",IF($AF199&lt;=1200,"01水果册","02物料册"))</f>
      </c>
      <c r="I199" s="64">
        <f>IF($AF199="","",IF($AF199&lt;=1200,IF(INDEX(对接源_01水果!$M$4:$M$1203,$AF199)=0,"",INDEX(对接源_01水果!$M$4:$M$1203,$AF199)),IF(INDEX(对接源_02物料!$M$4:$M$1203,$AF199-1200)=0,"",INDEX(对接源_02物料!$M$4:$M$1203,$AF199-1200))))</f>
      </c>
      <c r="AF199" s="2">
        <f>IFERROR(MATCH(91,_自动清单!$Y$4:$Y$2403,0),"")</f>
      </c>
    </row>
    <row r="200" ht="18" customHeight="1" s="127">
      <c r="A200" s="165">
        <f>IF($AF200="","",IF($AF200&lt;=1200,IF(INDEX(对接源_01水果!$B$4:$B$1203,$AF200)=0,"",INDEX(对接源_01水果!$B$4:$B$1203,$AF200)),IF(INDEX(对接源_02物料!$B$4:$B$1203,$AF200-1200)=0,"",INDEX(对接源_02物料!$B$4:$B$1203,$AF200-1200))))</f>
      </c>
      <c r="B200" s="107">
        <f>IF($AF200="","",IF($AF200&lt;=1200,IF(INDEX(对接源_01水果!$S$4:$S$1203,$AF200)=0,"",INDEX(对接源_01水果!$S$4:$S$1203,$AF200)),IF(INDEX(对接源_02物料!$S$4:$S$1203,$AF200-1200)=0,"",INDEX(对接源_02物料!$S$4:$S$1203,$AF200-1200))))</f>
      </c>
      <c r="C200" s="104">
        <f>IF($AF200="","",IF($AF200&lt;=1200,IF(INDEX(对接源_01水果!$E$4:$E$1203,$AF200)=0,"",INDEX(对接源_01水果!$E$4:$E$1203,$AF200)),IF(INDEX(对接源_02物料!$E$4:$E$1203,$AF200-1200)=0,"",INDEX(对接源_02物料!$E$4:$E$1203,$AF200-1200))))</f>
      </c>
      <c r="D200" s="166">
        <f>IF($AF200="","",IF($AF200&lt;=1200,IF(INDEX(对接源_01水果!$T$4:$T$1203,$AF200)=0,"",INDEX(对接源_01水果!$T$4:$T$1203,$AF200)),IF(INDEX(对接源_02物料!$T$4:$T$1203,$AF200-1200)=0,"",INDEX(对接源_02物料!$T$4:$T$1203,$AF200-1200))))</f>
      </c>
      <c r="E200" s="107">
        <f>IF($AF200="","",IF($AF200&lt;=1200,IF(INDEX(对接源_01水果!$C$4:$C$1203,$AF200)=0,"",INDEX(对接源_01水果!$C$4:$C$1203,$AF200)),IF(INDEX(对接源_02物料!$C$4:$C$1203,$AF200-1200)=0,"",INDEX(对接源_02物料!$C$4:$C$1203,$AF200-1200))))</f>
      </c>
      <c r="F200" s="104">
        <f>IF($AF200="","",IF($AF200&lt;=1200,IF(INDEX(对接源_01水果!$W$4:$W$1203,$AF200)=0,"",INDEX(对接源_01水果!$W$4:$W$1203,$AF200)),IF(INDEX(对接源_02物料!$W$4:$W$1203,$AF200-1200)=0,"",INDEX(对接源_02物料!$W$4:$W$1203,$AF200-1200))))</f>
      </c>
      <c r="G200" s="107">
        <f>IF($AF200="","",IF($AF200&lt;=1200,IF(INDEX(对接源_01水果!$D$4:$D$1203,$AF200)=0,"",INDEX(对接源_01水果!$D$4:$D$1203,$AF200)),IF(INDEX(对接源_02物料!$D$4:$D$1203,$AF200-1200)=0,"",INDEX(对接源_02物料!$D$4:$D$1203,$AF200-1200))))</f>
      </c>
      <c r="H200" s="104">
        <f>IF($AF200="","",IF($AF200&lt;=1200,"01水果册","02物料册"))</f>
      </c>
      <c r="I200" s="107">
        <f>IF($AF200="","",IF($AF200&lt;=1200,IF(INDEX(对接源_01水果!$M$4:$M$1203,$AF200)=0,"",INDEX(对接源_01水果!$M$4:$M$1203,$AF200)),IF(INDEX(对接源_02物料!$M$4:$M$1203,$AF200-1200)=0,"",INDEX(对接源_02物料!$M$4:$M$1203,$AF200-1200))))</f>
      </c>
      <c r="AF200" s="2">
        <f>IFERROR(MATCH(92,_自动清单!$Y$4:$Y$2403,0),"")</f>
      </c>
    </row>
    <row r="201" ht="18" customHeight="1" s="127">
      <c r="A201" s="163">
        <f>IF($AF201="","",IF($AF201&lt;=1200,IF(INDEX(对接源_01水果!$B$4:$B$1203,$AF201)=0,"",INDEX(对接源_01水果!$B$4:$B$1203,$AF201)),IF(INDEX(对接源_02物料!$B$4:$B$1203,$AF201-1200)=0,"",INDEX(对接源_02物料!$B$4:$B$1203,$AF201-1200))))</f>
      </c>
      <c r="B201" s="64">
        <f>IF($AF201="","",IF($AF201&lt;=1200,IF(INDEX(对接源_01水果!$S$4:$S$1203,$AF201)=0,"",INDEX(对接源_01水果!$S$4:$S$1203,$AF201)),IF(INDEX(对接源_02物料!$S$4:$S$1203,$AF201-1200)=0,"",INDEX(对接源_02物料!$S$4:$S$1203,$AF201-1200))))</f>
      </c>
      <c r="C201" s="61">
        <f>IF($AF201="","",IF($AF201&lt;=1200,IF(INDEX(对接源_01水果!$E$4:$E$1203,$AF201)=0,"",INDEX(对接源_01水果!$E$4:$E$1203,$AF201)),IF(INDEX(对接源_02物料!$E$4:$E$1203,$AF201-1200)=0,"",INDEX(对接源_02物料!$E$4:$E$1203,$AF201-1200))))</f>
      </c>
      <c r="D201" s="164">
        <f>IF($AF201="","",IF($AF201&lt;=1200,IF(INDEX(对接源_01水果!$T$4:$T$1203,$AF201)=0,"",INDEX(对接源_01水果!$T$4:$T$1203,$AF201)),IF(INDEX(对接源_02物料!$T$4:$T$1203,$AF201-1200)=0,"",INDEX(对接源_02物料!$T$4:$T$1203,$AF201-1200))))</f>
      </c>
      <c r="E201" s="64">
        <f>IF($AF201="","",IF($AF201&lt;=1200,IF(INDEX(对接源_01水果!$C$4:$C$1203,$AF201)=0,"",INDEX(对接源_01水果!$C$4:$C$1203,$AF201)),IF(INDEX(对接源_02物料!$C$4:$C$1203,$AF201-1200)=0,"",INDEX(对接源_02物料!$C$4:$C$1203,$AF201-1200))))</f>
      </c>
      <c r="F201" s="61">
        <f>IF($AF201="","",IF($AF201&lt;=1200,IF(INDEX(对接源_01水果!$W$4:$W$1203,$AF201)=0,"",INDEX(对接源_01水果!$W$4:$W$1203,$AF201)),IF(INDEX(对接源_02物料!$W$4:$W$1203,$AF201-1200)=0,"",INDEX(对接源_02物料!$W$4:$W$1203,$AF201-1200))))</f>
      </c>
      <c r="G201" s="64">
        <f>IF($AF201="","",IF($AF201&lt;=1200,IF(INDEX(对接源_01水果!$D$4:$D$1203,$AF201)=0,"",INDEX(对接源_01水果!$D$4:$D$1203,$AF201)),IF(INDEX(对接源_02物料!$D$4:$D$1203,$AF201-1200)=0,"",INDEX(对接源_02物料!$D$4:$D$1203,$AF201-1200))))</f>
      </c>
      <c r="H201" s="61">
        <f>IF($AF201="","",IF($AF201&lt;=1200,"01水果册","02物料册"))</f>
      </c>
      <c r="I201" s="64">
        <f>IF($AF201="","",IF($AF201&lt;=1200,IF(INDEX(对接源_01水果!$M$4:$M$1203,$AF201)=0,"",INDEX(对接源_01水果!$M$4:$M$1203,$AF201)),IF(INDEX(对接源_02物料!$M$4:$M$1203,$AF201-1200)=0,"",INDEX(对接源_02物料!$M$4:$M$1203,$AF201-1200))))</f>
      </c>
      <c r="AF201" s="2">
        <f>IFERROR(MATCH(93,_自动清单!$Y$4:$Y$2403,0),"")</f>
      </c>
    </row>
    <row r="202" ht="18" customHeight="1" s="127">
      <c r="A202" s="165">
        <f>IF($AF202="","",IF($AF202&lt;=1200,IF(INDEX(对接源_01水果!$B$4:$B$1203,$AF202)=0,"",INDEX(对接源_01水果!$B$4:$B$1203,$AF202)),IF(INDEX(对接源_02物料!$B$4:$B$1203,$AF202-1200)=0,"",INDEX(对接源_02物料!$B$4:$B$1203,$AF202-1200))))</f>
      </c>
      <c r="B202" s="107">
        <f>IF($AF202="","",IF($AF202&lt;=1200,IF(INDEX(对接源_01水果!$S$4:$S$1203,$AF202)=0,"",INDEX(对接源_01水果!$S$4:$S$1203,$AF202)),IF(INDEX(对接源_02物料!$S$4:$S$1203,$AF202-1200)=0,"",INDEX(对接源_02物料!$S$4:$S$1203,$AF202-1200))))</f>
      </c>
      <c r="C202" s="104">
        <f>IF($AF202="","",IF($AF202&lt;=1200,IF(INDEX(对接源_01水果!$E$4:$E$1203,$AF202)=0,"",INDEX(对接源_01水果!$E$4:$E$1203,$AF202)),IF(INDEX(对接源_02物料!$E$4:$E$1203,$AF202-1200)=0,"",INDEX(对接源_02物料!$E$4:$E$1203,$AF202-1200))))</f>
      </c>
      <c r="D202" s="166">
        <f>IF($AF202="","",IF($AF202&lt;=1200,IF(INDEX(对接源_01水果!$T$4:$T$1203,$AF202)=0,"",INDEX(对接源_01水果!$T$4:$T$1203,$AF202)),IF(INDEX(对接源_02物料!$T$4:$T$1203,$AF202-1200)=0,"",INDEX(对接源_02物料!$T$4:$T$1203,$AF202-1200))))</f>
      </c>
      <c r="E202" s="107">
        <f>IF($AF202="","",IF($AF202&lt;=1200,IF(INDEX(对接源_01水果!$C$4:$C$1203,$AF202)=0,"",INDEX(对接源_01水果!$C$4:$C$1203,$AF202)),IF(INDEX(对接源_02物料!$C$4:$C$1203,$AF202-1200)=0,"",INDEX(对接源_02物料!$C$4:$C$1203,$AF202-1200))))</f>
      </c>
      <c r="F202" s="104">
        <f>IF($AF202="","",IF($AF202&lt;=1200,IF(INDEX(对接源_01水果!$W$4:$W$1203,$AF202)=0,"",INDEX(对接源_01水果!$W$4:$W$1203,$AF202)),IF(INDEX(对接源_02物料!$W$4:$W$1203,$AF202-1200)=0,"",INDEX(对接源_02物料!$W$4:$W$1203,$AF202-1200))))</f>
      </c>
      <c r="G202" s="107">
        <f>IF($AF202="","",IF($AF202&lt;=1200,IF(INDEX(对接源_01水果!$D$4:$D$1203,$AF202)=0,"",INDEX(对接源_01水果!$D$4:$D$1203,$AF202)),IF(INDEX(对接源_02物料!$D$4:$D$1203,$AF202-1200)=0,"",INDEX(对接源_02物料!$D$4:$D$1203,$AF202-1200))))</f>
      </c>
      <c r="H202" s="104">
        <f>IF($AF202="","",IF($AF202&lt;=1200,"01水果册","02物料册"))</f>
      </c>
      <c r="I202" s="107">
        <f>IF($AF202="","",IF($AF202&lt;=1200,IF(INDEX(对接源_01水果!$M$4:$M$1203,$AF202)=0,"",INDEX(对接源_01水果!$M$4:$M$1203,$AF202)),IF(INDEX(对接源_02物料!$M$4:$M$1203,$AF202-1200)=0,"",INDEX(对接源_02物料!$M$4:$M$1203,$AF202-1200))))</f>
      </c>
      <c r="AF202" s="2">
        <f>IFERROR(MATCH(94,_自动清单!$Y$4:$Y$2403,0),"")</f>
      </c>
    </row>
    <row r="203" ht="18" customHeight="1" s="127">
      <c r="A203" s="163">
        <f>IF($AF203="","",IF($AF203&lt;=1200,IF(INDEX(对接源_01水果!$B$4:$B$1203,$AF203)=0,"",INDEX(对接源_01水果!$B$4:$B$1203,$AF203)),IF(INDEX(对接源_02物料!$B$4:$B$1203,$AF203-1200)=0,"",INDEX(对接源_02物料!$B$4:$B$1203,$AF203-1200))))</f>
      </c>
      <c r="B203" s="64">
        <f>IF($AF203="","",IF($AF203&lt;=1200,IF(INDEX(对接源_01水果!$S$4:$S$1203,$AF203)=0,"",INDEX(对接源_01水果!$S$4:$S$1203,$AF203)),IF(INDEX(对接源_02物料!$S$4:$S$1203,$AF203-1200)=0,"",INDEX(对接源_02物料!$S$4:$S$1203,$AF203-1200))))</f>
      </c>
      <c r="C203" s="61">
        <f>IF($AF203="","",IF($AF203&lt;=1200,IF(INDEX(对接源_01水果!$E$4:$E$1203,$AF203)=0,"",INDEX(对接源_01水果!$E$4:$E$1203,$AF203)),IF(INDEX(对接源_02物料!$E$4:$E$1203,$AF203-1200)=0,"",INDEX(对接源_02物料!$E$4:$E$1203,$AF203-1200))))</f>
      </c>
      <c r="D203" s="164">
        <f>IF($AF203="","",IF($AF203&lt;=1200,IF(INDEX(对接源_01水果!$T$4:$T$1203,$AF203)=0,"",INDEX(对接源_01水果!$T$4:$T$1203,$AF203)),IF(INDEX(对接源_02物料!$T$4:$T$1203,$AF203-1200)=0,"",INDEX(对接源_02物料!$T$4:$T$1203,$AF203-1200))))</f>
      </c>
      <c r="E203" s="64">
        <f>IF($AF203="","",IF($AF203&lt;=1200,IF(INDEX(对接源_01水果!$C$4:$C$1203,$AF203)=0,"",INDEX(对接源_01水果!$C$4:$C$1203,$AF203)),IF(INDEX(对接源_02物料!$C$4:$C$1203,$AF203-1200)=0,"",INDEX(对接源_02物料!$C$4:$C$1203,$AF203-1200))))</f>
      </c>
      <c r="F203" s="61">
        <f>IF($AF203="","",IF($AF203&lt;=1200,IF(INDEX(对接源_01水果!$W$4:$W$1203,$AF203)=0,"",INDEX(对接源_01水果!$W$4:$W$1203,$AF203)),IF(INDEX(对接源_02物料!$W$4:$W$1203,$AF203-1200)=0,"",INDEX(对接源_02物料!$W$4:$W$1203,$AF203-1200))))</f>
      </c>
      <c r="G203" s="64">
        <f>IF($AF203="","",IF($AF203&lt;=1200,IF(INDEX(对接源_01水果!$D$4:$D$1203,$AF203)=0,"",INDEX(对接源_01水果!$D$4:$D$1203,$AF203)),IF(INDEX(对接源_02物料!$D$4:$D$1203,$AF203-1200)=0,"",INDEX(对接源_02物料!$D$4:$D$1203,$AF203-1200))))</f>
      </c>
      <c r="H203" s="61">
        <f>IF($AF203="","",IF($AF203&lt;=1200,"01水果册","02物料册"))</f>
      </c>
      <c r="I203" s="64">
        <f>IF($AF203="","",IF($AF203&lt;=1200,IF(INDEX(对接源_01水果!$M$4:$M$1203,$AF203)=0,"",INDEX(对接源_01水果!$M$4:$M$1203,$AF203)),IF(INDEX(对接源_02物料!$M$4:$M$1203,$AF203-1200)=0,"",INDEX(对接源_02物料!$M$4:$M$1203,$AF203-1200))))</f>
      </c>
      <c r="AF203" s="2">
        <f>IFERROR(MATCH(95,_自动清单!$Y$4:$Y$2403,0),"")</f>
      </c>
    </row>
    <row r="204" ht="18" customHeight="1" s="127">
      <c r="A204" s="165">
        <f>IF($AF204="","",IF($AF204&lt;=1200,IF(INDEX(对接源_01水果!$B$4:$B$1203,$AF204)=0,"",INDEX(对接源_01水果!$B$4:$B$1203,$AF204)),IF(INDEX(对接源_02物料!$B$4:$B$1203,$AF204-1200)=0,"",INDEX(对接源_02物料!$B$4:$B$1203,$AF204-1200))))</f>
      </c>
      <c r="B204" s="107">
        <f>IF($AF204="","",IF($AF204&lt;=1200,IF(INDEX(对接源_01水果!$S$4:$S$1203,$AF204)=0,"",INDEX(对接源_01水果!$S$4:$S$1203,$AF204)),IF(INDEX(对接源_02物料!$S$4:$S$1203,$AF204-1200)=0,"",INDEX(对接源_02物料!$S$4:$S$1203,$AF204-1200))))</f>
      </c>
      <c r="C204" s="104">
        <f>IF($AF204="","",IF($AF204&lt;=1200,IF(INDEX(对接源_01水果!$E$4:$E$1203,$AF204)=0,"",INDEX(对接源_01水果!$E$4:$E$1203,$AF204)),IF(INDEX(对接源_02物料!$E$4:$E$1203,$AF204-1200)=0,"",INDEX(对接源_02物料!$E$4:$E$1203,$AF204-1200))))</f>
      </c>
      <c r="D204" s="166">
        <f>IF($AF204="","",IF($AF204&lt;=1200,IF(INDEX(对接源_01水果!$T$4:$T$1203,$AF204)=0,"",INDEX(对接源_01水果!$T$4:$T$1203,$AF204)),IF(INDEX(对接源_02物料!$T$4:$T$1203,$AF204-1200)=0,"",INDEX(对接源_02物料!$T$4:$T$1203,$AF204-1200))))</f>
      </c>
      <c r="E204" s="107">
        <f>IF($AF204="","",IF($AF204&lt;=1200,IF(INDEX(对接源_01水果!$C$4:$C$1203,$AF204)=0,"",INDEX(对接源_01水果!$C$4:$C$1203,$AF204)),IF(INDEX(对接源_02物料!$C$4:$C$1203,$AF204-1200)=0,"",INDEX(对接源_02物料!$C$4:$C$1203,$AF204-1200))))</f>
      </c>
      <c r="F204" s="104">
        <f>IF($AF204="","",IF($AF204&lt;=1200,IF(INDEX(对接源_01水果!$W$4:$W$1203,$AF204)=0,"",INDEX(对接源_01水果!$W$4:$W$1203,$AF204)),IF(INDEX(对接源_02物料!$W$4:$W$1203,$AF204-1200)=0,"",INDEX(对接源_02物料!$W$4:$W$1203,$AF204-1200))))</f>
      </c>
      <c r="G204" s="107">
        <f>IF($AF204="","",IF($AF204&lt;=1200,IF(INDEX(对接源_01水果!$D$4:$D$1203,$AF204)=0,"",INDEX(对接源_01水果!$D$4:$D$1203,$AF204)),IF(INDEX(对接源_02物料!$D$4:$D$1203,$AF204-1200)=0,"",INDEX(对接源_02物料!$D$4:$D$1203,$AF204-1200))))</f>
      </c>
      <c r="H204" s="104">
        <f>IF($AF204="","",IF($AF204&lt;=1200,"01水果册","02物料册"))</f>
      </c>
      <c r="I204" s="107">
        <f>IF($AF204="","",IF($AF204&lt;=1200,IF(INDEX(对接源_01水果!$M$4:$M$1203,$AF204)=0,"",INDEX(对接源_01水果!$M$4:$M$1203,$AF204)),IF(INDEX(对接源_02物料!$M$4:$M$1203,$AF204-1200)=0,"",INDEX(对接源_02物料!$M$4:$M$1203,$AF204-1200))))</f>
      </c>
      <c r="AF204" s="2">
        <f>IFERROR(MATCH(96,_自动清单!$Y$4:$Y$2403,0),"")</f>
      </c>
    </row>
    <row r="205" ht="18" customHeight="1" s="127">
      <c r="A205" s="163">
        <f>IF($AF205="","",IF($AF205&lt;=1200,IF(INDEX(对接源_01水果!$B$4:$B$1203,$AF205)=0,"",INDEX(对接源_01水果!$B$4:$B$1203,$AF205)),IF(INDEX(对接源_02物料!$B$4:$B$1203,$AF205-1200)=0,"",INDEX(对接源_02物料!$B$4:$B$1203,$AF205-1200))))</f>
      </c>
      <c r="B205" s="64">
        <f>IF($AF205="","",IF($AF205&lt;=1200,IF(INDEX(对接源_01水果!$S$4:$S$1203,$AF205)=0,"",INDEX(对接源_01水果!$S$4:$S$1203,$AF205)),IF(INDEX(对接源_02物料!$S$4:$S$1203,$AF205-1200)=0,"",INDEX(对接源_02物料!$S$4:$S$1203,$AF205-1200))))</f>
      </c>
      <c r="C205" s="61">
        <f>IF($AF205="","",IF($AF205&lt;=1200,IF(INDEX(对接源_01水果!$E$4:$E$1203,$AF205)=0,"",INDEX(对接源_01水果!$E$4:$E$1203,$AF205)),IF(INDEX(对接源_02物料!$E$4:$E$1203,$AF205-1200)=0,"",INDEX(对接源_02物料!$E$4:$E$1203,$AF205-1200))))</f>
      </c>
      <c r="D205" s="164">
        <f>IF($AF205="","",IF($AF205&lt;=1200,IF(INDEX(对接源_01水果!$T$4:$T$1203,$AF205)=0,"",INDEX(对接源_01水果!$T$4:$T$1203,$AF205)),IF(INDEX(对接源_02物料!$T$4:$T$1203,$AF205-1200)=0,"",INDEX(对接源_02物料!$T$4:$T$1203,$AF205-1200))))</f>
      </c>
      <c r="E205" s="64">
        <f>IF($AF205="","",IF($AF205&lt;=1200,IF(INDEX(对接源_01水果!$C$4:$C$1203,$AF205)=0,"",INDEX(对接源_01水果!$C$4:$C$1203,$AF205)),IF(INDEX(对接源_02物料!$C$4:$C$1203,$AF205-1200)=0,"",INDEX(对接源_02物料!$C$4:$C$1203,$AF205-1200))))</f>
      </c>
      <c r="F205" s="61">
        <f>IF($AF205="","",IF($AF205&lt;=1200,IF(INDEX(对接源_01水果!$W$4:$W$1203,$AF205)=0,"",INDEX(对接源_01水果!$W$4:$W$1203,$AF205)),IF(INDEX(对接源_02物料!$W$4:$W$1203,$AF205-1200)=0,"",INDEX(对接源_02物料!$W$4:$W$1203,$AF205-1200))))</f>
      </c>
      <c r="G205" s="64">
        <f>IF($AF205="","",IF($AF205&lt;=1200,IF(INDEX(对接源_01水果!$D$4:$D$1203,$AF205)=0,"",INDEX(对接源_01水果!$D$4:$D$1203,$AF205)),IF(INDEX(对接源_02物料!$D$4:$D$1203,$AF205-1200)=0,"",INDEX(对接源_02物料!$D$4:$D$1203,$AF205-1200))))</f>
      </c>
      <c r="H205" s="61">
        <f>IF($AF205="","",IF($AF205&lt;=1200,"01水果册","02物料册"))</f>
      </c>
      <c r="I205" s="64">
        <f>IF($AF205="","",IF($AF205&lt;=1200,IF(INDEX(对接源_01水果!$M$4:$M$1203,$AF205)=0,"",INDEX(对接源_01水果!$M$4:$M$1203,$AF205)),IF(INDEX(对接源_02物料!$M$4:$M$1203,$AF205-1200)=0,"",INDEX(对接源_02物料!$M$4:$M$1203,$AF205-1200))))</f>
      </c>
      <c r="AF205" s="2">
        <f>IFERROR(MATCH(97,_自动清单!$Y$4:$Y$2403,0),"")</f>
      </c>
    </row>
    <row r="206" ht="18" customHeight="1" s="127">
      <c r="A206" s="165">
        <f>IF($AF206="","",IF($AF206&lt;=1200,IF(INDEX(对接源_01水果!$B$4:$B$1203,$AF206)=0,"",INDEX(对接源_01水果!$B$4:$B$1203,$AF206)),IF(INDEX(对接源_02物料!$B$4:$B$1203,$AF206-1200)=0,"",INDEX(对接源_02物料!$B$4:$B$1203,$AF206-1200))))</f>
      </c>
      <c r="B206" s="107">
        <f>IF($AF206="","",IF($AF206&lt;=1200,IF(INDEX(对接源_01水果!$S$4:$S$1203,$AF206)=0,"",INDEX(对接源_01水果!$S$4:$S$1203,$AF206)),IF(INDEX(对接源_02物料!$S$4:$S$1203,$AF206-1200)=0,"",INDEX(对接源_02物料!$S$4:$S$1203,$AF206-1200))))</f>
      </c>
      <c r="C206" s="104">
        <f>IF($AF206="","",IF($AF206&lt;=1200,IF(INDEX(对接源_01水果!$E$4:$E$1203,$AF206)=0,"",INDEX(对接源_01水果!$E$4:$E$1203,$AF206)),IF(INDEX(对接源_02物料!$E$4:$E$1203,$AF206-1200)=0,"",INDEX(对接源_02物料!$E$4:$E$1203,$AF206-1200))))</f>
      </c>
      <c r="D206" s="166">
        <f>IF($AF206="","",IF($AF206&lt;=1200,IF(INDEX(对接源_01水果!$T$4:$T$1203,$AF206)=0,"",INDEX(对接源_01水果!$T$4:$T$1203,$AF206)),IF(INDEX(对接源_02物料!$T$4:$T$1203,$AF206-1200)=0,"",INDEX(对接源_02物料!$T$4:$T$1203,$AF206-1200))))</f>
      </c>
      <c r="E206" s="107">
        <f>IF($AF206="","",IF($AF206&lt;=1200,IF(INDEX(对接源_01水果!$C$4:$C$1203,$AF206)=0,"",INDEX(对接源_01水果!$C$4:$C$1203,$AF206)),IF(INDEX(对接源_02物料!$C$4:$C$1203,$AF206-1200)=0,"",INDEX(对接源_02物料!$C$4:$C$1203,$AF206-1200))))</f>
      </c>
      <c r="F206" s="104">
        <f>IF($AF206="","",IF($AF206&lt;=1200,IF(INDEX(对接源_01水果!$W$4:$W$1203,$AF206)=0,"",INDEX(对接源_01水果!$W$4:$W$1203,$AF206)),IF(INDEX(对接源_02物料!$W$4:$W$1203,$AF206-1200)=0,"",INDEX(对接源_02物料!$W$4:$W$1203,$AF206-1200))))</f>
      </c>
      <c r="G206" s="107">
        <f>IF($AF206="","",IF($AF206&lt;=1200,IF(INDEX(对接源_01水果!$D$4:$D$1203,$AF206)=0,"",INDEX(对接源_01水果!$D$4:$D$1203,$AF206)),IF(INDEX(对接源_02物料!$D$4:$D$1203,$AF206-1200)=0,"",INDEX(对接源_02物料!$D$4:$D$1203,$AF206-1200))))</f>
      </c>
      <c r="H206" s="104">
        <f>IF($AF206="","",IF($AF206&lt;=1200,"01水果册","02物料册"))</f>
      </c>
      <c r="I206" s="107">
        <f>IF($AF206="","",IF($AF206&lt;=1200,IF(INDEX(对接源_01水果!$M$4:$M$1203,$AF206)=0,"",INDEX(对接源_01水果!$M$4:$M$1203,$AF206)),IF(INDEX(对接源_02物料!$M$4:$M$1203,$AF206-1200)=0,"",INDEX(对接源_02物料!$M$4:$M$1203,$AF206-1200))))</f>
      </c>
      <c r="AF206" s="2">
        <f>IFERROR(MATCH(98,_自动清单!$Y$4:$Y$2403,0),"")</f>
      </c>
    </row>
    <row r="207" ht="18" customHeight="1" s="127">
      <c r="A207" s="163">
        <f>IF($AF207="","",IF($AF207&lt;=1200,IF(INDEX(对接源_01水果!$B$4:$B$1203,$AF207)=0,"",INDEX(对接源_01水果!$B$4:$B$1203,$AF207)),IF(INDEX(对接源_02物料!$B$4:$B$1203,$AF207-1200)=0,"",INDEX(对接源_02物料!$B$4:$B$1203,$AF207-1200))))</f>
      </c>
      <c r="B207" s="64">
        <f>IF($AF207="","",IF($AF207&lt;=1200,IF(INDEX(对接源_01水果!$S$4:$S$1203,$AF207)=0,"",INDEX(对接源_01水果!$S$4:$S$1203,$AF207)),IF(INDEX(对接源_02物料!$S$4:$S$1203,$AF207-1200)=0,"",INDEX(对接源_02物料!$S$4:$S$1203,$AF207-1200))))</f>
      </c>
      <c r="C207" s="61">
        <f>IF($AF207="","",IF($AF207&lt;=1200,IF(INDEX(对接源_01水果!$E$4:$E$1203,$AF207)=0,"",INDEX(对接源_01水果!$E$4:$E$1203,$AF207)),IF(INDEX(对接源_02物料!$E$4:$E$1203,$AF207-1200)=0,"",INDEX(对接源_02物料!$E$4:$E$1203,$AF207-1200))))</f>
      </c>
      <c r="D207" s="164">
        <f>IF($AF207="","",IF($AF207&lt;=1200,IF(INDEX(对接源_01水果!$T$4:$T$1203,$AF207)=0,"",INDEX(对接源_01水果!$T$4:$T$1203,$AF207)),IF(INDEX(对接源_02物料!$T$4:$T$1203,$AF207-1200)=0,"",INDEX(对接源_02物料!$T$4:$T$1203,$AF207-1200))))</f>
      </c>
      <c r="E207" s="64">
        <f>IF($AF207="","",IF($AF207&lt;=1200,IF(INDEX(对接源_01水果!$C$4:$C$1203,$AF207)=0,"",INDEX(对接源_01水果!$C$4:$C$1203,$AF207)),IF(INDEX(对接源_02物料!$C$4:$C$1203,$AF207-1200)=0,"",INDEX(对接源_02物料!$C$4:$C$1203,$AF207-1200))))</f>
      </c>
      <c r="F207" s="61">
        <f>IF($AF207="","",IF($AF207&lt;=1200,IF(INDEX(对接源_01水果!$W$4:$W$1203,$AF207)=0,"",INDEX(对接源_01水果!$W$4:$W$1203,$AF207)),IF(INDEX(对接源_02物料!$W$4:$W$1203,$AF207-1200)=0,"",INDEX(对接源_02物料!$W$4:$W$1203,$AF207-1200))))</f>
      </c>
      <c r="G207" s="64">
        <f>IF($AF207="","",IF($AF207&lt;=1200,IF(INDEX(对接源_01水果!$D$4:$D$1203,$AF207)=0,"",INDEX(对接源_01水果!$D$4:$D$1203,$AF207)),IF(INDEX(对接源_02物料!$D$4:$D$1203,$AF207-1200)=0,"",INDEX(对接源_02物料!$D$4:$D$1203,$AF207-1200))))</f>
      </c>
      <c r="H207" s="61">
        <f>IF($AF207="","",IF($AF207&lt;=1200,"01水果册","02物料册"))</f>
      </c>
      <c r="I207" s="64">
        <f>IF($AF207="","",IF($AF207&lt;=1200,IF(INDEX(对接源_01水果!$M$4:$M$1203,$AF207)=0,"",INDEX(对接源_01水果!$M$4:$M$1203,$AF207)),IF(INDEX(对接源_02物料!$M$4:$M$1203,$AF207-1200)=0,"",INDEX(对接源_02物料!$M$4:$M$1203,$AF207-1200))))</f>
      </c>
      <c r="AF207" s="2">
        <f>IFERROR(MATCH(99,_自动清单!$Y$4:$Y$2403,0),"")</f>
      </c>
    </row>
    <row r="208" ht="18" customHeight="1" s="127">
      <c r="A208" s="165">
        <f>IF($AF208="","",IF($AF208&lt;=1200,IF(INDEX(对接源_01水果!$B$4:$B$1203,$AF208)=0,"",INDEX(对接源_01水果!$B$4:$B$1203,$AF208)),IF(INDEX(对接源_02物料!$B$4:$B$1203,$AF208-1200)=0,"",INDEX(对接源_02物料!$B$4:$B$1203,$AF208-1200))))</f>
      </c>
      <c r="B208" s="107">
        <f>IF($AF208="","",IF($AF208&lt;=1200,IF(INDEX(对接源_01水果!$S$4:$S$1203,$AF208)=0,"",INDEX(对接源_01水果!$S$4:$S$1203,$AF208)),IF(INDEX(对接源_02物料!$S$4:$S$1203,$AF208-1200)=0,"",INDEX(对接源_02物料!$S$4:$S$1203,$AF208-1200))))</f>
      </c>
      <c r="C208" s="104">
        <f>IF($AF208="","",IF($AF208&lt;=1200,IF(INDEX(对接源_01水果!$E$4:$E$1203,$AF208)=0,"",INDEX(对接源_01水果!$E$4:$E$1203,$AF208)),IF(INDEX(对接源_02物料!$E$4:$E$1203,$AF208-1200)=0,"",INDEX(对接源_02物料!$E$4:$E$1203,$AF208-1200))))</f>
      </c>
      <c r="D208" s="166">
        <f>IF($AF208="","",IF($AF208&lt;=1200,IF(INDEX(对接源_01水果!$T$4:$T$1203,$AF208)=0,"",INDEX(对接源_01水果!$T$4:$T$1203,$AF208)),IF(INDEX(对接源_02物料!$T$4:$T$1203,$AF208-1200)=0,"",INDEX(对接源_02物料!$T$4:$T$1203,$AF208-1200))))</f>
      </c>
      <c r="E208" s="107">
        <f>IF($AF208="","",IF($AF208&lt;=1200,IF(INDEX(对接源_01水果!$C$4:$C$1203,$AF208)=0,"",INDEX(对接源_01水果!$C$4:$C$1203,$AF208)),IF(INDEX(对接源_02物料!$C$4:$C$1203,$AF208-1200)=0,"",INDEX(对接源_02物料!$C$4:$C$1203,$AF208-1200))))</f>
      </c>
      <c r="F208" s="104">
        <f>IF($AF208="","",IF($AF208&lt;=1200,IF(INDEX(对接源_01水果!$W$4:$W$1203,$AF208)=0,"",INDEX(对接源_01水果!$W$4:$W$1203,$AF208)),IF(INDEX(对接源_02物料!$W$4:$W$1203,$AF208-1200)=0,"",INDEX(对接源_02物料!$W$4:$W$1203,$AF208-1200))))</f>
      </c>
      <c r="G208" s="107">
        <f>IF($AF208="","",IF($AF208&lt;=1200,IF(INDEX(对接源_01水果!$D$4:$D$1203,$AF208)=0,"",INDEX(对接源_01水果!$D$4:$D$1203,$AF208)),IF(INDEX(对接源_02物料!$D$4:$D$1203,$AF208-1200)=0,"",INDEX(对接源_02物料!$D$4:$D$1203,$AF208-1200))))</f>
      </c>
      <c r="H208" s="104">
        <f>IF($AF208="","",IF($AF208&lt;=1200,"01水果册","02物料册"))</f>
      </c>
      <c r="I208" s="107">
        <f>IF($AF208="","",IF($AF208&lt;=1200,IF(INDEX(对接源_01水果!$M$4:$M$1203,$AF208)=0,"",INDEX(对接源_01水果!$M$4:$M$1203,$AF208)),IF(INDEX(对接源_02物料!$M$4:$M$1203,$AF208-1200)=0,"",INDEX(对接源_02物料!$M$4:$M$1203,$AF208-1200))))</f>
      </c>
      <c r="AF208" s="2">
        <f>IFERROR(MATCH(100,_自动清单!$Y$4:$Y$2403,0),"")</f>
      </c>
    </row>
  </sheetData>
  <mergeCells count="11">
    <mergeCell ref="A107:F107"/>
    <mergeCell ref="B2:C2"/>
    <mergeCell ref="K2:M2"/>
    <mergeCell ref="A1:G1"/>
    <mergeCell ref="G107:I107"/>
    <mergeCell ref="K5:L5"/>
    <mergeCell ref="G4:I4"/>
    <mergeCell ref="A3:I3"/>
    <mergeCell ref="A4:F4"/>
    <mergeCell ref="K4:L4"/>
    <mergeCell ref="K3:L3"/>
  </mergeCells>
  <dataValidations count="1">
    <dataValidation sqref="B2" showDropDown="0" showInputMessage="0" showErrorMessage="0" allowBlank="1" type="list">
      <formula1>_自动清单!$E$4:$E$203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/>
  </sheetPr>
  <dimension ref="A1:AG231"/>
  <sheetViews>
    <sheetView showGridLines="0" workbookViewId="0">
      <pane ySplit="3" topLeftCell="A4" activePane="bottomLeft" state="frozen"/>
      <selection activeCell="A1" sqref="A1"/>
      <selection pane="bottomLeft" activeCell="L11" sqref="L11"/>
    </sheetView>
  </sheetViews>
  <sheetFormatPr baseColWidth="8" defaultColWidth="9" defaultRowHeight="13.5"/>
  <cols>
    <col width="13" customWidth="1" style="8" min="1" max="1"/>
    <col width="16" customWidth="1" style="8" min="2" max="3"/>
    <col width="12" customWidth="1" style="8" min="4" max="4"/>
    <col width="15" customWidth="1" style="8" min="5" max="5"/>
    <col width="11" customWidth="1" style="8" min="6" max="6"/>
    <col width="22" customWidth="1" style="8" min="7" max="7"/>
    <col width="6.88333333333333" customWidth="1" style="8" min="8" max="8"/>
    <col width="12" customWidth="1" style="8" min="9" max="9"/>
    <col width="10" customWidth="1" style="8" min="10" max="10"/>
    <col width="12" customWidth="1" style="8" min="11" max="11"/>
    <col width="2" customWidth="1" style="8" min="12" max="12"/>
    <col width="9" customWidth="1" style="8" min="13" max="15"/>
    <col width="12" customWidth="1" style="8" min="16" max="16"/>
    <col width="9" customWidth="1" style="8" min="17" max="16384"/>
  </cols>
  <sheetData>
    <row r="1" ht="49.5" customHeight="1" s="127">
      <c r="A1" s="37" t="inlineStr">
        <is>
          <t>新疆果然鲜仓储有限公司</t>
        </is>
      </c>
      <c r="F1" s="38" t="inlineStr">
        <is>
          <t>对账单</t>
        </is>
      </c>
      <c r="P1" s="167">
        <f>IF($F$2="",DATE(1900,1,1),$F$2)</f>
        <v>2.0</v>
      </c>
    </row>
    <row r="2" ht="25.5" customHeight="1" s="127">
      <c r="A2" s="120" t="inlineStr">
        <is>
          <t>客　户:</t>
        </is>
      </c>
      <c r="B2" s="42" t="inlineStr">
        <is>
          <t>王灵云</t>
        </is>
      </c>
      <c r="C2" s="156" t="n"/>
      <c r="E2" s="10" t="inlineStr">
        <is>
          <t>开始日期:</t>
        </is>
      </c>
      <c r="F2" s="157" t="n"/>
      <c r="G2" s="10" t="inlineStr">
        <is>
          <t>结束日期:</t>
        </is>
      </c>
      <c r="H2" s="157" t="n"/>
      <c r="I2" s="95" t="inlineStr">
        <is>
          <t>筐 子 汇 总</t>
        </is>
      </c>
      <c r="P2" s="167">
        <f>IF($H$2="",DATE(2999,12,31),$H$2)</f>
        <v>401768.0</v>
      </c>
    </row>
    <row r="3" ht="33" customHeight="1" s="127">
      <c r="A3" s="121" t="inlineStr">
        <is>
          <t>★ 只填 B2 客户与起止日期。公司筐口径：出库＝原料出库/成品出库带走＋周转筐领用出库；退回＝客户退回的空筐（显示为负数）；随筐入库＝随原料入库带回来的筐（显示为负数）。未回库筐子（欠筐子数）＝出库 ＋ 退回 ＋ 随筐入库。自备筐请看《自备筐对账单》。★ 卖断给客户的筐子（业务类型＝销售出库）不算往来，不在这张表里，请去《物料与筐子销售对账单》对金额。</t>
        </is>
      </c>
      <c r="I3" s="56" t="inlineStr">
        <is>
          <t>出库筐子</t>
        </is>
      </c>
      <c r="J3" s="158" t="n"/>
      <c r="K3" s="159">
        <f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12438</v>
      </c>
    </row>
    <row r="4" ht="27" customHeight="1" s="127">
      <c r="A4" s="54" t="inlineStr">
        <is>
          <t>出库筐子总数</t>
        </is>
      </c>
      <c r="B4" s="160" t="n"/>
      <c r="C4" s="160" t="n"/>
      <c r="D4" s="158" t="n"/>
      <c r="E4" s="161">
        <f>ROUND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,0)</f>
        <v>12438</v>
      </c>
      <c r="F4" s="160" t="n"/>
      <c r="G4" s="158" t="n"/>
      <c r="I4" s="129" t="inlineStr">
        <is>
          <t>退回筐子(空筐)</t>
        </is>
      </c>
      <c r="J4" s="158" t="n"/>
      <c r="K4" s="168">
        <f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-118</v>
      </c>
    </row>
    <row r="5" ht="30" customHeight="1" s="127">
      <c r="A5" s="59" t="inlineStr">
        <is>
          <t>日　期</t>
        </is>
      </c>
      <c r="B5" s="59" t="inlineStr">
        <is>
          <t>票据单号</t>
        </is>
      </c>
      <c r="C5" s="59" t="inlineStr">
        <is>
          <t>筐子类型</t>
        </is>
      </c>
      <c r="D5" s="59" t="inlineStr">
        <is>
          <t>数　量</t>
        </is>
      </c>
      <c r="E5" s="59" t="inlineStr">
        <is>
          <t>车牌号</t>
        </is>
      </c>
      <c r="F5" s="59" t="inlineStr">
        <is>
          <t>来源册</t>
        </is>
      </c>
      <c r="G5" s="59" t="inlineStr">
        <is>
          <t>备　注</t>
        </is>
      </c>
      <c r="I5" s="129" t="inlineStr">
        <is>
          <t>随筐入库</t>
        </is>
      </c>
      <c r="J5" s="158" t="n"/>
      <c r="K5" s="168">
        <f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-11704</v>
      </c>
    </row>
    <row r="6" ht="18" customHeight="1" s="127">
      <c r="A6" s="163">
        <f>IF($AE6="","",IF($AE6&lt;=1200,IF(INDEX(对接源_01水果!$B$4:$B$1203,$AE6)=0,"",INDEX(对接源_01水果!$B$4:$B$1203,$AE6)),IF(INDEX(对接源_02物料!$B$4:$B$1203,$AE6-1200)=0,"",INDEX(对接源_02物料!$B$4:$B$1203,$AE6-1200))))</f>
        <v>46268.0</v>
      </c>
      <c r="B6" s="61" t="str">
        <f>IF($AE6="","",IF($AE6&lt;=1200,IF(INDEX(对接源_01水果!$E$4:$E$1203,$AE6)=0,"",INDEX(对接源_01水果!$E$4:$E$1203,$AE6)),IF(INDEX(对接源_02物料!$E$4:$E$1203,$AE6-1200)=0,"",INDEX(对接源_02物料!$E$4:$E$1203,$AE6-1200))))</f>
        <v>NO:0001072</v>
      </c>
      <c r="C6" s="122" t="str">
        <f>IF($AE6="","",IF($AE6&lt;=1200,IF(INDEX(对接源_01水果!$S$4:$S$1203,$AE6)=0,"",INDEX(对接源_01水果!$S$4:$S$1203,$AE6)),IF(INDEX(对接源_02物料!$S$4:$S$1203,$AE6-1200)=0,"",INDEX(对接源_02物料!$S$4:$S$1203,$AE6-1200))))</f>
        <v>公司红周转筐</v>
      </c>
      <c r="D6" s="164">
        <f>IF($AE6="","",IF($AE6&lt;=1200,IF(INDEX(对接源_01水果!$T$4:$T$1203,$AE6)=0,"",INDEX(对接源_01水果!$T$4:$T$1203,$AE6)),IF(INDEX(对接源_02物料!$T$4:$T$1203,$AE6-1200)=0,"",INDEX(对接源_02物料!$T$4:$T$1203,$AE6-1200))))</f>
        <v>960</v>
      </c>
      <c r="E6" s="61" t="str">
        <f>IF($AE6="","",IF($AE6&lt;=1200,IF(INDEX(对接源_01水果!$W$4:$W$1203,$AE6)=0,"",INDEX(对接源_01水果!$W$4:$W$1203,$AE6)),IF(INDEX(对接源_02物料!$W$4:$W$1203,$AE6-1200)=0,"",INDEX(对接源_02物料!$W$4:$W$1203,$AE6-1200))))</f>
        <v>新N*49209</v>
      </c>
      <c r="F6" s="61" t="str">
        <f>IF($AE6="","",IF($AE6&lt;=1200,"01水果册","02物料册"))</f>
        <v>02物料册</v>
      </c>
      <c r="G6" s="122">
        <f>IF($AE6="","",IF($AE6&lt;=1200,IF(INDEX(对接源_01水果!$M$4:$M$1203,$AE6)=0,"",INDEX(对接源_01水果!$M$4:$M$1203,$AE6)),IF(INDEX(对接源_02物料!$M$4:$M$1203,$AE6-1200)=0,"",INDEX(对接源_02物料!$M$4:$M$1203,$AE6-1200))))</f>
      </c>
      <c r="I6" s="101" t="inlineStr">
        <is>
          <t>未回库筐子(欠筐)</t>
        </is>
      </c>
      <c r="J6" s="158" t="n"/>
      <c r="K6" s="162">
        <f>ROUND((SUMIFS(对接源_01水果!$T$4:$T$1203,对接源_01水果!$C$4:$C$1203,$B$2,对接源_01水果!$B$4:$B$1203,"&gt;="&amp;$P$1,对接源_01水果!$B$4:$B$1203,"&lt;="&amp;$P$2,对接源_01水果!$X$4:$X$1203,"公司筐")+SUMIFS(对接源_02物料!$T$4:$T$1203,对接源_02物料!$C$4:$C$1203,$B$2,对接源_02物料!$B$4:$B$1203,"&gt;="&amp;$P$1,对接源_02物料!$B$4:$B$1203,"&lt;="&amp;$P$2,对接源_02物料!$X$4:$X$1203,"公司筐"))-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)-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),0)</f>
        <v>616</v>
      </c>
      <c r="AE6" s="128">
        <f>IFERROR(MATCH(1,_自动清单!$Q$4:$Q$2403,0),"")</f>
        <v>1293</v>
      </c>
    </row>
    <row r="7" ht="18" customHeight="1" s="127">
      <c r="A7" s="165">
        <f>IF($AE7="","",IF($AE7&lt;=1200,IF(INDEX(对接源_01水果!$B$4:$B$1203,$AE7)=0,"",INDEX(对接源_01水果!$B$4:$B$1203,$AE7)),IF(INDEX(对接源_02物料!$B$4:$B$1203,$AE7-1200)=0,"",INDEX(对接源_02物料!$B$4:$B$1203,$AE7-1200))))</f>
        <v>46275.0</v>
      </c>
      <c r="B7" s="104" t="str">
        <f>IF($AE7="","",IF($AE7&lt;=1200,IF(INDEX(对接源_01水果!$E$4:$E$1203,$AE7)=0,"",INDEX(对接源_01水果!$E$4:$E$1203,$AE7)),IF(INDEX(对接源_02物料!$E$4:$E$1203,$AE7-1200)=0,"",INDEX(对接源_02物料!$E$4:$E$1203,$AE7-1200))))</f>
        <v>NO:0001108</v>
      </c>
      <c r="C7" s="131" t="str">
        <f>IF($AE7="","",IF($AE7&lt;=1200,IF(INDEX(对接源_01水果!$S$4:$S$1203,$AE7)=0,"",INDEX(对接源_01水果!$S$4:$S$1203,$AE7)),IF(INDEX(对接源_02物料!$S$4:$S$1203,$AE7-1200)=0,"",INDEX(对接源_02物料!$S$4:$S$1203,$AE7-1200))))</f>
        <v>公司红周转筐</v>
      </c>
      <c r="D7" s="166">
        <f>IF($AE7="","",IF($AE7&lt;=1200,IF(INDEX(对接源_01水果!$T$4:$T$1203,$AE7)=0,"",INDEX(对接源_01水果!$T$4:$T$1203,$AE7)),IF(INDEX(对接源_02物料!$T$4:$T$1203,$AE7-1200)=0,"",INDEX(对接源_02物料!$T$4:$T$1203,$AE7-1200))))</f>
        <v>960</v>
      </c>
      <c r="E7" s="104" t="str">
        <f>IF($AE7="","",IF($AE7&lt;=1200,IF(INDEX(对接源_01水果!$W$4:$W$1203,$AE7)=0,"",INDEX(对接源_01水果!$W$4:$W$1203,$AE7)),IF(INDEX(对接源_02物料!$W$4:$W$1203,$AE7-1200)=0,"",INDEX(对接源_02物料!$W$4:$W$1203,$AE7-1200))))</f>
        <v>新N*49209</v>
      </c>
      <c r="F7" s="104" t="str">
        <f>IF($AE7="","",IF($AE7&lt;=1200,"01水果册","02物料册"))</f>
        <v>02物料册</v>
      </c>
      <c r="G7" s="131">
        <f>IF($AE7="","",IF($AE7&lt;=1200,IF(INDEX(对接源_01水果!$M$4:$M$1203,$AE7)=0,"",INDEX(对接源_01水果!$M$4:$M$1203,$AE7)),IF(INDEX(对接源_02物料!$M$4:$M$1203,$AE7-1200)=0,"",INDEX(对接源_02物料!$M$4:$M$1203,$AE7-1200))))</f>
      </c>
      <c r="AE7" s="128">
        <f>IFERROR(MATCH(2,_自动清单!$Q$4:$Q$2403,0),"")</f>
        <v>1324</v>
      </c>
    </row>
    <row r="8" ht="18" customHeight="1" s="127">
      <c r="A8" s="163">
        <f>IF($AE8="","",IF($AE8&lt;=1200,IF(INDEX(对接源_01水果!$B$4:$B$1203,$AE8)=0,"",INDEX(对接源_01水果!$B$4:$B$1203,$AE8)),IF(INDEX(对接源_02物料!$B$4:$B$1203,$AE8-1200)=0,"",INDEX(对接源_02物料!$B$4:$B$1203,$AE8-1200))))</f>
        <v>46278.0</v>
      </c>
      <c r="B8" s="61" t="str">
        <f>IF($AE8="","",IF($AE8&lt;=1200,IF(INDEX(对接源_01水果!$E$4:$E$1203,$AE8)=0,"",INDEX(对接源_01水果!$E$4:$E$1203,$AE8)),IF(INDEX(对接源_02物料!$E$4:$E$1203,$AE8-1200)=0,"",INDEX(对接源_02物料!$E$4:$E$1203,$AE8-1200))))</f>
        <v>NO:0001130</v>
      </c>
      <c r="C8" s="122" t="str">
        <f>IF($AE8="","",IF($AE8&lt;=1200,IF(INDEX(对接源_01水果!$S$4:$S$1203,$AE8)=0,"",INDEX(对接源_01水果!$S$4:$S$1203,$AE8)),IF(INDEX(对接源_02物料!$S$4:$S$1203,$AE8-1200)=0,"",INDEX(对接源_02物料!$S$4:$S$1203,$AE8-1200))))</f>
        <v>公司红周转筐</v>
      </c>
      <c r="D8" s="164">
        <f>IF($AE8="","",IF($AE8&lt;=1200,IF(INDEX(对接源_01水果!$T$4:$T$1203,$AE8)=0,"",INDEX(对接源_01水果!$T$4:$T$1203,$AE8)),IF(INDEX(对接源_02物料!$T$4:$T$1203,$AE8-1200)=0,"",INDEX(对接源_02物料!$T$4:$T$1203,$AE8-1200))))</f>
        <v>960</v>
      </c>
      <c r="E8" s="61" t="str">
        <f>IF($AE8="","",IF($AE8&lt;=1200,IF(INDEX(对接源_01水果!$W$4:$W$1203,$AE8)=0,"",INDEX(对接源_01水果!$W$4:$W$1203,$AE8)),IF(INDEX(对接源_02物料!$W$4:$W$1203,$AE8-1200)=0,"",INDEX(对接源_02物料!$W$4:$W$1203,$AE8-1200))))</f>
        <v>新N*49209</v>
      </c>
      <c r="F8" s="61" t="str">
        <f>IF($AE8="","",IF($AE8&lt;=1200,"01水果册","02物料册"))</f>
        <v>02物料册</v>
      </c>
      <c r="G8" s="122">
        <f>IF($AE8="","",IF($AE8&lt;=1200,IF(INDEX(对接源_01水果!$M$4:$M$1203,$AE8)=0,"",INDEX(对接源_01水果!$M$4:$M$1203,$AE8)),IF(INDEX(对接源_02物料!$M$4:$M$1203,$AE8-1200)=0,"",INDEX(对接源_02物料!$M$4:$M$1203,$AE8-1200))))</f>
      </c>
      <c r="AE8" s="128">
        <f>IFERROR(MATCH(3,_自动清单!$Q$4:$Q$2403,0),"")</f>
        <v>1344</v>
      </c>
    </row>
    <row r="9" ht="18" customHeight="1" s="127">
      <c r="A9" s="165">
        <f>IF($AE9="","",IF($AE9&lt;=1200,IF(INDEX(对接源_01水果!$B$4:$B$1203,$AE9)=0,"",INDEX(对接源_01水果!$B$4:$B$1203,$AE9)),IF(INDEX(对接源_02物料!$B$4:$B$1203,$AE9-1200)=0,"",INDEX(对接源_02物料!$B$4:$B$1203,$AE9-1200))))</f>
        <v>46278.0</v>
      </c>
      <c r="B9" s="104" t="str">
        <f>IF($AE9="","",IF($AE9&lt;=1200,IF(INDEX(对接源_01水果!$E$4:$E$1203,$AE9)=0,"",INDEX(对接源_01水果!$E$4:$E$1203,$AE9)),IF(INDEX(对接源_02物料!$E$4:$E$1203,$AE9-1200)=0,"",INDEX(对接源_02物料!$E$4:$E$1203,$AE9-1200))))</f>
        <v>NO:0001135</v>
      </c>
      <c r="C9" s="131" t="str">
        <f>IF($AE9="","",IF($AE9&lt;=1200,IF(INDEX(对接源_01水果!$S$4:$S$1203,$AE9)=0,"",INDEX(对接源_01水果!$S$4:$S$1203,$AE9)),IF(INDEX(对接源_02物料!$S$4:$S$1203,$AE9-1200)=0,"",INDEX(对接源_02物料!$S$4:$S$1203,$AE9-1200))))</f>
        <v>公司红周转筐</v>
      </c>
      <c r="D9" s="166">
        <f>IF($AE9="","",IF($AE9&lt;=1200,IF(INDEX(对接源_01水果!$T$4:$T$1203,$AE9)=0,"",INDEX(对接源_01水果!$T$4:$T$1203,$AE9)),IF(INDEX(对接源_02物料!$T$4:$T$1203,$AE9-1200)=0,"",INDEX(对接源_02物料!$T$4:$T$1203,$AE9-1200))))</f>
        <v>960</v>
      </c>
      <c r="E9" s="104" t="str">
        <f>IF($AE9="","",IF($AE9&lt;=1200,IF(INDEX(对接源_01水果!$W$4:$W$1203,$AE9)=0,"",INDEX(对接源_01水果!$W$4:$W$1203,$AE9)),IF(INDEX(对接源_02物料!$W$4:$W$1203,$AE9-1200)=0,"",INDEX(对接源_02物料!$W$4:$W$1203,$AE9-1200))))</f>
        <v>新N*49209</v>
      </c>
      <c r="F9" s="104" t="str">
        <f>IF($AE9="","",IF($AE9&lt;=1200,"01水果册","02物料册"))</f>
        <v>02物料册</v>
      </c>
      <c r="G9" s="131">
        <f>IF($AE9="","",IF($AE9&lt;=1200,IF(INDEX(对接源_01水果!$M$4:$M$1203,$AE9)=0,"",INDEX(对接源_01水果!$M$4:$M$1203,$AE9)),IF(INDEX(对接源_02物料!$M$4:$M$1203,$AE9-1200)=0,"",INDEX(对接源_02物料!$M$4:$M$1203,$AE9-1200))))</f>
      </c>
      <c r="AE9" s="128">
        <f>IFERROR(MATCH(4,_自动清单!$Q$4:$Q$2403,0),"")</f>
        <v>1347</v>
      </c>
    </row>
    <row r="10" ht="18" customHeight="1" s="127">
      <c r="A10" s="163">
        <f>IF($AE10="","",IF($AE10&lt;=1200,IF(INDEX(对接源_01水果!$B$4:$B$1203,$AE10)=0,"",INDEX(对接源_01水果!$B$4:$B$1203,$AE10)),IF(INDEX(对接源_02物料!$B$4:$B$1203,$AE10-1200)=0,"",INDEX(对接源_02物料!$B$4:$B$1203,$AE10-1200))))</f>
        <v>46280.0</v>
      </c>
      <c r="B10" s="61" t="str">
        <f>IF($AE10="","",IF($AE10&lt;=1200,IF(INDEX(对接源_01水果!$E$4:$E$1203,$AE10)=0,"",INDEX(对接源_01水果!$E$4:$E$1203,$AE10)),IF(INDEX(对接源_02物料!$E$4:$E$1203,$AE10-1200)=0,"",INDEX(对接源_02物料!$E$4:$E$1203,$AE10-1200))))</f>
        <v>NO:0001146</v>
      </c>
      <c r="C10" s="122" t="str">
        <f>IF($AE10="","",IF($AE10&lt;=1200,IF(INDEX(对接源_01水果!$S$4:$S$1203,$AE10)=0,"",INDEX(对接源_01水果!$S$4:$S$1203,$AE10)),IF(INDEX(对接源_02物料!$S$4:$S$1203,$AE10-1200)=0,"",INDEX(对接源_02物料!$S$4:$S$1203,$AE10-1200))))</f>
        <v>公司红周转筐</v>
      </c>
      <c r="D10" s="164">
        <f>IF($AE10="","",IF($AE10&lt;=1200,IF(INDEX(对接源_01水果!$T$4:$T$1203,$AE10)=0,"",INDEX(对接源_01水果!$T$4:$T$1203,$AE10)),IF(INDEX(对接源_02物料!$T$4:$T$1203,$AE10-1200)=0,"",INDEX(对接源_02物料!$T$4:$T$1203,$AE10-1200))))</f>
        <v>960</v>
      </c>
      <c r="E10" s="61" t="str">
        <f>IF($AE10="","",IF($AE10&lt;=1200,IF(INDEX(对接源_01水果!$W$4:$W$1203,$AE10)=0,"",INDEX(对接源_01水果!$W$4:$W$1203,$AE10)),IF(INDEX(对接源_02物料!$W$4:$W$1203,$AE10-1200)=0,"",INDEX(对接源_02物料!$W$4:$W$1203,$AE10-1200))))</f>
        <v>新N*49209</v>
      </c>
      <c r="F10" s="61" t="str">
        <f>IF($AE10="","",IF($AE10&lt;=1200,"01水果册","02物料册"))</f>
        <v>02物料册</v>
      </c>
      <c r="G10" s="122">
        <f>IF($AE10="","",IF($AE10&lt;=1200,IF(INDEX(对接源_01水果!$M$4:$M$1203,$AE10)=0,"",INDEX(对接源_01水果!$M$4:$M$1203,$AE10)),IF(INDEX(对接源_02物料!$M$4:$M$1203,$AE10-1200)=0,"",INDEX(对接源_02物料!$M$4:$M$1203,$AE10-1200))))</f>
      </c>
      <c r="AE10" s="128">
        <f>IFERROR(MATCH(5,_自动清单!$Q$4:$Q$2403,0),"")</f>
        <v>1356</v>
      </c>
    </row>
    <row r="11" ht="18" customHeight="1" s="127">
      <c r="A11" s="165">
        <f>IF($AE11="","",IF($AE11&lt;=1200,IF(INDEX(对接源_01水果!$B$4:$B$1203,$AE11)=0,"",INDEX(对接源_01水果!$B$4:$B$1203,$AE11)),IF(INDEX(对接源_02物料!$B$4:$B$1203,$AE11-1200)=0,"",INDEX(对接源_02物料!$B$4:$B$1203,$AE11-1200))))</f>
        <v>46282.0</v>
      </c>
      <c r="B11" s="104" t="str">
        <f>IF($AE11="","",IF($AE11&lt;=1200,IF(INDEX(对接源_01水果!$E$4:$E$1203,$AE11)=0,"",INDEX(对接源_01水果!$E$4:$E$1203,$AE11)),IF(INDEX(对接源_02物料!$E$4:$E$1203,$AE11-1200)=0,"",INDEX(对接源_02物料!$E$4:$E$1203,$AE11-1200))))</f>
        <v>NO:0001160</v>
      </c>
      <c r="C11" s="131" t="str">
        <f>IF($AE11="","",IF($AE11&lt;=1200,IF(INDEX(对接源_01水果!$S$4:$S$1203,$AE11)=0,"",INDEX(对接源_01水果!$S$4:$S$1203,$AE11)),IF(INDEX(对接源_02物料!$S$4:$S$1203,$AE11-1200)=0,"",INDEX(对接源_02物料!$S$4:$S$1203,$AE11-1200))))</f>
        <v>公司红周转筐</v>
      </c>
      <c r="D11" s="166">
        <f>IF($AE11="","",IF($AE11&lt;=1200,IF(INDEX(对接源_01水果!$T$4:$T$1203,$AE11)=0,"",INDEX(对接源_01水果!$T$4:$T$1203,$AE11)),IF(INDEX(对接源_02物料!$T$4:$T$1203,$AE11-1200)=0,"",INDEX(对接源_02物料!$T$4:$T$1203,$AE11-1200))))</f>
        <v>936</v>
      </c>
      <c r="E11" s="104" t="str">
        <f>IF($AE11="","",IF($AE11&lt;=1200,IF(INDEX(对接源_01水果!$W$4:$W$1203,$AE11)=0,"",INDEX(对接源_01水果!$W$4:$W$1203,$AE11)),IF(INDEX(对接源_02物料!$W$4:$W$1203,$AE11-1200)=0,"",INDEX(对接源_02物料!$W$4:$W$1203,$AE11-1200))))</f>
        <v>新N*49209</v>
      </c>
      <c r="F11" s="104" t="str">
        <f>IF($AE11="","",IF($AE11&lt;=1200,"01水果册","02物料册"))</f>
        <v>02物料册</v>
      </c>
      <c r="G11" s="131">
        <f>IF($AE11="","",IF($AE11&lt;=1200,IF(INDEX(对接源_01水果!$M$4:$M$1203,$AE11)=0,"",INDEX(对接源_01水果!$M$4:$M$1203,$AE11)),IF(INDEX(对接源_02物料!$M$4:$M$1203,$AE11-1200)=0,"",INDEX(对接源_02物料!$M$4:$M$1203,$AE11-1200))))</f>
      </c>
      <c r="AE11" s="128">
        <f>IFERROR(MATCH(6,_自动清单!$Q$4:$Q$2403,0),"")</f>
        <v>1372</v>
      </c>
    </row>
    <row r="12" ht="18" customHeight="1" s="127">
      <c r="A12" s="163">
        <f>IF($AE12="","",IF($AE12&lt;=1200,IF(INDEX(对接源_01水果!$B$4:$B$1203,$AE12)=0,"",INDEX(对接源_01水果!$B$4:$B$1203,$AE12)),IF(INDEX(对接源_02物料!$B$4:$B$1203,$AE12-1200)=0,"",INDEX(对接源_02物料!$B$4:$B$1203,$AE12-1200))))</f>
        <v>46282.0</v>
      </c>
      <c r="B12" s="61" t="str">
        <f>IF($AE12="","",IF($AE12&lt;=1200,IF(INDEX(对接源_01水果!$E$4:$E$1203,$AE12)=0,"",INDEX(对接源_01水果!$E$4:$E$1203,$AE12)),IF(INDEX(对接源_02物料!$E$4:$E$1203,$AE12-1200)=0,"",INDEX(对接源_02物料!$E$4:$E$1203,$AE12-1200))))</f>
        <v>NO:0001167</v>
      </c>
      <c r="C12" s="122" t="str">
        <f>IF($AE12="","",IF($AE12&lt;=1200,IF(INDEX(对接源_01水果!$S$4:$S$1203,$AE12)=0,"",INDEX(对接源_01水果!$S$4:$S$1203,$AE12)),IF(INDEX(对接源_02物料!$S$4:$S$1203,$AE12-1200)=0,"",INDEX(对接源_02物料!$S$4:$S$1203,$AE12-1200))))</f>
        <v>公司红周转筐</v>
      </c>
      <c r="D12" s="164">
        <f>IF($AE12="","",IF($AE12&lt;=1200,IF(INDEX(对接源_01水果!$T$4:$T$1203,$AE12)=0,"",INDEX(对接源_01水果!$T$4:$T$1203,$AE12)),IF(INDEX(对接源_02物料!$T$4:$T$1203,$AE12-1200)=0,"",INDEX(对接源_02物料!$T$4:$T$1203,$AE12-1200))))</f>
        <v>801</v>
      </c>
      <c r="E12" s="61" t="str">
        <f>IF($AE12="","",IF($AE12&lt;=1200,IF(INDEX(对接源_01水果!$W$4:$W$1203,$AE12)=0,"",INDEX(对接源_01水果!$W$4:$W$1203,$AE12)),IF(INDEX(对接源_02物料!$W$4:$W$1203,$AE12-1200)=0,"",INDEX(对接源_02物料!$W$4:$W$1203,$AE12-1200))))</f>
        <v>新N*49209</v>
      </c>
      <c r="F12" s="61" t="str">
        <f>IF($AE12="","",IF($AE12&lt;=1200,"01水果册","02物料册"))</f>
        <v>02物料册</v>
      </c>
      <c r="G12" s="122">
        <f>IF($AE12="","",IF($AE12&lt;=1200,IF(INDEX(对接源_01水果!$M$4:$M$1203,$AE12)=0,"",INDEX(对接源_01水果!$M$4:$M$1203,$AE12)),IF(INDEX(对接源_02物料!$M$4:$M$1203,$AE12-1200)=0,"",INDEX(对接源_02物料!$M$4:$M$1203,$AE12-1200))))</f>
      </c>
      <c r="AE12" s="128">
        <f>IFERROR(MATCH(7,_自动清单!$Q$4:$Q$2403,0),"")</f>
        <v>1374</v>
      </c>
    </row>
    <row r="13" ht="18" customHeight="1" s="127">
      <c r="A13" s="165">
        <f>IF($AE13="","",IF($AE13&lt;=1200,IF(INDEX(对接源_01水果!$B$4:$B$1203,$AE13)=0,"",INDEX(对接源_01水果!$B$4:$B$1203,$AE13)),IF(INDEX(对接源_02物料!$B$4:$B$1203,$AE13-1200)=0,"",INDEX(对接源_02物料!$B$4:$B$1203,$AE13-1200))))</f>
        <v>46283.0</v>
      </c>
      <c r="B13" s="104" t="str">
        <f>IF($AE13="","",IF($AE13&lt;=1200,IF(INDEX(对接源_01水果!$E$4:$E$1203,$AE13)=0,"",INDEX(对接源_01水果!$E$4:$E$1203,$AE13)),IF(INDEX(对接源_02物料!$E$4:$E$1203,$AE13-1200)=0,"",INDEX(对接源_02物料!$E$4:$E$1203,$AE13-1200))))</f>
        <v>NO:0001176</v>
      </c>
      <c r="C13" s="131" t="str">
        <f>IF($AE13="","",IF($AE13&lt;=1200,IF(INDEX(对接源_01水果!$S$4:$S$1203,$AE13)=0,"",INDEX(对接源_01水果!$S$4:$S$1203,$AE13)),IF(INDEX(对接源_02物料!$S$4:$S$1203,$AE13-1200)=0,"",INDEX(对接源_02物料!$S$4:$S$1203,$AE13-1200))))</f>
        <v>公司红周转筐</v>
      </c>
      <c r="D13" s="166">
        <f>IF($AE13="","",IF($AE13&lt;=1200,IF(INDEX(对接源_01水果!$T$4:$T$1203,$AE13)=0,"",INDEX(对接源_01水果!$T$4:$T$1203,$AE13)),IF(INDEX(对接源_02物料!$T$4:$T$1203,$AE13-1200)=0,"",INDEX(对接源_02物料!$T$4:$T$1203,$AE13-1200))))</f>
        <v>960</v>
      </c>
      <c r="E13" s="104" t="str">
        <f>IF($AE13="","",IF($AE13&lt;=1200,IF(INDEX(对接源_01水果!$W$4:$W$1203,$AE13)=0,"",INDEX(对接源_01水果!$W$4:$W$1203,$AE13)),IF(INDEX(对接源_02物料!$W$4:$W$1203,$AE13-1200)=0,"",INDEX(对接源_02物料!$W$4:$W$1203,$AE13-1200))))</f>
        <v>新N*49209</v>
      </c>
      <c r="F13" s="104" t="str">
        <f>IF($AE13="","",IF($AE13&lt;=1200,"01水果册","02物料册"))</f>
        <v>02物料册</v>
      </c>
      <c r="G13" s="131">
        <f>IF($AE13="","",IF($AE13&lt;=1200,IF(INDEX(对接源_01水果!$M$4:$M$1203,$AE13)=0,"",INDEX(对接源_01水果!$M$4:$M$1203,$AE13)),IF(INDEX(对接源_02物料!$M$4:$M$1203,$AE13-1200)=0,"",INDEX(对接源_02物料!$M$4:$M$1203,$AE13-1200))))</f>
      </c>
      <c r="AE13" s="128">
        <f>IFERROR(MATCH(8,_自动清单!$Q$4:$Q$2403,0),"")</f>
        <v>1383</v>
      </c>
    </row>
    <row r="14" ht="18" customHeight="1" s="127">
      <c r="A14" s="163">
        <f>IF($AE14="","",IF($AE14&lt;=1200,IF(INDEX(对接源_01水果!$B$4:$B$1203,$AE14)=0,"",INDEX(对接源_01水果!$B$4:$B$1203,$AE14)),IF(INDEX(对接源_02物料!$B$4:$B$1203,$AE14-1200)=0,"",INDEX(对接源_02物料!$B$4:$B$1203,$AE14-1200))))</f>
        <v>46284.0</v>
      </c>
      <c r="B14" s="61" t="str">
        <f>IF($AE14="","",IF($AE14&lt;=1200,IF(INDEX(对接源_01水果!$E$4:$E$1203,$AE14)=0,"",INDEX(对接源_01水果!$E$4:$E$1203,$AE14)),IF(INDEX(对接源_02物料!$E$4:$E$1203,$AE14-1200)=0,"",INDEX(对接源_02物料!$E$4:$E$1203,$AE14-1200))))</f>
        <v>NO:0001186</v>
      </c>
      <c r="C14" s="122" t="str">
        <f>IF($AE14="","",IF($AE14&lt;=1200,IF(INDEX(对接源_01水果!$S$4:$S$1203,$AE14)=0,"",INDEX(对接源_01水果!$S$4:$S$1203,$AE14)),IF(INDEX(对接源_02物料!$S$4:$S$1203,$AE14-1200)=0,"",INDEX(对接源_02物料!$S$4:$S$1203,$AE14-1200))))</f>
        <v>公司红周转筐</v>
      </c>
      <c r="D14" s="164">
        <f>IF($AE14="","",IF($AE14&lt;=1200,IF(INDEX(对接源_01水果!$T$4:$T$1203,$AE14)=0,"",INDEX(对接源_01水果!$T$4:$T$1203,$AE14)),IF(INDEX(对接源_02物料!$T$4:$T$1203,$AE14-1200)=0,"",INDEX(对接源_02物料!$T$4:$T$1203,$AE14-1200))))</f>
        <v>960</v>
      </c>
      <c r="E14" s="61" t="str">
        <f>IF($AE14="","",IF($AE14&lt;=1200,IF(INDEX(对接源_01水果!$W$4:$W$1203,$AE14)=0,"",INDEX(对接源_01水果!$W$4:$W$1203,$AE14)),IF(INDEX(对接源_02物料!$W$4:$W$1203,$AE14-1200)=0,"",INDEX(对接源_02物料!$W$4:$W$1203,$AE14-1200))))</f>
        <v>新N*49209</v>
      </c>
      <c r="F14" s="61" t="str">
        <f>IF($AE14="","",IF($AE14&lt;=1200,"01水果册","02物料册"))</f>
        <v>02物料册</v>
      </c>
      <c r="G14" s="122">
        <f>IF($AE14="","",IF($AE14&lt;=1200,IF(INDEX(对接源_01水果!$M$4:$M$1203,$AE14)=0,"",INDEX(对接源_01水果!$M$4:$M$1203,$AE14)),IF(INDEX(对接源_02物料!$M$4:$M$1203,$AE14-1200)=0,"",INDEX(对接源_02物料!$M$4:$M$1203,$AE14-1200))))</f>
      </c>
      <c r="AE14" s="128">
        <f>IFERROR(MATCH(9,_自动清单!$Q$4:$Q$2403,0),"")</f>
        <v>1393</v>
      </c>
    </row>
    <row r="15" ht="18" customHeight="1" s="127">
      <c r="A15" s="165">
        <f>IF($AE15="","",IF($AE15&lt;=1200,IF(INDEX(对接源_01水果!$B$4:$B$1203,$AE15)=0,"",INDEX(对接源_01水果!$B$4:$B$1203,$AE15)),IF(INDEX(对接源_02物料!$B$4:$B$1203,$AE15-1200)=0,"",INDEX(对接源_02物料!$B$4:$B$1203,$AE15-1200))))</f>
        <v>46285.0</v>
      </c>
      <c r="B15" s="104" t="str">
        <f>IF($AE15="","",IF($AE15&lt;=1200,IF(INDEX(对接源_01水果!$E$4:$E$1203,$AE15)=0,"",INDEX(对接源_01水果!$E$4:$E$1203,$AE15)),IF(INDEX(对接源_02物料!$E$4:$E$1203,$AE15-1200)=0,"",INDEX(对接源_02物料!$E$4:$E$1203,$AE15-1200))))</f>
        <v>NO:0001204</v>
      </c>
      <c r="C15" s="131" t="str">
        <f>IF($AE15="","",IF($AE15&lt;=1200,IF(INDEX(对接源_01水果!$S$4:$S$1203,$AE15)=0,"",INDEX(对接源_01水果!$S$4:$S$1203,$AE15)),IF(INDEX(对接源_02物料!$S$4:$S$1203,$AE15-1200)=0,"",INDEX(对接源_02物料!$S$4:$S$1203,$AE15-1200))))</f>
        <v>公司红周转筐</v>
      </c>
      <c r="D15" s="166">
        <f>IF($AE15="","",IF($AE15&lt;=1200,IF(INDEX(对接源_01水果!$T$4:$T$1203,$AE15)=0,"",INDEX(对接源_01水果!$T$4:$T$1203,$AE15)),IF(INDEX(对接源_02物料!$T$4:$T$1203,$AE15-1200)=0,"",INDEX(对接源_02物料!$T$4:$T$1203,$AE15-1200))))</f>
        <v>960</v>
      </c>
      <c r="E15" s="104" t="str">
        <f>IF($AE15="","",IF($AE15&lt;=1200,IF(INDEX(对接源_01水果!$W$4:$W$1203,$AE15)=0,"",INDEX(对接源_01水果!$W$4:$W$1203,$AE15)),IF(INDEX(对接源_02物料!$W$4:$W$1203,$AE15-1200)=0,"",INDEX(对接源_02物料!$W$4:$W$1203,$AE15-1200))))</f>
        <v>新N*49209</v>
      </c>
      <c r="F15" s="104" t="str">
        <f>IF($AE15="","",IF($AE15&lt;=1200,"01水果册","02物料册"))</f>
        <v>02物料册</v>
      </c>
      <c r="G15" s="131">
        <f>IF($AE15="","",IF($AE15&lt;=1200,IF(INDEX(对接源_01水果!$M$4:$M$1203,$AE15)=0,"",INDEX(对接源_01水果!$M$4:$M$1203,$AE15)),IF(INDEX(对接源_02物料!$M$4:$M$1203,$AE15-1200)=0,"",INDEX(对接源_02物料!$M$4:$M$1203,$AE15-1200))))</f>
      </c>
      <c r="AE15" s="128">
        <f>IFERROR(MATCH(10,_自动清单!$Q$4:$Q$2403,0),"")</f>
        <v>1408</v>
      </c>
    </row>
    <row r="16" ht="18" customHeight="1" s="127">
      <c r="A16" s="163">
        <f>IF($AE16="","",IF($AE16&lt;=1200,IF(INDEX(对接源_01水果!$B$4:$B$1203,$AE16)=0,"",INDEX(对接源_01水果!$B$4:$B$1203,$AE16)),IF(INDEX(对接源_02物料!$B$4:$B$1203,$AE16-1200)=0,"",INDEX(对接源_02物料!$B$4:$B$1203,$AE16-1200))))</f>
        <v>46286.0</v>
      </c>
      <c r="B16" s="61" t="str">
        <f>IF($AE16="","",IF($AE16&lt;=1200,IF(INDEX(对接源_01水果!$E$4:$E$1203,$AE16)=0,"",INDEX(对接源_01水果!$E$4:$E$1203,$AE16)),IF(INDEX(对接源_02物料!$E$4:$E$1203,$AE16-1200)=0,"",INDEX(对接源_02物料!$E$4:$E$1203,$AE16-1200))))</f>
        <v>NO:0001210</v>
      </c>
      <c r="C16" s="122" t="str">
        <f>IF($AE16="","",IF($AE16&lt;=1200,IF(INDEX(对接源_01水果!$S$4:$S$1203,$AE16)=0,"",INDEX(对接源_01水果!$S$4:$S$1203,$AE16)),IF(INDEX(对接源_02物料!$S$4:$S$1203,$AE16-1200)=0,"",INDEX(对接源_02物料!$S$4:$S$1203,$AE16-1200))))</f>
        <v>公司红周转筐</v>
      </c>
      <c r="D16" s="164">
        <f>IF($AE16="","",IF($AE16&lt;=1200,IF(INDEX(对接源_01水果!$T$4:$T$1203,$AE16)=0,"",INDEX(对接源_01水果!$T$4:$T$1203,$AE16)),IF(INDEX(对接源_02物料!$T$4:$T$1203,$AE16-1200)=0,"",INDEX(对接源_02物料!$T$4:$T$1203,$AE16-1200))))</f>
        <v>960</v>
      </c>
      <c r="E16" s="61" t="str">
        <f>IF($AE16="","",IF($AE16&lt;=1200,IF(INDEX(对接源_01水果!$W$4:$W$1203,$AE16)=0,"",INDEX(对接源_01水果!$W$4:$W$1203,$AE16)),IF(INDEX(对接源_02物料!$W$4:$W$1203,$AE16-1200)=0,"",INDEX(对接源_02物料!$W$4:$W$1203,$AE16-1200))))</f>
        <v>新N*49209</v>
      </c>
      <c r="F16" s="61" t="str">
        <f>IF($AE16="","",IF($AE16&lt;=1200,"01水果册","02物料册"))</f>
        <v>02物料册</v>
      </c>
      <c r="G16" s="122">
        <f>IF($AE16="","",IF($AE16&lt;=1200,IF(INDEX(对接源_01水果!$M$4:$M$1203,$AE16)=0,"",INDEX(对接源_01水果!$M$4:$M$1203,$AE16)),IF(INDEX(对接源_02物料!$M$4:$M$1203,$AE16-1200)=0,"",INDEX(对接源_02物料!$M$4:$M$1203,$AE16-1200))))</f>
      </c>
      <c r="AE16" s="128">
        <f>IFERROR(MATCH(11,_自动清单!$Q$4:$Q$2403,0),"")</f>
        <v>1416</v>
      </c>
    </row>
    <row r="17" ht="18" customHeight="1" s="127">
      <c r="A17" s="165">
        <f>IF($AE17="","",IF($AE17&lt;=1200,IF(INDEX(对接源_01水果!$B$4:$B$1203,$AE17)=0,"",INDEX(对接源_01水果!$B$4:$B$1203,$AE17)),IF(INDEX(对接源_02物料!$B$4:$B$1203,$AE17-1200)=0,"",INDEX(对接源_02物料!$B$4:$B$1203,$AE17-1200))))</f>
        <v>46287.0</v>
      </c>
      <c r="B17" s="104" t="str">
        <f>IF($AE17="","",IF($AE17&lt;=1200,IF(INDEX(对接源_01水果!$E$4:$E$1203,$AE17)=0,"",INDEX(对接源_01水果!$E$4:$E$1203,$AE17)),IF(INDEX(对接源_02物料!$E$4:$E$1203,$AE17-1200)=0,"",INDEX(对接源_02物料!$E$4:$E$1203,$AE17-1200))))</f>
        <v>NO:0001217</v>
      </c>
      <c r="C17" s="131" t="str">
        <f>IF($AE17="","",IF($AE17&lt;=1200,IF(INDEX(对接源_01水果!$S$4:$S$1203,$AE17)=0,"",INDEX(对接源_01水果!$S$4:$S$1203,$AE17)),IF(INDEX(对接源_02物料!$S$4:$S$1203,$AE17-1200)=0,"",INDEX(对接源_02物料!$S$4:$S$1203,$AE17-1200))))</f>
        <v>公司红周转筐</v>
      </c>
      <c r="D17" s="166">
        <f>IF($AE17="","",IF($AE17&lt;=1200,IF(INDEX(对接源_01水果!$T$4:$T$1203,$AE17)=0,"",INDEX(对接源_01水果!$T$4:$T$1203,$AE17)),IF(INDEX(对接源_02物料!$T$4:$T$1203,$AE17-1200)=0,"",INDEX(对接源_02物料!$T$4:$T$1203,$AE17-1200))))</f>
        <v>960</v>
      </c>
      <c r="E17" s="104" t="str">
        <f>IF($AE17="","",IF($AE17&lt;=1200,IF(INDEX(对接源_01水果!$W$4:$W$1203,$AE17)=0,"",INDEX(对接源_01水果!$W$4:$W$1203,$AE17)),IF(INDEX(对接源_02物料!$W$4:$W$1203,$AE17-1200)=0,"",INDEX(对接源_02物料!$W$4:$W$1203,$AE17-1200))))</f>
        <v>新N*49209</v>
      </c>
      <c r="F17" s="104" t="str">
        <f>IF($AE17="","",IF($AE17&lt;=1200,"01水果册","02物料册"))</f>
        <v>02物料册</v>
      </c>
      <c r="G17" s="131">
        <f>IF($AE17="","",IF($AE17&lt;=1200,IF(INDEX(对接源_01水果!$M$4:$M$1203,$AE17)=0,"",INDEX(对接源_01水果!$M$4:$M$1203,$AE17)),IF(INDEX(对接源_02物料!$M$4:$M$1203,$AE17-1200)=0,"",INDEX(对接源_02物料!$M$4:$M$1203,$AE17-1200))))</f>
      </c>
      <c r="AE17" s="128">
        <f>IFERROR(MATCH(12,_自动清单!$Q$4:$Q$2403,0),"")</f>
        <v>1420</v>
      </c>
    </row>
    <row r="18" ht="18" customHeight="1" s="127">
      <c r="A18" s="163">
        <f>IF($AE18="","",IF($AE18&lt;=1200,IF(INDEX(对接源_01水果!$B$4:$B$1203,$AE18)=0,"",INDEX(对接源_01水果!$B$4:$B$1203,$AE18)),IF(INDEX(对接源_02物料!$B$4:$B$1203,$AE18-1200)=0,"",INDEX(对接源_02物料!$B$4:$B$1203,$AE18-1200))))</f>
        <v>46288.0</v>
      </c>
      <c r="B18" s="61" t="str">
        <f>IF($AE18="","",IF($AE18&lt;=1200,IF(INDEX(对接源_01水果!$E$4:$E$1203,$AE18)=0,"",INDEX(对接源_01水果!$E$4:$E$1203,$AE18)),IF(INDEX(对接源_02物料!$E$4:$E$1203,$AE18-1200)=0,"",INDEX(对接源_02物料!$E$4:$E$1203,$AE18-1200))))</f>
        <v>NO:0001224</v>
      </c>
      <c r="C18" s="122" t="str">
        <f>IF($AE18="","",IF($AE18&lt;=1200,IF(INDEX(对接源_01水果!$S$4:$S$1203,$AE18)=0,"",INDEX(对接源_01水果!$S$4:$S$1203,$AE18)),IF(INDEX(对接源_02物料!$S$4:$S$1203,$AE18-1200)=0,"",INDEX(对接源_02物料!$S$4:$S$1203,$AE18-1200))))</f>
        <v>公司红周转筐</v>
      </c>
      <c r="D18" s="164">
        <f>IF($AE18="","",IF($AE18&lt;=1200,IF(INDEX(对接源_01水果!$T$4:$T$1203,$AE18)=0,"",INDEX(对接源_01水果!$T$4:$T$1203,$AE18)),IF(INDEX(对接源_02物料!$T$4:$T$1203,$AE18-1200)=0,"",INDEX(对接源_02物料!$T$4:$T$1203,$AE18-1200))))</f>
        <v>600</v>
      </c>
      <c r="E18" s="61" t="str">
        <f>IF($AE18="","",IF($AE18&lt;=1200,IF(INDEX(对接源_01水果!$W$4:$W$1203,$AE18)=0,"",INDEX(对接源_01水果!$W$4:$W$1203,$AE18)),IF(INDEX(对接源_02物料!$W$4:$W$1203,$AE18-1200)=0,"",INDEX(对接源_02物料!$W$4:$W$1203,$AE18-1200))))</f>
        <v>新N*49209</v>
      </c>
      <c r="F18" s="61" t="str">
        <f>IF($AE18="","",IF($AE18&lt;=1200,"01水果册","02物料册"))</f>
        <v>02物料册</v>
      </c>
      <c r="G18" s="122">
        <f>IF($AE18="","",IF($AE18&lt;=1200,IF(INDEX(对接源_01水果!$M$4:$M$1203,$AE18)=0,"",INDEX(对接源_01水果!$M$4:$M$1203,$AE18)),IF(INDEX(对接源_02物料!$M$4:$M$1203,$AE18-1200)=0,"",INDEX(对接源_02物料!$M$4:$M$1203,$AE18-1200))))</f>
      </c>
      <c r="AE18" s="128">
        <f>IFERROR(MATCH(13,_自动清单!$Q$4:$Q$2403,0),"")</f>
        <v>1426</v>
      </c>
    </row>
    <row r="19" ht="18" customHeight="1" s="127">
      <c r="A19" s="165">
        <f>IF($AE19="","",IF($AE19&lt;=1200,IF(INDEX(对接源_01水果!$B$4:$B$1203,$AE19)=0,"",INDEX(对接源_01水果!$B$4:$B$1203,$AE19)),IF(INDEX(对接源_02物料!$B$4:$B$1203,$AE19-1200)=0,"",INDEX(对接源_02物料!$B$4:$B$1203,$AE19-1200))))</f>
        <v>46292.0</v>
      </c>
      <c r="B19" s="104" t="str">
        <f>IF($AE19="","",IF($AE19&lt;=1200,IF(INDEX(对接源_01水果!$E$4:$E$1203,$AE19)=0,"",INDEX(对接源_01水果!$E$4:$E$1203,$AE19)),IF(INDEX(对接源_02物料!$E$4:$E$1203,$AE19-1200)=0,"",INDEX(对接源_02物料!$E$4:$E$1203,$AE19-1200))))</f>
        <v>NO:0001242</v>
      </c>
      <c r="C19" s="131" t="str">
        <f>IF($AE19="","",IF($AE19&lt;=1200,IF(INDEX(对接源_01水果!$S$4:$S$1203,$AE19)=0,"",INDEX(对接源_01水果!$S$4:$S$1203,$AE19)),IF(INDEX(对接源_02物料!$S$4:$S$1203,$AE19-1200)=0,"",INDEX(对接源_02物料!$S$4:$S$1203,$AE19-1200))))</f>
        <v>公司红周转筐</v>
      </c>
      <c r="D19" s="166">
        <f>IF($AE19="","",IF($AE19&lt;=1200,IF(INDEX(对接源_01水果!$T$4:$T$1203,$AE19)=0,"",INDEX(对接源_01水果!$T$4:$T$1203,$AE19)),IF(INDEX(对接源_02物料!$T$4:$T$1203,$AE19-1200)=0,"",INDEX(对接源_02物料!$T$4:$T$1203,$AE19-1200))))</f>
        <v>501</v>
      </c>
      <c r="E19" s="104" t="str">
        <f>IF($AE19="","",IF($AE19&lt;=1200,IF(INDEX(对接源_01水果!$W$4:$W$1203,$AE19)=0,"",INDEX(对接源_01水果!$W$4:$W$1203,$AE19)),IF(INDEX(对接源_02物料!$W$4:$W$1203,$AE19-1200)=0,"",INDEX(对接源_02物料!$W$4:$W$1203,$AE19-1200))))</f>
        <v>新N*49209</v>
      </c>
      <c r="F19" s="104" t="str">
        <f>IF($AE19="","",IF($AE19&lt;=1200,"01水果册","02物料册"))</f>
        <v>02物料册</v>
      </c>
      <c r="G19" s="131">
        <f>IF($AE19="","",IF($AE19&lt;=1200,IF(INDEX(对接源_01水果!$M$4:$M$1203,$AE19)=0,"",INDEX(对接源_01水果!$M$4:$M$1203,$AE19)),IF(INDEX(对接源_02物料!$M$4:$M$1203,$AE19-1200)=0,"",INDEX(对接源_02物料!$M$4:$M$1203,$AE19-1200))))</f>
      </c>
      <c r="AE19" s="128">
        <f>IFERROR(MATCH(14,_自动清单!$Q$4:$Q$2403,0),"")</f>
        <v>1444</v>
      </c>
    </row>
    <row r="20" ht="18" customHeight="1" s="127">
      <c r="A20" s="163">
        <f>IF($AE20="","",IF($AE20&lt;=1200,IF(INDEX(对接源_01水果!$B$4:$B$1203,$AE20)=0,"",INDEX(对接源_01水果!$B$4:$B$1203,$AE20)),IF(INDEX(对接源_02物料!$B$4:$B$1203,$AE20-1200)=0,"",INDEX(对接源_02物料!$B$4:$B$1203,$AE20-1200))))</f>
      </c>
      <c r="B20" s="61">
        <f>IF($AE20="","",IF($AE20&lt;=1200,IF(INDEX(对接源_01水果!$E$4:$E$1203,$AE20)=0,"",INDEX(对接源_01水果!$E$4:$E$1203,$AE20)),IF(INDEX(对接源_02物料!$E$4:$E$1203,$AE20-1200)=0,"",INDEX(对接源_02物料!$E$4:$E$1203,$AE20-1200))))</f>
      </c>
      <c r="C20" s="122">
        <f>IF($AE20="","",IF($AE20&lt;=1200,IF(INDEX(对接源_01水果!$S$4:$S$1203,$AE20)=0,"",INDEX(对接源_01水果!$S$4:$S$1203,$AE20)),IF(INDEX(对接源_02物料!$S$4:$S$1203,$AE20-1200)=0,"",INDEX(对接源_02物料!$S$4:$S$1203,$AE20-1200))))</f>
      </c>
      <c r="D20" s="164">
        <f>IF($AE20="","",IF($AE20&lt;=1200,IF(INDEX(对接源_01水果!$T$4:$T$1203,$AE20)=0,"",INDEX(对接源_01水果!$T$4:$T$1203,$AE20)),IF(INDEX(对接源_02物料!$T$4:$T$1203,$AE20-1200)=0,"",INDEX(对接源_02物料!$T$4:$T$1203,$AE20-1200))))</f>
      </c>
      <c r="E20" s="61">
        <f>IF($AE20="","",IF($AE20&lt;=1200,IF(INDEX(对接源_01水果!$W$4:$W$1203,$AE20)=0,"",INDEX(对接源_01水果!$W$4:$W$1203,$AE20)),IF(INDEX(对接源_02物料!$W$4:$W$1203,$AE20-1200)=0,"",INDEX(对接源_02物料!$W$4:$W$1203,$AE20-1200))))</f>
      </c>
      <c r="F20" s="61">
        <f>IF($AE20="","",IF($AE20&lt;=1200,"01水果册","02物料册"))</f>
      </c>
      <c r="G20" s="122">
        <f>IF($AE20="","",IF($AE20&lt;=1200,IF(INDEX(对接源_01水果!$M$4:$M$1203,$AE20)=0,"",INDEX(对接源_01水果!$M$4:$M$1203,$AE20)),IF(INDEX(对接源_02物料!$M$4:$M$1203,$AE20-1200)=0,"",INDEX(对接源_02物料!$M$4:$M$1203,$AE20-1200))))</f>
      </c>
      <c r="AE20" s="128">
        <f>IFERROR(MATCH(15,_自动清单!$Q$4:$Q$2403,0),"")</f>
      </c>
    </row>
    <row r="21" ht="18" customHeight="1" s="127">
      <c r="A21" s="165">
        <f>IF($AE21="","",IF($AE21&lt;=1200,IF(INDEX(对接源_01水果!$B$4:$B$1203,$AE21)=0,"",INDEX(对接源_01水果!$B$4:$B$1203,$AE21)),IF(INDEX(对接源_02物料!$B$4:$B$1203,$AE21-1200)=0,"",INDEX(对接源_02物料!$B$4:$B$1203,$AE21-1200))))</f>
      </c>
      <c r="B21" s="104">
        <f>IF($AE21="","",IF($AE21&lt;=1200,IF(INDEX(对接源_01水果!$E$4:$E$1203,$AE21)=0,"",INDEX(对接源_01水果!$E$4:$E$1203,$AE21)),IF(INDEX(对接源_02物料!$E$4:$E$1203,$AE21-1200)=0,"",INDEX(对接源_02物料!$E$4:$E$1203,$AE21-1200))))</f>
      </c>
      <c r="C21" s="131">
        <f>IF($AE21="","",IF($AE21&lt;=1200,IF(INDEX(对接源_01水果!$S$4:$S$1203,$AE21)=0,"",INDEX(对接源_01水果!$S$4:$S$1203,$AE21)),IF(INDEX(对接源_02物料!$S$4:$S$1203,$AE21-1200)=0,"",INDEX(对接源_02物料!$S$4:$S$1203,$AE21-1200))))</f>
      </c>
      <c r="D21" s="166">
        <f>IF($AE21="","",IF($AE21&lt;=1200,IF(INDEX(对接源_01水果!$T$4:$T$1203,$AE21)=0,"",INDEX(对接源_01水果!$T$4:$T$1203,$AE21)),IF(INDEX(对接源_02物料!$T$4:$T$1203,$AE21-1200)=0,"",INDEX(对接源_02物料!$T$4:$T$1203,$AE21-1200))))</f>
      </c>
      <c r="E21" s="104">
        <f>IF($AE21="","",IF($AE21&lt;=1200,IF(INDEX(对接源_01水果!$W$4:$W$1203,$AE21)=0,"",INDEX(对接源_01水果!$W$4:$W$1203,$AE21)),IF(INDEX(对接源_02物料!$W$4:$W$1203,$AE21-1200)=0,"",INDEX(对接源_02物料!$W$4:$W$1203,$AE21-1200))))</f>
      </c>
      <c r="F21" s="104">
        <f>IF($AE21="","",IF($AE21&lt;=1200,"01水果册","02物料册"))</f>
      </c>
      <c r="G21" s="131">
        <f>IF($AE21="","",IF($AE21&lt;=1200,IF(INDEX(对接源_01水果!$M$4:$M$1203,$AE21)=0,"",INDEX(对接源_01水果!$M$4:$M$1203,$AE21)),IF(INDEX(对接源_02物料!$M$4:$M$1203,$AE21-1200)=0,"",INDEX(对接源_02物料!$M$4:$M$1203,$AE21-1200))))</f>
      </c>
      <c r="AE21" s="128">
        <f>IFERROR(MATCH(16,_自动清单!$Q$4:$Q$2403,0),"")</f>
      </c>
    </row>
    <row r="22" ht="18" customHeight="1" s="127">
      <c r="A22" s="163">
        <f>IF($AE22="","",IF($AE22&lt;=1200,IF(INDEX(对接源_01水果!$B$4:$B$1203,$AE22)=0,"",INDEX(对接源_01水果!$B$4:$B$1203,$AE22)),IF(INDEX(对接源_02物料!$B$4:$B$1203,$AE22-1200)=0,"",INDEX(对接源_02物料!$B$4:$B$1203,$AE22-1200))))</f>
      </c>
      <c r="B22" s="61">
        <f>IF($AE22="","",IF($AE22&lt;=1200,IF(INDEX(对接源_01水果!$E$4:$E$1203,$AE22)=0,"",INDEX(对接源_01水果!$E$4:$E$1203,$AE22)),IF(INDEX(对接源_02物料!$E$4:$E$1203,$AE22-1200)=0,"",INDEX(对接源_02物料!$E$4:$E$1203,$AE22-1200))))</f>
      </c>
      <c r="C22" s="122">
        <f>IF($AE22="","",IF($AE22&lt;=1200,IF(INDEX(对接源_01水果!$S$4:$S$1203,$AE22)=0,"",INDEX(对接源_01水果!$S$4:$S$1203,$AE22)),IF(INDEX(对接源_02物料!$S$4:$S$1203,$AE22-1200)=0,"",INDEX(对接源_02物料!$S$4:$S$1203,$AE22-1200))))</f>
      </c>
      <c r="D22" s="164">
        <f>IF($AE22="","",IF($AE22&lt;=1200,IF(INDEX(对接源_01水果!$T$4:$T$1203,$AE22)=0,"",INDEX(对接源_01水果!$T$4:$T$1203,$AE22)),IF(INDEX(对接源_02物料!$T$4:$T$1203,$AE22-1200)=0,"",INDEX(对接源_02物料!$T$4:$T$1203,$AE22-1200))))</f>
      </c>
      <c r="E22" s="61">
        <f>IF($AE22="","",IF($AE22&lt;=1200,IF(INDEX(对接源_01水果!$W$4:$W$1203,$AE22)=0,"",INDEX(对接源_01水果!$W$4:$W$1203,$AE22)),IF(INDEX(对接源_02物料!$W$4:$W$1203,$AE22-1200)=0,"",INDEX(对接源_02物料!$W$4:$W$1203,$AE22-1200))))</f>
      </c>
      <c r="F22" s="61">
        <f>IF($AE22="","",IF($AE22&lt;=1200,"01水果册","02物料册"))</f>
      </c>
      <c r="G22" s="122">
        <f>IF($AE22="","",IF($AE22&lt;=1200,IF(INDEX(对接源_01水果!$M$4:$M$1203,$AE22)=0,"",INDEX(对接源_01水果!$M$4:$M$1203,$AE22)),IF(INDEX(对接源_02物料!$M$4:$M$1203,$AE22-1200)=0,"",INDEX(对接源_02物料!$M$4:$M$1203,$AE22-1200))))</f>
      </c>
      <c r="AE22" s="128">
        <f>IFERROR(MATCH(17,_自动清单!$Q$4:$Q$2403,0),"")</f>
      </c>
    </row>
    <row r="23" ht="18" customHeight="1" s="127">
      <c r="A23" s="165">
        <f>IF($AE23="","",IF($AE23&lt;=1200,IF(INDEX(对接源_01水果!$B$4:$B$1203,$AE23)=0,"",INDEX(对接源_01水果!$B$4:$B$1203,$AE23)),IF(INDEX(对接源_02物料!$B$4:$B$1203,$AE23-1200)=0,"",INDEX(对接源_02物料!$B$4:$B$1203,$AE23-1200))))</f>
      </c>
      <c r="B23" s="104">
        <f>IF($AE23="","",IF($AE23&lt;=1200,IF(INDEX(对接源_01水果!$E$4:$E$1203,$AE23)=0,"",INDEX(对接源_01水果!$E$4:$E$1203,$AE23)),IF(INDEX(对接源_02物料!$E$4:$E$1203,$AE23-1200)=0,"",INDEX(对接源_02物料!$E$4:$E$1203,$AE23-1200))))</f>
      </c>
      <c r="C23" s="131">
        <f>IF($AE23="","",IF($AE23&lt;=1200,IF(INDEX(对接源_01水果!$S$4:$S$1203,$AE23)=0,"",INDEX(对接源_01水果!$S$4:$S$1203,$AE23)),IF(INDEX(对接源_02物料!$S$4:$S$1203,$AE23-1200)=0,"",INDEX(对接源_02物料!$S$4:$S$1203,$AE23-1200))))</f>
      </c>
      <c r="D23" s="166">
        <f>IF($AE23="","",IF($AE23&lt;=1200,IF(INDEX(对接源_01水果!$T$4:$T$1203,$AE23)=0,"",INDEX(对接源_01水果!$T$4:$T$1203,$AE23)),IF(INDEX(对接源_02物料!$T$4:$T$1203,$AE23-1200)=0,"",INDEX(对接源_02物料!$T$4:$T$1203,$AE23-1200))))</f>
      </c>
      <c r="E23" s="104">
        <f>IF($AE23="","",IF($AE23&lt;=1200,IF(INDEX(对接源_01水果!$W$4:$W$1203,$AE23)=0,"",INDEX(对接源_01水果!$W$4:$W$1203,$AE23)),IF(INDEX(对接源_02物料!$W$4:$W$1203,$AE23-1200)=0,"",INDEX(对接源_02物料!$W$4:$W$1203,$AE23-1200))))</f>
      </c>
      <c r="F23" s="104">
        <f>IF($AE23="","",IF($AE23&lt;=1200,"01水果册","02物料册"))</f>
      </c>
      <c r="G23" s="131">
        <f>IF($AE23="","",IF($AE23&lt;=1200,IF(INDEX(对接源_01水果!$M$4:$M$1203,$AE23)=0,"",INDEX(对接源_01水果!$M$4:$M$1203,$AE23)),IF(INDEX(对接源_02物料!$M$4:$M$1203,$AE23-1200)=0,"",INDEX(对接源_02物料!$M$4:$M$1203,$AE23-1200))))</f>
      </c>
      <c r="AE23" s="128">
        <f>IFERROR(MATCH(18,_自动清单!$Q$4:$Q$2403,0),"")</f>
      </c>
    </row>
    <row r="24" ht="18" customHeight="1" s="127">
      <c r="A24" s="163">
        <f>IF($AE24="","",IF($AE24&lt;=1200,IF(INDEX(对接源_01水果!$B$4:$B$1203,$AE24)=0,"",INDEX(对接源_01水果!$B$4:$B$1203,$AE24)),IF(INDEX(对接源_02物料!$B$4:$B$1203,$AE24-1200)=0,"",INDEX(对接源_02物料!$B$4:$B$1203,$AE24-1200))))</f>
      </c>
      <c r="B24" s="61">
        <f>IF($AE24="","",IF($AE24&lt;=1200,IF(INDEX(对接源_01水果!$E$4:$E$1203,$AE24)=0,"",INDEX(对接源_01水果!$E$4:$E$1203,$AE24)),IF(INDEX(对接源_02物料!$E$4:$E$1203,$AE24-1200)=0,"",INDEX(对接源_02物料!$E$4:$E$1203,$AE24-1200))))</f>
      </c>
      <c r="C24" s="122">
        <f>IF($AE24="","",IF($AE24&lt;=1200,IF(INDEX(对接源_01水果!$S$4:$S$1203,$AE24)=0,"",INDEX(对接源_01水果!$S$4:$S$1203,$AE24)),IF(INDEX(对接源_02物料!$S$4:$S$1203,$AE24-1200)=0,"",INDEX(对接源_02物料!$S$4:$S$1203,$AE24-1200))))</f>
      </c>
      <c r="D24" s="164">
        <f>IF($AE24="","",IF($AE24&lt;=1200,IF(INDEX(对接源_01水果!$T$4:$T$1203,$AE24)=0,"",INDEX(对接源_01水果!$T$4:$T$1203,$AE24)),IF(INDEX(对接源_02物料!$T$4:$T$1203,$AE24-1200)=0,"",INDEX(对接源_02物料!$T$4:$T$1203,$AE24-1200))))</f>
      </c>
      <c r="E24" s="61">
        <f>IF($AE24="","",IF($AE24&lt;=1200,IF(INDEX(对接源_01水果!$W$4:$W$1203,$AE24)=0,"",INDEX(对接源_01水果!$W$4:$W$1203,$AE24)),IF(INDEX(对接源_02物料!$W$4:$W$1203,$AE24-1200)=0,"",INDEX(对接源_02物料!$W$4:$W$1203,$AE24-1200))))</f>
      </c>
      <c r="F24" s="61">
        <f>IF($AE24="","",IF($AE24&lt;=1200,"01水果册","02物料册"))</f>
      </c>
      <c r="G24" s="122">
        <f>IF($AE24="","",IF($AE24&lt;=1200,IF(INDEX(对接源_01水果!$M$4:$M$1203,$AE24)=0,"",INDEX(对接源_01水果!$M$4:$M$1203,$AE24)),IF(INDEX(对接源_02物料!$M$4:$M$1203,$AE24-1200)=0,"",INDEX(对接源_02物料!$M$4:$M$1203,$AE24-1200))))</f>
      </c>
      <c r="AE24" s="128">
        <f>IFERROR(MATCH(19,_自动清单!$Q$4:$Q$2403,0),"")</f>
      </c>
    </row>
    <row r="25" ht="18" customHeight="1" s="127">
      <c r="A25" s="165">
        <f>IF($AE25="","",IF($AE25&lt;=1200,IF(INDEX(对接源_01水果!$B$4:$B$1203,$AE25)=0,"",INDEX(对接源_01水果!$B$4:$B$1203,$AE25)),IF(INDEX(对接源_02物料!$B$4:$B$1203,$AE25-1200)=0,"",INDEX(对接源_02物料!$B$4:$B$1203,$AE25-1200))))</f>
      </c>
      <c r="B25" s="104">
        <f>IF($AE25="","",IF($AE25&lt;=1200,IF(INDEX(对接源_01水果!$E$4:$E$1203,$AE25)=0,"",INDEX(对接源_01水果!$E$4:$E$1203,$AE25)),IF(INDEX(对接源_02物料!$E$4:$E$1203,$AE25-1200)=0,"",INDEX(对接源_02物料!$E$4:$E$1203,$AE25-1200))))</f>
      </c>
      <c r="C25" s="131">
        <f>IF($AE25="","",IF($AE25&lt;=1200,IF(INDEX(对接源_01水果!$S$4:$S$1203,$AE25)=0,"",INDEX(对接源_01水果!$S$4:$S$1203,$AE25)),IF(INDEX(对接源_02物料!$S$4:$S$1203,$AE25-1200)=0,"",INDEX(对接源_02物料!$S$4:$S$1203,$AE25-1200))))</f>
      </c>
      <c r="D25" s="166">
        <f>IF($AE25="","",IF($AE25&lt;=1200,IF(INDEX(对接源_01水果!$T$4:$T$1203,$AE25)=0,"",INDEX(对接源_01水果!$T$4:$T$1203,$AE25)),IF(INDEX(对接源_02物料!$T$4:$T$1203,$AE25-1200)=0,"",INDEX(对接源_02物料!$T$4:$T$1203,$AE25-1200))))</f>
      </c>
      <c r="E25" s="104">
        <f>IF($AE25="","",IF($AE25&lt;=1200,IF(INDEX(对接源_01水果!$W$4:$W$1203,$AE25)=0,"",INDEX(对接源_01水果!$W$4:$W$1203,$AE25)),IF(INDEX(对接源_02物料!$W$4:$W$1203,$AE25-1200)=0,"",INDEX(对接源_02物料!$W$4:$W$1203,$AE25-1200))))</f>
      </c>
      <c r="F25" s="104">
        <f>IF($AE25="","",IF($AE25&lt;=1200,"01水果册","02物料册"))</f>
      </c>
      <c r="G25" s="131">
        <f>IF($AE25="","",IF($AE25&lt;=1200,IF(INDEX(对接源_01水果!$M$4:$M$1203,$AE25)=0,"",INDEX(对接源_01水果!$M$4:$M$1203,$AE25)),IF(INDEX(对接源_02物料!$M$4:$M$1203,$AE25-1200)=0,"",INDEX(对接源_02物料!$M$4:$M$1203,$AE25-1200))))</f>
      </c>
      <c r="AE25" s="128">
        <f>IFERROR(MATCH(20,_自动清单!$Q$4:$Q$2403,0),"")</f>
      </c>
    </row>
    <row r="26" ht="18" customHeight="1" s="127">
      <c r="A26" s="163">
        <f>IF($AE26="","",IF($AE26&lt;=1200,IF(INDEX(对接源_01水果!$B$4:$B$1203,$AE26)=0,"",INDEX(对接源_01水果!$B$4:$B$1203,$AE26)),IF(INDEX(对接源_02物料!$B$4:$B$1203,$AE26-1200)=0,"",INDEX(对接源_02物料!$B$4:$B$1203,$AE26-1200))))</f>
      </c>
      <c r="B26" s="61">
        <f>IF($AE26="","",IF($AE26&lt;=1200,IF(INDEX(对接源_01水果!$E$4:$E$1203,$AE26)=0,"",INDEX(对接源_01水果!$E$4:$E$1203,$AE26)),IF(INDEX(对接源_02物料!$E$4:$E$1203,$AE26-1200)=0,"",INDEX(对接源_02物料!$E$4:$E$1203,$AE26-1200))))</f>
      </c>
      <c r="C26" s="122">
        <f>IF($AE26="","",IF($AE26&lt;=1200,IF(INDEX(对接源_01水果!$S$4:$S$1203,$AE26)=0,"",INDEX(对接源_01水果!$S$4:$S$1203,$AE26)),IF(INDEX(对接源_02物料!$S$4:$S$1203,$AE26-1200)=0,"",INDEX(对接源_02物料!$S$4:$S$1203,$AE26-1200))))</f>
      </c>
      <c r="D26" s="164">
        <f>IF($AE26="","",IF($AE26&lt;=1200,IF(INDEX(对接源_01水果!$T$4:$T$1203,$AE26)=0,"",INDEX(对接源_01水果!$T$4:$T$1203,$AE26)),IF(INDEX(对接源_02物料!$T$4:$T$1203,$AE26-1200)=0,"",INDEX(对接源_02物料!$T$4:$T$1203,$AE26-1200))))</f>
      </c>
      <c r="E26" s="61">
        <f>IF($AE26="","",IF($AE26&lt;=1200,IF(INDEX(对接源_01水果!$W$4:$W$1203,$AE26)=0,"",INDEX(对接源_01水果!$W$4:$W$1203,$AE26)),IF(INDEX(对接源_02物料!$W$4:$W$1203,$AE26-1200)=0,"",INDEX(对接源_02物料!$W$4:$W$1203,$AE26-1200))))</f>
      </c>
      <c r="F26" s="61">
        <f>IF($AE26="","",IF($AE26&lt;=1200,"01水果册","02物料册"))</f>
      </c>
      <c r="G26" s="122">
        <f>IF($AE26="","",IF($AE26&lt;=1200,IF(INDEX(对接源_01水果!$M$4:$M$1203,$AE26)=0,"",INDEX(对接源_01水果!$M$4:$M$1203,$AE26)),IF(INDEX(对接源_02物料!$M$4:$M$1203,$AE26-1200)=0,"",INDEX(对接源_02物料!$M$4:$M$1203,$AE26-1200))))</f>
      </c>
      <c r="AE26" s="128">
        <f>IFERROR(MATCH(21,_自动清单!$Q$4:$Q$2403,0),"")</f>
      </c>
    </row>
    <row r="27" ht="18" customHeight="1" s="127">
      <c r="A27" s="165">
        <f>IF($AE27="","",IF($AE27&lt;=1200,IF(INDEX(对接源_01水果!$B$4:$B$1203,$AE27)=0,"",INDEX(对接源_01水果!$B$4:$B$1203,$AE27)),IF(INDEX(对接源_02物料!$B$4:$B$1203,$AE27-1200)=0,"",INDEX(对接源_02物料!$B$4:$B$1203,$AE27-1200))))</f>
      </c>
      <c r="B27" s="104">
        <f>IF($AE27="","",IF($AE27&lt;=1200,IF(INDEX(对接源_01水果!$E$4:$E$1203,$AE27)=0,"",INDEX(对接源_01水果!$E$4:$E$1203,$AE27)),IF(INDEX(对接源_02物料!$E$4:$E$1203,$AE27-1200)=0,"",INDEX(对接源_02物料!$E$4:$E$1203,$AE27-1200))))</f>
      </c>
      <c r="C27" s="131">
        <f>IF($AE27="","",IF($AE27&lt;=1200,IF(INDEX(对接源_01水果!$S$4:$S$1203,$AE27)=0,"",INDEX(对接源_01水果!$S$4:$S$1203,$AE27)),IF(INDEX(对接源_02物料!$S$4:$S$1203,$AE27-1200)=0,"",INDEX(对接源_02物料!$S$4:$S$1203,$AE27-1200))))</f>
      </c>
      <c r="D27" s="166">
        <f>IF($AE27="","",IF($AE27&lt;=1200,IF(INDEX(对接源_01水果!$T$4:$T$1203,$AE27)=0,"",INDEX(对接源_01水果!$T$4:$T$1203,$AE27)),IF(INDEX(对接源_02物料!$T$4:$T$1203,$AE27-1200)=0,"",INDEX(对接源_02物料!$T$4:$T$1203,$AE27-1200))))</f>
      </c>
      <c r="E27" s="104">
        <f>IF($AE27="","",IF($AE27&lt;=1200,IF(INDEX(对接源_01水果!$W$4:$W$1203,$AE27)=0,"",INDEX(对接源_01水果!$W$4:$W$1203,$AE27)),IF(INDEX(对接源_02物料!$W$4:$W$1203,$AE27-1200)=0,"",INDEX(对接源_02物料!$W$4:$W$1203,$AE27-1200))))</f>
      </c>
      <c r="F27" s="104">
        <f>IF($AE27="","",IF($AE27&lt;=1200,"01水果册","02物料册"))</f>
      </c>
      <c r="G27" s="131">
        <f>IF($AE27="","",IF($AE27&lt;=1200,IF(INDEX(对接源_01水果!$M$4:$M$1203,$AE27)=0,"",INDEX(对接源_01水果!$M$4:$M$1203,$AE27)),IF(INDEX(对接源_02物料!$M$4:$M$1203,$AE27-1200)=0,"",INDEX(对接源_02物料!$M$4:$M$1203,$AE27-1200))))</f>
      </c>
      <c r="AE27" s="128">
        <f>IFERROR(MATCH(22,_自动清单!$Q$4:$Q$2403,0),"")</f>
      </c>
    </row>
    <row r="28" ht="18" customHeight="1" s="127">
      <c r="A28" s="163">
        <f>IF($AE28="","",IF($AE28&lt;=1200,IF(INDEX(对接源_01水果!$B$4:$B$1203,$AE28)=0,"",INDEX(对接源_01水果!$B$4:$B$1203,$AE28)),IF(INDEX(对接源_02物料!$B$4:$B$1203,$AE28-1200)=0,"",INDEX(对接源_02物料!$B$4:$B$1203,$AE28-1200))))</f>
      </c>
      <c r="B28" s="61">
        <f>IF($AE28="","",IF($AE28&lt;=1200,IF(INDEX(对接源_01水果!$E$4:$E$1203,$AE28)=0,"",INDEX(对接源_01水果!$E$4:$E$1203,$AE28)),IF(INDEX(对接源_02物料!$E$4:$E$1203,$AE28-1200)=0,"",INDEX(对接源_02物料!$E$4:$E$1203,$AE28-1200))))</f>
      </c>
      <c r="C28" s="122">
        <f>IF($AE28="","",IF($AE28&lt;=1200,IF(INDEX(对接源_01水果!$S$4:$S$1203,$AE28)=0,"",INDEX(对接源_01水果!$S$4:$S$1203,$AE28)),IF(INDEX(对接源_02物料!$S$4:$S$1203,$AE28-1200)=0,"",INDEX(对接源_02物料!$S$4:$S$1203,$AE28-1200))))</f>
      </c>
      <c r="D28" s="164">
        <f>IF($AE28="","",IF($AE28&lt;=1200,IF(INDEX(对接源_01水果!$T$4:$T$1203,$AE28)=0,"",INDEX(对接源_01水果!$T$4:$T$1203,$AE28)),IF(INDEX(对接源_02物料!$T$4:$T$1203,$AE28-1200)=0,"",INDEX(对接源_02物料!$T$4:$T$1203,$AE28-1200))))</f>
      </c>
      <c r="E28" s="61">
        <f>IF($AE28="","",IF($AE28&lt;=1200,IF(INDEX(对接源_01水果!$W$4:$W$1203,$AE28)=0,"",INDEX(对接源_01水果!$W$4:$W$1203,$AE28)),IF(INDEX(对接源_02物料!$W$4:$W$1203,$AE28-1200)=0,"",INDEX(对接源_02物料!$W$4:$W$1203,$AE28-1200))))</f>
      </c>
      <c r="F28" s="61">
        <f>IF($AE28="","",IF($AE28&lt;=1200,"01水果册","02物料册"))</f>
      </c>
      <c r="G28" s="122">
        <f>IF($AE28="","",IF($AE28&lt;=1200,IF(INDEX(对接源_01水果!$M$4:$M$1203,$AE28)=0,"",INDEX(对接源_01水果!$M$4:$M$1203,$AE28)),IF(INDEX(对接源_02物料!$M$4:$M$1203,$AE28-1200)=0,"",INDEX(对接源_02物料!$M$4:$M$1203,$AE28-1200))))</f>
      </c>
      <c r="AE28" s="128">
        <f>IFERROR(MATCH(23,_自动清单!$Q$4:$Q$2403,0),"")</f>
      </c>
    </row>
    <row r="29" ht="18" customHeight="1" s="127">
      <c r="A29" s="165">
        <f>IF($AE29="","",IF($AE29&lt;=1200,IF(INDEX(对接源_01水果!$B$4:$B$1203,$AE29)=0,"",INDEX(对接源_01水果!$B$4:$B$1203,$AE29)),IF(INDEX(对接源_02物料!$B$4:$B$1203,$AE29-1200)=0,"",INDEX(对接源_02物料!$B$4:$B$1203,$AE29-1200))))</f>
      </c>
      <c r="B29" s="104">
        <f>IF($AE29="","",IF($AE29&lt;=1200,IF(INDEX(对接源_01水果!$E$4:$E$1203,$AE29)=0,"",INDEX(对接源_01水果!$E$4:$E$1203,$AE29)),IF(INDEX(对接源_02物料!$E$4:$E$1203,$AE29-1200)=0,"",INDEX(对接源_02物料!$E$4:$E$1203,$AE29-1200))))</f>
      </c>
      <c r="C29" s="131">
        <f>IF($AE29="","",IF($AE29&lt;=1200,IF(INDEX(对接源_01水果!$S$4:$S$1203,$AE29)=0,"",INDEX(对接源_01水果!$S$4:$S$1203,$AE29)),IF(INDEX(对接源_02物料!$S$4:$S$1203,$AE29-1200)=0,"",INDEX(对接源_02物料!$S$4:$S$1203,$AE29-1200))))</f>
      </c>
      <c r="D29" s="166">
        <f>IF($AE29="","",IF($AE29&lt;=1200,IF(INDEX(对接源_01水果!$T$4:$T$1203,$AE29)=0,"",INDEX(对接源_01水果!$T$4:$T$1203,$AE29)),IF(INDEX(对接源_02物料!$T$4:$T$1203,$AE29-1200)=0,"",INDEX(对接源_02物料!$T$4:$T$1203,$AE29-1200))))</f>
      </c>
      <c r="E29" s="104">
        <f>IF($AE29="","",IF($AE29&lt;=1200,IF(INDEX(对接源_01水果!$W$4:$W$1203,$AE29)=0,"",INDEX(对接源_01水果!$W$4:$W$1203,$AE29)),IF(INDEX(对接源_02物料!$W$4:$W$1203,$AE29-1200)=0,"",INDEX(对接源_02物料!$W$4:$W$1203,$AE29-1200))))</f>
      </c>
      <c r="F29" s="104">
        <f>IF($AE29="","",IF($AE29&lt;=1200,"01水果册","02物料册"))</f>
      </c>
      <c r="G29" s="131">
        <f>IF($AE29="","",IF($AE29&lt;=1200,IF(INDEX(对接源_01水果!$M$4:$M$1203,$AE29)=0,"",INDEX(对接源_01水果!$M$4:$M$1203,$AE29)),IF(INDEX(对接源_02物料!$M$4:$M$1203,$AE29-1200)=0,"",INDEX(对接源_02物料!$M$4:$M$1203,$AE29-1200))))</f>
      </c>
      <c r="AE29" s="128">
        <f>IFERROR(MATCH(24,_自动清单!$Q$4:$Q$2403,0),"")</f>
      </c>
    </row>
    <row r="30" ht="18" customHeight="1" s="127">
      <c r="A30" s="163">
        <f>IF($AE30="","",IF($AE30&lt;=1200,IF(INDEX(对接源_01水果!$B$4:$B$1203,$AE30)=0,"",INDEX(对接源_01水果!$B$4:$B$1203,$AE30)),IF(INDEX(对接源_02物料!$B$4:$B$1203,$AE30-1200)=0,"",INDEX(对接源_02物料!$B$4:$B$1203,$AE30-1200))))</f>
      </c>
      <c r="B30" s="61">
        <f>IF($AE30="","",IF($AE30&lt;=1200,IF(INDEX(对接源_01水果!$E$4:$E$1203,$AE30)=0,"",INDEX(对接源_01水果!$E$4:$E$1203,$AE30)),IF(INDEX(对接源_02物料!$E$4:$E$1203,$AE30-1200)=0,"",INDEX(对接源_02物料!$E$4:$E$1203,$AE30-1200))))</f>
      </c>
      <c r="C30" s="122">
        <f>IF($AE30="","",IF($AE30&lt;=1200,IF(INDEX(对接源_01水果!$S$4:$S$1203,$AE30)=0,"",INDEX(对接源_01水果!$S$4:$S$1203,$AE30)),IF(INDEX(对接源_02物料!$S$4:$S$1203,$AE30-1200)=0,"",INDEX(对接源_02物料!$S$4:$S$1203,$AE30-1200))))</f>
      </c>
      <c r="D30" s="164">
        <f>IF($AE30="","",IF($AE30&lt;=1200,IF(INDEX(对接源_01水果!$T$4:$T$1203,$AE30)=0,"",INDEX(对接源_01水果!$T$4:$T$1203,$AE30)),IF(INDEX(对接源_02物料!$T$4:$T$1203,$AE30-1200)=0,"",INDEX(对接源_02物料!$T$4:$T$1203,$AE30-1200))))</f>
      </c>
      <c r="E30" s="61">
        <f>IF($AE30="","",IF($AE30&lt;=1200,IF(INDEX(对接源_01水果!$W$4:$W$1203,$AE30)=0,"",INDEX(对接源_01水果!$W$4:$W$1203,$AE30)),IF(INDEX(对接源_02物料!$W$4:$W$1203,$AE30-1200)=0,"",INDEX(对接源_02物料!$W$4:$W$1203,$AE30-1200))))</f>
      </c>
      <c r="F30" s="61">
        <f>IF($AE30="","",IF($AE30&lt;=1200,"01水果册","02物料册"))</f>
      </c>
      <c r="G30" s="122">
        <f>IF($AE30="","",IF($AE30&lt;=1200,IF(INDEX(对接源_01水果!$M$4:$M$1203,$AE30)=0,"",INDEX(对接源_01水果!$M$4:$M$1203,$AE30)),IF(INDEX(对接源_02物料!$M$4:$M$1203,$AE30-1200)=0,"",INDEX(对接源_02物料!$M$4:$M$1203,$AE30-1200))))</f>
      </c>
      <c r="AE30" s="128">
        <f>IFERROR(MATCH(25,_自动清单!$Q$4:$Q$2403,0),"")</f>
      </c>
    </row>
    <row r="31" ht="18" customHeight="1" s="127">
      <c r="A31" s="165">
        <f>IF($AE31="","",IF($AE31&lt;=1200,IF(INDEX(对接源_01水果!$B$4:$B$1203,$AE31)=0,"",INDEX(对接源_01水果!$B$4:$B$1203,$AE31)),IF(INDEX(对接源_02物料!$B$4:$B$1203,$AE31-1200)=0,"",INDEX(对接源_02物料!$B$4:$B$1203,$AE31-1200))))</f>
      </c>
      <c r="B31" s="104">
        <f>IF($AE31="","",IF($AE31&lt;=1200,IF(INDEX(对接源_01水果!$E$4:$E$1203,$AE31)=0,"",INDEX(对接源_01水果!$E$4:$E$1203,$AE31)),IF(INDEX(对接源_02物料!$E$4:$E$1203,$AE31-1200)=0,"",INDEX(对接源_02物料!$E$4:$E$1203,$AE31-1200))))</f>
      </c>
      <c r="C31" s="131">
        <f>IF($AE31="","",IF($AE31&lt;=1200,IF(INDEX(对接源_01水果!$S$4:$S$1203,$AE31)=0,"",INDEX(对接源_01水果!$S$4:$S$1203,$AE31)),IF(INDEX(对接源_02物料!$S$4:$S$1203,$AE31-1200)=0,"",INDEX(对接源_02物料!$S$4:$S$1203,$AE31-1200))))</f>
      </c>
      <c r="D31" s="166">
        <f>IF($AE31="","",IF($AE31&lt;=1200,IF(INDEX(对接源_01水果!$T$4:$T$1203,$AE31)=0,"",INDEX(对接源_01水果!$T$4:$T$1203,$AE31)),IF(INDEX(对接源_02物料!$T$4:$T$1203,$AE31-1200)=0,"",INDEX(对接源_02物料!$T$4:$T$1203,$AE31-1200))))</f>
      </c>
      <c r="E31" s="104">
        <f>IF($AE31="","",IF($AE31&lt;=1200,IF(INDEX(对接源_01水果!$W$4:$W$1203,$AE31)=0,"",INDEX(对接源_01水果!$W$4:$W$1203,$AE31)),IF(INDEX(对接源_02物料!$W$4:$W$1203,$AE31-1200)=0,"",INDEX(对接源_02物料!$W$4:$W$1203,$AE31-1200))))</f>
      </c>
      <c r="F31" s="104">
        <f>IF($AE31="","",IF($AE31&lt;=1200,"01水果册","02物料册"))</f>
      </c>
      <c r="G31" s="131">
        <f>IF($AE31="","",IF($AE31&lt;=1200,IF(INDEX(对接源_01水果!$M$4:$M$1203,$AE31)=0,"",INDEX(对接源_01水果!$M$4:$M$1203,$AE31)),IF(INDEX(对接源_02物料!$M$4:$M$1203,$AE31-1200)=0,"",INDEX(对接源_02物料!$M$4:$M$1203,$AE31-1200))))</f>
      </c>
      <c r="AE31" s="128">
        <f>IFERROR(MATCH(26,_自动清单!$Q$4:$Q$2403,0),"")</f>
      </c>
    </row>
    <row r="32" ht="18" customHeight="1" s="127">
      <c r="A32" s="163">
        <f>IF($AE32="","",IF($AE32&lt;=1200,IF(INDEX(对接源_01水果!$B$4:$B$1203,$AE32)=0,"",INDEX(对接源_01水果!$B$4:$B$1203,$AE32)),IF(INDEX(对接源_02物料!$B$4:$B$1203,$AE32-1200)=0,"",INDEX(对接源_02物料!$B$4:$B$1203,$AE32-1200))))</f>
      </c>
      <c r="B32" s="61">
        <f>IF($AE32="","",IF($AE32&lt;=1200,IF(INDEX(对接源_01水果!$E$4:$E$1203,$AE32)=0,"",INDEX(对接源_01水果!$E$4:$E$1203,$AE32)),IF(INDEX(对接源_02物料!$E$4:$E$1203,$AE32-1200)=0,"",INDEX(对接源_02物料!$E$4:$E$1203,$AE32-1200))))</f>
      </c>
      <c r="C32" s="122">
        <f>IF($AE32="","",IF($AE32&lt;=1200,IF(INDEX(对接源_01水果!$S$4:$S$1203,$AE32)=0,"",INDEX(对接源_01水果!$S$4:$S$1203,$AE32)),IF(INDEX(对接源_02物料!$S$4:$S$1203,$AE32-1200)=0,"",INDEX(对接源_02物料!$S$4:$S$1203,$AE32-1200))))</f>
      </c>
      <c r="D32" s="164">
        <f>IF($AE32="","",IF($AE32&lt;=1200,IF(INDEX(对接源_01水果!$T$4:$T$1203,$AE32)=0,"",INDEX(对接源_01水果!$T$4:$T$1203,$AE32)),IF(INDEX(对接源_02物料!$T$4:$T$1203,$AE32-1200)=0,"",INDEX(对接源_02物料!$T$4:$T$1203,$AE32-1200))))</f>
      </c>
      <c r="E32" s="61">
        <f>IF($AE32="","",IF($AE32&lt;=1200,IF(INDEX(对接源_01水果!$W$4:$W$1203,$AE32)=0,"",INDEX(对接源_01水果!$W$4:$W$1203,$AE32)),IF(INDEX(对接源_02物料!$W$4:$W$1203,$AE32-1200)=0,"",INDEX(对接源_02物料!$W$4:$W$1203,$AE32-1200))))</f>
      </c>
      <c r="F32" s="61">
        <f>IF($AE32="","",IF($AE32&lt;=1200,"01水果册","02物料册"))</f>
      </c>
      <c r="G32" s="122">
        <f>IF($AE32="","",IF($AE32&lt;=1200,IF(INDEX(对接源_01水果!$M$4:$M$1203,$AE32)=0,"",INDEX(对接源_01水果!$M$4:$M$1203,$AE32)),IF(INDEX(对接源_02物料!$M$4:$M$1203,$AE32-1200)=0,"",INDEX(对接源_02物料!$M$4:$M$1203,$AE32-1200))))</f>
      </c>
      <c r="AE32" s="128">
        <f>IFERROR(MATCH(27,_自动清单!$Q$4:$Q$2403,0),"")</f>
      </c>
    </row>
    <row r="33" ht="18" customHeight="1" s="127">
      <c r="A33" s="165">
        <f>IF($AE33="","",IF($AE33&lt;=1200,IF(INDEX(对接源_01水果!$B$4:$B$1203,$AE33)=0,"",INDEX(对接源_01水果!$B$4:$B$1203,$AE33)),IF(INDEX(对接源_02物料!$B$4:$B$1203,$AE33-1200)=0,"",INDEX(对接源_02物料!$B$4:$B$1203,$AE33-1200))))</f>
      </c>
      <c r="B33" s="104">
        <f>IF($AE33="","",IF($AE33&lt;=1200,IF(INDEX(对接源_01水果!$E$4:$E$1203,$AE33)=0,"",INDEX(对接源_01水果!$E$4:$E$1203,$AE33)),IF(INDEX(对接源_02物料!$E$4:$E$1203,$AE33-1200)=0,"",INDEX(对接源_02物料!$E$4:$E$1203,$AE33-1200))))</f>
      </c>
      <c r="C33" s="131">
        <f>IF($AE33="","",IF($AE33&lt;=1200,IF(INDEX(对接源_01水果!$S$4:$S$1203,$AE33)=0,"",INDEX(对接源_01水果!$S$4:$S$1203,$AE33)),IF(INDEX(对接源_02物料!$S$4:$S$1203,$AE33-1200)=0,"",INDEX(对接源_02物料!$S$4:$S$1203,$AE33-1200))))</f>
      </c>
      <c r="D33" s="166">
        <f>IF($AE33="","",IF($AE33&lt;=1200,IF(INDEX(对接源_01水果!$T$4:$T$1203,$AE33)=0,"",INDEX(对接源_01水果!$T$4:$T$1203,$AE33)),IF(INDEX(对接源_02物料!$T$4:$T$1203,$AE33-1200)=0,"",INDEX(对接源_02物料!$T$4:$T$1203,$AE33-1200))))</f>
      </c>
      <c r="E33" s="104">
        <f>IF($AE33="","",IF($AE33&lt;=1200,IF(INDEX(对接源_01水果!$W$4:$W$1203,$AE33)=0,"",INDEX(对接源_01水果!$W$4:$W$1203,$AE33)),IF(INDEX(对接源_02物料!$W$4:$W$1203,$AE33-1200)=0,"",INDEX(对接源_02物料!$W$4:$W$1203,$AE33-1200))))</f>
      </c>
      <c r="F33" s="104">
        <f>IF($AE33="","",IF($AE33&lt;=1200,"01水果册","02物料册"))</f>
      </c>
      <c r="G33" s="131">
        <f>IF($AE33="","",IF($AE33&lt;=1200,IF(INDEX(对接源_01水果!$M$4:$M$1203,$AE33)=0,"",INDEX(对接源_01水果!$M$4:$M$1203,$AE33)),IF(INDEX(对接源_02物料!$M$4:$M$1203,$AE33-1200)=0,"",INDEX(对接源_02物料!$M$4:$M$1203,$AE33-1200))))</f>
      </c>
      <c r="AE33" s="128">
        <f>IFERROR(MATCH(28,_自动清单!$Q$4:$Q$2403,0),"")</f>
      </c>
    </row>
    <row r="34" ht="18" customHeight="1" s="127">
      <c r="A34" s="163">
        <f>IF($AE34="","",IF($AE34&lt;=1200,IF(INDEX(对接源_01水果!$B$4:$B$1203,$AE34)=0,"",INDEX(对接源_01水果!$B$4:$B$1203,$AE34)),IF(INDEX(对接源_02物料!$B$4:$B$1203,$AE34-1200)=0,"",INDEX(对接源_02物料!$B$4:$B$1203,$AE34-1200))))</f>
      </c>
      <c r="B34" s="61">
        <f>IF($AE34="","",IF($AE34&lt;=1200,IF(INDEX(对接源_01水果!$E$4:$E$1203,$AE34)=0,"",INDEX(对接源_01水果!$E$4:$E$1203,$AE34)),IF(INDEX(对接源_02物料!$E$4:$E$1203,$AE34-1200)=0,"",INDEX(对接源_02物料!$E$4:$E$1203,$AE34-1200))))</f>
      </c>
      <c r="C34" s="122">
        <f>IF($AE34="","",IF($AE34&lt;=1200,IF(INDEX(对接源_01水果!$S$4:$S$1203,$AE34)=0,"",INDEX(对接源_01水果!$S$4:$S$1203,$AE34)),IF(INDEX(对接源_02物料!$S$4:$S$1203,$AE34-1200)=0,"",INDEX(对接源_02物料!$S$4:$S$1203,$AE34-1200))))</f>
      </c>
      <c r="D34" s="164">
        <f>IF($AE34="","",IF($AE34&lt;=1200,IF(INDEX(对接源_01水果!$T$4:$T$1203,$AE34)=0,"",INDEX(对接源_01水果!$T$4:$T$1203,$AE34)),IF(INDEX(对接源_02物料!$T$4:$T$1203,$AE34-1200)=0,"",INDEX(对接源_02物料!$T$4:$T$1203,$AE34-1200))))</f>
      </c>
      <c r="E34" s="61">
        <f>IF($AE34="","",IF($AE34&lt;=1200,IF(INDEX(对接源_01水果!$W$4:$W$1203,$AE34)=0,"",INDEX(对接源_01水果!$W$4:$W$1203,$AE34)),IF(INDEX(对接源_02物料!$W$4:$W$1203,$AE34-1200)=0,"",INDEX(对接源_02物料!$W$4:$W$1203,$AE34-1200))))</f>
      </c>
      <c r="F34" s="61">
        <f>IF($AE34="","",IF($AE34&lt;=1200,"01水果册","02物料册"))</f>
      </c>
      <c r="G34" s="122">
        <f>IF($AE34="","",IF($AE34&lt;=1200,IF(INDEX(对接源_01水果!$M$4:$M$1203,$AE34)=0,"",INDEX(对接源_01水果!$M$4:$M$1203,$AE34)),IF(INDEX(对接源_02物料!$M$4:$M$1203,$AE34-1200)=0,"",INDEX(对接源_02物料!$M$4:$M$1203,$AE34-1200))))</f>
      </c>
      <c r="AE34" s="128">
        <f>IFERROR(MATCH(29,_自动清单!$Q$4:$Q$2403,0),"")</f>
      </c>
    </row>
    <row r="35" ht="18" customHeight="1" s="127">
      <c r="A35" s="165">
        <f>IF($AE35="","",IF($AE35&lt;=1200,IF(INDEX(对接源_01水果!$B$4:$B$1203,$AE35)=0,"",INDEX(对接源_01水果!$B$4:$B$1203,$AE35)),IF(INDEX(对接源_02物料!$B$4:$B$1203,$AE35-1200)=0,"",INDEX(对接源_02物料!$B$4:$B$1203,$AE35-1200))))</f>
      </c>
      <c r="B35" s="104">
        <f>IF($AE35="","",IF($AE35&lt;=1200,IF(INDEX(对接源_01水果!$E$4:$E$1203,$AE35)=0,"",INDEX(对接源_01水果!$E$4:$E$1203,$AE35)),IF(INDEX(对接源_02物料!$E$4:$E$1203,$AE35-1200)=0,"",INDEX(对接源_02物料!$E$4:$E$1203,$AE35-1200))))</f>
      </c>
      <c r="C35" s="131">
        <f>IF($AE35="","",IF($AE35&lt;=1200,IF(INDEX(对接源_01水果!$S$4:$S$1203,$AE35)=0,"",INDEX(对接源_01水果!$S$4:$S$1203,$AE35)),IF(INDEX(对接源_02物料!$S$4:$S$1203,$AE35-1200)=0,"",INDEX(对接源_02物料!$S$4:$S$1203,$AE35-1200))))</f>
      </c>
      <c r="D35" s="166">
        <f>IF($AE35="","",IF($AE35&lt;=1200,IF(INDEX(对接源_01水果!$T$4:$T$1203,$AE35)=0,"",INDEX(对接源_01水果!$T$4:$T$1203,$AE35)),IF(INDEX(对接源_02物料!$T$4:$T$1203,$AE35-1200)=0,"",INDEX(对接源_02物料!$T$4:$T$1203,$AE35-1200))))</f>
      </c>
      <c r="E35" s="104">
        <f>IF($AE35="","",IF($AE35&lt;=1200,IF(INDEX(对接源_01水果!$W$4:$W$1203,$AE35)=0,"",INDEX(对接源_01水果!$W$4:$W$1203,$AE35)),IF(INDEX(对接源_02物料!$W$4:$W$1203,$AE35-1200)=0,"",INDEX(对接源_02物料!$W$4:$W$1203,$AE35-1200))))</f>
      </c>
      <c r="F35" s="104">
        <f>IF($AE35="","",IF($AE35&lt;=1200,"01水果册","02物料册"))</f>
      </c>
      <c r="G35" s="131">
        <f>IF($AE35="","",IF($AE35&lt;=1200,IF(INDEX(对接源_01水果!$M$4:$M$1203,$AE35)=0,"",INDEX(对接源_01水果!$M$4:$M$1203,$AE35)),IF(INDEX(对接源_02物料!$M$4:$M$1203,$AE35-1200)=0,"",INDEX(对接源_02物料!$M$4:$M$1203,$AE35-1200))))</f>
      </c>
      <c r="AE35" s="128">
        <f>IFERROR(MATCH(30,_自动清单!$Q$4:$Q$2403,0),"")</f>
      </c>
    </row>
    <row r="36" ht="18" customHeight="1" s="127">
      <c r="A36" s="163">
        <f>IF($AE36="","",IF($AE36&lt;=1200,IF(INDEX(对接源_01水果!$B$4:$B$1203,$AE36)=0,"",INDEX(对接源_01水果!$B$4:$B$1203,$AE36)),IF(INDEX(对接源_02物料!$B$4:$B$1203,$AE36-1200)=0,"",INDEX(对接源_02物料!$B$4:$B$1203,$AE36-1200))))</f>
      </c>
      <c r="B36" s="61">
        <f>IF($AE36="","",IF($AE36&lt;=1200,IF(INDEX(对接源_01水果!$E$4:$E$1203,$AE36)=0,"",INDEX(对接源_01水果!$E$4:$E$1203,$AE36)),IF(INDEX(对接源_02物料!$E$4:$E$1203,$AE36-1200)=0,"",INDEX(对接源_02物料!$E$4:$E$1203,$AE36-1200))))</f>
      </c>
      <c r="C36" s="122">
        <f>IF($AE36="","",IF($AE36&lt;=1200,IF(INDEX(对接源_01水果!$S$4:$S$1203,$AE36)=0,"",INDEX(对接源_01水果!$S$4:$S$1203,$AE36)),IF(INDEX(对接源_02物料!$S$4:$S$1203,$AE36-1200)=0,"",INDEX(对接源_02物料!$S$4:$S$1203,$AE36-1200))))</f>
      </c>
      <c r="D36" s="164">
        <f>IF($AE36="","",IF($AE36&lt;=1200,IF(INDEX(对接源_01水果!$T$4:$T$1203,$AE36)=0,"",INDEX(对接源_01水果!$T$4:$T$1203,$AE36)),IF(INDEX(对接源_02物料!$T$4:$T$1203,$AE36-1200)=0,"",INDEX(对接源_02物料!$T$4:$T$1203,$AE36-1200))))</f>
      </c>
      <c r="E36" s="61">
        <f>IF($AE36="","",IF($AE36&lt;=1200,IF(INDEX(对接源_01水果!$W$4:$W$1203,$AE36)=0,"",INDEX(对接源_01水果!$W$4:$W$1203,$AE36)),IF(INDEX(对接源_02物料!$W$4:$W$1203,$AE36-1200)=0,"",INDEX(对接源_02物料!$W$4:$W$1203,$AE36-1200))))</f>
      </c>
      <c r="F36" s="61">
        <f>IF($AE36="","",IF($AE36&lt;=1200,"01水果册","02物料册"))</f>
      </c>
      <c r="G36" s="122">
        <f>IF($AE36="","",IF($AE36&lt;=1200,IF(INDEX(对接源_01水果!$M$4:$M$1203,$AE36)=0,"",INDEX(对接源_01水果!$M$4:$M$1203,$AE36)),IF(INDEX(对接源_02物料!$M$4:$M$1203,$AE36-1200)=0,"",INDEX(对接源_02物料!$M$4:$M$1203,$AE36-1200))))</f>
      </c>
      <c r="AE36" s="128">
        <f>IFERROR(MATCH(31,_自动清单!$Q$4:$Q$2403,0),"")</f>
      </c>
    </row>
    <row r="37" ht="18" customHeight="1" s="127">
      <c r="A37" s="165">
        <f>IF($AE37="","",IF($AE37&lt;=1200,IF(INDEX(对接源_01水果!$B$4:$B$1203,$AE37)=0,"",INDEX(对接源_01水果!$B$4:$B$1203,$AE37)),IF(INDEX(对接源_02物料!$B$4:$B$1203,$AE37-1200)=0,"",INDEX(对接源_02物料!$B$4:$B$1203,$AE37-1200))))</f>
      </c>
      <c r="B37" s="104">
        <f>IF($AE37="","",IF($AE37&lt;=1200,IF(INDEX(对接源_01水果!$E$4:$E$1203,$AE37)=0,"",INDEX(对接源_01水果!$E$4:$E$1203,$AE37)),IF(INDEX(对接源_02物料!$E$4:$E$1203,$AE37-1200)=0,"",INDEX(对接源_02物料!$E$4:$E$1203,$AE37-1200))))</f>
      </c>
      <c r="C37" s="131">
        <f>IF($AE37="","",IF($AE37&lt;=1200,IF(INDEX(对接源_01水果!$S$4:$S$1203,$AE37)=0,"",INDEX(对接源_01水果!$S$4:$S$1203,$AE37)),IF(INDEX(对接源_02物料!$S$4:$S$1203,$AE37-1200)=0,"",INDEX(对接源_02物料!$S$4:$S$1203,$AE37-1200))))</f>
      </c>
      <c r="D37" s="166">
        <f>IF($AE37="","",IF($AE37&lt;=1200,IF(INDEX(对接源_01水果!$T$4:$T$1203,$AE37)=0,"",INDEX(对接源_01水果!$T$4:$T$1203,$AE37)),IF(INDEX(对接源_02物料!$T$4:$T$1203,$AE37-1200)=0,"",INDEX(对接源_02物料!$T$4:$T$1203,$AE37-1200))))</f>
      </c>
      <c r="E37" s="104">
        <f>IF($AE37="","",IF($AE37&lt;=1200,IF(INDEX(对接源_01水果!$W$4:$W$1203,$AE37)=0,"",INDEX(对接源_01水果!$W$4:$W$1203,$AE37)),IF(INDEX(对接源_02物料!$W$4:$W$1203,$AE37-1200)=0,"",INDEX(对接源_02物料!$W$4:$W$1203,$AE37-1200))))</f>
      </c>
      <c r="F37" s="104">
        <f>IF($AE37="","",IF($AE37&lt;=1200,"01水果册","02物料册"))</f>
      </c>
      <c r="G37" s="131">
        <f>IF($AE37="","",IF($AE37&lt;=1200,IF(INDEX(对接源_01水果!$M$4:$M$1203,$AE37)=0,"",INDEX(对接源_01水果!$M$4:$M$1203,$AE37)),IF(INDEX(对接源_02物料!$M$4:$M$1203,$AE37-1200)=0,"",INDEX(对接源_02物料!$M$4:$M$1203,$AE37-1200))))</f>
      </c>
      <c r="AE37" s="128">
        <f>IFERROR(MATCH(32,_自动清单!$Q$4:$Q$2403,0),"")</f>
      </c>
    </row>
    <row r="38" ht="18" customHeight="1" s="127">
      <c r="A38" s="163">
        <f>IF($AE38="","",IF($AE38&lt;=1200,IF(INDEX(对接源_01水果!$B$4:$B$1203,$AE38)=0,"",INDEX(对接源_01水果!$B$4:$B$1203,$AE38)),IF(INDEX(对接源_02物料!$B$4:$B$1203,$AE38-1200)=0,"",INDEX(对接源_02物料!$B$4:$B$1203,$AE38-1200))))</f>
      </c>
      <c r="B38" s="61">
        <f>IF($AE38="","",IF($AE38&lt;=1200,IF(INDEX(对接源_01水果!$E$4:$E$1203,$AE38)=0,"",INDEX(对接源_01水果!$E$4:$E$1203,$AE38)),IF(INDEX(对接源_02物料!$E$4:$E$1203,$AE38-1200)=0,"",INDEX(对接源_02物料!$E$4:$E$1203,$AE38-1200))))</f>
      </c>
      <c r="C38" s="122">
        <f>IF($AE38="","",IF($AE38&lt;=1200,IF(INDEX(对接源_01水果!$S$4:$S$1203,$AE38)=0,"",INDEX(对接源_01水果!$S$4:$S$1203,$AE38)),IF(INDEX(对接源_02物料!$S$4:$S$1203,$AE38-1200)=0,"",INDEX(对接源_02物料!$S$4:$S$1203,$AE38-1200))))</f>
      </c>
      <c r="D38" s="164">
        <f>IF($AE38="","",IF($AE38&lt;=1200,IF(INDEX(对接源_01水果!$T$4:$T$1203,$AE38)=0,"",INDEX(对接源_01水果!$T$4:$T$1203,$AE38)),IF(INDEX(对接源_02物料!$T$4:$T$1203,$AE38-1200)=0,"",INDEX(对接源_02物料!$T$4:$T$1203,$AE38-1200))))</f>
      </c>
      <c r="E38" s="61">
        <f>IF($AE38="","",IF($AE38&lt;=1200,IF(INDEX(对接源_01水果!$W$4:$W$1203,$AE38)=0,"",INDEX(对接源_01水果!$W$4:$W$1203,$AE38)),IF(INDEX(对接源_02物料!$W$4:$W$1203,$AE38-1200)=0,"",INDEX(对接源_02物料!$W$4:$W$1203,$AE38-1200))))</f>
      </c>
      <c r="F38" s="61">
        <f>IF($AE38="","",IF($AE38&lt;=1200,"01水果册","02物料册"))</f>
      </c>
      <c r="G38" s="122">
        <f>IF($AE38="","",IF($AE38&lt;=1200,IF(INDEX(对接源_01水果!$M$4:$M$1203,$AE38)=0,"",INDEX(对接源_01水果!$M$4:$M$1203,$AE38)),IF(INDEX(对接源_02物料!$M$4:$M$1203,$AE38-1200)=0,"",INDEX(对接源_02物料!$M$4:$M$1203,$AE38-1200))))</f>
      </c>
      <c r="AE38" s="128">
        <f>IFERROR(MATCH(33,_自动清单!$Q$4:$Q$2403,0),"")</f>
      </c>
    </row>
    <row r="39" ht="18" customHeight="1" s="127">
      <c r="A39" s="165">
        <f>IF($AE39="","",IF($AE39&lt;=1200,IF(INDEX(对接源_01水果!$B$4:$B$1203,$AE39)=0,"",INDEX(对接源_01水果!$B$4:$B$1203,$AE39)),IF(INDEX(对接源_02物料!$B$4:$B$1203,$AE39-1200)=0,"",INDEX(对接源_02物料!$B$4:$B$1203,$AE39-1200))))</f>
      </c>
      <c r="B39" s="104">
        <f>IF($AE39="","",IF($AE39&lt;=1200,IF(INDEX(对接源_01水果!$E$4:$E$1203,$AE39)=0,"",INDEX(对接源_01水果!$E$4:$E$1203,$AE39)),IF(INDEX(对接源_02物料!$E$4:$E$1203,$AE39-1200)=0,"",INDEX(对接源_02物料!$E$4:$E$1203,$AE39-1200))))</f>
      </c>
      <c r="C39" s="131">
        <f>IF($AE39="","",IF($AE39&lt;=1200,IF(INDEX(对接源_01水果!$S$4:$S$1203,$AE39)=0,"",INDEX(对接源_01水果!$S$4:$S$1203,$AE39)),IF(INDEX(对接源_02物料!$S$4:$S$1203,$AE39-1200)=0,"",INDEX(对接源_02物料!$S$4:$S$1203,$AE39-1200))))</f>
      </c>
      <c r="D39" s="166">
        <f>IF($AE39="","",IF($AE39&lt;=1200,IF(INDEX(对接源_01水果!$T$4:$T$1203,$AE39)=0,"",INDEX(对接源_01水果!$T$4:$T$1203,$AE39)),IF(INDEX(对接源_02物料!$T$4:$T$1203,$AE39-1200)=0,"",INDEX(对接源_02物料!$T$4:$T$1203,$AE39-1200))))</f>
      </c>
      <c r="E39" s="104">
        <f>IF($AE39="","",IF($AE39&lt;=1200,IF(INDEX(对接源_01水果!$W$4:$W$1203,$AE39)=0,"",INDEX(对接源_01水果!$W$4:$W$1203,$AE39)),IF(INDEX(对接源_02物料!$W$4:$W$1203,$AE39-1200)=0,"",INDEX(对接源_02物料!$W$4:$W$1203,$AE39-1200))))</f>
      </c>
      <c r="F39" s="104">
        <f>IF($AE39="","",IF($AE39&lt;=1200,"01水果册","02物料册"))</f>
      </c>
      <c r="G39" s="131">
        <f>IF($AE39="","",IF($AE39&lt;=1200,IF(INDEX(对接源_01水果!$M$4:$M$1203,$AE39)=0,"",INDEX(对接源_01水果!$M$4:$M$1203,$AE39)),IF(INDEX(对接源_02物料!$M$4:$M$1203,$AE39-1200)=0,"",INDEX(对接源_02物料!$M$4:$M$1203,$AE39-1200))))</f>
      </c>
      <c r="AE39" s="128">
        <f>IFERROR(MATCH(34,_自动清单!$Q$4:$Q$2403,0),"")</f>
      </c>
    </row>
    <row r="40" ht="18" customHeight="1" s="127">
      <c r="A40" s="163">
        <f>IF($AE40="","",IF($AE40&lt;=1200,IF(INDEX(对接源_01水果!$B$4:$B$1203,$AE40)=0,"",INDEX(对接源_01水果!$B$4:$B$1203,$AE40)),IF(INDEX(对接源_02物料!$B$4:$B$1203,$AE40-1200)=0,"",INDEX(对接源_02物料!$B$4:$B$1203,$AE40-1200))))</f>
      </c>
      <c r="B40" s="61">
        <f>IF($AE40="","",IF($AE40&lt;=1200,IF(INDEX(对接源_01水果!$E$4:$E$1203,$AE40)=0,"",INDEX(对接源_01水果!$E$4:$E$1203,$AE40)),IF(INDEX(对接源_02物料!$E$4:$E$1203,$AE40-1200)=0,"",INDEX(对接源_02物料!$E$4:$E$1203,$AE40-1200))))</f>
      </c>
      <c r="C40" s="122">
        <f>IF($AE40="","",IF($AE40&lt;=1200,IF(INDEX(对接源_01水果!$S$4:$S$1203,$AE40)=0,"",INDEX(对接源_01水果!$S$4:$S$1203,$AE40)),IF(INDEX(对接源_02物料!$S$4:$S$1203,$AE40-1200)=0,"",INDEX(对接源_02物料!$S$4:$S$1203,$AE40-1200))))</f>
      </c>
      <c r="D40" s="164">
        <f>IF($AE40="","",IF($AE40&lt;=1200,IF(INDEX(对接源_01水果!$T$4:$T$1203,$AE40)=0,"",INDEX(对接源_01水果!$T$4:$T$1203,$AE40)),IF(INDEX(对接源_02物料!$T$4:$T$1203,$AE40-1200)=0,"",INDEX(对接源_02物料!$T$4:$T$1203,$AE40-1200))))</f>
      </c>
      <c r="E40" s="61">
        <f>IF($AE40="","",IF($AE40&lt;=1200,IF(INDEX(对接源_01水果!$W$4:$W$1203,$AE40)=0,"",INDEX(对接源_01水果!$W$4:$W$1203,$AE40)),IF(INDEX(对接源_02物料!$W$4:$W$1203,$AE40-1200)=0,"",INDEX(对接源_02物料!$W$4:$W$1203,$AE40-1200))))</f>
      </c>
      <c r="F40" s="61">
        <f>IF($AE40="","",IF($AE40&lt;=1200,"01水果册","02物料册"))</f>
      </c>
      <c r="G40" s="122">
        <f>IF($AE40="","",IF($AE40&lt;=1200,IF(INDEX(对接源_01水果!$M$4:$M$1203,$AE40)=0,"",INDEX(对接源_01水果!$M$4:$M$1203,$AE40)),IF(INDEX(对接源_02物料!$M$4:$M$1203,$AE40-1200)=0,"",INDEX(对接源_02物料!$M$4:$M$1203,$AE40-1200))))</f>
      </c>
      <c r="AE40" s="128">
        <f>IFERROR(MATCH(35,_自动清单!$Q$4:$Q$2403,0),"")</f>
      </c>
    </row>
    <row r="41" ht="18" customHeight="1" s="127">
      <c r="A41" s="165">
        <f>IF($AE41="","",IF($AE41&lt;=1200,IF(INDEX(对接源_01水果!$B$4:$B$1203,$AE41)=0,"",INDEX(对接源_01水果!$B$4:$B$1203,$AE41)),IF(INDEX(对接源_02物料!$B$4:$B$1203,$AE41-1200)=0,"",INDEX(对接源_02物料!$B$4:$B$1203,$AE41-1200))))</f>
      </c>
      <c r="B41" s="104">
        <f>IF($AE41="","",IF($AE41&lt;=1200,IF(INDEX(对接源_01水果!$E$4:$E$1203,$AE41)=0,"",INDEX(对接源_01水果!$E$4:$E$1203,$AE41)),IF(INDEX(对接源_02物料!$E$4:$E$1203,$AE41-1200)=0,"",INDEX(对接源_02物料!$E$4:$E$1203,$AE41-1200))))</f>
      </c>
      <c r="C41" s="131">
        <f>IF($AE41="","",IF($AE41&lt;=1200,IF(INDEX(对接源_01水果!$S$4:$S$1203,$AE41)=0,"",INDEX(对接源_01水果!$S$4:$S$1203,$AE41)),IF(INDEX(对接源_02物料!$S$4:$S$1203,$AE41-1200)=0,"",INDEX(对接源_02物料!$S$4:$S$1203,$AE41-1200))))</f>
      </c>
      <c r="D41" s="166">
        <f>IF($AE41="","",IF($AE41&lt;=1200,IF(INDEX(对接源_01水果!$T$4:$T$1203,$AE41)=0,"",INDEX(对接源_01水果!$T$4:$T$1203,$AE41)),IF(INDEX(对接源_02物料!$T$4:$T$1203,$AE41-1200)=0,"",INDEX(对接源_02物料!$T$4:$T$1203,$AE41-1200))))</f>
      </c>
      <c r="E41" s="104">
        <f>IF($AE41="","",IF($AE41&lt;=1200,IF(INDEX(对接源_01水果!$W$4:$W$1203,$AE41)=0,"",INDEX(对接源_01水果!$W$4:$W$1203,$AE41)),IF(INDEX(对接源_02物料!$W$4:$W$1203,$AE41-1200)=0,"",INDEX(对接源_02物料!$W$4:$W$1203,$AE41-1200))))</f>
      </c>
      <c r="F41" s="104">
        <f>IF($AE41="","",IF($AE41&lt;=1200,"01水果册","02物料册"))</f>
      </c>
      <c r="G41" s="131">
        <f>IF($AE41="","",IF($AE41&lt;=1200,IF(INDEX(对接源_01水果!$M$4:$M$1203,$AE41)=0,"",INDEX(对接源_01水果!$M$4:$M$1203,$AE41)),IF(INDEX(对接源_02物料!$M$4:$M$1203,$AE41-1200)=0,"",INDEX(对接源_02物料!$M$4:$M$1203,$AE41-1200))))</f>
      </c>
      <c r="AE41" s="128">
        <f>IFERROR(MATCH(36,_自动清单!$Q$4:$Q$2403,0),"")</f>
      </c>
    </row>
    <row r="42" ht="18" customHeight="1" s="127">
      <c r="A42" s="163">
        <f>IF($AE42="","",IF($AE42&lt;=1200,IF(INDEX(对接源_01水果!$B$4:$B$1203,$AE42)=0,"",INDEX(对接源_01水果!$B$4:$B$1203,$AE42)),IF(INDEX(对接源_02物料!$B$4:$B$1203,$AE42-1200)=0,"",INDEX(对接源_02物料!$B$4:$B$1203,$AE42-1200))))</f>
      </c>
      <c r="B42" s="61">
        <f>IF($AE42="","",IF($AE42&lt;=1200,IF(INDEX(对接源_01水果!$E$4:$E$1203,$AE42)=0,"",INDEX(对接源_01水果!$E$4:$E$1203,$AE42)),IF(INDEX(对接源_02物料!$E$4:$E$1203,$AE42-1200)=0,"",INDEX(对接源_02物料!$E$4:$E$1203,$AE42-1200))))</f>
      </c>
      <c r="C42" s="122">
        <f>IF($AE42="","",IF($AE42&lt;=1200,IF(INDEX(对接源_01水果!$S$4:$S$1203,$AE42)=0,"",INDEX(对接源_01水果!$S$4:$S$1203,$AE42)),IF(INDEX(对接源_02物料!$S$4:$S$1203,$AE42-1200)=0,"",INDEX(对接源_02物料!$S$4:$S$1203,$AE42-1200))))</f>
      </c>
      <c r="D42" s="164">
        <f>IF($AE42="","",IF($AE42&lt;=1200,IF(INDEX(对接源_01水果!$T$4:$T$1203,$AE42)=0,"",INDEX(对接源_01水果!$T$4:$T$1203,$AE42)),IF(INDEX(对接源_02物料!$T$4:$T$1203,$AE42-1200)=0,"",INDEX(对接源_02物料!$T$4:$T$1203,$AE42-1200))))</f>
      </c>
      <c r="E42" s="61">
        <f>IF($AE42="","",IF($AE42&lt;=1200,IF(INDEX(对接源_01水果!$W$4:$W$1203,$AE42)=0,"",INDEX(对接源_01水果!$W$4:$W$1203,$AE42)),IF(INDEX(对接源_02物料!$W$4:$W$1203,$AE42-1200)=0,"",INDEX(对接源_02物料!$W$4:$W$1203,$AE42-1200))))</f>
      </c>
      <c r="F42" s="61">
        <f>IF($AE42="","",IF($AE42&lt;=1200,"01水果册","02物料册"))</f>
      </c>
      <c r="G42" s="122">
        <f>IF($AE42="","",IF($AE42&lt;=1200,IF(INDEX(对接源_01水果!$M$4:$M$1203,$AE42)=0,"",INDEX(对接源_01水果!$M$4:$M$1203,$AE42)),IF(INDEX(对接源_02物料!$M$4:$M$1203,$AE42-1200)=0,"",INDEX(对接源_02物料!$M$4:$M$1203,$AE42-1200))))</f>
      </c>
      <c r="AE42" s="128">
        <f>IFERROR(MATCH(37,_自动清单!$Q$4:$Q$2403,0),"")</f>
      </c>
    </row>
    <row r="43" ht="18" customHeight="1" s="127">
      <c r="A43" s="165">
        <f>IF($AE43="","",IF($AE43&lt;=1200,IF(INDEX(对接源_01水果!$B$4:$B$1203,$AE43)=0,"",INDEX(对接源_01水果!$B$4:$B$1203,$AE43)),IF(INDEX(对接源_02物料!$B$4:$B$1203,$AE43-1200)=0,"",INDEX(对接源_02物料!$B$4:$B$1203,$AE43-1200))))</f>
      </c>
      <c r="B43" s="104">
        <f>IF($AE43="","",IF($AE43&lt;=1200,IF(INDEX(对接源_01水果!$E$4:$E$1203,$AE43)=0,"",INDEX(对接源_01水果!$E$4:$E$1203,$AE43)),IF(INDEX(对接源_02物料!$E$4:$E$1203,$AE43-1200)=0,"",INDEX(对接源_02物料!$E$4:$E$1203,$AE43-1200))))</f>
      </c>
      <c r="C43" s="131">
        <f>IF($AE43="","",IF($AE43&lt;=1200,IF(INDEX(对接源_01水果!$S$4:$S$1203,$AE43)=0,"",INDEX(对接源_01水果!$S$4:$S$1203,$AE43)),IF(INDEX(对接源_02物料!$S$4:$S$1203,$AE43-1200)=0,"",INDEX(对接源_02物料!$S$4:$S$1203,$AE43-1200))))</f>
      </c>
      <c r="D43" s="166">
        <f>IF($AE43="","",IF($AE43&lt;=1200,IF(INDEX(对接源_01水果!$T$4:$T$1203,$AE43)=0,"",INDEX(对接源_01水果!$T$4:$T$1203,$AE43)),IF(INDEX(对接源_02物料!$T$4:$T$1203,$AE43-1200)=0,"",INDEX(对接源_02物料!$T$4:$T$1203,$AE43-1200))))</f>
      </c>
      <c r="E43" s="104">
        <f>IF($AE43="","",IF($AE43&lt;=1200,IF(INDEX(对接源_01水果!$W$4:$W$1203,$AE43)=0,"",INDEX(对接源_01水果!$W$4:$W$1203,$AE43)),IF(INDEX(对接源_02物料!$W$4:$W$1203,$AE43-1200)=0,"",INDEX(对接源_02物料!$W$4:$W$1203,$AE43-1200))))</f>
      </c>
      <c r="F43" s="104">
        <f>IF($AE43="","",IF($AE43&lt;=1200,"01水果册","02物料册"))</f>
      </c>
      <c r="G43" s="131">
        <f>IF($AE43="","",IF($AE43&lt;=1200,IF(INDEX(对接源_01水果!$M$4:$M$1203,$AE43)=0,"",INDEX(对接源_01水果!$M$4:$M$1203,$AE43)),IF(INDEX(对接源_02物料!$M$4:$M$1203,$AE43-1200)=0,"",INDEX(对接源_02物料!$M$4:$M$1203,$AE43-1200))))</f>
      </c>
      <c r="AE43" s="128">
        <f>IFERROR(MATCH(38,_自动清单!$Q$4:$Q$2403,0),"")</f>
      </c>
    </row>
    <row r="44" ht="18" customHeight="1" s="127">
      <c r="A44" s="163">
        <f>IF($AE44="","",IF($AE44&lt;=1200,IF(INDEX(对接源_01水果!$B$4:$B$1203,$AE44)=0,"",INDEX(对接源_01水果!$B$4:$B$1203,$AE44)),IF(INDEX(对接源_02物料!$B$4:$B$1203,$AE44-1200)=0,"",INDEX(对接源_02物料!$B$4:$B$1203,$AE44-1200))))</f>
      </c>
      <c r="B44" s="61">
        <f>IF($AE44="","",IF($AE44&lt;=1200,IF(INDEX(对接源_01水果!$E$4:$E$1203,$AE44)=0,"",INDEX(对接源_01水果!$E$4:$E$1203,$AE44)),IF(INDEX(对接源_02物料!$E$4:$E$1203,$AE44-1200)=0,"",INDEX(对接源_02物料!$E$4:$E$1203,$AE44-1200))))</f>
      </c>
      <c r="C44" s="122">
        <f>IF($AE44="","",IF($AE44&lt;=1200,IF(INDEX(对接源_01水果!$S$4:$S$1203,$AE44)=0,"",INDEX(对接源_01水果!$S$4:$S$1203,$AE44)),IF(INDEX(对接源_02物料!$S$4:$S$1203,$AE44-1200)=0,"",INDEX(对接源_02物料!$S$4:$S$1203,$AE44-1200))))</f>
      </c>
      <c r="D44" s="164">
        <f>IF($AE44="","",IF($AE44&lt;=1200,IF(INDEX(对接源_01水果!$T$4:$T$1203,$AE44)=0,"",INDEX(对接源_01水果!$T$4:$T$1203,$AE44)),IF(INDEX(对接源_02物料!$T$4:$T$1203,$AE44-1200)=0,"",INDEX(对接源_02物料!$T$4:$T$1203,$AE44-1200))))</f>
      </c>
      <c r="E44" s="61">
        <f>IF($AE44="","",IF($AE44&lt;=1200,IF(INDEX(对接源_01水果!$W$4:$W$1203,$AE44)=0,"",INDEX(对接源_01水果!$W$4:$W$1203,$AE44)),IF(INDEX(对接源_02物料!$W$4:$W$1203,$AE44-1200)=0,"",INDEX(对接源_02物料!$W$4:$W$1203,$AE44-1200))))</f>
      </c>
      <c r="F44" s="61">
        <f>IF($AE44="","",IF($AE44&lt;=1200,"01水果册","02物料册"))</f>
      </c>
      <c r="G44" s="122">
        <f>IF($AE44="","",IF($AE44&lt;=1200,IF(INDEX(对接源_01水果!$M$4:$M$1203,$AE44)=0,"",INDEX(对接源_01水果!$M$4:$M$1203,$AE44)),IF(INDEX(对接源_02物料!$M$4:$M$1203,$AE44-1200)=0,"",INDEX(对接源_02物料!$M$4:$M$1203,$AE44-1200))))</f>
      </c>
      <c r="AE44" s="128">
        <f>IFERROR(MATCH(39,_自动清单!$Q$4:$Q$2403,0),"")</f>
      </c>
    </row>
    <row r="45" ht="18" customHeight="1" s="127">
      <c r="A45" s="165">
        <f>IF($AE45="","",IF($AE45&lt;=1200,IF(INDEX(对接源_01水果!$B$4:$B$1203,$AE45)=0,"",INDEX(对接源_01水果!$B$4:$B$1203,$AE45)),IF(INDEX(对接源_02物料!$B$4:$B$1203,$AE45-1200)=0,"",INDEX(对接源_02物料!$B$4:$B$1203,$AE45-1200))))</f>
      </c>
      <c r="B45" s="104">
        <f>IF($AE45="","",IF($AE45&lt;=1200,IF(INDEX(对接源_01水果!$E$4:$E$1203,$AE45)=0,"",INDEX(对接源_01水果!$E$4:$E$1203,$AE45)),IF(INDEX(对接源_02物料!$E$4:$E$1203,$AE45-1200)=0,"",INDEX(对接源_02物料!$E$4:$E$1203,$AE45-1200))))</f>
      </c>
      <c r="C45" s="131">
        <f>IF($AE45="","",IF($AE45&lt;=1200,IF(INDEX(对接源_01水果!$S$4:$S$1203,$AE45)=0,"",INDEX(对接源_01水果!$S$4:$S$1203,$AE45)),IF(INDEX(对接源_02物料!$S$4:$S$1203,$AE45-1200)=0,"",INDEX(对接源_02物料!$S$4:$S$1203,$AE45-1200))))</f>
      </c>
      <c r="D45" s="166">
        <f>IF($AE45="","",IF($AE45&lt;=1200,IF(INDEX(对接源_01水果!$T$4:$T$1203,$AE45)=0,"",INDEX(对接源_01水果!$T$4:$T$1203,$AE45)),IF(INDEX(对接源_02物料!$T$4:$T$1203,$AE45-1200)=0,"",INDEX(对接源_02物料!$T$4:$T$1203,$AE45-1200))))</f>
      </c>
      <c r="E45" s="104">
        <f>IF($AE45="","",IF($AE45&lt;=1200,IF(INDEX(对接源_01水果!$W$4:$W$1203,$AE45)=0,"",INDEX(对接源_01水果!$W$4:$W$1203,$AE45)),IF(INDEX(对接源_02物料!$W$4:$W$1203,$AE45-1200)=0,"",INDEX(对接源_02物料!$W$4:$W$1203,$AE45-1200))))</f>
      </c>
      <c r="F45" s="104">
        <f>IF($AE45="","",IF($AE45&lt;=1200,"01水果册","02物料册"))</f>
      </c>
      <c r="G45" s="131">
        <f>IF($AE45="","",IF($AE45&lt;=1200,IF(INDEX(对接源_01水果!$M$4:$M$1203,$AE45)=0,"",INDEX(对接源_01水果!$M$4:$M$1203,$AE45)),IF(INDEX(对接源_02物料!$M$4:$M$1203,$AE45-1200)=0,"",INDEX(对接源_02物料!$M$4:$M$1203,$AE45-1200))))</f>
      </c>
      <c r="AE45" s="128">
        <f>IFERROR(MATCH(40,_自动清单!$Q$4:$Q$2403,0),"")</f>
      </c>
    </row>
    <row r="46" ht="18" customHeight="1" s="127">
      <c r="A46" s="163">
        <f>IF($AE46="","",IF($AE46&lt;=1200,IF(INDEX(对接源_01水果!$B$4:$B$1203,$AE46)=0,"",INDEX(对接源_01水果!$B$4:$B$1203,$AE46)),IF(INDEX(对接源_02物料!$B$4:$B$1203,$AE46-1200)=0,"",INDEX(对接源_02物料!$B$4:$B$1203,$AE46-1200))))</f>
      </c>
      <c r="B46" s="61">
        <f>IF($AE46="","",IF($AE46&lt;=1200,IF(INDEX(对接源_01水果!$E$4:$E$1203,$AE46)=0,"",INDEX(对接源_01水果!$E$4:$E$1203,$AE46)),IF(INDEX(对接源_02物料!$E$4:$E$1203,$AE46-1200)=0,"",INDEX(对接源_02物料!$E$4:$E$1203,$AE46-1200))))</f>
      </c>
      <c r="C46" s="122">
        <f>IF($AE46="","",IF($AE46&lt;=1200,IF(INDEX(对接源_01水果!$S$4:$S$1203,$AE46)=0,"",INDEX(对接源_01水果!$S$4:$S$1203,$AE46)),IF(INDEX(对接源_02物料!$S$4:$S$1203,$AE46-1200)=0,"",INDEX(对接源_02物料!$S$4:$S$1203,$AE46-1200))))</f>
      </c>
      <c r="D46" s="164">
        <f>IF($AE46="","",IF($AE46&lt;=1200,IF(INDEX(对接源_01水果!$T$4:$T$1203,$AE46)=0,"",INDEX(对接源_01水果!$T$4:$T$1203,$AE46)),IF(INDEX(对接源_02物料!$T$4:$T$1203,$AE46-1200)=0,"",INDEX(对接源_02物料!$T$4:$T$1203,$AE46-1200))))</f>
      </c>
      <c r="E46" s="61">
        <f>IF($AE46="","",IF($AE46&lt;=1200,IF(INDEX(对接源_01水果!$W$4:$W$1203,$AE46)=0,"",INDEX(对接源_01水果!$W$4:$W$1203,$AE46)),IF(INDEX(对接源_02物料!$W$4:$W$1203,$AE46-1200)=0,"",INDEX(对接源_02物料!$W$4:$W$1203,$AE46-1200))))</f>
      </c>
      <c r="F46" s="61">
        <f>IF($AE46="","",IF($AE46&lt;=1200,"01水果册","02物料册"))</f>
      </c>
      <c r="G46" s="122">
        <f>IF($AE46="","",IF($AE46&lt;=1200,IF(INDEX(对接源_01水果!$M$4:$M$1203,$AE46)=0,"",INDEX(对接源_01水果!$M$4:$M$1203,$AE46)),IF(INDEX(对接源_02物料!$M$4:$M$1203,$AE46-1200)=0,"",INDEX(对接源_02物料!$M$4:$M$1203,$AE46-1200))))</f>
      </c>
      <c r="AE46" s="128">
        <f>IFERROR(MATCH(41,_自动清单!$Q$4:$Q$2403,0),"")</f>
      </c>
    </row>
    <row r="47" ht="18" customHeight="1" s="127">
      <c r="A47" s="165">
        <f>IF($AE47="","",IF($AE47&lt;=1200,IF(INDEX(对接源_01水果!$B$4:$B$1203,$AE47)=0,"",INDEX(对接源_01水果!$B$4:$B$1203,$AE47)),IF(INDEX(对接源_02物料!$B$4:$B$1203,$AE47-1200)=0,"",INDEX(对接源_02物料!$B$4:$B$1203,$AE47-1200))))</f>
      </c>
      <c r="B47" s="104">
        <f>IF($AE47="","",IF($AE47&lt;=1200,IF(INDEX(对接源_01水果!$E$4:$E$1203,$AE47)=0,"",INDEX(对接源_01水果!$E$4:$E$1203,$AE47)),IF(INDEX(对接源_02物料!$E$4:$E$1203,$AE47-1200)=0,"",INDEX(对接源_02物料!$E$4:$E$1203,$AE47-1200))))</f>
      </c>
      <c r="C47" s="131">
        <f>IF($AE47="","",IF($AE47&lt;=1200,IF(INDEX(对接源_01水果!$S$4:$S$1203,$AE47)=0,"",INDEX(对接源_01水果!$S$4:$S$1203,$AE47)),IF(INDEX(对接源_02物料!$S$4:$S$1203,$AE47-1200)=0,"",INDEX(对接源_02物料!$S$4:$S$1203,$AE47-1200))))</f>
      </c>
      <c r="D47" s="166">
        <f>IF($AE47="","",IF($AE47&lt;=1200,IF(INDEX(对接源_01水果!$T$4:$T$1203,$AE47)=0,"",INDEX(对接源_01水果!$T$4:$T$1203,$AE47)),IF(INDEX(对接源_02物料!$T$4:$T$1203,$AE47-1200)=0,"",INDEX(对接源_02物料!$T$4:$T$1203,$AE47-1200))))</f>
      </c>
      <c r="E47" s="104">
        <f>IF($AE47="","",IF($AE47&lt;=1200,IF(INDEX(对接源_01水果!$W$4:$W$1203,$AE47)=0,"",INDEX(对接源_01水果!$W$4:$W$1203,$AE47)),IF(INDEX(对接源_02物料!$W$4:$W$1203,$AE47-1200)=0,"",INDEX(对接源_02物料!$W$4:$W$1203,$AE47-1200))))</f>
      </c>
      <c r="F47" s="104">
        <f>IF($AE47="","",IF($AE47&lt;=1200,"01水果册","02物料册"))</f>
      </c>
      <c r="G47" s="131">
        <f>IF($AE47="","",IF($AE47&lt;=1200,IF(INDEX(对接源_01水果!$M$4:$M$1203,$AE47)=0,"",INDEX(对接源_01水果!$M$4:$M$1203,$AE47)),IF(INDEX(对接源_02物料!$M$4:$M$1203,$AE47-1200)=0,"",INDEX(对接源_02物料!$M$4:$M$1203,$AE47-1200))))</f>
      </c>
      <c r="AE47" s="128">
        <f>IFERROR(MATCH(42,_自动清单!$Q$4:$Q$2403,0),"")</f>
      </c>
    </row>
    <row r="48" ht="18" customHeight="1" s="127">
      <c r="A48" s="163">
        <f>IF($AE48="","",IF($AE48&lt;=1200,IF(INDEX(对接源_01水果!$B$4:$B$1203,$AE48)=0,"",INDEX(对接源_01水果!$B$4:$B$1203,$AE48)),IF(INDEX(对接源_02物料!$B$4:$B$1203,$AE48-1200)=0,"",INDEX(对接源_02物料!$B$4:$B$1203,$AE48-1200))))</f>
      </c>
      <c r="B48" s="61">
        <f>IF($AE48="","",IF($AE48&lt;=1200,IF(INDEX(对接源_01水果!$E$4:$E$1203,$AE48)=0,"",INDEX(对接源_01水果!$E$4:$E$1203,$AE48)),IF(INDEX(对接源_02物料!$E$4:$E$1203,$AE48-1200)=0,"",INDEX(对接源_02物料!$E$4:$E$1203,$AE48-1200))))</f>
      </c>
      <c r="C48" s="122">
        <f>IF($AE48="","",IF($AE48&lt;=1200,IF(INDEX(对接源_01水果!$S$4:$S$1203,$AE48)=0,"",INDEX(对接源_01水果!$S$4:$S$1203,$AE48)),IF(INDEX(对接源_02物料!$S$4:$S$1203,$AE48-1200)=0,"",INDEX(对接源_02物料!$S$4:$S$1203,$AE48-1200))))</f>
      </c>
      <c r="D48" s="164">
        <f>IF($AE48="","",IF($AE48&lt;=1200,IF(INDEX(对接源_01水果!$T$4:$T$1203,$AE48)=0,"",INDEX(对接源_01水果!$T$4:$T$1203,$AE48)),IF(INDEX(对接源_02物料!$T$4:$T$1203,$AE48-1200)=0,"",INDEX(对接源_02物料!$T$4:$T$1203,$AE48-1200))))</f>
      </c>
      <c r="E48" s="61">
        <f>IF($AE48="","",IF($AE48&lt;=1200,IF(INDEX(对接源_01水果!$W$4:$W$1203,$AE48)=0,"",INDEX(对接源_01水果!$W$4:$W$1203,$AE48)),IF(INDEX(对接源_02物料!$W$4:$W$1203,$AE48-1200)=0,"",INDEX(对接源_02物料!$W$4:$W$1203,$AE48-1200))))</f>
      </c>
      <c r="F48" s="61">
        <f>IF($AE48="","",IF($AE48&lt;=1200,"01水果册","02物料册"))</f>
      </c>
      <c r="G48" s="122">
        <f>IF($AE48="","",IF($AE48&lt;=1200,IF(INDEX(对接源_01水果!$M$4:$M$1203,$AE48)=0,"",INDEX(对接源_01水果!$M$4:$M$1203,$AE48)),IF(INDEX(对接源_02物料!$M$4:$M$1203,$AE48-1200)=0,"",INDEX(对接源_02物料!$M$4:$M$1203,$AE48-1200))))</f>
      </c>
      <c r="AE48" s="128">
        <f>IFERROR(MATCH(43,_自动清单!$Q$4:$Q$2403,0),"")</f>
      </c>
    </row>
    <row r="49" ht="18" customHeight="1" s="127">
      <c r="A49" s="165">
        <f>IF($AE49="","",IF($AE49&lt;=1200,IF(INDEX(对接源_01水果!$B$4:$B$1203,$AE49)=0,"",INDEX(对接源_01水果!$B$4:$B$1203,$AE49)),IF(INDEX(对接源_02物料!$B$4:$B$1203,$AE49-1200)=0,"",INDEX(对接源_02物料!$B$4:$B$1203,$AE49-1200))))</f>
      </c>
      <c r="B49" s="104">
        <f>IF($AE49="","",IF($AE49&lt;=1200,IF(INDEX(对接源_01水果!$E$4:$E$1203,$AE49)=0,"",INDEX(对接源_01水果!$E$4:$E$1203,$AE49)),IF(INDEX(对接源_02物料!$E$4:$E$1203,$AE49-1200)=0,"",INDEX(对接源_02物料!$E$4:$E$1203,$AE49-1200))))</f>
      </c>
      <c r="C49" s="131">
        <f>IF($AE49="","",IF($AE49&lt;=1200,IF(INDEX(对接源_01水果!$S$4:$S$1203,$AE49)=0,"",INDEX(对接源_01水果!$S$4:$S$1203,$AE49)),IF(INDEX(对接源_02物料!$S$4:$S$1203,$AE49-1200)=0,"",INDEX(对接源_02物料!$S$4:$S$1203,$AE49-1200))))</f>
      </c>
      <c r="D49" s="166">
        <f>IF($AE49="","",IF($AE49&lt;=1200,IF(INDEX(对接源_01水果!$T$4:$T$1203,$AE49)=0,"",INDEX(对接源_01水果!$T$4:$T$1203,$AE49)),IF(INDEX(对接源_02物料!$T$4:$T$1203,$AE49-1200)=0,"",INDEX(对接源_02物料!$T$4:$T$1203,$AE49-1200))))</f>
      </c>
      <c r="E49" s="104">
        <f>IF($AE49="","",IF($AE49&lt;=1200,IF(INDEX(对接源_01水果!$W$4:$W$1203,$AE49)=0,"",INDEX(对接源_01水果!$W$4:$W$1203,$AE49)),IF(INDEX(对接源_02物料!$W$4:$W$1203,$AE49-1200)=0,"",INDEX(对接源_02物料!$W$4:$W$1203,$AE49-1200))))</f>
      </c>
      <c r="F49" s="104">
        <f>IF($AE49="","",IF($AE49&lt;=1200,"01水果册","02物料册"))</f>
      </c>
      <c r="G49" s="131">
        <f>IF($AE49="","",IF($AE49&lt;=1200,IF(INDEX(对接源_01水果!$M$4:$M$1203,$AE49)=0,"",INDEX(对接源_01水果!$M$4:$M$1203,$AE49)),IF(INDEX(对接源_02物料!$M$4:$M$1203,$AE49-1200)=0,"",INDEX(对接源_02物料!$M$4:$M$1203,$AE49-1200))))</f>
      </c>
      <c r="AE49" s="128">
        <f>IFERROR(MATCH(44,_自动清单!$Q$4:$Q$2403,0),"")</f>
      </c>
    </row>
    <row r="50" ht="18" customHeight="1" s="127">
      <c r="A50" s="163">
        <f>IF($AE50="","",IF($AE50&lt;=1200,IF(INDEX(对接源_01水果!$B$4:$B$1203,$AE50)=0,"",INDEX(对接源_01水果!$B$4:$B$1203,$AE50)),IF(INDEX(对接源_02物料!$B$4:$B$1203,$AE50-1200)=0,"",INDEX(对接源_02物料!$B$4:$B$1203,$AE50-1200))))</f>
      </c>
      <c r="B50" s="61">
        <f>IF($AE50="","",IF($AE50&lt;=1200,IF(INDEX(对接源_01水果!$E$4:$E$1203,$AE50)=0,"",INDEX(对接源_01水果!$E$4:$E$1203,$AE50)),IF(INDEX(对接源_02物料!$E$4:$E$1203,$AE50-1200)=0,"",INDEX(对接源_02物料!$E$4:$E$1203,$AE50-1200))))</f>
      </c>
      <c r="C50" s="122">
        <f>IF($AE50="","",IF($AE50&lt;=1200,IF(INDEX(对接源_01水果!$S$4:$S$1203,$AE50)=0,"",INDEX(对接源_01水果!$S$4:$S$1203,$AE50)),IF(INDEX(对接源_02物料!$S$4:$S$1203,$AE50-1200)=0,"",INDEX(对接源_02物料!$S$4:$S$1203,$AE50-1200))))</f>
      </c>
      <c r="D50" s="164">
        <f>IF($AE50="","",IF($AE50&lt;=1200,IF(INDEX(对接源_01水果!$T$4:$T$1203,$AE50)=0,"",INDEX(对接源_01水果!$T$4:$T$1203,$AE50)),IF(INDEX(对接源_02物料!$T$4:$T$1203,$AE50-1200)=0,"",INDEX(对接源_02物料!$T$4:$T$1203,$AE50-1200))))</f>
      </c>
      <c r="E50" s="61">
        <f>IF($AE50="","",IF($AE50&lt;=1200,IF(INDEX(对接源_01水果!$W$4:$W$1203,$AE50)=0,"",INDEX(对接源_01水果!$W$4:$W$1203,$AE50)),IF(INDEX(对接源_02物料!$W$4:$W$1203,$AE50-1200)=0,"",INDEX(对接源_02物料!$W$4:$W$1203,$AE50-1200))))</f>
      </c>
      <c r="F50" s="61">
        <f>IF($AE50="","",IF($AE50&lt;=1200,"01水果册","02物料册"))</f>
      </c>
      <c r="G50" s="122">
        <f>IF($AE50="","",IF($AE50&lt;=1200,IF(INDEX(对接源_01水果!$M$4:$M$1203,$AE50)=0,"",INDEX(对接源_01水果!$M$4:$M$1203,$AE50)),IF(INDEX(对接源_02物料!$M$4:$M$1203,$AE50-1200)=0,"",INDEX(对接源_02物料!$M$4:$M$1203,$AE50-1200))))</f>
      </c>
      <c r="AE50" s="128">
        <f>IFERROR(MATCH(45,_自动清单!$Q$4:$Q$2403,0),"")</f>
      </c>
    </row>
    <row r="51" ht="18" customHeight="1" s="127">
      <c r="A51" s="165">
        <f>IF($AE51="","",IF($AE51&lt;=1200,IF(INDEX(对接源_01水果!$B$4:$B$1203,$AE51)=0,"",INDEX(对接源_01水果!$B$4:$B$1203,$AE51)),IF(INDEX(对接源_02物料!$B$4:$B$1203,$AE51-1200)=0,"",INDEX(对接源_02物料!$B$4:$B$1203,$AE51-1200))))</f>
      </c>
      <c r="B51" s="104">
        <f>IF($AE51="","",IF($AE51&lt;=1200,IF(INDEX(对接源_01水果!$E$4:$E$1203,$AE51)=0,"",INDEX(对接源_01水果!$E$4:$E$1203,$AE51)),IF(INDEX(对接源_02物料!$E$4:$E$1203,$AE51-1200)=0,"",INDEX(对接源_02物料!$E$4:$E$1203,$AE51-1200))))</f>
      </c>
      <c r="C51" s="131">
        <f>IF($AE51="","",IF($AE51&lt;=1200,IF(INDEX(对接源_01水果!$S$4:$S$1203,$AE51)=0,"",INDEX(对接源_01水果!$S$4:$S$1203,$AE51)),IF(INDEX(对接源_02物料!$S$4:$S$1203,$AE51-1200)=0,"",INDEX(对接源_02物料!$S$4:$S$1203,$AE51-1200))))</f>
      </c>
      <c r="D51" s="166">
        <f>IF($AE51="","",IF($AE51&lt;=1200,IF(INDEX(对接源_01水果!$T$4:$T$1203,$AE51)=0,"",INDEX(对接源_01水果!$T$4:$T$1203,$AE51)),IF(INDEX(对接源_02物料!$T$4:$T$1203,$AE51-1200)=0,"",INDEX(对接源_02物料!$T$4:$T$1203,$AE51-1200))))</f>
      </c>
      <c r="E51" s="104">
        <f>IF($AE51="","",IF($AE51&lt;=1200,IF(INDEX(对接源_01水果!$W$4:$W$1203,$AE51)=0,"",INDEX(对接源_01水果!$W$4:$W$1203,$AE51)),IF(INDEX(对接源_02物料!$W$4:$W$1203,$AE51-1200)=0,"",INDEX(对接源_02物料!$W$4:$W$1203,$AE51-1200))))</f>
      </c>
      <c r="F51" s="104">
        <f>IF($AE51="","",IF($AE51&lt;=1200,"01水果册","02物料册"))</f>
      </c>
      <c r="G51" s="131">
        <f>IF($AE51="","",IF($AE51&lt;=1200,IF(INDEX(对接源_01水果!$M$4:$M$1203,$AE51)=0,"",INDEX(对接源_01水果!$M$4:$M$1203,$AE51)),IF(INDEX(对接源_02物料!$M$4:$M$1203,$AE51-1200)=0,"",INDEX(对接源_02物料!$M$4:$M$1203,$AE51-1200))))</f>
      </c>
      <c r="AE51" s="128">
        <f>IFERROR(MATCH(46,_自动清单!$Q$4:$Q$2403,0),"")</f>
      </c>
    </row>
    <row r="52" ht="18" customHeight="1" s="127">
      <c r="A52" s="163">
        <f>IF($AE52="","",IF($AE52&lt;=1200,IF(INDEX(对接源_01水果!$B$4:$B$1203,$AE52)=0,"",INDEX(对接源_01水果!$B$4:$B$1203,$AE52)),IF(INDEX(对接源_02物料!$B$4:$B$1203,$AE52-1200)=0,"",INDEX(对接源_02物料!$B$4:$B$1203,$AE52-1200))))</f>
      </c>
      <c r="B52" s="61">
        <f>IF($AE52="","",IF($AE52&lt;=1200,IF(INDEX(对接源_01水果!$E$4:$E$1203,$AE52)=0,"",INDEX(对接源_01水果!$E$4:$E$1203,$AE52)),IF(INDEX(对接源_02物料!$E$4:$E$1203,$AE52-1200)=0,"",INDEX(对接源_02物料!$E$4:$E$1203,$AE52-1200))))</f>
      </c>
      <c r="C52" s="122">
        <f>IF($AE52="","",IF($AE52&lt;=1200,IF(INDEX(对接源_01水果!$S$4:$S$1203,$AE52)=0,"",INDEX(对接源_01水果!$S$4:$S$1203,$AE52)),IF(INDEX(对接源_02物料!$S$4:$S$1203,$AE52-1200)=0,"",INDEX(对接源_02物料!$S$4:$S$1203,$AE52-1200))))</f>
      </c>
      <c r="D52" s="164">
        <f>IF($AE52="","",IF($AE52&lt;=1200,IF(INDEX(对接源_01水果!$T$4:$T$1203,$AE52)=0,"",INDEX(对接源_01水果!$T$4:$T$1203,$AE52)),IF(INDEX(对接源_02物料!$T$4:$T$1203,$AE52-1200)=0,"",INDEX(对接源_02物料!$T$4:$T$1203,$AE52-1200))))</f>
      </c>
      <c r="E52" s="61">
        <f>IF($AE52="","",IF($AE52&lt;=1200,IF(INDEX(对接源_01水果!$W$4:$W$1203,$AE52)=0,"",INDEX(对接源_01水果!$W$4:$W$1203,$AE52)),IF(INDEX(对接源_02物料!$W$4:$W$1203,$AE52-1200)=0,"",INDEX(对接源_02物料!$W$4:$W$1203,$AE52-1200))))</f>
      </c>
      <c r="F52" s="61">
        <f>IF($AE52="","",IF($AE52&lt;=1200,"01水果册","02物料册"))</f>
      </c>
      <c r="G52" s="122">
        <f>IF($AE52="","",IF($AE52&lt;=1200,IF(INDEX(对接源_01水果!$M$4:$M$1203,$AE52)=0,"",INDEX(对接源_01水果!$M$4:$M$1203,$AE52)),IF(INDEX(对接源_02物料!$M$4:$M$1203,$AE52-1200)=0,"",INDEX(对接源_02物料!$M$4:$M$1203,$AE52-1200))))</f>
      </c>
      <c r="AE52" s="128">
        <f>IFERROR(MATCH(47,_自动清单!$Q$4:$Q$2403,0),"")</f>
      </c>
    </row>
    <row r="53" ht="18" customHeight="1" s="127">
      <c r="A53" s="165">
        <f>IF($AE53="","",IF($AE53&lt;=1200,IF(INDEX(对接源_01水果!$B$4:$B$1203,$AE53)=0,"",INDEX(对接源_01水果!$B$4:$B$1203,$AE53)),IF(INDEX(对接源_02物料!$B$4:$B$1203,$AE53-1200)=0,"",INDEX(对接源_02物料!$B$4:$B$1203,$AE53-1200))))</f>
      </c>
      <c r="B53" s="104">
        <f>IF($AE53="","",IF($AE53&lt;=1200,IF(INDEX(对接源_01水果!$E$4:$E$1203,$AE53)=0,"",INDEX(对接源_01水果!$E$4:$E$1203,$AE53)),IF(INDEX(对接源_02物料!$E$4:$E$1203,$AE53-1200)=0,"",INDEX(对接源_02物料!$E$4:$E$1203,$AE53-1200))))</f>
      </c>
      <c r="C53" s="131">
        <f>IF($AE53="","",IF($AE53&lt;=1200,IF(INDEX(对接源_01水果!$S$4:$S$1203,$AE53)=0,"",INDEX(对接源_01水果!$S$4:$S$1203,$AE53)),IF(INDEX(对接源_02物料!$S$4:$S$1203,$AE53-1200)=0,"",INDEX(对接源_02物料!$S$4:$S$1203,$AE53-1200))))</f>
      </c>
      <c r="D53" s="166">
        <f>IF($AE53="","",IF($AE53&lt;=1200,IF(INDEX(对接源_01水果!$T$4:$T$1203,$AE53)=0,"",INDEX(对接源_01水果!$T$4:$T$1203,$AE53)),IF(INDEX(对接源_02物料!$T$4:$T$1203,$AE53-1200)=0,"",INDEX(对接源_02物料!$T$4:$T$1203,$AE53-1200))))</f>
      </c>
      <c r="E53" s="104">
        <f>IF($AE53="","",IF($AE53&lt;=1200,IF(INDEX(对接源_01水果!$W$4:$W$1203,$AE53)=0,"",INDEX(对接源_01水果!$W$4:$W$1203,$AE53)),IF(INDEX(对接源_02物料!$W$4:$W$1203,$AE53-1200)=0,"",INDEX(对接源_02物料!$W$4:$W$1203,$AE53-1200))))</f>
      </c>
      <c r="F53" s="104">
        <f>IF($AE53="","",IF($AE53&lt;=1200,"01水果册","02物料册"))</f>
      </c>
      <c r="G53" s="131">
        <f>IF($AE53="","",IF($AE53&lt;=1200,IF(INDEX(对接源_01水果!$M$4:$M$1203,$AE53)=0,"",INDEX(对接源_01水果!$M$4:$M$1203,$AE53)),IF(INDEX(对接源_02物料!$M$4:$M$1203,$AE53-1200)=0,"",INDEX(对接源_02物料!$M$4:$M$1203,$AE53-1200))))</f>
      </c>
      <c r="AE53" s="128">
        <f>IFERROR(MATCH(48,_自动清单!$Q$4:$Q$2403,0),"")</f>
      </c>
    </row>
    <row r="54" ht="18" customHeight="1" s="127">
      <c r="A54" s="163">
        <f>IF($AE54="","",IF($AE54&lt;=1200,IF(INDEX(对接源_01水果!$B$4:$B$1203,$AE54)=0,"",INDEX(对接源_01水果!$B$4:$B$1203,$AE54)),IF(INDEX(对接源_02物料!$B$4:$B$1203,$AE54-1200)=0,"",INDEX(对接源_02物料!$B$4:$B$1203,$AE54-1200))))</f>
      </c>
      <c r="B54" s="61">
        <f>IF($AE54="","",IF($AE54&lt;=1200,IF(INDEX(对接源_01水果!$E$4:$E$1203,$AE54)=0,"",INDEX(对接源_01水果!$E$4:$E$1203,$AE54)),IF(INDEX(对接源_02物料!$E$4:$E$1203,$AE54-1200)=0,"",INDEX(对接源_02物料!$E$4:$E$1203,$AE54-1200))))</f>
      </c>
      <c r="C54" s="122">
        <f>IF($AE54="","",IF($AE54&lt;=1200,IF(INDEX(对接源_01水果!$S$4:$S$1203,$AE54)=0,"",INDEX(对接源_01水果!$S$4:$S$1203,$AE54)),IF(INDEX(对接源_02物料!$S$4:$S$1203,$AE54-1200)=0,"",INDEX(对接源_02物料!$S$4:$S$1203,$AE54-1200))))</f>
      </c>
      <c r="D54" s="164">
        <f>IF($AE54="","",IF($AE54&lt;=1200,IF(INDEX(对接源_01水果!$T$4:$T$1203,$AE54)=0,"",INDEX(对接源_01水果!$T$4:$T$1203,$AE54)),IF(INDEX(对接源_02物料!$T$4:$T$1203,$AE54-1200)=0,"",INDEX(对接源_02物料!$T$4:$T$1203,$AE54-1200))))</f>
      </c>
      <c r="E54" s="61">
        <f>IF($AE54="","",IF($AE54&lt;=1200,IF(INDEX(对接源_01水果!$W$4:$W$1203,$AE54)=0,"",INDEX(对接源_01水果!$W$4:$W$1203,$AE54)),IF(INDEX(对接源_02物料!$W$4:$W$1203,$AE54-1200)=0,"",INDEX(对接源_02物料!$W$4:$W$1203,$AE54-1200))))</f>
      </c>
      <c r="F54" s="61">
        <f>IF($AE54="","",IF($AE54&lt;=1200,"01水果册","02物料册"))</f>
      </c>
      <c r="G54" s="122">
        <f>IF($AE54="","",IF($AE54&lt;=1200,IF(INDEX(对接源_01水果!$M$4:$M$1203,$AE54)=0,"",INDEX(对接源_01水果!$M$4:$M$1203,$AE54)),IF(INDEX(对接源_02物料!$M$4:$M$1203,$AE54-1200)=0,"",INDEX(对接源_02物料!$M$4:$M$1203,$AE54-1200))))</f>
      </c>
      <c r="AE54" s="128">
        <f>IFERROR(MATCH(49,_自动清单!$Q$4:$Q$2403,0),"")</f>
      </c>
    </row>
    <row r="55" ht="18" customHeight="1" s="127">
      <c r="A55" s="165">
        <f>IF($AE55="","",IF($AE55&lt;=1200,IF(INDEX(对接源_01水果!$B$4:$B$1203,$AE55)=0,"",INDEX(对接源_01水果!$B$4:$B$1203,$AE55)),IF(INDEX(对接源_02物料!$B$4:$B$1203,$AE55-1200)=0,"",INDEX(对接源_02物料!$B$4:$B$1203,$AE55-1200))))</f>
      </c>
      <c r="B55" s="104">
        <f>IF($AE55="","",IF($AE55&lt;=1200,IF(INDEX(对接源_01水果!$E$4:$E$1203,$AE55)=0,"",INDEX(对接源_01水果!$E$4:$E$1203,$AE55)),IF(INDEX(对接源_02物料!$E$4:$E$1203,$AE55-1200)=0,"",INDEX(对接源_02物料!$E$4:$E$1203,$AE55-1200))))</f>
      </c>
      <c r="C55" s="131">
        <f>IF($AE55="","",IF($AE55&lt;=1200,IF(INDEX(对接源_01水果!$S$4:$S$1203,$AE55)=0,"",INDEX(对接源_01水果!$S$4:$S$1203,$AE55)),IF(INDEX(对接源_02物料!$S$4:$S$1203,$AE55-1200)=0,"",INDEX(对接源_02物料!$S$4:$S$1203,$AE55-1200))))</f>
      </c>
      <c r="D55" s="166">
        <f>IF($AE55="","",IF($AE55&lt;=1200,IF(INDEX(对接源_01水果!$T$4:$T$1203,$AE55)=0,"",INDEX(对接源_01水果!$T$4:$T$1203,$AE55)),IF(INDEX(对接源_02物料!$T$4:$T$1203,$AE55-1200)=0,"",INDEX(对接源_02物料!$T$4:$T$1203,$AE55-1200))))</f>
      </c>
      <c r="E55" s="104">
        <f>IF($AE55="","",IF($AE55&lt;=1200,IF(INDEX(对接源_01水果!$W$4:$W$1203,$AE55)=0,"",INDEX(对接源_01水果!$W$4:$W$1203,$AE55)),IF(INDEX(对接源_02物料!$W$4:$W$1203,$AE55-1200)=0,"",INDEX(对接源_02物料!$W$4:$W$1203,$AE55-1200))))</f>
      </c>
      <c r="F55" s="104">
        <f>IF($AE55="","",IF($AE55&lt;=1200,"01水果册","02物料册"))</f>
      </c>
      <c r="G55" s="131">
        <f>IF($AE55="","",IF($AE55&lt;=1200,IF(INDEX(对接源_01水果!$M$4:$M$1203,$AE55)=0,"",INDEX(对接源_01水果!$M$4:$M$1203,$AE55)),IF(INDEX(对接源_02物料!$M$4:$M$1203,$AE55-1200)=0,"",INDEX(对接源_02物料!$M$4:$M$1203,$AE55-1200))))</f>
      </c>
      <c r="AE55" s="128">
        <f>IFERROR(MATCH(50,_自动清单!$Q$4:$Q$2403,0),"")</f>
      </c>
    </row>
    <row r="56" ht="18" customHeight="1" s="127">
      <c r="A56" s="163">
        <f>IF($AE56="","",IF($AE56&lt;=1200,IF(INDEX(对接源_01水果!$B$4:$B$1203,$AE56)=0,"",INDEX(对接源_01水果!$B$4:$B$1203,$AE56)),IF(INDEX(对接源_02物料!$B$4:$B$1203,$AE56-1200)=0,"",INDEX(对接源_02物料!$B$4:$B$1203,$AE56-1200))))</f>
      </c>
      <c r="B56" s="61">
        <f>IF($AE56="","",IF($AE56&lt;=1200,IF(INDEX(对接源_01水果!$E$4:$E$1203,$AE56)=0,"",INDEX(对接源_01水果!$E$4:$E$1203,$AE56)),IF(INDEX(对接源_02物料!$E$4:$E$1203,$AE56-1200)=0,"",INDEX(对接源_02物料!$E$4:$E$1203,$AE56-1200))))</f>
      </c>
      <c r="C56" s="122">
        <f>IF($AE56="","",IF($AE56&lt;=1200,IF(INDEX(对接源_01水果!$S$4:$S$1203,$AE56)=0,"",INDEX(对接源_01水果!$S$4:$S$1203,$AE56)),IF(INDEX(对接源_02物料!$S$4:$S$1203,$AE56-1200)=0,"",INDEX(对接源_02物料!$S$4:$S$1203,$AE56-1200))))</f>
      </c>
      <c r="D56" s="164">
        <f>IF($AE56="","",IF($AE56&lt;=1200,IF(INDEX(对接源_01水果!$T$4:$T$1203,$AE56)=0,"",INDEX(对接源_01水果!$T$4:$T$1203,$AE56)),IF(INDEX(对接源_02物料!$T$4:$T$1203,$AE56-1200)=0,"",INDEX(对接源_02物料!$T$4:$T$1203,$AE56-1200))))</f>
      </c>
      <c r="E56" s="61">
        <f>IF($AE56="","",IF($AE56&lt;=1200,IF(INDEX(对接源_01水果!$W$4:$W$1203,$AE56)=0,"",INDEX(对接源_01水果!$W$4:$W$1203,$AE56)),IF(INDEX(对接源_02物料!$W$4:$W$1203,$AE56-1200)=0,"",INDEX(对接源_02物料!$W$4:$W$1203,$AE56-1200))))</f>
      </c>
      <c r="F56" s="61">
        <f>IF($AE56="","",IF($AE56&lt;=1200,"01水果册","02物料册"))</f>
      </c>
      <c r="G56" s="122">
        <f>IF($AE56="","",IF($AE56&lt;=1200,IF(INDEX(对接源_01水果!$M$4:$M$1203,$AE56)=0,"",INDEX(对接源_01水果!$M$4:$M$1203,$AE56)),IF(INDEX(对接源_02物料!$M$4:$M$1203,$AE56-1200)=0,"",INDEX(对接源_02物料!$M$4:$M$1203,$AE56-1200))))</f>
      </c>
      <c r="AE56" s="128">
        <f>IFERROR(MATCH(51,_自动清单!$Q$4:$Q$2403,0),"")</f>
      </c>
    </row>
    <row r="57" ht="18" customHeight="1" s="127">
      <c r="A57" s="165">
        <f>IF($AE57="","",IF($AE57&lt;=1200,IF(INDEX(对接源_01水果!$B$4:$B$1203,$AE57)=0,"",INDEX(对接源_01水果!$B$4:$B$1203,$AE57)),IF(INDEX(对接源_02物料!$B$4:$B$1203,$AE57-1200)=0,"",INDEX(对接源_02物料!$B$4:$B$1203,$AE57-1200))))</f>
      </c>
      <c r="B57" s="104">
        <f>IF($AE57="","",IF($AE57&lt;=1200,IF(INDEX(对接源_01水果!$E$4:$E$1203,$AE57)=0,"",INDEX(对接源_01水果!$E$4:$E$1203,$AE57)),IF(INDEX(对接源_02物料!$E$4:$E$1203,$AE57-1200)=0,"",INDEX(对接源_02物料!$E$4:$E$1203,$AE57-1200))))</f>
      </c>
      <c r="C57" s="131">
        <f>IF($AE57="","",IF($AE57&lt;=1200,IF(INDEX(对接源_01水果!$S$4:$S$1203,$AE57)=0,"",INDEX(对接源_01水果!$S$4:$S$1203,$AE57)),IF(INDEX(对接源_02物料!$S$4:$S$1203,$AE57-1200)=0,"",INDEX(对接源_02物料!$S$4:$S$1203,$AE57-1200))))</f>
      </c>
      <c r="D57" s="166">
        <f>IF($AE57="","",IF($AE57&lt;=1200,IF(INDEX(对接源_01水果!$T$4:$T$1203,$AE57)=0,"",INDEX(对接源_01水果!$T$4:$T$1203,$AE57)),IF(INDEX(对接源_02物料!$T$4:$T$1203,$AE57-1200)=0,"",INDEX(对接源_02物料!$T$4:$T$1203,$AE57-1200))))</f>
      </c>
      <c r="E57" s="104">
        <f>IF($AE57="","",IF($AE57&lt;=1200,IF(INDEX(对接源_01水果!$W$4:$W$1203,$AE57)=0,"",INDEX(对接源_01水果!$W$4:$W$1203,$AE57)),IF(INDEX(对接源_02物料!$W$4:$W$1203,$AE57-1200)=0,"",INDEX(对接源_02物料!$W$4:$W$1203,$AE57-1200))))</f>
      </c>
      <c r="F57" s="104">
        <f>IF($AE57="","",IF($AE57&lt;=1200,"01水果册","02物料册"))</f>
      </c>
      <c r="G57" s="131">
        <f>IF($AE57="","",IF($AE57&lt;=1200,IF(INDEX(对接源_01水果!$M$4:$M$1203,$AE57)=0,"",INDEX(对接源_01水果!$M$4:$M$1203,$AE57)),IF(INDEX(对接源_02物料!$M$4:$M$1203,$AE57-1200)=0,"",INDEX(对接源_02物料!$M$4:$M$1203,$AE57-1200))))</f>
      </c>
      <c r="AE57" s="128">
        <f>IFERROR(MATCH(52,_自动清单!$Q$4:$Q$2403,0),"")</f>
      </c>
    </row>
    <row r="58" ht="18" customHeight="1" s="127">
      <c r="A58" s="163">
        <f>IF($AE58="","",IF($AE58&lt;=1200,IF(INDEX(对接源_01水果!$B$4:$B$1203,$AE58)=0,"",INDEX(对接源_01水果!$B$4:$B$1203,$AE58)),IF(INDEX(对接源_02物料!$B$4:$B$1203,$AE58-1200)=0,"",INDEX(对接源_02物料!$B$4:$B$1203,$AE58-1200))))</f>
      </c>
      <c r="B58" s="61">
        <f>IF($AE58="","",IF($AE58&lt;=1200,IF(INDEX(对接源_01水果!$E$4:$E$1203,$AE58)=0,"",INDEX(对接源_01水果!$E$4:$E$1203,$AE58)),IF(INDEX(对接源_02物料!$E$4:$E$1203,$AE58-1200)=0,"",INDEX(对接源_02物料!$E$4:$E$1203,$AE58-1200))))</f>
      </c>
      <c r="C58" s="122">
        <f>IF($AE58="","",IF($AE58&lt;=1200,IF(INDEX(对接源_01水果!$S$4:$S$1203,$AE58)=0,"",INDEX(对接源_01水果!$S$4:$S$1203,$AE58)),IF(INDEX(对接源_02物料!$S$4:$S$1203,$AE58-1200)=0,"",INDEX(对接源_02物料!$S$4:$S$1203,$AE58-1200))))</f>
      </c>
      <c r="D58" s="164">
        <f>IF($AE58="","",IF($AE58&lt;=1200,IF(INDEX(对接源_01水果!$T$4:$T$1203,$AE58)=0,"",INDEX(对接源_01水果!$T$4:$T$1203,$AE58)),IF(INDEX(对接源_02物料!$T$4:$T$1203,$AE58-1200)=0,"",INDEX(对接源_02物料!$T$4:$T$1203,$AE58-1200))))</f>
      </c>
      <c r="E58" s="61">
        <f>IF($AE58="","",IF($AE58&lt;=1200,IF(INDEX(对接源_01水果!$W$4:$W$1203,$AE58)=0,"",INDEX(对接源_01水果!$W$4:$W$1203,$AE58)),IF(INDEX(对接源_02物料!$W$4:$W$1203,$AE58-1200)=0,"",INDEX(对接源_02物料!$W$4:$W$1203,$AE58-1200))))</f>
      </c>
      <c r="F58" s="61">
        <f>IF($AE58="","",IF($AE58&lt;=1200,"01水果册","02物料册"))</f>
      </c>
      <c r="G58" s="122">
        <f>IF($AE58="","",IF($AE58&lt;=1200,IF(INDEX(对接源_01水果!$M$4:$M$1203,$AE58)=0,"",INDEX(对接源_01水果!$M$4:$M$1203,$AE58)),IF(INDEX(对接源_02物料!$M$4:$M$1203,$AE58-1200)=0,"",INDEX(对接源_02物料!$M$4:$M$1203,$AE58-1200))))</f>
      </c>
      <c r="AE58" s="128">
        <f>IFERROR(MATCH(53,_自动清单!$Q$4:$Q$2403,0),"")</f>
      </c>
    </row>
    <row r="59" ht="18" customHeight="1" s="127">
      <c r="A59" s="165">
        <f>IF($AE59="","",IF($AE59&lt;=1200,IF(INDEX(对接源_01水果!$B$4:$B$1203,$AE59)=0,"",INDEX(对接源_01水果!$B$4:$B$1203,$AE59)),IF(INDEX(对接源_02物料!$B$4:$B$1203,$AE59-1200)=0,"",INDEX(对接源_02物料!$B$4:$B$1203,$AE59-1200))))</f>
      </c>
      <c r="B59" s="104">
        <f>IF($AE59="","",IF($AE59&lt;=1200,IF(INDEX(对接源_01水果!$E$4:$E$1203,$AE59)=0,"",INDEX(对接源_01水果!$E$4:$E$1203,$AE59)),IF(INDEX(对接源_02物料!$E$4:$E$1203,$AE59-1200)=0,"",INDEX(对接源_02物料!$E$4:$E$1203,$AE59-1200))))</f>
      </c>
      <c r="C59" s="131">
        <f>IF($AE59="","",IF($AE59&lt;=1200,IF(INDEX(对接源_01水果!$S$4:$S$1203,$AE59)=0,"",INDEX(对接源_01水果!$S$4:$S$1203,$AE59)),IF(INDEX(对接源_02物料!$S$4:$S$1203,$AE59-1200)=0,"",INDEX(对接源_02物料!$S$4:$S$1203,$AE59-1200))))</f>
      </c>
      <c r="D59" s="166">
        <f>IF($AE59="","",IF($AE59&lt;=1200,IF(INDEX(对接源_01水果!$T$4:$T$1203,$AE59)=0,"",INDEX(对接源_01水果!$T$4:$T$1203,$AE59)),IF(INDEX(对接源_02物料!$T$4:$T$1203,$AE59-1200)=0,"",INDEX(对接源_02物料!$T$4:$T$1203,$AE59-1200))))</f>
      </c>
      <c r="E59" s="104">
        <f>IF($AE59="","",IF($AE59&lt;=1200,IF(INDEX(对接源_01水果!$W$4:$W$1203,$AE59)=0,"",INDEX(对接源_01水果!$W$4:$W$1203,$AE59)),IF(INDEX(对接源_02物料!$W$4:$W$1203,$AE59-1200)=0,"",INDEX(对接源_02物料!$W$4:$W$1203,$AE59-1200))))</f>
      </c>
      <c r="F59" s="104">
        <f>IF($AE59="","",IF($AE59&lt;=1200,"01水果册","02物料册"))</f>
      </c>
      <c r="G59" s="131">
        <f>IF($AE59="","",IF($AE59&lt;=1200,IF(INDEX(对接源_01水果!$M$4:$M$1203,$AE59)=0,"",INDEX(对接源_01水果!$M$4:$M$1203,$AE59)),IF(INDEX(对接源_02物料!$M$4:$M$1203,$AE59-1200)=0,"",INDEX(对接源_02物料!$M$4:$M$1203,$AE59-1200))))</f>
      </c>
      <c r="AE59" s="128">
        <f>IFERROR(MATCH(54,_自动清单!$Q$4:$Q$2403,0),"")</f>
      </c>
    </row>
    <row r="60" ht="18" customHeight="1" s="127">
      <c r="A60" s="163">
        <f>IF($AE60="","",IF($AE60&lt;=1200,IF(INDEX(对接源_01水果!$B$4:$B$1203,$AE60)=0,"",INDEX(对接源_01水果!$B$4:$B$1203,$AE60)),IF(INDEX(对接源_02物料!$B$4:$B$1203,$AE60-1200)=0,"",INDEX(对接源_02物料!$B$4:$B$1203,$AE60-1200))))</f>
      </c>
      <c r="B60" s="61">
        <f>IF($AE60="","",IF($AE60&lt;=1200,IF(INDEX(对接源_01水果!$E$4:$E$1203,$AE60)=0,"",INDEX(对接源_01水果!$E$4:$E$1203,$AE60)),IF(INDEX(对接源_02物料!$E$4:$E$1203,$AE60-1200)=0,"",INDEX(对接源_02物料!$E$4:$E$1203,$AE60-1200))))</f>
      </c>
      <c r="C60" s="122">
        <f>IF($AE60="","",IF($AE60&lt;=1200,IF(INDEX(对接源_01水果!$S$4:$S$1203,$AE60)=0,"",INDEX(对接源_01水果!$S$4:$S$1203,$AE60)),IF(INDEX(对接源_02物料!$S$4:$S$1203,$AE60-1200)=0,"",INDEX(对接源_02物料!$S$4:$S$1203,$AE60-1200))))</f>
      </c>
      <c r="D60" s="164">
        <f>IF($AE60="","",IF($AE60&lt;=1200,IF(INDEX(对接源_01水果!$T$4:$T$1203,$AE60)=0,"",INDEX(对接源_01水果!$T$4:$T$1203,$AE60)),IF(INDEX(对接源_02物料!$T$4:$T$1203,$AE60-1200)=0,"",INDEX(对接源_02物料!$T$4:$T$1203,$AE60-1200))))</f>
      </c>
      <c r="E60" s="61">
        <f>IF($AE60="","",IF($AE60&lt;=1200,IF(INDEX(对接源_01水果!$W$4:$W$1203,$AE60)=0,"",INDEX(对接源_01水果!$W$4:$W$1203,$AE60)),IF(INDEX(对接源_02物料!$W$4:$W$1203,$AE60-1200)=0,"",INDEX(对接源_02物料!$W$4:$W$1203,$AE60-1200))))</f>
      </c>
      <c r="F60" s="61">
        <f>IF($AE60="","",IF($AE60&lt;=1200,"01水果册","02物料册"))</f>
      </c>
      <c r="G60" s="122">
        <f>IF($AE60="","",IF($AE60&lt;=1200,IF(INDEX(对接源_01水果!$M$4:$M$1203,$AE60)=0,"",INDEX(对接源_01水果!$M$4:$M$1203,$AE60)),IF(INDEX(对接源_02物料!$M$4:$M$1203,$AE60-1200)=0,"",INDEX(对接源_02物料!$M$4:$M$1203,$AE60-1200))))</f>
      </c>
      <c r="AE60" s="128">
        <f>IFERROR(MATCH(55,_自动清单!$Q$4:$Q$2403,0),"")</f>
      </c>
    </row>
    <row r="61" ht="18" customHeight="1" s="127">
      <c r="A61" s="165">
        <f>IF($AE61="","",IF($AE61&lt;=1200,IF(INDEX(对接源_01水果!$B$4:$B$1203,$AE61)=0,"",INDEX(对接源_01水果!$B$4:$B$1203,$AE61)),IF(INDEX(对接源_02物料!$B$4:$B$1203,$AE61-1200)=0,"",INDEX(对接源_02物料!$B$4:$B$1203,$AE61-1200))))</f>
      </c>
      <c r="B61" s="104">
        <f>IF($AE61="","",IF($AE61&lt;=1200,IF(INDEX(对接源_01水果!$E$4:$E$1203,$AE61)=0,"",INDEX(对接源_01水果!$E$4:$E$1203,$AE61)),IF(INDEX(对接源_02物料!$E$4:$E$1203,$AE61-1200)=0,"",INDEX(对接源_02物料!$E$4:$E$1203,$AE61-1200))))</f>
      </c>
      <c r="C61" s="131">
        <f>IF($AE61="","",IF($AE61&lt;=1200,IF(INDEX(对接源_01水果!$S$4:$S$1203,$AE61)=0,"",INDEX(对接源_01水果!$S$4:$S$1203,$AE61)),IF(INDEX(对接源_02物料!$S$4:$S$1203,$AE61-1200)=0,"",INDEX(对接源_02物料!$S$4:$S$1203,$AE61-1200))))</f>
      </c>
      <c r="D61" s="166">
        <f>IF($AE61="","",IF($AE61&lt;=1200,IF(INDEX(对接源_01水果!$T$4:$T$1203,$AE61)=0,"",INDEX(对接源_01水果!$T$4:$T$1203,$AE61)),IF(INDEX(对接源_02物料!$T$4:$T$1203,$AE61-1200)=0,"",INDEX(对接源_02物料!$T$4:$T$1203,$AE61-1200))))</f>
      </c>
      <c r="E61" s="104">
        <f>IF($AE61="","",IF($AE61&lt;=1200,IF(INDEX(对接源_01水果!$W$4:$W$1203,$AE61)=0,"",INDEX(对接源_01水果!$W$4:$W$1203,$AE61)),IF(INDEX(对接源_02物料!$W$4:$W$1203,$AE61-1200)=0,"",INDEX(对接源_02物料!$W$4:$W$1203,$AE61-1200))))</f>
      </c>
      <c r="F61" s="104">
        <f>IF($AE61="","",IF($AE61&lt;=1200,"01水果册","02物料册"))</f>
      </c>
      <c r="G61" s="131">
        <f>IF($AE61="","",IF($AE61&lt;=1200,IF(INDEX(对接源_01水果!$M$4:$M$1203,$AE61)=0,"",INDEX(对接源_01水果!$M$4:$M$1203,$AE61)),IF(INDEX(对接源_02物料!$M$4:$M$1203,$AE61-1200)=0,"",INDEX(对接源_02物料!$M$4:$M$1203,$AE61-1200))))</f>
      </c>
      <c r="AE61" s="128">
        <f>IFERROR(MATCH(56,_自动清单!$Q$4:$Q$2403,0),"")</f>
      </c>
    </row>
    <row r="62" ht="18" customHeight="1" s="127">
      <c r="A62" s="163">
        <f>IF($AE62="","",IF($AE62&lt;=1200,IF(INDEX(对接源_01水果!$B$4:$B$1203,$AE62)=0,"",INDEX(对接源_01水果!$B$4:$B$1203,$AE62)),IF(INDEX(对接源_02物料!$B$4:$B$1203,$AE62-1200)=0,"",INDEX(对接源_02物料!$B$4:$B$1203,$AE62-1200))))</f>
      </c>
      <c r="B62" s="61">
        <f>IF($AE62="","",IF($AE62&lt;=1200,IF(INDEX(对接源_01水果!$E$4:$E$1203,$AE62)=0,"",INDEX(对接源_01水果!$E$4:$E$1203,$AE62)),IF(INDEX(对接源_02物料!$E$4:$E$1203,$AE62-1200)=0,"",INDEX(对接源_02物料!$E$4:$E$1203,$AE62-1200))))</f>
      </c>
      <c r="C62" s="122">
        <f>IF($AE62="","",IF($AE62&lt;=1200,IF(INDEX(对接源_01水果!$S$4:$S$1203,$AE62)=0,"",INDEX(对接源_01水果!$S$4:$S$1203,$AE62)),IF(INDEX(对接源_02物料!$S$4:$S$1203,$AE62-1200)=0,"",INDEX(对接源_02物料!$S$4:$S$1203,$AE62-1200))))</f>
      </c>
      <c r="D62" s="164">
        <f>IF($AE62="","",IF($AE62&lt;=1200,IF(INDEX(对接源_01水果!$T$4:$T$1203,$AE62)=0,"",INDEX(对接源_01水果!$T$4:$T$1203,$AE62)),IF(INDEX(对接源_02物料!$T$4:$T$1203,$AE62-1200)=0,"",INDEX(对接源_02物料!$T$4:$T$1203,$AE62-1200))))</f>
      </c>
      <c r="E62" s="61">
        <f>IF($AE62="","",IF($AE62&lt;=1200,IF(INDEX(对接源_01水果!$W$4:$W$1203,$AE62)=0,"",INDEX(对接源_01水果!$W$4:$W$1203,$AE62)),IF(INDEX(对接源_02物料!$W$4:$W$1203,$AE62-1200)=0,"",INDEX(对接源_02物料!$W$4:$W$1203,$AE62-1200))))</f>
      </c>
      <c r="F62" s="61">
        <f>IF($AE62="","",IF($AE62&lt;=1200,"01水果册","02物料册"))</f>
      </c>
      <c r="G62" s="122">
        <f>IF($AE62="","",IF($AE62&lt;=1200,IF(INDEX(对接源_01水果!$M$4:$M$1203,$AE62)=0,"",INDEX(对接源_01水果!$M$4:$M$1203,$AE62)),IF(INDEX(对接源_02物料!$M$4:$M$1203,$AE62-1200)=0,"",INDEX(对接源_02物料!$M$4:$M$1203,$AE62-1200))))</f>
      </c>
      <c r="AE62" s="128">
        <f>IFERROR(MATCH(57,_自动清单!$Q$4:$Q$2403,0),"")</f>
      </c>
    </row>
    <row r="63" ht="18" customHeight="1" s="127">
      <c r="A63" s="165">
        <f>IF($AE63="","",IF($AE63&lt;=1200,IF(INDEX(对接源_01水果!$B$4:$B$1203,$AE63)=0,"",INDEX(对接源_01水果!$B$4:$B$1203,$AE63)),IF(INDEX(对接源_02物料!$B$4:$B$1203,$AE63-1200)=0,"",INDEX(对接源_02物料!$B$4:$B$1203,$AE63-1200))))</f>
      </c>
      <c r="B63" s="104">
        <f>IF($AE63="","",IF($AE63&lt;=1200,IF(INDEX(对接源_01水果!$E$4:$E$1203,$AE63)=0,"",INDEX(对接源_01水果!$E$4:$E$1203,$AE63)),IF(INDEX(对接源_02物料!$E$4:$E$1203,$AE63-1200)=0,"",INDEX(对接源_02物料!$E$4:$E$1203,$AE63-1200))))</f>
      </c>
      <c r="C63" s="131">
        <f>IF($AE63="","",IF($AE63&lt;=1200,IF(INDEX(对接源_01水果!$S$4:$S$1203,$AE63)=0,"",INDEX(对接源_01水果!$S$4:$S$1203,$AE63)),IF(INDEX(对接源_02物料!$S$4:$S$1203,$AE63-1200)=0,"",INDEX(对接源_02物料!$S$4:$S$1203,$AE63-1200))))</f>
      </c>
      <c r="D63" s="166">
        <f>IF($AE63="","",IF($AE63&lt;=1200,IF(INDEX(对接源_01水果!$T$4:$T$1203,$AE63)=0,"",INDEX(对接源_01水果!$T$4:$T$1203,$AE63)),IF(INDEX(对接源_02物料!$T$4:$T$1203,$AE63-1200)=0,"",INDEX(对接源_02物料!$T$4:$T$1203,$AE63-1200))))</f>
      </c>
      <c r="E63" s="104">
        <f>IF($AE63="","",IF($AE63&lt;=1200,IF(INDEX(对接源_01水果!$W$4:$W$1203,$AE63)=0,"",INDEX(对接源_01水果!$W$4:$W$1203,$AE63)),IF(INDEX(对接源_02物料!$W$4:$W$1203,$AE63-1200)=0,"",INDEX(对接源_02物料!$W$4:$W$1203,$AE63-1200))))</f>
      </c>
      <c r="F63" s="104">
        <f>IF($AE63="","",IF($AE63&lt;=1200,"01水果册","02物料册"))</f>
      </c>
      <c r="G63" s="131">
        <f>IF($AE63="","",IF($AE63&lt;=1200,IF(INDEX(对接源_01水果!$M$4:$M$1203,$AE63)=0,"",INDEX(对接源_01水果!$M$4:$M$1203,$AE63)),IF(INDEX(对接源_02物料!$M$4:$M$1203,$AE63-1200)=0,"",INDEX(对接源_02物料!$M$4:$M$1203,$AE63-1200))))</f>
      </c>
      <c r="AE63" s="128">
        <f>IFERROR(MATCH(58,_自动清单!$Q$4:$Q$2403,0),"")</f>
      </c>
    </row>
    <row r="64" ht="18" customHeight="1" s="127">
      <c r="A64" s="163">
        <f>IF($AE64="","",IF($AE64&lt;=1200,IF(INDEX(对接源_01水果!$B$4:$B$1203,$AE64)=0,"",INDEX(对接源_01水果!$B$4:$B$1203,$AE64)),IF(INDEX(对接源_02物料!$B$4:$B$1203,$AE64-1200)=0,"",INDEX(对接源_02物料!$B$4:$B$1203,$AE64-1200))))</f>
      </c>
      <c r="B64" s="61">
        <f>IF($AE64="","",IF($AE64&lt;=1200,IF(INDEX(对接源_01水果!$E$4:$E$1203,$AE64)=0,"",INDEX(对接源_01水果!$E$4:$E$1203,$AE64)),IF(INDEX(对接源_02物料!$E$4:$E$1203,$AE64-1200)=0,"",INDEX(对接源_02物料!$E$4:$E$1203,$AE64-1200))))</f>
      </c>
      <c r="C64" s="122">
        <f>IF($AE64="","",IF($AE64&lt;=1200,IF(INDEX(对接源_01水果!$S$4:$S$1203,$AE64)=0,"",INDEX(对接源_01水果!$S$4:$S$1203,$AE64)),IF(INDEX(对接源_02物料!$S$4:$S$1203,$AE64-1200)=0,"",INDEX(对接源_02物料!$S$4:$S$1203,$AE64-1200))))</f>
      </c>
      <c r="D64" s="164">
        <f>IF($AE64="","",IF($AE64&lt;=1200,IF(INDEX(对接源_01水果!$T$4:$T$1203,$AE64)=0,"",INDEX(对接源_01水果!$T$4:$T$1203,$AE64)),IF(INDEX(对接源_02物料!$T$4:$T$1203,$AE64-1200)=0,"",INDEX(对接源_02物料!$T$4:$T$1203,$AE64-1200))))</f>
      </c>
      <c r="E64" s="61">
        <f>IF($AE64="","",IF($AE64&lt;=1200,IF(INDEX(对接源_01水果!$W$4:$W$1203,$AE64)=0,"",INDEX(对接源_01水果!$W$4:$W$1203,$AE64)),IF(INDEX(对接源_02物料!$W$4:$W$1203,$AE64-1200)=0,"",INDEX(对接源_02物料!$W$4:$W$1203,$AE64-1200))))</f>
      </c>
      <c r="F64" s="61">
        <f>IF($AE64="","",IF($AE64&lt;=1200,"01水果册","02物料册"))</f>
      </c>
      <c r="G64" s="122">
        <f>IF($AE64="","",IF($AE64&lt;=1200,IF(INDEX(对接源_01水果!$M$4:$M$1203,$AE64)=0,"",INDEX(对接源_01水果!$M$4:$M$1203,$AE64)),IF(INDEX(对接源_02物料!$M$4:$M$1203,$AE64-1200)=0,"",INDEX(对接源_02物料!$M$4:$M$1203,$AE64-1200))))</f>
      </c>
      <c r="AE64" s="128">
        <f>IFERROR(MATCH(59,_自动清单!$Q$4:$Q$2403,0),"")</f>
      </c>
    </row>
    <row r="65" ht="18" customHeight="1" s="127">
      <c r="A65" s="165">
        <f>IF($AE65="","",IF($AE65&lt;=1200,IF(INDEX(对接源_01水果!$B$4:$B$1203,$AE65)=0,"",INDEX(对接源_01水果!$B$4:$B$1203,$AE65)),IF(INDEX(对接源_02物料!$B$4:$B$1203,$AE65-1200)=0,"",INDEX(对接源_02物料!$B$4:$B$1203,$AE65-1200))))</f>
      </c>
      <c r="B65" s="104">
        <f>IF($AE65="","",IF($AE65&lt;=1200,IF(INDEX(对接源_01水果!$E$4:$E$1203,$AE65)=0,"",INDEX(对接源_01水果!$E$4:$E$1203,$AE65)),IF(INDEX(对接源_02物料!$E$4:$E$1203,$AE65-1200)=0,"",INDEX(对接源_02物料!$E$4:$E$1203,$AE65-1200))))</f>
      </c>
      <c r="C65" s="131">
        <f>IF($AE65="","",IF($AE65&lt;=1200,IF(INDEX(对接源_01水果!$S$4:$S$1203,$AE65)=0,"",INDEX(对接源_01水果!$S$4:$S$1203,$AE65)),IF(INDEX(对接源_02物料!$S$4:$S$1203,$AE65-1200)=0,"",INDEX(对接源_02物料!$S$4:$S$1203,$AE65-1200))))</f>
      </c>
      <c r="D65" s="166">
        <f>IF($AE65="","",IF($AE65&lt;=1200,IF(INDEX(对接源_01水果!$T$4:$T$1203,$AE65)=0,"",INDEX(对接源_01水果!$T$4:$T$1203,$AE65)),IF(INDEX(对接源_02物料!$T$4:$T$1203,$AE65-1200)=0,"",INDEX(对接源_02物料!$T$4:$T$1203,$AE65-1200))))</f>
      </c>
      <c r="E65" s="104">
        <f>IF($AE65="","",IF($AE65&lt;=1200,IF(INDEX(对接源_01水果!$W$4:$W$1203,$AE65)=0,"",INDEX(对接源_01水果!$W$4:$W$1203,$AE65)),IF(INDEX(对接源_02物料!$W$4:$W$1203,$AE65-1200)=0,"",INDEX(对接源_02物料!$W$4:$W$1203,$AE65-1200))))</f>
      </c>
      <c r="F65" s="104">
        <f>IF($AE65="","",IF($AE65&lt;=1200,"01水果册","02物料册"))</f>
      </c>
      <c r="G65" s="131">
        <f>IF($AE65="","",IF($AE65&lt;=1200,IF(INDEX(对接源_01水果!$M$4:$M$1203,$AE65)=0,"",INDEX(对接源_01水果!$M$4:$M$1203,$AE65)),IF(INDEX(对接源_02物料!$M$4:$M$1203,$AE65-1200)=0,"",INDEX(对接源_02物料!$M$4:$M$1203,$AE65-1200))))</f>
      </c>
      <c r="AE65" s="128">
        <f>IFERROR(MATCH(60,_自动清单!$Q$4:$Q$2403,0),"")</f>
      </c>
    </row>
    <row r="66" ht="18" customHeight="1" s="127">
      <c r="A66" s="163">
        <f>IF($AE66="","",IF($AE66&lt;=1200,IF(INDEX(对接源_01水果!$B$4:$B$1203,$AE66)=0,"",INDEX(对接源_01水果!$B$4:$B$1203,$AE66)),IF(INDEX(对接源_02物料!$B$4:$B$1203,$AE66-1200)=0,"",INDEX(对接源_02物料!$B$4:$B$1203,$AE66-1200))))</f>
      </c>
      <c r="B66" s="61">
        <f>IF($AE66="","",IF($AE66&lt;=1200,IF(INDEX(对接源_01水果!$E$4:$E$1203,$AE66)=0,"",INDEX(对接源_01水果!$E$4:$E$1203,$AE66)),IF(INDEX(对接源_02物料!$E$4:$E$1203,$AE66-1200)=0,"",INDEX(对接源_02物料!$E$4:$E$1203,$AE66-1200))))</f>
      </c>
      <c r="C66" s="122">
        <f>IF($AE66="","",IF($AE66&lt;=1200,IF(INDEX(对接源_01水果!$S$4:$S$1203,$AE66)=0,"",INDEX(对接源_01水果!$S$4:$S$1203,$AE66)),IF(INDEX(对接源_02物料!$S$4:$S$1203,$AE66-1200)=0,"",INDEX(对接源_02物料!$S$4:$S$1203,$AE66-1200))))</f>
      </c>
      <c r="D66" s="164">
        <f>IF($AE66="","",IF($AE66&lt;=1200,IF(INDEX(对接源_01水果!$T$4:$T$1203,$AE66)=0,"",INDEX(对接源_01水果!$T$4:$T$1203,$AE66)),IF(INDEX(对接源_02物料!$T$4:$T$1203,$AE66-1200)=0,"",INDEX(对接源_02物料!$T$4:$T$1203,$AE66-1200))))</f>
      </c>
      <c r="E66" s="61">
        <f>IF($AE66="","",IF($AE66&lt;=1200,IF(INDEX(对接源_01水果!$W$4:$W$1203,$AE66)=0,"",INDEX(对接源_01水果!$W$4:$W$1203,$AE66)),IF(INDEX(对接源_02物料!$W$4:$W$1203,$AE66-1200)=0,"",INDEX(对接源_02物料!$W$4:$W$1203,$AE66-1200))))</f>
      </c>
      <c r="F66" s="61">
        <f>IF($AE66="","",IF($AE66&lt;=1200,"01水果册","02物料册"))</f>
      </c>
      <c r="G66" s="122">
        <f>IF($AE66="","",IF($AE66&lt;=1200,IF(INDEX(对接源_01水果!$M$4:$M$1203,$AE66)=0,"",INDEX(对接源_01水果!$M$4:$M$1203,$AE66)),IF(INDEX(对接源_02物料!$M$4:$M$1203,$AE66-1200)=0,"",INDEX(对接源_02物料!$M$4:$M$1203,$AE66-1200))))</f>
      </c>
      <c r="AE66" s="128">
        <f>IFERROR(MATCH(61,_自动清单!$Q$4:$Q$2403,0),"")</f>
      </c>
    </row>
    <row r="67" ht="18" customHeight="1" s="127">
      <c r="A67" s="165">
        <f>IF($AE67="","",IF($AE67&lt;=1200,IF(INDEX(对接源_01水果!$B$4:$B$1203,$AE67)=0,"",INDEX(对接源_01水果!$B$4:$B$1203,$AE67)),IF(INDEX(对接源_02物料!$B$4:$B$1203,$AE67-1200)=0,"",INDEX(对接源_02物料!$B$4:$B$1203,$AE67-1200))))</f>
      </c>
      <c r="B67" s="104">
        <f>IF($AE67="","",IF($AE67&lt;=1200,IF(INDEX(对接源_01水果!$E$4:$E$1203,$AE67)=0,"",INDEX(对接源_01水果!$E$4:$E$1203,$AE67)),IF(INDEX(对接源_02物料!$E$4:$E$1203,$AE67-1200)=0,"",INDEX(对接源_02物料!$E$4:$E$1203,$AE67-1200))))</f>
      </c>
      <c r="C67" s="131">
        <f>IF($AE67="","",IF($AE67&lt;=1200,IF(INDEX(对接源_01水果!$S$4:$S$1203,$AE67)=0,"",INDEX(对接源_01水果!$S$4:$S$1203,$AE67)),IF(INDEX(对接源_02物料!$S$4:$S$1203,$AE67-1200)=0,"",INDEX(对接源_02物料!$S$4:$S$1203,$AE67-1200))))</f>
      </c>
      <c r="D67" s="166">
        <f>IF($AE67="","",IF($AE67&lt;=1200,IF(INDEX(对接源_01水果!$T$4:$T$1203,$AE67)=0,"",INDEX(对接源_01水果!$T$4:$T$1203,$AE67)),IF(INDEX(对接源_02物料!$T$4:$T$1203,$AE67-1200)=0,"",INDEX(对接源_02物料!$T$4:$T$1203,$AE67-1200))))</f>
      </c>
      <c r="E67" s="104">
        <f>IF($AE67="","",IF($AE67&lt;=1200,IF(INDEX(对接源_01水果!$W$4:$W$1203,$AE67)=0,"",INDEX(对接源_01水果!$W$4:$W$1203,$AE67)),IF(INDEX(对接源_02物料!$W$4:$W$1203,$AE67-1200)=0,"",INDEX(对接源_02物料!$W$4:$W$1203,$AE67-1200))))</f>
      </c>
      <c r="F67" s="104">
        <f>IF($AE67="","",IF($AE67&lt;=1200,"01水果册","02物料册"))</f>
      </c>
      <c r="G67" s="131">
        <f>IF($AE67="","",IF($AE67&lt;=1200,IF(INDEX(对接源_01水果!$M$4:$M$1203,$AE67)=0,"",INDEX(对接源_01水果!$M$4:$M$1203,$AE67)),IF(INDEX(对接源_02物料!$M$4:$M$1203,$AE67-1200)=0,"",INDEX(对接源_02物料!$M$4:$M$1203,$AE67-1200))))</f>
      </c>
      <c r="AE67" s="128">
        <f>IFERROR(MATCH(62,_自动清单!$Q$4:$Q$2403,0),"")</f>
      </c>
    </row>
    <row r="68" ht="18" customHeight="1" s="127">
      <c r="A68" s="163">
        <f>IF($AE68="","",IF($AE68&lt;=1200,IF(INDEX(对接源_01水果!$B$4:$B$1203,$AE68)=0,"",INDEX(对接源_01水果!$B$4:$B$1203,$AE68)),IF(INDEX(对接源_02物料!$B$4:$B$1203,$AE68-1200)=0,"",INDEX(对接源_02物料!$B$4:$B$1203,$AE68-1200))))</f>
      </c>
      <c r="B68" s="61">
        <f>IF($AE68="","",IF($AE68&lt;=1200,IF(INDEX(对接源_01水果!$E$4:$E$1203,$AE68)=0,"",INDEX(对接源_01水果!$E$4:$E$1203,$AE68)),IF(INDEX(对接源_02物料!$E$4:$E$1203,$AE68-1200)=0,"",INDEX(对接源_02物料!$E$4:$E$1203,$AE68-1200))))</f>
      </c>
      <c r="C68" s="122">
        <f>IF($AE68="","",IF($AE68&lt;=1200,IF(INDEX(对接源_01水果!$S$4:$S$1203,$AE68)=0,"",INDEX(对接源_01水果!$S$4:$S$1203,$AE68)),IF(INDEX(对接源_02物料!$S$4:$S$1203,$AE68-1200)=0,"",INDEX(对接源_02物料!$S$4:$S$1203,$AE68-1200))))</f>
      </c>
      <c r="D68" s="164">
        <f>IF($AE68="","",IF($AE68&lt;=1200,IF(INDEX(对接源_01水果!$T$4:$T$1203,$AE68)=0,"",INDEX(对接源_01水果!$T$4:$T$1203,$AE68)),IF(INDEX(对接源_02物料!$T$4:$T$1203,$AE68-1200)=0,"",INDEX(对接源_02物料!$T$4:$T$1203,$AE68-1200))))</f>
      </c>
      <c r="E68" s="61">
        <f>IF($AE68="","",IF($AE68&lt;=1200,IF(INDEX(对接源_01水果!$W$4:$W$1203,$AE68)=0,"",INDEX(对接源_01水果!$W$4:$W$1203,$AE68)),IF(INDEX(对接源_02物料!$W$4:$W$1203,$AE68-1200)=0,"",INDEX(对接源_02物料!$W$4:$W$1203,$AE68-1200))))</f>
      </c>
      <c r="F68" s="61">
        <f>IF($AE68="","",IF($AE68&lt;=1200,"01水果册","02物料册"))</f>
      </c>
      <c r="G68" s="122">
        <f>IF($AE68="","",IF($AE68&lt;=1200,IF(INDEX(对接源_01水果!$M$4:$M$1203,$AE68)=0,"",INDEX(对接源_01水果!$M$4:$M$1203,$AE68)),IF(INDEX(对接源_02物料!$M$4:$M$1203,$AE68-1200)=0,"",INDEX(对接源_02物料!$M$4:$M$1203,$AE68-1200))))</f>
      </c>
      <c r="AE68" s="128">
        <f>IFERROR(MATCH(63,_自动清单!$Q$4:$Q$2403,0),"")</f>
      </c>
    </row>
    <row r="69" ht="18" customHeight="1" s="127">
      <c r="A69" s="165">
        <f>IF($AE69="","",IF($AE69&lt;=1200,IF(INDEX(对接源_01水果!$B$4:$B$1203,$AE69)=0,"",INDEX(对接源_01水果!$B$4:$B$1203,$AE69)),IF(INDEX(对接源_02物料!$B$4:$B$1203,$AE69-1200)=0,"",INDEX(对接源_02物料!$B$4:$B$1203,$AE69-1200))))</f>
      </c>
      <c r="B69" s="104">
        <f>IF($AE69="","",IF($AE69&lt;=1200,IF(INDEX(对接源_01水果!$E$4:$E$1203,$AE69)=0,"",INDEX(对接源_01水果!$E$4:$E$1203,$AE69)),IF(INDEX(对接源_02物料!$E$4:$E$1203,$AE69-1200)=0,"",INDEX(对接源_02物料!$E$4:$E$1203,$AE69-1200))))</f>
      </c>
      <c r="C69" s="131">
        <f>IF($AE69="","",IF($AE69&lt;=1200,IF(INDEX(对接源_01水果!$S$4:$S$1203,$AE69)=0,"",INDEX(对接源_01水果!$S$4:$S$1203,$AE69)),IF(INDEX(对接源_02物料!$S$4:$S$1203,$AE69-1200)=0,"",INDEX(对接源_02物料!$S$4:$S$1203,$AE69-1200))))</f>
      </c>
      <c r="D69" s="166">
        <f>IF($AE69="","",IF($AE69&lt;=1200,IF(INDEX(对接源_01水果!$T$4:$T$1203,$AE69)=0,"",INDEX(对接源_01水果!$T$4:$T$1203,$AE69)),IF(INDEX(对接源_02物料!$T$4:$T$1203,$AE69-1200)=0,"",INDEX(对接源_02物料!$T$4:$T$1203,$AE69-1200))))</f>
      </c>
      <c r="E69" s="104">
        <f>IF($AE69="","",IF($AE69&lt;=1200,IF(INDEX(对接源_01水果!$W$4:$W$1203,$AE69)=0,"",INDEX(对接源_01水果!$W$4:$W$1203,$AE69)),IF(INDEX(对接源_02物料!$W$4:$W$1203,$AE69-1200)=0,"",INDEX(对接源_02物料!$W$4:$W$1203,$AE69-1200))))</f>
      </c>
      <c r="F69" s="104">
        <f>IF($AE69="","",IF($AE69&lt;=1200,"01水果册","02物料册"))</f>
      </c>
      <c r="G69" s="131">
        <f>IF($AE69="","",IF($AE69&lt;=1200,IF(INDEX(对接源_01水果!$M$4:$M$1203,$AE69)=0,"",INDEX(对接源_01水果!$M$4:$M$1203,$AE69)),IF(INDEX(对接源_02物料!$M$4:$M$1203,$AE69-1200)=0,"",INDEX(对接源_02物料!$M$4:$M$1203,$AE69-1200))))</f>
      </c>
      <c r="AE69" s="128">
        <f>IFERROR(MATCH(64,_自动清单!$Q$4:$Q$2403,0),"")</f>
      </c>
    </row>
    <row r="70" ht="18" customHeight="1" s="127">
      <c r="A70" s="163">
        <f>IF($AE70="","",IF($AE70&lt;=1200,IF(INDEX(对接源_01水果!$B$4:$B$1203,$AE70)=0,"",INDEX(对接源_01水果!$B$4:$B$1203,$AE70)),IF(INDEX(对接源_02物料!$B$4:$B$1203,$AE70-1200)=0,"",INDEX(对接源_02物料!$B$4:$B$1203,$AE70-1200))))</f>
      </c>
      <c r="B70" s="61">
        <f>IF($AE70="","",IF($AE70&lt;=1200,IF(INDEX(对接源_01水果!$E$4:$E$1203,$AE70)=0,"",INDEX(对接源_01水果!$E$4:$E$1203,$AE70)),IF(INDEX(对接源_02物料!$E$4:$E$1203,$AE70-1200)=0,"",INDEX(对接源_02物料!$E$4:$E$1203,$AE70-1200))))</f>
      </c>
      <c r="C70" s="122">
        <f>IF($AE70="","",IF($AE70&lt;=1200,IF(INDEX(对接源_01水果!$S$4:$S$1203,$AE70)=0,"",INDEX(对接源_01水果!$S$4:$S$1203,$AE70)),IF(INDEX(对接源_02物料!$S$4:$S$1203,$AE70-1200)=0,"",INDEX(对接源_02物料!$S$4:$S$1203,$AE70-1200))))</f>
      </c>
      <c r="D70" s="164">
        <f>IF($AE70="","",IF($AE70&lt;=1200,IF(INDEX(对接源_01水果!$T$4:$T$1203,$AE70)=0,"",INDEX(对接源_01水果!$T$4:$T$1203,$AE70)),IF(INDEX(对接源_02物料!$T$4:$T$1203,$AE70-1200)=0,"",INDEX(对接源_02物料!$T$4:$T$1203,$AE70-1200))))</f>
      </c>
      <c r="E70" s="61">
        <f>IF($AE70="","",IF($AE70&lt;=1200,IF(INDEX(对接源_01水果!$W$4:$W$1203,$AE70)=0,"",INDEX(对接源_01水果!$W$4:$W$1203,$AE70)),IF(INDEX(对接源_02物料!$W$4:$W$1203,$AE70-1200)=0,"",INDEX(对接源_02物料!$W$4:$W$1203,$AE70-1200))))</f>
      </c>
      <c r="F70" s="61">
        <f>IF($AE70="","",IF($AE70&lt;=1200,"01水果册","02物料册"))</f>
      </c>
      <c r="G70" s="122">
        <f>IF($AE70="","",IF($AE70&lt;=1200,IF(INDEX(对接源_01水果!$M$4:$M$1203,$AE70)=0,"",INDEX(对接源_01水果!$M$4:$M$1203,$AE70)),IF(INDEX(对接源_02物料!$M$4:$M$1203,$AE70-1200)=0,"",INDEX(对接源_02物料!$M$4:$M$1203,$AE70-1200))))</f>
      </c>
      <c r="AE70" s="128">
        <f>IFERROR(MATCH(65,_自动清单!$Q$4:$Q$2403,0),"")</f>
      </c>
    </row>
    <row r="71" ht="18" customHeight="1" s="127">
      <c r="A71" s="165">
        <f>IF($AE71="","",IF($AE71&lt;=1200,IF(INDEX(对接源_01水果!$B$4:$B$1203,$AE71)=0,"",INDEX(对接源_01水果!$B$4:$B$1203,$AE71)),IF(INDEX(对接源_02物料!$B$4:$B$1203,$AE71-1200)=0,"",INDEX(对接源_02物料!$B$4:$B$1203,$AE71-1200))))</f>
      </c>
      <c r="B71" s="104">
        <f>IF($AE71="","",IF($AE71&lt;=1200,IF(INDEX(对接源_01水果!$E$4:$E$1203,$AE71)=0,"",INDEX(对接源_01水果!$E$4:$E$1203,$AE71)),IF(INDEX(对接源_02物料!$E$4:$E$1203,$AE71-1200)=0,"",INDEX(对接源_02物料!$E$4:$E$1203,$AE71-1200))))</f>
      </c>
      <c r="C71" s="131">
        <f>IF($AE71="","",IF($AE71&lt;=1200,IF(INDEX(对接源_01水果!$S$4:$S$1203,$AE71)=0,"",INDEX(对接源_01水果!$S$4:$S$1203,$AE71)),IF(INDEX(对接源_02物料!$S$4:$S$1203,$AE71-1200)=0,"",INDEX(对接源_02物料!$S$4:$S$1203,$AE71-1200))))</f>
      </c>
      <c r="D71" s="166">
        <f>IF($AE71="","",IF($AE71&lt;=1200,IF(INDEX(对接源_01水果!$T$4:$T$1203,$AE71)=0,"",INDEX(对接源_01水果!$T$4:$T$1203,$AE71)),IF(INDEX(对接源_02物料!$T$4:$T$1203,$AE71-1200)=0,"",INDEX(对接源_02物料!$T$4:$T$1203,$AE71-1200))))</f>
      </c>
      <c r="E71" s="104">
        <f>IF($AE71="","",IF($AE71&lt;=1200,IF(INDEX(对接源_01水果!$W$4:$W$1203,$AE71)=0,"",INDEX(对接源_01水果!$W$4:$W$1203,$AE71)),IF(INDEX(对接源_02物料!$W$4:$W$1203,$AE71-1200)=0,"",INDEX(对接源_02物料!$W$4:$W$1203,$AE71-1200))))</f>
      </c>
      <c r="F71" s="104">
        <f>IF($AE71="","",IF($AE71&lt;=1200,"01水果册","02物料册"))</f>
      </c>
      <c r="G71" s="131">
        <f>IF($AE71="","",IF($AE71&lt;=1200,IF(INDEX(对接源_01水果!$M$4:$M$1203,$AE71)=0,"",INDEX(对接源_01水果!$M$4:$M$1203,$AE71)),IF(INDEX(对接源_02物料!$M$4:$M$1203,$AE71-1200)=0,"",INDEX(对接源_02物料!$M$4:$M$1203,$AE71-1200))))</f>
      </c>
      <c r="AE71" s="128">
        <f>IFERROR(MATCH(66,_自动清单!$Q$4:$Q$2403,0),"")</f>
      </c>
    </row>
    <row r="72" ht="18" customHeight="1" s="127">
      <c r="A72" s="163">
        <f>IF($AE72="","",IF($AE72&lt;=1200,IF(INDEX(对接源_01水果!$B$4:$B$1203,$AE72)=0,"",INDEX(对接源_01水果!$B$4:$B$1203,$AE72)),IF(INDEX(对接源_02物料!$B$4:$B$1203,$AE72-1200)=0,"",INDEX(对接源_02物料!$B$4:$B$1203,$AE72-1200))))</f>
      </c>
      <c r="B72" s="61">
        <f>IF($AE72="","",IF($AE72&lt;=1200,IF(INDEX(对接源_01水果!$E$4:$E$1203,$AE72)=0,"",INDEX(对接源_01水果!$E$4:$E$1203,$AE72)),IF(INDEX(对接源_02物料!$E$4:$E$1203,$AE72-1200)=0,"",INDEX(对接源_02物料!$E$4:$E$1203,$AE72-1200))))</f>
      </c>
      <c r="C72" s="122">
        <f>IF($AE72="","",IF($AE72&lt;=1200,IF(INDEX(对接源_01水果!$S$4:$S$1203,$AE72)=0,"",INDEX(对接源_01水果!$S$4:$S$1203,$AE72)),IF(INDEX(对接源_02物料!$S$4:$S$1203,$AE72-1200)=0,"",INDEX(对接源_02物料!$S$4:$S$1203,$AE72-1200))))</f>
      </c>
      <c r="D72" s="164">
        <f>IF($AE72="","",IF($AE72&lt;=1200,IF(INDEX(对接源_01水果!$T$4:$T$1203,$AE72)=0,"",INDEX(对接源_01水果!$T$4:$T$1203,$AE72)),IF(INDEX(对接源_02物料!$T$4:$T$1203,$AE72-1200)=0,"",INDEX(对接源_02物料!$T$4:$T$1203,$AE72-1200))))</f>
      </c>
      <c r="E72" s="61">
        <f>IF($AE72="","",IF($AE72&lt;=1200,IF(INDEX(对接源_01水果!$W$4:$W$1203,$AE72)=0,"",INDEX(对接源_01水果!$W$4:$W$1203,$AE72)),IF(INDEX(对接源_02物料!$W$4:$W$1203,$AE72-1200)=0,"",INDEX(对接源_02物料!$W$4:$W$1203,$AE72-1200))))</f>
      </c>
      <c r="F72" s="61">
        <f>IF($AE72="","",IF($AE72&lt;=1200,"01水果册","02物料册"))</f>
      </c>
      <c r="G72" s="122">
        <f>IF($AE72="","",IF($AE72&lt;=1200,IF(INDEX(对接源_01水果!$M$4:$M$1203,$AE72)=0,"",INDEX(对接源_01水果!$M$4:$M$1203,$AE72)),IF(INDEX(对接源_02物料!$M$4:$M$1203,$AE72-1200)=0,"",INDEX(对接源_02物料!$M$4:$M$1203,$AE72-1200))))</f>
      </c>
      <c r="AE72" s="128">
        <f>IFERROR(MATCH(67,_自动清单!$Q$4:$Q$2403,0),"")</f>
      </c>
    </row>
    <row r="73" ht="18" customHeight="1" s="127">
      <c r="A73" s="165">
        <f>IF($AE73="","",IF($AE73&lt;=1200,IF(INDEX(对接源_01水果!$B$4:$B$1203,$AE73)=0,"",INDEX(对接源_01水果!$B$4:$B$1203,$AE73)),IF(INDEX(对接源_02物料!$B$4:$B$1203,$AE73-1200)=0,"",INDEX(对接源_02物料!$B$4:$B$1203,$AE73-1200))))</f>
      </c>
      <c r="B73" s="104">
        <f>IF($AE73="","",IF($AE73&lt;=1200,IF(INDEX(对接源_01水果!$E$4:$E$1203,$AE73)=0,"",INDEX(对接源_01水果!$E$4:$E$1203,$AE73)),IF(INDEX(对接源_02物料!$E$4:$E$1203,$AE73-1200)=0,"",INDEX(对接源_02物料!$E$4:$E$1203,$AE73-1200))))</f>
      </c>
      <c r="C73" s="131">
        <f>IF($AE73="","",IF($AE73&lt;=1200,IF(INDEX(对接源_01水果!$S$4:$S$1203,$AE73)=0,"",INDEX(对接源_01水果!$S$4:$S$1203,$AE73)),IF(INDEX(对接源_02物料!$S$4:$S$1203,$AE73-1200)=0,"",INDEX(对接源_02物料!$S$4:$S$1203,$AE73-1200))))</f>
      </c>
      <c r="D73" s="166">
        <f>IF($AE73="","",IF($AE73&lt;=1200,IF(INDEX(对接源_01水果!$T$4:$T$1203,$AE73)=0,"",INDEX(对接源_01水果!$T$4:$T$1203,$AE73)),IF(INDEX(对接源_02物料!$T$4:$T$1203,$AE73-1200)=0,"",INDEX(对接源_02物料!$T$4:$T$1203,$AE73-1200))))</f>
      </c>
      <c r="E73" s="104">
        <f>IF($AE73="","",IF($AE73&lt;=1200,IF(INDEX(对接源_01水果!$W$4:$W$1203,$AE73)=0,"",INDEX(对接源_01水果!$W$4:$W$1203,$AE73)),IF(INDEX(对接源_02物料!$W$4:$W$1203,$AE73-1200)=0,"",INDEX(对接源_02物料!$W$4:$W$1203,$AE73-1200))))</f>
      </c>
      <c r="F73" s="104">
        <f>IF($AE73="","",IF($AE73&lt;=1200,"01水果册","02物料册"))</f>
      </c>
      <c r="G73" s="131">
        <f>IF($AE73="","",IF($AE73&lt;=1200,IF(INDEX(对接源_01水果!$M$4:$M$1203,$AE73)=0,"",INDEX(对接源_01水果!$M$4:$M$1203,$AE73)),IF(INDEX(对接源_02物料!$M$4:$M$1203,$AE73-1200)=0,"",INDEX(对接源_02物料!$M$4:$M$1203,$AE73-1200))))</f>
      </c>
      <c r="AE73" s="128">
        <f>IFERROR(MATCH(68,_自动清单!$Q$4:$Q$2403,0),"")</f>
      </c>
    </row>
    <row r="74" ht="18" customHeight="1" s="127">
      <c r="A74" s="163">
        <f>IF($AE74="","",IF($AE74&lt;=1200,IF(INDEX(对接源_01水果!$B$4:$B$1203,$AE74)=0,"",INDEX(对接源_01水果!$B$4:$B$1203,$AE74)),IF(INDEX(对接源_02物料!$B$4:$B$1203,$AE74-1200)=0,"",INDEX(对接源_02物料!$B$4:$B$1203,$AE74-1200))))</f>
      </c>
      <c r="B74" s="61">
        <f>IF($AE74="","",IF($AE74&lt;=1200,IF(INDEX(对接源_01水果!$E$4:$E$1203,$AE74)=0,"",INDEX(对接源_01水果!$E$4:$E$1203,$AE74)),IF(INDEX(对接源_02物料!$E$4:$E$1203,$AE74-1200)=0,"",INDEX(对接源_02物料!$E$4:$E$1203,$AE74-1200))))</f>
      </c>
      <c r="C74" s="122">
        <f>IF($AE74="","",IF($AE74&lt;=1200,IF(INDEX(对接源_01水果!$S$4:$S$1203,$AE74)=0,"",INDEX(对接源_01水果!$S$4:$S$1203,$AE74)),IF(INDEX(对接源_02物料!$S$4:$S$1203,$AE74-1200)=0,"",INDEX(对接源_02物料!$S$4:$S$1203,$AE74-1200))))</f>
      </c>
      <c r="D74" s="164">
        <f>IF($AE74="","",IF($AE74&lt;=1200,IF(INDEX(对接源_01水果!$T$4:$T$1203,$AE74)=0,"",INDEX(对接源_01水果!$T$4:$T$1203,$AE74)),IF(INDEX(对接源_02物料!$T$4:$T$1203,$AE74-1200)=0,"",INDEX(对接源_02物料!$T$4:$T$1203,$AE74-1200))))</f>
      </c>
      <c r="E74" s="61">
        <f>IF($AE74="","",IF($AE74&lt;=1200,IF(INDEX(对接源_01水果!$W$4:$W$1203,$AE74)=0,"",INDEX(对接源_01水果!$W$4:$W$1203,$AE74)),IF(INDEX(对接源_02物料!$W$4:$W$1203,$AE74-1200)=0,"",INDEX(对接源_02物料!$W$4:$W$1203,$AE74-1200))))</f>
      </c>
      <c r="F74" s="61">
        <f>IF($AE74="","",IF($AE74&lt;=1200,"01水果册","02物料册"))</f>
      </c>
      <c r="G74" s="122">
        <f>IF($AE74="","",IF($AE74&lt;=1200,IF(INDEX(对接源_01水果!$M$4:$M$1203,$AE74)=0,"",INDEX(对接源_01水果!$M$4:$M$1203,$AE74)),IF(INDEX(对接源_02物料!$M$4:$M$1203,$AE74-1200)=0,"",INDEX(对接源_02物料!$M$4:$M$1203,$AE74-1200))))</f>
      </c>
      <c r="AE74" s="128">
        <f>IFERROR(MATCH(69,_自动清单!$Q$4:$Q$2403,0),"")</f>
      </c>
    </row>
    <row r="75" ht="18" customHeight="1" s="127">
      <c r="A75" s="165">
        <f>IF($AE75="","",IF($AE75&lt;=1200,IF(INDEX(对接源_01水果!$B$4:$B$1203,$AE75)=0,"",INDEX(对接源_01水果!$B$4:$B$1203,$AE75)),IF(INDEX(对接源_02物料!$B$4:$B$1203,$AE75-1200)=0,"",INDEX(对接源_02物料!$B$4:$B$1203,$AE75-1200))))</f>
      </c>
      <c r="B75" s="104">
        <f>IF($AE75="","",IF($AE75&lt;=1200,IF(INDEX(对接源_01水果!$E$4:$E$1203,$AE75)=0,"",INDEX(对接源_01水果!$E$4:$E$1203,$AE75)),IF(INDEX(对接源_02物料!$E$4:$E$1203,$AE75-1200)=0,"",INDEX(对接源_02物料!$E$4:$E$1203,$AE75-1200))))</f>
      </c>
      <c r="C75" s="131">
        <f>IF($AE75="","",IF($AE75&lt;=1200,IF(INDEX(对接源_01水果!$S$4:$S$1203,$AE75)=0,"",INDEX(对接源_01水果!$S$4:$S$1203,$AE75)),IF(INDEX(对接源_02物料!$S$4:$S$1203,$AE75-1200)=0,"",INDEX(对接源_02物料!$S$4:$S$1203,$AE75-1200))))</f>
      </c>
      <c r="D75" s="166">
        <f>IF($AE75="","",IF($AE75&lt;=1200,IF(INDEX(对接源_01水果!$T$4:$T$1203,$AE75)=0,"",INDEX(对接源_01水果!$T$4:$T$1203,$AE75)),IF(INDEX(对接源_02物料!$T$4:$T$1203,$AE75-1200)=0,"",INDEX(对接源_02物料!$T$4:$T$1203,$AE75-1200))))</f>
      </c>
      <c r="E75" s="104">
        <f>IF($AE75="","",IF($AE75&lt;=1200,IF(INDEX(对接源_01水果!$W$4:$W$1203,$AE75)=0,"",INDEX(对接源_01水果!$W$4:$W$1203,$AE75)),IF(INDEX(对接源_02物料!$W$4:$W$1203,$AE75-1200)=0,"",INDEX(对接源_02物料!$W$4:$W$1203,$AE75-1200))))</f>
      </c>
      <c r="F75" s="104">
        <f>IF($AE75="","",IF($AE75&lt;=1200,"01水果册","02物料册"))</f>
      </c>
      <c r="G75" s="131">
        <f>IF($AE75="","",IF($AE75&lt;=1200,IF(INDEX(对接源_01水果!$M$4:$M$1203,$AE75)=0,"",INDEX(对接源_01水果!$M$4:$M$1203,$AE75)),IF(INDEX(对接源_02物料!$M$4:$M$1203,$AE75-1200)=0,"",INDEX(对接源_02物料!$M$4:$M$1203,$AE75-1200))))</f>
      </c>
      <c r="AE75" s="128">
        <f>IFERROR(MATCH(70,_自动清单!$Q$4:$Q$2403,0),"")</f>
      </c>
    </row>
    <row r="76" ht="18" customHeight="1" s="127">
      <c r="A76" s="163">
        <f>IF($AE76="","",IF($AE76&lt;=1200,IF(INDEX(对接源_01水果!$B$4:$B$1203,$AE76)=0,"",INDEX(对接源_01水果!$B$4:$B$1203,$AE76)),IF(INDEX(对接源_02物料!$B$4:$B$1203,$AE76-1200)=0,"",INDEX(对接源_02物料!$B$4:$B$1203,$AE76-1200))))</f>
      </c>
      <c r="B76" s="61">
        <f>IF($AE76="","",IF($AE76&lt;=1200,IF(INDEX(对接源_01水果!$E$4:$E$1203,$AE76)=0,"",INDEX(对接源_01水果!$E$4:$E$1203,$AE76)),IF(INDEX(对接源_02物料!$E$4:$E$1203,$AE76-1200)=0,"",INDEX(对接源_02物料!$E$4:$E$1203,$AE76-1200))))</f>
      </c>
      <c r="C76" s="122">
        <f>IF($AE76="","",IF($AE76&lt;=1200,IF(INDEX(对接源_01水果!$S$4:$S$1203,$AE76)=0,"",INDEX(对接源_01水果!$S$4:$S$1203,$AE76)),IF(INDEX(对接源_02物料!$S$4:$S$1203,$AE76-1200)=0,"",INDEX(对接源_02物料!$S$4:$S$1203,$AE76-1200))))</f>
      </c>
      <c r="D76" s="164">
        <f>IF($AE76="","",IF($AE76&lt;=1200,IF(INDEX(对接源_01水果!$T$4:$T$1203,$AE76)=0,"",INDEX(对接源_01水果!$T$4:$T$1203,$AE76)),IF(INDEX(对接源_02物料!$T$4:$T$1203,$AE76-1200)=0,"",INDEX(对接源_02物料!$T$4:$T$1203,$AE76-1200))))</f>
      </c>
      <c r="E76" s="61">
        <f>IF($AE76="","",IF($AE76&lt;=1200,IF(INDEX(对接源_01水果!$W$4:$W$1203,$AE76)=0,"",INDEX(对接源_01水果!$W$4:$W$1203,$AE76)),IF(INDEX(对接源_02物料!$W$4:$W$1203,$AE76-1200)=0,"",INDEX(对接源_02物料!$W$4:$W$1203,$AE76-1200))))</f>
      </c>
      <c r="F76" s="61">
        <f>IF($AE76="","",IF($AE76&lt;=1200,"01水果册","02物料册"))</f>
      </c>
      <c r="G76" s="122">
        <f>IF($AE76="","",IF($AE76&lt;=1200,IF(INDEX(对接源_01水果!$M$4:$M$1203,$AE76)=0,"",INDEX(对接源_01水果!$M$4:$M$1203,$AE76)),IF(INDEX(对接源_02物料!$M$4:$M$1203,$AE76-1200)=0,"",INDEX(对接源_02物料!$M$4:$M$1203,$AE76-1200))))</f>
      </c>
      <c r="AE76" s="128">
        <f>IFERROR(MATCH(71,_自动清单!$Q$4:$Q$2403,0),"")</f>
      </c>
    </row>
    <row r="77" ht="18" customHeight="1" s="127">
      <c r="A77" s="165">
        <f>IF($AE77="","",IF($AE77&lt;=1200,IF(INDEX(对接源_01水果!$B$4:$B$1203,$AE77)=0,"",INDEX(对接源_01水果!$B$4:$B$1203,$AE77)),IF(INDEX(对接源_02物料!$B$4:$B$1203,$AE77-1200)=0,"",INDEX(对接源_02物料!$B$4:$B$1203,$AE77-1200))))</f>
      </c>
      <c r="B77" s="104">
        <f>IF($AE77="","",IF($AE77&lt;=1200,IF(INDEX(对接源_01水果!$E$4:$E$1203,$AE77)=0,"",INDEX(对接源_01水果!$E$4:$E$1203,$AE77)),IF(INDEX(对接源_02物料!$E$4:$E$1203,$AE77-1200)=0,"",INDEX(对接源_02物料!$E$4:$E$1203,$AE77-1200))))</f>
      </c>
      <c r="C77" s="131">
        <f>IF($AE77="","",IF($AE77&lt;=1200,IF(INDEX(对接源_01水果!$S$4:$S$1203,$AE77)=0,"",INDEX(对接源_01水果!$S$4:$S$1203,$AE77)),IF(INDEX(对接源_02物料!$S$4:$S$1203,$AE77-1200)=0,"",INDEX(对接源_02物料!$S$4:$S$1203,$AE77-1200))))</f>
      </c>
      <c r="D77" s="166">
        <f>IF($AE77="","",IF($AE77&lt;=1200,IF(INDEX(对接源_01水果!$T$4:$T$1203,$AE77)=0,"",INDEX(对接源_01水果!$T$4:$T$1203,$AE77)),IF(INDEX(对接源_02物料!$T$4:$T$1203,$AE77-1200)=0,"",INDEX(对接源_02物料!$T$4:$T$1203,$AE77-1200))))</f>
      </c>
      <c r="E77" s="104">
        <f>IF($AE77="","",IF($AE77&lt;=1200,IF(INDEX(对接源_01水果!$W$4:$W$1203,$AE77)=0,"",INDEX(对接源_01水果!$W$4:$W$1203,$AE77)),IF(INDEX(对接源_02物料!$W$4:$W$1203,$AE77-1200)=0,"",INDEX(对接源_02物料!$W$4:$W$1203,$AE77-1200))))</f>
      </c>
      <c r="F77" s="104">
        <f>IF($AE77="","",IF($AE77&lt;=1200,"01水果册","02物料册"))</f>
      </c>
      <c r="G77" s="131">
        <f>IF($AE77="","",IF($AE77&lt;=1200,IF(INDEX(对接源_01水果!$M$4:$M$1203,$AE77)=0,"",INDEX(对接源_01水果!$M$4:$M$1203,$AE77)),IF(INDEX(对接源_02物料!$M$4:$M$1203,$AE77-1200)=0,"",INDEX(对接源_02物料!$M$4:$M$1203,$AE77-1200))))</f>
      </c>
      <c r="AE77" s="128">
        <f>IFERROR(MATCH(72,_自动清单!$Q$4:$Q$2403,0),"")</f>
      </c>
    </row>
    <row r="78" ht="18" customHeight="1" s="127">
      <c r="A78" s="163">
        <f>IF($AE78="","",IF($AE78&lt;=1200,IF(INDEX(对接源_01水果!$B$4:$B$1203,$AE78)=0,"",INDEX(对接源_01水果!$B$4:$B$1203,$AE78)),IF(INDEX(对接源_02物料!$B$4:$B$1203,$AE78-1200)=0,"",INDEX(对接源_02物料!$B$4:$B$1203,$AE78-1200))))</f>
      </c>
      <c r="B78" s="61">
        <f>IF($AE78="","",IF($AE78&lt;=1200,IF(INDEX(对接源_01水果!$E$4:$E$1203,$AE78)=0,"",INDEX(对接源_01水果!$E$4:$E$1203,$AE78)),IF(INDEX(对接源_02物料!$E$4:$E$1203,$AE78-1200)=0,"",INDEX(对接源_02物料!$E$4:$E$1203,$AE78-1200))))</f>
      </c>
      <c r="C78" s="122">
        <f>IF($AE78="","",IF($AE78&lt;=1200,IF(INDEX(对接源_01水果!$S$4:$S$1203,$AE78)=0,"",INDEX(对接源_01水果!$S$4:$S$1203,$AE78)),IF(INDEX(对接源_02物料!$S$4:$S$1203,$AE78-1200)=0,"",INDEX(对接源_02物料!$S$4:$S$1203,$AE78-1200))))</f>
      </c>
      <c r="D78" s="164">
        <f>IF($AE78="","",IF($AE78&lt;=1200,IF(INDEX(对接源_01水果!$T$4:$T$1203,$AE78)=0,"",INDEX(对接源_01水果!$T$4:$T$1203,$AE78)),IF(INDEX(对接源_02物料!$T$4:$T$1203,$AE78-1200)=0,"",INDEX(对接源_02物料!$T$4:$T$1203,$AE78-1200))))</f>
      </c>
      <c r="E78" s="61">
        <f>IF($AE78="","",IF($AE78&lt;=1200,IF(INDEX(对接源_01水果!$W$4:$W$1203,$AE78)=0,"",INDEX(对接源_01水果!$W$4:$W$1203,$AE78)),IF(INDEX(对接源_02物料!$W$4:$W$1203,$AE78-1200)=0,"",INDEX(对接源_02物料!$W$4:$W$1203,$AE78-1200))))</f>
      </c>
      <c r="F78" s="61">
        <f>IF($AE78="","",IF($AE78&lt;=1200,"01水果册","02物料册"))</f>
      </c>
      <c r="G78" s="122">
        <f>IF($AE78="","",IF($AE78&lt;=1200,IF(INDEX(对接源_01水果!$M$4:$M$1203,$AE78)=0,"",INDEX(对接源_01水果!$M$4:$M$1203,$AE78)),IF(INDEX(对接源_02物料!$M$4:$M$1203,$AE78-1200)=0,"",INDEX(对接源_02物料!$M$4:$M$1203,$AE78-1200))))</f>
      </c>
      <c r="AE78" s="128">
        <f>IFERROR(MATCH(73,_自动清单!$Q$4:$Q$2403,0),"")</f>
      </c>
    </row>
    <row r="79" ht="18" customHeight="1" s="127">
      <c r="A79" s="165">
        <f>IF($AE79="","",IF($AE79&lt;=1200,IF(INDEX(对接源_01水果!$B$4:$B$1203,$AE79)=0,"",INDEX(对接源_01水果!$B$4:$B$1203,$AE79)),IF(INDEX(对接源_02物料!$B$4:$B$1203,$AE79-1200)=0,"",INDEX(对接源_02物料!$B$4:$B$1203,$AE79-1200))))</f>
      </c>
      <c r="B79" s="104">
        <f>IF($AE79="","",IF($AE79&lt;=1200,IF(INDEX(对接源_01水果!$E$4:$E$1203,$AE79)=0,"",INDEX(对接源_01水果!$E$4:$E$1203,$AE79)),IF(INDEX(对接源_02物料!$E$4:$E$1203,$AE79-1200)=0,"",INDEX(对接源_02物料!$E$4:$E$1203,$AE79-1200))))</f>
      </c>
      <c r="C79" s="131">
        <f>IF($AE79="","",IF($AE79&lt;=1200,IF(INDEX(对接源_01水果!$S$4:$S$1203,$AE79)=0,"",INDEX(对接源_01水果!$S$4:$S$1203,$AE79)),IF(INDEX(对接源_02物料!$S$4:$S$1203,$AE79-1200)=0,"",INDEX(对接源_02物料!$S$4:$S$1203,$AE79-1200))))</f>
      </c>
      <c r="D79" s="166">
        <f>IF($AE79="","",IF($AE79&lt;=1200,IF(INDEX(对接源_01水果!$T$4:$T$1203,$AE79)=0,"",INDEX(对接源_01水果!$T$4:$T$1203,$AE79)),IF(INDEX(对接源_02物料!$T$4:$T$1203,$AE79-1200)=0,"",INDEX(对接源_02物料!$T$4:$T$1203,$AE79-1200))))</f>
      </c>
      <c r="E79" s="104">
        <f>IF($AE79="","",IF($AE79&lt;=1200,IF(INDEX(对接源_01水果!$W$4:$W$1203,$AE79)=0,"",INDEX(对接源_01水果!$W$4:$W$1203,$AE79)),IF(INDEX(对接源_02物料!$W$4:$W$1203,$AE79-1200)=0,"",INDEX(对接源_02物料!$W$4:$W$1203,$AE79-1200))))</f>
      </c>
      <c r="F79" s="104">
        <f>IF($AE79="","",IF($AE79&lt;=1200,"01水果册","02物料册"))</f>
      </c>
      <c r="G79" s="131">
        <f>IF($AE79="","",IF($AE79&lt;=1200,IF(INDEX(对接源_01水果!$M$4:$M$1203,$AE79)=0,"",INDEX(对接源_01水果!$M$4:$M$1203,$AE79)),IF(INDEX(对接源_02物料!$M$4:$M$1203,$AE79-1200)=0,"",INDEX(对接源_02物料!$M$4:$M$1203,$AE79-1200))))</f>
      </c>
      <c r="AE79" s="128">
        <f>IFERROR(MATCH(74,_自动清单!$Q$4:$Q$2403,0),"")</f>
      </c>
    </row>
    <row r="80" ht="18" customHeight="1" s="127">
      <c r="A80" s="163">
        <f>IF($AE80="","",IF($AE80&lt;=1200,IF(INDEX(对接源_01水果!$B$4:$B$1203,$AE80)=0,"",INDEX(对接源_01水果!$B$4:$B$1203,$AE80)),IF(INDEX(对接源_02物料!$B$4:$B$1203,$AE80-1200)=0,"",INDEX(对接源_02物料!$B$4:$B$1203,$AE80-1200))))</f>
      </c>
      <c r="B80" s="61">
        <f>IF($AE80="","",IF($AE80&lt;=1200,IF(INDEX(对接源_01水果!$E$4:$E$1203,$AE80)=0,"",INDEX(对接源_01水果!$E$4:$E$1203,$AE80)),IF(INDEX(对接源_02物料!$E$4:$E$1203,$AE80-1200)=0,"",INDEX(对接源_02物料!$E$4:$E$1203,$AE80-1200))))</f>
      </c>
      <c r="C80" s="122">
        <f>IF($AE80="","",IF($AE80&lt;=1200,IF(INDEX(对接源_01水果!$S$4:$S$1203,$AE80)=0,"",INDEX(对接源_01水果!$S$4:$S$1203,$AE80)),IF(INDEX(对接源_02物料!$S$4:$S$1203,$AE80-1200)=0,"",INDEX(对接源_02物料!$S$4:$S$1203,$AE80-1200))))</f>
      </c>
      <c r="D80" s="164">
        <f>IF($AE80="","",IF($AE80&lt;=1200,IF(INDEX(对接源_01水果!$T$4:$T$1203,$AE80)=0,"",INDEX(对接源_01水果!$T$4:$T$1203,$AE80)),IF(INDEX(对接源_02物料!$T$4:$T$1203,$AE80-1200)=0,"",INDEX(对接源_02物料!$T$4:$T$1203,$AE80-1200))))</f>
      </c>
      <c r="E80" s="61">
        <f>IF($AE80="","",IF($AE80&lt;=1200,IF(INDEX(对接源_01水果!$W$4:$W$1203,$AE80)=0,"",INDEX(对接源_01水果!$W$4:$W$1203,$AE80)),IF(INDEX(对接源_02物料!$W$4:$W$1203,$AE80-1200)=0,"",INDEX(对接源_02物料!$W$4:$W$1203,$AE80-1200))))</f>
      </c>
      <c r="F80" s="61">
        <f>IF($AE80="","",IF($AE80&lt;=1200,"01水果册","02物料册"))</f>
      </c>
      <c r="G80" s="122">
        <f>IF($AE80="","",IF($AE80&lt;=1200,IF(INDEX(对接源_01水果!$M$4:$M$1203,$AE80)=0,"",INDEX(对接源_01水果!$M$4:$M$1203,$AE80)),IF(INDEX(对接源_02物料!$M$4:$M$1203,$AE80-1200)=0,"",INDEX(对接源_02物料!$M$4:$M$1203,$AE80-1200))))</f>
      </c>
      <c r="AE80" s="128">
        <f>IFERROR(MATCH(75,_自动清单!$Q$4:$Q$2403,0),"")</f>
      </c>
    </row>
    <row r="81" ht="18" customHeight="1" s="127">
      <c r="A81" s="165">
        <f>IF($AE81="","",IF($AE81&lt;=1200,IF(INDEX(对接源_01水果!$B$4:$B$1203,$AE81)=0,"",INDEX(对接源_01水果!$B$4:$B$1203,$AE81)),IF(INDEX(对接源_02物料!$B$4:$B$1203,$AE81-1200)=0,"",INDEX(对接源_02物料!$B$4:$B$1203,$AE81-1200))))</f>
      </c>
      <c r="B81" s="104">
        <f>IF($AE81="","",IF($AE81&lt;=1200,IF(INDEX(对接源_01水果!$E$4:$E$1203,$AE81)=0,"",INDEX(对接源_01水果!$E$4:$E$1203,$AE81)),IF(INDEX(对接源_02物料!$E$4:$E$1203,$AE81-1200)=0,"",INDEX(对接源_02物料!$E$4:$E$1203,$AE81-1200))))</f>
      </c>
      <c r="C81" s="131">
        <f>IF($AE81="","",IF($AE81&lt;=1200,IF(INDEX(对接源_01水果!$S$4:$S$1203,$AE81)=0,"",INDEX(对接源_01水果!$S$4:$S$1203,$AE81)),IF(INDEX(对接源_02物料!$S$4:$S$1203,$AE81-1200)=0,"",INDEX(对接源_02物料!$S$4:$S$1203,$AE81-1200))))</f>
      </c>
      <c r="D81" s="166">
        <f>IF($AE81="","",IF($AE81&lt;=1200,IF(INDEX(对接源_01水果!$T$4:$T$1203,$AE81)=0,"",INDEX(对接源_01水果!$T$4:$T$1203,$AE81)),IF(INDEX(对接源_02物料!$T$4:$T$1203,$AE81-1200)=0,"",INDEX(对接源_02物料!$T$4:$T$1203,$AE81-1200))))</f>
      </c>
      <c r="E81" s="104">
        <f>IF($AE81="","",IF($AE81&lt;=1200,IF(INDEX(对接源_01水果!$W$4:$W$1203,$AE81)=0,"",INDEX(对接源_01水果!$W$4:$W$1203,$AE81)),IF(INDEX(对接源_02物料!$W$4:$W$1203,$AE81-1200)=0,"",INDEX(对接源_02物料!$W$4:$W$1203,$AE81-1200))))</f>
      </c>
      <c r="F81" s="104">
        <f>IF($AE81="","",IF($AE81&lt;=1200,"01水果册","02物料册"))</f>
      </c>
      <c r="G81" s="131">
        <f>IF($AE81="","",IF($AE81&lt;=1200,IF(INDEX(对接源_01水果!$M$4:$M$1203,$AE81)=0,"",INDEX(对接源_01水果!$M$4:$M$1203,$AE81)),IF(INDEX(对接源_02物料!$M$4:$M$1203,$AE81-1200)=0,"",INDEX(对接源_02物料!$M$4:$M$1203,$AE81-1200))))</f>
      </c>
      <c r="AE81" s="128">
        <f>IFERROR(MATCH(76,_自动清单!$Q$4:$Q$2403,0),"")</f>
      </c>
    </row>
    <row r="82" ht="18" customHeight="1" s="127">
      <c r="A82" s="163">
        <f>IF($AE82="","",IF($AE82&lt;=1200,IF(INDEX(对接源_01水果!$B$4:$B$1203,$AE82)=0,"",INDEX(对接源_01水果!$B$4:$B$1203,$AE82)),IF(INDEX(对接源_02物料!$B$4:$B$1203,$AE82-1200)=0,"",INDEX(对接源_02物料!$B$4:$B$1203,$AE82-1200))))</f>
      </c>
      <c r="B82" s="61">
        <f>IF($AE82="","",IF($AE82&lt;=1200,IF(INDEX(对接源_01水果!$E$4:$E$1203,$AE82)=0,"",INDEX(对接源_01水果!$E$4:$E$1203,$AE82)),IF(INDEX(对接源_02物料!$E$4:$E$1203,$AE82-1200)=0,"",INDEX(对接源_02物料!$E$4:$E$1203,$AE82-1200))))</f>
      </c>
      <c r="C82" s="122">
        <f>IF($AE82="","",IF($AE82&lt;=1200,IF(INDEX(对接源_01水果!$S$4:$S$1203,$AE82)=0,"",INDEX(对接源_01水果!$S$4:$S$1203,$AE82)),IF(INDEX(对接源_02物料!$S$4:$S$1203,$AE82-1200)=0,"",INDEX(对接源_02物料!$S$4:$S$1203,$AE82-1200))))</f>
      </c>
      <c r="D82" s="164">
        <f>IF($AE82="","",IF($AE82&lt;=1200,IF(INDEX(对接源_01水果!$T$4:$T$1203,$AE82)=0,"",INDEX(对接源_01水果!$T$4:$T$1203,$AE82)),IF(INDEX(对接源_02物料!$T$4:$T$1203,$AE82-1200)=0,"",INDEX(对接源_02物料!$T$4:$T$1203,$AE82-1200))))</f>
      </c>
      <c r="E82" s="61">
        <f>IF($AE82="","",IF($AE82&lt;=1200,IF(INDEX(对接源_01水果!$W$4:$W$1203,$AE82)=0,"",INDEX(对接源_01水果!$W$4:$W$1203,$AE82)),IF(INDEX(对接源_02物料!$W$4:$W$1203,$AE82-1200)=0,"",INDEX(对接源_02物料!$W$4:$W$1203,$AE82-1200))))</f>
      </c>
      <c r="F82" s="61">
        <f>IF($AE82="","",IF($AE82&lt;=1200,"01水果册","02物料册"))</f>
      </c>
      <c r="G82" s="122">
        <f>IF($AE82="","",IF($AE82&lt;=1200,IF(INDEX(对接源_01水果!$M$4:$M$1203,$AE82)=0,"",INDEX(对接源_01水果!$M$4:$M$1203,$AE82)),IF(INDEX(对接源_02物料!$M$4:$M$1203,$AE82-1200)=0,"",INDEX(对接源_02物料!$M$4:$M$1203,$AE82-1200))))</f>
      </c>
      <c r="AE82" s="128">
        <f>IFERROR(MATCH(77,_自动清单!$Q$4:$Q$2403,0),"")</f>
      </c>
    </row>
    <row r="83" ht="18" customHeight="1" s="127">
      <c r="A83" s="165">
        <f>IF($AE83="","",IF($AE83&lt;=1200,IF(INDEX(对接源_01水果!$B$4:$B$1203,$AE83)=0,"",INDEX(对接源_01水果!$B$4:$B$1203,$AE83)),IF(INDEX(对接源_02物料!$B$4:$B$1203,$AE83-1200)=0,"",INDEX(对接源_02物料!$B$4:$B$1203,$AE83-1200))))</f>
      </c>
      <c r="B83" s="104">
        <f>IF($AE83="","",IF($AE83&lt;=1200,IF(INDEX(对接源_01水果!$E$4:$E$1203,$AE83)=0,"",INDEX(对接源_01水果!$E$4:$E$1203,$AE83)),IF(INDEX(对接源_02物料!$E$4:$E$1203,$AE83-1200)=0,"",INDEX(对接源_02物料!$E$4:$E$1203,$AE83-1200))))</f>
      </c>
      <c r="C83" s="131">
        <f>IF($AE83="","",IF($AE83&lt;=1200,IF(INDEX(对接源_01水果!$S$4:$S$1203,$AE83)=0,"",INDEX(对接源_01水果!$S$4:$S$1203,$AE83)),IF(INDEX(对接源_02物料!$S$4:$S$1203,$AE83-1200)=0,"",INDEX(对接源_02物料!$S$4:$S$1203,$AE83-1200))))</f>
      </c>
      <c r="D83" s="166">
        <f>IF($AE83="","",IF($AE83&lt;=1200,IF(INDEX(对接源_01水果!$T$4:$T$1203,$AE83)=0,"",INDEX(对接源_01水果!$T$4:$T$1203,$AE83)),IF(INDEX(对接源_02物料!$T$4:$T$1203,$AE83-1200)=0,"",INDEX(对接源_02物料!$T$4:$T$1203,$AE83-1200))))</f>
      </c>
      <c r="E83" s="104">
        <f>IF($AE83="","",IF($AE83&lt;=1200,IF(INDEX(对接源_01水果!$W$4:$W$1203,$AE83)=0,"",INDEX(对接源_01水果!$W$4:$W$1203,$AE83)),IF(INDEX(对接源_02物料!$W$4:$W$1203,$AE83-1200)=0,"",INDEX(对接源_02物料!$W$4:$W$1203,$AE83-1200))))</f>
      </c>
      <c r="F83" s="104">
        <f>IF($AE83="","",IF($AE83&lt;=1200,"01水果册","02物料册"))</f>
      </c>
      <c r="G83" s="131">
        <f>IF($AE83="","",IF($AE83&lt;=1200,IF(INDEX(对接源_01水果!$M$4:$M$1203,$AE83)=0,"",INDEX(对接源_01水果!$M$4:$M$1203,$AE83)),IF(INDEX(对接源_02物料!$M$4:$M$1203,$AE83-1200)=0,"",INDEX(对接源_02物料!$M$4:$M$1203,$AE83-1200))))</f>
      </c>
      <c r="AE83" s="128">
        <f>IFERROR(MATCH(78,_自动清单!$Q$4:$Q$2403,0),"")</f>
      </c>
    </row>
    <row r="84" ht="18" customHeight="1" s="127">
      <c r="A84" s="163">
        <f>IF($AE84="","",IF($AE84&lt;=1200,IF(INDEX(对接源_01水果!$B$4:$B$1203,$AE84)=0,"",INDEX(对接源_01水果!$B$4:$B$1203,$AE84)),IF(INDEX(对接源_02物料!$B$4:$B$1203,$AE84-1200)=0,"",INDEX(对接源_02物料!$B$4:$B$1203,$AE84-1200))))</f>
      </c>
      <c r="B84" s="61">
        <f>IF($AE84="","",IF($AE84&lt;=1200,IF(INDEX(对接源_01水果!$E$4:$E$1203,$AE84)=0,"",INDEX(对接源_01水果!$E$4:$E$1203,$AE84)),IF(INDEX(对接源_02物料!$E$4:$E$1203,$AE84-1200)=0,"",INDEX(对接源_02物料!$E$4:$E$1203,$AE84-1200))))</f>
      </c>
      <c r="C84" s="122">
        <f>IF($AE84="","",IF($AE84&lt;=1200,IF(INDEX(对接源_01水果!$S$4:$S$1203,$AE84)=0,"",INDEX(对接源_01水果!$S$4:$S$1203,$AE84)),IF(INDEX(对接源_02物料!$S$4:$S$1203,$AE84-1200)=0,"",INDEX(对接源_02物料!$S$4:$S$1203,$AE84-1200))))</f>
      </c>
      <c r="D84" s="164">
        <f>IF($AE84="","",IF($AE84&lt;=1200,IF(INDEX(对接源_01水果!$T$4:$T$1203,$AE84)=0,"",INDEX(对接源_01水果!$T$4:$T$1203,$AE84)),IF(INDEX(对接源_02物料!$T$4:$T$1203,$AE84-1200)=0,"",INDEX(对接源_02物料!$T$4:$T$1203,$AE84-1200))))</f>
      </c>
      <c r="E84" s="61">
        <f>IF($AE84="","",IF($AE84&lt;=1200,IF(INDEX(对接源_01水果!$W$4:$W$1203,$AE84)=0,"",INDEX(对接源_01水果!$W$4:$W$1203,$AE84)),IF(INDEX(对接源_02物料!$W$4:$W$1203,$AE84-1200)=0,"",INDEX(对接源_02物料!$W$4:$W$1203,$AE84-1200))))</f>
      </c>
      <c r="F84" s="61">
        <f>IF($AE84="","",IF($AE84&lt;=1200,"01水果册","02物料册"))</f>
      </c>
      <c r="G84" s="122">
        <f>IF($AE84="","",IF($AE84&lt;=1200,IF(INDEX(对接源_01水果!$M$4:$M$1203,$AE84)=0,"",INDEX(对接源_01水果!$M$4:$M$1203,$AE84)),IF(INDEX(对接源_02物料!$M$4:$M$1203,$AE84-1200)=0,"",INDEX(对接源_02物料!$M$4:$M$1203,$AE84-1200))))</f>
      </c>
      <c r="AE84" s="128">
        <f>IFERROR(MATCH(79,_自动清单!$Q$4:$Q$2403,0),"")</f>
      </c>
    </row>
    <row r="85" ht="18" customHeight="1" s="127">
      <c r="A85" s="165">
        <f>IF($AE85="","",IF($AE85&lt;=1200,IF(INDEX(对接源_01水果!$B$4:$B$1203,$AE85)=0,"",INDEX(对接源_01水果!$B$4:$B$1203,$AE85)),IF(INDEX(对接源_02物料!$B$4:$B$1203,$AE85-1200)=0,"",INDEX(对接源_02物料!$B$4:$B$1203,$AE85-1200))))</f>
      </c>
      <c r="B85" s="104">
        <f>IF($AE85="","",IF($AE85&lt;=1200,IF(INDEX(对接源_01水果!$E$4:$E$1203,$AE85)=0,"",INDEX(对接源_01水果!$E$4:$E$1203,$AE85)),IF(INDEX(对接源_02物料!$E$4:$E$1203,$AE85-1200)=0,"",INDEX(对接源_02物料!$E$4:$E$1203,$AE85-1200))))</f>
      </c>
      <c r="C85" s="131">
        <f>IF($AE85="","",IF($AE85&lt;=1200,IF(INDEX(对接源_01水果!$S$4:$S$1203,$AE85)=0,"",INDEX(对接源_01水果!$S$4:$S$1203,$AE85)),IF(INDEX(对接源_02物料!$S$4:$S$1203,$AE85-1200)=0,"",INDEX(对接源_02物料!$S$4:$S$1203,$AE85-1200))))</f>
      </c>
      <c r="D85" s="166">
        <f>IF($AE85="","",IF($AE85&lt;=1200,IF(INDEX(对接源_01水果!$T$4:$T$1203,$AE85)=0,"",INDEX(对接源_01水果!$T$4:$T$1203,$AE85)),IF(INDEX(对接源_02物料!$T$4:$T$1203,$AE85-1200)=0,"",INDEX(对接源_02物料!$T$4:$T$1203,$AE85-1200))))</f>
      </c>
      <c r="E85" s="104">
        <f>IF($AE85="","",IF($AE85&lt;=1200,IF(INDEX(对接源_01水果!$W$4:$W$1203,$AE85)=0,"",INDEX(对接源_01水果!$W$4:$W$1203,$AE85)),IF(INDEX(对接源_02物料!$W$4:$W$1203,$AE85-1200)=0,"",INDEX(对接源_02物料!$W$4:$W$1203,$AE85-1200))))</f>
      </c>
      <c r="F85" s="104">
        <f>IF($AE85="","",IF($AE85&lt;=1200,"01水果册","02物料册"))</f>
      </c>
      <c r="G85" s="131">
        <f>IF($AE85="","",IF($AE85&lt;=1200,IF(INDEX(对接源_01水果!$M$4:$M$1203,$AE85)=0,"",INDEX(对接源_01水果!$M$4:$M$1203,$AE85)),IF(INDEX(对接源_02物料!$M$4:$M$1203,$AE85-1200)=0,"",INDEX(对接源_02物料!$M$4:$M$1203,$AE85-1200))))</f>
      </c>
      <c r="AE85" s="128">
        <f>IFERROR(MATCH(80,_自动清单!$Q$4:$Q$2403,0),"")</f>
      </c>
    </row>
    <row r="86" ht="18" customHeight="1" s="127">
      <c r="A86" s="163">
        <f>IF($AE86="","",IF($AE86&lt;=1200,IF(INDEX(对接源_01水果!$B$4:$B$1203,$AE86)=0,"",INDEX(对接源_01水果!$B$4:$B$1203,$AE86)),IF(INDEX(对接源_02物料!$B$4:$B$1203,$AE86-1200)=0,"",INDEX(对接源_02物料!$B$4:$B$1203,$AE86-1200))))</f>
      </c>
      <c r="B86" s="61">
        <f>IF($AE86="","",IF($AE86&lt;=1200,IF(INDEX(对接源_01水果!$E$4:$E$1203,$AE86)=0,"",INDEX(对接源_01水果!$E$4:$E$1203,$AE86)),IF(INDEX(对接源_02物料!$E$4:$E$1203,$AE86-1200)=0,"",INDEX(对接源_02物料!$E$4:$E$1203,$AE86-1200))))</f>
      </c>
      <c r="C86" s="122">
        <f>IF($AE86="","",IF($AE86&lt;=1200,IF(INDEX(对接源_01水果!$S$4:$S$1203,$AE86)=0,"",INDEX(对接源_01水果!$S$4:$S$1203,$AE86)),IF(INDEX(对接源_02物料!$S$4:$S$1203,$AE86-1200)=0,"",INDEX(对接源_02物料!$S$4:$S$1203,$AE86-1200))))</f>
      </c>
      <c r="D86" s="164">
        <f>IF($AE86="","",IF($AE86&lt;=1200,IF(INDEX(对接源_01水果!$T$4:$T$1203,$AE86)=0,"",INDEX(对接源_01水果!$T$4:$T$1203,$AE86)),IF(INDEX(对接源_02物料!$T$4:$T$1203,$AE86-1200)=0,"",INDEX(对接源_02物料!$T$4:$T$1203,$AE86-1200))))</f>
      </c>
      <c r="E86" s="61">
        <f>IF($AE86="","",IF($AE86&lt;=1200,IF(INDEX(对接源_01水果!$W$4:$W$1203,$AE86)=0,"",INDEX(对接源_01水果!$W$4:$W$1203,$AE86)),IF(INDEX(对接源_02物料!$W$4:$W$1203,$AE86-1200)=0,"",INDEX(对接源_02物料!$W$4:$W$1203,$AE86-1200))))</f>
      </c>
      <c r="F86" s="61">
        <f>IF($AE86="","",IF($AE86&lt;=1200,"01水果册","02物料册"))</f>
      </c>
      <c r="G86" s="122">
        <f>IF($AE86="","",IF($AE86&lt;=1200,IF(INDEX(对接源_01水果!$M$4:$M$1203,$AE86)=0,"",INDEX(对接源_01水果!$M$4:$M$1203,$AE86)),IF(INDEX(对接源_02物料!$M$4:$M$1203,$AE86-1200)=0,"",INDEX(对接源_02物料!$M$4:$M$1203,$AE86-1200))))</f>
      </c>
      <c r="AE86" s="128">
        <f>IFERROR(MATCH(81,_自动清单!$Q$4:$Q$2403,0),"")</f>
      </c>
    </row>
    <row r="87" ht="18" customHeight="1" s="127">
      <c r="A87" s="165">
        <f>IF($AE87="","",IF($AE87&lt;=1200,IF(INDEX(对接源_01水果!$B$4:$B$1203,$AE87)=0,"",INDEX(对接源_01水果!$B$4:$B$1203,$AE87)),IF(INDEX(对接源_02物料!$B$4:$B$1203,$AE87-1200)=0,"",INDEX(对接源_02物料!$B$4:$B$1203,$AE87-1200))))</f>
      </c>
      <c r="B87" s="104">
        <f>IF($AE87="","",IF($AE87&lt;=1200,IF(INDEX(对接源_01水果!$E$4:$E$1203,$AE87)=0,"",INDEX(对接源_01水果!$E$4:$E$1203,$AE87)),IF(INDEX(对接源_02物料!$E$4:$E$1203,$AE87-1200)=0,"",INDEX(对接源_02物料!$E$4:$E$1203,$AE87-1200))))</f>
      </c>
      <c r="C87" s="131">
        <f>IF($AE87="","",IF($AE87&lt;=1200,IF(INDEX(对接源_01水果!$S$4:$S$1203,$AE87)=0,"",INDEX(对接源_01水果!$S$4:$S$1203,$AE87)),IF(INDEX(对接源_02物料!$S$4:$S$1203,$AE87-1200)=0,"",INDEX(对接源_02物料!$S$4:$S$1203,$AE87-1200))))</f>
      </c>
      <c r="D87" s="166">
        <f>IF($AE87="","",IF($AE87&lt;=1200,IF(INDEX(对接源_01水果!$T$4:$T$1203,$AE87)=0,"",INDEX(对接源_01水果!$T$4:$T$1203,$AE87)),IF(INDEX(对接源_02物料!$T$4:$T$1203,$AE87-1200)=0,"",INDEX(对接源_02物料!$T$4:$T$1203,$AE87-1200))))</f>
      </c>
      <c r="E87" s="104">
        <f>IF($AE87="","",IF($AE87&lt;=1200,IF(INDEX(对接源_01水果!$W$4:$W$1203,$AE87)=0,"",INDEX(对接源_01水果!$W$4:$W$1203,$AE87)),IF(INDEX(对接源_02物料!$W$4:$W$1203,$AE87-1200)=0,"",INDEX(对接源_02物料!$W$4:$W$1203,$AE87-1200))))</f>
      </c>
      <c r="F87" s="104">
        <f>IF($AE87="","",IF($AE87&lt;=1200,"01水果册","02物料册"))</f>
      </c>
      <c r="G87" s="131">
        <f>IF($AE87="","",IF($AE87&lt;=1200,IF(INDEX(对接源_01水果!$M$4:$M$1203,$AE87)=0,"",INDEX(对接源_01水果!$M$4:$M$1203,$AE87)),IF(INDEX(对接源_02物料!$M$4:$M$1203,$AE87-1200)=0,"",INDEX(对接源_02物料!$M$4:$M$1203,$AE87-1200))))</f>
      </c>
      <c r="AE87" s="128">
        <f>IFERROR(MATCH(82,_自动清单!$Q$4:$Q$2403,0),"")</f>
      </c>
    </row>
    <row r="88" ht="18" customHeight="1" s="127">
      <c r="A88" s="163">
        <f>IF($AE88="","",IF($AE88&lt;=1200,IF(INDEX(对接源_01水果!$B$4:$B$1203,$AE88)=0,"",INDEX(对接源_01水果!$B$4:$B$1203,$AE88)),IF(INDEX(对接源_02物料!$B$4:$B$1203,$AE88-1200)=0,"",INDEX(对接源_02物料!$B$4:$B$1203,$AE88-1200))))</f>
      </c>
      <c r="B88" s="61">
        <f>IF($AE88="","",IF($AE88&lt;=1200,IF(INDEX(对接源_01水果!$E$4:$E$1203,$AE88)=0,"",INDEX(对接源_01水果!$E$4:$E$1203,$AE88)),IF(INDEX(对接源_02物料!$E$4:$E$1203,$AE88-1200)=0,"",INDEX(对接源_02物料!$E$4:$E$1203,$AE88-1200))))</f>
      </c>
      <c r="C88" s="122">
        <f>IF($AE88="","",IF($AE88&lt;=1200,IF(INDEX(对接源_01水果!$S$4:$S$1203,$AE88)=0,"",INDEX(对接源_01水果!$S$4:$S$1203,$AE88)),IF(INDEX(对接源_02物料!$S$4:$S$1203,$AE88-1200)=0,"",INDEX(对接源_02物料!$S$4:$S$1203,$AE88-1200))))</f>
      </c>
      <c r="D88" s="164">
        <f>IF($AE88="","",IF($AE88&lt;=1200,IF(INDEX(对接源_01水果!$T$4:$T$1203,$AE88)=0,"",INDEX(对接源_01水果!$T$4:$T$1203,$AE88)),IF(INDEX(对接源_02物料!$T$4:$T$1203,$AE88-1200)=0,"",INDEX(对接源_02物料!$T$4:$T$1203,$AE88-1200))))</f>
      </c>
      <c r="E88" s="61">
        <f>IF($AE88="","",IF($AE88&lt;=1200,IF(INDEX(对接源_01水果!$W$4:$W$1203,$AE88)=0,"",INDEX(对接源_01水果!$W$4:$W$1203,$AE88)),IF(INDEX(对接源_02物料!$W$4:$W$1203,$AE88-1200)=0,"",INDEX(对接源_02物料!$W$4:$W$1203,$AE88-1200))))</f>
      </c>
      <c r="F88" s="61">
        <f>IF($AE88="","",IF($AE88&lt;=1200,"01水果册","02物料册"))</f>
      </c>
      <c r="G88" s="122">
        <f>IF($AE88="","",IF($AE88&lt;=1200,IF(INDEX(对接源_01水果!$M$4:$M$1203,$AE88)=0,"",INDEX(对接源_01水果!$M$4:$M$1203,$AE88)),IF(INDEX(对接源_02物料!$M$4:$M$1203,$AE88-1200)=0,"",INDEX(对接源_02物料!$M$4:$M$1203,$AE88-1200))))</f>
      </c>
      <c r="AE88" s="128">
        <f>IFERROR(MATCH(83,_自动清单!$Q$4:$Q$2403,0),"")</f>
      </c>
    </row>
    <row r="89" ht="18" customHeight="1" s="127">
      <c r="A89" s="165">
        <f>IF($AE89="","",IF($AE89&lt;=1200,IF(INDEX(对接源_01水果!$B$4:$B$1203,$AE89)=0,"",INDEX(对接源_01水果!$B$4:$B$1203,$AE89)),IF(INDEX(对接源_02物料!$B$4:$B$1203,$AE89-1200)=0,"",INDEX(对接源_02物料!$B$4:$B$1203,$AE89-1200))))</f>
      </c>
      <c r="B89" s="104">
        <f>IF($AE89="","",IF($AE89&lt;=1200,IF(INDEX(对接源_01水果!$E$4:$E$1203,$AE89)=0,"",INDEX(对接源_01水果!$E$4:$E$1203,$AE89)),IF(INDEX(对接源_02物料!$E$4:$E$1203,$AE89-1200)=0,"",INDEX(对接源_02物料!$E$4:$E$1203,$AE89-1200))))</f>
      </c>
      <c r="C89" s="131">
        <f>IF($AE89="","",IF($AE89&lt;=1200,IF(INDEX(对接源_01水果!$S$4:$S$1203,$AE89)=0,"",INDEX(对接源_01水果!$S$4:$S$1203,$AE89)),IF(INDEX(对接源_02物料!$S$4:$S$1203,$AE89-1200)=0,"",INDEX(对接源_02物料!$S$4:$S$1203,$AE89-1200))))</f>
      </c>
      <c r="D89" s="166">
        <f>IF($AE89="","",IF($AE89&lt;=1200,IF(INDEX(对接源_01水果!$T$4:$T$1203,$AE89)=0,"",INDEX(对接源_01水果!$T$4:$T$1203,$AE89)),IF(INDEX(对接源_02物料!$T$4:$T$1203,$AE89-1200)=0,"",INDEX(对接源_02物料!$T$4:$T$1203,$AE89-1200))))</f>
      </c>
      <c r="E89" s="104">
        <f>IF($AE89="","",IF($AE89&lt;=1200,IF(INDEX(对接源_01水果!$W$4:$W$1203,$AE89)=0,"",INDEX(对接源_01水果!$W$4:$W$1203,$AE89)),IF(INDEX(对接源_02物料!$W$4:$W$1203,$AE89-1200)=0,"",INDEX(对接源_02物料!$W$4:$W$1203,$AE89-1200))))</f>
      </c>
      <c r="F89" s="104">
        <f>IF($AE89="","",IF($AE89&lt;=1200,"01水果册","02物料册"))</f>
      </c>
      <c r="G89" s="131">
        <f>IF($AE89="","",IF($AE89&lt;=1200,IF(INDEX(对接源_01水果!$M$4:$M$1203,$AE89)=0,"",INDEX(对接源_01水果!$M$4:$M$1203,$AE89)),IF(INDEX(对接源_02物料!$M$4:$M$1203,$AE89-1200)=0,"",INDEX(对接源_02物料!$M$4:$M$1203,$AE89-1200))))</f>
      </c>
      <c r="AE89" s="128">
        <f>IFERROR(MATCH(84,_自动清单!$Q$4:$Q$2403,0),"")</f>
      </c>
    </row>
    <row r="90" ht="18" customHeight="1" s="127">
      <c r="A90" s="163">
        <f>IF($AE90="","",IF($AE90&lt;=1200,IF(INDEX(对接源_01水果!$B$4:$B$1203,$AE90)=0,"",INDEX(对接源_01水果!$B$4:$B$1203,$AE90)),IF(INDEX(对接源_02物料!$B$4:$B$1203,$AE90-1200)=0,"",INDEX(对接源_02物料!$B$4:$B$1203,$AE90-1200))))</f>
      </c>
      <c r="B90" s="61">
        <f>IF($AE90="","",IF($AE90&lt;=1200,IF(INDEX(对接源_01水果!$E$4:$E$1203,$AE90)=0,"",INDEX(对接源_01水果!$E$4:$E$1203,$AE90)),IF(INDEX(对接源_02物料!$E$4:$E$1203,$AE90-1200)=0,"",INDEX(对接源_02物料!$E$4:$E$1203,$AE90-1200))))</f>
      </c>
      <c r="C90" s="122">
        <f>IF($AE90="","",IF($AE90&lt;=1200,IF(INDEX(对接源_01水果!$S$4:$S$1203,$AE90)=0,"",INDEX(对接源_01水果!$S$4:$S$1203,$AE90)),IF(INDEX(对接源_02物料!$S$4:$S$1203,$AE90-1200)=0,"",INDEX(对接源_02物料!$S$4:$S$1203,$AE90-1200))))</f>
      </c>
      <c r="D90" s="164">
        <f>IF($AE90="","",IF($AE90&lt;=1200,IF(INDEX(对接源_01水果!$T$4:$T$1203,$AE90)=0,"",INDEX(对接源_01水果!$T$4:$T$1203,$AE90)),IF(INDEX(对接源_02物料!$T$4:$T$1203,$AE90-1200)=0,"",INDEX(对接源_02物料!$T$4:$T$1203,$AE90-1200))))</f>
      </c>
      <c r="E90" s="61">
        <f>IF($AE90="","",IF($AE90&lt;=1200,IF(INDEX(对接源_01水果!$W$4:$W$1203,$AE90)=0,"",INDEX(对接源_01水果!$W$4:$W$1203,$AE90)),IF(INDEX(对接源_02物料!$W$4:$W$1203,$AE90-1200)=0,"",INDEX(对接源_02物料!$W$4:$W$1203,$AE90-1200))))</f>
      </c>
      <c r="F90" s="61">
        <f>IF($AE90="","",IF($AE90&lt;=1200,"01水果册","02物料册"))</f>
      </c>
      <c r="G90" s="122">
        <f>IF($AE90="","",IF($AE90&lt;=1200,IF(INDEX(对接源_01水果!$M$4:$M$1203,$AE90)=0,"",INDEX(对接源_01水果!$M$4:$M$1203,$AE90)),IF(INDEX(对接源_02物料!$M$4:$M$1203,$AE90-1200)=0,"",INDEX(对接源_02物料!$M$4:$M$1203,$AE90-1200))))</f>
      </c>
      <c r="AE90" s="128">
        <f>IFERROR(MATCH(85,_自动清单!$Q$4:$Q$2403,0),"")</f>
      </c>
    </row>
    <row r="91" ht="18" customHeight="1" s="127">
      <c r="A91" s="165">
        <f>IF($AE91="","",IF($AE91&lt;=1200,IF(INDEX(对接源_01水果!$B$4:$B$1203,$AE91)=0,"",INDEX(对接源_01水果!$B$4:$B$1203,$AE91)),IF(INDEX(对接源_02物料!$B$4:$B$1203,$AE91-1200)=0,"",INDEX(对接源_02物料!$B$4:$B$1203,$AE91-1200))))</f>
      </c>
      <c r="B91" s="104">
        <f>IF($AE91="","",IF($AE91&lt;=1200,IF(INDEX(对接源_01水果!$E$4:$E$1203,$AE91)=0,"",INDEX(对接源_01水果!$E$4:$E$1203,$AE91)),IF(INDEX(对接源_02物料!$E$4:$E$1203,$AE91-1200)=0,"",INDEX(对接源_02物料!$E$4:$E$1203,$AE91-1200))))</f>
      </c>
      <c r="C91" s="131">
        <f>IF($AE91="","",IF($AE91&lt;=1200,IF(INDEX(对接源_01水果!$S$4:$S$1203,$AE91)=0,"",INDEX(对接源_01水果!$S$4:$S$1203,$AE91)),IF(INDEX(对接源_02物料!$S$4:$S$1203,$AE91-1200)=0,"",INDEX(对接源_02物料!$S$4:$S$1203,$AE91-1200))))</f>
      </c>
      <c r="D91" s="166">
        <f>IF($AE91="","",IF($AE91&lt;=1200,IF(INDEX(对接源_01水果!$T$4:$T$1203,$AE91)=0,"",INDEX(对接源_01水果!$T$4:$T$1203,$AE91)),IF(INDEX(对接源_02物料!$T$4:$T$1203,$AE91-1200)=0,"",INDEX(对接源_02物料!$T$4:$T$1203,$AE91-1200))))</f>
      </c>
      <c r="E91" s="104">
        <f>IF($AE91="","",IF($AE91&lt;=1200,IF(INDEX(对接源_01水果!$W$4:$W$1203,$AE91)=0,"",INDEX(对接源_01水果!$W$4:$W$1203,$AE91)),IF(INDEX(对接源_02物料!$W$4:$W$1203,$AE91-1200)=0,"",INDEX(对接源_02物料!$W$4:$W$1203,$AE91-1200))))</f>
      </c>
      <c r="F91" s="104">
        <f>IF($AE91="","",IF($AE91&lt;=1200,"01水果册","02物料册"))</f>
      </c>
      <c r="G91" s="131">
        <f>IF($AE91="","",IF($AE91&lt;=1200,IF(INDEX(对接源_01水果!$M$4:$M$1203,$AE91)=0,"",INDEX(对接源_01水果!$M$4:$M$1203,$AE91)),IF(INDEX(对接源_02物料!$M$4:$M$1203,$AE91-1200)=0,"",INDEX(对接源_02物料!$M$4:$M$1203,$AE91-1200))))</f>
      </c>
      <c r="AE91" s="128">
        <f>IFERROR(MATCH(86,_自动清单!$Q$4:$Q$2403,0),"")</f>
      </c>
    </row>
    <row r="92" ht="18" customHeight="1" s="127">
      <c r="A92" s="163">
        <f>IF($AE92="","",IF($AE92&lt;=1200,IF(INDEX(对接源_01水果!$B$4:$B$1203,$AE92)=0,"",INDEX(对接源_01水果!$B$4:$B$1203,$AE92)),IF(INDEX(对接源_02物料!$B$4:$B$1203,$AE92-1200)=0,"",INDEX(对接源_02物料!$B$4:$B$1203,$AE92-1200))))</f>
      </c>
      <c r="B92" s="61">
        <f>IF($AE92="","",IF($AE92&lt;=1200,IF(INDEX(对接源_01水果!$E$4:$E$1203,$AE92)=0,"",INDEX(对接源_01水果!$E$4:$E$1203,$AE92)),IF(INDEX(对接源_02物料!$E$4:$E$1203,$AE92-1200)=0,"",INDEX(对接源_02物料!$E$4:$E$1203,$AE92-1200))))</f>
      </c>
      <c r="C92" s="122">
        <f>IF($AE92="","",IF($AE92&lt;=1200,IF(INDEX(对接源_01水果!$S$4:$S$1203,$AE92)=0,"",INDEX(对接源_01水果!$S$4:$S$1203,$AE92)),IF(INDEX(对接源_02物料!$S$4:$S$1203,$AE92-1200)=0,"",INDEX(对接源_02物料!$S$4:$S$1203,$AE92-1200))))</f>
      </c>
      <c r="D92" s="164">
        <f>IF($AE92="","",IF($AE92&lt;=1200,IF(INDEX(对接源_01水果!$T$4:$T$1203,$AE92)=0,"",INDEX(对接源_01水果!$T$4:$T$1203,$AE92)),IF(INDEX(对接源_02物料!$T$4:$T$1203,$AE92-1200)=0,"",INDEX(对接源_02物料!$T$4:$T$1203,$AE92-1200))))</f>
      </c>
      <c r="E92" s="61">
        <f>IF($AE92="","",IF($AE92&lt;=1200,IF(INDEX(对接源_01水果!$W$4:$W$1203,$AE92)=0,"",INDEX(对接源_01水果!$W$4:$W$1203,$AE92)),IF(INDEX(对接源_02物料!$W$4:$W$1203,$AE92-1200)=0,"",INDEX(对接源_02物料!$W$4:$W$1203,$AE92-1200))))</f>
      </c>
      <c r="F92" s="61">
        <f>IF($AE92="","",IF($AE92&lt;=1200,"01水果册","02物料册"))</f>
      </c>
      <c r="G92" s="122">
        <f>IF($AE92="","",IF($AE92&lt;=1200,IF(INDEX(对接源_01水果!$M$4:$M$1203,$AE92)=0,"",INDEX(对接源_01水果!$M$4:$M$1203,$AE92)),IF(INDEX(对接源_02物料!$M$4:$M$1203,$AE92-1200)=0,"",INDEX(对接源_02物料!$M$4:$M$1203,$AE92-1200))))</f>
      </c>
      <c r="AE92" s="128">
        <f>IFERROR(MATCH(87,_自动清单!$Q$4:$Q$2403,0),"")</f>
      </c>
    </row>
    <row r="93" ht="18" customHeight="1" s="127">
      <c r="A93" s="165">
        <f>IF($AE93="","",IF($AE93&lt;=1200,IF(INDEX(对接源_01水果!$B$4:$B$1203,$AE93)=0,"",INDEX(对接源_01水果!$B$4:$B$1203,$AE93)),IF(INDEX(对接源_02物料!$B$4:$B$1203,$AE93-1200)=0,"",INDEX(对接源_02物料!$B$4:$B$1203,$AE93-1200))))</f>
      </c>
      <c r="B93" s="104">
        <f>IF($AE93="","",IF($AE93&lt;=1200,IF(INDEX(对接源_01水果!$E$4:$E$1203,$AE93)=0,"",INDEX(对接源_01水果!$E$4:$E$1203,$AE93)),IF(INDEX(对接源_02物料!$E$4:$E$1203,$AE93-1200)=0,"",INDEX(对接源_02物料!$E$4:$E$1203,$AE93-1200))))</f>
      </c>
      <c r="C93" s="131">
        <f>IF($AE93="","",IF($AE93&lt;=1200,IF(INDEX(对接源_01水果!$S$4:$S$1203,$AE93)=0,"",INDEX(对接源_01水果!$S$4:$S$1203,$AE93)),IF(INDEX(对接源_02物料!$S$4:$S$1203,$AE93-1200)=0,"",INDEX(对接源_02物料!$S$4:$S$1203,$AE93-1200))))</f>
      </c>
      <c r="D93" s="166">
        <f>IF($AE93="","",IF($AE93&lt;=1200,IF(INDEX(对接源_01水果!$T$4:$T$1203,$AE93)=0,"",INDEX(对接源_01水果!$T$4:$T$1203,$AE93)),IF(INDEX(对接源_02物料!$T$4:$T$1203,$AE93-1200)=0,"",INDEX(对接源_02物料!$T$4:$T$1203,$AE93-1200))))</f>
      </c>
      <c r="E93" s="104">
        <f>IF($AE93="","",IF($AE93&lt;=1200,IF(INDEX(对接源_01水果!$W$4:$W$1203,$AE93)=0,"",INDEX(对接源_01水果!$W$4:$W$1203,$AE93)),IF(INDEX(对接源_02物料!$W$4:$W$1203,$AE93-1200)=0,"",INDEX(对接源_02物料!$W$4:$W$1203,$AE93-1200))))</f>
      </c>
      <c r="F93" s="104">
        <f>IF($AE93="","",IF($AE93&lt;=1200,"01水果册","02物料册"))</f>
      </c>
      <c r="G93" s="131">
        <f>IF($AE93="","",IF($AE93&lt;=1200,IF(INDEX(对接源_01水果!$M$4:$M$1203,$AE93)=0,"",INDEX(对接源_01水果!$M$4:$M$1203,$AE93)),IF(INDEX(对接源_02物料!$M$4:$M$1203,$AE93-1200)=0,"",INDEX(对接源_02物料!$M$4:$M$1203,$AE93-1200))))</f>
      </c>
      <c r="AE93" s="128">
        <f>IFERROR(MATCH(88,_自动清单!$Q$4:$Q$2403,0),"")</f>
      </c>
    </row>
    <row r="94" ht="18" customHeight="1" s="127">
      <c r="A94" s="163">
        <f>IF($AE94="","",IF($AE94&lt;=1200,IF(INDEX(对接源_01水果!$B$4:$B$1203,$AE94)=0,"",INDEX(对接源_01水果!$B$4:$B$1203,$AE94)),IF(INDEX(对接源_02物料!$B$4:$B$1203,$AE94-1200)=0,"",INDEX(对接源_02物料!$B$4:$B$1203,$AE94-1200))))</f>
      </c>
      <c r="B94" s="61">
        <f>IF($AE94="","",IF($AE94&lt;=1200,IF(INDEX(对接源_01水果!$E$4:$E$1203,$AE94)=0,"",INDEX(对接源_01水果!$E$4:$E$1203,$AE94)),IF(INDEX(对接源_02物料!$E$4:$E$1203,$AE94-1200)=0,"",INDEX(对接源_02物料!$E$4:$E$1203,$AE94-1200))))</f>
      </c>
      <c r="C94" s="122">
        <f>IF($AE94="","",IF($AE94&lt;=1200,IF(INDEX(对接源_01水果!$S$4:$S$1203,$AE94)=0,"",INDEX(对接源_01水果!$S$4:$S$1203,$AE94)),IF(INDEX(对接源_02物料!$S$4:$S$1203,$AE94-1200)=0,"",INDEX(对接源_02物料!$S$4:$S$1203,$AE94-1200))))</f>
      </c>
      <c r="D94" s="164">
        <f>IF($AE94="","",IF($AE94&lt;=1200,IF(INDEX(对接源_01水果!$T$4:$T$1203,$AE94)=0,"",INDEX(对接源_01水果!$T$4:$T$1203,$AE94)),IF(INDEX(对接源_02物料!$T$4:$T$1203,$AE94-1200)=0,"",INDEX(对接源_02物料!$T$4:$T$1203,$AE94-1200))))</f>
      </c>
      <c r="E94" s="61">
        <f>IF($AE94="","",IF($AE94&lt;=1200,IF(INDEX(对接源_01水果!$W$4:$W$1203,$AE94)=0,"",INDEX(对接源_01水果!$W$4:$W$1203,$AE94)),IF(INDEX(对接源_02物料!$W$4:$W$1203,$AE94-1200)=0,"",INDEX(对接源_02物料!$W$4:$W$1203,$AE94-1200))))</f>
      </c>
      <c r="F94" s="61">
        <f>IF($AE94="","",IF($AE94&lt;=1200,"01水果册","02物料册"))</f>
      </c>
      <c r="G94" s="122">
        <f>IF($AE94="","",IF($AE94&lt;=1200,IF(INDEX(对接源_01水果!$M$4:$M$1203,$AE94)=0,"",INDEX(对接源_01水果!$M$4:$M$1203,$AE94)),IF(INDEX(对接源_02物料!$M$4:$M$1203,$AE94-1200)=0,"",INDEX(对接源_02物料!$M$4:$M$1203,$AE94-1200))))</f>
      </c>
      <c r="AE94" s="128">
        <f>IFERROR(MATCH(89,_自动清单!$Q$4:$Q$2403,0),"")</f>
      </c>
    </row>
    <row r="95" ht="18" customHeight="1" s="127">
      <c r="A95" s="165">
        <f>IF($AE95="","",IF($AE95&lt;=1200,IF(INDEX(对接源_01水果!$B$4:$B$1203,$AE95)=0,"",INDEX(对接源_01水果!$B$4:$B$1203,$AE95)),IF(INDEX(对接源_02物料!$B$4:$B$1203,$AE95-1200)=0,"",INDEX(对接源_02物料!$B$4:$B$1203,$AE95-1200))))</f>
      </c>
      <c r="B95" s="104">
        <f>IF($AE95="","",IF($AE95&lt;=1200,IF(INDEX(对接源_01水果!$E$4:$E$1203,$AE95)=0,"",INDEX(对接源_01水果!$E$4:$E$1203,$AE95)),IF(INDEX(对接源_02物料!$E$4:$E$1203,$AE95-1200)=0,"",INDEX(对接源_02物料!$E$4:$E$1203,$AE95-1200))))</f>
      </c>
      <c r="C95" s="131">
        <f>IF($AE95="","",IF($AE95&lt;=1200,IF(INDEX(对接源_01水果!$S$4:$S$1203,$AE95)=0,"",INDEX(对接源_01水果!$S$4:$S$1203,$AE95)),IF(INDEX(对接源_02物料!$S$4:$S$1203,$AE95-1200)=0,"",INDEX(对接源_02物料!$S$4:$S$1203,$AE95-1200))))</f>
      </c>
      <c r="D95" s="166">
        <f>IF($AE95="","",IF($AE95&lt;=1200,IF(INDEX(对接源_01水果!$T$4:$T$1203,$AE95)=0,"",INDEX(对接源_01水果!$T$4:$T$1203,$AE95)),IF(INDEX(对接源_02物料!$T$4:$T$1203,$AE95-1200)=0,"",INDEX(对接源_02物料!$T$4:$T$1203,$AE95-1200))))</f>
      </c>
      <c r="E95" s="104">
        <f>IF($AE95="","",IF($AE95&lt;=1200,IF(INDEX(对接源_01水果!$W$4:$W$1203,$AE95)=0,"",INDEX(对接源_01水果!$W$4:$W$1203,$AE95)),IF(INDEX(对接源_02物料!$W$4:$W$1203,$AE95-1200)=0,"",INDEX(对接源_02物料!$W$4:$W$1203,$AE95-1200))))</f>
      </c>
      <c r="F95" s="104">
        <f>IF($AE95="","",IF($AE95&lt;=1200,"01水果册","02物料册"))</f>
      </c>
      <c r="G95" s="131">
        <f>IF($AE95="","",IF($AE95&lt;=1200,IF(INDEX(对接源_01水果!$M$4:$M$1203,$AE95)=0,"",INDEX(对接源_01水果!$M$4:$M$1203,$AE95)),IF(INDEX(对接源_02物料!$M$4:$M$1203,$AE95-1200)=0,"",INDEX(对接源_02物料!$M$4:$M$1203,$AE95-1200))))</f>
      </c>
      <c r="AE95" s="128">
        <f>IFERROR(MATCH(90,_自动清单!$Q$4:$Q$2403,0),"")</f>
      </c>
    </row>
    <row r="96" ht="18" customHeight="1" s="127">
      <c r="A96" s="163">
        <f>IF($AE96="","",IF($AE96&lt;=1200,IF(INDEX(对接源_01水果!$B$4:$B$1203,$AE96)=0,"",INDEX(对接源_01水果!$B$4:$B$1203,$AE96)),IF(INDEX(对接源_02物料!$B$4:$B$1203,$AE96-1200)=0,"",INDEX(对接源_02物料!$B$4:$B$1203,$AE96-1200))))</f>
      </c>
      <c r="B96" s="61">
        <f>IF($AE96="","",IF($AE96&lt;=1200,IF(INDEX(对接源_01水果!$E$4:$E$1203,$AE96)=0,"",INDEX(对接源_01水果!$E$4:$E$1203,$AE96)),IF(INDEX(对接源_02物料!$E$4:$E$1203,$AE96-1200)=0,"",INDEX(对接源_02物料!$E$4:$E$1203,$AE96-1200))))</f>
      </c>
      <c r="C96" s="122">
        <f>IF($AE96="","",IF($AE96&lt;=1200,IF(INDEX(对接源_01水果!$S$4:$S$1203,$AE96)=0,"",INDEX(对接源_01水果!$S$4:$S$1203,$AE96)),IF(INDEX(对接源_02物料!$S$4:$S$1203,$AE96-1200)=0,"",INDEX(对接源_02物料!$S$4:$S$1203,$AE96-1200))))</f>
      </c>
      <c r="D96" s="164">
        <f>IF($AE96="","",IF($AE96&lt;=1200,IF(INDEX(对接源_01水果!$T$4:$T$1203,$AE96)=0,"",INDEX(对接源_01水果!$T$4:$T$1203,$AE96)),IF(INDEX(对接源_02物料!$T$4:$T$1203,$AE96-1200)=0,"",INDEX(对接源_02物料!$T$4:$T$1203,$AE96-1200))))</f>
      </c>
      <c r="E96" s="61">
        <f>IF($AE96="","",IF($AE96&lt;=1200,IF(INDEX(对接源_01水果!$W$4:$W$1203,$AE96)=0,"",INDEX(对接源_01水果!$W$4:$W$1203,$AE96)),IF(INDEX(对接源_02物料!$W$4:$W$1203,$AE96-1200)=0,"",INDEX(对接源_02物料!$W$4:$W$1203,$AE96-1200))))</f>
      </c>
      <c r="F96" s="61">
        <f>IF($AE96="","",IF($AE96&lt;=1200,"01水果册","02物料册"))</f>
      </c>
      <c r="G96" s="122">
        <f>IF($AE96="","",IF($AE96&lt;=1200,IF(INDEX(对接源_01水果!$M$4:$M$1203,$AE96)=0,"",INDEX(对接源_01水果!$M$4:$M$1203,$AE96)),IF(INDEX(对接源_02物料!$M$4:$M$1203,$AE96-1200)=0,"",INDEX(对接源_02物料!$M$4:$M$1203,$AE96-1200))))</f>
      </c>
      <c r="AE96" s="128">
        <f>IFERROR(MATCH(91,_自动清单!$Q$4:$Q$2403,0),"")</f>
      </c>
    </row>
    <row r="97" ht="18" customHeight="1" s="127">
      <c r="A97" s="165">
        <f>IF($AE97="","",IF($AE97&lt;=1200,IF(INDEX(对接源_01水果!$B$4:$B$1203,$AE97)=0,"",INDEX(对接源_01水果!$B$4:$B$1203,$AE97)),IF(INDEX(对接源_02物料!$B$4:$B$1203,$AE97-1200)=0,"",INDEX(对接源_02物料!$B$4:$B$1203,$AE97-1200))))</f>
      </c>
      <c r="B97" s="104">
        <f>IF($AE97="","",IF($AE97&lt;=1200,IF(INDEX(对接源_01水果!$E$4:$E$1203,$AE97)=0,"",INDEX(对接源_01水果!$E$4:$E$1203,$AE97)),IF(INDEX(对接源_02物料!$E$4:$E$1203,$AE97-1200)=0,"",INDEX(对接源_02物料!$E$4:$E$1203,$AE97-1200))))</f>
      </c>
      <c r="C97" s="131">
        <f>IF($AE97="","",IF($AE97&lt;=1200,IF(INDEX(对接源_01水果!$S$4:$S$1203,$AE97)=0,"",INDEX(对接源_01水果!$S$4:$S$1203,$AE97)),IF(INDEX(对接源_02物料!$S$4:$S$1203,$AE97-1200)=0,"",INDEX(对接源_02物料!$S$4:$S$1203,$AE97-1200))))</f>
      </c>
      <c r="D97" s="166">
        <f>IF($AE97="","",IF($AE97&lt;=1200,IF(INDEX(对接源_01水果!$T$4:$T$1203,$AE97)=0,"",INDEX(对接源_01水果!$T$4:$T$1203,$AE97)),IF(INDEX(对接源_02物料!$T$4:$T$1203,$AE97-1200)=0,"",INDEX(对接源_02物料!$T$4:$T$1203,$AE97-1200))))</f>
      </c>
      <c r="E97" s="104">
        <f>IF($AE97="","",IF($AE97&lt;=1200,IF(INDEX(对接源_01水果!$W$4:$W$1203,$AE97)=0,"",INDEX(对接源_01水果!$W$4:$W$1203,$AE97)),IF(INDEX(对接源_02物料!$W$4:$W$1203,$AE97-1200)=0,"",INDEX(对接源_02物料!$W$4:$W$1203,$AE97-1200))))</f>
      </c>
      <c r="F97" s="104">
        <f>IF($AE97="","",IF($AE97&lt;=1200,"01水果册","02物料册"))</f>
      </c>
      <c r="G97" s="131">
        <f>IF($AE97="","",IF($AE97&lt;=1200,IF(INDEX(对接源_01水果!$M$4:$M$1203,$AE97)=0,"",INDEX(对接源_01水果!$M$4:$M$1203,$AE97)),IF(INDEX(对接源_02物料!$M$4:$M$1203,$AE97-1200)=0,"",INDEX(对接源_02物料!$M$4:$M$1203,$AE97-1200))))</f>
      </c>
      <c r="AE97" s="128">
        <f>IFERROR(MATCH(92,_自动清单!$Q$4:$Q$2403,0),"")</f>
      </c>
    </row>
    <row r="98" ht="18" customHeight="1" s="127">
      <c r="A98" s="163">
        <f>IF($AE98="","",IF($AE98&lt;=1200,IF(INDEX(对接源_01水果!$B$4:$B$1203,$AE98)=0,"",INDEX(对接源_01水果!$B$4:$B$1203,$AE98)),IF(INDEX(对接源_02物料!$B$4:$B$1203,$AE98-1200)=0,"",INDEX(对接源_02物料!$B$4:$B$1203,$AE98-1200))))</f>
      </c>
      <c r="B98" s="61">
        <f>IF($AE98="","",IF($AE98&lt;=1200,IF(INDEX(对接源_01水果!$E$4:$E$1203,$AE98)=0,"",INDEX(对接源_01水果!$E$4:$E$1203,$AE98)),IF(INDEX(对接源_02物料!$E$4:$E$1203,$AE98-1200)=0,"",INDEX(对接源_02物料!$E$4:$E$1203,$AE98-1200))))</f>
      </c>
      <c r="C98" s="122">
        <f>IF($AE98="","",IF($AE98&lt;=1200,IF(INDEX(对接源_01水果!$S$4:$S$1203,$AE98)=0,"",INDEX(对接源_01水果!$S$4:$S$1203,$AE98)),IF(INDEX(对接源_02物料!$S$4:$S$1203,$AE98-1200)=0,"",INDEX(对接源_02物料!$S$4:$S$1203,$AE98-1200))))</f>
      </c>
      <c r="D98" s="164">
        <f>IF($AE98="","",IF($AE98&lt;=1200,IF(INDEX(对接源_01水果!$T$4:$T$1203,$AE98)=0,"",INDEX(对接源_01水果!$T$4:$T$1203,$AE98)),IF(INDEX(对接源_02物料!$T$4:$T$1203,$AE98-1200)=0,"",INDEX(对接源_02物料!$T$4:$T$1203,$AE98-1200))))</f>
      </c>
      <c r="E98" s="61">
        <f>IF($AE98="","",IF($AE98&lt;=1200,IF(INDEX(对接源_01水果!$W$4:$W$1203,$AE98)=0,"",INDEX(对接源_01水果!$W$4:$W$1203,$AE98)),IF(INDEX(对接源_02物料!$W$4:$W$1203,$AE98-1200)=0,"",INDEX(对接源_02物料!$W$4:$W$1203,$AE98-1200))))</f>
      </c>
      <c r="F98" s="61">
        <f>IF($AE98="","",IF($AE98&lt;=1200,"01水果册","02物料册"))</f>
      </c>
      <c r="G98" s="122">
        <f>IF($AE98="","",IF($AE98&lt;=1200,IF(INDEX(对接源_01水果!$M$4:$M$1203,$AE98)=0,"",INDEX(对接源_01水果!$M$4:$M$1203,$AE98)),IF(INDEX(对接源_02物料!$M$4:$M$1203,$AE98-1200)=0,"",INDEX(对接源_02物料!$M$4:$M$1203,$AE98-1200))))</f>
      </c>
      <c r="AE98" s="128">
        <f>IFERROR(MATCH(93,_自动清单!$Q$4:$Q$2403,0),"")</f>
      </c>
    </row>
    <row r="99" ht="18" customHeight="1" s="127">
      <c r="A99" s="165">
        <f>IF($AE99="","",IF($AE99&lt;=1200,IF(INDEX(对接源_01水果!$B$4:$B$1203,$AE99)=0,"",INDEX(对接源_01水果!$B$4:$B$1203,$AE99)),IF(INDEX(对接源_02物料!$B$4:$B$1203,$AE99-1200)=0,"",INDEX(对接源_02物料!$B$4:$B$1203,$AE99-1200))))</f>
      </c>
      <c r="B99" s="104">
        <f>IF($AE99="","",IF($AE99&lt;=1200,IF(INDEX(对接源_01水果!$E$4:$E$1203,$AE99)=0,"",INDEX(对接源_01水果!$E$4:$E$1203,$AE99)),IF(INDEX(对接源_02物料!$E$4:$E$1203,$AE99-1200)=0,"",INDEX(对接源_02物料!$E$4:$E$1203,$AE99-1200))))</f>
      </c>
      <c r="C99" s="131">
        <f>IF($AE99="","",IF($AE99&lt;=1200,IF(INDEX(对接源_01水果!$S$4:$S$1203,$AE99)=0,"",INDEX(对接源_01水果!$S$4:$S$1203,$AE99)),IF(INDEX(对接源_02物料!$S$4:$S$1203,$AE99-1200)=0,"",INDEX(对接源_02物料!$S$4:$S$1203,$AE99-1200))))</f>
      </c>
      <c r="D99" s="166">
        <f>IF($AE99="","",IF($AE99&lt;=1200,IF(INDEX(对接源_01水果!$T$4:$T$1203,$AE99)=0,"",INDEX(对接源_01水果!$T$4:$T$1203,$AE99)),IF(INDEX(对接源_02物料!$T$4:$T$1203,$AE99-1200)=0,"",INDEX(对接源_02物料!$T$4:$T$1203,$AE99-1200))))</f>
      </c>
      <c r="E99" s="104">
        <f>IF($AE99="","",IF($AE99&lt;=1200,IF(INDEX(对接源_01水果!$W$4:$W$1203,$AE99)=0,"",INDEX(对接源_01水果!$W$4:$W$1203,$AE99)),IF(INDEX(对接源_02物料!$W$4:$W$1203,$AE99-1200)=0,"",INDEX(对接源_02物料!$W$4:$W$1203,$AE99-1200))))</f>
      </c>
      <c r="F99" s="104">
        <f>IF($AE99="","",IF($AE99&lt;=1200,"01水果册","02物料册"))</f>
      </c>
      <c r="G99" s="131">
        <f>IF($AE99="","",IF($AE99&lt;=1200,IF(INDEX(对接源_01水果!$M$4:$M$1203,$AE99)=0,"",INDEX(对接源_01水果!$M$4:$M$1203,$AE99)),IF(INDEX(对接源_02物料!$M$4:$M$1203,$AE99-1200)=0,"",INDEX(对接源_02物料!$M$4:$M$1203,$AE99-1200))))</f>
      </c>
      <c r="AE99" s="128">
        <f>IFERROR(MATCH(94,_自动清单!$Q$4:$Q$2403,0),"")</f>
      </c>
    </row>
    <row r="100" ht="18" customHeight="1" s="127">
      <c r="A100" s="163">
        <f>IF($AE100="","",IF($AE100&lt;=1200,IF(INDEX(对接源_01水果!$B$4:$B$1203,$AE100)=0,"",INDEX(对接源_01水果!$B$4:$B$1203,$AE100)),IF(INDEX(对接源_02物料!$B$4:$B$1203,$AE100-1200)=0,"",INDEX(对接源_02物料!$B$4:$B$1203,$AE100-1200))))</f>
      </c>
      <c r="B100" s="61">
        <f>IF($AE100="","",IF($AE100&lt;=1200,IF(INDEX(对接源_01水果!$E$4:$E$1203,$AE100)=0,"",INDEX(对接源_01水果!$E$4:$E$1203,$AE100)),IF(INDEX(对接源_02物料!$E$4:$E$1203,$AE100-1200)=0,"",INDEX(对接源_02物料!$E$4:$E$1203,$AE100-1200))))</f>
      </c>
      <c r="C100" s="122">
        <f>IF($AE100="","",IF($AE100&lt;=1200,IF(INDEX(对接源_01水果!$S$4:$S$1203,$AE100)=0,"",INDEX(对接源_01水果!$S$4:$S$1203,$AE100)),IF(INDEX(对接源_02物料!$S$4:$S$1203,$AE100-1200)=0,"",INDEX(对接源_02物料!$S$4:$S$1203,$AE100-1200))))</f>
      </c>
      <c r="D100" s="164">
        <f>IF($AE100="","",IF($AE100&lt;=1200,IF(INDEX(对接源_01水果!$T$4:$T$1203,$AE100)=0,"",INDEX(对接源_01水果!$T$4:$T$1203,$AE100)),IF(INDEX(对接源_02物料!$T$4:$T$1203,$AE100-1200)=0,"",INDEX(对接源_02物料!$T$4:$T$1203,$AE100-1200))))</f>
      </c>
      <c r="E100" s="61">
        <f>IF($AE100="","",IF($AE100&lt;=1200,IF(INDEX(对接源_01水果!$W$4:$W$1203,$AE100)=0,"",INDEX(对接源_01水果!$W$4:$W$1203,$AE100)),IF(INDEX(对接源_02物料!$W$4:$W$1203,$AE100-1200)=0,"",INDEX(对接源_02物料!$W$4:$W$1203,$AE100-1200))))</f>
      </c>
      <c r="F100" s="61">
        <f>IF($AE100="","",IF($AE100&lt;=1200,"01水果册","02物料册"))</f>
      </c>
      <c r="G100" s="122">
        <f>IF($AE100="","",IF($AE100&lt;=1200,IF(INDEX(对接源_01水果!$M$4:$M$1203,$AE100)=0,"",INDEX(对接源_01水果!$M$4:$M$1203,$AE100)),IF(INDEX(对接源_02物料!$M$4:$M$1203,$AE100-1200)=0,"",INDEX(对接源_02物料!$M$4:$M$1203,$AE100-1200))))</f>
      </c>
      <c r="AE100" s="128">
        <f>IFERROR(MATCH(95,_自动清单!$Q$4:$Q$2403,0),"")</f>
      </c>
    </row>
    <row r="101" ht="18" customHeight="1" s="127">
      <c r="A101" s="165">
        <f>IF($AE101="","",IF($AE101&lt;=1200,IF(INDEX(对接源_01水果!$B$4:$B$1203,$AE101)=0,"",INDEX(对接源_01水果!$B$4:$B$1203,$AE101)),IF(INDEX(对接源_02物料!$B$4:$B$1203,$AE101-1200)=0,"",INDEX(对接源_02物料!$B$4:$B$1203,$AE101-1200))))</f>
      </c>
      <c r="B101" s="104">
        <f>IF($AE101="","",IF($AE101&lt;=1200,IF(INDEX(对接源_01水果!$E$4:$E$1203,$AE101)=0,"",INDEX(对接源_01水果!$E$4:$E$1203,$AE101)),IF(INDEX(对接源_02物料!$E$4:$E$1203,$AE101-1200)=0,"",INDEX(对接源_02物料!$E$4:$E$1203,$AE101-1200))))</f>
      </c>
      <c r="C101" s="131">
        <f>IF($AE101="","",IF($AE101&lt;=1200,IF(INDEX(对接源_01水果!$S$4:$S$1203,$AE101)=0,"",INDEX(对接源_01水果!$S$4:$S$1203,$AE101)),IF(INDEX(对接源_02物料!$S$4:$S$1203,$AE101-1200)=0,"",INDEX(对接源_02物料!$S$4:$S$1203,$AE101-1200))))</f>
      </c>
      <c r="D101" s="166">
        <f>IF($AE101="","",IF($AE101&lt;=1200,IF(INDEX(对接源_01水果!$T$4:$T$1203,$AE101)=0,"",INDEX(对接源_01水果!$T$4:$T$1203,$AE101)),IF(INDEX(对接源_02物料!$T$4:$T$1203,$AE101-1200)=0,"",INDEX(对接源_02物料!$T$4:$T$1203,$AE101-1200))))</f>
      </c>
      <c r="E101" s="104">
        <f>IF($AE101="","",IF($AE101&lt;=1200,IF(INDEX(对接源_01水果!$W$4:$W$1203,$AE101)=0,"",INDEX(对接源_01水果!$W$4:$W$1203,$AE101)),IF(INDEX(对接源_02物料!$W$4:$W$1203,$AE101-1200)=0,"",INDEX(对接源_02物料!$W$4:$W$1203,$AE101-1200))))</f>
      </c>
      <c r="F101" s="104">
        <f>IF($AE101="","",IF($AE101&lt;=1200,"01水果册","02物料册"))</f>
      </c>
      <c r="G101" s="131">
        <f>IF($AE101="","",IF($AE101&lt;=1200,IF(INDEX(对接源_01水果!$M$4:$M$1203,$AE101)=0,"",INDEX(对接源_01水果!$M$4:$M$1203,$AE101)),IF(INDEX(对接源_02物料!$M$4:$M$1203,$AE101-1200)=0,"",INDEX(对接源_02物料!$M$4:$M$1203,$AE101-1200))))</f>
      </c>
      <c r="AE101" s="128">
        <f>IFERROR(MATCH(96,_自动清单!$Q$4:$Q$2403,0),"")</f>
      </c>
    </row>
    <row r="102" ht="18" customHeight="1" s="127">
      <c r="A102" s="163">
        <f>IF($AE102="","",IF($AE102&lt;=1200,IF(INDEX(对接源_01水果!$B$4:$B$1203,$AE102)=0,"",INDEX(对接源_01水果!$B$4:$B$1203,$AE102)),IF(INDEX(对接源_02物料!$B$4:$B$1203,$AE102-1200)=0,"",INDEX(对接源_02物料!$B$4:$B$1203,$AE102-1200))))</f>
      </c>
      <c r="B102" s="61">
        <f>IF($AE102="","",IF($AE102&lt;=1200,IF(INDEX(对接源_01水果!$E$4:$E$1203,$AE102)=0,"",INDEX(对接源_01水果!$E$4:$E$1203,$AE102)),IF(INDEX(对接源_02物料!$E$4:$E$1203,$AE102-1200)=0,"",INDEX(对接源_02物料!$E$4:$E$1203,$AE102-1200))))</f>
      </c>
      <c r="C102" s="122">
        <f>IF($AE102="","",IF($AE102&lt;=1200,IF(INDEX(对接源_01水果!$S$4:$S$1203,$AE102)=0,"",INDEX(对接源_01水果!$S$4:$S$1203,$AE102)),IF(INDEX(对接源_02物料!$S$4:$S$1203,$AE102-1200)=0,"",INDEX(对接源_02物料!$S$4:$S$1203,$AE102-1200))))</f>
      </c>
      <c r="D102" s="164">
        <f>IF($AE102="","",IF($AE102&lt;=1200,IF(INDEX(对接源_01水果!$T$4:$T$1203,$AE102)=0,"",INDEX(对接源_01水果!$T$4:$T$1203,$AE102)),IF(INDEX(对接源_02物料!$T$4:$T$1203,$AE102-1200)=0,"",INDEX(对接源_02物料!$T$4:$T$1203,$AE102-1200))))</f>
      </c>
      <c r="E102" s="61">
        <f>IF($AE102="","",IF($AE102&lt;=1200,IF(INDEX(对接源_01水果!$W$4:$W$1203,$AE102)=0,"",INDEX(对接源_01水果!$W$4:$W$1203,$AE102)),IF(INDEX(对接源_02物料!$W$4:$W$1203,$AE102-1200)=0,"",INDEX(对接源_02物料!$W$4:$W$1203,$AE102-1200))))</f>
      </c>
      <c r="F102" s="61">
        <f>IF($AE102="","",IF($AE102&lt;=1200,"01水果册","02物料册"))</f>
      </c>
      <c r="G102" s="122">
        <f>IF($AE102="","",IF($AE102&lt;=1200,IF(INDEX(对接源_01水果!$M$4:$M$1203,$AE102)=0,"",INDEX(对接源_01水果!$M$4:$M$1203,$AE102)),IF(INDEX(对接源_02物料!$M$4:$M$1203,$AE102-1200)=0,"",INDEX(对接源_02物料!$M$4:$M$1203,$AE102-1200))))</f>
      </c>
      <c r="AE102" s="128">
        <f>IFERROR(MATCH(97,_自动清单!$Q$4:$Q$2403,0),"")</f>
      </c>
    </row>
    <row r="103" ht="18" customHeight="1" s="127">
      <c r="A103" s="165">
        <f>IF($AE103="","",IF($AE103&lt;=1200,IF(INDEX(对接源_01水果!$B$4:$B$1203,$AE103)=0,"",INDEX(对接源_01水果!$B$4:$B$1203,$AE103)),IF(INDEX(对接源_02物料!$B$4:$B$1203,$AE103-1200)=0,"",INDEX(对接源_02物料!$B$4:$B$1203,$AE103-1200))))</f>
      </c>
      <c r="B103" s="104">
        <f>IF($AE103="","",IF($AE103&lt;=1200,IF(INDEX(对接源_01水果!$E$4:$E$1203,$AE103)=0,"",INDEX(对接源_01水果!$E$4:$E$1203,$AE103)),IF(INDEX(对接源_02物料!$E$4:$E$1203,$AE103-1200)=0,"",INDEX(对接源_02物料!$E$4:$E$1203,$AE103-1200))))</f>
      </c>
      <c r="C103" s="131">
        <f>IF($AE103="","",IF($AE103&lt;=1200,IF(INDEX(对接源_01水果!$S$4:$S$1203,$AE103)=0,"",INDEX(对接源_01水果!$S$4:$S$1203,$AE103)),IF(INDEX(对接源_02物料!$S$4:$S$1203,$AE103-1200)=0,"",INDEX(对接源_02物料!$S$4:$S$1203,$AE103-1200))))</f>
      </c>
      <c r="D103" s="166">
        <f>IF($AE103="","",IF($AE103&lt;=1200,IF(INDEX(对接源_01水果!$T$4:$T$1203,$AE103)=0,"",INDEX(对接源_01水果!$T$4:$T$1203,$AE103)),IF(INDEX(对接源_02物料!$T$4:$T$1203,$AE103-1200)=0,"",INDEX(对接源_02物料!$T$4:$T$1203,$AE103-1200))))</f>
      </c>
      <c r="E103" s="104">
        <f>IF($AE103="","",IF($AE103&lt;=1200,IF(INDEX(对接源_01水果!$W$4:$W$1203,$AE103)=0,"",INDEX(对接源_01水果!$W$4:$W$1203,$AE103)),IF(INDEX(对接源_02物料!$W$4:$W$1203,$AE103-1200)=0,"",INDEX(对接源_02物料!$W$4:$W$1203,$AE103-1200))))</f>
      </c>
      <c r="F103" s="104">
        <f>IF($AE103="","",IF($AE103&lt;=1200,"01水果册","02物料册"))</f>
      </c>
      <c r="G103" s="131">
        <f>IF($AE103="","",IF($AE103&lt;=1200,IF(INDEX(对接源_01水果!$M$4:$M$1203,$AE103)=0,"",INDEX(对接源_01水果!$M$4:$M$1203,$AE103)),IF(INDEX(对接源_02物料!$M$4:$M$1203,$AE103-1200)=0,"",INDEX(对接源_02物料!$M$4:$M$1203,$AE103-1200))))</f>
      </c>
      <c r="AE103" s="128">
        <f>IFERROR(MATCH(98,_自动清单!$Q$4:$Q$2403,0),"")</f>
      </c>
    </row>
    <row r="104" ht="18" customHeight="1" s="127">
      <c r="A104" s="163">
        <f>IF($AE104="","",IF($AE104&lt;=1200,IF(INDEX(对接源_01水果!$B$4:$B$1203,$AE104)=0,"",INDEX(对接源_01水果!$B$4:$B$1203,$AE104)),IF(INDEX(对接源_02物料!$B$4:$B$1203,$AE104-1200)=0,"",INDEX(对接源_02物料!$B$4:$B$1203,$AE104-1200))))</f>
      </c>
      <c r="B104" s="61">
        <f>IF($AE104="","",IF($AE104&lt;=1200,IF(INDEX(对接源_01水果!$E$4:$E$1203,$AE104)=0,"",INDEX(对接源_01水果!$E$4:$E$1203,$AE104)),IF(INDEX(对接源_02物料!$E$4:$E$1203,$AE104-1200)=0,"",INDEX(对接源_02物料!$E$4:$E$1203,$AE104-1200))))</f>
      </c>
      <c r="C104" s="122">
        <f>IF($AE104="","",IF($AE104&lt;=1200,IF(INDEX(对接源_01水果!$S$4:$S$1203,$AE104)=0,"",INDEX(对接源_01水果!$S$4:$S$1203,$AE104)),IF(INDEX(对接源_02物料!$S$4:$S$1203,$AE104-1200)=0,"",INDEX(对接源_02物料!$S$4:$S$1203,$AE104-1200))))</f>
      </c>
      <c r="D104" s="164">
        <f>IF($AE104="","",IF($AE104&lt;=1200,IF(INDEX(对接源_01水果!$T$4:$T$1203,$AE104)=0,"",INDEX(对接源_01水果!$T$4:$T$1203,$AE104)),IF(INDEX(对接源_02物料!$T$4:$T$1203,$AE104-1200)=0,"",INDEX(对接源_02物料!$T$4:$T$1203,$AE104-1200))))</f>
      </c>
      <c r="E104" s="61">
        <f>IF($AE104="","",IF($AE104&lt;=1200,IF(INDEX(对接源_01水果!$W$4:$W$1203,$AE104)=0,"",INDEX(对接源_01水果!$W$4:$W$1203,$AE104)),IF(INDEX(对接源_02物料!$W$4:$W$1203,$AE104-1200)=0,"",INDEX(对接源_02物料!$W$4:$W$1203,$AE104-1200))))</f>
      </c>
      <c r="F104" s="61">
        <f>IF($AE104="","",IF($AE104&lt;=1200,"01水果册","02物料册"))</f>
      </c>
      <c r="G104" s="122">
        <f>IF($AE104="","",IF($AE104&lt;=1200,IF(INDEX(对接源_01水果!$M$4:$M$1203,$AE104)=0,"",INDEX(对接源_01水果!$M$4:$M$1203,$AE104)),IF(INDEX(对接源_02物料!$M$4:$M$1203,$AE104-1200)=0,"",INDEX(对接源_02物料!$M$4:$M$1203,$AE104-1200))))</f>
      </c>
      <c r="AE104" s="128">
        <f>IFERROR(MATCH(99,_自动清单!$Q$4:$Q$2403,0),"")</f>
      </c>
    </row>
    <row r="105" ht="18" customHeight="1" s="127">
      <c r="A105" s="165">
        <f>IF($AE105="","",IF($AE105&lt;=1200,IF(INDEX(对接源_01水果!$B$4:$B$1203,$AE105)=0,"",INDEX(对接源_01水果!$B$4:$B$1203,$AE105)),IF(INDEX(对接源_02物料!$B$4:$B$1203,$AE105-1200)=0,"",INDEX(对接源_02物料!$B$4:$B$1203,$AE105-1200))))</f>
      </c>
      <c r="B105" s="104">
        <f>IF($AE105="","",IF($AE105&lt;=1200,IF(INDEX(对接源_01水果!$E$4:$E$1203,$AE105)=0,"",INDEX(对接源_01水果!$E$4:$E$1203,$AE105)),IF(INDEX(对接源_02物料!$E$4:$E$1203,$AE105-1200)=0,"",INDEX(对接源_02物料!$E$4:$E$1203,$AE105-1200))))</f>
      </c>
      <c r="C105" s="131">
        <f>IF($AE105="","",IF($AE105&lt;=1200,IF(INDEX(对接源_01水果!$S$4:$S$1203,$AE105)=0,"",INDEX(对接源_01水果!$S$4:$S$1203,$AE105)),IF(INDEX(对接源_02物料!$S$4:$S$1203,$AE105-1200)=0,"",INDEX(对接源_02物料!$S$4:$S$1203,$AE105-1200))))</f>
      </c>
      <c r="D105" s="166">
        <f>IF($AE105="","",IF($AE105&lt;=1200,IF(INDEX(对接源_01水果!$T$4:$T$1203,$AE105)=0,"",INDEX(对接源_01水果!$T$4:$T$1203,$AE105)),IF(INDEX(对接源_02物料!$T$4:$T$1203,$AE105-1200)=0,"",INDEX(对接源_02物料!$T$4:$T$1203,$AE105-1200))))</f>
      </c>
      <c r="E105" s="104">
        <f>IF($AE105="","",IF($AE105&lt;=1200,IF(INDEX(对接源_01水果!$W$4:$W$1203,$AE105)=0,"",INDEX(对接源_01水果!$W$4:$W$1203,$AE105)),IF(INDEX(对接源_02物料!$W$4:$W$1203,$AE105-1200)=0,"",INDEX(对接源_02物料!$W$4:$W$1203,$AE105-1200))))</f>
      </c>
      <c r="F105" s="104">
        <f>IF($AE105="","",IF($AE105&lt;=1200,"01水果册","02物料册"))</f>
      </c>
      <c r="G105" s="131">
        <f>IF($AE105="","",IF($AE105&lt;=1200,IF(INDEX(对接源_01水果!$M$4:$M$1203,$AE105)=0,"",INDEX(对接源_01水果!$M$4:$M$1203,$AE105)),IF(INDEX(对接源_02物料!$M$4:$M$1203,$AE105-1200)=0,"",INDEX(对接源_02物料!$M$4:$M$1203,$AE105-1200))))</f>
      </c>
      <c r="AE105" s="128">
        <f>IFERROR(MATCH(100,_自动清单!$Q$4:$Q$2403,0),"")</f>
      </c>
    </row>
    <row r="106"/>
    <row r="107" ht="24" customHeight="1" s="127">
      <c r="A107" s="54" t="inlineStr">
        <is>
          <t>退回筐子总数（客户退回的空筐 · 负数）</t>
        </is>
      </c>
      <c r="B107" s="160" t="n"/>
      <c r="C107" s="160" t="n"/>
      <c r="D107" s="158" t="n"/>
      <c r="E107" s="161">
        <f>-ROUND(SUMIFS(对接源_01水果!$U$4:$U$1203,对接源_01水果!$C$4:$C$1203,$B$2,对接源_01水果!$B$4:$B$1203,"&gt;="&amp;$P$1,对接源_01水果!$B$4:$B$1203,"&lt;="&amp;$P$2,对接源_01水果!$X$4:$X$1203,"公司筐")+SUMIFS(对接源_02物料!$U$4:$U$1203,对接源_02物料!$C$4:$C$1203,$B$2,对接源_02物料!$B$4:$B$1203,"&gt;="&amp;$P$1,对接源_02物料!$B$4:$B$1203,"&lt;="&amp;$P$2,对接源_02物料!$X$4:$X$1203,"公司筐"),0)</f>
        <v>-118</v>
      </c>
      <c r="F107" s="160" t="n"/>
      <c r="G107" s="158" t="n"/>
    </row>
    <row r="108" ht="30" customHeight="1" s="127">
      <c r="A108" s="59" t="inlineStr">
        <is>
          <t>日　期</t>
        </is>
      </c>
      <c r="B108" s="59" t="inlineStr">
        <is>
          <t>票据单号</t>
        </is>
      </c>
      <c r="C108" s="59" t="inlineStr">
        <is>
          <t>筐子类型</t>
        </is>
      </c>
      <c r="D108" s="59" t="inlineStr">
        <is>
          <t>退回数量</t>
        </is>
      </c>
      <c r="E108" s="59" t="inlineStr">
        <is>
          <t>车牌号</t>
        </is>
      </c>
      <c r="F108" s="59" t="inlineStr">
        <is>
          <t>来源册</t>
        </is>
      </c>
      <c r="G108" s="59" t="inlineStr">
        <is>
          <t>备　注</t>
        </is>
      </c>
    </row>
    <row r="109" ht="18" customHeight="1" s="127">
      <c r="A109" s="163">
        <f>IF($AF109="","",IF($AF109&lt;=1200,IF(INDEX(对接源_01水果!$B$4:$B$1203,$AF109)=0,"",INDEX(对接源_01水果!$B$4:$B$1203,$AF109)),IF(INDEX(对接源_02物料!$B$4:$B$1203,$AF109-1200)=0,"",INDEX(对接源_02物料!$B$4:$B$1203,$AF109-1200))))</f>
        <v>46292.0</v>
      </c>
      <c r="B109" s="61" t="str">
        <f>IF($AF109="","",IF($AF109&lt;=1200,IF(INDEX(对接源_01水果!$E$4:$E$1203,$AF109)=0,"",INDEX(对接源_01水果!$E$4:$E$1203,$AF109)),IF(INDEX(对接源_02物料!$E$4:$E$1203,$AF109-1200)=0,"",INDEX(对接源_02物料!$E$4:$E$1203,$AF109-1200))))</f>
        <v>NO:0001000</v>
      </c>
      <c r="C109" s="122" t="str">
        <f>IF($AF109="","",IF($AF109&lt;=1200,IF(INDEX(对接源_01水果!$S$4:$S$1203,$AF109)=0,"",INDEX(对接源_01水果!$S$4:$S$1203,$AF109)),IF(INDEX(对接源_02物料!$S$4:$S$1203,$AF109-1200)=0,"",INDEX(对接源_02物料!$S$4:$S$1203,$AF109-1200))))</f>
        <v>公司红周转筐</v>
      </c>
      <c r="D109" s="169">
        <f>IF($AF109="","",IF($AF109&lt;=1200,IF(INDEX(对接源_01水果!$U$4:$U$1203,$AF109)=0,"",INDEX(对接源_01水果!$U$4:$U$1203,$AF109)),IF(INDEX(对接源_02物料!$U$4:$U$1203,$AF109-1200)=0,"",INDEX(对接源_02物料!$U$4:$U$1203,$AF109-1200))))</f>
        <v>118</v>
      </c>
      <c r="E109" s="61" t="str">
        <f>IF($AF109="","",IF($AF109&lt;=1200,IF(INDEX(对接源_01水果!$W$4:$W$1203,$AF109)=0,"",INDEX(对接源_01水果!$W$4:$W$1203,$AF109)),IF(INDEX(对接源_02物料!$W$4:$W$1203,$AF109-1200)=0,"",INDEX(对接源_02物料!$W$4:$W$1203,$AF109-1200))))</f>
        <v>新N*49209</v>
      </c>
      <c r="F109" s="61" t="str">
        <f>IF($AF109="","",IF($AF109&lt;=1200,"01水果册","02物料册"))</f>
        <v>02物料册</v>
      </c>
      <c r="G109" s="122">
        <f>IF($AF109="","",IF($AF109&lt;=1200,IF(INDEX(对接源_01水果!$M$4:$M$1203,$AF109)=0,"",INDEX(对接源_01水果!$M$4:$M$1203,$AF109)),IF(INDEX(对接源_02物料!$M$4:$M$1203,$AF109-1200)=0,"",INDEX(对接源_02物料!$M$4:$M$1203,$AF109-1200))))</f>
      </c>
      <c r="AF109" s="128">
        <f>IFERROR(MATCH(1,_自动清单!$S$4:$S$2403,0),"")</f>
        <v>1449</v>
      </c>
    </row>
    <row r="110" ht="18" customHeight="1" s="127">
      <c r="A110" s="165">
        <f>IF($AF110="","",IF($AF110&lt;=1200,IF(INDEX(对接源_01水果!$B$4:$B$1203,$AF110)=0,"",INDEX(对接源_01水果!$B$4:$B$1203,$AF110)),IF(INDEX(对接源_02物料!$B$4:$B$1203,$AF110-1200)=0,"",INDEX(对接源_02物料!$B$4:$B$1203,$AF110-1200))))</f>
      </c>
      <c r="B110" s="104">
        <f>IF($AF110="","",IF($AF110&lt;=1200,IF(INDEX(对接源_01水果!$E$4:$E$1203,$AF110)=0,"",INDEX(对接源_01水果!$E$4:$E$1203,$AF110)),IF(INDEX(对接源_02物料!$E$4:$E$1203,$AF110-1200)=0,"",INDEX(对接源_02物料!$E$4:$E$1203,$AF110-1200))))</f>
      </c>
      <c r="C110" s="131">
        <f>IF($AF110="","",IF($AF110&lt;=1200,IF(INDEX(对接源_01水果!$S$4:$S$1203,$AF110)=0,"",INDEX(对接源_01水果!$S$4:$S$1203,$AF110)),IF(INDEX(对接源_02物料!$S$4:$S$1203,$AF110-1200)=0,"",INDEX(对接源_02物料!$S$4:$S$1203,$AF110-1200))))</f>
      </c>
      <c r="D110" s="170">
        <f>IF($AF110="","",IF($AF110&lt;=1200,IF(INDEX(对接源_01水果!$U$4:$U$1203,$AF110)=0,"",INDEX(对接源_01水果!$U$4:$U$1203,$AF110)),IF(INDEX(对接源_02物料!$U$4:$U$1203,$AF110-1200)=0,"",INDEX(对接源_02物料!$U$4:$U$1203,$AF110-1200))))</f>
      </c>
      <c r="E110" s="104">
        <f>IF($AF110="","",IF($AF110&lt;=1200,IF(INDEX(对接源_01水果!$W$4:$W$1203,$AF110)=0,"",INDEX(对接源_01水果!$W$4:$W$1203,$AF110)),IF(INDEX(对接源_02物料!$W$4:$W$1203,$AF110-1200)=0,"",INDEX(对接源_02物料!$W$4:$W$1203,$AF110-1200))))</f>
      </c>
      <c r="F110" s="104">
        <f>IF($AF110="","",IF($AF110&lt;=1200,"01水果册","02物料册"))</f>
      </c>
      <c r="G110" s="131">
        <f>IF($AF110="","",IF($AF110&lt;=1200,IF(INDEX(对接源_01水果!$M$4:$M$1203,$AF110)=0,"",INDEX(对接源_01水果!$M$4:$M$1203,$AF110)),IF(INDEX(对接源_02物料!$M$4:$M$1203,$AF110-1200)=0,"",INDEX(对接源_02物料!$M$4:$M$1203,$AF110-1200))))</f>
      </c>
      <c r="AF110" s="128">
        <f>IFERROR(MATCH(2,_自动清单!$S$4:$S$2403,0),"")</f>
      </c>
    </row>
    <row r="111" ht="18" customHeight="1" s="127">
      <c r="A111" s="163">
        <f>IF($AF111="","",IF($AF111&lt;=1200,IF(INDEX(对接源_01水果!$B$4:$B$1203,$AF111)=0,"",INDEX(对接源_01水果!$B$4:$B$1203,$AF111)),IF(INDEX(对接源_02物料!$B$4:$B$1203,$AF111-1200)=0,"",INDEX(对接源_02物料!$B$4:$B$1203,$AF111-1200))))</f>
      </c>
      <c r="B111" s="61">
        <f>IF($AF111="","",IF($AF111&lt;=1200,IF(INDEX(对接源_01水果!$E$4:$E$1203,$AF111)=0,"",INDEX(对接源_01水果!$E$4:$E$1203,$AF111)),IF(INDEX(对接源_02物料!$E$4:$E$1203,$AF111-1200)=0,"",INDEX(对接源_02物料!$E$4:$E$1203,$AF111-1200))))</f>
      </c>
      <c r="C111" s="122">
        <f>IF($AF111="","",IF($AF111&lt;=1200,IF(INDEX(对接源_01水果!$S$4:$S$1203,$AF111)=0,"",INDEX(对接源_01水果!$S$4:$S$1203,$AF111)),IF(INDEX(对接源_02物料!$S$4:$S$1203,$AF111-1200)=0,"",INDEX(对接源_02物料!$S$4:$S$1203,$AF111-1200))))</f>
      </c>
      <c r="D111" s="169">
        <f>IF($AF111="","",IF($AF111&lt;=1200,IF(INDEX(对接源_01水果!$U$4:$U$1203,$AF111)=0,"",INDEX(对接源_01水果!$U$4:$U$1203,$AF111)),IF(INDEX(对接源_02物料!$U$4:$U$1203,$AF111-1200)=0,"",INDEX(对接源_02物料!$U$4:$U$1203,$AF111-1200))))</f>
      </c>
      <c r="E111" s="61">
        <f>IF($AF111="","",IF($AF111&lt;=1200,IF(INDEX(对接源_01水果!$W$4:$W$1203,$AF111)=0,"",INDEX(对接源_01水果!$W$4:$W$1203,$AF111)),IF(INDEX(对接源_02物料!$W$4:$W$1203,$AF111-1200)=0,"",INDEX(对接源_02物料!$W$4:$W$1203,$AF111-1200))))</f>
      </c>
      <c r="F111" s="61">
        <f>IF($AF111="","",IF($AF111&lt;=1200,"01水果册","02物料册"))</f>
      </c>
      <c r="G111" s="122">
        <f>IF($AF111="","",IF($AF111&lt;=1200,IF(INDEX(对接源_01水果!$M$4:$M$1203,$AF111)=0,"",INDEX(对接源_01水果!$M$4:$M$1203,$AF111)),IF(INDEX(对接源_02物料!$M$4:$M$1203,$AF111-1200)=0,"",INDEX(对接源_02物料!$M$4:$M$1203,$AF111-1200))))</f>
      </c>
      <c r="AF111" s="128">
        <f>IFERROR(MATCH(3,_自动清单!$S$4:$S$2403,0),"")</f>
      </c>
    </row>
    <row r="112" ht="18" customHeight="1" s="127">
      <c r="A112" s="165">
        <f>IF($AF112="","",IF($AF112&lt;=1200,IF(INDEX(对接源_01水果!$B$4:$B$1203,$AF112)=0,"",INDEX(对接源_01水果!$B$4:$B$1203,$AF112)),IF(INDEX(对接源_02物料!$B$4:$B$1203,$AF112-1200)=0,"",INDEX(对接源_02物料!$B$4:$B$1203,$AF112-1200))))</f>
      </c>
      <c r="B112" s="104">
        <f>IF($AF112="","",IF($AF112&lt;=1200,IF(INDEX(对接源_01水果!$E$4:$E$1203,$AF112)=0,"",INDEX(对接源_01水果!$E$4:$E$1203,$AF112)),IF(INDEX(对接源_02物料!$E$4:$E$1203,$AF112-1200)=0,"",INDEX(对接源_02物料!$E$4:$E$1203,$AF112-1200))))</f>
      </c>
      <c r="C112" s="131">
        <f>IF($AF112="","",IF($AF112&lt;=1200,IF(INDEX(对接源_01水果!$S$4:$S$1203,$AF112)=0,"",INDEX(对接源_01水果!$S$4:$S$1203,$AF112)),IF(INDEX(对接源_02物料!$S$4:$S$1203,$AF112-1200)=0,"",INDEX(对接源_02物料!$S$4:$S$1203,$AF112-1200))))</f>
      </c>
      <c r="D112" s="170">
        <f>IF($AF112="","",IF($AF112&lt;=1200,IF(INDEX(对接源_01水果!$U$4:$U$1203,$AF112)=0,"",INDEX(对接源_01水果!$U$4:$U$1203,$AF112)),IF(INDEX(对接源_02物料!$U$4:$U$1203,$AF112-1200)=0,"",INDEX(对接源_02物料!$U$4:$U$1203,$AF112-1200))))</f>
      </c>
      <c r="E112" s="104">
        <f>IF($AF112="","",IF($AF112&lt;=1200,IF(INDEX(对接源_01水果!$W$4:$W$1203,$AF112)=0,"",INDEX(对接源_01水果!$W$4:$W$1203,$AF112)),IF(INDEX(对接源_02物料!$W$4:$W$1203,$AF112-1200)=0,"",INDEX(对接源_02物料!$W$4:$W$1203,$AF112-1200))))</f>
      </c>
      <c r="F112" s="104">
        <f>IF($AF112="","",IF($AF112&lt;=1200,"01水果册","02物料册"))</f>
      </c>
      <c r="G112" s="131">
        <f>IF($AF112="","",IF($AF112&lt;=1200,IF(INDEX(对接源_01水果!$M$4:$M$1203,$AF112)=0,"",INDEX(对接源_01水果!$M$4:$M$1203,$AF112)),IF(INDEX(对接源_02物料!$M$4:$M$1203,$AF112-1200)=0,"",INDEX(对接源_02物料!$M$4:$M$1203,$AF112-1200))))</f>
      </c>
      <c r="AF112" s="128">
        <f>IFERROR(MATCH(4,_自动清单!$S$4:$S$2403,0),"")</f>
      </c>
    </row>
    <row r="113" ht="18" customHeight="1" s="127">
      <c r="A113" s="163">
        <f>IF($AF113="","",IF($AF113&lt;=1200,IF(INDEX(对接源_01水果!$B$4:$B$1203,$AF113)=0,"",INDEX(对接源_01水果!$B$4:$B$1203,$AF113)),IF(INDEX(对接源_02物料!$B$4:$B$1203,$AF113-1200)=0,"",INDEX(对接源_02物料!$B$4:$B$1203,$AF113-1200))))</f>
      </c>
      <c r="B113" s="61">
        <f>IF($AF113="","",IF($AF113&lt;=1200,IF(INDEX(对接源_01水果!$E$4:$E$1203,$AF113)=0,"",INDEX(对接源_01水果!$E$4:$E$1203,$AF113)),IF(INDEX(对接源_02物料!$E$4:$E$1203,$AF113-1200)=0,"",INDEX(对接源_02物料!$E$4:$E$1203,$AF113-1200))))</f>
      </c>
      <c r="C113" s="122">
        <f>IF($AF113="","",IF($AF113&lt;=1200,IF(INDEX(对接源_01水果!$S$4:$S$1203,$AF113)=0,"",INDEX(对接源_01水果!$S$4:$S$1203,$AF113)),IF(INDEX(对接源_02物料!$S$4:$S$1203,$AF113-1200)=0,"",INDEX(对接源_02物料!$S$4:$S$1203,$AF113-1200))))</f>
      </c>
      <c r="D113" s="169">
        <f>IF($AF113="","",IF($AF113&lt;=1200,IF(INDEX(对接源_01水果!$U$4:$U$1203,$AF113)=0,"",INDEX(对接源_01水果!$U$4:$U$1203,$AF113)),IF(INDEX(对接源_02物料!$U$4:$U$1203,$AF113-1200)=0,"",INDEX(对接源_02物料!$U$4:$U$1203,$AF113-1200))))</f>
      </c>
      <c r="E113" s="61">
        <f>IF($AF113="","",IF($AF113&lt;=1200,IF(INDEX(对接源_01水果!$W$4:$W$1203,$AF113)=0,"",INDEX(对接源_01水果!$W$4:$W$1203,$AF113)),IF(INDEX(对接源_02物料!$W$4:$W$1203,$AF113-1200)=0,"",INDEX(对接源_02物料!$W$4:$W$1203,$AF113-1200))))</f>
      </c>
      <c r="F113" s="61">
        <f>IF($AF113="","",IF($AF113&lt;=1200,"01水果册","02物料册"))</f>
      </c>
      <c r="G113" s="122">
        <f>IF($AF113="","",IF($AF113&lt;=1200,IF(INDEX(对接源_01水果!$M$4:$M$1203,$AF113)=0,"",INDEX(对接源_01水果!$M$4:$M$1203,$AF113)),IF(INDEX(对接源_02物料!$M$4:$M$1203,$AF113-1200)=0,"",INDEX(对接源_02物料!$M$4:$M$1203,$AF113-1200))))</f>
      </c>
      <c r="AF113" s="128">
        <f>IFERROR(MATCH(5,_自动清单!$S$4:$S$2403,0),"")</f>
      </c>
    </row>
    <row r="114" ht="18" customHeight="1" s="127">
      <c r="A114" s="165">
        <f>IF($AF114="","",IF($AF114&lt;=1200,IF(INDEX(对接源_01水果!$B$4:$B$1203,$AF114)=0,"",INDEX(对接源_01水果!$B$4:$B$1203,$AF114)),IF(INDEX(对接源_02物料!$B$4:$B$1203,$AF114-1200)=0,"",INDEX(对接源_02物料!$B$4:$B$1203,$AF114-1200))))</f>
      </c>
      <c r="B114" s="104">
        <f>IF($AF114="","",IF($AF114&lt;=1200,IF(INDEX(对接源_01水果!$E$4:$E$1203,$AF114)=0,"",INDEX(对接源_01水果!$E$4:$E$1203,$AF114)),IF(INDEX(对接源_02物料!$E$4:$E$1203,$AF114-1200)=0,"",INDEX(对接源_02物料!$E$4:$E$1203,$AF114-1200))))</f>
      </c>
      <c r="C114" s="131">
        <f>IF($AF114="","",IF($AF114&lt;=1200,IF(INDEX(对接源_01水果!$S$4:$S$1203,$AF114)=0,"",INDEX(对接源_01水果!$S$4:$S$1203,$AF114)),IF(INDEX(对接源_02物料!$S$4:$S$1203,$AF114-1200)=0,"",INDEX(对接源_02物料!$S$4:$S$1203,$AF114-1200))))</f>
      </c>
      <c r="D114" s="170">
        <f>IF($AF114="","",IF($AF114&lt;=1200,IF(INDEX(对接源_01水果!$U$4:$U$1203,$AF114)=0,"",INDEX(对接源_01水果!$U$4:$U$1203,$AF114)),IF(INDEX(对接源_02物料!$U$4:$U$1203,$AF114-1200)=0,"",INDEX(对接源_02物料!$U$4:$U$1203,$AF114-1200))))</f>
      </c>
      <c r="E114" s="104">
        <f>IF($AF114="","",IF($AF114&lt;=1200,IF(INDEX(对接源_01水果!$W$4:$W$1203,$AF114)=0,"",INDEX(对接源_01水果!$W$4:$W$1203,$AF114)),IF(INDEX(对接源_02物料!$W$4:$W$1203,$AF114-1200)=0,"",INDEX(对接源_02物料!$W$4:$W$1203,$AF114-1200))))</f>
      </c>
      <c r="F114" s="104">
        <f>IF($AF114="","",IF($AF114&lt;=1200,"01水果册","02物料册"))</f>
      </c>
      <c r="G114" s="131">
        <f>IF($AF114="","",IF($AF114&lt;=1200,IF(INDEX(对接源_01水果!$M$4:$M$1203,$AF114)=0,"",INDEX(对接源_01水果!$M$4:$M$1203,$AF114)),IF(INDEX(对接源_02物料!$M$4:$M$1203,$AF114-1200)=0,"",INDEX(对接源_02物料!$M$4:$M$1203,$AF114-1200))))</f>
      </c>
      <c r="AF114" s="128">
        <f>IFERROR(MATCH(6,_自动清单!$S$4:$S$2403,0),"")</f>
      </c>
    </row>
    <row r="115" ht="18" customHeight="1" s="127">
      <c r="A115" s="163">
        <f>IF($AF115="","",IF($AF115&lt;=1200,IF(INDEX(对接源_01水果!$B$4:$B$1203,$AF115)=0,"",INDEX(对接源_01水果!$B$4:$B$1203,$AF115)),IF(INDEX(对接源_02物料!$B$4:$B$1203,$AF115-1200)=0,"",INDEX(对接源_02物料!$B$4:$B$1203,$AF115-1200))))</f>
      </c>
      <c r="B115" s="61">
        <f>IF($AF115="","",IF($AF115&lt;=1200,IF(INDEX(对接源_01水果!$E$4:$E$1203,$AF115)=0,"",INDEX(对接源_01水果!$E$4:$E$1203,$AF115)),IF(INDEX(对接源_02物料!$E$4:$E$1203,$AF115-1200)=0,"",INDEX(对接源_02物料!$E$4:$E$1203,$AF115-1200))))</f>
      </c>
      <c r="C115" s="122">
        <f>IF($AF115="","",IF($AF115&lt;=1200,IF(INDEX(对接源_01水果!$S$4:$S$1203,$AF115)=0,"",INDEX(对接源_01水果!$S$4:$S$1203,$AF115)),IF(INDEX(对接源_02物料!$S$4:$S$1203,$AF115-1200)=0,"",INDEX(对接源_02物料!$S$4:$S$1203,$AF115-1200))))</f>
      </c>
      <c r="D115" s="169">
        <f>IF($AF115="","",IF($AF115&lt;=1200,IF(INDEX(对接源_01水果!$U$4:$U$1203,$AF115)=0,"",INDEX(对接源_01水果!$U$4:$U$1203,$AF115)),IF(INDEX(对接源_02物料!$U$4:$U$1203,$AF115-1200)=0,"",INDEX(对接源_02物料!$U$4:$U$1203,$AF115-1200))))</f>
      </c>
      <c r="E115" s="61">
        <f>IF($AF115="","",IF($AF115&lt;=1200,IF(INDEX(对接源_01水果!$W$4:$W$1203,$AF115)=0,"",INDEX(对接源_01水果!$W$4:$W$1203,$AF115)),IF(INDEX(对接源_02物料!$W$4:$W$1203,$AF115-1200)=0,"",INDEX(对接源_02物料!$W$4:$W$1203,$AF115-1200))))</f>
      </c>
      <c r="F115" s="61">
        <f>IF($AF115="","",IF($AF115&lt;=1200,"01水果册","02物料册"))</f>
      </c>
      <c r="G115" s="122">
        <f>IF($AF115="","",IF($AF115&lt;=1200,IF(INDEX(对接源_01水果!$M$4:$M$1203,$AF115)=0,"",INDEX(对接源_01水果!$M$4:$M$1203,$AF115)),IF(INDEX(对接源_02物料!$M$4:$M$1203,$AF115-1200)=0,"",INDEX(对接源_02物料!$M$4:$M$1203,$AF115-1200))))</f>
      </c>
      <c r="AF115" s="128">
        <f>IFERROR(MATCH(7,_自动清单!$S$4:$S$2403,0),"")</f>
      </c>
    </row>
    <row r="116" ht="18" customHeight="1" s="127">
      <c r="A116" s="165">
        <f>IF($AF116="","",IF($AF116&lt;=1200,IF(INDEX(对接源_01水果!$B$4:$B$1203,$AF116)=0,"",INDEX(对接源_01水果!$B$4:$B$1203,$AF116)),IF(INDEX(对接源_02物料!$B$4:$B$1203,$AF116-1200)=0,"",INDEX(对接源_02物料!$B$4:$B$1203,$AF116-1200))))</f>
      </c>
      <c r="B116" s="104">
        <f>IF($AF116="","",IF($AF116&lt;=1200,IF(INDEX(对接源_01水果!$E$4:$E$1203,$AF116)=0,"",INDEX(对接源_01水果!$E$4:$E$1203,$AF116)),IF(INDEX(对接源_02物料!$E$4:$E$1203,$AF116-1200)=0,"",INDEX(对接源_02物料!$E$4:$E$1203,$AF116-1200))))</f>
      </c>
      <c r="C116" s="131">
        <f>IF($AF116="","",IF($AF116&lt;=1200,IF(INDEX(对接源_01水果!$S$4:$S$1203,$AF116)=0,"",INDEX(对接源_01水果!$S$4:$S$1203,$AF116)),IF(INDEX(对接源_02物料!$S$4:$S$1203,$AF116-1200)=0,"",INDEX(对接源_02物料!$S$4:$S$1203,$AF116-1200))))</f>
      </c>
      <c r="D116" s="170">
        <f>IF($AF116="","",IF($AF116&lt;=1200,IF(INDEX(对接源_01水果!$U$4:$U$1203,$AF116)=0,"",INDEX(对接源_01水果!$U$4:$U$1203,$AF116)),IF(INDEX(对接源_02物料!$U$4:$U$1203,$AF116-1200)=0,"",INDEX(对接源_02物料!$U$4:$U$1203,$AF116-1200))))</f>
      </c>
      <c r="E116" s="104">
        <f>IF($AF116="","",IF($AF116&lt;=1200,IF(INDEX(对接源_01水果!$W$4:$W$1203,$AF116)=0,"",INDEX(对接源_01水果!$W$4:$W$1203,$AF116)),IF(INDEX(对接源_02物料!$W$4:$W$1203,$AF116-1200)=0,"",INDEX(对接源_02物料!$W$4:$W$1203,$AF116-1200))))</f>
      </c>
      <c r="F116" s="104">
        <f>IF($AF116="","",IF($AF116&lt;=1200,"01水果册","02物料册"))</f>
      </c>
      <c r="G116" s="131">
        <f>IF($AF116="","",IF($AF116&lt;=1200,IF(INDEX(对接源_01水果!$M$4:$M$1203,$AF116)=0,"",INDEX(对接源_01水果!$M$4:$M$1203,$AF116)),IF(INDEX(对接源_02物料!$M$4:$M$1203,$AF116-1200)=0,"",INDEX(对接源_02物料!$M$4:$M$1203,$AF116-1200))))</f>
      </c>
      <c r="AF116" s="128">
        <f>IFERROR(MATCH(8,_自动清单!$S$4:$S$2403,0),"")</f>
      </c>
    </row>
    <row r="117" ht="18" customHeight="1" s="127">
      <c r="A117" s="163">
        <f>IF($AF117="","",IF($AF117&lt;=1200,IF(INDEX(对接源_01水果!$B$4:$B$1203,$AF117)=0,"",INDEX(对接源_01水果!$B$4:$B$1203,$AF117)),IF(INDEX(对接源_02物料!$B$4:$B$1203,$AF117-1200)=0,"",INDEX(对接源_02物料!$B$4:$B$1203,$AF117-1200))))</f>
      </c>
      <c r="B117" s="61">
        <f>IF($AF117="","",IF($AF117&lt;=1200,IF(INDEX(对接源_01水果!$E$4:$E$1203,$AF117)=0,"",INDEX(对接源_01水果!$E$4:$E$1203,$AF117)),IF(INDEX(对接源_02物料!$E$4:$E$1203,$AF117-1200)=0,"",INDEX(对接源_02物料!$E$4:$E$1203,$AF117-1200))))</f>
      </c>
      <c r="C117" s="122">
        <f>IF($AF117="","",IF($AF117&lt;=1200,IF(INDEX(对接源_01水果!$S$4:$S$1203,$AF117)=0,"",INDEX(对接源_01水果!$S$4:$S$1203,$AF117)),IF(INDEX(对接源_02物料!$S$4:$S$1203,$AF117-1200)=0,"",INDEX(对接源_02物料!$S$4:$S$1203,$AF117-1200))))</f>
      </c>
      <c r="D117" s="169">
        <f>IF($AF117="","",IF($AF117&lt;=1200,IF(INDEX(对接源_01水果!$U$4:$U$1203,$AF117)=0,"",INDEX(对接源_01水果!$U$4:$U$1203,$AF117)),IF(INDEX(对接源_02物料!$U$4:$U$1203,$AF117-1200)=0,"",INDEX(对接源_02物料!$U$4:$U$1203,$AF117-1200))))</f>
      </c>
      <c r="E117" s="61">
        <f>IF($AF117="","",IF($AF117&lt;=1200,IF(INDEX(对接源_01水果!$W$4:$W$1203,$AF117)=0,"",INDEX(对接源_01水果!$W$4:$W$1203,$AF117)),IF(INDEX(对接源_02物料!$W$4:$W$1203,$AF117-1200)=0,"",INDEX(对接源_02物料!$W$4:$W$1203,$AF117-1200))))</f>
      </c>
      <c r="F117" s="61">
        <f>IF($AF117="","",IF($AF117&lt;=1200,"01水果册","02物料册"))</f>
      </c>
      <c r="G117" s="122">
        <f>IF($AF117="","",IF($AF117&lt;=1200,IF(INDEX(对接源_01水果!$M$4:$M$1203,$AF117)=0,"",INDEX(对接源_01水果!$M$4:$M$1203,$AF117)),IF(INDEX(对接源_02物料!$M$4:$M$1203,$AF117-1200)=0,"",INDEX(对接源_02物料!$M$4:$M$1203,$AF117-1200))))</f>
      </c>
      <c r="AF117" s="128">
        <f>IFERROR(MATCH(9,_自动清单!$S$4:$S$2403,0),"")</f>
      </c>
    </row>
    <row r="118" ht="18" customHeight="1" s="127">
      <c r="A118" s="165">
        <f>IF($AF118="","",IF($AF118&lt;=1200,IF(INDEX(对接源_01水果!$B$4:$B$1203,$AF118)=0,"",INDEX(对接源_01水果!$B$4:$B$1203,$AF118)),IF(INDEX(对接源_02物料!$B$4:$B$1203,$AF118-1200)=0,"",INDEX(对接源_02物料!$B$4:$B$1203,$AF118-1200))))</f>
      </c>
      <c r="B118" s="104">
        <f>IF($AF118="","",IF($AF118&lt;=1200,IF(INDEX(对接源_01水果!$E$4:$E$1203,$AF118)=0,"",INDEX(对接源_01水果!$E$4:$E$1203,$AF118)),IF(INDEX(对接源_02物料!$E$4:$E$1203,$AF118-1200)=0,"",INDEX(对接源_02物料!$E$4:$E$1203,$AF118-1200))))</f>
      </c>
      <c r="C118" s="131">
        <f>IF($AF118="","",IF($AF118&lt;=1200,IF(INDEX(对接源_01水果!$S$4:$S$1203,$AF118)=0,"",INDEX(对接源_01水果!$S$4:$S$1203,$AF118)),IF(INDEX(对接源_02物料!$S$4:$S$1203,$AF118-1200)=0,"",INDEX(对接源_02物料!$S$4:$S$1203,$AF118-1200))))</f>
      </c>
      <c r="D118" s="170">
        <f>IF($AF118="","",IF($AF118&lt;=1200,IF(INDEX(对接源_01水果!$U$4:$U$1203,$AF118)=0,"",INDEX(对接源_01水果!$U$4:$U$1203,$AF118)),IF(INDEX(对接源_02物料!$U$4:$U$1203,$AF118-1200)=0,"",INDEX(对接源_02物料!$U$4:$U$1203,$AF118-1200))))</f>
      </c>
      <c r="E118" s="104">
        <f>IF($AF118="","",IF($AF118&lt;=1200,IF(INDEX(对接源_01水果!$W$4:$W$1203,$AF118)=0,"",INDEX(对接源_01水果!$W$4:$W$1203,$AF118)),IF(INDEX(对接源_02物料!$W$4:$W$1203,$AF118-1200)=0,"",INDEX(对接源_02物料!$W$4:$W$1203,$AF118-1200))))</f>
      </c>
      <c r="F118" s="104">
        <f>IF($AF118="","",IF($AF118&lt;=1200,"01水果册","02物料册"))</f>
      </c>
      <c r="G118" s="131">
        <f>IF($AF118="","",IF($AF118&lt;=1200,IF(INDEX(对接源_01水果!$M$4:$M$1203,$AF118)=0,"",INDEX(对接源_01水果!$M$4:$M$1203,$AF118)),IF(INDEX(对接源_02物料!$M$4:$M$1203,$AF118-1200)=0,"",INDEX(对接源_02物料!$M$4:$M$1203,$AF118-1200))))</f>
      </c>
      <c r="AF118" s="128">
        <f>IFERROR(MATCH(10,_自动清单!$S$4:$S$2403,0),"")</f>
      </c>
    </row>
    <row r="119" ht="18" customHeight="1" s="127">
      <c r="A119" s="163">
        <f>IF($AF119="","",IF($AF119&lt;=1200,IF(INDEX(对接源_01水果!$B$4:$B$1203,$AF119)=0,"",INDEX(对接源_01水果!$B$4:$B$1203,$AF119)),IF(INDEX(对接源_02物料!$B$4:$B$1203,$AF119-1200)=0,"",INDEX(对接源_02物料!$B$4:$B$1203,$AF119-1200))))</f>
      </c>
      <c r="B119" s="61">
        <f>IF($AF119="","",IF($AF119&lt;=1200,IF(INDEX(对接源_01水果!$E$4:$E$1203,$AF119)=0,"",INDEX(对接源_01水果!$E$4:$E$1203,$AF119)),IF(INDEX(对接源_02物料!$E$4:$E$1203,$AF119-1200)=0,"",INDEX(对接源_02物料!$E$4:$E$1203,$AF119-1200))))</f>
      </c>
      <c r="C119" s="122">
        <f>IF($AF119="","",IF($AF119&lt;=1200,IF(INDEX(对接源_01水果!$S$4:$S$1203,$AF119)=0,"",INDEX(对接源_01水果!$S$4:$S$1203,$AF119)),IF(INDEX(对接源_02物料!$S$4:$S$1203,$AF119-1200)=0,"",INDEX(对接源_02物料!$S$4:$S$1203,$AF119-1200))))</f>
      </c>
      <c r="D119" s="169">
        <f>IF($AF119="","",IF($AF119&lt;=1200,IF(INDEX(对接源_01水果!$U$4:$U$1203,$AF119)=0,"",INDEX(对接源_01水果!$U$4:$U$1203,$AF119)),IF(INDEX(对接源_02物料!$U$4:$U$1203,$AF119-1200)=0,"",INDEX(对接源_02物料!$U$4:$U$1203,$AF119-1200))))</f>
      </c>
      <c r="E119" s="61">
        <f>IF($AF119="","",IF($AF119&lt;=1200,IF(INDEX(对接源_01水果!$W$4:$W$1203,$AF119)=0,"",INDEX(对接源_01水果!$W$4:$W$1203,$AF119)),IF(INDEX(对接源_02物料!$W$4:$W$1203,$AF119-1200)=0,"",INDEX(对接源_02物料!$W$4:$W$1203,$AF119-1200))))</f>
      </c>
      <c r="F119" s="61">
        <f>IF($AF119="","",IF($AF119&lt;=1200,"01水果册","02物料册"))</f>
      </c>
      <c r="G119" s="122">
        <f>IF($AF119="","",IF($AF119&lt;=1200,IF(INDEX(对接源_01水果!$M$4:$M$1203,$AF119)=0,"",INDEX(对接源_01水果!$M$4:$M$1203,$AF119)),IF(INDEX(对接源_02物料!$M$4:$M$1203,$AF119-1200)=0,"",INDEX(对接源_02物料!$M$4:$M$1203,$AF119-1200))))</f>
      </c>
      <c r="AF119" s="128">
        <f>IFERROR(MATCH(11,_自动清单!$S$4:$S$2403,0),"")</f>
      </c>
    </row>
    <row r="120" ht="18" customHeight="1" s="127">
      <c r="A120" s="165">
        <f>IF($AF120="","",IF($AF120&lt;=1200,IF(INDEX(对接源_01水果!$B$4:$B$1203,$AF120)=0,"",INDEX(对接源_01水果!$B$4:$B$1203,$AF120)),IF(INDEX(对接源_02物料!$B$4:$B$1203,$AF120-1200)=0,"",INDEX(对接源_02物料!$B$4:$B$1203,$AF120-1200))))</f>
      </c>
      <c r="B120" s="104">
        <f>IF($AF120="","",IF($AF120&lt;=1200,IF(INDEX(对接源_01水果!$E$4:$E$1203,$AF120)=0,"",INDEX(对接源_01水果!$E$4:$E$1203,$AF120)),IF(INDEX(对接源_02物料!$E$4:$E$1203,$AF120-1200)=0,"",INDEX(对接源_02物料!$E$4:$E$1203,$AF120-1200))))</f>
      </c>
      <c r="C120" s="131">
        <f>IF($AF120="","",IF($AF120&lt;=1200,IF(INDEX(对接源_01水果!$S$4:$S$1203,$AF120)=0,"",INDEX(对接源_01水果!$S$4:$S$1203,$AF120)),IF(INDEX(对接源_02物料!$S$4:$S$1203,$AF120-1200)=0,"",INDEX(对接源_02物料!$S$4:$S$1203,$AF120-1200))))</f>
      </c>
      <c r="D120" s="170">
        <f>IF($AF120="","",IF($AF120&lt;=1200,IF(INDEX(对接源_01水果!$U$4:$U$1203,$AF120)=0,"",INDEX(对接源_01水果!$U$4:$U$1203,$AF120)),IF(INDEX(对接源_02物料!$U$4:$U$1203,$AF120-1200)=0,"",INDEX(对接源_02物料!$U$4:$U$1203,$AF120-1200))))</f>
      </c>
      <c r="E120" s="104">
        <f>IF($AF120="","",IF($AF120&lt;=1200,IF(INDEX(对接源_01水果!$W$4:$W$1203,$AF120)=0,"",INDEX(对接源_01水果!$W$4:$W$1203,$AF120)),IF(INDEX(对接源_02物料!$W$4:$W$1203,$AF120-1200)=0,"",INDEX(对接源_02物料!$W$4:$W$1203,$AF120-1200))))</f>
      </c>
      <c r="F120" s="104">
        <f>IF($AF120="","",IF($AF120&lt;=1200,"01水果册","02物料册"))</f>
      </c>
      <c r="G120" s="131">
        <f>IF($AF120="","",IF($AF120&lt;=1200,IF(INDEX(对接源_01水果!$M$4:$M$1203,$AF120)=0,"",INDEX(对接源_01水果!$M$4:$M$1203,$AF120)),IF(INDEX(对接源_02物料!$M$4:$M$1203,$AF120-1200)=0,"",INDEX(对接源_02物料!$M$4:$M$1203,$AF120-1200))))</f>
      </c>
      <c r="AF120" s="128">
        <f>IFERROR(MATCH(12,_自动清单!$S$4:$S$2403,0),"")</f>
      </c>
    </row>
    <row r="121" ht="18" customHeight="1" s="127">
      <c r="A121" s="163">
        <f>IF($AF121="","",IF($AF121&lt;=1200,IF(INDEX(对接源_01水果!$B$4:$B$1203,$AF121)=0,"",INDEX(对接源_01水果!$B$4:$B$1203,$AF121)),IF(INDEX(对接源_02物料!$B$4:$B$1203,$AF121-1200)=0,"",INDEX(对接源_02物料!$B$4:$B$1203,$AF121-1200))))</f>
      </c>
      <c r="B121" s="61">
        <f>IF($AF121="","",IF($AF121&lt;=1200,IF(INDEX(对接源_01水果!$E$4:$E$1203,$AF121)=0,"",INDEX(对接源_01水果!$E$4:$E$1203,$AF121)),IF(INDEX(对接源_02物料!$E$4:$E$1203,$AF121-1200)=0,"",INDEX(对接源_02物料!$E$4:$E$1203,$AF121-1200))))</f>
      </c>
      <c r="C121" s="122">
        <f>IF($AF121="","",IF($AF121&lt;=1200,IF(INDEX(对接源_01水果!$S$4:$S$1203,$AF121)=0,"",INDEX(对接源_01水果!$S$4:$S$1203,$AF121)),IF(INDEX(对接源_02物料!$S$4:$S$1203,$AF121-1200)=0,"",INDEX(对接源_02物料!$S$4:$S$1203,$AF121-1200))))</f>
      </c>
      <c r="D121" s="169">
        <f>IF($AF121="","",IF($AF121&lt;=1200,IF(INDEX(对接源_01水果!$U$4:$U$1203,$AF121)=0,"",INDEX(对接源_01水果!$U$4:$U$1203,$AF121)),IF(INDEX(对接源_02物料!$U$4:$U$1203,$AF121-1200)=0,"",INDEX(对接源_02物料!$U$4:$U$1203,$AF121-1200))))</f>
      </c>
      <c r="E121" s="61">
        <f>IF($AF121="","",IF($AF121&lt;=1200,IF(INDEX(对接源_01水果!$W$4:$W$1203,$AF121)=0,"",INDEX(对接源_01水果!$W$4:$W$1203,$AF121)),IF(INDEX(对接源_02物料!$W$4:$W$1203,$AF121-1200)=0,"",INDEX(对接源_02物料!$W$4:$W$1203,$AF121-1200))))</f>
      </c>
      <c r="F121" s="61">
        <f>IF($AF121="","",IF($AF121&lt;=1200,"01水果册","02物料册"))</f>
      </c>
      <c r="G121" s="122">
        <f>IF($AF121="","",IF($AF121&lt;=1200,IF(INDEX(对接源_01水果!$M$4:$M$1203,$AF121)=0,"",INDEX(对接源_01水果!$M$4:$M$1203,$AF121)),IF(INDEX(对接源_02物料!$M$4:$M$1203,$AF121-1200)=0,"",INDEX(对接源_02物料!$M$4:$M$1203,$AF121-1200))))</f>
      </c>
      <c r="AF121" s="128">
        <f>IFERROR(MATCH(13,_自动清单!$S$4:$S$2403,0),"")</f>
      </c>
    </row>
    <row r="122" ht="18" customHeight="1" s="127">
      <c r="A122" s="165">
        <f>IF($AF122="","",IF($AF122&lt;=1200,IF(INDEX(对接源_01水果!$B$4:$B$1203,$AF122)=0,"",INDEX(对接源_01水果!$B$4:$B$1203,$AF122)),IF(INDEX(对接源_02物料!$B$4:$B$1203,$AF122-1200)=0,"",INDEX(对接源_02物料!$B$4:$B$1203,$AF122-1200))))</f>
      </c>
      <c r="B122" s="104">
        <f>IF($AF122="","",IF($AF122&lt;=1200,IF(INDEX(对接源_01水果!$E$4:$E$1203,$AF122)=0,"",INDEX(对接源_01水果!$E$4:$E$1203,$AF122)),IF(INDEX(对接源_02物料!$E$4:$E$1203,$AF122-1200)=0,"",INDEX(对接源_02物料!$E$4:$E$1203,$AF122-1200))))</f>
      </c>
      <c r="C122" s="131">
        <f>IF($AF122="","",IF($AF122&lt;=1200,IF(INDEX(对接源_01水果!$S$4:$S$1203,$AF122)=0,"",INDEX(对接源_01水果!$S$4:$S$1203,$AF122)),IF(INDEX(对接源_02物料!$S$4:$S$1203,$AF122-1200)=0,"",INDEX(对接源_02物料!$S$4:$S$1203,$AF122-1200))))</f>
      </c>
      <c r="D122" s="170">
        <f>IF($AF122="","",IF($AF122&lt;=1200,IF(INDEX(对接源_01水果!$U$4:$U$1203,$AF122)=0,"",INDEX(对接源_01水果!$U$4:$U$1203,$AF122)),IF(INDEX(对接源_02物料!$U$4:$U$1203,$AF122-1200)=0,"",INDEX(对接源_02物料!$U$4:$U$1203,$AF122-1200))))</f>
      </c>
      <c r="E122" s="104">
        <f>IF($AF122="","",IF($AF122&lt;=1200,IF(INDEX(对接源_01水果!$W$4:$W$1203,$AF122)=0,"",INDEX(对接源_01水果!$W$4:$W$1203,$AF122)),IF(INDEX(对接源_02物料!$W$4:$W$1203,$AF122-1200)=0,"",INDEX(对接源_02物料!$W$4:$W$1203,$AF122-1200))))</f>
      </c>
      <c r="F122" s="104">
        <f>IF($AF122="","",IF($AF122&lt;=1200,"01水果册","02物料册"))</f>
      </c>
      <c r="G122" s="131">
        <f>IF($AF122="","",IF($AF122&lt;=1200,IF(INDEX(对接源_01水果!$M$4:$M$1203,$AF122)=0,"",INDEX(对接源_01水果!$M$4:$M$1203,$AF122)),IF(INDEX(对接源_02物料!$M$4:$M$1203,$AF122-1200)=0,"",INDEX(对接源_02物料!$M$4:$M$1203,$AF122-1200))))</f>
      </c>
      <c r="AF122" s="128">
        <f>IFERROR(MATCH(14,_自动清单!$S$4:$S$2403,0),"")</f>
      </c>
    </row>
    <row r="123" ht="18" customHeight="1" s="127">
      <c r="A123" s="163">
        <f>IF($AF123="","",IF($AF123&lt;=1200,IF(INDEX(对接源_01水果!$B$4:$B$1203,$AF123)=0,"",INDEX(对接源_01水果!$B$4:$B$1203,$AF123)),IF(INDEX(对接源_02物料!$B$4:$B$1203,$AF123-1200)=0,"",INDEX(对接源_02物料!$B$4:$B$1203,$AF123-1200))))</f>
      </c>
      <c r="B123" s="61">
        <f>IF($AF123="","",IF($AF123&lt;=1200,IF(INDEX(对接源_01水果!$E$4:$E$1203,$AF123)=0,"",INDEX(对接源_01水果!$E$4:$E$1203,$AF123)),IF(INDEX(对接源_02物料!$E$4:$E$1203,$AF123-1200)=0,"",INDEX(对接源_02物料!$E$4:$E$1203,$AF123-1200))))</f>
      </c>
      <c r="C123" s="122">
        <f>IF($AF123="","",IF($AF123&lt;=1200,IF(INDEX(对接源_01水果!$S$4:$S$1203,$AF123)=0,"",INDEX(对接源_01水果!$S$4:$S$1203,$AF123)),IF(INDEX(对接源_02物料!$S$4:$S$1203,$AF123-1200)=0,"",INDEX(对接源_02物料!$S$4:$S$1203,$AF123-1200))))</f>
      </c>
      <c r="D123" s="169">
        <f>IF($AF123="","",IF($AF123&lt;=1200,IF(INDEX(对接源_01水果!$U$4:$U$1203,$AF123)=0,"",INDEX(对接源_01水果!$U$4:$U$1203,$AF123)),IF(INDEX(对接源_02物料!$U$4:$U$1203,$AF123-1200)=0,"",INDEX(对接源_02物料!$U$4:$U$1203,$AF123-1200))))</f>
      </c>
      <c r="E123" s="61">
        <f>IF($AF123="","",IF($AF123&lt;=1200,IF(INDEX(对接源_01水果!$W$4:$W$1203,$AF123)=0,"",INDEX(对接源_01水果!$W$4:$W$1203,$AF123)),IF(INDEX(对接源_02物料!$W$4:$W$1203,$AF123-1200)=0,"",INDEX(对接源_02物料!$W$4:$W$1203,$AF123-1200))))</f>
      </c>
      <c r="F123" s="61">
        <f>IF($AF123="","",IF($AF123&lt;=1200,"01水果册","02物料册"))</f>
      </c>
      <c r="G123" s="122">
        <f>IF($AF123="","",IF($AF123&lt;=1200,IF(INDEX(对接源_01水果!$M$4:$M$1203,$AF123)=0,"",INDEX(对接源_01水果!$M$4:$M$1203,$AF123)),IF(INDEX(对接源_02物料!$M$4:$M$1203,$AF123-1200)=0,"",INDEX(对接源_02物料!$M$4:$M$1203,$AF123-1200))))</f>
      </c>
      <c r="AF123" s="128">
        <f>IFERROR(MATCH(15,_自动清单!$S$4:$S$2403,0),"")</f>
      </c>
    </row>
    <row r="124" ht="18" customHeight="1" s="127">
      <c r="A124" s="165">
        <f>IF($AF124="","",IF($AF124&lt;=1200,IF(INDEX(对接源_01水果!$B$4:$B$1203,$AF124)=0,"",INDEX(对接源_01水果!$B$4:$B$1203,$AF124)),IF(INDEX(对接源_02物料!$B$4:$B$1203,$AF124-1200)=0,"",INDEX(对接源_02物料!$B$4:$B$1203,$AF124-1200))))</f>
      </c>
      <c r="B124" s="104">
        <f>IF($AF124="","",IF($AF124&lt;=1200,IF(INDEX(对接源_01水果!$E$4:$E$1203,$AF124)=0,"",INDEX(对接源_01水果!$E$4:$E$1203,$AF124)),IF(INDEX(对接源_02物料!$E$4:$E$1203,$AF124-1200)=0,"",INDEX(对接源_02物料!$E$4:$E$1203,$AF124-1200))))</f>
      </c>
      <c r="C124" s="131">
        <f>IF($AF124="","",IF($AF124&lt;=1200,IF(INDEX(对接源_01水果!$S$4:$S$1203,$AF124)=0,"",INDEX(对接源_01水果!$S$4:$S$1203,$AF124)),IF(INDEX(对接源_02物料!$S$4:$S$1203,$AF124-1200)=0,"",INDEX(对接源_02物料!$S$4:$S$1203,$AF124-1200))))</f>
      </c>
      <c r="D124" s="170">
        <f>IF($AF124="","",IF($AF124&lt;=1200,IF(INDEX(对接源_01水果!$U$4:$U$1203,$AF124)=0,"",INDEX(对接源_01水果!$U$4:$U$1203,$AF124)),IF(INDEX(对接源_02物料!$U$4:$U$1203,$AF124-1200)=0,"",INDEX(对接源_02物料!$U$4:$U$1203,$AF124-1200))))</f>
      </c>
      <c r="E124" s="104">
        <f>IF($AF124="","",IF($AF124&lt;=1200,IF(INDEX(对接源_01水果!$W$4:$W$1203,$AF124)=0,"",INDEX(对接源_01水果!$W$4:$W$1203,$AF124)),IF(INDEX(对接源_02物料!$W$4:$W$1203,$AF124-1200)=0,"",INDEX(对接源_02物料!$W$4:$W$1203,$AF124-1200))))</f>
      </c>
      <c r="F124" s="104">
        <f>IF($AF124="","",IF($AF124&lt;=1200,"01水果册","02物料册"))</f>
      </c>
      <c r="G124" s="131">
        <f>IF($AF124="","",IF($AF124&lt;=1200,IF(INDEX(对接源_01水果!$M$4:$M$1203,$AF124)=0,"",INDEX(对接源_01水果!$M$4:$M$1203,$AF124)),IF(INDEX(对接源_02物料!$M$4:$M$1203,$AF124-1200)=0,"",INDEX(对接源_02物料!$M$4:$M$1203,$AF124-1200))))</f>
      </c>
      <c r="AF124" s="128">
        <f>IFERROR(MATCH(16,_自动清单!$S$4:$S$2403,0),"")</f>
      </c>
    </row>
    <row r="125" ht="18" customHeight="1" s="127">
      <c r="A125" s="163">
        <f>IF($AF125="","",IF($AF125&lt;=1200,IF(INDEX(对接源_01水果!$B$4:$B$1203,$AF125)=0,"",INDEX(对接源_01水果!$B$4:$B$1203,$AF125)),IF(INDEX(对接源_02物料!$B$4:$B$1203,$AF125-1200)=0,"",INDEX(对接源_02物料!$B$4:$B$1203,$AF125-1200))))</f>
      </c>
      <c r="B125" s="61">
        <f>IF($AF125="","",IF($AF125&lt;=1200,IF(INDEX(对接源_01水果!$E$4:$E$1203,$AF125)=0,"",INDEX(对接源_01水果!$E$4:$E$1203,$AF125)),IF(INDEX(对接源_02物料!$E$4:$E$1203,$AF125-1200)=0,"",INDEX(对接源_02物料!$E$4:$E$1203,$AF125-1200))))</f>
      </c>
      <c r="C125" s="122">
        <f>IF($AF125="","",IF($AF125&lt;=1200,IF(INDEX(对接源_01水果!$S$4:$S$1203,$AF125)=0,"",INDEX(对接源_01水果!$S$4:$S$1203,$AF125)),IF(INDEX(对接源_02物料!$S$4:$S$1203,$AF125-1200)=0,"",INDEX(对接源_02物料!$S$4:$S$1203,$AF125-1200))))</f>
      </c>
      <c r="D125" s="169">
        <f>IF($AF125="","",IF($AF125&lt;=1200,IF(INDEX(对接源_01水果!$U$4:$U$1203,$AF125)=0,"",INDEX(对接源_01水果!$U$4:$U$1203,$AF125)),IF(INDEX(对接源_02物料!$U$4:$U$1203,$AF125-1200)=0,"",INDEX(对接源_02物料!$U$4:$U$1203,$AF125-1200))))</f>
      </c>
      <c r="E125" s="61">
        <f>IF($AF125="","",IF($AF125&lt;=1200,IF(INDEX(对接源_01水果!$W$4:$W$1203,$AF125)=0,"",INDEX(对接源_01水果!$W$4:$W$1203,$AF125)),IF(INDEX(对接源_02物料!$W$4:$W$1203,$AF125-1200)=0,"",INDEX(对接源_02物料!$W$4:$W$1203,$AF125-1200))))</f>
      </c>
      <c r="F125" s="61">
        <f>IF($AF125="","",IF($AF125&lt;=1200,"01水果册","02物料册"))</f>
      </c>
      <c r="G125" s="122">
        <f>IF($AF125="","",IF($AF125&lt;=1200,IF(INDEX(对接源_01水果!$M$4:$M$1203,$AF125)=0,"",INDEX(对接源_01水果!$M$4:$M$1203,$AF125)),IF(INDEX(对接源_02物料!$M$4:$M$1203,$AF125-1200)=0,"",INDEX(对接源_02物料!$M$4:$M$1203,$AF125-1200))))</f>
      </c>
      <c r="AF125" s="128">
        <f>IFERROR(MATCH(17,_自动清单!$S$4:$S$2403,0),"")</f>
      </c>
    </row>
    <row r="126" ht="18" customHeight="1" s="127">
      <c r="A126" s="165">
        <f>IF($AF126="","",IF($AF126&lt;=1200,IF(INDEX(对接源_01水果!$B$4:$B$1203,$AF126)=0,"",INDEX(对接源_01水果!$B$4:$B$1203,$AF126)),IF(INDEX(对接源_02物料!$B$4:$B$1203,$AF126-1200)=0,"",INDEX(对接源_02物料!$B$4:$B$1203,$AF126-1200))))</f>
      </c>
      <c r="B126" s="104">
        <f>IF($AF126="","",IF($AF126&lt;=1200,IF(INDEX(对接源_01水果!$E$4:$E$1203,$AF126)=0,"",INDEX(对接源_01水果!$E$4:$E$1203,$AF126)),IF(INDEX(对接源_02物料!$E$4:$E$1203,$AF126-1200)=0,"",INDEX(对接源_02物料!$E$4:$E$1203,$AF126-1200))))</f>
      </c>
      <c r="C126" s="131">
        <f>IF($AF126="","",IF($AF126&lt;=1200,IF(INDEX(对接源_01水果!$S$4:$S$1203,$AF126)=0,"",INDEX(对接源_01水果!$S$4:$S$1203,$AF126)),IF(INDEX(对接源_02物料!$S$4:$S$1203,$AF126-1200)=0,"",INDEX(对接源_02物料!$S$4:$S$1203,$AF126-1200))))</f>
      </c>
      <c r="D126" s="170">
        <f>IF($AF126="","",IF($AF126&lt;=1200,IF(INDEX(对接源_01水果!$U$4:$U$1203,$AF126)=0,"",INDEX(对接源_01水果!$U$4:$U$1203,$AF126)),IF(INDEX(对接源_02物料!$U$4:$U$1203,$AF126-1200)=0,"",INDEX(对接源_02物料!$U$4:$U$1203,$AF126-1200))))</f>
      </c>
      <c r="E126" s="104">
        <f>IF($AF126="","",IF($AF126&lt;=1200,IF(INDEX(对接源_01水果!$W$4:$W$1203,$AF126)=0,"",INDEX(对接源_01水果!$W$4:$W$1203,$AF126)),IF(INDEX(对接源_02物料!$W$4:$W$1203,$AF126-1200)=0,"",INDEX(对接源_02物料!$W$4:$W$1203,$AF126-1200))))</f>
      </c>
      <c r="F126" s="104">
        <f>IF($AF126="","",IF($AF126&lt;=1200,"01水果册","02物料册"))</f>
      </c>
      <c r="G126" s="131">
        <f>IF($AF126="","",IF($AF126&lt;=1200,IF(INDEX(对接源_01水果!$M$4:$M$1203,$AF126)=0,"",INDEX(对接源_01水果!$M$4:$M$1203,$AF126)),IF(INDEX(对接源_02物料!$M$4:$M$1203,$AF126-1200)=0,"",INDEX(对接源_02物料!$M$4:$M$1203,$AF126-1200))))</f>
      </c>
      <c r="AF126" s="128">
        <f>IFERROR(MATCH(18,_自动清单!$S$4:$S$2403,0),"")</f>
      </c>
    </row>
    <row r="127" ht="18" customHeight="1" s="127">
      <c r="A127" s="163">
        <f>IF($AF127="","",IF($AF127&lt;=1200,IF(INDEX(对接源_01水果!$B$4:$B$1203,$AF127)=0,"",INDEX(对接源_01水果!$B$4:$B$1203,$AF127)),IF(INDEX(对接源_02物料!$B$4:$B$1203,$AF127-1200)=0,"",INDEX(对接源_02物料!$B$4:$B$1203,$AF127-1200))))</f>
      </c>
      <c r="B127" s="61">
        <f>IF($AF127="","",IF($AF127&lt;=1200,IF(INDEX(对接源_01水果!$E$4:$E$1203,$AF127)=0,"",INDEX(对接源_01水果!$E$4:$E$1203,$AF127)),IF(INDEX(对接源_02物料!$E$4:$E$1203,$AF127-1200)=0,"",INDEX(对接源_02物料!$E$4:$E$1203,$AF127-1200))))</f>
      </c>
      <c r="C127" s="122">
        <f>IF($AF127="","",IF($AF127&lt;=1200,IF(INDEX(对接源_01水果!$S$4:$S$1203,$AF127)=0,"",INDEX(对接源_01水果!$S$4:$S$1203,$AF127)),IF(INDEX(对接源_02物料!$S$4:$S$1203,$AF127-1200)=0,"",INDEX(对接源_02物料!$S$4:$S$1203,$AF127-1200))))</f>
      </c>
      <c r="D127" s="169">
        <f>IF($AF127="","",IF($AF127&lt;=1200,IF(INDEX(对接源_01水果!$U$4:$U$1203,$AF127)=0,"",INDEX(对接源_01水果!$U$4:$U$1203,$AF127)),IF(INDEX(对接源_02物料!$U$4:$U$1203,$AF127-1200)=0,"",INDEX(对接源_02物料!$U$4:$U$1203,$AF127-1200))))</f>
      </c>
      <c r="E127" s="61">
        <f>IF($AF127="","",IF($AF127&lt;=1200,IF(INDEX(对接源_01水果!$W$4:$W$1203,$AF127)=0,"",INDEX(对接源_01水果!$W$4:$W$1203,$AF127)),IF(INDEX(对接源_02物料!$W$4:$W$1203,$AF127-1200)=0,"",INDEX(对接源_02物料!$W$4:$W$1203,$AF127-1200))))</f>
      </c>
      <c r="F127" s="61">
        <f>IF($AF127="","",IF($AF127&lt;=1200,"01水果册","02物料册"))</f>
      </c>
      <c r="G127" s="122">
        <f>IF($AF127="","",IF($AF127&lt;=1200,IF(INDEX(对接源_01水果!$M$4:$M$1203,$AF127)=0,"",INDEX(对接源_01水果!$M$4:$M$1203,$AF127)),IF(INDEX(对接源_02物料!$M$4:$M$1203,$AF127-1200)=0,"",INDEX(对接源_02物料!$M$4:$M$1203,$AF127-1200))))</f>
      </c>
      <c r="AF127" s="128">
        <f>IFERROR(MATCH(19,_自动清单!$S$4:$S$2403,0),"")</f>
      </c>
    </row>
    <row r="128" ht="18" customHeight="1" s="127">
      <c r="A128" s="165">
        <f>IF($AF128="","",IF($AF128&lt;=1200,IF(INDEX(对接源_01水果!$B$4:$B$1203,$AF128)=0,"",INDEX(对接源_01水果!$B$4:$B$1203,$AF128)),IF(INDEX(对接源_02物料!$B$4:$B$1203,$AF128-1200)=0,"",INDEX(对接源_02物料!$B$4:$B$1203,$AF128-1200))))</f>
      </c>
      <c r="B128" s="104">
        <f>IF($AF128="","",IF($AF128&lt;=1200,IF(INDEX(对接源_01水果!$E$4:$E$1203,$AF128)=0,"",INDEX(对接源_01水果!$E$4:$E$1203,$AF128)),IF(INDEX(对接源_02物料!$E$4:$E$1203,$AF128-1200)=0,"",INDEX(对接源_02物料!$E$4:$E$1203,$AF128-1200))))</f>
      </c>
      <c r="C128" s="131">
        <f>IF($AF128="","",IF($AF128&lt;=1200,IF(INDEX(对接源_01水果!$S$4:$S$1203,$AF128)=0,"",INDEX(对接源_01水果!$S$4:$S$1203,$AF128)),IF(INDEX(对接源_02物料!$S$4:$S$1203,$AF128-1200)=0,"",INDEX(对接源_02物料!$S$4:$S$1203,$AF128-1200))))</f>
      </c>
      <c r="D128" s="170">
        <f>IF($AF128="","",IF($AF128&lt;=1200,IF(INDEX(对接源_01水果!$U$4:$U$1203,$AF128)=0,"",INDEX(对接源_01水果!$U$4:$U$1203,$AF128)),IF(INDEX(对接源_02物料!$U$4:$U$1203,$AF128-1200)=0,"",INDEX(对接源_02物料!$U$4:$U$1203,$AF128-1200))))</f>
      </c>
      <c r="E128" s="104">
        <f>IF($AF128="","",IF($AF128&lt;=1200,IF(INDEX(对接源_01水果!$W$4:$W$1203,$AF128)=0,"",INDEX(对接源_01水果!$W$4:$W$1203,$AF128)),IF(INDEX(对接源_02物料!$W$4:$W$1203,$AF128-1200)=0,"",INDEX(对接源_02物料!$W$4:$W$1203,$AF128-1200))))</f>
      </c>
      <c r="F128" s="104">
        <f>IF($AF128="","",IF($AF128&lt;=1200,"01水果册","02物料册"))</f>
      </c>
      <c r="G128" s="131">
        <f>IF($AF128="","",IF($AF128&lt;=1200,IF(INDEX(对接源_01水果!$M$4:$M$1203,$AF128)=0,"",INDEX(对接源_01水果!$M$4:$M$1203,$AF128)),IF(INDEX(对接源_02物料!$M$4:$M$1203,$AF128-1200)=0,"",INDEX(对接源_02物料!$M$4:$M$1203,$AF128-1200))))</f>
      </c>
      <c r="AF128" s="128">
        <f>IFERROR(MATCH(20,_自动清单!$S$4:$S$2403,0),"")</f>
      </c>
    </row>
    <row r="129" ht="18" customHeight="1" s="127">
      <c r="A129" s="163">
        <f>IF($AF129="","",IF($AF129&lt;=1200,IF(INDEX(对接源_01水果!$B$4:$B$1203,$AF129)=0,"",INDEX(对接源_01水果!$B$4:$B$1203,$AF129)),IF(INDEX(对接源_02物料!$B$4:$B$1203,$AF129-1200)=0,"",INDEX(对接源_02物料!$B$4:$B$1203,$AF129-1200))))</f>
      </c>
      <c r="B129" s="61">
        <f>IF($AF129="","",IF($AF129&lt;=1200,IF(INDEX(对接源_01水果!$E$4:$E$1203,$AF129)=0,"",INDEX(对接源_01水果!$E$4:$E$1203,$AF129)),IF(INDEX(对接源_02物料!$E$4:$E$1203,$AF129-1200)=0,"",INDEX(对接源_02物料!$E$4:$E$1203,$AF129-1200))))</f>
      </c>
      <c r="C129" s="122">
        <f>IF($AF129="","",IF($AF129&lt;=1200,IF(INDEX(对接源_01水果!$S$4:$S$1203,$AF129)=0,"",INDEX(对接源_01水果!$S$4:$S$1203,$AF129)),IF(INDEX(对接源_02物料!$S$4:$S$1203,$AF129-1200)=0,"",INDEX(对接源_02物料!$S$4:$S$1203,$AF129-1200))))</f>
      </c>
      <c r="D129" s="169">
        <f>IF($AF129="","",IF($AF129&lt;=1200,IF(INDEX(对接源_01水果!$U$4:$U$1203,$AF129)=0,"",INDEX(对接源_01水果!$U$4:$U$1203,$AF129)),IF(INDEX(对接源_02物料!$U$4:$U$1203,$AF129-1200)=0,"",INDEX(对接源_02物料!$U$4:$U$1203,$AF129-1200))))</f>
      </c>
      <c r="E129" s="61">
        <f>IF($AF129="","",IF($AF129&lt;=1200,IF(INDEX(对接源_01水果!$W$4:$W$1203,$AF129)=0,"",INDEX(对接源_01水果!$W$4:$W$1203,$AF129)),IF(INDEX(对接源_02物料!$W$4:$W$1203,$AF129-1200)=0,"",INDEX(对接源_02物料!$W$4:$W$1203,$AF129-1200))))</f>
      </c>
      <c r="F129" s="61">
        <f>IF($AF129="","",IF($AF129&lt;=1200,"01水果册","02物料册"))</f>
      </c>
      <c r="G129" s="122">
        <f>IF($AF129="","",IF($AF129&lt;=1200,IF(INDEX(对接源_01水果!$M$4:$M$1203,$AF129)=0,"",INDEX(对接源_01水果!$M$4:$M$1203,$AF129)),IF(INDEX(对接源_02物料!$M$4:$M$1203,$AF129-1200)=0,"",INDEX(对接源_02物料!$M$4:$M$1203,$AF129-1200))))</f>
      </c>
      <c r="AF129" s="128">
        <f>IFERROR(MATCH(21,_自动清单!$S$4:$S$2403,0),"")</f>
      </c>
    </row>
    <row r="130" ht="18" customHeight="1" s="127">
      <c r="A130" s="165">
        <f>IF($AF130="","",IF($AF130&lt;=1200,IF(INDEX(对接源_01水果!$B$4:$B$1203,$AF130)=0,"",INDEX(对接源_01水果!$B$4:$B$1203,$AF130)),IF(INDEX(对接源_02物料!$B$4:$B$1203,$AF130-1200)=0,"",INDEX(对接源_02物料!$B$4:$B$1203,$AF130-1200))))</f>
      </c>
      <c r="B130" s="104">
        <f>IF($AF130="","",IF($AF130&lt;=1200,IF(INDEX(对接源_01水果!$E$4:$E$1203,$AF130)=0,"",INDEX(对接源_01水果!$E$4:$E$1203,$AF130)),IF(INDEX(对接源_02物料!$E$4:$E$1203,$AF130-1200)=0,"",INDEX(对接源_02物料!$E$4:$E$1203,$AF130-1200))))</f>
      </c>
      <c r="C130" s="131">
        <f>IF($AF130="","",IF($AF130&lt;=1200,IF(INDEX(对接源_01水果!$S$4:$S$1203,$AF130)=0,"",INDEX(对接源_01水果!$S$4:$S$1203,$AF130)),IF(INDEX(对接源_02物料!$S$4:$S$1203,$AF130-1200)=0,"",INDEX(对接源_02物料!$S$4:$S$1203,$AF130-1200))))</f>
      </c>
      <c r="D130" s="170">
        <f>IF($AF130="","",IF($AF130&lt;=1200,IF(INDEX(对接源_01水果!$U$4:$U$1203,$AF130)=0,"",INDEX(对接源_01水果!$U$4:$U$1203,$AF130)),IF(INDEX(对接源_02物料!$U$4:$U$1203,$AF130-1200)=0,"",INDEX(对接源_02物料!$U$4:$U$1203,$AF130-1200))))</f>
      </c>
      <c r="E130" s="104">
        <f>IF($AF130="","",IF($AF130&lt;=1200,IF(INDEX(对接源_01水果!$W$4:$W$1203,$AF130)=0,"",INDEX(对接源_01水果!$W$4:$W$1203,$AF130)),IF(INDEX(对接源_02物料!$W$4:$W$1203,$AF130-1200)=0,"",INDEX(对接源_02物料!$W$4:$W$1203,$AF130-1200))))</f>
      </c>
      <c r="F130" s="104">
        <f>IF($AF130="","",IF($AF130&lt;=1200,"01水果册","02物料册"))</f>
      </c>
      <c r="G130" s="131">
        <f>IF($AF130="","",IF($AF130&lt;=1200,IF(INDEX(对接源_01水果!$M$4:$M$1203,$AF130)=0,"",INDEX(对接源_01水果!$M$4:$M$1203,$AF130)),IF(INDEX(对接源_02物料!$M$4:$M$1203,$AF130-1200)=0,"",INDEX(对接源_02物料!$M$4:$M$1203,$AF130-1200))))</f>
      </c>
      <c r="AF130" s="128">
        <f>IFERROR(MATCH(22,_自动清单!$S$4:$S$2403,0),"")</f>
      </c>
    </row>
    <row r="131" ht="18" customHeight="1" s="127">
      <c r="A131" s="163">
        <f>IF($AF131="","",IF($AF131&lt;=1200,IF(INDEX(对接源_01水果!$B$4:$B$1203,$AF131)=0,"",INDEX(对接源_01水果!$B$4:$B$1203,$AF131)),IF(INDEX(对接源_02物料!$B$4:$B$1203,$AF131-1200)=0,"",INDEX(对接源_02物料!$B$4:$B$1203,$AF131-1200))))</f>
      </c>
      <c r="B131" s="61">
        <f>IF($AF131="","",IF($AF131&lt;=1200,IF(INDEX(对接源_01水果!$E$4:$E$1203,$AF131)=0,"",INDEX(对接源_01水果!$E$4:$E$1203,$AF131)),IF(INDEX(对接源_02物料!$E$4:$E$1203,$AF131-1200)=0,"",INDEX(对接源_02物料!$E$4:$E$1203,$AF131-1200))))</f>
      </c>
      <c r="C131" s="122">
        <f>IF($AF131="","",IF($AF131&lt;=1200,IF(INDEX(对接源_01水果!$S$4:$S$1203,$AF131)=0,"",INDEX(对接源_01水果!$S$4:$S$1203,$AF131)),IF(INDEX(对接源_02物料!$S$4:$S$1203,$AF131-1200)=0,"",INDEX(对接源_02物料!$S$4:$S$1203,$AF131-1200))))</f>
      </c>
      <c r="D131" s="169">
        <f>IF($AF131="","",IF($AF131&lt;=1200,IF(INDEX(对接源_01水果!$U$4:$U$1203,$AF131)=0,"",INDEX(对接源_01水果!$U$4:$U$1203,$AF131)),IF(INDEX(对接源_02物料!$U$4:$U$1203,$AF131-1200)=0,"",INDEX(对接源_02物料!$U$4:$U$1203,$AF131-1200))))</f>
      </c>
      <c r="E131" s="61">
        <f>IF($AF131="","",IF($AF131&lt;=1200,IF(INDEX(对接源_01水果!$W$4:$W$1203,$AF131)=0,"",INDEX(对接源_01水果!$W$4:$W$1203,$AF131)),IF(INDEX(对接源_02物料!$W$4:$W$1203,$AF131-1200)=0,"",INDEX(对接源_02物料!$W$4:$W$1203,$AF131-1200))))</f>
      </c>
      <c r="F131" s="61">
        <f>IF($AF131="","",IF($AF131&lt;=1200,"01水果册","02物料册"))</f>
      </c>
      <c r="G131" s="122">
        <f>IF($AF131="","",IF($AF131&lt;=1200,IF(INDEX(对接源_01水果!$M$4:$M$1203,$AF131)=0,"",INDEX(对接源_01水果!$M$4:$M$1203,$AF131)),IF(INDEX(对接源_02物料!$M$4:$M$1203,$AF131-1200)=0,"",INDEX(对接源_02物料!$M$4:$M$1203,$AF131-1200))))</f>
      </c>
      <c r="AF131" s="128">
        <f>IFERROR(MATCH(23,_自动清单!$S$4:$S$2403,0),"")</f>
      </c>
    </row>
    <row r="132" ht="18" customHeight="1" s="127">
      <c r="A132" s="165">
        <f>IF($AF132="","",IF($AF132&lt;=1200,IF(INDEX(对接源_01水果!$B$4:$B$1203,$AF132)=0,"",INDEX(对接源_01水果!$B$4:$B$1203,$AF132)),IF(INDEX(对接源_02物料!$B$4:$B$1203,$AF132-1200)=0,"",INDEX(对接源_02物料!$B$4:$B$1203,$AF132-1200))))</f>
      </c>
      <c r="B132" s="104">
        <f>IF($AF132="","",IF($AF132&lt;=1200,IF(INDEX(对接源_01水果!$E$4:$E$1203,$AF132)=0,"",INDEX(对接源_01水果!$E$4:$E$1203,$AF132)),IF(INDEX(对接源_02物料!$E$4:$E$1203,$AF132-1200)=0,"",INDEX(对接源_02物料!$E$4:$E$1203,$AF132-1200))))</f>
      </c>
      <c r="C132" s="131">
        <f>IF($AF132="","",IF($AF132&lt;=1200,IF(INDEX(对接源_01水果!$S$4:$S$1203,$AF132)=0,"",INDEX(对接源_01水果!$S$4:$S$1203,$AF132)),IF(INDEX(对接源_02物料!$S$4:$S$1203,$AF132-1200)=0,"",INDEX(对接源_02物料!$S$4:$S$1203,$AF132-1200))))</f>
      </c>
      <c r="D132" s="170">
        <f>IF($AF132="","",IF($AF132&lt;=1200,IF(INDEX(对接源_01水果!$U$4:$U$1203,$AF132)=0,"",INDEX(对接源_01水果!$U$4:$U$1203,$AF132)),IF(INDEX(对接源_02物料!$U$4:$U$1203,$AF132-1200)=0,"",INDEX(对接源_02物料!$U$4:$U$1203,$AF132-1200))))</f>
      </c>
      <c r="E132" s="104">
        <f>IF($AF132="","",IF($AF132&lt;=1200,IF(INDEX(对接源_01水果!$W$4:$W$1203,$AF132)=0,"",INDEX(对接源_01水果!$W$4:$W$1203,$AF132)),IF(INDEX(对接源_02物料!$W$4:$W$1203,$AF132-1200)=0,"",INDEX(对接源_02物料!$W$4:$W$1203,$AF132-1200))))</f>
      </c>
      <c r="F132" s="104">
        <f>IF($AF132="","",IF($AF132&lt;=1200,"01水果册","02物料册"))</f>
      </c>
      <c r="G132" s="131">
        <f>IF($AF132="","",IF($AF132&lt;=1200,IF(INDEX(对接源_01水果!$M$4:$M$1203,$AF132)=0,"",INDEX(对接源_01水果!$M$4:$M$1203,$AF132)),IF(INDEX(对接源_02物料!$M$4:$M$1203,$AF132-1200)=0,"",INDEX(对接源_02物料!$M$4:$M$1203,$AF132-1200))))</f>
      </c>
      <c r="AF132" s="128">
        <f>IFERROR(MATCH(24,_自动清单!$S$4:$S$2403,0),"")</f>
      </c>
    </row>
    <row r="133" ht="18" customHeight="1" s="127">
      <c r="A133" s="163">
        <f>IF($AF133="","",IF($AF133&lt;=1200,IF(INDEX(对接源_01水果!$B$4:$B$1203,$AF133)=0,"",INDEX(对接源_01水果!$B$4:$B$1203,$AF133)),IF(INDEX(对接源_02物料!$B$4:$B$1203,$AF133-1200)=0,"",INDEX(对接源_02物料!$B$4:$B$1203,$AF133-1200))))</f>
      </c>
      <c r="B133" s="61">
        <f>IF($AF133="","",IF($AF133&lt;=1200,IF(INDEX(对接源_01水果!$E$4:$E$1203,$AF133)=0,"",INDEX(对接源_01水果!$E$4:$E$1203,$AF133)),IF(INDEX(对接源_02物料!$E$4:$E$1203,$AF133-1200)=0,"",INDEX(对接源_02物料!$E$4:$E$1203,$AF133-1200))))</f>
      </c>
      <c r="C133" s="122">
        <f>IF($AF133="","",IF($AF133&lt;=1200,IF(INDEX(对接源_01水果!$S$4:$S$1203,$AF133)=0,"",INDEX(对接源_01水果!$S$4:$S$1203,$AF133)),IF(INDEX(对接源_02物料!$S$4:$S$1203,$AF133-1200)=0,"",INDEX(对接源_02物料!$S$4:$S$1203,$AF133-1200))))</f>
      </c>
      <c r="D133" s="169">
        <f>IF($AF133="","",IF($AF133&lt;=1200,IF(INDEX(对接源_01水果!$U$4:$U$1203,$AF133)=0,"",INDEX(对接源_01水果!$U$4:$U$1203,$AF133)),IF(INDEX(对接源_02物料!$U$4:$U$1203,$AF133-1200)=0,"",INDEX(对接源_02物料!$U$4:$U$1203,$AF133-1200))))</f>
      </c>
      <c r="E133" s="61">
        <f>IF($AF133="","",IF($AF133&lt;=1200,IF(INDEX(对接源_01水果!$W$4:$W$1203,$AF133)=0,"",INDEX(对接源_01水果!$W$4:$W$1203,$AF133)),IF(INDEX(对接源_02物料!$W$4:$W$1203,$AF133-1200)=0,"",INDEX(对接源_02物料!$W$4:$W$1203,$AF133-1200))))</f>
      </c>
      <c r="F133" s="61">
        <f>IF($AF133="","",IF($AF133&lt;=1200,"01水果册","02物料册"))</f>
      </c>
      <c r="G133" s="122">
        <f>IF($AF133="","",IF($AF133&lt;=1200,IF(INDEX(对接源_01水果!$M$4:$M$1203,$AF133)=0,"",INDEX(对接源_01水果!$M$4:$M$1203,$AF133)),IF(INDEX(对接源_02物料!$M$4:$M$1203,$AF133-1200)=0,"",INDEX(对接源_02物料!$M$4:$M$1203,$AF133-1200))))</f>
      </c>
      <c r="AF133" s="128">
        <f>IFERROR(MATCH(25,_自动清单!$S$4:$S$2403,0),"")</f>
      </c>
    </row>
    <row r="134" ht="18" customHeight="1" s="127">
      <c r="A134" s="165">
        <f>IF($AF134="","",IF($AF134&lt;=1200,IF(INDEX(对接源_01水果!$B$4:$B$1203,$AF134)=0,"",INDEX(对接源_01水果!$B$4:$B$1203,$AF134)),IF(INDEX(对接源_02物料!$B$4:$B$1203,$AF134-1200)=0,"",INDEX(对接源_02物料!$B$4:$B$1203,$AF134-1200))))</f>
      </c>
      <c r="B134" s="104">
        <f>IF($AF134="","",IF($AF134&lt;=1200,IF(INDEX(对接源_01水果!$E$4:$E$1203,$AF134)=0,"",INDEX(对接源_01水果!$E$4:$E$1203,$AF134)),IF(INDEX(对接源_02物料!$E$4:$E$1203,$AF134-1200)=0,"",INDEX(对接源_02物料!$E$4:$E$1203,$AF134-1200))))</f>
      </c>
      <c r="C134" s="131">
        <f>IF($AF134="","",IF($AF134&lt;=1200,IF(INDEX(对接源_01水果!$S$4:$S$1203,$AF134)=0,"",INDEX(对接源_01水果!$S$4:$S$1203,$AF134)),IF(INDEX(对接源_02物料!$S$4:$S$1203,$AF134-1200)=0,"",INDEX(对接源_02物料!$S$4:$S$1203,$AF134-1200))))</f>
      </c>
      <c r="D134" s="170">
        <f>IF($AF134="","",IF($AF134&lt;=1200,IF(INDEX(对接源_01水果!$U$4:$U$1203,$AF134)=0,"",INDEX(对接源_01水果!$U$4:$U$1203,$AF134)),IF(INDEX(对接源_02物料!$U$4:$U$1203,$AF134-1200)=0,"",INDEX(对接源_02物料!$U$4:$U$1203,$AF134-1200))))</f>
      </c>
      <c r="E134" s="104">
        <f>IF($AF134="","",IF($AF134&lt;=1200,IF(INDEX(对接源_01水果!$W$4:$W$1203,$AF134)=0,"",INDEX(对接源_01水果!$W$4:$W$1203,$AF134)),IF(INDEX(对接源_02物料!$W$4:$W$1203,$AF134-1200)=0,"",INDEX(对接源_02物料!$W$4:$W$1203,$AF134-1200))))</f>
      </c>
      <c r="F134" s="104">
        <f>IF($AF134="","",IF($AF134&lt;=1200,"01水果册","02物料册"))</f>
      </c>
      <c r="G134" s="131">
        <f>IF($AF134="","",IF($AF134&lt;=1200,IF(INDEX(对接源_01水果!$M$4:$M$1203,$AF134)=0,"",INDEX(对接源_01水果!$M$4:$M$1203,$AF134)),IF(INDEX(对接源_02物料!$M$4:$M$1203,$AF134-1200)=0,"",INDEX(对接源_02物料!$M$4:$M$1203,$AF134-1200))))</f>
      </c>
      <c r="AF134" s="128">
        <f>IFERROR(MATCH(26,_自动清单!$S$4:$S$2403,0),"")</f>
      </c>
    </row>
    <row r="135" ht="18" customHeight="1" s="127">
      <c r="A135" s="163">
        <f>IF($AF135="","",IF($AF135&lt;=1200,IF(INDEX(对接源_01水果!$B$4:$B$1203,$AF135)=0,"",INDEX(对接源_01水果!$B$4:$B$1203,$AF135)),IF(INDEX(对接源_02物料!$B$4:$B$1203,$AF135-1200)=0,"",INDEX(对接源_02物料!$B$4:$B$1203,$AF135-1200))))</f>
      </c>
      <c r="B135" s="61">
        <f>IF($AF135="","",IF($AF135&lt;=1200,IF(INDEX(对接源_01水果!$E$4:$E$1203,$AF135)=0,"",INDEX(对接源_01水果!$E$4:$E$1203,$AF135)),IF(INDEX(对接源_02物料!$E$4:$E$1203,$AF135-1200)=0,"",INDEX(对接源_02物料!$E$4:$E$1203,$AF135-1200))))</f>
      </c>
      <c r="C135" s="122">
        <f>IF($AF135="","",IF($AF135&lt;=1200,IF(INDEX(对接源_01水果!$S$4:$S$1203,$AF135)=0,"",INDEX(对接源_01水果!$S$4:$S$1203,$AF135)),IF(INDEX(对接源_02物料!$S$4:$S$1203,$AF135-1200)=0,"",INDEX(对接源_02物料!$S$4:$S$1203,$AF135-1200))))</f>
      </c>
      <c r="D135" s="169">
        <f>IF($AF135="","",IF($AF135&lt;=1200,IF(INDEX(对接源_01水果!$U$4:$U$1203,$AF135)=0,"",INDEX(对接源_01水果!$U$4:$U$1203,$AF135)),IF(INDEX(对接源_02物料!$U$4:$U$1203,$AF135-1200)=0,"",INDEX(对接源_02物料!$U$4:$U$1203,$AF135-1200))))</f>
      </c>
      <c r="E135" s="61">
        <f>IF($AF135="","",IF($AF135&lt;=1200,IF(INDEX(对接源_01水果!$W$4:$W$1203,$AF135)=0,"",INDEX(对接源_01水果!$W$4:$W$1203,$AF135)),IF(INDEX(对接源_02物料!$W$4:$W$1203,$AF135-1200)=0,"",INDEX(对接源_02物料!$W$4:$W$1203,$AF135-1200))))</f>
      </c>
      <c r="F135" s="61">
        <f>IF($AF135="","",IF($AF135&lt;=1200,"01水果册","02物料册"))</f>
      </c>
      <c r="G135" s="122">
        <f>IF($AF135="","",IF($AF135&lt;=1200,IF(INDEX(对接源_01水果!$M$4:$M$1203,$AF135)=0,"",INDEX(对接源_01水果!$M$4:$M$1203,$AF135)),IF(INDEX(对接源_02物料!$M$4:$M$1203,$AF135-1200)=0,"",INDEX(对接源_02物料!$M$4:$M$1203,$AF135-1200))))</f>
      </c>
      <c r="AF135" s="128">
        <f>IFERROR(MATCH(27,_自动清单!$S$4:$S$2403,0),"")</f>
      </c>
    </row>
    <row r="136" ht="18" customHeight="1" s="127">
      <c r="A136" s="165">
        <f>IF($AF136="","",IF($AF136&lt;=1200,IF(INDEX(对接源_01水果!$B$4:$B$1203,$AF136)=0,"",INDEX(对接源_01水果!$B$4:$B$1203,$AF136)),IF(INDEX(对接源_02物料!$B$4:$B$1203,$AF136-1200)=0,"",INDEX(对接源_02物料!$B$4:$B$1203,$AF136-1200))))</f>
      </c>
      <c r="B136" s="104">
        <f>IF($AF136="","",IF($AF136&lt;=1200,IF(INDEX(对接源_01水果!$E$4:$E$1203,$AF136)=0,"",INDEX(对接源_01水果!$E$4:$E$1203,$AF136)),IF(INDEX(对接源_02物料!$E$4:$E$1203,$AF136-1200)=0,"",INDEX(对接源_02物料!$E$4:$E$1203,$AF136-1200))))</f>
      </c>
      <c r="C136" s="131">
        <f>IF($AF136="","",IF($AF136&lt;=1200,IF(INDEX(对接源_01水果!$S$4:$S$1203,$AF136)=0,"",INDEX(对接源_01水果!$S$4:$S$1203,$AF136)),IF(INDEX(对接源_02物料!$S$4:$S$1203,$AF136-1200)=0,"",INDEX(对接源_02物料!$S$4:$S$1203,$AF136-1200))))</f>
      </c>
      <c r="D136" s="170">
        <f>IF($AF136="","",IF($AF136&lt;=1200,IF(INDEX(对接源_01水果!$U$4:$U$1203,$AF136)=0,"",INDEX(对接源_01水果!$U$4:$U$1203,$AF136)),IF(INDEX(对接源_02物料!$U$4:$U$1203,$AF136-1200)=0,"",INDEX(对接源_02物料!$U$4:$U$1203,$AF136-1200))))</f>
      </c>
      <c r="E136" s="104">
        <f>IF($AF136="","",IF($AF136&lt;=1200,IF(INDEX(对接源_01水果!$W$4:$W$1203,$AF136)=0,"",INDEX(对接源_01水果!$W$4:$W$1203,$AF136)),IF(INDEX(对接源_02物料!$W$4:$W$1203,$AF136-1200)=0,"",INDEX(对接源_02物料!$W$4:$W$1203,$AF136-1200))))</f>
      </c>
      <c r="F136" s="104">
        <f>IF($AF136="","",IF($AF136&lt;=1200,"01水果册","02物料册"))</f>
      </c>
      <c r="G136" s="131">
        <f>IF($AF136="","",IF($AF136&lt;=1200,IF(INDEX(对接源_01水果!$M$4:$M$1203,$AF136)=0,"",INDEX(对接源_01水果!$M$4:$M$1203,$AF136)),IF(INDEX(对接源_02物料!$M$4:$M$1203,$AF136-1200)=0,"",INDEX(对接源_02物料!$M$4:$M$1203,$AF136-1200))))</f>
      </c>
      <c r="AF136" s="128">
        <f>IFERROR(MATCH(28,_自动清单!$S$4:$S$2403,0),"")</f>
      </c>
    </row>
    <row r="137" ht="18" customHeight="1" s="127">
      <c r="A137" s="163">
        <f>IF($AF137="","",IF($AF137&lt;=1200,IF(INDEX(对接源_01水果!$B$4:$B$1203,$AF137)=0,"",INDEX(对接源_01水果!$B$4:$B$1203,$AF137)),IF(INDEX(对接源_02物料!$B$4:$B$1203,$AF137-1200)=0,"",INDEX(对接源_02物料!$B$4:$B$1203,$AF137-1200))))</f>
      </c>
      <c r="B137" s="61">
        <f>IF($AF137="","",IF($AF137&lt;=1200,IF(INDEX(对接源_01水果!$E$4:$E$1203,$AF137)=0,"",INDEX(对接源_01水果!$E$4:$E$1203,$AF137)),IF(INDEX(对接源_02物料!$E$4:$E$1203,$AF137-1200)=0,"",INDEX(对接源_02物料!$E$4:$E$1203,$AF137-1200))))</f>
      </c>
      <c r="C137" s="122">
        <f>IF($AF137="","",IF($AF137&lt;=1200,IF(INDEX(对接源_01水果!$S$4:$S$1203,$AF137)=0,"",INDEX(对接源_01水果!$S$4:$S$1203,$AF137)),IF(INDEX(对接源_02物料!$S$4:$S$1203,$AF137-1200)=0,"",INDEX(对接源_02物料!$S$4:$S$1203,$AF137-1200))))</f>
      </c>
      <c r="D137" s="169">
        <f>IF($AF137="","",IF($AF137&lt;=1200,IF(INDEX(对接源_01水果!$U$4:$U$1203,$AF137)=0,"",INDEX(对接源_01水果!$U$4:$U$1203,$AF137)),IF(INDEX(对接源_02物料!$U$4:$U$1203,$AF137-1200)=0,"",INDEX(对接源_02物料!$U$4:$U$1203,$AF137-1200))))</f>
      </c>
      <c r="E137" s="61">
        <f>IF($AF137="","",IF($AF137&lt;=1200,IF(INDEX(对接源_01水果!$W$4:$W$1203,$AF137)=0,"",INDEX(对接源_01水果!$W$4:$W$1203,$AF137)),IF(INDEX(对接源_02物料!$W$4:$W$1203,$AF137-1200)=0,"",INDEX(对接源_02物料!$W$4:$W$1203,$AF137-1200))))</f>
      </c>
      <c r="F137" s="61">
        <f>IF($AF137="","",IF($AF137&lt;=1200,"01水果册","02物料册"))</f>
      </c>
      <c r="G137" s="122">
        <f>IF($AF137="","",IF($AF137&lt;=1200,IF(INDEX(对接源_01水果!$M$4:$M$1203,$AF137)=0,"",INDEX(对接源_01水果!$M$4:$M$1203,$AF137)),IF(INDEX(对接源_02物料!$M$4:$M$1203,$AF137-1200)=0,"",INDEX(对接源_02物料!$M$4:$M$1203,$AF137-1200))))</f>
      </c>
      <c r="AF137" s="128">
        <f>IFERROR(MATCH(29,_自动清单!$S$4:$S$2403,0),"")</f>
      </c>
    </row>
    <row r="138" ht="18" customHeight="1" s="127">
      <c r="A138" s="165">
        <f>IF($AF138="","",IF($AF138&lt;=1200,IF(INDEX(对接源_01水果!$B$4:$B$1203,$AF138)=0,"",INDEX(对接源_01水果!$B$4:$B$1203,$AF138)),IF(INDEX(对接源_02物料!$B$4:$B$1203,$AF138-1200)=0,"",INDEX(对接源_02物料!$B$4:$B$1203,$AF138-1200))))</f>
      </c>
      <c r="B138" s="104">
        <f>IF($AF138="","",IF($AF138&lt;=1200,IF(INDEX(对接源_01水果!$E$4:$E$1203,$AF138)=0,"",INDEX(对接源_01水果!$E$4:$E$1203,$AF138)),IF(INDEX(对接源_02物料!$E$4:$E$1203,$AF138-1200)=0,"",INDEX(对接源_02物料!$E$4:$E$1203,$AF138-1200))))</f>
      </c>
      <c r="C138" s="131">
        <f>IF($AF138="","",IF($AF138&lt;=1200,IF(INDEX(对接源_01水果!$S$4:$S$1203,$AF138)=0,"",INDEX(对接源_01水果!$S$4:$S$1203,$AF138)),IF(INDEX(对接源_02物料!$S$4:$S$1203,$AF138-1200)=0,"",INDEX(对接源_02物料!$S$4:$S$1203,$AF138-1200))))</f>
      </c>
      <c r="D138" s="170">
        <f>IF($AF138="","",IF($AF138&lt;=1200,IF(INDEX(对接源_01水果!$U$4:$U$1203,$AF138)=0,"",INDEX(对接源_01水果!$U$4:$U$1203,$AF138)),IF(INDEX(对接源_02物料!$U$4:$U$1203,$AF138-1200)=0,"",INDEX(对接源_02物料!$U$4:$U$1203,$AF138-1200))))</f>
      </c>
      <c r="E138" s="104">
        <f>IF($AF138="","",IF($AF138&lt;=1200,IF(INDEX(对接源_01水果!$W$4:$W$1203,$AF138)=0,"",INDEX(对接源_01水果!$W$4:$W$1203,$AF138)),IF(INDEX(对接源_02物料!$W$4:$W$1203,$AF138-1200)=0,"",INDEX(对接源_02物料!$W$4:$W$1203,$AF138-1200))))</f>
      </c>
      <c r="F138" s="104">
        <f>IF($AF138="","",IF($AF138&lt;=1200,"01水果册","02物料册"))</f>
      </c>
      <c r="G138" s="131">
        <f>IF($AF138="","",IF($AF138&lt;=1200,IF(INDEX(对接源_01水果!$M$4:$M$1203,$AF138)=0,"",INDEX(对接源_01水果!$M$4:$M$1203,$AF138)),IF(INDEX(对接源_02物料!$M$4:$M$1203,$AF138-1200)=0,"",INDEX(对接源_02物料!$M$4:$M$1203,$AF138-1200))))</f>
      </c>
      <c r="AF138" s="128">
        <f>IFERROR(MATCH(30,_自动清单!$S$4:$S$2403,0),"")</f>
      </c>
    </row>
    <row r="139" ht="18" customHeight="1" s="127">
      <c r="A139" s="163">
        <f>IF($AF139="","",IF($AF139&lt;=1200,IF(INDEX(对接源_01水果!$B$4:$B$1203,$AF139)=0,"",INDEX(对接源_01水果!$B$4:$B$1203,$AF139)),IF(INDEX(对接源_02物料!$B$4:$B$1203,$AF139-1200)=0,"",INDEX(对接源_02物料!$B$4:$B$1203,$AF139-1200))))</f>
      </c>
      <c r="B139" s="61">
        <f>IF($AF139="","",IF($AF139&lt;=1200,IF(INDEX(对接源_01水果!$E$4:$E$1203,$AF139)=0,"",INDEX(对接源_01水果!$E$4:$E$1203,$AF139)),IF(INDEX(对接源_02物料!$E$4:$E$1203,$AF139-1200)=0,"",INDEX(对接源_02物料!$E$4:$E$1203,$AF139-1200))))</f>
      </c>
      <c r="C139" s="122">
        <f>IF($AF139="","",IF($AF139&lt;=1200,IF(INDEX(对接源_01水果!$S$4:$S$1203,$AF139)=0,"",INDEX(对接源_01水果!$S$4:$S$1203,$AF139)),IF(INDEX(对接源_02物料!$S$4:$S$1203,$AF139-1200)=0,"",INDEX(对接源_02物料!$S$4:$S$1203,$AF139-1200))))</f>
      </c>
      <c r="D139" s="169">
        <f>IF($AF139="","",IF($AF139&lt;=1200,IF(INDEX(对接源_01水果!$U$4:$U$1203,$AF139)=0,"",INDEX(对接源_01水果!$U$4:$U$1203,$AF139)),IF(INDEX(对接源_02物料!$U$4:$U$1203,$AF139-1200)=0,"",INDEX(对接源_02物料!$U$4:$U$1203,$AF139-1200))))</f>
      </c>
      <c r="E139" s="61">
        <f>IF($AF139="","",IF($AF139&lt;=1200,IF(INDEX(对接源_01水果!$W$4:$W$1203,$AF139)=0,"",INDEX(对接源_01水果!$W$4:$W$1203,$AF139)),IF(INDEX(对接源_02物料!$W$4:$W$1203,$AF139-1200)=0,"",INDEX(对接源_02物料!$W$4:$W$1203,$AF139-1200))))</f>
      </c>
      <c r="F139" s="61">
        <f>IF($AF139="","",IF($AF139&lt;=1200,"01水果册","02物料册"))</f>
      </c>
      <c r="G139" s="122">
        <f>IF($AF139="","",IF($AF139&lt;=1200,IF(INDEX(对接源_01水果!$M$4:$M$1203,$AF139)=0,"",INDEX(对接源_01水果!$M$4:$M$1203,$AF139)),IF(INDEX(对接源_02物料!$M$4:$M$1203,$AF139-1200)=0,"",INDEX(对接源_02物料!$M$4:$M$1203,$AF139-1200))))</f>
      </c>
      <c r="AF139" s="128">
        <f>IFERROR(MATCH(31,_自动清单!$S$4:$S$2403,0),"")</f>
      </c>
    </row>
    <row r="140" ht="18" customHeight="1" s="127">
      <c r="A140" s="165">
        <f>IF($AF140="","",IF($AF140&lt;=1200,IF(INDEX(对接源_01水果!$B$4:$B$1203,$AF140)=0,"",INDEX(对接源_01水果!$B$4:$B$1203,$AF140)),IF(INDEX(对接源_02物料!$B$4:$B$1203,$AF140-1200)=0,"",INDEX(对接源_02物料!$B$4:$B$1203,$AF140-1200))))</f>
      </c>
      <c r="B140" s="104">
        <f>IF($AF140="","",IF($AF140&lt;=1200,IF(INDEX(对接源_01水果!$E$4:$E$1203,$AF140)=0,"",INDEX(对接源_01水果!$E$4:$E$1203,$AF140)),IF(INDEX(对接源_02物料!$E$4:$E$1203,$AF140-1200)=0,"",INDEX(对接源_02物料!$E$4:$E$1203,$AF140-1200))))</f>
      </c>
      <c r="C140" s="131">
        <f>IF($AF140="","",IF($AF140&lt;=1200,IF(INDEX(对接源_01水果!$S$4:$S$1203,$AF140)=0,"",INDEX(对接源_01水果!$S$4:$S$1203,$AF140)),IF(INDEX(对接源_02物料!$S$4:$S$1203,$AF140-1200)=0,"",INDEX(对接源_02物料!$S$4:$S$1203,$AF140-1200))))</f>
      </c>
      <c r="D140" s="170">
        <f>IF($AF140="","",IF($AF140&lt;=1200,IF(INDEX(对接源_01水果!$U$4:$U$1203,$AF140)=0,"",INDEX(对接源_01水果!$U$4:$U$1203,$AF140)),IF(INDEX(对接源_02物料!$U$4:$U$1203,$AF140-1200)=0,"",INDEX(对接源_02物料!$U$4:$U$1203,$AF140-1200))))</f>
      </c>
      <c r="E140" s="104">
        <f>IF($AF140="","",IF($AF140&lt;=1200,IF(INDEX(对接源_01水果!$W$4:$W$1203,$AF140)=0,"",INDEX(对接源_01水果!$W$4:$W$1203,$AF140)),IF(INDEX(对接源_02物料!$W$4:$W$1203,$AF140-1200)=0,"",INDEX(对接源_02物料!$W$4:$W$1203,$AF140-1200))))</f>
      </c>
      <c r="F140" s="104">
        <f>IF($AF140="","",IF($AF140&lt;=1200,"01水果册","02物料册"))</f>
      </c>
      <c r="G140" s="131">
        <f>IF($AF140="","",IF($AF140&lt;=1200,IF(INDEX(对接源_01水果!$M$4:$M$1203,$AF140)=0,"",INDEX(对接源_01水果!$M$4:$M$1203,$AF140)),IF(INDEX(对接源_02物料!$M$4:$M$1203,$AF140-1200)=0,"",INDEX(对接源_02物料!$M$4:$M$1203,$AF140-1200))))</f>
      </c>
      <c r="AF140" s="128">
        <f>IFERROR(MATCH(32,_自动清单!$S$4:$S$2403,0),"")</f>
      </c>
    </row>
    <row r="141" ht="18" customHeight="1" s="127">
      <c r="A141" s="163">
        <f>IF($AF141="","",IF($AF141&lt;=1200,IF(INDEX(对接源_01水果!$B$4:$B$1203,$AF141)=0,"",INDEX(对接源_01水果!$B$4:$B$1203,$AF141)),IF(INDEX(对接源_02物料!$B$4:$B$1203,$AF141-1200)=0,"",INDEX(对接源_02物料!$B$4:$B$1203,$AF141-1200))))</f>
      </c>
      <c r="B141" s="61">
        <f>IF($AF141="","",IF($AF141&lt;=1200,IF(INDEX(对接源_01水果!$E$4:$E$1203,$AF141)=0,"",INDEX(对接源_01水果!$E$4:$E$1203,$AF141)),IF(INDEX(对接源_02物料!$E$4:$E$1203,$AF141-1200)=0,"",INDEX(对接源_02物料!$E$4:$E$1203,$AF141-1200))))</f>
      </c>
      <c r="C141" s="122">
        <f>IF($AF141="","",IF($AF141&lt;=1200,IF(INDEX(对接源_01水果!$S$4:$S$1203,$AF141)=0,"",INDEX(对接源_01水果!$S$4:$S$1203,$AF141)),IF(INDEX(对接源_02物料!$S$4:$S$1203,$AF141-1200)=0,"",INDEX(对接源_02物料!$S$4:$S$1203,$AF141-1200))))</f>
      </c>
      <c r="D141" s="169">
        <f>IF($AF141="","",IF($AF141&lt;=1200,IF(INDEX(对接源_01水果!$U$4:$U$1203,$AF141)=0,"",INDEX(对接源_01水果!$U$4:$U$1203,$AF141)),IF(INDEX(对接源_02物料!$U$4:$U$1203,$AF141-1200)=0,"",INDEX(对接源_02物料!$U$4:$U$1203,$AF141-1200))))</f>
      </c>
      <c r="E141" s="61">
        <f>IF($AF141="","",IF($AF141&lt;=1200,IF(INDEX(对接源_01水果!$W$4:$W$1203,$AF141)=0,"",INDEX(对接源_01水果!$W$4:$W$1203,$AF141)),IF(INDEX(对接源_02物料!$W$4:$W$1203,$AF141-1200)=0,"",INDEX(对接源_02物料!$W$4:$W$1203,$AF141-1200))))</f>
      </c>
      <c r="F141" s="61">
        <f>IF($AF141="","",IF($AF141&lt;=1200,"01水果册","02物料册"))</f>
      </c>
      <c r="G141" s="122">
        <f>IF($AF141="","",IF($AF141&lt;=1200,IF(INDEX(对接源_01水果!$M$4:$M$1203,$AF141)=0,"",INDEX(对接源_01水果!$M$4:$M$1203,$AF141)),IF(INDEX(对接源_02物料!$M$4:$M$1203,$AF141-1200)=0,"",INDEX(对接源_02物料!$M$4:$M$1203,$AF141-1200))))</f>
      </c>
      <c r="AF141" s="128">
        <f>IFERROR(MATCH(33,_自动清单!$S$4:$S$2403,0),"")</f>
      </c>
    </row>
    <row r="142" ht="18" customHeight="1" s="127">
      <c r="A142" s="165">
        <f>IF($AF142="","",IF($AF142&lt;=1200,IF(INDEX(对接源_01水果!$B$4:$B$1203,$AF142)=0,"",INDEX(对接源_01水果!$B$4:$B$1203,$AF142)),IF(INDEX(对接源_02物料!$B$4:$B$1203,$AF142-1200)=0,"",INDEX(对接源_02物料!$B$4:$B$1203,$AF142-1200))))</f>
      </c>
      <c r="B142" s="104">
        <f>IF($AF142="","",IF($AF142&lt;=1200,IF(INDEX(对接源_01水果!$E$4:$E$1203,$AF142)=0,"",INDEX(对接源_01水果!$E$4:$E$1203,$AF142)),IF(INDEX(对接源_02物料!$E$4:$E$1203,$AF142-1200)=0,"",INDEX(对接源_02物料!$E$4:$E$1203,$AF142-1200))))</f>
      </c>
      <c r="C142" s="131">
        <f>IF($AF142="","",IF($AF142&lt;=1200,IF(INDEX(对接源_01水果!$S$4:$S$1203,$AF142)=0,"",INDEX(对接源_01水果!$S$4:$S$1203,$AF142)),IF(INDEX(对接源_02物料!$S$4:$S$1203,$AF142-1200)=0,"",INDEX(对接源_02物料!$S$4:$S$1203,$AF142-1200))))</f>
      </c>
      <c r="D142" s="170">
        <f>IF($AF142="","",IF($AF142&lt;=1200,IF(INDEX(对接源_01水果!$U$4:$U$1203,$AF142)=0,"",INDEX(对接源_01水果!$U$4:$U$1203,$AF142)),IF(INDEX(对接源_02物料!$U$4:$U$1203,$AF142-1200)=0,"",INDEX(对接源_02物料!$U$4:$U$1203,$AF142-1200))))</f>
      </c>
      <c r="E142" s="104">
        <f>IF($AF142="","",IF($AF142&lt;=1200,IF(INDEX(对接源_01水果!$W$4:$W$1203,$AF142)=0,"",INDEX(对接源_01水果!$W$4:$W$1203,$AF142)),IF(INDEX(对接源_02物料!$W$4:$W$1203,$AF142-1200)=0,"",INDEX(对接源_02物料!$W$4:$W$1203,$AF142-1200))))</f>
      </c>
      <c r="F142" s="104">
        <f>IF($AF142="","",IF($AF142&lt;=1200,"01水果册","02物料册"))</f>
      </c>
      <c r="G142" s="131">
        <f>IF($AF142="","",IF($AF142&lt;=1200,IF(INDEX(对接源_01水果!$M$4:$M$1203,$AF142)=0,"",INDEX(对接源_01水果!$M$4:$M$1203,$AF142)),IF(INDEX(对接源_02物料!$M$4:$M$1203,$AF142-1200)=0,"",INDEX(对接源_02物料!$M$4:$M$1203,$AF142-1200))))</f>
      </c>
      <c r="AF142" s="128">
        <f>IFERROR(MATCH(34,_自动清单!$S$4:$S$2403,0),"")</f>
      </c>
    </row>
    <row r="143" ht="18" customHeight="1" s="127">
      <c r="A143" s="163">
        <f>IF($AF143="","",IF($AF143&lt;=1200,IF(INDEX(对接源_01水果!$B$4:$B$1203,$AF143)=0,"",INDEX(对接源_01水果!$B$4:$B$1203,$AF143)),IF(INDEX(对接源_02物料!$B$4:$B$1203,$AF143-1200)=0,"",INDEX(对接源_02物料!$B$4:$B$1203,$AF143-1200))))</f>
      </c>
      <c r="B143" s="61">
        <f>IF($AF143="","",IF($AF143&lt;=1200,IF(INDEX(对接源_01水果!$E$4:$E$1203,$AF143)=0,"",INDEX(对接源_01水果!$E$4:$E$1203,$AF143)),IF(INDEX(对接源_02物料!$E$4:$E$1203,$AF143-1200)=0,"",INDEX(对接源_02物料!$E$4:$E$1203,$AF143-1200))))</f>
      </c>
      <c r="C143" s="122">
        <f>IF($AF143="","",IF($AF143&lt;=1200,IF(INDEX(对接源_01水果!$S$4:$S$1203,$AF143)=0,"",INDEX(对接源_01水果!$S$4:$S$1203,$AF143)),IF(INDEX(对接源_02物料!$S$4:$S$1203,$AF143-1200)=0,"",INDEX(对接源_02物料!$S$4:$S$1203,$AF143-1200))))</f>
      </c>
      <c r="D143" s="169">
        <f>IF($AF143="","",IF($AF143&lt;=1200,IF(INDEX(对接源_01水果!$U$4:$U$1203,$AF143)=0,"",INDEX(对接源_01水果!$U$4:$U$1203,$AF143)),IF(INDEX(对接源_02物料!$U$4:$U$1203,$AF143-1200)=0,"",INDEX(对接源_02物料!$U$4:$U$1203,$AF143-1200))))</f>
      </c>
      <c r="E143" s="61">
        <f>IF($AF143="","",IF($AF143&lt;=1200,IF(INDEX(对接源_01水果!$W$4:$W$1203,$AF143)=0,"",INDEX(对接源_01水果!$W$4:$W$1203,$AF143)),IF(INDEX(对接源_02物料!$W$4:$W$1203,$AF143-1200)=0,"",INDEX(对接源_02物料!$W$4:$W$1203,$AF143-1200))))</f>
      </c>
      <c r="F143" s="61">
        <f>IF($AF143="","",IF($AF143&lt;=1200,"01水果册","02物料册"))</f>
      </c>
      <c r="G143" s="122">
        <f>IF($AF143="","",IF($AF143&lt;=1200,IF(INDEX(对接源_01水果!$M$4:$M$1203,$AF143)=0,"",INDEX(对接源_01水果!$M$4:$M$1203,$AF143)),IF(INDEX(对接源_02物料!$M$4:$M$1203,$AF143-1200)=0,"",INDEX(对接源_02物料!$M$4:$M$1203,$AF143-1200))))</f>
      </c>
      <c r="AF143" s="128">
        <f>IFERROR(MATCH(35,_自动清单!$S$4:$S$2403,0),"")</f>
      </c>
    </row>
    <row r="144" ht="18" customHeight="1" s="127">
      <c r="A144" s="165">
        <f>IF($AF144="","",IF($AF144&lt;=1200,IF(INDEX(对接源_01水果!$B$4:$B$1203,$AF144)=0,"",INDEX(对接源_01水果!$B$4:$B$1203,$AF144)),IF(INDEX(对接源_02物料!$B$4:$B$1203,$AF144-1200)=0,"",INDEX(对接源_02物料!$B$4:$B$1203,$AF144-1200))))</f>
      </c>
      <c r="B144" s="104">
        <f>IF($AF144="","",IF($AF144&lt;=1200,IF(INDEX(对接源_01水果!$E$4:$E$1203,$AF144)=0,"",INDEX(对接源_01水果!$E$4:$E$1203,$AF144)),IF(INDEX(对接源_02物料!$E$4:$E$1203,$AF144-1200)=0,"",INDEX(对接源_02物料!$E$4:$E$1203,$AF144-1200))))</f>
      </c>
      <c r="C144" s="131">
        <f>IF($AF144="","",IF($AF144&lt;=1200,IF(INDEX(对接源_01水果!$S$4:$S$1203,$AF144)=0,"",INDEX(对接源_01水果!$S$4:$S$1203,$AF144)),IF(INDEX(对接源_02物料!$S$4:$S$1203,$AF144-1200)=0,"",INDEX(对接源_02物料!$S$4:$S$1203,$AF144-1200))))</f>
      </c>
      <c r="D144" s="170">
        <f>IF($AF144="","",IF($AF144&lt;=1200,IF(INDEX(对接源_01水果!$U$4:$U$1203,$AF144)=0,"",INDEX(对接源_01水果!$U$4:$U$1203,$AF144)),IF(INDEX(对接源_02物料!$U$4:$U$1203,$AF144-1200)=0,"",INDEX(对接源_02物料!$U$4:$U$1203,$AF144-1200))))</f>
      </c>
      <c r="E144" s="104">
        <f>IF($AF144="","",IF($AF144&lt;=1200,IF(INDEX(对接源_01水果!$W$4:$W$1203,$AF144)=0,"",INDEX(对接源_01水果!$W$4:$W$1203,$AF144)),IF(INDEX(对接源_02物料!$W$4:$W$1203,$AF144-1200)=0,"",INDEX(对接源_02物料!$W$4:$W$1203,$AF144-1200))))</f>
      </c>
      <c r="F144" s="104">
        <f>IF($AF144="","",IF($AF144&lt;=1200,"01水果册","02物料册"))</f>
      </c>
      <c r="G144" s="131">
        <f>IF($AF144="","",IF($AF144&lt;=1200,IF(INDEX(对接源_01水果!$M$4:$M$1203,$AF144)=0,"",INDEX(对接源_01水果!$M$4:$M$1203,$AF144)),IF(INDEX(对接源_02物料!$M$4:$M$1203,$AF144-1200)=0,"",INDEX(对接源_02物料!$M$4:$M$1203,$AF144-1200))))</f>
      </c>
      <c r="AF144" s="128">
        <f>IFERROR(MATCH(36,_自动清单!$S$4:$S$2403,0),"")</f>
      </c>
    </row>
    <row r="145" ht="18" customHeight="1" s="127">
      <c r="A145" s="163">
        <f>IF($AF145="","",IF($AF145&lt;=1200,IF(INDEX(对接源_01水果!$B$4:$B$1203,$AF145)=0,"",INDEX(对接源_01水果!$B$4:$B$1203,$AF145)),IF(INDEX(对接源_02物料!$B$4:$B$1203,$AF145-1200)=0,"",INDEX(对接源_02物料!$B$4:$B$1203,$AF145-1200))))</f>
      </c>
      <c r="B145" s="61">
        <f>IF($AF145="","",IF($AF145&lt;=1200,IF(INDEX(对接源_01水果!$E$4:$E$1203,$AF145)=0,"",INDEX(对接源_01水果!$E$4:$E$1203,$AF145)),IF(INDEX(对接源_02物料!$E$4:$E$1203,$AF145-1200)=0,"",INDEX(对接源_02物料!$E$4:$E$1203,$AF145-1200))))</f>
      </c>
      <c r="C145" s="122">
        <f>IF($AF145="","",IF($AF145&lt;=1200,IF(INDEX(对接源_01水果!$S$4:$S$1203,$AF145)=0,"",INDEX(对接源_01水果!$S$4:$S$1203,$AF145)),IF(INDEX(对接源_02物料!$S$4:$S$1203,$AF145-1200)=0,"",INDEX(对接源_02物料!$S$4:$S$1203,$AF145-1200))))</f>
      </c>
      <c r="D145" s="169">
        <f>IF($AF145="","",IF($AF145&lt;=1200,IF(INDEX(对接源_01水果!$U$4:$U$1203,$AF145)=0,"",INDEX(对接源_01水果!$U$4:$U$1203,$AF145)),IF(INDEX(对接源_02物料!$U$4:$U$1203,$AF145-1200)=0,"",INDEX(对接源_02物料!$U$4:$U$1203,$AF145-1200))))</f>
      </c>
      <c r="E145" s="61">
        <f>IF($AF145="","",IF($AF145&lt;=1200,IF(INDEX(对接源_01水果!$W$4:$W$1203,$AF145)=0,"",INDEX(对接源_01水果!$W$4:$W$1203,$AF145)),IF(INDEX(对接源_02物料!$W$4:$W$1203,$AF145-1200)=0,"",INDEX(对接源_02物料!$W$4:$W$1203,$AF145-1200))))</f>
      </c>
      <c r="F145" s="61">
        <f>IF($AF145="","",IF($AF145&lt;=1200,"01水果册","02物料册"))</f>
      </c>
      <c r="G145" s="122">
        <f>IF($AF145="","",IF($AF145&lt;=1200,IF(INDEX(对接源_01水果!$M$4:$M$1203,$AF145)=0,"",INDEX(对接源_01水果!$M$4:$M$1203,$AF145)),IF(INDEX(对接源_02物料!$M$4:$M$1203,$AF145-1200)=0,"",INDEX(对接源_02物料!$M$4:$M$1203,$AF145-1200))))</f>
      </c>
      <c r="AF145" s="128">
        <f>IFERROR(MATCH(37,_自动清单!$S$4:$S$2403,0),"")</f>
      </c>
    </row>
    <row r="146" ht="18" customHeight="1" s="127">
      <c r="A146" s="165">
        <f>IF($AF146="","",IF($AF146&lt;=1200,IF(INDEX(对接源_01水果!$B$4:$B$1203,$AF146)=0,"",INDEX(对接源_01水果!$B$4:$B$1203,$AF146)),IF(INDEX(对接源_02物料!$B$4:$B$1203,$AF146-1200)=0,"",INDEX(对接源_02物料!$B$4:$B$1203,$AF146-1200))))</f>
      </c>
      <c r="B146" s="104">
        <f>IF($AF146="","",IF($AF146&lt;=1200,IF(INDEX(对接源_01水果!$E$4:$E$1203,$AF146)=0,"",INDEX(对接源_01水果!$E$4:$E$1203,$AF146)),IF(INDEX(对接源_02物料!$E$4:$E$1203,$AF146-1200)=0,"",INDEX(对接源_02物料!$E$4:$E$1203,$AF146-1200))))</f>
      </c>
      <c r="C146" s="131">
        <f>IF($AF146="","",IF($AF146&lt;=1200,IF(INDEX(对接源_01水果!$S$4:$S$1203,$AF146)=0,"",INDEX(对接源_01水果!$S$4:$S$1203,$AF146)),IF(INDEX(对接源_02物料!$S$4:$S$1203,$AF146-1200)=0,"",INDEX(对接源_02物料!$S$4:$S$1203,$AF146-1200))))</f>
      </c>
      <c r="D146" s="170">
        <f>IF($AF146="","",IF($AF146&lt;=1200,IF(INDEX(对接源_01水果!$U$4:$U$1203,$AF146)=0,"",INDEX(对接源_01水果!$U$4:$U$1203,$AF146)),IF(INDEX(对接源_02物料!$U$4:$U$1203,$AF146-1200)=0,"",INDEX(对接源_02物料!$U$4:$U$1203,$AF146-1200))))</f>
      </c>
      <c r="E146" s="104">
        <f>IF($AF146="","",IF($AF146&lt;=1200,IF(INDEX(对接源_01水果!$W$4:$W$1203,$AF146)=0,"",INDEX(对接源_01水果!$W$4:$W$1203,$AF146)),IF(INDEX(对接源_02物料!$W$4:$W$1203,$AF146-1200)=0,"",INDEX(对接源_02物料!$W$4:$W$1203,$AF146-1200))))</f>
      </c>
      <c r="F146" s="104">
        <f>IF($AF146="","",IF($AF146&lt;=1200,"01水果册","02物料册"))</f>
      </c>
      <c r="G146" s="131">
        <f>IF($AF146="","",IF($AF146&lt;=1200,IF(INDEX(对接源_01水果!$M$4:$M$1203,$AF146)=0,"",INDEX(对接源_01水果!$M$4:$M$1203,$AF146)),IF(INDEX(对接源_02物料!$M$4:$M$1203,$AF146-1200)=0,"",INDEX(对接源_02物料!$M$4:$M$1203,$AF146-1200))))</f>
      </c>
      <c r="AF146" s="128">
        <f>IFERROR(MATCH(38,_自动清单!$S$4:$S$2403,0),"")</f>
      </c>
    </row>
    <row r="147" ht="18" customHeight="1" s="127">
      <c r="A147" s="163">
        <f>IF($AF147="","",IF($AF147&lt;=1200,IF(INDEX(对接源_01水果!$B$4:$B$1203,$AF147)=0,"",INDEX(对接源_01水果!$B$4:$B$1203,$AF147)),IF(INDEX(对接源_02物料!$B$4:$B$1203,$AF147-1200)=0,"",INDEX(对接源_02物料!$B$4:$B$1203,$AF147-1200))))</f>
      </c>
      <c r="B147" s="61">
        <f>IF($AF147="","",IF($AF147&lt;=1200,IF(INDEX(对接源_01水果!$E$4:$E$1203,$AF147)=0,"",INDEX(对接源_01水果!$E$4:$E$1203,$AF147)),IF(INDEX(对接源_02物料!$E$4:$E$1203,$AF147-1200)=0,"",INDEX(对接源_02物料!$E$4:$E$1203,$AF147-1200))))</f>
      </c>
      <c r="C147" s="122">
        <f>IF($AF147="","",IF($AF147&lt;=1200,IF(INDEX(对接源_01水果!$S$4:$S$1203,$AF147)=0,"",INDEX(对接源_01水果!$S$4:$S$1203,$AF147)),IF(INDEX(对接源_02物料!$S$4:$S$1203,$AF147-1200)=0,"",INDEX(对接源_02物料!$S$4:$S$1203,$AF147-1200))))</f>
      </c>
      <c r="D147" s="169">
        <f>IF($AF147="","",IF($AF147&lt;=1200,IF(INDEX(对接源_01水果!$U$4:$U$1203,$AF147)=0,"",INDEX(对接源_01水果!$U$4:$U$1203,$AF147)),IF(INDEX(对接源_02物料!$U$4:$U$1203,$AF147-1200)=0,"",INDEX(对接源_02物料!$U$4:$U$1203,$AF147-1200))))</f>
      </c>
      <c r="E147" s="61">
        <f>IF($AF147="","",IF($AF147&lt;=1200,IF(INDEX(对接源_01水果!$W$4:$W$1203,$AF147)=0,"",INDEX(对接源_01水果!$W$4:$W$1203,$AF147)),IF(INDEX(对接源_02物料!$W$4:$W$1203,$AF147-1200)=0,"",INDEX(对接源_02物料!$W$4:$W$1203,$AF147-1200))))</f>
      </c>
      <c r="F147" s="61">
        <f>IF($AF147="","",IF($AF147&lt;=1200,"01水果册","02物料册"))</f>
      </c>
      <c r="G147" s="122">
        <f>IF($AF147="","",IF($AF147&lt;=1200,IF(INDEX(对接源_01水果!$M$4:$M$1203,$AF147)=0,"",INDEX(对接源_01水果!$M$4:$M$1203,$AF147)),IF(INDEX(对接源_02物料!$M$4:$M$1203,$AF147-1200)=0,"",INDEX(对接源_02物料!$M$4:$M$1203,$AF147-1200))))</f>
      </c>
      <c r="AF147" s="128">
        <f>IFERROR(MATCH(39,_自动清单!$S$4:$S$2403,0),"")</f>
      </c>
    </row>
    <row r="148" ht="18" customHeight="1" s="127">
      <c r="A148" s="165">
        <f>IF($AF148="","",IF($AF148&lt;=1200,IF(INDEX(对接源_01水果!$B$4:$B$1203,$AF148)=0,"",INDEX(对接源_01水果!$B$4:$B$1203,$AF148)),IF(INDEX(对接源_02物料!$B$4:$B$1203,$AF148-1200)=0,"",INDEX(对接源_02物料!$B$4:$B$1203,$AF148-1200))))</f>
      </c>
      <c r="B148" s="104">
        <f>IF($AF148="","",IF($AF148&lt;=1200,IF(INDEX(对接源_01水果!$E$4:$E$1203,$AF148)=0,"",INDEX(对接源_01水果!$E$4:$E$1203,$AF148)),IF(INDEX(对接源_02物料!$E$4:$E$1203,$AF148-1200)=0,"",INDEX(对接源_02物料!$E$4:$E$1203,$AF148-1200))))</f>
      </c>
      <c r="C148" s="131">
        <f>IF($AF148="","",IF($AF148&lt;=1200,IF(INDEX(对接源_01水果!$S$4:$S$1203,$AF148)=0,"",INDEX(对接源_01水果!$S$4:$S$1203,$AF148)),IF(INDEX(对接源_02物料!$S$4:$S$1203,$AF148-1200)=0,"",INDEX(对接源_02物料!$S$4:$S$1203,$AF148-1200))))</f>
      </c>
      <c r="D148" s="170">
        <f>IF($AF148="","",IF($AF148&lt;=1200,IF(INDEX(对接源_01水果!$U$4:$U$1203,$AF148)=0,"",INDEX(对接源_01水果!$U$4:$U$1203,$AF148)),IF(INDEX(对接源_02物料!$U$4:$U$1203,$AF148-1200)=0,"",INDEX(对接源_02物料!$U$4:$U$1203,$AF148-1200))))</f>
      </c>
      <c r="E148" s="104">
        <f>IF($AF148="","",IF($AF148&lt;=1200,IF(INDEX(对接源_01水果!$W$4:$W$1203,$AF148)=0,"",INDEX(对接源_01水果!$W$4:$W$1203,$AF148)),IF(INDEX(对接源_02物料!$W$4:$W$1203,$AF148-1200)=0,"",INDEX(对接源_02物料!$W$4:$W$1203,$AF148-1200))))</f>
      </c>
      <c r="F148" s="104">
        <f>IF($AF148="","",IF($AF148&lt;=1200,"01水果册","02物料册"))</f>
      </c>
      <c r="G148" s="131">
        <f>IF($AF148="","",IF($AF148&lt;=1200,IF(INDEX(对接源_01水果!$M$4:$M$1203,$AF148)=0,"",INDEX(对接源_01水果!$M$4:$M$1203,$AF148)),IF(INDEX(对接源_02物料!$M$4:$M$1203,$AF148-1200)=0,"",INDEX(对接源_02物料!$M$4:$M$1203,$AF148-1200))))</f>
      </c>
      <c r="AF148" s="128">
        <f>IFERROR(MATCH(40,_自动清单!$S$4:$S$2403,0),"")</f>
      </c>
    </row>
    <row r="149" ht="18" customHeight="1" s="127">
      <c r="A149" s="163">
        <f>IF($AF149="","",IF($AF149&lt;=1200,IF(INDEX(对接源_01水果!$B$4:$B$1203,$AF149)=0,"",INDEX(对接源_01水果!$B$4:$B$1203,$AF149)),IF(INDEX(对接源_02物料!$B$4:$B$1203,$AF149-1200)=0,"",INDEX(对接源_02物料!$B$4:$B$1203,$AF149-1200))))</f>
      </c>
      <c r="B149" s="61">
        <f>IF($AF149="","",IF($AF149&lt;=1200,IF(INDEX(对接源_01水果!$E$4:$E$1203,$AF149)=0,"",INDEX(对接源_01水果!$E$4:$E$1203,$AF149)),IF(INDEX(对接源_02物料!$E$4:$E$1203,$AF149-1200)=0,"",INDEX(对接源_02物料!$E$4:$E$1203,$AF149-1200))))</f>
      </c>
      <c r="C149" s="122">
        <f>IF($AF149="","",IF($AF149&lt;=1200,IF(INDEX(对接源_01水果!$S$4:$S$1203,$AF149)=0,"",INDEX(对接源_01水果!$S$4:$S$1203,$AF149)),IF(INDEX(对接源_02物料!$S$4:$S$1203,$AF149-1200)=0,"",INDEX(对接源_02物料!$S$4:$S$1203,$AF149-1200))))</f>
      </c>
      <c r="D149" s="169">
        <f>IF($AF149="","",IF($AF149&lt;=1200,IF(INDEX(对接源_01水果!$U$4:$U$1203,$AF149)=0,"",INDEX(对接源_01水果!$U$4:$U$1203,$AF149)),IF(INDEX(对接源_02物料!$U$4:$U$1203,$AF149-1200)=0,"",INDEX(对接源_02物料!$U$4:$U$1203,$AF149-1200))))</f>
      </c>
      <c r="E149" s="61">
        <f>IF($AF149="","",IF($AF149&lt;=1200,IF(INDEX(对接源_01水果!$W$4:$W$1203,$AF149)=0,"",INDEX(对接源_01水果!$W$4:$W$1203,$AF149)),IF(INDEX(对接源_02物料!$W$4:$W$1203,$AF149-1200)=0,"",INDEX(对接源_02物料!$W$4:$W$1203,$AF149-1200))))</f>
      </c>
      <c r="F149" s="61">
        <f>IF($AF149="","",IF($AF149&lt;=1200,"01水果册","02物料册"))</f>
      </c>
      <c r="G149" s="122">
        <f>IF($AF149="","",IF($AF149&lt;=1200,IF(INDEX(对接源_01水果!$M$4:$M$1203,$AF149)=0,"",INDEX(对接源_01水果!$M$4:$M$1203,$AF149)),IF(INDEX(对接源_02物料!$M$4:$M$1203,$AF149-1200)=0,"",INDEX(对接源_02物料!$M$4:$M$1203,$AF149-1200))))</f>
      </c>
      <c r="AF149" s="128">
        <f>IFERROR(MATCH(41,_自动清单!$S$4:$S$2403,0),"")</f>
      </c>
    </row>
    <row r="150" ht="18" customHeight="1" s="127">
      <c r="A150" s="165">
        <f>IF($AF150="","",IF($AF150&lt;=1200,IF(INDEX(对接源_01水果!$B$4:$B$1203,$AF150)=0,"",INDEX(对接源_01水果!$B$4:$B$1203,$AF150)),IF(INDEX(对接源_02物料!$B$4:$B$1203,$AF150-1200)=0,"",INDEX(对接源_02物料!$B$4:$B$1203,$AF150-1200))))</f>
      </c>
      <c r="B150" s="104">
        <f>IF($AF150="","",IF($AF150&lt;=1200,IF(INDEX(对接源_01水果!$E$4:$E$1203,$AF150)=0,"",INDEX(对接源_01水果!$E$4:$E$1203,$AF150)),IF(INDEX(对接源_02物料!$E$4:$E$1203,$AF150-1200)=0,"",INDEX(对接源_02物料!$E$4:$E$1203,$AF150-1200))))</f>
      </c>
      <c r="C150" s="131">
        <f>IF($AF150="","",IF($AF150&lt;=1200,IF(INDEX(对接源_01水果!$S$4:$S$1203,$AF150)=0,"",INDEX(对接源_01水果!$S$4:$S$1203,$AF150)),IF(INDEX(对接源_02物料!$S$4:$S$1203,$AF150-1200)=0,"",INDEX(对接源_02物料!$S$4:$S$1203,$AF150-1200))))</f>
      </c>
      <c r="D150" s="170">
        <f>IF($AF150="","",IF($AF150&lt;=1200,IF(INDEX(对接源_01水果!$U$4:$U$1203,$AF150)=0,"",INDEX(对接源_01水果!$U$4:$U$1203,$AF150)),IF(INDEX(对接源_02物料!$U$4:$U$1203,$AF150-1200)=0,"",INDEX(对接源_02物料!$U$4:$U$1203,$AF150-1200))))</f>
      </c>
      <c r="E150" s="104">
        <f>IF($AF150="","",IF($AF150&lt;=1200,IF(INDEX(对接源_01水果!$W$4:$W$1203,$AF150)=0,"",INDEX(对接源_01水果!$W$4:$W$1203,$AF150)),IF(INDEX(对接源_02物料!$W$4:$W$1203,$AF150-1200)=0,"",INDEX(对接源_02物料!$W$4:$W$1203,$AF150-1200))))</f>
      </c>
      <c r="F150" s="104">
        <f>IF($AF150="","",IF($AF150&lt;=1200,"01水果册","02物料册"))</f>
      </c>
      <c r="G150" s="131">
        <f>IF($AF150="","",IF($AF150&lt;=1200,IF(INDEX(对接源_01水果!$M$4:$M$1203,$AF150)=0,"",INDEX(对接源_01水果!$M$4:$M$1203,$AF150)),IF(INDEX(对接源_02物料!$M$4:$M$1203,$AF150-1200)=0,"",INDEX(对接源_02物料!$M$4:$M$1203,$AF150-1200))))</f>
      </c>
      <c r="AF150" s="128">
        <f>IFERROR(MATCH(42,_自动清单!$S$4:$S$2403,0),"")</f>
      </c>
    </row>
    <row r="151" ht="18" customHeight="1" s="127">
      <c r="A151" s="163">
        <f>IF($AF151="","",IF($AF151&lt;=1200,IF(INDEX(对接源_01水果!$B$4:$B$1203,$AF151)=0,"",INDEX(对接源_01水果!$B$4:$B$1203,$AF151)),IF(INDEX(对接源_02物料!$B$4:$B$1203,$AF151-1200)=0,"",INDEX(对接源_02物料!$B$4:$B$1203,$AF151-1200))))</f>
      </c>
      <c r="B151" s="61">
        <f>IF($AF151="","",IF($AF151&lt;=1200,IF(INDEX(对接源_01水果!$E$4:$E$1203,$AF151)=0,"",INDEX(对接源_01水果!$E$4:$E$1203,$AF151)),IF(INDEX(对接源_02物料!$E$4:$E$1203,$AF151-1200)=0,"",INDEX(对接源_02物料!$E$4:$E$1203,$AF151-1200))))</f>
      </c>
      <c r="C151" s="122">
        <f>IF($AF151="","",IF($AF151&lt;=1200,IF(INDEX(对接源_01水果!$S$4:$S$1203,$AF151)=0,"",INDEX(对接源_01水果!$S$4:$S$1203,$AF151)),IF(INDEX(对接源_02物料!$S$4:$S$1203,$AF151-1200)=0,"",INDEX(对接源_02物料!$S$4:$S$1203,$AF151-1200))))</f>
      </c>
      <c r="D151" s="169">
        <f>IF($AF151="","",IF($AF151&lt;=1200,IF(INDEX(对接源_01水果!$U$4:$U$1203,$AF151)=0,"",INDEX(对接源_01水果!$U$4:$U$1203,$AF151)),IF(INDEX(对接源_02物料!$U$4:$U$1203,$AF151-1200)=0,"",INDEX(对接源_02物料!$U$4:$U$1203,$AF151-1200))))</f>
      </c>
      <c r="E151" s="61">
        <f>IF($AF151="","",IF($AF151&lt;=1200,IF(INDEX(对接源_01水果!$W$4:$W$1203,$AF151)=0,"",INDEX(对接源_01水果!$W$4:$W$1203,$AF151)),IF(INDEX(对接源_02物料!$W$4:$W$1203,$AF151-1200)=0,"",INDEX(对接源_02物料!$W$4:$W$1203,$AF151-1200))))</f>
      </c>
      <c r="F151" s="61">
        <f>IF($AF151="","",IF($AF151&lt;=1200,"01水果册","02物料册"))</f>
      </c>
      <c r="G151" s="122">
        <f>IF($AF151="","",IF($AF151&lt;=1200,IF(INDEX(对接源_01水果!$M$4:$M$1203,$AF151)=0,"",INDEX(对接源_01水果!$M$4:$M$1203,$AF151)),IF(INDEX(对接源_02物料!$M$4:$M$1203,$AF151-1200)=0,"",INDEX(对接源_02物料!$M$4:$M$1203,$AF151-1200))))</f>
      </c>
      <c r="AF151" s="128">
        <f>IFERROR(MATCH(43,_自动清单!$S$4:$S$2403,0),"")</f>
      </c>
    </row>
    <row r="152" ht="18" customHeight="1" s="127">
      <c r="A152" s="165">
        <f>IF($AF152="","",IF($AF152&lt;=1200,IF(INDEX(对接源_01水果!$B$4:$B$1203,$AF152)=0,"",INDEX(对接源_01水果!$B$4:$B$1203,$AF152)),IF(INDEX(对接源_02物料!$B$4:$B$1203,$AF152-1200)=0,"",INDEX(对接源_02物料!$B$4:$B$1203,$AF152-1200))))</f>
      </c>
      <c r="B152" s="104">
        <f>IF($AF152="","",IF($AF152&lt;=1200,IF(INDEX(对接源_01水果!$E$4:$E$1203,$AF152)=0,"",INDEX(对接源_01水果!$E$4:$E$1203,$AF152)),IF(INDEX(对接源_02物料!$E$4:$E$1203,$AF152-1200)=0,"",INDEX(对接源_02物料!$E$4:$E$1203,$AF152-1200))))</f>
      </c>
      <c r="C152" s="131">
        <f>IF($AF152="","",IF($AF152&lt;=1200,IF(INDEX(对接源_01水果!$S$4:$S$1203,$AF152)=0,"",INDEX(对接源_01水果!$S$4:$S$1203,$AF152)),IF(INDEX(对接源_02物料!$S$4:$S$1203,$AF152-1200)=0,"",INDEX(对接源_02物料!$S$4:$S$1203,$AF152-1200))))</f>
      </c>
      <c r="D152" s="170">
        <f>IF($AF152="","",IF($AF152&lt;=1200,IF(INDEX(对接源_01水果!$U$4:$U$1203,$AF152)=0,"",INDEX(对接源_01水果!$U$4:$U$1203,$AF152)),IF(INDEX(对接源_02物料!$U$4:$U$1203,$AF152-1200)=0,"",INDEX(对接源_02物料!$U$4:$U$1203,$AF152-1200))))</f>
      </c>
      <c r="E152" s="104">
        <f>IF($AF152="","",IF($AF152&lt;=1200,IF(INDEX(对接源_01水果!$W$4:$W$1203,$AF152)=0,"",INDEX(对接源_01水果!$W$4:$W$1203,$AF152)),IF(INDEX(对接源_02物料!$W$4:$W$1203,$AF152-1200)=0,"",INDEX(对接源_02物料!$W$4:$W$1203,$AF152-1200))))</f>
      </c>
      <c r="F152" s="104">
        <f>IF($AF152="","",IF($AF152&lt;=1200,"01水果册","02物料册"))</f>
      </c>
      <c r="G152" s="131">
        <f>IF($AF152="","",IF($AF152&lt;=1200,IF(INDEX(对接源_01水果!$M$4:$M$1203,$AF152)=0,"",INDEX(对接源_01水果!$M$4:$M$1203,$AF152)),IF(INDEX(对接源_02物料!$M$4:$M$1203,$AF152-1200)=0,"",INDEX(对接源_02物料!$M$4:$M$1203,$AF152-1200))))</f>
      </c>
      <c r="AF152" s="128">
        <f>IFERROR(MATCH(44,_自动清单!$S$4:$S$2403,0),"")</f>
      </c>
    </row>
    <row r="153" ht="18" customHeight="1" s="127">
      <c r="A153" s="163">
        <f>IF($AF153="","",IF($AF153&lt;=1200,IF(INDEX(对接源_01水果!$B$4:$B$1203,$AF153)=0,"",INDEX(对接源_01水果!$B$4:$B$1203,$AF153)),IF(INDEX(对接源_02物料!$B$4:$B$1203,$AF153-1200)=0,"",INDEX(对接源_02物料!$B$4:$B$1203,$AF153-1200))))</f>
      </c>
      <c r="B153" s="61">
        <f>IF($AF153="","",IF($AF153&lt;=1200,IF(INDEX(对接源_01水果!$E$4:$E$1203,$AF153)=0,"",INDEX(对接源_01水果!$E$4:$E$1203,$AF153)),IF(INDEX(对接源_02物料!$E$4:$E$1203,$AF153-1200)=0,"",INDEX(对接源_02物料!$E$4:$E$1203,$AF153-1200))))</f>
      </c>
      <c r="C153" s="122">
        <f>IF($AF153="","",IF($AF153&lt;=1200,IF(INDEX(对接源_01水果!$S$4:$S$1203,$AF153)=0,"",INDEX(对接源_01水果!$S$4:$S$1203,$AF153)),IF(INDEX(对接源_02物料!$S$4:$S$1203,$AF153-1200)=0,"",INDEX(对接源_02物料!$S$4:$S$1203,$AF153-1200))))</f>
      </c>
      <c r="D153" s="169">
        <f>IF($AF153="","",IF($AF153&lt;=1200,IF(INDEX(对接源_01水果!$U$4:$U$1203,$AF153)=0,"",INDEX(对接源_01水果!$U$4:$U$1203,$AF153)),IF(INDEX(对接源_02物料!$U$4:$U$1203,$AF153-1200)=0,"",INDEX(对接源_02物料!$U$4:$U$1203,$AF153-1200))))</f>
      </c>
      <c r="E153" s="61">
        <f>IF($AF153="","",IF($AF153&lt;=1200,IF(INDEX(对接源_01水果!$W$4:$W$1203,$AF153)=0,"",INDEX(对接源_01水果!$W$4:$W$1203,$AF153)),IF(INDEX(对接源_02物料!$W$4:$W$1203,$AF153-1200)=0,"",INDEX(对接源_02物料!$W$4:$W$1203,$AF153-1200))))</f>
      </c>
      <c r="F153" s="61">
        <f>IF($AF153="","",IF($AF153&lt;=1200,"01水果册","02物料册"))</f>
      </c>
      <c r="G153" s="122">
        <f>IF($AF153="","",IF($AF153&lt;=1200,IF(INDEX(对接源_01水果!$M$4:$M$1203,$AF153)=0,"",INDEX(对接源_01水果!$M$4:$M$1203,$AF153)),IF(INDEX(对接源_02物料!$M$4:$M$1203,$AF153-1200)=0,"",INDEX(对接源_02物料!$M$4:$M$1203,$AF153-1200))))</f>
      </c>
      <c r="AF153" s="128">
        <f>IFERROR(MATCH(45,_自动清单!$S$4:$S$2403,0),"")</f>
      </c>
    </row>
    <row r="154" ht="18" customHeight="1" s="127">
      <c r="A154" s="165">
        <f>IF($AF154="","",IF($AF154&lt;=1200,IF(INDEX(对接源_01水果!$B$4:$B$1203,$AF154)=0,"",INDEX(对接源_01水果!$B$4:$B$1203,$AF154)),IF(INDEX(对接源_02物料!$B$4:$B$1203,$AF154-1200)=0,"",INDEX(对接源_02物料!$B$4:$B$1203,$AF154-1200))))</f>
      </c>
      <c r="B154" s="104">
        <f>IF($AF154="","",IF($AF154&lt;=1200,IF(INDEX(对接源_01水果!$E$4:$E$1203,$AF154)=0,"",INDEX(对接源_01水果!$E$4:$E$1203,$AF154)),IF(INDEX(对接源_02物料!$E$4:$E$1203,$AF154-1200)=0,"",INDEX(对接源_02物料!$E$4:$E$1203,$AF154-1200))))</f>
      </c>
      <c r="C154" s="131">
        <f>IF($AF154="","",IF($AF154&lt;=1200,IF(INDEX(对接源_01水果!$S$4:$S$1203,$AF154)=0,"",INDEX(对接源_01水果!$S$4:$S$1203,$AF154)),IF(INDEX(对接源_02物料!$S$4:$S$1203,$AF154-1200)=0,"",INDEX(对接源_02物料!$S$4:$S$1203,$AF154-1200))))</f>
      </c>
      <c r="D154" s="170">
        <f>IF($AF154="","",IF($AF154&lt;=1200,IF(INDEX(对接源_01水果!$U$4:$U$1203,$AF154)=0,"",INDEX(对接源_01水果!$U$4:$U$1203,$AF154)),IF(INDEX(对接源_02物料!$U$4:$U$1203,$AF154-1200)=0,"",INDEX(对接源_02物料!$U$4:$U$1203,$AF154-1200))))</f>
      </c>
      <c r="E154" s="104">
        <f>IF($AF154="","",IF($AF154&lt;=1200,IF(INDEX(对接源_01水果!$W$4:$W$1203,$AF154)=0,"",INDEX(对接源_01水果!$W$4:$W$1203,$AF154)),IF(INDEX(对接源_02物料!$W$4:$W$1203,$AF154-1200)=0,"",INDEX(对接源_02物料!$W$4:$W$1203,$AF154-1200))))</f>
      </c>
      <c r="F154" s="104">
        <f>IF($AF154="","",IF($AF154&lt;=1200,"01水果册","02物料册"))</f>
      </c>
      <c r="G154" s="131">
        <f>IF($AF154="","",IF($AF154&lt;=1200,IF(INDEX(对接源_01水果!$M$4:$M$1203,$AF154)=0,"",INDEX(对接源_01水果!$M$4:$M$1203,$AF154)),IF(INDEX(对接源_02物料!$M$4:$M$1203,$AF154-1200)=0,"",INDEX(对接源_02物料!$M$4:$M$1203,$AF154-1200))))</f>
      </c>
      <c r="AF154" s="128">
        <f>IFERROR(MATCH(46,_自动清单!$S$4:$S$2403,0),"")</f>
      </c>
    </row>
    <row r="155" ht="18" customHeight="1" s="127">
      <c r="A155" s="163">
        <f>IF($AF155="","",IF($AF155&lt;=1200,IF(INDEX(对接源_01水果!$B$4:$B$1203,$AF155)=0,"",INDEX(对接源_01水果!$B$4:$B$1203,$AF155)),IF(INDEX(对接源_02物料!$B$4:$B$1203,$AF155-1200)=0,"",INDEX(对接源_02物料!$B$4:$B$1203,$AF155-1200))))</f>
      </c>
      <c r="B155" s="61">
        <f>IF($AF155="","",IF($AF155&lt;=1200,IF(INDEX(对接源_01水果!$E$4:$E$1203,$AF155)=0,"",INDEX(对接源_01水果!$E$4:$E$1203,$AF155)),IF(INDEX(对接源_02物料!$E$4:$E$1203,$AF155-1200)=0,"",INDEX(对接源_02物料!$E$4:$E$1203,$AF155-1200))))</f>
      </c>
      <c r="C155" s="122">
        <f>IF($AF155="","",IF($AF155&lt;=1200,IF(INDEX(对接源_01水果!$S$4:$S$1203,$AF155)=0,"",INDEX(对接源_01水果!$S$4:$S$1203,$AF155)),IF(INDEX(对接源_02物料!$S$4:$S$1203,$AF155-1200)=0,"",INDEX(对接源_02物料!$S$4:$S$1203,$AF155-1200))))</f>
      </c>
      <c r="D155" s="169">
        <f>IF($AF155="","",IF($AF155&lt;=1200,IF(INDEX(对接源_01水果!$U$4:$U$1203,$AF155)=0,"",INDEX(对接源_01水果!$U$4:$U$1203,$AF155)),IF(INDEX(对接源_02物料!$U$4:$U$1203,$AF155-1200)=0,"",INDEX(对接源_02物料!$U$4:$U$1203,$AF155-1200))))</f>
      </c>
      <c r="E155" s="61">
        <f>IF($AF155="","",IF($AF155&lt;=1200,IF(INDEX(对接源_01水果!$W$4:$W$1203,$AF155)=0,"",INDEX(对接源_01水果!$W$4:$W$1203,$AF155)),IF(INDEX(对接源_02物料!$W$4:$W$1203,$AF155-1200)=0,"",INDEX(对接源_02物料!$W$4:$W$1203,$AF155-1200))))</f>
      </c>
      <c r="F155" s="61">
        <f>IF($AF155="","",IF($AF155&lt;=1200,"01水果册","02物料册"))</f>
      </c>
      <c r="G155" s="122">
        <f>IF($AF155="","",IF($AF155&lt;=1200,IF(INDEX(对接源_01水果!$M$4:$M$1203,$AF155)=0,"",INDEX(对接源_01水果!$M$4:$M$1203,$AF155)),IF(INDEX(对接源_02物料!$M$4:$M$1203,$AF155-1200)=0,"",INDEX(对接源_02物料!$M$4:$M$1203,$AF155-1200))))</f>
      </c>
      <c r="AF155" s="128">
        <f>IFERROR(MATCH(47,_自动清单!$S$4:$S$2403,0),"")</f>
      </c>
    </row>
    <row r="156" ht="18" customHeight="1" s="127">
      <c r="A156" s="165">
        <f>IF($AF156="","",IF($AF156&lt;=1200,IF(INDEX(对接源_01水果!$B$4:$B$1203,$AF156)=0,"",INDEX(对接源_01水果!$B$4:$B$1203,$AF156)),IF(INDEX(对接源_02物料!$B$4:$B$1203,$AF156-1200)=0,"",INDEX(对接源_02物料!$B$4:$B$1203,$AF156-1200))))</f>
      </c>
      <c r="B156" s="104">
        <f>IF($AF156="","",IF($AF156&lt;=1200,IF(INDEX(对接源_01水果!$E$4:$E$1203,$AF156)=0,"",INDEX(对接源_01水果!$E$4:$E$1203,$AF156)),IF(INDEX(对接源_02物料!$E$4:$E$1203,$AF156-1200)=0,"",INDEX(对接源_02物料!$E$4:$E$1203,$AF156-1200))))</f>
      </c>
      <c r="C156" s="131">
        <f>IF($AF156="","",IF($AF156&lt;=1200,IF(INDEX(对接源_01水果!$S$4:$S$1203,$AF156)=0,"",INDEX(对接源_01水果!$S$4:$S$1203,$AF156)),IF(INDEX(对接源_02物料!$S$4:$S$1203,$AF156-1200)=0,"",INDEX(对接源_02物料!$S$4:$S$1203,$AF156-1200))))</f>
      </c>
      <c r="D156" s="170">
        <f>IF($AF156="","",IF($AF156&lt;=1200,IF(INDEX(对接源_01水果!$U$4:$U$1203,$AF156)=0,"",INDEX(对接源_01水果!$U$4:$U$1203,$AF156)),IF(INDEX(对接源_02物料!$U$4:$U$1203,$AF156-1200)=0,"",INDEX(对接源_02物料!$U$4:$U$1203,$AF156-1200))))</f>
      </c>
      <c r="E156" s="104">
        <f>IF($AF156="","",IF($AF156&lt;=1200,IF(INDEX(对接源_01水果!$W$4:$W$1203,$AF156)=0,"",INDEX(对接源_01水果!$W$4:$W$1203,$AF156)),IF(INDEX(对接源_02物料!$W$4:$W$1203,$AF156-1200)=0,"",INDEX(对接源_02物料!$W$4:$W$1203,$AF156-1200))))</f>
      </c>
      <c r="F156" s="104">
        <f>IF($AF156="","",IF($AF156&lt;=1200,"01水果册","02物料册"))</f>
      </c>
      <c r="G156" s="131">
        <f>IF($AF156="","",IF($AF156&lt;=1200,IF(INDEX(对接源_01水果!$M$4:$M$1203,$AF156)=0,"",INDEX(对接源_01水果!$M$4:$M$1203,$AF156)),IF(INDEX(对接源_02物料!$M$4:$M$1203,$AF156-1200)=0,"",INDEX(对接源_02物料!$M$4:$M$1203,$AF156-1200))))</f>
      </c>
      <c r="AF156" s="128">
        <f>IFERROR(MATCH(48,_自动清单!$S$4:$S$2403,0),"")</f>
      </c>
    </row>
    <row r="157" ht="18" customHeight="1" s="127">
      <c r="A157" s="163">
        <f>IF($AF157="","",IF($AF157&lt;=1200,IF(INDEX(对接源_01水果!$B$4:$B$1203,$AF157)=0,"",INDEX(对接源_01水果!$B$4:$B$1203,$AF157)),IF(INDEX(对接源_02物料!$B$4:$B$1203,$AF157-1200)=0,"",INDEX(对接源_02物料!$B$4:$B$1203,$AF157-1200))))</f>
      </c>
      <c r="B157" s="61">
        <f>IF($AF157="","",IF($AF157&lt;=1200,IF(INDEX(对接源_01水果!$E$4:$E$1203,$AF157)=0,"",INDEX(对接源_01水果!$E$4:$E$1203,$AF157)),IF(INDEX(对接源_02物料!$E$4:$E$1203,$AF157-1200)=0,"",INDEX(对接源_02物料!$E$4:$E$1203,$AF157-1200))))</f>
      </c>
      <c r="C157" s="122">
        <f>IF($AF157="","",IF($AF157&lt;=1200,IF(INDEX(对接源_01水果!$S$4:$S$1203,$AF157)=0,"",INDEX(对接源_01水果!$S$4:$S$1203,$AF157)),IF(INDEX(对接源_02物料!$S$4:$S$1203,$AF157-1200)=0,"",INDEX(对接源_02物料!$S$4:$S$1203,$AF157-1200))))</f>
      </c>
      <c r="D157" s="169">
        <f>IF($AF157="","",IF($AF157&lt;=1200,IF(INDEX(对接源_01水果!$U$4:$U$1203,$AF157)=0,"",INDEX(对接源_01水果!$U$4:$U$1203,$AF157)),IF(INDEX(对接源_02物料!$U$4:$U$1203,$AF157-1200)=0,"",INDEX(对接源_02物料!$U$4:$U$1203,$AF157-1200))))</f>
      </c>
      <c r="E157" s="61">
        <f>IF($AF157="","",IF($AF157&lt;=1200,IF(INDEX(对接源_01水果!$W$4:$W$1203,$AF157)=0,"",INDEX(对接源_01水果!$W$4:$W$1203,$AF157)),IF(INDEX(对接源_02物料!$W$4:$W$1203,$AF157-1200)=0,"",INDEX(对接源_02物料!$W$4:$W$1203,$AF157-1200))))</f>
      </c>
      <c r="F157" s="61">
        <f>IF($AF157="","",IF($AF157&lt;=1200,"01水果册","02物料册"))</f>
      </c>
      <c r="G157" s="122">
        <f>IF($AF157="","",IF($AF157&lt;=1200,IF(INDEX(对接源_01水果!$M$4:$M$1203,$AF157)=0,"",INDEX(对接源_01水果!$M$4:$M$1203,$AF157)),IF(INDEX(对接源_02物料!$M$4:$M$1203,$AF157-1200)=0,"",INDEX(对接源_02物料!$M$4:$M$1203,$AF157-1200))))</f>
      </c>
      <c r="AF157" s="128">
        <f>IFERROR(MATCH(49,_自动清单!$S$4:$S$2403,0),"")</f>
      </c>
    </row>
    <row r="158" ht="18" customHeight="1" s="127">
      <c r="A158" s="165">
        <f>IF($AF158="","",IF($AF158&lt;=1200,IF(INDEX(对接源_01水果!$B$4:$B$1203,$AF158)=0,"",INDEX(对接源_01水果!$B$4:$B$1203,$AF158)),IF(INDEX(对接源_02物料!$B$4:$B$1203,$AF158-1200)=0,"",INDEX(对接源_02物料!$B$4:$B$1203,$AF158-1200))))</f>
      </c>
      <c r="B158" s="104">
        <f>IF($AF158="","",IF($AF158&lt;=1200,IF(INDEX(对接源_01水果!$E$4:$E$1203,$AF158)=0,"",INDEX(对接源_01水果!$E$4:$E$1203,$AF158)),IF(INDEX(对接源_02物料!$E$4:$E$1203,$AF158-1200)=0,"",INDEX(对接源_02物料!$E$4:$E$1203,$AF158-1200))))</f>
      </c>
      <c r="C158" s="131">
        <f>IF($AF158="","",IF($AF158&lt;=1200,IF(INDEX(对接源_01水果!$S$4:$S$1203,$AF158)=0,"",INDEX(对接源_01水果!$S$4:$S$1203,$AF158)),IF(INDEX(对接源_02物料!$S$4:$S$1203,$AF158-1200)=0,"",INDEX(对接源_02物料!$S$4:$S$1203,$AF158-1200))))</f>
      </c>
      <c r="D158" s="170">
        <f>IF($AF158="","",IF($AF158&lt;=1200,IF(INDEX(对接源_01水果!$U$4:$U$1203,$AF158)=0,"",INDEX(对接源_01水果!$U$4:$U$1203,$AF158)),IF(INDEX(对接源_02物料!$U$4:$U$1203,$AF158-1200)=0,"",INDEX(对接源_02物料!$U$4:$U$1203,$AF158-1200))))</f>
      </c>
      <c r="E158" s="104">
        <f>IF($AF158="","",IF($AF158&lt;=1200,IF(INDEX(对接源_01水果!$W$4:$W$1203,$AF158)=0,"",INDEX(对接源_01水果!$W$4:$W$1203,$AF158)),IF(INDEX(对接源_02物料!$W$4:$W$1203,$AF158-1200)=0,"",INDEX(对接源_02物料!$W$4:$W$1203,$AF158-1200))))</f>
      </c>
      <c r="F158" s="104">
        <f>IF($AF158="","",IF($AF158&lt;=1200,"01水果册","02物料册"))</f>
      </c>
      <c r="G158" s="131">
        <f>IF($AF158="","",IF($AF158&lt;=1200,IF(INDEX(对接源_01水果!$M$4:$M$1203,$AF158)=0,"",INDEX(对接源_01水果!$M$4:$M$1203,$AF158)),IF(INDEX(对接源_02物料!$M$4:$M$1203,$AF158-1200)=0,"",INDEX(对接源_02物料!$M$4:$M$1203,$AF158-1200))))</f>
      </c>
      <c r="AF158" s="128">
        <f>IFERROR(MATCH(50,_自动清单!$S$4:$S$2403,0),"")</f>
      </c>
    </row>
    <row r="159" ht="18" customHeight="1" s="127">
      <c r="A159" s="163">
        <f>IF($AF159="","",IF($AF159&lt;=1200,IF(INDEX(对接源_01水果!$B$4:$B$1203,$AF159)=0,"",INDEX(对接源_01水果!$B$4:$B$1203,$AF159)),IF(INDEX(对接源_02物料!$B$4:$B$1203,$AF159-1200)=0,"",INDEX(对接源_02物料!$B$4:$B$1203,$AF159-1200))))</f>
      </c>
      <c r="B159" s="61">
        <f>IF($AF159="","",IF($AF159&lt;=1200,IF(INDEX(对接源_01水果!$E$4:$E$1203,$AF159)=0,"",INDEX(对接源_01水果!$E$4:$E$1203,$AF159)),IF(INDEX(对接源_02物料!$E$4:$E$1203,$AF159-1200)=0,"",INDEX(对接源_02物料!$E$4:$E$1203,$AF159-1200))))</f>
      </c>
      <c r="C159" s="122">
        <f>IF($AF159="","",IF($AF159&lt;=1200,IF(INDEX(对接源_01水果!$S$4:$S$1203,$AF159)=0,"",INDEX(对接源_01水果!$S$4:$S$1203,$AF159)),IF(INDEX(对接源_02物料!$S$4:$S$1203,$AF159-1200)=0,"",INDEX(对接源_02物料!$S$4:$S$1203,$AF159-1200))))</f>
      </c>
      <c r="D159" s="169">
        <f>IF($AF159="","",IF($AF159&lt;=1200,IF(INDEX(对接源_01水果!$U$4:$U$1203,$AF159)=0,"",INDEX(对接源_01水果!$U$4:$U$1203,$AF159)),IF(INDEX(对接源_02物料!$U$4:$U$1203,$AF159-1200)=0,"",INDEX(对接源_02物料!$U$4:$U$1203,$AF159-1200))))</f>
      </c>
      <c r="E159" s="61">
        <f>IF($AF159="","",IF($AF159&lt;=1200,IF(INDEX(对接源_01水果!$W$4:$W$1203,$AF159)=0,"",INDEX(对接源_01水果!$W$4:$W$1203,$AF159)),IF(INDEX(对接源_02物料!$W$4:$W$1203,$AF159-1200)=0,"",INDEX(对接源_02物料!$W$4:$W$1203,$AF159-1200))))</f>
      </c>
      <c r="F159" s="61">
        <f>IF($AF159="","",IF($AF159&lt;=1200,"01水果册","02物料册"))</f>
      </c>
      <c r="G159" s="122">
        <f>IF($AF159="","",IF($AF159&lt;=1200,IF(INDEX(对接源_01水果!$M$4:$M$1203,$AF159)=0,"",INDEX(对接源_01水果!$M$4:$M$1203,$AF159)),IF(INDEX(对接源_02物料!$M$4:$M$1203,$AF159-1200)=0,"",INDEX(对接源_02物料!$M$4:$M$1203,$AF159-1200))))</f>
      </c>
      <c r="AF159" s="128">
        <f>IFERROR(MATCH(51,_自动清单!$S$4:$S$2403,0),"")</f>
      </c>
    </row>
    <row r="160" ht="18" customHeight="1" s="127">
      <c r="A160" s="165">
        <f>IF($AF160="","",IF($AF160&lt;=1200,IF(INDEX(对接源_01水果!$B$4:$B$1203,$AF160)=0,"",INDEX(对接源_01水果!$B$4:$B$1203,$AF160)),IF(INDEX(对接源_02物料!$B$4:$B$1203,$AF160-1200)=0,"",INDEX(对接源_02物料!$B$4:$B$1203,$AF160-1200))))</f>
      </c>
      <c r="B160" s="104">
        <f>IF($AF160="","",IF($AF160&lt;=1200,IF(INDEX(对接源_01水果!$E$4:$E$1203,$AF160)=0,"",INDEX(对接源_01水果!$E$4:$E$1203,$AF160)),IF(INDEX(对接源_02物料!$E$4:$E$1203,$AF160-1200)=0,"",INDEX(对接源_02物料!$E$4:$E$1203,$AF160-1200))))</f>
      </c>
      <c r="C160" s="131">
        <f>IF($AF160="","",IF($AF160&lt;=1200,IF(INDEX(对接源_01水果!$S$4:$S$1203,$AF160)=0,"",INDEX(对接源_01水果!$S$4:$S$1203,$AF160)),IF(INDEX(对接源_02物料!$S$4:$S$1203,$AF160-1200)=0,"",INDEX(对接源_02物料!$S$4:$S$1203,$AF160-1200))))</f>
      </c>
      <c r="D160" s="170">
        <f>IF($AF160="","",IF($AF160&lt;=1200,IF(INDEX(对接源_01水果!$U$4:$U$1203,$AF160)=0,"",INDEX(对接源_01水果!$U$4:$U$1203,$AF160)),IF(INDEX(对接源_02物料!$U$4:$U$1203,$AF160-1200)=0,"",INDEX(对接源_02物料!$U$4:$U$1203,$AF160-1200))))</f>
      </c>
      <c r="E160" s="104">
        <f>IF($AF160="","",IF($AF160&lt;=1200,IF(INDEX(对接源_01水果!$W$4:$W$1203,$AF160)=0,"",INDEX(对接源_01水果!$W$4:$W$1203,$AF160)),IF(INDEX(对接源_02物料!$W$4:$W$1203,$AF160-1200)=0,"",INDEX(对接源_02物料!$W$4:$W$1203,$AF160-1200))))</f>
      </c>
      <c r="F160" s="104">
        <f>IF($AF160="","",IF($AF160&lt;=1200,"01水果册","02物料册"))</f>
      </c>
      <c r="G160" s="131">
        <f>IF($AF160="","",IF($AF160&lt;=1200,IF(INDEX(对接源_01水果!$M$4:$M$1203,$AF160)=0,"",INDEX(对接源_01水果!$M$4:$M$1203,$AF160)),IF(INDEX(对接源_02物料!$M$4:$M$1203,$AF160-1200)=0,"",INDEX(对接源_02物料!$M$4:$M$1203,$AF160-1200))))</f>
      </c>
      <c r="AF160" s="128">
        <f>IFERROR(MATCH(52,_自动清单!$S$4:$S$2403,0),"")</f>
      </c>
    </row>
    <row r="161" ht="18" customHeight="1" s="127">
      <c r="A161" s="163">
        <f>IF($AF161="","",IF($AF161&lt;=1200,IF(INDEX(对接源_01水果!$B$4:$B$1203,$AF161)=0,"",INDEX(对接源_01水果!$B$4:$B$1203,$AF161)),IF(INDEX(对接源_02物料!$B$4:$B$1203,$AF161-1200)=0,"",INDEX(对接源_02物料!$B$4:$B$1203,$AF161-1200))))</f>
      </c>
      <c r="B161" s="61">
        <f>IF($AF161="","",IF($AF161&lt;=1200,IF(INDEX(对接源_01水果!$E$4:$E$1203,$AF161)=0,"",INDEX(对接源_01水果!$E$4:$E$1203,$AF161)),IF(INDEX(对接源_02物料!$E$4:$E$1203,$AF161-1200)=0,"",INDEX(对接源_02物料!$E$4:$E$1203,$AF161-1200))))</f>
      </c>
      <c r="C161" s="122">
        <f>IF($AF161="","",IF($AF161&lt;=1200,IF(INDEX(对接源_01水果!$S$4:$S$1203,$AF161)=0,"",INDEX(对接源_01水果!$S$4:$S$1203,$AF161)),IF(INDEX(对接源_02物料!$S$4:$S$1203,$AF161-1200)=0,"",INDEX(对接源_02物料!$S$4:$S$1203,$AF161-1200))))</f>
      </c>
      <c r="D161" s="169">
        <f>IF($AF161="","",IF($AF161&lt;=1200,IF(INDEX(对接源_01水果!$U$4:$U$1203,$AF161)=0,"",INDEX(对接源_01水果!$U$4:$U$1203,$AF161)),IF(INDEX(对接源_02物料!$U$4:$U$1203,$AF161-1200)=0,"",INDEX(对接源_02物料!$U$4:$U$1203,$AF161-1200))))</f>
      </c>
      <c r="E161" s="61">
        <f>IF($AF161="","",IF($AF161&lt;=1200,IF(INDEX(对接源_01水果!$W$4:$W$1203,$AF161)=0,"",INDEX(对接源_01水果!$W$4:$W$1203,$AF161)),IF(INDEX(对接源_02物料!$W$4:$W$1203,$AF161-1200)=0,"",INDEX(对接源_02物料!$W$4:$W$1203,$AF161-1200))))</f>
      </c>
      <c r="F161" s="61">
        <f>IF($AF161="","",IF($AF161&lt;=1200,"01水果册","02物料册"))</f>
      </c>
      <c r="G161" s="122">
        <f>IF($AF161="","",IF($AF161&lt;=1200,IF(INDEX(对接源_01水果!$M$4:$M$1203,$AF161)=0,"",INDEX(对接源_01水果!$M$4:$M$1203,$AF161)),IF(INDEX(对接源_02物料!$M$4:$M$1203,$AF161-1200)=0,"",INDEX(对接源_02物料!$M$4:$M$1203,$AF161-1200))))</f>
      </c>
      <c r="AF161" s="128">
        <f>IFERROR(MATCH(53,_自动清单!$S$4:$S$2403,0),"")</f>
      </c>
    </row>
    <row r="162" ht="18" customHeight="1" s="127">
      <c r="A162" s="165">
        <f>IF($AF162="","",IF($AF162&lt;=1200,IF(INDEX(对接源_01水果!$B$4:$B$1203,$AF162)=0,"",INDEX(对接源_01水果!$B$4:$B$1203,$AF162)),IF(INDEX(对接源_02物料!$B$4:$B$1203,$AF162-1200)=0,"",INDEX(对接源_02物料!$B$4:$B$1203,$AF162-1200))))</f>
      </c>
      <c r="B162" s="104">
        <f>IF($AF162="","",IF($AF162&lt;=1200,IF(INDEX(对接源_01水果!$E$4:$E$1203,$AF162)=0,"",INDEX(对接源_01水果!$E$4:$E$1203,$AF162)),IF(INDEX(对接源_02物料!$E$4:$E$1203,$AF162-1200)=0,"",INDEX(对接源_02物料!$E$4:$E$1203,$AF162-1200))))</f>
      </c>
      <c r="C162" s="131">
        <f>IF($AF162="","",IF($AF162&lt;=1200,IF(INDEX(对接源_01水果!$S$4:$S$1203,$AF162)=0,"",INDEX(对接源_01水果!$S$4:$S$1203,$AF162)),IF(INDEX(对接源_02物料!$S$4:$S$1203,$AF162-1200)=0,"",INDEX(对接源_02物料!$S$4:$S$1203,$AF162-1200))))</f>
      </c>
      <c r="D162" s="170">
        <f>IF($AF162="","",IF($AF162&lt;=1200,IF(INDEX(对接源_01水果!$U$4:$U$1203,$AF162)=0,"",INDEX(对接源_01水果!$U$4:$U$1203,$AF162)),IF(INDEX(对接源_02物料!$U$4:$U$1203,$AF162-1200)=0,"",INDEX(对接源_02物料!$U$4:$U$1203,$AF162-1200))))</f>
      </c>
      <c r="E162" s="104">
        <f>IF($AF162="","",IF($AF162&lt;=1200,IF(INDEX(对接源_01水果!$W$4:$W$1203,$AF162)=0,"",INDEX(对接源_01水果!$W$4:$W$1203,$AF162)),IF(INDEX(对接源_02物料!$W$4:$W$1203,$AF162-1200)=0,"",INDEX(对接源_02物料!$W$4:$W$1203,$AF162-1200))))</f>
      </c>
      <c r="F162" s="104">
        <f>IF($AF162="","",IF($AF162&lt;=1200,"01水果册","02物料册"))</f>
      </c>
      <c r="G162" s="131">
        <f>IF($AF162="","",IF($AF162&lt;=1200,IF(INDEX(对接源_01水果!$M$4:$M$1203,$AF162)=0,"",INDEX(对接源_01水果!$M$4:$M$1203,$AF162)),IF(INDEX(对接源_02物料!$M$4:$M$1203,$AF162-1200)=0,"",INDEX(对接源_02物料!$M$4:$M$1203,$AF162-1200))))</f>
      </c>
      <c r="AF162" s="128">
        <f>IFERROR(MATCH(54,_自动清单!$S$4:$S$2403,0),"")</f>
      </c>
    </row>
    <row r="163" ht="18" customHeight="1" s="127">
      <c r="A163" s="163">
        <f>IF($AF163="","",IF($AF163&lt;=1200,IF(INDEX(对接源_01水果!$B$4:$B$1203,$AF163)=0,"",INDEX(对接源_01水果!$B$4:$B$1203,$AF163)),IF(INDEX(对接源_02物料!$B$4:$B$1203,$AF163-1200)=0,"",INDEX(对接源_02物料!$B$4:$B$1203,$AF163-1200))))</f>
      </c>
      <c r="B163" s="61">
        <f>IF($AF163="","",IF($AF163&lt;=1200,IF(INDEX(对接源_01水果!$E$4:$E$1203,$AF163)=0,"",INDEX(对接源_01水果!$E$4:$E$1203,$AF163)),IF(INDEX(对接源_02物料!$E$4:$E$1203,$AF163-1200)=0,"",INDEX(对接源_02物料!$E$4:$E$1203,$AF163-1200))))</f>
      </c>
      <c r="C163" s="122">
        <f>IF($AF163="","",IF($AF163&lt;=1200,IF(INDEX(对接源_01水果!$S$4:$S$1203,$AF163)=0,"",INDEX(对接源_01水果!$S$4:$S$1203,$AF163)),IF(INDEX(对接源_02物料!$S$4:$S$1203,$AF163-1200)=0,"",INDEX(对接源_02物料!$S$4:$S$1203,$AF163-1200))))</f>
      </c>
      <c r="D163" s="169">
        <f>IF($AF163="","",IF($AF163&lt;=1200,IF(INDEX(对接源_01水果!$U$4:$U$1203,$AF163)=0,"",INDEX(对接源_01水果!$U$4:$U$1203,$AF163)),IF(INDEX(对接源_02物料!$U$4:$U$1203,$AF163-1200)=0,"",INDEX(对接源_02物料!$U$4:$U$1203,$AF163-1200))))</f>
      </c>
      <c r="E163" s="61">
        <f>IF($AF163="","",IF($AF163&lt;=1200,IF(INDEX(对接源_01水果!$W$4:$W$1203,$AF163)=0,"",INDEX(对接源_01水果!$W$4:$W$1203,$AF163)),IF(INDEX(对接源_02物料!$W$4:$W$1203,$AF163-1200)=0,"",INDEX(对接源_02物料!$W$4:$W$1203,$AF163-1200))))</f>
      </c>
      <c r="F163" s="61">
        <f>IF($AF163="","",IF($AF163&lt;=1200,"01水果册","02物料册"))</f>
      </c>
      <c r="G163" s="122">
        <f>IF($AF163="","",IF($AF163&lt;=1200,IF(INDEX(对接源_01水果!$M$4:$M$1203,$AF163)=0,"",INDEX(对接源_01水果!$M$4:$M$1203,$AF163)),IF(INDEX(对接源_02物料!$M$4:$M$1203,$AF163-1200)=0,"",INDEX(对接源_02物料!$M$4:$M$1203,$AF163-1200))))</f>
      </c>
      <c r="AF163" s="128">
        <f>IFERROR(MATCH(55,_自动清单!$S$4:$S$2403,0),"")</f>
      </c>
    </row>
    <row r="164" ht="18" customHeight="1" s="127">
      <c r="A164" s="165">
        <f>IF($AF164="","",IF($AF164&lt;=1200,IF(INDEX(对接源_01水果!$B$4:$B$1203,$AF164)=0,"",INDEX(对接源_01水果!$B$4:$B$1203,$AF164)),IF(INDEX(对接源_02物料!$B$4:$B$1203,$AF164-1200)=0,"",INDEX(对接源_02物料!$B$4:$B$1203,$AF164-1200))))</f>
      </c>
      <c r="B164" s="104">
        <f>IF($AF164="","",IF($AF164&lt;=1200,IF(INDEX(对接源_01水果!$E$4:$E$1203,$AF164)=0,"",INDEX(对接源_01水果!$E$4:$E$1203,$AF164)),IF(INDEX(对接源_02物料!$E$4:$E$1203,$AF164-1200)=0,"",INDEX(对接源_02物料!$E$4:$E$1203,$AF164-1200))))</f>
      </c>
      <c r="C164" s="131">
        <f>IF($AF164="","",IF($AF164&lt;=1200,IF(INDEX(对接源_01水果!$S$4:$S$1203,$AF164)=0,"",INDEX(对接源_01水果!$S$4:$S$1203,$AF164)),IF(INDEX(对接源_02物料!$S$4:$S$1203,$AF164-1200)=0,"",INDEX(对接源_02物料!$S$4:$S$1203,$AF164-1200))))</f>
      </c>
      <c r="D164" s="170">
        <f>IF($AF164="","",IF($AF164&lt;=1200,IF(INDEX(对接源_01水果!$U$4:$U$1203,$AF164)=0,"",INDEX(对接源_01水果!$U$4:$U$1203,$AF164)),IF(INDEX(对接源_02物料!$U$4:$U$1203,$AF164-1200)=0,"",INDEX(对接源_02物料!$U$4:$U$1203,$AF164-1200))))</f>
      </c>
      <c r="E164" s="104">
        <f>IF($AF164="","",IF($AF164&lt;=1200,IF(INDEX(对接源_01水果!$W$4:$W$1203,$AF164)=0,"",INDEX(对接源_01水果!$W$4:$W$1203,$AF164)),IF(INDEX(对接源_02物料!$W$4:$W$1203,$AF164-1200)=0,"",INDEX(对接源_02物料!$W$4:$W$1203,$AF164-1200))))</f>
      </c>
      <c r="F164" s="104">
        <f>IF($AF164="","",IF($AF164&lt;=1200,"01水果册","02物料册"))</f>
      </c>
      <c r="G164" s="131">
        <f>IF($AF164="","",IF($AF164&lt;=1200,IF(INDEX(对接源_01水果!$M$4:$M$1203,$AF164)=0,"",INDEX(对接源_01水果!$M$4:$M$1203,$AF164)),IF(INDEX(对接源_02物料!$M$4:$M$1203,$AF164-1200)=0,"",INDEX(对接源_02物料!$M$4:$M$1203,$AF164-1200))))</f>
      </c>
      <c r="AF164" s="128">
        <f>IFERROR(MATCH(56,_自动清单!$S$4:$S$2403,0),"")</f>
      </c>
    </row>
    <row r="165" ht="18" customHeight="1" s="127">
      <c r="A165" s="163">
        <f>IF($AF165="","",IF($AF165&lt;=1200,IF(INDEX(对接源_01水果!$B$4:$B$1203,$AF165)=0,"",INDEX(对接源_01水果!$B$4:$B$1203,$AF165)),IF(INDEX(对接源_02物料!$B$4:$B$1203,$AF165-1200)=0,"",INDEX(对接源_02物料!$B$4:$B$1203,$AF165-1200))))</f>
      </c>
      <c r="B165" s="61">
        <f>IF($AF165="","",IF($AF165&lt;=1200,IF(INDEX(对接源_01水果!$E$4:$E$1203,$AF165)=0,"",INDEX(对接源_01水果!$E$4:$E$1203,$AF165)),IF(INDEX(对接源_02物料!$E$4:$E$1203,$AF165-1200)=0,"",INDEX(对接源_02物料!$E$4:$E$1203,$AF165-1200))))</f>
      </c>
      <c r="C165" s="122">
        <f>IF($AF165="","",IF($AF165&lt;=1200,IF(INDEX(对接源_01水果!$S$4:$S$1203,$AF165)=0,"",INDEX(对接源_01水果!$S$4:$S$1203,$AF165)),IF(INDEX(对接源_02物料!$S$4:$S$1203,$AF165-1200)=0,"",INDEX(对接源_02物料!$S$4:$S$1203,$AF165-1200))))</f>
      </c>
      <c r="D165" s="169">
        <f>IF($AF165="","",IF($AF165&lt;=1200,IF(INDEX(对接源_01水果!$U$4:$U$1203,$AF165)=0,"",INDEX(对接源_01水果!$U$4:$U$1203,$AF165)),IF(INDEX(对接源_02物料!$U$4:$U$1203,$AF165-1200)=0,"",INDEX(对接源_02物料!$U$4:$U$1203,$AF165-1200))))</f>
      </c>
      <c r="E165" s="61">
        <f>IF($AF165="","",IF($AF165&lt;=1200,IF(INDEX(对接源_01水果!$W$4:$W$1203,$AF165)=0,"",INDEX(对接源_01水果!$W$4:$W$1203,$AF165)),IF(INDEX(对接源_02物料!$W$4:$W$1203,$AF165-1200)=0,"",INDEX(对接源_02物料!$W$4:$W$1203,$AF165-1200))))</f>
      </c>
      <c r="F165" s="61">
        <f>IF($AF165="","",IF($AF165&lt;=1200,"01水果册","02物料册"))</f>
      </c>
      <c r="G165" s="122">
        <f>IF($AF165="","",IF($AF165&lt;=1200,IF(INDEX(对接源_01水果!$M$4:$M$1203,$AF165)=0,"",INDEX(对接源_01水果!$M$4:$M$1203,$AF165)),IF(INDEX(对接源_02物料!$M$4:$M$1203,$AF165-1200)=0,"",INDEX(对接源_02物料!$M$4:$M$1203,$AF165-1200))))</f>
      </c>
      <c r="AF165" s="128">
        <f>IFERROR(MATCH(57,_自动清单!$S$4:$S$2403,0),"")</f>
      </c>
    </row>
    <row r="166" ht="18" customHeight="1" s="127">
      <c r="A166" s="165">
        <f>IF($AF166="","",IF($AF166&lt;=1200,IF(INDEX(对接源_01水果!$B$4:$B$1203,$AF166)=0,"",INDEX(对接源_01水果!$B$4:$B$1203,$AF166)),IF(INDEX(对接源_02物料!$B$4:$B$1203,$AF166-1200)=0,"",INDEX(对接源_02物料!$B$4:$B$1203,$AF166-1200))))</f>
      </c>
      <c r="B166" s="104">
        <f>IF($AF166="","",IF($AF166&lt;=1200,IF(INDEX(对接源_01水果!$E$4:$E$1203,$AF166)=0,"",INDEX(对接源_01水果!$E$4:$E$1203,$AF166)),IF(INDEX(对接源_02物料!$E$4:$E$1203,$AF166-1200)=0,"",INDEX(对接源_02物料!$E$4:$E$1203,$AF166-1200))))</f>
      </c>
      <c r="C166" s="131">
        <f>IF($AF166="","",IF($AF166&lt;=1200,IF(INDEX(对接源_01水果!$S$4:$S$1203,$AF166)=0,"",INDEX(对接源_01水果!$S$4:$S$1203,$AF166)),IF(INDEX(对接源_02物料!$S$4:$S$1203,$AF166-1200)=0,"",INDEX(对接源_02物料!$S$4:$S$1203,$AF166-1200))))</f>
      </c>
      <c r="D166" s="170">
        <f>IF($AF166="","",IF($AF166&lt;=1200,IF(INDEX(对接源_01水果!$U$4:$U$1203,$AF166)=0,"",INDEX(对接源_01水果!$U$4:$U$1203,$AF166)),IF(INDEX(对接源_02物料!$U$4:$U$1203,$AF166-1200)=0,"",INDEX(对接源_02物料!$U$4:$U$1203,$AF166-1200))))</f>
      </c>
      <c r="E166" s="104">
        <f>IF($AF166="","",IF($AF166&lt;=1200,IF(INDEX(对接源_01水果!$W$4:$W$1203,$AF166)=0,"",INDEX(对接源_01水果!$W$4:$W$1203,$AF166)),IF(INDEX(对接源_02物料!$W$4:$W$1203,$AF166-1200)=0,"",INDEX(对接源_02物料!$W$4:$W$1203,$AF166-1200))))</f>
      </c>
      <c r="F166" s="104">
        <f>IF($AF166="","",IF($AF166&lt;=1200,"01水果册","02物料册"))</f>
      </c>
      <c r="G166" s="131">
        <f>IF($AF166="","",IF($AF166&lt;=1200,IF(INDEX(对接源_01水果!$M$4:$M$1203,$AF166)=0,"",INDEX(对接源_01水果!$M$4:$M$1203,$AF166)),IF(INDEX(对接源_02物料!$M$4:$M$1203,$AF166-1200)=0,"",INDEX(对接源_02物料!$M$4:$M$1203,$AF166-1200))))</f>
      </c>
      <c r="AF166" s="128">
        <f>IFERROR(MATCH(58,_自动清单!$S$4:$S$2403,0),"")</f>
      </c>
    </row>
    <row r="167" ht="18" customHeight="1" s="127">
      <c r="A167" s="163">
        <f>IF($AF167="","",IF($AF167&lt;=1200,IF(INDEX(对接源_01水果!$B$4:$B$1203,$AF167)=0,"",INDEX(对接源_01水果!$B$4:$B$1203,$AF167)),IF(INDEX(对接源_02物料!$B$4:$B$1203,$AF167-1200)=0,"",INDEX(对接源_02物料!$B$4:$B$1203,$AF167-1200))))</f>
      </c>
      <c r="B167" s="61">
        <f>IF($AF167="","",IF($AF167&lt;=1200,IF(INDEX(对接源_01水果!$E$4:$E$1203,$AF167)=0,"",INDEX(对接源_01水果!$E$4:$E$1203,$AF167)),IF(INDEX(对接源_02物料!$E$4:$E$1203,$AF167-1200)=0,"",INDEX(对接源_02物料!$E$4:$E$1203,$AF167-1200))))</f>
      </c>
      <c r="C167" s="122">
        <f>IF($AF167="","",IF($AF167&lt;=1200,IF(INDEX(对接源_01水果!$S$4:$S$1203,$AF167)=0,"",INDEX(对接源_01水果!$S$4:$S$1203,$AF167)),IF(INDEX(对接源_02物料!$S$4:$S$1203,$AF167-1200)=0,"",INDEX(对接源_02物料!$S$4:$S$1203,$AF167-1200))))</f>
      </c>
      <c r="D167" s="169">
        <f>IF($AF167="","",IF($AF167&lt;=1200,IF(INDEX(对接源_01水果!$U$4:$U$1203,$AF167)=0,"",INDEX(对接源_01水果!$U$4:$U$1203,$AF167)),IF(INDEX(对接源_02物料!$U$4:$U$1203,$AF167-1200)=0,"",INDEX(对接源_02物料!$U$4:$U$1203,$AF167-1200))))</f>
      </c>
      <c r="E167" s="61">
        <f>IF($AF167="","",IF($AF167&lt;=1200,IF(INDEX(对接源_01水果!$W$4:$W$1203,$AF167)=0,"",INDEX(对接源_01水果!$W$4:$W$1203,$AF167)),IF(INDEX(对接源_02物料!$W$4:$W$1203,$AF167-1200)=0,"",INDEX(对接源_02物料!$W$4:$W$1203,$AF167-1200))))</f>
      </c>
      <c r="F167" s="61">
        <f>IF($AF167="","",IF($AF167&lt;=1200,"01水果册","02物料册"))</f>
      </c>
      <c r="G167" s="122">
        <f>IF($AF167="","",IF($AF167&lt;=1200,IF(INDEX(对接源_01水果!$M$4:$M$1203,$AF167)=0,"",INDEX(对接源_01水果!$M$4:$M$1203,$AF167)),IF(INDEX(对接源_02物料!$M$4:$M$1203,$AF167-1200)=0,"",INDEX(对接源_02物料!$M$4:$M$1203,$AF167-1200))))</f>
      </c>
      <c r="AF167" s="128">
        <f>IFERROR(MATCH(59,_自动清单!$S$4:$S$2403,0),"")</f>
      </c>
    </row>
    <row r="168" ht="18" customHeight="1" s="127">
      <c r="A168" s="165">
        <f>IF($AF168="","",IF($AF168&lt;=1200,IF(INDEX(对接源_01水果!$B$4:$B$1203,$AF168)=0,"",INDEX(对接源_01水果!$B$4:$B$1203,$AF168)),IF(INDEX(对接源_02物料!$B$4:$B$1203,$AF168-1200)=0,"",INDEX(对接源_02物料!$B$4:$B$1203,$AF168-1200))))</f>
      </c>
      <c r="B168" s="104">
        <f>IF($AF168="","",IF($AF168&lt;=1200,IF(INDEX(对接源_01水果!$E$4:$E$1203,$AF168)=0,"",INDEX(对接源_01水果!$E$4:$E$1203,$AF168)),IF(INDEX(对接源_02物料!$E$4:$E$1203,$AF168-1200)=0,"",INDEX(对接源_02物料!$E$4:$E$1203,$AF168-1200))))</f>
      </c>
      <c r="C168" s="131">
        <f>IF($AF168="","",IF($AF168&lt;=1200,IF(INDEX(对接源_01水果!$S$4:$S$1203,$AF168)=0,"",INDEX(对接源_01水果!$S$4:$S$1203,$AF168)),IF(INDEX(对接源_02物料!$S$4:$S$1203,$AF168-1200)=0,"",INDEX(对接源_02物料!$S$4:$S$1203,$AF168-1200))))</f>
      </c>
      <c r="D168" s="170">
        <f>IF($AF168="","",IF($AF168&lt;=1200,IF(INDEX(对接源_01水果!$U$4:$U$1203,$AF168)=0,"",INDEX(对接源_01水果!$U$4:$U$1203,$AF168)),IF(INDEX(对接源_02物料!$U$4:$U$1203,$AF168-1200)=0,"",INDEX(对接源_02物料!$U$4:$U$1203,$AF168-1200))))</f>
      </c>
      <c r="E168" s="104">
        <f>IF($AF168="","",IF($AF168&lt;=1200,IF(INDEX(对接源_01水果!$W$4:$W$1203,$AF168)=0,"",INDEX(对接源_01水果!$W$4:$W$1203,$AF168)),IF(INDEX(对接源_02物料!$W$4:$W$1203,$AF168-1200)=0,"",INDEX(对接源_02物料!$W$4:$W$1203,$AF168-1200))))</f>
      </c>
      <c r="F168" s="104">
        <f>IF($AF168="","",IF($AF168&lt;=1200,"01水果册","02物料册"))</f>
      </c>
      <c r="G168" s="131">
        <f>IF($AF168="","",IF($AF168&lt;=1200,IF(INDEX(对接源_01水果!$M$4:$M$1203,$AF168)=0,"",INDEX(对接源_01水果!$M$4:$M$1203,$AF168)),IF(INDEX(对接源_02物料!$M$4:$M$1203,$AF168-1200)=0,"",INDEX(对接源_02物料!$M$4:$M$1203,$AF168-1200))))</f>
      </c>
      <c r="AF168" s="128">
        <f>IFERROR(MATCH(60,_自动清单!$S$4:$S$2403,0),"")</f>
      </c>
    </row>
    <row r="169"/>
    <row r="170" ht="24" customHeight="1" s="127">
      <c r="A170" s="54" t="inlineStr">
        <is>
          <t>随筐入库总数（随原料入库带回 · 负数）</t>
        </is>
      </c>
      <c r="B170" s="160" t="n"/>
      <c r="C170" s="160" t="n"/>
      <c r="D170" s="158" t="n"/>
      <c r="E170" s="161">
        <f>-ROUND(SUMIFS(对接源_01水果!$V$4:$V$1203,对接源_01水果!$C$4:$C$1203,$B$2,对接源_01水果!$B$4:$B$1203,"&gt;="&amp;$P$1,对接源_01水果!$B$4:$B$1203,"&lt;="&amp;$P$2,对接源_01水果!$X$4:$X$1203,"公司筐")+SUMIFS(对接源_02物料!$V$4:$V$1203,对接源_02物料!$C$4:$C$1203,$B$2,对接源_02物料!$B$4:$B$1203,"&gt;="&amp;$P$1,对接源_02物料!$B$4:$B$1203,"&lt;="&amp;$P$2,对接源_02物料!$X$4:$X$1203,"公司筐"),0)</f>
        <v>-11704</v>
      </c>
      <c r="F170" s="160" t="n"/>
      <c r="G170" s="158" t="n"/>
    </row>
    <row r="171" ht="30" customHeight="1" s="127">
      <c r="A171" s="59" t="inlineStr">
        <is>
          <t>日　期</t>
        </is>
      </c>
      <c r="B171" s="59" t="inlineStr">
        <is>
          <t>票据单号</t>
        </is>
      </c>
      <c r="C171" s="59" t="inlineStr">
        <is>
          <t>筐子类型</t>
        </is>
      </c>
      <c r="D171" s="59" t="inlineStr">
        <is>
          <t>入库数量</t>
        </is>
      </c>
      <c r="E171" s="59" t="inlineStr">
        <is>
          <t>车牌号</t>
        </is>
      </c>
      <c r="F171" s="59" t="inlineStr">
        <is>
          <t>来源册</t>
        </is>
      </c>
      <c r="G171" s="59" t="inlineStr">
        <is>
          <t>备　注</t>
        </is>
      </c>
    </row>
    <row r="172" ht="18" customHeight="1" s="127">
      <c r="A172" s="163">
        <f>IF($AG172="","",IF($AG172&lt;=1200,IF(INDEX(对接源_01水果!$B$4:$B$1203,$AG172)=0,"",INDEX(对接源_01水果!$B$4:$B$1203,$AG172)),IF(INDEX(对接源_02物料!$B$4:$B$1203,$AG172-1200)=0,"",INDEX(对接源_02物料!$B$4:$B$1203,$AG172-1200))))</f>
        <v>46275.0</v>
      </c>
      <c r="B172" s="61" t="str">
        <f>IF($AG172="","",IF($AG172&lt;=1200,IF(INDEX(对接源_01水果!$E$4:$E$1203,$AG172)=0,"",INDEX(对接源_01水果!$E$4:$E$1203,$AG172)),IF(INDEX(对接源_02物料!$E$4:$E$1203,$AG172-1200)=0,"",INDEX(对接源_02物料!$E$4:$E$1203,$AG172-1200))))</f>
        <v>NO:0000768</v>
      </c>
      <c r="C172" s="122" t="str">
        <f>IF($AG172="","",IF($AG172&lt;=1200,IF(INDEX(对接源_01水果!$S$4:$S$1203,$AG172)=0,"",INDEX(对接源_01水果!$S$4:$S$1203,$AG172)),IF(INDEX(对接源_02物料!$S$4:$S$1203,$AG172-1200)=0,"",INDEX(对接源_02物料!$S$4:$S$1203,$AG172-1200))))</f>
        <v>公司红周转筐</v>
      </c>
      <c r="D172" s="169">
        <f>IF($AG172="","",IF($AG172&lt;=1200,IF(INDEX(对接源_01水果!$V$4:$V$1203,$AG172)=0,"",INDEX(对接源_01水果!$V$4:$V$1203,$AG172)),IF(INDEX(对接源_02物料!$V$4:$V$1203,$AG172-1200)=0,"",INDEX(对接源_02物料!$V$4:$V$1203,$AG172-1200))))</f>
        <v>195</v>
      </c>
      <c r="E172" s="61" t="str">
        <f>IF($AG172="","",IF($AG172&lt;=1200,IF(INDEX(对接源_01水果!$W$4:$W$1203,$AG172)=0,"",INDEX(对接源_01水果!$W$4:$W$1203,$AG172)),IF(INDEX(对接源_02物料!$W$4:$W$1203,$AG172-1200)=0,"",INDEX(对接源_02物料!$W$4:$W$1203,$AG172-1200))))</f>
        <v>新N*49209</v>
      </c>
      <c r="F172" s="61" t="str">
        <f>IF($AG172="","",IF($AG172&lt;=1200,"01水果册","02物料册"))</f>
        <v>01水果册</v>
      </c>
      <c r="G172" s="122">
        <f>IF($AG172="","",IF($AG172&lt;=1200,IF(INDEX(对接源_01水果!$M$4:$M$1203,$AG172)=0,"",INDEX(对接源_01水果!$M$4:$M$1203,$AG172)),IF(INDEX(对接源_02物料!$M$4:$M$1203,$AG172-1200)=0,"",INDEX(对接源_02物料!$M$4:$M$1203,$AG172-1200))))</f>
      </c>
      <c r="AG172" s="128">
        <f>IFERROR(MATCH(1,_自动清单!$U$4:$U$2403,0),"")</f>
        <v>164</v>
      </c>
    </row>
    <row r="173" ht="18" customHeight="1" s="127">
      <c r="A173" s="165">
        <f>IF($AG173="","",IF($AG173&lt;=1200,IF(INDEX(对接源_01水果!$B$4:$B$1203,$AG173)=0,"",INDEX(对接源_01水果!$B$4:$B$1203,$AG173)),IF(INDEX(对接源_02物料!$B$4:$B$1203,$AG173-1200)=0,"",INDEX(对接源_02物料!$B$4:$B$1203,$AG173-1200))))</f>
        <v>46275.0</v>
      </c>
      <c r="B173" s="104" t="str">
        <f>IF($AG173="","",IF($AG173&lt;=1200,IF(INDEX(对接源_01水果!$E$4:$E$1203,$AG173)=0,"",INDEX(对接源_01水果!$E$4:$E$1203,$AG173)),IF(INDEX(对接源_02物料!$E$4:$E$1203,$AG173-1200)=0,"",INDEX(对接源_02物料!$E$4:$E$1203,$AG173-1200))))</f>
        <v>NO:0000768</v>
      </c>
      <c r="C173" s="131" t="str">
        <f>IF($AG173="","",IF($AG173&lt;=1200,IF(INDEX(对接源_01水果!$S$4:$S$1203,$AG173)=0,"",INDEX(对接源_01水果!$S$4:$S$1203,$AG173)),IF(INDEX(对接源_02物料!$S$4:$S$1203,$AG173-1200)=0,"",INDEX(对接源_02物料!$S$4:$S$1203,$AG173-1200))))</f>
        <v>公司红周转筐</v>
      </c>
      <c r="D173" s="170">
        <f>IF($AG173="","",IF($AG173&lt;=1200,IF(INDEX(对接源_01水果!$V$4:$V$1203,$AG173)=0,"",INDEX(对接源_01水果!$V$4:$V$1203,$AG173)),IF(INDEX(对接源_02物料!$V$4:$V$1203,$AG173-1200)=0,"",INDEX(对接源_02物料!$V$4:$V$1203,$AG173-1200))))</f>
        <v>134</v>
      </c>
      <c r="E173" s="104" t="str">
        <f>IF($AG173="","",IF($AG173&lt;=1200,IF(INDEX(对接源_01水果!$W$4:$W$1203,$AG173)=0,"",INDEX(对接源_01水果!$W$4:$W$1203,$AG173)),IF(INDEX(对接源_02物料!$W$4:$W$1203,$AG173-1200)=0,"",INDEX(对接源_02物料!$W$4:$W$1203,$AG173-1200))))</f>
        <v>新N*49209</v>
      </c>
      <c r="F173" s="104" t="str">
        <f>IF($AG173="","",IF($AG173&lt;=1200,"01水果册","02物料册"))</f>
        <v>01水果册</v>
      </c>
      <c r="G173" s="131">
        <f>IF($AG173="","",IF($AG173&lt;=1200,IF(INDEX(对接源_01水果!$M$4:$M$1203,$AG173)=0,"",INDEX(对接源_01水果!$M$4:$M$1203,$AG173)),IF(INDEX(对接源_02物料!$M$4:$M$1203,$AG173-1200)=0,"",INDEX(对接源_02物料!$M$4:$M$1203,$AG173-1200))))</f>
      </c>
      <c r="AG173" s="128">
        <f>IFERROR(MATCH(2,_自动清单!$U$4:$U$2403,0),"")</f>
        <v>165</v>
      </c>
    </row>
    <row r="174" ht="18" customHeight="1" s="127">
      <c r="A174" s="163">
        <f>IF($AG174="","",IF($AG174&lt;=1200,IF(INDEX(对接源_01水果!$B$4:$B$1203,$AG174)=0,"",INDEX(对接源_01水果!$B$4:$B$1203,$AG174)),IF(INDEX(对接源_02物料!$B$4:$B$1203,$AG174-1200)=0,"",INDEX(对接源_02物料!$B$4:$B$1203,$AG174-1200))))</f>
        <v>46275.0</v>
      </c>
      <c r="B174" s="61" t="str">
        <f>IF($AG174="","",IF($AG174&lt;=1200,IF(INDEX(对接源_01水果!$E$4:$E$1203,$AG174)=0,"",INDEX(对接源_01水果!$E$4:$E$1203,$AG174)),IF(INDEX(对接源_02物料!$E$4:$E$1203,$AG174-1200)=0,"",INDEX(对接源_02物料!$E$4:$E$1203,$AG174-1200))))</f>
        <v>NO:0000768</v>
      </c>
      <c r="C174" s="122" t="str">
        <f>IF($AG174="","",IF($AG174&lt;=1200,IF(INDEX(对接源_01水果!$S$4:$S$1203,$AG174)=0,"",INDEX(对接源_01水果!$S$4:$S$1203,$AG174)),IF(INDEX(对接源_02物料!$S$4:$S$1203,$AG174-1200)=0,"",INDEX(对接源_02物料!$S$4:$S$1203,$AG174-1200))))</f>
        <v>公司红周转筐</v>
      </c>
      <c r="D174" s="169">
        <f>IF($AG174="","",IF($AG174&lt;=1200,IF(INDEX(对接源_01水果!$V$4:$V$1203,$AG174)=0,"",INDEX(对接源_01水果!$V$4:$V$1203,$AG174)),IF(INDEX(对接源_02物料!$V$4:$V$1203,$AG174-1200)=0,"",INDEX(对接源_02物料!$V$4:$V$1203,$AG174-1200))))</f>
        <v>64</v>
      </c>
      <c r="E174" s="61" t="str">
        <f>IF($AG174="","",IF($AG174&lt;=1200,IF(INDEX(对接源_01水果!$W$4:$W$1203,$AG174)=0,"",INDEX(对接源_01水果!$W$4:$W$1203,$AG174)),IF(INDEX(对接源_02物料!$W$4:$W$1203,$AG174-1200)=0,"",INDEX(对接源_02物料!$W$4:$W$1203,$AG174-1200))))</f>
        <v>新N*49209</v>
      </c>
      <c r="F174" s="61" t="str">
        <f>IF($AG174="","",IF($AG174&lt;=1200,"01水果册","02物料册"))</f>
        <v>01水果册</v>
      </c>
      <c r="G174" s="122" t="str">
        <f>IF($AG174="","",IF($AG174&lt;=1200,IF(INDEX(对接源_01水果!$M$4:$M$1203,$AG174)=0,"",INDEX(对接源_01水果!$M$4:$M$1203,$AG174)),IF(INDEX(对接源_02物料!$M$4:$M$1203,$AG174-1200)=0,"",INDEX(对接源_02物料!$M$4:$M$1203,$AG174-1200))))</f>
        <v>押金3000元已退还</v>
      </c>
      <c r="AG174" s="128">
        <f>IFERROR(MATCH(3,_自动清单!$U$4:$U$2403,0),"")</f>
        <v>166</v>
      </c>
    </row>
    <row r="175" ht="18" customHeight="1" s="127">
      <c r="A175" s="165">
        <f>IF($AG175="","",IF($AG175&lt;=1200,IF(INDEX(对接源_01水果!$B$4:$B$1203,$AG175)=0,"",INDEX(对接源_01水果!$B$4:$B$1203,$AG175)),IF(INDEX(对接源_02物料!$B$4:$B$1203,$AG175-1200)=0,"",INDEX(对接源_02物料!$B$4:$B$1203,$AG175-1200))))</f>
        <v>46277.0</v>
      </c>
      <c r="B175" s="104" t="str">
        <f>IF($AG175="","",IF($AG175&lt;=1200,IF(INDEX(对接源_01水果!$E$4:$E$1203,$AG175)=0,"",INDEX(对接源_01水果!$E$4:$E$1203,$AG175)),IF(INDEX(对接源_02物料!$E$4:$E$1203,$AG175-1200)=0,"",INDEX(对接源_02物料!$E$4:$E$1203,$AG175-1200))))</f>
        <v>NO:0000794</v>
      </c>
      <c r="C175" s="131" t="str">
        <f>IF($AG175="","",IF($AG175&lt;=1200,IF(INDEX(对接源_01水果!$S$4:$S$1203,$AG175)=0,"",INDEX(对接源_01水果!$S$4:$S$1203,$AG175)),IF(INDEX(对接源_02物料!$S$4:$S$1203,$AG175-1200)=0,"",INDEX(对接源_02物料!$S$4:$S$1203,$AG175-1200))))</f>
        <v>公司红周转筐</v>
      </c>
      <c r="D175" s="170">
        <f>IF($AG175="","",IF($AG175&lt;=1200,IF(INDEX(对接源_01水果!$V$4:$V$1203,$AG175)=0,"",INDEX(对接源_01水果!$V$4:$V$1203,$AG175)),IF(INDEX(对接源_02物料!$V$4:$V$1203,$AG175-1200)=0,"",INDEX(对接源_02物料!$V$4:$V$1203,$AG175-1200))))</f>
        <v>384</v>
      </c>
      <c r="E175" s="104" t="str">
        <f>IF($AG175="","",IF($AG175&lt;=1200,IF(INDEX(对接源_01水果!$W$4:$W$1203,$AG175)=0,"",INDEX(对接源_01水果!$W$4:$W$1203,$AG175)),IF(INDEX(对接源_02物料!$W$4:$W$1203,$AG175-1200)=0,"",INDEX(对接源_02物料!$W$4:$W$1203,$AG175-1200))))</f>
        <v>新N*49209</v>
      </c>
      <c r="F175" s="104" t="str">
        <f>IF($AG175="","",IF($AG175&lt;=1200,"01水果册","02物料册"))</f>
        <v>01水果册</v>
      </c>
      <c r="G175" s="131">
        <f>IF($AG175="","",IF($AG175&lt;=1200,IF(INDEX(对接源_01水果!$M$4:$M$1203,$AG175)=0,"",INDEX(对接源_01水果!$M$4:$M$1203,$AG175)),IF(INDEX(对接源_02物料!$M$4:$M$1203,$AG175-1200)=0,"",INDEX(对接源_02物料!$M$4:$M$1203,$AG175-1200))))</f>
      </c>
      <c r="AG175" s="128">
        <f>IFERROR(MATCH(4,_自动清单!$U$4:$U$2403,0),"")</f>
        <v>205</v>
      </c>
    </row>
    <row r="176" ht="18" customHeight="1" s="127">
      <c r="A176" s="163">
        <f>IF($AG176="","",IF($AG176&lt;=1200,IF(INDEX(对接源_01水果!$B$4:$B$1203,$AG176)=0,"",INDEX(对接源_01水果!$B$4:$B$1203,$AG176)),IF(INDEX(对接源_02物料!$B$4:$B$1203,$AG176-1200)=0,"",INDEX(对接源_02物料!$B$4:$B$1203,$AG176-1200))))</f>
        <v>46277.0</v>
      </c>
      <c r="B176" s="61" t="str">
        <f>IF($AG176="","",IF($AG176&lt;=1200,IF(INDEX(对接源_01水果!$E$4:$E$1203,$AG176)=0,"",INDEX(对接源_01水果!$E$4:$E$1203,$AG176)),IF(INDEX(对接源_02物料!$E$4:$E$1203,$AG176-1200)=0,"",INDEX(对接源_02物料!$E$4:$E$1203,$AG176-1200))))</f>
        <v>NO:0000794</v>
      </c>
      <c r="C176" s="122" t="str">
        <f>IF($AG176="","",IF($AG176&lt;=1200,IF(INDEX(对接源_01水果!$S$4:$S$1203,$AG176)=0,"",INDEX(对接源_01水果!$S$4:$S$1203,$AG176)),IF(INDEX(对接源_02物料!$S$4:$S$1203,$AG176-1200)=0,"",INDEX(对接源_02物料!$S$4:$S$1203,$AG176-1200))))</f>
        <v>公司红周转筐</v>
      </c>
      <c r="D176" s="169">
        <f>IF($AG176="","",IF($AG176&lt;=1200,IF(INDEX(对接源_01水果!$V$4:$V$1203,$AG176)=0,"",INDEX(对接源_01水果!$V$4:$V$1203,$AG176)),IF(INDEX(对接源_02物料!$V$4:$V$1203,$AG176-1200)=0,"",INDEX(对接源_02物料!$V$4:$V$1203,$AG176-1200))))</f>
        <v>52</v>
      </c>
      <c r="E176" s="61" t="str">
        <f>IF($AG176="","",IF($AG176&lt;=1200,IF(INDEX(对接源_01水果!$W$4:$W$1203,$AG176)=0,"",INDEX(对接源_01水果!$W$4:$W$1203,$AG176)),IF(INDEX(对接源_02物料!$W$4:$W$1203,$AG176-1200)=0,"",INDEX(对接源_02物料!$W$4:$W$1203,$AG176-1200))))</f>
        <v>新N*49209</v>
      </c>
      <c r="F176" s="61" t="str">
        <f>IF($AG176="","",IF($AG176&lt;=1200,"01水果册","02物料册"))</f>
        <v>01水果册</v>
      </c>
      <c r="G176" s="122">
        <f>IF($AG176="","",IF($AG176&lt;=1200,IF(INDEX(对接源_01水果!$M$4:$M$1203,$AG176)=0,"",INDEX(对接源_01水果!$M$4:$M$1203,$AG176)),IF(INDEX(对接源_02物料!$M$4:$M$1203,$AG176-1200)=0,"",INDEX(对接源_02物料!$M$4:$M$1203,$AG176-1200))))</f>
      </c>
      <c r="AG176" s="128">
        <f>IFERROR(MATCH(5,_自动清单!$U$4:$U$2403,0),"")</f>
        <v>206</v>
      </c>
    </row>
    <row r="177" ht="18" customHeight="1" s="127">
      <c r="A177" s="165">
        <f>IF($AG177="","",IF($AG177&lt;=1200,IF(INDEX(对接源_01水果!$B$4:$B$1203,$AG177)=0,"",INDEX(对接源_01水果!$B$4:$B$1203,$AG177)),IF(INDEX(对接源_02物料!$B$4:$B$1203,$AG177-1200)=0,"",INDEX(对接源_02物料!$B$4:$B$1203,$AG177-1200))))</f>
        <v>46277.0</v>
      </c>
      <c r="B177" s="104" t="str">
        <f>IF($AG177="","",IF($AG177&lt;=1200,IF(INDEX(对接源_01水果!$E$4:$E$1203,$AG177)=0,"",INDEX(对接源_01水果!$E$4:$E$1203,$AG177)),IF(INDEX(对接源_02物料!$E$4:$E$1203,$AG177-1200)=0,"",INDEX(对接源_02物料!$E$4:$E$1203,$AG177-1200))))</f>
        <v>NO:0000794</v>
      </c>
      <c r="C177" s="131" t="str">
        <f>IF($AG177="","",IF($AG177&lt;=1200,IF(INDEX(对接源_01水果!$S$4:$S$1203,$AG177)=0,"",INDEX(对接源_01水果!$S$4:$S$1203,$AG177)),IF(INDEX(对接源_02物料!$S$4:$S$1203,$AG177-1200)=0,"",INDEX(对接源_02物料!$S$4:$S$1203,$AG177-1200))))</f>
        <v>公司红周转筐</v>
      </c>
      <c r="D177" s="170">
        <f>IF($AG177="","",IF($AG177&lt;=1200,IF(INDEX(对接源_01水果!$V$4:$V$1203,$AG177)=0,"",INDEX(对接源_01水果!$V$4:$V$1203,$AG177)),IF(INDEX(对接源_02物料!$V$4:$V$1203,$AG177-1200)=0,"",INDEX(对接源_02物料!$V$4:$V$1203,$AG177-1200))))</f>
        <v>208</v>
      </c>
      <c r="E177" s="104" t="str">
        <f>IF($AG177="","",IF($AG177&lt;=1200,IF(INDEX(对接源_01水果!$W$4:$W$1203,$AG177)=0,"",INDEX(对接源_01水果!$W$4:$W$1203,$AG177)),IF(INDEX(对接源_02物料!$W$4:$W$1203,$AG177-1200)=0,"",INDEX(对接源_02物料!$W$4:$W$1203,$AG177-1200))))</f>
        <v>新N*49209</v>
      </c>
      <c r="F177" s="104" t="str">
        <f>IF($AG177="","",IF($AG177&lt;=1200,"01水果册","02物料册"))</f>
        <v>01水果册</v>
      </c>
      <c r="G177" s="131">
        <f>IF($AG177="","",IF($AG177&lt;=1200,IF(INDEX(对接源_01水果!$M$4:$M$1203,$AG177)=0,"",INDEX(对接源_01水果!$M$4:$M$1203,$AG177)),IF(INDEX(对接源_02物料!$M$4:$M$1203,$AG177-1200)=0,"",INDEX(对接源_02物料!$M$4:$M$1203,$AG177-1200))))</f>
      </c>
      <c r="AG177" s="128">
        <f>IFERROR(MATCH(6,_自动清单!$U$4:$U$2403,0),"")</f>
        <v>207</v>
      </c>
    </row>
    <row r="178" ht="18" customHeight="1" s="127">
      <c r="A178" s="163">
        <f>IF($AG178="","",IF($AG178&lt;=1200,IF(INDEX(对接源_01水果!$B$4:$B$1203,$AG178)=0,"",INDEX(对接源_01水果!$B$4:$B$1203,$AG178)),IF(INDEX(对接源_02物料!$B$4:$B$1203,$AG178-1200)=0,"",INDEX(对接源_02物料!$B$4:$B$1203,$AG178-1200))))</f>
        <v>46279.0</v>
      </c>
      <c r="B178" s="61" t="str">
        <f>IF($AG178="","",IF($AG178&lt;=1200,IF(INDEX(对接源_01水果!$E$4:$E$1203,$AG178)=0,"",INDEX(对接源_01水果!$E$4:$E$1203,$AG178)),IF(INDEX(对接源_02物料!$E$4:$E$1203,$AG178-1200)=0,"",INDEX(对接源_02物料!$E$4:$E$1203,$AG178-1200))))</f>
        <v>NO:0000860</v>
      </c>
      <c r="C178" s="122" t="str">
        <f>IF($AG178="","",IF($AG178&lt;=1200,IF(INDEX(对接源_01水果!$S$4:$S$1203,$AG178)=0,"",INDEX(对接源_01水果!$S$4:$S$1203,$AG178)),IF(INDEX(对接源_02物料!$S$4:$S$1203,$AG178-1200)=0,"",INDEX(对接源_02物料!$S$4:$S$1203,$AG178-1200))))</f>
        <v>公司红周转筐</v>
      </c>
      <c r="D178" s="169">
        <f>IF($AG178="","",IF($AG178&lt;=1200,IF(INDEX(对接源_01水果!$V$4:$V$1203,$AG178)=0,"",INDEX(对接源_01水果!$V$4:$V$1203,$AG178)),IF(INDEX(对接源_02物料!$V$4:$V$1203,$AG178-1200)=0,"",INDEX(对接源_02物料!$V$4:$V$1203,$AG178-1200))))</f>
        <v>465</v>
      </c>
      <c r="E178" s="61" t="str">
        <f>IF($AG178="","",IF($AG178&lt;=1200,IF(INDEX(对接源_01水果!$W$4:$W$1203,$AG178)=0,"",INDEX(对接源_01水果!$W$4:$W$1203,$AG178)),IF(INDEX(对接源_02物料!$W$4:$W$1203,$AG178-1200)=0,"",INDEX(对接源_02物料!$W$4:$W$1203,$AG178-1200))))</f>
        <v>新N*49209</v>
      </c>
      <c r="F178" s="61" t="str">
        <f>IF($AG178="","",IF($AG178&lt;=1200,"01水果册","02物料册"))</f>
        <v>01水果册</v>
      </c>
      <c r="G178" s="122">
        <f>IF($AG178="","",IF($AG178&lt;=1200,IF(INDEX(对接源_01水果!$M$4:$M$1203,$AG178)=0,"",INDEX(对接源_01水果!$M$4:$M$1203,$AG178)),IF(INDEX(对接源_02物料!$M$4:$M$1203,$AG178-1200)=0,"",INDEX(对接源_02物料!$M$4:$M$1203,$AG178-1200))))</f>
      </c>
      <c r="AG178" s="128">
        <f>IFERROR(MATCH(7,_自动清单!$U$4:$U$2403,0),"")</f>
        <v>232</v>
      </c>
    </row>
    <row r="179" ht="18" customHeight="1" s="127">
      <c r="A179" s="165">
        <f>IF($AG179="","",IF($AG179&lt;=1200,IF(INDEX(对接源_01水果!$B$4:$B$1203,$AG179)=0,"",INDEX(对接源_01水果!$B$4:$B$1203,$AG179)),IF(INDEX(对接源_02物料!$B$4:$B$1203,$AG179-1200)=0,"",INDEX(对接源_02物料!$B$4:$B$1203,$AG179-1200))))</f>
        <v>46279.0</v>
      </c>
      <c r="B179" s="104" t="str">
        <f>IF($AG179="","",IF($AG179&lt;=1200,IF(INDEX(对接源_01水果!$E$4:$E$1203,$AG179)=0,"",INDEX(对接源_01水果!$E$4:$E$1203,$AG179)),IF(INDEX(对接源_02物料!$E$4:$E$1203,$AG179-1200)=0,"",INDEX(对接源_02物料!$E$4:$E$1203,$AG179-1200))))</f>
        <v>NO:0000860</v>
      </c>
      <c r="C179" s="131" t="str">
        <f>IF($AG179="","",IF($AG179&lt;=1200,IF(INDEX(对接源_01水果!$S$4:$S$1203,$AG179)=0,"",INDEX(对接源_01水果!$S$4:$S$1203,$AG179)),IF(INDEX(对接源_02物料!$S$4:$S$1203,$AG179-1200)=0,"",INDEX(对接源_02物料!$S$4:$S$1203,$AG179-1200))))</f>
        <v>公司红周转筐</v>
      </c>
      <c r="D179" s="170">
        <f>IF($AG179="","",IF($AG179&lt;=1200,IF(INDEX(对接源_01水果!$V$4:$V$1203,$AG179)=0,"",INDEX(对接源_01水果!$V$4:$V$1203,$AG179)),IF(INDEX(对接源_02物料!$V$4:$V$1203,$AG179-1200)=0,"",INDEX(对接源_02物料!$V$4:$V$1203,$AG179-1200))))</f>
        <v>164</v>
      </c>
      <c r="E179" s="104" t="str">
        <f>IF($AG179="","",IF($AG179&lt;=1200,IF(INDEX(对接源_01水果!$W$4:$W$1203,$AG179)=0,"",INDEX(对接源_01水果!$W$4:$W$1203,$AG179)),IF(INDEX(对接源_02物料!$W$4:$W$1203,$AG179-1200)=0,"",INDEX(对接源_02物料!$W$4:$W$1203,$AG179-1200))))</f>
        <v>新N*49209</v>
      </c>
      <c r="F179" s="104" t="str">
        <f>IF($AG179="","",IF($AG179&lt;=1200,"01水果册","02物料册"))</f>
        <v>01水果册</v>
      </c>
      <c r="G179" s="131">
        <f>IF($AG179="","",IF($AG179&lt;=1200,IF(INDEX(对接源_01水果!$M$4:$M$1203,$AG179)=0,"",INDEX(对接源_01水果!$M$4:$M$1203,$AG179)),IF(INDEX(对接源_02物料!$M$4:$M$1203,$AG179-1200)=0,"",INDEX(对接源_02物料!$M$4:$M$1203,$AG179-1200))))</f>
      </c>
      <c r="AG179" s="128">
        <f>IFERROR(MATCH(8,_自动清单!$U$4:$U$2403,0),"")</f>
        <v>233</v>
      </c>
    </row>
    <row r="180" ht="18" customHeight="1" s="127">
      <c r="A180" s="163">
        <f>IF($AG180="","",IF($AG180&lt;=1200,IF(INDEX(对接源_01水果!$B$4:$B$1203,$AG180)=0,"",INDEX(对接源_01水果!$B$4:$B$1203,$AG180)),IF(INDEX(对接源_02物料!$B$4:$B$1203,$AG180-1200)=0,"",INDEX(对接源_02物料!$B$4:$B$1203,$AG180-1200))))</f>
        <v>46279.0</v>
      </c>
      <c r="B180" s="61" t="str">
        <f>IF($AG180="","",IF($AG180&lt;=1200,IF(INDEX(对接源_01水果!$E$4:$E$1203,$AG180)=0,"",INDEX(对接源_01水果!$E$4:$E$1203,$AG180)),IF(INDEX(对接源_02物料!$E$4:$E$1203,$AG180-1200)=0,"",INDEX(对接源_02物料!$E$4:$E$1203,$AG180-1200))))</f>
        <v>NO:0000860</v>
      </c>
      <c r="C180" s="122" t="str">
        <f>IF($AG180="","",IF($AG180&lt;=1200,IF(INDEX(对接源_01水果!$S$4:$S$1203,$AG180)=0,"",INDEX(对接源_01水果!$S$4:$S$1203,$AG180)),IF(INDEX(对接源_02物料!$S$4:$S$1203,$AG180-1200)=0,"",INDEX(对接源_02物料!$S$4:$S$1203,$AG180-1200))))</f>
        <v>公司红周转筐</v>
      </c>
      <c r="D180" s="169">
        <f>IF($AG180="","",IF($AG180&lt;=1200,IF(INDEX(对接源_01水果!$V$4:$V$1203,$AG180)=0,"",INDEX(对接源_01水果!$V$4:$V$1203,$AG180)),IF(INDEX(对接源_02物料!$V$4:$V$1203,$AG180-1200)=0,"",INDEX(对接源_02物料!$V$4:$V$1203,$AG180-1200))))</f>
        <v>60</v>
      </c>
      <c r="E180" s="61" t="str">
        <f>IF($AG180="","",IF($AG180&lt;=1200,IF(INDEX(对接源_01水果!$W$4:$W$1203,$AG180)=0,"",INDEX(对接源_01水果!$W$4:$W$1203,$AG180)),IF(INDEX(对接源_02物料!$W$4:$W$1203,$AG180-1200)=0,"",INDEX(对接源_02物料!$W$4:$W$1203,$AG180-1200))))</f>
        <v>新N*49209</v>
      </c>
      <c r="F180" s="61" t="str">
        <f>IF($AG180="","",IF($AG180&lt;=1200,"01水果册","02物料册"))</f>
        <v>01水果册</v>
      </c>
      <c r="G180" s="122">
        <f>IF($AG180="","",IF($AG180&lt;=1200,IF(INDEX(对接源_01水果!$M$4:$M$1203,$AG180)=0,"",INDEX(对接源_01水果!$M$4:$M$1203,$AG180)),IF(INDEX(对接源_02物料!$M$4:$M$1203,$AG180-1200)=0,"",INDEX(对接源_02物料!$M$4:$M$1203,$AG180-1200))))</f>
      </c>
      <c r="AG180" s="128">
        <f>IFERROR(MATCH(9,_自动清单!$U$4:$U$2403,0),"")</f>
        <v>234</v>
      </c>
    </row>
    <row r="181" ht="18" customHeight="1" s="127">
      <c r="A181" s="165">
        <f>IF($AG181="","",IF($AG181&lt;=1200,IF(INDEX(对接源_01水果!$B$4:$B$1203,$AG181)=0,"",INDEX(对接源_01水果!$B$4:$B$1203,$AG181)),IF(INDEX(对接源_02物料!$B$4:$B$1203,$AG181-1200)=0,"",INDEX(对接源_02物料!$B$4:$B$1203,$AG181-1200))))</f>
        <v>46280.0</v>
      </c>
      <c r="B181" s="104" t="str">
        <f>IF($AG181="","",IF($AG181&lt;=1200,IF(INDEX(对接源_01水果!$E$4:$E$1203,$AG181)=0,"",INDEX(对接源_01水果!$E$4:$E$1203,$AG181)),IF(INDEX(对接源_02物料!$E$4:$E$1203,$AG181-1200)=0,"",INDEX(对接源_02物料!$E$4:$E$1203,$AG181-1200))))</f>
        <v>NO:0000874</v>
      </c>
      <c r="C181" s="131" t="str">
        <f>IF($AG181="","",IF($AG181&lt;=1200,IF(INDEX(对接源_01水果!$S$4:$S$1203,$AG181)=0,"",INDEX(对接源_01水果!$S$4:$S$1203,$AG181)),IF(INDEX(对接源_02物料!$S$4:$S$1203,$AG181-1200)=0,"",INDEX(对接源_02物料!$S$4:$S$1203,$AG181-1200))))</f>
        <v>公司红周转筐</v>
      </c>
      <c r="D181" s="170">
        <f>IF($AG181="","",IF($AG181&lt;=1200,IF(INDEX(对接源_01水果!$V$4:$V$1203,$AG181)=0,"",INDEX(对接源_01水果!$V$4:$V$1203,$AG181)),IF(INDEX(对接源_02物料!$V$4:$V$1203,$AG181-1200)=0,"",INDEX(对接源_02物料!$V$4:$V$1203,$AG181-1200))))</f>
        <v>585</v>
      </c>
      <c r="E181" s="104" t="str">
        <f>IF($AG181="","",IF($AG181&lt;=1200,IF(INDEX(对接源_01水果!$W$4:$W$1203,$AG181)=0,"",INDEX(对接源_01水果!$W$4:$W$1203,$AG181)),IF(INDEX(对接源_02物料!$W$4:$W$1203,$AG181-1200)=0,"",INDEX(对接源_02物料!$W$4:$W$1203,$AG181-1200))))</f>
        <v>新N*49209</v>
      </c>
      <c r="F181" s="104" t="str">
        <f>IF($AG181="","",IF($AG181&lt;=1200,"01水果册","02物料册"))</f>
        <v>01水果册</v>
      </c>
      <c r="G181" s="131">
        <f>IF($AG181="","",IF($AG181&lt;=1200,IF(INDEX(对接源_01水果!$M$4:$M$1203,$AG181)=0,"",INDEX(对接源_01水果!$M$4:$M$1203,$AG181)),IF(INDEX(对接源_02物料!$M$4:$M$1203,$AG181-1200)=0,"",INDEX(对接源_02物料!$M$4:$M$1203,$AG181-1200))))</f>
      </c>
      <c r="AG181" s="128">
        <f>IFERROR(MATCH(10,_自动清单!$U$4:$U$2403,0),"")</f>
        <v>254</v>
      </c>
    </row>
    <row r="182" ht="18" customHeight="1" s="127">
      <c r="A182" s="163">
        <f>IF($AG182="","",IF($AG182&lt;=1200,IF(INDEX(对接源_01水果!$B$4:$B$1203,$AG182)=0,"",INDEX(对接源_01水果!$B$4:$B$1203,$AG182)),IF(INDEX(对接源_02物料!$B$4:$B$1203,$AG182-1200)=0,"",INDEX(对接源_02物料!$B$4:$B$1203,$AG182-1200))))</f>
        <v>46280.0</v>
      </c>
      <c r="B182" s="61" t="str">
        <f>IF($AG182="","",IF($AG182&lt;=1200,IF(INDEX(对接源_01水果!$E$4:$E$1203,$AG182)=0,"",INDEX(对接源_01水果!$E$4:$E$1203,$AG182)),IF(INDEX(对接源_02物料!$E$4:$E$1203,$AG182-1200)=0,"",INDEX(对接源_02物料!$E$4:$E$1203,$AG182-1200))))</f>
        <v>NO:0000874</v>
      </c>
      <c r="C182" s="122" t="str">
        <f>IF($AG182="","",IF($AG182&lt;=1200,IF(INDEX(对接源_01水果!$S$4:$S$1203,$AG182)=0,"",INDEX(对接源_01水果!$S$4:$S$1203,$AG182)),IF(INDEX(对接源_02物料!$S$4:$S$1203,$AG182-1200)=0,"",INDEX(对接源_02物料!$S$4:$S$1203,$AG182-1200))))</f>
        <v>公司红周转筐</v>
      </c>
      <c r="D182" s="169">
        <f>IF($AG182="","",IF($AG182&lt;=1200,IF(INDEX(对接源_01水果!$V$4:$V$1203,$AG182)=0,"",INDEX(对接源_01水果!$V$4:$V$1203,$AG182)),IF(INDEX(对接源_02物料!$V$4:$V$1203,$AG182-1200)=0,"",INDEX(对接源_02物料!$V$4:$V$1203,$AG182-1200))))</f>
        <v>104</v>
      </c>
      <c r="E182" s="61" t="str">
        <f>IF($AG182="","",IF($AG182&lt;=1200,IF(INDEX(对接源_01水果!$W$4:$W$1203,$AG182)=0,"",INDEX(对接源_01水果!$W$4:$W$1203,$AG182)),IF(INDEX(对接源_02物料!$W$4:$W$1203,$AG182-1200)=0,"",INDEX(对接源_02物料!$W$4:$W$1203,$AG182-1200))))</f>
        <v>新N*49209</v>
      </c>
      <c r="F182" s="61" t="str">
        <f>IF($AG182="","",IF($AG182&lt;=1200,"01水果册","02物料册"))</f>
        <v>01水果册</v>
      </c>
      <c r="G182" s="122">
        <f>IF($AG182="","",IF($AG182&lt;=1200,IF(INDEX(对接源_01水果!$M$4:$M$1203,$AG182)=0,"",INDEX(对接源_01水果!$M$4:$M$1203,$AG182)),IF(INDEX(对接源_02物料!$M$4:$M$1203,$AG182-1200)=0,"",INDEX(对接源_02物料!$M$4:$M$1203,$AG182-1200))))</f>
      </c>
      <c r="AG182" s="128">
        <f>IFERROR(MATCH(11,_自动清单!$U$4:$U$2403,0),"")</f>
        <v>255</v>
      </c>
    </row>
    <row r="183" ht="18" customHeight="1" s="127">
      <c r="A183" s="165">
        <f>IF($AG183="","",IF($AG183&lt;=1200,IF(INDEX(对接源_01水果!$B$4:$B$1203,$AG183)=0,"",INDEX(对接源_01水果!$B$4:$B$1203,$AG183)),IF(INDEX(对接源_02物料!$B$4:$B$1203,$AG183-1200)=0,"",INDEX(对接源_02物料!$B$4:$B$1203,$AG183-1200))))</f>
        <v>46281.0</v>
      </c>
      <c r="B183" s="104" t="str">
        <f>IF($AG183="","",IF($AG183&lt;=1200,IF(INDEX(对接源_01水果!$E$4:$E$1203,$AG183)=0,"",INDEX(对接源_01水果!$E$4:$E$1203,$AG183)),IF(INDEX(对接源_02物料!$E$4:$E$1203,$AG183-1200)=0,"",INDEX(对接源_02物料!$E$4:$E$1203,$AG183-1200))))</f>
        <v>NO:0000881</v>
      </c>
      <c r="C183" s="131" t="str">
        <f>IF($AG183="","",IF($AG183&lt;=1200,IF(INDEX(对接源_01水果!$S$4:$S$1203,$AG183)=0,"",INDEX(对接源_01水果!$S$4:$S$1203,$AG183)),IF(INDEX(对接源_02物料!$S$4:$S$1203,$AG183-1200)=0,"",INDEX(对接源_02物料!$S$4:$S$1203,$AG183-1200))))</f>
        <v>公司红周转筐</v>
      </c>
      <c r="D183" s="170">
        <f>IF($AG183="","",IF($AG183&lt;=1200,IF(INDEX(对接源_01水果!$V$4:$V$1203,$AG183)=0,"",INDEX(对接源_01水果!$V$4:$V$1203,$AG183)),IF(INDEX(对接源_02物料!$V$4:$V$1203,$AG183-1200)=0,"",INDEX(对接源_02物料!$V$4:$V$1203,$AG183-1200))))</f>
        <v>365</v>
      </c>
      <c r="E183" s="104" t="str">
        <f>IF($AG183="","",IF($AG183&lt;=1200,IF(INDEX(对接源_01水果!$W$4:$W$1203,$AG183)=0,"",INDEX(对接源_01水果!$W$4:$W$1203,$AG183)),IF(INDEX(对接源_02物料!$W$4:$W$1203,$AG183-1200)=0,"",INDEX(对接源_02物料!$W$4:$W$1203,$AG183-1200))))</f>
        <v>新N*49209</v>
      </c>
      <c r="F183" s="104" t="str">
        <f>IF($AG183="","",IF($AG183&lt;=1200,"01水果册","02物料册"))</f>
        <v>01水果册</v>
      </c>
      <c r="G183" s="131">
        <f>IF($AG183="","",IF($AG183&lt;=1200,IF(INDEX(对接源_01水果!$M$4:$M$1203,$AG183)=0,"",INDEX(对接源_01水果!$M$4:$M$1203,$AG183)),IF(INDEX(对接源_02物料!$M$4:$M$1203,$AG183-1200)=0,"",INDEX(对接源_02物料!$M$4:$M$1203,$AG183-1200))))</f>
      </c>
      <c r="AG183" s="128">
        <f>IFERROR(MATCH(12,_自动清单!$U$4:$U$2403,0),"")</f>
        <v>262</v>
      </c>
    </row>
    <row r="184" ht="18" customHeight="1" s="127">
      <c r="A184" s="163">
        <f>IF($AG184="","",IF($AG184&lt;=1200,IF(INDEX(对接源_01水果!$B$4:$B$1203,$AG184)=0,"",INDEX(对接源_01水果!$B$4:$B$1203,$AG184)),IF(INDEX(对接源_02物料!$B$4:$B$1203,$AG184-1200)=0,"",INDEX(对接源_02物料!$B$4:$B$1203,$AG184-1200))))</f>
        <v>46281.0</v>
      </c>
      <c r="B184" s="61" t="str">
        <f>IF($AG184="","",IF($AG184&lt;=1200,IF(INDEX(对接源_01水果!$E$4:$E$1203,$AG184)=0,"",INDEX(对接源_01水果!$E$4:$E$1203,$AG184)),IF(INDEX(对接源_02物料!$E$4:$E$1203,$AG184-1200)=0,"",INDEX(对接源_02物料!$E$4:$E$1203,$AG184-1200))))</f>
        <v>NO:0000881</v>
      </c>
      <c r="C184" s="122" t="str">
        <f>IF($AG184="","",IF($AG184&lt;=1200,IF(INDEX(对接源_01水果!$S$4:$S$1203,$AG184)=0,"",INDEX(对接源_01水果!$S$4:$S$1203,$AG184)),IF(INDEX(对接源_02物料!$S$4:$S$1203,$AG184-1200)=0,"",INDEX(对接源_02物料!$S$4:$S$1203,$AG184-1200))))</f>
        <v>公司红周转筐</v>
      </c>
      <c r="D184" s="169">
        <f>IF($AG184="","",IF($AG184&lt;=1200,IF(INDEX(对接源_01水果!$V$4:$V$1203,$AG184)=0,"",INDEX(对接源_01水果!$V$4:$V$1203,$AG184)),IF(INDEX(对接源_02物料!$V$4:$V$1203,$AG184-1200)=0,"",INDEX(对接源_02物料!$V$4:$V$1203,$AG184-1200))))</f>
        <v>35</v>
      </c>
      <c r="E184" s="61" t="str">
        <f>IF($AG184="","",IF($AG184&lt;=1200,IF(INDEX(对接源_01水果!$W$4:$W$1203,$AG184)=0,"",INDEX(对接源_01水果!$W$4:$W$1203,$AG184)),IF(INDEX(对接源_02物料!$W$4:$W$1203,$AG184-1200)=0,"",INDEX(对接源_02物料!$W$4:$W$1203,$AG184-1200))))</f>
        <v>新N*49209</v>
      </c>
      <c r="F184" s="61" t="str">
        <f>IF($AG184="","",IF($AG184&lt;=1200,"01水果册","02物料册"))</f>
        <v>01水果册</v>
      </c>
      <c r="G184" s="122">
        <f>IF($AG184="","",IF($AG184&lt;=1200,IF(INDEX(对接源_01水果!$M$4:$M$1203,$AG184)=0,"",INDEX(对接源_01水果!$M$4:$M$1203,$AG184)),IF(INDEX(对接源_02物料!$M$4:$M$1203,$AG184-1200)=0,"",INDEX(对接源_02物料!$M$4:$M$1203,$AG184-1200))))</f>
      </c>
      <c r="AG184" s="128">
        <f>IFERROR(MATCH(13,_自动清单!$U$4:$U$2403,0),"")</f>
        <v>263</v>
      </c>
    </row>
    <row r="185" ht="18" customHeight="1" s="127">
      <c r="A185" s="165">
        <f>IF($AG185="","",IF($AG185&lt;=1200,IF(INDEX(对接源_01水果!$B$4:$B$1203,$AG185)=0,"",INDEX(对接源_01水果!$B$4:$B$1203,$AG185)),IF(INDEX(对接源_02物料!$B$4:$B$1203,$AG185-1200)=0,"",INDEX(对接源_02物料!$B$4:$B$1203,$AG185-1200))))</f>
        <v>46281.0</v>
      </c>
      <c r="B185" s="104" t="str">
        <f>IF($AG185="","",IF($AG185&lt;=1200,IF(INDEX(对接源_01水果!$E$4:$E$1203,$AG185)=0,"",INDEX(对接源_01水果!$E$4:$E$1203,$AG185)),IF(INDEX(对接源_02物料!$E$4:$E$1203,$AG185-1200)=0,"",INDEX(对接源_02物料!$E$4:$E$1203,$AG185-1200))))</f>
        <v>NO:0000881</v>
      </c>
      <c r="C185" s="131" t="str">
        <f>IF($AG185="","",IF($AG185&lt;=1200,IF(INDEX(对接源_01水果!$S$4:$S$1203,$AG185)=0,"",INDEX(对接源_01水果!$S$4:$S$1203,$AG185)),IF(INDEX(对接源_02物料!$S$4:$S$1203,$AG185-1200)=0,"",INDEX(对接源_02物料!$S$4:$S$1203,$AG185-1200))))</f>
        <v>公司红周转筐</v>
      </c>
      <c r="D185" s="170">
        <f>IF($AG185="","",IF($AG185&lt;=1200,IF(INDEX(对接源_01水果!$V$4:$V$1203,$AG185)=0,"",INDEX(对接源_01水果!$V$4:$V$1203,$AG185)),IF(INDEX(对接源_02物料!$V$4:$V$1203,$AG185-1200)=0,"",INDEX(对接源_02物料!$V$4:$V$1203,$AG185-1200))))</f>
        <v>161</v>
      </c>
      <c r="E185" s="104" t="str">
        <f>IF($AG185="","",IF($AG185&lt;=1200,IF(INDEX(对接源_01水果!$W$4:$W$1203,$AG185)=0,"",INDEX(对接源_01水果!$W$4:$W$1203,$AG185)),IF(INDEX(对接源_02物料!$W$4:$W$1203,$AG185-1200)=0,"",INDEX(对接源_02物料!$W$4:$W$1203,$AG185-1200))))</f>
        <v>新N*49209</v>
      </c>
      <c r="F185" s="104" t="str">
        <f>IF($AG185="","",IF($AG185&lt;=1200,"01水果册","02物料册"))</f>
        <v>01水果册</v>
      </c>
      <c r="G185" s="131">
        <f>IF($AG185="","",IF($AG185&lt;=1200,IF(INDEX(对接源_01水果!$M$4:$M$1203,$AG185)=0,"",INDEX(对接源_01水果!$M$4:$M$1203,$AG185)),IF(INDEX(对接源_02物料!$M$4:$M$1203,$AG185-1200)=0,"",INDEX(对接源_02物料!$M$4:$M$1203,$AG185-1200))))</f>
      </c>
      <c r="AG185" s="128">
        <f>IFERROR(MATCH(14,_自动清单!$U$4:$U$2403,0),"")</f>
        <v>264</v>
      </c>
    </row>
    <row r="186" ht="18" customHeight="1" s="127">
      <c r="A186" s="163">
        <f>IF($AG186="","",IF($AG186&lt;=1200,IF(INDEX(对接源_01水果!$B$4:$B$1203,$AG186)=0,"",INDEX(对接源_01水果!$B$4:$B$1203,$AG186)),IF(INDEX(对接源_02物料!$B$4:$B$1203,$AG186-1200)=0,"",INDEX(对接源_02物料!$B$4:$B$1203,$AG186-1200))))</f>
        <v>46282.0</v>
      </c>
      <c r="B186" s="61" t="str">
        <f>IF($AG186="","",IF($AG186&lt;=1200,IF(INDEX(对接源_01水果!$E$4:$E$1203,$AG186)=0,"",INDEX(对接源_01水果!$E$4:$E$1203,$AG186)),IF(INDEX(对接源_02物料!$E$4:$E$1203,$AG186-1200)=0,"",INDEX(对接源_02物料!$E$4:$E$1203,$AG186-1200))))</f>
        <v>NO:0000892</v>
      </c>
      <c r="C186" s="122" t="str">
        <f>IF($AG186="","",IF($AG186&lt;=1200,IF(INDEX(对接源_01水果!$S$4:$S$1203,$AG186)=0,"",INDEX(对接源_01水果!$S$4:$S$1203,$AG186)),IF(INDEX(对接源_02物料!$S$4:$S$1203,$AG186-1200)=0,"",INDEX(对接源_02物料!$S$4:$S$1203,$AG186-1200))))</f>
        <v>公司红周转筐</v>
      </c>
      <c r="D186" s="169">
        <f>IF($AG186="","",IF($AG186&lt;=1200,IF(INDEX(对接源_01水果!$V$4:$V$1203,$AG186)=0,"",INDEX(对接源_01水果!$V$4:$V$1203,$AG186)),IF(INDEX(对接源_02物料!$V$4:$V$1203,$AG186-1200)=0,"",INDEX(对接源_02物料!$V$4:$V$1203,$AG186-1200))))</f>
        <v>528</v>
      </c>
      <c r="E186" s="61" t="str">
        <f>IF($AG186="","",IF($AG186&lt;=1200,IF(INDEX(对接源_01水果!$W$4:$W$1203,$AG186)=0,"",INDEX(对接源_01水果!$W$4:$W$1203,$AG186)),IF(INDEX(对接源_02物料!$W$4:$W$1203,$AG186-1200)=0,"",INDEX(对接源_02物料!$W$4:$W$1203,$AG186-1200))))</f>
        <v>新N*49209</v>
      </c>
      <c r="F186" s="61" t="str">
        <f>IF($AG186="","",IF($AG186&lt;=1200,"01水果册","02物料册"))</f>
        <v>01水果册</v>
      </c>
      <c r="G186" s="122" t="str">
        <f>IF($AG186="","",IF($AG186&lt;=1200,IF(INDEX(对接源_01水果!$M$4:$M$1203,$AG186)=0,"",INDEX(对接源_01水果!$M$4:$M$1203,$AG186)),IF(INDEX(对接源_02物料!$M$4:$M$1203,$AG186-1200)=0,"",INDEX(对接源_02物料!$M$4:$M$1203,$AG186-1200))))</f>
        <v>左</v>
      </c>
      <c r="AG186" s="128">
        <f>IFERROR(MATCH(15,_自动清单!$U$4:$U$2403,0),"")</f>
        <v>280</v>
      </c>
    </row>
    <row r="187" ht="18" customHeight="1" s="127">
      <c r="A187" s="165">
        <f>IF($AG187="","",IF($AG187&lt;=1200,IF(INDEX(对接源_01水果!$B$4:$B$1203,$AG187)=0,"",INDEX(对接源_01水果!$B$4:$B$1203,$AG187)),IF(INDEX(对接源_02物料!$B$4:$B$1203,$AG187-1200)=0,"",INDEX(对接源_02物料!$B$4:$B$1203,$AG187-1200))))</f>
        <v>46282.0</v>
      </c>
      <c r="B187" s="104" t="str">
        <f>IF($AG187="","",IF($AG187&lt;=1200,IF(INDEX(对接源_01水果!$E$4:$E$1203,$AG187)=0,"",INDEX(对接源_01水果!$E$4:$E$1203,$AG187)),IF(INDEX(对接源_02物料!$E$4:$E$1203,$AG187-1200)=0,"",INDEX(对接源_02物料!$E$4:$E$1203,$AG187-1200))))</f>
        <v>NO:0000892</v>
      </c>
      <c r="C187" s="131" t="str">
        <f>IF($AG187="","",IF($AG187&lt;=1200,IF(INDEX(对接源_01水果!$S$4:$S$1203,$AG187)=0,"",INDEX(对接源_01水果!$S$4:$S$1203,$AG187)),IF(INDEX(对接源_02物料!$S$4:$S$1203,$AG187-1200)=0,"",INDEX(对接源_02物料!$S$4:$S$1203,$AG187-1200))))</f>
        <v>公司红周转筐</v>
      </c>
      <c r="D187" s="170">
        <f>IF($AG187="","",IF($AG187&lt;=1200,IF(INDEX(对接源_01水果!$V$4:$V$1203,$AG187)=0,"",INDEX(对接源_01水果!$V$4:$V$1203,$AG187)),IF(INDEX(对接源_02物料!$V$4:$V$1203,$AG187-1200)=0,"",INDEX(对接源_02物料!$V$4:$V$1203,$AG187-1200))))</f>
        <v>21</v>
      </c>
      <c r="E187" s="104" t="str">
        <f>IF($AG187="","",IF($AG187&lt;=1200,IF(INDEX(对接源_01水果!$W$4:$W$1203,$AG187)=0,"",INDEX(对接源_01水果!$W$4:$W$1203,$AG187)),IF(INDEX(对接源_02物料!$W$4:$W$1203,$AG187-1200)=0,"",INDEX(对接源_02物料!$W$4:$W$1203,$AG187-1200))))</f>
        <v>新N*49209</v>
      </c>
      <c r="F187" s="104" t="str">
        <f>IF($AG187="","",IF($AG187&lt;=1200,"01水果册","02物料册"))</f>
        <v>01水果册</v>
      </c>
      <c r="G187" s="131" t="str">
        <f>IF($AG187="","",IF($AG187&lt;=1200,IF(INDEX(对接源_01水果!$M$4:$M$1203,$AG187)=0,"",INDEX(对接源_01水果!$M$4:$M$1203,$AG187)),IF(INDEX(对接源_02物料!$M$4:$M$1203,$AG187-1200)=0,"",INDEX(对接源_02物料!$M$4:$M$1203,$AG187-1200))))</f>
        <v>左</v>
      </c>
      <c r="AG187" s="128">
        <f>IFERROR(MATCH(16,_自动清单!$U$4:$U$2403,0),"")</f>
        <v>281</v>
      </c>
    </row>
    <row r="188" ht="18" customHeight="1" s="127">
      <c r="A188" s="163">
        <f>IF($AG188="","",IF($AG188&lt;=1200,IF(INDEX(对接源_01水果!$B$4:$B$1203,$AG188)=0,"",INDEX(对接源_01水果!$B$4:$B$1203,$AG188)),IF(INDEX(对接源_02物料!$B$4:$B$1203,$AG188-1200)=0,"",INDEX(对接源_02物料!$B$4:$B$1203,$AG188-1200))))</f>
        <v>46283.0</v>
      </c>
      <c r="B188" s="61" t="str">
        <f>IF($AG188="","",IF($AG188&lt;=1200,IF(INDEX(对接源_01水果!$E$4:$E$1203,$AG188)=0,"",INDEX(对接源_01水果!$E$4:$E$1203,$AG188)),IF(INDEX(对接源_02物料!$E$4:$E$1203,$AG188-1200)=0,"",INDEX(对接源_02物料!$E$4:$E$1203,$AG188-1200))))</f>
        <v>NO:0000901</v>
      </c>
      <c r="C188" s="122" t="str">
        <f>IF($AG188="","",IF($AG188&lt;=1200,IF(INDEX(对接源_01水果!$S$4:$S$1203,$AG188)=0,"",INDEX(对接源_01水果!$S$4:$S$1203,$AG188)),IF(INDEX(对接源_02物料!$S$4:$S$1203,$AG188-1200)=0,"",INDEX(对接源_02物料!$S$4:$S$1203,$AG188-1200))))</f>
        <v>公司红周转筐</v>
      </c>
      <c r="D188" s="169">
        <f>IF($AG188="","",IF($AG188&lt;=1200,IF(INDEX(对接源_01水果!$V$4:$V$1203,$AG188)=0,"",INDEX(对接源_01水果!$V$4:$V$1203,$AG188)),IF(INDEX(对接源_02物料!$V$4:$V$1203,$AG188-1200)=0,"",INDEX(对接源_02物料!$V$4:$V$1203,$AG188-1200))))</f>
        <v>525</v>
      </c>
      <c r="E188" s="61" t="str">
        <f>IF($AG188="","",IF($AG188&lt;=1200,IF(INDEX(对接源_01水果!$W$4:$W$1203,$AG188)=0,"",INDEX(对接源_01水果!$W$4:$W$1203,$AG188)),IF(INDEX(对接源_02物料!$W$4:$W$1203,$AG188-1200)=0,"",INDEX(对接源_02物料!$W$4:$W$1203,$AG188-1200))))</f>
        <v>新N*49209</v>
      </c>
      <c r="F188" s="61" t="str">
        <f>IF($AG188="","",IF($AG188&lt;=1200,"01水果册","02物料册"))</f>
        <v>01水果册</v>
      </c>
      <c r="G188" s="122">
        <f>IF($AG188="","",IF($AG188&lt;=1200,IF(INDEX(对接源_01水果!$M$4:$M$1203,$AG188)=0,"",INDEX(对接源_01水果!$M$4:$M$1203,$AG188)),IF(INDEX(对接源_02物料!$M$4:$M$1203,$AG188-1200)=0,"",INDEX(对接源_02物料!$M$4:$M$1203,$AG188-1200))))</f>
      </c>
      <c r="AG188" s="128">
        <f>IFERROR(MATCH(17,_自动清单!$U$4:$U$2403,0),"")</f>
        <v>294</v>
      </c>
    </row>
    <row r="189" ht="18" customHeight="1" s="127">
      <c r="A189" s="165">
        <f>IF($AG189="","",IF($AG189&lt;=1200,IF(INDEX(对接源_01水果!$B$4:$B$1203,$AG189)=0,"",INDEX(对接源_01水果!$B$4:$B$1203,$AG189)),IF(INDEX(对接源_02物料!$B$4:$B$1203,$AG189-1200)=0,"",INDEX(对接源_02物料!$B$4:$B$1203,$AG189-1200))))</f>
        <v>46283.0</v>
      </c>
      <c r="B189" s="104" t="str">
        <f>IF($AG189="","",IF($AG189&lt;=1200,IF(INDEX(对接源_01水果!$E$4:$E$1203,$AG189)=0,"",INDEX(对接源_01水果!$E$4:$E$1203,$AG189)),IF(INDEX(对接源_02物料!$E$4:$E$1203,$AG189-1200)=0,"",INDEX(对接源_02物料!$E$4:$E$1203,$AG189-1200))))</f>
        <v>NO:0000901</v>
      </c>
      <c r="C189" s="131" t="str">
        <f>IF($AG189="","",IF($AG189&lt;=1200,IF(INDEX(对接源_01水果!$S$4:$S$1203,$AG189)=0,"",INDEX(对接源_01水果!$S$4:$S$1203,$AG189)),IF(INDEX(对接源_02物料!$S$4:$S$1203,$AG189-1200)=0,"",INDEX(对接源_02物料!$S$4:$S$1203,$AG189-1200))))</f>
        <v>公司红周转筐</v>
      </c>
      <c r="D189" s="170">
        <f>IF($AG189="","",IF($AG189&lt;=1200,IF(INDEX(对接源_01水果!$V$4:$V$1203,$AG189)=0,"",INDEX(对接源_01水果!$V$4:$V$1203,$AG189)),IF(INDEX(对接源_02物料!$V$4:$V$1203,$AG189-1200)=0,"",INDEX(对接源_02物料!$V$4:$V$1203,$AG189-1200))))</f>
        <v>87</v>
      </c>
      <c r="E189" s="104" t="str">
        <f>IF($AG189="","",IF($AG189&lt;=1200,IF(INDEX(对接源_01水果!$W$4:$W$1203,$AG189)=0,"",INDEX(对接源_01水果!$W$4:$W$1203,$AG189)),IF(INDEX(对接源_02物料!$W$4:$W$1203,$AG189-1200)=0,"",INDEX(对接源_02物料!$W$4:$W$1203,$AG189-1200))))</f>
        <v>新N*49209</v>
      </c>
      <c r="F189" s="104" t="str">
        <f>IF($AG189="","",IF($AG189&lt;=1200,"01水果册","02物料册"))</f>
        <v>01水果册</v>
      </c>
      <c r="G189" s="131">
        <f>IF($AG189="","",IF($AG189&lt;=1200,IF(INDEX(对接源_01水果!$M$4:$M$1203,$AG189)=0,"",INDEX(对接源_01水果!$M$4:$M$1203,$AG189)),IF(INDEX(对接源_02物料!$M$4:$M$1203,$AG189-1200)=0,"",INDEX(对接源_02物料!$M$4:$M$1203,$AG189-1200))))</f>
      </c>
      <c r="AG189" s="128">
        <f>IFERROR(MATCH(18,_自动清单!$U$4:$U$2403,0),"")</f>
        <v>295</v>
      </c>
    </row>
    <row r="190" ht="18" customHeight="1" s="127">
      <c r="A190" s="163">
        <f>IF($AG190="","",IF($AG190&lt;=1200,IF(INDEX(对接源_01水果!$B$4:$B$1203,$AG190)=0,"",INDEX(对接源_01水果!$B$4:$B$1203,$AG190)),IF(INDEX(对接源_02物料!$B$4:$B$1203,$AG190-1200)=0,"",INDEX(对接源_02物料!$B$4:$B$1203,$AG190-1200))))</f>
        <v>46283.0</v>
      </c>
      <c r="B190" s="61" t="str">
        <f>IF($AG190="","",IF($AG190&lt;=1200,IF(INDEX(对接源_01水果!$E$4:$E$1203,$AG190)=0,"",INDEX(对接源_01水果!$E$4:$E$1203,$AG190)),IF(INDEX(对接源_02物料!$E$4:$E$1203,$AG190-1200)=0,"",INDEX(对接源_02物料!$E$4:$E$1203,$AG190-1200))))</f>
        <v>NO:0000901</v>
      </c>
      <c r="C190" s="122" t="str">
        <f>IF($AG190="","",IF($AG190&lt;=1200,IF(INDEX(对接源_01水果!$S$4:$S$1203,$AG190)=0,"",INDEX(对接源_01水果!$S$4:$S$1203,$AG190)),IF(INDEX(对接源_02物料!$S$4:$S$1203,$AG190-1200)=0,"",INDEX(对接源_02物料!$S$4:$S$1203,$AG190-1200))))</f>
        <v>公司红周转筐</v>
      </c>
      <c r="D190" s="169">
        <f>IF($AG190="","",IF($AG190&lt;=1200,IF(INDEX(对接源_01水果!$V$4:$V$1203,$AG190)=0,"",INDEX(对接源_01水果!$V$4:$V$1203,$AG190)),IF(INDEX(对接源_02物料!$V$4:$V$1203,$AG190-1200)=0,"",INDEX(对接源_02物料!$V$4:$V$1203,$AG190-1200))))</f>
        <v>77</v>
      </c>
      <c r="E190" s="61" t="str">
        <f>IF($AG190="","",IF($AG190&lt;=1200,IF(INDEX(对接源_01水果!$W$4:$W$1203,$AG190)=0,"",INDEX(对接源_01水果!$W$4:$W$1203,$AG190)),IF(INDEX(对接源_02物料!$W$4:$W$1203,$AG190-1200)=0,"",INDEX(对接源_02物料!$W$4:$W$1203,$AG190-1200))))</f>
        <v>新N*49209</v>
      </c>
      <c r="F190" s="61" t="str">
        <f>IF($AG190="","",IF($AG190&lt;=1200,"01水果册","02物料册"))</f>
        <v>01水果册</v>
      </c>
      <c r="G190" s="122">
        <f>IF($AG190="","",IF($AG190&lt;=1200,IF(INDEX(对接源_01水果!$M$4:$M$1203,$AG190)=0,"",INDEX(对接源_01水果!$M$4:$M$1203,$AG190)),IF(INDEX(对接源_02物料!$M$4:$M$1203,$AG190-1200)=0,"",INDEX(对接源_02物料!$M$4:$M$1203,$AG190-1200))))</f>
      </c>
      <c r="AG190" s="128">
        <f>IFERROR(MATCH(19,_自动清单!$U$4:$U$2403,0),"")</f>
        <v>296</v>
      </c>
    </row>
    <row r="191" ht="18" customHeight="1" s="127">
      <c r="A191" s="165">
        <f>IF($AG191="","",IF($AG191&lt;=1200,IF(INDEX(对接源_01水果!$B$4:$B$1203,$AG191)=0,"",INDEX(对接源_01水果!$B$4:$B$1203,$AG191)),IF(INDEX(对接源_02物料!$B$4:$B$1203,$AG191-1200)=0,"",INDEX(对接源_02物料!$B$4:$B$1203,$AG191-1200))))</f>
        <v>46284.0</v>
      </c>
      <c r="B191" s="104" t="str">
        <f>IF($AG191="","",IF($AG191&lt;=1200,IF(INDEX(对接源_01水果!$E$4:$E$1203,$AG191)=0,"",INDEX(对接源_01水果!$E$4:$E$1203,$AG191)),IF(INDEX(对接源_02物料!$E$4:$E$1203,$AG191-1200)=0,"",INDEX(对接源_02物料!$E$4:$E$1203,$AG191-1200))))</f>
        <v>NO:0000920</v>
      </c>
      <c r="C191" s="131" t="str">
        <f>IF($AG191="","",IF($AG191&lt;=1200,IF(INDEX(对接源_01水果!$S$4:$S$1203,$AG191)=0,"",INDEX(对接源_01水果!$S$4:$S$1203,$AG191)),IF(INDEX(对接源_02物料!$S$4:$S$1203,$AG191-1200)=0,"",INDEX(对接源_02物料!$S$4:$S$1203,$AG191-1200))))</f>
        <v>公司红周转筐</v>
      </c>
      <c r="D191" s="170">
        <f>IF($AG191="","",IF($AG191&lt;=1200,IF(INDEX(对接源_01水果!$V$4:$V$1203,$AG191)=0,"",INDEX(对接源_01水果!$V$4:$V$1203,$AG191)),IF(INDEX(对接源_02物料!$V$4:$V$1203,$AG191-1200)=0,"",INDEX(对接源_02物料!$V$4:$V$1203,$AG191-1200))))</f>
        <v>653</v>
      </c>
      <c r="E191" s="104" t="str">
        <f>IF($AG191="","",IF($AG191&lt;=1200,IF(INDEX(对接源_01水果!$W$4:$W$1203,$AG191)=0,"",INDEX(对接源_01水果!$W$4:$W$1203,$AG191)),IF(INDEX(对接源_02物料!$W$4:$W$1203,$AG191-1200)=0,"",INDEX(对接源_02物料!$W$4:$W$1203,$AG191-1200))))</f>
        <v>新N*49209</v>
      </c>
      <c r="F191" s="104" t="str">
        <f>IF($AG191="","",IF($AG191&lt;=1200,"01水果册","02物料册"))</f>
        <v>01水果册</v>
      </c>
      <c r="G191" s="131" t="str">
        <f>IF($AG191="","",IF($AG191&lt;=1200,IF(INDEX(对接源_01水果!$M$4:$M$1203,$AG191)=0,"",INDEX(对接源_01水果!$M$4:$M$1203,$AG191)),IF(INDEX(对接源_02物料!$M$4:$M$1203,$AG191-1200)=0,"",INDEX(对接源_02物料!$M$4:$M$1203,$AG191-1200))))</f>
        <v>左</v>
      </c>
      <c r="AG191" s="128">
        <f>IFERROR(MATCH(20,_自动清单!$U$4:$U$2403,0),"")</f>
        <v>323</v>
      </c>
    </row>
    <row r="192" ht="18" customHeight="1" s="127">
      <c r="A192" s="163">
        <f>IF($AG192="","",IF($AG192&lt;=1200,IF(INDEX(对接源_01水果!$B$4:$B$1203,$AG192)=0,"",INDEX(对接源_01水果!$B$4:$B$1203,$AG192)),IF(INDEX(对接源_02物料!$B$4:$B$1203,$AG192-1200)=0,"",INDEX(对接源_02物料!$B$4:$B$1203,$AG192-1200))))</f>
        <v>46284.0</v>
      </c>
      <c r="B192" s="61" t="str">
        <f>IF($AG192="","",IF($AG192&lt;=1200,IF(INDEX(对接源_01水果!$E$4:$E$1203,$AG192)=0,"",INDEX(对接源_01水果!$E$4:$E$1203,$AG192)),IF(INDEX(对接源_02物料!$E$4:$E$1203,$AG192-1200)=0,"",INDEX(对接源_02物料!$E$4:$E$1203,$AG192-1200))))</f>
        <v>NO:0000920</v>
      </c>
      <c r="C192" s="122" t="str">
        <f>IF($AG192="","",IF($AG192&lt;=1200,IF(INDEX(对接源_01水果!$S$4:$S$1203,$AG192)=0,"",INDEX(对接源_01水果!$S$4:$S$1203,$AG192)),IF(INDEX(对接源_02物料!$S$4:$S$1203,$AG192-1200)=0,"",INDEX(对接源_02物料!$S$4:$S$1203,$AG192-1200))))</f>
        <v>公司红周转筐</v>
      </c>
      <c r="D192" s="169">
        <f>IF($AG192="","",IF($AG192&lt;=1200,IF(INDEX(对接源_01水果!$V$4:$V$1203,$AG192)=0,"",INDEX(对接源_01水果!$V$4:$V$1203,$AG192)),IF(INDEX(对接源_02物料!$V$4:$V$1203,$AG192-1200)=0,"",INDEX(对接源_02物料!$V$4:$V$1203,$AG192-1200))))</f>
        <v>33</v>
      </c>
      <c r="E192" s="61" t="str">
        <f>IF($AG192="","",IF($AG192&lt;=1200,IF(INDEX(对接源_01水果!$W$4:$W$1203,$AG192)=0,"",INDEX(对接源_01水果!$W$4:$W$1203,$AG192)),IF(INDEX(对接源_02物料!$W$4:$W$1203,$AG192-1200)=0,"",INDEX(对接源_02物料!$W$4:$W$1203,$AG192-1200))))</f>
        <v>新N*49209</v>
      </c>
      <c r="F192" s="61" t="str">
        <f>IF($AG192="","",IF($AG192&lt;=1200,"01水果册","02物料册"))</f>
        <v>01水果册</v>
      </c>
      <c r="G192" s="122" t="str">
        <f>IF($AG192="","",IF($AG192&lt;=1200,IF(INDEX(对接源_01水果!$M$4:$M$1203,$AG192)=0,"",INDEX(对接源_01水果!$M$4:$M$1203,$AG192)),IF(INDEX(对接源_02物料!$M$4:$M$1203,$AG192-1200)=0,"",INDEX(对接源_02物料!$M$4:$M$1203,$AG192-1200))))</f>
        <v>左</v>
      </c>
      <c r="AG192" s="128">
        <f>IFERROR(MATCH(21,_自动清单!$U$4:$U$2403,0),"")</f>
        <v>324</v>
      </c>
    </row>
    <row r="193" ht="18" customHeight="1" s="127">
      <c r="A193" s="165">
        <f>IF($AG193="","",IF($AG193&lt;=1200,IF(INDEX(对接源_01水果!$B$4:$B$1203,$AG193)=0,"",INDEX(对接源_01水果!$B$4:$B$1203,$AG193)),IF(INDEX(对接源_02物料!$B$4:$B$1203,$AG193-1200)=0,"",INDEX(对接源_02物料!$B$4:$B$1203,$AG193-1200))))</f>
        <v>46285.0</v>
      </c>
      <c r="B193" s="104" t="str">
        <f>IF($AG193="","",IF($AG193&lt;=1200,IF(INDEX(对接源_01水果!$E$4:$E$1203,$AG193)=0,"",INDEX(对接源_01水果!$E$4:$E$1203,$AG193)),IF(INDEX(对接源_02物料!$E$4:$E$1203,$AG193-1200)=0,"",INDEX(对接源_02物料!$E$4:$E$1203,$AG193-1200))))</f>
        <v>NO:0000926</v>
      </c>
      <c r="C193" s="131" t="str">
        <f>IF($AG193="","",IF($AG193&lt;=1200,IF(INDEX(对接源_01水果!$S$4:$S$1203,$AG193)=0,"",INDEX(对接源_01水果!$S$4:$S$1203,$AG193)),IF(INDEX(对接源_02物料!$S$4:$S$1203,$AG193-1200)=0,"",INDEX(对接源_02物料!$S$4:$S$1203,$AG193-1200))))</f>
        <v>公司红周转筐</v>
      </c>
      <c r="D193" s="170">
        <f>IF($AG193="","",IF($AG193&lt;=1200,IF(INDEX(对接源_01水果!$V$4:$V$1203,$AG193)=0,"",INDEX(对接源_01水果!$V$4:$V$1203,$AG193)),IF(INDEX(对接源_02物料!$V$4:$V$1203,$AG193-1200)=0,"",INDEX(对接源_02物料!$V$4:$V$1203,$AG193-1200))))</f>
        <v>500</v>
      </c>
      <c r="E193" s="104" t="str">
        <f>IF($AG193="","",IF($AG193&lt;=1200,IF(INDEX(对接源_01水果!$W$4:$W$1203,$AG193)=0,"",INDEX(对接源_01水果!$W$4:$W$1203,$AG193)),IF(INDEX(对接源_02物料!$W$4:$W$1203,$AG193-1200)=0,"",INDEX(对接源_02物料!$W$4:$W$1203,$AG193-1200))))</f>
        <v>新N*49209</v>
      </c>
      <c r="F193" s="104" t="str">
        <f>IF($AG193="","",IF($AG193&lt;=1200,"01水果册","02物料册"))</f>
        <v>01水果册</v>
      </c>
      <c r="G193" s="131">
        <f>IF($AG193="","",IF($AG193&lt;=1200,IF(INDEX(对接源_01水果!$M$4:$M$1203,$AG193)=0,"",INDEX(对接源_01水果!$M$4:$M$1203,$AG193)),IF(INDEX(对接源_02物料!$M$4:$M$1203,$AG193-1200)=0,"",INDEX(对接源_02物料!$M$4:$M$1203,$AG193-1200))))</f>
      </c>
      <c r="AG193" s="128">
        <f>IFERROR(MATCH(22,_自动清单!$U$4:$U$2403,0),"")</f>
        <v>334</v>
      </c>
    </row>
    <row r="194" ht="18" customHeight="1" s="127">
      <c r="A194" s="163">
        <f>IF($AG194="","",IF($AG194&lt;=1200,IF(INDEX(对接源_01水果!$B$4:$B$1203,$AG194)=0,"",INDEX(对接源_01水果!$B$4:$B$1203,$AG194)),IF(INDEX(对接源_02物料!$B$4:$B$1203,$AG194-1200)=0,"",INDEX(对接源_02物料!$B$4:$B$1203,$AG194-1200))))</f>
        <v>46285.0</v>
      </c>
      <c r="B194" s="61" t="str">
        <f>IF($AG194="","",IF($AG194&lt;=1200,IF(INDEX(对接源_01水果!$E$4:$E$1203,$AG194)=0,"",INDEX(对接源_01水果!$E$4:$E$1203,$AG194)),IF(INDEX(对接源_02物料!$E$4:$E$1203,$AG194-1200)=0,"",INDEX(对接源_02物料!$E$4:$E$1203,$AG194-1200))))</f>
        <v>NO:0000926</v>
      </c>
      <c r="C194" s="122" t="str">
        <f>IF($AG194="","",IF($AG194&lt;=1200,IF(INDEX(对接源_01水果!$S$4:$S$1203,$AG194)=0,"",INDEX(对接源_01水果!$S$4:$S$1203,$AG194)),IF(INDEX(对接源_02物料!$S$4:$S$1203,$AG194-1200)=0,"",INDEX(对接源_02物料!$S$4:$S$1203,$AG194-1200))))</f>
        <v>公司红周转筐</v>
      </c>
      <c r="D194" s="169">
        <f>IF($AG194="","",IF($AG194&lt;=1200,IF(INDEX(对接源_01水果!$V$4:$V$1203,$AG194)=0,"",INDEX(对接源_01水果!$V$4:$V$1203,$AG194)),IF(INDEX(对接源_02物料!$V$4:$V$1203,$AG194-1200)=0,"",INDEX(对接源_02物料!$V$4:$V$1203,$AG194-1200))))</f>
        <v>112</v>
      </c>
      <c r="E194" s="61" t="str">
        <f>IF($AG194="","",IF($AG194&lt;=1200,IF(INDEX(对接源_01水果!$W$4:$W$1203,$AG194)=0,"",INDEX(对接源_01水果!$W$4:$W$1203,$AG194)),IF(INDEX(对接源_02物料!$W$4:$W$1203,$AG194-1200)=0,"",INDEX(对接源_02物料!$W$4:$W$1203,$AG194-1200))))</f>
        <v>新N*49209</v>
      </c>
      <c r="F194" s="61" t="str">
        <f>IF($AG194="","",IF($AG194&lt;=1200,"01水果册","02物料册"))</f>
        <v>01水果册</v>
      </c>
      <c r="G194" s="122">
        <f>IF($AG194="","",IF($AG194&lt;=1200,IF(INDEX(对接源_01水果!$M$4:$M$1203,$AG194)=0,"",INDEX(对接源_01水果!$M$4:$M$1203,$AG194)),IF(INDEX(对接源_02物料!$M$4:$M$1203,$AG194-1200)=0,"",INDEX(对接源_02物料!$M$4:$M$1203,$AG194-1200))))</f>
      </c>
      <c r="AG194" s="128">
        <f>IFERROR(MATCH(23,_自动清单!$U$4:$U$2403,0),"")</f>
        <v>335</v>
      </c>
    </row>
    <row r="195" ht="18" customHeight="1" s="127">
      <c r="A195" s="165">
        <f>IF($AG195="","",IF($AG195&lt;=1200,IF(INDEX(对接源_01水果!$B$4:$B$1203,$AG195)=0,"",INDEX(对接源_01水果!$B$4:$B$1203,$AG195)),IF(INDEX(对接源_02物料!$B$4:$B$1203,$AG195-1200)=0,"",INDEX(对接源_02物料!$B$4:$B$1203,$AG195-1200))))</f>
        <v>46285.0</v>
      </c>
      <c r="B195" s="104" t="str">
        <f>IF($AG195="","",IF($AG195&lt;=1200,IF(INDEX(对接源_01水果!$E$4:$E$1203,$AG195)=0,"",INDEX(对接源_01水果!$E$4:$E$1203,$AG195)),IF(INDEX(对接源_02物料!$E$4:$E$1203,$AG195-1200)=0,"",INDEX(对接源_02物料!$E$4:$E$1203,$AG195-1200))))</f>
        <v>NO:0000926</v>
      </c>
      <c r="C195" s="131" t="str">
        <f>IF($AG195="","",IF($AG195&lt;=1200,IF(INDEX(对接源_01水果!$S$4:$S$1203,$AG195)=0,"",INDEX(对接源_01水果!$S$4:$S$1203,$AG195)),IF(INDEX(对接源_02物料!$S$4:$S$1203,$AG195-1200)=0,"",INDEX(对接源_02物料!$S$4:$S$1203,$AG195-1200))))</f>
        <v>公司红周转筐</v>
      </c>
      <c r="D195" s="170">
        <f>IF($AG195="","",IF($AG195&lt;=1200,IF(INDEX(对接源_01水果!$V$4:$V$1203,$AG195)=0,"",INDEX(对接源_01水果!$V$4:$V$1203,$AG195)),IF(INDEX(对接源_02物料!$V$4:$V$1203,$AG195-1200)=0,"",INDEX(对接源_02物料!$V$4:$V$1203,$AG195-1200))))</f>
        <v>77</v>
      </c>
      <c r="E195" s="104" t="str">
        <f>IF($AG195="","",IF($AG195&lt;=1200,IF(INDEX(对接源_01水果!$W$4:$W$1203,$AG195)=0,"",INDEX(对接源_01水果!$W$4:$W$1203,$AG195)),IF(INDEX(对接源_02物料!$W$4:$W$1203,$AG195-1200)=0,"",INDEX(对接源_02物料!$W$4:$W$1203,$AG195-1200))))</f>
        <v>新N*49209</v>
      </c>
      <c r="F195" s="104" t="str">
        <f>IF($AG195="","",IF($AG195&lt;=1200,"01水果册","02物料册"))</f>
        <v>01水果册</v>
      </c>
      <c r="G195" s="131">
        <f>IF($AG195="","",IF($AG195&lt;=1200,IF(INDEX(对接源_01水果!$M$4:$M$1203,$AG195)=0,"",INDEX(对接源_01水果!$M$4:$M$1203,$AG195)),IF(INDEX(对接源_02物料!$M$4:$M$1203,$AG195-1200)=0,"",INDEX(对接源_02物料!$M$4:$M$1203,$AG195-1200))))</f>
      </c>
      <c r="AG195" s="128">
        <f>IFERROR(MATCH(24,_自动清单!$U$4:$U$2403,0),"")</f>
        <v>336</v>
      </c>
    </row>
    <row r="196" ht="18" customHeight="1" s="127">
      <c r="A196" s="163">
        <f>IF($AG196="","",IF($AG196&lt;=1200,IF(INDEX(对接源_01水果!$B$4:$B$1203,$AG196)=0,"",INDEX(对接源_01水果!$B$4:$B$1203,$AG196)),IF(INDEX(对接源_02物料!$B$4:$B$1203,$AG196-1200)=0,"",INDEX(对接源_02物料!$B$4:$B$1203,$AG196-1200))))</f>
        <v>46286.0</v>
      </c>
      <c r="B196" s="61" t="str">
        <f>IF($AG196="","",IF($AG196&lt;=1200,IF(INDEX(对接源_01水果!$E$4:$E$1203,$AG196)=0,"",INDEX(对接源_01水果!$E$4:$E$1203,$AG196)),IF(INDEX(对接源_02物料!$E$4:$E$1203,$AG196-1200)=0,"",INDEX(对接源_02物料!$E$4:$E$1203,$AG196-1200))))</f>
        <v>NO:0000943</v>
      </c>
      <c r="C196" s="122" t="str">
        <f>IF($AG196="","",IF($AG196&lt;=1200,IF(INDEX(对接源_01水果!$S$4:$S$1203,$AG196)=0,"",INDEX(对接源_01水果!$S$4:$S$1203,$AG196)),IF(INDEX(对接源_02物料!$S$4:$S$1203,$AG196-1200)=0,"",INDEX(对接源_02物料!$S$4:$S$1203,$AG196-1200))))</f>
        <v>公司红周转筐</v>
      </c>
      <c r="D196" s="169">
        <f>IF($AG196="","",IF($AG196&lt;=1200,IF(INDEX(对接源_01水果!$V$4:$V$1203,$AG196)=0,"",INDEX(对接源_01水果!$V$4:$V$1203,$AG196)),IF(INDEX(对接源_02物料!$V$4:$V$1203,$AG196-1200)=0,"",INDEX(对接源_02物料!$V$4:$V$1203,$AG196-1200))))</f>
        <v>616</v>
      </c>
      <c r="E196" s="61" t="str">
        <f>IF($AG196="","",IF($AG196&lt;=1200,IF(INDEX(对接源_01水果!$W$4:$W$1203,$AG196)=0,"",INDEX(对接源_01水果!$W$4:$W$1203,$AG196)),IF(INDEX(对接源_02物料!$W$4:$W$1203,$AG196-1200)=0,"",INDEX(对接源_02物料!$W$4:$W$1203,$AG196-1200))))</f>
        <v>新N*49209</v>
      </c>
      <c r="F196" s="61" t="str">
        <f>IF($AG196="","",IF($AG196&lt;=1200,"01水果册","02物料册"))</f>
        <v>01水果册</v>
      </c>
      <c r="G196" s="122" t="str">
        <f>IF($AG196="","",IF($AG196&lt;=1200,IF(INDEX(对接源_01水果!$M$4:$M$1203,$AG196)=0,"",INDEX(对接源_01水果!$M$4:$M$1203,$AG196)),IF(INDEX(对接源_02物料!$M$4:$M$1203,$AG196-1200)=0,"",INDEX(对接源_02物料!$M$4:$M$1203,$AG196-1200))))</f>
        <v>左</v>
      </c>
      <c r="AG196" s="128">
        <f>IFERROR(MATCH(25,_自动清单!$U$4:$U$2403,0),"")</f>
        <v>360</v>
      </c>
    </row>
    <row r="197" ht="18" customHeight="1" s="127">
      <c r="A197" s="165">
        <f>IF($AG197="","",IF($AG197&lt;=1200,IF(INDEX(对接源_01水果!$B$4:$B$1203,$AG197)=0,"",INDEX(对接源_01水果!$B$4:$B$1203,$AG197)),IF(INDEX(对接源_02物料!$B$4:$B$1203,$AG197-1200)=0,"",INDEX(对接源_02物料!$B$4:$B$1203,$AG197-1200))))</f>
        <v>46286.0</v>
      </c>
      <c r="B197" s="104" t="str">
        <f>IF($AG197="","",IF($AG197&lt;=1200,IF(INDEX(对接源_01水果!$E$4:$E$1203,$AG197)=0,"",INDEX(对接源_01水果!$E$4:$E$1203,$AG197)),IF(INDEX(对接源_02物料!$E$4:$E$1203,$AG197-1200)=0,"",INDEX(对接源_02物料!$E$4:$E$1203,$AG197-1200))))</f>
        <v>NO:0000943</v>
      </c>
      <c r="C197" s="131" t="str">
        <f>IF($AG197="","",IF($AG197&lt;=1200,IF(INDEX(对接源_01水果!$S$4:$S$1203,$AG197)=0,"",INDEX(对接源_01水果!$S$4:$S$1203,$AG197)),IF(INDEX(对接源_02物料!$S$4:$S$1203,$AG197-1200)=0,"",INDEX(对接源_02物料!$S$4:$S$1203,$AG197-1200))))</f>
        <v>公司红周转筐</v>
      </c>
      <c r="D197" s="170">
        <f>IF($AG197="","",IF($AG197&lt;=1200,IF(INDEX(对接源_01水果!$V$4:$V$1203,$AG197)=0,"",INDEX(对接源_01水果!$V$4:$V$1203,$AG197)),IF(INDEX(对接源_02物料!$V$4:$V$1203,$AG197-1200)=0,"",INDEX(对接源_02物料!$V$4:$V$1203,$AG197-1200))))</f>
        <v>24</v>
      </c>
      <c r="E197" s="104" t="str">
        <f>IF($AG197="","",IF($AG197&lt;=1200,IF(INDEX(对接源_01水果!$W$4:$W$1203,$AG197)=0,"",INDEX(对接源_01水果!$W$4:$W$1203,$AG197)),IF(INDEX(对接源_02物料!$W$4:$W$1203,$AG197-1200)=0,"",INDEX(对接源_02物料!$W$4:$W$1203,$AG197-1200))))</f>
        <v>新N*49209</v>
      </c>
      <c r="F197" s="104" t="str">
        <f>IF($AG197="","",IF($AG197&lt;=1200,"01水果册","02物料册"))</f>
        <v>01水果册</v>
      </c>
      <c r="G197" s="131" t="str">
        <f>IF($AG197="","",IF($AG197&lt;=1200,IF(INDEX(对接源_01水果!$M$4:$M$1203,$AG197)=0,"",INDEX(对接源_01水果!$M$4:$M$1203,$AG197)),IF(INDEX(对接源_02物料!$M$4:$M$1203,$AG197-1200)=0,"",INDEX(对接源_02物料!$M$4:$M$1203,$AG197-1200))))</f>
        <v>左</v>
      </c>
      <c r="AG197" s="128">
        <f>IFERROR(MATCH(26,_自动清单!$U$4:$U$2403,0),"")</f>
        <v>361</v>
      </c>
    </row>
    <row r="198" ht="18" customHeight="1" s="127">
      <c r="A198" s="163">
        <f>IF($AG198="","",IF($AG198&lt;=1200,IF(INDEX(对接源_01水果!$B$4:$B$1203,$AG198)=0,"",INDEX(对接源_01水果!$B$4:$B$1203,$AG198)),IF(INDEX(对接源_02物料!$B$4:$B$1203,$AG198-1200)=0,"",INDEX(对接源_02物料!$B$4:$B$1203,$AG198-1200))))</f>
        <v>46287.0</v>
      </c>
      <c r="B198" s="61" t="str">
        <f>IF($AG198="","",IF($AG198&lt;=1200,IF(INDEX(对接源_01水果!$E$4:$E$1203,$AG198)=0,"",INDEX(对接源_01水果!$E$4:$E$1203,$AG198)),IF(INDEX(对接源_02物料!$E$4:$E$1203,$AG198-1200)=0,"",INDEX(对接源_02物料!$E$4:$E$1203,$AG198-1200))))</f>
        <v>NO:0000948</v>
      </c>
      <c r="C198" s="122" t="str">
        <f>IF($AG198="","",IF($AG198&lt;=1200,IF(INDEX(对接源_01水果!$S$4:$S$1203,$AG198)=0,"",INDEX(对接源_01水果!$S$4:$S$1203,$AG198)),IF(INDEX(对接源_02物料!$S$4:$S$1203,$AG198-1200)=0,"",INDEX(对接源_02物料!$S$4:$S$1203,$AG198-1200))))</f>
        <v>公司红周转筐</v>
      </c>
      <c r="D198" s="169">
        <f>IF($AG198="","",IF($AG198&lt;=1200,IF(INDEX(对接源_01水果!$V$4:$V$1203,$AG198)=0,"",INDEX(对接源_01水果!$V$4:$V$1203,$AG198)),IF(INDEX(对接源_02物料!$V$4:$V$1203,$AG198-1200)=0,"",INDEX(对接源_02物料!$V$4:$V$1203,$AG198-1200))))</f>
        <v>612</v>
      </c>
      <c r="E198" s="61" t="str">
        <f>IF($AG198="","",IF($AG198&lt;=1200,IF(INDEX(对接源_01水果!$W$4:$W$1203,$AG198)=0,"",INDEX(对接源_01水果!$W$4:$W$1203,$AG198)),IF(INDEX(对接源_02物料!$W$4:$W$1203,$AG198-1200)=0,"",INDEX(对接源_02物料!$W$4:$W$1203,$AG198-1200))))</f>
        <v>新N*49209</v>
      </c>
      <c r="F198" s="61" t="str">
        <f>IF($AG198="","",IF($AG198&lt;=1200,"01水果册","02物料册"))</f>
        <v>01水果册</v>
      </c>
      <c r="G198" s="122">
        <f>IF($AG198="","",IF($AG198&lt;=1200,IF(INDEX(对接源_01水果!$M$4:$M$1203,$AG198)=0,"",INDEX(对接源_01水果!$M$4:$M$1203,$AG198)),IF(INDEX(对接源_02物料!$M$4:$M$1203,$AG198-1200)=0,"",INDEX(对接源_02物料!$M$4:$M$1203,$AG198-1200))))</f>
      </c>
      <c r="AG198" s="128">
        <f>IFERROR(MATCH(27,_自动清单!$U$4:$U$2403,0),"")</f>
        <v>375</v>
      </c>
    </row>
    <row r="199" ht="18" customHeight="1" s="127">
      <c r="A199" s="165">
        <f>IF($AG199="","",IF($AG199&lt;=1200,IF(INDEX(对接源_01水果!$B$4:$B$1203,$AG199)=0,"",INDEX(对接源_01水果!$B$4:$B$1203,$AG199)),IF(INDEX(对接源_02物料!$B$4:$B$1203,$AG199-1200)=0,"",INDEX(对接源_02物料!$B$4:$B$1203,$AG199-1200))))</f>
        <v>46287.0</v>
      </c>
      <c r="B199" s="104" t="str">
        <f>IF($AG199="","",IF($AG199&lt;=1200,IF(INDEX(对接源_01水果!$E$4:$E$1203,$AG199)=0,"",INDEX(对接源_01水果!$E$4:$E$1203,$AG199)),IF(INDEX(对接源_02物料!$E$4:$E$1203,$AG199-1200)=0,"",INDEX(对接源_02物料!$E$4:$E$1203,$AG199-1200))))</f>
        <v>NO:0000948</v>
      </c>
      <c r="C199" s="131" t="str">
        <f>IF($AG199="","",IF($AG199&lt;=1200,IF(INDEX(对接源_01水果!$S$4:$S$1203,$AG199)=0,"",INDEX(对接源_01水果!$S$4:$S$1203,$AG199)),IF(INDEX(对接源_02物料!$S$4:$S$1203,$AG199-1200)=0,"",INDEX(对接源_02物料!$S$4:$S$1203,$AG199-1200))))</f>
        <v>公司红周转筐</v>
      </c>
      <c r="D199" s="170">
        <f>IF($AG199="","",IF($AG199&lt;=1200,IF(INDEX(对接源_01水果!$V$4:$V$1203,$AG199)=0,"",INDEX(对接源_01水果!$V$4:$V$1203,$AG199)),IF(INDEX(对接源_02物料!$V$4:$V$1203,$AG199-1200)=0,"",INDEX(对接源_02物料!$V$4:$V$1203,$AG199-1200))))</f>
        <v>52</v>
      </c>
      <c r="E199" s="104" t="str">
        <f>IF($AG199="","",IF($AG199&lt;=1200,IF(INDEX(对接源_01水果!$W$4:$W$1203,$AG199)=0,"",INDEX(对接源_01水果!$W$4:$W$1203,$AG199)),IF(INDEX(对接源_02物料!$W$4:$W$1203,$AG199-1200)=0,"",INDEX(对接源_02物料!$W$4:$W$1203,$AG199-1200))))</f>
        <v>新N*49209</v>
      </c>
      <c r="F199" s="104" t="str">
        <f>IF($AG199="","",IF($AG199&lt;=1200,"01水果册","02物料册"))</f>
        <v>01水果册</v>
      </c>
      <c r="G199" s="131">
        <f>IF($AG199="","",IF($AG199&lt;=1200,IF(INDEX(对接源_01水果!$M$4:$M$1203,$AG199)=0,"",INDEX(对接源_01水果!$M$4:$M$1203,$AG199)),IF(INDEX(对接源_02物料!$M$4:$M$1203,$AG199-1200)=0,"",INDEX(对接源_02物料!$M$4:$M$1203,$AG199-1200))))</f>
      </c>
      <c r="AG199" s="128">
        <f>IFERROR(MATCH(28,_自动清单!$U$4:$U$2403,0),"")</f>
        <v>376</v>
      </c>
    </row>
    <row r="200" ht="18" customHeight="1" s="127">
      <c r="A200" s="163">
        <f>IF($AG200="","",IF($AG200&lt;=1200,IF(INDEX(对接源_01水果!$B$4:$B$1203,$AG200)=0,"",INDEX(对接源_01水果!$B$4:$B$1203,$AG200)),IF(INDEX(对接源_02物料!$B$4:$B$1203,$AG200-1200)=0,"",INDEX(对接源_02物料!$B$4:$B$1203,$AG200-1200))))</f>
        <v>46287.0</v>
      </c>
      <c r="B200" s="61" t="str">
        <f>IF($AG200="","",IF($AG200&lt;=1200,IF(INDEX(对接源_01水果!$E$4:$E$1203,$AG200)=0,"",INDEX(对接源_01水果!$E$4:$E$1203,$AG200)),IF(INDEX(对接源_02物料!$E$4:$E$1203,$AG200-1200)=0,"",INDEX(对接源_02物料!$E$4:$E$1203,$AG200-1200))))</f>
        <v>NO:0000948</v>
      </c>
      <c r="C200" s="122" t="str">
        <f>IF($AG200="","",IF($AG200&lt;=1200,IF(INDEX(对接源_01水果!$S$4:$S$1203,$AG200)=0,"",INDEX(对接源_01水果!$S$4:$S$1203,$AG200)),IF(INDEX(对接源_02物料!$S$4:$S$1203,$AG200-1200)=0,"",INDEX(对接源_02物料!$S$4:$S$1203,$AG200-1200))))</f>
        <v>公司红周转筐</v>
      </c>
      <c r="D200" s="169">
        <f>IF($AG200="","",IF($AG200&lt;=1200,IF(INDEX(对接源_01水果!$V$4:$V$1203,$AG200)=0,"",INDEX(对接源_01水果!$V$4:$V$1203,$AG200)),IF(INDEX(对接源_02物料!$V$4:$V$1203,$AG200-1200)=0,"",INDEX(对接源_02物料!$V$4:$V$1203,$AG200-1200))))</f>
        <v>25</v>
      </c>
      <c r="E200" s="61" t="str">
        <f>IF($AG200="","",IF($AG200&lt;=1200,IF(INDEX(对接源_01水果!$W$4:$W$1203,$AG200)=0,"",INDEX(对接源_01水果!$W$4:$W$1203,$AG200)),IF(INDEX(对接源_02物料!$W$4:$W$1203,$AG200-1200)=0,"",INDEX(对接源_02物料!$W$4:$W$1203,$AG200-1200))))</f>
        <v>新N*49209</v>
      </c>
      <c r="F200" s="61" t="str">
        <f>IF($AG200="","",IF($AG200&lt;=1200,"01水果册","02物料册"))</f>
        <v>01水果册</v>
      </c>
      <c r="G200" s="122">
        <f>IF($AG200="","",IF($AG200&lt;=1200,IF(INDEX(对接源_01水果!$M$4:$M$1203,$AG200)=0,"",INDEX(对接源_01水果!$M$4:$M$1203,$AG200)),IF(INDEX(对接源_02物料!$M$4:$M$1203,$AG200-1200)=0,"",INDEX(对接源_02物料!$M$4:$M$1203,$AG200-1200))))</f>
      </c>
      <c r="AG200" s="128">
        <f>IFERROR(MATCH(29,_自动清单!$U$4:$U$2403,0),"")</f>
        <v>377</v>
      </c>
    </row>
    <row r="201" ht="18" customHeight="1" s="127">
      <c r="A201" s="165">
        <f>IF($AG201="","",IF($AG201&lt;=1200,IF(INDEX(对接源_01水果!$B$4:$B$1203,$AG201)=0,"",INDEX(对接源_01水果!$B$4:$B$1203,$AG201)),IF(INDEX(对接源_02物料!$B$4:$B$1203,$AG201-1200)=0,"",INDEX(对接源_02物料!$B$4:$B$1203,$AG201-1200))))</f>
        <v>46287.0</v>
      </c>
      <c r="B201" s="104" t="str">
        <f>IF($AG201="","",IF($AG201&lt;=1200,IF(INDEX(对接源_01水果!$E$4:$E$1203,$AG201)=0,"",INDEX(对接源_01水果!$E$4:$E$1203,$AG201)),IF(INDEX(对接源_02物料!$E$4:$E$1203,$AG201-1200)=0,"",INDEX(对接源_02物料!$E$4:$E$1203,$AG201-1200))))</f>
        <v>NO:0000953</v>
      </c>
      <c r="C201" s="131" t="str">
        <f>IF($AG201="","",IF($AG201&lt;=1200,IF(INDEX(对接源_01水果!$S$4:$S$1203,$AG201)=0,"",INDEX(对接源_01水果!$S$4:$S$1203,$AG201)),IF(INDEX(对接源_02物料!$S$4:$S$1203,$AG201-1200)=0,"",INDEX(对接源_02物料!$S$4:$S$1203,$AG201-1200))))</f>
        <v>公司红周转筐</v>
      </c>
      <c r="D201" s="170">
        <f>IF($AG201="","",IF($AG201&lt;=1200,IF(INDEX(对接源_01水果!$V$4:$V$1203,$AG201)=0,"",INDEX(对接源_01水果!$V$4:$V$1203,$AG201)),IF(INDEX(对接源_02物料!$V$4:$V$1203,$AG201-1200)=0,"",INDEX(对接源_02物料!$V$4:$V$1203,$AG201-1200))))</f>
        <v>552</v>
      </c>
      <c r="E201" s="104" t="str">
        <f>IF($AG201="","",IF($AG201&lt;=1200,IF(INDEX(对接源_01水果!$W$4:$W$1203,$AG201)=0,"",INDEX(对接源_01水果!$W$4:$W$1203,$AG201)),IF(INDEX(对接源_02物料!$W$4:$W$1203,$AG201-1200)=0,"",INDEX(对接源_02物料!$W$4:$W$1203,$AG201-1200))))</f>
        <v>新N*49209</v>
      </c>
      <c r="F201" s="104" t="str">
        <f>IF($AG201="","",IF($AG201&lt;=1200,"01水果册","02物料册"))</f>
        <v>01水果册</v>
      </c>
      <c r="G201" s="131">
        <f>IF($AG201="","",IF($AG201&lt;=1200,IF(INDEX(对接源_01水果!$M$4:$M$1203,$AG201)=0,"",INDEX(对接源_01水果!$M$4:$M$1203,$AG201)),IF(INDEX(对接源_02物料!$M$4:$M$1203,$AG201-1200)=0,"",INDEX(对接源_02物料!$M$4:$M$1203,$AG201-1200))))</f>
      </c>
      <c r="AG201" s="128">
        <f>IFERROR(MATCH(30,_自动清单!$U$4:$U$2403,0),"")</f>
        <v>383</v>
      </c>
    </row>
    <row r="202" ht="18" customHeight="1" s="127">
      <c r="A202" s="163">
        <f>IF($AG202="","",IF($AG202&lt;=1200,IF(INDEX(对接源_01水果!$B$4:$B$1203,$AG202)=0,"",INDEX(对接源_01水果!$B$4:$B$1203,$AG202)),IF(INDEX(对接源_02物料!$B$4:$B$1203,$AG202-1200)=0,"",INDEX(对接源_02物料!$B$4:$B$1203,$AG202-1200))))</f>
        <v>46287.0</v>
      </c>
      <c r="B202" s="61" t="str">
        <f>IF($AG202="","",IF($AG202&lt;=1200,IF(INDEX(对接源_01水果!$E$4:$E$1203,$AG202)=0,"",INDEX(对接源_01水果!$E$4:$E$1203,$AG202)),IF(INDEX(对接源_02物料!$E$4:$E$1203,$AG202-1200)=0,"",INDEX(对接源_02物料!$E$4:$E$1203,$AG202-1200))))</f>
        <v>NO:0000953</v>
      </c>
      <c r="C202" s="122" t="str">
        <f>IF($AG202="","",IF($AG202&lt;=1200,IF(INDEX(对接源_01水果!$S$4:$S$1203,$AG202)=0,"",INDEX(对接源_01水果!$S$4:$S$1203,$AG202)),IF(INDEX(对接源_02物料!$S$4:$S$1203,$AG202-1200)=0,"",INDEX(对接源_02物料!$S$4:$S$1203,$AG202-1200))))</f>
        <v>公司红周转筐</v>
      </c>
      <c r="D202" s="169">
        <f>IF($AG202="","",IF($AG202&lt;=1200,IF(INDEX(对接源_01水果!$V$4:$V$1203,$AG202)=0,"",INDEX(对接源_01水果!$V$4:$V$1203,$AG202)),IF(INDEX(对接源_02物料!$V$4:$V$1203,$AG202-1200)=0,"",INDEX(对接源_02物料!$V$4:$V$1203,$AG202-1200))))</f>
        <v>85</v>
      </c>
      <c r="E202" s="61" t="str">
        <f>IF($AG202="","",IF($AG202&lt;=1200,IF(INDEX(对接源_01水果!$W$4:$W$1203,$AG202)=0,"",INDEX(对接源_01水果!$W$4:$W$1203,$AG202)),IF(INDEX(对接源_02物料!$W$4:$W$1203,$AG202-1200)=0,"",INDEX(对接源_02物料!$W$4:$W$1203,$AG202-1200))))</f>
        <v>新N*49209</v>
      </c>
      <c r="F202" s="61" t="str">
        <f>IF($AG202="","",IF($AG202&lt;=1200,"01水果册","02物料册"))</f>
        <v>01水果册</v>
      </c>
      <c r="G202" s="122">
        <f>IF($AG202="","",IF($AG202&lt;=1200,IF(INDEX(对接源_01水果!$M$4:$M$1203,$AG202)=0,"",INDEX(对接源_01水果!$M$4:$M$1203,$AG202)),IF(INDEX(对接源_02物料!$M$4:$M$1203,$AG202-1200)=0,"",INDEX(对接源_02物料!$M$4:$M$1203,$AG202-1200))))</f>
      </c>
      <c r="AG202" s="128">
        <f>IFERROR(MATCH(31,_自动清单!$U$4:$U$2403,0),"")</f>
        <v>384</v>
      </c>
    </row>
    <row r="203" ht="18" customHeight="1" s="127">
      <c r="A203" s="165">
        <f>IF($AG203="","",IF($AG203&lt;=1200,IF(INDEX(对接源_01水果!$B$4:$B$1203,$AG203)=0,"",INDEX(对接源_01水果!$B$4:$B$1203,$AG203)),IF(INDEX(对接源_02物料!$B$4:$B$1203,$AG203-1200)=0,"",INDEX(对接源_02物料!$B$4:$B$1203,$AG203-1200))))</f>
        <v>46287.0</v>
      </c>
      <c r="B203" s="104" t="str">
        <f>IF($AG203="","",IF($AG203&lt;=1200,IF(INDEX(对接源_01水果!$E$4:$E$1203,$AG203)=0,"",INDEX(对接源_01水果!$E$4:$E$1203,$AG203)),IF(INDEX(对接源_02物料!$E$4:$E$1203,$AG203-1200)=0,"",INDEX(对接源_02物料!$E$4:$E$1203,$AG203-1200))))</f>
        <v>NO:0000953</v>
      </c>
      <c r="C203" s="131" t="str">
        <f>IF($AG203="","",IF($AG203&lt;=1200,IF(INDEX(对接源_01水果!$S$4:$S$1203,$AG203)=0,"",INDEX(对接源_01水果!$S$4:$S$1203,$AG203)),IF(INDEX(对接源_02物料!$S$4:$S$1203,$AG203-1200)=0,"",INDEX(对接源_02物料!$S$4:$S$1203,$AG203-1200))))</f>
        <v>公司红周转筐</v>
      </c>
      <c r="D203" s="170">
        <f>IF($AG203="","",IF($AG203&lt;=1200,IF(INDEX(对接源_01水果!$V$4:$V$1203,$AG203)=0,"",INDEX(对接源_01水果!$V$4:$V$1203,$AG203)),IF(INDEX(对接源_02物料!$V$4:$V$1203,$AG203-1200)=0,"",INDEX(对接源_02物料!$V$4:$V$1203,$AG203-1200))))</f>
        <v>52</v>
      </c>
      <c r="E203" s="104" t="str">
        <f>IF($AG203="","",IF($AG203&lt;=1200,IF(INDEX(对接源_01水果!$W$4:$W$1203,$AG203)=0,"",INDEX(对接源_01水果!$W$4:$W$1203,$AG203)),IF(INDEX(对接源_02物料!$W$4:$W$1203,$AG203-1200)=0,"",INDEX(对接源_02物料!$W$4:$W$1203,$AG203-1200))))</f>
        <v>新N*49209</v>
      </c>
      <c r="F203" s="104" t="str">
        <f>IF($AG203="","",IF($AG203&lt;=1200,"01水果册","02物料册"))</f>
        <v>01水果册</v>
      </c>
      <c r="G203" s="131">
        <f>IF($AG203="","",IF($AG203&lt;=1200,IF(INDEX(对接源_01水果!$M$4:$M$1203,$AG203)=0,"",INDEX(对接源_01水果!$M$4:$M$1203,$AG203)),IF(INDEX(对接源_02物料!$M$4:$M$1203,$AG203-1200)=0,"",INDEX(对接源_02物料!$M$4:$M$1203,$AG203-1200))))</f>
      </c>
      <c r="AG203" s="128">
        <f>IFERROR(MATCH(32,_自动清单!$U$4:$U$2403,0),"")</f>
        <v>385</v>
      </c>
    </row>
    <row r="204" ht="18" customHeight="1" s="127">
      <c r="A204" s="163">
        <f>IF($AG204="","",IF($AG204&lt;=1200,IF(INDEX(对接源_01水果!$B$4:$B$1203,$AG204)=0,"",INDEX(对接源_01水果!$B$4:$B$1203,$AG204)),IF(INDEX(对接源_02物料!$B$4:$B$1203,$AG204-1200)=0,"",INDEX(对接源_02物料!$B$4:$B$1203,$AG204-1200))))</f>
        <v>46288.0</v>
      </c>
      <c r="B204" s="61" t="str">
        <f>IF($AG204="","",IF($AG204&lt;=1200,IF(INDEX(对接源_01水果!$E$4:$E$1203,$AG204)=0,"",INDEX(对接源_01水果!$E$4:$E$1203,$AG204)),IF(INDEX(对接源_02物料!$E$4:$E$1203,$AG204-1200)=0,"",INDEX(对接源_02物料!$E$4:$E$1203,$AG204-1200))))</f>
        <v>NO:0000958</v>
      </c>
      <c r="C204" s="122" t="str">
        <f>IF($AG204="","",IF($AG204&lt;=1200,IF(INDEX(对接源_01水果!$S$4:$S$1203,$AG204)=0,"",INDEX(对接源_01水果!$S$4:$S$1203,$AG204)),IF(INDEX(对接源_02物料!$S$4:$S$1203,$AG204-1200)=0,"",INDEX(对接源_02物料!$S$4:$S$1203,$AG204-1200))))</f>
        <v>公司红周转筐</v>
      </c>
      <c r="D204" s="169">
        <f>IF($AG204="","",IF($AG204&lt;=1200,IF(INDEX(对接源_01水果!$V$4:$V$1203,$AG204)=0,"",INDEX(对接源_01水果!$V$4:$V$1203,$AG204)),IF(INDEX(对接源_02物料!$V$4:$V$1203,$AG204-1200)=0,"",INDEX(对接源_02物料!$V$4:$V$1203,$AG204-1200))))</f>
        <v>592</v>
      </c>
      <c r="E204" s="61" t="str">
        <f>IF($AG204="","",IF($AG204&lt;=1200,IF(INDEX(对接源_01水果!$W$4:$W$1203,$AG204)=0,"",INDEX(对接源_01水果!$W$4:$W$1203,$AG204)),IF(INDEX(对接源_02物料!$W$4:$W$1203,$AG204-1200)=0,"",INDEX(对接源_02物料!$W$4:$W$1203,$AG204-1200))))</f>
        <v>新N*49209</v>
      </c>
      <c r="F204" s="61" t="str">
        <f>IF($AG204="","",IF($AG204&lt;=1200,"01水果册","02物料册"))</f>
        <v>01水果册</v>
      </c>
      <c r="G204" s="122" t="str">
        <f>IF($AG204="","",IF($AG204&lt;=1200,IF(INDEX(对接源_01水果!$M$4:$M$1203,$AG204)=0,"",INDEX(对接源_01水果!$M$4:$M$1203,$AG204)),IF(INDEX(对接源_02物料!$M$4:$M$1203,$AG204-1200)=0,"",INDEX(对接源_02物料!$M$4:$M$1203,$AG204-1200))))</f>
        <v>左</v>
      </c>
      <c r="AG204" s="128">
        <f>IFERROR(MATCH(33,_自动清单!$U$4:$U$2403,0),"")</f>
        <v>393</v>
      </c>
    </row>
    <row r="205" ht="18" customHeight="1" s="127">
      <c r="A205" s="165">
        <f>IF($AG205="","",IF($AG205&lt;=1200,IF(INDEX(对接源_01水果!$B$4:$B$1203,$AG205)=0,"",INDEX(对接源_01水果!$B$4:$B$1203,$AG205)),IF(INDEX(对接源_02物料!$B$4:$B$1203,$AG205-1200)=0,"",INDEX(对接源_02物料!$B$4:$B$1203,$AG205-1200))))</f>
        <v>46288.0</v>
      </c>
      <c r="B205" s="104" t="str">
        <f>IF($AG205="","",IF($AG205&lt;=1200,IF(INDEX(对接源_01水果!$E$4:$E$1203,$AG205)=0,"",INDEX(对接源_01水果!$E$4:$E$1203,$AG205)),IF(INDEX(对接源_02物料!$E$4:$E$1203,$AG205-1200)=0,"",INDEX(对接源_02物料!$E$4:$E$1203,$AG205-1200))))</f>
        <v>NO:0000958</v>
      </c>
      <c r="C205" s="131" t="str">
        <f>IF($AG205="","",IF($AG205&lt;=1200,IF(INDEX(对接源_01水果!$S$4:$S$1203,$AG205)=0,"",INDEX(对接源_01水果!$S$4:$S$1203,$AG205)),IF(INDEX(对接源_02物料!$S$4:$S$1203,$AG205-1200)=0,"",INDEX(对接源_02物料!$S$4:$S$1203,$AG205-1200))))</f>
        <v>公司红周转筐</v>
      </c>
      <c r="D205" s="170">
        <f>IF($AG205="","",IF($AG205&lt;=1200,IF(INDEX(对接源_01水果!$V$4:$V$1203,$AG205)=0,"",INDEX(对接源_01水果!$V$4:$V$1203,$AG205)),IF(INDEX(对接源_02物料!$V$4:$V$1203,$AG205-1200)=0,"",INDEX(对接源_02物料!$V$4:$V$1203,$AG205-1200))))</f>
        <v>48</v>
      </c>
      <c r="E205" s="104" t="str">
        <f>IF($AG205="","",IF($AG205&lt;=1200,IF(INDEX(对接源_01水果!$W$4:$W$1203,$AG205)=0,"",INDEX(对接源_01水果!$W$4:$W$1203,$AG205)),IF(INDEX(对接源_02物料!$W$4:$W$1203,$AG205-1200)=0,"",INDEX(对接源_02物料!$W$4:$W$1203,$AG205-1200))))</f>
        <v>新N*49209</v>
      </c>
      <c r="F205" s="104" t="str">
        <f>IF($AG205="","",IF($AG205&lt;=1200,"01水果册","02物料册"))</f>
        <v>01水果册</v>
      </c>
      <c r="G205" s="131" t="str">
        <f>IF($AG205="","",IF($AG205&lt;=1200,IF(INDEX(对接源_01水果!$M$4:$M$1203,$AG205)=0,"",INDEX(对接源_01水果!$M$4:$M$1203,$AG205)),IF(INDEX(对接源_02物料!$M$4:$M$1203,$AG205-1200)=0,"",INDEX(对接源_02物料!$M$4:$M$1203,$AG205-1200))))</f>
        <v>左</v>
      </c>
      <c r="AG205" s="128">
        <f>IFERROR(MATCH(34,_自动清单!$U$4:$U$2403,0),"")</f>
        <v>394</v>
      </c>
    </row>
    <row r="206" ht="18" customHeight="1" s="127">
      <c r="A206" s="163">
        <f>IF($AG206="","",IF($AG206&lt;=1200,IF(INDEX(对接源_01水果!$B$4:$B$1203,$AG206)=0,"",INDEX(对接源_01水果!$B$4:$B$1203,$AG206)),IF(INDEX(对接源_02物料!$B$4:$B$1203,$AG206-1200)=0,"",INDEX(对接源_02物料!$B$4:$B$1203,$AG206-1200))))</f>
        <v>46289.0</v>
      </c>
      <c r="B206" s="61" t="str">
        <f>IF($AG206="","",IF($AG206&lt;=1200,IF(INDEX(对接源_01水果!$E$4:$E$1203,$AG206)=0,"",INDEX(对接源_01水果!$E$4:$E$1203,$AG206)),IF(INDEX(对接源_02物料!$E$4:$E$1203,$AG206-1200)=0,"",INDEX(对接源_02物料!$E$4:$E$1203,$AG206-1200))))</f>
        <v>NO:0000971</v>
      </c>
      <c r="C206" s="122" t="str">
        <f>IF($AG206="","",IF($AG206&lt;=1200,IF(INDEX(对接源_01水果!$S$4:$S$1203,$AG206)=0,"",INDEX(对接源_01水果!$S$4:$S$1203,$AG206)),IF(INDEX(对接源_02物料!$S$4:$S$1203,$AG206-1200)=0,"",INDEX(对接源_02物料!$S$4:$S$1203,$AG206-1200))))</f>
        <v>公司红周转筐</v>
      </c>
      <c r="D206" s="169">
        <f>IF($AG206="","",IF($AG206&lt;=1200,IF(INDEX(对接源_01水果!$V$4:$V$1203,$AG206)=0,"",INDEX(对接源_01水果!$V$4:$V$1203,$AG206)),IF(INDEX(对接源_02物料!$V$4:$V$1203,$AG206-1200)=0,"",INDEX(对接源_02物料!$V$4:$V$1203,$AG206-1200))))</f>
        <v>449</v>
      </c>
      <c r="E206" s="61" t="str">
        <f>IF($AG206="","",IF($AG206&lt;=1200,IF(INDEX(对接源_01水果!$W$4:$W$1203,$AG206)=0,"",INDEX(对接源_01水果!$W$4:$W$1203,$AG206)),IF(INDEX(对接源_02物料!$W$4:$W$1203,$AG206-1200)=0,"",INDEX(对接源_02物料!$W$4:$W$1203,$AG206-1200))))</f>
        <v>新N*49209</v>
      </c>
      <c r="F206" s="61" t="str">
        <f>IF($AG206="","",IF($AG206&lt;=1200,"01水果册","02物料册"))</f>
        <v>01水果册</v>
      </c>
      <c r="G206" s="122" t="str">
        <f>IF($AG206="","",IF($AG206&lt;=1200,IF(INDEX(对接源_01水果!$M$4:$M$1203,$AG206)=0,"",INDEX(对接源_01水果!$M$4:$M$1203,$AG206)),IF(INDEX(对接源_02物料!$M$4:$M$1203,$AG206-1200)=0,"",INDEX(对接源_02物料!$M$4:$M$1203,$AG206-1200))))</f>
        <v>二黄</v>
      </c>
      <c r="AG206" s="128">
        <f>IFERROR(MATCH(35,_自动清单!$U$4:$U$2403,0),"")</f>
        <v>416</v>
      </c>
    </row>
    <row r="207" ht="18" customHeight="1" s="127">
      <c r="A207" s="165">
        <f>IF($AG207="","",IF($AG207&lt;=1200,IF(INDEX(对接源_01水果!$B$4:$B$1203,$AG207)=0,"",INDEX(对接源_01水果!$B$4:$B$1203,$AG207)),IF(INDEX(对接源_02物料!$B$4:$B$1203,$AG207-1200)=0,"",INDEX(对接源_02物料!$B$4:$B$1203,$AG207-1200))))</f>
        <v>46289.0</v>
      </c>
      <c r="B207" s="104" t="str">
        <f>IF($AG207="","",IF($AG207&lt;=1200,IF(INDEX(对接源_01水果!$E$4:$E$1203,$AG207)=0,"",INDEX(对接源_01水果!$E$4:$E$1203,$AG207)),IF(INDEX(对接源_02物料!$E$4:$E$1203,$AG207-1200)=0,"",INDEX(对接源_02物料!$E$4:$E$1203,$AG207-1200))))</f>
        <v>NO:0000971</v>
      </c>
      <c r="C207" s="131" t="str">
        <f>IF($AG207="","",IF($AG207&lt;=1200,IF(INDEX(对接源_01水果!$S$4:$S$1203,$AG207)=0,"",INDEX(对接源_01水果!$S$4:$S$1203,$AG207)),IF(INDEX(对接源_02物料!$S$4:$S$1203,$AG207-1200)=0,"",INDEX(对接源_02物料!$S$4:$S$1203,$AG207-1200))))</f>
        <v>公司红周转筐</v>
      </c>
      <c r="D207" s="170">
        <f>IF($AG207="","",IF($AG207&lt;=1200,IF(INDEX(对接源_01水果!$V$4:$V$1203,$AG207)=0,"",INDEX(对接源_01水果!$V$4:$V$1203,$AG207)),IF(INDEX(对接源_02物料!$V$4:$V$1203,$AG207-1200)=0,"",INDEX(对接源_02物料!$V$4:$V$1203,$AG207-1200))))</f>
        <v>68</v>
      </c>
      <c r="E207" s="104" t="str">
        <f>IF($AG207="","",IF($AG207&lt;=1200,IF(INDEX(对接源_01水果!$W$4:$W$1203,$AG207)=0,"",INDEX(对接源_01水果!$W$4:$W$1203,$AG207)),IF(INDEX(对接源_02物料!$W$4:$W$1203,$AG207-1200)=0,"",INDEX(对接源_02物料!$W$4:$W$1203,$AG207-1200))))</f>
        <v>新N*49209</v>
      </c>
      <c r="F207" s="104" t="str">
        <f>IF($AG207="","",IF($AG207&lt;=1200,"01水果册","02物料册"))</f>
        <v>01水果册</v>
      </c>
      <c r="G207" s="131" t="str">
        <f>IF($AG207="","",IF($AG207&lt;=1200,IF(INDEX(对接源_01水果!$M$4:$M$1203,$AG207)=0,"",INDEX(对接源_01水果!$M$4:$M$1203,$AG207)),IF(INDEX(对接源_02物料!$M$4:$M$1203,$AG207-1200)=0,"",INDEX(对接源_02物料!$M$4:$M$1203,$AG207-1200))))</f>
        <v>二黄</v>
      </c>
      <c r="AG207" s="128">
        <f>IFERROR(MATCH(36,_自动清单!$U$4:$U$2403,0),"")</f>
        <v>417</v>
      </c>
    </row>
    <row r="208" ht="18" customHeight="1" s="127">
      <c r="A208" s="163">
        <f>IF($AG208="","",IF($AG208&lt;=1200,IF(INDEX(对接源_01水果!$B$4:$B$1203,$AG208)=0,"",INDEX(对接源_01水果!$B$4:$B$1203,$AG208)),IF(INDEX(对接源_02物料!$B$4:$B$1203,$AG208-1200)=0,"",INDEX(对接源_02物料!$B$4:$B$1203,$AG208-1200))))</f>
        <v>46289.0</v>
      </c>
      <c r="B208" s="61" t="str">
        <f>IF($AG208="","",IF($AG208&lt;=1200,IF(INDEX(对接源_01水果!$E$4:$E$1203,$AG208)=0,"",INDEX(对接源_01水果!$E$4:$E$1203,$AG208)),IF(INDEX(对接源_02物料!$E$4:$E$1203,$AG208-1200)=0,"",INDEX(对接源_02物料!$E$4:$E$1203,$AG208-1200))))</f>
        <v>NO:0000971</v>
      </c>
      <c r="C208" s="122" t="str">
        <f>IF($AG208="","",IF($AG208&lt;=1200,IF(INDEX(对接源_01水果!$S$4:$S$1203,$AG208)=0,"",INDEX(对接源_01水果!$S$4:$S$1203,$AG208)),IF(INDEX(对接源_02物料!$S$4:$S$1203,$AG208-1200)=0,"",INDEX(对接源_02物料!$S$4:$S$1203,$AG208-1200))))</f>
        <v>公司红周转筐</v>
      </c>
      <c r="D208" s="169">
        <f>IF($AG208="","",IF($AG208&lt;=1200,IF(INDEX(对接源_01水果!$V$4:$V$1203,$AG208)=0,"",INDEX(对接源_01水果!$V$4:$V$1203,$AG208)),IF(INDEX(对接源_02物料!$V$4:$V$1203,$AG208-1200)=0,"",INDEX(对接源_02物料!$V$4:$V$1203,$AG208-1200))))</f>
        <v>172</v>
      </c>
      <c r="E208" s="61" t="str">
        <f>IF($AG208="","",IF($AG208&lt;=1200,IF(INDEX(对接源_01水果!$W$4:$W$1203,$AG208)=0,"",INDEX(对接源_01水果!$W$4:$W$1203,$AG208)),IF(INDEX(对接源_02物料!$W$4:$W$1203,$AG208-1200)=0,"",INDEX(对接源_02物料!$W$4:$W$1203,$AG208-1200))))</f>
        <v>新N*49209</v>
      </c>
      <c r="F208" s="61" t="str">
        <f>IF($AG208="","",IF($AG208&lt;=1200,"01水果册","02物料册"))</f>
        <v>01水果册</v>
      </c>
      <c r="G208" s="122" t="str">
        <f>IF($AG208="","",IF($AG208&lt;=1200,IF(INDEX(对接源_01水果!$M$4:$M$1203,$AG208)=0,"",INDEX(对接源_01水果!$M$4:$M$1203,$AG208)),IF(INDEX(对接源_02物料!$M$4:$M$1203,$AG208-1200)=0,"",INDEX(对接源_02物料!$M$4:$M$1203,$AG208-1200))))</f>
        <v>二黄</v>
      </c>
      <c r="AG208" s="128">
        <f>IFERROR(MATCH(37,_自动清单!$U$4:$U$2403,0),"")</f>
        <v>418</v>
      </c>
    </row>
    <row r="209" ht="18" customHeight="1" s="127">
      <c r="A209" s="165">
        <f>IF($AG209="","",IF($AG209&lt;=1200,IF(INDEX(对接源_01水果!$B$4:$B$1203,$AG209)=0,"",INDEX(对接源_01水果!$B$4:$B$1203,$AG209)),IF(INDEX(对接源_02物料!$B$4:$B$1203,$AG209-1200)=0,"",INDEX(对接源_02物料!$B$4:$B$1203,$AG209-1200))))</f>
        <v>46289.0</v>
      </c>
      <c r="B209" s="104" t="str">
        <f>IF($AG209="","",IF($AG209&lt;=1200,IF(INDEX(对接源_01水果!$E$4:$E$1203,$AG209)=0,"",INDEX(对接源_01水果!$E$4:$E$1203,$AG209)),IF(INDEX(对接源_02物料!$E$4:$E$1203,$AG209-1200)=0,"",INDEX(对接源_02物料!$E$4:$E$1203,$AG209-1200))))</f>
        <v>NO:0000973</v>
      </c>
      <c r="C209" s="131" t="str">
        <f>IF($AG209="","",IF($AG209&lt;=1200,IF(INDEX(对接源_01水果!$S$4:$S$1203,$AG209)=0,"",INDEX(对接源_01水果!$S$4:$S$1203,$AG209)),IF(INDEX(对接源_02物料!$S$4:$S$1203,$AG209-1200)=0,"",INDEX(对接源_02物料!$S$4:$S$1203,$AG209-1200))))</f>
        <v>公司红周转筐</v>
      </c>
      <c r="D209" s="170">
        <f>IF($AG209="","",IF($AG209&lt;=1200,IF(INDEX(对接源_01水果!$V$4:$V$1203,$AG209)=0,"",INDEX(对接源_01水果!$V$4:$V$1203,$AG209)),IF(INDEX(对接源_02物料!$V$4:$V$1203,$AG209-1200)=0,"",INDEX(对接源_02物料!$V$4:$V$1203,$AG209-1200))))</f>
        <v>616</v>
      </c>
      <c r="E209" s="104" t="str">
        <f>IF($AG209="","",IF($AG209&lt;=1200,IF(INDEX(对接源_01水果!$W$4:$W$1203,$AG209)=0,"",INDEX(对接源_01水果!$W$4:$W$1203,$AG209)),IF(INDEX(对接源_02物料!$W$4:$W$1203,$AG209-1200)=0,"",INDEX(对接源_02物料!$W$4:$W$1203,$AG209-1200))))</f>
        <v>新N*49209</v>
      </c>
      <c r="F209" s="104" t="str">
        <f>IF($AG209="","",IF($AG209&lt;=1200,"01水果册","02物料册"))</f>
        <v>01水果册</v>
      </c>
      <c r="G209" s="131" t="str">
        <f>IF($AG209="","",IF($AG209&lt;=1200,IF(INDEX(对接源_01水果!$M$4:$M$1203,$AG209)=0,"",INDEX(对接源_01水果!$M$4:$M$1203,$AG209)),IF(INDEX(对接源_02物料!$M$4:$M$1203,$AG209-1200)=0,"",INDEX(对接源_02物料!$M$4:$M$1203,$AG209-1200))))</f>
        <v>左/二黄</v>
      </c>
      <c r="AG209" s="128">
        <f>IFERROR(MATCH(38,_自动清单!$U$4:$U$2403,0),"")</f>
        <v>419</v>
      </c>
    </row>
    <row r="210" ht="18" customHeight="1" s="127">
      <c r="A210" s="163">
        <f>IF($AG210="","",IF($AG210&lt;=1200,IF(INDEX(对接源_01水果!$B$4:$B$1203,$AG210)=0,"",INDEX(对接源_01水果!$B$4:$B$1203,$AG210)),IF(INDEX(对接源_02物料!$B$4:$B$1203,$AG210-1200)=0,"",INDEX(对接源_02物料!$B$4:$B$1203,$AG210-1200))))</f>
        <v>46289.0</v>
      </c>
      <c r="B210" s="61" t="str">
        <f>IF($AG210="","",IF($AG210&lt;=1200,IF(INDEX(对接源_01水果!$E$4:$E$1203,$AG210)=0,"",INDEX(对接源_01水果!$E$4:$E$1203,$AG210)),IF(INDEX(对接源_02物料!$E$4:$E$1203,$AG210-1200)=0,"",INDEX(对接源_02物料!$E$4:$E$1203,$AG210-1200))))</f>
        <v>NO:0000973</v>
      </c>
      <c r="C210" s="122" t="str">
        <f>IF($AG210="","",IF($AG210&lt;=1200,IF(INDEX(对接源_01水果!$S$4:$S$1203,$AG210)=0,"",INDEX(对接源_01水果!$S$4:$S$1203,$AG210)),IF(INDEX(对接源_02物料!$S$4:$S$1203,$AG210-1200)=0,"",INDEX(对接源_02物料!$S$4:$S$1203,$AG210-1200))))</f>
        <v>公司红周转筐</v>
      </c>
      <c r="D210" s="169">
        <f>IF($AG210="","",IF($AG210&lt;=1200,IF(INDEX(对接源_01水果!$V$4:$V$1203,$AG210)=0,"",INDEX(对接源_01水果!$V$4:$V$1203,$AG210)),IF(INDEX(对接源_02物料!$V$4:$V$1203,$AG210-1200)=0,"",INDEX(对接源_02物料!$V$4:$V$1203,$AG210-1200))))</f>
        <v>24</v>
      </c>
      <c r="E210" s="61" t="str">
        <f>IF($AG210="","",IF($AG210&lt;=1200,IF(INDEX(对接源_01水果!$W$4:$W$1203,$AG210)=0,"",INDEX(对接源_01水果!$W$4:$W$1203,$AG210)),IF(INDEX(对接源_02物料!$W$4:$W$1203,$AG210-1200)=0,"",INDEX(对接源_02物料!$W$4:$W$1203,$AG210-1200))))</f>
        <v>新N*49209</v>
      </c>
      <c r="F210" s="61" t="str">
        <f>IF($AG210="","",IF($AG210&lt;=1200,"01水果册","02物料册"))</f>
        <v>01水果册</v>
      </c>
      <c r="G210" s="122" t="str">
        <f>IF($AG210="","",IF($AG210&lt;=1200,IF(INDEX(对接源_01水果!$M$4:$M$1203,$AG210)=0,"",INDEX(对接源_01水果!$M$4:$M$1203,$AG210)),IF(INDEX(对接源_02物料!$M$4:$M$1203,$AG210-1200)=0,"",INDEX(对接源_02物料!$M$4:$M$1203,$AG210-1200))))</f>
        <v>左/二黄</v>
      </c>
      <c r="AG210" s="128">
        <f>IFERROR(MATCH(39,_自动清单!$U$4:$U$2403,0),"")</f>
        <v>420</v>
      </c>
    </row>
    <row r="211" ht="18" customHeight="1" s="127">
      <c r="A211" s="165">
        <f>IF($AG211="","",IF($AG211&lt;=1200,IF(INDEX(对接源_01水果!$B$4:$B$1203,$AG211)=0,"",INDEX(对接源_01水果!$B$4:$B$1203,$AG211)),IF(INDEX(对接源_02物料!$B$4:$B$1203,$AG211-1200)=0,"",INDEX(对接源_02物料!$B$4:$B$1203,$AG211-1200))))</f>
        <v>46290.0</v>
      </c>
      <c r="B211" s="104" t="str">
        <f>IF($AG211="","",IF($AG211&lt;=1200,IF(INDEX(对接源_01水果!$E$4:$E$1203,$AG211)=0,"",INDEX(对接源_01水果!$E$4:$E$1203,$AG211)),IF(INDEX(对接源_02物料!$E$4:$E$1203,$AG211-1200)=0,"",INDEX(对接源_02物料!$E$4:$E$1203,$AG211-1200))))</f>
        <v>NO:0000982</v>
      </c>
      <c r="C211" s="131" t="str">
        <f>IF($AG211="","",IF($AG211&lt;=1200,IF(INDEX(对接源_01水果!$S$4:$S$1203,$AG211)=0,"",INDEX(对接源_01水果!$S$4:$S$1203,$AG211)),IF(INDEX(对接源_02物料!$S$4:$S$1203,$AG211-1200)=0,"",INDEX(对接源_02物料!$S$4:$S$1203,$AG211-1200))))</f>
        <v>公司红周转筐</v>
      </c>
      <c r="D211" s="170">
        <f>IF($AG211="","",IF($AG211&lt;=1200,IF(INDEX(对接源_01水果!$V$4:$V$1203,$AG211)=0,"",INDEX(对接源_01水果!$V$4:$V$1203,$AG211)),IF(INDEX(对接源_02物料!$V$4:$V$1203,$AG211-1200)=0,"",INDEX(对接源_02物料!$V$4:$V$1203,$AG211-1200))))</f>
        <v>523</v>
      </c>
      <c r="E211" s="104" t="str">
        <f>IF($AG211="","",IF($AG211&lt;=1200,IF(INDEX(对接源_01水果!$W$4:$W$1203,$AG211)=0,"",INDEX(对接源_01水果!$W$4:$W$1203,$AG211)),IF(INDEX(对接源_02物料!$W$4:$W$1203,$AG211-1200)=0,"",INDEX(对接源_02物料!$W$4:$W$1203,$AG211-1200))))</f>
        <v>新N*49209</v>
      </c>
      <c r="F211" s="104" t="str">
        <f>IF($AG211="","",IF($AG211&lt;=1200,"01水果册","02物料册"))</f>
        <v>01水果册</v>
      </c>
      <c r="G211" s="131" t="str">
        <f>IF($AG211="","",IF($AG211&lt;=1200,IF(INDEX(对接源_01水果!$M$4:$M$1203,$AG211)=0,"",INDEX(对接源_01水果!$M$4:$M$1203,$AG211)),IF(INDEX(对接源_02物料!$M$4:$M$1203,$AG211-1200)=0,"",INDEX(对接源_02物料!$M$4:$M$1203,$AG211-1200))))</f>
        <v>左</v>
      </c>
      <c r="AG211" s="128">
        <f>IFERROR(MATCH(40,_自动清单!$U$4:$U$2403,0),"")</f>
        <v>431</v>
      </c>
    </row>
    <row r="212" ht="18" customHeight="1" s="127">
      <c r="A212" s="163">
        <f>IF($AG212="","",IF($AG212&lt;=1200,IF(INDEX(对接源_01水果!$B$4:$B$1203,$AG212)=0,"",INDEX(对接源_01水果!$B$4:$B$1203,$AG212)),IF(INDEX(对接源_02物料!$B$4:$B$1203,$AG212-1200)=0,"",INDEX(对接源_02物料!$B$4:$B$1203,$AG212-1200))))</f>
        <v>46290.0</v>
      </c>
      <c r="B212" s="61" t="str">
        <f>IF($AG212="","",IF($AG212&lt;=1200,IF(INDEX(对接源_01水果!$E$4:$E$1203,$AG212)=0,"",INDEX(对接源_01水果!$E$4:$E$1203,$AG212)),IF(INDEX(对接源_02物料!$E$4:$E$1203,$AG212-1200)=0,"",INDEX(对接源_02物料!$E$4:$E$1203,$AG212-1200))))</f>
        <v>NO:0000982</v>
      </c>
      <c r="C212" s="122" t="str">
        <f>IF($AG212="","",IF($AG212&lt;=1200,IF(INDEX(对接源_01水果!$S$4:$S$1203,$AG212)=0,"",INDEX(对接源_01水果!$S$4:$S$1203,$AG212)),IF(INDEX(对接源_02物料!$S$4:$S$1203,$AG212-1200)=0,"",INDEX(对接源_02物料!$S$4:$S$1203,$AG212-1200))))</f>
        <v>公司红周转筐</v>
      </c>
      <c r="D212" s="169">
        <f>IF($AG212="","",IF($AG212&lt;=1200,IF(INDEX(对接源_01水果!$V$4:$V$1203,$AG212)=0,"",INDEX(对接源_01水果!$V$4:$V$1203,$AG212)),IF(INDEX(对接源_02物料!$V$4:$V$1203,$AG212-1200)=0,"",INDEX(对接源_02物料!$V$4:$V$1203,$AG212-1200))))</f>
        <v>74</v>
      </c>
      <c r="E212" s="61" t="str">
        <f>IF($AG212="","",IF($AG212&lt;=1200,IF(INDEX(对接源_01水果!$W$4:$W$1203,$AG212)=0,"",INDEX(对接源_01水果!$W$4:$W$1203,$AG212)),IF(INDEX(对接源_02物料!$W$4:$W$1203,$AG212-1200)=0,"",INDEX(对接源_02物料!$W$4:$W$1203,$AG212-1200))))</f>
        <v>新N*49209</v>
      </c>
      <c r="F212" s="61" t="str">
        <f>IF($AG212="","",IF($AG212&lt;=1200,"01水果册","02物料册"))</f>
        <v>01水果册</v>
      </c>
      <c r="G212" s="122" t="str">
        <f>IF($AG212="","",IF($AG212&lt;=1200,IF(INDEX(对接源_01水果!$M$4:$M$1203,$AG212)=0,"",INDEX(对接源_01水果!$M$4:$M$1203,$AG212)),IF(INDEX(对接源_02物料!$M$4:$M$1203,$AG212-1200)=0,"",INDEX(对接源_02物料!$M$4:$M$1203,$AG212-1200))))</f>
        <v>左</v>
      </c>
      <c r="AG212" s="128">
        <f>IFERROR(MATCH(41,_自动清单!$U$4:$U$2403,0),"")</f>
        <v>432</v>
      </c>
    </row>
    <row r="213" ht="18" customHeight="1" s="127">
      <c r="A213" s="165">
        <f>IF($AG213="","",IF($AG213&lt;=1200,IF(INDEX(对接源_01水果!$B$4:$B$1203,$AG213)=0,"",INDEX(对接源_01水果!$B$4:$B$1203,$AG213)),IF(INDEX(对接源_02物料!$B$4:$B$1203,$AG213-1200)=0,"",INDEX(对接源_02物料!$B$4:$B$1203,$AG213-1200))))</f>
        <v>46291.0</v>
      </c>
      <c r="B213" s="104" t="str">
        <f>IF($AG213="","",IF($AG213&lt;=1200,IF(INDEX(对接源_01水果!$E$4:$E$1203,$AG213)=0,"",INDEX(对接源_01水果!$E$4:$E$1203,$AG213)),IF(INDEX(对接源_02物料!$E$4:$E$1203,$AG213-1200)=0,"",INDEX(对接源_02物料!$E$4:$E$1203,$AG213-1200))))</f>
        <v>NO:0000991</v>
      </c>
      <c r="C213" s="131" t="str">
        <f>IF($AG213="","",IF($AG213&lt;=1200,IF(INDEX(对接源_01水果!$S$4:$S$1203,$AG213)=0,"",INDEX(对接源_01水果!$S$4:$S$1203,$AG213)),IF(INDEX(对接源_02物料!$S$4:$S$1203,$AG213-1200)=0,"",INDEX(对接源_02物料!$S$4:$S$1203,$AG213-1200))))</f>
        <v>公司红周转筐</v>
      </c>
      <c r="D213" s="170">
        <f>IF($AG213="","",IF($AG213&lt;=1200,IF(INDEX(对接源_01水果!$V$4:$V$1203,$AG213)=0,"",INDEX(对接源_01水果!$V$4:$V$1203,$AG213)),IF(INDEX(对接源_02物料!$V$4:$V$1203,$AG213-1200)=0,"",INDEX(对接源_02物料!$V$4:$V$1203,$AG213-1200))))</f>
        <v>399</v>
      </c>
      <c r="E213" s="104" t="str">
        <f>IF($AG213="","",IF($AG213&lt;=1200,IF(INDEX(对接源_01水果!$W$4:$W$1203,$AG213)=0,"",INDEX(对接源_01水果!$W$4:$W$1203,$AG213)),IF(INDEX(对接源_02物料!$W$4:$W$1203,$AG213-1200)=0,"",INDEX(对接源_02物料!$W$4:$W$1203,$AG213-1200))))</f>
        <v>新N*49209</v>
      </c>
      <c r="F213" s="104" t="str">
        <f>IF($AG213="","",IF($AG213&lt;=1200,"01水果册","02物料册"))</f>
        <v>01水果册</v>
      </c>
      <c r="G213" s="131" t="str">
        <f>IF($AG213="","",IF($AG213&lt;=1200,IF(INDEX(对接源_01水果!$M$4:$M$1203,$AG213)=0,"",INDEX(对接源_01水果!$M$4:$M$1203,$AG213)),IF(INDEX(对接源_02物料!$M$4:$M$1203,$AG213-1200)=0,"",INDEX(对接源_02物料!$M$4:$M$1203,$AG213-1200))))</f>
        <v>左/二黄</v>
      </c>
      <c r="AG213" s="128">
        <f>IFERROR(MATCH(42,_自动清单!$U$4:$U$2403,0),"")</f>
        <v>447</v>
      </c>
    </row>
    <row r="214" ht="18" customHeight="1" s="127">
      <c r="A214" s="163">
        <f>IF($AG214="","",IF($AG214&lt;=1200,IF(INDEX(对接源_01水果!$B$4:$B$1203,$AG214)=0,"",INDEX(对接源_01水果!$B$4:$B$1203,$AG214)),IF(INDEX(对接源_02物料!$B$4:$B$1203,$AG214-1200)=0,"",INDEX(对接源_02物料!$B$4:$B$1203,$AG214-1200))))</f>
        <v>46291.0</v>
      </c>
      <c r="B214" s="61" t="str">
        <f>IF($AG214="","",IF($AG214&lt;=1200,IF(INDEX(对接源_01水果!$E$4:$E$1203,$AG214)=0,"",INDEX(对接源_01水果!$E$4:$E$1203,$AG214)),IF(INDEX(对接源_02物料!$E$4:$E$1203,$AG214-1200)=0,"",INDEX(对接源_02物料!$E$4:$E$1203,$AG214-1200))))</f>
        <v>NO:0000991</v>
      </c>
      <c r="C214" s="122" t="str">
        <f>IF($AG214="","",IF($AG214&lt;=1200,IF(INDEX(对接源_01水果!$S$4:$S$1203,$AG214)=0,"",INDEX(对接源_01水果!$S$4:$S$1203,$AG214)),IF(INDEX(对接源_02物料!$S$4:$S$1203,$AG214-1200)=0,"",INDEX(对接源_02物料!$S$4:$S$1203,$AG214-1200))))</f>
        <v>公司红周转筐</v>
      </c>
      <c r="D214" s="169">
        <f>IF($AG214="","",IF($AG214&lt;=1200,IF(INDEX(对接源_01水果!$V$4:$V$1203,$AG214)=0,"",INDEX(对接源_01水果!$V$4:$V$1203,$AG214)),IF(INDEX(对接源_02物料!$V$4:$V$1203,$AG214-1200)=0,"",INDEX(对接源_02物料!$V$4:$V$1203,$AG214-1200))))</f>
        <v>28</v>
      </c>
      <c r="E214" s="61" t="str">
        <f>IF($AG214="","",IF($AG214&lt;=1200,IF(INDEX(对接源_01水果!$W$4:$W$1203,$AG214)=0,"",INDEX(对接源_01水果!$W$4:$W$1203,$AG214)),IF(INDEX(对接源_02物料!$W$4:$W$1203,$AG214-1200)=0,"",INDEX(对接源_02物料!$W$4:$W$1203,$AG214-1200))))</f>
        <v>新N*49209</v>
      </c>
      <c r="F214" s="61" t="str">
        <f>IF($AG214="","",IF($AG214&lt;=1200,"01水果册","02物料册"))</f>
        <v>01水果册</v>
      </c>
      <c r="G214" s="122" t="str">
        <f>IF($AG214="","",IF($AG214&lt;=1200,IF(INDEX(对接源_01水果!$M$4:$M$1203,$AG214)=0,"",INDEX(对接源_01水果!$M$4:$M$1203,$AG214)),IF(INDEX(对接源_02物料!$M$4:$M$1203,$AG214-1200)=0,"",INDEX(对接源_02物料!$M$4:$M$1203,$AG214-1200))))</f>
        <v>左/二黄</v>
      </c>
      <c r="AG214" s="128">
        <f>IFERROR(MATCH(43,_自动清单!$U$4:$U$2403,0),"")</f>
        <v>448</v>
      </c>
    </row>
    <row r="215" ht="18" customHeight="1" s="127">
      <c r="A215" s="165">
        <f>IF($AG215="","",IF($AG215&lt;=1200,IF(INDEX(对接源_01水果!$B$4:$B$1203,$AG215)=0,"",INDEX(对接源_01水果!$B$4:$B$1203,$AG215)),IF(INDEX(对接源_02物料!$B$4:$B$1203,$AG215-1200)=0,"",INDEX(对接源_02物料!$B$4:$B$1203,$AG215-1200))))</f>
        <v>46291.0</v>
      </c>
      <c r="B215" s="104" t="str">
        <f>IF($AG215="","",IF($AG215&lt;=1200,IF(INDEX(对接源_01水果!$E$4:$E$1203,$AG215)=0,"",INDEX(对接源_01水果!$E$4:$E$1203,$AG215)),IF(INDEX(对接源_02物料!$E$4:$E$1203,$AG215-1200)=0,"",INDEX(对接源_02物料!$E$4:$E$1203,$AG215-1200))))</f>
        <v>NO:0000995</v>
      </c>
      <c r="C215" s="131" t="str">
        <f>IF($AG215="","",IF($AG215&lt;=1200,IF(INDEX(对接源_01水果!$S$4:$S$1203,$AG215)=0,"",INDEX(对接源_01水果!$S$4:$S$1203,$AG215)),IF(INDEX(对接源_02物料!$S$4:$S$1203,$AG215-1200)=0,"",INDEX(对接源_02物料!$S$4:$S$1203,$AG215-1200))))</f>
        <v>公司红周转筐</v>
      </c>
      <c r="D215" s="170">
        <f>IF($AG215="","",IF($AG215&lt;=1200,IF(INDEX(对接源_01水果!$V$4:$V$1203,$AG215)=0,"",INDEX(对接源_01水果!$V$4:$V$1203,$AG215)),IF(INDEX(对接源_02物料!$V$4:$V$1203,$AG215-1200)=0,"",INDEX(对接源_02物料!$V$4:$V$1203,$AG215-1200))))</f>
        <v>640</v>
      </c>
      <c r="E215" s="104" t="str">
        <f>IF($AG215="","",IF($AG215&lt;=1200,IF(INDEX(对接源_01水果!$W$4:$W$1203,$AG215)=0,"",INDEX(对接源_01水果!$W$4:$W$1203,$AG215)),IF(INDEX(对接源_02物料!$W$4:$W$1203,$AG215-1200)=0,"",INDEX(对接源_02物料!$W$4:$W$1203,$AG215-1200))))</f>
        <v>新N*49209</v>
      </c>
      <c r="F215" s="104" t="str">
        <f>IF($AG215="","",IF($AG215&lt;=1200,"01水果册","02物料册"))</f>
        <v>01水果册</v>
      </c>
      <c r="G215" s="131" t="str">
        <f>IF($AG215="","",IF($AG215&lt;=1200,IF(INDEX(对接源_01水果!$M$4:$M$1203,$AG215)=0,"",INDEX(对接源_01水果!$M$4:$M$1203,$AG215)),IF(INDEX(对接源_02物料!$M$4:$M$1203,$AG215-1200)=0,"",INDEX(对接源_02物料!$M$4:$M$1203,$AG215-1200))))</f>
        <v>二黄</v>
      </c>
      <c r="AG215" s="128">
        <f>IFERROR(MATCH(44,_自动清单!$U$4:$U$2403,0),"")</f>
        <v>458</v>
      </c>
    </row>
    <row r="216" ht="18" customHeight="1" s="127">
      <c r="A216" s="163">
        <f>IF($AG216="","",IF($AG216&lt;=1200,IF(INDEX(对接源_01水果!$B$4:$B$1203,$AG216)=0,"",INDEX(对接源_01水果!$B$4:$B$1203,$AG216)),IF(INDEX(对接源_02物料!$B$4:$B$1203,$AG216-1200)=0,"",INDEX(对接源_02物料!$B$4:$B$1203,$AG216-1200))))</f>
        <v>46292.0</v>
      </c>
      <c r="B216" s="61" t="str">
        <f>IF($AG216="","",IF($AG216&lt;=1200,IF(INDEX(对接源_01水果!$E$4:$E$1203,$AG216)=0,"",INDEX(对接源_01水果!$E$4:$E$1203,$AG216)),IF(INDEX(对接源_02物料!$E$4:$E$1203,$AG216-1200)=0,"",INDEX(对接源_02物料!$E$4:$E$1203,$AG216-1200))))</f>
        <v>NO:0001000</v>
      </c>
      <c r="C216" s="122" t="str">
        <f>IF($AG216="","",IF($AG216&lt;=1200,IF(INDEX(对接源_01水果!$S$4:$S$1203,$AG216)=0,"",INDEX(对接源_01水果!$S$4:$S$1203,$AG216)),IF(INDEX(对接源_02物料!$S$4:$S$1203,$AG216-1200)=0,"",INDEX(对接源_02物料!$S$4:$S$1203,$AG216-1200))))</f>
        <v>公司红周转筐</v>
      </c>
      <c r="D216" s="169">
        <f>IF($AG216="","",IF($AG216&lt;=1200,IF(INDEX(对接源_01水果!$V$4:$V$1203,$AG216)=0,"",INDEX(对接源_01水果!$V$4:$V$1203,$AG216)),IF(INDEX(对接源_02物料!$V$4:$V$1203,$AG216-1200)=0,"",INDEX(对接源_02物料!$V$4:$V$1203,$AG216-1200))))</f>
        <v>133</v>
      </c>
      <c r="E216" s="61" t="str">
        <f>IF($AG216="","",IF($AG216&lt;=1200,IF(INDEX(对接源_01水果!$W$4:$W$1203,$AG216)=0,"",INDEX(对接源_01水果!$W$4:$W$1203,$AG216)),IF(INDEX(对接源_02物料!$W$4:$W$1203,$AG216-1200)=0,"",INDEX(对接源_02物料!$W$4:$W$1203,$AG216-1200))))</f>
        <v>新N*49209</v>
      </c>
      <c r="F216" s="61" t="str">
        <f>IF($AG216="","",IF($AG216&lt;=1200,"01水果册","02物料册"))</f>
        <v>01水果册</v>
      </c>
      <c r="G216" s="122" t="str">
        <f>IF($AG216="","",IF($AG216&lt;=1200,IF(INDEX(对接源_01水果!$M$4:$M$1203,$AG216)=0,"",INDEX(对接源_01水果!$M$4:$M$1203,$AG216)),IF(INDEX(对接源_02物料!$M$4:$M$1203,$AG216-1200)=0,"",INDEX(对接源_02物料!$M$4:$M$1203,$AG216-1200))))</f>
        <v>二黄</v>
      </c>
      <c r="AG216" s="128">
        <f>IFERROR(MATCH(45,_自动清单!$U$4:$U$2403,0),"")</f>
        <v>465</v>
      </c>
    </row>
    <row r="217" ht="18" customHeight="1" s="127">
      <c r="A217" s="165">
        <f>IF($AG217="","",IF($AG217&lt;=1200,IF(INDEX(对接源_01水果!$B$4:$B$1203,$AG217)=0,"",INDEX(对接源_01水果!$B$4:$B$1203,$AG217)),IF(INDEX(对接源_02物料!$B$4:$B$1203,$AG217-1200)=0,"",INDEX(对接源_02物料!$B$4:$B$1203,$AG217-1200))))</f>
        <v>46292.0</v>
      </c>
      <c r="B217" s="104" t="str">
        <f>IF($AG217="","",IF($AG217&lt;=1200,IF(INDEX(对接源_01水果!$E$4:$E$1203,$AG217)=0,"",INDEX(对接源_01水果!$E$4:$E$1203,$AG217)),IF(INDEX(对接源_02物料!$E$4:$E$1203,$AG217-1200)=0,"",INDEX(对接源_02物料!$E$4:$E$1203,$AG217-1200))))</f>
        <v>NO:0001000</v>
      </c>
      <c r="C217" s="131" t="str">
        <f>IF($AG217="","",IF($AG217&lt;=1200,IF(INDEX(对接源_01水果!$S$4:$S$1203,$AG217)=0,"",INDEX(对接源_01水果!$S$4:$S$1203,$AG217)),IF(INDEX(对接源_02物料!$S$4:$S$1203,$AG217-1200)=0,"",INDEX(对接源_02物料!$S$4:$S$1203,$AG217-1200))))</f>
        <v>公司红周转筐</v>
      </c>
      <c r="D217" s="170">
        <f>IF($AG217="","",IF($AG217&lt;=1200,IF(INDEX(对接源_01水果!$V$4:$V$1203,$AG217)=0,"",INDEX(对接源_01水果!$V$4:$V$1203,$AG217)),IF(INDEX(对接源_02物料!$V$4:$V$1203,$AG217-1200)=0,"",INDEX(对接源_02物料!$V$4:$V$1203,$AG217-1200))))</f>
        <v>105</v>
      </c>
      <c r="E217" s="104" t="str">
        <f>IF($AG217="","",IF($AG217&lt;=1200,IF(INDEX(对接源_01水果!$W$4:$W$1203,$AG217)=0,"",INDEX(对接源_01水果!$W$4:$W$1203,$AG217)),IF(INDEX(对接源_02物料!$W$4:$W$1203,$AG217-1200)=0,"",INDEX(对接源_02物料!$W$4:$W$1203,$AG217-1200))))</f>
        <v>新N*49209</v>
      </c>
      <c r="F217" s="104" t="str">
        <f>IF($AG217="","",IF($AG217&lt;=1200,"01水果册","02物料册"))</f>
        <v>01水果册</v>
      </c>
      <c r="G217" s="131" t="str">
        <f>IF($AG217="","",IF($AG217&lt;=1200,IF(INDEX(对接源_01水果!$M$4:$M$1203,$AG217)=0,"",INDEX(对接源_01水果!$M$4:$M$1203,$AG217)),IF(INDEX(对接源_02物料!$M$4:$M$1203,$AG217-1200)=0,"",INDEX(对接源_02物料!$M$4:$M$1203,$AG217-1200))))</f>
        <v>二黄</v>
      </c>
      <c r="AG217" s="128">
        <f>IFERROR(MATCH(46,_自动清单!$U$4:$U$2403,0),"")</f>
        <v>466</v>
      </c>
    </row>
    <row r="218" ht="18" customHeight="1" s="127">
      <c r="A218" s="163">
        <f>IF($AG218="","",IF($AG218&lt;=1200,IF(INDEX(对接源_01水果!$B$4:$B$1203,$AG218)=0,"",INDEX(对接源_01水果!$B$4:$B$1203,$AG218)),IF(INDEX(对接源_02物料!$B$4:$B$1203,$AG218-1200)=0,"",INDEX(对接源_02物料!$B$4:$B$1203,$AG218-1200))))</f>
        <v>46292.0</v>
      </c>
      <c r="B218" s="61" t="str">
        <f>IF($AG218="","",IF($AG218&lt;=1200,IF(INDEX(对接源_01水果!$E$4:$E$1203,$AG218)=0,"",INDEX(对接源_01水果!$E$4:$E$1203,$AG218)),IF(INDEX(对接源_02物料!$E$4:$E$1203,$AG218-1200)=0,"",INDEX(对接源_02物料!$E$4:$E$1203,$AG218-1200))))</f>
        <v>NO:0001000</v>
      </c>
      <c r="C218" s="122" t="str">
        <f>IF($AG218="","",IF($AG218&lt;=1200,IF(INDEX(对接源_01水果!$S$4:$S$1203,$AG218)=0,"",INDEX(对接源_01水果!$S$4:$S$1203,$AG218)),IF(INDEX(对接源_02物料!$S$4:$S$1203,$AG218-1200)=0,"",INDEX(对接源_02物料!$S$4:$S$1203,$AG218-1200))))</f>
        <v>公司红周转筐</v>
      </c>
      <c r="D218" s="169">
        <f>IF($AG218="","",IF($AG218&lt;=1200,IF(INDEX(对接源_01水果!$V$4:$V$1203,$AG218)=0,"",INDEX(对接源_01水果!$V$4:$V$1203,$AG218)),IF(INDEX(对接源_02物料!$V$4:$V$1203,$AG218-1200)=0,"",INDEX(对接源_02物料!$V$4:$V$1203,$AG218-1200))))</f>
        <v>226</v>
      </c>
      <c r="E218" s="61" t="str">
        <f>IF($AG218="","",IF($AG218&lt;=1200,IF(INDEX(对接源_01水果!$W$4:$W$1203,$AG218)=0,"",INDEX(对接源_01水果!$W$4:$W$1203,$AG218)),IF(INDEX(对接源_02物料!$W$4:$W$1203,$AG218-1200)=0,"",INDEX(对接源_02物料!$W$4:$W$1203,$AG218-1200))))</f>
        <v>新N*49209</v>
      </c>
      <c r="F218" s="61" t="str">
        <f>IF($AG218="","",IF($AG218&lt;=1200,"01水果册","02物料册"))</f>
        <v>01水果册</v>
      </c>
      <c r="G218" s="122" t="str">
        <f>IF($AG218="","",IF($AG218&lt;=1200,IF(INDEX(对接源_01水果!$M$4:$M$1203,$AG218)=0,"",INDEX(对接源_01水果!$M$4:$M$1203,$AG218)),IF(INDEX(对接源_02物料!$M$4:$M$1203,$AG218-1200)=0,"",INDEX(对接源_02物料!$M$4:$M$1203,$AG218-1200))))</f>
        <v>二黄</v>
      </c>
      <c r="AG218" s="128">
        <f>IFERROR(MATCH(47,_自动清单!$U$4:$U$2403,0),"")</f>
        <v>467</v>
      </c>
    </row>
    <row r="219" ht="18" customHeight="1" s="127">
      <c r="A219" s="165">
        <f>IF($AG219="","",IF($AG219&lt;=1200,IF(INDEX(对接源_01水果!$B$4:$B$1203,$AG219)=0,"",INDEX(对接源_01水果!$B$4:$B$1203,$AG219)),IF(INDEX(对接源_02物料!$B$4:$B$1203,$AG219-1200)=0,"",INDEX(对接源_02物料!$B$4:$B$1203,$AG219-1200))))</f>
      </c>
      <c r="B219" s="104">
        <f>IF($AG219="","",IF($AG219&lt;=1200,IF(INDEX(对接源_01水果!$E$4:$E$1203,$AG219)=0,"",INDEX(对接源_01水果!$E$4:$E$1203,$AG219)),IF(INDEX(对接源_02物料!$E$4:$E$1203,$AG219-1200)=0,"",INDEX(对接源_02物料!$E$4:$E$1203,$AG219-1200))))</f>
      </c>
      <c r="C219" s="131">
        <f>IF($AG219="","",IF($AG219&lt;=1200,IF(INDEX(对接源_01水果!$S$4:$S$1203,$AG219)=0,"",INDEX(对接源_01水果!$S$4:$S$1203,$AG219)),IF(INDEX(对接源_02物料!$S$4:$S$1203,$AG219-1200)=0,"",INDEX(对接源_02物料!$S$4:$S$1203,$AG219-1200))))</f>
      </c>
      <c r="D219" s="170">
        <f>IF($AG219="","",IF($AG219&lt;=1200,IF(INDEX(对接源_01水果!$V$4:$V$1203,$AG219)=0,"",INDEX(对接源_01水果!$V$4:$V$1203,$AG219)),IF(INDEX(对接源_02物料!$V$4:$V$1203,$AG219-1200)=0,"",INDEX(对接源_02物料!$V$4:$V$1203,$AG219-1200))))</f>
      </c>
      <c r="E219" s="104">
        <f>IF($AG219="","",IF($AG219&lt;=1200,IF(INDEX(对接源_01水果!$W$4:$W$1203,$AG219)=0,"",INDEX(对接源_01水果!$W$4:$W$1203,$AG219)),IF(INDEX(对接源_02物料!$W$4:$W$1203,$AG219-1200)=0,"",INDEX(对接源_02物料!$W$4:$W$1203,$AG219-1200))))</f>
      </c>
      <c r="F219" s="104">
        <f>IF($AG219="","",IF($AG219&lt;=1200,"01水果册","02物料册"))</f>
      </c>
      <c r="G219" s="131">
        <f>IF($AG219="","",IF($AG219&lt;=1200,IF(INDEX(对接源_01水果!$M$4:$M$1203,$AG219)=0,"",INDEX(对接源_01水果!$M$4:$M$1203,$AG219)),IF(INDEX(对接源_02物料!$M$4:$M$1203,$AG219-1200)=0,"",INDEX(对接源_02物料!$M$4:$M$1203,$AG219-1200))))</f>
      </c>
      <c r="AG219" s="128">
        <f>IFERROR(MATCH(48,_自动清单!$U$4:$U$2403,0),"")</f>
      </c>
    </row>
    <row r="220" ht="18" customHeight="1" s="127">
      <c r="A220" s="163">
        <f>IF($AG220="","",IF($AG220&lt;=1200,IF(INDEX(对接源_01水果!$B$4:$B$1203,$AG220)=0,"",INDEX(对接源_01水果!$B$4:$B$1203,$AG220)),IF(INDEX(对接源_02物料!$B$4:$B$1203,$AG220-1200)=0,"",INDEX(对接源_02物料!$B$4:$B$1203,$AG220-1200))))</f>
      </c>
      <c r="B220" s="61">
        <f>IF($AG220="","",IF($AG220&lt;=1200,IF(INDEX(对接源_01水果!$E$4:$E$1203,$AG220)=0,"",INDEX(对接源_01水果!$E$4:$E$1203,$AG220)),IF(INDEX(对接源_02物料!$E$4:$E$1203,$AG220-1200)=0,"",INDEX(对接源_02物料!$E$4:$E$1203,$AG220-1200))))</f>
      </c>
      <c r="C220" s="122">
        <f>IF($AG220="","",IF($AG220&lt;=1200,IF(INDEX(对接源_01水果!$S$4:$S$1203,$AG220)=0,"",INDEX(对接源_01水果!$S$4:$S$1203,$AG220)),IF(INDEX(对接源_02物料!$S$4:$S$1203,$AG220-1200)=0,"",INDEX(对接源_02物料!$S$4:$S$1203,$AG220-1200))))</f>
      </c>
      <c r="D220" s="169">
        <f>IF($AG220="","",IF($AG220&lt;=1200,IF(INDEX(对接源_01水果!$V$4:$V$1203,$AG220)=0,"",INDEX(对接源_01水果!$V$4:$V$1203,$AG220)),IF(INDEX(对接源_02物料!$V$4:$V$1203,$AG220-1200)=0,"",INDEX(对接源_02物料!$V$4:$V$1203,$AG220-1200))))</f>
      </c>
      <c r="E220" s="61">
        <f>IF($AG220="","",IF($AG220&lt;=1200,IF(INDEX(对接源_01水果!$W$4:$W$1203,$AG220)=0,"",INDEX(对接源_01水果!$W$4:$W$1203,$AG220)),IF(INDEX(对接源_02物料!$W$4:$W$1203,$AG220-1200)=0,"",INDEX(对接源_02物料!$W$4:$W$1203,$AG220-1200))))</f>
      </c>
      <c r="F220" s="61">
        <f>IF($AG220="","",IF($AG220&lt;=1200,"01水果册","02物料册"))</f>
      </c>
      <c r="G220" s="122">
        <f>IF($AG220="","",IF($AG220&lt;=1200,IF(INDEX(对接源_01水果!$M$4:$M$1203,$AG220)=0,"",INDEX(对接源_01水果!$M$4:$M$1203,$AG220)),IF(INDEX(对接源_02物料!$M$4:$M$1203,$AG220-1200)=0,"",INDEX(对接源_02物料!$M$4:$M$1203,$AG220-1200))))</f>
      </c>
      <c r="AG220" s="128">
        <f>IFERROR(MATCH(49,_自动清单!$U$4:$U$2403,0),"")</f>
      </c>
    </row>
    <row r="221" ht="18" customHeight="1" s="127">
      <c r="A221" s="165">
        <f>IF($AG221="","",IF($AG221&lt;=1200,IF(INDEX(对接源_01水果!$B$4:$B$1203,$AG221)=0,"",INDEX(对接源_01水果!$B$4:$B$1203,$AG221)),IF(INDEX(对接源_02物料!$B$4:$B$1203,$AG221-1200)=0,"",INDEX(对接源_02物料!$B$4:$B$1203,$AG221-1200))))</f>
      </c>
      <c r="B221" s="104">
        <f>IF($AG221="","",IF($AG221&lt;=1200,IF(INDEX(对接源_01水果!$E$4:$E$1203,$AG221)=0,"",INDEX(对接源_01水果!$E$4:$E$1203,$AG221)),IF(INDEX(对接源_02物料!$E$4:$E$1203,$AG221-1200)=0,"",INDEX(对接源_02物料!$E$4:$E$1203,$AG221-1200))))</f>
      </c>
      <c r="C221" s="131">
        <f>IF($AG221="","",IF($AG221&lt;=1200,IF(INDEX(对接源_01水果!$S$4:$S$1203,$AG221)=0,"",INDEX(对接源_01水果!$S$4:$S$1203,$AG221)),IF(INDEX(对接源_02物料!$S$4:$S$1203,$AG221-1200)=0,"",INDEX(对接源_02物料!$S$4:$S$1203,$AG221-1200))))</f>
      </c>
      <c r="D221" s="170">
        <f>IF($AG221="","",IF($AG221&lt;=1200,IF(INDEX(对接源_01水果!$V$4:$V$1203,$AG221)=0,"",INDEX(对接源_01水果!$V$4:$V$1203,$AG221)),IF(INDEX(对接源_02物料!$V$4:$V$1203,$AG221-1200)=0,"",INDEX(对接源_02物料!$V$4:$V$1203,$AG221-1200))))</f>
      </c>
      <c r="E221" s="104">
        <f>IF($AG221="","",IF($AG221&lt;=1200,IF(INDEX(对接源_01水果!$W$4:$W$1203,$AG221)=0,"",INDEX(对接源_01水果!$W$4:$W$1203,$AG221)),IF(INDEX(对接源_02物料!$W$4:$W$1203,$AG221-1200)=0,"",INDEX(对接源_02物料!$W$4:$W$1203,$AG221-1200))))</f>
      </c>
      <c r="F221" s="104">
        <f>IF($AG221="","",IF($AG221&lt;=1200,"01水果册","02物料册"))</f>
      </c>
      <c r="G221" s="131">
        <f>IF($AG221="","",IF($AG221&lt;=1200,IF(INDEX(对接源_01水果!$M$4:$M$1203,$AG221)=0,"",INDEX(对接源_01水果!$M$4:$M$1203,$AG221)),IF(INDEX(对接源_02物料!$M$4:$M$1203,$AG221-1200)=0,"",INDEX(对接源_02物料!$M$4:$M$1203,$AG221-1200))))</f>
      </c>
      <c r="AG221" s="128">
        <f>IFERROR(MATCH(50,_自动清单!$U$4:$U$2403,0),"")</f>
      </c>
    </row>
    <row r="222" ht="18" customHeight="1" s="127">
      <c r="A222" s="163">
        <f>IF($AG222="","",IF($AG222&lt;=1200,IF(INDEX(对接源_01水果!$B$4:$B$1203,$AG222)=0,"",INDEX(对接源_01水果!$B$4:$B$1203,$AG222)),IF(INDEX(对接源_02物料!$B$4:$B$1203,$AG222-1200)=0,"",INDEX(对接源_02物料!$B$4:$B$1203,$AG222-1200))))</f>
      </c>
      <c r="B222" s="61">
        <f>IF($AG222="","",IF($AG222&lt;=1200,IF(INDEX(对接源_01水果!$E$4:$E$1203,$AG222)=0,"",INDEX(对接源_01水果!$E$4:$E$1203,$AG222)),IF(INDEX(对接源_02物料!$E$4:$E$1203,$AG222-1200)=0,"",INDEX(对接源_02物料!$E$4:$E$1203,$AG222-1200))))</f>
      </c>
      <c r="C222" s="122">
        <f>IF($AG222="","",IF($AG222&lt;=1200,IF(INDEX(对接源_01水果!$S$4:$S$1203,$AG222)=0,"",INDEX(对接源_01水果!$S$4:$S$1203,$AG222)),IF(INDEX(对接源_02物料!$S$4:$S$1203,$AG222-1200)=0,"",INDEX(对接源_02物料!$S$4:$S$1203,$AG222-1200))))</f>
      </c>
      <c r="D222" s="169">
        <f>IF($AG222="","",IF($AG222&lt;=1200,IF(INDEX(对接源_01水果!$V$4:$V$1203,$AG222)=0,"",INDEX(对接源_01水果!$V$4:$V$1203,$AG222)),IF(INDEX(对接源_02物料!$V$4:$V$1203,$AG222-1200)=0,"",INDEX(对接源_02物料!$V$4:$V$1203,$AG222-1200))))</f>
      </c>
      <c r="E222" s="61">
        <f>IF($AG222="","",IF($AG222&lt;=1200,IF(INDEX(对接源_01水果!$W$4:$W$1203,$AG222)=0,"",INDEX(对接源_01水果!$W$4:$W$1203,$AG222)),IF(INDEX(对接源_02物料!$W$4:$W$1203,$AG222-1200)=0,"",INDEX(对接源_02物料!$W$4:$W$1203,$AG222-1200))))</f>
      </c>
      <c r="F222" s="61">
        <f>IF($AG222="","",IF($AG222&lt;=1200,"01水果册","02物料册"))</f>
      </c>
      <c r="G222" s="122">
        <f>IF($AG222="","",IF($AG222&lt;=1200,IF(INDEX(对接源_01水果!$M$4:$M$1203,$AG222)=0,"",INDEX(对接源_01水果!$M$4:$M$1203,$AG222)),IF(INDEX(对接源_02物料!$M$4:$M$1203,$AG222-1200)=0,"",INDEX(对接源_02物料!$M$4:$M$1203,$AG222-1200))))</f>
      </c>
      <c r="AG222" s="128">
        <f>IFERROR(MATCH(51,_自动清单!$U$4:$U$2403,0),"")</f>
      </c>
    </row>
    <row r="223" ht="18" customHeight="1" s="127">
      <c r="A223" s="165">
        <f>IF($AG223="","",IF($AG223&lt;=1200,IF(INDEX(对接源_01水果!$B$4:$B$1203,$AG223)=0,"",INDEX(对接源_01水果!$B$4:$B$1203,$AG223)),IF(INDEX(对接源_02物料!$B$4:$B$1203,$AG223-1200)=0,"",INDEX(对接源_02物料!$B$4:$B$1203,$AG223-1200))))</f>
      </c>
      <c r="B223" s="104">
        <f>IF($AG223="","",IF($AG223&lt;=1200,IF(INDEX(对接源_01水果!$E$4:$E$1203,$AG223)=0,"",INDEX(对接源_01水果!$E$4:$E$1203,$AG223)),IF(INDEX(对接源_02物料!$E$4:$E$1203,$AG223-1200)=0,"",INDEX(对接源_02物料!$E$4:$E$1203,$AG223-1200))))</f>
      </c>
      <c r="C223" s="131">
        <f>IF($AG223="","",IF($AG223&lt;=1200,IF(INDEX(对接源_01水果!$S$4:$S$1203,$AG223)=0,"",INDEX(对接源_01水果!$S$4:$S$1203,$AG223)),IF(INDEX(对接源_02物料!$S$4:$S$1203,$AG223-1200)=0,"",INDEX(对接源_02物料!$S$4:$S$1203,$AG223-1200))))</f>
      </c>
      <c r="D223" s="170">
        <f>IF($AG223="","",IF($AG223&lt;=1200,IF(INDEX(对接源_01水果!$V$4:$V$1203,$AG223)=0,"",INDEX(对接源_01水果!$V$4:$V$1203,$AG223)),IF(INDEX(对接源_02物料!$V$4:$V$1203,$AG223-1200)=0,"",INDEX(对接源_02物料!$V$4:$V$1203,$AG223-1200))))</f>
      </c>
      <c r="E223" s="104">
        <f>IF($AG223="","",IF($AG223&lt;=1200,IF(INDEX(对接源_01水果!$W$4:$W$1203,$AG223)=0,"",INDEX(对接源_01水果!$W$4:$W$1203,$AG223)),IF(INDEX(对接源_02物料!$W$4:$W$1203,$AG223-1200)=0,"",INDEX(对接源_02物料!$W$4:$W$1203,$AG223-1200))))</f>
      </c>
      <c r="F223" s="104">
        <f>IF($AG223="","",IF($AG223&lt;=1200,"01水果册","02物料册"))</f>
      </c>
      <c r="G223" s="131">
        <f>IF($AG223="","",IF($AG223&lt;=1200,IF(INDEX(对接源_01水果!$M$4:$M$1203,$AG223)=0,"",INDEX(对接源_01水果!$M$4:$M$1203,$AG223)),IF(INDEX(对接源_02物料!$M$4:$M$1203,$AG223-1200)=0,"",INDEX(对接源_02物料!$M$4:$M$1203,$AG223-1200))))</f>
      </c>
      <c r="AG223" s="128">
        <f>IFERROR(MATCH(52,_自动清单!$U$4:$U$2403,0),"")</f>
      </c>
    </row>
    <row r="224" ht="18" customHeight="1" s="127">
      <c r="A224" s="163">
        <f>IF($AG224="","",IF($AG224&lt;=1200,IF(INDEX(对接源_01水果!$B$4:$B$1203,$AG224)=0,"",INDEX(对接源_01水果!$B$4:$B$1203,$AG224)),IF(INDEX(对接源_02物料!$B$4:$B$1203,$AG224-1200)=0,"",INDEX(对接源_02物料!$B$4:$B$1203,$AG224-1200))))</f>
      </c>
      <c r="B224" s="61">
        <f>IF($AG224="","",IF($AG224&lt;=1200,IF(INDEX(对接源_01水果!$E$4:$E$1203,$AG224)=0,"",INDEX(对接源_01水果!$E$4:$E$1203,$AG224)),IF(INDEX(对接源_02物料!$E$4:$E$1203,$AG224-1200)=0,"",INDEX(对接源_02物料!$E$4:$E$1203,$AG224-1200))))</f>
      </c>
      <c r="C224" s="122">
        <f>IF($AG224="","",IF($AG224&lt;=1200,IF(INDEX(对接源_01水果!$S$4:$S$1203,$AG224)=0,"",INDEX(对接源_01水果!$S$4:$S$1203,$AG224)),IF(INDEX(对接源_02物料!$S$4:$S$1203,$AG224-1200)=0,"",INDEX(对接源_02物料!$S$4:$S$1203,$AG224-1200))))</f>
      </c>
      <c r="D224" s="169">
        <f>IF($AG224="","",IF($AG224&lt;=1200,IF(INDEX(对接源_01水果!$V$4:$V$1203,$AG224)=0,"",INDEX(对接源_01水果!$V$4:$V$1203,$AG224)),IF(INDEX(对接源_02物料!$V$4:$V$1203,$AG224-1200)=0,"",INDEX(对接源_02物料!$V$4:$V$1203,$AG224-1200))))</f>
      </c>
      <c r="E224" s="61">
        <f>IF($AG224="","",IF($AG224&lt;=1200,IF(INDEX(对接源_01水果!$W$4:$W$1203,$AG224)=0,"",INDEX(对接源_01水果!$W$4:$W$1203,$AG224)),IF(INDEX(对接源_02物料!$W$4:$W$1203,$AG224-1200)=0,"",INDEX(对接源_02物料!$W$4:$W$1203,$AG224-1200))))</f>
      </c>
      <c r="F224" s="61">
        <f>IF($AG224="","",IF($AG224&lt;=1200,"01水果册","02物料册"))</f>
      </c>
      <c r="G224" s="122">
        <f>IF($AG224="","",IF($AG224&lt;=1200,IF(INDEX(对接源_01水果!$M$4:$M$1203,$AG224)=0,"",INDEX(对接源_01水果!$M$4:$M$1203,$AG224)),IF(INDEX(对接源_02物料!$M$4:$M$1203,$AG224-1200)=0,"",INDEX(对接源_02物料!$M$4:$M$1203,$AG224-1200))))</f>
      </c>
      <c r="AG224" s="128">
        <f>IFERROR(MATCH(53,_自动清单!$U$4:$U$2403,0),"")</f>
      </c>
    </row>
    <row r="225" ht="18" customHeight="1" s="127">
      <c r="A225" s="165">
        <f>IF($AG225="","",IF($AG225&lt;=1200,IF(INDEX(对接源_01水果!$B$4:$B$1203,$AG225)=0,"",INDEX(对接源_01水果!$B$4:$B$1203,$AG225)),IF(INDEX(对接源_02物料!$B$4:$B$1203,$AG225-1200)=0,"",INDEX(对接源_02物料!$B$4:$B$1203,$AG225-1200))))</f>
      </c>
      <c r="B225" s="104">
        <f>IF($AG225="","",IF($AG225&lt;=1200,IF(INDEX(对接源_01水果!$E$4:$E$1203,$AG225)=0,"",INDEX(对接源_01水果!$E$4:$E$1203,$AG225)),IF(INDEX(对接源_02物料!$E$4:$E$1203,$AG225-1200)=0,"",INDEX(对接源_02物料!$E$4:$E$1203,$AG225-1200))))</f>
      </c>
      <c r="C225" s="131">
        <f>IF($AG225="","",IF($AG225&lt;=1200,IF(INDEX(对接源_01水果!$S$4:$S$1203,$AG225)=0,"",INDEX(对接源_01水果!$S$4:$S$1203,$AG225)),IF(INDEX(对接源_02物料!$S$4:$S$1203,$AG225-1200)=0,"",INDEX(对接源_02物料!$S$4:$S$1203,$AG225-1200))))</f>
      </c>
      <c r="D225" s="170">
        <f>IF($AG225="","",IF($AG225&lt;=1200,IF(INDEX(对接源_01水果!$V$4:$V$1203,$AG225)=0,"",INDEX(对接源_01水果!$V$4:$V$1203,$AG225)),IF(INDEX(对接源_02物料!$V$4:$V$1203,$AG225-1200)=0,"",INDEX(对接源_02物料!$V$4:$V$1203,$AG225-1200))))</f>
      </c>
      <c r="E225" s="104">
        <f>IF($AG225="","",IF($AG225&lt;=1200,IF(INDEX(对接源_01水果!$W$4:$W$1203,$AG225)=0,"",INDEX(对接源_01水果!$W$4:$W$1203,$AG225)),IF(INDEX(对接源_02物料!$W$4:$W$1203,$AG225-1200)=0,"",INDEX(对接源_02物料!$W$4:$W$1203,$AG225-1200))))</f>
      </c>
      <c r="F225" s="104">
        <f>IF($AG225="","",IF($AG225&lt;=1200,"01水果册","02物料册"))</f>
      </c>
      <c r="G225" s="131">
        <f>IF($AG225="","",IF($AG225&lt;=1200,IF(INDEX(对接源_01水果!$M$4:$M$1203,$AG225)=0,"",INDEX(对接源_01水果!$M$4:$M$1203,$AG225)),IF(INDEX(对接源_02物料!$M$4:$M$1203,$AG225-1200)=0,"",INDEX(对接源_02物料!$M$4:$M$1203,$AG225-1200))))</f>
      </c>
      <c r="AG225" s="128">
        <f>IFERROR(MATCH(54,_自动清单!$U$4:$U$2403,0),"")</f>
      </c>
    </row>
    <row r="226" ht="18" customHeight="1" s="127">
      <c r="A226" s="163">
        <f>IF($AG226="","",IF($AG226&lt;=1200,IF(INDEX(对接源_01水果!$B$4:$B$1203,$AG226)=0,"",INDEX(对接源_01水果!$B$4:$B$1203,$AG226)),IF(INDEX(对接源_02物料!$B$4:$B$1203,$AG226-1200)=0,"",INDEX(对接源_02物料!$B$4:$B$1203,$AG226-1200))))</f>
      </c>
      <c r="B226" s="61">
        <f>IF($AG226="","",IF($AG226&lt;=1200,IF(INDEX(对接源_01水果!$E$4:$E$1203,$AG226)=0,"",INDEX(对接源_01水果!$E$4:$E$1203,$AG226)),IF(INDEX(对接源_02物料!$E$4:$E$1203,$AG226-1200)=0,"",INDEX(对接源_02物料!$E$4:$E$1203,$AG226-1200))))</f>
      </c>
      <c r="C226" s="122">
        <f>IF($AG226="","",IF($AG226&lt;=1200,IF(INDEX(对接源_01水果!$S$4:$S$1203,$AG226)=0,"",INDEX(对接源_01水果!$S$4:$S$1203,$AG226)),IF(INDEX(对接源_02物料!$S$4:$S$1203,$AG226-1200)=0,"",INDEX(对接源_02物料!$S$4:$S$1203,$AG226-1200))))</f>
      </c>
      <c r="D226" s="169">
        <f>IF($AG226="","",IF($AG226&lt;=1200,IF(INDEX(对接源_01水果!$V$4:$V$1203,$AG226)=0,"",INDEX(对接源_01水果!$V$4:$V$1203,$AG226)),IF(INDEX(对接源_02物料!$V$4:$V$1203,$AG226-1200)=0,"",INDEX(对接源_02物料!$V$4:$V$1203,$AG226-1200))))</f>
      </c>
      <c r="E226" s="61">
        <f>IF($AG226="","",IF($AG226&lt;=1200,IF(INDEX(对接源_01水果!$W$4:$W$1203,$AG226)=0,"",INDEX(对接源_01水果!$W$4:$W$1203,$AG226)),IF(INDEX(对接源_02物料!$W$4:$W$1203,$AG226-1200)=0,"",INDEX(对接源_02物料!$W$4:$W$1203,$AG226-1200))))</f>
      </c>
      <c r="F226" s="61">
        <f>IF($AG226="","",IF($AG226&lt;=1200,"01水果册","02物料册"))</f>
      </c>
      <c r="G226" s="122">
        <f>IF($AG226="","",IF($AG226&lt;=1200,IF(INDEX(对接源_01水果!$M$4:$M$1203,$AG226)=0,"",INDEX(对接源_01水果!$M$4:$M$1203,$AG226)),IF(INDEX(对接源_02物料!$M$4:$M$1203,$AG226-1200)=0,"",INDEX(对接源_02物料!$M$4:$M$1203,$AG226-1200))))</f>
      </c>
      <c r="AG226" s="128">
        <f>IFERROR(MATCH(55,_自动清单!$U$4:$U$2403,0),"")</f>
      </c>
    </row>
    <row r="227" ht="18" customHeight="1" s="127">
      <c r="A227" s="165">
        <f>IF($AG227="","",IF($AG227&lt;=1200,IF(INDEX(对接源_01水果!$B$4:$B$1203,$AG227)=0,"",INDEX(对接源_01水果!$B$4:$B$1203,$AG227)),IF(INDEX(对接源_02物料!$B$4:$B$1203,$AG227-1200)=0,"",INDEX(对接源_02物料!$B$4:$B$1203,$AG227-1200))))</f>
      </c>
      <c r="B227" s="104">
        <f>IF($AG227="","",IF($AG227&lt;=1200,IF(INDEX(对接源_01水果!$E$4:$E$1203,$AG227)=0,"",INDEX(对接源_01水果!$E$4:$E$1203,$AG227)),IF(INDEX(对接源_02物料!$E$4:$E$1203,$AG227-1200)=0,"",INDEX(对接源_02物料!$E$4:$E$1203,$AG227-1200))))</f>
      </c>
      <c r="C227" s="131">
        <f>IF($AG227="","",IF($AG227&lt;=1200,IF(INDEX(对接源_01水果!$S$4:$S$1203,$AG227)=0,"",INDEX(对接源_01水果!$S$4:$S$1203,$AG227)),IF(INDEX(对接源_02物料!$S$4:$S$1203,$AG227-1200)=0,"",INDEX(对接源_02物料!$S$4:$S$1203,$AG227-1200))))</f>
      </c>
      <c r="D227" s="170">
        <f>IF($AG227="","",IF($AG227&lt;=1200,IF(INDEX(对接源_01水果!$V$4:$V$1203,$AG227)=0,"",INDEX(对接源_01水果!$V$4:$V$1203,$AG227)),IF(INDEX(对接源_02物料!$V$4:$V$1203,$AG227-1200)=0,"",INDEX(对接源_02物料!$V$4:$V$1203,$AG227-1200))))</f>
      </c>
      <c r="E227" s="104">
        <f>IF($AG227="","",IF($AG227&lt;=1200,IF(INDEX(对接源_01水果!$W$4:$W$1203,$AG227)=0,"",INDEX(对接源_01水果!$W$4:$W$1203,$AG227)),IF(INDEX(对接源_02物料!$W$4:$W$1203,$AG227-1200)=0,"",INDEX(对接源_02物料!$W$4:$W$1203,$AG227-1200))))</f>
      </c>
      <c r="F227" s="104">
        <f>IF($AG227="","",IF($AG227&lt;=1200,"01水果册","02物料册"))</f>
      </c>
      <c r="G227" s="131">
        <f>IF($AG227="","",IF($AG227&lt;=1200,IF(INDEX(对接源_01水果!$M$4:$M$1203,$AG227)=0,"",INDEX(对接源_01水果!$M$4:$M$1203,$AG227)),IF(INDEX(对接源_02物料!$M$4:$M$1203,$AG227-1200)=0,"",INDEX(对接源_02物料!$M$4:$M$1203,$AG227-1200))))</f>
      </c>
      <c r="AG227" s="128">
        <f>IFERROR(MATCH(56,_自动清单!$U$4:$U$2403,0),"")</f>
      </c>
    </row>
    <row r="228" ht="18" customHeight="1" s="127">
      <c r="A228" s="163">
        <f>IF($AG228="","",IF($AG228&lt;=1200,IF(INDEX(对接源_01水果!$B$4:$B$1203,$AG228)=0,"",INDEX(对接源_01水果!$B$4:$B$1203,$AG228)),IF(INDEX(对接源_02物料!$B$4:$B$1203,$AG228-1200)=0,"",INDEX(对接源_02物料!$B$4:$B$1203,$AG228-1200))))</f>
      </c>
      <c r="B228" s="61">
        <f>IF($AG228="","",IF($AG228&lt;=1200,IF(INDEX(对接源_01水果!$E$4:$E$1203,$AG228)=0,"",INDEX(对接源_01水果!$E$4:$E$1203,$AG228)),IF(INDEX(对接源_02物料!$E$4:$E$1203,$AG228-1200)=0,"",INDEX(对接源_02物料!$E$4:$E$1203,$AG228-1200))))</f>
      </c>
      <c r="C228" s="122">
        <f>IF($AG228="","",IF($AG228&lt;=1200,IF(INDEX(对接源_01水果!$S$4:$S$1203,$AG228)=0,"",INDEX(对接源_01水果!$S$4:$S$1203,$AG228)),IF(INDEX(对接源_02物料!$S$4:$S$1203,$AG228-1200)=0,"",INDEX(对接源_02物料!$S$4:$S$1203,$AG228-1200))))</f>
      </c>
      <c r="D228" s="169">
        <f>IF($AG228="","",IF($AG228&lt;=1200,IF(INDEX(对接源_01水果!$V$4:$V$1203,$AG228)=0,"",INDEX(对接源_01水果!$V$4:$V$1203,$AG228)),IF(INDEX(对接源_02物料!$V$4:$V$1203,$AG228-1200)=0,"",INDEX(对接源_02物料!$V$4:$V$1203,$AG228-1200))))</f>
      </c>
      <c r="E228" s="61">
        <f>IF($AG228="","",IF($AG228&lt;=1200,IF(INDEX(对接源_01水果!$W$4:$W$1203,$AG228)=0,"",INDEX(对接源_01水果!$W$4:$W$1203,$AG228)),IF(INDEX(对接源_02物料!$W$4:$W$1203,$AG228-1200)=0,"",INDEX(对接源_02物料!$W$4:$W$1203,$AG228-1200))))</f>
      </c>
      <c r="F228" s="61">
        <f>IF($AG228="","",IF($AG228&lt;=1200,"01水果册","02物料册"))</f>
      </c>
      <c r="G228" s="122">
        <f>IF($AG228="","",IF($AG228&lt;=1200,IF(INDEX(对接源_01水果!$M$4:$M$1203,$AG228)=0,"",INDEX(对接源_01水果!$M$4:$M$1203,$AG228)),IF(INDEX(对接源_02物料!$M$4:$M$1203,$AG228-1200)=0,"",INDEX(对接源_02物料!$M$4:$M$1203,$AG228-1200))))</f>
      </c>
      <c r="AG228" s="128">
        <f>IFERROR(MATCH(57,_自动清单!$U$4:$U$2403,0),"")</f>
      </c>
    </row>
    <row r="229" ht="18" customHeight="1" s="127">
      <c r="A229" s="165">
        <f>IF($AG229="","",IF($AG229&lt;=1200,IF(INDEX(对接源_01水果!$B$4:$B$1203,$AG229)=0,"",INDEX(对接源_01水果!$B$4:$B$1203,$AG229)),IF(INDEX(对接源_02物料!$B$4:$B$1203,$AG229-1200)=0,"",INDEX(对接源_02物料!$B$4:$B$1203,$AG229-1200))))</f>
      </c>
      <c r="B229" s="104">
        <f>IF($AG229="","",IF($AG229&lt;=1200,IF(INDEX(对接源_01水果!$E$4:$E$1203,$AG229)=0,"",INDEX(对接源_01水果!$E$4:$E$1203,$AG229)),IF(INDEX(对接源_02物料!$E$4:$E$1203,$AG229-1200)=0,"",INDEX(对接源_02物料!$E$4:$E$1203,$AG229-1200))))</f>
      </c>
      <c r="C229" s="131">
        <f>IF($AG229="","",IF($AG229&lt;=1200,IF(INDEX(对接源_01水果!$S$4:$S$1203,$AG229)=0,"",INDEX(对接源_01水果!$S$4:$S$1203,$AG229)),IF(INDEX(对接源_02物料!$S$4:$S$1203,$AG229-1200)=0,"",INDEX(对接源_02物料!$S$4:$S$1203,$AG229-1200))))</f>
      </c>
      <c r="D229" s="170">
        <f>IF($AG229="","",IF($AG229&lt;=1200,IF(INDEX(对接源_01水果!$V$4:$V$1203,$AG229)=0,"",INDEX(对接源_01水果!$V$4:$V$1203,$AG229)),IF(INDEX(对接源_02物料!$V$4:$V$1203,$AG229-1200)=0,"",INDEX(对接源_02物料!$V$4:$V$1203,$AG229-1200))))</f>
      </c>
      <c r="E229" s="104">
        <f>IF($AG229="","",IF($AG229&lt;=1200,IF(INDEX(对接源_01水果!$W$4:$W$1203,$AG229)=0,"",INDEX(对接源_01水果!$W$4:$W$1203,$AG229)),IF(INDEX(对接源_02物料!$W$4:$W$1203,$AG229-1200)=0,"",INDEX(对接源_02物料!$W$4:$W$1203,$AG229-1200))))</f>
      </c>
      <c r="F229" s="104">
        <f>IF($AG229="","",IF($AG229&lt;=1200,"01水果册","02物料册"))</f>
      </c>
      <c r="G229" s="131">
        <f>IF($AG229="","",IF($AG229&lt;=1200,IF(INDEX(对接源_01水果!$M$4:$M$1203,$AG229)=0,"",INDEX(对接源_01水果!$M$4:$M$1203,$AG229)),IF(INDEX(对接源_02物料!$M$4:$M$1203,$AG229-1200)=0,"",INDEX(对接源_02物料!$M$4:$M$1203,$AG229-1200))))</f>
      </c>
      <c r="AG229" s="128">
        <f>IFERROR(MATCH(58,_自动清单!$U$4:$U$2403,0),"")</f>
      </c>
    </row>
    <row r="230" ht="18" customHeight="1" s="127">
      <c r="A230" s="163">
        <f>IF($AG230="","",IF($AG230&lt;=1200,IF(INDEX(对接源_01水果!$B$4:$B$1203,$AG230)=0,"",INDEX(对接源_01水果!$B$4:$B$1203,$AG230)),IF(INDEX(对接源_02物料!$B$4:$B$1203,$AG230-1200)=0,"",INDEX(对接源_02物料!$B$4:$B$1203,$AG230-1200))))</f>
      </c>
      <c r="B230" s="61">
        <f>IF($AG230="","",IF($AG230&lt;=1200,IF(INDEX(对接源_01水果!$E$4:$E$1203,$AG230)=0,"",INDEX(对接源_01水果!$E$4:$E$1203,$AG230)),IF(INDEX(对接源_02物料!$E$4:$E$1203,$AG230-1200)=0,"",INDEX(对接源_02物料!$E$4:$E$1203,$AG230-1200))))</f>
      </c>
      <c r="C230" s="122">
        <f>IF($AG230="","",IF($AG230&lt;=1200,IF(INDEX(对接源_01水果!$S$4:$S$1203,$AG230)=0,"",INDEX(对接源_01水果!$S$4:$S$1203,$AG230)),IF(INDEX(对接源_02物料!$S$4:$S$1203,$AG230-1200)=0,"",INDEX(对接源_02物料!$S$4:$S$1203,$AG230-1200))))</f>
      </c>
      <c r="D230" s="169">
        <f>IF($AG230="","",IF($AG230&lt;=1200,IF(INDEX(对接源_01水果!$V$4:$V$1203,$AG230)=0,"",INDEX(对接源_01水果!$V$4:$V$1203,$AG230)),IF(INDEX(对接源_02物料!$V$4:$V$1203,$AG230-1200)=0,"",INDEX(对接源_02物料!$V$4:$V$1203,$AG230-1200))))</f>
      </c>
      <c r="E230" s="61">
        <f>IF($AG230="","",IF($AG230&lt;=1200,IF(INDEX(对接源_01水果!$W$4:$W$1203,$AG230)=0,"",INDEX(对接源_01水果!$W$4:$W$1203,$AG230)),IF(INDEX(对接源_02物料!$W$4:$W$1203,$AG230-1200)=0,"",INDEX(对接源_02物料!$W$4:$W$1203,$AG230-1200))))</f>
      </c>
      <c r="F230" s="61">
        <f>IF($AG230="","",IF($AG230&lt;=1200,"01水果册","02物料册"))</f>
      </c>
      <c r="G230" s="122">
        <f>IF($AG230="","",IF($AG230&lt;=1200,IF(INDEX(对接源_01水果!$M$4:$M$1203,$AG230)=0,"",INDEX(对接源_01水果!$M$4:$M$1203,$AG230)),IF(INDEX(对接源_02物料!$M$4:$M$1203,$AG230-1200)=0,"",INDEX(对接源_02物料!$M$4:$M$1203,$AG230-1200))))</f>
      </c>
      <c r="AG230" s="128">
        <f>IFERROR(MATCH(59,_自动清单!$U$4:$U$2403,0),"")</f>
      </c>
    </row>
    <row r="231" ht="18" customHeight="1" s="127">
      <c r="A231" s="165">
        <f>IF($AG231="","",IF($AG231&lt;=1200,IF(INDEX(对接源_01水果!$B$4:$B$1203,$AG231)=0,"",INDEX(对接源_01水果!$B$4:$B$1203,$AG231)),IF(INDEX(对接源_02物料!$B$4:$B$1203,$AG231-1200)=0,"",INDEX(对接源_02物料!$B$4:$B$1203,$AG231-1200))))</f>
      </c>
      <c r="B231" s="104">
        <f>IF($AG231="","",IF($AG231&lt;=1200,IF(INDEX(对接源_01水果!$E$4:$E$1203,$AG231)=0,"",INDEX(对接源_01水果!$E$4:$E$1203,$AG231)),IF(INDEX(对接源_02物料!$E$4:$E$1203,$AG231-1200)=0,"",INDEX(对接源_02物料!$E$4:$E$1203,$AG231-1200))))</f>
      </c>
      <c r="C231" s="131">
        <f>IF($AG231="","",IF($AG231&lt;=1200,IF(INDEX(对接源_01水果!$S$4:$S$1203,$AG231)=0,"",INDEX(对接源_01水果!$S$4:$S$1203,$AG231)),IF(INDEX(对接源_02物料!$S$4:$S$1203,$AG231-1200)=0,"",INDEX(对接源_02物料!$S$4:$S$1203,$AG231-1200))))</f>
      </c>
      <c r="D231" s="170">
        <f>IF($AG231="","",IF($AG231&lt;=1200,IF(INDEX(对接源_01水果!$V$4:$V$1203,$AG231)=0,"",INDEX(对接源_01水果!$V$4:$V$1203,$AG231)),IF(INDEX(对接源_02物料!$V$4:$V$1203,$AG231-1200)=0,"",INDEX(对接源_02物料!$V$4:$V$1203,$AG231-1200))))</f>
      </c>
      <c r="E231" s="104">
        <f>IF($AG231="","",IF($AG231&lt;=1200,IF(INDEX(对接源_01水果!$W$4:$W$1203,$AG231)=0,"",INDEX(对接源_01水果!$W$4:$W$1203,$AG231)),IF(INDEX(对接源_02物料!$W$4:$W$1203,$AG231-1200)=0,"",INDEX(对接源_02物料!$W$4:$W$1203,$AG231-1200))))</f>
      </c>
      <c r="F231" s="104">
        <f>IF($AG231="","",IF($AG231&lt;=1200,"01水果册","02物料册"))</f>
      </c>
      <c r="G231" s="131">
        <f>IF($AG231="","",IF($AG231&lt;=1200,IF(INDEX(对接源_01水果!$M$4:$M$1203,$AG231)=0,"",INDEX(对接源_01水果!$M$4:$M$1203,$AG231)),IF(INDEX(对接源_02物料!$M$4:$M$1203,$AG231-1200)=0,"",INDEX(对接源_02物料!$M$4:$M$1203,$AG231-1200))))</f>
      </c>
      <c r="AG231" s="128">
        <f>IFERROR(MATCH(60,_自动清单!$U$4:$U$2403,0),"")</f>
      </c>
    </row>
  </sheetData>
  <mergeCells count="15">
    <mergeCell ref="B2:C2"/>
    <mergeCell ref="I2:K2"/>
    <mergeCell ref="I6:J6"/>
    <mergeCell ref="I4:J4"/>
    <mergeCell ref="E170:G170"/>
    <mergeCell ref="A3:G3"/>
    <mergeCell ref="A4:D4"/>
    <mergeCell ref="A1:E1"/>
    <mergeCell ref="E4:G4"/>
    <mergeCell ref="I5:J5"/>
    <mergeCell ref="A170:D170"/>
    <mergeCell ref="A107:D107"/>
    <mergeCell ref="F1:G1"/>
    <mergeCell ref="E107:G107"/>
    <mergeCell ref="I3:J3"/>
  </mergeCells>
  <dataValidations count="1">
    <dataValidation sqref="B2" showDropDown="0" showInputMessage="0" showErrorMessage="0" allowBlank="1" type="list">
      <formula1>_自动清单!$E$4:$E$203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7030A0"/>
    <outlinePr summaryBelow="1" summaryRight="1"/>
    <pageSetUpPr/>
  </sheetPr>
  <dimension ref="A1:AF208"/>
  <sheetViews>
    <sheetView showGridLines="0" workbookViewId="0">
      <pane ySplit="3" topLeftCell="A4" activePane="bottomLeft" state="frozen"/>
      <selection activeCell="A1" sqref="A1"/>
      <selection pane="bottomLeft" activeCell="B2" sqref="B2:C2"/>
    </sheetView>
  </sheetViews>
  <sheetFormatPr baseColWidth="8" defaultColWidth="9" defaultRowHeight="13.5"/>
  <cols>
    <col width="12" customWidth="1" style="8" min="1" max="1"/>
    <col width="15" customWidth="1" style="8" min="2" max="2"/>
    <col width="16" customWidth="1" style="8" min="3" max="3"/>
    <col width="18" customWidth="1" style="8" min="4" max="4"/>
    <col width="11" customWidth="1" style="8" min="5" max="5"/>
    <col width="7" customWidth="1" style="8" min="6" max="6"/>
    <col width="10" customWidth="1" style="8" min="7" max="7"/>
    <col width="14" customWidth="1" style="8" min="8" max="8"/>
    <col width="12" customWidth="1" style="8" min="9" max="9"/>
    <col width="18" customWidth="1" style="8" min="10" max="10"/>
    <col width="2" customWidth="1" style="8" min="11" max="11"/>
    <col width="13" customWidth="1" style="8" min="12" max="13"/>
    <col width="12" customWidth="1" style="8" min="14" max="14"/>
    <col width="2" customWidth="1" style="8" min="15" max="15"/>
    <col width="12" customWidth="1" style="8" min="16" max="16"/>
    <col width="9" customWidth="1" style="8" min="17" max="16384"/>
  </cols>
  <sheetData>
    <row r="1" ht="49.5" customHeight="1" s="127">
      <c r="A1" s="37" t="inlineStr">
        <is>
          <t>新疆果然鲜仓储有限公司</t>
        </is>
      </c>
      <c r="I1" s="92" t="inlineStr">
        <is>
          <t>对账单</t>
        </is>
      </c>
      <c r="J1" s="118" t="n"/>
      <c r="P1" s="167">
        <f>IF($F$2="",DATE(1900,1,1),$F$2)</f>
        <v>2.0</v>
      </c>
    </row>
    <row r="2" ht="25.5" customHeight="1" s="127">
      <c r="A2" s="120" t="inlineStr">
        <is>
          <t>客　户:</t>
        </is>
      </c>
      <c r="B2" s="42" t="inlineStr">
        <is>
          <t>麦麦提</t>
        </is>
      </c>
      <c r="C2" s="156" t="n"/>
      <c r="E2" s="10" t="inlineStr">
        <is>
          <t>开始日期:</t>
        </is>
      </c>
      <c r="F2" s="157" t="n"/>
      <c r="G2" s="10" t="inlineStr">
        <is>
          <t>结束日期:</t>
        </is>
      </c>
      <c r="H2" s="157" t="n"/>
      <c r="L2" s="95" t="inlineStr">
        <is>
          <t>销 售 金 额 汇 总</t>
        </is>
      </c>
      <c r="P2" s="167">
        <f>IF($H$2="",DATE(2999,12,31),$H$2)</f>
        <v>401768.0</v>
      </c>
    </row>
    <row r="3" ht="19.5" customHeight="1" s="127">
      <c r="A3" s="121" t="inlineStr">
        <is>
          <t>★ 只填 B2 客户与起止日期。这里是「要收钱」的那部分：包装物料的销售/领用 ＋ 卖断给客户的筐子，两类按业务顺序混排在同一张明细里。筐子行的「规格 / 业务类别」显示「周转筐－销售出库」，一眼认得出。单价＝金额÷数量，自动算。★ 客户借走要还的周转筐不在这里，去《筐子对账单》看。</t>
        </is>
      </c>
      <c r="L3" s="56" t="inlineStr">
        <is>
          <t>物料金额</t>
        </is>
      </c>
      <c r="M3" s="158" t="n"/>
      <c r="N3" s="171">
        <f>ROUND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,2)</f>
        <v>16836</v>
      </c>
    </row>
    <row r="4" ht="24" customHeight="1" s="127">
      <c r="A4" s="54" t="inlineStr">
        <is>
          <t>物料 ＋ 筐子销售总金额</t>
        </is>
      </c>
      <c r="B4" s="160" t="n"/>
      <c r="C4" s="160" t="n"/>
      <c r="D4" s="160" t="n"/>
      <c r="E4" s="160" t="n"/>
      <c r="F4" s="160" t="n"/>
      <c r="G4" s="158" t="n"/>
      <c r="H4" s="172">
        <f>ROUND(N($N$3)+N($N$4),2)</f>
        <v>16836</v>
      </c>
      <c r="I4" s="160" t="n"/>
      <c r="J4" s="158" t="n"/>
      <c r="L4" s="56" t="inlineStr">
        <is>
          <t>筐子金额</t>
        </is>
      </c>
      <c r="M4" s="158" t="n"/>
      <c r="N4" s="171">
        <f>ROUND(SUMIFS(对接源_01水果!$K$4:$K$1203,对接源_01水果!$C$4:$C$1203,$B$2,对接源_01水果!$B$4:$B$1203,"&gt;="&amp;$P$1,对接源_01水果!$B$4:$B$1203,"&lt;="&amp;$P$2,对接源_01水果!$D$4:$D$1203,"周转筐－销售出库")+SUMIFS(对接源_02物料!$K$4:$K$1203,对接源_02物料!$C$4:$C$1203,$B$2,对接源_02物料!$B$4:$B$1203,"&gt;="&amp;$P$1,对接源_02物料!$B$4:$B$1203,"&lt;="&amp;$P$2,对接源_02物料!$D$4:$D$1203,"周转筐－销售出库"),2)</f>
        <v>0</v>
      </c>
    </row>
    <row r="5" ht="30" customHeight="1" s="127">
      <c r="A5" s="59" t="inlineStr">
        <is>
          <t>日　期</t>
        </is>
      </c>
      <c r="B5" s="59" t="inlineStr">
        <is>
          <t>票据单号</t>
        </is>
      </c>
      <c r="C5" s="59" t="inlineStr">
        <is>
          <t>物料名称</t>
        </is>
      </c>
      <c r="D5" s="59" t="inlineStr">
        <is>
          <t>规格 / 业务类别</t>
        </is>
      </c>
      <c r="E5" s="59" t="inlineStr">
        <is>
          <t>数　量</t>
        </is>
      </c>
      <c r="F5" s="59" t="inlineStr">
        <is>
          <t>单位</t>
        </is>
      </c>
      <c r="G5" s="59" t="inlineStr">
        <is>
          <t>单　价</t>
        </is>
      </c>
      <c r="H5" s="59" t="inlineStr">
        <is>
          <t>金额（元）</t>
        </is>
      </c>
      <c r="I5" s="59" t="inlineStr">
        <is>
          <t>收付状态</t>
        </is>
      </c>
      <c r="J5" s="59" t="inlineStr">
        <is>
          <t>备　注</t>
        </is>
      </c>
      <c r="L5" s="56" t="inlineStr">
        <is>
          <t>合计金额</t>
        </is>
      </c>
      <c r="M5" s="158" t="n"/>
      <c r="N5" s="171">
        <f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－销售出库")+SUMIFS(对接源_02物料!$K$4:$K$1203,对接源_02物料!$C$4:$C$1203,$B$2,对接源_02物料!$B$4:$B$1203,"&gt;="&amp;$P$1,对接源_02物料!$B$4:$B$1203,"&lt;="&amp;$P$2,对接源_02物料!$D$4:$D$1203,"周转筐－销售出库")),2)</f>
        <v>16836</v>
      </c>
    </row>
    <row r="6" ht="18" customHeight="1" s="127">
      <c r="A6" s="163">
        <f>IF($AE6="","",IF($AE6&lt;=1200,IF(INDEX(对接源_01水果!$B$4:$B$1203,$AE6)=0,"",INDEX(对接源_01水果!$B$4:$B$1203,$AE6)),IF(INDEX(对接源_02物料!$B$4:$B$1203,$AE6-1200)=0,"",INDEX(对接源_02物料!$B$4:$B$1203,$AE6-1200))))</f>
        <v>46268.0</v>
      </c>
      <c r="B6" s="61" t="str">
        <f>IF($AE6="","",IF($AE6&lt;=1200,IF(INDEX(对接源_01水果!$E$4:$E$1203,$AE6)=0,"",INDEX(对接源_01水果!$E$4:$E$1203,$AE6)),IF(INDEX(对接源_02物料!$E$4:$E$1203,$AE6-1200)=0,"",INDEX(对接源_02物料!$E$4:$E$1203,$AE6-1200))))</f>
        <v>NO:0001070</v>
      </c>
      <c r="C6" s="122" t="str">
        <f>IF($AE6="","",IF($AE6&lt;=1200,IF(INDEX(对接源_01水果!$F$4:$F$1203,$AE6)=0,"",INDEX(对接源_01水果!$F$4:$F$1203,$AE6)),IF(INDEX(对接源_02物料!$F$4:$F$1203,$AE6-1200)=0,"",INDEX(对接源_02物料!$F$4:$F$1203,$AE6-1200))))</f>
        <v>香梨纸</v>
      </c>
      <c r="D6" s="61" t="str">
        <f>IF($AE6="","",IF(IF($AE6&lt;=1200,IF(INDEX(对接源_01水果!$G$4:$G$1203,$AE6)=0,"",INDEX(对接源_01水果!$G$4:$G$1203,$AE6)),IF(INDEX(对接源_02物料!$G$4:$G$1203,$AE6-1200)=0,"",INDEX(对接源_02物料!$G$4:$G$1203,$AE6-1200)))="",IF($AE6&lt;=1200,IF(INDEX(对接源_01水果!$D$4:$D$1203,$AE6)=0,"",INDEX(对接源_01水果!$D$4:$D$1203,$AE6)),IF(INDEX(对接源_02物料!$D$4:$D$1203,$AE6-1200)=0,"",INDEX(对接源_02物料!$D$4:$D$1203,$AE6-1200))),IF($AE6&lt;=1200,IF(INDEX(对接源_01水果!$G$4:$G$1203,$AE6)=0,"",INDEX(对接源_01水果!$G$4:$G$1203,$AE6)),IF(INDEX(对接源_02物料!$G$4:$G$1203,$AE6-1200)=0,"",INDEX(对接源_02物料!$G$4:$G$1203,$AE6-1200)))))</f>
        <v>*捆</v>
      </c>
      <c r="E6" s="173">
        <f>IF($AE6="","",IF($AE6&lt;=1200,IF(INDEX(对接源_01水果!$H$4:$H$1203,$AE6)=0,"",INDEX(对接源_01水果!$H$4:$H$1203,$AE6)),IF(INDEX(对接源_02物料!$H$4:$H$1203,$AE6-1200)=0,"",INDEX(对接源_02物料!$H$4:$H$1203,$AE6-1200))))</f>
        <v>2</v>
      </c>
      <c r="F6" s="61" t="str">
        <f>IF($AE6="","",IF($AE6&lt;=1200,IF(INDEX(对接源_01水果!$I$4:$I$1203,$AE6)=0,"",INDEX(对接源_01水果!$I$4:$I$1203,$AE6)),IF(INDEX(对接源_02物料!$I$4:$I$1203,$AE6-1200)=0,"",INDEX(对接源_02物料!$I$4:$I$1203,$AE6-1200))))</f>
        <v>捆</v>
      </c>
      <c r="G6" s="173">
        <f>IF($AE6="","",IF(IF($AE6&lt;=1200,N(INDEX(对接源_01水果!$H$4:$H$1203,$AE6)),N(INDEX(对接源_02物料!$H$4:$H$1203,$AE6-1200)))=0,"",ROUND(IF($AE6&lt;=1200,N(INDEX(对接源_01水果!$K$4:$K$1203,$AE6)),N(INDEX(对接源_02物料!$K$4:$K$1203,$AE6-1200)))/IF($AE6&lt;=1200,N(INDEX(对接源_01水果!$H$4:$H$1203,$AE6)),N(INDEX(对接源_02物料!$H$4:$H$1203,$AE6-1200))),2)))</f>
        <v>48</v>
      </c>
      <c r="H6" s="173">
        <f>IF($AE6="","",IF($AE6&lt;=1200,IF(INDEX(对接源_01水果!$K$4:$K$1203,$AE6)=0,"",INDEX(对接源_01水果!$K$4:$K$1203,$AE6)),IF(INDEX(对接源_02物料!$K$4:$K$1203,$AE6-1200)=0,"",INDEX(对接源_02物料!$K$4:$K$1203,$AE6-1200))))</f>
        <v>96</v>
      </c>
      <c r="I6" s="61" t="str">
        <f>IF($AE6="","",IF($AE6&lt;=1200,IF(INDEX(对接源_01水果!$L$4:$L$1203,$AE6)=0,"",INDEX(对接源_01水果!$L$4:$L$1203,$AE6)),IF(INDEX(对接源_02物料!$L$4:$L$1203,$AE6-1200)=0,"",INDEX(对接源_02物料!$L$4:$L$1203,$AE6-1200))))</f>
        <v>已收讫</v>
      </c>
      <c r="J6" s="122">
        <f>IF($AE6="","",IF($AE6&lt;=1200,IF(INDEX(对接源_01水果!$M$4:$M$1203,$AE6)=0,"",INDEX(对接源_01水果!$M$4:$M$1203,$AE6)),IF(INDEX(对接源_02物料!$M$4:$M$1203,$AE6-1200)=0,"",INDEX(对接源_02物料!$M$4:$M$1203,$AE6-1200))))</f>
      </c>
      <c r="L6" s="56" t="inlineStr">
        <is>
          <t>已收金额</t>
        </is>
      </c>
      <c r="M6" s="158" t="n"/>
      <c r="N6" s="171">
        <f>ROUND(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+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96</v>
      </c>
      <c r="AE6" s="128">
        <f>IFERROR(MATCH(1,_自动清单!$AS$4:$AS$2403,0),"")</f>
        <v>1210</v>
      </c>
    </row>
    <row r="7" ht="18" customHeight="1" s="127">
      <c r="A7" s="163">
        <f>IF($AE7="","",IF($AE7&lt;=1200,IF(INDEX(对接源_01水果!$B$4:$B$1203,$AE7)=0,"",INDEX(对接源_01水果!$B$4:$B$1203,$AE7)),IF(INDEX(对接源_02物料!$B$4:$B$1203,$AE7-1200)=0,"",INDEX(对接源_02物料!$B$4:$B$1203,$AE7-1200))))</f>
        <v>46268.0</v>
      </c>
      <c r="B7" s="61" t="str">
        <f>IF($AE7="","",IF($AE7&lt;=1200,IF(INDEX(对接源_01水果!$E$4:$E$1203,$AE7)=0,"",INDEX(对接源_01水果!$E$4:$E$1203,$AE7)),IF(INDEX(对接源_02物料!$E$4:$E$1203,$AE7-1200)=0,"",INDEX(对接源_02物料!$E$4:$E$1203,$AE7-1200))))</f>
        <v>NO:0001074</v>
      </c>
      <c r="C7" s="122" t="str">
        <f>IF($AE7="","",IF($AE7&lt;=1200,IF(INDEX(对接源_01水果!$F$4:$F$1203,$AE7)=0,"",INDEX(对接源_01水果!$F$4:$F$1203,$AE7)),IF(INDEX(对接源_02物料!$F$4:$F$1203,$AE7-1200)=0,"",INDEX(对接源_02物料!$F$4:$F$1203,$AE7-1200))))</f>
        <v>香梨网</v>
      </c>
      <c r="D7" s="61" t="str">
        <f>IF($AE7="","",IF(IF($AE7&lt;=1200,IF(INDEX(对接源_01水果!$G$4:$G$1203,$AE7)=0,"",INDEX(对接源_01水果!$G$4:$G$1203,$AE7)),IF(INDEX(对接源_02物料!$G$4:$G$1203,$AE7-1200)=0,"",INDEX(对接源_02物料!$G$4:$G$1203,$AE7-1200)))="",IF($AE7&lt;=1200,IF(INDEX(对接源_01水果!$D$4:$D$1203,$AE7)=0,"",INDEX(对接源_01水果!$D$4:$D$1203,$AE7)),IF(INDEX(对接源_02物料!$D$4:$D$1203,$AE7-1200)=0,"",INDEX(对接源_02物料!$D$4:$D$1203,$AE7-1200))),IF($AE7&lt;=1200,IF(INDEX(对接源_01水果!$G$4:$G$1203,$AE7)=0,"",INDEX(对接源_01水果!$G$4:$G$1203,$AE7)),IF(INDEX(对接源_02物料!$G$4:$G$1203,$AE7-1200)=0,"",INDEX(对接源_02物料!$G$4:$G$1203,$AE7-1200)))))</f>
        <v>*包</v>
      </c>
      <c r="E7" s="173">
        <f>IF($AE7="","",IF($AE7&lt;=1200,IF(INDEX(对接源_01水果!$H$4:$H$1203,$AE7)=0,"",INDEX(对接源_01水果!$H$4:$H$1203,$AE7)),IF(INDEX(对接源_02物料!$H$4:$H$1203,$AE7-1200)=0,"",INDEX(对接源_02物料!$H$4:$H$1203,$AE7-1200))))</f>
        <v>44</v>
      </c>
      <c r="F7" s="61" t="str">
        <f>IF($AE7="","",IF($AE7&lt;=1200,IF(INDEX(对接源_01水果!$I$4:$I$1203,$AE7)=0,"",INDEX(对接源_01水果!$I$4:$I$1203,$AE7)),IF(INDEX(对接源_02物料!$I$4:$I$1203,$AE7-1200)=0,"",INDEX(对接源_02物料!$I$4:$I$1203,$AE7-1200))))</f>
        <v>包</v>
      </c>
      <c r="G7" s="173">
        <f>IF($AE7="","",IF(IF($AE7&lt;=1200,N(INDEX(对接源_01水果!$H$4:$H$1203,$AE7)),N(INDEX(对接源_02物料!$H$4:$H$1203,$AE7-1200)))=0,"",ROUND(IF($AE7&lt;=1200,N(INDEX(对接源_01水果!$K$4:$K$1203,$AE7)),N(INDEX(对接源_02物料!$K$4:$K$1203,$AE7-1200)))/IF($AE7&lt;=1200,N(INDEX(对接源_01水果!$H$4:$H$1203,$AE7)),N(INDEX(对接源_02物料!$H$4:$H$1203,$AE7-1200))),2)))</f>
        <v>45</v>
      </c>
      <c r="H7" s="173">
        <f>IF($AE7="","",IF($AE7&lt;=1200,IF(INDEX(对接源_01水果!$K$4:$K$1203,$AE7)=0,"",INDEX(对接源_01水果!$K$4:$K$1203,$AE7)),IF(INDEX(对接源_02物料!$K$4:$K$1203,$AE7-1200)=0,"",INDEX(对接源_02物料!$K$4:$K$1203,$AE7-1200))))</f>
        <v>1980</v>
      </c>
      <c r="I7" s="61" t="str">
        <f>IF($AE7="","",IF($AE7&lt;=1200,IF(INDEX(对接源_01水果!$L$4:$L$1203,$AE7)=0,"",INDEX(对接源_01水果!$L$4:$L$1203,$AE7)),IF(INDEX(对接源_02物料!$L$4:$L$1203,$AE7-1200)=0,"",INDEX(对接源_02物料!$L$4:$L$1203,$AE7-1200))))</f>
        <v>未付款</v>
      </c>
      <c r="J7" s="122">
        <f>IF($AE7="","",IF($AE7&lt;=1200,IF(INDEX(对接源_01水果!$M$4:$M$1203,$AE7)=0,"",INDEX(对接源_01水果!$M$4:$M$1203,$AE7)),IF(INDEX(对接源_02物料!$M$4:$M$1203,$AE7-1200)=0,"",INDEX(对接源_02物料!$M$4:$M$1203,$AE7-1200))))</f>
      </c>
      <c r="L7" s="101" t="inlineStr">
        <is>
          <t>未收金额</t>
        </is>
      </c>
      <c r="M7" s="158" t="n"/>
      <c r="N7" s="174">
        <f>ROUND((SUMIFS(对接源_01水果!$K$4:$K$1203,对接源_01水果!$C$4:$C$1203,$B$2,对接源_01水果!$B$4:$B$1203,"&gt;="&amp;$P$1,对接源_01水果!$B$4:$B$1203,"&lt;="&amp;$P$2,对接源_01水果!$D$4:$D$1203,"包装物料*")+SUMIFS(对接源_02物料!$K$4:$K$1203,对接源_02物料!$C$4:$C$1203,$B$2,对接源_02物料!$B$4:$B$1203,"&gt;="&amp;$P$1,对接源_02物料!$B$4:$B$1203,"&lt;="&amp;$P$2,对接源_02物料!$D$4:$D$1203,"包装物料*"))+(SUMIFS(对接源_01水果!$K$4:$K$1203,对接源_01水果!$C$4:$C$1203,$B$2,对接源_01水果!$B$4:$B$1203,"&gt;="&amp;$P$1,对接源_01水果!$B$4:$B$1203,"&lt;="&amp;$P$2,对接源_01水果!$D$4:$D$1203,"周转筐*")+SUMIFS(对接源_02物料!$K$4:$K$1203,对接源_02物料!$C$4:$C$1203,$B$2,对接源_02物料!$B$4:$B$1203,"&gt;="&amp;$P$1,对接源_02物料!$B$4:$B$1203,"&lt;="&amp;$P$2,对接源_02物料!$D$4:$D$1203,"周转筐*"))-(SUMIFS(对接源_01水果!$K$4:$K$1203,对接源_01水果!$C$4:$C$1203,$B$2,对接源_01水果!$B$4:$B$1203,"&gt;="&amp;$P$1,对接源_01水果!$B$4:$B$1203,"&lt;="&amp;$P$2,对接源_01水果!$D$4:$D$1203,"包装物料*",对接源_01水果!$L$4:$L$1203,"已收*")+SUMIFS(对接源_02物料!$K$4:$K$1203,对接源_02物料!$C$4:$C$1203,$B$2,对接源_02物料!$B$4:$B$1203,"&gt;="&amp;$P$1,对接源_02物料!$B$4:$B$1203,"&lt;="&amp;$P$2,对接源_02物料!$D$4:$D$1203,"包装物料*",对接源_02物料!$L$4:$L$1203,"已收*"))-(SUMIFS(对接源_01水果!$K$4:$K$1203,对接源_01水果!$C$4:$C$1203,$B$2,对接源_01水果!$B$4:$B$1203,"&gt;="&amp;$P$1,对接源_01水果!$B$4:$B$1203,"&lt;="&amp;$P$2,对接源_01水果!$D$4:$D$1203,"周转筐*",对接源_01水果!$L$4:$L$1203,"已收*")+SUMIFS(对接源_02物料!$K$4:$K$1203,对接源_02物料!$C$4:$C$1203,$B$2,对接源_02物料!$B$4:$B$1203,"&gt;="&amp;$P$1,对接源_02物料!$B$4:$B$1203,"&lt;="&amp;$P$2,对接源_02物料!$D$4:$D$1203,"周转筐*",对接源_02物料!$L$4:$L$1203,"已收*")),2)</f>
        <v>16740</v>
      </c>
      <c r="AE7" s="128">
        <f>IFERROR(MATCH(2,_自动清单!$AS$4:$AS$2403,0),"")</f>
        <v>1212</v>
      </c>
    </row>
    <row r="8" ht="18" customHeight="1" s="127">
      <c r="A8" s="163">
        <f>IF($AE8="","",IF($AE8&lt;=1200,IF(INDEX(对接源_01水果!$B$4:$B$1203,$AE8)=0,"",INDEX(对接源_01水果!$B$4:$B$1203,$AE8)),IF(INDEX(对接源_02物料!$B$4:$B$1203,$AE8-1200)=0,"",INDEX(对接源_02物料!$B$4:$B$1203,$AE8-1200))))</f>
        <v>46272.0</v>
      </c>
      <c r="B8" s="61" t="str">
        <f>IF($AE8="","",IF($AE8&lt;=1200,IF(INDEX(对接源_01水果!$E$4:$E$1203,$AE8)=0,"",INDEX(对接源_01水果!$E$4:$E$1203,$AE8)),IF(INDEX(对接源_02物料!$E$4:$E$1203,$AE8-1200)=0,"",INDEX(对接源_02物料!$E$4:$E$1203,$AE8-1200))))</f>
        <v>NO:0001089</v>
      </c>
      <c r="C8" s="122" t="str">
        <f>IF($AE8="","",IF($AE8&lt;=1200,IF(INDEX(对接源_01水果!$F$4:$F$1203,$AE8)=0,"",INDEX(对接源_01水果!$F$4:$F$1203,$AE8)),IF(INDEX(对接源_02物料!$F$4:$F$1203,$AE8-1200)=0,"",INDEX(对接源_02物料!$F$4:$F$1203,$AE8-1200))))</f>
        <v>香梨网</v>
      </c>
      <c r="D8" s="61" t="str">
        <f>IF($AE8="","",IF(IF($AE8&lt;=1200,IF(INDEX(对接源_01水果!$G$4:$G$1203,$AE8)=0,"",INDEX(对接源_01水果!$G$4:$G$1203,$AE8)),IF(INDEX(对接源_02物料!$G$4:$G$1203,$AE8-1200)=0,"",INDEX(对接源_02物料!$G$4:$G$1203,$AE8-1200)))="",IF($AE8&lt;=1200,IF(INDEX(对接源_01水果!$D$4:$D$1203,$AE8)=0,"",INDEX(对接源_01水果!$D$4:$D$1203,$AE8)),IF(INDEX(对接源_02物料!$D$4:$D$1203,$AE8-1200)=0,"",INDEX(对接源_02物料!$D$4:$D$1203,$AE8-1200))),IF($AE8&lt;=1200,IF(INDEX(对接源_01水果!$G$4:$G$1203,$AE8)=0,"",INDEX(对接源_01水果!$G$4:$G$1203,$AE8)),IF(INDEX(对接源_02物料!$G$4:$G$1203,$AE8-1200)=0,"",INDEX(对接源_02物料!$G$4:$G$1203,$AE8-1200)))))</f>
        <v>*包</v>
      </c>
      <c r="E8" s="173">
        <f>IF($AE8="","",IF($AE8&lt;=1200,IF(INDEX(对接源_01水果!$H$4:$H$1203,$AE8)=0,"",INDEX(对接源_01水果!$H$4:$H$1203,$AE8)),IF(INDEX(对接源_02物料!$H$4:$H$1203,$AE8-1200)=0,"",INDEX(对接源_02物料!$H$4:$H$1203,$AE8-1200))))</f>
        <v>48</v>
      </c>
      <c r="F8" s="61" t="str">
        <f>IF($AE8="","",IF($AE8&lt;=1200,IF(INDEX(对接源_01水果!$I$4:$I$1203,$AE8)=0,"",INDEX(对接源_01水果!$I$4:$I$1203,$AE8)),IF(INDEX(对接源_02物料!$I$4:$I$1203,$AE8-1200)=0,"",INDEX(对接源_02物料!$I$4:$I$1203,$AE8-1200))))</f>
        <v>包</v>
      </c>
      <c r="G8" s="173">
        <f>IF($AE8="","",IF(IF($AE8&lt;=1200,N(INDEX(对接源_01水果!$H$4:$H$1203,$AE8)),N(INDEX(对接源_02物料!$H$4:$H$1203,$AE8-1200)))=0,"",ROUND(IF($AE8&lt;=1200,N(INDEX(对接源_01水果!$K$4:$K$1203,$AE8)),N(INDEX(对接源_02物料!$K$4:$K$1203,$AE8-1200)))/IF($AE8&lt;=1200,N(INDEX(对接源_01水果!$H$4:$H$1203,$AE8)),N(INDEX(对接源_02物料!$H$4:$H$1203,$AE8-1200))),2)))</f>
        <v>45</v>
      </c>
      <c r="H8" s="173">
        <f>IF($AE8="","",IF($AE8&lt;=1200,IF(INDEX(对接源_01水果!$K$4:$K$1203,$AE8)=0,"",INDEX(对接源_01水果!$K$4:$K$1203,$AE8)),IF(INDEX(对接源_02物料!$K$4:$K$1203,$AE8-1200)=0,"",INDEX(对接源_02物料!$K$4:$K$1203,$AE8-1200))))</f>
        <v>2160</v>
      </c>
      <c r="I8" s="61" t="str">
        <f>IF($AE8="","",IF($AE8&lt;=1200,IF(INDEX(对接源_01水果!$L$4:$L$1203,$AE8)=0,"",INDEX(对接源_01水果!$L$4:$L$1203,$AE8)),IF(INDEX(对接源_02物料!$L$4:$L$1203,$AE8-1200)=0,"",INDEX(对接源_02物料!$L$4:$L$1203,$AE8-1200))))</f>
        <v>未付款</v>
      </c>
      <c r="J8" s="122">
        <f>IF($AE8="","",IF($AE8&lt;=1200,IF(INDEX(对接源_01水果!$M$4:$M$1203,$AE8)=0,"",INDEX(对接源_01水果!$M$4:$M$1203,$AE8)),IF(INDEX(对接源_02物料!$M$4:$M$1203,$AE8-1200)=0,"",INDEX(对接源_02物料!$M$4:$M$1203,$AE8-1200))))</f>
      </c>
      <c r="AE8" s="128">
        <f>IFERROR(MATCH(3,_自动清单!$AS$4:$AS$2403,0),"")</f>
        <v>1216</v>
      </c>
    </row>
    <row r="9" ht="18" customHeight="1" s="127">
      <c r="A9" s="163">
        <f>IF($AE9="","",IF($AE9&lt;=1200,IF(INDEX(对接源_01水果!$B$4:$B$1203,$AE9)=0,"",INDEX(对接源_01水果!$B$4:$B$1203,$AE9)),IF(INDEX(对接源_02物料!$B$4:$B$1203,$AE9-1200)=0,"",INDEX(对接源_02物料!$B$4:$B$1203,$AE9-1200))))</f>
        <v>46274.0</v>
      </c>
      <c r="B9" s="61" t="str">
        <f>IF($AE9="","",IF($AE9&lt;=1200,IF(INDEX(对接源_01水果!$E$4:$E$1203,$AE9)=0,"",INDEX(对接源_01水果!$E$4:$E$1203,$AE9)),IF(INDEX(对接源_02物料!$E$4:$E$1203,$AE9-1200)=0,"",INDEX(对接源_02物料!$E$4:$E$1203,$AE9-1200))))</f>
        <v>NO:0001106</v>
      </c>
      <c r="C9" s="122" t="str">
        <f>IF($AE9="","",IF($AE9&lt;=1200,IF(INDEX(对接源_01水果!$F$4:$F$1203,$AE9)=0,"",INDEX(对接源_01水果!$F$4:$F$1203,$AE9)),IF(INDEX(对接源_02物料!$F$4:$F$1203,$AE9-1200)=0,"",INDEX(对接源_02物料!$F$4:$F$1203,$AE9-1200))))</f>
        <v>香梨网</v>
      </c>
      <c r="D9" s="61" t="str">
        <f>IF($AE9="","",IF(IF($AE9&lt;=1200,IF(INDEX(对接源_01水果!$G$4:$G$1203,$AE9)=0,"",INDEX(对接源_01水果!$G$4:$G$1203,$AE9)),IF(INDEX(对接源_02物料!$G$4:$G$1203,$AE9-1200)=0,"",INDEX(对接源_02物料!$G$4:$G$1203,$AE9-1200)))="",IF($AE9&lt;=1200,IF(INDEX(对接源_01水果!$D$4:$D$1203,$AE9)=0,"",INDEX(对接源_01水果!$D$4:$D$1203,$AE9)),IF(INDEX(对接源_02物料!$D$4:$D$1203,$AE9-1200)=0,"",INDEX(对接源_02物料!$D$4:$D$1203,$AE9-1200))),IF($AE9&lt;=1200,IF(INDEX(对接源_01水果!$G$4:$G$1203,$AE9)=0,"",INDEX(对接源_01水果!$G$4:$G$1203,$AE9)),IF(INDEX(对接源_02物料!$G$4:$G$1203,$AE9-1200)=0,"",INDEX(对接源_02物料!$G$4:$G$1203,$AE9-1200)))))</f>
        <v>*包</v>
      </c>
      <c r="E9" s="173">
        <f>IF($AE9="","",IF($AE9&lt;=1200,IF(INDEX(对接源_01水果!$H$4:$H$1203,$AE9)=0,"",INDEX(对接源_01水果!$H$4:$H$1203,$AE9)),IF(INDEX(对接源_02物料!$H$4:$H$1203,$AE9-1200)=0,"",INDEX(对接源_02物料!$H$4:$H$1203,$AE9-1200))))</f>
        <v>48</v>
      </c>
      <c r="F9" s="61" t="str">
        <f>IF($AE9="","",IF($AE9&lt;=1200,IF(INDEX(对接源_01水果!$I$4:$I$1203,$AE9)=0,"",INDEX(对接源_01水果!$I$4:$I$1203,$AE9)),IF(INDEX(对接源_02物料!$I$4:$I$1203,$AE9-1200)=0,"",INDEX(对接源_02物料!$I$4:$I$1203,$AE9-1200))))</f>
        <v>包</v>
      </c>
      <c r="G9" s="173">
        <f>IF($AE9="","",IF(IF($AE9&lt;=1200,N(INDEX(对接源_01水果!$H$4:$H$1203,$AE9)),N(INDEX(对接源_02物料!$H$4:$H$1203,$AE9-1200)))=0,"",ROUND(IF($AE9&lt;=1200,N(INDEX(对接源_01水果!$K$4:$K$1203,$AE9)),N(INDEX(对接源_02物料!$K$4:$K$1203,$AE9-1200)))/IF($AE9&lt;=1200,N(INDEX(对接源_01水果!$H$4:$H$1203,$AE9)),N(INDEX(对接源_02物料!$H$4:$H$1203,$AE9-1200))),2)))</f>
        <v>45</v>
      </c>
      <c r="H9" s="173">
        <f>IF($AE9="","",IF($AE9&lt;=1200,IF(INDEX(对接源_01水果!$K$4:$K$1203,$AE9)=0,"",INDEX(对接源_01水果!$K$4:$K$1203,$AE9)),IF(INDEX(对接源_02物料!$K$4:$K$1203,$AE9-1200)=0,"",INDEX(对接源_02物料!$K$4:$K$1203,$AE9-1200))))</f>
        <v>2160</v>
      </c>
      <c r="I9" s="61" t="str">
        <f>IF($AE9="","",IF($AE9&lt;=1200,IF(INDEX(对接源_01水果!$L$4:$L$1203,$AE9)=0,"",INDEX(对接源_01水果!$L$4:$L$1203,$AE9)),IF(INDEX(对接源_02物料!$L$4:$L$1203,$AE9-1200)=0,"",INDEX(对接源_02物料!$L$4:$L$1203,$AE9-1200))))</f>
        <v>未付款</v>
      </c>
      <c r="J9" s="122">
        <f>IF($AE9="","",IF($AE9&lt;=1200,IF(INDEX(对接源_01水果!$M$4:$M$1203,$AE9)=0,"",INDEX(对接源_01水果!$M$4:$M$1203,$AE9)),IF(INDEX(对接源_02物料!$M$4:$M$1203,$AE9-1200)=0,"",INDEX(对接源_02物料!$M$4:$M$1203,$AE9-1200))))</f>
      </c>
      <c r="AE9" s="128">
        <f>IFERROR(MATCH(4,_自动清单!$AS$4:$AS$2403,0),"")</f>
        <v>1225</v>
      </c>
    </row>
    <row r="10" ht="18" customHeight="1" s="127">
      <c r="A10" s="163">
        <f>IF($AE10="","",IF($AE10&lt;=1200,IF(INDEX(对接源_01水果!$B$4:$B$1203,$AE10)=0,"",INDEX(对接源_01水果!$B$4:$B$1203,$AE10)),IF(INDEX(对接源_02物料!$B$4:$B$1203,$AE10-1200)=0,"",INDEX(对接源_02物料!$B$4:$B$1203,$AE10-1200))))</f>
        <v>46276.0</v>
      </c>
      <c r="B10" s="61" t="str">
        <f>IF($AE10="","",IF($AE10&lt;=1200,IF(INDEX(对接源_01水果!$E$4:$E$1203,$AE10)=0,"",INDEX(对接源_01水果!$E$4:$E$1203,$AE10)),IF(INDEX(对接源_02物料!$E$4:$E$1203,$AE10-1200)=0,"",INDEX(对接源_02物料!$E$4:$E$1203,$AE10-1200))))</f>
        <v>NO:0001113</v>
      </c>
      <c r="C10" s="122" t="str">
        <f>IF($AE10="","",IF($AE10&lt;=1200,IF(INDEX(对接源_01水果!$F$4:$F$1203,$AE10)=0,"",INDEX(对接源_01水果!$F$4:$F$1203,$AE10)),IF(INDEX(对接源_02物料!$F$4:$F$1203,$AE10-1200)=0,"",INDEX(对接源_02物料!$F$4:$F$1203,$AE10-1200))))</f>
        <v>香梨网</v>
      </c>
      <c r="D10" s="61" t="str">
        <f>IF($AE10="","",IF(IF($AE10&lt;=1200,IF(INDEX(对接源_01水果!$G$4:$G$1203,$AE10)=0,"",INDEX(对接源_01水果!$G$4:$G$1203,$AE10)),IF(INDEX(对接源_02物料!$G$4:$G$1203,$AE10-1200)=0,"",INDEX(对接源_02物料!$G$4:$G$1203,$AE10-1200)))="",IF($AE10&lt;=1200,IF(INDEX(对接源_01水果!$D$4:$D$1203,$AE10)=0,"",INDEX(对接源_01水果!$D$4:$D$1203,$AE10)),IF(INDEX(对接源_02物料!$D$4:$D$1203,$AE10-1200)=0,"",INDEX(对接源_02物料!$D$4:$D$1203,$AE10-1200))),IF($AE10&lt;=1200,IF(INDEX(对接源_01水果!$G$4:$G$1203,$AE10)=0,"",INDEX(对接源_01水果!$G$4:$G$1203,$AE10)),IF(INDEX(对接源_02物料!$G$4:$G$1203,$AE10-1200)=0,"",INDEX(对接源_02物料!$G$4:$G$1203,$AE10-1200)))))</f>
        <v>*包</v>
      </c>
      <c r="E10" s="173">
        <f>IF($AE10="","",IF($AE10&lt;=1200,IF(INDEX(对接源_01水果!$H$4:$H$1203,$AE10)=0,"",INDEX(对接源_01水果!$H$4:$H$1203,$AE10)),IF(INDEX(对接源_02物料!$H$4:$H$1203,$AE10-1200)=0,"",INDEX(对接源_02物料!$H$4:$H$1203,$AE10-1200))))</f>
        <v>48</v>
      </c>
      <c r="F10" s="61" t="str">
        <f>IF($AE10="","",IF($AE10&lt;=1200,IF(INDEX(对接源_01水果!$I$4:$I$1203,$AE10)=0,"",INDEX(对接源_01水果!$I$4:$I$1203,$AE10)),IF(INDEX(对接源_02物料!$I$4:$I$1203,$AE10-1200)=0,"",INDEX(对接源_02物料!$I$4:$I$1203,$AE10-1200))))</f>
        <v>包</v>
      </c>
      <c r="G10" s="173">
        <f>IF($AE10="","",IF(IF($AE10&lt;=1200,N(INDEX(对接源_01水果!$H$4:$H$1203,$AE10)),N(INDEX(对接源_02物料!$H$4:$H$1203,$AE10-1200)))=0,"",ROUND(IF($AE10&lt;=1200,N(INDEX(对接源_01水果!$K$4:$K$1203,$AE10)),N(INDEX(对接源_02物料!$K$4:$K$1203,$AE10-1200)))/IF($AE10&lt;=1200,N(INDEX(对接源_01水果!$H$4:$H$1203,$AE10)),N(INDEX(对接源_02物料!$H$4:$H$1203,$AE10-1200))),2)))</f>
        <v>45</v>
      </c>
      <c r="H10" s="173">
        <f>IF($AE10="","",IF($AE10&lt;=1200,IF(INDEX(对接源_01水果!$K$4:$K$1203,$AE10)=0,"",INDEX(对接源_01水果!$K$4:$K$1203,$AE10)),IF(INDEX(对接源_02物料!$K$4:$K$1203,$AE10-1200)=0,"",INDEX(对接源_02物料!$K$4:$K$1203,$AE10-1200))))</f>
        <v>2160</v>
      </c>
      <c r="I10" s="61" t="str">
        <f>IF($AE10="","",IF($AE10&lt;=1200,IF(INDEX(对接源_01水果!$L$4:$L$1203,$AE10)=0,"",INDEX(对接源_01水果!$L$4:$L$1203,$AE10)),IF(INDEX(对接源_02物料!$L$4:$L$1203,$AE10-1200)=0,"",INDEX(对接源_02物料!$L$4:$L$1203,$AE10-1200))))</f>
        <v>未付款</v>
      </c>
      <c r="J10" s="122">
        <f>IF($AE10="","",IF($AE10&lt;=1200,IF(INDEX(对接源_01水果!$M$4:$M$1203,$AE10)=0,"",INDEX(对接源_01水果!$M$4:$M$1203,$AE10)),IF(INDEX(对接源_02物料!$M$4:$M$1203,$AE10-1200)=0,"",INDEX(对接源_02物料!$M$4:$M$1203,$AE10-1200))))</f>
      </c>
      <c r="AE10" s="128">
        <f>IFERROR(MATCH(5,_自动清单!$AS$4:$AS$2403,0),"")</f>
        <v>1227</v>
      </c>
    </row>
    <row r="11" ht="18" customHeight="1" s="127">
      <c r="A11" s="163">
        <f>IF($AE11="","",IF($AE11&lt;=1200,IF(INDEX(对接源_01水果!$B$4:$B$1203,$AE11)=0,"",INDEX(对接源_01水果!$B$4:$B$1203,$AE11)),IF(INDEX(对接源_02物料!$B$4:$B$1203,$AE11-1200)=0,"",INDEX(对接源_02物料!$B$4:$B$1203,$AE11-1200))))</f>
        <v>46277.0</v>
      </c>
      <c r="B11" s="61" t="str">
        <f>IF($AE11="","",IF($AE11&lt;=1200,IF(INDEX(对接源_01水果!$E$4:$E$1203,$AE11)=0,"",INDEX(对接源_01水果!$E$4:$E$1203,$AE11)),IF(INDEX(对接源_02物料!$E$4:$E$1203,$AE11-1200)=0,"",INDEX(对接源_02物料!$E$4:$E$1203,$AE11-1200))))</f>
        <v>NO:0001125</v>
      </c>
      <c r="C11" s="122" t="str">
        <f>IF($AE11="","",IF($AE11&lt;=1200,IF(INDEX(对接源_01水果!$F$4:$F$1203,$AE11)=0,"",INDEX(对接源_01水果!$F$4:$F$1203,$AE11)),IF(INDEX(对接源_02物料!$F$4:$F$1203,$AE11-1200)=0,"",INDEX(对接源_02物料!$F$4:$F$1203,$AE11-1200))))</f>
        <v>香梨网</v>
      </c>
      <c r="D11" s="61" t="str">
        <f>IF($AE11="","",IF(IF($AE11&lt;=1200,IF(INDEX(对接源_01水果!$G$4:$G$1203,$AE11)=0,"",INDEX(对接源_01水果!$G$4:$G$1203,$AE11)),IF(INDEX(对接源_02物料!$G$4:$G$1203,$AE11-1200)=0,"",INDEX(对接源_02物料!$G$4:$G$1203,$AE11-1200)))="",IF($AE11&lt;=1200,IF(INDEX(对接源_01水果!$D$4:$D$1203,$AE11)=0,"",INDEX(对接源_01水果!$D$4:$D$1203,$AE11)),IF(INDEX(对接源_02物料!$D$4:$D$1203,$AE11-1200)=0,"",INDEX(对接源_02物料!$D$4:$D$1203,$AE11-1200))),IF($AE11&lt;=1200,IF(INDEX(对接源_01水果!$G$4:$G$1203,$AE11)=0,"",INDEX(对接源_01水果!$G$4:$G$1203,$AE11)),IF(INDEX(对接源_02物料!$G$4:$G$1203,$AE11-1200)=0,"",INDEX(对接源_02物料!$G$4:$G$1203,$AE11-1200)))))</f>
        <v>*包</v>
      </c>
      <c r="E11" s="173">
        <f>IF($AE11="","",IF($AE11&lt;=1200,IF(INDEX(对接源_01水果!$H$4:$H$1203,$AE11)=0,"",INDEX(对接源_01水果!$H$4:$H$1203,$AE11)),IF(INDEX(对接源_02物料!$H$4:$H$1203,$AE11-1200)=0,"",INDEX(对接源_02物料!$H$4:$H$1203,$AE11-1200))))</f>
        <v>48</v>
      </c>
      <c r="F11" s="61" t="str">
        <f>IF($AE11="","",IF($AE11&lt;=1200,IF(INDEX(对接源_01水果!$I$4:$I$1203,$AE11)=0,"",INDEX(对接源_01水果!$I$4:$I$1203,$AE11)),IF(INDEX(对接源_02物料!$I$4:$I$1203,$AE11-1200)=0,"",INDEX(对接源_02物料!$I$4:$I$1203,$AE11-1200))))</f>
        <v>包</v>
      </c>
      <c r="G11" s="173">
        <f>IF($AE11="","",IF(IF($AE11&lt;=1200,N(INDEX(对接源_01水果!$H$4:$H$1203,$AE11)),N(INDEX(对接源_02物料!$H$4:$H$1203,$AE11-1200)))=0,"",ROUND(IF($AE11&lt;=1200,N(INDEX(对接源_01水果!$K$4:$K$1203,$AE11)),N(INDEX(对接源_02物料!$K$4:$K$1203,$AE11-1200)))/IF($AE11&lt;=1200,N(INDEX(对接源_01水果!$H$4:$H$1203,$AE11)),N(INDEX(对接源_02物料!$H$4:$H$1203,$AE11-1200))),2)))</f>
        <v>45</v>
      </c>
      <c r="H11" s="173">
        <f>IF($AE11="","",IF($AE11&lt;=1200,IF(INDEX(对接源_01水果!$K$4:$K$1203,$AE11)=0,"",INDEX(对接源_01水果!$K$4:$K$1203,$AE11)),IF(INDEX(对接源_02物料!$K$4:$K$1203,$AE11-1200)=0,"",INDEX(对接源_02物料!$K$4:$K$1203,$AE11-1200))))</f>
        <v>2160</v>
      </c>
      <c r="I11" s="61" t="str">
        <f>IF($AE11="","",IF($AE11&lt;=1200,IF(INDEX(对接源_01水果!$L$4:$L$1203,$AE11)=0,"",INDEX(对接源_01水果!$L$4:$L$1203,$AE11)),IF(INDEX(对接源_02物料!$L$4:$L$1203,$AE11-1200)=0,"",INDEX(对接源_02物料!$L$4:$L$1203,$AE11-1200))))</f>
        <v>未付款</v>
      </c>
      <c r="J11" s="122">
        <f>IF($AE11="","",IF($AE11&lt;=1200,IF(INDEX(对接源_01水果!$M$4:$M$1203,$AE11)=0,"",INDEX(对接源_01水果!$M$4:$M$1203,$AE11)),IF(INDEX(对接源_02物料!$M$4:$M$1203,$AE11-1200)=0,"",INDEX(对接源_02物料!$M$4:$M$1203,$AE11-1200))))</f>
      </c>
      <c r="AE11" s="128">
        <f>IFERROR(MATCH(6,_自动清单!$AS$4:$AS$2403,0),"")</f>
        <v>1233</v>
      </c>
    </row>
    <row r="12" ht="18" customHeight="1" s="127">
      <c r="A12" s="163">
        <f>IF($AE12="","",IF($AE12&lt;=1200,IF(INDEX(对接源_01水果!$B$4:$B$1203,$AE12)=0,"",INDEX(对接源_01水果!$B$4:$B$1203,$AE12)),IF(INDEX(对接源_02物料!$B$4:$B$1203,$AE12-1200)=0,"",INDEX(对接源_02物料!$B$4:$B$1203,$AE12-1200))))</f>
        <v>46284.0</v>
      </c>
      <c r="B12" s="61" t="str">
        <f>IF($AE12="","",IF($AE12&lt;=1200,IF(INDEX(对接源_01水果!$E$4:$E$1203,$AE12)=0,"",INDEX(对接源_01水果!$E$4:$E$1203,$AE12)),IF(INDEX(对接源_02物料!$E$4:$E$1203,$AE12-1200)=0,"",INDEX(对接源_02物料!$E$4:$E$1203,$AE12-1200))))</f>
        <v>NO:0001193</v>
      </c>
      <c r="C12" s="122" t="str">
        <f>IF($AE12="","",IF($AE12&lt;=1200,IF(INDEX(对接源_01水果!$F$4:$F$1203,$AE12)=0,"",INDEX(对接源_01水果!$F$4:$F$1203,$AE12)),IF(INDEX(对接源_02物料!$F$4:$F$1203,$AE12-1200)=0,"",INDEX(对接源_02物料!$F$4:$F$1203,$AE12-1200))))</f>
        <v>香梨网</v>
      </c>
      <c r="D12" s="61" t="str">
        <f>IF($AE12="","",IF(IF($AE12&lt;=1200,IF(INDEX(对接源_01水果!$G$4:$G$1203,$AE12)=0,"",INDEX(对接源_01水果!$G$4:$G$1203,$AE12)),IF(INDEX(对接源_02物料!$G$4:$G$1203,$AE12-1200)=0,"",INDEX(对接源_02物料!$G$4:$G$1203,$AE12-1200)))="",IF($AE12&lt;=1200,IF(INDEX(对接源_01水果!$D$4:$D$1203,$AE12)=0,"",INDEX(对接源_01水果!$D$4:$D$1203,$AE12)),IF(INDEX(对接源_02物料!$D$4:$D$1203,$AE12-1200)=0,"",INDEX(对接源_02物料!$D$4:$D$1203,$AE12-1200))),IF($AE12&lt;=1200,IF(INDEX(对接源_01水果!$G$4:$G$1203,$AE12)=0,"",INDEX(对接源_01水果!$G$4:$G$1203,$AE12)),IF(INDEX(对接源_02物料!$G$4:$G$1203,$AE12-1200)=0,"",INDEX(对接源_02物料!$G$4:$G$1203,$AE12-1200)))))</f>
        <v>*包</v>
      </c>
      <c r="E12" s="173">
        <f>IF($AE12="","",IF($AE12&lt;=1200,IF(INDEX(对接源_01水果!$H$4:$H$1203,$AE12)=0,"",INDEX(对接源_01水果!$H$4:$H$1203,$AE12)),IF(INDEX(对接源_02物料!$H$4:$H$1203,$AE12-1200)=0,"",INDEX(对接源_02物料!$H$4:$H$1203,$AE12-1200))))</f>
        <v>40</v>
      </c>
      <c r="F12" s="61" t="str">
        <f>IF($AE12="","",IF($AE12&lt;=1200,IF(INDEX(对接源_01水果!$I$4:$I$1203,$AE12)=0,"",INDEX(对接源_01水果!$I$4:$I$1203,$AE12)),IF(INDEX(对接源_02物料!$I$4:$I$1203,$AE12-1200)=0,"",INDEX(对接源_02物料!$I$4:$I$1203,$AE12-1200))))</f>
        <v>包</v>
      </c>
      <c r="G12" s="173">
        <f>IF($AE12="","",IF(IF($AE12&lt;=1200,N(INDEX(对接源_01水果!$H$4:$H$1203,$AE12)),N(INDEX(对接源_02物料!$H$4:$H$1203,$AE12-1200)))=0,"",ROUND(IF($AE12&lt;=1200,N(INDEX(对接源_01水果!$K$4:$K$1203,$AE12)),N(INDEX(对接源_02物料!$K$4:$K$1203,$AE12-1200)))/IF($AE12&lt;=1200,N(INDEX(对接源_01水果!$H$4:$H$1203,$AE12)),N(INDEX(对接源_02物料!$H$4:$H$1203,$AE12-1200))),2)))</f>
        <v>45</v>
      </c>
      <c r="H12" s="173">
        <f>IF($AE12="","",IF($AE12&lt;=1200,IF(INDEX(对接源_01水果!$K$4:$K$1203,$AE12)=0,"",INDEX(对接源_01水果!$K$4:$K$1203,$AE12)),IF(INDEX(对接源_02物料!$K$4:$K$1203,$AE12-1200)=0,"",INDEX(对接源_02物料!$K$4:$K$1203,$AE12-1200))))</f>
        <v>1800</v>
      </c>
      <c r="I12" s="61" t="str">
        <f>IF($AE12="","",IF($AE12&lt;=1200,IF(INDEX(对接源_01水果!$L$4:$L$1203,$AE12)=0,"",INDEX(对接源_01水果!$L$4:$L$1203,$AE12)),IF(INDEX(对接源_02物料!$L$4:$L$1203,$AE12-1200)=0,"",INDEX(对接源_02物料!$L$4:$L$1203,$AE12-1200))))</f>
        <v>未收款</v>
      </c>
      <c r="J12" s="122">
        <f>IF($AE12="","",IF($AE12&lt;=1200,IF(INDEX(对接源_01水果!$M$4:$M$1203,$AE12)=0,"",INDEX(对接源_01水果!$M$4:$M$1203,$AE12)),IF(INDEX(对接源_02物料!$M$4:$M$1203,$AE12-1200)=0,"",INDEX(对接源_02物料!$M$4:$M$1203,$AE12-1200))))</f>
      </c>
      <c r="AE12" s="128">
        <f>IFERROR(MATCH(7,_自动清单!$AS$4:$AS$2403,0),"")</f>
        <v>1248</v>
      </c>
    </row>
    <row r="13" ht="18" customHeight="1" s="127">
      <c r="A13" s="163">
        <f>IF($AE13="","",IF($AE13&lt;=1200,IF(INDEX(对接源_01水果!$B$4:$B$1203,$AE13)=0,"",INDEX(对接源_01水果!$B$4:$B$1203,$AE13)),IF(INDEX(对接源_02物料!$B$4:$B$1203,$AE13-1200)=0,"",INDEX(对接源_02物料!$B$4:$B$1203,$AE13-1200))))</f>
        <v>46288.0</v>
      </c>
      <c r="B13" s="61" t="str">
        <f>IF($AE13="","",IF($AE13&lt;=1200,IF(INDEX(对接源_01水果!$E$4:$E$1203,$AE13)=0,"",INDEX(对接源_01水果!$E$4:$E$1203,$AE13)),IF(INDEX(对接源_02物料!$E$4:$E$1203,$AE13-1200)=0,"",INDEX(对接源_02物料!$E$4:$E$1203,$AE13-1200))))</f>
        <v>NO:0001227</v>
      </c>
      <c r="C13" s="122" t="str">
        <f>IF($AE13="","",IF($AE13&lt;=1200,IF(INDEX(对接源_01水果!$F$4:$F$1203,$AE13)=0,"",INDEX(对接源_01水果!$F$4:$F$1203,$AE13)),IF(INDEX(对接源_02物料!$F$4:$F$1203,$AE13-1200)=0,"",INDEX(对接源_02物料!$F$4:$F$1203,$AE13-1200))))</f>
        <v>香梨网</v>
      </c>
      <c r="D13" s="61" t="str">
        <f>IF($AE13="","",IF(IF($AE13&lt;=1200,IF(INDEX(对接源_01水果!$G$4:$G$1203,$AE13)=0,"",INDEX(对接源_01水果!$G$4:$G$1203,$AE13)),IF(INDEX(对接源_02物料!$G$4:$G$1203,$AE13-1200)=0,"",INDEX(对接源_02物料!$G$4:$G$1203,$AE13-1200)))="",IF($AE13&lt;=1200,IF(INDEX(对接源_01水果!$D$4:$D$1203,$AE13)=0,"",INDEX(对接源_01水果!$D$4:$D$1203,$AE13)),IF(INDEX(对接源_02物料!$D$4:$D$1203,$AE13-1200)=0,"",INDEX(对接源_02物料!$D$4:$D$1203,$AE13-1200))),IF($AE13&lt;=1200,IF(INDEX(对接源_01水果!$G$4:$G$1203,$AE13)=0,"",INDEX(对接源_01水果!$G$4:$G$1203,$AE13)),IF(INDEX(对接源_02物料!$G$4:$G$1203,$AE13-1200)=0,"",INDEX(对接源_02物料!$G$4:$G$1203,$AE13-1200)))))</f>
        <v>*包</v>
      </c>
      <c r="E13" s="173">
        <f>IF($AE13="","",IF($AE13&lt;=1200,IF(INDEX(对接源_01水果!$H$4:$H$1203,$AE13)=0,"",INDEX(对接源_01水果!$H$4:$H$1203,$AE13)),IF(INDEX(对接源_02物料!$H$4:$H$1203,$AE13-1200)=0,"",INDEX(对接源_02物料!$H$4:$H$1203,$AE13-1200))))</f>
        <v>8</v>
      </c>
      <c r="F13" s="61" t="str">
        <f>IF($AE13="","",IF($AE13&lt;=1200,IF(INDEX(对接源_01水果!$I$4:$I$1203,$AE13)=0,"",INDEX(对接源_01水果!$I$4:$I$1203,$AE13)),IF(INDEX(对接源_02物料!$I$4:$I$1203,$AE13-1200)=0,"",INDEX(对接源_02物料!$I$4:$I$1203,$AE13-1200))))</f>
        <v>包</v>
      </c>
      <c r="G13" s="173">
        <f>IF($AE13="","",IF(IF($AE13&lt;=1200,N(INDEX(对接源_01水果!$H$4:$H$1203,$AE13)),N(INDEX(对接源_02物料!$H$4:$H$1203,$AE13-1200)))=0,"",ROUND(IF($AE13&lt;=1200,N(INDEX(对接源_01水果!$K$4:$K$1203,$AE13)),N(INDEX(对接源_02物料!$K$4:$K$1203,$AE13-1200)))/IF($AE13&lt;=1200,N(INDEX(对接源_01水果!$H$4:$H$1203,$AE13)),N(INDEX(对接源_02物料!$H$4:$H$1203,$AE13-1200))),2)))</f>
        <v>45</v>
      </c>
      <c r="H13" s="173">
        <f>IF($AE13="","",IF($AE13&lt;=1200,IF(INDEX(对接源_01水果!$K$4:$K$1203,$AE13)=0,"",INDEX(对接源_01水果!$K$4:$K$1203,$AE13)),IF(INDEX(对接源_02物料!$K$4:$K$1203,$AE13-1200)=0,"",INDEX(对接源_02物料!$K$4:$K$1203,$AE13-1200))))</f>
        <v>360</v>
      </c>
      <c r="I13" s="61" t="str">
        <f>IF($AE13="","",IF($AE13&lt;=1200,IF(INDEX(对接源_01水果!$L$4:$L$1203,$AE13)=0,"",INDEX(对接源_01水果!$L$4:$L$1203,$AE13)),IF(INDEX(对接源_02物料!$L$4:$L$1203,$AE13-1200)=0,"",INDEX(对接源_02物料!$L$4:$L$1203,$AE13-1200))))</f>
        <v>未收款</v>
      </c>
      <c r="J13" s="122">
        <f>IF($AE13="","",IF($AE13&lt;=1200,IF(INDEX(对接源_01水果!$M$4:$M$1203,$AE13)=0,"",INDEX(对接源_01水果!$M$4:$M$1203,$AE13)),IF(INDEX(对接源_02物料!$M$4:$M$1203,$AE13-1200)=0,"",INDEX(对接源_02物料!$M$4:$M$1203,$AE13-1200))))</f>
      </c>
      <c r="AE13" s="128">
        <f>IFERROR(MATCH(8,_自动清单!$AS$4:$AS$2403,0),"")</f>
        <v>1260</v>
      </c>
    </row>
    <row r="14" ht="18" customHeight="1" s="127">
      <c r="A14" s="163">
        <f>IF($AE14="","",IF($AE14&lt;=1200,IF(INDEX(对接源_01水果!$B$4:$B$1203,$AE14)=0,"",INDEX(对接源_01水果!$B$4:$B$1203,$AE14)),IF(INDEX(对接源_02物料!$B$4:$B$1203,$AE14-1200)=0,"",INDEX(对接源_02物料!$B$4:$B$1203,$AE14-1200))))</f>
        <v>46289.0</v>
      </c>
      <c r="B14" s="61" t="str">
        <f>IF($AE14="","",IF($AE14&lt;=1200,IF(INDEX(对接源_01水果!$E$4:$E$1203,$AE14)=0,"",INDEX(对接源_01水果!$E$4:$E$1203,$AE14)),IF(INDEX(对接源_02物料!$E$4:$E$1203,$AE14-1200)=0,"",INDEX(对接源_02物料!$E$4:$E$1203,$AE14-1200))))</f>
        <v>NO:0001235</v>
      </c>
      <c r="C14" s="122" t="str">
        <f>IF($AE14="","",IF($AE14&lt;=1200,IF(INDEX(对接源_01水果!$F$4:$F$1203,$AE14)=0,"",INDEX(对接源_01水果!$F$4:$F$1203,$AE14)),IF(INDEX(对接源_02物料!$F$4:$F$1203,$AE14-1200)=0,"",INDEX(对接源_02物料!$F$4:$F$1203,$AE14-1200))))</f>
        <v>香梨网</v>
      </c>
      <c r="D14" s="61" t="str">
        <f>IF($AE14="","",IF(IF($AE14&lt;=1200,IF(INDEX(对接源_01水果!$G$4:$G$1203,$AE14)=0,"",INDEX(对接源_01水果!$G$4:$G$1203,$AE14)),IF(INDEX(对接源_02物料!$G$4:$G$1203,$AE14-1200)=0,"",INDEX(对接源_02物料!$G$4:$G$1203,$AE14-1200)))="",IF($AE14&lt;=1200,IF(INDEX(对接源_01水果!$D$4:$D$1203,$AE14)=0,"",INDEX(对接源_01水果!$D$4:$D$1203,$AE14)),IF(INDEX(对接源_02物料!$D$4:$D$1203,$AE14-1200)=0,"",INDEX(对接源_02物料!$D$4:$D$1203,$AE14-1200))),IF($AE14&lt;=1200,IF(INDEX(对接源_01水果!$G$4:$G$1203,$AE14)=0,"",INDEX(对接源_01水果!$G$4:$G$1203,$AE14)),IF(INDEX(对接源_02物料!$G$4:$G$1203,$AE14-1200)=0,"",INDEX(对接源_02物料!$G$4:$G$1203,$AE14-1200)))))</f>
        <v>*包</v>
      </c>
      <c r="E14" s="173">
        <f>IF($AE14="","",IF($AE14&lt;=1200,IF(INDEX(对接源_01水果!$H$4:$H$1203,$AE14)=0,"",INDEX(对接源_01水果!$H$4:$H$1203,$AE14)),IF(INDEX(对接源_02物料!$H$4:$H$1203,$AE14-1200)=0,"",INDEX(对接源_02物料!$H$4:$H$1203,$AE14-1200))))</f>
        <v>48</v>
      </c>
      <c r="F14" s="61" t="str">
        <f>IF($AE14="","",IF($AE14&lt;=1200,IF(INDEX(对接源_01水果!$I$4:$I$1203,$AE14)=0,"",INDEX(对接源_01水果!$I$4:$I$1203,$AE14)),IF(INDEX(对接源_02物料!$I$4:$I$1203,$AE14-1200)=0,"",INDEX(对接源_02物料!$I$4:$I$1203,$AE14-1200))))</f>
        <v>包</v>
      </c>
      <c r="G14" s="173">
        <f>IF($AE14="","",IF(IF($AE14&lt;=1200,N(INDEX(对接源_01水果!$H$4:$H$1203,$AE14)),N(INDEX(对接源_02物料!$H$4:$H$1203,$AE14-1200)))=0,"",ROUND(IF($AE14&lt;=1200,N(INDEX(对接源_01水果!$K$4:$K$1203,$AE14)),N(INDEX(对接源_02物料!$K$4:$K$1203,$AE14-1200)))/IF($AE14&lt;=1200,N(INDEX(对接源_01水果!$H$4:$H$1203,$AE14)),N(INDEX(对接源_02物料!$H$4:$H$1203,$AE14-1200))),2)))</f>
        <v>45</v>
      </c>
      <c r="H14" s="173">
        <f>IF($AE14="","",IF($AE14&lt;=1200,IF(INDEX(对接源_01水果!$K$4:$K$1203,$AE14)=0,"",INDEX(对接源_01水果!$K$4:$K$1203,$AE14)),IF(INDEX(对接源_02物料!$K$4:$K$1203,$AE14-1200)=0,"",INDEX(对接源_02物料!$K$4:$K$1203,$AE14-1200))))</f>
        <v>2160</v>
      </c>
      <c r="I14" s="61" t="str">
        <f>IF($AE14="","",IF($AE14&lt;=1200,IF(INDEX(对接源_01水果!$L$4:$L$1203,$AE14)=0,"",INDEX(对接源_01水果!$L$4:$L$1203,$AE14)),IF(INDEX(对接源_02物料!$L$4:$L$1203,$AE14-1200)=0,"",INDEX(对接源_02物料!$L$4:$L$1203,$AE14-1200))))</f>
        <v>未收款</v>
      </c>
      <c r="J14" s="122">
        <f>IF($AE14="","",IF($AE14&lt;=1200,IF(INDEX(对接源_01水果!$M$4:$M$1203,$AE14)=0,"",INDEX(对接源_01水果!$M$4:$M$1203,$AE14)),IF(INDEX(对接源_02物料!$M$4:$M$1203,$AE14-1200)=0,"",INDEX(对接源_02物料!$M$4:$M$1203,$AE14-1200))))</f>
      </c>
      <c r="AE14" s="128">
        <f>IFERROR(MATCH(9,_自动清单!$AS$4:$AS$2403,0),"")</f>
        <v>1263</v>
      </c>
    </row>
    <row r="15" ht="18" customHeight="1" s="127">
      <c r="A15" s="163">
        <f>IF($AE15="","",IF($AE15&lt;=1200,IF(INDEX(对接源_01水果!$B$4:$B$1203,$AE15)=0,"",INDEX(对接源_01水果!$B$4:$B$1203,$AE15)),IF(INDEX(对接源_02物料!$B$4:$B$1203,$AE15-1200)=0,"",INDEX(对接源_02物料!$B$4:$B$1203,$AE15-1200))))</f>
        <v>46292.0</v>
      </c>
      <c r="B15" s="61" t="str">
        <f>IF($AE15="","",IF($AE15&lt;=1200,IF(INDEX(对接源_01水果!$E$4:$E$1203,$AE15)=0,"",INDEX(对接源_01水果!$E$4:$E$1203,$AE15)),IF(INDEX(对接源_02物料!$E$4:$E$1203,$AE15-1200)=0,"",INDEX(对接源_02物料!$E$4:$E$1203,$AE15-1200))))</f>
        <v>NO:0001247</v>
      </c>
      <c r="C15" s="122" t="str">
        <f>IF($AE15="","",IF($AE15&lt;=1200,IF(INDEX(对接源_01水果!$F$4:$F$1203,$AE15)=0,"",INDEX(对接源_01水果!$F$4:$F$1203,$AE15)),IF(INDEX(对接源_02物料!$F$4:$F$1203,$AE15-1200)=0,"",INDEX(对接源_02物料!$F$4:$F$1203,$AE15-1200))))</f>
        <v>香梨网</v>
      </c>
      <c r="D15" s="61" t="str">
        <f>IF($AE15="","",IF(IF($AE15&lt;=1200,IF(INDEX(对接源_01水果!$G$4:$G$1203,$AE15)=0,"",INDEX(对接源_01水果!$G$4:$G$1203,$AE15)),IF(INDEX(对接源_02物料!$G$4:$G$1203,$AE15-1200)=0,"",INDEX(对接源_02物料!$G$4:$G$1203,$AE15-1200)))="",IF($AE15&lt;=1200,IF(INDEX(对接源_01水果!$D$4:$D$1203,$AE15)=0,"",INDEX(对接源_01水果!$D$4:$D$1203,$AE15)),IF(INDEX(对接源_02物料!$D$4:$D$1203,$AE15-1200)=0,"",INDEX(对接源_02物料!$D$4:$D$1203,$AE15-1200))),IF($AE15&lt;=1200,IF(INDEX(对接源_01水果!$G$4:$G$1203,$AE15)=0,"",INDEX(对接源_01水果!$G$4:$G$1203,$AE15)),IF(INDEX(对接源_02物料!$G$4:$G$1203,$AE15-1200)=0,"",INDEX(对接源_02物料!$G$4:$G$1203,$AE15-1200)))))</f>
        <v>*包</v>
      </c>
      <c r="E15" s="173">
        <f>IF($AE15="","",IF($AE15&lt;=1200,IF(INDEX(对接源_01水果!$H$4:$H$1203,$AE15)=0,"",INDEX(对接源_01水果!$H$4:$H$1203,$AE15)),IF(INDEX(对接源_02物料!$H$4:$H$1203,$AE15-1200)=0,"",INDEX(对接源_02物料!$H$4:$H$1203,$AE15-1200))))</f>
        <v>40</v>
      </c>
      <c r="F15" s="61" t="str">
        <f>IF($AE15="","",IF($AE15&lt;=1200,IF(INDEX(对接源_01水果!$I$4:$I$1203,$AE15)=0,"",INDEX(对接源_01水果!$I$4:$I$1203,$AE15)),IF(INDEX(对接源_02物料!$I$4:$I$1203,$AE15-1200)=0,"",INDEX(对接源_02物料!$I$4:$I$1203,$AE15-1200))))</f>
        <v>包</v>
      </c>
      <c r="G15" s="173">
        <f>IF($AE15="","",IF(IF($AE15&lt;=1200,N(INDEX(对接源_01水果!$H$4:$H$1203,$AE15)),N(INDEX(对接源_02物料!$H$4:$H$1203,$AE15-1200)))=0,"",ROUND(IF($AE15&lt;=1200,N(INDEX(对接源_01水果!$K$4:$K$1203,$AE15)),N(INDEX(对接源_02物料!$K$4:$K$1203,$AE15-1200)))/IF($AE15&lt;=1200,N(INDEX(对接源_01水果!$H$4:$H$1203,$AE15)),N(INDEX(对接源_02物料!$H$4:$H$1203,$AE15-1200))),2)))</f>
        <v>45</v>
      </c>
      <c r="H15" s="173">
        <f>IF($AE15="","",IF($AE15&lt;=1200,IF(INDEX(对接源_01水果!$K$4:$K$1203,$AE15)=0,"",INDEX(对接源_01水果!$K$4:$K$1203,$AE15)),IF(INDEX(对接源_02物料!$K$4:$K$1203,$AE15-1200)=0,"",INDEX(对接源_02物料!$K$4:$K$1203,$AE15-1200))))</f>
        <v>1800</v>
      </c>
      <c r="I15" s="61" t="str">
        <f>IF($AE15="","",IF($AE15&lt;=1200,IF(INDEX(对接源_01水果!$L$4:$L$1203,$AE15)=0,"",INDEX(对接源_01水果!$L$4:$L$1203,$AE15)),IF(INDEX(对接源_02物料!$L$4:$L$1203,$AE15-1200)=0,"",INDEX(对接源_02物料!$L$4:$L$1203,$AE15-1200))))</f>
        <v>未收款</v>
      </c>
      <c r="J15" s="122">
        <f>IF($AE15="","",IF($AE15&lt;=1200,IF(INDEX(对接源_01水果!$M$4:$M$1203,$AE15)=0,"",INDEX(对接源_01水果!$M$4:$M$1203,$AE15)),IF(INDEX(对接源_02物料!$M$4:$M$1203,$AE15-1200)=0,"",INDEX(对接源_02物料!$M$4:$M$1203,$AE15-1200))))</f>
      </c>
      <c r="AE15" s="128">
        <f>IFERROR(MATCH(10,_自动清单!$AS$4:$AS$2403,0),"")</f>
        <v>1270</v>
      </c>
    </row>
    <row r="16" ht="18" customHeight="1" s="127">
      <c r="A16" s="163">
        <f>IF($AE16="","",IF($AE16&lt;=1200,IF(INDEX(对接源_01水果!$B$4:$B$1203,$AE16)=0,"",INDEX(对接源_01水果!$B$4:$B$1203,$AE16)),IF(INDEX(对接源_02物料!$B$4:$B$1203,$AE16-1200)=0,"",INDEX(对接源_02物料!$B$4:$B$1203,$AE16-1200))))</f>
      </c>
      <c r="B16" s="61">
        <f>IF($AE16="","",IF($AE16&lt;=1200,IF(INDEX(对接源_01水果!$E$4:$E$1203,$AE16)=0,"",INDEX(对接源_01水果!$E$4:$E$1203,$AE16)),IF(INDEX(对接源_02物料!$E$4:$E$1203,$AE16-1200)=0,"",INDEX(对接源_02物料!$E$4:$E$1203,$AE16-1200))))</f>
      </c>
      <c r="C16" s="122">
        <f>IF($AE16="","",IF($AE16&lt;=1200,IF(INDEX(对接源_01水果!$F$4:$F$1203,$AE16)=0,"",INDEX(对接源_01水果!$F$4:$F$1203,$AE16)),IF(INDEX(对接源_02物料!$F$4:$F$1203,$AE16-1200)=0,"",INDEX(对接源_02物料!$F$4:$F$1203,$AE16-1200))))</f>
      </c>
      <c r="D16" s="61">
        <f>IF($AE16="","",IF(IF($AE16&lt;=1200,IF(INDEX(对接源_01水果!$G$4:$G$1203,$AE16)=0,"",INDEX(对接源_01水果!$G$4:$G$1203,$AE16)),IF(INDEX(对接源_02物料!$G$4:$G$1203,$AE16-1200)=0,"",INDEX(对接源_02物料!$G$4:$G$1203,$AE16-1200)))="",IF($AE16&lt;=1200,IF(INDEX(对接源_01水果!$D$4:$D$1203,$AE16)=0,"",INDEX(对接源_01水果!$D$4:$D$1203,$AE16)),IF(INDEX(对接源_02物料!$D$4:$D$1203,$AE16-1200)=0,"",INDEX(对接源_02物料!$D$4:$D$1203,$AE16-1200))),IF($AE16&lt;=1200,IF(INDEX(对接源_01水果!$G$4:$G$1203,$AE16)=0,"",INDEX(对接源_01水果!$G$4:$G$1203,$AE16)),IF(INDEX(对接源_02物料!$G$4:$G$1203,$AE16-1200)=0,"",INDEX(对接源_02物料!$G$4:$G$1203,$AE16-1200)))))</f>
      </c>
      <c r="E16" s="173">
        <f>IF($AE16="","",IF($AE16&lt;=1200,IF(INDEX(对接源_01水果!$H$4:$H$1203,$AE16)=0,"",INDEX(对接源_01水果!$H$4:$H$1203,$AE16)),IF(INDEX(对接源_02物料!$H$4:$H$1203,$AE16-1200)=0,"",INDEX(对接源_02物料!$H$4:$H$1203,$AE16-1200))))</f>
      </c>
      <c r="F16" s="61">
        <f>IF($AE16="","",IF($AE16&lt;=1200,IF(INDEX(对接源_01水果!$I$4:$I$1203,$AE16)=0,"",INDEX(对接源_01水果!$I$4:$I$1203,$AE16)),IF(INDEX(对接源_02物料!$I$4:$I$1203,$AE16-1200)=0,"",INDEX(对接源_02物料!$I$4:$I$1203,$AE16-1200))))</f>
      </c>
      <c r="G16" s="173">
        <f>IF($AE16="","",IF(IF($AE16&lt;=1200,N(INDEX(对接源_01水果!$H$4:$H$1203,$AE16)),N(INDEX(对接源_02物料!$H$4:$H$1203,$AE16-1200)))=0,"",ROUND(IF($AE16&lt;=1200,N(INDEX(对接源_01水果!$K$4:$K$1203,$AE16)),N(INDEX(对接源_02物料!$K$4:$K$1203,$AE16-1200)))/IF($AE16&lt;=1200,N(INDEX(对接源_01水果!$H$4:$H$1203,$AE16)),N(INDEX(对接源_02物料!$H$4:$H$1203,$AE16-1200))),2)))</f>
      </c>
      <c r="H16" s="173">
        <f>IF($AE16="","",IF($AE16&lt;=1200,IF(INDEX(对接源_01水果!$K$4:$K$1203,$AE16)=0,"",INDEX(对接源_01水果!$K$4:$K$1203,$AE16)),IF(INDEX(对接源_02物料!$K$4:$K$1203,$AE16-1200)=0,"",INDEX(对接源_02物料!$K$4:$K$1203,$AE16-1200))))</f>
      </c>
      <c r="I16" s="61">
        <f>IF($AE16="","",IF($AE16&lt;=1200,IF(INDEX(对接源_01水果!$L$4:$L$1203,$AE16)=0,"",INDEX(对接源_01水果!$L$4:$L$1203,$AE16)),IF(INDEX(对接源_02物料!$L$4:$L$1203,$AE16-1200)=0,"",INDEX(对接源_02物料!$L$4:$L$1203,$AE16-1200))))</f>
      </c>
      <c r="J16" s="122">
        <f>IF($AE16="","",IF($AE16&lt;=1200,IF(INDEX(对接源_01水果!$M$4:$M$1203,$AE16)=0,"",INDEX(对接源_01水果!$M$4:$M$1203,$AE16)),IF(INDEX(对接源_02物料!$M$4:$M$1203,$AE16-1200)=0,"",INDEX(对接源_02物料!$M$4:$M$1203,$AE16-1200))))</f>
      </c>
      <c r="AE16" s="128">
        <f>IFERROR(MATCH(11,_自动清单!$AS$4:$AS$2403,0),"")</f>
      </c>
    </row>
    <row r="17" ht="18" customHeight="1" s="127">
      <c r="A17" s="163">
        <f>IF($AE17="","",IF($AE17&lt;=1200,IF(INDEX(对接源_01水果!$B$4:$B$1203,$AE17)=0,"",INDEX(对接源_01水果!$B$4:$B$1203,$AE17)),IF(INDEX(对接源_02物料!$B$4:$B$1203,$AE17-1200)=0,"",INDEX(对接源_02物料!$B$4:$B$1203,$AE17-1200))))</f>
      </c>
      <c r="B17" s="61">
        <f>IF($AE17="","",IF($AE17&lt;=1200,IF(INDEX(对接源_01水果!$E$4:$E$1203,$AE17)=0,"",INDEX(对接源_01水果!$E$4:$E$1203,$AE17)),IF(INDEX(对接源_02物料!$E$4:$E$1203,$AE17-1200)=0,"",INDEX(对接源_02物料!$E$4:$E$1203,$AE17-1200))))</f>
      </c>
      <c r="C17" s="122">
        <f>IF($AE17="","",IF($AE17&lt;=1200,IF(INDEX(对接源_01水果!$F$4:$F$1203,$AE17)=0,"",INDEX(对接源_01水果!$F$4:$F$1203,$AE17)),IF(INDEX(对接源_02物料!$F$4:$F$1203,$AE17-1200)=0,"",INDEX(对接源_02物料!$F$4:$F$1203,$AE17-1200))))</f>
      </c>
      <c r="D17" s="61">
        <f>IF($AE17="","",IF(IF($AE17&lt;=1200,IF(INDEX(对接源_01水果!$G$4:$G$1203,$AE17)=0,"",INDEX(对接源_01水果!$G$4:$G$1203,$AE17)),IF(INDEX(对接源_02物料!$G$4:$G$1203,$AE17-1200)=0,"",INDEX(对接源_02物料!$G$4:$G$1203,$AE17-1200)))="",IF($AE17&lt;=1200,IF(INDEX(对接源_01水果!$D$4:$D$1203,$AE17)=0,"",INDEX(对接源_01水果!$D$4:$D$1203,$AE17)),IF(INDEX(对接源_02物料!$D$4:$D$1203,$AE17-1200)=0,"",INDEX(对接源_02物料!$D$4:$D$1203,$AE17-1200))),IF($AE17&lt;=1200,IF(INDEX(对接源_01水果!$G$4:$G$1203,$AE17)=0,"",INDEX(对接源_01水果!$G$4:$G$1203,$AE17)),IF(INDEX(对接源_02物料!$G$4:$G$1203,$AE17-1200)=0,"",INDEX(对接源_02物料!$G$4:$G$1203,$AE17-1200)))))</f>
      </c>
      <c r="E17" s="173">
        <f>IF($AE17="","",IF($AE17&lt;=1200,IF(INDEX(对接源_01水果!$H$4:$H$1203,$AE17)=0,"",INDEX(对接源_01水果!$H$4:$H$1203,$AE17)),IF(INDEX(对接源_02物料!$H$4:$H$1203,$AE17-1200)=0,"",INDEX(对接源_02物料!$H$4:$H$1203,$AE17-1200))))</f>
      </c>
      <c r="F17" s="61">
        <f>IF($AE17="","",IF($AE17&lt;=1200,IF(INDEX(对接源_01水果!$I$4:$I$1203,$AE17)=0,"",INDEX(对接源_01水果!$I$4:$I$1203,$AE17)),IF(INDEX(对接源_02物料!$I$4:$I$1203,$AE17-1200)=0,"",INDEX(对接源_02物料!$I$4:$I$1203,$AE17-1200))))</f>
      </c>
      <c r="G17" s="173">
        <f>IF($AE17="","",IF(IF($AE17&lt;=1200,N(INDEX(对接源_01水果!$H$4:$H$1203,$AE17)),N(INDEX(对接源_02物料!$H$4:$H$1203,$AE17-1200)))=0,"",ROUND(IF($AE17&lt;=1200,N(INDEX(对接源_01水果!$K$4:$K$1203,$AE17)),N(INDEX(对接源_02物料!$K$4:$K$1203,$AE17-1200)))/IF($AE17&lt;=1200,N(INDEX(对接源_01水果!$H$4:$H$1203,$AE17)),N(INDEX(对接源_02物料!$H$4:$H$1203,$AE17-1200))),2)))</f>
      </c>
      <c r="H17" s="173">
        <f>IF($AE17="","",IF($AE17&lt;=1200,IF(INDEX(对接源_01水果!$K$4:$K$1203,$AE17)=0,"",INDEX(对接源_01水果!$K$4:$K$1203,$AE17)),IF(INDEX(对接源_02物料!$K$4:$K$1203,$AE17-1200)=0,"",INDEX(对接源_02物料!$K$4:$K$1203,$AE17-1200))))</f>
      </c>
      <c r="I17" s="61">
        <f>IF($AE17="","",IF($AE17&lt;=1200,IF(INDEX(对接源_01水果!$L$4:$L$1203,$AE17)=0,"",INDEX(对接源_01水果!$L$4:$L$1203,$AE17)),IF(INDEX(对接源_02物料!$L$4:$L$1203,$AE17-1200)=0,"",INDEX(对接源_02物料!$L$4:$L$1203,$AE17-1200))))</f>
      </c>
      <c r="J17" s="122">
        <f>IF($AE17="","",IF($AE17&lt;=1200,IF(INDEX(对接源_01水果!$M$4:$M$1203,$AE17)=0,"",INDEX(对接源_01水果!$M$4:$M$1203,$AE17)),IF(INDEX(对接源_02物料!$M$4:$M$1203,$AE17-1200)=0,"",INDEX(对接源_02物料!$M$4:$M$1203,$AE17-1200))))</f>
      </c>
      <c r="AE17" s="128">
        <f>IFERROR(MATCH(12,_自动清单!$AS$4:$AS$2403,0),"")</f>
      </c>
    </row>
    <row r="18" ht="18" customHeight="1" s="127">
      <c r="A18" s="163">
        <f>IF($AE18="","",IF($AE18&lt;=1200,IF(INDEX(对接源_01水果!$B$4:$B$1203,$AE18)=0,"",INDEX(对接源_01水果!$B$4:$B$1203,$AE18)),IF(INDEX(对接源_02物料!$B$4:$B$1203,$AE18-1200)=0,"",INDEX(对接源_02物料!$B$4:$B$1203,$AE18-1200))))</f>
      </c>
      <c r="B18" s="61">
        <f>IF($AE18="","",IF($AE18&lt;=1200,IF(INDEX(对接源_01水果!$E$4:$E$1203,$AE18)=0,"",INDEX(对接源_01水果!$E$4:$E$1203,$AE18)),IF(INDEX(对接源_02物料!$E$4:$E$1203,$AE18-1200)=0,"",INDEX(对接源_02物料!$E$4:$E$1203,$AE18-1200))))</f>
      </c>
      <c r="C18" s="122">
        <f>IF($AE18="","",IF($AE18&lt;=1200,IF(INDEX(对接源_01水果!$F$4:$F$1203,$AE18)=0,"",INDEX(对接源_01水果!$F$4:$F$1203,$AE18)),IF(INDEX(对接源_02物料!$F$4:$F$1203,$AE18-1200)=0,"",INDEX(对接源_02物料!$F$4:$F$1203,$AE18-1200))))</f>
      </c>
      <c r="D18" s="61">
        <f>IF($AE18="","",IF(IF($AE18&lt;=1200,IF(INDEX(对接源_01水果!$G$4:$G$1203,$AE18)=0,"",INDEX(对接源_01水果!$G$4:$G$1203,$AE18)),IF(INDEX(对接源_02物料!$G$4:$G$1203,$AE18-1200)=0,"",INDEX(对接源_02物料!$G$4:$G$1203,$AE18-1200)))="",IF($AE18&lt;=1200,IF(INDEX(对接源_01水果!$D$4:$D$1203,$AE18)=0,"",INDEX(对接源_01水果!$D$4:$D$1203,$AE18)),IF(INDEX(对接源_02物料!$D$4:$D$1203,$AE18-1200)=0,"",INDEX(对接源_02物料!$D$4:$D$1203,$AE18-1200))),IF($AE18&lt;=1200,IF(INDEX(对接源_01水果!$G$4:$G$1203,$AE18)=0,"",INDEX(对接源_01水果!$G$4:$G$1203,$AE18)),IF(INDEX(对接源_02物料!$G$4:$G$1203,$AE18-1200)=0,"",INDEX(对接源_02物料!$G$4:$G$1203,$AE18-1200)))))</f>
      </c>
      <c r="E18" s="173">
        <f>IF($AE18="","",IF($AE18&lt;=1200,IF(INDEX(对接源_01水果!$H$4:$H$1203,$AE18)=0,"",INDEX(对接源_01水果!$H$4:$H$1203,$AE18)),IF(INDEX(对接源_02物料!$H$4:$H$1203,$AE18-1200)=0,"",INDEX(对接源_02物料!$H$4:$H$1203,$AE18-1200))))</f>
      </c>
      <c r="F18" s="61">
        <f>IF($AE18="","",IF($AE18&lt;=1200,IF(INDEX(对接源_01水果!$I$4:$I$1203,$AE18)=0,"",INDEX(对接源_01水果!$I$4:$I$1203,$AE18)),IF(INDEX(对接源_02物料!$I$4:$I$1203,$AE18-1200)=0,"",INDEX(对接源_02物料!$I$4:$I$1203,$AE18-1200))))</f>
      </c>
      <c r="G18" s="173">
        <f>IF($AE18="","",IF(IF($AE18&lt;=1200,N(INDEX(对接源_01水果!$H$4:$H$1203,$AE18)),N(INDEX(对接源_02物料!$H$4:$H$1203,$AE18-1200)))=0,"",ROUND(IF($AE18&lt;=1200,N(INDEX(对接源_01水果!$K$4:$K$1203,$AE18)),N(INDEX(对接源_02物料!$K$4:$K$1203,$AE18-1200)))/IF($AE18&lt;=1200,N(INDEX(对接源_01水果!$H$4:$H$1203,$AE18)),N(INDEX(对接源_02物料!$H$4:$H$1203,$AE18-1200))),2)))</f>
      </c>
      <c r="H18" s="173">
        <f>IF($AE18="","",IF($AE18&lt;=1200,IF(INDEX(对接源_01水果!$K$4:$K$1203,$AE18)=0,"",INDEX(对接源_01水果!$K$4:$K$1203,$AE18)),IF(INDEX(对接源_02物料!$K$4:$K$1203,$AE18-1200)=0,"",INDEX(对接源_02物料!$K$4:$K$1203,$AE18-1200))))</f>
      </c>
      <c r="I18" s="61">
        <f>IF($AE18="","",IF($AE18&lt;=1200,IF(INDEX(对接源_01水果!$L$4:$L$1203,$AE18)=0,"",INDEX(对接源_01水果!$L$4:$L$1203,$AE18)),IF(INDEX(对接源_02物料!$L$4:$L$1203,$AE18-1200)=0,"",INDEX(对接源_02物料!$L$4:$L$1203,$AE18-1200))))</f>
      </c>
      <c r="J18" s="122">
        <f>IF($AE18="","",IF($AE18&lt;=1200,IF(INDEX(对接源_01水果!$M$4:$M$1203,$AE18)=0,"",INDEX(对接源_01水果!$M$4:$M$1203,$AE18)),IF(INDEX(对接源_02物料!$M$4:$M$1203,$AE18-1200)=0,"",INDEX(对接源_02物料!$M$4:$M$1203,$AE18-1200))))</f>
      </c>
      <c r="AE18" s="128">
        <f>IFERROR(MATCH(13,_自动清单!$AS$4:$AS$2403,0),"")</f>
      </c>
    </row>
    <row r="19" ht="18" customHeight="1" s="127">
      <c r="A19" s="163">
        <f>IF($AE19="","",IF($AE19&lt;=1200,IF(INDEX(对接源_01水果!$B$4:$B$1203,$AE19)=0,"",INDEX(对接源_01水果!$B$4:$B$1203,$AE19)),IF(INDEX(对接源_02物料!$B$4:$B$1203,$AE19-1200)=0,"",INDEX(对接源_02物料!$B$4:$B$1203,$AE19-1200))))</f>
      </c>
      <c r="B19" s="61">
        <f>IF($AE19="","",IF($AE19&lt;=1200,IF(INDEX(对接源_01水果!$E$4:$E$1203,$AE19)=0,"",INDEX(对接源_01水果!$E$4:$E$1203,$AE19)),IF(INDEX(对接源_02物料!$E$4:$E$1203,$AE19-1200)=0,"",INDEX(对接源_02物料!$E$4:$E$1203,$AE19-1200))))</f>
      </c>
      <c r="C19" s="122">
        <f>IF($AE19="","",IF($AE19&lt;=1200,IF(INDEX(对接源_01水果!$F$4:$F$1203,$AE19)=0,"",INDEX(对接源_01水果!$F$4:$F$1203,$AE19)),IF(INDEX(对接源_02物料!$F$4:$F$1203,$AE19-1200)=0,"",INDEX(对接源_02物料!$F$4:$F$1203,$AE19-1200))))</f>
      </c>
      <c r="D19" s="61">
        <f>IF($AE19="","",IF(IF($AE19&lt;=1200,IF(INDEX(对接源_01水果!$G$4:$G$1203,$AE19)=0,"",INDEX(对接源_01水果!$G$4:$G$1203,$AE19)),IF(INDEX(对接源_02物料!$G$4:$G$1203,$AE19-1200)=0,"",INDEX(对接源_02物料!$G$4:$G$1203,$AE19-1200)))="",IF($AE19&lt;=1200,IF(INDEX(对接源_01水果!$D$4:$D$1203,$AE19)=0,"",INDEX(对接源_01水果!$D$4:$D$1203,$AE19)),IF(INDEX(对接源_02物料!$D$4:$D$1203,$AE19-1200)=0,"",INDEX(对接源_02物料!$D$4:$D$1203,$AE19-1200))),IF($AE19&lt;=1200,IF(INDEX(对接源_01水果!$G$4:$G$1203,$AE19)=0,"",INDEX(对接源_01水果!$G$4:$G$1203,$AE19)),IF(INDEX(对接源_02物料!$G$4:$G$1203,$AE19-1200)=0,"",INDEX(对接源_02物料!$G$4:$G$1203,$AE19-1200)))))</f>
      </c>
      <c r="E19" s="173">
        <f>IF($AE19="","",IF($AE19&lt;=1200,IF(INDEX(对接源_01水果!$H$4:$H$1203,$AE19)=0,"",INDEX(对接源_01水果!$H$4:$H$1203,$AE19)),IF(INDEX(对接源_02物料!$H$4:$H$1203,$AE19-1200)=0,"",INDEX(对接源_02物料!$H$4:$H$1203,$AE19-1200))))</f>
      </c>
      <c r="F19" s="61">
        <f>IF($AE19="","",IF($AE19&lt;=1200,IF(INDEX(对接源_01水果!$I$4:$I$1203,$AE19)=0,"",INDEX(对接源_01水果!$I$4:$I$1203,$AE19)),IF(INDEX(对接源_02物料!$I$4:$I$1203,$AE19-1200)=0,"",INDEX(对接源_02物料!$I$4:$I$1203,$AE19-1200))))</f>
      </c>
      <c r="G19" s="173">
        <f>IF($AE19="","",IF(IF($AE19&lt;=1200,N(INDEX(对接源_01水果!$H$4:$H$1203,$AE19)),N(INDEX(对接源_02物料!$H$4:$H$1203,$AE19-1200)))=0,"",ROUND(IF($AE19&lt;=1200,N(INDEX(对接源_01水果!$K$4:$K$1203,$AE19)),N(INDEX(对接源_02物料!$K$4:$K$1203,$AE19-1200)))/IF($AE19&lt;=1200,N(INDEX(对接源_01水果!$H$4:$H$1203,$AE19)),N(INDEX(对接源_02物料!$H$4:$H$1203,$AE19-1200))),2)))</f>
      </c>
      <c r="H19" s="173">
        <f>IF($AE19="","",IF($AE19&lt;=1200,IF(INDEX(对接源_01水果!$K$4:$K$1203,$AE19)=0,"",INDEX(对接源_01水果!$K$4:$K$1203,$AE19)),IF(INDEX(对接源_02物料!$K$4:$K$1203,$AE19-1200)=0,"",INDEX(对接源_02物料!$K$4:$K$1203,$AE19-1200))))</f>
      </c>
      <c r="I19" s="61">
        <f>IF($AE19="","",IF($AE19&lt;=1200,IF(INDEX(对接源_01水果!$L$4:$L$1203,$AE19)=0,"",INDEX(对接源_01水果!$L$4:$L$1203,$AE19)),IF(INDEX(对接源_02物料!$L$4:$L$1203,$AE19-1200)=0,"",INDEX(对接源_02物料!$L$4:$L$1203,$AE19-1200))))</f>
      </c>
      <c r="J19" s="122">
        <f>IF($AE19="","",IF($AE19&lt;=1200,IF(INDEX(对接源_01水果!$M$4:$M$1203,$AE19)=0,"",INDEX(对接源_01水果!$M$4:$M$1203,$AE19)),IF(INDEX(对接源_02物料!$M$4:$M$1203,$AE19-1200)=0,"",INDEX(对接源_02物料!$M$4:$M$1203,$AE19-1200))))</f>
      </c>
      <c r="AE19" s="128">
        <f>IFERROR(MATCH(14,_自动清单!$AS$4:$AS$2403,0),"")</f>
      </c>
    </row>
    <row r="20" ht="18" customHeight="1" s="127">
      <c r="A20" s="163">
        <f>IF($AE20="","",IF($AE20&lt;=1200,IF(INDEX(对接源_01水果!$B$4:$B$1203,$AE20)=0,"",INDEX(对接源_01水果!$B$4:$B$1203,$AE20)),IF(INDEX(对接源_02物料!$B$4:$B$1203,$AE20-1200)=0,"",INDEX(对接源_02物料!$B$4:$B$1203,$AE20-1200))))</f>
      </c>
      <c r="B20" s="61">
        <f>IF($AE20="","",IF($AE20&lt;=1200,IF(INDEX(对接源_01水果!$E$4:$E$1203,$AE20)=0,"",INDEX(对接源_01水果!$E$4:$E$1203,$AE20)),IF(INDEX(对接源_02物料!$E$4:$E$1203,$AE20-1200)=0,"",INDEX(对接源_02物料!$E$4:$E$1203,$AE20-1200))))</f>
      </c>
      <c r="C20" s="122">
        <f>IF($AE20="","",IF($AE20&lt;=1200,IF(INDEX(对接源_01水果!$F$4:$F$1203,$AE20)=0,"",INDEX(对接源_01水果!$F$4:$F$1203,$AE20)),IF(INDEX(对接源_02物料!$F$4:$F$1203,$AE20-1200)=0,"",INDEX(对接源_02物料!$F$4:$F$1203,$AE20-1200))))</f>
      </c>
      <c r="D20" s="61">
        <f>IF($AE20="","",IF(IF($AE20&lt;=1200,IF(INDEX(对接源_01水果!$G$4:$G$1203,$AE20)=0,"",INDEX(对接源_01水果!$G$4:$G$1203,$AE20)),IF(INDEX(对接源_02物料!$G$4:$G$1203,$AE20-1200)=0,"",INDEX(对接源_02物料!$G$4:$G$1203,$AE20-1200)))="",IF($AE20&lt;=1200,IF(INDEX(对接源_01水果!$D$4:$D$1203,$AE20)=0,"",INDEX(对接源_01水果!$D$4:$D$1203,$AE20)),IF(INDEX(对接源_02物料!$D$4:$D$1203,$AE20-1200)=0,"",INDEX(对接源_02物料!$D$4:$D$1203,$AE20-1200))),IF($AE20&lt;=1200,IF(INDEX(对接源_01水果!$G$4:$G$1203,$AE20)=0,"",INDEX(对接源_01水果!$G$4:$G$1203,$AE20)),IF(INDEX(对接源_02物料!$G$4:$G$1203,$AE20-1200)=0,"",INDEX(对接源_02物料!$G$4:$G$1203,$AE20-1200)))))</f>
      </c>
      <c r="E20" s="173">
        <f>IF($AE20="","",IF($AE20&lt;=1200,IF(INDEX(对接源_01水果!$H$4:$H$1203,$AE20)=0,"",INDEX(对接源_01水果!$H$4:$H$1203,$AE20)),IF(INDEX(对接源_02物料!$H$4:$H$1203,$AE20-1200)=0,"",INDEX(对接源_02物料!$H$4:$H$1203,$AE20-1200))))</f>
      </c>
      <c r="F20" s="61">
        <f>IF($AE20="","",IF($AE20&lt;=1200,IF(INDEX(对接源_01水果!$I$4:$I$1203,$AE20)=0,"",INDEX(对接源_01水果!$I$4:$I$1203,$AE20)),IF(INDEX(对接源_02物料!$I$4:$I$1203,$AE20-1200)=0,"",INDEX(对接源_02物料!$I$4:$I$1203,$AE20-1200))))</f>
      </c>
      <c r="G20" s="173">
        <f>IF($AE20="","",IF(IF($AE20&lt;=1200,N(INDEX(对接源_01水果!$H$4:$H$1203,$AE20)),N(INDEX(对接源_02物料!$H$4:$H$1203,$AE20-1200)))=0,"",ROUND(IF($AE20&lt;=1200,N(INDEX(对接源_01水果!$K$4:$K$1203,$AE20)),N(INDEX(对接源_02物料!$K$4:$K$1203,$AE20-1200)))/IF($AE20&lt;=1200,N(INDEX(对接源_01水果!$H$4:$H$1203,$AE20)),N(INDEX(对接源_02物料!$H$4:$H$1203,$AE20-1200))),2)))</f>
      </c>
      <c r="H20" s="173">
        <f>IF($AE20="","",IF($AE20&lt;=1200,IF(INDEX(对接源_01水果!$K$4:$K$1203,$AE20)=0,"",INDEX(对接源_01水果!$K$4:$K$1203,$AE20)),IF(INDEX(对接源_02物料!$K$4:$K$1203,$AE20-1200)=0,"",INDEX(对接源_02物料!$K$4:$K$1203,$AE20-1200))))</f>
      </c>
      <c r="I20" s="61">
        <f>IF($AE20="","",IF($AE20&lt;=1200,IF(INDEX(对接源_01水果!$L$4:$L$1203,$AE20)=0,"",INDEX(对接源_01水果!$L$4:$L$1203,$AE20)),IF(INDEX(对接源_02物料!$L$4:$L$1203,$AE20-1200)=0,"",INDEX(对接源_02物料!$L$4:$L$1203,$AE20-1200))))</f>
      </c>
      <c r="J20" s="122">
        <f>IF($AE20="","",IF($AE20&lt;=1200,IF(INDEX(对接源_01水果!$M$4:$M$1203,$AE20)=0,"",INDEX(对接源_01水果!$M$4:$M$1203,$AE20)),IF(INDEX(对接源_02物料!$M$4:$M$1203,$AE20-1200)=0,"",INDEX(对接源_02物料!$M$4:$M$1203,$AE20-1200))))</f>
      </c>
      <c r="AE20" s="128">
        <f>IFERROR(MATCH(15,_自动清单!$AS$4:$AS$2403,0),"")</f>
      </c>
    </row>
    <row r="21" ht="18" customHeight="1" s="127">
      <c r="A21" s="163">
        <f>IF($AE21="","",IF($AE21&lt;=1200,IF(INDEX(对接源_01水果!$B$4:$B$1203,$AE21)=0,"",INDEX(对接源_01水果!$B$4:$B$1203,$AE21)),IF(INDEX(对接源_02物料!$B$4:$B$1203,$AE21-1200)=0,"",INDEX(对接源_02物料!$B$4:$B$1203,$AE21-1200))))</f>
      </c>
      <c r="B21" s="61">
        <f>IF($AE21="","",IF($AE21&lt;=1200,IF(INDEX(对接源_01水果!$E$4:$E$1203,$AE21)=0,"",INDEX(对接源_01水果!$E$4:$E$1203,$AE21)),IF(INDEX(对接源_02物料!$E$4:$E$1203,$AE21-1200)=0,"",INDEX(对接源_02物料!$E$4:$E$1203,$AE21-1200))))</f>
      </c>
      <c r="C21" s="122">
        <f>IF($AE21="","",IF($AE21&lt;=1200,IF(INDEX(对接源_01水果!$F$4:$F$1203,$AE21)=0,"",INDEX(对接源_01水果!$F$4:$F$1203,$AE21)),IF(INDEX(对接源_02物料!$F$4:$F$1203,$AE21-1200)=0,"",INDEX(对接源_02物料!$F$4:$F$1203,$AE21-1200))))</f>
      </c>
      <c r="D21" s="61">
        <f>IF($AE21="","",IF(IF($AE21&lt;=1200,IF(INDEX(对接源_01水果!$G$4:$G$1203,$AE21)=0,"",INDEX(对接源_01水果!$G$4:$G$1203,$AE21)),IF(INDEX(对接源_02物料!$G$4:$G$1203,$AE21-1200)=0,"",INDEX(对接源_02物料!$G$4:$G$1203,$AE21-1200)))="",IF($AE21&lt;=1200,IF(INDEX(对接源_01水果!$D$4:$D$1203,$AE21)=0,"",INDEX(对接源_01水果!$D$4:$D$1203,$AE21)),IF(INDEX(对接源_02物料!$D$4:$D$1203,$AE21-1200)=0,"",INDEX(对接源_02物料!$D$4:$D$1203,$AE21-1200))),IF($AE21&lt;=1200,IF(INDEX(对接源_01水果!$G$4:$G$1203,$AE21)=0,"",INDEX(对接源_01水果!$G$4:$G$1203,$AE21)),IF(INDEX(对接源_02物料!$G$4:$G$1203,$AE21-1200)=0,"",INDEX(对接源_02物料!$G$4:$G$1203,$AE21-1200)))))</f>
      </c>
      <c r="E21" s="173">
        <f>IF($AE21="","",IF($AE21&lt;=1200,IF(INDEX(对接源_01水果!$H$4:$H$1203,$AE21)=0,"",INDEX(对接源_01水果!$H$4:$H$1203,$AE21)),IF(INDEX(对接源_02物料!$H$4:$H$1203,$AE21-1200)=0,"",INDEX(对接源_02物料!$H$4:$H$1203,$AE21-1200))))</f>
      </c>
      <c r="F21" s="61">
        <f>IF($AE21="","",IF($AE21&lt;=1200,IF(INDEX(对接源_01水果!$I$4:$I$1203,$AE21)=0,"",INDEX(对接源_01水果!$I$4:$I$1203,$AE21)),IF(INDEX(对接源_02物料!$I$4:$I$1203,$AE21-1200)=0,"",INDEX(对接源_02物料!$I$4:$I$1203,$AE21-1200))))</f>
      </c>
      <c r="G21" s="173">
        <f>IF($AE21="","",IF(IF($AE21&lt;=1200,N(INDEX(对接源_01水果!$H$4:$H$1203,$AE21)),N(INDEX(对接源_02物料!$H$4:$H$1203,$AE21-1200)))=0,"",ROUND(IF($AE21&lt;=1200,N(INDEX(对接源_01水果!$K$4:$K$1203,$AE21)),N(INDEX(对接源_02物料!$K$4:$K$1203,$AE21-1200)))/IF($AE21&lt;=1200,N(INDEX(对接源_01水果!$H$4:$H$1203,$AE21)),N(INDEX(对接源_02物料!$H$4:$H$1203,$AE21-1200))),2)))</f>
      </c>
      <c r="H21" s="173">
        <f>IF($AE21="","",IF($AE21&lt;=1200,IF(INDEX(对接源_01水果!$K$4:$K$1203,$AE21)=0,"",INDEX(对接源_01水果!$K$4:$K$1203,$AE21)),IF(INDEX(对接源_02物料!$K$4:$K$1203,$AE21-1200)=0,"",INDEX(对接源_02物料!$K$4:$K$1203,$AE21-1200))))</f>
      </c>
      <c r="I21" s="61">
        <f>IF($AE21="","",IF($AE21&lt;=1200,IF(INDEX(对接源_01水果!$L$4:$L$1203,$AE21)=0,"",INDEX(对接源_01水果!$L$4:$L$1203,$AE21)),IF(INDEX(对接源_02物料!$L$4:$L$1203,$AE21-1200)=0,"",INDEX(对接源_02物料!$L$4:$L$1203,$AE21-1200))))</f>
      </c>
      <c r="J21" s="122">
        <f>IF($AE21="","",IF($AE21&lt;=1200,IF(INDEX(对接源_01水果!$M$4:$M$1203,$AE21)=0,"",INDEX(对接源_01水果!$M$4:$M$1203,$AE21)),IF(INDEX(对接源_02物料!$M$4:$M$1203,$AE21-1200)=0,"",INDEX(对接源_02物料!$M$4:$M$1203,$AE21-1200))))</f>
      </c>
      <c r="AE21" s="128">
        <f>IFERROR(MATCH(16,_自动清单!$AS$4:$AS$2403,0),"")</f>
      </c>
    </row>
    <row r="22" ht="18" customHeight="1" s="127">
      <c r="A22" s="163">
        <f>IF($AE22="","",IF($AE22&lt;=1200,IF(INDEX(对接源_01水果!$B$4:$B$1203,$AE22)=0,"",INDEX(对接源_01水果!$B$4:$B$1203,$AE22)),IF(INDEX(对接源_02物料!$B$4:$B$1203,$AE22-1200)=0,"",INDEX(对接源_02物料!$B$4:$B$1203,$AE22-1200))))</f>
      </c>
      <c r="B22" s="61">
        <f>IF($AE22="","",IF($AE22&lt;=1200,IF(INDEX(对接源_01水果!$E$4:$E$1203,$AE22)=0,"",INDEX(对接源_01水果!$E$4:$E$1203,$AE22)),IF(INDEX(对接源_02物料!$E$4:$E$1203,$AE22-1200)=0,"",INDEX(对接源_02物料!$E$4:$E$1203,$AE22-1200))))</f>
      </c>
      <c r="C22" s="122">
        <f>IF($AE22="","",IF($AE22&lt;=1200,IF(INDEX(对接源_01水果!$F$4:$F$1203,$AE22)=0,"",INDEX(对接源_01水果!$F$4:$F$1203,$AE22)),IF(INDEX(对接源_02物料!$F$4:$F$1203,$AE22-1200)=0,"",INDEX(对接源_02物料!$F$4:$F$1203,$AE22-1200))))</f>
      </c>
      <c r="D22" s="61">
        <f>IF($AE22="","",IF(IF($AE22&lt;=1200,IF(INDEX(对接源_01水果!$G$4:$G$1203,$AE22)=0,"",INDEX(对接源_01水果!$G$4:$G$1203,$AE22)),IF(INDEX(对接源_02物料!$G$4:$G$1203,$AE22-1200)=0,"",INDEX(对接源_02物料!$G$4:$G$1203,$AE22-1200)))="",IF($AE22&lt;=1200,IF(INDEX(对接源_01水果!$D$4:$D$1203,$AE22)=0,"",INDEX(对接源_01水果!$D$4:$D$1203,$AE22)),IF(INDEX(对接源_02物料!$D$4:$D$1203,$AE22-1200)=0,"",INDEX(对接源_02物料!$D$4:$D$1203,$AE22-1200))),IF($AE22&lt;=1200,IF(INDEX(对接源_01水果!$G$4:$G$1203,$AE22)=0,"",INDEX(对接源_01水果!$G$4:$G$1203,$AE22)),IF(INDEX(对接源_02物料!$G$4:$G$1203,$AE22-1200)=0,"",INDEX(对接源_02物料!$G$4:$G$1203,$AE22-1200)))))</f>
      </c>
      <c r="E22" s="173">
        <f>IF($AE22="","",IF($AE22&lt;=1200,IF(INDEX(对接源_01水果!$H$4:$H$1203,$AE22)=0,"",INDEX(对接源_01水果!$H$4:$H$1203,$AE22)),IF(INDEX(对接源_02物料!$H$4:$H$1203,$AE22-1200)=0,"",INDEX(对接源_02物料!$H$4:$H$1203,$AE22-1200))))</f>
      </c>
      <c r="F22" s="61">
        <f>IF($AE22="","",IF($AE22&lt;=1200,IF(INDEX(对接源_01水果!$I$4:$I$1203,$AE22)=0,"",INDEX(对接源_01水果!$I$4:$I$1203,$AE22)),IF(INDEX(对接源_02物料!$I$4:$I$1203,$AE22-1200)=0,"",INDEX(对接源_02物料!$I$4:$I$1203,$AE22-1200))))</f>
      </c>
      <c r="G22" s="173">
        <f>IF($AE22="","",IF(IF($AE22&lt;=1200,N(INDEX(对接源_01水果!$H$4:$H$1203,$AE22)),N(INDEX(对接源_02物料!$H$4:$H$1203,$AE22-1200)))=0,"",ROUND(IF($AE22&lt;=1200,N(INDEX(对接源_01水果!$K$4:$K$1203,$AE22)),N(INDEX(对接源_02物料!$K$4:$K$1203,$AE22-1200)))/IF($AE22&lt;=1200,N(INDEX(对接源_01水果!$H$4:$H$1203,$AE22)),N(INDEX(对接源_02物料!$H$4:$H$1203,$AE22-1200))),2)))</f>
      </c>
      <c r="H22" s="173">
        <f>IF($AE22="","",IF($AE22&lt;=1200,IF(INDEX(对接源_01水果!$K$4:$K$1203,$AE22)=0,"",INDEX(对接源_01水果!$K$4:$K$1203,$AE22)),IF(INDEX(对接源_02物料!$K$4:$K$1203,$AE22-1200)=0,"",INDEX(对接源_02物料!$K$4:$K$1203,$AE22-1200))))</f>
      </c>
      <c r="I22" s="61">
        <f>IF($AE22="","",IF($AE22&lt;=1200,IF(INDEX(对接源_01水果!$L$4:$L$1203,$AE22)=0,"",INDEX(对接源_01水果!$L$4:$L$1203,$AE22)),IF(INDEX(对接源_02物料!$L$4:$L$1203,$AE22-1200)=0,"",INDEX(对接源_02物料!$L$4:$L$1203,$AE22-1200))))</f>
      </c>
      <c r="J22" s="122">
        <f>IF($AE22="","",IF($AE22&lt;=1200,IF(INDEX(对接源_01水果!$M$4:$M$1203,$AE22)=0,"",INDEX(对接源_01水果!$M$4:$M$1203,$AE22)),IF(INDEX(对接源_02物料!$M$4:$M$1203,$AE22-1200)=0,"",INDEX(对接源_02物料!$M$4:$M$1203,$AE22-1200))))</f>
      </c>
      <c r="AE22" s="128">
        <f>IFERROR(MATCH(17,_自动清单!$AS$4:$AS$2403,0),"")</f>
      </c>
    </row>
    <row r="23" ht="18" customHeight="1" s="127">
      <c r="A23" s="163">
        <f>IF($AE23="","",IF($AE23&lt;=1200,IF(INDEX(对接源_01水果!$B$4:$B$1203,$AE23)=0,"",INDEX(对接源_01水果!$B$4:$B$1203,$AE23)),IF(INDEX(对接源_02物料!$B$4:$B$1203,$AE23-1200)=0,"",INDEX(对接源_02物料!$B$4:$B$1203,$AE23-1200))))</f>
      </c>
      <c r="B23" s="61">
        <f>IF($AE23="","",IF($AE23&lt;=1200,IF(INDEX(对接源_01水果!$E$4:$E$1203,$AE23)=0,"",INDEX(对接源_01水果!$E$4:$E$1203,$AE23)),IF(INDEX(对接源_02物料!$E$4:$E$1203,$AE23-1200)=0,"",INDEX(对接源_02物料!$E$4:$E$1203,$AE23-1200))))</f>
      </c>
      <c r="C23" s="122">
        <f>IF($AE23="","",IF($AE23&lt;=1200,IF(INDEX(对接源_01水果!$F$4:$F$1203,$AE23)=0,"",INDEX(对接源_01水果!$F$4:$F$1203,$AE23)),IF(INDEX(对接源_02物料!$F$4:$F$1203,$AE23-1200)=0,"",INDEX(对接源_02物料!$F$4:$F$1203,$AE23-1200))))</f>
      </c>
      <c r="D23" s="61">
        <f>IF($AE23="","",IF(IF($AE23&lt;=1200,IF(INDEX(对接源_01水果!$G$4:$G$1203,$AE23)=0,"",INDEX(对接源_01水果!$G$4:$G$1203,$AE23)),IF(INDEX(对接源_02物料!$G$4:$G$1203,$AE23-1200)=0,"",INDEX(对接源_02物料!$G$4:$G$1203,$AE23-1200)))="",IF($AE23&lt;=1200,IF(INDEX(对接源_01水果!$D$4:$D$1203,$AE23)=0,"",INDEX(对接源_01水果!$D$4:$D$1203,$AE23)),IF(INDEX(对接源_02物料!$D$4:$D$1203,$AE23-1200)=0,"",INDEX(对接源_02物料!$D$4:$D$1203,$AE23-1200))),IF($AE23&lt;=1200,IF(INDEX(对接源_01水果!$G$4:$G$1203,$AE23)=0,"",INDEX(对接源_01水果!$G$4:$G$1203,$AE23)),IF(INDEX(对接源_02物料!$G$4:$G$1203,$AE23-1200)=0,"",INDEX(对接源_02物料!$G$4:$G$1203,$AE23-1200)))))</f>
      </c>
      <c r="E23" s="173">
        <f>IF($AE23="","",IF($AE23&lt;=1200,IF(INDEX(对接源_01水果!$H$4:$H$1203,$AE23)=0,"",INDEX(对接源_01水果!$H$4:$H$1203,$AE23)),IF(INDEX(对接源_02物料!$H$4:$H$1203,$AE23-1200)=0,"",INDEX(对接源_02物料!$H$4:$H$1203,$AE23-1200))))</f>
      </c>
      <c r="F23" s="61">
        <f>IF($AE23="","",IF($AE23&lt;=1200,IF(INDEX(对接源_01水果!$I$4:$I$1203,$AE23)=0,"",INDEX(对接源_01水果!$I$4:$I$1203,$AE23)),IF(INDEX(对接源_02物料!$I$4:$I$1203,$AE23-1200)=0,"",INDEX(对接源_02物料!$I$4:$I$1203,$AE23-1200))))</f>
      </c>
      <c r="G23" s="173">
        <f>IF($AE23="","",IF(IF($AE23&lt;=1200,N(INDEX(对接源_01水果!$H$4:$H$1203,$AE23)),N(INDEX(对接源_02物料!$H$4:$H$1203,$AE23-1200)))=0,"",ROUND(IF($AE23&lt;=1200,N(INDEX(对接源_01水果!$K$4:$K$1203,$AE23)),N(INDEX(对接源_02物料!$K$4:$K$1203,$AE23-1200)))/IF($AE23&lt;=1200,N(INDEX(对接源_01水果!$H$4:$H$1203,$AE23)),N(INDEX(对接源_02物料!$H$4:$H$1203,$AE23-1200))),2)))</f>
      </c>
      <c r="H23" s="173">
        <f>IF($AE23="","",IF($AE23&lt;=1200,IF(INDEX(对接源_01水果!$K$4:$K$1203,$AE23)=0,"",INDEX(对接源_01水果!$K$4:$K$1203,$AE23)),IF(INDEX(对接源_02物料!$K$4:$K$1203,$AE23-1200)=0,"",INDEX(对接源_02物料!$K$4:$K$1203,$AE23-1200))))</f>
      </c>
      <c r="I23" s="61">
        <f>IF($AE23="","",IF($AE23&lt;=1200,IF(INDEX(对接源_01水果!$L$4:$L$1203,$AE23)=0,"",INDEX(对接源_01水果!$L$4:$L$1203,$AE23)),IF(INDEX(对接源_02物料!$L$4:$L$1203,$AE23-1200)=0,"",INDEX(对接源_02物料!$L$4:$L$1203,$AE23-1200))))</f>
      </c>
      <c r="J23" s="122">
        <f>IF($AE23="","",IF($AE23&lt;=1200,IF(INDEX(对接源_01水果!$M$4:$M$1203,$AE23)=0,"",INDEX(对接源_01水果!$M$4:$M$1203,$AE23)),IF(INDEX(对接源_02物料!$M$4:$M$1203,$AE23-1200)=0,"",INDEX(对接源_02物料!$M$4:$M$1203,$AE23-1200))))</f>
      </c>
      <c r="AE23" s="128">
        <f>IFERROR(MATCH(18,_自动清单!$AS$4:$AS$2403,0),"")</f>
      </c>
    </row>
    <row r="24" ht="18" customHeight="1" s="127">
      <c r="A24" s="163">
        <f>IF($AE24="","",IF($AE24&lt;=1200,IF(INDEX(对接源_01水果!$B$4:$B$1203,$AE24)=0,"",INDEX(对接源_01水果!$B$4:$B$1203,$AE24)),IF(INDEX(对接源_02物料!$B$4:$B$1203,$AE24-1200)=0,"",INDEX(对接源_02物料!$B$4:$B$1203,$AE24-1200))))</f>
      </c>
      <c r="B24" s="61">
        <f>IF($AE24="","",IF($AE24&lt;=1200,IF(INDEX(对接源_01水果!$E$4:$E$1203,$AE24)=0,"",INDEX(对接源_01水果!$E$4:$E$1203,$AE24)),IF(INDEX(对接源_02物料!$E$4:$E$1203,$AE24-1200)=0,"",INDEX(对接源_02物料!$E$4:$E$1203,$AE24-1200))))</f>
      </c>
      <c r="C24" s="122">
        <f>IF($AE24="","",IF($AE24&lt;=1200,IF(INDEX(对接源_01水果!$F$4:$F$1203,$AE24)=0,"",INDEX(对接源_01水果!$F$4:$F$1203,$AE24)),IF(INDEX(对接源_02物料!$F$4:$F$1203,$AE24-1200)=0,"",INDEX(对接源_02物料!$F$4:$F$1203,$AE24-1200))))</f>
      </c>
      <c r="D24" s="61">
        <f>IF($AE24="","",IF(IF($AE24&lt;=1200,IF(INDEX(对接源_01水果!$G$4:$G$1203,$AE24)=0,"",INDEX(对接源_01水果!$G$4:$G$1203,$AE24)),IF(INDEX(对接源_02物料!$G$4:$G$1203,$AE24-1200)=0,"",INDEX(对接源_02物料!$G$4:$G$1203,$AE24-1200)))="",IF($AE24&lt;=1200,IF(INDEX(对接源_01水果!$D$4:$D$1203,$AE24)=0,"",INDEX(对接源_01水果!$D$4:$D$1203,$AE24)),IF(INDEX(对接源_02物料!$D$4:$D$1203,$AE24-1200)=0,"",INDEX(对接源_02物料!$D$4:$D$1203,$AE24-1200))),IF($AE24&lt;=1200,IF(INDEX(对接源_01水果!$G$4:$G$1203,$AE24)=0,"",INDEX(对接源_01水果!$G$4:$G$1203,$AE24)),IF(INDEX(对接源_02物料!$G$4:$G$1203,$AE24-1200)=0,"",INDEX(对接源_02物料!$G$4:$G$1203,$AE24-1200)))))</f>
      </c>
      <c r="E24" s="173">
        <f>IF($AE24="","",IF($AE24&lt;=1200,IF(INDEX(对接源_01水果!$H$4:$H$1203,$AE24)=0,"",INDEX(对接源_01水果!$H$4:$H$1203,$AE24)),IF(INDEX(对接源_02物料!$H$4:$H$1203,$AE24-1200)=0,"",INDEX(对接源_02物料!$H$4:$H$1203,$AE24-1200))))</f>
      </c>
      <c r="F24" s="61">
        <f>IF($AE24="","",IF($AE24&lt;=1200,IF(INDEX(对接源_01水果!$I$4:$I$1203,$AE24)=0,"",INDEX(对接源_01水果!$I$4:$I$1203,$AE24)),IF(INDEX(对接源_02物料!$I$4:$I$1203,$AE24-1200)=0,"",INDEX(对接源_02物料!$I$4:$I$1203,$AE24-1200))))</f>
      </c>
      <c r="G24" s="173">
        <f>IF($AE24="","",IF(IF($AE24&lt;=1200,N(INDEX(对接源_01水果!$H$4:$H$1203,$AE24)),N(INDEX(对接源_02物料!$H$4:$H$1203,$AE24-1200)))=0,"",ROUND(IF($AE24&lt;=1200,N(INDEX(对接源_01水果!$K$4:$K$1203,$AE24)),N(INDEX(对接源_02物料!$K$4:$K$1203,$AE24-1200)))/IF($AE24&lt;=1200,N(INDEX(对接源_01水果!$H$4:$H$1203,$AE24)),N(INDEX(对接源_02物料!$H$4:$H$1203,$AE24-1200))),2)))</f>
      </c>
      <c r="H24" s="173">
        <f>IF($AE24="","",IF($AE24&lt;=1200,IF(INDEX(对接源_01水果!$K$4:$K$1203,$AE24)=0,"",INDEX(对接源_01水果!$K$4:$K$1203,$AE24)),IF(INDEX(对接源_02物料!$K$4:$K$1203,$AE24-1200)=0,"",INDEX(对接源_02物料!$K$4:$K$1203,$AE24-1200))))</f>
      </c>
      <c r="I24" s="61">
        <f>IF($AE24="","",IF($AE24&lt;=1200,IF(INDEX(对接源_01水果!$L$4:$L$1203,$AE24)=0,"",INDEX(对接源_01水果!$L$4:$L$1203,$AE24)),IF(INDEX(对接源_02物料!$L$4:$L$1203,$AE24-1200)=0,"",INDEX(对接源_02物料!$L$4:$L$1203,$AE24-1200))))</f>
      </c>
      <c r="J24" s="122">
        <f>IF($AE24="","",IF($AE24&lt;=1200,IF(INDEX(对接源_01水果!$M$4:$M$1203,$AE24)=0,"",INDEX(对接源_01水果!$M$4:$M$1203,$AE24)),IF(INDEX(对接源_02物料!$M$4:$M$1203,$AE24-1200)=0,"",INDEX(对接源_02物料!$M$4:$M$1203,$AE24-1200))))</f>
      </c>
      <c r="AE24" s="128">
        <f>IFERROR(MATCH(19,_自动清单!$AS$4:$AS$2403,0),"")</f>
      </c>
    </row>
    <row r="25" ht="18" customHeight="1" s="127">
      <c r="A25" s="163">
        <f>IF($AE25="","",IF($AE25&lt;=1200,IF(INDEX(对接源_01水果!$B$4:$B$1203,$AE25)=0,"",INDEX(对接源_01水果!$B$4:$B$1203,$AE25)),IF(INDEX(对接源_02物料!$B$4:$B$1203,$AE25-1200)=0,"",INDEX(对接源_02物料!$B$4:$B$1203,$AE25-1200))))</f>
      </c>
      <c r="B25" s="61">
        <f>IF($AE25="","",IF($AE25&lt;=1200,IF(INDEX(对接源_01水果!$E$4:$E$1203,$AE25)=0,"",INDEX(对接源_01水果!$E$4:$E$1203,$AE25)),IF(INDEX(对接源_02物料!$E$4:$E$1203,$AE25-1200)=0,"",INDEX(对接源_02物料!$E$4:$E$1203,$AE25-1200))))</f>
      </c>
      <c r="C25" s="122">
        <f>IF($AE25="","",IF($AE25&lt;=1200,IF(INDEX(对接源_01水果!$F$4:$F$1203,$AE25)=0,"",INDEX(对接源_01水果!$F$4:$F$1203,$AE25)),IF(INDEX(对接源_02物料!$F$4:$F$1203,$AE25-1200)=0,"",INDEX(对接源_02物料!$F$4:$F$1203,$AE25-1200))))</f>
      </c>
      <c r="D25" s="61">
        <f>IF($AE25="","",IF(IF($AE25&lt;=1200,IF(INDEX(对接源_01水果!$G$4:$G$1203,$AE25)=0,"",INDEX(对接源_01水果!$G$4:$G$1203,$AE25)),IF(INDEX(对接源_02物料!$G$4:$G$1203,$AE25-1200)=0,"",INDEX(对接源_02物料!$G$4:$G$1203,$AE25-1200)))="",IF($AE25&lt;=1200,IF(INDEX(对接源_01水果!$D$4:$D$1203,$AE25)=0,"",INDEX(对接源_01水果!$D$4:$D$1203,$AE25)),IF(INDEX(对接源_02物料!$D$4:$D$1203,$AE25-1200)=0,"",INDEX(对接源_02物料!$D$4:$D$1203,$AE25-1200))),IF($AE25&lt;=1200,IF(INDEX(对接源_01水果!$G$4:$G$1203,$AE25)=0,"",INDEX(对接源_01水果!$G$4:$G$1203,$AE25)),IF(INDEX(对接源_02物料!$G$4:$G$1203,$AE25-1200)=0,"",INDEX(对接源_02物料!$G$4:$G$1203,$AE25-1200)))))</f>
      </c>
      <c r="E25" s="173">
        <f>IF($AE25="","",IF($AE25&lt;=1200,IF(INDEX(对接源_01水果!$H$4:$H$1203,$AE25)=0,"",INDEX(对接源_01水果!$H$4:$H$1203,$AE25)),IF(INDEX(对接源_02物料!$H$4:$H$1203,$AE25-1200)=0,"",INDEX(对接源_02物料!$H$4:$H$1203,$AE25-1200))))</f>
      </c>
      <c r="F25" s="61">
        <f>IF($AE25="","",IF($AE25&lt;=1200,IF(INDEX(对接源_01水果!$I$4:$I$1203,$AE25)=0,"",INDEX(对接源_01水果!$I$4:$I$1203,$AE25)),IF(INDEX(对接源_02物料!$I$4:$I$1203,$AE25-1200)=0,"",INDEX(对接源_02物料!$I$4:$I$1203,$AE25-1200))))</f>
      </c>
      <c r="G25" s="173">
        <f>IF($AE25="","",IF(IF($AE25&lt;=1200,N(INDEX(对接源_01水果!$H$4:$H$1203,$AE25)),N(INDEX(对接源_02物料!$H$4:$H$1203,$AE25-1200)))=0,"",ROUND(IF($AE25&lt;=1200,N(INDEX(对接源_01水果!$K$4:$K$1203,$AE25)),N(INDEX(对接源_02物料!$K$4:$K$1203,$AE25-1200)))/IF($AE25&lt;=1200,N(INDEX(对接源_01水果!$H$4:$H$1203,$AE25)),N(INDEX(对接源_02物料!$H$4:$H$1203,$AE25-1200))),2)))</f>
      </c>
      <c r="H25" s="173">
        <f>IF($AE25="","",IF($AE25&lt;=1200,IF(INDEX(对接源_01水果!$K$4:$K$1203,$AE25)=0,"",INDEX(对接源_01水果!$K$4:$K$1203,$AE25)),IF(INDEX(对接源_02物料!$K$4:$K$1203,$AE25-1200)=0,"",INDEX(对接源_02物料!$K$4:$K$1203,$AE25-1200))))</f>
      </c>
      <c r="I25" s="61">
        <f>IF($AE25="","",IF($AE25&lt;=1200,IF(INDEX(对接源_01水果!$L$4:$L$1203,$AE25)=0,"",INDEX(对接源_01水果!$L$4:$L$1203,$AE25)),IF(INDEX(对接源_02物料!$L$4:$L$1203,$AE25-1200)=0,"",INDEX(对接源_02物料!$L$4:$L$1203,$AE25-1200))))</f>
      </c>
      <c r="J25" s="122">
        <f>IF($AE25="","",IF($AE25&lt;=1200,IF(INDEX(对接源_01水果!$M$4:$M$1203,$AE25)=0,"",INDEX(对接源_01水果!$M$4:$M$1203,$AE25)),IF(INDEX(对接源_02物料!$M$4:$M$1203,$AE25-1200)=0,"",INDEX(对接源_02物料!$M$4:$M$1203,$AE25-1200))))</f>
      </c>
      <c r="AE25" s="128">
        <f>IFERROR(MATCH(20,_自动清单!$AS$4:$AS$2403,0),"")</f>
      </c>
    </row>
    <row r="26" ht="18" customHeight="1" s="127">
      <c r="A26" s="163">
        <f>IF($AE26="","",IF($AE26&lt;=1200,IF(INDEX(对接源_01水果!$B$4:$B$1203,$AE26)=0,"",INDEX(对接源_01水果!$B$4:$B$1203,$AE26)),IF(INDEX(对接源_02物料!$B$4:$B$1203,$AE26-1200)=0,"",INDEX(对接源_02物料!$B$4:$B$1203,$AE26-1200))))</f>
      </c>
      <c r="B26" s="61">
        <f>IF($AE26="","",IF($AE26&lt;=1200,IF(INDEX(对接源_01水果!$E$4:$E$1203,$AE26)=0,"",INDEX(对接源_01水果!$E$4:$E$1203,$AE26)),IF(INDEX(对接源_02物料!$E$4:$E$1203,$AE26-1200)=0,"",INDEX(对接源_02物料!$E$4:$E$1203,$AE26-1200))))</f>
      </c>
      <c r="C26" s="122">
        <f>IF($AE26="","",IF($AE26&lt;=1200,IF(INDEX(对接源_01水果!$F$4:$F$1203,$AE26)=0,"",INDEX(对接源_01水果!$F$4:$F$1203,$AE26)),IF(INDEX(对接源_02物料!$F$4:$F$1203,$AE26-1200)=0,"",INDEX(对接源_02物料!$F$4:$F$1203,$AE26-1200))))</f>
      </c>
      <c r="D26" s="61">
        <f>IF($AE26="","",IF(IF($AE26&lt;=1200,IF(INDEX(对接源_01水果!$G$4:$G$1203,$AE26)=0,"",INDEX(对接源_01水果!$G$4:$G$1203,$AE26)),IF(INDEX(对接源_02物料!$G$4:$G$1203,$AE26-1200)=0,"",INDEX(对接源_02物料!$G$4:$G$1203,$AE26-1200)))="",IF($AE26&lt;=1200,IF(INDEX(对接源_01水果!$D$4:$D$1203,$AE26)=0,"",INDEX(对接源_01水果!$D$4:$D$1203,$AE26)),IF(INDEX(对接源_02物料!$D$4:$D$1203,$AE26-1200)=0,"",INDEX(对接源_02物料!$D$4:$D$1203,$AE26-1200))),IF($AE26&lt;=1200,IF(INDEX(对接源_01水果!$G$4:$G$1203,$AE26)=0,"",INDEX(对接源_01水果!$G$4:$G$1203,$AE26)),IF(INDEX(对接源_02物料!$G$4:$G$1203,$AE26-1200)=0,"",INDEX(对接源_02物料!$G$4:$G$1203,$AE26-1200)))))</f>
      </c>
      <c r="E26" s="173">
        <f>IF($AE26="","",IF($AE26&lt;=1200,IF(INDEX(对接源_01水果!$H$4:$H$1203,$AE26)=0,"",INDEX(对接源_01水果!$H$4:$H$1203,$AE26)),IF(INDEX(对接源_02物料!$H$4:$H$1203,$AE26-1200)=0,"",INDEX(对接源_02物料!$H$4:$H$1203,$AE26-1200))))</f>
      </c>
      <c r="F26" s="61">
        <f>IF($AE26="","",IF($AE26&lt;=1200,IF(INDEX(对接源_01水果!$I$4:$I$1203,$AE26)=0,"",INDEX(对接源_01水果!$I$4:$I$1203,$AE26)),IF(INDEX(对接源_02物料!$I$4:$I$1203,$AE26-1200)=0,"",INDEX(对接源_02物料!$I$4:$I$1203,$AE26-1200))))</f>
      </c>
      <c r="G26" s="173">
        <f>IF($AE26="","",IF(IF($AE26&lt;=1200,N(INDEX(对接源_01水果!$H$4:$H$1203,$AE26)),N(INDEX(对接源_02物料!$H$4:$H$1203,$AE26-1200)))=0,"",ROUND(IF($AE26&lt;=1200,N(INDEX(对接源_01水果!$K$4:$K$1203,$AE26)),N(INDEX(对接源_02物料!$K$4:$K$1203,$AE26-1200)))/IF($AE26&lt;=1200,N(INDEX(对接源_01水果!$H$4:$H$1203,$AE26)),N(INDEX(对接源_02物料!$H$4:$H$1203,$AE26-1200))),2)))</f>
      </c>
      <c r="H26" s="173">
        <f>IF($AE26="","",IF($AE26&lt;=1200,IF(INDEX(对接源_01水果!$K$4:$K$1203,$AE26)=0,"",INDEX(对接源_01水果!$K$4:$K$1203,$AE26)),IF(INDEX(对接源_02物料!$K$4:$K$1203,$AE26-1200)=0,"",INDEX(对接源_02物料!$K$4:$K$1203,$AE26-1200))))</f>
      </c>
      <c r="I26" s="61">
        <f>IF($AE26="","",IF($AE26&lt;=1200,IF(INDEX(对接源_01水果!$L$4:$L$1203,$AE26)=0,"",INDEX(对接源_01水果!$L$4:$L$1203,$AE26)),IF(INDEX(对接源_02物料!$L$4:$L$1203,$AE26-1200)=0,"",INDEX(对接源_02物料!$L$4:$L$1203,$AE26-1200))))</f>
      </c>
      <c r="J26" s="122">
        <f>IF($AE26="","",IF($AE26&lt;=1200,IF(INDEX(对接源_01水果!$M$4:$M$1203,$AE26)=0,"",INDEX(对接源_01水果!$M$4:$M$1203,$AE26)),IF(INDEX(对接源_02物料!$M$4:$M$1203,$AE26-1200)=0,"",INDEX(对接源_02物料!$M$4:$M$1203,$AE26-1200))))</f>
      </c>
      <c r="AE26" s="128">
        <f>IFERROR(MATCH(21,_自动清单!$AS$4:$AS$2403,0),"")</f>
      </c>
    </row>
    <row r="27" ht="18" customHeight="1" s="127">
      <c r="A27" s="163">
        <f>IF($AE27="","",IF($AE27&lt;=1200,IF(INDEX(对接源_01水果!$B$4:$B$1203,$AE27)=0,"",INDEX(对接源_01水果!$B$4:$B$1203,$AE27)),IF(INDEX(对接源_02物料!$B$4:$B$1203,$AE27-1200)=0,"",INDEX(对接源_02物料!$B$4:$B$1203,$AE27-1200))))</f>
      </c>
      <c r="B27" s="61">
        <f>IF($AE27="","",IF($AE27&lt;=1200,IF(INDEX(对接源_01水果!$E$4:$E$1203,$AE27)=0,"",INDEX(对接源_01水果!$E$4:$E$1203,$AE27)),IF(INDEX(对接源_02物料!$E$4:$E$1203,$AE27-1200)=0,"",INDEX(对接源_02物料!$E$4:$E$1203,$AE27-1200))))</f>
      </c>
      <c r="C27" s="122">
        <f>IF($AE27="","",IF($AE27&lt;=1200,IF(INDEX(对接源_01水果!$F$4:$F$1203,$AE27)=0,"",INDEX(对接源_01水果!$F$4:$F$1203,$AE27)),IF(INDEX(对接源_02物料!$F$4:$F$1203,$AE27-1200)=0,"",INDEX(对接源_02物料!$F$4:$F$1203,$AE27-1200))))</f>
      </c>
      <c r="D27" s="61">
        <f>IF($AE27="","",IF(IF($AE27&lt;=1200,IF(INDEX(对接源_01水果!$G$4:$G$1203,$AE27)=0,"",INDEX(对接源_01水果!$G$4:$G$1203,$AE27)),IF(INDEX(对接源_02物料!$G$4:$G$1203,$AE27-1200)=0,"",INDEX(对接源_02物料!$G$4:$G$1203,$AE27-1200)))="",IF($AE27&lt;=1200,IF(INDEX(对接源_01水果!$D$4:$D$1203,$AE27)=0,"",INDEX(对接源_01水果!$D$4:$D$1203,$AE27)),IF(INDEX(对接源_02物料!$D$4:$D$1203,$AE27-1200)=0,"",INDEX(对接源_02物料!$D$4:$D$1203,$AE27-1200))),IF($AE27&lt;=1200,IF(INDEX(对接源_01水果!$G$4:$G$1203,$AE27)=0,"",INDEX(对接源_01水果!$G$4:$G$1203,$AE27)),IF(INDEX(对接源_02物料!$G$4:$G$1203,$AE27-1200)=0,"",INDEX(对接源_02物料!$G$4:$G$1203,$AE27-1200)))))</f>
      </c>
      <c r="E27" s="173">
        <f>IF($AE27="","",IF($AE27&lt;=1200,IF(INDEX(对接源_01水果!$H$4:$H$1203,$AE27)=0,"",INDEX(对接源_01水果!$H$4:$H$1203,$AE27)),IF(INDEX(对接源_02物料!$H$4:$H$1203,$AE27-1200)=0,"",INDEX(对接源_02物料!$H$4:$H$1203,$AE27-1200))))</f>
      </c>
      <c r="F27" s="61">
        <f>IF($AE27="","",IF($AE27&lt;=1200,IF(INDEX(对接源_01水果!$I$4:$I$1203,$AE27)=0,"",INDEX(对接源_01水果!$I$4:$I$1203,$AE27)),IF(INDEX(对接源_02物料!$I$4:$I$1203,$AE27-1200)=0,"",INDEX(对接源_02物料!$I$4:$I$1203,$AE27-1200))))</f>
      </c>
      <c r="G27" s="173">
        <f>IF($AE27="","",IF(IF($AE27&lt;=1200,N(INDEX(对接源_01水果!$H$4:$H$1203,$AE27)),N(INDEX(对接源_02物料!$H$4:$H$1203,$AE27-1200)))=0,"",ROUND(IF($AE27&lt;=1200,N(INDEX(对接源_01水果!$K$4:$K$1203,$AE27)),N(INDEX(对接源_02物料!$K$4:$K$1203,$AE27-1200)))/IF($AE27&lt;=1200,N(INDEX(对接源_01水果!$H$4:$H$1203,$AE27)),N(INDEX(对接源_02物料!$H$4:$H$1203,$AE27-1200))),2)))</f>
      </c>
      <c r="H27" s="173">
        <f>IF($AE27="","",IF($AE27&lt;=1200,IF(INDEX(对接源_01水果!$K$4:$K$1203,$AE27)=0,"",INDEX(对接源_01水果!$K$4:$K$1203,$AE27)),IF(INDEX(对接源_02物料!$K$4:$K$1203,$AE27-1200)=0,"",INDEX(对接源_02物料!$K$4:$K$1203,$AE27-1200))))</f>
      </c>
      <c r="I27" s="61">
        <f>IF($AE27="","",IF($AE27&lt;=1200,IF(INDEX(对接源_01水果!$L$4:$L$1203,$AE27)=0,"",INDEX(对接源_01水果!$L$4:$L$1203,$AE27)),IF(INDEX(对接源_02物料!$L$4:$L$1203,$AE27-1200)=0,"",INDEX(对接源_02物料!$L$4:$L$1203,$AE27-1200))))</f>
      </c>
      <c r="J27" s="122">
        <f>IF($AE27="","",IF($AE27&lt;=1200,IF(INDEX(对接源_01水果!$M$4:$M$1203,$AE27)=0,"",INDEX(对接源_01水果!$M$4:$M$1203,$AE27)),IF(INDEX(对接源_02物料!$M$4:$M$1203,$AE27-1200)=0,"",INDEX(对接源_02物料!$M$4:$M$1203,$AE27-1200))))</f>
      </c>
      <c r="AE27" s="128">
        <f>IFERROR(MATCH(22,_自动清单!$AS$4:$AS$2403,0),"")</f>
      </c>
    </row>
    <row r="28" ht="18" customHeight="1" s="127">
      <c r="A28" s="163">
        <f>IF($AE28="","",IF($AE28&lt;=1200,IF(INDEX(对接源_01水果!$B$4:$B$1203,$AE28)=0,"",INDEX(对接源_01水果!$B$4:$B$1203,$AE28)),IF(INDEX(对接源_02物料!$B$4:$B$1203,$AE28-1200)=0,"",INDEX(对接源_02物料!$B$4:$B$1203,$AE28-1200))))</f>
      </c>
      <c r="B28" s="61">
        <f>IF($AE28="","",IF($AE28&lt;=1200,IF(INDEX(对接源_01水果!$E$4:$E$1203,$AE28)=0,"",INDEX(对接源_01水果!$E$4:$E$1203,$AE28)),IF(INDEX(对接源_02物料!$E$4:$E$1203,$AE28-1200)=0,"",INDEX(对接源_02物料!$E$4:$E$1203,$AE28-1200))))</f>
      </c>
      <c r="C28" s="122">
        <f>IF($AE28="","",IF($AE28&lt;=1200,IF(INDEX(对接源_01水果!$F$4:$F$1203,$AE28)=0,"",INDEX(对接源_01水果!$F$4:$F$1203,$AE28)),IF(INDEX(对接源_02物料!$F$4:$F$1203,$AE28-1200)=0,"",INDEX(对接源_02物料!$F$4:$F$1203,$AE28-1200))))</f>
      </c>
      <c r="D28" s="61">
        <f>IF($AE28="","",IF(IF($AE28&lt;=1200,IF(INDEX(对接源_01水果!$G$4:$G$1203,$AE28)=0,"",INDEX(对接源_01水果!$G$4:$G$1203,$AE28)),IF(INDEX(对接源_02物料!$G$4:$G$1203,$AE28-1200)=0,"",INDEX(对接源_02物料!$G$4:$G$1203,$AE28-1200)))="",IF($AE28&lt;=1200,IF(INDEX(对接源_01水果!$D$4:$D$1203,$AE28)=0,"",INDEX(对接源_01水果!$D$4:$D$1203,$AE28)),IF(INDEX(对接源_02物料!$D$4:$D$1203,$AE28-1200)=0,"",INDEX(对接源_02物料!$D$4:$D$1203,$AE28-1200))),IF($AE28&lt;=1200,IF(INDEX(对接源_01水果!$G$4:$G$1203,$AE28)=0,"",INDEX(对接源_01水果!$G$4:$G$1203,$AE28)),IF(INDEX(对接源_02物料!$G$4:$G$1203,$AE28-1200)=0,"",INDEX(对接源_02物料!$G$4:$G$1203,$AE28-1200)))))</f>
      </c>
      <c r="E28" s="173">
        <f>IF($AE28="","",IF($AE28&lt;=1200,IF(INDEX(对接源_01水果!$H$4:$H$1203,$AE28)=0,"",INDEX(对接源_01水果!$H$4:$H$1203,$AE28)),IF(INDEX(对接源_02物料!$H$4:$H$1203,$AE28-1200)=0,"",INDEX(对接源_02物料!$H$4:$H$1203,$AE28-1200))))</f>
      </c>
      <c r="F28" s="61">
        <f>IF($AE28="","",IF($AE28&lt;=1200,IF(INDEX(对接源_01水果!$I$4:$I$1203,$AE28)=0,"",INDEX(对接源_01水果!$I$4:$I$1203,$AE28)),IF(INDEX(对接源_02物料!$I$4:$I$1203,$AE28-1200)=0,"",INDEX(对接源_02物料!$I$4:$I$1203,$AE28-1200))))</f>
      </c>
      <c r="G28" s="173">
        <f>IF($AE28="","",IF(IF($AE28&lt;=1200,N(INDEX(对接源_01水果!$H$4:$H$1203,$AE28)),N(INDEX(对接源_02物料!$H$4:$H$1203,$AE28-1200)))=0,"",ROUND(IF($AE28&lt;=1200,N(INDEX(对接源_01水果!$K$4:$K$1203,$AE28)),N(INDEX(对接源_02物料!$K$4:$K$1203,$AE28-1200)))/IF($AE28&lt;=1200,N(INDEX(对接源_01水果!$H$4:$H$1203,$AE28)),N(INDEX(对接源_02物料!$H$4:$H$1203,$AE28-1200))),2)))</f>
      </c>
      <c r="H28" s="173">
        <f>IF($AE28="","",IF($AE28&lt;=1200,IF(INDEX(对接源_01水果!$K$4:$K$1203,$AE28)=0,"",INDEX(对接源_01水果!$K$4:$K$1203,$AE28)),IF(INDEX(对接源_02物料!$K$4:$K$1203,$AE28-1200)=0,"",INDEX(对接源_02物料!$K$4:$K$1203,$AE28-1200))))</f>
      </c>
      <c r="I28" s="61">
        <f>IF($AE28="","",IF($AE28&lt;=1200,IF(INDEX(对接源_01水果!$L$4:$L$1203,$AE28)=0,"",INDEX(对接源_01水果!$L$4:$L$1203,$AE28)),IF(INDEX(对接源_02物料!$L$4:$L$1203,$AE28-1200)=0,"",INDEX(对接源_02物料!$L$4:$L$1203,$AE28-1200))))</f>
      </c>
      <c r="J28" s="122">
        <f>IF($AE28="","",IF($AE28&lt;=1200,IF(INDEX(对接源_01水果!$M$4:$M$1203,$AE28)=0,"",INDEX(对接源_01水果!$M$4:$M$1203,$AE28)),IF(INDEX(对接源_02物料!$M$4:$M$1203,$AE28-1200)=0,"",INDEX(对接源_02物料!$M$4:$M$1203,$AE28-1200))))</f>
      </c>
      <c r="AE28" s="128">
        <f>IFERROR(MATCH(23,_自动清单!$AS$4:$AS$2403,0),"")</f>
      </c>
    </row>
    <row r="29" ht="18" customHeight="1" s="127">
      <c r="A29" s="163">
        <f>IF($AE29="","",IF($AE29&lt;=1200,IF(INDEX(对接源_01水果!$B$4:$B$1203,$AE29)=0,"",INDEX(对接源_01水果!$B$4:$B$1203,$AE29)),IF(INDEX(对接源_02物料!$B$4:$B$1203,$AE29-1200)=0,"",INDEX(对接源_02物料!$B$4:$B$1203,$AE29-1200))))</f>
      </c>
      <c r="B29" s="61">
        <f>IF($AE29="","",IF($AE29&lt;=1200,IF(INDEX(对接源_01水果!$E$4:$E$1203,$AE29)=0,"",INDEX(对接源_01水果!$E$4:$E$1203,$AE29)),IF(INDEX(对接源_02物料!$E$4:$E$1203,$AE29-1200)=0,"",INDEX(对接源_02物料!$E$4:$E$1203,$AE29-1200))))</f>
      </c>
      <c r="C29" s="122">
        <f>IF($AE29="","",IF($AE29&lt;=1200,IF(INDEX(对接源_01水果!$F$4:$F$1203,$AE29)=0,"",INDEX(对接源_01水果!$F$4:$F$1203,$AE29)),IF(INDEX(对接源_02物料!$F$4:$F$1203,$AE29-1200)=0,"",INDEX(对接源_02物料!$F$4:$F$1203,$AE29-1200))))</f>
      </c>
      <c r="D29" s="61">
        <f>IF($AE29="","",IF(IF($AE29&lt;=1200,IF(INDEX(对接源_01水果!$G$4:$G$1203,$AE29)=0,"",INDEX(对接源_01水果!$G$4:$G$1203,$AE29)),IF(INDEX(对接源_02物料!$G$4:$G$1203,$AE29-1200)=0,"",INDEX(对接源_02物料!$G$4:$G$1203,$AE29-1200)))="",IF($AE29&lt;=1200,IF(INDEX(对接源_01水果!$D$4:$D$1203,$AE29)=0,"",INDEX(对接源_01水果!$D$4:$D$1203,$AE29)),IF(INDEX(对接源_02物料!$D$4:$D$1203,$AE29-1200)=0,"",INDEX(对接源_02物料!$D$4:$D$1203,$AE29-1200))),IF($AE29&lt;=1200,IF(INDEX(对接源_01水果!$G$4:$G$1203,$AE29)=0,"",INDEX(对接源_01水果!$G$4:$G$1203,$AE29)),IF(INDEX(对接源_02物料!$G$4:$G$1203,$AE29-1200)=0,"",INDEX(对接源_02物料!$G$4:$G$1203,$AE29-1200)))))</f>
      </c>
      <c r="E29" s="173">
        <f>IF($AE29="","",IF($AE29&lt;=1200,IF(INDEX(对接源_01水果!$H$4:$H$1203,$AE29)=0,"",INDEX(对接源_01水果!$H$4:$H$1203,$AE29)),IF(INDEX(对接源_02物料!$H$4:$H$1203,$AE29-1200)=0,"",INDEX(对接源_02物料!$H$4:$H$1203,$AE29-1200))))</f>
      </c>
      <c r="F29" s="61">
        <f>IF($AE29="","",IF($AE29&lt;=1200,IF(INDEX(对接源_01水果!$I$4:$I$1203,$AE29)=0,"",INDEX(对接源_01水果!$I$4:$I$1203,$AE29)),IF(INDEX(对接源_02物料!$I$4:$I$1203,$AE29-1200)=0,"",INDEX(对接源_02物料!$I$4:$I$1203,$AE29-1200))))</f>
      </c>
      <c r="G29" s="173">
        <f>IF($AE29="","",IF(IF($AE29&lt;=1200,N(INDEX(对接源_01水果!$H$4:$H$1203,$AE29)),N(INDEX(对接源_02物料!$H$4:$H$1203,$AE29-1200)))=0,"",ROUND(IF($AE29&lt;=1200,N(INDEX(对接源_01水果!$K$4:$K$1203,$AE29)),N(INDEX(对接源_02物料!$K$4:$K$1203,$AE29-1200)))/IF($AE29&lt;=1200,N(INDEX(对接源_01水果!$H$4:$H$1203,$AE29)),N(INDEX(对接源_02物料!$H$4:$H$1203,$AE29-1200))),2)))</f>
      </c>
      <c r="H29" s="173">
        <f>IF($AE29="","",IF($AE29&lt;=1200,IF(INDEX(对接源_01水果!$K$4:$K$1203,$AE29)=0,"",INDEX(对接源_01水果!$K$4:$K$1203,$AE29)),IF(INDEX(对接源_02物料!$K$4:$K$1203,$AE29-1200)=0,"",INDEX(对接源_02物料!$K$4:$K$1203,$AE29-1200))))</f>
      </c>
      <c r="I29" s="61">
        <f>IF($AE29="","",IF($AE29&lt;=1200,IF(INDEX(对接源_01水果!$L$4:$L$1203,$AE29)=0,"",INDEX(对接源_01水果!$L$4:$L$1203,$AE29)),IF(INDEX(对接源_02物料!$L$4:$L$1203,$AE29-1200)=0,"",INDEX(对接源_02物料!$L$4:$L$1203,$AE29-1200))))</f>
      </c>
      <c r="J29" s="122">
        <f>IF($AE29="","",IF($AE29&lt;=1200,IF(INDEX(对接源_01水果!$M$4:$M$1203,$AE29)=0,"",INDEX(对接源_01水果!$M$4:$M$1203,$AE29)),IF(INDEX(对接源_02物料!$M$4:$M$1203,$AE29-1200)=0,"",INDEX(对接源_02物料!$M$4:$M$1203,$AE29-1200))))</f>
      </c>
      <c r="AE29" s="128">
        <f>IFERROR(MATCH(24,_自动清单!$AS$4:$AS$2403,0),"")</f>
      </c>
    </row>
    <row r="30" ht="18" customHeight="1" s="127">
      <c r="A30" s="163">
        <f>IF($AE30="","",IF($AE30&lt;=1200,IF(INDEX(对接源_01水果!$B$4:$B$1203,$AE30)=0,"",INDEX(对接源_01水果!$B$4:$B$1203,$AE30)),IF(INDEX(对接源_02物料!$B$4:$B$1203,$AE30-1200)=0,"",INDEX(对接源_02物料!$B$4:$B$1203,$AE30-1200))))</f>
      </c>
      <c r="B30" s="61">
        <f>IF($AE30="","",IF($AE30&lt;=1200,IF(INDEX(对接源_01水果!$E$4:$E$1203,$AE30)=0,"",INDEX(对接源_01水果!$E$4:$E$1203,$AE30)),IF(INDEX(对接源_02物料!$E$4:$E$1203,$AE30-1200)=0,"",INDEX(对接源_02物料!$E$4:$E$1203,$AE30-1200))))</f>
      </c>
      <c r="C30" s="122">
        <f>IF($AE30="","",IF($AE30&lt;=1200,IF(INDEX(对接源_01水果!$F$4:$F$1203,$AE30)=0,"",INDEX(对接源_01水果!$F$4:$F$1203,$AE30)),IF(INDEX(对接源_02物料!$F$4:$F$1203,$AE30-1200)=0,"",INDEX(对接源_02物料!$F$4:$F$1203,$AE30-1200))))</f>
      </c>
      <c r="D30" s="61">
        <f>IF($AE30="","",IF(IF($AE30&lt;=1200,IF(INDEX(对接源_01水果!$G$4:$G$1203,$AE30)=0,"",INDEX(对接源_01水果!$G$4:$G$1203,$AE30)),IF(INDEX(对接源_02物料!$G$4:$G$1203,$AE30-1200)=0,"",INDEX(对接源_02物料!$G$4:$G$1203,$AE30-1200)))="",IF($AE30&lt;=1200,IF(INDEX(对接源_01水果!$D$4:$D$1203,$AE30)=0,"",INDEX(对接源_01水果!$D$4:$D$1203,$AE30)),IF(INDEX(对接源_02物料!$D$4:$D$1203,$AE30-1200)=0,"",INDEX(对接源_02物料!$D$4:$D$1203,$AE30-1200))),IF($AE30&lt;=1200,IF(INDEX(对接源_01水果!$G$4:$G$1203,$AE30)=0,"",INDEX(对接源_01水果!$G$4:$G$1203,$AE30)),IF(INDEX(对接源_02物料!$G$4:$G$1203,$AE30-1200)=0,"",INDEX(对接源_02物料!$G$4:$G$1203,$AE30-1200)))))</f>
      </c>
      <c r="E30" s="173">
        <f>IF($AE30="","",IF($AE30&lt;=1200,IF(INDEX(对接源_01水果!$H$4:$H$1203,$AE30)=0,"",INDEX(对接源_01水果!$H$4:$H$1203,$AE30)),IF(INDEX(对接源_02物料!$H$4:$H$1203,$AE30-1200)=0,"",INDEX(对接源_02物料!$H$4:$H$1203,$AE30-1200))))</f>
      </c>
      <c r="F30" s="61">
        <f>IF($AE30="","",IF($AE30&lt;=1200,IF(INDEX(对接源_01水果!$I$4:$I$1203,$AE30)=0,"",INDEX(对接源_01水果!$I$4:$I$1203,$AE30)),IF(INDEX(对接源_02物料!$I$4:$I$1203,$AE30-1200)=0,"",INDEX(对接源_02物料!$I$4:$I$1203,$AE30-1200))))</f>
      </c>
      <c r="G30" s="173">
        <f>IF($AE30="","",IF(IF($AE30&lt;=1200,N(INDEX(对接源_01水果!$H$4:$H$1203,$AE30)),N(INDEX(对接源_02物料!$H$4:$H$1203,$AE30-1200)))=0,"",ROUND(IF($AE30&lt;=1200,N(INDEX(对接源_01水果!$K$4:$K$1203,$AE30)),N(INDEX(对接源_02物料!$K$4:$K$1203,$AE30-1200)))/IF($AE30&lt;=1200,N(INDEX(对接源_01水果!$H$4:$H$1203,$AE30)),N(INDEX(对接源_02物料!$H$4:$H$1203,$AE30-1200))),2)))</f>
      </c>
      <c r="H30" s="173">
        <f>IF($AE30="","",IF($AE30&lt;=1200,IF(INDEX(对接源_01水果!$K$4:$K$1203,$AE30)=0,"",INDEX(对接源_01水果!$K$4:$K$1203,$AE30)),IF(INDEX(对接源_02物料!$K$4:$K$1203,$AE30-1200)=0,"",INDEX(对接源_02物料!$K$4:$K$1203,$AE30-1200))))</f>
      </c>
      <c r="I30" s="61">
        <f>IF($AE30="","",IF($AE30&lt;=1200,IF(INDEX(对接源_01水果!$L$4:$L$1203,$AE30)=0,"",INDEX(对接源_01水果!$L$4:$L$1203,$AE30)),IF(INDEX(对接源_02物料!$L$4:$L$1203,$AE30-1200)=0,"",INDEX(对接源_02物料!$L$4:$L$1203,$AE30-1200))))</f>
      </c>
      <c r="J30" s="122">
        <f>IF($AE30="","",IF($AE30&lt;=1200,IF(INDEX(对接源_01水果!$M$4:$M$1203,$AE30)=0,"",INDEX(对接源_01水果!$M$4:$M$1203,$AE30)),IF(INDEX(对接源_02物料!$M$4:$M$1203,$AE30-1200)=0,"",INDEX(对接源_02物料!$M$4:$M$1203,$AE30-1200))))</f>
      </c>
      <c r="AE30" s="128">
        <f>IFERROR(MATCH(25,_自动清单!$AS$4:$AS$2403,0),"")</f>
      </c>
    </row>
    <row r="31" ht="18" customHeight="1" s="127">
      <c r="A31" s="163">
        <f>IF($AE31="","",IF($AE31&lt;=1200,IF(INDEX(对接源_01水果!$B$4:$B$1203,$AE31)=0,"",INDEX(对接源_01水果!$B$4:$B$1203,$AE31)),IF(INDEX(对接源_02物料!$B$4:$B$1203,$AE31-1200)=0,"",INDEX(对接源_02物料!$B$4:$B$1203,$AE31-1200))))</f>
      </c>
      <c r="B31" s="61">
        <f>IF($AE31="","",IF($AE31&lt;=1200,IF(INDEX(对接源_01水果!$E$4:$E$1203,$AE31)=0,"",INDEX(对接源_01水果!$E$4:$E$1203,$AE31)),IF(INDEX(对接源_02物料!$E$4:$E$1203,$AE31-1200)=0,"",INDEX(对接源_02物料!$E$4:$E$1203,$AE31-1200))))</f>
      </c>
      <c r="C31" s="122">
        <f>IF($AE31="","",IF($AE31&lt;=1200,IF(INDEX(对接源_01水果!$F$4:$F$1203,$AE31)=0,"",INDEX(对接源_01水果!$F$4:$F$1203,$AE31)),IF(INDEX(对接源_02物料!$F$4:$F$1203,$AE31-1200)=0,"",INDEX(对接源_02物料!$F$4:$F$1203,$AE31-1200))))</f>
      </c>
      <c r="D31" s="61">
        <f>IF($AE31="","",IF(IF($AE31&lt;=1200,IF(INDEX(对接源_01水果!$G$4:$G$1203,$AE31)=0,"",INDEX(对接源_01水果!$G$4:$G$1203,$AE31)),IF(INDEX(对接源_02物料!$G$4:$G$1203,$AE31-1200)=0,"",INDEX(对接源_02物料!$G$4:$G$1203,$AE31-1200)))="",IF($AE31&lt;=1200,IF(INDEX(对接源_01水果!$D$4:$D$1203,$AE31)=0,"",INDEX(对接源_01水果!$D$4:$D$1203,$AE31)),IF(INDEX(对接源_02物料!$D$4:$D$1203,$AE31-1200)=0,"",INDEX(对接源_02物料!$D$4:$D$1203,$AE31-1200))),IF($AE31&lt;=1200,IF(INDEX(对接源_01水果!$G$4:$G$1203,$AE31)=0,"",INDEX(对接源_01水果!$G$4:$G$1203,$AE31)),IF(INDEX(对接源_02物料!$G$4:$G$1203,$AE31-1200)=0,"",INDEX(对接源_02物料!$G$4:$G$1203,$AE31-1200)))))</f>
      </c>
      <c r="E31" s="173">
        <f>IF($AE31="","",IF($AE31&lt;=1200,IF(INDEX(对接源_01水果!$H$4:$H$1203,$AE31)=0,"",INDEX(对接源_01水果!$H$4:$H$1203,$AE31)),IF(INDEX(对接源_02物料!$H$4:$H$1203,$AE31-1200)=0,"",INDEX(对接源_02物料!$H$4:$H$1203,$AE31-1200))))</f>
      </c>
      <c r="F31" s="61">
        <f>IF($AE31="","",IF($AE31&lt;=1200,IF(INDEX(对接源_01水果!$I$4:$I$1203,$AE31)=0,"",INDEX(对接源_01水果!$I$4:$I$1203,$AE31)),IF(INDEX(对接源_02物料!$I$4:$I$1203,$AE31-1200)=0,"",INDEX(对接源_02物料!$I$4:$I$1203,$AE31-1200))))</f>
      </c>
      <c r="G31" s="173">
        <f>IF($AE31="","",IF(IF($AE31&lt;=1200,N(INDEX(对接源_01水果!$H$4:$H$1203,$AE31)),N(INDEX(对接源_02物料!$H$4:$H$1203,$AE31-1200)))=0,"",ROUND(IF($AE31&lt;=1200,N(INDEX(对接源_01水果!$K$4:$K$1203,$AE31)),N(INDEX(对接源_02物料!$K$4:$K$1203,$AE31-1200)))/IF($AE31&lt;=1200,N(INDEX(对接源_01水果!$H$4:$H$1203,$AE31)),N(INDEX(对接源_02物料!$H$4:$H$1203,$AE31-1200))),2)))</f>
      </c>
      <c r="H31" s="173">
        <f>IF($AE31="","",IF($AE31&lt;=1200,IF(INDEX(对接源_01水果!$K$4:$K$1203,$AE31)=0,"",INDEX(对接源_01水果!$K$4:$K$1203,$AE31)),IF(INDEX(对接源_02物料!$K$4:$K$1203,$AE31-1200)=0,"",INDEX(对接源_02物料!$K$4:$K$1203,$AE31-1200))))</f>
      </c>
      <c r="I31" s="61">
        <f>IF($AE31="","",IF($AE31&lt;=1200,IF(INDEX(对接源_01水果!$L$4:$L$1203,$AE31)=0,"",INDEX(对接源_01水果!$L$4:$L$1203,$AE31)),IF(INDEX(对接源_02物料!$L$4:$L$1203,$AE31-1200)=0,"",INDEX(对接源_02物料!$L$4:$L$1203,$AE31-1200))))</f>
      </c>
      <c r="J31" s="122">
        <f>IF($AE31="","",IF($AE31&lt;=1200,IF(INDEX(对接源_01水果!$M$4:$M$1203,$AE31)=0,"",INDEX(对接源_01水果!$M$4:$M$1203,$AE31)),IF(INDEX(对接源_02物料!$M$4:$M$1203,$AE31-1200)=0,"",INDEX(对接源_02物料!$M$4:$M$1203,$AE31-1200))))</f>
      </c>
      <c r="AE31" s="128">
        <f>IFERROR(MATCH(26,_自动清单!$AS$4:$AS$2403,0),"")</f>
      </c>
    </row>
    <row r="32" ht="18" customHeight="1" s="127">
      <c r="A32" s="163">
        <f>IF($AE32="","",IF($AE32&lt;=1200,IF(INDEX(对接源_01水果!$B$4:$B$1203,$AE32)=0,"",INDEX(对接源_01水果!$B$4:$B$1203,$AE32)),IF(INDEX(对接源_02物料!$B$4:$B$1203,$AE32-1200)=0,"",INDEX(对接源_02物料!$B$4:$B$1203,$AE32-1200))))</f>
      </c>
      <c r="B32" s="61">
        <f>IF($AE32="","",IF($AE32&lt;=1200,IF(INDEX(对接源_01水果!$E$4:$E$1203,$AE32)=0,"",INDEX(对接源_01水果!$E$4:$E$1203,$AE32)),IF(INDEX(对接源_02物料!$E$4:$E$1203,$AE32-1200)=0,"",INDEX(对接源_02物料!$E$4:$E$1203,$AE32-1200))))</f>
      </c>
      <c r="C32" s="122">
        <f>IF($AE32="","",IF($AE32&lt;=1200,IF(INDEX(对接源_01水果!$F$4:$F$1203,$AE32)=0,"",INDEX(对接源_01水果!$F$4:$F$1203,$AE32)),IF(INDEX(对接源_02物料!$F$4:$F$1203,$AE32-1200)=0,"",INDEX(对接源_02物料!$F$4:$F$1203,$AE32-1200))))</f>
      </c>
      <c r="D32" s="61">
        <f>IF($AE32="","",IF(IF($AE32&lt;=1200,IF(INDEX(对接源_01水果!$G$4:$G$1203,$AE32)=0,"",INDEX(对接源_01水果!$G$4:$G$1203,$AE32)),IF(INDEX(对接源_02物料!$G$4:$G$1203,$AE32-1200)=0,"",INDEX(对接源_02物料!$G$4:$G$1203,$AE32-1200)))="",IF($AE32&lt;=1200,IF(INDEX(对接源_01水果!$D$4:$D$1203,$AE32)=0,"",INDEX(对接源_01水果!$D$4:$D$1203,$AE32)),IF(INDEX(对接源_02物料!$D$4:$D$1203,$AE32-1200)=0,"",INDEX(对接源_02物料!$D$4:$D$1203,$AE32-1200))),IF($AE32&lt;=1200,IF(INDEX(对接源_01水果!$G$4:$G$1203,$AE32)=0,"",INDEX(对接源_01水果!$G$4:$G$1203,$AE32)),IF(INDEX(对接源_02物料!$G$4:$G$1203,$AE32-1200)=0,"",INDEX(对接源_02物料!$G$4:$G$1203,$AE32-1200)))))</f>
      </c>
      <c r="E32" s="173">
        <f>IF($AE32="","",IF($AE32&lt;=1200,IF(INDEX(对接源_01水果!$H$4:$H$1203,$AE32)=0,"",INDEX(对接源_01水果!$H$4:$H$1203,$AE32)),IF(INDEX(对接源_02物料!$H$4:$H$1203,$AE32-1200)=0,"",INDEX(对接源_02物料!$H$4:$H$1203,$AE32-1200))))</f>
      </c>
      <c r="F32" s="61">
        <f>IF($AE32="","",IF($AE32&lt;=1200,IF(INDEX(对接源_01水果!$I$4:$I$1203,$AE32)=0,"",INDEX(对接源_01水果!$I$4:$I$1203,$AE32)),IF(INDEX(对接源_02物料!$I$4:$I$1203,$AE32-1200)=0,"",INDEX(对接源_02物料!$I$4:$I$1203,$AE32-1200))))</f>
      </c>
      <c r="G32" s="173">
        <f>IF($AE32="","",IF(IF($AE32&lt;=1200,N(INDEX(对接源_01水果!$H$4:$H$1203,$AE32)),N(INDEX(对接源_02物料!$H$4:$H$1203,$AE32-1200)))=0,"",ROUND(IF($AE32&lt;=1200,N(INDEX(对接源_01水果!$K$4:$K$1203,$AE32)),N(INDEX(对接源_02物料!$K$4:$K$1203,$AE32-1200)))/IF($AE32&lt;=1200,N(INDEX(对接源_01水果!$H$4:$H$1203,$AE32)),N(INDEX(对接源_02物料!$H$4:$H$1203,$AE32-1200))),2)))</f>
      </c>
      <c r="H32" s="173">
        <f>IF($AE32="","",IF($AE32&lt;=1200,IF(INDEX(对接源_01水果!$K$4:$K$1203,$AE32)=0,"",INDEX(对接源_01水果!$K$4:$K$1203,$AE32)),IF(INDEX(对接源_02物料!$K$4:$K$1203,$AE32-1200)=0,"",INDEX(对接源_02物料!$K$4:$K$1203,$AE32-1200))))</f>
      </c>
      <c r="I32" s="61">
        <f>IF($AE32="","",IF($AE32&lt;=1200,IF(INDEX(对接源_01水果!$L$4:$L$1203,$AE32)=0,"",INDEX(对接源_01水果!$L$4:$L$1203,$AE32)),IF(INDEX(对接源_02物料!$L$4:$L$1203,$AE32-1200)=0,"",INDEX(对接源_02物料!$L$4:$L$1203,$AE32-1200))))</f>
      </c>
      <c r="J32" s="122">
        <f>IF($AE32="","",IF($AE32&lt;=1200,IF(INDEX(对接源_01水果!$M$4:$M$1203,$AE32)=0,"",INDEX(对接源_01水果!$M$4:$M$1203,$AE32)),IF(INDEX(对接源_02物料!$M$4:$M$1203,$AE32-1200)=0,"",INDEX(对接源_02物料!$M$4:$M$1203,$AE32-1200))))</f>
      </c>
      <c r="AE32" s="128">
        <f>IFERROR(MATCH(27,_自动清单!$AS$4:$AS$2403,0),"")</f>
      </c>
    </row>
    <row r="33" ht="18" customHeight="1" s="127">
      <c r="A33" s="163">
        <f>IF($AE33="","",IF($AE33&lt;=1200,IF(INDEX(对接源_01水果!$B$4:$B$1203,$AE33)=0,"",INDEX(对接源_01水果!$B$4:$B$1203,$AE33)),IF(INDEX(对接源_02物料!$B$4:$B$1203,$AE33-1200)=0,"",INDEX(对接源_02物料!$B$4:$B$1203,$AE33-1200))))</f>
      </c>
      <c r="B33" s="61">
        <f>IF($AE33="","",IF($AE33&lt;=1200,IF(INDEX(对接源_01水果!$E$4:$E$1203,$AE33)=0,"",INDEX(对接源_01水果!$E$4:$E$1203,$AE33)),IF(INDEX(对接源_02物料!$E$4:$E$1203,$AE33-1200)=0,"",INDEX(对接源_02物料!$E$4:$E$1203,$AE33-1200))))</f>
      </c>
      <c r="C33" s="122">
        <f>IF($AE33="","",IF($AE33&lt;=1200,IF(INDEX(对接源_01水果!$F$4:$F$1203,$AE33)=0,"",INDEX(对接源_01水果!$F$4:$F$1203,$AE33)),IF(INDEX(对接源_02物料!$F$4:$F$1203,$AE33-1200)=0,"",INDEX(对接源_02物料!$F$4:$F$1203,$AE33-1200))))</f>
      </c>
      <c r="D33" s="61">
        <f>IF($AE33="","",IF(IF($AE33&lt;=1200,IF(INDEX(对接源_01水果!$G$4:$G$1203,$AE33)=0,"",INDEX(对接源_01水果!$G$4:$G$1203,$AE33)),IF(INDEX(对接源_02物料!$G$4:$G$1203,$AE33-1200)=0,"",INDEX(对接源_02物料!$G$4:$G$1203,$AE33-1200)))="",IF($AE33&lt;=1200,IF(INDEX(对接源_01水果!$D$4:$D$1203,$AE33)=0,"",INDEX(对接源_01水果!$D$4:$D$1203,$AE33)),IF(INDEX(对接源_02物料!$D$4:$D$1203,$AE33-1200)=0,"",INDEX(对接源_02物料!$D$4:$D$1203,$AE33-1200))),IF($AE33&lt;=1200,IF(INDEX(对接源_01水果!$G$4:$G$1203,$AE33)=0,"",INDEX(对接源_01水果!$G$4:$G$1203,$AE33)),IF(INDEX(对接源_02物料!$G$4:$G$1203,$AE33-1200)=0,"",INDEX(对接源_02物料!$G$4:$G$1203,$AE33-1200)))))</f>
      </c>
      <c r="E33" s="173">
        <f>IF($AE33="","",IF($AE33&lt;=1200,IF(INDEX(对接源_01水果!$H$4:$H$1203,$AE33)=0,"",INDEX(对接源_01水果!$H$4:$H$1203,$AE33)),IF(INDEX(对接源_02物料!$H$4:$H$1203,$AE33-1200)=0,"",INDEX(对接源_02物料!$H$4:$H$1203,$AE33-1200))))</f>
      </c>
      <c r="F33" s="61">
        <f>IF($AE33="","",IF($AE33&lt;=1200,IF(INDEX(对接源_01水果!$I$4:$I$1203,$AE33)=0,"",INDEX(对接源_01水果!$I$4:$I$1203,$AE33)),IF(INDEX(对接源_02物料!$I$4:$I$1203,$AE33-1200)=0,"",INDEX(对接源_02物料!$I$4:$I$1203,$AE33-1200))))</f>
      </c>
      <c r="G33" s="173">
        <f>IF($AE33="","",IF(IF($AE33&lt;=1200,N(INDEX(对接源_01水果!$H$4:$H$1203,$AE33)),N(INDEX(对接源_02物料!$H$4:$H$1203,$AE33-1200)))=0,"",ROUND(IF($AE33&lt;=1200,N(INDEX(对接源_01水果!$K$4:$K$1203,$AE33)),N(INDEX(对接源_02物料!$K$4:$K$1203,$AE33-1200)))/IF($AE33&lt;=1200,N(INDEX(对接源_01水果!$H$4:$H$1203,$AE33)),N(INDEX(对接源_02物料!$H$4:$H$1203,$AE33-1200))),2)))</f>
      </c>
      <c r="H33" s="173">
        <f>IF($AE33="","",IF($AE33&lt;=1200,IF(INDEX(对接源_01水果!$K$4:$K$1203,$AE33)=0,"",INDEX(对接源_01水果!$K$4:$K$1203,$AE33)),IF(INDEX(对接源_02物料!$K$4:$K$1203,$AE33-1200)=0,"",INDEX(对接源_02物料!$K$4:$K$1203,$AE33-1200))))</f>
      </c>
      <c r="I33" s="61">
        <f>IF($AE33="","",IF($AE33&lt;=1200,IF(INDEX(对接源_01水果!$L$4:$L$1203,$AE33)=0,"",INDEX(对接源_01水果!$L$4:$L$1203,$AE33)),IF(INDEX(对接源_02物料!$L$4:$L$1203,$AE33-1200)=0,"",INDEX(对接源_02物料!$L$4:$L$1203,$AE33-1200))))</f>
      </c>
      <c r="J33" s="122">
        <f>IF($AE33="","",IF($AE33&lt;=1200,IF(INDEX(对接源_01水果!$M$4:$M$1203,$AE33)=0,"",INDEX(对接源_01水果!$M$4:$M$1203,$AE33)),IF(INDEX(对接源_02物料!$M$4:$M$1203,$AE33-1200)=0,"",INDEX(对接源_02物料!$M$4:$M$1203,$AE33-1200))))</f>
      </c>
      <c r="AE33" s="128">
        <f>IFERROR(MATCH(28,_自动清单!$AS$4:$AS$2403,0),"")</f>
      </c>
    </row>
    <row r="34" ht="18" customHeight="1" s="127">
      <c r="A34" s="163">
        <f>IF($AE34="","",IF($AE34&lt;=1200,IF(INDEX(对接源_01水果!$B$4:$B$1203,$AE34)=0,"",INDEX(对接源_01水果!$B$4:$B$1203,$AE34)),IF(INDEX(对接源_02物料!$B$4:$B$1203,$AE34-1200)=0,"",INDEX(对接源_02物料!$B$4:$B$1203,$AE34-1200))))</f>
      </c>
      <c r="B34" s="61">
        <f>IF($AE34="","",IF($AE34&lt;=1200,IF(INDEX(对接源_01水果!$E$4:$E$1203,$AE34)=0,"",INDEX(对接源_01水果!$E$4:$E$1203,$AE34)),IF(INDEX(对接源_02物料!$E$4:$E$1203,$AE34-1200)=0,"",INDEX(对接源_02物料!$E$4:$E$1203,$AE34-1200))))</f>
      </c>
      <c r="C34" s="122">
        <f>IF($AE34="","",IF($AE34&lt;=1200,IF(INDEX(对接源_01水果!$F$4:$F$1203,$AE34)=0,"",INDEX(对接源_01水果!$F$4:$F$1203,$AE34)),IF(INDEX(对接源_02物料!$F$4:$F$1203,$AE34-1200)=0,"",INDEX(对接源_02物料!$F$4:$F$1203,$AE34-1200))))</f>
      </c>
      <c r="D34" s="61">
        <f>IF($AE34="","",IF(IF($AE34&lt;=1200,IF(INDEX(对接源_01水果!$G$4:$G$1203,$AE34)=0,"",INDEX(对接源_01水果!$G$4:$G$1203,$AE34)),IF(INDEX(对接源_02物料!$G$4:$G$1203,$AE34-1200)=0,"",INDEX(对接源_02物料!$G$4:$G$1203,$AE34-1200)))="",IF($AE34&lt;=1200,IF(INDEX(对接源_01水果!$D$4:$D$1203,$AE34)=0,"",INDEX(对接源_01水果!$D$4:$D$1203,$AE34)),IF(INDEX(对接源_02物料!$D$4:$D$1203,$AE34-1200)=0,"",INDEX(对接源_02物料!$D$4:$D$1203,$AE34-1200))),IF($AE34&lt;=1200,IF(INDEX(对接源_01水果!$G$4:$G$1203,$AE34)=0,"",INDEX(对接源_01水果!$G$4:$G$1203,$AE34)),IF(INDEX(对接源_02物料!$G$4:$G$1203,$AE34-1200)=0,"",INDEX(对接源_02物料!$G$4:$G$1203,$AE34-1200)))))</f>
      </c>
      <c r="E34" s="173">
        <f>IF($AE34="","",IF($AE34&lt;=1200,IF(INDEX(对接源_01水果!$H$4:$H$1203,$AE34)=0,"",INDEX(对接源_01水果!$H$4:$H$1203,$AE34)),IF(INDEX(对接源_02物料!$H$4:$H$1203,$AE34-1200)=0,"",INDEX(对接源_02物料!$H$4:$H$1203,$AE34-1200))))</f>
      </c>
      <c r="F34" s="61">
        <f>IF($AE34="","",IF($AE34&lt;=1200,IF(INDEX(对接源_01水果!$I$4:$I$1203,$AE34)=0,"",INDEX(对接源_01水果!$I$4:$I$1203,$AE34)),IF(INDEX(对接源_02物料!$I$4:$I$1203,$AE34-1200)=0,"",INDEX(对接源_02物料!$I$4:$I$1203,$AE34-1200))))</f>
      </c>
      <c r="G34" s="173">
        <f>IF($AE34="","",IF(IF($AE34&lt;=1200,N(INDEX(对接源_01水果!$H$4:$H$1203,$AE34)),N(INDEX(对接源_02物料!$H$4:$H$1203,$AE34-1200)))=0,"",ROUND(IF($AE34&lt;=1200,N(INDEX(对接源_01水果!$K$4:$K$1203,$AE34)),N(INDEX(对接源_02物料!$K$4:$K$1203,$AE34-1200)))/IF($AE34&lt;=1200,N(INDEX(对接源_01水果!$H$4:$H$1203,$AE34)),N(INDEX(对接源_02物料!$H$4:$H$1203,$AE34-1200))),2)))</f>
      </c>
      <c r="H34" s="173">
        <f>IF($AE34="","",IF($AE34&lt;=1200,IF(INDEX(对接源_01水果!$K$4:$K$1203,$AE34)=0,"",INDEX(对接源_01水果!$K$4:$K$1203,$AE34)),IF(INDEX(对接源_02物料!$K$4:$K$1203,$AE34-1200)=0,"",INDEX(对接源_02物料!$K$4:$K$1203,$AE34-1200))))</f>
      </c>
      <c r="I34" s="61">
        <f>IF($AE34="","",IF($AE34&lt;=1200,IF(INDEX(对接源_01水果!$L$4:$L$1203,$AE34)=0,"",INDEX(对接源_01水果!$L$4:$L$1203,$AE34)),IF(INDEX(对接源_02物料!$L$4:$L$1203,$AE34-1200)=0,"",INDEX(对接源_02物料!$L$4:$L$1203,$AE34-1200))))</f>
      </c>
      <c r="J34" s="122">
        <f>IF($AE34="","",IF($AE34&lt;=1200,IF(INDEX(对接源_01水果!$M$4:$M$1203,$AE34)=0,"",INDEX(对接源_01水果!$M$4:$M$1203,$AE34)),IF(INDEX(对接源_02物料!$M$4:$M$1203,$AE34-1200)=0,"",INDEX(对接源_02物料!$M$4:$M$1203,$AE34-1200))))</f>
      </c>
      <c r="AE34" s="128">
        <f>IFERROR(MATCH(29,_自动清单!$AS$4:$AS$2403,0),"")</f>
      </c>
    </row>
    <row r="35" ht="18" customHeight="1" s="127">
      <c r="A35" s="163">
        <f>IF($AE35="","",IF($AE35&lt;=1200,IF(INDEX(对接源_01水果!$B$4:$B$1203,$AE35)=0,"",INDEX(对接源_01水果!$B$4:$B$1203,$AE35)),IF(INDEX(对接源_02物料!$B$4:$B$1203,$AE35-1200)=0,"",INDEX(对接源_02物料!$B$4:$B$1203,$AE35-1200))))</f>
      </c>
      <c r="B35" s="61">
        <f>IF($AE35="","",IF($AE35&lt;=1200,IF(INDEX(对接源_01水果!$E$4:$E$1203,$AE35)=0,"",INDEX(对接源_01水果!$E$4:$E$1203,$AE35)),IF(INDEX(对接源_02物料!$E$4:$E$1203,$AE35-1200)=0,"",INDEX(对接源_02物料!$E$4:$E$1203,$AE35-1200))))</f>
      </c>
      <c r="C35" s="122">
        <f>IF($AE35="","",IF($AE35&lt;=1200,IF(INDEX(对接源_01水果!$F$4:$F$1203,$AE35)=0,"",INDEX(对接源_01水果!$F$4:$F$1203,$AE35)),IF(INDEX(对接源_02物料!$F$4:$F$1203,$AE35-1200)=0,"",INDEX(对接源_02物料!$F$4:$F$1203,$AE35-1200))))</f>
      </c>
      <c r="D35" s="61">
        <f>IF($AE35="","",IF(IF($AE35&lt;=1200,IF(INDEX(对接源_01水果!$G$4:$G$1203,$AE35)=0,"",INDEX(对接源_01水果!$G$4:$G$1203,$AE35)),IF(INDEX(对接源_02物料!$G$4:$G$1203,$AE35-1200)=0,"",INDEX(对接源_02物料!$G$4:$G$1203,$AE35-1200)))="",IF($AE35&lt;=1200,IF(INDEX(对接源_01水果!$D$4:$D$1203,$AE35)=0,"",INDEX(对接源_01水果!$D$4:$D$1203,$AE35)),IF(INDEX(对接源_02物料!$D$4:$D$1203,$AE35-1200)=0,"",INDEX(对接源_02物料!$D$4:$D$1203,$AE35-1200))),IF($AE35&lt;=1200,IF(INDEX(对接源_01水果!$G$4:$G$1203,$AE35)=0,"",INDEX(对接源_01水果!$G$4:$G$1203,$AE35)),IF(INDEX(对接源_02物料!$G$4:$G$1203,$AE35-1200)=0,"",INDEX(对接源_02物料!$G$4:$G$1203,$AE35-1200)))))</f>
      </c>
      <c r="E35" s="173">
        <f>IF($AE35="","",IF($AE35&lt;=1200,IF(INDEX(对接源_01水果!$H$4:$H$1203,$AE35)=0,"",INDEX(对接源_01水果!$H$4:$H$1203,$AE35)),IF(INDEX(对接源_02物料!$H$4:$H$1203,$AE35-1200)=0,"",INDEX(对接源_02物料!$H$4:$H$1203,$AE35-1200))))</f>
      </c>
      <c r="F35" s="61">
        <f>IF($AE35="","",IF($AE35&lt;=1200,IF(INDEX(对接源_01水果!$I$4:$I$1203,$AE35)=0,"",INDEX(对接源_01水果!$I$4:$I$1203,$AE35)),IF(INDEX(对接源_02物料!$I$4:$I$1203,$AE35-1200)=0,"",INDEX(对接源_02物料!$I$4:$I$1203,$AE35-1200))))</f>
      </c>
      <c r="G35" s="173">
        <f>IF($AE35="","",IF(IF($AE35&lt;=1200,N(INDEX(对接源_01水果!$H$4:$H$1203,$AE35)),N(INDEX(对接源_02物料!$H$4:$H$1203,$AE35-1200)))=0,"",ROUND(IF($AE35&lt;=1200,N(INDEX(对接源_01水果!$K$4:$K$1203,$AE35)),N(INDEX(对接源_02物料!$K$4:$K$1203,$AE35-1200)))/IF($AE35&lt;=1200,N(INDEX(对接源_01水果!$H$4:$H$1203,$AE35)),N(INDEX(对接源_02物料!$H$4:$H$1203,$AE35-1200))),2)))</f>
      </c>
      <c r="H35" s="173">
        <f>IF($AE35="","",IF($AE35&lt;=1200,IF(INDEX(对接源_01水果!$K$4:$K$1203,$AE35)=0,"",INDEX(对接源_01水果!$K$4:$K$1203,$AE35)),IF(INDEX(对接源_02物料!$K$4:$K$1203,$AE35-1200)=0,"",INDEX(对接源_02物料!$K$4:$K$1203,$AE35-1200))))</f>
      </c>
      <c r="I35" s="61">
        <f>IF($AE35="","",IF($AE35&lt;=1200,IF(INDEX(对接源_01水果!$L$4:$L$1203,$AE35)=0,"",INDEX(对接源_01水果!$L$4:$L$1203,$AE35)),IF(INDEX(对接源_02物料!$L$4:$L$1203,$AE35-1200)=0,"",INDEX(对接源_02物料!$L$4:$L$1203,$AE35-1200))))</f>
      </c>
      <c r="J35" s="122">
        <f>IF($AE35="","",IF($AE35&lt;=1200,IF(INDEX(对接源_01水果!$M$4:$M$1203,$AE35)=0,"",INDEX(对接源_01水果!$M$4:$M$1203,$AE35)),IF(INDEX(对接源_02物料!$M$4:$M$1203,$AE35-1200)=0,"",INDEX(对接源_02物料!$M$4:$M$1203,$AE35-1200))))</f>
      </c>
      <c r="AE35" s="128">
        <f>IFERROR(MATCH(30,_自动清单!$AS$4:$AS$2403,0),"")</f>
      </c>
    </row>
    <row r="36" ht="18" customHeight="1" s="127">
      <c r="A36" s="163">
        <f>IF($AE36="","",IF($AE36&lt;=1200,IF(INDEX(对接源_01水果!$B$4:$B$1203,$AE36)=0,"",INDEX(对接源_01水果!$B$4:$B$1203,$AE36)),IF(INDEX(对接源_02物料!$B$4:$B$1203,$AE36-1200)=0,"",INDEX(对接源_02物料!$B$4:$B$1203,$AE36-1200))))</f>
      </c>
      <c r="B36" s="61">
        <f>IF($AE36="","",IF($AE36&lt;=1200,IF(INDEX(对接源_01水果!$E$4:$E$1203,$AE36)=0,"",INDEX(对接源_01水果!$E$4:$E$1203,$AE36)),IF(INDEX(对接源_02物料!$E$4:$E$1203,$AE36-1200)=0,"",INDEX(对接源_02物料!$E$4:$E$1203,$AE36-1200))))</f>
      </c>
      <c r="C36" s="122">
        <f>IF($AE36="","",IF($AE36&lt;=1200,IF(INDEX(对接源_01水果!$F$4:$F$1203,$AE36)=0,"",INDEX(对接源_01水果!$F$4:$F$1203,$AE36)),IF(INDEX(对接源_02物料!$F$4:$F$1203,$AE36-1200)=0,"",INDEX(对接源_02物料!$F$4:$F$1203,$AE36-1200))))</f>
      </c>
      <c r="D36" s="61">
        <f>IF($AE36="","",IF(IF($AE36&lt;=1200,IF(INDEX(对接源_01水果!$G$4:$G$1203,$AE36)=0,"",INDEX(对接源_01水果!$G$4:$G$1203,$AE36)),IF(INDEX(对接源_02物料!$G$4:$G$1203,$AE36-1200)=0,"",INDEX(对接源_02物料!$G$4:$G$1203,$AE36-1200)))="",IF($AE36&lt;=1200,IF(INDEX(对接源_01水果!$D$4:$D$1203,$AE36)=0,"",INDEX(对接源_01水果!$D$4:$D$1203,$AE36)),IF(INDEX(对接源_02物料!$D$4:$D$1203,$AE36-1200)=0,"",INDEX(对接源_02物料!$D$4:$D$1203,$AE36-1200))),IF($AE36&lt;=1200,IF(INDEX(对接源_01水果!$G$4:$G$1203,$AE36)=0,"",INDEX(对接源_01水果!$G$4:$G$1203,$AE36)),IF(INDEX(对接源_02物料!$G$4:$G$1203,$AE36-1200)=0,"",INDEX(对接源_02物料!$G$4:$G$1203,$AE36-1200)))))</f>
      </c>
      <c r="E36" s="173">
        <f>IF($AE36="","",IF($AE36&lt;=1200,IF(INDEX(对接源_01水果!$H$4:$H$1203,$AE36)=0,"",INDEX(对接源_01水果!$H$4:$H$1203,$AE36)),IF(INDEX(对接源_02物料!$H$4:$H$1203,$AE36-1200)=0,"",INDEX(对接源_02物料!$H$4:$H$1203,$AE36-1200))))</f>
      </c>
      <c r="F36" s="61">
        <f>IF($AE36="","",IF($AE36&lt;=1200,IF(INDEX(对接源_01水果!$I$4:$I$1203,$AE36)=0,"",INDEX(对接源_01水果!$I$4:$I$1203,$AE36)),IF(INDEX(对接源_02物料!$I$4:$I$1203,$AE36-1200)=0,"",INDEX(对接源_02物料!$I$4:$I$1203,$AE36-1200))))</f>
      </c>
      <c r="G36" s="173">
        <f>IF($AE36="","",IF(IF($AE36&lt;=1200,N(INDEX(对接源_01水果!$H$4:$H$1203,$AE36)),N(INDEX(对接源_02物料!$H$4:$H$1203,$AE36-1200)))=0,"",ROUND(IF($AE36&lt;=1200,N(INDEX(对接源_01水果!$K$4:$K$1203,$AE36)),N(INDEX(对接源_02物料!$K$4:$K$1203,$AE36-1200)))/IF($AE36&lt;=1200,N(INDEX(对接源_01水果!$H$4:$H$1203,$AE36)),N(INDEX(对接源_02物料!$H$4:$H$1203,$AE36-1200))),2)))</f>
      </c>
      <c r="H36" s="173">
        <f>IF($AE36="","",IF($AE36&lt;=1200,IF(INDEX(对接源_01水果!$K$4:$K$1203,$AE36)=0,"",INDEX(对接源_01水果!$K$4:$K$1203,$AE36)),IF(INDEX(对接源_02物料!$K$4:$K$1203,$AE36-1200)=0,"",INDEX(对接源_02物料!$K$4:$K$1203,$AE36-1200))))</f>
      </c>
      <c r="I36" s="61">
        <f>IF($AE36="","",IF($AE36&lt;=1200,IF(INDEX(对接源_01水果!$L$4:$L$1203,$AE36)=0,"",INDEX(对接源_01水果!$L$4:$L$1203,$AE36)),IF(INDEX(对接源_02物料!$L$4:$L$1203,$AE36-1200)=0,"",INDEX(对接源_02物料!$L$4:$L$1203,$AE36-1200))))</f>
      </c>
      <c r="J36" s="122">
        <f>IF($AE36="","",IF($AE36&lt;=1200,IF(INDEX(对接源_01水果!$M$4:$M$1203,$AE36)=0,"",INDEX(对接源_01水果!$M$4:$M$1203,$AE36)),IF(INDEX(对接源_02物料!$M$4:$M$1203,$AE36-1200)=0,"",INDEX(对接源_02物料!$M$4:$M$1203,$AE36-1200))))</f>
      </c>
      <c r="AE36" s="128">
        <f>IFERROR(MATCH(31,_自动清单!$AS$4:$AS$2403,0),"")</f>
      </c>
    </row>
    <row r="37" ht="18" customHeight="1" s="127">
      <c r="A37" s="163">
        <f>IF($AE37="","",IF($AE37&lt;=1200,IF(INDEX(对接源_01水果!$B$4:$B$1203,$AE37)=0,"",INDEX(对接源_01水果!$B$4:$B$1203,$AE37)),IF(INDEX(对接源_02物料!$B$4:$B$1203,$AE37-1200)=0,"",INDEX(对接源_02物料!$B$4:$B$1203,$AE37-1200))))</f>
      </c>
      <c r="B37" s="61">
        <f>IF($AE37="","",IF($AE37&lt;=1200,IF(INDEX(对接源_01水果!$E$4:$E$1203,$AE37)=0,"",INDEX(对接源_01水果!$E$4:$E$1203,$AE37)),IF(INDEX(对接源_02物料!$E$4:$E$1203,$AE37-1200)=0,"",INDEX(对接源_02物料!$E$4:$E$1203,$AE37-1200))))</f>
      </c>
      <c r="C37" s="122">
        <f>IF($AE37="","",IF($AE37&lt;=1200,IF(INDEX(对接源_01水果!$F$4:$F$1203,$AE37)=0,"",INDEX(对接源_01水果!$F$4:$F$1203,$AE37)),IF(INDEX(对接源_02物料!$F$4:$F$1203,$AE37-1200)=0,"",INDEX(对接源_02物料!$F$4:$F$1203,$AE37-1200))))</f>
      </c>
      <c r="D37" s="61">
        <f>IF($AE37="","",IF(IF($AE37&lt;=1200,IF(INDEX(对接源_01水果!$G$4:$G$1203,$AE37)=0,"",INDEX(对接源_01水果!$G$4:$G$1203,$AE37)),IF(INDEX(对接源_02物料!$G$4:$G$1203,$AE37-1200)=0,"",INDEX(对接源_02物料!$G$4:$G$1203,$AE37-1200)))="",IF($AE37&lt;=1200,IF(INDEX(对接源_01水果!$D$4:$D$1203,$AE37)=0,"",INDEX(对接源_01水果!$D$4:$D$1203,$AE37)),IF(INDEX(对接源_02物料!$D$4:$D$1203,$AE37-1200)=0,"",INDEX(对接源_02物料!$D$4:$D$1203,$AE37-1200))),IF($AE37&lt;=1200,IF(INDEX(对接源_01水果!$G$4:$G$1203,$AE37)=0,"",INDEX(对接源_01水果!$G$4:$G$1203,$AE37)),IF(INDEX(对接源_02物料!$G$4:$G$1203,$AE37-1200)=0,"",INDEX(对接源_02物料!$G$4:$G$1203,$AE37-1200)))))</f>
      </c>
      <c r="E37" s="173">
        <f>IF($AE37="","",IF($AE37&lt;=1200,IF(INDEX(对接源_01水果!$H$4:$H$1203,$AE37)=0,"",INDEX(对接源_01水果!$H$4:$H$1203,$AE37)),IF(INDEX(对接源_02物料!$H$4:$H$1203,$AE37-1200)=0,"",INDEX(对接源_02物料!$H$4:$H$1203,$AE37-1200))))</f>
      </c>
      <c r="F37" s="61">
        <f>IF($AE37="","",IF($AE37&lt;=1200,IF(INDEX(对接源_01水果!$I$4:$I$1203,$AE37)=0,"",INDEX(对接源_01水果!$I$4:$I$1203,$AE37)),IF(INDEX(对接源_02物料!$I$4:$I$1203,$AE37-1200)=0,"",INDEX(对接源_02物料!$I$4:$I$1203,$AE37-1200))))</f>
      </c>
      <c r="G37" s="173">
        <f>IF($AE37="","",IF(IF($AE37&lt;=1200,N(INDEX(对接源_01水果!$H$4:$H$1203,$AE37)),N(INDEX(对接源_02物料!$H$4:$H$1203,$AE37-1200)))=0,"",ROUND(IF($AE37&lt;=1200,N(INDEX(对接源_01水果!$K$4:$K$1203,$AE37)),N(INDEX(对接源_02物料!$K$4:$K$1203,$AE37-1200)))/IF($AE37&lt;=1200,N(INDEX(对接源_01水果!$H$4:$H$1203,$AE37)),N(INDEX(对接源_02物料!$H$4:$H$1203,$AE37-1200))),2)))</f>
      </c>
      <c r="H37" s="173">
        <f>IF($AE37="","",IF($AE37&lt;=1200,IF(INDEX(对接源_01水果!$K$4:$K$1203,$AE37)=0,"",INDEX(对接源_01水果!$K$4:$K$1203,$AE37)),IF(INDEX(对接源_02物料!$K$4:$K$1203,$AE37-1200)=0,"",INDEX(对接源_02物料!$K$4:$K$1203,$AE37-1200))))</f>
      </c>
      <c r="I37" s="61">
        <f>IF($AE37="","",IF($AE37&lt;=1200,IF(INDEX(对接源_01水果!$L$4:$L$1203,$AE37)=0,"",INDEX(对接源_01水果!$L$4:$L$1203,$AE37)),IF(INDEX(对接源_02物料!$L$4:$L$1203,$AE37-1200)=0,"",INDEX(对接源_02物料!$L$4:$L$1203,$AE37-1200))))</f>
      </c>
      <c r="J37" s="122">
        <f>IF($AE37="","",IF($AE37&lt;=1200,IF(INDEX(对接源_01水果!$M$4:$M$1203,$AE37)=0,"",INDEX(对接源_01水果!$M$4:$M$1203,$AE37)),IF(INDEX(对接源_02物料!$M$4:$M$1203,$AE37-1200)=0,"",INDEX(对接源_02物料!$M$4:$M$1203,$AE37-1200))))</f>
      </c>
      <c r="AE37" s="128">
        <f>IFERROR(MATCH(32,_自动清单!$AS$4:$AS$2403,0),"")</f>
      </c>
    </row>
    <row r="38" ht="18" customHeight="1" s="127">
      <c r="A38" s="163">
        <f>IF($AE38="","",IF($AE38&lt;=1200,IF(INDEX(对接源_01水果!$B$4:$B$1203,$AE38)=0,"",INDEX(对接源_01水果!$B$4:$B$1203,$AE38)),IF(INDEX(对接源_02物料!$B$4:$B$1203,$AE38-1200)=0,"",INDEX(对接源_02物料!$B$4:$B$1203,$AE38-1200))))</f>
      </c>
      <c r="B38" s="61">
        <f>IF($AE38="","",IF($AE38&lt;=1200,IF(INDEX(对接源_01水果!$E$4:$E$1203,$AE38)=0,"",INDEX(对接源_01水果!$E$4:$E$1203,$AE38)),IF(INDEX(对接源_02物料!$E$4:$E$1203,$AE38-1200)=0,"",INDEX(对接源_02物料!$E$4:$E$1203,$AE38-1200))))</f>
      </c>
      <c r="C38" s="122">
        <f>IF($AE38="","",IF($AE38&lt;=1200,IF(INDEX(对接源_01水果!$F$4:$F$1203,$AE38)=0,"",INDEX(对接源_01水果!$F$4:$F$1203,$AE38)),IF(INDEX(对接源_02物料!$F$4:$F$1203,$AE38-1200)=0,"",INDEX(对接源_02物料!$F$4:$F$1203,$AE38-1200))))</f>
      </c>
      <c r="D38" s="61">
        <f>IF($AE38="","",IF(IF($AE38&lt;=1200,IF(INDEX(对接源_01水果!$G$4:$G$1203,$AE38)=0,"",INDEX(对接源_01水果!$G$4:$G$1203,$AE38)),IF(INDEX(对接源_02物料!$G$4:$G$1203,$AE38-1200)=0,"",INDEX(对接源_02物料!$G$4:$G$1203,$AE38-1200)))="",IF($AE38&lt;=1200,IF(INDEX(对接源_01水果!$D$4:$D$1203,$AE38)=0,"",INDEX(对接源_01水果!$D$4:$D$1203,$AE38)),IF(INDEX(对接源_02物料!$D$4:$D$1203,$AE38-1200)=0,"",INDEX(对接源_02物料!$D$4:$D$1203,$AE38-1200))),IF($AE38&lt;=1200,IF(INDEX(对接源_01水果!$G$4:$G$1203,$AE38)=0,"",INDEX(对接源_01水果!$G$4:$G$1203,$AE38)),IF(INDEX(对接源_02物料!$G$4:$G$1203,$AE38-1200)=0,"",INDEX(对接源_02物料!$G$4:$G$1203,$AE38-1200)))))</f>
      </c>
      <c r="E38" s="173">
        <f>IF($AE38="","",IF($AE38&lt;=1200,IF(INDEX(对接源_01水果!$H$4:$H$1203,$AE38)=0,"",INDEX(对接源_01水果!$H$4:$H$1203,$AE38)),IF(INDEX(对接源_02物料!$H$4:$H$1203,$AE38-1200)=0,"",INDEX(对接源_02物料!$H$4:$H$1203,$AE38-1200))))</f>
      </c>
      <c r="F38" s="61">
        <f>IF($AE38="","",IF($AE38&lt;=1200,IF(INDEX(对接源_01水果!$I$4:$I$1203,$AE38)=0,"",INDEX(对接源_01水果!$I$4:$I$1203,$AE38)),IF(INDEX(对接源_02物料!$I$4:$I$1203,$AE38-1200)=0,"",INDEX(对接源_02物料!$I$4:$I$1203,$AE38-1200))))</f>
      </c>
      <c r="G38" s="173">
        <f>IF($AE38="","",IF(IF($AE38&lt;=1200,N(INDEX(对接源_01水果!$H$4:$H$1203,$AE38)),N(INDEX(对接源_02物料!$H$4:$H$1203,$AE38-1200)))=0,"",ROUND(IF($AE38&lt;=1200,N(INDEX(对接源_01水果!$K$4:$K$1203,$AE38)),N(INDEX(对接源_02物料!$K$4:$K$1203,$AE38-1200)))/IF($AE38&lt;=1200,N(INDEX(对接源_01水果!$H$4:$H$1203,$AE38)),N(INDEX(对接源_02物料!$H$4:$H$1203,$AE38-1200))),2)))</f>
      </c>
      <c r="H38" s="173">
        <f>IF($AE38="","",IF($AE38&lt;=1200,IF(INDEX(对接源_01水果!$K$4:$K$1203,$AE38)=0,"",INDEX(对接源_01水果!$K$4:$K$1203,$AE38)),IF(INDEX(对接源_02物料!$K$4:$K$1203,$AE38-1200)=0,"",INDEX(对接源_02物料!$K$4:$K$1203,$AE38-1200))))</f>
      </c>
      <c r="I38" s="61">
        <f>IF($AE38="","",IF($AE38&lt;=1200,IF(INDEX(对接源_01水果!$L$4:$L$1203,$AE38)=0,"",INDEX(对接源_01水果!$L$4:$L$1203,$AE38)),IF(INDEX(对接源_02物料!$L$4:$L$1203,$AE38-1200)=0,"",INDEX(对接源_02物料!$L$4:$L$1203,$AE38-1200))))</f>
      </c>
      <c r="J38" s="122">
        <f>IF($AE38="","",IF($AE38&lt;=1200,IF(INDEX(对接源_01水果!$M$4:$M$1203,$AE38)=0,"",INDEX(对接源_01水果!$M$4:$M$1203,$AE38)),IF(INDEX(对接源_02物料!$M$4:$M$1203,$AE38-1200)=0,"",INDEX(对接源_02物料!$M$4:$M$1203,$AE38-1200))))</f>
      </c>
      <c r="AE38" s="128">
        <f>IFERROR(MATCH(33,_自动清单!$AS$4:$AS$2403,0),"")</f>
      </c>
    </row>
    <row r="39" ht="18" customHeight="1" s="127">
      <c r="A39" s="163">
        <f>IF($AE39="","",IF($AE39&lt;=1200,IF(INDEX(对接源_01水果!$B$4:$B$1203,$AE39)=0,"",INDEX(对接源_01水果!$B$4:$B$1203,$AE39)),IF(INDEX(对接源_02物料!$B$4:$B$1203,$AE39-1200)=0,"",INDEX(对接源_02物料!$B$4:$B$1203,$AE39-1200))))</f>
      </c>
      <c r="B39" s="61">
        <f>IF($AE39="","",IF($AE39&lt;=1200,IF(INDEX(对接源_01水果!$E$4:$E$1203,$AE39)=0,"",INDEX(对接源_01水果!$E$4:$E$1203,$AE39)),IF(INDEX(对接源_02物料!$E$4:$E$1203,$AE39-1200)=0,"",INDEX(对接源_02物料!$E$4:$E$1203,$AE39-1200))))</f>
      </c>
      <c r="C39" s="122">
        <f>IF($AE39="","",IF($AE39&lt;=1200,IF(INDEX(对接源_01水果!$F$4:$F$1203,$AE39)=0,"",INDEX(对接源_01水果!$F$4:$F$1203,$AE39)),IF(INDEX(对接源_02物料!$F$4:$F$1203,$AE39-1200)=0,"",INDEX(对接源_02物料!$F$4:$F$1203,$AE39-1200))))</f>
      </c>
      <c r="D39" s="61">
        <f>IF($AE39="","",IF(IF($AE39&lt;=1200,IF(INDEX(对接源_01水果!$G$4:$G$1203,$AE39)=0,"",INDEX(对接源_01水果!$G$4:$G$1203,$AE39)),IF(INDEX(对接源_02物料!$G$4:$G$1203,$AE39-1200)=0,"",INDEX(对接源_02物料!$G$4:$G$1203,$AE39-1200)))="",IF($AE39&lt;=1200,IF(INDEX(对接源_01水果!$D$4:$D$1203,$AE39)=0,"",INDEX(对接源_01水果!$D$4:$D$1203,$AE39)),IF(INDEX(对接源_02物料!$D$4:$D$1203,$AE39-1200)=0,"",INDEX(对接源_02物料!$D$4:$D$1203,$AE39-1200))),IF($AE39&lt;=1200,IF(INDEX(对接源_01水果!$G$4:$G$1203,$AE39)=0,"",INDEX(对接源_01水果!$G$4:$G$1203,$AE39)),IF(INDEX(对接源_02物料!$G$4:$G$1203,$AE39-1200)=0,"",INDEX(对接源_02物料!$G$4:$G$1203,$AE39-1200)))))</f>
      </c>
      <c r="E39" s="173">
        <f>IF($AE39="","",IF($AE39&lt;=1200,IF(INDEX(对接源_01水果!$H$4:$H$1203,$AE39)=0,"",INDEX(对接源_01水果!$H$4:$H$1203,$AE39)),IF(INDEX(对接源_02物料!$H$4:$H$1203,$AE39-1200)=0,"",INDEX(对接源_02物料!$H$4:$H$1203,$AE39-1200))))</f>
      </c>
      <c r="F39" s="61">
        <f>IF($AE39="","",IF($AE39&lt;=1200,IF(INDEX(对接源_01水果!$I$4:$I$1203,$AE39)=0,"",INDEX(对接源_01水果!$I$4:$I$1203,$AE39)),IF(INDEX(对接源_02物料!$I$4:$I$1203,$AE39-1200)=0,"",INDEX(对接源_02物料!$I$4:$I$1203,$AE39-1200))))</f>
      </c>
      <c r="G39" s="173">
        <f>IF($AE39="","",IF(IF($AE39&lt;=1200,N(INDEX(对接源_01水果!$H$4:$H$1203,$AE39)),N(INDEX(对接源_02物料!$H$4:$H$1203,$AE39-1200)))=0,"",ROUND(IF($AE39&lt;=1200,N(INDEX(对接源_01水果!$K$4:$K$1203,$AE39)),N(INDEX(对接源_02物料!$K$4:$K$1203,$AE39-1200)))/IF($AE39&lt;=1200,N(INDEX(对接源_01水果!$H$4:$H$1203,$AE39)),N(INDEX(对接源_02物料!$H$4:$H$1203,$AE39-1200))),2)))</f>
      </c>
      <c r="H39" s="173">
        <f>IF($AE39="","",IF($AE39&lt;=1200,IF(INDEX(对接源_01水果!$K$4:$K$1203,$AE39)=0,"",INDEX(对接源_01水果!$K$4:$K$1203,$AE39)),IF(INDEX(对接源_02物料!$K$4:$K$1203,$AE39-1200)=0,"",INDEX(对接源_02物料!$K$4:$K$1203,$AE39-1200))))</f>
      </c>
      <c r="I39" s="61">
        <f>IF($AE39="","",IF($AE39&lt;=1200,IF(INDEX(对接源_01水果!$L$4:$L$1203,$AE39)=0,"",INDEX(对接源_01水果!$L$4:$L$1203,$AE39)),IF(INDEX(对接源_02物料!$L$4:$L$1203,$AE39-1200)=0,"",INDEX(对接源_02物料!$L$4:$L$1203,$AE39-1200))))</f>
      </c>
      <c r="J39" s="122">
        <f>IF($AE39="","",IF($AE39&lt;=1200,IF(INDEX(对接源_01水果!$M$4:$M$1203,$AE39)=0,"",INDEX(对接源_01水果!$M$4:$M$1203,$AE39)),IF(INDEX(对接源_02物料!$M$4:$M$1203,$AE39-1200)=0,"",INDEX(对接源_02物料!$M$4:$M$1203,$AE39-1200))))</f>
      </c>
      <c r="AE39" s="128">
        <f>IFERROR(MATCH(34,_自动清单!$AS$4:$AS$2403,0),"")</f>
      </c>
    </row>
    <row r="40" ht="18" customHeight="1" s="127">
      <c r="A40" s="163">
        <f>IF($AE40="","",IF($AE40&lt;=1200,IF(INDEX(对接源_01水果!$B$4:$B$1203,$AE40)=0,"",INDEX(对接源_01水果!$B$4:$B$1203,$AE40)),IF(INDEX(对接源_02物料!$B$4:$B$1203,$AE40-1200)=0,"",INDEX(对接源_02物料!$B$4:$B$1203,$AE40-1200))))</f>
      </c>
      <c r="B40" s="61">
        <f>IF($AE40="","",IF($AE40&lt;=1200,IF(INDEX(对接源_01水果!$E$4:$E$1203,$AE40)=0,"",INDEX(对接源_01水果!$E$4:$E$1203,$AE40)),IF(INDEX(对接源_02物料!$E$4:$E$1203,$AE40-1200)=0,"",INDEX(对接源_02物料!$E$4:$E$1203,$AE40-1200))))</f>
      </c>
      <c r="C40" s="122">
        <f>IF($AE40="","",IF($AE40&lt;=1200,IF(INDEX(对接源_01水果!$F$4:$F$1203,$AE40)=0,"",INDEX(对接源_01水果!$F$4:$F$1203,$AE40)),IF(INDEX(对接源_02物料!$F$4:$F$1203,$AE40-1200)=0,"",INDEX(对接源_02物料!$F$4:$F$1203,$AE40-1200))))</f>
      </c>
      <c r="D40" s="61">
        <f>IF($AE40="","",IF(IF($AE40&lt;=1200,IF(INDEX(对接源_01水果!$G$4:$G$1203,$AE40)=0,"",INDEX(对接源_01水果!$G$4:$G$1203,$AE40)),IF(INDEX(对接源_02物料!$G$4:$G$1203,$AE40-1200)=0,"",INDEX(对接源_02物料!$G$4:$G$1203,$AE40-1200)))="",IF($AE40&lt;=1200,IF(INDEX(对接源_01水果!$D$4:$D$1203,$AE40)=0,"",INDEX(对接源_01水果!$D$4:$D$1203,$AE40)),IF(INDEX(对接源_02物料!$D$4:$D$1203,$AE40-1200)=0,"",INDEX(对接源_02物料!$D$4:$D$1203,$AE40-1200))),IF($AE40&lt;=1200,IF(INDEX(对接源_01水果!$G$4:$G$1203,$AE40)=0,"",INDEX(对接源_01水果!$G$4:$G$1203,$AE40)),IF(INDEX(对接源_02物料!$G$4:$G$1203,$AE40-1200)=0,"",INDEX(对接源_02物料!$G$4:$G$1203,$AE40-1200)))))</f>
      </c>
      <c r="E40" s="173">
        <f>IF($AE40="","",IF($AE40&lt;=1200,IF(INDEX(对接源_01水果!$H$4:$H$1203,$AE40)=0,"",INDEX(对接源_01水果!$H$4:$H$1203,$AE40)),IF(INDEX(对接源_02物料!$H$4:$H$1203,$AE40-1200)=0,"",INDEX(对接源_02物料!$H$4:$H$1203,$AE40-1200))))</f>
      </c>
      <c r="F40" s="61">
        <f>IF($AE40="","",IF($AE40&lt;=1200,IF(INDEX(对接源_01水果!$I$4:$I$1203,$AE40)=0,"",INDEX(对接源_01水果!$I$4:$I$1203,$AE40)),IF(INDEX(对接源_02物料!$I$4:$I$1203,$AE40-1200)=0,"",INDEX(对接源_02物料!$I$4:$I$1203,$AE40-1200))))</f>
      </c>
      <c r="G40" s="173">
        <f>IF($AE40="","",IF(IF($AE40&lt;=1200,N(INDEX(对接源_01水果!$H$4:$H$1203,$AE40)),N(INDEX(对接源_02物料!$H$4:$H$1203,$AE40-1200)))=0,"",ROUND(IF($AE40&lt;=1200,N(INDEX(对接源_01水果!$K$4:$K$1203,$AE40)),N(INDEX(对接源_02物料!$K$4:$K$1203,$AE40-1200)))/IF($AE40&lt;=1200,N(INDEX(对接源_01水果!$H$4:$H$1203,$AE40)),N(INDEX(对接源_02物料!$H$4:$H$1203,$AE40-1200))),2)))</f>
      </c>
      <c r="H40" s="173">
        <f>IF($AE40="","",IF($AE40&lt;=1200,IF(INDEX(对接源_01水果!$K$4:$K$1203,$AE40)=0,"",INDEX(对接源_01水果!$K$4:$K$1203,$AE40)),IF(INDEX(对接源_02物料!$K$4:$K$1203,$AE40-1200)=0,"",INDEX(对接源_02物料!$K$4:$K$1203,$AE40-1200))))</f>
      </c>
      <c r="I40" s="61">
        <f>IF($AE40="","",IF($AE40&lt;=1200,IF(INDEX(对接源_01水果!$L$4:$L$1203,$AE40)=0,"",INDEX(对接源_01水果!$L$4:$L$1203,$AE40)),IF(INDEX(对接源_02物料!$L$4:$L$1203,$AE40-1200)=0,"",INDEX(对接源_02物料!$L$4:$L$1203,$AE40-1200))))</f>
      </c>
      <c r="J40" s="122">
        <f>IF($AE40="","",IF($AE40&lt;=1200,IF(INDEX(对接源_01水果!$M$4:$M$1203,$AE40)=0,"",INDEX(对接源_01水果!$M$4:$M$1203,$AE40)),IF(INDEX(对接源_02物料!$M$4:$M$1203,$AE40-1200)=0,"",INDEX(对接源_02物料!$M$4:$M$1203,$AE40-1200))))</f>
      </c>
      <c r="AE40" s="128">
        <f>IFERROR(MATCH(35,_自动清单!$AS$4:$AS$2403,0),"")</f>
      </c>
    </row>
    <row r="41" ht="18" customHeight="1" s="127">
      <c r="A41" s="163">
        <f>IF($AE41="","",IF($AE41&lt;=1200,IF(INDEX(对接源_01水果!$B$4:$B$1203,$AE41)=0,"",INDEX(对接源_01水果!$B$4:$B$1203,$AE41)),IF(INDEX(对接源_02物料!$B$4:$B$1203,$AE41-1200)=0,"",INDEX(对接源_02物料!$B$4:$B$1203,$AE41-1200))))</f>
      </c>
      <c r="B41" s="61">
        <f>IF($AE41="","",IF($AE41&lt;=1200,IF(INDEX(对接源_01水果!$E$4:$E$1203,$AE41)=0,"",INDEX(对接源_01水果!$E$4:$E$1203,$AE41)),IF(INDEX(对接源_02物料!$E$4:$E$1203,$AE41-1200)=0,"",INDEX(对接源_02物料!$E$4:$E$1203,$AE41-1200))))</f>
      </c>
      <c r="C41" s="122">
        <f>IF($AE41="","",IF($AE41&lt;=1200,IF(INDEX(对接源_01水果!$F$4:$F$1203,$AE41)=0,"",INDEX(对接源_01水果!$F$4:$F$1203,$AE41)),IF(INDEX(对接源_02物料!$F$4:$F$1203,$AE41-1200)=0,"",INDEX(对接源_02物料!$F$4:$F$1203,$AE41-1200))))</f>
      </c>
      <c r="D41" s="61">
        <f>IF($AE41="","",IF(IF($AE41&lt;=1200,IF(INDEX(对接源_01水果!$G$4:$G$1203,$AE41)=0,"",INDEX(对接源_01水果!$G$4:$G$1203,$AE41)),IF(INDEX(对接源_02物料!$G$4:$G$1203,$AE41-1200)=0,"",INDEX(对接源_02物料!$G$4:$G$1203,$AE41-1200)))="",IF($AE41&lt;=1200,IF(INDEX(对接源_01水果!$D$4:$D$1203,$AE41)=0,"",INDEX(对接源_01水果!$D$4:$D$1203,$AE41)),IF(INDEX(对接源_02物料!$D$4:$D$1203,$AE41-1200)=0,"",INDEX(对接源_02物料!$D$4:$D$1203,$AE41-1200))),IF($AE41&lt;=1200,IF(INDEX(对接源_01水果!$G$4:$G$1203,$AE41)=0,"",INDEX(对接源_01水果!$G$4:$G$1203,$AE41)),IF(INDEX(对接源_02物料!$G$4:$G$1203,$AE41-1200)=0,"",INDEX(对接源_02物料!$G$4:$G$1203,$AE41-1200)))))</f>
      </c>
      <c r="E41" s="173">
        <f>IF($AE41="","",IF($AE41&lt;=1200,IF(INDEX(对接源_01水果!$H$4:$H$1203,$AE41)=0,"",INDEX(对接源_01水果!$H$4:$H$1203,$AE41)),IF(INDEX(对接源_02物料!$H$4:$H$1203,$AE41-1200)=0,"",INDEX(对接源_02物料!$H$4:$H$1203,$AE41-1200))))</f>
      </c>
      <c r="F41" s="61">
        <f>IF($AE41="","",IF($AE41&lt;=1200,IF(INDEX(对接源_01水果!$I$4:$I$1203,$AE41)=0,"",INDEX(对接源_01水果!$I$4:$I$1203,$AE41)),IF(INDEX(对接源_02物料!$I$4:$I$1203,$AE41-1200)=0,"",INDEX(对接源_02物料!$I$4:$I$1203,$AE41-1200))))</f>
      </c>
      <c r="G41" s="173">
        <f>IF($AE41="","",IF(IF($AE41&lt;=1200,N(INDEX(对接源_01水果!$H$4:$H$1203,$AE41)),N(INDEX(对接源_02物料!$H$4:$H$1203,$AE41-1200)))=0,"",ROUND(IF($AE41&lt;=1200,N(INDEX(对接源_01水果!$K$4:$K$1203,$AE41)),N(INDEX(对接源_02物料!$K$4:$K$1203,$AE41-1200)))/IF($AE41&lt;=1200,N(INDEX(对接源_01水果!$H$4:$H$1203,$AE41)),N(INDEX(对接源_02物料!$H$4:$H$1203,$AE41-1200))),2)))</f>
      </c>
      <c r="H41" s="173">
        <f>IF($AE41="","",IF($AE41&lt;=1200,IF(INDEX(对接源_01水果!$K$4:$K$1203,$AE41)=0,"",INDEX(对接源_01水果!$K$4:$K$1203,$AE41)),IF(INDEX(对接源_02物料!$K$4:$K$1203,$AE41-1200)=0,"",INDEX(对接源_02物料!$K$4:$K$1203,$AE41-1200))))</f>
      </c>
      <c r="I41" s="61">
        <f>IF($AE41="","",IF($AE41&lt;=1200,IF(INDEX(对接源_01水果!$L$4:$L$1203,$AE41)=0,"",INDEX(对接源_01水果!$L$4:$L$1203,$AE41)),IF(INDEX(对接源_02物料!$L$4:$L$1203,$AE41-1200)=0,"",INDEX(对接源_02物料!$L$4:$L$1203,$AE41-1200))))</f>
      </c>
      <c r="J41" s="122">
        <f>IF($AE41="","",IF($AE41&lt;=1200,IF(INDEX(对接源_01水果!$M$4:$M$1203,$AE41)=0,"",INDEX(对接源_01水果!$M$4:$M$1203,$AE41)),IF(INDEX(对接源_02物料!$M$4:$M$1203,$AE41-1200)=0,"",INDEX(对接源_02物料!$M$4:$M$1203,$AE41-1200))))</f>
      </c>
      <c r="AE41" s="128">
        <f>IFERROR(MATCH(36,_自动清单!$AS$4:$AS$2403,0),"")</f>
      </c>
    </row>
    <row r="42" ht="18" customHeight="1" s="127">
      <c r="A42" s="163">
        <f>IF($AE42="","",IF($AE42&lt;=1200,IF(INDEX(对接源_01水果!$B$4:$B$1203,$AE42)=0,"",INDEX(对接源_01水果!$B$4:$B$1203,$AE42)),IF(INDEX(对接源_02物料!$B$4:$B$1203,$AE42-1200)=0,"",INDEX(对接源_02物料!$B$4:$B$1203,$AE42-1200))))</f>
      </c>
      <c r="B42" s="61">
        <f>IF($AE42="","",IF($AE42&lt;=1200,IF(INDEX(对接源_01水果!$E$4:$E$1203,$AE42)=0,"",INDEX(对接源_01水果!$E$4:$E$1203,$AE42)),IF(INDEX(对接源_02物料!$E$4:$E$1203,$AE42-1200)=0,"",INDEX(对接源_02物料!$E$4:$E$1203,$AE42-1200))))</f>
      </c>
      <c r="C42" s="122">
        <f>IF($AE42="","",IF($AE42&lt;=1200,IF(INDEX(对接源_01水果!$F$4:$F$1203,$AE42)=0,"",INDEX(对接源_01水果!$F$4:$F$1203,$AE42)),IF(INDEX(对接源_02物料!$F$4:$F$1203,$AE42-1200)=0,"",INDEX(对接源_02物料!$F$4:$F$1203,$AE42-1200))))</f>
      </c>
      <c r="D42" s="61">
        <f>IF($AE42="","",IF(IF($AE42&lt;=1200,IF(INDEX(对接源_01水果!$G$4:$G$1203,$AE42)=0,"",INDEX(对接源_01水果!$G$4:$G$1203,$AE42)),IF(INDEX(对接源_02物料!$G$4:$G$1203,$AE42-1200)=0,"",INDEX(对接源_02物料!$G$4:$G$1203,$AE42-1200)))="",IF($AE42&lt;=1200,IF(INDEX(对接源_01水果!$D$4:$D$1203,$AE42)=0,"",INDEX(对接源_01水果!$D$4:$D$1203,$AE42)),IF(INDEX(对接源_02物料!$D$4:$D$1203,$AE42-1200)=0,"",INDEX(对接源_02物料!$D$4:$D$1203,$AE42-1200))),IF($AE42&lt;=1200,IF(INDEX(对接源_01水果!$G$4:$G$1203,$AE42)=0,"",INDEX(对接源_01水果!$G$4:$G$1203,$AE42)),IF(INDEX(对接源_02物料!$G$4:$G$1203,$AE42-1200)=0,"",INDEX(对接源_02物料!$G$4:$G$1203,$AE42-1200)))))</f>
      </c>
      <c r="E42" s="173">
        <f>IF($AE42="","",IF($AE42&lt;=1200,IF(INDEX(对接源_01水果!$H$4:$H$1203,$AE42)=0,"",INDEX(对接源_01水果!$H$4:$H$1203,$AE42)),IF(INDEX(对接源_02物料!$H$4:$H$1203,$AE42-1200)=0,"",INDEX(对接源_02物料!$H$4:$H$1203,$AE42-1200))))</f>
      </c>
      <c r="F42" s="61">
        <f>IF($AE42="","",IF($AE42&lt;=1200,IF(INDEX(对接源_01水果!$I$4:$I$1203,$AE42)=0,"",INDEX(对接源_01水果!$I$4:$I$1203,$AE42)),IF(INDEX(对接源_02物料!$I$4:$I$1203,$AE42-1200)=0,"",INDEX(对接源_02物料!$I$4:$I$1203,$AE42-1200))))</f>
      </c>
      <c r="G42" s="173">
        <f>IF($AE42="","",IF(IF($AE42&lt;=1200,N(INDEX(对接源_01水果!$H$4:$H$1203,$AE42)),N(INDEX(对接源_02物料!$H$4:$H$1203,$AE42-1200)))=0,"",ROUND(IF($AE42&lt;=1200,N(INDEX(对接源_01水果!$K$4:$K$1203,$AE42)),N(INDEX(对接源_02物料!$K$4:$K$1203,$AE42-1200)))/IF($AE42&lt;=1200,N(INDEX(对接源_01水果!$H$4:$H$1203,$AE42)),N(INDEX(对接源_02物料!$H$4:$H$1203,$AE42-1200))),2)))</f>
      </c>
      <c r="H42" s="173">
        <f>IF($AE42="","",IF($AE42&lt;=1200,IF(INDEX(对接源_01水果!$K$4:$K$1203,$AE42)=0,"",INDEX(对接源_01水果!$K$4:$K$1203,$AE42)),IF(INDEX(对接源_02物料!$K$4:$K$1203,$AE42-1200)=0,"",INDEX(对接源_02物料!$K$4:$K$1203,$AE42-1200))))</f>
      </c>
      <c r="I42" s="61">
        <f>IF($AE42="","",IF($AE42&lt;=1200,IF(INDEX(对接源_01水果!$L$4:$L$1203,$AE42)=0,"",INDEX(对接源_01水果!$L$4:$L$1203,$AE42)),IF(INDEX(对接源_02物料!$L$4:$L$1203,$AE42-1200)=0,"",INDEX(对接源_02物料!$L$4:$L$1203,$AE42-1200))))</f>
      </c>
      <c r="J42" s="122">
        <f>IF($AE42="","",IF($AE42&lt;=1200,IF(INDEX(对接源_01水果!$M$4:$M$1203,$AE42)=0,"",INDEX(对接源_01水果!$M$4:$M$1203,$AE42)),IF(INDEX(对接源_02物料!$M$4:$M$1203,$AE42-1200)=0,"",INDEX(对接源_02物料!$M$4:$M$1203,$AE42-1200))))</f>
      </c>
      <c r="AE42" s="128">
        <f>IFERROR(MATCH(37,_自动清单!$AS$4:$AS$2403,0),"")</f>
      </c>
    </row>
    <row r="43" ht="18" customHeight="1" s="127">
      <c r="A43" s="163">
        <f>IF($AE43="","",IF($AE43&lt;=1200,IF(INDEX(对接源_01水果!$B$4:$B$1203,$AE43)=0,"",INDEX(对接源_01水果!$B$4:$B$1203,$AE43)),IF(INDEX(对接源_02物料!$B$4:$B$1203,$AE43-1200)=0,"",INDEX(对接源_02物料!$B$4:$B$1203,$AE43-1200))))</f>
      </c>
      <c r="B43" s="61">
        <f>IF($AE43="","",IF($AE43&lt;=1200,IF(INDEX(对接源_01水果!$E$4:$E$1203,$AE43)=0,"",INDEX(对接源_01水果!$E$4:$E$1203,$AE43)),IF(INDEX(对接源_02物料!$E$4:$E$1203,$AE43-1200)=0,"",INDEX(对接源_02物料!$E$4:$E$1203,$AE43-1200))))</f>
      </c>
      <c r="C43" s="122">
        <f>IF($AE43="","",IF($AE43&lt;=1200,IF(INDEX(对接源_01水果!$F$4:$F$1203,$AE43)=0,"",INDEX(对接源_01水果!$F$4:$F$1203,$AE43)),IF(INDEX(对接源_02物料!$F$4:$F$1203,$AE43-1200)=0,"",INDEX(对接源_02物料!$F$4:$F$1203,$AE43-1200))))</f>
      </c>
      <c r="D43" s="61">
        <f>IF($AE43="","",IF(IF($AE43&lt;=1200,IF(INDEX(对接源_01水果!$G$4:$G$1203,$AE43)=0,"",INDEX(对接源_01水果!$G$4:$G$1203,$AE43)),IF(INDEX(对接源_02物料!$G$4:$G$1203,$AE43-1200)=0,"",INDEX(对接源_02物料!$G$4:$G$1203,$AE43-1200)))="",IF($AE43&lt;=1200,IF(INDEX(对接源_01水果!$D$4:$D$1203,$AE43)=0,"",INDEX(对接源_01水果!$D$4:$D$1203,$AE43)),IF(INDEX(对接源_02物料!$D$4:$D$1203,$AE43-1200)=0,"",INDEX(对接源_02物料!$D$4:$D$1203,$AE43-1200))),IF($AE43&lt;=1200,IF(INDEX(对接源_01水果!$G$4:$G$1203,$AE43)=0,"",INDEX(对接源_01水果!$G$4:$G$1203,$AE43)),IF(INDEX(对接源_02物料!$G$4:$G$1203,$AE43-1200)=0,"",INDEX(对接源_02物料!$G$4:$G$1203,$AE43-1200)))))</f>
      </c>
      <c r="E43" s="173">
        <f>IF($AE43="","",IF($AE43&lt;=1200,IF(INDEX(对接源_01水果!$H$4:$H$1203,$AE43)=0,"",INDEX(对接源_01水果!$H$4:$H$1203,$AE43)),IF(INDEX(对接源_02物料!$H$4:$H$1203,$AE43-1200)=0,"",INDEX(对接源_02物料!$H$4:$H$1203,$AE43-1200))))</f>
      </c>
      <c r="F43" s="61">
        <f>IF($AE43="","",IF($AE43&lt;=1200,IF(INDEX(对接源_01水果!$I$4:$I$1203,$AE43)=0,"",INDEX(对接源_01水果!$I$4:$I$1203,$AE43)),IF(INDEX(对接源_02物料!$I$4:$I$1203,$AE43-1200)=0,"",INDEX(对接源_02物料!$I$4:$I$1203,$AE43-1200))))</f>
      </c>
      <c r="G43" s="173">
        <f>IF($AE43="","",IF(IF($AE43&lt;=1200,N(INDEX(对接源_01水果!$H$4:$H$1203,$AE43)),N(INDEX(对接源_02物料!$H$4:$H$1203,$AE43-1200)))=0,"",ROUND(IF($AE43&lt;=1200,N(INDEX(对接源_01水果!$K$4:$K$1203,$AE43)),N(INDEX(对接源_02物料!$K$4:$K$1203,$AE43-1200)))/IF($AE43&lt;=1200,N(INDEX(对接源_01水果!$H$4:$H$1203,$AE43)),N(INDEX(对接源_02物料!$H$4:$H$1203,$AE43-1200))),2)))</f>
      </c>
      <c r="H43" s="173">
        <f>IF($AE43="","",IF($AE43&lt;=1200,IF(INDEX(对接源_01水果!$K$4:$K$1203,$AE43)=0,"",INDEX(对接源_01水果!$K$4:$K$1203,$AE43)),IF(INDEX(对接源_02物料!$K$4:$K$1203,$AE43-1200)=0,"",INDEX(对接源_02物料!$K$4:$K$1203,$AE43-1200))))</f>
      </c>
      <c r="I43" s="61">
        <f>IF($AE43="","",IF($AE43&lt;=1200,IF(INDEX(对接源_01水果!$L$4:$L$1203,$AE43)=0,"",INDEX(对接源_01水果!$L$4:$L$1203,$AE43)),IF(INDEX(对接源_02物料!$L$4:$L$1203,$AE43-1200)=0,"",INDEX(对接源_02物料!$L$4:$L$1203,$AE43-1200))))</f>
      </c>
      <c r="J43" s="122">
        <f>IF($AE43="","",IF($AE43&lt;=1200,IF(INDEX(对接源_01水果!$M$4:$M$1203,$AE43)=0,"",INDEX(对接源_01水果!$M$4:$M$1203,$AE43)),IF(INDEX(对接源_02物料!$M$4:$M$1203,$AE43-1200)=0,"",INDEX(对接源_02物料!$M$4:$M$1203,$AE43-1200))))</f>
      </c>
      <c r="AE43" s="128">
        <f>IFERROR(MATCH(38,_自动清单!$AS$4:$AS$2403,0),"")</f>
      </c>
    </row>
    <row r="44" ht="18" customHeight="1" s="127">
      <c r="A44" s="163">
        <f>IF($AE44="","",IF($AE44&lt;=1200,IF(INDEX(对接源_01水果!$B$4:$B$1203,$AE44)=0,"",INDEX(对接源_01水果!$B$4:$B$1203,$AE44)),IF(INDEX(对接源_02物料!$B$4:$B$1203,$AE44-1200)=0,"",INDEX(对接源_02物料!$B$4:$B$1203,$AE44-1200))))</f>
      </c>
      <c r="B44" s="61">
        <f>IF($AE44="","",IF($AE44&lt;=1200,IF(INDEX(对接源_01水果!$E$4:$E$1203,$AE44)=0,"",INDEX(对接源_01水果!$E$4:$E$1203,$AE44)),IF(INDEX(对接源_02物料!$E$4:$E$1203,$AE44-1200)=0,"",INDEX(对接源_02物料!$E$4:$E$1203,$AE44-1200))))</f>
      </c>
      <c r="C44" s="122">
        <f>IF($AE44="","",IF($AE44&lt;=1200,IF(INDEX(对接源_01水果!$F$4:$F$1203,$AE44)=0,"",INDEX(对接源_01水果!$F$4:$F$1203,$AE44)),IF(INDEX(对接源_02物料!$F$4:$F$1203,$AE44-1200)=0,"",INDEX(对接源_02物料!$F$4:$F$1203,$AE44-1200))))</f>
      </c>
      <c r="D44" s="61">
        <f>IF($AE44="","",IF(IF($AE44&lt;=1200,IF(INDEX(对接源_01水果!$G$4:$G$1203,$AE44)=0,"",INDEX(对接源_01水果!$G$4:$G$1203,$AE44)),IF(INDEX(对接源_02物料!$G$4:$G$1203,$AE44-1200)=0,"",INDEX(对接源_02物料!$G$4:$G$1203,$AE44-1200)))="",IF($AE44&lt;=1200,IF(INDEX(对接源_01水果!$D$4:$D$1203,$AE44)=0,"",INDEX(对接源_01水果!$D$4:$D$1203,$AE44)),IF(INDEX(对接源_02物料!$D$4:$D$1203,$AE44-1200)=0,"",INDEX(对接源_02物料!$D$4:$D$1203,$AE44-1200))),IF($AE44&lt;=1200,IF(INDEX(对接源_01水果!$G$4:$G$1203,$AE44)=0,"",INDEX(对接源_01水果!$G$4:$G$1203,$AE44)),IF(INDEX(对接源_02物料!$G$4:$G$1203,$AE44-1200)=0,"",INDEX(对接源_02物料!$G$4:$G$1203,$AE44-1200)))))</f>
      </c>
      <c r="E44" s="173">
        <f>IF($AE44="","",IF($AE44&lt;=1200,IF(INDEX(对接源_01水果!$H$4:$H$1203,$AE44)=0,"",INDEX(对接源_01水果!$H$4:$H$1203,$AE44)),IF(INDEX(对接源_02物料!$H$4:$H$1203,$AE44-1200)=0,"",INDEX(对接源_02物料!$H$4:$H$1203,$AE44-1200))))</f>
      </c>
      <c r="F44" s="61">
        <f>IF($AE44="","",IF($AE44&lt;=1200,IF(INDEX(对接源_01水果!$I$4:$I$1203,$AE44)=0,"",INDEX(对接源_01水果!$I$4:$I$1203,$AE44)),IF(INDEX(对接源_02物料!$I$4:$I$1203,$AE44-1200)=0,"",INDEX(对接源_02物料!$I$4:$I$1203,$AE44-1200))))</f>
      </c>
      <c r="G44" s="173">
        <f>IF($AE44="","",IF(IF($AE44&lt;=1200,N(INDEX(对接源_01水果!$H$4:$H$1203,$AE44)),N(INDEX(对接源_02物料!$H$4:$H$1203,$AE44-1200)))=0,"",ROUND(IF($AE44&lt;=1200,N(INDEX(对接源_01水果!$K$4:$K$1203,$AE44)),N(INDEX(对接源_02物料!$K$4:$K$1203,$AE44-1200)))/IF($AE44&lt;=1200,N(INDEX(对接源_01水果!$H$4:$H$1203,$AE44)),N(INDEX(对接源_02物料!$H$4:$H$1203,$AE44-1200))),2)))</f>
      </c>
      <c r="H44" s="173">
        <f>IF($AE44="","",IF($AE44&lt;=1200,IF(INDEX(对接源_01水果!$K$4:$K$1203,$AE44)=0,"",INDEX(对接源_01水果!$K$4:$K$1203,$AE44)),IF(INDEX(对接源_02物料!$K$4:$K$1203,$AE44-1200)=0,"",INDEX(对接源_02物料!$K$4:$K$1203,$AE44-1200))))</f>
      </c>
      <c r="I44" s="61">
        <f>IF($AE44="","",IF($AE44&lt;=1200,IF(INDEX(对接源_01水果!$L$4:$L$1203,$AE44)=0,"",INDEX(对接源_01水果!$L$4:$L$1203,$AE44)),IF(INDEX(对接源_02物料!$L$4:$L$1203,$AE44-1200)=0,"",INDEX(对接源_02物料!$L$4:$L$1203,$AE44-1200))))</f>
      </c>
      <c r="J44" s="122">
        <f>IF($AE44="","",IF($AE44&lt;=1200,IF(INDEX(对接源_01水果!$M$4:$M$1203,$AE44)=0,"",INDEX(对接源_01水果!$M$4:$M$1203,$AE44)),IF(INDEX(对接源_02物料!$M$4:$M$1203,$AE44-1200)=0,"",INDEX(对接源_02物料!$M$4:$M$1203,$AE44-1200))))</f>
      </c>
      <c r="AE44" s="128">
        <f>IFERROR(MATCH(39,_自动清单!$AS$4:$AS$2403,0),"")</f>
      </c>
    </row>
    <row r="45" ht="18" customHeight="1" s="127">
      <c r="A45" s="163">
        <f>IF($AE45="","",IF($AE45&lt;=1200,IF(INDEX(对接源_01水果!$B$4:$B$1203,$AE45)=0,"",INDEX(对接源_01水果!$B$4:$B$1203,$AE45)),IF(INDEX(对接源_02物料!$B$4:$B$1203,$AE45-1200)=0,"",INDEX(对接源_02物料!$B$4:$B$1203,$AE45-1200))))</f>
      </c>
      <c r="B45" s="61">
        <f>IF($AE45="","",IF($AE45&lt;=1200,IF(INDEX(对接源_01水果!$E$4:$E$1203,$AE45)=0,"",INDEX(对接源_01水果!$E$4:$E$1203,$AE45)),IF(INDEX(对接源_02物料!$E$4:$E$1203,$AE45-1200)=0,"",INDEX(对接源_02物料!$E$4:$E$1203,$AE45-1200))))</f>
      </c>
      <c r="C45" s="122">
        <f>IF($AE45="","",IF($AE45&lt;=1200,IF(INDEX(对接源_01水果!$F$4:$F$1203,$AE45)=0,"",INDEX(对接源_01水果!$F$4:$F$1203,$AE45)),IF(INDEX(对接源_02物料!$F$4:$F$1203,$AE45-1200)=0,"",INDEX(对接源_02物料!$F$4:$F$1203,$AE45-1200))))</f>
      </c>
      <c r="D45" s="61">
        <f>IF($AE45="","",IF(IF($AE45&lt;=1200,IF(INDEX(对接源_01水果!$G$4:$G$1203,$AE45)=0,"",INDEX(对接源_01水果!$G$4:$G$1203,$AE45)),IF(INDEX(对接源_02物料!$G$4:$G$1203,$AE45-1200)=0,"",INDEX(对接源_02物料!$G$4:$G$1203,$AE45-1200)))="",IF($AE45&lt;=1200,IF(INDEX(对接源_01水果!$D$4:$D$1203,$AE45)=0,"",INDEX(对接源_01水果!$D$4:$D$1203,$AE45)),IF(INDEX(对接源_02物料!$D$4:$D$1203,$AE45-1200)=0,"",INDEX(对接源_02物料!$D$4:$D$1203,$AE45-1200))),IF($AE45&lt;=1200,IF(INDEX(对接源_01水果!$G$4:$G$1203,$AE45)=0,"",INDEX(对接源_01水果!$G$4:$G$1203,$AE45)),IF(INDEX(对接源_02物料!$G$4:$G$1203,$AE45-1200)=0,"",INDEX(对接源_02物料!$G$4:$G$1203,$AE45-1200)))))</f>
      </c>
      <c r="E45" s="173">
        <f>IF($AE45="","",IF($AE45&lt;=1200,IF(INDEX(对接源_01水果!$H$4:$H$1203,$AE45)=0,"",INDEX(对接源_01水果!$H$4:$H$1203,$AE45)),IF(INDEX(对接源_02物料!$H$4:$H$1203,$AE45-1200)=0,"",INDEX(对接源_02物料!$H$4:$H$1203,$AE45-1200))))</f>
      </c>
      <c r="F45" s="61">
        <f>IF($AE45="","",IF($AE45&lt;=1200,IF(INDEX(对接源_01水果!$I$4:$I$1203,$AE45)=0,"",INDEX(对接源_01水果!$I$4:$I$1203,$AE45)),IF(INDEX(对接源_02物料!$I$4:$I$1203,$AE45-1200)=0,"",INDEX(对接源_02物料!$I$4:$I$1203,$AE45-1200))))</f>
      </c>
      <c r="G45" s="173">
        <f>IF($AE45="","",IF(IF($AE45&lt;=1200,N(INDEX(对接源_01水果!$H$4:$H$1203,$AE45)),N(INDEX(对接源_02物料!$H$4:$H$1203,$AE45-1200)))=0,"",ROUND(IF($AE45&lt;=1200,N(INDEX(对接源_01水果!$K$4:$K$1203,$AE45)),N(INDEX(对接源_02物料!$K$4:$K$1203,$AE45-1200)))/IF($AE45&lt;=1200,N(INDEX(对接源_01水果!$H$4:$H$1203,$AE45)),N(INDEX(对接源_02物料!$H$4:$H$1203,$AE45-1200))),2)))</f>
      </c>
      <c r="H45" s="173">
        <f>IF($AE45="","",IF($AE45&lt;=1200,IF(INDEX(对接源_01水果!$K$4:$K$1203,$AE45)=0,"",INDEX(对接源_01水果!$K$4:$K$1203,$AE45)),IF(INDEX(对接源_02物料!$K$4:$K$1203,$AE45-1200)=0,"",INDEX(对接源_02物料!$K$4:$K$1203,$AE45-1200))))</f>
      </c>
      <c r="I45" s="61">
        <f>IF($AE45="","",IF($AE45&lt;=1200,IF(INDEX(对接源_01水果!$L$4:$L$1203,$AE45)=0,"",INDEX(对接源_01水果!$L$4:$L$1203,$AE45)),IF(INDEX(对接源_02物料!$L$4:$L$1203,$AE45-1200)=0,"",INDEX(对接源_02物料!$L$4:$L$1203,$AE45-1200))))</f>
      </c>
      <c r="J45" s="122">
        <f>IF($AE45="","",IF($AE45&lt;=1200,IF(INDEX(对接源_01水果!$M$4:$M$1203,$AE45)=0,"",INDEX(对接源_01水果!$M$4:$M$1203,$AE45)),IF(INDEX(对接源_02物料!$M$4:$M$1203,$AE45-1200)=0,"",INDEX(对接源_02物料!$M$4:$M$1203,$AE45-1200))))</f>
      </c>
      <c r="AE45" s="128">
        <f>IFERROR(MATCH(40,_自动清单!$AS$4:$AS$2403,0),"")</f>
      </c>
    </row>
    <row r="46" ht="18" customHeight="1" s="127">
      <c r="A46" s="163">
        <f>IF($AE46="","",IF($AE46&lt;=1200,IF(INDEX(对接源_01水果!$B$4:$B$1203,$AE46)=0,"",INDEX(对接源_01水果!$B$4:$B$1203,$AE46)),IF(INDEX(对接源_02物料!$B$4:$B$1203,$AE46-1200)=0,"",INDEX(对接源_02物料!$B$4:$B$1203,$AE46-1200))))</f>
      </c>
      <c r="B46" s="61">
        <f>IF($AE46="","",IF($AE46&lt;=1200,IF(INDEX(对接源_01水果!$E$4:$E$1203,$AE46)=0,"",INDEX(对接源_01水果!$E$4:$E$1203,$AE46)),IF(INDEX(对接源_02物料!$E$4:$E$1203,$AE46-1200)=0,"",INDEX(对接源_02物料!$E$4:$E$1203,$AE46-1200))))</f>
      </c>
      <c r="C46" s="122">
        <f>IF($AE46="","",IF($AE46&lt;=1200,IF(INDEX(对接源_01水果!$F$4:$F$1203,$AE46)=0,"",INDEX(对接源_01水果!$F$4:$F$1203,$AE46)),IF(INDEX(对接源_02物料!$F$4:$F$1203,$AE46-1200)=0,"",INDEX(对接源_02物料!$F$4:$F$1203,$AE46-1200))))</f>
      </c>
      <c r="D46" s="61">
        <f>IF($AE46="","",IF(IF($AE46&lt;=1200,IF(INDEX(对接源_01水果!$G$4:$G$1203,$AE46)=0,"",INDEX(对接源_01水果!$G$4:$G$1203,$AE46)),IF(INDEX(对接源_02物料!$G$4:$G$1203,$AE46-1200)=0,"",INDEX(对接源_02物料!$G$4:$G$1203,$AE46-1200)))="",IF($AE46&lt;=1200,IF(INDEX(对接源_01水果!$D$4:$D$1203,$AE46)=0,"",INDEX(对接源_01水果!$D$4:$D$1203,$AE46)),IF(INDEX(对接源_02物料!$D$4:$D$1203,$AE46-1200)=0,"",INDEX(对接源_02物料!$D$4:$D$1203,$AE46-1200))),IF($AE46&lt;=1200,IF(INDEX(对接源_01水果!$G$4:$G$1203,$AE46)=0,"",INDEX(对接源_01水果!$G$4:$G$1203,$AE46)),IF(INDEX(对接源_02物料!$G$4:$G$1203,$AE46-1200)=0,"",INDEX(对接源_02物料!$G$4:$G$1203,$AE46-1200)))))</f>
      </c>
      <c r="E46" s="173">
        <f>IF($AE46="","",IF($AE46&lt;=1200,IF(INDEX(对接源_01水果!$H$4:$H$1203,$AE46)=0,"",INDEX(对接源_01水果!$H$4:$H$1203,$AE46)),IF(INDEX(对接源_02物料!$H$4:$H$1203,$AE46-1200)=0,"",INDEX(对接源_02物料!$H$4:$H$1203,$AE46-1200))))</f>
      </c>
      <c r="F46" s="61">
        <f>IF($AE46="","",IF($AE46&lt;=1200,IF(INDEX(对接源_01水果!$I$4:$I$1203,$AE46)=0,"",INDEX(对接源_01水果!$I$4:$I$1203,$AE46)),IF(INDEX(对接源_02物料!$I$4:$I$1203,$AE46-1200)=0,"",INDEX(对接源_02物料!$I$4:$I$1203,$AE46-1200))))</f>
      </c>
      <c r="G46" s="173">
        <f>IF($AE46="","",IF(IF($AE46&lt;=1200,N(INDEX(对接源_01水果!$H$4:$H$1203,$AE46)),N(INDEX(对接源_02物料!$H$4:$H$1203,$AE46-1200)))=0,"",ROUND(IF($AE46&lt;=1200,N(INDEX(对接源_01水果!$K$4:$K$1203,$AE46)),N(INDEX(对接源_02物料!$K$4:$K$1203,$AE46-1200)))/IF($AE46&lt;=1200,N(INDEX(对接源_01水果!$H$4:$H$1203,$AE46)),N(INDEX(对接源_02物料!$H$4:$H$1203,$AE46-1200))),2)))</f>
      </c>
      <c r="H46" s="173">
        <f>IF($AE46="","",IF($AE46&lt;=1200,IF(INDEX(对接源_01水果!$K$4:$K$1203,$AE46)=0,"",INDEX(对接源_01水果!$K$4:$K$1203,$AE46)),IF(INDEX(对接源_02物料!$K$4:$K$1203,$AE46-1200)=0,"",INDEX(对接源_02物料!$K$4:$K$1203,$AE46-1200))))</f>
      </c>
      <c r="I46" s="61">
        <f>IF($AE46="","",IF($AE46&lt;=1200,IF(INDEX(对接源_01水果!$L$4:$L$1203,$AE46)=0,"",INDEX(对接源_01水果!$L$4:$L$1203,$AE46)),IF(INDEX(对接源_02物料!$L$4:$L$1203,$AE46-1200)=0,"",INDEX(对接源_02物料!$L$4:$L$1203,$AE46-1200))))</f>
      </c>
      <c r="J46" s="122">
        <f>IF($AE46="","",IF($AE46&lt;=1200,IF(INDEX(对接源_01水果!$M$4:$M$1203,$AE46)=0,"",INDEX(对接源_01水果!$M$4:$M$1203,$AE46)),IF(INDEX(对接源_02物料!$M$4:$M$1203,$AE46-1200)=0,"",INDEX(对接源_02物料!$M$4:$M$1203,$AE46-1200))))</f>
      </c>
      <c r="AE46" s="128">
        <f>IFERROR(MATCH(41,_自动清单!$AS$4:$AS$2403,0),"")</f>
      </c>
    </row>
    <row r="47" ht="18" customHeight="1" s="127">
      <c r="A47" s="163">
        <f>IF($AE47="","",IF($AE47&lt;=1200,IF(INDEX(对接源_01水果!$B$4:$B$1203,$AE47)=0,"",INDEX(对接源_01水果!$B$4:$B$1203,$AE47)),IF(INDEX(对接源_02物料!$B$4:$B$1203,$AE47-1200)=0,"",INDEX(对接源_02物料!$B$4:$B$1203,$AE47-1200))))</f>
      </c>
      <c r="B47" s="61">
        <f>IF($AE47="","",IF($AE47&lt;=1200,IF(INDEX(对接源_01水果!$E$4:$E$1203,$AE47)=0,"",INDEX(对接源_01水果!$E$4:$E$1203,$AE47)),IF(INDEX(对接源_02物料!$E$4:$E$1203,$AE47-1200)=0,"",INDEX(对接源_02物料!$E$4:$E$1203,$AE47-1200))))</f>
      </c>
      <c r="C47" s="122">
        <f>IF($AE47="","",IF($AE47&lt;=1200,IF(INDEX(对接源_01水果!$F$4:$F$1203,$AE47)=0,"",INDEX(对接源_01水果!$F$4:$F$1203,$AE47)),IF(INDEX(对接源_02物料!$F$4:$F$1203,$AE47-1200)=0,"",INDEX(对接源_02物料!$F$4:$F$1203,$AE47-1200))))</f>
      </c>
      <c r="D47" s="61">
        <f>IF($AE47="","",IF(IF($AE47&lt;=1200,IF(INDEX(对接源_01水果!$G$4:$G$1203,$AE47)=0,"",INDEX(对接源_01水果!$G$4:$G$1203,$AE47)),IF(INDEX(对接源_02物料!$G$4:$G$1203,$AE47-1200)=0,"",INDEX(对接源_02物料!$G$4:$G$1203,$AE47-1200)))="",IF($AE47&lt;=1200,IF(INDEX(对接源_01水果!$D$4:$D$1203,$AE47)=0,"",INDEX(对接源_01水果!$D$4:$D$1203,$AE47)),IF(INDEX(对接源_02物料!$D$4:$D$1203,$AE47-1200)=0,"",INDEX(对接源_02物料!$D$4:$D$1203,$AE47-1200))),IF($AE47&lt;=1200,IF(INDEX(对接源_01水果!$G$4:$G$1203,$AE47)=0,"",INDEX(对接源_01水果!$G$4:$G$1203,$AE47)),IF(INDEX(对接源_02物料!$G$4:$G$1203,$AE47-1200)=0,"",INDEX(对接源_02物料!$G$4:$G$1203,$AE47-1200)))))</f>
      </c>
      <c r="E47" s="173">
        <f>IF($AE47="","",IF($AE47&lt;=1200,IF(INDEX(对接源_01水果!$H$4:$H$1203,$AE47)=0,"",INDEX(对接源_01水果!$H$4:$H$1203,$AE47)),IF(INDEX(对接源_02物料!$H$4:$H$1203,$AE47-1200)=0,"",INDEX(对接源_02物料!$H$4:$H$1203,$AE47-1200))))</f>
      </c>
      <c r="F47" s="61">
        <f>IF($AE47="","",IF($AE47&lt;=1200,IF(INDEX(对接源_01水果!$I$4:$I$1203,$AE47)=0,"",INDEX(对接源_01水果!$I$4:$I$1203,$AE47)),IF(INDEX(对接源_02物料!$I$4:$I$1203,$AE47-1200)=0,"",INDEX(对接源_02物料!$I$4:$I$1203,$AE47-1200))))</f>
      </c>
      <c r="G47" s="173">
        <f>IF($AE47="","",IF(IF($AE47&lt;=1200,N(INDEX(对接源_01水果!$H$4:$H$1203,$AE47)),N(INDEX(对接源_02物料!$H$4:$H$1203,$AE47-1200)))=0,"",ROUND(IF($AE47&lt;=1200,N(INDEX(对接源_01水果!$K$4:$K$1203,$AE47)),N(INDEX(对接源_02物料!$K$4:$K$1203,$AE47-1200)))/IF($AE47&lt;=1200,N(INDEX(对接源_01水果!$H$4:$H$1203,$AE47)),N(INDEX(对接源_02物料!$H$4:$H$1203,$AE47-1200))),2)))</f>
      </c>
      <c r="H47" s="173">
        <f>IF($AE47="","",IF($AE47&lt;=1200,IF(INDEX(对接源_01水果!$K$4:$K$1203,$AE47)=0,"",INDEX(对接源_01水果!$K$4:$K$1203,$AE47)),IF(INDEX(对接源_02物料!$K$4:$K$1203,$AE47-1200)=0,"",INDEX(对接源_02物料!$K$4:$K$1203,$AE47-1200))))</f>
      </c>
      <c r="I47" s="61">
        <f>IF($AE47="","",IF($AE47&lt;=1200,IF(INDEX(对接源_01水果!$L$4:$L$1203,$AE47)=0,"",INDEX(对接源_01水果!$L$4:$L$1203,$AE47)),IF(INDEX(对接源_02物料!$L$4:$L$1203,$AE47-1200)=0,"",INDEX(对接源_02物料!$L$4:$L$1203,$AE47-1200))))</f>
      </c>
      <c r="J47" s="122">
        <f>IF($AE47="","",IF($AE47&lt;=1200,IF(INDEX(对接源_01水果!$M$4:$M$1203,$AE47)=0,"",INDEX(对接源_01水果!$M$4:$M$1203,$AE47)),IF(INDEX(对接源_02物料!$M$4:$M$1203,$AE47-1200)=0,"",INDEX(对接源_02物料!$M$4:$M$1203,$AE47-1200))))</f>
      </c>
      <c r="AE47" s="128">
        <f>IFERROR(MATCH(42,_自动清单!$AS$4:$AS$2403,0),"")</f>
      </c>
    </row>
    <row r="48" ht="18" customHeight="1" s="127">
      <c r="A48" s="163">
        <f>IF($AE48="","",IF($AE48&lt;=1200,IF(INDEX(对接源_01水果!$B$4:$B$1203,$AE48)=0,"",INDEX(对接源_01水果!$B$4:$B$1203,$AE48)),IF(INDEX(对接源_02物料!$B$4:$B$1203,$AE48-1200)=0,"",INDEX(对接源_02物料!$B$4:$B$1203,$AE48-1200))))</f>
      </c>
      <c r="B48" s="61">
        <f>IF($AE48="","",IF($AE48&lt;=1200,IF(INDEX(对接源_01水果!$E$4:$E$1203,$AE48)=0,"",INDEX(对接源_01水果!$E$4:$E$1203,$AE48)),IF(INDEX(对接源_02物料!$E$4:$E$1203,$AE48-1200)=0,"",INDEX(对接源_02物料!$E$4:$E$1203,$AE48-1200))))</f>
      </c>
      <c r="C48" s="122">
        <f>IF($AE48="","",IF($AE48&lt;=1200,IF(INDEX(对接源_01水果!$F$4:$F$1203,$AE48)=0,"",INDEX(对接源_01水果!$F$4:$F$1203,$AE48)),IF(INDEX(对接源_02物料!$F$4:$F$1203,$AE48-1200)=0,"",INDEX(对接源_02物料!$F$4:$F$1203,$AE48-1200))))</f>
      </c>
      <c r="D48" s="61">
        <f>IF($AE48="","",IF(IF($AE48&lt;=1200,IF(INDEX(对接源_01水果!$G$4:$G$1203,$AE48)=0,"",INDEX(对接源_01水果!$G$4:$G$1203,$AE48)),IF(INDEX(对接源_02物料!$G$4:$G$1203,$AE48-1200)=0,"",INDEX(对接源_02物料!$G$4:$G$1203,$AE48-1200)))="",IF($AE48&lt;=1200,IF(INDEX(对接源_01水果!$D$4:$D$1203,$AE48)=0,"",INDEX(对接源_01水果!$D$4:$D$1203,$AE48)),IF(INDEX(对接源_02物料!$D$4:$D$1203,$AE48-1200)=0,"",INDEX(对接源_02物料!$D$4:$D$1203,$AE48-1200))),IF($AE48&lt;=1200,IF(INDEX(对接源_01水果!$G$4:$G$1203,$AE48)=0,"",INDEX(对接源_01水果!$G$4:$G$1203,$AE48)),IF(INDEX(对接源_02物料!$G$4:$G$1203,$AE48-1200)=0,"",INDEX(对接源_02物料!$G$4:$G$1203,$AE48-1200)))))</f>
      </c>
      <c r="E48" s="173">
        <f>IF($AE48="","",IF($AE48&lt;=1200,IF(INDEX(对接源_01水果!$H$4:$H$1203,$AE48)=0,"",INDEX(对接源_01水果!$H$4:$H$1203,$AE48)),IF(INDEX(对接源_02物料!$H$4:$H$1203,$AE48-1200)=0,"",INDEX(对接源_02物料!$H$4:$H$1203,$AE48-1200))))</f>
      </c>
      <c r="F48" s="61">
        <f>IF($AE48="","",IF($AE48&lt;=1200,IF(INDEX(对接源_01水果!$I$4:$I$1203,$AE48)=0,"",INDEX(对接源_01水果!$I$4:$I$1203,$AE48)),IF(INDEX(对接源_02物料!$I$4:$I$1203,$AE48-1200)=0,"",INDEX(对接源_02物料!$I$4:$I$1203,$AE48-1200))))</f>
      </c>
      <c r="G48" s="173">
        <f>IF($AE48="","",IF(IF($AE48&lt;=1200,N(INDEX(对接源_01水果!$H$4:$H$1203,$AE48)),N(INDEX(对接源_02物料!$H$4:$H$1203,$AE48-1200)))=0,"",ROUND(IF($AE48&lt;=1200,N(INDEX(对接源_01水果!$K$4:$K$1203,$AE48)),N(INDEX(对接源_02物料!$K$4:$K$1203,$AE48-1200)))/IF($AE48&lt;=1200,N(INDEX(对接源_01水果!$H$4:$H$1203,$AE48)),N(INDEX(对接源_02物料!$H$4:$H$1203,$AE48-1200))),2)))</f>
      </c>
      <c r="H48" s="173">
        <f>IF($AE48="","",IF($AE48&lt;=1200,IF(INDEX(对接源_01水果!$K$4:$K$1203,$AE48)=0,"",INDEX(对接源_01水果!$K$4:$K$1203,$AE48)),IF(INDEX(对接源_02物料!$K$4:$K$1203,$AE48-1200)=0,"",INDEX(对接源_02物料!$K$4:$K$1203,$AE48-1200))))</f>
      </c>
      <c r="I48" s="61">
        <f>IF($AE48="","",IF($AE48&lt;=1200,IF(INDEX(对接源_01水果!$L$4:$L$1203,$AE48)=0,"",INDEX(对接源_01水果!$L$4:$L$1203,$AE48)),IF(INDEX(对接源_02物料!$L$4:$L$1203,$AE48-1200)=0,"",INDEX(对接源_02物料!$L$4:$L$1203,$AE48-1200))))</f>
      </c>
      <c r="J48" s="122">
        <f>IF($AE48="","",IF($AE48&lt;=1200,IF(INDEX(对接源_01水果!$M$4:$M$1203,$AE48)=0,"",INDEX(对接源_01水果!$M$4:$M$1203,$AE48)),IF(INDEX(对接源_02物料!$M$4:$M$1203,$AE48-1200)=0,"",INDEX(对接源_02物料!$M$4:$M$1203,$AE48-1200))))</f>
      </c>
      <c r="AE48" s="128">
        <f>IFERROR(MATCH(43,_自动清单!$AS$4:$AS$2403,0),"")</f>
      </c>
    </row>
    <row r="49" ht="18" customHeight="1" s="127">
      <c r="A49" s="163">
        <f>IF($AE49="","",IF($AE49&lt;=1200,IF(INDEX(对接源_01水果!$B$4:$B$1203,$AE49)=0,"",INDEX(对接源_01水果!$B$4:$B$1203,$AE49)),IF(INDEX(对接源_02物料!$B$4:$B$1203,$AE49-1200)=0,"",INDEX(对接源_02物料!$B$4:$B$1203,$AE49-1200))))</f>
      </c>
      <c r="B49" s="61">
        <f>IF($AE49="","",IF($AE49&lt;=1200,IF(INDEX(对接源_01水果!$E$4:$E$1203,$AE49)=0,"",INDEX(对接源_01水果!$E$4:$E$1203,$AE49)),IF(INDEX(对接源_02物料!$E$4:$E$1203,$AE49-1200)=0,"",INDEX(对接源_02物料!$E$4:$E$1203,$AE49-1200))))</f>
      </c>
      <c r="C49" s="122">
        <f>IF($AE49="","",IF($AE49&lt;=1200,IF(INDEX(对接源_01水果!$F$4:$F$1203,$AE49)=0,"",INDEX(对接源_01水果!$F$4:$F$1203,$AE49)),IF(INDEX(对接源_02物料!$F$4:$F$1203,$AE49-1200)=0,"",INDEX(对接源_02物料!$F$4:$F$1203,$AE49-1200))))</f>
      </c>
      <c r="D49" s="61">
        <f>IF($AE49="","",IF(IF($AE49&lt;=1200,IF(INDEX(对接源_01水果!$G$4:$G$1203,$AE49)=0,"",INDEX(对接源_01水果!$G$4:$G$1203,$AE49)),IF(INDEX(对接源_02物料!$G$4:$G$1203,$AE49-1200)=0,"",INDEX(对接源_02物料!$G$4:$G$1203,$AE49-1200)))="",IF($AE49&lt;=1200,IF(INDEX(对接源_01水果!$D$4:$D$1203,$AE49)=0,"",INDEX(对接源_01水果!$D$4:$D$1203,$AE49)),IF(INDEX(对接源_02物料!$D$4:$D$1203,$AE49-1200)=0,"",INDEX(对接源_02物料!$D$4:$D$1203,$AE49-1200))),IF($AE49&lt;=1200,IF(INDEX(对接源_01水果!$G$4:$G$1203,$AE49)=0,"",INDEX(对接源_01水果!$G$4:$G$1203,$AE49)),IF(INDEX(对接源_02物料!$G$4:$G$1203,$AE49-1200)=0,"",INDEX(对接源_02物料!$G$4:$G$1203,$AE49-1200)))))</f>
      </c>
      <c r="E49" s="173">
        <f>IF($AE49="","",IF($AE49&lt;=1200,IF(INDEX(对接源_01水果!$H$4:$H$1203,$AE49)=0,"",INDEX(对接源_01水果!$H$4:$H$1203,$AE49)),IF(INDEX(对接源_02物料!$H$4:$H$1203,$AE49-1200)=0,"",INDEX(对接源_02物料!$H$4:$H$1203,$AE49-1200))))</f>
      </c>
      <c r="F49" s="61">
        <f>IF($AE49="","",IF($AE49&lt;=1200,IF(INDEX(对接源_01水果!$I$4:$I$1203,$AE49)=0,"",INDEX(对接源_01水果!$I$4:$I$1203,$AE49)),IF(INDEX(对接源_02物料!$I$4:$I$1203,$AE49-1200)=0,"",INDEX(对接源_02物料!$I$4:$I$1203,$AE49-1200))))</f>
      </c>
      <c r="G49" s="173">
        <f>IF($AE49="","",IF(IF($AE49&lt;=1200,N(INDEX(对接源_01水果!$H$4:$H$1203,$AE49)),N(INDEX(对接源_02物料!$H$4:$H$1203,$AE49-1200)))=0,"",ROUND(IF($AE49&lt;=1200,N(INDEX(对接源_01水果!$K$4:$K$1203,$AE49)),N(INDEX(对接源_02物料!$K$4:$K$1203,$AE49-1200)))/IF($AE49&lt;=1200,N(INDEX(对接源_01水果!$H$4:$H$1203,$AE49)),N(INDEX(对接源_02物料!$H$4:$H$1203,$AE49-1200))),2)))</f>
      </c>
      <c r="H49" s="173">
        <f>IF($AE49="","",IF($AE49&lt;=1200,IF(INDEX(对接源_01水果!$K$4:$K$1203,$AE49)=0,"",INDEX(对接源_01水果!$K$4:$K$1203,$AE49)),IF(INDEX(对接源_02物料!$K$4:$K$1203,$AE49-1200)=0,"",INDEX(对接源_02物料!$K$4:$K$1203,$AE49-1200))))</f>
      </c>
      <c r="I49" s="61">
        <f>IF($AE49="","",IF($AE49&lt;=1200,IF(INDEX(对接源_01水果!$L$4:$L$1203,$AE49)=0,"",INDEX(对接源_01水果!$L$4:$L$1203,$AE49)),IF(INDEX(对接源_02物料!$L$4:$L$1203,$AE49-1200)=0,"",INDEX(对接源_02物料!$L$4:$L$1203,$AE49-1200))))</f>
      </c>
      <c r="J49" s="122">
        <f>IF($AE49="","",IF($AE49&lt;=1200,IF(INDEX(对接源_01水果!$M$4:$M$1203,$AE49)=0,"",INDEX(对接源_01水果!$M$4:$M$1203,$AE49)),IF(INDEX(对接源_02物料!$M$4:$M$1203,$AE49-1200)=0,"",INDEX(对接源_02物料!$M$4:$M$1203,$AE49-1200))))</f>
      </c>
      <c r="AE49" s="128">
        <f>IFERROR(MATCH(44,_自动清单!$AS$4:$AS$2403,0),"")</f>
      </c>
    </row>
    <row r="50" ht="18" customHeight="1" s="127">
      <c r="A50" s="163">
        <f>IF($AE50="","",IF($AE50&lt;=1200,IF(INDEX(对接源_01水果!$B$4:$B$1203,$AE50)=0,"",INDEX(对接源_01水果!$B$4:$B$1203,$AE50)),IF(INDEX(对接源_02物料!$B$4:$B$1203,$AE50-1200)=0,"",INDEX(对接源_02物料!$B$4:$B$1203,$AE50-1200))))</f>
      </c>
      <c r="B50" s="61">
        <f>IF($AE50="","",IF($AE50&lt;=1200,IF(INDEX(对接源_01水果!$E$4:$E$1203,$AE50)=0,"",INDEX(对接源_01水果!$E$4:$E$1203,$AE50)),IF(INDEX(对接源_02物料!$E$4:$E$1203,$AE50-1200)=0,"",INDEX(对接源_02物料!$E$4:$E$1203,$AE50-1200))))</f>
      </c>
      <c r="C50" s="122">
        <f>IF($AE50="","",IF($AE50&lt;=1200,IF(INDEX(对接源_01水果!$F$4:$F$1203,$AE50)=0,"",INDEX(对接源_01水果!$F$4:$F$1203,$AE50)),IF(INDEX(对接源_02物料!$F$4:$F$1203,$AE50-1200)=0,"",INDEX(对接源_02物料!$F$4:$F$1203,$AE50-1200))))</f>
      </c>
      <c r="D50" s="61">
        <f>IF($AE50="","",IF(IF($AE50&lt;=1200,IF(INDEX(对接源_01水果!$G$4:$G$1203,$AE50)=0,"",INDEX(对接源_01水果!$G$4:$G$1203,$AE50)),IF(INDEX(对接源_02物料!$G$4:$G$1203,$AE50-1200)=0,"",INDEX(对接源_02物料!$G$4:$G$1203,$AE50-1200)))="",IF($AE50&lt;=1200,IF(INDEX(对接源_01水果!$D$4:$D$1203,$AE50)=0,"",INDEX(对接源_01水果!$D$4:$D$1203,$AE50)),IF(INDEX(对接源_02物料!$D$4:$D$1203,$AE50-1200)=0,"",INDEX(对接源_02物料!$D$4:$D$1203,$AE50-1200))),IF($AE50&lt;=1200,IF(INDEX(对接源_01水果!$G$4:$G$1203,$AE50)=0,"",INDEX(对接源_01水果!$G$4:$G$1203,$AE50)),IF(INDEX(对接源_02物料!$G$4:$G$1203,$AE50-1200)=0,"",INDEX(对接源_02物料!$G$4:$G$1203,$AE50-1200)))))</f>
      </c>
      <c r="E50" s="173">
        <f>IF($AE50="","",IF($AE50&lt;=1200,IF(INDEX(对接源_01水果!$H$4:$H$1203,$AE50)=0,"",INDEX(对接源_01水果!$H$4:$H$1203,$AE50)),IF(INDEX(对接源_02物料!$H$4:$H$1203,$AE50-1200)=0,"",INDEX(对接源_02物料!$H$4:$H$1203,$AE50-1200))))</f>
      </c>
      <c r="F50" s="61">
        <f>IF($AE50="","",IF($AE50&lt;=1200,IF(INDEX(对接源_01水果!$I$4:$I$1203,$AE50)=0,"",INDEX(对接源_01水果!$I$4:$I$1203,$AE50)),IF(INDEX(对接源_02物料!$I$4:$I$1203,$AE50-1200)=0,"",INDEX(对接源_02物料!$I$4:$I$1203,$AE50-1200))))</f>
      </c>
      <c r="G50" s="173">
        <f>IF($AE50="","",IF(IF($AE50&lt;=1200,N(INDEX(对接源_01水果!$H$4:$H$1203,$AE50)),N(INDEX(对接源_02物料!$H$4:$H$1203,$AE50-1200)))=0,"",ROUND(IF($AE50&lt;=1200,N(INDEX(对接源_01水果!$K$4:$K$1203,$AE50)),N(INDEX(对接源_02物料!$K$4:$K$1203,$AE50-1200)))/IF($AE50&lt;=1200,N(INDEX(对接源_01水果!$H$4:$H$1203,$AE50)),N(INDEX(对接源_02物料!$H$4:$H$1203,$AE50-1200))),2)))</f>
      </c>
      <c r="H50" s="173">
        <f>IF($AE50="","",IF($AE50&lt;=1200,IF(INDEX(对接源_01水果!$K$4:$K$1203,$AE50)=0,"",INDEX(对接源_01水果!$K$4:$K$1203,$AE50)),IF(INDEX(对接源_02物料!$K$4:$K$1203,$AE50-1200)=0,"",INDEX(对接源_02物料!$K$4:$K$1203,$AE50-1200))))</f>
      </c>
      <c r="I50" s="61">
        <f>IF($AE50="","",IF($AE50&lt;=1200,IF(INDEX(对接源_01水果!$L$4:$L$1203,$AE50)=0,"",INDEX(对接源_01水果!$L$4:$L$1203,$AE50)),IF(INDEX(对接源_02物料!$L$4:$L$1203,$AE50-1200)=0,"",INDEX(对接源_02物料!$L$4:$L$1203,$AE50-1200))))</f>
      </c>
      <c r="J50" s="122">
        <f>IF($AE50="","",IF($AE50&lt;=1200,IF(INDEX(对接源_01水果!$M$4:$M$1203,$AE50)=0,"",INDEX(对接源_01水果!$M$4:$M$1203,$AE50)),IF(INDEX(对接源_02物料!$M$4:$M$1203,$AE50-1200)=0,"",INDEX(对接源_02物料!$M$4:$M$1203,$AE50-1200))))</f>
      </c>
      <c r="AE50" s="128">
        <f>IFERROR(MATCH(45,_自动清单!$AS$4:$AS$2403,0),"")</f>
      </c>
    </row>
    <row r="51" ht="18" customHeight="1" s="127">
      <c r="A51" s="163">
        <f>IF($AE51="","",IF($AE51&lt;=1200,IF(INDEX(对接源_01水果!$B$4:$B$1203,$AE51)=0,"",INDEX(对接源_01水果!$B$4:$B$1203,$AE51)),IF(INDEX(对接源_02物料!$B$4:$B$1203,$AE51-1200)=0,"",INDEX(对接源_02物料!$B$4:$B$1203,$AE51-1200))))</f>
      </c>
      <c r="B51" s="61">
        <f>IF($AE51="","",IF($AE51&lt;=1200,IF(INDEX(对接源_01水果!$E$4:$E$1203,$AE51)=0,"",INDEX(对接源_01水果!$E$4:$E$1203,$AE51)),IF(INDEX(对接源_02物料!$E$4:$E$1203,$AE51-1200)=0,"",INDEX(对接源_02物料!$E$4:$E$1203,$AE51-1200))))</f>
      </c>
      <c r="C51" s="122">
        <f>IF($AE51="","",IF($AE51&lt;=1200,IF(INDEX(对接源_01水果!$F$4:$F$1203,$AE51)=0,"",INDEX(对接源_01水果!$F$4:$F$1203,$AE51)),IF(INDEX(对接源_02物料!$F$4:$F$1203,$AE51-1200)=0,"",INDEX(对接源_02物料!$F$4:$F$1203,$AE51-1200))))</f>
      </c>
      <c r="D51" s="61">
        <f>IF($AE51="","",IF(IF($AE51&lt;=1200,IF(INDEX(对接源_01水果!$G$4:$G$1203,$AE51)=0,"",INDEX(对接源_01水果!$G$4:$G$1203,$AE51)),IF(INDEX(对接源_02物料!$G$4:$G$1203,$AE51-1200)=0,"",INDEX(对接源_02物料!$G$4:$G$1203,$AE51-1200)))="",IF($AE51&lt;=1200,IF(INDEX(对接源_01水果!$D$4:$D$1203,$AE51)=0,"",INDEX(对接源_01水果!$D$4:$D$1203,$AE51)),IF(INDEX(对接源_02物料!$D$4:$D$1203,$AE51-1200)=0,"",INDEX(对接源_02物料!$D$4:$D$1203,$AE51-1200))),IF($AE51&lt;=1200,IF(INDEX(对接源_01水果!$G$4:$G$1203,$AE51)=0,"",INDEX(对接源_01水果!$G$4:$G$1203,$AE51)),IF(INDEX(对接源_02物料!$G$4:$G$1203,$AE51-1200)=0,"",INDEX(对接源_02物料!$G$4:$G$1203,$AE51-1200)))))</f>
      </c>
      <c r="E51" s="173">
        <f>IF($AE51="","",IF($AE51&lt;=1200,IF(INDEX(对接源_01水果!$H$4:$H$1203,$AE51)=0,"",INDEX(对接源_01水果!$H$4:$H$1203,$AE51)),IF(INDEX(对接源_02物料!$H$4:$H$1203,$AE51-1200)=0,"",INDEX(对接源_02物料!$H$4:$H$1203,$AE51-1200))))</f>
      </c>
      <c r="F51" s="61">
        <f>IF($AE51="","",IF($AE51&lt;=1200,IF(INDEX(对接源_01水果!$I$4:$I$1203,$AE51)=0,"",INDEX(对接源_01水果!$I$4:$I$1203,$AE51)),IF(INDEX(对接源_02物料!$I$4:$I$1203,$AE51-1200)=0,"",INDEX(对接源_02物料!$I$4:$I$1203,$AE51-1200))))</f>
      </c>
      <c r="G51" s="173">
        <f>IF($AE51="","",IF(IF($AE51&lt;=1200,N(INDEX(对接源_01水果!$H$4:$H$1203,$AE51)),N(INDEX(对接源_02物料!$H$4:$H$1203,$AE51-1200)))=0,"",ROUND(IF($AE51&lt;=1200,N(INDEX(对接源_01水果!$K$4:$K$1203,$AE51)),N(INDEX(对接源_02物料!$K$4:$K$1203,$AE51-1200)))/IF($AE51&lt;=1200,N(INDEX(对接源_01水果!$H$4:$H$1203,$AE51)),N(INDEX(对接源_02物料!$H$4:$H$1203,$AE51-1200))),2)))</f>
      </c>
      <c r="H51" s="173">
        <f>IF($AE51="","",IF($AE51&lt;=1200,IF(INDEX(对接源_01水果!$K$4:$K$1203,$AE51)=0,"",INDEX(对接源_01水果!$K$4:$K$1203,$AE51)),IF(INDEX(对接源_02物料!$K$4:$K$1203,$AE51-1200)=0,"",INDEX(对接源_02物料!$K$4:$K$1203,$AE51-1200))))</f>
      </c>
      <c r="I51" s="61">
        <f>IF($AE51="","",IF($AE51&lt;=1200,IF(INDEX(对接源_01水果!$L$4:$L$1203,$AE51)=0,"",INDEX(对接源_01水果!$L$4:$L$1203,$AE51)),IF(INDEX(对接源_02物料!$L$4:$L$1203,$AE51-1200)=0,"",INDEX(对接源_02物料!$L$4:$L$1203,$AE51-1200))))</f>
      </c>
      <c r="J51" s="122">
        <f>IF($AE51="","",IF($AE51&lt;=1200,IF(INDEX(对接源_01水果!$M$4:$M$1203,$AE51)=0,"",INDEX(对接源_01水果!$M$4:$M$1203,$AE51)),IF(INDEX(对接源_02物料!$M$4:$M$1203,$AE51-1200)=0,"",INDEX(对接源_02物料!$M$4:$M$1203,$AE51-1200))))</f>
      </c>
      <c r="AE51" s="128">
        <f>IFERROR(MATCH(46,_自动清单!$AS$4:$AS$2403,0),"")</f>
      </c>
    </row>
    <row r="52" ht="18" customHeight="1" s="127">
      <c r="A52" s="163">
        <f>IF($AE52="","",IF($AE52&lt;=1200,IF(INDEX(对接源_01水果!$B$4:$B$1203,$AE52)=0,"",INDEX(对接源_01水果!$B$4:$B$1203,$AE52)),IF(INDEX(对接源_02物料!$B$4:$B$1203,$AE52-1200)=0,"",INDEX(对接源_02物料!$B$4:$B$1203,$AE52-1200))))</f>
      </c>
      <c r="B52" s="61">
        <f>IF($AE52="","",IF($AE52&lt;=1200,IF(INDEX(对接源_01水果!$E$4:$E$1203,$AE52)=0,"",INDEX(对接源_01水果!$E$4:$E$1203,$AE52)),IF(INDEX(对接源_02物料!$E$4:$E$1203,$AE52-1200)=0,"",INDEX(对接源_02物料!$E$4:$E$1203,$AE52-1200))))</f>
      </c>
      <c r="C52" s="122">
        <f>IF($AE52="","",IF($AE52&lt;=1200,IF(INDEX(对接源_01水果!$F$4:$F$1203,$AE52)=0,"",INDEX(对接源_01水果!$F$4:$F$1203,$AE52)),IF(INDEX(对接源_02物料!$F$4:$F$1203,$AE52-1200)=0,"",INDEX(对接源_02物料!$F$4:$F$1203,$AE52-1200))))</f>
      </c>
      <c r="D52" s="61">
        <f>IF($AE52="","",IF(IF($AE52&lt;=1200,IF(INDEX(对接源_01水果!$G$4:$G$1203,$AE52)=0,"",INDEX(对接源_01水果!$G$4:$G$1203,$AE52)),IF(INDEX(对接源_02物料!$G$4:$G$1203,$AE52-1200)=0,"",INDEX(对接源_02物料!$G$4:$G$1203,$AE52-1200)))="",IF($AE52&lt;=1200,IF(INDEX(对接源_01水果!$D$4:$D$1203,$AE52)=0,"",INDEX(对接源_01水果!$D$4:$D$1203,$AE52)),IF(INDEX(对接源_02物料!$D$4:$D$1203,$AE52-1200)=0,"",INDEX(对接源_02物料!$D$4:$D$1203,$AE52-1200))),IF($AE52&lt;=1200,IF(INDEX(对接源_01水果!$G$4:$G$1203,$AE52)=0,"",INDEX(对接源_01水果!$G$4:$G$1203,$AE52)),IF(INDEX(对接源_02物料!$G$4:$G$1203,$AE52-1200)=0,"",INDEX(对接源_02物料!$G$4:$G$1203,$AE52-1200)))))</f>
      </c>
      <c r="E52" s="173">
        <f>IF($AE52="","",IF($AE52&lt;=1200,IF(INDEX(对接源_01水果!$H$4:$H$1203,$AE52)=0,"",INDEX(对接源_01水果!$H$4:$H$1203,$AE52)),IF(INDEX(对接源_02物料!$H$4:$H$1203,$AE52-1200)=0,"",INDEX(对接源_02物料!$H$4:$H$1203,$AE52-1200))))</f>
      </c>
      <c r="F52" s="61">
        <f>IF($AE52="","",IF($AE52&lt;=1200,IF(INDEX(对接源_01水果!$I$4:$I$1203,$AE52)=0,"",INDEX(对接源_01水果!$I$4:$I$1203,$AE52)),IF(INDEX(对接源_02物料!$I$4:$I$1203,$AE52-1200)=0,"",INDEX(对接源_02物料!$I$4:$I$1203,$AE52-1200))))</f>
      </c>
      <c r="G52" s="173">
        <f>IF($AE52="","",IF(IF($AE52&lt;=1200,N(INDEX(对接源_01水果!$H$4:$H$1203,$AE52)),N(INDEX(对接源_02物料!$H$4:$H$1203,$AE52-1200)))=0,"",ROUND(IF($AE52&lt;=1200,N(INDEX(对接源_01水果!$K$4:$K$1203,$AE52)),N(INDEX(对接源_02物料!$K$4:$K$1203,$AE52-1200)))/IF($AE52&lt;=1200,N(INDEX(对接源_01水果!$H$4:$H$1203,$AE52)),N(INDEX(对接源_02物料!$H$4:$H$1203,$AE52-1200))),2)))</f>
      </c>
      <c r="H52" s="173">
        <f>IF($AE52="","",IF($AE52&lt;=1200,IF(INDEX(对接源_01水果!$K$4:$K$1203,$AE52)=0,"",INDEX(对接源_01水果!$K$4:$K$1203,$AE52)),IF(INDEX(对接源_02物料!$K$4:$K$1203,$AE52-1200)=0,"",INDEX(对接源_02物料!$K$4:$K$1203,$AE52-1200))))</f>
      </c>
      <c r="I52" s="61">
        <f>IF($AE52="","",IF($AE52&lt;=1200,IF(INDEX(对接源_01水果!$L$4:$L$1203,$AE52)=0,"",INDEX(对接源_01水果!$L$4:$L$1203,$AE52)),IF(INDEX(对接源_02物料!$L$4:$L$1203,$AE52-1200)=0,"",INDEX(对接源_02物料!$L$4:$L$1203,$AE52-1200))))</f>
      </c>
      <c r="J52" s="122">
        <f>IF($AE52="","",IF($AE52&lt;=1200,IF(INDEX(对接源_01水果!$M$4:$M$1203,$AE52)=0,"",INDEX(对接源_01水果!$M$4:$M$1203,$AE52)),IF(INDEX(对接源_02物料!$M$4:$M$1203,$AE52-1200)=0,"",INDEX(对接源_02物料!$M$4:$M$1203,$AE52-1200))))</f>
      </c>
      <c r="AE52" s="128">
        <f>IFERROR(MATCH(47,_自动清单!$AS$4:$AS$2403,0),"")</f>
      </c>
    </row>
    <row r="53" ht="18" customHeight="1" s="127">
      <c r="A53" s="163">
        <f>IF($AE53="","",IF($AE53&lt;=1200,IF(INDEX(对接源_01水果!$B$4:$B$1203,$AE53)=0,"",INDEX(对接源_01水果!$B$4:$B$1203,$AE53)),IF(INDEX(对接源_02物料!$B$4:$B$1203,$AE53-1200)=0,"",INDEX(对接源_02物料!$B$4:$B$1203,$AE53-1200))))</f>
      </c>
      <c r="B53" s="61">
        <f>IF($AE53="","",IF($AE53&lt;=1200,IF(INDEX(对接源_01水果!$E$4:$E$1203,$AE53)=0,"",INDEX(对接源_01水果!$E$4:$E$1203,$AE53)),IF(INDEX(对接源_02物料!$E$4:$E$1203,$AE53-1200)=0,"",INDEX(对接源_02物料!$E$4:$E$1203,$AE53-1200))))</f>
      </c>
      <c r="C53" s="122">
        <f>IF($AE53="","",IF($AE53&lt;=1200,IF(INDEX(对接源_01水果!$F$4:$F$1203,$AE53)=0,"",INDEX(对接源_01水果!$F$4:$F$1203,$AE53)),IF(INDEX(对接源_02物料!$F$4:$F$1203,$AE53-1200)=0,"",INDEX(对接源_02物料!$F$4:$F$1203,$AE53-1200))))</f>
      </c>
      <c r="D53" s="61">
        <f>IF($AE53="","",IF(IF($AE53&lt;=1200,IF(INDEX(对接源_01水果!$G$4:$G$1203,$AE53)=0,"",INDEX(对接源_01水果!$G$4:$G$1203,$AE53)),IF(INDEX(对接源_02物料!$G$4:$G$1203,$AE53-1200)=0,"",INDEX(对接源_02物料!$G$4:$G$1203,$AE53-1200)))="",IF($AE53&lt;=1200,IF(INDEX(对接源_01水果!$D$4:$D$1203,$AE53)=0,"",INDEX(对接源_01水果!$D$4:$D$1203,$AE53)),IF(INDEX(对接源_02物料!$D$4:$D$1203,$AE53-1200)=0,"",INDEX(对接源_02物料!$D$4:$D$1203,$AE53-1200))),IF($AE53&lt;=1200,IF(INDEX(对接源_01水果!$G$4:$G$1203,$AE53)=0,"",INDEX(对接源_01水果!$G$4:$G$1203,$AE53)),IF(INDEX(对接源_02物料!$G$4:$G$1203,$AE53-1200)=0,"",INDEX(对接源_02物料!$G$4:$G$1203,$AE53-1200)))))</f>
      </c>
      <c r="E53" s="173">
        <f>IF($AE53="","",IF($AE53&lt;=1200,IF(INDEX(对接源_01水果!$H$4:$H$1203,$AE53)=0,"",INDEX(对接源_01水果!$H$4:$H$1203,$AE53)),IF(INDEX(对接源_02物料!$H$4:$H$1203,$AE53-1200)=0,"",INDEX(对接源_02物料!$H$4:$H$1203,$AE53-1200))))</f>
      </c>
      <c r="F53" s="61">
        <f>IF($AE53="","",IF($AE53&lt;=1200,IF(INDEX(对接源_01水果!$I$4:$I$1203,$AE53)=0,"",INDEX(对接源_01水果!$I$4:$I$1203,$AE53)),IF(INDEX(对接源_02物料!$I$4:$I$1203,$AE53-1200)=0,"",INDEX(对接源_02物料!$I$4:$I$1203,$AE53-1200))))</f>
      </c>
      <c r="G53" s="173">
        <f>IF($AE53="","",IF(IF($AE53&lt;=1200,N(INDEX(对接源_01水果!$H$4:$H$1203,$AE53)),N(INDEX(对接源_02物料!$H$4:$H$1203,$AE53-1200)))=0,"",ROUND(IF($AE53&lt;=1200,N(INDEX(对接源_01水果!$K$4:$K$1203,$AE53)),N(INDEX(对接源_02物料!$K$4:$K$1203,$AE53-1200)))/IF($AE53&lt;=1200,N(INDEX(对接源_01水果!$H$4:$H$1203,$AE53)),N(INDEX(对接源_02物料!$H$4:$H$1203,$AE53-1200))),2)))</f>
      </c>
      <c r="H53" s="173">
        <f>IF($AE53="","",IF($AE53&lt;=1200,IF(INDEX(对接源_01水果!$K$4:$K$1203,$AE53)=0,"",INDEX(对接源_01水果!$K$4:$K$1203,$AE53)),IF(INDEX(对接源_02物料!$K$4:$K$1203,$AE53-1200)=0,"",INDEX(对接源_02物料!$K$4:$K$1203,$AE53-1200))))</f>
      </c>
      <c r="I53" s="61">
        <f>IF($AE53="","",IF($AE53&lt;=1200,IF(INDEX(对接源_01水果!$L$4:$L$1203,$AE53)=0,"",INDEX(对接源_01水果!$L$4:$L$1203,$AE53)),IF(INDEX(对接源_02物料!$L$4:$L$1203,$AE53-1200)=0,"",INDEX(对接源_02物料!$L$4:$L$1203,$AE53-1200))))</f>
      </c>
      <c r="J53" s="122">
        <f>IF($AE53="","",IF($AE53&lt;=1200,IF(INDEX(对接源_01水果!$M$4:$M$1203,$AE53)=0,"",INDEX(对接源_01水果!$M$4:$M$1203,$AE53)),IF(INDEX(对接源_02物料!$M$4:$M$1203,$AE53-1200)=0,"",INDEX(对接源_02物料!$M$4:$M$1203,$AE53-1200))))</f>
      </c>
      <c r="AE53" s="128">
        <f>IFERROR(MATCH(48,_自动清单!$AS$4:$AS$2403,0),"")</f>
      </c>
    </row>
    <row r="54" ht="18" customHeight="1" s="127">
      <c r="A54" s="163">
        <f>IF($AE54="","",IF($AE54&lt;=1200,IF(INDEX(对接源_01水果!$B$4:$B$1203,$AE54)=0,"",INDEX(对接源_01水果!$B$4:$B$1203,$AE54)),IF(INDEX(对接源_02物料!$B$4:$B$1203,$AE54-1200)=0,"",INDEX(对接源_02物料!$B$4:$B$1203,$AE54-1200))))</f>
      </c>
      <c r="B54" s="61">
        <f>IF($AE54="","",IF($AE54&lt;=1200,IF(INDEX(对接源_01水果!$E$4:$E$1203,$AE54)=0,"",INDEX(对接源_01水果!$E$4:$E$1203,$AE54)),IF(INDEX(对接源_02物料!$E$4:$E$1203,$AE54-1200)=0,"",INDEX(对接源_02物料!$E$4:$E$1203,$AE54-1200))))</f>
      </c>
      <c r="C54" s="122">
        <f>IF($AE54="","",IF($AE54&lt;=1200,IF(INDEX(对接源_01水果!$F$4:$F$1203,$AE54)=0,"",INDEX(对接源_01水果!$F$4:$F$1203,$AE54)),IF(INDEX(对接源_02物料!$F$4:$F$1203,$AE54-1200)=0,"",INDEX(对接源_02物料!$F$4:$F$1203,$AE54-1200))))</f>
      </c>
      <c r="D54" s="61">
        <f>IF($AE54="","",IF(IF($AE54&lt;=1200,IF(INDEX(对接源_01水果!$G$4:$G$1203,$AE54)=0,"",INDEX(对接源_01水果!$G$4:$G$1203,$AE54)),IF(INDEX(对接源_02物料!$G$4:$G$1203,$AE54-1200)=0,"",INDEX(对接源_02物料!$G$4:$G$1203,$AE54-1200)))="",IF($AE54&lt;=1200,IF(INDEX(对接源_01水果!$D$4:$D$1203,$AE54)=0,"",INDEX(对接源_01水果!$D$4:$D$1203,$AE54)),IF(INDEX(对接源_02物料!$D$4:$D$1203,$AE54-1200)=0,"",INDEX(对接源_02物料!$D$4:$D$1203,$AE54-1200))),IF($AE54&lt;=1200,IF(INDEX(对接源_01水果!$G$4:$G$1203,$AE54)=0,"",INDEX(对接源_01水果!$G$4:$G$1203,$AE54)),IF(INDEX(对接源_02物料!$G$4:$G$1203,$AE54-1200)=0,"",INDEX(对接源_02物料!$G$4:$G$1203,$AE54-1200)))))</f>
      </c>
      <c r="E54" s="173">
        <f>IF($AE54="","",IF($AE54&lt;=1200,IF(INDEX(对接源_01水果!$H$4:$H$1203,$AE54)=0,"",INDEX(对接源_01水果!$H$4:$H$1203,$AE54)),IF(INDEX(对接源_02物料!$H$4:$H$1203,$AE54-1200)=0,"",INDEX(对接源_02物料!$H$4:$H$1203,$AE54-1200))))</f>
      </c>
      <c r="F54" s="61">
        <f>IF($AE54="","",IF($AE54&lt;=1200,IF(INDEX(对接源_01水果!$I$4:$I$1203,$AE54)=0,"",INDEX(对接源_01水果!$I$4:$I$1203,$AE54)),IF(INDEX(对接源_02物料!$I$4:$I$1203,$AE54-1200)=0,"",INDEX(对接源_02物料!$I$4:$I$1203,$AE54-1200))))</f>
      </c>
      <c r="G54" s="173">
        <f>IF($AE54="","",IF(IF($AE54&lt;=1200,N(INDEX(对接源_01水果!$H$4:$H$1203,$AE54)),N(INDEX(对接源_02物料!$H$4:$H$1203,$AE54-1200)))=0,"",ROUND(IF($AE54&lt;=1200,N(INDEX(对接源_01水果!$K$4:$K$1203,$AE54)),N(INDEX(对接源_02物料!$K$4:$K$1203,$AE54-1200)))/IF($AE54&lt;=1200,N(INDEX(对接源_01水果!$H$4:$H$1203,$AE54)),N(INDEX(对接源_02物料!$H$4:$H$1203,$AE54-1200))),2)))</f>
      </c>
      <c r="H54" s="173">
        <f>IF($AE54="","",IF($AE54&lt;=1200,IF(INDEX(对接源_01水果!$K$4:$K$1203,$AE54)=0,"",INDEX(对接源_01水果!$K$4:$K$1203,$AE54)),IF(INDEX(对接源_02物料!$K$4:$K$1203,$AE54-1200)=0,"",INDEX(对接源_02物料!$K$4:$K$1203,$AE54-1200))))</f>
      </c>
      <c r="I54" s="61">
        <f>IF($AE54="","",IF($AE54&lt;=1200,IF(INDEX(对接源_01水果!$L$4:$L$1203,$AE54)=0,"",INDEX(对接源_01水果!$L$4:$L$1203,$AE54)),IF(INDEX(对接源_02物料!$L$4:$L$1203,$AE54-1200)=0,"",INDEX(对接源_02物料!$L$4:$L$1203,$AE54-1200))))</f>
      </c>
      <c r="J54" s="122">
        <f>IF($AE54="","",IF($AE54&lt;=1200,IF(INDEX(对接源_01水果!$M$4:$M$1203,$AE54)=0,"",INDEX(对接源_01水果!$M$4:$M$1203,$AE54)),IF(INDEX(对接源_02物料!$M$4:$M$1203,$AE54-1200)=0,"",INDEX(对接源_02物料!$M$4:$M$1203,$AE54-1200))))</f>
      </c>
      <c r="AE54" s="128">
        <f>IFERROR(MATCH(49,_自动清单!$AS$4:$AS$2403,0),"")</f>
      </c>
    </row>
    <row r="55" ht="18" customHeight="1" s="127">
      <c r="A55" s="163">
        <f>IF($AE55="","",IF($AE55&lt;=1200,IF(INDEX(对接源_01水果!$B$4:$B$1203,$AE55)=0,"",INDEX(对接源_01水果!$B$4:$B$1203,$AE55)),IF(INDEX(对接源_02物料!$B$4:$B$1203,$AE55-1200)=0,"",INDEX(对接源_02物料!$B$4:$B$1203,$AE55-1200))))</f>
      </c>
      <c r="B55" s="61">
        <f>IF($AE55="","",IF($AE55&lt;=1200,IF(INDEX(对接源_01水果!$E$4:$E$1203,$AE55)=0,"",INDEX(对接源_01水果!$E$4:$E$1203,$AE55)),IF(INDEX(对接源_02物料!$E$4:$E$1203,$AE55-1200)=0,"",INDEX(对接源_02物料!$E$4:$E$1203,$AE55-1200))))</f>
      </c>
      <c r="C55" s="122">
        <f>IF($AE55="","",IF($AE55&lt;=1200,IF(INDEX(对接源_01水果!$F$4:$F$1203,$AE55)=0,"",INDEX(对接源_01水果!$F$4:$F$1203,$AE55)),IF(INDEX(对接源_02物料!$F$4:$F$1203,$AE55-1200)=0,"",INDEX(对接源_02物料!$F$4:$F$1203,$AE55-1200))))</f>
      </c>
      <c r="D55" s="61">
        <f>IF($AE55="","",IF(IF($AE55&lt;=1200,IF(INDEX(对接源_01水果!$G$4:$G$1203,$AE55)=0,"",INDEX(对接源_01水果!$G$4:$G$1203,$AE55)),IF(INDEX(对接源_02物料!$G$4:$G$1203,$AE55-1200)=0,"",INDEX(对接源_02物料!$G$4:$G$1203,$AE55-1200)))="",IF($AE55&lt;=1200,IF(INDEX(对接源_01水果!$D$4:$D$1203,$AE55)=0,"",INDEX(对接源_01水果!$D$4:$D$1203,$AE55)),IF(INDEX(对接源_02物料!$D$4:$D$1203,$AE55-1200)=0,"",INDEX(对接源_02物料!$D$4:$D$1203,$AE55-1200))),IF($AE55&lt;=1200,IF(INDEX(对接源_01水果!$G$4:$G$1203,$AE55)=0,"",INDEX(对接源_01水果!$G$4:$G$1203,$AE55)),IF(INDEX(对接源_02物料!$G$4:$G$1203,$AE55-1200)=0,"",INDEX(对接源_02物料!$G$4:$G$1203,$AE55-1200)))))</f>
      </c>
      <c r="E55" s="173">
        <f>IF($AE55="","",IF($AE55&lt;=1200,IF(INDEX(对接源_01水果!$H$4:$H$1203,$AE55)=0,"",INDEX(对接源_01水果!$H$4:$H$1203,$AE55)),IF(INDEX(对接源_02物料!$H$4:$H$1203,$AE55-1200)=0,"",INDEX(对接源_02物料!$H$4:$H$1203,$AE55-1200))))</f>
      </c>
      <c r="F55" s="61">
        <f>IF($AE55="","",IF($AE55&lt;=1200,IF(INDEX(对接源_01水果!$I$4:$I$1203,$AE55)=0,"",INDEX(对接源_01水果!$I$4:$I$1203,$AE55)),IF(INDEX(对接源_02物料!$I$4:$I$1203,$AE55-1200)=0,"",INDEX(对接源_02物料!$I$4:$I$1203,$AE55-1200))))</f>
      </c>
      <c r="G55" s="173">
        <f>IF($AE55="","",IF(IF($AE55&lt;=1200,N(INDEX(对接源_01水果!$H$4:$H$1203,$AE55)),N(INDEX(对接源_02物料!$H$4:$H$1203,$AE55-1200)))=0,"",ROUND(IF($AE55&lt;=1200,N(INDEX(对接源_01水果!$K$4:$K$1203,$AE55)),N(INDEX(对接源_02物料!$K$4:$K$1203,$AE55-1200)))/IF($AE55&lt;=1200,N(INDEX(对接源_01水果!$H$4:$H$1203,$AE55)),N(INDEX(对接源_02物料!$H$4:$H$1203,$AE55-1200))),2)))</f>
      </c>
      <c r="H55" s="173">
        <f>IF($AE55="","",IF($AE55&lt;=1200,IF(INDEX(对接源_01水果!$K$4:$K$1203,$AE55)=0,"",INDEX(对接源_01水果!$K$4:$K$1203,$AE55)),IF(INDEX(对接源_02物料!$K$4:$K$1203,$AE55-1200)=0,"",INDEX(对接源_02物料!$K$4:$K$1203,$AE55-1200))))</f>
      </c>
      <c r="I55" s="61">
        <f>IF($AE55="","",IF($AE55&lt;=1200,IF(INDEX(对接源_01水果!$L$4:$L$1203,$AE55)=0,"",INDEX(对接源_01水果!$L$4:$L$1203,$AE55)),IF(INDEX(对接源_02物料!$L$4:$L$1203,$AE55-1200)=0,"",INDEX(对接源_02物料!$L$4:$L$1203,$AE55-1200))))</f>
      </c>
      <c r="J55" s="122">
        <f>IF($AE55="","",IF($AE55&lt;=1200,IF(INDEX(对接源_01水果!$M$4:$M$1203,$AE55)=0,"",INDEX(对接源_01水果!$M$4:$M$1203,$AE55)),IF(INDEX(对接源_02物料!$M$4:$M$1203,$AE55-1200)=0,"",INDEX(对接源_02物料!$M$4:$M$1203,$AE55-1200))))</f>
      </c>
      <c r="AE55" s="128">
        <f>IFERROR(MATCH(50,_自动清单!$AS$4:$AS$2403,0),"")</f>
      </c>
    </row>
    <row r="56" ht="18" customHeight="1" s="127">
      <c r="A56" s="163">
        <f>IF($AE56="","",IF($AE56&lt;=1200,IF(INDEX(对接源_01水果!$B$4:$B$1203,$AE56)=0,"",INDEX(对接源_01水果!$B$4:$B$1203,$AE56)),IF(INDEX(对接源_02物料!$B$4:$B$1203,$AE56-1200)=0,"",INDEX(对接源_02物料!$B$4:$B$1203,$AE56-1200))))</f>
      </c>
      <c r="B56" s="61">
        <f>IF($AE56="","",IF($AE56&lt;=1200,IF(INDEX(对接源_01水果!$E$4:$E$1203,$AE56)=0,"",INDEX(对接源_01水果!$E$4:$E$1203,$AE56)),IF(INDEX(对接源_02物料!$E$4:$E$1203,$AE56-1200)=0,"",INDEX(对接源_02物料!$E$4:$E$1203,$AE56-1200))))</f>
      </c>
      <c r="C56" s="122">
        <f>IF($AE56="","",IF($AE56&lt;=1200,IF(INDEX(对接源_01水果!$F$4:$F$1203,$AE56)=0,"",INDEX(对接源_01水果!$F$4:$F$1203,$AE56)),IF(INDEX(对接源_02物料!$F$4:$F$1203,$AE56-1200)=0,"",INDEX(对接源_02物料!$F$4:$F$1203,$AE56-1200))))</f>
      </c>
      <c r="D56" s="61">
        <f>IF($AE56="","",IF(IF($AE56&lt;=1200,IF(INDEX(对接源_01水果!$G$4:$G$1203,$AE56)=0,"",INDEX(对接源_01水果!$G$4:$G$1203,$AE56)),IF(INDEX(对接源_02物料!$G$4:$G$1203,$AE56-1200)=0,"",INDEX(对接源_02物料!$G$4:$G$1203,$AE56-1200)))="",IF($AE56&lt;=1200,IF(INDEX(对接源_01水果!$D$4:$D$1203,$AE56)=0,"",INDEX(对接源_01水果!$D$4:$D$1203,$AE56)),IF(INDEX(对接源_02物料!$D$4:$D$1203,$AE56-1200)=0,"",INDEX(对接源_02物料!$D$4:$D$1203,$AE56-1200))),IF($AE56&lt;=1200,IF(INDEX(对接源_01水果!$G$4:$G$1203,$AE56)=0,"",INDEX(对接源_01水果!$G$4:$G$1203,$AE56)),IF(INDEX(对接源_02物料!$G$4:$G$1203,$AE56-1200)=0,"",INDEX(对接源_02物料!$G$4:$G$1203,$AE56-1200)))))</f>
      </c>
      <c r="E56" s="173">
        <f>IF($AE56="","",IF($AE56&lt;=1200,IF(INDEX(对接源_01水果!$H$4:$H$1203,$AE56)=0,"",INDEX(对接源_01水果!$H$4:$H$1203,$AE56)),IF(INDEX(对接源_02物料!$H$4:$H$1203,$AE56-1200)=0,"",INDEX(对接源_02物料!$H$4:$H$1203,$AE56-1200))))</f>
      </c>
      <c r="F56" s="61">
        <f>IF($AE56="","",IF($AE56&lt;=1200,IF(INDEX(对接源_01水果!$I$4:$I$1203,$AE56)=0,"",INDEX(对接源_01水果!$I$4:$I$1203,$AE56)),IF(INDEX(对接源_02物料!$I$4:$I$1203,$AE56-1200)=0,"",INDEX(对接源_02物料!$I$4:$I$1203,$AE56-1200))))</f>
      </c>
      <c r="G56" s="173">
        <f>IF($AE56="","",IF(IF($AE56&lt;=1200,N(INDEX(对接源_01水果!$H$4:$H$1203,$AE56)),N(INDEX(对接源_02物料!$H$4:$H$1203,$AE56-1200)))=0,"",ROUND(IF($AE56&lt;=1200,N(INDEX(对接源_01水果!$K$4:$K$1203,$AE56)),N(INDEX(对接源_02物料!$K$4:$K$1203,$AE56-1200)))/IF($AE56&lt;=1200,N(INDEX(对接源_01水果!$H$4:$H$1203,$AE56)),N(INDEX(对接源_02物料!$H$4:$H$1203,$AE56-1200))),2)))</f>
      </c>
      <c r="H56" s="173">
        <f>IF($AE56="","",IF($AE56&lt;=1200,IF(INDEX(对接源_01水果!$K$4:$K$1203,$AE56)=0,"",INDEX(对接源_01水果!$K$4:$K$1203,$AE56)),IF(INDEX(对接源_02物料!$K$4:$K$1203,$AE56-1200)=0,"",INDEX(对接源_02物料!$K$4:$K$1203,$AE56-1200))))</f>
      </c>
      <c r="I56" s="61">
        <f>IF($AE56="","",IF($AE56&lt;=1200,IF(INDEX(对接源_01水果!$L$4:$L$1203,$AE56)=0,"",INDEX(对接源_01水果!$L$4:$L$1203,$AE56)),IF(INDEX(对接源_02物料!$L$4:$L$1203,$AE56-1200)=0,"",INDEX(对接源_02物料!$L$4:$L$1203,$AE56-1200))))</f>
      </c>
      <c r="J56" s="122">
        <f>IF($AE56="","",IF($AE56&lt;=1200,IF(INDEX(对接源_01水果!$M$4:$M$1203,$AE56)=0,"",INDEX(对接源_01水果!$M$4:$M$1203,$AE56)),IF(INDEX(对接源_02物料!$M$4:$M$1203,$AE56-1200)=0,"",INDEX(对接源_02物料!$M$4:$M$1203,$AE56-1200))))</f>
      </c>
      <c r="AE56" s="128">
        <f>IFERROR(MATCH(51,_自动清单!$AS$4:$AS$2403,0),"")</f>
      </c>
    </row>
    <row r="57" ht="18" customHeight="1" s="127">
      <c r="A57" s="163">
        <f>IF($AE57="","",IF($AE57&lt;=1200,IF(INDEX(对接源_01水果!$B$4:$B$1203,$AE57)=0,"",INDEX(对接源_01水果!$B$4:$B$1203,$AE57)),IF(INDEX(对接源_02物料!$B$4:$B$1203,$AE57-1200)=0,"",INDEX(对接源_02物料!$B$4:$B$1203,$AE57-1200))))</f>
      </c>
      <c r="B57" s="61">
        <f>IF($AE57="","",IF($AE57&lt;=1200,IF(INDEX(对接源_01水果!$E$4:$E$1203,$AE57)=0,"",INDEX(对接源_01水果!$E$4:$E$1203,$AE57)),IF(INDEX(对接源_02物料!$E$4:$E$1203,$AE57-1200)=0,"",INDEX(对接源_02物料!$E$4:$E$1203,$AE57-1200))))</f>
      </c>
      <c r="C57" s="122">
        <f>IF($AE57="","",IF($AE57&lt;=1200,IF(INDEX(对接源_01水果!$F$4:$F$1203,$AE57)=0,"",INDEX(对接源_01水果!$F$4:$F$1203,$AE57)),IF(INDEX(对接源_02物料!$F$4:$F$1203,$AE57-1200)=0,"",INDEX(对接源_02物料!$F$4:$F$1203,$AE57-1200))))</f>
      </c>
      <c r="D57" s="61">
        <f>IF($AE57="","",IF(IF($AE57&lt;=1200,IF(INDEX(对接源_01水果!$G$4:$G$1203,$AE57)=0,"",INDEX(对接源_01水果!$G$4:$G$1203,$AE57)),IF(INDEX(对接源_02物料!$G$4:$G$1203,$AE57-1200)=0,"",INDEX(对接源_02物料!$G$4:$G$1203,$AE57-1200)))="",IF($AE57&lt;=1200,IF(INDEX(对接源_01水果!$D$4:$D$1203,$AE57)=0,"",INDEX(对接源_01水果!$D$4:$D$1203,$AE57)),IF(INDEX(对接源_02物料!$D$4:$D$1203,$AE57-1200)=0,"",INDEX(对接源_02物料!$D$4:$D$1203,$AE57-1200))),IF($AE57&lt;=1200,IF(INDEX(对接源_01水果!$G$4:$G$1203,$AE57)=0,"",INDEX(对接源_01水果!$G$4:$G$1203,$AE57)),IF(INDEX(对接源_02物料!$G$4:$G$1203,$AE57-1200)=0,"",INDEX(对接源_02物料!$G$4:$G$1203,$AE57-1200)))))</f>
      </c>
      <c r="E57" s="173">
        <f>IF($AE57="","",IF($AE57&lt;=1200,IF(INDEX(对接源_01水果!$H$4:$H$1203,$AE57)=0,"",INDEX(对接源_01水果!$H$4:$H$1203,$AE57)),IF(INDEX(对接源_02物料!$H$4:$H$1203,$AE57-1200)=0,"",INDEX(对接源_02物料!$H$4:$H$1203,$AE57-1200))))</f>
      </c>
      <c r="F57" s="61">
        <f>IF($AE57="","",IF($AE57&lt;=1200,IF(INDEX(对接源_01水果!$I$4:$I$1203,$AE57)=0,"",INDEX(对接源_01水果!$I$4:$I$1203,$AE57)),IF(INDEX(对接源_02物料!$I$4:$I$1203,$AE57-1200)=0,"",INDEX(对接源_02物料!$I$4:$I$1203,$AE57-1200))))</f>
      </c>
      <c r="G57" s="173">
        <f>IF($AE57="","",IF(IF($AE57&lt;=1200,N(INDEX(对接源_01水果!$H$4:$H$1203,$AE57)),N(INDEX(对接源_02物料!$H$4:$H$1203,$AE57-1200)))=0,"",ROUND(IF($AE57&lt;=1200,N(INDEX(对接源_01水果!$K$4:$K$1203,$AE57)),N(INDEX(对接源_02物料!$K$4:$K$1203,$AE57-1200)))/IF($AE57&lt;=1200,N(INDEX(对接源_01水果!$H$4:$H$1203,$AE57)),N(INDEX(对接源_02物料!$H$4:$H$1203,$AE57-1200))),2)))</f>
      </c>
      <c r="H57" s="173">
        <f>IF($AE57="","",IF($AE57&lt;=1200,IF(INDEX(对接源_01水果!$K$4:$K$1203,$AE57)=0,"",INDEX(对接源_01水果!$K$4:$K$1203,$AE57)),IF(INDEX(对接源_02物料!$K$4:$K$1203,$AE57-1200)=0,"",INDEX(对接源_02物料!$K$4:$K$1203,$AE57-1200))))</f>
      </c>
      <c r="I57" s="61">
        <f>IF($AE57="","",IF($AE57&lt;=1200,IF(INDEX(对接源_01水果!$L$4:$L$1203,$AE57)=0,"",INDEX(对接源_01水果!$L$4:$L$1203,$AE57)),IF(INDEX(对接源_02物料!$L$4:$L$1203,$AE57-1200)=0,"",INDEX(对接源_02物料!$L$4:$L$1203,$AE57-1200))))</f>
      </c>
      <c r="J57" s="122">
        <f>IF($AE57="","",IF($AE57&lt;=1200,IF(INDEX(对接源_01水果!$M$4:$M$1203,$AE57)=0,"",INDEX(对接源_01水果!$M$4:$M$1203,$AE57)),IF(INDEX(对接源_02物料!$M$4:$M$1203,$AE57-1200)=0,"",INDEX(对接源_02物料!$M$4:$M$1203,$AE57-1200))))</f>
      </c>
      <c r="AE57" s="128">
        <f>IFERROR(MATCH(52,_自动清单!$AS$4:$AS$2403,0),"")</f>
      </c>
    </row>
    <row r="58" ht="18" customHeight="1" s="127">
      <c r="A58" s="163">
        <f>IF($AE58="","",IF($AE58&lt;=1200,IF(INDEX(对接源_01水果!$B$4:$B$1203,$AE58)=0,"",INDEX(对接源_01水果!$B$4:$B$1203,$AE58)),IF(INDEX(对接源_02物料!$B$4:$B$1203,$AE58-1200)=0,"",INDEX(对接源_02物料!$B$4:$B$1203,$AE58-1200))))</f>
      </c>
      <c r="B58" s="61">
        <f>IF($AE58="","",IF($AE58&lt;=1200,IF(INDEX(对接源_01水果!$E$4:$E$1203,$AE58)=0,"",INDEX(对接源_01水果!$E$4:$E$1203,$AE58)),IF(INDEX(对接源_02物料!$E$4:$E$1203,$AE58-1200)=0,"",INDEX(对接源_02物料!$E$4:$E$1203,$AE58-1200))))</f>
      </c>
      <c r="C58" s="122">
        <f>IF($AE58="","",IF($AE58&lt;=1200,IF(INDEX(对接源_01水果!$F$4:$F$1203,$AE58)=0,"",INDEX(对接源_01水果!$F$4:$F$1203,$AE58)),IF(INDEX(对接源_02物料!$F$4:$F$1203,$AE58-1200)=0,"",INDEX(对接源_02物料!$F$4:$F$1203,$AE58-1200))))</f>
      </c>
      <c r="D58" s="61">
        <f>IF($AE58="","",IF(IF($AE58&lt;=1200,IF(INDEX(对接源_01水果!$G$4:$G$1203,$AE58)=0,"",INDEX(对接源_01水果!$G$4:$G$1203,$AE58)),IF(INDEX(对接源_02物料!$G$4:$G$1203,$AE58-1200)=0,"",INDEX(对接源_02物料!$G$4:$G$1203,$AE58-1200)))="",IF($AE58&lt;=1200,IF(INDEX(对接源_01水果!$D$4:$D$1203,$AE58)=0,"",INDEX(对接源_01水果!$D$4:$D$1203,$AE58)),IF(INDEX(对接源_02物料!$D$4:$D$1203,$AE58-1200)=0,"",INDEX(对接源_02物料!$D$4:$D$1203,$AE58-1200))),IF($AE58&lt;=1200,IF(INDEX(对接源_01水果!$G$4:$G$1203,$AE58)=0,"",INDEX(对接源_01水果!$G$4:$G$1203,$AE58)),IF(INDEX(对接源_02物料!$G$4:$G$1203,$AE58-1200)=0,"",INDEX(对接源_02物料!$G$4:$G$1203,$AE58-1200)))))</f>
      </c>
      <c r="E58" s="173">
        <f>IF($AE58="","",IF($AE58&lt;=1200,IF(INDEX(对接源_01水果!$H$4:$H$1203,$AE58)=0,"",INDEX(对接源_01水果!$H$4:$H$1203,$AE58)),IF(INDEX(对接源_02物料!$H$4:$H$1203,$AE58-1200)=0,"",INDEX(对接源_02物料!$H$4:$H$1203,$AE58-1200))))</f>
      </c>
      <c r="F58" s="61">
        <f>IF($AE58="","",IF($AE58&lt;=1200,IF(INDEX(对接源_01水果!$I$4:$I$1203,$AE58)=0,"",INDEX(对接源_01水果!$I$4:$I$1203,$AE58)),IF(INDEX(对接源_02物料!$I$4:$I$1203,$AE58-1200)=0,"",INDEX(对接源_02物料!$I$4:$I$1203,$AE58-1200))))</f>
      </c>
      <c r="G58" s="173">
        <f>IF($AE58="","",IF(IF($AE58&lt;=1200,N(INDEX(对接源_01水果!$H$4:$H$1203,$AE58)),N(INDEX(对接源_02物料!$H$4:$H$1203,$AE58-1200)))=0,"",ROUND(IF($AE58&lt;=1200,N(INDEX(对接源_01水果!$K$4:$K$1203,$AE58)),N(INDEX(对接源_02物料!$K$4:$K$1203,$AE58-1200)))/IF($AE58&lt;=1200,N(INDEX(对接源_01水果!$H$4:$H$1203,$AE58)),N(INDEX(对接源_02物料!$H$4:$H$1203,$AE58-1200))),2)))</f>
      </c>
      <c r="H58" s="173">
        <f>IF($AE58="","",IF($AE58&lt;=1200,IF(INDEX(对接源_01水果!$K$4:$K$1203,$AE58)=0,"",INDEX(对接源_01水果!$K$4:$K$1203,$AE58)),IF(INDEX(对接源_02物料!$K$4:$K$1203,$AE58-1200)=0,"",INDEX(对接源_02物料!$K$4:$K$1203,$AE58-1200))))</f>
      </c>
      <c r="I58" s="61">
        <f>IF($AE58="","",IF($AE58&lt;=1200,IF(INDEX(对接源_01水果!$L$4:$L$1203,$AE58)=0,"",INDEX(对接源_01水果!$L$4:$L$1203,$AE58)),IF(INDEX(对接源_02物料!$L$4:$L$1203,$AE58-1200)=0,"",INDEX(对接源_02物料!$L$4:$L$1203,$AE58-1200))))</f>
      </c>
      <c r="J58" s="122">
        <f>IF($AE58="","",IF($AE58&lt;=1200,IF(INDEX(对接源_01水果!$M$4:$M$1203,$AE58)=0,"",INDEX(对接源_01水果!$M$4:$M$1203,$AE58)),IF(INDEX(对接源_02物料!$M$4:$M$1203,$AE58-1200)=0,"",INDEX(对接源_02物料!$M$4:$M$1203,$AE58-1200))))</f>
      </c>
      <c r="AE58" s="128">
        <f>IFERROR(MATCH(53,_自动清单!$AS$4:$AS$2403,0),"")</f>
      </c>
    </row>
    <row r="59" ht="18" customHeight="1" s="127">
      <c r="A59" s="163">
        <f>IF($AE59="","",IF($AE59&lt;=1200,IF(INDEX(对接源_01水果!$B$4:$B$1203,$AE59)=0,"",INDEX(对接源_01水果!$B$4:$B$1203,$AE59)),IF(INDEX(对接源_02物料!$B$4:$B$1203,$AE59-1200)=0,"",INDEX(对接源_02物料!$B$4:$B$1203,$AE59-1200))))</f>
      </c>
      <c r="B59" s="61">
        <f>IF($AE59="","",IF($AE59&lt;=1200,IF(INDEX(对接源_01水果!$E$4:$E$1203,$AE59)=0,"",INDEX(对接源_01水果!$E$4:$E$1203,$AE59)),IF(INDEX(对接源_02物料!$E$4:$E$1203,$AE59-1200)=0,"",INDEX(对接源_02物料!$E$4:$E$1203,$AE59-1200))))</f>
      </c>
      <c r="C59" s="122">
        <f>IF($AE59="","",IF($AE59&lt;=1200,IF(INDEX(对接源_01水果!$F$4:$F$1203,$AE59)=0,"",INDEX(对接源_01水果!$F$4:$F$1203,$AE59)),IF(INDEX(对接源_02物料!$F$4:$F$1203,$AE59-1200)=0,"",INDEX(对接源_02物料!$F$4:$F$1203,$AE59-1200))))</f>
      </c>
      <c r="D59" s="61">
        <f>IF($AE59="","",IF(IF($AE59&lt;=1200,IF(INDEX(对接源_01水果!$G$4:$G$1203,$AE59)=0,"",INDEX(对接源_01水果!$G$4:$G$1203,$AE59)),IF(INDEX(对接源_02物料!$G$4:$G$1203,$AE59-1200)=0,"",INDEX(对接源_02物料!$G$4:$G$1203,$AE59-1200)))="",IF($AE59&lt;=1200,IF(INDEX(对接源_01水果!$D$4:$D$1203,$AE59)=0,"",INDEX(对接源_01水果!$D$4:$D$1203,$AE59)),IF(INDEX(对接源_02物料!$D$4:$D$1203,$AE59-1200)=0,"",INDEX(对接源_02物料!$D$4:$D$1203,$AE59-1200))),IF($AE59&lt;=1200,IF(INDEX(对接源_01水果!$G$4:$G$1203,$AE59)=0,"",INDEX(对接源_01水果!$G$4:$G$1203,$AE59)),IF(INDEX(对接源_02物料!$G$4:$G$1203,$AE59-1200)=0,"",INDEX(对接源_02物料!$G$4:$G$1203,$AE59-1200)))))</f>
      </c>
      <c r="E59" s="173">
        <f>IF($AE59="","",IF($AE59&lt;=1200,IF(INDEX(对接源_01水果!$H$4:$H$1203,$AE59)=0,"",INDEX(对接源_01水果!$H$4:$H$1203,$AE59)),IF(INDEX(对接源_02物料!$H$4:$H$1203,$AE59-1200)=0,"",INDEX(对接源_02物料!$H$4:$H$1203,$AE59-1200))))</f>
      </c>
      <c r="F59" s="61">
        <f>IF($AE59="","",IF($AE59&lt;=1200,IF(INDEX(对接源_01水果!$I$4:$I$1203,$AE59)=0,"",INDEX(对接源_01水果!$I$4:$I$1203,$AE59)),IF(INDEX(对接源_02物料!$I$4:$I$1203,$AE59-1200)=0,"",INDEX(对接源_02物料!$I$4:$I$1203,$AE59-1200))))</f>
      </c>
      <c r="G59" s="173">
        <f>IF($AE59="","",IF(IF($AE59&lt;=1200,N(INDEX(对接源_01水果!$H$4:$H$1203,$AE59)),N(INDEX(对接源_02物料!$H$4:$H$1203,$AE59-1200)))=0,"",ROUND(IF($AE59&lt;=1200,N(INDEX(对接源_01水果!$K$4:$K$1203,$AE59)),N(INDEX(对接源_02物料!$K$4:$K$1203,$AE59-1200)))/IF($AE59&lt;=1200,N(INDEX(对接源_01水果!$H$4:$H$1203,$AE59)),N(INDEX(对接源_02物料!$H$4:$H$1203,$AE59-1200))),2)))</f>
      </c>
      <c r="H59" s="173">
        <f>IF($AE59="","",IF($AE59&lt;=1200,IF(INDEX(对接源_01水果!$K$4:$K$1203,$AE59)=0,"",INDEX(对接源_01水果!$K$4:$K$1203,$AE59)),IF(INDEX(对接源_02物料!$K$4:$K$1203,$AE59-1200)=0,"",INDEX(对接源_02物料!$K$4:$K$1203,$AE59-1200))))</f>
      </c>
      <c r="I59" s="61">
        <f>IF($AE59="","",IF($AE59&lt;=1200,IF(INDEX(对接源_01水果!$L$4:$L$1203,$AE59)=0,"",INDEX(对接源_01水果!$L$4:$L$1203,$AE59)),IF(INDEX(对接源_02物料!$L$4:$L$1203,$AE59-1200)=0,"",INDEX(对接源_02物料!$L$4:$L$1203,$AE59-1200))))</f>
      </c>
      <c r="J59" s="122">
        <f>IF($AE59="","",IF($AE59&lt;=1200,IF(INDEX(对接源_01水果!$M$4:$M$1203,$AE59)=0,"",INDEX(对接源_01水果!$M$4:$M$1203,$AE59)),IF(INDEX(对接源_02物料!$M$4:$M$1203,$AE59-1200)=0,"",INDEX(对接源_02物料!$M$4:$M$1203,$AE59-1200))))</f>
      </c>
      <c r="AE59" s="128">
        <f>IFERROR(MATCH(54,_自动清单!$AS$4:$AS$2403,0),"")</f>
      </c>
    </row>
    <row r="60" ht="18" customHeight="1" s="127">
      <c r="A60" s="163">
        <f>IF($AE60="","",IF($AE60&lt;=1200,IF(INDEX(对接源_01水果!$B$4:$B$1203,$AE60)=0,"",INDEX(对接源_01水果!$B$4:$B$1203,$AE60)),IF(INDEX(对接源_02物料!$B$4:$B$1203,$AE60-1200)=0,"",INDEX(对接源_02物料!$B$4:$B$1203,$AE60-1200))))</f>
      </c>
      <c r="B60" s="61">
        <f>IF($AE60="","",IF($AE60&lt;=1200,IF(INDEX(对接源_01水果!$E$4:$E$1203,$AE60)=0,"",INDEX(对接源_01水果!$E$4:$E$1203,$AE60)),IF(INDEX(对接源_02物料!$E$4:$E$1203,$AE60-1200)=0,"",INDEX(对接源_02物料!$E$4:$E$1203,$AE60-1200))))</f>
      </c>
      <c r="C60" s="122">
        <f>IF($AE60="","",IF($AE60&lt;=1200,IF(INDEX(对接源_01水果!$F$4:$F$1203,$AE60)=0,"",INDEX(对接源_01水果!$F$4:$F$1203,$AE60)),IF(INDEX(对接源_02物料!$F$4:$F$1203,$AE60-1200)=0,"",INDEX(对接源_02物料!$F$4:$F$1203,$AE60-1200))))</f>
      </c>
      <c r="D60" s="61">
        <f>IF($AE60="","",IF(IF($AE60&lt;=1200,IF(INDEX(对接源_01水果!$G$4:$G$1203,$AE60)=0,"",INDEX(对接源_01水果!$G$4:$G$1203,$AE60)),IF(INDEX(对接源_02物料!$G$4:$G$1203,$AE60-1200)=0,"",INDEX(对接源_02物料!$G$4:$G$1203,$AE60-1200)))="",IF($AE60&lt;=1200,IF(INDEX(对接源_01水果!$D$4:$D$1203,$AE60)=0,"",INDEX(对接源_01水果!$D$4:$D$1203,$AE60)),IF(INDEX(对接源_02物料!$D$4:$D$1203,$AE60-1200)=0,"",INDEX(对接源_02物料!$D$4:$D$1203,$AE60-1200))),IF($AE60&lt;=1200,IF(INDEX(对接源_01水果!$G$4:$G$1203,$AE60)=0,"",INDEX(对接源_01水果!$G$4:$G$1203,$AE60)),IF(INDEX(对接源_02物料!$G$4:$G$1203,$AE60-1200)=0,"",INDEX(对接源_02物料!$G$4:$G$1203,$AE60-1200)))))</f>
      </c>
      <c r="E60" s="173">
        <f>IF($AE60="","",IF($AE60&lt;=1200,IF(INDEX(对接源_01水果!$H$4:$H$1203,$AE60)=0,"",INDEX(对接源_01水果!$H$4:$H$1203,$AE60)),IF(INDEX(对接源_02物料!$H$4:$H$1203,$AE60-1200)=0,"",INDEX(对接源_02物料!$H$4:$H$1203,$AE60-1200))))</f>
      </c>
      <c r="F60" s="61">
        <f>IF($AE60="","",IF($AE60&lt;=1200,IF(INDEX(对接源_01水果!$I$4:$I$1203,$AE60)=0,"",INDEX(对接源_01水果!$I$4:$I$1203,$AE60)),IF(INDEX(对接源_02物料!$I$4:$I$1203,$AE60-1200)=0,"",INDEX(对接源_02物料!$I$4:$I$1203,$AE60-1200))))</f>
      </c>
      <c r="G60" s="173">
        <f>IF($AE60="","",IF(IF($AE60&lt;=1200,N(INDEX(对接源_01水果!$H$4:$H$1203,$AE60)),N(INDEX(对接源_02物料!$H$4:$H$1203,$AE60-1200)))=0,"",ROUND(IF($AE60&lt;=1200,N(INDEX(对接源_01水果!$K$4:$K$1203,$AE60)),N(INDEX(对接源_02物料!$K$4:$K$1203,$AE60-1200)))/IF($AE60&lt;=1200,N(INDEX(对接源_01水果!$H$4:$H$1203,$AE60)),N(INDEX(对接源_02物料!$H$4:$H$1203,$AE60-1200))),2)))</f>
      </c>
      <c r="H60" s="173">
        <f>IF($AE60="","",IF($AE60&lt;=1200,IF(INDEX(对接源_01水果!$K$4:$K$1203,$AE60)=0,"",INDEX(对接源_01水果!$K$4:$K$1203,$AE60)),IF(INDEX(对接源_02物料!$K$4:$K$1203,$AE60-1200)=0,"",INDEX(对接源_02物料!$K$4:$K$1203,$AE60-1200))))</f>
      </c>
      <c r="I60" s="61">
        <f>IF($AE60="","",IF($AE60&lt;=1200,IF(INDEX(对接源_01水果!$L$4:$L$1203,$AE60)=0,"",INDEX(对接源_01水果!$L$4:$L$1203,$AE60)),IF(INDEX(对接源_02物料!$L$4:$L$1203,$AE60-1200)=0,"",INDEX(对接源_02物料!$L$4:$L$1203,$AE60-1200))))</f>
      </c>
      <c r="J60" s="122">
        <f>IF($AE60="","",IF($AE60&lt;=1200,IF(INDEX(对接源_01水果!$M$4:$M$1203,$AE60)=0,"",INDEX(对接源_01水果!$M$4:$M$1203,$AE60)),IF(INDEX(对接源_02物料!$M$4:$M$1203,$AE60-1200)=0,"",INDEX(对接源_02物料!$M$4:$M$1203,$AE60-1200))))</f>
      </c>
      <c r="AE60" s="128">
        <f>IFERROR(MATCH(55,_自动清单!$AS$4:$AS$2403,0),"")</f>
      </c>
    </row>
    <row r="61" ht="18" customHeight="1" s="127">
      <c r="A61" s="163">
        <f>IF($AE61="","",IF($AE61&lt;=1200,IF(INDEX(对接源_01水果!$B$4:$B$1203,$AE61)=0,"",INDEX(对接源_01水果!$B$4:$B$1203,$AE61)),IF(INDEX(对接源_02物料!$B$4:$B$1203,$AE61-1200)=0,"",INDEX(对接源_02物料!$B$4:$B$1203,$AE61-1200))))</f>
      </c>
      <c r="B61" s="61">
        <f>IF($AE61="","",IF($AE61&lt;=1200,IF(INDEX(对接源_01水果!$E$4:$E$1203,$AE61)=0,"",INDEX(对接源_01水果!$E$4:$E$1203,$AE61)),IF(INDEX(对接源_02物料!$E$4:$E$1203,$AE61-1200)=0,"",INDEX(对接源_02物料!$E$4:$E$1203,$AE61-1200))))</f>
      </c>
      <c r="C61" s="122">
        <f>IF($AE61="","",IF($AE61&lt;=1200,IF(INDEX(对接源_01水果!$F$4:$F$1203,$AE61)=0,"",INDEX(对接源_01水果!$F$4:$F$1203,$AE61)),IF(INDEX(对接源_02物料!$F$4:$F$1203,$AE61-1200)=0,"",INDEX(对接源_02物料!$F$4:$F$1203,$AE61-1200))))</f>
      </c>
      <c r="D61" s="61">
        <f>IF($AE61="","",IF(IF($AE61&lt;=1200,IF(INDEX(对接源_01水果!$G$4:$G$1203,$AE61)=0,"",INDEX(对接源_01水果!$G$4:$G$1203,$AE61)),IF(INDEX(对接源_02物料!$G$4:$G$1203,$AE61-1200)=0,"",INDEX(对接源_02物料!$G$4:$G$1203,$AE61-1200)))="",IF($AE61&lt;=1200,IF(INDEX(对接源_01水果!$D$4:$D$1203,$AE61)=0,"",INDEX(对接源_01水果!$D$4:$D$1203,$AE61)),IF(INDEX(对接源_02物料!$D$4:$D$1203,$AE61-1200)=0,"",INDEX(对接源_02物料!$D$4:$D$1203,$AE61-1200))),IF($AE61&lt;=1200,IF(INDEX(对接源_01水果!$G$4:$G$1203,$AE61)=0,"",INDEX(对接源_01水果!$G$4:$G$1203,$AE61)),IF(INDEX(对接源_02物料!$G$4:$G$1203,$AE61-1200)=0,"",INDEX(对接源_02物料!$G$4:$G$1203,$AE61-1200)))))</f>
      </c>
      <c r="E61" s="173">
        <f>IF($AE61="","",IF($AE61&lt;=1200,IF(INDEX(对接源_01水果!$H$4:$H$1203,$AE61)=0,"",INDEX(对接源_01水果!$H$4:$H$1203,$AE61)),IF(INDEX(对接源_02物料!$H$4:$H$1203,$AE61-1200)=0,"",INDEX(对接源_02物料!$H$4:$H$1203,$AE61-1200))))</f>
      </c>
      <c r="F61" s="61">
        <f>IF($AE61="","",IF($AE61&lt;=1200,IF(INDEX(对接源_01水果!$I$4:$I$1203,$AE61)=0,"",INDEX(对接源_01水果!$I$4:$I$1203,$AE61)),IF(INDEX(对接源_02物料!$I$4:$I$1203,$AE61-1200)=0,"",INDEX(对接源_02物料!$I$4:$I$1203,$AE61-1200))))</f>
      </c>
      <c r="G61" s="173">
        <f>IF($AE61="","",IF(IF($AE61&lt;=1200,N(INDEX(对接源_01水果!$H$4:$H$1203,$AE61)),N(INDEX(对接源_02物料!$H$4:$H$1203,$AE61-1200)))=0,"",ROUND(IF($AE61&lt;=1200,N(INDEX(对接源_01水果!$K$4:$K$1203,$AE61)),N(INDEX(对接源_02物料!$K$4:$K$1203,$AE61-1200)))/IF($AE61&lt;=1200,N(INDEX(对接源_01水果!$H$4:$H$1203,$AE61)),N(INDEX(对接源_02物料!$H$4:$H$1203,$AE61-1200))),2)))</f>
      </c>
      <c r="H61" s="173">
        <f>IF($AE61="","",IF($AE61&lt;=1200,IF(INDEX(对接源_01水果!$K$4:$K$1203,$AE61)=0,"",INDEX(对接源_01水果!$K$4:$K$1203,$AE61)),IF(INDEX(对接源_02物料!$K$4:$K$1203,$AE61-1200)=0,"",INDEX(对接源_02物料!$K$4:$K$1203,$AE61-1200))))</f>
      </c>
      <c r="I61" s="61">
        <f>IF($AE61="","",IF($AE61&lt;=1200,IF(INDEX(对接源_01水果!$L$4:$L$1203,$AE61)=0,"",INDEX(对接源_01水果!$L$4:$L$1203,$AE61)),IF(INDEX(对接源_02物料!$L$4:$L$1203,$AE61-1200)=0,"",INDEX(对接源_02物料!$L$4:$L$1203,$AE61-1200))))</f>
      </c>
      <c r="J61" s="122">
        <f>IF($AE61="","",IF($AE61&lt;=1200,IF(INDEX(对接源_01水果!$M$4:$M$1203,$AE61)=0,"",INDEX(对接源_01水果!$M$4:$M$1203,$AE61)),IF(INDEX(对接源_02物料!$M$4:$M$1203,$AE61-1200)=0,"",INDEX(对接源_02物料!$M$4:$M$1203,$AE61-1200))))</f>
      </c>
      <c r="AE61" s="128">
        <f>IFERROR(MATCH(56,_自动清单!$AS$4:$AS$2403,0),"")</f>
      </c>
    </row>
    <row r="62" ht="18" customHeight="1" s="127">
      <c r="A62" s="163">
        <f>IF($AE62="","",IF($AE62&lt;=1200,IF(INDEX(对接源_01水果!$B$4:$B$1203,$AE62)=0,"",INDEX(对接源_01水果!$B$4:$B$1203,$AE62)),IF(INDEX(对接源_02物料!$B$4:$B$1203,$AE62-1200)=0,"",INDEX(对接源_02物料!$B$4:$B$1203,$AE62-1200))))</f>
      </c>
      <c r="B62" s="61">
        <f>IF($AE62="","",IF($AE62&lt;=1200,IF(INDEX(对接源_01水果!$E$4:$E$1203,$AE62)=0,"",INDEX(对接源_01水果!$E$4:$E$1203,$AE62)),IF(INDEX(对接源_02物料!$E$4:$E$1203,$AE62-1200)=0,"",INDEX(对接源_02物料!$E$4:$E$1203,$AE62-1200))))</f>
      </c>
      <c r="C62" s="122">
        <f>IF($AE62="","",IF($AE62&lt;=1200,IF(INDEX(对接源_01水果!$F$4:$F$1203,$AE62)=0,"",INDEX(对接源_01水果!$F$4:$F$1203,$AE62)),IF(INDEX(对接源_02物料!$F$4:$F$1203,$AE62-1200)=0,"",INDEX(对接源_02物料!$F$4:$F$1203,$AE62-1200))))</f>
      </c>
      <c r="D62" s="61">
        <f>IF($AE62="","",IF(IF($AE62&lt;=1200,IF(INDEX(对接源_01水果!$G$4:$G$1203,$AE62)=0,"",INDEX(对接源_01水果!$G$4:$G$1203,$AE62)),IF(INDEX(对接源_02物料!$G$4:$G$1203,$AE62-1200)=0,"",INDEX(对接源_02物料!$G$4:$G$1203,$AE62-1200)))="",IF($AE62&lt;=1200,IF(INDEX(对接源_01水果!$D$4:$D$1203,$AE62)=0,"",INDEX(对接源_01水果!$D$4:$D$1203,$AE62)),IF(INDEX(对接源_02物料!$D$4:$D$1203,$AE62-1200)=0,"",INDEX(对接源_02物料!$D$4:$D$1203,$AE62-1200))),IF($AE62&lt;=1200,IF(INDEX(对接源_01水果!$G$4:$G$1203,$AE62)=0,"",INDEX(对接源_01水果!$G$4:$G$1203,$AE62)),IF(INDEX(对接源_02物料!$G$4:$G$1203,$AE62-1200)=0,"",INDEX(对接源_02物料!$G$4:$G$1203,$AE62-1200)))))</f>
      </c>
      <c r="E62" s="173">
        <f>IF($AE62="","",IF($AE62&lt;=1200,IF(INDEX(对接源_01水果!$H$4:$H$1203,$AE62)=0,"",INDEX(对接源_01水果!$H$4:$H$1203,$AE62)),IF(INDEX(对接源_02物料!$H$4:$H$1203,$AE62-1200)=0,"",INDEX(对接源_02物料!$H$4:$H$1203,$AE62-1200))))</f>
      </c>
      <c r="F62" s="61">
        <f>IF($AE62="","",IF($AE62&lt;=1200,IF(INDEX(对接源_01水果!$I$4:$I$1203,$AE62)=0,"",INDEX(对接源_01水果!$I$4:$I$1203,$AE62)),IF(INDEX(对接源_02物料!$I$4:$I$1203,$AE62-1200)=0,"",INDEX(对接源_02物料!$I$4:$I$1203,$AE62-1200))))</f>
      </c>
      <c r="G62" s="173">
        <f>IF($AE62="","",IF(IF($AE62&lt;=1200,N(INDEX(对接源_01水果!$H$4:$H$1203,$AE62)),N(INDEX(对接源_02物料!$H$4:$H$1203,$AE62-1200)))=0,"",ROUND(IF($AE62&lt;=1200,N(INDEX(对接源_01水果!$K$4:$K$1203,$AE62)),N(INDEX(对接源_02物料!$K$4:$K$1203,$AE62-1200)))/IF($AE62&lt;=1200,N(INDEX(对接源_01水果!$H$4:$H$1203,$AE62)),N(INDEX(对接源_02物料!$H$4:$H$1203,$AE62-1200))),2)))</f>
      </c>
      <c r="H62" s="173">
        <f>IF($AE62="","",IF($AE62&lt;=1200,IF(INDEX(对接源_01水果!$K$4:$K$1203,$AE62)=0,"",INDEX(对接源_01水果!$K$4:$K$1203,$AE62)),IF(INDEX(对接源_02物料!$K$4:$K$1203,$AE62-1200)=0,"",INDEX(对接源_02物料!$K$4:$K$1203,$AE62-1200))))</f>
      </c>
      <c r="I62" s="61">
        <f>IF($AE62="","",IF($AE62&lt;=1200,IF(INDEX(对接源_01水果!$L$4:$L$1203,$AE62)=0,"",INDEX(对接源_01水果!$L$4:$L$1203,$AE62)),IF(INDEX(对接源_02物料!$L$4:$L$1203,$AE62-1200)=0,"",INDEX(对接源_02物料!$L$4:$L$1203,$AE62-1200))))</f>
      </c>
      <c r="J62" s="122">
        <f>IF($AE62="","",IF($AE62&lt;=1200,IF(INDEX(对接源_01水果!$M$4:$M$1203,$AE62)=0,"",INDEX(对接源_01水果!$M$4:$M$1203,$AE62)),IF(INDEX(对接源_02物料!$M$4:$M$1203,$AE62-1200)=0,"",INDEX(对接源_02物料!$M$4:$M$1203,$AE62-1200))))</f>
      </c>
      <c r="AE62" s="128">
        <f>IFERROR(MATCH(57,_自动清单!$AS$4:$AS$2403,0),"")</f>
      </c>
    </row>
    <row r="63" ht="18" customHeight="1" s="127">
      <c r="A63" s="163">
        <f>IF($AE63="","",IF($AE63&lt;=1200,IF(INDEX(对接源_01水果!$B$4:$B$1203,$AE63)=0,"",INDEX(对接源_01水果!$B$4:$B$1203,$AE63)),IF(INDEX(对接源_02物料!$B$4:$B$1203,$AE63-1200)=0,"",INDEX(对接源_02物料!$B$4:$B$1203,$AE63-1200))))</f>
      </c>
      <c r="B63" s="61">
        <f>IF($AE63="","",IF($AE63&lt;=1200,IF(INDEX(对接源_01水果!$E$4:$E$1203,$AE63)=0,"",INDEX(对接源_01水果!$E$4:$E$1203,$AE63)),IF(INDEX(对接源_02物料!$E$4:$E$1203,$AE63-1200)=0,"",INDEX(对接源_02物料!$E$4:$E$1203,$AE63-1200))))</f>
      </c>
      <c r="C63" s="122">
        <f>IF($AE63="","",IF($AE63&lt;=1200,IF(INDEX(对接源_01水果!$F$4:$F$1203,$AE63)=0,"",INDEX(对接源_01水果!$F$4:$F$1203,$AE63)),IF(INDEX(对接源_02物料!$F$4:$F$1203,$AE63-1200)=0,"",INDEX(对接源_02物料!$F$4:$F$1203,$AE63-1200))))</f>
      </c>
      <c r="D63" s="61">
        <f>IF($AE63="","",IF(IF($AE63&lt;=1200,IF(INDEX(对接源_01水果!$G$4:$G$1203,$AE63)=0,"",INDEX(对接源_01水果!$G$4:$G$1203,$AE63)),IF(INDEX(对接源_02物料!$G$4:$G$1203,$AE63-1200)=0,"",INDEX(对接源_02物料!$G$4:$G$1203,$AE63-1200)))="",IF($AE63&lt;=1200,IF(INDEX(对接源_01水果!$D$4:$D$1203,$AE63)=0,"",INDEX(对接源_01水果!$D$4:$D$1203,$AE63)),IF(INDEX(对接源_02物料!$D$4:$D$1203,$AE63-1200)=0,"",INDEX(对接源_02物料!$D$4:$D$1203,$AE63-1200))),IF($AE63&lt;=1200,IF(INDEX(对接源_01水果!$G$4:$G$1203,$AE63)=0,"",INDEX(对接源_01水果!$G$4:$G$1203,$AE63)),IF(INDEX(对接源_02物料!$G$4:$G$1203,$AE63-1200)=0,"",INDEX(对接源_02物料!$G$4:$G$1203,$AE63-1200)))))</f>
      </c>
      <c r="E63" s="173">
        <f>IF($AE63="","",IF($AE63&lt;=1200,IF(INDEX(对接源_01水果!$H$4:$H$1203,$AE63)=0,"",INDEX(对接源_01水果!$H$4:$H$1203,$AE63)),IF(INDEX(对接源_02物料!$H$4:$H$1203,$AE63-1200)=0,"",INDEX(对接源_02物料!$H$4:$H$1203,$AE63-1200))))</f>
      </c>
      <c r="F63" s="61">
        <f>IF($AE63="","",IF($AE63&lt;=1200,IF(INDEX(对接源_01水果!$I$4:$I$1203,$AE63)=0,"",INDEX(对接源_01水果!$I$4:$I$1203,$AE63)),IF(INDEX(对接源_02物料!$I$4:$I$1203,$AE63-1200)=0,"",INDEX(对接源_02物料!$I$4:$I$1203,$AE63-1200))))</f>
      </c>
      <c r="G63" s="173">
        <f>IF($AE63="","",IF(IF($AE63&lt;=1200,N(INDEX(对接源_01水果!$H$4:$H$1203,$AE63)),N(INDEX(对接源_02物料!$H$4:$H$1203,$AE63-1200)))=0,"",ROUND(IF($AE63&lt;=1200,N(INDEX(对接源_01水果!$K$4:$K$1203,$AE63)),N(INDEX(对接源_02物料!$K$4:$K$1203,$AE63-1200)))/IF($AE63&lt;=1200,N(INDEX(对接源_01水果!$H$4:$H$1203,$AE63)),N(INDEX(对接源_02物料!$H$4:$H$1203,$AE63-1200))),2)))</f>
      </c>
      <c r="H63" s="173">
        <f>IF($AE63="","",IF($AE63&lt;=1200,IF(INDEX(对接源_01水果!$K$4:$K$1203,$AE63)=0,"",INDEX(对接源_01水果!$K$4:$K$1203,$AE63)),IF(INDEX(对接源_02物料!$K$4:$K$1203,$AE63-1200)=0,"",INDEX(对接源_02物料!$K$4:$K$1203,$AE63-1200))))</f>
      </c>
      <c r="I63" s="61">
        <f>IF($AE63="","",IF($AE63&lt;=1200,IF(INDEX(对接源_01水果!$L$4:$L$1203,$AE63)=0,"",INDEX(对接源_01水果!$L$4:$L$1203,$AE63)),IF(INDEX(对接源_02物料!$L$4:$L$1203,$AE63-1200)=0,"",INDEX(对接源_02物料!$L$4:$L$1203,$AE63-1200))))</f>
      </c>
      <c r="J63" s="122">
        <f>IF($AE63="","",IF($AE63&lt;=1200,IF(INDEX(对接源_01水果!$M$4:$M$1203,$AE63)=0,"",INDEX(对接源_01水果!$M$4:$M$1203,$AE63)),IF(INDEX(对接源_02物料!$M$4:$M$1203,$AE63-1200)=0,"",INDEX(对接源_02物料!$M$4:$M$1203,$AE63-1200))))</f>
      </c>
      <c r="AE63" s="128">
        <f>IFERROR(MATCH(58,_自动清单!$AS$4:$AS$2403,0),"")</f>
      </c>
    </row>
    <row r="64" ht="18" customHeight="1" s="127">
      <c r="A64" s="163">
        <f>IF($AE64="","",IF($AE64&lt;=1200,IF(INDEX(对接源_01水果!$B$4:$B$1203,$AE64)=0,"",INDEX(对接源_01水果!$B$4:$B$1203,$AE64)),IF(INDEX(对接源_02物料!$B$4:$B$1203,$AE64-1200)=0,"",INDEX(对接源_02物料!$B$4:$B$1203,$AE64-1200))))</f>
      </c>
      <c r="B64" s="61">
        <f>IF($AE64="","",IF($AE64&lt;=1200,IF(INDEX(对接源_01水果!$E$4:$E$1203,$AE64)=0,"",INDEX(对接源_01水果!$E$4:$E$1203,$AE64)),IF(INDEX(对接源_02物料!$E$4:$E$1203,$AE64-1200)=0,"",INDEX(对接源_02物料!$E$4:$E$1203,$AE64-1200))))</f>
      </c>
      <c r="C64" s="122">
        <f>IF($AE64="","",IF($AE64&lt;=1200,IF(INDEX(对接源_01水果!$F$4:$F$1203,$AE64)=0,"",INDEX(对接源_01水果!$F$4:$F$1203,$AE64)),IF(INDEX(对接源_02物料!$F$4:$F$1203,$AE64-1200)=0,"",INDEX(对接源_02物料!$F$4:$F$1203,$AE64-1200))))</f>
      </c>
      <c r="D64" s="61">
        <f>IF($AE64="","",IF(IF($AE64&lt;=1200,IF(INDEX(对接源_01水果!$G$4:$G$1203,$AE64)=0,"",INDEX(对接源_01水果!$G$4:$G$1203,$AE64)),IF(INDEX(对接源_02物料!$G$4:$G$1203,$AE64-1200)=0,"",INDEX(对接源_02物料!$G$4:$G$1203,$AE64-1200)))="",IF($AE64&lt;=1200,IF(INDEX(对接源_01水果!$D$4:$D$1203,$AE64)=0,"",INDEX(对接源_01水果!$D$4:$D$1203,$AE64)),IF(INDEX(对接源_02物料!$D$4:$D$1203,$AE64-1200)=0,"",INDEX(对接源_02物料!$D$4:$D$1203,$AE64-1200))),IF($AE64&lt;=1200,IF(INDEX(对接源_01水果!$G$4:$G$1203,$AE64)=0,"",INDEX(对接源_01水果!$G$4:$G$1203,$AE64)),IF(INDEX(对接源_02物料!$G$4:$G$1203,$AE64-1200)=0,"",INDEX(对接源_02物料!$G$4:$G$1203,$AE64-1200)))))</f>
      </c>
      <c r="E64" s="173">
        <f>IF($AE64="","",IF($AE64&lt;=1200,IF(INDEX(对接源_01水果!$H$4:$H$1203,$AE64)=0,"",INDEX(对接源_01水果!$H$4:$H$1203,$AE64)),IF(INDEX(对接源_02物料!$H$4:$H$1203,$AE64-1200)=0,"",INDEX(对接源_02物料!$H$4:$H$1203,$AE64-1200))))</f>
      </c>
      <c r="F64" s="61">
        <f>IF($AE64="","",IF($AE64&lt;=1200,IF(INDEX(对接源_01水果!$I$4:$I$1203,$AE64)=0,"",INDEX(对接源_01水果!$I$4:$I$1203,$AE64)),IF(INDEX(对接源_02物料!$I$4:$I$1203,$AE64-1200)=0,"",INDEX(对接源_02物料!$I$4:$I$1203,$AE64-1200))))</f>
      </c>
      <c r="G64" s="173">
        <f>IF($AE64="","",IF(IF($AE64&lt;=1200,N(INDEX(对接源_01水果!$H$4:$H$1203,$AE64)),N(INDEX(对接源_02物料!$H$4:$H$1203,$AE64-1200)))=0,"",ROUND(IF($AE64&lt;=1200,N(INDEX(对接源_01水果!$K$4:$K$1203,$AE64)),N(INDEX(对接源_02物料!$K$4:$K$1203,$AE64-1200)))/IF($AE64&lt;=1200,N(INDEX(对接源_01水果!$H$4:$H$1203,$AE64)),N(INDEX(对接源_02物料!$H$4:$H$1203,$AE64-1200))),2)))</f>
      </c>
      <c r="H64" s="173">
        <f>IF($AE64="","",IF($AE64&lt;=1200,IF(INDEX(对接源_01水果!$K$4:$K$1203,$AE64)=0,"",INDEX(对接源_01水果!$K$4:$K$1203,$AE64)),IF(INDEX(对接源_02物料!$K$4:$K$1203,$AE64-1200)=0,"",INDEX(对接源_02物料!$K$4:$K$1203,$AE64-1200))))</f>
      </c>
      <c r="I64" s="61">
        <f>IF($AE64="","",IF($AE64&lt;=1200,IF(INDEX(对接源_01水果!$L$4:$L$1203,$AE64)=0,"",INDEX(对接源_01水果!$L$4:$L$1203,$AE64)),IF(INDEX(对接源_02物料!$L$4:$L$1203,$AE64-1200)=0,"",INDEX(对接源_02物料!$L$4:$L$1203,$AE64-1200))))</f>
      </c>
      <c r="J64" s="122">
        <f>IF($AE64="","",IF($AE64&lt;=1200,IF(INDEX(对接源_01水果!$M$4:$M$1203,$AE64)=0,"",INDEX(对接源_01水果!$M$4:$M$1203,$AE64)),IF(INDEX(对接源_02物料!$M$4:$M$1203,$AE64-1200)=0,"",INDEX(对接源_02物料!$M$4:$M$1203,$AE64-1200))))</f>
      </c>
      <c r="AE64" s="128">
        <f>IFERROR(MATCH(59,_自动清单!$AS$4:$AS$2403,0),"")</f>
      </c>
    </row>
    <row r="65" ht="18" customHeight="1" s="127">
      <c r="A65" s="163">
        <f>IF($AE65="","",IF($AE65&lt;=1200,IF(INDEX(对接源_01水果!$B$4:$B$1203,$AE65)=0,"",INDEX(对接源_01水果!$B$4:$B$1203,$AE65)),IF(INDEX(对接源_02物料!$B$4:$B$1203,$AE65-1200)=0,"",INDEX(对接源_02物料!$B$4:$B$1203,$AE65-1200))))</f>
      </c>
      <c r="B65" s="61">
        <f>IF($AE65="","",IF($AE65&lt;=1200,IF(INDEX(对接源_01水果!$E$4:$E$1203,$AE65)=0,"",INDEX(对接源_01水果!$E$4:$E$1203,$AE65)),IF(INDEX(对接源_02物料!$E$4:$E$1203,$AE65-1200)=0,"",INDEX(对接源_02物料!$E$4:$E$1203,$AE65-1200))))</f>
      </c>
      <c r="C65" s="122">
        <f>IF($AE65="","",IF($AE65&lt;=1200,IF(INDEX(对接源_01水果!$F$4:$F$1203,$AE65)=0,"",INDEX(对接源_01水果!$F$4:$F$1203,$AE65)),IF(INDEX(对接源_02物料!$F$4:$F$1203,$AE65-1200)=0,"",INDEX(对接源_02物料!$F$4:$F$1203,$AE65-1200))))</f>
      </c>
      <c r="D65" s="61">
        <f>IF($AE65="","",IF(IF($AE65&lt;=1200,IF(INDEX(对接源_01水果!$G$4:$G$1203,$AE65)=0,"",INDEX(对接源_01水果!$G$4:$G$1203,$AE65)),IF(INDEX(对接源_02物料!$G$4:$G$1203,$AE65-1200)=0,"",INDEX(对接源_02物料!$G$4:$G$1203,$AE65-1200)))="",IF($AE65&lt;=1200,IF(INDEX(对接源_01水果!$D$4:$D$1203,$AE65)=0,"",INDEX(对接源_01水果!$D$4:$D$1203,$AE65)),IF(INDEX(对接源_02物料!$D$4:$D$1203,$AE65-1200)=0,"",INDEX(对接源_02物料!$D$4:$D$1203,$AE65-1200))),IF($AE65&lt;=1200,IF(INDEX(对接源_01水果!$G$4:$G$1203,$AE65)=0,"",INDEX(对接源_01水果!$G$4:$G$1203,$AE65)),IF(INDEX(对接源_02物料!$G$4:$G$1203,$AE65-1200)=0,"",INDEX(对接源_02物料!$G$4:$G$1203,$AE65-1200)))))</f>
      </c>
      <c r="E65" s="173">
        <f>IF($AE65="","",IF($AE65&lt;=1200,IF(INDEX(对接源_01水果!$H$4:$H$1203,$AE65)=0,"",INDEX(对接源_01水果!$H$4:$H$1203,$AE65)),IF(INDEX(对接源_02物料!$H$4:$H$1203,$AE65-1200)=0,"",INDEX(对接源_02物料!$H$4:$H$1203,$AE65-1200))))</f>
      </c>
      <c r="F65" s="61">
        <f>IF($AE65="","",IF($AE65&lt;=1200,IF(INDEX(对接源_01水果!$I$4:$I$1203,$AE65)=0,"",INDEX(对接源_01水果!$I$4:$I$1203,$AE65)),IF(INDEX(对接源_02物料!$I$4:$I$1203,$AE65-1200)=0,"",INDEX(对接源_02物料!$I$4:$I$1203,$AE65-1200))))</f>
      </c>
      <c r="G65" s="173">
        <f>IF($AE65="","",IF(IF($AE65&lt;=1200,N(INDEX(对接源_01水果!$H$4:$H$1203,$AE65)),N(INDEX(对接源_02物料!$H$4:$H$1203,$AE65-1200)))=0,"",ROUND(IF($AE65&lt;=1200,N(INDEX(对接源_01水果!$K$4:$K$1203,$AE65)),N(INDEX(对接源_02物料!$K$4:$K$1203,$AE65-1200)))/IF($AE65&lt;=1200,N(INDEX(对接源_01水果!$H$4:$H$1203,$AE65)),N(INDEX(对接源_02物料!$H$4:$H$1203,$AE65-1200))),2)))</f>
      </c>
      <c r="H65" s="173">
        <f>IF($AE65="","",IF($AE65&lt;=1200,IF(INDEX(对接源_01水果!$K$4:$K$1203,$AE65)=0,"",INDEX(对接源_01水果!$K$4:$K$1203,$AE65)),IF(INDEX(对接源_02物料!$K$4:$K$1203,$AE65-1200)=0,"",INDEX(对接源_02物料!$K$4:$K$1203,$AE65-1200))))</f>
      </c>
      <c r="I65" s="61">
        <f>IF($AE65="","",IF($AE65&lt;=1200,IF(INDEX(对接源_01水果!$L$4:$L$1203,$AE65)=0,"",INDEX(对接源_01水果!$L$4:$L$1203,$AE65)),IF(INDEX(对接源_02物料!$L$4:$L$1203,$AE65-1200)=0,"",INDEX(对接源_02物料!$L$4:$L$1203,$AE65-1200))))</f>
      </c>
      <c r="J65" s="122">
        <f>IF($AE65="","",IF($AE65&lt;=1200,IF(INDEX(对接源_01水果!$M$4:$M$1203,$AE65)=0,"",INDEX(对接源_01水果!$M$4:$M$1203,$AE65)),IF(INDEX(对接源_02物料!$M$4:$M$1203,$AE65-1200)=0,"",INDEX(对接源_02物料!$M$4:$M$1203,$AE65-1200))))</f>
      </c>
      <c r="AE65" s="128">
        <f>IFERROR(MATCH(60,_自动清单!$AS$4:$AS$2403,0),"")</f>
      </c>
    </row>
    <row r="66" ht="18" customHeight="1" s="127">
      <c r="A66" s="163">
        <f>IF($AE66="","",IF($AE66&lt;=1200,IF(INDEX(对接源_01水果!$B$4:$B$1203,$AE66)=0,"",INDEX(对接源_01水果!$B$4:$B$1203,$AE66)),IF(INDEX(对接源_02物料!$B$4:$B$1203,$AE66-1200)=0,"",INDEX(对接源_02物料!$B$4:$B$1203,$AE66-1200))))</f>
      </c>
      <c r="B66" s="61">
        <f>IF($AE66="","",IF($AE66&lt;=1200,IF(INDEX(对接源_01水果!$E$4:$E$1203,$AE66)=0,"",INDEX(对接源_01水果!$E$4:$E$1203,$AE66)),IF(INDEX(对接源_02物料!$E$4:$E$1203,$AE66-1200)=0,"",INDEX(对接源_02物料!$E$4:$E$1203,$AE66-1200))))</f>
      </c>
      <c r="C66" s="122">
        <f>IF($AE66="","",IF($AE66&lt;=1200,IF(INDEX(对接源_01水果!$F$4:$F$1203,$AE66)=0,"",INDEX(对接源_01水果!$F$4:$F$1203,$AE66)),IF(INDEX(对接源_02物料!$F$4:$F$1203,$AE66-1200)=0,"",INDEX(对接源_02物料!$F$4:$F$1203,$AE66-1200))))</f>
      </c>
      <c r="D66" s="61">
        <f>IF($AE66="","",IF(IF($AE66&lt;=1200,IF(INDEX(对接源_01水果!$G$4:$G$1203,$AE66)=0,"",INDEX(对接源_01水果!$G$4:$G$1203,$AE66)),IF(INDEX(对接源_02物料!$G$4:$G$1203,$AE66-1200)=0,"",INDEX(对接源_02物料!$G$4:$G$1203,$AE66-1200)))="",IF($AE66&lt;=1200,IF(INDEX(对接源_01水果!$D$4:$D$1203,$AE66)=0,"",INDEX(对接源_01水果!$D$4:$D$1203,$AE66)),IF(INDEX(对接源_02物料!$D$4:$D$1203,$AE66-1200)=0,"",INDEX(对接源_02物料!$D$4:$D$1203,$AE66-1200))),IF($AE66&lt;=1200,IF(INDEX(对接源_01水果!$G$4:$G$1203,$AE66)=0,"",INDEX(对接源_01水果!$G$4:$G$1203,$AE66)),IF(INDEX(对接源_02物料!$G$4:$G$1203,$AE66-1200)=0,"",INDEX(对接源_02物料!$G$4:$G$1203,$AE66-1200)))))</f>
      </c>
      <c r="E66" s="173">
        <f>IF($AE66="","",IF($AE66&lt;=1200,IF(INDEX(对接源_01水果!$H$4:$H$1203,$AE66)=0,"",INDEX(对接源_01水果!$H$4:$H$1203,$AE66)),IF(INDEX(对接源_02物料!$H$4:$H$1203,$AE66-1200)=0,"",INDEX(对接源_02物料!$H$4:$H$1203,$AE66-1200))))</f>
      </c>
      <c r="F66" s="61">
        <f>IF($AE66="","",IF($AE66&lt;=1200,IF(INDEX(对接源_01水果!$I$4:$I$1203,$AE66)=0,"",INDEX(对接源_01水果!$I$4:$I$1203,$AE66)),IF(INDEX(对接源_02物料!$I$4:$I$1203,$AE66-1200)=0,"",INDEX(对接源_02物料!$I$4:$I$1203,$AE66-1200))))</f>
      </c>
      <c r="G66" s="173">
        <f>IF($AE66="","",IF(IF($AE66&lt;=1200,N(INDEX(对接源_01水果!$H$4:$H$1203,$AE66)),N(INDEX(对接源_02物料!$H$4:$H$1203,$AE66-1200)))=0,"",ROUND(IF($AE66&lt;=1200,N(INDEX(对接源_01水果!$K$4:$K$1203,$AE66)),N(INDEX(对接源_02物料!$K$4:$K$1203,$AE66-1200)))/IF($AE66&lt;=1200,N(INDEX(对接源_01水果!$H$4:$H$1203,$AE66)),N(INDEX(对接源_02物料!$H$4:$H$1203,$AE66-1200))),2)))</f>
      </c>
      <c r="H66" s="173">
        <f>IF($AE66="","",IF($AE66&lt;=1200,IF(INDEX(对接源_01水果!$K$4:$K$1203,$AE66)=0,"",INDEX(对接源_01水果!$K$4:$K$1203,$AE66)),IF(INDEX(对接源_02物料!$K$4:$K$1203,$AE66-1200)=0,"",INDEX(对接源_02物料!$K$4:$K$1203,$AE66-1200))))</f>
      </c>
      <c r="I66" s="61">
        <f>IF($AE66="","",IF($AE66&lt;=1200,IF(INDEX(对接源_01水果!$L$4:$L$1203,$AE66)=0,"",INDEX(对接源_01水果!$L$4:$L$1203,$AE66)),IF(INDEX(对接源_02物料!$L$4:$L$1203,$AE66-1200)=0,"",INDEX(对接源_02物料!$L$4:$L$1203,$AE66-1200))))</f>
      </c>
      <c r="J66" s="122">
        <f>IF($AE66="","",IF($AE66&lt;=1200,IF(INDEX(对接源_01水果!$M$4:$M$1203,$AE66)=0,"",INDEX(对接源_01水果!$M$4:$M$1203,$AE66)),IF(INDEX(对接源_02物料!$M$4:$M$1203,$AE66-1200)=0,"",INDEX(对接源_02物料!$M$4:$M$1203,$AE66-1200))))</f>
      </c>
      <c r="AE66" s="128">
        <f>IFERROR(MATCH(61,_自动清单!$AS$4:$AS$2403,0),"")</f>
      </c>
    </row>
    <row r="67" ht="18" customHeight="1" s="127">
      <c r="A67" s="163">
        <f>IF($AE67="","",IF($AE67&lt;=1200,IF(INDEX(对接源_01水果!$B$4:$B$1203,$AE67)=0,"",INDEX(对接源_01水果!$B$4:$B$1203,$AE67)),IF(INDEX(对接源_02物料!$B$4:$B$1203,$AE67-1200)=0,"",INDEX(对接源_02物料!$B$4:$B$1203,$AE67-1200))))</f>
      </c>
      <c r="B67" s="61">
        <f>IF($AE67="","",IF($AE67&lt;=1200,IF(INDEX(对接源_01水果!$E$4:$E$1203,$AE67)=0,"",INDEX(对接源_01水果!$E$4:$E$1203,$AE67)),IF(INDEX(对接源_02物料!$E$4:$E$1203,$AE67-1200)=0,"",INDEX(对接源_02物料!$E$4:$E$1203,$AE67-1200))))</f>
      </c>
      <c r="C67" s="122">
        <f>IF($AE67="","",IF($AE67&lt;=1200,IF(INDEX(对接源_01水果!$F$4:$F$1203,$AE67)=0,"",INDEX(对接源_01水果!$F$4:$F$1203,$AE67)),IF(INDEX(对接源_02物料!$F$4:$F$1203,$AE67-1200)=0,"",INDEX(对接源_02物料!$F$4:$F$1203,$AE67-1200))))</f>
      </c>
      <c r="D67" s="61">
        <f>IF($AE67="","",IF(IF($AE67&lt;=1200,IF(INDEX(对接源_01水果!$G$4:$G$1203,$AE67)=0,"",INDEX(对接源_01水果!$G$4:$G$1203,$AE67)),IF(INDEX(对接源_02物料!$G$4:$G$1203,$AE67-1200)=0,"",INDEX(对接源_02物料!$G$4:$G$1203,$AE67-1200)))="",IF($AE67&lt;=1200,IF(INDEX(对接源_01水果!$D$4:$D$1203,$AE67)=0,"",INDEX(对接源_01水果!$D$4:$D$1203,$AE67)),IF(INDEX(对接源_02物料!$D$4:$D$1203,$AE67-1200)=0,"",INDEX(对接源_02物料!$D$4:$D$1203,$AE67-1200))),IF($AE67&lt;=1200,IF(INDEX(对接源_01水果!$G$4:$G$1203,$AE67)=0,"",INDEX(对接源_01水果!$G$4:$G$1203,$AE67)),IF(INDEX(对接源_02物料!$G$4:$G$1203,$AE67-1200)=0,"",INDEX(对接源_02物料!$G$4:$G$1203,$AE67-1200)))))</f>
      </c>
      <c r="E67" s="173">
        <f>IF($AE67="","",IF($AE67&lt;=1200,IF(INDEX(对接源_01水果!$H$4:$H$1203,$AE67)=0,"",INDEX(对接源_01水果!$H$4:$H$1203,$AE67)),IF(INDEX(对接源_02物料!$H$4:$H$1203,$AE67-1200)=0,"",INDEX(对接源_02物料!$H$4:$H$1203,$AE67-1200))))</f>
      </c>
      <c r="F67" s="61">
        <f>IF($AE67="","",IF($AE67&lt;=1200,IF(INDEX(对接源_01水果!$I$4:$I$1203,$AE67)=0,"",INDEX(对接源_01水果!$I$4:$I$1203,$AE67)),IF(INDEX(对接源_02物料!$I$4:$I$1203,$AE67-1200)=0,"",INDEX(对接源_02物料!$I$4:$I$1203,$AE67-1200))))</f>
      </c>
      <c r="G67" s="173">
        <f>IF($AE67="","",IF(IF($AE67&lt;=1200,N(INDEX(对接源_01水果!$H$4:$H$1203,$AE67)),N(INDEX(对接源_02物料!$H$4:$H$1203,$AE67-1200)))=0,"",ROUND(IF($AE67&lt;=1200,N(INDEX(对接源_01水果!$K$4:$K$1203,$AE67)),N(INDEX(对接源_02物料!$K$4:$K$1203,$AE67-1200)))/IF($AE67&lt;=1200,N(INDEX(对接源_01水果!$H$4:$H$1203,$AE67)),N(INDEX(对接源_02物料!$H$4:$H$1203,$AE67-1200))),2)))</f>
      </c>
      <c r="H67" s="173">
        <f>IF($AE67="","",IF($AE67&lt;=1200,IF(INDEX(对接源_01水果!$K$4:$K$1203,$AE67)=0,"",INDEX(对接源_01水果!$K$4:$K$1203,$AE67)),IF(INDEX(对接源_02物料!$K$4:$K$1203,$AE67-1200)=0,"",INDEX(对接源_02物料!$K$4:$K$1203,$AE67-1200))))</f>
      </c>
      <c r="I67" s="61">
        <f>IF($AE67="","",IF($AE67&lt;=1200,IF(INDEX(对接源_01水果!$L$4:$L$1203,$AE67)=0,"",INDEX(对接源_01水果!$L$4:$L$1203,$AE67)),IF(INDEX(对接源_02物料!$L$4:$L$1203,$AE67-1200)=0,"",INDEX(对接源_02物料!$L$4:$L$1203,$AE67-1200))))</f>
      </c>
      <c r="J67" s="122">
        <f>IF($AE67="","",IF($AE67&lt;=1200,IF(INDEX(对接源_01水果!$M$4:$M$1203,$AE67)=0,"",INDEX(对接源_01水果!$M$4:$M$1203,$AE67)),IF(INDEX(对接源_02物料!$M$4:$M$1203,$AE67-1200)=0,"",INDEX(对接源_02物料!$M$4:$M$1203,$AE67-1200))))</f>
      </c>
      <c r="AE67" s="128">
        <f>IFERROR(MATCH(62,_自动清单!$AS$4:$AS$2403,0),"")</f>
      </c>
    </row>
    <row r="68" ht="18" customHeight="1" s="127">
      <c r="A68" s="163">
        <f>IF($AE68="","",IF($AE68&lt;=1200,IF(INDEX(对接源_01水果!$B$4:$B$1203,$AE68)=0,"",INDEX(对接源_01水果!$B$4:$B$1203,$AE68)),IF(INDEX(对接源_02物料!$B$4:$B$1203,$AE68-1200)=0,"",INDEX(对接源_02物料!$B$4:$B$1203,$AE68-1200))))</f>
      </c>
      <c r="B68" s="61">
        <f>IF($AE68="","",IF($AE68&lt;=1200,IF(INDEX(对接源_01水果!$E$4:$E$1203,$AE68)=0,"",INDEX(对接源_01水果!$E$4:$E$1203,$AE68)),IF(INDEX(对接源_02物料!$E$4:$E$1203,$AE68-1200)=0,"",INDEX(对接源_02物料!$E$4:$E$1203,$AE68-1200))))</f>
      </c>
      <c r="C68" s="122">
        <f>IF($AE68="","",IF($AE68&lt;=1200,IF(INDEX(对接源_01水果!$F$4:$F$1203,$AE68)=0,"",INDEX(对接源_01水果!$F$4:$F$1203,$AE68)),IF(INDEX(对接源_02物料!$F$4:$F$1203,$AE68-1200)=0,"",INDEX(对接源_02物料!$F$4:$F$1203,$AE68-1200))))</f>
      </c>
      <c r="D68" s="61">
        <f>IF($AE68="","",IF(IF($AE68&lt;=1200,IF(INDEX(对接源_01水果!$G$4:$G$1203,$AE68)=0,"",INDEX(对接源_01水果!$G$4:$G$1203,$AE68)),IF(INDEX(对接源_02物料!$G$4:$G$1203,$AE68-1200)=0,"",INDEX(对接源_02物料!$G$4:$G$1203,$AE68-1200)))="",IF($AE68&lt;=1200,IF(INDEX(对接源_01水果!$D$4:$D$1203,$AE68)=0,"",INDEX(对接源_01水果!$D$4:$D$1203,$AE68)),IF(INDEX(对接源_02物料!$D$4:$D$1203,$AE68-1200)=0,"",INDEX(对接源_02物料!$D$4:$D$1203,$AE68-1200))),IF($AE68&lt;=1200,IF(INDEX(对接源_01水果!$G$4:$G$1203,$AE68)=0,"",INDEX(对接源_01水果!$G$4:$G$1203,$AE68)),IF(INDEX(对接源_02物料!$G$4:$G$1203,$AE68-1200)=0,"",INDEX(对接源_02物料!$G$4:$G$1203,$AE68-1200)))))</f>
      </c>
      <c r="E68" s="173">
        <f>IF($AE68="","",IF($AE68&lt;=1200,IF(INDEX(对接源_01水果!$H$4:$H$1203,$AE68)=0,"",INDEX(对接源_01水果!$H$4:$H$1203,$AE68)),IF(INDEX(对接源_02物料!$H$4:$H$1203,$AE68-1200)=0,"",INDEX(对接源_02物料!$H$4:$H$1203,$AE68-1200))))</f>
      </c>
      <c r="F68" s="61">
        <f>IF($AE68="","",IF($AE68&lt;=1200,IF(INDEX(对接源_01水果!$I$4:$I$1203,$AE68)=0,"",INDEX(对接源_01水果!$I$4:$I$1203,$AE68)),IF(INDEX(对接源_02物料!$I$4:$I$1203,$AE68-1200)=0,"",INDEX(对接源_02物料!$I$4:$I$1203,$AE68-1200))))</f>
      </c>
      <c r="G68" s="173">
        <f>IF($AE68="","",IF(IF($AE68&lt;=1200,N(INDEX(对接源_01水果!$H$4:$H$1203,$AE68)),N(INDEX(对接源_02物料!$H$4:$H$1203,$AE68-1200)))=0,"",ROUND(IF($AE68&lt;=1200,N(INDEX(对接源_01水果!$K$4:$K$1203,$AE68)),N(INDEX(对接源_02物料!$K$4:$K$1203,$AE68-1200)))/IF($AE68&lt;=1200,N(INDEX(对接源_01水果!$H$4:$H$1203,$AE68)),N(INDEX(对接源_02物料!$H$4:$H$1203,$AE68-1200))),2)))</f>
      </c>
      <c r="H68" s="173">
        <f>IF($AE68="","",IF($AE68&lt;=1200,IF(INDEX(对接源_01水果!$K$4:$K$1203,$AE68)=0,"",INDEX(对接源_01水果!$K$4:$K$1203,$AE68)),IF(INDEX(对接源_02物料!$K$4:$K$1203,$AE68-1200)=0,"",INDEX(对接源_02物料!$K$4:$K$1203,$AE68-1200))))</f>
      </c>
      <c r="I68" s="61">
        <f>IF($AE68="","",IF($AE68&lt;=1200,IF(INDEX(对接源_01水果!$L$4:$L$1203,$AE68)=0,"",INDEX(对接源_01水果!$L$4:$L$1203,$AE68)),IF(INDEX(对接源_02物料!$L$4:$L$1203,$AE68-1200)=0,"",INDEX(对接源_02物料!$L$4:$L$1203,$AE68-1200))))</f>
      </c>
      <c r="J68" s="122">
        <f>IF($AE68="","",IF($AE68&lt;=1200,IF(INDEX(对接源_01水果!$M$4:$M$1203,$AE68)=0,"",INDEX(对接源_01水果!$M$4:$M$1203,$AE68)),IF(INDEX(对接源_02物料!$M$4:$M$1203,$AE68-1200)=0,"",INDEX(对接源_02物料!$M$4:$M$1203,$AE68-1200))))</f>
      </c>
      <c r="AE68" s="128">
        <f>IFERROR(MATCH(63,_自动清单!$AS$4:$AS$2403,0),"")</f>
      </c>
    </row>
    <row r="69" ht="18" customHeight="1" s="127">
      <c r="A69" s="163">
        <f>IF($AE69="","",IF($AE69&lt;=1200,IF(INDEX(对接源_01水果!$B$4:$B$1203,$AE69)=0,"",INDEX(对接源_01水果!$B$4:$B$1203,$AE69)),IF(INDEX(对接源_02物料!$B$4:$B$1203,$AE69-1200)=0,"",INDEX(对接源_02物料!$B$4:$B$1203,$AE69-1200))))</f>
      </c>
      <c r="B69" s="61">
        <f>IF($AE69="","",IF($AE69&lt;=1200,IF(INDEX(对接源_01水果!$E$4:$E$1203,$AE69)=0,"",INDEX(对接源_01水果!$E$4:$E$1203,$AE69)),IF(INDEX(对接源_02物料!$E$4:$E$1203,$AE69-1200)=0,"",INDEX(对接源_02物料!$E$4:$E$1203,$AE69-1200))))</f>
      </c>
      <c r="C69" s="122">
        <f>IF($AE69="","",IF($AE69&lt;=1200,IF(INDEX(对接源_01水果!$F$4:$F$1203,$AE69)=0,"",INDEX(对接源_01水果!$F$4:$F$1203,$AE69)),IF(INDEX(对接源_02物料!$F$4:$F$1203,$AE69-1200)=0,"",INDEX(对接源_02物料!$F$4:$F$1203,$AE69-1200))))</f>
      </c>
      <c r="D69" s="61">
        <f>IF($AE69="","",IF(IF($AE69&lt;=1200,IF(INDEX(对接源_01水果!$G$4:$G$1203,$AE69)=0,"",INDEX(对接源_01水果!$G$4:$G$1203,$AE69)),IF(INDEX(对接源_02物料!$G$4:$G$1203,$AE69-1200)=0,"",INDEX(对接源_02物料!$G$4:$G$1203,$AE69-1200)))="",IF($AE69&lt;=1200,IF(INDEX(对接源_01水果!$D$4:$D$1203,$AE69)=0,"",INDEX(对接源_01水果!$D$4:$D$1203,$AE69)),IF(INDEX(对接源_02物料!$D$4:$D$1203,$AE69-1200)=0,"",INDEX(对接源_02物料!$D$4:$D$1203,$AE69-1200))),IF($AE69&lt;=1200,IF(INDEX(对接源_01水果!$G$4:$G$1203,$AE69)=0,"",INDEX(对接源_01水果!$G$4:$G$1203,$AE69)),IF(INDEX(对接源_02物料!$G$4:$G$1203,$AE69-1200)=0,"",INDEX(对接源_02物料!$G$4:$G$1203,$AE69-1200)))))</f>
      </c>
      <c r="E69" s="173">
        <f>IF($AE69="","",IF($AE69&lt;=1200,IF(INDEX(对接源_01水果!$H$4:$H$1203,$AE69)=0,"",INDEX(对接源_01水果!$H$4:$H$1203,$AE69)),IF(INDEX(对接源_02物料!$H$4:$H$1203,$AE69-1200)=0,"",INDEX(对接源_02物料!$H$4:$H$1203,$AE69-1200))))</f>
      </c>
      <c r="F69" s="61">
        <f>IF($AE69="","",IF($AE69&lt;=1200,IF(INDEX(对接源_01水果!$I$4:$I$1203,$AE69)=0,"",INDEX(对接源_01水果!$I$4:$I$1203,$AE69)),IF(INDEX(对接源_02物料!$I$4:$I$1203,$AE69-1200)=0,"",INDEX(对接源_02物料!$I$4:$I$1203,$AE69-1200))))</f>
      </c>
      <c r="G69" s="173">
        <f>IF($AE69="","",IF(IF($AE69&lt;=1200,N(INDEX(对接源_01水果!$H$4:$H$1203,$AE69)),N(INDEX(对接源_02物料!$H$4:$H$1203,$AE69-1200)))=0,"",ROUND(IF($AE69&lt;=1200,N(INDEX(对接源_01水果!$K$4:$K$1203,$AE69)),N(INDEX(对接源_02物料!$K$4:$K$1203,$AE69-1200)))/IF($AE69&lt;=1200,N(INDEX(对接源_01水果!$H$4:$H$1203,$AE69)),N(INDEX(对接源_02物料!$H$4:$H$1203,$AE69-1200))),2)))</f>
      </c>
      <c r="H69" s="173">
        <f>IF($AE69="","",IF($AE69&lt;=1200,IF(INDEX(对接源_01水果!$K$4:$K$1203,$AE69)=0,"",INDEX(对接源_01水果!$K$4:$K$1203,$AE69)),IF(INDEX(对接源_02物料!$K$4:$K$1203,$AE69-1200)=0,"",INDEX(对接源_02物料!$K$4:$K$1203,$AE69-1200))))</f>
      </c>
      <c r="I69" s="61">
        <f>IF($AE69="","",IF($AE69&lt;=1200,IF(INDEX(对接源_01水果!$L$4:$L$1203,$AE69)=0,"",INDEX(对接源_01水果!$L$4:$L$1203,$AE69)),IF(INDEX(对接源_02物料!$L$4:$L$1203,$AE69-1200)=0,"",INDEX(对接源_02物料!$L$4:$L$1203,$AE69-1200))))</f>
      </c>
      <c r="J69" s="122">
        <f>IF($AE69="","",IF($AE69&lt;=1200,IF(INDEX(对接源_01水果!$M$4:$M$1203,$AE69)=0,"",INDEX(对接源_01水果!$M$4:$M$1203,$AE69)),IF(INDEX(对接源_02物料!$M$4:$M$1203,$AE69-1200)=0,"",INDEX(对接源_02物料!$M$4:$M$1203,$AE69-1200))))</f>
      </c>
      <c r="AE69" s="128">
        <f>IFERROR(MATCH(64,_自动清单!$AS$4:$AS$2403,0),"")</f>
      </c>
    </row>
    <row r="70" ht="18" customHeight="1" s="127">
      <c r="A70" s="163">
        <f>IF($AE70="","",IF($AE70&lt;=1200,IF(INDEX(对接源_01水果!$B$4:$B$1203,$AE70)=0,"",INDEX(对接源_01水果!$B$4:$B$1203,$AE70)),IF(INDEX(对接源_02物料!$B$4:$B$1203,$AE70-1200)=0,"",INDEX(对接源_02物料!$B$4:$B$1203,$AE70-1200))))</f>
      </c>
      <c r="B70" s="61">
        <f>IF($AE70="","",IF($AE70&lt;=1200,IF(INDEX(对接源_01水果!$E$4:$E$1203,$AE70)=0,"",INDEX(对接源_01水果!$E$4:$E$1203,$AE70)),IF(INDEX(对接源_02物料!$E$4:$E$1203,$AE70-1200)=0,"",INDEX(对接源_02物料!$E$4:$E$1203,$AE70-1200))))</f>
      </c>
      <c r="C70" s="122">
        <f>IF($AE70="","",IF($AE70&lt;=1200,IF(INDEX(对接源_01水果!$F$4:$F$1203,$AE70)=0,"",INDEX(对接源_01水果!$F$4:$F$1203,$AE70)),IF(INDEX(对接源_02物料!$F$4:$F$1203,$AE70-1200)=0,"",INDEX(对接源_02物料!$F$4:$F$1203,$AE70-1200))))</f>
      </c>
      <c r="D70" s="61">
        <f>IF($AE70="","",IF(IF($AE70&lt;=1200,IF(INDEX(对接源_01水果!$G$4:$G$1203,$AE70)=0,"",INDEX(对接源_01水果!$G$4:$G$1203,$AE70)),IF(INDEX(对接源_02物料!$G$4:$G$1203,$AE70-1200)=0,"",INDEX(对接源_02物料!$G$4:$G$1203,$AE70-1200)))="",IF($AE70&lt;=1200,IF(INDEX(对接源_01水果!$D$4:$D$1203,$AE70)=0,"",INDEX(对接源_01水果!$D$4:$D$1203,$AE70)),IF(INDEX(对接源_02物料!$D$4:$D$1203,$AE70-1200)=0,"",INDEX(对接源_02物料!$D$4:$D$1203,$AE70-1200))),IF($AE70&lt;=1200,IF(INDEX(对接源_01水果!$G$4:$G$1203,$AE70)=0,"",INDEX(对接源_01水果!$G$4:$G$1203,$AE70)),IF(INDEX(对接源_02物料!$G$4:$G$1203,$AE70-1200)=0,"",INDEX(对接源_02物料!$G$4:$G$1203,$AE70-1200)))))</f>
      </c>
      <c r="E70" s="173">
        <f>IF($AE70="","",IF($AE70&lt;=1200,IF(INDEX(对接源_01水果!$H$4:$H$1203,$AE70)=0,"",INDEX(对接源_01水果!$H$4:$H$1203,$AE70)),IF(INDEX(对接源_02物料!$H$4:$H$1203,$AE70-1200)=0,"",INDEX(对接源_02物料!$H$4:$H$1203,$AE70-1200))))</f>
      </c>
      <c r="F70" s="61">
        <f>IF($AE70="","",IF($AE70&lt;=1200,IF(INDEX(对接源_01水果!$I$4:$I$1203,$AE70)=0,"",INDEX(对接源_01水果!$I$4:$I$1203,$AE70)),IF(INDEX(对接源_02物料!$I$4:$I$1203,$AE70-1200)=0,"",INDEX(对接源_02物料!$I$4:$I$1203,$AE70-1200))))</f>
      </c>
      <c r="G70" s="173">
        <f>IF($AE70="","",IF(IF($AE70&lt;=1200,N(INDEX(对接源_01水果!$H$4:$H$1203,$AE70)),N(INDEX(对接源_02物料!$H$4:$H$1203,$AE70-1200)))=0,"",ROUND(IF($AE70&lt;=1200,N(INDEX(对接源_01水果!$K$4:$K$1203,$AE70)),N(INDEX(对接源_02物料!$K$4:$K$1203,$AE70-1200)))/IF($AE70&lt;=1200,N(INDEX(对接源_01水果!$H$4:$H$1203,$AE70)),N(INDEX(对接源_02物料!$H$4:$H$1203,$AE70-1200))),2)))</f>
      </c>
      <c r="H70" s="173">
        <f>IF($AE70="","",IF($AE70&lt;=1200,IF(INDEX(对接源_01水果!$K$4:$K$1203,$AE70)=0,"",INDEX(对接源_01水果!$K$4:$K$1203,$AE70)),IF(INDEX(对接源_02物料!$K$4:$K$1203,$AE70-1200)=0,"",INDEX(对接源_02物料!$K$4:$K$1203,$AE70-1200))))</f>
      </c>
      <c r="I70" s="61">
        <f>IF($AE70="","",IF($AE70&lt;=1200,IF(INDEX(对接源_01水果!$L$4:$L$1203,$AE70)=0,"",INDEX(对接源_01水果!$L$4:$L$1203,$AE70)),IF(INDEX(对接源_02物料!$L$4:$L$1203,$AE70-1200)=0,"",INDEX(对接源_02物料!$L$4:$L$1203,$AE70-1200))))</f>
      </c>
      <c r="J70" s="122">
        <f>IF($AE70="","",IF($AE70&lt;=1200,IF(INDEX(对接源_01水果!$M$4:$M$1203,$AE70)=0,"",INDEX(对接源_01水果!$M$4:$M$1203,$AE70)),IF(INDEX(对接源_02物料!$M$4:$M$1203,$AE70-1200)=0,"",INDEX(对接源_02物料!$M$4:$M$1203,$AE70-1200))))</f>
      </c>
      <c r="AE70" s="128">
        <f>IFERROR(MATCH(65,_自动清单!$AS$4:$AS$2403,0),"")</f>
      </c>
    </row>
    <row r="71" ht="18" customHeight="1" s="127">
      <c r="A71" s="163">
        <f>IF($AE71="","",IF($AE71&lt;=1200,IF(INDEX(对接源_01水果!$B$4:$B$1203,$AE71)=0,"",INDEX(对接源_01水果!$B$4:$B$1203,$AE71)),IF(INDEX(对接源_02物料!$B$4:$B$1203,$AE71-1200)=0,"",INDEX(对接源_02物料!$B$4:$B$1203,$AE71-1200))))</f>
      </c>
      <c r="B71" s="61">
        <f>IF($AE71="","",IF($AE71&lt;=1200,IF(INDEX(对接源_01水果!$E$4:$E$1203,$AE71)=0,"",INDEX(对接源_01水果!$E$4:$E$1203,$AE71)),IF(INDEX(对接源_02物料!$E$4:$E$1203,$AE71-1200)=0,"",INDEX(对接源_02物料!$E$4:$E$1203,$AE71-1200))))</f>
      </c>
      <c r="C71" s="122">
        <f>IF($AE71="","",IF($AE71&lt;=1200,IF(INDEX(对接源_01水果!$F$4:$F$1203,$AE71)=0,"",INDEX(对接源_01水果!$F$4:$F$1203,$AE71)),IF(INDEX(对接源_02物料!$F$4:$F$1203,$AE71-1200)=0,"",INDEX(对接源_02物料!$F$4:$F$1203,$AE71-1200))))</f>
      </c>
      <c r="D71" s="61">
        <f>IF($AE71="","",IF(IF($AE71&lt;=1200,IF(INDEX(对接源_01水果!$G$4:$G$1203,$AE71)=0,"",INDEX(对接源_01水果!$G$4:$G$1203,$AE71)),IF(INDEX(对接源_02物料!$G$4:$G$1203,$AE71-1200)=0,"",INDEX(对接源_02物料!$G$4:$G$1203,$AE71-1200)))="",IF($AE71&lt;=1200,IF(INDEX(对接源_01水果!$D$4:$D$1203,$AE71)=0,"",INDEX(对接源_01水果!$D$4:$D$1203,$AE71)),IF(INDEX(对接源_02物料!$D$4:$D$1203,$AE71-1200)=0,"",INDEX(对接源_02物料!$D$4:$D$1203,$AE71-1200))),IF($AE71&lt;=1200,IF(INDEX(对接源_01水果!$G$4:$G$1203,$AE71)=0,"",INDEX(对接源_01水果!$G$4:$G$1203,$AE71)),IF(INDEX(对接源_02物料!$G$4:$G$1203,$AE71-1200)=0,"",INDEX(对接源_02物料!$G$4:$G$1203,$AE71-1200)))))</f>
      </c>
      <c r="E71" s="173">
        <f>IF($AE71="","",IF($AE71&lt;=1200,IF(INDEX(对接源_01水果!$H$4:$H$1203,$AE71)=0,"",INDEX(对接源_01水果!$H$4:$H$1203,$AE71)),IF(INDEX(对接源_02物料!$H$4:$H$1203,$AE71-1200)=0,"",INDEX(对接源_02物料!$H$4:$H$1203,$AE71-1200))))</f>
      </c>
      <c r="F71" s="61">
        <f>IF($AE71="","",IF($AE71&lt;=1200,IF(INDEX(对接源_01水果!$I$4:$I$1203,$AE71)=0,"",INDEX(对接源_01水果!$I$4:$I$1203,$AE71)),IF(INDEX(对接源_02物料!$I$4:$I$1203,$AE71-1200)=0,"",INDEX(对接源_02物料!$I$4:$I$1203,$AE71-1200))))</f>
      </c>
      <c r="G71" s="173">
        <f>IF($AE71="","",IF(IF($AE71&lt;=1200,N(INDEX(对接源_01水果!$H$4:$H$1203,$AE71)),N(INDEX(对接源_02物料!$H$4:$H$1203,$AE71-1200)))=0,"",ROUND(IF($AE71&lt;=1200,N(INDEX(对接源_01水果!$K$4:$K$1203,$AE71)),N(INDEX(对接源_02物料!$K$4:$K$1203,$AE71-1200)))/IF($AE71&lt;=1200,N(INDEX(对接源_01水果!$H$4:$H$1203,$AE71)),N(INDEX(对接源_02物料!$H$4:$H$1203,$AE71-1200))),2)))</f>
      </c>
      <c r="H71" s="173">
        <f>IF($AE71="","",IF($AE71&lt;=1200,IF(INDEX(对接源_01水果!$K$4:$K$1203,$AE71)=0,"",INDEX(对接源_01水果!$K$4:$K$1203,$AE71)),IF(INDEX(对接源_02物料!$K$4:$K$1203,$AE71-1200)=0,"",INDEX(对接源_02物料!$K$4:$K$1203,$AE71-1200))))</f>
      </c>
      <c r="I71" s="61">
        <f>IF($AE71="","",IF($AE71&lt;=1200,IF(INDEX(对接源_01水果!$L$4:$L$1203,$AE71)=0,"",INDEX(对接源_01水果!$L$4:$L$1203,$AE71)),IF(INDEX(对接源_02物料!$L$4:$L$1203,$AE71-1200)=0,"",INDEX(对接源_02物料!$L$4:$L$1203,$AE71-1200))))</f>
      </c>
      <c r="J71" s="122">
        <f>IF($AE71="","",IF($AE71&lt;=1200,IF(INDEX(对接源_01水果!$M$4:$M$1203,$AE71)=0,"",INDEX(对接源_01水果!$M$4:$M$1203,$AE71)),IF(INDEX(对接源_02物料!$M$4:$M$1203,$AE71-1200)=0,"",INDEX(对接源_02物料!$M$4:$M$1203,$AE71-1200))))</f>
      </c>
      <c r="AE71" s="128">
        <f>IFERROR(MATCH(66,_自动清单!$AS$4:$AS$2403,0),"")</f>
      </c>
    </row>
    <row r="72" ht="18" customHeight="1" s="127">
      <c r="A72" s="163">
        <f>IF($AE72="","",IF($AE72&lt;=1200,IF(INDEX(对接源_01水果!$B$4:$B$1203,$AE72)=0,"",INDEX(对接源_01水果!$B$4:$B$1203,$AE72)),IF(INDEX(对接源_02物料!$B$4:$B$1203,$AE72-1200)=0,"",INDEX(对接源_02物料!$B$4:$B$1203,$AE72-1200))))</f>
      </c>
      <c r="B72" s="61">
        <f>IF($AE72="","",IF($AE72&lt;=1200,IF(INDEX(对接源_01水果!$E$4:$E$1203,$AE72)=0,"",INDEX(对接源_01水果!$E$4:$E$1203,$AE72)),IF(INDEX(对接源_02物料!$E$4:$E$1203,$AE72-1200)=0,"",INDEX(对接源_02物料!$E$4:$E$1203,$AE72-1200))))</f>
      </c>
      <c r="C72" s="122">
        <f>IF($AE72="","",IF($AE72&lt;=1200,IF(INDEX(对接源_01水果!$F$4:$F$1203,$AE72)=0,"",INDEX(对接源_01水果!$F$4:$F$1203,$AE72)),IF(INDEX(对接源_02物料!$F$4:$F$1203,$AE72-1200)=0,"",INDEX(对接源_02物料!$F$4:$F$1203,$AE72-1200))))</f>
      </c>
      <c r="D72" s="61">
        <f>IF($AE72="","",IF(IF($AE72&lt;=1200,IF(INDEX(对接源_01水果!$G$4:$G$1203,$AE72)=0,"",INDEX(对接源_01水果!$G$4:$G$1203,$AE72)),IF(INDEX(对接源_02物料!$G$4:$G$1203,$AE72-1200)=0,"",INDEX(对接源_02物料!$G$4:$G$1203,$AE72-1200)))="",IF($AE72&lt;=1200,IF(INDEX(对接源_01水果!$D$4:$D$1203,$AE72)=0,"",INDEX(对接源_01水果!$D$4:$D$1203,$AE72)),IF(INDEX(对接源_02物料!$D$4:$D$1203,$AE72-1200)=0,"",INDEX(对接源_02物料!$D$4:$D$1203,$AE72-1200))),IF($AE72&lt;=1200,IF(INDEX(对接源_01水果!$G$4:$G$1203,$AE72)=0,"",INDEX(对接源_01水果!$G$4:$G$1203,$AE72)),IF(INDEX(对接源_02物料!$G$4:$G$1203,$AE72-1200)=0,"",INDEX(对接源_02物料!$G$4:$G$1203,$AE72-1200)))))</f>
      </c>
      <c r="E72" s="173">
        <f>IF($AE72="","",IF($AE72&lt;=1200,IF(INDEX(对接源_01水果!$H$4:$H$1203,$AE72)=0,"",INDEX(对接源_01水果!$H$4:$H$1203,$AE72)),IF(INDEX(对接源_02物料!$H$4:$H$1203,$AE72-1200)=0,"",INDEX(对接源_02物料!$H$4:$H$1203,$AE72-1200))))</f>
      </c>
      <c r="F72" s="61">
        <f>IF($AE72="","",IF($AE72&lt;=1200,IF(INDEX(对接源_01水果!$I$4:$I$1203,$AE72)=0,"",INDEX(对接源_01水果!$I$4:$I$1203,$AE72)),IF(INDEX(对接源_02物料!$I$4:$I$1203,$AE72-1200)=0,"",INDEX(对接源_02物料!$I$4:$I$1203,$AE72-1200))))</f>
      </c>
      <c r="G72" s="173">
        <f>IF($AE72="","",IF(IF($AE72&lt;=1200,N(INDEX(对接源_01水果!$H$4:$H$1203,$AE72)),N(INDEX(对接源_02物料!$H$4:$H$1203,$AE72-1200)))=0,"",ROUND(IF($AE72&lt;=1200,N(INDEX(对接源_01水果!$K$4:$K$1203,$AE72)),N(INDEX(对接源_02物料!$K$4:$K$1203,$AE72-1200)))/IF($AE72&lt;=1200,N(INDEX(对接源_01水果!$H$4:$H$1203,$AE72)),N(INDEX(对接源_02物料!$H$4:$H$1203,$AE72-1200))),2)))</f>
      </c>
      <c r="H72" s="173">
        <f>IF($AE72="","",IF($AE72&lt;=1200,IF(INDEX(对接源_01水果!$K$4:$K$1203,$AE72)=0,"",INDEX(对接源_01水果!$K$4:$K$1203,$AE72)),IF(INDEX(对接源_02物料!$K$4:$K$1203,$AE72-1200)=0,"",INDEX(对接源_02物料!$K$4:$K$1203,$AE72-1200))))</f>
      </c>
      <c r="I72" s="61">
        <f>IF($AE72="","",IF($AE72&lt;=1200,IF(INDEX(对接源_01水果!$L$4:$L$1203,$AE72)=0,"",INDEX(对接源_01水果!$L$4:$L$1203,$AE72)),IF(INDEX(对接源_02物料!$L$4:$L$1203,$AE72-1200)=0,"",INDEX(对接源_02物料!$L$4:$L$1203,$AE72-1200))))</f>
      </c>
      <c r="J72" s="122">
        <f>IF($AE72="","",IF($AE72&lt;=1200,IF(INDEX(对接源_01水果!$M$4:$M$1203,$AE72)=0,"",INDEX(对接源_01水果!$M$4:$M$1203,$AE72)),IF(INDEX(对接源_02物料!$M$4:$M$1203,$AE72-1200)=0,"",INDEX(对接源_02物料!$M$4:$M$1203,$AE72-1200))))</f>
      </c>
      <c r="AE72" s="128">
        <f>IFERROR(MATCH(67,_自动清单!$AS$4:$AS$2403,0),"")</f>
      </c>
    </row>
    <row r="73" ht="18" customHeight="1" s="127">
      <c r="A73" s="163">
        <f>IF($AE73="","",IF($AE73&lt;=1200,IF(INDEX(对接源_01水果!$B$4:$B$1203,$AE73)=0,"",INDEX(对接源_01水果!$B$4:$B$1203,$AE73)),IF(INDEX(对接源_02物料!$B$4:$B$1203,$AE73-1200)=0,"",INDEX(对接源_02物料!$B$4:$B$1203,$AE73-1200))))</f>
      </c>
      <c r="B73" s="61">
        <f>IF($AE73="","",IF($AE73&lt;=1200,IF(INDEX(对接源_01水果!$E$4:$E$1203,$AE73)=0,"",INDEX(对接源_01水果!$E$4:$E$1203,$AE73)),IF(INDEX(对接源_02物料!$E$4:$E$1203,$AE73-1200)=0,"",INDEX(对接源_02物料!$E$4:$E$1203,$AE73-1200))))</f>
      </c>
      <c r="C73" s="122">
        <f>IF($AE73="","",IF($AE73&lt;=1200,IF(INDEX(对接源_01水果!$F$4:$F$1203,$AE73)=0,"",INDEX(对接源_01水果!$F$4:$F$1203,$AE73)),IF(INDEX(对接源_02物料!$F$4:$F$1203,$AE73-1200)=0,"",INDEX(对接源_02物料!$F$4:$F$1203,$AE73-1200))))</f>
      </c>
      <c r="D73" s="61">
        <f>IF($AE73="","",IF(IF($AE73&lt;=1200,IF(INDEX(对接源_01水果!$G$4:$G$1203,$AE73)=0,"",INDEX(对接源_01水果!$G$4:$G$1203,$AE73)),IF(INDEX(对接源_02物料!$G$4:$G$1203,$AE73-1200)=0,"",INDEX(对接源_02物料!$G$4:$G$1203,$AE73-1200)))="",IF($AE73&lt;=1200,IF(INDEX(对接源_01水果!$D$4:$D$1203,$AE73)=0,"",INDEX(对接源_01水果!$D$4:$D$1203,$AE73)),IF(INDEX(对接源_02物料!$D$4:$D$1203,$AE73-1200)=0,"",INDEX(对接源_02物料!$D$4:$D$1203,$AE73-1200))),IF($AE73&lt;=1200,IF(INDEX(对接源_01水果!$G$4:$G$1203,$AE73)=0,"",INDEX(对接源_01水果!$G$4:$G$1203,$AE73)),IF(INDEX(对接源_02物料!$G$4:$G$1203,$AE73-1200)=0,"",INDEX(对接源_02物料!$G$4:$G$1203,$AE73-1200)))))</f>
      </c>
      <c r="E73" s="173">
        <f>IF($AE73="","",IF($AE73&lt;=1200,IF(INDEX(对接源_01水果!$H$4:$H$1203,$AE73)=0,"",INDEX(对接源_01水果!$H$4:$H$1203,$AE73)),IF(INDEX(对接源_02物料!$H$4:$H$1203,$AE73-1200)=0,"",INDEX(对接源_02物料!$H$4:$H$1203,$AE73-1200))))</f>
      </c>
      <c r="F73" s="61">
        <f>IF($AE73="","",IF($AE73&lt;=1200,IF(INDEX(对接源_01水果!$I$4:$I$1203,$AE73)=0,"",INDEX(对接源_01水果!$I$4:$I$1203,$AE73)),IF(INDEX(对接源_02物料!$I$4:$I$1203,$AE73-1200)=0,"",INDEX(对接源_02物料!$I$4:$I$1203,$AE73-1200))))</f>
      </c>
      <c r="G73" s="173">
        <f>IF($AE73="","",IF(IF($AE73&lt;=1200,N(INDEX(对接源_01水果!$H$4:$H$1203,$AE73)),N(INDEX(对接源_02物料!$H$4:$H$1203,$AE73-1200)))=0,"",ROUND(IF($AE73&lt;=1200,N(INDEX(对接源_01水果!$K$4:$K$1203,$AE73)),N(INDEX(对接源_02物料!$K$4:$K$1203,$AE73-1200)))/IF($AE73&lt;=1200,N(INDEX(对接源_01水果!$H$4:$H$1203,$AE73)),N(INDEX(对接源_02物料!$H$4:$H$1203,$AE73-1200))),2)))</f>
      </c>
      <c r="H73" s="173">
        <f>IF($AE73="","",IF($AE73&lt;=1200,IF(INDEX(对接源_01水果!$K$4:$K$1203,$AE73)=0,"",INDEX(对接源_01水果!$K$4:$K$1203,$AE73)),IF(INDEX(对接源_02物料!$K$4:$K$1203,$AE73-1200)=0,"",INDEX(对接源_02物料!$K$4:$K$1203,$AE73-1200))))</f>
      </c>
      <c r="I73" s="61">
        <f>IF($AE73="","",IF($AE73&lt;=1200,IF(INDEX(对接源_01水果!$L$4:$L$1203,$AE73)=0,"",INDEX(对接源_01水果!$L$4:$L$1203,$AE73)),IF(INDEX(对接源_02物料!$L$4:$L$1203,$AE73-1200)=0,"",INDEX(对接源_02物料!$L$4:$L$1203,$AE73-1200))))</f>
      </c>
      <c r="J73" s="122">
        <f>IF($AE73="","",IF($AE73&lt;=1200,IF(INDEX(对接源_01水果!$M$4:$M$1203,$AE73)=0,"",INDEX(对接源_01水果!$M$4:$M$1203,$AE73)),IF(INDEX(对接源_02物料!$M$4:$M$1203,$AE73-1200)=0,"",INDEX(对接源_02物料!$M$4:$M$1203,$AE73-1200))))</f>
      </c>
      <c r="AE73" s="128">
        <f>IFERROR(MATCH(68,_自动清单!$AS$4:$AS$2403,0),"")</f>
      </c>
    </row>
    <row r="74" ht="18" customHeight="1" s="127">
      <c r="A74" s="163">
        <f>IF($AE74="","",IF($AE74&lt;=1200,IF(INDEX(对接源_01水果!$B$4:$B$1203,$AE74)=0,"",INDEX(对接源_01水果!$B$4:$B$1203,$AE74)),IF(INDEX(对接源_02物料!$B$4:$B$1203,$AE74-1200)=0,"",INDEX(对接源_02物料!$B$4:$B$1203,$AE74-1200))))</f>
      </c>
      <c r="B74" s="61">
        <f>IF($AE74="","",IF($AE74&lt;=1200,IF(INDEX(对接源_01水果!$E$4:$E$1203,$AE74)=0,"",INDEX(对接源_01水果!$E$4:$E$1203,$AE74)),IF(INDEX(对接源_02物料!$E$4:$E$1203,$AE74-1200)=0,"",INDEX(对接源_02物料!$E$4:$E$1203,$AE74-1200))))</f>
      </c>
      <c r="C74" s="122">
        <f>IF($AE74="","",IF($AE74&lt;=1200,IF(INDEX(对接源_01水果!$F$4:$F$1203,$AE74)=0,"",INDEX(对接源_01水果!$F$4:$F$1203,$AE74)),IF(INDEX(对接源_02物料!$F$4:$F$1203,$AE74-1200)=0,"",INDEX(对接源_02物料!$F$4:$F$1203,$AE74-1200))))</f>
      </c>
      <c r="D74" s="61">
        <f>IF($AE74="","",IF(IF($AE74&lt;=1200,IF(INDEX(对接源_01水果!$G$4:$G$1203,$AE74)=0,"",INDEX(对接源_01水果!$G$4:$G$1203,$AE74)),IF(INDEX(对接源_02物料!$G$4:$G$1203,$AE74-1200)=0,"",INDEX(对接源_02物料!$G$4:$G$1203,$AE74-1200)))="",IF($AE74&lt;=1200,IF(INDEX(对接源_01水果!$D$4:$D$1203,$AE74)=0,"",INDEX(对接源_01水果!$D$4:$D$1203,$AE74)),IF(INDEX(对接源_02物料!$D$4:$D$1203,$AE74-1200)=0,"",INDEX(对接源_02物料!$D$4:$D$1203,$AE74-1200))),IF($AE74&lt;=1200,IF(INDEX(对接源_01水果!$G$4:$G$1203,$AE74)=0,"",INDEX(对接源_01水果!$G$4:$G$1203,$AE74)),IF(INDEX(对接源_02物料!$G$4:$G$1203,$AE74-1200)=0,"",INDEX(对接源_02物料!$G$4:$G$1203,$AE74-1200)))))</f>
      </c>
      <c r="E74" s="173">
        <f>IF($AE74="","",IF($AE74&lt;=1200,IF(INDEX(对接源_01水果!$H$4:$H$1203,$AE74)=0,"",INDEX(对接源_01水果!$H$4:$H$1203,$AE74)),IF(INDEX(对接源_02物料!$H$4:$H$1203,$AE74-1200)=0,"",INDEX(对接源_02物料!$H$4:$H$1203,$AE74-1200))))</f>
      </c>
      <c r="F74" s="61">
        <f>IF($AE74="","",IF($AE74&lt;=1200,IF(INDEX(对接源_01水果!$I$4:$I$1203,$AE74)=0,"",INDEX(对接源_01水果!$I$4:$I$1203,$AE74)),IF(INDEX(对接源_02物料!$I$4:$I$1203,$AE74-1200)=0,"",INDEX(对接源_02物料!$I$4:$I$1203,$AE74-1200))))</f>
      </c>
      <c r="G74" s="173">
        <f>IF($AE74="","",IF(IF($AE74&lt;=1200,N(INDEX(对接源_01水果!$H$4:$H$1203,$AE74)),N(INDEX(对接源_02物料!$H$4:$H$1203,$AE74-1200)))=0,"",ROUND(IF($AE74&lt;=1200,N(INDEX(对接源_01水果!$K$4:$K$1203,$AE74)),N(INDEX(对接源_02物料!$K$4:$K$1203,$AE74-1200)))/IF($AE74&lt;=1200,N(INDEX(对接源_01水果!$H$4:$H$1203,$AE74)),N(INDEX(对接源_02物料!$H$4:$H$1203,$AE74-1200))),2)))</f>
      </c>
      <c r="H74" s="173">
        <f>IF($AE74="","",IF($AE74&lt;=1200,IF(INDEX(对接源_01水果!$K$4:$K$1203,$AE74)=0,"",INDEX(对接源_01水果!$K$4:$K$1203,$AE74)),IF(INDEX(对接源_02物料!$K$4:$K$1203,$AE74-1200)=0,"",INDEX(对接源_02物料!$K$4:$K$1203,$AE74-1200))))</f>
      </c>
      <c r="I74" s="61">
        <f>IF($AE74="","",IF($AE74&lt;=1200,IF(INDEX(对接源_01水果!$L$4:$L$1203,$AE74)=0,"",INDEX(对接源_01水果!$L$4:$L$1203,$AE74)),IF(INDEX(对接源_02物料!$L$4:$L$1203,$AE74-1200)=0,"",INDEX(对接源_02物料!$L$4:$L$1203,$AE74-1200))))</f>
      </c>
      <c r="J74" s="122">
        <f>IF($AE74="","",IF($AE74&lt;=1200,IF(INDEX(对接源_01水果!$M$4:$M$1203,$AE74)=0,"",INDEX(对接源_01水果!$M$4:$M$1203,$AE74)),IF(INDEX(对接源_02物料!$M$4:$M$1203,$AE74-1200)=0,"",INDEX(对接源_02物料!$M$4:$M$1203,$AE74-1200))))</f>
      </c>
      <c r="AE74" s="128">
        <f>IFERROR(MATCH(69,_自动清单!$AS$4:$AS$2403,0),"")</f>
      </c>
    </row>
    <row r="75" ht="18" customHeight="1" s="127">
      <c r="A75" s="163">
        <f>IF($AE75="","",IF($AE75&lt;=1200,IF(INDEX(对接源_01水果!$B$4:$B$1203,$AE75)=0,"",INDEX(对接源_01水果!$B$4:$B$1203,$AE75)),IF(INDEX(对接源_02物料!$B$4:$B$1203,$AE75-1200)=0,"",INDEX(对接源_02物料!$B$4:$B$1203,$AE75-1200))))</f>
      </c>
      <c r="B75" s="61">
        <f>IF($AE75="","",IF($AE75&lt;=1200,IF(INDEX(对接源_01水果!$E$4:$E$1203,$AE75)=0,"",INDEX(对接源_01水果!$E$4:$E$1203,$AE75)),IF(INDEX(对接源_02物料!$E$4:$E$1203,$AE75-1200)=0,"",INDEX(对接源_02物料!$E$4:$E$1203,$AE75-1200))))</f>
      </c>
      <c r="C75" s="122">
        <f>IF($AE75="","",IF($AE75&lt;=1200,IF(INDEX(对接源_01水果!$F$4:$F$1203,$AE75)=0,"",INDEX(对接源_01水果!$F$4:$F$1203,$AE75)),IF(INDEX(对接源_02物料!$F$4:$F$1203,$AE75-1200)=0,"",INDEX(对接源_02物料!$F$4:$F$1203,$AE75-1200))))</f>
      </c>
      <c r="D75" s="61">
        <f>IF($AE75="","",IF(IF($AE75&lt;=1200,IF(INDEX(对接源_01水果!$G$4:$G$1203,$AE75)=0,"",INDEX(对接源_01水果!$G$4:$G$1203,$AE75)),IF(INDEX(对接源_02物料!$G$4:$G$1203,$AE75-1200)=0,"",INDEX(对接源_02物料!$G$4:$G$1203,$AE75-1200)))="",IF($AE75&lt;=1200,IF(INDEX(对接源_01水果!$D$4:$D$1203,$AE75)=0,"",INDEX(对接源_01水果!$D$4:$D$1203,$AE75)),IF(INDEX(对接源_02物料!$D$4:$D$1203,$AE75-1200)=0,"",INDEX(对接源_02物料!$D$4:$D$1203,$AE75-1200))),IF($AE75&lt;=1200,IF(INDEX(对接源_01水果!$G$4:$G$1203,$AE75)=0,"",INDEX(对接源_01水果!$G$4:$G$1203,$AE75)),IF(INDEX(对接源_02物料!$G$4:$G$1203,$AE75-1200)=0,"",INDEX(对接源_02物料!$G$4:$G$1203,$AE75-1200)))))</f>
      </c>
      <c r="E75" s="173">
        <f>IF($AE75="","",IF($AE75&lt;=1200,IF(INDEX(对接源_01水果!$H$4:$H$1203,$AE75)=0,"",INDEX(对接源_01水果!$H$4:$H$1203,$AE75)),IF(INDEX(对接源_02物料!$H$4:$H$1203,$AE75-1200)=0,"",INDEX(对接源_02物料!$H$4:$H$1203,$AE75-1200))))</f>
      </c>
      <c r="F75" s="61">
        <f>IF($AE75="","",IF($AE75&lt;=1200,IF(INDEX(对接源_01水果!$I$4:$I$1203,$AE75)=0,"",INDEX(对接源_01水果!$I$4:$I$1203,$AE75)),IF(INDEX(对接源_02物料!$I$4:$I$1203,$AE75-1200)=0,"",INDEX(对接源_02物料!$I$4:$I$1203,$AE75-1200))))</f>
      </c>
      <c r="G75" s="173">
        <f>IF($AE75="","",IF(IF($AE75&lt;=1200,N(INDEX(对接源_01水果!$H$4:$H$1203,$AE75)),N(INDEX(对接源_02物料!$H$4:$H$1203,$AE75-1200)))=0,"",ROUND(IF($AE75&lt;=1200,N(INDEX(对接源_01水果!$K$4:$K$1203,$AE75)),N(INDEX(对接源_02物料!$K$4:$K$1203,$AE75-1200)))/IF($AE75&lt;=1200,N(INDEX(对接源_01水果!$H$4:$H$1203,$AE75)),N(INDEX(对接源_02物料!$H$4:$H$1203,$AE75-1200))),2)))</f>
      </c>
      <c r="H75" s="173">
        <f>IF($AE75="","",IF($AE75&lt;=1200,IF(INDEX(对接源_01水果!$K$4:$K$1203,$AE75)=0,"",INDEX(对接源_01水果!$K$4:$K$1203,$AE75)),IF(INDEX(对接源_02物料!$K$4:$K$1203,$AE75-1200)=0,"",INDEX(对接源_02物料!$K$4:$K$1203,$AE75-1200))))</f>
      </c>
      <c r="I75" s="61">
        <f>IF($AE75="","",IF($AE75&lt;=1200,IF(INDEX(对接源_01水果!$L$4:$L$1203,$AE75)=0,"",INDEX(对接源_01水果!$L$4:$L$1203,$AE75)),IF(INDEX(对接源_02物料!$L$4:$L$1203,$AE75-1200)=0,"",INDEX(对接源_02物料!$L$4:$L$1203,$AE75-1200))))</f>
      </c>
      <c r="J75" s="122">
        <f>IF($AE75="","",IF($AE75&lt;=1200,IF(INDEX(对接源_01水果!$M$4:$M$1203,$AE75)=0,"",INDEX(对接源_01水果!$M$4:$M$1203,$AE75)),IF(INDEX(对接源_02物料!$M$4:$M$1203,$AE75-1200)=0,"",INDEX(对接源_02物料!$M$4:$M$1203,$AE75-1200))))</f>
      </c>
      <c r="AE75" s="128">
        <f>IFERROR(MATCH(70,_自动清单!$AS$4:$AS$2403,0),"")</f>
      </c>
    </row>
    <row r="76" ht="18" customHeight="1" s="127">
      <c r="A76" s="163">
        <f>IF($AE76="","",IF($AE76&lt;=1200,IF(INDEX(对接源_01水果!$B$4:$B$1203,$AE76)=0,"",INDEX(对接源_01水果!$B$4:$B$1203,$AE76)),IF(INDEX(对接源_02物料!$B$4:$B$1203,$AE76-1200)=0,"",INDEX(对接源_02物料!$B$4:$B$1203,$AE76-1200))))</f>
      </c>
      <c r="B76" s="61">
        <f>IF($AE76="","",IF($AE76&lt;=1200,IF(INDEX(对接源_01水果!$E$4:$E$1203,$AE76)=0,"",INDEX(对接源_01水果!$E$4:$E$1203,$AE76)),IF(INDEX(对接源_02物料!$E$4:$E$1203,$AE76-1200)=0,"",INDEX(对接源_02物料!$E$4:$E$1203,$AE76-1200))))</f>
      </c>
      <c r="C76" s="122">
        <f>IF($AE76="","",IF($AE76&lt;=1200,IF(INDEX(对接源_01水果!$F$4:$F$1203,$AE76)=0,"",INDEX(对接源_01水果!$F$4:$F$1203,$AE76)),IF(INDEX(对接源_02物料!$F$4:$F$1203,$AE76-1200)=0,"",INDEX(对接源_02物料!$F$4:$F$1203,$AE76-1200))))</f>
      </c>
      <c r="D76" s="61">
        <f>IF($AE76="","",IF(IF($AE76&lt;=1200,IF(INDEX(对接源_01水果!$G$4:$G$1203,$AE76)=0,"",INDEX(对接源_01水果!$G$4:$G$1203,$AE76)),IF(INDEX(对接源_02物料!$G$4:$G$1203,$AE76-1200)=0,"",INDEX(对接源_02物料!$G$4:$G$1203,$AE76-1200)))="",IF($AE76&lt;=1200,IF(INDEX(对接源_01水果!$D$4:$D$1203,$AE76)=0,"",INDEX(对接源_01水果!$D$4:$D$1203,$AE76)),IF(INDEX(对接源_02物料!$D$4:$D$1203,$AE76-1200)=0,"",INDEX(对接源_02物料!$D$4:$D$1203,$AE76-1200))),IF($AE76&lt;=1200,IF(INDEX(对接源_01水果!$G$4:$G$1203,$AE76)=0,"",INDEX(对接源_01水果!$G$4:$G$1203,$AE76)),IF(INDEX(对接源_02物料!$G$4:$G$1203,$AE76-1200)=0,"",INDEX(对接源_02物料!$G$4:$G$1203,$AE76-1200)))))</f>
      </c>
      <c r="E76" s="173">
        <f>IF($AE76="","",IF($AE76&lt;=1200,IF(INDEX(对接源_01水果!$H$4:$H$1203,$AE76)=0,"",INDEX(对接源_01水果!$H$4:$H$1203,$AE76)),IF(INDEX(对接源_02物料!$H$4:$H$1203,$AE76-1200)=0,"",INDEX(对接源_02物料!$H$4:$H$1203,$AE76-1200))))</f>
      </c>
      <c r="F76" s="61">
        <f>IF($AE76="","",IF($AE76&lt;=1200,IF(INDEX(对接源_01水果!$I$4:$I$1203,$AE76)=0,"",INDEX(对接源_01水果!$I$4:$I$1203,$AE76)),IF(INDEX(对接源_02物料!$I$4:$I$1203,$AE76-1200)=0,"",INDEX(对接源_02物料!$I$4:$I$1203,$AE76-1200))))</f>
      </c>
      <c r="G76" s="173">
        <f>IF($AE76="","",IF(IF($AE76&lt;=1200,N(INDEX(对接源_01水果!$H$4:$H$1203,$AE76)),N(INDEX(对接源_02物料!$H$4:$H$1203,$AE76-1200)))=0,"",ROUND(IF($AE76&lt;=1200,N(INDEX(对接源_01水果!$K$4:$K$1203,$AE76)),N(INDEX(对接源_02物料!$K$4:$K$1203,$AE76-1200)))/IF($AE76&lt;=1200,N(INDEX(对接源_01水果!$H$4:$H$1203,$AE76)),N(INDEX(对接源_02物料!$H$4:$H$1203,$AE76-1200))),2)))</f>
      </c>
      <c r="H76" s="173">
        <f>IF($AE76="","",IF($AE76&lt;=1200,IF(INDEX(对接源_01水果!$K$4:$K$1203,$AE76)=0,"",INDEX(对接源_01水果!$K$4:$K$1203,$AE76)),IF(INDEX(对接源_02物料!$K$4:$K$1203,$AE76-1200)=0,"",INDEX(对接源_02物料!$K$4:$K$1203,$AE76-1200))))</f>
      </c>
      <c r="I76" s="61">
        <f>IF($AE76="","",IF($AE76&lt;=1200,IF(INDEX(对接源_01水果!$L$4:$L$1203,$AE76)=0,"",INDEX(对接源_01水果!$L$4:$L$1203,$AE76)),IF(INDEX(对接源_02物料!$L$4:$L$1203,$AE76-1200)=0,"",INDEX(对接源_02物料!$L$4:$L$1203,$AE76-1200))))</f>
      </c>
      <c r="J76" s="122">
        <f>IF($AE76="","",IF($AE76&lt;=1200,IF(INDEX(对接源_01水果!$M$4:$M$1203,$AE76)=0,"",INDEX(对接源_01水果!$M$4:$M$1203,$AE76)),IF(INDEX(对接源_02物料!$M$4:$M$1203,$AE76-1200)=0,"",INDEX(对接源_02物料!$M$4:$M$1203,$AE76-1200))))</f>
      </c>
      <c r="AE76" s="128">
        <f>IFERROR(MATCH(71,_自动清单!$AS$4:$AS$2403,0),"")</f>
      </c>
    </row>
    <row r="77" ht="18" customHeight="1" s="127">
      <c r="A77" s="163">
        <f>IF($AE77="","",IF($AE77&lt;=1200,IF(INDEX(对接源_01水果!$B$4:$B$1203,$AE77)=0,"",INDEX(对接源_01水果!$B$4:$B$1203,$AE77)),IF(INDEX(对接源_02物料!$B$4:$B$1203,$AE77-1200)=0,"",INDEX(对接源_02物料!$B$4:$B$1203,$AE77-1200))))</f>
      </c>
      <c r="B77" s="61">
        <f>IF($AE77="","",IF($AE77&lt;=1200,IF(INDEX(对接源_01水果!$E$4:$E$1203,$AE77)=0,"",INDEX(对接源_01水果!$E$4:$E$1203,$AE77)),IF(INDEX(对接源_02物料!$E$4:$E$1203,$AE77-1200)=0,"",INDEX(对接源_02物料!$E$4:$E$1203,$AE77-1200))))</f>
      </c>
      <c r="C77" s="122">
        <f>IF($AE77="","",IF($AE77&lt;=1200,IF(INDEX(对接源_01水果!$F$4:$F$1203,$AE77)=0,"",INDEX(对接源_01水果!$F$4:$F$1203,$AE77)),IF(INDEX(对接源_02物料!$F$4:$F$1203,$AE77-1200)=0,"",INDEX(对接源_02物料!$F$4:$F$1203,$AE77-1200))))</f>
      </c>
      <c r="D77" s="61">
        <f>IF($AE77="","",IF(IF($AE77&lt;=1200,IF(INDEX(对接源_01水果!$G$4:$G$1203,$AE77)=0,"",INDEX(对接源_01水果!$G$4:$G$1203,$AE77)),IF(INDEX(对接源_02物料!$G$4:$G$1203,$AE77-1200)=0,"",INDEX(对接源_02物料!$G$4:$G$1203,$AE77-1200)))="",IF($AE77&lt;=1200,IF(INDEX(对接源_01水果!$D$4:$D$1203,$AE77)=0,"",INDEX(对接源_01水果!$D$4:$D$1203,$AE77)),IF(INDEX(对接源_02物料!$D$4:$D$1203,$AE77-1200)=0,"",INDEX(对接源_02物料!$D$4:$D$1203,$AE77-1200))),IF($AE77&lt;=1200,IF(INDEX(对接源_01水果!$G$4:$G$1203,$AE77)=0,"",INDEX(对接源_01水果!$G$4:$G$1203,$AE77)),IF(INDEX(对接源_02物料!$G$4:$G$1203,$AE77-1200)=0,"",INDEX(对接源_02物料!$G$4:$G$1203,$AE77-1200)))))</f>
      </c>
      <c r="E77" s="173">
        <f>IF($AE77="","",IF($AE77&lt;=1200,IF(INDEX(对接源_01水果!$H$4:$H$1203,$AE77)=0,"",INDEX(对接源_01水果!$H$4:$H$1203,$AE77)),IF(INDEX(对接源_02物料!$H$4:$H$1203,$AE77-1200)=0,"",INDEX(对接源_02物料!$H$4:$H$1203,$AE77-1200))))</f>
      </c>
      <c r="F77" s="61">
        <f>IF($AE77="","",IF($AE77&lt;=1200,IF(INDEX(对接源_01水果!$I$4:$I$1203,$AE77)=0,"",INDEX(对接源_01水果!$I$4:$I$1203,$AE77)),IF(INDEX(对接源_02物料!$I$4:$I$1203,$AE77-1200)=0,"",INDEX(对接源_02物料!$I$4:$I$1203,$AE77-1200))))</f>
      </c>
      <c r="G77" s="173">
        <f>IF($AE77="","",IF(IF($AE77&lt;=1200,N(INDEX(对接源_01水果!$H$4:$H$1203,$AE77)),N(INDEX(对接源_02物料!$H$4:$H$1203,$AE77-1200)))=0,"",ROUND(IF($AE77&lt;=1200,N(INDEX(对接源_01水果!$K$4:$K$1203,$AE77)),N(INDEX(对接源_02物料!$K$4:$K$1203,$AE77-1200)))/IF($AE77&lt;=1200,N(INDEX(对接源_01水果!$H$4:$H$1203,$AE77)),N(INDEX(对接源_02物料!$H$4:$H$1203,$AE77-1200))),2)))</f>
      </c>
      <c r="H77" s="173">
        <f>IF($AE77="","",IF($AE77&lt;=1200,IF(INDEX(对接源_01水果!$K$4:$K$1203,$AE77)=0,"",INDEX(对接源_01水果!$K$4:$K$1203,$AE77)),IF(INDEX(对接源_02物料!$K$4:$K$1203,$AE77-1200)=0,"",INDEX(对接源_02物料!$K$4:$K$1203,$AE77-1200))))</f>
      </c>
      <c r="I77" s="61">
        <f>IF($AE77="","",IF($AE77&lt;=1200,IF(INDEX(对接源_01水果!$L$4:$L$1203,$AE77)=0,"",INDEX(对接源_01水果!$L$4:$L$1203,$AE77)),IF(INDEX(对接源_02物料!$L$4:$L$1203,$AE77-1200)=0,"",INDEX(对接源_02物料!$L$4:$L$1203,$AE77-1200))))</f>
      </c>
      <c r="J77" s="122">
        <f>IF($AE77="","",IF($AE77&lt;=1200,IF(INDEX(对接源_01水果!$M$4:$M$1203,$AE77)=0,"",INDEX(对接源_01水果!$M$4:$M$1203,$AE77)),IF(INDEX(对接源_02物料!$M$4:$M$1203,$AE77-1200)=0,"",INDEX(对接源_02物料!$M$4:$M$1203,$AE77-1200))))</f>
      </c>
      <c r="AE77" s="128">
        <f>IFERROR(MATCH(72,_自动清单!$AS$4:$AS$2403,0),"")</f>
      </c>
    </row>
    <row r="78" ht="18" customHeight="1" s="127">
      <c r="A78" s="163">
        <f>IF($AE78="","",IF($AE78&lt;=1200,IF(INDEX(对接源_01水果!$B$4:$B$1203,$AE78)=0,"",INDEX(对接源_01水果!$B$4:$B$1203,$AE78)),IF(INDEX(对接源_02物料!$B$4:$B$1203,$AE78-1200)=0,"",INDEX(对接源_02物料!$B$4:$B$1203,$AE78-1200))))</f>
      </c>
      <c r="B78" s="61">
        <f>IF($AE78="","",IF($AE78&lt;=1200,IF(INDEX(对接源_01水果!$E$4:$E$1203,$AE78)=0,"",INDEX(对接源_01水果!$E$4:$E$1203,$AE78)),IF(INDEX(对接源_02物料!$E$4:$E$1203,$AE78-1200)=0,"",INDEX(对接源_02物料!$E$4:$E$1203,$AE78-1200))))</f>
      </c>
      <c r="C78" s="122">
        <f>IF($AE78="","",IF($AE78&lt;=1200,IF(INDEX(对接源_01水果!$F$4:$F$1203,$AE78)=0,"",INDEX(对接源_01水果!$F$4:$F$1203,$AE78)),IF(INDEX(对接源_02物料!$F$4:$F$1203,$AE78-1200)=0,"",INDEX(对接源_02物料!$F$4:$F$1203,$AE78-1200))))</f>
      </c>
      <c r="D78" s="61">
        <f>IF($AE78="","",IF(IF($AE78&lt;=1200,IF(INDEX(对接源_01水果!$G$4:$G$1203,$AE78)=0,"",INDEX(对接源_01水果!$G$4:$G$1203,$AE78)),IF(INDEX(对接源_02物料!$G$4:$G$1203,$AE78-1200)=0,"",INDEX(对接源_02物料!$G$4:$G$1203,$AE78-1200)))="",IF($AE78&lt;=1200,IF(INDEX(对接源_01水果!$D$4:$D$1203,$AE78)=0,"",INDEX(对接源_01水果!$D$4:$D$1203,$AE78)),IF(INDEX(对接源_02物料!$D$4:$D$1203,$AE78-1200)=0,"",INDEX(对接源_02物料!$D$4:$D$1203,$AE78-1200))),IF($AE78&lt;=1200,IF(INDEX(对接源_01水果!$G$4:$G$1203,$AE78)=0,"",INDEX(对接源_01水果!$G$4:$G$1203,$AE78)),IF(INDEX(对接源_02物料!$G$4:$G$1203,$AE78-1200)=0,"",INDEX(对接源_02物料!$G$4:$G$1203,$AE78-1200)))))</f>
      </c>
      <c r="E78" s="173">
        <f>IF($AE78="","",IF($AE78&lt;=1200,IF(INDEX(对接源_01水果!$H$4:$H$1203,$AE78)=0,"",INDEX(对接源_01水果!$H$4:$H$1203,$AE78)),IF(INDEX(对接源_02物料!$H$4:$H$1203,$AE78-1200)=0,"",INDEX(对接源_02物料!$H$4:$H$1203,$AE78-1200))))</f>
      </c>
      <c r="F78" s="61">
        <f>IF($AE78="","",IF($AE78&lt;=1200,IF(INDEX(对接源_01水果!$I$4:$I$1203,$AE78)=0,"",INDEX(对接源_01水果!$I$4:$I$1203,$AE78)),IF(INDEX(对接源_02物料!$I$4:$I$1203,$AE78-1200)=0,"",INDEX(对接源_02物料!$I$4:$I$1203,$AE78-1200))))</f>
      </c>
      <c r="G78" s="173">
        <f>IF($AE78="","",IF(IF($AE78&lt;=1200,N(INDEX(对接源_01水果!$H$4:$H$1203,$AE78)),N(INDEX(对接源_02物料!$H$4:$H$1203,$AE78-1200)))=0,"",ROUND(IF($AE78&lt;=1200,N(INDEX(对接源_01水果!$K$4:$K$1203,$AE78)),N(INDEX(对接源_02物料!$K$4:$K$1203,$AE78-1200)))/IF($AE78&lt;=1200,N(INDEX(对接源_01水果!$H$4:$H$1203,$AE78)),N(INDEX(对接源_02物料!$H$4:$H$1203,$AE78-1200))),2)))</f>
      </c>
      <c r="H78" s="173">
        <f>IF($AE78="","",IF($AE78&lt;=1200,IF(INDEX(对接源_01水果!$K$4:$K$1203,$AE78)=0,"",INDEX(对接源_01水果!$K$4:$K$1203,$AE78)),IF(INDEX(对接源_02物料!$K$4:$K$1203,$AE78-1200)=0,"",INDEX(对接源_02物料!$K$4:$K$1203,$AE78-1200))))</f>
      </c>
      <c r="I78" s="61">
        <f>IF($AE78="","",IF($AE78&lt;=1200,IF(INDEX(对接源_01水果!$L$4:$L$1203,$AE78)=0,"",INDEX(对接源_01水果!$L$4:$L$1203,$AE78)),IF(INDEX(对接源_02物料!$L$4:$L$1203,$AE78-1200)=0,"",INDEX(对接源_02物料!$L$4:$L$1203,$AE78-1200))))</f>
      </c>
      <c r="J78" s="122">
        <f>IF($AE78="","",IF($AE78&lt;=1200,IF(INDEX(对接源_01水果!$M$4:$M$1203,$AE78)=0,"",INDEX(对接源_01水果!$M$4:$M$1203,$AE78)),IF(INDEX(对接源_02物料!$M$4:$M$1203,$AE78-1200)=0,"",INDEX(对接源_02物料!$M$4:$M$1203,$AE78-1200))))</f>
      </c>
      <c r="AE78" s="128">
        <f>IFERROR(MATCH(73,_自动清单!$AS$4:$AS$2403,0),"")</f>
      </c>
    </row>
    <row r="79" ht="18" customHeight="1" s="127">
      <c r="A79" s="163">
        <f>IF($AE79="","",IF($AE79&lt;=1200,IF(INDEX(对接源_01水果!$B$4:$B$1203,$AE79)=0,"",INDEX(对接源_01水果!$B$4:$B$1203,$AE79)),IF(INDEX(对接源_02物料!$B$4:$B$1203,$AE79-1200)=0,"",INDEX(对接源_02物料!$B$4:$B$1203,$AE79-1200))))</f>
      </c>
      <c r="B79" s="61">
        <f>IF($AE79="","",IF($AE79&lt;=1200,IF(INDEX(对接源_01水果!$E$4:$E$1203,$AE79)=0,"",INDEX(对接源_01水果!$E$4:$E$1203,$AE79)),IF(INDEX(对接源_02物料!$E$4:$E$1203,$AE79-1200)=0,"",INDEX(对接源_02物料!$E$4:$E$1203,$AE79-1200))))</f>
      </c>
      <c r="C79" s="122">
        <f>IF($AE79="","",IF($AE79&lt;=1200,IF(INDEX(对接源_01水果!$F$4:$F$1203,$AE79)=0,"",INDEX(对接源_01水果!$F$4:$F$1203,$AE79)),IF(INDEX(对接源_02物料!$F$4:$F$1203,$AE79-1200)=0,"",INDEX(对接源_02物料!$F$4:$F$1203,$AE79-1200))))</f>
      </c>
      <c r="D79" s="61">
        <f>IF($AE79="","",IF(IF($AE79&lt;=1200,IF(INDEX(对接源_01水果!$G$4:$G$1203,$AE79)=0,"",INDEX(对接源_01水果!$G$4:$G$1203,$AE79)),IF(INDEX(对接源_02物料!$G$4:$G$1203,$AE79-1200)=0,"",INDEX(对接源_02物料!$G$4:$G$1203,$AE79-1200)))="",IF($AE79&lt;=1200,IF(INDEX(对接源_01水果!$D$4:$D$1203,$AE79)=0,"",INDEX(对接源_01水果!$D$4:$D$1203,$AE79)),IF(INDEX(对接源_02物料!$D$4:$D$1203,$AE79-1200)=0,"",INDEX(对接源_02物料!$D$4:$D$1203,$AE79-1200))),IF($AE79&lt;=1200,IF(INDEX(对接源_01水果!$G$4:$G$1203,$AE79)=0,"",INDEX(对接源_01水果!$G$4:$G$1203,$AE79)),IF(INDEX(对接源_02物料!$G$4:$G$1203,$AE79-1200)=0,"",INDEX(对接源_02物料!$G$4:$G$1203,$AE79-1200)))))</f>
      </c>
      <c r="E79" s="173">
        <f>IF($AE79="","",IF($AE79&lt;=1200,IF(INDEX(对接源_01水果!$H$4:$H$1203,$AE79)=0,"",INDEX(对接源_01水果!$H$4:$H$1203,$AE79)),IF(INDEX(对接源_02物料!$H$4:$H$1203,$AE79-1200)=0,"",INDEX(对接源_02物料!$H$4:$H$1203,$AE79-1200))))</f>
      </c>
      <c r="F79" s="61">
        <f>IF($AE79="","",IF($AE79&lt;=1200,IF(INDEX(对接源_01水果!$I$4:$I$1203,$AE79)=0,"",INDEX(对接源_01水果!$I$4:$I$1203,$AE79)),IF(INDEX(对接源_02物料!$I$4:$I$1203,$AE79-1200)=0,"",INDEX(对接源_02物料!$I$4:$I$1203,$AE79-1200))))</f>
      </c>
      <c r="G79" s="173">
        <f>IF($AE79="","",IF(IF($AE79&lt;=1200,N(INDEX(对接源_01水果!$H$4:$H$1203,$AE79)),N(INDEX(对接源_02物料!$H$4:$H$1203,$AE79-1200)))=0,"",ROUND(IF($AE79&lt;=1200,N(INDEX(对接源_01水果!$K$4:$K$1203,$AE79)),N(INDEX(对接源_02物料!$K$4:$K$1203,$AE79-1200)))/IF($AE79&lt;=1200,N(INDEX(对接源_01水果!$H$4:$H$1203,$AE79)),N(INDEX(对接源_02物料!$H$4:$H$1203,$AE79-1200))),2)))</f>
      </c>
      <c r="H79" s="173">
        <f>IF($AE79="","",IF($AE79&lt;=1200,IF(INDEX(对接源_01水果!$K$4:$K$1203,$AE79)=0,"",INDEX(对接源_01水果!$K$4:$K$1203,$AE79)),IF(INDEX(对接源_02物料!$K$4:$K$1203,$AE79-1200)=0,"",INDEX(对接源_02物料!$K$4:$K$1203,$AE79-1200))))</f>
      </c>
      <c r="I79" s="61">
        <f>IF($AE79="","",IF($AE79&lt;=1200,IF(INDEX(对接源_01水果!$L$4:$L$1203,$AE79)=0,"",INDEX(对接源_01水果!$L$4:$L$1203,$AE79)),IF(INDEX(对接源_02物料!$L$4:$L$1203,$AE79-1200)=0,"",INDEX(对接源_02物料!$L$4:$L$1203,$AE79-1200))))</f>
      </c>
      <c r="J79" s="122">
        <f>IF($AE79="","",IF($AE79&lt;=1200,IF(INDEX(对接源_01水果!$M$4:$M$1203,$AE79)=0,"",INDEX(对接源_01水果!$M$4:$M$1203,$AE79)),IF(INDEX(对接源_02物料!$M$4:$M$1203,$AE79-1200)=0,"",INDEX(对接源_02物料!$M$4:$M$1203,$AE79-1200))))</f>
      </c>
      <c r="AE79" s="128">
        <f>IFERROR(MATCH(74,_自动清单!$AS$4:$AS$2403,0),"")</f>
      </c>
    </row>
    <row r="80" ht="18" customHeight="1" s="127">
      <c r="A80" s="163">
        <f>IF($AE80="","",IF($AE80&lt;=1200,IF(INDEX(对接源_01水果!$B$4:$B$1203,$AE80)=0,"",INDEX(对接源_01水果!$B$4:$B$1203,$AE80)),IF(INDEX(对接源_02物料!$B$4:$B$1203,$AE80-1200)=0,"",INDEX(对接源_02物料!$B$4:$B$1203,$AE80-1200))))</f>
      </c>
      <c r="B80" s="61">
        <f>IF($AE80="","",IF($AE80&lt;=1200,IF(INDEX(对接源_01水果!$E$4:$E$1203,$AE80)=0,"",INDEX(对接源_01水果!$E$4:$E$1203,$AE80)),IF(INDEX(对接源_02物料!$E$4:$E$1203,$AE80-1200)=0,"",INDEX(对接源_02物料!$E$4:$E$1203,$AE80-1200))))</f>
      </c>
      <c r="C80" s="122">
        <f>IF($AE80="","",IF($AE80&lt;=1200,IF(INDEX(对接源_01水果!$F$4:$F$1203,$AE80)=0,"",INDEX(对接源_01水果!$F$4:$F$1203,$AE80)),IF(INDEX(对接源_02物料!$F$4:$F$1203,$AE80-1200)=0,"",INDEX(对接源_02物料!$F$4:$F$1203,$AE80-1200))))</f>
      </c>
      <c r="D80" s="61">
        <f>IF($AE80="","",IF(IF($AE80&lt;=1200,IF(INDEX(对接源_01水果!$G$4:$G$1203,$AE80)=0,"",INDEX(对接源_01水果!$G$4:$G$1203,$AE80)),IF(INDEX(对接源_02物料!$G$4:$G$1203,$AE80-1200)=0,"",INDEX(对接源_02物料!$G$4:$G$1203,$AE80-1200)))="",IF($AE80&lt;=1200,IF(INDEX(对接源_01水果!$D$4:$D$1203,$AE80)=0,"",INDEX(对接源_01水果!$D$4:$D$1203,$AE80)),IF(INDEX(对接源_02物料!$D$4:$D$1203,$AE80-1200)=0,"",INDEX(对接源_02物料!$D$4:$D$1203,$AE80-1200))),IF($AE80&lt;=1200,IF(INDEX(对接源_01水果!$G$4:$G$1203,$AE80)=0,"",INDEX(对接源_01水果!$G$4:$G$1203,$AE80)),IF(INDEX(对接源_02物料!$G$4:$G$1203,$AE80-1200)=0,"",INDEX(对接源_02物料!$G$4:$G$1203,$AE80-1200)))))</f>
      </c>
      <c r="E80" s="173">
        <f>IF($AE80="","",IF($AE80&lt;=1200,IF(INDEX(对接源_01水果!$H$4:$H$1203,$AE80)=0,"",INDEX(对接源_01水果!$H$4:$H$1203,$AE80)),IF(INDEX(对接源_02物料!$H$4:$H$1203,$AE80-1200)=0,"",INDEX(对接源_02物料!$H$4:$H$1203,$AE80-1200))))</f>
      </c>
      <c r="F80" s="61">
        <f>IF($AE80="","",IF($AE80&lt;=1200,IF(INDEX(对接源_01水果!$I$4:$I$1203,$AE80)=0,"",INDEX(对接源_01水果!$I$4:$I$1203,$AE80)),IF(INDEX(对接源_02物料!$I$4:$I$1203,$AE80-1200)=0,"",INDEX(对接源_02物料!$I$4:$I$1203,$AE80-1200))))</f>
      </c>
      <c r="G80" s="173">
        <f>IF($AE80="","",IF(IF($AE80&lt;=1200,N(INDEX(对接源_01水果!$H$4:$H$1203,$AE80)),N(INDEX(对接源_02物料!$H$4:$H$1203,$AE80-1200)))=0,"",ROUND(IF($AE80&lt;=1200,N(INDEX(对接源_01水果!$K$4:$K$1203,$AE80)),N(INDEX(对接源_02物料!$K$4:$K$1203,$AE80-1200)))/IF($AE80&lt;=1200,N(INDEX(对接源_01水果!$H$4:$H$1203,$AE80)),N(INDEX(对接源_02物料!$H$4:$H$1203,$AE80-1200))),2)))</f>
      </c>
      <c r="H80" s="173">
        <f>IF($AE80="","",IF($AE80&lt;=1200,IF(INDEX(对接源_01水果!$K$4:$K$1203,$AE80)=0,"",INDEX(对接源_01水果!$K$4:$K$1203,$AE80)),IF(INDEX(对接源_02物料!$K$4:$K$1203,$AE80-1200)=0,"",INDEX(对接源_02物料!$K$4:$K$1203,$AE80-1200))))</f>
      </c>
      <c r="I80" s="61">
        <f>IF($AE80="","",IF($AE80&lt;=1200,IF(INDEX(对接源_01水果!$L$4:$L$1203,$AE80)=0,"",INDEX(对接源_01水果!$L$4:$L$1203,$AE80)),IF(INDEX(对接源_02物料!$L$4:$L$1203,$AE80-1200)=0,"",INDEX(对接源_02物料!$L$4:$L$1203,$AE80-1200))))</f>
      </c>
      <c r="J80" s="122">
        <f>IF($AE80="","",IF($AE80&lt;=1200,IF(INDEX(对接源_01水果!$M$4:$M$1203,$AE80)=0,"",INDEX(对接源_01水果!$M$4:$M$1203,$AE80)),IF(INDEX(对接源_02物料!$M$4:$M$1203,$AE80-1200)=0,"",INDEX(对接源_02物料!$M$4:$M$1203,$AE80-1200))))</f>
      </c>
      <c r="AE80" s="128">
        <f>IFERROR(MATCH(75,_自动清单!$AS$4:$AS$2403,0),"")</f>
      </c>
    </row>
    <row r="81" ht="18" customHeight="1" s="127">
      <c r="A81" s="163">
        <f>IF($AE81="","",IF($AE81&lt;=1200,IF(INDEX(对接源_01水果!$B$4:$B$1203,$AE81)=0,"",INDEX(对接源_01水果!$B$4:$B$1203,$AE81)),IF(INDEX(对接源_02物料!$B$4:$B$1203,$AE81-1200)=0,"",INDEX(对接源_02物料!$B$4:$B$1203,$AE81-1200))))</f>
      </c>
      <c r="B81" s="61">
        <f>IF($AE81="","",IF($AE81&lt;=1200,IF(INDEX(对接源_01水果!$E$4:$E$1203,$AE81)=0,"",INDEX(对接源_01水果!$E$4:$E$1203,$AE81)),IF(INDEX(对接源_02物料!$E$4:$E$1203,$AE81-1200)=0,"",INDEX(对接源_02物料!$E$4:$E$1203,$AE81-1200))))</f>
      </c>
      <c r="C81" s="122">
        <f>IF($AE81="","",IF($AE81&lt;=1200,IF(INDEX(对接源_01水果!$F$4:$F$1203,$AE81)=0,"",INDEX(对接源_01水果!$F$4:$F$1203,$AE81)),IF(INDEX(对接源_02物料!$F$4:$F$1203,$AE81-1200)=0,"",INDEX(对接源_02物料!$F$4:$F$1203,$AE81-1200))))</f>
      </c>
      <c r="D81" s="61">
        <f>IF($AE81="","",IF(IF($AE81&lt;=1200,IF(INDEX(对接源_01水果!$G$4:$G$1203,$AE81)=0,"",INDEX(对接源_01水果!$G$4:$G$1203,$AE81)),IF(INDEX(对接源_02物料!$G$4:$G$1203,$AE81-1200)=0,"",INDEX(对接源_02物料!$G$4:$G$1203,$AE81-1200)))="",IF($AE81&lt;=1200,IF(INDEX(对接源_01水果!$D$4:$D$1203,$AE81)=0,"",INDEX(对接源_01水果!$D$4:$D$1203,$AE81)),IF(INDEX(对接源_02物料!$D$4:$D$1203,$AE81-1200)=0,"",INDEX(对接源_02物料!$D$4:$D$1203,$AE81-1200))),IF($AE81&lt;=1200,IF(INDEX(对接源_01水果!$G$4:$G$1203,$AE81)=0,"",INDEX(对接源_01水果!$G$4:$G$1203,$AE81)),IF(INDEX(对接源_02物料!$G$4:$G$1203,$AE81-1200)=0,"",INDEX(对接源_02物料!$G$4:$G$1203,$AE81-1200)))))</f>
      </c>
      <c r="E81" s="173">
        <f>IF($AE81="","",IF($AE81&lt;=1200,IF(INDEX(对接源_01水果!$H$4:$H$1203,$AE81)=0,"",INDEX(对接源_01水果!$H$4:$H$1203,$AE81)),IF(INDEX(对接源_02物料!$H$4:$H$1203,$AE81-1200)=0,"",INDEX(对接源_02物料!$H$4:$H$1203,$AE81-1200))))</f>
      </c>
      <c r="F81" s="61">
        <f>IF($AE81="","",IF($AE81&lt;=1200,IF(INDEX(对接源_01水果!$I$4:$I$1203,$AE81)=0,"",INDEX(对接源_01水果!$I$4:$I$1203,$AE81)),IF(INDEX(对接源_02物料!$I$4:$I$1203,$AE81-1200)=0,"",INDEX(对接源_02物料!$I$4:$I$1203,$AE81-1200))))</f>
      </c>
      <c r="G81" s="173">
        <f>IF($AE81="","",IF(IF($AE81&lt;=1200,N(INDEX(对接源_01水果!$H$4:$H$1203,$AE81)),N(INDEX(对接源_02物料!$H$4:$H$1203,$AE81-1200)))=0,"",ROUND(IF($AE81&lt;=1200,N(INDEX(对接源_01水果!$K$4:$K$1203,$AE81)),N(INDEX(对接源_02物料!$K$4:$K$1203,$AE81-1200)))/IF($AE81&lt;=1200,N(INDEX(对接源_01水果!$H$4:$H$1203,$AE81)),N(INDEX(对接源_02物料!$H$4:$H$1203,$AE81-1200))),2)))</f>
      </c>
      <c r="H81" s="173">
        <f>IF($AE81="","",IF($AE81&lt;=1200,IF(INDEX(对接源_01水果!$K$4:$K$1203,$AE81)=0,"",INDEX(对接源_01水果!$K$4:$K$1203,$AE81)),IF(INDEX(对接源_02物料!$K$4:$K$1203,$AE81-1200)=0,"",INDEX(对接源_02物料!$K$4:$K$1203,$AE81-1200))))</f>
      </c>
      <c r="I81" s="61">
        <f>IF($AE81="","",IF($AE81&lt;=1200,IF(INDEX(对接源_01水果!$L$4:$L$1203,$AE81)=0,"",INDEX(对接源_01水果!$L$4:$L$1203,$AE81)),IF(INDEX(对接源_02物料!$L$4:$L$1203,$AE81-1200)=0,"",INDEX(对接源_02物料!$L$4:$L$1203,$AE81-1200))))</f>
      </c>
      <c r="J81" s="122">
        <f>IF($AE81="","",IF($AE81&lt;=1200,IF(INDEX(对接源_01水果!$M$4:$M$1203,$AE81)=0,"",INDEX(对接源_01水果!$M$4:$M$1203,$AE81)),IF(INDEX(对接源_02物料!$M$4:$M$1203,$AE81-1200)=0,"",INDEX(对接源_02物料!$M$4:$M$1203,$AE81-1200))))</f>
      </c>
      <c r="AE81" s="128">
        <f>IFERROR(MATCH(76,_自动清单!$AS$4:$AS$2403,0),"")</f>
      </c>
    </row>
    <row r="82" ht="18" customHeight="1" s="127">
      <c r="A82" s="163">
        <f>IF($AE82="","",IF($AE82&lt;=1200,IF(INDEX(对接源_01水果!$B$4:$B$1203,$AE82)=0,"",INDEX(对接源_01水果!$B$4:$B$1203,$AE82)),IF(INDEX(对接源_02物料!$B$4:$B$1203,$AE82-1200)=0,"",INDEX(对接源_02物料!$B$4:$B$1203,$AE82-1200))))</f>
      </c>
      <c r="B82" s="61">
        <f>IF($AE82="","",IF($AE82&lt;=1200,IF(INDEX(对接源_01水果!$E$4:$E$1203,$AE82)=0,"",INDEX(对接源_01水果!$E$4:$E$1203,$AE82)),IF(INDEX(对接源_02物料!$E$4:$E$1203,$AE82-1200)=0,"",INDEX(对接源_02物料!$E$4:$E$1203,$AE82-1200))))</f>
      </c>
      <c r="C82" s="122">
        <f>IF($AE82="","",IF($AE82&lt;=1200,IF(INDEX(对接源_01水果!$F$4:$F$1203,$AE82)=0,"",INDEX(对接源_01水果!$F$4:$F$1203,$AE82)),IF(INDEX(对接源_02物料!$F$4:$F$1203,$AE82-1200)=0,"",INDEX(对接源_02物料!$F$4:$F$1203,$AE82-1200))))</f>
      </c>
      <c r="D82" s="61">
        <f>IF($AE82="","",IF(IF($AE82&lt;=1200,IF(INDEX(对接源_01水果!$G$4:$G$1203,$AE82)=0,"",INDEX(对接源_01水果!$G$4:$G$1203,$AE82)),IF(INDEX(对接源_02物料!$G$4:$G$1203,$AE82-1200)=0,"",INDEX(对接源_02物料!$G$4:$G$1203,$AE82-1200)))="",IF($AE82&lt;=1200,IF(INDEX(对接源_01水果!$D$4:$D$1203,$AE82)=0,"",INDEX(对接源_01水果!$D$4:$D$1203,$AE82)),IF(INDEX(对接源_02物料!$D$4:$D$1203,$AE82-1200)=0,"",INDEX(对接源_02物料!$D$4:$D$1203,$AE82-1200))),IF($AE82&lt;=1200,IF(INDEX(对接源_01水果!$G$4:$G$1203,$AE82)=0,"",INDEX(对接源_01水果!$G$4:$G$1203,$AE82)),IF(INDEX(对接源_02物料!$G$4:$G$1203,$AE82-1200)=0,"",INDEX(对接源_02物料!$G$4:$G$1203,$AE82-1200)))))</f>
      </c>
      <c r="E82" s="173">
        <f>IF($AE82="","",IF($AE82&lt;=1200,IF(INDEX(对接源_01水果!$H$4:$H$1203,$AE82)=0,"",INDEX(对接源_01水果!$H$4:$H$1203,$AE82)),IF(INDEX(对接源_02物料!$H$4:$H$1203,$AE82-1200)=0,"",INDEX(对接源_02物料!$H$4:$H$1203,$AE82-1200))))</f>
      </c>
      <c r="F82" s="61">
        <f>IF($AE82="","",IF($AE82&lt;=1200,IF(INDEX(对接源_01水果!$I$4:$I$1203,$AE82)=0,"",INDEX(对接源_01水果!$I$4:$I$1203,$AE82)),IF(INDEX(对接源_02物料!$I$4:$I$1203,$AE82-1200)=0,"",INDEX(对接源_02物料!$I$4:$I$1203,$AE82-1200))))</f>
      </c>
      <c r="G82" s="173">
        <f>IF($AE82="","",IF(IF($AE82&lt;=1200,N(INDEX(对接源_01水果!$H$4:$H$1203,$AE82)),N(INDEX(对接源_02物料!$H$4:$H$1203,$AE82-1200)))=0,"",ROUND(IF($AE82&lt;=1200,N(INDEX(对接源_01水果!$K$4:$K$1203,$AE82)),N(INDEX(对接源_02物料!$K$4:$K$1203,$AE82-1200)))/IF($AE82&lt;=1200,N(INDEX(对接源_01水果!$H$4:$H$1203,$AE82)),N(INDEX(对接源_02物料!$H$4:$H$1203,$AE82-1200))),2)))</f>
      </c>
      <c r="H82" s="173">
        <f>IF($AE82="","",IF($AE82&lt;=1200,IF(INDEX(对接源_01水果!$K$4:$K$1203,$AE82)=0,"",INDEX(对接源_01水果!$K$4:$K$1203,$AE82)),IF(INDEX(对接源_02物料!$K$4:$K$1203,$AE82-1200)=0,"",INDEX(对接源_02物料!$K$4:$K$1203,$AE82-1200))))</f>
      </c>
      <c r="I82" s="61">
        <f>IF($AE82="","",IF($AE82&lt;=1200,IF(INDEX(对接源_01水果!$L$4:$L$1203,$AE82)=0,"",INDEX(对接源_01水果!$L$4:$L$1203,$AE82)),IF(INDEX(对接源_02物料!$L$4:$L$1203,$AE82-1200)=0,"",INDEX(对接源_02物料!$L$4:$L$1203,$AE82-1200))))</f>
      </c>
      <c r="J82" s="122">
        <f>IF($AE82="","",IF($AE82&lt;=1200,IF(INDEX(对接源_01水果!$M$4:$M$1203,$AE82)=0,"",INDEX(对接源_01水果!$M$4:$M$1203,$AE82)),IF(INDEX(对接源_02物料!$M$4:$M$1203,$AE82-1200)=0,"",INDEX(对接源_02物料!$M$4:$M$1203,$AE82-1200))))</f>
      </c>
      <c r="AE82" s="128">
        <f>IFERROR(MATCH(77,_自动清单!$AS$4:$AS$2403,0),"")</f>
      </c>
    </row>
    <row r="83" ht="18" customHeight="1" s="127">
      <c r="A83" s="163">
        <f>IF($AE83="","",IF($AE83&lt;=1200,IF(INDEX(对接源_01水果!$B$4:$B$1203,$AE83)=0,"",INDEX(对接源_01水果!$B$4:$B$1203,$AE83)),IF(INDEX(对接源_02物料!$B$4:$B$1203,$AE83-1200)=0,"",INDEX(对接源_02物料!$B$4:$B$1203,$AE83-1200))))</f>
      </c>
      <c r="B83" s="61">
        <f>IF($AE83="","",IF($AE83&lt;=1200,IF(INDEX(对接源_01水果!$E$4:$E$1203,$AE83)=0,"",INDEX(对接源_01水果!$E$4:$E$1203,$AE83)),IF(INDEX(对接源_02物料!$E$4:$E$1203,$AE83-1200)=0,"",INDEX(对接源_02物料!$E$4:$E$1203,$AE83-1200))))</f>
      </c>
      <c r="C83" s="122">
        <f>IF($AE83="","",IF($AE83&lt;=1200,IF(INDEX(对接源_01水果!$F$4:$F$1203,$AE83)=0,"",INDEX(对接源_01水果!$F$4:$F$1203,$AE83)),IF(INDEX(对接源_02物料!$F$4:$F$1203,$AE83-1200)=0,"",INDEX(对接源_02物料!$F$4:$F$1203,$AE83-1200))))</f>
      </c>
      <c r="D83" s="61">
        <f>IF($AE83="","",IF(IF($AE83&lt;=1200,IF(INDEX(对接源_01水果!$G$4:$G$1203,$AE83)=0,"",INDEX(对接源_01水果!$G$4:$G$1203,$AE83)),IF(INDEX(对接源_02物料!$G$4:$G$1203,$AE83-1200)=0,"",INDEX(对接源_02物料!$G$4:$G$1203,$AE83-1200)))="",IF($AE83&lt;=1200,IF(INDEX(对接源_01水果!$D$4:$D$1203,$AE83)=0,"",INDEX(对接源_01水果!$D$4:$D$1203,$AE83)),IF(INDEX(对接源_02物料!$D$4:$D$1203,$AE83-1200)=0,"",INDEX(对接源_02物料!$D$4:$D$1203,$AE83-1200))),IF($AE83&lt;=1200,IF(INDEX(对接源_01水果!$G$4:$G$1203,$AE83)=0,"",INDEX(对接源_01水果!$G$4:$G$1203,$AE83)),IF(INDEX(对接源_02物料!$G$4:$G$1203,$AE83-1200)=0,"",INDEX(对接源_02物料!$G$4:$G$1203,$AE83-1200)))))</f>
      </c>
      <c r="E83" s="173">
        <f>IF($AE83="","",IF($AE83&lt;=1200,IF(INDEX(对接源_01水果!$H$4:$H$1203,$AE83)=0,"",INDEX(对接源_01水果!$H$4:$H$1203,$AE83)),IF(INDEX(对接源_02物料!$H$4:$H$1203,$AE83-1200)=0,"",INDEX(对接源_02物料!$H$4:$H$1203,$AE83-1200))))</f>
      </c>
      <c r="F83" s="61">
        <f>IF($AE83="","",IF($AE83&lt;=1200,IF(INDEX(对接源_01水果!$I$4:$I$1203,$AE83)=0,"",INDEX(对接源_01水果!$I$4:$I$1203,$AE83)),IF(INDEX(对接源_02物料!$I$4:$I$1203,$AE83-1200)=0,"",INDEX(对接源_02物料!$I$4:$I$1203,$AE83-1200))))</f>
      </c>
      <c r="G83" s="173">
        <f>IF($AE83="","",IF(IF($AE83&lt;=1200,N(INDEX(对接源_01水果!$H$4:$H$1203,$AE83)),N(INDEX(对接源_02物料!$H$4:$H$1203,$AE83-1200)))=0,"",ROUND(IF($AE83&lt;=1200,N(INDEX(对接源_01水果!$K$4:$K$1203,$AE83)),N(INDEX(对接源_02物料!$K$4:$K$1203,$AE83-1200)))/IF($AE83&lt;=1200,N(INDEX(对接源_01水果!$H$4:$H$1203,$AE83)),N(INDEX(对接源_02物料!$H$4:$H$1203,$AE83-1200))),2)))</f>
      </c>
      <c r="H83" s="173">
        <f>IF($AE83="","",IF($AE83&lt;=1200,IF(INDEX(对接源_01水果!$K$4:$K$1203,$AE83)=0,"",INDEX(对接源_01水果!$K$4:$K$1203,$AE83)),IF(INDEX(对接源_02物料!$K$4:$K$1203,$AE83-1200)=0,"",INDEX(对接源_02物料!$K$4:$K$1203,$AE83-1200))))</f>
      </c>
      <c r="I83" s="61">
        <f>IF($AE83="","",IF($AE83&lt;=1200,IF(INDEX(对接源_01水果!$L$4:$L$1203,$AE83)=0,"",INDEX(对接源_01水果!$L$4:$L$1203,$AE83)),IF(INDEX(对接源_02物料!$L$4:$L$1203,$AE83-1200)=0,"",INDEX(对接源_02物料!$L$4:$L$1203,$AE83-1200))))</f>
      </c>
      <c r="J83" s="122">
        <f>IF($AE83="","",IF($AE83&lt;=1200,IF(INDEX(对接源_01水果!$M$4:$M$1203,$AE83)=0,"",INDEX(对接源_01水果!$M$4:$M$1203,$AE83)),IF(INDEX(对接源_02物料!$M$4:$M$1203,$AE83-1200)=0,"",INDEX(对接源_02物料!$M$4:$M$1203,$AE83-1200))))</f>
      </c>
      <c r="AE83" s="128">
        <f>IFERROR(MATCH(78,_自动清单!$AS$4:$AS$2403,0),"")</f>
      </c>
    </row>
    <row r="84" ht="18" customHeight="1" s="127">
      <c r="A84" s="163">
        <f>IF($AE84="","",IF($AE84&lt;=1200,IF(INDEX(对接源_01水果!$B$4:$B$1203,$AE84)=0,"",INDEX(对接源_01水果!$B$4:$B$1203,$AE84)),IF(INDEX(对接源_02物料!$B$4:$B$1203,$AE84-1200)=0,"",INDEX(对接源_02物料!$B$4:$B$1203,$AE84-1200))))</f>
      </c>
      <c r="B84" s="61">
        <f>IF($AE84="","",IF($AE84&lt;=1200,IF(INDEX(对接源_01水果!$E$4:$E$1203,$AE84)=0,"",INDEX(对接源_01水果!$E$4:$E$1203,$AE84)),IF(INDEX(对接源_02物料!$E$4:$E$1203,$AE84-1200)=0,"",INDEX(对接源_02物料!$E$4:$E$1203,$AE84-1200))))</f>
      </c>
      <c r="C84" s="122">
        <f>IF($AE84="","",IF($AE84&lt;=1200,IF(INDEX(对接源_01水果!$F$4:$F$1203,$AE84)=0,"",INDEX(对接源_01水果!$F$4:$F$1203,$AE84)),IF(INDEX(对接源_02物料!$F$4:$F$1203,$AE84-1200)=0,"",INDEX(对接源_02物料!$F$4:$F$1203,$AE84-1200))))</f>
      </c>
      <c r="D84" s="61">
        <f>IF($AE84="","",IF(IF($AE84&lt;=1200,IF(INDEX(对接源_01水果!$G$4:$G$1203,$AE84)=0,"",INDEX(对接源_01水果!$G$4:$G$1203,$AE84)),IF(INDEX(对接源_02物料!$G$4:$G$1203,$AE84-1200)=0,"",INDEX(对接源_02物料!$G$4:$G$1203,$AE84-1200)))="",IF($AE84&lt;=1200,IF(INDEX(对接源_01水果!$D$4:$D$1203,$AE84)=0,"",INDEX(对接源_01水果!$D$4:$D$1203,$AE84)),IF(INDEX(对接源_02物料!$D$4:$D$1203,$AE84-1200)=0,"",INDEX(对接源_02物料!$D$4:$D$1203,$AE84-1200))),IF($AE84&lt;=1200,IF(INDEX(对接源_01水果!$G$4:$G$1203,$AE84)=0,"",INDEX(对接源_01水果!$G$4:$G$1203,$AE84)),IF(INDEX(对接源_02物料!$G$4:$G$1203,$AE84-1200)=0,"",INDEX(对接源_02物料!$G$4:$G$1203,$AE84-1200)))))</f>
      </c>
      <c r="E84" s="173">
        <f>IF($AE84="","",IF($AE84&lt;=1200,IF(INDEX(对接源_01水果!$H$4:$H$1203,$AE84)=0,"",INDEX(对接源_01水果!$H$4:$H$1203,$AE84)),IF(INDEX(对接源_02物料!$H$4:$H$1203,$AE84-1200)=0,"",INDEX(对接源_02物料!$H$4:$H$1203,$AE84-1200))))</f>
      </c>
      <c r="F84" s="61">
        <f>IF($AE84="","",IF($AE84&lt;=1200,IF(INDEX(对接源_01水果!$I$4:$I$1203,$AE84)=0,"",INDEX(对接源_01水果!$I$4:$I$1203,$AE84)),IF(INDEX(对接源_02物料!$I$4:$I$1203,$AE84-1200)=0,"",INDEX(对接源_02物料!$I$4:$I$1203,$AE84-1200))))</f>
      </c>
      <c r="G84" s="173">
        <f>IF($AE84="","",IF(IF($AE84&lt;=1200,N(INDEX(对接源_01水果!$H$4:$H$1203,$AE84)),N(INDEX(对接源_02物料!$H$4:$H$1203,$AE84-1200)))=0,"",ROUND(IF($AE84&lt;=1200,N(INDEX(对接源_01水果!$K$4:$K$1203,$AE84)),N(INDEX(对接源_02物料!$K$4:$K$1203,$AE84-1200)))/IF($AE84&lt;=1200,N(INDEX(对接源_01水果!$H$4:$H$1203,$AE84)),N(INDEX(对接源_02物料!$H$4:$H$1203,$AE84-1200))),2)))</f>
      </c>
      <c r="H84" s="173">
        <f>IF($AE84="","",IF($AE84&lt;=1200,IF(INDEX(对接源_01水果!$K$4:$K$1203,$AE84)=0,"",INDEX(对接源_01水果!$K$4:$K$1203,$AE84)),IF(INDEX(对接源_02物料!$K$4:$K$1203,$AE84-1200)=0,"",INDEX(对接源_02物料!$K$4:$K$1203,$AE84-1200))))</f>
      </c>
      <c r="I84" s="61">
        <f>IF($AE84="","",IF($AE84&lt;=1200,IF(INDEX(对接源_01水果!$L$4:$L$1203,$AE84)=0,"",INDEX(对接源_01水果!$L$4:$L$1203,$AE84)),IF(INDEX(对接源_02物料!$L$4:$L$1203,$AE84-1200)=0,"",INDEX(对接源_02物料!$L$4:$L$1203,$AE84-1200))))</f>
      </c>
      <c r="J84" s="122">
        <f>IF($AE84="","",IF($AE84&lt;=1200,IF(INDEX(对接源_01水果!$M$4:$M$1203,$AE84)=0,"",INDEX(对接源_01水果!$M$4:$M$1203,$AE84)),IF(INDEX(对接源_02物料!$M$4:$M$1203,$AE84-1200)=0,"",INDEX(对接源_02物料!$M$4:$M$1203,$AE84-1200))))</f>
      </c>
      <c r="AE84" s="128">
        <f>IFERROR(MATCH(79,_自动清单!$AS$4:$AS$2403,0),"")</f>
      </c>
    </row>
    <row r="85" ht="18" customHeight="1" s="127">
      <c r="A85" s="163">
        <f>IF($AE85="","",IF($AE85&lt;=1200,IF(INDEX(对接源_01水果!$B$4:$B$1203,$AE85)=0,"",INDEX(对接源_01水果!$B$4:$B$1203,$AE85)),IF(INDEX(对接源_02物料!$B$4:$B$1203,$AE85-1200)=0,"",INDEX(对接源_02物料!$B$4:$B$1203,$AE85-1200))))</f>
      </c>
      <c r="B85" s="61">
        <f>IF($AE85="","",IF($AE85&lt;=1200,IF(INDEX(对接源_01水果!$E$4:$E$1203,$AE85)=0,"",INDEX(对接源_01水果!$E$4:$E$1203,$AE85)),IF(INDEX(对接源_02物料!$E$4:$E$1203,$AE85-1200)=0,"",INDEX(对接源_02物料!$E$4:$E$1203,$AE85-1200))))</f>
      </c>
      <c r="C85" s="122">
        <f>IF($AE85="","",IF($AE85&lt;=1200,IF(INDEX(对接源_01水果!$F$4:$F$1203,$AE85)=0,"",INDEX(对接源_01水果!$F$4:$F$1203,$AE85)),IF(INDEX(对接源_02物料!$F$4:$F$1203,$AE85-1200)=0,"",INDEX(对接源_02物料!$F$4:$F$1203,$AE85-1200))))</f>
      </c>
      <c r="D85" s="61">
        <f>IF($AE85="","",IF(IF($AE85&lt;=1200,IF(INDEX(对接源_01水果!$G$4:$G$1203,$AE85)=0,"",INDEX(对接源_01水果!$G$4:$G$1203,$AE85)),IF(INDEX(对接源_02物料!$G$4:$G$1203,$AE85-1200)=0,"",INDEX(对接源_02物料!$G$4:$G$1203,$AE85-1200)))="",IF($AE85&lt;=1200,IF(INDEX(对接源_01水果!$D$4:$D$1203,$AE85)=0,"",INDEX(对接源_01水果!$D$4:$D$1203,$AE85)),IF(INDEX(对接源_02物料!$D$4:$D$1203,$AE85-1200)=0,"",INDEX(对接源_02物料!$D$4:$D$1203,$AE85-1200))),IF($AE85&lt;=1200,IF(INDEX(对接源_01水果!$G$4:$G$1203,$AE85)=0,"",INDEX(对接源_01水果!$G$4:$G$1203,$AE85)),IF(INDEX(对接源_02物料!$G$4:$G$1203,$AE85-1200)=0,"",INDEX(对接源_02物料!$G$4:$G$1203,$AE85-1200)))))</f>
      </c>
      <c r="E85" s="173">
        <f>IF($AE85="","",IF($AE85&lt;=1200,IF(INDEX(对接源_01水果!$H$4:$H$1203,$AE85)=0,"",INDEX(对接源_01水果!$H$4:$H$1203,$AE85)),IF(INDEX(对接源_02物料!$H$4:$H$1203,$AE85-1200)=0,"",INDEX(对接源_02物料!$H$4:$H$1203,$AE85-1200))))</f>
      </c>
      <c r="F85" s="61">
        <f>IF($AE85="","",IF($AE85&lt;=1200,IF(INDEX(对接源_01水果!$I$4:$I$1203,$AE85)=0,"",INDEX(对接源_01水果!$I$4:$I$1203,$AE85)),IF(INDEX(对接源_02物料!$I$4:$I$1203,$AE85-1200)=0,"",INDEX(对接源_02物料!$I$4:$I$1203,$AE85-1200))))</f>
      </c>
      <c r="G85" s="173">
        <f>IF($AE85="","",IF(IF($AE85&lt;=1200,N(INDEX(对接源_01水果!$H$4:$H$1203,$AE85)),N(INDEX(对接源_02物料!$H$4:$H$1203,$AE85-1200)))=0,"",ROUND(IF($AE85&lt;=1200,N(INDEX(对接源_01水果!$K$4:$K$1203,$AE85)),N(INDEX(对接源_02物料!$K$4:$K$1203,$AE85-1200)))/IF($AE85&lt;=1200,N(INDEX(对接源_01水果!$H$4:$H$1203,$AE85)),N(INDEX(对接源_02物料!$H$4:$H$1203,$AE85-1200))),2)))</f>
      </c>
      <c r="H85" s="173">
        <f>IF($AE85="","",IF($AE85&lt;=1200,IF(INDEX(对接源_01水果!$K$4:$K$1203,$AE85)=0,"",INDEX(对接源_01水果!$K$4:$K$1203,$AE85)),IF(INDEX(对接源_02物料!$K$4:$K$1203,$AE85-1200)=0,"",INDEX(对接源_02物料!$K$4:$K$1203,$AE85-1200))))</f>
      </c>
      <c r="I85" s="61">
        <f>IF($AE85="","",IF($AE85&lt;=1200,IF(INDEX(对接源_01水果!$L$4:$L$1203,$AE85)=0,"",INDEX(对接源_01水果!$L$4:$L$1203,$AE85)),IF(INDEX(对接源_02物料!$L$4:$L$1203,$AE85-1200)=0,"",INDEX(对接源_02物料!$L$4:$L$1203,$AE85-1200))))</f>
      </c>
      <c r="J85" s="122">
        <f>IF($AE85="","",IF($AE85&lt;=1200,IF(INDEX(对接源_01水果!$M$4:$M$1203,$AE85)=0,"",INDEX(对接源_01水果!$M$4:$M$1203,$AE85)),IF(INDEX(对接源_02物料!$M$4:$M$1203,$AE85-1200)=0,"",INDEX(对接源_02物料!$M$4:$M$1203,$AE85-1200))))</f>
      </c>
      <c r="AE85" s="128">
        <f>IFERROR(MATCH(80,_自动清单!$AS$4:$AS$2403,0),"")</f>
      </c>
    </row>
    <row r="86" ht="18" customHeight="1" s="127">
      <c r="A86" s="163">
        <f>IF($AE86="","",IF($AE86&lt;=1200,IF(INDEX(对接源_01水果!$B$4:$B$1203,$AE86)=0,"",INDEX(对接源_01水果!$B$4:$B$1203,$AE86)),IF(INDEX(对接源_02物料!$B$4:$B$1203,$AE86-1200)=0,"",INDEX(对接源_02物料!$B$4:$B$1203,$AE86-1200))))</f>
      </c>
      <c r="B86" s="61">
        <f>IF($AE86="","",IF($AE86&lt;=1200,IF(INDEX(对接源_01水果!$E$4:$E$1203,$AE86)=0,"",INDEX(对接源_01水果!$E$4:$E$1203,$AE86)),IF(INDEX(对接源_02物料!$E$4:$E$1203,$AE86-1200)=0,"",INDEX(对接源_02物料!$E$4:$E$1203,$AE86-1200))))</f>
      </c>
      <c r="C86" s="122">
        <f>IF($AE86="","",IF($AE86&lt;=1200,IF(INDEX(对接源_01水果!$F$4:$F$1203,$AE86)=0,"",INDEX(对接源_01水果!$F$4:$F$1203,$AE86)),IF(INDEX(对接源_02物料!$F$4:$F$1203,$AE86-1200)=0,"",INDEX(对接源_02物料!$F$4:$F$1203,$AE86-1200))))</f>
      </c>
      <c r="D86" s="61">
        <f>IF($AE86="","",IF(IF($AE86&lt;=1200,IF(INDEX(对接源_01水果!$G$4:$G$1203,$AE86)=0,"",INDEX(对接源_01水果!$G$4:$G$1203,$AE86)),IF(INDEX(对接源_02物料!$G$4:$G$1203,$AE86-1200)=0,"",INDEX(对接源_02物料!$G$4:$G$1203,$AE86-1200)))="",IF($AE86&lt;=1200,IF(INDEX(对接源_01水果!$D$4:$D$1203,$AE86)=0,"",INDEX(对接源_01水果!$D$4:$D$1203,$AE86)),IF(INDEX(对接源_02物料!$D$4:$D$1203,$AE86-1200)=0,"",INDEX(对接源_02物料!$D$4:$D$1203,$AE86-1200))),IF($AE86&lt;=1200,IF(INDEX(对接源_01水果!$G$4:$G$1203,$AE86)=0,"",INDEX(对接源_01水果!$G$4:$G$1203,$AE86)),IF(INDEX(对接源_02物料!$G$4:$G$1203,$AE86-1200)=0,"",INDEX(对接源_02物料!$G$4:$G$1203,$AE86-1200)))))</f>
      </c>
      <c r="E86" s="173">
        <f>IF($AE86="","",IF($AE86&lt;=1200,IF(INDEX(对接源_01水果!$H$4:$H$1203,$AE86)=0,"",INDEX(对接源_01水果!$H$4:$H$1203,$AE86)),IF(INDEX(对接源_02物料!$H$4:$H$1203,$AE86-1200)=0,"",INDEX(对接源_02物料!$H$4:$H$1203,$AE86-1200))))</f>
      </c>
      <c r="F86" s="61">
        <f>IF($AE86="","",IF($AE86&lt;=1200,IF(INDEX(对接源_01水果!$I$4:$I$1203,$AE86)=0,"",INDEX(对接源_01水果!$I$4:$I$1203,$AE86)),IF(INDEX(对接源_02物料!$I$4:$I$1203,$AE86-1200)=0,"",INDEX(对接源_02物料!$I$4:$I$1203,$AE86-1200))))</f>
      </c>
      <c r="G86" s="173">
        <f>IF($AE86="","",IF(IF($AE86&lt;=1200,N(INDEX(对接源_01水果!$H$4:$H$1203,$AE86)),N(INDEX(对接源_02物料!$H$4:$H$1203,$AE86-1200)))=0,"",ROUND(IF($AE86&lt;=1200,N(INDEX(对接源_01水果!$K$4:$K$1203,$AE86)),N(INDEX(对接源_02物料!$K$4:$K$1203,$AE86-1200)))/IF($AE86&lt;=1200,N(INDEX(对接源_01水果!$H$4:$H$1203,$AE86)),N(INDEX(对接源_02物料!$H$4:$H$1203,$AE86-1200))),2)))</f>
      </c>
      <c r="H86" s="173">
        <f>IF($AE86="","",IF($AE86&lt;=1200,IF(INDEX(对接源_01水果!$K$4:$K$1203,$AE86)=0,"",INDEX(对接源_01水果!$K$4:$K$1203,$AE86)),IF(INDEX(对接源_02物料!$K$4:$K$1203,$AE86-1200)=0,"",INDEX(对接源_02物料!$K$4:$K$1203,$AE86-1200))))</f>
      </c>
      <c r="I86" s="61">
        <f>IF($AE86="","",IF($AE86&lt;=1200,IF(INDEX(对接源_01水果!$L$4:$L$1203,$AE86)=0,"",INDEX(对接源_01水果!$L$4:$L$1203,$AE86)),IF(INDEX(对接源_02物料!$L$4:$L$1203,$AE86-1200)=0,"",INDEX(对接源_02物料!$L$4:$L$1203,$AE86-1200))))</f>
      </c>
      <c r="J86" s="122">
        <f>IF($AE86="","",IF($AE86&lt;=1200,IF(INDEX(对接源_01水果!$M$4:$M$1203,$AE86)=0,"",INDEX(对接源_01水果!$M$4:$M$1203,$AE86)),IF(INDEX(对接源_02物料!$M$4:$M$1203,$AE86-1200)=0,"",INDEX(对接源_02物料!$M$4:$M$1203,$AE86-1200))))</f>
      </c>
      <c r="AE86" s="128">
        <f>IFERROR(MATCH(81,_自动清单!$AS$4:$AS$2403,0),"")</f>
      </c>
    </row>
    <row r="87" ht="18" customHeight="1" s="127">
      <c r="A87" s="163">
        <f>IF($AE87="","",IF($AE87&lt;=1200,IF(INDEX(对接源_01水果!$B$4:$B$1203,$AE87)=0,"",INDEX(对接源_01水果!$B$4:$B$1203,$AE87)),IF(INDEX(对接源_02物料!$B$4:$B$1203,$AE87-1200)=0,"",INDEX(对接源_02物料!$B$4:$B$1203,$AE87-1200))))</f>
      </c>
      <c r="B87" s="61">
        <f>IF($AE87="","",IF($AE87&lt;=1200,IF(INDEX(对接源_01水果!$E$4:$E$1203,$AE87)=0,"",INDEX(对接源_01水果!$E$4:$E$1203,$AE87)),IF(INDEX(对接源_02物料!$E$4:$E$1203,$AE87-1200)=0,"",INDEX(对接源_02物料!$E$4:$E$1203,$AE87-1200))))</f>
      </c>
      <c r="C87" s="122">
        <f>IF($AE87="","",IF($AE87&lt;=1200,IF(INDEX(对接源_01水果!$F$4:$F$1203,$AE87)=0,"",INDEX(对接源_01水果!$F$4:$F$1203,$AE87)),IF(INDEX(对接源_02物料!$F$4:$F$1203,$AE87-1200)=0,"",INDEX(对接源_02物料!$F$4:$F$1203,$AE87-1200))))</f>
      </c>
      <c r="D87" s="61">
        <f>IF($AE87="","",IF(IF($AE87&lt;=1200,IF(INDEX(对接源_01水果!$G$4:$G$1203,$AE87)=0,"",INDEX(对接源_01水果!$G$4:$G$1203,$AE87)),IF(INDEX(对接源_02物料!$G$4:$G$1203,$AE87-1200)=0,"",INDEX(对接源_02物料!$G$4:$G$1203,$AE87-1200)))="",IF($AE87&lt;=1200,IF(INDEX(对接源_01水果!$D$4:$D$1203,$AE87)=0,"",INDEX(对接源_01水果!$D$4:$D$1203,$AE87)),IF(INDEX(对接源_02物料!$D$4:$D$1203,$AE87-1200)=0,"",INDEX(对接源_02物料!$D$4:$D$1203,$AE87-1200))),IF($AE87&lt;=1200,IF(INDEX(对接源_01水果!$G$4:$G$1203,$AE87)=0,"",INDEX(对接源_01水果!$G$4:$G$1203,$AE87)),IF(INDEX(对接源_02物料!$G$4:$G$1203,$AE87-1200)=0,"",INDEX(对接源_02物料!$G$4:$G$1203,$AE87-1200)))))</f>
      </c>
      <c r="E87" s="173">
        <f>IF($AE87="","",IF($AE87&lt;=1200,IF(INDEX(对接源_01水果!$H$4:$H$1203,$AE87)=0,"",INDEX(对接源_01水果!$H$4:$H$1203,$AE87)),IF(INDEX(对接源_02物料!$H$4:$H$1203,$AE87-1200)=0,"",INDEX(对接源_02物料!$H$4:$H$1203,$AE87-1200))))</f>
      </c>
      <c r="F87" s="61">
        <f>IF($AE87="","",IF($AE87&lt;=1200,IF(INDEX(对接源_01水果!$I$4:$I$1203,$AE87)=0,"",INDEX(对接源_01水果!$I$4:$I$1203,$AE87)),IF(INDEX(对接源_02物料!$I$4:$I$1203,$AE87-1200)=0,"",INDEX(对接源_02物料!$I$4:$I$1203,$AE87-1200))))</f>
      </c>
      <c r="G87" s="173">
        <f>IF($AE87="","",IF(IF($AE87&lt;=1200,N(INDEX(对接源_01水果!$H$4:$H$1203,$AE87)),N(INDEX(对接源_02物料!$H$4:$H$1203,$AE87-1200)))=0,"",ROUND(IF($AE87&lt;=1200,N(INDEX(对接源_01水果!$K$4:$K$1203,$AE87)),N(INDEX(对接源_02物料!$K$4:$K$1203,$AE87-1200)))/IF($AE87&lt;=1200,N(INDEX(对接源_01水果!$H$4:$H$1203,$AE87)),N(INDEX(对接源_02物料!$H$4:$H$1203,$AE87-1200))),2)))</f>
      </c>
      <c r="H87" s="173">
        <f>IF($AE87="","",IF($AE87&lt;=1200,IF(INDEX(对接源_01水果!$K$4:$K$1203,$AE87)=0,"",INDEX(对接源_01水果!$K$4:$K$1203,$AE87)),IF(INDEX(对接源_02物料!$K$4:$K$1203,$AE87-1200)=0,"",INDEX(对接源_02物料!$K$4:$K$1203,$AE87-1200))))</f>
      </c>
      <c r="I87" s="61">
        <f>IF($AE87="","",IF($AE87&lt;=1200,IF(INDEX(对接源_01水果!$L$4:$L$1203,$AE87)=0,"",INDEX(对接源_01水果!$L$4:$L$1203,$AE87)),IF(INDEX(对接源_02物料!$L$4:$L$1203,$AE87-1200)=0,"",INDEX(对接源_02物料!$L$4:$L$1203,$AE87-1200))))</f>
      </c>
      <c r="J87" s="122">
        <f>IF($AE87="","",IF($AE87&lt;=1200,IF(INDEX(对接源_01水果!$M$4:$M$1203,$AE87)=0,"",INDEX(对接源_01水果!$M$4:$M$1203,$AE87)),IF(INDEX(对接源_02物料!$M$4:$M$1203,$AE87-1200)=0,"",INDEX(对接源_02物料!$M$4:$M$1203,$AE87-1200))))</f>
      </c>
      <c r="AE87" s="128">
        <f>IFERROR(MATCH(82,_自动清单!$AS$4:$AS$2403,0),"")</f>
      </c>
    </row>
    <row r="88" ht="18" customHeight="1" s="127">
      <c r="A88" s="163">
        <f>IF($AE88="","",IF($AE88&lt;=1200,IF(INDEX(对接源_01水果!$B$4:$B$1203,$AE88)=0,"",INDEX(对接源_01水果!$B$4:$B$1203,$AE88)),IF(INDEX(对接源_02物料!$B$4:$B$1203,$AE88-1200)=0,"",INDEX(对接源_02物料!$B$4:$B$1203,$AE88-1200))))</f>
      </c>
      <c r="B88" s="61">
        <f>IF($AE88="","",IF($AE88&lt;=1200,IF(INDEX(对接源_01水果!$E$4:$E$1203,$AE88)=0,"",INDEX(对接源_01水果!$E$4:$E$1203,$AE88)),IF(INDEX(对接源_02物料!$E$4:$E$1203,$AE88-1200)=0,"",INDEX(对接源_02物料!$E$4:$E$1203,$AE88-1200))))</f>
      </c>
      <c r="C88" s="122">
        <f>IF($AE88="","",IF($AE88&lt;=1200,IF(INDEX(对接源_01水果!$F$4:$F$1203,$AE88)=0,"",INDEX(对接源_01水果!$F$4:$F$1203,$AE88)),IF(INDEX(对接源_02物料!$F$4:$F$1203,$AE88-1200)=0,"",INDEX(对接源_02物料!$F$4:$F$1203,$AE88-1200))))</f>
      </c>
      <c r="D88" s="61">
        <f>IF($AE88="","",IF(IF($AE88&lt;=1200,IF(INDEX(对接源_01水果!$G$4:$G$1203,$AE88)=0,"",INDEX(对接源_01水果!$G$4:$G$1203,$AE88)),IF(INDEX(对接源_02物料!$G$4:$G$1203,$AE88-1200)=0,"",INDEX(对接源_02物料!$G$4:$G$1203,$AE88-1200)))="",IF($AE88&lt;=1200,IF(INDEX(对接源_01水果!$D$4:$D$1203,$AE88)=0,"",INDEX(对接源_01水果!$D$4:$D$1203,$AE88)),IF(INDEX(对接源_02物料!$D$4:$D$1203,$AE88-1200)=0,"",INDEX(对接源_02物料!$D$4:$D$1203,$AE88-1200))),IF($AE88&lt;=1200,IF(INDEX(对接源_01水果!$G$4:$G$1203,$AE88)=0,"",INDEX(对接源_01水果!$G$4:$G$1203,$AE88)),IF(INDEX(对接源_02物料!$G$4:$G$1203,$AE88-1200)=0,"",INDEX(对接源_02物料!$G$4:$G$1203,$AE88-1200)))))</f>
      </c>
      <c r="E88" s="173">
        <f>IF($AE88="","",IF($AE88&lt;=1200,IF(INDEX(对接源_01水果!$H$4:$H$1203,$AE88)=0,"",INDEX(对接源_01水果!$H$4:$H$1203,$AE88)),IF(INDEX(对接源_02物料!$H$4:$H$1203,$AE88-1200)=0,"",INDEX(对接源_02物料!$H$4:$H$1203,$AE88-1200))))</f>
      </c>
      <c r="F88" s="61">
        <f>IF($AE88="","",IF($AE88&lt;=1200,IF(INDEX(对接源_01水果!$I$4:$I$1203,$AE88)=0,"",INDEX(对接源_01水果!$I$4:$I$1203,$AE88)),IF(INDEX(对接源_02物料!$I$4:$I$1203,$AE88-1200)=0,"",INDEX(对接源_02物料!$I$4:$I$1203,$AE88-1200))))</f>
      </c>
      <c r="G88" s="173">
        <f>IF($AE88="","",IF(IF($AE88&lt;=1200,N(INDEX(对接源_01水果!$H$4:$H$1203,$AE88)),N(INDEX(对接源_02物料!$H$4:$H$1203,$AE88-1200)))=0,"",ROUND(IF($AE88&lt;=1200,N(INDEX(对接源_01水果!$K$4:$K$1203,$AE88)),N(INDEX(对接源_02物料!$K$4:$K$1203,$AE88-1200)))/IF($AE88&lt;=1200,N(INDEX(对接源_01水果!$H$4:$H$1203,$AE88)),N(INDEX(对接源_02物料!$H$4:$H$1203,$AE88-1200))),2)))</f>
      </c>
      <c r="H88" s="173">
        <f>IF($AE88="","",IF($AE88&lt;=1200,IF(INDEX(对接源_01水果!$K$4:$K$1203,$AE88)=0,"",INDEX(对接源_01水果!$K$4:$K$1203,$AE88)),IF(INDEX(对接源_02物料!$K$4:$K$1203,$AE88-1200)=0,"",INDEX(对接源_02物料!$K$4:$K$1203,$AE88-1200))))</f>
      </c>
      <c r="I88" s="61">
        <f>IF($AE88="","",IF($AE88&lt;=1200,IF(INDEX(对接源_01水果!$L$4:$L$1203,$AE88)=0,"",INDEX(对接源_01水果!$L$4:$L$1203,$AE88)),IF(INDEX(对接源_02物料!$L$4:$L$1203,$AE88-1200)=0,"",INDEX(对接源_02物料!$L$4:$L$1203,$AE88-1200))))</f>
      </c>
      <c r="J88" s="122">
        <f>IF($AE88="","",IF($AE88&lt;=1200,IF(INDEX(对接源_01水果!$M$4:$M$1203,$AE88)=0,"",INDEX(对接源_01水果!$M$4:$M$1203,$AE88)),IF(INDEX(对接源_02物料!$M$4:$M$1203,$AE88-1200)=0,"",INDEX(对接源_02物料!$M$4:$M$1203,$AE88-1200))))</f>
      </c>
      <c r="AE88" s="128">
        <f>IFERROR(MATCH(83,_自动清单!$AS$4:$AS$2403,0),"")</f>
      </c>
    </row>
    <row r="89" ht="18" customHeight="1" s="127">
      <c r="A89" s="163">
        <f>IF($AE89="","",IF($AE89&lt;=1200,IF(INDEX(对接源_01水果!$B$4:$B$1203,$AE89)=0,"",INDEX(对接源_01水果!$B$4:$B$1203,$AE89)),IF(INDEX(对接源_02物料!$B$4:$B$1203,$AE89-1200)=0,"",INDEX(对接源_02物料!$B$4:$B$1203,$AE89-1200))))</f>
      </c>
      <c r="B89" s="61">
        <f>IF($AE89="","",IF($AE89&lt;=1200,IF(INDEX(对接源_01水果!$E$4:$E$1203,$AE89)=0,"",INDEX(对接源_01水果!$E$4:$E$1203,$AE89)),IF(INDEX(对接源_02物料!$E$4:$E$1203,$AE89-1200)=0,"",INDEX(对接源_02物料!$E$4:$E$1203,$AE89-1200))))</f>
      </c>
      <c r="C89" s="122">
        <f>IF($AE89="","",IF($AE89&lt;=1200,IF(INDEX(对接源_01水果!$F$4:$F$1203,$AE89)=0,"",INDEX(对接源_01水果!$F$4:$F$1203,$AE89)),IF(INDEX(对接源_02物料!$F$4:$F$1203,$AE89-1200)=0,"",INDEX(对接源_02物料!$F$4:$F$1203,$AE89-1200))))</f>
      </c>
      <c r="D89" s="61">
        <f>IF($AE89="","",IF(IF($AE89&lt;=1200,IF(INDEX(对接源_01水果!$G$4:$G$1203,$AE89)=0,"",INDEX(对接源_01水果!$G$4:$G$1203,$AE89)),IF(INDEX(对接源_02物料!$G$4:$G$1203,$AE89-1200)=0,"",INDEX(对接源_02物料!$G$4:$G$1203,$AE89-1200)))="",IF($AE89&lt;=1200,IF(INDEX(对接源_01水果!$D$4:$D$1203,$AE89)=0,"",INDEX(对接源_01水果!$D$4:$D$1203,$AE89)),IF(INDEX(对接源_02物料!$D$4:$D$1203,$AE89-1200)=0,"",INDEX(对接源_02物料!$D$4:$D$1203,$AE89-1200))),IF($AE89&lt;=1200,IF(INDEX(对接源_01水果!$G$4:$G$1203,$AE89)=0,"",INDEX(对接源_01水果!$G$4:$G$1203,$AE89)),IF(INDEX(对接源_02物料!$G$4:$G$1203,$AE89-1200)=0,"",INDEX(对接源_02物料!$G$4:$G$1203,$AE89-1200)))))</f>
      </c>
      <c r="E89" s="173">
        <f>IF($AE89="","",IF($AE89&lt;=1200,IF(INDEX(对接源_01水果!$H$4:$H$1203,$AE89)=0,"",INDEX(对接源_01水果!$H$4:$H$1203,$AE89)),IF(INDEX(对接源_02物料!$H$4:$H$1203,$AE89-1200)=0,"",INDEX(对接源_02物料!$H$4:$H$1203,$AE89-1200))))</f>
      </c>
      <c r="F89" s="61">
        <f>IF($AE89="","",IF($AE89&lt;=1200,IF(INDEX(对接源_01水果!$I$4:$I$1203,$AE89)=0,"",INDEX(对接源_01水果!$I$4:$I$1203,$AE89)),IF(INDEX(对接源_02物料!$I$4:$I$1203,$AE89-1200)=0,"",INDEX(对接源_02物料!$I$4:$I$1203,$AE89-1200))))</f>
      </c>
      <c r="G89" s="173">
        <f>IF($AE89="","",IF(IF($AE89&lt;=1200,N(INDEX(对接源_01水果!$H$4:$H$1203,$AE89)),N(INDEX(对接源_02物料!$H$4:$H$1203,$AE89-1200)))=0,"",ROUND(IF($AE89&lt;=1200,N(INDEX(对接源_01水果!$K$4:$K$1203,$AE89)),N(INDEX(对接源_02物料!$K$4:$K$1203,$AE89-1200)))/IF($AE89&lt;=1200,N(INDEX(对接源_01水果!$H$4:$H$1203,$AE89)),N(INDEX(对接源_02物料!$H$4:$H$1203,$AE89-1200))),2)))</f>
      </c>
      <c r="H89" s="173">
        <f>IF($AE89="","",IF($AE89&lt;=1200,IF(INDEX(对接源_01水果!$K$4:$K$1203,$AE89)=0,"",INDEX(对接源_01水果!$K$4:$K$1203,$AE89)),IF(INDEX(对接源_02物料!$K$4:$K$1203,$AE89-1200)=0,"",INDEX(对接源_02物料!$K$4:$K$1203,$AE89-1200))))</f>
      </c>
      <c r="I89" s="61">
        <f>IF($AE89="","",IF($AE89&lt;=1200,IF(INDEX(对接源_01水果!$L$4:$L$1203,$AE89)=0,"",INDEX(对接源_01水果!$L$4:$L$1203,$AE89)),IF(INDEX(对接源_02物料!$L$4:$L$1203,$AE89-1200)=0,"",INDEX(对接源_02物料!$L$4:$L$1203,$AE89-1200))))</f>
      </c>
      <c r="J89" s="122">
        <f>IF($AE89="","",IF($AE89&lt;=1200,IF(INDEX(对接源_01水果!$M$4:$M$1203,$AE89)=0,"",INDEX(对接源_01水果!$M$4:$M$1203,$AE89)),IF(INDEX(对接源_02物料!$M$4:$M$1203,$AE89-1200)=0,"",INDEX(对接源_02物料!$M$4:$M$1203,$AE89-1200))))</f>
      </c>
      <c r="AE89" s="128">
        <f>IFERROR(MATCH(84,_自动清单!$AS$4:$AS$2403,0),"")</f>
      </c>
    </row>
    <row r="90" ht="18" customHeight="1" s="127">
      <c r="A90" s="163">
        <f>IF($AE90="","",IF($AE90&lt;=1200,IF(INDEX(对接源_01水果!$B$4:$B$1203,$AE90)=0,"",INDEX(对接源_01水果!$B$4:$B$1203,$AE90)),IF(INDEX(对接源_02物料!$B$4:$B$1203,$AE90-1200)=0,"",INDEX(对接源_02物料!$B$4:$B$1203,$AE90-1200))))</f>
      </c>
      <c r="B90" s="61">
        <f>IF($AE90="","",IF($AE90&lt;=1200,IF(INDEX(对接源_01水果!$E$4:$E$1203,$AE90)=0,"",INDEX(对接源_01水果!$E$4:$E$1203,$AE90)),IF(INDEX(对接源_02物料!$E$4:$E$1203,$AE90-1200)=0,"",INDEX(对接源_02物料!$E$4:$E$1203,$AE90-1200))))</f>
      </c>
      <c r="C90" s="122">
        <f>IF($AE90="","",IF($AE90&lt;=1200,IF(INDEX(对接源_01水果!$F$4:$F$1203,$AE90)=0,"",INDEX(对接源_01水果!$F$4:$F$1203,$AE90)),IF(INDEX(对接源_02物料!$F$4:$F$1203,$AE90-1200)=0,"",INDEX(对接源_02物料!$F$4:$F$1203,$AE90-1200))))</f>
      </c>
      <c r="D90" s="61">
        <f>IF($AE90="","",IF(IF($AE90&lt;=1200,IF(INDEX(对接源_01水果!$G$4:$G$1203,$AE90)=0,"",INDEX(对接源_01水果!$G$4:$G$1203,$AE90)),IF(INDEX(对接源_02物料!$G$4:$G$1203,$AE90-1200)=0,"",INDEX(对接源_02物料!$G$4:$G$1203,$AE90-1200)))="",IF($AE90&lt;=1200,IF(INDEX(对接源_01水果!$D$4:$D$1203,$AE90)=0,"",INDEX(对接源_01水果!$D$4:$D$1203,$AE90)),IF(INDEX(对接源_02物料!$D$4:$D$1203,$AE90-1200)=0,"",INDEX(对接源_02物料!$D$4:$D$1203,$AE90-1200))),IF($AE90&lt;=1200,IF(INDEX(对接源_01水果!$G$4:$G$1203,$AE90)=0,"",INDEX(对接源_01水果!$G$4:$G$1203,$AE90)),IF(INDEX(对接源_02物料!$G$4:$G$1203,$AE90-1200)=0,"",INDEX(对接源_02物料!$G$4:$G$1203,$AE90-1200)))))</f>
      </c>
      <c r="E90" s="173">
        <f>IF($AE90="","",IF($AE90&lt;=1200,IF(INDEX(对接源_01水果!$H$4:$H$1203,$AE90)=0,"",INDEX(对接源_01水果!$H$4:$H$1203,$AE90)),IF(INDEX(对接源_02物料!$H$4:$H$1203,$AE90-1200)=0,"",INDEX(对接源_02物料!$H$4:$H$1203,$AE90-1200))))</f>
      </c>
      <c r="F90" s="61">
        <f>IF($AE90="","",IF($AE90&lt;=1200,IF(INDEX(对接源_01水果!$I$4:$I$1203,$AE90)=0,"",INDEX(对接源_01水果!$I$4:$I$1203,$AE90)),IF(INDEX(对接源_02物料!$I$4:$I$1203,$AE90-1200)=0,"",INDEX(对接源_02物料!$I$4:$I$1203,$AE90-1200))))</f>
      </c>
      <c r="G90" s="173">
        <f>IF($AE90="","",IF(IF($AE90&lt;=1200,N(INDEX(对接源_01水果!$H$4:$H$1203,$AE90)),N(INDEX(对接源_02物料!$H$4:$H$1203,$AE90-1200)))=0,"",ROUND(IF($AE90&lt;=1200,N(INDEX(对接源_01水果!$K$4:$K$1203,$AE90)),N(INDEX(对接源_02物料!$K$4:$K$1203,$AE90-1200)))/IF($AE90&lt;=1200,N(INDEX(对接源_01水果!$H$4:$H$1203,$AE90)),N(INDEX(对接源_02物料!$H$4:$H$1203,$AE90-1200))),2)))</f>
      </c>
      <c r="H90" s="173">
        <f>IF($AE90="","",IF($AE90&lt;=1200,IF(INDEX(对接源_01水果!$K$4:$K$1203,$AE90)=0,"",INDEX(对接源_01水果!$K$4:$K$1203,$AE90)),IF(INDEX(对接源_02物料!$K$4:$K$1203,$AE90-1200)=0,"",INDEX(对接源_02物料!$K$4:$K$1203,$AE90-1200))))</f>
      </c>
      <c r="I90" s="61">
        <f>IF($AE90="","",IF($AE90&lt;=1200,IF(INDEX(对接源_01水果!$L$4:$L$1203,$AE90)=0,"",INDEX(对接源_01水果!$L$4:$L$1203,$AE90)),IF(INDEX(对接源_02物料!$L$4:$L$1203,$AE90-1200)=0,"",INDEX(对接源_02物料!$L$4:$L$1203,$AE90-1200))))</f>
      </c>
      <c r="J90" s="122">
        <f>IF($AE90="","",IF($AE90&lt;=1200,IF(INDEX(对接源_01水果!$M$4:$M$1203,$AE90)=0,"",INDEX(对接源_01水果!$M$4:$M$1203,$AE90)),IF(INDEX(对接源_02物料!$M$4:$M$1203,$AE90-1200)=0,"",INDEX(对接源_02物料!$M$4:$M$1203,$AE90-1200))))</f>
      </c>
      <c r="AE90" s="128">
        <f>IFERROR(MATCH(85,_自动清单!$AS$4:$AS$2403,0),"")</f>
      </c>
    </row>
    <row r="91" ht="18" customHeight="1" s="127">
      <c r="A91" s="163">
        <f>IF($AE91="","",IF($AE91&lt;=1200,IF(INDEX(对接源_01水果!$B$4:$B$1203,$AE91)=0,"",INDEX(对接源_01水果!$B$4:$B$1203,$AE91)),IF(INDEX(对接源_02物料!$B$4:$B$1203,$AE91-1200)=0,"",INDEX(对接源_02物料!$B$4:$B$1203,$AE91-1200))))</f>
      </c>
      <c r="B91" s="61">
        <f>IF($AE91="","",IF($AE91&lt;=1200,IF(INDEX(对接源_01水果!$E$4:$E$1203,$AE91)=0,"",INDEX(对接源_01水果!$E$4:$E$1203,$AE91)),IF(INDEX(对接源_02物料!$E$4:$E$1203,$AE91-1200)=0,"",INDEX(对接源_02物料!$E$4:$E$1203,$AE91-1200))))</f>
      </c>
      <c r="C91" s="122">
        <f>IF($AE91="","",IF($AE91&lt;=1200,IF(INDEX(对接源_01水果!$F$4:$F$1203,$AE91)=0,"",INDEX(对接源_01水果!$F$4:$F$1203,$AE91)),IF(INDEX(对接源_02物料!$F$4:$F$1203,$AE91-1200)=0,"",INDEX(对接源_02物料!$F$4:$F$1203,$AE91-1200))))</f>
      </c>
      <c r="D91" s="61">
        <f>IF($AE91="","",IF(IF($AE91&lt;=1200,IF(INDEX(对接源_01水果!$G$4:$G$1203,$AE91)=0,"",INDEX(对接源_01水果!$G$4:$G$1203,$AE91)),IF(INDEX(对接源_02物料!$G$4:$G$1203,$AE91-1200)=0,"",INDEX(对接源_02物料!$G$4:$G$1203,$AE91-1200)))="",IF($AE91&lt;=1200,IF(INDEX(对接源_01水果!$D$4:$D$1203,$AE91)=0,"",INDEX(对接源_01水果!$D$4:$D$1203,$AE91)),IF(INDEX(对接源_02物料!$D$4:$D$1203,$AE91-1200)=0,"",INDEX(对接源_02物料!$D$4:$D$1203,$AE91-1200))),IF($AE91&lt;=1200,IF(INDEX(对接源_01水果!$G$4:$G$1203,$AE91)=0,"",INDEX(对接源_01水果!$G$4:$G$1203,$AE91)),IF(INDEX(对接源_02物料!$G$4:$G$1203,$AE91-1200)=0,"",INDEX(对接源_02物料!$G$4:$G$1203,$AE91-1200)))))</f>
      </c>
      <c r="E91" s="173">
        <f>IF($AE91="","",IF($AE91&lt;=1200,IF(INDEX(对接源_01水果!$H$4:$H$1203,$AE91)=0,"",INDEX(对接源_01水果!$H$4:$H$1203,$AE91)),IF(INDEX(对接源_02物料!$H$4:$H$1203,$AE91-1200)=0,"",INDEX(对接源_02物料!$H$4:$H$1203,$AE91-1200))))</f>
      </c>
      <c r="F91" s="61">
        <f>IF($AE91="","",IF($AE91&lt;=1200,IF(INDEX(对接源_01水果!$I$4:$I$1203,$AE91)=0,"",INDEX(对接源_01水果!$I$4:$I$1203,$AE91)),IF(INDEX(对接源_02物料!$I$4:$I$1203,$AE91-1200)=0,"",INDEX(对接源_02物料!$I$4:$I$1203,$AE91-1200))))</f>
      </c>
      <c r="G91" s="173">
        <f>IF($AE91="","",IF(IF($AE91&lt;=1200,N(INDEX(对接源_01水果!$H$4:$H$1203,$AE91)),N(INDEX(对接源_02物料!$H$4:$H$1203,$AE91-1200)))=0,"",ROUND(IF($AE91&lt;=1200,N(INDEX(对接源_01水果!$K$4:$K$1203,$AE91)),N(INDEX(对接源_02物料!$K$4:$K$1203,$AE91-1200)))/IF($AE91&lt;=1200,N(INDEX(对接源_01水果!$H$4:$H$1203,$AE91)),N(INDEX(对接源_02物料!$H$4:$H$1203,$AE91-1200))),2)))</f>
      </c>
      <c r="H91" s="173">
        <f>IF($AE91="","",IF($AE91&lt;=1200,IF(INDEX(对接源_01水果!$K$4:$K$1203,$AE91)=0,"",INDEX(对接源_01水果!$K$4:$K$1203,$AE91)),IF(INDEX(对接源_02物料!$K$4:$K$1203,$AE91-1200)=0,"",INDEX(对接源_02物料!$K$4:$K$1203,$AE91-1200))))</f>
      </c>
      <c r="I91" s="61">
        <f>IF($AE91="","",IF($AE91&lt;=1200,IF(INDEX(对接源_01水果!$L$4:$L$1203,$AE91)=0,"",INDEX(对接源_01水果!$L$4:$L$1203,$AE91)),IF(INDEX(对接源_02物料!$L$4:$L$1203,$AE91-1200)=0,"",INDEX(对接源_02物料!$L$4:$L$1203,$AE91-1200))))</f>
      </c>
      <c r="J91" s="122">
        <f>IF($AE91="","",IF($AE91&lt;=1200,IF(INDEX(对接源_01水果!$M$4:$M$1203,$AE91)=0,"",INDEX(对接源_01水果!$M$4:$M$1203,$AE91)),IF(INDEX(对接源_02物料!$M$4:$M$1203,$AE91-1200)=0,"",INDEX(对接源_02物料!$M$4:$M$1203,$AE91-1200))))</f>
      </c>
      <c r="AE91" s="128">
        <f>IFERROR(MATCH(86,_自动清单!$AS$4:$AS$2403,0),"")</f>
      </c>
    </row>
    <row r="92" ht="18" customHeight="1" s="127">
      <c r="A92" s="163">
        <f>IF($AE92="","",IF($AE92&lt;=1200,IF(INDEX(对接源_01水果!$B$4:$B$1203,$AE92)=0,"",INDEX(对接源_01水果!$B$4:$B$1203,$AE92)),IF(INDEX(对接源_02物料!$B$4:$B$1203,$AE92-1200)=0,"",INDEX(对接源_02物料!$B$4:$B$1203,$AE92-1200))))</f>
      </c>
      <c r="B92" s="61">
        <f>IF($AE92="","",IF($AE92&lt;=1200,IF(INDEX(对接源_01水果!$E$4:$E$1203,$AE92)=0,"",INDEX(对接源_01水果!$E$4:$E$1203,$AE92)),IF(INDEX(对接源_02物料!$E$4:$E$1203,$AE92-1200)=0,"",INDEX(对接源_02物料!$E$4:$E$1203,$AE92-1200))))</f>
      </c>
      <c r="C92" s="122">
        <f>IF($AE92="","",IF($AE92&lt;=1200,IF(INDEX(对接源_01水果!$F$4:$F$1203,$AE92)=0,"",INDEX(对接源_01水果!$F$4:$F$1203,$AE92)),IF(INDEX(对接源_02物料!$F$4:$F$1203,$AE92-1200)=0,"",INDEX(对接源_02物料!$F$4:$F$1203,$AE92-1200))))</f>
      </c>
      <c r="D92" s="61">
        <f>IF($AE92="","",IF(IF($AE92&lt;=1200,IF(INDEX(对接源_01水果!$G$4:$G$1203,$AE92)=0,"",INDEX(对接源_01水果!$G$4:$G$1203,$AE92)),IF(INDEX(对接源_02物料!$G$4:$G$1203,$AE92-1200)=0,"",INDEX(对接源_02物料!$G$4:$G$1203,$AE92-1200)))="",IF($AE92&lt;=1200,IF(INDEX(对接源_01水果!$D$4:$D$1203,$AE92)=0,"",INDEX(对接源_01水果!$D$4:$D$1203,$AE92)),IF(INDEX(对接源_02物料!$D$4:$D$1203,$AE92-1200)=0,"",INDEX(对接源_02物料!$D$4:$D$1203,$AE92-1200))),IF($AE92&lt;=1200,IF(INDEX(对接源_01水果!$G$4:$G$1203,$AE92)=0,"",INDEX(对接源_01水果!$G$4:$G$1203,$AE92)),IF(INDEX(对接源_02物料!$G$4:$G$1203,$AE92-1200)=0,"",INDEX(对接源_02物料!$G$4:$G$1203,$AE92-1200)))))</f>
      </c>
      <c r="E92" s="173">
        <f>IF($AE92="","",IF($AE92&lt;=1200,IF(INDEX(对接源_01水果!$H$4:$H$1203,$AE92)=0,"",INDEX(对接源_01水果!$H$4:$H$1203,$AE92)),IF(INDEX(对接源_02物料!$H$4:$H$1203,$AE92-1200)=0,"",INDEX(对接源_02物料!$H$4:$H$1203,$AE92-1200))))</f>
      </c>
      <c r="F92" s="61">
        <f>IF($AE92="","",IF($AE92&lt;=1200,IF(INDEX(对接源_01水果!$I$4:$I$1203,$AE92)=0,"",INDEX(对接源_01水果!$I$4:$I$1203,$AE92)),IF(INDEX(对接源_02物料!$I$4:$I$1203,$AE92-1200)=0,"",INDEX(对接源_02物料!$I$4:$I$1203,$AE92-1200))))</f>
      </c>
      <c r="G92" s="173">
        <f>IF($AE92="","",IF(IF($AE92&lt;=1200,N(INDEX(对接源_01水果!$H$4:$H$1203,$AE92)),N(INDEX(对接源_02物料!$H$4:$H$1203,$AE92-1200)))=0,"",ROUND(IF($AE92&lt;=1200,N(INDEX(对接源_01水果!$K$4:$K$1203,$AE92)),N(INDEX(对接源_02物料!$K$4:$K$1203,$AE92-1200)))/IF($AE92&lt;=1200,N(INDEX(对接源_01水果!$H$4:$H$1203,$AE92)),N(INDEX(对接源_02物料!$H$4:$H$1203,$AE92-1200))),2)))</f>
      </c>
      <c r="H92" s="173">
        <f>IF($AE92="","",IF($AE92&lt;=1200,IF(INDEX(对接源_01水果!$K$4:$K$1203,$AE92)=0,"",INDEX(对接源_01水果!$K$4:$K$1203,$AE92)),IF(INDEX(对接源_02物料!$K$4:$K$1203,$AE92-1200)=0,"",INDEX(对接源_02物料!$K$4:$K$1203,$AE92-1200))))</f>
      </c>
      <c r="I92" s="61">
        <f>IF($AE92="","",IF($AE92&lt;=1200,IF(INDEX(对接源_01水果!$L$4:$L$1203,$AE92)=0,"",INDEX(对接源_01水果!$L$4:$L$1203,$AE92)),IF(INDEX(对接源_02物料!$L$4:$L$1203,$AE92-1200)=0,"",INDEX(对接源_02物料!$L$4:$L$1203,$AE92-1200))))</f>
      </c>
      <c r="J92" s="122">
        <f>IF($AE92="","",IF($AE92&lt;=1200,IF(INDEX(对接源_01水果!$M$4:$M$1203,$AE92)=0,"",INDEX(对接源_01水果!$M$4:$M$1203,$AE92)),IF(INDEX(对接源_02物料!$M$4:$M$1203,$AE92-1200)=0,"",INDEX(对接源_02物料!$M$4:$M$1203,$AE92-1200))))</f>
      </c>
      <c r="AE92" s="128">
        <f>IFERROR(MATCH(87,_自动清单!$AS$4:$AS$2403,0),"")</f>
      </c>
    </row>
    <row r="93" ht="18" customHeight="1" s="127">
      <c r="A93" s="163">
        <f>IF($AE93="","",IF($AE93&lt;=1200,IF(INDEX(对接源_01水果!$B$4:$B$1203,$AE93)=0,"",INDEX(对接源_01水果!$B$4:$B$1203,$AE93)),IF(INDEX(对接源_02物料!$B$4:$B$1203,$AE93-1200)=0,"",INDEX(对接源_02物料!$B$4:$B$1203,$AE93-1200))))</f>
      </c>
      <c r="B93" s="61">
        <f>IF($AE93="","",IF($AE93&lt;=1200,IF(INDEX(对接源_01水果!$E$4:$E$1203,$AE93)=0,"",INDEX(对接源_01水果!$E$4:$E$1203,$AE93)),IF(INDEX(对接源_02物料!$E$4:$E$1203,$AE93-1200)=0,"",INDEX(对接源_02物料!$E$4:$E$1203,$AE93-1200))))</f>
      </c>
      <c r="C93" s="122">
        <f>IF($AE93="","",IF($AE93&lt;=1200,IF(INDEX(对接源_01水果!$F$4:$F$1203,$AE93)=0,"",INDEX(对接源_01水果!$F$4:$F$1203,$AE93)),IF(INDEX(对接源_02物料!$F$4:$F$1203,$AE93-1200)=0,"",INDEX(对接源_02物料!$F$4:$F$1203,$AE93-1200))))</f>
      </c>
      <c r="D93" s="61">
        <f>IF($AE93="","",IF(IF($AE93&lt;=1200,IF(INDEX(对接源_01水果!$G$4:$G$1203,$AE93)=0,"",INDEX(对接源_01水果!$G$4:$G$1203,$AE93)),IF(INDEX(对接源_02物料!$G$4:$G$1203,$AE93-1200)=0,"",INDEX(对接源_02物料!$G$4:$G$1203,$AE93-1200)))="",IF($AE93&lt;=1200,IF(INDEX(对接源_01水果!$D$4:$D$1203,$AE93)=0,"",INDEX(对接源_01水果!$D$4:$D$1203,$AE93)),IF(INDEX(对接源_02物料!$D$4:$D$1203,$AE93-1200)=0,"",INDEX(对接源_02物料!$D$4:$D$1203,$AE93-1200))),IF($AE93&lt;=1200,IF(INDEX(对接源_01水果!$G$4:$G$1203,$AE93)=0,"",INDEX(对接源_01水果!$G$4:$G$1203,$AE93)),IF(INDEX(对接源_02物料!$G$4:$G$1203,$AE93-1200)=0,"",INDEX(对接源_02物料!$G$4:$G$1203,$AE93-1200)))))</f>
      </c>
      <c r="E93" s="173">
        <f>IF($AE93="","",IF($AE93&lt;=1200,IF(INDEX(对接源_01水果!$H$4:$H$1203,$AE93)=0,"",INDEX(对接源_01水果!$H$4:$H$1203,$AE93)),IF(INDEX(对接源_02物料!$H$4:$H$1203,$AE93-1200)=0,"",INDEX(对接源_02物料!$H$4:$H$1203,$AE93-1200))))</f>
      </c>
      <c r="F93" s="61">
        <f>IF($AE93="","",IF($AE93&lt;=1200,IF(INDEX(对接源_01水果!$I$4:$I$1203,$AE93)=0,"",INDEX(对接源_01水果!$I$4:$I$1203,$AE93)),IF(INDEX(对接源_02物料!$I$4:$I$1203,$AE93-1200)=0,"",INDEX(对接源_02物料!$I$4:$I$1203,$AE93-1200))))</f>
      </c>
      <c r="G93" s="173">
        <f>IF($AE93="","",IF(IF($AE93&lt;=1200,N(INDEX(对接源_01水果!$H$4:$H$1203,$AE93)),N(INDEX(对接源_02物料!$H$4:$H$1203,$AE93-1200)))=0,"",ROUND(IF($AE93&lt;=1200,N(INDEX(对接源_01水果!$K$4:$K$1203,$AE93)),N(INDEX(对接源_02物料!$K$4:$K$1203,$AE93-1200)))/IF($AE93&lt;=1200,N(INDEX(对接源_01水果!$H$4:$H$1203,$AE93)),N(INDEX(对接源_02物料!$H$4:$H$1203,$AE93-1200))),2)))</f>
      </c>
      <c r="H93" s="173">
        <f>IF($AE93="","",IF($AE93&lt;=1200,IF(INDEX(对接源_01水果!$K$4:$K$1203,$AE93)=0,"",INDEX(对接源_01水果!$K$4:$K$1203,$AE93)),IF(INDEX(对接源_02物料!$K$4:$K$1203,$AE93-1200)=0,"",INDEX(对接源_02物料!$K$4:$K$1203,$AE93-1200))))</f>
      </c>
      <c r="I93" s="61">
        <f>IF($AE93="","",IF($AE93&lt;=1200,IF(INDEX(对接源_01水果!$L$4:$L$1203,$AE93)=0,"",INDEX(对接源_01水果!$L$4:$L$1203,$AE93)),IF(INDEX(对接源_02物料!$L$4:$L$1203,$AE93-1200)=0,"",INDEX(对接源_02物料!$L$4:$L$1203,$AE93-1200))))</f>
      </c>
      <c r="J93" s="122">
        <f>IF($AE93="","",IF($AE93&lt;=1200,IF(INDEX(对接源_01水果!$M$4:$M$1203,$AE93)=0,"",INDEX(对接源_01水果!$M$4:$M$1203,$AE93)),IF(INDEX(对接源_02物料!$M$4:$M$1203,$AE93-1200)=0,"",INDEX(对接源_02物料!$M$4:$M$1203,$AE93-1200))))</f>
      </c>
      <c r="AE93" s="128">
        <f>IFERROR(MATCH(88,_自动清单!$AS$4:$AS$2403,0),"")</f>
      </c>
    </row>
    <row r="94" ht="18" customHeight="1" s="127">
      <c r="A94" s="163">
        <f>IF($AE94="","",IF($AE94&lt;=1200,IF(INDEX(对接源_01水果!$B$4:$B$1203,$AE94)=0,"",INDEX(对接源_01水果!$B$4:$B$1203,$AE94)),IF(INDEX(对接源_02物料!$B$4:$B$1203,$AE94-1200)=0,"",INDEX(对接源_02物料!$B$4:$B$1203,$AE94-1200))))</f>
      </c>
      <c r="B94" s="61">
        <f>IF($AE94="","",IF($AE94&lt;=1200,IF(INDEX(对接源_01水果!$E$4:$E$1203,$AE94)=0,"",INDEX(对接源_01水果!$E$4:$E$1203,$AE94)),IF(INDEX(对接源_02物料!$E$4:$E$1203,$AE94-1200)=0,"",INDEX(对接源_02物料!$E$4:$E$1203,$AE94-1200))))</f>
      </c>
      <c r="C94" s="122">
        <f>IF($AE94="","",IF($AE94&lt;=1200,IF(INDEX(对接源_01水果!$F$4:$F$1203,$AE94)=0,"",INDEX(对接源_01水果!$F$4:$F$1203,$AE94)),IF(INDEX(对接源_02物料!$F$4:$F$1203,$AE94-1200)=0,"",INDEX(对接源_02物料!$F$4:$F$1203,$AE94-1200))))</f>
      </c>
      <c r="D94" s="61">
        <f>IF($AE94="","",IF(IF($AE94&lt;=1200,IF(INDEX(对接源_01水果!$G$4:$G$1203,$AE94)=0,"",INDEX(对接源_01水果!$G$4:$G$1203,$AE94)),IF(INDEX(对接源_02物料!$G$4:$G$1203,$AE94-1200)=0,"",INDEX(对接源_02物料!$G$4:$G$1203,$AE94-1200)))="",IF($AE94&lt;=1200,IF(INDEX(对接源_01水果!$D$4:$D$1203,$AE94)=0,"",INDEX(对接源_01水果!$D$4:$D$1203,$AE94)),IF(INDEX(对接源_02物料!$D$4:$D$1203,$AE94-1200)=0,"",INDEX(对接源_02物料!$D$4:$D$1203,$AE94-1200))),IF($AE94&lt;=1200,IF(INDEX(对接源_01水果!$G$4:$G$1203,$AE94)=0,"",INDEX(对接源_01水果!$G$4:$G$1203,$AE94)),IF(INDEX(对接源_02物料!$G$4:$G$1203,$AE94-1200)=0,"",INDEX(对接源_02物料!$G$4:$G$1203,$AE94-1200)))))</f>
      </c>
      <c r="E94" s="173">
        <f>IF($AE94="","",IF($AE94&lt;=1200,IF(INDEX(对接源_01水果!$H$4:$H$1203,$AE94)=0,"",INDEX(对接源_01水果!$H$4:$H$1203,$AE94)),IF(INDEX(对接源_02物料!$H$4:$H$1203,$AE94-1200)=0,"",INDEX(对接源_02物料!$H$4:$H$1203,$AE94-1200))))</f>
      </c>
      <c r="F94" s="61">
        <f>IF($AE94="","",IF($AE94&lt;=1200,IF(INDEX(对接源_01水果!$I$4:$I$1203,$AE94)=0,"",INDEX(对接源_01水果!$I$4:$I$1203,$AE94)),IF(INDEX(对接源_02物料!$I$4:$I$1203,$AE94-1200)=0,"",INDEX(对接源_02物料!$I$4:$I$1203,$AE94-1200))))</f>
      </c>
      <c r="G94" s="173">
        <f>IF($AE94="","",IF(IF($AE94&lt;=1200,N(INDEX(对接源_01水果!$H$4:$H$1203,$AE94)),N(INDEX(对接源_02物料!$H$4:$H$1203,$AE94-1200)))=0,"",ROUND(IF($AE94&lt;=1200,N(INDEX(对接源_01水果!$K$4:$K$1203,$AE94)),N(INDEX(对接源_02物料!$K$4:$K$1203,$AE94-1200)))/IF($AE94&lt;=1200,N(INDEX(对接源_01水果!$H$4:$H$1203,$AE94)),N(INDEX(对接源_02物料!$H$4:$H$1203,$AE94-1200))),2)))</f>
      </c>
      <c r="H94" s="173">
        <f>IF($AE94="","",IF($AE94&lt;=1200,IF(INDEX(对接源_01水果!$K$4:$K$1203,$AE94)=0,"",INDEX(对接源_01水果!$K$4:$K$1203,$AE94)),IF(INDEX(对接源_02物料!$K$4:$K$1203,$AE94-1200)=0,"",INDEX(对接源_02物料!$K$4:$K$1203,$AE94-1200))))</f>
      </c>
      <c r="I94" s="61">
        <f>IF($AE94="","",IF($AE94&lt;=1200,IF(INDEX(对接源_01水果!$L$4:$L$1203,$AE94)=0,"",INDEX(对接源_01水果!$L$4:$L$1203,$AE94)),IF(INDEX(对接源_02物料!$L$4:$L$1203,$AE94-1200)=0,"",INDEX(对接源_02物料!$L$4:$L$1203,$AE94-1200))))</f>
      </c>
      <c r="J94" s="122">
        <f>IF($AE94="","",IF($AE94&lt;=1200,IF(INDEX(对接源_01水果!$M$4:$M$1203,$AE94)=0,"",INDEX(对接源_01水果!$M$4:$M$1203,$AE94)),IF(INDEX(对接源_02物料!$M$4:$M$1203,$AE94-1200)=0,"",INDEX(对接源_02物料!$M$4:$M$1203,$AE94-1200))))</f>
      </c>
      <c r="AE94" s="128">
        <f>IFERROR(MATCH(89,_自动清单!$AS$4:$AS$2403,0),"")</f>
      </c>
    </row>
    <row r="95" ht="18" customHeight="1" s="127">
      <c r="A95" s="163">
        <f>IF($AE95="","",IF($AE95&lt;=1200,IF(INDEX(对接源_01水果!$B$4:$B$1203,$AE95)=0,"",INDEX(对接源_01水果!$B$4:$B$1203,$AE95)),IF(INDEX(对接源_02物料!$B$4:$B$1203,$AE95-1200)=0,"",INDEX(对接源_02物料!$B$4:$B$1203,$AE95-1200))))</f>
      </c>
      <c r="B95" s="61">
        <f>IF($AE95="","",IF($AE95&lt;=1200,IF(INDEX(对接源_01水果!$E$4:$E$1203,$AE95)=0,"",INDEX(对接源_01水果!$E$4:$E$1203,$AE95)),IF(INDEX(对接源_02物料!$E$4:$E$1203,$AE95-1200)=0,"",INDEX(对接源_02物料!$E$4:$E$1203,$AE95-1200))))</f>
      </c>
      <c r="C95" s="122">
        <f>IF($AE95="","",IF($AE95&lt;=1200,IF(INDEX(对接源_01水果!$F$4:$F$1203,$AE95)=0,"",INDEX(对接源_01水果!$F$4:$F$1203,$AE95)),IF(INDEX(对接源_02物料!$F$4:$F$1203,$AE95-1200)=0,"",INDEX(对接源_02物料!$F$4:$F$1203,$AE95-1200))))</f>
      </c>
      <c r="D95" s="61">
        <f>IF($AE95="","",IF(IF($AE95&lt;=1200,IF(INDEX(对接源_01水果!$G$4:$G$1203,$AE95)=0,"",INDEX(对接源_01水果!$G$4:$G$1203,$AE95)),IF(INDEX(对接源_02物料!$G$4:$G$1203,$AE95-1200)=0,"",INDEX(对接源_02物料!$G$4:$G$1203,$AE95-1200)))="",IF($AE95&lt;=1200,IF(INDEX(对接源_01水果!$D$4:$D$1203,$AE95)=0,"",INDEX(对接源_01水果!$D$4:$D$1203,$AE95)),IF(INDEX(对接源_02物料!$D$4:$D$1203,$AE95-1200)=0,"",INDEX(对接源_02物料!$D$4:$D$1203,$AE95-1200))),IF($AE95&lt;=1200,IF(INDEX(对接源_01水果!$G$4:$G$1203,$AE95)=0,"",INDEX(对接源_01水果!$G$4:$G$1203,$AE95)),IF(INDEX(对接源_02物料!$G$4:$G$1203,$AE95-1200)=0,"",INDEX(对接源_02物料!$G$4:$G$1203,$AE95-1200)))))</f>
      </c>
      <c r="E95" s="173">
        <f>IF($AE95="","",IF($AE95&lt;=1200,IF(INDEX(对接源_01水果!$H$4:$H$1203,$AE95)=0,"",INDEX(对接源_01水果!$H$4:$H$1203,$AE95)),IF(INDEX(对接源_02物料!$H$4:$H$1203,$AE95-1200)=0,"",INDEX(对接源_02物料!$H$4:$H$1203,$AE95-1200))))</f>
      </c>
      <c r="F95" s="61">
        <f>IF($AE95="","",IF($AE95&lt;=1200,IF(INDEX(对接源_01水果!$I$4:$I$1203,$AE95)=0,"",INDEX(对接源_01水果!$I$4:$I$1203,$AE95)),IF(INDEX(对接源_02物料!$I$4:$I$1203,$AE95-1200)=0,"",INDEX(对接源_02物料!$I$4:$I$1203,$AE95-1200))))</f>
      </c>
      <c r="G95" s="173">
        <f>IF($AE95="","",IF(IF($AE95&lt;=1200,N(INDEX(对接源_01水果!$H$4:$H$1203,$AE95)),N(INDEX(对接源_02物料!$H$4:$H$1203,$AE95-1200)))=0,"",ROUND(IF($AE95&lt;=1200,N(INDEX(对接源_01水果!$K$4:$K$1203,$AE95)),N(INDEX(对接源_02物料!$K$4:$K$1203,$AE95-1200)))/IF($AE95&lt;=1200,N(INDEX(对接源_01水果!$H$4:$H$1203,$AE95)),N(INDEX(对接源_02物料!$H$4:$H$1203,$AE95-1200))),2)))</f>
      </c>
      <c r="H95" s="173">
        <f>IF($AE95="","",IF($AE95&lt;=1200,IF(INDEX(对接源_01水果!$K$4:$K$1203,$AE95)=0,"",INDEX(对接源_01水果!$K$4:$K$1203,$AE95)),IF(INDEX(对接源_02物料!$K$4:$K$1203,$AE95-1200)=0,"",INDEX(对接源_02物料!$K$4:$K$1203,$AE95-1200))))</f>
      </c>
      <c r="I95" s="61">
        <f>IF($AE95="","",IF($AE95&lt;=1200,IF(INDEX(对接源_01水果!$L$4:$L$1203,$AE95)=0,"",INDEX(对接源_01水果!$L$4:$L$1203,$AE95)),IF(INDEX(对接源_02物料!$L$4:$L$1203,$AE95-1200)=0,"",INDEX(对接源_02物料!$L$4:$L$1203,$AE95-1200))))</f>
      </c>
      <c r="J95" s="122">
        <f>IF($AE95="","",IF($AE95&lt;=1200,IF(INDEX(对接源_01水果!$M$4:$M$1203,$AE95)=0,"",INDEX(对接源_01水果!$M$4:$M$1203,$AE95)),IF(INDEX(对接源_02物料!$M$4:$M$1203,$AE95-1200)=0,"",INDEX(对接源_02物料!$M$4:$M$1203,$AE95-1200))))</f>
      </c>
      <c r="AE95" s="128">
        <f>IFERROR(MATCH(90,_自动清单!$AS$4:$AS$2403,0),"")</f>
      </c>
    </row>
    <row r="96" ht="18" customHeight="1" s="127">
      <c r="A96" s="163">
        <f>IF($AE96="","",IF($AE96&lt;=1200,IF(INDEX(对接源_01水果!$B$4:$B$1203,$AE96)=0,"",INDEX(对接源_01水果!$B$4:$B$1203,$AE96)),IF(INDEX(对接源_02物料!$B$4:$B$1203,$AE96-1200)=0,"",INDEX(对接源_02物料!$B$4:$B$1203,$AE96-1200))))</f>
      </c>
      <c r="B96" s="61">
        <f>IF($AE96="","",IF($AE96&lt;=1200,IF(INDEX(对接源_01水果!$E$4:$E$1203,$AE96)=0,"",INDEX(对接源_01水果!$E$4:$E$1203,$AE96)),IF(INDEX(对接源_02物料!$E$4:$E$1203,$AE96-1200)=0,"",INDEX(对接源_02物料!$E$4:$E$1203,$AE96-1200))))</f>
      </c>
      <c r="C96" s="122">
        <f>IF($AE96="","",IF($AE96&lt;=1200,IF(INDEX(对接源_01水果!$F$4:$F$1203,$AE96)=0,"",INDEX(对接源_01水果!$F$4:$F$1203,$AE96)),IF(INDEX(对接源_02物料!$F$4:$F$1203,$AE96-1200)=0,"",INDEX(对接源_02物料!$F$4:$F$1203,$AE96-1200))))</f>
      </c>
      <c r="D96" s="61">
        <f>IF($AE96="","",IF(IF($AE96&lt;=1200,IF(INDEX(对接源_01水果!$G$4:$G$1203,$AE96)=0,"",INDEX(对接源_01水果!$G$4:$G$1203,$AE96)),IF(INDEX(对接源_02物料!$G$4:$G$1203,$AE96-1200)=0,"",INDEX(对接源_02物料!$G$4:$G$1203,$AE96-1200)))="",IF($AE96&lt;=1200,IF(INDEX(对接源_01水果!$D$4:$D$1203,$AE96)=0,"",INDEX(对接源_01水果!$D$4:$D$1203,$AE96)),IF(INDEX(对接源_02物料!$D$4:$D$1203,$AE96-1200)=0,"",INDEX(对接源_02物料!$D$4:$D$1203,$AE96-1200))),IF($AE96&lt;=1200,IF(INDEX(对接源_01水果!$G$4:$G$1203,$AE96)=0,"",INDEX(对接源_01水果!$G$4:$G$1203,$AE96)),IF(INDEX(对接源_02物料!$G$4:$G$1203,$AE96-1200)=0,"",INDEX(对接源_02物料!$G$4:$G$1203,$AE96-1200)))))</f>
      </c>
      <c r="E96" s="173">
        <f>IF($AE96="","",IF($AE96&lt;=1200,IF(INDEX(对接源_01水果!$H$4:$H$1203,$AE96)=0,"",INDEX(对接源_01水果!$H$4:$H$1203,$AE96)),IF(INDEX(对接源_02物料!$H$4:$H$1203,$AE96-1200)=0,"",INDEX(对接源_02物料!$H$4:$H$1203,$AE96-1200))))</f>
      </c>
      <c r="F96" s="61">
        <f>IF($AE96="","",IF($AE96&lt;=1200,IF(INDEX(对接源_01水果!$I$4:$I$1203,$AE96)=0,"",INDEX(对接源_01水果!$I$4:$I$1203,$AE96)),IF(INDEX(对接源_02物料!$I$4:$I$1203,$AE96-1200)=0,"",INDEX(对接源_02物料!$I$4:$I$1203,$AE96-1200))))</f>
      </c>
      <c r="G96" s="173">
        <f>IF($AE96="","",IF(IF($AE96&lt;=1200,N(INDEX(对接源_01水果!$H$4:$H$1203,$AE96)),N(INDEX(对接源_02物料!$H$4:$H$1203,$AE96-1200)))=0,"",ROUND(IF($AE96&lt;=1200,N(INDEX(对接源_01水果!$K$4:$K$1203,$AE96)),N(INDEX(对接源_02物料!$K$4:$K$1203,$AE96-1200)))/IF($AE96&lt;=1200,N(INDEX(对接源_01水果!$H$4:$H$1203,$AE96)),N(INDEX(对接源_02物料!$H$4:$H$1203,$AE96-1200))),2)))</f>
      </c>
      <c r="H96" s="173">
        <f>IF($AE96="","",IF($AE96&lt;=1200,IF(INDEX(对接源_01水果!$K$4:$K$1203,$AE96)=0,"",INDEX(对接源_01水果!$K$4:$K$1203,$AE96)),IF(INDEX(对接源_02物料!$K$4:$K$1203,$AE96-1200)=0,"",INDEX(对接源_02物料!$K$4:$K$1203,$AE96-1200))))</f>
      </c>
      <c r="I96" s="61">
        <f>IF($AE96="","",IF($AE96&lt;=1200,IF(INDEX(对接源_01水果!$L$4:$L$1203,$AE96)=0,"",INDEX(对接源_01水果!$L$4:$L$1203,$AE96)),IF(INDEX(对接源_02物料!$L$4:$L$1203,$AE96-1200)=0,"",INDEX(对接源_02物料!$L$4:$L$1203,$AE96-1200))))</f>
      </c>
      <c r="J96" s="122">
        <f>IF($AE96="","",IF($AE96&lt;=1200,IF(INDEX(对接源_01水果!$M$4:$M$1203,$AE96)=0,"",INDEX(对接源_01水果!$M$4:$M$1203,$AE96)),IF(INDEX(对接源_02物料!$M$4:$M$1203,$AE96-1200)=0,"",INDEX(对接源_02物料!$M$4:$M$1203,$AE96-1200))))</f>
      </c>
      <c r="AE96" s="128">
        <f>IFERROR(MATCH(91,_自动清单!$AS$4:$AS$2403,0),"")</f>
      </c>
    </row>
    <row r="97" ht="18" customHeight="1" s="127">
      <c r="A97" s="163">
        <f>IF($AE97="","",IF($AE97&lt;=1200,IF(INDEX(对接源_01水果!$B$4:$B$1203,$AE97)=0,"",INDEX(对接源_01水果!$B$4:$B$1203,$AE97)),IF(INDEX(对接源_02物料!$B$4:$B$1203,$AE97-1200)=0,"",INDEX(对接源_02物料!$B$4:$B$1203,$AE97-1200))))</f>
      </c>
      <c r="B97" s="61">
        <f>IF($AE97="","",IF($AE97&lt;=1200,IF(INDEX(对接源_01水果!$E$4:$E$1203,$AE97)=0,"",INDEX(对接源_01水果!$E$4:$E$1203,$AE97)),IF(INDEX(对接源_02物料!$E$4:$E$1203,$AE97-1200)=0,"",INDEX(对接源_02物料!$E$4:$E$1203,$AE97-1200))))</f>
      </c>
      <c r="C97" s="122">
        <f>IF($AE97="","",IF($AE97&lt;=1200,IF(INDEX(对接源_01水果!$F$4:$F$1203,$AE97)=0,"",INDEX(对接源_01水果!$F$4:$F$1203,$AE97)),IF(INDEX(对接源_02物料!$F$4:$F$1203,$AE97-1200)=0,"",INDEX(对接源_02物料!$F$4:$F$1203,$AE97-1200))))</f>
      </c>
      <c r="D97" s="61">
        <f>IF($AE97="","",IF(IF($AE97&lt;=1200,IF(INDEX(对接源_01水果!$G$4:$G$1203,$AE97)=0,"",INDEX(对接源_01水果!$G$4:$G$1203,$AE97)),IF(INDEX(对接源_02物料!$G$4:$G$1203,$AE97-1200)=0,"",INDEX(对接源_02物料!$G$4:$G$1203,$AE97-1200)))="",IF($AE97&lt;=1200,IF(INDEX(对接源_01水果!$D$4:$D$1203,$AE97)=0,"",INDEX(对接源_01水果!$D$4:$D$1203,$AE97)),IF(INDEX(对接源_02物料!$D$4:$D$1203,$AE97-1200)=0,"",INDEX(对接源_02物料!$D$4:$D$1203,$AE97-1200))),IF($AE97&lt;=1200,IF(INDEX(对接源_01水果!$G$4:$G$1203,$AE97)=0,"",INDEX(对接源_01水果!$G$4:$G$1203,$AE97)),IF(INDEX(对接源_02物料!$G$4:$G$1203,$AE97-1200)=0,"",INDEX(对接源_02物料!$G$4:$G$1203,$AE97-1200)))))</f>
      </c>
      <c r="E97" s="173">
        <f>IF($AE97="","",IF($AE97&lt;=1200,IF(INDEX(对接源_01水果!$H$4:$H$1203,$AE97)=0,"",INDEX(对接源_01水果!$H$4:$H$1203,$AE97)),IF(INDEX(对接源_02物料!$H$4:$H$1203,$AE97-1200)=0,"",INDEX(对接源_02物料!$H$4:$H$1203,$AE97-1200))))</f>
      </c>
      <c r="F97" s="61">
        <f>IF($AE97="","",IF($AE97&lt;=1200,IF(INDEX(对接源_01水果!$I$4:$I$1203,$AE97)=0,"",INDEX(对接源_01水果!$I$4:$I$1203,$AE97)),IF(INDEX(对接源_02物料!$I$4:$I$1203,$AE97-1200)=0,"",INDEX(对接源_02物料!$I$4:$I$1203,$AE97-1200))))</f>
      </c>
      <c r="G97" s="173">
        <f>IF($AE97="","",IF(IF($AE97&lt;=1200,N(INDEX(对接源_01水果!$H$4:$H$1203,$AE97)),N(INDEX(对接源_02物料!$H$4:$H$1203,$AE97-1200)))=0,"",ROUND(IF($AE97&lt;=1200,N(INDEX(对接源_01水果!$K$4:$K$1203,$AE97)),N(INDEX(对接源_02物料!$K$4:$K$1203,$AE97-1200)))/IF($AE97&lt;=1200,N(INDEX(对接源_01水果!$H$4:$H$1203,$AE97)),N(INDEX(对接源_02物料!$H$4:$H$1203,$AE97-1200))),2)))</f>
      </c>
      <c r="H97" s="173">
        <f>IF($AE97="","",IF($AE97&lt;=1200,IF(INDEX(对接源_01水果!$K$4:$K$1203,$AE97)=0,"",INDEX(对接源_01水果!$K$4:$K$1203,$AE97)),IF(INDEX(对接源_02物料!$K$4:$K$1203,$AE97-1200)=0,"",INDEX(对接源_02物料!$K$4:$K$1203,$AE97-1200))))</f>
      </c>
      <c r="I97" s="61">
        <f>IF($AE97="","",IF($AE97&lt;=1200,IF(INDEX(对接源_01水果!$L$4:$L$1203,$AE97)=0,"",INDEX(对接源_01水果!$L$4:$L$1203,$AE97)),IF(INDEX(对接源_02物料!$L$4:$L$1203,$AE97-1200)=0,"",INDEX(对接源_02物料!$L$4:$L$1203,$AE97-1200))))</f>
      </c>
      <c r="J97" s="122">
        <f>IF($AE97="","",IF($AE97&lt;=1200,IF(INDEX(对接源_01水果!$M$4:$M$1203,$AE97)=0,"",INDEX(对接源_01水果!$M$4:$M$1203,$AE97)),IF(INDEX(对接源_02物料!$M$4:$M$1203,$AE97-1200)=0,"",INDEX(对接源_02物料!$M$4:$M$1203,$AE97-1200))))</f>
      </c>
      <c r="AE97" s="128">
        <f>IFERROR(MATCH(92,_自动清单!$AS$4:$AS$2403,0),"")</f>
      </c>
    </row>
    <row r="98" ht="18" customHeight="1" s="127">
      <c r="A98" s="163">
        <f>IF($AE98="","",IF($AE98&lt;=1200,IF(INDEX(对接源_01水果!$B$4:$B$1203,$AE98)=0,"",INDEX(对接源_01水果!$B$4:$B$1203,$AE98)),IF(INDEX(对接源_02物料!$B$4:$B$1203,$AE98-1200)=0,"",INDEX(对接源_02物料!$B$4:$B$1203,$AE98-1200))))</f>
      </c>
      <c r="B98" s="61">
        <f>IF($AE98="","",IF($AE98&lt;=1200,IF(INDEX(对接源_01水果!$E$4:$E$1203,$AE98)=0,"",INDEX(对接源_01水果!$E$4:$E$1203,$AE98)),IF(INDEX(对接源_02物料!$E$4:$E$1203,$AE98-1200)=0,"",INDEX(对接源_02物料!$E$4:$E$1203,$AE98-1200))))</f>
      </c>
      <c r="C98" s="122">
        <f>IF($AE98="","",IF($AE98&lt;=1200,IF(INDEX(对接源_01水果!$F$4:$F$1203,$AE98)=0,"",INDEX(对接源_01水果!$F$4:$F$1203,$AE98)),IF(INDEX(对接源_02物料!$F$4:$F$1203,$AE98-1200)=0,"",INDEX(对接源_02物料!$F$4:$F$1203,$AE98-1200))))</f>
      </c>
      <c r="D98" s="61">
        <f>IF($AE98="","",IF(IF($AE98&lt;=1200,IF(INDEX(对接源_01水果!$G$4:$G$1203,$AE98)=0,"",INDEX(对接源_01水果!$G$4:$G$1203,$AE98)),IF(INDEX(对接源_02物料!$G$4:$G$1203,$AE98-1200)=0,"",INDEX(对接源_02物料!$G$4:$G$1203,$AE98-1200)))="",IF($AE98&lt;=1200,IF(INDEX(对接源_01水果!$D$4:$D$1203,$AE98)=0,"",INDEX(对接源_01水果!$D$4:$D$1203,$AE98)),IF(INDEX(对接源_02物料!$D$4:$D$1203,$AE98-1200)=0,"",INDEX(对接源_02物料!$D$4:$D$1203,$AE98-1200))),IF($AE98&lt;=1200,IF(INDEX(对接源_01水果!$G$4:$G$1203,$AE98)=0,"",INDEX(对接源_01水果!$G$4:$G$1203,$AE98)),IF(INDEX(对接源_02物料!$G$4:$G$1203,$AE98-1200)=0,"",INDEX(对接源_02物料!$G$4:$G$1203,$AE98-1200)))))</f>
      </c>
      <c r="E98" s="173">
        <f>IF($AE98="","",IF($AE98&lt;=1200,IF(INDEX(对接源_01水果!$H$4:$H$1203,$AE98)=0,"",INDEX(对接源_01水果!$H$4:$H$1203,$AE98)),IF(INDEX(对接源_02物料!$H$4:$H$1203,$AE98-1200)=0,"",INDEX(对接源_02物料!$H$4:$H$1203,$AE98-1200))))</f>
      </c>
      <c r="F98" s="61">
        <f>IF($AE98="","",IF($AE98&lt;=1200,IF(INDEX(对接源_01水果!$I$4:$I$1203,$AE98)=0,"",INDEX(对接源_01水果!$I$4:$I$1203,$AE98)),IF(INDEX(对接源_02物料!$I$4:$I$1203,$AE98-1200)=0,"",INDEX(对接源_02物料!$I$4:$I$1203,$AE98-1200))))</f>
      </c>
      <c r="G98" s="173">
        <f>IF($AE98="","",IF(IF($AE98&lt;=1200,N(INDEX(对接源_01水果!$H$4:$H$1203,$AE98)),N(INDEX(对接源_02物料!$H$4:$H$1203,$AE98-1200)))=0,"",ROUND(IF($AE98&lt;=1200,N(INDEX(对接源_01水果!$K$4:$K$1203,$AE98)),N(INDEX(对接源_02物料!$K$4:$K$1203,$AE98-1200)))/IF($AE98&lt;=1200,N(INDEX(对接源_01水果!$H$4:$H$1203,$AE98)),N(INDEX(对接源_02物料!$H$4:$H$1203,$AE98-1200))),2)))</f>
      </c>
      <c r="H98" s="173">
        <f>IF($AE98="","",IF($AE98&lt;=1200,IF(INDEX(对接源_01水果!$K$4:$K$1203,$AE98)=0,"",INDEX(对接源_01水果!$K$4:$K$1203,$AE98)),IF(INDEX(对接源_02物料!$K$4:$K$1203,$AE98-1200)=0,"",INDEX(对接源_02物料!$K$4:$K$1203,$AE98-1200))))</f>
      </c>
      <c r="I98" s="61">
        <f>IF($AE98="","",IF($AE98&lt;=1200,IF(INDEX(对接源_01水果!$L$4:$L$1203,$AE98)=0,"",INDEX(对接源_01水果!$L$4:$L$1203,$AE98)),IF(INDEX(对接源_02物料!$L$4:$L$1203,$AE98-1200)=0,"",INDEX(对接源_02物料!$L$4:$L$1203,$AE98-1200))))</f>
      </c>
      <c r="J98" s="122">
        <f>IF($AE98="","",IF($AE98&lt;=1200,IF(INDEX(对接源_01水果!$M$4:$M$1203,$AE98)=0,"",INDEX(对接源_01水果!$M$4:$M$1203,$AE98)),IF(INDEX(对接源_02物料!$M$4:$M$1203,$AE98-1200)=0,"",INDEX(对接源_02物料!$M$4:$M$1203,$AE98-1200))))</f>
      </c>
      <c r="AE98" s="128">
        <f>IFERROR(MATCH(93,_自动清单!$AS$4:$AS$2403,0),"")</f>
      </c>
    </row>
    <row r="99" ht="18" customHeight="1" s="127">
      <c r="A99" s="163">
        <f>IF($AE99="","",IF($AE99&lt;=1200,IF(INDEX(对接源_01水果!$B$4:$B$1203,$AE99)=0,"",INDEX(对接源_01水果!$B$4:$B$1203,$AE99)),IF(INDEX(对接源_02物料!$B$4:$B$1203,$AE99-1200)=0,"",INDEX(对接源_02物料!$B$4:$B$1203,$AE99-1200))))</f>
      </c>
      <c r="B99" s="61">
        <f>IF($AE99="","",IF($AE99&lt;=1200,IF(INDEX(对接源_01水果!$E$4:$E$1203,$AE99)=0,"",INDEX(对接源_01水果!$E$4:$E$1203,$AE99)),IF(INDEX(对接源_02物料!$E$4:$E$1203,$AE99-1200)=0,"",INDEX(对接源_02物料!$E$4:$E$1203,$AE99-1200))))</f>
      </c>
      <c r="C99" s="122">
        <f>IF($AE99="","",IF($AE99&lt;=1200,IF(INDEX(对接源_01水果!$F$4:$F$1203,$AE99)=0,"",INDEX(对接源_01水果!$F$4:$F$1203,$AE99)),IF(INDEX(对接源_02物料!$F$4:$F$1203,$AE99-1200)=0,"",INDEX(对接源_02物料!$F$4:$F$1203,$AE99-1200))))</f>
      </c>
      <c r="D99" s="61">
        <f>IF($AE99="","",IF(IF($AE99&lt;=1200,IF(INDEX(对接源_01水果!$G$4:$G$1203,$AE99)=0,"",INDEX(对接源_01水果!$G$4:$G$1203,$AE99)),IF(INDEX(对接源_02物料!$G$4:$G$1203,$AE99-1200)=0,"",INDEX(对接源_02物料!$G$4:$G$1203,$AE99-1200)))="",IF($AE99&lt;=1200,IF(INDEX(对接源_01水果!$D$4:$D$1203,$AE99)=0,"",INDEX(对接源_01水果!$D$4:$D$1203,$AE99)),IF(INDEX(对接源_02物料!$D$4:$D$1203,$AE99-1200)=0,"",INDEX(对接源_02物料!$D$4:$D$1203,$AE99-1200))),IF($AE99&lt;=1200,IF(INDEX(对接源_01水果!$G$4:$G$1203,$AE99)=0,"",INDEX(对接源_01水果!$G$4:$G$1203,$AE99)),IF(INDEX(对接源_02物料!$G$4:$G$1203,$AE99-1200)=0,"",INDEX(对接源_02物料!$G$4:$G$1203,$AE99-1200)))))</f>
      </c>
      <c r="E99" s="173">
        <f>IF($AE99="","",IF($AE99&lt;=1200,IF(INDEX(对接源_01水果!$H$4:$H$1203,$AE99)=0,"",INDEX(对接源_01水果!$H$4:$H$1203,$AE99)),IF(INDEX(对接源_02物料!$H$4:$H$1203,$AE99-1200)=0,"",INDEX(对接源_02物料!$H$4:$H$1203,$AE99-1200))))</f>
      </c>
      <c r="F99" s="61">
        <f>IF($AE99="","",IF($AE99&lt;=1200,IF(INDEX(对接源_01水果!$I$4:$I$1203,$AE99)=0,"",INDEX(对接源_01水果!$I$4:$I$1203,$AE99)),IF(INDEX(对接源_02物料!$I$4:$I$1203,$AE99-1200)=0,"",INDEX(对接源_02物料!$I$4:$I$1203,$AE99-1200))))</f>
      </c>
      <c r="G99" s="173">
        <f>IF($AE99="","",IF(IF($AE99&lt;=1200,N(INDEX(对接源_01水果!$H$4:$H$1203,$AE99)),N(INDEX(对接源_02物料!$H$4:$H$1203,$AE99-1200)))=0,"",ROUND(IF($AE99&lt;=1200,N(INDEX(对接源_01水果!$K$4:$K$1203,$AE99)),N(INDEX(对接源_02物料!$K$4:$K$1203,$AE99-1200)))/IF($AE99&lt;=1200,N(INDEX(对接源_01水果!$H$4:$H$1203,$AE99)),N(INDEX(对接源_02物料!$H$4:$H$1203,$AE99-1200))),2)))</f>
      </c>
      <c r="H99" s="173">
        <f>IF($AE99="","",IF($AE99&lt;=1200,IF(INDEX(对接源_01水果!$K$4:$K$1203,$AE99)=0,"",INDEX(对接源_01水果!$K$4:$K$1203,$AE99)),IF(INDEX(对接源_02物料!$K$4:$K$1203,$AE99-1200)=0,"",INDEX(对接源_02物料!$K$4:$K$1203,$AE99-1200))))</f>
      </c>
      <c r="I99" s="61">
        <f>IF($AE99="","",IF($AE99&lt;=1200,IF(INDEX(对接源_01水果!$L$4:$L$1203,$AE99)=0,"",INDEX(对接源_01水果!$L$4:$L$1203,$AE99)),IF(INDEX(对接源_02物料!$L$4:$L$1203,$AE99-1200)=0,"",INDEX(对接源_02物料!$L$4:$L$1203,$AE99-1200))))</f>
      </c>
      <c r="J99" s="122">
        <f>IF($AE99="","",IF($AE99&lt;=1200,IF(INDEX(对接源_01水果!$M$4:$M$1203,$AE99)=0,"",INDEX(对接源_01水果!$M$4:$M$1203,$AE99)),IF(INDEX(对接源_02物料!$M$4:$M$1203,$AE99-1200)=0,"",INDEX(对接源_02物料!$M$4:$M$1203,$AE99-1200))))</f>
      </c>
      <c r="AE99" s="128">
        <f>IFERROR(MATCH(94,_自动清单!$AS$4:$AS$2403,0),"")</f>
      </c>
    </row>
    <row r="100" ht="18" customHeight="1" s="127">
      <c r="A100" s="163">
        <f>IF($AE100="","",IF($AE100&lt;=1200,IF(INDEX(对接源_01水果!$B$4:$B$1203,$AE100)=0,"",INDEX(对接源_01水果!$B$4:$B$1203,$AE100)),IF(INDEX(对接源_02物料!$B$4:$B$1203,$AE100-1200)=0,"",INDEX(对接源_02物料!$B$4:$B$1203,$AE100-1200))))</f>
      </c>
      <c r="B100" s="61">
        <f>IF($AE100="","",IF($AE100&lt;=1200,IF(INDEX(对接源_01水果!$E$4:$E$1203,$AE100)=0,"",INDEX(对接源_01水果!$E$4:$E$1203,$AE100)),IF(INDEX(对接源_02物料!$E$4:$E$1203,$AE100-1200)=0,"",INDEX(对接源_02物料!$E$4:$E$1203,$AE100-1200))))</f>
      </c>
      <c r="C100" s="122">
        <f>IF($AE100="","",IF($AE100&lt;=1200,IF(INDEX(对接源_01水果!$F$4:$F$1203,$AE100)=0,"",INDEX(对接源_01水果!$F$4:$F$1203,$AE100)),IF(INDEX(对接源_02物料!$F$4:$F$1203,$AE100-1200)=0,"",INDEX(对接源_02物料!$F$4:$F$1203,$AE100-1200))))</f>
      </c>
      <c r="D100" s="61">
        <f>IF($AE100="","",IF(IF($AE100&lt;=1200,IF(INDEX(对接源_01水果!$G$4:$G$1203,$AE100)=0,"",INDEX(对接源_01水果!$G$4:$G$1203,$AE100)),IF(INDEX(对接源_02物料!$G$4:$G$1203,$AE100-1200)=0,"",INDEX(对接源_02物料!$G$4:$G$1203,$AE100-1200)))="",IF($AE100&lt;=1200,IF(INDEX(对接源_01水果!$D$4:$D$1203,$AE100)=0,"",INDEX(对接源_01水果!$D$4:$D$1203,$AE100)),IF(INDEX(对接源_02物料!$D$4:$D$1203,$AE100-1200)=0,"",INDEX(对接源_02物料!$D$4:$D$1203,$AE100-1200))),IF($AE100&lt;=1200,IF(INDEX(对接源_01水果!$G$4:$G$1203,$AE100)=0,"",INDEX(对接源_01水果!$G$4:$G$1203,$AE100)),IF(INDEX(对接源_02物料!$G$4:$G$1203,$AE100-1200)=0,"",INDEX(对接源_02物料!$G$4:$G$1203,$AE100-1200)))))</f>
      </c>
      <c r="E100" s="173">
        <f>IF($AE100="","",IF($AE100&lt;=1200,IF(INDEX(对接源_01水果!$H$4:$H$1203,$AE100)=0,"",INDEX(对接源_01水果!$H$4:$H$1203,$AE100)),IF(INDEX(对接源_02物料!$H$4:$H$1203,$AE100-1200)=0,"",INDEX(对接源_02物料!$H$4:$H$1203,$AE100-1200))))</f>
      </c>
      <c r="F100" s="61">
        <f>IF($AE100="","",IF($AE100&lt;=1200,IF(INDEX(对接源_01水果!$I$4:$I$1203,$AE100)=0,"",INDEX(对接源_01水果!$I$4:$I$1203,$AE100)),IF(INDEX(对接源_02物料!$I$4:$I$1203,$AE100-1200)=0,"",INDEX(对接源_02物料!$I$4:$I$1203,$AE100-1200))))</f>
      </c>
      <c r="G100" s="173">
        <f>IF($AE100="","",IF(IF($AE100&lt;=1200,N(INDEX(对接源_01水果!$H$4:$H$1203,$AE100)),N(INDEX(对接源_02物料!$H$4:$H$1203,$AE100-1200)))=0,"",ROUND(IF($AE100&lt;=1200,N(INDEX(对接源_01水果!$K$4:$K$1203,$AE100)),N(INDEX(对接源_02物料!$K$4:$K$1203,$AE100-1200)))/IF($AE100&lt;=1200,N(INDEX(对接源_01水果!$H$4:$H$1203,$AE100)),N(INDEX(对接源_02物料!$H$4:$H$1203,$AE100-1200))),2)))</f>
      </c>
      <c r="H100" s="173">
        <f>IF($AE100="","",IF($AE100&lt;=1200,IF(INDEX(对接源_01水果!$K$4:$K$1203,$AE100)=0,"",INDEX(对接源_01水果!$K$4:$K$1203,$AE100)),IF(INDEX(对接源_02物料!$K$4:$K$1203,$AE100-1200)=0,"",INDEX(对接源_02物料!$K$4:$K$1203,$AE100-1200))))</f>
      </c>
      <c r="I100" s="61">
        <f>IF($AE100="","",IF($AE100&lt;=1200,IF(INDEX(对接源_01水果!$L$4:$L$1203,$AE100)=0,"",INDEX(对接源_01水果!$L$4:$L$1203,$AE100)),IF(INDEX(对接源_02物料!$L$4:$L$1203,$AE100-1200)=0,"",INDEX(对接源_02物料!$L$4:$L$1203,$AE100-1200))))</f>
      </c>
      <c r="J100" s="122">
        <f>IF($AE100="","",IF($AE100&lt;=1200,IF(INDEX(对接源_01水果!$M$4:$M$1203,$AE100)=0,"",INDEX(对接源_01水果!$M$4:$M$1203,$AE100)),IF(INDEX(对接源_02物料!$M$4:$M$1203,$AE100-1200)=0,"",INDEX(对接源_02物料!$M$4:$M$1203,$AE100-1200))))</f>
      </c>
      <c r="AE100" s="128">
        <f>IFERROR(MATCH(95,_自动清单!$AS$4:$AS$2403,0),"")</f>
      </c>
    </row>
    <row r="101" ht="18" customHeight="1" s="127">
      <c r="A101" s="163">
        <f>IF($AE101="","",IF($AE101&lt;=1200,IF(INDEX(对接源_01水果!$B$4:$B$1203,$AE101)=0,"",INDEX(对接源_01水果!$B$4:$B$1203,$AE101)),IF(INDEX(对接源_02物料!$B$4:$B$1203,$AE101-1200)=0,"",INDEX(对接源_02物料!$B$4:$B$1203,$AE101-1200))))</f>
      </c>
      <c r="B101" s="61">
        <f>IF($AE101="","",IF($AE101&lt;=1200,IF(INDEX(对接源_01水果!$E$4:$E$1203,$AE101)=0,"",INDEX(对接源_01水果!$E$4:$E$1203,$AE101)),IF(INDEX(对接源_02物料!$E$4:$E$1203,$AE101-1200)=0,"",INDEX(对接源_02物料!$E$4:$E$1203,$AE101-1200))))</f>
      </c>
      <c r="C101" s="122">
        <f>IF($AE101="","",IF($AE101&lt;=1200,IF(INDEX(对接源_01水果!$F$4:$F$1203,$AE101)=0,"",INDEX(对接源_01水果!$F$4:$F$1203,$AE101)),IF(INDEX(对接源_02物料!$F$4:$F$1203,$AE101-1200)=0,"",INDEX(对接源_02物料!$F$4:$F$1203,$AE101-1200))))</f>
      </c>
      <c r="D101" s="61">
        <f>IF($AE101="","",IF(IF($AE101&lt;=1200,IF(INDEX(对接源_01水果!$G$4:$G$1203,$AE101)=0,"",INDEX(对接源_01水果!$G$4:$G$1203,$AE101)),IF(INDEX(对接源_02物料!$G$4:$G$1203,$AE101-1200)=0,"",INDEX(对接源_02物料!$G$4:$G$1203,$AE101-1200)))="",IF($AE101&lt;=1200,IF(INDEX(对接源_01水果!$D$4:$D$1203,$AE101)=0,"",INDEX(对接源_01水果!$D$4:$D$1203,$AE101)),IF(INDEX(对接源_02物料!$D$4:$D$1203,$AE101-1200)=0,"",INDEX(对接源_02物料!$D$4:$D$1203,$AE101-1200))),IF($AE101&lt;=1200,IF(INDEX(对接源_01水果!$G$4:$G$1203,$AE101)=0,"",INDEX(对接源_01水果!$G$4:$G$1203,$AE101)),IF(INDEX(对接源_02物料!$G$4:$G$1203,$AE101-1200)=0,"",INDEX(对接源_02物料!$G$4:$G$1203,$AE101-1200)))))</f>
      </c>
      <c r="E101" s="173">
        <f>IF($AE101="","",IF($AE101&lt;=1200,IF(INDEX(对接源_01水果!$H$4:$H$1203,$AE101)=0,"",INDEX(对接源_01水果!$H$4:$H$1203,$AE101)),IF(INDEX(对接源_02物料!$H$4:$H$1203,$AE101-1200)=0,"",INDEX(对接源_02物料!$H$4:$H$1203,$AE101-1200))))</f>
      </c>
      <c r="F101" s="61">
        <f>IF($AE101="","",IF($AE101&lt;=1200,IF(INDEX(对接源_01水果!$I$4:$I$1203,$AE101)=0,"",INDEX(对接源_01水果!$I$4:$I$1203,$AE101)),IF(INDEX(对接源_02物料!$I$4:$I$1203,$AE101-1200)=0,"",INDEX(对接源_02物料!$I$4:$I$1203,$AE101-1200))))</f>
      </c>
      <c r="G101" s="173">
        <f>IF($AE101="","",IF(IF($AE101&lt;=1200,N(INDEX(对接源_01水果!$H$4:$H$1203,$AE101)),N(INDEX(对接源_02物料!$H$4:$H$1203,$AE101-1200)))=0,"",ROUND(IF($AE101&lt;=1200,N(INDEX(对接源_01水果!$K$4:$K$1203,$AE101)),N(INDEX(对接源_02物料!$K$4:$K$1203,$AE101-1200)))/IF($AE101&lt;=1200,N(INDEX(对接源_01水果!$H$4:$H$1203,$AE101)),N(INDEX(对接源_02物料!$H$4:$H$1203,$AE101-1200))),2)))</f>
      </c>
      <c r="H101" s="173">
        <f>IF($AE101="","",IF($AE101&lt;=1200,IF(INDEX(对接源_01水果!$K$4:$K$1203,$AE101)=0,"",INDEX(对接源_01水果!$K$4:$K$1203,$AE101)),IF(INDEX(对接源_02物料!$K$4:$K$1203,$AE101-1200)=0,"",INDEX(对接源_02物料!$K$4:$K$1203,$AE101-1200))))</f>
      </c>
      <c r="I101" s="61">
        <f>IF($AE101="","",IF($AE101&lt;=1200,IF(INDEX(对接源_01水果!$L$4:$L$1203,$AE101)=0,"",INDEX(对接源_01水果!$L$4:$L$1203,$AE101)),IF(INDEX(对接源_02物料!$L$4:$L$1203,$AE101-1200)=0,"",INDEX(对接源_02物料!$L$4:$L$1203,$AE101-1200))))</f>
      </c>
      <c r="J101" s="122">
        <f>IF($AE101="","",IF($AE101&lt;=1200,IF(INDEX(对接源_01水果!$M$4:$M$1203,$AE101)=0,"",INDEX(对接源_01水果!$M$4:$M$1203,$AE101)),IF(INDEX(对接源_02物料!$M$4:$M$1203,$AE101-1200)=0,"",INDEX(对接源_02物料!$M$4:$M$1203,$AE101-1200))))</f>
      </c>
      <c r="AE101" s="128">
        <f>IFERROR(MATCH(96,_自动清单!$AS$4:$AS$2403,0),"")</f>
      </c>
    </row>
    <row r="102" ht="18" customHeight="1" s="127">
      <c r="A102" s="163">
        <f>IF($AE102="","",IF($AE102&lt;=1200,IF(INDEX(对接源_01水果!$B$4:$B$1203,$AE102)=0,"",INDEX(对接源_01水果!$B$4:$B$1203,$AE102)),IF(INDEX(对接源_02物料!$B$4:$B$1203,$AE102-1200)=0,"",INDEX(对接源_02物料!$B$4:$B$1203,$AE102-1200))))</f>
      </c>
      <c r="B102" s="61">
        <f>IF($AE102="","",IF($AE102&lt;=1200,IF(INDEX(对接源_01水果!$E$4:$E$1203,$AE102)=0,"",INDEX(对接源_01水果!$E$4:$E$1203,$AE102)),IF(INDEX(对接源_02物料!$E$4:$E$1203,$AE102-1200)=0,"",INDEX(对接源_02物料!$E$4:$E$1203,$AE102-1200))))</f>
      </c>
      <c r="C102" s="122">
        <f>IF($AE102="","",IF($AE102&lt;=1200,IF(INDEX(对接源_01水果!$F$4:$F$1203,$AE102)=0,"",INDEX(对接源_01水果!$F$4:$F$1203,$AE102)),IF(INDEX(对接源_02物料!$F$4:$F$1203,$AE102-1200)=0,"",INDEX(对接源_02物料!$F$4:$F$1203,$AE102-1200))))</f>
      </c>
      <c r="D102" s="61">
        <f>IF($AE102="","",IF(IF($AE102&lt;=1200,IF(INDEX(对接源_01水果!$G$4:$G$1203,$AE102)=0,"",INDEX(对接源_01水果!$G$4:$G$1203,$AE102)),IF(INDEX(对接源_02物料!$G$4:$G$1203,$AE102-1200)=0,"",INDEX(对接源_02物料!$G$4:$G$1203,$AE102-1200)))="",IF($AE102&lt;=1200,IF(INDEX(对接源_01水果!$D$4:$D$1203,$AE102)=0,"",INDEX(对接源_01水果!$D$4:$D$1203,$AE102)),IF(INDEX(对接源_02物料!$D$4:$D$1203,$AE102-1200)=0,"",INDEX(对接源_02物料!$D$4:$D$1203,$AE102-1200))),IF($AE102&lt;=1200,IF(INDEX(对接源_01水果!$G$4:$G$1203,$AE102)=0,"",INDEX(对接源_01水果!$G$4:$G$1203,$AE102)),IF(INDEX(对接源_02物料!$G$4:$G$1203,$AE102-1200)=0,"",INDEX(对接源_02物料!$G$4:$G$1203,$AE102-1200)))))</f>
      </c>
      <c r="E102" s="173">
        <f>IF($AE102="","",IF($AE102&lt;=1200,IF(INDEX(对接源_01水果!$H$4:$H$1203,$AE102)=0,"",INDEX(对接源_01水果!$H$4:$H$1203,$AE102)),IF(INDEX(对接源_02物料!$H$4:$H$1203,$AE102-1200)=0,"",INDEX(对接源_02物料!$H$4:$H$1203,$AE102-1200))))</f>
      </c>
      <c r="F102" s="61">
        <f>IF($AE102="","",IF($AE102&lt;=1200,IF(INDEX(对接源_01水果!$I$4:$I$1203,$AE102)=0,"",INDEX(对接源_01水果!$I$4:$I$1203,$AE102)),IF(INDEX(对接源_02物料!$I$4:$I$1203,$AE102-1200)=0,"",INDEX(对接源_02物料!$I$4:$I$1203,$AE102-1200))))</f>
      </c>
      <c r="G102" s="173">
        <f>IF($AE102="","",IF(IF($AE102&lt;=1200,N(INDEX(对接源_01水果!$H$4:$H$1203,$AE102)),N(INDEX(对接源_02物料!$H$4:$H$1203,$AE102-1200)))=0,"",ROUND(IF($AE102&lt;=1200,N(INDEX(对接源_01水果!$K$4:$K$1203,$AE102)),N(INDEX(对接源_02物料!$K$4:$K$1203,$AE102-1200)))/IF($AE102&lt;=1200,N(INDEX(对接源_01水果!$H$4:$H$1203,$AE102)),N(INDEX(对接源_02物料!$H$4:$H$1203,$AE102-1200))),2)))</f>
      </c>
      <c r="H102" s="173">
        <f>IF($AE102="","",IF($AE102&lt;=1200,IF(INDEX(对接源_01水果!$K$4:$K$1203,$AE102)=0,"",INDEX(对接源_01水果!$K$4:$K$1203,$AE102)),IF(INDEX(对接源_02物料!$K$4:$K$1203,$AE102-1200)=0,"",INDEX(对接源_02物料!$K$4:$K$1203,$AE102-1200))))</f>
      </c>
      <c r="I102" s="61">
        <f>IF($AE102="","",IF($AE102&lt;=1200,IF(INDEX(对接源_01水果!$L$4:$L$1203,$AE102)=0,"",INDEX(对接源_01水果!$L$4:$L$1203,$AE102)),IF(INDEX(对接源_02物料!$L$4:$L$1203,$AE102-1200)=0,"",INDEX(对接源_02物料!$L$4:$L$1203,$AE102-1200))))</f>
      </c>
      <c r="J102" s="122">
        <f>IF($AE102="","",IF($AE102&lt;=1200,IF(INDEX(对接源_01水果!$M$4:$M$1203,$AE102)=0,"",INDEX(对接源_01水果!$M$4:$M$1203,$AE102)),IF(INDEX(对接源_02物料!$M$4:$M$1203,$AE102-1200)=0,"",INDEX(对接源_02物料!$M$4:$M$1203,$AE102-1200))))</f>
      </c>
      <c r="AE102" s="128">
        <f>IFERROR(MATCH(97,_自动清单!$AS$4:$AS$2403,0),"")</f>
      </c>
    </row>
    <row r="103" ht="18" customHeight="1" s="127">
      <c r="A103" s="163">
        <f>IF($AE103="","",IF($AE103&lt;=1200,IF(INDEX(对接源_01水果!$B$4:$B$1203,$AE103)=0,"",INDEX(对接源_01水果!$B$4:$B$1203,$AE103)),IF(INDEX(对接源_02物料!$B$4:$B$1203,$AE103-1200)=0,"",INDEX(对接源_02物料!$B$4:$B$1203,$AE103-1200))))</f>
      </c>
      <c r="B103" s="61">
        <f>IF($AE103="","",IF($AE103&lt;=1200,IF(INDEX(对接源_01水果!$E$4:$E$1203,$AE103)=0,"",INDEX(对接源_01水果!$E$4:$E$1203,$AE103)),IF(INDEX(对接源_02物料!$E$4:$E$1203,$AE103-1200)=0,"",INDEX(对接源_02物料!$E$4:$E$1203,$AE103-1200))))</f>
      </c>
      <c r="C103" s="122">
        <f>IF($AE103="","",IF($AE103&lt;=1200,IF(INDEX(对接源_01水果!$F$4:$F$1203,$AE103)=0,"",INDEX(对接源_01水果!$F$4:$F$1203,$AE103)),IF(INDEX(对接源_02物料!$F$4:$F$1203,$AE103-1200)=0,"",INDEX(对接源_02物料!$F$4:$F$1203,$AE103-1200))))</f>
      </c>
      <c r="D103" s="61">
        <f>IF($AE103="","",IF(IF($AE103&lt;=1200,IF(INDEX(对接源_01水果!$G$4:$G$1203,$AE103)=0,"",INDEX(对接源_01水果!$G$4:$G$1203,$AE103)),IF(INDEX(对接源_02物料!$G$4:$G$1203,$AE103-1200)=0,"",INDEX(对接源_02物料!$G$4:$G$1203,$AE103-1200)))="",IF($AE103&lt;=1200,IF(INDEX(对接源_01水果!$D$4:$D$1203,$AE103)=0,"",INDEX(对接源_01水果!$D$4:$D$1203,$AE103)),IF(INDEX(对接源_02物料!$D$4:$D$1203,$AE103-1200)=0,"",INDEX(对接源_02物料!$D$4:$D$1203,$AE103-1200))),IF($AE103&lt;=1200,IF(INDEX(对接源_01水果!$G$4:$G$1203,$AE103)=0,"",INDEX(对接源_01水果!$G$4:$G$1203,$AE103)),IF(INDEX(对接源_02物料!$G$4:$G$1203,$AE103-1200)=0,"",INDEX(对接源_02物料!$G$4:$G$1203,$AE103-1200)))))</f>
      </c>
      <c r="E103" s="173">
        <f>IF($AE103="","",IF($AE103&lt;=1200,IF(INDEX(对接源_01水果!$H$4:$H$1203,$AE103)=0,"",INDEX(对接源_01水果!$H$4:$H$1203,$AE103)),IF(INDEX(对接源_02物料!$H$4:$H$1203,$AE103-1200)=0,"",INDEX(对接源_02物料!$H$4:$H$1203,$AE103-1200))))</f>
      </c>
      <c r="F103" s="61">
        <f>IF($AE103="","",IF($AE103&lt;=1200,IF(INDEX(对接源_01水果!$I$4:$I$1203,$AE103)=0,"",INDEX(对接源_01水果!$I$4:$I$1203,$AE103)),IF(INDEX(对接源_02物料!$I$4:$I$1203,$AE103-1200)=0,"",INDEX(对接源_02物料!$I$4:$I$1203,$AE103-1200))))</f>
      </c>
      <c r="G103" s="173">
        <f>IF($AE103="","",IF(IF($AE103&lt;=1200,N(INDEX(对接源_01水果!$H$4:$H$1203,$AE103)),N(INDEX(对接源_02物料!$H$4:$H$1203,$AE103-1200)))=0,"",ROUND(IF($AE103&lt;=1200,N(INDEX(对接源_01水果!$K$4:$K$1203,$AE103)),N(INDEX(对接源_02物料!$K$4:$K$1203,$AE103-1200)))/IF($AE103&lt;=1200,N(INDEX(对接源_01水果!$H$4:$H$1203,$AE103)),N(INDEX(对接源_02物料!$H$4:$H$1203,$AE103-1200))),2)))</f>
      </c>
      <c r="H103" s="173">
        <f>IF($AE103="","",IF($AE103&lt;=1200,IF(INDEX(对接源_01水果!$K$4:$K$1203,$AE103)=0,"",INDEX(对接源_01水果!$K$4:$K$1203,$AE103)),IF(INDEX(对接源_02物料!$K$4:$K$1203,$AE103-1200)=0,"",INDEX(对接源_02物料!$K$4:$K$1203,$AE103-1200))))</f>
      </c>
      <c r="I103" s="61">
        <f>IF($AE103="","",IF($AE103&lt;=1200,IF(INDEX(对接源_01水果!$L$4:$L$1203,$AE103)=0,"",INDEX(对接源_01水果!$L$4:$L$1203,$AE103)),IF(INDEX(对接源_02物料!$L$4:$L$1203,$AE103-1200)=0,"",INDEX(对接源_02物料!$L$4:$L$1203,$AE103-1200))))</f>
      </c>
      <c r="J103" s="122">
        <f>IF($AE103="","",IF($AE103&lt;=1200,IF(INDEX(对接源_01水果!$M$4:$M$1203,$AE103)=0,"",INDEX(对接源_01水果!$M$4:$M$1203,$AE103)),IF(INDEX(对接源_02物料!$M$4:$M$1203,$AE103-1200)=0,"",INDEX(对接源_02物料!$M$4:$M$1203,$AE103-1200))))</f>
      </c>
      <c r="AE103" s="128">
        <f>IFERROR(MATCH(98,_自动清单!$AS$4:$AS$2403,0),"")</f>
      </c>
    </row>
    <row r="104" ht="18" customHeight="1" s="127">
      <c r="A104" s="163">
        <f>IF($AE104="","",IF($AE104&lt;=1200,IF(INDEX(对接源_01水果!$B$4:$B$1203,$AE104)=0,"",INDEX(对接源_01水果!$B$4:$B$1203,$AE104)),IF(INDEX(对接源_02物料!$B$4:$B$1203,$AE104-1200)=0,"",INDEX(对接源_02物料!$B$4:$B$1203,$AE104-1200))))</f>
      </c>
      <c r="B104" s="61">
        <f>IF($AE104="","",IF($AE104&lt;=1200,IF(INDEX(对接源_01水果!$E$4:$E$1203,$AE104)=0,"",INDEX(对接源_01水果!$E$4:$E$1203,$AE104)),IF(INDEX(对接源_02物料!$E$4:$E$1203,$AE104-1200)=0,"",INDEX(对接源_02物料!$E$4:$E$1203,$AE104-1200))))</f>
      </c>
      <c r="C104" s="122">
        <f>IF($AE104="","",IF($AE104&lt;=1200,IF(INDEX(对接源_01水果!$F$4:$F$1203,$AE104)=0,"",INDEX(对接源_01水果!$F$4:$F$1203,$AE104)),IF(INDEX(对接源_02物料!$F$4:$F$1203,$AE104-1200)=0,"",INDEX(对接源_02物料!$F$4:$F$1203,$AE104-1200))))</f>
      </c>
      <c r="D104" s="61">
        <f>IF($AE104="","",IF(IF($AE104&lt;=1200,IF(INDEX(对接源_01水果!$G$4:$G$1203,$AE104)=0,"",INDEX(对接源_01水果!$G$4:$G$1203,$AE104)),IF(INDEX(对接源_02物料!$G$4:$G$1203,$AE104-1200)=0,"",INDEX(对接源_02物料!$G$4:$G$1203,$AE104-1200)))="",IF($AE104&lt;=1200,IF(INDEX(对接源_01水果!$D$4:$D$1203,$AE104)=0,"",INDEX(对接源_01水果!$D$4:$D$1203,$AE104)),IF(INDEX(对接源_02物料!$D$4:$D$1203,$AE104-1200)=0,"",INDEX(对接源_02物料!$D$4:$D$1203,$AE104-1200))),IF($AE104&lt;=1200,IF(INDEX(对接源_01水果!$G$4:$G$1203,$AE104)=0,"",INDEX(对接源_01水果!$G$4:$G$1203,$AE104)),IF(INDEX(对接源_02物料!$G$4:$G$1203,$AE104-1200)=0,"",INDEX(对接源_02物料!$G$4:$G$1203,$AE104-1200)))))</f>
      </c>
      <c r="E104" s="173">
        <f>IF($AE104="","",IF($AE104&lt;=1200,IF(INDEX(对接源_01水果!$H$4:$H$1203,$AE104)=0,"",INDEX(对接源_01水果!$H$4:$H$1203,$AE104)),IF(INDEX(对接源_02物料!$H$4:$H$1203,$AE104-1200)=0,"",INDEX(对接源_02物料!$H$4:$H$1203,$AE104-1200))))</f>
      </c>
      <c r="F104" s="61">
        <f>IF($AE104="","",IF($AE104&lt;=1200,IF(INDEX(对接源_01水果!$I$4:$I$1203,$AE104)=0,"",INDEX(对接源_01水果!$I$4:$I$1203,$AE104)),IF(INDEX(对接源_02物料!$I$4:$I$1203,$AE104-1200)=0,"",INDEX(对接源_02物料!$I$4:$I$1203,$AE104-1200))))</f>
      </c>
      <c r="G104" s="173">
        <f>IF($AE104="","",IF(IF($AE104&lt;=1200,N(INDEX(对接源_01水果!$H$4:$H$1203,$AE104)),N(INDEX(对接源_02物料!$H$4:$H$1203,$AE104-1200)))=0,"",ROUND(IF($AE104&lt;=1200,N(INDEX(对接源_01水果!$K$4:$K$1203,$AE104)),N(INDEX(对接源_02物料!$K$4:$K$1203,$AE104-1200)))/IF($AE104&lt;=1200,N(INDEX(对接源_01水果!$H$4:$H$1203,$AE104)),N(INDEX(对接源_02物料!$H$4:$H$1203,$AE104-1200))),2)))</f>
      </c>
      <c r="H104" s="173">
        <f>IF($AE104="","",IF($AE104&lt;=1200,IF(INDEX(对接源_01水果!$K$4:$K$1203,$AE104)=0,"",INDEX(对接源_01水果!$K$4:$K$1203,$AE104)),IF(INDEX(对接源_02物料!$K$4:$K$1203,$AE104-1200)=0,"",INDEX(对接源_02物料!$K$4:$K$1203,$AE104-1200))))</f>
      </c>
      <c r="I104" s="61">
        <f>IF($AE104="","",IF($AE104&lt;=1200,IF(INDEX(对接源_01水果!$L$4:$L$1203,$AE104)=0,"",INDEX(对接源_01水果!$L$4:$L$1203,$AE104)),IF(INDEX(对接源_02物料!$L$4:$L$1203,$AE104-1200)=0,"",INDEX(对接源_02物料!$L$4:$L$1203,$AE104-1200))))</f>
      </c>
      <c r="J104" s="122">
        <f>IF($AE104="","",IF($AE104&lt;=1200,IF(INDEX(对接源_01水果!$M$4:$M$1203,$AE104)=0,"",INDEX(对接源_01水果!$M$4:$M$1203,$AE104)),IF(INDEX(对接源_02物料!$M$4:$M$1203,$AE104-1200)=0,"",INDEX(对接源_02物料!$M$4:$M$1203,$AE104-1200))))</f>
      </c>
      <c r="AE104" s="128">
        <f>IFERROR(MATCH(99,_自动清单!$AS$4:$AS$2403,0),"")</f>
      </c>
    </row>
    <row r="105" ht="18" customHeight="1" s="127">
      <c r="A105" s="163">
        <f>IF($AE105="","",IF($AE105&lt;=1200,IF(INDEX(对接源_01水果!$B$4:$B$1203,$AE105)=0,"",INDEX(对接源_01水果!$B$4:$B$1203,$AE105)),IF(INDEX(对接源_02物料!$B$4:$B$1203,$AE105-1200)=0,"",INDEX(对接源_02物料!$B$4:$B$1203,$AE105-1200))))</f>
      </c>
      <c r="B105" s="61">
        <f>IF($AE105="","",IF($AE105&lt;=1200,IF(INDEX(对接源_01水果!$E$4:$E$1203,$AE105)=0,"",INDEX(对接源_01水果!$E$4:$E$1203,$AE105)),IF(INDEX(对接源_02物料!$E$4:$E$1203,$AE105-1200)=0,"",INDEX(对接源_02物料!$E$4:$E$1203,$AE105-1200))))</f>
      </c>
      <c r="C105" s="122">
        <f>IF($AE105="","",IF($AE105&lt;=1200,IF(INDEX(对接源_01水果!$F$4:$F$1203,$AE105)=0,"",INDEX(对接源_01水果!$F$4:$F$1203,$AE105)),IF(INDEX(对接源_02物料!$F$4:$F$1203,$AE105-1200)=0,"",INDEX(对接源_02物料!$F$4:$F$1203,$AE105-1200))))</f>
      </c>
      <c r="D105" s="61">
        <f>IF($AE105="","",IF(IF($AE105&lt;=1200,IF(INDEX(对接源_01水果!$G$4:$G$1203,$AE105)=0,"",INDEX(对接源_01水果!$G$4:$G$1203,$AE105)),IF(INDEX(对接源_02物料!$G$4:$G$1203,$AE105-1200)=0,"",INDEX(对接源_02物料!$G$4:$G$1203,$AE105-1200)))="",IF($AE105&lt;=1200,IF(INDEX(对接源_01水果!$D$4:$D$1203,$AE105)=0,"",INDEX(对接源_01水果!$D$4:$D$1203,$AE105)),IF(INDEX(对接源_02物料!$D$4:$D$1203,$AE105-1200)=0,"",INDEX(对接源_02物料!$D$4:$D$1203,$AE105-1200))),IF($AE105&lt;=1200,IF(INDEX(对接源_01水果!$G$4:$G$1203,$AE105)=0,"",INDEX(对接源_01水果!$G$4:$G$1203,$AE105)),IF(INDEX(对接源_02物料!$G$4:$G$1203,$AE105-1200)=0,"",INDEX(对接源_02物料!$G$4:$G$1203,$AE105-1200)))))</f>
      </c>
      <c r="E105" s="173">
        <f>IF($AE105="","",IF($AE105&lt;=1200,IF(INDEX(对接源_01水果!$H$4:$H$1203,$AE105)=0,"",INDEX(对接源_01水果!$H$4:$H$1203,$AE105)),IF(INDEX(对接源_02物料!$H$4:$H$1203,$AE105-1200)=0,"",INDEX(对接源_02物料!$H$4:$H$1203,$AE105-1200))))</f>
      </c>
      <c r="F105" s="61">
        <f>IF($AE105="","",IF($AE105&lt;=1200,IF(INDEX(对接源_01水果!$I$4:$I$1203,$AE105)=0,"",INDEX(对接源_01水果!$I$4:$I$1203,$AE105)),IF(INDEX(对接源_02物料!$I$4:$I$1203,$AE105-1200)=0,"",INDEX(对接源_02物料!$I$4:$I$1203,$AE105-1200))))</f>
      </c>
      <c r="G105" s="173">
        <f>IF($AE105="","",IF(IF($AE105&lt;=1200,N(INDEX(对接源_01水果!$H$4:$H$1203,$AE105)),N(INDEX(对接源_02物料!$H$4:$H$1203,$AE105-1200)))=0,"",ROUND(IF($AE105&lt;=1200,N(INDEX(对接源_01水果!$K$4:$K$1203,$AE105)),N(INDEX(对接源_02物料!$K$4:$K$1203,$AE105-1200)))/IF($AE105&lt;=1200,N(INDEX(对接源_01水果!$H$4:$H$1203,$AE105)),N(INDEX(对接源_02物料!$H$4:$H$1203,$AE105-1200))),2)))</f>
      </c>
      <c r="H105" s="173">
        <f>IF($AE105="","",IF($AE105&lt;=1200,IF(INDEX(对接源_01水果!$K$4:$K$1203,$AE105)=0,"",INDEX(对接源_01水果!$K$4:$K$1203,$AE105)),IF(INDEX(对接源_02物料!$K$4:$K$1203,$AE105-1200)=0,"",INDEX(对接源_02物料!$K$4:$K$1203,$AE105-1200))))</f>
      </c>
      <c r="I105" s="61">
        <f>IF($AE105="","",IF($AE105&lt;=1200,IF(INDEX(对接源_01水果!$L$4:$L$1203,$AE105)=0,"",INDEX(对接源_01水果!$L$4:$L$1203,$AE105)),IF(INDEX(对接源_02物料!$L$4:$L$1203,$AE105-1200)=0,"",INDEX(对接源_02物料!$L$4:$L$1203,$AE105-1200))))</f>
      </c>
      <c r="J105" s="122">
        <f>IF($AE105="","",IF($AE105&lt;=1200,IF(INDEX(对接源_01水果!$M$4:$M$1203,$AE105)=0,"",INDEX(对接源_01水果!$M$4:$M$1203,$AE105)),IF(INDEX(对接源_02物料!$M$4:$M$1203,$AE105-1200)=0,"",INDEX(对接源_02物料!$M$4:$M$1203,$AE105-1200))))</f>
      </c>
      <c r="AE105" s="128">
        <f>IFERROR(MATCH(100,_自动清单!$AS$4:$AS$2403,0),"")</f>
      </c>
    </row>
    <row r="106">
      <c r="A106" s="163">
        <f>IF($AE106="","",IF($AE106&lt;=1200,IF(INDEX(对接源_01水果!$B$4:$B$1203,$AE106)=0,"",INDEX(对接源_01水果!$B$4:$B$1203,$AE106)),IF(INDEX(对接源_02物料!$B$4:$B$1203,$AE106-1200)=0,"",INDEX(对接源_02物料!$B$4:$B$1203,$AE106-1200))))</f>
      </c>
      <c r="B106" s="61">
        <f>IF($AE106="","",IF($AE106&lt;=1200,IF(INDEX(对接源_01水果!$E$4:$E$1203,$AE106)=0,"",INDEX(对接源_01水果!$E$4:$E$1203,$AE106)),IF(INDEX(对接源_02物料!$E$4:$E$1203,$AE106-1200)=0,"",INDEX(对接源_02物料!$E$4:$E$1203,$AE106-1200))))</f>
      </c>
      <c r="C106" s="122">
        <f>IF($AE106="","",IF($AE106&lt;=1200,IF(INDEX(对接源_01水果!$F$4:$F$1203,$AE106)=0,"",INDEX(对接源_01水果!$F$4:$F$1203,$AE106)),IF(INDEX(对接源_02物料!$F$4:$F$1203,$AE106-1200)=0,"",INDEX(对接源_02物料!$F$4:$F$1203,$AE106-1200))))</f>
      </c>
      <c r="D106" s="61">
        <f>IF($AE106="","",IF(IF($AE106&lt;=1200,IF(INDEX(对接源_01水果!$G$4:$G$1203,$AE106)=0,"",INDEX(对接源_01水果!$G$4:$G$1203,$AE106)),IF(INDEX(对接源_02物料!$G$4:$G$1203,$AE106-1200)=0,"",INDEX(对接源_02物料!$G$4:$G$1203,$AE106-1200)))="",IF($AE106&lt;=1200,IF(INDEX(对接源_01水果!$D$4:$D$1203,$AE106)=0,"",INDEX(对接源_01水果!$D$4:$D$1203,$AE106)),IF(INDEX(对接源_02物料!$D$4:$D$1203,$AE106-1200)=0,"",INDEX(对接源_02物料!$D$4:$D$1203,$AE106-1200))),IF($AE106&lt;=1200,IF(INDEX(对接源_01水果!$G$4:$G$1203,$AE106)=0,"",INDEX(对接源_01水果!$G$4:$G$1203,$AE106)),IF(INDEX(对接源_02物料!$G$4:$G$1203,$AE106-1200)=0,"",INDEX(对接源_02物料!$G$4:$G$1203,$AE106-1200)))))</f>
      </c>
      <c r="E106" s="173">
        <f>IF($AE106="","",IF($AE106&lt;=1200,IF(INDEX(对接源_01水果!$H$4:$H$1203,$AE106)=0,"",INDEX(对接源_01水果!$H$4:$H$1203,$AE106)),IF(INDEX(对接源_02物料!$H$4:$H$1203,$AE106-1200)=0,"",INDEX(对接源_02物料!$H$4:$H$1203,$AE106-1200))))</f>
      </c>
      <c r="F106" s="61">
        <f>IF($AE106="","",IF($AE106&lt;=1200,IF(INDEX(对接源_01水果!$I$4:$I$1203,$AE106)=0,"",INDEX(对接源_01水果!$I$4:$I$1203,$AE106)),IF(INDEX(对接源_02物料!$I$4:$I$1203,$AE106-1200)=0,"",INDEX(对接源_02物料!$I$4:$I$1203,$AE106-1200))))</f>
      </c>
      <c r="G106" s="173">
        <f>IF($AE106="","",IF(IF($AE106&lt;=1200,N(INDEX(对接源_01水果!$H$4:$H$1203,$AE106)),N(INDEX(对接源_02物料!$H$4:$H$1203,$AE106-1200)))=0,"",ROUND(IF($AE106&lt;=1200,N(INDEX(对接源_01水果!$K$4:$K$1203,$AE106)),N(INDEX(对接源_02物料!$K$4:$K$1203,$AE106-1200)))/IF($AE106&lt;=1200,N(INDEX(对接源_01水果!$H$4:$H$1203,$AE106)),N(INDEX(对接源_02物料!$H$4:$H$1203,$AE106-1200))),2)))</f>
      </c>
      <c r="H106" s="173">
        <f>IF($AE106="","",IF($AE106&lt;=1200,IF(INDEX(对接源_01水果!$K$4:$K$1203,$AE106)=0,"",INDEX(对接源_01水果!$K$4:$K$1203,$AE106)),IF(INDEX(对接源_02物料!$K$4:$K$1203,$AE106-1200)=0,"",INDEX(对接源_02物料!$K$4:$K$1203,$AE106-1200))))</f>
      </c>
      <c r="I106" s="61">
        <f>IF($AE106="","",IF($AE106&lt;=1200,IF(INDEX(对接源_01水果!$L$4:$L$1203,$AE106)=0,"",INDEX(对接源_01水果!$L$4:$L$1203,$AE106)),IF(INDEX(对接源_02物料!$L$4:$L$1203,$AE106-1200)=0,"",INDEX(对接源_02物料!$L$4:$L$1203,$AE106-1200))))</f>
      </c>
      <c r="J106" s="122">
        <f>IF($AE106="","",IF($AE106&lt;=1200,IF(INDEX(对接源_01水果!$M$4:$M$1203,$AE106)=0,"",INDEX(对接源_01水果!$M$4:$M$1203,$AE106)),IF(INDEX(对接源_02物料!$M$4:$M$1203,$AE106-1200)=0,"",INDEX(对接源_02物料!$M$4:$M$1203,$AE106-1200))))</f>
      </c>
      <c r="AE106" s="128">
        <f>IFERROR(MATCH(101,_自动清单!$AS$4:$AS$2403,0),"")</f>
      </c>
    </row>
    <row r="107" ht="24" customHeight="1" s="127">
      <c r="A107" s="163">
        <f>IF($AE107="","",IF($AE107&lt;=1200,IF(INDEX(对接源_01水果!$B$4:$B$1203,$AE107)=0,"",INDEX(对接源_01水果!$B$4:$B$1203,$AE107)),IF(INDEX(对接源_02物料!$B$4:$B$1203,$AE107-1200)=0,"",INDEX(对接源_02物料!$B$4:$B$1203,$AE107-1200))))</f>
      </c>
      <c r="B107" s="61">
        <f>IF($AE107="","",IF($AE107&lt;=1200,IF(INDEX(对接源_01水果!$E$4:$E$1203,$AE107)=0,"",INDEX(对接源_01水果!$E$4:$E$1203,$AE107)),IF(INDEX(对接源_02物料!$E$4:$E$1203,$AE107-1200)=0,"",INDEX(对接源_02物料!$E$4:$E$1203,$AE107-1200))))</f>
      </c>
      <c r="C107" s="122">
        <f>IF($AE107="","",IF($AE107&lt;=1200,IF(INDEX(对接源_01水果!$F$4:$F$1203,$AE107)=0,"",INDEX(对接源_01水果!$F$4:$F$1203,$AE107)),IF(INDEX(对接源_02物料!$F$4:$F$1203,$AE107-1200)=0,"",INDEX(对接源_02物料!$F$4:$F$1203,$AE107-1200))))</f>
      </c>
      <c r="D107" s="61">
        <f>IF($AE107="","",IF(IF($AE107&lt;=1200,IF(INDEX(对接源_01水果!$G$4:$G$1203,$AE107)=0,"",INDEX(对接源_01水果!$G$4:$G$1203,$AE107)),IF(INDEX(对接源_02物料!$G$4:$G$1203,$AE107-1200)=0,"",INDEX(对接源_02物料!$G$4:$G$1203,$AE107-1200)))="",IF($AE107&lt;=1200,IF(INDEX(对接源_01水果!$D$4:$D$1203,$AE107)=0,"",INDEX(对接源_01水果!$D$4:$D$1203,$AE107)),IF(INDEX(对接源_02物料!$D$4:$D$1203,$AE107-1200)=0,"",INDEX(对接源_02物料!$D$4:$D$1203,$AE107-1200))),IF($AE107&lt;=1200,IF(INDEX(对接源_01水果!$G$4:$G$1203,$AE107)=0,"",INDEX(对接源_01水果!$G$4:$G$1203,$AE107)),IF(INDEX(对接源_02物料!$G$4:$G$1203,$AE107-1200)=0,"",INDEX(对接源_02物料!$G$4:$G$1203,$AE107-1200)))))</f>
      </c>
      <c r="E107" s="173">
        <f>IF($AE107="","",IF($AE107&lt;=1200,IF(INDEX(对接源_01水果!$H$4:$H$1203,$AE107)=0,"",INDEX(对接源_01水果!$H$4:$H$1203,$AE107)),IF(INDEX(对接源_02物料!$H$4:$H$1203,$AE107-1200)=0,"",INDEX(对接源_02物料!$H$4:$H$1203,$AE107-1200))))</f>
      </c>
      <c r="F107" s="61">
        <f>IF($AE107="","",IF($AE107&lt;=1200,IF(INDEX(对接源_01水果!$I$4:$I$1203,$AE107)=0,"",INDEX(对接源_01水果!$I$4:$I$1203,$AE107)),IF(INDEX(对接源_02物料!$I$4:$I$1203,$AE107-1200)=0,"",INDEX(对接源_02物料!$I$4:$I$1203,$AE107-1200))))</f>
      </c>
      <c r="G107" s="173">
        <f>IF($AE107="","",IF(IF($AE107&lt;=1200,N(INDEX(对接源_01水果!$H$4:$H$1203,$AE107)),N(INDEX(对接源_02物料!$H$4:$H$1203,$AE107-1200)))=0,"",ROUND(IF($AE107&lt;=1200,N(INDEX(对接源_01水果!$K$4:$K$1203,$AE107)),N(INDEX(对接源_02物料!$K$4:$K$1203,$AE107-1200)))/IF($AE107&lt;=1200,N(INDEX(对接源_01水果!$H$4:$H$1203,$AE107)),N(INDEX(对接源_02物料!$H$4:$H$1203,$AE107-1200))),2)))</f>
      </c>
      <c r="H107" s="173">
        <f>IF($AE107="","",IF($AE107&lt;=1200,IF(INDEX(对接源_01水果!$K$4:$K$1203,$AE107)=0,"",INDEX(对接源_01水果!$K$4:$K$1203,$AE107)),IF(INDEX(对接源_02物料!$K$4:$K$1203,$AE107-1200)=0,"",INDEX(对接源_02物料!$K$4:$K$1203,$AE107-1200))))</f>
      </c>
      <c r="I107" s="61">
        <f>IF($AE107="","",IF($AE107&lt;=1200,IF(INDEX(对接源_01水果!$L$4:$L$1203,$AE107)=0,"",INDEX(对接源_01水果!$L$4:$L$1203,$AE107)),IF(INDEX(对接源_02物料!$L$4:$L$1203,$AE107-1200)=0,"",INDEX(对接源_02物料!$L$4:$L$1203,$AE107-1200))))</f>
      </c>
      <c r="J107" s="122">
        <f>IF($AE107="","",IF($AE107&lt;=1200,IF(INDEX(对接源_01水果!$M$4:$M$1203,$AE107)=0,"",INDEX(对接源_01水果!$M$4:$M$1203,$AE107)),IF(INDEX(对接源_02物料!$M$4:$M$1203,$AE107-1200)=0,"",INDEX(对接源_02物料!$M$4:$M$1203,$AE107-1200))))</f>
      </c>
      <c r="AE107" s="128">
        <f>IFERROR(MATCH(102,_自动清单!$AS$4:$AS$2403,0),"")</f>
      </c>
    </row>
    <row r="108" ht="30" customHeight="1" s="127">
      <c r="A108" s="163">
        <f>IF($AE108="","",IF($AE108&lt;=1200,IF(INDEX(对接源_01水果!$B$4:$B$1203,$AE108)=0,"",INDEX(对接源_01水果!$B$4:$B$1203,$AE108)),IF(INDEX(对接源_02物料!$B$4:$B$1203,$AE108-1200)=0,"",INDEX(对接源_02物料!$B$4:$B$1203,$AE108-1200))))</f>
      </c>
      <c r="B108" s="61">
        <f>IF($AE108="","",IF($AE108&lt;=1200,IF(INDEX(对接源_01水果!$E$4:$E$1203,$AE108)=0,"",INDEX(对接源_01水果!$E$4:$E$1203,$AE108)),IF(INDEX(对接源_02物料!$E$4:$E$1203,$AE108-1200)=0,"",INDEX(对接源_02物料!$E$4:$E$1203,$AE108-1200))))</f>
      </c>
      <c r="C108" s="122">
        <f>IF($AE108="","",IF($AE108&lt;=1200,IF(INDEX(对接源_01水果!$F$4:$F$1203,$AE108)=0,"",INDEX(对接源_01水果!$F$4:$F$1203,$AE108)),IF(INDEX(对接源_02物料!$F$4:$F$1203,$AE108-1200)=0,"",INDEX(对接源_02物料!$F$4:$F$1203,$AE108-1200))))</f>
      </c>
      <c r="D108" s="61">
        <f>IF($AE108="","",IF(IF($AE108&lt;=1200,IF(INDEX(对接源_01水果!$G$4:$G$1203,$AE108)=0,"",INDEX(对接源_01水果!$G$4:$G$1203,$AE108)),IF(INDEX(对接源_02物料!$G$4:$G$1203,$AE108-1200)=0,"",INDEX(对接源_02物料!$G$4:$G$1203,$AE108-1200)))="",IF($AE108&lt;=1200,IF(INDEX(对接源_01水果!$D$4:$D$1203,$AE108)=0,"",INDEX(对接源_01水果!$D$4:$D$1203,$AE108)),IF(INDEX(对接源_02物料!$D$4:$D$1203,$AE108-1200)=0,"",INDEX(对接源_02物料!$D$4:$D$1203,$AE108-1200))),IF($AE108&lt;=1200,IF(INDEX(对接源_01水果!$G$4:$G$1203,$AE108)=0,"",INDEX(对接源_01水果!$G$4:$G$1203,$AE108)),IF(INDEX(对接源_02物料!$G$4:$G$1203,$AE108-1200)=0,"",INDEX(对接源_02物料!$G$4:$G$1203,$AE108-1200)))))</f>
      </c>
      <c r="E108" s="173">
        <f>IF($AE108="","",IF($AE108&lt;=1200,IF(INDEX(对接源_01水果!$H$4:$H$1203,$AE108)=0,"",INDEX(对接源_01水果!$H$4:$H$1203,$AE108)),IF(INDEX(对接源_02物料!$H$4:$H$1203,$AE108-1200)=0,"",INDEX(对接源_02物料!$H$4:$H$1203,$AE108-1200))))</f>
      </c>
      <c r="F108" s="61">
        <f>IF($AE108="","",IF($AE108&lt;=1200,IF(INDEX(对接源_01水果!$I$4:$I$1203,$AE108)=0,"",INDEX(对接源_01水果!$I$4:$I$1203,$AE108)),IF(INDEX(对接源_02物料!$I$4:$I$1203,$AE108-1200)=0,"",INDEX(对接源_02物料!$I$4:$I$1203,$AE108-1200))))</f>
      </c>
      <c r="G108" s="173">
        <f>IF($AE108="","",IF(IF($AE108&lt;=1200,N(INDEX(对接源_01水果!$H$4:$H$1203,$AE108)),N(INDEX(对接源_02物料!$H$4:$H$1203,$AE108-1200)))=0,"",ROUND(IF($AE108&lt;=1200,N(INDEX(对接源_01水果!$K$4:$K$1203,$AE108)),N(INDEX(对接源_02物料!$K$4:$K$1203,$AE108-1200)))/IF($AE108&lt;=1200,N(INDEX(对接源_01水果!$H$4:$H$1203,$AE108)),N(INDEX(对接源_02物料!$H$4:$H$1203,$AE108-1200))),2)))</f>
      </c>
      <c r="H108" s="173">
        <f>IF($AE108="","",IF($AE108&lt;=1200,IF(INDEX(对接源_01水果!$K$4:$K$1203,$AE108)=0,"",INDEX(对接源_01水果!$K$4:$K$1203,$AE108)),IF(INDEX(对接源_02物料!$K$4:$K$1203,$AE108-1200)=0,"",INDEX(对接源_02物料!$K$4:$K$1203,$AE108-1200))))</f>
      </c>
      <c r="I108" s="61">
        <f>IF($AE108="","",IF($AE108&lt;=1200,IF(INDEX(对接源_01水果!$L$4:$L$1203,$AE108)=0,"",INDEX(对接源_01水果!$L$4:$L$1203,$AE108)),IF(INDEX(对接源_02物料!$L$4:$L$1203,$AE108-1200)=0,"",INDEX(对接源_02物料!$L$4:$L$1203,$AE108-1200))))</f>
      </c>
      <c r="J108" s="122">
        <f>IF($AE108="","",IF($AE108&lt;=1200,IF(INDEX(对接源_01水果!$M$4:$M$1203,$AE108)=0,"",INDEX(对接源_01水果!$M$4:$M$1203,$AE108)),IF(INDEX(对接源_02物料!$M$4:$M$1203,$AE108-1200)=0,"",INDEX(对接源_02物料!$M$4:$M$1203,$AE108-1200))))</f>
      </c>
      <c r="AE108" s="128">
        <f>IFERROR(MATCH(103,_自动清单!$AS$4:$AS$2403,0),"")</f>
      </c>
    </row>
    <row r="109" ht="18" customHeight="1" s="127">
      <c r="A109" s="163">
        <f>IF($AE109="","",IF($AE109&lt;=1200,IF(INDEX(对接源_01水果!$B$4:$B$1203,$AE109)=0,"",INDEX(对接源_01水果!$B$4:$B$1203,$AE109)),IF(INDEX(对接源_02物料!$B$4:$B$1203,$AE109-1200)=0,"",INDEX(对接源_02物料!$B$4:$B$1203,$AE109-1200))))</f>
      </c>
      <c r="B109" s="61">
        <f>IF($AE109="","",IF($AE109&lt;=1200,IF(INDEX(对接源_01水果!$E$4:$E$1203,$AE109)=0,"",INDEX(对接源_01水果!$E$4:$E$1203,$AE109)),IF(INDEX(对接源_02物料!$E$4:$E$1203,$AE109-1200)=0,"",INDEX(对接源_02物料!$E$4:$E$1203,$AE109-1200))))</f>
      </c>
      <c r="C109" s="122">
        <f>IF($AE109="","",IF($AE109&lt;=1200,IF(INDEX(对接源_01水果!$F$4:$F$1203,$AE109)=0,"",INDEX(对接源_01水果!$F$4:$F$1203,$AE109)),IF(INDEX(对接源_02物料!$F$4:$F$1203,$AE109-1200)=0,"",INDEX(对接源_02物料!$F$4:$F$1203,$AE109-1200))))</f>
      </c>
      <c r="D109" s="61">
        <f>IF($AE109="","",IF(IF($AE109&lt;=1200,IF(INDEX(对接源_01水果!$G$4:$G$1203,$AE109)=0,"",INDEX(对接源_01水果!$G$4:$G$1203,$AE109)),IF(INDEX(对接源_02物料!$G$4:$G$1203,$AE109-1200)=0,"",INDEX(对接源_02物料!$G$4:$G$1203,$AE109-1200)))="",IF($AE109&lt;=1200,IF(INDEX(对接源_01水果!$D$4:$D$1203,$AE109)=0,"",INDEX(对接源_01水果!$D$4:$D$1203,$AE109)),IF(INDEX(对接源_02物料!$D$4:$D$1203,$AE109-1200)=0,"",INDEX(对接源_02物料!$D$4:$D$1203,$AE109-1200))),IF($AE109&lt;=1200,IF(INDEX(对接源_01水果!$G$4:$G$1203,$AE109)=0,"",INDEX(对接源_01水果!$G$4:$G$1203,$AE109)),IF(INDEX(对接源_02物料!$G$4:$G$1203,$AE109-1200)=0,"",INDEX(对接源_02物料!$G$4:$G$1203,$AE109-1200)))))</f>
      </c>
      <c r="E109" s="173">
        <f>IF($AE109="","",IF($AE109&lt;=1200,IF(INDEX(对接源_01水果!$H$4:$H$1203,$AE109)=0,"",INDEX(对接源_01水果!$H$4:$H$1203,$AE109)),IF(INDEX(对接源_02物料!$H$4:$H$1203,$AE109-1200)=0,"",INDEX(对接源_02物料!$H$4:$H$1203,$AE109-1200))))</f>
      </c>
      <c r="F109" s="61">
        <f>IF($AE109="","",IF($AE109&lt;=1200,IF(INDEX(对接源_01水果!$I$4:$I$1203,$AE109)=0,"",INDEX(对接源_01水果!$I$4:$I$1203,$AE109)),IF(INDEX(对接源_02物料!$I$4:$I$1203,$AE109-1200)=0,"",INDEX(对接源_02物料!$I$4:$I$1203,$AE109-1200))))</f>
      </c>
      <c r="G109" s="173">
        <f>IF($AE109="","",IF(IF($AE109&lt;=1200,N(INDEX(对接源_01水果!$H$4:$H$1203,$AE109)),N(INDEX(对接源_02物料!$H$4:$H$1203,$AE109-1200)))=0,"",ROUND(IF($AE109&lt;=1200,N(INDEX(对接源_01水果!$K$4:$K$1203,$AE109)),N(INDEX(对接源_02物料!$K$4:$K$1203,$AE109-1200)))/IF($AE109&lt;=1200,N(INDEX(对接源_01水果!$H$4:$H$1203,$AE109)),N(INDEX(对接源_02物料!$H$4:$H$1203,$AE109-1200))),2)))</f>
      </c>
      <c r="H109" s="173">
        <f>IF($AE109="","",IF($AE109&lt;=1200,IF(INDEX(对接源_01水果!$K$4:$K$1203,$AE109)=0,"",INDEX(对接源_01水果!$K$4:$K$1203,$AE109)),IF(INDEX(对接源_02物料!$K$4:$K$1203,$AE109-1200)=0,"",INDEX(对接源_02物料!$K$4:$K$1203,$AE109-1200))))</f>
      </c>
      <c r="I109" s="61">
        <f>IF($AE109="","",IF($AE109&lt;=1200,IF(INDEX(对接源_01水果!$L$4:$L$1203,$AE109)=0,"",INDEX(对接源_01水果!$L$4:$L$1203,$AE109)),IF(INDEX(对接源_02物料!$L$4:$L$1203,$AE109-1200)=0,"",INDEX(对接源_02物料!$L$4:$L$1203,$AE109-1200))))</f>
      </c>
      <c r="J109" s="122">
        <f>IF($AE109="","",IF($AE109&lt;=1200,IF(INDEX(对接源_01水果!$M$4:$M$1203,$AE109)=0,"",INDEX(对接源_01水果!$M$4:$M$1203,$AE109)),IF(INDEX(对接源_02物料!$M$4:$M$1203,$AE109-1200)=0,"",INDEX(对接源_02物料!$M$4:$M$1203,$AE109-1200))))</f>
      </c>
      <c r="AE109" s="128">
        <f>IFERROR(MATCH(104,_自动清单!$AS$4:$AS$2403,0),"")</f>
      </c>
      <c r="AF109" s="128" t="n"/>
    </row>
    <row r="110" ht="18" customHeight="1" s="127">
      <c r="A110" s="163">
        <f>IF($AE110="","",IF($AE110&lt;=1200,IF(INDEX(对接源_01水果!$B$4:$B$1203,$AE110)=0,"",INDEX(对接源_01水果!$B$4:$B$1203,$AE110)),IF(INDEX(对接源_02物料!$B$4:$B$1203,$AE110-1200)=0,"",INDEX(对接源_02物料!$B$4:$B$1203,$AE110-1200))))</f>
      </c>
      <c r="B110" s="61">
        <f>IF($AE110="","",IF($AE110&lt;=1200,IF(INDEX(对接源_01水果!$E$4:$E$1203,$AE110)=0,"",INDEX(对接源_01水果!$E$4:$E$1203,$AE110)),IF(INDEX(对接源_02物料!$E$4:$E$1203,$AE110-1200)=0,"",INDEX(对接源_02物料!$E$4:$E$1203,$AE110-1200))))</f>
      </c>
      <c r="C110" s="122">
        <f>IF($AE110="","",IF($AE110&lt;=1200,IF(INDEX(对接源_01水果!$F$4:$F$1203,$AE110)=0,"",INDEX(对接源_01水果!$F$4:$F$1203,$AE110)),IF(INDEX(对接源_02物料!$F$4:$F$1203,$AE110-1200)=0,"",INDEX(对接源_02物料!$F$4:$F$1203,$AE110-1200))))</f>
      </c>
      <c r="D110" s="61">
        <f>IF($AE110="","",IF(IF($AE110&lt;=1200,IF(INDEX(对接源_01水果!$G$4:$G$1203,$AE110)=0,"",INDEX(对接源_01水果!$G$4:$G$1203,$AE110)),IF(INDEX(对接源_02物料!$G$4:$G$1203,$AE110-1200)=0,"",INDEX(对接源_02物料!$G$4:$G$1203,$AE110-1200)))="",IF($AE110&lt;=1200,IF(INDEX(对接源_01水果!$D$4:$D$1203,$AE110)=0,"",INDEX(对接源_01水果!$D$4:$D$1203,$AE110)),IF(INDEX(对接源_02物料!$D$4:$D$1203,$AE110-1200)=0,"",INDEX(对接源_02物料!$D$4:$D$1203,$AE110-1200))),IF($AE110&lt;=1200,IF(INDEX(对接源_01水果!$G$4:$G$1203,$AE110)=0,"",INDEX(对接源_01水果!$G$4:$G$1203,$AE110)),IF(INDEX(对接源_02物料!$G$4:$G$1203,$AE110-1200)=0,"",INDEX(对接源_02物料!$G$4:$G$1203,$AE110-1200)))))</f>
      </c>
      <c r="E110" s="173">
        <f>IF($AE110="","",IF($AE110&lt;=1200,IF(INDEX(对接源_01水果!$H$4:$H$1203,$AE110)=0,"",INDEX(对接源_01水果!$H$4:$H$1203,$AE110)),IF(INDEX(对接源_02物料!$H$4:$H$1203,$AE110-1200)=0,"",INDEX(对接源_02物料!$H$4:$H$1203,$AE110-1200))))</f>
      </c>
      <c r="F110" s="61">
        <f>IF($AE110="","",IF($AE110&lt;=1200,IF(INDEX(对接源_01水果!$I$4:$I$1203,$AE110)=0,"",INDEX(对接源_01水果!$I$4:$I$1203,$AE110)),IF(INDEX(对接源_02物料!$I$4:$I$1203,$AE110-1200)=0,"",INDEX(对接源_02物料!$I$4:$I$1203,$AE110-1200))))</f>
      </c>
      <c r="G110" s="173">
        <f>IF($AE110="","",IF(IF($AE110&lt;=1200,N(INDEX(对接源_01水果!$H$4:$H$1203,$AE110)),N(INDEX(对接源_02物料!$H$4:$H$1203,$AE110-1200)))=0,"",ROUND(IF($AE110&lt;=1200,N(INDEX(对接源_01水果!$K$4:$K$1203,$AE110)),N(INDEX(对接源_02物料!$K$4:$K$1203,$AE110-1200)))/IF($AE110&lt;=1200,N(INDEX(对接源_01水果!$H$4:$H$1203,$AE110)),N(INDEX(对接源_02物料!$H$4:$H$1203,$AE110-1200))),2)))</f>
      </c>
      <c r="H110" s="173">
        <f>IF($AE110="","",IF($AE110&lt;=1200,IF(INDEX(对接源_01水果!$K$4:$K$1203,$AE110)=0,"",INDEX(对接源_01水果!$K$4:$K$1203,$AE110)),IF(INDEX(对接源_02物料!$K$4:$K$1203,$AE110-1200)=0,"",INDEX(对接源_02物料!$K$4:$K$1203,$AE110-1200))))</f>
      </c>
      <c r="I110" s="61">
        <f>IF($AE110="","",IF($AE110&lt;=1200,IF(INDEX(对接源_01水果!$L$4:$L$1203,$AE110)=0,"",INDEX(对接源_01水果!$L$4:$L$1203,$AE110)),IF(INDEX(对接源_02物料!$L$4:$L$1203,$AE110-1200)=0,"",INDEX(对接源_02物料!$L$4:$L$1203,$AE110-1200))))</f>
      </c>
      <c r="J110" s="122">
        <f>IF($AE110="","",IF($AE110&lt;=1200,IF(INDEX(对接源_01水果!$M$4:$M$1203,$AE110)=0,"",INDEX(对接源_01水果!$M$4:$M$1203,$AE110)),IF(INDEX(对接源_02物料!$M$4:$M$1203,$AE110-1200)=0,"",INDEX(对接源_02物料!$M$4:$M$1203,$AE110-1200))))</f>
      </c>
      <c r="AE110" s="128">
        <f>IFERROR(MATCH(105,_自动清单!$AS$4:$AS$2403,0),"")</f>
      </c>
      <c r="AF110" s="128" t="n"/>
    </row>
    <row r="111" ht="18" customHeight="1" s="127">
      <c r="A111" s="163">
        <f>IF($AE111="","",IF($AE111&lt;=1200,IF(INDEX(对接源_01水果!$B$4:$B$1203,$AE111)=0,"",INDEX(对接源_01水果!$B$4:$B$1203,$AE111)),IF(INDEX(对接源_02物料!$B$4:$B$1203,$AE111-1200)=0,"",INDEX(对接源_02物料!$B$4:$B$1203,$AE111-1200))))</f>
      </c>
      <c r="B111" s="61">
        <f>IF($AE111="","",IF($AE111&lt;=1200,IF(INDEX(对接源_01水果!$E$4:$E$1203,$AE111)=0,"",INDEX(对接源_01水果!$E$4:$E$1203,$AE111)),IF(INDEX(对接源_02物料!$E$4:$E$1203,$AE111-1200)=0,"",INDEX(对接源_02物料!$E$4:$E$1203,$AE111-1200))))</f>
      </c>
      <c r="C111" s="122">
        <f>IF($AE111="","",IF($AE111&lt;=1200,IF(INDEX(对接源_01水果!$F$4:$F$1203,$AE111)=0,"",INDEX(对接源_01水果!$F$4:$F$1203,$AE111)),IF(INDEX(对接源_02物料!$F$4:$F$1203,$AE111-1200)=0,"",INDEX(对接源_02物料!$F$4:$F$1203,$AE111-1200))))</f>
      </c>
      <c r="D111" s="61">
        <f>IF($AE111="","",IF(IF($AE111&lt;=1200,IF(INDEX(对接源_01水果!$G$4:$G$1203,$AE111)=0,"",INDEX(对接源_01水果!$G$4:$G$1203,$AE111)),IF(INDEX(对接源_02物料!$G$4:$G$1203,$AE111-1200)=0,"",INDEX(对接源_02物料!$G$4:$G$1203,$AE111-1200)))="",IF($AE111&lt;=1200,IF(INDEX(对接源_01水果!$D$4:$D$1203,$AE111)=0,"",INDEX(对接源_01水果!$D$4:$D$1203,$AE111)),IF(INDEX(对接源_02物料!$D$4:$D$1203,$AE111-1200)=0,"",INDEX(对接源_02物料!$D$4:$D$1203,$AE111-1200))),IF($AE111&lt;=1200,IF(INDEX(对接源_01水果!$G$4:$G$1203,$AE111)=0,"",INDEX(对接源_01水果!$G$4:$G$1203,$AE111)),IF(INDEX(对接源_02物料!$G$4:$G$1203,$AE111-1200)=0,"",INDEX(对接源_02物料!$G$4:$G$1203,$AE111-1200)))))</f>
      </c>
      <c r="E111" s="173">
        <f>IF($AE111="","",IF($AE111&lt;=1200,IF(INDEX(对接源_01水果!$H$4:$H$1203,$AE111)=0,"",INDEX(对接源_01水果!$H$4:$H$1203,$AE111)),IF(INDEX(对接源_02物料!$H$4:$H$1203,$AE111-1200)=0,"",INDEX(对接源_02物料!$H$4:$H$1203,$AE111-1200))))</f>
      </c>
      <c r="F111" s="61">
        <f>IF($AE111="","",IF($AE111&lt;=1200,IF(INDEX(对接源_01水果!$I$4:$I$1203,$AE111)=0,"",INDEX(对接源_01水果!$I$4:$I$1203,$AE111)),IF(INDEX(对接源_02物料!$I$4:$I$1203,$AE111-1200)=0,"",INDEX(对接源_02物料!$I$4:$I$1203,$AE111-1200))))</f>
      </c>
      <c r="G111" s="173">
        <f>IF($AE111="","",IF(IF($AE111&lt;=1200,N(INDEX(对接源_01水果!$H$4:$H$1203,$AE111)),N(INDEX(对接源_02物料!$H$4:$H$1203,$AE111-1200)))=0,"",ROUND(IF($AE111&lt;=1200,N(INDEX(对接源_01水果!$K$4:$K$1203,$AE111)),N(INDEX(对接源_02物料!$K$4:$K$1203,$AE111-1200)))/IF($AE111&lt;=1200,N(INDEX(对接源_01水果!$H$4:$H$1203,$AE111)),N(INDEX(对接源_02物料!$H$4:$H$1203,$AE111-1200))),2)))</f>
      </c>
      <c r="H111" s="173">
        <f>IF($AE111="","",IF($AE111&lt;=1200,IF(INDEX(对接源_01水果!$K$4:$K$1203,$AE111)=0,"",INDEX(对接源_01水果!$K$4:$K$1203,$AE111)),IF(INDEX(对接源_02物料!$K$4:$K$1203,$AE111-1200)=0,"",INDEX(对接源_02物料!$K$4:$K$1203,$AE111-1200))))</f>
      </c>
      <c r="I111" s="61">
        <f>IF($AE111="","",IF($AE111&lt;=1200,IF(INDEX(对接源_01水果!$L$4:$L$1203,$AE111)=0,"",INDEX(对接源_01水果!$L$4:$L$1203,$AE111)),IF(INDEX(对接源_02物料!$L$4:$L$1203,$AE111-1200)=0,"",INDEX(对接源_02物料!$L$4:$L$1203,$AE111-1200))))</f>
      </c>
      <c r="J111" s="122">
        <f>IF($AE111="","",IF($AE111&lt;=1200,IF(INDEX(对接源_01水果!$M$4:$M$1203,$AE111)=0,"",INDEX(对接源_01水果!$M$4:$M$1203,$AE111)),IF(INDEX(对接源_02物料!$M$4:$M$1203,$AE111-1200)=0,"",INDEX(对接源_02物料!$M$4:$M$1203,$AE111-1200))))</f>
      </c>
      <c r="AE111" s="128">
        <f>IFERROR(MATCH(106,_自动清单!$AS$4:$AS$2403,0),"")</f>
      </c>
      <c r="AF111" s="128" t="n"/>
    </row>
    <row r="112" ht="18" customHeight="1" s="127">
      <c r="A112" s="163">
        <f>IF($AE112="","",IF($AE112&lt;=1200,IF(INDEX(对接源_01水果!$B$4:$B$1203,$AE112)=0,"",INDEX(对接源_01水果!$B$4:$B$1203,$AE112)),IF(INDEX(对接源_02物料!$B$4:$B$1203,$AE112-1200)=0,"",INDEX(对接源_02物料!$B$4:$B$1203,$AE112-1200))))</f>
      </c>
      <c r="B112" s="61">
        <f>IF($AE112="","",IF($AE112&lt;=1200,IF(INDEX(对接源_01水果!$E$4:$E$1203,$AE112)=0,"",INDEX(对接源_01水果!$E$4:$E$1203,$AE112)),IF(INDEX(对接源_02物料!$E$4:$E$1203,$AE112-1200)=0,"",INDEX(对接源_02物料!$E$4:$E$1203,$AE112-1200))))</f>
      </c>
      <c r="C112" s="122">
        <f>IF($AE112="","",IF($AE112&lt;=1200,IF(INDEX(对接源_01水果!$F$4:$F$1203,$AE112)=0,"",INDEX(对接源_01水果!$F$4:$F$1203,$AE112)),IF(INDEX(对接源_02物料!$F$4:$F$1203,$AE112-1200)=0,"",INDEX(对接源_02物料!$F$4:$F$1203,$AE112-1200))))</f>
      </c>
      <c r="D112" s="61">
        <f>IF($AE112="","",IF(IF($AE112&lt;=1200,IF(INDEX(对接源_01水果!$G$4:$G$1203,$AE112)=0,"",INDEX(对接源_01水果!$G$4:$G$1203,$AE112)),IF(INDEX(对接源_02物料!$G$4:$G$1203,$AE112-1200)=0,"",INDEX(对接源_02物料!$G$4:$G$1203,$AE112-1200)))="",IF($AE112&lt;=1200,IF(INDEX(对接源_01水果!$D$4:$D$1203,$AE112)=0,"",INDEX(对接源_01水果!$D$4:$D$1203,$AE112)),IF(INDEX(对接源_02物料!$D$4:$D$1203,$AE112-1200)=0,"",INDEX(对接源_02物料!$D$4:$D$1203,$AE112-1200))),IF($AE112&lt;=1200,IF(INDEX(对接源_01水果!$G$4:$G$1203,$AE112)=0,"",INDEX(对接源_01水果!$G$4:$G$1203,$AE112)),IF(INDEX(对接源_02物料!$G$4:$G$1203,$AE112-1200)=0,"",INDEX(对接源_02物料!$G$4:$G$1203,$AE112-1200)))))</f>
      </c>
      <c r="E112" s="173">
        <f>IF($AE112="","",IF($AE112&lt;=1200,IF(INDEX(对接源_01水果!$H$4:$H$1203,$AE112)=0,"",INDEX(对接源_01水果!$H$4:$H$1203,$AE112)),IF(INDEX(对接源_02物料!$H$4:$H$1203,$AE112-1200)=0,"",INDEX(对接源_02物料!$H$4:$H$1203,$AE112-1200))))</f>
      </c>
      <c r="F112" s="61">
        <f>IF($AE112="","",IF($AE112&lt;=1200,IF(INDEX(对接源_01水果!$I$4:$I$1203,$AE112)=0,"",INDEX(对接源_01水果!$I$4:$I$1203,$AE112)),IF(INDEX(对接源_02物料!$I$4:$I$1203,$AE112-1200)=0,"",INDEX(对接源_02物料!$I$4:$I$1203,$AE112-1200))))</f>
      </c>
      <c r="G112" s="173">
        <f>IF($AE112="","",IF(IF($AE112&lt;=1200,N(INDEX(对接源_01水果!$H$4:$H$1203,$AE112)),N(INDEX(对接源_02物料!$H$4:$H$1203,$AE112-1200)))=0,"",ROUND(IF($AE112&lt;=1200,N(INDEX(对接源_01水果!$K$4:$K$1203,$AE112)),N(INDEX(对接源_02物料!$K$4:$K$1203,$AE112-1200)))/IF($AE112&lt;=1200,N(INDEX(对接源_01水果!$H$4:$H$1203,$AE112)),N(INDEX(对接源_02物料!$H$4:$H$1203,$AE112-1200))),2)))</f>
      </c>
      <c r="H112" s="173">
        <f>IF($AE112="","",IF($AE112&lt;=1200,IF(INDEX(对接源_01水果!$K$4:$K$1203,$AE112)=0,"",INDEX(对接源_01水果!$K$4:$K$1203,$AE112)),IF(INDEX(对接源_02物料!$K$4:$K$1203,$AE112-1200)=0,"",INDEX(对接源_02物料!$K$4:$K$1203,$AE112-1200))))</f>
      </c>
      <c r="I112" s="61">
        <f>IF($AE112="","",IF($AE112&lt;=1200,IF(INDEX(对接源_01水果!$L$4:$L$1203,$AE112)=0,"",INDEX(对接源_01水果!$L$4:$L$1203,$AE112)),IF(INDEX(对接源_02物料!$L$4:$L$1203,$AE112-1200)=0,"",INDEX(对接源_02物料!$L$4:$L$1203,$AE112-1200))))</f>
      </c>
      <c r="J112" s="122">
        <f>IF($AE112="","",IF($AE112&lt;=1200,IF(INDEX(对接源_01水果!$M$4:$M$1203,$AE112)=0,"",INDEX(对接源_01水果!$M$4:$M$1203,$AE112)),IF(INDEX(对接源_02物料!$M$4:$M$1203,$AE112-1200)=0,"",INDEX(对接源_02物料!$M$4:$M$1203,$AE112-1200))))</f>
      </c>
      <c r="AE112" s="128">
        <f>IFERROR(MATCH(107,_自动清单!$AS$4:$AS$2403,0),"")</f>
      </c>
      <c r="AF112" s="128" t="n"/>
    </row>
    <row r="113" ht="18" customHeight="1" s="127">
      <c r="A113" s="163">
        <f>IF($AE113="","",IF($AE113&lt;=1200,IF(INDEX(对接源_01水果!$B$4:$B$1203,$AE113)=0,"",INDEX(对接源_01水果!$B$4:$B$1203,$AE113)),IF(INDEX(对接源_02物料!$B$4:$B$1203,$AE113-1200)=0,"",INDEX(对接源_02物料!$B$4:$B$1203,$AE113-1200))))</f>
      </c>
      <c r="B113" s="61">
        <f>IF($AE113="","",IF($AE113&lt;=1200,IF(INDEX(对接源_01水果!$E$4:$E$1203,$AE113)=0,"",INDEX(对接源_01水果!$E$4:$E$1203,$AE113)),IF(INDEX(对接源_02物料!$E$4:$E$1203,$AE113-1200)=0,"",INDEX(对接源_02物料!$E$4:$E$1203,$AE113-1200))))</f>
      </c>
      <c r="C113" s="122">
        <f>IF($AE113="","",IF($AE113&lt;=1200,IF(INDEX(对接源_01水果!$F$4:$F$1203,$AE113)=0,"",INDEX(对接源_01水果!$F$4:$F$1203,$AE113)),IF(INDEX(对接源_02物料!$F$4:$F$1203,$AE113-1200)=0,"",INDEX(对接源_02物料!$F$4:$F$1203,$AE113-1200))))</f>
      </c>
      <c r="D113" s="61">
        <f>IF($AE113="","",IF(IF($AE113&lt;=1200,IF(INDEX(对接源_01水果!$G$4:$G$1203,$AE113)=0,"",INDEX(对接源_01水果!$G$4:$G$1203,$AE113)),IF(INDEX(对接源_02物料!$G$4:$G$1203,$AE113-1200)=0,"",INDEX(对接源_02物料!$G$4:$G$1203,$AE113-1200)))="",IF($AE113&lt;=1200,IF(INDEX(对接源_01水果!$D$4:$D$1203,$AE113)=0,"",INDEX(对接源_01水果!$D$4:$D$1203,$AE113)),IF(INDEX(对接源_02物料!$D$4:$D$1203,$AE113-1200)=0,"",INDEX(对接源_02物料!$D$4:$D$1203,$AE113-1200))),IF($AE113&lt;=1200,IF(INDEX(对接源_01水果!$G$4:$G$1203,$AE113)=0,"",INDEX(对接源_01水果!$G$4:$G$1203,$AE113)),IF(INDEX(对接源_02物料!$G$4:$G$1203,$AE113-1200)=0,"",INDEX(对接源_02物料!$G$4:$G$1203,$AE113-1200)))))</f>
      </c>
      <c r="E113" s="173">
        <f>IF($AE113="","",IF($AE113&lt;=1200,IF(INDEX(对接源_01水果!$H$4:$H$1203,$AE113)=0,"",INDEX(对接源_01水果!$H$4:$H$1203,$AE113)),IF(INDEX(对接源_02物料!$H$4:$H$1203,$AE113-1200)=0,"",INDEX(对接源_02物料!$H$4:$H$1203,$AE113-1200))))</f>
      </c>
      <c r="F113" s="61">
        <f>IF($AE113="","",IF($AE113&lt;=1200,IF(INDEX(对接源_01水果!$I$4:$I$1203,$AE113)=0,"",INDEX(对接源_01水果!$I$4:$I$1203,$AE113)),IF(INDEX(对接源_02物料!$I$4:$I$1203,$AE113-1200)=0,"",INDEX(对接源_02物料!$I$4:$I$1203,$AE113-1200))))</f>
      </c>
      <c r="G113" s="173">
        <f>IF($AE113="","",IF(IF($AE113&lt;=1200,N(INDEX(对接源_01水果!$H$4:$H$1203,$AE113)),N(INDEX(对接源_02物料!$H$4:$H$1203,$AE113-1200)))=0,"",ROUND(IF($AE113&lt;=1200,N(INDEX(对接源_01水果!$K$4:$K$1203,$AE113)),N(INDEX(对接源_02物料!$K$4:$K$1203,$AE113-1200)))/IF($AE113&lt;=1200,N(INDEX(对接源_01水果!$H$4:$H$1203,$AE113)),N(INDEX(对接源_02物料!$H$4:$H$1203,$AE113-1200))),2)))</f>
      </c>
      <c r="H113" s="173">
        <f>IF($AE113="","",IF($AE113&lt;=1200,IF(INDEX(对接源_01水果!$K$4:$K$1203,$AE113)=0,"",INDEX(对接源_01水果!$K$4:$K$1203,$AE113)),IF(INDEX(对接源_02物料!$K$4:$K$1203,$AE113-1200)=0,"",INDEX(对接源_02物料!$K$4:$K$1203,$AE113-1200))))</f>
      </c>
      <c r="I113" s="61">
        <f>IF($AE113="","",IF($AE113&lt;=1200,IF(INDEX(对接源_01水果!$L$4:$L$1203,$AE113)=0,"",INDEX(对接源_01水果!$L$4:$L$1203,$AE113)),IF(INDEX(对接源_02物料!$L$4:$L$1203,$AE113-1200)=0,"",INDEX(对接源_02物料!$L$4:$L$1203,$AE113-1200))))</f>
      </c>
      <c r="J113" s="122">
        <f>IF($AE113="","",IF($AE113&lt;=1200,IF(INDEX(对接源_01水果!$M$4:$M$1203,$AE113)=0,"",INDEX(对接源_01水果!$M$4:$M$1203,$AE113)),IF(INDEX(对接源_02物料!$M$4:$M$1203,$AE113-1200)=0,"",INDEX(对接源_02物料!$M$4:$M$1203,$AE113-1200))))</f>
      </c>
      <c r="AE113" s="128">
        <f>IFERROR(MATCH(108,_自动清单!$AS$4:$AS$2403,0),"")</f>
      </c>
      <c r="AF113" s="128" t="n"/>
    </row>
    <row r="114" ht="18" customHeight="1" s="127">
      <c r="A114" s="163">
        <f>IF($AE114="","",IF($AE114&lt;=1200,IF(INDEX(对接源_01水果!$B$4:$B$1203,$AE114)=0,"",INDEX(对接源_01水果!$B$4:$B$1203,$AE114)),IF(INDEX(对接源_02物料!$B$4:$B$1203,$AE114-1200)=0,"",INDEX(对接源_02物料!$B$4:$B$1203,$AE114-1200))))</f>
      </c>
      <c r="B114" s="61">
        <f>IF($AE114="","",IF($AE114&lt;=1200,IF(INDEX(对接源_01水果!$E$4:$E$1203,$AE114)=0,"",INDEX(对接源_01水果!$E$4:$E$1203,$AE114)),IF(INDEX(对接源_02物料!$E$4:$E$1203,$AE114-1200)=0,"",INDEX(对接源_02物料!$E$4:$E$1203,$AE114-1200))))</f>
      </c>
      <c r="C114" s="122">
        <f>IF($AE114="","",IF($AE114&lt;=1200,IF(INDEX(对接源_01水果!$F$4:$F$1203,$AE114)=0,"",INDEX(对接源_01水果!$F$4:$F$1203,$AE114)),IF(INDEX(对接源_02物料!$F$4:$F$1203,$AE114-1200)=0,"",INDEX(对接源_02物料!$F$4:$F$1203,$AE114-1200))))</f>
      </c>
      <c r="D114" s="61">
        <f>IF($AE114="","",IF(IF($AE114&lt;=1200,IF(INDEX(对接源_01水果!$G$4:$G$1203,$AE114)=0,"",INDEX(对接源_01水果!$G$4:$G$1203,$AE114)),IF(INDEX(对接源_02物料!$G$4:$G$1203,$AE114-1200)=0,"",INDEX(对接源_02物料!$G$4:$G$1203,$AE114-1200)))="",IF($AE114&lt;=1200,IF(INDEX(对接源_01水果!$D$4:$D$1203,$AE114)=0,"",INDEX(对接源_01水果!$D$4:$D$1203,$AE114)),IF(INDEX(对接源_02物料!$D$4:$D$1203,$AE114-1200)=0,"",INDEX(对接源_02物料!$D$4:$D$1203,$AE114-1200))),IF($AE114&lt;=1200,IF(INDEX(对接源_01水果!$G$4:$G$1203,$AE114)=0,"",INDEX(对接源_01水果!$G$4:$G$1203,$AE114)),IF(INDEX(对接源_02物料!$G$4:$G$1203,$AE114-1200)=0,"",INDEX(对接源_02物料!$G$4:$G$1203,$AE114-1200)))))</f>
      </c>
      <c r="E114" s="173">
        <f>IF($AE114="","",IF($AE114&lt;=1200,IF(INDEX(对接源_01水果!$H$4:$H$1203,$AE114)=0,"",INDEX(对接源_01水果!$H$4:$H$1203,$AE114)),IF(INDEX(对接源_02物料!$H$4:$H$1203,$AE114-1200)=0,"",INDEX(对接源_02物料!$H$4:$H$1203,$AE114-1200))))</f>
      </c>
      <c r="F114" s="61">
        <f>IF($AE114="","",IF($AE114&lt;=1200,IF(INDEX(对接源_01水果!$I$4:$I$1203,$AE114)=0,"",INDEX(对接源_01水果!$I$4:$I$1203,$AE114)),IF(INDEX(对接源_02物料!$I$4:$I$1203,$AE114-1200)=0,"",INDEX(对接源_02物料!$I$4:$I$1203,$AE114-1200))))</f>
      </c>
      <c r="G114" s="173">
        <f>IF($AE114="","",IF(IF($AE114&lt;=1200,N(INDEX(对接源_01水果!$H$4:$H$1203,$AE114)),N(INDEX(对接源_02物料!$H$4:$H$1203,$AE114-1200)))=0,"",ROUND(IF($AE114&lt;=1200,N(INDEX(对接源_01水果!$K$4:$K$1203,$AE114)),N(INDEX(对接源_02物料!$K$4:$K$1203,$AE114-1200)))/IF($AE114&lt;=1200,N(INDEX(对接源_01水果!$H$4:$H$1203,$AE114)),N(INDEX(对接源_02物料!$H$4:$H$1203,$AE114-1200))),2)))</f>
      </c>
      <c r="H114" s="173">
        <f>IF($AE114="","",IF($AE114&lt;=1200,IF(INDEX(对接源_01水果!$K$4:$K$1203,$AE114)=0,"",INDEX(对接源_01水果!$K$4:$K$1203,$AE114)),IF(INDEX(对接源_02物料!$K$4:$K$1203,$AE114-1200)=0,"",INDEX(对接源_02物料!$K$4:$K$1203,$AE114-1200))))</f>
      </c>
      <c r="I114" s="61">
        <f>IF($AE114="","",IF($AE114&lt;=1200,IF(INDEX(对接源_01水果!$L$4:$L$1203,$AE114)=0,"",INDEX(对接源_01水果!$L$4:$L$1203,$AE114)),IF(INDEX(对接源_02物料!$L$4:$L$1203,$AE114-1200)=0,"",INDEX(对接源_02物料!$L$4:$L$1203,$AE114-1200))))</f>
      </c>
      <c r="J114" s="122">
        <f>IF($AE114="","",IF($AE114&lt;=1200,IF(INDEX(对接源_01水果!$M$4:$M$1203,$AE114)=0,"",INDEX(对接源_01水果!$M$4:$M$1203,$AE114)),IF(INDEX(对接源_02物料!$M$4:$M$1203,$AE114-1200)=0,"",INDEX(对接源_02物料!$M$4:$M$1203,$AE114-1200))))</f>
      </c>
      <c r="AE114" s="128">
        <f>IFERROR(MATCH(109,_自动清单!$AS$4:$AS$2403,0),"")</f>
      </c>
      <c r="AF114" s="128" t="n"/>
    </row>
    <row r="115" ht="18" customHeight="1" s="127">
      <c r="A115" s="163">
        <f>IF($AE115="","",IF($AE115&lt;=1200,IF(INDEX(对接源_01水果!$B$4:$B$1203,$AE115)=0,"",INDEX(对接源_01水果!$B$4:$B$1203,$AE115)),IF(INDEX(对接源_02物料!$B$4:$B$1203,$AE115-1200)=0,"",INDEX(对接源_02物料!$B$4:$B$1203,$AE115-1200))))</f>
      </c>
      <c r="B115" s="61">
        <f>IF($AE115="","",IF($AE115&lt;=1200,IF(INDEX(对接源_01水果!$E$4:$E$1203,$AE115)=0,"",INDEX(对接源_01水果!$E$4:$E$1203,$AE115)),IF(INDEX(对接源_02物料!$E$4:$E$1203,$AE115-1200)=0,"",INDEX(对接源_02物料!$E$4:$E$1203,$AE115-1200))))</f>
      </c>
      <c r="C115" s="122">
        <f>IF($AE115="","",IF($AE115&lt;=1200,IF(INDEX(对接源_01水果!$F$4:$F$1203,$AE115)=0,"",INDEX(对接源_01水果!$F$4:$F$1203,$AE115)),IF(INDEX(对接源_02物料!$F$4:$F$1203,$AE115-1200)=0,"",INDEX(对接源_02物料!$F$4:$F$1203,$AE115-1200))))</f>
      </c>
      <c r="D115" s="61">
        <f>IF($AE115="","",IF(IF($AE115&lt;=1200,IF(INDEX(对接源_01水果!$G$4:$G$1203,$AE115)=0,"",INDEX(对接源_01水果!$G$4:$G$1203,$AE115)),IF(INDEX(对接源_02物料!$G$4:$G$1203,$AE115-1200)=0,"",INDEX(对接源_02物料!$G$4:$G$1203,$AE115-1200)))="",IF($AE115&lt;=1200,IF(INDEX(对接源_01水果!$D$4:$D$1203,$AE115)=0,"",INDEX(对接源_01水果!$D$4:$D$1203,$AE115)),IF(INDEX(对接源_02物料!$D$4:$D$1203,$AE115-1200)=0,"",INDEX(对接源_02物料!$D$4:$D$1203,$AE115-1200))),IF($AE115&lt;=1200,IF(INDEX(对接源_01水果!$G$4:$G$1203,$AE115)=0,"",INDEX(对接源_01水果!$G$4:$G$1203,$AE115)),IF(INDEX(对接源_02物料!$G$4:$G$1203,$AE115-1200)=0,"",INDEX(对接源_02物料!$G$4:$G$1203,$AE115-1200)))))</f>
      </c>
      <c r="E115" s="173">
        <f>IF($AE115="","",IF($AE115&lt;=1200,IF(INDEX(对接源_01水果!$H$4:$H$1203,$AE115)=0,"",INDEX(对接源_01水果!$H$4:$H$1203,$AE115)),IF(INDEX(对接源_02物料!$H$4:$H$1203,$AE115-1200)=0,"",INDEX(对接源_02物料!$H$4:$H$1203,$AE115-1200))))</f>
      </c>
      <c r="F115" s="61">
        <f>IF($AE115="","",IF($AE115&lt;=1200,IF(INDEX(对接源_01水果!$I$4:$I$1203,$AE115)=0,"",INDEX(对接源_01水果!$I$4:$I$1203,$AE115)),IF(INDEX(对接源_02物料!$I$4:$I$1203,$AE115-1200)=0,"",INDEX(对接源_02物料!$I$4:$I$1203,$AE115-1200))))</f>
      </c>
      <c r="G115" s="173">
        <f>IF($AE115="","",IF(IF($AE115&lt;=1200,N(INDEX(对接源_01水果!$H$4:$H$1203,$AE115)),N(INDEX(对接源_02物料!$H$4:$H$1203,$AE115-1200)))=0,"",ROUND(IF($AE115&lt;=1200,N(INDEX(对接源_01水果!$K$4:$K$1203,$AE115)),N(INDEX(对接源_02物料!$K$4:$K$1203,$AE115-1200)))/IF($AE115&lt;=1200,N(INDEX(对接源_01水果!$H$4:$H$1203,$AE115)),N(INDEX(对接源_02物料!$H$4:$H$1203,$AE115-1200))),2)))</f>
      </c>
      <c r="H115" s="173">
        <f>IF($AE115="","",IF($AE115&lt;=1200,IF(INDEX(对接源_01水果!$K$4:$K$1203,$AE115)=0,"",INDEX(对接源_01水果!$K$4:$K$1203,$AE115)),IF(INDEX(对接源_02物料!$K$4:$K$1203,$AE115-1200)=0,"",INDEX(对接源_02物料!$K$4:$K$1203,$AE115-1200))))</f>
      </c>
      <c r="I115" s="61">
        <f>IF($AE115="","",IF($AE115&lt;=1200,IF(INDEX(对接源_01水果!$L$4:$L$1203,$AE115)=0,"",INDEX(对接源_01水果!$L$4:$L$1203,$AE115)),IF(INDEX(对接源_02物料!$L$4:$L$1203,$AE115-1200)=0,"",INDEX(对接源_02物料!$L$4:$L$1203,$AE115-1200))))</f>
      </c>
      <c r="J115" s="122">
        <f>IF($AE115="","",IF($AE115&lt;=1200,IF(INDEX(对接源_01水果!$M$4:$M$1203,$AE115)=0,"",INDEX(对接源_01水果!$M$4:$M$1203,$AE115)),IF(INDEX(对接源_02物料!$M$4:$M$1203,$AE115-1200)=0,"",INDEX(对接源_02物料!$M$4:$M$1203,$AE115-1200))))</f>
      </c>
      <c r="AE115" s="128">
        <f>IFERROR(MATCH(110,_自动清单!$AS$4:$AS$2403,0),"")</f>
      </c>
      <c r="AF115" s="128" t="n"/>
    </row>
    <row r="116" ht="18" customHeight="1" s="127">
      <c r="A116" s="163">
        <f>IF($AE116="","",IF($AE116&lt;=1200,IF(INDEX(对接源_01水果!$B$4:$B$1203,$AE116)=0,"",INDEX(对接源_01水果!$B$4:$B$1203,$AE116)),IF(INDEX(对接源_02物料!$B$4:$B$1203,$AE116-1200)=0,"",INDEX(对接源_02物料!$B$4:$B$1203,$AE116-1200))))</f>
      </c>
      <c r="B116" s="61">
        <f>IF($AE116="","",IF($AE116&lt;=1200,IF(INDEX(对接源_01水果!$E$4:$E$1203,$AE116)=0,"",INDEX(对接源_01水果!$E$4:$E$1203,$AE116)),IF(INDEX(对接源_02物料!$E$4:$E$1203,$AE116-1200)=0,"",INDEX(对接源_02物料!$E$4:$E$1203,$AE116-1200))))</f>
      </c>
      <c r="C116" s="122">
        <f>IF($AE116="","",IF($AE116&lt;=1200,IF(INDEX(对接源_01水果!$F$4:$F$1203,$AE116)=0,"",INDEX(对接源_01水果!$F$4:$F$1203,$AE116)),IF(INDEX(对接源_02物料!$F$4:$F$1203,$AE116-1200)=0,"",INDEX(对接源_02物料!$F$4:$F$1203,$AE116-1200))))</f>
      </c>
      <c r="D116" s="61">
        <f>IF($AE116="","",IF(IF($AE116&lt;=1200,IF(INDEX(对接源_01水果!$G$4:$G$1203,$AE116)=0,"",INDEX(对接源_01水果!$G$4:$G$1203,$AE116)),IF(INDEX(对接源_02物料!$G$4:$G$1203,$AE116-1200)=0,"",INDEX(对接源_02物料!$G$4:$G$1203,$AE116-1200)))="",IF($AE116&lt;=1200,IF(INDEX(对接源_01水果!$D$4:$D$1203,$AE116)=0,"",INDEX(对接源_01水果!$D$4:$D$1203,$AE116)),IF(INDEX(对接源_02物料!$D$4:$D$1203,$AE116-1200)=0,"",INDEX(对接源_02物料!$D$4:$D$1203,$AE116-1200))),IF($AE116&lt;=1200,IF(INDEX(对接源_01水果!$G$4:$G$1203,$AE116)=0,"",INDEX(对接源_01水果!$G$4:$G$1203,$AE116)),IF(INDEX(对接源_02物料!$G$4:$G$1203,$AE116-1200)=0,"",INDEX(对接源_02物料!$G$4:$G$1203,$AE116-1200)))))</f>
      </c>
      <c r="E116" s="173">
        <f>IF($AE116="","",IF($AE116&lt;=1200,IF(INDEX(对接源_01水果!$H$4:$H$1203,$AE116)=0,"",INDEX(对接源_01水果!$H$4:$H$1203,$AE116)),IF(INDEX(对接源_02物料!$H$4:$H$1203,$AE116-1200)=0,"",INDEX(对接源_02物料!$H$4:$H$1203,$AE116-1200))))</f>
      </c>
      <c r="F116" s="61">
        <f>IF($AE116="","",IF($AE116&lt;=1200,IF(INDEX(对接源_01水果!$I$4:$I$1203,$AE116)=0,"",INDEX(对接源_01水果!$I$4:$I$1203,$AE116)),IF(INDEX(对接源_02物料!$I$4:$I$1203,$AE116-1200)=0,"",INDEX(对接源_02物料!$I$4:$I$1203,$AE116-1200))))</f>
      </c>
      <c r="G116" s="173">
        <f>IF($AE116="","",IF(IF($AE116&lt;=1200,N(INDEX(对接源_01水果!$H$4:$H$1203,$AE116)),N(INDEX(对接源_02物料!$H$4:$H$1203,$AE116-1200)))=0,"",ROUND(IF($AE116&lt;=1200,N(INDEX(对接源_01水果!$K$4:$K$1203,$AE116)),N(INDEX(对接源_02物料!$K$4:$K$1203,$AE116-1200)))/IF($AE116&lt;=1200,N(INDEX(对接源_01水果!$H$4:$H$1203,$AE116)),N(INDEX(对接源_02物料!$H$4:$H$1203,$AE116-1200))),2)))</f>
      </c>
      <c r="H116" s="173">
        <f>IF($AE116="","",IF($AE116&lt;=1200,IF(INDEX(对接源_01水果!$K$4:$K$1203,$AE116)=0,"",INDEX(对接源_01水果!$K$4:$K$1203,$AE116)),IF(INDEX(对接源_02物料!$K$4:$K$1203,$AE116-1200)=0,"",INDEX(对接源_02物料!$K$4:$K$1203,$AE116-1200))))</f>
      </c>
      <c r="I116" s="61">
        <f>IF($AE116="","",IF($AE116&lt;=1200,IF(INDEX(对接源_01水果!$L$4:$L$1203,$AE116)=0,"",INDEX(对接源_01水果!$L$4:$L$1203,$AE116)),IF(INDEX(对接源_02物料!$L$4:$L$1203,$AE116-1200)=0,"",INDEX(对接源_02物料!$L$4:$L$1203,$AE116-1200))))</f>
      </c>
      <c r="J116" s="122">
        <f>IF($AE116="","",IF($AE116&lt;=1200,IF(INDEX(对接源_01水果!$M$4:$M$1203,$AE116)=0,"",INDEX(对接源_01水果!$M$4:$M$1203,$AE116)),IF(INDEX(对接源_02物料!$M$4:$M$1203,$AE116-1200)=0,"",INDEX(对接源_02物料!$M$4:$M$1203,$AE116-1200))))</f>
      </c>
      <c r="AE116" s="128">
        <f>IFERROR(MATCH(111,_自动清单!$AS$4:$AS$2403,0),"")</f>
      </c>
      <c r="AF116" s="128" t="n"/>
    </row>
    <row r="117" ht="18" customHeight="1" s="127">
      <c r="A117" s="163">
        <f>IF($AE117="","",IF($AE117&lt;=1200,IF(INDEX(对接源_01水果!$B$4:$B$1203,$AE117)=0,"",INDEX(对接源_01水果!$B$4:$B$1203,$AE117)),IF(INDEX(对接源_02物料!$B$4:$B$1203,$AE117-1200)=0,"",INDEX(对接源_02物料!$B$4:$B$1203,$AE117-1200))))</f>
      </c>
      <c r="B117" s="61">
        <f>IF($AE117="","",IF($AE117&lt;=1200,IF(INDEX(对接源_01水果!$E$4:$E$1203,$AE117)=0,"",INDEX(对接源_01水果!$E$4:$E$1203,$AE117)),IF(INDEX(对接源_02物料!$E$4:$E$1203,$AE117-1200)=0,"",INDEX(对接源_02物料!$E$4:$E$1203,$AE117-1200))))</f>
      </c>
      <c r="C117" s="122">
        <f>IF($AE117="","",IF($AE117&lt;=1200,IF(INDEX(对接源_01水果!$F$4:$F$1203,$AE117)=0,"",INDEX(对接源_01水果!$F$4:$F$1203,$AE117)),IF(INDEX(对接源_02物料!$F$4:$F$1203,$AE117-1200)=0,"",INDEX(对接源_02物料!$F$4:$F$1203,$AE117-1200))))</f>
      </c>
      <c r="D117" s="61">
        <f>IF($AE117="","",IF(IF($AE117&lt;=1200,IF(INDEX(对接源_01水果!$G$4:$G$1203,$AE117)=0,"",INDEX(对接源_01水果!$G$4:$G$1203,$AE117)),IF(INDEX(对接源_02物料!$G$4:$G$1203,$AE117-1200)=0,"",INDEX(对接源_02物料!$G$4:$G$1203,$AE117-1200)))="",IF($AE117&lt;=1200,IF(INDEX(对接源_01水果!$D$4:$D$1203,$AE117)=0,"",INDEX(对接源_01水果!$D$4:$D$1203,$AE117)),IF(INDEX(对接源_02物料!$D$4:$D$1203,$AE117-1200)=0,"",INDEX(对接源_02物料!$D$4:$D$1203,$AE117-1200))),IF($AE117&lt;=1200,IF(INDEX(对接源_01水果!$G$4:$G$1203,$AE117)=0,"",INDEX(对接源_01水果!$G$4:$G$1203,$AE117)),IF(INDEX(对接源_02物料!$G$4:$G$1203,$AE117-1200)=0,"",INDEX(对接源_02物料!$G$4:$G$1203,$AE117-1200)))))</f>
      </c>
      <c r="E117" s="173">
        <f>IF($AE117="","",IF($AE117&lt;=1200,IF(INDEX(对接源_01水果!$H$4:$H$1203,$AE117)=0,"",INDEX(对接源_01水果!$H$4:$H$1203,$AE117)),IF(INDEX(对接源_02物料!$H$4:$H$1203,$AE117-1200)=0,"",INDEX(对接源_02物料!$H$4:$H$1203,$AE117-1200))))</f>
      </c>
      <c r="F117" s="61">
        <f>IF($AE117="","",IF($AE117&lt;=1200,IF(INDEX(对接源_01水果!$I$4:$I$1203,$AE117)=0,"",INDEX(对接源_01水果!$I$4:$I$1203,$AE117)),IF(INDEX(对接源_02物料!$I$4:$I$1203,$AE117-1200)=0,"",INDEX(对接源_02物料!$I$4:$I$1203,$AE117-1200))))</f>
      </c>
      <c r="G117" s="173">
        <f>IF($AE117="","",IF(IF($AE117&lt;=1200,N(INDEX(对接源_01水果!$H$4:$H$1203,$AE117)),N(INDEX(对接源_02物料!$H$4:$H$1203,$AE117-1200)))=0,"",ROUND(IF($AE117&lt;=1200,N(INDEX(对接源_01水果!$K$4:$K$1203,$AE117)),N(INDEX(对接源_02物料!$K$4:$K$1203,$AE117-1200)))/IF($AE117&lt;=1200,N(INDEX(对接源_01水果!$H$4:$H$1203,$AE117)),N(INDEX(对接源_02物料!$H$4:$H$1203,$AE117-1200))),2)))</f>
      </c>
      <c r="H117" s="173">
        <f>IF($AE117="","",IF($AE117&lt;=1200,IF(INDEX(对接源_01水果!$K$4:$K$1203,$AE117)=0,"",INDEX(对接源_01水果!$K$4:$K$1203,$AE117)),IF(INDEX(对接源_02物料!$K$4:$K$1203,$AE117-1200)=0,"",INDEX(对接源_02物料!$K$4:$K$1203,$AE117-1200))))</f>
      </c>
      <c r="I117" s="61">
        <f>IF($AE117="","",IF($AE117&lt;=1200,IF(INDEX(对接源_01水果!$L$4:$L$1203,$AE117)=0,"",INDEX(对接源_01水果!$L$4:$L$1203,$AE117)),IF(INDEX(对接源_02物料!$L$4:$L$1203,$AE117-1200)=0,"",INDEX(对接源_02物料!$L$4:$L$1203,$AE117-1200))))</f>
      </c>
      <c r="J117" s="122">
        <f>IF($AE117="","",IF($AE117&lt;=1200,IF(INDEX(对接源_01水果!$M$4:$M$1203,$AE117)=0,"",INDEX(对接源_01水果!$M$4:$M$1203,$AE117)),IF(INDEX(对接源_02物料!$M$4:$M$1203,$AE117-1200)=0,"",INDEX(对接源_02物料!$M$4:$M$1203,$AE117-1200))))</f>
      </c>
      <c r="AE117" s="128">
        <f>IFERROR(MATCH(112,_自动清单!$AS$4:$AS$2403,0),"")</f>
      </c>
      <c r="AF117" s="128" t="n"/>
    </row>
    <row r="118" ht="18" customHeight="1" s="127">
      <c r="A118" s="163">
        <f>IF($AE118="","",IF($AE118&lt;=1200,IF(INDEX(对接源_01水果!$B$4:$B$1203,$AE118)=0,"",INDEX(对接源_01水果!$B$4:$B$1203,$AE118)),IF(INDEX(对接源_02物料!$B$4:$B$1203,$AE118-1200)=0,"",INDEX(对接源_02物料!$B$4:$B$1203,$AE118-1200))))</f>
      </c>
      <c r="B118" s="61">
        <f>IF($AE118="","",IF($AE118&lt;=1200,IF(INDEX(对接源_01水果!$E$4:$E$1203,$AE118)=0,"",INDEX(对接源_01水果!$E$4:$E$1203,$AE118)),IF(INDEX(对接源_02物料!$E$4:$E$1203,$AE118-1200)=0,"",INDEX(对接源_02物料!$E$4:$E$1203,$AE118-1200))))</f>
      </c>
      <c r="C118" s="122">
        <f>IF($AE118="","",IF($AE118&lt;=1200,IF(INDEX(对接源_01水果!$F$4:$F$1203,$AE118)=0,"",INDEX(对接源_01水果!$F$4:$F$1203,$AE118)),IF(INDEX(对接源_02物料!$F$4:$F$1203,$AE118-1200)=0,"",INDEX(对接源_02物料!$F$4:$F$1203,$AE118-1200))))</f>
      </c>
      <c r="D118" s="61">
        <f>IF($AE118="","",IF(IF($AE118&lt;=1200,IF(INDEX(对接源_01水果!$G$4:$G$1203,$AE118)=0,"",INDEX(对接源_01水果!$G$4:$G$1203,$AE118)),IF(INDEX(对接源_02物料!$G$4:$G$1203,$AE118-1200)=0,"",INDEX(对接源_02物料!$G$4:$G$1203,$AE118-1200)))="",IF($AE118&lt;=1200,IF(INDEX(对接源_01水果!$D$4:$D$1203,$AE118)=0,"",INDEX(对接源_01水果!$D$4:$D$1203,$AE118)),IF(INDEX(对接源_02物料!$D$4:$D$1203,$AE118-1200)=0,"",INDEX(对接源_02物料!$D$4:$D$1203,$AE118-1200))),IF($AE118&lt;=1200,IF(INDEX(对接源_01水果!$G$4:$G$1203,$AE118)=0,"",INDEX(对接源_01水果!$G$4:$G$1203,$AE118)),IF(INDEX(对接源_02物料!$G$4:$G$1203,$AE118-1200)=0,"",INDEX(对接源_02物料!$G$4:$G$1203,$AE118-1200)))))</f>
      </c>
      <c r="E118" s="173">
        <f>IF($AE118="","",IF($AE118&lt;=1200,IF(INDEX(对接源_01水果!$H$4:$H$1203,$AE118)=0,"",INDEX(对接源_01水果!$H$4:$H$1203,$AE118)),IF(INDEX(对接源_02物料!$H$4:$H$1203,$AE118-1200)=0,"",INDEX(对接源_02物料!$H$4:$H$1203,$AE118-1200))))</f>
      </c>
      <c r="F118" s="61">
        <f>IF($AE118="","",IF($AE118&lt;=1200,IF(INDEX(对接源_01水果!$I$4:$I$1203,$AE118)=0,"",INDEX(对接源_01水果!$I$4:$I$1203,$AE118)),IF(INDEX(对接源_02物料!$I$4:$I$1203,$AE118-1200)=0,"",INDEX(对接源_02物料!$I$4:$I$1203,$AE118-1200))))</f>
      </c>
      <c r="G118" s="173">
        <f>IF($AE118="","",IF(IF($AE118&lt;=1200,N(INDEX(对接源_01水果!$H$4:$H$1203,$AE118)),N(INDEX(对接源_02物料!$H$4:$H$1203,$AE118-1200)))=0,"",ROUND(IF($AE118&lt;=1200,N(INDEX(对接源_01水果!$K$4:$K$1203,$AE118)),N(INDEX(对接源_02物料!$K$4:$K$1203,$AE118-1200)))/IF($AE118&lt;=1200,N(INDEX(对接源_01水果!$H$4:$H$1203,$AE118)),N(INDEX(对接源_02物料!$H$4:$H$1203,$AE118-1200))),2)))</f>
      </c>
      <c r="H118" s="173">
        <f>IF($AE118="","",IF($AE118&lt;=1200,IF(INDEX(对接源_01水果!$K$4:$K$1203,$AE118)=0,"",INDEX(对接源_01水果!$K$4:$K$1203,$AE118)),IF(INDEX(对接源_02物料!$K$4:$K$1203,$AE118-1200)=0,"",INDEX(对接源_02物料!$K$4:$K$1203,$AE118-1200))))</f>
      </c>
      <c r="I118" s="61">
        <f>IF($AE118="","",IF($AE118&lt;=1200,IF(INDEX(对接源_01水果!$L$4:$L$1203,$AE118)=0,"",INDEX(对接源_01水果!$L$4:$L$1203,$AE118)),IF(INDEX(对接源_02物料!$L$4:$L$1203,$AE118-1200)=0,"",INDEX(对接源_02物料!$L$4:$L$1203,$AE118-1200))))</f>
      </c>
      <c r="J118" s="122">
        <f>IF($AE118="","",IF($AE118&lt;=1200,IF(INDEX(对接源_01水果!$M$4:$M$1203,$AE118)=0,"",INDEX(对接源_01水果!$M$4:$M$1203,$AE118)),IF(INDEX(对接源_02物料!$M$4:$M$1203,$AE118-1200)=0,"",INDEX(对接源_02物料!$M$4:$M$1203,$AE118-1200))))</f>
      </c>
      <c r="AE118" s="128">
        <f>IFERROR(MATCH(113,_自动清单!$AS$4:$AS$2403,0),"")</f>
      </c>
      <c r="AF118" s="128" t="n"/>
    </row>
    <row r="119" ht="18" customHeight="1" s="127">
      <c r="A119" s="163">
        <f>IF($AE119="","",IF($AE119&lt;=1200,IF(INDEX(对接源_01水果!$B$4:$B$1203,$AE119)=0,"",INDEX(对接源_01水果!$B$4:$B$1203,$AE119)),IF(INDEX(对接源_02物料!$B$4:$B$1203,$AE119-1200)=0,"",INDEX(对接源_02物料!$B$4:$B$1203,$AE119-1200))))</f>
      </c>
      <c r="B119" s="61">
        <f>IF($AE119="","",IF($AE119&lt;=1200,IF(INDEX(对接源_01水果!$E$4:$E$1203,$AE119)=0,"",INDEX(对接源_01水果!$E$4:$E$1203,$AE119)),IF(INDEX(对接源_02物料!$E$4:$E$1203,$AE119-1200)=0,"",INDEX(对接源_02物料!$E$4:$E$1203,$AE119-1200))))</f>
      </c>
      <c r="C119" s="122">
        <f>IF($AE119="","",IF($AE119&lt;=1200,IF(INDEX(对接源_01水果!$F$4:$F$1203,$AE119)=0,"",INDEX(对接源_01水果!$F$4:$F$1203,$AE119)),IF(INDEX(对接源_02物料!$F$4:$F$1203,$AE119-1200)=0,"",INDEX(对接源_02物料!$F$4:$F$1203,$AE119-1200))))</f>
      </c>
      <c r="D119" s="61">
        <f>IF($AE119="","",IF(IF($AE119&lt;=1200,IF(INDEX(对接源_01水果!$G$4:$G$1203,$AE119)=0,"",INDEX(对接源_01水果!$G$4:$G$1203,$AE119)),IF(INDEX(对接源_02物料!$G$4:$G$1203,$AE119-1200)=0,"",INDEX(对接源_02物料!$G$4:$G$1203,$AE119-1200)))="",IF($AE119&lt;=1200,IF(INDEX(对接源_01水果!$D$4:$D$1203,$AE119)=0,"",INDEX(对接源_01水果!$D$4:$D$1203,$AE119)),IF(INDEX(对接源_02物料!$D$4:$D$1203,$AE119-1200)=0,"",INDEX(对接源_02物料!$D$4:$D$1203,$AE119-1200))),IF($AE119&lt;=1200,IF(INDEX(对接源_01水果!$G$4:$G$1203,$AE119)=0,"",INDEX(对接源_01水果!$G$4:$G$1203,$AE119)),IF(INDEX(对接源_02物料!$G$4:$G$1203,$AE119-1200)=0,"",INDEX(对接源_02物料!$G$4:$G$1203,$AE119-1200)))))</f>
      </c>
      <c r="E119" s="173">
        <f>IF($AE119="","",IF($AE119&lt;=1200,IF(INDEX(对接源_01水果!$H$4:$H$1203,$AE119)=0,"",INDEX(对接源_01水果!$H$4:$H$1203,$AE119)),IF(INDEX(对接源_02物料!$H$4:$H$1203,$AE119-1200)=0,"",INDEX(对接源_02物料!$H$4:$H$1203,$AE119-1200))))</f>
      </c>
      <c r="F119" s="61">
        <f>IF($AE119="","",IF($AE119&lt;=1200,IF(INDEX(对接源_01水果!$I$4:$I$1203,$AE119)=0,"",INDEX(对接源_01水果!$I$4:$I$1203,$AE119)),IF(INDEX(对接源_02物料!$I$4:$I$1203,$AE119-1200)=0,"",INDEX(对接源_02物料!$I$4:$I$1203,$AE119-1200))))</f>
      </c>
      <c r="G119" s="173">
        <f>IF($AE119="","",IF(IF($AE119&lt;=1200,N(INDEX(对接源_01水果!$H$4:$H$1203,$AE119)),N(INDEX(对接源_02物料!$H$4:$H$1203,$AE119-1200)))=0,"",ROUND(IF($AE119&lt;=1200,N(INDEX(对接源_01水果!$K$4:$K$1203,$AE119)),N(INDEX(对接源_02物料!$K$4:$K$1203,$AE119-1200)))/IF($AE119&lt;=1200,N(INDEX(对接源_01水果!$H$4:$H$1203,$AE119)),N(INDEX(对接源_02物料!$H$4:$H$1203,$AE119-1200))),2)))</f>
      </c>
      <c r="H119" s="173">
        <f>IF($AE119="","",IF($AE119&lt;=1200,IF(INDEX(对接源_01水果!$K$4:$K$1203,$AE119)=0,"",INDEX(对接源_01水果!$K$4:$K$1203,$AE119)),IF(INDEX(对接源_02物料!$K$4:$K$1203,$AE119-1200)=0,"",INDEX(对接源_02物料!$K$4:$K$1203,$AE119-1200))))</f>
      </c>
      <c r="I119" s="61">
        <f>IF($AE119="","",IF($AE119&lt;=1200,IF(INDEX(对接源_01水果!$L$4:$L$1203,$AE119)=0,"",INDEX(对接源_01水果!$L$4:$L$1203,$AE119)),IF(INDEX(对接源_02物料!$L$4:$L$1203,$AE119-1200)=0,"",INDEX(对接源_02物料!$L$4:$L$1203,$AE119-1200))))</f>
      </c>
      <c r="J119" s="122">
        <f>IF($AE119="","",IF($AE119&lt;=1200,IF(INDEX(对接源_01水果!$M$4:$M$1203,$AE119)=0,"",INDEX(对接源_01水果!$M$4:$M$1203,$AE119)),IF(INDEX(对接源_02物料!$M$4:$M$1203,$AE119-1200)=0,"",INDEX(对接源_02物料!$M$4:$M$1203,$AE119-1200))))</f>
      </c>
      <c r="AE119" s="128">
        <f>IFERROR(MATCH(114,_自动清单!$AS$4:$AS$2403,0),"")</f>
      </c>
      <c r="AF119" s="128" t="n"/>
    </row>
    <row r="120" ht="18" customHeight="1" s="127">
      <c r="A120" s="163">
        <f>IF($AE120="","",IF($AE120&lt;=1200,IF(INDEX(对接源_01水果!$B$4:$B$1203,$AE120)=0,"",INDEX(对接源_01水果!$B$4:$B$1203,$AE120)),IF(INDEX(对接源_02物料!$B$4:$B$1203,$AE120-1200)=0,"",INDEX(对接源_02物料!$B$4:$B$1203,$AE120-1200))))</f>
      </c>
      <c r="B120" s="61">
        <f>IF($AE120="","",IF($AE120&lt;=1200,IF(INDEX(对接源_01水果!$E$4:$E$1203,$AE120)=0,"",INDEX(对接源_01水果!$E$4:$E$1203,$AE120)),IF(INDEX(对接源_02物料!$E$4:$E$1203,$AE120-1200)=0,"",INDEX(对接源_02物料!$E$4:$E$1203,$AE120-1200))))</f>
      </c>
      <c r="C120" s="122">
        <f>IF($AE120="","",IF($AE120&lt;=1200,IF(INDEX(对接源_01水果!$F$4:$F$1203,$AE120)=0,"",INDEX(对接源_01水果!$F$4:$F$1203,$AE120)),IF(INDEX(对接源_02物料!$F$4:$F$1203,$AE120-1200)=0,"",INDEX(对接源_02物料!$F$4:$F$1203,$AE120-1200))))</f>
      </c>
      <c r="D120" s="61">
        <f>IF($AE120="","",IF(IF($AE120&lt;=1200,IF(INDEX(对接源_01水果!$G$4:$G$1203,$AE120)=0,"",INDEX(对接源_01水果!$G$4:$G$1203,$AE120)),IF(INDEX(对接源_02物料!$G$4:$G$1203,$AE120-1200)=0,"",INDEX(对接源_02物料!$G$4:$G$1203,$AE120-1200)))="",IF($AE120&lt;=1200,IF(INDEX(对接源_01水果!$D$4:$D$1203,$AE120)=0,"",INDEX(对接源_01水果!$D$4:$D$1203,$AE120)),IF(INDEX(对接源_02物料!$D$4:$D$1203,$AE120-1200)=0,"",INDEX(对接源_02物料!$D$4:$D$1203,$AE120-1200))),IF($AE120&lt;=1200,IF(INDEX(对接源_01水果!$G$4:$G$1203,$AE120)=0,"",INDEX(对接源_01水果!$G$4:$G$1203,$AE120)),IF(INDEX(对接源_02物料!$G$4:$G$1203,$AE120-1200)=0,"",INDEX(对接源_02物料!$G$4:$G$1203,$AE120-1200)))))</f>
      </c>
      <c r="E120" s="173">
        <f>IF($AE120="","",IF($AE120&lt;=1200,IF(INDEX(对接源_01水果!$H$4:$H$1203,$AE120)=0,"",INDEX(对接源_01水果!$H$4:$H$1203,$AE120)),IF(INDEX(对接源_02物料!$H$4:$H$1203,$AE120-1200)=0,"",INDEX(对接源_02物料!$H$4:$H$1203,$AE120-1200))))</f>
      </c>
      <c r="F120" s="61">
        <f>IF($AE120="","",IF($AE120&lt;=1200,IF(INDEX(对接源_01水果!$I$4:$I$1203,$AE120)=0,"",INDEX(对接源_01水果!$I$4:$I$1203,$AE120)),IF(INDEX(对接源_02物料!$I$4:$I$1203,$AE120-1200)=0,"",INDEX(对接源_02物料!$I$4:$I$1203,$AE120-1200))))</f>
      </c>
      <c r="G120" s="173">
        <f>IF($AE120="","",IF(IF($AE120&lt;=1200,N(INDEX(对接源_01水果!$H$4:$H$1203,$AE120)),N(INDEX(对接源_02物料!$H$4:$H$1203,$AE120-1200)))=0,"",ROUND(IF($AE120&lt;=1200,N(INDEX(对接源_01水果!$K$4:$K$1203,$AE120)),N(INDEX(对接源_02物料!$K$4:$K$1203,$AE120-1200)))/IF($AE120&lt;=1200,N(INDEX(对接源_01水果!$H$4:$H$1203,$AE120)),N(INDEX(对接源_02物料!$H$4:$H$1203,$AE120-1200))),2)))</f>
      </c>
      <c r="H120" s="173">
        <f>IF($AE120="","",IF($AE120&lt;=1200,IF(INDEX(对接源_01水果!$K$4:$K$1203,$AE120)=0,"",INDEX(对接源_01水果!$K$4:$K$1203,$AE120)),IF(INDEX(对接源_02物料!$K$4:$K$1203,$AE120-1200)=0,"",INDEX(对接源_02物料!$K$4:$K$1203,$AE120-1200))))</f>
      </c>
      <c r="I120" s="61">
        <f>IF($AE120="","",IF($AE120&lt;=1200,IF(INDEX(对接源_01水果!$L$4:$L$1203,$AE120)=0,"",INDEX(对接源_01水果!$L$4:$L$1203,$AE120)),IF(INDEX(对接源_02物料!$L$4:$L$1203,$AE120-1200)=0,"",INDEX(对接源_02物料!$L$4:$L$1203,$AE120-1200))))</f>
      </c>
      <c r="J120" s="122">
        <f>IF($AE120="","",IF($AE120&lt;=1200,IF(INDEX(对接源_01水果!$M$4:$M$1203,$AE120)=0,"",INDEX(对接源_01水果!$M$4:$M$1203,$AE120)),IF(INDEX(对接源_02物料!$M$4:$M$1203,$AE120-1200)=0,"",INDEX(对接源_02物料!$M$4:$M$1203,$AE120-1200))))</f>
      </c>
      <c r="AE120" s="128">
        <f>IFERROR(MATCH(115,_自动清单!$AS$4:$AS$2403,0),"")</f>
      </c>
      <c r="AF120" s="128" t="n"/>
    </row>
    <row r="121" ht="18" customHeight="1" s="127">
      <c r="A121" s="163">
        <f>IF($AE121="","",IF($AE121&lt;=1200,IF(INDEX(对接源_01水果!$B$4:$B$1203,$AE121)=0,"",INDEX(对接源_01水果!$B$4:$B$1203,$AE121)),IF(INDEX(对接源_02物料!$B$4:$B$1203,$AE121-1200)=0,"",INDEX(对接源_02物料!$B$4:$B$1203,$AE121-1200))))</f>
      </c>
      <c r="B121" s="61">
        <f>IF($AE121="","",IF($AE121&lt;=1200,IF(INDEX(对接源_01水果!$E$4:$E$1203,$AE121)=0,"",INDEX(对接源_01水果!$E$4:$E$1203,$AE121)),IF(INDEX(对接源_02物料!$E$4:$E$1203,$AE121-1200)=0,"",INDEX(对接源_02物料!$E$4:$E$1203,$AE121-1200))))</f>
      </c>
      <c r="C121" s="122">
        <f>IF($AE121="","",IF($AE121&lt;=1200,IF(INDEX(对接源_01水果!$F$4:$F$1203,$AE121)=0,"",INDEX(对接源_01水果!$F$4:$F$1203,$AE121)),IF(INDEX(对接源_02物料!$F$4:$F$1203,$AE121-1200)=0,"",INDEX(对接源_02物料!$F$4:$F$1203,$AE121-1200))))</f>
      </c>
      <c r="D121" s="61">
        <f>IF($AE121="","",IF(IF($AE121&lt;=1200,IF(INDEX(对接源_01水果!$G$4:$G$1203,$AE121)=0,"",INDEX(对接源_01水果!$G$4:$G$1203,$AE121)),IF(INDEX(对接源_02物料!$G$4:$G$1203,$AE121-1200)=0,"",INDEX(对接源_02物料!$G$4:$G$1203,$AE121-1200)))="",IF($AE121&lt;=1200,IF(INDEX(对接源_01水果!$D$4:$D$1203,$AE121)=0,"",INDEX(对接源_01水果!$D$4:$D$1203,$AE121)),IF(INDEX(对接源_02物料!$D$4:$D$1203,$AE121-1200)=0,"",INDEX(对接源_02物料!$D$4:$D$1203,$AE121-1200))),IF($AE121&lt;=1200,IF(INDEX(对接源_01水果!$G$4:$G$1203,$AE121)=0,"",INDEX(对接源_01水果!$G$4:$G$1203,$AE121)),IF(INDEX(对接源_02物料!$G$4:$G$1203,$AE121-1200)=0,"",INDEX(对接源_02物料!$G$4:$G$1203,$AE121-1200)))))</f>
      </c>
      <c r="E121" s="173">
        <f>IF($AE121="","",IF($AE121&lt;=1200,IF(INDEX(对接源_01水果!$H$4:$H$1203,$AE121)=0,"",INDEX(对接源_01水果!$H$4:$H$1203,$AE121)),IF(INDEX(对接源_02物料!$H$4:$H$1203,$AE121-1200)=0,"",INDEX(对接源_02物料!$H$4:$H$1203,$AE121-1200))))</f>
      </c>
      <c r="F121" s="61">
        <f>IF($AE121="","",IF($AE121&lt;=1200,IF(INDEX(对接源_01水果!$I$4:$I$1203,$AE121)=0,"",INDEX(对接源_01水果!$I$4:$I$1203,$AE121)),IF(INDEX(对接源_02物料!$I$4:$I$1203,$AE121-1200)=0,"",INDEX(对接源_02物料!$I$4:$I$1203,$AE121-1200))))</f>
      </c>
      <c r="G121" s="173">
        <f>IF($AE121="","",IF(IF($AE121&lt;=1200,N(INDEX(对接源_01水果!$H$4:$H$1203,$AE121)),N(INDEX(对接源_02物料!$H$4:$H$1203,$AE121-1200)))=0,"",ROUND(IF($AE121&lt;=1200,N(INDEX(对接源_01水果!$K$4:$K$1203,$AE121)),N(INDEX(对接源_02物料!$K$4:$K$1203,$AE121-1200)))/IF($AE121&lt;=1200,N(INDEX(对接源_01水果!$H$4:$H$1203,$AE121)),N(INDEX(对接源_02物料!$H$4:$H$1203,$AE121-1200))),2)))</f>
      </c>
      <c r="H121" s="173">
        <f>IF($AE121="","",IF($AE121&lt;=1200,IF(INDEX(对接源_01水果!$K$4:$K$1203,$AE121)=0,"",INDEX(对接源_01水果!$K$4:$K$1203,$AE121)),IF(INDEX(对接源_02物料!$K$4:$K$1203,$AE121-1200)=0,"",INDEX(对接源_02物料!$K$4:$K$1203,$AE121-1200))))</f>
      </c>
      <c r="I121" s="61">
        <f>IF($AE121="","",IF($AE121&lt;=1200,IF(INDEX(对接源_01水果!$L$4:$L$1203,$AE121)=0,"",INDEX(对接源_01水果!$L$4:$L$1203,$AE121)),IF(INDEX(对接源_02物料!$L$4:$L$1203,$AE121-1200)=0,"",INDEX(对接源_02物料!$L$4:$L$1203,$AE121-1200))))</f>
      </c>
      <c r="J121" s="122">
        <f>IF($AE121="","",IF($AE121&lt;=1200,IF(INDEX(对接源_01水果!$M$4:$M$1203,$AE121)=0,"",INDEX(对接源_01水果!$M$4:$M$1203,$AE121)),IF(INDEX(对接源_02物料!$M$4:$M$1203,$AE121-1200)=0,"",INDEX(对接源_02物料!$M$4:$M$1203,$AE121-1200))))</f>
      </c>
      <c r="AE121" s="128">
        <f>IFERROR(MATCH(116,_自动清单!$AS$4:$AS$2403,0),"")</f>
      </c>
      <c r="AF121" s="128" t="n"/>
    </row>
    <row r="122" ht="18" customHeight="1" s="127">
      <c r="A122" s="163">
        <f>IF($AE122="","",IF($AE122&lt;=1200,IF(INDEX(对接源_01水果!$B$4:$B$1203,$AE122)=0,"",INDEX(对接源_01水果!$B$4:$B$1203,$AE122)),IF(INDEX(对接源_02物料!$B$4:$B$1203,$AE122-1200)=0,"",INDEX(对接源_02物料!$B$4:$B$1203,$AE122-1200))))</f>
      </c>
      <c r="B122" s="61">
        <f>IF($AE122="","",IF($AE122&lt;=1200,IF(INDEX(对接源_01水果!$E$4:$E$1203,$AE122)=0,"",INDEX(对接源_01水果!$E$4:$E$1203,$AE122)),IF(INDEX(对接源_02物料!$E$4:$E$1203,$AE122-1200)=0,"",INDEX(对接源_02物料!$E$4:$E$1203,$AE122-1200))))</f>
      </c>
      <c r="C122" s="122">
        <f>IF($AE122="","",IF($AE122&lt;=1200,IF(INDEX(对接源_01水果!$F$4:$F$1203,$AE122)=0,"",INDEX(对接源_01水果!$F$4:$F$1203,$AE122)),IF(INDEX(对接源_02物料!$F$4:$F$1203,$AE122-1200)=0,"",INDEX(对接源_02物料!$F$4:$F$1203,$AE122-1200))))</f>
      </c>
      <c r="D122" s="61">
        <f>IF($AE122="","",IF(IF($AE122&lt;=1200,IF(INDEX(对接源_01水果!$G$4:$G$1203,$AE122)=0,"",INDEX(对接源_01水果!$G$4:$G$1203,$AE122)),IF(INDEX(对接源_02物料!$G$4:$G$1203,$AE122-1200)=0,"",INDEX(对接源_02物料!$G$4:$G$1203,$AE122-1200)))="",IF($AE122&lt;=1200,IF(INDEX(对接源_01水果!$D$4:$D$1203,$AE122)=0,"",INDEX(对接源_01水果!$D$4:$D$1203,$AE122)),IF(INDEX(对接源_02物料!$D$4:$D$1203,$AE122-1200)=0,"",INDEX(对接源_02物料!$D$4:$D$1203,$AE122-1200))),IF($AE122&lt;=1200,IF(INDEX(对接源_01水果!$G$4:$G$1203,$AE122)=0,"",INDEX(对接源_01水果!$G$4:$G$1203,$AE122)),IF(INDEX(对接源_02物料!$G$4:$G$1203,$AE122-1200)=0,"",INDEX(对接源_02物料!$G$4:$G$1203,$AE122-1200)))))</f>
      </c>
      <c r="E122" s="173">
        <f>IF($AE122="","",IF($AE122&lt;=1200,IF(INDEX(对接源_01水果!$H$4:$H$1203,$AE122)=0,"",INDEX(对接源_01水果!$H$4:$H$1203,$AE122)),IF(INDEX(对接源_02物料!$H$4:$H$1203,$AE122-1200)=0,"",INDEX(对接源_02物料!$H$4:$H$1203,$AE122-1200))))</f>
      </c>
      <c r="F122" s="61">
        <f>IF($AE122="","",IF($AE122&lt;=1200,IF(INDEX(对接源_01水果!$I$4:$I$1203,$AE122)=0,"",INDEX(对接源_01水果!$I$4:$I$1203,$AE122)),IF(INDEX(对接源_02物料!$I$4:$I$1203,$AE122-1200)=0,"",INDEX(对接源_02物料!$I$4:$I$1203,$AE122-1200))))</f>
      </c>
      <c r="G122" s="173">
        <f>IF($AE122="","",IF(IF($AE122&lt;=1200,N(INDEX(对接源_01水果!$H$4:$H$1203,$AE122)),N(INDEX(对接源_02物料!$H$4:$H$1203,$AE122-1200)))=0,"",ROUND(IF($AE122&lt;=1200,N(INDEX(对接源_01水果!$K$4:$K$1203,$AE122)),N(INDEX(对接源_02物料!$K$4:$K$1203,$AE122-1200)))/IF($AE122&lt;=1200,N(INDEX(对接源_01水果!$H$4:$H$1203,$AE122)),N(INDEX(对接源_02物料!$H$4:$H$1203,$AE122-1200))),2)))</f>
      </c>
      <c r="H122" s="173">
        <f>IF($AE122="","",IF($AE122&lt;=1200,IF(INDEX(对接源_01水果!$K$4:$K$1203,$AE122)=0,"",INDEX(对接源_01水果!$K$4:$K$1203,$AE122)),IF(INDEX(对接源_02物料!$K$4:$K$1203,$AE122-1200)=0,"",INDEX(对接源_02物料!$K$4:$K$1203,$AE122-1200))))</f>
      </c>
      <c r="I122" s="61">
        <f>IF($AE122="","",IF($AE122&lt;=1200,IF(INDEX(对接源_01水果!$L$4:$L$1203,$AE122)=0,"",INDEX(对接源_01水果!$L$4:$L$1203,$AE122)),IF(INDEX(对接源_02物料!$L$4:$L$1203,$AE122-1200)=0,"",INDEX(对接源_02物料!$L$4:$L$1203,$AE122-1200))))</f>
      </c>
      <c r="J122" s="122">
        <f>IF($AE122="","",IF($AE122&lt;=1200,IF(INDEX(对接源_01水果!$M$4:$M$1203,$AE122)=0,"",INDEX(对接源_01水果!$M$4:$M$1203,$AE122)),IF(INDEX(对接源_02物料!$M$4:$M$1203,$AE122-1200)=0,"",INDEX(对接源_02物料!$M$4:$M$1203,$AE122-1200))))</f>
      </c>
      <c r="AE122" s="128">
        <f>IFERROR(MATCH(117,_自动清单!$AS$4:$AS$2403,0),"")</f>
      </c>
      <c r="AF122" s="128" t="n"/>
    </row>
    <row r="123" ht="18" customHeight="1" s="127">
      <c r="A123" s="163">
        <f>IF($AE123="","",IF($AE123&lt;=1200,IF(INDEX(对接源_01水果!$B$4:$B$1203,$AE123)=0,"",INDEX(对接源_01水果!$B$4:$B$1203,$AE123)),IF(INDEX(对接源_02物料!$B$4:$B$1203,$AE123-1200)=0,"",INDEX(对接源_02物料!$B$4:$B$1203,$AE123-1200))))</f>
      </c>
      <c r="B123" s="61">
        <f>IF($AE123="","",IF($AE123&lt;=1200,IF(INDEX(对接源_01水果!$E$4:$E$1203,$AE123)=0,"",INDEX(对接源_01水果!$E$4:$E$1203,$AE123)),IF(INDEX(对接源_02物料!$E$4:$E$1203,$AE123-1200)=0,"",INDEX(对接源_02物料!$E$4:$E$1203,$AE123-1200))))</f>
      </c>
      <c r="C123" s="122">
        <f>IF($AE123="","",IF($AE123&lt;=1200,IF(INDEX(对接源_01水果!$F$4:$F$1203,$AE123)=0,"",INDEX(对接源_01水果!$F$4:$F$1203,$AE123)),IF(INDEX(对接源_02物料!$F$4:$F$1203,$AE123-1200)=0,"",INDEX(对接源_02物料!$F$4:$F$1203,$AE123-1200))))</f>
      </c>
      <c r="D123" s="61">
        <f>IF($AE123="","",IF(IF($AE123&lt;=1200,IF(INDEX(对接源_01水果!$G$4:$G$1203,$AE123)=0,"",INDEX(对接源_01水果!$G$4:$G$1203,$AE123)),IF(INDEX(对接源_02物料!$G$4:$G$1203,$AE123-1200)=0,"",INDEX(对接源_02物料!$G$4:$G$1203,$AE123-1200)))="",IF($AE123&lt;=1200,IF(INDEX(对接源_01水果!$D$4:$D$1203,$AE123)=0,"",INDEX(对接源_01水果!$D$4:$D$1203,$AE123)),IF(INDEX(对接源_02物料!$D$4:$D$1203,$AE123-1200)=0,"",INDEX(对接源_02物料!$D$4:$D$1203,$AE123-1200))),IF($AE123&lt;=1200,IF(INDEX(对接源_01水果!$G$4:$G$1203,$AE123)=0,"",INDEX(对接源_01水果!$G$4:$G$1203,$AE123)),IF(INDEX(对接源_02物料!$G$4:$G$1203,$AE123-1200)=0,"",INDEX(对接源_02物料!$G$4:$G$1203,$AE123-1200)))))</f>
      </c>
      <c r="E123" s="173">
        <f>IF($AE123="","",IF($AE123&lt;=1200,IF(INDEX(对接源_01水果!$H$4:$H$1203,$AE123)=0,"",INDEX(对接源_01水果!$H$4:$H$1203,$AE123)),IF(INDEX(对接源_02物料!$H$4:$H$1203,$AE123-1200)=0,"",INDEX(对接源_02物料!$H$4:$H$1203,$AE123-1200))))</f>
      </c>
      <c r="F123" s="61">
        <f>IF($AE123="","",IF($AE123&lt;=1200,IF(INDEX(对接源_01水果!$I$4:$I$1203,$AE123)=0,"",INDEX(对接源_01水果!$I$4:$I$1203,$AE123)),IF(INDEX(对接源_02物料!$I$4:$I$1203,$AE123-1200)=0,"",INDEX(对接源_02物料!$I$4:$I$1203,$AE123-1200))))</f>
      </c>
      <c r="G123" s="173">
        <f>IF($AE123="","",IF(IF($AE123&lt;=1200,N(INDEX(对接源_01水果!$H$4:$H$1203,$AE123)),N(INDEX(对接源_02物料!$H$4:$H$1203,$AE123-1200)))=0,"",ROUND(IF($AE123&lt;=1200,N(INDEX(对接源_01水果!$K$4:$K$1203,$AE123)),N(INDEX(对接源_02物料!$K$4:$K$1203,$AE123-1200)))/IF($AE123&lt;=1200,N(INDEX(对接源_01水果!$H$4:$H$1203,$AE123)),N(INDEX(对接源_02物料!$H$4:$H$1203,$AE123-1200))),2)))</f>
      </c>
      <c r="H123" s="173">
        <f>IF($AE123="","",IF($AE123&lt;=1200,IF(INDEX(对接源_01水果!$K$4:$K$1203,$AE123)=0,"",INDEX(对接源_01水果!$K$4:$K$1203,$AE123)),IF(INDEX(对接源_02物料!$K$4:$K$1203,$AE123-1200)=0,"",INDEX(对接源_02物料!$K$4:$K$1203,$AE123-1200))))</f>
      </c>
      <c r="I123" s="61">
        <f>IF($AE123="","",IF($AE123&lt;=1200,IF(INDEX(对接源_01水果!$L$4:$L$1203,$AE123)=0,"",INDEX(对接源_01水果!$L$4:$L$1203,$AE123)),IF(INDEX(对接源_02物料!$L$4:$L$1203,$AE123-1200)=0,"",INDEX(对接源_02物料!$L$4:$L$1203,$AE123-1200))))</f>
      </c>
      <c r="J123" s="122">
        <f>IF($AE123="","",IF($AE123&lt;=1200,IF(INDEX(对接源_01水果!$M$4:$M$1203,$AE123)=0,"",INDEX(对接源_01水果!$M$4:$M$1203,$AE123)),IF(INDEX(对接源_02物料!$M$4:$M$1203,$AE123-1200)=0,"",INDEX(对接源_02物料!$M$4:$M$1203,$AE123-1200))))</f>
      </c>
      <c r="AE123" s="128">
        <f>IFERROR(MATCH(118,_自动清单!$AS$4:$AS$2403,0),"")</f>
      </c>
      <c r="AF123" s="128" t="n"/>
    </row>
    <row r="124" ht="18" customHeight="1" s="127">
      <c r="A124" s="163">
        <f>IF($AE124="","",IF($AE124&lt;=1200,IF(INDEX(对接源_01水果!$B$4:$B$1203,$AE124)=0,"",INDEX(对接源_01水果!$B$4:$B$1203,$AE124)),IF(INDEX(对接源_02物料!$B$4:$B$1203,$AE124-1200)=0,"",INDEX(对接源_02物料!$B$4:$B$1203,$AE124-1200))))</f>
      </c>
      <c r="B124" s="61">
        <f>IF($AE124="","",IF($AE124&lt;=1200,IF(INDEX(对接源_01水果!$E$4:$E$1203,$AE124)=0,"",INDEX(对接源_01水果!$E$4:$E$1203,$AE124)),IF(INDEX(对接源_02物料!$E$4:$E$1203,$AE124-1200)=0,"",INDEX(对接源_02物料!$E$4:$E$1203,$AE124-1200))))</f>
      </c>
      <c r="C124" s="122">
        <f>IF($AE124="","",IF($AE124&lt;=1200,IF(INDEX(对接源_01水果!$F$4:$F$1203,$AE124)=0,"",INDEX(对接源_01水果!$F$4:$F$1203,$AE124)),IF(INDEX(对接源_02物料!$F$4:$F$1203,$AE124-1200)=0,"",INDEX(对接源_02物料!$F$4:$F$1203,$AE124-1200))))</f>
      </c>
      <c r="D124" s="61">
        <f>IF($AE124="","",IF(IF($AE124&lt;=1200,IF(INDEX(对接源_01水果!$G$4:$G$1203,$AE124)=0,"",INDEX(对接源_01水果!$G$4:$G$1203,$AE124)),IF(INDEX(对接源_02物料!$G$4:$G$1203,$AE124-1200)=0,"",INDEX(对接源_02物料!$G$4:$G$1203,$AE124-1200)))="",IF($AE124&lt;=1200,IF(INDEX(对接源_01水果!$D$4:$D$1203,$AE124)=0,"",INDEX(对接源_01水果!$D$4:$D$1203,$AE124)),IF(INDEX(对接源_02物料!$D$4:$D$1203,$AE124-1200)=0,"",INDEX(对接源_02物料!$D$4:$D$1203,$AE124-1200))),IF($AE124&lt;=1200,IF(INDEX(对接源_01水果!$G$4:$G$1203,$AE124)=0,"",INDEX(对接源_01水果!$G$4:$G$1203,$AE124)),IF(INDEX(对接源_02物料!$G$4:$G$1203,$AE124-1200)=0,"",INDEX(对接源_02物料!$G$4:$G$1203,$AE124-1200)))))</f>
      </c>
      <c r="E124" s="173">
        <f>IF($AE124="","",IF($AE124&lt;=1200,IF(INDEX(对接源_01水果!$H$4:$H$1203,$AE124)=0,"",INDEX(对接源_01水果!$H$4:$H$1203,$AE124)),IF(INDEX(对接源_02物料!$H$4:$H$1203,$AE124-1200)=0,"",INDEX(对接源_02物料!$H$4:$H$1203,$AE124-1200))))</f>
      </c>
      <c r="F124" s="61">
        <f>IF($AE124="","",IF($AE124&lt;=1200,IF(INDEX(对接源_01水果!$I$4:$I$1203,$AE124)=0,"",INDEX(对接源_01水果!$I$4:$I$1203,$AE124)),IF(INDEX(对接源_02物料!$I$4:$I$1203,$AE124-1200)=0,"",INDEX(对接源_02物料!$I$4:$I$1203,$AE124-1200))))</f>
      </c>
      <c r="G124" s="173">
        <f>IF($AE124="","",IF(IF($AE124&lt;=1200,N(INDEX(对接源_01水果!$H$4:$H$1203,$AE124)),N(INDEX(对接源_02物料!$H$4:$H$1203,$AE124-1200)))=0,"",ROUND(IF($AE124&lt;=1200,N(INDEX(对接源_01水果!$K$4:$K$1203,$AE124)),N(INDEX(对接源_02物料!$K$4:$K$1203,$AE124-1200)))/IF($AE124&lt;=1200,N(INDEX(对接源_01水果!$H$4:$H$1203,$AE124)),N(INDEX(对接源_02物料!$H$4:$H$1203,$AE124-1200))),2)))</f>
      </c>
      <c r="H124" s="173">
        <f>IF($AE124="","",IF($AE124&lt;=1200,IF(INDEX(对接源_01水果!$K$4:$K$1203,$AE124)=0,"",INDEX(对接源_01水果!$K$4:$K$1203,$AE124)),IF(INDEX(对接源_02物料!$K$4:$K$1203,$AE124-1200)=0,"",INDEX(对接源_02物料!$K$4:$K$1203,$AE124-1200))))</f>
      </c>
      <c r="I124" s="61">
        <f>IF($AE124="","",IF($AE124&lt;=1200,IF(INDEX(对接源_01水果!$L$4:$L$1203,$AE124)=0,"",INDEX(对接源_01水果!$L$4:$L$1203,$AE124)),IF(INDEX(对接源_02物料!$L$4:$L$1203,$AE124-1200)=0,"",INDEX(对接源_02物料!$L$4:$L$1203,$AE124-1200))))</f>
      </c>
      <c r="J124" s="122">
        <f>IF($AE124="","",IF($AE124&lt;=1200,IF(INDEX(对接源_01水果!$M$4:$M$1203,$AE124)=0,"",INDEX(对接源_01水果!$M$4:$M$1203,$AE124)),IF(INDEX(对接源_02物料!$M$4:$M$1203,$AE124-1200)=0,"",INDEX(对接源_02物料!$M$4:$M$1203,$AE124-1200))))</f>
      </c>
      <c r="AE124" s="128">
        <f>IFERROR(MATCH(119,_自动清单!$AS$4:$AS$2403,0),"")</f>
      </c>
      <c r="AF124" s="128" t="n"/>
    </row>
    <row r="125" ht="18" customHeight="1" s="127">
      <c r="A125" s="163">
        <f>IF($AE125="","",IF($AE125&lt;=1200,IF(INDEX(对接源_01水果!$B$4:$B$1203,$AE125)=0,"",INDEX(对接源_01水果!$B$4:$B$1203,$AE125)),IF(INDEX(对接源_02物料!$B$4:$B$1203,$AE125-1200)=0,"",INDEX(对接源_02物料!$B$4:$B$1203,$AE125-1200))))</f>
      </c>
      <c r="B125" s="61">
        <f>IF($AE125="","",IF($AE125&lt;=1200,IF(INDEX(对接源_01水果!$E$4:$E$1203,$AE125)=0,"",INDEX(对接源_01水果!$E$4:$E$1203,$AE125)),IF(INDEX(对接源_02物料!$E$4:$E$1203,$AE125-1200)=0,"",INDEX(对接源_02物料!$E$4:$E$1203,$AE125-1200))))</f>
      </c>
      <c r="C125" s="122">
        <f>IF($AE125="","",IF($AE125&lt;=1200,IF(INDEX(对接源_01水果!$F$4:$F$1203,$AE125)=0,"",INDEX(对接源_01水果!$F$4:$F$1203,$AE125)),IF(INDEX(对接源_02物料!$F$4:$F$1203,$AE125-1200)=0,"",INDEX(对接源_02物料!$F$4:$F$1203,$AE125-1200))))</f>
      </c>
      <c r="D125" s="61">
        <f>IF($AE125="","",IF(IF($AE125&lt;=1200,IF(INDEX(对接源_01水果!$G$4:$G$1203,$AE125)=0,"",INDEX(对接源_01水果!$G$4:$G$1203,$AE125)),IF(INDEX(对接源_02物料!$G$4:$G$1203,$AE125-1200)=0,"",INDEX(对接源_02物料!$G$4:$G$1203,$AE125-1200)))="",IF($AE125&lt;=1200,IF(INDEX(对接源_01水果!$D$4:$D$1203,$AE125)=0,"",INDEX(对接源_01水果!$D$4:$D$1203,$AE125)),IF(INDEX(对接源_02物料!$D$4:$D$1203,$AE125-1200)=0,"",INDEX(对接源_02物料!$D$4:$D$1203,$AE125-1200))),IF($AE125&lt;=1200,IF(INDEX(对接源_01水果!$G$4:$G$1203,$AE125)=0,"",INDEX(对接源_01水果!$G$4:$G$1203,$AE125)),IF(INDEX(对接源_02物料!$G$4:$G$1203,$AE125-1200)=0,"",INDEX(对接源_02物料!$G$4:$G$1203,$AE125-1200)))))</f>
      </c>
      <c r="E125" s="173">
        <f>IF($AE125="","",IF($AE125&lt;=1200,IF(INDEX(对接源_01水果!$H$4:$H$1203,$AE125)=0,"",INDEX(对接源_01水果!$H$4:$H$1203,$AE125)),IF(INDEX(对接源_02物料!$H$4:$H$1203,$AE125-1200)=0,"",INDEX(对接源_02物料!$H$4:$H$1203,$AE125-1200))))</f>
      </c>
      <c r="F125" s="61">
        <f>IF($AE125="","",IF($AE125&lt;=1200,IF(INDEX(对接源_01水果!$I$4:$I$1203,$AE125)=0,"",INDEX(对接源_01水果!$I$4:$I$1203,$AE125)),IF(INDEX(对接源_02物料!$I$4:$I$1203,$AE125-1200)=0,"",INDEX(对接源_02物料!$I$4:$I$1203,$AE125-1200))))</f>
      </c>
      <c r="G125" s="173">
        <f>IF($AE125="","",IF(IF($AE125&lt;=1200,N(INDEX(对接源_01水果!$H$4:$H$1203,$AE125)),N(INDEX(对接源_02物料!$H$4:$H$1203,$AE125-1200)))=0,"",ROUND(IF($AE125&lt;=1200,N(INDEX(对接源_01水果!$K$4:$K$1203,$AE125)),N(INDEX(对接源_02物料!$K$4:$K$1203,$AE125-1200)))/IF($AE125&lt;=1200,N(INDEX(对接源_01水果!$H$4:$H$1203,$AE125)),N(INDEX(对接源_02物料!$H$4:$H$1203,$AE125-1200))),2)))</f>
      </c>
      <c r="H125" s="173">
        <f>IF($AE125="","",IF($AE125&lt;=1200,IF(INDEX(对接源_01水果!$K$4:$K$1203,$AE125)=0,"",INDEX(对接源_01水果!$K$4:$K$1203,$AE125)),IF(INDEX(对接源_02物料!$K$4:$K$1203,$AE125-1200)=0,"",INDEX(对接源_02物料!$K$4:$K$1203,$AE125-1200))))</f>
      </c>
      <c r="I125" s="61">
        <f>IF($AE125="","",IF($AE125&lt;=1200,IF(INDEX(对接源_01水果!$L$4:$L$1203,$AE125)=0,"",INDEX(对接源_01水果!$L$4:$L$1203,$AE125)),IF(INDEX(对接源_02物料!$L$4:$L$1203,$AE125-1200)=0,"",INDEX(对接源_02物料!$L$4:$L$1203,$AE125-1200))))</f>
      </c>
      <c r="J125" s="122">
        <f>IF($AE125="","",IF($AE125&lt;=1200,IF(INDEX(对接源_01水果!$M$4:$M$1203,$AE125)=0,"",INDEX(对接源_01水果!$M$4:$M$1203,$AE125)),IF(INDEX(对接源_02物料!$M$4:$M$1203,$AE125-1200)=0,"",INDEX(对接源_02物料!$M$4:$M$1203,$AE125-1200))))</f>
      </c>
      <c r="AE125" s="128">
        <f>IFERROR(MATCH(120,_自动清单!$AS$4:$AS$2403,0),"")</f>
      </c>
      <c r="AF125" s="128" t="n"/>
    </row>
    <row r="126" ht="18" customHeight="1" s="127">
      <c r="A126" s="163">
        <f>IF($AE126="","",IF($AE126&lt;=1200,IF(INDEX(对接源_01水果!$B$4:$B$1203,$AE126)=0,"",INDEX(对接源_01水果!$B$4:$B$1203,$AE126)),IF(INDEX(对接源_02物料!$B$4:$B$1203,$AE126-1200)=0,"",INDEX(对接源_02物料!$B$4:$B$1203,$AE126-1200))))</f>
      </c>
      <c r="B126" s="61">
        <f>IF($AE126="","",IF($AE126&lt;=1200,IF(INDEX(对接源_01水果!$E$4:$E$1203,$AE126)=0,"",INDEX(对接源_01水果!$E$4:$E$1203,$AE126)),IF(INDEX(对接源_02物料!$E$4:$E$1203,$AE126-1200)=0,"",INDEX(对接源_02物料!$E$4:$E$1203,$AE126-1200))))</f>
      </c>
      <c r="C126" s="122">
        <f>IF($AE126="","",IF($AE126&lt;=1200,IF(INDEX(对接源_01水果!$F$4:$F$1203,$AE126)=0,"",INDEX(对接源_01水果!$F$4:$F$1203,$AE126)),IF(INDEX(对接源_02物料!$F$4:$F$1203,$AE126-1200)=0,"",INDEX(对接源_02物料!$F$4:$F$1203,$AE126-1200))))</f>
      </c>
      <c r="D126" s="61">
        <f>IF($AE126="","",IF(IF($AE126&lt;=1200,IF(INDEX(对接源_01水果!$G$4:$G$1203,$AE126)=0,"",INDEX(对接源_01水果!$G$4:$G$1203,$AE126)),IF(INDEX(对接源_02物料!$G$4:$G$1203,$AE126-1200)=0,"",INDEX(对接源_02物料!$G$4:$G$1203,$AE126-1200)))="",IF($AE126&lt;=1200,IF(INDEX(对接源_01水果!$D$4:$D$1203,$AE126)=0,"",INDEX(对接源_01水果!$D$4:$D$1203,$AE126)),IF(INDEX(对接源_02物料!$D$4:$D$1203,$AE126-1200)=0,"",INDEX(对接源_02物料!$D$4:$D$1203,$AE126-1200))),IF($AE126&lt;=1200,IF(INDEX(对接源_01水果!$G$4:$G$1203,$AE126)=0,"",INDEX(对接源_01水果!$G$4:$G$1203,$AE126)),IF(INDEX(对接源_02物料!$G$4:$G$1203,$AE126-1200)=0,"",INDEX(对接源_02物料!$G$4:$G$1203,$AE126-1200)))))</f>
      </c>
      <c r="E126" s="173">
        <f>IF($AE126="","",IF($AE126&lt;=1200,IF(INDEX(对接源_01水果!$H$4:$H$1203,$AE126)=0,"",INDEX(对接源_01水果!$H$4:$H$1203,$AE126)),IF(INDEX(对接源_02物料!$H$4:$H$1203,$AE126-1200)=0,"",INDEX(对接源_02物料!$H$4:$H$1203,$AE126-1200))))</f>
      </c>
      <c r="F126" s="61">
        <f>IF($AE126="","",IF($AE126&lt;=1200,IF(INDEX(对接源_01水果!$I$4:$I$1203,$AE126)=0,"",INDEX(对接源_01水果!$I$4:$I$1203,$AE126)),IF(INDEX(对接源_02物料!$I$4:$I$1203,$AE126-1200)=0,"",INDEX(对接源_02物料!$I$4:$I$1203,$AE126-1200))))</f>
      </c>
      <c r="G126" s="173">
        <f>IF($AE126="","",IF(IF($AE126&lt;=1200,N(INDEX(对接源_01水果!$H$4:$H$1203,$AE126)),N(INDEX(对接源_02物料!$H$4:$H$1203,$AE126-1200)))=0,"",ROUND(IF($AE126&lt;=1200,N(INDEX(对接源_01水果!$K$4:$K$1203,$AE126)),N(INDEX(对接源_02物料!$K$4:$K$1203,$AE126-1200)))/IF($AE126&lt;=1200,N(INDEX(对接源_01水果!$H$4:$H$1203,$AE126)),N(INDEX(对接源_02物料!$H$4:$H$1203,$AE126-1200))),2)))</f>
      </c>
      <c r="H126" s="173">
        <f>IF($AE126="","",IF($AE126&lt;=1200,IF(INDEX(对接源_01水果!$K$4:$K$1203,$AE126)=0,"",INDEX(对接源_01水果!$K$4:$K$1203,$AE126)),IF(INDEX(对接源_02物料!$K$4:$K$1203,$AE126-1200)=0,"",INDEX(对接源_02物料!$K$4:$K$1203,$AE126-1200))))</f>
      </c>
      <c r="I126" s="61">
        <f>IF($AE126="","",IF($AE126&lt;=1200,IF(INDEX(对接源_01水果!$L$4:$L$1203,$AE126)=0,"",INDEX(对接源_01水果!$L$4:$L$1203,$AE126)),IF(INDEX(对接源_02物料!$L$4:$L$1203,$AE126-1200)=0,"",INDEX(对接源_02物料!$L$4:$L$1203,$AE126-1200))))</f>
      </c>
      <c r="J126" s="122">
        <f>IF($AE126="","",IF($AE126&lt;=1200,IF(INDEX(对接源_01水果!$M$4:$M$1203,$AE126)=0,"",INDEX(对接源_01水果!$M$4:$M$1203,$AE126)),IF(INDEX(对接源_02物料!$M$4:$M$1203,$AE126-1200)=0,"",INDEX(对接源_02物料!$M$4:$M$1203,$AE126-1200))))</f>
      </c>
      <c r="AE126" s="128">
        <f>IFERROR(MATCH(121,_自动清单!$AS$4:$AS$2403,0),"")</f>
      </c>
      <c r="AF126" s="128" t="n"/>
    </row>
    <row r="127" ht="18" customHeight="1" s="127">
      <c r="A127" s="163">
        <f>IF($AE127="","",IF($AE127&lt;=1200,IF(INDEX(对接源_01水果!$B$4:$B$1203,$AE127)=0,"",INDEX(对接源_01水果!$B$4:$B$1203,$AE127)),IF(INDEX(对接源_02物料!$B$4:$B$1203,$AE127-1200)=0,"",INDEX(对接源_02物料!$B$4:$B$1203,$AE127-1200))))</f>
      </c>
      <c r="B127" s="61">
        <f>IF($AE127="","",IF($AE127&lt;=1200,IF(INDEX(对接源_01水果!$E$4:$E$1203,$AE127)=0,"",INDEX(对接源_01水果!$E$4:$E$1203,$AE127)),IF(INDEX(对接源_02物料!$E$4:$E$1203,$AE127-1200)=0,"",INDEX(对接源_02物料!$E$4:$E$1203,$AE127-1200))))</f>
      </c>
      <c r="C127" s="122">
        <f>IF($AE127="","",IF($AE127&lt;=1200,IF(INDEX(对接源_01水果!$F$4:$F$1203,$AE127)=0,"",INDEX(对接源_01水果!$F$4:$F$1203,$AE127)),IF(INDEX(对接源_02物料!$F$4:$F$1203,$AE127-1200)=0,"",INDEX(对接源_02物料!$F$4:$F$1203,$AE127-1200))))</f>
      </c>
      <c r="D127" s="61">
        <f>IF($AE127="","",IF(IF($AE127&lt;=1200,IF(INDEX(对接源_01水果!$G$4:$G$1203,$AE127)=0,"",INDEX(对接源_01水果!$G$4:$G$1203,$AE127)),IF(INDEX(对接源_02物料!$G$4:$G$1203,$AE127-1200)=0,"",INDEX(对接源_02物料!$G$4:$G$1203,$AE127-1200)))="",IF($AE127&lt;=1200,IF(INDEX(对接源_01水果!$D$4:$D$1203,$AE127)=0,"",INDEX(对接源_01水果!$D$4:$D$1203,$AE127)),IF(INDEX(对接源_02物料!$D$4:$D$1203,$AE127-1200)=0,"",INDEX(对接源_02物料!$D$4:$D$1203,$AE127-1200))),IF($AE127&lt;=1200,IF(INDEX(对接源_01水果!$G$4:$G$1203,$AE127)=0,"",INDEX(对接源_01水果!$G$4:$G$1203,$AE127)),IF(INDEX(对接源_02物料!$G$4:$G$1203,$AE127-1200)=0,"",INDEX(对接源_02物料!$G$4:$G$1203,$AE127-1200)))))</f>
      </c>
      <c r="E127" s="173">
        <f>IF($AE127="","",IF($AE127&lt;=1200,IF(INDEX(对接源_01水果!$H$4:$H$1203,$AE127)=0,"",INDEX(对接源_01水果!$H$4:$H$1203,$AE127)),IF(INDEX(对接源_02物料!$H$4:$H$1203,$AE127-1200)=0,"",INDEX(对接源_02物料!$H$4:$H$1203,$AE127-1200))))</f>
      </c>
      <c r="F127" s="61">
        <f>IF($AE127="","",IF($AE127&lt;=1200,IF(INDEX(对接源_01水果!$I$4:$I$1203,$AE127)=0,"",INDEX(对接源_01水果!$I$4:$I$1203,$AE127)),IF(INDEX(对接源_02物料!$I$4:$I$1203,$AE127-1200)=0,"",INDEX(对接源_02物料!$I$4:$I$1203,$AE127-1200))))</f>
      </c>
      <c r="G127" s="173">
        <f>IF($AE127="","",IF(IF($AE127&lt;=1200,N(INDEX(对接源_01水果!$H$4:$H$1203,$AE127)),N(INDEX(对接源_02物料!$H$4:$H$1203,$AE127-1200)))=0,"",ROUND(IF($AE127&lt;=1200,N(INDEX(对接源_01水果!$K$4:$K$1203,$AE127)),N(INDEX(对接源_02物料!$K$4:$K$1203,$AE127-1200)))/IF($AE127&lt;=1200,N(INDEX(对接源_01水果!$H$4:$H$1203,$AE127)),N(INDEX(对接源_02物料!$H$4:$H$1203,$AE127-1200))),2)))</f>
      </c>
      <c r="H127" s="173">
        <f>IF($AE127="","",IF($AE127&lt;=1200,IF(INDEX(对接源_01水果!$K$4:$K$1203,$AE127)=0,"",INDEX(对接源_01水果!$K$4:$K$1203,$AE127)),IF(INDEX(对接源_02物料!$K$4:$K$1203,$AE127-1200)=0,"",INDEX(对接源_02物料!$K$4:$K$1203,$AE127-1200))))</f>
      </c>
      <c r="I127" s="61">
        <f>IF($AE127="","",IF($AE127&lt;=1200,IF(INDEX(对接源_01水果!$L$4:$L$1203,$AE127)=0,"",INDEX(对接源_01水果!$L$4:$L$1203,$AE127)),IF(INDEX(对接源_02物料!$L$4:$L$1203,$AE127-1200)=0,"",INDEX(对接源_02物料!$L$4:$L$1203,$AE127-1200))))</f>
      </c>
      <c r="J127" s="122">
        <f>IF($AE127="","",IF($AE127&lt;=1200,IF(INDEX(对接源_01水果!$M$4:$M$1203,$AE127)=0,"",INDEX(对接源_01水果!$M$4:$M$1203,$AE127)),IF(INDEX(对接源_02物料!$M$4:$M$1203,$AE127-1200)=0,"",INDEX(对接源_02物料!$M$4:$M$1203,$AE127-1200))))</f>
      </c>
      <c r="AE127" s="128">
        <f>IFERROR(MATCH(122,_自动清单!$AS$4:$AS$2403,0),"")</f>
      </c>
      <c r="AF127" s="128" t="n"/>
    </row>
    <row r="128" ht="18" customHeight="1" s="127">
      <c r="A128" s="163">
        <f>IF($AE128="","",IF($AE128&lt;=1200,IF(INDEX(对接源_01水果!$B$4:$B$1203,$AE128)=0,"",INDEX(对接源_01水果!$B$4:$B$1203,$AE128)),IF(INDEX(对接源_02物料!$B$4:$B$1203,$AE128-1200)=0,"",INDEX(对接源_02物料!$B$4:$B$1203,$AE128-1200))))</f>
      </c>
      <c r="B128" s="61">
        <f>IF($AE128="","",IF($AE128&lt;=1200,IF(INDEX(对接源_01水果!$E$4:$E$1203,$AE128)=0,"",INDEX(对接源_01水果!$E$4:$E$1203,$AE128)),IF(INDEX(对接源_02物料!$E$4:$E$1203,$AE128-1200)=0,"",INDEX(对接源_02物料!$E$4:$E$1203,$AE128-1200))))</f>
      </c>
      <c r="C128" s="122">
        <f>IF($AE128="","",IF($AE128&lt;=1200,IF(INDEX(对接源_01水果!$F$4:$F$1203,$AE128)=0,"",INDEX(对接源_01水果!$F$4:$F$1203,$AE128)),IF(INDEX(对接源_02物料!$F$4:$F$1203,$AE128-1200)=0,"",INDEX(对接源_02物料!$F$4:$F$1203,$AE128-1200))))</f>
      </c>
      <c r="D128" s="61">
        <f>IF($AE128="","",IF(IF($AE128&lt;=1200,IF(INDEX(对接源_01水果!$G$4:$G$1203,$AE128)=0,"",INDEX(对接源_01水果!$G$4:$G$1203,$AE128)),IF(INDEX(对接源_02物料!$G$4:$G$1203,$AE128-1200)=0,"",INDEX(对接源_02物料!$G$4:$G$1203,$AE128-1200)))="",IF($AE128&lt;=1200,IF(INDEX(对接源_01水果!$D$4:$D$1203,$AE128)=0,"",INDEX(对接源_01水果!$D$4:$D$1203,$AE128)),IF(INDEX(对接源_02物料!$D$4:$D$1203,$AE128-1200)=0,"",INDEX(对接源_02物料!$D$4:$D$1203,$AE128-1200))),IF($AE128&lt;=1200,IF(INDEX(对接源_01水果!$G$4:$G$1203,$AE128)=0,"",INDEX(对接源_01水果!$G$4:$G$1203,$AE128)),IF(INDEX(对接源_02物料!$G$4:$G$1203,$AE128-1200)=0,"",INDEX(对接源_02物料!$G$4:$G$1203,$AE128-1200)))))</f>
      </c>
      <c r="E128" s="173">
        <f>IF($AE128="","",IF($AE128&lt;=1200,IF(INDEX(对接源_01水果!$H$4:$H$1203,$AE128)=0,"",INDEX(对接源_01水果!$H$4:$H$1203,$AE128)),IF(INDEX(对接源_02物料!$H$4:$H$1203,$AE128-1200)=0,"",INDEX(对接源_02物料!$H$4:$H$1203,$AE128-1200))))</f>
      </c>
      <c r="F128" s="61">
        <f>IF($AE128="","",IF($AE128&lt;=1200,IF(INDEX(对接源_01水果!$I$4:$I$1203,$AE128)=0,"",INDEX(对接源_01水果!$I$4:$I$1203,$AE128)),IF(INDEX(对接源_02物料!$I$4:$I$1203,$AE128-1200)=0,"",INDEX(对接源_02物料!$I$4:$I$1203,$AE128-1200))))</f>
      </c>
      <c r="G128" s="173">
        <f>IF($AE128="","",IF(IF($AE128&lt;=1200,N(INDEX(对接源_01水果!$H$4:$H$1203,$AE128)),N(INDEX(对接源_02物料!$H$4:$H$1203,$AE128-1200)))=0,"",ROUND(IF($AE128&lt;=1200,N(INDEX(对接源_01水果!$K$4:$K$1203,$AE128)),N(INDEX(对接源_02物料!$K$4:$K$1203,$AE128-1200)))/IF($AE128&lt;=1200,N(INDEX(对接源_01水果!$H$4:$H$1203,$AE128)),N(INDEX(对接源_02物料!$H$4:$H$1203,$AE128-1200))),2)))</f>
      </c>
      <c r="H128" s="173">
        <f>IF($AE128="","",IF($AE128&lt;=1200,IF(INDEX(对接源_01水果!$K$4:$K$1203,$AE128)=0,"",INDEX(对接源_01水果!$K$4:$K$1203,$AE128)),IF(INDEX(对接源_02物料!$K$4:$K$1203,$AE128-1200)=0,"",INDEX(对接源_02物料!$K$4:$K$1203,$AE128-1200))))</f>
      </c>
      <c r="I128" s="61">
        <f>IF($AE128="","",IF($AE128&lt;=1200,IF(INDEX(对接源_01水果!$L$4:$L$1203,$AE128)=0,"",INDEX(对接源_01水果!$L$4:$L$1203,$AE128)),IF(INDEX(对接源_02物料!$L$4:$L$1203,$AE128-1200)=0,"",INDEX(对接源_02物料!$L$4:$L$1203,$AE128-1200))))</f>
      </c>
      <c r="J128" s="122">
        <f>IF($AE128="","",IF($AE128&lt;=1200,IF(INDEX(对接源_01水果!$M$4:$M$1203,$AE128)=0,"",INDEX(对接源_01水果!$M$4:$M$1203,$AE128)),IF(INDEX(对接源_02物料!$M$4:$M$1203,$AE128-1200)=0,"",INDEX(对接源_02物料!$M$4:$M$1203,$AE128-1200))))</f>
      </c>
      <c r="AE128" s="128">
        <f>IFERROR(MATCH(123,_自动清单!$AS$4:$AS$2403,0),"")</f>
      </c>
      <c r="AF128" s="128" t="n"/>
    </row>
    <row r="129" ht="18" customHeight="1" s="127">
      <c r="A129" s="163">
        <f>IF($AE129="","",IF($AE129&lt;=1200,IF(INDEX(对接源_01水果!$B$4:$B$1203,$AE129)=0,"",INDEX(对接源_01水果!$B$4:$B$1203,$AE129)),IF(INDEX(对接源_02物料!$B$4:$B$1203,$AE129-1200)=0,"",INDEX(对接源_02物料!$B$4:$B$1203,$AE129-1200))))</f>
      </c>
      <c r="B129" s="61">
        <f>IF($AE129="","",IF($AE129&lt;=1200,IF(INDEX(对接源_01水果!$E$4:$E$1203,$AE129)=0,"",INDEX(对接源_01水果!$E$4:$E$1203,$AE129)),IF(INDEX(对接源_02物料!$E$4:$E$1203,$AE129-1200)=0,"",INDEX(对接源_02物料!$E$4:$E$1203,$AE129-1200))))</f>
      </c>
      <c r="C129" s="122">
        <f>IF($AE129="","",IF($AE129&lt;=1200,IF(INDEX(对接源_01水果!$F$4:$F$1203,$AE129)=0,"",INDEX(对接源_01水果!$F$4:$F$1203,$AE129)),IF(INDEX(对接源_02物料!$F$4:$F$1203,$AE129-1200)=0,"",INDEX(对接源_02物料!$F$4:$F$1203,$AE129-1200))))</f>
      </c>
      <c r="D129" s="61">
        <f>IF($AE129="","",IF(IF($AE129&lt;=1200,IF(INDEX(对接源_01水果!$G$4:$G$1203,$AE129)=0,"",INDEX(对接源_01水果!$G$4:$G$1203,$AE129)),IF(INDEX(对接源_02物料!$G$4:$G$1203,$AE129-1200)=0,"",INDEX(对接源_02物料!$G$4:$G$1203,$AE129-1200)))="",IF($AE129&lt;=1200,IF(INDEX(对接源_01水果!$D$4:$D$1203,$AE129)=0,"",INDEX(对接源_01水果!$D$4:$D$1203,$AE129)),IF(INDEX(对接源_02物料!$D$4:$D$1203,$AE129-1200)=0,"",INDEX(对接源_02物料!$D$4:$D$1203,$AE129-1200))),IF($AE129&lt;=1200,IF(INDEX(对接源_01水果!$G$4:$G$1203,$AE129)=0,"",INDEX(对接源_01水果!$G$4:$G$1203,$AE129)),IF(INDEX(对接源_02物料!$G$4:$G$1203,$AE129-1200)=0,"",INDEX(对接源_02物料!$G$4:$G$1203,$AE129-1200)))))</f>
      </c>
      <c r="E129" s="173">
        <f>IF($AE129="","",IF($AE129&lt;=1200,IF(INDEX(对接源_01水果!$H$4:$H$1203,$AE129)=0,"",INDEX(对接源_01水果!$H$4:$H$1203,$AE129)),IF(INDEX(对接源_02物料!$H$4:$H$1203,$AE129-1200)=0,"",INDEX(对接源_02物料!$H$4:$H$1203,$AE129-1200))))</f>
      </c>
      <c r="F129" s="61">
        <f>IF($AE129="","",IF($AE129&lt;=1200,IF(INDEX(对接源_01水果!$I$4:$I$1203,$AE129)=0,"",INDEX(对接源_01水果!$I$4:$I$1203,$AE129)),IF(INDEX(对接源_02物料!$I$4:$I$1203,$AE129-1200)=0,"",INDEX(对接源_02物料!$I$4:$I$1203,$AE129-1200))))</f>
      </c>
      <c r="G129" s="173">
        <f>IF($AE129="","",IF(IF($AE129&lt;=1200,N(INDEX(对接源_01水果!$H$4:$H$1203,$AE129)),N(INDEX(对接源_02物料!$H$4:$H$1203,$AE129-1200)))=0,"",ROUND(IF($AE129&lt;=1200,N(INDEX(对接源_01水果!$K$4:$K$1203,$AE129)),N(INDEX(对接源_02物料!$K$4:$K$1203,$AE129-1200)))/IF($AE129&lt;=1200,N(INDEX(对接源_01水果!$H$4:$H$1203,$AE129)),N(INDEX(对接源_02物料!$H$4:$H$1203,$AE129-1200))),2)))</f>
      </c>
      <c r="H129" s="173">
        <f>IF($AE129="","",IF($AE129&lt;=1200,IF(INDEX(对接源_01水果!$K$4:$K$1203,$AE129)=0,"",INDEX(对接源_01水果!$K$4:$K$1203,$AE129)),IF(INDEX(对接源_02物料!$K$4:$K$1203,$AE129-1200)=0,"",INDEX(对接源_02物料!$K$4:$K$1203,$AE129-1200))))</f>
      </c>
      <c r="I129" s="61">
        <f>IF($AE129="","",IF($AE129&lt;=1200,IF(INDEX(对接源_01水果!$L$4:$L$1203,$AE129)=0,"",INDEX(对接源_01水果!$L$4:$L$1203,$AE129)),IF(INDEX(对接源_02物料!$L$4:$L$1203,$AE129-1200)=0,"",INDEX(对接源_02物料!$L$4:$L$1203,$AE129-1200))))</f>
      </c>
      <c r="J129" s="122">
        <f>IF($AE129="","",IF($AE129&lt;=1200,IF(INDEX(对接源_01水果!$M$4:$M$1203,$AE129)=0,"",INDEX(对接源_01水果!$M$4:$M$1203,$AE129)),IF(INDEX(对接源_02物料!$M$4:$M$1203,$AE129-1200)=0,"",INDEX(对接源_02物料!$M$4:$M$1203,$AE129-1200))))</f>
      </c>
      <c r="AE129" s="128">
        <f>IFERROR(MATCH(124,_自动清单!$AS$4:$AS$2403,0),"")</f>
      </c>
      <c r="AF129" s="128" t="n"/>
    </row>
    <row r="130" ht="18" customHeight="1" s="127">
      <c r="A130" s="163">
        <f>IF($AE130="","",IF($AE130&lt;=1200,IF(INDEX(对接源_01水果!$B$4:$B$1203,$AE130)=0,"",INDEX(对接源_01水果!$B$4:$B$1203,$AE130)),IF(INDEX(对接源_02物料!$B$4:$B$1203,$AE130-1200)=0,"",INDEX(对接源_02物料!$B$4:$B$1203,$AE130-1200))))</f>
      </c>
      <c r="B130" s="61">
        <f>IF($AE130="","",IF($AE130&lt;=1200,IF(INDEX(对接源_01水果!$E$4:$E$1203,$AE130)=0,"",INDEX(对接源_01水果!$E$4:$E$1203,$AE130)),IF(INDEX(对接源_02物料!$E$4:$E$1203,$AE130-1200)=0,"",INDEX(对接源_02物料!$E$4:$E$1203,$AE130-1200))))</f>
      </c>
      <c r="C130" s="122">
        <f>IF($AE130="","",IF($AE130&lt;=1200,IF(INDEX(对接源_01水果!$F$4:$F$1203,$AE130)=0,"",INDEX(对接源_01水果!$F$4:$F$1203,$AE130)),IF(INDEX(对接源_02物料!$F$4:$F$1203,$AE130-1200)=0,"",INDEX(对接源_02物料!$F$4:$F$1203,$AE130-1200))))</f>
      </c>
      <c r="D130" s="61">
        <f>IF($AE130="","",IF(IF($AE130&lt;=1200,IF(INDEX(对接源_01水果!$G$4:$G$1203,$AE130)=0,"",INDEX(对接源_01水果!$G$4:$G$1203,$AE130)),IF(INDEX(对接源_02物料!$G$4:$G$1203,$AE130-1200)=0,"",INDEX(对接源_02物料!$G$4:$G$1203,$AE130-1200)))="",IF($AE130&lt;=1200,IF(INDEX(对接源_01水果!$D$4:$D$1203,$AE130)=0,"",INDEX(对接源_01水果!$D$4:$D$1203,$AE130)),IF(INDEX(对接源_02物料!$D$4:$D$1203,$AE130-1200)=0,"",INDEX(对接源_02物料!$D$4:$D$1203,$AE130-1200))),IF($AE130&lt;=1200,IF(INDEX(对接源_01水果!$G$4:$G$1203,$AE130)=0,"",INDEX(对接源_01水果!$G$4:$G$1203,$AE130)),IF(INDEX(对接源_02物料!$G$4:$G$1203,$AE130-1200)=0,"",INDEX(对接源_02物料!$G$4:$G$1203,$AE130-1200)))))</f>
      </c>
      <c r="E130" s="173">
        <f>IF($AE130="","",IF($AE130&lt;=1200,IF(INDEX(对接源_01水果!$H$4:$H$1203,$AE130)=0,"",INDEX(对接源_01水果!$H$4:$H$1203,$AE130)),IF(INDEX(对接源_02物料!$H$4:$H$1203,$AE130-1200)=0,"",INDEX(对接源_02物料!$H$4:$H$1203,$AE130-1200))))</f>
      </c>
      <c r="F130" s="61">
        <f>IF($AE130="","",IF($AE130&lt;=1200,IF(INDEX(对接源_01水果!$I$4:$I$1203,$AE130)=0,"",INDEX(对接源_01水果!$I$4:$I$1203,$AE130)),IF(INDEX(对接源_02物料!$I$4:$I$1203,$AE130-1200)=0,"",INDEX(对接源_02物料!$I$4:$I$1203,$AE130-1200))))</f>
      </c>
      <c r="G130" s="173">
        <f>IF($AE130="","",IF(IF($AE130&lt;=1200,N(INDEX(对接源_01水果!$H$4:$H$1203,$AE130)),N(INDEX(对接源_02物料!$H$4:$H$1203,$AE130-1200)))=0,"",ROUND(IF($AE130&lt;=1200,N(INDEX(对接源_01水果!$K$4:$K$1203,$AE130)),N(INDEX(对接源_02物料!$K$4:$K$1203,$AE130-1200)))/IF($AE130&lt;=1200,N(INDEX(对接源_01水果!$H$4:$H$1203,$AE130)),N(INDEX(对接源_02物料!$H$4:$H$1203,$AE130-1200))),2)))</f>
      </c>
      <c r="H130" s="173">
        <f>IF($AE130="","",IF($AE130&lt;=1200,IF(INDEX(对接源_01水果!$K$4:$K$1203,$AE130)=0,"",INDEX(对接源_01水果!$K$4:$K$1203,$AE130)),IF(INDEX(对接源_02物料!$K$4:$K$1203,$AE130-1200)=0,"",INDEX(对接源_02物料!$K$4:$K$1203,$AE130-1200))))</f>
      </c>
      <c r="I130" s="61">
        <f>IF($AE130="","",IF($AE130&lt;=1200,IF(INDEX(对接源_01水果!$L$4:$L$1203,$AE130)=0,"",INDEX(对接源_01水果!$L$4:$L$1203,$AE130)),IF(INDEX(对接源_02物料!$L$4:$L$1203,$AE130-1200)=0,"",INDEX(对接源_02物料!$L$4:$L$1203,$AE130-1200))))</f>
      </c>
      <c r="J130" s="122">
        <f>IF($AE130="","",IF($AE130&lt;=1200,IF(INDEX(对接源_01水果!$M$4:$M$1203,$AE130)=0,"",INDEX(对接源_01水果!$M$4:$M$1203,$AE130)),IF(INDEX(对接源_02物料!$M$4:$M$1203,$AE130-1200)=0,"",INDEX(对接源_02物料!$M$4:$M$1203,$AE130-1200))))</f>
      </c>
      <c r="AE130" s="128">
        <f>IFERROR(MATCH(125,_自动清单!$AS$4:$AS$2403,0),"")</f>
      </c>
      <c r="AF130" s="128" t="n"/>
    </row>
    <row r="131" ht="18" customHeight="1" s="127">
      <c r="A131" s="163">
        <f>IF($AE131="","",IF($AE131&lt;=1200,IF(INDEX(对接源_01水果!$B$4:$B$1203,$AE131)=0,"",INDEX(对接源_01水果!$B$4:$B$1203,$AE131)),IF(INDEX(对接源_02物料!$B$4:$B$1203,$AE131-1200)=0,"",INDEX(对接源_02物料!$B$4:$B$1203,$AE131-1200))))</f>
      </c>
      <c r="B131" s="61">
        <f>IF($AE131="","",IF($AE131&lt;=1200,IF(INDEX(对接源_01水果!$E$4:$E$1203,$AE131)=0,"",INDEX(对接源_01水果!$E$4:$E$1203,$AE131)),IF(INDEX(对接源_02物料!$E$4:$E$1203,$AE131-1200)=0,"",INDEX(对接源_02物料!$E$4:$E$1203,$AE131-1200))))</f>
      </c>
      <c r="C131" s="122">
        <f>IF($AE131="","",IF($AE131&lt;=1200,IF(INDEX(对接源_01水果!$F$4:$F$1203,$AE131)=0,"",INDEX(对接源_01水果!$F$4:$F$1203,$AE131)),IF(INDEX(对接源_02物料!$F$4:$F$1203,$AE131-1200)=0,"",INDEX(对接源_02物料!$F$4:$F$1203,$AE131-1200))))</f>
      </c>
      <c r="D131" s="61">
        <f>IF($AE131="","",IF(IF($AE131&lt;=1200,IF(INDEX(对接源_01水果!$G$4:$G$1203,$AE131)=0,"",INDEX(对接源_01水果!$G$4:$G$1203,$AE131)),IF(INDEX(对接源_02物料!$G$4:$G$1203,$AE131-1200)=0,"",INDEX(对接源_02物料!$G$4:$G$1203,$AE131-1200)))="",IF($AE131&lt;=1200,IF(INDEX(对接源_01水果!$D$4:$D$1203,$AE131)=0,"",INDEX(对接源_01水果!$D$4:$D$1203,$AE131)),IF(INDEX(对接源_02物料!$D$4:$D$1203,$AE131-1200)=0,"",INDEX(对接源_02物料!$D$4:$D$1203,$AE131-1200))),IF($AE131&lt;=1200,IF(INDEX(对接源_01水果!$G$4:$G$1203,$AE131)=0,"",INDEX(对接源_01水果!$G$4:$G$1203,$AE131)),IF(INDEX(对接源_02物料!$G$4:$G$1203,$AE131-1200)=0,"",INDEX(对接源_02物料!$G$4:$G$1203,$AE131-1200)))))</f>
      </c>
      <c r="E131" s="173">
        <f>IF($AE131="","",IF($AE131&lt;=1200,IF(INDEX(对接源_01水果!$H$4:$H$1203,$AE131)=0,"",INDEX(对接源_01水果!$H$4:$H$1203,$AE131)),IF(INDEX(对接源_02物料!$H$4:$H$1203,$AE131-1200)=0,"",INDEX(对接源_02物料!$H$4:$H$1203,$AE131-1200))))</f>
      </c>
      <c r="F131" s="61">
        <f>IF($AE131="","",IF($AE131&lt;=1200,IF(INDEX(对接源_01水果!$I$4:$I$1203,$AE131)=0,"",INDEX(对接源_01水果!$I$4:$I$1203,$AE131)),IF(INDEX(对接源_02物料!$I$4:$I$1203,$AE131-1200)=0,"",INDEX(对接源_02物料!$I$4:$I$1203,$AE131-1200))))</f>
      </c>
      <c r="G131" s="173">
        <f>IF($AE131="","",IF(IF($AE131&lt;=1200,N(INDEX(对接源_01水果!$H$4:$H$1203,$AE131)),N(INDEX(对接源_02物料!$H$4:$H$1203,$AE131-1200)))=0,"",ROUND(IF($AE131&lt;=1200,N(INDEX(对接源_01水果!$K$4:$K$1203,$AE131)),N(INDEX(对接源_02物料!$K$4:$K$1203,$AE131-1200)))/IF($AE131&lt;=1200,N(INDEX(对接源_01水果!$H$4:$H$1203,$AE131)),N(INDEX(对接源_02物料!$H$4:$H$1203,$AE131-1200))),2)))</f>
      </c>
      <c r="H131" s="173">
        <f>IF($AE131="","",IF($AE131&lt;=1200,IF(INDEX(对接源_01水果!$K$4:$K$1203,$AE131)=0,"",INDEX(对接源_01水果!$K$4:$K$1203,$AE131)),IF(INDEX(对接源_02物料!$K$4:$K$1203,$AE131-1200)=0,"",INDEX(对接源_02物料!$K$4:$K$1203,$AE131-1200))))</f>
      </c>
      <c r="I131" s="61">
        <f>IF($AE131="","",IF($AE131&lt;=1200,IF(INDEX(对接源_01水果!$L$4:$L$1203,$AE131)=0,"",INDEX(对接源_01水果!$L$4:$L$1203,$AE131)),IF(INDEX(对接源_02物料!$L$4:$L$1203,$AE131-1200)=0,"",INDEX(对接源_02物料!$L$4:$L$1203,$AE131-1200))))</f>
      </c>
      <c r="J131" s="122">
        <f>IF($AE131="","",IF($AE131&lt;=1200,IF(INDEX(对接源_01水果!$M$4:$M$1203,$AE131)=0,"",INDEX(对接源_01水果!$M$4:$M$1203,$AE131)),IF(INDEX(对接源_02物料!$M$4:$M$1203,$AE131-1200)=0,"",INDEX(对接源_02物料!$M$4:$M$1203,$AE131-1200))))</f>
      </c>
      <c r="AE131" s="128">
        <f>IFERROR(MATCH(126,_自动清单!$AS$4:$AS$2403,0),"")</f>
      </c>
      <c r="AF131" s="128" t="n"/>
    </row>
    <row r="132" ht="18" customHeight="1" s="127">
      <c r="A132" s="163">
        <f>IF($AE132="","",IF($AE132&lt;=1200,IF(INDEX(对接源_01水果!$B$4:$B$1203,$AE132)=0,"",INDEX(对接源_01水果!$B$4:$B$1203,$AE132)),IF(INDEX(对接源_02物料!$B$4:$B$1203,$AE132-1200)=0,"",INDEX(对接源_02物料!$B$4:$B$1203,$AE132-1200))))</f>
      </c>
      <c r="B132" s="61">
        <f>IF($AE132="","",IF($AE132&lt;=1200,IF(INDEX(对接源_01水果!$E$4:$E$1203,$AE132)=0,"",INDEX(对接源_01水果!$E$4:$E$1203,$AE132)),IF(INDEX(对接源_02物料!$E$4:$E$1203,$AE132-1200)=0,"",INDEX(对接源_02物料!$E$4:$E$1203,$AE132-1200))))</f>
      </c>
      <c r="C132" s="122">
        <f>IF($AE132="","",IF($AE132&lt;=1200,IF(INDEX(对接源_01水果!$F$4:$F$1203,$AE132)=0,"",INDEX(对接源_01水果!$F$4:$F$1203,$AE132)),IF(INDEX(对接源_02物料!$F$4:$F$1203,$AE132-1200)=0,"",INDEX(对接源_02物料!$F$4:$F$1203,$AE132-1200))))</f>
      </c>
      <c r="D132" s="61">
        <f>IF($AE132="","",IF(IF($AE132&lt;=1200,IF(INDEX(对接源_01水果!$G$4:$G$1203,$AE132)=0,"",INDEX(对接源_01水果!$G$4:$G$1203,$AE132)),IF(INDEX(对接源_02物料!$G$4:$G$1203,$AE132-1200)=0,"",INDEX(对接源_02物料!$G$4:$G$1203,$AE132-1200)))="",IF($AE132&lt;=1200,IF(INDEX(对接源_01水果!$D$4:$D$1203,$AE132)=0,"",INDEX(对接源_01水果!$D$4:$D$1203,$AE132)),IF(INDEX(对接源_02物料!$D$4:$D$1203,$AE132-1200)=0,"",INDEX(对接源_02物料!$D$4:$D$1203,$AE132-1200))),IF($AE132&lt;=1200,IF(INDEX(对接源_01水果!$G$4:$G$1203,$AE132)=0,"",INDEX(对接源_01水果!$G$4:$G$1203,$AE132)),IF(INDEX(对接源_02物料!$G$4:$G$1203,$AE132-1200)=0,"",INDEX(对接源_02物料!$G$4:$G$1203,$AE132-1200)))))</f>
      </c>
      <c r="E132" s="173">
        <f>IF($AE132="","",IF($AE132&lt;=1200,IF(INDEX(对接源_01水果!$H$4:$H$1203,$AE132)=0,"",INDEX(对接源_01水果!$H$4:$H$1203,$AE132)),IF(INDEX(对接源_02物料!$H$4:$H$1203,$AE132-1200)=0,"",INDEX(对接源_02物料!$H$4:$H$1203,$AE132-1200))))</f>
      </c>
      <c r="F132" s="61">
        <f>IF($AE132="","",IF($AE132&lt;=1200,IF(INDEX(对接源_01水果!$I$4:$I$1203,$AE132)=0,"",INDEX(对接源_01水果!$I$4:$I$1203,$AE132)),IF(INDEX(对接源_02物料!$I$4:$I$1203,$AE132-1200)=0,"",INDEX(对接源_02物料!$I$4:$I$1203,$AE132-1200))))</f>
      </c>
      <c r="G132" s="173">
        <f>IF($AE132="","",IF(IF($AE132&lt;=1200,N(INDEX(对接源_01水果!$H$4:$H$1203,$AE132)),N(INDEX(对接源_02物料!$H$4:$H$1203,$AE132-1200)))=0,"",ROUND(IF($AE132&lt;=1200,N(INDEX(对接源_01水果!$K$4:$K$1203,$AE132)),N(INDEX(对接源_02物料!$K$4:$K$1203,$AE132-1200)))/IF($AE132&lt;=1200,N(INDEX(对接源_01水果!$H$4:$H$1203,$AE132)),N(INDEX(对接源_02物料!$H$4:$H$1203,$AE132-1200))),2)))</f>
      </c>
      <c r="H132" s="173">
        <f>IF($AE132="","",IF($AE132&lt;=1200,IF(INDEX(对接源_01水果!$K$4:$K$1203,$AE132)=0,"",INDEX(对接源_01水果!$K$4:$K$1203,$AE132)),IF(INDEX(对接源_02物料!$K$4:$K$1203,$AE132-1200)=0,"",INDEX(对接源_02物料!$K$4:$K$1203,$AE132-1200))))</f>
      </c>
      <c r="I132" s="61">
        <f>IF($AE132="","",IF($AE132&lt;=1200,IF(INDEX(对接源_01水果!$L$4:$L$1203,$AE132)=0,"",INDEX(对接源_01水果!$L$4:$L$1203,$AE132)),IF(INDEX(对接源_02物料!$L$4:$L$1203,$AE132-1200)=0,"",INDEX(对接源_02物料!$L$4:$L$1203,$AE132-1200))))</f>
      </c>
      <c r="J132" s="122">
        <f>IF($AE132="","",IF($AE132&lt;=1200,IF(INDEX(对接源_01水果!$M$4:$M$1203,$AE132)=0,"",INDEX(对接源_01水果!$M$4:$M$1203,$AE132)),IF(INDEX(对接源_02物料!$M$4:$M$1203,$AE132-1200)=0,"",INDEX(对接源_02物料!$M$4:$M$1203,$AE132-1200))))</f>
      </c>
      <c r="AE132" s="128">
        <f>IFERROR(MATCH(127,_自动清单!$AS$4:$AS$2403,0),"")</f>
      </c>
      <c r="AF132" s="128" t="n"/>
    </row>
    <row r="133" ht="18" customHeight="1" s="127">
      <c r="A133" s="163">
        <f>IF($AE133="","",IF($AE133&lt;=1200,IF(INDEX(对接源_01水果!$B$4:$B$1203,$AE133)=0,"",INDEX(对接源_01水果!$B$4:$B$1203,$AE133)),IF(INDEX(对接源_02物料!$B$4:$B$1203,$AE133-1200)=0,"",INDEX(对接源_02物料!$B$4:$B$1203,$AE133-1200))))</f>
      </c>
      <c r="B133" s="61">
        <f>IF($AE133="","",IF($AE133&lt;=1200,IF(INDEX(对接源_01水果!$E$4:$E$1203,$AE133)=0,"",INDEX(对接源_01水果!$E$4:$E$1203,$AE133)),IF(INDEX(对接源_02物料!$E$4:$E$1203,$AE133-1200)=0,"",INDEX(对接源_02物料!$E$4:$E$1203,$AE133-1200))))</f>
      </c>
      <c r="C133" s="122">
        <f>IF($AE133="","",IF($AE133&lt;=1200,IF(INDEX(对接源_01水果!$F$4:$F$1203,$AE133)=0,"",INDEX(对接源_01水果!$F$4:$F$1203,$AE133)),IF(INDEX(对接源_02物料!$F$4:$F$1203,$AE133-1200)=0,"",INDEX(对接源_02物料!$F$4:$F$1203,$AE133-1200))))</f>
      </c>
      <c r="D133" s="61">
        <f>IF($AE133="","",IF(IF($AE133&lt;=1200,IF(INDEX(对接源_01水果!$G$4:$G$1203,$AE133)=0,"",INDEX(对接源_01水果!$G$4:$G$1203,$AE133)),IF(INDEX(对接源_02物料!$G$4:$G$1203,$AE133-1200)=0,"",INDEX(对接源_02物料!$G$4:$G$1203,$AE133-1200)))="",IF($AE133&lt;=1200,IF(INDEX(对接源_01水果!$D$4:$D$1203,$AE133)=0,"",INDEX(对接源_01水果!$D$4:$D$1203,$AE133)),IF(INDEX(对接源_02物料!$D$4:$D$1203,$AE133-1200)=0,"",INDEX(对接源_02物料!$D$4:$D$1203,$AE133-1200))),IF($AE133&lt;=1200,IF(INDEX(对接源_01水果!$G$4:$G$1203,$AE133)=0,"",INDEX(对接源_01水果!$G$4:$G$1203,$AE133)),IF(INDEX(对接源_02物料!$G$4:$G$1203,$AE133-1200)=0,"",INDEX(对接源_02物料!$G$4:$G$1203,$AE133-1200)))))</f>
      </c>
      <c r="E133" s="173">
        <f>IF($AE133="","",IF($AE133&lt;=1200,IF(INDEX(对接源_01水果!$H$4:$H$1203,$AE133)=0,"",INDEX(对接源_01水果!$H$4:$H$1203,$AE133)),IF(INDEX(对接源_02物料!$H$4:$H$1203,$AE133-1200)=0,"",INDEX(对接源_02物料!$H$4:$H$1203,$AE133-1200))))</f>
      </c>
      <c r="F133" s="61">
        <f>IF($AE133="","",IF($AE133&lt;=1200,IF(INDEX(对接源_01水果!$I$4:$I$1203,$AE133)=0,"",INDEX(对接源_01水果!$I$4:$I$1203,$AE133)),IF(INDEX(对接源_02物料!$I$4:$I$1203,$AE133-1200)=0,"",INDEX(对接源_02物料!$I$4:$I$1203,$AE133-1200))))</f>
      </c>
      <c r="G133" s="173">
        <f>IF($AE133="","",IF(IF($AE133&lt;=1200,N(INDEX(对接源_01水果!$H$4:$H$1203,$AE133)),N(INDEX(对接源_02物料!$H$4:$H$1203,$AE133-1200)))=0,"",ROUND(IF($AE133&lt;=1200,N(INDEX(对接源_01水果!$K$4:$K$1203,$AE133)),N(INDEX(对接源_02物料!$K$4:$K$1203,$AE133-1200)))/IF($AE133&lt;=1200,N(INDEX(对接源_01水果!$H$4:$H$1203,$AE133)),N(INDEX(对接源_02物料!$H$4:$H$1203,$AE133-1200))),2)))</f>
      </c>
      <c r="H133" s="173">
        <f>IF($AE133="","",IF($AE133&lt;=1200,IF(INDEX(对接源_01水果!$K$4:$K$1203,$AE133)=0,"",INDEX(对接源_01水果!$K$4:$K$1203,$AE133)),IF(INDEX(对接源_02物料!$K$4:$K$1203,$AE133-1200)=0,"",INDEX(对接源_02物料!$K$4:$K$1203,$AE133-1200))))</f>
      </c>
      <c r="I133" s="61">
        <f>IF($AE133="","",IF($AE133&lt;=1200,IF(INDEX(对接源_01水果!$L$4:$L$1203,$AE133)=0,"",INDEX(对接源_01水果!$L$4:$L$1203,$AE133)),IF(INDEX(对接源_02物料!$L$4:$L$1203,$AE133-1200)=0,"",INDEX(对接源_02物料!$L$4:$L$1203,$AE133-1200))))</f>
      </c>
      <c r="J133" s="122">
        <f>IF($AE133="","",IF($AE133&lt;=1200,IF(INDEX(对接源_01水果!$M$4:$M$1203,$AE133)=0,"",INDEX(对接源_01水果!$M$4:$M$1203,$AE133)),IF(INDEX(对接源_02物料!$M$4:$M$1203,$AE133-1200)=0,"",INDEX(对接源_02物料!$M$4:$M$1203,$AE133-1200))))</f>
      </c>
      <c r="AE133" s="128">
        <f>IFERROR(MATCH(128,_自动清单!$AS$4:$AS$2403,0),"")</f>
      </c>
      <c r="AF133" s="128" t="n"/>
    </row>
    <row r="134" ht="18" customHeight="1" s="127">
      <c r="A134" s="163">
        <f>IF($AE134="","",IF($AE134&lt;=1200,IF(INDEX(对接源_01水果!$B$4:$B$1203,$AE134)=0,"",INDEX(对接源_01水果!$B$4:$B$1203,$AE134)),IF(INDEX(对接源_02物料!$B$4:$B$1203,$AE134-1200)=0,"",INDEX(对接源_02物料!$B$4:$B$1203,$AE134-1200))))</f>
      </c>
      <c r="B134" s="61">
        <f>IF($AE134="","",IF($AE134&lt;=1200,IF(INDEX(对接源_01水果!$E$4:$E$1203,$AE134)=0,"",INDEX(对接源_01水果!$E$4:$E$1203,$AE134)),IF(INDEX(对接源_02物料!$E$4:$E$1203,$AE134-1200)=0,"",INDEX(对接源_02物料!$E$4:$E$1203,$AE134-1200))))</f>
      </c>
      <c r="C134" s="122">
        <f>IF($AE134="","",IF($AE134&lt;=1200,IF(INDEX(对接源_01水果!$F$4:$F$1203,$AE134)=0,"",INDEX(对接源_01水果!$F$4:$F$1203,$AE134)),IF(INDEX(对接源_02物料!$F$4:$F$1203,$AE134-1200)=0,"",INDEX(对接源_02物料!$F$4:$F$1203,$AE134-1200))))</f>
      </c>
      <c r="D134" s="61">
        <f>IF($AE134="","",IF(IF($AE134&lt;=1200,IF(INDEX(对接源_01水果!$G$4:$G$1203,$AE134)=0,"",INDEX(对接源_01水果!$G$4:$G$1203,$AE134)),IF(INDEX(对接源_02物料!$G$4:$G$1203,$AE134-1200)=0,"",INDEX(对接源_02物料!$G$4:$G$1203,$AE134-1200)))="",IF($AE134&lt;=1200,IF(INDEX(对接源_01水果!$D$4:$D$1203,$AE134)=0,"",INDEX(对接源_01水果!$D$4:$D$1203,$AE134)),IF(INDEX(对接源_02物料!$D$4:$D$1203,$AE134-1200)=0,"",INDEX(对接源_02物料!$D$4:$D$1203,$AE134-1200))),IF($AE134&lt;=1200,IF(INDEX(对接源_01水果!$G$4:$G$1203,$AE134)=0,"",INDEX(对接源_01水果!$G$4:$G$1203,$AE134)),IF(INDEX(对接源_02物料!$G$4:$G$1203,$AE134-1200)=0,"",INDEX(对接源_02物料!$G$4:$G$1203,$AE134-1200)))))</f>
      </c>
      <c r="E134" s="173">
        <f>IF($AE134="","",IF($AE134&lt;=1200,IF(INDEX(对接源_01水果!$H$4:$H$1203,$AE134)=0,"",INDEX(对接源_01水果!$H$4:$H$1203,$AE134)),IF(INDEX(对接源_02物料!$H$4:$H$1203,$AE134-1200)=0,"",INDEX(对接源_02物料!$H$4:$H$1203,$AE134-1200))))</f>
      </c>
      <c r="F134" s="61">
        <f>IF($AE134="","",IF($AE134&lt;=1200,IF(INDEX(对接源_01水果!$I$4:$I$1203,$AE134)=0,"",INDEX(对接源_01水果!$I$4:$I$1203,$AE134)),IF(INDEX(对接源_02物料!$I$4:$I$1203,$AE134-1200)=0,"",INDEX(对接源_02物料!$I$4:$I$1203,$AE134-1200))))</f>
      </c>
      <c r="G134" s="173">
        <f>IF($AE134="","",IF(IF($AE134&lt;=1200,N(INDEX(对接源_01水果!$H$4:$H$1203,$AE134)),N(INDEX(对接源_02物料!$H$4:$H$1203,$AE134-1200)))=0,"",ROUND(IF($AE134&lt;=1200,N(INDEX(对接源_01水果!$K$4:$K$1203,$AE134)),N(INDEX(对接源_02物料!$K$4:$K$1203,$AE134-1200)))/IF($AE134&lt;=1200,N(INDEX(对接源_01水果!$H$4:$H$1203,$AE134)),N(INDEX(对接源_02物料!$H$4:$H$1203,$AE134-1200))),2)))</f>
      </c>
      <c r="H134" s="173">
        <f>IF($AE134="","",IF($AE134&lt;=1200,IF(INDEX(对接源_01水果!$K$4:$K$1203,$AE134)=0,"",INDEX(对接源_01水果!$K$4:$K$1203,$AE134)),IF(INDEX(对接源_02物料!$K$4:$K$1203,$AE134-1200)=0,"",INDEX(对接源_02物料!$K$4:$K$1203,$AE134-1200))))</f>
      </c>
      <c r="I134" s="61">
        <f>IF($AE134="","",IF($AE134&lt;=1200,IF(INDEX(对接源_01水果!$L$4:$L$1203,$AE134)=0,"",INDEX(对接源_01水果!$L$4:$L$1203,$AE134)),IF(INDEX(对接源_02物料!$L$4:$L$1203,$AE134-1200)=0,"",INDEX(对接源_02物料!$L$4:$L$1203,$AE134-1200))))</f>
      </c>
      <c r="J134" s="122">
        <f>IF($AE134="","",IF($AE134&lt;=1200,IF(INDEX(对接源_01水果!$M$4:$M$1203,$AE134)=0,"",INDEX(对接源_01水果!$M$4:$M$1203,$AE134)),IF(INDEX(对接源_02物料!$M$4:$M$1203,$AE134-1200)=0,"",INDEX(对接源_02物料!$M$4:$M$1203,$AE134-1200))))</f>
      </c>
      <c r="AE134" s="128">
        <f>IFERROR(MATCH(129,_自动清单!$AS$4:$AS$2403,0),"")</f>
      </c>
      <c r="AF134" s="128" t="n"/>
    </row>
    <row r="135" ht="18" customHeight="1" s="127">
      <c r="A135" s="163">
        <f>IF($AE135="","",IF($AE135&lt;=1200,IF(INDEX(对接源_01水果!$B$4:$B$1203,$AE135)=0,"",INDEX(对接源_01水果!$B$4:$B$1203,$AE135)),IF(INDEX(对接源_02物料!$B$4:$B$1203,$AE135-1200)=0,"",INDEX(对接源_02物料!$B$4:$B$1203,$AE135-1200))))</f>
      </c>
      <c r="B135" s="61">
        <f>IF($AE135="","",IF($AE135&lt;=1200,IF(INDEX(对接源_01水果!$E$4:$E$1203,$AE135)=0,"",INDEX(对接源_01水果!$E$4:$E$1203,$AE135)),IF(INDEX(对接源_02物料!$E$4:$E$1203,$AE135-1200)=0,"",INDEX(对接源_02物料!$E$4:$E$1203,$AE135-1200))))</f>
      </c>
      <c r="C135" s="122">
        <f>IF($AE135="","",IF($AE135&lt;=1200,IF(INDEX(对接源_01水果!$F$4:$F$1203,$AE135)=0,"",INDEX(对接源_01水果!$F$4:$F$1203,$AE135)),IF(INDEX(对接源_02物料!$F$4:$F$1203,$AE135-1200)=0,"",INDEX(对接源_02物料!$F$4:$F$1203,$AE135-1200))))</f>
      </c>
      <c r="D135" s="61">
        <f>IF($AE135="","",IF(IF($AE135&lt;=1200,IF(INDEX(对接源_01水果!$G$4:$G$1203,$AE135)=0,"",INDEX(对接源_01水果!$G$4:$G$1203,$AE135)),IF(INDEX(对接源_02物料!$G$4:$G$1203,$AE135-1200)=0,"",INDEX(对接源_02物料!$G$4:$G$1203,$AE135-1200)))="",IF($AE135&lt;=1200,IF(INDEX(对接源_01水果!$D$4:$D$1203,$AE135)=0,"",INDEX(对接源_01水果!$D$4:$D$1203,$AE135)),IF(INDEX(对接源_02物料!$D$4:$D$1203,$AE135-1200)=0,"",INDEX(对接源_02物料!$D$4:$D$1203,$AE135-1200))),IF($AE135&lt;=1200,IF(INDEX(对接源_01水果!$G$4:$G$1203,$AE135)=0,"",INDEX(对接源_01水果!$G$4:$G$1203,$AE135)),IF(INDEX(对接源_02物料!$G$4:$G$1203,$AE135-1200)=0,"",INDEX(对接源_02物料!$G$4:$G$1203,$AE135-1200)))))</f>
      </c>
      <c r="E135" s="173">
        <f>IF($AE135="","",IF($AE135&lt;=1200,IF(INDEX(对接源_01水果!$H$4:$H$1203,$AE135)=0,"",INDEX(对接源_01水果!$H$4:$H$1203,$AE135)),IF(INDEX(对接源_02物料!$H$4:$H$1203,$AE135-1200)=0,"",INDEX(对接源_02物料!$H$4:$H$1203,$AE135-1200))))</f>
      </c>
      <c r="F135" s="61">
        <f>IF($AE135="","",IF($AE135&lt;=1200,IF(INDEX(对接源_01水果!$I$4:$I$1203,$AE135)=0,"",INDEX(对接源_01水果!$I$4:$I$1203,$AE135)),IF(INDEX(对接源_02物料!$I$4:$I$1203,$AE135-1200)=0,"",INDEX(对接源_02物料!$I$4:$I$1203,$AE135-1200))))</f>
      </c>
      <c r="G135" s="173">
        <f>IF($AE135="","",IF(IF($AE135&lt;=1200,N(INDEX(对接源_01水果!$H$4:$H$1203,$AE135)),N(INDEX(对接源_02物料!$H$4:$H$1203,$AE135-1200)))=0,"",ROUND(IF($AE135&lt;=1200,N(INDEX(对接源_01水果!$K$4:$K$1203,$AE135)),N(INDEX(对接源_02物料!$K$4:$K$1203,$AE135-1200)))/IF($AE135&lt;=1200,N(INDEX(对接源_01水果!$H$4:$H$1203,$AE135)),N(INDEX(对接源_02物料!$H$4:$H$1203,$AE135-1200))),2)))</f>
      </c>
      <c r="H135" s="173">
        <f>IF($AE135="","",IF($AE135&lt;=1200,IF(INDEX(对接源_01水果!$K$4:$K$1203,$AE135)=0,"",INDEX(对接源_01水果!$K$4:$K$1203,$AE135)),IF(INDEX(对接源_02物料!$K$4:$K$1203,$AE135-1200)=0,"",INDEX(对接源_02物料!$K$4:$K$1203,$AE135-1200))))</f>
      </c>
      <c r="I135" s="61">
        <f>IF($AE135="","",IF($AE135&lt;=1200,IF(INDEX(对接源_01水果!$L$4:$L$1203,$AE135)=0,"",INDEX(对接源_01水果!$L$4:$L$1203,$AE135)),IF(INDEX(对接源_02物料!$L$4:$L$1203,$AE135-1200)=0,"",INDEX(对接源_02物料!$L$4:$L$1203,$AE135-1200))))</f>
      </c>
      <c r="J135" s="122">
        <f>IF($AE135="","",IF($AE135&lt;=1200,IF(INDEX(对接源_01水果!$M$4:$M$1203,$AE135)=0,"",INDEX(对接源_01水果!$M$4:$M$1203,$AE135)),IF(INDEX(对接源_02物料!$M$4:$M$1203,$AE135-1200)=0,"",INDEX(对接源_02物料!$M$4:$M$1203,$AE135-1200))))</f>
      </c>
      <c r="AE135" s="128">
        <f>IFERROR(MATCH(130,_自动清单!$AS$4:$AS$2403,0),"")</f>
      </c>
      <c r="AF135" s="128" t="n"/>
    </row>
    <row r="136" ht="18" customHeight="1" s="127">
      <c r="A136" s="163">
        <f>IF($AE136="","",IF($AE136&lt;=1200,IF(INDEX(对接源_01水果!$B$4:$B$1203,$AE136)=0,"",INDEX(对接源_01水果!$B$4:$B$1203,$AE136)),IF(INDEX(对接源_02物料!$B$4:$B$1203,$AE136-1200)=0,"",INDEX(对接源_02物料!$B$4:$B$1203,$AE136-1200))))</f>
      </c>
      <c r="B136" s="61">
        <f>IF($AE136="","",IF($AE136&lt;=1200,IF(INDEX(对接源_01水果!$E$4:$E$1203,$AE136)=0,"",INDEX(对接源_01水果!$E$4:$E$1203,$AE136)),IF(INDEX(对接源_02物料!$E$4:$E$1203,$AE136-1200)=0,"",INDEX(对接源_02物料!$E$4:$E$1203,$AE136-1200))))</f>
      </c>
      <c r="C136" s="122">
        <f>IF($AE136="","",IF($AE136&lt;=1200,IF(INDEX(对接源_01水果!$F$4:$F$1203,$AE136)=0,"",INDEX(对接源_01水果!$F$4:$F$1203,$AE136)),IF(INDEX(对接源_02物料!$F$4:$F$1203,$AE136-1200)=0,"",INDEX(对接源_02物料!$F$4:$F$1203,$AE136-1200))))</f>
      </c>
      <c r="D136" s="61">
        <f>IF($AE136="","",IF(IF($AE136&lt;=1200,IF(INDEX(对接源_01水果!$G$4:$G$1203,$AE136)=0,"",INDEX(对接源_01水果!$G$4:$G$1203,$AE136)),IF(INDEX(对接源_02物料!$G$4:$G$1203,$AE136-1200)=0,"",INDEX(对接源_02物料!$G$4:$G$1203,$AE136-1200)))="",IF($AE136&lt;=1200,IF(INDEX(对接源_01水果!$D$4:$D$1203,$AE136)=0,"",INDEX(对接源_01水果!$D$4:$D$1203,$AE136)),IF(INDEX(对接源_02物料!$D$4:$D$1203,$AE136-1200)=0,"",INDEX(对接源_02物料!$D$4:$D$1203,$AE136-1200))),IF($AE136&lt;=1200,IF(INDEX(对接源_01水果!$G$4:$G$1203,$AE136)=0,"",INDEX(对接源_01水果!$G$4:$G$1203,$AE136)),IF(INDEX(对接源_02物料!$G$4:$G$1203,$AE136-1200)=0,"",INDEX(对接源_02物料!$G$4:$G$1203,$AE136-1200)))))</f>
      </c>
      <c r="E136" s="173">
        <f>IF($AE136="","",IF($AE136&lt;=1200,IF(INDEX(对接源_01水果!$H$4:$H$1203,$AE136)=0,"",INDEX(对接源_01水果!$H$4:$H$1203,$AE136)),IF(INDEX(对接源_02物料!$H$4:$H$1203,$AE136-1200)=0,"",INDEX(对接源_02物料!$H$4:$H$1203,$AE136-1200))))</f>
      </c>
      <c r="F136" s="61">
        <f>IF($AE136="","",IF($AE136&lt;=1200,IF(INDEX(对接源_01水果!$I$4:$I$1203,$AE136)=0,"",INDEX(对接源_01水果!$I$4:$I$1203,$AE136)),IF(INDEX(对接源_02物料!$I$4:$I$1203,$AE136-1200)=0,"",INDEX(对接源_02物料!$I$4:$I$1203,$AE136-1200))))</f>
      </c>
      <c r="G136" s="173">
        <f>IF($AE136="","",IF(IF($AE136&lt;=1200,N(INDEX(对接源_01水果!$H$4:$H$1203,$AE136)),N(INDEX(对接源_02物料!$H$4:$H$1203,$AE136-1200)))=0,"",ROUND(IF($AE136&lt;=1200,N(INDEX(对接源_01水果!$K$4:$K$1203,$AE136)),N(INDEX(对接源_02物料!$K$4:$K$1203,$AE136-1200)))/IF($AE136&lt;=1200,N(INDEX(对接源_01水果!$H$4:$H$1203,$AE136)),N(INDEX(对接源_02物料!$H$4:$H$1203,$AE136-1200))),2)))</f>
      </c>
      <c r="H136" s="173">
        <f>IF($AE136="","",IF($AE136&lt;=1200,IF(INDEX(对接源_01水果!$K$4:$K$1203,$AE136)=0,"",INDEX(对接源_01水果!$K$4:$K$1203,$AE136)),IF(INDEX(对接源_02物料!$K$4:$K$1203,$AE136-1200)=0,"",INDEX(对接源_02物料!$K$4:$K$1203,$AE136-1200))))</f>
      </c>
      <c r="I136" s="61">
        <f>IF($AE136="","",IF($AE136&lt;=1200,IF(INDEX(对接源_01水果!$L$4:$L$1203,$AE136)=0,"",INDEX(对接源_01水果!$L$4:$L$1203,$AE136)),IF(INDEX(对接源_02物料!$L$4:$L$1203,$AE136-1200)=0,"",INDEX(对接源_02物料!$L$4:$L$1203,$AE136-1200))))</f>
      </c>
      <c r="J136" s="122">
        <f>IF($AE136="","",IF($AE136&lt;=1200,IF(INDEX(对接源_01水果!$M$4:$M$1203,$AE136)=0,"",INDEX(对接源_01水果!$M$4:$M$1203,$AE136)),IF(INDEX(对接源_02物料!$M$4:$M$1203,$AE136-1200)=0,"",INDEX(对接源_02物料!$M$4:$M$1203,$AE136-1200))))</f>
      </c>
      <c r="AE136" s="128">
        <f>IFERROR(MATCH(131,_自动清单!$AS$4:$AS$2403,0),"")</f>
      </c>
      <c r="AF136" s="128" t="n"/>
    </row>
    <row r="137" ht="18" customHeight="1" s="127">
      <c r="A137" s="163">
        <f>IF($AE137="","",IF($AE137&lt;=1200,IF(INDEX(对接源_01水果!$B$4:$B$1203,$AE137)=0,"",INDEX(对接源_01水果!$B$4:$B$1203,$AE137)),IF(INDEX(对接源_02物料!$B$4:$B$1203,$AE137-1200)=0,"",INDEX(对接源_02物料!$B$4:$B$1203,$AE137-1200))))</f>
      </c>
      <c r="B137" s="61">
        <f>IF($AE137="","",IF($AE137&lt;=1200,IF(INDEX(对接源_01水果!$E$4:$E$1203,$AE137)=0,"",INDEX(对接源_01水果!$E$4:$E$1203,$AE137)),IF(INDEX(对接源_02物料!$E$4:$E$1203,$AE137-1200)=0,"",INDEX(对接源_02物料!$E$4:$E$1203,$AE137-1200))))</f>
      </c>
      <c r="C137" s="122">
        <f>IF($AE137="","",IF($AE137&lt;=1200,IF(INDEX(对接源_01水果!$F$4:$F$1203,$AE137)=0,"",INDEX(对接源_01水果!$F$4:$F$1203,$AE137)),IF(INDEX(对接源_02物料!$F$4:$F$1203,$AE137-1200)=0,"",INDEX(对接源_02物料!$F$4:$F$1203,$AE137-1200))))</f>
      </c>
      <c r="D137" s="61">
        <f>IF($AE137="","",IF(IF($AE137&lt;=1200,IF(INDEX(对接源_01水果!$G$4:$G$1203,$AE137)=0,"",INDEX(对接源_01水果!$G$4:$G$1203,$AE137)),IF(INDEX(对接源_02物料!$G$4:$G$1203,$AE137-1200)=0,"",INDEX(对接源_02物料!$G$4:$G$1203,$AE137-1200)))="",IF($AE137&lt;=1200,IF(INDEX(对接源_01水果!$D$4:$D$1203,$AE137)=0,"",INDEX(对接源_01水果!$D$4:$D$1203,$AE137)),IF(INDEX(对接源_02物料!$D$4:$D$1203,$AE137-1200)=0,"",INDEX(对接源_02物料!$D$4:$D$1203,$AE137-1200))),IF($AE137&lt;=1200,IF(INDEX(对接源_01水果!$G$4:$G$1203,$AE137)=0,"",INDEX(对接源_01水果!$G$4:$G$1203,$AE137)),IF(INDEX(对接源_02物料!$G$4:$G$1203,$AE137-1200)=0,"",INDEX(对接源_02物料!$G$4:$G$1203,$AE137-1200)))))</f>
      </c>
      <c r="E137" s="173">
        <f>IF($AE137="","",IF($AE137&lt;=1200,IF(INDEX(对接源_01水果!$H$4:$H$1203,$AE137)=0,"",INDEX(对接源_01水果!$H$4:$H$1203,$AE137)),IF(INDEX(对接源_02物料!$H$4:$H$1203,$AE137-1200)=0,"",INDEX(对接源_02物料!$H$4:$H$1203,$AE137-1200))))</f>
      </c>
      <c r="F137" s="61">
        <f>IF($AE137="","",IF($AE137&lt;=1200,IF(INDEX(对接源_01水果!$I$4:$I$1203,$AE137)=0,"",INDEX(对接源_01水果!$I$4:$I$1203,$AE137)),IF(INDEX(对接源_02物料!$I$4:$I$1203,$AE137-1200)=0,"",INDEX(对接源_02物料!$I$4:$I$1203,$AE137-1200))))</f>
      </c>
      <c r="G137" s="173">
        <f>IF($AE137="","",IF(IF($AE137&lt;=1200,N(INDEX(对接源_01水果!$H$4:$H$1203,$AE137)),N(INDEX(对接源_02物料!$H$4:$H$1203,$AE137-1200)))=0,"",ROUND(IF($AE137&lt;=1200,N(INDEX(对接源_01水果!$K$4:$K$1203,$AE137)),N(INDEX(对接源_02物料!$K$4:$K$1203,$AE137-1200)))/IF($AE137&lt;=1200,N(INDEX(对接源_01水果!$H$4:$H$1203,$AE137)),N(INDEX(对接源_02物料!$H$4:$H$1203,$AE137-1200))),2)))</f>
      </c>
      <c r="H137" s="173">
        <f>IF($AE137="","",IF($AE137&lt;=1200,IF(INDEX(对接源_01水果!$K$4:$K$1203,$AE137)=0,"",INDEX(对接源_01水果!$K$4:$K$1203,$AE137)),IF(INDEX(对接源_02物料!$K$4:$K$1203,$AE137-1200)=0,"",INDEX(对接源_02物料!$K$4:$K$1203,$AE137-1200))))</f>
      </c>
      <c r="I137" s="61">
        <f>IF($AE137="","",IF($AE137&lt;=1200,IF(INDEX(对接源_01水果!$L$4:$L$1203,$AE137)=0,"",INDEX(对接源_01水果!$L$4:$L$1203,$AE137)),IF(INDEX(对接源_02物料!$L$4:$L$1203,$AE137-1200)=0,"",INDEX(对接源_02物料!$L$4:$L$1203,$AE137-1200))))</f>
      </c>
      <c r="J137" s="122">
        <f>IF($AE137="","",IF($AE137&lt;=1200,IF(INDEX(对接源_01水果!$M$4:$M$1203,$AE137)=0,"",INDEX(对接源_01水果!$M$4:$M$1203,$AE137)),IF(INDEX(对接源_02物料!$M$4:$M$1203,$AE137-1200)=0,"",INDEX(对接源_02物料!$M$4:$M$1203,$AE137-1200))))</f>
      </c>
      <c r="AE137" s="128">
        <f>IFERROR(MATCH(132,_自动清单!$AS$4:$AS$2403,0),"")</f>
      </c>
      <c r="AF137" s="128" t="n"/>
    </row>
    <row r="138" ht="18" customHeight="1" s="127">
      <c r="A138" s="163">
        <f>IF($AE138="","",IF($AE138&lt;=1200,IF(INDEX(对接源_01水果!$B$4:$B$1203,$AE138)=0,"",INDEX(对接源_01水果!$B$4:$B$1203,$AE138)),IF(INDEX(对接源_02物料!$B$4:$B$1203,$AE138-1200)=0,"",INDEX(对接源_02物料!$B$4:$B$1203,$AE138-1200))))</f>
      </c>
      <c r="B138" s="61">
        <f>IF($AE138="","",IF($AE138&lt;=1200,IF(INDEX(对接源_01水果!$E$4:$E$1203,$AE138)=0,"",INDEX(对接源_01水果!$E$4:$E$1203,$AE138)),IF(INDEX(对接源_02物料!$E$4:$E$1203,$AE138-1200)=0,"",INDEX(对接源_02物料!$E$4:$E$1203,$AE138-1200))))</f>
      </c>
      <c r="C138" s="122">
        <f>IF($AE138="","",IF($AE138&lt;=1200,IF(INDEX(对接源_01水果!$F$4:$F$1203,$AE138)=0,"",INDEX(对接源_01水果!$F$4:$F$1203,$AE138)),IF(INDEX(对接源_02物料!$F$4:$F$1203,$AE138-1200)=0,"",INDEX(对接源_02物料!$F$4:$F$1203,$AE138-1200))))</f>
      </c>
      <c r="D138" s="61">
        <f>IF($AE138="","",IF(IF($AE138&lt;=1200,IF(INDEX(对接源_01水果!$G$4:$G$1203,$AE138)=0,"",INDEX(对接源_01水果!$G$4:$G$1203,$AE138)),IF(INDEX(对接源_02物料!$G$4:$G$1203,$AE138-1200)=0,"",INDEX(对接源_02物料!$G$4:$G$1203,$AE138-1200)))="",IF($AE138&lt;=1200,IF(INDEX(对接源_01水果!$D$4:$D$1203,$AE138)=0,"",INDEX(对接源_01水果!$D$4:$D$1203,$AE138)),IF(INDEX(对接源_02物料!$D$4:$D$1203,$AE138-1200)=0,"",INDEX(对接源_02物料!$D$4:$D$1203,$AE138-1200))),IF($AE138&lt;=1200,IF(INDEX(对接源_01水果!$G$4:$G$1203,$AE138)=0,"",INDEX(对接源_01水果!$G$4:$G$1203,$AE138)),IF(INDEX(对接源_02物料!$G$4:$G$1203,$AE138-1200)=0,"",INDEX(对接源_02物料!$G$4:$G$1203,$AE138-1200)))))</f>
      </c>
      <c r="E138" s="173">
        <f>IF($AE138="","",IF($AE138&lt;=1200,IF(INDEX(对接源_01水果!$H$4:$H$1203,$AE138)=0,"",INDEX(对接源_01水果!$H$4:$H$1203,$AE138)),IF(INDEX(对接源_02物料!$H$4:$H$1203,$AE138-1200)=0,"",INDEX(对接源_02物料!$H$4:$H$1203,$AE138-1200))))</f>
      </c>
      <c r="F138" s="61">
        <f>IF($AE138="","",IF($AE138&lt;=1200,IF(INDEX(对接源_01水果!$I$4:$I$1203,$AE138)=0,"",INDEX(对接源_01水果!$I$4:$I$1203,$AE138)),IF(INDEX(对接源_02物料!$I$4:$I$1203,$AE138-1200)=0,"",INDEX(对接源_02物料!$I$4:$I$1203,$AE138-1200))))</f>
      </c>
      <c r="G138" s="173">
        <f>IF($AE138="","",IF(IF($AE138&lt;=1200,N(INDEX(对接源_01水果!$H$4:$H$1203,$AE138)),N(INDEX(对接源_02物料!$H$4:$H$1203,$AE138-1200)))=0,"",ROUND(IF($AE138&lt;=1200,N(INDEX(对接源_01水果!$K$4:$K$1203,$AE138)),N(INDEX(对接源_02物料!$K$4:$K$1203,$AE138-1200)))/IF($AE138&lt;=1200,N(INDEX(对接源_01水果!$H$4:$H$1203,$AE138)),N(INDEX(对接源_02物料!$H$4:$H$1203,$AE138-1200))),2)))</f>
      </c>
      <c r="H138" s="173">
        <f>IF($AE138="","",IF($AE138&lt;=1200,IF(INDEX(对接源_01水果!$K$4:$K$1203,$AE138)=0,"",INDEX(对接源_01水果!$K$4:$K$1203,$AE138)),IF(INDEX(对接源_02物料!$K$4:$K$1203,$AE138-1200)=0,"",INDEX(对接源_02物料!$K$4:$K$1203,$AE138-1200))))</f>
      </c>
      <c r="I138" s="61">
        <f>IF($AE138="","",IF($AE138&lt;=1200,IF(INDEX(对接源_01水果!$L$4:$L$1203,$AE138)=0,"",INDEX(对接源_01水果!$L$4:$L$1203,$AE138)),IF(INDEX(对接源_02物料!$L$4:$L$1203,$AE138-1200)=0,"",INDEX(对接源_02物料!$L$4:$L$1203,$AE138-1200))))</f>
      </c>
      <c r="J138" s="122">
        <f>IF($AE138="","",IF($AE138&lt;=1200,IF(INDEX(对接源_01水果!$M$4:$M$1203,$AE138)=0,"",INDEX(对接源_01水果!$M$4:$M$1203,$AE138)),IF(INDEX(对接源_02物料!$M$4:$M$1203,$AE138-1200)=0,"",INDEX(对接源_02物料!$M$4:$M$1203,$AE138-1200))))</f>
      </c>
      <c r="AE138" s="128">
        <f>IFERROR(MATCH(133,_自动清单!$AS$4:$AS$2403,0),"")</f>
      </c>
      <c r="AF138" s="128" t="n"/>
    </row>
    <row r="139" ht="18" customHeight="1" s="127">
      <c r="A139" s="163">
        <f>IF($AE139="","",IF($AE139&lt;=1200,IF(INDEX(对接源_01水果!$B$4:$B$1203,$AE139)=0,"",INDEX(对接源_01水果!$B$4:$B$1203,$AE139)),IF(INDEX(对接源_02物料!$B$4:$B$1203,$AE139-1200)=0,"",INDEX(对接源_02物料!$B$4:$B$1203,$AE139-1200))))</f>
      </c>
      <c r="B139" s="61">
        <f>IF($AE139="","",IF($AE139&lt;=1200,IF(INDEX(对接源_01水果!$E$4:$E$1203,$AE139)=0,"",INDEX(对接源_01水果!$E$4:$E$1203,$AE139)),IF(INDEX(对接源_02物料!$E$4:$E$1203,$AE139-1200)=0,"",INDEX(对接源_02物料!$E$4:$E$1203,$AE139-1200))))</f>
      </c>
      <c r="C139" s="122">
        <f>IF($AE139="","",IF($AE139&lt;=1200,IF(INDEX(对接源_01水果!$F$4:$F$1203,$AE139)=0,"",INDEX(对接源_01水果!$F$4:$F$1203,$AE139)),IF(INDEX(对接源_02物料!$F$4:$F$1203,$AE139-1200)=0,"",INDEX(对接源_02物料!$F$4:$F$1203,$AE139-1200))))</f>
      </c>
      <c r="D139" s="61">
        <f>IF($AE139="","",IF(IF($AE139&lt;=1200,IF(INDEX(对接源_01水果!$G$4:$G$1203,$AE139)=0,"",INDEX(对接源_01水果!$G$4:$G$1203,$AE139)),IF(INDEX(对接源_02物料!$G$4:$G$1203,$AE139-1200)=0,"",INDEX(对接源_02物料!$G$4:$G$1203,$AE139-1200)))="",IF($AE139&lt;=1200,IF(INDEX(对接源_01水果!$D$4:$D$1203,$AE139)=0,"",INDEX(对接源_01水果!$D$4:$D$1203,$AE139)),IF(INDEX(对接源_02物料!$D$4:$D$1203,$AE139-1200)=0,"",INDEX(对接源_02物料!$D$4:$D$1203,$AE139-1200))),IF($AE139&lt;=1200,IF(INDEX(对接源_01水果!$G$4:$G$1203,$AE139)=0,"",INDEX(对接源_01水果!$G$4:$G$1203,$AE139)),IF(INDEX(对接源_02物料!$G$4:$G$1203,$AE139-1200)=0,"",INDEX(对接源_02物料!$G$4:$G$1203,$AE139-1200)))))</f>
      </c>
      <c r="E139" s="173">
        <f>IF($AE139="","",IF($AE139&lt;=1200,IF(INDEX(对接源_01水果!$H$4:$H$1203,$AE139)=0,"",INDEX(对接源_01水果!$H$4:$H$1203,$AE139)),IF(INDEX(对接源_02物料!$H$4:$H$1203,$AE139-1200)=0,"",INDEX(对接源_02物料!$H$4:$H$1203,$AE139-1200))))</f>
      </c>
      <c r="F139" s="61">
        <f>IF($AE139="","",IF($AE139&lt;=1200,IF(INDEX(对接源_01水果!$I$4:$I$1203,$AE139)=0,"",INDEX(对接源_01水果!$I$4:$I$1203,$AE139)),IF(INDEX(对接源_02物料!$I$4:$I$1203,$AE139-1200)=0,"",INDEX(对接源_02物料!$I$4:$I$1203,$AE139-1200))))</f>
      </c>
      <c r="G139" s="173">
        <f>IF($AE139="","",IF(IF($AE139&lt;=1200,N(INDEX(对接源_01水果!$H$4:$H$1203,$AE139)),N(INDEX(对接源_02物料!$H$4:$H$1203,$AE139-1200)))=0,"",ROUND(IF($AE139&lt;=1200,N(INDEX(对接源_01水果!$K$4:$K$1203,$AE139)),N(INDEX(对接源_02物料!$K$4:$K$1203,$AE139-1200)))/IF($AE139&lt;=1200,N(INDEX(对接源_01水果!$H$4:$H$1203,$AE139)),N(INDEX(对接源_02物料!$H$4:$H$1203,$AE139-1200))),2)))</f>
      </c>
      <c r="H139" s="173">
        <f>IF($AE139="","",IF($AE139&lt;=1200,IF(INDEX(对接源_01水果!$K$4:$K$1203,$AE139)=0,"",INDEX(对接源_01水果!$K$4:$K$1203,$AE139)),IF(INDEX(对接源_02物料!$K$4:$K$1203,$AE139-1200)=0,"",INDEX(对接源_02物料!$K$4:$K$1203,$AE139-1200))))</f>
      </c>
      <c r="I139" s="61">
        <f>IF($AE139="","",IF($AE139&lt;=1200,IF(INDEX(对接源_01水果!$L$4:$L$1203,$AE139)=0,"",INDEX(对接源_01水果!$L$4:$L$1203,$AE139)),IF(INDEX(对接源_02物料!$L$4:$L$1203,$AE139-1200)=0,"",INDEX(对接源_02物料!$L$4:$L$1203,$AE139-1200))))</f>
      </c>
      <c r="J139" s="122">
        <f>IF($AE139="","",IF($AE139&lt;=1200,IF(INDEX(对接源_01水果!$M$4:$M$1203,$AE139)=0,"",INDEX(对接源_01水果!$M$4:$M$1203,$AE139)),IF(INDEX(对接源_02物料!$M$4:$M$1203,$AE139-1200)=0,"",INDEX(对接源_02物料!$M$4:$M$1203,$AE139-1200))))</f>
      </c>
      <c r="AE139" s="128">
        <f>IFERROR(MATCH(134,_自动清单!$AS$4:$AS$2403,0),"")</f>
      </c>
      <c r="AF139" s="128" t="n"/>
    </row>
    <row r="140" ht="18" customHeight="1" s="127">
      <c r="A140" s="163">
        <f>IF($AE140="","",IF($AE140&lt;=1200,IF(INDEX(对接源_01水果!$B$4:$B$1203,$AE140)=0,"",INDEX(对接源_01水果!$B$4:$B$1203,$AE140)),IF(INDEX(对接源_02物料!$B$4:$B$1203,$AE140-1200)=0,"",INDEX(对接源_02物料!$B$4:$B$1203,$AE140-1200))))</f>
      </c>
      <c r="B140" s="61">
        <f>IF($AE140="","",IF($AE140&lt;=1200,IF(INDEX(对接源_01水果!$E$4:$E$1203,$AE140)=0,"",INDEX(对接源_01水果!$E$4:$E$1203,$AE140)),IF(INDEX(对接源_02物料!$E$4:$E$1203,$AE140-1200)=0,"",INDEX(对接源_02物料!$E$4:$E$1203,$AE140-1200))))</f>
      </c>
      <c r="C140" s="122">
        <f>IF($AE140="","",IF($AE140&lt;=1200,IF(INDEX(对接源_01水果!$F$4:$F$1203,$AE140)=0,"",INDEX(对接源_01水果!$F$4:$F$1203,$AE140)),IF(INDEX(对接源_02物料!$F$4:$F$1203,$AE140-1200)=0,"",INDEX(对接源_02物料!$F$4:$F$1203,$AE140-1200))))</f>
      </c>
      <c r="D140" s="61">
        <f>IF($AE140="","",IF(IF($AE140&lt;=1200,IF(INDEX(对接源_01水果!$G$4:$G$1203,$AE140)=0,"",INDEX(对接源_01水果!$G$4:$G$1203,$AE140)),IF(INDEX(对接源_02物料!$G$4:$G$1203,$AE140-1200)=0,"",INDEX(对接源_02物料!$G$4:$G$1203,$AE140-1200)))="",IF($AE140&lt;=1200,IF(INDEX(对接源_01水果!$D$4:$D$1203,$AE140)=0,"",INDEX(对接源_01水果!$D$4:$D$1203,$AE140)),IF(INDEX(对接源_02物料!$D$4:$D$1203,$AE140-1200)=0,"",INDEX(对接源_02物料!$D$4:$D$1203,$AE140-1200))),IF($AE140&lt;=1200,IF(INDEX(对接源_01水果!$G$4:$G$1203,$AE140)=0,"",INDEX(对接源_01水果!$G$4:$G$1203,$AE140)),IF(INDEX(对接源_02物料!$G$4:$G$1203,$AE140-1200)=0,"",INDEX(对接源_02物料!$G$4:$G$1203,$AE140-1200)))))</f>
      </c>
      <c r="E140" s="173">
        <f>IF($AE140="","",IF($AE140&lt;=1200,IF(INDEX(对接源_01水果!$H$4:$H$1203,$AE140)=0,"",INDEX(对接源_01水果!$H$4:$H$1203,$AE140)),IF(INDEX(对接源_02物料!$H$4:$H$1203,$AE140-1200)=0,"",INDEX(对接源_02物料!$H$4:$H$1203,$AE140-1200))))</f>
      </c>
      <c r="F140" s="61">
        <f>IF($AE140="","",IF($AE140&lt;=1200,IF(INDEX(对接源_01水果!$I$4:$I$1203,$AE140)=0,"",INDEX(对接源_01水果!$I$4:$I$1203,$AE140)),IF(INDEX(对接源_02物料!$I$4:$I$1203,$AE140-1200)=0,"",INDEX(对接源_02物料!$I$4:$I$1203,$AE140-1200))))</f>
      </c>
      <c r="G140" s="173">
        <f>IF($AE140="","",IF(IF($AE140&lt;=1200,N(INDEX(对接源_01水果!$H$4:$H$1203,$AE140)),N(INDEX(对接源_02物料!$H$4:$H$1203,$AE140-1200)))=0,"",ROUND(IF($AE140&lt;=1200,N(INDEX(对接源_01水果!$K$4:$K$1203,$AE140)),N(INDEX(对接源_02物料!$K$4:$K$1203,$AE140-1200)))/IF($AE140&lt;=1200,N(INDEX(对接源_01水果!$H$4:$H$1203,$AE140)),N(INDEX(对接源_02物料!$H$4:$H$1203,$AE140-1200))),2)))</f>
      </c>
      <c r="H140" s="173">
        <f>IF($AE140="","",IF($AE140&lt;=1200,IF(INDEX(对接源_01水果!$K$4:$K$1203,$AE140)=0,"",INDEX(对接源_01水果!$K$4:$K$1203,$AE140)),IF(INDEX(对接源_02物料!$K$4:$K$1203,$AE140-1200)=0,"",INDEX(对接源_02物料!$K$4:$K$1203,$AE140-1200))))</f>
      </c>
      <c r="I140" s="61">
        <f>IF($AE140="","",IF($AE140&lt;=1200,IF(INDEX(对接源_01水果!$L$4:$L$1203,$AE140)=0,"",INDEX(对接源_01水果!$L$4:$L$1203,$AE140)),IF(INDEX(对接源_02物料!$L$4:$L$1203,$AE140-1200)=0,"",INDEX(对接源_02物料!$L$4:$L$1203,$AE140-1200))))</f>
      </c>
      <c r="J140" s="122">
        <f>IF($AE140="","",IF($AE140&lt;=1200,IF(INDEX(对接源_01水果!$M$4:$M$1203,$AE140)=0,"",INDEX(对接源_01水果!$M$4:$M$1203,$AE140)),IF(INDEX(对接源_02物料!$M$4:$M$1203,$AE140-1200)=0,"",INDEX(对接源_02物料!$M$4:$M$1203,$AE140-1200))))</f>
      </c>
      <c r="AE140" s="128">
        <f>IFERROR(MATCH(135,_自动清单!$AS$4:$AS$2403,0),"")</f>
      </c>
      <c r="AF140" s="128" t="n"/>
    </row>
    <row r="141" ht="18" customHeight="1" s="127">
      <c r="A141" s="163">
        <f>IF($AE141="","",IF($AE141&lt;=1200,IF(INDEX(对接源_01水果!$B$4:$B$1203,$AE141)=0,"",INDEX(对接源_01水果!$B$4:$B$1203,$AE141)),IF(INDEX(对接源_02物料!$B$4:$B$1203,$AE141-1200)=0,"",INDEX(对接源_02物料!$B$4:$B$1203,$AE141-1200))))</f>
      </c>
      <c r="B141" s="61">
        <f>IF($AE141="","",IF($AE141&lt;=1200,IF(INDEX(对接源_01水果!$E$4:$E$1203,$AE141)=0,"",INDEX(对接源_01水果!$E$4:$E$1203,$AE141)),IF(INDEX(对接源_02物料!$E$4:$E$1203,$AE141-1200)=0,"",INDEX(对接源_02物料!$E$4:$E$1203,$AE141-1200))))</f>
      </c>
      <c r="C141" s="122">
        <f>IF($AE141="","",IF($AE141&lt;=1200,IF(INDEX(对接源_01水果!$F$4:$F$1203,$AE141)=0,"",INDEX(对接源_01水果!$F$4:$F$1203,$AE141)),IF(INDEX(对接源_02物料!$F$4:$F$1203,$AE141-1200)=0,"",INDEX(对接源_02物料!$F$4:$F$1203,$AE141-1200))))</f>
      </c>
      <c r="D141" s="61">
        <f>IF($AE141="","",IF(IF($AE141&lt;=1200,IF(INDEX(对接源_01水果!$G$4:$G$1203,$AE141)=0,"",INDEX(对接源_01水果!$G$4:$G$1203,$AE141)),IF(INDEX(对接源_02物料!$G$4:$G$1203,$AE141-1200)=0,"",INDEX(对接源_02物料!$G$4:$G$1203,$AE141-1200)))="",IF($AE141&lt;=1200,IF(INDEX(对接源_01水果!$D$4:$D$1203,$AE141)=0,"",INDEX(对接源_01水果!$D$4:$D$1203,$AE141)),IF(INDEX(对接源_02物料!$D$4:$D$1203,$AE141-1200)=0,"",INDEX(对接源_02物料!$D$4:$D$1203,$AE141-1200))),IF($AE141&lt;=1200,IF(INDEX(对接源_01水果!$G$4:$G$1203,$AE141)=0,"",INDEX(对接源_01水果!$G$4:$G$1203,$AE141)),IF(INDEX(对接源_02物料!$G$4:$G$1203,$AE141-1200)=0,"",INDEX(对接源_02物料!$G$4:$G$1203,$AE141-1200)))))</f>
      </c>
      <c r="E141" s="173">
        <f>IF($AE141="","",IF($AE141&lt;=1200,IF(INDEX(对接源_01水果!$H$4:$H$1203,$AE141)=0,"",INDEX(对接源_01水果!$H$4:$H$1203,$AE141)),IF(INDEX(对接源_02物料!$H$4:$H$1203,$AE141-1200)=0,"",INDEX(对接源_02物料!$H$4:$H$1203,$AE141-1200))))</f>
      </c>
      <c r="F141" s="61">
        <f>IF($AE141="","",IF($AE141&lt;=1200,IF(INDEX(对接源_01水果!$I$4:$I$1203,$AE141)=0,"",INDEX(对接源_01水果!$I$4:$I$1203,$AE141)),IF(INDEX(对接源_02物料!$I$4:$I$1203,$AE141-1200)=0,"",INDEX(对接源_02物料!$I$4:$I$1203,$AE141-1200))))</f>
      </c>
      <c r="G141" s="173">
        <f>IF($AE141="","",IF(IF($AE141&lt;=1200,N(INDEX(对接源_01水果!$H$4:$H$1203,$AE141)),N(INDEX(对接源_02物料!$H$4:$H$1203,$AE141-1200)))=0,"",ROUND(IF($AE141&lt;=1200,N(INDEX(对接源_01水果!$K$4:$K$1203,$AE141)),N(INDEX(对接源_02物料!$K$4:$K$1203,$AE141-1200)))/IF($AE141&lt;=1200,N(INDEX(对接源_01水果!$H$4:$H$1203,$AE141)),N(INDEX(对接源_02物料!$H$4:$H$1203,$AE141-1200))),2)))</f>
      </c>
      <c r="H141" s="173">
        <f>IF($AE141="","",IF($AE141&lt;=1200,IF(INDEX(对接源_01水果!$K$4:$K$1203,$AE141)=0,"",INDEX(对接源_01水果!$K$4:$K$1203,$AE141)),IF(INDEX(对接源_02物料!$K$4:$K$1203,$AE141-1200)=0,"",INDEX(对接源_02物料!$K$4:$K$1203,$AE141-1200))))</f>
      </c>
      <c r="I141" s="61">
        <f>IF($AE141="","",IF($AE141&lt;=1200,IF(INDEX(对接源_01水果!$L$4:$L$1203,$AE141)=0,"",INDEX(对接源_01水果!$L$4:$L$1203,$AE141)),IF(INDEX(对接源_02物料!$L$4:$L$1203,$AE141-1200)=0,"",INDEX(对接源_02物料!$L$4:$L$1203,$AE141-1200))))</f>
      </c>
      <c r="J141" s="122">
        <f>IF($AE141="","",IF($AE141&lt;=1200,IF(INDEX(对接源_01水果!$M$4:$M$1203,$AE141)=0,"",INDEX(对接源_01水果!$M$4:$M$1203,$AE141)),IF(INDEX(对接源_02物料!$M$4:$M$1203,$AE141-1200)=0,"",INDEX(对接源_02物料!$M$4:$M$1203,$AE141-1200))))</f>
      </c>
      <c r="AE141" s="128">
        <f>IFERROR(MATCH(136,_自动清单!$AS$4:$AS$2403,0),"")</f>
      </c>
      <c r="AF141" s="128" t="n"/>
    </row>
    <row r="142" ht="18" customHeight="1" s="127">
      <c r="A142" s="163">
        <f>IF($AE142="","",IF($AE142&lt;=1200,IF(INDEX(对接源_01水果!$B$4:$B$1203,$AE142)=0,"",INDEX(对接源_01水果!$B$4:$B$1203,$AE142)),IF(INDEX(对接源_02物料!$B$4:$B$1203,$AE142-1200)=0,"",INDEX(对接源_02物料!$B$4:$B$1203,$AE142-1200))))</f>
      </c>
      <c r="B142" s="61">
        <f>IF($AE142="","",IF($AE142&lt;=1200,IF(INDEX(对接源_01水果!$E$4:$E$1203,$AE142)=0,"",INDEX(对接源_01水果!$E$4:$E$1203,$AE142)),IF(INDEX(对接源_02物料!$E$4:$E$1203,$AE142-1200)=0,"",INDEX(对接源_02物料!$E$4:$E$1203,$AE142-1200))))</f>
      </c>
      <c r="C142" s="122">
        <f>IF($AE142="","",IF($AE142&lt;=1200,IF(INDEX(对接源_01水果!$F$4:$F$1203,$AE142)=0,"",INDEX(对接源_01水果!$F$4:$F$1203,$AE142)),IF(INDEX(对接源_02物料!$F$4:$F$1203,$AE142-1200)=0,"",INDEX(对接源_02物料!$F$4:$F$1203,$AE142-1200))))</f>
      </c>
      <c r="D142" s="61">
        <f>IF($AE142="","",IF(IF($AE142&lt;=1200,IF(INDEX(对接源_01水果!$G$4:$G$1203,$AE142)=0,"",INDEX(对接源_01水果!$G$4:$G$1203,$AE142)),IF(INDEX(对接源_02物料!$G$4:$G$1203,$AE142-1200)=0,"",INDEX(对接源_02物料!$G$4:$G$1203,$AE142-1200)))="",IF($AE142&lt;=1200,IF(INDEX(对接源_01水果!$D$4:$D$1203,$AE142)=0,"",INDEX(对接源_01水果!$D$4:$D$1203,$AE142)),IF(INDEX(对接源_02物料!$D$4:$D$1203,$AE142-1200)=0,"",INDEX(对接源_02物料!$D$4:$D$1203,$AE142-1200))),IF($AE142&lt;=1200,IF(INDEX(对接源_01水果!$G$4:$G$1203,$AE142)=0,"",INDEX(对接源_01水果!$G$4:$G$1203,$AE142)),IF(INDEX(对接源_02物料!$G$4:$G$1203,$AE142-1200)=0,"",INDEX(对接源_02物料!$G$4:$G$1203,$AE142-1200)))))</f>
      </c>
      <c r="E142" s="173">
        <f>IF($AE142="","",IF($AE142&lt;=1200,IF(INDEX(对接源_01水果!$H$4:$H$1203,$AE142)=0,"",INDEX(对接源_01水果!$H$4:$H$1203,$AE142)),IF(INDEX(对接源_02物料!$H$4:$H$1203,$AE142-1200)=0,"",INDEX(对接源_02物料!$H$4:$H$1203,$AE142-1200))))</f>
      </c>
      <c r="F142" s="61">
        <f>IF($AE142="","",IF($AE142&lt;=1200,IF(INDEX(对接源_01水果!$I$4:$I$1203,$AE142)=0,"",INDEX(对接源_01水果!$I$4:$I$1203,$AE142)),IF(INDEX(对接源_02物料!$I$4:$I$1203,$AE142-1200)=0,"",INDEX(对接源_02物料!$I$4:$I$1203,$AE142-1200))))</f>
      </c>
      <c r="G142" s="173">
        <f>IF($AE142="","",IF(IF($AE142&lt;=1200,N(INDEX(对接源_01水果!$H$4:$H$1203,$AE142)),N(INDEX(对接源_02物料!$H$4:$H$1203,$AE142-1200)))=0,"",ROUND(IF($AE142&lt;=1200,N(INDEX(对接源_01水果!$K$4:$K$1203,$AE142)),N(INDEX(对接源_02物料!$K$4:$K$1203,$AE142-1200)))/IF($AE142&lt;=1200,N(INDEX(对接源_01水果!$H$4:$H$1203,$AE142)),N(INDEX(对接源_02物料!$H$4:$H$1203,$AE142-1200))),2)))</f>
      </c>
      <c r="H142" s="173">
        <f>IF($AE142="","",IF($AE142&lt;=1200,IF(INDEX(对接源_01水果!$K$4:$K$1203,$AE142)=0,"",INDEX(对接源_01水果!$K$4:$K$1203,$AE142)),IF(INDEX(对接源_02物料!$K$4:$K$1203,$AE142-1200)=0,"",INDEX(对接源_02物料!$K$4:$K$1203,$AE142-1200))))</f>
      </c>
      <c r="I142" s="61">
        <f>IF($AE142="","",IF($AE142&lt;=1200,IF(INDEX(对接源_01水果!$L$4:$L$1203,$AE142)=0,"",INDEX(对接源_01水果!$L$4:$L$1203,$AE142)),IF(INDEX(对接源_02物料!$L$4:$L$1203,$AE142-1200)=0,"",INDEX(对接源_02物料!$L$4:$L$1203,$AE142-1200))))</f>
      </c>
      <c r="J142" s="122">
        <f>IF($AE142="","",IF($AE142&lt;=1200,IF(INDEX(对接源_01水果!$M$4:$M$1203,$AE142)=0,"",INDEX(对接源_01水果!$M$4:$M$1203,$AE142)),IF(INDEX(对接源_02物料!$M$4:$M$1203,$AE142-1200)=0,"",INDEX(对接源_02物料!$M$4:$M$1203,$AE142-1200))))</f>
      </c>
      <c r="AE142" s="128">
        <f>IFERROR(MATCH(137,_自动清单!$AS$4:$AS$2403,0),"")</f>
      </c>
      <c r="AF142" s="128" t="n"/>
    </row>
    <row r="143" ht="18" customHeight="1" s="127">
      <c r="A143" s="163">
        <f>IF($AE143="","",IF($AE143&lt;=1200,IF(INDEX(对接源_01水果!$B$4:$B$1203,$AE143)=0,"",INDEX(对接源_01水果!$B$4:$B$1203,$AE143)),IF(INDEX(对接源_02物料!$B$4:$B$1203,$AE143-1200)=0,"",INDEX(对接源_02物料!$B$4:$B$1203,$AE143-1200))))</f>
      </c>
      <c r="B143" s="61">
        <f>IF($AE143="","",IF($AE143&lt;=1200,IF(INDEX(对接源_01水果!$E$4:$E$1203,$AE143)=0,"",INDEX(对接源_01水果!$E$4:$E$1203,$AE143)),IF(INDEX(对接源_02物料!$E$4:$E$1203,$AE143-1200)=0,"",INDEX(对接源_02物料!$E$4:$E$1203,$AE143-1200))))</f>
      </c>
      <c r="C143" s="122">
        <f>IF($AE143="","",IF($AE143&lt;=1200,IF(INDEX(对接源_01水果!$F$4:$F$1203,$AE143)=0,"",INDEX(对接源_01水果!$F$4:$F$1203,$AE143)),IF(INDEX(对接源_02物料!$F$4:$F$1203,$AE143-1200)=0,"",INDEX(对接源_02物料!$F$4:$F$1203,$AE143-1200))))</f>
      </c>
      <c r="D143" s="61">
        <f>IF($AE143="","",IF(IF($AE143&lt;=1200,IF(INDEX(对接源_01水果!$G$4:$G$1203,$AE143)=0,"",INDEX(对接源_01水果!$G$4:$G$1203,$AE143)),IF(INDEX(对接源_02物料!$G$4:$G$1203,$AE143-1200)=0,"",INDEX(对接源_02物料!$G$4:$G$1203,$AE143-1200)))="",IF($AE143&lt;=1200,IF(INDEX(对接源_01水果!$D$4:$D$1203,$AE143)=0,"",INDEX(对接源_01水果!$D$4:$D$1203,$AE143)),IF(INDEX(对接源_02物料!$D$4:$D$1203,$AE143-1200)=0,"",INDEX(对接源_02物料!$D$4:$D$1203,$AE143-1200))),IF($AE143&lt;=1200,IF(INDEX(对接源_01水果!$G$4:$G$1203,$AE143)=0,"",INDEX(对接源_01水果!$G$4:$G$1203,$AE143)),IF(INDEX(对接源_02物料!$G$4:$G$1203,$AE143-1200)=0,"",INDEX(对接源_02物料!$G$4:$G$1203,$AE143-1200)))))</f>
      </c>
      <c r="E143" s="173">
        <f>IF($AE143="","",IF($AE143&lt;=1200,IF(INDEX(对接源_01水果!$H$4:$H$1203,$AE143)=0,"",INDEX(对接源_01水果!$H$4:$H$1203,$AE143)),IF(INDEX(对接源_02物料!$H$4:$H$1203,$AE143-1200)=0,"",INDEX(对接源_02物料!$H$4:$H$1203,$AE143-1200))))</f>
      </c>
      <c r="F143" s="61">
        <f>IF($AE143="","",IF($AE143&lt;=1200,IF(INDEX(对接源_01水果!$I$4:$I$1203,$AE143)=0,"",INDEX(对接源_01水果!$I$4:$I$1203,$AE143)),IF(INDEX(对接源_02物料!$I$4:$I$1203,$AE143-1200)=0,"",INDEX(对接源_02物料!$I$4:$I$1203,$AE143-1200))))</f>
      </c>
      <c r="G143" s="173">
        <f>IF($AE143="","",IF(IF($AE143&lt;=1200,N(INDEX(对接源_01水果!$H$4:$H$1203,$AE143)),N(INDEX(对接源_02物料!$H$4:$H$1203,$AE143-1200)))=0,"",ROUND(IF($AE143&lt;=1200,N(INDEX(对接源_01水果!$K$4:$K$1203,$AE143)),N(INDEX(对接源_02物料!$K$4:$K$1203,$AE143-1200)))/IF($AE143&lt;=1200,N(INDEX(对接源_01水果!$H$4:$H$1203,$AE143)),N(INDEX(对接源_02物料!$H$4:$H$1203,$AE143-1200))),2)))</f>
      </c>
      <c r="H143" s="173">
        <f>IF($AE143="","",IF($AE143&lt;=1200,IF(INDEX(对接源_01水果!$K$4:$K$1203,$AE143)=0,"",INDEX(对接源_01水果!$K$4:$K$1203,$AE143)),IF(INDEX(对接源_02物料!$K$4:$K$1203,$AE143-1200)=0,"",INDEX(对接源_02物料!$K$4:$K$1203,$AE143-1200))))</f>
      </c>
      <c r="I143" s="61">
        <f>IF($AE143="","",IF($AE143&lt;=1200,IF(INDEX(对接源_01水果!$L$4:$L$1203,$AE143)=0,"",INDEX(对接源_01水果!$L$4:$L$1203,$AE143)),IF(INDEX(对接源_02物料!$L$4:$L$1203,$AE143-1200)=0,"",INDEX(对接源_02物料!$L$4:$L$1203,$AE143-1200))))</f>
      </c>
      <c r="J143" s="122">
        <f>IF($AE143="","",IF($AE143&lt;=1200,IF(INDEX(对接源_01水果!$M$4:$M$1203,$AE143)=0,"",INDEX(对接源_01水果!$M$4:$M$1203,$AE143)),IF(INDEX(对接源_02物料!$M$4:$M$1203,$AE143-1200)=0,"",INDEX(对接源_02物料!$M$4:$M$1203,$AE143-1200))))</f>
      </c>
      <c r="AE143" s="128">
        <f>IFERROR(MATCH(138,_自动清单!$AS$4:$AS$2403,0),"")</f>
      </c>
      <c r="AF143" s="128" t="n"/>
    </row>
    <row r="144" ht="18" customHeight="1" s="127">
      <c r="A144" s="163">
        <f>IF($AE144="","",IF($AE144&lt;=1200,IF(INDEX(对接源_01水果!$B$4:$B$1203,$AE144)=0,"",INDEX(对接源_01水果!$B$4:$B$1203,$AE144)),IF(INDEX(对接源_02物料!$B$4:$B$1203,$AE144-1200)=0,"",INDEX(对接源_02物料!$B$4:$B$1203,$AE144-1200))))</f>
      </c>
      <c r="B144" s="61">
        <f>IF($AE144="","",IF($AE144&lt;=1200,IF(INDEX(对接源_01水果!$E$4:$E$1203,$AE144)=0,"",INDEX(对接源_01水果!$E$4:$E$1203,$AE144)),IF(INDEX(对接源_02物料!$E$4:$E$1203,$AE144-1200)=0,"",INDEX(对接源_02物料!$E$4:$E$1203,$AE144-1200))))</f>
      </c>
      <c r="C144" s="122">
        <f>IF($AE144="","",IF($AE144&lt;=1200,IF(INDEX(对接源_01水果!$F$4:$F$1203,$AE144)=0,"",INDEX(对接源_01水果!$F$4:$F$1203,$AE144)),IF(INDEX(对接源_02物料!$F$4:$F$1203,$AE144-1200)=0,"",INDEX(对接源_02物料!$F$4:$F$1203,$AE144-1200))))</f>
      </c>
      <c r="D144" s="61">
        <f>IF($AE144="","",IF(IF($AE144&lt;=1200,IF(INDEX(对接源_01水果!$G$4:$G$1203,$AE144)=0,"",INDEX(对接源_01水果!$G$4:$G$1203,$AE144)),IF(INDEX(对接源_02物料!$G$4:$G$1203,$AE144-1200)=0,"",INDEX(对接源_02物料!$G$4:$G$1203,$AE144-1200)))="",IF($AE144&lt;=1200,IF(INDEX(对接源_01水果!$D$4:$D$1203,$AE144)=0,"",INDEX(对接源_01水果!$D$4:$D$1203,$AE144)),IF(INDEX(对接源_02物料!$D$4:$D$1203,$AE144-1200)=0,"",INDEX(对接源_02物料!$D$4:$D$1203,$AE144-1200))),IF($AE144&lt;=1200,IF(INDEX(对接源_01水果!$G$4:$G$1203,$AE144)=0,"",INDEX(对接源_01水果!$G$4:$G$1203,$AE144)),IF(INDEX(对接源_02物料!$G$4:$G$1203,$AE144-1200)=0,"",INDEX(对接源_02物料!$G$4:$G$1203,$AE144-1200)))))</f>
      </c>
      <c r="E144" s="173">
        <f>IF($AE144="","",IF($AE144&lt;=1200,IF(INDEX(对接源_01水果!$H$4:$H$1203,$AE144)=0,"",INDEX(对接源_01水果!$H$4:$H$1203,$AE144)),IF(INDEX(对接源_02物料!$H$4:$H$1203,$AE144-1200)=0,"",INDEX(对接源_02物料!$H$4:$H$1203,$AE144-1200))))</f>
      </c>
      <c r="F144" s="61">
        <f>IF($AE144="","",IF($AE144&lt;=1200,IF(INDEX(对接源_01水果!$I$4:$I$1203,$AE144)=0,"",INDEX(对接源_01水果!$I$4:$I$1203,$AE144)),IF(INDEX(对接源_02物料!$I$4:$I$1203,$AE144-1200)=0,"",INDEX(对接源_02物料!$I$4:$I$1203,$AE144-1200))))</f>
      </c>
      <c r="G144" s="173">
        <f>IF($AE144="","",IF(IF($AE144&lt;=1200,N(INDEX(对接源_01水果!$H$4:$H$1203,$AE144)),N(INDEX(对接源_02物料!$H$4:$H$1203,$AE144-1200)))=0,"",ROUND(IF($AE144&lt;=1200,N(INDEX(对接源_01水果!$K$4:$K$1203,$AE144)),N(INDEX(对接源_02物料!$K$4:$K$1203,$AE144-1200)))/IF($AE144&lt;=1200,N(INDEX(对接源_01水果!$H$4:$H$1203,$AE144)),N(INDEX(对接源_02物料!$H$4:$H$1203,$AE144-1200))),2)))</f>
      </c>
      <c r="H144" s="173">
        <f>IF($AE144="","",IF($AE144&lt;=1200,IF(INDEX(对接源_01水果!$K$4:$K$1203,$AE144)=0,"",INDEX(对接源_01水果!$K$4:$K$1203,$AE144)),IF(INDEX(对接源_02物料!$K$4:$K$1203,$AE144-1200)=0,"",INDEX(对接源_02物料!$K$4:$K$1203,$AE144-1200))))</f>
      </c>
      <c r="I144" s="61">
        <f>IF($AE144="","",IF($AE144&lt;=1200,IF(INDEX(对接源_01水果!$L$4:$L$1203,$AE144)=0,"",INDEX(对接源_01水果!$L$4:$L$1203,$AE144)),IF(INDEX(对接源_02物料!$L$4:$L$1203,$AE144-1200)=0,"",INDEX(对接源_02物料!$L$4:$L$1203,$AE144-1200))))</f>
      </c>
      <c r="J144" s="122">
        <f>IF($AE144="","",IF($AE144&lt;=1200,IF(INDEX(对接源_01水果!$M$4:$M$1203,$AE144)=0,"",INDEX(对接源_01水果!$M$4:$M$1203,$AE144)),IF(INDEX(对接源_02物料!$M$4:$M$1203,$AE144-1200)=0,"",INDEX(对接源_02物料!$M$4:$M$1203,$AE144-1200))))</f>
      </c>
      <c r="AE144" s="128">
        <f>IFERROR(MATCH(139,_自动清单!$AS$4:$AS$2403,0),"")</f>
      </c>
      <c r="AF144" s="128" t="n"/>
    </row>
    <row r="145" ht="18" customHeight="1" s="127">
      <c r="A145" s="163">
        <f>IF($AE145="","",IF($AE145&lt;=1200,IF(INDEX(对接源_01水果!$B$4:$B$1203,$AE145)=0,"",INDEX(对接源_01水果!$B$4:$B$1203,$AE145)),IF(INDEX(对接源_02物料!$B$4:$B$1203,$AE145-1200)=0,"",INDEX(对接源_02物料!$B$4:$B$1203,$AE145-1200))))</f>
      </c>
      <c r="B145" s="61">
        <f>IF($AE145="","",IF($AE145&lt;=1200,IF(INDEX(对接源_01水果!$E$4:$E$1203,$AE145)=0,"",INDEX(对接源_01水果!$E$4:$E$1203,$AE145)),IF(INDEX(对接源_02物料!$E$4:$E$1203,$AE145-1200)=0,"",INDEX(对接源_02物料!$E$4:$E$1203,$AE145-1200))))</f>
      </c>
      <c r="C145" s="122">
        <f>IF($AE145="","",IF($AE145&lt;=1200,IF(INDEX(对接源_01水果!$F$4:$F$1203,$AE145)=0,"",INDEX(对接源_01水果!$F$4:$F$1203,$AE145)),IF(INDEX(对接源_02物料!$F$4:$F$1203,$AE145-1200)=0,"",INDEX(对接源_02物料!$F$4:$F$1203,$AE145-1200))))</f>
      </c>
      <c r="D145" s="61">
        <f>IF($AE145="","",IF(IF($AE145&lt;=1200,IF(INDEX(对接源_01水果!$G$4:$G$1203,$AE145)=0,"",INDEX(对接源_01水果!$G$4:$G$1203,$AE145)),IF(INDEX(对接源_02物料!$G$4:$G$1203,$AE145-1200)=0,"",INDEX(对接源_02物料!$G$4:$G$1203,$AE145-1200)))="",IF($AE145&lt;=1200,IF(INDEX(对接源_01水果!$D$4:$D$1203,$AE145)=0,"",INDEX(对接源_01水果!$D$4:$D$1203,$AE145)),IF(INDEX(对接源_02物料!$D$4:$D$1203,$AE145-1200)=0,"",INDEX(对接源_02物料!$D$4:$D$1203,$AE145-1200))),IF($AE145&lt;=1200,IF(INDEX(对接源_01水果!$G$4:$G$1203,$AE145)=0,"",INDEX(对接源_01水果!$G$4:$G$1203,$AE145)),IF(INDEX(对接源_02物料!$G$4:$G$1203,$AE145-1200)=0,"",INDEX(对接源_02物料!$G$4:$G$1203,$AE145-1200)))))</f>
      </c>
      <c r="E145" s="173">
        <f>IF($AE145="","",IF($AE145&lt;=1200,IF(INDEX(对接源_01水果!$H$4:$H$1203,$AE145)=0,"",INDEX(对接源_01水果!$H$4:$H$1203,$AE145)),IF(INDEX(对接源_02物料!$H$4:$H$1203,$AE145-1200)=0,"",INDEX(对接源_02物料!$H$4:$H$1203,$AE145-1200))))</f>
      </c>
      <c r="F145" s="61">
        <f>IF($AE145="","",IF($AE145&lt;=1200,IF(INDEX(对接源_01水果!$I$4:$I$1203,$AE145)=0,"",INDEX(对接源_01水果!$I$4:$I$1203,$AE145)),IF(INDEX(对接源_02物料!$I$4:$I$1203,$AE145-1200)=0,"",INDEX(对接源_02物料!$I$4:$I$1203,$AE145-1200))))</f>
      </c>
      <c r="G145" s="173">
        <f>IF($AE145="","",IF(IF($AE145&lt;=1200,N(INDEX(对接源_01水果!$H$4:$H$1203,$AE145)),N(INDEX(对接源_02物料!$H$4:$H$1203,$AE145-1200)))=0,"",ROUND(IF($AE145&lt;=1200,N(INDEX(对接源_01水果!$K$4:$K$1203,$AE145)),N(INDEX(对接源_02物料!$K$4:$K$1203,$AE145-1200)))/IF($AE145&lt;=1200,N(INDEX(对接源_01水果!$H$4:$H$1203,$AE145)),N(INDEX(对接源_02物料!$H$4:$H$1203,$AE145-1200))),2)))</f>
      </c>
      <c r="H145" s="173">
        <f>IF($AE145="","",IF($AE145&lt;=1200,IF(INDEX(对接源_01水果!$K$4:$K$1203,$AE145)=0,"",INDEX(对接源_01水果!$K$4:$K$1203,$AE145)),IF(INDEX(对接源_02物料!$K$4:$K$1203,$AE145-1200)=0,"",INDEX(对接源_02物料!$K$4:$K$1203,$AE145-1200))))</f>
      </c>
      <c r="I145" s="61">
        <f>IF($AE145="","",IF($AE145&lt;=1200,IF(INDEX(对接源_01水果!$L$4:$L$1203,$AE145)=0,"",INDEX(对接源_01水果!$L$4:$L$1203,$AE145)),IF(INDEX(对接源_02物料!$L$4:$L$1203,$AE145-1200)=0,"",INDEX(对接源_02物料!$L$4:$L$1203,$AE145-1200))))</f>
      </c>
      <c r="J145" s="122">
        <f>IF($AE145="","",IF($AE145&lt;=1200,IF(INDEX(对接源_01水果!$M$4:$M$1203,$AE145)=0,"",INDEX(对接源_01水果!$M$4:$M$1203,$AE145)),IF(INDEX(对接源_02物料!$M$4:$M$1203,$AE145-1200)=0,"",INDEX(对接源_02物料!$M$4:$M$1203,$AE145-1200))))</f>
      </c>
      <c r="AE145" s="128">
        <f>IFERROR(MATCH(140,_自动清单!$AS$4:$AS$2403,0),"")</f>
      </c>
      <c r="AF145" s="128" t="n"/>
    </row>
    <row r="146" ht="18" customHeight="1" s="127">
      <c r="A146" s="163">
        <f>IF($AE146="","",IF($AE146&lt;=1200,IF(INDEX(对接源_01水果!$B$4:$B$1203,$AE146)=0,"",INDEX(对接源_01水果!$B$4:$B$1203,$AE146)),IF(INDEX(对接源_02物料!$B$4:$B$1203,$AE146-1200)=0,"",INDEX(对接源_02物料!$B$4:$B$1203,$AE146-1200))))</f>
      </c>
      <c r="B146" s="61">
        <f>IF($AE146="","",IF($AE146&lt;=1200,IF(INDEX(对接源_01水果!$E$4:$E$1203,$AE146)=0,"",INDEX(对接源_01水果!$E$4:$E$1203,$AE146)),IF(INDEX(对接源_02物料!$E$4:$E$1203,$AE146-1200)=0,"",INDEX(对接源_02物料!$E$4:$E$1203,$AE146-1200))))</f>
      </c>
      <c r="C146" s="122">
        <f>IF($AE146="","",IF($AE146&lt;=1200,IF(INDEX(对接源_01水果!$F$4:$F$1203,$AE146)=0,"",INDEX(对接源_01水果!$F$4:$F$1203,$AE146)),IF(INDEX(对接源_02物料!$F$4:$F$1203,$AE146-1200)=0,"",INDEX(对接源_02物料!$F$4:$F$1203,$AE146-1200))))</f>
      </c>
      <c r="D146" s="61">
        <f>IF($AE146="","",IF(IF($AE146&lt;=1200,IF(INDEX(对接源_01水果!$G$4:$G$1203,$AE146)=0,"",INDEX(对接源_01水果!$G$4:$G$1203,$AE146)),IF(INDEX(对接源_02物料!$G$4:$G$1203,$AE146-1200)=0,"",INDEX(对接源_02物料!$G$4:$G$1203,$AE146-1200)))="",IF($AE146&lt;=1200,IF(INDEX(对接源_01水果!$D$4:$D$1203,$AE146)=0,"",INDEX(对接源_01水果!$D$4:$D$1203,$AE146)),IF(INDEX(对接源_02物料!$D$4:$D$1203,$AE146-1200)=0,"",INDEX(对接源_02物料!$D$4:$D$1203,$AE146-1200))),IF($AE146&lt;=1200,IF(INDEX(对接源_01水果!$G$4:$G$1203,$AE146)=0,"",INDEX(对接源_01水果!$G$4:$G$1203,$AE146)),IF(INDEX(对接源_02物料!$G$4:$G$1203,$AE146-1200)=0,"",INDEX(对接源_02物料!$G$4:$G$1203,$AE146-1200)))))</f>
      </c>
      <c r="E146" s="173">
        <f>IF($AE146="","",IF($AE146&lt;=1200,IF(INDEX(对接源_01水果!$H$4:$H$1203,$AE146)=0,"",INDEX(对接源_01水果!$H$4:$H$1203,$AE146)),IF(INDEX(对接源_02物料!$H$4:$H$1203,$AE146-1200)=0,"",INDEX(对接源_02物料!$H$4:$H$1203,$AE146-1200))))</f>
      </c>
      <c r="F146" s="61">
        <f>IF($AE146="","",IF($AE146&lt;=1200,IF(INDEX(对接源_01水果!$I$4:$I$1203,$AE146)=0,"",INDEX(对接源_01水果!$I$4:$I$1203,$AE146)),IF(INDEX(对接源_02物料!$I$4:$I$1203,$AE146-1200)=0,"",INDEX(对接源_02物料!$I$4:$I$1203,$AE146-1200))))</f>
      </c>
      <c r="G146" s="173">
        <f>IF($AE146="","",IF(IF($AE146&lt;=1200,N(INDEX(对接源_01水果!$H$4:$H$1203,$AE146)),N(INDEX(对接源_02物料!$H$4:$H$1203,$AE146-1200)))=0,"",ROUND(IF($AE146&lt;=1200,N(INDEX(对接源_01水果!$K$4:$K$1203,$AE146)),N(INDEX(对接源_02物料!$K$4:$K$1203,$AE146-1200)))/IF($AE146&lt;=1200,N(INDEX(对接源_01水果!$H$4:$H$1203,$AE146)),N(INDEX(对接源_02物料!$H$4:$H$1203,$AE146-1200))),2)))</f>
      </c>
      <c r="H146" s="173">
        <f>IF($AE146="","",IF($AE146&lt;=1200,IF(INDEX(对接源_01水果!$K$4:$K$1203,$AE146)=0,"",INDEX(对接源_01水果!$K$4:$K$1203,$AE146)),IF(INDEX(对接源_02物料!$K$4:$K$1203,$AE146-1200)=0,"",INDEX(对接源_02物料!$K$4:$K$1203,$AE146-1200))))</f>
      </c>
      <c r="I146" s="61">
        <f>IF($AE146="","",IF($AE146&lt;=1200,IF(INDEX(对接源_01水果!$L$4:$L$1203,$AE146)=0,"",INDEX(对接源_01水果!$L$4:$L$1203,$AE146)),IF(INDEX(对接源_02物料!$L$4:$L$1203,$AE146-1200)=0,"",INDEX(对接源_02物料!$L$4:$L$1203,$AE146-1200))))</f>
      </c>
      <c r="J146" s="122">
        <f>IF($AE146="","",IF($AE146&lt;=1200,IF(INDEX(对接源_01水果!$M$4:$M$1203,$AE146)=0,"",INDEX(对接源_01水果!$M$4:$M$1203,$AE146)),IF(INDEX(对接源_02物料!$M$4:$M$1203,$AE146-1200)=0,"",INDEX(对接源_02物料!$M$4:$M$1203,$AE146-1200))))</f>
      </c>
      <c r="AE146" s="128">
        <f>IFERROR(MATCH(141,_自动清单!$AS$4:$AS$2403,0),"")</f>
      </c>
      <c r="AF146" s="128" t="n"/>
    </row>
    <row r="147" ht="18" customHeight="1" s="127">
      <c r="A147" s="163">
        <f>IF($AE147="","",IF($AE147&lt;=1200,IF(INDEX(对接源_01水果!$B$4:$B$1203,$AE147)=0,"",INDEX(对接源_01水果!$B$4:$B$1203,$AE147)),IF(INDEX(对接源_02物料!$B$4:$B$1203,$AE147-1200)=0,"",INDEX(对接源_02物料!$B$4:$B$1203,$AE147-1200))))</f>
      </c>
      <c r="B147" s="61">
        <f>IF($AE147="","",IF($AE147&lt;=1200,IF(INDEX(对接源_01水果!$E$4:$E$1203,$AE147)=0,"",INDEX(对接源_01水果!$E$4:$E$1203,$AE147)),IF(INDEX(对接源_02物料!$E$4:$E$1203,$AE147-1200)=0,"",INDEX(对接源_02物料!$E$4:$E$1203,$AE147-1200))))</f>
      </c>
      <c r="C147" s="122">
        <f>IF($AE147="","",IF($AE147&lt;=1200,IF(INDEX(对接源_01水果!$F$4:$F$1203,$AE147)=0,"",INDEX(对接源_01水果!$F$4:$F$1203,$AE147)),IF(INDEX(对接源_02物料!$F$4:$F$1203,$AE147-1200)=0,"",INDEX(对接源_02物料!$F$4:$F$1203,$AE147-1200))))</f>
      </c>
      <c r="D147" s="61">
        <f>IF($AE147="","",IF(IF($AE147&lt;=1200,IF(INDEX(对接源_01水果!$G$4:$G$1203,$AE147)=0,"",INDEX(对接源_01水果!$G$4:$G$1203,$AE147)),IF(INDEX(对接源_02物料!$G$4:$G$1203,$AE147-1200)=0,"",INDEX(对接源_02物料!$G$4:$G$1203,$AE147-1200)))="",IF($AE147&lt;=1200,IF(INDEX(对接源_01水果!$D$4:$D$1203,$AE147)=0,"",INDEX(对接源_01水果!$D$4:$D$1203,$AE147)),IF(INDEX(对接源_02物料!$D$4:$D$1203,$AE147-1200)=0,"",INDEX(对接源_02物料!$D$4:$D$1203,$AE147-1200))),IF($AE147&lt;=1200,IF(INDEX(对接源_01水果!$G$4:$G$1203,$AE147)=0,"",INDEX(对接源_01水果!$G$4:$G$1203,$AE147)),IF(INDEX(对接源_02物料!$G$4:$G$1203,$AE147-1200)=0,"",INDEX(对接源_02物料!$G$4:$G$1203,$AE147-1200)))))</f>
      </c>
      <c r="E147" s="173">
        <f>IF($AE147="","",IF($AE147&lt;=1200,IF(INDEX(对接源_01水果!$H$4:$H$1203,$AE147)=0,"",INDEX(对接源_01水果!$H$4:$H$1203,$AE147)),IF(INDEX(对接源_02物料!$H$4:$H$1203,$AE147-1200)=0,"",INDEX(对接源_02物料!$H$4:$H$1203,$AE147-1200))))</f>
      </c>
      <c r="F147" s="61">
        <f>IF($AE147="","",IF($AE147&lt;=1200,IF(INDEX(对接源_01水果!$I$4:$I$1203,$AE147)=0,"",INDEX(对接源_01水果!$I$4:$I$1203,$AE147)),IF(INDEX(对接源_02物料!$I$4:$I$1203,$AE147-1200)=0,"",INDEX(对接源_02物料!$I$4:$I$1203,$AE147-1200))))</f>
      </c>
      <c r="G147" s="173">
        <f>IF($AE147="","",IF(IF($AE147&lt;=1200,N(INDEX(对接源_01水果!$H$4:$H$1203,$AE147)),N(INDEX(对接源_02物料!$H$4:$H$1203,$AE147-1200)))=0,"",ROUND(IF($AE147&lt;=1200,N(INDEX(对接源_01水果!$K$4:$K$1203,$AE147)),N(INDEX(对接源_02物料!$K$4:$K$1203,$AE147-1200)))/IF($AE147&lt;=1200,N(INDEX(对接源_01水果!$H$4:$H$1203,$AE147)),N(INDEX(对接源_02物料!$H$4:$H$1203,$AE147-1200))),2)))</f>
      </c>
      <c r="H147" s="173">
        <f>IF($AE147="","",IF($AE147&lt;=1200,IF(INDEX(对接源_01水果!$K$4:$K$1203,$AE147)=0,"",INDEX(对接源_01水果!$K$4:$K$1203,$AE147)),IF(INDEX(对接源_02物料!$K$4:$K$1203,$AE147-1200)=0,"",INDEX(对接源_02物料!$K$4:$K$1203,$AE147-1200))))</f>
      </c>
      <c r="I147" s="61">
        <f>IF($AE147="","",IF($AE147&lt;=1200,IF(INDEX(对接源_01水果!$L$4:$L$1203,$AE147)=0,"",INDEX(对接源_01水果!$L$4:$L$1203,$AE147)),IF(INDEX(对接源_02物料!$L$4:$L$1203,$AE147-1200)=0,"",INDEX(对接源_02物料!$L$4:$L$1203,$AE147-1200))))</f>
      </c>
      <c r="J147" s="122">
        <f>IF($AE147="","",IF($AE147&lt;=1200,IF(INDEX(对接源_01水果!$M$4:$M$1203,$AE147)=0,"",INDEX(对接源_01水果!$M$4:$M$1203,$AE147)),IF(INDEX(对接源_02物料!$M$4:$M$1203,$AE147-1200)=0,"",INDEX(对接源_02物料!$M$4:$M$1203,$AE147-1200))))</f>
      </c>
      <c r="AE147" s="128">
        <f>IFERROR(MATCH(142,_自动清单!$AS$4:$AS$2403,0),"")</f>
      </c>
      <c r="AF147" s="128" t="n"/>
    </row>
    <row r="148" ht="18" customHeight="1" s="127">
      <c r="A148" s="163">
        <f>IF($AE148="","",IF($AE148&lt;=1200,IF(INDEX(对接源_01水果!$B$4:$B$1203,$AE148)=0,"",INDEX(对接源_01水果!$B$4:$B$1203,$AE148)),IF(INDEX(对接源_02物料!$B$4:$B$1203,$AE148-1200)=0,"",INDEX(对接源_02物料!$B$4:$B$1203,$AE148-1200))))</f>
      </c>
      <c r="B148" s="61">
        <f>IF($AE148="","",IF($AE148&lt;=1200,IF(INDEX(对接源_01水果!$E$4:$E$1203,$AE148)=0,"",INDEX(对接源_01水果!$E$4:$E$1203,$AE148)),IF(INDEX(对接源_02物料!$E$4:$E$1203,$AE148-1200)=0,"",INDEX(对接源_02物料!$E$4:$E$1203,$AE148-1200))))</f>
      </c>
      <c r="C148" s="122">
        <f>IF($AE148="","",IF($AE148&lt;=1200,IF(INDEX(对接源_01水果!$F$4:$F$1203,$AE148)=0,"",INDEX(对接源_01水果!$F$4:$F$1203,$AE148)),IF(INDEX(对接源_02物料!$F$4:$F$1203,$AE148-1200)=0,"",INDEX(对接源_02物料!$F$4:$F$1203,$AE148-1200))))</f>
      </c>
      <c r="D148" s="61">
        <f>IF($AE148="","",IF(IF($AE148&lt;=1200,IF(INDEX(对接源_01水果!$G$4:$G$1203,$AE148)=0,"",INDEX(对接源_01水果!$G$4:$G$1203,$AE148)),IF(INDEX(对接源_02物料!$G$4:$G$1203,$AE148-1200)=0,"",INDEX(对接源_02物料!$G$4:$G$1203,$AE148-1200)))="",IF($AE148&lt;=1200,IF(INDEX(对接源_01水果!$D$4:$D$1203,$AE148)=0,"",INDEX(对接源_01水果!$D$4:$D$1203,$AE148)),IF(INDEX(对接源_02物料!$D$4:$D$1203,$AE148-1200)=0,"",INDEX(对接源_02物料!$D$4:$D$1203,$AE148-1200))),IF($AE148&lt;=1200,IF(INDEX(对接源_01水果!$G$4:$G$1203,$AE148)=0,"",INDEX(对接源_01水果!$G$4:$G$1203,$AE148)),IF(INDEX(对接源_02物料!$G$4:$G$1203,$AE148-1200)=0,"",INDEX(对接源_02物料!$G$4:$G$1203,$AE148-1200)))))</f>
      </c>
      <c r="E148" s="173">
        <f>IF($AE148="","",IF($AE148&lt;=1200,IF(INDEX(对接源_01水果!$H$4:$H$1203,$AE148)=0,"",INDEX(对接源_01水果!$H$4:$H$1203,$AE148)),IF(INDEX(对接源_02物料!$H$4:$H$1203,$AE148-1200)=0,"",INDEX(对接源_02物料!$H$4:$H$1203,$AE148-1200))))</f>
      </c>
      <c r="F148" s="61">
        <f>IF($AE148="","",IF($AE148&lt;=1200,IF(INDEX(对接源_01水果!$I$4:$I$1203,$AE148)=0,"",INDEX(对接源_01水果!$I$4:$I$1203,$AE148)),IF(INDEX(对接源_02物料!$I$4:$I$1203,$AE148-1200)=0,"",INDEX(对接源_02物料!$I$4:$I$1203,$AE148-1200))))</f>
      </c>
      <c r="G148" s="173">
        <f>IF($AE148="","",IF(IF($AE148&lt;=1200,N(INDEX(对接源_01水果!$H$4:$H$1203,$AE148)),N(INDEX(对接源_02物料!$H$4:$H$1203,$AE148-1200)))=0,"",ROUND(IF($AE148&lt;=1200,N(INDEX(对接源_01水果!$K$4:$K$1203,$AE148)),N(INDEX(对接源_02物料!$K$4:$K$1203,$AE148-1200)))/IF($AE148&lt;=1200,N(INDEX(对接源_01水果!$H$4:$H$1203,$AE148)),N(INDEX(对接源_02物料!$H$4:$H$1203,$AE148-1200))),2)))</f>
      </c>
      <c r="H148" s="173">
        <f>IF($AE148="","",IF($AE148&lt;=1200,IF(INDEX(对接源_01水果!$K$4:$K$1203,$AE148)=0,"",INDEX(对接源_01水果!$K$4:$K$1203,$AE148)),IF(INDEX(对接源_02物料!$K$4:$K$1203,$AE148-1200)=0,"",INDEX(对接源_02物料!$K$4:$K$1203,$AE148-1200))))</f>
      </c>
      <c r="I148" s="61">
        <f>IF($AE148="","",IF($AE148&lt;=1200,IF(INDEX(对接源_01水果!$L$4:$L$1203,$AE148)=0,"",INDEX(对接源_01水果!$L$4:$L$1203,$AE148)),IF(INDEX(对接源_02物料!$L$4:$L$1203,$AE148-1200)=0,"",INDEX(对接源_02物料!$L$4:$L$1203,$AE148-1200))))</f>
      </c>
      <c r="J148" s="122">
        <f>IF($AE148="","",IF($AE148&lt;=1200,IF(INDEX(对接源_01水果!$M$4:$M$1203,$AE148)=0,"",INDEX(对接源_01水果!$M$4:$M$1203,$AE148)),IF(INDEX(对接源_02物料!$M$4:$M$1203,$AE148-1200)=0,"",INDEX(对接源_02物料!$M$4:$M$1203,$AE148-1200))))</f>
      </c>
      <c r="AE148" s="128">
        <f>IFERROR(MATCH(143,_自动清单!$AS$4:$AS$2403,0),"")</f>
      </c>
      <c r="AF148" s="128" t="n"/>
    </row>
    <row r="149" ht="18" customHeight="1" s="127">
      <c r="A149" s="163">
        <f>IF($AE149="","",IF($AE149&lt;=1200,IF(INDEX(对接源_01水果!$B$4:$B$1203,$AE149)=0,"",INDEX(对接源_01水果!$B$4:$B$1203,$AE149)),IF(INDEX(对接源_02物料!$B$4:$B$1203,$AE149-1200)=0,"",INDEX(对接源_02物料!$B$4:$B$1203,$AE149-1200))))</f>
      </c>
      <c r="B149" s="61">
        <f>IF($AE149="","",IF($AE149&lt;=1200,IF(INDEX(对接源_01水果!$E$4:$E$1203,$AE149)=0,"",INDEX(对接源_01水果!$E$4:$E$1203,$AE149)),IF(INDEX(对接源_02物料!$E$4:$E$1203,$AE149-1200)=0,"",INDEX(对接源_02物料!$E$4:$E$1203,$AE149-1200))))</f>
      </c>
      <c r="C149" s="122">
        <f>IF($AE149="","",IF($AE149&lt;=1200,IF(INDEX(对接源_01水果!$F$4:$F$1203,$AE149)=0,"",INDEX(对接源_01水果!$F$4:$F$1203,$AE149)),IF(INDEX(对接源_02物料!$F$4:$F$1203,$AE149-1200)=0,"",INDEX(对接源_02物料!$F$4:$F$1203,$AE149-1200))))</f>
      </c>
      <c r="D149" s="61">
        <f>IF($AE149="","",IF(IF($AE149&lt;=1200,IF(INDEX(对接源_01水果!$G$4:$G$1203,$AE149)=0,"",INDEX(对接源_01水果!$G$4:$G$1203,$AE149)),IF(INDEX(对接源_02物料!$G$4:$G$1203,$AE149-1200)=0,"",INDEX(对接源_02物料!$G$4:$G$1203,$AE149-1200)))="",IF($AE149&lt;=1200,IF(INDEX(对接源_01水果!$D$4:$D$1203,$AE149)=0,"",INDEX(对接源_01水果!$D$4:$D$1203,$AE149)),IF(INDEX(对接源_02物料!$D$4:$D$1203,$AE149-1200)=0,"",INDEX(对接源_02物料!$D$4:$D$1203,$AE149-1200))),IF($AE149&lt;=1200,IF(INDEX(对接源_01水果!$G$4:$G$1203,$AE149)=0,"",INDEX(对接源_01水果!$G$4:$G$1203,$AE149)),IF(INDEX(对接源_02物料!$G$4:$G$1203,$AE149-1200)=0,"",INDEX(对接源_02物料!$G$4:$G$1203,$AE149-1200)))))</f>
      </c>
      <c r="E149" s="173">
        <f>IF($AE149="","",IF($AE149&lt;=1200,IF(INDEX(对接源_01水果!$H$4:$H$1203,$AE149)=0,"",INDEX(对接源_01水果!$H$4:$H$1203,$AE149)),IF(INDEX(对接源_02物料!$H$4:$H$1203,$AE149-1200)=0,"",INDEX(对接源_02物料!$H$4:$H$1203,$AE149-1200))))</f>
      </c>
      <c r="F149" s="61">
        <f>IF($AE149="","",IF($AE149&lt;=1200,IF(INDEX(对接源_01水果!$I$4:$I$1203,$AE149)=0,"",INDEX(对接源_01水果!$I$4:$I$1203,$AE149)),IF(INDEX(对接源_02物料!$I$4:$I$1203,$AE149-1200)=0,"",INDEX(对接源_02物料!$I$4:$I$1203,$AE149-1200))))</f>
      </c>
      <c r="G149" s="173">
        <f>IF($AE149="","",IF(IF($AE149&lt;=1200,N(INDEX(对接源_01水果!$H$4:$H$1203,$AE149)),N(INDEX(对接源_02物料!$H$4:$H$1203,$AE149-1200)))=0,"",ROUND(IF($AE149&lt;=1200,N(INDEX(对接源_01水果!$K$4:$K$1203,$AE149)),N(INDEX(对接源_02物料!$K$4:$K$1203,$AE149-1200)))/IF($AE149&lt;=1200,N(INDEX(对接源_01水果!$H$4:$H$1203,$AE149)),N(INDEX(对接源_02物料!$H$4:$H$1203,$AE149-1200))),2)))</f>
      </c>
      <c r="H149" s="173">
        <f>IF($AE149="","",IF($AE149&lt;=1200,IF(INDEX(对接源_01水果!$K$4:$K$1203,$AE149)=0,"",INDEX(对接源_01水果!$K$4:$K$1203,$AE149)),IF(INDEX(对接源_02物料!$K$4:$K$1203,$AE149-1200)=0,"",INDEX(对接源_02物料!$K$4:$K$1203,$AE149-1200))))</f>
      </c>
      <c r="I149" s="61">
        <f>IF($AE149="","",IF($AE149&lt;=1200,IF(INDEX(对接源_01水果!$L$4:$L$1203,$AE149)=0,"",INDEX(对接源_01水果!$L$4:$L$1203,$AE149)),IF(INDEX(对接源_02物料!$L$4:$L$1203,$AE149-1200)=0,"",INDEX(对接源_02物料!$L$4:$L$1203,$AE149-1200))))</f>
      </c>
      <c r="J149" s="122">
        <f>IF($AE149="","",IF($AE149&lt;=1200,IF(INDEX(对接源_01水果!$M$4:$M$1203,$AE149)=0,"",INDEX(对接源_01水果!$M$4:$M$1203,$AE149)),IF(INDEX(对接源_02物料!$M$4:$M$1203,$AE149-1200)=0,"",INDEX(对接源_02物料!$M$4:$M$1203,$AE149-1200))))</f>
      </c>
      <c r="AE149" s="128">
        <f>IFERROR(MATCH(144,_自动清单!$AS$4:$AS$2403,0),"")</f>
      </c>
      <c r="AF149" s="128" t="n"/>
    </row>
    <row r="150" ht="18" customHeight="1" s="127">
      <c r="A150" s="163">
        <f>IF($AE150="","",IF($AE150&lt;=1200,IF(INDEX(对接源_01水果!$B$4:$B$1203,$AE150)=0,"",INDEX(对接源_01水果!$B$4:$B$1203,$AE150)),IF(INDEX(对接源_02物料!$B$4:$B$1203,$AE150-1200)=0,"",INDEX(对接源_02物料!$B$4:$B$1203,$AE150-1200))))</f>
      </c>
      <c r="B150" s="61">
        <f>IF($AE150="","",IF($AE150&lt;=1200,IF(INDEX(对接源_01水果!$E$4:$E$1203,$AE150)=0,"",INDEX(对接源_01水果!$E$4:$E$1203,$AE150)),IF(INDEX(对接源_02物料!$E$4:$E$1203,$AE150-1200)=0,"",INDEX(对接源_02物料!$E$4:$E$1203,$AE150-1200))))</f>
      </c>
      <c r="C150" s="122">
        <f>IF($AE150="","",IF($AE150&lt;=1200,IF(INDEX(对接源_01水果!$F$4:$F$1203,$AE150)=0,"",INDEX(对接源_01水果!$F$4:$F$1203,$AE150)),IF(INDEX(对接源_02物料!$F$4:$F$1203,$AE150-1200)=0,"",INDEX(对接源_02物料!$F$4:$F$1203,$AE150-1200))))</f>
      </c>
      <c r="D150" s="61">
        <f>IF($AE150="","",IF(IF($AE150&lt;=1200,IF(INDEX(对接源_01水果!$G$4:$G$1203,$AE150)=0,"",INDEX(对接源_01水果!$G$4:$G$1203,$AE150)),IF(INDEX(对接源_02物料!$G$4:$G$1203,$AE150-1200)=0,"",INDEX(对接源_02物料!$G$4:$G$1203,$AE150-1200)))="",IF($AE150&lt;=1200,IF(INDEX(对接源_01水果!$D$4:$D$1203,$AE150)=0,"",INDEX(对接源_01水果!$D$4:$D$1203,$AE150)),IF(INDEX(对接源_02物料!$D$4:$D$1203,$AE150-1200)=0,"",INDEX(对接源_02物料!$D$4:$D$1203,$AE150-1200))),IF($AE150&lt;=1200,IF(INDEX(对接源_01水果!$G$4:$G$1203,$AE150)=0,"",INDEX(对接源_01水果!$G$4:$G$1203,$AE150)),IF(INDEX(对接源_02物料!$G$4:$G$1203,$AE150-1200)=0,"",INDEX(对接源_02物料!$G$4:$G$1203,$AE150-1200)))))</f>
      </c>
      <c r="E150" s="173">
        <f>IF($AE150="","",IF($AE150&lt;=1200,IF(INDEX(对接源_01水果!$H$4:$H$1203,$AE150)=0,"",INDEX(对接源_01水果!$H$4:$H$1203,$AE150)),IF(INDEX(对接源_02物料!$H$4:$H$1203,$AE150-1200)=0,"",INDEX(对接源_02物料!$H$4:$H$1203,$AE150-1200))))</f>
      </c>
      <c r="F150" s="61">
        <f>IF($AE150="","",IF($AE150&lt;=1200,IF(INDEX(对接源_01水果!$I$4:$I$1203,$AE150)=0,"",INDEX(对接源_01水果!$I$4:$I$1203,$AE150)),IF(INDEX(对接源_02物料!$I$4:$I$1203,$AE150-1200)=0,"",INDEX(对接源_02物料!$I$4:$I$1203,$AE150-1200))))</f>
      </c>
      <c r="G150" s="173">
        <f>IF($AE150="","",IF(IF($AE150&lt;=1200,N(INDEX(对接源_01水果!$H$4:$H$1203,$AE150)),N(INDEX(对接源_02物料!$H$4:$H$1203,$AE150-1200)))=0,"",ROUND(IF($AE150&lt;=1200,N(INDEX(对接源_01水果!$K$4:$K$1203,$AE150)),N(INDEX(对接源_02物料!$K$4:$K$1203,$AE150-1200)))/IF($AE150&lt;=1200,N(INDEX(对接源_01水果!$H$4:$H$1203,$AE150)),N(INDEX(对接源_02物料!$H$4:$H$1203,$AE150-1200))),2)))</f>
      </c>
      <c r="H150" s="173">
        <f>IF($AE150="","",IF($AE150&lt;=1200,IF(INDEX(对接源_01水果!$K$4:$K$1203,$AE150)=0,"",INDEX(对接源_01水果!$K$4:$K$1203,$AE150)),IF(INDEX(对接源_02物料!$K$4:$K$1203,$AE150-1200)=0,"",INDEX(对接源_02物料!$K$4:$K$1203,$AE150-1200))))</f>
      </c>
      <c r="I150" s="61">
        <f>IF($AE150="","",IF($AE150&lt;=1200,IF(INDEX(对接源_01水果!$L$4:$L$1203,$AE150)=0,"",INDEX(对接源_01水果!$L$4:$L$1203,$AE150)),IF(INDEX(对接源_02物料!$L$4:$L$1203,$AE150-1200)=0,"",INDEX(对接源_02物料!$L$4:$L$1203,$AE150-1200))))</f>
      </c>
      <c r="J150" s="122">
        <f>IF($AE150="","",IF($AE150&lt;=1200,IF(INDEX(对接源_01水果!$M$4:$M$1203,$AE150)=0,"",INDEX(对接源_01水果!$M$4:$M$1203,$AE150)),IF(INDEX(对接源_02物料!$M$4:$M$1203,$AE150-1200)=0,"",INDEX(对接源_02物料!$M$4:$M$1203,$AE150-1200))))</f>
      </c>
      <c r="AE150" s="128">
        <f>IFERROR(MATCH(145,_自动清单!$AS$4:$AS$2403,0),"")</f>
      </c>
      <c r="AF150" s="128" t="n"/>
    </row>
    <row r="151" ht="18" customHeight="1" s="127">
      <c r="A151" s="163">
        <f>IF($AE151="","",IF($AE151&lt;=1200,IF(INDEX(对接源_01水果!$B$4:$B$1203,$AE151)=0,"",INDEX(对接源_01水果!$B$4:$B$1203,$AE151)),IF(INDEX(对接源_02物料!$B$4:$B$1203,$AE151-1200)=0,"",INDEX(对接源_02物料!$B$4:$B$1203,$AE151-1200))))</f>
      </c>
      <c r="B151" s="61">
        <f>IF($AE151="","",IF($AE151&lt;=1200,IF(INDEX(对接源_01水果!$E$4:$E$1203,$AE151)=0,"",INDEX(对接源_01水果!$E$4:$E$1203,$AE151)),IF(INDEX(对接源_02物料!$E$4:$E$1203,$AE151-1200)=0,"",INDEX(对接源_02物料!$E$4:$E$1203,$AE151-1200))))</f>
      </c>
      <c r="C151" s="122">
        <f>IF($AE151="","",IF($AE151&lt;=1200,IF(INDEX(对接源_01水果!$F$4:$F$1203,$AE151)=0,"",INDEX(对接源_01水果!$F$4:$F$1203,$AE151)),IF(INDEX(对接源_02物料!$F$4:$F$1203,$AE151-1200)=0,"",INDEX(对接源_02物料!$F$4:$F$1203,$AE151-1200))))</f>
      </c>
      <c r="D151" s="61">
        <f>IF($AE151="","",IF(IF($AE151&lt;=1200,IF(INDEX(对接源_01水果!$G$4:$G$1203,$AE151)=0,"",INDEX(对接源_01水果!$G$4:$G$1203,$AE151)),IF(INDEX(对接源_02物料!$G$4:$G$1203,$AE151-1200)=0,"",INDEX(对接源_02物料!$G$4:$G$1203,$AE151-1200)))="",IF($AE151&lt;=1200,IF(INDEX(对接源_01水果!$D$4:$D$1203,$AE151)=0,"",INDEX(对接源_01水果!$D$4:$D$1203,$AE151)),IF(INDEX(对接源_02物料!$D$4:$D$1203,$AE151-1200)=0,"",INDEX(对接源_02物料!$D$4:$D$1203,$AE151-1200))),IF($AE151&lt;=1200,IF(INDEX(对接源_01水果!$G$4:$G$1203,$AE151)=0,"",INDEX(对接源_01水果!$G$4:$G$1203,$AE151)),IF(INDEX(对接源_02物料!$G$4:$G$1203,$AE151-1200)=0,"",INDEX(对接源_02物料!$G$4:$G$1203,$AE151-1200)))))</f>
      </c>
      <c r="E151" s="173">
        <f>IF($AE151="","",IF($AE151&lt;=1200,IF(INDEX(对接源_01水果!$H$4:$H$1203,$AE151)=0,"",INDEX(对接源_01水果!$H$4:$H$1203,$AE151)),IF(INDEX(对接源_02物料!$H$4:$H$1203,$AE151-1200)=0,"",INDEX(对接源_02物料!$H$4:$H$1203,$AE151-1200))))</f>
      </c>
      <c r="F151" s="61">
        <f>IF($AE151="","",IF($AE151&lt;=1200,IF(INDEX(对接源_01水果!$I$4:$I$1203,$AE151)=0,"",INDEX(对接源_01水果!$I$4:$I$1203,$AE151)),IF(INDEX(对接源_02物料!$I$4:$I$1203,$AE151-1200)=0,"",INDEX(对接源_02物料!$I$4:$I$1203,$AE151-1200))))</f>
      </c>
      <c r="G151" s="173">
        <f>IF($AE151="","",IF(IF($AE151&lt;=1200,N(INDEX(对接源_01水果!$H$4:$H$1203,$AE151)),N(INDEX(对接源_02物料!$H$4:$H$1203,$AE151-1200)))=0,"",ROUND(IF($AE151&lt;=1200,N(INDEX(对接源_01水果!$K$4:$K$1203,$AE151)),N(INDEX(对接源_02物料!$K$4:$K$1203,$AE151-1200)))/IF($AE151&lt;=1200,N(INDEX(对接源_01水果!$H$4:$H$1203,$AE151)),N(INDEX(对接源_02物料!$H$4:$H$1203,$AE151-1200))),2)))</f>
      </c>
      <c r="H151" s="173">
        <f>IF($AE151="","",IF($AE151&lt;=1200,IF(INDEX(对接源_01水果!$K$4:$K$1203,$AE151)=0,"",INDEX(对接源_01水果!$K$4:$K$1203,$AE151)),IF(INDEX(对接源_02物料!$K$4:$K$1203,$AE151-1200)=0,"",INDEX(对接源_02物料!$K$4:$K$1203,$AE151-1200))))</f>
      </c>
      <c r="I151" s="61">
        <f>IF($AE151="","",IF($AE151&lt;=1200,IF(INDEX(对接源_01水果!$L$4:$L$1203,$AE151)=0,"",INDEX(对接源_01水果!$L$4:$L$1203,$AE151)),IF(INDEX(对接源_02物料!$L$4:$L$1203,$AE151-1200)=0,"",INDEX(对接源_02物料!$L$4:$L$1203,$AE151-1200))))</f>
      </c>
      <c r="J151" s="122">
        <f>IF($AE151="","",IF($AE151&lt;=1200,IF(INDEX(对接源_01水果!$M$4:$M$1203,$AE151)=0,"",INDEX(对接源_01水果!$M$4:$M$1203,$AE151)),IF(INDEX(对接源_02物料!$M$4:$M$1203,$AE151-1200)=0,"",INDEX(对接源_02物料!$M$4:$M$1203,$AE151-1200))))</f>
      </c>
      <c r="AE151" s="128">
        <f>IFERROR(MATCH(146,_自动清单!$AS$4:$AS$2403,0),"")</f>
      </c>
      <c r="AF151" s="128" t="n"/>
    </row>
    <row r="152" ht="18" customHeight="1" s="127">
      <c r="A152" s="163">
        <f>IF($AE152="","",IF($AE152&lt;=1200,IF(INDEX(对接源_01水果!$B$4:$B$1203,$AE152)=0,"",INDEX(对接源_01水果!$B$4:$B$1203,$AE152)),IF(INDEX(对接源_02物料!$B$4:$B$1203,$AE152-1200)=0,"",INDEX(对接源_02物料!$B$4:$B$1203,$AE152-1200))))</f>
      </c>
      <c r="B152" s="61">
        <f>IF($AE152="","",IF($AE152&lt;=1200,IF(INDEX(对接源_01水果!$E$4:$E$1203,$AE152)=0,"",INDEX(对接源_01水果!$E$4:$E$1203,$AE152)),IF(INDEX(对接源_02物料!$E$4:$E$1203,$AE152-1200)=0,"",INDEX(对接源_02物料!$E$4:$E$1203,$AE152-1200))))</f>
      </c>
      <c r="C152" s="122">
        <f>IF($AE152="","",IF($AE152&lt;=1200,IF(INDEX(对接源_01水果!$F$4:$F$1203,$AE152)=0,"",INDEX(对接源_01水果!$F$4:$F$1203,$AE152)),IF(INDEX(对接源_02物料!$F$4:$F$1203,$AE152-1200)=0,"",INDEX(对接源_02物料!$F$4:$F$1203,$AE152-1200))))</f>
      </c>
      <c r="D152" s="61">
        <f>IF($AE152="","",IF(IF($AE152&lt;=1200,IF(INDEX(对接源_01水果!$G$4:$G$1203,$AE152)=0,"",INDEX(对接源_01水果!$G$4:$G$1203,$AE152)),IF(INDEX(对接源_02物料!$G$4:$G$1203,$AE152-1200)=0,"",INDEX(对接源_02物料!$G$4:$G$1203,$AE152-1200)))="",IF($AE152&lt;=1200,IF(INDEX(对接源_01水果!$D$4:$D$1203,$AE152)=0,"",INDEX(对接源_01水果!$D$4:$D$1203,$AE152)),IF(INDEX(对接源_02物料!$D$4:$D$1203,$AE152-1200)=0,"",INDEX(对接源_02物料!$D$4:$D$1203,$AE152-1200))),IF($AE152&lt;=1200,IF(INDEX(对接源_01水果!$G$4:$G$1203,$AE152)=0,"",INDEX(对接源_01水果!$G$4:$G$1203,$AE152)),IF(INDEX(对接源_02物料!$G$4:$G$1203,$AE152-1200)=0,"",INDEX(对接源_02物料!$G$4:$G$1203,$AE152-1200)))))</f>
      </c>
      <c r="E152" s="173">
        <f>IF($AE152="","",IF($AE152&lt;=1200,IF(INDEX(对接源_01水果!$H$4:$H$1203,$AE152)=0,"",INDEX(对接源_01水果!$H$4:$H$1203,$AE152)),IF(INDEX(对接源_02物料!$H$4:$H$1203,$AE152-1200)=0,"",INDEX(对接源_02物料!$H$4:$H$1203,$AE152-1200))))</f>
      </c>
      <c r="F152" s="61">
        <f>IF($AE152="","",IF($AE152&lt;=1200,IF(INDEX(对接源_01水果!$I$4:$I$1203,$AE152)=0,"",INDEX(对接源_01水果!$I$4:$I$1203,$AE152)),IF(INDEX(对接源_02物料!$I$4:$I$1203,$AE152-1200)=0,"",INDEX(对接源_02物料!$I$4:$I$1203,$AE152-1200))))</f>
      </c>
      <c r="G152" s="173">
        <f>IF($AE152="","",IF(IF($AE152&lt;=1200,N(INDEX(对接源_01水果!$H$4:$H$1203,$AE152)),N(INDEX(对接源_02物料!$H$4:$H$1203,$AE152-1200)))=0,"",ROUND(IF($AE152&lt;=1200,N(INDEX(对接源_01水果!$K$4:$K$1203,$AE152)),N(INDEX(对接源_02物料!$K$4:$K$1203,$AE152-1200)))/IF($AE152&lt;=1200,N(INDEX(对接源_01水果!$H$4:$H$1203,$AE152)),N(INDEX(对接源_02物料!$H$4:$H$1203,$AE152-1200))),2)))</f>
      </c>
      <c r="H152" s="173">
        <f>IF($AE152="","",IF($AE152&lt;=1200,IF(INDEX(对接源_01水果!$K$4:$K$1203,$AE152)=0,"",INDEX(对接源_01水果!$K$4:$K$1203,$AE152)),IF(INDEX(对接源_02物料!$K$4:$K$1203,$AE152-1200)=0,"",INDEX(对接源_02物料!$K$4:$K$1203,$AE152-1200))))</f>
      </c>
      <c r="I152" s="61">
        <f>IF($AE152="","",IF($AE152&lt;=1200,IF(INDEX(对接源_01水果!$L$4:$L$1203,$AE152)=0,"",INDEX(对接源_01水果!$L$4:$L$1203,$AE152)),IF(INDEX(对接源_02物料!$L$4:$L$1203,$AE152-1200)=0,"",INDEX(对接源_02物料!$L$4:$L$1203,$AE152-1200))))</f>
      </c>
      <c r="J152" s="122">
        <f>IF($AE152="","",IF($AE152&lt;=1200,IF(INDEX(对接源_01水果!$M$4:$M$1203,$AE152)=0,"",INDEX(对接源_01水果!$M$4:$M$1203,$AE152)),IF(INDEX(对接源_02物料!$M$4:$M$1203,$AE152-1200)=0,"",INDEX(对接源_02物料!$M$4:$M$1203,$AE152-1200))))</f>
      </c>
      <c r="AE152" s="128">
        <f>IFERROR(MATCH(147,_自动清单!$AS$4:$AS$2403,0),"")</f>
      </c>
      <c r="AF152" s="128" t="n"/>
    </row>
    <row r="153" ht="18" customHeight="1" s="127">
      <c r="A153" s="163">
        <f>IF($AE153="","",IF($AE153&lt;=1200,IF(INDEX(对接源_01水果!$B$4:$B$1203,$AE153)=0,"",INDEX(对接源_01水果!$B$4:$B$1203,$AE153)),IF(INDEX(对接源_02物料!$B$4:$B$1203,$AE153-1200)=0,"",INDEX(对接源_02物料!$B$4:$B$1203,$AE153-1200))))</f>
      </c>
      <c r="B153" s="61">
        <f>IF($AE153="","",IF($AE153&lt;=1200,IF(INDEX(对接源_01水果!$E$4:$E$1203,$AE153)=0,"",INDEX(对接源_01水果!$E$4:$E$1203,$AE153)),IF(INDEX(对接源_02物料!$E$4:$E$1203,$AE153-1200)=0,"",INDEX(对接源_02物料!$E$4:$E$1203,$AE153-1200))))</f>
      </c>
      <c r="C153" s="122">
        <f>IF($AE153="","",IF($AE153&lt;=1200,IF(INDEX(对接源_01水果!$F$4:$F$1203,$AE153)=0,"",INDEX(对接源_01水果!$F$4:$F$1203,$AE153)),IF(INDEX(对接源_02物料!$F$4:$F$1203,$AE153-1200)=0,"",INDEX(对接源_02物料!$F$4:$F$1203,$AE153-1200))))</f>
      </c>
      <c r="D153" s="61">
        <f>IF($AE153="","",IF(IF($AE153&lt;=1200,IF(INDEX(对接源_01水果!$G$4:$G$1203,$AE153)=0,"",INDEX(对接源_01水果!$G$4:$G$1203,$AE153)),IF(INDEX(对接源_02物料!$G$4:$G$1203,$AE153-1200)=0,"",INDEX(对接源_02物料!$G$4:$G$1203,$AE153-1200)))="",IF($AE153&lt;=1200,IF(INDEX(对接源_01水果!$D$4:$D$1203,$AE153)=0,"",INDEX(对接源_01水果!$D$4:$D$1203,$AE153)),IF(INDEX(对接源_02物料!$D$4:$D$1203,$AE153-1200)=0,"",INDEX(对接源_02物料!$D$4:$D$1203,$AE153-1200))),IF($AE153&lt;=1200,IF(INDEX(对接源_01水果!$G$4:$G$1203,$AE153)=0,"",INDEX(对接源_01水果!$G$4:$G$1203,$AE153)),IF(INDEX(对接源_02物料!$G$4:$G$1203,$AE153-1200)=0,"",INDEX(对接源_02物料!$G$4:$G$1203,$AE153-1200)))))</f>
      </c>
      <c r="E153" s="173">
        <f>IF($AE153="","",IF($AE153&lt;=1200,IF(INDEX(对接源_01水果!$H$4:$H$1203,$AE153)=0,"",INDEX(对接源_01水果!$H$4:$H$1203,$AE153)),IF(INDEX(对接源_02物料!$H$4:$H$1203,$AE153-1200)=0,"",INDEX(对接源_02物料!$H$4:$H$1203,$AE153-1200))))</f>
      </c>
      <c r="F153" s="61">
        <f>IF($AE153="","",IF($AE153&lt;=1200,IF(INDEX(对接源_01水果!$I$4:$I$1203,$AE153)=0,"",INDEX(对接源_01水果!$I$4:$I$1203,$AE153)),IF(INDEX(对接源_02物料!$I$4:$I$1203,$AE153-1200)=0,"",INDEX(对接源_02物料!$I$4:$I$1203,$AE153-1200))))</f>
      </c>
      <c r="G153" s="173">
        <f>IF($AE153="","",IF(IF($AE153&lt;=1200,N(INDEX(对接源_01水果!$H$4:$H$1203,$AE153)),N(INDEX(对接源_02物料!$H$4:$H$1203,$AE153-1200)))=0,"",ROUND(IF($AE153&lt;=1200,N(INDEX(对接源_01水果!$K$4:$K$1203,$AE153)),N(INDEX(对接源_02物料!$K$4:$K$1203,$AE153-1200)))/IF($AE153&lt;=1200,N(INDEX(对接源_01水果!$H$4:$H$1203,$AE153)),N(INDEX(对接源_02物料!$H$4:$H$1203,$AE153-1200))),2)))</f>
      </c>
      <c r="H153" s="173">
        <f>IF($AE153="","",IF($AE153&lt;=1200,IF(INDEX(对接源_01水果!$K$4:$K$1203,$AE153)=0,"",INDEX(对接源_01水果!$K$4:$K$1203,$AE153)),IF(INDEX(对接源_02物料!$K$4:$K$1203,$AE153-1200)=0,"",INDEX(对接源_02物料!$K$4:$K$1203,$AE153-1200))))</f>
      </c>
      <c r="I153" s="61">
        <f>IF($AE153="","",IF($AE153&lt;=1200,IF(INDEX(对接源_01水果!$L$4:$L$1203,$AE153)=0,"",INDEX(对接源_01水果!$L$4:$L$1203,$AE153)),IF(INDEX(对接源_02物料!$L$4:$L$1203,$AE153-1200)=0,"",INDEX(对接源_02物料!$L$4:$L$1203,$AE153-1200))))</f>
      </c>
      <c r="J153" s="122">
        <f>IF($AE153="","",IF($AE153&lt;=1200,IF(INDEX(对接源_01水果!$M$4:$M$1203,$AE153)=0,"",INDEX(对接源_01水果!$M$4:$M$1203,$AE153)),IF(INDEX(对接源_02物料!$M$4:$M$1203,$AE153-1200)=0,"",INDEX(对接源_02物料!$M$4:$M$1203,$AE153-1200))))</f>
      </c>
      <c r="AE153" s="128">
        <f>IFERROR(MATCH(148,_自动清单!$AS$4:$AS$2403,0),"")</f>
      </c>
      <c r="AF153" s="128" t="n"/>
    </row>
    <row r="154" ht="18" customHeight="1" s="127">
      <c r="A154" s="163">
        <f>IF($AE154="","",IF($AE154&lt;=1200,IF(INDEX(对接源_01水果!$B$4:$B$1203,$AE154)=0,"",INDEX(对接源_01水果!$B$4:$B$1203,$AE154)),IF(INDEX(对接源_02物料!$B$4:$B$1203,$AE154-1200)=0,"",INDEX(对接源_02物料!$B$4:$B$1203,$AE154-1200))))</f>
      </c>
      <c r="B154" s="61">
        <f>IF($AE154="","",IF($AE154&lt;=1200,IF(INDEX(对接源_01水果!$E$4:$E$1203,$AE154)=0,"",INDEX(对接源_01水果!$E$4:$E$1203,$AE154)),IF(INDEX(对接源_02物料!$E$4:$E$1203,$AE154-1200)=0,"",INDEX(对接源_02物料!$E$4:$E$1203,$AE154-1200))))</f>
      </c>
      <c r="C154" s="122">
        <f>IF($AE154="","",IF($AE154&lt;=1200,IF(INDEX(对接源_01水果!$F$4:$F$1203,$AE154)=0,"",INDEX(对接源_01水果!$F$4:$F$1203,$AE154)),IF(INDEX(对接源_02物料!$F$4:$F$1203,$AE154-1200)=0,"",INDEX(对接源_02物料!$F$4:$F$1203,$AE154-1200))))</f>
      </c>
      <c r="D154" s="61">
        <f>IF($AE154="","",IF(IF($AE154&lt;=1200,IF(INDEX(对接源_01水果!$G$4:$G$1203,$AE154)=0,"",INDEX(对接源_01水果!$G$4:$G$1203,$AE154)),IF(INDEX(对接源_02物料!$G$4:$G$1203,$AE154-1200)=0,"",INDEX(对接源_02物料!$G$4:$G$1203,$AE154-1200)))="",IF($AE154&lt;=1200,IF(INDEX(对接源_01水果!$D$4:$D$1203,$AE154)=0,"",INDEX(对接源_01水果!$D$4:$D$1203,$AE154)),IF(INDEX(对接源_02物料!$D$4:$D$1203,$AE154-1200)=0,"",INDEX(对接源_02物料!$D$4:$D$1203,$AE154-1200))),IF($AE154&lt;=1200,IF(INDEX(对接源_01水果!$G$4:$G$1203,$AE154)=0,"",INDEX(对接源_01水果!$G$4:$G$1203,$AE154)),IF(INDEX(对接源_02物料!$G$4:$G$1203,$AE154-1200)=0,"",INDEX(对接源_02物料!$G$4:$G$1203,$AE154-1200)))))</f>
      </c>
      <c r="E154" s="173">
        <f>IF($AE154="","",IF($AE154&lt;=1200,IF(INDEX(对接源_01水果!$H$4:$H$1203,$AE154)=0,"",INDEX(对接源_01水果!$H$4:$H$1203,$AE154)),IF(INDEX(对接源_02物料!$H$4:$H$1203,$AE154-1200)=0,"",INDEX(对接源_02物料!$H$4:$H$1203,$AE154-1200))))</f>
      </c>
      <c r="F154" s="61">
        <f>IF($AE154="","",IF($AE154&lt;=1200,IF(INDEX(对接源_01水果!$I$4:$I$1203,$AE154)=0,"",INDEX(对接源_01水果!$I$4:$I$1203,$AE154)),IF(INDEX(对接源_02物料!$I$4:$I$1203,$AE154-1200)=0,"",INDEX(对接源_02物料!$I$4:$I$1203,$AE154-1200))))</f>
      </c>
      <c r="G154" s="173">
        <f>IF($AE154="","",IF(IF($AE154&lt;=1200,N(INDEX(对接源_01水果!$H$4:$H$1203,$AE154)),N(INDEX(对接源_02物料!$H$4:$H$1203,$AE154-1200)))=0,"",ROUND(IF($AE154&lt;=1200,N(INDEX(对接源_01水果!$K$4:$K$1203,$AE154)),N(INDEX(对接源_02物料!$K$4:$K$1203,$AE154-1200)))/IF($AE154&lt;=1200,N(INDEX(对接源_01水果!$H$4:$H$1203,$AE154)),N(INDEX(对接源_02物料!$H$4:$H$1203,$AE154-1200))),2)))</f>
      </c>
      <c r="H154" s="173">
        <f>IF($AE154="","",IF($AE154&lt;=1200,IF(INDEX(对接源_01水果!$K$4:$K$1203,$AE154)=0,"",INDEX(对接源_01水果!$K$4:$K$1203,$AE154)),IF(INDEX(对接源_02物料!$K$4:$K$1203,$AE154-1200)=0,"",INDEX(对接源_02物料!$K$4:$K$1203,$AE154-1200))))</f>
      </c>
      <c r="I154" s="61">
        <f>IF($AE154="","",IF($AE154&lt;=1200,IF(INDEX(对接源_01水果!$L$4:$L$1203,$AE154)=0,"",INDEX(对接源_01水果!$L$4:$L$1203,$AE154)),IF(INDEX(对接源_02物料!$L$4:$L$1203,$AE154-1200)=0,"",INDEX(对接源_02物料!$L$4:$L$1203,$AE154-1200))))</f>
      </c>
      <c r="J154" s="122">
        <f>IF($AE154="","",IF($AE154&lt;=1200,IF(INDEX(对接源_01水果!$M$4:$M$1203,$AE154)=0,"",INDEX(对接源_01水果!$M$4:$M$1203,$AE154)),IF(INDEX(对接源_02物料!$M$4:$M$1203,$AE154-1200)=0,"",INDEX(对接源_02物料!$M$4:$M$1203,$AE154-1200))))</f>
      </c>
      <c r="AE154" s="128">
        <f>IFERROR(MATCH(149,_自动清单!$AS$4:$AS$2403,0),"")</f>
      </c>
      <c r="AF154" s="128" t="n"/>
    </row>
    <row r="155" ht="18" customHeight="1" s="127">
      <c r="A155" s="163">
        <f>IF($AE155="","",IF($AE155&lt;=1200,IF(INDEX(对接源_01水果!$B$4:$B$1203,$AE155)=0,"",INDEX(对接源_01水果!$B$4:$B$1203,$AE155)),IF(INDEX(对接源_02物料!$B$4:$B$1203,$AE155-1200)=0,"",INDEX(对接源_02物料!$B$4:$B$1203,$AE155-1200))))</f>
      </c>
      <c r="B155" s="61">
        <f>IF($AE155="","",IF($AE155&lt;=1200,IF(INDEX(对接源_01水果!$E$4:$E$1203,$AE155)=0,"",INDEX(对接源_01水果!$E$4:$E$1203,$AE155)),IF(INDEX(对接源_02物料!$E$4:$E$1203,$AE155-1200)=0,"",INDEX(对接源_02物料!$E$4:$E$1203,$AE155-1200))))</f>
      </c>
      <c r="C155" s="122">
        <f>IF($AE155="","",IF($AE155&lt;=1200,IF(INDEX(对接源_01水果!$F$4:$F$1203,$AE155)=0,"",INDEX(对接源_01水果!$F$4:$F$1203,$AE155)),IF(INDEX(对接源_02物料!$F$4:$F$1203,$AE155-1200)=0,"",INDEX(对接源_02物料!$F$4:$F$1203,$AE155-1200))))</f>
      </c>
      <c r="D155" s="61">
        <f>IF($AE155="","",IF(IF($AE155&lt;=1200,IF(INDEX(对接源_01水果!$G$4:$G$1203,$AE155)=0,"",INDEX(对接源_01水果!$G$4:$G$1203,$AE155)),IF(INDEX(对接源_02物料!$G$4:$G$1203,$AE155-1200)=0,"",INDEX(对接源_02物料!$G$4:$G$1203,$AE155-1200)))="",IF($AE155&lt;=1200,IF(INDEX(对接源_01水果!$D$4:$D$1203,$AE155)=0,"",INDEX(对接源_01水果!$D$4:$D$1203,$AE155)),IF(INDEX(对接源_02物料!$D$4:$D$1203,$AE155-1200)=0,"",INDEX(对接源_02物料!$D$4:$D$1203,$AE155-1200))),IF($AE155&lt;=1200,IF(INDEX(对接源_01水果!$G$4:$G$1203,$AE155)=0,"",INDEX(对接源_01水果!$G$4:$G$1203,$AE155)),IF(INDEX(对接源_02物料!$G$4:$G$1203,$AE155-1200)=0,"",INDEX(对接源_02物料!$G$4:$G$1203,$AE155-1200)))))</f>
      </c>
      <c r="E155" s="173">
        <f>IF($AE155="","",IF($AE155&lt;=1200,IF(INDEX(对接源_01水果!$H$4:$H$1203,$AE155)=0,"",INDEX(对接源_01水果!$H$4:$H$1203,$AE155)),IF(INDEX(对接源_02物料!$H$4:$H$1203,$AE155-1200)=0,"",INDEX(对接源_02物料!$H$4:$H$1203,$AE155-1200))))</f>
      </c>
      <c r="F155" s="61">
        <f>IF($AE155="","",IF($AE155&lt;=1200,IF(INDEX(对接源_01水果!$I$4:$I$1203,$AE155)=0,"",INDEX(对接源_01水果!$I$4:$I$1203,$AE155)),IF(INDEX(对接源_02物料!$I$4:$I$1203,$AE155-1200)=0,"",INDEX(对接源_02物料!$I$4:$I$1203,$AE155-1200))))</f>
      </c>
      <c r="G155" s="173">
        <f>IF($AE155="","",IF(IF($AE155&lt;=1200,N(INDEX(对接源_01水果!$H$4:$H$1203,$AE155)),N(INDEX(对接源_02物料!$H$4:$H$1203,$AE155-1200)))=0,"",ROUND(IF($AE155&lt;=1200,N(INDEX(对接源_01水果!$K$4:$K$1203,$AE155)),N(INDEX(对接源_02物料!$K$4:$K$1203,$AE155-1200)))/IF($AE155&lt;=1200,N(INDEX(对接源_01水果!$H$4:$H$1203,$AE155)),N(INDEX(对接源_02物料!$H$4:$H$1203,$AE155-1200))),2)))</f>
      </c>
      <c r="H155" s="173">
        <f>IF($AE155="","",IF($AE155&lt;=1200,IF(INDEX(对接源_01水果!$K$4:$K$1203,$AE155)=0,"",INDEX(对接源_01水果!$K$4:$K$1203,$AE155)),IF(INDEX(对接源_02物料!$K$4:$K$1203,$AE155-1200)=0,"",INDEX(对接源_02物料!$K$4:$K$1203,$AE155-1200))))</f>
      </c>
      <c r="I155" s="61">
        <f>IF($AE155="","",IF($AE155&lt;=1200,IF(INDEX(对接源_01水果!$L$4:$L$1203,$AE155)=0,"",INDEX(对接源_01水果!$L$4:$L$1203,$AE155)),IF(INDEX(对接源_02物料!$L$4:$L$1203,$AE155-1200)=0,"",INDEX(对接源_02物料!$L$4:$L$1203,$AE155-1200))))</f>
      </c>
      <c r="J155" s="122">
        <f>IF($AE155="","",IF($AE155&lt;=1200,IF(INDEX(对接源_01水果!$M$4:$M$1203,$AE155)=0,"",INDEX(对接源_01水果!$M$4:$M$1203,$AE155)),IF(INDEX(对接源_02物料!$M$4:$M$1203,$AE155-1200)=0,"",INDEX(对接源_02物料!$M$4:$M$1203,$AE155-1200))))</f>
      </c>
      <c r="AE155" s="128">
        <f>IFERROR(MATCH(150,_自动清单!$AS$4:$AS$2403,0),"")</f>
      </c>
      <c r="AF155" s="128" t="n"/>
    </row>
    <row r="156" ht="18" customHeight="1" s="127">
      <c r="A156" s="163">
        <f>IF($AE156="","",IF($AE156&lt;=1200,IF(INDEX(对接源_01水果!$B$4:$B$1203,$AE156)=0,"",INDEX(对接源_01水果!$B$4:$B$1203,$AE156)),IF(INDEX(对接源_02物料!$B$4:$B$1203,$AE156-1200)=0,"",INDEX(对接源_02物料!$B$4:$B$1203,$AE156-1200))))</f>
      </c>
      <c r="B156" s="61">
        <f>IF($AE156="","",IF($AE156&lt;=1200,IF(INDEX(对接源_01水果!$E$4:$E$1203,$AE156)=0,"",INDEX(对接源_01水果!$E$4:$E$1203,$AE156)),IF(INDEX(对接源_02物料!$E$4:$E$1203,$AE156-1200)=0,"",INDEX(对接源_02物料!$E$4:$E$1203,$AE156-1200))))</f>
      </c>
      <c r="C156" s="122">
        <f>IF($AE156="","",IF($AE156&lt;=1200,IF(INDEX(对接源_01水果!$F$4:$F$1203,$AE156)=0,"",INDEX(对接源_01水果!$F$4:$F$1203,$AE156)),IF(INDEX(对接源_02物料!$F$4:$F$1203,$AE156-1200)=0,"",INDEX(对接源_02物料!$F$4:$F$1203,$AE156-1200))))</f>
      </c>
      <c r="D156" s="61">
        <f>IF($AE156="","",IF(IF($AE156&lt;=1200,IF(INDEX(对接源_01水果!$G$4:$G$1203,$AE156)=0,"",INDEX(对接源_01水果!$G$4:$G$1203,$AE156)),IF(INDEX(对接源_02物料!$G$4:$G$1203,$AE156-1200)=0,"",INDEX(对接源_02物料!$G$4:$G$1203,$AE156-1200)))="",IF($AE156&lt;=1200,IF(INDEX(对接源_01水果!$D$4:$D$1203,$AE156)=0,"",INDEX(对接源_01水果!$D$4:$D$1203,$AE156)),IF(INDEX(对接源_02物料!$D$4:$D$1203,$AE156-1200)=0,"",INDEX(对接源_02物料!$D$4:$D$1203,$AE156-1200))),IF($AE156&lt;=1200,IF(INDEX(对接源_01水果!$G$4:$G$1203,$AE156)=0,"",INDEX(对接源_01水果!$G$4:$G$1203,$AE156)),IF(INDEX(对接源_02物料!$G$4:$G$1203,$AE156-1200)=0,"",INDEX(对接源_02物料!$G$4:$G$1203,$AE156-1200)))))</f>
      </c>
      <c r="E156" s="173">
        <f>IF($AE156="","",IF($AE156&lt;=1200,IF(INDEX(对接源_01水果!$H$4:$H$1203,$AE156)=0,"",INDEX(对接源_01水果!$H$4:$H$1203,$AE156)),IF(INDEX(对接源_02物料!$H$4:$H$1203,$AE156-1200)=0,"",INDEX(对接源_02物料!$H$4:$H$1203,$AE156-1200))))</f>
      </c>
      <c r="F156" s="61">
        <f>IF($AE156="","",IF($AE156&lt;=1200,IF(INDEX(对接源_01水果!$I$4:$I$1203,$AE156)=0,"",INDEX(对接源_01水果!$I$4:$I$1203,$AE156)),IF(INDEX(对接源_02物料!$I$4:$I$1203,$AE156-1200)=0,"",INDEX(对接源_02物料!$I$4:$I$1203,$AE156-1200))))</f>
      </c>
      <c r="G156" s="173">
        <f>IF($AE156="","",IF(IF($AE156&lt;=1200,N(INDEX(对接源_01水果!$H$4:$H$1203,$AE156)),N(INDEX(对接源_02物料!$H$4:$H$1203,$AE156-1200)))=0,"",ROUND(IF($AE156&lt;=1200,N(INDEX(对接源_01水果!$K$4:$K$1203,$AE156)),N(INDEX(对接源_02物料!$K$4:$K$1203,$AE156-1200)))/IF($AE156&lt;=1200,N(INDEX(对接源_01水果!$H$4:$H$1203,$AE156)),N(INDEX(对接源_02物料!$H$4:$H$1203,$AE156-1200))),2)))</f>
      </c>
      <c r="H156" s="173">
        <f>IF($AE156="","",IF($AE156&lt;=1200,IF(INDEX(对接源_01水果!$K$4:$K$1203,$AE156)=0,"",INDEX(对接源_01水果!$K$4:$K$1203,$AE156)),IF(INDEX(对接源_02物料!$K$4:$K$1203,$AE156-1200)=0,"",INDEX(对接源_02物料!$K$4:$K$1203,$AE156-1200))))</f>
      </c>
      <c r="I156" s="61">
        <f>IF($AE156="","",IF($AE156&lt;=1200,IF(INDEX(对接源_01水果!$L$4:$L$1203,$AE156)=0,"",INDEX(对接源_01水果!$L$4:$L$1203,$AE156)),IF(INDEX(对接源_02物料!$L$4:$L$1203,$AE156-1200)=0,"",INDEX(对接源_02物料!$L$4:$L$1203,$AE156-1200))))</f>
      </c>
      <c r="J156" s="122">
        <f>IF($AE156="","",IF($AE156&lt;=1200,IF(INDEX(对接源_01水果!$M$4:$M$1203,$AE156)=0,"",INDEX(对接源_01水果!$M$4:$M$1203,$AE156)),IF(INDEX(对接源_02物料!$M$4:$M$1203,$AE156-1200)=0,"",INDEX(对接源_02物料!$M$4:$M$1203,$AE156-1200))))</f>
      </c>
      <c r="AE156" s="128">
        <f>IFERROR(MATCH(151,_自动清单!$AS$4:$AS$2403,0),"")</f>
      </c>
      <c r="AF156" s="128" t="n"/>
    </row>
    <row r="157" ht="18" customHeight="1" s="127">
      <c r="A157" s="163">
        <f>IF($AE157="","",IF($AE157&lt;=1200,IF(INDEX(对接源_01水果!$B$4:$B$1203,$AE157)=0,"",INDEX(对接源_01水果!$B$4:$B$1203,$AE157)),IF(INDEX(对接源_02物料!$B$4:$B$1203,$AE157-1200)=0,"",INDEX(对接源_02物料!$B$4:$B$1203,$AE157-1200))))</f>
      </c>
      <c r="B157" s="61">
        <f>IF($AE157="","",IF($AE157&lt;=1200,IF(INDEX(对接源_01水果!$E$4:$E$1203,$AE157)=0,"",INDEX(对接源_01水果!$E$4:$E$1203,$AE157)),IF(INDEX(对接源_02物料!$E$4:$E$1203,$AE157-1200)=0,"",INDEX(对接源_02物料!$E$4:$E$1203,$AE157-1200))))</f>
      </c>
      <c r="C157" s="122">
        <f>IF($AE157="","",IF($AE157&lt;=1200,IF(INDEX(对接源_01水果!$F$4:$F$1203,$AE157)=0,"",INDEX(对接源_01水果!$F$4:$F$1203,$AE157)),IF(INDEX(对接源_02物料!$F$4:$F$1203,$AE157-1200)=0,"",INDEX(对接源_02物料!$F$4:$F$1203,$AE157-1200))))</f>
      </c>
      <c r="D157" s="61">
        <f>IF($AE157="","",IF(IF($AE157&lt;=1200,IF(INDEX(对接源_01水果!$G$4:$G$1203,$AE157)=0,"",INDEX(对接源_01水果!$G$4:$G$1203,$AE157)),IF(INDEX(对接源_02物料!$G$4:$G$1203,$AE157-1200)=0,"",INDEX(对接源_02物料!$G$4:$G$1203,$AE157-1200)))="",IF($AE157&lt;=1200,IF(INDEX(对接源_01水果!$D$4:$D$1203,$AE157)=0,"",INDEX(对接源_01水果!$D$4:$D$1203,$AE157)),IF(INDEX(对接源_02物料!$D$4:$D$1203,$AE157-1200)=0,"",INDEX(对接源_02物料!$D$4:$D$1203,$AE157-1200))),IF($AE157&lt;=1200,IF(INDEX(对接源_01水果!$G$4:$G$1203,$AE157)=0,"",INDEX(对接源_01水果!$G$4:$G$1203,$AE157)),IF(INDEX(对接源_02物料!$G$4:$G$1203,$AE157-1200)=0,"",INDEX(对接源_02物料!$G$4:$G$1203,$AE157-1200)))))</f>
      </c>
      <c r="E157" s="173">
        <f>IF($AE157="","",IF($AE157&lt;=1200,IF(INDEX(对接源_01水果!$H$4:$H$1203,$AE157)=0,"",INDEX(对接源_01水果!$H$4:$H$1203,$AE157)),IF(INDEX(对接源_02物料!$H$4:$H$1203,$AE157-1200)=0,"",INDEX(对接源_02物料!$H$4:$H$1203,$AE157-1200))))</f>
      </c>
      <c r="F157" s="61">
        <f>IF($AE157="","",IF($AE157&lt;=1200,IF(INDEX(对接源_01水果!$I$4:$I$1203,$AE157)=0,"",INDEX(对接源_01水果!$I$4:$I$1203,$AE157)),IF(INDEX(对接源_02物料!$I$4:$I$1203,$AE157-1200)=0,"",INDEX(对接源_02物料!$I$4:$I$1203,$AE157-1200))))</f>
      </c>
      <c r="G157" s="173">
        <f>IF($AE157="","",IF(IF($AE157&lt;=1200,N(INDEX(对接源_01水果!$H$4:$H$1203,$AE157)),N(INDEX(对接源_02物料!$H$4:$H$1203,$AE157-1200)))=0,"",ROUND(IF($AE157&lt;=1200,N(INDEX(对接源_01水果!$K$4:$K$1203,$AE157)),N(INDEX(对接源_02物料!$K$4:$K$1203,$AE157-1200)))/IF($AE157&lt;=1200,N(INDEX(对接源_01水果!$H$4:$H$1203,$AE157)),N(INDEX(对接源_02物料!$H$4:$H$1203,$AE157-1200))),2)))</f>
      </c>
      <c r="H157" s="173">
        <f>IF($AE157="","",IF($AE157&lt;=1200,IF(INDEX(对接源_01水果!$K$4:$K$1203,$AE157)=0,"",INDEX(对接源_01水果!$K$4:$K$1203,$AE157)),IF(INDEX(对接源_02物料!$K$4:$K$1203,$AE157-1200)=0,"",INDEX(对接源_02物料!$K$4:$K$1203,$AE157-1200))))</f>
      </c>
      <c r="I157" s="61">
        <f>IF($AE157="","",IF($AE157&lt;=1200,IF(INDEX(对接源_01水果!$L$4:$L$1203,$AE157)=0,"",INDEX(对接源_01水果!$L$4:$L$1203,$AE157)),IF(INDEX(对接源_02物料!$L$4:$L$1203,$AE157-1200)=0,"",INDEX(对接源_02物料!$L$4:$L$1203,$AE157-1200))))</f>
      </c>
      <c r="J157" s="122">
        <f>IF($AE157="","",IF($AE157&lt;=1200,IF(INDEX(对接源_01水果!$M$4:$M$1203,$AE157)=0,"",INDEX(对接源_01水果!$M$4:$M$1203,$AE157)),IF(INDEX(对接源_02物料!$M$4:$M$1203,$AE157-1200)=0,"",INDEX(对接源_02物料!$M$4:$M$1203,$AE157-1200))))</f>
      </c>
      <c r="AE157" s="128">
        <f>IFERROR(MATCH(152,_自动清单!$AS$4:$AS$2403,0),"")</f>
      </c>
      <c r="AF157" s="128" t="n"/>
    </row>
    <row r="158" ht="18" customHeight="1" s="127">
      <c r="A158" s="163">
        <f>IF($AE158="","",IF($AE158&lt;=1200,IF(INDEX(对接源_01水果!$B$4:$B$1203,$AE158)=0,"",INDEX(对接源_01水果!$B$4:$B$1203,$AE158)),IF(INDEX(对接源_02物料!$B$4:$B$1203,$AE158-1200)=0,"",INDEX(对接源_02物料!$B$4:$B$1203,$AE158-1200))))</f>
      </c>
      <c r="B158" s="61">
        <f>IF($AE158="","",IF($AE158&lt;=1200,IF(INDEX(对接源_01水果!$E$4:$E$1203,$AE158)=0,"",INDEX(对接源_01水果!$E$4:$E$1203,$AE158)),IF(INDEX(对接源_02物料!$E$4:$E$1203,$AE158-1200)=0,"",INDEX(对接源_02物料!$E$4:$E$1203,$AE158-1200))))</f>
      </c>
      <c r="C158" s="122">
        <f>IF($AE158="","",IF($AE158&lt;=1200,IF(INDEX(对接源_01水果!$F$4:$F$1203,$AE158)=0,"",INDEX(对接源_01水果!$F$4:$F$1203,$AE158)),IF(INDEX(对接源_02物料!$F$4:$F$1203,$AE158-1200)=0,"",INDEX(对接源_02物料!$F$4:$F$1203,$AE158-1200))))</f>
      </c>
      <c r="D158" s="61">
        <f>IF($AE158="","",IF(IF($AE158&lt;=1200,IF(INDEX(对接源_01水果!$G$4:$G$1203,$AE158)=0,"",INDEX(对接源_01水果!$G$4:$G$1203,$AE158)),IF(INDEX(对接源_02物料!$G$4:$G$1203,$AE158-1200)=0,"",INDEX(对接源_02物料!$G$4:$G$1203,$AE158-1200)))="",IF($AE158&lt;=1200,IF(INDEX(对接源_01水果!$D$4:$D$1203,$AE158)=0,"",INDEX(对接源_01水果!$D$4:$D$1203,$AE158)),IF(INDEX(对接源_02物料!$D$4:$D$1203,$AE158-1200)=0,"",INDEX(对接源_02物料!$D$4:$D$1203,$AE158-1200))),IF($AE158&lt;=1200,IF(INDEX(对接源_01水果!$G$4:$G$1203,$AE158)=0,"",INDEX(对接源_01水果!$G$4:$G$1203,$AE158)),IF(INDEX(对接源_02物料!$G$4:$G$1203,$AE158-1200)=0,"",INDEX(对接源_02物料!$G$4:$G$1203,$AE158-1200)))))</f>
      </c>
      <c r="E158" s="173">
        <f>IF($AE158="","",IF($AE158&lt;=1200,IF(INDEX(对接源_01水果!$H$4:$H$1203,$AE158)=0,"",INDEX(对接源_01水果!$H$4:$H$1203,$AE158)),IF(INDEX(对接源_02物料!$H$4:$H$1203,$AE158-1200)=0,"",INDEX(对接源_02物料!$H$4:$H$1203,$AE158-1200))))</f>
      </c>
      <c r="F158" s="61">
        <f>IF($AE158="","",IF($AE158&lt;=1200,IF(INDEX(对接源_01水果!$I$4:$I$1203,$AE158)=0,"",INDEX(对接源_01水果!$I$4:$I$1203,$AE158)),IF(INDEX(对接源_02物料!$I$4:$I$1203,$AE158-1200)=0,"",INDEX(对接源_02物料!$I$4:$I$1203,$AE158-1200))))</f>
      </c>
      <c r="G158" s="173">
        <f>IF($AE158="","",IF(IF($AE158&lt;=1200,N(INDEX(对接源_01水果!$H$4:$H$1203,$AE158)),N(INDEX(对接源_02物料!$H$4:$H$1203,$AE158-1200)))=0,"",ROUND(IF($AE158&lt;=1200,N(INDEX(对接源_01水果!$K$4:$K$1203,$AE158)),N(INDEX(对接源_02物料!$K$4:$K$1203,$AE158-1200)))/IF($AE158&lt;=1200,N(INDEX(对接源_01水果!$H$4:$H$1203,$AE158)),N(INDEX(对接源_02物料!$H$4:$H$1203,$AE158-1200))),2)))</f>
      </c>
      <c r="H158" s="173">
        <f>IF($AE158="","",IF($AE158&lt;=1200,IF(INDEX(对接源_01水果!$K$4:$K$1203,$AE158)=0,"",INDEX(对接源_01水果!$K$4:$K$1203,$AE158)),IF(INDEX(对接源_02物料!$K$4:$K$1203,$AE158-1200)=0,"",INDEX(对接源_02物料!$K$4:$K$1203,$AE158-1200))))</f>
      </c>
      <c r="I158" s="61">
        <f>IF($AE158="","",IF($AE158&lt;=1200,IF(INDEX(对接源_01水果!$L$4:$L$1203,$AE158)=0,"",INDEX(对接源_01水果!$L$4:$L$1203,$AE158)),IF(INDEX(对接源_02物料!$L$4:$L$1203,$AE158-1200)=0,"",INDEX(对接源_02物料!$L$4:$L$1203,$AE158-1200))))</f>
      </c>
      <c r="J158" s="122">
        <f>IF($AE158="","",IF($AE158&lt;=1200,IF(INDEX(对接源_01水果!$M$4:$M$1203,$AE158)=0,"",INDEX(对接源_01水果!$M$4:$M$1203,$AE158)),IF(INDEX(对接源_02物料!$M$4:$M$1203,$AE158-1200)=0,"",INDEX(对接源_02物料!$M$4:$M$1203,$AE158-1200))))</f>
      </c>
      <c r="AE158" s="128">
        <f>IFERROR(MATCH(153,_自动清单!$AS$4:$AS$2403,0),"")</f>
      </c>
      <c r="AF158" s="128" t="n"/>
    </row>
    <row r="159" ht="18" customHeight="1" s="127">
      <c r="A159" s="163">
        <f>IF($AE159="","",IF($AE159&lt;=1200,IF(INDEX(对接源_01水果!$B$4:$B$1203,$AE159)=0,"",INDEX(对接源_01水果!$B$4:$B$1203,$AE159)),IF(INDEX(对接源_02物料!$B$4:$B$1203,$AE159-1200)=0,"",INDEX(对接源_02物料!$B$4:$B$1203,$AE159-1200))))</f>
      </c>
      <c r="B159" s="61">
        <f>IF($AE159="","",IF($AE159&lt;=1200,IF(INDEX(对接源_01水果!$E$4:$E$1203,$AE159)=0,"",INDEX(对接源_01水果!$E$4:$E$1203,$AE159)),IF(INDEX(对接源_02物料!$E$4:$E$1203,$AE159-1200)=0,"",INDEX(对接源_02物料!$E$4:$E$1203,$AE159-1200))))</f>
      </c>
      <c r="C159" s="122">
        <f>IF($AE159="","",IF($AE159&lt;=1200,IF(INDEX(对接源_01水果!$F$4:$F$1203,$AE159)=0,"",INDEX(对接源_01水果!$F$4:$F$1203,$AE159)),IF(INDEX(对接源_02物料!$F$4:$F$1203,$AE159-1200)=0,"",INDEX(对接源_02物料!$F$4:$F$1203,$AE159-1200))))</f>
      </c>
      <c r="D159" s="61">
        <f>IF($AE159="","",IF(IF($AE159&lt;=1200,IF(INDEX(对接源_01水果!$G$4:$G$1203,$AE159)=0,"",INDEX(对接源_01水果!$G$4:$G$1203,$AE159)),IF(INDEX(对接源_02物料!$G$4:$G$1203,$AE159-1200)=0,"",INDEX(对接源_02物料!$G$4:$G$1203,$AE159-1200)))="",IF($AE159&lt;=1200,IF(INDEX(对接源_01水果!$D$4:$D$1203,$AE159)=0,"",INDEX(对接源_01水果!$D$4:$D$1203,$AE159)),IF(INDEX(对接源_02物料!$D$4:$D$1203,$AE159-1200)=0,"",INDEX(对接源_02物料!$D$4:$D$1203,$AE159-1200))),IF($AE159&lt;=1200,IF(INDEX(对接源_01水果!$G$4:$G$1203,$AE159)=0,"",INDEX(对接源_01水果!$G$4:$G$1203,$AE159)),IF(INDEX(对接源_02物料!$G$4:$G$1203,$AE159-1200)=0,"",INDEX(对接源_02物料!$G$4:$G$1203,$AE159-1200)))))</f>
      </c>
      <c r="E159" s="173">
        <f>IF($AE159="","",IF($AE159&lt;=1200,IF(INDEX(对接源_01水果!$H$4:$H$1203,$AE159)=0,"",INDEX(对接源_01水果!$H$4:$H$1203,$AE159)),IF(INDEX(对接源_02物料!$H$4:$H$1203,$AE159-1200)=0,"",INDEX(对接源_02物料!$H$4:$H$1203,$AE159-1200))))</f>
      </c>
      <c r="F159" s="61">
        <f>IF($AE159="","",IF($AE159&lt;=1200,IF(INDEX(对接源_01水果!$I$4:$I$1203,$AE159)=0,"",INDEX(对接源_01水果!$I$4:$I$1203,$AE159)),IF(INDEX(对接源_02物料!$I$4:$I$1203,$AE159-1200)=0,"",INDEX(对接源_02物料!$I$4:$I$1203,$AE159-1200))))</f>
      </c>
      <c r="G159" s="173">
        <f>IF($AE159="","",IF(IF($AE159&lt;=1200,N(INDEX(对接源_01水果!$H$4:$H$1203,$AE159)),N(INDEX(对接源_02物料!$H$4:$H$1203,$AE159-1200)))=0,"",ROUND(IF($AE159&lt;=1200,N(INDEX(对接源_01水果!$K$4:$K$1203,$AE159)),N(INDEX(对接源_02物料!$K$4:$K$1203,$AE159-1200)))/IF($AE159&lt;=1200,N(INDEX(对接源_01水果!$H$4:$H$1203,$AE159)),N(INDEX(对接源_02物料!$H$4:$H$1203,$AE159-1200))),2)))</f>
      </c>
      <c r="H159" s="173">
        <f>IF($AE159="","",IF($AE159&lt;=1200,IF(INDEX(对接源_01水果!$K$4:$K$1203,$AE159)=0,"",INDEX(对接源_01水果!$K$4:$K$1203,$AE159)),IF(INDEX(对接源_02物料!$K$4:$K$1203,$AE159-1200)=0,"",INDEX(对接源_02物料!$K$4:$K$1203,$AE159-1200))))</f>
      </c>
      <c r="I159" s="61">
        <f>IF($AE159="","",IF($AE159&lt;=1200,IF(INDEX(对接源_01水果!$L$4:$L$1203,$AE159)=0,"",INDEX(对接源_01水果!$L$4:$L$1203,$AE159)),IF(INDEX(对接源_02物料!$L$4:$L$1203,$AE159-1200)=0,"",INDEX(对接源_02物料!$L$4:$L$1203,$AE159-1200))))</f>
      </c>
      <c r="J159" s="122">
        <f>IF($AE159="","",IF($AE159&lt;=1200,IF(INDEX(对接源_01水果!$M$4:$M$1203,$AE159)=0,"",INDEX(对接源_01水果!$M$4:$M$1203,$AE159)),IF(INDEX(对接源_02物料!$M$4:$M$1203,$AE159-1200)=0,"",INDEX(对接源_02物料!$M$4:$M$1203,$AE159-1200))))</f>
      </c>
      <c r="AE159" s="128">
        <f>IFERROR(MATCH(154,_自动清单!$AS$4:$AS$2403,0),"")</f>
      </c>
      <c r="AF159" s="128" t="n"/>
    </row>
    <row r="160" ht="18" customHeight="1" s="127">
      <c r="A160" s="163">
        <f>IF($AE160="","",IF($AE160&lt;=1200,IF(INDEX(对接源_01水果!$B$4:$B$1203,$AE160)=0,"",INDEX(对接源_01水果!$B$4:$B$1203,$AE160)),IF(INDEX(对接源_02物料!$B$4:$B$1203,$AE160-1200)=0,"",INDEX(对接源_02物料!$B$4:$B$1203,$AE160-1200))))</f>
      </c>
      <c r="B160" s="61">
        <f>IF($AE160="","",IF($AE160&lt;=1200,IF(INDEX(对接源_01水果!$E$4:$E$1203,$AE160)=0,"",INDEX(对接源_01水果!$E$4:$E$1203,$AE160)),IF(INDEX(对接源_02物料!$E$4:$E$1203,$AE160-1200)=0,"",INDEX(对接源_02物料!$E$4:$E$1203,$AE160-1200))))</f>
      </c>
      <c r="C160" s="122">
        <f>IF($AE160="","",IF($AE160&lt;=1200,IF(INDEX(对接源_01水果!$F$4:$F$1203,$AE160)=0,"",INDEX(对接源_01水果!$F$4:$F$1203,$AE160)),IF(INDEX(对接源_02物料!$F$4:$F$1203,$AE160-1200)=0,"",INDEX(对接源_02物料!$F$4:$F$1203,$AE160-1200))))</f>
      </c>
      <c r="D160" s="61">
        <f>IF($AE160="","",IF(IF($AE160&lt;=1200,IF(INDEX(对接源_01水果!$G$4:$G$1203,$AE160)=0,"",INDEX(对接源_01水果!$G$4:$G$1203,$AE160)),IF(INDEX(对接源_02物料!$G$4:$G$1203,$AE160-1200)=0,"",INDEX(对接源_02物料!$G$4:$G$1203,$AE160-1200)))="",IF($AE160&lt;=1200,IF(INDEX(对接源_01水果!$D$4:$D$1203,$AE160)=0,"",INDEX(对接源_01水果!$D$4:$D$1203,$AE160)),IF(INDEX(对接源_02物料!$D$4:$D$1203,$AE160-1200)=0,"",INDEX(对接源_02物料!$D$4:$D$1203,$AE160-1200))),IF($AE160&lt;=1200,IF(INDEX(对接源_01水果!$G$4:$G$1203,$AE160)=0,"",INDEX(对接源_01水果!$G$4:$G$1203,$AE160)),IF(INDEX(对接源_02物料!$G$4:$G$1203,$AE160-1200)=0,"",INDEX(对接源_02物料!$G$4:$G$1203,$AE160-1200)))))</f>
      </c>
      <c r="E160" s="173">
        <f>IF($AE160="","",IF($AE160&lt;=1200,IF(INDEX(对接源_01水果!$H$4:$H$1203,$AE160)=0,"",INDEX(对接源_01水果!$H$4:$H$1203,$AE160)),IF(INDEX(对接源_02物料!$H$4:$H$1203,$AE160-1200)=0,"",INDEX(对接源_02物料!$H$4:$H$1203,$AE160-1200))))</f>
      </c>
      <c r="F160" s="61">
        <f>IF($AE160="","",IF($AE160&lt;=1200,IF(INDEX(对接源_01水果!$I$4:$I$1203,$AE160)=0,"",INDEX(对接源_01水果!$I$4:$I$1203,$AE160)),IF(INDEX(对接源_02物料!$I$4:$I$1203,$AE160-1200)=0,"",INDEX(对接源_02物料!$I$4:$I$1203,$AE160-1200))))</f>
      </c>
      <c r="G160" s="173">
        <f>IF($AE160="","",IF(IF($AE160&lt;=1200,N(INDEX(对接源_01水果!$H$4:$H$1203,$AE160)),N(INDEX(对接源_02物料!$H$4:$H$1203,$AE160-1200)))=0,"",ROUND(IF($AE160&lt;=1200,N(INDEX(对接源_01水果!$K$4:$K$1203,$AE160)),N(INDEX(对接源_02物料!$K$4:$K$1203,$AE160-1200)))/IF($AE160&lt;=1200,N(INDEX(对接源_01水果!$H$4:$H$1203,$AE160)),N(INDEX(对接源_02物料!$H$4:$H$1203,$AE160-1200))),2)))</f>
      </c>
      <c r="H160" s="173">
        <f>IF($AE160="","",IF($AE160&lt;=1200,IF(INDEX(对接源_01水果!$K$4:$K$1203,$AE160)=0,"",INDEX(对接源_01水果!$K$4:$K$1203,$AE160)),IF(INDEX(对接源_02物料!$K$4:$K$1203,$AE160-1200)=0,"",INDEX(对接源_02物料!$K$4:$K$1203,$AE160-1200))))</f>
      </c>
      <c r="I160" s="61">
        <f>IF($AE160="","",IF($AE160&lt;=1200,IF(INDEX(对接源_01水果!$L$4:$L$1203,$AE160)=0,"",INDEX(对接源_01水果!$L$4:$L$1203,$AE160)),IF(INDEX(对接源_02物料!$L$4:$L$1203,$AE160-1200)=0,"",INDEX(对接源_02物料!$L$4:$L$1203,$AE160-1200))))</f>
      </c>
      <c r="J160" s="122">
        <f>IF($AE160="","",IF($AE160&lt;=1200,IF(INDEX(对接源_01水果!$M$4:$M$1203,$AE160)=0,"",INDEX(对接源_01水果!$M$4:$M$1203,$AE160)),IF(INDEX(对接源_02物料!$M$4:$M$1203,$AE160-1200)=0,"",INDEX(对接源_02物料!$M$4:$M$1203,$AE160-1200))))</f>
      </c>
      <c r="AE160" s="128">
        <f>IFERROR(MATCH(155,_自动清单!$AS$4:$AS$2403,0),"")</f>
      </c>
      <c r="AF160" s="128" t="n"/>
    </row>
    <row r="161" ht="18" customHeight="1" s="127">
      <c r="A161" s="163">
        <f>IF($AE161="","",IF($AE161&lt;=1200,IF(INDEX(对接源_01水果!$B$4:$B$1203,$AE161)=0,"",INDEX(对接源_01水果!$B$4:$B$1203,$AE161)),IF(INDEX(对接源_02物料!$B$4:$B$1203,$AE161-1200)=0,"",INDEX(对接源_02物料!$B$4:$B$1203,$AE161-1200))))</f>
      </c>
      <c r="B161" s="61">
        <f>IF($AE161="","",IF($AE161&lt;=1200,IF(INDEX(对接源_01水果!$E$4:$E$1203,$AE161)=0,"",INDEX(对接源_01水果!$E$4:$E$1203,$AE161)),IF(INDEX(对接源_02物料!$E$4:$E$1203,$AE161-1200)=0,"",INDEX(对接源_02物料!$E$4:$E$1203,$AE161-1200))))</f>
      </c>
      <c r="C161" s="122">
        <f>IF($AE161="","",IF($AE161&lt;=1200,IF(INDEX(对接源_01水果!$F$4:$F$1203,$AE161)=0,"",INDEX(对接源_01水果!$F$4:$F$1203,$AE161)),IF(INDEX(对接源_02物料!$F$4:$F$1203,$AE161-1200)=0,"",INDEX(对接源_02物料!$F$4:$F$1203,$AE161-1200))))</f>
      </c>
      <c r="D161" s="61">
        <f>IF($AE161="","",IF(IF($AE161&lt;=1200,IF(INDEX(对接源_01水果!$G$4:$G$1203,$AE161)=0,"",INDEX(对接源_01水果!$G$4:$G$1203,$AE161)),IF(INDEX(对接源_02物料!$G$4:$G$1203,$AE161-1200)=0,"",INDEX(对接源_02物料!$G$4:$G$1203,$AE161-1200)))="",IF($AE161&lt;=1200,IF(INDEX(对接源_01水果!$D$4:$D$1203,$AE161)=0,"",INDEX(对接源_01水果!$D$4:$D$1203,$AE161)),IF(INDEX(对接源_02物料!$D$4:$D$1203,$AE161-1200)=0,"",INDEX(对接源_02物料!$D$4:$D$1203,$AE161-1200))),IF($AE161&lt;=1200,IF(INDEX(对接源_01水果!$G$4:$G$1203,$AE161)=0,"",INDEX(对接源_01水果!$G$4:$G$1203,$AE161)),IF(INDEX(对接源_02物料!$G$4:$G$1203,$AE161-1200)=0,"",INDEX(对接源_02物料!$G$4:$G$1203,$AE161-1200)))))</f>
      </c>
      <c r="E161" s="173">
        <f>IF($AE161="","",IF($AE161&lt;=1200,IF(INDEX(对接源_01水果!$H$4:$H$1203,$AE161)=0,"",INDEX(对接源_01水果!$H$4:$H$1203,$AE161)),IF(INDEX(对接源_02物料!$H$4:$H$1203,$AE161-1200)=0,"",INDEX(对接源_02物料!$H$4:$H$1203,$AE161-1200))))</f>
      </c>
      <c r="F161" s="61">
        <f>IF($AE161="","",IF($AE161&lt;=1200,IF(INDEX(对接源_01水果!$I$4:$I$1203,$AE161)=0,"",INDEX(对接源_01水果!$I$4:$I$1203,$AE161)),IF(INDEX(对接源_02物料!$I$4:$I$1203,$AE161-1200)=0,"",INDEX(对接源_02物料!$I$4:$I$1203,$AE161-1200))))</f>
      </c>
      <c r="G161" s="173">
        <f>IF($AE161="","",IF(IF($AE161&lt;=1200,N(INDEX(对接源_01水果!$H$4:$H$1203,$AE161)),N(INDEX(对接源_02物料!$H$4:$H$1203,$AE161-1200)))=0,"",ROUND(IF($AE161&lt;=1200,N(INDEX(对接源_01水果!$K$4:$K$1203,$AE161)),N(INDEX(对接源_02物料!$K$4:$K$1203,$AE161-1200)))/IF($AE161&lt;=1200,N(INDEX(对接源_01水果!$H$4:$H$1203,$AE161)),N(INDEX(对接源_02物料!$H$4:$H$1203,$AE161-1200))),2)))</f>
      </c>
      <c r="H161" s="173">
        <f>IF($AE161="","",IF($AE161&lt;=1200,IF(INDEX(对接源_01水果!$K$4:$K$1203,$AE161)=0,"",INDEX(对接源_01水果!$K$4:$K$1203,$AE161)),IF(INDEX(对接源_02物料!$K$4:$K$1203,$AE161-1200)=0,"",INDEX(对接源_02物料!$K$4:$K$1203,$AE161-1200))))</f>
      </c>
      <c r="I161" s="61">
        <f>IF($AE161="","",IF($AE161&lt;=1200,IF(INDEX(对接源_01水果!$L$4:$L$1203,$AE161)=0,"",INDEX(对接源_01水果!$L$4:$L$1203,$AE161)),IF(INDEX(对接源_02物料!$L$4:$L$1203,$AE161-1200)=0,"",INDEX(对接源_02物料!$L$4:$L$1203,$AE161-1200))))</f>
      </c>
      <c r="J161" s="122">
        <f>IF($AE161="","",IF($AE161&lt;=1200,IF(INDEX(对接源_01水果!$M$4:$M$1203,$AE161)=0,"",INDEX(对接源_01水果!$M$4:$M$1203,$AE161)),IF(INDEX(对接源_02物料!$M$4:$M$1203,$AE161-1200)=0,"",INDEX(对接源_02物料!$M$4:$M$1203,$AE161-1200))))</f>
      </c>
      <c r="AE161" s="128">
        <f>IFERROR(MATCH(156,_自动清单!$AS$4:$AS$2403,0),"")</f>
      </c>
      <c r="AF161" s="128" t="n"/>
    </row>
    <row r="162" ht="18" customHeight="1" s="127">
      <c r="A162" s="163">
        <f>IF($AE162="","",IF($AE162&lt;=1200,IF(INDEX(对接源_01水果!$B$4:$B$1203,$AE162)=0,"",INDEX(对接源_01水果!$B$4:$B$1203,$AE162)),IF(INDEX(对接源_02物料!$B$4:$B$1203,$AE162-1200)=0,"",INDEX(对接源_02物料!$B$4:$B$1203,$AE162-1200))))</f>
      </c>
      <c r="B162" s="61">
        <f>IF($AE162="","",IF($AE162&lt;=1200,IF(INDEX(对接源_01水果!$E$4:$E$1203,$AE162)=0,"",INDEX(对接源_01水果!$E$4:$E$1203,$AE162)),IF(INDEX(对接源_02物料!$E$4:$E$1203,$AE162-1200)=0,"",INDEX(对接源_02物料!$E$4:$E$1203,$AE162-1200))))</f>
      </c>
      <c r="C162" s="122">
        <f>IF($AE162="","",IF($AE162&lt;=1200,IF(INDEX(对接源_01水果!$F$4:$F$1203,$AE162)=0,"",INDEX(对接源_01水果!$F$4:$F$1203,$AE162)),IF(INDEX(对接源_02物料!$F$4:$F$1203,$AE162-1200)=0,"",INDEX(对接源_02物料!$F$4:$F$1203,$AE162-1200))))</f>
      </c>
      <c r="D162" s="61">
        <f>IF($AE162="","",IF(IF($AE162&lt;=1200,IF(INDEX(对接源_01水果!$G$4:$G$1203,$AE162)=0,"",INDEX(对接源_01水果!$G$4:$G$1203,$AE162)),IF(INDEX(对接源_02物料!$G$4:$G$1203,$AE162-1200)=0,"",INDEX(对接源_02物料!$G$4:$G$1203,$AE162-1200)))="",IF($AE162&lt;=1200,IF(INDEX(对接源_01水果!$D$4:$D$1203,$AE162)=0,"",INDEX(对接源_01水果!$D$4:$D$1203,$AE162)),IF(INDEX(对接源_02物料!$D$4:$D$1203,$AE162-1200)=0,"",INDEX(对接源_02物料!$D$4:$D$1203,$AE162-1200))),IF($AE162&lt;=1200,IF(INDEX(对接源_01水果!$G$4:$G$1203,$AE162)=0,"",INDEX(对接源_01水果!$G$4:$G$1203,$AE162)),IF(INDEX(对接源_02物料!$G$4:$G$1203,$AE162-1200)=0,"",INDEX(对接源_02物料!$G$4:$G$1203,$AE162-1200)))))</f>
      </c>
      <c r="E162" s="173">
        <f>IF($AE162="","",IF($AE162&lt;=1200,IF(INDEX(对接源_01水果!$H$4:$H$1203,$AE162)=0,"",INDEX(对接源_01水果!$H$4:$H$1203,$AE162)),IF(INDEX(对接源_02物料!$H$4:$H$1203,$AE162-1200)=0,"",INDEX(对接源_02物料!$H$4:$H$1203,$AE162-1200))))</f>
      </c>
      <c r="F162" s="61">
        <f>IF($AE162="","",IF($AE162&lt;=1200,IF(INDEX(对接源_01水果!$I$4:$I$1203,$AE162)=0,"",INDEX(对接源_01水果!$I$4:$I$1203,$AE162)),IF(INDEX(对接源_02物料!$I$4:$I$1203,$AE162-1200)=0,"",INDEX(对接源_02物料!$I$4:$I$1203,$AE162-1200))))</f>
      </c>
      <c r="G162" s="173">
        <f>IF($AE162="","",IF(IF($AE162&lt;=1200,N(INDEX(对接源_01水果!$H$4:$H$1203,$AE162)),N(INDEX(对接源_02物料!$H$4:$H$1203,$AE162-1200)))=0,"",ROUND(IF($AE162&lt;=1200,N(INDEX(对接源_01水果!$K$4:$K$1203,$AE162)),N(INDEX(对接源_02物料!$K$4:$K$1203,$AE162-1200)))/IF($AE162&lt;=1200,N(INDEX(对接源_01水果!$H$4:$H$1203,$AE162)),N(INDEX(对接源_02物料!$H$4:$H$1203,$AE162-1200))),2)))</f>
      </c>
      <c r="H162" s="173">
        <f>IF($AE162="","",IF($AE162&lt;=1200,IF(INDEX(对接源_01水果!$K$4:$K$1203,$AE162)=0,"",INDEX(对接源_01水果!$K$4:$K$1203,$AE162)),IF(INDEX(对接源_02物料!$K$4:$K$1203,$AE162-1200)=0,"",INDEX(对接源_02物料!$K$4:$K$1203,$AE162-1200))))</f>
      </c>
      <c r="I162" s="61">
        <f>IF($AE162="","",IF($AE162&lt;=1200,IF(INDEX(对接源_01水果!$L$4:$L$1203,$AE162)=0,"",INDEX(对接源_01水果!$L$4:$L$1203,$AE162)),IF(INDEX(对接源_02物料!$L$4:$L$1203,$AE162-1200)=0,"",INDEX(对接源_02物料!$L$4:$L$1203,$AE162-1200))))</f>
      </c>
      <c r="J162" s="122">
        <f>IF($AE162="","",IF($AE162&lt;=1200,IF(INDEX(对接源_01水果!$M$4:$M$1203,$AE162)=0,"",INDEX(对接源_01水果!$M$4:$M$1203,$AE162)),IF(INDEX(对接源_02物料!$M$4:$M$1203,$AE162-1200)=0,"",INDEX(对接源_02物料!$M$4:$M$1203,$AE162-1200))))</f>
      </c>
      <c r="AE162" s="128">
        <f>IFERROR(MATCH(157,_自动清单!$AS$4:$AS$2403,0),"")</f>
      </c>
      <c r="AF162" s="128" t="n"/>
    </row>
    <row r="163" ht="18" customHeight="1" s="127">
      <c r="A163" s="163">
        <f>IF($AE163="","",IF($AE163&lt;=1200,IF(INDEX(对接源_01水果!$B$4:$B$1203,$AE163)=0,"",INDEX(对接源_01水果!$B$4:$B$1203,$AE163)),IF(INDEX(对接源_02物料!$B$4:$B$1203,$AE163-1200)=0,"",INDEX(对接源_02物料!$B$4:$B$1203,$AE163-1200))))</f>
      </c>
      <c r="B163" s="61">
        <f>IF($AE163="","",IF($AE163&lt;=1200,IF(INDEX(对接源_01水果!$E$4:$E$1203,$AE163)=0,"",INDEX(对接源_01水果!$E$4:$E$1203,$AE163)),IF(INDEX(对接源_02物料!$E$4:$E$1203,$AE163-1200)=0,"",INDEX(对接源_02物料!$E$4:$E$1203,$AE163-1200))))</f>
      </c>
      <c r="C163" s="122">
        <f>IF($AE163="","",IF($AE163&lt;=1200,IF(INDEX(对接源_01水果!$F$4:$F$1203,$AE163)=0,"",INDEX(对接源_01水果!$F$4:$F$1203,$AE163)),IF(INDEX(对接源_02物料!$F$4:$F$1203,$AE163-1200)=0,"",INDEX(对接源_02物料!$F$4:$F$1203,$AE163-1200))))</f>
      </c>
      <c r="D163" s="61">
        <f>IF($AE163="","",IF(IF($AE163&lt;=1200,IF(INDEX(对接源_01水果!$G$4:$G$1203,$AE163)=0,"",INDEX(对接源_01水果!$G$4:$G$1203,$AE163)),IF(INDEX(对接源_02物料!$G$4:$G$1203,$AE163-1200)=0,"",INDEX(对接源_02物料!$G$4:$G$1203,$AE163-1200)))="",IF($AE163&lt;=1200,IF(INDEX(对接源_01水果!$D$4:$D$1203,$AE163)=0,"",INDEX(对接源_01水果!$D$4:$D$1203,$AE163)),IF(INDEX(对接源_02物料!$D$4:$D$1203,$AE163-1200)=0,"",INDEX(对接源_02物料!$D$4:$D$1203,$AE163-1200))),IF($AE163&lt;=1200,IF(INDEX(对接源_01水果!$G$4:$G$1203,$AE163)=0,"",INDEX(对接源_01水果!$G$4:$G$1203,$AE163)),IF(INDEX(对接源_02物料!$G$4:$G$1203,$AE163-1200)=0,"",INDEX(对接源_02物料!$G$4:$G$1203,$AE163-1200)))))</f>
      </c>
      <c r="E163" s="173">
        <f>IF($AE163="","",IF($AE163&lt;=1200,IF(INDEX(对接源_01水果!$H$4:$H$1203,$AE163)=0,"",INDEX(对接源_01水果!$H$4:$H$1203,$AE163)),IF(INDEX(对接源_02物料!$H$4:$H$1203,$AE163-1200)=0,"",INDEX(对接源_02物料!$H$4:$H$1203,$AE163-1200))))</f>
      </c>
      <c r="F163" s="61">
        <f>IF($AE163="","",IF($AE163&lt;=1200,IF(INDEX(对接源_01水果!$I$4:$I$1203,$AE163)=0,"",INDEX(对接源_01水果!$I$4:$I$1203,$AE163)),IF(INDEX(对接源_02物料!$I$4:$I$1203,$AE163-1200)=0,"",INDEX(对接源_02物料!$I$4:$I$1203,$AE163-1200))))</f>
      </c>
      <c r="G163" s="173">
        <f>IF($AE163="","",IF(IF($AE163&lt;=1200,N(INDEX(对接源_01水果!$H$4:$H$1203,$AE163)),N(INDEX(对接源_02物料!$H$4:$H$1203,$AE163-1200)))=0,"",ROUND(IF($AE163&lt;=1200,N(INDEX(对接源_01水果!$K$4:$K$1203,$AE163)),N(INDEX(对接源_02物料!$K$4:$K$1203,$AE163-1200)))/IF($AE163&lt;=1200,N(INDEX(对接源_01水果!$H$4:$H$1203,$AE163)),N(INDEX(对接源_02物料!$H$4:$H$1203,$AE163-1200))),2)))</f>
      </c>
      <c r="H163" s="173">
        <f>IF($AE163="","",IF($AE163&lt;=1200,IF(INDEX(对接源_01水果!$K$4:$K$1203,$AE163)=0,"",INDEX(对接源_01水果!$K$4:$K$1203,$AE163)),IF(INDEX(对接源_02物料!$K$4:$K$1203,$AE163-1200)=0,"",INDEX(对接源_02物料!$K$4:$K$1203,$AE163-1200))))</f>
      </c>
      <c r="I163" s="61">
        <f>IF($AE163="","",IF($AE163&lt;=1200,IF(INDEX(对接源_01水果!$L$4:$L$1203,$AE163)=0,"",INDEX(对接源_01水果!$L$4:$L$1203,$AE163)),IF(INDEX(对接源_02物料!$L$4:$L$1203,$AE163-1200)=0,"",INDEX(对接源_02物料!$L$4:$L$1203,$AE163-1200))))</f>
      </c>
      <c r="J163" s="122">
        <f>IF($AE163="","",IF($AE163&lt;=1200,IF(INDEX(对接源_01水果!$M$4:$M$1203,$AE163)=0,"",INDEX(对接源_01水果!$M$4:$M$1203,$AE163)),IF(INDEX(对接源_02物料!$M$4:$M$1203,$AE163-1200)=0,"",INDEX(对接源_02物料!$M$4:$M$1203,$AE163-1200))))</f>
      </c>
      <c r="AE163" s="128">
        <f>IFERROR(MATCH(158,_自动清单!$AS$4:$AS$2403,0),"")</f>
      </c>
      <c r="AF163" s="128" t="n"/>
    </row>
    <row r="164" ht="18" customHeight="1" s="127">
      <c r="A164" s="163">
        <f>IF($AE164="","",IF($AE164&lt;=1200,IF(INDEX(对接源_01水果!$B$4:$B$1203,$AE164)=0,"",INDEX(对接源_01水果!$B$4:$B$1203,$AE164)),IF(INDEX(对接源_02物料!$B$4:$B$1203,$AE164-1200)=0,"",INDEX(对接源_02物料!$B$4:$B$1203,$AE164-1200))))</f>
      </c>
      <c r="B164" s="61">
        <f>IF($AE164="","",IF($AE164&lt;=1200,IF(INDEX(对接源_01水果!$E$4:$E$1203,$AE164)=0,"",INDEX(对接源_01水果!$E$4:$E$1203,$AE164)),IF(INDEX(对接源_02物料!$E$4:$E$1203,$AE164-1200)=0,"",INDEX(对接源_02物料!$E$4:$E$1203,$AE164-1200))))</f>
      </c>
      <c r="C164" s="122">
        <f>IF($AE164="","",IF($AE164&lt;=1200,IF(INDEX(对接源_01水果!$F$4:$F$1203,$AE164)=0,"",INDEX(对接源_01水果!$F$4:$F$1203,$AE164)),IF(INDEX(对接源_02物料!$F$4:$F$1203,$AE164-1200)=0,"",INDEX(对接源_02物料!$F$4:$F$1203,$AE164-1200))))</f>
      </c>
      <c r="D164" s="61">
        <f>IF($AE164="","",IF(IF($AE164&lt;=1200,IF(INDEX(对接源_01水果!$G$4:$G$1203,$AE164)=0,"",INDEX(对接源_01水果!$G$4:$G$1203,$AE164)),IF(INDEX(对接源_02物料!$G$4:$G$1203,$AE164-1200)=0,"",INDEX(对接源_02物料!$G$4:$G$1203,$AE164-1200)))="",IF($AE164&lt;=1200,IF(INDEX(对接源_01水果!$D$4:$D$1203,$AE164)=0,"",INDEX(对接源_01水果!$D$4:$D$1203,$AE164)),IF(INDEX(对接源_02物料!$D$4:$D$1203,$AE164-1200)=0,"",INDEX(对接源_02物料!$D$4:$D$1203,$AE164-1200))),IF($AE164&lt;=1200,IF(INDEX(对接源_01水果!$G$4:$G$1203,$AE164)=0,"",INDEX(对接源_01水果!$G$4:$G$1203,$AE164)),IF(INDEX(对接源_02物料!$G$4:$G$1203,$AE164-1200)=0,"",INDEX(对接源_02物料!$G$4:$G$1203,$AE164-1200)))))</f>
      </c>
      <c r="E164" s="173">
        <f>IF($AE164="","",IF($AE164&lt;=1200,IF(INDEX(对接源_01水果!$H$4:$H$1203,$AE164)=0,"",INDEX(对接源_01水果!$H$4:$H$1203,$AE164)),IF(INDEX(对接源_02物料!$H$4:$H$1203,$AE164-1200)=0,"",INDEX(对接源_02物料!$H$4:$H$1203,$AE164-1200))))</f>
      </c>
      <c r="F164" s="61">
        <f>IF($AE164="","",IF($AE164&lt;=1200,IF(INDEX(对接源_01水果!$I$4:$I$1203,$AE164)=0,"",INDEX(对接源_01水果!$I$4:$I$1203,$AE164)),IF(INDEX(对接源_02物料!$I$4:$I$1203,$AE164-1200)=0,"",INDEX(对接源_02物料!$I$4:$I$1203,$AE164-1200))))</f>
      </c>
      <c r="G164" s="173">
        <f>IF($AE164="","",IF(IF($AE164&lt;=1200,N(INDEX(对接源_01水果!$H$4:$H$1203,$AE164)),N(INDEX(对接源_02物料!$H$4:$H$1203,$AE164-1200)))=0,"",ROUND(IF($AE164&lt;=1200,N(INDEX(对接源_01水果!$K$4:$K$1203,$AE164)),N(INDEX(对接源_02物料!$K$4:$K$1203,$AE164-1200)))/IF($AE164&lt;=1200,N(INDEX(对接源_01水果!$H$4:$H$1203,$AE164)),N(INDEX(对接源_02物料!$H$4:$H$1203,$AE164-1200))),2)))</f>
      </c>
      <c r="H164" s="173">
        <f>IF($AE164="","",IF($AE164&lt;=1200,IF(INDEX(对接源_01水果!$K$4:$K$1203,$AE164)=0,"",INDEX(对接源_01水果!$K$4:$K$1203,$AE164)),IF(INDEX(对接源_02物料!$K$4:$K$1203,$AE164-1200)=0,"",INDEX(对接源_02物料!$K$4:$K$1203,$AE164-1200))))</f>
      </c>
      <c r="I164" s="61">
        <f>IF($AE164="","",IF($AE164&lt;=1200,IF(INDEX(对接源_01水果!$L$4:$L$1203,$AE164)=0,"",INDEX(对接源_01水果!$L$4:$L$1203,$AE164)),IF(INDEX(对接源_02物料!$L$4:$L$1203,$AE164-1200)=0,"",INDEX(对接源_02物料!$L$4:$L$1203,$AE164-1200))))</f>
      </c>
      <c r="J164" s="122">
        <f>IF($AE164="","",IF($AE164&lt;=1200,IF(INDEX(对接源_01水果!$M$4:$M$1203,$AE164)=0,"",INDEX(对接源_01水果!$M$4:$M$1203,$AE164)),IF(INDEX(对接源_02物料!$M$4:$M$1203,$AE164-1200)=0,"",INDEX(对接源_02物料!$M$4:$M$1203,$AE164-1200))))</f>
      </c>
      <c r="AE164" s="128">
        <f>IFERROR(MATCH(159,_自动清单!$AS$4:$AS$2403,0),"")</f>
      </c>
      <c r="AF164" s="128" t="n"/>
    </row>
    <row r="165" ht="18" customHeight="1" s="127">
      <c r="A165" s="163">
        <f>IF($AE165="","",IF($AE165&lt;=1200,IF(INDEX(对接源_01水果!$B$4:$B$1203,$AE165)=0,"",INDEX(对接源_01水果!$B$4:$B$1203,$AE165)),IF(INDEX(对接源_02物料!$B$4:$B$1203,$AE165-1200)=0,"",INDEX(对接源_02物料!$B$4:$B$1203,$AE165-1200))))</f>
      </c>
      <c r="B165" s="61">
        <f>IF($AE165="","",IF($AE165&lt;=1200,IF(INDEX(对接源_01水果!$E$4:$E$1203,$AE165)=0,"",INDEX(对接源_01水果!$E$4:$E$1203,$AE165)),IF(INDEX(对接源_02物料!$E$4:$E$1203,$AE165-1200)=0,"",INDEX(对接源_02物料!$E$4:$E$1203,$AE165-1200))))</f>
      </c>
      <c r="C165" s="122">
        <f>IF($AE165="","",IF($AE165&lt;=1200,IF(INDEX(对接源_01水果!$F$4:$F$1203,$AE165)=0,"",INDEX(对接源_01水果!$F$4:$F$1203,$AE165)),IF(INDEX(对接源_02物料!$F$4:$F$1203,$AE165-1200)=0,"",INDEX(对接源_02物料!$F$4:$F$1203,$AE165-1200))))</f>
      </c>
      <c r="D165" s="61">
        <f>IF($AE165="","",IF(IF($AE165&lt;=1200,IF(INDEX(对接源_01水果!$G$4:$G$1203,$AE165)=0,"",INDEX(对接源_01水果!$G$4:$G$1203,$AE165)),IF(INDEX(对接源_02物料!$G$4:$G$1203,$AE165-1200)=0,"",INDEX(对接源_02物料!$G$4:$G$1203,$AE165-1200)))="",IF($AE165&lt;=1200,IF(INDEX(对接源_01水果!$D$4:$D$1203,$AE165)=0,"",INDEX(对接源_01水果!$D$4:$D$1203,$AE165)),IF(INDEX(对接源_02物料!$D$4:$D$1203,$AE165-1200)=0,"",INDEX(对接源_02物料!$D$4:$D$1203,$AE165-1200))),IF($AE165&lt;=1200,IF(INDEX(对接源_01水果!$G$4:$G$1203,$AE165)=0,"",INDEX(对接源_01水果!$G$4:$G$1203,$AE165)),IF(INDEX(对接源_02物料!$G$4:$G$1203,$AE165-1200)=0,"",INDEX(对接源_02物料!$G$4:$G$1203,$AE165-1200)))))</f>
      </c>
      <c r="E165" s="173">
        <f>IF($AE165="","",IF($AE165&lt;=1200,IF(INDEX(对接源_01水果!$H$4:$H$1203,$AE165)=0,"",INDEX(对接源_01水果!$H$4:$H$1203,$AE165)),IF(INDEX(对接源_02物料!$H$4:$H$1203,$AE165-1200)=0,"",INDEX(对接源_02物料!$H$4:$H$1203,$AE165-1200))))</f>
      </c>
      <c r="F165" s="61">
        <f>IF($AE165="","",IF($AE165&lt;=1200,IF(INDEX(对接源_01水果!$I$4:$I$1203,$AE165)=0,"",INDEX(对接源_01水果!$I$4:$I$1203,$AE165)),IF(INDEX(对接源_02物料!$I$4:$I$1203,$AE165-1200)=0,"",INDEX(对接源_02物料!$I$4:$I$1203,$AE165-1200))))</f>
      </c>
      <c r="G165" s="173">
        <f>IF($AE165="","",IF(IF($AE165&lt;=1200,N(INDEX(对接源_01水果!$H$4:$H$1203,$AE165)),N(INDEX(对接源_02物料!$H$4:$H$1203,$AE165-1200)))=0,"",ROUND(IF($AE165&lt;=1200,N(INDEX(对接源_01水果!$K$4:$K$1203,$AE165)),N(INDEX(对接源_02物料!$K$4:$K$1203,$AE165-1200)))/IF($AE165&lt;=1200,N(INDEX(对接源_01水果!$H$4:$H$1203,$AE165)),N(INDEX(对接源_02物料!$H$4:$H$1203,$AE165-1200))),2)))</f>
      </c>
      <c r="H165" s="173">
        <f>IF($AE165="","",IF($AE165&lt;=1200,IF(INDEX(对接源_01水果!$K$4:$K$1203,$AE165)=0,"",INDEX(对接源_01水果!$K$4:$K$1203,$AE165)),IF(INDEX(对接源_02物料!$K$4:$K$1203,$AE165-1200)=0,"",INDEX(对接源_02物料!$K$4:$K$1203,$AE165-1200))))</f>
      </c>
      <c r="I165" s="61">
        <f>IF($AE165="","",IF($AE165&lt;=1200,IF(INDEX(对接源_01水果!$L$4:$L$1203,$AE165)=0,"",INDEX(对接源_01水果!$L$4:$L$1203,$AE165)),IF(INDEX(对接源_02物料!$L$4:$L$1203,$AE165-1200)=0,"",INDEX(对接源_02物料!$L$4:$L$1203,$AE165-1200))))</f>
      </c>
      <c r="J165" s="122">
        <f>IF($AE165="","",IF($AE165&lt;=1200,IF(INDEX(对接源_01水果!$M$4:$M$1203,$AE165)=0,"",INDEX(对接源_01水果!$M$4:$M$1203,$AE165)),IF(INDEX(对接源_02物料!$M$4:$M$1203,$AE165-1200)=0,"",INDEX(对接源_02物料!$M$4:$M$1203,$AE165-1200))))</f>
      </c>
      <c r="AE165" s="128">
        <f>IFERROR(MATCH(160,_自动清单!$AS$4:$AS$2403,0),"")</f>
      </c>
      <c r="AF165" s="128" t="n"/>
    </row>
    <row r="166" ht="18" customHeight="1" s="127">
      <c r="A166" s="163">
        <f>IF($AE166="","",IF($AE166&lt;=1200,IF(INDEX(对接源_01水果!$B$4:$B$1203,$AE166)=0,"",INDEX(对接源_01水果!$B$4:$B$1203,$AE166)),IF(INDEX(对接源_02物料!$B$4:$B$1203,$AE166-1200)=0,"",INDEX(对接源_02物料!$B$4:$B$1203,$AE166-1200))))</f>
      </c>
      <c r="B166" s="61">
        <f>IF($AE166="","",IF($AE166&lt;=1200,IF(INDEX(对接源_01水果!$E$4:$E$1203,$AE166)=0,"",INDEX(对接源_01水果!$E$4:$E$1203,$AE166)),IF(INDEX(对接源_02物料!$E$4:$E$1203,$AE166-1200)=0,"",INDEX(对接源_02物料!$E$4:$E$1203,$AE166-1200))))</f>
      </c>
      <c r="C166" s="122">
        <f>IF($AE166="","",IF($AE166&lt;=1200,IF(INDEX(对接源_01水果!$F$4:$F$1203,$AE166)=0,"",INDEX(对接源_01水果!$F$4:$F$1203,$AE166)),IF(INDEX(对接源_02物料!$F$4:$F$1203,$AE166-1200)=0,"",INDEX(对接源_02物料!$F$4:$F$1203,$AE166-1200))))</f>
      </c>
      <c r="D166" s="61">
        <f>IF($AE166="","",IF(IF($AE166&lt;=1200,IF(INDEX(对接源_01水果!$G$4:$G$1203,$AE166)=0,"",INDEX(对接源_01水果!$G$4:$G$1203,$AE166)),IF(INDEX(对接源_02物料!$G$4:$G$1203,$AE166-1200)=0,"",INDEX(对接源_02物料!$G$4:$G$1203,$AE166-1200)))="",IF($AE166&lt;=1200,IF(INDEX(对接源_01水果!$D$4:$D$1203,$AE166)=0,"",INDEX(对接源_01水果!$D$4:$D$1203,$AE166)),IF(INDEX(对接源_02物料!$D$4:$D$1203,$AE166-1200)=0,"",INDEX(对接源_02物料!$D$4:$D$1203,$AE166-1200))),IF($AE166&lt;=1200,IF(INDEX(对接源_01水果!$G$4:$G$1203,$AE166)=0,"",INDEX(对接源_01水果!$G$4:$G$1203,$AE166)),IF(INDEX(对接源_02物料!$G$4:$G$1203,$AE166-1200)=0,"",INDEX(对接源_02物料!$G$4:$G$1203,$AE166-1200)))))</f>
      </c>
      <c r="E166" s="173">
        <f>IF($AE166="","",IF($AE166&lt;=1200,IF(INDEX(对接源_01水果!$H$4:$H$1203,$AE166)=0,"",INDEX(对接源_01水果!$H$4:$H$1203,$AE166)),IF(INDEX(对接源_02物料!$H$4:$H$1203,$AE166-1200)=0,"",INDEX(对接源_02物料!$H$4:$H$1203,$AE166-1200))))</f>
      </c>
      <c r="F166" s="61">
        <f>IF($AE166="","",IF($AE166&lt;=1200,IF(INDEX(对接源_01水果!$I$4:$I$1203,$AE166)=0,"",INDEX(对接源_01水果!$I$4:$I$1203,$AE166)),IF(INDEX(对接源_02物料!$I$4:$I$1203,$AE166-1200)=0,"",INDEX(对接源_02物料!$I$4:$I$1203,$AE166-1200))))</f>
      </c>
      <c r="G166" s="173">
        <f>IF($AE166="","",IF(IF($AE166&lt;=1200,N(INDEX(对接源_01水果!$H$4:$H$1203,$AE166)),N(INDEX(对接源_02物料!$H$4:$H$1203,$AE166-1200)))=0,"",ROUND(IF($AE166&lt;=1200,N(INDEX(对接源_01水果!$K$4:$K$1203,$AE166)),N(INDEX(对接源_02物料!$K$4:$K$1203,$AE166-1200)))/IF($AE166&lt;=1200,N(INDEX(对接源_01水果!$H$4:$H$1203,$AE166)),N(INDEX(对接源_02物料!$H$4:$H$1203,$AE166-1200))),2)))</f>
      </c>
      <c r="H166" s="173">
        <f>IF($AE166="","",IF($AE166&lt;=1200,IF(INDEX(对接源_01水果!$K$4:$K$1203,$AE166)=0,"",INDEX(对接源_01水果!$K$4:$K$1203,$AE166)),IF(INDEX(对接源_02物料!$K$4:$K$1203,$AE166-1200)=0,"",INDEX(对接源_02物料!$K$4:$K$1203,$AE166-1200))))</f>
      </c>
      <c r="I166" s="61">
        <f>IF($AE166="","",IF($AE166&lt;=1200,IF(INDEX(对接源_01水果!$L$4:$L$1203,$AE166)=0,"",INDEX(对接源_01水果!$L$4:$L$1203,$AE166)),IF(INDEX(对接源_02物料!$L$4:$L$1203,$AE166-1200)=0,"",INDEX(对接源_02物料!$L$4:$L$1203,$AE166-1200))))</f>
      </c>
      <c r="J166" s="122">
        <f>IF($AE166="","",IF($AE166&lt;=1200,IF(INDEX(对接源_01水果!$M$4:$M$1203,$AE166)=0,"",INDEX(对接源_01水果!$M$4:$M$1203,$AE166)),IF(INDEX(对接源_02物料!$M$4:$M$1203,$AE166-1200)=0,"",INDEX(对接源_02物料!$M$4:$M$1203,$AE166-1200))))</f>
      </c>
      <c r="AE166" s="128">
        <f>IFERROR(MATCH(161,_自动清单!$AS$4:$AS$2403,0),"")</f>
      </c>
      <c r="AF166" s="128" t="n"/>
    </row>
    <row r="167" ht="18" customHeight="1" s="127">
      <c r="A167" s="163">
        <f>IF($AE167="","",IF($AE167&lt;=1200,IF(INDEX(对接源_01水果!$B$4:$B$1203,$AE167)=0,"",INDEX(对接源_01水果!$B$4:$B$1203,$AE167)),IF(INDEX(对接源_02物料!$B$4:$B$1203,$AE167-1200)=0,"",INDEX(对接源_02物料!$B$4:$B$1203,$AE167-1200))))</f>
      </c>
      <c r="B167" s="61">
        <f>IF($AE167="","",IF($AE167&lt;=1200,IF(INDEX(对接源_01水果!$E$4:$E$1203,$AE167)=0,"",INDEX(对接源_01水果!$E$4:$E$1203,$AE167)),IF(INDEX(对接源_02物料!$E$4:$E$1203,$AE167-1200)=0,"",INDEX(对接源_02物料!$E$4:$E$1203,$AE167-1200))))</f>
      </c>
      <c r="C167" s="122">
        <f>IF($AE167="","",IF($AE167&lt;=1200,IF(INDEX(对接源_01水果!$F$4:$F$1203,$AE167)=0,"",INDEX(对接源_01水果!$F$4:$F$1203,$AE167)),IF(INDEX(对接源_02物料!$F$4:$F$1203,$AE167-1200)=0,"",INDEX(对接源_02物料!$F$4:$F$1203,$AE167-1200))))</f>
      </c>
      <c r="D167" s="61">
        <f>IF($AE167="","",IF(IF($AE167&lt;=1200,IF(INDEX(对接源_01水果!$G$4:$G$1203,$AE167)=0,"",INDEX(对接源_01水果!$G$4:$G$1203,$AE167)),IF(INDEX(对接源_02物料!$G$4:$G$1203,$AE167-1200)=0,"",INDEX(对接源_02物料!$G$4:$G$1203,$AE167-1200)))="",IF($AE167&lt;=1200,IF(INDEX(对接源_01水果!$D$4:$D$1203,$AE167)=0,"",INDEX(对接源_01水果!$D$4:$D$1203,$AE167)),IF(INDEX(对接源_02物料!$D$4:$D$1203,$AE167-1200)=0,"",INDEX(对接源_02物料!$D$4:$D$1203,$AE167-1200))),IF($AE167&lt;=1200,IF(INDEX(对接源_01水果!$G$4:$G$1203,$AE167)=0,"",INDEX(对接源_01水果!$G$4:$G$1203,$AE167)),IF(INDEX(对接源_02物料!$G$4:$G$1203,$AE167-1200)=0,"",INDEX(对接源_02物料!$G$4:$G$1203,$AE167-1200)))))</f>
      </c>
      <c r="E167" s="173">
        <f>IF($AE167="","",IF($AE167&lt;=1200,IF(INDEX(对接源_01水果!$H$4:$H$1203,$AE167)=0,"",INDEX(对接源_01水果!$H$4:$H$1203,$AE167)),IF(INDEX(对接源_02物料!$H$4:$H$1203,$AE167-1200)=0,"",INDEX(对接源_02物料!$H$4:$H$1203,$AE167-1200))))</f>
      </c>
      <c r="F167" s="61">
        <f>IF($AE167="","",IF($AE167&lt;=1200,IF(INDEX(对接源_01水果!$I$4:$I$1203,$AE167)=0,"",INDEX(对接源_01水果!$I$4:$I$1203,$AE167)),IF(INDEX(对接源_02物料!$I$4:$I$1203,$AE167-1200)=0,"",INDEX(对接源_02物料!$I$4:$I$1203,$AE167-1200))))</f>
      </c>
      <c r="G167" s="173">
        <f>IF($AE167="","",IF(IF($AE167&lt;=1200,N(INDEX(对接源_01水果!$H$4:$H$1203,$AE167)),N(INDEX(对接源_02物料!$H$4:$H$1203,$AE167-1200)))=0,"",ROUND(IF($AE167&lt;=1200,N(INDEX(对接源_01水果!$K$4:$K$1203,$AE167)),N(INDEX(对接源_02物料!$K$4:$K$1203,$AE167-1200)))/IF($AE167&lt;=1200,N(INDEX(对接源_01水果!$H$4:$H$1203,$AE167)),N(INDEX(对接源_02物料!$H$4:$H$1203,$AE167-1200))),2)))</f>
      </c>
      <c r="H167" s="173">
        <f>IF($AE167="","",IF($AE167&lt;=1200,IF(INDEX(对接源_01水果!$K$4:$K$1203,$AE167)=0,"",INDEX(对接源_01水果!$K$4:$K$1203,$AE167)),IF(INDEX(对接源_02物料!$K$4:$K$1203,$AE167-1200)=0,"",INDEX(对接源_02物料!$K$4:$K$1203,$AE167-1200))))</f>
      </c>
      <c r="I167" s="61">
        <f>IF($AE167="","",IF($AE167&lt;=1200,IF(INDEX(对接源_01水果!$L$4:$L$1203,$AE167)=0,"",INDEX(对接源_01水果!$L$4:$L$1203,$AE167)),IF(INDEX(对接源_02物料!$L$4:$L$1203,$AE167-1200)=0,"",INDEX(对接源_02物料!$L$4:$L$1203,$AE167-1200))))</f>
      </c>
      <c r="J167" s="122">
        <f>IF($AE167="","",IF($AE167&lt;=1200,IF(INDEX(对接源_01水果!$M$4:$M$1203,$AE167)=0,"",INDEX(对接源_01水果!$M$4:$M$1203,$AE167)),IF(INDEX(对接源_02物料!$M$4:$M$1203,$AE167-1200)=0,"",INDEX(对接源_02物料!$M$4:$M$1203,$AE167-1200))))</f>
      </c>
      <c r="AE167" s="128">
        <f>IFERROR(MATCH(162,_自动清单!$AS$4:$AS$2403,0),"")</f>
      </c>
      <c r="AF167" s="128" t="n"/>
    </row>
    <row r="168" ht="18" customHeight="1" s="127">
      <c r="A168" s="163">
        <f>IF($AE168="","",IF($AE168&lt;=1200,IF(INDEX(对接源_01水果!$B$4:$B$1203,$AE168)=0,"",INDEX(对接源_01水果!$B$4:$B$1203,$AE168)),IF(INDEX(对接源_02物料!$B$4:$B$1203,$AE168-1200)=0,"",INDEX(对接源_02物料!$B$4:$B$1203,$AE168-1200))))</f>
      </c>
      <c r="B168" s="61">
        <f>IF($AE168="","",IF($AE168&lt;=1200,IF(INDEX(对接源_01水果!$E$4:$E$1203,$AE168)=0,"",INDEX(对接源_01水果!$E$4:$E$1203,$AE168)),IF(INDEX(对接源_02物料!$E$4:$E$1203,$AE168-1200)=0,"",INDEX(对接源_02物料!$E$4:$E$1203,$AE168-1200))))</f>
      </c>
      <c r="C168" s="122">
        <f>IF($AE168="","",IF($AE168&lt;=1200,IF(INDEX(对接源_01水果!$F$4:$F$1203,$AE168)=0,"",INDEX(对接源_01水果!$F$4:$F$1203,$AE168)),IF(INDEX(对接源_02物料!$F$4:$F$1203,$AE168-1200)=0,"",INDEX(对接源_02物料!$F$4:$F$1203,$AE168-1200))))</f>
      </c>
      <c r="D168" s="61">
        <f>IF($AE168="","",IF(IF($AE168&lt;=1200,IF(INDEX(对接源_01水果!$G$4:$G$1203,$AE168)=0,"",INDEX(对接源_01水果!$G$4:$G$1203,$AE168)),IF(INDEX(对接源_02物料!$G$4:$G$1203,$AE168-1200)=0,"",INDEX(对接源_02物料!$G$4:$G$1203,$AE168-1200)))="",IF($AE168&lt;=1200,IF(INDEX(对接源_01水果!$D$4:$D$1203,$AE168)=0,"",INDEX(对接源_01水果!$D$4:$D$1203,$AE168)),IF(INDEX(对接源_02物料!$D$4:$D$1203,$AE168-1200)=0,"",INDEX(对接源_02物料!$D$4:$D$1203,$AE168-1200))),IF($AE168&lt;=1200,IF(INDEX(对接源_01水果!$G$4:$G$1203,$AE168)=0,"",INDEX(对接源_01水果!$G$4:$G$1203,$AE168)),IF(INDEX(对接源_02物料!$G$4:$G$1203,$AE168-1200)=0,"",INDEX(对接源_02物料!$G$4:$G$1203,$AE168-1200)))))</f>
      </c>
      <c r="E168" s="173">
        <f>IF($AE168="","",IF($AE168&lt;=1200,IF(INDEX(对接源_01水果!$H$4:$H$1203,$AE168)=0,"",INDEX(对接源_01水果!$H$4:$H$1203,$AE168)),IF(INDEX(对接源_02物料!$H$4:$H$1203,$AE168-1200)=0,"",INDEX(对接源_02物料!$H$4:$H$1203,$AE168-1200))))</f>
      </c>
      <c r="F168" s="61">
        <f>IF($AE168="","",IF($AE168&lt;=1200,IF(INDEX(对接源_01水果!$I$4:$I$1203,$AE168)=0,"",INDEX(对接源_01水果!$I$4:$I$1203,$AE168)),IF(INDEX(对接源_02物料!$I$4:$I$1203,$AE168-1200)=0,"",INDEX(对接源_02物料!$I$4:$I$1203,$AE168-1200))))</f>
      </c>
      <c r="G168" s="173">
        <f>IF($AE168="","",IF(IF($AE168&lt;=1200,N(INDEX(对接源_01水果!$H$4:$H$1203,$AE168)),N(INDEX(对接源_02物料!$H$4:$H$1203,$AE168-1200)))=0,"",ROUND(IF($AE168&lt;=1200,N(INDEX(对接源_01水果!$K$4:$K$1203,$AE168)),N(INDEX(对接源_02物料!$K$4:$K$1203,$AE168-1200)))/IF($AE168&lt;=1200,N(INDEX(对接源_01水果!$H$4:$H$1203,$AE168)),N(INDEX(对接源_02物料!$H$4:$H$1203,$AE168-1200))),2)))</f>
      </c>
      <c r="H168" s="173">
        <f>IF($AE168="","",IF($AE168&lt;=1200,IF(INDEX(对接源_01水果!$K$4:$K$1203,$AE168)=0,"",INDEX(对接源_01水果!$K$4:$K$1203,$AE168)),IF(INDEX(对接源_02物料!$K$4:$K$1203,$AE168-1200)=0,"",INDEX(对接源_02物料!$K$4:$K$1203,$AE168-1200))))</f>
      </c>
      <c r="I168" s="61">
        <f>IF($AE168="","",IF($AE168&lt;=1200,IF(INDEX(对接源_01水果!$L$4:$L$1203,$AE168)=0,"",INDEX(对接源_01水果!$L$4:$L$1203,$AE168)),IF(INDEX(对接源_02物料!$L$4:$L$1203,$AE168-1200)=0,"",INDEX(对接源_02物料!$L$4:$L$1203,$AE168-1200))))</f>
      </c>
      <c r="J168" s="122">
        <f>IF($AE168="","",IF($AE168&lt;=1200,IF(INDEX(对接源_01水果!$M$4:$M$1203,$AE168)=0,"",INDEX(对接源_01水果!$M$4:$M$1203,$AE168)),IF(INDEX(对接源_02物料!$M$4:$M$1203,$AE168-1200)=0,"",INDEX(对接源_02物料!$M$4:$M$1203,$AE168-1200))))</f>
      </c>
      <c r="AE168" s="128">
        <f>IFERROR(MATCH(163,_自动清单!$AS$4:$AS$2403,0),"")</f>
      </c>
      <c r="AF168" s="128" t="n"/>
    </row>
    <row r="169" ht="18" customHeight="1" s="127">
      <c r="A169" s="163">
        <f>IF($AE169="","",IF($AE169&lt;=1200,IF(INDEX(对接源_01水果!$B$4:$B$1203,$AE169)=0,"",INDEX(对接源_01水果!$B$4:$B$1203,$AE169)),IF(INDEX(对接源_02物料!$B$4:$B$1203,$AE169-1200)=0,"",INDEX(对接源_02物料!$B$4:$B$1203,$AE169-1200))))</f>
      </c>
      <c r="B169" s="61">
        <f>IF($AE169="","",IF($AE169&lt;=1200,IF(INDEX(对接源_01水果!$E$4:$E$1203,$AE169)=0,"",INDEX(对接源_01水果!$E$4:$E$1203,$AE169)),IF(INDEX(对接源_02物料!$E$4:$E$1203,$AE169-1200)=0,"",INDEX(对接源_02物料!$E$4:$E$1203,$AE169-1200))))</f>
      </c>
      <c r="C169" s="122">
        <f>IF($AE169="","",IF($AE169&lt;=1200,IF(INDEX(对接源_01水果!$F$4:$F$1203,$AE169)=0,"",INDEX(对接源_01水果!$F$4:$F$1203,$AE169)),IF(INDEX(对接源_02物料!$F$4:$F$1203,$AE169-1200)=0,"",INDEX(对接源_02物料!$F$4:$F$1203,$AE169-1200))))</f>
      </c>
      <c r="D169" s="61">
        <f>IF($AE169="","",IF(IF($AE169&lt;=1200,IF(INDEX(对接源_01水果!$G$4:$G$1203,$AE169)=0,"",INDEX(对接源_01水果!$G$4:$G$1203,$AE169)),IF(INDEX(对接源_02物料!$G$4:$G$1203,$AE169-1200)=0,"",INDEX(对接源_02物料!$G$4:$G$1203,$AE169-1200)))="",IF($AE169&lt;=1200,IF(INDEX(对接源_01水果!$D$4:$D$1203,$AE169)=0,"",INDEX(对接源_01水果!$D$4:$D$1203,$AE169)),IF(INDEX(对接源_02物料!$D$4:$D$1203,$AE169-1200)=0,"",INDEX(对接源_02物料!$D$4:$D$1203,$AE169-1200))),IF($AE169&lt;=1200,IF(INDEX(对接源_01水果!$G$4:$G$1203,$AE169)=0,"",INDEX(对接源_01水果!$G$4:$G$1203,$AE169)),IF(INDEX(对接源_02物料!$G$4:$G$1203,$AE169-1200)=0,"",INDEX(对接源_02物料!$G$4:$G$1203,$AE169-1200)))))</f>
      </c>
      <c r="E169" s="173">
        <f>IF($AE169="","",IF($AE169&lt;=1200,IF(INDEX(对接源_01水果!$H$4:$H$1203,$AE169)=0,"",INDEX(对接源_01水果!$H$4:$H$1203,$AE169)),IF(INDEX(对接源_02物料!$H$4:$H$1203,$AE169-1200)=0,"",INDEX(对接源_02物料!$H$4:$H$1203,$AE169-1200))))</f>
      </c>
      <c r="F169" s="61">
        <f>IF($AE169="","",IF($AE169&lt;=1200,IF(INDEX(对接源_01水果!$I$4:$I$1203,$AE169)=0,"",INDEX(对接源_01水果!$I$4:$I$1203,$AE169)),IF(INDEX(对接源_02物料!$I$4:$I$1203,$AE169-1200)=0,"",INDEX(对接源_02物料!$I$4:$I$1203,$AE169-1200))))</f>
      </c>
      <c r="G169" s="173">
        <f>IF($AE169="","",IF(IF($AE169&lt;=1200,N(INDEX(对接源_01水果!$H$4:$H$1203,$AE169)),N(INDEX(对接源_02物料!$H$4:$H$1203,$AE169-1200)))=0,"",ROUND(IF($AE169&lt;=1200,N(INDEX(对接源_01水果!$K$4:$K$1203,$AE169)),N(INDEX(对接源_02物料!$K$4:$K$1203,$AE169-1200)))/IF($AE169&lt;=1200,N(INDEX(对接源_01水果!$H$4:$H$1203,$AE169)),N(INDEX(对接源_02物料!$H$4:$H$1203,$AE169-1200))),2)))</f>
      </c>
      <c r="H169" s="173">
        <f>IF($AE169="","",IF($AE169&lt;=1200,IF(INDEX(对接源_01水果!$K$4:$K$1203,$AE169)=0,"",INDEX(对接源_01水果!$K$4:$K$1203,$AE169)),IF(INDEX(对接源_02物料!$K$4:$K$1203,$AE169-1200)=0,"",INDEX(对接源_02物料!$K$4:$K$1203,$AE169-1200))))</f>
      </c>
      <c r="I169" s="61">
        <f>IF($AE169="","",IF($AE169&lt;=1200,IF(INDEX(对接源_01水果!$L$4:$L$1203,$AE169)=0,"",INDEX(对接源_01水果!$L$4:$L$1203,$AE169)),IF(INDEX(对接源_02物料!$L$4:$L$1203,$AE169-1200)=0,"",INDEX(对接源_02物料!$L$4:$L$1203,$AE169-1200))))</f>
      </c>
      <c r="J169" s="122">
        <f>IF($AE169="","",IF($AE169&lt;=1200,IF(INDEX(对接源_01水果!$M$4:$M$1203,$AE169)=0,"",INDEX(对接源_01水果!$M$4:$M$1203,$AE169)),IF(INDEX(对接源_02物料!$M$4:$M$1203,$AE169-1200)=0,"",INDEX(对接源_02物料!$M$4:$M$1203,$AE169-1200))))</f>
      </c>
      <c r="AE169" s="128">
        <f>IFERROR(MATCH(164,_自动清单!$AS$4:$AS$2403,0),"")</f>
      </c>
      <c r="AF169" s="128" t="n"/>
    </row>
    <row r="170" ht="18" customHeight="1" s="127">
      <c r="A170" s="163">
        <f>IF($AE170="","",IF($AE170&lt;=1200,IF(INDEX(对接源_01水果!$B$4:$B$1203,$AE170)=0,"",INDEX(对接源_01水果!$B$4:$B$1203,$AE170)),IF(INDEX(对接源_02物料!$B$4:$B$1203,$AE170-1200)=0,"",INDEX(对接源_02物料!$B$4:$B$1203,$AE170-1200))))</f>
      </c>
      <c r="B170" s="61">
        <f>IF($AE170="","",IF($AE170&lt;=1200,IF(INDEX(对接源_01水果!$E$4:$E$1203,$AE170)=0,"",INDEX(对接源_01水果!$E$4:$E$1203,$AE170)),IF(INDEX(对接源_02物料!$E$4:$E$1203,$AE170-1200)=0,"",INDEX(对接源_02物料!$E$4:$E$1203,$AE170-1200))))</f>
      </c>
      <c r="C170" s="122">
        <f>IF($AE170="","",IF($AE170&lt;=1200,IF(INDEX(对接源_01水果!$F$4:$F$1203,$AE170)=0,"",INDEX(对接源_01水果!$F$4:$F$1203,$AE170)),IF(INDEX(对接源_02物料!$F$4:$F$1203,$AE170-1200)=0,"",INDEX(对接源_02物料!$F$4:$F$1203,$AE170-1200))))</f>
      </c>
      <c r="D170" s="61">
        <f>IF($AE170="","",IF(IF($AE170&lt;=1200,IF(INDEX(对接源_01水果!$G$4:$G$1203,$AE170)=0,"",INDEX(对接源_01水果!$G$4:$G$1203,$AE170)),IF(INDEX(对接源_02物料!$G$4:$G$1203,$AE170-1200)=0,"",INDEX(对接源_02物料!$G$4:$G$1203,$AE170-1200)))="",IF($AE170&lt;=1200,IF(INDEX(对接源_01水果!$D$4:$D$1203,$AE170)=0,"",INDEX(对接源_01水果!$D$4:$D$1203,$AE170)),IF(INDEX(对接源_02物料!$D$4:$D$1203,$AE170-1200)=0,"",INDEX(对接源_02物料!$D$4:$D$1203,$AE170-1200))),IF($AE170&lt;=1200,IF(INDEX(对接源_01水果!$G$4:$G$1203,$AE170)=0,"",INDEX(对接源_01水果!$G$4:$G$1203,$AE170)),IF(INDEX(对接源_02物料!$G$4:$G$1203,$AE170-1200)=0,"",INDEX(对接源_02物料!$G$4:$G$1203,$AE170-1200)))))</f>
      </c>
      <c r="E170" s="173">
        <f>IF($AE170="","",IF($AE170&lt;=1200,IF(INDEX(对接源_01水果!$H$4:$H$1203,$AE170)=0,"",INDEX(对接源_01水果!$H$4:$H$1203,$AE170)),IF(INDEX(对接源_02物料!$H$4:$H$1203,$AE170-1200)=0,"",INDEX(对接源_02物料!$H$4:$H$1203,$AE170-1200))))</f>
      </c>
      <c r="F170" s="61">
        <f>IF($AE170="","",IF($AE170&lt;=1200,IF(INDEX(对接源_01水果!$I$4:$I$1203,$AE170)=0,"",INDEX(对接源_01水果!$I$4:$I$1203,$AE170)),IF(INDEX(对接源_02物料!$I$4:$I$1203,$AE170-1200)=0,"",INDEX(对接源_02物料!$I$4:$I$1203,$AE170-1200))))</f>
      </c>
      <c r="G170" s="173">
        <f>IF($AE170="","",IF(IF($AE170&lt;=1200,N(INDEX(对接源_01水果!$H$4:$H$1203,$AE170)),N(INDEX(对接源_02物料!$H$4:$H$1203,$AE170-1200)))=0,"",ROUND(IF($AE170&lt;=1200,N(INDEX(对接源_01水果!$K$4:$K$1203,$AE170)),N(INDEX(对接源_02物料!$K$4:$K$1203,$AE170-1200)))/IF($AE170&lt;=1200,N(INDEX(对接源_01水果!$H$4:$H$1203,$AE170)),N(INDEX(对接源_02物料!$H$4:$H$1203,$AE170-1200))),2)))</f>
      </c>
      <c r="H170" s="173">
        <f>IF($AE170="","",IF($AE170&lt;=1200,IF(INDEX(对接源_01水果!$K$4:$K$1203,$AE170)=0,"",INDEX(对接源_01水果!$K$4:$K$1203,$AE170)),IF(INDEX(对接源_02物料!$K$4:$K$1203,$AE170-1200)=0,"",INDEX(对接源_02物料!$K$4:$K$1203,$AE170-1200))))</f>
      </c>
      <c r="I170" s="61">
        <f>IF($AE170="","",IF($AE170&lt;=1200,IF(INDEX(对接源_01水果!$L$4:$L$1203,$AE170)=0,"",INDEX(对接源_01水果!$L$4:$L$1203,$AE170)),IF(INDEX(对接源_02物料!$L$4:$L$1203,$AE170-1200)=0,"",INDEX(对接源_02物料!$L$4:$L$1203,$AE170-1200))))</f>
      </c>
      <c r="J170" s="122">
        <f>IF($AE170="","",IF($AE170&lt;=1200,IF(INDEX(对接源_01水果!$M$4:$M$1203,$AE170)=0,"",INDEX(对接源_01水果!$M$4:$M$1203,$AE170)),IF(INDEX(对接源_02物料!$M$4:$M$1203,$AE170-1200)=0,"",INDEX(对接源_02物料!$M$4:$M$1203,$AE170-1200))))</f>
      </c>
      <c r="AE170" s="128">
        <f>IFERROR(MATCH(165,_自动清单!$AS$4:$AS$2403,0),"")</f>
      </c>
      <c r="AF170" s="128" t="n"/>
    </row>
    <row r="171" ht="18" customHeight="1" s="127">
      <c r="A171" s="163">
        <f>IF($AE171="","",IF($AE171&lt;=1200,IF(INDEX(对接源_01水果!$B$4:$B$1203,$AE171)=0,"",INDEX(对接源_01水果!$B$4:$B$1203,$AE171)),IF(INDEX(对接源_02物料!$B$4:$B$1203,$AE171-1200)=0,"",INDEX(对接源_02物料!$B$4:$B$1203,$AE171-1200))))</f>
      </c>
      <c r="B171" s="61">
        <f>IF($AE171="","",IF($AE171&lt;=1200,IF(INDEX(对接源_01水果!$E$4:$E$1203,$AE171)=0,"",INDEX(对接源_01水果!$E$4:$E$1203,$AE171)),IF(INDEX(对接源_02物料!$E$4:$E$1203,$AE171-1200)=0,"",INDEX(对接源_02物料!$E$4:$E$1203,$AE171-1200))))</f>
      </c>
      <c r="C171" s="122">
        <f>IF($AE171="","",IF($AE171&lt;=1200,IF(INDEX(对接源_01水果!$F$4:$F$1203,$AE171)=0,"",INDEX(对接源_01水果!$F$4:$F$1203,$AE171)),IF(INDEX(对接源_02物料!$F$4:$F$1203,$AE171-1200)=0,"",INDEX(对接源_02物料!$F$4:$F$1203,$AE171-1200))))</f>
      </c>
      <c r="D171" s="61">
        <f>IF($AE171="","",IF(IF($AE171&lt;=1200,IF(INDEX(对接源_01水果!$G$4:$G$1203,$AE171)=0,"",INDEX(对接源_01水果!$G$4:$G$1203,$AE171)),IF(INDEX(对接源_02物料!$G$4:$G$1203,$AE171-1200)=0,"",INDEX(对接源_02物料!$G$4:$G$1203,$AE171-1200)))="",IF($AE171&lt;=1200,IF(INDEX(对接源_01水果!$D$4:$D$1203,$AE171)=0,"",INDEX(对接源_01水果!$D$4:$D$1203,$AE171)),IF(INDEX(对接源_02物料!$D$4:$D$1203,$AE171-1200)=0,"",INDEX(对接源_02物料!$D$4:$D$1203,$AE171-1200))),IF($AE171&lt;=1200,IF(INDEX(对接源_01水果!$G$4:$G$1203,$AE171)=0,"",INDEX(对接源_01水果!$G$4:$G$1203,$AE171)),IF(INDEX(对接源_02物料!$G$4:$G$1203,$AE171-1200)=0,"",INDEX(对接源_02物料!$G$4:$G$1203,$AE171-1200)))))</f>
      </c>
      <c r="E171" s="173">
        <f>IF($AE171="","",IF($AE171&lt;=1200,IF(INDEX(对接源_01水果!$H$4:$H$1203,$AE171)=0,"",INDEX(对接源_01水果!$H$4:$H$1203,$AE171)),IF(INDEX(对接源_02物料!$H$4:$H$1203,$AE171-1200)=0,"",INDEX(对接源_02物料!$H$4:$H$1203,$AE171-1200))))</f>
      </c>
      <c r="F171" s="61">
        <f>IF($AE171="","",IF($AE171&lt;=1200,IF(INDEX(对接源_01水果!$I$4:$I$1203,$AE171)=0,"",INDEX(对接源_01水果!$I$4:$I$1203,$AE171)),IF(INDEX(对接源_02物料!$I$4:$I$1203,$AE171-1200)=0,"",INDEX(对接源_02物料!$I$4:$I$1203,$AE171-1200))))</f>
      </c>
      <c r="G171" s="173">
        <f>IF($AE171="","",IF(IF($AE171&lt;=1200,N(INDEX(对接源_01水果!$H$4:$H$1203,$AE171)),N(INDEX(对接源_02物料!$H$4:$H$1203,$AE171-1200)))=0,"",ROUND(IF($AE171&lt;=1200,N(INDEX(对接源_01水果!$K$4:$K$1203,$AE171)),N(INDEX(对接源_02物料!$K$4:$K$1203,$AE171-1200)))/IF($AE171&lt;=1200,N(INDEX(对接源_01水果!$H$4:$H$1203,$AE171)),N(INDEX(对接源_02物料!$H$4:$H$1203,$AE171-1200))),2)))</f>
      </c>
      <c r="H171" s="173">
        <f>IF($AE171="","",IF($AE171&lt;=1200,IF(INDEX(对接源_01水果!$K$4:$K$1203,$AE171)=0,"",INDEX(对接源_01水果!$K$4:$K$1203,$AE171)),IF(INDEX(对接源_02物料!$K$4:$K$1203,$AE171-1200)=0,"",INDEX(对接源_02物料!$K$4:$K$1203,$AE171-1200))))</f>
      </c>
      <c r="I171" s="61">
        <f>IF($AE171="","",IF($AE171&lt;=1200,IF(INDEX(对接源_01水果!$L$4:$L$1203,$AE171)=0,"",INDEX(对接源_01水果!$L$4:$L$1203,$AE171)),IF(INDEX(对接源_02物料!$L$4:$L$1203,$AE171-1200)=0,"",INDEX(对接源_02物料!$L$4:$L$1203,$AE171-1200))))</f>
      </c>
      <c r="J171" s="122">
        <f>IF($AE171="","",IF($AE171&lt;=1200,IF(INDEX(对接源_01水果!$M$4:$M$1203,$AE171)=0,"",INDEX(对接源_01水果!$M$4:$M$1203,$AE171)),IF(INDEX(对接源_02物料!$M$4:$M$1203,$AE171-1200)=0,"",INDEX(对接源_02物料!$M$4:$M$1203,$AE171-1200))))</f>
      </c>
      <c r="AE171" s="128">
        <f>IFERROR(MATCH(166,_自动清单!$AS$4:$AS$2403,0),"")</f>
      </c>
      <c r="AF171" s="128" t="n"/>
    </row>
    <row r="172" ht="18" customHeight="1" s="127">
      <c r="A172" s="163">
        <f>IF($AE172="","",IF($AE172&lt;=1200,IF(INDEX(对接源_01水果!$B$4:$B$1203,$AE172)=0,"",INDEX(对接源_01水果!$B$4:$B$1203,$AE172)),IF(INDEX(对接源_02物料!$B$4:$B$1203,$AE172-1200)=0,"",INDEX(对接源_02物料!$B$4:$B$1203,$AE172-1200))))</f>
      </c>
      <c r="B172" s="61">
        <f>IF($AE172="","",IF($AE172&lt;=1200,IF(INDEX(对接源_01水果!$E$4:$E$1203,$AE172)=0,"",INDEX(对接源_01水果!$E$4:$E$1203,$AE172)),IF(INDEX(对接源_02物料!$E$4:$E$1203,$AE172-1200)=0,"",INDEX(对接源_02物料!$E$4:$E$1203,$AE172-1200))))</f>
      </c>
      <c r="C172" s="122">
        <f>IF($AE172="","",IF($AE172&lt;=1200,IF(INDEX(对接源_01水果!$F$4:$F$1203,$AE172)=0,"",INDEX(对接源_01水果!$F$4:$F$1203,$AE172)),IF(INDEX(对接源_02物料!$F$4:$F$1203,$AE172-1200)=0,"",INDEX(对接源_02物料!$F$4:$F$1203,$AE172-1200))))</f>
      </c>
      <c r="D172" s="61">
        <f>IF($AE172="","",IF(IF($AE172&lt;=1200,IF(INDEX(对接源_01水果!$G$4:$G$1203,$AE172)=0,"",INDEX(对接源_01水果!$G$4:$G$1203,$AE172)),IF(INDEX(对接源_02物料!$G$4:$G$1203,$AE172-1200)=0,"",INDEX(对接源_02物料!$G$4:$G$1203,$AE172-1200)))="",IF($AE172&lt;=1200,IF(INDEX(对接源_01水果!$D$4:$D$1203,$AE172)=0,"",INDEX(对接源_01水果!$D$4:$D$1203,$AE172)),IF(INDEX(对接源_02物料!$D$4:$D$1203,$AE172-1200)=0,"",INDEX(对接源_02物料!$D$4:$D$1203,$AE172-1200))),IF($AE172&lt;=1200,IF(INDEX(对接源_01水果!$G$4:$G$1203,$AE172)=0,"",INDEX(对接源_01水果!$G$4:$G$1203,$AE172)),IF(INDEX(对接源_02物料!$G$4:$G$1203,$AE172-1200)=0,"",INDEX(对接源_02物料!$G$4:$G$1203,$AE172-1200)))))</f>
      </c>
      <c r="E172" s="173">
        <f>IF($AE172="","",IF($AE172&lt;=1200,IF(INDEX(对接源_01水果!$H$4:$H$1203,$AE172)=0,"",INDEX(对接源_01水果!$H$4:$H$1203,$AE172)),IF(INDEX(对接源_02物料!$H$4:$H$1203,$AE172-1200)=0,"",INDEX(对接源_02物料!$H$4:$H$1203,$AE172-1200))))</f>
      </c>
      <c r="F172" s="61">
        <f>IF($AE172="","",IF($AE172&lt;=1200,IF(INDEX(对接源_01水果!$I$4:$I$1203,$AE172)=0,"",INDEX(对接源_01水果!$I$4:$I$1203,$AE172)),IF(INDEX(对接源_02物料!$I$4:$I$1203,$AE172-1200)=0,"",INDEX(对接源_02物料!$I$4:$I$1203,$AE172-1200))))</f>
      </c>
      <c r="G172" s="173">
        <f>IF($AE172="","",IF(IF($AE172&lt;=1200,N(INDEX(对接源_01水果!$H$4:$H$1203,$AE172)),N(INDEX(对接源_02物料!$H$4:$H$1203,$AE172-1200)))=0,"",ROUND(IF($AE172&lt;=1200,N(INDEX(对接源_01水果!$K$4:$K$1203,$AE172)),N(INDEX(对接源_02物料!$K$4:$K$1203,$AE172-1200)))/IF($AE172&lt;=1200,N(INDEX(对接源_01水果!$H$4:$H$1203,$AE172)),N(INDEX(对接源_02物料!$H$4:$H$1203,$AE172-1200))),2)))</f>
      </c>
      <c r="H172" s="173">
        <f>IF($AE172="","",IF($AE172&lt;=1200,IF(INDEX(对接源_01水果!$K$4:$K$1203,$AE172)=0,"",INDEX(对接源_01水果!$K$4:$K$1203,$AE172)),IF(INDEX(对接源_02物料!$K$4:$K$1203,$AE172-1200)=0,"",INDEX(对接源_02物料!$K$4:$K$1203,$AE172-1200))))</f>
      </c>
      <c r="I172" s="61">
        <f>IF($AE172="","",IF($AE172&lt;=1200,IF(INDEX(对接源_01水果!$L$4:$L$1203,$AE172)=0,"",INDEX(对接源_01水果!$L$4:$L$1203,$AE172)),IF(INDEX(对接源_02物料!$L$4:$L$1203,$AE172-1200)=0,"",INDEX(对接源_02物料!$L$4:$L$1203,$AE172-1200))))</f>
      </c>
      <c r="J172" s="122">
        <f>IF($AE172="","",IF($AE172&lt;=1200,IF(INDEX(对接源_01水果!$M$4:$M$1203,$AE172)=0,"",INDEX(对接源_01水果!$M$4:$M$1203,$AE172)),IF(INDEX(对接源_02物料!$M$4:$M$1203,$AE172-1200)=0,"",INDEX(对接源_02物料!$M$4:$M$1203,$AE172-1200))))</f>
      </c>
      <c r="AE172" s="128">
        <f>IFERROR(MATCH(167,_自动清单!$AS$4:$AS$2403,0),"")</f>
      </c>
      <c r="AF172" s="128" t="n"/>
    </row>
    <row r="173" ht="18" customHeight="1" s="127">
      <c r="A173" s="163">
        <f>IF($AE173="","",IF($AE173&lt;=1200,IF(INDEX(对接源_01水果!$B$4:$B$1203,$AE173)=0,"",INDEX(对接源_01水果!$B$4:$B$1203,$AE173)),IF(INDEX(对接源_02物料!$B$4:$B$1203,$AE173-1200)=0,"",INDEX(对接源_02物料!$B$4:$B$1203,$AE173-1200))))</f>
      </c>
      <c r="B173" s="61">
        <f>IF($AE173="","",IF($AE173&lt;=1200,IF(INDEX(对接源_01水果!$E$4:$E$1203,$AE173)=0,"",INDEX(对接源_01水果!$E$4:$E$1203,$AE173)),IF(INDEX(对接源_02物料!$E$4:$E$1203,$AE173-1200)=0,"",INDEX(对接源_02物料!$E$4:$E$1203,$AE173-1200))))</f>
      </c>
      <c r="C173" s="122">
        <f>IF($AE173="","",IF($AE173&lt;=1200,IF(INDEX(对接源_01水果!$F$4:$F$1203,$AE173)=0,"",INDEX(对接源_01水果!$F$4:$F$1203,$AE173)),IF(INDEX(对接源_02物料!$F$4:$F$1203,$AE173-1200)=0,"",INDEX(对接源_02物料!$F$4:$F$1203,$AE173-1200))))</f>
      </c>
      <c r="D173" s="61">
        <f>IF($AE173="","",IF(IF($AE173&lt;=1200,IF(INDEX(对接源_01水果!$G$4:$G$1203,$AE173)=0,"",INDEX(对接源_01水果!$G$4:$G$1203,$AE173)),IF(INDEX(对接源_02物料!$G$4:$G$1203,$AE173-1200)=0,"",INDEX(对接源_02物料!$G$4:$G$1203,$AE173-1200)))="",IF($AE173&lt;=1200,IF(INDEX(对接源_01水果!$D$4:$D$1203,$AE173)=0,"",INDEX(对接源_01水果!$D$4:$D$1203,$AE173)),IF(INDEX(对接源_02物料!$D$4:$D$1203,$AE173-1200)=0,"",INDEX(对接源_02物料!$D$4:$D$1203,$AE173-1200))),IF($AE173&lt;=1200,IF(INDEX(对接源_01水果!$G$4:$G$1203,$AE173)=0,"",INDEX(对接源_01水果!$G$4:$G$1203,$AE173)),IF(INDEX(对接源_02物料!$G$4:$G$1203,$AE173-1200)=0,"",INDEX(对接源_02物料!$G$4:$G$1203,$AE173-1200)))))</f>
      </c>
      <c r="E173" s="173">
        <f>IF($AE173="","",IF($AE173&lt;=1200,IF(INDEX(对接源_01水果!$H$4:$H$1203,$AE173)=0,"",INDEX(对接源_01水果!$H$4:$H$1203,$AE173)),IF(INDEX(对接源_02物料!$H$4:$H$1203,$AE173-1200)=0,"",INDEX(对接源_02物料!$H$4:$H$1203,$AE173-1200))))</f>
      </c>
      <c r="F173" s="61">
        <f>IF($AE173="","",IF($AE173&lt;=1200,IF(INDEX(对接源_01水果!$I$4:$I$1203,$AE173)=0,"",INDEX(对接源_01水果!$I$4:$I$1203,$AE173)),IF(INDEX(对接源_02物料!$I$4:$I$1203,$AE173-1200)=0,"",INDEX(对接源_02物料!$I$4:$I$1203,$AE173-1200))))</f>
      </c>
      <c r="G173" s="173">
        <f>IF($AE173="","",IF(IF($AE173&lt;=1200,N(INDEX(对接源_01水果!$H$4:$H$1203,$AE173)),N(INDEX(对接源_02物料!$H$4:$H$1203,$AE173-1200)))=0,"",ROUND(IF($AE173&lt;=1200,N(INDEX(对接源_01水果!$K$4:$K$1203,$AE173)),N(INDEX(对接源_02物料!$K$4:$K$1203,$AE173-1200)))/IF($AE173&lt;=1200,N(INDEX(对接源_01水果!$H$4:$H$1203,$AE173)),N(INDEX(对接源_02物料!$H$4:$H$1203,$AE173-1200))),2)))</f>
      </c>
      <c r="H173" s="173">
        <f>IF($AE173="","",IF($AE173&lt;=1200,IF(INDEX(对接源_01水果!$K$4:$K$1203,$AE173)=0,"",INDEX(对接源_01水果!$K$4:$K$1203,$AE173)),IF(INDEX(对接源_02物料!$K$4:$K$1203,$AE173-1200)=0,"",INDEX(对接源_02物料!$K$4:$K$1203,$AE173-1200))))</f>
      </c>
      <c r="I173" s="61">
        <f>IF($AE173="","",IF($AE173&lt;=1200,IF(INDEX(对接源_01水果!$L$4:$L$1203,$AE173)=0,"",INDEX(对接源_01水果!$L$4:$L$1203,$AE173)),IF(INDEX(对接源_02物料!$L$4:$L$1203,$AE173-1200)=0,"",INDEX(对接源_02物料!$L$4:$L$1203,$AE173-1200))))</f>
      </c>
      <c r="J173" s="122">
        <f>IF($AE173="","",IF($AE173&lt;=1200,IF(INDEX(对接源_01水果!$M$4:$M$1203,$AE173)=0,"",INDEX(对接源_01水果!$M$4:$M$1203,$AE173)),IF(INDEX(对接源_02物料!$M$4:$M$1203,$AE173-1200)=0,"",INDEX(对接源_02物料!$M$4:$M$1203,$AE173-1200))))</f>
      </c>
      <c r="AE173" s="128">
        <f>IFERROR(MATCH(168,_自动清单!$AS$4:$AS$2403,0),"")</f>
      </c>
      <c r="AF173" s="128" t="n"/>
    </row>
    <row r="174" ht="18" customHeight="1" s="127">
      <c r="A174" s="163">
        <f>IF($AE174="","",IF($AE174&lt;=1200,IF(INDEX(对接源_01水果!$B$4:$B$1203,$AE174)=0,"",INDEX(对接源_01水果!$B$4:$B$1203,$AE174)),IF(INDEX(对接源_02物料!$B$4:$B$1203,$AE174-1200)=0,"",INDEX(对接源_02物料!$B$4:$B$1203,$AE174-1200))))</f>
      </c>
      <c r="B174" s="61">
        <f>IF($AE174="","",IF($AE174&lt;=1200,IF(INDEX(对接源_01水果!$E$4:$E$1203,$AE174)=0,"",INDEX(对接源_01水果!$E$4:$E$1203,$AE174)),IF(INDEX(对接源_02物料!$E$4:$E$1203,$AE174-1200)=0,"",INDEX(对接源_02物料!$E$4:$E$1203,$AE174-1200))))</f>
      </c>
      <c r="C174" s="122">
        <f>IF($AE174="","",IF($AE174&lt;=1200,IF(INDEX(对接源_01水果!$F$4:$F$1203,$AE174)=0,"",INDEX(对接源_01水果!$F$4:$F$1203,$AE174)),IF(INDEX(对接源_02物料!$F$4:$F$1203,$AE174-1200)=0,"",INDEX(对接源_02物料!$F$4:$F$1203,$AE174-1200))))</f>
      </c>
      <c r="D174" s="61">
        <f>IF($AE174="","",IF(IF($AE174&lt;=1200,IF(INDEX(对接源_01水果!$G$4:$G$1203,$AE174)=0,"",INDEX(对接源_01水果!$G$4:$G$1203,$AE174)),IF(INDEX(对接源_02物料!$G$4:$G$1203,$AE174-1200)=0,"",INDEX(对接源_02物料!$G$4:$G$1203,$AE174-1200)))="",IF($AE174&lt;=1200,IF(INDEX(对接源_01水果!$D$4:$D$1203,$AE174)=0,"",INDEX(对接源_01水果!$D$4:$D$1203,$AE174)),IF(INDEX(对接源_02物料!$D$4:$D$1203,$AE174-1200)=0,"",INDEX(对接源_02物料!$D$4:$D$1203,$AE174-1200))),IF($AE174&lt;=1200,IF(INDEX(对接源_01水果!$G$4:$G$1203,$AE174)=0,"",INDEX(对接源_01水果!$G$4:$G$1203,$AE174)),IF(INDEX(对接源_02物料!$G$4:$G$1203,$AE174-1200)=0,"",INDEX(对接源_02物料!$G$4:$G$1203,$AE174-1200)))))</f>
      </c>
      <c r="E174" s="173">
        <f>IF($AE174="","",IF($AE174&lt;=1200,IF(INDEX(对接源_01水果!$H$4:$H$1203,$AE174)=0,"",INDEX(对接源_01水果!$H$4:$H$1203,$AE174)),IF(INDEX(对接源_02物料!$H$4:$H$1203,$AE174-1200)=0,"",INDEX(对接源_02物料!$H$4:$H$1203,$AE174-1200))))</f>
      </c>
      <c r="F174" s="61">
        <f>IF($AE174="","",IF($AE174&lt;=1200,IF(INDEX(对接源_01水果!$I$4:$I$1203,$AE174)=0,"",INDEX(对接源_01水果!$I$4:$I$1203,$AE174)),IF(INDEX(对接源_02物料!$I$4:$I$1203,$AE174-1200)=0,"",INDEX(对接源_02物料!$I$4:$I$1203,$AE174-1200))))</f>
      </c>
      <c r="G174" s="173">
        <f>IF($AE174="","",IF(IF($AE174&lt;=1200,N(INDEX(对接源_01水果!$H$4:$H$1203,$AE174)),N(INDEX(对接源_02物料!$H$4:$H$1203,$AE174-1200)))=0,"",ROUND(IF($AE174&lt;=1200,N(INDEX(对接源_01水果!$K$4:$K$1203,$AE174)),N(INDEX(对接源_02物料!$K$4:$K$1203,$AE174-1200)))/IF($AE174&lt;=1200,N(INDEX(对接源_01水果!$H$4:$H$1203,$AE174)),N(INDEX(对接源_02物料!$H$4:$H$1203,$AE174-1200))),2)))</f>
      </c>
      <c r="H174" s="173">
        <f>IF($AE174="","",IF($AE174&lt;=1200,IF(INDEX(对接源_01水果!$K$4:$K$1203,$AE174)=0,"",INDEX(对接源_01水果!$K$4:$K$1203,$AE174)),IF(INDEX(对接源_02物料!$K$4:$K$1203,$AE174-1200)=0,"",INDEX(对接源_02物料!$K$4:$K$1203,$AE174-1200))))</f>
      </c>
      <c r="I174" s="61">
        <f>IF($AE174="","",IF($AE174&lt;=1200,IF(INDEX(对接源_01水果!$L$4:$L$1203,$AE174)=0,"",INDEX(对接源_01水果!$L$4:$L$1203,$AE174)),IF(INDEX(对接源_02物料!$L$4:$L$1203,$AE174-1200)=0,"",INDEX(对接源_02物料!$L$4:$L$1203,$AE174-1200))))</f>
      </c>
      <c r="J174" s="122">
        <f>IF($AE174="","",IF($AE174&lt;=1200,IF(INDEX(对接源_01水果!$M$4:$M$1203,$AE174)=0,"",INDEX(对接源_01水果!$M$4:$M$1203,$AE174)),IF(INDEX(对接源_02物料!$M$4:$M$1203,$AE174-1200)=0,"",INDEX(对接源_02物料!$M$4:$M$1203,$AE174-1200))))</f>
      </c>
      <c r="AE174" s="128">
        <f>IFERROR(MATCH(169,_自动清单!$AS$4:$AS$2403,0),"")</f>
      </c>
      <c r="AF174" s="128" t="n"/>
    </row>
    <row r="175" ht="18" customHeight="1" s="127">
      <c r="A175" s="163">
        <f>IF($AE175="","",IF($AE175&lt;=1200,IF(INDEX(对接源_01水果!$B$4:$B$1203,$AE175)=0,"",INDEX(对接源_01水果!$B$4:$B$1203,$AE175)),IF(INDEX(对接源_02物料!$B$4:$B$1203,$AE175-1200)=0,"",INDEX(对接源_02物料!$B$4:$B$1203,$AE175-1200))))</f>
      </c>
      <c r="B175" s="61">
        <f>IF($AE175="","",IF($AE175&lt;=1200,IF(INDEX(对接源_01水果!$E$4:$E$1203,$AE175)=0,"",INDEX(对接源_01水果!$E$4:$E$1203,$AE175)),IF(INDEX(对接源_02物料!$E$4:$E$1203,$AE175-1200)=0,"",INDEX(对接源_02物料!$E$4:$E$1203,$AE175-1200))))</f>
      </c>
      <c r="C175" s="122">
        <f>IF($AE175="","",IF($AE175&lt;=1200,IF(INDEX(对接源_01水果!$F$4:$F$1203,$AE175)=0,"",INDEX(对接源_01水果!$F$4:$F$1203,$AE175)),IF(INDEX(对接源_02物料!$F$4:$F$1203,$AE175-1200)=0,"",INDEX(对接源_02物料!$F$4:$F$1203,$AE175-1200))))</f>
      </c>
      <c r="D175" s="61">
        <f>IF($AE175="","",IF(IF($AE175&lt;=1200,IF(INDEX(对接源_01水果!$G$4:$G$1203,$AE175)=0,"",INDEX(对接源_01水果!$G$4:$G$1203,$AE175)),IF(INDEX(对接源_02物料!$G$4:$G$1203,$AE175-1200)=0,"",INDEX(对接源_02物料!$G$4:$G$1203,$AE175-1200)))="",IF($AE175&lt;=1200,IF(INDEX(对接源_01水果!$D$4:$D$1203,$AE175)=0,"",INDEX(对接源_01水果!$D$4:$D$1203,$AE175)),IF(INDEX(对接源_02物料!$D$4:$D$1203,$AE175-1200)=0,"",INDEX(对接源_02物料!$D$4:$D$1203,$AE175-1200))),IF($AE175&lt;=1200,IF(INDEX(对接源_01水果!$G$4:$G$1203,$AE175)=0,"",INDEX(对接源_01水果!$G$4:$G$1203,$AE175)),IF(INDEX(对接源_02物料!$G$4:$G$1203,$AE175-1200)=0,"",INDEX(对接源_02物料!$G$4:$G$1203,$AE175-1200)))))</f>
      </c>
      <c r="E175" s="173">
        <f>IF($AE175="","",IF($AE175&lt;=1200,IF(INDEX(对接源_01水果!$H$4:$H$1203,$AE175)=0,"",INDEX(对接源_01水果!$H$4:$H$1203,$AE175)),IF(INDEX(对接源_02物料!$H$4:$H$1203,$AE175-1200)=0,"",INDEX(对接源_02物料!$H$4:$H$1203,$AE175-1200))))</f>
      </c>
      <c r="F175" s="61">
        <f>IF($AE175="","",IF($AE175&lt;=1200,IF(INDEX(对接源_01水果!$I$4:$I$1203,$AE175)=0,"",INDEX(对接源_01水果!$I$4:$I$1203,$AE175)),IF(INDEX(对接源_02物料!$I$4:$I$1203,$AE175-1200)=0,"",INDEX(对接源_02物料!$I$4:$I$1203,$AE175-1200))))</f>
      </c>
      <c r="G175" s="173">
        <f>IF($AE175="","",IF(IF($AE175&lt;=1200,N(INDEX(对接源_01水果!$H$4:$H$1203,$AE175)),N(INDEX(对接源_02物料!$H$4:$H$1203,$AE175-1200)))=0,"",ROUND(IF($AE175&lt;=1200,N(INDEX(对接源_01水果!$K$4:$K$1203,$AE175)),N(INDEX(对接源_02物料!$K$4:$K$1203,$AE175-1200)))/IF($AE175&lt;=1200,N(INDEX(对接源_01水果!$H$4:$H$1203,$AE175)),N(INDEX(对接源_02物料!$H$4:$H$1203,$AE175-1200))),2)))</f>
      </c>
      <c r="H175" s="173">
        <f>IF($AE175="","",IF($AE175&lt;=1200,IF(INDEX(对接源_01水果!$K$4:$K$1203,$AE175)=0,"",INDEX(对接源_01水果!$K$4:$K$1203,$AE175)),IF(INDEX(对接源_02物料!$K$4:$K$1203,$AE175-1200)=0,"",INDEX(对接源_02物料!$K$4:$K$1203,$AE175-1200))))</f>
      </c>
      <c r="I175" s="61">
        <f>IF($AE175="","",IF($AE175&lt;=1200,IF(INDEX(对接源_01水果!$L$4:$L$1203,$AE175)=0,"",INDEX(对接源_01水果!$L$4:$L$1203,$AE175)),IF(INDEX(对接源_02物料!$L$4:$L$1203,$AE175-1200)=0,"",INDEX(对接源_02物料!$L$4:$L$1203,$AE175-1200))))</f>
      </c>
      <c r="J175" s="122">
        <f>IF($AE175="","",IF($AE175&lt;=1200,IF(INDEX(对接源_01水果!$M$4:$M$1203,$AE175)=0,"",INDEX(对接源_01水果!$M$4:$M$1203,$AE175)),IF(INDEX(对接源_02物料!$M$4:$M$1203,$AE175-1200)=0,"",INDEX(对接源_02物料!$M$4:$M$1203,$AE175-1200))))</f>
      </c>
      <c r="AE175" s="128">
        <f>IFERROR(MATCH(170,_自动清单!$AS$4:$AS$2403,0),"")</f>
      </c>
      <c r="AF175" s="128" t="n"/>
    </row>
    <row r="176" ht="18" customHeight="1" s="127">
      <c r="A176" s="163">
        <f>IF($AE176="","",IF($AE176&lt;=1200,IF(INDEX(对接源_01水果!$B$4:$B$1203,$AE176)=0,"",INDEX(对接源_01水果!$B$4:$B$1203,$AE176)),IF(INDEX(对接源_02物料!$B$4:$B$1203,$AE176-1200)=0,"",INDEX(对接源_02物料!$B$4:$B$1203,$AE176-1200))))</f>
      </c>
      <c r="B176" s="61">
        <f>IF($AE176="","",IF($AE176&lt;=1200,IF(INDEX(对接源_01水果!$E$4:$E$1203,$AE176)=0,"",INDEX(对接源_01水果!$E$4:$E$1203,$AE176)),IF(INDEX(对接源_02物料!$E$4:$E$1203,$AE176-1200)=0,"",INDEX(对接源_02物料!$E$4:$E$1203,$AE176-1200))))</f>
      </c>
      <c r="C176" s="122">
        <f>IF($AE176="","",IF($AE176&lt;=1200,IF(INDEX(对接源_01水果!$F$4:$F$1203,$AE176)=0,"",INDEX(对接源_01水果!$F$4:$F$1203,$AE176)),IF(INDEX(对接源_02物料!$F$4:$F$1203,$AE176-1200)=0,"",INDEX(对接源_02物料!$F$4:$F$1203,$AE176-1200))))</f>
      </c>
      <c r="D176" s="61">
        <f>IF($AE176="","",IF(IF($AE176&lt;=1200,IF(INDEX(对接源_01水果!$G$4:$G$1203,$AE176)=0,"",INDEX(对接源_01水果!$G$4:$G$1203,$AE176)),IF(INDEX(对接源_02物料!$G$4:$G$1203,$AE176-1200)=0,"",INDEX(对接源_02物料!$G$4:$G$1203,$AE176-1200)))="",IF($AE176&lt;=1200,IF(INDEX(对接源_01水果!$D$4:$D$1203,$AE176)=0,"",INDEX(对接源_01水果!$D$4:$D$1203,$AE176)),IF(INDEX(对接源_02物料!$D$4:$D$1203,$AE176-1200)=0,"",INDEX(对接源_02物料!$D$4:$D$1203,$AE176-1200))),IF($AE176&lt;=1200,IF(INDEX(对接源_01水果!$G$4:$G$1203,$AE176)=0,"",INDEX(对接源_01水果!$G$4:$G$1203,$AE176)),IF(INDEX(对接源_02物料!$G$4:$G$1203,$AE176-1200)=0,"",INDEX(对接源_02物料!$G$4:$G$1203,$AE176-1200)))))</f>
      </c>
      <c r="E176" s="173">
        <f>IF($AE176="","",IF($AE176&lt;=1200,IF(INDEX(对接源_01水果!$H$4:$H$1203,$AE176)=0,"",INDEX(对接源_01水果!$H$4:$H$1203,$AE176)),IF(INDEX(对接源_02物料!$H$4:$H$1203,$AE176-1200)=0,"",INDEX(对接源_02物料!$H$4:$H$1203,$AE176-1200))))</f>
      </c>
      <c r="F176" s="61">
        <f>IF($AE176="","",IF($AE176&lt;=1200,IF(INDEX(对接源_01水果!$I$4:$I$1203,$AE176)=0,"",INDEX(对接源_01水果!$I$4:$I$1203,$AE176)),IF(INDEX(对接源_02物料!$I$4:$I$1203,$AE176-1200)=0,"",INDEX(对接源_02物料!$I$4:$I$1203,$AE176-1200))))</f>
      </c>
      <c r="G176" s="173">
        <f>IF($AE176="","",IF(IF($AE176&lt;=1200,N(INDEX(对接源_01水果!$H$4:$H$1203,$AE176)),N(INDEX(对接源_02物料!$H$4:$H$1203,$AE176-1200)))=0,"",ROUND(IF($AE176&lt;=1200,N(INDEX(对接源_01水果!$K$4:$K$1203,$AE176)),N(INDEX(对接源_02物料!$K$4:$K$1203,$AE176-1200)))/IF($AE176&lt;=1200,N(INDEX(对接源_01水果!$H$4:$H$1203,$AE176)),N(INDEX(对接源_02物料!$H$4:$H$1203,$AE176-1200))),2)))</f>
      </c>
      <c r="H176" s="173">
        <f>IF($AE176="","",IF($AE176&lt;=1200,IF(INDEX(对接源_01水果!$K$4:$K$1203,$AE176)=0,"",INDEX(对接源_01水果!$K$4:$K$1203,$AE176)),IF(INDEX(对接源_02物料!$K$4:$K$1203,$AE176-1200)=0,"",INDEX(对接源_02物料!$K$4:$K$1203,$AE176-1200))))</f>
      </c>
      <c r="I176" s="61">
        <f>IF($AE176="","",IF($AE176&lt;=1200,IF(INDEX(对接源_01水果!$L$4:$L$1203,$AE176)=0,"",INDEX(对接源_01水果!$L$4:$L$1203,$AE176)),IF(INDEX(对接源_02物料!$L$4:$L$1203,$AE176-1200)=0,"",INDEX(对接源_02物料!$L$4:$L$1203,$AE176-1200))))</f>
      </c>
      <c r="J176" s="122">
        <f>IF($AE176="","",IF($AE176&lt;=1200,IF(INDEX(对接源_01水果!$M$4:$M$1203,$AE176)=0,"",INDEX(对接源_01水果!$M$4:$M$1203,$AE176)),IF(INDEX(对接源_02物料!$M$4:$M$1203,$AE176-1200)=0,"",INDEX(对接源_02物料!$M$4:$M$1203,$AE176-1200))))</f>
      </c>
      <c r="AE176" s="128">
        <f>IFERROR(MATCH(171,_自动清单!$AS$4:$AS$2403,0),"")</f>
      </c>
      <c r="AF176" s="128" t="n"/>
    </row>
    <row r="177" ht="18" customHeight="1" s="127">
      <c r="A177" s="163">
        <f>IF($AE177="","",IF($AE177&lt;=1200,IF(INDEX(对接源_01水果!$B$4:$B$1203,$AE177)=0,"",INDEX(对接源_01水果!$B$4:$B$1203,$AE177)),IF(INDEX(对接源_02物料!$B$4:$B$1203,$AE177-1200)=0,"",INDEX(对接源_02物料!$B$4:$B$1203,$AE177-1200))))</f>
      </c>
      <c r="B177" s="61">
        <f>IF($AE177="","",IF($AE177&lt;=1200,IF(INDEX(对接源_01水果!$E$4:$E$1203,$AE177)=0,"",INDEX(对接源_01水果!$E$4:$E$1203,$AE177)),IF(INDEX(对接源_02物料!$E$4:$E$1203,$AE177-1200)=0,"",INDEX(对接源_02物料!$E$4:$E$1203,$AE177-1200))))</f>
      </c>
      <c r="C177" s="122">
        <f>IF($AE177="","",IF($AE177&lt;=1200,IF(INDEX(对接源_01水果!$F$4:$F$1203,$AE177)=0,"",INDEX(对接源_01水果!$F$4:$F$1203,$AE177)),IF(INDEX(对接源_02物料!$F$4:$F$1203,$AE177-1200)=0,"",INDEX(对接源_02物料!$F$4:$F$1203,$AE177-1200))))</f>
      </c>
      <c r="D177" s="61">
        <f>IF($AE177="","",IF(IF($AE177&lt;=1200,IF(INDEX(对接源_01水果!$G$4:$G$1203,$AE177)=0,"",INDEX(对接源_01水果!$G$4:$G$1203,$AE177)),IF(INDEX(对接源_02物料!$G$4:$G$1203,$AE177-1200)=0,"",INDEX(对接源_02物料!$G$4:$G$1203,$AE177-1200)))="",IF($AE177&lt;=1200,IF(INDEX(对接源_01水果!$D$4:$D$1203,$AE177)=0,"",INDEX(对接源_01水果!$D$4:$D$1203,$AE177)),IF(INDEX(对接源_02物料!$D$4:$D$1203,$AE177-1200)=0,"",INDEX(对接源_02物料!$D$4:$D$1203,$AE177-1200))),IF($AE177&lt;=1200,IF(INDEX(对接源_01水果!$G$4:$G$1203,$AE177)=0,"",INDEX(对接源_01水果!$G$4:$G$1203,$AE177)),IF(INDEX(对接源_02物料!$G$4:$G$1203,$AE177-1200)=0,"",INDEX(对接源_02物料!$G$4:$G$1203,$AE177-1200)))))</f>
      </c>
      <c r="E177" s="173">
        <f>IF($AE177="","",IF($AE177&lt;=1200,IF(INDEX(对接源_01水果!$H$4:$H$1203,$AE177)=0,"",INDEX(对接源_01水果!$H$4:$H$1203,$AE177)),IF(INDEX(对接源_02物料!$H$4:$H$1203,$AE177-1200)=0,"",INDEX(对接源_02物料!$H$4:$H$1203,$AE177-1200))))</f>
      </c>
      <c r="F177" s="61">
        <f>IF($AE177="","",IF($AE177&lt;=1200,IF(INDEX(对接源_01水果!$I$4:$I$1203,$AE177)=0,"",INDEX(对接源_01水果!$I$4:$I$1203,$AE177)),IF(INDEX(对接源_02物料!$I$4:$I$1203,$AE177-1200)=0,"",INDEX(对接源_02物料!$I$4:$I$1203,$AE177-1200))))</f>
      </c>
      <c r="G177" s="173">
        <f>IF($AE177="","",IF(IF($AE177&lt;=1200,N(INDEX(对接源_01水果!$H$4:$H$1203,$AE177)),N(INDEX(对接源_02物料!$H$4:$H$1203,$AE177-1200)))=0,"",ROUND(IF($AE177&lt;=1200,N(INDEX(对接源_01水果!$K$4:$K$1203,$AE177)),N(INDEX(对接源_02物料!$K$4:$K$1203,$AE177-1200)))/IF($AE177&lt;=1200,N(INDEX(对接源_01水果!$H$4:$H$1203,$AE177)),N(INDEX(对接源_02物料!$H$4:$H$1203,$AE177-1200))),2)))</f>
      </c>
      <c r="H177" s="173">
        <f>IF($AE177="","",IF($AE177&lt;=1200,IF(INDEX(对接源_01水果!$K$4:$K$1203,$AE177)=0,"",INDEX(对接源_01水果!$K$4:$K$1203,$AE177)),IF(INDEX(对接源_02物料!$K$4:$K$1203,$AE177-1200)=0,"",INDEX(对接源_02物料!$K$4:$K$1203,$AE177-1200))))</f>
      </c>
      <c r="I177" s="61">
        <f>IF($AE177="","",IF($AE177&lt;=1200,IF(INDEX(对接源_01水果!$L$4:$L$1203,$AE177)=0,"",INDEX(对接源_01水果!$L$4:$L$1203,$AE177)),IF(INDEX(对接源_02物料!$L$4:$L$1203,$AE177-1200)=0,"",INDEX(对接源_02物料!$L$4:$L$1203,$AE177-1200))))</f>
      </c>
      <c r="J177" s="122">
        <f>IF($AE177="","",IF($AE177&lt;=1200,IF(INDEX(对接源_01水果!$M$4:$M$1203,$AE177)=0,"",INDEX(对接源_01水果!$M$4:$M$1203,$AE177)),IF(INDEX(对接源_02物料!$M$4:$M$1203,$AE177-1200)=0,"",INDEX(对接源_02物料!$M$4:$M$1203,$AE177-1200))))</f>
      </c>
      <c r="AE177" s="128">
        <f>IFERROR(MATCH(172,_自动清单!$AS$4:$AS$2403,0),"")</f>
      </c>
      <c r="AF177" s="128" t="n"/>
    </row>
    <row r="178" ht="18" customHeight="1" s="127">
      <c r="A178" s="163">
        <f>IF($AE178="","",IF($AE178&lt;=1200,IF(INDEX(对接源_01水果!$B$4:$B$1203,$AE178)=0,"",INDEX(对接源_01水果!$B$4:$B$1203,$AE178)),IF(INDEX(对接源_02物料!$B$4:$B$1203,$AE178-1200)=0,"",INDEX(对接源_02物料!$B$4:$B$1203,$AE178-1200))))</f>
      </c>
      <c r="B178" s="61">
        <f>IF($AE178="","",IF($AE178&lt;=1200,IF(INDEX(对接源_01水果!$E$4:$E$1203,$AE178)=0,"",INDEX(对接源_01水果!$E$4:$E$1203,$AE178)),IF(INDEX(对接源_02物料!$E$4:$E$1203,$AE178-1200)=0,"",INDEX(对接源_02物料!$E$4:$E$1203,$AE178-1200))))</f>
      </c>
      <c r="C178" s="122">
        <f>IF($AE178="","",IF($AE178&lt;=1200,IF(INDEX(对接源_01水果!$F$4:$F$1203,$AE178)=0,"",INDEX(对接源_01水果!$F$4:$F$1203,$AE178)),IF(INDEX(对接源_02物料!$F$4:$F$1203,$AE178-1200)=0,"",INDEX(对接源_02物料!$F$4:$F$1203,$AE178-1200))))</f>
      </c>
      <c r="D178" s="61">
        <f>IF($AE178="","",IF(IF($AE178&lt;=1200,IF(INDEX(对接源_01水果!$G$4:$G$1203,$AE178)=0,"",INDEX(对接源_01水果!$G$4:$G$1203,$AE178)),IF(INDEX(对接源_02物料!$G$4:$G$1203,$AE178-1200)=0,"",INDEX(对接源_02物料!$G$4:$G$1203,$AE178-1200)))="",IF($AE178&lt;=1200,IF(INDEX(对接源_01水果!$D$4:$D$1203,$AE178)=0,"",INDEX(对接源_01水果!$D$4:$D$1203,$AE178)),IF(INDEX(对接源_02物料!$D$4:$D$1203,$AE178-1200)=0,"",INDEX(对接源_02物料!$D$4:$D$1203,$AE178-1200))),IF($AE178&lt;=1200,IF(INDEX(对接源_01水果!$G$4:$G$1203,$AE178)=0,"",INDEX(对接源_01水果!$G$4:$G$1203,$AE178)),IF(INDEX(对接源_02物料!$G$4:$G$1203,$AE178-1200)=0,"",INDEX(对接源_02物料!$G$4:$G$1203,$AE178-1200)))))</f>
      </c>
      <c r="E178" s="173">
        <f>IF($AE178="","",IF($AE178&lt;=1200,IF(INDEX(对接源_01水果!$H$4:$H$1203,$AE178)=0,"",INDEX(对接源_01水果!$H$4:$H$1203,$AE178)),IF(INDEX(对接源_02物料!$H$4:$H$1203,$AE178-1200)=0,"",INDEX(对接源_02物料!$H$4:$H$1203,$AE178-1200))))</f>
      </c>
      <c r="F178" s="61">
        <f>IF($AE178="","",IF($AE178&lt;=1200,IF(INDEX(对接源_01水果!$I$4:$I$1203,$AE178)=0,"",INDEX(对接源_01水果!$I$4:$I$1203,$AE178)),IF(INDEX(对接源_02物料!$I$4:$I$1203,$AE178-1200)=0,"",INDEX(对接源_02物料!$I$4:$I$1203,$AE178-1200))))</f>
      </c>
      <c r="G178" s="173">
        <f>IF($AE178="","",IF(IF($AE178&lt;=1200,N(INDEX(对接源_01水果!$H$4:$H$1203,$AE178)),N(INDEX(对接源_02物料!$H$4:$H$1203,$AE178-1200)))=0,"",ROUND(IF($AE178&lt;=1200,N(INDEX(对接源_01水果!$K$4:$K$1203,$AE178)),N(INDEX(对接源_02物料!$K$4:$K$1203,$AE178-1200)))/IF($AE178&lt;=1200,N(INDEX(对接源_01水果!$H$4:$H$1203,$AE178)),N(INDEX(对接源_02物料!$H$4:$H$1203,$AE178-1200))),2)))</f>
      </c>
      <c r="H178" s="173">
        <f>IF($AE178="","",IF($AE178&lt;=1200,IF(INDEX(对接源_01水果!$K$4:$K$1203,$AE178)=0,"",INDEX(对接源_01水果!$K$4:$K$1203,$AE178)),IF(INDEX(对接源_02物料!$K$4:$K$1203,$AE178-1200)=0,"",INDEX(对接源_02物料!$K$4:$K$1203,$AE178-1200))))</f>
      </c>
      <c r="I178" s="61">
        <f>IF($AE178="","",IF($AE178&lt;=1200,IF(INDEX(对接源_01水果!$L$4:$L$1203,$AE178)=0,"",INDEX(对接源_01水果!$L$4:$L$1203,$AE178)),IF(INDEX(对接源_02物料!$L$4:$L$1203,$AE178-1200)=0,"",INDEX(对接源_02物料!$L$4:$L$1203,$AE178-1200))))</f>
      </c>
      <c r="J178" s="122">
        <f>IF($AE178="","",IF($AE178&lt;=1200,IF(INDEX(对接源_01水果!$M$4:$M$1203,$AE178)=0,"",INDEX(对接源_01水果!$M$4:$M$1203,$AE178)),IF(INDEX(对接源_02物料!$M$4:$M$1203,$AE178-1200)=0,"",INDEX(对接源_02物料!$M$4:$M$1203,$AE178-1200))))</f>
      </c>
      <c r="AE178" s="128">
        <f>IFERROR(MATCH(173,_自动清单!$AS$4:$AS$2403,0),"")</f>
      </c>
      <c r="AF178" s="128" t="n"/>
    </row>
    <row r="179" ht="18" customHeight="1" s="127">
      <c r="A179" s="163">
        <f>IF($AE179="","",IF($AE179&lt;=1200,IF(INDEX(对接源_01水果!$B$4:$B$1203,$AE179)=0,"",INDEX(对接源_01水果!$B$4:$B$1203,$AE179)),IF(INDEX(对接源_02物料!$B$4:$B$1203,$AE179-1200)=0,"",INDEX(对接源_02物料!$B$4:$B$1203,$AE179-1200))))</f>
      </c>
      <c r="B179" s="61">
        <f>IF($AE179="","",IF($AE179&lt;=1200,IF(INDEX(对接源_01水果!$E$4:$E$1203,$AE179)=0,"",INDEX(对接源_01水果!$E$4:$E$1203,$AE179)),IF(INDEX(对接源_02物料!$E$4:$E$1203,$AE179-1200)=0,"",INDEX(对接源_02物料!$E$4:$E$1203,$AE179-1200))))</f>
      </c>
      <c r="C179" s="122">
        <f>IF($AE179="","",IF($AE179&lt;=1200,IF(INDEX(对接源_01水果!$F$4:$F$1203,$AE179)=0,"",INDEX(对接源_01水果!$F$4:$F$1203,$AE179)),IF(INDEX(对接源_02物料!$F$4:$F$1203,$AE179-1200)=0,"",INDEX(对接源_02物料!$F$4:$F$1203,$AE179-1200))))</f>
      </c>
      <c r="D179" s="61">
        <f>IF($AE179="","",IF(IF($AE179&lt;=1200,IF(INDEX(对接源_01水果!$G$4:$G$1203,$AE179)=0,"",INDEX(对接源_01水果!$G$4:$G$1203,$AE179)),IF(INDEX(对接源_02物料!$G$4:$G$1203,$AE179-1200)=0,"",INDEX(对接源_02物料!$G$4:$G$1203,$AE179-1200)))="",IF($AE179&lt;=1200,IF(INDEX(对接源_01水果!$D$4:$D$1203,$AE179)=0,"",INDEX(对接源_01水果!$D$4:$D$1203,$AE179)),IF(INDEX(对接源_02物料!$D$4:$D$1203,$AE179-1200)=0,"",INDEX(对接源_02物料!$D$4:$D$1203,$AE179-1200))),IF($AE179&lt;=1200,IF(INDEX(对接源_01水果!$G$4:$G$1203,$AE179)=0,"",INDEX(对接源_01水果!$G$4:$G$1203,$AE179)),IF(INDEX(对接源_02物料!$G$4:$G$1203,$AE179-1200)=0,"",INDEX(对接源_02物料!$G$4:$G$1203,$AE179-1200)))))</f>
      </c>
      <c r="E179" s="173">
        <f>IF($AE179="","",IF($AE179&lt;=1200,IF(INDEX(对接源_01水果!$H$4:$H$1203,$AE179)=0,"",INDEX(对接源_01水果!$H$4:$H$1203,$AE179)),IF(INDEX(对接源_02物料!$H$4:$H$1203,$AE179-1200)=0,"",INDEX(对接源_02物料!$H$4:$H$1203,$AE179-1200))))</f>
      </c>
      <c r="F179" s="61">
        <f>IF($AE179="","",IF($AE179&lt;=1200,IF(INDEX(对接源_01水果!$I$4:$I$1203,$AE179)=0,"",INDEX(对接源_01水果!$I$4:$I$1203,$AE179)),IF(INDEX(对接源_02物料!$I$4:$I$1203,$AE179-1200)=0,"",INDEX(对接源_02物料!$I$4:$I$1203,$AE179-1200))))</f>
      </c>
      <c r="G179" s="173">
        <f>IF($AE179="","",IF(IF($AE179&lt;=1200,N(INDEX(对接源_01水果!$H$4:$H$1203,$AE179)),N(INDEX(对接源_02物料!$H$4:$H$1203,$AE179-1200)))=0,"",ROUND(IF($AE179&lt;=1200,N(INDEX(对接源_01水果!$K$4:$K$1203,$AE179)),N(INDEX(对接源_02物料!$K$4:$K$1203,$AE179-1200)))/IF($AE179&lt;=1200,N(INDEX(对接源_01水果!$H$4:$H$1203,$AE179)),N(INDEX(对接源_02物料!$H$4:$H$1203,$AE179-1200))),2)))</f>
      </c>
      <c r="H179" s="173">
        <f>IF($AE179="","",IF($AE179&lt;=1200,IF(INDEX(对接源_01水果!$K$4:$K$1203,$AE179)=0,"",INDEX(对接源_01水果!$K$4:$K$1203,$AE179)),IF(INDEX(对接源_02物料!$K$4:$K$1203,$AE179-1200)=0,"",INDEX(对接源_02物料!$K$4:$K$1203,$AE179-1200))))</f>
      </c>
      <c r="I179" s="61">
        <f>IF($AE179="","",IF($AE179&lt;=1200,IF(INDEX(对接源_01水果!$L$4:$L$1203,$AE179)=0,"",INDEX(对接源_01水果!$L$4:$L$1203,$AE179)),IF(INDEX(对接源_02物料!$L$4:$L$1203,$AE179-1200)=0,"",INDEX(对接源_02物料!$L$4:$L$1203,$AE179-1200))))</f>
      </c>
      <c r="J179" s="122">
        <f>IF($AE179="","",IF($AE179&lt;=1200,IF(INDEX(对接源_01水果!$M$4:$M$1203,$AE179)=0,"",INDEX(对接源_01水果!$M$4:$M$1203,$AE179)),IF(INDEX(对接源_02物料!$M$4:$M$1203,$AE179-1200)=0,"",INDEX(对接源_02物料!$M$4:$M$1203,$AE179-1200))))</f>
      </c>
      <c r="AE179" s="128">
        <f>IFERROR(MATCH(174,_自动清单!$AS$4:$AS$2403,0),"")</f>
      </c>
      <c r="AF179" s="128" t="n"/>
    </row>
    <row r="180" ht="18" customHeight="1" s="127">
      <c r="A180" s="163">
        <f>IF($AE180="","",IF($AE180&lt;=1200,IF(INDEX(对接源_01水果!$B$4:$B$1203,$AE180)=0,"",INDEX(对接源_01水果!$B$4:$B$1203,$AE180)),IF(INDEX(对接源_02物料!$B$4:$B$1203,$AE180-1200)=0,"",INDEX(对接源_02物料!$B$4:$B$1203,$AE180-1200))))</f>
      </c>
      <c r="B180" s="61">
        <f>IF($AE180="","",IF($AE180&lt;=1200,IF(INDEX(对接源_01水果!$E$4:$E$1203,$AE180)=0,"",INDEX(对接源_01水果!$E$4:$E$1203,$AE180)),IF(INDEX(对接源_02物料!$E$4:$E$1203,$AE180-1200)=0,"",INDEX(对接源_02物料!$E$4:$E$1203,$AE180-1200))))</f>
      </c>
      <c r="C180" s="122">
        <f>IF($AE180="","",IF($AE180&lt;=1200,IF(INDEX(对接源_01水果!$F$4:$F$1203,$AE180)=0,"",INDEX(对接源_01水果!$F$4:$F$1203,$AE180)),IF(INDEX(对接源_02物料!$F$4:$F$1203,$AE180-1200)=0,"",INDEX(对接源_02物料!$F$4:$F$1203,$AE180-1200))))</f>
      </c>
      <c r="D180" s="61">
        <f>IF($AE180="","",IF(IF($AE180&lt;=1200,IF(INDEX(对接源_01水果!$G$4:$G$1203,$AE180)=0,"",INDEX(对接源_01水果!$G$4:$G$1203,$AE180)),IF(INDEX(对接源_02物料!$G$4:$G$1203,$AE180-1200)=0,"",INDEX(对接源_02物料!$G$4:$G$1203,$AE180-1200)))="",IF($AE180&lt;=1200,IF(INDEX(对接源_01水果!$D$4:$D$1203,$AE180)=0,"",INDEX(对接源_01水果!$D$4:$D$1203,$AE180)),IF(INDEX(对接源_02物料!$D$4:$D$1203,$AE180-1200)=0,"",INDEX(对接源_02物料!$D$4:$D$1203,$AE180-1200))),IF($AE180&lt;=1200,IF(INDEX(对接源_01水果!$G$4:$G$1203,$AE180)=0,"",INDEX(对接源_01水果!$G$4:$G$1203,$AE180)),IF(INDEX(对接源_02物料!$G$4:$G$1203,$AE180-1200)=0,"",INDEX(对接源_02物料!$G$4:$G$1203,$AE180-1200)))))</f>
      </c>
      <c r="E180" s="173">
        <f>IF($AE180="","",IF($AE180&lt;=1200,IF(INDEX(对接源_01水果!$H$4:$H$1203,$AE180)=0,"",INDEX(对接源_01水果!$H$4:$H$1203,$AE180)),IF(INDEX(对接源_02物料!$H$4:$H$1203,$AE180-1200)=0,"",INDEX(对接源_02物料!$H$4:$H$1203,$AE180-1200))))</f>
      </c>
      <c r="F180" s="61">
        <f>IF($AE180="","",IF($AE180&lt;=1200,IF(INDEX(对接源_01水果!$I$4:$I$1203,$AE180)=0,"",INDEX(对接源_01水果!$I$4:$I$1203,$AE180)),IF(INDEX(对接源_02物料!$I$4:$I$1203,$AE180-1200)=0,"",INDEX(对接源_02物料!$I$4:$I$1203,$AE180-1200))))</f>
      </c>
      <c r="G180" s="173">
        <f>IF($AE180="","",IF(IF($AE180&lt;=1200,N(INDEX(对接源_01水果!$H$4:$H$1203,$AE180)),N(INDEX(对接源_02物料!$H$4:$H$1203,$AE180-1200)))=0,"",ROUND(IF($AE180&lt;=1200,N(INDEX(对接源_01水果!$K$4:$K$1203,$AE180)),N(INDEX(对接源_02物料!$K$4:$K$1203,$AE180-1200)))/IF($AE180&lt;=1200,N(INDEX(对接源_01水果!$H$4:$H$1203,$AE180)),N(INDEX(对接源_02物料!$H$4:$H$1203,$AE180-1200))),2)))</f>
      </c>
      <c r="H180" s="173">
        <f>IF($AE180="","",IF($AE180&lt;=1200,IF(INDEX(对接源_01水果!$K$4:$K$1203,$AE180)=0,"",INDEX(对接源_01水果!$K$4:$K$1203,$AE180)),IF(INDEX(对接源_02物料!$K$4:$K$1203,$AE180-1200)=0,"",INDEX(对接源_02物料!$K$4:$K$1203,$AE180-1200))))</f>
      </c>
      <c r="I180" s="61">
        <f>IF($AE180="","",IF($AE180&lt;=1200,IF(INDEX(对接源_01水果!$L$4:$L$1203,$AE180)=0,"",INDEX(对接源_01水果!$L$4:$L$1203,$AE180)),IF(INDEX(对接源_02物料!$L$4:$L$1203,$AE180-1200)=0,"",INDEX(对接源_02物料!$L$4:$L$1203,$AE180-1200))))</f>
      </c>
      <c r="J180" s="122">
        <f>IF($AE180="","",IF($AE180&lt;=1200,IF(INDEX(对接源_01水果!$M$4:$M$1203,$AE180)=0,"",INDEX(对接源_01水果!$M$4:$M$1203,$AE180)),IF(INDEX(对接源_02物料!$M$4:$M$1203,$AE180-1200)=0,"",INDEX(对接源_02物料!$M$4:$M$1203,$AE180-1200))))</f>
      </c>
      <c r="AE180" s="128">
        <f>IFERROR(MATCH(175,_自动清单!$AS$4:$AS$2403,0),"")</f>
      </c>
      <c r="AF180" s="128" t="n"/>
    </row>
    <row r="181" ht="18" customHeight="1" s="127">
      <c r="A181" s="163">
        <f>IF($AE181="","",IF($AE181&lt;=1200,IF(INDEX(对接源_01水果!$B$4:$B$1203,$AE181)=0,"",INDEX(对接源_01水果!$B$4:$B$1203,$AE181)),IF(INDEX(对接源_02物料!$B$4:$B$1203,$AE181-1200)=0,"",INDEX(对接源_02物料!$B$4:$B$1203,$AE181-1200))))</f>
      </c>
      <c r="B181" s="61">
        <f>IF($AE181="","",IF($AE181&lt;=1200,IF(INDEX(对接源_01水果!$E$4:$E$1203,$AE181)=0,"",INDEX(对接源_01水果!$E$4:$E$1203,$AE181)),IF(INDEX(对接源_02物料!$E$4:$E$1203,$AE181-1200)=0,"",INDEX(对接源_02物料!$E$4:$E$1203,$AE181-1200))))</f>
      </c>
      <c r="C181" s="122">
        <f>IF($AE181="","",IF($AE181&lt;=1200,IF(INDEX(对接源_01水果!$F$4:$F$1203,$AE181)=0,"",INDEX(对接源_01水果!$F$4:$F$1203,$AE181)),IF(INDEX(对接源_02物料!$F$4:$F$1203,$AE181-1200)=0,"",INDEX(对接源_02物料!$F$4:$F$1203,$AE181-1200))))</f>
      </c>
      <c r="D181" s="61">
        <f>IF($AE181="","",IF(IF($AE181&lt;=1200,IF(INDEX(对接源_01水果!$G$4:$G$1203,$AE181)=0,"",INDEX(对接源_01水果!$G$4:$G$1203,$AE181)),IF(INDEX(对接源_02物料!$G$4:$G$1203,$AE181-1200)=0,"",INDEX(对接源_02物料!$G$4:$G$1203,$AE181-1200)))="",IF($AE181&lt;=1200,IF(INDEX(对接源_01水果!$D$4:$D$1203,$AE181)=0,"",INDEX(对接源_01水果!$D$4:$D$1203,$AE181)),IF(INDEX(对接源_02物料!$D$4:$D$1203,$AE181-1200)=0,"",INDEX(对接源_02物料!$D$4:$D$1203,$AE181-1200))),IF($AE181&lt;=1200,IF(INDEX(对接源_01水果!$G$4:$G$1203,$AE181)=0,"",INDEX(对接源_01水果!$G$4:$G$1203,$AE181)),IF(INDEX(对接源_02物料!$G$4:$G$1203,$AE181-1200)=0,"",INDEX(对接源_02物料!$G$4:$G$1203,$AE181-1200)))))</f>
      </c>
      <c r="E181" s="173">
        <f>IF($AE181="","",IF($AE181&lt;=1200,IF(INDEX(对接源_01水果!$H$4:$H$1203,$AE181)=0,"",INDEX(对接源_01水果!$H$4:$H$1203,$AE181)),IF(INDEX(对接源_02物料!$H$4:$H$1203,$AE181-1200)=0,"",INDEX(对接源_02物料!$H$4:$H$1203,$AE181-1200))))</f>
      </c>
      <c r="F181" s="61">
        <f>IF($AE181="","",IF($AE181&lt;=1200,IF(INDEX(对接源_01水果!$I$4:$I$1203,$AE181)=0,"",INDEX(对接源_01水果!$I$4:$I$1203,$AE181)),IF(INDEX(对接源_02物料!$I$4:$I$1203,$AE181-1200)=0,"",INDEX(对接源_02物料!$I$4:$I$1203,$AE181-1200))))</f>
      </c>
      <c r="G181" s="173">
        <f>IF($AE181="","",IF(IF($AE181&lt;=1200,N(INDEX(对接源_01水果!$H$4:$H$1203,$AE181)),N(INDEX(对接源_02物料!$H$4:$H$1203,$AE181-1200)))=0,"",ROUND(IF($AE181&lt;=1200,N(INDEX(对接源_01水果!$K$4:$K$1203,$AE181)),N(INDEX(对接源_02物料!$K$4:$K$1203,$AE181-1200)))/IF($AE181&lt;=1200,N(INDEX(对接源_01水果!$H$4:$H$1203,$AE181)),N(INDEX(对接源_02物料!$H$4:$H$1203,$AE181-1200))),2)))</f>
      </c>
      <c r="H181" s="173">
        <f>IF($AE181="","",IF($AE181&lt;=1200,IF(INDEX(对接源_01水果!$K$4:$K$1203,$AE181)=0,"",INDEX(对接源_01水果!$K$4:$K$1203,$AE181)),IF(INDEX(对接源_02物料!$K$4:$K$1203,$AE181-1200)=0,"",INDEX(对接源_02物料!$K$4:$K$1203,$AE181-1200))))</f>
      </c>
      <c r="I181" s="61">
        <f>IF($AE181="","",IF($AE181&lt;=1200,IF(INDEX(对接源_01水果!$L$4:$L$1203,$AE181)=0,"",INDEX(对接源_01水果!$L$4:$L$1203,$AE181)),IF(INDEX(对接源_02物料!$L$4:$L$1203,$AE181-1200)=0,"",INDEX(对接源_02物料!$L$4:$L$1203,$AE181-1200))))</f>
      </c>
      <c r="J181" s="122">
        <f>IF($AE181="","",IF($AE181&lt;=1200,IF(INDEX(对接源_01水果!$M$4:$M$1203,$AE181)=0,"",INDEX(对接源_01水果!$M$4:$M$1203,$AE181)),IF(INDEX(对接源_02物料!$M$4:$M$1203,$AE181-1200)=0,"",INDEX(对接源_02物料!$M$4:$M$1203,$AE181-1200))))</f>
      </c>
      <c r="AE181" s="128">
        <f>IFERROR(MATCH(176,_自动清单!$AS$4:$AS$2403,0),"")</f>
      </c>
      <c r="AF181" s="128" t="n"/>
    </row>
    <row r="182" ht="18" customHeight="1" s="127">
      <c r="A182" s="163">
        <f>IF($AE182="","",IF($AE182&lt;=1200,IF(INDEX(对接源_01水果!$B$4:$B$1203,$AE182)=0,"",INDEX(对接源_01水果!$B$4:$B$1203,$AE182)),IF(INDEX(对接源_02物料!$B$4:$B$1203,$AE182-1200)=0,"",INDEX(对接源_02物料!$B$4:$B$1203,$AE182-1200))))</f>
      </c>
      <c r="B182" s="61">
        <f>IF($AE182="","",IF($AE182&lt;=1200,IF(INDEX(对接源_01水果!$E$4:$E$1203,$AE182)=0,"",INDEX(对接源_01水果!$E$4:$E$1203,$AE182)),IF(INDEX(对接源_02物料!$E$4:$E$1203,$AE182-1200)=0,"",INDEX(对接源_02物料!$E$4:$E$1203,$AE182-1200))))</f>
      </c>
      <c r="C182" s="122">
        <f>IF($AE182="","",IF($AE182&lt;=1200,IF(INDEX(对接源_01水果!$F$4:$F$1203,$AE182)=0,"",INDEX(对接源_01水果!$F$4:$F$1203,$AE182)),IF(INDEX(对接源_02物料!$F$4:$F$1203,$AE182-1200)=0,"",INDEX(对接源_02物料!$F$4:$F$1203,$AE182-1200))))</f>
      </c>
      <c r="D182" s="61">
        <f>IF($AE182="","",IF(IF($AE182&lt;=1200,IF(INDEX(对接源_01水果!$G$4:$G$1203,$AE182)=0,"",INDEX(对接源_01水果!$G$4:$G$1203,$AE182)),IF(INDEX(对接源_02物料!$G$4:$G$1203,$AE182-1200)=0,"",INDEX(对接源_02物料!$G$4:$G$1203,$AE182-1200)))="",IF($AE182&lt;=1200,IF(INDEX(对接源_01水果!$D$4:$D$1203,$AE182)=0,"",INDEX(对接源_01水果!$D$4:$D$1203,$AE182)),IF(INDEX(对接源_02物料!$D$4:$D$1203,$AE182-1200)=0,"",INDEX(对接源_02物料!$D$4:$D$1203,$AE182-1200))),IF($AE182&lt;=1200,IF(INDEX(对接源_01水果!$G$4:$G$1203,$AE182)=0,"",INDEX(对接源_01水果!$G$4:$G$1203,$AE182)),IF(INDEX(对接源_02物料!$G$4:$G$1203,$AE182-1200)=0,"",INDEX(对接源_02物料!$G$4:$G$1203,$AE182-1200)))))</f>
      </c>
      <c r="E182" s="173">
        <f>IF($AE182="","",IF($AE182&lt;=1200,IF(INDEX(对接源_01水果!$H$4:$H$1203,$AE182)=0,"",INDEX(对接源_01水果!$H$4:$H$1203,$AE182)),IF(INDEX(对接源_02物料!$H$4:$H$1203,$AE182-1200)=0,"",INDEX(对接源_02物料!$H$4:$H$1203,$AE182-1200))))</f>
      </c>
      <c r="F182" s="61">
        <f>IF($AE182="","",IF($AE182&lt;=1200,IF(INDEX(对接源_01水果!$I$4:$I$1203,$AE182)=0,"",INDEX(对接源_01水果!$I$4:$I$1203,$AE182)),IF(INDEX(对接源_02物料!$I$4:$I$1203,$AE182-1200)=0,"",INDEX(对接源_02物料!$I$4:$I$1203,$AE182-1200))))</f>
      </c>
      <c r="G182" s="173">
        <f>IF($AE182="","",IF(IF($AE182&lt;=1200,N(INDEX(对接源_01水果!$H$4:$H$1203,$AE182)),N(INDEX(对接源_02物料!$H$4:$H$1203,$AE182-1200)))=0,"",ROUND(IF($AE182&lt;=1200,N(INDEX(对接源_01水果!$K$4:$K$1203,$AE182)),N(INDEX(对接源_02物料!$K$4:$K$1203,$AE182-1200)))/IF($AE182&lt;=1200,N(INDEX(对接源_01水果!$H$4:$H$1203,$AE182)),N(INDEX(对接源_02物料!$H$4:$H$1203,$AE182-1200))),2)))</f>
      </c>
      <c r="H182" s="173">
        <f>IF($AE182="","",IF($AE182&lt;=1200,IF(INDEX(对接源_01水果!$K$4:$K$1203,$AE182)=0,"",INDEX(对接源_01水果!$K$4:$K$1203,$AE182)),IF(INDEX(对接源_02物料!$K$4:$K$1203,$AE182-1200)=0,"",INDEX(对接源_02物料!$K$4:$K$1203,$AE182-1200))))</f>
      </c>
      <c r="I182" s="61">
        <f>IF($AE182="","",IF($AE182&lt;=1200,IF(INDEX(对接源_01水果!$L$4:$L$1203,$AE182)=0,"",INDEX(对接源_01水果!$L$4:$L$1203,$AE182)),IF(INDEX(对接源_02物料!$L$4:$L$1203,$AE182-1200)=0,"",INDEX(对接源_02物料!$L$4:$L$1203,$AE182-1200))))</f>
      </c>
      <c r="J182" s="122">
        <f>IF($AE182="","",IF($AE182&lt;=1200,IF(INDEX(对接源_01水果!$M$4:$M$1203,$AE182)=0,"",INDEX(对接源_01水果!$M$4:$M$1203,$AE182)),IF(INDEX(对接源_02物料!$M$4:$M$1203,$AE182-1200)=0,"",INDEX(对接源_02物料!$M$4:$M$1203,$AE182-1200))))</f>
      </c>
      <c r="AE182" s="128">
        <f>IFERROR(MATCH(177,_自动清单!$AS$4:$AS$2403,0),"")</f>
      </c>
      <c r="AF182" s="128" t="n"/>
    </row>
    <row r="183" ht="18" customHeight="1" s="127">
      <c r="A183" s="163">
        <f>IF($AE183="","",IF($AE183&lt;=1200,IF(INDEX(对接源_01水果!$B$4:$B$1203,$AE183)=0,"",INDEX(对接源_01水果!$B$4:$B$1203,$AE183)),IF(INDEX(对接源_02物料!$B$4:$B$1203,$AE183-1200)=0,"",INDEX(对接源_02物料!$B$4:$B$1203,$AE183-1200))))</f>
      </c>
      <c r="B183" s="61">
        <f>IF($AE183="","",IF($AE183&lt;=1200,IF(INDEX(对接源_01水果!$E$4:$E$1203,$AE183)=0,"",INDEX(对接源_01水果!$E$4:$E$1203,$AE183)),IF(INDEX(对接源_02物料!$E$4:$E$1203,$AE183-1200)=0,"",INDEX(对接源_02物料!$E$4:$E$1203,$AE183-1200))))</f>
      </c>
      <c r="C183" s="122">
        <f>IF($AE183="","",IF($AE183&lt;=1200,IF(INDEX(对接源_01水果!$F$4:$F$1203,$AE183)=0,"",INDEX(对接源_01水果!$F$4:$F$1203,$AE183)),IF(INDEX(对接源_02物料!$F$4:$F$1203,$AE183-1200)=0,"",INDEX(对接源_02物料!$F$4:$F$1203,$AE183-1200))))</f>
      </c>
      <c r="D183" s="61">
        <f>IF($AE183="","",IF(IF($AE183&lt;=1200,IF(INDEX(对接源_01水果!$G$4:$G$1203,$AE183)=0,"",INDEX(对接源_01水果!$G$4:$G$1203,$AE183)),IF(INDEX(对接源_02物料!$G$4:$G$1203,$AE183-1200)=0,"",INDEX(对接源_02物料!$G$4:$G$1203,$AE183-1200)))="",IF($AE183&lt;=1200,IF(INDEX(对接源_01水果!$D$4:$D$1203,$AE183)=0,"",INDEX(对接源_01水果!$D$4:$D$1203,$AE183)),IF(INDEX(对接源_02物料!$D$4:$D$1203,$AE183-1200)=0,"",INDEX(对接源_02物料!$D$4:$D$1203,$AE183-1200))),IF($AE183&lt;=1200,IF(INDEX(对接源_01水果!$G$4:$G$1203,$AE183)=0,"",INDEX(对接源_01水果!$G$4:$G$1203,$AE183)),IF(INDEX(对接源_02物料!$G$4:$G$1203,$AE183-1200)=0,"",INDEX(对接源_02物料!$G$4:$G$1203,$AE183-1200)))))</f>
      </c>
      <c r="E183" s="173">
        <f>IF($AE183="","",IF($AE183&lt;=1200,IF(INDEX(对接源_01水果!$H$4:$H$1203,$AE183)=0,"",INDEX(对接源_01水果!$H$4:$H$1203,$AE183)),IF(INDEX(对接源_02物料!$H$4:$H$1203,$AE183-1200)=0,"",INDEX(对接源_02物料!$H$4:$H$1203,$AE183-1200))))</f>
      </c>
      <c r="F183" s="61">
        <f>IF($AE183="","",IF($AE183&lt;=1200,IF(INDEX(对接源_01水果!$I$4:$I$1203,$AE183)=0,"",INDEX(对接源_01水果!$I$4:$I$1203,$AE183)),IF(INDEX(对接源_02物料!$I$4:$I$1203,$AE183-1200)=0,"",INDEX(对接源_02物料!$I$4:$I$1203,$AE183-1200))))</f>
      </c>
      <c r="G183" s="173">
        <f>IF($AE183="","",IF(IF($AE183&lt;=1200,N(INDEX(对接源_01水果!$H$4:$H$1203,$AE183)),N(INDEX(对接源_02物料!$H$4:$H$1203,$AE183-1200)))=0,"",ROUND(IF($AE183&lt;=1200,N(INDEX(对接源_01水果!$K$4:$K$1203,$AE183)),N(INDEX(对接源_02物料!$K$4:$K$1203,$AE183-1200)))/IF($AE183&lt;=1200,N(INDEX(对接源_01水果!$H$4:$H$1203,$AE183)),N(INDEX(对接源_02物料!$H$4:$H$1203,$AE183-1200))),2)))</f>
      </c>
      <c r="H183" s="173">
        <f>IF($AE183="","",IF($AE183&lt;=1200,IF(INDEX(对接源_01水果!$K$4:$K$1203,$AE183)=0,"",INDEX(对接源_01水果!$K$4:$K$1203,$AE183)),IF(INDEX(对接源_02物料!$K$4:$K$1203,$AE183-1200)=0,"",INDEX(对接源_02物料!$K$4:$K$1203,$AE183-1200))))</f>
      </c>
      <c r="I183" s="61">
        <f>IF($AE183="","",IF($AE183&lt;=1200,IF(INDEX(对接源_01水果!$L$4:$L$1203,$AE183)=0,"",INDEX(对接源_01水果!$L$4:$L$1203,$AE183)),IF(INDEX(对接源_02物料!$L$4:$L$1203,$AE183-1200)=0,"",INDEX(对接源_02物料!$L$4:$L$1203,$AE183-1200))))</f>
      </c>
      <c r="J183" s="122">
        <f>IF($AE183="","",IF($AE183&lt;=1200,IF(INDEX(对接源_01水果!$M$4:$M$1203,$AE183)=0,"",INDEX(对接源_01水果!$M$4:$M$1203,$AE183)),IF(INDEX(对接源_02物料!$M$4:$M$1203,$AE183-1200)=0,"",INDEX(对接源_02物料!$M$4:$M$1203,$AE183-1200))))</f>
      </c>
      <c r="AE183" s="128">
        <f>IFERROR(MATCH(178,_自动清单!$AS$4:$AS$2403,0),"")</f>
      </c>
      <c r="AF183" s="128" t="n"/>
    </row>
    <row r="184" ht="18" customHeight="1" s="127">
      <c r="A184" s="163">
        <f>IF($AE184="","",IF($AE184&lt;=1200,IF(INDEX(对接源_01水果!$B$4:$B$1203,$AE184)=0,"",INDEX(对接源_01水果!$B$4:$B$1203,$AE184)),IF(INDEX(对接源_02物料!$B$4:$B$1203,$AE184-1200)=0,"",INDEX(对接源_02物料!$B$4:$B$1203,$AE184-1200))))</f>
      </c>
      <c r="B184" s="61">
        <f>IF($AE184="","",IF($AE184&lt;=1200,IF(INDEX(对接源_01水果!$E$4:$E$1203,$AE184)=0,"",INDEX(对接源_01水果!$E$4:$E$1203,$AE184)),IF(INDEX(对接源_02物料!$E$4:$E$1203,$AE184-1200)=0,"",INDEX(对接源_02物料!$E$4:$E$1203,$AE184-1200))))</f>
      </c>
      <c r="C184" s="122">
        <f>IF($AE184="","",IF($AE184&lt;=1200,IF(INDEX(对接源_01水果!$F$4:$F$1203,$AE184)=0,"",INDEX(对接源_01水果!$F$4:$F$1203,$AE184)),IF(INDEX(对接源_02物料!$F$4:$F$1203,$AE184-1200)=0,"",INDEX(对接源_02物料!$F$4:$F$1203,$AE184-1200))))</f>
      </c>
      <c r="D184" s="61">
        <f>IF($AE184="","",IF(IF($AE184&lt;=1200,IF(INDEX(对接源_01水果!$G$4:$G$1203,$AE184)=0,"",INDEX(对接源_01水果!$G$4:$G$1203,$AE184)),IF(INDEX(对接源_02物料!$G$4:$G$1203,$AE184-1200)=0,"",INDEX(对接源_02物料!$G$4:$G$1203,$AE184-1200)))="",IF($AE184&lt;=1200,IF(INDEX(对接源_01水果!$D$4:$D$1203,$AE184)=0,"",INDEX(对接源_01水果!$D$4:$D$1203,$AE184)),IF(INDEX(对接源_02物料!$D$4:$D$1203,$AE184-1200)=0,"",INDEX(对接源_02物料!$D$4:$D$1203,$AE184-1200))),IF($AE184&lt;=1200,IF(INDEX(对接源_01水果!$G$4:$G$1203,$AE184)=0,"",INDEX(对接源_01水果!$G$4:$G$1203,$AE184)),IF(INDEX(对接源_02物料!$G$4:$G$1203,$AE184-1200)=0,"",INDEX(对接源_02物料!$G$4:$G$1203,$AE184-1200)))))</f>
      </c>
      <c r="E184" s="173">
        <f>IF($AE184="","",IF($AE184&lt;=1200,IF(INDEX(对接源_01水果!$H$4:$H$1203,$AE184)=0,"",INDEX(对接源_01水果!$H$4:$H$1203,$AE184)),IF(INDEX(对接源_02物料!$H$4:$H$1203,$AE184-1200)=0,"",INDEX(对接源_02物料!$H$4:$H$1203,$AE184-1200))))</f>
      </c>
      <c r="F184" s="61">
        <f>IF($AE184="","",IF($AE184&lt;=1200,IF(INDEX(对接源_01水果!$I$4:$I$1203,$AE184)=0,"",INDEX(对接源_01水果!$I$4:$I$1203,$AE184)),IF(INDEX(对接源_02物料!$I$4:$I$1203,$AE184-1200)=0,"",INDEX(对接源_02物料!$I$4:$I$1203,$AE184-1200))))</f>
      </c>
      <c r="G184" s="173">
        <f>IF($AE184="","",IF(IF($AE184&lt;=1200,N(INDEX(对接源_01水果!$H$4:$H$1203,$AE184)),N(INDEX(对接源_02物料!$H$4:$H$1203,$AE184-1200)))=0,"",ROUND(IF($AE184&lt;=1200,N(INDEX(对接源_01水果!$K$4:$K$1203,$AE184)),N(INDEX(对接源_02物料!$K$4:$K$1203,$AE184-1200)))/IF($AE184&lt;=1200,N(INDEX(对接源_01水果!$H$4:$H$1203,$AE184)),N(INDEX(对接源_02物料!$H$4:$H$1203,$AE184-1200))),2)))</f>
      </c>
      <c r="H184" s="173">
        <f>IF($AE184="","",IF($AE184&lt;=1200,IF(INDEX(对接源_01水果!$K$4:$K$1203,$AE184)=0,"",INDEX(对接源_01水果!$K$4:$K$1203,$AE184)),IF(INDEX(对接源_02物料!$K$4:$K$1203,$AE184-1200)=0,"",INDEX(对接源_02物料!$K$4:$K$1203,$AE184-1200))))</f>
      </c>
      <c r="I184" s="61">
        <f>IF($AE184="","",IF($AE184&lt;=1200,IF(INDEX(对接源_01水果!$L$4:$L$1203,$AE184)=0,"",INDEX(对接源_01水果!$L$4:$L$1203,$AE184)),IF(INDEX(对接源_02物料!$L$4:$L$1203,$AE184-1200)=0,"",INDEX(对接源_02物料!$L$4:$L$1203,$AE184-1200))))</f>
      </c>
      <c r="J184" s="122">
        <f>IF($AE184="","",IF($AE184&lt;=1200,IF(INDEX(对接源_01水果!$M$4:$M$1203,$AE184)=0,"",INDEX(对接源_01水果!$M$4:$M$1203,$AE184)),IF(INDEX(对接源_02物料!$M$4:$M$1203,$AE184-1200)=0,"",INDEX(对接源_02物料!$M$4:$M$1203,$AE184-1200))))</f>
      </c>
      <c r="AE184" s="128">
        <f>IFERROR(MATCH(179,_自动清单!$AS$4:$AS$2403,0),"")</f>
      </c>
      <c r="AF184" s="128" t="n"/>
    </row>
    <row r="185" ht="18" customHeight="1" s="127">
      <c r="A185" s="163">
        <f>IF($AE185="","",IF($AE185&lt;=1200,IF(INDEX(对接源_01水果!$B$4:$B$1203,$AE185)=0,"",INDEX(对接源_01水果!$B$4:$B$1203,$AE185)),IF(INDEX(对接源_02物料!$B$4:$B$1203,$AE185-1200)=0,"",INDEX(对接源_02物料!$B$4:$B$1203,$AE185-1200))))</f>
      </c>
      <c r="B185" s="61">
        <f>IF($AE185="","",IF($AE185&lt;=1200,IF(INDEX(对接源_01水果!$E$4:$E$1203,$AE185)=0,"",INDEX(对接源_01水果!$E$4:$E$1203,$AE185)),IF(INDEX(对接源_02物料!$E$4:$E$1203,$AE185-1200)=0,"",INDEX(对接源_02物料!$E$4:$E$1203,$AE185-1200))))</f>
      </c>
      <c r="C185" s="122">
        <f>IF($AE185="","",IF($AE185&lt;=1200,IF(INDEX(对接源_01水果!$F$4:$F$1203,$AE185)=0,"",INDEX(对接源_01水果!$F$4:$F$1203,$AE185)),IF(INDEX(对接源_02物料!$F$4:$F$1203,$AE185-1200)=0,"",INDEX(对接源_02物料!$F$4:$F$1203,$AE185-1200))))</f>
      </c>
      <c r="D185" s="61">
        <f>IF($AE185="","",IF(IF($AE185&lt;=1200,IF(INDEX(对接源_01水果!$G$4:$G$1203,$AE185)=0,"",INDEX(对接源_01水果!$G$4:$G$1203,$AE185)),IF(INDEX(对接源_02物料!$G$4:$G$1203,$AE185-1200)=0,"",INDEX(对接源_02物料!$G$4:$G$1203,$AE185-1200)))="",IF($AE185&lt;=1200,IF(INDEX(对接源_01水果!$D$4:$D$1203,$AE185)=0,"",INDEX(对接源_01水果!$D$4:$D$1203,$AE185)),IF(INDEX(对接源_02物料!$D$4:$D$1203,$AE185-1200)=0,"",INDEX(对接源_02物料!$D$4:$D$1203,$AE185-1200))),IF($AE185&lt;=1200,IF(INDEX(对接源_01水果!$G$4:$G$1203,$AE185)=0,"",INDEX(对接源_01水果!$G$4:$G$1203,$AE185)),IF(INDEX(对接源_02物料!$G$4:$G$1203,$AE185-1200)=0,"",INDEX(对接源_02物料!$G$4:$G$1203,$AE185-1200)))))</f>
      </c>
      <c r="E185" s="173">
        <f>IF($AE185="","",IF($AE185&lt;=1200,IF(INDEX(对接源_01水果!$H$4:$H$1203,$AE185)=0,"",INDEX(对接源_01水果!$H$4:$H$1203,$AE185)),IF(INDEX(对接源_02物料!$H$4:$H$1203,$AE185-1200)=0,"",INDEX(对接源_02物料!$H$4:$H$1203,$AE185-1200))))</f>
      </c>
      <c r="F185" s="61">
        <f>IF($AE185="","",IF($AE185&lt;=1200,IF(INDEX(对接源_01水果!$I$4:$I$1203,$AE185)=0,"",INDEX(对接源_01水果!$I$4:$I$1203,$AE185)),IF(INDEX(对接源_02物料!$I$4:$I$1203,$AE185-1200)=0,"",INDEX(对接源_02物料!$I$4:$I$1203,$AE185-1200))))</f>
      </c>
      <c r="G185" s="173">
        <f>IF($AE185="","",IF(IF($AE185&lt;=1200,N(INDEX(对接源_01水果!$H$4:$H$1203,$AE185)),N(INDEX(对接源_02物料!$H$4:$H$1203,$AE185-1200)))=0,"",ROUND(IF($AE185&lt;=1200,N(INDEX(对接源_01水果!$K$4:$K$1203,$AE185)),N(INDEX(对接源_02物料!$K$4:$K$1203,$AE185-1200)))/IF($AE185&lt;=1200,N(INDEX(对接源_01水果!$H$4:$H$1203,$AE185)),N(INDEX(对接源_02物料!$H$4:$H$1203,$AE185-1200))),2)))</f>
      </c>
      <c r="H185" s="173">
        <f>IF($AE185="","",IF($AE185&lt;=1200,IF(INDEX(对接源_01水果!$K$4:$K$1203,$AE185)=0,"",INDEX(对接源_01水果!$K$4:$K$1203,$AE185)),IF(INDEX(对接源_02物料!$K$4:$K$1203,$AE185-1200)=0,"",INDEX(对接源_02物料!$K$4:$K$1203,$AE185-1200))))</f>
      </c>
      <c r="I185" s="61">
        <f>IF($AE185="","",IF($AE185&lt;=1200,IF(INDEX(对接源_01水果!$L$4:$L$1203,$AE185)=0,"",INDEX(对接源_01水果!$L$4:$L$1203,$AE185)),IF(INDEX(对接源_02物料!$L$4:$L$1203,$AE185-1200)=0,"",INDEX(对接源_02物料!$L$4:$L$1203,$AE185-1200))))</f>
      </c>
      <c r="J185" s="122">
        <f>IF($AE185="","",IF($AE185&lt;=1200,IF(INDEX(对接源_01水果!$M$4:$M$1203,$AE185)=0,"",INDEX(对接源_01水果!$M$4:$M$1203,$AE185)),IF(INDEX(对接源_02物料!$M$4:$M$1203,$AE185-1200)=0,"",INDEX(对接源_02物料!$M$4:$M$1203,$AE185-1200))))</f>
      </c>
      <c r="AE185" s="128">
        <f>IFERROR(MATCH(180,_自动清单!$AS$4:$AS$2403,0),"")</f>
      </c>
      <c r="AF185" s="128" t="n"/>
    </row>
    <row r="186" ht="18" customHeight="1" s="127">
      <c r="A186" s="163">
        <f>IF($AE186="","",IF($AE186&lt;=1200,IF(INDEX(对接源_01水果!$B$4:$B$1203,$AE186)=0,"",INDEX(对接源_01水果!$B$4:$B$1203,$AE186)),IF(INDEX(对接源_02物料!$B$4:$B$1203,$AE186-1200)=0,"",INDEX(对接源_02物料!$B$4:$B$1203,$AE186-1200))))</f>
      </c>
      <c r="B186" s="61">
        <f>IF($AE186="","",IF($AE186&lt;=1200,IF(INDEX(对接源_01水果!$E$4:$E$1203,$AE186)=0,"",INDEX(对接源_01水果!$E$4:$E$1203,$AE186)),IF(INDEX(对接源_02物料!$E$4:$E$1203,$AE186-1200)=0,"",INDEX(对接源_02物料!$E$4:$E$1203,$AE186-1200))))</f>
      </c>
      <c r="C186" s="122">
        <f>IF($AE186="","",IF($AE186&lt;=1200,IF(INDEX(对接源_01水果!$F$4:$F$1203,$AE186)=0,"",INDEX(对接源_01水果!$F$4:$F$1203,$AE186)),IF(INDEX(对接源_02物料!$F$4:$F$1203,$AE186-1200)=0,"",INDEX(对接源_02物料!$F$4:$F$1203,$AE186-1200))))</f>
      </c>
      <c r="D186" s="61">
        <f>IF($AE186="","",IF(IF($AE186&lt;=1200,IF(INDEX(对接源_01水果!$G$4:$G$1203,$AE186)=0,"",INDEX(对接源_01水果!$G$4:$G$1203,$AE186)),IF(INDEX(对接源_02物料!$G$4:$G$1203,$AE186-1200)=0,"",INDEX(对接源_02物料!$G$4:$G$1203,$AE186-1200)))="",IF($AE186&lt;=1200,IF(INDEX(对接源_01水果!$D$4:$D$1203,$AE186)=0,"",INDEX(对接源_01水果!$D$4:$D$1203,$AE186)),IF(INDEX(对接源_02物料!$D$4:$D$1203,$AE186-1200)=0,"",INDEX(对接源_02物料!$D$4:$D$1203,$AE186-1200))),IF($AE186&lt;=1200,IF(INDEX(对接源_01水果!$G$4:$G$1203,$AE186)=0,"",INDEX(对接源_01水果!$G$4:$G$1203,$AE186)),IF(INDEX(对接源_02物料!$G$4:$G$1203,$AE186-1200)=0,"",INDEX(对接源_02物料!$G$4:$G$1203,$AE186-1200)))))</f>
      </c>
      <c r="E186" s="173">
        <f>IF($AE186="","",IF($AE186&lt;=1200,IF(INDEX(对接源_01水果!$H$4:$H$1203,$AE186)=0,"",INDEX(对接源_01水果!$H$4:$H$1203,$AE186)),IF(INDEX(对接源_02物料!$H$4:$H$1203,$AE186-1200)=0,"",INDEX(对接源_02物料!$H$4:$H$1203,$AE186-1200))))</f>
      </c>
      <c r="F186" s="61">
        <f>IF($AE186="","",IF($AE186&lt;=1200,IF(INDEX(对接源_01水果!$I$4:$I$1203,$AE186)=0,"",INDEX(对接源_01水果!$I$4:$I$1203,$AE186)),IF(INDEX(对接源_02物料!$I$4:$I$1203,$AE186-1200)=0,"",INDEX(对接源_02物料!$I$4:$I$1203,$AE186-1200))))</f>
      </c>
      <c r="G186" s="173">
        <f>IF($AE186="","",IF(IF($AE186&lt;=1200,N(INDEX(对接源_01水果!$H$4:$H$1203,$AE186)),N(INDEX(对接源_02物料!$H$4:$H$1203,$AE186-1200)))=0,"",ROUND(IF($AE186&lt;=1200,N(INDEX(对接源_01水果!$K$4:$K$1203,$AE186)),N(INDEX(对接源_02物料!$K$4:$K$1203,$AE186-1200)))/IF($AE186&lt;=1200,N(INDEX(对接源_01水果!$H$4:$H$1203,$AE186)),N(INDEX(对接源_02物料!$H$4:$H$1203,$AE186-1200))),2)))</f>
      </c>
      <c r="H186" s="173">
        <f>IF($AE186="","",IF($AE186&lt;=1200,IF(INDEX(对接源_01水果!$K$4:$K$1203,$AE186)=0,"",INDEX(对接源_01水果!$K$4:$K$1203,$AE186)),IF(INDEX(对接源_02物料!$K$4:$K$1203,$AE186-1200)=0,"",INDEX(对接源_02物料!$K$4:$K$1203,$AE186-1200))))</f>
      </c>
      <c r="I186" s="61">
        <f>IF($AE186="","",IF($AE186&lt;=1200,IF(INDEX(对接源_01水果!$L$4:$L$1203,$AE186)=0,"",INDEX(对接源_01水果!$L$4:$L$1203,$AE186)),IF(INDEX(对接源_02物料!$L$4:$L$1203,$AE186-1200)=0,"",INDEX(对接源_02物料!$L$4:$L$1203,$AE186-1200))))</f>
      </c>
      <c r="J186" s="122">
        <f>IF($AE186="","",IF($AE186&lt;=1200,IF(INDEX(对接源_01水果!$M$4:$M$1203,$AE186)=0,"",INDEX(对接源_01水果!$M$4:$M$1203,$AE186)),IF(INDEX(对接源_02物料!$M$4:$M$1203,$AE186-1200)=0,"",INDEX(对接源_02物料!$M$4:$M$1203,$AE186-1200))))</f>
      </c>
      <c r="AE186" s="128">
        <f>IFERROR(MATCH(181,_自动清单!$AS$4:$AS$2403,0),"")</f>
      </c>
      <c r="AF186" s="128" t="n"/>
    </row>
    <row r="187" ht="18" customHeight="1" s="127">
      <c r="A187" s="163">
        <f>IF($AE187="","",IF($AE187&lt;=1200,IF(INDEX(对接源_01水果!$B$4:$B$1203,$AE187)=0,"",INDEX(对接源_01水果!$B$4:$B$1203,$AE187)),IF(INDEX(对接源_02物料!$B$4:$B$1203,$AE187-1200)=0,"",INDEX(对接源_02物料!$B$4:$B$1203,$AE187-1200))))</f>
      </c>
      <c r="B187" s="61">
        <f>IF($AE187="","",IF($AE187&lt;=1200,IF(INDEX(对接源_01水果!$E$4:$E$1203,$AE187)=0,"",INDEX(对接源_01水果!$E$4:$E$1203,$AE187)),IF(INDEX(对接源_02物料!$E$4:$E$1203,$AE187-1200)=0,"",INDEX(对接源_02物料!$E$4:$E$1203,$AE187-1200))))</f>
      </c>
      <c r="C187" s="122">
        <f>IF($AE187="","",IF($AE187&lt;=1200,IF(INDEX(对接源_01水果!$F$4:$F$1203,$AE187)=0,"",INDEX(对接源_01水果!$F$4:$F$1203,$AE187)),IF(INDEX(对接源_02物料!$F$4:$F$1203,$AE187-1200)=0,"",INDEX(对接源_02物料!$F$4:$F$1203,$AE187-1200))))</f>
      </c>
      <c r="D187" s="61">
        <f>IF($AE187="","",IF(IF($AE187&lt;=1200,IF(INDEX(对接源_01水果!$G$4:$G$1203,$AE187)=0,"",INDEX(对接源_01水果!$G$4:$G$1203,$AE187)),IF(INDEX(对接源_02物料!$G$4:$G$1203,$AE187-1200)=0,"",INDEX(对接源_02物料!$G$4:$G$1203,$AE187-1200)))="",IF($AE187&lt;=1200,IF(INDEX(对接源_01水果!$D$4:$D$1203,$AE187)=0,"",INDEX(对接源_01水果!$D$4:$D$1203,$AE187)),IF(INDEX(对接源_02物料!$D$4:$D$1203,$AE187-1200)=0,"",INDEX(对接源_02物料!$D$4:$D$1203,$AE187-1200))),IF($AE187&lt;=1200,IF(INDEX(对接源_01水果!$G$4:$G$1203,$AE187)=0,"",INDEX(对接源_01水果!$G$4:$G$1203,$AE187)),IF(INDEX(对接源_02物料!$G$4:$G$1203,$AE187-1200)=0,"",INDEX(对接源_02物料!$G$4:$G$1203,$AE187-1200)))))</f>
      </c>
      <c r="E187" s="173">
        <f>IF($AE187="","",IF($AE187&lt;=1200,IF(INDEX(对接源_01水果!$H$4:$H$1203,$AE187)=0,"",INDEX(对接源_01水果!$H$4:$H$1203,$AE187)),IF(INDEX(对接源_02物料!$H$4:$H$1203,$AE187-1200)=0,"",INDEX(对接源_02物料!$H$4:$H$1203,$AE187-1200))))</f>
      </c>
      <c r="F187" s="61">
        <f>IF($AE187="","",IF($AE187&lt;=1200,IF(INDEX(对接源_01水果!$I$4:$I$1203,$AE187)=0,"",INDEX(对接源_01水果!$I$4:$I$1203,$AE187)),IF(INDEX(对接源_02物料!$I$4:$I$1203,$AE187-1200)=0,"",INDEX(对接源_02物料!$I$4:$I$1203,$AE187-1200))))</f>
      </c>
      <c r="G187" s="173">
        <f>IF($AE187="","",IF(IF($AE187&lt;=1200,N(INDEX(对接源_01水果!$H$4:$H$1203,$AE187)),N(INDEX(对接源_02物料!$H$4:$H$1203,$AE187-1200)))=0,"",ROUND(IF($AE187&lt;=1200,N(INDEX(对接源_01水果!$K$4:$K$1203,$AE187)),N(INDEX(对接源_02物料!$K$4:$K$1203,$AE187-1200)))/IF($AE187&lt;=1200,N(INDEX(对接源_01水果!$H$4:$H$1203,$AE187)),N(INDEX(对接源_02物料!$H$4:$H$1203,$AE187-1200))),2)))</f>
      </c>
      <c r="H187" s="173">
        <f>IF($AE187="","",IF($AE187&lt;=1200,IF(INDEX(对接源_01水果!$K$4:$K$1203,$AE187)=0,"",INDEX(对接源_01水果!$K$4:$K$1203,$AE187)),IF(INDEX(对接源_02物料!$K$4:$K$1203,$AE187-1200)=0,"",INDEX(对接源_02物料!$K$4:$K$1203,$AE187-1200))))</f>
      </c>
      <c r="I187" s="61">
        <f>IF($AE187="","",IF($AE187&lt;=1200,IF(INDEX(对接源_01水果!$L$4:$L$1203,$AE187)=0,"",INDEX(对接源_01水果!$L$4:$L$1203,$AE187)),IF(INDEX(对接源_02物料!$L$4:$L$1203,$AE187-1200)=0,"",INDEX(对接源_02物料!$L$4:$L$1203,$AE187-1200))))</f>
      </c>
      <c r="J187" s="122">
        <f>IF($AE187="","",IF($AE187&lt;=1200,IF(INDEX(对接源_01水果!$M$4:$M$1203,$AE187)=0,"",INDEX(对接源_01水果!$M$4:$M$1203,$AE187)),IF(INDEX(对接源_02物料!$M$4:$M$1203,$AE187-1200)=0,"",INDEX(对接源_02物料!$M$4:$M$1203,$AE187-1200))))</f>
      </c>
      <c r="AE187" s="128">
        <f>IFERROR(MATCH(182,_自动清单!$AS$4:$AS$2403,0),"")</f>
      </c>
      <c r="AF187" s="128" t="n"/>
    </row>
    <row r="188" ht="18" customHeight="1" s="127">
      <c r="A188" s="163">
        <f>IF($AE188="","",IF($AE188&lt;=1200,IF(INDEX(对接源_01水果!$B$4:$B$1203,$AE188)=0,"",INDEX(对接源_01水果!$B$4:$B$1203,$AE188)),IF(INDEX(对接源_02物料!$B$4:$B$1203,$AE188-1200)=0,"",INDEX(对接源_02物料!$B$4:$B$1203,$AE188-1200))))</f>
      </c>
      <c r="B188" s="61">
        <f>IF($AE188="","",IF($AE188&lt;=1200,IF(INDEX(对接源_01水果!$E$4:$E$1203,$AE188)=0,"",INDEX(对接源_01水果!$E$4:$E$1203,$AE188)),IF(INDEX(对接源_02物料!$E$4:$E$1203,$AE188-1200)=0,"",INDEX(对接源_02物料!$E$4:$E$1203,$AE188-1200))))</f>
      </c>
      <c r="C188" s="122">
        <f>IF($AE188="","",IF($AE188&lt;=1200,IF(INDEX(对接源_01水果!$F$4:$F$1203,$AE188)=0,"",INDEX(对接源_01水果!$F$4:$F$1203,$AE188)),IF(INDEX(对接源_02物料!$F$4:$F$1203,$AE188-1200)=0,"",INDEX(对接源_02物料!$F$4:$F$1203,$AE188-1200))))</f>
      </c>
      <c r="D188" s="61">
        <f>IF($AE188="","",IF(IF($AE188&lt;=1200,IF(INDEX(对接源_01水果!$G$4:$G$1203,$AE188)=0,"",INDEX(对接源_01水果!$G$4:$G$1203,$AE188)),IF(INDEX(对接源_02物料!$G$4:$G$1203,$AE188-1200)=0,"",INDEX(对接源_02物料!$G$4:$G$1203,$AE188-1200)))="",IF($AE188&lt;=1200,IF(INDEX(对接源_01水果!$D$4:$D$1203,$AE188)=0,"",INDEX(对接源_01水果!$D$4:$D$1203,$AE188)),IF(INDEX(对接源_02物料!$D$4:$D$1203,$AE188-1200)=0,"",INDEX(对接源_02物料!$D$4:$D$1203,$AE188-1200))),IF($AE188&lt;=1200,IF(INDEX(对接源_01水果!$G$4:$G$1203,$AE188)=0,"",INDEX(对接源_01水果!$G$4:$G$1203,$AE188)),IF(INDEX(对接源_02物料!$G$4:$G$1203,$AE188-1200)=0,"",INDEX(对接源_02物料!$G$4:$G$1203,$AE188-1200)))))</f>
      </c>
      <c r="E188" s="173">
        <f>IF($AE188="","",IF($AE188&lt;=1200,IF(INDEX(对接源_01水果!$H$4:$H$1203,$AE188)=0,"",INDEX(对接源_01水果!$H$4:$H$1203,$AE188)),IF(INDEX(对接源_02物料!$H$4:$H$1203,$AE188-1200)=0,"",INDEX(对接源_02物料!$H$4:$H$1203,$AE188-1200))))</f>
      </c>
      <c r="F188" s="61">
        <f>IF($AE188="","",IF($AE188&lt;=1200,IF(INDEX(对接源_01水果!$I$4:$I$1203,$AE188)=0,"",INDEX(对接源_01水果!$I$4:$I$1203,$AE188)),IF(INDEX(对接源_02物料!$I$4:$I$1203,$AE188-1200)=0,"",INDEX(对接源_02物料!$I$4:$I$1203,$AE188-1200))))</f>
      </c>
      <c r="G188" s="173">
        <f>IF($AE188="","",IF(IF($AE188&lt;=1200,N(INDEX(对接源_01水果!$H$4:$H$1203,$AE188)),N(INDEX(对接源_02物料!$H$4:$H$1203,$AE188-1200)))=0,"",ROUND(IF($AE188&lt;=1200,N(INDEX(对接源_01水果!$K$4:$K$1203,$AE188)),N(INDEX(对接源_02物料!$K$4:$K$1203,$AE188-1200)))/IF($AE188&lt;=1200,N(INDEX(对接源_01水果!$H$4:$H$1203,$AE188)),N(INDEX(对接源_02物料!$H$4:$H$1203,$AE188-1200))),2)))</f>
      </c>
      <c r="H188" s="173">
        <f>IF($AE188="","",IF($AE188&lt;=1200,IF(INDEX(对接源_01水果!$K$4:$K$1203,$AE188)=0,"",INDEX(对接源_01水果!$K$4:$K$1203,$AE188)),IF(INDEX(对接源_02物料!$K$4:$K$1203,$AE188-1200)=0,"",INDEX(对接源_02物料!$K$4:$K$1203,$AE188-1200))))</f>
      </c>
      <c r="I188" s="61">
        <f>IF($AE188="","",IF($AE188&lt;=1200,IF(INDEX(对接源_01水果!$L$4:$L$1203,$AE188)=0,"",INDEX(对接源_01水果!$L$4:$L$1203,$AE188)),IF(INDEX(对接源_02物料!$L$4:$L$1203,$AE188-1200)=0,"",INDEX(对接源_02物料!$L$4:$L$1203,$AE188-1200))))</f>
      </c>
      <c r="J188" s="122">
        <f>IF($AE188="","",IF($AE188&lt;=1200,IF(INDEX(对接源_01水果!$M$4:$M$1203,$AE188)=0,"",INDEX(对接源_01水果!$M$4:$M$1203,$AE188)),IF(INDEX(对接源_02物料!$M$4:$M$1203,$AE188-1200)=0,"",INDEX(对接源_02物料!$M$4:$M$1203,$AE188-1200))))</f>
      </c>
      <c r="AE188" s="128">
        <f>IFERROR(MATCH(183,_自动清单!$AS$4:$AS$2403,0),"")</f>
      </c>
      <c r="AF188" s="128" t="n"/>
    </row>
    <row r="189" ht="18" customHeight="1" s="127">
      <c r="A189" s="163">
        <f>IF($AE189="","",IF($AE189&lt;=1200,IF(INDEX(对接源_01水果!$B$4:$B$1203,$AE189)=0,"",INDEX(对接源_01水果!$B$4:$B$1203,$AE189)),IF(INDEX(对接源_02物料!$B$4:$B$1203,$AE189-1200)=0,"",INDEX(对接源_02物料!$B$4:$B$1203,$AE189-1200))))</f>
      </c>
      <c r="B189" s="61">
        <f>IF($AE189="","",IF($AE189&lt;=1200,IF(INDEX(对接源_01水果!$E$4:$E$1203,$AE189)=0,"",INDEX(对接源_01水果!$E$4:$E$1203,$AE189)),IF(INDEX(对接源_02物料!$E$4:$E$1203,$AE189-1200)=0,"",INDEX(对接源_02物料!$E$4:$E$1203,$AE189-1200))))</f>
      </c>
      <c r="C189" s="122">
        <f>IF($AE189="","",IF($AE189&lt;=1200,IF(INDEX(对接源_01水果!$F$4:$F$1203,$AE189)=0,"",INDEX(对接源_01水果!$F$4:$F$1203,$AE189)),IF(INDEX(对接源_02物料!$F$4:$F$1203,$AE189-1200)=0,"",INDEX(对接源_02物料!$F$4:$F$1203,$AE189-1200))))</f>
      </c>
      <c r="D189" s="61">
        <f>IF($AE189="","",IF(IF($AE189&lt;=1200,IF(INDEX(对接源_01水果!$G$4:$G$1203,$AE189)=0,"",INDEX(对接源_01水果!$G$4:$G$1203,$AE189)),IF(INDEX(对接源_02物料!$G$4:$G$1203,$AE189-1200)=0,"",INDEX(对接源_02物料!$G$4:$G$1203,$AE189-1200)))="",IF($AE189&lt;=1200,IF(INDEX(对接源_01水果!$D$4:$D$1203,$AE189)=0,"",INDEX(对接源_01水果!$D$4:$D$1203,$AE189)),IF(INDEX(对接源_02物料!$D$4:$D$1203,$AE189-1200)=0,"",INDEX(对接源_02物料!$D$4:$D$1203,$AE189-1200))),IF($AE189&lt;=1200,IF(INDEX(对接源_01水果!$G$4:$G$1203,$AE189)=0,"",INDEX(对接源_01水果!$G$4:$G$1203,$AE189)),IF(INDEX(对接源_02物料!$G$4:$G$1203,$AE189-1200)=0,"",INDEX(对接源_02物料!$G$4:$G$1203,$AE189-1200)))))</f>
      </c>
      <c r="E189" s="173">
        <f>IF($AE189="","",IF($AE189&lt;=1200,IF(INDEX(对接源_01水果!$H$4:$H$1203,$AE189)=0,"",INDEX(对接源_01水果!$H$4:$H$1203,$AE189)),IF(INDEX(对接源_02物料!$H$4:$H$1203,$AE189-1200)=0,"",INDEX(对接源_02物料!$H$4:$H$1203,$AE189-1200))))</f>
      </c>
      <c r="F189" s="61">
        <f>IF($AE189="","",IF($AE189&lt;=1200,IF(INDEX(对接源_01水果!$I$4:$I$1203,$AE189)=0,"",INDEX(对接源_01水果!$I$4:$I$1203,$AE189)),IF(INDEX(对接源_02物料!$I$4:$I$1203,$AE189-1200)=0,"",INDEX(对接源_02物料!$I$4:$I$1203,$AE189-1200))))</f>
      </c>
      <c r="G189" s="173">
        <f>IF($AE189="","",IF(IF($AE189&lt;=1200,N(INDEX(对接源_01水果!$H$4:$H$1203,$AE189)),N(INDEX(对接源_02物料!$H$4:$H$1203,$AE189-1200)))=0,"",ROUND(IF($AE189&lt;=1200,N(INDEX(对接源_01水果!$K$4:$K$1203,$AE189)),N(INDEX(对接源_02物料!$K$4:$K$1203,$AE189-1200)))/IF($AE189&lt;=1200,N(INDEX(对接源_01水果!$H$4:$H$1203,$AE189)),N(INDEX(对接源_02物料!$H$4:$H$1203,$AE189-1200))),2)))</f>
      </c>
      <c r="H189" s="173">
        <f>IF($AE189="","",IF($AE189&lt;=1200,IF(INDEX(对接源_01水果!$K$4:$K$1203,$AE189)=0,"",INDEX(对接源_01水果!$K$4:$K$1203,$AE189)),IF(INDEX(对接源_02物料!$K$4:$K$1203,$AE189-1200)=0,"",INDEX(对接源_02物料!$K$4:$K$1203,$AE189-1200))))</f>
      </c>
      <c r="I189" s="61">
        <f>IF($AE189="","",IF($AE189&lt;=1200,IF(INDEX(对接源_01水果!$L$4:$L$1203,$AE189)=0,"",INDEX(对接源_01水果!$L$4:$L$1203,$AE189)),IF(INDEX(对接源_02物料!$L$4:$L$1203,$AE189-1200)=0,"",INDEX(对接源_02物料!$L$4:$L$1203,$AE189-1200))))</f>
      </c>
      <c r="J189" s="122">
        <f>IF($AE189="","",IF($AE189&lt;=1200,IF(INDEX(对接源_01水果!$M$4:$M$1203,$AE189)=0,"",INDEX(对接源_01水果!$M$4:$M$1203,$AE189)),IF(INDEX(对接源_02物料!$M$4:$M$1203,$AE189-1200)=0,"",INDEX(对接源_02物料!$M$4:$M$1203,$AE189-1200))))</f>
      </c>
      <c r="AE189" s="128">
        <f>IFERROR(MATCH(184,_自动清单!$AS$4:$AS$2403,0),"")</f>
      </c>
      <c r="AF189" s="128" t="n"/>
    </row>
    <row r="190" ht="18" customHeight="1" s="127">
      <c r="A190" s="163">
        <f>IF($AE190="","",IF($AE190&lt;=1200,IF(INDEX(对接源_01水果!$B$4:$B$1203,$AE190)=0,"",INDEX(对接源_01水果!$B$4:$B$1203,$AE190)),IF(INDEX(对接源_02物料!$B$4:$B$1203,$AE190-1200)=0,"",INDEX(对接源_02物料!$B$4:$B$1203,$AE190-1200))))</f>
      </c>
      <c r="B190" s="61">
        <f>IF($AE190="","",IF($AE190&lt;=1200,IF(INDEX(对接源_01水果!$E$4:$E$1203,$AE190)=0,"",INDEX(对接源_01水果!$E$4:$E$1203,$AE190)),IF(INDEX(对接源_02物料!$E$4:$E$1203,$AE190-1200)=0,"",INDEX(对接源_02物料!$E$4:$E$1203,$AE190-1200))))</f>
      </c>
      <c r="C190" s="122">
        <f>IF($AE190="","",IF($AE190&lt;=1200,IF(INDEX(对接源_01水果!$F$4:$F$1203,$AE190)=0,"",INDEX(对接源_01水果!$F$4:$F$1203,$AE190)),IF(INDEX(对接源_02物料!$F$4:$F$1203,$AE190-1200)=0,"",INDEX(对接源_02物料!$F$4:$F$1203,$AE190-1200))))</f>
      </c>
      <c r="D190" s="61">
        <f>IF($AE190="","",IF(IF($AE190&lt;=1200,IF(INDEX(对接源_01水果!$G$4:$G$1203,$AE190)=0,"",INDEX(对接源_01水果!$G$4:$G$1203,$AE190)),IF(INDEX(对接源_02物料!$G$4:$G$1203,$AE190-1200)=0,"",INDEX(对接源_02物料!$G$4:$G$1203,$AE190-1200)))="",IF($AE190&lt;=1200,IF(INDEX(对接源_01水果!$D$4:$D$1203,$AE190)=0,"",INDEX(对接源_01水果!$D$4:$D$1203,$AE190)),IF(INDEX(对接源_02物料!$D$4:$D$1203,$AE190-1200)=0,"",INDEX(对接源_02物料!$D$4:$D$1203,$AE190-1200))),IF($AE190&lt;=1200,IF(INDEX(对接源_01水果!$G$4:$G$1203,$AE190)=0,"",INDEX(对接源_01水果!$G$4:$G$1203,$AE190)),IF(INDEX(对接源_02物料!$G$4:$G$1203,$AE190-1200)=0,"",INDEX(对接源_02物料!$G$4:$G$1203,$AE190-1200)))))</f>
      </c>
      <c r="E190" s="173">
        <f>IF($AE190="","",IF($AE190&lt;=1200,IF(INDEX(对接源_01水果!$H$4:$H$1203,$AE190)=0,"",INDEX(对接源_01水果!$H$4:$H$1203,$AE190)),IF(INDEX(对接源_02物料!$H$4:$H$1203,$AE190-1200)=0,"",INDEX(对接源_02物料!$H$4:$H$1203,$AE190-1200))))</f>
      </c>
      <c r="F190" s="61">
        <f>IF($AE190="","",IF($AE190&lt;=1200,IF(INDEX(对接源_01水果!$I$4:$I$1203,$AE190)=0,"",INDEX(对接源_01水果!$I$4:$I$1203,$AE190)),IF(INDEX(对接源_02物料!$I$4:$I$1203,$AE190-1200)=0,"",INDEX(对接源_02物料!$I$4:$I$1203,$AE190-1200))))</f>
      </c>
      <c r="G190" s="173">
        <f>IF($AE190="","",IF(IF($AE190&lt;=1200,N(INDEX(对接源_01水果!$H$4:$H$1203,$AE190)),N(INDEX(对接源_02物料!$H$4:$H$1203,$AE190-1200)))=0,"",ROUND(IF($AE190&lt;=1200,N(INDEX(对接源_01水果!$K$4:$K$1203,$AE190)),N(INDEX(对接源_02物料!$K$4:$K$1203,$AE190-1200)))/IF($AE190&lt;=1200,N(INDEX(对接源_01水果!$H$4:$H$1203,$AE190)),N(INDEX(对接源_02物料!$H$4:$H$1203,$AE190-1200))),2)))</f>
      </c>
      <c r="H190" s="173">
        <f>IF($AE190="","",IF($AE190&lt;=1200,IF(INDEX(对接源_01水果!$K$4:$K$1203,$AE190)=0,"",INDEX(对接源_01水果!$K$4:$K$1203,$AE190)),IF(INDEX(对接源_02物料!$K$4:$K$1203,$AE190-1200)=0,"",INDEX(对接源_02物料!$K$4:$K$1203,$AE190-1200))))</f>
      </c>
      <c r="I190" s="61">
        <f>IF($AE190="","",IF($AE190&lt;=1200,IF(INDEX(对接源_01水果!$L$4:$L$1203,$AE190)=0,"",INDEX(对接源_01水果!$L$4:$L$1203,$AE190)),IF(INDEX(对接源_02物料!$L$4:$L$1203,$AE190-1200)=0,"",INDEX(对接源_02物料!$L$4:$L$1203,$AE190-1200))))</f>
      </c>
      <c r="J190" s="122">
        <f>IF($AE190="","",IF($AE190&lt;=1200,IF(INDEX(对接源_01水果!$M$4:$M$1203,$AE190)=0,"",INDEX(对接源_01水果!$M$4:$M$1203,$AE190)),IF(INDEX(对接源_02物料!$M$4:$M$1203,$AE190-1200)=0,"",INDEX(对接源_02物料!$M$4:$M$1203,$AE190-1200))))</f>
      </c>
      <c r="AE190" s="128">
        <f>IFERROR(MATCH(185,_自动清单!$AS$4:$AS$2403,0),"")</f>
      </c>
      <c r="AF190" s="128" t="n"/>
    </row>
    <row r="191" ht="18" customHeight="1" s="127">
      <c r="A191" s="163">
        <f>IF($AE191="","",IF($AE191&lt;=1200,IF(INDEX(对接源_01水果!$B$4:$B$1203,$AE191)=0,"",INDEX(对接源_01水果!$B$4:$B$1203,$AE191)),IF(INDEX(对接源_02物料!$B$4:$B$1203,$AE191-1200)=0,"",INDEX(对接源_02物料!$B$4:$B$1203,$AE191-1200))))</f>
      </c>
      <c r="B191" s="61">
        <f>IF($AE191="","",IF($AE191&lt;=1200,IF(INDEX(对接源_01水果!$E$4:$E$1203,$AE191)=0,"",INDEX(对接源_01水果!$E$4:$E$1203,$AE191)),IF(INDEX(对接源_02物料!$E$4:$E$1203,$AE191-1200)=0,"",INDEX(对接源_02物料!$E$4:$E$1203,$AE191-1200))))</f>
      </c>
      <c r="C191" s="122">
        <f>IF($AE191="","",IF($AE191&lt;=1200,IF(INDEX(对接源_01水果!$F$4:$F$1203,$AE191)=0,"",INDEX(对接源_01水果!$F$4:$F$1203,$AE191)),IF(INDEX(对接源_02物料!$F$4:$F$1203,$AE191-1200)=0,"",INDEX(对接源_02物料!$F$4:$F$1203,$AE191-1200))))</f>
      </c>
      <c r="D191" s="61">
        <f>IF($AE191="","",IF(IF($AE191&lt;=1200,IF(INDEX(对接源_01水果!$G$4:$G$1203,$AE191)=0,"",INDEX(对接源_01水果!$G$4:$G$1203,$AE191)),IF(INDEX(对接源_02物料!$G$4:$G$1203,$AE191-1200)=0,"",INDEX(对接源_02物料!$G$4:$G$1203,$AE191-1200)))="",IF($AE191&lt;=1200,IF(INDEX(对接源_01水果!$D$4:$D$1203,$AE191)=0,"",INDEX(对接源_01水果!$D$4:$D$1203,$AE191)),IF(INDEX(对接源_02物料!$D$4:$D$1203,$AE191-1200)=0,"",INDEX(对接源_02物料!$D$4:$D$1203,$AE191-1200))),IF($AE191&lt;=1200,IF(INDEX(对接源_01水果!$G$4:$G$1203,$AE191)=0,"",INDEX(对接源_01水果!$G$4:$G$1203,$AE191)),IF(INDEX(对接源_02物料!$G$4:$G$1203,$AE191-1200)=0,"",INDEX(对接源_02物料!$G$4:$G$1203,$AE191-1200)))))</f>
      </c>
      <c r="E191" s="173">
        <f>IF($AE191="","",IF($AE191&lt;=1200,IF(INDEX(对接源_01水果!$H$4:$H$1203,$AE191)=0,"",INDEX(对接源_01水果!$H$4:$H$1203,$AE191)),IF(INDEX(对接源_02物料!$H$4:$H$1203,$AE191-1200)=0,"",INDEX(对接源_02物料!$H$4:$H$1203,$AE191-1200))))</f>
      </c>
      <c r="F191" s="61">
        <f>IF($AE191="","",IF($AE191&lt;=1200,IF(INDEX(对接源_01水果!$I$4:$I$1203,$AE191)=0,"",INDEX(对接源_01水果!$I$4:$I$1203,$AE191)),IF(INDEX(对接源_02物料!$I$4:$I$1203,$AE191-1200)=0,"",INDEX(对接源_02物料!$I$4:$I$1203,$AE191-1200))))</f>
      </c>
      <c r="G191" s="173">
        <f>IF($AE191="","",IF(IF($AE191&lt;=1200,N(INDEX(对接源_01水果!$H$4:$H$1203,$AE191)),N(INDEX(对接源_02物料!$H$4:$H$1203,$AE191-1200)))=0,"",ROUND(IF($AE191&lt;=1200,N(INDEX(对接源_01水果!$K$4:$K$1203,$AE191)),N(INDEX(对接源_02物料!$K$4:$K$1203,$AE191-1200)))/IF($AE191&lt;=1200,N(INDEX(对接源_01水果!$H$4:$H$1203,$AE191)),N(INDEX(对接源_02物料!$H$4:$H$1203,$AE191-1200))),2)))</f>
      </c>
      <c r="H191" s="173">
        <f>IF($AE191="","",IF($AE191&lt;=1200,IF(INDEX(对接源_01水果!$K$4:$K$1203,$AE191)=0,"",INDEX(对接源_01水果!$K$4:$K$1203,$AE191)),IF(INDEX(对接源_02物料!$K$4:$K$1203,$AE191-1200)=0,"",INDEX(对接源_02物料!$K$4:$K$1203,$AE191-1200))))</f>
      </c>
      <c r="I191" s="61">
        <f>IF($AE191="","",IF($AE191&lt;=1200,IF(INDEX(对接源_01水果!$L$4:$L$1203,$AE191)=0,"",INDEX(对接源_01水果!$L$4:$L$1203,$AE191)),IF(INDEX(对接源_02物料!$L$4:$L$1203,$AE191-1200)=0,"",INDEX(对接源_02物料!$L$4:$L$1203,$AE191-1200))))</f>
      </c>
      <c r="J191" s="122">
        <f>IF($AE191="","",IF($AE191&lt;=1200,IF(INDEX(对接源_01水果!$M$4:$M$1203,$AE191)=0,"",INDEX(对接源_01水果!$M$4:$M$1203,$AE191)),IF(INDEX(对接源_02物料!$M$4:$M$1203,$AE191-1200)=0,"",INDEX(对接源_02物料!$M$4:$M$1203,$AE191-1200))))</f>
      </c>
      <c r="AE191" s="128">
        <f>IFERROR(MATCH(186,_自动清单!$AS$4:$AS$2403,0),"")</f>
      </c>
      <c r="AF191" s="128" t="n"/>
    </row>
    <row r="192" ht="18" customHeight="1" s="127">
      <c r="A192" s="163">
        <f>IF($AE192="","",IF($AE192&lt;=1200,IF(INDEX(对接源_01水果!$B$4:$B$1203,$AE192)=0,"",INDEX(对接源_01水果!$B$4:$B$1203,$AE192)),IF(INDEX(对接源_02物料!$B$4:$B$1203,$AE192-1200)=0,"",INDEX(对接源_02物料!$B$4:$B$1203,$AE192-1200))))</f>
      </c>
      <c r="B192" s="61">
        <f>IF($AE192="","",IF($AE192&lt;=1200,IF(INDEX(对接源_01水果!$E$4:$E$1203,$AE192)=0,"",INDEX(对接源_01水果!$E$4:$E$1203,$AE192)),IF(INDEX(对接源_02物料!$E$4:$E$1203,$AE192-1200)=0,"",INDEX(对接源_02物料!$E$4:$E$1203,$AE192-1200))))</f>
      </c>
      <c r="C192" s="122">
        <f>IF($AE192="","",IF($AE192&lt;=1200,IF(INDEX(对接源_01水果!$F$4:$F$1203,$AE192)=0,"",INDEX(对接源_01水果!$F$4:$F$1203,$AE192)),IF(INDEX(对接源_02物料!$F$4:$F$1203,$AE192-1200)=0,"",INDEX(对接源_02物料!$F$4:$F$1203,$AE192-1200))))</f>
      </c>
      <c r="D192" s="61">
        <f>IF($AE192="","",IF(IF($AE192&lt;=1200,IF(INDEX(对接源_01水果!$G$4:$G$1203,$AE192)=0,"",INDEX(对接源_01水果!$G$4:$G$1203,$AE192)),IF(INDEX(对接源_02物料!$G$4:$G$1203,$AE192-1200)=0,"",INDEX(对接源_02物料!$G$4:$G$1203,$AE192-1200)))="",IF($AE192&lt;=1200,IF(INDEX(对接源_01水果!$D$4:$D$1203,$AE192)=0,"",INDEX(对接源_01水果!$D$4:$D$1203,$AE192)),IF(INDEX(对接源_02物料!$D$4:$D$1203,$AE192-1200)=0,"",INDEX(对接源_02物料!$D$4:$D$1203,$AE192-1200))),IF($AE192&lt;=1200,IF(INDEX(对接源_01水果!$G$4:$G$1203,$AE192)=0,"",INDEX(对接源_01水果!$G$4:$G$1203,$AE192)),IF(INDEX(对接源_02物料!$G$4:$G$1203,$AE192-1200)=0,"",INDEX(对接源_02物料!$G$4:$G$1203,$AE192-1200)))))</f>
      </c>
      <c r="E192" s="173">
        <f>IF($AE192="","",IF($AE192&lt;=1200,IF(INDEX(对接源_01水果!$H$4:$H$1203,$AE192)=0,"",INDEX(对接源_01水果!$H$4:$H$1203,$AE192)),IF(INDEX(对接源_02物料!$H$4:$H$1203,$AE192-1200)=0,"",INDEX(对接源_02物料!$H$4:$H$1203,$AE192-1200))))</f>
      </c>
      <c r="F192" s="61">
        <f>IF($AE192="","",IF($AE192&lt;=1200,IF(INDEX(对接源_01水果!$I$4:$I$1203,$AE192)=0,"",INDEX(对接源_01水果!$I$4:$I$1203,$AE192)),IF(INDEX(对接源_02物料!$I$4:$I$1203,$AE192-1200)=0,"",INDEX(对接源_02物料!$I$4:$I$1203,$AE192-1200))))</f>
      </c>
      <c r="G192" s="173">
        <f>IF($AE192="","",IF(IF($AE192&lt;=1200,N(INDEX(对接源_01水果!$H$4:$H$1203,$AE192)),N(INDEX(对接源_02物料!$H$4:$H$1203,$AE192-1200)))=0,"",ROUND(IF($AE192&lt;=1200,N(INDEX(对接源_01水果!$K$4:$K$1203,$AE192)),N(INDEX(对接源_02物料!$K$4:$K$1203,$AE192-1200)))/IF($AE192&lt;=1200,N(INDEX(对接源_01水果!$H$4:$H$1203,$AE192)),N(INDEX(对接源_02物料!$H$4:$H$1203,$AE192-1200))),2)))</f>
      </c>
      <c r="H192" s="173">
        <f>IF($AE192="","",IF($AE192&lt;=1200,IF(INDEX(对接源_01水果!$K$4:$K$1203,$AE192)=0,"",INDEX(对接源_01水果!$K$4:$K$1203,$AE192)),IF(INDEX(对接源_02物料!$K$4:$K$1203,$AE192-1200)=0,"",INDEX(对接源_02物料!$K$4:$K$1203,$AE192-1200))))</f>
      </c>
      <c r="I192" s="61">
        <f>IF($AE192="","",IF($AE192&lt;=1200,IF(INDEX(对接源_01水果!$L$4:$L$1203,$AE192)=0,"",INDEX(对接源_01水果!$L$4:$L$1203,$AE192)),IF(INDEX(对接源_02物料!$L$4:$L$1203,$AE192-1200)=0,"",INDEX(对接源_02物料!$L$4:$L$1203,$AE192-1200))))</f>
      </c>
      <c r="J192" s="122">
        <f>IF($AE192="","",IF($AE192&lt;=1200,IF(INDEX(对接源_01水果!$M$4:$M$1203,$AE192)=0,"",INDEX(对接源_01水果!$M$4:$M$1203,$AE192)),IF(INDEX(对接源_02物料!$M$4:$M$1203,$AE192-1200)=0,"",INDEX(对接源_02物料!$M$4:$M$1203,$AE192-1200))))</f>
      </c>
      <c r="AE192" s="128">
        <f>IFERROR(MATCH(187,_自动清单!$AS$4:$AS$2403,0),"")</f>
      </c>
      <c r="AF192" s="128" t="n"/>
    </row>
    <row r="193" ht="18" customHeight="1" s="127">
      <c r="A193" s="163">
        <f>IF($AE193="","",IF($AE193&lt;=1200,IF(INDEX(对接源_01水果!$B$4:$B$1203,$AE193)=0,"",INDEX(对接源_01水果!$B$4:$B$1203,$AE193)),IF(INDEX(对接源_02物料!$B$4:$B$1203,$AE193-1200)=0,"",INDEX(对接源_02物料!$B$4:$B$1203,$AE193-1200))))</f>
      </c>
      <c r="B193" s="61">
        <f>IF($AE193="","",IF($AE193&lt;=1200,IF(INDEX(对接源_01水果!$E$4:$E$1203,$AE193)=0,"",INDEX(对接源_01水果!$E$4:$E$1203,$AE193)),IF(INDEX(对接源_02物料!$E$4:$E$1203,$AE193-1200)=0,"",INDEX(对接源_02物料!$E$4:$E$1203,$AE193-1200))))</f>
      </c>
      <c r="C193" s="122">
        <f>IF($AE193="","",IF($AE193&lt;=1200,IF(INDEX(对接源_01水果!$F$4:$F$1203,$AE193)=0,"",INDEX(对接源_01水果!$F$4:$F$1203,$AE193)),IF(INDEX(对接源_02物料!$F$4:$F$1203,$AE193-1200)=0,"",INDEX(对接源_02物料!$F$4:$F$1203,$AE193-1200))))</f>
      </c>
      <c r="D193" s="61">
        <f>IF($AE193="","",IF(IF($AE193&lt;=1200,IF(INDEX(对接源_01水果!$G$4:$G$1203,$AE193)=0,"",INDEX(对接源_01水果!$G$4:$G$1203,$AE193)),IF(INDEX(对接源_02物料!$G$4:$G$1203,$AE193-1200)=0,"",INDEX(对接源_02物料!$G$4:$G$1203,$AE193-1200)))="",IF($AE193&lt;=1200,IF(INDEX(对接源_01水果!$D$4:$D$1203,$AE193)=0,"",INDEX(对接源_01水果!$D$4:$D$1203,$AE193)),IF(INDEX(对接源_02物料!$D$4:$D$1203,$AE193-1200)=0,"",INDEX(对接源_02物料!$D$4:$D$1203,$AE193-1200))),IF($AE193&lt;=1200,IF(INDEX(对接源_01水果!$G$4:$G$1203,$AE193)=0,"",INDEX(对接源_01水果!$G$4:$G$1203,$AE193)),IF(INDEX(对接源_02物料!$G$4:$G$1203,$AE193-1200)=0,"",INDEX(对接源_02物料!$G$4:$G$1203,$AE193-1200)))))</f>
      </c>
      <c r="E193" s="173">
        <f>IF($AE193="","",IF($AE193&lt;=1200,IF(INDEX(对接源_01水果!$H$4:$H$1203,$AE193)=0,"",INDEX(对接源_01水果!$H$4:$H$1203,$AE193)),IF(INDEX(对接源_02物料!$H$4:$H$1203,$AE193-1200)=0,"",INDEX(对接源_02物料!$H$4:$H$1203,$AE193-1200))))</f>
      </c>
      <c r="F193" s="61">
        <f>IF($AE193="","",IF($AE193&lt;=1200,IF(INDEX(对接源_01水果!$I$4:$I$1203,$AE193)=0,"",INDEX(对接源_01水果!$I$4:$I$1203,$AE193)),IF(INDEX(对接源_02物料!$I$4:$I$1203,$AE193-1200)=0,"",INDEX(对接源_02物料!$I$4:$I$1203,$AE193-1200))))</f>
      </c>
      <c r="G193" s="173">
        <f>IF($AE193="","",IF(IF($AE193&lt;=1200,N(INDEX(对接源_01水果!$H$4:$H$1203,$AE193)),N(INDEX(对接源_02物料!$H$4:$H$1203,$AE193-1200)))=0,"",ROUND(IF($AE193&lt;=1200,N(INDEX(对接源_01水果!$K$4:$K$1203,$AE193)),N(INDEX(对接源_02物料!$K$4:$K$1203,$AE193-1200)))/IF($AE193&lt;=1200,N(INDEX(对接源_01水果!$H$4:$H$1203,$AE193)),N(INDEX(对接源_02物料!$H$4:$H$1203,$AE193-1200))),2)))</f>
      </c>
      <c r="H193" s="173">
        <f>IF($AE193="","",IF($AE193&lt;=1200,IF(INDEX(对接源_01水果!$K$4:$K$1203,$AE193)=0,"",INDEX(对接源_01水果!$K$4:$K$1203,$AE193)),IF(INDEX(对接源_02物料!$K$4:$K$1203,$AE193-1200)=0,"",INDEX(对接源_02物料!$K$4:$K$1203,$AE193-1200))))</f>
      </c>
      <c r="I193" s="61">
        <f>IF($AE193="","",IF($AE193&lt;=1200,IF(INDEX(对接源_01水果!$L$4:$L$1203,$AE193)=0,"",INDEX(对接源_01水果!$L$4:$L$1203,$AE193)),IF(INDEX(对接源_02物料!$L$4:$L$1203,$AE193-1200)=0,"",INDEX(对接源_02物料!$L$4:$L$1203,$AE193-1200))))</f>
      </c>
      <c r="J193" s="122">
        <f>IF($AE193="","",IF($AE193&lt;=1200,IF(INDEX(对接源_01水果!$M$4:$M$1203,$AE193)=0,"",INDEX(对接源_01水果!$M$4:$M$1203,$AE193)),IF(INDEX(对接源_02物料!$M$4:$M$1203,$AE193-1200)=0,"",INDEX(对接源_02物料!$M$4:$M$1203,$AE193-1200))))</f>
      </c>
      <c r="AE193" s="128">
        <f>IFERROR(MATCH(188,_自动清单!$AS$4:$AS$2403,0),"")</f>
      </c>
      <c r="AF193" s="128" t="n"/>
    </row>
    <row r="194" ht="18" customHeight="1" s="127">
      <c r="A194" s="163">
        <f>IF($AE194="","",IF($AE194&lt;=1200,IF(INDEX(对接源_01水果!$B$4:$B$1203,$AE194)=0,"",INDEX(对接源_01水果!$B$4:$B$1203,$AE194)),IF(INDEX(对接源_02物料!$B$4:$B$1203,$AE194-1200)=0,"",INDEX(对接源_02物料!$B$4:$B$1203,$AE194-1200))))</f>
      </c>
      <c r="B194" s="61">
        <f>IF($AE194="","",IF($AE194&lt;=1200,IF(INDEX(对接源_01水果!$E$4:$E$1203,$AE194)=0,"",INDEX(对接源_01水果!$E$4:$E$1203,$AE194)),IF(INDEX(对接源_02物料!$E$4:$E$1203,$AE194-1200)=0,"",INDEX(对接源_02物料!$E$4:$E$1203,$AE194-1200))))</f>
      </c>
      <c r="C194" s="122">
        <f>IF($AE194="","",IF($AE194&lt;=1200,IF(INDEX(对接源_01水果!$F$4:$F$1203,$AE194)=0,"",INDEX(对接源_01水果!$F$4:$F$1203,$AE194)),IF(INDEX(对接源_02物料!$F$4:$F$1203,$AE194-1200)=0,"",INDEX(对接源_02物料!$F$4:$F$1203,$AE194-1200))))</f>
      </c>
      <c r="D194" s="61">
        <f>IF($AE194="","",IF(IF($AE194&lt;=1200,IF(INDEX(对接源_01水果!$G$4:$G$1203,$AE194)=0,"",INDEX(对接源_01水果!$G$4:$G$1203,$AE194)),IF(INDEX(对接源_02物料!$G$4:$G$1203,$AE194-1200)=0,"",INDEX(对接源_02物料!$G$4:$G$1203,$AE194-1200)))="",IF($AE194&lt;=1200,IF(INDEX(对接源_01水果!$D$4:$D$1203,$AE194)=0,"",INDEX(对接源_01水果!$D$4:$D$1203,$AE194)),IF(INDEX(对接源_02物料!$D$4:$D$1203,$AE194-1200)=0,"",INDEX(对接源_02物料!$D$4:$D$1203,$AE194-1200))),IF($AE194&lt;=1200,IF(INDEX(对接源_01水果!$G$4:$G$1203,$AE194)=0,"",INDEX(对接源_01水果!$G$4:$G$1203,$AE194)),IF(INDEX(对接源_02物料!$G$4:$G$1203,$AE194-1200)=0,"",INDEX(对接源_02物料!$G$4:$G$1203,$AE194-1200)))))</f>
      </c>
      <c r="E194" s="173">
        <f>IF($AE194="","",IF($AE194&lt;=1200,IF(INDEX(对接源_01水果!$H$4:$H$1203,$AE194)=0,"",INDEX(对接源_01水果!$H$4:$H$1203,$AE194)),IF(INDEX(对接源_02物料!$H$4:$H$1203,$AE194-1200)=0,"",INDEX(对接源_02物料!$H$4:$H$1203,$AE194-1200))))</f>
      </c>
      <c r="F194" s="61">
        <f>IF($AE194="","",IF($AE194&lt;=1200,IF(INDEX(对接源_01水果!$I$4:$I$1203,$AE194)=0,"",INDEX(对接源_01水果!$I$4:$I$1203,$AE194)),IF(INDEX(对接源_02物料!$I$4:$I$1203,$AE194-1200)=0,"",INDEX(对接源_02物料!$I$4:$I$1203,$AE194-1200))))</f>
      </c>
      <c r="G194" s="173">
        <f>IF($AE194="","",IF(IF($AE194&lt;=1200,N(INDEX(对接源_01水果!$H$4:$H$1203,$AE194)),N(INDEX(对接源_02物料!$H$4:$H$1203,$AE194-1200)))=0,"",ROUND(IF($AE194&lt;=1200,N(INDEX(对接源_01水果!$K$4:$K$1203,$AE194)),N(INDEX(对接源_02物料!$K$4:$K$1203,$AE194-1200)))/IF($AE194&lt;=1200,N(INDEX(对接源_01水果!$H$4:$H$1203,$AE194)),N(INDEX(对接源_02物料!$H$4:$H$1203,$AE194-1200))),2)))</f>
      </c>
      <c r="H194" s="173">
        <f>IF($AE194="","",IF($AE194&lt;=1200,IF(INDEX(对接源_01水果!$K$4:$K$1203,$AE194)=0,"",INDEX(对接源_01水果!$K$4:$K$1203,$AE194)),IF(INDEX(对接源_02物料!$K$4:$K$1203,$AE194-1200)=0,"",INDEX(对接源_02物料!$K$4:$K$1203,$AE194-1200))))</f>
      </c>
      <c r="I194" s="61">
        <f>IF($AE194="","",IF($AE194&lt;=1200,IF(INDEX(对接源_01水果!$L$4:$L$1203,$AE194)=0,"",INDEX(对接源_01水果!$L$4:$L$1203,$AE194)),IF(INDEX(对接源_02物料!$L$4:$L$1203,$AE194-1200)=0,"",INDEX(对接源_02物料!$L$4:$L$1203,$AE194-1200))))</f>
      </c>
      <c r="J194" s="122">
        <f>IF($AE194="","",IF($AE194&lt;=1200,IF(INDEX(对接源_01水果!$M$4:$M$1203,$AE194)=0,"",INDEX(对接源_01水果!$M$4:$M$1203,$AE194)),IF(INDEX(对接源_02物料!$M$4:$M$1203,$AE194-1200)=0,"",INDEX(对接源_02物料!$M$4:$M$1203,$AE194-1200))))</f>
      </c>
      <c r="AE194" s="128">
        <f>IFERROR(MATCH(189,_自动清单!$AS$4:$AS$2403,0),"")</f>
      </c>
      <c r="AF194" s="128" t="n"/>
    </row>
    <row r="195" ht="18" customHeight="1" s="127">
      <c r="A195" s="163">
        <f>IF($AE195="","",IF($AE195&lt;=1200,IF(INDEX(对接源_01水果!$B$4:$B$1203,$AE195)=0,"",INDEX(对接源_01水果!$B$4:$B$1203,$AE195)),IF(INDEX(对接源_02物料!$B$4:$B$1203,$AE195-1200)=0,"",INDEX(对接源_02物料!$B$4:$B$1203,$AE195-1200))))</f>
      </c>
      <c r="B195" s="61">
        <f>IF($AE195="","",IF($AE195&lt;=1200,IF(INDEX(对接源_01水果!$E$4:$E$1203,$AE195)=0,"",INDEX(对接源_01水果!$E$4:$E$1203,$AE195)),IF(INDEX(对接源_02物料!$E$4:$E$1203,$AE195-1200)=0,"",INDEX(对接源_02物料!$E$4:$E$1203,$AE195-1200))))</f>
      </c>
      <c r="C195" s="122">
        <f>IF($AE195="","",IF($AE195&lt;=1200,IF(INDEX(对接源_01水果!$F$4:$F$1203,$AE195)=0,"",INDEX(对接源_01水果!$F$4:$F$1203,$AE195)),IF(INDEX(对接源_02物料!$F$4:$F$1203,$AE195-1200)=0,"",INDEX(对接源_02物料!$F$4:$F$1203,$AE195-1200))))</f>
      </c>
      <c r="D195" s="61">
        <f>IF($AE195="","",IF(IF($AE195&lt;=1200,IF(INDEX(对接源_01水果!$G$4:$G$1203,$AE195)=0,"",INDEX(对接源_01水果!$G$4:$G$1203,$AE195)),IF(INDEX(对接源_02物料!$G$4:$G$1203,$AE195-1200)=0,"",INDEX(对接源_02物料!$G$4:$G$1203,$AE195-1200)))="",IF($AE195&lt;=1200,IF(INDEX(对接源_01水果!$D$4:$D$1203,$AE195)=0,"",INDEX(对接源_01水果!$D$4:$D$1203,$AE195)),IF(INDEX(对接源_02物料!$D$4:$D$1203,$AE195-1200)=0,"",INDEX(对接源_02物料!$D$4:$D$1203,$AE195-1200))),IF($AE195&lt;=1200,IF(INDEX(对接源_01水果!$G$4:$G$1203,$AE195)=0,"",INDEX(对接源_01水果!$G$4:$G$1203,$AE195)),IF(INDEX(对接源_02物料!$G$4:$G$1203,$AE195-1200)=0,"",INDEX(对接源_02物料!$G$4:$G$1203,$AE195-1200)))))</f>
      </c>
      <c r="E195" s="173">
        <f>IF($AE195="","",IF($AE195&lt;=1200,IF(INDEX(对接源_01水果!$H$4:$H$1203,$AE195)=0,"",INDEX(对接源_01水果!$H$4:$H$1203,$AE195)),IF(INDEX(对接源_02物料!$H$4:$H$1203,$AE195-1200)=0,"",INDEX(对接源_02物料!$H$4:$H$1203,$AE195-1200))))</f>
      </c>
      <c r="F195" s="61">
        <f>IF($AE195="","",IF($AE195&lt;=1200,IF(INDEX(对接源_01水果!$I$4:$I$1203,$AE195)=0,"",INDEX(对接源_01水果!$I$4:$I$1203,$AE195)),IF(INDEX(对接源_02物料!$I$4:$I$1203,$AE195-1200)=0,"",INDEX(对接源_02物料!$I$4:$I$1203,$AE195-1200))))</f>
      </c>
      <c r="G195" s="173">
        <f>IF($AE195="","",IF(IF($AE195&lt;=1200,N(INDEX(对接源_01水果!$H$4:$H$1203,$AE195)),N(INDEX(对接源_02物料!$H$4:$H$1203,$AE195-1200)))=0,"",ROUND(IF($AE195&lt;=1200,N(INDEX(对接源_01水果!$K$4:$K$1203,$AE195)),N(INDEX(对接源_02物料!$K$4:$K$1203,$AE195-1200)))/IF($AE195&lt;=1200,N(INDEX(对接源_01水果!$H$4:$H$1203,$AE195)),N(INDEX(对接源_02物料!$H$4:$H$1203,$AE195-1200))),2)))</f>
      </c>
      <c r="H195" s="173">
        <f>IF($AE195="","",IF($AE195&lt;=1200,IF(INDEX(对接源_01水果!$K$4:$K$1203,$AE195)=0,"",INDEX(对接源_01水果!$K$4:$K$1203,$AE195)),IF(INDEX(对接源_02物料!$K$4:$K$1203,$AE195-1200)=0,"",INDEX(对接源_02物料!$K$4:$K$1203,$AE195-1200))))</f>
      </c>
      <c r="I195" s="61">
        <f>IF($AE195="","",IF($AE195&lt;=1200,IF(INDEX(对接源_01水果!$L$4:$L$1203,$AE195)=0,"",INDEX(对接源_01水果!$L$4:$L$1203,$AE195)),IF(INDEX(对接源_02物料!$L$4:$L$1203,$AE195-1200)=0,"",INDEX(对接源_02物料!$L$4:$L$1203,$AE195-1200))))</f>
      </c>
      <c r="J195" s="122">
        <f>IF($AE195="","",IF($AE195&lt;=1200,IF(INDEX(对接源_01水果!$M$4:$M$1203,$AE195)=0,"",INDEX(对接源_01水果!$M$4:$M$1203,$AE195)),IF(INDEX(对接源_02物料!$M$4:$M$1203,$AE195-1200)=0,"",INDEX(对接源_02物料!$M$4:$M$1203,$AE195-1200))))</f>
      </c>
      <c r="AE195" s="128">
        <f>IFERROR(MATCH(190,_自动清单!$AS$4:$AS$2403,0),"")</f>
      </c>
      <c r="AF195" s="128" t="n"/>
    </row>
    <row r="196" ht="18" customHeight="1" s="127">
      <c r="A196" s="163">
        <f>IF($AE196="","",IF($AE196&lt;=1200,IF(INDEX(对接源_01水果!$B$4:$B$1203,$AE196)=0,"",INDEX(对接源_01水果!$B$4:$B$1203,$AE196)),IF(INDEX(对接源_02物料!$B$4:$B$1203,$AE196-1200)=0,"",INDEX(对接源_02物料!$B$4:$B$1203,$AE196-1200))))</f>
      </c>
      <c r="B196" s="61">
        <f>IF($AE196="","",IF($AE196&lt;=1200,IF(INDEX(对接源_01水果!$E$4:$E$1203,$AE196)=0,"",INDEX(对接源_01水果!$E$4:$E$1203,$AE196)),IF(INDEX(对接源_02物料!$E$4:$E$1203,$AE196-1200)=0,"",INDEX(对接源_02物料!$E$4:$E$1203,$AE196-1200))))</f>
      </c>
      <c r="C196" s="122">
        <f>IF($AE196="","",IF($AE196&lt;=1200,IF(INDEX(对接源_01水果!$F$4:$F$1203,$AE196)=0,"",INDEX(对接源_01水果!$F$4:$F$1203,$AE196)),IF(INDEX(对接源_02物料!$F$4:$F$1203,$AE196-1200)=0,"",INDEX(对接源_02物料!$F$4:$F$1203,$AE196-1200))))</f>
      </c>
      <c r="D196" s="61">
        <f>IF($AE196="","",IF(IF($AE196&lt;=1200,IF(INDEX(对接源_01水果!$G$4:$G$1203,$AE196)=0,"",INDEX(对接源_01水果!$G$4:$G$1203,$AE196)),IF(INDEX(对接源_02物料!$G$4:$G$1203,$AE196-1200)=0,"",INDEX(对接源_02物料!$G$4:$G$1203,$AE196-1200)))="",IF($AE196&lt;=1200,IF(INDEX(对接源_01水果!$D$4:$D$1203,$AE196)=0,"",INDEX(对接源_01水果!$D$4:$D$1203,$AE196)),IF(INDEX(对接源_02物料!$D$4:$D$1203,$AE196-1200)=0,"",INDEX(对接源_02物料!$D$4:$D$1203,$AE196-1200))),IF($AE196&lt;=1200,IF(INDEX(对接源_01水果!$G$4:$G$1203,$AE196)=0,"",INDEX(对接源_01水果!$G$4:$G$1203,$AE196)),IF(INDEX(对接源_02物料!$G$4:$G$1203,$AE196-1200)=0,"",INDEX(对接源_02物料!$G$4:$G$1203,$AE196-1200)))))</f>
      </c>
      <c r="E196" s="173">
        <f>IF($AE196="","",IF($AE196&lt;=1200,IF(INDEX(对接源_01水果!$H$4:$H$1203,$AE196)=0,"",INDEX(对接源_01水果!$H$4:$H$1203,$AE196)),IF(INDEX(对接源_02物料!$H$4:$H$1203,$AE196-1200)=0,"",INDEX(对接源_02物料!$H$4:$H$1203,$AE196-1200))))</f>
      </c>
      <c r="F196" s="61">
        <f>IF($AE196="","",IF($AE196&lt;=1200,IF(INDEX(对接源_01水果!$I$4:$I$1203,$AE196)=0,"",INDEX(对接源_01水果!$I$4:$I$1203,$AE196)),IF(INDEX(对接源_02物料!$I$4:$I$1203,$AE196-1200)=0,"",INDEX(对接源_02物料!$I$4:$I$1203,$AE196-1200))))</f>
      </c>
      <c r="G196" s="173">
        <f>IF($AE196="","",IF(IF($AE196&lt;=1200,N(INDEX(对接源_01水果!$H$4:$H$1203,$AE196)),N(INDEX(对接源_02物料!$H$4:$H$1203,$AE196-1200)))=0,"",ROUND(IF($AE196&lt;=1200,N(INDEX(对接源_01水果!$K$4:$K$1203,$AE196)),N(INDEX(对接源_02物料!$K$4:$K$1203,$AE196-1200)))/IF($AE196&lt;=1200,N(INDEX(对接源_01水果!$H$4:$H$1203,$AE196)),N(INDEX(对接源_02物料!$H$4:$H$1203,$AE196-1200))),2)))</f>
      </c>
      <c r="H196" s="173">
        <f>IF($AE196="","",IF($AE196&lt;=1200,IF(INDEX(对接源_01水果!$K$4:$K$1203,$AE196)=0,"",INDEX(对接源_01水果!$K$4:$K$1203,$AE196)),IF(INDEX(对接源_02物料!$K$4:$K$1203,$AE196-1200)=0,"",INDEX(对接源_02物料!$K$4:$K$1203,$AE196-1200))))</f>
      </c>
      <c r="I196" s="61">
        <f>IF($AE196="","",IF($AE196&lt;=1200,IF(INDEX(对接源_01水果!$L$4:$L$1203,$AE196)=0,"",INDEX(对接源_01水果!$L$4:$L$1203,$AE196)),IF(INDEX(对接源_02物料!$L$4:$L$1203,$AE196-1200)=0,"",INDEX(对接源_02物料!$L$4:$L$1203,$AE196-1200))))</f>
      </c>
      <c r="J196" s="122">
        <f>IF($AE196="","",IF($AE196&lt;=1200,IF(INDEX(对接源_01水果!$M$4:$M$1203,$AE196)=0,"",INDEX(对接源_01水果!$M$4:$M$1203,$AE196)),IF(INDEX(对接源_02物料!$M$4:$M$1203,$AE196-1200)=0,"",INDEX(对接源_02物料!$M$4:$M$1203,$AE196-1200))))</f>
      </c>
      <c r="AE196" s="128">
        <f>IFERROR(MATCH(191,_自动清单!$AS$4:$AS$2403,0),"")</f>
      </c>
      <c r="AF196" s="128" t="n"/>
    </row>
    <row r="197" ht="18" customHeight="1" s="127">
      <c r="A197" s="163">
        <f>IF($AE197="","",IF($AE197&lt;=1200,IF(INDEX(对接源_01水果!$B$4:$B$1203,$AE197)=0,"",INDEX(对接源_01水果!$B$4:$B$1203,$AE197)),IF(INDEX(对接源_02物料!$B$4:$B$1203,$AE197-1200)=0,"",INDEX(对接源_02物料!$B$4:$B$1203,$AE197-1200))))</f>
      </c>
      <c r="B197" s="61">
        <f>IF($AE197="","",IF($AE197&lt;=1200,IF(INDEX(对接源_01水果!$E$4:$E$1203,$AE197)=0,"",INDEX(对接源_01水果!$E$4:$E$1203,$AE197)),IF(INDEX(对接源_02物料!$E$4:$E$1203,$AE197-1200)=0,"",INDEX(对接源_02物料!$E$4:$E$1203,$AE197-1200))))</f>
      </c>
      <c r="C197" s="122">
        <f>IF($AE197="","",IF($AE197&lt;=1200,IF(INDEX(对接源_01水果!$F$4:$F$1203,$AE197)=0,"",INDEX(对接源_01水果!$F$4:$F$1203,$AE197)),IF(INDEX(对接源_02物料!$F$4:$F$1203,$AE197-1200)=0,"",INDEX(对接源_02物料!$F$4:$F$1203,$AE197-1200))))</f>
      </c>
      <c r="D197" s="61">
        <f>IF($AE197="","",IF(IF($AE197&lt;=1200,IF(INDEX(对接源_01水果!$G$4:$G$1203,$AE197)=0,"",INDEX(对接源_01水果!$G$4:$G$1203,$AE197)),IF(INDEX(对接源_02物料!$G$4:$G$1203,$AE197-1200)=0,"",INDEX(对接源_02物料!$G$4:$G$1203,$AE197-1200)))="",IF($AE197&lt;=1200,IF(INDEX(对接源_01水果!$D$4:$D$1203,$AE197)=0,"",INDEX(对接源_01水果!$D$4:$D$1203,$AE197)),IF(INDEX(对接源_02物料!$D$4:$D$1203,$AE197-1200)=0,"",INDEX(对接源_02物料!$D$4:$D$1203,$AE197-1200))),IF($AE197&lt;=1200,IF(INDEX(对接源_01水果!$G$4:$G$1203,$AE197)=0,"",INDEX(对接源_01水果!$G$4:$G$1203,$AE197)),IF(INDEX(对接源_02物料!$G$4:$G$1203,$AE197-1200)=0,"",INDEX(对接源_02物料!$G$4:$G$1203,$AE197-1200)))))</f>
      </c>
      <c r="E197" s="173">
        <f>IF($AE197="","",IF($AE197&lt;=1200,IF(INDEX(对接源_01水果!$H$4:$H$1203,$AE197)=0,"",INDEX(对接源_01水果!$H$4:$H$1203,$AE197)),IF(INDEX(对接源_02物料!$H$4:$H$1203,$AE197-1200)=0,"",INDEX(对接源_02物料!$H$4:$H$1203,$AE197-1200))))</f>
      </c>
      <c r="F197" s="61">
        <f>IF($AE197="","",IF($AE197&lt;=1200,IF(INDEX(对接源_01水果!$I$4:$I$1203,$AE197)=0,"",INDEX(对接源_01水果!$I$4:$I$1203,$AE197)),IF(INDEX(对接源_02物料!$I$4:$I$1203,$AE197-1200)=0,"",INDEX(对接源_02物料!$I$4:$I$1203,$AE197-1200))))</f>
      </c>
      <c r="G197" s="173">
        <f>IF($AE197="","",IF(IF($AE197&lt;=1200,N(INDEX(对接源_01水果!$H$4:$H$1203,$AE197)),N(INDEX(对接源_02物料!$H$4:$H$1203,$AE197-1200)))=0,"",ROUND(IF($AE197&lt;=1200,N(INDEX(对接源_01水果!$K$4:$K$1203,$AE197)),N(INDEX(对接源_02物料!$K$4:$K$1203,$AE197-1200)))/IF($AE197&lt;=1200,N(INDEX(对接源_01水果!$H$4:$H$1203,$AE197)),N(INDEX(对接源_02物料!$H$4:$H$1203,$AE197-1200))),2)))</f>
      </c>
      <c r="H197" s="173">
        <f>IF($AE197="","",IF($AE197&lt;=1200,IF(INDEX(对接源_01水果!$K$4:$K$1203,$AE197)=0,"",INDEX(对接源_01水果!$K$4:$K$1203,$AE197)),IF(INDEX(对接源_02物料!$K$4:$K$1203,$AE197-1200)=0,"",INDEX(对接源_02物料!$K$4:$K$1203,$AE197-1200))))</f>
      </c>
      <c r="I197" s="61">
        <f>IF($AE197="","",IF($AE197&lt;=1200,IF(INDEX(对接源_01水果!$L$4:$L$1203,$AE197)=0,"",INDEX(对接源_01水果!$L$4:$L$1203,$AE197)),IF(INDEX(对接源_02物料!$L$4:$L$1203,$AE197-1200)=0,"",INDEX(对接源_02物料!$L$4:$L$1203,$AE197-1200))))</f>
      </c>
      <c r="J197" s="122">
        <f>IF($AE197="","",IF($AE197&lt;=1200,IF(INDEX(对接源_01水果!$M$4:$M$1203,$AE197)=0,"",INDEX(对接源_01水果!$M$4:$M$1203,$AE197)),IF(INDEX(对接源_02物料!$M$4:$M$1203,$AE197-1200)=0,"",INDEX(对接源_02物料!$M$4:$M$1203,$AE197-1200))))</f>
      </c>
      <c r="AE197" s="128">
        <f>IFERROR(MATCH(192,_自动清单!$AS$4:$AS$2403,0),"")</f>
      </c>
      <c r="AF197" s="128" t="n"/>
    </row>
    <row r="198" ht="18" customHeight="1" s="127">
      <c r="A198" s="163">
        <f>IF($AE198="","",IF($AE198&lt;=1200,IF(INDEX(对接源_01水果!$B$4:$B$1203,$AE198)=0,"",INDEX(对接源_01水果!$B$4:$B$1203,$AE198)),IF(INDEX(对接源_02物料!$B$4:$B$1203,$AE198-1200)=0,"",INDEX(对接源_02物料!$B$4:$B$1203,$AE198-1200))))</f>
      </c>
      <c r="B198" s="61">
        <f>IF($AE198="","",IF($AE198&lt;=1200,IF(INDEX(对接源_01水果!$E$4:$E$1203,$AE198)=0,"",INDEX(对接源_01水果!$E$4:$E$1203,$AE198)),IF(INDEX(对接源_02物料!$E$4:$E$1203,$AE198-1200)=0,"",INDEX(对接源_02物料!$E$4:$E$1203,$AE198-1200))))</f>
      </c>
      <c r="C198" s="122">
        <f>IF($AE198="","",IF($AE198&lt;=1200,IF(INDEX(对接源_01水果!$F$4:$F$1203,$AE198)=0,"",INDEX(对接源_01水果!$F$4:$F$1203,$AE198)),IF(INDEX(对接源_02物料!$F$4:$F$1203,$AE198-1200)=0,"",INDEX(对接源_02物料!$F$4:$F$1203,$AE198-1200))))</f>
      </c>
      <c r="D198" s="61">
        <f>IF($AE198="","",IF(IF($AE198&lt;=1200,IF(INDEX(对接源_01水果!$G$4:$G$1203,$AE198)=0,"",INDEX(对接源_01水果!$G$4:$G$1203,$AE198)),IF(INDEX(对接源_02物料!$G$4:$G$1203,$AE198-1200)=0,"",INDEX(对接源_02物料!$G$4:$G$1203,$AE198-1200)))="",IF($AE198&lt;=1200,IF(INDEX(对接源_01水果!$D$4:$D$1203,$AE198)=0,"",INDEX(对接源_01水果!$D$4:$D$1203,$AE198)),IF(INDEX(对接源_02物料!$D$4:$D$1203,$AE198-1200)=0,"",INDEX(对接源_02物料!$D$4:$D$1203,$AE198-1200))),IF($AE198&lt;=1200,IF(INDEX(对接源_01水果!$G$4:$G$1203,$AE198)=0,"",INDEX(对接源_01水果!$G$4:$G$1203,$AE198)),IF(INDEX(对接源_02物料!$G$4:$G$1203,$AE198-1200)=0,"",INDEX(对接源_02物料!$G$4:$G$1203,$AE198-1200)))))</f>
      </c>
      <c r="E198" s="173">
        <f>IF($AE198="","",IF($AE198&lt;=1200,IF(INDEX(对接源_01水果!$H$4:$H$1203,$AE198)=0,"",INDEX(对接源_01水果!$H$4:$H$1203,$AE198)),IF(INDEX(对接源_02物料!$H$4:$H$1203,$AE198-1200)=0,"",INDEX(对接源_02物料!$H$4:$H$1203,$AE198-1200))))</f>
      </c>
      <c r="F198" s="61">
        <f>IF($AE198="","",IF($AE198&lt;=1200,IF(INDEX(对接源_01水果!$I$4:$I$1203,$AE198)=0,"",INDEX(对接源_01水果!$I$4:$I$1203,$AE198)),IF(INDEX(对接源_02物料!$I$4:$I$1203,$AE198-1200)=0,"",INDEX(对接源_02物料!$I$4:$I$1203,$AE198-1200))))</f>
      </c>
      <c r="G198" s="173">
        <f>IF($AE198="","",IF(IF($AE198&lt;=1200,N(INDEX(对接源_01水果!$H$4:$H$1203,$AE198)),N(INDEX(对接源_02物料!$H$4:$H$1203,$AE198-1200)))=0,"",ROUND(IF($AE198&lt;=1200,N(INDEX(对接源_01水果!$K$4:$K$1203,$AE198)),N(INDEX(对接源_02物料!$K$4:$K$1203,$AE198-1200)))/IF($AE198&lt;=1200,N(INDEX(对接源_01水果!$H$4:$H$1203,$AE198)),N(INDEX(对接源_02物料!$H$4:$H$1203,$AE198-1200))),2)))</f>
      </c>
      <c r="H198" s="173">
        <f>IF($AE198="","",IF($AE198&lt;=1200,IF(INDEX(对接源_01水果!$K$4:$K$1203,$AE198)=0,"",INDEX(对接源_01水果!$K$4:$K$1203,$AE198)),IF(INDEX(对接源_02物料!$K$4:$K$1203,$AE198-1200)=0,"",INDEX(对接源_02物料!$K$4:$K$1203,$AE198-1200))))</f>
      </c>
      <c r="I198" s="61">
        <f>IF($AE198="","",IF($AE198&lt;=1200,IF(INDEX(对接源_01水果!$L$4:$L$1203,$AE198)=0,"",INDEX(对接源_01水果!$L$4:$L$1203,$AE198)),IF(INDEX(对接源_02物料!$L$4:$L$1203,$AE198-1200)=0,"",INDEX(对接源_02物料!$L$4:$L$1203,$AE198-1200))))</f>
      </c>
      <c r="J198" s="122">
        <f>IF($AE198="","",IF($AE198&lt;=1200,IF(INDEX(对接源_01水果!$M$4:$M$1203,$AE198)=0,"",INDEX(对接源_01水果!$M$4:$M$1203,$AE198)),IF(INDEX(对接源_02物料!$M$4:$M$1203,$AE198-1200)=0,"",INDEX(对接源_02物料!$M$4:$M$1203,$AE198-1200))))</f>
      </c>
      <c r="AE198" s="128">
        <f>IFERROR(MATCH(193,_自动清单!$AS$4:$AS$2403,0),"")</f>
      </c>
      <c r="AF198" s="128" t="n"/>
    </row>
    <row r="199" ht="18" customHeight="1" s="127">
      <c r="A199" s="163">
        <f>IF($AE199="","",IF($AE199&lt;=1200,IF(INDEX(对接源_01水果!$B$4:$B$1203,$AE199)=0,"",INDEX(对接源_01水果!$B$4:$B$1203,$AE199)),IF(INDEX(对接源_02物料!$B$4:$B$1203,$AE199-1200)=0,"",INDEX(对接源_02物料!$B$4:$B$1203,$AE199-1200))))</f>
      </c>
      <c r="B199" s="61">
        <f>IF($AE199="","",IF($AE199&lt;=1200,IF(INDEX(对接源_01水果!$E$4:$E$1203,$AE199)=0,"",INDEX(对接源_01水果!$E$4:$E$1203,$AE199)),IF(INDEX(对接源_02物料!$E$4:$E$1203,$AE199-1200)=0,"",INDEX(对接源_02物料!$E$4:$E$1203,$AE199-1200))))</f>
      </c>
      <c r="C199" s="122">
        <f>IF($AE199="","",IF($AE199&lt;=1200,IF(INDEX(对接源_01水果!$F$4:$F$1203,$AE199)=0,"",INDEX(对接源_01水果!$F$4:$F$1203,$AE199)),IF(INDEX(对接源_02物料!$F$4:$F$1203,$AE199-1200)=0,"",INDEX(对接源_02物料!$F$4:$F$1203,$AE199-1200))))</f>
      </c>
      <c r="D199" s="61">
        <f>IF($AE199="","",IF(IF($AE199&lt;=1200,IF(INDEX(对接源_01水果!$G$4:$G$1203,$AE199)=0,"",INDEX(对接源_01水果!$G$4:$G$1203,$AE199)),IF(INDEX(对接源_02物料!$G$4:$G$1203,$AE199-1200)=0,"",INDEX(对接源_02物料!$G$4:$G$1203,$AE199-1200)))="",IF($AE199&lt;=1200,IF(INDEX(对接源_01水果!$D$4:$D$1203,$AE199)=0,"",INDEX(对接源_01水果!$D$4:$D$1203,$AE199)),IF(INDEX(对接源_02物料!$D$4:$D$1203,$AE199-1200)=0,"",INDEX(对接源_02物料!$D$4:$D$1203,$AE199-1200))),IF($AE199&lt;=1200,IF(INDEX(对接源_01水果!$G$4:$G$1203,$AE199)=0,"",INDEX(对接源_01水果!$G$4:$G$1203,$AE199)),IF(INDEX(对接源_02物料!$G$4:$G$1203,$AE199-1200)=0,"",INDEX(对接源_02物料!$G$4:$G$1203,$AE199-1200)))))</f>
      </c>
      <c r="E199" s="173">
        <f>IF($AE199="","",IF($AE199&lt;=1200,IF(INDEX(对接源_01水果!$H$4:$H$1203,$AE199)=0,"",INDEX(对接源_01水果!$H$4:$H$1203,$AE199)),IF(INDEX(对接源_02物料!$H$4:$H$1203,$AE199-1200)=0,"",INDEX(对接源_02物料!$H$4:$H$1203,$AE199-1200))))</f>
      </c>
      <c r="F199" s="61">
        <f>IF($AE199="","",IF($AE199&lt;=1200,IF(INDEX(对接源_01水果!$I$4:$I$1203,$AE199)=0,"",INDEX(对接源_01水果!$I$4:$I$1203,$AE199)),IF(INDEX(对接源_02物料!$I$4:$I$1203,$AE199-1200)=0,"",INDEX(对接源_02物料!$I$4:$I$1203,$AE199-1200))))</f>
      </c>
      <c r="G199" s="173">
        <f>IF($AE199="","",IF(IF($AE199&lt;=1200,N(INDEX(对接源_01水果!$H$4:$H$1203,$AE199)),N(INDEX(对接源_02物料!$H$4:$H$1203,$AE199-1200)))=0,"",ROUND(IF($AE199&lt;=1200,N(INDEX(对接源_01水果!$K$4:$K$1203,$AE199)),N(INDEX(对接源_02物料!$K$4:$K$1203,$AE199-1200)))/IF($AE199&lt;=1200,N(INDEX(对接源_01水果!$H$4:$H$1203,$AE199)),N(INDEX(对接源_02物料!$H$4:$H$1203,$AE199-1200))),2)))</f>
      </c>
      <c r="H199" s="173">
        <f>IF($AE199="","",IF($AE199&lt;=1200,IF(INDEX(对接源_01水果!$K$4:$K$1203,$AE199)=0,"",INDEX(对接源_01水果!$K$4:$K$1203,$AE199)),IF(INDEX(对接源_02物料!$K$4:$K$1203,$AE199-1200)=0,"",INDEX(对接源_02物料!$K$4:$K$1203,$AE199-1200))))</f>
      </c>
      <c r="I199" s="61">
        <f>IF($AE199="","",IF($AE199&lt;=1200,IF(INDEX(对接源_01水果!$L$4:$L$1203,$AE199)=0,"",INDEX(对接源_01水果!$L$4:$L$1203,$AE199)),IF(INDEX(对接源_02物料!$L$4:$L$1203,$AE199-1200)=0,"",INDEX(对接源_02物料!$L$4:$L$1203,$AE199-1200))))</f>
      </c>
      <c r="J199" s="122">
        <f>IF($AE199="","",IF($AE199&lt;=1200,IF(INDEX(对接源_01水果!$M$4:$M$1203,$AE199)=0,"",INDEX(对接源_01水果!$M$4:$M$1203,$AE199)),IF(INDEX(对接源_02物料!$M$4:$M$1203,$AE199-1200)=0,"",INDEX(对接源_02物料!$M$4:$M$1203,$AE199-1200))))</f>
      </c>
      <c r="AE199" s="128">
        <f>IFERROR(MATCH(194,_自动清单!$AS$4:$AS$2403,0),"")</f>
      </c>
      <c r="AF199" s="128" t="n"/>
    </row>
    <row r="200" ht="18" customHeight="1" s="127">
      <c r="A200" s="163">
        <f>IF($AE200="","",IF($AE200&lt;=1200,IF(INDEX(对接源_01水果!$B$4:$B$1203,$AE200)=0,"",INDEX(对接源_01水果!$B$4:$B$1203,$AE200)),IF(INDEX(对接源_02物料!$B$4:$B$1203,$AE200-1200)=0,"",INDEX(对接源_02物料!$B$4:$B$1203,$AE200-1200))))</f>
      </c>
      <c r="B200" s="61">
        <f>IF($AE200="","",IF($AE200&lt;=1200,IF(INDEX(对接源_01水果!$E$4:$E$1203,$AE200)=0,"",INDEX(对接源_01水果!$E$4:$E$1203,$AE200)),IF(INDEX(对接源_02物料!$E$4:$E$1203,$AE200-1200)=0,"",INDEX(对接源_02物料!$E$4:$E$1203,$AE200-1200))))</f>
      </c>
      <c r="C200" s="122">
        <f>IF($AE200="","",IF($AE200&lt;=1200,IF(INDEX(对接源_01水果!$F$4:$F$1203,$AE200)=0,"",INDEX(对接源_01水果!$F$4:$F$1203,$AE200)),IF(INDEX(对接源_02物料!$F$4:$F$1203,$AE200-1200)=0,"",INDEX(对接源_02物料!$F$4:$F$1203,$AE200-1200))))</f>
      </c>
      <c r="D200" s="61">
        <f>IF($AE200="","",IF(IF($AE200&lt;=1200,IF(INDEX(对接源_01水果!$G$4:$G$1203,$AE200)=0,"",INDEX(对接源_01水果!$G$4:$G$1203,$AE200)),IF(INDEX(对接源_02物料!$G$4:$G$1203,$AE200-1200)=0,"",INDEX(对接源_02物料!$G$4:$G$1203,$AE200-1200)))="",IF($AE200&lt;=1200,IF(INDEX(对接源_01水果!$D$4:$D$1203,$AE200)=0,"",INDEX(对接源_01水果!$D$4:$D$1203,$AE200)),IF(INDEX(对接源_02物料!$D$4:$D$1203,$AE200-1200)=0,"",INDEX(对接源_02物料!$D$4:$D$1203,$AE200-1200))),IF($AE200&lt;=1200,IF(INDEX(对接源_01水果!$G$4:$G$1203,$AE200)=0,"",INDEX(对接源_01水果!$G$4:$G$1203,$AE200)),IF(INDEX(对接源_02物料!$G$4:$G$1203,$AE200-1200)=0,"",INDEX(对接源_02物料!$G$4:$G$1203,$AE200-1200)))))</f>
      </c>
      <c r="E200" s="173">
        <f>IF($AE200="","",IF($AE200&lt;=1200,IF(INDEX(对接源_01水果!$H$4:$H$1203,$AE200)=0,"",INDEX(对接源_01水果!$H$4:$H$1203,$AE200)),IF(INDEX(对接源_02物料!$H$4:$H$1203,$AE200-1200)=0,"",INDEX(对接源_02物料!$H$4:$H$1203,$AE200-1200))))</f>
      </c>
      <c r="F200" s="61">
        <f>IF($AE200="","",IF($AE200&lt;=1200,IF(INDEX(对接源_01水果!$I$4:$I$1203,$AE200)=0,"",INDEX(对接源_01水果!$I$4:$I$1203,$AE200)),IF(INDEX(对接源_02物料!$I$4:$I$1203,$AE200-1200)=0,"",INDEX(对接源_02物料!$I$4:$I$1203,$AE200-1200))))</f>
      </c>
      <c r="G200" s="173">
        <f>IF($AE200="","",IF(IF($AE200&lt;=1200,N(INDEX(对接源_01水果!$H$4:$H$1203,$AE200)),N(INDEX(对接源_02物料!$H$4:$H$1203,$AE200-1200)))=0,"",ROUND(IF($AE200&lt;=1200,N(INDEX(对接源_01水果!$K$4:$K$1203,$AE200)),N(INDEX(对接源_02物料!$K$4:$K$1203,$AE200-1200)))/IF($AE200&lt;=1200,N(INDEX(对接源_01水果!$H$4:$H$1203,$AE200)),N(INDEX(对接源_02物料!$H$4:$H$1203,$AE200-1200))),2)))</f>
      </c>
      <c r="H200" s="173">
        <f>IF($AE200="","",IF($AE200&lt;=1200,IF(INDEX(对接源_01水果!$K$4:$K$1203,$AE200)=0,"",INDEX(对接源_01水果!$K$4:$K$1203,$AE200)),IF(INDEX(对接源_02物料!$K$4:$K$1203,$AE200-1200)=0,"",INDEX(对接源_02物料!$K$4:$K$1203,$AE200-1200))))</f>
      </c>
      <c r="I200" s="61">
        <f>IF($AE200="","",IF($AE200&lt;=1200,IF(INDEX(对接源_01水果!$L$4:$L$1203,$AE200)=0,"",INDEX(对接源_01水果!$L$4:$L$1203,$AE200)),IF(INDEX(对接源_02物料!$L$4:$L$1203,$AE200-1200)=0,"",INDEX(对接源_02物料!$L$4:$L$1203,$AE200-1200))))</f>
      </c>
      <c r="J200" s="122">
        <f>IF($AE200="","",IF($AE200&lt;=1200,IF(INDEX(对接源_01水果!$M$4:$M$1203,$AE200)=0,"",INDEX(对接源_01水果!$M$4:$M$1203,$AE200)),IF(INDEX(对接源_02物料!$M$4:$M$1203,$AE200-1200)=0,"",INDEX(对接源_02物料!$M$4:$M$1203,$AE200-1200))))</f>
      </c>
      <c r="AE200" s="128">
        <f>IFERROR(MATCH(195,_自动清单!$AS$4:$AS$2403,0),"")</f>
      </c>
      <c r="AF200" s="128" t="n"/>
    </row>
    <row r="201" ht="18" customHeight="1" s="127">
      <c r="A201" s="163">
        <f>IF($AE201="","",IF($AE201&lt;=1200,IF(INDEX(对接源_01水果!$B$4:$B$1203,$AE201)=0,"",INDEX(对接源_01水果!$B$4:$B$1203,$AE201)),IF(INDEX(对接源_02物料!$B$4:$B$1203,$AE201-1200)=0,"",INDEX(对接源_02物料!$B$4:$B$1203,$AE201-1200))))</f>
      </c>
      <c r="B201" s="61">
        <f>IF($AE201="","",IF($AE201&lt;=1200,IF(INDEX(对接源_01水果!$E$4:$E$1203,$AE201)=0,"",INDEX(对接源_01水果!$E$4:$E$1203,$AE201)),IF(INDEX(对接源_02物料!$E$4:$E$1203,$AE201-1200)=0,"",INDEX(对接源_02物料!$E$4:$E$1203,$AE201-1200))))</f>
      </c>
      <c r="C201" s="122">
        <f>IF($AE201="","",IF($AE201&lt;=1200,IF(INDEX(对接源_01水果!$F$4:$F$1203,$AE201)=0,"",INDEX(对接源_01水果!$F$4:$F$1203,$AE201)),IF(INDEX(对接源_02物料!$F$4:$F$1203,$AE201-1200)=0,"",INDEX(对接源_02物料!$F$4:$F$1203,$AE201-1200))))</f>
      </c>
      <c r="D201" s="61">
        <f>IF($AE201="","",IF(IF($AE201&lt;=1200,IF(INDEX(对接源_01水果!$G$4:$G$1203,$AE201)=0,"",INDEX(对接源_01水果!$G$4:$G$1203,$AE201)),IF(INDEX(对接源_02物料!$G$4:$G$1203,$AE201-1200)=0,"",INDEX(对接源_02物料!$G$4:$G$1203,$AE201-1200)))="",IF($AE201&lt;=1200,IF(INDEX(对接源_01水果!$D$4:$D$1203,$AE201)=0,"",INDEX(对接源_01水果!$D$4:$D$1203,$AE201)),IF(INDEX(对接源_02物料!$D$4:$D$1203,$AE201-1200)=0,"",INDEX(对接源_02物料!$D$4:$D$1203,$AE201-1200))),IF($AE201&lt;=1200,IF(INDEX(对接源_01水果!$G$4:$G$1203,$AE201)=0,"",INDEX(对接源_01水果!$G$4:$G$1203,$AE201)),IF(INDEX(对接源_02物料!$G$4:$G$1203,$AE201-1200)=0,"",INDEX(对接源_02物料!$G$4:$G$1203,$AE201-1200)))))</f>
      </c>
      <c r="E201" s="173">
        <f>IF($AE201="","",IF($AE201&lt;=1200,IF(INDEX(对接源_01水果!$H$4:$H$1203,$AE201)=0,"",INDEX(对接源_01水果!$H$4:$H$1203,$AE201)),IF(INDEX(对接源_02物料!$H$4:$H$1203,$AE201-1200)=0,"",INDEX(对接源_02物料!$H$4:$H$1203,$AE201-1200))))</f>
      </c>
      <c r="F201" s="61">
        <f>IF($AE201="","",IF($AE201&lt;=1200,IF(INDEX(对接源_01水果!$I$4:$I$1203,$AE201)=0,"",INDEX(对接源_01水果!$I$4:$I$1203,$AE201)),IF(INDEX(对接源_02物料!$I$4:$I$1203,$AE201-1200)=0,"",INDEX(对接源_02物料!$I$4:$I$1203,$AE201-1200))))</f>
      </c>
      <c r="G201" s="173">
        <f>IF($AE201="","",IF(IF($AE201&lt;=1200,N(INDEX(对接源_01水果!$H$4:$H$1203,$AE201)),N(INDEX(对接源_02物料!$H$4:$H$1203,$AE201-1200)))=0,"",ROUND(IF($AE201&lt;=1200,N(INDEX(对接源_01水果!$K$4:$K$1203,$AE201)),N(INDEX(对接源_02物料!$K$4:$K$1203,$AE201-1200)))/IF($AE201&lt;=1200,N(INDEX(对接源_01水果!$H$4:$H$1203,$AE201)),N(INDEX(对接源_02物料!$H$4:$H$1203,$AE201-1200))),2)))</f>
      </c>
      <c r="H201" s="173">
        <f>IF($AE201="","",IF($AE201&lt;=1200,IF(INDEX(对接源_01水果!$K$4:$K$1203,$AE201)=0,"",INDEX(对接源_01水果!$K$4:$K$1203,$AE201)),IF(INDEX(对接源_02物料!$K$4:$K$1203,$AE201-1200)=0,"",INDEX(对接源_02物料!$K$4:$K$1203,$AE201-1200))))</f>
      </c>
      <c r="I201" s="61">
        <f>IF($AE201="","",IF($AE201&lt;=1200,IF(INDEX(对接源_01水果!$L$4:$L$1203,$AE201)=0,"",INDEX(对接源_01水果!$L$4:$L$1203,$AE201)),IF(INDEX(对接源_02物料!$L$4:$L$1203,$AE201-1200)=0,"",INDEX(对接源_02物料!$L$4:$L$1203,$AE201-1200))))</f>
      </c>
      <c r="J201" s="122">
        <f>IF($AE201="","",IF($AE201&lt;=1200,IF(INDEX(对接源_01水果!$M$4:$M$1203,$AE201)=0,"",INDEX(对接源_01水果!$M$4:$M$1203,$AE201)),IF(INDEX(对接源_02物料!$M$4:$M$1203,$AE201-1200)=0,"",INDEX(对接源_02物料!$M$4:$M$1203,$AE201-1200))))</f>
      </c>
      <c r="AE201" s="128">
        <f>IFERROR(MATCH(196,_自动清单!$AS$4:$AS$2403,0),"")</f>
      </c>
      <c r="AF201" s="128" t="n"/>
    </row>
    <row r="202" ht="18" customHeight="1" s="127">
      <c r="A202" s="163">
        <f>IF($AE202="","",IF($AE202&lt;=1200,IF(INDEX(对接源_01水果!$B$4:$B$1203,$AE202)=0,"",INDEX(对接源_01水果!$B$4:$B$1203,$AE202)),IF(INDEX(对接源_02物料!$B$4:$B$1203,$AE202-1200)=0,"",INDEX(对接源_02物料!$B$4:$B$1203,$AE202-1200))))</f>
      </c>
      <c r="B202" s="61">
        <f>IF($AE202="","",IF($AE202&lt;=1200,IF(INDEX(对接源_01水果!$E$4:$E$1203,$AE202)=0,"",INDEX(对接源_01水果!$E$4:$E$1203,$AE202)),IF(INDEX(对接源_02物料!$E$4:$E$1203,$AE202-1200)=0,"",INDEX(对接源_02物料!$E$4:$E$1203,$AE202-1200))))</f>
      </c>
      <c r="C202" s="122">
        <f>IF($AE202="","",IF($AE202&lt;=1200,IF(INDEX(对接源_01水果!$F$4:$F$1203,$AE202)=0,"",INDEX(对接源_01水果!$F$4:$F$1203,$AE202)),IF(INDEX(对接源_02物料!$F$4:$F$1203,$AE202-1200)=0,"",INDEX(对接源_02物料!$F$4:$F$1203,$AE202-1200))))</f>
      </c>
      <c r="D202" s="61">
        <f>IF($AE202="","",IF(IF($AE202&lt;=1200,IF(INDEX(对接源_01水果!$G$4:$G$1203,$AE202)=0,"",INDEX(对接源_01水果!$G$4:$G$1203,$AE202)),IF(INDEX(对接源_02物料!$G$4:$G$1203,$AE202-1200)=0,"",INDEX(对接源_02物料!$G$4:$G$1203,$AE202-1200)))="",IF($AE202&lt;=1200,IF(INDEX(对接源_01水果!$D$4:$D$1203,$AE202)=0,"",INDEX(对接源_01水果!$D$4:$D$1203,$AE202)),IF(INDEX(对接源_02物料!$D$4:$D$1203,$AE202-1200)=0,"",INDEX(对接源_02物料!$D$4:$D$1203,$AE202-1200))),IF($AE202&lt;=1200,IF(INDEX(对接源_01水果!$G$4:$G$1203,$AE202)=0,"",INDEX(对接源_01水果!$G$4:$G$1203,$AE202)),IF(INDEX(对接源_02物料!$G$4:$G$1203,$AE202-1200)=0,"",INDEX(对接源_02物料!$G$4:$G$1203,$AE202-1200)))))</f>
      </c>
      <c r="E202" s="173">
        <f>IF($AE202="","",IF($AE202&lt;=1200,IF(INDEX(对接源_01水果!$H$4:$H$1203,$AE202)=0,"",INDEX(对接源_01水果!$H$4:$H$1203,$AE202)),IF(INDEX(对接源_02物料!$H$4:$H$1203,$AE202-1200)=0,"",INDEX(对接源_02物料!$H$4:$H$1203,$AE202-1200))))</f>
      </c>
      <c r="F202" s="61">
        <f>IF($AE202="","",IF($AE202&lt;=1200,IF(INDEX(对接源_01水果!$I$4:$I$1203,$AE202)=0,"",INDEX(对接源_01水果!$I$4:$I$1203,$AE202)),IF(INDEX(对接源_02物料!$I$4:$I$1203,$AE202-1200)=0,"",INDEX(对接源_02物料!$I$4:$I$1203,$AE202-1200))))</f>
      </c>
      <c r="G202" s="173">
        <f>IF($AE202="","",IF(IF($AE202&lt;=1200,N(INDEX(对接源_01水果!$H$4:$H$1203,$AE202)),N(INDEX(对接源_02物料!$H$4:$H$1203,$AE202-1200)))=0,"",ROUND(IF($AE202&lt;=1200,N(INDEX(对接源_01水果!$K$4:$K$1203,$AE202)),N(INDEX(对接源_02物料!$K$4:$K$1203,$AE202-1200)))/IF($AE202&lt;=1200,N(INDEX(对接源_01水果!$H$4:$H$1203,$AE202)),N(INDEX(对接源_02物料!$H$4:$H$1203,$AE202-1200))),2)))</f>
      </c>
      <c r="H202" s="173">
        <f>IF($AE202="","",IF($AE202&lt;=1200,IF(INDEX(对接源_01水果!$K$4:$K$1203,$AE202)=0,"",INDEX(对接源_01水果!$K$4:$K$1203,$AE202)),IF(INDEX(对接源_02物料!$K$4:$K$1203,$AE202-1200)=0,"",INDEX(对接源_02物料!$K$4:$K$1203,$AE202-1200))))</f>
      </c>
      <c r="I202" s="61">
        <f>IF($AE202="","",IF($AE202&lt;=1200,IF(INDEX(对接源_01水果!$L$4:$L$1203,$AE202)=0,"",INDEX(对接源_01水果!$L$4:$L$1203,$AE202)),IF(INDEX(对接源_02物料!$L$4:$L$1203,$AE202-1200)=0,"",INDEX(对接源_02物料!$L$4:$L$1203,$AE202-1200))))</f>
      </c>
      <c r="J202" s="122">
        <f>IF($AE202="","",IF($AE202&lt;=1200,IF(INDEX(对接源_01水果!$M$4:$M$1203,$AE202)=0,"",INDEX(对接源_01水果!$M$4:$M$1203,$AE202)),IF(INDEX(对接源_02物料!$M$4:$M$1203,$AE202-1200)=0,"",INDEX(对接源_02物料!$M$4:$M$1203,$AE202-1200))))</f>
      </c>
      <c r="AE202" s="128">
        <f>IFERROR(MATCH(197,_自动清单!$AS$4:$AS$2403,0),"")</f>
      </c>
      <c r="AF202" s="128" t="n"/>
    </row>
    <row r="203" ht="18" customHeight="1" s="127">
      <c r="A203" s="163">
        <f>IF($AE203="","",IF($AE203&lt;=1200,IF(INDEX(对接源_01水果!$B$4:$B$1203,$AE203)=0,"",INDEX(对接源_01水果!$B$4:$B$1203,$AE203)),IF(INDEX(对接源_02物料!$B$4:$B$1203,$AE203-1200)=0,"",INDEX(对接源_02物料!$B$4:$B$1203,$AE203-1200))))</f>
      </c>
      <c r="B203" s="61">
        <f>IF($AE203="","",IF($AE203&lt;=1200,IF(INDEX(对接源_01水果!$E$4:$E$1203,$AE203)=0,"",INDEX(对接源_01水果!$E$4:$E$1203,$AE203)),IF(INDEX(对接源_02物料!$E$4:$E$1203,$AE203-1200)=0,"",INDEX(对接源_02物料!$E$4:$E$1203,$AE203-1200))))</f>
      </c>
      <c r="C203" s="122">
        <f>IF($AE203="","",IF($AE203&lt;=1200,IF(INDEX(对接源_01水果!$F$4:$F$1203,$AE203)=0,"",INDEX(对接源_01水果!$F$4:$F$1203,$AE203)),IF(INDEX(对接源_02物料!$F$4:$F$1203,$AE203-1200)=0,"",INDEX(对接源_02物料!$F$4:$F$1203,$AE203-1200))))</f>
      </c>
      <c r="D203" s="61">
        <f>IF($AE203="","",IF(IF($AE203&lt;=1200,IF(INDEX(对接源_01水果!$G$4:$G$1203,$AE203)=0,"",INDEX(对接源_01水果!$G$4:$G$1203,$AE203)),IF(INDEX(对接源_02物料!$G$4:$G$1203,$AE203-1200)=0,"",INDEX(对接源_02物料!$G$4:$G$1203,$AE203-1200)))="",IF($AE203&lt;=1200,IF(INDEX(对接源_01水果!$D$4:$D$1203,$AE203)=0,"",INDEX(对接源_01水果!$D$4:$D$1203,$AE203)),IF(INDEX(对接源_02物料!$D$4:$D$1203,$AE203-1200)=0,"",INDEX(对接源_02物料!$D$4:$D$1203,$AE203-1200))),IF($AE203&lt;=1200,IF(INDEX(对接源_01水果!$G$4:$G$1203,$AE203)=0,"",INDEX(对接源_01水果!$G$4:$G$1203,$AE203)),IF(INDEX(对接源_02物料!$G$4:$G$1203,$AE203-1200)=0,"",INDEX(对接源_02物料!$G$4:$G$1203,$AE203-1200)))))</f>
      </c>
      <c r="E203" s="173">
        <f>IF($AE203="","",IF($AE203&lt;=1200,IF(INDEX(对接源_01水果!$H$4:$H$1203,$AE203)=0,"",INDEX(对接源_01水果!$H$4:$H$1203,$AE203)),IF(INDEX(对接源_02物料!$H$4:$H$1203,$AE203-1200)=0,"",INDEX(对接源_02物料!$H$4:$H$1203,$AE203-1200))))</f>
      </c>
      <c r="F203" s="61">
        <f>IF($AE203="","",IF($AE203&lt;=1200,IF(INDEX(对接源_01水果!$I$4:$I$1203,$AE203)=0,"",INDEX(对接源_01水果!$I$4:$I$1203,$AE203)),IF(INDEX(对接源_02物料!$I$4:$I$1203,$AE203-1200)=0,"",INDEX(对接源_02物料!$I$4:$I$1203,$AE203-1200))))</f>
      </c>
      <c r="G203" s="173">
        <f>IF($AE203="","",IF(IF($AE203&lt;=1200,N(INDEX(对接源_01水果!$H$4:$H$1203,$AE203)),N(INDEX(对接源_02物料!$H$4:$H$1203,$AE203-1200)))=0,"",ROUND(IF($AE203&lt;=1200,N(INDEX(对接源_01水果!$K$4:$K$1203,$AE203)),N(INDEX(对接源_02物料!$K$4:$K$1203,$AE203-1200)))/IF($AE203&lt;=1200,N(INDEX(对接源_01水果!$H$4:$H$1203,$AE203)),N(INDEX(对接源_02物料!$H$4:$H$1203,$AE203-1200))),2)))</f>
      </c>
      <c r="H203" s="173">
        <f>IF($AE203="","",IF($AE203&lt;=1200,IF(INDEX(对接源_01水果!$K$4:$K$1203,$AE203)=0,"",INDEX(对接源_01水果!$K$4:$K$1203,$AE203)),IF(INDEX(对接源_02物料!$K$4:$K$1203,$AE203-1200)=0,"",INDEX(对接源_02物料!$K$4:$K$1203,$AE203-1200))))</f>
      </c>
      <c r="I203" s="61">
        <f>IF($AE203="","",IF($AE203&lt;=1200,IF(INDEX(对接源_01水果!$L$4:$L$1203,$AE203)=0,"",INDEX(对接源_01水果!$L$4:$L$1203,$AE203)),IF(INDEX(对接源_02物料!$L$4:$L$1203,$AE203-1200)=0,"",INDEX(对接源_02物料!$L$4:$L$1203,$AE203-1200))))</f>
      </c>
      <c r="J203" s="122">
        <f>IF($AE203="","",IF($AE203&lt;=1200,IF(INDEX(对接源_01水果!$M$4:$M$1203,$AE203)=0,"",INDEX(对接源_01水果!$M$4:$M$1203,$AE203)),IF(INDEX(对接源_02物料!$M$4:$M$1203,$AE203-1200)=0,"",INDEX(对接源_02物料!$M$4:$M$1203,$AE203-1200))))</f>
      </c>
      <c r="AE203" s="128">
        <f>IFERROR(MATCH(198,_自动清单!$AS$4:$AS$2403,0),"")</f>
      </c>
      <c r="AF203" s="128" t="n"/>
    </row>
    <row r="204" ht="18" customHeight="1" s="127">
      <c r="A204" s="163">
        <f>IF($AE204="","",IF($AE204&lt;=1200,IF(INDEX(对接源_01水果!$B$4:$B$1203,$AE204)=0,"",INDEX(对接源_01水果!$B$4:$B$1203,$AE204)),IF(INDEX(对接源_02物料!$B$4:$B$1203,$AE204-1200)=0,"",INDEX(对接源_02物料!$B$4:$B$1203,$AE204-1200))))</f>
      </c>
      <c r="B204" s="61">
        <f>IF($AE204="","",IF($AE204&lt;=1200,IF(INDEX(对接源_01水果!$E$4:$E$1203,$AE204)=0,"",INDEX(对接源_01水果!$E$4:$E$1203,$AE204)),IF(INDEX(对接源_02物料!$E$4:$E$1203,$AE204-1200)=0,"",INDEX(对接源_02物料!$E$4:$E$1203,$AE204-1200))))</f>
      </c>
      <c r="C204" s="122">
        <f>IF($AE204="","",IF($AE204&lt;=1200,IF(INDEX(对接源_01水果!$F$4:$F$1203,$AE204)=0,"",INDEX(对接源_01水果!$F$4:$F$1203,$AE204)),IF(INDEX(对接源_02物料!$F$4:$F$1203,$AE204-1200)=0,"",INDEX(对接源_02物料!$F$4:$F$1203,$AE204-1200))))</f>
      </c>
      <c r="D204" s="61">
        <f>IF($AE204="","",IF(IF($AE204&lt;=1200,IF(INDEX(对接源_01水果!$G$4:$G$1203,$AE204)=0,"",INDEX(对接源_01水果!$G$4:$G$1203,$AE204)),IF(INDEX(对接源_02物料!$G$4:$G$1203,$AE204-1200)=0,"",INDEX(对接源_02物料!$G$4:$G$1203,$AE204-1200)))="",IF($AE204&lt;=1200,IF(INDEX(对接源_01水果!$D$4:$D$1203,$AE204)=0,"",INDEX(对接源_01水果!$D$4:$D$1203,$AE204)),IF(INDEX(对接源_02物料!$D$4:$D$1203,$AE204-1200)=0,"",INDEX(对接源_02物料!$D$4:$D$1203,$AE204-1200))),IF($AE204&lt;=1200,IF(INDEX(对接源_01水果!$G$4:$G$1203,$AE204)=0,"",INDEX(对接源_01水果!$G$4:$G$1203,$AE204)),IF(INDEX(对接源_02物料!$G$4:$G$1203,$AE204-1200)=0,"",INDEX(对接源_02物料!$G$4:$G$1203,$AE204-1200)))))</f>
      </c>
      <c r="E204" s="173">
        <f>IF($AE204="","",IF($AE204&lt;=1200,IF(INDEX(对接源_01水果!$H$4:$H$1203,$AE204)=0,"",INDEX(对接源_01水果!$H$4:$H$1203,$AE204)),IF(INDEX(对接源_02物料!$H$4:$H$1203,$AE204-1200)=0,"",INDEX(对接源_02物料!$H$4:$H$1203,$AE204-1200))))</f>
      </c>
      <c r="F204" s="61">
        <f>IF($AE204="","",IF($AE204&lt;=1200,IF(INDEX(对接源_01水果!$I$4:$I$1203,$AE204)=0,"",INDEX(对接源_01水果!$I$4:$I$1203,$AE204)),IF(INDEX(对接源_02物料!$I$4:$I$1203,$AE204-1200)=0,"",INDEX(对接源_02物料!$I$4:$I$1203,$AE204-1200))))</f>
      </c>
      <c r="G204" s="173">
        <f>IF($AE204="","",IF(IF($AE204&lt;=1200,N(INDEX(对接源_01水果!$H$4:$H$1203,$AE204)),N(INDEX(对接源_02物料!$H$4:$H$1203,$AE204-1200)))=0,"",ROUND(IF($AE204&lt;=1200,N(INDEX(对接源_01水果!$K$4:$K$1203,$AE204)),N(INDEX(对接源_02物料!$K$4:$K$1203,$AE204-1200)))/IF($AE204&lt;=1200,N(INDEX(对接源_01水果!$H$4:$H$1203,$AE204)),N(INDEX(对接源_02物料!$H$4:$H$1203,$AE204-1200))),2)))</f>
      </c>
      <c r="H204" s="173">
        <f>IF($AE204="","",IF($AE204&lt;=1200,IF(INDEX(对接源_01水果!$K$4:$K$1203,$AE204)=0,"",INDEX(对接源_01水果!$K$4:$K$1203,$AE204)),IF(INDEX(对接源_02物料!$K$4:$K$1203,$AE204-1200)=0,"",INDEX(对接源_02物料!$K$4:$K$1203,$AE204-1200))))</f>
      </c>
      <c r="I204" s="61">
        <f>IF($AE204="","",IF($AE204&lt;=1200,IF(INDEX(对接源_01水果!$L$4:$L$1203,$AE204)=0,"",INDEX(对接源_01水果!$L$4:$L$1203,$AE204)),IF(INDEX(对接源_02物料!$L$4:$L$1203,$AE204-1200)=0,"",INDEX(对接源_02物料!$L$4:$L$1203,$AE204-1200))))</f>
      </c>
      <c r="J204" s="122">
        <f>IF($AE204="","",IF($AE204&lt;=1200,IF(INDEX(对接源_01水果!$M$4:$M$1203,$AE204)=0,"",INDEX(对接源_01水果!$M$4:$M$1203,$AE204)),IF(INDEX(对接源_02物料!$M$4:$M$1203,$AE204-1200)=0,"",INDEX(对接源_02物料!$M$4:$M$1203,$AE204-1200))))</f>
      </c>
      <c r="AE204" s="128">
        <f>IFERROR(MATCH(199,_自动清单!$AS$4:$AS$2403,0),"")</f>
      </c>
      <c r="AF204" s="128" t="n"/>
    </row>
    <row r="205" ht="18" customHeight="1" s="127">
      <c r="A205" s="163">
        <f>IF($AE205="","",IF($AE205&lt;=1200,IF(INDEX(对接源_01水果!$B$4:$B$1203,$AE205)=0,"",INDEX(对接源_01水果!$B$4:$B$1203,$AE205)),IF(INDEX(对接源_02物料!$B$4:$B$1203,$AE205-1200)=0,"",INDEX(对接源_02物料!$B$4:$B$1203,$AE205-1200))))</f>
      </c>
      <c r="B205" s="61">
        <f>IF($AE205="","",IF($AE205&lt;=1200,IF(INDEX(对接源_01水果!$E$4:$E$1203,$AE205)=0,"",INDEX(对接源_01水果!$E$4:$E$1203,$AE205)),IF(INDEX(对接源_02物料!$E$4:$E$1203,$AE205-1200)=0,"",INDEX(对接源_02物料!$E$4:$E$1203,$AE205-1200))))</f>
      </c>
      <c r="C205" s="122">
        <f>IF($AE205="","",IF($AE205&lt;=1200,IF(INDEX(对接源_01水果!$F$4:$F$1203,$AE205)=0,"",INDEX(对接源_01水果!$F$4:$F$1203,$AE205)),IF(INDEX(对接源_02物料!$F$4:$F$1203,$AE205-1200)=0,"",INDEX(对接源_02物料!$F$4:$F$1203,$AE205-1200))))</f>
      </c>
      <c r="D205" s="61">
        <f>IF($AE205="","",IF(IF($AE205&lt;=1200,IF(INDEX(对接源_01水果!$G$4:$G$1203,$AE205)=0,"",INDEX(对接源_01水果!$G$4:$G$1203,$AE205)),IF(INDEX(对接源_02物料!$G$4:$G$1203,$AE205-1200)=0,"",INDEX(对接源_02物料!$G$4:$G$1203,$AE205-1200)))="",IF($AE205&lt;=1200,IF(INDEX(对接源_01水果!$D$4:$D$1203,$AE205)=0,"",INDEX(对接源_01水果!$D$4:$D$1203,$AE205)),IF(INDEX(对接源_02物料!$D$4:$D$1203,$AE205-1200)=0,"",INDEX(对接源_02物料!$D$4:$D$1203,$AE205-1200))),IF($AE205&lt;=1200,IF(INDEX(对接源_01水果!$G$4:$G$1203,$AE205)=0,"",INDEX(对接源_01水果!$G$4:$G$1203,$AE205)),IF(INDEX(对接源_02物料!$G$4:$G$1203,$AE205-1200)=0,"",INDEX(对接源_02物料!$G$4:$G$1203,$AE205-1200)))))</f>
      </c>
      <c r="E205" s="173">
        <f>IF($AE205="","",IF($AE205&lt;=1200,IF(INDEX(对接源_01水果!$H$4:$H$1203,$AE205)=0,"",INDEX(对接源_01水果!$H$4:$H$1203,$AE205)),IF(INDEX(对接源_02物料!$H$4:$H$1203,$AE205-1200)=0,"",INDEX(对接源_02物料!$H$4:$H$1203,$AE205-1200))))</f>
      </c>
      <c r="F205" s="61">
        <f>IF($AE205="","",IF($AE205&lt;=1200,IF(INDEX(对接源_01水果!$I$4:$I$1203,$AE205)=0,"",INDEX(对接源_01水果!$I$4:$I$1203,$AE205)),IF(INDEX(对接源_02物料!$I$4:$I$1203,$AE205-1200)=0,"",INDEX(对接源_02物料!$I$4:$I$1203,$AE205-1200))))</f>
      </c>
      <c r="G205" s="173">
        <f>IF($AE205="","",IF(IF($AE205&lt;=1200,N(INDEX(对接源_01水果!$H$4:$H$1203,$AE205)),N(INDEX(对接源_02物料!$H$4:$H$1203,$AE205-1200)))=0,"",ROUND(IF($AE205&lt;=1200,N(INDEX(对接源_01水果!$K$4:$K$1203,$AE205)),N(INDEX(对接源_02物料!$K$4:$K$1203,$AE205-1200)))/IF($AE205&lt;=1200,N(INDEX(对接源_01水果!$H$4:$H$1203,$AE205)),N(INDEX(对接源_02物料!$H$4:$H$1203,$AE205-1200))),2)))</f>
      </c>
      <c r="H205" s="173">
        <f>IF($AE205="","",IF($AE205&lt;=1200,IF(INDEX(对接源_01水果!$K$4:$K$1203,$AE205)=0,"",INDEX(对接源_01水果!$K$4:$K$1203,$AE205)),IF(INDEX(对接源_02物料!$K$4:$K$1203,$AE205-1200)=0,"",INDEX(对接源_02物料!$K$4:$K$1203,$AE205-1200))))</f>
      </c>
      <c r="I205" s="61">
        <f>IF($AE205="","",IF($AE205&lt;=1200,IF(INDEX(对接源_01水果!$L$4:$L$1203,$AE205)=0,"",INDEX(对接源_01水果!$L$4:$L$1203,$AE205)),IF(INDEX(对接源_02物料!$L$4:$L$1203,$AE205-1200)=0,"",INDEX(对接源_02物料!$L$4:$L$1203,$AE205-1200))))</f>
      </c>
      <c r="J205" s="122">
        <f>IF($AE205="","",IF($AE205&lt;=1200,IF(INDEX(对接源_01水果!$M$4:$M$1203,$AE205)=0,"",INDEX(对接源_01水果!$M$4:$M$1203,$AE205)),IF(INDEX(对接源_02物料!$M$4:$M$1203,$AE205-1200)=0,"",INDEX(对接源_02物料!$M$4:$M$1203,$AE205-1200))))</f>
      </c>
      <c r="AE205" s="128">
        <f>IFERROR(MATCH(200,_自动清单!$AS$4:$AS$2403,0),"")</f>
      </c>
      <c r="AF205" s="128" t="n"/>
    </row>
    <row r="206" ht="18" customHeight="1" s="127">
      <c r="A206" s="125" t="n"/>
      <c r="B206" s="125" t="n"/>
      <c r="C206" s="126" t="n"/>
      <c r="D206" s="126" t="n"/>
      <c r="E206" s="125" t="n"/>
      <c r="F206" s="125" t="n"/>
      <c r="G206" s="125" t="n"/>
      <c r="H206" s="125" t="n"/>
      <c r="I206" s="125" t="n"/>
      <c r="J206" s="126" t="n"/>
      <c r="AF206" s="128" t="n"/>
    </row>
    <row r="207" ht="18" customHeight="1" s="127">
      <c r="A207" s="125" t="n"/>
      <c r="B207" s="125" t="n"/>
      <c r="C207" s="126" t="n"/>
      <c r="D207" s="126" t="n"/>
      <c r="E207" s="125" t="n"/>
      <c r="F207" s="125" t="n"/>
      <c r="G207" s="125" t="n"/>
      <c r="H207" s="125" t="n"/>
      <c r="I207" s="125" t="n"/>
      <c r="J207" s="126" t="n"/>
      <c r="AF207" s="128" t="n"/>
    </row>
    <row r="208" ht="18" customHeight="1" s="127">
      <c r="A208" s="125" t="n"/>
      <c r="B208" s="125" t="n"/>
      <c r="C208" s="126" t="n"/>
      <c r="D208" s="126" t="n"/>
      <c r="E208" s="125" t="n"/>
      <c r="F208" s="125" t="n"/>
      <c r="G208" s="125" t="n"/>
      <c r="H208" s="125" t="n"/>
      <c r="I208" s="125" t="n"/>
      <c r="J208" s="126" t="n"/>
      <c r="AF208" s="128" t="n"/>
    </row>
  </sheetData>
  <mergeCells count="11">
    <mergeCell ref="L3:M3"/>
    <mergeCell ref="B2:C2"/>
    <mergeCell ref="L7:M7"/>
    <mergeCell ref="L4:M4"/>
    <mergeCell ref="L6:M6"/>
    <mergeCell ref="A3:J3"/>
    <mergeCell ref="A4:G4"/>
    <mergeCell ref="H4:J4"/>
    <mergeCell ref="L5:M5"/>
    <mergeCell ref="A1:H1"/>
    <mergeCell ref="L2:N2"/>
  </mergeCells>
  <dataValidations count="1">
    <dataValidation sqref="B2" showDropDown="0" showInputMessage="0" showErrorMessage="0" allowBlank="1" type="list">
      <formula1>_自动清单!$E$4:$E$203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AN311"/>
  <sheetViews>
    <sheetView showGridLines="0" zoomScale="120" zoomScaleNormal="120" workbookViewId="0">
      <pane ySplit="3" topLeftCell="A35" activePane="bottomLeft" state="frozen"/>
      <selection activeCell="A1" sqref="A1"/>
      <selection pane="bottomLeft" activeCell="B2" sqref="B2:C2"/>
    </sheetView>
  </sheetViews>
  <sheetFormatPr baseColWidth="8" defaultColWidth="9" defaultRowHeight="13.5"/>
  <cols>
    <col width="12" customWidth="1" style="127" min="1" max="1"/>
    <col width="15" customWidth="1" style="127" min="2" max="2"/>
    <col width="11" customWidth="1" style="127" min="3" max="3"/>
    <col width="13" customWidth="1" style="127" min="4" max="4"/>
    <col width="11" customWidth="1" style="127" min="5" max="5"/>
    <col width="7" customWidth="1" style="127" min="6" max="6"/>
    <col width="12" customWidth="1" style="127" min="7" max="7"/>
    <col width="13" customWidth="1" style="127" min="8" max="8"/>
    <col width="15" customWidth="1" style="8" min="9" max="9"/>
    <col width="18" customWidth="1" style="127" min="10" max="10"/>
    <col width="2" customWidth="1" style="127" min="11" max="11"/>
    <col width="13" customWidth="1" style="127" min="12" max="12"/>
    <col width="11" customWidth="1" style="127" min="13" max="13"/>
    <col width="12" customWidth="1" style="127" min="14" max="14"/>
    <col width="2" customWidth="1" style="127" min="15" max="15"/>
    <col width="12" customWidth="1" style="127" min="16" max="16"/>
  </cols>
  <sheetData>
    <row r="1" ht="49.5" customHeight="1" s="127">
      <c r="A1" s="37" t="inlineStr">
        <is>
          <t>新疆果然鲜仓储有限公司</t>
        </is>
      </c>
      <c r="I1" s="92" t="inlineStr">
        <is>
          <t>对账单</t>
        </is>
      </c>
      <c r="J1" s="93" t="n"/>
      <c r="P1" s="155">
        <f>IF($F$2="",DATE(1900,1,1),$F$2)</f>
        <v>2.0</v>
      </c>
    </row>
    <row r="2" ht="25.5" customHeight="1" s="127">
      <c r="A2" s="94" t="inlineStr">
        <is>
          <t>客　户:</t>
        </is>
      </c>
      <c r="B2" s="42" t="inlineStr">
        <is>
          <t>吐尔洪</t>
        </is>
      </c>
      <c r="C2" s="156" t="n"/>
      <c r="E2" s="43" t="inlineStr">
        <is>
          <t>开始日期:</t>
        </is>
      </c>
      <c r="F2" s="157" t="n"/>
      <c r="G2" s="43" t="inlineStr">
        <is>
          <t>结束日期:</t>
        </is>
      </c>
      <c r="H2" s="157" t="n"/>
      <c r="L2" s="95" t="inlineStr">
        <is>
          <t>水 果 进 出 汇 总</t>
        </is>
      </c>
      <c r="P2" s="155">
        <f>IF($H$2="",DATE(2999,12,31),$H$2)</f>
        <v>401768.0</v>
      </c>
    </row>
    <row r="3" ht="19.5" customHeight="1" s="127">
      <c r="A3" s="96" t="inlineStr">
        <is>
          <t>★ 水果原料入库 → 原料出库 → 库存结存，以及成品出库明细。右侧「等级汇总」按下方入库明细自动分等级合计。　★ 注意单位：原料入库/出库/结存是「筐」，成品出库是「箱」，两边不能直接相减；结存数量＝入库筐数−出库筐数，跟成品出库箱数没有加减关系。</t>
        </is>
      </c>
      <c r="L3" s="56" t="inlineStr">
        <is>
          <t>入库总数量（筐）</t>
        </is>
      </c>
      <c r="M3" s="158" t="n"/>
      <c r="N3" s="159">
        <f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</f>
        <v>1832</v>
      </c>
    </row>
    <row r="4" ht="24" customHeight="1" s="127">
      <c r="A4" s="54" t="inlineStr">
        <is>
          <t>入库总筐数 / 总毛重</t>
        </is>
      </c>
      <c r="B4" s="160" t="n"/>
      <c r="C4" s="160" t="n"/>
      <c r="D4" s="160" t="n"/>
      <c r="E4" s="160" t="n"/>
      <c r="F4" s="160" t="n"/>
      <c r="G4" s="158" t="n"/>
      <c r="H4" s="161" t="str">
        <f>ROUND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,0)&amp;"　筐（件）　｜　总毛重 "&amp;TEXT(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,"#,##0.00")&amp;" KG"</f>
        <v>1832　筐（件）　｜　总毛重 36,145.60 KG</v>
      </c>
      <c r="I4" s="160" t="n"/>
      <c r="J4" s="158" t="n"/>
      <c r="L4" s="56" t="inlineStr">
        <is>
          <t>入库总毛重KG</t>
        </is>
      </c>
      <c r="M4" s="158" t="n"/>
      <c r="N4" s="171">
        <f>ROUND(SUMIFS(对接源_01水果!$J$4:$J$1203,对接源_01水果!$C$4:$C$1203,$B$2,对接源_01水果!$B$4:$B$1203,"&gt;="&amp;$P$1,对接源_01水果!$B$4:$B$1203,"&lt;="&amp;$P$2,对接源_01水果!$D$4:$D$1203,"原料入库")+SUMIFS(对接源_02物料!$J$4:$J$1203,对接源_02物料!$C$4:$C$1203,$B$2,对接源_02物料!$B$4:$B$1203,"&gt;="&amp;$P$1,对接源_02物料!$B$4:$B$1203,"&lt;="&amp;$P$2,对接源_02物料!$D$4:$D$1203,"原料入库"),2)</f>
        <v>36145.6</v>
      </c>
    </row>
    <row r="5" ht="30" customHeight="1" s="127">
      <c r="A5" s="59" t="inlineStr">
        <is>
          <t>日　期</t>
        </is>
      </c>
      <c r="B5" s="59" t="inlineStr">
        <is>
          <t>票据单号</t>
        </is>
      </c>
      <c r="C5" s="59" t="inlineStr">
        <is>
          <t>品　名</t>
        </is>
      </c>
      <c r="D5" s="59" t="inlineStr">
        <is>
          <t>等　级</t>
        </is>
      </c>
      <c r="E5" s="59" t="inlineStr">
        <is>
          <t>入库数量</t>
        </is>
      </c>
      <c r="F5" s="59" t="inlineStr">
        <is>
          <t>单位</t>
        </is>
      </c>
      <c r="G5" s="59" t="inlineStr">
        <is>
          <t>总毛重KG</t>
        </is>
      </c>
      <c r="H5" s="59" t="inlineStr">
        <is>
          <t>车牌号</t>
        </is>
      </c>
      <c r="I5" s="59" t="inlineStr">
        <is>
          <t>货主/存放人</t>
        </is>
      </c>
      <c r="J5" s="59" t="inlineStr">
        <is>
          <t>备　注</t>
        </is>
      </c>
      <c r="L5" s="56" t="inlineStr">
        <is>
          <t>出库总数量（筐）</t>
        </is>
      </c>
      <c r="M5" s="158" t="n"/>
      <c r="N5" s="159">
        <f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</f>
        <v>0</v>
      </c>
    </row>
    <row r="6" ht="18" customHeight="1" s="127">
      <c r="A6" s="163">
        <f>IF($AE6="","",IF($AE6&lt;=1200,IF(INDEX(对接源_01水果!$B$4:$B$1203,$AE6)=0,"",INDEX(对接源_01水果!$B$4:$B$1203,$AE6)),IF(INDEX(对接源_02物料!$B$4:$B$1203,$AE6-1200)=0,"",INDEX(对接源_02物料!$B$4:$B$1203,$AE6-1200))))</f>
        <v>46272.0</v>
      </c>
      <c r="B6" s="61" t="str">
        <f>IF($AE6="","",IF($AE6&lt;=1200,IF(INDEX(对接源_01水果!$E$4:$E$1203,$AE6)=0,"",INDEX(对接源_01水果!$E$4:$E$1203,$AE6)),IF(INDEX(对接源_02物料!$E$4:$E$1203,$AE6-1200)=0,"",INDEX(对接源_02物料!$E$4:$E$1203,$AE6-1200))))</f>
        <v>NO:0000756</v>
      </c>
      <c r="C6" s="61" t="str">
        <f>IF($AE6="","",IF($AE6&lt;=1200,IF(INDEX(对接源_01水果!$F$4:$F$1203,$AE6)=0,"",INDEX(对接源_01水果!$F$4:$F$1203,$AE6)),IF(INDEX(对接源_02物料!$F$4:$F$1203,$AE6-1200)=0,"",INDEX(对接源_02物料!$F$4:$F$1203,$AE6-1200))))</f>
        <v>香梨</v>
      </c>
      <c r="D6" s="61" t="str">
        <f>IF($AE6="","",IF($AE6&lt;=1200,IF(INDEX(对接源_01水果!$G$4:$G$1203,$AE6)=0,"",INDEX(对接源_01水果!$G$4:$G$1203,$AE6)),IF(INDEX(对接源_02物料!$G$4:$G$1203,$AE6-1200)=0,"",INDEX(对接源_02物料!$G$4:$G$1203,$AE6-1200))))</f>
        <v>香梨特级</v>
      </c>
      <c r="E6" s="164">
        <f>IF($AE6="","",IF($AE6&lt;=1200,IF(INDEX(对接源_01水果!$H$4:$H$1203,$AE6)=0,"",INDEX(对接源_01水果!$H$4:$H$1203,$AE6)),IF(INDEX(对接源_02物料!$H$4:$H$1203,$AE6-1200)=0,"",INDEX(对接源_02物料!$H$4:$H$1203,$AE6-1200))))</f>
        <v>110</v>
      </c>
      <c r="F6" s="61" t="str">
        <f>IF($AE6="","",IF($AE6&lt;=1200,IF(INDEX(对接源_01水果!$I$4:$I$1203,$AE6)=0,"",INDEX(对接源_01水果!$I$4:$I$1203,$AE6)),IF(INDEX(对接源_02物料!$I$4:$I$1203,$AE6-1200)=0,"",INDEX(对接源_02物料!$I$4:$I$1203,$AE6-1200))))</f>
        <v>筐</v>
      </c>
      <c r="G6" s="173">
        <f>IF($AE6="","",IF($AE6&lt;=1200,IF(INDEX(对接源_01水果!$J$4:$J$1203,$AE6)=0,"",INDEX(对接源_01水果!$J$4:$J$1203,$AE6)),IF(INDEX(对接源_02物料!$J$4:$J$1203,$AE6-1200)=0,"",INDEX(对接源_02物料!$J$4:$J$1203,$AE6-1200))))</f>
        <v>2013</v>
      </c>
      <c r="H6" s="61" t="str">
        <f>IF($AE6="","",IF($AE6&lt;=1200,IF(INDEX(对接源_01水果!$W$4:$W$1203,$AE6)=0,"",INDEX(对接源_01水果!$W$4:$W$1203,$AE6)),IF(INDEX(对接源_02物料!$W$4:$W$1203,$AE6-1200)=0,"",INDEX(对接源_02物料!$W$4:$W$1203,$AE6-1200))))</f>
        <v>新N*X8S48</v>
      </c>
      <c r="I6" s="61" t="str">
        <f>IF($AE6="","",IF($AE6&lt;=1200,IF(INDEX(对接源_01水果!$C$4:$C$1203,$AE6)=0,"",INDEX(对接源_01水果!$C$4:$C$1203,$AE6)),IF(INDEX(对接源_02物料!$C$4:$C$1203,$AE6-1200)=0,"",INDEX(对接源_02物料!$C$4:$C$1203,$AE6-1200))))</f>
        <v>吐尔洪</v>
      </c>
      <c r="J6" s="64" t="str">
        <f>IF($AE6="","",IF($AE6&lt;=1200,IF(INDEX(对接源_01水果!$M$4:$M$1203,$AE6)=0,"",INDEX(对接源_01水果!$M$4:$M$1203,$AE6)),IF(INDEX(对接源_02物料!$M$4:$M$1203,$AE6-1200)=0,"",INDEX(对接源_02物料!$M$4:$M$1203,$AE6-1200))))</f>
        <v>麦麦提</v>
      </c>
      <c r="L6" s="101" t="inlineStr">
        <is>
          <t>结存数量（筐）</t>
        </is>
      </c>
      <c r="M6" s="158" t="n"/>
      <c r="N6" s="162">
        <f>ROUND((SUMIFS(对接源_01水果!$H$4:$H$1203,对接源_01水果!$C$4:$C$1203,$B$2,对接源_01水果!$B$4:$B$1203,"&gt;="&amp;$P$1,对接源_01水果!$B$4:$B$1203,"&lt;="&amp;$P$2,对接源_01水果!$D$4:$D$1203,"原料入库")+SUMIFS(对接源_02物料!$H$4:$H$1203,对接源_02物料!$C$4:$C$1203,$B$2,对接源_02物料!$B$4:$B$1203,"&gt;="&amp;$P$1,对接源_02物料!$B$4:$B$1203,"&lt;="&amp;$P$2,对接源_02物料!$D$4:$D$1203,"原料入库"))-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),0)</f>
        <v>1832</v>
      </c>
      <c r="AE6" s="2">
        <f>IFERROR(MATCH(1,_自动清单!$AA$4:$AA$2403,0),"")</f>
        <v>145</v>
      </c>
      <c r="AI6" s="2" t="str">
        <f>IF($D6="","",$D6)</f>
        <v>香梨特级</v>
      </c>
      <c r="AJ6" s="2">
        <f>IF(AI6="",0,IF(MATCH(AI6,AI$6:AI$125,0)=1,1,0))</f>
        <v>1</v>
      </c>
      <c r="AK6" s="2">
        <f>N(AK5)+AJ6</f>
        <v>1</v>
      </c>
    </row>
    <row r="7" ht="18" customHeight="1" s="127">
      <c r="A7" s="165">
        <f>IF($AE7="","",IF($AE7&lt;=1200,IF(INDEX(对接源_01水果!$B$4:$B$1203,$AE7)=0,"",INDEX(对接源_01水果!$B$4:$B$1203,$AE7)),IF(INDEX(对接源_02物料!$B$4:$B$1203,$AE7-1200)=0,"",INDEX(对接源_02物料!$B$4:$B$1203,$AE7-1200))))</f>
        <v>46272.0</v>
      </c>
      <c r="B7" s="104" t="str">
        <f>IF($AE7="","",IF($AE7&lt;=1200,IF(INDEX(对接源_01水果!$E$4:$E$1203,$AE7)=0,"",INDEX(对接源_01水果!$E$4:$E$1203,$AE7)),IF(INDEX(对接源_02物料!$E$4:$E$1203,$AE7-1200)=0,"",INDEX(对接源_02物料!$E$4:$E$1203,$AE7-1200))))</f>
        <v>NO:0000756</v>
      </c>
      <c r="C7" s="104" t="str">
        <f>IF($AE7="","",IF($AE7&lt;=1200,IF(INDEX(对接源_01水果!$F$4:$F$1203,$AE7)=0,"",INDEX(对接源_01水果!$F$4:$F$1203,$AE7)),IF(INDEX(对接源_02物料!$F$4:$F$1203,$AE7-1200)=0,"",INDEX(对接源_02物料!$F$4:$F$1203,$AE7-1200))))</f>
        <v>香梨</v>
      </c>
      <c r="D7" s="104" t="str">
        <f>IF($AE7="","",IF($AE7&lt;=1200,IF(INDEX(对接源_01水果!$G$4:$G$1203,$AE7)=0,"",INDEX(对接源_01水果!$G$4:$G$1203,$AE7)),IF(INDEX(对接源_02物料!$G$4:$G$1203,$AE7-1200)=0,"",INDEX(对接源_02物料!$G$4:$G$1203,$AE7-1200))))</f>
        <v>香梨二级</v>
      </c>
      <c r="E7" s="166">
        <f>IF($AE7="","",IF($AE7&lt;=1200,IF(INDEX(对接源_01水果!$H$4:$H$1203,$AE7)=0,"",INDEX(对接源_01水果!$H$4:$H$1203,$AE7)),IF(INDEX(对接源_02物料!$H$4:$H$1203,$AE7-1200)=0,"",INDEX(对接源_02物料!$H$4:$H$1203,$AE7-1200))))</f>
        <v>21</v>
      </c>
      <c r="F7" s="104" t="str">
        <f>IF($AE7="","",IF($AE7&lt;=1200,IF(INDEX(对接源_01水果!$I$4:$I$1203,$AE7)=0,"",INDEX(对接源_01水果!$I$4:$I$1203,$AE7)),IF(INDEX(对接源_02物料!$I$4:$I$1203,$AE7-1200)=0,"",INDEX(对接源_02物料!$I$4:$I$1203,$AE7-1200))))</f>
        <v>筐</v>
      </c>
      <c r="G7" s="175">
        <f>IF($AE7="","",IF($AE7&lt;=1200,IF(INDEX(对接源_01水果!$J$4:$J$1203,$AE7)=0,"",INDEX(对接源_01水果!$J$4:$J$1203,$AE7)),IF(INDEX(对接源_02物料!$J$4:$J$1203,$AE7-1200)=0,"",INDEX(对接源_02物料!$J$4:$J$1203,$AE7-1200))))</f>
        <v>384.3</v>
      </c>
      <c r="H7" s="104" t="str">
        <f>IF($AE7="","",IF($AE7&lt;=1200,IF(INDEX(对接源_01水果!$W$4:$W$1203,$AE7)=0,"",INDEX(对接源_01水果!$W$4:$W$1203,$AE7)),IF(INDEX(对接源_02物料!$W$4:$W$1203,$AE7-1200)=0,"",INDEX(对接源_02物料!$W$4:$W$1203,$AE7-1200))))</f>
        <v>新N*X8S48</v>
      </c>
      <c r="I7" s="104" t="str">
        <f>IF($AE7="","",IF($AE7&lt;=1200,IF(INDEX(对接源_01水果!$C$4:$C$1203,$AE7)=0,"",INDEX(对接源_01水果!$C$4:$C$1203,$AE7)),IF(INDEX(对接源_02物料!$C$4:$C$1203,$AE7-1200)=0,"",INDEX(对接源_02物料!$C$4:$C$1203,$AE7-1200))))</f>
        <v>吐尔洪</v>
      </c>
      <c r="J7" s="107" t="str">
        <f>IF($AE7="","",IF($AE7&lt;=1200,IF(INDEX(对接源_01水果!$M$4:$M$1203,$AE7)=0,"",INDEX(对接源_01水果!$M$4:$M$1203,$AE7)),IF(INDEX(对接源_02物料!$M$4:$M$1203,$AE7-1200)=0,"",INDEX(对接源_02物料!$M$4:$M$1203,$AE7-1200))))</f>
        <v>麦麦提</v>
      </c>
      <c r="L7" s="56" t="inlineStr">
        <is>
          <t>成品出库数量（箱）</t>
        </is>
      </c>
      <c r="M7" s="158" t="n"/>
      <c r="N7" s="159">
        <f>ROUND(SUMIFS(对接源_01水果!$H$4:$H$1203,对接源_01水果!$C$4:$C$1203,$B$2,对接源_01水果!$B$4:$B$1203,"&gt;="&amp;$P$1,对接源_01水果!$B$4:$B$1203,"&lt;="&amp;$P$2,对接源_01水果!$D$4:$D$1203,"成品出库*",对接源_01水果!$I$4:$I$1203,"箱")+SUMIFS(对接源_02物料!$H$4:$H$1203,对接源_02物料!$C$4:$C$1203,$B$2,对接源_02物料!$B$4:$B$1203,"&gt;="&amp;$P$1,对接源_02物料!$B$4:$B$1203,"&lt;="&amp;$P$2,对接源_02物料!$D$4:$D$1203,"成品出库*",对接源_02物料!$I$4:$I$1203,"箱"),0)</f>
        <v>0</v>
      </c>
      <c r="AE7" s="2">
        <f>IFERROR(MATCH(2,_自动清单!$AA$4:$AA$2403,0),"")</f>
        <v>146</v>
      </c>
      <c r="AI7" s="2" t="str">
        <f>IF($D7="","",$D7)</f>
        <v>香梨二级</v>
      </c>
      <c r="AJ7" s="2">
        <f>IF(AI7="",0,IF(MATCH(AI7,AI$6:AI$125,0)=2,1,0))</f>
        <v>1</v>
      </c>
      <c r="AK7" s="2">
        <f>N(AK6)+AJ7</f>
        <v>2</v>
      </c>
    </row>
    <row r="8" ht="18" customHeight="1" s="127">
      <c r="A8" s="163">
        <f>IF($AE8="","",IF($AE8&lt;=1200,IF(INDEX(对接源_01水果!$B$4:$B$1203,$AE8)=0,"",INDEX(对接源_01水果!$B$4:$B$1203,$AE8)),IF(INDEX(对接源_02物料!$B$4:$B$1203,$AE8-1200)=0,"",INDEX(对接源_02物料!$B$4:$B$1203,$AE8-1200))))</f>
        <v>46272.0</v>
      </c>
      <c r="B8" s="61" t="str">
        <f>IF($AE8="","",IF($AE8&lt;=1200,IF(INDEX(对接源_01水果!$E$4:$E$1203,$AE8)=0,"",INDEX(对接源_01水果!$E$4:$E$1203,$AE8)),IF(INDEX(对接源_02物料!$E$4:$E$1203,$AE8-1200)=0,"",INDEX(对接源_02物料!$E$4:$E$1203,$AE8-1200))))</f>
        <v>NO:0000756</v>
      </c>
      <c r="C8" s="61" t="str">
        <f>IF($AE8="","",IF($AE8&lt;=1200,IF(INDEX(对接源_01水果!$F$4:$F$1203,$AE8)=0,"",INDEX(对接源_01水果!$F$4:$F$1203,$AE8)),IF(INDEX(对接源_02物料!$F$4:$F$1203,$AE8-1200)=0,"",INDEX(对接源_02物料!$F$4:$F$1203,$AE8-1200))))</f>
        <v>香梨</v>
      </c>
      <c r="D8" s="61" t="str">
        <f>IF($AE8="","",IF($AE8&lt;=1200,IF(INDEX(对接源_01水果!$G$4:$G$1203,$AE8)=0,"",INDEX(对接源_01水果!$G$4:$G$1203,$AE8)),IF(INDEX(对接源_02物料!$G$4:$G$1203,$AE8-1200)=0,"",INDEX(对接源_02物料!$G$4:$G$1203,$AE8-1200))))</f>
        <v>香梨二级</v>
      </c>
      <c r="E8" s="164">
        <f>IF($AE8="","",IF($AE8&lt;=1200,IF(INDEX(对接源_01水果!$H$4:$H$1203,$AE8)=0,"",INDEX(对接源_01水果!$H$4:$H$1203,$AE8)),IF(INDEX(对接源_02物料!$H$4:$H$1203,$AE8-1200)=0,"",INDEX(对接源_02物料!$H$4:$H$1203,$AE8-1200))))</f>
        <v>67</v>
      </c>
      <c r="F8" s="61" t="str">
        <f>IF($AE8="","",IF($AE8&lt;=1200,IF(INDEX(对接源_01水果!$I$4:$I$1203,$AE8)=0,"",INDEX(对接源_01水果!$I$4:$I$1203,$AE8)),IF(INDEX(对接源_02物料!$I$4:$I$1203,$AE8-1200)=0,"",INDEX(对接源_02物料!$I$4:$I$1203,$AE8-1200))))</f>
        <v>筐</v>
      </c>
      <c r="G8" s="173">
        <f>IF($AE8="","",IF($AE8&lt;=1200,IF(INDEX(对接源_01水果!$J$4:$J$1203,$AE8)=0,"",INDEX(对接源_01水果!$J$4:$J$1203,$AE8)),IF(INDEX(对接源_02物料!$J$4:$J$1203,$AE8-1200)=0,"",INDEX(对接源_02物料!$J$4:$J$1203,$AE8-1200))))</f>
        <v>1494.1</v>
      </c>
      <c r="H8" s="61" t="str">
        <f>IF($AE8="","",IF($AE8&lt;=1200,IF(INDEX(对接源_01水果!$W$4:$W$1203,$AE8)=0,"",INDEX(对接源_01水果!$W$4:$W$1203,$AE8)),IF(INDEX(对接源_02物料!$W$4:$W$1203,$AE8-1200)=0,"",INDEX(对接源_02物料!$W$4:$W$1203,$AE8-1200))))</f>
        <v>新N*X8S48</v>
      </c>
      <c r="I8" s="61" t="str">
        <f>IF($AE8="","",IF($AE8&lt;=1200,IF(INDEX(对接源_01水果!$C$4:$C$1203,$AE8)=0,"",INDEX(对接源_01水果!$C$4:$C$1203,$AE8)),IF(INDEX(对接源_02物料!$C$4:$C$1203,$AE8-1200)=0,"",INDEX(对接源_02物料!$C$4:$C$1203,$AE8-1200))))</f>
        <v>吐尔洪</v>
      </c>
      <c r="J8" s="64" t="str">
        <f>IF($AE8="","",IF($AE8&lt;=1200,IF(INDEX(对接源_01水果!$M$4:$M$1203,$AE8)=0,"",INDEX(对接源_01水果!$M$4:$M$1203,$AE8)),IF(INDEX(对接源_02物料!$M$4:$M$1203,$AE8-1200)=0,"",INDEX(对接源_02物料!$M$4:$M$1203,$AE8-1200))))</f>
        <v>麦麦提</v>
      </c>
      <c r="L8" s="56" t="inlineStr">
        <is>
          <t>成品出库金额</t>
        </is>
      </c>
      <c r="M8" s="158" t="n"/>
      <c r="N8" s="171">
        <f>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</f>
        <v>0</v>
      </c>
      <c r="AE8" s="2">
        <f>IFERROR(MATCH(3,_自动清单!$AA$4:$AA$2403,0),"")</f>
        <v>147</v>
      </c>
      <c r="AI8" s="2" t="str">
        <f>IF($D8="","",$D8)</f>
        <v>香梨二级</v>
      </c>
      <c r="AJ8" s="2">
        <f>IF(AI8="",0,IF(MATCH(AI8,AI$6:AI$125,0)=3,1,0))</f>
        <v>0</v>
      </c>
      <c r="AK8" s="2">
        <f>N(AK7)+AJ8</f>
        <v>2</v>
      </c>
    </row>
    <row r="9" ht="18" customHeight="1" s="127">
      <c r="A9" s="165">
        <f>IF($AE9="","",IF($AE9&lt;=1200,IF(INDEX(对接源_01水果!$B$4:$B$1203,$AE9)=0,"",INDEX(对接源_01水果!$B$4:$B$1203,$AE9)),IF(INDEX(对接源_02物料!$B$4:$B$1203,$AE9-1200)=0,"",INDEX(对接源_02物料!$B$4:$B$1203,$AE9-1200))))</f>
        <v>46274.0</v>
      </c>
      <c r="B9" s="104" t="str">
        <f>IF($AE9="","",IF($AE9&lt;=1200,IF(INDEX(对接源_01水果!$E$4:$E$1203,$AE9)=0,"",INDEX(对接源_01水果!$E$4:$E$1203,$AE9)),IF(INDEX(对接源_02物料!$E$4:$E$1203,$AE9-1200)=0,"",INDEX(对接源_02物料!$E$4:$E$1203,$AE9-1200))))</f>
        <v>NO:0000762</v>
      </c>
      <c r="C9" s="104" t="str">
        <f>IF($AE9="","",IF($AE9&lt;=1200,IF(INDEX(对接源_01水果!$F$4:$F$1203,$AE9)=0,"",INDEX(对接源_01水果!$F$4:$F$1203,$AE9)),IF(INDEX(对接源_02物料!$F$4:$F$1203,$AE9-1200)=0,"",INDEX(对接源_02物料!$F$4:$F$1203,$AE9-1200))))</f>
        <v>香梨</v>
      </c>
      <c r="D9" s="104" t="str">
        <f>IF($AE9="","",IF($AE9&lt;=1200,IF(INDEX(对接源_01水果!$G$4:$G$1203,$AE9)=0,"",INDEX(对接源_01水果!$G$4:$G$1203,$AE9)),IF(INDEX(对接源_02物料!$G$4:$G$1203,$AE9-1200)=0,"",INDEX(对接源_02物料!$G$4:$G$1203,$AE9-1200))))</f>
        <v>香梨特级</v>
      </c>
      <c r="E9" s="166">
        <f>IF($AE9="","",IF($AE9&lt;=1200,IF(INDEX(对接源_01水果!$H$4:$H$1203,$AE9)=0,"",INDEX(对接源_01水果!$H$4:$H$1203,$AE9)),IF(INDEX(对接源_02物料!$H$4:$H$1203,$AE9-1200)=0,"",INDEX(对接源_02物料!$H$4:$H$1203,$AE9-1200))))</f>
        <v>91</v>
      </c>
      <c r="F9" s="104" t="str">
        <f>IF($AE9="","",IF($AE9&lt;=1200,IF(INDEX(对接源_01水果!$I$4:$I$1203,$AE9)=0,"",INDEX(对接源_01水果!$I$4:$I$1203,$AE9)),IF(INDEX(对接源_02物料!$I$4:$I$1203,$AE9-1200)=0,"",INDEX(对接源_02物料!$I$4:$I$1203,$AE9-1200))))</f>
        <v>筐</v>
      </c>
      <c r="G9" s="175">
        <f>IF($AE9="","",IF($AE9&lt;=1200,IF(INDEX(对接源_01水果!$J$4:$J$1203,$AE9)=0,"",INDEX(对接源_01水果!$J$4:$J$1203,$AE9)),IF(INDEX(对接源_02物料!$J$4:$J$1203,$AE9-1200)=0,"",INDEX(对接源_02物料!$J$4:$J$1203,$AE9-1200))))</f>
        <v>1665.3</v>
      </c>
      <c r="H9" s="104" t="str">
        <f>IF($AE9="","",IF($AE9&lt;=1200,IF(INDEX(对接源_01水果!$W$4:$W$1203,$AE9)=0,"",INDEX(对接源_01水果!$W$4:$W$1203,$AE9)),IF(INDEX(对接源_02物料!$W$4:$W$1203,$AE9-1200)=0,"",INDEX(对接源_02物料!$W$4:$W$1203,$AE9-1200))))</f>
        <v>新N*X8S48</v>
      </c>
      <c r="I9" s="104" t="str">
        <f>IF($AE9="","",IF($AE9&lt;=1200,IF(INDEX(对接源_01水果!$C$4:$C$1203,$AE9)=0,"",INDEX(对接源_01水果!$C$4:$C$1203,$AE9)),IF(INDEX(对接源_02物料!$C$4:$C$1203,$AE9-1200)=0,"",INDEX(对接源_02物料!$C$4:$C$1203,$AE9-1200))))</f>
        <v>吐尔洪</v>
      </c>
      <c r="J9" s="107" t="str">
        <f>IF($AE9="","",IF($AE9&lt;=1200,IF(INDEX(对接源_01水果!$M$4:$M$1203,$AE9)=0,"",INDEX(对接源_01水果!$M$4:$M$1203,$AE9)),IF(INDEX(对接源_02物料!$M$4:$M$1203,$AE9-1200)=0,"",INDEX(对接源_02物料!$M$4:$M$1203,$AE9-1200))))</f>
        <v>麦麦提</v>
      </c>
      <c r="L9" s="56" t="inlineStr">
        <is>
          <t>成品出库数量（筐等）</t>
        </is>
      </c>
      <c r="M9" s="158" t="n"/>
      <c r="N9" s="159">
        <f>ROUND(SUMIFS(对接源_01水果!$H$4:$H$1203,对接源_01水果!$C$4:$C$1203,$B$2,对接源_01水果!$B$4:$B$1203,"&gt;="&amp;$P$1,对接源_01水果!$B$4:$B$1203,"&lt;="&amp;$P$2,对接源_01水果!$D$4:$D$1203,"成品出库*",对接源_01水果!$I$4:$I$1203,"&lt;&gt;箱")+SUMIFS(对接源_02物料!$H$4:$H$1203,对接源_02物料!$C$4:$C$1203,$B$2,对接源_02物料!$B$4:$B$1203,"&gt;="&amp;$P$1,对接源_02物料!$B$4:$B$1203,"&lt;="&amp;$P$2,对接源_02物料!$D$4:$D$1203,"成品出库*",对接源_02物料!$I$4:$I$1203,"&lt;&gt;箱"),0)</f>
        <v>0</v>
      </c>
      <c r="AE9" s="2">
        <f>IFERROR(MATCH(4,_自动清单!$AA$4:$AA$2403,0),"")</f>
        <v>156</v>
      </c>
      <c r="AI9" s="2" t="str">
        <f>IF($D9="","",$D9)</f>
        <v>香梨特级</v>
      </c>
      <c r="AJ9" s="2">
        <f>IF(AI9="",0,IF(MATCH(AI9,AI$6:AI$125,0)=4,1,0))</f>
        <v>0</v>
      </c>
      <c r="AK9" s="2">
        <f>N(AK8)+AJ9</f>
        <v>2</v>
      </c>
    </row>
    <row r="10" ht="18" customHeight="1" s="127">
      <c r="A10" s="163">
        <f>IF($AE10="","",IF($AE10&lt;=1200,IF(INDEX(对接源_01水果!$B$4:$B$1203,$AE10)=0,"",INDEX(对接源_01水果!$B$4:$B$1203,$AE10)),IF(INDEX(对接源_02物料!$B$4:$B$1203,$AE10-1200)=0,"",INDEX(对接源_02物料!$B$4:$B$1203,$AE10-1200))))</f>
        <v>46274.0</v>
      </c>
      <c r="B10" s="61" t="str">
        <f>IF($AE10="","",IF($AE10&lt;=1200,IF(INDEX(对接源_01水果!$E$4:$E$1203,$AE10)=0,"",INDEX(对接源_01水果!$E$4:$E$1203,$AE10)),IF(INDEX(对接源_02物料!$E$4:$E$1203,$AE10-1200)=0,"",INDEX(对接源_02物料!$E$4:$E$1203,$AE10-1200))))</f>
        <v>NO:0000762</v>
      </c>
      <c r="C10" s="61" t="str">
        <f>IF($AE10="","",IF($AE10&lt;=1200,IF(INDEX(对接源_01水果!$F$4:$F$1203,$AE10)=0,"",INDEX(对接源_01水果!$F$4:$F$1203,$AE10)),IF(INDEX(对接源_02物料!$F$4:$F$1203,$AE10-1200)=0,"",INDEX(对接源_02物料!$F$4:$F$1203,$AE10-1200))))</f>
        <v>香梨</v>
      </c>
      <c r="D10" s="61" t="str">
        <f>IF($AE10="","",IF($AE10&lt;=1200,IF(INDEX(对接源_01水果!$G$4:$G$1203,$AE10)=0,"",INDEX(对接源_01水果!$G$4:$G$1203,$AE10)),IF(INDEX(对接源_02物料!$G$4:$G$1203,$AE10-1200)=0,"",INDEX(对接源_02物料!$G$4:$G$1203,$AE10-1200))))</f>
        <v>香梨一级</v>
      </c>
      <c r="E10" s="164">
        <f>IF($AE10="","",IF($AE10&lt;=1200,IF(INDEX(对接源_01水果!$H$4:$H$1203,$AE10)=0,"",INDEX(对接源_01水果!$H$4:$H$1203,$AE10)),IF(INDEX(对接源_02物料!$H$4:$H$1203,$AE10-1200)=0,"",INDEX(对接源_02物料!$H$4:$H$1203,$AE10-1200))))</f>
        <v>79</v>
      </c>
      <c r="F10" s="61" t="str">
        <f>IF($AE10="","",IF($AE10&lt;=1200,IF(INDEX(对接源_01水果!$I$4:$I$1203,$AE10)=0,"",INDEX(对接源_01水果!$I$4:$I$1203,$AE10)),IF(INDEX(对接源_02物料!$I$4:$I$1203,$AE10-1200)=0,"",INDEX(对接源_02物料!$I$4:$I$1203,$AE10-1200))))</f>
        <v>筐</v>
      </c>
      <c r="G10" s="173">
        <f>IF($AE10="","",IF($AE10&lt;=1200,IF(INDEX(对接源_01水果!$J$4:$J$1203,$AE10)=0,"",INDEX(对接源_01水果!$J$4:$J$1203,$AE10)),IF(INDEX(对接源_02物料!$J$4:$J$1203,$AE10-1200)=0,"",INDEX(对接源_02物料!$J$4:$J$1203,$AE10-1200))))</f>
        <v>1445.7</v>
      </c>
      <c r="H10" s="61" t="str">
        <f>IF($AE10="","",IF($AE10&lt;=1200,IF(INDEX(对接源_01水果!$W$4:$W$1203,$AE10)=0,"",INDEX(对接源_01水果!$W$4:$W$1203,$AE10)),IF(INDEX(对接源_02物料!$W$4:$W$1203,$AE10-1200)=0,"",INDEX(对接源_02物料!$W$4:$W$1203,$AE10-1200))))</f>
        <v>新N*X8S48</v>
      </c>
      <c r="I10" s="61" t="str">
        <f>IF($AE10="","",IF($AE10&lt;=1200,IF(INDEX(对接源_01水果!$C$4:$C$1203,$AE10)=0,"",INDEX(对接源_01水果!$C$4:$C$1203,$AE10)),IF(INDEX(对接源_02物料!$C$4:$C$1203,$AE10-1200)=0,"",INDEX(对接源_02物料!$C$4:$C$1203,$AE10-1200))))</f>
        <v>吐尔洪</v>
      </c>
      <c r="J10" s="64" t="str">
        <f>IF($AE10="","",IF($AE10&lt;=1200,IF(INDEX(对接源_01水果!$M$4:$M$1203,$AE10)=0,"",INDEX(对接源_01水果!$M$4:$M$1203,$AE10)),IF(INDEX(对接源_02物料!$M$4:$M$1203,$AE10-1200)=0,"",INDEX(对接源_02物料!$M$4:$M$1203,$AE10-1200))))</f>
        <v>麦麦提</v>
      </c>
      <c r="L10" s="108" t="inlineStr">
        <is>
          <t>入 库 等 级 汇 总</t>
        </is>
      </c>
      <c r="AE10" s="2">
        <f>IFERROR(MATCH(5,_自动清单!$AA$4:$AA$2403,0),"")</f>
        <v>157</v>
      </c>
      <c r="AI10" s="2" t="str">
        <f>IF($D10="","",$D10)</f>
        <v>香梨一级</v>
      </c>
      <c r="AJ10" s="2">
        <f>IF(AI10="",0,IF(MATCH(AI10,AI$6:AI$125,0)=5,1,0))</f>
        <v>1</v>
      </c>
      <c r="AK10" s="2">
        <f>N(AK9)+AJ10</f>
        <v>3</v>
      </c>
    </row>
    <row r="11" ht="18" customHeight="1" s="127">
      <c r="A11" s="165">
        <f>IF($AE11="","",IF($AE11&lt;=1200,IF(INDEX(对接源_01水果!$B$4:$B$1203,$AE11)=0,"",INDEX(对接源_01水果!$B$4:$B$1203,$AE11)),IF(INDEX(对接源_02物料!$B$4:$B$1203,$AE11-1200)=0,"",INDEX(对接源_02物料!$B$4:$B$1203,$AE11-1200))))</f>
        <v>46274.0</v>
      </c>
      <c r="B11" s="104" t="str">
        <f>IF($AE11="","",IF($AE11&lt;=1200,IF(INDEX(对接源_01水果!$E$4:$E$1203,$AE11)=0,"",INDEX(对接源_01水果!$E$4:$E$1203,$AE11)),IF(INDEX(对接源_02物料!$E$4:$E$1203,$AE11-1200)=0,"",INDEX(对接源_02物料!$E$4:$E$1203,$AE11-1200))))</f>
        <v>NO:0000762</v>
      </c>
      <c r="C11" s="104" t="str">
        <f>IF($AE11="","",IF($AE11&lt;=1200,IF(INDEX(对接源_01水果!$F$4:$F$1203,$AE11)=0,"",INDEX(对接源_01水果!$F$4:$F$1203,$AE11)),IF(INDEX(对接源_02物料!$F$4:$F$1203,$AE11-1200)=0,"",INDEX(对接源_02物料!$F$4:$F$1203,$AE11-1200))))</f>
        <v>香梨</v>
      </c>
      <c r="D11" s="104" t="str">
        <f>IF($AE11="","",IF($AE11&lt;=1200,IF(INDEX(对接源_01水果!$G$4:$G$1203,$AE11)=0,"",INDEX(对接源_01水果!$G$4:$G$1203,$AE11)),IF(INDEX(对接源_02物料!$G$4:$G$1203,$AE11-1200)=0,"",INDEX(对接源_02物料!$G$4:$G$1203,$AE11-1200))))</f>
        <v>香梨二级</v>
      </c>
      <c r="E11" s="166">
        <f>IF($AE11="","",IF($AE11&lt;=1200,IF(INDEX(对接源_01水果!$H$4:$H$1203,$AE11)=0,"",INDEX(对接源_01水果!$H$4:$H$1203,$AE11)),IF(INDEX(对接源_02物料!$H$4:$H$1203,$AE11-1200)=0,"",INDEX(对接源_02物料!$H$4:$H$1203,$AE11-1200))))</f>
        <v>72</v>
      </c>
      <c r="F11" s="104" t="str">
        <f>IF($AE11="","",IF($AE11&lt;=1200,IF(INDEX(对接源_01水果!$I$4:$I$1203,$AE11)=0,"",INDEX(对接源_01水果!$I$4:$I$1203,$AE11)),IF(INDEX(对接源_02物料!$I$4:$I$1203,$AE11-1200)=0,"",INDEX(对接源_02物料!$I$4:$I$1203,$AE11-1200))))</f>
        <v>筐</v>
      </c>
      <c r="G11" s="175">
        <f>IF($AE11="","",IF($AE11&lt;=1200,IF(INDEX(对接源_01水果!$J$4:$J$1203,$AE11)=0,"",INDEX(对接源_01水果!$J$4:$J$1203,$AE11)),IF(INDEX(对接源_02物料!$J$4:$J$1203,$AE11-1200)=0,"",INDEX(对接源_02物料!$J$4:$J$1203,$AE11-1200))))</f>
        <v>1605.6</v>
      </c>
      <c r="H11" s="104" t="str">
        <f>IF($AE11="","",IF($AE11&lt;=1200,IF(INDEX(对接源_01水果!$W$4:$W$1203,$AE11)=0,"",INDEX(对接源_01水果!$W$4:$W$1203,$AE11)),IF(INDEX(对接源_02物料!$W$4:$W$1203,$AE11-1200)=0,"",INDEX(对接源_02物料!$W$4:$W$1203,$AE11-1200))))</f>
        <v>新N*X8S48</v>
      </c>
      <c r="I11" s="104" t="str">
        <f>IF($AE11="","",IF($AE11&lt;=1200,IF(INDEX(对接源_01水果!$C$4:$C$1203,$AE11)=0,"",INDEX(对接源_01水果!$C$4:$C$1203,$AE11)),IF(INDEX(对接源_02物料!$C$4:$C$1203,$AE11-1200)=0,"",INDEX(对接源_02物料!$C$4:$C$1203,$AE11-1200))))</f>
        <v>吐尔洪</v>
      </c>
      <c r="J11" s="107" t="str">
        <f>IF($AE11="","",IF($AE11&lt;=1200,IF(INDEX(对接源_01水果!$M$4:$M$1203,$AE11)=0,"",INDEX(对接源_01水果!$M$4:$M$1203,$AE11)),IF(INDEX(对接源_02物料!$M$4:$M$1203,$AE11-1200)=0,"",INDEX(对接源_02物料!$M$4:$M$1203,$AE11-1200))))</f>
        <v>麦麦提</v>
      </c>
      <c r="L11" s="109" t="inlineStr">
        <is>
          <t>等　级</t>
        </is>
      </c>
      <c r="M11" s="109" t="inlineStr">
        <is>
          <t>数量</t>
        </is>
      </c>
      <c r="N11" s="109" t="inlineStr">
        <is>
          <t>总毛重/KG</t>
        </is>
      </c>
      <c r="AE11" s="2">
        <f>IFERROR(MATCH(6,_自动清单!$AA$4:$AA$2403,0),"")</f>
        <v>158</v>
      </c>
      <c r="AI11" s="2" t="str">
        <f>IF($D11="","",$D11)</f>
        <v>香梨二级</v>
      </c>
      <c r="AJ11" s="2">
        <f>IF(AI11="",0,IF(MATCH(AI11,AI$6:AI$125,0)=6,1,0))</f>
        <v>0</v>
      </c>
      <c r="AK11" s="2">
        <f>N(AK10)+AJ11</f>
        <v>3</v>
      </c>
    </row>
    <row r="12" ht="18" customHeight="1" s="127">
      <c r="A12" s="163">
        <f>IF($AE12="","",IF($AE12&lt;=1200,IF(INDEX(对接源_01水果!$B$4:$B$1203,$AE12)=0,"",INDEX(对接源_01水果!$B$4:$B$1203,$AE12)),IF(INDEX(对接源_02物料!$B$4:$B$1203,$AE12-1200)=0,"",INDEX(对接源_02物料!$B$4:$B$1203,$AE12-1200))))</f>
        <v>46275.0</v>
      </c>
      <c r="B12" s="61" t="str">
        <f>IF($AE12="","",IF($AE12&lt;=1200,IF(INDEX(对接源_01水果!$E$4:$E$1203,$AE12)=0,"",INDEX(对接源_01水果!$E$4:$E$1203,$AE12)),IF(INDEX(对接源_02物料!$E$4:$E$1203,$AE12-1200)=0,"",INDEX(对接源_02物料!$E$4:$E$1203,$AE12-1200))))</f>
        <v>NO:0000773</v>
      </c>
      <c r="C12" s="61" t="str">
        <f>IF($AE12="","",IF($AE12&lt;=1200,IF(INDEX(对接源_01水果!$F$4:$F$1203,$AE12)=0,"",INDEX(对接源_01水果!$F$4:$F$1203,$AE12)),IF(INDEX(对接源_02物料!$F$4:$F$1203,$AE12-1200)=0,"",INDEX(对接源_02物料!$F$4:$F$1203,$AE12-1200))))</f>
        <v>香梨</v>
      </c>
      <c r="D12" s="61" t="str">
        <f>IF($AE12="","",IF($AE12&lt;=1200,IF(INDEX(对接源_01水果!$G$4:$G$1203,$AE12)=0,"",INDEX(对接源_01水果!$G$4:$G$1203,$AE12)),IF(INDEX(对接源_02物料!$G$4:$G$1203,$AE12-1200)=0,"",INDEX(对接源_02物料!$G$4:$G$1203,$AE12-1200))))</f>
        <v>香梨特级</v>
      </c>
      <c r="E12" s="164">
        <f>IF($AE12="","",IF($AE12&lt;=1200,IF(INDEX(对接源_01水果!$H$4:$H$1203,$AE12)=0,"",INDEX(对接源_01水果!$H$4:$H$1203,$AE12)),IF(INDEX(对接源_02物料!$H$4:$H$1203,$AE12-1200)=0,"",INDEX(对接源_02物料!$H$4:$H$1203,$AE12-1200))))</f>
        <v>108</v>
      </c>
      <c r="F12" s="61" t="str">
        <f>IF($AE12="","",IF($AE12&lt;=1200,IF(INDEX(对接源_01水果!$I$4:$I$1203,$AE12)=0,"",INDEX(对接源_01水果!$I$4:$I$1203,$AE12)),IF(INDEX(对接源_02物料!$I$4:$I$1203,$AE12-1200)=0,"",INDEX(对接源_02物料!$I$4:$I$1203,$AE12-1200))))</f>
        <v>筐</v>
      </c>
      <c r="G12" s="173">
        <f>IF($AE12="","",IF($AE12&lt;=1200,IF(INDEX(对接源_01水果!$J$4:$J$1203,$AE12)=0,"",INDEX(对接源_01水果!$J$4:$J$1203,$AE12)),IF(INDEX(对接源_02物料!$J$4:$J$1203,$AE12-1200)=0,"",INDEX(对接源_02物料!$J$4:$J$1203,$AE12-1200))))</f>
        <v>1976.4</v>
      </c>
      <c r="H12" s="61" t="str">
        <f>IF($AE12="","",IF($AE12&lt;=1200,IF(INDEX(对接源_01水果!$W$4:$W$1203,$AE12)=0,"",INDEX(对接源_01水果!$W$4:$W$1203,$AE12)),IF(INDEX(对接源_02物料!$W$4:$W$1203,$AE12-1200)=0,"",INDEX(对接源_02物料!$W$4:$W$1203,$AE12-1200))))</f>
        <v>新N*X8S48</v>
      </c>
      <c r="I12" s="61" t="str">
        <f>IF($AE12="","",IF($AE12&lt;=1200,IF(INDEX(对接源_01水果!$C$4:$C$1203,$AE12)=0,"",INDEX(对接源_01水果!$C$4:$C$1203,$AE12)),IF(INDEX(对接源_02物料!$C$4:$C$1203,$AE12-1200)=0,"",INDEX(对接源_02物料!$C$4:$C$1203,$AE12-1200))))</f>
        <v>吐尔洪</v>
      </c>
      <c r="J12" s="64" t="str">
        <f>IF($AE12="","",IF($AE12&lt;=1200,IF(INDEX(对接源_01水果!$M$4:$M$1203,$AE12)=0,"",INDEX(对接源_01水果!$M$4:$M$1203,$AE12)),IF(INDEX(对接源_02物料!$M$4:$M$1203,$AE12-1200)=0,"",INDEX(对接源_02物料!$M$4:$M$1203,$AE12-1200))))</f>
        <v>麦麦提</v>
      </c>
      <c r="L12" s="16" t="str">
        <f>IFERROR(INDEX($D$6:$D$125,MATCH(1,AK$6:AK$125,0)),"")</f>
        <v>香梨特级</v>
      </c>
      <c r="M12" s="176">
        <f>IF($L12="","",SUMIF($D$6:$D$125,$L12,$E$6:$E$125))</f>
        <v>868</v>
      </c>
      <c r="N12" s="177">
        <f>IF($L12="","",ROUND(SUMIF($D$6:$D$125,$L12,$G$6:$G$125),2))</f>
        <v>15884.4</v>
      </c>
      <c r="AE12" s="2">
        <f>IFERROR(MATCH(7,_自动清单!$AA$4:$AA$2403,0),"")</f>
        <v>171</v>
      </c>
      <c r="AI12" s="2" t="str">
        <f>IF($D12="","",$D12)</f>
        <v>香梨特级</v>
      </c>
      <c r="AJ12" s="2">
        <f>IF(AI12="",0,IF(MATCH(AI12,AI$6:AI$125,0)=7,1,0))</f>
        <v>0</v>
      </c>
      <c r="AK12" s="2">
        <f>N(AK11)+AJ12</f>
        <v>3</v>
      </c>
    </row>
    <row r="13" ht="18" customHeight="1" s="127">
      <c r="A13" s="165">
        <f>IF($AE13="","",IF($AE13&lt;=1200,IF(INDEX(对接源_01水果!$B$4:$B$1203,$AE13)=0,"",INDEX(对接源_01水果!$B$4:$B$1203,$AE13)),IF(INDEX(对接源_02物料!$B$4:$B$1203,$AE13-1200)=0,"",INDEX(对接源_02物料!$B$4:$B$1203,$AE13-1200))))</f>
        <v>46275.0</v>
      </c>
      <c r="B13" s="104" t="str">
        <f>IF($AE13="","",IF($AE13&lt;=1200,IF(INDEX(对接源_01水果!$E$4:$E$1203,$AE13)=0,"",INDEX(对接源_01水果!$E$4:$E$1203,$AE13)),IF(INDEX(对接源_02物料!$E$4:$E$1203,$AE13-1200)=0,"",INDEX(对接源_02物料!$E$4:$E$1203,$AE13-1200))))</f>
        <v>NO:0000773</v>
      </c>
      <c r="C13" s="104" t="str">
        <f>IF($AE13="","",IF($AE13&lt;=1200,IF(INDEX(对接源_01水果!$F$4:$F$1203,$AE13)=0,"",INDEX(对接源_01水果!$F$4:$F$1203,$AE13)),IF(INDEX(对接源_02物料!$F$4:$F$1203,$AE13-1200)=0,"",INDEX(对接源_02物料!$F$4:$F$1203,$AE13-1200))))</f>
        <v>香梨</v>
      </c>
      <c r="D13" s="104" t="str">
        <f>IF($AE13="","",IF($AE13&lt;=1200,IF(INDEX(对接源_01水果!$G$4:$G$1203,$AE13)=0,"",INDEX(对接源_01水果!$G$4:$G$1203,$AE13)),IF(INDEX(对接源_02物料!$G$4:$G$1203,$AE13-1200)=0,"",INDEX(对接源_02物料!$G$4:$G$1203,$AE13-1200))))</f>
        <v>香梨一级</v>
      </c>
      <c r="E13" s="166">
        <f>IF($AE13="","",IF($AE13&lt;=1200,IF(INDEX(对接源_01水果!$H$4:$H$1203,$AE13)=0,"",INDEX(对接源_01水果!$H$4:$H$1203,$AE13)),IF(INDEX(对接源_02物料!$H$4:$H$1203,$AE13-1200)=0,"",INDEX(对接源_02物料!$H$4:$H$1203,$AE13-1200))))</f>
        <v>38</v>
      </c>
      <c r="F13" s="104" t="str">
        <f>IF($AE13="","",IF($AE13&lt;=1200,IF(INDEX(对接源_01水果!$I$4:$I$1203,$AE13)=0,"",INDEX(对接源_01水果!$I$4:$I$1203,$AE13)),IF(INDEX(对接源_02物料!$I$4:$I$1203,$AE13-1200)=0,"",INDEX(对接源_02物料!$I$4:$I$1203,$AE13-1200))))</f>
        <v>筐</v>
      </c>
      <c r="G13" s="175">
        <f>IF($AE13="","",IF($AE13&lt;=1200,IF(INDEX(对接源_01水果!$J$4:$J$1203,$AE13)=0,"",INDEX(对接源_01水果!$J$4:$J$1203,$AE13)),IF(INDEX(对接源_02物料!$J$4:$J$1203,$AE13-1200)=0,"",INDEX(对接源_02物料!$J$4:$J$1203,$AE13-1200))))</f>
        <v>695.4</v>
      </c>
      <c r="H13" s="104" t="str">
        <f>IF($AE13="","",IF($AE13&lt;=1200,IF(INDEX(对接源_01水果!$W$4:$W$1203,$AE13)=0,"",INDEX(对接源_01水果!$W$4:$W$1203,$AE13)),IF(INDEX(对接源_02物料!$W$4:$W$1203,$AE13-1200)=0,"",INDEX(对接源_02物料!$W$4:$W$1203,$AE13-1200))))</f>
        <v>新N*X8S48</v>
      </c>
      <c r="I13" s="104" t="str">
        <f>IF($AE13="","",IF($AE13&lt;=1200,IF(INDEX(对接源_01水果!$C$4:$C$1203,$AE13)=0,"",INDEX(对接源_01水果!$C$4:$C$1203,$AE13)),IF(INDEX(对接源_02物料!$C$4:$C$1203,$AE13-1200)=0,"",INDEX(对接源_02物料!$C$4:$C$1203,$AE13-1200))))</f>
        <v>吐尔洪</v>
      </c>
      <c r="J13" s="107" t="str">
        <f>IF($AE13="","",IF($AE13&lt;=1200,IF(INDEX(对接源_01水果!$M$4:$M$1203,$AE13)=0,"",INDEX(对接源_01水果!$M$4:$M$1203,$AE13)),IF(INDEX(对接源_02物料!$M$4:$M$1203,$AE13-1200)=0,"",INDEX(对接源_02物料!$M$4:$M$1203,$AE13-1200))))</f>
        <v>麦麦提</v>
      </c>
      <c r="L13" s="16" t="str">
        <f>IFERROR(INDEX($D$6:$D$125,MATCH(2,AK$6:AK$125,0)),"")</f>
        <v>香梨二级</v>
      </c>
      <c r="M13" s="176">
        <f>IF($L13="","",SUMIF($D$6:$D$125,$L13,$E$6:$E$125))</f>
        <v>676</v>
      </c>
      <c r="N13" s="177">
        <f>IF($L13="","",ROUND(SUMIF($D$6:$D$125,$L13,$G$6:$G$125),2))</f>
        <v>14990.8</v>
      </c>
      <c r="AE13" s="2">
        <f>IFERROR(MATCH(8,_自动清单!$AA$4:$AA$2403,0),"")</f>
        <v>172</v>
      </c>
      <c r="AI13" s="2" t="str">
        <f>IF($D13="","",$D13)</f>
        <v>香梨一级</v>
      </c>
      <c r="AJ13" s="2">
        <f>IF(AI13="",0,IF(MATCH(AI13,AI$6:AI$125,0)=8,1,0))</f>
        <v>0</v>
      </c>
      <c r="AK13" s="2">
        <f>N(AK12)+AJ13</f>
        <v>3</v>
      </c>
    </row>
    <row r="14" ht="18" customHeight="1" s="127">
      <c r="A14" s="163">
        <f>IF($AE14="","",IF($AE14&lt;=1200,IF(INDEX(对接源_01水果!$B$4:$B$1203,$AE14)=0,"",INDEX(对接源_01水果!$B$4:$B$1203,$AE14)),IF(INDEX(对接源_02物料!$B$4:$B$1203,$AE14-1200)=0,"",INDEX(对接源_02物料!$B$4:$B$1203,$AE14-1200))))</f>
        <v>46275.0</v>
      </c>
      <c r="B14" s="61" t="str">
        <f>IF($AE14="","",IF($AE14&lt;=1200,IF(INDEX(对接源_01水果!$E$4:$E$1203,$AE14)=0,"",INDEX(对接源_01水果!$E$4:$E$1203,$AE14)),IF(INDEX(对接源_02物料!$E$4:$E$1203,$AE14-1200)=0,"",INDEX(对接源_02物料!$E$4:$E$1203,$AE14-1200))))</f>
        <v>NO:0000773</v>
      </c>
      <c r="C14" s="61" t="str">
        <f>IF($AE14="","",IF($AE14&lt;=1200,IF(INDEX(对接源_01水果!$F$4:$F$1203,$AE14)=0,"",INDEX(对接源_01水果!$F$4:$F$1203,$AE14)),IF(INDEX(对接源_02物料!$F$4:$F$1203,$AE14-1200)=0,"",INDEX(对接源_02物料!$F$4:$F$1203,$AE14-1200))))</f>
        <v>香梨</v>
      </c>
      <c r="D14" s="61" t="str">
        <f>IF($AE14="","",IF($AE14&lt;=1200,IF(INDEX(对接源_01水果!$G$4:$G$1203,$AE14)=0,"",INDEX(对接源_01水果!$G$4:$G$1203,$AE14)),IF(INDEX(对接源_02物料!$G$4:$G$1203,$AE14-1200)=0,"",INDEX(对接源_02物料!$G$4:$G$1203,$AE14-1200))))</f>
        <v>香梨二级</v>
      </c>
      <c r="E14" s="164">
        <f>IF($AE14="","",IF($AE14&lt;=1200,IF(INDEX(对接源_01水果!$H$4:$H$1203,$AE14)=0,"",INDEX(对接源_01水果!$H$4:$H$1203,$AE14)),IF(INDEX(对接源_02物料!$H$4:$H$1203,$AE14-1200)=0,"",INDEX(对接源_02物料!$H$4:$H$1203,$AE14-1200))))</f>
        <v>106</v>
      </c>
      <c r="F14" s="61" t="str">
        <f>IF($AE14="","",IF($AE14&lt;=1200,IF(INDEX(对接源_01水果!$I$4:$I$1203,$AE14)=0,"",INDEX(对接源_01水果!$I$4:$I$1203,$AE14)),IF(INDEX(对接源_02物料!$I$4:$I$1203,$AE14-1200)=0,"",INDEX(对接源_02物料!$I$4:$I$1203,$AE14-1200))))</f>
        <v>筐</v>
      </c>
      <c r="G14" s="173">
        <f>IF($AE14="","",IF($AE14&lt;=1200,IF(INDEX(对接源_01水果!$J$4:$J$1203,$AE14)=0,"",INDEX(对接源_01水果!$J$4:$J$1203,$AE14)),IF(INDEX(对接源_02物料!$J$4:$J$1203,$AE14-1200)=0,"",INDEX(对接源_02物料!$J$4:$J$1203,$AE14-1200))))</f>
        <v>2363.8</v>
      </c>
      <c r="H14" s="61" t="str">
        <f>IF($AE14="","",IF($AE14&lt;=1200,IF(INDEX(对接源_01水果!$W$4:$W$1203,$AE14)=0,"",INDEX(对接源_01水果!$W$4:$W$1203,$AE14)),IF(INDEX(对接源_02物料!$W$4:$W$1203,$AE14-1200)=0,"",INDEX(对接源_02物料!$W$4:$W$1203,$AE14-1200))))</f>
        <v>新N*X8S48</v>
      </c>
      <c r="I14" s="61" t="str">
        <f>IF($AE14="","",IF($AE14&lt;=1200,IF(INDEX(对接源_01水果!$C$4:$C$1203,$AE14)=0,"",INDEX(对接源_01水果!$C$4:$C$1203,$AE14)),IF(INDEX(对接源_02物料!$C$4:$C$1203,$AE14-1200)=0,"",INDEX(对接源_02物料!$C$4:$C$1203,$AE14-1200))))</f>
        <v>吐尔洪</v>
      </c>
      <c r="J14" s="64" t="str">
        <f>IF($AE14="","",IF($AE14&lt;=1200,IF(INDEX(对接源_01水果!$M$4:$M$1203,$AE14)=0,"",INDEX(对接源_01水果!$M$4:$M$1203,$AE14)),IF(INDEX(对接源_02物料!$M$4:$M$1203,$AE14-1200)=0,"",INDEX(对接源_02物料!$M$4:$M$1203,$AE14-1200))))</f>
        <v>麦麦提</v>
      </c>
      <c r="L14" s="16" t="str">
        <f>IFERROR(INDEX($D$6:$D$125,MATCH(3,AK$6:AK$125,0)),"")</f>
        <v>香梨一级</v>
      </c>
      <c r="M14" s="176">
        <f>IF($L14="","",SUMIF($D$6:$D$125,$L14,$E$6:$E$125))</f>
        <v>288</v>
      </c>
      <c r="N14" s="177">
        <f>IF($L14="","",ROUND(SUMIF($D$6:$D$125,$L14,$G$6:$G$125),2))</f>
        <v>5270.4</v>
      </c>
      <c r="AE14" s="2">
        <f>IFERROR(MATCH(9,_自动清单!$AA$4:$AA$2403,0),"")</f>
        <v>173</v>
      </c>
      <c r="AI14" s="2" t="str">
        <f>IF($D14="","",$D14)</f>
        <v>香梨二级</v>
      </c>
      <c r="AJ14" s="2">
        <f>IF(AI14="",0,IF(MATCH(AI14,AI$6:AI$125,0)=9,1,0))</f>
        <v>0</v>
      </c>
      <c r="AK14" s="2">
        <f>N(AK13)+AJ14</f>
        <v>3</v>
      </c>
    </row>
    <row r="15" ht="18" customHeight="1" s="127">
      <c r="A15" s="165">
        <f>IF($AE15="","",IF($AE15&lt;=1200,IF(INDEX(对接源_01水果!$B$4:$B$1203,$AE15)=0,"",INDEX(对接源_01水果!$B$4:$B$1203,$AE15)),IF(INDEX(对接源_02物料!$B$4:$B$1203,$AE15-1200)=0,"",INDEX(对接源_02物料!$B$4:$B$1203,$AE15-1200))))</f>
        <v>46276.0</v>
      </c>
      <c r="B15" s="104" t="str">
        <f>IF($AE15="","",IF($AE15&lt;=1200,IF(INDEX(对接源_01水果!$E$4:$E$1203,$AE15)=0,"",INDEX(对接源_01水果!$E$4:$E$1203,$AE15)),IF(INDEX(对接源_02物料!$E$4:$E$1203,$AE15-1200)=0,"",INDEX(对接源_02物料!$E$4:$E$1203,$AE15-1200))))</f>
        <v>NO:0000786</v>
      </c>
      <c r="C15" s="104" t="str">
        <f>IF($AE15="","",IF($AE15&lt;=1200,IF(INDEX(对接源_01水果!$F$4:$F$1203,$AE15)=0,"",INDEX(对接源_01水果!$F$4:$F$1203,$AE15)),IF(INDEX(对接源_02物料!$F$4:$F$1203,$AE15-1200)=0,"",INDEX(对接源_02物料!$F$4:$F$1203,$AE15-1200))))</f>
        <v>香梨</v>
      </c>
      <c r="D15" s="104" t="str">
        <f>IF($AE15="","",IF($AE15&lt;=1200,IF(INDEX(对接源_01水果!$G$4:$G$1203,$AE15)=0,"",INDEX(对接源_01水果!$G$4:$G$1203,$AE15)),IF(INDEX(对接源_02物料!$G$4:$G$1203,$AE15-1200)=0,"",INDEX(对接源_02物料!$G$4:$G$1203,$AE15-1200))))</f>
        <v>香梨特级</v>
      </c>
      <c r="E15" s="166">
        <f>IF($AE15="","",IF($AE15&lt;=1200,IF(INDEX(对接源_01水果!$H$4:$H$1203,$AE15)=0,"",INDEX(对接源_01水果!$H$4:$H$1203,$AE15)),IF(INDEX(对接源_02物料!$H$4:$H$1203,$AE15-1200)=0,"",INDEX(对接源_02物料!$H$4:$H$1203,$AE15-1200))))</f>
        <v>88</v>
      </c>
      <c r="F15" s="104" t="str">
        <f>IF($AE15="","",IF($AE15&lt;=1200,IF(INDEX(对接源_01水果!$I$4:$I$1203,$AE15)=0,"",INDEX(对接源_01水果!$I$4:$I$1203,$AE15)),IF(INDEX(对接源_02物料!$I$4:$I$1203,$AE15-1200)=0,"",INDEX(对接源_02物料!$I$4:$I$1203,$AE15-1200))))</f>
        <v>筐</v>
      </c>
      <c r="G15" s="175">
        <f>IF($AE15="","",IF($AE15&lt;=1200,IF(INDEX(对接源_01水果!$J$4:$J$1203,$AE15)=0,"",INDEX(对接源_01水果!$J$4:$J$1203,$AE15)),IF(INDEX(对接源_02物料!$J$4:$J$1203,$AE15-1200)=0,"",INDEX(对接源_02物料!$J$4:$J$1203,$AE15-1200))))</f>
        <v>1610.4</v>
      </c>
      <c r="H15" s="104" t="str">
        <f>IF($AE15="","",IF($AE15&lt;=1200,IF(INDEX(对接源_01水果!$W$4:$W$1203,$AE15)=0,"",INDEX(对接源_01水果!$W$4:$W$1203,$AE15)),IF(INDEX(对接源_02物料!$W$4:$W$1203,$AE15-1200)=0,"",INDEX(对接源_02物料!$W$4:$W$1203,$AE15-1200))))</f>
        <v>新N*X8S48</v>
      </c>
      <c r="I15" s="104" t="str">
        <f>IF($AE15="","",IF($AE15&lt;=1200,IF(INDEX(对接源_01水果!$C$4:$C$1203,$AE15)=0,"",INDEX(对接源_01水果!$C$4:$C$1203,$AE15)),IF(INDEX(对接源_02物料!$C$4:$C$1203,$AE15-1200)=0,"",INDEX(对接源_02物料!$C$4:$C$1203,$AE15-1200))))</f>
        <v>吐尔洪</v>
      </c>
      <c r="J15" s="107" t="str">
        <f>IF($AE15="","",IF($AE15&lt;=1200,IF(INDEX(对接源_01水果!$M$4:$M$1203,$AE15)=0,"",INDEX(对接源_01水果!$M$4:$M$1203,$AE15)),IF(INDEX(对接源_02物料!$M$4:$M$1203,$AE15-1200)=0,"",INDEX(对接源_02物料!$M$4:$M$1203,$AE15-1200))))</f>
        <v>麦麦提</v>
      </c>
      <c r="L15" s="16">
        <f>IFERROR(INDEX($D$6:$D$125,MATCH(4,AK$6:AK$125,0)),"")</f>
      </c>
      <c r="M15" s="176">
        <f>IF($L15="","",SUMIF($D$6:$D$125,$L15,$E$6:$E$125))</f>
      </c>
      <c r="N15" s="177">
        <f>IF($L15="","",ROUND(SUMIF($D$6:$D$125,$L15,$G$6:$G$125),2))</f>
      </c>
      <c r="AE15" s="2">
        <f>IFERROR(MATCH(10,_自动清单!$AA$4:$AA$2403,0),"")</f>
        <v>189</v>
      </c>
      <c r="AI15" s="2" t="str">
        <f>IF($D15="","",$D15)</f>
        <v>香梨特级</v>
      </c>
      <c r="AJ15" s="2">
        <f>IF(AI15="",0,IF(MATCH(AI15,AI$6:AI$125,0)=10,1,0))</f>
        <v>0</v>
      </c>
      <c r="AK15" s="2">
        <f>N(AK14)+AJ15</f>
        <v>3</v>
      </c>
    </row>
    <row r="16" ht="18" customHeight="1" s="127">
      <c r="A16" s="163">
        <f>IF($AE16="","",IF($AE16&lt;=1200,IF(INDEX(对接源_01水果!$B$4:$B$1203,$AE16)=0,"",INDEX(对接源_01水果!$B$4:$B$1203,$AE16)),IF(INDEX(对接源_02物料!$B$4:$B$1203,$AE16-1200)=0,"",INDEX(对接源_02物料!$B$4:$B$1203,$AE16-1200))))</f>
        <v>46276.0</v>
      </c>
      <c r="B16" s="61" t="str">
        <f>IF($AE16="","",IF($AE16&lt;=1200,IF(INDEX(对接源_01水果!$E$4:$E$1203,$AE16)=0,"",INDEX(对接源_01水果!$E$4:$E$1203,$AE16)),IF(INDEX(对接源_02物料!$E$4:$E$1203,$AE16-1200)=0,"",INDEX(对接源_02物料!$E$4:$E$1203,$AE16-1200))))</f>
        <v>NO:0000786</v>
      </c>
      <c r="C16" s="61" t="str">
        <f>IF($AE16="","",IF($AE16&lt;=1200,IF(INDEX(对接源_01水果!$F$4:$F$1203,$AE16)=0,"",INDEX(对接源_01水果!$F$4:$F$1203,$AE16)),IF(INDEX(对接源_02物料!$F$4:$F$1203,$AE16-1200)=0,"",INDEX(对接源_02物料!$F$4:$F$1203,$AE16-1200))))</f>
        <v>香梨</v>
      </c>
      <c r="D16" s="61" t="str">
        <f>IF($AE16="","",IF($AE16&lt;=1200,IF(INDEX(对接源_01水果!$G$4:$G$1203,$AE16)=0,"",INDEX(对接源_01水果!$G$4:$G$1203,$AE16)),IF(INDEX(对接源_02物料!$G$4:$G$1203,$AE16-1200)=0,"",INDEX(对接源_02物料!$G$4:$G$1203,$AE16-1200))))</f>
        <v>香梨一级</v>
      </c>
      <c r="E16" s="164">
        <f>IF($AE16="","",IF($AE16&lt;=1200,IF(INDEX(对接源_01水果!$H$4:$H$1203,$AE16)=0,"",INDEX(对接源_01水果!$H$4:$H$1203,$AE16)),IF(INDEX(对接源_02物料!$H$4:$H$1203,$AE16-1200)=0,"",INDEX(对接源_02物料!$H$4:$H$1203,$AE16-1200))))</f>
        <v>43</v>
      </c>
      <c r="F16" s="61" t="str">
        <f>IF($AE16="","",IF($AE16&lt;=1200,IF(INDEX(对接源_01水果!$I$4:$I$1203,$AE16)=0,"",INDEX(对接源_01水果!$I$4:$I$1203,$AE16)),IF(INDEX(对接源_02物料!$I$4:$I$1203,$AE16-1200)=0,"",INDEX(对接源_02物料!$I$4:$I$1203,$AE16-1200))))</f>
        <v>筐</v>
      </c>
      <c r="G16" s="173">
        <f>IF($AE16="","",IF($AE16&lt;=1200,IF(INDEX(对接源_01水果!$J$4:$J$1203,$AE16)=0,"",INDEX(对接源_01水果!$J$4:$J$1203,$AE16)),IF(INDEX(对接源_02物料!$J$4:$J$1203,$AE16-1200)=0,"",INDEX(对接源_02物料!$J$4:$J$1203,$AE16-1200))))</f>
        <v>786.9</v>
      </c>
      <c r="H16" s="61" t="str">
        <f>IF($AE16="","",IF($AE16&lt;=1200,IF(INDEX(对接源_01水果!$W$4:$W$1203,$AE16)=0,"",INDEX(对接源_01水果!$W$4:$W$1203,$AE16)),IF(INDEX(对接源_02物料!$W$4:$W$1203,$AE16-1200)=0,"",INDEX(对接源_02物料!$W$4:$W$1203,$AE16-1200))))</f>
        <v>新N*X8S48</v>
      </c>
      <c r="I16" s="61" t="str">
        <f>IF($AE16="","",IF($AE16&lt;=1200,IF(INDEX(对接源_01水果!$C$4:$C$1203,$AE16)=0,"",INDEX(对接源_01水果!$C$4:$C$1203,$AE16)),IF(INDEX(对接源_02物料!$C$4:$C$1203,$AE16-1200)=0,"",INDEX(对接源_02物料!$C$4:$C$1203,$AE16-1200))))</f>
        <v>吐尔洪</v>
      </c>
      <c r="J16" s="64" t="str">
        <f>IF($AE16="","",IF($AE16&lt;=1200,IF(INDEX(对接源_01水果!$M$4:$M$1203,$AE16)=0,"",INDEX(对接源_01水果!$M$4:$M$1203,$AE16)),IF(INDEX(对接源_02物料!$M$4:$M$1203,$AE16-1200)=0,"",INDEX(对接源_02物料!$M$4:$M$1203,$AE16-1200))))</f>
        <v>麦麦提</v>
      </c>
      <c r="L16" s="16">
        <f>IFERROR(INDEX($D$6:$D$125,MATCH(5,AK$6:AK$125,0)),"")</f>
      </c>
      <c r="M16" s="176">
        <f>IF($L16="","",SUMIF($D$6:$D$125,$L16,$E$6:$E$125))</f>
      </c>
      <c r="N16" s="177">
        <f>IF($L16="","",ROUND(SUMIF($D$6:$D$125,$L16,$G$6:$G$125),2))</f>
      </c>
      <c r="AE16" s="2">
        <f>IFERROR(MATCH(11,_自动清单!$AA$4:$AA$2403,0),"")</f>
        <v>190</v>
      </c>
      <c r="AI16" s="2" t="str">
        <f>IF($D16="","",$D16)</f>
        <v>香梨一级</v>
      </c>
      <c r="AJ16" s="2">
        <f>IF(AI16="",0,IF(MATCH(AI16,AI$6:AI$125,0)=11,1,0))</f>
        <v>0</v>
      </c>
      <c r="AK16" s="2">
        <f>N(AK15)+AJ16</f>
        <v>3</v>
      </c>
    </row>
    <row r="17" ht="18" customHeight="1" s="127">
      <c r="A17" s="165">
        <f>IF($AE17="","",IF($AE17&lt;=1200,IF(INDEX(对接源_01水果!$B$4:$B$1203,$AE17)=0,"",INDEX(对接源_01水果!$B$4:$B$1203,$AE17)),IF(INDEX(对接源_02物料!$B$4:$B$1203,$AE17-1200)=0,"",INDEX(对接源_02物料!$B$4:$B$1203,$AE17-1200))))</f>
        <v>46276.0</v>
      </c>
      <c r="B17" s="104" t="str">
        <f>IF($AE17="","",IF($AE17&lt;=1200,IF(INDEX(对接源_01水果!$E$4:$E$1203,$AE17)=0,"",INDEX(对接源_01水果!$E$4:$E$1203,$AE17)),IF(INDEX(对接源_02物料!$E$4:$E$1203,$AE17-1200)=0,"",INDEX(对接源_02物料!$E$4:$E$1203,$AE17-1200))))</f>
        <v>NO:0000786</v>
      </c>
      <c r="C17" s="104" t="str">
        <f>IF($AE17="","",IF($AE17&lt;=1200,IF(INDEX(对接源_01水果!$F$4:$F$1203,$AE17)=0,"",INDEX(对接源_01水果!$F$4:$F$1203,$AE17)),IF(INDEX(对接源_02物料!$F$4:$F$1203,$AE17-1200)=0,"",INDEX(对接源_02物料!$F$4:$F$1203,$AE17-1200))))</f>
        <v>香梨</v>
      </c>
      <c r="D17" s="104" t="str">
        <f>IF($AE17="","",IF($AE17&lt;=1200,IF(INDEX(对接源_01水果!$G$4:$G$1203,$AE17)=0,"",INDEX(对接源_01水果!$G$4:$G$1203,$AE17)),IF(INDEX(对接源_02物料!$G$4:$G$1203,$AE17-1200)=0,"",INDEX(对接源_02物料!$G$4:$G$1203,$AE17-1200))))</f>
        <v>香梨二级</v>
      </c>
      <c r="E17" s="166">
        <f>IF($AE17="","",IF($AE17&lt;=1200,IF(INDEX(对接源_01水果!$H$4:$H$1203,$AE17)=0,"",INDEX(对接源_01水果!$H$4:$H$1203,$AE17)),IF(INDEX(对接源_02物料!$H$4:$H$1203,$AE17-1200)=0,"",INDEX(对接源_02物料!$H$4:$H$1203,$AE17-1200))))</f>
        <v>88</v>
      </c>
      <c r="F17" s="104" t="str">
        <f>IF($AE17="","",IF($AE17&lt;=1200,IF(INDEX(对接源_01水果!$I$4:$I$1203,$AE17)=0,"",INDEX(对接源_01水果!$I$4:$I$1203,$AE17)),IF(INDEX(对接源_02物料!$I$4:$I$1203,$AE17-1200)=0,"",INDEX(对接源_02物料!$I$4:$I$1203,$AE17-1200))))</f>
        <v>筐</v>
      </c>
      <c r="G17" s="175">
        <f>IF($AE17="","",IF($AE17&lt;=1200,IF(INDEX(对接源_01水果!$J$4:$J$1203,$AE17)=0,"",INDEX(对接源_01水果!$J$4:$J$1203,$AE17)),IF(INDEX(对接源_02物料!$J$4:$J$1203,$AE17-1200)=0,"",INDEX(对接源_02物料!$J$4:$J$1203,$AE17-1200))))</f>
        <v>1962.4</v>
      </c>
      <c r="H17" s="104" t="str">
        <f>IF($AE17="","",IF($AE17&lt;=1200,IF(INDEX(对接源_01水果!$W$4:$W$1203,$AE17)=0,"",INDEX(对接源_01水果!$W$4:$W$1203,$AE17)),IF(INDEX(对接源_02物料!$W$4:$W$1203,$AE17-1200)=0,"",INDEX(对接源_02物料!$W$4:$W$1203,$AE17-1200))))</f>
        <v>新N*X8S48</v>
      </c>
      <c r="I17" s="104" t="str">
        <f>IF($AE17="","",IF($AE17&lt;=1200,IF(INDEX(对接源_01水果!$C$4:$C$1203,$AE17)=0,"",INDEX(对接源_01水果!$C$4:$C$1203,$AE17)),IF(INDEX(对接源_02物料!$C$4:$C$1203,$AE17-1200)=0,"",INDEX(对接源_02物料!$C$4:$C$1203,$AE17-1200))))</f>
        <v>吐尔洪</v>
      </c>
      <c r="J17" s="107" t="str">
        <f>IF($AE17="","",IF($AE17&lt;=1200,IF(INDEX(对接源_01水果!$M$4:$M$1203,$AE17)=0,"",INDEX(对接源_01水果!$M$4:$M$1203,$AE17)),IF(INDEX(对接源_02物料!$M$4:$M$1203,$AE17-1200)=0,"",INDEX(对接源_02物料!$M$4:$M$1203,$AE17-1200))))</f>
        <v>麦麦提</v>
      </c>
      <c r="L17" s="16">
        <f>IFERROR(INDEX($D$6:$D$125,MATCH(6,AK$6:AK$125,0)),"")</f>
      </c>
      <c r="M17" s="176">
        <f>IF($L17="","",SUMIF($D$6:$D$125,$L17,$E$6:$E$125))</f>
      </c>
      <c r="N17" s="177">
        <f>IF($L17="","",ROUND(SUMIF($D$6:$D$125,$L17,$G$6:$G$125),2))</f>
      </c>
      <c r="AE17" s="2">
        <f>IFERROR(MATCH(12,_自动清单!$AA$4:$AA$2403,0),"")</f>
        <v>191</v>
      </c>
      <c r="AI17" s="2" t="str">
        <f>IF($D17="","",$D17)</f>
        <v>香梨二级</v>
      </c>
      <c r="AJ17" s="2">
        <f>IF(AI17="",0,IF(MATCH(AI17,AI$6:AI$125,0)=12,1,0))</f>
        <v>0</v>
      </c>
      <c r="AK17" s="2">
        <f>N(AK16)+AJ17</f>
        <v>3</v>
      </c>
    </row>
    <row r="18" ht="18" customHeight="1" s="127">
      <c r="A18" s="163">
        <f>IF($AE18="","",IF($AE18&lt;=1200,IF(INDEX(对接源_01水果!$B$4:$B$1203,$AE18)=0,"",INDEX(对接源_01水果!$B$4:$B$1203,$AE18)),IF(INDEX(对接源_02物料!$B$4:$B$1203,$AE18-1200)=0,"",INDEX(对接源_02物料!$B$4:$B$1203,$AE18-1200))))</f>
        <v>46278.0</v>
      </c>
      <c r="B18" s="61" t="str">
        <f>IF($AE18="","",IF($AE18&lt;=1200,IF(INDEX(对接源_01水果!$E$4:$E$1203,$AE18)=0,"",INDEX(对接源_01水果!$E$4:$E$1203,$AE18)),IF(INDEX(对接源_02物料!$E$4:$E$1203,$AE18-1200)=0,"",INDEX(对接源_02物料!$E$4:$E$1203,$AE18-1200))))</f>
        <v>NO:0000799</v>
      </c>
      <c r="C18" s="61" t="str">
        <f>IF($AE18="","",IF($AE18&lt;=1200,IF(INDEX(对接源_01水果!$F$4:$F$1203,$AE18)=0,"",INDEX(对接源_01水果!$F$4:$F$1203,$AE18)),IF(INDEX(对接源_02物料!$F$4:$F$1203,$AE18-1200)=0,"",INDEX(对接源_02物料!$F$4:$F$1203,$AE18-1200))))</f>
        <v>香梨</v>
      </c>
      <c r="D18" s="61" t="str">
        <f>IF($AE18="","",IF($AE18&lt;=1200,IF(INDEX(对接源_01水果!$G$4:$G$1203,$AE18)=0,"",INDEX(对接源_01水果!$G$4:$G$1203,$AE18)),IF(INDEX(对接源_02物料!$G$4:$G$1203,$AE18-1200)=0,"",INDEX(对接源_02物料!$G$4:$G$1203,$AE18-1200))))</f>
        <v>香梨特级</v>
      </c>
      <c r="E18" s="164">
        <f>IF($AE18="","",IF($AE18&lt;=1200,IF(INDEX(对接源_01水果!$H$4:$H$1203,$AE18)=0,"",INDEX(对接源_01水果!$H$4:$H$1203,$AE18)),IF(INDEX(对接源_02物料!$H$4:$H$1203,$AE18-1200)=0,"",INDEX(对接源_02物料!$H$4:$H$1203,$AE18-1200))))</f>
        <v>133</v>
      </c>
      <c r="F18" s="61" t="str">
        <f>IF($AE18="","",IF($AE18&lt;=1200,IF(INDEX(对接源_01水果!$I$4:$I$1203,$AE18)=0,"",INDEX(对接源_01水果!$I$4:$I$1203,$AE18)),IF(INDEX(对接源_02物料!$I$4:$I$1203,$AE18-1200)=0,"",INDEX(对接源_02物料!$I$4:$I$1203,$AE18-1200))))</f>
        <v>筐</v>
      </c>
      <c r="G18" s="173">
        <f>IF($AE18="","",IF($AE18&lt;=1200,IF(INDEX(对接源_01水果!$J$4:$J$1203,$AE18)=0,"",INDEX(对接源_01水果!$J$4:$J$1203,$AE18)),IF(INDEX(对接源_02物料!$J$4:$J$1203,$AE18-1200)=0,"",INDEX(对接源_02物料!$J$4:$J$1203,$AE18-1200))))</f>
        <v>2433.9</v>
      </c>
      <c r="H18" s="61" t="str">
        <f>IF($AE18="","",IF($AE18&lt;=1200,IF(INDEX(对接源_01水果!$W$4:$W$1203,$AE18)=0,"",INDEX(对接源_01水果!$W$4:$W$1203,$AE18)),IF(INDEX(对接源_02物料!$W$4:$W$1203,$AE18-1200)=0,"",INDEX(对接源_02物料!$W$4:$W$1203,$AE18-1200))))</f>
        <v>新N*X8S48</v>
      </c>
      <c r="I18" s="61" t="str">
        <f>IF($AE18="","",IF($AE18&lt;=1200,IF(INDEX(对接源_01水果!$C$4:$C$1203,$AE18)=0,"",INDEX(对接源_01水果!$C$4:$C$1203,$AE18)),IF(INDEX(对接源_02物料!$C$4:$C$1203,$AE18-1200)=0,"",INDEX(对接源_02物料!$C$4:$C$1203,$AE18-1200))))</f>
        <v>吐尔洪</v>
      </c>
      <c r="J18" s="64" t="str">
        <f>IF($AE18="","",IF($AE18&lt;=1200,IF(INDEX(对接源_01水果!$M$4:$M$1203,$AE18)=0,"",INDEX(对接源_01水果!$M$4:$M$1203,$AE18)),IF(INDEX(对接源_02物料!$M$4:$M$1203,$AE18-1200)=0,"",INDEX(对接源_02物料!$M$4:$M$1203,$AE18-1200))))</f>
        <v>麦麦提</v>
      </c>
      <c r="L18" s="16">
        <f>IFERROR(INDEX($D$6:$D$125,MATCH(7,AK$6:AK$125,0)),"")</f>
      </c>
      <c r="M18" s="176">
        <f>IF($L18="","",SUMIF($D$6:$D$125,$L18,$E$6:$E$125))</f>
      </c>
      <c r="N18" s="177">
        <f>IF($L18="","",ROUND(SUMIF($D$6:$D$125,$L18,$G$6:$G$125),2))</f>
      </c>
      <c r="AE18" s="2">
        <f>IFERROR(MATCH(13,_自动清单!$AA$4:$AA$2403,0),"")</f>
        <v>211</v>
      </c>
      <c r="AI18" s="2" t="str">
        <f>IF($D18="","",$D18)</f>
        <v>香梨特级</v>
      </c>
      <c r="AJ18" s="2">
        <f>IF(AI18="",0,IF(MATCH(AI18,AI$6:AI$125,0)=13,1,0))</f>
        <v>0</v>
      </c>
      <c r="AK18" s="2">
        <f>N(AK17)+AJ18</f>
        <v>3</v>
      </c>
    </row>
    <row r="19" ht="18" customHeight="1" s="127">
      <c r="A19" s="165">
        <f>IF($AE19="","",IF($AE19&lt;=1200,IF(INDEX(对接源_01水果!$B$4:$B$1203,$AE19)=0,"",INDEX(对接源_01水果!$B$4:$B$1203,$AE19)),IF(INDEX(对接源_02物料!$B$4:$B$1203,$AE19-1200)=0,"",INDEX(对接源_02物料!$B$4:$B$1203,$AE19-1200))))</f>
        <v>46278.0</v>
      </c>
      <c r="B19" s="104" t="str">
        <f>IF($AE19="","",IF($AE19&lt;=1200,IF(INDEX(对接源_01水果!$E$4:$E$1203,$AE19)=0,"",INDEX(对接源_01水果!$E$4:$E$1203,$AE19)),IF(INDEX(对接源_02物料!$E$4:$E$1203,$AE19-1200)=0,"",INDEX(对接源_02物料!$E$4:$E$1203,$AE19-1200))))</f>
        <v>NO:0000799</v>
      </c>
      <c r="C19" s="104" t="str">
        <f>IF($AE19="","",IF($AE19&lt;=1200,IF(INDEX(对接源_01水果!$F$4:$F$1203,$AE19)=0,"",INDEX(对接源_01水果!$F$4:$F$1203,$AE19)),IF(INDEX(对接源_02物料!$F$4:$F$1203,$AE19-1200)=0,"",INDEX(对接源_02物料!$F$4:$F$1203,$AE19-1200))))</f>
        <v>香梨</v>
      </c>
      <c r="D19" s="104" t="str">
        <f>IF($AE19="","",IF($AE19&lt;=1200,IF(INDEX(对接源_01水果!$G$4:$G$1203,$AE19)=0,"",INDEX(对接源_01水果!$G$4:$G$1203,$AE19)),IF(INDEX(对接源_02物料!$G$4:$G$1203,$AE19-1200)=0,"",INDEX(对接源_02物料!$G$4:$G$1203,$AE19-1200))))</f>
        <v>香梨一级</v>
      </c>
      <c r="E19" s="166">
        <f>IF($AE19="","",IF($AE19&lt;=1200,IF(INDEX(对接源_01水果!$H$4:$H$1203,$AE19)=0,"",INDEX(对接源_01水果!$H$4:$H$1203,$AE19)),IF(INDEX(对接源_02物料!$H$4:$H$1203,$AE19-1200)=0,"",INDEX(对接源_02物料!$H$4:$H$1203,$AE19-1200))))</f>
        <v>50</v>
      </c>
      <c r="F19" s="104" t="str">
        <f>IF($AE19="","",IF($AE19&lt;=1200,IF(INDEX(对接源_01水果!$I$4:$I$1203,$AE19)=0,"",INDEX(对接源_01水果!$I$4:$I$1203,$AE19)),IF(INDEX(对接源_02物料!$I$4:$I$1203,$AE19-1200)=0,"",INDEX(对接源_02物料!$I$4:$I$1203,$AE19-1200))))</f>
        <v>筐</v>
      </c>
      <c r="G19" s="175">
        <f>IF($AE19="","",IF($AE19&lt;=1200,IF(INDEX(对接源_01水果!$J$4:$J$1203,$AE19)=0,"",INDEX(对接源_01水果!$J$4:$J$1203,$AE19)),IF(INDEX(对接源_02物料!$J$4:$J$1203,$AE19-1200)=0,"",INDEX(对接源_02物料!$J$4:$J$1203,$AE19-1200))))</f>
        <v>915</v>
      </c>
      <c r="H19" s="104" t="str">
        <f>IF($AE19="","",IF($AE19&lt;=1200,IF(INDEX(对接源_01水果!$W$4:$W$1203,$AE19)=0,"",INDEX(对接源_01水果!$W$4:$W$1203,$AE19)),IF(INDEX(对接源_02物料!$W$4:$W$1203,$AE19-1200)=0,"",INDEX(对接源_02物料!$W$4:$W$1203,$AE19-1200))))</f>
        <v>新N*X8S48</v>
      </c>
      <c r="I19" s="104" t="str">
        <f>IF($AE19="","",IF($AE19&lt;=1200,IF(INDEX(对接源_01水果!$C$4:$C$1203,$AE19)=0,"",INDEX(对接源_01水果!$C$4:$C$1203,$AE19)),IF(INDEX(对接源_02物料!$C$4:$C$1203,$AE19-1200)=0,"",INDEX(对接源_02物料!$C$4:$C$1203,$AE19-1200))))</f>
        <v>吐尔洪</v>
      </c>
      <c r="J19" s="107" t="str">
        <f>IF($AE19="","",IF($AE19&lt;=1200,IF(INDEX(对接源_01水果!$M$4:$M$1203,$AE19)=0,"",INDEX(对接源_01水果!$M$4:$M$1203,$AE19)),IF(INDEX(对接源_02物料!$M$4:$M$1203,$AE19-1200)=0,"",INDEX(对接源_02物料!$M$4:$M$1203,$AE19-1200))))</f>
        <v>麦麦提</v>
      </c>
      <c r="L19" s="16">
        <f>IFERROR(INDEX($D$6:$D$125,MATCH(8,AK$6:AK$125,0)),"")</f>
      </c>
      <c r="M19" s="176">
        <f>IF($L19="","",SUMIF($D$6:$D$125,$L19,$E$6:$E$125))</f>
      </c>
      <c r="N19" s="177">
        <f>IF($L19="","",ROUND(SUMIF($D$6:$D$125,$L19,$G$6:$G$125),2))</f>
      </c>
      <c r="AE19" s="2">
        <f>IFERROR(MATCH(14,_自动清单!$AA$4:$AA$2403,0),"")</f>
        <v>212</v>
      </c>
      <c r="AI19" s="2" t="str">
        <f>IF($D19="","",$D19)</f>
        <v>香梨一级</v>
      </c>
      <c r="AJ19" s="2">
        <f>IF(AI19="",0,IF(MATCH(AI19,AI$6:AI$125,0)=14,1,0))</f>
        <v>0</v>
      </c>
      <c r="AK19" s="2">
        <f>N(AK18)+AJ19</f>
        <v>3</v>
      </c>
    </row>
    <row r="20" ht="18" customHeight="1" s="127">
      <c r="A20" s="163">
        <f>IF($AE20="","",IF($AE20&lt;=1200,IF(INDEX(对接源_01水果!$B$4:$B$1203,$AE20)=0,"",INDEX(对接源_01水果!$B$4:$B$1203,$AE20)),IF(INDEX(对接源_02物料!$B$4:$B$1203,$AE20-1200)=0,"",INDEX(对接源_02物料!$B$4:$B$1203,$AE20-1200))))</f>
        <v>46278.0</v>
      </c>
      <c r="B20" s="61" t="str">
        <f>IF($AE20="","",IF($AE20&lt;=1200,IF(INDEX(对接源_01水果!$E$4:$E$1203,$AE20)=0,"",INDEX(对接源_01水果!$E$4:$E$1203,$AE20)),IF(INDEX(对接源_02物料!$E$4:$E$1203,$AE20-1200)=0,"",INDEX(对接源_02物料!$E$4:$E$1203,$AE20-1200))))</f>
        <v>NO:0000799</v>
      </c>
      <c r="C20" s="61" t="str">
        <f>IF($AE20="","",IF($AE20&lt;=1200,IF(INDEX(对接源_01水果!$F$4:$F$1203,$AE20)=0,"",INDEX(对接源_01水果!$F$4:$F$1203,$AE20)),IF(INDEX(对接源_02物料!$F$4:$F$1203,$AE20-1200)=0,"",INDEX(对接源_02物料!$F$4:$F$1203,$AE20-1200))))</f>
        <v>香梨</v>
      </c>
      <c r="D20" s="61" t="str">
        <f>IF($AE20="","",IF($AE20&lt;=1200,IF(INDEX(对接源_01水果!$G$4:$G$1203,$AE20)=0,"",INDEX(对接源_01水果!$G$4:$G$1203,$AE20)),IF(INDEX(对接源_02物料!$G$4:$G$1203,$AE20-1200)=0,"",INDEX(对接源_02物料!$G$4:$G$1203,$AE20-1200))))</f>
        <v>香梨二级</v>
      </c>
      <c r="E20" s="164">
        <f>IF($AE20="","",IF($AE20&lt;=1200,IF(INDEX(对接源_01水果!$H$4:$H$1203,$AE20)=0,"",INDEX(对接源_01水果!$H$4:$H$1203,$AE20)),IF(INDEX(对接源_02物料!$H$4:$H$1203,$AE20-1200)=0,"",INDEX(对接源_02物料!$H$4:$H$1203,$AE20-1200))))</f>
        <v>101</v>
      </c>
      <c r="F20" s="61" t="str">
        <f>IF($AE20="","",IF($AE20&lt;=1200,IF(INDEX(对接源_01水果!$I$4:$I$1203,$AE20)=0,"",INDEX(对接源_01水果!$I$4:$I$1203,$AE20)),IF(INDEX(对接源_02物料!$I$4:$I$1203,$AE20-1200)=0,"",INDEX(对接源_02物料!$I$4:$I$1203,$AE20-1200))))</f>
        <v>筐</v>
      </c>
      <c r="G20" s="173">
        <f>IF($AE20="","",IF($AE20&lt;=1200,IF(INDEX(对接源_01水果!$J$4:$J$1203,$AE20)=0,"",INDEX(对接源_01水果!$J$4:$J$1203,$AE20)),IF(INDEX(对接源_02物料!$J$4:$J$1203,$AE20-1200)=0,"",INDEX(对接源_02物料!$J$4:$J$1203,$AE20-1200))))</f>
        <v>2252.3</v>
      </c>
      <c r="H20" s="61" t="str">
        <f>IF($AE20="","",IF($AE20&lt;=1200,IF(INDEX(对接源_01水果!$W$4:$W$1203,$AE20)=0,"",INDEX(对接源_01水果!$W$4:$W$1203,$AE20)),IF(INDEX(对接源_02物料!$W$4:$W$1203,$AE20-1200)=0,"",INDEX(对接源_02物料!$W$4:$W$1203,$AE20-1200))))</f>
        <v>新N*X8S48</v>
      </c>
      <c r="I20" s="61" t="str">
        <f>IF($AE20="","",IF($AE20&lt;=1200,IF(INDEX(对接源_01水果!$C$4:$C$1203,$AE20)=0,"",INDEX(对接源_01水果!$C$4:$C$1203,$AE20)),IF(INDEX(对接源_02物料!$C$4:$C$1203,$AE20-1200)=0,"",INDEX(对接源_02物料!$C$4:$C$1203,$AE20-1200))))</f>
        <v>吐尔洪</v>
      </c>
      <c r="J20" s="64" t="str">
        <f>IF($AE20="","",IF($AE20&lt;=1200,IF(INDEX(对接源_01水果!$M$4:$M$1203,$AE20)=0,"",INDEX(对接源_01水果!$M$4:$M$1203,$AE20)),IF(INDEX(对接源_02物料!$M$4:$M$1203,$AE20-1200)=0,"",INDEX(对接源_02物料!$M$4:$M$1203,$AE20-1200))))</f>
        <v>麦麦提</v>
      </c>
      <c r="L20" s="16">
        <f>IFERROR(INDEX($D$6:$D$125,MATCH(9,AK$6:AK$125,0)),"")</f>
      </c>
      <c r="M20" s="176">
        <f>IF($L20="","",SUMIF($D$6:$D$125,$L20,$E$6:$E$125))</f>
      </c>
      <c r="N20" s="177">
        <f>IF($L20="","",ROUND(SUMIF($D$6:$D$125,$L20,$G$6:$G$125),2))</f>
      </c>
      <c r="AE20" s="2">
        <f>IFERROR(MATCH(15,_自动清单!$AA$4:$AA$2403,0),"")</f>
        <v>213</v>
      </c>
      <c r="AI20" s="2" t="str">
        <f>IF($D20="","",$D20)</f>
        <v>香梨二级</v>
      </c>
      <c r="AJ20" s="2">
        <f>IF(AI20="",0,IF(MATCH(AI20,AI$6:AI$125,0)=15,1,0))</f>
        <v>0</v>
      </c>
      <c r="AK20" s="2">
        <f>N(AK19)+AJ20</f>
        <v>3</v>
      </c>
    </row>
    <row r="21" ht="18" customHeight="1" s="127">
      <c r="A21" s="165">
        <f>IF($AE21="","",IF($AE21&lt;=1200,IF(INDEX(对接源_01水果!$B$4:$B$1203,$AE21)=0,"",INDEX(对接源_01水果!$B$4:$B$1203,$AE21)),IF(INDEX(对接源_02物料!$B$4:$B$1203,$AE21-1200)=0,"",INDEX(对接源_02物料!$B$4:$B$1203,$AE21-1200))))</f>
        <v>46279.0</v>
      </c>
      <c r="B21" s="104" t="str">
        <f>IF($AE21="","",IF($AE21&lt;=1200,IF(INDEX(对接源_01水果!$E$4:$E$1203,$AE21)=0,"",INDEX(对接源_01水果!$E$4:$E$1203,$AE21)),IF(INDEX(对接源_02物料!$E$4:$E$1203,$AE21-1200)=0,"",INDEX(对接源_02物料!$E$4:$E$1203,$AE21-1200))))</f>
        <v>NO:0000861</v>
      </c>
      <c r="C21" s="104" t="str">
        <f>IF($AE21="","",IF($AE21&lt;=1200,IF(INDEX(对接源_01水果!$F$4:$F$1203,$AE21)=0,"",INDEX(对接源_01水果!$F$4:$F$1203,$AE21)),IF(INDEX(对接源_02物料!$F$4:$F$1203,$AE21-1200)=0,"",INDEX(对接源_02物料!$F$4:$F$1203,$AE21-1200))))</f>
        <v>香梨</v>
      </c>
      <c r="D21" s="104" t="str">
        <f>IF($AE21="","",IF($AE21&lt;=1200,IF(INDEX(对接源_01水果!$G$4:$G$1203,$AE21)=0,"",INDEX(对接源_01水果!$G$4:$G$1203,$AE21)),IF(INDEX(对接源_02物料!$G$4:$G$1203,$AE21-1200)=0,"",INDEX(对接源_02物料!$G$4:$G$1203,$AE21-1200))))</f>
        <v>香梨特级</v>
      </c>
      <c r="E21" s="166">
        <f>IF($AE21="","",IF($AE21&lt;=1200,IF(INDEX(对接源_01水果!$H$4:$H$1203,$AE21)=0,"",INDEX(对接源_01水果!$H$4:$H$1203,$AE21)),IF(INDEX(对接源_02物料!$H$4:$H$1203,$AE21-1200)=0,"",INDEX(对接源_02物料!$H$4:$H$1203,$AE21-1200))))</f>
        <v>108</v>
      </c>
      <c r="F21" s="104" t="str">
        <f>IF($AE21="","",IF($AE21&lt;=1200,IF(INDEX(对接源_01水果!$I$4:$I$1203,$AE21)=0,"",INDEX(对接源_01水果!$I$4:$I$1203,$AE21)),IF(INDEX(对接源_02物料!$I$4:$I$1203,$AE21-1200)=0,"",INDEX(对接源_02物料!$I$4:$I$1203,$AE21-1200))))</f>
        <v>筐</v>
      </c>
      <c r="G21" s="175">
        <f>IF($AE21="","",IF($AE21&lt;=1200,IF(INDEX(对接源_01水果!$J$4:$J$1203,$AE21)=0,"",INDEX(对接源_01水果!$J$4:$J$1203,$AE21)),IF(INDEX(对接源_02物料!$J$4:$J$1203,$AE21-1200)=0,"",INDEX(对接源_02物料!$J$4:$J$1203,$AE21-1200))))</f>
        <v>1976.4</v>
      </c>
      <c r="H21" s="104" t="str">
        <f>IF($AE21="","",IF($AE21&lt;=1200,IF(INDEX(对接源_01水果!$W$4:$W$1203,$AE21)=0,"",INDEX(对接源_01水果!$W$4:$W$1203,$AE21)),IF(INDEX(对接源_02物料!$W$4:$W$1203,$AE21-1200)=0,"",INDEX(对接源_02物料!$W$4:$W$1203,$AE21-1200))))</f>
        <v>新N*X8S48</v>
      </c>
      <c r="I21" s="104" t="str">
        <f>IF($AE21="","",IF($AE21&lt;=1200,IF(INDEX(对接源_01水果!$C$4:$C$1203,$AE21)=0,"",INDEX(对接源_01水果!$C$4:$C$1203,$AE21)),IF(INDEX(对接源_02物料!$C$4:$C$1203,$AE21-1200)=0,"",INDEX(对接源_02物料!$C$4:$C$1203,$AE21-1200))))</f>
        <v>吐尔洪</v>
      </c>
      <c r="J21" s="107" t="str">
        <f>IF($AE21="","",IF($AE21&lt;=1200,IF(INDEX(对接源_01水果!$M$4:$M$1203,$AE21)=0,"",INDEX(对接源_01水果!$M$4:$M$1203,$AE21)),IF(INDEX(对接源_02物料!$M$4:$M$1203,$AE21-1200)=0,"",INDEX(对接源_02物料!$M$4:$M$1203,$AE21-1200))))</f>
        <v>麦麦提</v>
      </c>
      <c r="L21" s="16">
        <f>IFERROR(INDEX($D$6:$D$125,MATCH(10,AK$6:AK$125,0)),"")</f>
      </c>
      <c r="M21" s="176">
        <f>IF($L21="","",SUMIF($D$6:$D$125,$L21,$E$6:$E$125))</f>
      </c>
      <c r="N21" s="177">
        <f>IF($L21="","",ROUND(SUMIF($D$6:$D$125,$L21,$G$6:$G$125),2))</f>
      </c>
      <c r="AE21" s="2">
        <f>IFERROR(MATCH(16,_自动清单!$AA$4:$AA$2403,0),"")</f>
        <v>235</v>
      </c>
      <c r="AI21" s="2" t="str">
        <f>IF($D21="","",$D21)</f>
        <v>香梨特级</v>
      </c>
      <c r="AJ21" s="2">
        <f>IF(AI21="",0,IF(MATCH(AI21,AI$6:AI$125,0)=16,1,0))</f>
        <v>0</v>
      </c>
      <c r="AK21" s="2">
        <f>N(AK20)+AJ21</f>
        <v>3</v>
      </c>
    </row>
    <row r="22" ht="18" customHeight="1" s="127">
      <c r="A22" s="163">
        <f>IF($AE22="","",IF($AE22&lt;=1200,IF(INDEX(对接源_01水果!$B$4:$B$1203,$AE22)=0,"",INDEX(对接源_01水果!$B$4:$B$1203,$AE22)),IF(INDEX(对接源_02物料!$B$4:$B$1203,$AE22-1200)=0,"",INDEX(对接源_02物料!$B$4:$B$1203,$AE22-1200))))</f>
        <v>46279.0</v>
      </c>
      <c r="B22" s="61" t="str">
        <f>IF($AE22="","",IF($AE22&lt;=1200,IF(INDEX(对接源_01水果!$E$4:$E$1203,$AE22)=0,"",INDEX(对接源_01水果!$E$4:$E$1203,$AE22)),IF(INDEX(对接源_02物料!$E$4:$E$1203,$AE22-1200)=0,"",INDEX(对接源_02物料!$E$4:$E$1203,$AE22-1200))))</f>
        <v>NO:0000861</v>
      </c>
      <c r="C22" s="61" t="str">
        <f>IF($AE22="","",IF($AE22&lt;=1200,IF(INDEX(对接源_01水果!$F$4:$F$1203,$AE22)=0,"",INDEX(对接源_01水果!$F$4:$F$1203,$AE22)),IF(INDEX(对接源_02物料!$F$4:$F$1203,$AE22-1200)=0,"",INDEX(对接源_02物料!$F$4:$F$1203,$AE22-1200))))</f>
        <v>香梨</v>
      </c>
      <c r="D22" s="61" t="str">
        <f>IF($AE22="","",IF($AE22&lt;=1200,IF(INDEX(对接源_01水果!$G$4:$G$1203,$AE22)=0,"",INDEX(对接源_01水果!$G$4:$G$1203,$AE22)),IF(INDEX(对接源_02物料!$G$4:$G$1203,$AE22-1200)=0,"",INDEX(对接源_02物料!$G$4:$G$1203,$AE22-1200))))</f>
        <v>香梨一级</v>
      </c>
      <c r="E22" s="164">
        <f>IF($AE22="","",IF($AE22&lt;=1200,IF(INDEX(对接源_01水果!$H$4:$H$1203,$AE22)=0,"",INDEX(对接源_01水果!$H$4:$H$1203,$AE22)),IF(INDEX(对接源_02物料!$H$4:$H$1203,$AE22-1200)=0,"",INDEX(对接源_02物料!$H$4:$H$1203,$AE22-1200))))</f>
        <v>41</v>
      </c>
      <c r="F22" s="61" t="str">
        <f>IF($AE22="","",IF($AE22&lt;=1200,IF(INDEX(对接源_01水果!$I$4:$I$1203,$AE22)=0,"",INDEX(对接源_01水果!$I$4:$I$1203,$AE22)),IF(INDEX(对接源_02物料!$I$4:$I$1203,$AE22-1200)=0,"",INDEX(对接源_02物料!$I$4:$I$1203,$AE22-1200))))</f>
        <v>筐</v>
      </c>
      <c r="G22" s="173">
        <f>IF($AE22="","",IF($AE22&lt;=1200,IF(INDEX(对接源_01水果!$J$4:$J$1203,$AE22)=0,"",INDEX(对接源_01水果!$J$4:$J$1203,$AE22)),IF(INDEX(对接源_02物料!$J$4:$J$1203,$AE22-1200)=0,"",INDEX(对接源_02物料!$J$4:$J$1203,$AE22-1200))))</f>
        <v>750.3</v>
      </c>
      <c r="H22" s="61" t="str">
        <f>IF($AE22="","",IF($AE22&lt;=1200,IF(INDEX(对接源_01水果!$W$4:$W$1203,$AE22)=0,"",INDEX(对接源_01水果!$W$4:$W$1203,$AE22)),IF(INDEX(对接源_02物料!$W$4:$W$1203,$AE22-1200)=0,"",INDEX(对接源_02物料!$W$4:$W$1203,$AE22-1200))))</f>
        <v>新N*X8S48</v>
      </c>
      <c r="I22" s="61" t="str">
        <f>IF($AE22="","",IF($AE22&lt;=1200,IF(INDEX(对接源_01水果!$C$4:$C$1203,$AE22)=0,"",INDEX(对接源_01水果!$C$4:$C$1203,$AE22)),IF(INDEX(对接源_02物料!$C$4:$C$1203,$AE22-1200)=0,"",INDEX(对接源_02物料!$C$4:$C$1203,$AE22-1200))))</f>
        <v>吐尔洪</v>
      </c>
      <c r="J22" s="64" t="str">
        <f>IF($AE22="","",IF($AE22&lt;=1200,IF(INDEX(对接源_01水果!$M$4:$M$1203,$AE22)=0,"",INDEX(对接源_01水果!$M$4:$M$1203,$AE22)),IF(INDEX(对接源_02物料!$M$4:$M$1203,$AE22-1200)=0,"",INDEX(对接源_02物料!$M$4:$M$1203,$AE22-1200))))</f>
        <v>麦麦提</v>
      </c>
      <c r="L22" s="16">
        <f>IFERROR(INDEX($D$6:$D$125,MATCH(11,AK$6:AK$125,0)),"")</f>
      </c>
      <c r="M22" s="176">
        <f>IF($L22="","",SUMIF($D$6:$D$125,$L22,$E$6:$E$125))</f>
      </c>
      <c r="N22" s="177">
        <f>IF($L22="","",ROUND(SUMIF($D$6:$D$125,$L22,$G$6:$G$125),2))</f>
      </c>
      <c r="AE22" s="2">
        <f>IFERROR(MATCH(17,_自动清单!$AA$4:$AA$2403,0),"")</f>
        <v>236</v>
      </c>
      <c r="AI22" s="2" t="str">
        <f>IF($D22="","",$D22)</f>
        <v>香梨一级</v>
      </c>
      <c r="AJ22" s="2">
        <f>IF(AI22="",0,IF(MATCH(AI22,AI$6:AI$125,0)=17,1,0))</f>
        <v>0</v>
      </c>
      <c r="AK22" s="2">
        <f>N(AK21)+AJ22</f>
        <v>3</v>
      </c>
    </row>
    <row r="23" ht="18" customHeight="1" s="127">
      <c r="A23" s="165">
        <f>IF($AE23="","",IF($AE23&lt;=1200,IF(INDEX(对接源_01水果!$B$4:$B$1203,$AE23)=0,"",INDEX(对接源_01水果!$B$4:$B$1203,$AE23)),IF(INDEX(对接源_02物料!$B$4:$B$1203,$AE23-1200)=0,"",INDEX(对接源_02物料!$B$4:$B$1203,$AE23-1200))))</f>
        <v>46279.0</v>
      </c>
      <c r="B23" s="104" t="str">
        <f>IF($AE23="","",IF($AE23&lt;=1200,IF(INDEX(对接源_01水果!$E$4:$E$1203,$AE23)=0,"",INDEX(对接源_01水果!$E$4:$E$1203,$AE23)),IF(INDEX(对接源_02物料!$E$4:$E$1203,$AE23-1200)=0,"",INDEX(对接源_02物料!$E$4:$E$1203,$AE23-1200))))</f>
        <v>NO:0000861</v>
      </c>
      <c r="C23" s="104" t="str">
        <f>IF($AE23="","",IF($AE23&lt;=1200,IF(INDEX(对接源_01水果!$F$4:$F$1203,$AE23)=0,"",INDEX(对接源_01水果!$F$4:$F$1203,$AE23)),IF(INDEX(对接源_02物料!$F$4:$F$1203,$AE23-1200)=0,"",INDEX(对接源_02物料!$F$4:$F$1203,$AE23-1200))))</f>
        <v>香梨</v>
      </c>
      <c r="D23" s="104" t="str">
        <f>IF($AE23="","",IF($AE23&lt;=1200,IF(INDEX(对接源_01水果!$G$4:$G$1203,$AE23)=0,"",INDEX(对接源_01水果!$G$4:$G$1203,$AE23)),IF(INDEX(对接源_02物料!$G$4:$G$1203,$AE23-1200)=0,"",INDEX(对接源_02物料!$G$4:$G$1203,$AE23-1200))))</f>
        <v>香梨二级</v>
      </c>
      <c r="E23" s="166">
        <f>IF($AE23="","",IF($AE23&lt;=1200,IF(INDEX(对接源_01水果!$H$4:$H$1203,$AE23)=0,"",INDEX(对接源_01水果!$H$4:$H$1203,$AE23)),IF(INDEX(对接源_02物料!$H$4:$H$1203,$AE23-1200)=0,"",INDEX(对接源_02物料!$H$4:$H$1203,$AE23-1200))))</f>
        <v>91</v>
      </c>
      <c r="F23" s="104" t="str">
        <f>IF($AE23="","",IF($AE23&lt;=1200,IF(INDEX(对接源_01水果!$I$4:$I$1203,$AE23)=0,"",INDEX(对接源_01水果!$I$4:$I$1203,$AE23)),IF(INDEX(对接源_02物料!$I$4:$I$1203,$AE23-1200)=0,"",INDEX(对接源_02物料!$I$4:$I$1203,$AE23-1200))))</f>
        <v>筐</v>
      </c>
      <c r="G23" s="175">
        <f>IF($AE23="","",IF($AE23&lt;=1200,IF(INDEX(对接源_01水果!$J$4:$J$1203,$AE23)=0,"",INDEX(对接源_01水果!$J$4:$J$1203,$AE23)),IF(INDEX(对接源_02物料!$J$4:$J$1203,$AE23-1200)=0,"",INDEX(对接源_02物料!$J$4:$J$1203,$AE23-1200))))</f>
        <v>2029.3</v>
      </c>
      <c r="H23" s="104" t="str">
        <f>IF($AE23="","",IF($AE23&lt;=1200,IF(INDEX(对接源_01水果!$W$4:$W$1203,$AE23)=0,"",INDEX(对接源_01水果!$W$4:$W$1203,$AE23)),IF(INDEX(对接源_02物料!$W$4:$W$1203,$AE23-1200)=0,"",INDEX(对接源_02物料!$W$4:$W$1203,$AE23-1200))))</f>
        <v>新N*X8S48</v>
      </c>
      <c r="I23" s="104" t="str">
        <f>IF($AE23="","",IF($AE23&lt;=1200,IF(INDEX(对接源_01水果!$C$4:$C$1203,$AE23)=0,"",INDEX(对接源_01水果!$C$4:$C$1203,$AE23)),IF(INDEX(对接源_02物料!$C$4:$C$1203,$AE23-1200)=0,"",INDEX(对接源_02物料!$C$4:$C$1203,$AE23-1200))))</f>
        <v>吐尔洪</v>
      </c>
      <c r="J23" s="107" t="str">
        <f>IF($AE23="","",IF($AE23&lt;=1200,IF(INDEX(对接源_01水果!$M$4:$M$1203,$AE23)=0,"",INDEX(对接源_01水果!$M$4:$M$1203,$AE23)),IF(INDEX(对接源_02物料!$M$4:$M$1203,$AE23-1200)=0,"",INDEX(对接源_02物料!$M$4:$M$1203,$AE23-1200))))</f>
        <v>麦麦提</v>
      </c>
      <c r="L23" s="16">
        <f>IFERROR(INDEX($D$6:$D$125,MATCH(12,AK$6:AK$125,0)),"")</f>
      </c>
      <c r="M23" s="176">
        <f>IF($L23="","",SUMIF($D$6:$D$125,$L23,$E$6:$E$125))</f>
      </c>
      <c r="N23" s="177">
        <f>IF($L23="","",ROUND(SUMIF($D$6:$D$125,$L23,$G$6:$G$125),2))</f>
      </c>
      <c r="AE23" s="2">
        <f>IFERROR(MATCH(18,_自动清单!$AA$4:$AA$2403,0),"")</f>
        <v>237</v>
      </c>
      <c r="AI23" s="2" t="str">
        <f>IF($D23="","",$D23)</f>
        <v>香梨二级</v>
      </c>
      <c r="AJ23" s="2">
        <f>IF(AI23="",0,IF(MATCH(AI23,AI$6:AI$125,0)=18,1,0))</f>
        <v>0</v>
      </c>
      <c r="AK23" s="2">
        <f>N(AK22)+AJ23</f>
        <v>3</v>
      </c>
    </row>
    <row r="24" ht="18" customHeight="1" s="127">
      <c r="A24" s="163">
        <f>IF($AE24="","",IF($AE24&lt;=1200,IF(INDEX(对接源_01水果!$B$4:$B$1203,$AE24)=0,"",INDEX(对接源_01水果!$B$4:$B$1203,$AE24)),IF(INDEX(对接源_02物料!$B$4:$B$1203,$AE24-1200)=0,"",INDEX(对接源_02物料!$B$4:$B$1203,$AE24-1200))))</f>
        <v>46281.0</v>
      </c>
      <c r="B24" s="61" t="str">
        <f>IF($AE24="","",IF($AE24&lt;=1200,IF(INDEX(对接源_01水果!$E$4:$E$1203,$AE24)=0,"",INDEX(对接源_01水果!$E$4:$E$1203,$AE24)),IF(INDEX(对接源_02物料!$E$4:$E$1203,$AE24-1200)=0,"",INDEX(对接源_02物料!$E$4:$E$1203,$AE24-1200))))</f>
        <v>NO:0000878</v>
      </c>
      <c r="C24" s="61" t="str">
        <f>IF($AE24="","",IF($AE24&lt;=1200,IF(INDEX(对接源_01水果!$F$4:$F$1203,$AE24)=0,"",INDEX(对接源_01水果!$F$4:$F$1203,$AE24)),IF(INDEX(对接源_02物料!$F$4:$F$1203,$AE24-1200)=0,"",INDEX(对接源_02物料!$F$4:$F$1203,$AE24-1200))))</f>
        <v>香梨</v>
      </c>
      <c r="D24" s="61" t="str">
        <f>IF($AE24="","",IF($AE24&lt;=1200,IF(INDEX(对接源_01水果!$G$4:$G$1203,$AE24)=0,"",INDEX(对接源_01水果!$G$4:$G$1203,$AE24)),IF(INDEX(对接源_02物料!$G$4:$G$1203,$AE24-1200)=0,"",INDEX(对接源_02物料!$G$4:$G$1203,$AE24-1200))))</f>
        <v>香梨特级</v>
      </c>
      <c r="E24" s="164">
        <f>IF($AE24="","",IF($AE24&lt;=1200,IF(INDEX(对接源_01水果!$H$4:$H$1203,$AE24)=0,"",INDEX(对接源_01水果!$H$4:$H$1203,$AE24)),IF(INDEX(对接源_02物料!$H$4:$H$1203,$AE24-1200)=0,"",INDEX(对接源_02物料!$H$4:$H$1203,$AE24-1200))))</f>
        <v>116</v>
      </c>
      <c r="F24" s="61" t="str">
        <f>IF($AE24="","",IF($AE24&lt;=1200,IF(INDEX(对接源_01水果!$I$4:$I$1203,$AE24)=0,"",INDEX(对接源_01水果!$I$4:$I$1203,$AE24)),IF(INDEX(对接源_02物料!$I$4:$I$1203,$AE24-1200)=0,"",INDEX(对接源_02物料!$I$4:$I$1203,$AE24-1200))))</f>
        <v>筐</v>
      </c>
      <c r="G24" s="173">
        <f>IF($AE24="","",IF($AE24&lt;=1200,IF(INDEX(对接源_01水果!$J$4:$J$1203,$AE24)=0,"",INDEX(对接源_01水果!$J$4:$J$1203,$AE24)),IF(INDEX(对接源_02物料!$J$4:$J$1203,$AE24-1200)=0,"",INDEX(对接源_02物料!$J$4:$J$1203,$AE24-1200))))</f>
        <v>2122.8</v>
      </c>
      <c r="H24" s="61" t="str">
        <f>IF($AE24="","",IF($AE24&lt;=1200,IF(INDEX(对接源_01水果!$W$4:$W$1203,$AE24)=0,"",INDEX(对接源_01水果!$W$4:$W$1203,$AE24)),IF(INDEX(对接源_02物料!$W$4:$W$1203,$AE24-1200)=0,"",INDEX(对接源_02物料!$W$4:$W$1203,$AE24-1200))))</f>
        <v>新N*X8S48</v>
      </c>
      <c r="I24" s="61" t="str">
        <f>IF($AE24="","",IF($AE24&lt;=1200,IF(INDEX(对接源_01水果!$C$4:$C$1203,$AE24)=0,"",INDEX(对接源_01水果!$C$4:$C$1203,$AE24)),IF(INDEX(对接源_02物料!$C$4:$C$1203,$AE24-1200)=0,"",INDEX(对接源_02物料!$C$4:$C$1203,$AE24-1200))))</f>
        <v>吐尔洪</v>
      </c>
      <c r="J24" s="64" t="str">
        <f>IF($AE24="","",IF($AE24&lt;=1200,IF(INDEX(对接源_01水果!$M$4:$M$1203,$AE24)=0,"",INDEX(对接源_01水果!$M$4:$M$1203,$AE24)),IF(INDEX(对接源_02物料!$M$4:$M$1203,$AE24-1200)=0,"",INDEX(对接源_02物料!$M$4:$M$1203,$AE24-1200))))</f>
        <v>麦麦提</v>
      </c>
      <c r="L24" s="16">
        <f>IFERROR(INDEX($D$6:$D$125,MATCH(13,AK$6:AK$125,0)),"")</f>
      </c>
      <c r="M24" s="176">
        <f>IF($L24="","",SUMIF($D$6:$D$125,$L24,$E$6:$E$125))</f>
      </c>
      <c r="N24" s="177">
        <f>IF($L24="","",ROUND(SUMIF($D$6:$D$125,$L24,$G$6:$G$125),2))</f>
      </c>
      <c r="AE24" s="2">
        <f>IFERROR(MATCH(19,_自动清单!$AA$4:$AA$2403,0),"")</f>
        <v>259</v>
      </c>
      <c r="AI24" s="2" t="str">
        <f>IF($D24="","",$D24)</f>
        <v>香梨特级</v>
      </c>
      <c r="AJ24" s="2">
        <f>IF(AI24="",0,IF(MATCH(AI24,AI$6:AI$125,0)=19,1,0))</f>
        <v>0</v>
      </c>
      <c r="AK24" s="2">
        <f>N(AK23)+AJ24</f>
        <v>3</v>
      </c>
    </row>
    <row r="25" ht="18" customHeight="1" s="127">
      <c r="A25" s="165">
        <f>IF($AE25="","",IF($AE25&lt;=1200,IF(INDEX(对接源_01水果!$B$4:$B$1203,$AE25)=0,"",INDEX(对接源_01水果!$B$4:$B$1203,$AE25)),IF(INDEX(对接源_02物料!$B$4:$B$1203,$AE25-1200)=0,"",INDEX(对接源_02物料!$B$4:$B$1203,$AE25-1200))))</f>
        <v>46281.0</v>
      </c>
      <c r="B25" s="104" t="str">
        <f>IF($AE25="","",IF($AE25&lt;=1200,IF(INDEX(对接源_01水果!$E$4:$E$1203,$AE25)=0,"",INDEX(对接源_01水果!$E$4:$E$1203,$AE25)),IF(INDEX(对接源_02物料!$E$4:$E$1203,$AE25-1200)=0,"",INDEX(对接源_02物料!$E$4:$E$1203,$AE25-1200))))</f>
        <v>NO:0000878</v>
      </c>
      <c r="C25" s="104" t="str">
        <f>IF($AE25="","",IF($AE25&lt;=1200,IF(INDEX(对接源_01水果!$F$4:$F$1203,$AE25)=0,"",INDEX(对接源_01水果!$F$4:$F$1203,$AE25)),IF(INDEX(对接源_02物料!$F$4:$F$1203,$AE25-1200)=0,"",INDEX(对接源_02物料!$F$4:$F$1203,$AE25-1200))))</f>
        <v>香梨</v>
      </c>
      <c r="D25" s="104" t="str">
        <f>IF($AE25="","",IF($AE25&lt;=1200,IF(INDEX(对接源_01水果!$G$4:$G$1203,$AE25)=0,"",INDEX(对接源_01水果!$G$4:$G$1203,$AE25)),IF(INDEX(对接源_02物料!$G$4:$G$1203,$AE25-1200)=0,"",INDEX(对接源_02物料!$G$4:$G$1203,$AE25-1200))))</f>
        <v>香梨一级</v>
      </c>
      <c r="E25" s="166">
        <f>IF($AE25="","",IF($AE25&lt;=1200,IF(INDEX(对接源_01水果!$H$4:$H$1203,$AE25)=0,"",INDEX(对接源_01水果!$H$4:$H$1203,$AE25)),IF(INDEX(对接源_02物料!$H$4:$H$1203,$AE25-1200)=0,"",INDEX(对接源_02物料!$H$4:$H$1203,$AE25-1200))))</f>
        <v>28</v>
      </c>
      <c r="F25" s="104" t="str">
        <f>IF($AE25="","",IF($AE25&lt;=1200,IF(INDEX(对接源_01水果!$I$4:$I$1203,$AE25)=0,"",INDEX(对接源_01水果!$I$4:$I$1203,$AE25)),IF(INDEX(对接源_02物料!$I$4:$I$1203,$AE25-1200)=0,"",INDEX(对接源_02物料!$I$4:$I$1203,$AE25-1200))))</f>
        <v>筐</v>
      </c>
      <c r="G25" s="175">
        <f>IF($AE25="","",IF($AE25&lt;=1200,IF(INDEX(对接源_01水果!$J$4:$J$1203,$AE25)=0,"",INDEX(对接源_01水果!$J$4:$J$1203,$AE25)),IF(INDEX(对接源_02物料!$J$4:$J$1203,$AE25-1200)=0,"",INDEX(对接源_02物料!$J$4:$J$1203,$AE25-1200))))</f>
        <v>512.4</v>
      </c>
      <c r="H25" s="104" t="str">
        <f>IF($AE25="","",IF($AE25&lt;=1200,IF(INDEX(对接源_01水果!$W$4:$W$1203,$AE25)=0,"",INDEX(对接源_01水果!$W$4:$W$1203,$AE25)),IF(INDEX(对接源_02物料!$W$4:$W$1203,$AE25-1200)=0,"",INDEX(对接源_02物料!$W$4:$W$1203,$AE25-1200))))</f>
        <v>新N*X8S48</v>
      </c>
      <c r="I25" s="104" t="str">
        <f>IF($AE25="","",IF($AE25&lt;=1200,IF(INDEX(对接源_01水果!$C$4:$C$1203,$AE25)=0,"",INDEX(对接源_01水果!$C$4:$C$1203,$AE25)),IF(INDEX(对接源_02物料!$C$4:$C$1203,$AE25-1200)=0,"",INDEX(对接源_02物料!$C$4:$C$1203,$AE25-1200))))</f>
        <v>吐尔洪</v>
      </c>
      <c r="J25" s="107" t="str">
        <f>IF($AE25="","",IF($AE25&lt;=1200,IF(INDEX(对接源_01水果!$M$4:$M$1203,$AE25)=0,"",INDEX(对接源_01水果!$M$4:$M$1203,$AE25)),IF(INDEX(对接源_02物料!$M$4:$M$1203,$AE25-1200)=0,"",INDEX(对接源_02物料!$M$4:$M$1203,$AE25-1200))))</f>
        <v>麦麦提</v>
      </c>
      <c r="L25" s="16">
        <f>IFERROR(INDEX($D$6:$D$125,MATCH(14,AK$6:AK$125,0)),"")</f>
      </c>
      <c r="M25" s="176">
        <f>IF($L25="","",SUMIF($D$6:$D$125,$L25,$E$6:$E$125))</f>
      </c>
      <c r="N25" s="177">
        <f>IF($L25="","",ROUND(SUMIF($D$6:$D$125,$L25,$G$6:$G$125),2))</f>
      </c>
      <c r="AE25" s="2">
        <f>IFERROR(MATCH(20,_自动清单!$AA$4:$AA$2403,0),"")</f>
        <v>260</v>
      </c>
      <c r="AI25" s="2" t="str">
        <f>IF($D25="","",$D25)</f>
        <v>香梨一级</v>
      </c>
      <c r="AJ25" s="2">
        <f>IF(AI25="",0,IF(MATCH(AI25,AI$6:AI$125,0)=20,1,0))</f>
        <v>0</v>
      </c>
      <c r="AK25" s="2">
        <f>N(AK24)+AJ25</f>
        <v>3</v>
      </c>
    </row>
    <row r="26" ht="18" customHeight="1" s="127">
      <c r="A26" s="163">
        <f>IF($AE26="","",IF($AE26&lt;=1200,IF(INDEX(对接源_01水果!$B$4:$B$1203,$AE26)=0,"",INDEX(对接源_01水果!$B$4:$B$1203,$AE26)),IF(INDEX(对接源_02物料!$B$4:$B$1203,$AE26-1200)=0,"",INDEX(对接源_02物料!$B$4:$B$1203,$AE26-1200))))</f>
        <v>46281.0</v>
      </c>
      <c r="B26" s="61" t="str">
        <f>IF($AE26="","",IF($AE26&lt;=1200,IF(INDEX(对接源_01水果!$E$4:$E$1203,$AE26)=0,"",INDEX(对接源_01水果!$E$4:$E$1203,$AE26)),IF(INDEX(对接源_02物料!$E$4:$E$1203,$AE26-1200)=0,"",INDEX(对接源_02物料!$E$4:$E$1203,$AE26-1200))))</f>
        <v>NO:0000878</v>
      </c>
      <c r="C26" s="61" t="str">
        <f>IF($AE26="","",IF($AE26&lt;=1200,IF(INDEX(对接源_01水果!$F$4:$F$1203,$AE26)=0,"",INDEX(对接源_01水果!$F$4:$F$1203,$AE26)),IF(INDEX(对接源_02物料!$F$4:$F$1203,$AE26-1200)=0,"",INDEX(对接源_02物料!$F$4:$F$1203,$AE26-1200))))</f>
        <v>香梨</v>
      </c>
      <c r="D26" s="61" t="str">
        <f>IF($AE26="","",IF($AE26&lt;=1200,IF(INDEX(对接源_01水果!$G$4:$G$1203,$AE26)=0,"",INDEX(对接源_01水果!$G$4:$G$1203,$AE26)),IF(INDEX(对接源_02物料!$G$4:$G$1203,$AE26-1200)=0,"",INDEX(对接源_02物料!$G$4:$G$1203,$AE26-1200))))</f>
        <v>香梨二级</v>
      </c>
      <c r="E26" s="164">
        <f>IF($AE26="","",IF($AE26&lt;=1200,IF(INDEX(对接源_01水果!$H$4:$H$1203,$AE26)=0,"",INDEX(对接源_01水果!$H$4:$H$1203,$AE26)),IF(INDEX(对接源_02物料!$H$4:$H$1203,$AE26-1200)=0,"",INDEX(对接源_02物料!$H$4:$H$1203,$AE26-1200))))</f>
        <v>71</v>
      </c>
      <c r="F26" s="61" t="str">
        <f>IF($AE26="","",IF($AE26&lt;=1200,IF(INDEX(对接源_01水果!$I$4:$I$1203,$AE26)=0,"",INDEX(对接源_01水果!$I$4:$I$1203,$AE26)),IF(INDEX(对接源_02物料!$I$4:$I$1203,$AE26-1200)=0,"",INDEX(对接源_02物料!$I$4:$I$1203,$AE26-1200))))</f>
        <v>筐</v>
      </c>
      <c r="G26" s="173">
        <f>IF($AE26="","",IF($AE26&lt;=1200,IF(INDEX(对接源_01水果!$J$4:$J$1203,$AE26)=0,"",INDEX(对接源_01水果!$J$4:$J$1203,$AE26)),IF(INDEX(对接源_02物料!$J$4:$J$1203,$AE26-1200)=0,"",INDEX(对接源_02物料!$J$4:$J$1203,$AE26-1200))))</f>
        <v>1583.3</v>
      </c>
      <c r="H26" s="61" t="str">
        <f>IF($AE26="","",IF($AE26&lt;=1200,IF(INDEX(对接源_01水果!$W$4:$W$1203,$AE26)=0,"",INDEX(对接源_01水果!$W$4:$W$1203,$AE26)),IF(INDEX(对接源_02物料!$W$4:$W$1203,$AE26-1200)=0,"",INDEX(对接源_02物料!$W$4:$W$1203,$AE26-1200))))</f>
        <v>新N*X8S48</v>
      </c>
      <c r="I26" s="61" t="str">
        <f>IF($AE26="","",IF($AE26&lt;=1200,IF(INDEX(对接源_01水果!$C$4:$C$1203,$AE26)=0,"",INDEX(对接源_01水果!$C$4:$C$1203,$AE26)),IF(INDEX(对接源_02物料!$C$4:$C$1203,$AE26-1200)=0,"",INDEX(对接源_02物料!$C$4:$C$1203,$AE26-1200))))</f>
        <v>吐尔洪</v>
      </c>
      <c r="J26" s="64" t="str">
        <f>IF($AE26="","",IF($AE26&lt;=1200,IF(INDEX(对接源_01水果!$M$4:$M$1203,$AE26)=0,"",INDEX(对接源_01水果!$M$4:$M$1203,$AE26)),IF(INDEX(对接源_02物料!$M$4:$M$1203,$AE26-1200)=0,"",INDEX(对接源_02物料!$M$4:$M$1203,$AE26-1200))))</f>
        <v>麦麦提</v>
      </c>
      <c r="L26" s="16">
        <f>IFERROR(INDEX($D$6:$D$125,MATCH(15,AK$6:AK$125,0)),"")</f>
      </c>
      <c r="M26" s="176">
        <f>IF($L26="","",SUMIF($D$6:$D$125,$L26,$E$6:$E$125))</f>
      </c>
      <c r="N26" s="177">
        <f>IF($L26="","",ROUND(SUMIF($D$6:$D$125,$L26,$G$6:$G$125),2))</f>
      </c>
      <c r="AE26" s="2">
        <f>IFERROR(MATCH(21,_自动清单!$AA$4:$AA$2403,0),"")</f>
        <v>261</v>
      </c>
      <c r="AI26" s="2" t="str">
        <f>IF($D26="","",$D26)</f>
        <v>香梨二级</v>
      </c>
      <c r="AJ26" s="2">
        <f>IF(AI26="",0,IF(MATCH(AI26,AI$6:AI$125,0)=21,1,0))</f>
        <v>0</v>
      </c>
      <c r="AK26" s="2">
        <f>N(AK25)+AJ26</f>
        <v>3</v>
      </c>
    </row>
    <row r="27" ht="18" customHeight="1" s="127">
      <c r="A27" s="165">
        <f>IF($AE27="","",IF($AE27&lt;=1200,IF(INDEX(对接源_01水果!$B$4:$B$1203,$AE27)=0,"",INDEX(对接源_01水果!$B$4:$B$1203,$AE27)),IF(INDEX(对接源_02物料!$B$4:$B$1203,$AE27-1200)=0,"",INDEX(对接源_02物料!$B$4:$B$1203,$AE27-1200))))</f>
        <v>46283.0</v>
      </c>
      <c r="B27" s="104" t="str">
        <f>IF($AE27="","",IF($AE27&lt;=1200,IF(INDEX(对接源_01水果!$E$4:$E$1203,$AE27)=0,"",INDEX(对接源_01水果!$E$4:$E$1203,$AE27)),IF(INDEX(对接源_02物料!$E$4:$E$1203,$AE27-1200)=0,"",INDEX(对接源_02物料!$E$4:$E$1203,$AE27-1200))))</f>
        <v>NO:0000897</v>
      </c>
      <c r="C27" s="104" t="str">
        <f>IF($AE27="","",IF($AE27&lt;=1200,IF(INDEX(对接源_01水果!$F$4:$F$1203,$AE27)=0,"",INDEX(对接源_01水果!$F$4:$F$1203,$AE27)),IF(INDEX(对接源_02物料!$F$4:$F$1203,$AE27-1200)=0,"",INDEX(对接源_02物料!$F$4:$F$1203,$AE27-1200))))</f>
        <v>香梨</v>
      </c>
      <c r="D27" s="104" t="str">
        <f>IF($AE27="","",IF($AE27&lt;=1200,IF(INDEX(对接源_01水果!$G$4:$G$1203,$AE27)=0,"",INDEX(对接源_01水果!$G$4:$G$1203,$AE27)),IF(INDEX(对接源_02物料!$G$4:$G$1203,$AE27-1200)=0,"",INDEX(对接源_02物料!$G$4:$G$1203,$AE27-1200))))</f>
        <v>香梨特级</v>
      </c>
      <c r="E27" s="166">
        <f>IF($AE27="","",IF($AE27&lt;=1200,IF(INDEX(对接源_01水果!$H$4:$H$1203,$AE27)=0,"",INDEX(对接源_01水果!$H$4:$H$1203,$AE27)),IF(INDEX(对接源_02物料!$H$4:$H$1203,$AE27-1200)=0,"",INDEX(对接源_02物料!$H$4:$H$1203,$AE27-1200))))</f>
        <v>114</v>
      </c>
      <c r="F27" s="104" t="str">
        <f>IF($AE27="","",IF($AE27&lt;=1200,IF(INDEX(对接源_01水果!$I$4:$I$1203,$AE27)=0,"",INDEX(对接源_01水果!$I$4:$I$1203,$AE27)),IF(INDEX(对接源_02物料!$I$4:$I$1203,$AE27-1200)=0,"",INDEX(对接源_02物料!$I$4:$I$1203,$AE27-1200))))</f>
        <v>筐</v>
      </c>
      <c r="G27" s="175">
        <f>IF($AE27="","",IF($AE27&lt;=1200,IF(INDEX(对接源_01水果!$J$4:$J$1203,$AE27)=0,"",INDEX(对接源_01水果!$J$4:$J$1203,$AE27)),IF(INDEX(对接源_02物料!$J$4:$J$1203,$AE27-1200)=0,"",INDEX(对接源_02物料!$J$4:$J$1203,$AE27-1200))))</f>
        <v>2086.2</v>
      </c>
      <c r="H27" s="104" t="str">
        <f>IF($AE27="","",IF($AE27&lt;=1200,IF(INDEX(对接源_01水果!$W$4:$W$1203,$AE27)=0,"",INDEX(对接源_01水果!$W$4:$W$1203,$AE27)),IF(INDEX(对接源_02物料!$W$4:$W$1203,$AE27-1200)=0,"",INDEX(对接源_02物料!$W$4:$W$1203,$AE27-1200))))</f>
        <v>新N*X8S48</v>
      </c>
      <c r="I27" s="104" t="str">
        <f>IF($AE27="","",IF($AE27&lt;=1200,IF(INDEX(对接源_01水果!$C$4:$C$1203,$AE27)=0,"",INDEX(对接源_01水果!$C$4:$C$1203,$AE27)),IF(INDEX(对接源_02物料!$C$4:$C$1203,$AE27-1200)=0,"",INDEX(对接源_02物料!$C$4:$C$1203,$AE27-1200))))</f>
        <v>吐尔洪</v>
      </c>
      <c r="J27" s="107" t="str">
        <f>IF($AE27="","",IF($AE27&lt;=1200,IF(INDEX(对接源_01水果!$M$4:$M$1203,$AE27)=0,"",INDEX(对接源_01水果!$M$4:$M$1203,$AE27)),IF(INDEX(对接源_02物料!$M$4:$M$1203,$AE27-1200)=0,"",INDEX(对接源_02物料!$M$4:$M$1203,$AE27-1200))))</f>
        <v>麦麦提</v>
      </c>
      <c r="L27" s="16">
        <f>IFERROR(INDEX($D$6:$D$125,MATCH(16,AK$6:AK$125,0)),"")</f>
      </c>
      <c r="M27" s="176">
        <f>IF($L27="","",SUMIF($D$6:$D$125,$L27,$E$6:$E$125))</f>
      </c>
      <c r="N27" s="177">
        <f>IF($L27="","",ROUND(SUMIF($D$6:$D$125,$L27,$G$6:$G$125),2))</f>
      </c>
      <c r="AE27" s="2">
        <f>IFERROR(MATCH(22,_自动清单!$AA$4:$AA$2403,0),"")</f>
        <v>288</v>
      </c>
      <c r="AI27" s="2" t="str">
        <f>IF($D27="","",$D27)</f>
        <v>香梨特级</v>
      </c>
      <c r="AJ27" s="2">
        <f>IF(AI27="",0,IF(MATCH(AI27,AI$6:AI$125,0)=22,1,0))</f>
        <v>0</v>
      </c>
      <c r="AK27" s="2">
        <f>N(AK26)+AJ27</f>
        <v>3</v>
      </c>
    </row>
    <row r="28" ht="18" customHeight="1" s="127">
      <c r="A28" s="163">
        <f>IF($AE28="","",IF($AE28&lt;=1200,IF(INDEX(对接源_01水果!$B$4:$B$1203,$AE28)=0,"",INDEX(对接源_01水果!$B$4:$B$1203,$AE28)),IF(INDEX(对接源_02物料!$B$4:$B$1203,$AE28-1200)=0,"",INDEX(对接源_02物料!$B$4:$B$1203,$AE28-1200))))</f>
        <v>46283.0</v>
      </c>
      <c r="B28" s="61" t="str">
        <f>IF($AE28="","",IF($AE28&lt;=1200,IF(INDEX(对接源_01水果!$E$4:$E$1203,$AE28)=0,"",INDEX(对接源_01水果!$E$4:$E$1203,$AE28)),IF(INDEX(对接源_02物料!$E$4:$E$1203,$AE28-1200)=0,"",INDEX(对接源_02物料!$E$4:$E$1203,$AE28-1200))))</f>
        <v>NO:0000897</v>
      </c>
      <c r="C28" s="61" t="str">
        <f>IF($AE28="","",IF($AE28&lt;=1200,IF(INDEX(对接源_01水果!$F$4:$F$1203,$AE28)=0,"",INDEX(对接源_01水果!$F$4:$F$1203,$AE28)),IF(INDEX(对接源_02物料!$F$4:$F$1203,$AE28-1200)=0,"",INDEX(对接源_02物料!$F$4:$F$1203,$AE28-1200))))</f>
        <v>香梨</v>
      </c>
      <c r="D28" s="61" t="str">
        <f>IF($AE28="","",IF($AE28&lt;=1200,IF(INDEX(对接源_01水果!$G$4:$G$1203,$AE28)=0,"",INDEX(对接源_01水果!$G$4:$G$1203,$AE28)),IF(INDEX(对接源_02物料!$G$4:$G$1203,$AE28-1200)=0,"",INDEX(对接源_02物料!$G$4:$G$1203,$AE28-1200))))</f>
        <v>香梨一级</v>
      </c>
      <c r="E28" s="164">
        <f>IF($AE28="","",IF($AE28&lt;=1200,IF(INDEX(对接源_01水果!$H$4:$H$1203,$AE28)=0,"",INDEX(对接源_01水果!$H$4:$H$1203,$AE28)),IF(INDEX(对接源_02物料!$H$4:$H$1203,$AE28-1200)=0,"",INDEX(对接源_02物料!$H$4:$H$1203,$AE28-1200))))</f>
        <v>9</v>
      </c>
      <c r="F28" s="61" t="str">
        <f>IF($AE28="","",IF($AE28&lt;=1200,IF(INDEX(对接源_01水果!$I$4:$I$1203,$AE28)=0,"",INDEX(对接源_01水果!$I$4:$I$1203,$AE28)),IF(INDEX(对接源_02物料!$I$4:$I$1203,$AE28-1200)=0,"",INDEX(对接源_02物料!$I$4:$I$1203,$AE28-1200))))</f>
        <v>筐</v>
      </c>
      <c r="G28" s="173">
        <f>IF($AE28="","",IF($AE28&lt;=1200,IF(INDEX(对接源_01水果!$J$4:$J$1203,$AE28)=0,"",INDEX(对接源_01水果!$J$4:$J$1203,$AE28)),IF(INDEX(对接源_02物料!$J$4:$J$1203,$AE28-1200)=0,"",INDEX(对接源_02物料!$J$4:$J$1203,$AE28-1200))))</f>
        <v>164.7</v>
      </c>
      <c r="H28" s="61" t="str">
        <f>IF($AE28="","",IF($AE28&lt;=1200,IF(INDEX(对接源_01水果!$W$4:$W$1203,$AE28)=0,"",INDEX(对接源_01水果!$W$4:$W$1203,$AE28)),IF(INDEX(对接源_02物料!$W$4:$W$1203,$AE28-1200)=0,"",INDEX(对接源_02物料!$W$4:$W$1203,$AE28-1200))))</f>
        <v>新N*X8S48</v>
      </c>
      <c r="I28" s="61" t="str">
        <f>IF($AE28="","",IF($AE28&lt;=1200,IF(INDEX(对接源_01水果!$C$4:$C$1203,$AE28)=0,"",INDEX(对接源_01水果!$C$4:$C$1203,$AE28)),IF(INDEX(对接源_02物料!$C$4:$C$1203,$AE28-1200)=0,"",INDEX(对接源_02物料!$C$4:$C$1203,$AE28-1200))))</f>
        <v>吐尔洪</v>
      </c>
      <c r="J28" s="64" t="str">
        <f>IF($AE28="","",IF($AE28&lt;=1200,IF(INDEX(对接源_01水果!$M$4:$M$1203,$AE28)=0,"",INDEX(对接源_01水果!$M$4:$M$1203,$AE28)),IF(INDEX(对接源_02物料!$M$4:$M$1203,$AE28-1200)=0,"",INDEX(对接源_02物料!$M$4:$M$1203,$AE28-1200))))</f>
        <v>麦麦提</v>
      </c>
      <c r="L28" s="16">
        <f>IFERROR(INDEX($D$6:$D$125,MATCH(17,AK$6:AK$125,0)),"")</f>
      </c>
      <c r="M28" s="176">
        <f>IF($L28="","",SUMIF($D$6:$D$125,$L28,$E$6:$E$125))</f>
      </c>
      <c r="N28" s="177">
        <f>IF($L28="","",ROUND(SUMIF($D$6:$D$125,$L28,$G$6:$G$125),2))</f>
      </c>
      <c r="AE28" s="2">
        <f>IFERROR(MATCH(23,_自动清单!$AA$4:$AA$2403,0),"")</f>
        <v>289</v>
      </c>
      <c r="AI28" s="2" t="str">
        <f>IF($D28="","",$D28)</f>
        <v>香梨一级</v>
      </c>
      <c r="AJ28" s="2">
        <f>IF(AI28="",0,IF(MATCH(AI28,AI$6:AI$125,0)=23,1,0))</f>
        <v>0</v>
      </c>
      <c r="AK28" s="2">
        <f>N(AK27)+AJ28</f>
        <v>3</v>
      </c>
    </row>
    <row r="29" ht="18" customHeight="1" s="127">
      <c r="A29" s="165">
        <f>IF($AE29="","",IF($AE29&lt;=1200,IF(INDEX(对接源_01水果!$B$4:$B$1203,$AE29)=0,"",INDEX(对接源_01水果!$B$4:$B$1203,$AE29)),IF(INDEX(对接源_02物料!$B$4:$B$1203,$AE29-1200)=0,"",INDEX(对接源_02物料!$B$4:$B$1203,$AE29-1200))))</f>
        <v>46283.0</v>
      </c>
      <c r="B29" s="104" t="str">
        <f>IF($AE29="","",IF($AE29&lt;=1200,IF(INDEX(对接源_01水果!$E$4:$E$1203,$AE29)=0,"",INDEX(对接源_01水果!$E$4:$E$1203,$AE29)),IF(INDEX(对接源_02物料!$E$4:$E$1203,$AE29-1200)=0,"",INDEX(对接源_02物料!$E$4:$E$1203,$AE29-1200))))</f>
        <v>NO:0000897</v>
      </c>
      <c r="C29" s="104" t="str">
        <f>IF($AE29="","",IF($AE29&lt;=1200,IF(INDEX(对接源_01水果!$F$4:$F$1203,$AE29)=0,"",INDEX(对接源_01水果!$F$4:$F$1203,$AE29)),IF(INDEX(对接源_02物料!$F$4:$F$1203,$AE29-1200)=0,"",INDEX(对接源_02物料!$F$4:$F$1203,$AE29-1200))))</f>
        <v>香梨</v>
      </c>
      <c r="D29" s="104" t="str">
        <f>IF($AE29="","",IF($AE29&lt;=1200,IF(INDEX(对接源_01水果!$G$4:$G$1203,$AE29)=0,"",INDEX(对接源_01水果!$G$4:$G$1203,$AE29)),IF(INDEX(对接源_02物料!$G$4:$G$1203,$AE29-1200)=0,"",INDEX(对接源_02物料!$G$4:$G$1203,$AE29-1200))))</f>
        <v>香梨二级</v>
      </c>
      <c r="E29" s="166">
        <f>IF($AE29="","",IF($AE29&lt;=1200,IF(INDEX(对接源_01水果!$H$4:$H$1203,$AE29)=0,"",INDEX(对接源_01水果!$H$4:$H$1203,$AE29)),IF(INDEX(对接源_02物料!$H$4:$H$1203,$AE29-1200)=0,"",INDEX(对接源_02物料!$H$4:$H$1203,$AE29-1200))))</f>
        <v>59</v>
      </c>
      <c r="F29" s="104" t="str">
        <f>IF($AE29="","",IF($AE29&lt;=1200,IF(INDEX(对接源_01水果!$I$4:$I$1203,$AE29)=0,"",INDEX(对接源_01水果!$I$4:$I$1203,$AE29)),IF(INDEX(对接源_02物料!$I$4:$I$1203,$AE29-1200)=0,"",INDEX(对接源_02物料!$I$4:$I$1203,$AE29-1200))))</f>
        <v>筐</v>
      </c>
      <c r="G29" s="175">
        <f>IF($AE29="","",IF($AE29&lt;=1200,IF(INDEX(对接源_01水果!$J$4:$J$1203,$AE29)=0,"",INDEX(对接源_01水果!$J$4:$J$1203,$AE29)),IF(INDEX(对接源_02物料!$J$4:$J$1203,$AE29-1200)=0,"",INDEX(对接源_02物料!$J$4:$J$1203,$AE29-1200))))</f>
        <v>1315.7</v>
      </c>
      <c r="H29" s="104" t="str">
        <f>IF($AE29="","",IF($AE29&lt;=1200,IF(INDEX(对接源_01水果!$W$4:$W$1203,$AE29)=0,"",INDEX(对接源_01水果!$W$4:$W$1203,$AE29)),IF(INDEX(对接源_02物料!$W$4:$W$1203,$AE29-1200)=0,"",INDEX(对接源_02物料!$W$4:$W$1203,$AE29-1200))))</f>
        <v>新N*X8S48</v>
      </c>
      <c r="I29" s="104" t="str">
        <f>IF($AE29="","",IF($AE29&lt;=1200,IF(INDEX(对接源_01水果!$C$4:$C$1203,$AE29)=0,"",INDEX(对接源_01水果!$C$4:$C$1203,$AE29)),IF(INDEX(对接源_02物料!$C$4:$C$1203,$AE29-1200)=0,"",INDEX(对接源_02物料!$C$4:$C$1203,$AE29-1200))))</f>
        <v>吐尔洪</v>
      </c>
      <c r="J29" s="107" t="str">
        <f>IF($AE29="","",IF($AE29&lt;=1200,IF(INDEX(对接源_01水果!$M$4:$M$1203,$AE29)=0,"",INDEX(对接源_01水果!$M$4:$M$1203,$AE29)),IF(INDEX(对接源_02物料!$M$4:$M$1203,$AE29-1200)=0,"",INDEX(对接源_02物料!$M$4:$M$1203,$AE29-1200))))</f>
        <v>麦麦提</v>
      </c>
      <c r="L29" s="16">
        <f>IFERROR(INDEX($D$6:$D$125,MATCH(18,AK$6:AK$125,0)),"")</f>
      </c>
      <c r="M29" s="176">
        <f>IF($L29="","",SUMIF($D$6:$D$125,$L29,$E$6:$E$125))</f>
      </c>
      <c r="N29" s="177">
        <f>IF($L29="","",ROUND(SUMIF($D$6:$D$125,$L29,$G$6:$G$125),2))</f>
      </c>
      <c r="AE29" s="2">
        <f>IFERROR(MATCH(24,_自动清单!$AA$4:$AA$2403,0),"")</f>
        <v>290</v>
      </c>
      <c r="AI29" s="2" t="str">
        <f>IF($D29="","",$D29)</f>
        <v>香梨二级</v>
      </c>
      <c r="AJ29" s="2">
        <f>IF(AI29="",0,IF(MATCH(AI29,AI$6:AI$125,0)=24,1,0))</f>
        <v>0</v>
      </c>
      <c r="AK29" s="2">
        <f>N(AK28)+AJ29</f>
        <v>3</v>
      </c>
    </row>
    <row r="30" ht="18" customHeight="1" s="127">
      <c r="A30" s="163">
        <f>IF($AE30="","",IF($AE30&lt;=1200,IF(INDEX(对接源_01水果!$B$4:$B$1203,$AE30)=0,"",INDEX(对接源_01水果!$B$4:$B$1203,$AE30)),IF(INDEX(对接源_02物料!$B$4:$B$1203,$AE30-1200)=0,"",INDEX(对接源_02物料!$B$4:$B$1203,$AE30-1200))))</f>
      </c>
      <c r="B30" s="61">
        <f>IF($AE30="","",IF($AE30&lt;=1200,IF(INDEX(对接源_01水果!$E$4:$E$1203,$AE30)=0,"",INDEX(对接源_01水果!$E$4:$E$1203,$AE30)),IF(INDEX(对接源_02物料!$E$4:$E$1203,$AE30-1200)=0,"",INDEX(对接源_02物料!$E$4:$E$1203,$AE30-1200))))</f>
      </c>
      <c r="C30" s="61">
        <f>IF($AE30="","",IF($AE30&lt;=1200,IF(INDEX(对接源_01水果!$F$4:$F$1203,$AE30)=0,"",INDEX(对接源_01水果!$F$4:$F$1203,$AE30)),IF(INDEX(对接源_02物料!$F$4:$F$1203,$AE30-1200)=0,"",INDEX(对接源_02物料!$F$4:$F$1203,$AE30-1200))))</f>
      </c>
      <c r="D30" s="61">
        <f>IF($AE30="","",IF($AE30&lt;=1200,IF(INDEX(对接源_01水果!$G$4:$G$1203,$AE30)=0,"",INDEX(对接源_01水果!$G$4:$G$1203,$AE30)),IF(INDEX(对接源_02物料!$G$4:$G$1203,$AE30-1200)=0,"",INDEX(对接源_02物料!$G$4:$G$1203,$AE30-1200))))</f>
      </c>
      <c r="E30" s="164">
        <f>IF($AE30="","",IF($AE30&lt;=1200,IF(INDEX(对接源_01水果!$H$4:$H$1203,$AE30)=0,"",INDEX(对接源_01水果!$H$4:$H$1203,$AE30)),IF(INDEX(对接源_02物料!$H$4:$H$1203,$AE30-1200)=0,"",INDEX(对接源_02物料!$H$4:$H$1203,$AE30-1200))))</f>
      </c>
      <c r="F30" s="61">
        <f>IF($AE30="","",IF($AE30&lt;=1200,IF(INDEX(对接源_01水果!$I$4:$I$1203,$AE30)=0,"",INDEX(对接源_01水果!$I$4:$I$1203,$AE30)),IF(INDEX(对接源_02物料!$I$4:$I$1203,$AE30-1200)=0,"",INDEX(对接源_02物料!$I$4:$I$1203,$AE30-1200))))</f>
      </c>
      <c r="G30" s="173">
        <f>IF($AE30="","",IF($AE30&lt;=1200,IF(INDEX(对接源_01水果!$J$4:$J$1203,$AE30)=0,"",INDEX(对接源_01水果!$J$4:$J$1203,$AE30)),IF(INDEX(对接源_02物料!$J$4:$J$1203,$AE30-1200)=0,"",INDEX(对接源_02物料!$J$4:$J$1203,$AE30-1200))))</f>
      </c>
      <c r="H30" s="61">
        <f>IF($AE30="","",IF($AE30&lt;=1200,IF(INDEX(对接源_01水果!$W$4:$W$1203,$AE30)=0,"",INDEX(对接源_01水果!$W$4:$W$1203,$AE30)),IF(INDEX(对接源_02物料!$W$4:$W$1203,$AE30-1200)=0,"",INDEX(对接源_02物料!$W$4:$W$1203,$AE30-1200))))</f>
      </c>
      <c r="I30" s="61">
        <f>IF($AE30="","",IF($AE30&lt;=1200,IF(INDEX(对接源_01水果!$C$4:$C$1203,$AE30)=0,"",INDEX(对接源_01水果!$C$4:$C$1203,$AE30)),IF(INDEX(对接源_02物料!$C$4:$C$1203,$AE30-1200)=0,"",INDEX(对接源_02物料!$C$4:$C$1203,$AE30-1200))))</f>
      </c>
      <c r="J30" s="64">
        <f>IF($AE30="","",IF($AE30&lt;=1200,IF(INDEX(对接源_01水果!$M$4:$M$1203,$AE30)=0,"",INDEX(对接源_01水果!$M$4:$M$1203,$AE30)),IF(INDEX(对接源_02物料!$M$4:$M$1203,$AE30-1200)=0,"",INDEX(对接源_02物料!$M$4:$M$1203,$AE30-1200))))</f>
      </c>
      <c r="L30" s="110" t="inlineStr">
        <is>
          <t>合　计</t>
        </is>
      </c>
      <c r="M30" s="178">
        <f>ROUND(SUM(M12:M29),0)</f>
        <v>1832</v>
      </c>
      <c r="N30" s="179">
        <f>ROUND(SUM(N12:N29),2)</f>
        <v>36145.6</v>
      </c>
      <c r="AE30" s="2">
        <f>IFERROR(MATCH(25,_自动清单!$AA$4:$AA$2403,0),"")</f>
      </c>
      <c r="AI30" s="2">
        <f>IF($D30="","",$D30)</f>
      </c>
      <c r="AJ30" s="2">
        <f>IF(AI30="",0,IF(MATCH(AI30,AI$6:AI$125,0)=25,1,0))</f>
        <v>0</v>
      </c>
      <c r="AK30" s="2">
        <f>N(AK29)+AJ30</f>
        <v>3</v>
      </c>
    </row>
    <row r="31" ht="18" customHeight="1" s="127">
      <c r="A31" s="165">
        <f>IF($AE31="","",IF($AE31&lt;=1200,IF(INDEX(对接源_01水果!$B$4:$B$1203,$AE31)=0,"",INDEX(对接源_01水果!$B$4:$B$1203,$AE31)),IF(INDEX(对接源_02物料!$B$4:$B$1203,$AE31-1200)=0,"",INDEX(对接源_02物料!$B$4:$B$1203,$AE31-1200))))</f>
      </c>
      <c r="B31" s="104">
        <f>IF($AE31="","",IF($AE31&lt;=1200,IF(INDEX(对接源_01水果!$E$4:$E$1203,$AE31)=0,"",INDEX(对接源_01水果!$E$4:$E$1203,$AE31)),IF(INDEX(对接源_02物料!$E$4:$E$1203,$AE31-1200)=0,"",INDEX(对接源_02物料!$E$4:$E$1203,$AE31-1200))))</f>
      </c>
      <c r="C31" s="104">
        <f>IF($AE31="","",IF($AE31&lt;=1200,IF(INDEX(对接源_01水果!$F$4:$F$1203,$AE31)=0,"",INDEX(对接源_01水果!$F$4:$F$1203,$AE31)),IF(INDEX(对接源_02物料!$F$4:$F$1203,$AE31-1200)=0,"",INDEX(对接源_02物料!$F$4:$F$1203,$AE31-1200))))</f>
      </c>
      <c r="D31" s="104">
        <f>IF($AE31="","",IF($AE31&lt;=1200,IF(INDEX(对接源_01水果!$G$4:$G$1203,$AE31)=0,"",INDEX(对接源_01水果!$G$4:$G$1203,$AE31)),IF(INDEX(对接源_02物料!$G$4:$G$1203,$AE31-1200)=0,"",INDEX(对接源_02物料!$G$4:$G$1203,$AE31-1200))))</f>
      </c>
      <c r="E31" s="166">
        <f>IF($AE31="","",IF($AE31&lt;=1200,IF(INDEX(对接源_01水果!$H$4:$H$1203,$AE31)=0,"",INDEX(对接源_01水果!$H$4:$H$1203,$AE31)),IF(INDEX(对接源_02物料!$H$4:$H$1203,$AE31-1200)=0,"",INDEX(对接源_02物料!$H$4:$H$1203,$AE31-1200))))</f>
      </c>
      <c r="F31" s="104">
        <f>IF($AE31="","",IF($AE31&lt;=1200,IF(INDEX(对接源_01水果!$I$4:$I$1203,$AE31)=0,"",INDEX(对接源_01水果!$I$4:$I$1203,$AE31)),IF(INDEX(对接源_02物料!$I$4:$I$1203,$AE31-1200)=0,"",INDEX(对接源_02物料!$I$4:$I$1203,$AE31-1200))))</f>
      </c>
      <c r="G31" s="175">
        <f>IF($AE31="","",IF($AE31&lt;=1200,IF(INDEX(对接源_01水果!$J$4:$J$1203,$AE31)=0,"",INDEX(对接源_01水果!$J$4:$J$1203,$AE31)),IF(INDEX(对接源_02物料!$J$4:$J$1203,$AE31-1200)=0,"",INDEX(对接源_02物料!$J$4:$J$1203,$AE31-1200))))</f>
      </c>
      <c r="H31" s="104">
        <f>IF($AE31="","",IF($AE31&lt;=1200,IF(INDEX(对接源_01水果!$W$4:$W$1203,$AE31)=0,"",INDEX(对接源_01水果!$W$4:$W$1203,$AE31)),IF(INDEX(对接源_02物料!$W$4:$W$1203,$AE31-1200)=0,"",INDEX(对接源_02物料!$W$4:$W$1203,$AE31-1200))))</f>
      </c>
      <c r="I31" s="104">
        <f>IF($AE31="","",IF($AE31&lt;=1200,IF(INDEX(对接源_01水果!$C$4:$C$1203,$AE31)=0,"",INDEX(对接源_01水果!$C$4:$C$1203,$AE31)),IF(INDEX(对接源_02物料!$C$4:$C$1203,$AE31-1200)=0,"",INDEX(对接源_02物料!$C$4:$C$1203,$AE31-1200))))</f>
      </c>
      <c r="J31" s="107">
        <f>IF($AE31="","",IF($AE31&lt;=1200,IF(INDEX(对接源_01水果!$M$4:$M$1203,$AE31)=0,"",INDEX(对接源_01水果!$M$4:$M$1203,$AE31)),IF(INDEX(对接源_02物料!$M$4:$M$1203,$AE31-1200)=0,"",INDEX(对接源_02物料!$M$4:$M$1203,$AE31-1200))))</f>
      </c>
      <c r="L31" s="113" t="n"/>
      <c r="M31" s="180" t="n"/>
      <c r="N31" s="181" t="n"/>
      <c r="AE31" s="2">
        <f>IFERROR(MATCH(26,_自动清单!$AA$4:$AA$2403,0),"")</f>
      </c>
      <c r="AI31" s="2">
        <f>IF($D31="","",$D31)</f>
      </c>
      <c r="AJ31" s="2">
        <f>IF(AI31="",0,IF(MATCH(AI31,AI$6:AI$125,0)=26,1,0))</f>
        <v>0</v>
      </c>
      <c r="AK31" s="2">
        <f>N(AK30)+AJ31</f>
        <v>3</v>
      </c>
    </row>
    <row r="32" ht="18" customHeight="1" s="127">
      <c r="A32" s="163">
        <f>IF($AE32="","",IF($AE32&lt;=1200,IF(INDEX(对接源_01水果!$B$4:$B$1203,$AE32)=0,"",INDEX(对接源_01水果!$B$4:$B$1203,$AE32)),IF(INDEX(对接源_02物料!$B$4:$B$1203,$AE32-1200)=0,"",INDEX(对接源_02物料!$B$4:$B$1203,$AE32-1200))))</f>
      </c>
      <c r="B32" s="61">
        <f>IF($AE32="","",IF($AE32&lt;=1200,IF(INDEX(对接源_01水果!$E$4:$E$1203,$AE32)=0,"",INDEX(对接源_01水果!$E$4:$E$1203,$AE32)),IF(INDEX(对接源_02物料!$E$4:$E$1203,$AE32-1200)=0,"",INDEX(对接源_02物料!$E$4:$E$1203,$AE32-1200))))</f>
      </c>
      <c r="C32" s="61">
        <f>IF($AE32="","",IF($AE32&lt;=1200,IF(INDEX(对接源_01水果!$F$4:$F$1203,$AE32)=0,"",INDEX(对接源_01水果!$F$4:$F$1203,$AE32)),IF(INDEX(对接源_02物料!$F$4:$F$1203,$AE32-1200)=0,"",INDEX(对接源_02物料!$F$4:$F$1203,$AE32-1200))))</f>
      </c>
      <c r="D32" s="61">
        <f>IF($AE32="","",IF($AE32&lt;=1200,IF(INDEX(对接源_01水果!$G$4:$G$1203,$AE32)=0,"",INDEX(对接源_01水果!$G$4:$G$1203,$AE32)),IF(INDEX(对接源_02物料!$G$4:$G$1203,$AE32-1200)=0,"",INDEX(对接源_02物料!$G$4:$G$1203,$AE32-1200))))</f>
      </c>
      <c r="E32" s="164">
        <f>IF($AE32="","",IF($AE32&lt;=1200,IF(INDEX(对接源_01水果!$H$4:$H$1203,$AE32)=0,"",INDEX(对接源_01水果!$H$4:$H$1203,$AE32)),IF(INDEX(对接源_02物料!$H$4:$H$1203,$AE32-1200)=0,"",INDEX(对接源_02物料!$H$4:$H$1203,$AE32-1200))))</f>
      </c>
      <c r="F32" s="61">
        <f>IF($AE32="","",IF($AE32&lt;=1200,IF(INDEX(对接源_01水果!$I$4:$I$1203,$AE32)=0,"",INDEX(对接源_01水果!$I$4:$I$1203,$AE32)),IF(INDEX(对接源_02物料!$I$4:$I$1203,$AE32-1200)=0,"",INDEX(对接源_02物料!$I$4:$I$1203,$AE32-1200))))</f>
      </c>
      <c r="G32" s="173">
        <f>IF($AE32="","",IF($AE32&lt;=1200,IF(INDEX(对接源_01水果!$J$4:$J$1203,$AE32)=0,"",INDEX(对接源_01水果!$J$4:$J$1203,$AE32)),IF(INDEX(对接源_02物料!$J$4:$J$1203,$AE32-1200)=0,"",INDEX(对接源_02物料!$J$4:$J$1203,$AE32-1200))))</f>
      </c>
      <c r="H32" s="61">
        <f>IF($AE32="","",IF($AE32&lt;=1200,IF(INDEX(对接源_01水果!$W$4:$W$1203,$AE32)=0,"",INDEX(对接源_01水果!$W$4:$W$1203,$AE32)),IF(INDEX(对接源_02物料!$W$4:$W$1203,$AE32-1200)=0,"",INDEX(对接源_02物料!$W$4:$W$1203,$AE32-1200))))</f>
      </c>
      <c r="I32" s="61">
        <f>IF($AE32="","",IF($AE32&lt;=1200,IF(INDEX(对接源_01水果!$C$4:$C$1203,$AE32)=0,"",INDEX(对接源_01水果!$C$4:$C$1203,$AE32)),IF(INDEX(对接源_02物料!$C$4:$C$1203,$AE32-1200)=0,"",INDEX(对接源_02物料!$C$4:$C$1203,$AE32-1200))))</f>
      </c>
      <c r="J32" s="64">
        <f>IF($AE32="","",IF($AE32&lt;=1200,IF(INDEX(对接源_01水果!$M$4:$M$1203,$AE32)=0,"",INDEX(对接源_01水果!$M$4:$M$1203,$AE32)),IF(INDEX(对接源_02物料!$M$4:$M$1203,$AE32-1200)=0,"",INDEX(对接源_02物料!$M$4:$M$1203,$AE32-1200))))</f>
      </c>
      <c r="L32" s="108" t="inlineStr">
        <is>
          <t>出 库 等 级 汇 总</t>
        </is>
      </c>
      <c r="AE32" s="2">
        <f>IFERROR(MATCH(27,_自动清单!$AA$4:$AA$2403,0),"")</f>
      </c>
      <c r="AI32" s="2">
        <f>IF($D32="","",$D32)</f>
      </c>
      <c r="AJ32" s="2">
        <f>IF(AI32="",0,IF(MATCH(AI32,AI$6:AI$125,0)=27,1,0))</f>
        <v>0</v>
      </c>
      <c r="AK32" s="2">
        <f>N(AK31)+AJ32</f>
        <v>3</v>
      </c>
    </row>
    <row r="33" ht="18" customHeight="1" s="127">
      <c r="A33" s="165">
        <f>IF($AE33="","",IF($AE33&lt;=1200,IF(INDEX(对接源_01水果!$B$4:$B$1203,$AE33)=0,"",INDEX(对接源_01水果!$B$4:$B$1203,$AE33)),IF(INDEX(对接源_02物料!$B$4:$B$1203,$AE33-1200)=0,"",INDEX(对接源_02物料!$B$4:$B$1203,$AE33-1200))))</f>
      </c>
      <c r="B33" s="104">
        <f>IF($AE33="","",IF($AE33&lt;=1200,IF(INDEX(对接源_01水果!$E$4:$E$1203,$AE33)=0,"",INDEX(对接源_01水果!$E$4:$E$1203,$AE33)),IF(INDEX(对接源_02物料!$E$4:$E$1203,$AE33-1200)=0,"",INDEX(对接源_02物料!$E$4:$E$1203,$AE33-1200))))</f>
      </c>
      <c r="C33" s="104">
        <f>IF($AE33="","",IF($AE33&lt;=1200,IF(INDEX(对接源_01水果!$F$4:$F$1203,$AE33)=0,"",INDEX(对接源_01水果!$F$4:$F$1203,$AE33)),IF(INDEX(对接源_02物料!$F$4:$F$1203,$AE33-1200)=0,"",INDEX(对接源_02物料!$F$4:$F$1203,$AE33-1200))))</f>
      </c>
      <c r="D33" s="104">
        <f>IF($AE33="","",IF($AE33&lt;=1200,IF(INDEX(对接源_01水果!$G$4:$G$1203,$AE33)=0,"",INDEX(对接源_01水果!$G$4:$G$1203,$AE33)),IF(INDEX(对接源_02物料!$G$4:$G$1203,$AE33-1200)=0,"",INDEX(对接源_02物料!$G$4:$G$1203,$AE33-1200))))</f>
      </c>
      <c r="E33" s="166">
        <f>IF($AE33="","",IF($AE33&lt;=1200,IF(INDEX(对接源_01水果!$H$4:$H$1203,$AE33)=0,"",INDEX(对接源_01水果!$H$4:$H$1203,$AE33)),IF(INDEX(对接源_02物料!$H$4:$H$1203,$AE33-1200)=0,"",INDEX(对接源_02物料!$H$4:$H$1203,$AE33-1200))))</f>
      </c>
      <c r="F33" s="104">
        <f>IF($AE33="","",IF($AE33&lt;=1200,IF(INDEX(对接源_01水果!$I$4:$I$1203,$AE33)=0,"",INDEX(对接源_01水果!$I$4:$I$1203,$AE33)),IF(INDEX(对接源_02物料!$I$4:$I$1203,$AE33-1200)=0,"",INDEX(对接源_02物料!$I$4:$I$1203,$AE33-1200))))</f>
      </c>
      <c r="G33" s="175">
        <f>IF($AE33="","",IF($AE33&lt;=1200,IF(INDEX(对接源_01水果!$J$4:$J$1203,$AE33)=0,"",INDEX(对接源_01水果!$J$4:$J$1203,$AE33)),IF(INDEX(对接源_02物料!$J$4:$J$1203,$AE33-1200)=0,"",INDEX(对接源_02物料!$J$4:$J$1203,$AE33-1200))))</f>
      </c>
      <c r="H33" s="104">
        <f>IF($AE33="","",IF($AE33&lt;=1200,IF(INDEX(对接源_01水果!$W$4:$W$1203,$AE33)=0,"",INDEX(对接源_01水果!$W$4:$W$1203,$AE33)),IF(INDEX(对接源_02物料!$W$4:$W$1203,$AE33-1200)=0,"",INDEX(对接源_02物料!$W$4:$W$1203,$AE33-1200))))</f>
      </c>
      <c r="I33" s="104">
        <f>IF($AE33="","",IF($AE33&lt;=1200,IF(INDEX(对接源_01水果!$C$4:$C$1203,$AE33)=0,"",INDEX(对接源_01水果!$C$4:$C$1203,$AE33)),IF(INDEX(对接源_02物料!$C$4:$C$1203,$AE33-1200)=0,"",INDEX(对接源_02物料!$C$4:$C$1203,$AE33-1200))))</f>
      </c>
      <c r="J33" s="107">
        <f>IF($AE33="","",IF($AE33&lt;=1200,IF(INDEX(对接源_01水果!$M$4:$M$1203,$AE33)=0,"",INDEX(对接源_01水果!$M$4:$M$1203,$AE33)),IF(INDEX(对接源_02物料!$M$4:$M$1203,$AE33-1200)=0,"",INDEX(对接源_02物料!$M$4:$M$1203,$AE33-1200))))</f>
      </c>
      <c r="L33" s="109" t="inlineStr">
        <is>
          <t>等　级</t>
        </is>
      </c>
      <c r="M33" s="182" t="inlineStr">
        <is>
          <t>数量</t>
        </is>
      </c>
      <c r="N33" s="183" t="inlineStr">
        <is>
          <t>总毛重/KG</t>
        </is>
      </c>
      <c r="AE33" s="2">
        <f>IFERROR(MATCH(28,_自动清单!$AA$4:$AA$2403,0),"")</f>
      </c>
      <c r="AI33" s="2">
        <f>IF($D33="","",$D33)</f>
      </c>
      <c r="AJ33" s="2">
        <f>IF(AI33="",0,IF(MATCH(AI33,AI$6:AI$125,0)=28,1,0))</f>
        <v>0</v>
      </c>
      <c r="AK33" s="2">
        <f>N(AK32)+AJ33</f>
        <v>3</v>
      </c>
    </row>
    <row r="34" ht="18" customHeight="1" s="127">
      <c r="A34" s="163">
        <f>IF($AE34="","",IF($AE34&lt;=1200,IF(INDEX(对接源_01水果!$B$4:$B$1203,$AE34)=0,"",INDEX(对接源_01水果!$B$4:$B$1203,$AE34)),IF(INDEX(对接源_02物料!$B$4:$B$1203,$AE34-1200)=0,"",INDEX(对接源_02物料!$B$4:$B$1203,$AE34-1200))))</f>
      </c>
      <c r="B34" s="61">
        <f>IF($AE34="","",IF($AE34&lt;=1200,IF(INDEX(对接源_01水果!$E$4:$E$1203,$AE34)=0,"",INDEX(对接源_01水果!$E$4:$E$1203,$AE34)),IF(INDEX(对接源_02物料!$E$4:$E$1203,$AE34-1200)=0,"",INDEX(对接源_02物料!$E$4:$E$1203,$AE34-1200))))</f>
      </c>
      <c r="C34" s="61">
        <f>IF($AE34="","",IF($AE34&lt;=1200,IF(INDEX(对接源_01水果!$F$4:$F$1203,$AE34)=0,"",INDEX(对接源_01水果!$F$4:$F$1203,$AE34)),IF(INDEX(对接源_02物料!$F$4:$F$1203,$AE34-1200)=0,"",INDEX(对接源_02物料!$F$4:$F$1203,$AE34-1200))))</f>
      </c>
      <c r="D34" s="61">
        <f>IF($AE34="","",IF($AE34&lt;=1200,IF(INDEX(对接源_01水果!$G$4:$G$1203,$AE34)=0,"",INDEX(对接源_01水果!$G$4:$G$1203,$AE34)),IF(INDEX(对接源_02物料!$G$4:$G$1203,$AE34-1200)=0,"",INDEX(对接源_02物料!$G$4:$G$1203,$AE34-1200))))</f>
      </c>
      <c r="E34" s="164">
        <f>IF($AE34="","",IF($AE34&lt;=1200,IF(INDEX(对接源_01水果!$H$4:$H$1203,$AE34)=0,"",INDEX(对接源_01水果!$H$4:$H$1203,$AE34)),IF(INDEX(对接源_02物料!$H$4:$H$1203,$AE34-1200)=0,"",INDEX(对接源_02物料!$H$4:$H$1203,$AE34-1200))))</f>
      </c>
      <c r="F34" s="61">
        <f>IF($AE34="","",IF($AE34&lt;=1200,IF(INDEX(对接源_01水果!$I$4:$I$1203,$AE34)=0,"",INDEX(对接源_01水果!$I$4:$I$1203,$AE34)),IF(INDEX(对接源_02物料!$I$4:$I$1203,$AE34-1200)=0,"",INDEX(对接源_02物料!$I$4:$I$1203,$AE34-1200))))</f>
      </c>
      <c r="G34" s="173">
        <f>IF($AE34="","",IF($AE34&lt;=1200,IF(INDEX(对接源_01水果!$J$4:$J$1203,$AE34)=0,"",INDEX(对接源_01水果!$J$4:$J$1203,$AE34)),IF(INDEX(对接源_02物料!$J$4:$J$1203,$AE34-1200)=0,"",INDEX(对接源_02物料!$J$4:$J$1203,$AE34-1200))))</f>
      </c>
      <c r="H34" s="61">
        <f>IF($AE34="","",IF($AE34&lt;=1200,IF(INDEX(对接源_01水果!$W$4:$W$1203,$AE34)=0,"",INDEX(对接源_01水果!$W$4:$W$1203,$AE34)),IF(INDEX(对接源_02物料!$W$4:$W$1203,$AE34-1200)=0,"",INDEX(对接源_02物料!$W$4:$W$1203,$AE34-1200))))</f>
      </c>
      <c r="I34" s="61">
        <f>IF($AE34="","",IF($AE34&lt;=1200,IF(INDEX(对接源_01水果!$C$4:$C$1203,$AE34)=0,"",INDEX(对接源_01水果!$C$4:$C$1203,$AE34)),IF(INDEX(对接源_02物料!$C$4:$C$1203,$AE34-1200)=0,"",INDEX(对接源_02物料!$C$4:$C$1203,$AE34-1200))))</f>
      </c>
      <c r="J34" s="64">
        <f>IF($AE34="","",IF($AE34&lt;=1200,IF(INDEX(对接源_01水果!$M$4:$M$1203,$AE34)=0,"",INDEX(对接源_01水果!$M$4:$M$1203,$AE34)),IF(INDEX(对接源_02物料!$M$4:$M$1203,$AE34-1200)=0,"",INDEX(对接源_02物料!$M$4:$M$1203,$AE34-1200))))</f>
      </c>
      <c r="L34" s="16">
        <f>IFERROR(INDEX($D$129:$D$208,MATCH(1,AN$129:AN$208,0)),"")</f>
      </c>
      <c r="M34" s="176">
        <f>IF($L34="","",SUMIF($D$129:$D$208,$L34,$E$129:$E$208))</f>
      </c>
      <c r="N34" s="177">
        <f>IF($L34="","",ROUND(SUMIF($D$129:$D$208,$L34,$G$129:$G$208),2))</f>
      </c>
      <c r="AE34" s="2">
        <f>IFERROR(MATCH(29,_自动清单!$AA$4:$AA$2403,0),"")</f>
      </c>
      <c r="AI34" s="2">
        <f>IF($D34="","",$D34)</f>
      </c>
      <c r="AJ34" s="2">
        <f>IF(AI34="",0,IF(MATCH(AI34,AI$6:AI$125,0)=29,1,0))</f>
        <v>0</v>
      </c>
      <c r="AK34" s="2">
        <f>N(AK33)+AJ34</f>
        <v>3</v>
      </c>
    </row>
    <row r="35" ht="18" customHeight="1" s="127">
      <c r="A35" s="165">
        <f>IF($AE35="","",IF($AE35&lt;=1200,IF(INDEX(对接源_01水果!$B$4:$B$1203,$AE35)=0,"",INDEX(对接源_01水果!$B$4:$B$1203,$AE35)),IF(INDEX(对接源_02物料!$B$4:$B$1203,$AE35-1200)=0,"",INDEX(对接源_02物料!$B$4:$B$1203,$AE35-1200))))</f>
      </c>
      <c r="B35" s="104">
        <f>IF($AE35="","",IF($AE35&lt;=1200,IF(INDEX(对接源_01水果!$E$4:$E$1203,$AE35)=0,"",INDEX(对接源_01水果!$E$4:$E$1203,$AE35)),IF(INDEX(对接源_02物料!$E$4:$E$1203,$AE35-1200)=0,"",INDEX(对接源_02物料!$E$4:$E$1203,$AE35-1200))))</f>
      </c>
      <c r="C35" s="104">
        <f>IF($AE35="","",IF($AE35&lt;=1200,IF(INDEX(对接源_01水果!$F$4:$F$1203,$AE35)=0,"",INDEX(对接源_01水果!$F$4:$F$1203,$AE35)),IF(INDEX(对接源_02物料!$F$4:$F$1203,$AE35-1200)=0,"",INDEX(对接源_02物料!$F$4:$F$1203,$AE35-1200))))</f>
      </c>
      <c r="D35" s="104">
        <f>IF($AE35="","",IF($AE35&lt;=1200,IF(INDEX(对接源_01水果!$G$4:$G$1203,$AE35)=0,"",INDEX(对接源_01水果!$G$4:$G$1203,$AE35)),IF(INDEX(对接源_02物料!$G$4:$G$1203,$AE35-1200)=0,"",INDEX(对接源_02物料!$G$4:$G$1203,$AE35-1200))))</f>
      </c>
      <c r="E35" s="166">
        <f>IF($AE35="","",IF($AE35&lt;=1200,IF(INDEX(对接源_01水果!$H$4:$H$1203,$AE35)=0,"",INDEX(对接源_01水果!$H$4:$H$1203,$AE35)),IF(INDEX(对接源_02物料!$H$4:$H$1203,$AE35-1200)=0,"",INDEX(对接源_02物料!$H$4:$H$1203,$AE35-1200))))</f>
      </c>
      <c r="F35" s="104">
        <f>IF($AE35="","",IF($AE35&lt;=1200,IF(INDEX(对接源_01水果!$I$4:$I$1203,$AE35)=0,"",INDEX(对接源_01水果!$I$4:$I$1203,$AE35)),IF(INDEX(对接源_02物料!$I$4:$I$1203,$AE35-1200)=0,"",INDEX(对接源_02物料!$I$4:$I$1203,$AE35-1200))))</f>
      </c>
      <c r="G35" s="175">
        <f>IF($AE35="","",IF($AE35&lt;=1200,IF(INDEX(对接源_01水果!$J$4:$J$1203,$AE35)=0,"",INDEX(对接源_01水果!$J$4:$J$1203,$AE35)),IF(INDEX(对接源_02物料!$J$4:$J$1203,$AE35-1200)=0,"",INDEX(对接源_02物料!$J$4:$J$1203,$AE35-1200))))</f>
      </c>
      <c r="H35" s="104">
        <f>IF($AE35="","",IF($AE35&lt;=1200,IF(INDEX(对接源_01水果!$W$4:$W$1203,$AE35)=0,"",INDEX(对接源_01水果!$W$4:$W$1203,$AE35)),IF(INDEX(对接源_02物料!$W$4:$W$1203,$AE35-1200)=0,"",INDEX(对接源_02物料!$W$4:$W$1203,$AE35-1200))))</f>
      </c>
      <c r="I35" s="104">
        <f>IF($AE35="","",IF($AE35&lt;=1200,IF(INDEX(对接源_01水果!$C$4:$C$1203,$AE35)=0,"",INDEX(对接源_01水果!$C$4:$C$1203,$AE35)),IF(INDEX(对接源_02物料!$C$4:$C$1203,$AE35-1200)=0,"",INDEX(对接源_02物料!$C$4:$C$1203,$AE35-1200))))</f>
      </c>
      <c r="J35" s="107">
        <f>IF($AE35="","",IF($AE35&lt;=1200,IF(INDEX(对接源_01水果!$M$4:$M$1203,$AE35)=0,"",INDEX(对接源_01水果!$M$4:$M$1203,$AE35)),IF(INDEX(对接源_02物料!$M$4:$M$1203,$AE35-1200)=0,"",INDEX(对接源_02物料!$M$4:$M$1203,$AE35-1200))))</f>
      </c>
      <c r="L35" s="16">
        <f>IFERROR(INDEX($D$129:$D$208,MATCH(2,AN$129:AN$208,0)),"")</f>
      </c>
      <c r="M35" s="176">
        <f>IF($L35="","",SUMIF($D$129:$D$208,$L35,$E$129:$E$208))</f>
      </c>
      <c r="N35" s="177">
        <f>IF($L35="","",ROUND(SUMIF($D$129:$D$208,$L35,$G$129:$G$208),2))</f>
      </c>
      <c r="AE35" s="2">
        <f>IFERROR(MATCH(30,_自动清单!$AA$4:$AA$2403,0),"")</f>
      </c>
      <c r="AI35" s="2">
        <f>IF($D35="","",$D35)</f>
      </c>
      <c r="AJ35" s="2">
        <f>IF(AI35="",0,IF(MATCH(AI35,AI$6:AI$125,0)=30,1,0))</f>
        <v>0</v>
      </c>
      <c r="AK35" s="2">
        <f>N(AK34)+AJ35</f>
        <v>3</v>
      </c>
    </row>
    <row r="36" ht="18" customHeight="1" s="127">
      <c r="A36" s="163">
        <f>IF($AE36="","",IF($AE36&lt;=1200,IF(INDEX(对接源_01水果!$B$4:$B$1203,$AE36)=0,"",INDEX(对接源_01水果!$B$4:$B$1203,$AE36)),IF(INDEX(对接源_02物料!$B$4:$B$1203,$AE36-1200)=0,"",INDEX(对接源_02物料!$B$4:$B$1203,$AE36-1200))))</f>
      </c>
      <c r="B36" s="61">
        <f>IF($AE36="","",IF($AE36&lt;=1200,IF(INDEX(对接源_01水果!$E$4:$E$1203,$AE36)=0,"",INDEX(对接源_01水果!$E$4:$E$1203,$AE36)),IF(INDEX(对接源_02物料!$E$4:$E$1203,$AE36-1200)=0,"",INDEX(对接源_02物料!$E$4:$E$1203,$AE36-1200))))</f>
      </c>
      <c r="C36" s="61">
        <f>IF($AE36="","",IF($AE36&lt;=1200,IF(INDEX(对接源_01水果!$F$4:$F$1203,$AE36)=0,"",INDEX(对接源_01水果!$F$4:$F$1203,$AE36)),IF(INDEX(对接源_02物料!$F$4:$F$1203,$AE36-1200)=0,"",INDEX(对接源_02物料!$F$4:$F$1203,$AE36-1200))))</f>
      </c>
      <c r="D36" s="61">
        <f>IF($AE36="","",IF($AE36&lt;=1200,IF(INDEX(对接源_01水果!$G$4:$G$1203,$AE36)=0,"",INDEX(对接源_01水果!$G$4:$G$1203,$AE36)),IF(INDEX(对接源_02物料!$G$4:$G$1203,$AE36-1200)=0,"",INDEX(对接源_02物料!$G$4:$G$1203,$AE36-1200))))</f>
      </c>
      <c r="E36" s="164">
        <f>IF($AE36="","",IF($AE36&lt;=1200,IF(INDEX(对接源_01水果!$H$4:$H$1203,$AE36)=0,"",INDEX(对接源_01水果!$H$4:$H$1203,$AE36)),IF(INDEX(对接源_02物料!$H$4:$H$1203,$AE36-1200)=0,"",INDEX(对接源_02物料!$H$4:$H$1203,$AE36-1200))))</f>
      </c>
      <c r="F36" s="61">
        <f>IF($AE36="","",IF($AE36&lt;=1200,IF(INDEX(对接源_01水果!$I$4:$I$1203,$AE36)=0,"",INDEX(对接源_01水果!$I$4:$I$1203,$AE36)),IF(INDEX(对接源_02物料!$I$4:$I$1203,$AE36-1200)=0,"",INDEX(对接源_02物料!$I$4:$I$1203,$AE36-1200))))</f>
      </c>
      <c r="G36" s="173">
        <f>IF($AE36="","",IF($AE36&lt;=1200,IF(INDEX(对接源_01水果!$J$4:$J$1203,$AE36)=0,"",INDEX(对接源_01水果!$J$4:$J$1203,$AE36)),IF(INDEX(对接源_02物料!$J$4:$J$1203,$AE36-1200)=0,"",INDEX(对接源_02物料!$J$4:$J$1203,$AE36-1200))))</f>
      </c>
      <c r="H36" s="61">
        <f>IF($AE36="","",IF($AE36&lt;=1200,IF(INDEX(对接源_01水果!$W$4:$W$1203,$AE36)=0,"",INDEX(对接源_01水果!$W$4:$W$1203,$AE36)),IF(INDEX(对接源_02物料!$W$4:$W$1203,$AE36-1200)=0,"",INDEX(对接源_02物料!$W$4:$W$1203,$AE36-1200))))</f>
      </c>
      <c r="I36" s="61">
        <f>IF($AE36="","",IF($AE36&lt;=1200,IF(INDEX(对接源_01水果!$C$4:$C$1203,$AE36)=0,"",INDEX(对接源_01水果!$C$4:$C$1203,$AE36)),IF(INDEX(对接源_02物料!$C$4:$C$1203,$AE36-1200)=0,"",INDEX(对接源_02物料!$C$4:$C$1203,$AE36-1200))))</f>
      </c>
      <c r="J36" s="64">
        <f>IF($AE36="","",IF($AE36&lt;=1200,IF(INDEX(对接源_01水果!$M$4:$M$1203,$AE36)=0,"",INDEX(对接源_01水果!$M$4:$M$1203,$AE36)),IF(INDEX(对接源_02物料!$M$4:$M$1203,$AE36-1200)=0,"",INDEX(对接源_02物料!$M$4:$M$1203,$AE36-1200))))</f>
      </c>
      <c r="L36" s="16">
        <f>IFERROR(INDEX($D$129:$D$208,MATCH(3,AN$129:AN$208,0)),"")</f>
      </c>
      <c r="M36" s="176">
        <f>IF($L36="","",SUMIF($D$129:$D$208,$L36,$E$129:$E$208))</f>
      </c>
      <c r="N36" s="177">
        <f>IF($L36="","",ROUND(SUMIF($D$129:$D$208,$L36,$G$129:$G$208),2))</f>
      </c>
      <c r="AE36" s="2">
        <f>IFERROR(MATCH(31,_自动清单!$AA$4:$AA$2403,0),"")</f>
      </c>
      <c r="AI36" s="2">
        <f>IF($D36="","",$D36)</f>
      </c>
      <c r="AJ36" s="2">
        <f>IF(AI36="",0,IF(MATCH(AI36,AI$6:AI$125,0)=31,1,0))</f>
        <v>0</v>
      </c>
      <c r="AK36" s="2">
        <f>N(AK35)+AJ36</f>
        <v>3</v>
      </c>
    </row>
    <row r="37" ht="18" customHeight="1" s="127">
      <c r="A37" s="165">
        <f>IF($AE37="","",IF($AE37&lt;=1200,IF(INDEX(对接源_01水果!$B$4:$B$1203,$AE37)=0,"",INDEX(对接源_01水果!$B$4:$B$1203,$AE37)),IF(INDEX(对接源_02物料!$B$4:$B$1203,$AE37-1200)=0,"",INDEX(对接源_02物料!$B$4:$B$1203,$AE37-1200))))</f>
      </c>
      <c r="B37" s="104">
        <f>IF($AE37="","",IF($AE37&lt;=1200,IF(INDEX(对接源_01水果!$E$4:$E$1203,$AE37)=0,"",INDEX(对接源_01水果!$E$4:$E$1203,$AE37)),IF(INDEX(对接源_02物料!$E$4:$E$1203,$AE37-1200)=0,"",INDEX(对接源_02物料!$E$4:$E$1203,$AE37-1200))))</f>
      </c>
      <c r="C37" s="104">
        <f>IF($AE37="","",IF($AE37&lt;=1200,IF(INDEX(对接源_01水果!$F$4:$F$1203,$AE37)=0,"",INDEX(对接源_01水果!$F$4:$F$1203,$AE37)),IF(INDEX(对接源_02物料!$F$4:$F$1203,$AE37-1200)=0,"",INDEX(对接源_02物料!$F$4:$F$1203,$AE37-1200))))</f>
      </c>
      <c r="D37" s="104">
        <f>IF($AE37="","",IF($AE37&lt;=1200,IF(INDEX(对接源_01水果!$G$4:$G$1203,$AE37)=0,"",INDEX(对接源_01水果!$G$4:$G$1203,$AE37)),IF(INDEX(对接源_02物料!$G$4:$G$1203,$AE37-1200)=0,"",INDEX(对接源_02物料!$G$4:$G$1203,$AE37-1200))))</f>
      </c>
      <c r="E37" s="166">
        <f>IF($AE37="","",IF($AE37&lt;=1200,IF(INDEX(对接源_01水果!$H$4:$H$1203,$AE37)=0,"",INDEX(对接源_01水果!$H$4:$H$1203,$AE37)),IF(INDEX(对接源_02物料!$H$4:$H$1203,$AE37-1200)=0,"",INDEX(对接源_02物料!$H$4:$H$1203,$AE37-1200))))</f>
      </c>
      <c r="F37" s="104">
        <f>IF($AE37="","",IF($AE37&lt;=1200,IF(INDEX(对接源_01水果!$I$4:$I$1203,$AE37)=0,"",INDEX(对接源_01水果!$I$4:$I$1203,$AE37)),IF(INDEX(对接源_02物料!$I$4:$I$1203,$AE37-1200)=0,"",INDEX(对接源_02物料!$I$4:$I$1203,$AE37-1200))))</f>
      </c>
      <c r="G37" s="175">
        <f>IF($AE37="","",IF($AE37&lt;=1200,IF(INDEX(对接源_01水果!$J$4:$J$1203,$AE37)=0,"",INDEX(对接源_01水果!$J$4:$J$1203,$AE37)),IF(INDEX(对接源_02物料!$J$4:$J$1203,$AE37-1200)=0,"",INDEX(对接源_02物料!$J$4:$J$1203,$AE37-1200))))</f>
      </c>
      <c r="H37" s="104">
        <f>IF($AE37="","",IF($AE37&lt;=1200,IF(INDEX(对接源_01水果!$W$4:$W$1203,$AE37)=0,"",INDEX(对接源_01水果!$W$4:$W$1203,$AE37)),IF(INDEX(对接源_02物料!$W$4:$W$1203,$AE37-1200)=0,"",INDEX(对接源_02物料!$W$4:$W$1203,$AE37-1200))))</f>
      </c>
      <c r="I37" s="104">
        <f>IF($AE37="","",IF($AE37&lt;=1200,IF(INDEX(对接源_01水果!$C$4:$C$1203,$AE37)=0,"",INDEX(对接源_01水果!$C$4:$C$1203,$AE37)),IF(INDEX(对接源_02物料!$C$4:$C$1203,$AE37-1200)=0,"",INDEX(对接源_02物料!$C$4:$C$1203,$AE37-1200))))</f>
      </c>
      <c r="J37" s="107">
        <f>IF($AE37="","",IF($AE37&lt;=1200,IF(INDEX(对接源_01水果!$M$4:$M$1203,$AE37)=0,"",INDEX(对接源_01水果!$M$4:$M$1203,$AE37)),IF(INDEX(对接源_02物料!$M$4:$M$1203,$AE37-1200)=0,"",INDEX(对接源_02物料!$M$4:$M$1203,$AE37-1200))))</f>
      </c>
      <c r="L37" s="16">
        <f>IFERROR(INDEX($D$129:$D$208,MATCH(4,AN$129:AN$208,0)),"")</f>
      </c>
      <c r="M37" s="176">
        <f>IF($L37="","",SUMIF($D$129:$D$208,$L37,$E$129:$E$208))</f>
      </c>
      <c r="N37" s="177">
        <f>IF($L37="","",ROUND(SUMIF($D$129:$D$208,$L37,$G$129:$G$208),2))</f>
      </c>
      <c r="AE37" s="2">
        <f>IFERROR(MATCH(32,_自动清单!$AA$4:$AA$2403,0),"")</f>
      </c>
      <c r="AI37" s="2">
        <f>IF($D37="","",$D37)</f>
      </c>
      <c r="AJ37" s="2">
        <f>IF(AI37="",0,IF(MATCH(AI37,AI$6:AI$125,0)=32,1,0))</f>
        <v>0</v>
      </c>
      <c r="AK37" s="2">
        <f>N(AK36)+AJ37</f>
        <v>3</v>
      </c>
    </row>
    <row r="38" ht="18" customHeight="1" s="127">
      <c r="A38" s="163">
        <f>IF($AE38="","",IF($AE38&lt;=1200,IF(INDEX(对接源_01水果!$B$4:$B$1203,$AE38)=0,"",INDEX(对接源_01水果!$B$4:$B$1203,$AE38)),IF(INDEX(对接源_02物料!$B$4:$B$1203,$AE38-1200)=0,"",INDEX(对接源_02物料!$B$4:$B$1203,$AE38-1200))))</f>
      </c>
      <c r="B38" s="61">
        <f>IF($AE38="","",IF($AE38&lt;=1200,IF(INDEX(对接源_01水果!$E$4:$E$1203,$AE38)=0,"",INDEX(对接源_01水果!$E$4:$E$1203,$AE38)),IF(INDEX(对接源_02物料!$E$4:$E$1203,$AE38-1200)=0,"",INDEX(对接源_02物料!$E$4:$E$1203,$AE38-1200))))</f>
      </c>
      <c r="C38" s="61">
        <f>IF($AE38="","",IF($AE38&lt;=1200,IF(INDEX(对接源_01水果!$F$4:$F$1203,$AE38)=0,"",INDEX(对接源_01水果!$F$4:$F$1203,$AE38)),IF(INDEX(对接源_02物料!$F$4:$F$1203,$AE38-1200)=0,"",INDEX(对接源_02物料!$F$4:$F$1203,$AE38-1200))))</f>
      </c>
      <c r="D38" s="61">
        <f>IF($AE38="","",IF($AE38&lt;=1200,IF(INDEX(对接源_01水果!$G$4:$G$1203,$AE38)=0,"",INDEX(对接源_01水果!$G$4:$G$1203,$AE38)),IF(INDEX(对接源_02物料!$G$4:$G$1203,$AE38-1200)=0,"",INDEX(对接源_02物料!$G$4:$G$1203,$AE38-1200))))</f>
      </c>
      <c r="E38" s="164">
        <f>IF($AE38="","",IF($AE38&lt;=1200,IF(INDEX(对接源_01水果!$H$4:$H$1203,$AE38)=0,"",INDEX(对接源_01水果!$H$4:$H$1203,$AE38)),IF(INDEX(对接源_02物料!$H$4:$H$1203,$AE38-1200)=0,"",INDEX(对接源_02物料!$H$4:$H$1203,$AE38-1200))))</f>
      </c>
      <c r="F38" s="61">
        <f>IF($AE38="","",IF($AE38&lt;=1200,IF(INDEX(对接源_01水果!$I$4:$I$1203,$AE38)=0,"",INDEX(对接源_01水果!$I$4:$I$1203,$AE38)),IF(INDEX(对接源_02物料!$I$4:$I$1203,$AE38-1200)=0,"",INDEX(对接源_02物料!$I$4:$I$1203,$AE38-1200))))</f>
      </c>
      <c r="G38" s="173">
        <f>IF($AE38="","",IF($AE38&lt;=1200,IF(INDEX(对接源_01水果!$J$4:$J$1203,$AE38)=0,"",INDEX(对接源_01水果!$J$4:$J$1203,$AE38)),IF(INDEX(对接源_02物料!$J$4:$J$1203,$AE38-1200)=0,"",INDEX(对接源_02物料!$J$4:$J$1203,$AE38-1200))))</f>
      </c>
      <c r="H38" s="61">
        <f>IF($AE38="","",IF($AE38&lt;=1200,IF(INDEX(对接源_01水果!$W$4:$W$1203,$AE38)=0,"",INDEX(对接源_01水果!$W$4:$W$1203,$AE38)),IF(INDEX(对接源_02物料!$W$4:$W$1203,$AE38-1200)=0,"",INDEX(对接源_02物料!$W$4:$W$1203,$AE38-1200))))</f>
      </c>
      <c r="I38" s="61">
        <f>IF($AE38="","",IF($AE38&lt;=1200,IF(INDEX(对接源_01水果!$C$4:$C$1203,$AE38)=0,"",INDEX(对接源_01水果!$C$4:$C$1203,$AE38)),IF(INDEX(对接源_02物料!$C$4:$C$1203,$AE38-1200)=0,"",INDEX(对接源_02物料!$C$4:$C$1203,$AE38-1200))))</f>
      </c>
      <c r="J38" s="64">
        <f>IF($AE38="","",IF($AE38&lt;=1200,IF(INDEX(对接源_01水果!$M$4:$M$1203,$AE38)=0,"",INDEX(对接源_01水果!$M$4:$M$1203,$AE38)),IF(INDEX(对接源_02物料!$M$4:$M$1203,$AE38-1200)=0,"",INDEX(对接源_02物料!$M$4:$M$1203,$AE38-1200))))</f>
      </c>
      <c r="L38" s="16">
        <f>IFERROR(INDEX($D$129:$D$208,MATCH(5,AN$129:AN$208,0)),"")</f>
      </c>
      <c r="M38" s="176">
        <f>IF($L38="","",SUMIF($D$129:$D$208,$L38,$E$129:$E$208))</f>
      </c>
      <c r="N38" s="177">
        <f>IF($L38="","",ROUND(SUMIF($D$129:$D$208,$L38,$G$129:$G$208),2))</f>
      </c>
      <c r="AE38" s="2">
        <f>IFERROR(MATCH(33,_自动清单!$AA$4:$AA$2403,0),"")</f>
      </c>
      <c r="AI38" s="2">
        <f>IF($D38="","",$D38)</f>
      </c>
      <c r="AJ38" s="2">
        <f>IF(AI38="",0,IF(MATCH(AI38,AI$6:AI$125,0)=33,1,0))</f>
        <v>0</v>
      </c>
      <c r="AK38" s="2">
        <f>N(AK37)+AJ38</f>
        <v>3</v>
      </c>
    </row>
    <row r="39" ht="18" customHeight="1" s="127">
      <c r="A39" s="165">
        <f>IF($AE39="","",IF($AE39&lt;=1200,IF(INDEX(对接源_01水果!$B$4:$B$1203,$AE39)=0,"",INDEX(对接源_01水果!$B$4:$B$1203,$AE39)),IF(INDEX(对接源_02物料!$B$4:$B$1203,$AE39-1200)=0,"",INDEX(对接源_02物料!$B$4:$B$1203,$AE39-1200))))</f>
      </c>
      <c r="B39" s="104">
        <f>IF($AE39="","",IF($AE39&lt;=1200,IF(INDEX(对接源_01水果!$E$4:$E$1203,$AE39)=0,"",INDEX(对接源_01水果!$E$4:$E$1203,$AE39)),IF(INDEX(对接源_02物料!$E$4:$E$1203,$AE39-1200)=0,"",INDEX(对接源_02物料!$E$4:$E$1203,$AE39-1200))))</f>
      </c>
      <c r="C39" s="104">
        <f>IF($AE39="","",IF($AE39&lt;=1200,IF(INDEX(对接源_01水果!$F$4:$F$1203,$AE39)=0,"",INDEX(对接源_01水果!$F$4:$F$1203,$AE39)),IF(INDEX(对接源_02物料!$F$4:$F$1203,$AE39-1200)=0,"",INDEX(对接源_02物料!$F$4:$F$1203,$AE39-1200))))</f>
      </c>
      <c r="D39" s="104">
        <f>IF($AE39="","",IF($AE39&lt;=1200,IF(INDEX(对接源_01水果!$G$4:$G$1203,$AE39)=0,"",INDEX(对接源_01水果!$G$4:$G$1203,$AE39)),IF(INDEX(对接源_02物料!$G$4:$G$1203,$AE39-1200)=0,"",INDEX(对接源_02物料!$G$4:$G$1203,$AE39-1200))))</f>
      </c>
      <c r="E39" s="166">
        <f>IF($AE39="","",IF($AE39&lt;=1200,IF(INDEX(对接源_01水果!$H$4:$H$1203,$AE39)=0,"",INDEX(对接源_01水果!$H$4:$H$1203,$AE39)),IF(INDEX(对接源_02物料!$H$4:$H$1203,$AE39-1200)=0,"",INDEX(对接源_02物料!$H$4:$H$1203,$AE39-1200))))</f>
      </c>
      <c r="F39" s="104">
        <f>IF($AE39="","",IF($AE39&lt;=1200,IF(INDEX(对接源_01水果!$I$4:$I$1203,$AE39)=0,"",INDEX(对接源_01水果!$I$4:$I$1203,$AE39)),IF(INDEX(对接源_02物料!$I$4:$I$1203,$AE39-1200)=0,"",INDEX(对接源_02物料!$I$4:$I$1203,$AE39-1200))))</f>
      </c>
      <c r="G39" s="175">
        <f>IF($AE39="","",IF($AE39&lt;=1200,IF(INDEX(对接源_01水果!$J$4:$J$1203,$AE39)=0,"",INDEX(对接源_01水果!$J$4:$J$1203,$AE39)),IF(INDEX(对接源_02物料!$J$4:$J$1203,$AE39-1200)=0,"",INDEX(对接源_02物料!$J$4:$J$1203,$AE39-1200))))</f>
      </c>
      <c r="H39" s="104">
        <f>IF($AE39="","",IF($AE39&lt;=1200,IF(INDEX(对接源_01水果!$W$4:$W$1203,$AE39)=0,"",INDEX(对接源_01水果!$W$4:$W$1203,$AE39)),IF(INDEX(对接源_02物料!$W$4:$W$1203,$AE39-1200)=0,"",INDEX(对接源_02物料!$W$4:$W$1203,$AE39-1200))))</f>
      </c>
      <c r="I39" s="104">
        <f>IF($AE39="","",IF($AE39&lt;=1200,IF(INDEX(对接源_01水果!$C$4:$C$1203,$AE39)=0,"",INDEX(对接源_01水果!$C$4:$C$1203,$AE39)),IF(INDEX(对接源_02物料!$C$4:$C$1203,$AE39-1200)=0,"",INDEX(对接源_02物料!$C$4:$C$1203,$AE39-1200))))</f>
      </c>
      <c r="J39" s="107">
        <f>IF($AE39="","",IF($AE39&lt;=1200,IF(INDEX(对接源_01水果!$M$4:$M$1203,$AE39)=0,"",INDEX(对接源_01水果!$M$4:$M$1203,$AE39)),IF(INDEX(对接源_02物料!$M$4:$M$1203,$AE39-1200)=0,"",INDEX(对接源_02物料!$M$4:$M$1203,$AE39-1200))))</f>
      </c>
      <c r="L39" s="16">
        <f>IFERROR(INDEX($D$129:$D$208,MATCH(6,AN$129:AN$208,0)),"")</f>
      </c>
      <c r="M39" s="176">
        <f>IF($L39="","",SUMIF($D$129:$D$208,$L39,$E$129:$E$208))</f>
      </c>
      <c r="N39" s="177">
        <f>IF($L39="","",ROUND(SUMIF($D$129:$D$208,$L39,$G$129:$G$208),2))</f>
      </c>
      <c r="AE39" s="2">
        <f>IFERROR(MATCH(34,_自动清单!$AA$4:$AA$2403,0),"")</f>
      </c>
      <c r="AI39" s="2">
        <f>IF($D39="","",$D39)</f>
      </c>
      <c r="AJ39" s="2">
        <f>IF(AI39="",0,IF(MATCH(AI39,AI$6:AI$125,0)=34,1,0))</f>
        <v>0</v>
      </c>
      <c r="AK39" s="2">
        <f>N(AK38)+AJ39</f>
        <v>3</v>
      </c>
    </row>
    <row r="40" ht="18" customHeight="1" s="127">
      <c r="A40" s="163">
        <f>IF($AE40="","",IF($AE40&lt;=1200,IF(INDEX(对接源_01水果!$B$4:$B$1203,$AE40)=0,"",INDEX(对接源_01水果!$B$4:$B$1203,$AE40)),IF(INDEX(对接源_02物料!$B$4:$B$1203,$AE40-1200)=0,"",INDEX(对接源_02物料!$B$4:$B$1203,$AE40-1200))))</f>
      </c>
      <c r="B40" s="61">
        <f>IF($AE40="","",IF($AE40&lt;=1200,IF(INDEX(对接源_01水果!$E$4:$E$1203,$AE40)=0,"",INDEX(对接源_01水果!$E$4:$E$1203,$AE40)),IF(INDEX(对接源_02物料!$E$4:$E$1203,$AE40-1200)=0,"",INDEX(对接源_02物料!$E$4:$E$1203,$AE40-1200))))</f>
      </c>
      <c r="C40" s="61">
        <f>IF($AE40="","",IF($AE40&lt;=1200,IF(INDEX(对接源_01水果!$F$4:$F$1203,$AE40)=0,"",INDEX(对接源_01水果!$F$4:$F$1203,$AE40)),IF(INDEX(对接源_02物料!$F$4:$F$1203,$AE40-1200)=0,"",INDEX(对接源_02物料!$F$4:$F$1203,$AE40-1200))))</f>
      </c>
      <c r="D40" s="61">
        <f>IF($AE40="","",IF($AE40&lt;=1200,IF(INDEX(对接源_01水果!$G$4:$G$1203,$AE40)=0,"",INDEX(对接源_01水果!$G$4:$G$1203,$AE40)),IF(INDEX(对接源_02物料!$G$4:$G$1203,$AE40-1200)=0,"",INDEX(对接源_02物料!$G$4:$G$1203,$AE40-1200))))</f>
      </c>
      <c r="E40" s="164">
        <f>IF($AE40="","",IF($AE40&lt;=1200,IF(INDEX(对接源_01水果!$H$4:$H$1203,$AE40)=0,"",INDEX(对接源_01水果!$H$4:$H$1203,$AE40)),IF(INDEX(对接源_02物料!$H$4:$H$1203,$AE40-1200)=0,"",INDEX(对接源_02物料!$H$4:$H$1203,$AE40-1200))))</f>
      </c>
      <c r="F40" s="61">
        <f>IF($AE40="","",IF($AE40&lt;=1200,IF(INDEX(对接源_01水果!$I$4:$I$1203,$AE40)=0,"",INDEX(对接源_01水果!$I$4:$I$1203,$AE40)),IF(INDEX(对接源_02物料!$I$4:$I$1203,$AE40-1200)=0,"",INDEX(对接源_02物料!$I$4:$I$1203,$AE40-1200))))</f>
      </c>
      <c r="G40" s="173">
        <f>IF($AE40="","",IF($AE40&lt;=1200,IF(INDEX(对接源_01水果!$J$4:$J$1203,$AE40)=0,"",INDEX(对接源_01水果!$J$4:$J$1203,$AE40)),IF(INDEX(对接源_02物料!$J$4:$J$1203,$AE40-1200)=0,"",INDEX(对接源_02物料!$J$4:$J$1203,$AE40-1200))))</f>
      </c>
      <c r="H40" s="61">
        <f>IF($AE40="","",IF($AE40&lt;=1200,IF(INDEX(对接源_01水果!$W$4:$W$1203,$AE40)=0,"",INDEX(对接源_01水果!$W$4:$W$1203,$AE40)),IF(INDEX(对接源_02物料!$W$4:$W$1203,$AE40-1200)=0,"",INDEX(对接源_02物料!$W$4:$W$1203,$AE40-1200))))</f>
      </c>
      <c r="I40" s="61">
        <f>IF($AE40="","",IF($AE40&lt;=1200,IF(INDEX(对接源_01水果!$C$4:$C$1203,$AE40)=0,"",INDEX(对接源_01水果!$C$4:$C$1203,$AE40)),IF(INDEX(对接源_02物料!$C$4:$C$1203,$AE40-1200)=0,"",INDEX(对接源_02物料!$C$4:$C$1203,$AE40-1200))))</f>
      </c>
      <c r="J40" s="64">
        <f>IF($AE40="","",IF($AE40&lt;=1200,IF(INDEX(对接源_01水果!$M$4:$M$1203,$AE40)=0,"",INDEX(对接源_01水果!$M$4:$M$1203,$AE40)),IF(INDEX(对接源_02物料!$M$4:$M$1203,$AE40-1200)=0,"",INDEX(对接源_02物料!$M$4:$M$1203,$AE40-1200))))</f>
      </c>
      <c r="L40" s="16">
        <f>IFERROR(INDEX($D$129:$D$208,MATCH(7,AN$129:AN$208,0)),"")</f>
      </c>
      <c r="M40" s="176">
        <f>IF($L40="","",SUMIF($D$129:$D$208,$L40,$E$129:$E$208))</f>
      </c>
      <c r="N40" s="177">
        <f>IF($L40="","",ROUND(SUMIF($D$129:$D$208,$L40,$G$129:$G$208),2))</f>
      </c>
      <c r="AE40" s="2">
        <f>IFERROR(MATCH(35,_自动清单!$AA$4:$AA$2403,0),"")</f>
      </c>
      <c r="AI40" s="2">
        <f>IF($D40="","",$D40)</f>
      </c>
      <c r="AJ40" s="2">
        <f>IF(AI40="",0,IF(MATCH(AI40,AI$6:AI$125,0)=35,1,0))</f>
        <v>0</v>
      </c>
      <c r="AK40" s="2">
        <f>N(AK39)+AJ40</f>
        <v>3</v>
      </c>
    </row>
    <row r="41" ht="18" customHeight="1" s="127">
      <c r="A41" s="165">
        <f>IF($AE41="","",IF($AE41&lt;=1200,IF(INDEX(对接源_01水果!$B$4:$B$1203,$AE41)=0,"",INDEX(对接源_01水果!$B$4:$B$1203,$AE41)),IF(INDEX(对接源_02物料!$B$4:$B$1203,$AE41-1200)=0,"",INDEX(对接源_02物料!$B$4:$B$1203,$AE41-1200))))</f>
      </c>
      <c r="B41" s="104">
        <f>IF($AE41="","",IF($AE41&lt;=1200,IF(INDEX(对接源_01水果!$E$4:$E$1203,$AE41)=0,"",INDEX(对接源_01水果!$E$4:$E$1203,$AE41)),IF(INDEX(对接源_02物料!$E$4:$E$1203,$AE41-1200)=0,"",INDEX(对接源_02物料!$E$4:$E$1203,$AE41-1200))))</f>
      </c>
      <c r="C41" s="104">
        <f>IF($AE41="","",IF($AE41&lt;=1200,IF(INDEX(对接源_01水果!$F$4:$F$1203,$AE41)=0,"",INDEX(对接源_01水果!$F$4:$F$1203,$AE41)),IF(INDEX(对接源_02物料!$F$4:$F$1203,$AE41-1200)=0,"",INDEX(对接源_02物料!$F$4:$F$1203,$AE41-1200))))</f>
      </c>
      <c r="D41" s="104">
        <f>IF($AE41="","",IF($AE41&lt;=1200,IF(INDEX(对接源_01水果!$G$4:$G$1203,$AE41)=0,"",INDEX(对接源_01水果!$G$4:$G$1203,$AE41)),IF(INDEX(对接源_02物料!$G$4:$G$1203,$AE41-1200)=0,"",INDEX(对接源_02物料!$G$4:$G$1203,$AE41-1200))))</f>
      </c>
      <c r="E41" s="166">
        <f>IF($AE41="","",IF($AE41&lt;=1200,IF(INDEX(对接源_01水果!$H$4:$H$1203,$AE41)=0,"",INDEX(对接源_01水果!$H$4:$H$1203,$AE41)),IF(INDEX(对接源_02物料!$H$4:$H$1203,$AE41-1200)=0,"",INDEX(对接源_02物料!$H$4:$H$1203,$AE41-1200))))</f>
      </c>
      <c r="F41" s="104">
        <f>IF($AE41="","",IF($AE41&lt;=1200,IF(INDEX(对接源_01水果!$I$4:$I$1203,$AE41)=0,"",INDEX(对接源_01水果!$I$4:$I$1203,$AE41)),IF(INDEX(对接源_02物料!$I$4:$I$1203,$AE41-1200)=0,"",INDEX(对接源_02物料!$I$4:$I$1203,$AE41-1200))))</f>
      </c>
      <c r="G41" s="175">
        <f>IF($AE41="","",IF($AE41&lt;=1200,IF(INDEX(对接源_01水果!$J$4:$J$1203,$AE41)=0,"",INDEX(对接源_01水果!$J$4:$J$1203,$AE41)),IF(INDEX(对接源_02物料!$J$4:$J$1203,$AE41-1200)=0,"",INDEX(对接源_02物料!$J$4:$J$1203,$AE41-1200))))</f>
      </c>
      <c r="H41" s="104">
        <f>IF($AE41="","",IF($AE41&lt;=1200,IF(INDEX(对接源_01水果!$W$4:$W$1203,$AE41)=0,"",INDEX(对接源_01水果!$W$4:$W$1203,$AE41)),IF(INDEX(对接源_02物料!$W$4:$W$1203,$AE41-1200)=0,"",INDEX(对接源_02物料!$W$4:$W$1203,$AE41-1200))))</f>
      </c>
      <c r="I41" s="104">
        <f>IF($AE41="","",IF($AE41&lt;=1200,IF(INDEX(对接源_01水果!$C$4:$C$1203,$AE41)=0,"",INDEX(对接源_01水果!$C$4:$C$1203,$AE41)),IF(INDEX(对接源_02物料!$C$4:$C$1203,$AE41-1200)=0,"",INDEX(对接源_02物料!$C$4:$C$1203,$AE41-1200))))</f>
      </c>
      <c r="J41" s="107">
        <f>IF($AE41="","",IF($AE41&lt;=1200,IF(INDEX(对接源_01水果!$M$4:$M$1203,$AE41)=0,"",INDEX(对接源_01水果!$M$4:$M$1203,$AE41)),IF(INDEX(对接源_02物料!$M$4:$M$1203,$AE41-1200)=0,"",INDEX(对接源_02物料!$M$4:$M$1203,$AE41-1200))))</f>
      </c>
      <c r="L41" s="16">
        <f>IFERROR(INDEX($D$129:$D$208,MATCH(8,AN$129:AN$208,0)),"")</f>
      </c>
      <c r="M41" s="176">
        <f>IF($L41="","",SUMIF($D$129:$D$208,$L41,$E$129:$E$208))</f>
      </c>
      <c r="N41" s="177">
        <f>IF($L41="","",ROUND(SUMIF($D$129:$D$208,$L41,$G$129:$G$208),2))</f>
      </c>
      <c r="AE41" s="2">
        <f>IFERROR(MATCH(36,_自动清单!$AA$4:$AA$2403,0),"")</f>
      </c>
      <c r="AI41" s="2">
        <f>IF($D41="","",$D41)</f>
      </c>
      <c r="AJ41" s="2">
        <f>IF(AI41="",0,IF(MATCH(AI41,AI$6:AI$125,0)=36,1,0))</f>
        <v>0</v>
      </c>
      <c r="AK41" s="2">
        <f>N(AK40)+AJ41</f>
        <v>3</v>
      </c>
    </row>
    <row r="42" ht="18" customHeight="1" s="127">
      <c r="A42" s="163">
        <f>IF($AE42="","",IF($AE42&lt;=1200,IF(INDEX(对接源_01水果!$B$4:$B$1203,$AE42)=0,"",INDEX(对接源_01水果!$B$4:$B$1203,$AE42)),IF(INDEX(对接源_02物料!$B$4:$B$1203,$AE42-1200)=0,"",INDEX(对接源_02物料!$B$4:$B$1203,$AE42-1200))))</f>
      </c>
      <c r="B42" s="61">
        <f>IF($AE42="","",IF($AE42&lt;=1200,IF(INDEX(对接源_01水果!$E$4:$E$1203,$AE42)=0,"",INDEX(对接源_01水果!$E$4:$E$1203,$AE42)),IF(INDEX(对接源_02物料!$E$4:$E$1203,$AE42-1200)=0,"",INDEX(对接源_02物料!$E$4:$E$1203,$AE42-1200))))</f>
      </c>
      <c r="C42" s="61">
        <f>IF($AE42="","",IF($AE42&lt;=1200,IF(INDEX(对接源_01水果!$F$4:$F$1203,$AE42)=0,"",INDEX(对接源_01水果!$F$4:$F$1203,$AE42)),IF(INDEX(对接源_02物料!$F$4:$F$1203,$AE42-1200)=0,"",INDEX(对接源_02物料!$F$4:$F$1203,$AE42-1200))))</f>
      </c>
      <c r="D42" s="61">
        <f>IF($AE42="","",IF($AE42&lt;=1200,IF(INDEX(对接源_01水果!$G$4:$G$1203,$AE42)=0,"",INDEX(对接源_01水果!$G$4:$G$1203,$AE42)),IF(INDEX(对接源_02物料!$G$4:$G$1203,$AE42-1200)=0,"",INDEX(对接源_02物料!$G$4:$G$1203,$AE42-1200))))</f>
      </c>
      <c r="E42" s="164">
        <f>IF($AE42="","",IF($AE42&lt;=1200,IF(INDEX(对接源_01水果!$H$4:$H$1203,$AE42)=0,"",INDEX(对接源_01水果!$H$4:$H$1203,$AE42)),IF(INDEX(对接源_02物料!$H$4:$H$1203,$AE42-1200)=0,"",INDEX(对接源_02物料!$H$4:$H$1203,$AE42-1200))))</f>
      </c>
      <c r="F42" s="61">
        <f>IF($AE42="","",IF($AE42&lt;=1200,IF(INDEX(对接源_01水果!$I$4:$I$1203,$AE42)=0,"",INDEX(对接源_01水果!$I$4:$I$1203,$AE42)),IF(INDEX(对接源_02物料!$I$4:$I$1203,$AE42-1200)=0,"",INDEX(对接源_02物料!$I$4:$I$1203,$AE42-1200))))</f>
      </c>
      <c r="G42" s="173">
        <f>IF($AE42="","",IF($AE42&lt;=1200,IF(INDEX(对接源_01水果!$J$4:$J$1203,$AE42)=0,"",INDEX(对接源_01水果!$J$4:$J$1203,$AE42)),IF(INDEX(对接源_02物料!$J$4:$J$1203,$AE42-1200)=0,"",INDEX(对接源_02物料!$J$4:$J$1203,$AE42-1200))))</f>
      </c>
      <c r="H42" s="61">
        <f>IF($AE42="","",IF($AE42&lt;=1200,IF(INDEX(对接源_01水果!$W$4:$W$1203,$AE42)=0,"",INDEX(对接源_01水果!$W$4:$W$1203,$AE42)),IF(INDEX(对接源_02物料!$W$4:$W$1203,$AE42-1200)=0,"",INDEX(对接源_02物料!$W$4:$W$1203,$AE42-1200))))</f>
      </c>
      <c r="I42" s="61">
        <f>IF($AE42="","",IF($AE42&lt;=1200,IF(INDEX(对接源_01水果!$C$4:$C$1203,$AE42)=0,"",INDEX(对接源_01水果!$C$4:$C$1203,$AE42)),IF(INDEX(对接源_02物料!$C$4:$C$1203,$AE42-1200)=0,"",INDEX(对接源_02物料!$C$4:$C$1203,$AE42-1200))))</f>
      </c>
      <c r="J42" s="64">
        <f>IF($AE42="","",IF($AE42&lt;=1200,IF(INDEX(对接源_01水果!$M$4:$M$1203,$AE42)=0,"",INDEX(对接源_01水果!$M$4:$M$1203,$AE42)),IF(INDEX(对接源_02物料!$M$4:$M$1203,$AE42-1200)=0,"",INDEX(对接源_02物料!$M$4:$M$1203,$AE42-1200))))</f>
      </c>
      <c r="L42" s="16">
        <f>IFERROR(INDEX($D$129:$D$208,MATCH(9,AN$129:AN$208,0)),"")</f>
      </c>
      <c r="M42" s="176">
        <f>IF($L42="","",SUMIF($D$129:$D$208,$L42,$E$129:$E$208))</f>
      </c>
      <c r="N42" s="177">
        <f>IF($L42="","",ROUND(SUMIF($D$129:$D$208,$L42,$G$129:$G$208),2))</f>
      </c>
      <c r="AE42" s="2">
        <f>IFERROR(MATCH(37,_自动清单!$AA$4:$AA$2403,0),"")</f>
      </c>
      <c r="AI42" s="2">
        <f>IF($D42="","",$D42)</f>
      </c>
      <c r="AJ42" s="2">
        <f>IF(AI42="",0,IF(MATCH(AI42,AI$6:AI$125,0)=37,1,0))</f>
        <v>0</v>
      </c>
      <c r="AK42" s="2">
        <f>N(AK41)+AJ42</f>
        <v>3</v>
      </c>
    </row>
    <row r="43" ht="18" customHeight="1" s="127">
      <c r="A43" s="165">
        <f>IF($AE43="","",IF($AE43&lt;=1200,IF(INDEX(对接源_01水果!$B$4:$B$1203,$AE43)=0,"",INDEX(对接源_01水果!$B$4:$B$1203,$AE43)),IF(INDEX(对接源_02物料!$B$4:$B$1203,$AE43-1200)=0,"",INDEX(对接源_02物料!$B$4:$B$1203,$AE43-1200))))</f>
      </c>
      <c r="B43" s="104">
        <f>IF($AE43="","",IF($AE43&lt;=1200,IF(INDEX(对接源_01水果!$E$4:$E$1203,$AE43)=0,"",INDEX(对接源_01水果!$E$4:$E$1203,$AE43)),IF(INDEX(对接源_02物料!$E$4:$E$1203,$AE43-1200)=0,"",INDEX(对接源_02物料!$E$4:$E$1203,$AE43-1200))))</f>
      </c>
      <c r="C43" s="104">
        <f>IF($AE43="","",IF($AE43&lt;=1200,IF(INDEX(对接源_01水果!$F$4:$F$1203,$AE43)=0,"",INDEX(对接源_01水果!$F$4:$F$1203,$AE43)),IF(INDEX(对接源_02物料!$F$4:$F$1203,$AE43-1200)=0,"",INDEX(对接源_02物料!$F$4:$F$1203,$AE43-1200))))</f>
      </c>
      <c r="D43" s="104">
        <f>IF($AE43="","",IF($AE43&lt;=1200,IF(INDEX(对接源_01水果!$G$4:$G$1203,$AE43)=0,"",INDEX(对接源_01水果!$G$4:$G$1203,$AE43)),IF(INDEX(对接源_02物料!$G$4:$G$1203,$AE43-1200)=0,"",INDEX(对接源_02物料!$G$4:$G$1203,$AE43-1200))))</f>
      </c>
      <c r="E43" s="166">
        <f>IF($AE43="","",IF($AE43&lt;=1200,IF(INDEX(对接源_01水果!$H$4:$H$1203,$AE43)=0,"",INDEX(对接源_01水果!$H$4:$H$1203,$AE43)),IF(INDEX(对接源_02物料!$H$4:$H$1203,$AE43-1200)=0,"",INDEX(对接源_02物料!$H$4:$H$1203,$AE43-1200))))</f>
      </c>
      <c r="F43" s="104">
        <f>IF($AE43="","",IF($AE43&lt;=1200,IF(INDEX(对接源_01水果!$I$4:$I$1203,$AE43)=0,"",INDEX(对接源_01水果!$I$4:$I$1203,$AE43)),IF(INDEX(对接源_02物料!$I$4:$I$1203,$AE43-1200)=0,"",INDEX(对接源_02物料!$I$4:$I$1203,$AE43-1200))))</f>
      </c>
      <c r="G43" s="175">
        <f>IF($AE43="","",IF($AE43&lt;=1200,IF(INDEX(对接源_01水果!$J$4:$J$1203,$AE43)=0,"",INDEX(对接源_01水果!$J$4:$J$1203,$AE43)),IF(INDEX(对接源_02物料!$J$4:$J$1203,$AE43-1200)=0,"",INDEX(对接源_02物料!$J$4:$J$1203,$AE43-1200))))</f>
      </c>
      <c r="H43" s="104">
        <f>IF($AE43="","",IF($AE43&lt;=1200,IF(INDEX(对接源_01水果!$W$4:$W$1203,$AE43)=0,"",INDEX(对接源_01水果!$W$4:$W$1203,$AE43)),IF(INDEX(对接源_02物料!$W$4:$W$1203,$AE43-1200)=0,"",INDEX(对接源_02物料!$W$4:$W$1203,$AE43-1200))))</f>
      </c>
      <c r="I43" s="104">
        <f>IF($AE43="","",IF($AE43&lt;=1200,IF(INDEX(对接源_01水果!$C$4:$C$1203,$AE43)=0,"",INDEX(对接源_01水果!$C$4:$C$1203,$AE43)),IF(INDEX(对接源_02物料!$C$4:$C$1203,$AE43-1200)=0,"",INDEX(对接源_02物料!$C$4:$C$1203,$AE43-1200))))</f>
      </c>
      <c r="J43" s="107">
        <f>IF($AE43="","",IF($AE43&lt;=1200,IF(INDEX(对接源_01水果!$M$4:$M$1203,$AE43)=0,"",INDEX(对接源_01水果!$M$4:$M$1203,$AE43)),IF(INDEX(对接源_02物料!$M$4:$M$1203,$AE43-1200)=0,"",INDEX(对接源_02物料!$M$4:$M$1203,$AE43-1200))))</f>
      </c>
      <c r="L43" s="16">
        <f>IFERROR(INDEX($D$129:$D$208,MATCH(10,AN$129:AN$208,0)),"")</f>
      </c>
      <c r="M43" s="176">
        <f>IF($L43="","",SUMIF($D$129:$D$208,$L43,$E$129:$E$208))</f>
      </c>
      <c r="N43" s="177">
        <f>IF($L43="","",ROUND(SUMIF($D$129:$D$208,$L43,$G$129:$G$208),2))</f>
      </c>
      <c r="AE43" s="2">
        <f>IFERROR(MATCH(38,_自动清单!$AA$4:$AA$2403,0),"")</f>
      </c>
      <c r="AI43" s="2">
        <f>IF($D43="","",$D43)</f>
      </c>
      <c r="AJ43" s="2">
        <f>IF(AI43="",0,IF(MATCH(AI43,AI$6:AI$125,0)=38,1,0))</f>
        <v>0</v>
      </c>
      <c r="AK43" s="2">
        <f>N(AK42)+AJ43</f>
        <v>3</v>
      </c>
    </row>
    <row r="44" ht="18" customHeight="1" s="127">
      <c r="A44" s="163">
        <f>IF($AE44="","",IF($AE44&lt;=1200,IF(INDEX(对接源_01水果!$B$4:$B$1203,$AE44)=0,"",INDEX(对接源_01水果!$B$4:$B$1203,$AE44)),IF(INDEX(对接源_02物料!$B$4:$B$1203,$AE44-1200)=0,"",INDEX(对接源_02物料!$B$4:$B$1203,$AE44-1200))))</f>
      </c>
      <c r="B44" s="61">
        <f>IF($AE44="","",IF($AE44&lt;=1200,IF(INDEX(对接源_01水果!$E$4:$E$1203,$AE44)=0,"",INDEX(对接源_01水果!$E$4:$E$1203,$AE44)),IF(INDEX(对接源_02物料!$E$4:$E$1203,$AE44-1200)=0,"",INDEX(对接源_02物料!$E$4:$E$1203,$AE44-1200))))</f>
      </c>
      <c r="C44" s="61">
        <f>IF($AE44="","",IF($AE44&lt;=1200,IF(INDEX(对接源_01水果!$F$4:$F$1203,$AE44)=0,"",INDEX(对接源_01水果!$F$4:$F$1203,$AE44)),IF(INDEX(对接源_02物料!$F$4:$F$1203,$AE44-1200)=0,"",INDEX(对接源_02物料!$F$4:$F$1203,$AE44-1200))))</f>
      </c>
      <c r="D44" s="61">
        <f>IF($AE44="","",IF($AE44&lt;=1200,IF(INDEX(对接源_01水果!$G$4:$G$1203,$AE44)=0,"",INDEX(对接源_01水果!$G$4:$G$1203,$AE44)),IF(INDEX(对接源_02物料!$G$4:$G$1203,$AE44-1200)=0,"",INDEX(对接源_02物料!$G$4:$G$1203,$AE44-1200))))</f>
      </c>
      <c r="E44" s="164">
        <f>IF($AE44="","",IF($AE44&lt;=1200,IF(INDEX(对接源_01水果!$H$4:$H$1203,$AE44)=0,"",INDEX(对接源_01水果!$H$4:$H$1203,$AE44)),IF(INDEX(对接源_02物料!$H$4:$H$1203,$AE44-1200)=0,"",INDEX(对接源_02物料!$H$4:$H$1203,$AE44-1200))))</f>
      </c>
      <c r="F44" s="61">
        <f>IF($AE44="","",IF($AE44&lt;=1200,IF(INDEX(对接源_01水果!$I$4:$I$1203,$AE44)=0,"",INDEX(对接源_01水果!$I$4:$I$1203,$AE44)),IF(INDEX(对接源_02物料!$I$4:$I$1203,$AE44-1200)=0,"",INDEX(对接源_02物料!$I$4:$I$1203,$AE44-1200))))</f>
      </c>
      <c r="G44" s="173">
        <f>IF($AE44="","",IF($AE44&lt;=1200,IF(INDEX(对接源_01水果!$J$4:$J$1203,$AE44)=0,"",INDEX(对接源_01水果!$J$4:$J$1203,$AE44)),IF(INDEX(对接源_02物料!$J$4:$J$1203,$AE44-1200)=0,"",INDEX(对接源_02物料!$J$4:$J$1203,$AE44-1200))))</f>
      </c>
      <c r="H44" s="61">
        <f>IF($AE44="","",IF($AE44&lt;=1200,IF(INDEX(对接源_01水果!$W$4:$W$1203,$AE44)=0,"",INDEX(对接源_01水果!$W$4:$W$1203,$AE44)),IF(INDEX(对接源_02物料!$W$4:$W$1203,$AE44-1200)=0,"",INDEX(对接源_02物料!$W$4:$W$1203,$AE44-1200))))</f>
      </c>
      <c r="I44" s="61">
        <f>IF($AE44="","",IF($AE44&lt;=1200,IF(INDEX(对接源_01水果!$C$4:$C$1203,$AE44)=0,"",INDEX(对接源_01水果!$C$4:$C$1203,$AE44)),IF(INDEX(对接源_02物料!$C$4:$C$1203,$AE44-1200)=0,"",INDEX(对接源_02物料!$C$4:$C$1203,$AE44-1200))))</f>
      </c>
      <c r="J44" s="64">
        <f>IF($AE44="","",IF($AE44&lt;=1200,IF(INDEX(对接源_01水果!$M$4:$M$1203,$AE44)=0,"",INDEX(对接源_01水果!$M$4:$M$1203,$AE44)),IF(INDEX(对接源_02物料!$M$4:$M$1203,$AE44-1200)=0,"",INDEX(对接源_02物料!$M$4:$M$1203,$AE44-1200))))</f>
      </c>
      <c r="L44" s="16">
        <f>IFERROR(INDEX($D$129:$D$208,MATCH(11,AN$129:AN$208,0)),"")</f>
      </c>
      <c r="M44" s="176">
        <f>IF($L44="","",SUMIF($D$129:$D$208,$L44,$E$129:$E$208))</f>
      </c>
      <c r="N44" s="177">
        <f>IF($L44="","",ROUND(SUMIF($D$129:$D$208,$L44,$G$129:$G$208),2))</f>
      </c>
      <c r="AE44" s="2">
        <f>IFERROR(MATCH(39,_自动清单!$AA$4:$AA$2403,0),"")</f>
      </c>
      <c r="AI44" s="2">
        <f>IF($D44="","",$D44)</f>
      </c>
      <c r="AJ44" s="2">
        <f>IF(AI44="",0,IF(MATCH(AI44,AI$6:AI$125,0)=39,1,0))</f>
        <v>0</v>
      </c>
      <c r="AK44" s="2">
        <f>N(AK43)+AJ44</f>
        <v>3</v>
      </c>
    </row>
    <row r="45" ht="18" customHeight="1" s="127">
      <c r="A45" s="165">
        <f>IF($AE45="","",IF($AE45&lt;=1200,IF(INDEX(对接源_01水果!$B$4:$B$1203,$AE45)=0,"",INDEX(对接源_01水果!$B$4:$B$1203,$AE45)),IF(INDEX(对接源_02物料!$B$4:$B$1203,$AE45-1200)=0,"",INDEX(对接源_02物料!$B$4:$B$1203,$AE45-1200))))</f>
      </c>
      <c r="B45" s="104">
        <f>IF($AE45="","",IF($AE45&lt;=1200,IF(INDEX(对接源_01水果!$E$4:$E$1203,$AE45)=0,"",INDEX(对接源_01水果!$E$4:$E$1203,$AE45)),IF(INDEX(对接源_02物料!$E$4:$E$1203,$AE45-1200)=0,"",INDEX(对接源_02物料!$E$4:$E$1203,$AE45-1200))))</f>
      </c>
      <c r="C45" s="104">
        <f>IF($AE45="","",IF($AE45&lt;=1200,IF(INDEX(对接源_01水果!$F$4:$F$1203,$AE45)=0,"",INDEX(对接源_01水果!$F$4:$F$1203,$AE45)),IF(INDEX(对接源_02物料!$F$4:$F$1203,$AE45-1200)=0,"",INDEX(对接源_02物料!$F$4:$F$1203,$AE45-1200))))</f>
      </c>
      <c r="D45" s="104">
        <f>IF($AE45="","",IF($AE45&lt;=1200,IF(INDEX(对接源_01水果!$G$4:$G$1203,$AE45)=0,"",INDEX(对接源_01水果!$G$4:$G$1203,$AE45)),IF(INDEX(对接源_02物料!$G$4:$G$1203,$AE45-1200)=0,"",INDEX(对接源_02物料!$G$4:$G$1203,$AE45-1200))))</f>
      </c>
      <c r="E45" s="166">
        <f>IF($AE45="","",IF($AE45&lt;=1200,IF(INDEX(对接源_01水果!$H$4:$H$1203,$AE45)=0,"",INDEX(对接源_01水果!$H$4:$H$1203,$AE45)),IF(INDEX(对接源_02物料!$H$4:$H$1203,$AE45-1200)=0,"",INDEX(对接源_02物料!$H$4:$H$1203,$AE45-1200))))</f>
      </c>
      <c r="F45" s="104">
        <f>IF($AE45="","",IF($AE45&lt;=1200,IF(INDEX(对接源_01水果!$I$4:$I$1203,$AE45)=0,"",INDEX(对接源_01水果!$I$4:$I$1203,$AE45)),IF(INDEX(对接源_02物料!$I$4:$I$1203,$AE45-1200)=0,"",INDEX(对接源_02物料!$I$4:$I$1203,$AE45-1200))))</f>
      </c>
      <c r="G45" s="175">
        <f>IF($AE45="","",IF($AE45&lt;=1200,IF(INDEX(对接源_01水果!$J$4:$J$1203,$AE45)=0,"",INDEX(对接源_01水果!$J$4:$J$1203,$AE45)),IF(INDEX(对接源_02物料!$J$4:$J$1203,$AE45-1200)=0,"",INDEX(对接源_02物料!$J$4:$J$1203,$AE45-1200))))</f>
      </c>
      <c r="H45" s="104">
        <f>IF($AE45="","",IF($AE45&lt;=1200,IF(INDEX(对接源_01水果!$W$4:$W$1203,$AE45)=0,"",INDEX(对接源_01水果!$W$4:$W$1203,$AE45)),IF(INDEX(对接源_02物料!$W$4:$W$1203,$AE45-1200)=0,"",INDEX(对接源_02物料!$W$4:$W$1203,$AE45-1200))))</f>
      </c>
      <c r="I45" s="104">
        <f>IF($AE45="","",IF($AE45&lt;=1200,IF(INDEX(对接源_01水果!$C$4:$C$1203,$AE45)=0,"",INDEX(对接源_01水果!$C$4:$C$1203,$AE45)),IF(INDEX(对接源_02物料!$C$4:$C$1203,$AE45-1200)=0,"",INDEX(对接源_02物料!$C$4:$C$1203,$AE45-1200))))</f>
      </c>
      <c r="J45" s="107">
        <f>IF($AE45="","",IF($AE45&lt;=1200,IF(INDEX(对接源_01水果!$M$4:$M$1203,$AE45)=0,"",INDEX(对接源_01水果!$M$4:$M$1203,$AE45)),IF(INDEX(对接源_02物料!$M$4:$M$1203,$AE45-1200)=0,"",INDEX(对接源_02物料!$M$4:$M$1203,$AE45-1200))))</f>
      </c>
      <c r="L45" s="16">
        <f>IFERROR(INDEX($D$129:$D$208,MATCH(12,AN$129:AN$208,0)),"")</f>
      </c>
      <c r="M45" s="176">
        <f>IF($L45="","",SUMIF($D$129:$D$208,$L45,$E$129:$E$208))</f>
      </c>
      <c r="N45" s="177">
        <f>IF($L45="","",ROUND(SUMIF($D$129:$D$208,$L45,$G$129:$G$208),2))</f>
      </c>
      <c r="AE45" s="2">
        <f>IFERROR(MATCH(40,_自动清单!$AA$4:$AA$2403,0),"")</f>
      </c>
      <c r="AI45" s="2">
        <f>IF($D45="","",$D45)</f>
      </c>
      <c r="AJ45" s="2">
        <f>IF(AI45="",0,IF(MATCH(AI45,AI$6:AI$125,0)=40,1,0))</f>
        <v>0</v>
      </c>
      <c r="AK45" s="2">
        <f>N(AK44)+AJ45</f>
        <v>3</v>
      </c>
    </row>
    <row r="46" ht="18" customHeight="1" s="127">
      <c r="A46" s="163">
        <f>IF($AE46="","",IF($AE46&lt;=1200,IF(INDEX(对接源_01水果!$B$4:$B$1203,$AE46)=0,"",INDEX(对接源_01水果!$B$4:$B$1203,$AE46)),IF(INDEX(对接源_02物料!$B$4:$B$1203,$AE46-1200)=0,"",INDEX(对接源_02物料!$B$4:$B$1203,$AE46-1200))))</f>
      </c>
      <c r="B46" s="61">
        <f>IF($AE46="","",IF($AE46&lt;=1200,IF(INDEX(对接源_01水果!$E$4:$E$1203,$AE46)=0,"",INDEX(对接源_01水果!$E$4:$E$1203,$AE46)),IF(INDEX(对接源_02物料!$E$4:$E$1203,$AE46-1200)=0,"",INDEX(对接源_02物料!$E$4:$E$1203,$AE46-1200))))</f>
      </c>
      <c r="C46" s="61">
        <f>IF($AE46="","",IF($AE46&lt;=1200,IF(INDEX(对接源_01水果!$F$4:$F$1203,$AE46)=0,"",INDEX(对接源_01水果!$F$4:$F$1203,$AE46)),IF(INDEX(对接源_02物料!$F$4:$F$1203,$AE46-1200)=0,"",INDEX(对接源_02物料!$F$4:$F$1203,$AE46-1200))))</f>
      </c>
      <c r="D46" s="61">
        <f>IF($AE46="","",IF($AE46&lt;=1200,IF(INDEX(对接源_01水果!$G$4:$G$1203,$AE46)=0,"",INDEX(对接源_01水果!$G$4:$G$1203,$AE46)),IF(INDEX(对接源_02物料!$G$4:$G$1203,$AE46-1200)=0,"",INDEX(对接源_02物料!$G$4:$G$1203,$AE46-1200))))</f>
      </c>
      <c r="E46" s="164">
        <f>IF($AE46="","",IF($AE46&lt;=1200,IF(INDEX(对接源_01水果!$H$4:$H$1203,$AE46)=0,"",INDEX(对接源_01水果!$H$4:$H$1203,$AE46)),IF(INDEX(对接源_02物料!$H$4:$H$1203,$AE46-1200)=0,"",INDEX(对接源_02物料!$H$4:$H$1203,$AE46-1200))))</f>
      </c>
      <c r="F46" s="61">
        <f>IF($AE46="","",IF($AE46&lt;=1200,IF(INDEX(对接源_01水果!$I$4:$I$1203,$AE46)=0,"",INDEX(对接源_01水果!$I$4:$I$1203,$AE46)),IF(INDEX(对接源_02物料!$I$4:$I$1203,$AE46-1200)=0,"",INDEX(对接源_02物料!$I$4:$I$1203,$AE46-1200))))</f>
      </c>
      <c r="G46" s="173">
        <f>IF($AE46="","",IF($AE46&lt;=1200,IF(INDEX(对接源_01水果!$J$4:$J$1203,$AE46)=0,"",INDEX(对接源_01水果!$J$4:$J$1203,$AE46)),IF(INDEX(对接源_02物料!$J$4:$J$1203,$AE46-1200)=0,"",INDEX(对接源_02物料!$J$4:$J$1203,$AE46-1200))))</f>
      </c>
      <c r="H46" s="61">
        <f>IF($AE46="","",IF($AE46&lt;=1200,IF(INDEX(对接源_01水果!$W$4:$W$1203,$AE46)=0,"",INDEX(对接源_01水果!$W$4:$W$1203,$AE46)),IF(INDEX(对接源_02物料!$W$4:$W$1203,$AE46-1200)=0,"",INDEX(对接源_02物料!$W$4:$W$1203,$AE46-1200))))</f>
      </c>
      <c r="I46" s="61">
        <f>IF($AE46="","",IF($AE46&lt;=1200,IF(INDEX(对接源_01水果!$C$4:$C$1203,$AE46)=0,"",INDEX(对接源_01水果!$C$4:$C$1203,$AE46)),IF(INDEX(对接源_02物料!$C$4:$C$1203,$AE46-1200)=0,"",INDEX(对接源_02物料!$C$4:$C$1203,$AE46-1200))))</f>
      </c>
      <c r="J46" s="64">
        <f>IF($AE46="","",IF($AE46&lt;=1200,IF(INDEX(对接源_01水果!$M$4:$M$1203,$AE46)=0,"",INDEX(对接源_01水果!$M$4:$M$1203,$AE46)),IF(INDEX(对接源_02物料!$M$4:$M$1203,$AE46-1200)=0,"",INDEX(对接源_02物料!$M$4:$M$1203,$AE46-1200))))</f>
      </c>
      <c r="L46" s="16">
        <f>IFERROR(INDEX($D$129:$D$208,MATCH(13,AN$129:AN$208,0)),"")</f>
      </c>
      <c r="M46" s="176">
        <f>IF($L46="","",SUMIF($D$129:$D$208,$L46,$E$129:$E$208))</f>
      </c>
      <c r="N46" s="177">
        <f>IF($L46="","",ROUND(SUMIF($D$129:$D$208,$L46,$G$129:$G$208),2))</f>
      </c>
      <c r="AE46" s="2">
        <f>IFERROR(MATCH(41,_自动清单!$AA$4:$AA$2403,0),"")</f>
      </c>
      <c r="AI46" s="2">
        <f>IF($D46="","",$D46)</f>
      </c>
      <c r="AJ46" s="2">
        <f>IF(AI46="",0,IF(MATCH(AI46,AI$6:AI$125,0)=41,1,0))</f>
        <v>0</v>
      </c>
      <c r="AK46" s="2">
        <f>N(AK45)+AJ46</f>
        <v>3</v>
      </c>
    </row>
    <row r="47" ht="18" customHeight="1" s="127">
      <c r="A47" s="165">
        <f>IF($AE47="","",IF($AE47&lt;=1200,IF(INDEX(对接源_01水果!$B$4:$B$1203,$AE47)=0,"",INDEX(对接源_01水果!$B$4:$B$1203,$AE47)),IF(INDEX(对接源_02物料!$B$4:$B$1203,$AE47-1200)=0,"",INDEX(对接源_02物料!$B$4:$B$1203,$AE47-1200))))</f>
      </c>
      <c r="B47" s="104">
        <f>IF($AE47="","",IF($AE47&lt;=1200,IF(INDEX(对接源_01水果!$E$4:$E$1203,$AE47)=0,"",INDEX(对接源_01水果!$E$4:$E$1203,$AE47)),IF(INDEX(对接源_02物料!$E$4:$E$1203,$AE47-1200)=0,"",INDEX(对接源_02物料!$E$4:$E$1203,$AE47-1200))))</f>
      </c>
      <c r="C47" s="104">
        <f>IF($AE47="","",IF($AE47&lt;=1200,IF(INDEX(对接源_01水果!$F$4:$F$1203,$AE47)=0,"",INDEX(对接源_01水果!$F$4:$F$1203,$AE47)),IF(INDEX(对接源_02物料!$F$4:$F$1203,$AE47-1200)=0,"",INDEX(对接源_02物料!$F$4:$F$1203,$AE47-1200))))</f>
      </c>
      <c r="D47" s="104">
        <f>IF($AE47="","",IF($AE47&lt;=1200,IF(INDEX(对接源_01水果!$G$4:$G$1203,$AE47)=0,"",INDEX(对接源_01水果!$G$4:$G$1203,$AE47)),IF(INDEX(对接源_02物料!$G$4:$G$1203,$AE47-1200)=0,"",INDEX(对接源_02物料!$G$4:$G$1203,$AE47-1200))))</f>
      </c>
      <c r="E47" s="166">
        <f>IF($AE47="","",IF($AE47&lt;=1200,IF(INDEX(对接源_01水果!$H$4:$H$1203,$AE47)=0,"",INDEX(对接源_01水果!$H$4:$H$1203,$AE47)),IF(INDEX(对接源_02物料!$H$4:$H$1203,$AE47-1200)=0,"",INDEX(对接源_02物料!$H$4:$H$1203,$AE47-1200))))</f>
      </c>
      <c r="F47" s="104">
        <f>IF($AE47="","",IF($AE47&lt;=1200,IF(INDEX(对接源_01水果!$I$4:$I$1203,$AE47)=0,"",INDEX(对接源_01水果!$I$4:$I$1203,$AE47)),IF(INDEX(对接源_02物料!$I$4:$I$1203,$AE47-1200)=0,"",INDEX(对接源_02物料!$I$4:$I$1203,$AE47-1200))))</f>
      </c>
      <c r="G47" s="175">
        <f>IF($AE47="","",IF($AE47&lt;=1200,IF(INDEX(对接源_01水果!$J$4:$J$1203,$AE47)=0,"",INDEX(对接源_01水果!$J$4:$J$1203,$AE47)),IF(INDEX(对接源_02物料!$J$4:$J$1203,$AE47-1200)=0,"",INDEX(对接源_02物料!$J$4:$J$1203,$AE47-1200))))</f>
      </c>
      <c r="H47" s="104">
        <f>IF($AE47="","",IF($AE47&lt;=1200,IF(INDEX(对接源_01水果!$W$4:$W$1203,$AE47)=0,"",INDEX(对接源_01水果!$W$4:$W$1203,$AE47)),IF(INDEX(对接源_02物料!$W$4:$W$1203,$AE47-1200)=0,"",INDEX(对接源_02物料!$W$4:$W$1203,$AE47-1200))))</f>
      </c>
      <c r="I47" s="104">
        <f>IF($AE47="","",IF($AE47&lt;=1200,IF(INDEX(对接源_01水果!$C$4:$C$1203,$AE47)=0,"",INDEX(对接源_01水果!$C$4:$C$1203,$AE47)),IF(INDEX(对接源_02物料!$C$4:$C$1203,$AE47-1200)=0,"",INDEX(对接源_02物料!$C$4:$C$1203,$AE47-1200))))</f>
      </c>
      <c r="J47" s="107">
        <f>IF($AE47="","",IF($AE47&lt;=1200,IF(INDEX(对接源_01水果!$M$4:$M$1203,$AE47)=0,"",INDEX(对接源_01水果!$M$4:$M$1203,$AE47)),IF(INDEX(对接源_02物料!$M$4:$M$1203,$AE47-1200)=0,"",INDEX(对接源_02物料!$M$4:$M$1203,$AE47-1200))))</f>
      </c>
      <c r="L47" s="16">
        <f>IFERROR(INDEX($D$129:$D$208,MATCH(14,AN$129:AN$208,0)),"")</f>
      </c>
      <c r="M47" s="176">
        <f>IF($L47="","",SUMIF($D$129:$D$208,$L47,$E$129:$E$208))</f>
      </c>
      <c r="N47" s="177">
        <f>IF($L47="","",ROUND(SUMIF($D$129:$D$208,$L47,$G$129:$G$208),2))</f>
      </c>
      <c r="AE47" s="2">
        <f>IFERROR(MATCH(42,_自动清单!$AA$4:$AA$2403,0),"")</f>
      </c>
      <c r="AI47" s="2">
        <f>IF($D47="","",$D47)</f>
      </c>
      <c r="AJ47" s="2">
        <f>IF(AI47="",0,IF(MATCH(AI47,AI$6:AI$125,0)=42,1,0))</f>
        <v>0</v>
      </c>
      <c r="AK47" s="2">
        <f>N(AK46)+AJ47</f>
        <v>3</v>
      </c>
    </row>
    <row r="48" ht="18" customHeight="1" s="127">
      <c r="A48" s="163">
        <f>IF($AE48="","",IF($AE48&lt;=1200,IF(INDEX(对接源_01水果!$B$4:$B$1203,$AE48)=0,"",INDEX(对接源_01水果!$B$4:$B$1203,$AE48)),IF(INDEX(对接源_02物料!$B$4:$B$1203,$AE48-1200)=0,"",INDEX(对接源_02物料!$B$4:$B$1203,$AE48-1200))))</f>
      </c>
      <c r="B48" s="61">
        <f>IF($AE48="","",IF($AE48&lt;=1200,IF(INDEX(对接源_01水果!$E$4:$E$1203,$AE48)=0,"",INDEX(对接源_01水果!$E$4:$E$1203,$AE48)),IF(INDEX(对接源_02物料!$E$4:$E$1203,$AE48-1200)=0,"",INDEX(对接源_02物料!$E$4:$E$1203,$AE48-1200))))</f>
      </c>
      <c r="C48" s="61">
        <f>IF($AE48="","",IF($AE48&lt;=1200,IF(INDEX(对接源_01水果!$F$4:$F$1203,$AE48)=0,"",INDEX(对接源_01水果!$F$4:$F$1203,$AE48)),IF(INDEX(对接源_02物料!$F$4:$F$1203,$AE48-1200)=0,"",INDEX(对接源_02物料!$F$4:$F$1203,$AE48-1200))))</f>
      </c>
      <c r="D48" s="61">
        <f>IF($AE48="","",IF($AE48&lt;=1200,IF(INDEX(对接源_01水果!$G$4:$G$1203,$AE48)=0,"",INDEX(对接源_01水果!$G$4:$G$1203,$AE48)),IF(INDEX(对接源_02物料!$G$4:$G$1203,$AE48-1200)=0,"",INDEX(对接源_02物料!$G$4:$G$1203,$AE48-1200))))</f>
      </c>
      <c r="E48" s="164">
        <f>IF($AE48="","",IF($AE48&lt;=1200,IF(INDEX(对接源_01水果!$H$4:$H$1203,$AE48)=0,"",INDEX(对接源_01水果!$H$4:$H$1203,$AE48)),IF(INDEX(对接源_02物料!$H$4:$H$1203,$AE48-1200)=0,"",INDEX(对接源_02物料!$H$4:$H$1203,$AE48-1200))))</f>
      </c>
      <c r="F48" s="61">
        <f>IF($AE48="","",IF($AE48&lt;=1200,IF(INDEX(对接源_01水果!$I$4:$I$1203,$AE48)=0,"",INDEX(对接源_01水果!$I$4:$I$1203,$AE48)),IF(INDEX(对接源_02物料!$I$4:$I$1203,$AE48-1200)=0,"",INDEX(对接源_02物料!$I$4:$I$1203,$AE48-1200))))</f>
      </c>
      <c r="G48" s="173">
        <f>IF($AE48="","",IF($AE48&lt;=1200,IF(INDEX(对接源_01水果!$J$4:$J$1203,$AE48)=0,"",INDEX(对接源_01水果!$J$4:$J$1203,$AE48)),IF(INDEX(对接源_02物料!$J$4:$J$1203,$AE48-1200)=0,"",INDEX(对接源_02物料!$J$4:$J$1203,$AE48-1200))))</f>
      </c>
      <c r="H48" s="61">
        <f>IF($AE48="","",IF($AE48&lt;=1200,IF(INDEX(对接源_01水果!$W$4:$W$1203,$AE48)=0,"",INDEX(对接源_01水果!$W$4:$W$1203,$AE48)),IF(INDEX(对接源_02物料!$W$4:$W$1203,$AE48-1200)=0,"",INDEX(对接源_02物料!$W$4:$W$1203,$AE48-1200))))</f>
      </c>
      <c r="I48" s="61">
        <f>IF($AE48="","",IF($AE48&lt;=1200,IF(INDEX(对接源_01水果!$C$4:$C$1203,$AE48)=0,"",INDEX(对接源_01水果!$C$4:$C$1203,$AE48)),IF(INDEX(对接源_02物料!$C$4:$C$1203,$AE48-1200)=0,"",INDEX(对接源_02物料!$C$4:$C$1203,$AE48-1200))))</f>
      </c>
      <c r="J48" s="64">
        <f>IF($AE48="","",IF($AE48&lt;=1200,IF(INDEX(对接源_01水果!$M$4:$M$1203,$AE48)=0,"",INDEX(对接源_01水果!$M$4:$M$1203,$AE48)),IF(INDEX(对接源_02物料!$M$4:$M$1203,$AE48-1200)=0,"",INDEX(对接源_02物料!$M$4:$M$1203,$AE48-1200))))</f>
      </c>
      <c r="L48" s="16">
        <f>IFERROR(INDEX($D$129:$D$208,MATCH(15,AN$129:AN$208,0)),"")</f>
      </c>
      <c r="M48" s="176">
        <f>IF($L48="","",SUMIF($D$129:$D$208,$L48,$E$129:$E$208))</f>
      </c>
      <c r="N48" s="177">
        <f>IF($L48="","",ROUND(SUMIF($D$129:$D$208,$L48,$G$129:$G$208),2))</f>
      </c>
      <c r="AE48" s="2">
        <f>IFERROR(MATCH(43,_自动清单!$AA$4:$AA$2403,0),"")</f>
      </c>
      <c r="AI48" s="2">
        <f>IF($D48="","",$D48)</f>
      </c>
      <c r="AJ48" s="2">
        <f>IF(AI48="",0,IF(MATCH(AI48,AI$6:AI$125,0)=43,1,0))</f>
        <v>0</v>
      </c>
      <c r="AK48" s="2">
        <f>N(AK47)+AJ48</f>
        <v>3</v>
      </c>
    </row>
    <row r="49" ht="18" customHeight="1" s="127">
      <c r="A49" s="165">
        <f>IF($AE49="","",IF($AE49&lt;=1200,IF(INDEX(对接源_01水果!$B$4:$B$1203,$AE49)=0,"",INDEX(对接源_01水果!$B$4:$B$1203,$AE49)),IF(INDEX(对接源_02物料!$B$4:$B$1203,$AE49-1200)=0,"",INDEX(对接源_02物料!$B$4:$B$1203,$AE49-1200))))</f>
      </c>
      <c r="B49" s="104">
        <f>IF($AE49="","",IF($AE49&lt;=1200,IF(INDEX(对接源_01水果!$E$4:$E$1203,$AE49)=0,"",INDEX(对接源_01水果!$E$4:$E$1203,$AE49)),IF(INDEX(对接源_02物料!$E$4:$E$1203,$AE49-1200)=0,"",INDEX(对接源_02物料!$E$4:$E$1203,$AE49-1200))))</f>
      </c>
      <c r="C49" s="104">
        <f>IF($AE49="","",IF($AE49&lt;=1200,IF(INDEX(对接源_01水果!$F$4:$F$1203,$AE49)=0,"",INDEX(对接源_01水果!$F$4:$F$1203,$AE49)),IF(INDEX(对接源_02物料!$F$4:$F$1203,$AE49-1200)=0,"",INDEX(对接源_02物料!$F$4:$F$1203,$AE49-1200))))</f>
      </c>
      <c r="D49" s="104">
        <f>IF($AE49="","",IF($AE49&lt;=1200,IF(INDEX(对接源_01水果!$G$4:$G$1203,$AE49)=0,"",INDEX(对接源_01水果!$G$4:$G$1203,$AE49)),IF(INDEX(对接源_02物料!$G$4:$G$1203,$AE49-1200)=0,"",INDEX(对接源_02物料!$G$4:$G$1203,$AE49-1200))))</f>
      </c>
      <c r="E49" s="166">
        <f>IF($AE49="","",IF($AE49&lt;=1200,IF(INDEX(对接源_01水果!$H$4:$H$1203,$AE49)=0,"",INDEX(对接源_01水果!$H$4:$H$1203,$AE49)),IF(INDEX(对接源_02物料!$H$4:$H$1203,$AE49-1200)=0,"",INDEX(对接源_02物料!$H$4:$H$1203,$AE49-1200))))</f>
      </c>
      <c r="F49" s="104">
        <f>IF($AE49="","",IF($AE49&lt;=1200,IF(INDEX(对接源_01水果!$I$4:$I$1203,$AE49)=0,"",INDEX(对接源_01水果!$I$4:$I$1203,$AE49)),IF(INDEX(对接源_02物料!$I$4:$I$1203,$AE49-1200)=0,"",INDEX(对接源_02物料!$I$4:$I$1203,$AE49-1200))))</f>
      </c>
      <c r="G49" s="175">
        <f>IF($AE49="","",IF($AE49&lt;=1200,IF(INDEX(对接源_01水果!$J$4:$J$1203,$AE49)=0,"",INDEX(对接源_01水果!$J$4:$J$1203,$AE49)),IF(INDEX(对接源_02物料!$J$4:$J$1203,$AE49-1200)=0,"",INDEX(对接源_02物料!$J$4:$J$1203,$AE49-1200))))</f>
      </c>
      <c r="H49" s="104">
        <f>IF($AE49="","",IF($AE49&lt;=1200,IF(INDEX(对接源_01水果!$W$4:$W$1203,$AE49)=0,"",INDEX(对接源_01水果!$W$4:$W$1203,$AE49)),IF(INDEX(对接源_02物料!$W$4:$W$1203,$AE49-1200)=0,"",INDEX(对接源_02物料!$W$4:$W$1203,$AE49-1200))))</f>
      </c>
      <c r="I49" s="104">
        <f>IF($AE49="","",IF($AE49&lt;=1200,IF(INDEX(对接源_01水果!$C$4:$C$1203,$AE49)=0,"",INDEX(对接源_01水果!$C$4:$C$1203,$AE49)),IF(INDEX(对接源_02物料!$C$4:$C$1203,$AE49-1200)=0,"",INDEX(对接源_02物料!$C$4:$C$1203,$AE49-1200))))</f>
      </c>
      <c r="J49" s="107">
        <f>IF($AE49="","",IF($AE49&lt;=1200,IF(INDEX(对接源_01水果!$M$4:$M$1203,$AE49)=0,"",INDEX(对接源_01水果!$M$4:$M$1203,$AE49)),IF(INDEX(对接源_02物料!$M$4:$M$1203,$AE49-1200)=0,"",INDEX(对接源_02物料!$M$4:$M$1203,$AE49-1200))))</f>
      </c>
      <c r="L49" s="16">
        <f>IFERROR(INDEX($D$129:$D$208,MATCH(16,AN$129:AN$208,0)),"")</f>
      </c>
      <c r="M49" s="176">
        <f>IF($L49="","",SUMIF($D$129:$D$208,$L49,$E$129:$E$208))</f>
      </c>
      <c r="N49" s="177">
        <f>IF($L49="","",ROUND(SUMIF($D$129:$D$208,$L49,$G$129:$G$208),2))</f>
      </c>
      <c r="AE49" s="2">
        <f>IFERROR(MATCH(44,_自动清单!$AA$4:$AA$2403,0),"")</f>
      </c>
      <c r="AI49" s="2">
        <f>IF($D49="","",$D49)</f>
      </c>
      <c r="AJ49" s="2">
        <f>IF(AI49="",0,IF(MATCH(AI49,AI$6:AI$125,0)=44,1,0))</f>
        <v>0</v>
      </c>
      <c r="AK49" s="2">
        <f>N(AK48)+AJ49</f>
        <v>3</v>
      </c>
    </row>
    <row r="50" ht="18" customHeight="1" s="127">
      <c r="A50" s="163">
        <f>IF($AE50="","",IF($AE50&lt;=1200,IF(INDEX(对接源_01水果!$B$4:$B$1203,$AE50)=0,"",INDEX(对接源_01水果!$B$4:$B$1203,$AE50)),IF(INDEX(对接源_02物料!$B$4:$B$1203,$AE50-1200)=0,"",INDEX(对接源_02物料!$B$4:$B$1203,$AE50-1200))))</f>
      </c>
      <c r="B50" s="61">
        <f>IF($AE50="","",IF($AE50&lt;=1200,IF(INDEX(对接源_01水果!$E$4:$E$1203,$AE50)=0,"",INDEX(对接源_01水果!$E$4:$E$1203,$AE50)),IF(INDEX(对接源_02物料!$E$4:$E$1203,$AE50-1200)=0,"",INDEX(对接源_02物料!$E$4:$E$1203,$AE50-1200))))</f>
      </c>
      <c r="C50" s="61">
        <f>IF($AE50="","",IF($AE50&lt;=1200,IF(INDEX(对接源_01水果!$F$4:$F$1203,$AE50)=0,"",INDEX(对接源_01水果!$F$4:$F$1203,$AE50)),IF(INDEX(对接源_02物料!$F$4:$F$1203,$AE50-1200)=0,"",INDEX(对接源_02物料!$F$4:$F$1203,$AE50-1200))))</f>
      </c>
      <c r="D50" s="61">
        <f>IF($AE50="","",IF($AE50&lt;=1200,IF(INDEX(对接源_01水果!$G$4:$G$1203,$AE50)=0,"",INDEX(对接源_01水果!$G$4:$G$1203,$AE50)),IF(INDEX(对接源_02物料!$G$4:$G$1203,$AE50-1200)=0,"",INDEX(对接源_02物料!$G$4:$G$1203,$AE50-1200))))</f>
      </c>
      <c r="E50" s="164">
        <f>IF($AE50="","",IF($AE50&lt;=1200,IF(INDEX(对接源_01水果!$H$4:$H$1203,$AE50)=0,"",INDEX(对接源_01水果!$H$4:$H$1203,$AE50)),IF(INDEX(对接源_02物料!$H$4:$H$1203,$AE50-1200)=0,"",INDEX(对接源_02物料!$H$4:$H$1203,$AE50-1200))))</f>
      </c>
      <c r="F50" s="61">
        <f>IF($AE50="","",IF($AE50&lt;=1200,IF(INDEX(对接源_01水果!$I$4:$I$1203,$AE50)=0,"",INDEX(对接源_01水果!$I$4:$I$1203,$AE50)),IF(INDEX(对接源_02物料!$I$4:$I$1203,$AE50-1200)=0,"",INDEX(对接源_02物料!$I$4:$I$1203,$AE50-1200))))</f>
      </c>
      <c r="G50" s="173">
        <f>IF($AE50="","",IF($AE50&lt;=1200,IF(INDEX(对接源_01水果!$J$4:$J$1203,$AE50)=0,"",INDEX(对接源_01水果!$J$4:$J$1203,$AE50)),IF(INDEX(对接源_02物料!$J$4:$J$1203,$AE50-1200)=0,"",INDEX(对接源_02物料!$J$4:$J$1203,$AE50-1200))))</f>
      </c>
      <c r="H50" s="61">
        <f>IF($AE50="","",IF($AE50&lt;=1200,IF(INDEX(对接源_01水果!$W$4:$W$1203,$AE50)=0,"",INDEX(对接源_01水果!$W$4:$W$1203,$AE50)),IF(INDEX(对接源_02物料!$W$4:$W$1203,$AE50-1200)=0,"",INDEX(对接源_02物料!$W$4:$W$1203,$AE50-1200))))</f>
      </c>
      <c r="I50" s="61">
        <f>IF($AE50="","",IF($AE50&lt;=1200,IF(INDEX(对接源_01水果!$C$4:$C$1203,$AE50)=0,"",INDEX(对接源_01水果!$C$4:$C$1203,$AE50)),IF(INDEX(对接源_02物料!$C$4:$C$1203,$AE50-1200)=0,"",INDEX(对接源_02物料!$C$4:$C$1203,$AE50-1200))))</f>
      </c>
      <c r="J50" s="64">
        <f>IF($AE50="","",IF($AE50&lt;=1200,IF(INDEX(对接源_01水果!$M$4:$M$1203,$AE50)=0,"",INDEX(对接源_01水果!$M$4:$M$1203,$AE50)),IF(INDEX(对接源_02物料!$M$4:$M$1203,$AE50-1200)=0,"",INDEX(对接源_02物料!$M$4:$M$1203,$AE50-1200))))</f>
      </c>
      <c r="L50" s="16">
        <f>IFERROR(INDEX($D$129:$D$208,MATCH(17,AN$129:AN$208,0)),"")</f>
      </c>
      <c r="M50" s="176">
        <f>IF($L50="","",SUMIF($D$129:$D$208,$L50,$E$129:$E$208))</f>
      </c>
      <c r="N50" s="177">
        <f>IF($L50="","",ROUND(SUMIF($D$129:$D$208,$L50,$G$129:$G$208),2))</f>
      </c>
      <c r="AE50" s="2">
        <f>IFERROR(MATCH(45,_自动清单!$AA$4:$AA$2403,0),"")</f>
      </c>
      <c r="AI50" s="2">
        <f>IF($D50="","",$D50)</f>
      </c>
      <c r="AJ50" s="2">
        <f>IF(AI50="",0,IF(MATCH(AI50,AI$6:AI$125,0)=45,1,0))</f>
        <v>0</v>
      </c>
      <c r="AK50" s="2">
        <f>N(AK49)+AJ50</f>
        <v>3</v>
      </c>
    </row>
    <row r="51" ht="18" customHeight="1" s="127">
      <c r="A51" s="165">
        <f>IF($AE51="","",IF($AE51&lt;=1200,IF(INDEX(对接源_01水果!$B$4:$B$1203,$AE51)=0,"",INDEX(对接源_01水果!$B$4:$B$1203,$AE51)),IF(INDEX(对接源_02物料!$B$4:$B$1203,$AE51-1200)=0,"",INDEX(对接源_02物料!$B$4:$B$1203,$AE51-1200))))</f>
      </c>
      <c r="B51" s="104">
        <f>IF($AE51="","",IF($AE51&lt;=1200,IF(INDEX(对接源_01水果!$E$4:$E$1203,$AE51)=0,"",INDEX(对接源_01水果!$E$4:$E$1203,$AE51)),IF(INDEX(对接源_02物料!$E$4:$E$1203,$AE51-1200)=0,"",INDEX(对接源_02物料!$E$4:$E$1203,$AE51-1200))))</f>
      </c>
      <c r="C51" s="104">
        <f>IF($AE51="","",IF($AE51&lt;=1200,IF(INDEX(对接源_01水果!$F$4:$F$1203,$AE51)=0,"",INDEX(对接源_01水果!$F$4:$F$1203,$AE51)),IF(INDEX(对接源_02物料!$F$4:$F$1203,$AE51-1200)=0,"",INDEX(对接源_02物料!$F$4:$F$1203,$AE51-1200))))</f>
      </c>
      <c r="D51" s="104">
        <f>IF($AE51="","",IF($AE51&lt;=1200,IF(INDEX(对接源_01水果!$G$4:$G$1203,$AE51)=0,"",INDEX(对接源_01水果!$G$4:$G$1203,$AE51)),IF(INDEX(对接源_02物料!$G$4:$G$1203,$AE51-1200)=0,"",INDEX(对接源_02物料!$G$4:$G$1203,$AE51-1200))))</f>
      </c>
      <c r="E51" s="166">
        <f>IF($AE51="","",IF($AE51&lt;=1200,IF(INDEX(对接源_01水果!$H$4:$H$1203,$AE51)=0,"",INDEX(对接源_01水果!$H$4:$H$1203,$AE51)),IF(INDEX(对接源_02物料!$H$4:$H$1203,$AE51-1200)=0,"",INDEX(对接源_02物料!$H$4:$H$1203,$AE51-1200))))</f>
      </c>
      <c r="F51" s="104">
        <f>IF($AE51="","",IF($AE51&lt;=1200,IF(INDEX(对接源_01水果!$I$4:$I$1203,$AE51)=0,"",INDEX(对接源_01水果!$I$4:$I$1203,$AE51)),IF(INDEX(对接源_02物料!$I$4:$I$1203,$AE51-1200)=0,"",INDEX(对接源_02物料!$I$4:$I$1203,$AE51-1200))))</f>
      </c>
      <c r="G51" s="175">
        <f>IF($AE51="","",IF($AE51&lt;=1200,IF(INDEX(对接源_01水果!$J$4:$J$1203,$AE51)=0,"",INDEX(对接源_01水果!$J$4:$J$1203,$AE51)),IF(INDEX(对接源_02物料!$J$4:$J$1203,$AE51-1200)=0,"",INDEX(对接源_02物料!$J$4:$J$1203,$AE51-1200))))</f>
      </c>
      <c r="H51" s="104">
        <f>IF($AE51="","",IF($AE51&lt;=1200,IF(INDEX(对接源_01水果!$W$4:$W$1203,$AE51)=0,"",INDEX(对接源_01水果!$W$4:$W$1203,$AE51)),IF(INDEX(对接源_02物料!$W$4:$W$1203,$AE51-1200)=0,"",INDEX(对接源_02物料!$W$4:$W$1203,$AE51-1200))))</f>
      </c>
      <c r="I51" s="104">
        <f>IF($AE51="","",IF($AE51&lt;=1200,IF(INDEX(对接源_01水果!$C$4:$C$1203,$AE51)=0,"",INDEX(对接源_01水果!$C$4:$C$1203,$AE51)),IF(INDEX(对接源_02物料!$C$4:$C$1203,$AE51-1200)=0,"",INDEX(对接源_02物料!$C$4:$C$1203,$AE51-1200))))</f>
      </c>
      <c r="J51" s="107">
        <f>IF($AE51="","",IF($AE51&lt;=1200,IF(INDEX(对接源_01水果!$M$4:$M$1203,$AE51)=0,"",INDEX(对接源_01水果!$M$4:$M$1203,$AE51)),IF(INDEX(对接源_02物料!$M$4:$M$1203,$AE51-1200)=0,"",INDEX(对接源_02物料!$M$4:$M$1203,$AE51-1200))))</f>
      </c>
      <c r="L51" s="16">
        <f>IFERROR(INDEX($D$129:$D$208,MATCH(18,AN$129:AN$208,0)),"")</f>
      </c>
      <c r="M51" s="176">
        <f>IF($L51="","",SUMIF($D$129:$D$208,$L51,$E$129:$E$208))</f>
      </c>
      <c r="N51" s="177">
        <f>IF($L51="","",ROUND(SUMIF($D$129:$D$208,$L51,$G$129:$G$208),2))</f>
      </c>
      <c r="AE51" s="2">
        <f>IFERROR(MATCH(46,_自动清单!$AA$4:$AA$2403,0),"")</f>
      </c>
      <c r="AI51" s="2">
        <f>IF($D51="","",$D51)</f>
      </c>
      <c r="AJ51" s="2">
        <f>IF(AI51="",0,IF(MATCH(AI51,AI$6:AI$125,0)=46,1,0))</f>
        <v>0</v>
      </c>
      <c r="AK51" s="2">
        <f>N(AK50)+AJ51</f>
        <v>3</v>
      </c>
    </row>
    <row r="52" ht="18" customHeight="1" s="127">
      <c r="A52" s="163">
        <f>IF($AE52="","",IF($AE52&lt;=1200,IF(INDEX(对接源_01水果!$B$4:$B$1203,$AE52)=0,"",INDEX(对接源_01水果!$B$4:$B$1203,$AE52)),IF(INDEX(对接源_02物料!$B$4:$B$1203,$AE52-1200)=0,"",INDEX(对接源_02物料!$B$4:$B$1203,$AE52-1200))))</f>
      </c>
      <c r="B52" s="61">
        <f>IF($AE52="","",IF($AE52&lt;=1200,IF(INDEX(对接源_01水果!$E$4:$E$1203,$AE52)=0,"",INDEX(对接源_01水果!$E$4:$E$1203,$AE52)),IF(INDEX(对接源_02物料!$E$4:$E$1203,$AE52-1200)=0,"",INDEX(对接源_02物料!$E$4:$E$1203,$AE52-1200))))</f>
      </c>
      <c r="C52" s="61">
        <f>IF($AE52="","",IF($AE52&lt;=1200,IF(INDEX(对接源_01水果!$F$4:$F$1203,$AE52)=0,"",INDEX(对接源_01水果!$F$4:$F$1203,$AE52)),IF(INDEX(对接源_02物料!$F$4:$F$1203,$AE52-1200)=0,"",INDEX(对接源_02物料!$F$4:$F$1203,$AE52-1200))))</f>
      </c>
      <c r="D52" s="61">
        <f>IF($AE52="","",IF($AE52&lt;=1200,IF(INDEX(对接源_01水果!$G$4:$G$1203,$AE52)=0,"",INDEX(对接源_01水果!$G$4:$G$1203,$AE52)),IF(INDEX(对接源_02物料!$G$4:$G$1203,$AE52-1200)=0,"",INDEX(对接源_02物料!$G$4:$G$1203,$AE52-1200))))</f>
      </c>
      <c r="E52" s="164">
        <f>IF($AE52="","",IF($AE52&lt;=1200,IF(INDEX(对接源_01水果!$H$4:$H$1203,$AE52)=0,"",INDEX(对接源_01水果!$H$4:$H$1203,$AE52)),IF(INDEX(对接源_02物料!$H$4:$H$1203,$AE52-1200)=0,"",INDEX(对接源_02物料!$H$4:$H$1203,$AE52-1200))))</f>
      </c>
      <c r="F52" s="61">
        <f>IF($AE52="","",IF($AE52&lt;=1200,IF(INDEX(对接源_01水果!$I$4:$I$1203,$AE52)=0,"",INDEX(对接源_01水果!$I$4:$I$1203,$AE52)),IF(INDEX(对接源_02物料!$I$4:$I$1203,$AE52-1200)=0,"",INDEX(对接源_02物料!$I$4:$I$1203,$AE52-1200))))</f>
      </c>
      <c r="G52" s="173">
        <f>IF($AE52="","",IF($AE52&lt;=1200,IF(INDEX(对接源_01水果!$J$4:$J$1203,$AE52)=0,"",INDEX(对接源_01水果!$J$4:$J$1203,$AE52)),IF(INDEX(对接源_02物料!$J$4:$J$1203,$AE52-1200)=0,"",INDEX(对接源_02物料!$J$4:$J$1203,$AE52-1200))))</f>
      </c>
      <c r="H52" s="61">
        <f>IF($AE52="","",IF($AE52&lt;=1200,IF(INDEX(对接源_01水果!$W$4:$W$1203,$AE52)=0,"",INDEX(对接源_01水果!$W$4:$W$1203,$AE52)),IF(INDEX(对接源_02物料!$W$4:$W$1203,$AE52-1200)=0,"",INDEX(对接源_02物料!$W$4:$W$1203,$AE52-1200))))</f>
      </c>
      <c r="I52" s="61">
        <f>IF($AE52="","",IF($AE52&lt;=1200,IF(INDEX(对接源_01水果!$C$4:$C$1203,$AE52)=0,"",INDEX(对接源_01水果!$C$4:$C$1203,$AE52)),IF(INDEX(对接源_02物料!$C$4:$C$1203,$AE52-1200)=0,"",INDEX(对接源_02物料!$C$4:$C$1203,$AE52-1200))))</f>
      </c>
      <c r="J52" s="64">
        <f>IF($AE52="","",IF($AE52&lt;=1200,IF(INDEX(对接源_01水果!$M$4:$M$1203,$AE52)=0,"",INDEX(对接源_01水果!$M$4:$M$1203,$AE52)),IF(INDEX(对接源_02物料!$M$4:$M$1203,$AE52-1200)=0,"",INDEX(对接源_02物料!$M$4:$M$1203,$AE52-1200))))</f>
      </c>
      <c r="L52" s="110" t="inlineStr">
        <is>
          <t>合　计</t>
        </is>
      </c>
      <c r="M52" s="178">
        <f>ROUND(SUM(M34:M51),0)</f>
        <v>0</v>
      </c>
      <c r="N52" s="179">
        <f>ROUND(SUM(N34:N51),2)</f>
        <v>0</v>
      </c>
      <c r="AE52" s="2">
        <f>IFERROR(MATCH(47,_自动清单!$AA$4:$AA$2403,0),"")</f>
      </c>
      <c r="AI52" s="2">
        <f>IF($D52="","",$D52)</f>
      </c>
      <c r="AJ52" s="2">
        <f>IF(AI52="",0,IF(MATCH(AI52,AI$6:AI$125,0)=47,1,0))</f>
        <v>0</v>
      </c>
      <c r="AK52" s="2">
        <f>N(AK51)+AJ52</f>
        <v>3</v>
      </c>
    </row>
    <row r="53" ht="18" customHeight="1" s="127">
      <c r="A53" s="165">
        <f>IF($AE53="","",IF($AE53&lt;=1200,IF(INDEX(对接源_01水果!$B$4:$B$1203,$AE53)=0,"",INDEX(对接源_01水果!$B$4:$B$1203,$AE53)),IF(INDEX(对接源_02物料!$B$4:$B$1203,$AE53-1200)=0,"",INDEX(对接源_02物料!$B$4:$B$1203,$AE53-1200))))</f>
      </c>
      <c r="B53" s="104">
        <f>IF($AE53="","",IF($AE53&lt;=1200,IF(INDEX(对接源_01水果!$E$4:$E$1203,$AE53)=0,"",INDEX(对接源_01水果!$E$4:$E$1203,$AE53)),IF(INDEX(对接源_02物料!$E$4:$E$1203,$AE53-1200)=0,"",INDEX(对接源_02物料!$E$4:$E$1203,$AE53-1200))))</f>
      </c>
      <c r="C53" s="104">
        <f>IF($AE53="","",IF($AE53&lt;=1200,IF(INDEX(对接源_01水果!$F$4:$F$1203,$AE53)=0,"",INDEX(对接源_01水果!$F$4:$F$1203,$AE53)),IF(INDEX(对接源_02物料!$F$4:$F$1203,$AE53-1200)=0,"",INDEX(对接源_02物料!$F$4:$F$1203,$AE53-1200))))</f>
      </c>
      <c r="D53" s="104">
        <f>IF($AE53="","",IF($AE53&lt;=1200,IF(INDEX(对接源_01水果!$G$4:$G$1203,$AE53)=0,"",INDEX(对接源_01水果!$G$4:$G$1203,$AE53)),IF(INDEX(对接源_02物料!$G$4:$G$1203,$AE53-1200)=0,"",INDEX(对接源_02物料!$G$4:$G$1203,$AE53-1200))))</f>
      </c>
      <c r="E53" s="166">
        <f>IF($AE53="","",IF($AE53&lt;=1200,IF(INDEX(对接源_01水果!$H$4:$H$1203,$AE53)=0,"",INDEX(对接源_01水果!$H$4:$H$1203,$AE53)),IF(INDEX(对接源_02物料!$H$4:$H$1203,$AE53-1200)=0,"",INDEX(对接源_02物料!$H$4:$H$1203,$AE53-1200))))</f>
      </c>
      <c r="F53" s="104">
        <f>IF($AE53="","",IF($AE53&lt;=1200,IF(INDEX(对接源_01水果!$I$4:$I$1203,$AE53)=0,"",INDEX(对接源_01水果!$I$4:$I$1203,$AE53)),IF(INDEX(对接源_02物料!$I$4:$I$1203,$AE53-1200)=0,"",INDEX(对接源_02物料!$I$4:$I$1203,$AE53-1200))))</f>
      </c>
      <c r="G53" s="175">
        <f>IF($AE53="","",IF($AE53&lt;=1200,IF(INDEX(对接源_01水果!$J$4:$J$1203,$AE53)=0,"",INDEX(对接源_01水果!$J$4:$J$1203,$AE53)),IF(INDEX(对接源_02物料!$J$4:$J$1203,$AE53-1200)=0,"",INDEX(对接源_02物料!$J$4:$J$1203,$AE53-1200))))</f>
      </c>
      <c r="H53" s="104">
        <f>IF($AE53="","",IF($AE53&lt;=1200,IF(INDEX(对接源_01水果!$W$4:$W$1203,$AE53)=0,"",INDEX(对接源_01水果!$W$4:$W$1203,$AE53)),IF(INDEX(对接源_02物料!$W$4:$W$1203,$AE53-1200)=0,"",INDEX(对接源_02物料!$W$4:$W$1203,$AE53-1200))))</f>
      </c>
      <c r="I53" s="104">
        <f>IF($AE53="","",IF($AE53&lt;=1200,IF(INDEX(对接源_01水果!$C$4:$C$1203,$AE53)=0,"",INDEX(对接源_01水果!$C$4:$C$1203,$AE53)),IF(INDEX(对接源_02物料!$C$4:$C$1203,$AE53-1200)=0,"",INDEX(对接源_02物料!$C$4:$C$1203,$AE53-1200))))</f>
      </c>
      <c r="J53" s="107">
        <f>IF($AE53="","",IF($AE53&lt;=1200,IF(INDEX(对接源_01水果!$M$4:$M$1203,$AE53)=0,"",INDEX(对接源_01水果!$M$4:$M$1203,$AE53)),IF(INDEX(对接源_02物料!$M$4:$M$1203,$AE53-1200)=0,"",INDEX(对接源_02物料!$M$4:$M$1203,$AE53-1200))))</f>
      </c>
      <c r="AE53" s="2">
        <f>IFERROR(MATCH(48,_自动清单!$AA$4:$AA$2403,0),"")</f>
      </c>
      <c r="AI53" s="2">
        <f>IF($D53="","",$D53)</f>
      </c>
      <c r="AJ53" s="2">
        <f>IF(AI53="",0,IF(MATCH(AI53,AI$6:AI$125,0)=48,1,0))</f>
        <v>0</v>
      </c>
      <c r="AK53" s="2">
        <f>N(AK52)+AJ53</f>
        <v>3</v>
      </c>
    </row>
    <row r="54" ht="18" customHeight="1" s="127">
      <c r="A54" s="163">
        <f>IF($AE54="","",IF($AE54&lt;=1200,IF(INDEX(对接源_01水果!$B$4:$B$1203,$AE54)=0,"",INDEX(对接源_01水果!$B$4:$B$1203,$AE54)),IF(INDEX(对接源_02物料!$B$4:$B$1203,$AE54-1200)=0,"",INDEX(对接源_02物料!$B$4:$B$1203,$AE54-1200))))</f>
      </c>
      <c r="B54" s="61">
        <f>IF($AE54="","",IF($AE54&lt;=1200,IF(INDEX(对接源_01水果!$E$4:$E$1203,$AE54)=0,"",INDEX(对接源_01水果!$E$4:$E$1203,$AE54)),IF(INDEX(对接源_02物料!$E$4:$E$1203,$AE54-1200)=0,"",INDEX(对接源_02物料!$E$4:$E$1203,$AE54-1200))))</f>
      </c>
      <c r="C54" s="61">
        <f>IF($AE54="","",IF($AE54&lt;=1200,IF(INDEX(对接源_01水果!$F$4:$F$1203,$AE54)=0,"",INDEX(对接源_01水果!$F$4:$F$1203,$AE54)),IF(INDEX(对接源_02物料!$F$4:$F$1203,$AE54-1200)=0,"",INDEX(对接源_02物料!$F$4:$F$1203,$AE54-1200))))</f>
      </c>
      <c r="D54" s="61">
        <f>IF($AE54="","",IF($AE54&lt;=1200,IF(INDEX(对接源_01水果!$G$4:$G$1203,$AE54)=0,"",INDEX(对接源_01水果!$G$4:$G$1203,$AE54)),IF(INDEX(对接源_02物料!$G$4:$G$1203,$AE54-1200)=0,"",INDEX(对接源_02物料!$G$4:$G$1203,$AE54-1200))))</f>
      </c>
      <c r="E54" s="164">
        <f>IF($AE54="","",IF($AE54&lt;=1200,IF(INDEX(对接源_01水果!$H$4:$H$1203,$AE54)=0,"",INDEX(对接源_01水果!$H$4:$H$1203,$AE54)),IF(INDEX(对接源_02物料!$H$4:$H$1203,$AE54-1200)=0,"",INDEX(对接源_02物料!$H$4:$H$1203,$AE54-1200))))</f>
      </c>
      <c r="F54" s="61">
        <f>IF($AE54="","",IF($AE54&lt;=1200,IF(INDEX(对接源_01水果!$I$4:$I$1203,$AE54)=0,"",INDEX(对接源_01水果!$I$4:$I$1203,$AE54)),IF(INDEX(对接源_02物料!$I$4:$I$1203,$AE54-1200)=0,"",INDEX(对接源_02物料!$I$4:$I$1203,$AE54-1200))))</f>
      </c>
      <c r="G54" s="173">
        <f>IF($AE54="","",IF($AE54&lt;=1200,IF(INDEX(对接源_01水果!$J$4:$J$1203,$AE54)=0,"",INDEX(对接源_01水果!$J$4:$J$1203,$AE54)),IF(INDEX(对接源_02物料!$J$4:$J$1203,$AE54-1200)=0,"",INDEX(对接源_02物料!$J$4:$J$1203,$AE54-1200))))</f>
      </c>
      <c r="H54" s="61">
        <f>IF($AE54="","",IF($AE54&lt;=1200,IF(INDEX(对接源_01水果!$W$4:$W$1203,$AE54)=0,"",INDEX(对接源_01水果!$W$4:$W$1203,$AE54)),IF(INDEX(对接源_02物料!$W$4:$W$1203,$AE54-1200)=0,"",INDEX(对接源_02物料!$W$4:$W$1203,$AE54-1200))))</f>
      </c>
      <c r="I54" s="61">
        <f>IF($AE54="","",IF($AE54&lt;=1200,IF(INDEX(对接源_01水果!$C$4:$C$1203,$AE54)=0,"",INDEX(对接源_01水果!$C$4:$C$1203,$AE54)),IF(INDEX(对接源_02物料!$C$4:$C$1203,$AE54-1200)=0,"",INDEX(对接源_02物料!$C$4:$C$1203,$AE54-1200))))</f>
      </c>
      <c r="J54" s="64">
        <f>IF($AE54="","",IF($AE54&lt;=1200,IF(INDEX(对接源_01水果!$M$4:$M$1203,$AE54)=0,"",INDEX(对接源_01水果!$M$4:$M$1203,$AE54)),IF(INDEX(对接源_02物料!$M$4:$M$1203,$AE54-1200)=0,"",INDEX(对接源_02物料!$M$4:$M$1203,$AE54-1200))))</f>
      </c>
      <c r="AE54" s="2">
        <f>IFERROR(MATCH(49,_自动清单!$AA$4:$AA$2403,0),"")</f>
      </c>
      <c r="AI54" s="2">
        <f>IF($D54="","",$D54)</f>
      </c>
      <c r="AJ54" s="2">
        <f>IF(AI54="",0,IF(MATCH(AI54,AI$6:AI$125,0)=49,1,0))</f>
        <v>0</v>
      </c>
      <c r="AK54" s="2">
        <f>N(AK53)+AJ54</f>
        <v>3</v>
      </c>
    </row>
    <row r="55" ht="18" customHeight="1" s="127">
      <c r="A55" s="165">
        <f>IF($AE55="","",IF($AE55&lt;=1200,IF(INDEX(对接源_01水果!$B$4:$B$1203,$AE55)=0,"",INDEX(对接源_01水果!$B$4:$B$1203,$AE55)),IF(INDEX(对接源_02物料!$B$4:$B$1203,$AE55-1200)=0,"",INDEX(对接源_02物料!$B$4:$B$1203,$AE55-1200))))</f>
      </c>
      <c r="B55" s="104">
        <f>IF($AE55="","",IF($AE55&lt;=1200,IF(INDEX(对接源_01水果!$E$4:$E$1203,$AE55)=0,"",INDEX(对接源_01水果!$E$4:$E$1203,$AE55)),IF(INDEX(对接源_02物料!$E$4:$E$1203,$AE55-1200)=0,"",INDEX(对接源_02物料!$E$4:$E$1203,$AE55-1200))))</f>
      </c>
      <c r="C55" s="104">
        <f>IF($AE55="","",IF($AE55&lt;=1200,IF(INDEX(对接源_01水果!$F$4:$F$1203,$AE55)=0,"",INDEX(对接源_01水果!$F$4:$F$1203,$AE55)),IF(INDEX(对接源_02物料!$F$4:$F$1203,$AE55-1200)=0,"",INDEX(对接源_02物料!$F$4:$F$1203,$AE55-1200))))</f>
      </c>
      <c r="D55" s="104">
        <f>IF($AE55="","",IF($AE55&lt;=1200,IF(INDEX(对接源_01水果!$G$4:$G$1203,$AE55)=0,"",INDEX(对接源_01水果!$G$4:$G$1203,$AE55)),IF(INDEX(对接源_02物料!$G$4:$G$1203,$AE55-1200)=0,"",INDEX(对接源_02物料!$G$4:$G$1203,$AE55-1200))))</f>
      </c>
      <c r="E55" s="166">
        <f>IF($AE55="","",IF($AE55&lt;=1200,IF(INDEX(对接源_01水果!$H$4:$H$1203,$AE55)=0,"",INDEX(对接源_01水果!$H$4:$H$1203,$AE55)),IF(INDEX(对接源_02物料!$H$4:$H$1203,$AE55-1200)=0,"",INDEX(对接源_02物料!$H$4:$H$1203,$AE55-1200))))</f>
      </c>
      <c r="F55" s="104">
        <f>IF($AE55="","",IF($AE55&lt;=1200,IF(INDEX(对接源_01水果!$I$4:$I$1203,$AE55)=0,"",INDEX(对接源_01水果!$I$4:$I$1203,$AE55)),IF(INDEX(对接源_02物料!$I$4:$I$1203,$AE55-1200)=0,"",INDEX(对接源_02物料!$I$4:$I$1203,$AE55-1200))))</f>
      </c>
      <c r="G55" s="175">
        <f>IF($AE55="","",IF($AE55&lt;=1200,IF(INDEX(对接源_01水果!$J$4:$J$1203,$AE55)=0,"",INDEX(对接源_01水果!$J$4:$J$1203,$AE55)),IF(INDEX(对接源_02物料!$J$4:$J$1203,$AE55-1200)=0,"",INDEX(对接源_02物料!$J$4:$J$1203,$AE55-1200))))</f>
      </c>
      <c r="H55" s="104">
        <f>IF($AE55="","",IF($AE55&lt;=1200,IF(INDEX(对接源_01水果!$W$4:$W$1203,$AE55)=0,"",INDEX(对接源_01水果!$W$4:$W$1203,$AE55)),IF(INDEX(对接源_02物料!$W$4:$W$1203,$AE55-1200)=0,"",INDEX(对接源_02物料!$W$4:$W$1203,$AE55-1200))))</f>
      </c>
      <c r="I55" s="104">
        <f>IF($AE55="","",IF($AE55&lt;=1200,IF(INDEX(对接源_01水果!$C$4:$C$1203,$AE55)=0,"",INDEX(对接源_01水果!$C$4:$C$1203,$AE55)),IF(INDEX(对接源_02物料!$C$4:$C$1203,$AE55-1200)=0,"",INDEX(对接源_02物料!$C$4:$C$1203,$AE55-1200))))</f>
      </c>
      <c r="J55" s="107">
        <f>IF($AE55="","",IF($AE55&lt;=1200,IF(INDEX(对接源_01水果!$M$4:$M$1203,$AE55)=0,"",INDEX(对接源_01水果!$M$4:$M$1203,$AE55)),IF(INDEX(对接源_02物料!$M$4:$M$1203,$AE55-1200)=0,"",INDEX(对接源_02物料!$M$4:$M$1203,$AE55-1200))))</f>
      </c>
      <c r="AE55" s="2">
        <f>IFERROR(MATCH(50,_自动清单!$AA$4:$AA$2403,0),"")</f>
      </c>
      <c r="AI55" s="2">
        <f>IF($D55="","",$D55)</f>
      </c>
      <c r="AJ55" s="2">
        <f>IF(AI55="",0,IF(MATCH(AI55,AI$6:AI$125,0)=50,1,0))</f>
        <v>0</v>
      </c>
      <c r="AK55" s="2">
        <f>N(AK54)+AJ55</f>
        <v>3</v>
      </c>
    </row>
    <row r="56" ht="18" customHeight="1" s="127">
      <c r="A56" s="163">
        <f>IF($AE56="","",IF($AE56&lt;=1200,IF(INDEX(对接源_01水果!$B$4:$B$1203,$AE56)=0,"",INDEX(对接源_01水果!$B$4:$B$1203,$AE56)),IF(INDEX(对接源_02物料!$B$4:$B$1203,$AE56-1200)=0,"",INDEX(对接源_02物料!$B$4:$B$1203,$AE56-1200))))</f>
      </c>
      <c r="B56" s="61">
        <f>IF($AE56="","",IF($AE56&lt;=1200,IF(INDEX(对接源_01水果!$E$4:$E$1203,$AE56)=0,"",INDEX(对接源_01水果!$E$4:$E$1203,$AE56)),IF(INDEX(对接源_02物料!$E$4:$E$1203,$AE56-1200)=0,"",INDEX(对接源_02物料!$E$4:$E$1203,$AE56-1200))))</f>
      </c>
      <c r="C56" s="61">
        <f>IF($AE56="","",IF($AE56&lt;=1200,IF(INDEX(对接源_01水果!$F$4:$F$1203,$AE56)=0,"",INDEX(对接源_01水果!$F$4:$F$1203,$AE56)),IF(INDEX(对接源_02物料!$F$4:$F$1203,$AE56-1200)=0,"",INDEX(对接源_02物料!$F$4:$F$1203,$AE56-1200))))</f>
      </c>
      <c r="D56" s="61">
        <f>IF($AE56="","",IF($AE56&lt;=1200,IF(INDEX(对接源_01水果!$G$4:$G$1203,$AE56)=0,"",INDEX(对接源_01水果!$G$4:$G$1203,$AE56)),IF(INDEX(对接源_02物料!$G$4:$G$1203,$AE56-1200)=0,"",INDEX(对接源_02物料!$G$4:$G$1203,$AE56-1200))))</f>
      </c>
      <c r="E56" s="164">
        <f>IF($AE56="","",IF($AE56&lt;=1200,IF(INDEX(对接源_01水果!$H$4:$H$1203,$AE56)=0,"",INDEX(对接源_01水果!$H$4:$H$1203,$AE56)),IF(INDEX(对接源_02物料!$H$4:$H$1203,$AE56-1200)=0,"",INDEX(对接源_02物料!$H$4:$H$1203,$AE56-1200))))</f>
      </c>
      <c r="F56" s="61">
        <f>IF($AE56="","",IF($AE56&lt;=1200,IF(INDEX(对接源_01水果!$I$4:$I$1203,$AE56)=0,"",INDEX(对接源_01水果!$I$4:$I$1203,$AE56)),IF(INDEX(对接源_02物料!$I$4:$I$1203,$AE56-1200)=0,"",INDEX(对接源_02物料!$I$4:$I$1203,$AE56-1200))))</f>
      </c>
      <c r="G56" s="173">
        <f>IF($AE56="","",IF($AE56&lt;=1200,IF(INDEX(对接源_01水果!$J$4:$J$1203,$AE56)=0,"",INDEX(对接源_01水果!$J$4:$J$1203,$AE56)),IF(INDEX(对接源_02物料!$J$4:$J$1203,$AE56-1200)=0,"",INDEX(对接源_02物料!$J$4:$J$1203,$AE56-1200))))</f>
      </c>
      <c r="H56" s="61">
        <f>IF($AE56="","",IF($AE56&lt;=1200,IF(INDEX(对接源_01水果!$W$4:$W$1203,$AE56)=0,"",INDEX(对接源_01水果!$W$4:$W$1203,$AE56)),IF(INDEX(对接源_02物料!$W$4:$W$1203,$AE56-1200)=0,"",INDEX(对接源_02物料!$W$4:$W$1203,$AE56-1200))))</f>
      </c>
      <c r="I56" s="61">
        <f>IF($AE56="","",IF($AE56&lt;=1200,IF(INDEX(对接源_01水果!$C$4:$C$1203,$AE56)=0,"",INDEX(对接源_01水果!$C$4:$C$1203,$AE56)),IF(INDEX(对接源_02物料!$C$4:$C$1203,$AE56-1200)=0,"",INDEX(对接源_02物料!$C$4:$C$1203,$AE56-1200))))</f>
      </c>
      <c r="J56" s="64">
        <f>IF($AE56="","",IF($AE56&lt;=1200,IF(INDEX(对接源_01水果!$M$4:$M$1203,$AE56)=0,"",INDEX(对接源_01水果!$M$4:$M$1203,$AE56)),IF(INDEX(对接源_02物料!$M$4:$M$1203,$AE56-1200)=0,"",INDEX(对接源_02物料!$M$4:$M$1203,$AE56-1200))))</f>
      </c>
      <c r="AE56" s="2">
        <f>IFERROR(MATCH(51,_自动清单!$AA$4:$AA$2403,0),"")</f>
      </c>
      <c r="AI56" s="2">
        <f>IF($D56="","",$D56)</f>
      </c>
      <c r="AJ56" s="2">
        <f>IF(AI56="",0,IF(MATCH(AI56,AI$6:AI$125,0)=51,1,0))</f>
        <v>0</v>
      </c>
      <c r="AK56" s="2">
        <f>N(AK55)+AJ56</f>
        <v>3</v>
      </c>
    </row>
    <row r="57" ht="18" customHeight="1" s="127">
      <c r="A57" s="165">
        <f>IF($AE57="","",IF($AE57&lt;=1200,IF(INDEX(对接源_01水果!$B$4:$B$1203,$AE57)=0,"",INDEX(对接源_01水果!$B$4:$B$1203,$AE57)),IF(INDEX(对接源_02物料!$B$4:$B$1203,$AE57-1200)=0,"",INDEX(对接源_02物料!$B$4:$B$1203,$AE57-1200))))</f>
      </c>
      <c r="B57" s="104">
        <f>IF($AE57="","",IF($AE57&lt;=1200,IF(INDEX(对接源_01水果!$E$4:$E$1203,$AE57)=0,"",INDEX(对接源_01水果!$E$4:$E$1203,$AE57)),IF(INDEX(对接源_02物料!$E$4:$E$1203,$AE57-1200)=0,"",INDEX(对接源_02物料!$E$4:$E$1203,$AE57-1200))))</f>
      </c>
      <c r="C57" s="104">
        <f>IF($AE57="","",IF($AE57&lt;=1200,IF(INDEX(对接源_01水果!$F$4:$F$1203,$AE57)=0,"",INDEX(对接源_01水果!$F$4:$F$1203,$AE57)),IF(INDEX(对接源_02物料!$F$4:$F$1203,$AE57-1200)=0,"",INDEX(对接源_02物料!$F$4:$F$1203,$AE57-1200))))</f>
      </c>
      <c r="D57" s="104">
        <f>IF($AE57="","",IF($AE57&lt;=1200,IF(INDEX(对接源_01水果!$G$4:$G$1203,$AE57)=0,"",INDEX(对接源_01水果!$G$4:$G$1203,$AE57)),IF(INDEX(对接源_02物料!$G$4:$G$1203,$AE57-1200)=0,"",INDEX(对接源_02物料!$G$4:$G$1203,$AE57-1200))))</f>
      </c>
      <c r="E57" s="166">
        <f>IF($AE57="","",IF($AE57&lt;=1200,IF(INDEX(对接源_01水果!$H$4:$H$1203,$AE57)=0,"",INDEX(对接源_01水果!$H$4:$H$1203,$AE57)),IF(INDEX(对接源_02物料!$H$4:$H$1203,$AE57-1200)=0,"",INDEX(对接源_02物料!$H$4:$H$1203,$AE57-1200))))</f>
      </c>
      <c r="F57" s="104">
        <f>IF($AE57="","",IF($AE57&lt;=1200,IF(INDEX(对接源_01水果!$I$4:$I$1203,$AE57)=0,"",INDEX(对接源_01水果!$I$4:$I$1203,$AE57)),IF(INDEX(对接源_02物料!$I$4:$I$1203,$AE57-1200)=0,"",INDEX(对接源_02物料!$I$4:$I$1203,$AE57-1200))))</f>
      </c>
      <c r="G57" s="175">
        <f>IF($AE57="","",IF($AE57&lt;=1200,IF(INDEX(对接源_01水果!$J$4:$J$1203,$AE57)=0,"",INDEX(对接源_01水果!$J$4:$J$1203,$AE57)),IF(INDEX(对接源_02物料!$J$4:$J$1203,$AE57-1200)=0,"",INDEX(对接源_02物料!$J$4:$J$1203,$AE57-1200))))</f>
      </c>
      <c r="H57" s="104">
        <f>IF($AE57="","",IF($AE57&lt;=1200,IF(INDEX(对接源_01水果!$W$4:$W$1203,$AE57)=0,"",INDEX(对接源_01水果!$W$4:$W$1203,$AE57)),IF(INDEX(对接源_02物料!$W$4:$W$1203,$AE57-1200)=0,"",INDEX(对接源_02物料!$W$4:$W$1203,$AE57-1200))))</f>
      </c>
      <c r="I57" s="104">
        <f>IF($AE57="","",IF($AE57&lt;=1200,IF(INDEX(对接源_01水果!$C$4:$C$1203,$AE57)=0,"",INDEX(对接源_01水果!$C$4:$C$1203,$AE57)),IF(INDEX(对接源_02物料!$C$4:$C$1203,$AE57-1200)=0,"",INDEX(对接源_02物料!$C$4:$C$1203,$AE57-1200))))</f>
      </c>
      <c r="J57" s="107">
        <f>IF($AE57="","",IF($AE57&lt;=1200,IF(INDEX(对接源_01水果!$M$4:$M$1203,$AE57)=0,"",INDEX(对接源_01水果!$M$4:$M$1203,$AE57)),IF(INDEX(对接源_02物料!$M$4:$M$1203,$AE57-1200)=0,"",INDEX(对接源_02物料!$M$4:$M$1203,$AE57-1200))))</f>
      </c>
      <c r="AE57" s="2">
        <f>IFERROR(MATCH(52,_自动清单!$AA$4:$AA$2403,0),"")</f>
      </c>
      <c r="AI57" s="2">
        <f>IF($D57="","",$D57)</f>
      </c>
      <c r="AJ57" s="2">
        <f>IF(AI57="",0,IF(MATCH(AI57,AI$6:AI$125,0)=52,1,0))</f>
        <v>0</v>
      </c>
      <c r="AK57" s="2">
        <f>N(AK56)+AJ57</f>
        <v>3</v>
      </c>
    </row>
    <row r="58" ht="18" customHeight="1" s="127">
      <c r="A58" s="163">
        <f>IF($AE58="","",IF($AE58&lt;=1200,IF(INDEX(对接源_01水果!$B$4:$B$1203,$AE58)=0,"",INDEX(对接源_01水果!$B$4:$B$1203,$AE58)),IF(INDEX(对接源_02物料!$B$4:$B$1203,$AE58-1200)=0,"",INDEX(对接源_02物料!$B$4:$B$1203,$AE58-1200))))</f>
      </c>
      <c r="B58" s="61">
        <f>IF($AE58="","",IF($AE58&lt;=1200,IF(INDEX(对接源_01水果!$E$4:$E$1203,$AE58)=0,"",INDEX(对接源_01水果!$E$4:$E$1203,$AE58)),IF(INDEX(对接源_02物料!$E$4:$E$1203,$AE58-1200)=0,"",INDEX(对接源_02物料!$E$4:$E$1203,$AE58-1200))))</f>
      </c>
      <c r="C58" s="61">
        <f>IF($AE58="","",IF($AE58&lt;=1200,IF(INDEX(对接源_01水果!$F$4:$F$1203,$AE58)=0,"",INDEX(对接源_01水果!$F$4:$F$1203,$AE58)),IF(INDEX(对接源_02物料!$F$4:$F$1203,$AE58-1200)=0,"",INDEX(对接源_02物料!$F$4:$F$1203,$AE58-1200))))</f>
      </c>
      <c r="D58" s="61">
        <f>IF($AE58="","",IF($AE58&lt;=1200,IF(INDEX(对接源_01水果!$G$4:$G$1203,$AE58)=0,"",INDEX(对接源_01水果!$G$4:$G$1203,$AE58)),IF(INDEX(对接源_02物料!$G$4:$G$1203,$AE58-1200)=0,"",INDEX(对接源_02物料!$G$4:$G$1203,$AE58-1200))))</f>
      </c>
      <c r="E58" s="164">
        <f>IF($AE58="","",IF($AE58&lt;=1200,IF(INDEX(对接源_01水果!$H$4:$H$1203,$AE58)=0,"",INDEX(对接源_01水果!$H$4:$H$1203,$AE58)),IF(INDEX(对接源_02物料!$H$4:$H$1203,$AE58-1200)=0,"",INDEX(对接源_02物料!$H$4:$H$1203,$AE58-1200))))</f>
      </c>
      <c r="F58" s="61">
        <f>IF($AE58="","",IF($AE58&lt;=1200,IF(INDEX(对接源_01水果!$I$4:$I$1203,$AE58)=0,"",INDEX(对接源_01水果!$I$4:$I$1203,$AE58)),IF(INDEX(对接源_02物料!$I$4:$I$1203,$AE58-1200)=0,"",INDEX(对接源_02物料!$I$4:$I$1203,$AE58-1200))))</f>
      </c>
      <c r="G58" s="173">
        <f>IF($AE58="","",IF($AE58&lt;=1200,IF(INDEX(对接源_01水果!$J$4:$J$1203,$AE58)=0,"",INDEX(对接源_01水果!$J$4:$J$1203,$AE58)),IF(INDEX(对接源_02物料!$J$4:$J$1203,$AE58-1200)=0,"",INDEX(对接源_02物料!$J$4:$J$1203,$AE58-1200))))</f>
      </c>
      <c r="H58" s="61">
        <f>IF($AE58="","",IF($AE58&lt;=1200,IF(INDEX(对接源_01水果!$W$4:$W$1203,$AE58)=0,"",INDEX(对接源_01水果!$W$4:$W$1203,$AE58)),IF(INDEX(对接源_02物料!$W$4:$W$1203,$AE58-1200)=0,"",INDEX(对接源_02物料!$W$4:$W$1203,$AE58-1200))))</f>
      </c>
      <c r="I58" s="61">
        <f>IF($AE58="","",IF($AE58&lt;=1200,IF(INDEX(对接源_01水果!$C$4:$C$1203,$AE58)=0,"",INDEX(对接源_01水果!$C$4:$C$1203,$AE58)),IF(INDEX(对接源_02物料!$C$4:$C$1203,$AE58-1200)=0,"",INDEX(对接源_02物料!$C$4:$C$1203,$AE58-1200))))</f>
      </c>
      <c r="J58" s="64">
        <f>IF($AE58="","",IF($AE58&lt;=1200,IF(INDEX(对接源_01水果!$M$4:$M$1203,$AE58)=0,"",INDEX(对接源_01水果!$M$4:$M$1203,$AE58)),IF(INDEX(对接源_02物料!$M$4:$M$1203,$AE58-1200)=0,"",INDEX(对接源_02物料!$M$4:$M$1203,$AE58-1200))))</f>
      </c>
      <c r="AE58" s="2">
        <f>IFERROR(MATCH(53,_自动清单!$AA$4:$AA$2403,0),"")</f>
      </c>
      <c r="AI58" s="2">
        <f>IF($D58="","",$D58)</f>
      </c>
      <c r="AJ58" s="2">
        <f>IF(AI58="",0,IF(MATCH(AI58,AI$6:AI$125,0)=53,1,0))</f>
        <v>0</v>
      </c>
      <c r="AK58" s="2">
        <f>N(AK57)+AJ58</f>
        <v>3</v>
      </c>
    </row>
    <row r="59" ht="18" customHeight="1" s="127">
      <c r="A59" s="165">
        <f>IF($AE59="","",IF($AE59&lt;=1200,IF(INDEX(对接源_01水果!$B$4:$B$1203,$AE59)=0,"",INDEX(对接源_01水果!$B$4:$B$1203,$AE59)),IF(INDEX(对接源_02物料!$B$4:$B$1203,$AE59-1200)=0,"",INDEX(对接源_02物料!$B$4:$B$1203,$AE59-1200))))</f>
      </c>
      <c r="B59" s="104">
        <f>IF($AE59="","",IF($AE59&lt;=1200,IF(INDEX(对接源_01水果!$E$4:$E$1203,$AE59)=0,"",INDEX(对接源_01水果!$E$4:$E$1203,$AE59)),IF(INDEX(对接源_02物料!$E$4:$E$1203,$AE59-1200)=0,"",INDEX(对接源_02物料!$E$4:$E$1203,$AE59-1200))))</f>
      </c>
      <c r="C59" s="104">
        <f>IF($AE59="","",IF($AE59&lt;=1200,IF(INDEX(对接源_01水果!$F$4:$F$1203,$AE59)=0,"",INDEX(对接源_01水果!$F$4:$F$1203,$AE59)),IF(INDEX(对接源_02物料!$F$4:$F$1203,$AE59-1200)=0,"",INDEX(对接源_02物料!$F$4:$F$1203,$AE59-1200))))</f>
      </c>
      <c r="D59" s="104">
        <f>IF($AE59="","",IF($AE59&lt;=1200,IF(INDEX(对接源_01水果!$G$4:$G$1203,$AE59)=0,"",INDEX(对接源_01水果!$G$4:$G$1203,$AE59)),IF(INDEX(对接源_02物料!$G$4:$G$1203,$AE59-1200)=0,"",INDEX(对接源_02物料!$G$4:$G$1203,$AE59-1200))))</f>
      </c>
      <c r="E59" s="166">
        <f>IF($AE59="","",IF($AE59&lt;=1200,IF(INDEX(对接源_01水果!$H$4:$H$1203,$AE59)=0,"",INDEX(对接源_01水果!$H$4:$H$1203,$AE59)),IF(INDEX(对接源_02物料!$H$4:$H$1203,$AE59-1200)=0,"",INDEX(对接源_02物料!$H$4:$H$1203,$AE59-1200))))</f>
      </c>
      <c r="F59" s="104">
        <f>IF($AE59="","",IF($AE59&lt;=1200,IF(INDEX(对接源_01水果!$I$4:$I$1203,$AE59)=0,"",INDEX(对接源_01水果!$I$4:$I$1203,$AE59)),IF(INDEX(对接源_02物料!$I$4:$I$1203,$AE59-1200)=0,"",INDEX(对接源_02物料!$I$4:$I$1203,$AE59-1200))))</f>
      </c>
      <c r="G59" s="175">
        <f>IF($AE59="","",IF($AE59&lt;=1200,IF(INDEX(对接源_01水果!$J$4:$J$1203,$AE59)=0,"",INDEX(对接源_01水果!$J$4:$J$1203,$AE59)),IF(INDEX(对接源_02物料!$J$4:$J$1203,$AE59-1200)=0,"",INDEX(对接源_02物料!$J$4:$J$1203,$AE59-1200))))</f>
      </c>
      <c r="H59" s="104">
        <f>IF($AE59="","",IF($AE59&lt;=1200,IF(INDEX(对接源_01水果!$W$4:$W$1203,$AE59)=0,"",INDEX(对接源_01水果!$W$4:$W$1203,$AE59)),IF(INDEX(对接源_02物料!$W$4:$W$1203,$AE59-1200)=0,"",INDEX(对接源_02物料!$W$4:$W$1203,$AE59-1200))))</f>
      </c>
      <c r="I59" s="104">
        <f>IF($AE59="","",IF($AE59&lt;=1200,IF(INDEX(对接源_01水果!$C$4:$C$1203,$AE59)=0,"",INDEX(对接源_01水果!$C$4:$C$1203,$AE59)),IF(INDEX(对接源_02物料!$C$4:$C$1203,$AE59-1200)=0,"",INDEX(对接源_02物料!$C$4:$C$1203,$AE59-1200))))</f>
      </c>
      <c r="J59" s="107">
        <f>IF($AE59="","",IF($AE59&lt;=1200,IF(INDEX(对接源_01水果!$M$4:$M$1203,$AE59)=0,"",INDEX(对接源_01水果!$M$4:$M$1203,$AE59)),IF(INDEX(对接源_02物料!$M$4:$M$1203,$AE59-1200)=0,"",INDEX(对接源_02物料!$M$4:$M$1203,$AE59-1200))))</f>
      </c>
      <c r="AE59" s="2">
        <f>IFERROR(MATCH(54,_自动清单!$AA$4:$AA$2403,0),"")</f>
      </c>
      <c r="AI59" s="2">
        <f>IF($D59="","",$D59)</f>
      </c>
      <c r="AJ59" s="2">
        <f>IF(AI59="",0,IF(MATCH(AI59,AI$6:AI$125,0)=54,1,0))</f>
        <v>0</v>
      </c>
      <c r="AK59" s="2">
        <f>N(AK58)+AJ59</f>
        <v>3</v>
      </c>
    </row>
    <row r="60" ht="18" customHeight="1" s="127">
      <c r="A60" s="163">
        <f>IF($AE60="","",IF($AE60&lt;=1200,IF(INDEX(对接源_01水果!$B$4:$B$1203,$AE60)=0,"",INDEX(对接源_01水果!$B$4:$B$1203,$AE60)),IF(INDEX(对接源_02物料!$B$4:$B$1203,$AE60-1200)=0,"",INDEX(对接源_02物料!$B$4:$B$1203,$AE60-1200))))</f>
      </c>
      <c r="B60" s="61">
        <f>IF($AE60="","",IF($AE60&lt;=1200,IF(INDEX(对接源_01水果!$E$4:$E$1203,$AE60)=0,"",INDEX(对接源_01水果!$E$4:$E$1203,$AE60)),IF(INDEX(对接源_02物料!$E$4:$E$1203,$AE60-1200)=0,"",INDEX(对接源_02物料!$E$4:$E$1203,$AE60-1200))))</f>
      </c>
      <c r="C60" s="61">
        <f>IF($AE60="","",IF($AE60&lt;=1200,IF(INDEX(对接源_01水果!$F$4:$F$1203,$AE60)=0,"",INDEX(对接源_01水果!$F$4:$F$1203,$AE60)),IF(INDEX(对接源_02物料!$F$4:$F$1203,$AE60-1200)=0,"",INDEX(对接源_02物料!$F$4:$F$1203,$AE60-1200))))</f>
      </c>
      <c r="D60" s="61">
        <f>IF($AE60="","",IF($AE60&lt;=1200,IF(INDEX(对接源_01水果!$G$4:$G$1203,$AE60)=0,"",INDEX(对接源_01水果!$G$4:$G$1203,$AE60)),IF(INDEX(对接源_02物料!$G$4:$G$1203,$AE60-1200)=0,"",INDEX(对接源_02物料!$G$4:$G$1203,$AE60-1200))))</f>
      </c>
      <c r="E60" s="164">
        <f>IF($AE60="","",IF($AE60&lt;=1200,IF(INDEX(对接源_01水果!$H$4:$H$1203,$AE60)=0,"",INDEX(对接源_01水果!$H$4:$H$1203,$AE60)),IF(INDEX(对接源_02物料!$H$4:$H$1203,$AE60-1200)=0,"",INDEX(对接源_02物料!$H$4:$H$1203,$AE60-1200))))</f>
      </c>
      <c r="F60" s="61">
        <f>IF($AE60="","",IF($AE60&lt;=1200,IF(INDEX(对接源_01水果!$I$4:$I$1203,$AE60)=0,"",INDEX(对接源_01水果!$I$4:$I$1203,$AE60)),IF(INDEX(对接源_02物料!$I$4:$I$1203,$AE60-1200)=0,"",INDEX(对接源_02物料!$I$4:$I$1203,$AE60-1200))))</f>
      </c>
      <c r="G60" s="173">
        <f>IF($AE60="","",IF($AE60&lt;=1200,IF(INDEX(对接源_01水果!$J$4:$J$1203,$AE60)=0,"",INDEX(对接源_01水果!$J$4:$J$1203,$AE60)),IF(INDEX(对接源_02物料!$J$4:$J$1203,$AE60-1200)=0,"",INDEX(对接源_02物料!$J$4:$J$1203,$AE60-1200))))</f>
      </c>
      <c r="H60" s="61">
        <f>IF($AE60="","",IF($AE60&lt;=1200,IF(INDEX(对接源_01水果!$W$4:$W$1203,$AE60)=0,"",INDEX(对接源_01水果!$W$4:$W$1203,$AE60)),IF(INDEX(对接源_02物料!$W$4:$W$1203,$AE60-1200)=0,"",INDEX(对接源_02物料!$W$4:$W$1203,$AE60-1200))))</f>
      </c>
      <c r="I60" s="61">
        <f>IF($AE60="","",IF($AE60&lt;=1200,IF(INDEX(对接源_01水果!$C$4:$C$1203,$AE60)=0,"",INDEX(对接源_01水果!$C$4:$C$1203,$AE60)),IF(INDEX(对接源_02物料!$C$4:$C$1203,$AE60-1200)=0,"",INDEX(对接源_02物料!$C$4:$C$1203,$AE60-1200))))</f>
      </c>
      <c r="J60" s="64">
        <f>IF($AE60="","",IF($AE60&lt;=1200,IF(INDEX(对接源_01水果!$M$4:$M$1203,$AE60)=0,"",INDEX(对接源_01水果!$M$4:$M$1203,$AE60)),IF(INDEX(对接源_02物料!$M$4:$M$1203,$AE60-1200)=0,"",INDEX(对接源_02物料!$M$4:$M$1203,$AE60-1200))))</f>
      </c>
      <c r="AE60" s="2">
        <f>IFERROR(MATCH(55,_自动清单!$AA$4:$AA$2403,0),"")</f>
      </c>
      <c r="AI60" s="2">
        <f>IF($D60="","",$D60)</f>
      </c>
      <c r="AJ60" s="2">
        <f>IF(AI60="",0,IF(MATCH(AI60,AI$6:AI$125,0)=55,1,0))</f>
        <v>0</v>
      </c>
      <c r="AK60" s="2">
        <f>N(AK59)+AJ60</f>
        <v>3</v>
      </c>
    </row>
    <row r="61" ht="18" customHeight="1" s="127">
      <c r="A61" s="165">
        <f>IF($AE61="","",IF($AE61&lt;=1200,IF(INDEX(对接源_01水果!$B$4:$B$1203,$AE61)=0,"",INDEX(对接源_01水果!$B$4:$B$1203,$AE61)),IF(INDEX(对接源_02物料!$B$4:$B$1203,$AE61-1200)=0,"",INDEX(对接源_02物料!$B$4:$B$1203,$AE61-1200))))</f>
      </c>
      <c r="B61" s="104">
        <f>IF($AE61="","",IF($AE61&lt;=1200,IF(INDEX(对接源_01水果!$E$4:$E$1203,$AE61)=0,"",INDEX(对接源_01水果!$E$4:$E$1203,$AE61)),IF(INDEX(对接源_02物料!$E$4:$E$1203,$AE61-1200)=0,"",INDEX(对接源_02物料!$E$4:$E$1203,$AE61-1200))))</f>
      </c>
      <c r="C61" s="104">
        <f>IF($AE61="","",IF($AE61&lt;=1200,IF(INDEX(对接源_01水果!$F$4:$F$1203,$AE61)=0,"",INDEX(对接源_01水果!$F$4:$F$1203,$AE61)),IF(INDEX(对接源_02物料!$F$4:$F$1203,$AE61-1200)=0,"",INDEX(对接源_02物料!$F$4:$F$1203,$AE61-1200))))</f>
      </c>
      <c r="D61" s="104">
        <f>IF($AE61="","",IF($AE61&lt;=1200,IF(INDEX(对接源_01水果!$G$4:$G$1203,$AE61)=0,"",INDEX(对接源_01水果!$G$4:$G$1203,$AE61)),IF(INDEX(对接源_02物料!$G$4:$G$1203,$AE61-1200)=0,"",INDEX(对接源_02物料!$G$4:$G$1203,$AE61-1200))))</f>
      </c>
      <c r="E61" s="166">
        <f>IF($AE61="","",IF($AE61&lt;=1200,IF(INDEX(对接源_01水果!$H$4:$H$1203,$AE61)=0,"",INDEX(对接源_01水果!$H$4:$H$1203,$AE61)),IF(INDEX(对接源_02物料!$H$4:$H$1203,$AE61-1200)=0,"",INDEX(对接源_02物料!$H$4:$H$1203,$AE61-1200))))</f>
      </c>
      <c r="F61" s="104">
        <f>IF($AE61="","",IF($AE61&lt;=1200,IF(INDEX(对接源_01水果!$I$4:$I$1203,$AE61)=0,"",INDEX(对接源_01水果!$I$4:$I$1203,$AE61)),IF(INDEX(对接源_02物料!$I$4:$I$1203,$AE61-1200)=0,"",INDEX(对接源_02物料!$I$4:$I$1203,$AE61-1200))))</f>
      </c>
      <c r="G61" s="175">
        <f>IF($AE61="","",IF($AE61&lt;=1200,IF(INDEX(对接源_01水果!$J$4:$J$1203,$AE61)=0,"",INDEX(对接源_01水果!$J$4:$J$1203,$AE61)),IF(INDEX(对接源_02物料!$J$4:$J$1203,$AE61-1200)=0,"",INDEX(对接源_02物料!$J$4:$J$1203,$AE61-1200))))</f>
      </c>
      <c r="H61" s="104">
        <f>IF($AE61="","",IF($AE61&lt;=1200,IF(INDEX(对接源_01水果!$W$4:$W$1203,$AE61)=0,"",INDEX(对接源_01水果!$W$4:$W$1203,$AE61)),IF(INDEX(对接源_02物料!$W$4:$W$1203,$AE61-1200)=0,"",INDEX(对接源_02物料!$W$4:$W$1203,$AE61-1200))))</f>
      </c>
      <c r="I61" s="104">
        <f>IF($AE61="","",IF($AE61&lt;=1200,IF(INDEX(对接源_01水果!$C$4:$C$1203,$AE61)=0,"",INDEX(对接源_01水果!$C$4:$C$1203,$AE61)),IF(INDEX(对接源_02物料!$C$4:$C$1203,$AE61-1200)=0,"",INDEX(对接源_02物料!$C$4:$C$1203,$AE61-1200))))</f>
      </c>
      <c r="J61" s="107">
        <f>IF($AE61="","",IF($AE61&lt;=1200,IF(INDEX(对接源_01水果!$M$4:$M$1203,$AE61)=0,"",INDEX(对接源_01水果!$M$4:$M$1203,$AE61)),IF(INDEX(对接源_02物料!$M$4:$M$1203,$AE61-1200)=0,"",INDEX(对接源_02物料!$M$4:$M$1203,$AE61-1200))))</f>
      </c>
      <c r="AE61" s="2">
        <f>IFERROR(MATCH(56,_自动清单!$AA$4:$AA$2403,0),"")</f>
      </c>
      <c r="AI61" s="2">
        <f>IF($D61="","",$D61)</f>
      </c>
      <c r="AJ61" s="2">
        <f>IF(AI61="",0,IF(MATCH(AI61,AI$6:AI$125,0)=56,1,0))</f>
        <v>0</v>
      </c>
      <c r="AK61" s="2">
        <f>N(AK60)+AJ61</f>
        <v>3</v>
      </c>
    </row>
    <row r="62" ht="18" customHeight="1" s="127">
      <c r="A62" s="163">
        <f>IF($AE62="","",IF($AE62&lt;=1200,IF(INDEX(对接源_01水果!$B$4:$B$1203,$AE62)=0,"",INDEX(对接源_01水果!$B$4:$B$1203,$AE62)),IF(INDEX(对接源_02物料!$B$4:$B$1203,$AE62-1200)=0,"",INDEX(对接源_02物料!$B$4:$B$1203,$AE62-1200))))</f>
      </c>
      <c r="B62" s="61">
        <f>IF($AE62="","",IF($AE62&lt;=1200,IF(INDEX(对接源_01水果!$E$4:$E$1203,$AE62)=0,"",INDEX(对接源_01水果!$E$4:$E$1203,$AE62)),IF(INDEX(对接源_02物料!$E$4:$E$1203,$AE62-1200)=0,"",INDEX(对接源_02物料!$E$4:$E$1203,$AE62-1200))))</f>
      </c>
      <c r="C62" s="61">
        <f>IF($AE62="","",IF($AE62&lt;=1200,IF(INDEX(对接源_01水果!$F$4:$F$1203,$AE62)=0,"",INDEX(对接源_01水果!$F$4:$F$1203,$AE62)),IF(INDEX(对接源_02物料!$F$4:$F$1203,$AE62-1200)=0,"",INDEX(对接源_02物料!$F$4:$F$1203,$AE62-1200))))</f>
      </c>
      <c r="D62" s="61">
        <f>IF($AE62="","",IF($AE62&lt;=1200,IF(INDEX(对接源_01水果!$G$4:$G$1203,$AE62)=0,"",INDEX(对接源_01水果!$G$4:$G$1203,$AE62)),IF(INDEX(对接源_02物料!$G$4:$G$1203,$AE62-1200)=0,"",INDEX(对接源_02物料!$G$4:$G$1203,$AE62-1200))))</f>
      </c>
      <c r="E62" s="164">
        <f>IF($AE62="","",IF($AE62&lt;=1200,IF(INDEX(对接源_01水果!$H$4:$H$1203,$AE62)=0,"",INDEX(对接源_01水果!$H$4:$H$1203,$AE62)),IF(INDEX(对接源_02物料!$H$4:$H$1203,$AE62-1200)=0,"",INDEX(对接源_02物料!$H$4:$H$1203,$AE62-1200))))</f>
      </c>
      <c r="F62" s="61">
        <f>IF($AE62="","",IF($AE62&lt;=1200,IF(INDEX(对接源_01水果!$I$4:$I$1203,$AE62)=0,"",INDEX(对接源_01水果!$I$4:$I$1203,$AE62)),IF(INDEX(对接源_02物料!$I$4:$I$1203,$AE62-1200)=0,"",INDEX(对接源_02物料!$I$4:$I$1203,$AE62-1200))))</f>
      </c>
      <c r="G62" s="173">
        <f>IF($AE62="","",IF($AE62&lt;=1200,IF(INDEX(对接源_01水果!$J$4:$J$1203,$AE62)=0,"",INDEX(对接源_01水果!$J$4:$J$1203,$AE62)),IF(INDEX(对接源_02物料!$J$4:$J$1203,$AE62-1200)=0,"",INDEX(对接源_02物料!$J$4:$J$1203,$AE62-1200))))</f>
      </c>
      <c r="H62" s="61">
        <f>IF($AE62="","",IF($AE62&lt;=1200,IF(INDEX(对接源_01水果!$W$4:$W$1203,$AE62)=0,"",INDEX(对接源_01水果!$W$4:$W$1203,$AE62)),IF(INDEX(对接源_02物料!$W$4:$W$1203,$AE62-1200)=0,"",INDEX(对接源_02物料!$W$4:$W$1203,$AE62-1200))))</f>
      </c>
      <c r="I62" s="61">
        <f>IF($AE62="","",IF($AE62&lt;=1200,IF(INDEX(对接源_01水果!$C$4:$C$1203,$AE62)=0,"",INDEX(对接源_01水果!$C$4:$C$1203,$AE62)),IF(INDEX(对接源_02物料!$C$4:$C$1203,$AE62-1200)=0,"",INDEX(对接源_02物料!$C$4:$C$1203,$AE62-1200))))</f>
      </c>
      <c r="J62" s="64">
        <f>IF($AE62="","",IF($AE62&lt;=1200,IF(INDEX(对接源_01水果!$M$4:$M$1203,$AE62)=0,"",INDEX(对接源_01水果!$M$4:$M$1203,$AE62)),IF(INDEX(对接源_02物料!$M$4:$M$1203,$AE62-1200)=0,"",INDEX(对接源_02物料!$M$4:$M$1203,$AE62-1200))))</f>
      </c>
      <c r="AE62" s="2">
        <f>IFERROR(MATCH(57,_自动清单!$AA$4:$AA$2403,0),"")</f>
      </c>
      <c r="AI62" s="2">
        <f>IF($D62="","",$D62)</f>
      </c>
      <c r="AJ62" s="2">
        <f>IF(AI62="",0,IF(MATCH(AI62,AI$6:AI$125,0)=57,1,0))</f>
        <v>0</v>
      </c>
      <c r="AK62" s="2">
        <f>N(AK61)+AJ62</f>
        <v>3</v>
      </c>
    </row>
    <row r="63" ht="18" customHeight="1" s="127">
      <c r="A63" s="165">
        <f>IF($AE63="","",IF($AE63&lt;=1200,IF(INDEX(对接源_01水果!$B$4:$B$1203,$AE63)=0,"",INDEX(对接源_01水果!$B$4:$B$1203,$AE63)),IF(INDEX(对接源_02物料!$B$4:$B$1203,$AE63-1200)=0,"",INDEX(对接源_02物料!$B$4:$B$1203,$AE63-1200))))</f>
      </c>
      <c r="B63" s="104">
        <f>IF($AE63="","",IF($AE63&lt;=1200,IF(INDEX(对接源_01水果!$E$4:$E$1203,$AE63)=0,"",INDEX(对接源_01水果!$E$4:$E$1203,$AE63)),IF(INDEX(对接源_02物料!$E$4:$E$1203,$AE63-1200)=0,"",INDEX(对接源_02物料!$E$4:$E$1203,$AE63-1200))))</f>
      </c>
      <c r="C63" s="104">
        <f>IF($AE63="","",IF($AE63&lt;=1200,IF(INDEX(对接源_01水果!$F$4:$F$1203,$AE63)=0,"",INDEX(对接源_01水果!$F$4:$F$1203,$AE63)),IF(INDEX(对接源_02物料!$F$4:$F$1203,$AE63-1200)=0,"",INDEX(对接源_02物料!$F$4:$F$1203,$AE63-1200))))</f>
      </c>
      <c r="D63" s="104">
        <f>IF($AE63="","",IF($AE63&lt;=1200,IF(INDEX(对接源_01水果!$G$4:$G$1203,$AE63)=0,"",INDEX(对接源_01水果!$G$4:$G$1203,$AE63)),IF(INDEX(对接源_02物料!$G$4:$G$1203,$AE63-1200)=0,"",INDEX(对接源_02物料!$G$4:$G$1203,$AE63-1200))))</f>
      </c>
      <c r="E63" s="166">
        <f>IF($AE63="","",IF($AE63&lt;=1200,IF(INDEX(对接源_01水果!$H$4:$H$1203,$AE63)=0,"",INDEX(对接源_01水果!$H$4:$H$1203,$AE63)),IF(INDEX(对接源_02物料!$H$4:$H$1203,$AE63-1200)=0,"",INDEX(对接源_02物料!$H$4:$H$1203,$AE63-1200))))</f>
      </c>
      <c r="F63" s="104">
        <f>IF($AE63="","",IF($AE63&lt;=1200,IF(INDEX(对接源_01水果!$I$4:$I$1203,$AE63)=0,"",INDEX(对接源_01水果!$I$4:$I$1203,$AE63)),IF(INDEX(对接源_02物料!$I$4:$I$1203,$AE63-1200)=0,"",INDEX(对接源_02物料!$I$4:$I$1203,$AE63-1200))))</f>
      </c>
      <c r="G63" s="175">
        <f>IF($AE63="","",IF($AE63&lt;=1200,IF(INDEX(对接源_01水果!$J$4:$J$1203,$AE63)=0,"",INDEX(对接源_01水果!$J$4:$J$1203,$AE63)),IF(INDEX(对接源_02物料!$J$4:$J$1203,$AE63-1200)=0,"",INDEX(对接源_02物料!$J$4:$J$1203,$AE63-1200))))</f>
      </c>
      <c r="H63" s="104">
        <f>IF($AE63="","",IF($AE63&lt;=1200,IF(INDEX(对接源_01水果!$W$4:$W$1203,$AE63)=0,"",INDEX(对接源_01水果!$W$4:$W$1203,$AE63)),IF(INDEX(对接源_02物料!$W$4:$W$1203,$AE63-1200)=0,"",INDEX(对接源_02物料!$W$4:$W$1203,$AE63-1200))))</f>
      </c>
      <c r="I63" s="104">
        <f>IF($AE63="","",IF($AE63&lt;=1200,IF(INDEX(对接源_01水果!$C$4:$C$1203,$AE63)=0,"",INDEX(对接源_01水果!$C$4:$C$1203,$AE63)),IF(INDEX(对接源_02物料!$C$4:$C$1203,$AE63-1200)=0,"",INDEX(对接源_02物料!$C$4:$C$1203,$AE63-1200))))</f>
      </c>
      <c r="J63" s="107">
        <f>IF($AE63="","",IF($AE63&lt;=1200,IF(INDEX(对接源_01水果!$M$4:$M$1203,$AE63)=0,"",INDEX(对接源_01水果!$M$4:$M$1203,$AE63)),IF(INDEX(对接源_02物料!$M$4:$M$1203,$AE63-1200)=0,"",INDEX(对接源_02物料!$M$4:$M$1203,$AE63-1200))))</f>
      </c>
      <c r="AE63" s="2">
        <f>IFERROR(MATCH(58,_自动清单!$AA$4:$AA$2403,0),"")</f>
      </c>
      <c r="AI63" s="2">
        <f>IF($D63="","",$D63)</f>
      </c>
      <c r="AJ63" s="2">
        <f>IF(AI63="",0,IF(MATCH(AI63,AI$6:AI$125,0)=58,1,0))</f>
        <v>0</v>
      </c>
      <c r="AK63" s="2">
        <f>N(AK62)+AJ63</f>
        <v>3</v>
      </c>
    </row>
    <row r="64" ht="18" customHeight="1" s="127">
      <c r="A64" s="163">
        <f>IF($AE64="","",IF($AE64&lt;=1200,IF(INDEX(对接源_01水果!$B$4:$B$1203,$AE64)=0,"",INDEX(对接源_01水果!$B$4:$B$1203,$AE64)),IF(INDEX(对接源_02物料!$B$4:$B$1203,$AE64-1200)=0,"",INDEX(对接源_02物料!$B$4:$B$1203,$AE64-1200))))</f>
      </c>
      <c r="B64" s="61">
        <f>IF($AE64="","",IF($AE64&lt;=1200,IF(INDEX(对接源_01水果!$E$4:$E$1203,$AE64)=0,"",INDEX(对接源_01水果!$E$4:$E$1203,$AE64)),IF(INDEX(对接源_02物料!$E$4:$E$1203,$AE64-1200)=0,"",INDEX(对接源_02物料!$E$4:$E$1203,$AE64-1200))))</f>
      </c>
      <c r="C64" s="61">
        <f>IF($AE64="","",IF($AE64&lt;=1200,IF(INDEX(对接源_01水果!$F$4:$F$1203,$AE64)=0,"",INDEX(对接源_01水果!$F$4:$F$1203,$AE64)),IF(INDEX(对接源_02物料!$F$4:$F$1203,$AE64-1200)=0,"",INDEX(对接源_02物料!$F$4:$F$1203,$AE64-1200))))</f>
      </c>
      <c r="D64" s="61">
        <f>IF($AE64="","",IF($AE64&lt;=1200,IF(INDEX(对接源_01水果!$G$4:$G$1203,$AE64)=0,"",INDEX(对接源_01水果!$G$4:$G$1203,$AE64)),IF(INDEX(对接源_02物料!$G$4:$G$1203,$AE64-1200)=0,"",INDEX(对接源_02物料!$G$4:$G$1203,$AE64-1200))))</f>
      </c>
      <c r="E64" s="164">
        <f>IF($AE64="","",IF($AE64&lt;=1200,IF(INDEX(对接源_01水果!$H$4:$H$1203,$AE64)=0,"",INDEX(对接源_01水果!$H$4:$H$1203,$AE64)),IF(INDEX(对接源_02物料!$H$4:$H$1203,$AE64-1200)=0,"",INDEX(对接源_02物料!$H$4:$H$1203,$AE64-1200))))</f>
      </c>
      <c r="F64" s="61">
        <f>IF($AE64="","",IF($AE64&lt;=1200,IF(INDEX(对接源_01水果!$I$4:$I$1203,$AE64)=0,"",INDEX(对接源_01水果!$I$4:$I$1203,$AE64)),IF(INDEX(对接源_02物料!$I$4:$I$1203,$AE64-1200)=0,"",INDEX(对接源_02物料!$I$4:$I$1203,$AE64-1200))))</f>
      </c>
      <c r="G64" s="173">
        <f>IF($AE64="","",IF($AE64&lt;=1200,IF(INDEX(对接源_01水果!$J$4:$J$1203,$AE64)=0,"",INDEX(对接源_01水果!$J$4:$J$1203,$AE64)),IF(INDEX(对接源_02物料!$J$4:$J$1203,$AE64-1200)=0,"",INDEX(对接源_02物料!$J$4:$J$1203,$AE64-1200))))</f>
      </c>
      <c r="H64" s="61">
        <f>IF($AE64="","",IF($AE64&lt;=1200,IF(INDEX(对接源_01水果!$W$4:$W$1203,$AE64)=0,"",INDEX(对接源_01水果!$W$4:$W$1203,$AE64)),IF(INDEX(对接源_02物料!$W$4:$W$1203,$AE64-1200)=0,"",INDEX(对接源_02物料!$W$4:$W$1203,$AE64-1200))))</f>
      </c>
      <c r="I64" s="61">
        <f>IF($AE64="","",IF($AE64&lt;=1200,IF(INDEX(对接源_01水果!$C$4:$C$1203,$AE64)=0,"",INDEX(对接源_01水果!$C$4:$C$1203,$AE64)),IF(INDEX(对接源_02物料!$C$4:$C$1203,$AE64-1200)=0,"",INDEX(对接源_02物料!$C$4:$C$1203,$AE64-1200))))</f>
      </c>
      <c r="J64" s="64">
        <f>IF($AE64="","",IF($AE64&lt;=1200,IF(INDEX(对接源_01水果!$M$4:$M$1203,$AE64)=0,"",INDEX(对接源_01水果!$M$4:$M$1203,$AE64)),IF(INDEX(对接源_02物料!$M$4:$M$1203,$AE64-1200)=0,"",INDEX(对接源_02物料!$M$4:$M$1203,$AE64-1200))))</f>
      </c>
      <c r="AE64" s="2">
        <f>IFERROR(MATCH(59,_自动清单!$AA$4:$AA$2403,0),"")</f>
      </c>
      <c r="AI64" s="2">
        <f>IF($D64="","",$D64)</f>
      </c>
      <c r="AJ64" s="2">
        <f>IF(AI64="",0,IF(MATCH(AI64,AI$6:AI$125,0)=59,1,0))</f>
        <v>0</v>
      </c>
      <c r="AK64" s="2">
        <f>N(AK63)+AJ64</f>
        <v>3</v>
      </c>
    </row>
    <row r="65" ht="18" customHeight="1" s="127">
      <c r="A65" s="165">
        <f>IF($AE65="","",IF($AE65&lt;=1200,IF(INDEX(对接源_01水果!$B$4:$B$1203,$AE65)=0,"",INDEX(对接源_01水果!$B$4:$B$1203,$AE65)),IF(INDEX(对接源_02物料!$B$4:$B$1203,$AE65-1200)=0,"",INDEX(对接源_02物料!$B$4:$B$1203,$AE65-1200))))</f>
      </c>
      <c r="B65" s="104">
        <f>IF($AE65="","",IF($AE65&lt;=1200,IF(INDEX(对接源_01水果!$E$4:$E$1203,$AE65)=0,"",INDEX(对接源_01水果!$E$4:$E$1203,$AE65)),IF(INDEX(对接源_02物料!$E$4:$E$1203,$AE65-1200)=0,"",INDEX(对接源_02物料!$E$4:$E$1203,$AE65-1200))))</f>
      </c>
      <c r="C65" s="104">
        <f>IF($AE65="","",IF($AE65&lt;=1200,IF(INDEX(对接源_01水果!$F$4:$F$1203,$AE65)=0,"",INDEX(对接源_01水果!$F$4:$F$1203,$AE65)),IF(INDEX(对接源_02物料!$F$4:$F$1203,$AE65-1200)=0,"",INDEX(对接源_02物料!$F$4:$F$1203,$AE65-1200))))</f>
      </c>
      <c r="D65" s="104">
        <f>IF($AE65="","",IF($AE65&lt;=1200,IF(INDEX(对接源_01水果!$G$4:$G$1203,$AE65)=0,"",INDEX(对接源_01水果!$G$4:$G$1203,$AE65)),IF(INDEX(对接源_02物料!$G$4:$G$1203,$AE65-1200)=0,"",INDEX(对接源_02物料!$G$4:$G$1203,$AE65-1200))))</f>
      </c>
      <c r="E65" s="166">
        <f>IF($AE65="","",IF($AE65&lt;=1200,IF(INDEX(对接源_01水果!$H$4:$H$1203,$AE65)=0,"",INDEX(对接源_01水果!$H$4:$H$1203,$AE65)),IF(INDEX(对接源_02物料!$H$4:$H$1203,$AE65-1200)=0,"",INDEX(对接源_02物料!$H$4:$H$1203,$AE65-1200))))</f>
      </c>
      <c r="F65" s="104">
        <f>IF($AE65="","",IF($AE65&lt;=1200,IF(INDEX(对接源_01水果!$I$4:$I$1203,$AE65)=0,"",INDEX(对接源_01水果!$I$4:$I$1203,$AE65)),IF(INDEX(对接源_02物料!$I$4:$I$1203,$AE65-1200)=0,"",INDEX(对接源_02物料!$I$4:$I$1203,$AE65-1200))))</f>
      </c>
      <c r="G65" s="175">
        <f>IF($AE65="","",IF($AE65&lt;=1200,IF(INDEX(对接源_01水果!$J$4:$J$1203,$AE65)=0,"",INDEX(对接源_01水果!$J$4:$J$1203,$AE65)),IF(INDEX(对接源_02物料!$J$4:$J$1203,$AE65-1200)=0,"",INDEX(对接源_02物料!$J$4:$J$1203,$AE65-1200))))</f>
      </c>
      <c r="H65" s="104">
        <f>IF($AE65="","",IF($AE65&lt;=1200,IF(INDEX(对接源_01水果!$W$4:$W$1203,$AE65)=0,"",INDEX(对接源_01水果!$W$4:$W$1203,$AE65)),IF(INDEX(对接源_02物料!$W$4:$W$1203,$AE65-1200)=0,"",INDEX(对接源_02物料!$W$4:$W$1203,$AE65-1200))))</f>
      </c>
      <c r="I65" s="104">
        <f>IF($AE65="","",IF($AE65&lt;=1200,IF(INDEX(对接源_01水果!$C$4:$C$1203,$AE65)=0,"",INDEX(对接源_01水果!$C$4:$C$1203,$AE65)),IF(INDEX(对接源_02物料!$C$4:$C$1203,$AE65-1200)=0,"",INDEX(对接源_02物料!$C$4:$C$1203,$AE65-1200))))</f>
      </c>
      <c r="J65" s="107">
        <f>IF($AE65="","",IF($AE65&lt;=1200,IF(INDEX(对接源_01水果!$M$4:$M$1203,$AE65)=0,"",INDEX(对接源_01水果!$M$4:$M$1203,$AE65)),IF(INDEX(对接源_02物料!$M$4:$M$1203,$AE65-1200)=0,"",INDEX(对接源_02物料!$M$4:$M$1203,$AE65-1200))))</f>
      </c>
      <c r="AE65" s="2">
        <f>IFERROR(MATCH(60,_自动清单!$AA$4:$AA$2403,0),"")</f>
      </c>
      <c r="AI65" s="2">
        <f>IF($D65="","",$D65)</f>
      </c>
      <c r="AJ65" s="2">
        <f>IF(AI65="",0,IF(MATCH(AI65,AI$6:AI$125,0)=60,1,0))</f>
        <v>0</v>
      </c>
      <c r="AK65" s="2">
        <f>N(AK64)+AJ65</f>
        <v>3</v>
      </c>
    </row>
    <row r="66" ht="18" customHeight="1" s="127">
      <c r="A66" s="163">
        <f>IF($AE66="","",IF($AE66&lt;=1200,IF(INDEX(对接源_01水果!$B$4:$B$1203,$AE66)=0,"",INDEX(对接源_01水果!$B$4:$B$1203,$AE66)),IF(INDEX(对接源_02物料!$B$4:$B$1203,$AE66-1200)=0,"",INDEX(对接源_02物料!$B$4:$B$1203,$AE66-1200))))</f>
      </c>
      <c r="B66" s="61">
        <f>IF($AE66="","",IF($AE66&lt;=1200,IF(INDEX(对接源_01水果!$E$4:$E$1203,$AE66)=0,"",INDEX(对接源_01水果!$E$4:$E$1203,$AE66)),IF(INDEX(对接源_02物料!$E$4:$E$1203,$AE66-1200)=0,"",INDEX(对接源_02物料!$E$4:$E$1203,$AE66-1200))))</f>
      </c>
      <c r="C66" s="61">
        <f>IF($AE66="","",IF($AE66&lt;=1200,IF(INDEX(对接源_01水果!$F$4:$F$1203,$AE66)=0,"",INDEX(对接源_01水果!$F$4:$F$1203,$AE66)),IF(INDEX(对接源_02物料!$F$4:$F$1203,$AE66-1200)=0,"",INDEX(对接源_02物料!$F$4:$F$1203,$AE66-1200))))</f>
      </c>
      <c r="D66" s="61">
        <f>IF($AE66="","",IF($AE66&lt;=1200,IF(INDEX(对接源_01水果!$G$4:$G$1203,$AE66)=0,"",INDEX(对接源_01水果!$G$4:$G$1203,$AE66)),IF(INDEX(对接源_02物料!$G$4:$G$1203,$AE66-1200)=0,"",INDEX(对接源_02物料!$G$4:$G$1203,$AE66-1200))))</f>
      </c>
      <c r="E66" s="164">
        <f>IF($AE66="","",IF($AE66&lt;=1200,IF(INDEX(对接源_01水果!$H$4:$H$1203,$AE66)=0,"",INDEX(对接源_01水果!$H$4:$H$1203,$AE66)),IF(INDEX(对接源_02物料!$H$4:$H$1203,$AE66-1200)=0,"",INDEX(对接源_02物料!$H$4:$H$1203,$AE66-1200))))</f>
      </c>
      <c r="F66" s="61">
        <f>IF($AE66="","",IF($AE66&lt;=1200,IF(INDEX(对接源_01水果!$I$4:$I$1203,$AE66)=0,"",INDEX(对接源_01水果!$I$4:$I$1203,$AE66)),IF(INDEX(对接源_02物料!$I$4:$I$1203,$AE66-1200)=0,"",INDEX(对接源_02物料!$I$4:$I$1203,$AE66-1200))))</f>
      </c>
      <c r="G66" s="173">
        <f>IF($AE66="","",IF($AE66&lt;=1200,IF(INDEX(对接源_01水果!$J$4:$J$1203,$AE66)=0,"",INDEX(对接源_01水果!$J$4:$J$1203,$AE66)),IF(INDEX(对接源_02物料!$J$4:$J$1203,$AE66-1200)=0,"",INDEX(对接源_02物料!$J$4:$J$1203,$AE66-1200))))</f>
      </c>
      <c r="H66" s="61">
        <f>IF($AE66="","",IF($AE66&lt;=1200,IF(INDEX(对接源_01水果!$W$4:$W$1203,$AE66)=0,"",INDEX(对接源_01水果!$W$4:$W$1203,$AE66)),IF(INDEX(对接源_02物料!$W$4:$W$1203,$AE66-1200)=0,"",INDEX(对接源_02物料!$W$4:$W$1203,$AE66-1200))))</f>
      </c>
      <c r="I66" s="61">
        <f>IF($AE66="","",IF($AE66&lt;=1200,IF(INDEX(对接源_01水果!$C$4:$C$1203,$AE66)=0,"",INDEX(对接源_01水果!$C$4:$C$1203,$AE66)),IF(INDEX(对接源_02物料!$C$4:$C$1203,$AE66-1200)=0,"",INDEX(对接源_02物料!$C$4:$C$1203,$AE66-1200))))</f>
      </c>
      <c r="J66" s="64">
        <f>IF($AE66="","",IF($AE66&lt;=1200,IF(INDEX(对接源_01水果!$M$4:$M$1203,$AE66)=0,"",INDEX(对接源_01水果!$M$4:$M$1203,$AE66)),IF(INDEX(对接源_02物料!$M$4:$M$1203,$AE66-1200)=0,"",INDEX(对接源_02物料!$M$4:$M$1203,$AE66-1200))))</f>
      </c>
      <c r="AE66" s="2">
        <f>IFERROR(MATCH(61,_自动清单!$AA$4:$AA$2403,0),"")</f>
      </c>
      <c r="AI66" s="2">
        <f>IF($D66="","",$D66)</f>
      </c>
      <c r="AJ66" s="2">
        <f>IF(AI66="",0,IF(MATCH(AI66,AI$6:AI$125,0)=61,1,0))</f>
        <v>0</v>
      </c>
      <c r="AK66" s="2">
        <f>N(AK65)+AJ66</f>
        <v>3</v>
      </c>
    </row>
    <row r="67" ht="18" customHeight="1" s="127">
      <c r="A67" s="165">
        <f>IF($AE67="","",IF($AE67&lt;=1200,IF(INDEX(对接源_01水果!$B$4:$B$1203,$AE67)=0,"",INDEX(对接源_01水果!$B$4:$B$1203,$AE67)),IF(INDEX(对接源_02物料!$B$4:$B$1203,$AE67-1200)=0,"",INDEX(对接源_02物料!$B$4:$B$1203,$AE67-1200))))</f>
      </c>
      <c r="B67" s="104">
        <f>IF($AE67="","",IF($AE67&lt;=1200,IF(INDEX(对接源_01水果!$E$4:$E$1203,$AE67)=0,"",INDEX(对接源_01水果!$E$4:$E$1203,$AE67)),IF(INDEX(对接源_02物料!$E$4:$E$1203,$AE67-1200)=0,"",INDEX(对接源_02物料!$E$4:$E$1203,$AE67-1200))))</f>
      </c>
      <c r="C67" s="104">
        <f>IF($AE67="","",IF($AE67&lt;=1200,IF(INDEX(对接源_01水果!$F$4:$F$1203,$AE67)=0,"",INDEX(对接源_01水果!$F$4:$F$1203,$AE67)),IF(INDEX(对接源_02物料!$F$4:$F$1203,$AE67-1200)=0,"",INDEX(对接源_02物料!$F$4:$F$1203,$AE67-1200))))</f>
      </c>
      <c r="D67" s="104">
        <f>IF($AE67="","",IF($AE67&lt;=1200,IF(INDEX(对接源_01水果!$G$4:$G$1203,$AE67)=0,"",INDEX(对接源_01水果!$G$4:$G$1203,$AE67)),IF(INDEX(对接源_02物料!$G$4:$G$1203,$AE67-1200)=0,"",INDEX(对接源_02物料!$G$4:$G$1203,$AE67-1200))))</f>
      </c>
      <c r="E67" s="166">
        <f>IF($AE67="","",IF($AE67&lt;=1200,IF(INDEX(对接源_01水果!$H$4:$H$1203,$AE67)=0,"",INDEX(对接源_01水果!$H$4:$H$1203,$AE67)),IF(INDEX(对接源_02物料!$H$4:$H$1203,$AE67-1200)=0,"",INDEX(对接源_02物料!$H$4:$H$1203,$AE67-1200))))</f>
      </c>
      <c r="F67" s="104">
        <f>IF($AE67="","",IF($AE67&lt;=1200,IF(INDEX(对接源_01水果!$I$4:$I$1203,$AE67)=0,"",INDEX(对接源_01水果!$I$4:$I$1203,$AE67)),IF(INDEX(对接源_02物料!$I$4:$I$1203,$AE67-1200)=0,"",INDEX(对接源_02物料!$I$4:$I$1203,$AE67-1200))))</f>
      </c>
      <c r="G67" s="175">
        <f>IF($AE67="","",IF($AE67&lt;=1200,IF(INDEX(对接源_01水果!$J$4:$J$1203,$AE67)=0,"",INDEX(对接源_01水果!$J$4:$J$1203,$AE67)),IF(INDEX(对接源_02物料!$J$4:$J$1203,$AE67-1200)=0,"",INDEX(对接源_02物料!$J$4:$J$1203,$AE67-1200))))</f>
      </c>
      <c r="H67" s="104">
        <f>IF($AE67="","",IF($AE67&lt;=1200,IF(INDEX(对接源_01水果!$W$4:$W$1203,$AE67)=0,"",INDEX(对接源_01水果!$W$4:$W$1203,$AE67)),IF(INDEX(对接源_02物料!$W$4:$W$1203,$AE67-1200)=0,"",INDEX(对接源_02物料!$W$4:$W$1203,$AE67-1200))))</f>
      </c>
      <c r="I67" s="104">
        <f>IF($AE67="","",IF($AE67&lt;=1200,IF(INDEX(对接源_01水果!$C$4:$C$1203,$AE67)=0,"",INDEX(对接源_01水果!$C$4:$C$1203,$AE67)),IF(INDEX(对接源_02物料!$C$4:$C$1203,$AE67-1200)=0,"",INDEX(对接源_02物料!$C$4:$C$1203,$AE67-1200))))</f>
      </c>
      <c r="J67" s="107">
        <f>IF($AE67="","",IF($AE67&lt;=1200,IF(INDEX(对接源_01水果!$M$4:$M$1203,$AE67)=0,"",INDEX(对接源_01水果!$M$4:$M$1203,$AE67)),IF(INDEX(对接源_02物料!$M$4:$M$1203,$AE67-1200)=0,"",INDEX(对接源_02物料!$M$4:$M$1203,$AE67-1200))))</f>
      </c>
      <c r="AE67" s="2">
        <f>IFERROR(MATCH(62,_自动清单!$AA$4:$AA$2403,0),"")</f>
      </c>
      <c r="AI67" s="2">
        <f>IF($D67="","",$D67)</f>
      </c>
      <c r="AJ67" s="2">
        <f>IF(AI67="",0,IF(MATCH(AI67,AI$6:AI$125,0)=62,1,0))</f>
        <v>0</v>
      </c>
      <c r="AK67" s="2">
        <f>N(AK66)+AJ67</f>
        <v>3</v>
      </c>
    </row>
    <row r="68" ht="18" customHeight="1" s="127">
      <c r="A68" s="163">
        <f>IF($AE68="","",IF($AE68&lt;=1200,IF(INDEX(对接源_01水果!$B$4:$B$1203,$AE68)=0,"",INDEX(对接源_01水果!$B$4:$B$1203,$AE68)),IF(INDEX(对接源_02物料!$B$4:$B$1203,$AE68-1200)=0,"",INDEX(对接源_02物料!$B$4:$B$1203,$AE68-1200))))</f>
      </c>
      <c r="B68" s="61">
        <f>IF($AE68="","",IF($AE68&lt;=1200,IF(INDEX(对接源_01水果!$E$4:$E$1203,$AE68)=0,"",INDEX(对接源_01水果!$E$4:$E$1203,$AE68)),IF(INDEX(对接源_02物料!$E$4:$E$1203,$AE68-1200)=0,"",INDEX(对接源_02物料!$E$4:$E$1203,$AE68-1200))))</f>
      </c>
      <c r="C68" s="61">
        <f>IF($AE68="","",IF($AE68&lt;=1200,IF(INDEX(对接源_01水果!$F$4:$F$1203,$AE68)=0,"",INDEX(对接源_01水果!$F$4:$F$1203,$AE68)),IF(INDEX(对接源_02物料!$F$4:$F$1203,$AE68-1200)=0,"",INDEX(对接源_02物料!$F$4:$F$1203,$AE68-1200))))</f>
      </c>
      <c r="D68" s="61">
        <f>IF($AE68="","",IF($AE68&lt;=1200,IF(INDEX(对接源_01水果!$G$4:$G$1203,$AE68)=0,"",INDEX(对接源_01水果!$G$4:$G$1203,$AE68)),IF(INDEX(对接源_02物料!$G$4:$G$1203,$AE68-1200)=0,"",INDEX(对接源_02物料!$G$4:$G$1203,$AE68-1200))))</f>
      </c>
      <c r="E68" s="164">
        <f>IF($AE68="","",IF($AE68&lt;=1200,IF(INDEX(对接源_01水果!$H$4:$H$1203,$AE68)=0,"",INDEX(对接源_01水果!$H$4:$H$1203,$AE68)),IF(INDEX(对接源_02物料!$H$4:$H$1203,$AE68-1200)=0,"",INDEX(对接源_02物料!$H$4:$H$1203,$AE68-1200))))</f>
      </c>
      <c r="F68" s="61">
        <f>IF($AE68="","",IF($AE68&lt;=1200,IF(INDEX(对接源_01水果!$I$4:$I$1203,$AE68)=0,"",INDEX(对接源_01水果!$I$4:$I$1203,$AE68)),IF(INDEX(对接源_02物料!$I$4:$I$1203,$AE68-1200)=0,"",INDEX(对接源_02物料!$I$4:$I$1203,$AE68-1200))))</f>
      </c>
      <c r="G68" s="173">
        <f>IF($AE68="","",IF($AE68&lt;=1200,IF(INDEX(对接源_01水果!$J$4:$J$1203,$AE68)=0,"",INDEX(对接源_01水果!$J$4:$J$1203,$AE68)),IF(INDEX(对接源_02物料!$J$4:$J$1203,$AE68-1200)=0,"",INDEX(对接源_02物料!$J$4:$J$1203,$AE68-1200))))</f>
      </c>
      <c r="H68" s="61">
        <f>IF($AE68="","",IF($AE68&lt;=1200,IF(INDEX(对接源_01水果!$W$4:$W$1203,$AE68)=0,"",INDEX(对接源_01水果!$W$4:$W$1203,$AE68)),IF(INDEX(对接源_02物料!$W$4:$W$1203,$AE68-1200)=0,"",INDEX(对接源_02物料!$W$4:$W$1203,$AE68-1200))))</f>
      </c>
      <c r="I68" s="61">
        <f>IF($AE68="","",IF($AE68&lt;=1200,IF(INDEX(对接源_01水果!$C$4:$C$1203,$AE68)=0,"",INDEX(对接源_01水果!$C$4:$C$1203,$AE68)),IF(INDEX(对接源_02物料!$C$4:$C$1203,$AE68-1200)=0,"",INDEX(对接源_02物料!$C$4:$C$1203,$AE68-1200))))</f>
      </c>
      <c r="J68" s="64">
        <f>IF($AE68="","",IF($AE68&lt;=1200,IF(INDEX(对接源_01水果!$M$4:$M$1203,$AE68)=0,"",INDEX(对接源_01水果!$M$4:$M$1203,$AE68)),IF(INDEX(对接源_02物料!$M$4:$M$1203,$AE68-1200)=0,"",INDEX(对接源_02物料!$M$4:$M$1203,$AE68-1200))))</f>
      </c>
      <c r="AE68" s="2">
        <f>IFERROR(MATCH(63,_自动清单!$AA$4:$AA$2403,0),"")</f>
      </c>
      <c r="AI68" s="2">
        <f>IF($D68="","",$D68)</f>
      </c>
      <c r="AJ68" s="2">
        <f>IF(AI68="",0,IF(MATCH(AI68,AI$6:AI$125,0)=63,1,0))</f>
        <v>0</v>
      </c>
      <c r="AK68" s="2">
        <f>N(AK67)+AJ68</f>
        <v>3</v>
      </c>
    </row>
    <row r="69" ht="18" customHeight="1" s="127">
      <c r="A69" s="165">
        <f>IF($AE69="","",IF($AE69&lt;=1200,IF(INDEX(对接源_01水果!$B$4:$B$1203,$AE69)=0,"",INDEX(对接源_01水果!$B$4:$B$1203,$AE69)),IF(INDEX(对接源_02物料!$B$4:$B$1203,$AE69-1200)=0,"",INDEX(对接源_02物料!$B$4:$B$1203,$AE69-1200))))</f>
      </c>
      <c r="B69" s="104">
        <f>IF($AE69="","",IF($AE69&lt;=1200,IF(INDEX(对接源_01水果!$E$4:$E$1203,$AE69)=0,"",INDEX(对接源_01水果!$E$4:$E$1203,$AE69)),IF(INDEX(对接源_02物料!$E$4:$E$1203,$AE69-1200)=0,"",INDEX(对接源_02物料!$E$4:$E$1203,$AE69-1200))))</f>
      </c>
      <c r="C69" s="104">
        <f>IF($AE69="","",IF($AE69&lt;=1200,IF(INDEX(对接源_01水果!$F$4:$F$1203,$AE69)=0,"",INDEX(对接源_01水果!$F$4:$F$1203,$AE69)),IF(INDEX(对接源_02物料!$F$4:$F$1203,$AE69-1200)=0,"",INDEX(对接源_02物料!$F$4:$F$1203,$AE69-1200))))</f>
      </c>
      <c r="D69" s="104">
        <f>IF($AE69="","",IF($AE69&lt;=1200,IF(INDEX(对接源_01水果!$G$4:$G$1203,$AE69)=0,"",INDEX(对接源_01水果!$G$4:$G$1203,$AE69)),IF(INDEX(对接源_02物料!$G$4:$G$1203,$AE69-1200)=0,"",INDEX(对接源_02物料!$G$4:$G$1203,$AE69-1200))))</f>
      </c>
      <c r="E69" s="166">
        <f>IF($AE69="","",IF($AE69&lt;=1200,IF(INDEX(对接源_01水果!$H$4:$H$1203,$AE69)=0,"",INDEX(对接源_01水果!$H$4:$H$1203,$AE69)),IF(INDEX(对接源_02物料!$H$4:$H$1203,$AE69-1200)=0,"",INDEX(对接源_02物料!$H$4:$H$1203,$AE69-1200))))</f>
      </c>
      <c r="F69" s="104">
        <f>IF($AE69="","",IF($AE69&lt;=1200,IF(INDEX(对接源_01水果!$I$4:$I$1203,$AE69)=0,"",INDEX(对接源_01水果!$I$4:$I$1203,$AE69)),IF(INDEX(对接源_02物料!$I$4:$I$1203,$AE69-1200)=0,"",INDEX(对接源_02物料!$I$4:$I$1203,$AE69-1200))))</f>
      </c>
      <c r="G69" s="175">
        <f>IF($AE69="","",IF($AE69&lt;=1200,IF(INDEX(对接源_01水果!$J$4:$J$1203,$AE69)=0,"",INDEX(对接源_01水果!$J$4:$J$1203,$AE69)),IF(INDEX(对接源_02物料!$J$4:$J$1203,$AE69-1200)=0,"",INDEX(对接源_02物料!$J$4:$J$1203,$AE69-1200))))</f>
      </c>
      <c r="H69" s="104">
        <f>IF($AE69="","",IF($AE69&lt;=1200,IF(INDEX(对接源_01水果!$W$4:$W$1203,$AE69)=0,"",INDEX(对接源_01水果!$W$4:$W$1203,$AE69)),IF(INDEX(对接源_02物料!$W$4:$W$1203,$AE69-1200)=0,"",INDEX(对接源_02物料!$W$4:$W$1203,$AE69-1200))))</f>
      </c>
      <c r="I69" s="104">
        <f>IF($AE69="","",IF($AE69&lt;=1200,IF(INDEX(对接源_01水果!$C$4:$C$1203,$AE69)=0,"",INDEX(对接源_01水果!$C$4:$C$1203,$AE69)),IF(INDEX(对接源_02物料!$C$4:$C$1203,$AE69-1200)=0,"",INDEX(对接源_02物料!$C$4:$C$1203,$AE69-1200))))</f>
      </c>
      <c r="J69" s="107">
        <f>IF($AE69="","",IF($AE69&lt;=1200,IF(INDEX(对接源_01水果!$M$4:$M$1203,$AE69)=0,"",INDEX(对接源_01水果!$M$4:$M$1203,$AE69)),IF(INDEX(对接源_02物料!$M$4:$M$1203,$AE69-1200)=0,"",INDEX(对接源_02物料!$M$4:$M$1203,$AE69-1200))))</f>
      </c>
      <c r="AE69" s="2">
        <f>IFERROR(MATCH(64,_自动清单!$AA$4:$AA$2403,0),"")</f>
      </c>
      <c r="AI69" s="2">
        <f>IF($D69="","",$D69)</f>
      </c>
      <c r="AJ69" s="2">
        <f>IF(AI69="",0,IF(MATCH(AI69,AI$6:AI$125,0)=64,1,0))</f>
        <v>0</v>
      </c>
      <c r="AK69" s="2">
        <f>N(AK68)+AJ69</f>
        <v>3</v>
      </c>
    </row>
    <row r="70" ht="18" customHeight="1" s="127">
      <c r="A70" s="163">
        <f>IF($AE70="","",IF($AE70&lt;=1200,IF(INDEX(对接源_01水果!$B$4:$B$1203,$AE70)=0,"",INDEX(对接源_01水果!$B$4:$B$1203,$AE70)),IF(INDEX(对接源_02物料!$B$4:$B$1203,$AE70-1200)=0,"",INDEX(对接源_02物料!$B$4:$B$1203,$AE70-1200))))</f>
      </c>
      <c r="B70" s="61">
        <f>IF($AE70="","",IF($AE70&lt;=1200,IF(INDEX(对接源_01水果!$E$4:$E$1203,$AE70)=0,"",INDEX(对接源_01水果!$E$4:$E$1203,$AE70)),IF(INDEX(对接源_02物料!$E$4:$E$1203,$AE70-1200)=0,"",INDEX(对接源_02物料!$E$4:$E$1203,$AE70-1200))))</f>
      </c>
      <c r="C70" s="61">
        <f>IF($AE70="","",IF($AE70&lt;=1200,IF(INDEX(对接源_01水果!$F$4:$F$1203,$AE70)=0,"",INDEX(对接源_01水果!$F$4:$F$1203,$AE70)),IF(INDEX(对接源_02物料!$F$4:$F$1203,$AE70-1200)=0,"",INDEX(对接源_02物料!$F$4:$F$1203,$AE70-1200))))</f>
      </c>
      <c r="D70" s="61">
        <f>IF($AE70="","",IF($AE70&lt;=1200,IF(INDEX(对接源_01水果!$G$4:$G$1203,$AE70)=0,"",INDEX(对接源_01水果!$G$4:$G$1203,$AE70)),IF(INDEX(对接源_02物料!$G$4:$G$1203,$AE70-1200)=0,"",INDEX(对接源_02物料!$G$4:$G$1203,$AE70-1200))))</f>
      </c>
      <c r="E70" s="164">
        <f>IF($AE70="","",IF($AE70&lt;=1200,IF(INDEX(对接源_01水果!$H$4:$H$1203,$AE70)=0,"",INDEX(对接源_01水果!$H$4:$H$1203,$AE70)),IF(INDEX(对接源_02物料!$H$4:$H$1203,$AE70-1200)=0,"",INDEX(对接源_02物料!$H$4:$H$1203,$AE70-1200))))</f>
      </c>
      <c r="F70" s="61">
        <f>IF($AE70="","",IF($AE70&lt;=1200,IF(INDEX(对接源_01水果!$I$4:$I$1203,$AE70)=0,"",INDEX(对接源_01水果!$I$4:$I$1203,$AE70)),IF(INDEX(对接源_02物料!$I$4:$I$1203,$AE70-1200)=0,"",INDEX(对接源_02物料!$I$4:$I$1203,$AE70-1200))))</f>
      </c>
      <c r="G70" s="173">
        <f>IF($AE70="","",IF($AE70&lt;=1200,IF(INDEX(对接源_01水果!$J$4:$J$1203,$AE70)=0,"",INDEX(对接源_01水果!$J$4:$J$1203,$AE70)),IF(INDEX(对接源_02物料!$J$4:$J$1203,$AE70-1200)=0,"",INDEX(对接源_02物料!$J$4:$J$1203,$AE70-1200))))</f>
      </c>
      <c r="H70" s="61">
        <f>IF($AE70="","",IF($AE70&lt;=1200,IF(INDEX(对接源_01水果!$W$4:$W$1203,$AE70)=0,"",INDEX(对接源_01水果!$W$4:$W$1203,$AE70)),IF(INDEX(对接源_02物料!$W$4:$W$1203,$AE70-1200)=0,"",INDEX(对接源_02物料!$W$4:$W$1203,$AE70-1200))))</f>
      </c>
      <c r="I70" s="61">
        <f>IF($AE70="","",IF($AE70&lt;=1200,IF(INDEX(对接源_01水果!$C$4:$C$1203,$AE70)=0,"",INDEX(对接源_01水果!$C$4:$C$1203,$AE70)),IF(INDEX(对接源_02物料!$C$4:$C$1203,$AE70-1200)=0,"",INDEX(对接源_02物料!$C$4:$C$1203,$AE70-1200))))</f>
      </c>
      <c r="J70" s="64">
        <f>IF($AE70="","",IF($AE70&lt;=1200,IF(INDEX(对接源_01水果!$M$4:$M$1203,$AE70)=0,"",INDEX(对接源_01水果!$M$4:$M$1203,$AE70)),IF(INDEX(对接源_02物料!$M$4:$M$1203,$AE70-1200)=0,"",INDEX(对接源_02物料!$M$4:$M$1203,$AE70-1200))))</f>
      </c>
      <c r="AE70" s="2">
        <f>IFERROR(MATCH(65,_自动清单!$AA$4:$AA$2403,0),"")</f>
      </c>
      <c r="AI70" s="2">
        <f>IF($D70="","",$D70)</f>
      </c>
      <c r="AJ70" s="2">
        <f>IF(AI70="",0,IF(MATCH(AI70,AI$6:AI$125,0)=65,1,0))</f>
        <v>0</v>
      </c>
      <c r="AK70" s="2">
        <f>N(AK69)+AJ70</f>
        <v>3</v>
      </c>
    </row>
    <row r="71" ht="18" customHeight="1" s="127">
      <c r="A71" s="165">
        <f>IF($AE71="","",IF($AE71&lt;=1200,IF(INDEX(对接源_01水果!$B$4:$B$1203,$AE71)=0,"",INDEX(对接源_01水果!$B$4:$B$1203,$AE71)),IF(INDEX(对接源_02物料!$B$4:$B$1203,$AE71-1200)=0,"",INDEX(对接源_02物料!$B$4:$B$1203,$AE71-1200))))</f>
      </c>
      <c r="B71" s="104">
        <f>IF($AE71="","",IF($AE71&lt;=1200,IF(INDEX(对接源_01水果!$E$4:$E$1203,$AE71)=0,"",INDEX(对接源_01水果!$E$4:$E$1203,$AE71)),IF(INDEX(对接源_02物料!$E$4:$E$1203,$AE71-1200)=0,"",INDEX(对接源_02物料!$E$4:$E$1203,$AE71-1200))))</f>
      </c>
      <c r="C71" s="104">
        <f>IF($AE71="","",IF($AE71&lt;=1200,IF(INDEX(对接源_01水果!$F$4:$F$1203,$AE71)=0,"",INDEX(对接源_01水果!$F$4:$F$1203,$AE71)),IF(INDEX(对接源_02物料!$F$4:$F$1203,$AE71-1200)=0,"",INDEX(对接源_02物料!$F$4:$F$1203,$AE71-1200))))</f>
      </c>
      <c r="D71" s="104">
        <f>IF($AE71="","",IF($AE71&lt;=1200,IF(INDEX(对接源_01水果!$G$4:$G$1203,$AE71)=0,"",INDEX(对接源_01水果!$G$4:$G$1203,$AE71)),IF(INDEX(对接源_02物料!$G$4:$G$1203,$AE71-1200)=0,"",INDEX(对接源_02物料!$G$4:$G$1203,$AE71-1200))))</f>
      </c>
      <c r="E71" s="166">
        <f>IF($AE71="","",IF($AE71&lt;=1200,IF(INDEX(对接源_01水果!$H$4:$H$1203,$AE71)=0,"",INDEX(对接源_01水果!$H$4:$H$1203,$AE71)),IF(INDEX(对接源_02物料!$H$4:$H$1203,$AE71-1200)=0,"",INDEX(对接源_02物料!$H$4:$H$1203,$AE71-1200))))</f>
      </c>
      <c r="F71" s="104">
        <f>IF($AE71="","",IF($AE71&lt;=1200,IF(INDEX(对接源_01水果!$I$4:$I$1203,$AE71)=0,"",INDEX(对接源_01水果!$I$4:$I$1203,$AE71)),IF(INDEX(对接源_02物料!$I$4:$I$1203,$AE71-1200)=0,"",INDEX(对接源_02物料!$I$4:$I$1203,$AE71-1200))))</f>
      </c>
      <c r="G71" s="175">
        <f>IF($AE71="","",IF($AE71&lt;=1200,IF(INDEX(对接源_01水果!$J$4:$J$1203,$AE71)=0,"",INDEX(对接源_01水果!$J$4:$J$1203,$AE71)),IF(INDEX(对接源_02物料!$J$4:$J$1203,$AE71-1200)=0,"",INDEX(对接源_02物料!$J$4:$J$1203,$AE71-1200))))</f>
      </c>
      <c r="H71" s="104">
        <f>IF($AE71="","",IF($AE71&lt;=1200,IF(INDEX(对接源_01水果!$W$4:$W$1203,$AE71)=0,"",INDEX(对接源_01水果!$W$4:$W$1203,$AE71)),IF(INDEX(对接源_02物料!$W$4:$W$1203,$AE71-1200)=0,"",INDEX(对接源_02物料!$W$4:$W$1203,$AE71-1200))))</f>
      </c>
      <c r="I71" s="104">
        <f>IF($AE71="","",IF($AE71&lt;=1200,IF(INDEX(对接源_01水果!$C$4:$C$1203,$AE71)=0,"",INDEX(对接源_01水果!$C$4:$C$1203,$AE71)),IF(INDEX(对接源_02物料!$C$4:$C$1203,$AE71-1200)=0,"",INDEX(对接源_02物料!$C$4:$C$1203,$AE71-1200))))</f>
      </c>
      <c r="J71" s="107">
        <f>IF($AE71="","",IF($AE71&lt;=1200,IF(INDEX(对接源_01水果!$M$4:$M$1203,$AE71)=0,"",INDEX(对接源_01水果!$M$4:$M$1203,$AE71)),IF(INDEX(对接源_02物料!$M$4:$M$1203,$AE71-1200)=0,"",INDEX(对接源_02物料!$M$4:$M$1203,$AE71-1200))))</f>
      </c>
      <c r="AE71" s="2">
        <f>IFERROR(MATCH(66,_自动清单!$AA$4:$AA$2403,0),"")</f>
      </c>
      <c r="AI71" s="2">
        <f>IF($D71="","",$D71)</f>
      </c>
      <c r="AJ71" s="2">
        <f>IF(AI71="",0,IF(MATCH(AI71,AI$6:AI$125,0)=66,1,0))</f>
        <v>0</v>
      </c>
      <c r="AK71" s="2">
        <f>N(AK70)+AJ71</f>
        <v>3</v>
      </c>
    </row>
    <row r="72" ht="18" customHeight="1" s="127">
      <c r="A72" s="163">
        <f>IF($AE72="","",IF($AE72&lt;=1200,IF(INDEX(对接源_01水果!$B$4:$B$1203,$AE72)=0,"",INDEX(对接源_01水果!$B$4:$B$1203,$AE72)),IF(INDEX(对接源_02物料!$B$4:$B$1203,$AE72-1200)=0,"",INDEX(对接源_02物料!$B$4:$B$1203,$AE72-1200))))</f>
      </c>
      <c r="B72" s="61">
        <f>IF($AE72="","",IF($AE72&lt;=1200,IF(INDEX(对接源_01水果!$E$4:$E$1203,$AE72)=0,"",INDEX(对接源_01水果!$E$4:$E$1203,$AE72)),IF(INDEX(对接源_02物料!$E$4:$E$1203,$AE72-1200)=0,"",INDEX(对接源_02物料!$E$4:$E$1203,$AE72-1200))))</f>
      </c>
      <c r="C72" s="61">
        <f>IF($AE72="","",IF($AE72&lt;=1200,IF(INDEX(对接源_01水果!$F$4:$F$1203,$AE72)=0,"",INDEX(对接源_01水果!$F$4:$F$1203,$AE72)),IF(INDEX(对接源_02物料!$F$4:$F$1203,$AE72-1200)=0,"",INDEX(对接源_02物料!$F$4:$F$1203,$AE72-1200))))</f>
      </c>
      <c r="D72" s="61">
        <f>IF($AE72="","",IF($AE72&lt;=1200,IF(INDEX(对接源_01水果!$G$4:$G$1203,$AE72)=0,"",INDEX(对接源_01水果!$G$4:$G$1203,$AE72)),IF(INDEX(对接源_02物料!$G$4:$G$1203,$AE72-1200)=0,"",INDEX(对接源_02物料!$G$4:$G$1203,$AE72-1200))))</f>
      </c>
      <c r="E72" s="164">
        <f>IF($AE72="","",IF($AE72&lt;=1200,IF(INDEX(对接源_01水果!$H$4:$H$1203,$AE72)=0,"",INDEX(对接源_01水果!$H$4:$H$1203,$AE72)),IF(INDEX(对接源_02物料!$H$4:$H$1203,$AE72-1200)=0,"",INDEX(对接源_02物料!$H$4:$H$1203,$AE72-1200))))</f>
      </c>
      <c r="F72" s="61">
        <f>IF($AE72="","",IF($AE72&lt;=1200,IF(INDEX(对接源_01水果!$I$4:$I$1203,$AE72)=0,"",INDEX(对接源_01水果!$I$4:$I$1203,$AE72)),IF(INDEX(对接源_02物料!$I$4:$I$1203,$AE72-1200)=0,"",INDEX(对接源_02物料!$I$4:$I$1203,$AE72-1200))))</f>
      </c>
      <c r="G72" s="173">
        <f>IF($AE72="","",IF($AE72&lt;=1200,IF(INDEX(对接源_01水果!$J$4:$J$1203,$AE72)=0,"",INDEX(对接源_01水果!$J$4:$J$1203,$AE72)),IF(INDEX(对接源_02物料!$J$4:$J$1203,$AE72-1200)=0,"",INDEX(对接源_02物料!$J$4:$J$1203,$AE72-1200))))</f>
      </c>
      <c r="H72" s="61">
        <f>IF($AE72="","",IF($AE72&lt;=1200,IF(INDEX(对接源_01水果!$W$4:$W$1203,$AE72)=0,"",INDEX(对接源_01水果!$W$4:$W$1203,$AE72)),IF(INDEX(对接源_02物料!$W$4:$W$1203,$AE72-1200)=0,"",INDEX(对接源_02物料!$W$4:$W$1203,$AE72-1200))))</f>
      </c>
      <c r="I72" s="61">
        <f>IF($AE72="","",IF($AE72&lt;=1200,IF(INDEX(对接源_01水果!$C$4:$C$1203,$AE72)=0,"",INDEX(对接源_01水果!$C$4:$C$1203,$AE72)),IF(INDEX(对接源_02物料!$C$4:$C$1203,$AE72-1200)=0,"",INDEX(对接源_02物料!$C$4:$C$1203,$AE72-1200))))</f>
      </c>
      <c r="J72" s="64">
        <f>IF($AE72="","",IF($AE72&lt;=1200,IF(INDEX(对接源_01水果!$M$4:$M$1203,$AE72)=0,"",INDEX(对接源_01水果!$M$4:$M$1203,$AE72)),IF(INDEX(对接源_02物料!$M$4:$M$1203,$AE72-1200)=0,"",INDEX(对接源_02物料!$M$4:$M$1203,$AE72-1200))))</f>
      </c>
      <c r="AE72" s="2">
        <f>IFERROR(MATCH(67,_自动清单!$AA$4:$AA$2403,0),"")</f>
      </c>
      <c r="AI72" s="2">
        <f>IF($D72="","",$D72)</f>
      </c>
      <c r="AJ72" s="2">
        <f>IF(AI72="",0,IF(MATCH(AI72,AI$6:AI$125,0)=67,1,0))</f>
        <v>0</v>
      </c>
      <c r="AK72" s="2">
        <f>N(AK71)+AJ72</f>
        <v>3</v>
      </c>
    </row>
    <row r="73" ht="18" customHeight="1" s="127">
      <c r="A73" s="165">
        <f>IF($AE73="","",IF($AE73&lt;=1200,IF(INDEX(对接源_01水果!$B$4:$B$1203,$AE73)=0,"",INDEX(对接源_01水果!$B$4:$B$1203,$AE73)),IF(INDEX(对接源_02物料!$B$4:$B$1203,$AE73-1200)=0,"",INDEX(对接源_02物料!$B$4:$B$1203,$AE73-1200))))</f>
      </c>
      <c r="B73" s="104">
        <f>IF($AE73="","",IF($AE73&lt;=1200,IF(INDEX(对接源_01水果!$E$4:$E$1203,$AE73)=0,"",INDEX(对接源_01水果!$E$4:$E$1203,$AE73)),IF(INDEX(对接源_02物料!$E$4:$E$1203,$AE73-1200)=0,"",INDEX(对接源_02物料!$E$4:$E$1203,$AE73-1200))))</f>
      </c>
      <c r="C73" s="104">
        <f>IF($AE73="","",IF($AE73&lt;=1200,IF(INDEX(对接源_01水果!$F$4:$F$1203,$AE73)=0,"",INDEX(对接源_01水果!$F$4:$F$1203,$AE73)),IF(INDEX(对接源_02物料!$F$4:$F$1203,$AE73-1200)=0,"",INDEX(对接源_02物料!$F$4:$F$1203,$AE73-1200))))</f>
      </c>
      <c r="D73" s="104">
        <f>IF($AE73="","",IF($AE73&lt;=1200,IF(INDEX(对接源_01水果!$G$4:$G$1203,$AE73)=0,"",INDEX(对接源_01水果!$G$4:$G$1203,$AE73)),IF(INDEX(对接源_02物料!$G$4:$G$1203,$AE73-1200)=0,"",INDEX(对接源_02物料!$G$4:$G$1203,$AE73-1200))))</f>
      </c>
      <c r="E73" s="166">
        <f>IF($AE73="","",IF($AE73&lt;=1200,IF(INDEX(对接源_01水果!$H$4:$H$1203,$AE73)=0,"",INDEX(对接源_01水果!$H$4:$H$1203,$AE73)),IF(INDEX(对接源_02物料!$H$4:$H$1203,$AE73-1200)=0,"",INDEX(对接源_02物料!$H$4:$H$1203,$AE73-1200))))</f>
      </c>
      <c r="F73" s="104">
        <f>IF($AE73="","",IF($AE73&lt;=1200,IF(INDEX(对接源_01水果!$I$4:$I$1203,$AE73)=0,"",INDEX(对接源_01水果!$I$4:$I$1203,$AE73)),IF(INDEX(对接源_02物料!$I$4:$I$1203,$AE73-1200)=0,"",INDEX(对接源_02物料!$I$4:$I$1203,$AE73-1200))))</f>
      </c>
      <c r="G73" s="175">
        <f>IF($AE73="","",IF($AE73&lt;=1200,IF(INDEX(对接源_01水果!$J$4:$J$1203,$AE73)=0,"",INDEX(对接源_01水果!$J$4:$J$1203,$AE73)),IF(INDEX(对接源_02物料!$J$4:$J$1203,$AE73-1200)=0,"",INDEX(对接源_02物料!$J$4:$J$1203,$AE73-1200))))</f>
      </c>
      <c r="H73" s="104">
        <f>IF($AE73="","",IF($AE73&lt;=1200,IF(INDEX(对接源_01水果!$W$4:$W$1203,$AE73)=0,"",INDEX(对接源_01水果!$W$4:$W$1203,$AE73)),IF(INDEX(对接源_02物料!$W$4:$W$1203,$AE73-1200)=0,"",INDEX(对接源_02物料!$W$4:$W$1203,$AE73-1200))))</f>
      </c>
      <c r="I73" s="104">
        <f>IF($AE73="","",IF($AE73&lt;=1200,IF(INDEX(对接源_01水果!$C$4:$C$1203,$AE73)=0,"",INDEX(对接源_01水果!$C$4:$C$1203,$AE73)),IF(INDEX(对接源_02物料!$C$4:$C$1203,$AE73-1200)=0,"",INDEX(对接源_02物料!$C$4:$C$1203,$AE73-1200))))</f>
      </c>
      <c r="J73" s="107">
        <f>IF($AE73="","",IF($AE73&lt;=1200,IF(INDEX(对接源_01水果!$M$4:$M$1203,$AE73)=0,"",INDEX(对接源_01水果!$M$4:$M$1203,$AE73)),IF(INDEX(对接源_02物料!$M$4:$M$1203,$AE73-1200)=0,"",INDEX(对接源_02物料!$M$4:$M$1203,$AE73-1200))))</f>
      </c>
      <c r="AE73" s="2">
        <f>IFERROR(MATCH(68,_自动清单!$AA$4:$AA$2403,0),"")</f>
      </c>
      <c r="AI73" s="2">
        <f>IF($D73="","",$D73)</f>
      </c>
      <c r="AJ73" s="2">
        <f>IF(AI73="",0,IF(MATCH(AI73,AI$6:AI$125,0)=68,1,0))</f>
        <v>0</v>
      </c>
      <c r="AK73" s="2">
        <f>N(AK72)+AJ73</f>
        <v>3</v>
      </c>
    </row>
    <row r="74" ht="18" customHeight="1" s="127">
      <c r="A74" s="163">
        <f>IF($AE74="","",IF($AE74&lt;=1200,IF(INDEX(对接源_01水果!$B$4:$B$1203,$AE74)=0,"",INDEX(对接源_01水果!$B$4:$B$1203,$AE74)),IF(INDEX(对接源_02物料!$B$4:$B$1203,$AE74-1200)=0,"",INDEX(对接源_02物料!$B$4:$B$1203,$AE74-1200))))</f>
      </c>
      <c r="B74" s="61">
        <f>IF($AE74="","",IF($AE74&lt;=1200,IF(INDEX(对接源_01水果!$E$4:$E$1203,$AE74)=0,"",INDEX(对接源_01水果!$E$4:$E$1203,$AE74)),IF(INDEX(对接源_02物料!$E$4:$E$1203,$AE74-1200)=0,"",INDEX(对接源_02物料!$E$4:$E$1203,$AE74-1200))))</f>
      </c>
      <c r="C74" s="61">
        <f>IF($AE74="","",IF($AE74&lt;=1200,IF(INDEX(对接源_01水果!$F$4:$F$1203,$AE74)=0,"",INDEX(对接源_01水果!$F$4:$F$1203,$AE74)),IF(INDEX(对接源_02物料!$F$4:$F$1203,$AE74-1200)=0,"",INDEX(对接源_02物料!$F$4:$F$1203,$AE74-1200))))</f>
      </c>
      <c r="D74" s="61">
        <f>IF($AE74="","",IF($AE74&lt;=1200,IF(INDEX(对接源_01水果!$G$4:$G$1203,$AE74)=0,"",INDEX(对接源_01水果!$G$4:$G$1203,$AE74)),IF(INDEX(对接源_02物料!$G$4:$G$1203,$AE74-1200)=0,"",INDEX(对接源_02物料!$G$4:$G$1203,$AE74-1200))))</f>
      </c>
      <c r="E74" s="164">
        <f>IF($AE74="","",IF($AE74&lt;=1200,IF(INDEX(对接源_01水果!$H$4:$H$1203,$AE74)=0,"",INDEX(对接源_01水果!$H$4:$H$1203,$AE74)),IF(INDEX(对接源_02物料!$H$4:$H$1203,$AE74-1200)=0,"",INDEX(对接源_02物料!$H$4:$H$1203,$AE74-1200))))</f>
      </c>
      <c r="F74" s="61">
        <f>IF($AE74="","",IF($AE74&lt;=1200,IF(INDEX(对接源_01水果!$I$4:$I$1203,$AE74)=0,"",INDEX(对接源_01水果!$I$4:$I$1203,$AE74)),IF(INDEX(对接源_02物料!$I$4:$I$1203,$AE74-1200)=0,"",INDEX(对接源_02物料!$I$4:$I$1203,$AE74-1200))))</f>
      </c>
      <c r="G74" s="173">
        <f>IF($AE74="","",IF($AE74&lt;=1200,IF(INDEX(对接源_01水果!$J$4:$J$1203,$AE74)=0,"",INDEX(对接源_01水果!$J$4:$J$1203,$AE74)),IF(INDEX(对接源_02物料!$J$4:$J$1203,$AE74-1200)=0,"",INDEX(对接源_02物料!$J$4:$J$1203,$AE74-1200))))</f>
      </c>
      <c r="H74" s="61">
        <f>IF($AE74="","",IF($AE74&lt;=1200,IF(INDEX(对接源_01水果!$W$4:$W$1203,$AE74)=0,"",INDEX(对接源_01水果!$W$4:$W$1203,$AE74)),IF(INDEX(对接源_02物料!$W$4:$W$1203,$AE74-1200)=0,"",INDEX(对接源_02物料!$W$4:$W$1203,$AE74-1200))))</f>
      </c>
      <c r="I74" s="61">
        <f>IF($AE74="","",IF($AE74&lt;=1200,IF(INDEX(对接源_01水果!$C$4:$C$1203,$AE74)=0,"",INDEX(对接源_01水果!$C$4:$C$1203,$AE74)),IF(INDEX(对接源_02物料!$C$4:$C$1203,$AE74-1200)=0,"",INDEX(对接源_02物料!$C$4:$C$1203,$AE74-1200))))</f>
      </c>
      <c r="J74" s="64">
        <f>IF($AE74="","",IF($AE74&lt;=1200,IF(INDEX(对接源_01水果!$M$4:$M$1203,$AE74)=0,"",INDEX(对接源_01水果!$M$4:$M$1203,$AE74)),IF(INDEX(对接源_02物料!$M$4:$M$1203,$AE74-1200)=0,"",INDEX(对接源_02物料!$M$4:$M$1203,$AE74-1200))))</f>
      </c>
      <c r="AE74" s="2">
        <f>IFERROR(MATCH(69,_自动清单!$AA$4:$AA$2403,0),"")</f>
      </c>
      <c r="AI74" s="2">
        <f>IF($D74="","",$D74)</f>
      </c>
      <c r="AJ74" s="2">
        <f>IF(AI74="",0,IF(MATCH(AI74,AI$6:AI$125,0)=69,1,0))</f>
        <v>0</v>
      </c>
      <c r="AK74" s="2">
        <f>N(AK73)+AJ74</f>
        <v>3</v>
      </c>
    </row>
    <row r="75" ht="18" customHeight="1" s="127">
      <c r="A75" s="165">
        <f>IF($AE75="","",IF($AE75&lt;=1200,IF(INDEX(对接源_01水果!$B$4:$B$1203,$AE75)=0,"",INDEX(对接源_01水果!$B$4:$B$1203,$AE75)),IF(INDEX(对接源_02物料!$B$4:$B$1203,$AE75-1200)=0,"",INDEX(对接源_02物料!$B$4:$B$1203,$AE75-1200))))</f>
      </c>
      <c r="B75" s="104">
        <f>IF($AE75="","",IF($AE75&lt;=1200,IF(INDEX(对接源_01水果!$E$4:$E$1203,$AE75)=0,"",INDEX(对接源_01水果!$E$4:$E$1203,$AE75)),IF(INDEX(对接源_02物料!$E$4:$E$1203,$AE75-1200)=0,"",INDEX(对接源_02物料!$E$4:$E$1203,$AE75-1200))))</f>
      </c>
      <c r="C75" s="104">
        <f>IF($AE75="","",IF($AE75&lt;=1200,IF(INDEX(对接源_01水果!$F$4:$F$1203,$AE75)=0,"",INDEX(对接源_01水果!$F$4:$F$1203,$AE75)),IF(INDEX(对接源_02物料!$F$4:$F$1203,$AE75-1200)=0,"",INDEX(对接源_02物料!$F$4:$F$1203,$AE75-1200))))</f>
      </c>
      <c r="D75" s="104">
        <f>IF($AE75="","",IF($AE75&lt;=1200,IF(INDEX(对接源_01水果!$G$4:$G$1203,$AE75)=0,"",INDEX(对接源_01水果!$G$4:$G$1203,$AE75)),IF(INDEX(对接源_02物料!$G$4:$G$1203,$AE75-1200)=0,"",INDEX(对接源_02物料!$G$4:$G$1203,$AE75-1200))))</f>
      </c>
      <c r="E75" s="166">
        <f>IF($AE75="","",IF($AE75&lt;=1200,IF(INDEX(对接源_01水果!$H$4:$H$1203,$AE75)=0,"",INDEX(对接源_01水果!$H$4:$H$1203,$AE75)),IF(INDEX(对接源_02物料!$H$4:$H$1203,$AE75-1200)=0,"",INDEX(对接源_02物料!$H$4:$H$1203,$AE75-1200))))</f>
      </c>
      <c r="F75" s="104">
        <f>IF($AE75="","",IF($AE75&lt;=1200,IF(INDEX(对接源_01水果!$I$4:$I$1203,$AE75)=0,"",INDEX(对接源_01水果!$I$4:$I$1203,$AE75)),IF(INDEX(对接源_02物料!$I$4:$I$1203,$AE75-1200)=0,"",INDEX(对接源_02物料!$I$4:$I$1203,$AE75-1200))))</f>
      </c>
      <c r="G75" s="175">
        <f>IF($AE75="","",IF($AE75&lt;=1200,IF(INDEX(对接源_01水果!$J$4:$J$1203,$AE75)=0,"",INDEX(对接源_01水果!$J$4:$J$1203,$AE75)),IF(INDEX(对接源_02物料!$J$4:$J$1203,$AE75-1200)=0,"",INDEX(对接源_02物料!$J$4:$J$1203,$AE75-1200))))</f>
      </c>
      <c r="H75" s="104">
        <f>IF($AE75="","",IF($AE75&lt;=1200,IF(INDEX(对接源_01水果!$W$4:$W$1203,$AE75)=0,"",INDEX(对接源_01水果!$W$4:$W$1203,$AE75)),IF(INDEX(对接源_02物料!$W$4:$W$1203,$AE75-1200)=0,"",INDEX(对接源_02物料!$W$4:$W$1203,$AE75-1200))))</f>
      </c>
      <c r="I75" s="104">
        <f>IF($AE75="","",IF($AE75&lt;=1200,IF(INDEX(对接源_01水果!$C$4:$C$1203,$AE75)=0,"",INDEX(对接源_01水果!$C$4:$C$1203,$AE75)),IF(INDEX(对接源_02物料!$C$4:$C$1203,$AE75-1200)=0,"",INDEX(对接源_02物料!$C$4:$C$1203,$AE75-1200))))</f>
      </c>
      <c r="J75" s="107">
        <f>IF($AE75="","",IF($AE75&lt;=1200,IF(INDEX(对接源_01水果!$M$4:$M$1203,$AE75)=0,"",INDEX(对接源_01水果!$M$4:$M$1203,$AE75)),IF(INDEX(对接源_02物料!$M$4:$M$1203,$AE75-1200)=0,"",INDEX(对接源_02物料!$M$4:$M$1203,$AE75-1200))))</f>
      </c>
      <c r="AE75" s="2">
        <f>IFERROR(MATCH(70,_自动清单!$AA$4:$AA$2403,0),"")</f>
      </c>
      <c r="AI75" s="2">
        <f>IF($D75="","",$D75)</f>
      </c>
      <c r="AJ75" s="2">
        <f>IF(AI75="",0,IF(MATCH(AI75,AI$6:AI$125,0)=70,1,0))</f>
        <v>0</v>
      </c>
      <c r="AK75" s="2">
        <f>N(AK74)+AJ75</f>
        <v>3</v>
      </c>
    </row>
    <row r="76" ht="18" customHeight="1" s="127">
      <c r="A76" s="163">
        <f>IF($AE76="","",IF($AE76&lt;=1200,IF(INDEX(对接源_01水果!$B$4:$B$1203,$AE76)=0,"",INDEX(对接源_01水果!$B$4:$B$1203,$AE76)),IF(INDEX(对接源_02物料!$B$4:$B$1203,$AE76-1200)=0,"",INDEX(对接源_02物料!$B$4:$B$1203,$AE76-1200))))</f>
      </c>
      <c r="B76" s="61">
        <f>IF($AE76="","",IF($AE76&lt;=1200,IF(INDEX(对接源_01水果!$E$4:$E$1203,$AE76)=0,"",INDEX(对接源_01水果!$E$4:$E$1203,$AE76)),IF(INDEX(对接源_02物料!$E$4:$E$1203,$AE76-1200)=0,"",INDEX(对接源_02物料!$E$4:$E$1203,$AE76-1200))))</f>
      </c>
      <c r="C76" s="61">
        <f>IF($AE76="","",IF($AE76&lt;=1200,IF(INDEX(对接源_01水果!$F$4:$F$1203,$AE76)=0,"",INDEX(对接源_01水果!$F$4:$F$1203,$AE76)),IF(INDEX(对接源_02物料!$F$4:$F$1203,$AE76-1200)=0,"",INDEX(对接源_02物料!$F$4:$F$1203,$AE76-1200))))</f>
      </c>
      <c r="D76" s="61">
        <f>IF($AE76="","",IF($AE76&lt;=1200,IF(INDEX(对接源_01水果!$G$4:$G$1203,$AE76)=0,"",INDEX(对接源_01水果!$G$4:$G$1203,$AE76)),IF(INDEX(对接源_02物料!$G$4:$G$1203,$AE76-1200)=0,"",INDEX(对接源_02物料!$G$4:$G$1203,$AE76-1200))))</f>
      </c>
      <c r="E76" s="164">
        <f>IF($AE76="","",IF($AE76&lt;=1200,IF(INDEX(对接源_01水果!$H$4:$H$1203,$AE76)=0,"",INDEX(对接源_01水果!$H$4:$H$1203,$AE76)),IF(INDEX(对接源_02物料!$H$4:$H$1203,$AE76-1200)=0,"",INDEX(对接源_02物料!$H$4:$H$1203,$AE76-1200))))</f>
      </c>
      <c r="F76" s="61">
        <f>IF($AE76="","",IF($AE76&lt;=1200,IF(INDEX(对接源_01水果!$I$4:$I$1203,$AE76)=0,"",INDEX(对接源_01水果!$I$4:$I$1203,$AE76)),IF(INDEX(对接源_02物料!$I$4:$I$1203,$AE76-1200)=0,"",INDEX(对接源_02物料!$I$4:$I$1203,$AE76-1200))))</f>
      </c>
      <c r="G76" s="173">
        <f>IF($AE76="","",IF($AE76&lt;=1200,IF(INDEX(对接源_01水果!$J$4:$J$1203,$AE76)=0,"",INDEX(对接源_01水果!$J$4:$J$1203,$AE76)),IF(INDEX(对接源_02物料!$J$4:$J$1203,$AE76-1200)=0,"",INDEX(对接源_02物料!$J$4:$J$1203,$AE76-1200))))</f>
      </c>
      <c r="H76" s="61">
        <f>IF($AE76="","",IF($AE76&lt;=1200,IF(INDEX(对接源_01水果!$W$4:$W$1203,$AE76)=0,"",INDEX(对接源_01水果!$W$4:$W$1203,$AE76)),IF(INDEX(对接源_02物料!$W$4:$W$1203,$AE76-1200)=0,"",INDEX(对接源_02物料!$W$4:$W$1203,$AE76-1200))))</f>
      </c>
      <c r="I76" s="61">
        <f>IF($AE76="","",IF($AE76&lt;=1200,IF(INDEX(对接源_01水果!$C$4:$C$1203,$AE76)=0,"",INDEX(对接源_01水果!$C$4:$C$1203,$AE76)),IF(INDEX(对接源_02物料!$C$4:$C$1203,$AE76-1200)=0,"",INDEX(对接源_02物料!$C$4:$C$1203,$AE76-1200))))</f>
      </c>
      <c r="J76" s="64">
        <f>IF($AE76="","",IF($AE76&lt;=1200,IF(INDEX(对接源_01水果!$M$4:$M$1203,$AE76)=0,"",INDEX(对接源_01水果!$M$4:$M$1203,$AE76)),IF(INDEX(对接源_02物料!$M$4:$M$1203,$AE76-1200)=0,"",INDEX(对接源_02物料!$M$4:$M$1203,$AE76-1200))))</f>
      </c>
      <c r="AE76" s="2">
        <f>IFERROR(MATCH(71,_自动清单!$AA$4:$AA$2403,0),"")</f>
      </c>
      <c r="AI76" s="2">
        <f>IF($D76="","",$D76)</f>
      </c>
      <c r="AJ76" s="2">
        <f>IF(AI76="",0,IF(MATCH(AI76,AI$6:AI$125,0)=71,1,0))</f>
        <v>0</v>
      </c>
      <c r="AK76" s="2">
        <f>N(AK75)+AJ76</f>
        <v>3</v>
      </c>
    </row>
    <row r="77" ht="18" customHeight="1" s="127">
      <c r="A77" s="165">
        <f>IF($AE77="","",IF($AE77&lt;=1200,IF(INDEX(对接源_01水果!$B$4:$B$1203,$AE77)=0,"",INDEX(对接源_01水果!$B$4:$B$1203,$AE77)),IF(INDEX(对接源_02物料!$B$4:$B$1203,$AE77-1200)=0,"",INDEX(对接源_02物料!$B$4:$B$1203,$AE77-1200))))</f>
      </c>
      <c r="B77" s="104">
        <f>IF($AE77="","",IF($AE77&lt;=1200,IF(INDEX(对接源_01水果!$E$4:$E$1203,$AE77)=0,"",INDEX(对接源_01水果!$E$4:$E$1203,$AE77)),IF(INDEX(对接源_02物料!$E$4:$E$1203,$AE77-1200)=0,"",INDEX(对接源_02物料!$E$4:$E$1203,$AE77-1200))))</f>
      </c>
      <c r="C77" s="104">
        <f>IF($AE77="","",IF($AE77&lt;=1200,IF(INDEX(对接源_01水果!$F$4:$F$1203,$AE77)=0,"",INDEX(对接源_01水果!$F$4:$F$1203,$AE77)),IF(INDEX(对接源_02物料!$F$4:$F$1203,$AE77-1200)=0,"",INDEX(对接源_02物料!$F$4:$F$1203,$AE77-1200))))</f>
      </c>
      <c r="D77" s="104">
        <f>IF($AE77="","",IF($AE77&lt;=1200,IF(INDEX(对接源_01水果!$G$4:$G$1203,$AE77)=0,"",INDEX(对接源_01水果!$G$4:$G$1203,$AE77)),IF(INDEX(对接源_02物料!$G$4:$G$1203,$AE77-1200)=0,"",INDEX(对接源_02物料!$G$4:$G$1203,$AE77-1200))))</f>
      </c>
      <c r="E77" s="166">
        <f>IF($AE77="","",IF($AE77&lt;=1200,IF(INDEX(对接源_01水果!$H$4:$H$1203,$AE77)=0,"",INDEX(对接源_01水果!$H$4:$H$1203,$AE77)),IF(INDEX(对接源_02物料!$H$4:$H$1203,$AE77-1200)=0,"",INDEX(对接源_02物料!$H$4:$H$1203,$AE77-1200))))</f>
      </c>
      <c r="F77" s="104">
        <f>IF($AE77="","",IF($AE77&lt;=1200,IF(INDEX(对接源_01水果!$I$4:$I$1203,$AE77)=0,"",INDEX(对接源_01水果!$I$4:$I$1203,$AE77)),IF(INDEX(对接源_02物料!$I$4:$I$1203,$AE77-1200)=0,"",INDEX(对接源_02物料!$I$4:$I$1203,$AE77-1200))))</f>
      </c>
      <c r="G77" s="175">
        <f>IF($AE77="","",IF($AE77&lt;=1200,IF(INDEX(对接源_01水果!$J$4:$J$1203,$AE77)=0,"",INDEX(对接源_01水果!$J$4:$J$1203,$AE77)),IF(INDEX(对接源_02物料!$J$4:$J$1203,$AE77-1200)=0,"",INDEX(对接源_02物料!$J$4:$J$1203,$AE77-1200))))</f>
      </c>
      <c r="H77" s="104">
        <f>IF($AE77="","",IF($AE77&lt;=1200,IF(INDEX(对接源_01水果!$W$4:$W$1203,$AE77)=0,"",INDEX(对接源_01水果!$W$4:$W$1203,$AE77)),IF(INDEX(对接源_02物料!$W$4:$W$1203,$AE77-1200)=0,"",INDEX(对接源_02物料!$W$4:$W$1203,$AE77-1200))))</f>
      </c>
      <c r="I77" s="104">
        <f>IF($AE77="","",IF($AE77&lt;=1200,IF(INDEX(对接源_01水果!$C$4:$C$1203,$AE77)=0,"",INDEX(对接源_01水果!$C$4:$C$1203,$AE77)),IF(INDEX(对接源_02物料!$C$4:$C$1203,$AE77-1200)=0,"",INDEX(对接源_02物料!$C$4:$C$1203,$AE77-1200))))</f>
      </c>
      <c r="J77" s="107">
        <f>IF($AE77="","",IF($AE77&lt;=1200,IF(INDEX(对接源_01水果!$M$4:$M$1203,$AE77)=0,"",INDEX(对接源_01水果!$M$4:$M$1203,$AE77)),IF(INDEX(对接源_02物料!$M$4:$M$1203,$AE77-1200)=0,"",INDEX(对接源_02物料!$M$4:$M$1203,$AE77-1200))))</f>
      </c>
      <c r="AE77" s="2">
        <f>IFERROR(MATCH(72,_自动清单!$AA$4:$AA$2403,0),"")</f>
      </c>
      <c r="AI77" s="2">
        <f>IF($D77="","",$D77)</f>
      </c>
      <c r="AJ77" s="2">
        <f>IF(AI77="",0,IF(MATCH(AI77,AI$6:AI$125,0)=72,1,0))</f>
        <v>0</v>
      </c>
      <c r="AK77" s="2">
        <f>N(AK76)+AJ77</f>
        <v>3</v>
      </c>
    </row>
    <row r="78" ht="18" customHeight="1" s="127">
      <c r="A78" s="163">
        <f>IF($AE78="","",IF($AE78&lt;=1200,IF(INDEX(对接源_01水果!$B$4:$B$1203,$AE78)=0,"",INDEX(对接源_01水果!$B$4:$B$1203,$AE78)),IF(INDEX(对接源_02物料!$B$4:$B$1203,$AE78-1200)=0,"",INDEX(对接源_02物料!$B$4:$B$1203,$AE78-1200))))</f>
      </c>
      <c r="B78" s="61">
        <f>IF($AE78="","",IF($AE78&lt;=1200,IF(INDEX(对接源_01水果!$E$4:$E$1203,$AE78)=0,"",INDEX(对接源_01水果!$E$4:$E$1203,$AE78)),IF(INDEX(对接源_02物料!$E$4:$E$1203,$AE78-1200)=0,"",INDEX(对接源_02物料!$E$4:$E$1203,$AE78-1200))))</f>
      </c>
      <c r="C78" s="61">
        <f>IF($AE78="","",IF($AE78&lt;=1200,IF(INDEX(对接源_01水果!$F$4:$F$1203,$AE78)=0,"",INDEX(对接源_01水果!$F$4:$F$1203,$AE78)),IF(INDEX(对接源_02物料!$F$4:$F$1203,$AE78-1200)=0,"",INDEX(对接源_02物料!$F$4:$F$1203,$AE78-1200))))</f>
      </c>
      <c r="D78" s="61">
        <f>IF($AE78="","",IF($AE78&lt;=1200,IF(INDEX(对接源_01水果!$G$4:$G$1203,$AE78)=0,"",INDEX(对接源_01水果!$G$4:$G$1203,$AE78)),IF(INDEX(对接源_02物料!$G$4:$G$1203,$AE78-1200)=0,"",INDEX(对接源_02物料!$G$4:$G$1203,$AE78-1200))))</f>
      </c>
      <c r="E78" s="164">
        <f>IF($AE78="","",IF($AE78&lt;=1200,IF(INDEX(对接源_01水果!$H$4:$H$1203,$AE78)=0,"",INDEX(对接源_01水果!$H$4:$H$1203,$AE78)),IF(INDEX(对接源_02物料!$H$4:$H$1203,$AE78-1200)=0,"",INDEX(对接源_02物料!$H$4:$H$1203,$AE78-1200))))</f>
      </c>
      <c r="F78" s="61">
        <f>IF($AE78="","",IF($AE78&lt;=1200,IF(INDEX(对接源_01水果!$I$4:$I$1203,$AE78)=0,"",INDEX(对接源_01水果!$I$4:$I$1203,$AE78)),IF(INDEX(对接源_02物料!$I$4:$I$1203,$AE78-1200)=0,"",INDEX(对接源_02物料!$I$4:$I$1203,$AE78-1200))))</f>
      </c>
      <c r="G78" s="173">
        <f>IF($AE78="","",IF($AE78&lt;=1200,IF(INDEX(对接源_01水果!$J$4:$J$1203,$AE78)=0,"",INDEX(对接源_01水果!$J$4:$J$1203,$AE78)),IF(INDEX(对接源_02物料!$J$4:$J$1203,$AE78-1200)=0,"",INDEX(对接源_02物料!$J$4:$J$1203,$AE78-1200))))</f>
      </c>
      <c r="H78" s="61">
        <f>IF($AE78="","",IF($AE78&lt;=1200,IF(INDEX(对接源_01水果!$W$4:$W$1203,$AE78)=0,"",INDEX(对接源_01水果!$W$4:$W$1203,$AE78)),IF(INDEX(对接源_02物料!$W$4:$W$1203,$AE78-1200)=0,"",INDEX(对接源_02物料!$W$4:$W$1203,$AE78-1200))))</f>
      </c>
      <c r="I78" s="61">
        <f>IF($AE78="","",IF($AE78&lt;=1200,IF(INDEX(对接源_01水果!$C$4:$C$1203,$AE78)=0,"",INDEX(对接源_01水果!$C$4:$C$1203,$AE78)),IF(INDEX(对接源_02物料!$C$4:$C$1203,$AE78-1200)=0,"",INDEX(对接源_02物料!$C$4:$C$1203,$AE78-1200))))</f>
      </c>
      <c r="J78" s="64">
        <f>IF($AE78="","",IF($AE78&lt;=1200,IF(INDEX(对接源_01水果!$M$4:$M$1203,$AE78)=0,"",INDEX(对接源_01水果!$M$4:$M$1203,$AE78)),IF(INDEX(对接源_02物料!$M$4:$M$1203,$AE78-1200)=0,"",INDEX(对接源_02物料!$M$4:$M$1203,$AE78-1200))))</f>
      </c>
      <c r="AE78" s="2">
        <f>IFERROR(MATCH(73,_自动清单!$AA$4:$AA$2403,0),"")</f>
      </c>
      <c r="AI78" s="2">
        <f>IF($D78="","",$D78)</f>
      </c>
      <c r="AJ78" s="2">
        <f>IF(AI78="",0,IF(MATCH(AI78,AI$6:AI$125,0)=73,1,0))</f>
        <v>0</v>
      </c>
      <c r="AK78" s="2">
        <f>N(AK77)+AJ78</f>
        <v>3</v>
      </c>
    </row>
    <row r="79" ht="18" customHeight="1" s="127">
      <c r="A79" s="165">
        <f>IF($AE79="","",IF($AE79&lt;=1200,IF(INDEX(对接源_01水果!$B$4:$B$1203,$AE79)=0,"",INDEX(对接源_01水果!$B$4:$B$1203,$AE79)),IF(INDEX(对接源_02物料!$B$4:$B$1203,$AE79-1200)=0,"",INDEX(对接源_02物料!$B$4:$B$1203,$AE79-1200))))</f>
      </c>
      <c r="B79" s="104">
        <f>IF($AE79="","",IF($AE79&lt;=1200,IF(INDEX(对接源_01水果!$E$4:$E$1203,$AE79)=0,"",INDEX(对接源_01水果!$E$4:$E$1203,$AE79)),IF(INDEX(对接源_02物料!$E$4:$E$1203,$AE79-1200)=0,"",INDEX(对接源_02物料!$E$4:$E$1203,$AE79-1200))))</f>
      </c>
      <c r="C79" s="104">
        <f>IF($AE79="","",IF($AE79&lt;=1200,IF(INDEX(对接源_01水果!$F$4:$F$1203,$AE79)=0,"",INDEX(对接源_01水果!$F$4:$F$1203,$AE79)),IF(INDEX(对接源_02物料!$F$4:$F$1203,$AE79-1200)=0,"",INDEX(对接源_02物料!$F$4:$F$1203,$AE79-1200))))</f>
      </c>
      <c r="D79" s="104">
        <f>IF($AE79="","",IF($AE79&lt;=1200,IF(INDEX(对接源_01水果!$G$4:$G$1203,$AE79)=0,"",INDEX(对接源_01水果!$G$4:$G$1203,$AE79)),IF(INDEX(对接源_02物料!$G$4:$G$1203,$AE79-1200)=0,"",INDEX(对接源_02物料!$G$4:$G$1203,$AE79-1200))))</f>
      </c>
      <c r="E79" s="166">
        <f>IF($AE79="","",IF($AE79&lt;=1200,IF(INDEX(对接源_01水果!$H$4:$H$1203,$AE79)=0,"",INDEX(对接源_01水果!$H$4:$H$1203,$AE79)),IF(INDEX(对接源_02物料!$H$4:$H$1203,$AE79-1200)=0,"",INDEX(对接源_02物料!$H$4:$H$1203,$AE79-1200))))</f>
      </c>
      <c r="F79" s="104">
        <f>IF($AE79="","",IF($AE79&lt;=1200,IF(INDEX(对接源_01水果!$I$4:$I$1203,$AE79)=0,"",INDEX(对接源_01水果!$I$4:$I$1203,$AE79)),IF(INDEX(对接源_02物料!$I$4:$I$1203,$AE79-1200)=0,"",INDEX(对接源_02物料!$I$4:$I$1203,$AE79-1200))))</f>
      </c>
      <c r="G79" s="175">
        <f>IF($AE79="","",IF($AE79&lt;=1200,IF(INDEX(对接源_01水果!$J$4:$J$1203,$AE79)=0,"",INDEX(对接源_01水果!$J$4:$J$1203,$AE79)),IF(INDEX(对接源_02物料!$J$4:$J$1203,$AE79-1200)=0,"",INDEX(对接源_02物料!$J$4:$J$1203,$AE79-1200))))</f>
      </c>
      <c r="H79" s="104">
        <f>IF($AE79="","",IF($AE79&lt;=1200,IF(INDEX(对接源_01水果!$W$4:$W$1203,$AE79)=0,"",INDEX(对接源_01水果!$W$4:$W$1203,$AE79)),IF(INDEX(对接源_02物料!$W$4:$W$1203,$AE79-1200)=0,"",INDEX(对接源_02物料!$W$4:$W$1203,$AE79-1200))))</f>
      </c>
      <c r="I79" s="104">
        <f>IF($AE79="","",IF($AE79&lt;=1200,IF(INDEX(对接源_01水果!$C$4:$C$1203,$AE79)=0,"",INDEX(对接源_01水果!$C$4:$C$1203,$AE79)),IF(INDEX(对接源_02物料!$C$4:$C$1203,$AE79-1200)=0,"",INDEX(对接源_02物料!$C$4:$C$1203,$AE79-1200))))</f>
      </c>
      <c r="J79" s="107">
        <f>IF($AE79="","",IF($AE79&lt;=1200,IF(INDEX(对接源_01水果!$M$4:$M$1203,$AE79)=0,"",INDEX(对接源_01水果!$M$4:$M$1203,$AE79)),IF(INDEX(对接源_02物料!$M$4:$M$1203,$AE79-1200)=0,"",INDEX(对接源_02物料!$M$4:$M$1203,$AE79-1200))))</f>
      </c>
      <c r="AE79" s="2">
        <f>IFERROR(MATCH(74,_自动清单!$AA$4:$AA$2403,0),"")</f>
      </c>
      <c r="AI79" s="2">
        <f>IF($D79="","",$D79)</f>
      </c>
      <c r="AJ79" s="2">
        <f>IF(AI79="",0,IF(MATCH(AI79,AI$6:AI$125,0)=74,1,0))</f>
        <v>0</v>
      </c>
      <c r="AK79" s="2">
        <f>N(AK78)+AJ79</f>
        <v>3</v>
      </c>
    </row>
    <row r="80" ht="18" customHeight="1" s="127">
      <c r="A80" s="163">
        <f>IF($AE80="","",IF($AE80&lt;=1200,IF(INDEX(对接源_01水果!$B$4:$B$1203,$AE80)=0,"",INDEX(对接源_01水果!$B$4:$B$1203,$AE80)),IF(INDEX(对接源_02物料!$B$4:$B$1203,$AE80-1200)=0,"",INDEX(对接源_02物料!$B$4:$B$1203,$AE80-1200))))</f>
      </c>
      <c r="B80" s="61">
        <f>IF($AE80="","",IF($AE80&lt;=1200,IF(INDEX(对接源_01水果!$E$4:$E$1203,$AE80)=0,"",INDEX(对接源_01水果!$E$4:$E$1203,$AE80)),IF(INDEX(对接源_02物料!$E$4:$E$1203,$AE80-1200)=0,"",INDEX(对接源_02物料!$E$4:$E$1203,$AE80-1200))))</f>
      </c>
      <c r="C80" s="61">
        <f>IF($AE80="","",IF($AE80&lt;=1200,IF(INDEX(对接源_01水果!$F$4:$F$1203,$AE80)=0,"",INDEX(对接源_01水果!$F$4:$F$1203,$AE80)),IF(INDEX(对接源_02物料!$F$4:$F$1203,$AE80-1200)=0,"",INDEX(对接源_02物料!$F$4:$F$1203,$AE80-1200))))</f>
      </c>
      <c r="D80" s="61">
        <f>IF($AE80="","",IF($AE80&lt;=1200,IF(INDEX(对接源_01水果!$G$4:$G$1203,$AE80)=0,"",INDEX(对接源_01水果!$G$4:$G$1203,$AE80)),IF(INDEX(对接源_02物料!$G$4:$G$1203,$AE80-1200)=0,"",INDEX(对接源_02物料!$G$4:$G$1203,$AE80-1200))))</f>
      </c>
      <c r="E80" s="164">
        <f>IF($AE80="","",IF($AE80&lt;=1200,IF(INDEX(对接源_01水果!$H$4:$H$1203,$AE80)=0,"",INDEX(对接源_01水果!$H$4:$H$1203,$AE80)),IF(INDEX(对接源_02物料!$H$4:$H$1203,$AE80-1200)=0,"",INDEX(对接源_02物料!$H$4:$H$1203,$AE80-1200))))</f>
      </c>
      <c r="F80" s="61">
        <f>IF($AE80="","",IF($AE80&lt;=1200,IF(INDEX(对接源_01水果!$I$4:$I$1203,$AE80)=0,"",INDEX(对接源_01水果!$I$4:$I$1203,$AE80)),IF(INDEX(对接源_02物料!$I$4:$I$1203,$AE80-1200)=0,"",INDEX(对接源_02物料!$I$4:$I$1203,$AE80-1200))))</f>
      </c>
      <c r="G80" s="173">
        <f>IF($AE80="","",IF($AE80&lt;=1200,IF(INDEX(对接源_01水果!$J$4:$J$1203,$AE80)=0,"",INDEX(对接源_01水果!$J$4:$J$1203,$AE80)),IF(INDEX(对接源_02物料!$J$4:$J$1203,$AE80-1200)=0,"",INDEX(对接源_02物料!$J$4:$J$1203,$AE80-1200))))</f>
      </c>
      <c r="H80" s="61">
        <f>IF($AE80="","",IF($AE80&lt;=1200,IF(INDEX(对接源_01水果!$W$4:$W$1203,$AE80)=0,"",INDEX(对接源_01水果!$W$4:$W$1203,$AE80)),IF(INDEX(对接源_02物料!$W$4:$W$1203,$AE80-1200)=0,"",INDEX(对接源_02物料!$W$4:$W$1203,$AE80-1200))))</f>
      </c>
      <c r="I80" s="61">
        <f>IF($AE80="","",IF($AE80&lt;=1200,IF(INDEX(对接源_01水果!$C$4:$C$1203,$AE80)=0,"",INDEX(对接源_01水果!$C$4:$C$1203,$AE80)),IF(INDEX(对接源_02物料!$C$4:$C$1203,$AE80-1200)=0,"",INDEX(对接源_02物料!$C$4:$C$1203,$AE80-1200))))</f>
      </c>
      <c r="J80" s="64">
        <f>IF($AE80="","",IF($AE80&lt;=1200,IF(INDEX(对接源_01水果!$M$4:$M$1203,$AE80)=0,"",INDEX(对接源_01水果!$M$4:$M$1203,$AE80)),IF(INDEX(对接源_02物料!$M$4:$M$1203,$AE80-1200)=0,"",INDEX(对接源_02物料!$M$4:$M$1203,$AE80-1200))))</f>
      </c>
      <c r="AE80" s="2">
        <f>IFERROR(MATCH(75,_自动清单!$AA$4:$AA$2403,0),"")</f>
      </c>
      <c r="AI80" s="2">
        <f>IF($D80="","",$D80)</f>
      </c>
      <c r="AJ80" s="2">
        <f>IF(AI80="",0,IF(MATCH(AI80,AI$6:AI$125,0)=75,1,0))</f>
        <v>0</v>
      </c>
      <c r="AK80" s="2">
        <f>N(AK79)+AJ80</f>
        <v>3</v>
      </c>
    </row>
    <row r="81" ht="18" customHeight="1" s="127">
      <c r="A81" s="165">
        <f>IF($AE81="","",IF($AE81&lt;=1200,IF(INDEX(对接源_01水果!$B$4:$B$1203,$AE81)=0,"",INDEX(对接源_01水果!$B$4:$B$1203,$AE81)),IF(INDEX(对接源_02物料!$B$4:$B$1203,$AE81-1200)=0,"",INDEX(对接源_02物料!$B$4:$B$1203,$AE81-1200))))</f>
      </c>
      <c r="B81" s="104">
        <f>IF($AE81="","",IF($AE81&lt;=1200,IF(INDEX(对接源_01水果!$E$4:$E$1203,$AE81)=0,"",INDEX(对接源_01水果!$E$4:$E$1203,$AE81)),IF(INDEX(对接源_02物料!$E$4:$E$1203,$AE81-1200)=0,"",INDEX(对接源_02物料!$E$4:$E$1203,$AE81-1200))))</f>
      </c>
      <c r="C81" s="104">
        <f>IF($AE81="","",IF($AE81&lt;=1200,IF(INDEX(对接源_01水果!$F$4:$F$1203,$AE81)=0,"",INDEX(对接源_01水果!$F$4:$F$1203,$AE81)),IF(INDEX(对接源_02物料!$F$4:$F$1203,$AE81-1200)=0,"",INDEX(对接源_02物料!$F$4:$F$1203,$AE81-1200))))</f>
      </c>
      <c r="D81" s="104">
        <f>IF($AE81="","",IF($AE81&lt;=1200,IF(INDEX(对接源_01水果!$G$4:$G$1203,$AE81)=0,"",INDEX(对接源_01水果!$G$4:$G$1203,$AE81)),IF(INDEX(对接源_02物料!$G$4:$G$1203,$AE81-1200)=0,"",INDEX(对接源_02物料!$G$4:$G$1203,$AE81-1200))))</f>
      </c>
      <c r="E81" s="166">
        <f>IF($AE81="","",IF($AE81&lt;=1200,IF(INDEX(对接源_01水果!$H$4:$H$1203,$AE81)=0,"",INDEX(对接源_01水果!$H$4:$H$1203,$AE81)),IF(INDEX(对接源_02物料!$H$4:$H$1203,$AE81-1200)=0,"",INDEX(对接源_02物料!$H$4:$H$1203,$AE81-1200))))</f>
      </c>
      <c r="F81" s="104">
        <f>IF($AE81="","",IF($AE81&lt;=1200,IF(INDEX(对接源_01水果!$I$4:$I$1203,$AE81)=0,"",INDEX(对接源_01水果!$I$4:$I$1203,$AE81)),IF(INDEX(对接源_02物料!$I$4:$I$1203,$AE81-1200)=0,"",INDEX(对接源_02物料!$I$4:$I$1203,$AE81-1200))))</f>
      </c>
      <c r="G81" s="175">
        <f>IF($AE81="","",IF($AE81&lt;=1200,IF(INDEX(对接源_01水果!$J$4:$J$1203,$AE81)=0,"",INDEX(对接源_01水果!$J$4:$J$1203,$AE81)),IF(INDEX(对接源_02物料!$J$4:$J$1203,$AE81-1200)=0,"",INDEX(对接源_02物料!$J$4:$J$1203,$AE81-1200))))</f>
      </c>
      <c r="H81" s="104">
        <f>IF($AE81="","",IF($AE81&lt;=1200,IF(INDEX(对接源_01水果!$W$4:$W$1203,$AE81)=0,"",INDEX(对接源_01水果!$W$4:$W$1203,$AE81)),IF(INDEX(对接源_02物料!$W$4:$W$1203,$AE81-1200)=0,"",INDEX(对接源_02物料!$W$4:$W$1203,$AE81-1200))))</f>
      </c>
      <c r="I81" s="104">
        <f>IF($AE81="","",IF($AE81&lt;=1200,IF(INDEX(对接源_01水果!$C$4:$C$1203,$AE81)=0,"",INDEX(对接源_01水果!$C$4:$C$1203,$AE81)),IF(INDEX(对接源_02物料!$C$4:$C$1203,$AE81-1200)=0,"",INDEX(对接源_02物料!$C$4:$C$1203,$AE81-1200))))</f>
      </c>
      <c r="J81" s="107">
        <f>IF($AE81="","",IF($AE81&lt;=1200,IF(INDEX(对接源_01水果!$M$4:$M$1203,$AE81)=0,"",INDEX(对接源_01水果!$M$4:$M$1203,$AE81)),IF(INDEX(对接源_02物料!$M$4:$M$1203,$AE81-1200)=0,"",INDEX(对接源_02物料!$M$4:$M$1203,$AE81-1200))))</f>
      </c>
      <c r="AE81" s="2">
        <f>IFERROR(MATCH(76,_自动清单!$AA$4:$AA$2403,0),"")</f>
      </c>
      <c r="AI81" s="2">
        <f>IF($D81="","",$D81)</f>
      </c>
      <c r="AJ81" s="2">
        <f>IF(AI81="",0,IF(MATCH(AI81,AI$6:AI$125,0)=76,1,0))</f>
        <v>0</v>
      </c>
      <c r="AK81" s="2">
        <f>N(AK80)+AJ81</f>
        <v>3</v>
      </c>
    </row>
    <row r="82" ht="18" customHeight="1" s="127">
      <c r="A82" s="163">
        <f>IF($AE82="","",IF($AE82&lt;=1200,IF(INDEX(对接源_01水果!$B$4:$B$1203,$AE82)=0,"",INDEX(对接源_01水果!$B$4:$B$1203,$AE82)),IF(INDEX(对接源_02物料!$B$4:$B$1203,$AE82-1200)=0,"",INDEX(对接源_02物料!$B$4:$B$1203,$AE82-1200))))</f>
      </c>
      <c r="B82" s="61">
        <f>IF($AE82="","",IF($AE82&lt;=1200,IF(INDEX(对接源_01水果!$E$4:$E$1203,$AE82)=0,"",INDEX(对接源_01水果!$E$4:$E$1203,$AE82)),IF(INDEX(对接源_02物料!$E$4:$E$1203,$AE82-1200)=0,"",INDEX(对接源_02物料!$E$4:$E$1203,$AE82-1200))))</f>
      </c>
      <c r="C82" s="61">
        <f>IF($AE82="","",IF($AE82&lt;=1200,IF(INDEX(对接源_01水果!$F$4:$F$1203,$AE82)=0,"",INDEX(对接源_01水果!$F$4:$F$1203,$AE82)),IF(INDEX(对接源_02物料!$F$4:$F$1203,$AE82-1200)=0,"",INDEX(对接源_02物料!$F$4:$F$1203,$AE82-1200))))</f>
      </c>
      <c r="D82" s="61">
        <f>IF($AE82="","",IF($AE82&lt;=1200,IF(INDEX(对接源_01水果!$G$4:$G$1203,$AE82)=0,"",INDEX(对接源_01水果!$G$4:$G$1203,$AE82)),IF(INDEX(对接源_02物料!$G$4:$G$1203,$AE82-1200)=0,"",INDEX(对接源_02物料!$G$4:$G$1203,$AE82-1200))))</f>
      </c>
      <c r="E82" s="164">
        <f>IF($AE82="","",IF($AE82&lt;=1200,IF(INDEX(对接源_01水果!$H$4:$H$1203,$AE82)=0,"",INDEX(对接源_01水果!$H$4:$H$1203,$AE82)),IF(INDEX(对接源_02物料!$H$4:$H$1203,$AE82-1200)=0,"",INDEX(对接源_02物料!$H$4:$H$1203,$AE82-1200))))</f>
      </c>
      <c r="F82" s="61">
        <f>IF($AE82="","",IF($AE82&lt;=1200,IF(INDEX(对接源_01水果!$I$4:$I$1203,$AE82)=0,"",INDEX(对接源_01水果!$I$4:$I$1203,$AE82)),IF(INDEX(对接源_02物料!$I$4:$I$1203,$AE82-1200)=0,"",INDEX(对接源_02物料!$I$4:$I$1203,$AE82-1200))))</f>
      </c>
      <c r="G82" s="173">
        <f>IF($AE82="","",IF($AE82&lt;=1200,IF(INDEX(对接源_01水果!$J$4:$J$1203,$AE82)=0,"",INDEX(对接源_01水果!$J$4:$J$1203,$AE82)),IF(INDEX(对接源_02物料!$J$4:$J$1203,$AE82-1200)=0,"",INDEX(对接源_02物料!$J$4:$J$1203,$AE82-1200))))</f>
      </c>
      <c r="H82" s="61">
        <f>IF($AE82="","",IF($AE82&lt;=1200,IF(INDEX(对接源_01水果!$W$4:$W$1203,$AE82)=0,"",INDEX(对接源_01水果!$W$4:$W$1203,$AE82)),IF(INDEX(对接源_02物料!$W$4:$W$1203,$AE82-1200)=0,"",INDEX(对接源_02物料!$W$4:$W$1203,$AE82-1200))))</f>
      </c>
      <c r="I82" s="61">
        <f>IF($AE82="","",IF($AE82&lt;=1200,IF(INDEX(对接源_01水果!$C$4:$C$1203,$AE82)=0,"",INDEX(对接源_01水果!$C$4:$C$1203,$AE82)),IF(INDEX(对接源_02物料!$C$4:$C$1203,$AE82-1200)=0,"",INDEX(对接源_02物料!$C$4:$C$1203,$AE82-1200))))</f>
      </c>
      <c r="J82" s="64">
        <f>IF($AE82="","",IF($AE82&lt;=1200,IF(INDEX(对接源_01水果!$M$4:$M$1203,$AE82)=0,"",INDEX(对接源_01水果!$M$4:$M$1203,$AE82)),IF(INDEX(对接源_02物料!$M$4:$M$1203,$AE82-1200)=0,"",INDEX(对接源_02物料!$M$4:$M$1203,$AE82-1200))))</f>
      </c>
      <c r="AE82" s="2">
        <f>IFERROR(MATCH(77,_自动清单!$AA$4:$AA$2403,0),"")</f>
      </c>
      <c r="AI82" s="2">
        <f>IF($D82="","",$D82)</f>
      </c>
      <c r="AJ82" s="2">
        <f>IF(AI82="",0,IF(MATCH(AI82,AI$6:AI$125,0)=77,1,0))</f>
        <v>0</v>
      </c>
      <c r="AK82" s="2">
        <f>N(AK81)+AJ82</f>
        <v>3</v>
      </c>
    </row>
    <row r="83" ht="18" customHeight="1" s="127">
      <c r="A83" s="165">
        <f>IF($AE83="","",IF($AE83&lt;=1200,IF(INDEX(对接源_01水果!$B$4:$B$1203,$AE83)=0,"",INDEX(对接源_01水果!$B$4:$B$1203,$AE83)),IF(INDEX(对接源_02物料!$B$4:$B$1203,$AE83-1200)=0,"",INDEX(对接源_02物料!$B$4:$B$1203,$AE83-1200))))</f>
      </c>
      <c r="B83" s="104">
        <f>IF($AE83="","",IF($AE83&lt;=1200,IF(INDEX(对接源_01水果!$E$4:$E$1203,$AE83)=0,"",INDEX(对接源_01水果!$E$4:$E$1203,$AE83)),IF(INDEX(对接源_02物料!$E$4:$E$1203,$AE83-1200)=0,"",INDEX(对接源_02物料!$E$4:$E$1203,$AE83-1200))))</f>
      </c>
      <c r="C83" s="104">
        <f>IF($AE83="","",IF($AE83&lt;=1200,IF(INDEX(对接源_01水果!$F$4:$F$1203,$AE83)=0,"",INDEX(对接源_01水果!$F$4:$F$1203,$AE83)),IF(INDEX(对接源_02物料!$F$4:$F$1203,$AE83-1200)=0,"",INDEX(对接源_02物料!$F$4:$F$1203,$AE83-1200))))</f>
      </c>
      <c r="D83" s="104">
        <f>IF($AE83="","",IF($AE83&lt;=1200,IF(INDEX(对接源_01水果!$G$4:$G$1203,$AE83)=0,"",INDEX(对接源_01水果!$G$4:$G$1203,$AE83)),IF(INDEX(对接源_02物料!$G$4:$G$1203,$AE83-1200)=0,"",INDEX(对接源_02物料!$G$4:$G$1203,$AE83-1200))))</f>
      </c>
      <c r="E83" s="166">
        <f>IF($AE83="","",IF($AE83&lt;=1200,IF(INDEX(对接源_01水果!$H$4:$H$1203,$AE83)=0,"",INDEX(对接源_01水果!$H$4:$H$1203,$AE83)),IF(INDEX(对接源_02物料!$H$4:$H$1203,$AE83-1200)=0,"",INDEX(对接源_02物料!$H$4:$H$1203,$AE83-1200))))</f>
      </c>
      <c r="F83" s="104">
        <f>IF($AE83="","",IF($AE83&lt;=1200,IF(INDEX(对接源_01水果!$I$4:$I$1203,$AE83)=0,"",INDEX(对接源_01水果!$I$4:$I$1203,$AE83)),IF(INDEX(对接源_02物料!$I$4:$I$1203,$AE83-1200)=0,"",INDEX(对接源_02物料!$I$4:$I$1203,$AE83-1200))))</f>
      </c>
      <c r="G83" s="175">
        <f>IF($AE83="","",IF($AE83&lt;=1200,IF(INDEX(对接源_01水果!$J$4:$J$1203,$AE83)=0,"",INDEX(对接源_01水果!$J$4:$J$1203,$AE83)),IF(INDEX(对接源_02物料!$J$4:$J$1203,$AE83-1200)=0,"",INDEX(对接源_02物料!$J$4:$J$1203,$AE83-1200))))</f>
      </c>
      <c r="H83" s="104">
        <f>IF($AE83="","",IF($AE83&lt;=1200,IF(INDEX(对接源_01水果!$W$4:$W$1203,$AE83)=0,"",INDEX(对接源_01水果!$W$4:$W$1203,$AE83)),IF(INDEX(对接源_02物料!$W$4:$W$1203,$AE83-1200)=0,"",INDEX(对接源_02物料!$W$4:$W$1203,$AE83-1200))))</f>
      </c>
      <c r="I83" s="104">
        <f>IF($AE83="","",IF($AE83&lt;=1200,IF(INDEX(对接源_01水果!$C$4:$C$1203,$AE83)=0,"",INDEX(对接源_01水果!$C$4:$C$1203,$AE83)),IF(INDEX(对接源_02物料!$C$4:$C$1203,$AE83-1200)=0,"",INDEX(对接源_02物料!$C$4:$C$1203,$AE83-1200))))</f>
      </c>
      <c r="J83" s="107">
        <f>IF($AE83="","",IF($AE83&lt;=1200,IF(INDEX(对接源_01水果!$M$4:$M$1203,$AE83)=0,"",INDEX(对接源_01水果!$M$4:$M$1203,$AE83)),IF(INDEX(对接源_02物料!$M$4:$M$1203,$AE83-1200)=0,"",INDEX(对接源_02物料!$M$4:$M$1203,$AE83-1200))))</f>
      </c>
      <c r="AE83" s="2">
        <f>IFERROR(MATCH(78,_自动清单!$AA$4:$AA$2403,0),"")</f>
      </c>
      <c r="AI83" s="2">
        <f>IF($D83="","",$D83)</f>
      </c>
      <c r="AJ83" s="2">
        <f>IF(AI83="",0,IF(MATCH(AI83,AI$6:AI$125,0)=78,1,0))</f>
        <v>0</v>
      </c>
      <c r="AK83" s="2">
        <f>N(AK82)+AJ83</f>
        <v>3</v>
      </c>
    </row>
    <row r="84" ht="18" customHeight="1" s="127">
      <c r="A84" s="163">
        <f>IF($AE84="","",IF($AE84&lt;=1200,IF(INDEX(对接源_01水果!$B$4:$B$1203,$AE84)=0,"",INDEX(对接源_01水果!$B$4:$B$1203,$AE84)),IF(INDEX(对接源_02物料!$B$4:$B$1203,$AE84-1200)=0,"",INDEX(对接源_02物料!$B$4:$B$1203,$AE84-1200))))</f>
      </c>
      <c r="B84" s="61">
        <f>IF($AE84="","",IF($AE84&lt;=1200,IF(INDEX(对接源_01水果!$E$4:$E$1203,$AE84)=0,"",INDEX(对接源_01水果!$E$4:$E$1203,$AE84)),IF(INDEX(对接源_02物料!$E$4:$E$1203,$AE84-1200)=0,"",INDEX(对接源_02物料!$E$4:$E$1203,$AE84-1200))))</f>
      </c>
      <c r="C84" s="61">
        <f>IF($AE84="","",IF($AE84&lt;=1200,IF(INDEX(对接源_01水果!$F$4:$F$1203,$AE84)=0,"",INDEX(对接源_01水果!$F$4:$F$1203,$AE84)),IF(INDEX(对接源_02物料!$F$4:$F$1203,$AE84-1200)=0,"",INDEX(对接源_02物料!$F$4:$F$1203,$AE84-1200))))</f>
      </c>
      <c r="D84" s="61">
        <f>IF($AE84="","",IF($AE84&lt;=1200,IF(INDEX(对接源_01水果!$G$4:$G$1203,$AE84)=0,"",INDEX(对接源_01水果!$G$4:$G$1203,$AE84)),IF(INDEX(对接源_02物料!$G$4:$G$1203,$AE84-1200)=0,"",INDEX(对接源_02物料!$G$4:$G$1203,$AE84-1200))))</f>
      </c>
      <c r="E84" s="164">
        <f>IF($AE84="","",IF($AE84&lt;=1200,IF(INDEX(对接源_01水果!$H$4:$H$1203,$AE84)=0,"",INDEX(对接源_01水果!$H$4:$H$1203,$AE84)),IF(INDEX(对接源_02物料!$H$4:$H$1203,$AE84-1200)=0,"",INDEX(对接源_02物料!$H$4:$H$1203,$AE84-1200))))</f>
      </c>
      <c r="F84" s="61">
        <f>IF($AE84="","",IF($AE84&lt;=1200,IF(INDEX(对接源_01水果!$I$4:$I$1203,$AE84)=0,"",INDEX(对接源_01水果!$I$4:$I$1203,$AE84)),IF(INDEX(对接源_02物料!$I$4:$I$1203,$AE84-1200)=0,"",INDEX(对接源_02物料!$I$4:$I$1203,$AE84-1200))))</f>
      </c>
      <c r="G84" s="173">
        <f>IF($AE84="","",IF($AE84&lt;=1200,IF(INDEX(对接源_01水果!$J$4:$J$1203,$AE84)=0,"",INDEX(对接源_01水果!$J$4:$J$1203,$AE84)),IF(INDEX(对接源_02物料!$J$4:$J$1203,$AE84-1200)=0,"",INDEX(对接源_02物料!$J$4:$J$1203,$AE84-1200))))</f>
      </c>
      <c r="H84" s="61">
        <f>IF($AE84="","",IF($AE84&lt;=1200,IF(INDEX(对接源_01水果!$W$4:$W$1203,$AE84)=0,"",INDEX(对接源_01水果!$W$4:$W$1203,$AE84)),IF(INDEX(对接源_02物料!$W$4:$W$1203,$AE84-1200)=0,"",INDEX(对接源_02物料!$W$4:$W$1203,$AE84-1200))))</f>
      </c>
      <c r="I84" s="61">
        <f>IF($AE84="","",IF($AE84&lt;=1200,IF(INDEX(对接源_01水果!$C$4:$C$1203,$AE84)=0,"",INDEX(对接源_01水果!$C$4:$C$1203,$AE84)),IF(INDEX(对接源_02物料!$C$4:$C$1203,$AE84-1200)=0,"",INDEX(对接源_02物料!$C$4:$C$1203,$AE84-1200))))</f>
      </c>
      <c r="J84" s="64">
        <f>IF($AE84="","",IF($AE84&lt;=1200,IF(INDEX(对接源_01水果!$M$4:$M$1203,$AE84)=0,"",INDEX(对接源_01水果!$M$4:$M$1203,$AE84)),IF(INDEX(对接源_02物料!$M$4:$M$1203,$AE84-1200)=0,"",INDEX(对接源_02物料!$M$4:$M$1203,$AE84-1200))))</f>
      </c>
      <c r="AE84" s="2">
        <f>IFERROR(MATCH(79,_自动清单!$AA$4:$AA$2403,0),"")</f>
      </c>
      <c r="AI84" s="2">
        <f>IF($D84="","",$D84)</f>
      </c>
      <c r="AJ84" s="2">
        <f>IF(AI84="",0,IF(MATCH(AI84,AI$6:AI$125,0)=79,1,0))</f>
        <v>0</v>
      </c>
      <c r="AK84" s="2">
        <f>N(AK83)+AJ84</f>
        <v>3</v>
      </c>
    </row>
    <row r="85" ht="18" customHeight="1" s="127">
      <c r="A85" s="165">
        <f>IF($AE85="","",IF($AE85&lt;=1200,IF(INDEX(对接源_01水果!$B$4:$B$1203,$AE85)=0,"",INDEX(对接源_01水果!$B$4:$B$1203,$AE85)),IF(INDEX(对接源_02物料!$B$4:$B$1203,$AE85-1200)=0,"",INDEX(对接源_02物料!$B$4:$B$1203,$AE85-1200))))</f>
      </c>
      <c r="B85" s="104">
        <f>IF($AE85="","",IF($AE85&lt;=1200,IF(INDEX(对接源_01水果!$E$4:$E$1203,$AE85)=0,"",INDEX(对接源_01水果!$E$4:$E$1203,$AE85)),IF(INDEX(对接源_02物料!$E$4:$E$1203,$AE85-1200)=0,"",INDEX(对接源_02物料!$E$4:$E$1203,$AE85-1200))))</f>
      </c>
      <c r="C85" s="104">
        <f>IF($AE85="","",IF($AE85&lt;=1200,IF(INDEX(对接源_01水果!$F$4:$F$1203,$AE85)=0,"",INDEX(对接源_01水果!$F$4:$F$1203,$AE85)),IF(INDEX(对接源_02物料!$F$4:$F$1203,$AE85-1200)=0,"",INDEX(对接源_02物料!$F$4:$F$1203,$AE85-1200))))</f>
      </c>
      <c r="D85" s="104">
        <f>IF($AE85="","",IF($AE85&lt;=1200,IF(INDEX(对接源_01水果!$G$4:$G$1203,$AE85)=0,"",INDEX(对接源_01水果!$G$4:$G$1203,$AE85)),IF(INDEX(对接源_02物料!$G$4:$G$1203,$AE85-1200)=0,"",INDEX(对接源_02物料!$G$4:$G$1203,$AE85-1200))))</f>
      </c>
      <c r="E85" s="166">
        <f>IF($AE85="","",IF($AE85&lt;=1200,IF(INDEX(对接源_01水果!$H$4:$H$1203,$AE85)=0,"",INDEX(对接源_01水果!$H$4:$H$1203,$AE85)),IF(INDEX(对接源_02物料!$H$4:$H$1203,$AE85-1200)=0,"",INDEX(对接源_02物料!$H$4:$H$1203,$AE85-1200))))</f>
      </c>
      <c r="F85" s="104">
        <f>IF($AE85="","",IF($AE85&lt;=1200,IF(INDEX(对接源_01水果!$I$4:$I$1203,$AE85)=0,"",INDEX(对接源_01水果!$I$4:$I$1203,$AE85)),IF(INDEX(对接源_02物料!$I$4:$I$1203,$AE85-1200)=0,"",INDEX(对接源_02物料!$I$4:$I$1203,$AE85-1200))))</f>
      </c>
      <c r="G85" s="175">
        <f>IF($AE85="","",IF($AE85&lt;=1200,IF(INDEX(对接源_01水果!$J$4:$J$1203,$AE85)=0,"",INDEX(对接源_01水果!$J$4:$J$1203,$AE85)),IF(INDEX(对接源_02物料!$J$4:$J$1203,$AE85-1200)=0,"",INDEX(对接源_02物料!$J$4:$J$1203,$AE85-1200))))</f>
      </c>
      <c r="H85" s="104">
        <f>IF($AE85="","",IF($AE85&lt;=1200,IF(INDEX(对接源_01水果!$W$4:$W$1203,$AE85)=0,"",INDEX(对接源_01水果!$W$4:$W$1203,$AE85)),IF(INDEX(对接源_02物料!$W$4:$W$1203,$AE85-1200)=0,"",INDEX(对接源_02物料!$W$4:$W$1203,$AE85-1200))))</f>
      </c>
      <c r="I85" s="104">
        <f>IF($AE85="","",IF($AE85&lt;=1200,IF(INDEX(对接源_01水果!$C$4:$C$1203,$AE85)=0,"",INDEX(对接源_01水果!$C$4:$C$1203,$AE85)),IF(INDEX(对接源_02物料!$C$4:$C$1203,$AE85-1200)=0,"",INDEX(对接源_02物料!$C$4:$C$1203,$AE85-1200))))</f>
      </c>
      <c r="J85" s="107">
        <f>IF($AE85="","",IF($AE85&lt;=1200,IF(INDEX(对接源_01水果!$M$4:$M$1203,$AE85)=0,"",INDEX(对接源_01水果!$M$4:$M$1203,$AE85)),IF(INDEX(对接源_02物料!$M$4:$M$1203,$AE85-1200)=0,"",INDEX(对接源_02物料!$M$4:$M$1203,$AE85-1200))))</f>
      </c>
      <c r="AE85" s="2">
        <f>IFERROR(MATCH(80,_自动清单!$AA$4:$AA$2403,0),"")</f>
      </c>
      <c r="AI85" s="2">
        <f>IF($D85="","",$D85)</f>
      </c>
      <c r="AJ85" s="2">
        <f>IF(AI85="",0,IF(MATCH(AI85,AI$6:AI$125,0)=80,1,0))</f>
        <v>0</v>
      </c>
      <c r="AK85" s="2">
        <f>N(AK84)+AJ85</f>
        <v>3</v>
      </c>
    </row>
    <row r="86" ht="18" customHeight="1" s="127">
      <c r="A86" s="163">
        <f>IF($AE86="","",IF($AE86&lt;=1200,IF(INDEX(对接源_01水果!$B$4:$B$1203,$AE86)=0,"",INDEX(对接源_01水果!$B$4:$B$1203,$AE86)),IF(INDEX(对接源_02物料!$B$4:$B$1203,$AE86-1200)=0,"",INDEX(对接源_02物料!$B$4:$B$1203,$AE86-1200))))</f>
      </c>
      <c r="B86" s="61">
        <f>IF($AE86="","",IF($AE86&lt;=1200,IF(INDEX(对接源_01水果!$E$4:$E$1203,$AE86)=0,"",INDEX(对接源_01水果!$E$4:$E$1203,$AE86)),IF(INDEX(对接源_02物料!$E$4:$E$1203,$AE86-1200)=0,"",INDEX(对接源_02物料!$E$4:$E$1203,$AE86-1200))))</f>
      </c>
      <c r="C86" s="61">
        <f>IF($AE86="","",IF($AE86&lt;=1200,IF(INDEX(对接源_01水果!$F$4:$F$1203,$AE86)=0,"",INDEX(对接源_01水果!$F$4:$F$1203,$AE86)),IF(INDEX(对接源_02物料!$F$4:$F$1203,$AE86-1200)=0,"",INDEX(对接源_02物料!$F$4:$F$1203,$AE86-1200))))</f>
      </c>
      <c r="D86" s="61">
        <f>IF($AE86="","",IF($AE86&lt;=1200,IF(INDEX(对接源_01水果!$G$4:$G$1203,$AE86)=0,"",INDEX(对接源_01水果!$G$4:$G$1203,$AE86)),IF(INDEX(对接源_02物料!$G$4:$G$1203,$AE86-1200)=0,"",INDEX(对接源_02物料!$G$4:$G$1203,$AE86-1200))))</f>
      </c>
      <c r="E86" s="164">
        <f>IF($AE86="","",IF($AE86&lt;=1200,IF(INDEX(对接源_01水果!$H$4:$H$1203,$AE86)=0,"",INDEX(对接源_01水果!$H$4:$H$1203,$AE86)),IF(INDEX(对接源_02物料!$H$4:$H$1203,$AE86-1200)=0,"",INDEX(对接源_02物料!$H$4:$H$1203,$AE86-1200))))</f>
      </c>
      <c r="F86" s="61">
        <f>IF($AE86="","",IF($AE86&lt;=1200,IF(INDEX(对接源_01水果!$I$4:$I$1203,$AE86)=0,"",INDEX(对接源_01水果!$I$4:$I$1203,$AE86)),IF(INDEX(对接源_02物料!$I$4:$I$1203,$AE86-1200)=0,"",INDEX(对接源_02物料!$I$4:$I$1203,$AE86-1200))))</f>
      </c>
      <c r="G86" s="173">
        <f>IF($AE86="","",IF($AE86&lt;=1200,IF(INDEX(对接源_01水果!$J$4:$J$1203,$AE86)=0,"",INDEX(对接源_01水果!$J$4:$J$1203,$AE86)),IF(INDEX(对接源_02物料!$J$4:$J$1203,$AE86-1200)=0,"",INDEX(对接源_02物料!$J$4:$J$1203,$AE86-1200))))</f>
      </c>
      <c r="H86" s="61">
        <f>IF($AE86="","",IF($AE86&lt;=1200,IF(INDEX(对接源_01水果!$W$4:$W$1203,$AE86)=0,"",INDEX(对接源_01水果!$W$4:$W$1203,$AE86)),IF(INDEX(对接源_02物料!$W$4:$W$1203,$AE86-1200)=0,"",INDEX(对接源_02物料!$W$4:$W$1203,$AE86-1200))))</f>
      </c>
      <c r="I86" s="61">
        <f>IF($AE86="","",IF($AE86&lt;=1200,IF(INDEX(对接源_01水果!$C$4:$C$1203,$AE86)=0,"",INDEX(对接源_01水果!$C$4:$C$1203,$AE86)),IF(INDEX(对接源_02物料!$C$4:$C$1203,$AE86-1200)=0,"",INDEX(对接源_02物料!$C$4:$C$1203,$AE86-1200))))</f>
      </c>
      <c r="J86" s="64">
        <f>IF($AE86="","",IF($AE86&lt;=1200,IF(INDEX(对接源_01水果!$M$4:$M$1203,$AE86)=0,"",INDEX(对接源_01水果!$M$4:$M$1203,$AE86)),IF(INDEX(对接源_02物料!$M$4:$M$1203,$AE86-1200)=0,"",INDEX(对接源_02物料!$M$4:$M$1203,$AE86-1200))))</f>
      </c>
      <c r="AE86" s="2">
        <f>IFERROR(MATCH(81,_自动清单!$AA$4:$AA$2403,0),"")</f>
      </c>
      <c r="AI86" s="2">
        <f>IF($D86="","",$D86)</f>
      </c>
      <c r="AJ86" s="2">
        <f>IF(AI86="",0,IF(MATCH(AI86,AI$6:AI$125,0)=81,1,0))</f>
        <v>0</v>
      </c>
      <c r="AK86" s="2">
        <f>N(AK85)+AJ86</f>
        <v>3</v>
      </c>
    </row>
    <row r="87" ht="18" customHeight="1" s="127">
      <c r="A87" s="165">
        <f>IF($AE87="","",IF($AE87&lt;=1200,IF(INDEX(对接源_01水果!$B$4:$B$1203,$AE87)=0,"",INDEX(对接源_01水果!$B$4:$B$1203,$AE87)),IF(INDEX(对接源_02物料!$B$4:$B$1203,$AE87-1200)=0,"",INDEX(对接源_02物料!$B$4:$B$1203,$AE87-1200))))</f>
      </c>
      <c r="B87" s="104">
        <f>IF($AE87="","",IF($AE87&lt;=1200,IF(INDEX(对接源_01水果!$E$4:$E$1203,$AE87)=0,"",INDEX(对接源_01水果!$E$4:$E$1203,$AE87)),IF(INDEX(对接源_02物料!$E$4:$E$1203,$AE87-1200)=0,"",INDEX(对接源_02物料!$E$4:$E$1203,$AE87-1200))))</f>
      </c>
      <c r="C87" s="104">
        <f>IF($AE87="","",IF($AE87&lt;=1200,IF(INDEX(对接源_01水果!$F$4:$F$1203,$AE87)=0,"",INDEX(对接源_01水果!$F$4:$F$1203,$AE87)),IF(INDEX(对接源_02物料!$F$4:$F$1203,$AE87-1200)=0,"",INDEX(对接源_02物料!$F$4:$F$1203,$AE87-1200))))</f>
      </c>
      <c r="D87" s="104">
        <f>IF($AE87="","",IF($AE87&lt;=1200,IF(INDEX(对接源_01水果!$G$4:$G$1203,$AE87)=0,"",INDEX(对接源_01水果!$G$4:$G$1203,$AE87)),IF(INDEX(对接源_02物料!$G$4:$G$1203,$AE87-1200)=0,"",INDEX(对接源_02物料!$G$4:$G$1203,$AE87-1200))))</f>
      </c>
      <c r="E87" s="166">
        <f>IF($AE87="","",IF($AE87&lt;=1200,IF(INDEX(对接源_01水果!$H$4:$H$1203,$AE87)=0,"",INDEX(对接源_01水果!$H$4:$H$1203,$AE87)),IF(INDEX(对接源_02物料!$H$4:$H$1203,$AE87-1200)=0,"",INDEX(对接源_02物料!$H$4:$H$1203,$AE87-1200))))</f>
      </c>
      <c r="F87" s="104">
        <f>IF($AE87="","",IF($AE87&lt;=1200,IF(INDEX(对接源_01水果!$I$4:$I$1203,$AE87)=0,"",INDEX(对接源_01水果!$I$4:$I$1203,$AE87)),IF(INDEX(对接源_02物料!$I$4:$I$1203,$AE87-1200)=0,"",INDEX(对接源_02物料!$I$4:$I$1203,$AE87-1200))))</f>
      </c>
      <c r="G87" s="175">
        <f>IF($AE87="","",IF($AE87&lt;=1200,IF(INDEX(对接源_01水果!$J$4:$J$1203,$AE87)=0,"",INDEX(对接源_01水果!$J$4:$J$1203,$AE87)),IF(INDEX(对接源_02物料!$J$4:$J$1203,$AE87-1200)=0,"",INDEX(对接源_02物料!$J$4:$J$1203,$AE87-1200))))</f>
      </c>
      <c r="H87" s="104">
        <f>IF($AE87="","",IF($AE87&lt;=1200,IF(INDEX(对接源_01水果!$W$4:$W$1203,$AE87)=0,"",INDEX(对接源_01水果!$W$4:$W$1203,$AE87)),IF(INDEX(对接源_02物料!$W$4:$W$1203,$AE87-1200)=0,"",INDEX(对接源_02物料!$W$4:$W$1203,$AE87-1200))))</f>
      </c>
      <c r="I87" s="104">
        <f>IF($AE87="","",IF($AE87&lt;=1200,IF(INDEX(对接源_01水果!$C$4:$C$1203,$AE87)=0,"",INDEX(对接源_01水果!$C$4:$C$1203,$AE87)),IF(INDEX(对接源_02物料!$C$4:$C$1203,$AE87-1200)=0,"",INDEX(对接源_02物料!$C$4:$C$1203,$AE87-1200))))</f>
      </c>
      <c r="J87" s="107">
        <f>IF($AE87="","",IF($AE87&lt;=1200,IF(INDEX(对接源_01水果!$M$4:$M$1203,$AE87)=0,"",INDEX(对接源_01水果!$M$4:$M$1203,$AE87)),IF(INDEX(对接源_02物料!$M$4:$M$1203,$AE87-1200)=0,"",INDEX(对接源_02物料!$M$4:$M$1203,$AE87-1200))))</f>
      </c>
      <c r="AE87" s="2">
        <f>IFERROR(MATCH(82,_自动清单!$AA$4:$AA$2403,0),"")</f>
      </c>
      <c r="AI87" s="2">
        <f>IF($D87="","",$D87)</f>
      </c>
      <c r="AJ87" s="2">
        <f>IF(AI87="",0,IF(MATCH(AI87,AI$6:AI$125,0)=82,1,0))</f>
        <v>0</v>
      </c>
      <c r="AK87" s="2">
        <f>N(AK86)+AJ87</f>
        <v>3</v>
      </c>
    </row>
    <row r="88" ht="18" customHeight="1" s="127">
      <c r="A88" s="163">
        <f>IF($AE88="","",IF($AE88&lt;=1200,IF(INDEX(对接源_01水果!$B$4:$B$1203,$AE88)=0,"",INDEX(对接源_01水果!$B$4:$B$1203,$AE88)),IF(INDEX(对接源_02物料!$B$4:$B$1203,$AE88-1200)=0,"",INDEX(对接源_02物料!$B$4:$B$1203,$AE88-1200))))</f>
      </c>
      <c r="B88" s="61">
        <f>IF($AE88="","",IF($AE88&lt;=1200,IF(INDEX(对接源_01水果!$E$4:$E$1203,$AE88)=0,"",INDEX(对接源_01水果!$E$4:$E$1203,$AE88)),IF(INDEX(对接源_02物料!$E$4:$E$1203,$AE88-1200)=0,"",INDEX(对接源_02物料!$E$4:$E$1203,$AE88-1200))))</f>
      </c>
      <c r="C88" s="61">
        <f>IF($AE88="","",IF($AE88&lt;=1200,IF(INDEX(对接源_01水果!$F$4:$F$1203,$AE88)=0,"",INDEX(对接源_01水果!$F$4:$F$1203,$AE88)),IF(INDEX(对接源_02物料!$F$4:$F$1203,$AE88-1200)=0,"",INDEX(对接源_02物料!$F$4:$F$1203,$AE88-1200))))</f>
      </c>
      <c r="D88" s="61">
        <f>IF($AE88="","",IF($AE88&lt;=1200,IF(INDEX(对接源_01水果!$G$4:$G$1203,$AE88)=0,"",INDEX(对接源_01水果!$G$4:$G$1203,$AE88)),IF(INDEX(对接源_02物料!$G$4:$G$1203,$AE88-1200)=0,"",INDEX(对接源_02物料!$G$4:$G$1203,$AE88-1200))))</f>
      </c>
      <c r="E88" s="164">
        <f>IF($AE88="","",IF($AE88&lt;=1200,IF(INDEX(对接源_01水果!$H$4:$H$1203,$AE88)=0,"",INDEX(对接源_01水果!$H$4:$H$1203,$AE88)),IF(INDEX(对接源_02物料!$H$4:$H$1203,$AE88-1200)=0,"",INDEX(对接源_02物料!$H$4:$H$1203,$AE88-1200))))</f>
      </c>
      <c r="F88" s="61">
        <f>IF($AE88="","",IF($AE88&lt;=1200,IF(INDEX(对接源_01水果!$I$4:$I$1203,$AE88)=0,"",INDEX(对接源_01水果!$I$4:$I$1203,$AE88)),IF(INDEX(对接源_02物料!$I$4:$I$1203,$AE88-1200)=0,"",INDEX(对接源_02物料!$I$4:$I$1203,$AE88-1200))))</f>
      </c>
      <c r="G88" s="173">
        <f>IF($AE88="","",IF($AE88&lt;=1200,IF(INDEX(对接源_01水果!$J$4:$J$1203,$AE88)=0,"",INDEX(对接源_01水果!$J$4:$J$1203,$AE88)),IF(INDEX(对接源_02物料!$J$4:$J$1203,$AE88-1200)=0,"",INDEX(对接源_02物料!$J$4:$J$1203,$AE88-1200))))</f>
      </c>
      <c r="H88" s="61">
        <f>IF($AE88="","",IF($AE88&lt;=1200,IF(INDEX(对接源_01水果!$W$4:$W$1203,$AE88)=0,"",INDEX(对接源_01水果!$W$4:$W$1203,$AE88)),IF(INDEX(对接源_02物料!$W$4:$W$1203,$AE88-1200)=0,"",INDEX(对接源_02物料!$W$4:$W$1203,$AE88-1200))))</f>
      </c>
      <c r="I88" s="61">
        <f>IF($AE88="","",IF($AE88&lt;=1200,IF(INDEX(对接源_01水果!$C$4:$C$1203,$AE88)=0,"",INDEX(对接源_01水果!$C$4:$C$1203,$AE88)),IF(INDEX(对接源_02物料!$C$4:$C$1203,$AE88-1200)=0,"",INDEX(对接源_02物料!$C$4:$C$1203,$AE88-1200))))</f>
      </c>
      <c r="J88" s="64">
        <f>IF($AE88="","",IF($AE88&lt;=1200,IF(INDEX(对接源_01水果!$M$4:$M$1203,$AE88)=0,"",INDEX(对接源_01水果!$M$4:$M$1203,$AE88)),IF(INDEX(对接源_02物料!$M$4:$M$1203,$AE88-1200)=0,"",INDEX(对接源_02物料!$M$4:$M$1203,$AE88-1200))))</f>
      </c>
      <c r="AE88" s="2">
        <f>IFERROR(MATCH(83,_自动清单!$AA$4:$AA$2403,0),"")</f>
      </c>
      <c r="AI88" s="2">
        <f>IF($D88="","",$D88)</f>
      </c>
      <c r="AJ88" s="2">
        <f>IF(AI88="",0,IF(MATCH(AI88,AI$6:AI$125,0)=83,1,0))</f>
        <v>0</v>
      </c>
      <c r="AK88" s="2">
        <f>N(AK87)+AJ88</f>
        <v>3</v>
      </c>
    </row>
    <row r="89" ht="18" customHeight="1" s="127">
      <c r="A89" s="165">
        <f>IF($AE89="","",IF($AE89&lt;=1200,IF(INDEX(对接源_01水果!$B$4:$B$1203,$AE89)=0,"",INDEX(对接源_01水果!$B$4:$B$1203,$AE89)),IF(INDEX(对接源_02物料!$B$4:$B$1203,$AE89-1200)=0,"",INDEX(对接源_02物料!$B$4:$B$1203,$AE89-1200))))</f>
      </c>
      <c r="B89" s="104">
        <f>IF($AE89="","",IF($AE89&lt;=1200,IF(INDEX(对接源_01水果!$E$4:$E$1203,$AE89)=0,"",INDEX(对接源_01水果!$E$4:$E$1203,$AE89)),IF(INDEX(对接源_02物料!$E$4:$E$1203,$AE89-1200)=0,"",INDEX(对接源_02物料!$E$4:$E$1203,$AE89-1200))))</f>
      </c>
      <c r="C89" s="104">
        <f>IF($AE89="","",IF($AE89&lt;=1200,IF(INDEX(对接源_01水果!$F$4:$F$1203,$AE89)=0,"",INDEX(对接源_01水果!$F$4:$F$1203,$AE89)),IF(INDEX(对接源_02物料!$F$4:$F$1203,$AE89-1200)=0,"",INDEX(对接源_02物料!$F$4:$F$1203,$AE89-1200))))</f>
      </c>
      <c r="D89" s="104">
        <f>IF($AE89="","",IF($AE89&lt;=1200,IF(INDEX(对接源_01水果!$G$4:$G$1203,$AE89)=0,"",INDEX(对接源_01水果!$G$4:$G$1203,$AE89)),IF(INDEX(对接源_02物料!$G$4:$G$1203,$AE89-1200)=0,"",INDEX(对接源_02物料!$G$4:$G$1203,$AE89-1200))))</f>
      </c>
      <c r="E89" s="166">
        <f>IF($AE89="","",IF($AE89&lt;=1200,IF(INDEX(对接源_01水果!$H$4:$H$1203,$AE89)=0,"",INDEX(对接源_01水果!$H$4:$H$1203,$AE89)),IF(INDEX(对接源_02物料!$H$4:$H$1203,$AE89-1200)=0,"",INDEX(对接源_02物料!$H$4:$H$1203,$AE89-1200))))</f>
      </c>
      <c r="F89" s="104">
        <f>IF($AE89="","",IF($AE89&lt;=1200,IF(INDEX(对接源_01水果!$I$4:$I$1203,$AE89)=0,"",INDEX(对接源_01水果!$I$4:$I$1203,$AE89)),IF(INDEX(对接源_02物料!$I$4:$I$1203,$AE89-1200)=0,"",INDEX(对接源_02物料!$I$4:$I$1203,$AE89-1200))))</f>
      </c>
      <c r="G89" s="175">
        <f>IF($AE89="","",IF($AE89&lt;=1200,IF(INDEX(对接源_01水果!$J$4:$J$1203,$AE89)=0,"",INDEX(对接源_01水果!$J$4:$J$1203,$AE89)),IF(INDEX(对接源_02物料!$J$4:$J$1203,$AE89-1200)=0,"",INDEX(对接源_02物料!$J$4:$J$1203,$AE89-1200))))</f>
      </c>
      <c r="H89" s="104">
        <f>IF($AE89="","",IF($AE89&lt;=1200,IF(INDEX(对接源_01水果!$W$4:$W$1203,$AE89)=0,"",INDEX(对接源_01水果!$W$4:$W$1203,$AE89)),IF(INDEX(对接源_02物料!$W$4:$W$1203,$AE89-1200)=0,"",INDEX(对接源_02物料!$W$4:$W$1203,$AE89-1200))))</f>
      </c>
      <c r="I89" s="104">
        <f>IF($AE89="","",IF($AE89&lt;=1200,IF(INDEX(对接源_01水果!$C$4:$C$1203,$AE89)=0,"",INDEX(对接源_01水果!$C$4:$C$1203,$AE89)),IF(INDEX(对接源_02物料!$C$4:$C$1203,$AE89-1200)=0,"",INDEX(对接源_02物料!$C$4:$C$1203,$AE89-1200))))</f>
      </c>
      <c r="J89" s="107">
        <f>IF($AE89="","",IF($AE89&lt;=1200,IF(INDEX(对接源_01水果!$M$4:$M$1203,$AE89)=0,"",INDEX(对接源_01水果!$M$4:$M$1203,$AE89)),IF(INDEX(对接源_02物料!$M$4:$M$1203,$AE89-1200)=0,"",INDEX(对接源_02物料!$M$4:$M$1203,$AE89-1200))))</f>
      </c>
      <c r="AE89" s="2">
        <f>IFERROR(MATCH(84,_自动清单!$AA$4:$AA$2403,0),"")</f>
      </c>
      <c r="AI89" s="2">
        <f>IF($D89="","",$D89)</f>
      </c>
      <c r="AJ89" s="2">
        <f>IF(AI89="",0,IF(MATCH(AI89,AI$6:AI$125,0)=84,1,0))</f>
        <v>0</v>
      </c>
      <c r="AK89" s="2">
        <f>N(AK88)+AJ89</f>
        <v>3</v>
      </c>
    </row>
    <row r="90" ht="18" customHeight="1" s="127">
      <c r="A90" s="163">
        <f>IF($AE90="","",IF($AE90&lt;=1200,IF(INDEX(对接源_01水果!$B$4:$B$1203,$AE90)=0,"",INDEX(对接源_01水果!$B$4:$B$1203,$AE90)),IF(INDEX(对接源_02物料!$B$4:$B$1203,$AE90-1200)=0,"",INDEX(对接源_02物料!$B$4:$B$1203,$AE90-1200))))</f>
      </c>
      <c r="B90" s="61">
        <f>IF($AE90="","",IF($AE90&lt;=1200,IF(INDEX(对接源_01水果!$E$4:$E$1203,$AE90)=0,"",INDEX(对接源_01水果!$E$4:$E$1203,$AE90)),IF(INDEX(对接源_02物料!$E$4:$E$1203,$AE90-1200)=0,"",INDEX(对接源_02物料!$E$4:$E$1203,$AE90-1200))))</f>
      </c>
      <c r="C90" s="61">
        <f>IF($AE90="","",IF($AE90&lt;=1200,IF(INDEX(对接源_01水果!$F$4:$F$1203,$AE90)=0,"",INDEX(对接源_01水果!$F$4:$F$1203,$AE90)),IF(INDEX(对接源_02物料!$F$4:$F$1203,$AE90-1200)=0,"",INDEX(对接源_02物料!$F$4:$F$1203,$AE90-1200))))</f>
      </c>
      <c r="D90" s="61">
        <f>IF($AE90="","",IF($AE90&lt;=1200,IF(INDEX(对接源_01水果!$G$4:$G$1203,$AE90)=0,"",INDEX(对接源_01水果!$G$4:$G$1203,$AE90)),IF(INDEX(对接源_02物料!$G$4:$G$1203,$AE90-1200)=0,"",INDEX(对接源_02物料!$G$4:$G$1203,$AE90-1200))))</f>
      </c>
      <c r="E90" s="164">
        <f>IF($AE90="","",IF($AE90&lt;=1200,IF(INDEX(对接源_01水果!$H$4:$H$1203,$AE90)=0,"",INDEX(对接源_01水果!$H$4:$H$1203,$AE90)),IF(INDEX(对接源_02物料!$H$4:$H$1203,$AE90-1200)=0,"",INDEX(对接源_02物料!$H$4:$H$1203,$AE90-1200))))</f>
      </c>
      <c r="F90" s="61">
        <f>IF($AE90="","",IF($AE90&lt;=1200,IF(INDEX(对接源_01水果!$I$4:$I$1203,$AE90)=0,"",INDEX(对接源_01水果!$I$4:$I$1203,$AE90)),IF(INDEX(对接源_02物料!$I$4:$I$1203,$AE90-1200)=0,"",INDEX(对接源_02物料!$I$4:$I$1203,$AE90-1200))))</f>
      </c>
      <c r="G90" s="173">
        <f>IF($AE90="","",IF($AE90&lt;=1200,IF(INDEX(对接源_01水果!$J$4:$J$1203,$AE90)=0,"",INDEX(对接源_01水果!$J$4:$J$1203,$AE90)),IF(INDEX(对接源_02物料!$J$4:$J$1203,$AE90-1200)=0,"",INDEX(对接源_02物料!$J$4:$J$1203,$AE90-1200))))</f>
      </c>
      <c r="H90" s="61">
        <f>IF($AE90="","",IF($AE90&lt;=1200,IF(INDEX(对接源_01水果!$W$4:$W$1203,$AE90)=0,"",INDEX(对接源_01水果!$W$4:$W$1203,$AE90)),IF(INDEX(对接源_02物料!$W$4:$W$1203,$AE90-1200)=0,"",INDEX(对接源_02物料!$W$4:$W$1203,$AE90-1200))))</f>
      </c>
      <c r="I90" s="61">
        <f>IF($AE90="","",IF($AE90&lt;=1200,IF(INDEX(对接源_01水果!$C$4:$C$1203,$AE90)=0,"",INDEX(对接源_01水果!$C$4:$C$1203,$AE90)),IF(INDEX(对接源_02物料!$C$4:$C$1203,$AE90-1200)=0,"",INDEX(对接源_02物料!$C$4:$C$1203,$AE90-1200))))</f>
      </c>
      <c r="J90" s="64">
        <f>IF($AE90="","",IF($AE90&lt;=1200,IF(INDEX(对接源_01水果!$M$4:$M$1203,$AE90)=0,"",INDEX(对接源_01水果!$M$4:$M$1203,$AE90)),IF(INDEX(对接源_02物料!$M$4:$M$1203,$AE90-1200)=0,"",INDEX(对接源_02物料!$M$4:$M$1203,$AE90-1200))))</f>
      </c>
      <c r="AE90" s="2">
        <f>IFERROR(MATCH(85,_自动清单!$AA$4:$AA$2403,0),"")</f>
      </c>
      <c r="AI90" s="2">
        <f>IF($D90="","",$D90)</f>
      </c>
      <c r="AJ90" s="2">
        <f>IF(AI90="",0,IF(MATCH(AI90,AI$6:AI$125,0)=85,1,0))</f>
        <v>0</v>
      </c>
      <c r="AK90" s="2">
        <f>N(AK89)+AJ90</f>
        <v>3</v>
      </c>
    </row>
    <row r="91" ht="18" customHeight="1" s="127">
      <c r="A91" s="165">
        <f>IF($AE91="","",IF($AE91&lt;=1200,IF(INDEX(对接源_01水果!$B$4:$B$1203,$AE91)=0,"",INDEX(对接源_01水果!$B$4:$B$1203,$AE91)),IF(INDEX(对接源_02物料!$B$4:$B$1203,$AE91-1200)=0,"",INDEX(对接源_02物料!$B$4:$B$1203,$AE91-1200))))</f>
      </c>
      <c r="B91" s="104">
        <f>IF($AE91="","",IF($AE91&lt;=1200,IF(INDEX(对接源_01水果!$E$4:$E$1203,$AE91)=0,"",INDEX(对接源_01水果!$E$4:$E$1203,$AE91)),IF(INDEX(对接源_02物料!$E$4:$E$1203,$AE91-1200)=0,"",INDEX(对接源_02物料!$E$4:$E$1203,$AE91-1200))))</f>
      </c>
      <c r="C91" s="104">
        <f>IF($AE91="","",IF($AE91&lt;=1200,IF(INDEX(对接源_01水果!$F$4:$F$1203,$AE91)=0,"",INDEX(对接源_01水果!$F$4:$F$1203,$AE91)),IF(INDEX(对接源_02物料!$F$4:$F$1203,$AE91-1200)=0,"",INDEX(对接源_02物料!$F$4:$F$1203,$AE91-1200))))</f>
      </c>
      <c r="D91" s="104">
        <f>IF($AE91="","",IF($AE91&lt;=1200,IF(INDEX(对接源_01水果!$G$4:$G$1203,$AE91)=0,"",INDEX(对接源_01水果!$G$4:$G$1203,$AE91)),IF(INDEX(对接源_02物料!$G$4:$G$1203,$AE91-1200)=0,"",INDEX(对接源_02物料!$G$4:$G$1203,$AE91-1200))))</f>
      </c>
      <c r="E91" s="166">
        <f>IF($AE91="","",IF($AE91&lt;=1200,IF(INDEX(对接源_01水果!$H$4:$H$1203,$AE91)=0,"",INDEX(对接源_01水果!$H$4:$H$1203,$AE91)),IF(INDEX(对接源_02物料!$H$4:$H$1203,$AE91-1200)=0,"",INDEX(对接源_02物料!$H$4:$H$1203,$AE91-1200))))</f>
      </c>
      <c r="F91" s="104">
        <f>IF($AE91="","",IF($AE91&lt;=1200,IF(INDEX(对接源_01水果!$I$4:$I$1203,$AE91)=0,"",INDEX(对接源_01水果!$I$4:$I$1203,$AE91)),IF(INDEX(对接源_02物料!$I$4:$I$1203,$AE91-1200)=0,"",INDEX(对接源_02物料!$I$4:$I$1203,$AE91-1200))))</f>
      </c>
      <c r="G91" s="175">
        <f>IF($AE91="","",IF($AE91&lt;=1200,IF(INDEX(对接源_01水果!$J$4:$J$1203,$AE91)=0,"",INDEX(对接源_01水果!$J$4:$J$1203,$AE91)),IF(INDEX(对接源_02物料!$J$4:$J$1203,$AE91-1200)=0,"",INDEX(对接源_02物料!$J$4:$J$1203,$AE91-1200))))</f>
      </c>
      <c r="H91" s="104">
        <f>IF($AE91="","",IF($AE91&lt;=1200,IF(INDEX(对接源_01水果!$W$4:$W$1203,$AE91)=0,"",INDEX(对接源_01水果!$W$4:$W$1203,$AE91)),IF(INDEX(对接源_02物料!$W$4:$W$1203,$AE91-1200)=0,"",INDEX(对接源_02物料!$W$4:$W$1203,$AE91-1200))))</f>
      </c>
      <c r="I91" s="104">
        <f>IF($AE91="","",IF($AE91&lt;=1200,IF(INDEX(对接源_01水果!$C$4:$C$1203,$AE91)=0,"",INDEX(对接源_01水果!$C$4:$C$1203,$AE91)),IF(INDEX(对接源_02物料!$C$4:$C$1203,$AE91-1200)=0,"",INDEX(对接源_02物料!$C$4:$C$1203,$AE91-1200))))</f>
      </c>
      <c r="J91" s="107">
        <f>IF($AE91="","",IF($AE91&lt;=1200,IF(INDEX(对接源_01水果!$M$4:$M$1203,$AE91)=0,"",INDEX(对接源_01水果!$M$4:$M$1203,$AE91)),IF(INDEX(对接源_02物料!$M$4:$M$1203,$AE91-1200)=0,"",INDEX(对接源_02物料!$M$4:$M$1203,$AE91-1200))))</f>
      </c>
      <c r="AE91" s="2">
        <f>IFERROR(MATCH(86,_自动清单!$AA$4:$AA$2403,0),"")</f>
      </c>
      <c r="AI91" s="2">
        <f>IF($D91="","",$D91)</f>
      </c>
      <c r="AJ91" s="2">
        <f>IF(AI91="",0,IF(MATCH(AI91,AI$6:AI$125,0)=86,1,0))</f>
        <v>0</v>
      </c>
      <c r="AK91" s="2">
        <f>N(AK90)+AJ91</f>
        <v>3</v>
      </c>
    </row>
    <row r="92" ht="18" customHeight="1" s="127">
      <c r="A92" s="163">
        <f>IF($AE92="","",IF($AE92&lt;=1200,IF(INDEX(对接源_01水果!$B$4:$B$1203,$AE92)=0,"",INDEX(对接源_01水果!$B$4:$B$1203,$AE92)),IF(INDEX(对接源_02物料!$B$4:$B$1203,$AE92-1200)=0,"",INDEX(对接源_02物料!$B$4:$B$1203,$AE92-1200))))</f>
      </c>
      <c r="B92" s="61">
        <f>IF($AE92="","",IF($AE92&lt;=1200,IF(INDEX(对接源_01水果!$E$4:$E$1203,$AE92)=0,"",INDEX(对接源_01水果!$E$4:$E$1203,$AE92)),IF(INDEX(对接源_02物料!$E$4:$E$1203,$AE92-1200)=0,"",INDEX(对接源_02物料!$E$4:$E$1203,$AE92-1200))))</f>
      </c>
      <c r="C92" s="61">
        <f>IF($AE92="","",IF($AE92&lt;=1200,IF(INDEX(对接源_01水果!$F$4:$F$1203,$AE92)=0,"",INDEX(对接源_01水果!$F$4:$F$1203,$AE92)),IF(INDEX(对接源_02物料!$F$4:$F$1203,$AE92-1200)=0,"",INDEX(对接源_02物料!$F$4:$F$1203,$AE92-1200))))</f>
      </c>
      <c r="D92" s="61">
        <f>IF($AE92="","",IF($AE92&lt;=1200,IF(INDEX(对接源_01水果!$G$4:$G$1203,$AE92)=0,"",INDEX(对接源_01水果!$G$4:$G$1203,$AE92)),IF(INDEX(对接源_02物料!$G$4:$G$1203,$AE92-1200)=0,"",INDEX(对接源_02物料!$G$4:$G$1203,$AE92-1200))))</f>
      </c>
      <c r="E92" s="164">
        <f>IF($AE92="","",IF($AE92&lt;=1200,IF(INDEX(对接源_01水果!$H$4:$H$1203,$AE92)=0,"",INDEX(对接源_01水果!$H$4:$H$1203,$AE92)),IF(INDEX(对接源_02物料!$H$4:$H$1203,$AE92-1200)=0,"",INDEX(对接源_02物料!$H$4:$H$1203,$AE92-1200))))</f>
      </c>
      <c r="F92" s="61">
        <f>IF($AE92="","",IF($AE92&lt;=1200,IF(INDEX(对接源_01水果!$I$4:$I$1203,$AE92)=0,"",INDEX(对接源_01水果!$I$4:$I$1203,$AE92)),IF(INDEX(对接源_02物料!$I$4:$I$1203,$AE92-1200)=0,"",INDEX(对接源_02物料!$I$4:$I$1203,$AE92-1200))))</f>
      </c>
      <c r="G92" s="173">
        <f>IF($AE92="","",IF($AE92&lt;=1200,IF(INDEX(对接源_01水果!$J$4:$J$1203,$AE92)=0,"",INDEX(对接源_01水果!$J$4:$J$1203,$AE92)),IF(INDEX(对接源_02物料!$J$4:$J$1203,$AE92-1200)=0,"",INDEX(对接源_02物料!$J$4:$J$1203,$AE92-1200))))</f>
      </c>
      <c r="H92" s="61">
        <f>IF($AE92="","",IF($AE92&lt;=1200,IF(INDEX(对接源_01水果!$W$4:$W$1203,$AE92)=0,"",INDEX(对接源_01水果!$W$4:$W$1203,$AE92)),IF(INDEX(对接源_02物料!$W$4:$W$1203,$AE92-1200)=0,"",INDEX(对接源_02物料!$W$4:$W$1203,$AE92-1200))))</f>
      </c>
      <c r="I92" s="61">
        <f>IF($AE92="","",IF($AE92&lt;=1200,IF(INDEX(对接源_01水果!$C$4:$C$1203,$AE92)=0,"",INDEX(对接源_01水果!$C$4:$C$1203,$AE92)),IF(INDEX(对接源_02物料!$C$4:$C$1203,$AE92-1200)=0,"",INDEX(对接源_02物料!$C$4:$C$1203,$AE92-1200))))</f>
      </c>
      <c r="J92" s="64">
        <f>IF($AE92="","",IF($AE92&lt;=1200,IF(INDEX(对接源_01水果!$M$4:$M$1203,$AE92)=0,"",INDEX(对接源_01水果!$M$4:$M$1203,$AE92)),IF(INDEX(对接源_02物料!$M$4:$M$1203,$AE92-1200)=0,"",INDEX(对接源_02物料!$M$4:$M$1203,$AE92-1200))))</f>
      </c>
      <c r="AE92" s="2">
        <f>IFERROR(MATCH(87,_自动清单!$AA$4:$AA$2403,0),"")</f>
      </c>
      <c r="AI92" s="2">
        <f>IF($D92="","",$D92)</f>
      </c>
      <c r="AJ92" s="2">
        <f>IF(AI92="",0,IF(MATCH(AI92,AI$6:AI$125,0)=87,1,0))</f>
        <v>0</v>
      </c>
      <c r="AK92" s="2">
        <f>N(AK91)+AJ92</f>
        <v>3</v>
      </c>
    </row>
    <row r="93" ht="18" customHeight="1" s="127">
      <c r="A93" s="165">
        <f>IF($AE93="","",IF($AE93&lt;=1200,IF(INDEX(对接源_01水果!$B$4:$B$1203,$AE93)=0,"",INDEX(对接源_01水果!$B$4:$B$1203,$AE93)),IF(INDEX(对接源_02物料!$B$4:$B$1203,$AE93-1200)=0,"",INDEX(对接源_02物料!$B$4:$B$1203,$AE93-1200))))</f>
      </c>
      <c r="B93" s="104">
        <f>IF($AE93="","",IF($AE93&lt;=1200,IF(INDEX(对接源_01水果!$E$4:$E$1203,$AE93)=0,"",INDEX(对接源_01水果!$E$4:$E$1203,$AE93)),IF(INDEX(对接源_02物料!$E$4:$E$1203,$AE93-1200)=0,"",INDEX(对接源_02物料!$E$4:$E$1203,$AE93-1200))))</f>
      </c>
      <c r="C93" s="104">
        <f>IF($AE93="","",IF($AE93&lt;=1200,IF(INDEX(对接源_01水果!$F$4:$F$1203,$AE93)=0,"",INDEX(对接源_01水果!$F$4:$F$1203,$AE93)),IF(INDEX(对接源_02物料!$F$4:$F$1203,$AE93-1200)=0,"",INDEX(对接源_02物料!$F$4:$F$1203,$AE93-1200))))</f>
      </c>
      <c r="D93" s="104">
        <f>IF($AE93="","",IF($AE93&lt;=1200,IF(INDEX(对接源_01水果!$G$4:$G$1203,$AE93)=0,"",INDEX(对接源_01水果!$G$4:$G$1203,$AE93)),IF(INDEX(对接源_02物料!$G$4:$G$1203,$AE93-1200)=0,"",INDEX(对接源_02物料!$G$4:$G$1203,$AE93-1200))))</f>
      </c>
      <c r="E93" s="166">
        <f>IF($AE93="","",IF($AE93&lt;=1200,IF(INDEX(对接源_01水果!$H$4:$H$1203,$AE93)=0,"",INDEX(对接源_01水果!$H$4:$H$1203,$AE93)),IF(INDEX(对接源_02物料!$H$4:$H$1203,$AE93-1200)=0,"",INDEX(对接源_02物料!$H$4:$H$1203,$AE93-1200))))</f>
      </c>
      <c r="F93" s="104">
        <f>IF($AE93="","",IF($AE93&lt;=1200,IF(INDEX(对接源_01水果!$I$4:$I$1203,$AE93)=0,"",INDEX(对接源_01水果!$I$4:$I$1203,$AE93)),IF(INDEX(对接源_02物料!$I$4:$I$1203,$AE93-1200)=0,"",INDEX(对接源_02物料!$I$4:$I$1203,$AE93-1200))))</f>
      </c>
      <c r="G93" s="175">
        <f>IF($AE93="","",IF($AE93&lt;=1200,IF(INDEX(对接源_01水果!$J$4:$J$1203,$AE93)=0,"",INDEX(对接源_01水果!$J$4:$J$1203,$AE93)),IF(INDEX(对接源_02物料!$J$4:$J$1203,$AE93-1200)=0,"",INDEX(对接源_02物料!$J$4:$J$1203,$AE93-1200))))</f>
      </c>
      <c r="H93" s="104">
        <f>IF($AE93="","",IF($AE93&lt;=1200,IF(INDEX(对接源_01水果!$W$4:$W$1203,$AE93)=0,"",INDEX(对接源_01水果!$W$4:$W$1203,$AE93)),IF(INDEX(对接源_02物料!$W$4:$W$1203,$AE93-1200)=0,"",INDEX(对接源_02物料!$W$4:$W$1203,$AE93-1200))))</f>
      </c>
      <c r="I93" s="104">
        <f>IF($AE93="","",IF($AE93&lt;=1200,IF(INDEX(对接源_01水果!$C$4:$C$1203,$AE93)=0,"",INDEX(对接源_01水果!$C$4:$C$1203,$AE93)),IF(INDEX(对接源_02物料!$C$4:$C$1203,$AE93-1200)=0,"",INDEX(对接源_02物料!$C$4:$C$1203,$AE93-1200))))</f>
      </c>
      <c r="J93" s="107">
        <f>IF($AE93="","",IF($AE93&lt;=1200,IF(INDEX(对接源_01水果!$M$4:$M$1203,$AE93)=0,"",INDEX(对接源_01水果!$M$4:$M$1203,$AE93)),IF(INDEX(对接源_02物料!$M$4:$M$1203,$AE93-1200)=0,"",INDEX(对接源_02物料!$M$4:$M$1203,$AE93-1200))))</f>
      </c>
      <c r="AE93" s="2">
        <f>IFERROR(MATCH(88,_自动清单!$AA$4:$AA$2403,0),"")</f>
      </c>
      <c r="AI93" s="2">
        <f>IF($D93="","",$D93)</f>
      </c>
      <c r="AJ93" s="2">
        <f>IF(AI93="",0,IF(MATCH(AI93,AI$6:AI$125,0)=88,1,0))</f>
        <v>0</v>
      </c>
      <c r="AK93" s="2">
        <f>N(AK92)+AJ93</f>
        <v>3</v>
      </c>
    </row>
    <row r="94" ht="18" customHeight="1" s="127">
      <c r="A94" s="163">
        <f>IF($AE94="","",IF($AE94&lt;=1200,IF(INDEX(对接源_01水果!$B$4:$B$1203,$AE94)=0,"",INDEX(对接源_01水果!$B$4:$B$1203,$AE94)),IF(INDEX(对接源_02物料!$B$4:$B$1203,$AE94-1200)=0,"",INDEX(对接源_02物料!$B$4:$B$1203,$AE94-1200))))</f>
      </c>
      <c r="B94" s="61">
        <f>IF($AE94="","",IF($AE94&lt;=1200,IF(INDEX(对接源_01水果!$E$4:$E$1203,$AE94)=0,"",INDEX(对接源_01水果!$E$4:$E$1203,$AE94)),IF(INDEX(对接源_02物料!$E$4:$E$1203,$AE94-1200)=0,"",INDEX(对接源_02物料!$E$4:$E$1203,$AE94-1200))))</f>
      </c>
      <c r="C94" s="61">
        <f>IF($AE94="","",IF($AE94&lt;=1200,IF(INDEX(对接源_01水果!$F$4:$F$1203,$AE94)=0,"",INDEX(对接源_01水果!$F$4:$F$1203,$AE94)),IF(INDEX(对接源_02物料!$F$4:$F$1203,$AE94-1200)=0,"",INDEX(对接源_02物料!$F$4:$F$1203,$AE94-1200))))</f>
      </c>
      <c r="D94" s="61">
        <f>IF($AE94="","",IF($AE94&lt;=1200,IF(INDEX(对接源_01水果!$G$4:$G$1203,$AE94)=0,"",INDEX(对接源_01水果!$G$4:$G$1203,$AE94)),IF(INDEX(对接源_02物料!$G$4:$G$1203,$AE94-1200)=0,"",INDEX(对接源_02物料!$G$4:$G$1203,$AE94-1200))))</f>
      </c>
      <c r="E94" s="164">
        <f>IF($AE94="","",IF($AE94&lt;=1200,IF(INDEX(对接源_01水果!$H$4:$H$1203,$AE94)=0,"",INDEX(对接源_01水果!$H$4:$H$1203,$AE94)),IF(INDEX(对接源_02物料!$H$4:$H$1203,$AE94-1200)=0,"",INDEX(对接源_02物料!$H$4:$H$1203,$AE94-1200))))</f>
      </c>
      <c r="F94" s="61">
        <f>IF($AE94="","",IF($AE94&lt;=1200,IF(INDEX(对接源_01水果!$I$4:$I$1203,$AE94)=0,"",INDEX(对接源_01水果!$I$4:$I$1203,$AE94)),IF(INDEX(对接源_02物料!$I$4:$I$1203,$AE94-1200)=0,"",INDEX(对接源_02物料!$I$4:$I$1203,$AE94-1200))))</f>
      </c>
      <c r="G94" s="173">
        <f>IF($AE94="","",IF($AE94&lt;=1200,IF(INDEX(对接源_01水果!$J$4:$J$1203,$AE94)=0,"",INDEX(对接源_01水果!$J$4:$J$1203,$AE94)),IF(INDEX(对接源_02物料!$J$4:$J$1203,$AE94-1200)=0,"",INDEX(对接源_02物料!$J$4:$J$1203,$AE94-1200))))</f>
      </c>
      <c r="H94" s="61">
        <f>IF($AE94="","",IF($AE94&lt;=1200,IF(INDEX(对接源_01水果!$W$4:$W$1203,$AE94)=0,"",INDEX(对接源_01水果!$W$4:$W$1203,$AE94)),IF(INDEX(对接源_02物料!$W$4:$W$1203,$AE94-1200)=0,"",INDEX(对接源_02物料!$W$4:$W$1203,$AE94-1200))))</f>
      </c>
      <c r="I94" s="61">
        <f>IF($AE94="","",IF($AE94&lt;=1200,IF(INDEX(对接源_01水果!$C$4:$C$1203,$AE94)=0,"",INDEX(对接源_01水果!$C$4:$C$1203,$AE94)),IF(INDEX(对接源_02物料!$C$4:$C$1203,$AE94-1200)=0,"",INDEX(对接源_02物料!$C$4:$C$1203,$AE94-1200))))</f>
      </c>
      <c r="J94" s="64">
        <f>IF($AE94="","",IF($AE94&lt;=1200,IF(INDEX(对接源_01水果!$M$4:$M$1203,$AE94)=0,"",INDEX(对接源_01水果!$M$4:$M$1203,$AE94)),IF(INDEX(对接源_02物料!$M$4:$M$1203,$AE94-1200)=0,"",INDEX(对接源_02物料!$M$4:$M$1203,$AE94-1200))))</f>
      </c>
      <c r="AE94" s="2">
        <f>IFERROR(MATCH(89,_自动清单!$AA$4:$AA$2403,0),"")</f>
      </c>
      <c r="AI94" s="2">
        <f>IF($D94="","",$D94)</f>
      </c>
      <c r="AJ94" s="2">
        <f>IF(AI94="",0,IF(MATCH(AI94,AI$6:AI$125,0)=89,1,0))</f>
        <v>0</v>
      </c>
      <c r="AK94" s="2">
        <f>N(AK93)+AJ94</f>
        <v>3</v>
      </c>
    </row>
    <row r="95" ht="18" customHeight="1" s="127">
      <c r="A95" s="165">
        <f>IF($AE95="","",IF($AE95&lt;=1200,IF(INDEX(对接源_01水果!$B$4:$B$1203,$AE95)=0,"",INDEX(对接源_01水果!$B$4:$B$1203,$AE95)),IF(INDEX(对接源_02物料!$B$4:$B$1203,$AE95-1200)=0,"",INDEX(对接源_02物料!$B$4:$B$1203,$AE95-1200))))</f>
      </c>
      <c r="B95" s="104">
        <f>IF($AE95="","",IF($AE95&lt;=1200,IF(INDEX(对接源_01水果!$E$4:$E$1203,$AE95)=0,"",INDEX(对接源_01水果!$E$4:$E$1203,$AE95)),IF(INDEX(对接源_02物料!$E$4:$E$1203,$AE95-1200)=0,"",INDEX(对接源_02物料!$E$4:$E$1203,$AE95-1200))))</f>
      </c>
      <c r="C95" s="104">
        <f>IF($AE95="","",IF($AE95&lt;=1200,IF(INDEX(对接源_01水果!$F$4:$F$1203,$AE95)=0,"",INDEX(对接源_01水果!$F$4:$F$1203,$AE95)),IF(INDEX(对接源_02物料!$F$4:$F$1203,$AE95-1200)=0,"",INDEX(对接源_02物料!$F$4:$F$1203,$AE95-1200))))</f>
      </c>
      <c r="D95" s="104">
        <f>IF($AE95="","",IF($AE95&lt;=1200,IF(INDEX(对接源_01水果!$G$4:$G$1203,$AE95)=0,"",INDEX(对接源_01水果!$G$4:$G$1203,$AE95)),IF(INDEX(对接源_02物料!$G$4:$G$1203,$AE95-1200)=0,"",INDEX(对接源_02物料!$G$4:$G$1203,$AE95-1200))))</f>
      </c>
      <c r="E95" s="166">
        <f>IF($AE95="","",IF($AE95&lt;=1200,IF(INDEX(对接源_01水果!$H$4:$H$1203,$AE95)=0,"",INDEX(对接源_01水果!$H$4:$H$1203,$AE95)),IF(INDEX(对接源_02物料!$H$4:$H$1203,$AE95-1200)=0,"",INDEX(对接源_02物料!$H$4:$H$1203,$AE95-1200))))</f>
      </c>
      <c r="F95" s="104">
        <f>IF($AE95="","",IF($AE95&lt;=1200,IF(INDEX(对接源_01水果!$I$4:$I$1203,$AE95)=0,"",INDEX(对接源_01水果!$I$4:$I$1203,$AE95)),IF(INDEX(对接源_02物料!$I$4:$I$1203,$AE95-1200)=0,"",INDEX(对接源_02物料!$I$4:$I$1203,$AE95-1200))))</f>
      </c>
      <c r="G95" s="175">
        <f>IF($AE95="","",IF($AE95&lt;=1200,IF(INDEX(对接源_01水果!$J$4:$J$1203,$AE95)=0,"",INDEX(对接源_01水果!$J$4:$J$1203,$AE95)),IF(INDEX(对接源_02物料!$J$4:$J$1203,$AE95-1200)=0,"",INDEX(对接源_02物料!$J$4:$J$1203,$AE95-1200))))</f>
      </c>
      <c r="H95" s="104">
        <f>IF($AE95="","",IF($AE95&lt;=1200,IF(INDEX(对接源_01水果!$W$4:$W$1203,$AE95)=0,"",INDEX(对接源_01水果!$W$4:$W$1203,$AE95)),IF(INDEX(对接源_02物料!$W$4:$W$1203,$AE95-1200)=0,"",INDEX(对接源_02物料!$W$4:$W$1203,$AE95-1200))))</f>
      </c>
      <c r="I95" s="104">
        <f>IF($AE95="","",IF($AE95&lt;=1200,IF(INDEX(对接源_01水果!$C$4:$C$1203,$AE95)=0,"",INDEX(对接源_01水果!$C$4:$C$1203,$AE95)),IF(INDEX(对接源_02物料!$C$4:$C$1203,$AE95-1200)=0,"",INDEX(对接源_02物料!$C$4:$C$1203,$AE95-1200))))</f>
      </c>
      <c r="J95" s="107">
        <f>IF($AE95="","",IF($AE95&lt;=1200,IF(INDEX(对接源_01水果!$M$4:$M$1203,$AE95)=0,"",INDEX(对接源_01水果!$M$4:$M$1203,$AE95)),IF(INDEX(对接源_02物料!$M$4:$M$1203,$AE95-1200)=0,"",INDEX(对接源_02物料!$M$4:$M$1203,$AE95-1200))))</f>
      </c>
      <c r="AE95" s="2">
        <f>IFERROR(MATCH(90,_自动清单!$AA$4:$AA$2403,0),"")</f>
      </c>
      <c r="AI95" s="2">
        <f>IF($D95="","",$D95)</f>
      </c>
      <c r="AJ95" s="2">
        <f>IF(AI95="",0,IF(MATCH(AI95,AI$6:AI$125,0)=90,1,0))</f>
        <v>0</v>
      </c>
      <c r="AK95" s="2">
        <f>N(AK94)+AJ95</f>
        <v>3</v>
      </c>
    </row>
    <row r="96" ht="18" customHeight="1" s="127">
      <c r="A96" s="163">
        <f>IF($AE96="","",IF($AE96&lt;=1200,IF(INDEX(对接源_01水果!$B$4:$B$1203,$AE96)=0,"",INDEX(对接源_01水果!$B$4:$B$1203,$AE96)),IF(INDEX(对接源_02物料!$B$4:$B$1203,$AE96-1200)=0,"",INDEX(对接源_02物料!$B$4:$B$1203,$AE96-1200))))</f>
      </c>
      <c r="B96" s="61">
        <f>IF($AE96="","",IF($AE96&lt;=1200,IF(INDEX(对接源_01水果!$E$4:$E$1203,$AE96)=0,"",INDEX(对接源_01水果!$E$4:$E$1203,$AE96)),IF(INDEX(对接源_02物料!$E$4:$E$1203,$AE96-1200)=0,"",INDEX(对接源_02物料!$E$4:$E$1203,$AE96-1200))))</f>
      </c>
      <c r="C96" s="61">
        <f>IF($AE96="","",IF($AE96&lt;=1200,IF(INDEX(对接源_01水果!$F$4:$F$1203,$AE96)=0,"",INDEX(对接源_01水果!$F$4:$F$1203,$AE96)),IF(INDEX(对接源_02物料!$F$4:$F$1203,$AE96-1200)=0,"",INDEX(对接源_02物料!$F$4:$F$1203,$AE96-1200))))</f>
      </c>
      <c r="D96" s="61">
        <f>IF($AE96="","",IF($AE96&lt;=1200,IF(INDEX(对接源_01水果!$G$4:$G$1203,$AE96)=0,"",INDEX(对接源_01水果!$G$4:$G$1203,$AE96)),IF(INDEX(对接源_02物料!$G$4:$G$1203,$AE96-1200)=0,"",INDEX(对接源_02物料!$G$4:$G$1203,$AE96-1200))))</f>
      </c>
      <c r="E96" s="164">
        <f>IF($AE96="","",IF($AE96&lt;=1200,IF(INDEX(对接源_01水果!$H$4:$H$1203,$AE96)=0,"",INDEX(对接源_01水果!$H$4:$H$1203,$AE96)),IF(INDEX(对接源_02物料!$H$4:$H$1203,$AE96-1200)=0,"",INDEX(对接源_02物料!$H$4:$H$1203,$AE96-1200))))</f>
      </c>
      <c r="F96" s="61">
        <f>IF($AE96="","",IF($AE96&lt;=1200,IF(INDEX(对接源_01水果!$I$4:$I$1203,$AE96)=0,"",INDEX(对接源_01水果!$I$4:$I$1203,$AE96)),IF(INDEX(对接源_02物料!$I$4:$I$1203,$AE96-1200)=0,"",INDEX(对接源_02物料!$I$4:$I$1203,$AE96-1200))))</f>
      </c>
      <c r="G96" s="173">
        <f>IF($AE96="","",IF($AE96&lt;=1200,IF(INDEX(对接源_01水果!$J$4:$J$1203,$AE96)=0,"",INDEX(对接源_01水果!$J$4:$J$1203,$AE96)),IF(INDEX(对接源_02物料!$J$4:$J$1203,$AE96-1200)=0,"",INDEX(对接源_02物料!$J$4:$J$1203,$AE96-1200))))</f>
      </c>
      <c r="H96" s="61">
        <f>IF($AE96="","",IF($AE96&lt;=1200,IF(INDEX(对接源_01水果!$W$4:$W$1203,$AE96)=0,"",INDEX(对接源_01水果!$W$4:$W$1203,$AE96)),IF(INDEX(对接源_02物料!$W$4:$W$1203,$AE96-1200)=0,"",INDEX(对接源_02物料!$W$4:$W$1203,$AE96-1200))))</f>
      </c>
      <c r="I96" s="61">
        <f>IF($AE96="","",IF($AE96&lt;=1200,IF(INDEX(对接源_01水果!$C$4:$C$1203,$AE96)=0,"",INDEX(对接源_01水果!$C$4:$C$1203,$AE96)),IF(INDEX(对接源_02物料!$C$4:$C$1203,$AE96-1200)=0,"",INDEX(对接源_02物料!$C$4:$C$1203,$AE96-1200))))</f>
      </c>
      <c r="J96" s="64">
        <f>IF($AE96="","",IF($AE96&lt;=1200,IF(INDEX(对接源_01水果!$M$4:$M$1203,$AE96)=0,"",INDEX(对接源_01水果!$M$4:$M$1203,$AE96)),IF(INDEX(对接源_02物料!$M$4:$M$1203,$AE96-1200)=0,"",INDEX(对接源_02物料!$M$4:$M$1203,$AE96-1200))))</f>
      </c>
      <c r="AE96" s="2">
        <f>IFERROR(MATCH(91,_自动清单!$AA$4:$AA$2403,0),"")</f>
      </c>
      <c r="AI96" s="2">
        <f>IF($D96="","",$D96)</f>
      </c>
      <c r="AJ96" s="2">
        <f>IF(AI96="",0,IF(MATCH(AI96,AI$6:AI$125,0)=91,1,0))</f>
        <v>0</v>
      </c>
      <c r="AK96" s="2">
        <f>N(AK95)+AJ96</f>
        <v>3</v>
      </c>
    </row>
    <row r="97" ht="18" customHeight="1" s="127">
      <c r="A97" s="165">
        <f>IF($AE97="","",IF($AE97&lt;=1200,IF(INDEX(对接源_01水果!$B$4:$B$1203,$AE97)=0,"",INDEX(对接源_01水果!$B$4:$B$1203,$AE97)),IF(INDEX(对接源_02物料!$B$4:$B$1203,$AE97-1200)=0,"",INDEX(对接源_02物料!$B$4:$B$1203,$AE97-1200))))</f>
      </c>
      <c r="B97" s="104">
        <f>IF($AE97="","",IF($AE97&lt;=1200,IF(INDEX(对接源_01水果!$E$4:$E$1203,$AE97)=0,"",INDEX(对接源_01水果!$E$4:$E$1203,$AE97)),IF(INDEX(对接源_02物料!$E$4:$E$1203,$AE97-1200)=0,"",INDEX(对接源_02物料!$E$4:$E$1203,$AE97-1200))))</f>
      </c>
      <c r="C97" s="104">
        <f>IF($AE97="","",IF($AE97&lt;=1200,IF(INDEX(对接源_01水果!$F$4:$F$1203,$AE97)=0,"",INDEX(对接源_01水果!$F$4:$F$1203,$AE97)),IF(INDEX(对接源_02物料!$F$4:$F$1203,$AE97-1200)=0,"",INDEX(对接源_02物料!$F$4:$F$1203,$AE97-1200))))</f>
      </c>
      <c r="D97" s="104">
        <f>IF($AE97="","",IF($AE97&lt;=1200,IF(INDEX(对接源_01水果!$G$4:$G$1203,$AE97)=0,"",INDEX(对接源_01水果!$G$4:$G$1203,$AE97)),IF(INDEX(对接源_02物料!$G$4:$G$1203,$AE97-1200)=0,"",INDEX(对接源_02物料!$G$4:$G$1203,$AE97-1200))))</f>
      </c>
      <c r="E97" s="166">
        <f>IF($AE97="","",IF($AE97&lt;=1200,IF(INDEX(对接源_01水果!$H$4:$H$1203,$AE97)=0,"",INDEX(对接源_01水果!$H$4:$H$1203,$AE97)),IF(INDEX(对接源_02物料!$H$4:$H$1203,$AE97-1200)=0,"",INDEX(对接源_02物料!$H$4:$H$1203,$AE97-1200))))</f>
      </c>
      <c r="F97" s="104">
        <f>IF($AE97="","",IF($AE97&lt;=1200,IF(INDEX(对接源_01水果!$I$4:$I$1203,$AE97)=0,"",INDEX(对接源_01水果!$I$4:$I$1203,$AE97)),IF(INDEX(对接源_02物料!$I$4:$I$1203,$AE97-1200)=0,"",INDEX(对接源_02物料!$I$4:$I$1203,$AE97-1200))))</f>
      </c>
      <c r="G97" s="175">
        <f>IF($AE97="","",IF($AE97&lt;=1200,IF(INDEX(对接源_01水果!$J$4:$J$1203,$AE97)=0,"",INDEX(对接源_01水果!$J$4:$J$1203,$AE97)),IF(INDEX(对接源_02物料!$J$4:$J$1203,$AE97-1200)=0,"",INDEX(对接源_02物料!$J$4:$J$1203,$AE97-1200))))</f>
      </c>
      <c r="H97" s="104">
        <f>IF($AE97="","",IF($AE97&lt;=1200,IF(INDEX(对接源_01水果!$W$4:$W$1203,$AE97)=0,"",INDEX(对接源_01水果!$W$4:$W$1203,$AE97)),IF(INDEX(对接源_02物料!$W$4:$W$1203,$AE97-1200)=0,"",INDEX(对接源_02物料!$W$4:$W$1203,$AE97-1200))))</f>
      </c>
      <c r="I97" s="104">
        <f>IF($AE97="","",IF($AE97&lt;=1200,IF(INDEX(对接源_01水果!$C$4:$C$1203,$AE97)=0,"",INDEX(对接源_01水果!$C$4:$C$1203,$AE97)),IF(INDEX(对接源_02物料!$C$4:$C$1203,$AE97-1200)=0,"",INDEX(对接源_02物料!$C$4:$C$1203,$AE97-1200))))</f>
      </c>
      <c r="J97" s="107">
        <f>IF($AE97="","",IF($AE97&lt;=1200,IF(INDEX(对接源_01水果!$M$4:$M$1203,$AE97)=0,"",INDEX(对接源_01水果!$M$4:$M$1203,$AE97)),IF(INDEX(对接源_02物料!$M$4:$M$1203,$AE97-1200)=0,"",INDEX(对接源_02物料!$M$4:$M$1203,$AE97-1200))))</f>
      </c>
      <c r="AE97" s="2">
        <f>IFERROR(MATCH(92,_自动清单!$AA$4:$AA$2403,0),"")</f>
      </c>
      <c r="AI97" s="2">
        <f>IF($D97="","",$D97)</f>
      </c>
      <c r="AJ97" s="2">
        <f>IF(AI97="",0,IF(MATCH(AI97,AI$6:AI$125,0)=92,1,0))</f>
        <v>0</v>
      </c>
      <c r="AK97" s="2">
        <f>N(AK96)+AJ97</f>
        <v>3</v>
      </c>
    </row>
    <row r="98" ht="18" customHeight="1" s="127">
      <c r="A98" s="163">
        <f>IF($AE98="","",IF($AE98&lt;=1200,IF(INDEX(对接源_01水果!$B$4:$B$1203,$AE98)=0,"",INDEX(对接源_01水果!$B$4:$B$1203,$AE98)),IF(INDEX(对接源_02物料!$B$4:$B$1203,$AE98-1200)=0,"",INDEX(对接源_02物料!$B$4:$B$1203,$AE98-1200))))</f>
      </c>
      <c r="B98" s="61">
        <f>IF($AE98="","",IF($AE98&lt;=1200,IF(INDEX(对接源_01水果!$E$4:$E$1203,$AE98)=0,"",INDEX(对接源_01水果!$E$4:$E$1203,$AE98)),IF(INDEX(对接源_02物料!$E$4:$E$1203,$AE98-1200)=0,"",INDEX(对接源_02物料!$E$4:$E$1203,$AE98-1200))))</f>
      </c>
      <c r="C98" s="61">
        <f>IF($AE98="","",IF($AE98&lt;=1200,IF(INDEX(对接源_01水果!$F$4:$F$1203,$AE98)=0,"",INDEX(对接源_01水果!$F$4:$F$1203,$AE98)),IF(INDEX(对接源_02物料!$F$4:$F$1203,$AE98-1200)=0,"",INDEX(对接源_02物料!$F$4:$F$1203,$AE98-1200))))</f>
      </c>
      <c r="D98" s="61">
        <f>IF($AE98="","",IF($AE98&lt;=1200,IF(INDEX(对接源_01水果!$G$4:$G$1203,$AE98)=0,"",INDEX(对接源_01水果!$G$4:$G$1203,$AE98)),IF(INDEX(对接源_02物料!$G$4:$G$1203,$AE98-1200)=0,"",INDEX(对接源_02物料!$G$4:$G$1203,$AE98-1200))))</f>
      </c>
      <c r="E98" s="164">
        <f>IF($AE98="","",IF($AE98&lt;=1200,IF(INDEX(对接源_01水果!$H$4:$H$1203,$AE98)=0,"",INDEX(对接源_01水果!$H$4:$H$1203,$AE98)),IF(INDEX(对接源_02物料!$H$4:$H$1203,$AE98-1200)=0,"",INDEX(对接源_02物料!$H$4:$H$1203,$AE98-1200))))</f>
      </c>
      <c r="F98" s="61">
        <f>IF($AE98="","",IF($AE98&lt;=1200,IF(INDEX(对接源_01水果!$I$4:$I$1203,$AE98)=0,"",INDEX(对接源_01水果!$I$4:$I$1203,$AE98)),IF(INDEX(对接源_02物料!$I$4:$I$1203,$AE98-1200)=0,"",INDEX(对接源_02物料!$I$4:$I$1203,$AE98-1200))))</f>
      </c>
      <c r="G98" s="173">
        <f>IF($AE98="","",IF($AE98&lt;=1200,IF(INDEX(对接源_01水果!$J$4:$J$1203,$AE98)=0,"",INDEX(对接源_01水果!$J$4:$J$1203,$AE98)),IF(INDEX(对接源_02物料!$J$4:$J$1203,$AE98-1200)=0,"",INDEX(对接源_02物料!$J$4:$J$1203,$AE98-1200))))</f>
      </c>
      <c r="H98" s="61">
        <f>IF($AE98="","",IF($AE98&lt;=1200,IF(INDEX(对接源_01水果!$W$4:$W$1203,$AE98)=0,"",INDEX(对接源_01水果!$W$4:$W$1203,$AE98)),IF(INDEX(对接源_02物料!$W$4:$W$1203,$AE98-1200)=0,"",INDEX(对接源_02物料!$W$4:$W$1203,$AE98-1200))))</f>
      </c>
      <c r="I98" s="61">
        <f>IF($AE98="","",IF($AE98&lt;=1200,IF(INDEX(对接源_01水果!$C$4:$C$1203,$AE98)=0,"",INDEX(对接源_01水果!$C$4:$C$1203,$AE98)),IF(INDEX(对接源_02物料!$C$4:$C$1203,$AE98-1200)=0,"",INDEX(对接源_02物料!$C$4:$C$1203,$AE98-1200))))</f>
      </c>
      <c r="J98" s="64">
        <f>IF($AE98="","",IF($AE98&lt;=1200,IF(INDEX(对接源_01水果!$M$4:$M$1203,$AE98)=0,"",INDEX(对接源_01水果!$M$4:$M$1203,$AE98)),IF(INDEX(对接源_02物料!$M$4:$M$1203,$AE98-1200)=0,"",INDEX(对接源_02物料!$M$4:$M$1203,$AE98-1200))))</f>
      </c>
      <c r="AE98" s="2">
        <f>IFERROR(MATCH(93,_自动清单!$AA$4:$AA$2403,0),"")</f>
      </c>
      <c r="AI98" s="2">
        <f>IF($D98="","",$D98)</f>
      </c>
      <c r="AJ98" s="2">
        <f>IF(AI98="",0,IF(MATCH(AI98,AI$6:AI$125,0)=93,1,0))</f>
        <v>0</v>
      </c>
      <c r="AK98" s="2">
        <f>N(AK97)+AJ98</f>
        <v>3</v>
      </c>
    </row>
    <row r="99" ht="18" customHeight="1" s="127">
      <c r="A99" s="165">
        <f>IF($AE99="","",IF($AE99&lt;=1200,IF(INDEX(对接源_01水果!$B$4:$B$1203,$AE99)=0,"",INDEX(对接源_01水果!$B$4:$B$1203,$AE99)),IF(INDEX(对接源_02物料!$B$4:$B$1203,$AE99-1200)=0,"",INDEX(对接源_02物料!$B$4:$B$1203,$AE99-1200))))</f>
      </c>
      <c r="B99" s="104">
        <f>IF($AE99="","",IF($AE99&lt;=1200,IF(INDEX(对接源_01水果!$E$4:$E$1203,$AE99)=0,"",INDEX(对接源_01水果!$E$4:$E$1203,$AE99)),IF(INDEX(对接源_02物料!$E$4:$E$1203,$AE99-1200)=0,"",INDEX(对接源_02物料!$E$4:$E$1203,$AE99-1200))))</f>
      </c>
      <c r="C99" s="104">
        <f>IF($AE99="","",IF($AE99&lt;=1200,IF(INDEX(对接源_01水果!$F$4:$F$1203,$AE99)=0,"",INDEX(对接源_01水果!$F$4:$F$1203,$AE99)),IF(INDEX(对接源_02物料!$F$4:$F$1203,$AE99-1200)=0,"",INDEX(对接源_02物料!$F$4:$F$1203,$AE99-1200))))</f>
      </c>
      <c r="D99" s="104">
        <f>IF($AE99="","",IF($AE99&lt;=1200,IF(INDEX(对接源_01水果!$G$4:$G$1203,$AE99)=0,"",INDEX(对接源_01水果!$G$4:$G$1203,$AE99)),IF(INDEX(对接源_02物料!$G$4:$G$1203,$AE99-1200)=0,"",INDEX(对接源_02物料!$G$4:$G$1203,$AE99-1200))))</f>
      </c>
      <c r="E99" s="166">
        <f>IF($AE99="","",IF($AE99&lt;=1200,IF(INDEX(对接源_01水果!$H$4:$H$1203,$AE99)=0,"",INDEX(对接源_01水果!$H$4:$H$1203,$AE99)),IF(INDEX(对接源_02物料!$H$4:$H$1203,$AE99-1200)=0,"",INDEX(对接源_02物料!$H$4:$H$1203,$AE99-1200))))</f>
      </c>
      <c r="F99" s="104">
        <f>IF($AE99="","",IF($AE99&lt;=1200,IF(INDEX(对接源_01水果!$I$4:$I$1203,$AE99)=0,"",INDEX(对接源_01水果!$I$4:$I$1203,$AE99)),IF(INDEX(对接源_02物料!$I$4:$I$1203,$AE99-1200)=0,"",INDEX(对接源_02物料!$I$4:$I$1203,$AE99-1200))))</f>
      </c>
      <c r="G99" s="175">
        <f>IF($AE99="","",IF($AE99&lt;=1200,IF(INDEX(对接源_01水果!$J$4:$J$1203,$AE99)=0,"",INDEX(对接源_01水果!$J$4:$J$1203,$AE99)),IF(INDEX(对接源_02物料!$J$4:$J$1203,$AE99-1200)=0,"",INDEX(对接源_02物料!$J$4:$J$1203,$AE99-1200))))</f>
      </c>
      <c r="H99" s="104">
        <f>IF($AE99="","",IF($AE99&lt;=1200,IF(INDEX(对接源_01水果!$W$4:$W$1203,$AE99)=0,"",INDEX(对接源_01水果!$W$4:$W$1203,$AE99)),IF(INDEX(对接源_02物料!$W$4:$W$1203,$AE99-1200)=0,"",INDEX(对接源_02物料!$W$4:$W$1203,$AE99-1200))))</f>
      </c>
      <c r="I99" s="104">
        <f>IF($AE99="","",IF($AE99&lt;=1200,IF(INDEX(对接源_01水果!$C$4:$C$1203,$AE99)=0,"",INDEX(对接源_01水果!$C$4:$C$1203,$AE99)),IF(INDEX(对接源_02物料!$C$4:$C$1203,$AE99-1200)=0,"",INDEX(对接源_02物料!$C$4:$C$1203,$AE99-1200))))</f>
      </c>
      <c r="J99" s="107">
        <f>IF($AE99="","",IF($AE99&lt;=1200,IF(INDEX(对接源_01水果!$M$4:$M$1203,$AE99)=0,"",INDEX(对接源_01水果!$M$4:$M$1203,$AE99)),IF(INDEX(对接源_02物料!$M$4:$M$1203,$AE99-1200)=0,"",INDEX(对接源_02物料!$M$4:$M$1203,$AE99-1200))))</f>
      </c>
      <c r="AE99" s="2">
        <f>IFERROR(MATCH(94,_自动清单!$AA$4:$AA$2403,0),"")</f>
      </c>
      <c r="AI99" s="2">
        <f>IF($D99="","",$D99)</f>
      </c>
      <c r="AJ99" s="2">
        <f>IF(AI99="",0,IF(MATCH(AI99,AI$6:AI$125,0)=94,1,0))</f>
        <v>0</v>
      </c>
      <c r="AK99" s="2">
        <f>N(AK98)+AJ99</f>
        <v>3</v>
      </c>
    </row>
    <row r="100" ht="18" customHeight="1" s="127">
      <c r="A100" s="163">
        <f>IF($AE100="","",IF($AE100&lt;=1200,IF(INDEX(对接源_01水果!$B$4:$B$1203,$AE100)=0,"",INDEX(对接源_01水果!$B$4:$B$1203,$AE100)),IF(INDEX(对接源_02物料!$B$4:$B$1203,$AE100-1200)=0,"",INDEX(对接源_02物料!$B$4:$B$1203,$AE100-1200))))</f>
      </c>
      <c r="B100" s="61">
        <f>IF($AE100="","",IF($AE100&lt;=1200,IF(INDEX(对接源_01水果!$E$4:$E$1203,$AE100)=0,"",INDEX(对接源_01水果!$E$4:$E$1203,$AE100)),IF(INDEX(对接源_02物料!$E$4:$E$1203,$AE100-1200)=0,"",INDEX(对接源_02物料!$E$4:$E$1203,$AE100-1200))))</f>
      </c>
      <c r="C100" s="61">
        <f>IF($AE100="","",IF($AE100&lt;=1200,IF(INDEX(对接源_01水果!$F$4:$F$1203,$AE100)=0,"",INDEX(对接源_01水果!$F$4:$F$1203,$AE100)),IF(INDEX(对接源_02物料!$F$4:$F$1203,$AE100-1200)=0,"",INDEX(对接源_02物料!$F$4:$F$1203,$AE100-1200))))</f>
      </c>
      <c r="D100" s="61">
        <f>IF($AE100="","",IF($AE100&lt;=1200,IF(INDEX(对接源_01水果!$G$4:$G$1203,$AE100)=0,"",INDEX(对接源_01水果!$G$4:$G$1203,$AE100)),IF(INDEX(对接源_02物料!$G$4:$G$1203,$AE100-1200)=0,"",INDEX(对接源_02物料!$G$4:$G$1203,$AE100-1200))))</f>
      </c>
      <c r="E100" s="164">
        <f>IF($AE100="","",IF($AE100&lt;=1200,IF(INDEX(对接源_01水果!$H$4:$H$1203,$AE100)=0,"",INDEX(对接源_01水果!$H$4:$H$1203,$AE100)),IF(INDEX(对接源_02物料!$H$4:$H$1203,$AE100-1200)=0,"",INDEX(对接源_02物料!$H$4:$H$1203,$AE100-1200))))</f>
      </c>
      <c r="F100" s="61">
        <f>IF($AE100="","",IF($AE100&lt;=1200,IF(INDEX(对接源_01水果!$I$4:$I$1203,$AE100)=0,"",INDEX(对接源_01水果!$I$4:$I$1203,$AE100)),IF(INDEX(对接源_02物料!$I$4:$I$1203,$AE100-1200)=0,"",INDEX(对接源_02物料!$I$4:$I$1203,$AE100-1200))))</f>
      </c>
      <c r="G100" s="173">
        <f>IF($AE100="","",IF($AE100&lt;=1200,IF(INDEX(对接源_01水果!$J$4:$J$1203,$AE100)=0,"",INDEX(对接源_01水果!$J$4:$J$1203,$AE100)),IF(INDEX(对接源_02物料!$J$4:$J$1203,$AE100-1200)=0,"",INDEX(对接源_02物料!$J$4:$J$1203,$AE100-1200))))</f>
      </c>
      <c r="H100" s="61">
        <f>IF($AE100="","",IF($AE100&lt;=1200,IF(INDEX(对接源_01水果!$W$4:$W$1203,$AE100)=0,"",INDEX(对接源_01水果!$W$4:$W$1203,$AE100)),IF(INDEX(对接源_02物料!$W$4:$W$1203,$AE100-1200)=0,"",INDEX(对接源_02物料!$W$4:$W$1203,$AE100-1200))))</f>
      </c>
      <c r="I100" s="61">
        <f>IF($AE100="","",IF($AE100&lt;=1200,IF(INDEX(对接源_01水果!$C$4:$C$1203,$AE100)=0,"",INDEX(对接源_01水果!$C$4:$C$1203,$AE100)),IF(INDEX(对接源_02物料!$C$4:$C$1203,$AE100-1200)=0,"",INDEX(对接源_02物料!$C$4:$C$1203,$AE100-1200))))</f>
      </c>
      <c r="J100" s="64">
        <f>IF($AE100="","",IF($AE100&lt;=1200,IF(INDEX(对接源_01水果!$M$4:$M$1203,$AE100)=0,"",INDEX(对接源_01水果!$M$4:$M$1203,$AE100)),IF(INDEX(对接源_02物料!$M$4:$M$1203,$AE100-1200)=0,"",INDEX(对接源_02物料!$M$4:$M$1203,$AE100-1200))))</f>
      </c>
      <c r="AE100" s="2">
        <f>IFERROR(MATCH(95,_自动清单!$AA$4:$AA$2403,0),"")</f>
      </c>
      <c r="AI100" s="2">
        <f>IF($D100="","",$D100)</f>
      </c>
      <c r="AJ100" s="2">
        <f>IF(AI100="",0,IF(MATCH(AI100,AI$6:AI$125,0)=95,1,0))</f>
        <v>0</v>
      </c>
      <c r="AK100" s="2">
        <f>N(AK99)+AJ100</f>
        <v>3</v>
      </c>
    </row>
    <row r="101" ht="18" customHeight="1" s="127">
      <c r="A101" s="165">
        <f>IF($AE101="","",IF($AE101&lt;=1200,IF(INDEX(对接源_01水果!$B$4:$B$1203,$AE101)=0,"",INDEX(对接源_01水果!$B$4:$B$1203,$AE101)),IF(INDEX(对接源_02物料!$B$4:$B$1203,$AE101-1200)=0,"",INDEX(对接源_02物料!$B$4:$B$1203,$AE101-1200))))</f>
      </c>
      <c r="B101" s="104">
        <f>IF($AE101="","",IF($AE101&lt;=1200,IF(INDEX(对接源_01水果!$E$4:$E$1203,$AE101)=0,"",INDEX(对接源_01水果!$E$4:$E$1203,$AE101)),IF(INDEX(对接源_02物料!$E$4:$E$1203,$AE101-1200)=0,"",INDEX(对接源_02物料!$E$4:$E$1203,$AE101-1200))))</f>
      </c>
      <c r="C101" s="104">
        <f>IF($AE101="","",IF($AE101&lt;=1200,IF(INDEX(对接源_01水果!$F$4:$F$1203,$AE101)=0,"",INDEX(对接源_01水果!$F$4:$F$1203,$AE101)),IF(INDEX(对接源_02物料!$F$4:$F$1203,$AE101-1200)=0,"",INDEX(对接源_02物料!$F$4:$F$1203,$AE101-1200))))</f>
      </c>
      <c r="D101" s="104">
        <f>IF($AE101="","",IF($AE101&lt;=1200,IF(INDEX(对接源_01水果!$G$4:$G$1203,$AE101)=0,"",INDEX(对接源_01水果!$G$4:$G$1203,$AE101)),IF(INDEX(对接源_02物料!$G$4:$G$1203,$AE101-1200)=0,"",INDEX(对接源_02物料!$G$4:$G$1203,$AE101-1200))))</f>
      </c>
      <c r="E101" s="166">
        <f>IF($AE101="","",IF($AE101&lt;=1200,IF(INDEX(对接源_01水果!$H$4:$H$1203,$AE101)=0,"",INDEX(对接源_01水果!$H$4:$H$1203,$AE101)),IF(INDEX(对接源_02物料!$H$4:$H$1203,$AE101-1200)=0,"",INDEX(对接源_02物料!$H$4:$H$1203,$AE101-1200))))</f>
      </c>
      <c r="F101" s="104">
        <f>IF($AE101="","",IF($AE101&lt;=1200,IF(INDEX(对接源_01水果!$I$4:$I$1203,$AE101)=0,"",INDEX(对接源_01水果!$I$4:$I$1203,$AE101)),IF(INDEX(对接源_02物料!$I$4:$I$1203,$AE101-1200)=0,"",INDEX(对接源_02物料!$I$4:$I$1203,$AE101-1200))))</f>
      </c>
      <c r="G101" s="175">
        <f>IF($AE101="","",IF($AE101&lt;=1200,IF(INDEX(对接源_01水果!$J$4:$J$1203,$AE101)=0,"",INDEX(对接源_01水果!$J$4:$J$1203,$AE101)),IF(INDEX(对接源_02物料!$J$4:$J$1203,$AE101-1200)=0,"",INDEX(对接源_02物料!$J$4:$J$1203,$AE101-1200))))</f>
      </c>
      <c r="H101" s="104">
        <f>IF($AE101="","",IF($AE101&lt;=1200,IF(INDEX(对接源_01水果!$W$4:$W$1203,$AE101)=0,"",INDEX(对接源_01水果!$W$4:$W$1203,$AE101)),IF(INDEX(对接源_02物料!$W$4:$W$1203,$AE101-1200)=0,"",INDEX(对接源_02物料!$W$4:$W$1203,$AE101-1200))))</f>
      </c>
      <c r="I101" s="104">
        <f>IF($AE101="","",IF($AE101&lt;=1200,IF(INDEX(对接源_01水果!$C$4:$C$1203,$AE101)=0,"",INDEX(对接源_01水果!$C$4:$C$1203,$AE101)),IF(INDEX(对接源_02物料!$C$4:$C$1203,$AE101-1200)=0,"",INDEX(对接源_02物料!$C$4:$C$1203,$AE101-1200))))</f>
      </c>
      <c r="J101" s="107">
        <f>IF($AE101="","",IF($AE101&lt;=1200,IF(INDEX(对接源_01水果!$M$4:$M$1203,$AE101)=0,"",INDEX(对接源_01水果!$M$4:$M$1203,$AE101)),IF(INDEX(对接源_02物料!$M$4:$M$1203,$AE101-1200)=0,"",INDEX(对接源_02物料!$M$4:$M$1203,$AE101-1200))))</f>
      </c>
      <c r="AE101" s="2">
        <f>IFERROR(MATCH(96,_自动清单!$AA$4:$AA$2403,0),"")</f>
      </c>
      <c r="AI101" s="2">
        <f>IF($D101="","",$D101)</f>
      </c>
      <c r="AJ101" s="2">
        <f>IF(AI101="",0,IF(MATCH(AI101,AI$6:AI$125,0)=96,1,0))</f>
        <v>0</v>
      </c>
      <c r="AK101" s="2">
        <f>N(AK100)+AJ101</f>
        <v>3</v>
      </c>
    </row>
    <row r="102" ht="18" customHeight="1" s="127">
      <c r="A102" s="163">
        <f>IF($AE102="","",IF($AE102&lt;=1200,IF(INDEX(对接源_01水果!$B$4:$B$1203,$AE102)=0,"",INDEX(对接源_01水果!$B$4:$B$1203,$AE102)),IF(INDEX(对接源_02物料!$B$4:$B$1203,$AE102-1200)=0,"",INDEX(对接源_02物料!$B$4:$B$1203,$AE102-1200))))</f>
      </c>
      <c r="B102" s="61">
        <f>IF($AE102="","",IF($AE102&lt;=1200,IF(INDEX(对接源_01水果!$E$4:$E$1203,$AE102)=0,"",INDEX(对接源_01水果!$E$4:$E$1203,$AE102)),IF(INDEX(对接源_02物料!$E$4:$E$1203,$AE102-1200)=0,"",INDEX(对接源_02物料!$E$4:$E$1203,$AE102-1200))))</f>
      </c>
      <c r="C102" s="61">
        <f>IF($AE102="","",IF($AE102&lt;=1200,IF(INDEX(对接源_01水果!$F$4:$F$1203,$AE102)=0,"",INDEX(对接源_01水果!$F$4:$F$1203,$AE102)),IF(INDEX(对接源_02物料!$F$4:$F$1203,$AE102-1200)=0,"",INDEX(对接源_02物料!$F$4:$F$1203,$AE102-1200))))</f>
      </c>
      <c r="D102" s="61">
        <f>IF($AE102="","",IF($AE102&lt;=1200,IF(INDEX(对接源_01水果!$G$4:$G$1203,$AE102)=0,"",INDEX(对接源_01水果!$G$4:$G$1203,$AE102)),IF(INDEX(对接源_02物料!$G$4:$G$1203,$AE102-1200)=0,"",INDEX(对接源_02物料!$G$4:$G$1203,$AE102-1200))))</f>
      </c>
      <c r="E102" s="164">
        <f>IF($AE102="","",IF($AE102&lt;=1200,IF(INDEX(对接源_01水果!$H$4:$H$1203,$AE102)=0,"",INDEX(对接源_01水果!$H$4:$H$1203,$AE102)),IF(INDEX(对接源_02物料!$H$4:$H$1203,$AE102-1200)=0,"",INDEX(对接源_02物料!$H$4:$H$1203,$AE102-1200))))</f>
      </c>
      <c r="F102" s="61">
        <f>IF($AE102="","",IF($AE102&lt;=1200,IF(INDEX(对接源_01水果!$I$4:$I$1203,$AE102)=0,"",INDEX(对接源_01水果!$I$4:$I$1203,$AE102)),IF(INDEX(对接源_02物料!$I$4:$I$1203,$AE102-1200)=0,"",INDEX(对接源_02物料!$I$4:$I$1203,$AE102-1200))))</f>
      </c>
      <c r="G102" s="173">
        <f>IF($AE102="","",IF($AE102&lt;=1200,IF(INDEX(对接源_01水果!$J$4:$J$1203,$AE102)=0,"",INDEX(对接源_01水果!$J$4:$J$1203,$AE102)),IF(INDEX(对接源_02物料!$J$4:$J$1203,$AE102-1200)=0,"",INDEX(对接源_02物料!$J$4:$J$1203,$AE102-1200))))</f>
      </c>
      <c r="H102" s="61">
        <f>IF($AE102="","",IF($AE102&lt;=1200,IF(INDEX(对接源_01水果!$W$4:$W$1203,$AE102)=0,"",INDEX(对接源_01水果!$W$4:$W$1203,$AE102)),IF(INDEX(对接源_02物料!$W$4:$W$1203,$AE102-1200)=0,"",INDEX(对接源_02物料!$W$4:$W$1203,$AE102-1200))))</f>
      </c>
      <c r="I102" s="61">
        <f>IF($AE102="","",IF($AE102&lt;=1200,IF(INDEX(对接源_01水果!$C$4:$C$1203,$AE102)=0,"",INDEX(对接源_01水果!$C$4:$C$1203,$AE102)),IF(INDEX(对接源_02物料!$C$4:$C$1203,$AE102-1200)=0,"",INDEX(对接源_02物料!$C$4:$C$1203,$AE102-1200))))</f>
      </c>
      <c r="J102" s="64">
        <f>IF($AE102="","",IF($AE102&lt;=1200,IF(INDEX(对接源_01水果!$M$4:$M$1203,$AE102)=0,"",INDEX(对接源_01水果!$M$4:$M$1203,$AE102)),IF(INDEX(对接源_02物料!$M$4:$M$1203,$AE102-1200)=0,"",INDEX(对接源_02物料!$M$4:$M$1203,$AE102-1200))))</f>
      </c>
      <c r="AE102" s="2">
        <f>IFERROR(MATCH(97,_自动清单!$AA$4:$AA$2403,0),"")</f>
      </c>
      <c r="AI102" s="2">
        <f>IF($D102="","",$D102)</f>
      </c>
      <c r="AJ102" s="2">
        <f>IF(AI102="",0,IF(MATCH(AI102,AI$6:AI$125,0)=97,1,0))</f>
        <v>0</v>
      </c>
      <c r="AK102" s="2">
        <f>N(AK101)+AJ102</f>
        <v>3</v>
      </c>
    </row>
    <row r="103" ht="18" customHeight="1" s="127">
      <c r="A103" s="165">
        <f>IF($AE103="","",IF($AE103&lt;=1200,IF(INDEX(对接源_01水果!$B$4:$B$1203,$AE103)=0,"",INDEX(对接源_01水果!$B$4:$B$1203,$AE103)),IF(INDEX(对接源_02物料!$B$4:$B$1203,$AE103-1200)=0,"",INDEX(对接源_02物料!$B$4:$B$1203,$AE103-1200))))</f>
      </c>
      <c r="B103" s="104">
        <f>IF($AE103="","",IF($AE103&lt;=1200,IF(INDEX(对接源_01水果!$E$4:$E$1203,$AE103)=0,"",INDEX(对接源_01水果!$E$4:$E$1203,$AE103)),IF(INDEX(对接源_02物料!$E$4:$E$1203,$AE103-1200)=0,"",INDEX(对接源_02物料!$E$4:$E$1203,$AE103-1200))))</f>
      </c>
      <c r="C103" s="104">
        <f>IF($AE103="","",IF($AE103&lt;=1200,IF(INDEX(对接源_01水果!$F$4:$F$1203,$AE103)=0,"",INDEX(对接源_01水果!$F$4:$F$1203,$AE103)),IF(INDEX(对接源_02物料!$F$4:$F$1203,$AE103-1200)=0,"",INDEX(对接源_02物料!$F$4:$F$1203,$AE103-1200))))</f>
      </c>
      <c r="D103" s="104">
        <f>IF($AE103="","",IF($AE103&lt;=1200,IF(INDEX(对接源_01水果!$G$4:$G$1203,$AE103)=0,"",INDEX(对接源_01水果!$G$4:$G$1203,$AE103)),IF(INDEX(对接源_02物料!$G$4:$G$1203,$AE103-1200)=0,"",INDEX(对接源_02物料!$G$4:$G$1203,$AE103-1200))))</f>
      </c>
      <c r="E103" s="166">
        <f>IF($AE103="","",IF($AE103&lt;=1200,IF(INDEX(对接源_01水果!$H$4:$H$1203,$AE103)=0,"",INDEX(对接源_01水果!$H$4:$H$1203,$AE103)),IF(INDEX(对接源_02物料!$H$4:$H$1203,$AE103-1200)=0,"",INDEX(对接源_02物料!$H$4:$H$1203,$AE103-1200))))</f>
      </c>
      <c r="F103" s="104">
        <f>IF($AE103="","",IF($AE103&lt;=1200,IF(INDEX(对接源_01水果!$I$4:$I$1203,$AE103)=0,"",INDEX(对接源_01水果!$I$4:$I$1203,$AE103)),IF(INDEX(对接源_02物料!$I$4:$I$1203,$AE103-1200)=0,"",INDEX(对接源_02物料!$I$4:$I$1203,$AE103-1200))))</f>
      </c>
      <c r="G103" s="175">
        <f>IF($AE103="","",IF($AE103&lt;=1200,IF(INDEX(对接源_01水果!$J$4:$J$1203,$AE103)=0,"",INDEX(对接源_01水果!$J$4:$J$1203,$AE103)),IF(INDEX(对接源_02物料!$J$4:$J$1203,$AE103-1200)=0,"",INDEX(对接源_02物料!$J$4:$J$1203,$AE103-1200))))</f>
      </c>
      <c r="H103" s="104">
        <f>IF($AE103="","",IF($AE103&lt;=1200,IF(INDEX(对接源_01水果!$W$4:$W$1203,$AE103)=0,"",INDEX(对接源_01水果!$W$4:$W$1203,$AE103)),IF(INDEX(对接源_02物料!$W$4:$W$1203,$AE103-1200)=0,"",INDEX(对接源_02物料!$W$4:$W$1203,$AE103-1200))))</f>
      </c>
      <c r="I103" s="104">
        <f>IF($AE103="","",IF($AE103&lt;=1200,IF(INDEX(对接源_01水果!$C$4:$C$1203,$AE103)=0,"",INDEX(对接源_01水果!$C$4:$C$1203,$AE103)),IF(INDEX(对接源_02物料!$C$4:$C$1203,$AE103-1200)=0,"",INDEX(对接源_02物料!$C$4:$C$1203,$AE103-1200))))</f>
      </c>
      <c r="J103" s="107">
        <f>IF($AE103="","",IF($AE103&lt;=1200,IF(INDEX(对接源_01水果!$M$4:$M$1203,$AE103)=0,"",INDEX(对接源_01水果!$M$4:$M$1203,$AE103)),IF(INDEX(对接源_02物料!$M$4:$M$1203,$AE103-1200)=0,"",INDEX(对接源_02物料!$M$4:$M$1203,$AE103-1200))))</f>
      </c>
      <c r="AE103" s="2">
        <f>IFERROR(MATCH(98,_自动清单!$AA$4:$AA$2403,0),"")</f>
      </c>
      <c r="AI103" s="2">
        <f>IF($D103="","",$D103)</f>
      </c>
      <c r="AJ103" s="2">
        <f>IF(AI103="",0,IF(MATCH(AI103,AI$6:AI$125,0)=98,1,0))</f>
        <v>0</v>
      </c>
      <c r="AK103" s="2">
        <f>N(AK102)+AJ103</f>
        <v>3</v>
      </c>
    </row>
    <row r="104" ht="18" customHeight="1" s="127">
      <c r="A104" s="163">
        <f>IF($AE104="","",IF($AE104&lt;=1200,IF(INDEX(对接源_01水果!$B$4:$B$1203,$AE104)=0,"",INDEX(对接源_01水果!$B$4:$B$1203,$AE104)),IF(INDEX(对接源_02物料!$B$4:$B$1203,$AE104-1200)=0,"",INDEX(对接源_02物料!$B$4:$B$1203,$AE104-1200))))</f>
      </c>
      <c r="B104" s="61">
        <f>IF($AE104="","",IF($AE104&lt;=1200,IF(INDEX(对接源_01水果!$E$4:$E$1203,$AE104)=0,"",INDEX(对接源_01水果!$E$4:$E$1203,$AE104)),IF(INDEX(对接源_02物料!$E$4:$E$1203,$AE104-1200)=0,"",INDEX(对接源_02物料!$E$4:$E$1203,$AE104-1200))))</f>
      </c>
      <c r="C104" s="61">
        <f>IF($AE104="","",IF($AE104&lt;=1200,IF(INDEX(对接源_01水果!$F$4:$F$1203,$AE104)=0,"",INDEX(对接源_01水果!$F$4:$F$1203,$AE104)),IF(INDEX(对接源_02物料!$F$4:$F$1203,$AE104-1200)=0,"",INDEX(对接源_02物料!$F$4:$F$1203,$AE104-1200))))</f>
      </c>
      <c r="D104" s="61">
        <f>IF($AE104="","",IF($AE104&lt;=1200,IF(INDEX(对接源_01水果!$G$4:$G$1203,$AE104)=0,"",INDEX(对接源_01水果!$G$4:$G$1203,$AE104)),IF(INDEX(对接源_02物料!$G$4:$G$1203,$AE104-1200)=0,"",INDEX(对接源_02物料!$G$4:$G$1203,$AE104-1200))))</f>
      </c>
      <c r="E104" s="164">
        <f>IF($AE104="","",IF($AE104&lt;=1200,IF(INDEX(对接源_01水果!$H$4:$H$1203,$AE104)=0,"",INDEX(对接源_01水果!$H$4:$H$1203,$AE104)),IF(INDEX(对接源_02物料!$H$4:$H$1203,$AE104-1200)=0,"",INDEX(对接源_02物料!$H$4:$H$1203,$AE104-1200))))</f>
      </c>
      <c r="F104" s="61">
        <f>IF($AE104="","",IF($AE104&lt;=1200,IF(INDEX(对接源_01水果!$I$4:$I$1203,$AE104)=0,"",INDEX(对接源_01水果!$I$4:$I$1203,$AE104)),IF(INDEX(对接源_02物料!$I$4:$I$1203,$AE104-1200)=0,"",INDEX(对接源_02物料!$I$4:$I$1203,$AE104-1200))))</f>
      </c>
      <c r="G104" s="173">
        <f>IF($AE104="","",IF($AE104&lt;=1200,IF(INDEX(对接源_01水果!$J$4:$J$1203,$AE104)=0,"",INDEX(对接源_01水果!$J$4:$J$1203,$AE104)),IF(INDEX(对接源_02物料!$J$4:$J$1203,$AE104-1200)=0,"",INDEX(对接源_02物料!$J$4:$J$1203,$AE104-1200))))</f>
      </c>
      <c r="H104" s="61">
        <f>IF($AE104="","",IF($AE104&lt;=1200,IF(INDEX(对接源_01水果!$W$4:$W$1203,$AE104)=0,"",INDEX(对接源_01水果!$W$4:$W$1203,$AE104)),IF(INDEX(对接源_02物料!$W$4:$W$1203,$AE104-1200)=0,"",INDEX(对接源_02物料!$W$4:$W$1203,$AE104-1200))))</f>
      </c>
      <c r="I104" s="61">
        <f>IF($AE104="","",IF($AE104&lt;=1200,IF(INDEX(对接源_01水果!$C$4:$C$1203,$AE104)=0,"",INDEX(对接源_01水果!$C$4:$C$1203,$AE104)),IF(INDEX(对接源_02物料!$C$4:$C$1203,$AE104-1200)=0,"",INDEX(对接源_02物料!$C$4:$C$1203,$AE104-1200))))</f>
      </c>
      <c r="J104" s="64">
        <f>IF($AE104="","",IF($AE104&lt;=1200,IF(INDEX(对接源_01水果!$M$4:$M$1203,$AE104)=0,"",INDEX(对接源_01水果!$M$4:$M$1203,$AE104)),IF(INDEX(对接源_02物料!$M$4:$M$1203,$AE104-1200)=0,"",INDEX(对接源_02物料!$M$4:$M$1203,$AE104-1200))))</f>
      </c>
      <c r="AE104" s="2">
        <f>IFERROR(MATCH(99,_自动清单!$AA$4:$AA$2403,0),"")</f>
      </c>
      <c r="AI104" s="2">
        <f>IF($D104="","",$D104)</f>
      </c>
      <c r="AJ104" s="2">
        <f>IF(AI104="",0,IF(MATCH(AI104,AI$6:AI$125,0)=99,1,0))</f>
        <v>0</v>
      </c>
      <c r="AK104" s="2">
        <f>N(AK103)+AJ104</f>
        <v>3</v>
      </c>
    </row>
    <row r="105" ht="18" customHeight="1" s="127">
      <c r="A105" s="165">
        <f>IF($AE105="","",IF($AE105&lt;=1200,IF(INDEX(对接源_01水果!$B$4:$B$1203,$AE105)=0,"",INDEX(对接源_01水果!$B$4:$B$1203,$AE105)),IF(INDEX(对接源_02物料!$B$4:$B$1203,$AE105-1200)=0,"",INDEX(对接源_02物料!$B$4:$B$1203,$AE105-1200))))</f>
      </c>
      <c r="B105" s="104">
        <f>IF($AE105="","",IF($AE105&lt;=1200,IF(INDEX(对接源_01水果!$E$4:$E$1203,$AE105)=0,"",INDEX(对接源_01水果!$E$4:$E$1203,$AE105)),IF(INDEX(对接源_02物料!$E$4:$E$1203,$AE105-1200)=0,"",INDEX(对接源_02物料!$E$4:$E$1203,$AE105-1200))))</f>
      </c>
      <c r="C105" s="104">
        <f>IF($AE105="","",IF($AE105&lt;=1200,IF(INDEX(对接源_01水果!$F$4:$F$1203,$AE105)=0,"",INDEX(对接源_01水果!$F$4:$F$1203,$AE105)),IF(INDEX(对接源_02物料!$F$4:$F$1203,$AE105-1200)=0,"",INDEX(对接源_02物料!$F$4:$F$1203,$AE105-1200))))</f>
      </c>
      <c r="D105" s="104">
        <f>IF($AE105="","",IF($AE105&lt;=1200,IF(INDEX(对接源_01水果!$G$4:$G$1203,$AE105)=0,"",INDEX(对接源_01水果!$G$4:$G$1203,$AE105)),IF(INDEX(对接源_02物料!$G$4:$G$1203,$AE105-1200)=0,"",INDEX(对接源_02物料!$G$4:$G$1203,$AE105-1200))))</f>
      </c>
      <c r="E105" s="166">
        <f>IF($AE105="","",IF($AE105&lt;=1200,IF(INDEX(对接源_01水果!$H$4:$H$1203,$AE105)=0,"",INDEX(对接源_01水果!$H$4:$H$1203,$AE105)),IF(INDEX(对接源_02物料!$H$4:$H$1203,$AE105-1200)=0,"",INDEX(对接源_02物料!$H$4:$H$1203,$AE105-1200))))</f>
      </c>
      <c r="F105" s="104">
        <f>IF($AE105="","",IF($AE105&lt;=1200,IF(INDEX(对接源_01水果!$I$4:$I$1203,$AE105)=0,"",INDEX(对接源_01水果!$I$4:$I$1203,$AE105)),IF(INDEX(对接源_02物料!$I$4:$I$1203,$AE105-1200)=0,"",INDEX(对接源_02物料!$I$4:$I$1203,$AE105-1200))))</f>
      </c>
      <c r="G105" s="175">
        <f>IF($AE105="","",IF($AE105&lt;=1200,IF(INDEX(对接源_01水果!$J$4:$J$1203,$AE105)=0,"",INDEX(对接源_01水果!$J$4:$J$1203,$AE105)),IF(INDEX(对接源_02物料!$J$4:$J$1203,$AE105-1200)=0,"",INDEX(对接源_02物料!$J$4:$J$1203,$AE105-1200))))</f>
      </c>
      <c r="H105" s="104">
        <f>IF($AE105="","",IF($AE105&lt;=1200,IF(INDEX(对接源_01水果!$W$4:$W$1203,$AE105)=0,"",INDEX(对接源_01水果!$W$4:$W$1203,$AE105)),IF(INDEX(对接源_02物料!$W$4:$W$1203,$AE105-1200)=0,"",INDEX(对接源_02物料!$W$4:$W$1203,$AE105-1200))))</f>
      </c>
      <c r="I105" s="104">
        <f>IF($AE105="","",IF($AE105&lt;=1200,IF(INDEX(对接源_01水果!$C$4:$C$1203,$AE105)=0,"",INDEX(对接源_01水果!$C$4:$C$1203,$AE105)),IF(INDEX(对接源_02物料!$C$4:$C$1203,$AE105-1200)=0,"",INDEX(对接源_02物料!$C$4:$C$1203,$AE105-1200))))</f>
      </c>
      <c r="J105" s="107">
        <f>IF($AE105="","",IF($AE105&lt;=1200,IF(INDEX(对接源_01水果!$M$4:$M$1203,$AE105)=0,"",INDEX(对接源_01水果!$M$4:$M$1203,$AE105)),IF(INDEX(对接源_02物料!$M$4:$M$1203,$AE105-1200)=0,"",INDEX(对接源_02物料!$M$4:$M$1203,$AE105-1200))))</f>
      </c>
      <c r="AE105" s="2">
        <f>IFERROR(MATCH(100,_自动清单!$AA$4:$AA$2403,0),"")</f>
      </c>
      <c r="AI105" s="2">
        <f>IF($D105="","",$D105)</f>
      </c>
      <c r="AJ105" s="2">
        <f>IF(AI105="",0,IF(MATCH(AI105,AI$6:AI$125,0)=100,1,0))</f>
        <v>0</v>
      </c>
      <c r="AK105" s="2">
        <f>N(AK104)+AJ105</f>
        <v>3</v>
      </c>
    </row>
    <row r="106" ht="18" customHeight="1" s="127">
      <c r="A106" s="163">
        <f>IF($AE106="","",IF($AE106&lt;=1200,IF(INDEX(对接源_01水果!$B$4:$B$1203,$AE106)=0,"",INDEX(对接源_01水果!$B$4:$B$1203,$AE106)),IF(INDEX(对接源_02物料!$B$4:$B$1203,$AE106-1200)=0,"",INDEX(对接源_02物料!$B$4:$B$1203,$AE106-1200))))</f>
      </c>
      <c r="B106" s="61">
        <f>IF($AE106="","",IF($AE106&lt;=1200,IF(INDEX(对接源_01水果!$E$4:$E$1203,$AE106)=0,"",INDEX(对接源_01水果!$E$4:$E$1203,$AE106)),IF(INDEX(对接源_02物料!$E$4:$E$1203,$AE106-1200)=0,"",INDEX(对接源_02物料!$E$4:$E$1203,$AE106-1200))))</f>
      </c>
      <c r="C106" s="61">
        <f>IF($AE106="","",IF($AE106&lt;=1200,IF(INDEX(对接源_01水果!$F$4:$F$1203,$AE106)=0,"",INDEX(对接源_01水果!$F$4:$F$1203,$AE106)),IF(INDEX(对接源_02物料!$F$4:$F$1203,$AE106-1200)=0,"",INDEX(对接源_02物料!$F$4:$F$1203,$AE106-1200))))</f>
      </c>
      <c r="D106" s="61">
        <f>IF($AE106="","",IF($AE106&lt;=1200,IF(INDEX(对接源_01水果!$G$4:$G$1203,$AE106)=0,"",INDEX(对接源_01水果!$G$4:$G$1203,$AE106)),IF(INDEX(对接源_02物料!$G$4:$G$1203,$AE106-1200)=0,"",INDEX(对接源_02物料!$G$4:$G$1203,$AE106-1200))))</f>
      </c>
      <c r="E106" s="164">
        <f>IF($AE106="","",IF($AE106&lt;=1200,IF(INDEX(对接源_01水果!$H$4:$H$1203,$AE106)=0,"",INDEX(对接源_01水果!$H$4:$H$1203,$AE106)),IF(INDEX(对接源_02物料!$H$4:$H$1203,$AE106-1200)=0,"",INDEX(对接源_02物料!$H$4:$H$1203,$AE106-1200))))</f>
      </c>
      <c r="F106" s="61">
        <f>IF($AE106="","",IF($AE106&lt;=1200,IF(INDEX(对接源_01水果!$I$4:$I$1203,$AE106)=0,"",INDEX(对接源_01水果!$I$4:$I$1203,$AE106)),IF(INDEX(对接源_02物料!$I$4:$I$1203,$AE106-1200)=0,"",INDEX(对接源_02物料!$I$4:$I$1203,$AE106-1200))))</f>
      </c>
      <c r="G106" s="173">
        <f>IF($AE106="","",IF($AE106&lt;=1200,IF(INDEX(对接源_01水果!$J$4:$J$1203,$AE106)=0,"",INDEX(对接源_01水果!$J$4:$J$1203,$AE106)),IF(INDEX(对接源_02物料!$J$4:$J$1203,$AE106-1200)=0,"",INDEX(对接源_02物料!$J$4:$J$1203,$AE106-1200))))</f>
      </c>
      <c r="H106" s="61">
        <f>IF($AE106="","",IF($AE106&lt;=1200,IF(INDEX(对接源_01水果!$W$4:$W$1203,$AE106)=0,"",INDEX(对接源_01水果!$W$4:$W$1203,$AE106)),IF(INDEX(对接源_02物料!$W$4:$W$1203,$AE106-1200)=0,"",INDEX(对接源_02物料!$W$4:$W$1203,$AE106-1200))))</f>
      </c>
      <c r="I106" s="61">
        <f>IF($AE106="","",IF($AE106&lt;=1200,IF(INDEX(对接源_01水果!$C$4:$C$1203,$AE106)=0,"",INDEX(对接源_01水果!$C$4:$C$1203,$AE106)),IF(INDEX(对接源_02物料!$C$4:$C$1203,$AE106-1200)=0,"",INDEX(对接源_02物料!$C$4:$C$1203,$AE106-1200))))</f>
      </c>
      <c r="J106" s="64">
        <f>IF($AE106="","",IF($AE106&lt;=1200,IF(INDEX(对接源_01水果!$M$4:$M$1203,$AE106)=0,"",INDEX(对接源_01水果!$M$4:$M$1203,$AE106)),IF(INDEX(对接源_02物料!$M$4:$M$1203,$AE106-1200)=0,"",INDEX(对接源_02物料!$M$4:$M$1203,$AE106-1200))))</f>
      </c>
      <c r="AE106" s="2">
        <f>IFERROR(MATCH(101,_自动清单!$AA$4:$AA$2403,0),"")</f>
      </c>
      <c r="AI106" s="2">
        <f>IF($D106="","",$D106)</f>
      </c>
      <c r="AJ106" s="2">
        <f>IF(AI106="",0,IF(MATCH(AI106,AI$6:AI$125,0)=101,1,0))</f>
        <v>0</v>
      </c>
      <c r="AK106" s="2">
        <f>N(AK105)+AJ106</f>
        <v>3</v>
      </c>
    </row>
    <row r="107" ht="18" customHeight="1" s="127">
      <c r="A107" s="165">
        <f>IF($AE107="","",IF($AE107&lt;=1200,IF(INDEX(对接源_01水果!$B$4:$B$1203,$AE107)=0,"",INDEX(对接源_01水果!$B$4:$B$1203,$AE107)),IF(INDEX(对接源_02物料!$B$4:$B$1203,$AE107-1200)=0,"",INDEX(对接源_02物料!$B$4:$B$1203,$AE107-1200))))</f>
      </c>
      <c r="B107" s="104">
        <f>IF($AE107="","",IF($AE107&lt;=1200,IF(INDEX(对接源_01水果!$E$4:$E$1203,$AE107)=0,"",INDEX(对接源_01水果!$E$4:$E$1203,$AE107)),IF(INDEX(对接源_02物料!$E$4:$E$1203,$AE107-1200)=0,"",INDEX(对接源_02物料!$E$4:$E$1203,$AE107-1200))))</f>
      </c>
      <c r="C107" s="104">
        <f>IF($AE107="","",IF($AE107&lt;=1200,IF(INDEX(对接源_01水果!$F$4:$F$1203,$AE107)=0,"",INDEX(对接源_01水果!$F$4:$F$1203,$AE107)),IF(INDEX(对接源_02物料!$F$4:$F$1203,$AE107-1200)=0,"",INDEX(对接源_02物料!$F$4:$F$1203,$AE107-1200))))</f>
      </c>
      <c r="D107" s="104">
        <f>IF($AE107="","",IF($AE107&lt;=1200,IF(INDEX(对接源_01水果!$G$4:$G$1203,$AE107)=0,"",INDEX(对接源_01水果!$G$4:$G$1203,$AE107)),IF(INDEX(对接源_02物料!$G$4:$G$1203,$AE107-1200)=0,"",INDEX(对接源_02物料!$G$4:$G$1203,$AE107-1200))))</f>
      </c>
      <c r="E107" s="166">
        <f>IF($AE107="","",IF($AE107&lt;=1200,IF(INDEX(对接源_01水果!$H$4:$H$1203,$AE107)=0,"",INDEX(对接源_01水果!$H$4:$H$1203,$AE107)),IF(INDEX(对接源_02物料!$H$4:$H$1203,$AE107-1200)=0,"",INDEX(对接源_02物料!$H$4:$H$1203,$AE107-1200))))</f>
      </c>
      <c r="F107" s="104">
        <f>IF($AE107="","",IF($AE107&lt;=1200,IF(INDEX(对接源_01水果!$I$4:$I$1203,$AE107)=0,"",INDEX(对接源_01水果!$I$4:$I$1203,$AE107)),IF(INDEX(对接源_02物料!$I$4:$I$1203,$AE107-1200)=0,"",INDEX(对接源_02物料!$I$4:$I$1203,$AE107-1200))))</f>
      </c>
      <c r="G107" s="175">
        <f>IF($AE107="","",IF($AE107&lt;=1200,IF(INDEX(对接源_01水果!$J$4:$J$1203,$AE107)=0,"",INDEX(对接源_01水果!$J$4:$J$1203,$AE107)),IF(INDEX(对接源_02物料!$J$4:$J$1203,$AE107-1200)=0,"",INDEX(对接源_02物料!$J$4:$J$1203,$AE107-1200))))</f>
      </c>
      <c r="H107" s="104">
        <f>IF($AE107="","",IF($AE107&lt;=1200,IF(INDEX(对接源_01水果!$W$4:$W$1203,$AE107)=0,"",INDEX(对接源_01水果!$W$4:$W$1203,$AE107)),IF(INDEX(对接源_02物料!$W$4:$W$1203,$AE107-1200)=0,"",INDEX(对接源_02物料!$W$4:$W$1203,$AE107-1200))))</f>
      </c>
      <c r="I107" s="104">
        <f>IF($AE107="","",IF($AE107&lt;=1200,IF(INDEX(对接源_01水果!$C$4:$C$1203,$AE107)=0,"",INDEX(对接源_01水果!$C$4:$C$1203,$AE107)),IF(INDEX(对接源_02物料!$C$4:$C$1203,$AE107-1200)=0,"",INDEX(对接源_02物料!$C$4:$C$1203,$AE107-1200))))</f>
      </c>
      <c r="J107" s="107">
        <f>IF($AE107="","",IF($AE107&lt;=1200,IF(INDEX(对接源_01水果!$M$4:$M$1203,$AE107)=0,"",INDEX(对接源_01水果!$M$4:$M$1203,$AE107)),IF(INDEX(对接源_02物料!$M$4:$M$1203,$AE107-1200)=0,"",INDEX(对接源_02物料!$M$4:$M$1203,$AE107-1200))))</f>
      </c>
      <c r="AE107" s="2">
        <f>IFERROR(MATCH(102,_自动清单!$AA$4:$AA$2403,0),"")</f>
      </c>
      <c r="AI107" s="2">
        <f>IF($D107="","",$D107)</f>
      </c>
      <c r="AJ107" s="2">
        <f>IF(AI107="",0,IF(MATCH(AI107,AI$6:AI$125,0)=102,1,0))</f>
        <v>0</v>
      </c>
      <c r="AK107" s="2">
        <f>N(AK106)+AJ107</f>
        <v>3</v>
      </c>
    </row>
    <row r="108" ht="18" customHeight="1" s="127">
      <c r="A108" s="163">
        <f>IF($AE108="","",IF($AE108&lt;=1200,IF(INDEX(对接源_01水果!$B$4:$B$1203,$AE108)=0,"",INDEX(对接源_01水果!$B$4:$B$1203,$AE108)),IF(INDEX(对接源_02物料!$B$4:$B$1203,$AE108-1200)=0,"",INDEX(对接源_02物料!$B$4:$B$1203,$AE108-1200))))</f>
      </c>
      <c r="B108" s="61">
        <f>IF($AE108="","",IF($AE108&lt;=1200,IF(INDEX(对接源_01水果!$E$4:$E$1203,$AE108)=0,"",INDEX(对接源_01水果!$E$4:$E$1203,$AE108)),IF(INDEX(对接源_02物料!$E$4:$E$1203,$AE108-1200)=0,"",INDEX(对接源_02物料!$E$4:$E$1203,$AE108-1200))))</f>
      </c>
      <c r="C108" s="61">
        <f>IF($AE108="","",IF($AE108&lt;=1200,IF(INDEX(对接源_01水果!$F$4:$F$1203,$AE108)=0,"",INDEX(对接源_01水果!$F$4:$F$1203,$AE108)),IF(INDEX(对接源_02物料!$F$4:$F$1203,$AE108-1200)=0,"",INDEX(对接源_02物料!$F$4:$F$1203,$AE108-1200))))</f>
      </c>
      <c r="D108" s="61">
        <f>IF($AE108="","",IF($AE108&lt;=1200,IF(INDEX(对接源_01水果!$G$4:$G$1203,$AE108)=0,"",INDEX(对接源_01水果!$G$4:$G$1203,$AE108)),IF(INDEX(对接源_02物料!$G$4:$G$1203,$AE108-1200)=0,"",INDEX(对接源_02物料!$G$4:$G$1203,$AE108-1200))))</f>
      </c>
      <c r="E108" s="164">
        <f>IF($AE108="","",IF($AE108&lt;=1200,IF(INDEX(对接源_01水果!$H$4:$H$1203,$AE108)=0,"",INDEX(对接源_01水果!$H$4:$H$1203,$AE108)),IF(INDEX(对接源_02物料!$H$4:$H$1203,$AE108-1200)=0,"",INDEX(对接源_02物料!$H$4:$H$1203,$AE108-1200))))</f>
      </c>
      <c r="F108" s="61">
        <f>IF($AE108="","",IF($AE108&lt;=1200,IF(INDEX(对接源_01水果!$I$4:$I$1203,$AE108)=0,"",INDEX(对接源_01水果!$I$4:$I$1203,$AE108)),IF(INDEX(对接源_02物料!$I$4:$I$1203,$AE108-1200)=0,"",INDEX(对接源_02物料!$I$4:$I$1203,$AE108-1200))))</f>
      </c>
      <c r="G108" s="173">
        <f>IF($AE108="","",IF($AE108&lt;=1200,IF(INDEX(对接源_01水果!$J$4:$J$1203,$AE108)=0,"",INDEX(对接源_01水果!$J$4:$J$1203,$AE108)),IF(INDEX(对接源_02物料!$J$4:$J$1203,$AE108-1200)=0,"",INDEX(对接源_02物料!$J$4:$J$1203,$AE108-1200))))</f>
      </c>
      <c r="H108" s="61">
        <f>IF($AE108="","",IF($AE108&lt;=1200,IF(INDEX(对接源_01水果!$W$4:$W$1203,$AE108)=0,"",INDEX(对接源_01水果!$W$4:$W$1203,$AE108)),IF(INDEX(对接源_02物料!$W$4:$W$1203,$AE108-1200)=0,"",INDEX(对接源_02物料!$W$4:$W$1203,$AE108-1200))))</f>
      </c>
      <c r="I108" s="61">
        <f>IF($AE108="","",IF($AE108&lt;=1200,IF(INDEX(对接源_01水果!$C$4:$C$1203,$AE108)=0,"",INDEX(对接源_01水果!$C$4:$C$1203,$AE108)),IF(INDEX(对接源_02物料!$C$4:$C$1203,$AE108-1200)=0,"",INDEX(对接源_02物料!$C$4:$C$1203,$AE108-1200))))</f>
      </c>
      <c r="J108" s="64">
        <f>IF($AE108="","",IF($AE108&lt;=1200,IF(INDEX(对接源_01水果!$M$4:$M$1203,$AE108)=0,"",INDEX(对接源_01水果!$M$4:$M$1203,$AE108)),IF(INDEX(对接源_02物料!$M$4:$M$1203,$AE108-1200)=0,"",INDEX(对接源_02物料!$M$4:$M$1203,$AE108-1200))))</f>
      </c>
      <c r="AE108" s="2">
        <f>IFERROR(MATCH(103,_自动清单!$AA$4:$AA$2403,0),"")</f>
      </c>
      <c r="AI108" s="2">
        <f>IF($D108="","",$D108)</f>
      </c>
      <c r="AJ108" s="2">
        <f>IF(AI108="",0,IF(MATCH(AI108,AI$6:AI$125,0)=103,1,0))</f>
        <v>0</v>
      </c>
      <c r="AK108" s="2">
        <f>N(AK107)+AJ108</f>
        <v>3</v>
      </c>
    </row>
    <row r="109" ht="18" customHeight="1" s="127">
      <c r="A109" s="165">
        <f>IF($AE109="","",IF($AE109&lt;=1200,IF(INDEX(对接源_01水果!$B$4:$B$1203,$AE109)=0,"",INDEX(对接源_01水果!$B$4:$B$1203,$AE109)),IF(INDEX(对接源_02物料!$B$4:$B$1203,$AE109-1200)=0,"",INDEX(对接源_02物料!$B$4:$B$1203,$AE109-1200))))</f>
      </c>
      <c r="B109" s="104">
        <f>IF($AE109="","",IF($AE109&lt;=1200,IF(INDEX(对接源_01水果!$E$4:$E$1203,$AE109)=0,"",INDEX(对接源_01水果!$E$4:$E$1203,$AE109)),IF(INDEX(对接源_02物料!$E$4:$E$1203,$AE109-1200)=0,"",INDEX(对接源_02物料!$E$4:$E$1203,$AE109-1200))))</f>
      </c>
      <c r="C109" s="104">
        <f>IF($AE109="","",IF($AE109&lt;=1200,IF(INDEX(对接源_01水果!$F$4:$F$1203,$AE109)=0,"",INDEX(对接源_01水果!$F$4:$F$1203,$AE109)),IF(INDEX(对接源_02物料!$F$4:$F$1203,$AE109-1200)=0,"",INDEX(对接源_02物料!$F$4:$F$1203,$AE109-1200))))</f>
      </c>
      <c r="D109" s="104">
        <f>IF($AE109="","",IF($AE109&lt;=1200,IF(INDEX(对接源_01水果!$G$4:$G$1203,$AE109)=0,"",INDEX(对接源_01水果!$G$4:$G$1203,$AE109)),IF(INDEX(对接源_02物料!$G$4:$G$1203,$AE109-1200)=0,"",INDEX(对接源_02物料!$G$4:$G$1203,$AE109-1200))))</f>
      </c>
      <c r="E109" s="166">
        <f>IF($AE109="","",IF($AE109&lt;=1200,IF(INDEX(对接源_01水果!$H$4:$H$1203,$AE109)=0,"",INDEX(对接源_01水果!$H$4:$H$1203,$AE109)),IF(INDEX(对接源_02物料!$H$4:$H$1203,$AE109-1200)=0,"",INDEX(对接源_02物料!$H$4:$H$1203,$AE109-1200))))</f>
      </c>
      <c r="F109" s="104">
        <f>IF($AE109="","",IF($AE109&lt;=1200,IF(INDEX(对接源_01水果!$I$4:$I$1203,$AE109)=0,"",INDEX(对接源_01水果!$I$4:$I$1203,$AE109)),IF(INDEX(对接源_02物料!$I$4:$I$1203,$AE109-1200)=0,"",INDEX(对接源_02物料!$I$4:$I$1203,$AE109-1200))))</f>
      </c>
      <c r="G109" s="175">
        <f>IF($AE109="","",IF($AE109&lt;=1200,IF(INDEX(对接源_01水果!$J$4:$J$1203,$AE109)=0,"",INDEX(对接源_01水果!$J$4:$J$1203,$AE109)),IF(INDEX(对接源_02物料!$J$4:$J$1203,$AE109-1200)=0,"",INDEX(对接源_02物料!$J$4:$J$1203,$AE109-1200))))</f>
      </c>
      <c r="H109" s="104">
        <f>IF($AE109="","",IF($AE109&lt;=1200,IF(INDEX(对接源_01水果!$W$4:$W$1203,$AE109)=0,"",INDEX(对接源_01水果!$W$4:$W$1203,$AE109)),IF(INDEX(对接源_02物料!$W$4:$W$1203,$AE109-1200)=0,"",INDEX(对接源_02物料!$W$4:$W$1203,$AE109-1200))))</f>
      </c>
      <c r="I109" s="104">
        <f>IF($AE109="","",IF($AE109&lt;=1200,IF(INDEX(对接源_01水果!$C$4:$C$1203,$AE109)=0,"",INDEX(对接源_01水果!$C$4:$C$1203,$AE109)),IF(INDEX(对接源_02物料!$C$4:$C$1203,$AE109-1200)=0,"",INDEX(对接源_02物料!$C$4:$C$1203,$AE109-1200))))</f>
      </c>
      <c r="J109" s="107">
        <f>IF($AE109="","",IF($AE109&lt;=1200,IF(INDEX(对接源_01水果!$M$4:$M$1203,$AE109)=0,"",INDEX(对接源_01水果!$M$4:$M$1203,$AE109)),IF(INDEX(对接源_02物料!$M$4:$M$1203,$AE109-1200)=0,"",INDEX(对接源_02物料!$M$4:$M$1203,$AE109-1200))))</f>
      </c>
      <c r="AE109" s="2">
        <f>IFERROR(MATCH(104,_自动清单!$AA$4:$AA$2403,0),"")</f>
      </c>
      <c r="AI109" s="2">
        <f>IF($D109="","",$D109)</f>
      </c>
      <c r="AJ109" s="2">
        <f>IF(AI109="",0,IF(MATCH(AI109,AI$6:AI$125,0)=104,1,0))</f>
        <v>0</v>
      </c>
      <c r="AK109" s="2">
        <f>N(AK108)+AJ109</f>
        <v>3</v>
      </c>
    </row>
    <row r="110" ht="18" customHeight="1" s="127">
      <c r="A110" s="163">
        <f>IF($AE110="","",IF($AE110&lt;=1200,IF(INDEX(对接源_01水果!$B$4:$B$1203,$AE110)=0,"",INDEX(对接源_01水果!$B$4:$B$1203,$AE110)),IF(INDEX(对接源_02物料!$B$4:$B$1203,$AE110-1200)=0,"",INDEX(对接源_02物料!$B$4:$B$1203,$AE110-1200))))</f>
      </c>
      <c r="B110" s="61">
        <f>IF($AE110="","",IF($AE110&lt;=1200,IF(INDEX(对接源_01水果!$E$4:$E$1203,$AE110)=0,"",INDEX(对接源_01水果!$E$4:$E$1203,$AE110)),IF(INDEX(对接源_02物料!$E$4:$E$1203,$AE110-1200)=0,"",INDEX(对接源_02物料!$E$4:$E$1203,$AE110-1200))))</f>
      </c>
      <c r="C110" s="61">
        <f>IF($AE110="","",IF($AE110&lt;=1200,IF(INDEX(对接源_01水果!$F$4:$F$1203,$AE110)=0,"",INDEX(对接源_01水果!$F$4:$F$1203,$AE110)),IF(INDEX(对接源_02物料!$F$4:$F$1203,$AE110-1200)=0,"",INDEX(对接源_02物料!$F$4:$F$1203,$AE110-1200))))</f>
      </c>
      <c r="D110" s="61">
        <f>IF($AE110="","",IF($AE110&lt;=1200,IF(INDEX(对接源_01水果!$G$4:$G$1203,$AE110)=0,"",INDEX(对接源_01水果!$G$4:$G$1203,$AE110)),IF(INDEX(对接源_02物料!$G$4:$G$1203,$AE110-1200)=0,"",INDEX(对接源_02物料!$G$4:$G$1203,$AE110-1200))))</f>
      </c>
      <c r="E110" s="164">
        <f>IF($AE110="","",IF($AE110&lt;=1200,IF(INDEX(对接源_01水果!$H$4:$H$1203,$AE110)=0,"",INDEX(对接源_01水果!$H$4:$H$1203,$AE110)),IF(INDEX(对接源_02物料!$H$4:$H$1203,$AE110-1200)=0,"",INDEX(对接源_02物料!$H$4:$H$1203,$AE110-1200))))</f>
      </c>
      <c r="F110" s="61">
        <f>IF($AE110="","",IF($AE110&lt;=1200,IF(INDEX(对接源_01水果!$I$4:$I$1203,$AE110)=0,"",INDEX(对接源_01水果!$I$4:$I$1203,$AE110)),IF(INDEX(对接源_02物料!$I$4:$I$1203,$AE110-1200)=0,"",INDEX(对接源_02物料!$I$4:$I$1203,$AE110-1200))))</f>
      </c>
      <c r="G110" s="173">
        <f>IF($AE110="","",IF($AE110&lt;=1200,IF(INDEX(对接源_01水果!$J$4:$J$1203,$AE110)=0,"",INDEX(对接源_01水果!$J$4:$J$1203,$AE110)),IF(INDEX(对接源_02物料!$J$4:$J$1203,$AE110-1200)=0,"",INDEX(对接源_02物料!$J$4:$J$1203,$AE110-1200))))</f>
      </c>
      <c r="H110" s="61">
        <f>IF($AE110="","",IF($AE110&lt;=1200,IF(INDEX(对接源_01水果!$W$4:$W$1203,$AE110)=0,"",INDEX(对接源_01水果!$W$4:$W$1203,$AE110)),IF(INDEX(对接源_02物料!$W$4:$W$1203,$AE110-1200)=0,"",INDEX(对接源_02物料!$W$4:$W$1203,$AE110-1200))))</f>
      </c>
      <c r="I110" s="61">
        <f>IF($AE110="","",IF($AE110&lt;=1200,IF(INDEX(对接源_01水果!$C$4:$C$1203,$AE110)=0,"",INDEX(对接源_01水果!$C$4:$C$1203,$AE110)),IF(INDEX(对接源_02物料!$C$4:$C$1203,$AE110-1200)=0,"",INDEX(对接源_02物料!$C$4:$C$1203,$AE110-1200))))</f>
      </c>
      <c r="J110" s="64">
        <f>IF($AE110="","",IF($AE110&lt;=1200,IF(INDEX(对接源_01水果!$M$4:$M$1203,$AE110)=0,"",INDEX(对接源_01水果!$M$4:$M$1203,$AE110)),IF(INDEX(对接源_02物料!$M$4:$M$1203,$AE110-1200)=0,"",INDEX(对接源_02物料!$M$4:$M$1203,$AE110-1200))))</f>
      </c>
      <c r="AE110" s="2">
        <f>IFERROR(MATCH(105,_自动清单!$AA$4:$AA$2403,0),"")</f>
      </c>
      <c r="AI110" s="2">
        <f>IF($D110="","",$D110)</f>
      </c>
      <c r="AJ110" s="2">
        <f>IF(AI110="",0,IF(MATCH(AI110,AI$6:AI$125,0)=105,1,0))</f>
        <v>0</v>
      </c>
      <c r="AK110" s="2">
        <f>N(AK109)+AJ110</f>
        <v>3</v>
      </c>
    </row>
    <row r="111" ht="18" customHeight="1" s="127">
      <c r="A111" s="165">
        <f>IF($AE111="","",IF($AE111&lt;=1200,IF(INDEX(对接源_01水果!$B$4:$B$1203,$AE111)=0,"",INDEX(对接源_01水果!$B$4:$B$1203,$AE111)),IF(INDEX(对接源_02物料!$B$4:$B$1203,$AE111-1200)=0,"",INDEX(对接源_02物料!$B$4:$B$1203,$AE111-1200))))</f>
      </c>
      <c r="B111" s="104">
        <f>IF($AE111="","",IF($AE111&lt;=1200,IF(INDEX(对接源_01水果!$E$4:$E$1203,$AE111)=0,"",INDEX(对接源_01水果!$E$4:$E$1203,$AE111)),IF(INDEX(对接源_02物料!$E$4:$E$1203,$AE111-1200)=0,"",INDEX(对接源_02物料!$E$4:$E$1203,$AE111-1200))))</f>
      </c>
      <c r="C111" s="104">
        <f>IF($AE111="","",IF($AE111&lt;=1200,IF(INDEX(对接源_01水果!$F$4:$F$1203,$AE111)=0,"",INDEX(对接源_01水果!$F$4:$F$1203,$AE111)),IF(INDEX(对接源_02物料!$F$4:$F$1203,$AE111-1200)=0,"",INDEX(对接源_02物料!$F$4:$F$1203,$AE111-1200))))</f>
      </c>
      <c r="D111" s="104">
        <f>IF($AE111="","",IF($AE111&lt;=1200,IF(INDEX(对接源_01水果!$G$4:$G$1203,$AE111)=0,"",INDEX(对接源_01水果!$G$4:$G$1203,$AE111)),IF(INDEX(对接源_02物料!$G$4:$G$1203,$AE111-1200)=0,"",INDEX(对接源_02物料!$G$4:$G$1203,$AE111-1200))))</f>
      </c>
      <c r="E111" s="166">
        <f>IF($AE111="","",IF($AE111&lt;=1200,IF(INDEX(对接源_01水果!$H$4:$H$1203,$AE111)=0,"",INDEX(对接源_01水果!$H$4:$H$1203,$AE111)),IF(INDEX(对接源_02物料!$H$4:$H$1203,$AE111-1200)=0,"",INDEX(对接源_02物料!$H$4:$H$1203,$AE111-1200))))</f>
      </c>
      <c r="F111" s="104">
        <f>IF($AE111="","",IF($AE111&lt;=1200,IF(INDEX(对接源_01水果!$I$4:$I$1203,$AE111)=0,"",INDEX(对接源_01水果!$I$4:$I$1203,$AE111)),IF(INDEX(对接源_02物料!$I$4:$I$1203,$AE111-1200)=0,"",INDEX(对接源_02物料!$I$4:$I$1203,$AE111-1200))))</f>
      </c>
      <c r="G111" s="175">
        <f>IF($AE111="","",IF($AE111&lt;=1200,IF(INDEX(对接源_01水果!$J$4:$J$1203,$AE111)=0,"",INDEX(对接源_01水果!$J$4:$J$1203,$AE111)),IF(INDEX(对接源_02物料!$J$4:$J$1203,$AE111-1200)=0,"",INDEX(对接源_02物料!$J$4:$J$1203,$AE111-1200))))</f>
      </c>
      <c r="H111" s="104">
        <f>IF($AE111="","",IF($AE111&lt;=1200,IF(INDEX(对接源_01水果!$W$4:$W$1203,$AE111)=0,"",INDEX(对接源_01水果!$W$4:$W$1203,$AE111)),IF(INDEX(对接源_02物料!$W$4:$W$1203,$AE111-1200)=0,"",INDEX(对接源_02物料!$W$4:$W$1203,$AE111-1200))))</f>
      </c>
      <c r="I111" s="104">
        <f>IF($AE111="","",IF($AE111&lt;=1200,IF(INDEX(对接源_01水果!$C$4:$C$1203,$AE111)=0,"",INDEX(对接源_01水果!$C$4:$C$1203,$AE111)),IF(INDEX(对接源_02物料!$C$4:$C$1203,$AE111-1200)=0,"",INDEX(对接源_02物料!$C$4:$C$1203,$AE111-1200))))</f>
      </c>
      <c r="J111" s="107">
        <f>IF($AE111="","",IF($AE111&lt;=1200,IF(INDEX(对接源_01水果!$M$4:$M$1203,$AE111)=0,"",INDEX(对接源_01水果!$M$4:$M$1203,$AE111)),IF(INDEX(对接源_02物料!$M$4:$M$1203,$AE111-1200)=0,"",INDEX(对接源_02物料!$M$4:$M$1203,$AE111-1200))))</f>
      </c>
      <c r="AE111" s="2">
        <f>IFERROR(MATCH(106,_自动清单!$AA$4:$AA$2403,0),"")</f>
      </c>
      <c r="AI111" s="2">
        <f>IF($D111="","",$D111)</f>
      </c>
      <c r="AJ111" s="2">
        <f>IF(AI111="",0,IF(MATCH(AI111,AI$6:AI$125,0)=106,1,0))</f>
        <v>0</v>
      </c>
      <c r="AK111" s="2">
        <f>N(AK110)+AJ111</f>
        <v>3</v>
      </c>
    </row>
    <row r="112" ht="18" customHeight="1" s="127">
      <c r="A112" s="163">
        <f>IF($AE112="","",IF($AE112&lt;=1200,IF(INDEX(对接源_01水果!$B$4:$B$1203,$AE112)=0,"",INDEX(对接源_01水果!$B$4:$B$1203,$AE112)),IF(INDEX(对接源_02物料!$B$4:$B$1203,$AE112-1200)=0,"",INDEX(对接源_02物料!$B$4:$B$1203,$AE112-1200))))</f>
      </c>
      <c r="B112" s="61">
        <f>IF($AE112="","",IF($AE112&lt;=1200,IF(INDEX(对接源_01水果!$E$4:$E$1203,$AE112)=0,"",INDEX(对接源_01水果!$E$4:$E$1203,$AE112)),IF(INDEX(对接源_02物料!$E$4:$E$1203,$AE112-1200)=0,"",INDEX(对接源_02物料!$E$4:$E$1203,$AE112-1200))))</f>
      </c>
      <c r="C112" s="61">
        <f>IF($AE112="","",IF($AE112&lt;=1200,IF(INDEX(对接源_01水果!$F$4:$F$1203,$AE112)=0,"",INDEX(对接源_01水果!$F$4:$F$1203,$AE112)),IF(INDEX(对接源_02物料!$F$4:$F$1203,$AE112-1200)=0,"",INDEX(对接源_02物料!$F$4:$F$1203,$AE112-1200))))</f>
      </c>
      <c r="D112" s="61">
        <f>IF($AE112="","",IF($AE112&lt;=1200,IF(INDEX(对接源_01水果!$G$4:$G$1203,$AE112)=0,"",INDEX(对接源_01水果!$G$4:$G$1203,$AE112)),IF(INDEX(对接源_02物料!$G$4:$G$1203,$AE112-1200)=0,"",INDEX(对接源_02物料!$G$4:$G$1203,$AE112-1200))))</f>
      </c>
      <c r="E112" s="164">
        <f>IF($AE112="","",IF($AE112&lt;=1200,IF(INDEX(对接源_01水果!$H$4:$H$1203,$AE112)=0,"",INDEX(对接源_01水果!$H$4:$H$1203,$AE112)),IF(INDEX(对接源_02物料!$H$4:$H$1203,$AE112-1200)=0,"",INDEX(对接源_02物料!$H$4:$H$1203,$AE112-1200))))</f>
      </c>
      <c r="F112" s="61">
        <f>IF($AE112="","",IF($AE112&lt;=1200,IF(INDEX(对接源_01水果!$I$4:$I$1203,$AE112)=0,"",INDEX(对接源_01水果!$I$4:$I$1203,$AE112)),IF(INDEX(对接源_02物料!$I$4:$I$1203,$AE112-1200)=0,"",INDEX(对接源_02物料!$I$4:$I$1203,$AE112-1200))))</f>
      </c>
      <c r="G112" s="173">
        <f>IF($AE112="","",IF($AE112&lt;=1200,IF(INDEX(对接源_01水果!$J$4:$J$1203,$AE112)=0,"",INDEX(对接源_01水果!$J$4:$J$1203,$AE112)),IF(INDEX(对接源_02物料!$J$4:$J$1203,$AE112-1200)=0,"",INDEX(对接源_02物料!$J$4:$J$1203,$AE112-1200))))</f>
      </c>
      <c r="H112" s="61">
        <f>IF($AE112="","",IF($AE112&lt;=1200,IF(INDEX(对接源_01水果!$W$4:$W$1203,$AE112)=0,"",INDEX(对接源_01水果!$W$4:$W$1203,$AE112)),IF(INDEX(对接源_02物料!$W$4:$W$1203,$AE112-1200)=0,"",INDEX(对接源_02物料!$W$4:$W$1203,$AE112-1200))))</f>
      </c>
      <c r="I112" s="61">
        <f>IF($AE112="","",IF($AE112&lt;=1200,IF(INDEX(对接源_01水果!$C$4:$C$1203,$AE112)=0,"",INDEX(对接源_01水果!$C$4:$C$1203,$AE112)),IF(INDEX(对接源_02物料!$C$4:$C$1203,$AE112-1200)=0,"",INDEX(对接源_02物料!$C$4:$C$1203,$AE112-1200))))</f>
      </c>
      <c r="J112" s="64">
        <f>IF($AE112="","",IF($AE112&lt;=1200,IF(INDEX(对接源_01水果!$M$4:$M$1203,$AE112)=0,"",INDEX(对接源_01水果!$M$4:$M$1203,$AE112)),IF(INDEX(对接源_02物料!$M$4:$M$1203,$AE112-1200)=0,"",INDEX(对接源_02物料!$M$4:$M$1203,$AE112-1200))))</f>
      </c>
      <c r="AE112" s="2">
        <f>IFERROR(MATCH(107,_自动清单!$AA$4:$AA$2403,0),"")</f>
      </c>
      <c r="AI112" s="2">
        <f>IF($D112="","",$D112)</f>
      </c>
      <c r="AJ112" s="2">
        <f>IF(AI112="",0,IF(MATCH(AI112,AI$6:AI$125,0)=107,1,0))</f>
        <v>0</v>
      </c>
      <c r="AK112" s="2">
        <f>N(AK111)+AJ112</f>
        <v>3</v>
      </c>
    </row>
    <row r="113" ht="18" customHeight="1" s="127">
      <c r="A113" s="165">
        <f>IF($AE113="","",IF($AE113&lt;=1200,IF(INDEX(对接源_01水果!$B$4:$B$1203,$AE113)=0,"",INDEX(对接源_01水果!$B$4:$B$1203,$AE113)),IF(INDEX(对接源_02物料!$B$4:$B$1203,$AE113-1200)=0,"",INDEX(对接源_02物料!$B$4:$B$1203,$AE113-1200))))</f>
      </c>
      <c r="B113" s="104">
        <f>IF($AE113="","",IF($AE113&lt;=1200,IF(INDEX(对接源_01水果!$E$4:$E$1203,$AE113)=0,"",INDEX(对接源_01水果!$E$4:$E$1203,$AE113)),IF(INDEX(对接源_02物料!$E$4:$E$1203,$AE113-1200)=0,"",INDEX(对接源_02物料!$E$4:$E$1203,$AE113-1200))))</f>
      </c>
      <c r="C113" s="104">
        <f>IF($AE113="","",IF($AE113&lt;=1200,IF(INDEX(对接源_01水果!$F$4:$F$1203,$AE113)=0,"",INDEX(对接源_01水果!$F$4:$F$1203,$AE113)),IF(INDEX(对接源_02物料!$F$4:$F$1203,$AE113-1200)=0,"",INDEX(对接源_02物料!$F$4:$F$1203,$AE113-1200))))</f>
      </c>
      <c r="D113" s="104">
        <f>IF($AE113="","",IF($AE113&lt;=1200,IF(INDEX(对接源_01水果!$G$4:$G$1203,$AE113)=0,"",INDEX(对接源_01水果!$G$4:$G$1203,$AE113)),IF(INDEX(对接源_02物料!$G$4:$G$1203,$AE113-1200)=0,"",INDEX(对接源_02物料!$G$4:$G$1203,$AE113-1200))))</f>
      </c>
      <c r="E113" s="166">
        <f>IF($AE113="","",IF($AE113&lt;=1200,IF(INDEX(对接源_01水果!$H$4:$H$1203,$AE113)=0,"",INDEX(对接源_01水果!$H$4:$H$1203,$AE113)),IF(INDEX(对接源_02物料!$H$4:$H$1203,$AE113-1200)=0,"",INDEX(对接源_02物料!$H$4:$H$1203,$AE113-1200))))</f>
      </c>
      <c r="F113" s="104">
        <f>IF($AE113="","",IF($AE113&lt;=1200,IF(INDEX(对接源_01水果!$I$4:$I$1203,$AE113)=0,"",INDEX(对接源_01水果!$I$4:$I$1203,$AE113)),IF(INDEX(对接源_02物料!$I$4:$I$1203,$AE113-1200)=0,"",INDEX(对接源_02物料!$I$4:$I$1203,$AE113-1200))))</f>
      </c>
      <c r="G113" s="175">
        <f>IF($AE113="","",IF($AE113&lt;=1200,IF(INDEX(对接源_01水果!$J$4:$J$1203,$AE113)=0,"",INDEX(对接源_01水果!$J$4:$J$1203,$AE113)),IF(INDEX(对接源_02物料!$J$4:$J$1203,$AE113-1200)=0,"",INDEX(对接源_02物料!$J$4:$J$1203,$AE113-1200))))</f>
      </c>
      <c r="H113" s="104">
        <f>IF($AE113="","",IF($AE113&lt;=1200,IF(INDEX(对接源_01水果!$W$4:$W$1203,$AE113)=0,"",INDEX(对接源_01水果!$W$4:$W$1203,$AE113)),IF(INDEX(对接源_02物料!$W$4:$W$1203,$AE113-1200)=0,"",INDEX(对接源_02物料!$W$4:$W$1203,$AE113-1200))))</f>
      </c>
      <c r="I113" s="104">
        <f>IF($AE113="","",IF($AE113&lt;=1200,IF(INDEX(对接源_01水果!$C$4:$C$1203,$AE113)=0,"",INDEX(对接源_01水果!$C$4:$C$1203,$AE113)),IF(INDEX(对接源_02物料!$C$4:$C$1203,$AE113-1200)=0,"",INDEX(对接源_02物料!$C$4:$C$1203,$AE113-1200))))</f>
      </c>
      <c r="J113" s="107">
        <f>IF($AE113="","",IF($AE113&lt;=1200,IF(INDEX(对接源_01水果!$M$4:$M$1203,$AE113)=0,"",INDEX(对接源_01水果!$M$4:$M$1203,$AE113)),IF(INDEX(对接源_02物料!$M$4:$M$1203,$AE113-1200)=0,"",INDEX(对接源_02物料!$M$4:$M$1203,$AE113-1200))))</f>
      </c>
      <c r="AE113" s="2">
        <f>IFERROR(MATCH(108,_自动清单!$AA$4:$AA$2403,0),"")</f>
      </c>
      <c r="AI113" s="2">
        <f>IF($D113="","",$D113)</f>
      </c>
      <c r="AJ113" s="2">
        <f>IF(AI113="",0,IF(MATCH(AI113,AI$6:AI$125,0)=108,1,0))</f>
        <v>0</v>
      </c>
      <c r="AK113" s="2">
        <f>N(AK112)+AJ113</f>
        <v>3</v>
      </c>
    </row>
    <row r="114" ht="18" customHeight="1" s="127">
      <c r="A114" s="163">
        <f>IF($AE114="","",IF($AE114&lt;=1200,IF(INDEX(对接源_01水果!$B$4:$B$1203,$AE114)=0,"",INDEX(对接源_01水果!$B$4:$B$1203,$AE114)),IF(INDEX(对接源_02物料!$B$4:$B$1203,$AE114-1200)=0,"",INDEX(对接源_02物料!$B$4:$B$1203,$AE114-1200))))</f>
      </c>
      <c r="B114" s="61">
        <f>IF($AE114="","",IF($AE114&lt;=1200,IF(INDEX(对接源_01水果!$E$4:$E$1203,$AE114)=0,"",INDEX(对接源_01水果!$E$4:$E$1203,$AE114)),IF(INDEX(对接源_02物料!$E$4:$E$1203,$AE114-1200)=0,"",INDEX(对接源_02物料!$E$4:$E$1203,$AE114-1200))))</f>
      </c>
      <c r="C114" s="61">
        <f>IF($AE114="","",IF($AE114&lt;=1200,IF(INDEX(对接源_01水果!$F$4:$F$1203,$AE114)=0,"",INDEX(对接源_01水果!$F$4:$F$1203,$AE114)),IF(INDEX(对接源_02物料!$F$4:$F$1203,$AE114-1200)=0,"",INDEX(对接源_02物料!$F$4:$F$1203,$AE114-1200))))</f>
      </c>
      <c r="D114" s="61">
        <f>IF($AE114="","",IF($AE114&lt;=1200,IF(INDEX(对接源_01水果!$G$4:$G$1203,$AE114)=0,"",INDEX(对接源_01水果!$G$4:$G$1203,$AE114)),IF(INDEX(对接源_02物料!$G$4:$G$1203,$AE114-1200)=0,"",INDEX(对接源_02物料!$G$4:$G$1203,$AE114-1200))))</f>
      </c>
      <c r="E114" s="164">
        <f>IF($AE114="","",IF($AE114&lt;=1200,IF(INDEX(对接源_01水果!$H$4:$H$1203,$AE114)=0,"",INDEX(对接源_01水果!$H$4:$H$1203,$AE114)),IF(INDEX(对接源_02物料!$H$4:$H$1203,$AE114-1200)=0,"",INDEX(对接源_02物料!$H$4:$H$1203,$AE114-1200))))</f>
      </c>
      <c r="F114" s="61">
        <f>IF($AE114="","",IF($AE114&lt;=1200,IF(INDEX(对接源_01水果!$I$4:$I$1203,$AE114)=0,"",INDEX(对接源_01水果!$I$4:$I$1203,$AE114)),IF(INDEX(对接源_02物料!$I$4:$I$1203,$AE114-1200)=0,"",INDEX(对接源_02物料!$I$4:$I$1203,$AE114-1200))))</f>
      </c>
      <c r="G114" s="173">
        <f>IF($AE114="","",IF($AE114&lt;=1200,IF(INDEX(对接源_01水果!$J$4:$J$1203,$AE114)=0,"",INDEX(对接源_01水果!$J$4:$J$1203,$AE114)),IF(INDEX(对接源_02物料!$J$4:$J$1203,$AE114-1200)=0,"",INDEX(对接源_02物料!$J$4:$J$1203,$AE114-1200))))</f>
      </c>
      <c r="H114" s="61">
        <f>IF($AE114="","",IF($AE114&lt;=1200,IF(INDEX(对接源_01水果!$W$4:$W$1203,$AE114)=0,"",INDEX(对接源_01水果!$W$4:$W$1203,$AE114)),IF(INDEX(对接源_02物料!$W$4:$W$1203,$AE114-1200)=0,"",INDEX(对接源_02物料!$W$4:$W$1203,$AE114-1200))))</f>
      </c>
      <c r="I114" s="61">
        <f>IF($AE114="","",IF($AE114&lt;=1200,IF(INDEX(对接源_01水果!$C$4:$C$1203,$AE114)=0,"",INDEX(对接源_01水果!$C$4:$C$1203,$AE114)),IF(INDEX(对接源_02物料!$C$4:$C$1203,$AE114-1200)=0,"",INDEX(对接源_02物料!$C$4:$C$1203,$AE114-1200))))</f>
      </c>
      <c r="J114" s="64">
        <f>IF($AE114="","",IF($AE114&lt;=1200,IF(INDEX(对接源_01水果!$M$4:$M$1203,$AE114)=0,"",INDEX(对接源_01水果!$M$4:$M$1203,$AE114)),IF(INDEX(对接源_02物料!$M$4:$M$1203,$AE114-1200)=0,"",INDEX(对接源_02物料!$M$4:$M$1203,$AE114-1200))))</f>
      </c>
      <c r="AE114" s="2">
        <f>IFERROR(MATCH(109,_自动清单!$AA$4:$AA$2403,0),"")</f>
      </c>
      <c r="AI114" s="2">
        <f>IF($D114="","",$D114)</f>
      </c>
      <c r="AJ114" s="2">
        <f>IF(AI114="",0,IF(MATCH(AI114,AI$6:AI$125,0)=109,1,0))</f>
        <v>0</v>
      </c>
      <c r="AK114" s="2">
        <f>N(AK113)+AJ114</f>
        <v>3</v>
      </c>
    </row>
    <row r="115" ht="18" customHeight="1" s="127">
      <c r="A115" s="165">
        <f>IF($AE115="","",IF($AE115&lt;=1200,IF(INDEX(对接源_01水果!$B$4:$B$1203,$AE115)=0,"",INDEX(对接源_01水果!$B$4:$B$1203,$AE115)),IF(INDEX(对接源_02物料!$B$4:$B$1203,$AE115-1200)=0,"",INDEX(对接源_02物料!$B$4:$B$1203,$AE115-1200))))</f>
      </c>
      <c r="B115" s="104">
        <f>IF($AE115="","",IF($AE115&lt;=1200,IF(INDEX(对接源_01水果!$E$4:$E$1203,$AE115)=0,"",INDEX(对接源_01水果!$E$4:$E$1203,$AE115)),IF(INDEX(对接源_02物料!$E$4:$E$1203,$AE115-1200)=0,"",INDEX(对接源_02物料!$E$4:$E$1203,$AE115-1200))))</f>
      </c>
      <c r="C115" s="104">
        <f>IF($AE115="","",IF($AE115&lt;=1200,IF(INDEX(对接源_01水果!$F$4:$F$1203,$AE115)=0,"",INDEX(对接源_01水果!$F$4:$F$1203,$AE115)),IF(INDEX(对接源_02物料!$F$4:$F$1203,$AE115-1200)=0,"",INDEX(对接源_02物料!$F$4:$F$1203,$AE115-1200))))</f>
      </c>
      <c r="D115" s="104">
        <f>IF($AE115="","",IF($AE115&lt;=1200,IF(INDEX(对接源_01水果!$G$4:$G$1203,$AE115)=0,"",INDEX(对接源_01水果!$G$4:$G$1203,$AE115)),IF(INDEX(对接源_02物料!$G$4:$G$1203,$AE115-1200)=0,"",INDEX(对接源_02物料!$G$4:$G$1203,$AE115-1200))))</f>
      </c>
      <c r="E115" s="166">
        <f>IF($AE115="","",IF($AE115&lt;=1200,IF(INDEX(对接源_01水果!$H$4:$H$1203,$AE115)=0,"",INDEX(对接源_01水果!$H$4:$H$1203,$AE115)),IF(INDEX(对接源_02物料!$H$4:$H$1203,$AE115-1200)=0,"",INDEX(对接源_02物料!$H$4:$H$1203,$AE115-1200))))</f>
      </c>
      <c r="F115" s="104">
        <f>IF($AE115="","",IF($AE115&lt;=1200,IF(INDEX(对接源_01水果!$I$4:$I$1203,$AE115)=0,"",INDEX(对接源_01水果!$I$4:$I$1203,$AE115)),IF(INDEX(对接源_02物料!$I$4:$I$1203,$AE115-1200)=0,"",INDEX(对接源_02物料!$I$4:$I$1203,$AE115-1200))))</f>
      </c>
      <c r="G115" s="175">
        <f>IF($AE115="","",IF($AE115&lt;=1200,IF(INDEX(对接源_01水果!$J$4:$J$1203,$AE115)=0,"",INDEX(对接源_01水果!$J$4:$J$1203,$AE115)),IF(INDEX(对接源_02物料!$J$4:$J$1203,$AE115-1200)=0,"",INDEX(对接源_02物料!$J$4:$J$1203,$AE115-1200))))</f>
      </c>
      <c r="H115" s="104">
        <f>IF($AE115="","",IF($AE115&lt;=1200,IF(INDEX(对接源_01水果!$W$4:$W$1203,$AE115)=0,"",INDEX(对接源_01水果!$W$4:$W$1203,$AE115)),IF(INDEX(对接源_02物料!$W$4:$W$1203,$AE115-1200)=0,"",INDEX(对接源_02物料!$W$4:$W$1203,$AE115-1200))))</f>
      </c>
      <c r="I115" s="104">
        <f>IF($AE115="","",IF($AE115&lt;=1200,IF(INDEX(对接源_01水果!$C$4:$C$1203,$AE115)=0,"",INDEX(对接源_01水果!$C$4:$C$1203,$AE115)),IF(INDEX(对接源_02物料!$C$4:$C$1203,$AE115-1200)=0,"",INDEX(对接源_02物料!$C$4:$C$1203,$AE115-1200))))</f>
      </c>
      <c r="J115" s="107">
        <f>IF($AE115="","",IF($AE115&lt;=1200,IF(INDEX(对接源_01水果!$M$4:$M$1203,$AE115)=0,"",INDEX(对接源_01水果!$M$4:$M$1203,$AE115)),IF(INDEX(对接源_02物料!$M$4:$M$1203,$AE115-1200)=0,"",INDEX(对接源_02物料!$M$4:$M$1203,$AE115-1200))))</f>
      </c>
      <c r="AE115" s="2">
        <f>IFERROR(MATCH(110,_自动清单!$AA$4:$AA$2403,0),"")</f>
      </c>
      <c r="AI115" s="2">
        <f>IF($D115="","",$D115)</f>
      </c>
      <c r="AJ115" s="2">
        <f>IF(AI115="",0,IF(MATCH(AI115,AI$6:AI$125,0)=110,1,0))</f>
        <v>0</v>
      </c>
      <c r="AK115" s="2">
        <f>N(AK114)+AJ115</f>
        <v>3</v>
      </c>
    </row>
    <row r="116" ht="18" customHeight="1" s="127">
      <c r="A116" s="163">
        <f>IF($AE116="","",IF($AE116&lt;=1200,IF(INDEX(对接源_01水果!$B$4:$B$1203,$AE116)=0,"",INDEX(对接源_01水果!$B$4:$B$1203,$AE116)),IF(INDEX(对接源_02物料!$B$4:$B$1203,$AE116-1200)=0,"",INDEX(对接源_02物料!$B$4:$B$1203,$AE116-1200))))</f>
      </c>
      <c r="B116" s="61">
        <f>IF($AE116="","",IF($AE116&lt;=1200,IF(INDEX(对接源_01水果!$E$4:$E$1203,$AE116)=0,"",INDEX(对接源_01水果!$E$4:$E$1203,$AE116)),IF(INDEX(对接源_02物料!$E$4:$E$1203,$AE116-1200)=0,"",INDEX(对接源_02物料!$E$4:$E$1203,$AE116-1200))))</f>
      </c>
      <c r="C116" s="61">
        <f>IF($AE116="","",IF($AE116&lt;=1200,IF(INDEX(对接源_01水果!$F$4:$F$1203,$AE116)=0,"",INDEX(对接源_01水果!$F$4:$F$1203,$AE116)),IF(INDEX(对接源_02物料!$F$4:$F$1203,$AE116-1200)=0,"",INDEX(对接源_02物料!$F$4:$F$1203,$AE116-1200))))</f>
      </c>
      <c r="D116" s="61">
        <f>IF($AE116="","",IF($AE116&lt;=1200,IF(INDEX(对接源_01水果!$G$4:$G$1203,$AE116)=0,"",INDEX(对接源_01水果!$G$4:$G$1203,$AE116)),IF(INDEX(对接源_02物料!$G$4:$G$1203,$AE116-1200)=0,"",INDEX(对接源_02物料!$G$4:$G$1203,$AE116-1200))))</f>
      </c>
      <c r="E116" s="164">
        <f>IF($AE116="","",IF($AE116&lt;=1200,IF(INDEX(对接源_01水果!$H$4:$H$1203,$AE116)=0,"",INDEX(对接源_01水果!$H$4:$H$1203,$AE116)),IF(INDEX(对接源_02物料!$H$4:$H$1203,$AE116-1200)=0,"",INDEX(对接源_02物料!$H$4:$H$1203,$AE116-1200))))</f>
      </c>
      <c r="F116" s="61">
        <f>IF($AE116="","",IF($AE116&lt;=1200,IF(INDEX(对接源_01水果!$I$4:$I$1203,$AE116)=0,"",INDEX(对接源_01水果!$I$4:$I$1203,$AE116)),IF(INDEX(对接源_02物料!$I$4:$I$1203,$AE116-1200)=0,"",INDEX(对接源_02物料!$I$4:$I$1203,$AE116-1200))))</f>
      </c>
      <c r="G116" s="173">
        <f>IF($AE116="","",IF($AE116&lt;=1200,IF(INDEX(对接源_01水果!$J$4:$J$1203,$AE116)=0,"",INDEX(对接源_01水果!$J$4:$J$1203,$AE116)),IF(INDEX(对接源_02物料!$J$4:$J$1203,$AE116-1200)=0,"",INDEX(对接源_02物料!$J$4:$J$1203,$AE116-1200))))</f>
      </c>
      <c r="H116" s="61">
        <f>IF($AE116="","",IF($AE116&lt;=1200,IF(INDEX(对接源_01水果!$W$4:$W$1203,$AE116)=0,"",INDEX(对接源_01水果!$W$4:$W$1203,$AE116)),IF(INDEX(对接源_02物料!$W$4:$W$1203,$AE116-1200)=0,"",INDEX(对接源_02物料!$W$4:$W$1203,$AE116-1200))))</f>
      </c>
      <c r="I116" s="61">
        <f>IF($AE116="","",IF($AE116&lt;=1200,IF(INDEX(对接源_01水果!$C$4:$C$1203,$AE116)=0,"",INDEX(对接源_01水果!$C$4:$C$1203,$AE116)),IF(INDEX(对接源_02物料!$C$4:$C$1203,$AE116-1200)=0,"",INDEX(对接源_02物料!$C$4:$C$1203,$AE116-1200))))</f>
      </c>
      <c r="J116" s="64">
        <f>IF($AE116="","",IF($AE116&lt;=1200,IF(INDEX(对接源_01水果!$M$4:$M$1203,$AE116)=0,"",INDEX(对接源_01水果!$M$4:$M$1203,$AE116)),IF(INDEX(对接源_02物料!$M$4:$M$1203,$AE116-1200)=0,"",INDEX(对接源_02物料!$M$4:$M$1203,$AE116-1200))))</f>
      </c>
      <c r="AE116" s="2">
        <f>IFERROR(MATCH(111,_自动清单!$AA$4:$AA$2403,0),"")</f>
      </c>
      <c r="AI116" s="2">
        <f>IF($D116="","",$D116)</f>
      </c>
      <c r="AJ116" s="2">
        <f>IF(AI116="",0,IF(MATCH(AI116,AI$6:AI$125,0)=111,1,0))</f>
        <v>0</v>
      </c>
      <c r="AK116" s="2">
        <f>N(AK115)+AJ116</f>
        <v>3</v>
      </c>
    </row>
    <row r="117" ht="18" customHeight="1" s="127">
      <c r="A117" s="165">
        <f>IF($AE117="","",IF($AE117&lt;=1200,IF(INDEX(对接源_01水果!$B$4:$B$1203,$AE117)=0,"",INDEX(对接源_01水果!$B$4:$B$1203,$AE117)),IF(INDEX(对接源_02物料!$B$4:$B$1203,$AE117-1200)=0,"",INDEX(对接源_02物料!$B$4:$B$1203,$AE117-1200))))</f>
      </c>
      <c r="B117" s="104">
        <f>IF($AE117="","",IF($AE117&lt;=1200,IF(INDEX(对接源_01水果!$E$4:$E$1203,$AE117)=0,"",INDEX(对接源_01水果!$E$4:$E$1203,$AE117)),IF(INDEX(对接源_02物料!$E$4:$E$1203,$AE117-1200)=0,"",INDEX(对接源_02物料!$E$4:$E$1203,$AE117-1200))))</f>
      </c>
      <c r="C117" s="104">
        <f>IF($AE117="","",IF($AE117&lt;=1200,IF(INDEX(对接源_01水果!$F$4:$F$1203,$AE117)=0,"",INDEX(对接源_01水果!$F$4:$F$1203,$AE117)),IF(INDEX(对接源_02物料!$F$4:$F$1203,$AE117-1200)=0,"",INDEX(对接源_02物料!$F$4:$F$1203,$AE117-1200))))</f>
      </c>
      <c r="D117" s="104">
        <f>IF($AE117="","",IF($AE117&lt;=1200,IF(INDEX(对接源_01水果!$G$4:$G$1203,$AE117)=0,"",INDEX(对接源_01水果!$G$4:$G$1203,$AE117)),IF(INDEX(对接源_02物料!$G$4:$G$1203,$AE117-1200)=0,"",INDEX(对接源_02物料!$G$4:$G$1203,$AE117-1200))))</f>
      </c>
      <c r="E117" s="166">
        <f>IF($AE117="","",IF($AE117&lt;=1200,IF(INDEX(对接源_01水果!$H$4:$H$1203,$AE117)=0,"",INDEX(对接源_01水果!$H$4:$H$1203,$AE117)),IF(INDEX(对接源_02物料!$H$4:$H$1203,$AE117-1200)=0,"",INDEX(对接源_02物料!$H$4:$H$1203,$AE117-1200))))</f>
      </c>
      <c r="F117" s="104">
        <f>IF($AE117="","",IF($AE117&lt;=1200,IF(INDEX(对接源_01水果!$I$4:$I$1203,$AE117)=0,"",INDEX(对接源_01水果!$I$4:$I$1203,$AE117)),IF(INDEX(对接源_02物料!$I$4:$I$1203,$AE117-1200)=0,"",INDEX(对接源_02物料!$I$4:$I$1203,$AE117-1200))))</f>
      </c>
      <c r="G117" s="175">
        <f>IF($AE117="","",IF($AE117&lt;=1200,IF(INDEX(对接源_01水果!$J$4:$J$1203,$AE117)=0,"",INDEX(对接源_01水果!$J$4:$J$1203,$AE117)),IF(INDEX(对接源_02物料!$J$4:$J$1203,$AE117-1200)=0,"",INDEX(对接源_02物料!$J$4:$J$1203,$AE117-1200))))</f>
      </c>
      <c r="H117" s="104">
        <f>IF($AE117="","",IF($AE117&lt;=1200,IF(INDEX(对接源_01水果!$W$4:$W$1203,$AE117)=0,"",INDEX(对接源_01水果!$W$4:$W$1203,$AE117)),IF(INDEX(对接源_02物料!$W$4:$W$1203,$AE117-1200)=0,"",INDEX(对接源_02物料!$W$4:$W$1203,$AE117-1200))))</f>
      </c>
      <c r="I117" s="104">
        <f>IF($AE117="","",IF($AE117&lt;=1200,IF(INDEX(对接源_01水果!$C$4:$C$1203,$AE117)=0,"",INDEX(对接源_01水果!$C$4:$C$1203,$AE117)),IF(INDEX(对接源_02物料!$C$4:$C$1203,$AE117-1200)=0,"",INDEX(对接源_02物料!$C$4:$C$1203,$AE117-1200))))</f>
      </c>
      <c r="J117" s="107">
        <f>IF($AE117="","",IF($AE117&lt;=1200,IF(INDEX(对接源_01水果!$M$4:$M$1203,$AE117)=0,"",INDEX(对接源_01水果!$M$4:$M$1203,$AE117)),IF(INDEX(对接源_02物料!$M$4:$M$1203,$AE117-1200)=0,"",INDEX(对接源_02物料!$M$4:$M$1203,$AE117-1200))))</f>
      </c>
      <c r="AE117" s="2">
        <f>IFERROR(MATCH(112,_自动清单!$AA$4:$AA$2403,0),"")</f>
      </c>
      <c r="AI117" s="2">
        <f>IF($D117="","",$D117)</f>
      </c>
      <c r="AJ117" s="2">
        <f>IF(AI117="",0,IF(MATCH(AI117,AI$6:AI$125,0)=112,1,0))</f>
        <v>0</v>
      </c>
      <c r="AK117" s="2">
        <f>N(AK116)+AJ117</f>
        <v>3</v>
      </c>
    </row>
    <row r="118" ht="18" customHeight="1" s="127">
      <c r="A118" s="163">
        <f>IF($AE118="","",IF($AE118&lt;=1200,IF(INDEX(对接源_01水果!$B$4:$B$1203,$AE118)=0,"",INDEX(对接源_01水果!$B$4:$B$1203,$AE118)),IF(INDEX(对接源_02物料!$B$4:$B$1203,$AE118-1200)=0,"",INDEX(对接源_02物料!$B$4:$B$1203,$AE118-1200))))</f>
      </c>
      <c r="B118" s="61">
        <f>IF($AE118="","",IF($AE118&lt;=1200,IF(INDEX(对接源_01水果!$E$4:$E$1203,$AE118)=0,"",INDEX(对接源_01水果!$E$4:$E$1203,$AE118)),IF(INDEX(对接源_02物料!$E$4:$E$1203,$AE118-1200)=0,"",INDEX(对接源_02物料!$E$4:$E$1203,$AE118-1200))))</f>
      </c>
      <c r="C118" s="61">
        <f>IF($AE118="","",IF($AE118&lt;=1200,IF(INDEX(对接源_01水果!$F$4:$F$1203,$AE118)=0,"",INDEX(对接源_01水果!$F$4:$F$1203,$AE118)),IF(INDEX(对接源_02物料!$F$4:$F$1203,$AE118-1200)=0,"",INDEX(对接源_02物料!$F$4:$F$1203,$AE118-1200))))</f>
      </c>
      <c r="D118" s="61">
        <f>IF($AE118="","",IF($AE118&lt;=1200,IF(INDEX(对接源_01水果!$G$4:$G$1203,$AE118)=0,"",INDEX(对接源_01水果!$G$4:$G$1203,$AE118)),IF(INDEX(对接源_02物料!$G$4:$G$1203,$AE118-1200)=0,"",INDEX(对接源_02物料!$G$4:$G$1203,$AE118-1200))))</f>
      </c>
      <c r="E118" s="164">
        <f>IF($AE118="","",IF($AE118&lt;=1200,IF(INDEX(对接源_01水果!$H$4:$H$1203,$AE118)=0,"",INDEX(对接源_01水果!$H$4:$H$1203,$AE118)),IF(INDEX(对接源_02物料!$H$4:$H$1203,$AE118-1200)=0,"",INDEX(对接源_02物料!$H$4:$H$1203,$AE118-1200))))</f>
      </c>
      <c r="F118" s="61">
        <f>IF($AE118="","",IF($AE118&lt;=1200,IF(INDEX(对接源_01水果!$I$4:$I$1203,$AE118)=0,"",INDEX(对接源_01水果!$I$4:$I$1203,$AE118)),IF(INDEX(对接源_02物料!$I$4:$I$1203,$AE118-1200)=0,"",INDEX(对接源_02物料!$I$4:$I$1203,$AE118-1200))))</f>
      </c>
      <c r="G118" s="173">
        <f>IF($AE118="","",IF($AE118&lt;=1200,IF(INDEX(对接源_01水果!$J$4:$J$1203,$AE118)=0,"",INDEX(对接源_01水果!$J$4:$J$1203,$AE118)),IF(INDEX(对接源_02物料!$J$4:$J$1203,$AE118-1200)=0,"",INDEX(对接源_02物料!$J$4:$J$1203,$AE118-1200))))</f>
      </c>
      <c r="H118" s="61">
        <f>IF($AE118="","",IF($AE118&lt;=1200,IF(INDEX(对接源_01水果!$W$4:$W$1203,$AE118)=0,"",INDEX(对接源_01水果!$W$4:$W$1203,$AE118)),IF(INDEX(对接源_02物料!$W$4:$W$1203,$AE118-1200)=0,"",INDEX(对接源_02物料!$W$4:$W$1203,$AE118-1200))))</f>
      </c>
      <c r="I118" s="61">
        <f>IF($AE118="","",IF($AE118&lt;=1200,IF(INDEX(对接源_01水果!$C$4:$C$1203,$AE118)=0,"",INDEX(对接源_01水果!$C$4:$C$1203,$AE118)),IF(INDEX(对接源_02物料!$C$4:$C$1203,$AE118-1200)=0,"",INDEX(对接源_02物料!$C$4:$C$1203,$AE118-1200))))</f>
      </c>
      <c r="J118" s="64">
        <f>IF($AE118="","",IF($AE118&lt;=1200,IF(INDEX(对接源_01水果!$M$4:$M$1203,$AE118)=0,"",INDEX(对接源_01水果!$M$4:$M$1203,$AE118)),IF(INDEX(对接源_02物料!$M$4:$M$1203,$AE118-1200)=0,"",INDEX(对接源_02物料!$M$4:$M$1203,$AE118-1200))))</f>
      </c>
      <c r="AE118" s="2">
        <f>IFERROR(MATCH(113,_自动清单!$AA$4:$AA$2403,0),"")</f>
      </c>
      <c r="AI118" s="2">
        <f>IF($D118="","",$D118)</f>
      </c>
      <c r="AJ118" s="2">
        <f>IF(AI118="",0,IF(MATCH(AI118,AI$6:AI$125,0)=113,1,0))</f>
        <v>0</v>
      </c>
      <c r="AK118" s="2">
        <f>N(AK117)+AJ118</f>
        <v>3</v>
      </c>
    </row>
    <row r="119" ht="18" customHeight="1" s="127">
      <c r="A119" s="165">
        <f>IF($AE119="","",IF($AE119&lt;=1200,IF(INDEX(对接源_01水果!$B$4:$B$1203,$AE119)=0,"",INDEX(对接源_01水果!$B$4:$B$1203,$AE119)),IF(INDEX(对接源_02物料!$B$4:$B$1203,$AE119-1200)=0,"",INDEX(对接源_02物料!$B$4:$B$1203,$AE119-1200))))</f>
      </c>
      <c r="B119" s="104">
        <f>IF($AE119="","",IF($AE119&lt;=1200,IF(INDEX(对接源_01水果!$E$4:$E$1203,$AE119)=0,"",INDEX(对接源_01水果!$E$4:$E$1203,$AE119)),IF(INDEX(对接源_02物料!$E$4:$E$1203,$AE119-1200)=0,"",INDEX(对接源_02物料!$E$4:$E$1203,$AE119-1200))))</f>
      </c>
      <c r="C119" s="104">
        <f>IF($AE119="","",IF($AE119&lt;=1200,IF(INDEX(对接源_01水果!$F$4:$F$1203,$AE119)=0,"",INDEX(对接源_01水果!$F$4:$F$1203,$AE119)),IF(INDEX(对接源_02物料!$F$4:$F$1203,$AE119-1200)=0,"",INDEX(对接源_02物料!$F$4:$F$1203,$AE119-1200))))</f>
      </c>
      <c r="D119" s="104">
        <f>IF($AE119="","",IF($AE119&lt;=1200,IF(INDEX(对接源_01水果!$G$4:$G$1203,$AE119)=0,"",INDEX(对接源_01水果!$G$4:$G$1203,$AE119)),IF(INDEX(对接源_02物料!$G$4:$G$1203,$AE119-1200)=0,"",INDEX(对接源_02物料!$G$4:$G$1203,$AE119-1200))))</f>
      </c>
      <c r="E119" s="166">
        <f>IF($AE119="","",IF($AE119&lt;=1200,IF(INDEX(对接源_01水果!$H$4:$H$1203,$AE119)=0,"",INDEX(对接源_01水果!$H$4:$H$1203,$AE119)),IF(INDEX(对接源_02物料!$H$4:$H$1203,$AE119-1200)=0,"",INDEX(对接源_02物料!$H$4:$H$1203,$AE119-1200))))</f>
      </c>
      <c r="F119" s="104">
        <f>IF($AE119="","",IF($AE119&lt;=1200,IF(INDEX(对接源_01水果!$I$4:$I$1203,$AE119)=0,"",INDEX(对接源_01水果!$I$4:$I$1203,$AE119)),IF(INDEX(对接源_02物料!$I$4:$I$1203,$AE119-1200)=0,"",INDEX(对接源_02物料!$I$4:$I$1203,$AE119-1200))))</f>
      </c>
      <c r="G119" s="175">
        <f>IF($AE119="","",IF($AE119&lt;=1200,IF(INDEX(对接源_01水果!$J$4:$J$1203,$AE119)=0,"",INDEX(对接源_01水果!$J$4:$J$1203,$AE119)),IF(INDEX(对接源_02物料!$J$4:$J$1203,$AE119-1200)=0,"",INDEX(对接源_02物料!$J$4:$J$1203,$AE119-1200))))</f>
      </c>
      <c r="H119" s="104">
        <f>IF($AE119="","",IF($AE119&lt;=1200,IF(INDEX(对接源_01水果!$W$4:$W$1203,$AE119)=0,"",INDEX(对接源_01水果!$W$4:$W$1203,$AE119)),IF(INDEX(对接源_02物料!$W$4:$W$1203,$AE119-1200)=0,"",INDEX(对接源_02物料!$W$4:$W$1203,$AE119-1200))))</f>
      </c>
      <c r="I119" s="104">
        <f>IF($AE119="","",IF($AE119&lt;=1200,IF(INDEX(对接源_01水果!$C$4:$C$1203,$AE119)=0,"",INDEX(对接源_01水果!$C$4:$C$1203,$AE119)),IF(INDEX(对接源_02物料!$C$4:$C$1203,$AE119-1200)=0,"",INDEX(对接源_02物料!$C$4:$C$1203,$AE119-1200))))</f>
      </c>
      <c r="J119" s="107">
        <f>IF($AE119="","",IF($AE119&lt;=1200,IF(INDEX(对接源_01水果!$M$4:$M$1203,$AE119)=0,"",INDEX(对接源_01水果!$M$4:$M$1203,$AE119)),IF(INDEX(对接源_02物料!$M$4:$M$1203,$AE119-1200)=0,"",INDEX(对接源_02物料!$M$4:$M$1203,$AE119-1200))))</f>
      </c>
      <c r="AE119" s="2">
        <f>IFERROR(MATCH(114,_自动清单!$AA$4:$AA$2403,0),"")</f>
      </c>
      <c r="AI119" s="2">
        <f>IF($D119="","",$D119)</f>
      </c>
      <c r="AJ119" s="2">
        <f>IF(AI119="",0,IF(MATCH(AI119,AI$6:AI$125,0)=114,1,0))</f>
        <v>0</v>
      </c>
      <c r="AK119" s="2">
        <f>N(AK118)+AJ119</f>
        <v>3</v>
      </c>
    </row>
    <row r="120" ht="18" customHeight="1" s="127">
      <c r="A120" s="163">
        <f>IF($AE120="","",IF($AE120&lt;=1200,IF(INDEX(对接源_01水果!$B$4:$B$1203,$AE120)=0,"",INDEX(对接源_01水果!$B$4:$B$1203,$AE120)),IF(INDEX(对接源_02物料!$B$4:$B$1203,$AE120-1200)=0,"",INDEX(对接源_02物料!$B$4:$B$1203,$AE120-1200))))</f>
      </c>
      <c r="B120" s="61">
        <f>IF($AE120="","",IF($AE120&lt;=1200,IF(INDEX(对接源_01水果!$E$4:$E$1203,$AE120)=0,"",INDEX(对接源_01水果!$E$4:$E$1203,$AE120)),IF(INDEX(对接源_02物料!$E$4:$E$1203,$AE120-1200)=0,"",INDEX(对接源_02物料!$E$4:$E$1203,$AE120-1200))))</f>
      </c>
      <c r="C120" s="61">
        <f>IF($AE120="","",IF($AE120&lt;=1200,IF(INDEX(对接源_01水果!$F$4:$F$1203,$AE120)=0,"",INDEX(对接源_01水果!$F$4:$F$1203,$AE120)),IF(INDEX(对接源_02物料!$F$4:$F$1203,$AE120-1200)=0,"",INDEX(对接源_02物料!$F$4:$F$1203,$AE120-1200))))</f>
      </c>
      <c r="D120" s="61">
        <f>IF($AE120="","",IF($AE120&lt;=1200,IF(INDEX(对接源_01水果!$G$4:$G$1203,$AE120)=0,"",INDEX(对接源_01水果!$G$4:$G$1203,$AE120)),IF(INDEX(对接源_02物料!$G$4:$G$1203,$AE120-1200)=0,"",INDEX(对接源_02物料!$G$4:$G$1203,$AE120-1200))))</f>
      </c>
      <c r="E120" s="164">
        <f>IF($AE120="","",IF($AE120&lt;=1200,IF(INDEX(对接源_01水果!$H$4:$H$1203,$AE120)=0,"",INDEX(对接源_01水果!$H$4:$H$1203,$AE120)),IF(INDEX(对接源_02物料!$H$4:$H$1203,$AE120-1200)=0,"",INDEX(对接源_02物料!$H$4:$H$1203,$AE120-1200))))</f>
      </c>
      <c r="F120" s="61">
        <f>IF($AE120="","",IF($AE120&lt;=1200,IF(INDEX(对接源_01水果!$I$4:$I$1203,$AE120)=0,"",INDEX(对接源_01水果!$I$4:$I$1203,$AE120)),IF(INDEX(对接源_02物料!$I$4:$I$1203,$AE120-1200)=0,"",INDEX(对接源_02物料!$I$4:$I$1203,$AE120-1200))))</f>
      </c>
      <c r="G120" s="173">
        <f>IF($AE120="","",IF($AE120&lt;=1200,IF(INDEX(对接源_01水果!$J$4:$J$1203,$AE120)=0,"",INDEX(对接源_01水果!$J$4:$J$1203,$AE120)),IF(INDEX(对接源_02物料!$J$4:$J$1203,$AE120-1200)=0,"",INDEX(对接源_02物料!$J$4:$J$1203,$AE120-1200))))</f>
      </c>
      <c r="H120" s="61">
        <f>IF($AE120="","",IF($AE120&lt;=1200,IF(INDEX(对接源_01水果!$W$4:$W$1203,$AE120)=0,"",INDEX(对接源_01水果!$W$4:$W$1203,$AE120)),IF(INDEX(对接源_02物料!$W$4:$W$1203,$AE120-1200)=0,"",INDEX(对接源_02物料!$W$4:$W$1203,$AE120-1200))))</f>
      </c>
      <c r="I120" s="61">
        <f>IF($AE120="","",IF($AE120&lt;=1200,IF(INDEX(对接源_01水果!$C$4:$C$1203,$AE120)=0,"",INDEX(对接源_01水果!$C$4:$C$1203,$AE120)),IF(INDEX(对接源_02物料!$C$4:$C$1203,$AE120-1200)=0,"",INDEX(对接源_02物料!$C$4:$C$1203,$AE120-1200))))</f>
      </c>
      <c r="J120" s="64">
        <f>IF($AE120="","",IF($AE120&lt;=1200,IF(INDEX(对接源_01水果!$M$4:$M$1203,$AE120)=0,"",INDEX(对接源_01水果!$M$4:$M$1203,$AE120)),IF(INDEX(对接源_02物料!$M$4:$M$1203,$AE120-1200)=0,"",INDEX(对接源_02物料!$M$4:$M$1203,$AE120-1200))))</f>
      </c>
      <c r="AE120" s="2">
        <f>IFERROR(MATCH(115,_自动清单!$AA$4:$AA$2403,0),"")</f>
      </c>
      <c r="AI120" s="2">
        <f>IF($D120="","",$D120)</f>
      </c>
      <c r="AJ120" s="2">
        <f>IF(AI120="",0,IF(MATCH(AI120,AI$6:AI$125,0)=115,1,0))</f>
        <v>0</v>
      </c>
      <c r="AK120" s="2">
        <f>N(AK119)+AJ120</f>
        <v>3</v>
      </c>
    </row>
    <row r="121" ht="18" customHeight="1" s="127">
      <c r="A121" s="165">
        <f>IF($AE121="","",IF($AE121&lt;=1200,IF(INDEX(对接源_01水果!$B$4:$B$1203,$AE121)=0,"",INDEX(对接源_01水果!$B$4:$B$1203,$AE121)),IF(INDEX(对接源_02物料!$B$4:$B$1203,$AE121-1200)=0,"",INDEX(对接源_02物料!$B$4:$B$1203,$AE121-1200))))</f>
      </c>
      <c r="B121" s="104">
        <f>IF($AE121="","",IF($AE121&lt;=1200,IF(INDEX(对接源_01水果!$E$4:$E$1203,$AE121)=0,"",INDEX(对接源_01水果!$E$4:$E$1203,$AE121)),IF(INDEX(对接源_02物料!$E$4:$E$1203,$AE121-1200)=0,"",INDEX(对接源_02物料!$E$4:$E$1203,$AE121-1200))))</f>
      </c>
      <c r="C121" s="104">
        <f>IF($AE121="","",IF($AE121&lt;=1200,IF(INDEX(对接源_01水果!$F$4:$F$1203,$AE121)=0,"",INDEX(对接源_01水果!$F$4:$F$1203,$AE121)),IF(INDEX(对接源_02物料!$F$4:$F$1203,$AE121-1200)=0,"",INDEX(对接源_02物料!$F$4:$F$1203,$AE121-1200))))</f>
      </c>
      <c r="D121" s="104">
        <f>IF($AE121="","",IF($AE121&lt;=1200,IF(INDEX(对接源_01水果!$G$4:$G$1203,$AE121)=0,"",INDEX(对接源_01水果!$G$4:$G$1203,$AE121)),IF(INDEX(对接源_02物料!$G$4:$G$1203,$AE121-1200)=0,"",INDEX(对接源_02物料!$G$4:$G$1203,$AE121-1200))))</f>
      </c>
      <c r="E121" s="166">
        <f>IF($AE121="","",IF($AE121&lt;=1200,IF(INDEX(对接源_01水果!$H$4:$H$1203,$AE121)=0,"",INDEX(对接源_01水果!$H$4:$H$1203,$AE121)),IF(INDEX(对接源_02物料!$H$4:$H$1203,$AE121-1200)=0,"",INDEX(对接源_02物料!$H$4:$H$1203,$AE121-1200))))</f>
      </c>
      <c r="F121" s="104">
        <f>IF($AE121="","",IF($AE121&lt;=1200,IF(INDEX(对接源_01水果!$I$4:$I$1203,$AE121)=0,"",INDEX(对接源_01水果!$I$4:$I$1203,$AE121)),IF(INDEX(对接源_02物料!$I$4:$I$1203,$AE121-1200)=0,"",INDEX(对接源_02物料!$I$4:$I$1203,$AE121-1200))))</f>
      </c>
      <c r="G121" s="175">
        <f>IF($AE121="","",IF($AE121&lt;=1200,IF(INDEX(对接源_01水果!$J$4:$J$1203,$AE121)=0,"",INDEX(对接源_01水果!$J$4:$J$1203,$AE121)),IF(INDEX(对接源_02物料!$J$4:$J$1203,$AE121-1200)=0,"",INDEX(对接源_02物料!$J$4:$J$1203,$AE121-1200))))</f>
      </c>
      <c r="H121" s="104">
        <f>IF($AE121="","",IF($AE121&lt;=1200,IF(INDEX(对接源_01水果!$W$4:$W$1203,$AE121)=0,"",INDEX(对接源_01水果!$W$4:$W$1203,$AE121)),IF(INDEX(对接源_02物料!$W$4:$W$1203,$AE121-1200)=0,"",INDEX(对接源_02物料!$W$4:$W$1203,$AE121-1200))))</f>
      </c>
      <c r="I121" s="104">
        <f>IF($AE121="","",IF($AE121&lt;=1200,IF(INDEX(对接源_01水果!$C$4:$C$1203,$AE121)=0,"",INDEX(对接源_01水果!$C$4:$C$1203,$AE121)),IF(INDEX(对接源_02物料!$C$4:$C$1203,$AE121-1200)=0,"",INDEX(对接源_02物料!$C$4:$C$1203,$AE121-1200))))</f>
      </c>
      <c r="J121" s="107">
        <f>IF($AE121="","",IF($AE121&lt;=1200,IF(INDEX(对接源_01水果!$M$4:$M$1203,$AE121)=0,"",INDEX(对接源_01水果!$M$4:$M$1203,$AE121)),IF(INDEX(对接源_02物料!$M$4:$M$1203,$AE121-1200)=0,"",INDEX(对接源_02物料!$M$4:$M$1203,$AE121-1200))))</f>
      </c>
      <c r="AE121" s="2">
        <f>IFERROR(MATCH(116,_自动清单!$AA$4:$AA$2403,0),"")</f>
      </c>
      <c r="AI121" s="2">
        <f>IF($D121="","",$D121)</f>
      </c>
      <c r="AJ121" s="2">
        <f>IF(AI121="",0,IF(MATCH(AI121,AI$6:AI$125,0)=116,1,0))</f>
        <v>0</v>
      </c>
      <c r="AK121" s="2">
        <f>N(AK120)+AJ121</f>
        <v>3</v>
      </c>
    </row>
    <row r="122" ht="18" customHeight="1" s="127">
      <c r="A122" s="163">
        <f>IF($AE122="","",IF($AE122&lt;=1200,IF(INDEX(对接源_01水果!$B$4:$B$1203,$AE122)=0,"",INDEX(对接源_01水果!$B$4:$B$1203,$AE122)),IF(INDEX(对接源_02物料!$B$4:$B$1203,$AE122-1200)=0,"",INDEX(对接源_02物料!$B$4:$B$1203,$AE122-1200))))</f>
      </c>
      <c r="B122" s="61">
        <f>IF($AE122="","",IF($AE122&lt;=1200,IF(INDEX(对接源_01水果!$E$4:$E$1203,$AE122)=0,"",INDEX(对接源_01水果!$E$4:$E$1203,$AE122)),IF(INDEX(对接源_02物料!$E$4:$E$1203,$AE122-1200)=0,"",INDEX(对接源_02物料!$E$4:$E$1203,$AE122-1200))))</f>
      </c>
      <c r="C122" s="61">
        <f>IF($AE122="","",IF($AE122&lt;=1200,IF(INDEX(对接源_01水果!$F$4:$F$1203,$AE122)=0,"",INDEX(对接源_01水果!$F$4:$F$1203,$AE122)),IF(INDEX(对接源_02物料!$F$4:$F$1203,$AE122-1200)=0,"",INDEX(对接源_02物料!$F$4:$F$1203,$AE122-1200))))</f>
      </c>
      <c r="D122" s="61">
        <f>IF($AE122="","",IF($AE122&lt;=1200,IF(INDEX(对接源_01水果!$G$4:$G$1203,$AE122)=0,"",INDEX(对接源_01水果!$G$4:$G$1203,$AE122)),IF(INDEX(对接源_02物料!$G$4:$G$1203,$AE122-1200)=0,"",INDEX(对接源_02物料!$G$4:$G$1203,$AE122-1200))))</f>
      </c>
      <c r="E122" s="164">
        <f>IF($AE122="","",IF($AE122&lt;=1200,IF(INDEX(对接源_01水果!$H$4:$H$1203,$AE122)=0,"",INDEX(对接源_01水果!$H$4:$H$1203,$AE122)),IF(INDEX(对接源_02物料!$H$4:$H$1203,$AE122-1200)=0,"",INDEX(对接源_02物料!$H$4:$H$1203,$AE122-1200))))</f>
      </c>
      <c r="F122" s="61">
        <f>IF($AE122="","",IF($AE122&lt;=1200,IF(INDEX(对接源_01水果!$I$4:$I$1203,$AE122)=0,"",INDEX(对接源_01水果!$I$4:$I$1203,$AE122)),IF(INDEX(对接源_02物料!$I$4:$I$1203,$AE122-1200)=0,"",INDEX(对接源_02物料!$I$4:$I$1203,$AE122-1200))))</f>
      </c>
      <c r="G122" s="173">
        <f>IF($AE122="","",IF($AE122&lt;=1200,IF(INDEX(对接源_01水果!$J$4:$J$1203,$AE122)=0,"",INDEX(对接源_01水果!$J$4:$J$1203,$AE122)),IF(INDEX(对接源_02物料!$J$4:$J$1203,$AE122-1200)=0,"",INDEX(对接源_02物料!$J$4:$J$1203,$AE122-1200))))</f>
      </c>
      <c r="H122" s="61">
        <f>IF($AE122="","",IF($AE122&lt;=1200,IF(INDEX(对接源_01水果!$W$4:$W$1203,$AE122)=0,"",INDEX(对接源_01水果!$W$4:$W$1203,$AE122)),IF(INDEX(对接源_02物料!$W$4:$W$1203,$AE122-1200)=0,"",INDEX(对接源_02物料!$W$4:$W$1203,$AE122-1200))))</f>
      </c>
      <c r="I122" s="61">
        <f>IF($AE122="","",IF($AE122&lt;=1200,IF(INDEX(对接源_01水果!$C$4:$C$1203,$AE122)=0,"",INDEX(对接源_01水果!$C$4:$C$1203,$AE122)),IF(INDEX(对接源_02物料!$C$4:$C$1203,$AE122-1200)=0,"",INDEX(对接源_02物料!$C$4:$C$1203,$AE122-1200))))</f>
      </c>
      <c r="J122" s="64">
        <f>IF($AE122="","",IF($AE122&lt;=1200,IF(INDEX(对接源_01水果!$M$4:$M$1203,$AE122)=0,"",INDEX(对接源_01水果!$M$4:$M$1203,$AE122)),IF(INDEX(对接源_02物料!$M$4:$M$1203,$AE122-1200)=0,"",INDEX(对接源_02物料!$M$4:$M$1203,$AE122-1200))))</f>
      </c>
      <c r="AE122" s="2">
        <f>IFERROR(MATCH(117,_自动清单!$AA$4:$AA$2403,0),"")</f>
      </c>
      <c r="AI122" s="2">
        <f>IF($D122="","",$D122)</f>
      </c>
      <c r="AJ122" s="2">
        <f>IF(AI122="",0,IF(MATCH(AI122,AI$6:AI$125,0)=117,1,0))</f>
        <v>0</v>
      </c>
      <c r="AK122" s="2">
        <f>N(AK121)+AJ122</f>
        <v>3</v>
      </c>
    </row>
    <row r="123" ht="18" customHeight="1" s="127">
      <c r="A123" s="165">
        <f>IF($AE123="","",IF($AE123&lt;=1200,IF(INDEX(对接源_01水果!$B$4:$B$1203,$AE123)=0,"",INDEX(对接源_01水果!$B$4:$B$1203,$AE123)),IF(INDEX(对接源_02物料!$B$4:$B$1203,$AE123-1200)=0,"",INDEX(对接源_02物料!$B$4:$B$1203,$AE123-1200))))</f>
      </c>
      <c r="B123" s="104">
        <f>IF($AE123="","",IF($AE123&lt;=1200,IF(INDEX(对接源_01水果!$E$4:$E$1203,$AE123)=0,"",INDEX(对接源_01水果!$E$4:$E$1203,$AE123)),IF(INDEX(对接源_02物料!$E$4:$E$1203,$AE123-1200)=0,"",INDEX(对接源_02物料!$E$4:$E$1203,$AE123-1200))))</f>
      </c>
      <c r="C123" s="104">
        <f>IF($AE123="","",IF($AE123&lt;=1200,IF(INDEX(对接源_01水果!$F$4:$F$1203,$AE123)=0,"",INDEX(对接源_01水果!$F$4:$F$1203,$AE123)),IF(INDEX(对接源_02物料!$F$4:$F$1203,$AE123-1200)=0,"",INDEX(对接源_02物料!$F$4:$F$1203,$AE123-1200))))</f>
      </c>
      <c r="D123" s="104">
        <f>IF($AE123="","",IF($AE123&lt;=1200,IF(INDEX(对接源_01水果!$G$4:$G$1203,$AE123)=0,"",INDEX(对接源_01水果!$G$4:$G$1203,$AE123)),IF(INDEX(对接源_02物料!$G$4:$G$1203,$AE123-1200)=0,"",INDEX(对接源_02物料!$G$4:$G$1203,$AE123-1200))))</f>
      </c>
      <c r="E123" s="166">
        <f>IF($AE123="","",IF($AE123&lt;=1200,IF(INDEX(对接源_01水果!$H$4:$H$1203,$AE123)=0,"",INDEX(对接源_01水果!$H$4:$H$1203,$AE123)),IF(INDEX(对接源_02物料!$H$4:$H$1203,$AE123-1200)=0,"",INDEX(对接源_02物料!$H$4:$H$1203,$AE123-1200))))</f>
      </c>
      <c r="F123" s="104">
        <f>IF($AE123="","",IF($AE123&lt;=1200,IF(INDEX(对接源_01水果!$I$4:$I$1203,$AE123)=0,"",INDEX(对接源_01水果!$I$4:$I$1203,$AE123)),IF(INDEX(对接源_02物料!$I$4:$I$1203,$AE123-1200)=0,"",INDEX(对接源_02物料!$I$4:$I$1203,$AE123-1200))))</f>
      </c>
      <c r="G123" s="175">
        <f>IF($AE123="","",IF($AE123&lt;=1200,IF(INDEX(对接源_01水果!$J$4:$J$1203,$AE123)=0,"",INDEX(对接源_01水果!$J$4:$J$1203,$AE123)),IF(INDEX(对接源_02物料!$J$4:$J$1203,$AE123-1200)=0,"",INDEX(对接源_02物料!$J$4:$J$1203,$AE123-1200))))</f>
      </c>
      <c r="H123" s="104">
        <f>IF($AE123="","",IF($AE123&lt;=1200,IF(INDEX(对接源_01水果!$W$4:$W$1203,$AE123)=0,"",INDEX(对接源_01水果!$W$4:$W$1203,$AE123)),IF(INDEX(对接源_02物料!$W$4:$W$1203,$AE123-1200)=0,"",INDEX(对接源_02物料!$W$4:$W$1203,$AE123-1200))))</f>
      </c>
      <c r="I123" s="104">
        <f>IF($AE123="","",IF($AE123&lt;=1200,IF(INDEX(对接源_01水果!$C$4:$C$1203,$AE123)=0,"",INDEX(对接源_01水果!$C$4:$C$1203,$AE123)),IF(INDEX(对接源_02物料!$C$4:$C$1203,$AE123-1200)=0,"",INDEX(对接源_02物料!$C$4:$C$1203,$AE123-1200))))</f>
      </c>
      <c r="J123" s="107">
        <f>IF($AE123="","",IF($AE123&lt;=1200,IF(INDEX(对接源_01水果!$M$4:$M$1203,$AE123)=0,"",INDEX(对接源_01水果!$M$4:$M$1203,$AE123)),IF(INDEX(对接源_02物料!$M$4:$M$1203,$AE123-1200)=0,"",INDEX(对接源_02物料!$M$4:$M$1203,$AE123-1200))))</f>
      </c>
      <c r="AE123" s="2">
        <f>IFERROR(MATCH(118,_自动清单!$AA$4:$AA$2403,0),"")</f>
      </c>
      <c r="AI123" s="2">
        <f>IF($D123="","",$D123)</f>
      </c>
      <c r="AJ123" s="2">
        <f>IF(AI123="",0,IF(MATCH(AI123,AI$6:AI$125,0)=118,1,0))</f>
        <v>0</v>
      </c>
      <c r="AK123" s="2">
        <f>N(AK122)+AJ123</f>
        <v>3</v>
      </c>
    </row>
    <row r="124" ht="18" customHeight="1" s="127">
      <c r="A124" s="163">
        <f>IF($AE124="","",IF($AE124&lt;=1200,IF(INDEX(对接源_01水果!$B$4:$B$1203,$AE124)=0,"",INDEX(对接源_01水果!$B$4:$B$1203,$AE124)),IF(INDEX(对接源_02物料!$B$4:$B$1203,$AE124-1200)=0,"",INDEX(对接源_02物料!$B$4:$B$1203,$AE124-1200))))</f>
      </c>
      <c r="B124" s="61">
        <f>IF($AE124="","",IF($AE124&lt;=1200,IF(INDEX(对接源_01水果!$E$4:$E$1203,$AE124)=0,"",INDEX(对接源_01水果!$E$4:$E$1203,$AE124)),IF(INDEX(对接源_02物料!$E$4:$E$1203,$AE124-1200)=0,"",INDEX(对接源_02物料!$E$4:$E$1203,$AE124-1200))))</f>
      </c>
      <c r="C124" s="61">
        <f>IF($AE124="","",IF($AE124&lt;=1200,IF(INDEX(对接源_01水果!$F$4:$F$1203,$AE124)=0,"",INDEX(对接源_01水果!$F$4:$F$1203,$AE124)),IF(INDEX(对接源_02物料!$F$4:$F$1203,$AE124-1200)=0,"",INDEX(对接源_02物料!$F$4:$F$1203,$AE124-1200))))</f>
      </c>
      <c r="D124" s="61">
        <f>IF($AE124="","",IF($AE124&lt;=1200,IF(INDEX(对接源_01水果!$G$4:$G$1203,$AE124)=0,"",INDEX(对接源_01水果!$G$4:$G$1203,$AE124)),IF(INDEX(对接源_02物料!$G$4:$G$1203,$AE124-1200)=0,"",INDEX(对接源_02物料!$G$4:$G$1203,$AE124-1200))))</f>
      </c>
      <c r="E124" s="164">
        <f>IF($AE124="","",IF($AE124&lt;=1200,IF(INDEX(对接源_01水果!$H$4:$H$1203,$AE124)=0,"",INDEX(对接源_01水果!$H$4:$H$1203,$AE124)),IF(INDEX(对接源_02物料!$H$4:$H$1203,$AE124-1200)=0,"",INDEX(对接源_02物料!$H$4:$H$1203,$AE124-1200))))</f>
      </c>
      <c r="F124" s="61">
        <f>IF($AE124="","",IF($AE124&lt;=1200,IF(INDEX(对接源_01水果!$I$4:$I$1203,$AE124)=0,"",INDEX(对接源_01水果!$I$4:$I$1203,$AE124)),IF(INDEX(对接源_02物料!$I$4:$I$1203,$AE124-1200)=0,"",INDEX(对接源_02物料!$I$4:$I$1203,$AE124-1200))))</f>
      </c>
      <c r="G124" s="173">
        <f>IF($AE124="","",IF($AE124&lt;=1200,IF(INDEX(对接源_01水果!$J$4:$J$1203,$AE124)=0,"",INDEX(对接源_01水果!$J$4:$J$1203,$AE124)),IF(INDEX(对接源_02物料!$J$4:$J$1203,$AE124-1200)=0,"",INDEX(对接源_02物料!$J$4:$J$1203,$AE124-1200))))</f>
      </c>
      <c r="H124" s="61">
        <f>IF($AE124="","",IF($AE124&lt;=1200,IF(INDEX(对接源_01水果!$W$4:$W$1203,$AE124)=0,"",INDEX(对接源_01水果!$W$4:$W$1203,$AE124)),IF(INDEX(对接源_02物料!$W$4:$W$1203,$AE124-1200)=0,"",INDEX(对接源_02物料!$W$4:$W$1203,$AE124-1200))))</f>
      </c>
      <c r="I124" s="61">
        <f>IF($AE124="","",IF($AE124&lt;=1200,IF(INDEX(对接源_01水果!$C$4:$C$1203,$AE124)=0,"",INDEX(对接源_01水果!$C$4:$C$1203,$AE124)),IF(INDEX(对接源_02物料!$C$4:$C$1203,$AE124-1200)=0,"",INDEX(对接源_02物料!$C$4:$C$1203,$AE124-1200))))</f>
      </c>
      <c r="J124" s="64">
        <f>IF($AE124="","",IF($AE124&lt;=1200,IF(INDEX(对接源_01水果!$M$4:$M$1203,$AE124)=0,"",INDEX(对接源_01水果!$M$4:$M$1203,$AE124)),IF(INDEX(对接源_02物料!$M$4:$M$1203,$AE124-1200)=0,"",INDEX(对接源_02物料!$M$4:$M$1203,$AE124-1200))))</f>
      </c>
      <c r="AE124" s="2">
        <f>IFERROR(MATCH(119,_自动清单!$AA$4:$AA$2403,0),"")</f>
      </c>
      <c r="AI124" s="2">
        <f>IF($D124="","",$D124)</f>
      </c>
      <c r="AJ124" s="2">
        <f>IF(AI124="",0,IF(MATCH(AI124,AI$6:AI$125,0)=119,1,0))</f>
        <v>0</v>
      </c>
      <c r="AK124" s="2">
        <f>N(AK123)+AJ124</f>
        <v>3</v>
      </c>
    </row>
    <row r="125" ht="18" customHeight="1" s="127">
      <c r="A125" s="165">
        <f>IF($AE125="","",IF($AE125&lt;=1200,IF(INDEX(对接源_01水果!$B$4:$B$1203,$AE125)=0,"",INDEX(对接源_01水果!$B$4:$B$1203,$AE125)),IF(INDEX(对接源_02物料!$B$4:$B$1203,$AE125-1200)=0,"",INDEX(对接源_02物料!$B$4:$B$1203,$AE125-1200))))</f>
      </c>
      <c r="B125" s="104">
        <f>IF($AE125="","",IF($AE125&lt;=1200,IF(INDEX(对接源_01水果!$E$4:$E$1203,$AE125)=0,"",INDEX(对接源_01水果!$E$4:$E$1203,$AE125)),IF(INDEX(对接源_02物料!$E$4:$E$1203,$AE125-1200)=0,"",INDEX(对接源_02物料!$E$4:$E$1203,$AE125-1200))))</f>
      </c>
      <c r="C125" s="104">
        <f>IF($AE125="","",IF($AE125&lt;=1200,IF(INDEX(对接源_01水果!$F$4:$F$1203,$AE125)=0,"",INDEX(对接源_01水果!$F$4:$F$1203,$AE125)),IF(INDEX(对接源_02物料!$F$4:$F$1203,$AE125-1200)=0,"",INDEX(对接源_02物料!$F$4:$F$1203,$AE125-1200))))</f>
      </c>
      <c r="D125" s="104">
        <f>IF($AE125="","",IF($AE125&lt;=1200,IF(INDEX(对接源_01水果!$G$4:$G$1203,$AE125)=0,"",INDEX(对接源_01水果!$G$4:$G$1203,$AE125)),IF(INDEX(对接源_02物料!$G$4:$G$1203,$AE125-1200)=0,"",INDEX(对接源_02物料!$G$4:$G$1203,$AE125-1200))))</f>
      </c>
      <c r="E125" s="166">
        <f>IF($AE125="","",IF($AE125&lt;=1200,IF(INDEX(对接源_01水果!$H$4:$H$1203,$AE125)=0,"",INDEX(对接源_01水果!$H$4:$H$1203,$AE125)),IF(INDEX(对接源_02物料!$H$4:$H$1203,$AE125-1200)=0,"",INDEX(对接源_02物料!$H$4:$H$1203,$AE125-1200))))</f>
      </c>
      <c r="F125" s="104">
        <f>IF($AE125="","",IF($AE125&lt;=1200,IF(INDEX(对接源_01水果!$I$4:$I$1203,$AE125)=0,"",INDEX(对接源_01水果!$I$4:$I$1203,$AE125)),IF(INDEX(对接源_02物料!$I$4:$I$1203,$AE125-1200)=0,"",INDEX(对接源_02物料!$I$4:$I$1203,$AE125-1200))))</f>
      </c>
      <c r="G125" s="175">
        <f>IF($AE125="","",IF($AE125&lt;=1200,IF(INDEX(对接源_01水果!$J$4:$J$1203,$AE125)=0,"",INDEX(对接源_01水果!$J$4:$J$1203,$AE125)),IF(INDEX(对接源_02物料!$J$4:$J$1203,$AE125-1200)=0,"",INDEX(对接源_02物料!$J$4:$J$1203,$AE125-1200))))</f>
      </c>
      <c r="H125" s="104">
        <f>IF($AE125="","",IF($AE125&lt;=1200,IF(INDEX(对接源_01水果!$W$4:$W$1203,$AE125)=0,"",INDEX(对接源_01水果!$W$4:$W$1203,$AE125)),IF(INDEX(对接源_02物料!$W$4:$W$1203,$AE125-1200)=0,"",INDEX(对接源_02物料!$W$4:$W$1203,$AE125-1200))))</f>
      </c>
      <c r="I125" s="104">
        <f>IF($AE125="","",IF($AE125&lt;=1200,IF(INDEX(对接源_01水果!$C$4:$C$1203,$AE125)=0,"",INDEX(对接源_01水果!$C$4:$C$1203,$AE125)),IF(INDEX(对接源_02物料!$C$4:$C$1203,$AE125-1200)=0,"",INDEX(对接源_02物料!$C$4:$C$1203,$AE125-1200))))</f>
      </c>
      <c r="J125" s="107">
        <f>IF($AE125="","",IF($AE125&lt;=1200,IF(INDEX(对接源_01水果!$M$4:$M$1203,$AE125)=0,"",INDEX(对接源_01水果!$M$4:$M$1203,$AE125)),IF(INDEX(对接源_02物料!$M$4:$M$1203,$AE125-1200)=0,"",INDEX(对接源_02物料!$M$4:$M$1203,$AE125-1200))))</f>
      </c>
      <c r="AE125" s="2">
        <f>IFERROR(MATCH(120,_自动清单!$AA$4:$AA$2403,0),"")</f>
      </c>
      <c r="AI125" s="2">
        <f>IF($D125="","",$D125)</f>
      </c>
      <c r="AJ125" s="2">
        <f>IF(AI125="",0,IF(MATCH(AI125,AI$6:AI$125,0)=120,1,0))</f>
        <v>0</v>
      </c>
      <c r="AK125" s="2">
        <f>N(AK124)+AJ125</f>
        <v>3</v>
      </c>
    </row>
    <row r="126"/>
    <row r="127" ht="24" customHeight="1" s="127">
      <c r="A127" s="54" t="inlineStr">
        <is>
          <t>出库总筐数 / 总毛重</t>
        </is>
      </c>
      <c r="B127" s="160" t="n"/>
      <c r="C127" s="160" t="n"/>
      <c r="D127" s="160" t="n"/>
      <c r="E127" s="160" t="n"/>
      <c r="F127" s="160" t="n"/>
      <c r="G127" s="158" t="n"/>
      <c r="H127" s="161" t="str">
        <f>ROUND(SUMIFS(对接源_01水果!$H$4:$H$1203,对接源_01水果!$C$4:$C$1203,$B$2,对接源_01水果!$B$4:$B$1203,"&gt;="&amp;$P$1,对接源_01水果!$B$4:$B$1203,"&lt;="&amp;$P$2,对接源_01水果!$D$4:$D$1203,"原料出库*")+SUMIFS(对接源_02物料!$H$4:$H$1203,对接源_02物料!$C$4:$C$1203,$B$2,对接源_02物料!$B$4:$B$1203,"&gt;="&amp;$P$1,对接源_02物料!$B$4:$B$1203,"&lt;="&amp;$P$2,对接源_02物料!$D$4:$D$1203,"原料出库*"),0)&amp;"　筐（件）　｜　总毛重 "&amp;TEXT(ROUND(SUMIFS(对接源_01水果!$J$4:$J$1203,对接源_01水果!$C$4:$C$1203,$B$2,对接源_01水果!$B$4:$B$1203,"&gt;="&amp;$P$1,对接源_01水果!$B$4:$B$1203,"&lt;="&amp;$P$2,对接源_01水果!$D$4:$D$1203,"原料出库*")+SUMIFS(对接源_02物料!$J$4:$J$1203,对接源_02物料!$C$4:$C$1203,$B$2,对接源_02物料!$B$4:$B$1203,"&gt;="&amp;$P$1,对接源_02物料!$B$4:$B$1203,"&lt;="&amp;$P$2,对接源_02物料!$D$4:$D$1203,"原料出库*"),2),"#,##0.00")&amp;" KG"</f>
        <v>0　筐（件）　｜　总毛重 0.00 KG</v>
      </c>
      <c r="I127" s="160" t="n"/>
      <c r="J127" s="158" t="n"/>
    </row>
    <row r="128" ht="30" customHeight="1" s="127">
      <c r="A128" s="59" t="inlineStr">
        <is>
          <t>日　期</t>
        </is>
      </c>
      <c r="B128" s="59" t="inlineStr">
        <is>
          <t>票据单号</t>
        </is>
      </c>
      <c r="C128" s="59" t="inlineStr">
        <is>
          <t>品　名</t>
        </is>
      </c>
      <c r="D128" s="59" t="inlineStr">
        <is>
          <t>等　级</t>
        </is>
      </c>
      <c r="E128" s="59" t="inlineStr">
        <is>
          <t>出库数量</t>
        </is>
      </c>
      <c r="F128" s="59" t="inlineStr">
        <is>
          <t>单位</t>
        </is>
      </c>
      <c r="G128" s="59" t="inlineStr">
        <is>
          <t>总毛重KG</t>
        </is>
      </c>
      <c r="H128" s="59" t="inlineStr">
        <is>
          <t>车牌号</t>
        </is>
      </c>
      <c r="I128" s="59" t="inlineStr">
        <is>
          <t>出库类别</t>
        </is>
      </c>
      <c r="J128" s="59" t="inlineStr">
        <is>
          <t>备　注</t>
        </is>
      </c>
    </row>
    <row r="129" ht="18" customHeight="1" s="127">
      <c r="A129" s="163">
        <f>IF($AF129="","",IF($AF129&lt;=1200,IF(INDEX(对接源_01水果!$B$4:$B$1203,$AF129)=0,"",INDEX(对接源_01水果!$B$4:$B$1203,$AF129)),IF(INDEX(对接源_02物料!$B$4:$B$1203,$AF129-1200)=0,"",INDEX(对接源_02物料!$B$4:$B$1203,$AF129-1200))))</f>
      </c>
      <c r="B129" s="61">
        <f>IF($AF129="","",IF($AF129&lt;=1200,IF(INDEX(对接源_01水果!$E$4:$E$1203,$AF129)=0,"",INDEX(对接源_01水果!$E$4:$E$1203,$AF129)),IF(INDEX(对接源_02物料!$E$4:$E$1203,$AF129-1200)=0,"",INDEX(对接源_02物料!$E$4:$E$1203,$AF129-1200))))</f>
      </c>
      <c r="C129" s="61">
        <f>IF($AF129="","",IF($AF129&lt;=1200,IF(INDEX(对接源_01水果!$F$4:$F$1203,$AF129)=0,"",INDEX(对接源_01水果!$F$4:$F$1203,$AF129)),IF(INDEX(对接源_02物料!$F$4:$F$1203,$AF129-1200)=0,"",INDEX(对接源_02物料!$F$4:$F$1203,$AF129-1200))))</f>
      </c>
      <c r="D129" s="61">
        <f>IF($AF129="","",IF($AF129&lt;=1200,IF(INDEX(对接源_01水果!$G$4:$G$1203,$AF129)=0,"",INDEX(对接源_01水果!$G$4:$G$1203,$AF129)),IF(INDEX(对接源_02物料!$G$4:$G$1203,$AF129-1200)=0,"",INDEX(对接源_02物料!$G$4:$G$1203,$AF129-1200))))</f>
      </c>
      <c r="E129" s="164">
        <f>IF($AF129="","",IF($AF129&lt;=1200,IF(INDEX(对接源_01水果!$H$4:$H$1203,$AF129)=0,"",INDEX(对接源_01水果!$H$4:$H$1203,$AF129)),IF(INDEX(对接源_02物料!$H$4:$H$1203,$AF129-1200)=0,"",INDEX(对接源_02物料!$H$4:$H$1203,$AF129-1200))))</f>
      </c>
      <c r="F129" s="61">
        <f>IF($AF129="","",IF($AF129&lt;=1200,IF(INDEX(对接源_01水果!$I$4:$I$1203,$AF129)=0,"",INDEX(对接源_01水果!$I$4:$I$1203,$AF129)),IF(INDEX(对接源_02物料!$I$4:$I$1203,$AF129-1200)=0,"",INDEX(对接源_02物料!$I$4:$I$1203,$AF129-1200))))</f>
      </c>
      <c r="G129" s="173">
        <f>IF($AF129="","",IF($AF129&lt;=1200,IF(INDEX(对接源_01水果!$J$4:$J$1203,$AF129)=0,"",INDEX(对接源_01水果!$J$4:$J$1203,$AF129)),IF(INDEX(对接源_02物料!$J$4:$J$1203,$AF129-1200)=0,"",INDEX(对接源_02物料!$J$4:$J$1203,$AF129-1200))))</f>
      </c>
      <c r="H129" s="61">
        <f>IF($AF129="","",IF($AF129&lt;=1200,IF(INDEX(对接源_01水果!$W$4:$W$1203,$AF129)=0,"",INDEX(对接源_01水果!$W$4:$W$1203,$AF129)),IF(INDEX(对接源_02物料!$W$4:$W$1203,$AF129-1200)=0,"",INDEX(对接源_02物料!$W$4:$W$1203,$AF129-1200))))</f>
      </c>
      <c r="I129" s="61">
        <f>IF($AF129="","",IF($AF129&lt;=1200,IF(INDEX(对接源_01水果!$D$4:$D$1203,$AF129)=0,"",INDEX(对接源_01水果!$D$4:$D$1203,$AF129)),IF(INDEX(对接源_02物料!$D$4:$D$1203,$AF129-1200)=0,"",INDEX(对接源_02物料!$D$4:$D$1203,$AF129-1200))))</f>
      </c>
      <c r="J129" s="64">
        <f>IF($AF129="","",IF($AF129&lt;=1200,IF(INDEX(对接源_01水果!$M$4:$M$1203,$AF129)=0,"",INDEX(对接源_01水果!$M$4:$M$1203,$AF129)),IF(INDEX(对接源_02物料!$M$4:$M$1203,$AF129-1200)=0,"",INDEX(对接源_02物料!$M$4:$M$1203,$AF129-1200))))</f>
      </c>
      <c r="AF129" s="2">
        <f>IFERROR(MATCH(1,_自动清单!$AC$4:$AC$2403,0),"")</f>
      </c>
      <c r="AL129" s="2">
        <f>IF($D129="","",$D129)</f>
      </c>
      <c r="AM129" s="2">
        <f>IF(AL129="",0,IF(MATCH(AL129,AL$129:AL$208,0)=1,1,0))</f>
        <v>0</v>
      </c>
      <c r="AN129" s="2">
        <f>N(AN128)+AM129</f>
        <v>0</v>
      </c>
    </row>
    <row r="130" ht="18" customHeight="1" s="127">
      <c r="A130" s="165">
        <f>IF($AF130="","",IF($AF130&lt;=1200,IF(INDEX(对接源_01水果!$B$4:$B$1203,$AF130)=0,"",INDEX(对接源_01水果!$B$4:$B$1203,$AF130)),IF(INDEX(对接源_02物料!$B$4:$B$1203,$AF130-1200)=0,"",INDEX(对接源_02物料!$B$4:$B$1203,$AF130-1200))))</f>
      </c>
      <c r="B130" s="104">
        <f>IF($AF130="","",IF($AF130&lt;=1200,IF(INDEX(对接源_01水果!$E$4:$E$1203,$AF130)=0,"",INDEX(对接源_01水果!$E$4:$E$1203,$AF130)),IF(INDEX(对接源_02物料!$E$4:$E$1203,$AF130-1200)=0,"",INDEX(对接源_02物料!$E$4:$E$1203,$AF130-1200))))</f>
      </c>
      <c r="C130" s="104">
        <f>IF($AF130="","",IF($AF130&lt;=1200,IF(INDEX(对接源_01水果!$F$4:$F$1203,$AF130)=0,"",INDEX(对接源_01水果!$F$4:$F$1203,$AF130)),IF(INDEX(对接源_02物料!$F$4:$F$1203,$AF130-1200)=0,"",INDEX(对接源_02物料!$F$4:$F$1203,$AF130-1200))))</f>
      </c>
      <c r="D130" s="104">
        <f>IF($AF130="","",IF($AF130&lt;=1200,IF(INDEX(对接源_01水果!$G$4:$G$1203,$AF130)=0,"",INDEX(对接源_01水果!$G$4:$G$1203,$AF130)),IF(INDEX(对接源_02物料!$G$4:$G$1203,$AF130-1200)=0,"",INDEX(对接源_02物料!$G$4:$G$1203,$AF130-1200))))</f>
      </c>
      <c r="E130" s="166">
        <f>IF($AF130="","",IF($AF130&lt;=1200,IF(INDEX(对接源_01水果!$H$4:$H$1203,$AF130)=0,"",INDEX(对接源_01水果!$H$4:$H$1203,$AF130)),IF(INDEX(对接源_02物料!$H$4:$H$1203,$AF130-1200)=0,"",INDEX(对接源_02物料!$H$4:$H$1203,$AF130-1200))))</f>
      </c>
      <c r="F130" s="104">
        <f>IF($AF130="","",IF($AF130&lt;=1200,IF(INDEX(对接源_01水果!$I$4:$I$1203,$AF130)=0,"",INDEX(对接源_01水果!$I$4:$I$1203,$AF130)),IF(INDEX(对接源_02物料!$I$4:$I$1203,$AF130-1200)=0,"",INDEX(对接源_02物料!$I$4:$I$1203,$AF130-1200))))</f>
      </c>
      <c r="G130" s="175">
        <f>IF($AF130="","",IF($AF130&lt;=1200,IF(INDEX(对接源_01水果!$J$4:$J$1203,$AF130)=0,"",INDEX(对接源_01水果!$J$4:$J$1203,$AF130)),IF(INDEX(对接源_02物料!$J$4:$J$1203,$AF130-1200)=0,"",INDEX(对接源_02物料!$J$4:$J$1203,$AF130-1200))))</f>
      </c>
      <c r="H130" s="104">
        <f>IF($AF130="","",IF($AF130&lt;=1200,IF(INDEX(对接源_01水果!$W$4:$W$1203,$AF130)=0,"",INDEX(对接源_01水果!$W$4:$W$1203,$AF130)),IF(INDEX(对接源_02物料!$W$4:$W$1203,$AF130-1200)=0,"",INDEX(对接源_02物料!$W$4:$W$1203,$AF130-1200))))</f>
      </c>
      <c r="I130" s="104">
        <f>IF($AF130="","",IF($AF130&lt;=1200,IF(INDEX(对接源_01水果!$D$4:$D$1203,$AF130)=0,"",INDEX(对接源_01水果!$D$4:$D$1203,$AF130)),IF(INDEX(对接源_02物料!$D$4:$D$1203,$AF130-1200)=0,"",INDEX(对接源_02物料!$D$4:$D$1203,$AF130-1200))))</f>
      </c>
      <c r="J130" s="107">
        <f>IF($AF130="","",IF($AF130&lt;=1200,IF(INDEX(对接源_01水果!$M$4:$M$1203,$AF130)=0,"",INDEX(对接源_01水果!$M$4:$M$1203,$AF130)),IF(INDEX(对接源_02物料!$M$4:$M$1203,$AF130-1200)=0,"",INDEX(对接源_02物料!$M$4:$M$1203,$AF130-1200))))</f>
      </c>
      <c r="AF130" s="2">
        <f>IFERROR(MATCH(2,_自动清单!$AC$4:$AC$2403,0),"")</f>
      </c>
      <c r="AL130" s="2">
        <f>IF($D130="","",$D130)</f>
      </c>
      <c r="AM130" s="2">
        <f>IF(AL130="",0,IF(MATCH(AL130,AL$129:AL$208,0)=2,1,0))</f>
        <v>0</v>
      </c>
      <c r="AN130" s="2">
        <f>N(AN129)+AM130</f>
        <v>0</v>
      </c>
    </row>
    <row r="131" ht="18" customHeight="1" s="127">
      <c r="A131" s="163">
        <f>IF($AF131="","",IF($AF131&lt;=1200,IF(INDEX(对接源_01水果!$B$4:$B$1203,$AF131)=0,"",INDEX(对接源_01水果!$B$4:$B$1203,$AF131)),IF(INDEX(对接源_02物料!$B$4:$B$1203,$AF131-1200)=0,"",INDEX(对接源_02物料!$B$4:$B$1203,$AF131-1200))))</f>
      </c>
      <c r="B131" s="61">
        <f>IF($AF131="","",IF($AF131&lt;=1200,IF(INDEX(对接源_01水果!$E$4:$E$1203,$AF131)=0,"",INDEX(对接源_01水果!$E$4:$E$1203,$AF131)),IF(INDEX(对接源_02物料!$E$4:$E$1203,$AF131-1200)=0,"",INDEX(对接源_02物料!$E$4:$E$1203,$AF131-1200))))</f>
      </c>
      <c r="C131" s="61">
        <f>IF($AF131="","",IF($AF131&lt;=1200,IF(INDEX(对接源_01水果!$F$4:$F$1203,$AF131)=0,"",INDEX(对接源_01水果!$F$4:$F$1203,$AF131)),IF(INDEX(对接源_02物料!$F$4:$F$1203,$AF131-1200)=0,"",INDEX(对接源_02物料!$F$4:$F$1203,$AF131-1200))))</f>
      </c>
      <c r="D131" s="61">
        <f>IF($AF131="","",IF($AF131&lt;=1200,IF(INDEX(对接源_01水果!$G$4:$G$1203,$AF131)=0,"",INDEX(对接源_01水果!$G$4:$G$1203,$AF131)),IF(INDEX(对接源_02物料!$G$4:$G$1203,$AF131-1200)=0,"",INDEX(对接源_02物料!$G$4:$G$1203,$AF131-1200))))</f>
      </c>
      <c r="E131" s="164">
        <f>IF($AF131="","",IF($AF131&lt;=1200,IF(INDEX(对接源_01水果!$H$4:$H$1203,$AF131)=0,"",INDEX(对接源_01水果!$H$4:$H$1203,$AF131)),IF(INDEX(对接源_02物料!$H$4:$H$1203,$AF131-1200)=0,"",INDEX(对接源_02物料!$H$4:$H$1203,$AF131-1200))))</f>
      </c>
      <c r="F131" s="61">
        <f>IF($AF131="","",IF($AF131&lt;=1200,IF(INDEX(对接源_01水果!$I$4:$I$1203,$AF131)=0,"",INDEX(对接源_01水果!$I$4:$I$1203,$AF131)),IF(INDEX(对接源_02物料!$I$4:$I$1203,$AF131-1200)=0,"",INDEX(对接源_02物料!$I$4:$I$1203,$AF131-1200))))</f>
      </c>
      <c r="G131" s="173">
        <f>IF($AF131="","",IF($AF131&lt;=1200,IF(INDEX(对接源_01水果!$J$4:$J$1203,$AF131)=0,"",INDEX(对接源_01水果!$J$4:$J$1203,$AF131)),IF(INDEX(对接源_02物料!$J$4:$J$1203,$AF131-1200)=0,"",INDEX(对接源_02物料!$J$4:$J$1203,$AF131-1200))))</f>
      </c>
      <c r="H131" s="61">
        <f>IF($AF131="","",IF($AF131&lt;=1200,IF(INDEX(对接源_01水果!$W$4:$W$1203,$AF131)=0,"",INDEX(对接源_01水果!$W$4:$W$1203,$AF131)),IF(INDEX(对接源_02物料!$W$4:$W$1203,$AF131-1200)=0,"",INDEX(对接源_02物料!$W$4:$W$1203,$AF131-1200))))</f>
      </c>
      <c r="I131" s="61">
        <f>IF($AF131="","",IF($AF131&lt;=1200,IF(INDEX(对接源_01水果!$D$4:$D$1203,$AF131)=0,"",INDEX(对接源_01水果!$D$4:$D$1203,$AF131)),IF(INDEX(对接源_02物料!$D$4:$D$1203,$AF131-1200)=0,"",INDEX(对接源_02物料!$D$4:$D$1203,$AF131-1200))))</f>
      </c>
      <c r="J131" s="64">
        <f>IF($AF131="","",IF($AF131&lt;=1200,IF(INDEX(对接源_01水果!$M$4:$M$1203,$AF131)=0,"",INDEX(对接源_01水果!$M$4:$M$1203,$AF131)),IF(INDEX(对接源_02物料!$M$4:$M$1203,$AF131-1200)=0,"",INDEX(对接源_02物料!$M$4:$M$1203,$AF131-1200))))</f>
      </c>
      <c r="AF131" s="2">
        <f>IFERROR(MATCH(3,_自动清单!$AC$4:$AC$2403,0),"")</f>
      </c>
      <c r="AL131" s="2">
        <f>IF($D131="","",$D131)</f>
      </c>
      <c r="AM131" s="2">
        <f>IF(AL131="",0,IF(MATCH(AL131,AL$129:AL$208,0)=3,1,0))</f>
        <v>0</v>
      </c>
      <c r="AN131" s="2">
        <f>N(AN130)+AM131</f>
        <v>0</v>
      </c>
    </row>
    <row r="132" ht="18" customHeight="1" s="127">
      <c r="A132" s="165">
        <f>IF($AF132="","",IF($AF132&lt;=1200,IF(INDEX(对接源_01水果!$B$4:$B$1203,$AF132)=0,"",INDEX(对接源_01水果!$B$4:$B$1203,$AF132)),IF(INDEX(对接源_02物料!$B$4:$B$1203,$AF132-1200)=0,"",INDEX(对接源_02物料!$B$4:$B$1203,$AF132-1200))))</f>
      </c>
      <c r="B132" s="104">
        <f>IF($AF132="","",IF($AF132&lt;=1200,IF(INDEX(对接源_01水果!$E$4:$E$1203,$AF132)=0,"",INDEX(对接源_01水果!$E$4:$E$1203,$AF132)),IF(INDEX(对接源_02物料!$E$4:$E$1203,$AF132-1200)=0,"",INDEX(对接源_02物料!$E$4:$E$1203,$AF132-1200))))</f>
      </c>
      <c r="C132" s="104">
        <f>IF($AF132="","",IF($AF132&lt;=1200,IF(INDEX(对接源_01水果!$F$4:$F$1203,$AF132)=0,"",INDEX(对接源_01水果!$F$4:$F$1203,$AF132)),IF(INDEX(对接源_02物料!$F$4:$F$1203,$AF132-1200)=0,"",INDEX(对接源_02物料!$F$4:$F$1203,$AF132-1200))))</f>
      </c>
      <c r="D132" s="104">
        <f>IF($AF132="","",IF($AF132&lt;=1200,IF(INDEX(对接源_01水果!$G$4:$G$1203,$AF132)=0,"",INDEX(对接源_01水果!$G$4:$G$1203,$AF132)),IF(INDEX(对接源_02物料!$G$4:$G$1203,$AF132-1200)=0,"",INDEX(对接源_02物料!$G$4:$G$1203,$AF132-1200))))</f>
      </c>
      <c r="E132" s="166">
        <f>IF($AF132="","",IF($AF132&lt;=1200,IF(INDEX(对接源_01水果!$H$4:$H$1203,$AF132)=0,"",INDEX(对接源_01水果!$H$4:$H$1203,$AF132)),IF(INDEX(对接源_02物料!$H$4:$H$1203,$AF132-1200)=0,"",INDEX(对接源_02物料!$H$4:$H$1203,$AF132-1200))))</f>
      </c>
      <c r="F132" s="104">
        <f>IF($AF132="","",IF($AF132&lt;=1200,IF(INDEX(对接源_01水果!$I$4:$I$1203,$AF132)=0,"",INDEX(对接源_01水果!$I$4:$I$1203,$AF132)),IF(INDEX(对接源_02物料!$I$4:$I$1203,$AF132-1200)=0,"",INDEX(对接源_02物料!$I$4:$I$1203,$AF132-1200))))</f>
      </c>
      <c r="G132" s="175">
        <f>IF($AF132="","",IF($AF132&lt;=1200,IF(INDEX(对接源_01水果!$J$4:$J$1203,$AF132)=0,"",INDEX(对接源_01水果!$J$4:$J$1203,$AF132)),IF(INDEX(对接源_02物料!$J$4:$J$1203,$AF132-1200)=0,"",INDEX(对接源_02物料!$J$4:$J$1203,$AF132-1200))))</f>
      </c>
      <c r="H132" s="104">
        <f>IF($AF132="","",IF($AF132&lt;=1200,IF(INDEX(对接源_01水果!$W$4:$W$1203,$AF132)=0,"",INDEX(对接源_01水果!$W$4:$W$1203,$AF132)),IF(INDEX(对接源_02物料!$W$4:$W$1203,$AF132-1200)=0,"",INDEX(对接源_02物料!$W$4:$W$1203,$AF132-1200))))</f>
      </c>
      <c r="I132" s="104">
        <f>IF($AF132="","",IF($AF132&lt;=1200,IF(INDEX(对接源_01水果!$D$4:$D$1203,$AF132)=0,"",INDEX(对接源_01水果!$D$4:$D$1203,$AF132)),IF(INDEX(对接源_02物料!$D$4:$D$1203,$AF132-1200)=0,"",INDEX(对接源_02物料!$D$4:$D$1203,$AF132-1200))))</f>
      </c>
      <c r="J132" s="107">
        <f>IF($AF132="","",IF($AF132&lt;=1200,IF(INDEX(对接源_01水果!$M$4:$M$1203,$AF132)=0,"",INDEX(对接源_01水果!$M$4:$M$1203,$AF132)),IF(INDEX(对接源_02物料!$M$4:$M$1203,$AF132-1200)=0,"",INDEX(对接源_02物料!$M$4:$M$1203,$AF132-1200))))</f>
      </c>
      <c r="AF132" s="2">
        <f>IFERROR(MATCH(4,_自动清单!$AC$4:$AC$2403,0),"")</f>
      </c>
      <c r="AL132" s="2">
        <f>IF($D132="","",$D132)</f>
      </c>
      <c r="AM132" s="2">
        <f>IF(AL132="",0,IF(MATCH(AL132,AL$129:AL$208,0)=4,1,0))</f>
        <v>0</v>
      </c>
      <c r="AN132" s="2">
        <f>N(AN131)+AM132</f>
        <v>0</v>
      </c>
    </row>
    <row r="133" ht="18" customHeight="1" s="127">
      <c r="A133" s="163">
        <f>IF($AF133="","",IF($AF133&lt;=1200,IF(INDEX(对接源_01水果!$B$4:$B$1203,$AF133)=0,"",INDEX(对接源_01水果!$B$4:$B$1203,$AF133)),IF(INDEX(对接源_02物料!$B$4:$B$1203,$AF133-1200)=0,"",INDEX(对接源_02物料!$B$4:$B$1203,$AF133-1200))))</f>
      </c>
      <c r="B133" s="61">
        <f>IF($AF133="","",IF($AF133&lt;=1200,IF(INDEX(对接源_01水果!$E$4:$E$1203,$AF133)=0,"",INDEX(对接源_01水果!$E$4:$E$1203,$AF133)),IF(INDEX(对接源_02物料!$E$4:$E$1203,$AF133-1200)=0,"",INDEX(对接源_02物料!$E$4:$E$1203,$AF133-1200))))</f>
      </c>
      <c r="C133" s="61">
        <f>IF($AF133="","",IF($AF133&lt;=1200,IF(INDEX(对接源_01水果!$F$4:$F$1203,$AF133)=0,"",INDEX(对接源_01水果!$F$4:$F$1203,$AF133)),IF(INDEX(对接源_02物料!$F$4:$F$1203,$AF133-1200)=0,"",INDEX(对接源_02物料!$F$4:$F$1203,$AF133-1200))))</f>
      </c>
      <c r="D133" s="61">
        <f>IF($AF133="","",IF($AF133&lt;=1200,IF(INDEX(对接源_01水果!$G$4:$G$1203,$AF133)=0,"",INDEX(对接源_01水果!$G$4:$G$1203,$AF133)),IF(INDEX(对接源_02物料!$G$4:$G$1203,$AF133-1200)=0,"",INDEX(对接源_02物料!$G$4:$G$1203,$AF133-1200))))</f>
      </c>
      <c r="E133" s="164">
        <f>IF($AF133="","",IF($AF133&lt;=1200,IF(INDEX(对接源_01水果!$H$4:$H$1203,$AF133)=0,"",INDEX(对接源_01水果!$H$4:$H$1203,$AF133)),IF(INDEX(对接源_02物料!$H$4:$H$1203,$AF133-1200)=0,"",INDEX(对接源_02物料!$H$4:$H$1203,$AF133-1200))))</f>
      </c>
      <c r="F133" s="61">
        <f>IF($AF133="","",IF($AF133&lt;=1200,IF(INDEX(对接源_01水果!$I$4:$I$1203,$AF133)=0,"",INDEX(对接源_01水果!$I$4:$I$1203,$AF133)),IF(INDEX(对接源_02物料!$I$4:$I$1203,$AF133-1200)=0,"",INDEX(对接源_02物料!$I$4:$I$1203,$AF133-1200))))</f>
      </c>
      <c r="G133" s="173">
        <f>IF($AF133="","",IF($AF133&lt;=1200,IF(INDEX(对接源_01水果!$J$4:$J$1203,$AF133)=0,"",INDEX(对接源_01水果!$J$4:$J$1203,$AF133)),IF(INDEX(对接源_02物料!$J$4:$J$1203,$AF133-1200)=0,"",INDEX(对接源_02物料!$J$4:$J$1203,$AF133-1200))))</f>
      </c>
      <c r="H133" s="61">
        <f>IF($AF133="","",IF($AF133&lt;=1200,IF(INDEX(对接源_01水果!$W$4:$W$1203,$AF133)=0,"",INDEX(对接源_01水果!$W$4:$W$1203,$AF133)),IF(INDEX(对接源_02物料!$W$4:$W$1203,$AF133-1200)=0,"",INDEX(对接源_02物料!$W$4:$W$1203,$AF133-1200))))</f>
      </c>
      <c r="I133" s="61">
        <f>IF($AF133="","",IF($AF133&lt;=1200,IF(INDEX(对接源_01水果!$D$4:$D$1203,$AF133)=0,"",INDEX(对接源_01水果!$D$4:$D$1203,$AF133)),IF(INDEX(对接源_02物料!$D$4:$D$1203,$AF133-1200)=0,"",INDEX(对接源_02物料!$D$4:$D$1203,$AF133-1200))))</f>
      </c>
      <c r="J133" s="64">
        <f>IF($AF133="","",IF($AF133&lt;=1200,IF(INDEX(对接源_01水果!$M$4:$M$1203,$AF133)=0,"",INDEX(对接源_01水果!$M$4:$M$1203,$AF133)),IF(INDEX(对接源_02物料!$M$4:$M$1203,$AF133-1200)=0,"",INDEX(对接源_02物料!$M$4:$M$1203,$AF133-1200))))</f>
      </c>
      <c r="AF133" s="2">
        <f>IFERROR(MATCH(5,_自动清单!$AC$4:$AC$2403,0),"")</f>
      </c>
      <c r="AL133" s="2">
        <f>IF($D133="","",$D133)</f>
      </c>
      <c r="AM133" s="2">
        <f>IF(AL133="",0,IF(MATCH(AL133,AL$129:AL$208,0)=5,1,0))</f>
        <v>0</v>
      </c>
      <c r="AN133" s="2">
        <f>N(AN132)+AM133</f>
        <v>0</v>
      </c>
    </row>
    <row r="134" ht="18" customHeight="1" s="127">
      <c r="A134" s="165">
        <f>IF($AF134="","",IF($AF134&lt;=1200,IF(INDEX(对接源_01水果!$B$4:$B$1203,$AF134)=0,"",INDEX(对接源_01水果!$B$4:$B$1203,$AF134)),IF(INDEX(对接源_02物料!$B$4:$B$1203,$AF134-1200)=0,"",INDEX(对接源_02物料!$B$4:$B$1203,$AF134-1200))))</f>
      </c>
      <c r="B134" s="104">
        <f>IF($AF134="","",IF($AF134&lt;=1200,IF(INDEX(对接源_01水果!$E$4:$E$1203,$AF134)=0,"",INDEX(对接源_01水果!$E$4:$E$1203,$AF134)),IF(INDEX(对接源_02物料!$E$4:$E$1203,$AF134-1200)=0,"",INDEX(对接源_02物料!$E$4:$E$1203,$AF134-1200))))</f>
      </c>
      <c r="C134" s="104">
        <f>IF($AF134="","",IF($AF134&lt;=1200,IF(INDEX(对接源_01水果!$F$4:$F$1203,$AF134)=0,"",INDEX(对接源_01水果!$F$4:$F$1203,$AF134)),IF(INDEX(对接源_02物料!$F$4:$F$1203,$AF134-1200)=0,"",INDEX(对接源_02物料!$F$4:$F$1203,$AF134-1200))))</f>
      </c>
      <c r="D134" s="104">
        <f>IF($AF134="","",IF($AF134&lt;=1200,IF(INDEX(对接源_01水果!$G$4:$G$1203,$AF134)=0,"",INDEX(对接源_01水果!$G$4:$G$1203,$AF134)),IF(INDEX(对接源_02物料!$G$4:$G$1203,$AF134-1200)=0,"",INDEX(对接源_02物料!$G$4:$G$1203,$AF134-1200))))</f>
      </c>
      <c r="E134" s="166">
        <f>IF($AF134="","",IF($AF134&lt;=1200,IF(INDEX(对接源_01水果!$H$4:$H$1203,$AF134)=0,"",INDEX(对接源_01水果!$H$4:$H$1203,$AF134)),IF(INDEX(对接源_02物料!$H$4:$H$1203,$AF134-1200)=0,"",INDEX(对接源_02物料!$H$4:$H$1203,$AF134-1200))))</f>
      </c>
      <c r="F134" s="104">
        <f>IF($AF134="","",IF($AF134&lt;=1200,IF(INDEX(对接源_01水果!$I$4:$I$1203,$AF134)=0,"",INDEX(对接源_01水果!$I$4:$I$1203,$AF134)),IF(INDEX(对接源_02物料!$I$4:$I$1203,$AF134-1200)=0,"",INDEX(对接源_02物料!$I$4:$I$1203,$AF134-1200))))</f>
      </c>
      <c r="G134" s="175">
        <f>IF($AF134="","",IF($AF134&lt;=1200,IF(INDEX(对接源_01水果!$J$4:$J$1203,$AF134)=0,"",INDEX(对接源_01水果!$J$4:$J$1203,$AF134)),IF(INDEX(对接源_02物料!$J$4:$J$1203,$AF134-1200)=0,"",INDEX(对接源_02物料!$J$4:$J$1203,$AF134-1200))))</f>
      </c>
      <c r="H134" s="104">
        <f>IF($AF134="","",IF($AF134&lt;=1200,IF(INDEX(对接源_01水果!$W$4:$W$1203,$AF134)=0,"",INDEX(对接源_01水果!$W$4:$W$1203,$AF134)),IF(INDEX(对接源_02物料!$W$4:$W$1203,$AF134-1200)=0,"",INDEX(对接源_02物料!$W$4:$W$1203,$AF134-1200))))</f>
      </c>
      <c r="I134" s="104">
        <f>IF($AF134="","",IF($AF134&lt;=1200,IF(INDEX(对接源_01水果!$D$4:$D$1203,$AF134)=0,"",INDEX(对接源_01水果!$D$4:$D$1203,$AF134)),IF(INDEX(对接源_02物料!$D$4:$D$1203,$AF134-1200)=0,"",INDEX(对接源_02物料!$D$4:$D$1203,$AF134-1200))))</f>
      </c>
      <c r="J134" s="107">
        <f>IF($AF134="","",IF($AF134&lt;=1200,IF(INDEX(对接源_01水果!$M$4:$M$1203,$AF134)=0,"",INDEX(对接源_01水果!$M$4:$M$1203,$AF134)),IF(INDEX(对接源_02物料!$M$4:$M$1203,$AF134-1200)=0,"",INDEX(对接源_02物料!$M$4:$M$1203,$AF134-1200))))</f>
      </c>
      <c r="AF134" s="2">
        <f>IFERROR(MATCH(6,_自动清单!$AC$4:$AC$2403,0),"")</f>
      </c>
      <c r="AL134" s="2">
        <f>IF($D134="","",$D134)</f>
      </c>
      <c r="AM134" s="2">
        <f>IF(AL134="",0,IF(MATCH(AL134,AL$129:AL$208,0)=6,1,0))</f>
        <v>0</v>
      </c>
      <c r="AN134" s="2">
        <f>N(AN133)+AM134</f>
        <v>0</v>
      </c>
    </row>
    <row r="135" ht="18" customHeight="1" s="127">
      <c r="A135" s="163">
        <f>IF($AF135="","",IF($AF135&lt;=1200,IF(INDEX(对接源_01水果!$B$4:$B$1203,$AF135)=0,"",INDEX(对接源_01水果!$B$4:$B$1203,$AF135)),IF(INDEX(对接源_02物料!$B$4:$B$1203,$AF135-1200)=0,"",INDEX(对接源_02物料!$B$4:$B$1203,$AF135-1200))))</f>
      </c>
      <c r="B135" s="61">
        <f>IF($AF135="","",IF($AF135&lt;=1200,IF(INDEX(对接源_01水果!$E$4:$E$1203,$AF135)=0,"",INDEX(对接源_01水果!$E$4:$E$1203,$AF135)),IF(INDEX(对接源_02物料!$E$4:$E$1203,$AF135-1200)=0,"",INDEX(对接源_02物料!$E$4:$E$1203,$AF135-1200))))</f>
      </c>
      <c r="C135" s="61">
        <f>IF($AF135="","",IF($AF135&lt;=1200,IF(INDEX(对接源_01水果!$F$4:$F$1203,$AF135)=0,"",INDEX(对接源_01水果!$F$4:$F$1203,$AF135)),IF(INDEX(对接源_02物料!$F$4:$F$1203,$AF135-1200)=0,"",INDEX(对接源_02物料!$F$4:$F$1203,$AF135-1200))))</f>
      </c>
      <c r="D135" s="61">
        <f>IF($AF135="","",IF($AF135&lt;=1200,IF(INDEX(对接源_01水果!$G$4:$G$1203,$AF135)=0,"",INDEX(对接源_01水果!$G$4:$G$1203,$AF135)),IF(INDEX(对接源_02物料!$G$4:$G$1203,$AF135-1200)=0,"",INDEX(对接源_02物料!$G$4:$G$1203,$AF135-1200))))</f>
      </c>
      <c r="E135" s="164">
        <f>IF($AF135="","",IF($AF135&lt;=1200,IF(INDEX(对接源_01水果!$H$4:$H$1203,$AF135)=0,"",INDEX(对接源_01水果!$H$4:$H$1203,$AF135)),IF(INDEX(对接源_02物料!$H$4:$H$1203,$AF135-1200)=0,"",INDEX(对接源_02物料!$H$4:$H$1203,$AF135-1200))))</f>
      </c>
      <c r="F135" s="61">
        <f>IF($AF135="","",IF($AF135&lt;=1200,IF(INDEX(对接源_01水果!$I$4:$I$1203,$AF135)=0,"",INDEX(对接源_01水果!$I$4:$I$1203,$AF135)),IF(INDEX(对接源_02物料!$I$4:$I$1203,$AF135-1200)=0,"",INDEX(对接源_02物料!$I$4:$I$1203,$AF135-1200))))</f>
      </c>
      <c r="G135" s="173">
        <f>IF($AF135="","",IF($AF135&lt;=1200,IF(INDEX(对接源_01水果!$J$4:$J$1203,$AF135)=0,"",INDEX(对接源_01水果!$J$4:$J$1203,$AF135)),IF(INDEX(对接源_02物料!$J$4:$J$1203,$AF135-1200)=0,"",INDEX(对接源_02物料!$J$4:$J$1203,$AF135-1200))))</f>
      </c>
      <c r="H135" s="61">
        <f>IF($AF135="","",IF($AF135&lt;=1200,IF(INDEX(对接源_01水果!$W$4:$W$1203,$AF135)=0,"",INDEX(对接源_01水果!$W$4:$W$1203,$AF135)),IF(INDEX(对接源_02物料!$W$4:$W$1203,$AF135-1200)=0,"",INDEX(对接源_02物料!$W$4:$W$1203,$AF135-1200))))</f>
      </c>
      <c r="I135" s="61">
        <f>IF($AF135="","",IF($AF135&lt;=1200,IF(INDEX(对接源_01水果!$D$4:$D$1203,$AF135)=0,"",INDEX(对接源_01水果!$D$4:$D$1203,$AF135)),IF(INDEX(对接源_02物料!$D$4:$D$1203,$AF135-1200)=0,"",INDEX(对接源_02物料!$D$4:$D$1203,$AF135-1200))))</f>
      </c>
      <c r="J135" s="64">
        <f>IF($AF135="","",IF($AF135&lt;=1200,IF(INDEX(对接源_01水果!$M$4:$M$1203,$AF135)=0,"",INDEX(对接源_01水果!$M$4:$M$1203,$AF135)),IF(INDEX(对接源_02物料!$M$4:$M$1203,$AF135-1200)=0,"",INDEX(对接源_02物料!$M$4:$M$1203,$AF135-1200))))</f>
      </c>
      <c r="AF135" s="2">
        <f>IFERROR(MATCH(7,_自动清单!$AC$4:$AC$2403,0),"")</f>
      </c>
      <c r="AL135" s="2">
        <f>IF($D135="","",$D135)</f>
      </c>
      <c r="AM135" s="2">
        <f>IF(AL135="",0,IF(MATCH(AL135,AL$129:AL$208,0)=7,1,0))</f>
        <v>0</v>
      </c>
      <c r="AN135" s="2">
        <f>N(AN134)+AM135</f>
        <v>0</v>
      </c>
    </row>
    <row r="136" ht="18" customHeight="1" s="127">
      <c r="A136" s="165">
        <f>IF($AF136="","",IF($AF136&lt;=1200,IF(INDEX(对接源_01水果!$B$4:$B$1203,$AF136)=0,"",INDEX(对接源_01水果!$B$4:$B$1203,$AF136)),IF(INDEX(对接源_02物料!$B$4:$B$1203,$AF136-1200)=0,"",INDEX(对接源_02物料!$B$4:$B$1203,$AF136-1200))))</f>
      </c>
      <c r="B136" s="104">
        <f>IF($AF136="","",IF($AF136&lt;=1200,IF(INDEX(对接源_01水果!$E$4:$E$1203,$AF136)=0,"",INDEX(对接源_01水果!$E$4:$E$1203,$AF136)),IF(INDEX(对接源_02物料!$E$4:$E$1203,$AF136-1200)=0,"",INDEX(对接源_02物料!$E$4:$E$1203,$AF136-1200))))</f>
      </c>
      <c r="C136" s="104">
        <f>IF($AF136="","",IF($AF136&lt;=1200,IF(INDEX(对接源_01水果!$F$4:$F$1203,$AF136)=0,"",INDEX(对接源_01水果!$F$4:$F$1203,$AF136)),IF(INDEX(对接源_02物料!$F$4:$F$1203,$AF136-1200)=0,"",INDEX(对接源_02物料!$F$4:$F$1203,$AF136-1200))))</f>
      </c>
      <c r="D136" s="104">
        <f>IF($AF136="","",IF($AF136&lt;=1200,IF(INDEX(对接源_01水果!$G$4:$G$1203,$AF136)=0,"",INDEX(对接源_01水果!$G$4:$G$1203,$AF136)),IF(INDEX(对接源_02物料!$G$4:$G$1203,$AF136-1200)=0,"",INDEX(对接源_02物料!$G$4:$G$1203,$AF136-1200))))</f>
      </c>
      <c r="E136" s="166">
        <f>IF($AF136="","",IF($AF136&lt;=1200,IF(INDEX(对接源_01水果!$H$4:$H$1203,$AF136)=0,"",INDEX(对接源_01水果!$H$4:$H$1203,$AF136)),IF(INDEX(对接源_02物料!$H$4:$H$1203,$AF136-1200)=0,"",INDEX(对接源_02物料!$H$4:$H$1203,$AF136-1200))))</f>
      </c>
      <c r="F136" s="104">
        <f>IF($AF136="","",IF($AF136&lt;=1200,IF(INDEX(对接源_01水果!$I$4:$I$1203,$AF136)=0,"",INDEX(对接源_01水果!$I$4:$I$1203,$AF136)),IF(INDEX(对接源_02物料!$I$4:$I$1203,$AF136-1200)=0,"",INDEX(对接源_02物料!$I$4:$I$1203,$AF136-1200))))</f>
      </c>
      <c r="G136" s="175">
        <f>IF($AF136="","",IF($AF136&lt;=1200,IF(INDEX(对接源_01水果!$J$4:$J$1203,$AF136)=0,"",INDEX(对接源_01水果!$J$4:$J$1203,$AF136)),IF(INDEX(对接源_02物料!$J$4:$J$1203,$AF136-1200)=0,"",INDEX(对接源_02物料!$J$4:$J$1203,$AF136-1200))))</f>
      </c>
      <c r="H136" s="104">
        <f>IF($AF136="","",IF($AF136&lt;=1200,IF(INDEX(对接源_01水果!$W$4:$W$1203,$AF136)=0,"",INDEX(对接源_01水果!$W$4:$W$1203,$AF136)),IF(INDEX(对接源_02物料!$W$4:$W$1203,$AF136-1200)=0,"",INDEX(对接源_02物料!$W$4:$W$1203,$AF136-1200))))</f>
      </c>
      <c r="I136" s="104">
        <f>IF($AF136="","",IF($AF136&lt;=1200,IF(INDEX(对接源_01水果!$D$4:$D$1203,$AF136)=0,"",INDEX(对接源_01水果!$D$4:$D$1203,$AF136)),IF(INDEX(对接源_02物料!$D$4:$D$1203,$AF136-1200)=0,"",INDEX(对接源_02物料!$D$4:$D$1203,$AF136-1200))))</f>
      </c>
      <c r="J136" s="107">
        <f>IF($AF136="","",IF($AF136&lt;=1200,IF(INDEX(对接源_01水果!$M$4:$M$1203,$AF136)=0,"",INDEX(对接源_01水果!$M$4:$M$1203,$AF136)),IF(INDEX(对接源_02物料!$M$4:$M$1203,$AF136-1200)=0,"",INDEX(对接源_02物料!$M$4:$M$1203,$AF136-1200))))</f>
      </c>
      <c r="AF136" s="2">
        <f>IFERROR(MATCH(8,_自动清单!$AC$4:$AC$2403,0),"")</f>
      </c>
      <c r="AL136" s="2">
        <f>IF($D136="","",$D136)</f>
      </c>
      <c r="AM136" s="2">
        <f>IF(AL136="",0,IF(MATCH(AL136,AL$129:AL$208,0)=8,1,0))</f>
        <v>0</v>
      </c>
      <c r="AN136" s="2">
        <f>N(AN135)+AM136</f>
        <v>0</v>
      </c>
    </row>
    <row r="137" ht="18" customHeight="1" s="127">
      <c r="A137" s="163">
        <f>IF($AF137="","",IF($AF137&lt;=1200,IF(INDEX(对接源_01水果!$B$4:$B$1203,$AF137)=0,"",INDEX(对接源_01水果!$B$4:$B$1203,$AF137)),IF(INDEX(对接源_02物料!$B$4:$B$1203,$AF137-1200)=0,"",INDEX(对接源_02物料!$B$4:$B$1203,$AF137-1200))))</f>
      </c>
      <c r="B137" s="61">
        <f>IF($AF137="","",IF($AF137&lt;=1200,IF(INDEX(对接源_01水果!$E$4:$E$1203,$AF137)=0,"",INDEX(对接源_01水果!$E$4:$E$1203,$AF137)),IF(INDEX(对接源_02物料!$E$4:$E$1203,$AF137-1200)=0,"",INDEX(对接源_02物料!$E$4:$E$1203,$AF137-1200))))</f>
      </c>
      <c r="C137" s="61">
        <f>IF($AF137="","",IF($AF137&lt;=1200,IF(INDEX(对接源_01水果!$F$4:$F$1203,$AF137)=0,"",INDEX(对接源_01水果!$F$4:$F$1203,$AF137)),IF(INDEX(对接源_02物料!$F$4:$F$1203,$AF137-1200)=0,"",INDEX(对接源_02物料!$F$4:$F$1203,$AF137-1200))))</f>
      </c>
      <c r="D137" s="61">
        <f>IF($AF137="","",IF($AF137&lt;=1200,IF(INDEX(对接源_01水果!$G$4:$G$1203,$AF137)=0,"",INDEX(对接源_01水果!$G$4:$G$1203,$AF137)),IF(INDEX(对接源_02物料!$G$4:$G$1203,$AF137-1200)=0,"",INDEX(对接源_02物料!$G$4:$G$1203,$AF137-1200))))</f>
      </c>
      <c r="E137" s="164">
        <f>IF($AF137="","",IF($AF137&lt;=1200,IF(INDEX(对接源_01水果!$H$4:$H$1203,$AF137)=0,"",INDEX(对接源_01水果!$H$4:$H$1203,$AF137)),IF(INDEX(对接源_02物料!$H$4:$H$1203,$AF137-1200)=0,"",INDEX(对接源_02物料!$H$4:$H$1203,$AF137-1200))))</f>
      </c>
      <c r="F137" s="61">
        <f>IF($AF137="","",IF($AF137&lt;=1200,IF(INDEX(对接源_01水果!$I$4:$I$1203,$AF137)=0,"",INDEX(对接源_01水果!$I$4:$I$1203,$AF137)),IF(INDEX(对接源_02物料!$I$4:$I$1203,$AF137-1200)=0,"",INDEX(对接源_02物料!$I$4:$I$1203,$AF137-1200))))</f>
      </c>
      <c r="G137" s="173">
        <f>IF($AF137="","",IF($AF137&lt;=1200,IF(INDEX(对接源_01水果!$J$4:$J$1203,$AF137)=0,"",INDEX(对接源_01水果!$J$4:$J$1203,$AF137)),IF(INDEX(对接源_02物料!$J$4:$J$1203,$AF137-1200)=0,"",INDEX(对接源_02物料!$J$4:$J$1203,$AF137-1200))))</f>
      </c>
      <c r="H137" s="61">
        <f>IF($AF137="","",IF($AF137&lt;=1200,IF(INDEX(对接源_01水果!$W$4:$W$1203,$AF137)=0,"",INDEX(对接源_01水果!$W$4:$W$1203,$AF137)),IF(INDEX(对接源_02物料!$W$4:$W$1203,$AF137-1200)=0,"",INDEX(对接源_02物料!$W$4:$W$1203,$AF137-1200))))</f>
      </c>
      <c r="I137" s="61">
        <f>IF($AF137="","",IF($AF137&lt;=1200,IF(INDEX(对接源_01水果!$D$4:$D$1203,$AF137)=0,"",INDEX(对接源_01水果!$D$4:$D$1203,$AF137)),IF(INDEX(对接源_02物料!$D$4:$D$1203,$AF137-1200)=0,"",INDEX(对接源_02物料!$D$4:$D$1203,$AF137-1200))))</f>
      </c>
      <c r="J137" s="64">
        <f>IF($AF137="","",IF($AF137&lt;=1200,IF(INDEX(对接源_01水果!$M$4:$M$1203,$AF137)=0,"",INDEX(对接源_01水果!$M$4:$M$1203,$AF137)),IF(INDEX(对接源_02物料!$M$4:$M$1203,$AF137-1200)=0,"",INDEX(对接源_02物料!$M$4:$M$1203,$AF137-1200))))</f>
      </c>
      <c r="AF137" s="2">
        <f>IFERROR(MATCH(9,_自动清单!$AC$4:$AC$2403,0),"")</f>
      </c>
      <c r="AL137" s="2">
        <f>IF($D137="","",$D137)</f>
      </c>
      <c r="AM137" s="2">
        <f>IF(AL137="",0,IF(MATCH(AL137,AL$129:AL$208,0)=9,1,0))</f>
        <v>0</v>
      </c>
      <c r="AN137" s="2">
        <f>N(AN136)+AM137</f>
        <v>0</v>
      </c>
    </row>
    <row r="138" ht="18" customHeight="1" s="127">
      <c r="A138" s="165">
        <f>IF($AF138="","",IF($AF138&lt;=1200,IF(INDEX(对接源_01水果!$B$4:$B$1203,$AF138)=0,"",INDEX(对接源_01水果!$B$4:$B$1203,$AF138)),IF(INDEX(对接源_02物料!$B$4:$B$1203,$AF138-1200)=0,"",INDEX(对接源_02物料!$B$4:$B$1203,$AF138-1200))))</f>
      </c>
      <c r="B138" s="104">
        <f>IF($AF138="","",IF($AF138&lt;=1200,IF(INDEX(对接源_01水果!$E$4:$E$1203,$AF138)=0,"",INDEX(对接源_01水果!$E$4:$E$1203,$AF138)),IF(INDEX(对接源_02物料!$E$4:$E$1203,$AF138-1200)=0,"",INDEX(对接源_02物料!$E$4:$E$1203,$AF138-1200))))</f>
      </c>
      <c r="C138" s="104">
        <f>IF($AF138="","",IF($AF138&lt;=1200,IF(INDEX(对接源_01水果!$F$4:$F$1203,$AF138)=0,"",INDEX(对接源_01水果!$F$4:$F$1203,$AF138)),IF(INDEX(对接源_02物料!$F$4:$F$1203,$AF138-1200)=0,"",INDEX(对接源_02物料!$F$4:$F$1203,$AF138-1200))))</f>
      </c>
      <c r="D138" s="104">
        <f>IF($AF138="","",IF($AF138&lt;=1200,IF(INDEX(对接源_01水果!$G$4:$G$1203,$AF138)=0,"",INDEX(对接源_01水果!$G$4:$G$1203,$AF138)),IF(INDEX(对接源_02物料!$G$4:$G$1203,$AF138-1200)=0,"",INDEX(对接源_02物料!$G$4:$G$1203,$AF138-1200))))</f>
      </c>
      <c r="E138" s="166">
        <f>IF($AF138="","",IF($AF138&lt;=1200,IF(INDEX(对接源_01水果!$H$4:$H$1203,$AF138)=0,"",INDEX(对接源_01水果!$H$4:$H$1203,$AF138)),IF(INDEX(对接源_02物料!$H$4:$H$1203,$AF138-1200)=0,"",INDEX(对接源_02物料!$H$4:$H$1203,$AF138-1200))))</f>
      </c>
      <c r="F138" s="104">
        <f>IF($AF138="","",IF($AF138&lt;=1200,IF(INDEX(对接源_01水果!$I$4:$I$1203,$AF138)=0,"",INDEX(对接源_01水果!$I$4:$I$1203,$AF138)),IF(INDEX(对接源_02物料!$I$4:$I$1203,$AF138-1200)=0,"",INDEX(对接源_02物料!$I$4:$I$1203,$AF138-1200))))</f>
      </c>
      <c r="G138" s="175">
        <f>IF($AF138="","",IF($AF138&lt;=1200,IF(INDEX(对接源_01水果!$J$4:$J$1203,$AF138)=0,"",INDEX(对接源_01水果!$J$4:$J$1203,$AF138)),IF(INDEX(对接源_02物料!$J$4:$J$1203,$AF138-1200)=0,"",INDEX(对接源_02物料!$J$4:$J$1203,$AF138-1200))))</f>
      </c>
      <c r="H138" s="104">
        <f>IF($AF138="","",IF($AF138&lt;=1200,IF(INDEX(对接源_01水果!$W$4:$W$1203,$AF138)=0,"",INDEX(对接源_01水果!$W$4:$W$1203,$AF138)),IF(INDEX(对接源_02物料!$W$4:$W$1203,$AF138-1200)=0,"",INDEX(对接源_02物料!$W$4:$W$1203,$AF138-1200))))</f>
      </c>
      <c r="I138" s="104">
        <f>IF($AF138="","",IF($AF138&lt;=1200,IF(INDEX(对接源_01水果!$D$4:$D$1203,$AF138)=0,"",INDEX(对接源_01水果!$D$4:$D$1203,$AF138)),IF(INDEX(对接源_02物料!$D$4:$D$1203,$AF138-1200)=0,"",INDEX(对接源_02物料!$D$4:$D$1203,$AF138-1200))))</f>
      </c>
      <c r="J138" s="107">
        <f>IF($AF138="","",IF($AF138&lt;=1200,IF(INDEX(对接源_01水果!$M$4:$M$1203,$AF138)=0,"",INDEX(对接源_01水果!$M$4:$M$1203,$AF138)),IF(INDEX(对接源_02物料!$M$4:$M$1203,$AF138-1200)=0,"",INDEX(对接源_02物料!$M$4:$M$1203,$AF138-1200))))</f>
      </c>
      <c r="AF138" s="2">
        <f>IFERROR(MATCH(10,_自动清单!$AC$4:$AC$2403,0),"")</f>
      </c>
      <c r="AL138" s="2">
        <f>IF($D138="","",$D138)</f>
      </c>
      <c r="AM138" s="2">
        <f>IF(AL138="",0,IF(MATCH(AL138,AL$129:AL$208,0)=10,1,0))</f>
        <v>0</v>
      </c>
      <c r="AN138" s="2">
        <f>N(AN137)+AM138</f>
        <v>0</v>
      </c>
    </row>
    <row r="139" ht="18" customHeight="1" s="127">
      <c r="A139" s="163">
        <f>IF($AF139="","",IF($AF139&lt;=1200,IF(INDEX(对接源_01水果!$B$4:$B$1203,$AF139)=0,"",INDEX(对接源_01水果!$B$4:$B$1203,$AF139)),IF(INDEX(对接源_02物料!$B$4:$B$1203,$AF139-1200)=0,"",INDEX(对接源_02物料!$B$4:$B$1203,$AF139-1200))))</f>
      </c>
      <c r="B139" s="61">
        <f>IF($AF139="","",IF($AF139&lt;=1200,IF(INDEX(对接源_01水果!$E$4:$E$1203,$AF139)=0,"",INDEX(对接源_01水果!$E$4:$E$1203,$AF139)),IF(INDEX(对接源_02物料!$E$4:$E$1203,$AF139-1200)=0,"",INDEX(对接源_02物料!$E$4:$E$1203,$AF139-1200))))</f>
      </c>
      <c r="C139" s="61">
        <f>IF($AF139="","",IF($AF139&lt;=1200,IF(INDEX(对接源_01水果!$F$4:$F$1203,$AF139)=0,"",INDEX(对接源_01水果!$F$4:$F$1203,$AF139)),IF(INDEX(对接源_02物料!$F$4:$F$1203,$AF139-1200)=0,"",INDEX(对接源_02物料!$F$4:$F$1203,$AF139-1200))))</f>
      </c>
      <c r="D139" s="61">
        <f>IF($AF139="","",IF($AF139&lt;=1200,IF(INDEX(对接源_01水果!$G$4:$G$1203,$AF139)=0,"",INDEX(对接源_01水果!$G$4:$G$1203,$AF139)),IF(INDEX(对接源_02物料!$G$4:$G$1203,$AF139-1200)=0,"",INDEX(对接源_02物料!$G$4:$G$1203,$AF139-1200))))</f>
      </c>
      <c r="E139" s="164">
        <f>IF($AF139="","",IF($AF139&lt;=1200,IF(INDEX(对接源_01水果!$H$4:$H$1203,$AF139)=0,"",INDEX(对接源_01水果!$H$4:$H$1203,$AF139)),IF(INDEX(对接源_02物料!$H$4:$H$1203,$AF139-1200)=0,"",INDEX(对接源_02物料!$H$4:$H$1203,$AF139-1200))))</f>
      </c>
      <c r="F139" s="61">
        <f>IF($AF139="","",IF($AF139&lt;=1200,IF(INDEX(对接源_01水果!$I$4:$I$1203,$AF139)=0,"",INDEX(对接源_01水果!$I$4:$I$1203,$AF139)),IF(INDEX(对接源_02物料!$I$4:$I$1203,$AF139-1200)=0,"",INDEX(对接源_02物料!$I$4:$I$1203,$AF139-1200))))</f>
      </c>
      <c r="G139" s="173">
        <f>IF($AF139="","",IF($AF139&lt;=1200,IF(INDEX(对接源_01水果!$J$4:$J$1203,$AF139)=0,"",INDEX(对接源_01水果!$J$4:$J$1203,$AF139)),IF(INDEX(对接源_02物料!$J$4:$J$1203,$AF139-1200)=0,"",INDEX(对接源_02物料!$J$4:$J$1203,$AF139-1200))))</f>
      </c>
      <c r="H139" s="61">
        <f>IF($AF139="","",IF($AF139&lt;=1200,IF(INDEX(对接源_01水果!$W$4:$W$1203,$AF139)=0,"",INDEX(对接源_01水果!$W$4:$W$1203,$AF139)),IF(INDEX(对接源_02物料!$W$4:$W$1203,$AF139-1200)=0,"",INDEX(对接源_02物料!$W$4:$W$1203,$AF139-1200))))</f>
      </c>
      <c r="I139" s="61">
        <f>IF($AF139="","",IF($AF139&lt;=1200,IF(INDEX(对接源_01水果!$D$4:$D$1203,$AF139)=0,"",INDEX(对接源_01水果!$D$4:$D$1203,$AF139)),IF(INDEX(对接源_02物料!$D$4:$D$1203,$AF139-1200)=0,"",INDEX(对接源_02物料!$D$4:$D$1203,$AF139-1200))))</f>
      </c>
      <c r="J139" s="64">
        <f>IF($AF139="","",IF($AF139&lt;=1200,IF(INDEX(对接源_01水果!$M$4:$M$1203,$AF139)=0,"",INDEX(对接源_01水果!$M$4:$M$1203,$AF139)),IF(INDEX(对接源_02物料!$M$4:$M$1203,$AF139-1200)=0,"",INDEX(对接源_02物料!$M$4:$M$1203,$AF139-1200))))</f>
      </c>
      <c r="AF139" s="2">
        <f>IFERROR(MATCH(11,_自动清单!$AC$4:$AC$2403,0),"")</f>
      </c>
      <c r="AL139" s="2">
        <f>IF($D139="","",$D139)</f>
      </c>
      <c r="AM139" s="2">
        <f>IF(AL139="",0,IF(MATCH(AL139,AL$129:AL$208,0)=11,1,0))</f>
        <v>0</v>
      </c>
      <c r="AN139" s="2">
        <f>N(AN138)+AM139</f>
        <v>0</v>
      </c>
    </row>
    <row r="140" ht="18" customHeight="1" s="127">
      <c r="A140" s="165">
        <f>IF($AF140="","",IF($AF140&lt;=1200,IF(INDEX(对接源_01水果!$B$4:$B$1203,$AF140)=0,"",INDEX(对接源_01水果!$B$4:$B$1203,$AF140)),IF(INDEX(对接源_02物料!$B$4:$B$1203,$AF140-1200)=0,"",INDEX(对接源_02物料!$B$4:$B$1203,$AF140-1200))))</f>
      </c>
      <c r="B140" s="104">
        <f>IF($AF140="","",IF($AF140&lt;=1200,IF(INDEX(对接源_01水果!$E$4:$E$1203,$AF140)=0,"",INDEX(对接源_01水果!$E$4:$E$1203,$AF140)),IF(INDEX(对接源_02物料!$E$4:$E$1203,$AF140-1200)=0,"",INDEX(对接源_02物料!$E$4:$E$1203,$AF140-1200))))</f>
      </c>
      <c r="C140" s="104">
        <f>IF($AF140="","",IF($AF140&lt;=1200,IF(INDEX(对接源_01水果!$F$4:$F$1203,$AF140)=0,"",INDEX(对接源_01水果!$F$4:$F$1203,$AF140)),IF(INDEX(对接源_02物料!$F$4:$F$1203,$AF140-1200)=0,"",INDEX(对接源_02物料!$F$4:$F$1203,$AF140-1200))))</f>
      </c>
      <c r="D140" s="104">
        <f>IF($AF140="","",IF($AF140&lt;=1200,IF(INDEX(对接源_01水果!$G$4:$G$1203,$AF140)=0,"",INDEX(对接源_01水果!$G$4:$G$1203,$AF140)),IF(INDEX(对接源_02物料!$G$4:$G$1203,$AF140-1200)=0,"",INDEX(对接源_02物料!$G$4:$G$1203,$AF140-1200))))</f>
      </c>
      <c r="E140" s="166">
        <f>IF($AF140="","",IF($AF140&lt;=1200,IF(INDEX(对接源_01水果!$H$4:$H$1203,$AF140)=0,"",INDEX(对接源_01水果!$H$4:$H$1203,$AF140)),IF(INDEX(对接源_02物料!$H$4:$H$1203,$AF140-1200)=0,"",INDEX(对接源_02物料!$H$4:$H$1203,$AF140-1200))))</f>
      </c>
      <c r="F140" s="104">
        <f>IF($AF140="","",IF($AF140&lt;=1200,IF(INDEX(对接源_01水果!$I$4:$I$1203,$AF140)=0,"",INDEX(对接源_01水果!$I$4:$I$1203,$AF140)),IF(INDEX(对接源_02物料!$I$4:$I$1203,$AF140-1200)=0,"",INDEX(对接源_02物料!$I$4:$I$1203,$AF140-1200))))</f>
      </c>
      <c r="G140" s="175">
        <f>IF($AF140="","",IF($AF140&lt;=1200,IF(INDEX(对接源_01水果!$J$4:$J$1203,$AF140)=0,"",INDEX(对接源_01水果!$J$4:$J$1203,$AF140)),IF(INDEX(对接源_02物料!$J$4:$J$1203,$AF140-1200)=0,"",INDEX(对接源_02物料!$J$4:$J$1203,$AF140-1200))))</f>
      </c>
      <c r="H140" s="104">
        <f>IF($AF140="","",IF($AF140&lt;=1200,IF(INDEX(对接源_01水果!$W$4:$W$1203,$AF140)=0,"",INDEX(对接源_01水果!$W$4:$W$1203,$AF140)),IF(INDEX(对接源_02物料!$W$4:$W$1203,$AF140-1200)=0,"",INDEX(对接源_02物料!$W$4:$W$1203,$AF140-1200))))</f>
      </c>
      <c r="I140" s="104">
        <f>IF($AF140="","",IF($AF140&lt;=1200,IF(INDEX(对接源_01水果!$D$4:$D$1203,$AF140)=0,"",INDEX(对接源_01水果!$D$4:$D$1203,$AF140)),IF(INDEX(对接源_02物料!$D$4:$D$1203,$AF140-1200)=0,"",INDEX(对接源_02物料!$D$4:$D$1203,$AF140-1200))))</f>
      </c>
      <c r="J140" s="107">
        <f>IF($AF140="","",IF($AF140&lt;=1200,IF(INDEX(对接源_01水果!$M$4:$M$1203,$AF140)=0,"",INDEX(对接源_01水果!$M$4:$M$1203,$AF140)),IF(INDEX(对接源_02物料!$M$4:$M$1203,$AF140-1200)=0,"",INDEX(对接源_02物料!$M$4:$M$1203,$AF140-1200))))</f>
      </c>
      <c r="AF140" s="2">
        <f>IFERROR(MATCH(12,_自动清单!$AC$4:$AC$2403,0),"")</f>
      </c>
      <c r="AL140" s="2">
        <f>IF($D140="","",$D140)</f>
      </c>
      <c r="AM140" s="2">
        <f>IF(AL140="",0,IF(MATCH(AL140,AL$129:AL$208,0)=12,1,0))</f>
        <v>0</v>
      </c>
      <c r="AN140" s="2">
        <f>N(AN139)+AM140</f>
        <v>0</v>
      </c>
    </row>
    <row r="141" ht="18" customHeight="1" s="127">
      <c r="A141" s="163">
        <f>IF($AF141="","",IF($AF141&lt;=1200,IF(INDEX(对接源_01水果!$B$4:$B$1203,$AF141)=0,"",INDEX(对接源_01水果!$B$4:$B$1203,$AF141)),IF(INDEX(对接源_02物料!$B$4:$B$1203,$AF141-1200)=0,"",INDEX(对接源_02物料!$B$4:$B$1203,$AF141-1200))))</f>
      </c>
      <c r="B141" s="61">
        <f>IF($AF141="","",IF($AF141&lt;=1200,IF(INDEX(对接源_01水果!$E$4:$E$1203,$AF141)=0,"",INDEX(对接源_01水果!$E$4:$E$1203,$AF141)),IF(INDEX(对接源_02物料!$E$4:$E$1203,$AF141-1200)=0,"",INDEX(对接源_02物料!$E$4:$E$1203,$AF141-1200))))</f>
      </c>
      <c r="C141" s="61">
        <f>IF($AF141="","",IF($AF141&lt;=1200,IF(INDEX(对接源_01水果!$F$4:$F$1203,$AF141)=0,"",INDEX(对接源_01水果!$F$4:$F$1203,$AF141)),IF(INDEX(对接源_02物料!$F$4:$F$1203,$AF141-1200)=0,"",INDEX(对接源_02物料!$F$4:$F$1203,$AF141-1200))))</f>
      </c>
      <c r="D141" s="61">
        <f>IF($AF141="","",IF($AF141&lt;=1200,IF(INDEX(对接源_01水果!$G$4:$G$1203,$AF141)=0,"",INDEX(对接源_01水果!$G$4:$G$1203,$AF141)),IF(INDEX(对接源_02物料!$G$4:$G$1203,$AF141-1200)=0,"",INDEX(对接源_02物料!$G$4:$G$1203,$AF141-1200))))</f>
      </c>
      <c r="E141" s="164">
        <f>IF($AF141="","",IF($AF141&lt;=1200,IF(INDEX(对接源_01水果!$H$4:$H$1203,$AF141)=0,"",INDEX(对接源_01水果!$H$4:$H$1203,$AF141)),IF(INDEX(对接源_02物料!$H$4:$H$1203,$AF141-1200)=0,"",INDEX(对接源_02物料!$H$4:$H$1203,$AF141-1200))))</f>
      </c>
      <c r="F141" s="61">
        <f>IF($AF141="","",IF($AF141&lt;=1200,IF(INDEX(对接源_01水果!$I$4:$I$1203,$AF141)=0,"",INDEX(对接源_01水果!$I$4:$I$1203,$AF141)),IF(INDEX(对接源_02物料!$I$4:$I$1203,$AF141-1200)=0,"",INDEX(对接源_02物料!$I$4:$I$1203,$AF141-1200))))</f>
      </c>
      <c r="G141" s="173">
        <f>IF($AF141="","",IF($AF141&lt;=1200,IF(INDEX(对接源_01水果!$J$4:$J$1203,$AF141)=0,"",INDEX(对接源_01水果!$J$4:$J$1203,$AF141)),IF(INDEX(对接源_02物料!$J$4:$J$1203,$AF141-1200)=0,"",INDEX(对接源_02物料!$J$4:$J$1203,$AF141-1200))))</f>
      </c>
      <c r="H141" s="61">
        <f>IF($AF141="","",IF($AF141&lt;=1200,IF(INDEX(对接源_01水果!$W$4:$W$1203,$AF141)=0,"",INDEX(对接源_01水果!$W$4:$W$1203,$AF141)),IF(INDEX(对接源_02物料!$W$4:$W$1203,$AF141-1200)=0,"",INDEX(对接源_02物料!$W$4:$W$1203,$AF141-1200))))</f>
      </c>
      <c r="I141" s="61">
        <f>IF($AF141="","",IF($AF141&lt;=1200,IF(INDEX(对接源_01水果!$D$4:$D$1203,$AF141)=0,"",INDEX(对接源_01水果!$D$4:$D$1203,$AF141)),IF(INDEX(对接源_02物料!$D$4:$D$1203,$AF141-1200)=0,"",INDEX(对接源_02物料!$D$4:$D$1203,$AF141-1200))))</f>
      </c>
      <c r="J141" s="64">
        <f>IF($AF141="","",IF($AF141&lt;=1200,IF(INDEX(对接源_01水果!$M$4:$M$1203,$AF141)=0,"",INDEX(对接源_01水果!$M$4:$M$1203,$AF141)),IF(INDEX(对接源_02物料!$M$4:$M$1203,$AF141-1200)=0,"",INDEX(对接源_02物料!$M$4:$M$1203,$AF141-1200))))</f>
      </c>
      <c r="AF141" s="2">
        <f>IFERROR(MATCH(13,_自动清单!$AC$4:$AC$2403,0),"")</f>
      </c>
      <c r="AL141" s="2">
        <f>IF($D141="","",$D141)</f>
      </c>
      <c r="AM141" s="2">
        <f>IF(AL141="",0,IF(MATCH(AL141,AL$129:AL$208,0)=13,1,0))</f>
        <v>0</v>
      </c>
      <c r="AN141" s="2">
        <f>N(AN140)+AM141</f>
        <v>0</v>
      </c>
    </row>
    <row r="142" ht="18" customHeight="1" s="127">
      <c r="A142" s="165">
        <f>IF($AF142="","",IF($AF142&lt;=1200,IF(INDEX(对接源_01水果!$B$4:$B$1203,$AF142)=0,"",INDEX(对接源_01水果!$B$4:$B$1203,$AF142)),IF(INDEX(对接源_02物料!$B$4:$B$1203,$AF142-1200)=0,"",INDEX(对接源_02物料!$B$4:$B$1203,$AF142-1200))))</f>
      </c>
      <c r="B142" s="104">
        <f>IF($AF142="","",IF($AF142&lt;=1200,IF(INDEX(对接源_01水果!$E$4:$E$1203,$AF142)=0,"",INDEX(对接源_01水果!$E$4:$E$1203,$AF142)),IF(INDEX(对接源_02物料!$E$4:$E$1203,$AF142-1200)=0,"",INDEX(对接源_02物料!$E$4:$E$1203,$AF142-1200))))</f>
      </c>
      <c r="C142" s="104">
        <f>IF($AF142="","",IF($AF142&lt;=1200,IF(INDEX(对接源_01水果!$F$4:$F$1203,$AF142)=0,"",INDEX(对接源_01水果!$F$4:$F$1203,$AF142)),IF(INDEX(对接源_02物料!$F$4:$F$1203,$AF142-1200)=0,"",INDEX(对接源_02物料!$F$4:$F$1203,$AF142-1200))))</f>
      </c>
      <c r="D142" s="104">
        <f>IF($AF142="","",IF($AF142&lt;=1200,IF(INDEX(对接源_01水果!$G$4:$G$1203,$AF142)=0,"",INDEX(对接源_01水果!$G$4:$G$1203,$AF142)),IF(INDEX(对接源_02物料!$G$4:$G$1203,$AF142-1200)=0,"",INDEX(对接源_02物料!$G$4:$G$1203,$AF142-1200))))</f>
      </c>
      <c r="E142" s="166">
        <f>IF($AF142="","",IF($AF142&lt;=1200,IF(INDEX(对接源_01水果!$H$4:$H$1203,$AF142)=0,"",INDEX(对接源_01水果!$H$4:$H$1203,$AF142)),IF(INDEX(对接源_02物料!$H$4:$H$1203,$AF142-1200)=0,"",INDEX(对接源_02物料!$H$4:$H$1203,$AF142-1200))))</f>
      </c>
      <c r="F142" s="104">
        <f>IF($AF142="","",IF($AF142&lt;=1200,IF(INDEX(对接源_01水果!$I$4:$I$1203,$AF142)=0,"",INDEX(对接源_01水果!$I$4:$I$1203,$AF142)),IF(INDEX(对接源_02物料!$I$4:$I$1203,$AF142-1200)=0,"",INDEX(对接源_02物料!$I$4:$I$1203,$AF142-1200))))</f>
      </c>
      <c r="G142" s="175">
        <f>IF($AF142="","",IF($AF142&lt;=1200,IF(INDEX(对接源_01水果!$J$4:$J$1203,$AF142)=0,"",INDEX(对接源_01水果!$J$4:$J$1203,$AF142)),IF(INDEX(对接源_02物料!$J$4:$J$1203,$AF142-1200)=0,"",INDEX(对接源_02物料!$J$4:$J$1203,$AF142-1200))))</f>
      </c>
      <c r="H142" s="104">
        <f>IF($AF142="","",IF($AF142&lt;=1200,IF(INDEX(对接源_01水果!$W$4:$W$1203,$AF142)=0,"",INDEX(对接源_01水果!$W$4:$W$1203,$AF142)),IF(INDEX(对接源_02物料!$W$4:$W$1203,$AF142-1200)=0,"",INDEX(对接源_02物料!$W$4:$W$1203,$AF142-1200))))</f>
      </c>
      <c r="I142" s="104">
        <f>IF($AF142="","",IF($AF142&lt;=1200,IF(INDEX(对接源_01水果!$D$4:$D$1203,$AF142)=0,"",INDEX(对接源_01水果!$D$4:$D$1203,$AF142)),IF(INDEX(对接源_02物料!$D$4:$D$1203,$AF142-1200)=0,"",INDEX(对接源_02物料!$D$4:$D$1203,$AF142-1200))))</f>
      </c>
      <c r="J142" s="107">
        <f>IF($AF142="","",IF($AF142&lt;=1200,IF(INDEX(对接源_01水果!$M$4:$M$1203,$AF142)=0,"",INDEX(对接源_01水果!$M$4:$M$1203,$AF142)),IF(INDEX(对接源_02物料!$M$4:$M$1203,$AF142-1200)=0,"",INDEX(对接源_02物料!$M$4:$M$1203,$AF142-1200))))</f>
      </c>
      <c r="AF142" s="2">
        <f>IFERROR(MATCH(14,_自动清单!$AC$4:$AC$2403,0),"")</f>
      </c>
      <c r="AL142" s="2">
        <f>IF($D142="","",$D142)</f>
      </c>
      <c r="AM142" s="2">
        <f>IF(AL142="",0,IF(MATCH(AL142,AL$129:AL$208,0)=14,1,0))</f>
        <v>0</v>
      </c>
      <c r="AN142" s="2">
        <f>N(AN141)+AM142</f>
        <v>0</v>
      </c>
    </row>
    <row r="143" ht="18" customHeight="1" s="127">
      <c r="A143" s="163">
        <f>IF($AF143="","",IF($AF143&lt;=1200,IF(INDEX(对接源_01水果!$B$4:$B$1203,$AF143)=0,"",INDEX(对接源_01水果!$B$4:$B$1203,$AF143)),IF(INDEX(对接源_02物料!$B$4:$B$1203,$AF143-1200)=0,"",INDEX(对接源_02物料!$B$4:$B$1203,$AF143-1200))))</f>
      </c>
      <c r="B143" s="61">
        <f>IF($AF143="","",IF($AF143&lt;=1200,IF(INDEX(对接源_01水果!$E$4:$E$1203,$AF143)=0,"",INDEX(对接源_01水果!$E$4:$E$1203,$AF143)),IF(INDEX(对接源_02物料!$E$4:$E$1203,$AF143-1200)=0,"",INDEX(对接源_02物料!$E$4:$E$1203,$AF143-1200))))</f>
      </c>
      <c r="C143" s="61">
        <f>IF($AF143="","",IF($AF143&lt;=1200,IF(INDEX(对接源_01水果!$F$4:$F$1203,$AF143)=0,"",INDEX(对接源_01水果!$F$4:$F$1203,$AF143)),IF(INDEX(对接源_02物料!$F$4:$F$1203,$AF143-1200)=0,"",INDEX(对接源_02物料!$F$4:$F$1203,$AF143-1200))))</f>
      </c>
      <c r="D143" s="61">
        <f>IF($AF143="","",IF($AF143&lt;=1200,IF(INDEX(对接源_01水果!$G$4:$G$1203,$AF143)=0,"",INDEX(对接源_01水果!$G$4:$G$1203,$AF143)),IF(INDEX(对接源_02物料!$G$4:$G$1203,$AF143-1200)=0,"",INDEX(对接源_02物料!$G$4:$G$1203,$AF143-1200))))</f>
      </c>
      <c r="E143" s="164">
        <f>IF($AF143="","",IF($AF143&lt;=1200,IF(INDEX(对接源_01水果!$H$4:$H$1203,$AF143)=0,"",INDEX(对接源_01水果!$H$4:$H$1203,$AF143)),IF(INDEX(对接源_02物料!$H$4:$H$1203,$AF143-1200)=0,"",INDEX(对接源_02物料!$H$4:$H$1203,$AF143-1200))))</f>
      </c>
      <c r="F143" s="61">
        <f>IF($AF143="","",IF($AF143&lt;=1200,IF(INDEX(对接源_01水果!$I$4:$I$1203,$AF143)=0,"",INDEX(对接源_01水果!$I$4:$I$1203,$AF143)),IF(INDEX(对接源_02物料!$I$4:$I$1203,$AF143-1200)=0,"",INDEX(对接源_02物料!$I$4:$I$1203,$AF143-1200))))</f>
      </c>
      <c r="G143" s="173">
        <f>IF($AF143="","",IF($AF143&lt;=1200,IF(INDEX(对接源_01水果!$J$4:$J$1203,$AF143)=0,"",INDEX(对接源_01水果!$J$4:$J$1203,$AF143)),IF(INDEX(对接源_02物料!$J$4:$J$1203,$AF143-1200)=0,"",INDEX(对接源_02物料!$J$4:$J$1203,$AF143-1200))))</f>
      </c>
      <c r="H143" s="61">
        <f>IF($AF143="","",IF($AF143&lt;=1200,IF(INDEX(对接源_01水果!$W$4:$W$1203,$AF143)=0,"",INDEX(对接源_01水果!$W$4:$W$1203,$AF143)),IF(INDEX(对接源_02物料!$W$4:$W$1203,$AF143-1200)=0,"",INDEX(对接源_02物料!$W$4:$W$1203,$AF143-1200))))</f>
      </c>
      <c r="I143" s="61">
        <f>IF($AF143="","",IF($AF143&lt;=1200,IF(INDEX(对接源_01水果!$D$4:$D$1203,$AF143)=0,"",INDEX(对接源_01水果!$D$4:$D$1203,$AF143)),IF(INDEX(对接源_02物料!$D$4:$D$1203,$AF143-1200)=0,"",INDEX(对接源_02物料!$D$4:$D$1203,$AF143-1200))))</f>
      </c>
      <c r="J143" s="64">
        <f>IF($AF143="","",IF($AF143&lt;=1200,IF(INDEX(对接源_01水果!$M$4:$M$1203,$AF143)=0,"",INDEX(对接源_01水果!$M$4:$M$1203,$AF143)),IF(INDEX(对接源_02物料!$M$4:$M$1203,$AF143-1200)=0,"",INDEX(对接源_02物料!$M$4:$M$1203,$AF143-1200))))</f>
      </c>
      <c r="AF143" s="2">
        <f>IFERROR(MATCH(15,_自动清单!$AC$4:$AC$2403,0),"")</f>
      </c>
      <c r="AL143" s="2">
        <f>IF($D143="","",$D143)</f>
      </c>
      <c r="AM143" s="2">
        <f>IF(AL143="",0,IF(MATCH(AL143,AL$129:AL$208,0)=15,1,0))</f>
        <v>0</v>
      </c>
      <c r="AN143" s="2">
        <f>N(AN142)+AM143</f>
        <v>0</v>
      </c>
    </row>
    <row r="144" ht="18" customHeight="1" s="127">
      <c r="A144" s="165">
        <f>IF($AF144="","",IF($AF144&lt;=1200,IF(INDEX(对接源_01水果!$B$4:$B$1203,$AF144)=0,"",INDEX(对接源_01水果!$B$4:$B$1203,$AF144)),IF(INDEX(对接源_02物料!$B$4:$B$1203,$AF144-1200)=0,"",INDEX(对接源_02物料!$B$4:$B$1203,$AF144-1200))))</f>
      </c>
      <c r="B144" s="104">
        <f>IF($AF144="","",IF($AF144&lt;=1200,IF(INDEX(对接源_01水果!$E$4:$E$1203,$AF144)=0,"",INDEX(对接源_01水果!$E$4:$E$1203,$AF144)),IF(INDEX(对接源_02物料!$E$4:$E$1203,$AF144-1200)=0,"",INDEX(对接源_02物料!$E$4:$E$1203,$AF144-1200))))</f>
      </c>
      <c r="C144" s="104">
        <f>IF($AF144="","",IF($AF144&lt;=1200,IF(INDEX(对接源_01水果!$F$4:$F$1203,$AF144)=0,"",INDEX(对接源_01水果!$F$4:$F$1203,$AF144)),IF(INDEX(对接源_02物料!$F$4:$F$1203,$AF144-1200)=0,"",INDEX(对接源_02物料!$F$4:$F$1203,$AF144-1200))))</f>
      </c>
      <c r="D144" s="104">
        <f>IF($AF144="","",IF($AF144&lt;=1200,IF(INDEX(对接源_01水果!$G$4:$G$1203,$AF144)=0,"",INDEX(对接源_01水果!$G$4:$G$1203,$AF144)),IF(INDEX(对接源_02物料!$G$4:$G$1203,$AF144-1200)=0,"",INDEX(对接源_02物料!$G$4:$G$1203,$AF144-1200))))</f>
      </c>
      <c r="E144" s="166">
        <f>IF($AF144="","",IF($AF144&lt;=1200,IF(INDEX(对接源_01水果!$H$4:$H$1203,$AF144)=0,"",INDEX(对接源_01水果!$H$4:$H$1203,$AF144)),IF(INDEX(对接源_02物料!$H$4:$H$1203,$AF144-1200)=0,"",INDEX(对接源_02物料!$H$4:$H$1203,$AF144-1200))))</f>
      </c>
      <c r="F144" s="104">
        <f>IF($AF144="","",IF($AF144&lt;=1200,IF(INDEX(对接源_01水果!$I$4:$I$1203,$AF144)=0,"",INDEX(对接源_01水果!$I$4:$I$1203,$AF144)),IF(INDEX(对接源_02物料!$I$4:$I$1203,$AF144-1200)=0,"",INDEX(对接源_02物料!$I$4:$I$1203,$AF144-1200))))</f>
      </c>
      <c r="G144" s="175">
        <f>IF($AF144="","",IF($AF144&lt;=1200,IF(INDEX(对接源_01水果!$J$4:$J$1203,$AF144)=0,"",INDEX(对接源_01水果!$J$4:$J$1203,$AF144)),IF(INDEX(对接源_02物料!$J$4:$J$1203,$AF144-1200)=0,"",INDEX(对接源_02物料!$J$4:$J$1203,$AF144-1200))))</f>
      </c>
      <c r="H144" s="104">
        <f>IF($AF144="","",IF($AF144&lt;=1200,IF(INDEX(对接源_01水果!$W$4:$W$1203,$AF144)=0,"",INDEX(对接源_01水果!$W$4:$W$1203,$AF144)),IF(INDEX(对接源_02物料!$W$4:$W$1203,$AF144-1200)=0,"",INDEX(对接源_02物料!$W$4:$W$1203,$AF144-1200))))</f>
      </c>
      <c r="I144" s="104">
        <f>IF($AF144="","",IF($AF144&lt;=1200,IF(INDEX(对接源_01水果!$D$4:$D$1203,$AF144)=0,"",INDEX(对接源_01水果!$D$4:$D$1203,$AF144)),IF(INDEX(对接源_02物料!$D$4:$D$1203,$AF144-1200)=0,"",INDEX(对接源_02物料!$D$4:$D$1203,$AF144-1200))))</f>
      </c>
      <c r="J144" s="107">
        <f>IF($AF144="","",IF($AF144&lt;=1200,IF(INDEX(对接源_01水果!$M$4:$M$1203,$AF144)=0,"",INDEX(对接源_01水果!$M$4:$M$1203,$AF144)),IF(INDEX(对接源_02物料!$M$4:$M$1203,$AF144-1200)=0,"",INDEX(对接源_02物料!$M$4:$M$1203,$AF144-1200))))</f>
      </c>
      <c r="AF144" s="2">
        <f>IFERROR(MATCH(16,_自动清单!$AC$4:$AC$2403,0),"")</f>
      </c>
      <c r="AL144" s="2">
        <f>IF($D144="","",$D144)</f>
      </c>
      <c r="AM144" s="2">
        <f>IF(AL144="",0,IF(MATCH(AL144,AL$129:AL$208,0)=16,1,0))</f>
        <v>0</v>
      </c>
      <c r="AN144" s="2">
        <f>N(AN143)+AM144</f>
        <v>0</v>
      </c>
    </row>
    <row r="145" ht="18" customHeight="1" s="127">
      <c r="A145" s="163">
        <f>IF($AF145="","",IF($AF145&lt;=1200,IF(INDEX(对接源_01水果!$B$4:$B$1203,$AF145)=0,"",INDEX(对接源_01水果!$B$4:$B$1203,$AF145)),IF(INDEX(对接源_02物料!$B$4:$B$1203,$AF145-1200)=0,"",INDEX(对接源_02物料!$B$4:$B$1203,$AF145-1200))))</f>
      </c>
      <c r="B145" s="61">
        <f>IF($AF145="","",IF($AF145&lt;=1200,IF(INDEX(对接源_01水果!$E$4:$E$1203,$AF145)=0,"",INDEX(对接源_01水果!$E$4:$E$1203,$AF145)),IF(INDEX(对接源_02物料!$E$4:$E$1203,$AF145-1200)=0,"",INDEX(对接源_02物料!$E$4:$E$1203,$AF145-1200))))</f>
      </c>
      <c r="C145" s="61">
        <f>IF($AF145="","",IF($AF145&lt;=1200,IF(INDEX(对接源_01水果!$F$4:$F$1203,$AF145)=0,"",INDEX(对接源_01水果!$F$4:$F$1203,$AF145)),IF(INDEX(对接源_02物料!$F$4:$F$1203,$AF145-1200)=0,"",INDEX(对接源_02物料!$F$4:$F$1203,$AF145-1200))))</f>
      </c>
      <c r="D145" s="61">
        <f>IF($AF145="","",IF($AF145&lt;=1200,IF(INDEX(对接源_01水果!$G$4:$G$1203,$AF145)=0,"",INDEX(对接源_01水果!$G$4:$G$1203,$AF145)),IF(INDEX(对接源_02物料!$G$4:$G$1203,$AF145-1200)=0,"",INDEX(对接源_02物料!$G$4:$G$1203,$AF145-1200))))</f>
      </c>
      <c r="E145" s="164">
        <f>IF($AF145="","",IF($AF145&lt;=1200,IF(INDEX(对接源_01水果!$H$4:$H$1203,$AF145)=0,"",INDEX(对接源_01水果!$H$4:$H$1203,$AF145)),IF(INDEX(对接源_02物料!$H$4:$H$1203,$AF145-1200)=0,"",INDEX(对接源_02物料!$H$4:$H$1203,$AF145-1200))))</f>
      </c>
      <c r="F145" s="61">
        <f>IF($AF145="","",IF($AF145&lt;=1200,IF(INDEX(对接源_01水果!$I$4:$I$1203,$AF145)=0,"",INDEX(对接源_01水果!$I$4:$I$1203,$AF145)),IF(INDEX(对接源_02物料!$I$4:$I$1203,$AF145-1200)=0,"",INDEX(对接源_02物料!$I$4:$I$1203,$AF145-1200))))</f>
      </c>
      <c r="G145" s="173">
        <f>IF($AF145="","",IF($AF145&lt;=1200,IF(INDEX(对接源_01水果!$J$4:$J$1203,$AF145)=0,"",INDEX(对接源_01水果!$J$4:$J$1203,$AF145)),IF(INDEX(对接源_02物料!$J$4:$J$1203,$AF145-1200)=0,"",INDEX(对接源_02物料!$J$4:$J$1203,$AF145-1200))))</f>
      </c>
      <c r="H145" s="61">
        <f>IF($AF145="","",IF($AF145&lt;=1200,IF(INDEX(对接源_01水果!$W$4:$W$1203,$AF145)=0,"",INDEX(对接源_01水果!$W$4:$W$1203,$AF145)),IF(INDEX(对接源_02物料!$W$4:$W$1203,$AF145-1200)=0,"",INDEX(对接源_02物料!$W$4:$W$1203,$AF145-1200))))</f>
      </c>
      <c r="I145" s="61">
        <f>IF($AF145="","",IF($AF145&lt;=1200,IF(INDEX(对接源_01水果!$D$4:$D$1203,$AF145)=0,"",INDEX(对接源_01水果!$D$4:$D$1203,$AF145)),IF(INDEX(对接源_02物料!$D$4:$D$1203,$AF145-1200)=0,"",INDEX(对接源_02物料!$D$4:$D$1203,$AF145-1200))))</f>
      </c>
      <c r="J145" s="64">
        <f>IF($AF145="","",IF($AF145&lt;=1200,IF(INDEX(对接源_01水果!$M$4:$M$1203,$AF145)=0,"",INDEX(对接源_01水果!$M$4:$M$1203,$AF145)),IF(INDEX(对接源_02物料!$M$4:$M$1203,$AF145-1200)=0,"",INDEX(对接源_02物料!$M$4:$M$1203,$AF145-1200))))</f>
      </c>
      <c r="AF145" s="2">
        <f>IFERROR(MATCH(17,_自动清单!$AC$4:$AC$2403,0),"")</f>
      </c>
      <c r="AL145" s="2">
        <f>IF($D145="","",$D145)</f>
      </c>
      <c r="AM145" s="2">
        <f>IF(AL145="",0,IF(MATCH(AL145,AL$129:AL$208,0)=17,1,0))</f>
        <v>0</v>
      </c>
      <c r="AN145" s="2">
        <f>N(AN144)+AM145</f>
        <v>0</v>
      </c>
    </row>
    <row r="146" ht="18" customHeight="1" s="127">
      <c r="A146" s="165">
        <f>IF($AF146="","",IF($AF146&lt;=1200,IF(INDEX(对接源_01水果!$B$4:$B$1203,$AF146)=0,"",INDEX(对接源_01水果!$B$4:$B$1203,$AF146)),IF(INDEX(对接源_02物料!$B$4:$B$1203,$AF146-1200)=0,"",INDEX(对接源_02物料!$B$4:$B$1203,$AF146-1200))))</f>
      </c>
      <c r="B146" s="104">
        <f>IF($AF146="","",IF($AF146&lt;=1200,IF(INDEX(对接源_01水果!$E$4:$E$1203,$AF146)=0,"",INDEX(对接源_01水果!$E$4:$E$1203,$AF146)),IF(INDEX(对接源_02物料!$E$4:$E$1203,$AF146-1200)=0,"",INDEX(对接源_02物料!$E$4:$E$1203,$AF146-1200))))</f>
      </c>
      <c r="C146" s="104">
        <f>IF($AF146="","",IF($AF146&lt;=1200,IF(INDEX(对接源_01水果!$F$4:$F$1203,$AF146)=0,"",INDEX(对接源_01水果!$F$4:$F$1203,$AF146)),IF(INDEX(对接源_02物料!$F$4:$F$1203,$AF146-1200)=0,"",INDEX(对接源_02物料!$F$4:$F$1203,$AF146-1200))))</f>
      </c>
      <c r="D146" s="104">
        <f>IF($AF146="","",IF($AF146&lt;=1200,IF(INDEX(对接源_01水果!$G$4:$G$1203,$AF146)=0,"",INDEX(对接源_01水果!$G$4:$G$1203,$AF146)),IF(INDEX(对接源_02物料!$G$4:$G$1203,$AF146-1200)=0,"",INDEX(对接源_02物料!$G$4:$G$1203,$AF146-1200))))</f>
      </c>
      <c r="E146" s="166">
        <f>IF($AF146="","",IF($AF146&lt;=1200,IF(INDEX(对接源_01水果!$H$4:$H$1203,$AF146)=0,"",INDEX(对接源_01水果!$H$4:$H$1203,$AF146)),IF(INDEX(对接源_02物料!$H$4:$H$1203,$AF146-1200)=0,"",INDEX(对接源_02物料!$H$4:$H$1203,$AF146-1200))))</f>
      </c>
      <c r="F146" s="104">
        <f>IF($AF146="","",IF($AF146&lt;=1200,IF(INDEX(对接源_01水果!$I$4:$I$1203,$AF146)=0,"",INDEX(对接源_01水果!$I$4:$I$1203,$AF146)),IF(INDEX(对接源_02物料!$I$4:$I$1203,$AF146-1200)=0,"",INDEX(对接源_02物料!$I$4:$I$1203,$AF146-1200))))</f>
      </c>
      <c r="G146" s="175">
        <f>IF($AF146="","",IF($AF146&lt;=1200,IF(INDEX(对接源_01水果!$J$4:$J$1203,$AF146)=0,"",INDEX(对接源_01水果!$J$4:$J$1203,$AF146)),IF(INDEX(对接源_02物料!$J$4:$J$1203,$AF146-1200)=0,"",INDEX(对接源_02物料!$J$4:$J$1203,$AF146-1200))))</f>
      </c>
      <c r="H146" s="104">
        <f>IF($AF146="","",IF($AF146&lt;=1200,IF(INDEX(对接源_01水果!$W$4:$W$1203,$AF146)=0,"",INDEX(对接源_01水果!$W$4:$W$1203,$AF146)),IF(INDEX(对接源_02物料!$W$4:$W$1203,$AF146-1200)=0,"",INDEX(对接源_02物料!$W$4:$W$1203,$AF146-1200))))</f>
      </c>
      <c r="I146" s="104">
        <f>IF($AF146="","",IF($AF146&lt;=1200,IF(INDEX(对接源_01水果!$D$4:$D$1203,$AF146)=0,"",INDEX(对接源_01水果!$D$4:$D$1203,$AF146)),IF(INDEX(对接源_02物料!$D$4:$D$1203,$AF146-1200)=0,"",INDEX(对接源_02物料!$D$4:$D$1203,$AF146-1200))))</f>
      </c>
      <c r="J146" s="107">
        <f>IF($AF146="","",IF($AF146&lt;=1200,IF(INDEX(对接源_01水果!$M$4:$M$1203,$AF146)=0,"",INDEX(对接源_01水果!$M$4:$M$1203,$AF146)),IF(INDEX(对接源_02物料!$M$4:$M$1203,$AF146-1200)=0,"",INDEX(对接源_02物料!$M$4:$M$1203,$AF146-1200))))</f>
      </c>
      <c r="AF146" s="2">
        <f>IFERROR(MATCH(18,_自动清单!$AC$4:$AC$2403,0),"")</f>
      </c>
      <c r="AL146" s="2">
        <f>IF($D146="","",$D146)</f>
      </c>
      <c r="AM146" s="2">
        <f>IF(AL146="",0,IF(MATCH(AL146,AL$129:AL$208,0)=18,1,0))</f>
        <v>0</v>
      </c>
      <c r="AN146" s="2">
        <f>N(AN145)+AM146</f>
        <v>0</v>
      </c>
    </row>
    <row r="147" ht="18" customHeight="1" s="127">
      <c r="A147" s="163">
        <f>IF($AF147="","",IF($AF147&lt;=1200,IF(INDEX(对接源_01水果!$B$4:$B$1203,$AF147)=0,"",INDEX(对接源_01水果!$B$4:$B$1203,$AF147)),IF(INDEX(对接源_02物料!$B$4:$B$1203,$AF147-1200)=0,"",INDEX(对接源_02物料!$B$4:$B$1203,$AF147-1200))))</f>
      </c>
      <c r="B147" s="61">
        <f>IF($AF147="","",IF($AF147&lt;=1200,IF(INDEX(对接源_01水果!$E$4:$E$1203,$AF147)=0,"",INDEX(对接源_01水果!$E$4:$E$1203,$AF147)),IF(INDEX(对接源_02物料!$E$4:$E$1203,$AF147-1200)=0,"",INDEX(对接源_02物料!$E$4:$E$1203,$AF147-1200))))</f>
      </c>
      <c r="C147" s="61">
        <f>IF($AF147="","",IF($AF147&lt;=1200,IF(INDEX(对接源_01水果!$F$4:$F$1203,$AF147)=0,"",INDEX(对接源_01水果!$F$4:$F$1203,$AF147)),IF(INDEX(对接源_02物料!$F$4:$F$1203,$AF147-1200)=0,"",INDEX(对接源_02物料!$F$4:$F$1203,$AF147-1200))))</f>
      </c>
      <c r="D147" s="61">
        <f>IF($AF147="","",IF($AF147&lt;=1200,IF(INDEX(对接源_01水果!$G$4:$G$1203,$AF147)=0,"",INDEX(对接源_01水果!$G$4:$G$1203,$AF147)),IF(INDEX(对接源_02物料!$G$4:$G$1203,$AF147-1200)=0,"",INDEX(对接源_02物料!$G$4:$G$1203,$AF147-1200))))</f>
      </c>
      <c r="E147" s="164">
        <f>IF($AF147="","",IF($AF147&lt;=1200,IF(INDEX(对接源_01水果!$H$4:$H$1203,$AF147)=0,"",INDEX(对接源_01水果!$H$4:$H$1203,$AF147)),IF(INDEX(对接源_02物料!$H$4:$H$1203,$AF147-1200)=0,"",INDEX(对接源_02物料!$H$4:$H$1203,$AF147-1200))))</f>
      </c>
      <c r="F147" s="61">
        <f>IF($AF147="","",IF($AF147&lt;=1200,IF(INDEX(对接源_01水果!$I$4:$I$1203,$AF147)=0,"",INDEX(对接源_01水果!$I$4:$I$1203,$AF147)),IF(INDEX(对接源_02物料!$I$4:$I$1203,$AF147-1200)=0,"",INDEX(对接源_02物料!$I$4:$I$1203,$AF147-1200))))</f>
      </c>
      <c r="G147" s="173">
        <f>IF($AF147="","",IF($AF147&lt;=1200,IF(INDEX(对接源_01水果!$J$4:$J$1203,$AF147)=0,"",INDEX(对接源_01水果!$J$4:$J$1203,$AF147)),IF(INDEX(对接源_02物料!$J$4:$J$1203,$AF147-1200)=0,"",INDEX(对接源_02物料!$J$4:$J$1203,$AF147-1200))))</f>
      </c>
      <c r="H147" s="61">
        <f>IF($AF147="","",IF($AF147&lt;=1200,IF(INDEX(对接源_01水果!$W$4:$W$1203,$AF147)=0,"",INDEX(对接源_01水果!$W$4:$W$1203,$AF147)),IF(INDEX(对接源_02物料!$W$4:$W$1203,$AF147-1200)=0,"",INDEX(对接源_02物料!$W$4:$W$1203,$AF147-1200))))</f>
      </c>
      <c r="I147" s="61">
        <f>IF($AF147="","",IF($AF147&lt;=1200,IF(INDEX(对接源_01水果!$D$4:$D$1203,$AF147)=0,"",INDEX(对接源_01水果!$D$4:$D$1203,$AF147)),IF(INDEX(对接源_02物料!$D$4:$D$1203,$AF147-1200)=0,"",INDEX(对接源_02物料!$D$4:$D$1203,$AF147-1200))))</f>
      </c>
      <c r="J147" s="64">
        <f>IF($AF147="","",IF($AF147&lt;=1200,IF(INDEX(对接源_01水果!$M$4:$M$1203,$AF147)=0,"",INDEX(对接源_01水果!$M$4:$M$1203,$AF147)),IF(INDEX(对接源_02物料!$M$4:$M$1203,$AF147-1200)=0,"",INDEX(对接源_02物料!$M$4:$M$1203,$AF147-1200))))</f>
      </c>
      <c r="AF147" s="2">
        <f>IFERROR(MATCH(19,_自动清单!$AC$4:$AC$2403,0),"")</f>
      </c>
      <c r="AL147" s="2">
        <f>IF($D147="","",$D147)</f>
      </c>
      <c r="AM147" s="2">
        <f>IF(AL147="",0,IF(MATCH(AL147,AL$129:AL$208,0)=19,1,0))</f>
        <v>0</v>
      </c>
      <c r="AN147" s="2">
        <f>N(AN146)+AM147</f>
        <v>0</v>
      </c>
    </row>
    <row r="148" ht="18" customHeight="1" s="127">
      <c r="A148" s="165">
        <f>IF($AF148="","",IF($AF148&lt;=1200,IF(INDEX(对接源_01水果!$B$4:$B$1203,$AF148)=0,"",INDEX(对接源_01水果!$B$4:$B$1203,$AF148)),IF(INDEX(对接源_02物料!$B$4:$B$1203,$AF148-1200)=0,"",INDEX(对接源_02物料!$B$4:$B$1203,$AF148-1200))))</f>
      </c>
      <c r="B148" s="104">
        <f>IF($AF148="","",IF($AF148&lt;=1200,IF(INDEX(对接源_01水果!$E$4:$E$1203,$AF148)=0,"",INDEX(对接源_01水果!$E$4:$E$1203,$AF148)),IF(INDEX(对接源_02物料!$E$4:$E$1203,$AF148-1200)=0,"",INDEX(对接源_02物料!$E$4:$E$1203,$AF148-1200))))</f>
      </c>
      <c r="C148" s="104">
        <f>IF($AF148="","",IF($AF148&lt;=1200,IF(INDEX(对接源_01水果!$F$4:$F$1203,$AF148)=0,"",INDEX(对接源_01水果!$F$4:$F$1203,$AF148)),IF(INDEX(对接源_02物料!$F$4:$F$1203,$AF148-1200)=0,"",INDEX(对接源_02物料!$F$4:$F$1203,$AF148-1200))))</f>
      </c>
      <c r="D148" s="104">
        <f>IF($AF148="","",IF($AF148&lt;=1200,IF(INDEX(对接源_01水果!$G$4:$G$1203,$AF148)=0,"",INDEX(对接源_01水果!$G$4:$G$1203,$AF148)),IF(INDEX(对接源_02物料!$G$4:$G$1203,$AF148-1200)=0,"",INDEX(对接源_02物料!$G$4:$G$1203,$AF148-1200))))</f>
      </c>
      <c r="E148" s="166">
        <f>IF($AF148="","",IF($AF148&lt;=1200,IF(INDEX(对接源_01水果!$H$4:$H$1203,$AF148)=0,"",INDEX(对接源_01水果!$H$4:$H$1203,$AF148)),IF(INDEX(对接源_02物料!$H$4:$H$1203,$AF148-1200)=0,"",INDEX(对接源_02物料!$H$4:$H$1203,$AF148-1200))))</f>
      </c>
      <c r="F148" s="104">
        <f>IF($AF148="","",IF($AF148&lt;=1200,IF(INDEX(对接源_01水果!$I$4:$I$1203,$AF148)=0,"",INDEX(对接源_01水果!$I$4:$I$1203,$AF148)),IF(INDEX(对接源_02物料!$I$4:$I$1203,$AF148-1200)=0,"",INDEX(对接源_02物料!$I$4:$I$1203,$AF148-1200))))</f>
      </c>
      <c r="G148" s="175">
        <f>IF($AF148="","",IF($AF148&lt;=1200,IF(INDEX(对接源_01水果!$J$4:$J$1203,$AF148)=0,"",INDEX(对接源_01水果!$J$4:$J$1203,$AF148)),IF(INDEX(对接源_02物料!$J$4:$J$1203,$AF148-1200)=0,"",INDEX(对接源_02物料!$J$4:$J$1203,$AF148-1200))))</f>
      </c>
      <c r="H148" s="104">
        <f>IF($AF148="","",IF($AF148&lt;=1200,IF(INDEX(对接源_01水果!$W$4:$W$1203,$AF148)=0,"",INDEX(对接源_01水果!$W$4:$W$1203,$AF148)),IF(INDEX(对接源_02物料!$W$4:$W$1203,$AF148-1200)=0,"",INDEX(对接源_02物料!$W$4:$W$1203,$AF148-1200))))</f>
      </c>
      <c r="I148" s="104">
        <f>IF($AF148="","",IF($AF148&lt;=1200,IF(INDEX(对接源_01水果!$D$4:$D$1203,$AF148)=0,"",INDEX(对接源_01水果!$D$4:$D$1203,$AF148)),IF(INDEX(对接源_02物料!$D$4:$D$1203,$AF148-1200)=0,"",INDEX(对接源_02物料!$D$4:$D$1203,$AF148-1200))))</f>
      </c>
      <c r="J148" s="107">
        <f>IF($AF148="","",IF($AF148&lt;=1200,IF(INDEX(对接源_01水果!$M$4:$M$1203,$AF148)=0,"",INDEX(对接源_01水果!$M$4:$M$1203,$AF148)),IF(INDEX(对接源_02物料!$M$4:$M$1203,$AF148-1200)=0,"",INDEX(对接源_02物料!$M$4:$M$1203,$AF148-1200))))</f>
      </c>
      <c r="AF148" s="2">
        <f>IFERROR(MATCH(20,_自动清单!$AC$4:$AC$2403,0),"")</f>
      </c>
      <c r="AL148" s="2">
        <f>IF($D148="","",$D148)</f>
      </c>
      <c r="AM148" s="2">
        <f>IF(AL148="",0,IF(MATCH(AL148,AL$129:AL$208,0)=20,1,0))</f>
        <v>0</v>
      </c>
      <c r="AN148" s="2">
        <f>N(AN147)+AM148</f>
        <v>0</v>
      </c>
    </row>
    <row r="149" ht="18" customHeight="1" s="127">
      <c r="A149" s="163">
        <f>IF($AF149="","",IF($AF149&lt;=1200,IF(INDEX(对接源_01水果!$B$4:$B$1203,$AF149)=0,"",INDEX(对接源_01水果!$B$4:$B$1203,$AF149)),IF(INDEX(对接源_02物料!$B$4:$B$1203,$AF149-1200)=0,"",INDEX(对接源_02物料!$B$4:$B$1203,$AF149-1200))))</f>
      </c>
      <c r="B149" s="61">
        <f>IF($AF149="","",IF($AF149&lt;=1200,IF(INDEX(对接源_01水果!$E$4:$E$1203,$AF149)=0,"",INDEX(对接源_01水果!$E$4:$E$1203,$AF149)),IF(INDEX(对接源_02物料!$E$4:$E$1203,$AF149-1200)=0,"",INDEX(对接源_02物料!$E$4:$E$1203,$AF149-1200))))</f>
      </c>
      <c r="C149" s="61">
        <f>IF($AF149="","",IF($AF149&lt;=1200,IF(INDEX(对接源_01水果!$F$4:$F$1203,$AF149)=0,"",INDEX(对接源_01水果!$F$4:$F$1203,$AF149)),IF(INDEX(对接源_02物料!$F$4:$F$1203,$AF149-1200)=0,"",INDEX(对接源_02物料!$F$4:$F$1203,$AF149-1200))))</f>
      </c>
      <c r="D149" s="61">
        <f>IF($AF149="","",IF($AF149&lt;=1200,IF(INDEX(对接源_01水果!$G$4:$G$1203,$AF149)=0,"",INDEX(对接源_01水果!$G$4:$G$1203,$AF149)),IF(INDEX(对接源_02物料!$G$4:$G$1203,$AF149-1200)=0,"",INDEX(对接源_02物料!$G$4:$G$1203,$AF149-1200))))</f>
      </c>
      <c r="E149" s="164">
        <f>IF($AF149="","",IF($AF149&lt;=1200,IF(INDEX(对接源_01水果!$H$4:$H$1203,$AF149)=0,"",INDEX(对接源_01水果!$H$4:$H$1203,$AF149)),IF(INDEX(对接源_02物料!$H$4:$H$1203,$AF149-1200)=0,"",INDEX(对接源_02物料!$H$4:$H$1203,$AF149-1200))))</f>
      </c>
      <c r="F149" s="61">
        <f>IF($AF149="","",IF($AF149&lt;=1200,IF(INDEX(对接源_01水果!$I$4:$I$1203,$AF149)=0,"",INDEX(对接源_01水果!$I$4:$I$1203,$AF149)),IF(INDEX(对接源_02物料!$I$4:$I$1203,$AF149-1200)=0,"",INDEX(对接源_02物料!$I$4:$I$1203,$AF149-1200))))</f>
      </c>
      <c r="G149" s="173">
        <f>IF($AF149="","",IF($AF149&lt;=1200,IF(INDEX(对接源_01水果!$J$4:$J$1203,$AF149)=0,"",INDEX(对接源_01水果!$J$4:$J$1203,$AF149)),IF(INDEX(对接源_02物料!$J$4:$J$1203,$AF149-1200)=0,"",INDEX(对接源_02物料!$J$4:$J$1203,$AF149-1200))))</f>
      </c>
      <c r="H149" s="61">
        <f>IF($AF149="","",IF($AF149&lt;=1200,IF(INDEX(对接源_01水果!$W$4:$W$1203,$AF149)=0,"",INDEX(对接源_01水果!$W$4:$W$1203,$AF149)),IF(INDEX(对接源_02物料!$W$4:$W$1203,$AF149-1200)=0,"",INDEX(对接源_02物料!$W$4:$W$1203,$AF149-1200))))</f>
      </c>
      <c r="I149" s="61">
        <f>IF($AF149="","",IF($AF149&lt;=1200,IF(INDEX(对接源_01水果!$D$4:$D$1203,$AF149)=0,"",INDEX(对接源_01水果!$D$4:$D$1203,$AF149)),IF(INDEX(对接源_02物料!$D$4:$D$1203,$AF149-1200)=0,"",INDEX(对接源_02物料!$D$4:$D$1203,$AF149-1200))))</f>
      </c>
      <c r="J149" s="64">
        <f>IF($AF149="","",IF($AF149&lt;=1200,IF(INDEX(对接源_01水果!$M$4:$M$1203,$AF149)=0,"",INDEX(对接源_01水果!$M$4:$M$1203,$AF149)),IF(INDEX(对接源_02物料!$M$4:$M$1203,$AF149-1200)=0,"",INDEX(对接源_02物料!$M$4:$M$1203,$AF149-1200))))</f>
      </c>
      <c r="AF149" s="2">
        <f>IFERROR(MATCH(21,_自动清单!$AC$4:$AC$2403,0),"")</f>
      </c>
      <c r="AL149" s="2">
        <f>IF($D149="","",$D149)</f>
      </c>
      <c r="AM149" s="2">
        <f>IF(AL149="",0,IF(MATCH(AL149,AL$129:AL$208,0)=21,1,0))</f>
        <v>0</v>
      </c>
      <c r="AN149" s="2">
        <f>N(AN148)+AM149</f>
        <v>0</v>
      </c>
    </row>
    <row r="150" ht="18" customHeight="1" s="127">
      <c r="A150" s="165">
        <f>IF($AF150="","",IF($AF150&lt;=1200,IF(INDEX(对接源_01水果!$B$4:$B$1203,$AF150)=0,"",INDEX(对接源_01水果!$B$4:$B$1203,$AF150)),IF(INDEX(对接源_02物料!$B$4:$B$1203,$AF150-1200)=0,"",INDEX(对接源_02物料!$B$4:$B$1203,$AF150-1200))))</f>
      </c>
      <c r="B150" s="104">
        <f>IF($AF150="","",IF($AF150&lt;=1200,IF(INDEX(对接源_01水果!$E$4:$E$1203,$AF150)=0,"",INDEX(对接源_01水果!$E$4:$E$1203,$AF150)),IF(INDEX(对接源_02物料!$E$4:$E$1203,$AF150-1200)=0,"",INDEX(对接源_02物料!$E$4:$E$1203,$AF150-1200))))</f>
      </c>
      <c r="C150" s="104">
        <f>IF($AF150="","",IF($AF150&lt;=1200,IF(INDEX(对接源_01水果!$F$4:$F$1203,$AF150)=0,"",INDEX(对接源_01水果!$F$4:$F$1203,$AF150)),IF(INDEX(对接源_02物料!$F$4:$F$1203,$AF150-1200)=0,"",INDEX(对接源_02物料!$F$4:$F$1203,$AF150-1200))))</f>
      </c>
      <c r="D150" s="104">
        <f>IF($AF150="","",IF($AF150&lt;=1200,IF(INDEX(对接源_01水果!$G$4:$G$1203,$AF150)=0,"",INDEX(对接源_01水果!$G$4:$G$1203,$AF150)),IF(INDEX(对接源_02物料!$G$4:$G$1203,$AF150-1200)=0,"",INDEX(对接源_02物料!$G$4:$G$1203,$AF150-1200))))</f>
      </c>
      <c r="E150" s="166">
        <f>IF($AF150="","",IF($AF150&lt;=1200,IF(INDEX(对接源_01水果!$H$4:$H$1203,$AF150)=0,"",INDEX(对接源_01水果!$H$4:$H$1203,$AF150)),IF(INDEX(对接源_02物料!$H$4:$H$1203,$AF150-1200)=0,"",INDEX(对接源_02物料!$H$4:$H$1203,$AF150-1200))))</f>
      </c>
      <c r="F150" s="104">
        <f>IF($AF150="","",IF($AF150&lt;=1200,IF(INDEX(对接源_01水果!$I$4:$I$1203,$AF150)=0,"",INDEX(对接源_01水果!$I$4:$I$1203,$AF150)),IF(INDEX(对接源_02物料!$I$4:$I$1203,$AF150-1200)=0,"",INDEX(对接源_02物料!$I$4:$I$1203,$AF150-1200))))</f>
      </c>
      <c r="G150" s="175">
        <f>IF($AF150="","",IF($AF150&lt;=1200,IF(INDEX(对接源_01水果!$J$4:$J$1203,$AF150)=0,"",INDEX(对接源_01水果!$J$4:$J$1203,$AF150)),IF(INDEX(对接源_02物料!$J$4:$J$1203,$AF150-1200)=0,"",INDEX(对接源_02物料!$J$4:$J$1203,$AF150-1200))))</f>
      </c>
      <c r="H150" s="104">
        <f>IF($AF150="","",IF($AF150&lt;=1200,IF(INDEX(对接源_01水果!$W$4:$W$1203,$AF150)=0,"",INDEX(对接源_01水果!$W$4:$W$1203,$AF150)),IF(INDEX(对接源_02物料!$W$4:$W$1203,$AF150-1200)=0,"",INDEX(对接源_02物料!$W$4:$W$1203,$AF150-1200))))</f>
      </c>
      <c r="I150" s="104">
        <f>IF($AF150="","",IF($AF150&lt;=1200,IF(INDEX(对接源_01水果!$D$4:$D$1203,$AF150)=0,"",INDEX(对接源_01水果!$D$4:$D$1203,$AF150)),IF(INDEX(对接源_02物料!$D$4:$D$1203,$AF150-1200)=0,"",INDEX(对接源_02物料!$D$4:$D$1203,$AF150-1200))))</f>
      </c>
      <c r="J150" s="107">
        <f>IF($AF150="","",IF($AF150&lt;=1200,IF(INDEX(对接源_01水果!$M$4:$M$1203,$AF150)=0,"",INDEX(对接源_01水果!$M$4:$M$1203,$AF150)),IF(INDEX(对接源_02物料!$M$4:$M$1203,$AF150-1200)=0,"",INDEX(对接源_02物料!$M$4:$M$1203,$AF150-1200))))</f>
      </c>
      <c r="AF150" s="2">
        <f>IFERROR(MATCH(22,_自动清单!$AC$4:$AC$2403,0),"")</f>
      </c>
      <c r="AL150" s="2">
        <f>IF($D150="","",$D150)</f>
      </c>
      <c r="AM150" s="2">
        <f>IF(AL150="",0,IF(MATCH(AL150,AL$129:AL$208,0)=22,1,0))</f>
        <v>0</v>
      </c>
      <c r="AN150" s="2">
        <f>N(AN149)+AM150</f>
        <v>0</v>
      </c>
    </row>
    <row r="151" ht="18" customHeight="1" s="127">
      <c r="A151" s="163">
        <f>IF($AF151="","",IF($AF151&lt;=1200,IF(INDEX(对接源_01水果!$B$4:$B$1203,$AF151)=0,"",INDEX(对接源_01水果!$B$4:$B$1203,$AF151)),IF(INDEX(对接源_02物料!$B$4:$B$1203,$AF151-1200)=0,"",INDEX(对接源_02物料!$B$4:$B$1203,$AF151-1200))))</f>
      </c>
      <c r="B151" s="61">
        <f>IF($AF151="","",IF($AF151&lt;=1200,IF(INDEX(对接源_01水果!$E$4:$E$1203,$AF151)=0,"",INDEX(对接源_01水果!$E$4:$E$1203,$AF151)),IF(INDEX(对接源_02物料!$E$4:$E$1203,$AF151-1200)=0,"",INDEX(对接源_02物料!$E$4:$E$1203,$AF151-1200))))</f>
      </c>
      <c r="C151" s="61">
        <f>IF($AF151="","",IF($AF151&lt;=1200,IF(INDEX(对接源_01水果!$F$4:$F$1203,$AF151)=0,"",INDEX(对接源_01水果!$F$4:$F$1203,$AF151)),IF(INDEX(对接源_02物料!$F$4:$F$1203,$AF151-1200)=0,"",INDEX(对接源_02物料!$F$4:$F$1203,$AF151-1200))))</f>
      </c>
      <c r="D151" s="61">
        <f>IF($AF151="","",IF($AF151&lt;=1200,IF(INDEX(对接源_01水果!$G$4:$G$1203,$AF151)=0,"",INDEX(对接源_01水果!$G$4:$G$1203,$AF151)),IF(INDEX(对接源_02物料!$G$4:$G$1203,$AF151-1200)=0,"",INDEX(对接源_02物料!$G$4:$G$1203,$AF151-1200))))</f>
      </c>
      <c r="E151" s="164">
        <f>IF($AF151="","",IF($AF151&lt;=1200,IF(INDEX(对接源_01水果!$H$4:$H$1203,$AF151)=0,"",INDEX(对接源_01水果!$H$4:$H$1203,$AF151)),IF(INDEX(对接源_02物料!$H$4:$H$1203,$AF151-1200)=0,"",INDEX(对接源_02物料!$H$4:$H$1203,$AF151-1200))))</f>
      </c>
      <c r="F151" s="61">
        <f>IF($AF151="","",IF($AF151&lt;=1200,IF(INDEX(对接源_01水果!$I$4:$I$1203,$AF151)=0,"",INDEX(对接源_01水果!$I$4:$I$1203,$AF151)),IF(INDEX(对接源_02物料!$I$4:$I$1203,$AF151-1200)=0,"",INDEX(对接源_02物料!$I$4:$I$1203,$AF151-1200))))</f>
      </c>
      <c r="G151" s="173">
        <f>IF($AF151="","",IF($AF151&lt;=1200,IF(INDEX(对接源_01水果!$J$4:$J$1203,$AF151)=0,"",INDEX(对接源_01水果!$J$4:$J$1203,$AF151)),IF(INDEX(对接源_02物料!$J$4:$J$1203,$AF151-1200)=0,"",INDEX(对接源_02物料!$J$4:$J$1203,$AF151-1200))))</f>
      </c>
      <c r="H151" s="61">
        <f>IF($AF151="","",IF($AF151&lt;=1200,IF(INDEX(对接源_01水果!$W$4:$W$1203,$AF151)=0,"",INDEX(对接源_01水果!$W$4:$W$1203,$AF151)),IF(INDEX(对接源_02物料!$W$4:$W$1203,$AF151-1200)=0,"",INDEX(对接源_02物料!$W$4:$W$1203,$AF151-1200))))</f>
      </c>
      <c r="I151" s="61">
        <f>IF($AF151="","",IF($AF151&lt;=1200,IF(INDEX(对接源_01水果!$D$4:$D$1203,$AF151)=0,"",INDEX(对接源_01水果!$D$4:$D$1203,$AF151)),IF(INDEX(对接源_02物料!$D$4:$D$1203,$AF151-1200)=0,"",INDEX(对接源_02物料!$D$4:$D$1203,$AF151-1200))))</f>
      </c>
      <c r="J151" s="64">
        <f>IF($AF151="","",IF($AF151&lt;=1200,IF(INDEX(对接源_01水果!$M$4:$M$1203,$AF151)=0,"",INDEX(对接源_01水果!$M$4:$M$1203,$AF151)),IF(INDEX(对接源_02物料!$M$4:$M$1203,$AF151-1200)=0,"",INDEX(对接源_02物料!$M$4:$M$1203,$AF151-1200))))</f>
      </c>
      <c r="AF151" s="2">
        <f>IFERROR(MATCH(23,_自动清单!$AC$4:$AC$2403,0),"")</f>
      </c>
      <c r="AL151" s="2">
        <f>IF($D151="","",$D151)</f>
      </c>
      <c r="AM151" s="2">
        <f>IF(AL151="",0,IF(MATCH(AL151,AL$129:AL$208,0)=23,1,0))</f>
        <v>0</v>
      </c>
      <c r="AN151" s="2">
        <f>N(AN150)+AM151</f>
        <v>0</v>
      </c>
    </row>
    <row r="152" ht="18" customHeight="1" s="127">
      <c r="A152" s="165">
        <f>IF($AF152="","",IF($AF152&lt;=1200,IF(INDEX(对接源_01水果!$B$4:$B$1203,$AF152)=0,"",INDEX(对接源_01水果!$B$4:$B$1203,$AF152)),IF(INDEX(对接源_02物料!$B$4:$B$1203,$AF152-1200)=0,"",INDEX(对接源_02物料!$B$4:$B$1203,$AF152-1200))))</f>
      </c>
      <c r="B152" s="104">
        <f>IF($AF152="","",IF($AF152&lt;=1200,IF(INDEX(对接源_01水果!$E$4:$E$1203,$AF152)=0,"",INDEX(对接源_01水果!$E$4:$E$1203,$AF152)),IF(INDEX(对接源_02物料!$E$4:$E$1203,$AF152-1200)=0,"",INDEX(对接源_02物料!$E$4:$E$1203,$AF152-1200))))</f>
      </c>
      <c r="C152" s="104">
        <f>IF($AF152="","",IF($AF152&lt;=1200,IF(INDEX(对接源_01水果!$F$4:$F$1203,$AF152)=0,"",INDEX(对接源_01水果!$F$4:$F$1203,$AF152)),IF(INDEX(对接源_02物料!$F$4:$F$1203,$AF152-1200)=0,"",INDEX(对接源_02物料!$F$4:$F$1203,$AF152-1200))))</f>
      </c>
      <c r="D152" s="104">
        <f>IF($AF152="","",IF($AF152&lt;=1200,IF(INDEX(对接源_01水果!$G$4:$G$1203,$AF152)=0,"",INDEX(对接源_01水果!$G$4:$G$1203,$AF152)),IF(INDEX(对接源_02物料!$G$4:$G$1203,$AF152-1200)=0,"",INDEX(对接源_02物料!$G$4:$G$1203,$AF152-1200))))</f>
      </c>
      <c r="E152" s="166">
        <f>IF($AF152="","",IF($AF152&lt;=1200,IF(INDEX(对接源_01水果!$H$4:$H$1203,$AF152)=0,"",INDEX(对接源_01水果!$H$4:$H$1203,$AF152)),IF(INDEX(对接源_02物料!$H$4:$H$1203,$AF152-1200)=0,"",INDEX(对接源_02物料!$H$4:$H$1203,$AF152-1200))))</f>
      </c>
      <c r="F152" s="104">
        <f>IF($AF152="","",IF($AF152&lt;=1200,IF(INDEX(对接源_01水果!$I$4:$I$1203,$AF152)=0,"",INDEX(对接源_01水果!$I$4:$I$1203,$AF152)),IF(INDEX(对接源_02物料!$I$4:$I$1203,$AF152-1200)=0,"",INDEX(对接源_02物料!$I$4:$I$1203,$AF152-1200))))</f>
      </c>
      <c r="G152" s="175">
        <f>IF($AF152="","",IF($AF152&lt;=1200,IF(INDEX(对接源_01水果!$J$4:$J$1203,$AF152)=0,"",INDEX(对接源_01水果!$J$4:$J$1203,$AF152)),IF(INDEX(对接源_02物料!$J$4:$J$1203,$AF152-1200)=0,"",INDEX(对接源_02物料!$J$4:$J$1203,$AF152-1200))))</f>
      </c>
      <c r="H152" s="104">
        <f>IF($AF152="","",IF($AF152&lt;=1200,IF(INDEX(对接源_01水果!$W$4:$W$1203,$AF152)=0,"",INDEX(对接源_01水果!$W$4:$W$1203,$AF152)),IF(INDEX(对接源_02物料!$W$4:$W$1203,$AF152-1200)=0,"",INDEX(对接源_02物料!$W$4:$W$1203,$AF152-1200))))</f>
      </c>
      <c r="I152" s="104">
        <f>IF($AF152="","",IF($AF152&lt;=1200,IF(INDEX(对接源_01水果!$D$4:$D$1203,$AF152)=0,"",INDEX(对接源_01水果!$D$4:$D$1203,$AF152)),IF(INDEX(对接源_02物料!$D$4:$D$1203,$AF152-1200)=0,"",INDEX(对接源_02物料!$D$4:$D$1203,$AF152-1200))))</f>
      </c>
      <c r="J152" s="107">
        <f>IF($AF152="","",IF($AF152&lt;=1200,IF(INDEX(对接源_01水果!$M$4:$M$1203,$AF152)=0,"",INDEX(对接源_01水果!$M$4:$M$1203,$AF152)),IF(INDEX(对接源_02物料!$M$4:$M$1203,$AF152-1200)=0,"",INDEX(对接源_02物料!$M$4:$M$1203,$AF152-1200))))</f>
      </c>
      <c r="AF152" s="2">
        <f>IFERROR(MATCH(24,_自动清单!$AC$4:$AC$2403,0),"")</f>
      </c>
      <c r="AL152" s="2">
        <f>IF($D152="","",$D152)</f>
      </c>
      <c r="AM152" s="2">
        <f>IF(AL152="",0,IF(MATCH(AL152,AL$129:AL$208,0)=24,1,0))</f>
        <v>0</v>
      </c>
      <c r="AN152" s="2">
        <f>N(AN151)+AM152</f>
        <v>0</v>
      </c>
    </row>
    <row r="153" ht="18" customHeight="1" s="127">
      <c r="A153" s="163">
        <f>IF($AF153="","",IF($AF153&lt;=1200,IF(INDEX(对接源_01水果!$B$4:$B$1203,$AF153)=0,"",INDEX(对接源_01水果!$B$4:$B$1203,$AF153)),IF(INDEX(对接源_02物料!$B$4:$B$1203,$AF153-1200)=0,"",INDEX(对接源_02物料!$B$4:$B$1203,$AF153-1200))))</f>
      </c>
      <c r="B153" s="61">
        <f>IF($AF153="","",IF($AF153&lt;=1200,IF(INDEX(对接源_01水果!$E$4:$E$1203,$AF153)=0,"",INDEX(对接源_01水果!$E$4:$E$1203,$AF153)),IF(INDEX(对接源_02物料!$E$4:$E$1203,$AF153-1200)=0,"",INDEX(对接源_02物料!$E$4:$E$1203,$AF153-1200))))</f>
      </c>
      <c r="C153" s="61">
        <f>IF($AF153="","",IF($AF153&lt;=1200,IF(INDEX(对接源_01水果!$F$4:$F$1203,$AF153)=0,"",INDEX(对接源_01水果!$F$4:$F$1203,$AF153)),IF(INDEX(对接源_02物料!$F$4:$F$1203,$AF153-1200)=0,"",INDEX(对接源_02物料!$F$4:$F$1203,$AF153-1200))))</f>
      </c>
      <c r="D153" s="61">
        <f>IF($AF153="","",IF($AF153&lt;=1200,IF(INDEX(对接源_01水果!$G$4:$G$1203,$AF153)=0,"",INDEX(对接源_01水果!$G$4:$G$1203,$AF153)),IF(INDEX(对接源_02物料!$G$4:$G$1203,$AF153-1200)=0,"",INDEX(对接源_02物料!$G$4:$G$1203,$AF153-1200))))</f>
      </c>
      <c r="E153" s="164">
        <f>IF($AF153="","",IF($AF153&lt;=1200,IF(INDEX(对接源_01水果!$H$4:$H$1203,$AF153)=0,"",INDEX(对接源_01水果!$H$4:$H$1203,$AF153)),IF(INDEX(对接源_02物料!$H$4:$H$1203,$AF153-1200)=0,"",INDEX(对接源_02物料!$H$4:$H$1203,$AF153-1200))))</f>
      </c>
      <c r="F153" s="61">
        <f>IF($AF153="","",IF($AF153&lt;=1200,IF(INDEX(对接源_01水果!$I$4:$I$1203,$AF153)=0,"",INDEX(对接源_01水果!$I$4:$I$1203,$AF153)),IF(INDEX(对接源_02物料!$I$4:$I$1203,$AF153-1200)=0,"",INDEX(对接源_02物料!$I$4:$I$1203,$AF153-1200))))</f>
      </c>
      <c r="G153" s="173">
        <f>IF($AF153="","",IF($AF153&lt;=1200,IF(INDEX(对接源_01水果!$J$4:$J$1203,$AF153)=0,"",INDEX(对接源_01水果!$J$4:$J$1203,$AF153)),IF(INDEX(对接源_02物料!$J$4:$J$1203,$AF153-1200)=0,"",INDEX(对接源_02物料!$J$4:$J$1203,$AF153-1200))))</f>
      </c>
      <c r="H153" s="61">
        <f>IF($AF153="","",IF($AF153&lt;=1200,IF(INDEX(对接源_01水果!$W$4:$W$1203,$AF153)=0,"",INDEX(对接源_01水果!$W$4:$W$1203,$AF153)),IF(INDEX(对接源_02物料!$W$4:$W$1203,$AF153-1200)=0,"",INDEX(对接源_02物料!$W$4:$W$1203,$AF153-1200))))</f>
      </c>
      <c r="I153" s="61">
        <f>IF($AF153="","",IF($AF153&lt;=1200,IF(INDEX(对接源_01水果!$D$4:$D$1203,$AF153)=0,"",INDEX(对接源_01水果!$D$4:$D$1203,$AF153)),IF(INDEX(对接源_02物料!$D$4:$D$1203,$AF153-1200)=0,"",INDEX(对接源_02物料!$D$4:$D$1203,$AF153-1200))))</f>
      </c>
      <c r="J153" s="64">
        <f>IF($AF153="","",IF($AF153&lt;=1200,IF(INDEX(对接源_01水果!$M$4:$M$1203,$AF153)=0,"",INDEX(对接源_01水果!$M$4:$M$1203,$AF153)),IF(INDEX(对接源_02物料!$M$4:$M$1203,$AF153-1200)=0,"",INDEX(对接源_02物料!$M$4:$M$1203,$AF153-1200))))</f>
      </c>
      <c r="AF153" s="2">
        <f>IFERROR(MATCH(25,_自动清单!$AC$4:$AC$2403,0),"")</f>
      </c>
      <c r="AL153" s="2">
        <f>IF($D153="","",$D153)</f>
      </c>
      <c r="AM153" s="2">
        <f>IF(AL153="",0,IF(MATCH(AL153,AL$129:AL$208,0)=25,1,0))</f>
        <v>0</v>
      </c>
      <c r="AN153" s="2">
        <f>N(AN152)+AM153</f>
        <v>0</v>
      </c>
    </row>
    <row r="154" ht="18" customHeight="1" s="127">
      <c r="A154" s="165">
        <f>IF($AF154="","",IF($AF154&lt;=1200,IF(INDEX(对接源_01水果!$B$4:$B$1203,$AF154)=0,"",INDEX(对接源_01水果!$B$4:$B$1203,$AF154)),IF(INDEX(对接源_02物料!$B$4:$B$1203,$AF154-1200)=0,"",INDEX(对接源_02物料!$B$4:$B$1203,$AF154-1200))))</f>
      </c>
      <c r="B154" s="104">
        <f>IF($AF154="","",IF($AF154&lt;=1200,IF(INDEX(对接源_01水果!$E$4:$E$1203,$AF154)=0,"",INDEX(对接源_01水果!$E$4:$E$1203,$AF154)),IF(INDEX(对接源_02物料!$E$4:$E$1203,$AF154-1200)=0,"",INDEX(对接源_02物料!$E$4:$E$1203,$AF154-1200))))</f>
      </c>
      <c r="C154" s="104">
        <f>IF($AF154="","",IF($AF154&lt;=1200,IF(INDEX(对接源_01水果!$F$4:$F$1203,$AF154)=0,"",INDEX(对接源_01水果!$F$4:$F$1203,$AF154)),IF(INDEX(对接源_02物料!$F$4:$F$1203,$AF154-1200)=0,"",INDEX(对接源_02物料!$F$4:$F$1203,$AF154-1200))))</f>
      </c>
      <c r="D154" s="104">
        <f>IF($AF154="","",IF($AF154&lt;=1200,IF(INDEX(对接源_01水果!$G$4:$G$1203,$AF154)=0,"",INDEX(对接源_01水果!$G$4:$G$1203,$AF154)),IF(INDEX(对接源_02物料!$G$4:$G$1203,$AF154-1200)=0,"",INDEX(对接源_02物料!$G$4:$G$1203,$AF154-1200))))</f>
      </c>
      <c r="E154" s="166">
        <f>IF($AF154="","",IF($AF154&lt;=1200,IF(INDEX(对接源_01水果!$H$4:$H$1203,$AF154)=0,"",INDEX(对接源_01水果!$H$4:$H$1203,$AF154)),IF(INDEX(对接源_02物料!$H$4:$H$1203,$AF154-1200)=0,"",INDEX(对接源_02物料!$H$4:$H$1203,$AF154-1200))))</f>
      </c>
      <c r="F154" s="104">
        <f>IF($AF154="","",IF($AF154&lt;=1200,IF(INDEX(对接源_01水果!$I$4:$I$1203,$AF154)=0,"",INDEX(对接源_01水果!$I$4:$I$1203,$AF154)),IF(INDEX(对接源_02物料!$I$4:$I$1203,$AF154-1200)=0,"",INDEX(对接源_02物料!$I$4:$I$1203,$AF154-1200))))</f>
      </c>
      <c r="G154" s="175">
        <f>IF($AF154="","",IF($AF154&lt;=1200,IF(INDEX(对接源_01水果!$J$4:$J$1203,$AF154)=0,"",INDEX(对接源_01水果!$J$4:$J$1203,$AF154)),IF(INDEX(对接源_02物料!$J$4:$J$1203,$AF154-1200)=0,"",INDEX(对接源_02物料!$J$4:$J$1203,$AF154-1200))))</f>
      </c>
      <c r="H154" s="104">
        <f>IF($AF154="","",IF($AF154&lt;=1200,IF(INDEX(对接源_01水果!$W$4:$W$1203,$AF154)=0,"",INDEX(对接源_01水果!$W$4:$W$1203,$AF154)),IF(INDEX(对接源_02物料!$W$4:$W$1203,$AF154-1200)=0,"",INDEX(对接源_02物料!$W$4:$W$1203,$AF154-1200))))</f>
      </c>
      <c r="I154" s="104">
        <f>IF($AF154="","",IF($AF154&lt;=1200,IF(INDEX(对接源_01水果!$D$4:$D$1203,$AF154)=0,"",INDEX(对接源_01水果!$D$4:$D$1203,$AF154)),IF(INDEX(对接源_02物料!$D$4:$D$1203,$AF154-1200)=0,"",INDEX(对接源_02物料!$D$4:$D$1203,$AF154-1200))))</f>
      </c>
      <c r="J154" s="107">
        <f>IF($AF154="","",IF($AF154&lt;=1200,IF(INDEX(对接源_01水果!$M$4:$M$1203,$AF154)=0,"",INDEX(对接源_01水果!$M$4:$M$1203,$AF154)),IF(INDEX(对接源_02物料!$M$4:$M$1203,$AF154-1200)=0,"",INDEX(对接源_02物料!$M$4:$M$1203,$AF154-1200))))</f>
      </c>
      <c r="AF154" s="2">
        <f>IFERROR(MATCH(26,_自动清单!$AC$4:$AC$2403,0),"")</f>
      </c>
      <c r="AL154" s="2">
        <f>IF($D154="","",$D154)</f>
      </c>
      <c r="AM154" s="2">
        <f>IF(AL154="",0,IF(MATCH(AL154,AL$129:AL$208,0)=26,1,0))</f>
        <v>0</v>
      </c>
      <c r="AN154" s="2">
        <f>N(AN153)+AM154</f>
        <v>0</v>
      </c>
    </row>
    <row r="155" ht="18" customHeight="1" s="127">
      <c r="A155" s="163">
        <f>IF($AF155="","",IF($AF155&lt;=1200,IF(INDEX(对接源_01水果!$B$4:$B$1203,$AF155)=0,"",INDEX(对接源_01水果!$B$4:$B$1203,$AF155)),IF(INDEX(对接源_02物料!$B$4:$B$1203,$AF155-1200)=0,"",INDEX(对接源_02物料!$B$4:$B$1203,$AF155-1200))))</f>
      </c>
      <c r="B155" s="61">
        <f>IF($AF155="","",IF($AF155&lt;=1200,IF(INDEX(对接源_01水果!$E$4:$E$1203,$AF155)=0,"",INDEX(对接源_01水果!$E$4:$E$1203,$AF155)),IF(INDEX(对接源_02物料!$E$4:$E$1203,$AF155-1200)=0,"",INDEX(对接源_02物料!$E$4:$E$1203,$AF155-1200))))</f>
      </c>
      <c r="C155" s="61">
        <f>IF($AF155="","",IF($AF155&lt;=1200,IF(INDEX(对接源_01水果!$F$4:$F$1203,$AF155)=0,"",INDEX(对接源_01水果!$F$4:$F$1203,$AF155)),IF(INDEX(对接源_02物料!$F$4:$F$1203,$AF155-1200)=0,"",INDEX(对接源_02物料!$F$4:$F$1203,$AF155-1200))))</f>
      </c>
      <c r="D155" s="61">
        <f>IF($AF155="","",IF($AF155&lt;=1200,IF(INDEX(对接源_01水果!$G$4:$G$1203,$AF155)=0,"",INDEX(对接源_01水果!$G$4:$G$1203,$AF155)),IF(INDEX(对接源_02物料!$G$4:$G$1203,$AF155-1200)=0,"",INDEX(对接源_02物料!$G$4:$G$1203,$AF155-1200))))</f>
      </c>
      <c r="E155" s="164">
        <f>IF($AF155="","",IF($AF155&lt;=1200,IF(INDEX(对接源_01水果!$H$4:$H$1203,$AF155)=0,"",INDEX(对接源_01水果!$H$4:$H$1203,$AF155)),IF(INDEX(对接源_02物料!$H$4:$H$1203,$AF155-1200)=0,"",INDEX(对接源_02物料!$H$4:$H$1203,$AF155-1200))))</f>
      </c>
      <c r="F155" s="61">
        <f>IF($AF155="","",IF($AF155&lt;=1200,IF(INDEX(对接源_01水果!$I$4:$I$1203,$AF155)=0,"",INDEX(对接源_01水果!$I$4:$I$1203,$AF155)),IF(INDEX(对接源_02物料!$I$4:$I$1203,$AF155-1200)=0,"",INDEX(对接源_02物料!$I$4:$I$1203,$AF155-1200))))</f>
      </c>
      <c r="G155" s="173">
        <f>IF($AF155="","",IF($AF155&lt;=1200,IF(INDEX(对接源_01水果!$J$4:$J$1203,$AF155)=0,"",INDEX(对接源_01水果!$J$4:$J$1203,$AF155)),IF(INDEX(对接源_02物料!$J$4:$J$1203,$AF155-1200)=0,"",INDEX(对接源_02物料!$J$4:$J$1203,$AF155-1200))))</f>
      </c>
      <c r="H155" s="61">
        <f>IF($AF155="","",IF($AF155&lt;=1200,IF(INDEX(对接源_01水果!$W$4:$W$1203,$AF155)=0,"",INDEX(对接源_01水果!$W$4:$W$1203,$AF155)),IF(INDEX(对接源_02物料!$W$4:$W$1203,$AF155-1200)=0,"",INDEX(对接源_02物料!$W$4:$W$1203,$AF155-1200))))</f>
      </c>
      <c r="I155" s="61">
        <f>IF($AF155="","",IF($AF155&lt;=1200,IF(INDEX(对接源_01水果!$D$4:$D$1203,$AF155)=0,"",INDEX(对接源_01水果!$D$4:$D$1203,$AF155)),IF(INDEX(对接源_02物料!$D$4:$D$1203,$AF155-1200)=0,"",INDEX(对接源_02物料!$D$4:$D$1203,$AF155-1200))))</f>
      </c>
      <c r="J155" s="64">
        <f>IF($AF155="","",IF($AF155&lt;=1200,IF(INDEX(对接源_01水果!$M$4:$M$1203,$AF155)=0,"",INDEX(对接源_01水果!$M$4:$M$1203,$AF155)),IF(INDEX(对接源_02物料!$M$4:$M$1203,$AF155-1200)=0,"",INDEX(对接源_02物料!$M$4:$M$1203,$AF155-1200))))</f>
      </c>
      <c r="AF155" s="2">
        <f>IFERROR(MATCH(27,_自动清单!$AC$4:$AC$2403,0),"")</f>
      </c>
      <c r="AL155" s="2">
        <f>IF($D155="","",$D155)</f>
      </c>
      <c r="AM155" s="2">
        <f>IF(AL155="",0,IF(MATCH(AL155,AL$129:AL$208,0)=27,1,0))</f>
        <v>0</v>
      </c>
      <c r="AN155" s="2">
        <f>N(AN154)+AM155</f>
        <v>0</v>
      </c>
    </row>
    <row r="156" ht="18" customHeight="1" s="127">
      <c r="A156" s="165">
        <f>IF($AF156="","",IF($AF156&lt;=1200,IF(INDEX(对接源_01水果!$B$4:$B$1203,$AF156)=0,"",INDEX(对接源_01水果!$B$4:$B$1203,$AF156)),IF(INDEX(对接源_02物料!$B$4:$B$1203,$AF156-1200)=0,"",INDEX(对接源_02物料!$B$4:$B$1203,$AF156-1200))))</f>
      </c>
      <c r="B156" s="104">
        <f>IF($AF156="","",IF($AF156&lt;=1200,IF(INDEX(对接源_01水果!$E$4:$E$1203,$AF156)=0,"",INDEX(对接源_01水果!$E$4:$E$1203,$AF156)),IF(INDEX(对接源_02物料!$E$4:$E$1203,$AF156-1200)=0,"",INDEX(对接源_02物料!$E$4:$E$1203,$AF156-1200))))</f>
      </c>
      <c r="C156" s="104">
        <f>IF($AF156="","",IF($AF156&lt;=1200,IF(INDEX(对接源_01水果!$F$4:$F$1203,$AF156)=0,"",INDEX(对接源_01水果!$F$4:$F$1203,$AF156)),IF(INDEX(对接源_02物料!$F$4:$F$1203,$AF156-1200)=0,"",INDEX(对接源_02物料!$F$4:$F$1203,$AF156-1200))))</f>
      </c>
      <c r="D156" s="104">
        <f>IF($AF156="","",IF($AF156&lt;=1200,IF(INDEX(对接源_01水果!$G$4:$G$1203,$AF156)=0,"",INDEX(对接源_01水果!$G$4:$G$1203,$AF156)),IF(INDEX(对接源_02物料!$G$4:$G$1203,$AF156-1200)=0,"",INDEX(对接源_02物料!$G$4:$G$1203,$AF156-1200))))</f>
      </c>
      <c r="E156" s="166">
        <f>IF($AF156="","",IF($AF156&lt;=1200,IF(INDEX(对接源_01水果!$H$4:$H$1203,$AF156)=0,"",INDEX(对接源_01水果!$H$4:$H$1203,$AF156)),IF(INDEX(对接源_02物料!$H$4:$H$1203,$AF156-1200)=0,"",INDEX(对接源_02物料!$H$4:$H$1203,$AF156-1200))))</f>
      </c>
      <c r="F156" s="104">
        <f>IF($AF156="","",IF($AF156&lt;=1200,IF(INDEX(对接源_01水果!$I$4:$I$1203,$AF156)=0,"",INDEX(对接源_01水果!$I$4:$I$1203,$AF156)),IF(INDEX(对接源_02物料!$I$4:$I$1203,$AF156-1200)=0,"",INDEX(对接源_02物料!$I$4:$I$1203,$AF156-1200))))</f>
      </c>
      <c r="G156" s="175">
        <f>IF($AF156="","",IF($AF156&lt;=1200,IF(INDEX(对接源_01水果!$J$4:$J$1203,$AF156)=0,"",INDEX(对接源_01水果!$J$4:$J$1203,$AF156)),IF(INDEX(对接源_02物料!$J$4:$J$1203,$AF156-1200)=0,"",INDEX(对接源_02物料!$J$4:$J$1203,$AF156-1200))))</f>
      </c>
      <c r="H156" s="104">
        <f>IF($AF156="","",IF($AF156&lt;=1200,IF(INDEX(对接源_01水果!$W$4:$W$1203,$AF156)=0,"",INDEX(对接源_01水果!$W$4:$W$1203,$AF156)),IF(INDEX(对接源_02物料!$W$4:$W$1203,$AF156-1200)=0,"",INDEX(对接源_02物料!$W$4:$W$1203,$AF156-1200))))</f>
      </c>
      <c r="I156" s="104">
        <f>IF($AF156="","",IF($AF156&lt;=1200,IF(INDEX(对接源_01水果!$D$4:$D$1203,$AF156)=0,"",INDEX(对接源_01水果!$D$4:$D$1203,$AF156)),IF(INDEX(对接源_02物料!$D$4:$D$1203,$AF156-1200)=0,"",INDEX(对接源_02物料!$D$4:$D$1203,$AF156-1200))))</f>
      </c>
      <c r="J156" s="107">
        <f>IF($AF156="","",IF($AF156&lt;=1200,IF(INDEX(对接源_01水果!$M$4:$M$1203,$AF156)=0,"",INDEX(对接源_01水果!$M$4:$M$1203,$AF156)),IF(INDEX(对接源_02物料!$M$4:$M$1203,$AF156-1200)=0,"",INDEX(对接源_02物料!$M$4:$M$1203,$AF156-1200))))</f>
      </c>
      <c r="AF156" s="2">
        <f>IFERROR(MATCH(28,_自动清单!$AC$4:$AC$2403,0),"")</f>
      </c>
      <c r="AL156" s="2">
        <f>IF($D156="","",$D156)</f>
      </c>
      <c r="AM156" s="2">
        <f>IF(AL156="",0,IF(MATCH(AL156,AL$129:AL$208,0)=28,1,0))</f>
        <v>0</v>
      </c>
      <c r="AN156" s="2">
        <f>N(AN155)+AM156</f>
        <v>0</v>
      </c>
    </row>
    <row r="157" ht="18" customHeight="1" s="127">
      <c r="A157" s="163">
        <f>IF($AF157="","",IF($AF157&lt;=1200,IF(INDEX(对接源_01水果!$B$4:$B$1203,$AF157)=0,"",INDEX(对接源_01水果!$B$4:$B$1203,$AF157)),IF(INDEX(对接源_02物料!$B$4:$B$1203,$AF157-1200)=0,"",INDEX(对接源_02物料!$B$4:$B$1203,$AF157-1200))))</f>
      </c>
      <c r="B157" s="61">
        <f>IF($AF157="","",IF($AF157&lt;=1200,IF(INDEX(对接源_01水果!$E$4:$E$1203,$AF157)=0,"",INDEX(对接源_01水果!$E$4:$E$1203,$AF157)),IF(INDEX(对接源_02物料!$E$4:$E$1203,$AF157-1200)=0,"",INDEX(对接源_02物料!$E$4:$E$1203,$AF157-1200))))</f>
      </c>
      <c r="C157" s="61">
        <f>IF($AF157="","",IF($AF157&lt;=1200,IF(INDEX(对接源_01水果!$F$4:$F$1203,$AF157)=0,"",INDEX(对接源_01水果!$F$4:$F$1203,$AF157)),IF(INDEX(对接源_02物料!$F$4:$F$1203,$AF157-1200)=0,"",INDEX(对接源_02物料!$F$4:$F$1203,$AF157-1200))))</f>
      </c>
      <c r="D157" s="61">
        <f>IF($AF157="","",IF($AF157&lt;=1200,IF(INDEX(对接源_01水果!$G$4:$G$1203,$AF157)=0,"",INDEX(对接源_01水果!$G$4:$G$1203,$AF157)),IF(INDEX(对接源_02物料!$G$4:$G$1203,$AF157-1200)=0,"",INDEX(对接源_02物料!$G$4:$G$1203,$AF157-1200))))</f>
      </c>
      <c r="E157" s="164">
        <f>IF($AF157="","",IF($AF157&lt;=1200,IF(INDEX(对接源_01水果!$H$4:$H$1203,$AF157)=0,"",INDEX(对接源_01水果!$H$4:$H$1203,$AF157)),IF(INDEX(对接源_02物料!$H$4:$H$1203,$AF157-1200)=0,"",INDEX(对接源_02物料!$H$4:$H$1203,$AF157-1200))))</f>
      </c>
      <c r="F157" s="61">
        <f>IF($AF157="","",IF($AF157&lt;=1200,IF(INDEX(对接源_01水果!$I$4:$I$1203,$AF157)=0,"",INDEX(对接源_01水果!$I$4:$I$1203,$AF157)),IF(INDEX(对接源_02物料!$I$4:$I$1203,$AF157-1200)=0,"",INDEX(对接源_02物料!$I$4:$I$1203,$AF157-1200))))</f>
      </c>
      <c r="G157" s="173">
        <f>IF($AF157="","",IF($AF157&lt;=1200,IF(INDEX(对接源_01水果!$J$4:$J$1203,$AF157)=0,"",INDEX(对接源_01水果!$J$4:$J$1203,$AF157)),IF(INDEX(对接源_02物料!$J$4:$J$1203,$AF157-1200)=0,"",INDEX(对接源_02物料!$J$4:$J$1203,$AF157-1200))))</f>
      </c>
      <c r="H157" s="61">
        <f>IF($AF157="","",IF($AF157&lt;=1200,IF(INDEX(对接源_01水果!$W$4:$W$1203,$AF157)=0,"",INDEX(对接源_01水果!$W$4:$W$1203,$AF157)),IF(INDEX(对接源_02物料!$W$4:$W$1203,$AF157-1200)=0,"",INDEX(对接源_02物料!$W$4:$W$1203,$AF157-1200))))</f>
      </c>
      <c r="I157" s="61">
        <f>IF($AF157="","",IF($AF157&lt;=1200,IF(INDEX(对接源_01水果!$D$4:$D$1203,$AF157)=0,"",INDEX(对接源_01水果!$D$4:$D$1203,$AF157)),IF(INDEX(对接源_02物料!$D$4:$D$1203,$AF157-1200)=0,"",INDEX(对接源_02物料!$D$4:$D$1203,$AF157-1200))))</f>
      </c>
      <c r="J157" s="64">
        <f>IF($AF157="","",IF($AF157&lt;=1200,IF(INDEX(对接源_01水果!$M$4:$M$1203,$AF157)=0,"",INDEX(对接源_01水果!$M$4:$M$1203,$AF157)),IF(INDEX(对接源_02物料!$M$4:$M$1203,$AF157-1200)=0,"",INDEX(对接源_02物料!$M$4:$M$1203,$AF157-1200))))</f>
      </c>
      <c r="AF157" s="2">
        <f>IFERROR(MATCH(29,_自动清单!$AC$4:$AC$2403,0),"")</f>
      </c>
      <c r="AL157" s="2">
        <f>IF($D157="","",$D157)</f>
      </c>
      <c r="AM157" s="2">
        <f>IF(AL157="",0,IF(MATCH(AL157,AL$129:AL$208,0)=29,1,0))</f>
        <v>0</v>
      </c>
      <c r="AN157" s="2">
        <f>N(AN156)+AM157</f>
        <v>0</v>
      </c>
    </row>
    <row r="158" ht="18" customHeight="1" s="127">
      <c r="A158" s="165">
        <f>IF($AF158="","",IF($AF158&lt;=1200,IF(INDEX(对接源_01水果!$B$4:$B$1203,$AF158)=0,"",INDEX(对接源_01水果!$B$4:$B$1203,$AF158)),IF(INDEX(对接源_02物料!$B$4:$B$1203,$AF158-1200)=0,"",INDEX(对接源_02物料!$B$4:$B$1203,$AF158-1200))))</f>
      </c>
      <c r="B158" s="104">
        <f>IF($AF158="","",IF($AF158&lt;=1200,IF(INDEX(对接源_01水果!$E$4:$E$1203,$AF158)=0,"",INDEX(对接源_01水果!$E$4:$E$1203,$AF158)),IF(INDEX(对接源_02物料!$E$4:$E$1203,$AF158-1200)=0,"",INDEX(对接源_02物料!$E$4:$E$1203,$AF158-1200))))</f>
      </c>
      <c r="C158" s="104">
        <f>IF($AF158="","",IF($AF158&lt;=1200,IF(INDEX(对接源_01水果!$F$4:$F$1203,$AF158)=0,"",INDEX(对接源_01水果!$F$4:$F$1203,$AF158)),IF(INDEX(对接源_02物料!$F$4:$F$1203,$AF158-1200)=0,"",INDEX(对接源_02物料!$F$4:$F$1203,$AF158-1200))))</f>
      </c>
      <c r="D158" s="104">
        <f>IF($AF158="","",IF($AF158&lt;=1200,IF(INDEX(对接源_01水果!$G$4:$G$1203,$AF158)=0,"",INDEX(对接源_01水果!$G$4:$G$1203,$AF158)),IF(INDEX(对接源_02物料!$G$4:$G$1203,$AF158-1200)=0,"",INDEX(对接源_02物料!$G$4:$G$1203,$AF158-1200))))</f>
      </c>
      <c r="E158" s="166">
        <f>IF($AF158="","",IF($AF158&lt;=1200,IF(INDEX(对接源_01水果!$H$4:$H$1203,$AF158)=0,"",INDEX(对接源_01水果!$H$4:$H$1203,$AF158)),IF(INDEX(对接源_02物料!$H$4:$H$1203,$AF158-1200)=0,"",INDEX(对接源_02物料!$H$4:$H$1203,$AF158-1200))))</f>
      </c>
      <c r="F158" s="104">
        <f>IF($AF158="","",IF($AF158&lt;=1200,IF(INDEX(对接源_01水果!$I$4:$I$1203,$AF158)=0,"",INDEX(对接源_01水果!$I$4:$I$1203,$AF158)),IF(INDEX(对接源_02物料!$I$4:$I$1203,$AF158-1200)=0,"",INDEX(对接源_02物料!$I$4:$I$1203,$AF158-1200))))</f>
      </c>
      <c r="G158" s="175">
        <f>IF($AF158="","",IF($AF158&lt;=1200,IF(INDEX(对接源_01水果!$J$4:$J$1203,$AF158)=0,"",INDEX(对接源_01水果!$J$4:$J$1203,$AF158)),IF(INDEX(对接源_02物料!$J$4:$J$1203,$AF158-1200)=0,"",INDEX(对接源_02物料!$J$4:$J$1203,$AF158-1200))))</f>
      </c>
      <c r="H158" s="104">
        <f>IF($AF158="","",IF($AF158&lt;=1200,IF(INDEX(对接源_01水果!$W$4:$W$1203,$AF158)=0,"",INDEX(对接源_01水果!$W$4:$W$1203,$AF158)),IF(INDEX(对接源_02物料!$W$4:$W$1203,$AF158-1200)=0,"",INDEX(对接源_02物料!$W$4:$W$1203,$AF158-1200))))</f>
      </c>
      <c r="I158" s="104">
        <f>IF($AF158="","",IF($AF158&lt;=1200,IF(INDEX(对接源_01水果!$D$4:$D$1203,$AF158)=0,"",INDEX(对接源_01水果!$D$4:$D$1203,$AF158)),IF(INDEX(对接源_02物料!$D$4:$D$1203,$AF158-1200)=0,"",INDEX(对接源_02物料!$D$4:$D$1203,$AF158-1200))))</f>
      </c>
      <c r="J158" s="107">
        <f>IF($AF158="","",IF($AF158&lt;=1200,IF(INDEX(对接源_01水果!$M$4:$M$1203,$AF158)=0,"",INDEX(对接源_01水果!$M$4:$M$1203,$AF158)),IF(INDEX(对接源_02物料!$M$4:$M$1203,$AF158-1200)=0,"",INDEX(对接源_02物料!$M$4:$M$1203,$AF158-1200))))</f>
      </c>
      <c r="AF158" s="2">
        <f>IFERROR(MATCH(30,_自动清单!$AC$4:$AC$2403,0),"")</f>
      </c>
      <c r="AL158" s="2">
        <f>IF($D158="","",$D158)</f>
      </c>
      <c r="AM158" s="2">
        <f>IF(AL158="",0,IF(MATCH(AL158,AL$129:AL$208,0)=30,1,0))</f>
        <v>0</v>
      </c>
      <c r="AN158" s="2">
        <f>N(AN157)+AM158</f>
        <v>0</v>
      </c>
    </row>
    <row r="159" ht="18" customHeight="1" s="127">
      <c r="A159" s="163">
        <f>IF($AF159="","",IF($AF159&lt;=1200,IF(INDEX(对接源_01水果!$B$4:$B$1203,$AF159)=0,"",INDEX(对接源_01水果!$B$4:$B$1203,$AF159)),IF(INDEX(对接源_02物料!$B$4:$B$1203,$AF159-1200)=0,"",INDEX(对接源_02物料!$B$4:$B$1203,$AF159-1200))))</f>
      </c>
      <c r="B159" s="61">
        <f>IF($AF159="","",IF($AF159&lt;=1200,IF(INDEX(对接源_01水果!$E$4:$E$1203,$AF159)=0,"",INDEX(对接源_01水果!$E$4:$E$1203,$AF159)),IF(INDEX(对接源_02物料!$E$4:$E$1203,$AF159-1200)=0,"",INDEX(对接源_02物料!$E$4:$E$1203,$AF159-1200))))</f>
      </c>
      <c r="C159" s="61">
        <f>IF($AF159="","",IF($AF159&lt;=1200,IF(INDEX(对接源_01水果!$F$4:$F$1203,$AF159)=0,"",INDEX(对接源_01水果!$F$4:$F$1203,$AF159)),IF(INDEX(对接源_02物料!$F$4:$F$1203,$AF159-1200)=0,"",INDEX(对接源_02物料!$F$4:$F$1203,$AF159-1200))))</f>
      </c>
      <c r="D159" s="61">
        <f>IF($AF159="","",IF($AF159&lt;=1200,IF(INDEX(对接源_01水果!$G$4:$G$1203,$AF159)=0,"",INDEX(对接源_01水果!$G$4:$G$1203,$AF159)),IF(INDEX(对接源_02物料!$G$4:$G$1203,$AF159-1200)=0,"",INDEX(对接源_02物料!$G$4:$G$1203,$AF159-1200))))</f>
      </c>
      <c r="E159" s="164">
        <f>IF($AF159="","",IF($AF159&lt;=1200,IF(INDEX(对接源_01水果!$H$4:$H$1203,$AF159)=0,"",INDEX(对接源_01水果!$H$4:$H$1203,$AF159)),IF(INDEX(对接源_02物料!$H$4:$H$1203,$AF159-1200)=0,"",INDEX(对接源_02物料!$H$4:$H$1203,$AF159-1200))))</f>
      </c>
      <c r="F159" s="61">
        <f>IF($AF159="","",IF($AF159&lt;=1200,IF(INDEX(对接源_01水果!$I$4:$I$1203,$AF159)=0,"",INDEX(对接源_01水果!$I$4:$I$1203,$AF159)),IF(INDEX(对接源_02物料!$I$4:$I$1203,$AF159-1200)=0,"",INDEX(对接源_02物料!$I$4:$I$1203,$AF159-1200))))</f>
      </c>
      <c r="G159" s="173">
        <f>IF($AF159="","",IF($AF159&lt;=1200,IF(INDEX(对接源_01水果!$J$4:$J$1203,$AF159)=0,"",INDEX(对接源_01水果!$J$4:$J$1203,$AF159)),IF(INDEX(对接源_02物料!$J$4:$J$1203,$AF159-1200)=0,"",INDEX(对接源_02物料!$J$4:$J$1203,$AF159-1200))))</f>
      </c>
      <c r="H159" s="61">
        <f>IF($AF159="","",IF($AF159&lt;=1200,IF(INDEX(对接源_01水果!$W$4:$W$1203,$AF159)=0,"",INDEX(对接源_01水果!$W$4:$W$1203,$AF159)),IF(INDEX(对接源_02物料!$W$4:$W$1203,$AF159-1200)=0,"",INDEX(对接源_02物料!$W$4:$W$1203,$AF159-1200))))</f>
      </c>
      <c r="I159" s="61">
        <f>IF($AF159="","",IF($AF159&lt;=1200,IF(INDEX(对接源_01水果!$D$4:$D$1203,$AF159)=0,"",INDEX(对接源_01水果!$D$4:$D$1203,$AF159)),IF(INDEX(对接源_02物料!$D$4:$D$1203,$AF159-1200)=0,"",INDEX(对接源_02物料!$D$4:$D$1203,$AF159-1200))))</f>
      </c>
      <c r="J159" s="64">
        <f>IF($AF159="","",IF($AF159&lt;=1200,IF(INDEX(对接源_01水果!$M$4:$M$1203,$AF159)=0,"",INDEX(对接源_01水果!$M$4:$M$1203,$AF159)),IF(INDEX(对接源_02物料!$M$4:$M$1203,$AF159-1200)=0,"",INDEX(对接源_02物料!$M$4:$M$1203,$AF159-1200))))</f>
      </c>
      <c r="AF159" s="2">
        <f>IFERROR(MATCH(31,_自动清单!$AC$4:$AC$2403,0),"")</f>
      </c>
      <c r="AL159" s="2">
        <f>IF($D159="","",$D159)</f>
      </c>
      <c r="AM159" s="2">
        <f>IF(AL159="",0,IF(MATCH(AL159,AL$129:AL$208,0)=31,1,0))</f>
        <v>0</v>
      </c>
      <c r="AN159" s="2">
        <f>N(AN158)+AM159</f>
        <v>0</v>
      </c>
    </row>
    <row r="160" ht="18" customHeight="1" s="127">
      <c r="A160" s="165">
        <f>IF($AF160="","",IF($AF160&lt;=1200,IF(INDEX(对接源_01水果!$B$4:$B$1203,$AF160)=0,"",INDEX(对接源_01水果!$B$4:$B$1203,$AF160)),IF(INDEX(对接源_02物料!$B$4:$B$1203,$AF160-1200)=0,"",INDEX(对接源_02物料!$B$4:$B$1203,$AF160-1200))))</f>
      </c>
      <c r="B160" s="104">
        <f>IF($AF160="","",IF($AF160&lt;=1200,IF(INDEX(对接源_01水果!$E$4:$E$1203,$AF160)=0,"",INDEX(对接源_01水果!$E$4:$E$1203,$AF160)),IF(INDEX(对接源_02物料!$E$4:$E$1203,$AF160-1200)=0,"",INDEX(对接源_02物料!$E$4:$E$1203,$AF160-1200))))</f>
      </c>
      <c r="C160" s="104">
        <f>IF($AF160="","",IF($AF160&lt;=1200,IF(INDEX(对接源_01水果!$F$4:$F$1203,$AF160)=0,"",INDEX(对接源_01水果!$F$4:$F$1203,$AF160)),IF(INDEX(对接源_02物料!$F$4:$F$1203,$AF160-1200)=0,"",INDEX(对接源_02物料!$F$4:$F$1203,$AF160-1200))))</f>
      </c>
      <c r="D160" s="104">
        <f>IF($AF160="","",IF($AF160&lt;=1200,IF(INDEX(对接源_01水果!$G$4:$G$1203,$AF160)=0,"",INDEX(对接源_01水果!$G$4:$G$1203,$AF160)),IF(INDEX(对接源_02物料!$G$4:$G$1203,$AF160-1200)=0,"",INDEX(对接源_02物料!$G$4:$G$1203,$AF160-1200))))</f>
      </c>
      <c r="E160" s="166">
        <f>IF($AF160="","",IF($AF160&lt;=1200,IF(INDEX(对接源_01水果!$H$4:$H$1203,$AF160)=0,"",INDEX(对接源_01水果!$H$4:$H$1203,$AF160)),IF(INDEX(对接源_02物料!$H$4:$H$1203,$AF160-1200)=0,"",INDEX(对接源_02物料!$H$4:$H$1203,$AF160-1200))))</f>
      </c>
      <c r="F160" s="104">
        <f>IF($AF160="","",IF($AF160&lt;=1200,IF(INDEX(对接源_01水果!$I$4:$I$1203,$AF160)=0,"",INDEX(对接源_01水果!$I$4:$I$1203,$AF160)),IF(INDEX(对接源_02物料!$I$4:$I$1203,$AF160-1200)=0,"",INDEX(对接源_02物料!$I$4:$I$1203,$AF160-1200))))</f>
      </c>
      <c r="G160" s="175">
        <f>IF($AF160="","",IF($AF160&lt;=1200,IF(INDEX(对接源_01水果!$J$4:$J$1203,$AF160)=0,"",INDEX(对接源_01水果!$J$4:$J$1203,$AF160)),IF(INDEX(对接源_02物料!$J$4:$J$1203,$AF160-1200)=0,"",INDEX(对接源_02物料!$J$4:$J$1203,$AF160-1200))))</f>
      </c>
      <c r="H160" s="104">
        <f>IF($AF160="","",IF($AF160&lt;=1200,IF(INDEX(对接源_01水果!$W$4:$W$1203,$AF160)=0,"",INDEX(对接源_01水果!$W$4:$W$1203,$AF160)),IF(INDEX(对接源_02物料!$W$4:$W$1203,$AF160-1200)=0,"",INDEX(对接源_02物料!$W$4:$W$1203,$AF160-1200))))</f>
      </c>
      <c r="I160" s="104">
        <f>IF($AF160="","",IF($AF160&lt;=1200,IF(INDEX(对接源_01水果!$D$4:$D$1203,$AF160)=0,"",INDEX(对接源_01水果!$D$4:$D$1203,$AF160)),IF(INDEX(对接源_02物料!$D$4:$D$1203,$AF160-1200)=0,"",INDEX(对接源_02物料!$D$4:$D$1203,$AF160-1200))))</f>
      </c>
      <c r="J160" s="107">
        <f>IF($AF160="","",IF($AF160&lt;=1200,IF(INDEX(对接源_01水果!$M$4:$M$1203,$AF160)=0,"",INDEX(对接源_01水果!$M$4:$M$1203,$AF160)),IF(INDEX(对接源_02物料!$M$4:$M$1203,$AF160-1200)=0,"",INDEX(对接源_02物料!$M$4:$M$1203,$AF160-1200))))</f>
      </c>
      <c r="AF160" s="2">
        <f>IFERROR(MATCH(32,_自动清单!$AC$4:$AC$2403,0),"")</f>
      </c>
      <c r="AL160" s="2">
        <f>IF($D160="","",$D160)</f>
      </c>
      <c r="AM160" s="2">
        <f>IF(AL160="",0,IF(MATCH(AL160,AL$129:AL$208,0)=32,1,0))</f>
        <v>0</v>
      </c>
      <c r="AN160" s="2">
        <f>N(AN159)+AM160</f>
        <v>0</v>
      </c>
    </row>
    <row r="161" ht="18" customHeight="1" s="127">
      <c r="A161" s="163">
        <f>IF($AF161="","",IF($AF161&lt;=1200,IF(INDEX(对接源_01水果!$B$4:$B$1203,$AF161)=0,"",INDEX(对接源_01水果!$B$4:$B$1203,$AF161)),IF(INDEX(对接源_02物料!$B$4:$B$1203,$AF161-1200)=0,"",INDEX(对接源_02物料!$B$4:$B$1203,$AF161-1200))))</f>
      </c>
      <c r="B161" s="61">
        <f>IF($AF161="","",IF($AF161&lt;=1200,IF(INDEX(对接源_01水果!$E$4:$E$1203,$AF161)=0,"",INDEX(对接源_01水果!$E$4:$E$1203,$AF161)),IF(INDEX(对接源_02物料!$E$4:$E$1203,$AF161-1200)=0,"",INDEX(对接源_02物料!$E$4:$E$1203,$AF161-1200))))</f>
      </c>
      <c r="C161" s="61">
        <f>IF($AF161="","",IF($AF161&lt;=1200,IF(INDEX(对接源_01水果!$F$4:$F$1203,$AF161)=0,"",INDEX(对接源_01水果!$F$4:$F$1203,$AF161)),IF(INDEX(对接源_02物料!$F$4:$F$1203,$AF161-1200)=0,"",INDEX(对接源_02物料!$F$4:$F$1203,$AF161-1200))))</f>
      </c>
      <c r="D161" s="61">
        <f>IF($AF161="","",IF($AF161&lt;=1200,IF(INDEX(对接源_01水果!$G$4:$G$1203,$AF161)=0,"",INDEX(对接源_01水果!$G$4:$G$1203,$AF161)),IF(INDEX(对接源_02物料!$G$4:$G$1203,$AF161-1200)=0,"",INDEX(对接源_02物料!$G$4:$G$1203,$AF161-1200))))</f>
      </c>
      <c r="E161" s="164">
        <f>IF($AF161="","",IF($AF161&lt;=1200,IF(INDEX(对接源_01水果!$H$4:$H$1203,$AF161)=0,"",INDEX(对接源_01水果!$H$4:$H$1203,$AF161)),IF(INDEX(对接源_02物料!$H$4:$H$1203,$AF161-1200)=0,"",INDEX(对接源_02物料!$H$4:$H$1203,$AF161-1200))))</f>
      </c>
      <c r="F161" s="61">
        <f>IF($AF161="","",IF($AF161&lt;=1200,IF(INDEX(对接源_01水果!$I$4:$I$1203,$AF161)=0,"",INDEX(对接源_01水果!$I$4:$I$1203,$AF161)),IF(INDEX(对接源_02物料!$I$4:$I$1203,$AF161-1200)=0,"",INDEX(对接源_02物料!$I$4:$I$1203,$AF161-1200))))</f>
      </c>
      <c r="G161" s="173">
        <f>IF($AF161="","",IF($AF161&lt;=1200,IF(INDEX(对接源_01水果!$J$4:$J$1203,$AF161)=0,"",INDEX(对接源_01水果!$J$4:$J$1203,$AF161)),IF(INDEX(对接源_02物料!$J$4:$J$1203,$AF161-1200)=0,"",INDEX(对接源_02物料!$J$4:$J$1203,$AF161-1200))))</f>
      </c>
      <c r="H161" s="61">
        <f>IF($AF161="","",IF($AF161&lt;=1200,IF(INDEX(对接源_01水果!$W$4:$W$1203,$AF161)=0,"",INDEX(对接源_01水果!$W$4:$W$1203,$AF161)),IF(INDEX(对接源_02物料!$W$4:$W$1203,$AF161-1200)=0,"",INDEX(对接源_02物料!$W$4:$W$1203,$AF161-1200))))</f>
      </c>
      <c r="I161" s="61">
        <f>IF($AF161="","",IF($AF161&lt;=1200,IF(INDEX(对接源_01水果!$D$4:$D$1203,$AF161)=0,"",INDEX(对接源_01水果!$D$4:$D$1203,$AF161)),IF(INDEX(对接源_02物料!$D$4:$D$1203,$AF161-1200)=0,"",INDEX(对接源_02物料!$D$4:$D$1203,$AF161-1200))))</f>
      </c>
      <c r="J161" s="64">
        <f>IF($AF161="","",IF($AF161&lt;=1200,IF(INDEX(对接源_01水果!$M$4:$M$1203,$AF161)=0,"",INDEX(对接源_01水果!$M$4:$M$1203,$AF161)),IF(INDEX(对接源_02物料!$M$4:$M$1203,$AF161-1200)=0,"",INDEX(对接源_02物料!$M$4:$M$1203,$AF161-1200))))</f>
      </c>
      <c r="AF161" s="2">
        <f>IFERROR(MATCH(33,_自动清单!$AC$4:$AC$2403,0),"")</f>
      </c>
      <c r="AL161" s="2">
        <f>IF($D161="","",$D161)</f>
      </c>
      <c r="AM161" s="2">
        <f>IF(AL161="",0,IF(MATCH(AL161,AL$129:AL$208,0)=33,1,0))</f>
        <v>0</v>
      </c>
      <c r="AN161" s="2">
        <f>N(AN160)+AM161</f>
        <v>0</v>
      </c>
    </row>
    <row r="162" ht="18" customHeight="1" s="127">
      <c r="A162" s="165">
        <f>IF($AF162="","",IF($AF162&lt;=1200,IF(INDEX(对接源_01水果!$B$4:$B$1203,$AF162)=0,"",INDEX(对接源_01水果!$B$4:$B$1203,$AF162)),IF(INDEX(对接源_02物料!$B$4:$B$1203,$AF162-1200)=0,"",INDEX(对接源_02物料!$B$4:$B$1203,$AF162-1200))))</f>
      </c>
      <c r="B162" s="104">
        <f>IF($AF162="","",IF($AF162&lt;=1200,IF(INDEX(对接源_01水果!$E$4:$E$1203,$AF162)=0,"",INDEX(对接源_01水果!$E$4:$E$1203,$AF162)),IF(INDEX(对接源_02物料!$E$4:$E$1203,$AF162-1200)=0,"",INDEX(对接源_02物料!$E$4:$E$1203,$AF162-1200))))</f>
      </c>
      <c r="C162" s="104">
        <f>IF($AF162="","",IF($AF162&lt;=1200,IF(INDEX(对接源_01水果!$F$4:$F$1203,$AF162)=0,"",INDEX(对接源_01水果!$F$4:$F$1203,$AF162)),IF(INDEX(对接源_02物料!$F$4:$F$1203,$AF162-1200)=0,"",INDEX(对接源_02物料!$F$4:$F$1203,$AF162-1200))))</f>
      </c>
      <c r="D162" s="104">
        <f>IF($AF162="","",IF($AF162&lt;=1200,IF(INDEX(对接源_01水果!$G$4:$G$1203,$AF162)=0,"",INDEX(对接源_01水果!$G$4:$G$1203,$AF162)),IF(INDEX(对接源_02物料!$G$4:$G$1203,$AF162-1200)=0,"",INDEX(对接源_02物料!$G$4:$G$1203,$AF162-1200))))</f>
      </c>
      <c r="E162" s="166">
        <f>IF($AF162="","",IF($AF162&lt;=1200,IF(INDEX(对接源_01水果!$H$4:$H$1203,$AF162)=0,"",INDEX(对接源_01水果!$H$4:$H$1203,$AF162)),IF(INDEX(对接源_02物料!$H$4:$H$1203,$AF162-1200)=0,"",INDEX(对接源_02物料!$H$4:$H$1203,$AF162-1200))))</f>
      </c>
      <c r="F162" s="104">
        <f>IF($AF162="","",IF($AF162&lt;=1200,IF(INDEX(对接源_01水果!$I$4:$I$1203,$AF162)=0,"",INDEX(对接源_01水果!$I$4:$I$1203,$AF162)),IF(INDEX(对接源_02物料!$I$4:$I$1203,$AF162-1200)=0,"",INDEX(对接源_02物料!$I$4:$I$1203,$AF162-1200))))</f>
      </c>
      <c r="G162" s="175">
        <f>IF($AF162="","",IF($AF162&lt;=1200,IF(INDEX(对接源_01水果!$J$4:$J$1203,$AF162)=0,"",INDEX(对接源_01水果!$J$4:$J$1203,$AF162)),IF(INDEX(对接源_02物料!$J$4:$J$1203,$AF162-1200)=0,"",INDEX(对接源_02物料!$J$4:$J$1203,$AF162-1200))))</f>
      </c>
      <c r="H162" s="104">
        <f>IF($AF162="","",IF($AF162&lt;=1200,IF(INDEX(对接源_01水果!$W$4:$W$1203,$AF162)=0,"",INDEX(对接源_01水果!$W$4:$W$1203,$AF162)),IF(INDEX(对接源_02物料!$W$4:$W$1203,$AF162-1200)=0,"",INDEX(对接源_02物料!$W$4:$W$1203,$AF162-1200))))</f>
      </c>
      <c r="I162" s="104">
        <f>IF($AF162="","",IF($AF162&lt;=1200,IF(INDEX(对接源_01水果!$D$4:$D$1203,$AF162)=0,"",INDEX(对接源_01水果!$D$4:$D$1203,$AF162)),IF(INDEX(对接源_02物料!$D$4:$D$1203,$AF162-1200)=0,"",INDEX(对接源_02物料!$D$4:$D$1203,$AF162-1200))))</f>
      </c>
      <c r="J162" s="107">
        <f>IF($AF162="","",IF($AF162&lt;=1200,IF(INDEX(对接源_01水果!$M$4:$M$1203,$AF162)=0,"",INDEX(对接源_01水果!$M$4:$M$1203,$AF162)),IF(INDEX(对接源_02物料!$M$4:$M$1203,$AF162-1200)=0,"",INDEX(对接源_02物料!$M$4:$M$1203,$AF162-1200))))</f>
      </c>
      <c r="AF162" s="2">
        <f>IFERROR(MATCH(34,_自动清单!$AC$4:$AC$2403,0),"")</f>
      </c>
      <c r="AL162" s="2">
        <f>IF($D162="","",$D162)</f>
      </c>
      <c r="AM162" s="2">
        <f>IF(AL162="",0,IF(MATCH(AL162,AL$129:AL$208,0)=34,1,0))</f>
        <v>0</v>
      </c>
      <c r="AN162" s="2">
        <f>N(AN161)+AM162</f>
        <v>0</v>
      </c>
    </row>
    <row r="163" ht="18" customHeight="1" s="127">
      <c r="A163" s="163">
        <f>IF($AF163="","",IF($AF163&lt;=1200,IF(INDEX(对接源_01水果!$B$4:$B$1203,$AF163)=0,"",INDEX(对接源_01水果!$B$4:$B$1203,$AF163)),IF(INDEX(对接源_02物料!$B$4:$B$1203,$AF163-1200)=0,"",INDEX(对接源_02物料!$B$4:$B$1203,$AF163-1200))))</f>
      </c>
      <c r="B163" s="61">
        <f>IF($AF163="","",IF($AF163&lt;=1200,IF(INDEX(对接源_01水果!$E$4:$E$1203,$AF163)=0,"",INDEX(对接源_01水果!$E$4:$E$1203,$AF163)),IF(INDEX(对接源_02物料!$E$4:$E$1203,$AF163-1200)=0,"",INDEX(对接源_02物料!$E$4:$E$1203,$AF163-1200))))</f>
      </c>
      <c r="C163" s="61">
        <f>IF($AF163="","",IF($AF163&lt;=1200,IF(INDEX(对接源_01水果!$F$4:$F$1203,$AF163)=0,"",INDEX(对接源_01水果!$F$4:$F$1203,$AF163)),IF(INDEX(对接源_02物料!$F$4:$F$1203,$AF163-1200)=0,"",INDEX(对接源_02物料!$F$4:$F$1203,$AF163-1200))))</f>
      </c>
      <c r="D163" s="61">
        <f>IF($AF163="","",IF($AF163&lt;=1200,IF(INDEX(对接源_01水果!$G$4:$G$1203,$AF163)=0,"",INDEX(对接源_01水果!$G$4:$G$1203,$AF163)),IF(INDEX(对接源_02物料!$G$4:$G$1203,$AF163-1200)=0,"",INDEX(对接源_02物料!$G$4:$G$1203,$AF163-1200))))</f>
      </c>
      <c r="E163" s="164">
        <f>IF($AF163="","",IF($AF163&lt;=1200,IF(INDEX(对接源_01水果!$H$4:$H$1203,$AF163)=0,"",INDEX(对接源_01水果!$H$4:$H$1203,$AF163)),IF(INDEX(对接源_02物料!$H$4:$H$1203,$AF163-1200)=0,"",INDEX(对接源_02物料!$H$4:$H$1203,$AF163-1200))))</f>
      </c>
      <c r="F163" s="61">
        <f>IF($AF163="","",IF($AF163&lt;=1200,IF(INDEX(对接源_01水果!$I$4:$I$1203,$AF163)=0,"",INDEX(对接源_01水果!$I$4:$I$1203,$AF163)),IF(INDEX(对接源_02物料!$I$4:$I$1203,$AF163-1200)=0,"",INDEX(对接源_02物料!$I$4:$I$1203,$AF163-1200))))</f>
      </c>
      <c r="G163" s="173">
        <f>IF($AF163="","",IF($AF163&lt;=1200,IF(INDEX(对接源_01水果!$J$4:$J$1203,$AF163)=0,"",INDEX(对接源_01水果!$J$4:$J$1203,$AF163)),IF(INDEX(对接源_02物料!$J$4:$J$1203,$AF163-1200)=0,"",INDEX(对接源_02物料!$J$4:$J$1203,$AF163-1200))))</f>
      </c>
      <c r="H163" s="61">
        <f>IF($AF163="","",IF($AF163&lt;=1200,IF(INDEX(对接源_01水果!$W$4:$W$1203,$AF163)=0,"",INDEX(对接源_01水果!$W$4:$W$1203,$AF163)),IF(INDEX(对接源_02物料!$W$4:$W$1203,$AF163-1200)=0,"",INDEX(对接源_02物料!$W$4:$W$1203,$AF163-1200))))</f>
      </c>
      <c r="I163" s="61">
        <f>IF($AF163="","",IF($AF163&lt;=1200,IF(INDEX(对接源_01水果!$D$4:$D$1203,$AF163)=0,"",INDEX(对接源_01水果!$D$4:$D$1203,$AF163)),IF(INDEX(对接源_02物料!$D$4:$D$1203,$AF163-1200)=0,"",INDEX(对接源_02物料!$D$4:$D$1203,$AF163-1200))))</f>
      </c>
      <c r="J163" s="64">
        <f>IF($AF163="","",IF($AF163&lt;=1200,IF(INDEX(对接源_01水果!$M$4:$M$1203,$AF163)=0,"",INDEX(对接源_01水果!$M$4:$M$1203,$AF163)),IF(INDEX(对接源_02物料!$M$4:$M$1203,$AF163-1200)=0,"",INDEX(对接源_02物料!$M$4:$M$1203,$AF163-1200))))</f>
      </c>
      <c r="AF163" s="2">
        <f>IFERROR(MATCH(35,_自动清单!$AC$4:$AC$2403,0),"")</f>
      </c>
      <c r="AL163" s="2">
        <f>IF($D163="","",$D163)</f>
      </c>
      <c r="AM163" s="2">
        <f>IF(AL163="",0,IF(MATCH(AL163,AL$129:AL$208,0)=35,1,0))</f>
        <v>0</v>
      </c>
      <c r="AN163" s="2">
        <f>N(AN162)+AM163</f>
        <v>0</v>
      </c>
    </row>
    <row r="164" ht="18" customHeight="1" s="127">
      <c r="A164" s="165">
        <f>IF($AF164="","",IF($AF164&lt;=1200,IF(INDEX(对接源_01水果!$B$4:$B$1203,$AF164)=0,"",INDEX(对接源_01水果!$B$4:$B$1203,$AF164)),IF(INDEX(对接源_02物料!$B$4:$B$1203,$AF164-1200)=0,"",INDEX(对接源_02物料!$B$4:$B$1203,$AF164-1200))))</f>
      </c>
      <c r="B164" s="104">
        <f>IF($AF164="","",IF($AF164&lt;=1200,IF(INDEX(对接源_01水果!$E$4:$E$1203,$AF164)=0,"",INDEX(对接源_01水果!$E$4:$E$1203,$AF164)),IF(INDEX(对接源_02物料!$E$4:$E$1203,$AF164-1200)=0,"",INDEX(对接源_02物料!$E$4:$E$1203,$AF164-1200))))</f>
      </c>
      <c r="C164" s="104">
        <f>IF($AF164="","",IF($AF164&lt;=1200,IF(INDEX(对接源_01水果!$F$4:$F$1203,$AF164)=0,"",INDEX(对接源_01水果!$F$4:$F$1203,$AF164)),IF(INDEX(对接源_02物料!$F$4:$F$1203,$AF164-1200)=0,"",INDEX(对接源_02物料!$F$4:$F$1203,$AF164-1200))))</f>
      </c>
      <c r="D164" s="104">
        <f>IF($AF164="","",IF($AF164&lt;=1200,IF(INDEX(对接源_01水果!$G$4:$G$1203,$AF164)=0,"",INDEX(对接源_01水果!$G$4:$G$1203,$AF164)),IF(INDEX(对接源_02物料!$G$4:$G$1203,$AF164-1200)=0,"",INDEX(对接源_02物料!$G$4:$G$1203,$AF164-1200))))</f>
      </c>
      <c r="E164" s="166">
        <f>IF($AF164="","",IF($AF164&lt;=1200,IF(INDEX(对接源_01水果!$H$4:$H$1203,$AF164)=0,"",INDEX(对接源_01水果!$H$4:$H$1203,$AF164)),IF(INDEX(对接源_02物料!$H$4:$H$1203,$AF164-1200)=0,"",INDEX(对接源_02物料!$H$4:$H$1203,$AF164-1200))))</f>
      </c>
      <c r="F164" s="104">
        <f>IF($AF164="","",IF($AF164&lt;=1200,IF(INDEX(对接源_01水果!$I$4:$I$1203,$AF164)=0,"",INDEX(对接源_01水果!$I$4:$I$1203,$AF164)),IF(INDEX(对接源_02物料!$I$4:$I$1203,$AF164-1200)=0,"",INDEX(对接源_02物料!$I$4:$I$1203,$AF164-1200))))</f>
      </c>
      <c r="G164" s="175">
        <f>IF($AF164="","",IF($AF164&lt;=1200,IF(INDEX(对接源_01水果!$J$4:$J$1203,$AF164)=0,"",INDEX(对接源_01水果!$J$4:$J$1203,$AF164)),IF(INDEX(对接源_02物料!$J$4:$J$1203,$AF164-1200)=0,"",INDEX(对接源_02物料!$J$4:$J$1203,$AF164-1200))))</f>
      </c>
      <c r="H164" s="104">
        <f>IF($AF164="","",IF($AF164&lt;=1200,IF(INDEX(对接源_01水果!$W$4:$W$1203,$AF164)=0,"",INDEX(对接源_01水果!$W$4:$W$1203,$AF164)),IF(INDEX(对接源_02物料!$W$4:$W$1203,$AF164-1200)=0,"",INDEX(对接源_02物料!$W$4:$W$1203,$AF164-1200))))</f>
      </c>
      <c r="I164" s="104">
        <f>IF($AF164="","",IF($AF164&lt;=1200,IF(INDEX(对接源_01水果!$D$4:$D$1203,$AF164)=0,"",INDEX(对接源_01水果!$D$4:$D$1203,$AF164)),IF(INDEX(对接源_02物料!$D$4:$D$1203,$AF164-1200)=0,"",INDEX(对接源_02物料!$D$4:$D$1203,$AF164-1200))))</f>
      </c>
      <c r="J164" s="107">
        <f>IF($AF164="","",IF($AF164&lt;=1200,IF(INDEX(对接源_01水果!$M$4:$M$1203,$AF164)=0,"",INDEX(对接源_01水果!$M$4:$M$1203,$AF164)),IF(INDEX(对接源_02物料!$M$4:$M$1203,$AF164-1200)=0,"",INDEX(对接源_02物料!$M$4:$M$1203,$AF164-1200))))</f>
      </c>
      <c r="AF164" s="2">
        <f>IFERROR(MATCH(36,_自动清单!$AC$4:$AC$2403,0),"")</f>
      </c>
      <c r="AL164" s="2">
        <f>IF($D164="","",$D164)</f>
      </c>
      <c r="AM164" s="2">
        <f>IF(AL164="",0,IF(MATCH(AL164,AL$129:AL$208,0)=36,1,0))</f>
        <v>0</v>
      </c>
      <c r="AN164" s="2">
        <f>N(AN163)+AM164</f>
        <v>0</v>
      </c>
    </row>
    <row r="165" ht="18" customHeight="1" s="127">
      <c r="A165" s="163">
        <f>IF($AF165="","",IF($AF165&lt;=1200,IF(INDEX(对接源_01水果!$B$4:$B$1203,$AF165)=0,"",INDEX(对接源_01水果!$B$4:$B$1203,$AF165)),IF(INDEX(对接源_02物料!$B$4:$B$1203,$AF165-1200)=0,"",INDEX(对接源_02物料!$B$4:$B$1203,$AF165-1200))))</f>
      </c>
      <c r="B165" s="61">
        <f>IF($AF165="","",IF($AF165&lt;=1200,IF(INDEX(对接源_01水果!$E$4:$E$1203,$AF165)=0,"",INDEX(对接源_01水果!$E$4:$E$1203,$AF165)),IF(INDEX(对接源_02物料!$E$4:$E$1203,$AF165-1200)=0,"",INDEX(对接源_02物料!$E$4:$E$1203,$AF165-1200))))</f>
      </c>
      <c r="C165" s="61">
        <f>IF($AF165="","",IF($AF165&lt;=1200,IF(INDEX(对接源_01水果!$F$4:$F$1203,$AF165)=0,"",INDEX(对接源_01水果!$F$4:$F$1203,$AF165)),IF(INDEX(对接源_02物料!$F$4:$F$1203,$AF165-1200)=0,"",INDEX(对接源_02物料!$F$4:$F$1203,$AF165-1200))))</f>
      </c>
      <c r="D165" s="61">
        <f>IF($AF165="","",IF($AF165&lt;=1200,IF(INDEX(对接源_01水果!$G$4:$G$1203,$AF165)=0,"",INDEX(对接源_01水果!$G$4:$G$1203,$AF165)),IF(INDEX(对接源_02物料!$G$4:$G$1203,$AF165-1200)=0,"",INDEX(对接源_02物料!$G$4:$G$1203,$AF165-1200))))</f>
      </c>
      <c r="E165" s="164">
        <f>IF($AF165="","",IF($AF165&lt;=1200,IF(INDEX(对接源_01水果!$H$4:$H$1203,$AF165)=0,"",INDEX(对接源_01水果!$H$4:$H$1203,$AF165)),IF(INDEX(对接源_02物料!$H$4:$H$1203,$AF165-1200)=0,"",INDEX(对接源_02物料!$H$4:$H$1203,$AF165-1200))))</f>
      </c>
      <c r="F165" s="61">
        <f>IF($AF165="","",IF($AF165&lt;=1200,IF(INDEX(对接源_01水果!$I$4:$I$1203,$AF165)=0,"",INDEX(对接源_01水果!$I$4:$I$1203,$AF165)),IF(INDEX(对接源_02物料!$I$4:$I$1203,$AF165-1200)=0,"",INDEX(对接源_02物料!$I$4:$I$1203,$AF165-1200))))</f>
      </c>
      <c r="G165" s="173">
        <f>IF($AF165="","",IF($AF165&lt;=1200,IF(INDEX(对接源_01水果!$J$4:$J$1203,$AF165)=0,"",INDEX(对接源_01水果!$J$4:$J$1203,$AF165)),IF(INDEX(对接源_02物料!$J$4:$J$1203,$AF165-1200)=0,"",INDEX(对接源_02物料!$J$4:$J$1203,$AF165-1200))))</f>
      </c>
      <c r="H165" s="61">
        <f>IF($AF165="","",IF($AF165&lt;=1200,IF(INDEX(对接源_01水果!$W$4:$W$1203,$AF165)=0,"",INDEX(对接源_01水果!$W$4:$W$1203,$AF165)),IF(INDEX(对接源_02物料!$W$4:$W$1203,$AF165-1200)=0,"",INDEX(对接源_02物料!$W$4:$W$1203,$AF165-1200))))</f>
      </c>
      <c r="I165" s="61">
        <f>IF($AF165="","",IF($AF165&lt;=1200,IF(INDEX(对接源_01水果!$D$4:$D$1203,$AF165)=0,"",INDEX(对接源_01水果!$D$4:$D$1203,$AF165)),IF(INDEX(对接源_02物料!$D$4:$D$1203,$AF165-1200)=0,"",INDEX(对接源_02物料!$D$4:$D$1203,$AF165-1200))))</f>
      </c>
      <c r="J165" s="64">
        <f>IF($AF165="","",IF($AF165&lt;=1200,IF(INDEX(对接源_01水果!$M$4:$M$1203,$AF165)=0,"",INDEX(对接源_01水果!$M$4:$M$1203,$AF165)),IF(INDEX(对接源_02物料!$M$4:$M$1203,$AF165-1200)=0,"",INDEX(对接源_02物料!$M$4:$M$1203,$AF165-1200))))</f>
      </c>
      <c r="AF165" s="2">
        <f>IFERROR(MATCH(37,_自动清单!$AC$4:$AC$2403,0),"")</f>
      </c>
      <c r="AL165" s="2">
        <f>IF($D165="","",$D165)</f>
      </c>
      <c r="AM165" s="2">
        <f>IF(AL165="",0,IF(MATCH(AL165,AL$129:AL$208,0)=37,1,0))</f>
        <v>0</v>
      </c>
      <c r="AN165" s="2">
        <f>N(AN164)+AM165</f>
        <v>0</v>
      </c>
    </row>
    <row r="166" ht="18" customHeight="1" s="127">
      <c r="A166" s="165">
        <f>IF($AF166="","",IF($AF166&lt;=1200,IF(INDEX(对接源_01水果!$B$4:$B$1203,$AF166)=0,"",INDEX(对接源_01水果!$B$4:$B$1203,$AF166)),IF(INDEX(对接源_02物料!$B$4:$B$1203,$AF166-1200)=0,"",INDEX(对接源_02物料!$B$4:$B$1203,$AF166-1200))))</f>
      </c>
      <c r="B166" s="104">
        <f>IF($AF166="","",IF($AF166&lt;=1200,IF(INDEX(对接源_01水果!$E$4:$E$1203,$AF166)=0,"",INDEX(对接源_01水果!$E$4:$E$1203,$AF166)),IF(INDEX(对接源_02物料!$E$4:$E$1203,$AF166-1200)=0,"",INDEX(对接源_02物料!$E$4:$E$1203,$AF166-1200))))</f>
      </c>
      <c r="C166" s="104">
        <f>IF($AF166="","",IF($AF166&lt;=1200,IF(INDEX(对接源_01水果!$F$4:$F$1203,$AF166)=0,"",INDEX(对接源_01水果!$F$4:$F$1203,$AF166)),IF(INDEX(对接源_02物料!$F$4:$F$1203,$AF166-1200)=0,"",INDEX(对接源_02物料!$F$4:$F$1203,$AF166-1200))))</f>
      </c>
      <c r="D166" s="104">
        <f>IF($AF166="","",IF($AF166&lt;=1200,IF(INDEX(对接源_01水果!$G$4:$G$1203,$AF166)=0,"",INDEX(对接源_01水果!$G$4:$G$1203,$AF166)),IF(INDEX(对接源_02物料!$G$4:$G$1203,$AF166-1200)=0,"",INDEX(对接源_02物料!$G$4:$G$1203,$AF166-1200))))</f>
      </c>
      <c r="E166" s="166">
        <f>IF($AF166="","",IF($AF166&lt;=1200,IF(INDEX(对接源_01水果!$H$4:$H$1203,$AF166)=0,"",INDEX(对接源_01水果!$H$4:$H$1203,$AF166)),IF(INDEX(对接源_02物料!$H$4:$H$1203,$AF166-1200)=0,"",INDEX(对接源_02物料!$H$4:$H$1203,$AF166-1200))))</f>
      </c>
      <c r="F166" s="104">
        <f>IF($AF166="","",IF($AF166&lt;=1200,IF(INDEX(对接源_01水果!$I$4:$I$1203,$AF166)=0,"",INDEX(对接源_01水果!$I$4:$I$1203,$AF166)),IF(INDEX(对接源_02物料!$I$4:$I$1203,$AF166-1200)=0,"",INDEX(对接源_02物料!$I$4:$I$1203,$AF166-1200))))</f>
      </c>
      <c r="G166" s="175">
        <f>IF($AF166="","",IF($AF166&lt;=1200,IF(INDEX(对接源_01水果!$J$4:$J$1203,$AF166)=0,"",INDEX(对接源_01水果!$J$4:$J$1203,$AF166)),IF(INDEX(对接源_02物料!$J$4:$J$1203,$AF166-1200)=0,"",INDEX(对接源_02物料!$J$4:$J$1203,$AF166-1200))))</f>
      </c>
      <c r="H166" s="104">
        <f>IF($AF166="","",IF($AF166&lt;=1200,IF(INDEX(对接源_01水果!$W$4:$W$1203,$AF166)=0,"",INDEX(对接源_01水果!$W$4:$W$1203,$AF166)),IF(INDEX(对接源_02物料!$W$4:$W$1203,$AF166-1200)=0,"",INDEX(对接源_02物料!$W$4:$W$1203,$AF166-1200))))</f>
      </c>
      <c r="I166" s="104">
        <f>IF($AF166="","",IF($AF166&lt;=1200,IF(INDEX(对接源_01水果!$D$4:$D$1203,$AF166)=0,"",INDEX(对接源_01水果!$D$4:$D$1203,$AF166)),IF(INDEX(对接源_02物料!$D$4:$D$1203,$AF166-1200)=0,"",INDEX(对接源_02物料!$D$4:$D$1203,$AF166-1200))))</f>
      </c>
      <c r="J166" s="107">
        <f>IF($AF166="","",IF($AF166&lt;=1200,IF(INDEX(对接源_01水果!$M$4:$M$1203,$AF166)=0,"",INDEX(对接源_01水果!$M$4:$M$1203,$AF166)),IF(INDEX(对接源_02物料!$M$4:$M$1203,$AF166-1200)=0,"",INDEX(对接源_02物料!$M$4:$M$1203,$AF166-1200))))</f>
      </c>
      <c r="AF166" s="2">
        <f>IFERROR(MATCH(38,_自动清单!$AC$4:$AC$2403,0),"")</f>
      </c>
      <c r="AL166" s="2">
        <f>IF($D166="","",$D166)</f>
      </c>
      <c r="AM166" s="2">
        <f>IF(AL166="",0,IF(MATCH(AL166,AL$129:AL$208,0)=38,1,0))</f>
        <v>0</v>
      </c>
      <c r="AN166" s="2">
        <f>N(AN165)+AM166</f>
        <v>0</v>
      </c>
    </row>
    <row r="167" ht="18" customHeight="1" s="127">
      <c r="A167" s="163">
        <f>IF($AF167="","",IF($AF167&lt;=1200,IF(INDEX(对接源_01水果!$B$4:$B$1203,$AF167)=0,"",INDEX(对接源_01水果!$B$4:$B$1203,$AF167)),IF(INDEX(对接源_02物料!$B$4:$B$1203,$AF167-1200)=0,"",INDEX(对接源_02物料!$B$4:$B$1203,$AF167-1200))))</f>
      </c>
      <c r="B167" s="61">
        <f>IF($AF167="","",IF($AF167&lt;=1200,IF(INDEX(对接源_01水果!$E$4:$E$1203,$AF167)=0,"",INDEX(对接源_01水果!$E$4:$E$1203,$AF167)),IF(INDEX(对接源_02物料!$E$4:$E$1203,$AF167-1200)=0,"",INDEX(对接源_02物料!$E$4:$E$1203,$AF167-1200))))</f>
      </c>
      <c r="C167" s="61">
        <f>IF($AF167="","",IF($AF167&lt;=1200,IF(INDEX(对接源_01水果!$F$4:$F$1203,$AF167)=0,"",INDEX(对接源_01水果!$F$4:$F$1203,$AF167)),IF(INDEX(对接源_02物料!$F$4:$F$1203,$AF167-1200)=0,"",INDEX(对接源_02物料!$F$4:$F$1203,$AF167-1200))))</f>
      </c>
      <c r="D167" s="61">
        <f>IF($AF167="","",IF($AF167&lt;=1200,IF(INDEX(对接源_01水果!$G$4:$G$1203,$AF167)=0,"",INDEX(对接源_01水果!$G$4:$G$1203,$AF167)),IF(INDEX(对接源_02物料!$G$4:$G$1203,$AF167-1200)=0,"",INDEX(对接源_02物料!$G$4:$G$1203,$AF167-1200))))</f>
      </c>
      <c r="E167" s="164">
        <f>IF($AF167="","",IF($AF167&lt;=1200,IF(INDEX(对接源_01水果!$H$4:$H$1203,$AF167)=0,"",INDEX(对接源_01水果!$H$4:$H$1203,$AF167)),IF(INDEX(对接源_02物料!$H$4:$H$1203,$AF167-1200)=0,"",INDEX(对接源_02物料!$H$4:$H$1203,$AF167-1200))))</f>
      </c>
      <c r="F167" s="61">
        <f>IF($AF167="","",IF($AF167&lt;=1200,IF(INDEX(对接源_01水果!$I$4:$I$1203,$AF167)=0,"",INDEX(对接源_01水果!$I$4:$I$1203,$AF167)),IF(INDEX(对接源_02物料!$I$4:$I$1203,$AF167-1200)=0,"",INDEX(对接源_02物料!$I$4:$I$1203,$AF167-1200))))</f>
      </c>
      <c r="G167" s="173">
        <f>IF($AF167="","",IF($AF167&lt;=1200,IF(INDEX(对接源_01水果!$J$4:$J$1203,$AF167)=0,"",INDEX(对接源_01水果!$J$4:$J$1203,$AF167)),IF(INDEX(对接源_02物料!$J$4:$J$1203,$AF167-1200)=0,"",INDEX(对接源_02物料!$J$4:$J$1203,$AF167-1200))))</f>
      </c>
      <c r="H167" s="61">
        <f>IF($AF167="","",IF($AF167&lt;=1200,IF(INDEX(对接源_01水果!$W$4:$W$1203,$AF167)=0,"",INDEX(对接源_01水果!$W$4:$W$1203,$AF167)),IF(INDEX(对接源_02物料!$W$4:$W$1203,$AF167-1200)=0,"",INDEX(对接源_02物料!$W$4:$W$1203,$AF167-1200))))</f>
      </c>
      <c r="I167" s="61">
        <f>IF($AF167="","",IF($AF167&lt;=1200,IF(INDEX(对接源_01水果!$D$4:$D$1203,$AF167)=0,"",INDEX(对接源_01水果!$D$4:$D$1203,$AF167)),IF(INDEX(对接源_02物料!$D$4:$D$1203,$AF167-1200)=0,"",INDEX(对接源_02物料!$D$4:$D$1203,$AF167-1200))))</f>
      </c>
      <c r="J167" s="64">
        <f>IF($AF167="","",IF($AF167&lt;=1200,IF(INDEX(对接源_01水果!$M$4:$M$1203,$AF167)=0,"",INDEX(对接源_01水果!$M$4:$M$1203,$AF167)),IF(INDEX(对接源_02物料!$M$4:$M$1203,$AF167-1200)=0,"",INDEX(对接源_02物料!$M$4:$M$1203,$AF167-1200))))</f>
      </c>
      <c r="AF167" s="2">
        <f>IFERROR(MATCH(39,_自动清单!$AC$4:$AC$2403,0),"")</f>
      </c>
      <c r="AL167" s="2">
        <f>IF($D167="","",$D167)</f>
      </c>
      <c r="AM167" s="2">
        <f>IF(AL167="",0,IF(MATCH(AL167,AL$129:AL$208,0)=39,1,0))</f>
        <v>0</v>
      </c>
      <c r="AN167" s="2">
        <f>N(AN166)+AM167</f>
        <v>0</v>
      </c>
    </row>
    <row r="168" ht="18" customHeight="1" s="127">
      <c r="A168" s="165">
        <f>IF($AF168="","",IF($AF168&lt;=1200,IF(INDEX(对接源_01水果!$B$4:$B$1203,$AF168)=0,"",INDEX(对接源_01水果!$B$4:$B$1203,$AF168)),IF(INDEX(对接源_02物料!$B$4:$B$1203,$AF168-1200)=0,"",INDEX(对接源_02物料!$B$4:$B$1203,$AF168-1200))))</f>
      </c>
      <c r="B168" s="104">
        <f>IF($AF168="","",IF($AF168&lt;=1200,IF(INDEX(对接源_01水果!$E$4:$E$1203,$AF168)=0,"",INDEX(对接源_01水果!$E$4:$E$1203,$AF168)),IF(INDEX(对接源_02物料!$E$4:$E$1203,$AF168-1200)=0,"",INDEX(对接源_02物料!$E$4:$E$1203,$AF168-1200))))</f>
      </c>
      <c r="C168" s="104">
        <f>IF($AF168="","",IF($AF168&lt;=1200,IF(INDEX(对接源_01水果!$F$4:$F$1203,$AF168)=0,"",INDEX(对接源_01水果!$F$4:$F$1203,$AF168)),IF(INDEX(对接源_02物料!$F$4:$F$1203,$AF168-1200)=0,"",INDEX(对接源_02物料!$F$4:$F$1203,$AF168-1200))))</f>
      </c>
      <c r="D168" s="104">
        <f>IF($AF168="","",IF($AF168&lt;=1200,IF(INDEX(对接源_01水果!$G$4:$G$1203,$AF168)=0,"",INDEX(对接源_01水果!$G$4:$G$1203,$AF168)),IF(INDEX(对接源_02物料!$G$4:$G$1203,$AF168-1200)=0,"",INDEX(对接源_02物料!$G$4:$G$1203,$AF168-1200))))</f>
      </c>
      <c r="E168" s="166">
        <f>IF($AF168="","",IF($AF168&lt;=1200,IF(INDEX(对接源_01水果!$H$4:$H$1203,$AF168)=0,"",INDEX(对接源_01水果!$H$4:$H$1203,$AF168)),IF(INDEX(对接源_02物料!$H$4:$H$1203,$AF168-1200)=0,"",INDEX(对接源_02物料!$H$4:$H$1203,$AF168-1200))))</f>
      </c>
      <c r="F168" s="104">
        <f>IF($AF168="","",IF($AF168&lt;=1200,IF(INDEX(对接源_01水果!$I$4:$I$1203,$AF168)=0,"",INDEX(对接源_01水果!$I$4:$I$1203,$AF168)),IF(INDEX(对接源_02物料!$I$4:$I$1203,$AF168-1200)=0,"",INDEX(对接源_02物料!$I$4:$I$1203,$AF168-1200))))</f>
      </c>
      <c r="G168" s="175">
        <f>IF($AF168="","",IF($AF168&lt;=1200,IF(INDEX(对接源_01水果!$J$4:$J$1203,$AF168)=0,"",INDEX(对接源_01水果!$J$4:$J$1203,$AF168)),IF(INDEX(对接源_02物料!$J$4:$J$1203,$AF168-1200)=0,"",INDEX(对接源_02物料!$J$4:$J$1203,$AF168-1200))))</f>
      </c>
      <c r="H168" s="104">
        <f>IF($AF168="","",IF($AF168&lt;=1200,IF(INDEX(对接源_01水果!$W$4:$W$1203,$AF168)=0,"",INDEX(对接源_01水果!$W$4:$W$1203,$AF168)),IF(INDEX(对接源_02物料!$W$4:$W$1203,$AF168-1200)=0,"",INDEX(对接源_02物料!$W$4:$W$1203,$AF168-1200))))</f>
      </c>
      <c r="I168" s="104">
        <f>IF($AF168="","",IF($AF168&lt;=1200,IF(INDEX(对接源_01水果!$D$4:$D$1203,$AF168)=0,"",INDEX(对接源_01水果!$D$4:$D$1203,$AF168)),IF(INDEX(对接源_02物料!$D$4:$D$1203,$AF168-1200)=0,"",INDEX(对接源_02物料!$D$4:$D$1203,$AF168-1200))))</f>
      </c>
      <c r="J168" s="107">
        <f>IF($AF168="","",IF($AF168&lt;=1200,IF(INDEX(对接源_01水果!$M$4:$M$1203,$AF168)=0,"",INDEX(对接源_01水果!$M$4:$M$1203,$AF168)),IF(INDEX(对接源_02物料!$M$4:$M$1203,$AF168-1200)=0,"",INDEX(对接源_02物料!$M$4:$M$1203,$AF168-1200))))</f>
      </c>
      <c r="AF168" s="2">
        <f>IFERROR(MATCH(40,_自动清单!$AC$4:$AC$2403,0),"")</f>
      </c>
      <c r="AL168" s="2">
        <f>IF($D168="","",$D168)</f>
      </c>
      <c r="AM168" s="2">
        <f>IF(AL168="",0,IF(MATCH(AL168,AL$129:AL$208,0)=40,1,0))</f>
        <v>0</v>
      </c>
      <c r="AN168" s="2">
        <f>N(AN167)+AM168</f>
        <v>0</v>
      </c>
    </row>
    <row r="169" ht="18" customHeight="1" s="127">
      <c r="A169" s="163">
        <f>IF($AF169="","",IF($AF169&lt;=1200,IF(INDEX(对接源_01水果!$B$4:$B$1203,$AF169)=0,"",INDEX(对接源_01水果!$B$4:$B$1203,$AF169)),IF(INDEX(对接源_02物料!$B$4:$B$1203,$AF169-1200)=0,"",INDEX(对接源_02物料!$B$4:$B$1203,$AF169-1200))))</f>
      </c>
      <c r="B169" s="61">
        <f>IF($AF169="","",IF($AF169&lt;=1200,IF(INDEX(对接源_01水果!$E$4:$E$1203,$AF169)=0,"",INDEX(对接源_01水果!$E$4:$E$1203,$AF169)),IF(INDEX(对接源_02物料!$E$4:$E$1203,$AF169-1200)=0,"",INDEX(对接源_02物料!$E$4:$E$1203,$AF169-1200))))</f>
      </c>
      <c r="C169" s="61">
        <f>IF($AF169="","",IF($AF169&lt;=1200,IF(INDEX(对接源_01水果!$F$4:$F$1203,$AF169)=0,"",INDEX(对接源_01水果!$F$4:$F$1203,$AF169)),IF(INDEX(对接源_02物料!$F$4:$F$1203,$AF169-1200)=0,"",INDEX(对接源_02物料!$F$4:$F$1203,$AF169-1200))))</f>
      </c>
      <c r="D169" s="61">
        <f>IF($AF169="","",IF($AF169&lt;=1200,IF(INDEX(对接源_01水果!$G$4:$G$1203,$AF169)=0,"",INDEX(对接源_01水果!$G$4:$G$1203,$AF169)),IF(INDEX(对接源_02物料!$G$4:$G$1203,$AF169-1200)=0,"",INDEX(对接源_02物料!$G$4:$G$1203,$AF169-1200))))</f>
      </c>
      <c r="E169" s="164">
        <f>IF($AF169="","",IF($AF169&lt;=1200,IF(INDEX(对接源_01水果!$H$4:$H$1203,$AF169)=0,"",INDEX(对接源_01水果!$H$4:$H$1203,$AF169)),IF(INDEX(对接源_02物料!$H$4:$H$1203,$AF169-1200)=0,"",INDEX(对接源_02物料!$H$4:$H$1203,$AF169-1200))))</f>
      </c>
      <c r="F169" s="61">
        <f>IF($AF169="","",IF($AF169&lt;=1200,IF(INDEX(对接源_01水果!$I$4:$I$1203,$AF169)=0,"",INDEX(对接源_01水果!$I$4:$I$1203,$AF169)),IF(INDEX(对接源_02物料!$I$4:$I$1203,$AF169-1200)=0,"",INDEX(对接源_02物料!$I$4:$I$1203,$AF169-1200))))</f>
      </c>
      <c r="G169" s="173">
        <f>IF($AF169="","",IF($AF169&lt;=1200,IF(INDEX(对接源_01水果!$J$4:$J$1203,$AF169)=0,"",INDEX(对接源_01水果!$J$4:$J$1203,$AF169)),IF(INDEX(对接源_02物料!$J$4:$J$1203,$AF169-1200)=0,"",INDEX(对接源_02物料!$J$4:$J$1203,$AF169-1200))))</f>
      </c>
      <c r="H169" s="61">
        <f>IF($AF169="","",IF($AF169&lt;=1200,IF(INDEX(对接源_01水果!$W$4:$W$1203,$AF169)=0,"",INDEX(对接源_01水果!$W$4:$W$1203,$AF169)),IF(INDEX(对接源_02物料!$W$4:$W$1203,$AF169-1200)=0,"",INDEX(对接源_02物料!$W$4:$W$1203,$AF169-1200))))</f>
      </c>
      <c r="I169" s="61">
        <f>IF($AF169="","",IF($AF169&lt;=1200,IF(INDEX(对接源_01水果!$D$4:$D$1203,$AF169)=0,"",INDEX(对接源_01水果!$D$4:$D$1203,$AF169)),IF(INDEX(对接源_02物料!$D$4:$D$1203,$AF169-1200)=0,"",INDEX(对接源_02物料!$D$4:$D$1203,$AF169-1200))))</f>
      </c>
      <c r="J169" s="64">
        <f>IF($AF169="","",IF($AF169&lt;=1200,IF(INDEX(对接源_01水果!$M$4:$M$1203,$AF169)=0,"",INDEX(对接源_01水果!$M$4:$M$1203,$AF169)),IF(INDEX(对接源_02物料!$M$4:$M$1203,$AF169-1200)=0,"",INDEX(对接源_02物料!$M$4:$M$1203,$AF169-1200))))</f>
      </c>
      <c r="AF169" s="2">
        <f>IFERROR(MATCH(41,_自动清单!$AC$4:$AC$2403,0),"")</f>
      </c>
      <c r="AL169" s="2">
        <f>IF($D169="","",$D169)</f>
      </c>
      <c r="AM169" s="2">
        <f>IF(AL169="",0,IF(MATCH(AL169,AL$129:AL$208,0)=41,1,0))</f>
        <v>0</v>
      </c>
      <c r="AN169" s="2">
        <f>N(AN168)+AM169</f>
        <v>0</v>
      </c>
    </row>
    <row r="170" ht="18" customHeight="1" s="127">
      <c r="A170" s="165">
        <f>IF($AF170="","",IF($AF170&lt;=1200,IF(INDEX(对接源_01水果!$B$4:$B$1203,$AF170)=0,"",INDEX(对接源_01水果!$B$4:$B$1203,$AF170)),IF(INDEX(对接源_02物料!$B$4:$B$1203,$AF170-1200)=0,"",INDEX(对接源_02物料!$B$4:$B$1203,$AF170-1200))))</f>
      </c>
      <c r="B170" s="104">
        <f>IF($AF170="","",IF($AF170&lt;=1200,IF(INDEX(对接源_01水果!$E$4:$E$1203,$AF170)=0,"",INDEX(对接源_01水果!$E$4:$E$1203,$AF170)),IF(INDEX(对接源_02物料!$E$4:$E$1203,$AF170-1200)=0,"",INDEX(对接源_02物料!$E$4:$E$1203,$AF170-1200))))</f>
      </c>
      <c r="C170" s="104">
        <f>IF($AF170="","",IF($AF170&lt;=1200,IF(INDEX(对接源_01水果!$F$4:$F$1203,$AF170)=0,"",INDEX(对接源_01水果!$F$4:$F$1203,$AF170)),IF(INDEX(对接源_02物料!$F$4:$F$1203,$AF170-1200)=0,"",INDEX(对接源_02物料!$F$4:$F$1203,$AF170-1200))))</f>
      </c>
      <c r="D170" s="104">
        <f>IF($AF170="","",IF($AF170&lt;=1200,IF(INDEX(对接源_01水果!$G$4:$G$1203,$AF170)=0,"",INDEX(对接源_01水果!$G$4:$G$1203,$AF170)),IF(INDEX(对接源_02物料!$G$4:$G$1203,$AF170-1200)=0,"",INDEX(对接源_02物料!$G$4:$G$1203,$AF170-1200))))</f>
      </c>
      <c r="E170" s="166">
        <f>IF($AF170="","",IF($AF170&lt;=1200,IF(INDEX(对接源_01水果!$H$4:$H$1203,$AF170)=0,"",INDEX(对接源_01水果!$H$4:$H$1203,$AF170)),IF(INDEX(对接源_02物料!$H$4:$H$1203,$AF170-1200)=0,"",INDEX(对接源_02物料!$H$4:$H$1203,$AF170-1200))))</f>
      </c>
      <c r="F170" s="104">
        <f>IF($AF170="","",IF($AF170&lt;=1200,IF(INDEX(对接源_01水果!$I$4:$I$1203,$AF170)=0,"",INDEX(对接源_01水果!$I$4:$I$1203,$AF170)),IF(INDEX(对接源_02物料!$I$4:$I$1203,$AF170-1200)=0,"",INDEX(对接源_02物料!$I$4:$I$1203,$AF170-1200))))</f>
      </c>
      <c r="G170" s="175">
        <f>IF($AF170="","",IF($AF170&lt;=1200,IF(INDEX(对接源_01水果!$J$4:$J$1203,$AF170)=0,"",INDEX(对接源_01水果!$J$4:$J$1203,$AF170)),IF(INDEX(对接源_02物料!$J$4:$J$1203,$AF170-1200)=0,"",INDEX(对接源_02物料!$J$4:$J$1203,$AF170-1200))))</f>
      </c>
      <c r="H170" s="104">
        <f>IF($AF170="","",IF($AF170&lt;=1200,IF(INDEX(对接源_01水果!$W$4:$W$1203,$AF170)=0,"",INDEX(对接源_01水果!$W$4:$W$1203,$AF170)),IF(INDEX(对接源_02物料!$W$4:$W$1203,$AF170-1200)=0,"",INDEX(对接源_02物料!$W$4:$W$1203,$AF170-1200))))</f>
      </c>
      <c r="I170" s="104">
        <f>IF($AF170="","",IF($AF170&lt;=1200,IF(INDEX(对接源_01水果!$D$4:$D$1203,$AF170)=0,"",INDEX(对接源_01水果!$D$4:$D$1203,$AF170)),IF(INDEX(对接源_02物料!$D$4:$D$1203,$AF170-1200)=0,"",INDEX(对接源_02物料!$D$4:$D$1203,$AF170-1200))))</f>
      </c>
      <c r="J170" s="107">
        <f>IF($AF170="","",IF($AF170&lt;=1200,IF(INDEX(对接源_01水果!$M$4:$M$1203,$AF170)=0,"",INDEX(对接源_01水果!$M$4:$M$1203,$AF170)),IF(INDEX(对接源_02物料!$M$4:$M$1203,$AF170-1200)=0,"",INDEX(对接源_02物料!$M$4:$M$1203,$AF170-1200))))</f>
      </c>
      <c r="AF170" s="2">
        <f>IFERROR(MATCH(42,_自动清单!$AC$4:$AC$2403,0),"")</f>
      </c>
      <c r="AL170" s="2">
        <f>IF($D170="","",$D170)</f>
      </c>
      <c r="AM170" s="2">
        <f>IF(AL170="",0,IF(MATCH(AL170,AL$129:AL$208,0)=42,1,0))</f>
        <v>0</v>
      </c>
      <c r="AN170" s="2">
        <f>N(AN169)+AM170</f>
        <v>0</v>
      </c>
    </row>
    <row r="171" ht="18" customHeight="1" s="127">
      <c r="A171" s="163">
        <f>IF($AF171="","",IF($AF171&lt;=1200,IF(INDEX(对接源_01水果!$B$4:$B$1203,$AF171)=0,"",INDEX(对接源_01水果!$B$4:$B$1203,$AF171)),IF(INDEX(对接源_02物料!$B$4:$B$1203,$AF171-1200)=0,"",INDEX(对接源_02物料!$B$4:$B$1203,$AF171-1200))))</f>
      </c>
      <c r="B171" s="61">
        <f>IF($AF171="","",IF($AF171&lt;=1200,IF(INDEX(对接源_01水果!$E$4:$E$1203,$AF171)=0,"",INDEX(对接源_01水果!$E$4:$E$1203,$AF171)),IF(INDEX(对接源_02物料!$E$4:$E$1203,$AF171-1200)=0,"",INDEX(对接源_02物料!$E$4:$E$1203,$AF171-1200))))</f>
      </c>
      <c r="C171" s="61">
        <f>IF($AF171="","",IF($AF171&lt;=1200,IF(INDEX(对接源_01水果!$F$4:$F$1203,$AF171)=0,"",INDEX(对接源_01水果!$F$4:$F$1203,$AF171)),IF(INDEX(对接源_02物料!$F$4:$F$1203,$AF171-1200)=0,"",INDEX(对接源_02物料!$F$4:$F$1203,$AF171-1200))))</f>
      </c>
      <c r="D171" s="61">
        <f>IF($AF171="","",IF($AF171&lt;=1200,IF(INDEX(对接源_01水果!$G$4:$G$1203,$AF171)=0,"",INDEX(对接源_01水果!$G$4:$G$1203,$AF171)),IF(INDEX(对接源_02物料!$G$4:$G$1203,$AF171-1200)=0,"",INDEX(对接源_02物料!$G$4:$G$1203,$AF171-1200))))</f>
      </c>
      <c r="E171" s="164">
        <f>IF($AF171="","",IF($AF171&lt;=1200,IF(INDEX(对接源_01水果!$H$4:$H$1203,$AF171)=0,"",INDEX(对接源_01水果!$H$4:$H$1203,$AF171)),IF(INDEX(对接源_02物料!$H$4:$H$1203,$AF171-1200)=0,"",INDEX(对接源_02物料!$H$4:$H$1203,$AF171-1200))))</f>
      </c>
      <c r="F171" s="61">
        <f>IF($AF171="","",IF($AF171&lt;=1200,IF(INDEX(对接源_01水果!$I$4:$I$1203,$AF171)=0,"",INDEX(对接源_01水果!$I$4:$I$1203,$AF171)),IF(INDEX(对接源_02物料!$I$4:$I$1203,$AF171-1200)=0,"",INDEX(对接源_02物料!$I$4:$I$1203,$AF171-1200))))</f>
      </c>
      <c r="G171" s="173">
        <f>IF($AF171="","",IF($AF171&lt;=1200,IF(INDEX(对接源_01水果!$J$4:$J$1203,$AF171)=0,"",INDEX(对接源_01水果!$J$4:$J$1203,$AF171)),IF(INDEX(对接源_02物料!$J$4:$J$1203,$AF171-1200)=0,"",INDEX(对接源_02物料!$J$4:$J$1203,$AF171-1200))))</f>
      </c>
      <c r="H171" s="61">
        <f>IF($AF171="","",IF($AF171&lt;=1200,IF(INDEX(对接源_01水果!$W$4:$W$1203,$AF171)=0,"",INDEX(对接源_01水果!$W$4:$W$1203,$AF171)),IF(INDEX(对接源_02物料!$W$4:$W$1203,$AF171-1200)=0,"",INDEX(对接源_02物料!$W$4:$W$1203,$AF171-1200))))</f>
      </c>
      <c r="I171" s="61">
        <f>IF($AF171="","",IF($AF171&lt;=1200,IF(INDEX(对接源_01水果!$D$4:$D$1203,$AF171)=0,"",INDEX(对接源_01水果!$D$4:$D$1203,$AF171)),IF(INDEX(对接源_02物料!$D$4:$D$1203,$AF171-1200)=0,"",INDEX(对接源_02物料!$D$4:$D$1203,$AF171-1200))))</f>
      </c>
      <c r="J171" s="64">
        <f>IF($AF171="","",IF($AF171&lt;=1200,IF(INDEX(对接源_01水果!$M$4:$M$1203,$AF171)=0,"",INDEX(对接源_01水果!$M$4:$M$1203,$AF171)),IF(INDEX(对接源_02物料!$M$4:$M$1203,$AF171-1200)=0,"",INDEX(对接源_02物料!$M$4:$M$1203,$AF171-1200))))</f>
      </c>
      <c r="AF171" s="2">
        <f>IFERROR(MATCH(43,_自动清单!$AC$4:$AC$2403,0),"")</f>
      </c>
      <c r="AL171" s="2">
        <f>IF($D171="","",$D171)</f>
      </c>
      <c r="AM171" s="2">
        <f>IF(AL171="",0,IF(MATCH(AL171,AL$129:AL$208,0)=43,1,0))</f>
        <v>0</v>
      </c>
      <c r="AN171" s="2">
        <f>N(AN170)+AM171</f>
        <v>0</v>
      </c>
    </row>
    <row r="172" ht="18" customHeight="1" s="127">
      <c r="A172" s="165">
        <f>IF($AF172="","",IF($AF172&lt;=1200,IF(INDEX(对接源_01水果!$B$4:$B$1203,$AF172)=0,"",INDEX(对接源_01水果!$B$4:$B$1203,$AF172)),IF(INDEX(对接源_02物料!$B$4:$B$1203,$AF172-1200)=0,"",INDEX(对接源_02物料!$B$4:$B$1203,$AF172-1200))))</f>
      </c>
      <c r="B172" s="104">
        <f>IF($AF172="","",IF($AF172&lt;=1200,IF(INDEX(对接源_01水果!$E$4:$E$1203,$AF172)=0,"",INDEX(对接源_01水果!$E$4:$E$1203,$AF172)),IF(INDEX(对接源_02物料!$E$4:$E$1203,$AF172-1200)=0,"",INDEX(对接源_02物料!$E$4:$E$1203,$AF172-1200))))</f>
      </c>
      <c r="C172" s="104">
        <f>IF($AF172="","",IF($AF172&lt;=1200,IF(INDEX(对接源_01水果!$F$4:$F$1203,$AF172)=0,"",INDEX(对接源_01水果!$F$4:$F$1203,$AF172)),IF(INDEX(对接源_02物料!$F$4:$F$1203,$AF172-1200)=0,"",INDEX(对接源_02物料!$F$4:$F$1203,$AF172-1200))))</f>
      </c>
      <c r="D172" s="104">
        <f>IF($AF172="","",IF($AF172&lt;=1200,IF(INDEX(对接源_01水果!$G$4:$G$1203,$AF172)=0,"",INDEX(对接源_01水果!$G$4:$G$1203,$AF172)),IF(INDEX(对接源_02物料!$G$4:$G$1203,$AF172-1200)=0,"",INDEX(对接源_02物料!$G$4:$G$1203,$AF172-1200))))</f>
      </c>
      <c r="E172" s="166">
        <f>IF($AF172="","",IF($AF172&lt;=1200,IF(INDEX(对接源_01水果!$H$4:$H$1203,$AF172)=0,"",INDEX(对接源_01水果!$H$4:$H$1203,$AF172)),IF(INDEX(对接源_02物料!$H$4:$H$1203,$AF172-1200)=0,"",INDEX(对接源_02物料!$H$4:$H$1203,$AF172-1200))))</f>
      </c>
      <c r="F172" s="104">
        <f>IF($AF172="","",IF($AF172&lt;=1200,IF(INDEX(对接源_01水果!$I$4:$I$1203,$AF172)=0,"",INDEX(对接源_01水果!$I$4:$I$1203,$AF172)),IF(INDEX(对接源_02物料!$I$4:$I$1203,$AF172-1200)=0,"",INDEX(对接源_02物料!$I$4:$I$1203,$AF172-1200))))</f>
      </c>
      <c r="G172" s="175">
        <f>IF($AF172="","",IF($AF172&lt;=1200,IF(INDEX(对接源_01水果!$J$4:$J$1203,$AF172)=0,"",INDEX(对接源_01水果!$J$4:$J$1203,$AF172)),IF(INDEX(对接源_02物料!$J$4:$J$1203,$AF172-1200)=0,"",INDEX(对接源_02物料!$J$4:$J$1203,$AF172-1200))))</f>
      </c>
      <c r="H172" s="104">
        <f>IF($AF172="","",IF($AF172&lt;=1200,IF(INDEX(对接源_01水果!$W$4:$W$1203,$AF172)=0,"",INDEX(对接源_01水果!$W$4:$W$1203,$AF172)),IF(INDEX(对接源_02物料!$W$4:$W$1203,$AF172-1200)=0,"",INDEX(对接源_02物料!$W$4:$W$1203,$AF172-1200))))</f>
      </c>
      <c r="I172" s="104">
        <f>IF($AF172="","",IF($AF172&lt;=1200,IF(INDEX(对接源_01水果!$D$4:$D$1203,$AF172)=0,"",INDEX(对接源_01水果!$D$4:$D$1203,$AF172)),IF(INDEX(对接源_02物料!$D$4:$D$1203,$AF172-1200)=0,"",INDEX(对接源_02物料!$D$4:$D$1203,$AF172-1200))))</f>
      </c>
      <c r="J172" s="107">
        <f>IF($AF172="","",IF($AF172&lt;=1200,IF(INDEX(对接源_01水果!$M$4:$M$1203,$AF172)=0,"",INDEX(对接源_01水果!$M$4:$M$1203,$AF172)),IF(INDEX(对接源_02物料!$M$4:$M$1203,$AF172-1200)=0,"",INDEX(对接源_02物料!$M$4:$M$1203,$AF172-1200))))</f>
      </c>
      <c r="AF172" s="2">
        <f>IFERROR(MATCH(44,_自动清单!$AC$4:$AC$2403,0),"")</f>
      </c>
      <c r="AL172" s="2">
        <f>IF($D172="","",$D172)</f>
      </c>
      <c r="AM172" s="2">
        <f>IF(AL172="",0,IF(MATCH(AL172,AL$129:AL$208,0)=44,1,0))</f>
        <v>0</v>
      </c>
      <c r="AN172" s="2">
        <f>N(AN171)+AM172</f>
        <v>0</v>
      </c>
    </row>
    <row r="173" ht="18" customHeight="1" s="127">
      <c r="A173" s="163">
        <f>IF($AF173="","",IF($AF173&lt;=1200,IF(INDEX(对接源_01水果!$B$4:$B$1203,$AF173)=0,"",INDEX(对接源_01水果!$B$4:$B$1203,$AF173)),IF(INDEX(对接源_02物料!$B$4:$B$1203,$AF173-1200)=0,"",INDEX(对接源_02物料!$B$4:$B$1203,$AF173-1200))))</f>
      </c>
      <c r="B173" s="61">
        <f>IF($AF173="","",IF($AF173&lt;=1200,IF(INDEX(对接源_01水果!$E$4:$E$1203,$AF173)=0,"",INDEX(对接源_01水果!$E$4:$E$1203,$AF173)),IF(INDEX(对接源_02物料!$E$4:$E$1203,$AF173-1200)=0,"",INDEX(对接源_02物料!$E$4:$E$1203,$AF173-1200))))</f>
      </c>
      <c r="C173" s="61">
        <f>IF($AF173="","",IF($AF173&lt;=1200,IF(INDEX(对接源_01水果!$F$4:$F$1203,$AF173)=0,"",INDEX(对接源_01水果!$F$4:$F$1203,$AF173)),IF(INDEX(对接源_02物料!$F$4:$F$1203,$AF173-1200)=0,"",INDEX(对接源_02物料!$F$4:$F$1203,$AF173-1200))))</f>
      </c>
      <c r="D173" s="61">
        <f>IF($AF173="","",IF($AF173&lt;=1200,IF(INDEX(对接源_01水果!$G$4:$G$1203,$AF173)=0,"",INDEX(对接源_01水果!$G$4:$G$1203,$AF173)),IF(INDEX(对接源_02物料!$G$4:$G$1203,$AF173-1200)=0,"",INDEX(对接源_02物料!$G$4:$G$1203,$AF173-1200))))</f>
      </c>
      <c r="E173" s="164">
        <f>IF($AF173="","",IF($AF173&lt;=1200,IF(INDEX(对接源_01水果!$H$4:$H$1203,$AF173)=0,"",INDEX(对接源_01水果!$H$4:$H$1203,$AF173)),IF(INDEX(对接源_02物料!$H$4:$H$1203,$AF173-1200)=0,"",INDEX(对接源_02物料!$H$4:$H$1203,$AF173-1200))))</f>
      </c>
      <c r="F173" s="61">
        <f>IF($AF173="","",IF($AF173&lt;=1200,IF(INDEX(对接源_01水果!$I$4:$I$1203,$AF173)=0,"",INDEX(对接源_01水果!$I$4:$I$1203,$AF173)),IF(INDEX(对接源_02物料!$I$4:$I$1203,$AF173-1200)=0,"",INDEX(对接源_02物料!$I$4:$I$1203,$AF173-1200))))</f>
      </c>
      <c r="G173" s="173">
        <f>IF($AF173="","",IF($AF173&lt;=1200,IF(INDEX(对接源_01水果!$J$4:$J$1203,$AF173)=0,"",INDEX(对接源_01水果!$J$4:$J$1203,$AF173)),IF(INDEX(对接源_02物料!$J$4:$J$1203,$AF173-1200)=0,"",INDEX(对接源_02物料!$J$4:$J$1203,$AF173-1200))))</f>
      </c>
      <c r="H173" s="61">
        <f>IF($AF173="","",IF($AF173&lt;=1200,IF(INDEX(对接源_01水果!$W$4:$W$1203,$AF173)=0,"",INDEX(对接源_01水果!$W$4:$W$1203,$AF173)),IF(INDEX(对接源_02物料!$W$4:$W$1203,$AF173-1200)=0,"",INDEX(对接源_02物料!$W$4:$W$1203,$AF173-1200))))</f>
      </c>
      <c r="I173" s="61">
        <f>IF($AF173="","",IF($AF173&lt;=1200,IF(INDEX(对接源_01水果!$D$4:$D$1203,$AF173)=0,"",INDEX(对接源_01水果!$D$4:$D$1203,$AF173)),IF(INDEX(对接源_02物料!$D$4:$D$1203,$AF173-1200)=0,"",INDEX(对接源_02物料!$D$4:$D$1203,$AF173-1200))))</f>
      </c>
      <c r="J173" s="64">
        <f>IF($AF173="","",IF($AF173&lt;=1200,IF(INDEX(对接源_01水果!$M$4:$M$1203,$AF173)=0,"",INDEX(对接源_01水果!$M$4:$M$1203,$AF173)),IF(INDEX(对接源_02物料!$M$4:$M$1203,$AF173-1200)=0,"",INDEX(对接源_02物料!$M$4:$M$1203,$AF173-1200))))</f>
      </c>
      <c r="AF173" s="2">
        <f>IFERROR(MATCH(45,_自动清单!$AC$4:$AC$2403,0),"")</f>
      </c>
      <c r="AL173" s="2">
        <f>IF($D173="","",$D173)</f>
      </c>
      <c r="AM173" s="2">
        <f>IF(AL173="",0,IF(MATCH(AL173,AL$129:AL$208,0)=45,1,0))</f>
        <v>0</v>
      </c>
      <c r="AN173" s="2">
        <f>N(AN172)+AM173</f>
        <v>0</v>
      </c>
    </row>
    <row r="174" ht="18" customHeight="1" s="127">
      <c r="A174" s="165">
        <f>IF($AF174="","",IF($AF174&lt;=1200,IF(INDEX(对接源_01水果!$B$4:$B$1203,$AF174)=0,"",INDEX(对接源_01水果!$B$4:$B$1203,$AF174)),IF(INDEX(对接源_02物料!$B$4:$B$1203,$AF174-1200)=0,"",INDEX(对接源_02物料!$B$4:$B$1203,$AF174-1200))))</f>
      </c>
      <c r="B174" s="104">
        <f>IF($AF174="","",IF($AF174&lt;=1200,IF(INDEX(对接源_01水果!$E$4:$E$1203,$AF174)=0,"",INDEX(对接源_01水果!$E$4:$E$1203,$AF174)),IF(INDEX(对接源_02物料!$E$4:$E$1203,$AF174-1200)=0,"",INDEX(对接源_02物料!$E$4:$E$1203,$AF174-1200))))</f>
      </c>
      <c r="C174" s="104">
        <f>IF($AF174="","",IF($AF174&lt;=1200,IF(INDEX(对接源_01水果!$F$4:$F$1203,$AF174)=0,"",INDEX(对接源_01水果!$F$4:$F$1203,$AF174)),IF(INDEX(对接源_02物料!$F$4:$F$1203,$AF174-1200)=0,"",INDEX(对接源_02物料!$F$4:$F$1203,$AF174-1200))))</f>
      </c>
      <c r="D174" s="104">
        <f>IF($AF174="","",IF($AF174&lt;=1200,IF(INDEX(对接源_01水果!$G$4:$G$1203,$AF174)=0,"",INDEX(对接源_01水果!$G$4:$G$1203,$AF174)),IF(INDEX(对接源_02物料!$G$4:$G$1203,$AF174-1200)=0,"",INDEX(对接源_02物料!$G$4:$G$1203,$AF174-1200))))</f>
      </c>
      <c r="E174" s="166">
        <f>IF($AF174="","",IF($AF174&lt;=1200,IF(INDEX(对接源_01水果!$H$4:$H$1203,$AF174)=0,"",INDEX(对接源_01水果!$H$4:$H$1203,$AF174)),IF(INDEX(对接源_02物料!$H$4:$H$1203,$AF174-1200)=0,"",INDEX(对接源_02物料!$H$4:$H$1203,$AF174-1200))))</f>
      </c>
      <c r="F174" s="104">
        <f>IF($AF174="","",IF($AF174&lt;=1200,IF(INDEX(对接源_01水果!$I$4:$I$1203,$AF174)=0,"",INDEX(对接源_01水果!$I$4:$I$1203,$AF174)),IF(INDEX(对接源_02物料!$I$4:$I$1203,$AF174-1200)=0,"",INDEX(对接源_02物料!$I$4:$I$1203,$AF174-1200))))</f>
      </c>
      <c r="G174" s="175">
        <f>IF($AF174="","",IF($AF174&lt;=1200,IF(INDEX(对接源_01水果!$J$4:$J$1203,$AF174)=0,"",INDEX(对接源_01水果!$J$4:$J$1203,$AF174)),IF(INDEX(对接源_02物料!$J$4:$J$1203,$AF174-1200)=0,"",INDEX(对接源_02物料!$J$4:$J$1203,$AF174-1200))))</f>
      </c>
      <c r="H174" s="104">
        <f>IF($AF174="","",IF($AF174&lt;=1200,IF(INDEX(对接源_01水果!$W$4:$W$1203,$AF174)=0,"",INDEX(对接源_01水果!$W$4:$W$1203,$AF174)),IF(INDEX(对接源_02物料!$W$4:$W$1203,$AF174-1200)=0,"",INDEX(对接源_02物料!$W$4:$W$1203,$AF174-1200))))</f>
      </c>
      <c r="I174" s="104">
        <f>IF($AF174="","",IF($AF174&lt;=1200,IF(INDEX(对接源_01水果!$D$4:$D$1203,$AF174)=0,"",INDEX(对接源_01水果!$D$4:$D$1203,$AF174)),IF(INDEX(对接源_02物料!$D$4:$D$1203,$AF174-1200)=0,"",INDEX(对接源_02物料!$D$4:$D$1203,$AF174-1200))))</f>
      </c>
      <c r="J174" s="107">
        <f>IF($AF174="","",IF($AF174&lt;=1200,IF(INDEX(对接源_01水果!$M$4:$M$1203,$AF174)=0,"",INDEX(对接源_01水果!$M$4:$M$1203,$AF174)),IF(INDEX(对接源_02物料!$M$4:$M$1203,$AF174-1200)=0,"",INDEX(对接源_02物料!$M$4:$M$1203,$AF174-1200))))</f>
      </c>
      <c r="AF174" s="2">
        <f>IFERROR(MATCH(46,_自动清单!$AC$4:$AC$2403,0),"")</f>
      </c>
      <c r="AL174" s="2">
        <f>IF($D174="","",$D174)</f>
      </c>
      <c r="AM174" s="2">
        <f>IF(AL174="",0,IF(MATCH(AL174,AL$129:AL$208,0)=46,1,0))</f>
        <v>0</v>
      </c>
      <c r="AN174" s="2">
        <f>N(AN173)+AM174</f>
        <v>0</v>
      </c>
    </row>
    <row r="175" ht="18" customHeight="1" s="127">
      <c r="A175" s="163">
        <f>IF($AF175="","",IF($AF175&lt;=1200,IF(INDEX(对接源_01水果!$B$4:$B$1203,$AF175)=0,"",INDEX(对接源_01水果!$B$4:$B$1203,$AF175)),IF(INDEX(对接源_02物料!$B$4:$B$1203,$AF175-1200)=0,"",INDEX(对接源_02物料!$B$4:$B$1203,$AF175-1200))))</f>
      </c>
      <c r="B175" s="61">
        <f>IF($AF175="","",IF($AF175&lt;=1200,IF(INDEX(对接源_01水果!$E$4:$E$1203,$AF175)=0,"",INDEX(对接源_01水果!$E$4:$E$1203,$AF175)),IF(INDEX(对接源_02物料!$E$4:$E$1203,$AF175-1200)=0,"",INDEX(对接源_02物料!$E$4:$E$1203,$AF175-1200))))</f>
      </c>
      <c r="C175" s="61">
        <f>IF($AF175="","",IF($AF175&lt;=1200,IF(INDEX(对接源_01水果!$F$4:$F$1203,$AF175)=0,"",INDEX(对接源_01水果!$F$4:$F$1203,$AF175)),IF(INDEX(对接源_02物料!$F$4:$F$1203,$AF175-1200)=0,"",INDEX(对接源_02物料!$F$4:$F$1203,$AF175-1200))))</f>
      </c>
      <c r="D175" s="61">
        <f>IF($AF175="","",IF($AF175&lt;=1200,IF(INDEX(对接源_01水果!$G$4:$G$1203,$AF175)=0,"",INDEX(对接源_01水果!$G$4:$G$1203,$AF175)),IF(INDEX(对接源_02物料!$G$4:$G$1203,$AF175-1200)=0,"",INDEX(对接源_02物料!$G$4:$G$1203,$AF175-1200))))</f>
      </c>
      <c r="E175" s="164">
        <f>IF($AF175="","",IF($AF175&lt;=1200,IF(INDEX(对接源_01水果!$H$4:$H$1203,$AF175)=0,"",INDEX(对接源_01水果!$H$4:$H$1203,$AF175)),IF(INDEX(对接源_02物料!$H$4:$H$1203,$AF175-1200)=0,"",INDEX(对接源_02物料!$H$4:$H$1203,$AF175-1200))))</f>
      </c>
      <c r="F175" s="61">
        <f>IF($AF175="","",IF($AF175&lt;=1200,IF(INDEX(对接源_01水果!$I$4:$I$1203,$AF175)=0,"",INDEX(对接源_01水果!$I$4:$I$1203,$AF175)),IF(INDEX(对接源_02物料!$I$4:$I$1203,$AF175-1200)=0,"",INDEX(对接源_02物料!$I$4:$I$1203,$AF175-1200))))</f>
      </c>
      <c r="G175" s="173">
        <f>IF($AF175="","",IF($AF175&lt;=1200,IF(INDEX(对接源_01水果!$J$4:$J$1203,$AF175)=0,"",INDEX(对接源_01水果!$J$4:$J$1203,$AF175)),IF(INDEX(对接源_02物料!$J$4:$J$1203,$AF175-1200)=0,"",INDEX(对接源_02物料!$J$4:$J$1203,$AF175-1200))))</f>
      </c>
      <c r="H175" s="61">
        <f>IF($AF175="","",IF($AF175&lt;=1200,IF(INDEX(对接源_01水果!$W$4:$W$1203,$AF175)=0,"",INDEX(对接源_01水果!$W$4:$W$1203,$AF175)),IF(INDEX(对接源_02物料!$W$4:$W$1203,$AF175-1200)=0,"",INDEX(对接源_02物料!$W$4:$W$1203,$AF175-1200))))</f>
      </c>
      <c r="I175" s="61">
        <f>IF($AF175="","",IF($AF175&lt;=1200,IF(INDEX(对接源_01水果!$D$4:$D$1203,$AF175)=0,"",INDEX(对接源_01水果!$D$4:$D$1203,$AF175)),IF(INDEX(对接源_02物料!$D$4:$D$1203,$AF175-1200)=0,"",INDEX(对接源_02物料!$D$4:$D$1203,$AF175-1200))))</f>
      </c>
      <c r="J175" s="64">
        <f>IF($AF175="","",IF($AF175&lt;=1200,IF(INDEX(对接源_01水果!$M$4:$M$1203,$AF175)=0,"",INDEX(对接源_01水果!$M$4:$M$1203,$AF175)),IF(INDEX(对接源_02物料!$M$4:$M$1203,$AF175-1200)=0,"",INDEX(对接源_02物料!$M$4:$M$1203,$AF175-1200))))</f>
      </c>
      <c r="AF175" s="2">
        <f>IFERROR(MATCH(47,_自动清单!$AC$4:$AC$2403,0),"")</f>
      </c>
      <c r="AL175" s="2">
        <f>IF($D175="","",$D175)</f>
      </c>
      <c r="AM175" s="2">
        <f>IF(AL175="",0,IF(MATCH(AL175,AL$129:AL$208,0)=47,1,0))</f>
        <v>0</v>
      </c>
      <c r="AN175" s="2">
        <f>N(AN174)+AM175</f>
        <v>0</v>
      </c>
    </row>
    <row r="176" ht="18" customHeight="1" s="127">
      <c r="A176" s="165">
        <f>IF($AF176="","",IF($AF176&lt;=1200,IF(INDEX(对接源_01水果!$B$4:$B$1203,$AF176)=0,"",INDEX(对接源_01水果!$B$4:$B$1203,$AF176)),IF(INDEX(对接源_02物料!$B$4:$B$1203,$AF176-1200)=0,"",INDEX(对接源_02物料!$B$4:$B$1203,$AF176-1200))))</f>
      </c>
      <c r="B176" s="104">
        <f>IF($AF176="","",IF($AF176&lt;=1200,IF(INDEX(对接源_01水果!$E$4:$E$1203,$AF176)=0,"",INDEX(对接源_01水果!$E$4:$E$1203,$AF176)),IF(INDEX(对接源_02物料!$E$4:$E$1203,$AF176-1200)=0,"",INDEX(对接源_02物料!$E$4:$E$1203,$AF176-1200))))</f>
      </c>
      <c r="C176" s="104">
        <f>IF($AF176="","",IF($AF176&lt;=1200,IF(INDEX(对接源_01水果!$F$4:$F$1203,$AF176)=0,"",INDEX(对接源_01水果!$F$4:$F$1203,$AF176)),IF(INDEX(对接源_02物料!$F$4:$F$1203,$AF176-1200)=0,"",INDEX(对接源_02物料!$F$4:$F$1203,$AF176-1200))))</f>
      </c>
      <c r="D176" s="104">
        <f>IF($AF176="","",IF($AF176&lt;=1200,IF(INDEX(对接源_01水果!$G$4:$G$1203,$AF176)=0,"",INDEX(对接源_01水果!$G$4:$G$1203,$AF176)),IF(INDEX(对接源_02物料!$G$4:$G$1203,$AF176-1200)=0,"",INDEX(对接源_02物料!$G$4:$G$1203,$AF176-1200))))</f>
      </c>
      <c r="E176" s="166">
        <f>IF($AF176="","",IF($AF176&lt;=1200,IF(INDEX(对接源_01水果!$H$4:$H$1203,$AF176)=0,"",INDEX(对接源_01水果!$H$4:$H$1203,$AF176)),IF(INDEX(对接源_02物料!$H$4:$H$1203,$AF176-1200)=0,"",INDEX(对接源_02物料!$H$4:$H$1203,$AF176-1200))))</f>
      </c>
      <c r="F176" s="104">
        <f>IF($AF176="","",IF($AF176&lt;=1200,IF(INDEX(对接源_01水果!$I$4:$I$1203,$AF176)=0,"",INDEX(对接源_01水果!$I$4:$I$1203,$AF176)),IF(INDEX(对接源_02物料!$I$4:$I$1203,$AF176-1200)=0,"",INDEX(对接源_02物料!$I$4:$I$1203,$AF176-1200))))</f>
      </c>
      <c r="G176" s="175">
        <f>IF($AF176="","",IF($AF176&lt;=1200,IF(INDEX(对接源_01水果!$J$4:$J$1203,$AF176)=0,"",INDEX(对接源_01水果!$J$4:$J$1203,$AF176)),IF(INDEX(对接源_02物料!$J$4:$J$1203,$AF176-1200)=0,"",INDEX(对接源_02物料!$J$4:$J$1203,$AF176-1200))))</f>
      </c>
      <c r="H176" s="104">
        <f>IF($AF176="","",IF($AF176&lt;=1200,IF(INDEX(对接源_01水果!$W$4:$W$1203,$AF176)=0,"",INDEX(对接源_01水果!$W$4:$W$1203,$AF176)),IF(INDEX(对接源_02物料!$W$4:$W$1203,$AF176-1200)=0,"",INDEX(对接源_02物料!$W$4:$W$1203,$AF176-1200))))</f>
      </c>
      <c r="I176" s="104">
        <f>IF($AF176="","",IF($AF176&lt;=1200,IF(INDEX(对接源_01水果!$D$4:$D$1203,$AF176)=0,"",INDEX(对接源_01水果!$D$4:$D$1203,$AF176)),IF(INDEX(对接源_02物料!$D$4:$D$1203,$AF176-1200)=0,"",INDEX(对接源_02物料!$D$4:$D$1203,$AF176-1200))))</f>
      </c>
      <c r="J176" s="107">
        <f>IF($AF176="","",IF($AF176&lt;=1200,IF(INDEX(对接源_01水果!$M$4:$M$1203,$AF176)=0,"",INDEX(对接源_01水果!$M$4:$M$1203,$AF176)),IF(INDEX(对接源_02物料!$M$4:$M$1203,$AF176-1200)=0,"",INDEX(对接源_02物料!$M$4:$M$1203,$AF176-1200))))</f>
      </c>
      <c r="AF176" s="2">
        <f>IFERROR(MATCH(48,_自动清单!$AC$4:$AC$2403,0),"")</f>
      </c>
      <c r="AL176" s="2">
        <f>IF($D176="","",$D176)</f>
      </c>
      <c r="AM176" s="2">
        <f>IF(AL176="",0,IF(MATCH(AL176,AL$129:AL$208,0)=48,1,0))</f>
        <v>0</v>
      </c>
      <c r="AN176" s="2">
        <f>N(AN175)+AM176</f>
        <v>0</v>
      </c>
    </row>
    <row r="177" ht="18" customHeight="1" s="127">
      <c r="A177" s="163">
        <f>IF($AF177="","",IF($AF177&lt;=1200,IF(INDEX(对接源_01水果!$B$4:$B$1203,$AF177)=0,"",INDEX(对接源_01水果!$B$4:$B$1203,$AF177)),IF(INDEX(对接源_02物料!$B$4:$B$1203,$AF177-1200)=0,"",INDEX(对接源_02物料!$B$4:$B$1203,$AF177-1200))))</f>
      </c>
      <c r="B177" s="61">
        <f>IF($AF177="","",IF($AF177&lt;=1200,IF(INDEX(对接源_01水果!$E$4:$E$1203,$AF177)=0,"",INDEX(对接源_01水果!$E$4:$E$1203,$AF177)),IF(INDEX(对接源_02物料!$E$4:$E$1203,$AF177-1200)=0,"",INDEX(对接源_02物料!$E$4:$E$1203,$AF177-1200))))</f>
      </c>
      <c r="C177" s="61">
        <f>IF($AF177="","",IF($AF177&lt;=1200,IF(INDEX(对接源_01水果!$F$4:$F$1203,$AF177)=0,"",INDEX(对接源_01水果!$F$4:$F$1203,$AF177)),IF(INDEX(对接源_02物料!$F$4:$F$1203,$AF177-1200)=0,"",INDEX(对接源_02物料!$F$4:$F$1203,$AF177-1200))))</f>
      </c>
      <c r="D177" s="61">
        <f>IF($AF177="","",IF($AF177&lt;=1200,IF(INDEX(对接源_01水果!$G$4:$G$1203,$AF177)=0,"",INDEX(对接源_01水果!$G$4:$G$1203,$AF177)),IF(INDEX(对接源_02物料!$G$4:$G$1203,$AF177-1200)=0,"",INDEX(对接源_02物料!$G$4:$G$1203,$AF177-1200))))</f>
      </c>
      <c r="E177" s="164">
        <f>IF($AF177="","",IF($AF177&lt;=1200,IF(INDEX(对接源_01水果!$H$4:$H$1203,$AF177)=0,"",INDEX(对接源_01水果!$H$4:$H$1203,$AF177)),IF(INDEX(对接源_02物料!$H$4:$H$1203,$AF177-1200)=0,"",INDEX(对接源_02物料!$H$4:$H$1203,$AF177-1200))))</f>
      </c>
      <c r="F177" s="61">
        <f>IF($AF177="","",IF($AF177&lt;=1200,IF(INDEX(对接源_01水果!$I$4:$I$1203,$AF177)=0,"",INDEX(对接源_01水果!$I$4:$I$1203,$AF177)),IF(INDEX(对接源_02物料!$I$4:$I$1203,$AF177-1200)=0,"",INDEX(对接源_02物料!$I$4:$I$1203,$AF177-1200))))</f>
      </c>
      <c r="G177" s="173">
        <f>IF($AF177="","",IF($AF177&lt;=1200,IF(INDEX(对接源_01水果!$J$4:$J$1203,$AF177)=0,"",INDEX(对接源_01水果!$J$4:$J$1203,$AF177)),IF(INDEX(对接源_02物料!$J$4:$J$1203,$AF177-1200)=0,"",INDEX(对接源_02物料!$J$4:$J$1203,$AF177-1200))))</f>
      </c>
      <c r="H177" s="61">
        <f>IF($AF177="","",IF($AF177&lt;=1200,IF(INDEX(对接源_01水果!$W$4:$W$1203,$AF177)=0,"",INDEX(对接源_01水果!$W$4:$W$1203,$AF177)),IF(INDEX(对接源_02物料!$W$4:$W$1203,$AF177-1200)=0,"",INDEX(对接源_02物料!$W$4:$W$1203,$AF177-1200))))</f>
      </c>
      <c r="I177" s="61">
        <f>IF($AF177="","",IF($AF177&lt;=1200,IF(INDEX(对接源_01水果!$D$4:$D$1203,$AF177)=0,"",INDEX(对接源_01水果!$D$4:$D$1203,$AF177)),IF(INDEX(对接源_02物料!$D$4:$D$1203,$AF177-1200)=0,"",INDEX(对接源_02物料!$D$4:$D$1203,$AF177-1200))))</f>
      </c>
      <c r="J177" s="64">
        <f>IF($AF177="","",IF($AF177&lt;=1200,IF(INDEX(对接源_01水果!$M$4:$M$1203,$AF177)=0,"",INDEX(对接源_01水果!$M$4:$M$1203,$AF177)),IF(INDEX(对接源_02物料!$M$4:$M$1203,$AF177-1200)=0,"",INDEX(对接源_02物料!$M$4:$M$1203,$AF177-1200))))</f>
      </c>
      <c r="AF177" s="2">
        <f>IFERROR(MATCH(49,_自动清单!$AC$4:$AC$2403,0),"")</f>
      </c>
      <c r="AL177" s="2">
        <f>IF($D177="","",$D177)</f>
      </c>
      <c r="AM177" s="2">
        <f>IF(AL177="",0,IF(MATCH(AL177,AL$129:AL$208,0)=49,1,0))</f>
        <v>0</v>
      </c>
      <c r="AN177" s="2">
        <f>N(AN176)+AM177</f>
        <v>0</v>
      </c>
    </row>
    <row r="178" ht="18" customHeight="1" s="127">
      <c r="A178" s="165">
        <f>IF($AF178="","",IF($AF178&lt;=1200,IF(INDEX(对接源_01水果!$B$4:$B$1203,$AF178)=0,"",INDEX(对接源_01水果!$B$4:$B$1203,$AF178)),IF(INDEX(对接源_02物料!$B$4:$B$1203,$AF178-1200)=0,"",INDEX(对接源_02物料!$B$4:$B$1203,$AF178-1200))))</f>
      </c>
      <c r="B178" s="104">
        <f>IF($AF178="","",IF($AF178&lt;=1200,IF(INDEX(对接源_01水果!$E$4:$E$1203,$AF178)=0,"",INDEX(对接源_01水果!$E$4:$E$1203,$AF178)),IF(INDEX(对接源_02物料!$E$4:$E$1203,$AF178-1200)=0,"",INDEX(对接源_02物料!$E$4:$E$1203,$AF178-1200))))</f>
      </c>
      <c r="C178" s="104">
        <f>IF($AF178="","",IF($AF178&lt;=1200,IF(INDEX(对接源_01水果!$F$4:$F$1203,$AF178)=0,"",INDEX(对接源_01水果!$F$4:$F$1203,$AF178)),IF(INDEX(对接源_02物料!$F$4:$F$1203,$AF178-1200)=0,"",INDEX(对接源_02物料!$F$4:$F$1203,$AF178-1200))))</f>
      </c>
      <c r="D178" s="104">
        <f>IF($AF178="","",IF($AF178&lt;=1200,IF(INDEX(对接源_01水果!$G$4:$G$1203,$AF178)=0,"",INDEX(对接源_01水果!$G$4:$G$1203,$AF178)),IF(INDEX(对接源_02物料!$G$4:$G$1203,$AF178-1200)=0,"",INDEX(对接源_02物料!$G$4:$G$1203,$AF178-1200))))</f>
      </c>
      <c r="E178" s="166">
        <f>IF($AF178="","",IF($AF178&lt;=1200,IF(INDEX(对接源_01水果!$H$4:$H$1203,$AF178)=0,"",INDEX(对接源_01水果!$H$4:$H$1203,$AF178)),IF(INDEX(对接源_02物料!$H$4:$H$1203,$AF178-1200)=0,"",INDEX(对接源_02物料!$H$4:$H$1203,$AF178-1200))))</f>
      </c>
      <c r="F178" s="104">
        <f>IF($AF178="","",IF($AF178&lt;=1200,IF(INDEX(对接源_01水果!$I$4:$I$1203,$AF178)=0,"",INDEX(对接源_01水果!$I$4:$I$1203,$AF178)),IF(INDEX(对接源_02物料!$I$4:$I$1203,$AF178-1200)=0,"",INDEX(对接源_02物料!$I$4:$I$1203,$AF178-1200))))</f>
      </c>
      <c r="G178" s="175">
        <f>IF($AF178="","",IF($AF178&lt;=1200,IF(INDEX(对接源_01水果!$J$4:$J$1203,$AF178)=0,"",INDEX(对接源_01水果!$J$4:$J$1203,$AF178)),IF(INDEX(对接源_02物料!$J$4:$J$1203,$AF178-1200)=0,"",INDEX(对接源_02物料!$J$4:$J$1203,$AF178-1200))))</f>
      </c>
      <c r="H178" s="104">
        <f>IF($AF178="","",IF($AF178&lt;=1200,IF(INDEX(对接源_01水果!$W$4:$W$1203,$AF178)=0,"",INDEX(对接源_01水果!$W$4:$W$1203,$AF178)),IF(INDEX(对接源_02物料!$W$4:$W$1203,$AF178-1200)=0,"",INDEX(对接源_02物料!$W$4:$W$1203,$AF178-1200))))</f>
      </c>
      <c r="I178" s="104">
        <f>IF($AF178="","",IF($AF178&lt;=1200,IF(INDEX(对接源_01水果!$D$4:$D$1203,$AF178)=0,"",INDEX(对接源_01水果!$D$4:$D$1203,$AF178)),IF(INDEX(对接源_02物料!$D$4:$D$1203,$AF178-1200)=0,"",INDEX(对接源_02物料!$D$4:$D$1203,$AF178-1200))))</f>
      </c>
      <c r="J178" s="107">
        <f>IF($AF178="","",IF($AF178&lt;=1200,IF(INDEX(对接源_01水果!$M$4:$M$1203,$AF178)=0,"",INDEX(对接源_01水果!$M$4:$M$1203,$AF178)),IF(INDEX(对接源_02物料!$M$4:$M$1203,$AF178-1200)=0,"",INDEX(对接源_02物料!$M$4:$M$1203,$AF178-1200))))</f>
      </c>
      <c r="AF178" s="2">
        <f>IFERROR(MATCH(50,_自动清单!$AC$4:$AC$2403,0),"")</f>
      </c>
      <c r="AL178" s="2">
        <f>IF($D178="","",$D178)</f>
      </c>
      <c r="AM178" s="2">
        <f>IF(AL178="",0,IF(MATCH(AL178,AL$129:AL$208,0)=50,1,0))</f>
        <v>0</v>
      </c>
      <c r="AN178" s="2">
        <f>N(AN177)+AM178</f>
        <v>0</v>
      </c>
    </row>
    <row r="179" ht="18" customHeight="1" s="127">
      <c r="A179" s="163">
        <f>IF($AF179="","",IF($AF179&lt;=1200,IF(INDEX(对接源_01水果!$B$4:$B$1203,$AF179)=0,"",INDEX(对接源_01水果!$B$4:$B$1203,$AF179)),IF(INDEX(对接源_02物料!$B$4:$B$1203,$AF179-1200)=0,"",INDEX(对接源_02物料!$B$4:$B$1203,$AF179-1200))))</f>
      </c>
      <c r="B179" s="61">
        <f>IF($AF179="","",IF($AF179&lt;=1200,IF(INDEX(对接源_01水果!$E$4:$E$1203,$AF179)=0,"",INDEX(对接源_01水果!$E$4:$E$1203,$AF179)),IF(INDEX(对接源_02物料!$E$4:$E$1203,$AF179-1200)=0,"",INDEX(对接源_02物料!$E$4:$E$1203,$AF179-1200))))</f>
      </c>
      <c r="C179" s="61">
        <f>IF($AF179="","",IF($AF179&lt;=1200,IF(INDEX(对接源_01水果!$F$4:$F$1203,$AF179)=0,"",INDEX(对接源_01水果!$F$4:$F$1203,$AF179)),IF(INDEX(对接源_02物料!$F$4:$F$1203,$AF179-1200)=0,"",INDEX(对接源_02物料!$F$4:$F$1203,$AF179-1200))))</f>
      </c>
      <c r="D179" s="61">
        <f>IF($AF179="","",IF($AF179&lt;=1200,IF(INDEX(对接源_01水果!$G$4:$G$1203,$AF179)=0,"",INDEX(对接源_01水果!$G$4:$G$1203,$AF179)),IF(INDEX(对接源_02物料!$G$4:$G$1203,$AF179-1200)=0,"",INDEX(对接源_02物料!$G$4:$G$1203,$AF179-1200))))</f>
      </c>
      <c r="E179" s="164">
        <f>IF($AF179="","",IF($AF179&lt;=1200,IF(INDEX(对接源_01水果!$H$4:$H$1203,$AF179)=0,"",INDEX(对接源_01水果!$H$4:$H$1203,$AF179)),IF(INDEX(对接源_02物料!$H$4:$H$1203,$AF179-1200)=0,"",INDEX(对接源_02物料!$H$4:$H$1203,$AF179-1200))))</f>
      </c>
      <c r="F179" s="61">
        <f>IF($AF179="","",IF($AF179&lt;=1200,IF(INDEX(对接源_01水果!$I$4:$I$1203,$AF179)=0,"",INDEX(对接源_01水果!$I$4:$I$1203,$AF179)),IF(INDEX(对接源_02物料!$I$4:$I$1203,$AF179-1200)=0,"",INDEX(对接源_02物料!$I$4:$I$1203,$AF179-1200))))</f>
      </c>
      <c r="G179" s="173">
        <f>IF($AF179="","",IF($AF179&lt;=1200,IF(INDEX(对接源_01水果!$J$4:$J$1203,$AF179)=0,"",INDEX(对接源_01水果!$J$4:$J$1203,$AF179)),IF(INDEX(对接源_02物料!$J$4:$J$1203,$AF179-1200)=0,"",INDEX(对接源_02物料!$J$4:$J$1203,$AF179-1200))))</f>
      </c>
      <c r="H179" s="61">
        <f>IF($AF179="","",IF($AF179&lt;=1200,IF(INDEX(对接源_01水果!$W$4:$W$1203,$AF179)=0,"",INDEX(对接源_01水果!$W$4:$W$1203,$AF179)),IF(INDEX(对接源_02物料!$W$4:$W$1203,$AF179-1200)=0,"",INDEX(对接源_02物料!$W$4:$W$1203,$AF179-1200))))</f>
      </c>
      <c r="I179" s="61">
        <f>IF($AF179="","",IF($AF179&lt;=1200,IF(INDEX(对接源_01水果!$D$4:$D$1203,$AF179)=0,"",INDEX(对接源_01水果!$D$4:$D$1203,$AF179)),IF(INDEX(对接源_02物料!$D$4:$D$1203,$AF179-1200)=0,"",INDEX(对接源_02物料!$D$4:$D$1203,$AF179-1200))))</f>
      </c>
      <c r="J179" s="64">
        <f>IF($AF179="","",IF($AF179&lt;=1200,IF(INDEX(对接源_01水果!$M$4:$M$1203,$AF179)=0,"",INDEX(对接源_01水果!$M$4:$M$1203,$AF179)),IF(INDEX(对接源_02物料!$M$4:$M$1203,$AF179-1200)=0,"",INDEX(对接源_02物料!$M$4:$M$1203,$AF179-1200))))</f>
      </c>
      <c r="AF179" s="2">
        <f>IFERROR(MATCH(51,_自动清单!$AC$4:$AC$2403,0),"")</f>
      </c>
      <c r="AL179" s="2">
        <f>IF($D179="","",$D179)</f>
      </c>
      <c r="AM179" s="2">
        <f>IF(AL179="",0,IF(MATCH(AL179,AL$129:AL$208,0)=51,1,0))</f>
        <v>0</v>
      </c>
      <c r="AN179" s="2">
        <f>N(AN178)+AM179</f>
        <v>0</v>
      </c>
    </row>
    <row r="180" ht="18" customHeight="1" s="127">
      <c r="A180" s="165">
        <f>IF($AF180="","",IF($AF180&lt;=1200,IF(INDEX(对接源_01水果!$B$4:$B$1203,$AF180)=0,"",INDEX(对接源_01水果!$B$4:$B$1203,$AF180)),IF(INDEX(对接源_02物料!$B$4:$B$1203,$AF180-1200)=0,"",INDEX(对接源_02物料!$B$4:$B$1203,$AF180-1200))))</f>
      </c>
      <c r="B180" s="104">
        <f>IF($AF180="","",IF($AF180&lt;=1200,IF(INDEX(对接源_01水果!$E$4:$E$1203,$AF180)=0,"",INDEX(对接源_01水果!$E$4:$E$1203,$AF180)),IF(INDEX(对接源_02物料!$E$4:$E$1203,$AF180-1200)=0,"",INDEX(对接源_02物料!$E$4:$E$1203,$AF180-1200))))</f>
      </c>
      <c r="C180" s="104">
        <f>IF($AF180="","",IF($AF180&lt;=1200,IF(INDEX(对接源_01水果!$F$4:$F$1203,$AF180)=0,"",INDEX(对接源_01水果!$F$4:$F$1203,$AF180)),IF(INDEX(对接源_02物料!$F$4:$F$1203,$AF180-1200)=0,"",INDEX(对接源_02物料!$F$4:$F$1203,$AF180-1200))))</f>
      </c>
      <c r="D180" s="104">
        <f>IF($AF180="","",IF($AF180&lt;=1200,IF(INDEX(对接源_01水果!$G$4:$G$1203,$AF180)=0,"",INDEX(对接源_01水果!$G$4:$G$1203,$AF180)),IF(INDEX(对接源_02物料!$G$4:$G$1203,$AF180-1200)=0,"",INDEX(对接源_02物料!$G$4:$G$1203,$AF180-1200))))</f>
      </c>
      <c r="E180" s="166">
        <f>IF($AF180="","",IF($AF180&lt;=1200,IF(INDEX(对接源_01水果!$H$4:$H$1203,$AF180)=0,"",INDEX(对接源_01水果!$H$4:$H$1203,$AF180)),IF(INDEX(对接源_02物料!$H$4:$H$1203,$AF180-1200)=0,"",INDEX(对接源_02物料!$H$4:$H$1203,$AF180-1200))))</f>
      </c>
      <c r="F180" s="104">
        <f>IF($AF180="","",IF($AF180&lt;=1200,IF(INDEX(对接源_01水果!$I$4:$I$1203,$AF180)=0,"",INDEX(对接源_01水果!$I$4:$I$1203,$AF180)),IF(INDEX(对接源_02物料!$I$4:$I$1203,$AF180-1200)=0,"",INDEX(对接源_02物料!$I$4:$I$1203,$AF180-1200))))</f>
      </c>
      <c r="G180" s="175">
        <f>IF($AF180="","",IF($AF180&lt;=1200,IF(INDEX(对接源_01水果!$J$4:$J$1203,$AF180)=0,"",INDEX(对接源_01水果!$J$4:$J$1203,$AF180)),IF(INDEX(对接源_02物料!$J$4:$J$1203,$AF180-1200)=0,"",INDEX(对接源_02物料!$J$4:$J$1203,$AF180-1200))))</f>
      </c>
      <c r="H180" s="104">
        <f>IF($AF180="","",IF($AF180&lt;=1200,IF(INDEX(对接源_01水果!$W$4:$W$1203,$AF180)=0,"",INDEX(对接源_01水果!$W$4:$W$1203,$AF180)),IF(INDEX(对接源_02物料!$W$4:$W$1203,$AF180-1200)=0,"",INDEX(对接源_02物料!$W$4:$W$1203,$AF180-1200))))</f>
      </c>
      <c r="I180" s="104">
        <f>IF($AF180="","",IF($AF180&lt;=1200,IF(INDEX(对接源_01水果!$D$4:$D$1203,$AF180)=0,"",INDEX(对接源_01水果!$D$4:$D$1203,$AF180)),IF(INDEX(对接源_02物料!$D$4:$D$1203,$AF180-1200)=0,"",INDEX(对接源_02物料!$D$4:$D$1203,$AF180-1200))))</f>
      </c>
      <c r="J180" s="107">
        <f>IF($AF180="","",IF($AF180&lt;=1200,IF(INDEX(对接源_01水果!$M$4:$M$1203,$AF180)=0,"",INDEX(对接源_01水果!$M$4:$M$1203,$AF180)),IF(INDEX(对接源_02物料!$M$4:$M$1203,$AF180-1200)=0,"",INDEX(对接源_02物料!$M$4:$M$1203,$AF180-1200))))</f>
      </c>
      <c r="AF180" s="2">
        <f>IFERROR(MATCH(52,_自动清单!$AC$4:$AC$2403,0),"")</f>
      </c>
      <c r="AL180" s="2">
        <f>IF($D180="","",$D180)</f>
      </c>
      <c r="AM180" s="2">
        <f>IF(AL180="",0,IF(MATCH(AL180,AL$129:AL$208,0)=52,1,0))</f>
        <v>0</v>
      </c>
      <c r="AN180" s="2">
        <f>N(AN179)+AM180</f>
        <v>0</v>
      </c>
    </row>
    <row r="181" ht="18" customHeight="1" s="127">
      <c r="A181" s="163">
        <f>IF($AF181="","",IF($AF181&lt;=1200,IF(INDEX(对接源_01水果!$B$4:$B$1203,$AF181)=0,"",INDEX(对接源_01水果!$B$4:$B$1203,$AF181)),IF(INDEX(对接源_02物料!$B$4:$B$1203,$AF181-1200)=0,"",INDEX(对接源_02物料!$B$4:$B$1203,$AF181-1200))))</f>
      </c>
      <c r="B181" s="61">
        <f>IF($AF181="","",IF($AF181&lt;=1200,IF(INDEX(对接源_01水果!$E$4:$E$1203,$AF181)=0,"",INDEX(对接源_01水果!$E$4:$E$1203,$AF181)),IF(INDEX(对接源_02物料!$E$4:$E$1203,$AF181-1200)=0,"",INDEX(对接源_02物料!$E$4:$E$1203,$AF181-1200))))</f>
      </c>
      <c r="C181" s="61">
        <f>IF($AF181="","",IF($AF181&lt;=1200,IF(INDEX(对接源_01水果!$F$4:$F$1203,$AF181)=0,"",INDEX(对接源_01水果!$F$4:$F$1203,$AF181)),IF(INDEX(对接源_02物料!$F$4:$F$1203,$AF181-1200)=0,"",INDEX(对接源_02物料!$F$4:$F$1203,$AF181-1200))))</f>
      </c>
      <c r="D181" s="61">
        <f>IF($AF181="","",IF($AF181&lt;=1200,IF(INDEX(对接源_01水果!$G$4:$G$1203,$AF181)=0,"",INDEX(对接源_01水果!$G$4:$G$1203,$AF181)),IF(INDEX(对接源_02物料!$G$4:$G$1203,$AF181-1200)=0,"",INDEX(对接源_02物料!$G$4:$G$1203,$AF181-1200))))</f>
      </c>
      <c r="E181" s="164">
        <f>IF($AF181="","",IF($AF181&lt;=1200,IF(INDEX(对接源_01水果!$H$4:$H$1203,$AF181)=0,"",INDEX(对接源_01水果!$H$4:$H$1203,$AF181)),IF(INDEX(对接源_02物料!$H$4:$H$1203,$AF181-1200)=0,"",INDEX(对接源_02物料!$H$4:$H$1203,$AF181-1200))))</f>
      </c>
      <c r="F181" s="61">
        <f>IF($AF181="","",IF($AF181&lt;=1200,IF(INDEX(对接源_01水果!$I$4:$I$1203,$AF181)=0,"",INDEX(对接源_01水果!$I$4:$I$1203,$AF181)),IF(INDEX(对接源_02物料!$I$4:$I$1203,$AF181-1200)=0,"",INDEX(对接源_02物料!$I$4:$I$1203,$AF181-1200))))</f>
      </c>
      <c r="G181" s="173">
        <f>IF($AF181="","",IF($AF181&lt;=1200,IF(INDEX(对接源_01水果!$J$4:$J$1203,$AF181)=0,"",INDEX(对接源_01水果!$J$4:$J$1203,$AF181)),IF(INDEX(对接源_02物料!$J$4:$J$1203,$AF181-1200)=0,"",INDEX(对接源_02物料!$J$4:$J$1203,$AF181-1200))))</f>
      </c>
      <c r="H181" s="61">
        <f>IF($AF181="","",IF($AF181&lt;=1200,IF(INDEX(对接源_01水果!$W$4:$W$1203,$AF181)=0,"",INDEX(对接源_01水果!$W$4:$W$1203,$AF181)),IF(INDEX(对接源_02物料!$W$4:$W$1203,$AF181-1200)=0,"",INDEX(对接源_02物料!$W$4:$W$1203,$AF181-1200))))</f>
      </c>
      <c r="I181" s="61">
        <f>IF($AF181="","",IF($AF181&lt;=1200,IF(INDEX(对接源_01水果!$D$4:$D$1203,$AF181)=0,"",INDEX(对接源_01水果!$D$4:$D$1203,$AF181)),IF(INDEX(对接源_02物料!$D$4:$D$1203,$AF181-1200)=0,"",INDEX(对接源_02物料!$D$4:$D$1203,$AF181-1200))))</f>
      </c>
      <c r="J181" s="64">
        <f>IF($AF181="","",IF($AF181&lt;=1200,IF(INDEX(对接源_01水果!$M$4:$M$1203,$AF181)=0,"",INDEX(对接源_01水果!$M$4:$M$1203,$AF181)),IF(INDEX(对接源_02物料!$M$4:$M$1203,$AF181-1200)=0,"",INDEX(对接源_02物料!$M$4:$M$1203,$AF181-1200))))</f>
      </c>
      <c r="AF181" s="2">
        <f>IFERROR(MATCH(53,_自动清单!$AC$4:$AC$2403,0),"")</f>
      </c>
      <c r="AL181" s="2">
        <f>IF($D181="","",$D181)</f>
      </c>
      <c r="AM181" s="2">
        <f>IF(AL181="",0,IF(MATCH(AL181,AL$129:AL$208,0)=53,1,0))</f>
        <v>0</v>
      </c>
      <c r="AN181" s="2">
        <f>N(AN180)+AM181</f>
        <v>0</v>
      </c>
    </row>
    <row r="182" ht="18" customHeight="1" s="127">
      <c r="A182" s="165">
        <f>IF($AF182="","",IF($AF182&lt;=1200,IF(INDEX(对接源_01水果!$B$4:$B$1203,$AF182)=0,"",INDEX(对接源_01水果!$B$4:$B$1203,$AF182)),IF(INDEX(对接源_02物料!$B$4:$B$1203,$AF182-1200)=0,"",INDEX(对接源_02物料!$B$4:$B$1203,$AF182-1200))))</f>
      </c>
      <c r="B182" s="104">
        <f>IF($AF182="","",IF($AF182&lt;=1200,IF(INDEX(对接源_01水果!$E$4:$E$1203,$AF182)=0,"",INDEX(对接源_01水果!$E$4:$E$1203,$AF182)),IF(INDEX(对接源_02物料!$E$4:$E$1203,$AF182-1200)=0,"",INDEX(对接源_02物料!$E$4:$E$1203,$AF182-1200))))</f>
      </c>
      <c r="C182" s="104">
        <f>IF($AF182="","",IF($AF182&lt;=1200,IF(INDEX(对接源_01水果!$F$4:$F$1203,$AF182)=0,"",INDEX(对接源_01水果!$F$4:$F$1203,$AF182)),IF(INDEX(对接源_02物料!$F$4:$F$1203,$AF182-1200)=0,"",INDEX(对接源_02物料!$F$4:$F$1203,$AF182-1200))))</f>
      </c>
      <c r="D182" s="104">
        <f>IF($AF182="","",IF($AF182&lt;=1200,IF(INDEX(对接源_01水果!$G$4:$G$1203,$AF182)=0,"",INDEX(对接源_01水果!$G$4:$G$1203,$AF182)),IF(INDEX(对接源_02物料!$G$4:$G$1203,$AF182-1200)=0,"",INDEX(对接源_02物料!$G$4:$G$1203,$AF182-1200))))</f>
      </c>
      <c r="E182" s="166">
        <f>IF($AF182="","",IF($AF182&lt;=1200,IF(INDEX(对接源_01水果!$H$4:$H$1203,$AF182)=0,"",INDEX(对接源_01水果!$H$4:$H$1203,$AF182)),IF(INDEX(对接源_02物料!$H$4:$H$1203,$AF182-1200)=0,"",INDEX(对接源_02物料!$H$4:$H$1203,$AF182-1200))))</f>
      </c>
      <c r="F182" s="104">
        <f>IF($AF182="","",IF($AF182&lt;=1200,IF(INDEX(对接源_01水果!$I$4:$I$1203,$AF182)=0,"",INDEX(对接源_01水果!$I$4:$I$1203,$AF182)),IF(INDEX(对接源_02物料!$I$4:$I$1203,$AF182-1200)=0,"",INDEX(对接源_02物料!$I$4:$I$1203,$AF182-1200))))</f>
      </c>
      <c r="G182" s="175">
        <f>IF($AF182="","",IF($AF182&lt;=1200,IF(INDEX(对接源_01水果!$J$4:$J$1203,$AF182)=0,"",INDEX(对接源_01水果!$J$4:$J$1203,$AF182)),IF(INDEX(对接源_02物料!$J$4:$J$1203,$AF182-1200)=0,"",INDEX(对接源_02物料!$J$4:$J$1203,$AF182-1200))))</f>
      </c>
      <c r="H182" s="104">
        <f>IF($AF182="","",IF($AF182&lt;=1200,IF(INDEX(对接源_01水果!$W$4:$W$1203,$AF182)=0,"",INDEX(对接源_01水果!$W$4:$W$1203,$AF182)),IF(INDEX(对接源_02物料!$W$4:$W$1203,$AF182-1200)=0,"",INDEX(对接源_02物料!$W$4:$W$1203,$AF182-1200))))</f>
      </c>
      <c r="I182" s="104">
        <f>IF($AF182="","",IF($AF182&lt;=1200,IF(INDEX(对接源_01水果!$D$4:$D$1203,$AF182)=0,"",INDEX(对接源_01水果!$D$4:$D$1203,$AF182)),IF(INDEX(对接源_02物料!$D$4:$D$1203,$AF182-1200)=0,"",INDEX(对接源_02物料!$D$4:$D$1203,$AF182-1200))))</f>
      </c>
      <c r="J182" s="107">
        <f>IF($AF182="","",IF($AF182&lt;=1200,IF(INDEX(对接源_01水果!$M$4:$M$1203,$AF182)=0,"",INDEX(对接源_01水果!$M$4:$M$1203,$AF182)),IF(INDEX(对接源_02物料!$M$4:$M$1203,$AF182-1200)=0,"",INDEX(对接源_02物料!$M$4:$M$1203,$AF182-1200))))</f>
      </c>
      <c r="AF182" s="2">
        <f>IFERROR(MATCH(54,_自动清单!$AC$4:$AC$2403,0),"")</f>
      </c>
      <c r="AL182" s="2">
        <f>IF($D182="","",$D182)</f>
      </c>
      <c r="AM182" s="2">
        <f>IF(AL182="",0,IF(MATCH(AL182,AL$129:AL$208,0)=54,1,0))</f>
        <v>0</v>
      </c>
      <c r="AN182" s="2">
        <f>N(AN181)+AM182</f>
        <v>0</v>
      </c>
    </row>
    <row r="183" ht="18" customHeight="1" s="127">
      <c r="A183" s="163">
        <f>IF($AF183="","",IF($AF183&lt;=1200,IF(INDEX(对接源_01水果!$B$4:$B$1203,$AF183)=0,"",INDEX(对接源_01水果!$B$4:$B$1203,$AF183)),IF(INDEX(对接源_02物料!$B$4:$B$1203,$AF183-1200)=0,"",INDEX(对接源_02物料!$B$4:$B$1203,$AF183-1200))))</f>
      </c>
      <c r="B183" s="61">
        <f>IF($AF183="","",IF($AF183&lt;=1200,IF(INDEX(对接源_01水果!$E$4:$E$1203,$AF183)=0,"",INDEX(对接源_01水果!$E$4:$E$1203,$AF183)),IF(INDEX(对接源_02物料!$E$4:$E$1203,$AF183-1200)=0,"",INDEX(对接源_02物料!$E$4:$E$1203,$AF183-1200))))</f>
      </c>
      <c r="C183" s="61">
        <f>IF($AF183="","",IF($AF183&lt;=1200,IF(INDEX(对接源_01水果!$F$4:$F$1203,$AF183)=0,"",INDEX(对接源_01水果!$F$4:$F$1203,$AF183)),IF(INDEX(对接源_02物料!$F$4:$F$1203,$AF183-1200)=0,"",INDEX(对接源_02物料!$F$4:$F$1203,$AF183-1200))))</f>
      </c>
      <c r="D183" s="61">
        <f>IF($AF183="","",IF($AF183&lt;=1200,IF(INDEX(对接源_01水果!$G$4:$G$1203,$AF183)=0,"",INDEX(对接源_01水果!$G$4:$G$1203,$AF183)),IF(INDEX(对接源_02物料!$G$4:$G$1203,$AF183-1200)=0,"",INDEX(对接源_02物料!$G$4:$G$1203,$AF183-1200))))</f>
      </c>
      <c r="E183" s="164">
        <f>IF($AF183="","",IF($AF183&lt;=1200,IF(INDEX(对接源_01水果!$H$4:$H$1203,$AF183)=0,"",INDEX(对接源_01水果!$H$4:$H$1203,$AF183)),IF(INDEX(对接源_02物料!$H$4:$H$1203,$AF183-1200)=0,"",INDEX(对接源_02物料!$H$4:$H$1203,$AF183-1200))))</f>
      </c>
      <c r="F183" s="61">
        <f>IF($AF183="","",IF($AF183&lt;=1200,IF(INDEX(对接源_01水果!$I$4:$I$1203,$AF183)=0,"",INDEX(对接源_01水果!$I$4:$I$1203,$AF183)),IF(INDEX(对接源_02物料!$I$4:$I$1203,$AF183-1200)=0,"",INDEX(对接源_02物料!$I$4:$I$1203,$AF183-1200))))</f>
      </c>
      <c r="G183" s="173">
        <f>IF($AF183="","",IF($AF183&lt;=1200,IF(INDEX(对接源_01水果!$J$4:$J$1203,$AF183)=0,"",INDEX(对接源_01水果!$J$4:$J$1203,$AF183)),IF(INDEX(对接源_02物料!$J$4:$J$1203,$AF183-1200)=0,"",INDEX(对接源_02物料!$J$4:$J$1203,$AF183-1200))))</f>
      </c>
      <c r="H183" s="61">
        <f>IF($AF183="","",IF($AF183&lt;=1200,IF(INDEX(对接源_01水果!$W$4:$W$1203,$AF183)=0,"",INDEX(对接源_01水果!$W$4:$W$1203,$AF183)),IF(INDEX(对接源_02物料!$W$4:$W$1203,$AF183-1200)=0,"",INDEX(对接源_02物料!$W$4:$W$1203,$AF183-1200))))</f>
      </c>
      <c r="I183" s="61">
        <f>IF($AF183="","",IF($AF183&lt;=1200,IF(INDEX(对接源_01水果!$D$4:$D$1203,$AF183)=0,"",INDEX(对接源_01水果!$D$4:$D$1203,$AF183)),IF(INDEX(对接源_02物料!$D$4:$D$1203,$AF183-1200)=0,"",INDEX(对接源_02物料!$D$4:$D$1203,$AF183-1200))))</f>
      </c>
      <c r="J183" s="64">
        <f>IF($AF183="","",IF($AF183&lt;=1200,IF(INDEX(对接源_01水果!$M$4:$M$1203,$AF183)=0,"",INDEX(对接源_01水果!$M$4:$M$1203,$AF183)),IF(INDEX(对接源_02物料!$M$4:$M$1203,$AF183-1200)=0,"",INDEX(对接源_02物料!$M$4:$M$1203,$AF183-1200))))</f>
      </c>
      <c r="AF183" s="2">
        <f>IFERROR(MATCH(55,_自动清单!$AC$4:$AC$2403,0),"")</f>
      </c>
      <c r="AL183" s="2">
        <f>IF($D183="","",$D183)</f>
      </c>
      <c r="AM183" s="2">
        <f>IF(AL183="",0,IF(MATCH(AL183,AL$129:AL$208,0)=55,1,0))</f>
        <v>0</v>
      </c>
      <c r="AN183" s="2">
        <f>N(AN182)+AM183</f>
        <v>0</v>
      </c>
    </row>
    <row r="184" ht="18" customHeight="1" s="127">
      <c r="A184" s="165">
        <f>IF($AF184="","",IF($AF184&lt;=1200,IF(INDEX(对接源_01水果!$B$4:$B$1203,$AF184)=0,"",INDEX(对接源_01水果!$B$4:$B$1203,$AF184)),IF(INDEX(对接源_02物料!$B$4:$B$1203,$AF184-1200)=0,"",INDEX(对接源_02物料!$B$4:$B$1203,$AF184-1200))))</f>
      </c>
      <c r="B184" s="104">
        <f>IF($AF184="","",IF($AF184&lt;=1200,IF(INDEX(对接源_01水果!$E$4:$E$1203,$AF184)=0,"",INDEX(对接源_01水果!$E$4:$E$1203,$AF184)),IF(INDEX(对接源_02物料!$E$4:$E$1203,$AF184-1200)=0,"",INDEX(对接源_02物料!$E$4:$E$1203,$AF184-1200))))</f>
      </c>
      <c r="C184" s="104">
        <f>IF($AF184="","",IF($AF184&lt;=1200,IF(INDEX(对接源_01水果!$F$4:$F$1203,$AF184)=0,"",INDEX(对接源_01水果!$F$4:$F$1203,$AF184)),IF(INDEX(对接源_02物料!$F$4:$F$1203,$AF184-1200)=0,"",INDEX(对接源_02物料!$F$4:$F$1203,$AF184-1200))))</f>
      </c>
      <c r="D184" s="104">
        <f>IF($AF184="","",IF($AF184&lt;=1200,IF(INDEX(对接源_01水果!$G$4:$G$1203,$AF184)=0,"",INDEX(对接源_01水果!$G$4:$G$1203,$AF184)),IF(INDEX(对接源_02物料!$G$4:$G$1203,$AF184-1200)=0,"",INDEX(对接源_02物料!$G$4:$G$1203,$AF184-1200))))</f>
      </c>
      <c r="E184" s="166">
        <f>IF($AF184="","",IF($AF184&lt;=1200,IF(INDEX(对接源_01水果!$H$4:$H$1203,$AF184)=0,"",INDEX(对接源_01水果!$H$4:$H$1203,$AF184)),IF(INDEX(对接源_02物料!$H$4:$H$1203,$AF184-1200)=0,"",INDEX(对接源_02物料!$H$4:$H$1203,$AF184-1200))))</f>
      </c>
      <c r="F184" s="104">
        <f>IF($AF184="","",IF($AF184&lt;=1200,IF(INDEX(对接源_01水果!$I$4:$I$1203,$AF184)=0,"",INDEX(对接源_01水果!$I$4:$I$1203,$AF184)),IF(INDEX(对接源_02物料!$I$4:$I$1203,$AF184-1200)=0,"",INDEX(对接源_02物料!$I$4:$I$1203,$AF184-1200))))</f>
      </c>
      <c r="G184" s="175">
        <f>IF($AF184="","",IF($AF184&lt;=1200,IF(INDEX(对接源_01水果!$J$4:$J$1203,$AF184)=0,"",INDEX(对接源_01水果!$J$4:$J$1203,$AF184)),IF(INDEX(对接源_02物料!$J$4:$J$1203,$AF184-1200)=0,"",INDEX(对接源_02物料!$J$4:$J$1203,$AF184-1200))))</f>
      </c>
      <c r="H184" s="104">
        <f>IF($AF184="","",IF($AF184&lt;=1200,IF(INDEX(对接源_01水果!$W$4:$W$1203,$AF184)=0,"",INDEX(对接源_01水果!$W$4:$W$1203,$AF184)),IF(INDEX(对接源_02物料!$W$4:$W$1203,$AF184-1200)=0,"",INDEX(对接源_02物料!$W$4:$W$1203,$AF184-1200))))</f>
      </c>
      <c r="I184" s="104">
        <f>IF($AF184="","",IF($AF184&lt;=1200,IF(INDEX(对接源_01水果!$D$4:$D$1203,$AF184)=0,"",INDEX(对接源_01水果!$D$4:$D$1203,$AF184)),IF(INDEX(对接源_02物料!$D$4:$D$1203,$AF184-1200)=0,"",INDEX(对接源_02物料!$D$4:$D$1203,$AF184-1200))))</f>
      </c>
      <c r="J184" s="107">
        <f>IF($AF184="","",IF($AF184&lt;=1200,IF(INDEX(对接源_01水果!$M$4:$M$1203,$AF184)=0,"",INDEX(对接源_01水果!$M$4:$M$1203,$AF184)),IF(INDEX(对接源_02物料!$M$4:$M$1203,$AF184-1200)=0,"",INDEX(对接源_02物料!$M$4:$M$1203,$AF184-1200))))</f>
      </c>
      <c r="AF184" s="2">
        <f>IFERROR(MATCH(56,_自动清单!$AC$4:$AC$2403,0),"")</f>
      </c>
      <c r="AL184" s="2">
        <f>IF($D184="","",$D184)</f>
      </c>
      <c r="AM184" s="2">
        <f>IF(AL184="",0,IF(MATCH(AL184,AL$129:AL$208,0)=56,1,0))</f>
        <v>0</v>
      </c>
      <c r="AN184" s="2">
        <f>N(AN183)+AM184</f>
        <v>0</v>
      </c>
    </row>
    <row r="185" ht="18" customHeight="1" s="127">
      <c r="A185" s="163">
        <f>IF($AF185="","",IF($AF185&lt;=1200,IF(INDEX(对接源_01水果!$B$4:$B$1203,$AF185)=0,"",INDEX(对接源_01水果!$B$4:$B$1203,$AF185)),IF(INDEX(对接源_02物料!$B$4:$B$1203,$AF185-1200)=0,"",INDEX(对接源_02物料!$B$4:$B$1203,$AF185-1200))))</f>
      </c>
      <c r="B185" s="61">
        <f>IF($AF185="","",IF($AF185&lt;=1200,IF(INDEX(对接源_01水果!$E$4:$E$1203,$AF185)=0,"",INDEX(对接源_01水果!$E$4:$E$1203,$AF185)),IF(INDEX(对接源_02物料!$E$4:$E$1203,$AF185-1200)=0,"",INDEX(对接源_02物料!$E$4:$E$1203,$AF185-1200))))</f>
      </c>
      <c r="C185" s="61">
        <f>IF($AF185="","",IF($AF185&lt;=1200,IF(INDEX(对接源_01水果!$F$4:$F$1203,$AF185)=0,"",INDEX(对接源_01水果!$F$4:$F$1203,$AF185)),IF(INDEX(对接源_02物料!$F$4:$F$1203,$AF185-1200)=0,"",INDEX(对接源_02物料!$F$4:$F$1203,$AF185-1200))))</f>
      </c>
      <c r="D185" s="61">
        <f>IF($AF185="","",IF($AF185&lt;=1200,IF(INDEX(对接源_01水果!$G$4:$G$1203,$AF185)=0,"",INDEX(对接源_01水果!$G$4:$G$1203,$AF185)),IF(INDEX(对接源_02物料!$G$4:$G$1203,$AF185-1200)=0,"",INDEX(对接源_02物料!$G$4:$G$1203,$AF185-1200))))</f>
      </c>
      <c r="E185" s="164">
        <f>IF($AF185="","",IF($AF185&lt;=1200,IF(INDEX(对接源_01水果!$H$4:$H$1203,$AF185)=0,"",INDEX(对接源_01水果!$H$4:$H$1203,$AF185)),IF(INDEX(对接源_02物料!$H$4:$H$1203,$AF185-1200)=0,"",INDEX(对接源_02物料!$H$4:$H$1203,$AF185-1200))))</f>
      </c>
      <c r="F185" s="61">
        <f>IF($AF185="","",IF($AF185&lt;=1200,IF(INDEX(对接源_01水果!$I$4:$I$1203,$AF185)=0,"",INDEX(对接源_01水果!$I$4:$I$1203,$AF185)),IF(INDEX(对接源_02物料!$I$4:$I$1203,$AF185-1200)=0,"",INDEX(对接源_02物料!$I$4:$I$1203,$AF185-1200))))</f>
      </c>
      <c r="G185" s="173">
        <f>IF($AF185="","",IF($AF185&lt;=1200,IF(INDEX(对接源_01水果!$J$4:$J$1203,$AF185)=0,"",INDEX(对接源_01水果!$J$4:$J$1203,$AF185)),IF(INDEX(对接源_02物料!$J$4:$J$1203,$AF185-1200)=0,"",INDEX(对接源_02物料!$J$4:$J$1203,$AF185-1200))))</f>
      </c>
      <c r="H185" s="61">
        <f>IF($AF185="","",IF($AF185&lt;=1200,IF(INDEX(对接源_01水果!$W$4:$W$1203,$AF185)=0,"",INDEX(对接源_01水果!$W$4:$W$1203,$AF185)),IF(INDEX(对接源_02物料!$W$4:$W$1203,$AF185-1200)=0,"",INDEX(对接源_02物料!$W$4:$W$1203,$AF185-1200))))</f>
      </c>
      <c r="I185" s="61">
        <f>IF($AF185="","",IF($AF185&lt;=1200,IF(INDEX(对接源_01水果!$D$4:$D$1203,$AF185)=0,"",INDEX(对接源_01水果!$D$4:$D$1203,$AF185)),IF(INDEX(对接源_02物料!$D$4:$D$1203,$AF185-1200)=0,"",INDEX(对接源_02物料!$D$4:$D$1203,$AF185-1200))))</f>
      </c>
      <c r="J185" s="64">
        <f>IF($AF185="","",IF($AF185&lt;=1200,IF(INDEX(对接源_01水果!$M$4:$M$1203,$AF185)=0,"",INDEX(对接源_01水果!$M$4:$M$1203,$AF185)),IF(INDEX(对接源_02物料!$M$4:$M$1203,$AF185-1200)=0,"",INDEX(对接源_02物料!$M$4:$M$1203,$AF185-1200))))</f>
      </c>
      <c r="AF185" s="2">
        <f>IFERROR(MATCH(57,_自动清单!$AC$4:$AC$2403,0),"")</f>
      </c>
      <c r="AL185" s="2">
        <f>IF($D185="","",$D185)</f>
      </c>
      <c r="AM185" s="2">
        <f>IF(AL185="",0,IF(MATCH(AL185,AL$129:AL$208,0)=57,1,0))</f>
        <v>0</v>
      </c>
      <c r="AN185" s="2">
        <f>N(AN184)+AM185</f>
        <v>0</v>
      </c>
    </row>
    <row r="186" ht="18" customHeight="1" s="127">
      <c r="A186" s="165">
        <f>IF($AF186="","",IF($AF186&lt;=1200,IF(INDEX(对接源_01水果!$B$4:$B$1203,$AF186)=0,"",INDEX(对接源_01水果!$B$4:$B$1203,$AF186)),IF(INDEX(对接源_02物料!$B$4:$B$1203,$AF186-1200)=0,"",INDEX(对接源_02物料!$B$4:$B$1203,$AF186-1200))))</f>
      </c>
      <c r="B186" s="104">
        <f>IF($AF186="","",IF($AF186&lt;=1200,IF(INDEX(对接源_01水果!$E$4:$E$1203,$AF186)=0,"",INDEX(对接源_01水果!$E$4:$E$1203,$AF186)),IF(INDEX(对接源_02物料!$E$4:$E$1203,$AF186-1200)=0,"",INDEX(对接源_02物料!$E$4:$E$1203,$AF186-1200))))</f>
      </c>
      <c r="C186" s="104">
        <f>IF($AF186="","",IF($AF186&lt;=1200,IF(INDEX(对接源_01水果!$F$4:$F$1203,$AF186)=0,"",INDEX(对接源_01水果!$F$4:$F$1203,$AF186)),IF(INDEX(对接源_02物料!$F$4:$F$1203,$AF186-1200)=0,"",INDEX(对接源_02物料!$F$4:$F$1203,$AF186-1200))))</f>
      </c>
      <c r="D186" s="104">
        <f>IF($AF186="","",IF($AF186&lt;=1200,IF(INDEX(对接源_01水果!$G$4:$G$1203,$AF186)=0,"",INDEX(对接源_01水果!$G$4:$G$1203,$AF186)),IF(INDEX(对接源_02物料!$G$4:$G$1203,$AF186-1200)=0,"",INDEX(对接源_02物料!$G$4:$G$1203,$AF186-1200))))</f>
      </c>
      <c r="E186" s="166">
        <f>IF($AF186="","",IF($AF186&lt;=1200,IF(INDEX(对接源_01水果!$H$4:$H$1203,$AF186)=0,"",INDEX(对接源_01水果!$H$4:$H$1203,$AF186)),IF(INDEX(对接源_02物料!$H$4:$H$1203,$AF186-1200)=0,"",INDEX(对接源_02物料!$H$4:$H$1203,$AF186-1200))))</f>
      </c>
      <c r="F186" s="104">
        <f>IF($AF186="","",IF($AF186&lt;=1200,IF(INDEX(对接源_01水果!$I$4:$I$1203,$AF186)=0,"",INDEX(对接源_01水果!$I$4:$I$1203,$AF186)),IF(INDEX(对接源_02物料!$I$4:$I$1203,$AF186-1200)=0,"",INDEX(对接源_02物料!$I$4:$I$1203,$AF186-1200))))</f>
      </c>
      <c r="G186" s="175">
        <f>IF($AF186="","",IF($AF186&lt;=1200,IF(INDEX(对接源_01水果!$J$4:$J$1203,$AF186)=0,"",INDEX(对接源_01水果!$J$4:$J$1203,$AF186)),IF(INDEX(对接源_02物料!$J$4:$J$1203,$AF186-1200)=0,"",INDEX(对接源_02物料!$J$4:$J$1203,$AF186-1200))))</f>
      </c>
      <c r="H186" s="104">
        <f>IF($AF186="","",IF($AF186&lt;=1200,IF(INDEX(对接源_01水果!$W$4:$W$1203,$AF186)=0,"",INDEX(对接源_01水果!$W$4:$W$1203,$AF186)),IF(INDEX(对接源_02物料!$W$4:$W$1203,$AF186-1200)=0,"",INDEX(对接源_02物料!$W$4:$W$1203,$AF186-1200))))</f>
      </c>
      <c r="I186" s="104">
        <f>IF($AF186="","",IF($AF186&lt;=1200,IF(INDEX(对接源_01水果!$D$4:$D$1203,$AF186)=0,"",INDEX(对接源_01水果!$D$4:$D$1203,$AF186)),IF(INDEX(对接源_02物料!$D$4:$D$1203,$AF186-1200)=0,"",INDEX(对接源_02物料!$D$4:$D$1203,$AF186-1200))))</f>
      </c>
      <c r="J186" s="107">
        <f>IF($AF186="","",IF($AF186&lt;=1200,IF(INDEX(对接源_01水果!$M$4:$M$1203,$AF186)=0,"",INDEX(对接源_01水果!$M$4:$M$1203,$AF186)),IF(INDEX(对接源_02物料!$M$4:$M$1203,$AF186-1200)=0,"",INDEX(对接源_02物料!$M$4:$M$1203,$AF186-1200))))</f>
      </c>
      <c r="AF186" s="2">
        <f>IFERROR(MATCH(58,_自动清单!$AC$4:$AC$2403,0),"")</f>
      </c>
      <c r="AL186" s="2">
        <f>IF($D186="","",$D186)</f>
      </c>
      <c r="AM186" s="2">
        <f>IF(AL186="",0,IF(MATCH(AL186,AL$129:AL$208,0)=58,1,0))</f>
        <v>0</v>
      </c>
      <c r="AN186" s="2">
        <f>N(AN185)+AM186</f>
        <v>0</v>
      </c>
    </row>
    <row r="187" ht="18" customHeight="1" s="127">
      <c r="A187" s="163">
        <f>IF($AF187="","",IF($AF187&lt;=1200,IF(INDEX(对接源_01水果!$B$4:$B$1203,$AF187)=0,"",INDEX(对接源_01水果!$B$4:$B$1203,$AF187)),IF(INDEX(对接源_02物料!$B$4:$B$1203,$AF187-1200)=0,"",INDEX(对接源_02物料!$B$4:$B$1203,$AF187-1200))))</f>
      </c>
      <c r="B187" s="61">
        <f>IF($AF187="","",IF($AF187&lt;=1200,IF(INDEX(对接源_01水果!$E$4:$E$1203,$AF187)=0,"",INDEX(对接源_01水果!$E$4:$E$1203,$AF187)),IF(INDEX(对接源_02物料!$E$4:$E$1203,$AF187-1200)=0,"",INDEX(对接源_02物料!$E$4:$E$1203,$AF187-1200))))</f>
      </c>
      <c r="C187" s="61">
        <f>IF($AF187="","",IF($AF187&lt;=1200,IF(INDEX(对接源_01水果!$F$4:$F$1203,$AF187)=0,"",INDEX(对接源_01水果!$F$4:$F$1203,$AF187)),IF(INDEX(对接源_02物料!$F$4:$F$1203,$AF187-1200)=0,"",INDEX(对接源_02物料!$F$4:$F$1203,$AF187-1200))))</f>
      </c>
      <c r="D187" s="61">
        <f>IF($AF187="","",IF($AF187&lt;=1200,IF(INDEX(对接源_01水果!$G$4:$G$1203,$AF187)=0,"",INDEX(对接源_01水果!$G$4:$G$1203,$AF187)),IF(INDEX(对接源_02物料!$G$4:$G$1203,$AF187-1200)=0,"",INDEX(对接源_02物料!$G$4:$G$1203,$AF187-1200))))</f>
      </c>
      <c r="E187" s="164">
        <f>IF($AF187="","",IF($AF187&lt;=1200,IF(INDEX(对接源_01水果!$H$4:$H$1203,$AF187)=0,"",INDEX(对接源_01水果!$H$4:$H$1203,$AF187)),IF(INDEX(对接源_02物料!$H$4:$H$1203,$AF187-1200)=0,"",INDEX(对接源_02物料!$H$4:$H$1203,$AF187-1200))))</f>
      </c>
      <c r="F187" s="61">
        <f>IF($AF187="","",IF($AF187&lt;=1200,IF(INDEX(对接源_01水果!$I$4:$I$1203,$AF187)=0,"",INDEX(对接源_01水果!$I$4:$I$1203,$AF187)),IF(INDEX(对接源_02物料!$I$4:$I$1203,$AF187-1200)=0,"",INDEX(对接源_02物料!$I$4:$I$1203,$AF187-1200))))</f>
      </c>
      <c r="G187" s="173">
        <f>IF($AF187="","",IF($AF187&lt;=1200,IF(INDEX(对接源_01水果!$J$4:$J$1203,$AF187)=0,"",INDEX(对接源_01水果!$J$4:$J$1203,$AF187)),IF(INDEX(对接源_02物料!$J$4:$J$1203,$AF187-1200)=0,"",INDEX(对接源_02物料!$J$4:$J$1203,$AF187-1200))))</f>
      </c>
      <c r="H187" s="61">
        <f>IF($AF187="","",IF($AF187&lt;=1200,IF(INDEX(对接源_01水果!$W$4:$W$1203,$AF187)=0,"",INDEX(对接源_01水果!$W$4:$W$1203,$AF187)),IF(INDEX(对接源_02物料!$W$4:$W$1203,$AF187-1200)=0,"",INDEX(对接源_02物料!$W$4:$W$1203,$AF187-1200))))</f>
      </c>
      <c r="I187" s="61">
        <f>IF($AF187="","",IF($AF187&lt;=1200,IF(INDEX(对接源_01水果!$D$4:$D$1203,$AF187)=0,"",INDEX(对接源_01水果!$D$4:$D$1203,$AF187)),IF(INDEX(对接源_02物料!$D$4:$D$1203,$AF187-1200)=0,"",INDEX(对接源_02物料!$D$4:$D$1203,$AF187-1200))))</f>
      </c>
      <c r="J187" s="64">
        <f>IF($AF187="","",IF($AF187&lt;=1200,IF(INDEX(对接源_01水果!$M$4:$M$1203,$AF187)=0,"",INDEX(对接源_01水果!$M$4:$M$1203,$AF187)),IF(INDEX(对接源_02物料!$M$4:$M$1203,$AF187-1200)=0,"",INDEX(对接源_02物料!$M$4:$M$1203,$AF187-1200))))</f>
      </c>
      <c r="AF187" s="2">
        <f>IFERROR(MATCH(59,_自动清单!$AC$4:$AC$2403,0),"")</f>
      </c>
      <c r="AL187" s="2">
        <f>IF($D187="","",$D187)</f>
      </c>
      <c r="AM187" s="2">
        <f>IF(AL187="",0,IF(MATCH(AL187,AL$129:AL$208,0)=59,1,0))</f>
        <v>0</v>
      </c>
      <c r="AN187" s="2">
        <f>N(AN186)+AM187</f>
        <v>0</v>
      </c>
    </row>
    <row r="188" ht="18" customHeight="1" s="127">
      <c r="A188" s="165">
        <f>IF($AF188="","",IF($AF188&lt;=1200,IF(INDEX(对接源_01水果!$B$4:$B$1203,$AF188)=0,"",INDEX(对接源_01水果!$B$4:$B$1203,$AF188)),IF(INDEX(对接源_02物料!$B$4:$B$1203,$AF188-1200)=0,"",INDEX(对接源_02物料!$B$4:$B$1203,$AF188-1200))))</f>
      </c>
      <c r="B188" s="104">
        <f>IF($AF188="","",IF($AF188&lt;=1200,IF(INDEX(对接源_01水果!$E$4:$E$1203,$AF188)=0,"",INDEX(对接源_01水果!$E$4:$E$1203,$AF188)),IF(INDEX(对接源_02物料!$E$4:$E$1203,$AF188-1200)=0,"",INDEX(对接源_02物料!$E$4:$E$1203,$AF188-1200))))</f>
      </c>
      <c r="C188" s="104">
        <f>IF($AF188="","",IF($AF188&lt;=1200,IF(INDEX(对接源_01水果!$F$4:$F$1203,$AF188)=0,"",INDEX(对接源_01水果!$F$4:$F$1203,$AF188)),IF(INDEX(对接源_02物料!$F$4:$F$1203,$AF188-1200)=0,"",INDEX(对接源_02物料!$F$4:$F$1203,$AF188-1200))))</f>
      </c>
      <c r="D188" s="104">
        <f>IF($AF188="","",IF($AF188&lt;=1200,IF(INDEX(对接源_01水果!$G$4:$G$1203,$AF188)=0,"",INDEX(对接源_01水果!$G$4:$G$1203,$AF188)),IF(INDEX(对接源_02物料!$G$4:$G$1203,$AF188-1200)=0,"",INDEX(对接源_02物料!$G$4:$G$1203,$AF188-1200))))</f>
      </c>
      <c r="E188" s="166">
        <f>IF($AF188="","",IF($AF188&lt;=1200,IF(INDEX(对接源_01水果!$H$4:$H$1203,$AF188)=0,"",INDEX(对接源_01水果!$H$4:$H$1203,$AF188)),IF(INDEX(对接源_02物料!$H$4:$H$1203,$AF188-1200)=0,"",INDEX(对接源_02物料!$H$4:$H$1203,$AF188-1200))))</f>
      </c>
      <c r="F188" s="104">
        <f>IF($AF188="","",IF($AF188&lt;=1200,IF(INDEX(对接源_01水果!$I$4:$I$1203,$AF188)=0,"",INDEX(对接源_01水果!$I$4:$I$1203,$AF188)),IF(INDEX(对接源_02物料!$I$4:$I$1203,$AF188-1200)=0,"",INDEX(对接源_02物料!$I$4:$I$1203,$AF188-1200))))</f>
      </c>
      <c r="G188" s="175">
        <f>IF($AF188="","",IF($AF188&lt;=1200,IF(INDEX(对接源_01水果!$J$4:$J$1203,$AF188)=0,"",INDEX(对接源_01水果!$J$4:$J$1203,$AF188)),IF(INDEX(对接源_02物料!$J$4:$J$1203,$AF188-1200)=0,"",INDEX(对接源_02物料!$J$4:$J$1203,$AF188-1200))))</f>
      </c>
      <c r="H188" s="104">
        <f>IF($AF188="","",IF($AF188&lt;=1200,IF(INDEX(对接源_01水果!$W$4:$W$1203,$AF188)=0,"",INDEX(对接源_01水果!$W$4:$W$1203,$AF188)),IF(INDEX(对接源_02物料!$W$4:$W$1203,$AF188-1200)=0,"",INDEX(对接源_02物料!$W$4:$W$1203,$AF188-1200))))</f>
      </c>
      <c r="I188" s="104">
        <f>IF($AF188="","",IF($AF188&lt;=1200,IF(INDEX(对接源_01水果!$D$4:$D$1203,$AF188)=0,"",INDEX(对接源_01水果!$D$4:$D$1203,$AF188)),IF(INDEX(对接源_02物料!$D$4:$D$1203,$AF188-1200)=0,"",INDEX(对接源_02物料!$D$4:$D$1203,$AF188-1200))))</f>
      </c>
      <c r="J188" s="107">
        <f>IF($AF188="","",IF($AF188&lt;=1200,IF(INDEX(对接源_01水果!$M$4:$M$1203,$AF188)=0,"",INDEX(对接源_01水果!$M$4:$M$1203,$AF188)),IF(INDEX(对接源_02物料!$M$4:$M$1203,$AF188-1200)=0,"",INDEX(对接源_02物料!$M$4:$M$1203,$AF188-1200))))</f>
      </c>
      <c r="AF188" s="2">
        <f>IFERROR(MATCH(60,_自动清单!$AC$4:$AC$2403,0),"")</f>
      </c>
      <c r="AL188" s="2">
        <f>IF($D188="","",$D188)</f>
      </c>
      <c r="AM188" s="2">
        <f>IF(AL188="",0,IF(MATCH(AL188,AL$129:AL$208,0)=60,1,0))</f>
        <v>0</v>
      </c>
      <c r="AN188" s="2">
        <f>N(AN187)+AM188</f>
        <v>0</v>
      </c>
    </row>
    <row r="189" ht="18" customHeight="1" s="127">
      <c r="A189" s="163">
        <f>IF($AF189="","",IF($AF189&lt;=1200,IF(INDEX(对接源_01水果!$B$4:$B$1203,$AF189)=0,"",INDEX(对接源_01水果!$B$4:$B$1203,$AF189)),IF(INDEX(对接源_02物料!$B$4:$B$1203,$AF189-1200)=0,"",INDEX(对接源_02物料!$B$4:$B$1203,$AF189-1200))))</f>
      </c>
      <c r="B189" s="61">
        <f>IF($AF189="","",IF($AF189&lt;=1200,IF(INDEX(对接源_01水果!$E$4:$E$1203,$AF189)=0,"",INDEX(对接源_01水果!$E$4:$E$1203,$AF189)),IF(INDEX(对接源_02物料!$E$4:$E$1203,$AF189-1200)=0,"",INDEX(对接源_02物料!$E$4:$E$1203,$AF189-1200))))</f>
      </c>
      <c r="C189" s="61">
        <f>IF($AF189="","",IF($AF189&lt;=1200,IF(INDEX(对接源_01水果!$F$4:$F$1203,$AF189)=0,"",INDEX(对接源_01水果!$F$4:$F$1203,$AF189)),IF(INDEX(对接源_02物料!$F$4:$F$1203,$AF189-1200)=0,"",INDEX(对接源_02物料!$F$4:$F$1203,$AF189-1200))))</f>
      </c>
      <c r="D189" s="61">
        <f>IF($AF189="","",IF($AF189&lt;=1200,IF(INDEX(对接源_01水果!$G$4:$G$1203,$AF189)=0,"",INDEX(对接源_01水果!$G$4:$G$1203,$AF189)),IF(INDEX(对接源_02物料!$G$4:$G$1203,$AF189-1200)=0,"",INDEX(对接源_02物料!$G$4:$G$1203,$AF189-1200))))</f>
      </c>
      <c r="E189" s="164">
        <f>IF($AF189="","",IF($AF189&lt;=1200,IF(INDEX(对接源_01水果!$H$4:$H$1203,$AF189)=0,"",INDEX(对接源_01水果!$H$4:$H$1203,$AF189)),IF(INDEX(对接源_02物料!$H$4:$H$1203,$AF189-1200)=0,"",INDEX(对接源_02物料!$H$4:$H$1203,$AF189-1200))))</f>
      </c>
      <c r="F189" s="61">
        <f>IF($AF189="","",IF($AF189&lt;=1200,IF(INDEX(对接源_01水果!$I$4:$I$1203,$AF189)=0,"",INDEX(对接源_01水果!$I$4:$I$1203,$AF189)),IF(INDEX(对接源_02物料!$I$4:$I$1203,$AF189-1200)=0,"",INDEX(对接源_02物料!$I$4:$I$1203,$AF189-1200))))</f>
      </c>
      <c r="G189" s="173">
        <f>IF($AF189="","",IF($AF189&lt;=1200,IF(INDEX(对接源_01水果!$J$4:$J$1203,$AF189)=0,"",INDEX(对接源_01水果!$J$4:$J$1203,$AF189)),IF(INDEX(对接源_02物料!$J$4:$J$1203,$AF189-1200)=0,"",INDEX(对接源_02物料!$J$4:$J$1203,$AF189-1200))))</f>
      </c>
      <c r="H189" s="61">
        <f>IF($AF189="","",IF($AF189&lt;=1200,IF(INDEX(对接源_01水果!$W$4:$W$1203,$AF189)=0,"",INDEX(对接源_01水果!$W$4:$W$1203,$AF189)),IF(INDEX(对接源_02物料!$W$4:$W$1203,$AF189-1200)=0,"",INDEX(对接源_02物料!$W$4:$W$1203,$AF189-1200))))</f>
      </c>
      <c r="I189" s="61">
        <f>IF($AF189="","",IF($AF189&lt;=1200,IF(INDEX(对接源_01水果!$D$4:$D$1203,$AF189)=0,"",INDEX(对接源_01水果!$D$4:$D$1203,$AF189)),IF(INDEX(对接源_02物料!$D$4:$D$1203,$AF189-1200)=0,"",INDEX(对接源_02物料!$D$4:$D$1203,$AF189-1200))))</f>
      </c>
      <c r="J189" s="64">
        <f>IF($AF189="","",IF($AF189&lt;=1200,IF(INDEX(对接源_01水果!$M$4:$M$1203,$AF189)=0,"",INDEX(对接源_01水果!$M$4:$M$1203,$AF189)),IF(INDEX(对接源_02物料!$M$4:$M$1203,$AF189-1200)=0,"",INDEX(对接源_02物料!$M$4:$M$1203,$AF189-1200))))</f>
      </c>
      <c r="AF189" s="2">
        <f>IFERROR(MATCH(61,_自动清单!$AC$4:$AC$2403,0),"")</f>
      </c>
      <c r="AL189" s="2">
        <f>IF($D189="","",$D189)</f>
      </c>
      <c r="AM189" s="2">
        <f>IF(AL189="",0,IF(MATCH(AL189,AL$129:AL$208,0)=61,1,0))</f>
        <v>0</v>
      </c>
      <c r="AN189" s="2">
        <f>N(AN188)+AM189</f>
        <v>0</v>
      </c>
    </row>
    <row r="190" ht="18" customHeight="1" s="127">
      <c r="A190" s="165">
        <f>IF($AF190="","",IF($AF190&lt;=1200,IF(INDEX(对接源_01水果!$B$4:$B$1203,$AF190)=0,"",INDEX(对接源_01水果!$B$4:$B$1203,$AF190)),IF(INDEX(对接源_02物料!$B$4:$B$1203,$AF190-1200)=0,"",INDEX(对接源_02物料!$B$4:$B$1203,$AF190-1200))))</f>
      </c>
      <c r="B190" s="104">
        <f>IF($AF190="","",IF($AF190&lt;=1200,IF(INDEX(对接源_01水果!$E$4:$E$1203,$AF190)=0,"",INDEX(对接源_01水果!$E$4:$E$1203,$AF190)),IF(INDEX(对接源_02物料!$E$4:$E$1203,$AF190-1200)=0,"",INDEX(对接源_02物料!$E$4:$E$1203,$AF190-1200))))</f>
      </c>
      <c r="C190" s="104">
        <f>IF($AF190="","",IF($AF190&lt;=1200,IF(INDEX(对接源_01水果!$F$4:$F$1203,$AF190)=0,"",INDEX(对接源_01水果!$F$4:$F$1203,$AF190)),IF(INDEX(对接源_02物料!$F$4:$F$1203,$AF190-1200)=0,"",INDEX(对接源_02物料!$F$4:$F$1203,$AF190-1200))))</f>
      </c>
      <c r="D190" s="104">
        <f>IF($AF190="","",IF($AF190&lt;=1200,IF(INDEX(对接源_01水果!$G$4:$G$1203,$AF190)=0,"",INDEX(对接源_01水果!$G$4:$G$1203,$AF190)),IF(INDEX(对接源_02物料!$G$4:$G$1203,$AF190-1200)=0,"",INDEX(对接源_02物料!$G$4:$G$1203,$AF190-1200))))</f>
      </c>
      <c r="E190" s="166">
        <f>IF($AF190="","",IF($AF190&lt;=1200,IF(INDEX(对接源_01水果!$H$4:$H$1203,$AF190)=0,"",INDEX(对接源_01水果!$H$4:$H$1203,$AF190)),IF(INDEX(对接源_02物料!$H$4:$H$1203,$AF190-1200)=0,"",INDEX(对接源_02物料!$H$4:$H$1203,$AF190-1200))))</f>
      </c>
      <c r="F190" s="104">
        <f>IF($AF190="","",IF($AF190&lt;=1200,IF(INDEX(对接源_01水果!$I$4:$I$1203,$AF190)=0,"",INDEX(对接源_01水果!$I$4:$I$1203,$AF190)),IF(INDEX(对接源_02物料!$I$4:$I$1203,$AF190-1200)=0,"",INDEX(对接源_02物料!$I$4:$I$1203,$AF190-1200))))</f>
      </c>
      <c r="G190" s="175">
        <f>IF($AF190="","",IF($AF190&lt;=1200,IF(INDEX(对接源_01水果!$J$4:$J$1203,$AF190)=0,"",INDEX(对接源_01水果!$J$4:$J$1203,$AF190)),IF(INDEX(对接源_02物料!$J$4:$J$1203,$AF190-1200)=0,"",INDEX(对接源_02物料!$J$4:$J$1203,$AF190-1200))))</f>
      </c>
      <c r="H190" s="104">
        <f>IF($AF190="","",IF($AF190&lt;=1200,IF(INDEX(对接源_01水果!$W$4:$W$1203,$AF190)=0,"",INDEX(对接源_01水果!$W$4:$W$1203,$AF190)),IF(INDEX(对接源_02物料!$W$4:$W$1203,$AF190-1200)=0,"",INDEX(对接源_02物料!$W$4:$W$1203,$AF190-1200))))</f>
      </c>
      <c r="I190" s="104">
        <f>IF($AF190="","",IF($AF190&lt;=1200,IF(INDEX(对接源_01水果!$D$4:$D$1203,$AF190)=0,"",INDEX(对接源_01水果!$D$4:$D$1203,$AF190)),IF(INDEX(对接源_02物料!$D$4:$D$1203,$AF190-1200)=0,"",INDEX(对接源_02物料!$D$4:$D$1203,$AF190-1200))))</f>
      </c>
      <c r="J190" s="107">
        <f>IF($AF190="","",IF($AF190&lt;=1200,IF(INDEX(对接源_01水果!$M$4:$M$1203,$AF190)=0,"",INDEX(对接源_01水果!$M$4:$M$1203,$AF190)),IF(INDEX(对接源_02物料!$M$4:$M$1203,$AF190-1200)=0,"",INDEX(对接源_02物料!$M$4:$M$1203,$AF190-1200))))</f>
      </c>
      <c r="AF190" s="2">
        <f>IFERROR(MATCH(62,_自动清单!$AC$4:$AC$2403,0),"")</f>
      </c>
      <c r="AL190" s="2">
        <f>IF($D190="","",$D190)</f>
      </c>
      <c r="AM190" s="2">
        <f>IF(AL190="",0,IF(MATCH(AL190,AL$129:AL$208,0)=62,1,0))</f>
        <v>0</v>
      </c>
      <c r="AN190" s="2">
        <f>N(AN189)+AM190</f>
        <v>0</v>
      </c>
    </row>
    <row r="191" ht="18" customHeight="1" s="127">
      <c r="A191" s="163">
        <f>IF($AF191="","",IF($AF191&lt;=1200,IF(INDEX(对接源_01水果!$B$4:$B$1203,$AF191)=0,"",INDEX(对接源_01水果!$B$4:$B$1203,$AF191)),IF(INDEX(对接源_02物料!$B$4:$B$1203,$AF191-1200)=0,"",INDEX(对接源_02物料!$B$4:$B$1203,$AF191-1200))))</f>
      </c>
      <c r="B191" s="61">
        <f>IF($AF191="","",IF($AF191&lt;=1200,IF(INDEX(对接源_01水果!$E$4:$E$1203,$AF191)=0,"",INDEX(对接源_01水果!$E$4:$E$1203,$AF191)),IF(INDEX(对接源_02物料!$E$4:$E$1203,$AF191-1200)=0,"",INDEX(对接源_02物料!$E$4:$E$1203,$AF191-1200))))</f>
      </c>
      <c r="C191" s="61">
        <f>IF($AF191="","",IF($AF191&lt;=1200,IF(INDEX(对接源_01水果!$F$4:$F$1203,$AF191)=0,"",INDEX(对接源_01水果!$F$4:$F$1203,$AF191)),IF(INDEX(对接源_02物料!$F$4:$F$1203,$AF191-1200)=0,"",INDEX(对接源_02物料!$F$4:$F$1203,$AF191-1200))))</f>
      </c>
      <c r="D191" s="61">
        <f>IF($AF191="","",IF($AF191&lt;=1200,IF(INDEX(对接源_01水果!$G$4:$G$1203,$AF191)=0,"",INDEX(对接源_01水果!$G$4:$G$1203,$AF191)),IF(INDEX(对接源_02物料!$G$4:$G$1203,$AF191-1200)=0,"",INDEX(对接源_02物料!$G$4:$G$1203,$AF191-1200))))</f>
      </c>
      <c r="E191" s="164">
        <f>IF($AF191="","",IF($AF191&lt;=1200,IF(INDEX(对接源_01水果!$H$4:$H$1203,$AF191)=0,"",INDEX(对接源_01水果!$H$4:$H$1203,$AF191)),IF(INDEX(对接源_02物料!$H$4:$H$1203,$AF191-1200)=0,"",INDEX(对接源_02物料!$H$4:$H$1203,$AF191-1200))))</f>
      </c>
      <c r="F191" s="61">
        <f>IF($AF191="","",IF($AF191&lt;=1200,IF(INDEX(对接源_01水果!$I$4:$I$1203,$AF191)=0,"",INDEX(对接源_01水果!$I$4:$I$1203,$AF191)),IF(INDEX(对接源_02物料!$I$4:$I$1203,$AF191-1200)=0,"",INDEX(对接源_02物料!$I$4:$I$1203,$AF191-1200))))</f>
      </c>
      <c r="G191" s="173">
        <f>IF($AF191="","",IF($AF191&lt;=1200,IF(INDEX(对接源_01水果!$J$4:$J$1203,$AF191)=0,"",INDEX(对接源_01水果!$J$4:$J$1203,$AF191)),IF(INDEX(对接源_02物料!$J$4:$J$1203,$AF191-1200)=0,"",INDEX(对接源_02物料!$J$4:$J$1203,$AF191-1200))))</f>
      </c>
      <c r="H191" s="61">
        <f>IF($AF191="","",IF($AF191&lt;=1200,IF(INDEX(对接源_01水果!$W$4:$W$1203,$AF191)=0,"",INDEX(对接源_01水果!$W$4:$W$1203,$AF191)),IF(INDEX(对接源_02物料!$W$4:$W$1203,$AF191-1200)=0,"",INDEX(对接源_02物料!$W$4:$W$1203,$AF191-1200))))</f>
      </c>
      <c r="I191" s="61">
        <f>IF($AF191="","",IF($AF191&lt;=1200,IF(INDEX(对接源_01水果!$D$4:$D$1203,$AF191)=0,"",INDEX(对接源_01水果!$D$4:$D$1203,$AF191)),IF(INDEX(对接源_02物料!$D$4:$D$1203,$AF191-1200)=0,"",INDEX(对接源_02物料!$D$4:$D$1203,$AF191-1200))))</f>
      </c>
      <c r="J191" s="64">
        <f>IF($AF191="","",IF($AF191&lt;=1200,IF(INDEX(对接源_01水果!$M$4:$M$1203,$AF191)=0,"",INDEX(对接源_01水果!$M$4:$M$1203,$AF191)),IF(INDEX(对接源_02物料!$M$4:$M$1203,$AF191-1200)=0,"",INDEX(对接源_02物料!$M$4:$M$1203,$AF191-1200))))</f>
      </c>
      <c r="AF191" s="2">
        <f>IFERROR(MATCH(63,_自动清单!$AC$4:$AC$2403,0),"")</f>
      </c>
      <c r="AL191" s="2">
        <f>IF($D191="","",$D191)</f>
      </c>
      <c r="AM191" s="2">
        <f>IF(AL191="",0,IF(MATCH(AL191,AL$129:AL$208,0)=63,1,0))</f>
        <v>0</v>
      </c>
      <c r="AN191" s="2">
        <f>N(AN190)+AM191</f>
        <v>0</v>
      </c>
    </row>
    <row r="192" ht="18" customHeight="1" s="127">
      <c r="A192" s="165">
        <f>IF($AF192="","",IF($AF192&lt;=1200,IF(INDEX(对接源_01水果!$B$4:$B$1203,$AF192)=0,"",INDEX(对接源_01水果!$B$4:$B$1203,$AF192)),IF(INDEX(对接源_02物料!$B$4:$B$1203,$AF192-1200)=0,"",INDEX(对接源_02物料!$B$4:$B$1203,$AF192-1200))))</f>
      </c>
      <c r="B192" s="104">
        <f>IF($AF192="","",IF($AF192&lt;=1200,IF(INDEX(对接源_01水果!$E$4:$E$1203,$AF192)=0,"",INDEX(对接源_01水果!$E$4:$E$1203,$AF192)),IF(INDEX(对接源_02物料!$E$4:$E$1203,$AF192-1200)=0,"",INDEX(对接源_02物料!$E$4:$E$1203,$AF192-1200))))</f>
      </c>
      <c r="C192" s="104">
        <f>IF($AF192="","",IF($AF192&lt;=1200,IF(INDEX(对接源_01水果!$F$4:$F$1203,$AF192)=0,"",INDEX(对接源_01水果!$F$4:$F$1203,$AF192)),IF(INDEX(对接源_02物料!$F$4:$F$1203,$AF192-1200)=0,"",INDEX(对接源_02物料!$F$4:$F$1203,$AF192-1200))))</f>
      </c>
      <c r="D192" s="104">
        <f>IF($AF192="","",IF($AF192&lt;=1200,IF(INDEX(对接源_01水果!$G$4:$G$1203,$AF192)=0,"",INDEX(对接源_01水果!$G$4:$G$1203,$AF192)),IF(INDEX(对接源_02物料!$G$4:$G$1203,$AF192-1200)=0,"",INDEX(对接源_02物料!$G$4:$G$1203,$AF192-1200))))</f>
      </c>
      <c r="E192" s="166">
        <f>IF($AF192="","",IF($AF192&lt;=1200,IF(INDEX(对接源_01水果!$H$4:$H$1203,$AF192)=0,"",INDEX(对接源_01水果!$H$4:$H$1203,$AF192)),IF(INDEX(对接源_02物料!$H$4:$H$1203,$AF192-1200)=0,"",INDEX(对接源_02物料!$H$4:$H$1203,$AF192-1200))))</f>
      </c>
      <c r="F192" s="104">
        <f>IF($AF192="","",IF($AF192&lt;=1200,IF(INDEX(对接源_01水果!$I$4:$I$1203,$AF192)=0,"",INDEX(对接源_01水果!$I$4:$I$1203,$AF192)),IF(INDEX(对接源_02物料!$I$4:$I$1203,$AF192-1200)=0,"",INDEX(对接源_02物料!$I$4:$I$1203,$AF192-1200))))</f>
      </c>
      <c r="G192" s="175">
        <f>IF($AF192="","",IF($AF192&lt;=1200,IF(INDEX(对接源_01水果!$J$4:$J$1203,$AF192)=0,"",INDEX(对接源_01水果!$J$4:$J$1203,$AF192)),IF(INDEX(对接源_02物料!$J$4:$J$1203,$AF192-1200)=0,"",INDEX(对接源_02物料!$J$4:$J$1203,$AF192-1200))))</f>
      </c>
      <c r="H192" s="104">
        <f>IF($AF192="","",IF($AF192&lt;=1200,IF(INDEX(对接源_01水果!$W$4:$W$1203,$AF192)=0,"",INDEX(对接源_01水果!$W$4:$W$1203,$AF192)),IF(INDEX(对接源_02物料!$W$4:$W$1203,$AF192-1200)=0,"",INDEX(对接源_02物料!$W$4:$W$1203,$AF192-1200))))</f>
      </c>
      <c r="I192" s="104">
        <f>IF($AF192="","",IF($AF192&lt;=1200,IF(INDEX(对接源_01水果!$D$4:$D$1203,$AF192)=0,"",INDEX(对接源_01水果!$D$4:$D$1203,$AF192)),IF(INDEX(对接源_02物料!$D$4:$D$1203,$AF192-1200)=0,"",INDEX(对接源_02物料!$D$4:$D$1203,$AF192-1200))))</f>
      </c>
      <c r="J192" s="107">
        <f>IF($AF192="","",IF($AF192&lt;=1200,IF(INDEX(对接源_01水果!$M$4:$M$1203,$AF192)=0,"",INDEX(对接源_01水果!$M$4:$M$1203,$AF192)),IF(INDEX(对接源_02物料!$M$4:$M$1203,$AF192-1200)=0,"",INDEX(对接源_02物料!$M$4:$M$1203,$AF192-1200))))</f>
      </c>
      <c r="AF192" s="2">
        <f>IFERROR(MATCH(64,_自动清单!$AC$4:$AC$2403,0),"")</f>
      </c>
      <c r="AL192" s="2">
        <f>IF($D192="","",$D192)</f>
      </c>
      <c r="AM192" s="2">
        <f>IF(AL192="",0,IF(MATCH(AL192,AL$129:AL$208,0)=64,1,0))</f>
        <v>0</v>
      </c>
      <c r="AN192" s="2">
        <f>N(AN191)+AM192</f>
        <v>0</v>
      </c>
    </row>
    <row r="193" ht="18" customHeight="1" s="127">
      <c r="A193" s="163">
        <f>IF($AF193="","",IF($AF193&lt;=1200,IF(INDEX(对接源_01水果!$B$4:$B$1203,$AF193)=0,"",INDEX(对接源_01水果!$B$4:$B$1203,$AF193)),IF(INDEX(对接源_02物料!$B$4:$B$1203,$AF193-1200)=0,"",INDEX(对接源_02物料!$B$4:$B$1203,$AF193-1200))))</f>
      </c>
      <c r="B193" s="61">
        <f>IF($AF193="","",IF($AF193&lt;=1200,IF(INDEX(对接源_01水果!$E$4:$E$1203,$AF193)=0,"",INDEX(对接源_01水果!$E$4:$E$1203,$AF193)),IF(INDEX(对接源_02物料!$E$4:$E$1203,$AF193-1200)=0,"",INDEX(对接源_02物料!$E$4:$E$1203,$AF193-1200))))</f>
      </c>
      <c r="C193" s="61">
        <f>IF($AF193="","",IF($AF193&lt;=1200,IF(INDEX(对接源_01水果!$F$4:$F$1203,$AF193)=0,"",INDEX(对接源_01水果!$F$4:$F$1203,$AF193)),IF(INDEX(对接源_02物料!$F$4:$F$1203,$AF193-1200)=0,"",INDEX(对接源_02物料!$F$4:$F$1203,$AF193-1200))))</f>
      </c>
      <c r="D193" s="61">
        <f>IF($AF193="","",IF($AF193&lt;=1200,IF(INDEX(对接源_01水果!$G$4:$G$1203,$AF193)=0,"",INDEX(对接源_01水果!$G$4:$G$1203,$AF193)),IF(INDEX(对接源_02物料!$G$4:$G$1203,$AF193-1200)=0,"",INDEX(对接源_02物料!$G$4:$G$1203,$AF193-1200))))</f>
      </c>
      <c r="E193" s="164">
        <f>IF($AF193="","",IF($AF193&lt;=1200,IF(INDEX(对接源_01水果!$H$4:$H$1203,$AF193)=0,"",INDEX(对接源_01水果!$H$4:$H$1203,$AF193)),IF(INDEX(对接源_02物料!$H$4:$H$1203,$AF193-1200)=0,"",INDEX(对接源_02物料!$H$4:$H$1203,$AF193-1200))))</f>
      </c>
      <c r="F193" s="61">
        <f>IF($AF193="","",IF($AF193&lt;=1200,IF(INDEX(对接源_01水果!$I$4:$I$1203,$AF193)=0,"",INDEX(对接源_01水果!$I$4:$I$1203,$AF193)),IF(INDEX(对接源_02物料!$I$4:$I$1203,$AF193-1200)=0,"",INDEX(对接源_02物料!$I$4:$I$1203,$AF193-1200))))</f>
      </c>
      <c r="G193" s="173">
        <f>IF($AF193="","",IF($AF193&lt;=1200,IF(INDEX(对接源_01水果!$J$4:$J$1203,$AF193)=0,"",INDEX(对接源_01水果!$J$4:$J$1203,$AF193)),IF(INDEX(对接源_02物料!$J$4:$J$1203,$AF193-1200)=0,"",INDEX(对接源_02物料!$J$4:$J$1203,$AF193-1200))))</f>
      </c>
      <c r="H193" s="61">
        <f>IF($AF193="","",IF($AF193&lt;=1200,IF(INDEX(对接源_01水果!$W$4:$W$1203,$AF193)=0,"",INDEX(对接源_01水果!$W$4:$W$1203,$AF193)),IF(INDEX(对接源_02物料!$W$4:$W$1203,$AF193-1200)=0,"",INDEX(对接源_02物料!$W$4:$W$1203,$AF193-1200))))</f>
      </c>
      <c r="I193" s="61">
        <f>IF($AF193="","",IF($AF193&lt;=1200,IF(INDEX(对接源_01水果!$D$4:$D$1203,$AF193)=0,"",INDEX(对接源_01水果!$D$4:$D$1203,$AF193)),IF(INDEX(对接源_02物料!$D$4:$D$1203,$AF193-1200)=0,"",INDEX(对接源_02物料!$D$4:$D$1203,$AF193-1200))))</f>
      </c>
      <c r="J193" s="64">
        <f>IF($AF193="","",IF($AF193&lt;=1200,IF(INDEX(对接源_01水果!$M$4:$M$1203,$AF193)=0,"",INDEX(对接源_01水果!$M$4:$M$1203,$AF193)),IF(INDEX(对接源_02物料!$M$4:$M$1203,$AF193-1200)=0,"",INDEX(对接源_02物料!$M$4:$M$1203,$AF193-1200))))</f>
      </c>
      <c r="AF193" s="2">
        <f>IFERROR(MATCH(65,_自动清单!$AC$4:$AC$2403,0),"")</f>
      </c>
      <c r="AL193" s="2">
        <f>IF($D193="","",$D193)</f>
      </c>
      <c r="AM193" s="2">
        <f>IF(AL193="",0,IF(MATCH(AL193,AL$129:AL$208,0)=65,1,0))</f>
        <v>0</v>
      </c>
      <c r="AN193" s="2">
        <f>N(AN192)+AM193</f>
        <v>0</v>
      </c>
    </row>
    <row r="194" ht="18" customHeight="1" s="127">
      <c r="A194" s="165">
        <f>IF($AF194="","",IF($AF194&lt;=1200,IF(INDEX(对接源_01水果!$B$4:$B$1203,$AF194)=0,"",INDEX(对接源_01水果!$B$4:$B$1203,$AF194)),IF(INDEX(对接源_02物料!$B$4:$B$1203,$AF194-1200)=0,"",INDEX(对接源_02物料!$B$4:$B$1203,$AF194-1200))))</f>
      </c>
      <c r="B194" s="104">
        <f>IF($AF194="","",IF($AF194&lt;=1200,IF(INDEX(对接源_01水果!$E$4:$E$1203,$AF194)=0,"",INDEX(对接源_01水果!$E$4:$E$1203,$AF194)),IF(INDEX(对接源_02物料!$E$4:$E$1203,$AF194-1200)=0,"",INDEX(对接源_02物料!$E$4:$E$1203,$AF194-1200))))</f>
      </c>
      <c r="C194" s="104">
        <f>IF($AF194="","",IF($AF194&lt;=1200,IF(INDEX(对接源_01水果!$F$4:$F$1203,$AF194)=0,"",INDEX(对接源_01水果!$F$4:$F$1203,$AF194)),IF(INDEX(对接源_02物料!$F$4:$F$1203,$AF194-1200)=0,"",INDEX(对接源_02物料!$F$4:$F$1203,$AF194-1200))))</f>
      </c>
      <c r="D194" s="104">
        <f>IF($AF194="","",IF($AF194&lt;=1200,IF(INDEX(对接源_01水果!$G$4:$G$1203,$AF194)=0,"",INDEX(对接源_01水果!$G$4:$G$1203,$AF194)),IF(INDEX(对接源_02物料!$G$4:$G$1203,$AF194-1200)=0,"",INDEX(对接源_02物料!$G$4:$G$1203,$AF194-1200))))</f>
      </c>
      <c r="E194" s="166">
        <f>IF($AF194="","",IF($AF194&lt;=1200,IF(INDEX(对接源_01水果!$H$4:$H$1203,$AF194)=0,"",INDEX(对接源_01水果!$H$4:$H$1203,$AF194)),IF(INDEX(对接源_02物料!$H$4:$H$1203,$AF194-1200)=0,"",INDEX(对接源_02物料!$H$4:$H$1203,$AF194-1200))))</f>
      </c>
      <c r="F194" s="104">
        <f>IF($AF194="","",IF($AF194&lt;=1200,IF(INDEX(对接源_01水果!$I$4:$I$1203,$AF194)=0,"",INDEX(对接源_01水果!$I$4:$I$1203,$AF194)),IF(INDEX(对接源_02物料!$I$4:$I$1203,$AF194-1200)=0,"",INDEX(对接源_02物料!$I$4:$I$1203,$AF194-1200))))</f>
      </c>
      <c r="G194" s="175">
        <f>IF($AF194="","",IF($AF194&lt;=1200,IF(INDEX(对接源_01水果!$J$4:$J$1203,$AF194)=0,"",INDEX(对接源_01水果!$J$4:$J$1203,$AF194)),IF(INDEX(对接源_02物料!$J$4:$J$1203,$AF194-1200)=0,"",INDEX(对接源_02物料!$J$4:$J$1203,$AF194-1200))))</f>
      </c>
      <c r="H194" s="104">
        <f>IF($AF194="","",IF($AF194&lt;=1200,IF(INDEX(对接源_01水果!$W$4:$W$1203,$AF194)=0,"",INDEX(对接源_01水果!$W$4:$W$1203,$AF194)),IF(INDEX(对接源_02物料!$W$4:$W$1203,$AF194-1200)=0,"",INDEX(对接源_02物料!$W$4:$W$1203,$AF194-1200))))</f>
      </c>
      <c r="I194" s="104">
        <f>IF($AF194="","",IF($AF194&lt;=1200,IF(INDEX(对接源_01水果!$D$4:$D$1203,$AF194)=0,"",INDEX(对接源_01水果!$D$4:$D$1203,$AF194)),IF(INDEX(对接源_02物料!$D$4:$D$1203,$AF194-1200)=0,"",INDEX(对接源_02物料!$D$4:$D$1203,$AF194-1200))))</f>
      </c>
      <c r="J194" s="107">
        <f>IF($AF194="","",IF($AF194&lt;=1200,IF(INDEX(对接源_01水果!$M$4:$M$1203,$AF194)=0,"",INDEX(对接源_01水果!$M$4:$M$1203,$AF194)),IF(INDEX(对接源_02物料!$M$4:$M$1203,$AF194-1200)=0,"",INDEX(对接源_02物料!$M$4:$M$1203,$AF194-1200))))</f>
      </c>
      <c r="AF194" s="2">
        <f>IFERROR(MATCH(66,_自动清单!$AC$4:$AC$2403,0),"")</f>
      </c>
      <c r="AL194" s="2">
        <f>IF($D194="","",$D194)</f>
      </c>
      <c r="AM194" s="2">
        <f>IF(AL194="",0,IF(MATCH(AL194,AL$129:AL$208,0)=66,1,0))</f>
        <v>0</v>
      </c>
      <c r="AN194" s="2">
        <f>N(AN193)+AM194</f>
        <v>0</v>
      </c>
    </row>
    <row r="195" ht="18" customHeight="1" s="127">
      <c r="A195" s="163">
        <f>IF($AF195="","",IF($AF195&lt;=1200,IF(INDEX(对接源_01水果!$B$4:$B$1203,$AF195)=0,"",INDEX(对接源_01水果!$B$4:$B$1203,$AF195)),IF(INDEX(对接源_02物料!$B$4:$B$1203,$AF195-1200)=0,"",INDEX(对接源_02物料!$B$4:$B$1203,$AF195-1200))))</f>
      </c>
      <c r="B195" s="61">
        <f>IF($AF195="","",IF($AF195&lt;=1200,IF(INDEX(对接源_01水果!$E$4:$E$1203,$AF195)=0,"",INDEX(对接源_01水果!$E$4:$E$1203,$AF195)),IF(INDEX(对接源_02物料!$E$4:$E$1203,$AF195-1200)=0,"",INDEX(对接源_02物料!$E$4:$E$1203,$AF195-1200))))</f>
      </c>
      <c r="C195" s="61">
        <f>IF($AF195="","",IF($AF195&lt;=1200,IF(INDEX(对接源_01水果!$F$4:$F$1203,$AF195)=0,"",INDEX(对接源_01水果!$F$4:$F$1203,$AF195)),IF(INDEX(对接源_02物料!$F$4:$F$1203,$AF195-1200)=0,"",INDEX(对接源_02物料!$F$4:$F$1203,$AF195-1200))))</f>
      </c>
      <c r="D195" s="61">
        <f>IF($AF195="","",IF($AF195&lt;=1200,IF(INDEX(对接源_01水果!$G$4:$G$1203,$AF195)=0,"",INDEX(对接源_01水果!$G$4:$G$1203,$AF195)),IF(INDEX(对接源_02物料!$G$4:$G$1203,$AF195-1200)=0,"",INDEX(对接源_02物料!$G$4:$G$1203,$AF195-1200))))</f>
      </c>
      <c r="E195" s="164">
        <f>IF($AF195="","",IF($AF195&lt;=1200,IF(INDEX(对接源_01水果!$H$4:$H$1203,$AF195)=0,"",INDEX(对接源_01水果!$H$4:$H$1203,$AF195)),IF(INDEX(对接源_02物料!$H$4:$H$1203,$AF195-1200)=0,"",INDEX(对接源_02物料!$H$4:$H$1203,$AF195-1200))))</f>
      </c>
      <c r="F195" s="61">
        <f>IF($AF195="","",IF($AF195&lt;=1200,IF(INDEX(对接源_01水果!$I$4:$I$1203,$AF195)=0,"",INDEX(对接源_01水果!$I$4:$I$1203,$AF195)),IF(INDEX(对接源_02物料!$I$4:$I$1203,$AF195-1200)=0,"",INDEX(对接源_02物料!$I$4:$I$1203,$AF195-1200))))</f>
      </c>
      <c r="G195" s="173">
        <f>IF($AF195="","",IF($AF195&lt;=1200,IF(INDEX(对接源_01水果!$J$4:$J$1203,$AF195)=0,"",INDEX(对接源_01水果!$J$4:$J$1203,$AF195)),IF(INDEX(对接源_02物料!$J$4:$J$1203,$AF195-1200)=0,"",INDEX(对接源_02物料!$J$4:$J$1203,$AF195-1200))))</f>
      </c>
      <c r="H195" s="61">
        <f>IF($AF195="","",IF($AF195&lt;=1200,IF(INDEX(对接源_01水果!$W$4:$W$1203,$AF195)=0,"",INDEX(对接源_01水果!$W$4:$W$1203,$AF195)),IF(INDEX(对接源_02物料!$W$4:$W$1203,$AF195-1200)=0,"",INDEX(对接源_02物料!$W$4:$W$1203,$AF195-1200))))</f>
      </c>
      <c r="I195" s="61">
        <f>IF($AF195="","",IF($AF195&lt;=1200,IF(INDEX(对接源_01水果!$D$4:$D$1203,$AF195)=0,"",INDEX(对接源_01水果!$D$4:$D$1203,$AF195)),IF(INDEX(对接源_02物料!$D$4:$D$1203,$AF195-1200)=0,"",INDEX(对接源_02物料!$D$4:$D$1203,$AF195-1200))))</f>
      </c>
      <c r="J195" s="64">
        <f>IF($AF195="","",IF($AF195&lt;=1200,IF(INDEX(对接源_01水果!$M$4:$M$1203,$AF195)=0,"",INDEX(对接源_01水果!$M$4:$M$1203,$AF195)),IF(INDEX(对接源_02物料!$M$4:$M$1203,$AF195-1200)=0,"",INDEX(对接源_02物料!$M$4:$M$1203,$AF195-1200))))</f>
      </c>
      <c r="AF195" s="2">
        <f>IFERROR(MATCH(67,_自动清单!$AC$4:$AC$2403,0),"")</f>
      </c>
      <c r="AL195" s="2">
        <f>IF($D195="","",$D195)</f>
      </c>
      <c r="AM195" s="2">
        <f>IF(AL195="",0,IF(MATCH(AL195,AL$129:AL$208,0)=67,1,0))</f>
        <v>0</v>
      </c>
      <c r="AN195" s="2">
        <f>N(AN194)+AM195</f>
        <v>0</v>
      </c>
    </row>
    <row r="196" ht="18" customHeight="1" s="127">
      <c r="A196" s="165">
        <f>IF($AF196="","",IF($AF196&lt;=1200,IF(INDEX(对接源_01水果!$B$4:$B$1203,$AF196)=0,"",INDEX(对接源_01水果!$B$4:$B$1203,$AF196)),IF(INDEX(对接源_02物料!$B$4:$B$1203,$AF196-1200)=0,"",INDEX(对接源_02物料!$B$4:$B$1203,$AF196-1200))))</f>
      </c>
      <c r="B196" s="104">
        <f>IF($AF196="","",IF($AF196&lt;=1200,IF(INDEX(对接源_01水果!$E$4:$E$1203,$AF196)=0,"",INDEX(对接源_01水果!$E$4:$E$1203,$AF196)),IF(INDEX(对接源_02物料!$E$4:$E$1203,$AF196-1200)=0,"",INDEX(对接源_02物料!$E$4:$E$1203,$AF196-1200))))</f>
      </c>
      <c r="C196" s="104">
        <f>IF($AF196="","",IF($AF196&lt;=1200,IF(INDEX(对接源_01水果!$F$4:$F$1203,$AF196)=0,"",INDEX(对接源_01水果!$F$4:$F$1203,$AF196)),IF(INDEX(对接源_02物料!$F$4:$F$1203,$AF196-1200)=0,"",INDEX(对接源_02物料!$F$4:$F$1203,$AF196-1200))))</f>
      </c>
      <c r="D196" s="104">
        <f>IF($AF196="","",IF($AF196&lt;=1200,IF(INDEX(对接源_01水果!$G$4:$G$1203,$AF196)=0,"",INDEX(对接源_01水果!$G$4:$G$1203,$AF196)),IF(INDEX(对接源_02物料!$G$4:$G$1203,$AF196-1200)=0,"",INDEX(对接源_02物料!$G$4:$G$1203,$AF196-1200))))</f>
      </c>
      <c r="E196" s="166">
        <f>IF($AF196="","",IF($AF196&lt;=1200,IF(INDEX(对接源_01水果!$H$4:$H$1203,$AF196)=0,"",INDEX(对接源_01水果!$H$4:$H$1203,$AF196)),IF(INDEX(对接源_02物料!$H$4:$H$1203,$AF196-1200)=0,"",INDEX(对接源_02物料!$H$4:$H$1203,$AF196-1200))))</f>
      </c>
      <c r="F196" s="104">
        <f>IF($AF196="","",IF($AF196&lt;=1200,IF(INDEX(对接源_01水果!$I$4:$I$1203,$AF196)=0,"",INDEX(对接源_01水果!$I$4:$I$1203,$AF196)),IF(INDEX(对接源_02物料!$I$4:$I$1203,$AF196-1200)=0,"",INDEX(对接源_02物料!$I$4:$I$1203,$AF196-1200))))</f>
      </c>
      <c r="G196" s="175">
        <f>IF($AF196="","",IF($AF196&lt;=1200,IF(INDEX(对接源_01水果!$J$4:$J$1203,$AF196)=0,"",INDEX(对接源_01水果!$J$4:$J$1203,$AF196)),IF(INDEX(对接源_02物料!$J$4:$J$1203,$AF196-1200)=0,"",INDEX(对接源_02物料!$J$4:$J$1203,$AF196-1200))))</f>
      </c>
      <c r="H196" s="104">
        <f>IF($AF196="","",IF($AF196&lt;=1200,IF(INDEX(对接源_01水果!$W$4:$W$1203,$AF196)=0,"",INDEX(对接源_01水果!$W$4:$W$1203,$AF196)),IF(INDEX(对接源_02物料!$W$4:$W$1203,$AF196-1200)=0,"",INDEX(对接源_02物料!$W$4:$W$1203,$AF196-1200))))</f>
      </c>
      <c r="I196" s="104">
        <f>IF($AF196="","",IF($AF196&lt;=1200,IF(INDEX(对接源_01水果!$D$4:$D$1203,$AF196)=0,"",INDEX(对接源_01水果!$D$4:$D$1203,$AF196)),IF(INDEX(对接源_02物料!$D$4:$D$1203,$AF196-1200)=0,"",INDEX(对接源_02物料!$D$4:$D$1203,$AF196-1200))))</f>
      </c>
      <c r="J196" s="107">
        <f>IF($AF196="","",IF($AF196&lt;=1200,IF(INDEX(对接源_01水果!$M$4:$M$1203,$AF196)=0,"",INDEX(对接源_01水果!$M$4:$M$1203,$AF196)),IF(INDEX(对接源_02物料!$M$4:$M$1203,$AF196-1200)=0,"",INDEX(对接源_02物料!$M$4:$M$1203,$AF196-1200))))</f>
      </c>
      <c r="AF196" s="2">
        <f>IFERROR(MATCH(68,_自动清单!$AC$4:$AC$2403,0),"")</f>
      </c>
      <c r="AL196" s="2">
        <f>IF($D196="","",$D196)</f>
      </c>
      <c r="AM196" s="2">
        <f>IF(AL196="",0,IF(MATCH(AL196,AL$129:AL$208,0)=68,1,0))</f>
        <v>0</v>
      </c>
      <c r="AN196" s="2">
        <f>N(AN195)+AM196</f>
        <v>0</v>
      </c>
    </row>
    <row r="197" ht="18" customHeight="1" s="127">
      <c r="A197" s="163">
        <f>IF($AF197="","",IF($AF197&lt;=1200,IF(INDEX(对接源_01水果!$B$4:$B$1203,$AF197)=0,"",INDEX(对接源_01水果!$B$4:$B$1203,$AF197)),IF(INDEX(对接源_02物料!$B$4:$B$1203,$AF197-1200)=0,"",INDEX(对接源_02物料!$B$4:$B$1203,$AF197-1200))))</f>
      </c>
      <c r="B197" s="61">
        <f>IF($AF197="","",IF($AF197&lt;=1200,IF(INDEX(对接源_01水果!$E$4:$E$1203,$AF197)=0,"",INDEX(对接源_01水果!$E$4:$E$1203,$AF197)),IF(INDEX(对接源_02物料!$E$4:$E$1203,$AF197-1200)=0,"",INDEX(对接源_02物料!$E$4:$E$1203,$AF197-1200))))</f>
      </c>
      <c r="C197" s="61">
        <f>IF($AF197="","",IF($AF197&lt;=1200,IF(INDEX(对接源_01水果!$F$4:$F$1203,$AF197)=0,"",INDEX(对接源_01水果!$F$4:$F$1203,$AF197)),IF(INDEX(对接源_02物料!$F$4:$F$1203,$AF197-1200)=0,"",INDEX(对接源_02物料!$F$4:$F$1203,$AF197-1200))))</f>
      </c>
      <c r="D197" s="61">
        <f>IF($AF197="","",IF($AF197&lt;=1200,IF(INDEX(对接源_01水果!$G$4:$G$1203,$AF197)=0,"",INDEX(对接源_01水果!$G$4:$G$1203,$AF197)),IF(INDEX(对接源_02物料!$G$4:$G$1203,$AF197-1200)=0,"",INDEX(对接源_02物料!$G$4:$G$1203,$AF197-1200))))</f>
      </c>
      <c r="E197" s="164">
        <f>IF($AF197="","",IF($AF197&lt;=1200,IF(INDEX(对接源_01水果!$H$4:$H$1203,$AF197)=0,"",INDEX(对接源_01水果!$H$4:$H$1203,$AF197)),IF(INDEX(对接源_02物料!$H$4:$H$1203,$AF197-1200)=0,"",INDEX(对接源_02物料!$H$4:$H$1203,$AF197-1200))))</f>
      </c>
      <c r="F197" s="61">
        <f>IF($AF197="","",IF($AF197&lt;=1200,IF(INDEX(对接源_01水果!$I$4:$I$1203,$AF197)=0,"",INDEX(对接源_01水果!$I$4:$I$1203,$AF197)),IF(INDEX(对接源_02物料!$I$4:$I$1203,$AF197-1200)=0,"",INDEX(对接源_02物料!$I$4:$I$1203,$AF197-1200))))</f>
      </c>
      <c r="G197" s="173">
        <f>IF($AF197="","",IF($AF197&lt;=1200,IF(INDEX(对接源_01水果!$J$4:$J$1203,$AF197)=0,"",INDEX(对接源_01水果!$J$4:$J$1203,$AF197)),IF(INDEX(对接源_02物料!$J$4:$J$1203,$AF197-1200)=0,"",INDEX(对接源_02物料!$J$4:$J$1203,$AF197-1200))))</f>
      </c>
      <c r="H197" s="61">
        <f>IF($AF197="","",IF($AF197&lt;=1200,IF(INDEX(对接源_01水果!$W$4:$W$1203,$AF197)=0,"",INDEX(对接源_01水果!$W$4:$W$1203,$AF197)),IF(INDEX(对接源_02物料!$W$4:$W$1203,$AF197-1200)=0,"",INDEX(对接源_02物料!$W$4:$W$1203,$AF197-1200))))</f>
      </c>
      <c r="I197" s="61">
        <f>IF($AF197="","",IF($AF197&lt;=1200,IF(INDEX(对接源_01水果!$D$4:$D$1203,$AF197)=0,"",INDEX(对接源_01水果!$D$4:$D$1203,$AF197)),IF(INDEX(对接源_02物料!$D$4:$D$1203,$AF197-1200)=0,"",INDEX(对接源_02物料!$D$4:$D$1203,$AF197-1200))))</f>
      </c>
      <c r="J197" s="64">
        <f>IF($AF197="","",IF($AF197&lt;=1200,IF(INDEX(对接源_01水果!$M$4:$M$1203,$AF197)=0,"",INDEX(对接源_01水果!$M$4:$M$1203,$AF197)),IF(INDEX(对接源_02物料!$M$4:$M$1203,$AF197-1200)=0,"",INDEX(对接源_02物料!$M$4:$M$1203,$AF197-1200))))</f>
      </c>
      <c r="AF197" s="2">
        <f>IFERROR(MATCH(69,_自动清单!$AC$4:$AC$2403,0),"")</f>
      </c>
      <c r="AL197" s="2">
        <f>IF($D197="","",$D197)</f>
      </c>
      <c r="AM197" s="2">
        <f>IF(AL197="",0,IF(MATCH(AL197,AL$129:AL$208,0)=69,1,0))</f>
        <v>0</v>
      </c>
      <c r="AN197" s="2">
        <f>N(AN196)+AM197</f>
        <v>0</v>
      </c>
    </row>
    <row r="198" ht="18" customHeight="1" s="127">
      <c r="A198" s="165">
        <f>IF($AF198="","",IF($AF198&lt;=1200,IF(INDEX(对接源_01水果!$B$4:$B$1203,$AF198)=0,"",INDEX(对接源_01水果!$B$4:$B$1203,$AF198)),IF(INDEX(对接源_02物料!$B$4:$B$1203,$AF198-1200)=0,"",INDEX(对接源_02物料!$B$4:$B$1203,$AF198-1200))))</f>
      </c>
      <c r="B198" s="104">
        <f>IF($AF198="","",IF($AF198&lt;=1200,IF(INDEX(对接源_01水果!$E$4:$E$1203,$AF198)=0,"",INDEX(对接源_01水果!$E$4:$E$1203,$AF198)),IF(INDEX(对接源_02物料!$E$4:$E$1203,$AF198-1200)=0,"",INDEX(对接源_02物料!$E$4:$E$1203,$AF198-1200))))</f>
      </c>
      <c r="C198" s="104">
        <f>IF($AF198="","",IF($AF198&lt;=1200,IF(INDEX(对接源_01水果!$F$4:$F$1203,$AF198)=0,"",INDEX(对接源_01水果!$F$4:$F$1203,$AF198)),IF(INDEX(对接源_02物料!$F$4:$F$1203,$AF198-1200)=0,"",INDEX(对接源_02物料!$F$4:$F$1203,$AF198-1200))))</f>
      </c>
      <c r="D198" s="104">
        <f>IF($AF198="","",IF($AF198&lt;=1200,IF(INDEX(对接源_01水果!$G$4:$G$1203,$AF198)=0,"",INDEX(对接源_01水果!$G$4:$G$1203,$AF198)),IF(INDEX(对接源_02物料!$G$4:$G$1203,$AF198-1200)=0,"",INDEX(对接源_02物料!$G$4:$G$1203,$AF198-1200))))</f>
      </c>
      <c r="E198" s="166">
        <f>IF($AF198="","",IF($AF198&lt;=1200,IF(INDEX(对接源_01水果!$H$4:$H$1203,$AF198)=0,"",INDEX(对接源_01水果!$H$4:$H$1203,$AF198)),IF(INDEX(对接源_02物料!$H$4:$H$1203,$AF198-1200)=0,"",INDEX(对接源_02物料!$H$4:$H$1203,$AF198-1200))))</f>
      </c>
      <c r="F198" s="104">
        <f>IF($AF198="","",IF($AF198&lt;=1200,IF(INDEX(对接源_01水果!$I$4:$I$1203,$AF198)=0,"",INDEX(对接源_01水果!$I$4:$I$1203,$AF198)),IF(INDEX(对接源_02物料!$I$4:$I$1203,$AF198-1200)=0,"",INDEX(对接源_02物料!$I$4:$I$1203,$AF198-1200))))</f>
      </c>
      <c r="G198" s="175">
        <f>IF($AF198="","",IF($AF198&lt;=1200,IF(INDEX(对接源_01水果!$J$4:$J$1203,$AF198)=0,"",INDEX(对接源_01水果!$J$4:$J$1203,$AF198)),IF(INDEX(对接源_02物料!$J$4:$J$1203,$AF198-1200)=0,"",INDEX(对接源_02物料!$J$4:$J$1203,$AF198-1200))))</f>
      </c>
      <c r="H198" s="104">
        <f>IF($AF198="","",IF($AF198&lt;=1200,IF(INDEX(对接源_01水果!$W$4:$W$1203,$AF198)=0,"",INDEX(对接源_01水果!$W$4:$W$1203,$AF198)),IF(INDEX(对接源_02物料!$W$4:$W$1203,$AF198-1200)=0,"",INDEX(对接源_02物料!$W$4:$W$1203,$AF198-1200))))</f>
      </c>
      <c r="I198" s="104">
        <f>IF($AF198="","",IF($AF198&lt;=1200,IF(INDEX(对接源_01水果!$D$4:$D$1203,$AF198)=0,"",INDEX(对接源_01水果!$D$4:$D$1203,$AF198)),IF(INDEX(对接源_02物料!$D$4:$D$1203,$AF198-1200)=0,"",INDEX(对接源_02物料!$D$4:$D$1203,$AF198-1200))))</f>
      </c>
      <c r="J198" s="107">
        <f>IF($AF198="","",IF($AF198&lt;=1200,IF(INDEX(对接源_01水果!$M$4:$M$1203,$AF198)=0,"",INDEX(对接源_01水果!$M$4:$M$1203,$AF198)),IF(INDEX(对接源_02物料!$M$4:$M$1203,$AF198-1200)=0,"",INDEX(对接源_02物料!$M$4:$M$1203,$AF198-1200))))</f>
      </c>
      <c r="AF198" s="2">
        <f>IFERROR(MATCH(70,_自动清单!$AC$4:$AC$2403,0),"")</f>
      </c>
      <c r="AL198" s="2">
        <f>IF($D198="","",$D198)</f>
      </c>
      <c r="AM198" s="2">
        <f>IF(AL198="",0,IF(MATCH(AL198,AL$129:AL$208,0)=70,1,0))</f>
        <v>0</v>
      </c>
      <c r="AN198" s="2">
        <f>N(AN197)+AM198</f>
        <v>0</v>
      </c>
    </row>
    <row r="199" ht="18" customHeight="1" s="127">
      <c r="A199" s="163">
        <f>IF($AF199="","",IF($AF199&lt;=1200,IF(INDEX(对接源_01水果!$B$4:$B$1203,$AF199)=0,"",INDEX(对接源_01水果!$B$4:$B$1203,$AF199)),IF(INDEX(对接源_02物料!$B$4:$B$1203,$AF199-1200)=0,"",INDEX(对接源_02物料!$B$4:$B$1203,$AF199-1200))))</f>
      </c>
      <c r="B199" s="61">
        <f>IF($AF199="","",IF($AF199&lt;=1200,IF(INDEX(对接源_01水果!$E$4:$E$1203,$AF199)=0,"",INDEX(对接源_01水果!$E$4:$E$1203,$AF199)),IF(INDEX(对接源_02物料!$E$4:$E$1203,$AF199-1200)=0,"",INDEX(对接源_02物料!$E$4:$E$1203,$AF199-1200))))</f>
      </c>
      <c r="C199" s="61">
        <f>IF($AF199="","",IF($AF199&lt;=1200,IF(INDEX(对接源_01水果!$F$4:$F$1203,$AF199)=0,"",INDEX(对接源_01水果!$F$4:$F$1203,$AF199)),IF(INDEX(对接源_02物料!$F$4:$F$1203,$AF199-1200)=0,"",INDEX(对接源_02物料!$F$4:$F$1203,$AF199-1200))))</f>
      </c>
      <c r="D199" s="61">
        <f>IF($AF199="","",IF($AF199&lt;=1200,IF(INDEX(对接源_01水果!$G$4:$G$1203,$AF199)=0,"",INDEX(对接源_01水果!$G$4:$G$1203,$AF199)),IF(INDEX(对接源_02物料!$G$4:$G$1203,$AF199-1200)=0,"",INDEX(对接源_02物料!$G$4:$G$1203,$AF199-1200))))</f>
      </c>
      <c r="E199" s="164">
        <f>IF($AF199="","",IF($AF199&lt;=1200,IF(INDEX(对接源_01水果!$H$4:$H$1203,$AF199)=0,"",INDEX(对接源_01水果!$H$4:$H$1203,$AF199)),IF(INDEX(对接源_02物料!$H$4:$H$1203,$AF199-1200)=0,"",INDEX(对接源_02物料!$H$4:$H$1203,$AF199-1200))))</f>
      </c>
      <c r="F199" s="61">
        <f>IF($AF199="","",IF($AF199&lt;=1200,IF(INDEX(对接源_01水果!$I$4:$I$1203,$AF199)=0,"",INDEX(对接源_01水果!$I$4:$I$1203,$AF199)),IF(INDEX(对接源_02物料!$I$4:$I$1203,$AF199-1200)=0,"",INDEX(对接源_02物料!$I$4:$I$1203,$AF199-1200))))</f>
      </c>
      <c r="G199" s="173">
        <f>IF($AF199="","",IF($AF199&lt;=1200,IF(INDEX(对接源_01水果!$J$4:$J$1203,$AF199)=0,"",INDEX(对接源_01水果!$J$4:$J$1203,$AF199)),IF(INDEX(对接源_02物料!$J$4:$J$1203,$AF199-1200)=0,"",INDEX(对接源_02物料!$J$4:$J$1203,$AF199-1200))))</f>
      </c>
      <c r="H199" s="61">
        <f>IF($AF199="","",IF($AF199&lt;=1200,IF(INDEX(对接源_01水果!$W$4:$W$1203,$AF199)=0,"",INDEX(对接源_01水果!$W$4:$W$1203,$AF199)),IF(INDEX(对接源_02物料!$W$4:$W$1203,$AF199-1200)=0,"",INDEX(对接源_02物料!$W$4:$W$1203,$AF199-1200))))</f>
      </c>
      <c r="I199" s="61">
        <f>IF($AF199="","",IF($AF199&lt;=1200,IF(INDEX(对接源_01水果!$D$4:$D$1203,$AF199)=0,"",INDEX(对接源_01水果!$D$4:$D$1203,$AF199)),IF(INDEX(对接源_02物料!$D$4:$D$1203,$AF199-1200)=0,"",INDEX(对接源_02物料!$D$4:$D$1203,$AF199-1200))))</f>
      </c>
      <c r="J199" s="64">
        <f>IF($AF199="","",IF($AF199&lt;=1200,IF(INDEX(对接源_01水果!$M$4:$M$1203,$AF199)=0,"",INDEX(对接源_01水果!$M$4:$M$1203,$AF199)),IF(INDEX(对接源_02物料!$M$4:$M$1203,$AF199-1200)=0,"",INDEX(对接源_02物料!$M$4:$M$1203,$AF199-1200))))</f>
      </c>
      <c r="AF199" s="2">
        <f>IFERROR(MATCH(71,_自动清单!$AC$4:$AC$2403,0),"")</f>
      </c>
      <c r="AL199" s="2">
        <f>IF($D199="","",$D199)</f>
      </c>
      <c r="AM199" s="2">
        <f>IF(AL199="",0,IF(MATCH(AL199,AL$129:AL$208,0)=71,1,0))</f>
        <v>0</v>
      </c>
      <c r="AN199" s="2">
        <f>N(AN198)+AM199</f>
        <v>0</v>
      </c>
    </row>
    <row r="200" ht="18" customHeight="1" s="127">
      <c r="A200" s="165">
        <f>IF($AF200="","",IF($AF200&lt;=1200,IF(INDEX(对接源_01水果!$B$4:$B$1203,$AF200)=0,"",INDEX(对接源_01水果!$B$4:$B$1203,$AF200)),IF(INDEX(对接源_02物料!$B$4:$B$1203,$AF200-1200)=0,"",INDEX(对接源_02物料!$B$4:$B$1203,$AF200-1200))))</f>
      </c>
      <c r="B200" s="104">
        <f>IF($AF200="","",IF($AF200&lt;=1200,IF(INDEX(对接源_01水果!$E$4:$E$1203,$AF200)=0,"",INDEX(对接源_01水果!$E$4:$E$1203,$AF200)),IF(INDEX(对接源_02物料!$E$4:$E$1203,$AF200-1200)=0,"",INDEX(对接源_02物料!$E$4:$E$1203,$AF200-1200))))</f>
      </c>
      <c r="C200" s="104">
        <f>IF($AF200="","",IF($AF200&lt;=1200,IF(INDEX(对接源_01水果!$F$4:$F$1203,$AF200)=0,"",INDEX(对接源_01水果!$F$4:$F$1203,$AF200)),IF(INDEX(对接源_02物料!$F$4:$F$1203,$AF200-1200)=0,"",INDEX(对接源_02物料!$F$4:$F$1203,$AF200-1200))))</f>
      </c>
      <c r="D200" s="104">
        <f>IF($AF200="","",IF($AF200&lt;=1200,IF(INDEX(对接源_01水果!$G$4:$G$1203,$AF200)=0,"",INDEX(对接源_01水果!$G$4:$G$1203,$AF200)),IF(INDEX(对接源_02物料!$G$4:$G$1203,$AF200-1200)=0,"",INDEX(对接源_02物料!$G$4:$G$1203,$AF200-1200))))</f>
      </c>
      <c r="E200" s="166">
        <f>IF($AF200="","",IF($AF200&lt;=1200,IF(INDEX(对接源_01水果!$H$4:$H$1203,$AF200)=0,"",INDEX(对接源_01水果!$H$4:$H$1203,$AF200)),IF(INDEX(对接源_02物料!$H$4:$H$1203,$AF200-1200)=0,"",INDEX(对接源_02物料!$H$4:$H$1203,$AF200-1200))))</f>
      </c>
      <c r="F200" s="104">
        <f>IF($AF200="","",IF($AF200&lt;=1200,IF(INDEX(对接源_01水果!$I$4:$I$1203,$AF200)=0,"",INDEX(对接源_01水果!$I$4:$I$1203,$AF200)),IF(INDEX(对接源_02物料!$I$4:$I$1203,$AF200-1200)=0,"",INDEX(对接源_02物料!$I$4:$I$1203,$AF200-1200))))</f>
      </c>
      <c r="G200" s="175">
        <f>IF($AF200="","",IF($AF200&lt;=1200,IF(INDEX(对接源_01水果!$J$4:$J$1203,$AF200)=0,"",INDEX(对接源_01水果!$J$4:$J$1203,$AF200)),IF(INDEX(对接源_02物料!$J$4:$J$1203,$AF200-1200)=0,"",INDEX(对接源_02物料!$J$4:$J$1203,$AF200-1200))))</f>
      </c>
      <c r="H200" s="104">
        <f>IF($AF200="","",IF($AF200&lt;=1200,IF(INDEX(对接源_01水果!$W$4:$W$1203,$AF200)=0,"",INDEX(对接源_01水果!$W$4:$W$1203,$AF200)),IF(INDEX(对接源_02物料!$W$4:$W$1203,$AF200-1200)=0,"",INDEX(对接源_02物料!$W$4:$W$1203,$AF200-1200))))</f>
      </c>
      <c r="I200" s="104">
        <f>IF($AF200="","",IF($AF200&lt;=1200,IF(INDEX(对接源_01水果!$D$4:$D$1203,$AF200)=0,"",INDEX(对接源_01水果!$D$4:$D$1203,$AF200)),IF(INDEX(对接源_02物料!$D$4:$D$1203,$AF200-1200)=0,"",INDEX(对接源_02物料!$D$4:$D$1203,$AF200-1200))))</f>
      </c>
      <c r="J200" s="107">
        <f>IF($AF200="","",IF($AF200&lt;=1200,IF(INDEX(对接源_01水果!$M$4:$M$1203,$AF200)=0,"",INDEX(对接源_01水果!$M$4:$M$1203,$AF200)),IF(INDEX(对接源_02物料!$M$4:$M$1203,$AF200-1200)=0,"",INDEX(对接源_02物料!$M$4:$M$1203,$AF200-1200))))</f>
      </c>
      <c r="AF200" s="2">
        <f>IFERROR(MATCH(72,_自动清单!$AC$4:$AC$2403,0),"")</f>
      </c>
      <c r="AL200" s="2">
        <f>IF($D200="","",$D200)</f>
      </c>
      <c r="AM200" s="2">
        <f>IF(AL200="",0,IF(MATCH(AL200,AL$129:AL$208,0)=72,1,0))</f>
        <v>0</v>
      </c>
      <c r="AN200" s="2">
        <f>N(AN199)+AM200</f>
        <v>0</v>
      </c>
    </row>
    <row r="201" ht="18" customHeight="1" s="127">
      <c r="A201" s="163">
        <f>IF($AF201="","",IF($AF201&lt;=1200,IF(INDEX(对接源_01水果!$B$4:$B$1203,$AF201)=0,"",INDEX(对接源_01水果!$B$4:$B$1203,$AF201)),IF(INDEX(对接源_02物料!$B$4:$B$1203,$AF201-1200)=0,"",INDEX(对接源_02物料!$B$4:$B$1203,$AF201-1200))))</f>
      </c>
      <c r="B201" s="61">
        <f>IF($AF201="","",IF($AF201&lt;=1200,IF(INDEX(对接源_01水果!$E$4:$E$1203,$AF201)=0,"",INDEX(对接源_01水果!$E$4:$E$1203,$AF201)),IF(INDEX(对接源_02物料!$E$4:$E$1203,$AF201-1200)=0,"",INDEX(对接源_02物料!$E$4:$E$1203,$AF201-1200))))</f>
      </c>
      <c r="C201" s="61">
        <f>IF($AF201="","",IF($AF201&lt;=1200,IF(INDEX(对接源_01水果!$F$4:$F$1203,$AF201)=0,"",INDEX(对接源_01水果!$F$4:$F$1203,$AF201)),IF(INDEX(对接源_02物料!$F$4:$F$1203,$AF201-1200)=0,"",INDEX(对接源_02物料!$F$4:$F$1203,$AF201-1200))))</f>
      </c>
      <c r="D201" s="61">
        <f>IF($AF201="","",IF($AF201&lt;=1200,IF(INDEX(对接源_01水果!$G$4:$G$1203,$AF201)=0,"",INDEX(对接源_01水果!$G$4:$G$1203,$AF201)),IF(INDEX(对接源_02物料!$G$4:$G$1203,$AF201-1200)=0,"",INDEX(对接源_02物料!$G$4:$G$1203,$AF201-1200))))</f>
      </c>
      <c r="E201" s="164">
        <f>IF($AF201="","",IF($AF201&lt;=1200,IF(INDEX(对接源_01水果!$H$4:$H$1203,$AF201)=0,"",INDEX(对接源_01水果!$H$4:$H$1203,$AF201)),IF(INDEX(对接源_02物料!$H$4:$H$1203,$AF201-1200)=0,"",INDEX(对接源_02物料!$H$4:$H$1203,$AF201-1200))))</f>
      </c>
      <c r="F201" s="61">
        <f>IF($AF201="","",IF($AF201&lt;=1200,IF(INDEX(对接源_01水果!$I$4:$I$1203,$AF201)=0,"",INDEX(对接源_01水果!$I$4:$I$1203,$AF201)),IF(INDEX(对接源_02物料!$I$4:$I$1203,$AF201-1200)=0,"",INDEX(对接源_02物料!$I$4:$I$1203,$AF201-1200))))</f>
      </c>
      <c r="G201" s="173">
        <f>IF($AF201="","",IF($AF201&lt;=1200,IF(INDEX(对接源_01水果!$J$4:$J$1203,$AF201)=0,"",INDEX(对接源_01水果!$J$4:$J$1203,$AF201)),IF(INDEX(对接源_02物料!$J$4:$J$1203,$AF201-1200)=0,"",INDEX(对接源_02物料!$J$4:$J$1203,$AF201-1200))))</f>
      </c>
      <c r="H201" s="61">
        <f>IF($AF201="","",IF($AF201&lt;=1200,IF(INDEX(对接源_01水果!$W$4:$W$1203,$AF201)=0,"",INDEX(对接源_01水果!$W$4:$W$1203,$AF201)),IF(INDEX(对接源_02物料!$W$4:$W$1203,$AF201-1200)=0,"",INDEX(对接源_02物料!$W$4:$W$1203,$AF201-1200))))</f>
      </c>
      <c r="I201" s="61">
        <f>IF($AF201="","",IF($AF201&lt;=1200,IF(INDEX(对接源_01水果!$D$4:$D$1203,$AF201)=0,"",INDEX(对接源_01水果!$D$4:$D$1203,$AF201)),IF(INDEX(对接源_02物料!$D$4:$D$1203,$AF201-1200)=0,"",INDEX(对接源_02物料!$D$4:$D$1203,$AF201-1200))))</f>
      </c>
      <c r="J201" s="64">
        <f>IF($AF201="","",IF($AF201&lt;=1200,IF(INDEX(对接源_01水果!$M$4:$M$1203,$AF201)=0,"",INDEX(对接源_01水果!$M$4:$M$1203,$AF201)),IF(INDEX(对接源_02物料!$M$4:$M$1203,$AF201-1200)=0,"",INDEX(对接源_02物料!$M$4:$M$1203,$AF201-1200))))</f>
      </c>
      <c r="AF201" s="2">
        <f>IFERROR(MATCH(73,_自动清单!$AC$4:$AC$2403,0),"")</f>
      </c>
      <c r="AL201" s="2">
        <f>IF($D201="","",$D201)</f>
      </c>
      <c r="AM201" s="2">
        <f>IF(AL201="",0,IF(MATCH(AL201,AL$129:AL$208,0)=73,1,0))</f>
        <v>0</v>
      </c>
      <c r="AN201" s="2">
        <f>N(AN200)+AM201</f>
        <v>0</v>
      </c>
    </row>
    <row r="202" ht="18" customHeight="1" s="127">
      <c r="A202" s="165">
        <f>IF($AF202="","",IF($AF202&lt;=1200,IF(INDEX(对接源_01水果!$B$4:$B$1203,$AF202)=0,"",INDEX(对接源_01水果!$B$4:$B$1203,$AF202)),IF(INDEX(对接源_02物料!$B$4:$B$1203,$AF202-1200)=0,"",INDEX(对接源_02物料!$B$4:$B$1203,$AF202-1200))))</f>
      </c>
      <c r="B202" s="104">
        <f>IF($AF202="","",IF($AF202&lt;=1200,IF(INDEX(对接源_01水果!$E$4:$E$1203,$AF202)=0,"",INDEX(对接源_01水果!$E$4:$E$1203,$AF202)),IF(INDEX(对接源_02物料!$E$4:$E$1203,$AF202-1200)=0,"",INDEX(对接源_02物料!$E$4:$E$1203,$AF202-1200))))</f>
      </c>
      <c r="C202" s="104">
        <f>IF($AF202="","",IF($AF202&lt;=1200,IF(INDEX(对接源_01水果!$F$4:$F$1203,$AF202)=0,"",INDEX(对接源_01水果!$F$4:$F$1203,$AF202)),IF(INDEX(对接源_02物料!$F$4:$F$1203,$AF202-1200)=0,"",INDEX(对接源_02物料!$F$4:$F$1203,$AF202-1200))))</f>
      </c>
      <c r="D202" s="104">
        <f>IF($AF202="","",IF($AF202&lt;=1200,IF(INDEX(对接源_01水果!$G$4:$G$1203,$AF202)=0,"",INDEX(对接源_01水果!$G$4:$G$1203,$AF202)),IF(INDEX(对接源_02物料!$G$4:$G$1203,$AF202-1200)=0,"",INDEX(对接源_02物料!$G$4:$G$1203,$AF202-1200))))</f>
      </c>
      <c r="E202" s="166">
        <f>IF($AF202="","",IF($AF202&lt;=1200,IF(INDEX(对接源_01水果!$H$4:$H$1203,$AF202)=0,"",INDEX(对接源_01水果!$H$4:$H$1203,$AF202)),IF(INDEX(对接源_02物料!$H$4:$H$1203,$AF202-1200)=0,"",INDEX(对接源_02物料!$H$4:$H$1203,$AF202-1200))))</f>
      </c>
      <c r="F202" s="104">
        <f>IF($AF202="","",IF($AF202&lt;=1200,IF(INDEX(对接源_01水果!$I$4:$I$1203,$AF202)=0,"",INDEX(对接源_01水果!$I$4:$I$1203,$AF202)),IF(INDEX(对接源_02物料!$I$4:$I$1203,$AF202-1200)=0,"",INDEX(对接源_02物料!$I$4:$I$1203,$AF202-1200))))</f>
      </c>
      <c r="G202" s="175">
        <f>IF($AF202="","",IF($AF202&lt;=1200,IF(INDEX(对接源_01水果!$J$4:$J$1203,$AF202)=0,"",INDEX(对接源_01水果!$J$4:$J$1203,$AF202)),IF(INDEX(对接源_02物料!$J$4:$J$1203,$AF202-1200)=0,"",INDEX(对接源_02物料!$J$4:$J$1203,$AF202-1200))))</f>
      </c>
      <c r="H202" s="104">
        <f>IF($AF202="","",IF($AF202&lt;=1200,IF(INDEX(对接源_01水果!$W$4:$W$1203,$AF202)=0,"",INDEX(对接源_01水果!$W$4:$W$1203,$AF202)),IF(INDEX(对接源_02物料!$W$4:$W$1203,$AF202-1200)=0,"",INDEX(对接源_02物料!$W$4:$W$1203,$AF202-1200))))</f>
      </c>
      <c r="I202" s="104">
        <f>IF($AF202="","",IF($AF202&lt;=1200,IF(INDEX(对接源_01水果!$D$4:$D$1203,$AF202)=0,"",INDEX(对接源_01水果!$D$4:$D$1203,$AF202)),IF(INDEX(对接源_02物料!$D$4:$D$1203,$AF202-1200)=0,"",INDEX(对接源_02物料!$D$4:$D$1203,$AF202-1200))))</f>
      </c>
      <c r="J202" s="107">
        <f>IF($AF202="","",IF($AF202&lt;=1200,IF(INDEX(对接源_01水果!$M$4:$M$1203,$AF202)=0,"",INDEX(对接源_01水果!$M$4:$M$1203,$AF202)),IF(INDEX(对接源_02物料!$M$4:$M$1203,$AF202-1200)=0,"",INDEX(对接源_02物料!$M$4:$M$1203,$AF202-1200))))</f>
      </c>
      <c r="AF202" s="2">
        <f>IFERROR(MATCH(74,_自动清单!$AC$4:$AC$2403,0),"")</f>
      </c>
      <c r="AL202" s="2">
        <f>IF($D202="","",$D202)</f>
      </c>
      <c r="AM202" s="2">
        <f>IF(AL202="",0,IF(MATCH(AL202,AL$129:AL$208,0)=74,1,0))</f>
        <v>0</v>
      </c>
      <c r="AN202" s="2">
        <f>N(AN201)+AM202</f>
        <v>0</v>
      </c>
    </row>
    <row r="203" ht="18" customHeight="1" s="127">
      <c r="A203" s="163">
        <f>IF($AF203="","",IF($AF203&lt;=1200,IF(INDEX(对接源_01水果!$B$4:$B$1203,$AF203)=0,"",INDEX(对接源_01水果!$B$4:$B$1203,$AF203)),IF(INDEX(对接源_02物料!$B$4:$B$1203,$AF203-1200)=0,"",INDEX(对接源_02物料!$B$4:$B$1203,$AF203-1200))))</f>
      </c>
      <c r="B203" s="61">
        <f>IF($AF203="","",IF($AF203&lt;=1200,IF(INDEX(对接源_01水果!$E$4:$E$1203,$AF203)=0,"",INDEX(对接源_01水果!$E$4:$E$1203,$AF203)),IF(INDEX(对接源_02物料!$E$4:$E$1203,$AF203-1200)=0,"",INDEX(对接源_02物料!$E$4:$E$1203,$AF203-1200))))</f>
      </c>
      <c r="C203" s="61">
        <f>IF($AF203="","",IF($AF203&lt;=1200,IF(INDEX(对接源_01水果!$F$4:$F$1203,$AF203)=0,"",INDEX(对接源_01水果!$F$4:$F$1203,$AF203)),IF(INDEX(对接源_02物料!$F$4:$F$1203,$AF203-1200)=0,"",INDEX(对接源_02物料!$F$4:$F$1203,$AF203-1200))))</f>
      </c>
      <c r="D203" s="61">
        <f>IF($AF203="","",IF($AF203&lt;=1200,IF(INDEX(对接源_01水果!$G$4:$G$1203,$AF203)=0,"",INDEX(对接源_01水果!$G$4:$G$1203,$AF203)),IF(INDEX(对接源_02物料!$G$4:$G$1203,$AF203-1200)=0,"",INDEX(对接源_02物料!$G$4:$G$1203,$AF203-1200))))</f>
      </c>
      <c r="E203" s="164">
        <f>IF($AF203="","",IF($AF203&lt;=1200,IF(INDEX(对接源_01水果!$H$4:$H$1203,$AF203)=0,"",INDEX(对接源_01水果!$H$4:$H$1203,$AF203)),IF(INDEX(对接源_02物料!$H$4:$H$1203,$AF203-1200)=0,"",INDEX(对接源_02物料!$H$4:$H$1203,$AF203-1200))))</f>
      </c>
      <c r="F203" s="61">
        <f>IF($AF203="","",IF($AF203&lt;=1200,IF(INDEX(对接源_01水果!$I$4:$I$1203,$AF203)=0,"",INDEX(对接源_01水果!$I$4:$I$1203,$AF203)),IF(INDEX(对接源_02物料!$I$4:$I$1203,$AF203-1200)=0,"",INDEX(对接源_02物料!$I$4:$I$1203,$AF203-1200))))</f>
      </c>
      <c r="G203" s="173">
        <f>IF($AF203="","",IF($AF203&lt;=1200,IF(INDEX(对接源_01水果!$J$4:$J$1203,$AF203)=0,"",INDEX(对接源_01水果!$J$4:$J$1203,$AF203)),IF(INDEX(对接源_02物料!$J$4:$J$1203,$AF203-1200)=0,"",INDEX(对接源_02物料!$J$4:$J$1203,$AF203-1200))))</f>
      </c>
      <c r="H203" s="61">
        <f>IF($AF203="","",IF($AF203&lt;=1200,IF(INDEX(对接源_01水果!$W$4:$W$1203,$AF203)=0,"",INDEX(对接源_01水果!$W$4:$W$1203,$AF203)),IF(INDEX(对接源_02物料!$W$4:$W$1203,$AF203-1200)=0,"",INDEX(对接源_02物料!$W$4:$W$1203,$AF203-1200))))</f>
      </c>
      <c r="I203" s="61">
        <f>IF($AF203="","",IF($AF203&lt;=1200,IF(INDEX(对接源_01水果!$D$4:$D$1203,$AF203)=0,"",INDEX(对接源_01水果!$D$4:$D$1203,$AF203)),IF(INDEX(对接源_02物料!$D$4:$D$1203,$AF203-1200)=0,"",INDEX(对接源_02物料!$D$4:$D$1203,$AF203-1200))))</f>
      </c>
      <c r="J203" s="64">
        <f>IF($AF203="","",IF($AF203&lt;=1200,IF(INDEX(对接源_01水果!$M$4:$M$1203,$AF203)=0,"",INDEX(对接源_01水果!$M$4:$M$1203,$AF203)),IF(INDEX(对接源_02物料!$M$4:$M$1203,$AF203-1200)=0,"",INDEX(对接源_02物料!$M$4:$M$1203,$AF203-1200))))</f>
      </c>
      <c r="AF203" s="2">
        <f>IFERROR(MATCH(75,_自动清单!$AC$4:$AC$2403,0),"")</f>
      </c>
      <c r="AL203" s="2">
        <f>IF($D203="","",$D203)</f>
      </c>
      <c r="AM203" s="2">
        <f>IF(AL203="",0,IF(MATCH(AL203,AL$129:AL$208,0)=75,1,0))</f>
        <v>0</v>
      </c>
      <c r="AN203" s="2">
        <f>N(AN202)+AM203</f>
        <v>0</v>
      </c>
    </row>
    <row r="204" ht="18" customHeight="1" s="127">
      <c r="A204" s="165">
        <f>IF($AF204="","",IF($AF204&lt;=1200,IF(INDEX(对接源_01水果!$B$4:$B$1203,$AF204)=0,"",INDEX(对接源_01水果!$B$4:$B$1203,$AF204)),IF(INDEX(对接源_02物料!$B$4:$B$1203,$AF204-1200)=0,"",INDEX(对接源_02物料!$B$4:$B$1203,$AF204-1200))))</f>
      </c>
      <c r="B204" s="104">
        <f>IF($AF204="","",IF($AF204&lt;=1200,IF(INDEX(对接源_01水果!$E$4:$E$1203,$AF204)=0,"",INDEX(对接源_01水果!$E$4:$E$1203,$AF204)),IF(INDEX(对接源_02物料!$E$4:$E$1203,$AF204-1200)=0,"",INDEX(对接源_02物料!$E$4:$E$1203,$AF204-1200))))</f>
      </c>
      <c r="C204" s="104">
        <f>IF($AF204="","",IF($AF204&lt;=1200,IF(INDEX(对接源_01水果!$F$4:$F$1203,$AF204)=0,"",INDEX(对接源_01水果!$F$4:$F$1203,$AF204)),IF(INDEX(对接源_02物料!$F$4:$F$1203,$AF204-1200)=0,"",INDEX(对接源_02物料!$F$4:$F$1203,$AF204-1200))))</f>
      </c>
      <c r="D204" s="104">
        <f>IF($AF204="","",IF($AF204&lt;=1200,IF(INDEX(对接源_01水果!$G$4:$G$1203,$AF204)=0,"",INDEX(对接源_01水果!$G$4:$G$1203,$AF204)),IF(INDEX(对接源_02物料!$G$4:$G$1203,$AF204-1200)=0,"",INDEX(对接源_02物料!$G$4:$G$1203,$AF204-1200))))</f>
      </c>
      <c r="E204" s="166">
        <f>IF($AF204="","",IF($AF204&lt;=1200,IF(INDEX(对接源_01水果!$H$4:$H$1203,$AF204)=0,"",INDEX(对接源_01水果!$H$4:$H$1203,$AF204)),IF(INDEX(对接源_02物料!$H$4:$H$1203,$AF204-1200)=0,"",INDEX(对接源_02物料!$H$4:$H$1203,$AF204-1200))))</f>
      </c>
      <c r="F204" s="104">
        <f>IF($AF204="","",IF($AF204&lt;=1200,IF(INDEX(对接源_01水果!$I$4:$I$1203,$AF204)=0,"",INDEX(对接源_01水果!$I$4:$I$1203,$AF204)),IF(INDEX(对接源_02物料!$I$4:$I$1203,$AF204-1200)=0,"",INDEX(对接源_02物料!$I$4:$I$1203,$AF204-1200))))</f>
      </c>
      <c r="G204" s="175">
        <f>IF($AF204="","",IF($AF204&lt;=1200,IF(INDEX(对接源_01水果!$J$4:$J$1203,$AF204)=0,"",INDEX(对接源_01水果!$J$4:$J$1203,$AF204)),IF(INDEX(对接源_02物料!$J$4:$J$1203,$AF204-1200)=0,"",INDEX(对接源_02物料!$J$4:$J$1203,$AF204-1200))))</f>
      </c>
      <c r="H204" s="104">
        <f>IF($AF204="","",IF($AF204&lt;=1200,IF(INDEX(对接源_01水果!$W$4:$W$1203,$AF204)=0,"",INDEX(对接源_01水果!$W$4:$W$1203,$AF204)),IF(INDEX(对接源_02物料!$W$4:$W$1203,$AF204-1200)=0,"",INDEX(对接源_02物料!$W$4:$W$1203,$AF204-1200))))</f>
      </c>
      <c r="I204" s="104">
        <f>IF($AF204="","",IF($AF204&lt;=1200,IF(INDEX(对接源_01水果!$D$4:$D$1203,$AF204)=0,"",INDEX(对接源_01水果!$D$4:$D$1203,$AF204)),IF(INDEX(对接源_02物料!$D$4:$D$1203,$AF204-1200)=0,"",INDEX(对接源_02物料!$D$4:$D$1203,$AF204-1200))))</f>
      </c>
      <c r="J204" s="107">
        <f>IF($AF204="","",IF($AF204&lt;=1200,IF(INDEX(对接源_01水果!$M$4:$M$1203,$AF204)=0,"",INDEX(对接源_01水果!$M$4:$M$1203,$AF204)),IF(INDEX(对接源_02物料!$M$4:$M$1203,$AF204-1200)=0,"",INDEX(对接源_02物料!$M$4:$M$1203,$AF204-1200))))</f>
      </c>
      <c r="AF204" s="2">
        <f>IFERROR(MATCH(76,_自动清单!$AC$4:$AC$2403,0),"")</f>
      </c>
      <c r="AL204" s="2">
        <f>IF($D204="","",$D204)</f>
      </c>
      <c r="AM204" s="2">
        <f>IF(AL204="",0,IF(MATCH(AL204,AL$129:AL$208,0)=76,1,0))</f>
        <v>0</v>
      </c>
      <c r="AN204" s="2">
        <f>N(AN203)+AM204</f>
        <v>0</v>
      </c>
    </row>
    <row r="205" ht="18" customHeight="1" s="127">
      <c r="A205" s="163">
        <f>IF($AF205="","",IF($AF205&lt;=1200,IF(INDEX(对接源_01水果!$B$4:$B$1203,$AF205)=0,"",INDEX(对接源_01水果!$B$4:$B$1203,$AF205)),IF(INDEX(对接源_02物料!$B$4:$B$1203,$AF205-1200)=0,"",INDEX(对接源_02物料!$B$4:$B$1203,$AF205-1200))))</f>
      </c>
      <c r="B205" s="61">
        <f>IF($AF205="","",IF($AF205&lt;=1200,IF(INDEX(对接源_01水果!$E$4:$E$1203,$AF205)=0,"",INDEX(对接源_01水果!$E$4:$E$1203,$AF205)),IF(INDEX(对接源_02物料!$E$4:$E$1203,$AF205-1200)=0,"",INDEX(对接源_02物料!$E$4:$E$1203,$AF205-1200))))</f>
      </c>
      <c r="C205" s="61">
        <f>IF($AF205="","",IF($AF205&lt;=1200,IF(INDEX(对接源_01水果!$F$4:$F$1203,$AF205)=0,"",INDEX(对接源_01水果!$F$4:$F$1203,$AF205)),IF(INDEX(对接源_02物料!$F$4:$F$1203,$AF205-1200)=0,"",INDEX(对接源_02物料!$F$4:$F$1203,$AF205-1200))))</f>
      </c>
      <c r="D205" s="61">
        <f>IF($AF205="","",IF($AF205&lt;=1200,IF(INDEX(对接源_01水果!$G$4:$G$1203,$AF205)=0,"",INDEX(对接源_01水果!$G$4:$G$1203,$AF205)),IF(INDEX(对接源_02物料!$G$4:$G$1203,$AF205-1200)=0,"",INDEX(对接源_02物料!$G$4:$G$1203,$AF205-1200))))</f>
      </c>
      <c r="E205" s="164">
        <f>IF($AF205="","",IF($AF205&lt;=1200,IF(INDEX(对接源_01水果!$H$4:$H$1203,$AF205)=0,"",INDEX(对接源_01水果!$H$4:$H$1203,$AF205)),IF(INDEX(对接源_02物料!$H$4:$H$1203,$AF205-1200)=0,"",INDEX(对接源_02物料!$H$4:$H$1203,$AF205-1200))))</f>
      </c>
      <c r="F205" s="61">
        <f>IF($AF205="","",IF($AF205&lt;=1200,IF(INDEX(对接源_01水果!$I$4:$I$1203,$AF205)=0,"",INDEX(对接源_01水果!$I$4:$I$1203,$AF205)),IF(INDEX(对接源_02物料!$I$4:$I$1203,$AF205-1200)=0,"",INDEX(对接源_02物料!$I$4:$I$1203,$AF205-1200))))</f>
      </c>
      <c r="G205" s="173">
        <f>IF($AF205="","",IF($AF205&lt;=1200,IF(INDEX(对接源_01水果!$J$4:$J$1203,$AF205)=0,"",INDEX(对接源_01水果!$J$4:$J$1203,$AF205)),IF(INDEX(对接源_02物料!$J$4:$J$1203,$AF205-1200)=0,"",INDEX(对接源_02物料!$J$4:$J$1203,$AF205-1200))))</f>
      </c>
      <c r="H205" s="61">
        <f>IF($AF205="","",IF($AF205&lt;=1200,IF(INDEX(对接源_01水果!$W$4:$W$1203,$AF205)=0,"",INDEX(对接源_01水果!$W$4:$W$1203,$AF205)),IF(INDEX(对接源_02物料!$W$4:$W$1203,$AF205-1200)=0,"",INDEX(对接源_02物料!$W$4:$W$1203,$AF205-1200))))</f>
      </c>
      <c r="I205" s="61">
        <f>IF($AF205="","",IF($AF205&lt;=1200,IF(INDEX(对接源_01水果!$D$4:$D$1203,$AF205)=0,"",INDEX(对接源_01水果!$D$4:$D$1203,$AF205)),IF(INDEX(对接源_02物料!$D$4:$D$1203,$AF205-1200)=0,"",INDEX(对接源_02物料!$D$4:$D$1203,$AF205-1200))))</f>
      </c>
      <c r="J205" s="64">
        <f>IF($AF205="","",IF($AF205&lt;=1200,IF(INDEX(对接源_01水果!$M$4:$M$1203,$AF205)=0,"",INDEX(对接源_01水果!$M$4:$M$1203,$AF205)),IF(INDEX(对接源_02物料!$M$4:$M$1203,$AF205-1200)=0,"",INDEX(对接源_02物料!$M$4:$M$1203,$AF205-1200))))</f>
      </c>
      <c r="AF205" s="2">
        <f>IFERROR(MATCH(77,_自动清单!$AC$4:$AC$2403,0),"")</f>
      </c>
      <c r="AL205" s="2">
        <f>IF($D205="","",$D205)</f>
      </c>
      <c r="AM205" s="2">
        <f>IF(AL205="",0,IF(MATCH(AL205,AL$129:AL$208,0)=77,1,0))</f>
        <v>0</v>
      </c>
      <c r="AN205" s="2">
        <f>N(AN204)+AM205</f>
        <v>0</v>
      </c>
    </row>
    <row r="206" ht="18" customHeight="1" s="127">
      <c r="A206" s="165">
        <f>IF($AF206="","",IF($AF206&lt;=1200,IF(INDEX(对接源_01水果!$B$4:$B$1203,$AF206)=0,"",INDEX(对接源_01水果!$B$4:$B$1203,$AF206)),IF(INDEX(对接源_02物料!$B$4:$B$1203,$AF206-1200)=0,"",INDEX(对接源_02物料!$B$4:$B$1203,$AF206-1200))))</f>
      </c>
      <c r="B206" s="104">
        <f>IF($AF206="","",IF($AF206&lt;=1200,IF(INDEX(对接源_01水果!$E$4:$E$1203,$AF206)=0,"",INDEX(对接源_01水果!$E$4:$E$1203,$AF206)),IF(INDEX(对接源_02物料!$E$4:$E$1203,$AF206-1200)=0,"",INDEX(对接源_02物料!$E$4:$E$1203,$AF206-1200))))</f>
      </c>
      <c r="C206" s="104">
        <f>IF($AF206="","",IF($AF206&lt;=1200,IF(INDEX(对接源_01水果!$F$4:$F$1203,$AF206)=0,"",INDEX(对接源_01水果!$F$4:$F$1203,$AF206)),IF(INDEX(对接源_02物料!$F$4:$F$1203,$AF206-1200)=0,"",INDEX(对接源_02物料!$F$4:$F$1203,$AF206-1200))))</f>
      </c>
      <c r="D206" s="104">
        <f>IF($AF206="","",IF($AF206&lt;=1200,IF(INDEX(对接源_01水果!$G$4:$G$1203,$AF206)=0,"",INDEX(对接源_01水果!$G$4:$G$1203,$AF206)),IF(INDEX(对接源_02物料!$G$4:$G$1203,$AF206-1200)=0,"",INDEX(对接源_02物料!$G$4:$G$1203,$AF206-1200))))</f>
      </c>
      <c r="E206" s="166">
        <f>IF($AF206="","",IF($AF206&lt;=1200,IF(INDEX(对接源_01水果!$H$4:$H$1203,$AF206)=0,"",INDEX(对接源_01水果!$H$4:$H$1203,$AF206)),IF(INDEX(对接源_02物料!$H$4:$H$1203,$AF206-1200)=0,"",INDEX(对接源_02物料!$H$4:$H$1203,$AF206-1200))))</f>
      </c>
      <c r="F206" s="104">
        <f>IF($AF206="","",IF($AF206&lt;=1200,IF(INDEX(对接源_01水果!$I$4:$I$1203,$AF206)=0,"",INDEX(对接源_01水果!$I$4:$I$1203,$AF206)),IF(INDEX(对接源_02物料!$I$4:$I$1203,$AF206-1200)=0,"",INDEX(对接源_02物料!$I$4:$I$1203,$AF206-1200))))</f>
      </c>
      <c r="G206" s="175">
        <f>IF($AF206="","",IF($AF206&lt;=1200,IF(INDEX(对接源_01水果!$J$4:$J$1203,$AF206)=0,"",INDEX(对接源_01水果!$J$4:$J$1203,$AF206)),IF(INDEX(对接源_02物料!$J$4:$J$1203,$AF206-1200)=0,"",INDEX(对接源_02物料!$J$4:$J$1203,$AF206-1200))))</f>
      </c>
      <c r="H206" s="104">
        <f>IF($AF206="","",IF($AF206&lt;=1200,IF(INDEX(对接源_01水果!$W$4:$W$1203,$AF206)=0,"",INDEX(对接源_01水果!$W$4:$W$1203,$AF206)),IF(INDEX(对接源_02物料!$W$4:$W$1203,$AF206-1200)=0,"",INDEX(对接源_02物料!$W$4:$W$1203,$AF206-1200))))</f>
      </c>
      <c r="I206" s="104">
        <f>IF($AF206="","",IF($AF206&lt;=1200,IF(INDEX(对接源_01水果!$D$4:$D$1203,$AF206)=0,"",INDEX(对接源_01水果!$D$4:$D$1203,$AF206)),IF(INDEX(对接源_02物料!$D$4:$D$1203,$AF206-1200)=0,"",INDEX(对接源_02物料!$D$4:$D$1203,$AF206-1200))))</f>
      </c>
      <c r="J206" s="107">
        <f>IF($AF206="","",IF($AF206&lt;=1200,IF(INDEX(对接源_01水果!$M$4:$M$1203,$AF206)=0,"",INDEX(对接源_01水果!$M$4:$M$1203,$AF206)),IF(INDEX(对接源_02物料!$M$4:$M$1203,$AF206-1200)=0,"",INDEX(对接源_02物料!$M$4:$M$1203,$AF206-1200))))</f>
      </c>
      <c r="AF206" s="2">
        <f>IFERROR(MATCH(78,_自动清单!$AC$4:$AC$2403,0),"")</f>
      </c>
      <c r="AL206" s="2">
        <f>IF($D206="","",$D206)</f>
      </c>
      <c r="AM206" s="2">
        <f>IF(AL206="",0,IF(MATCH(AL206,AL$129:AL$208,0)=78,1,0))</f>
        <v>0</v>
      </c>
      <c r="AN206" s="2">
        <f>N(AN205)+AM206</f>
        <v>0</v>
      </c>
    </row>
    <row r="207" ht="18" customHeight="1" s="127">
      <c r="A207" s="163">
        <f>IF($AF207="","",IF($AF207&lt;=1200,IF(INDEX(对接源_01水果!$B$4:$B$1203,$AF207)=0,"",INDEX(对接源_01水果!$B$4:$B$1203,$AF207)),IF(INDEX(对接源_02物料!$B$4:$B$1203,$AF207-1200)=0,"",INDEX(对接源_02物料!$B$4:$B$1203,$AF207-1200))))</f>
      </c>
      <c r="B207" s="61">
        <f>IF($AF207="","",IF($AF207&lt;=1200,IF(INDEX(对接源_01水果!$E$4:$E$1203,$AF207)=0,"",INDEX(对接源_01水果!$E$4:$E$1203,$AF207)),IF(INDEX(对接源_02物料!$E$4:$E$1203,$AF207-1200)=0,"",INDEX(对接源_02物料!$E$4:$E$1203,$AF207-1200))))</f>
      </c>
      <c r="C207" s="61">
        <f>IF($AF207="","",IF($AF207&lt;=1200,IF(INDEX(对接源_01水果!$F$4:$F$1203,$AF207)=0,"",INDEX(对接源_01水果!$F$4:$F$1203,$AF207)),IF(INDEX(对接源_02物料!$F$4:$F$1203,$AF207-1200)=0,"",INDEX(对接源_02物料!$F$4:$F$1203,$AF207-1200))))</f>
      </c>
      <c r="D207" s="61">
        <f>IF($AF207="","",IF($AF207&lt;=1200,IF(INDEX(对接源_01水果!$G$4:$G$1203,$AF207)=0,"",INDEX(对接源_01水果!$G$4:$G$1203,$AF207)),IF(INDEX(对接源_02物料!$G$4:$G$1203,$AF207-1200)=0,"",INDEX(对接源_02物料!$G$4:$G$1203,$AF207-1200))))</f>
      </c>
      <c r="E207" s="164">
        <f>IF($AF207="","",IF($AF207&lt;=1200,IF(INDEX(对接源_01水果!$H$4:$H$1203,$AF207)=0,"",INDEX(对接源_01水果!$H$4:$H$1203,$AF207)),IF(INDEX(对接源_02物料!$H$4:$H$1203,$AF207-1200)=0,"",INDEX(对接源_02物料!$H$4:$H$1203,$AF207-1200))))</f>
      </c>
      <c r="F207" s="61">
        <f>IF($AF207="","",IF($AF207&lt;=1200,IF(INDEX(对接源_01水果!$I$4:$I$1203,$AF207)=0,"",INDEX(对接源_01水果!$I$4:$I$1203,$AF207)),IF(INDEX(对接源_02物料!$I$4:$I$1203,$AF207-1200)=0,"",INDEX(对接源_02物料!$I$4:$I$1203,$AF207-1200))))</f>
      </c>
      <c r="G207" s="173">
        <f>IF($AF207="","",IF($AF207&lt;=1200,IF(INDEX(对接源_01水果!$J$4:$J$1203,$AF207)=0,"",INDEX(对接源_01水果!$J$4:$J$1203,$AF207)),IF(INDEX(对接源_02物料!$J$4:$J$1203,$AF207-1200)=0,"",INDEX(对接源_02物料!$J$4:$J$1203,$AF207-1200))))</f>
      </c>
      <c r="H207" s="61">
        <f>IF($AF207="","",IF($AF207&lt;=1200,IF(INDEX(对接源_01水果!$W$4:$W$1203,$AF207)=0,"",INDEX(对接源_01水果!$W$4:$W$1203,$AF207)),IF(INDEX(对接源_02物料!$W$4:$W$1203,$AF207-1200)=0,"",INDEX(对接源_02物料!$W$4:$W$1203,$AF207-1200))))</f>
      </c>
      <c r="I207" s="61">
        <f>IF($AF207="","",IF($AF207&lt;=1200,IF(INDEX(对接源_01水果!$D$4:$D$1203,$AF207)=0,"",INDEX(对接源_01水果!$D$4:$D$1203,$AF207)),IF(INDEX(对接源_02物料!$D$4:$D$1203,$AF207-1200)=0,"",INDEX(对接源_02物料!$D$4:$D$1203,$AF207-1200))))</f>
      </c>
      <c r="J207" s="64">
        <f>IF($AF207="","",IF($AF207&lt;=1200,IF(INDEX(对接源_01水果!$M$4:$M$1203,$AF207)=0,"",INDEX(对接源_01水果!$M$4:$M$1203,$AF207)),IF(INDEX(对接源_02物料!$M$4:$M$1203,$AF207-1200)=0,"",INDEX(对接源_02物料!$M$4:$M$1203,$AF207-1200))))</f>
      </c>
      <c r="AF207" s="2">
        <f>IFERROR(MATCH(79,_自动清单!$AC$4:$AC$2403,0),"")</f>
      </c>
      <c r="AL207" s="2">
        <f>IF($D207="","",$D207)</f>
      </c>
      <c r="AM207" s="2">
        <f>IF(AL207="",0,IF(MATCH(AL207,AL$129:AL$208,0)=79,1,0))</f>
        <v>0</v>
      </c>
      <c r="AN207" s="2">
        <f>N(AN206)+AM207</f>
        <v>0</v>
      </c>
    </row>
    <row r="208" ht="18" customHeight="1" s="127">
      <c r="A208" s="165">
        <f>IF($AF208="","",IF($AF208&lt;=1200,IF(INDEX(对接源_01水果!$B$4:$B$1203,$AF208)=0,"",INDEX(对接源_01水果!$B$4:$B$1203,$AF208)),IF(INDEX(对接源_02物料!$B$4:$B$1203,$AF208-1200)=0,"",INDEX(对接源_02物料!$B$4:$B$1203,$AF208-1200))))</f>
      </c>
      <c r="B208" s="104">
        <f>IF($AF208="","",IF($AF208&lt;=1200,IF(INDEX(对接源_01水果!$E$4:$E$1203,$AF208)=0,"",INDEX(对接源_01水果!$E$4:$E$1203,$AF208)),IF(INDEX(对接源_02物料!$E$4:$E$1203,$AF208-1200)=0,"",INDEX(对接源_02物料!$E$4:$E$1203,$AF208-1200))))</f>
      </c>
      <c r="C208" s="104">
        <f>IF($AF208="","",IF($AF208&lt;=1200,IF(INDEX(对接源_01水果!$F$4:$F$1203,$AF208)=0,"",INDEX(对接源_01水果!$F$4:$F$1203,$AF208)),IF(INDEX(对接源_02物料!$F$4:$F$1203,$AF208-1200)=0,"",INDEX(对接源_02物料!$F$4:$F$1203,$AF208-1200))))</f>
      </c>
      <c r="D208" s="104">
        <f>IF($AF208="","",IF($AF208&lt;=1200,IF(INDEX(对接源_01水果!$G$4:$G$1203,$AF208)=0,"",INDEX(对接源_01水果!$G$4:$G$1203,$AF208)),IF(INDEX(对接源_02物料!$G$4:$G$1203,$AF208-1200)=0,"",INDEX(对接源_02物料!$G$4:$G$1203,$AF208-1200))))</f>
      </c>
      <c r="E208" s="166">
        <f>IF($AF208="","",IF($AF208&lt;=1200,IF(INDEX(对接源_01水果!$H$4:$H$1203,$AF208)=0,"",INDEX(对接源_01水果!$H$4:$H$1203,$AF208)),IF(INDEX(对接源_02物料!$H$4:$H$1203,$AF208-1200)=0,"",INDEX(对接源_02物料!$H$4:$H$1203,$AF208-1200))))</f>
      </c>
      <c r="F208" s="104">
        <f>IF($AF208="","",IF($AF208&lt;=1200,IF(INDEX(对接源_01水果!$I$4:$I$1203,$AF208)=0,"",INDEX(对接源_01水果!$I$4:$I$1203,$AF208)),IF(INDEX(对接源_02物料!$I$4:$I$1203,$AF208-1200)=0,"",INDEX(对接源_02物料!$I$4:$I$1203,$AF208-1200))))</f>
      </c>
      <c r="G208" s="175">
        <f>IF($AF208="","",IF($AF208&lt;=1200,IF(INDEX(对接源_01水果!$J$4:$J$1203,$AF208)=0,"",INDEX(对接源_01水果!$J$4:$J$1203,$AF208)),IF(INDEX(对接源_02物料!$J$4:$J$1203,$AF208-1200)=0,"",INDEX(对接源_02物料!$J$4:$J$1203,$AF208-1200))))</f>
      </c>
      <c r="H208" s="104">
        <f>IF($AF208="","",IF($AF208&lt;=1200,IF(INDEX(对接源_01水果!$W$4:$W$1203,$AF208)=0,"",INDEX(对接源_01水果!$W$4:$W$1203,$AF208)),IF(INDEX(对接源_02物料!$W$4:$W$1203,$AF208-1200)=0,"",INDEX(对接源_02物料!$W$4:$W$1203,$AF208-1200))))</f>
      </c>
      <c r="I208" s="104">
        <f>IF($AF208="","",IF($AF208&lt;=1200,IF(INDEX(对接源_01水果!$D$4:$D$1203,$AF208)=0,"",INDEX(对接源_01水果!$D$4:$D$1203,$AF208)),IF(INDEX(对接源_02物料!$D$4:$D$1203,$AF208-1200)=0,"",INDEX(对接源_02物料!$D$4:$D$1203,$AF208-1200))))</f>
      </c>
      <c r="J208" s="107">
        <f>IF($AF208="","",IF($AF208&lt;=1200,IF(INDEX(对接源_01水果!$M$4:$M$1203,$AF208)=0,"",INDEX(对接源_01水果!$M$4:$M$1203,$AF208)),IF(INDEX(对接源_02物料!$M$4:$M$1203,$AF208-1200)=0,"",INDEX(对接源_02物料!$M$4:$M$1203,$AF208-1200))))</f>
      </c>
      <c r="AF208" s="2">
        <f>IFERROR(MATCH(80,_自动清单!$AC$4:$AC$2403,0),"")</f>
      </c>
      <c r="AL208" s="2">
        <f>IF($D208="","",$D208)</f>
      </c>
      <c r="AM208" s="2">
        <f>IF(AL208="",0,IF(MATCH(AL208,AL$129:AL$208,0)=80,1,0))</f>
        <v>0</v>
      </c>
      <c r="AN208" s="2">
        <f>N(AN207)+AM208</f>
        <v>0</v>
      </c>
    </row>
    <row r="209"/>
    <row r="210" ht="24" customHeight="1" s="127">
      <c r="A210" s="54" t="inlineStr">
        <is>
          <t>成品出库总数 / 应收合计</t>
        </is>
      </c>
      <c r="B210" s="160" t="n"/>
      <c r="C210" s="160" t="n"/>
      <c r="D210" s="160" t="n"/>
      <c r="E210" s="160" t="n"/>
      <c r="F210" s="160" t="n"/>
      <c r="G210" s="158" t="n"/>
      <c r="H210" s="172" t="str">
        <f>ROUND(SUMIFS(对接源_01水果!$H$4:$H$1203,对接源_01水果!$C$4:$C$1203,$B$2,对接源_01水果!$B$4:$B$1203,"&gt;="&amp;$P$1,对接源_01水果!$B$4:$B$1203,"&lt;="&amp;$P$2,对接源_01水果!$D$4:$D$1203,"成品出库*")+SUMIFS(对接源_02物料!$H$4:$H$1203,对接源_02物料!$C$4:$C$1203,$B$2,对接源_02物料!$B$4:$B$1203,"&gt;="&amp;$P$1,对接源_02物料!$B$4:$B$1203,"&lt;="&amp;$P$2,对接源_02物料!$D$4:$D$1203,"成品出库*"),0)&amp;"　件　｜　应收 "&amp;TEXT(ROUND(SUMIFS(对接源_01水果!$K$4:$K$1203,对接源_01水果!$C$4:$C$1203,$B$2,对接源_01水果!$B$4:$B$1203,"&gt;="&amp;$P$1,对接源_01水果!$B$4:$B$1203,"&lt;="&amp;$P$2,对接源_01水果!$D$4:$D$1203,"成品出库*")+SUMIFS(对接源_02物料!$K$4:$K$1203,对接源_02物料!$C$4:$C$1203,$B$2,对接源_02物料!$B$4:$B$1203,"&gt;="&amp;$P$1,对接源_02物料!$B$4:$B$1203,"&lt;="&amp;$P$2,对接源_02物料!$D$4:$D$1203,"成品出库*"),2),"#,##0.00")&amp;" 元"</f>
        <v>0　件　｜　应收 0.00 元</v>
      </c>
      <c r="I210" s="160" t="n"/>
      <c r="J210" s="158" t="n"/>
    </row>
    <row r="211" ht="30" customHeight="1" s="127">
      <c r="A211" s="59" t="inlineStr">
        <is>
          <t>日　期</t>
        </is>
      </c>
      <c r="B211" s="59" t="inlineStr">
        <is>
          <t>票据单号</t>
        </is>
      </c>
      <c r="C211" s="59" t="inlineStr">
        <is>
          <t>品　名</t>
        </is>
      </c>
      <c r="D211" s="59" t="inlineStr">
        <is>
          <t>等　级</t>
        </is>
      </c>
      <c r="E211" s="59" t="inlineStr">
        <is>
          <t>出库数量</t>
        </is>
      </c>
      <c r="F211" s="59" t="inlineStr">
        <is>
          <t>单位</t>
        </is>
      </c>
      <c r="G211" s="59" t="inlineStr">
        <is>
          <t>总毛重KG</t>
        </is>
      </c>
      <c r="H211" s="59" t="inlineStr">
        <is>
          <t>金额（元）</t>
        </is>
      </c>
      <c r="I211" s="59" t="inlineStr">
        <is>
          <t>收款状态</t>
        </is>
      </c>
      <c r="J211" s="59" t="inlineStr">
        <is>
          <t>备　注</t>
        </is>
      </c>
    </row>
    <row r="212" ht="18" customHeight="1" s="127">
      <c r="A212" s="163">
        <f>IF($AG212="","",IF($AG212&lt;=1200,IF(INDEX(对接源_01水果!$B$4:$B$1203,$AG212)=0,"",INDEX(对接源_01水果!$B$4:$B$1203,$AG212)),IF(INDEX(对接源_02物料!$B$4:$B$1203,$AG212-1200)=0,"",INDEX(对接源_02物料!$B$4:$B$1203,$AG212-1200))))</f>
      </c>
      <c r="B212" s="61">
        <f>IF($AG212="","",IF($AG212&lt;=1200,IF(INDEX(对接源_01水果!$E$4:$E$1203,$AG212)=0,"",INDEX(对接源_01水果!$E$4:$E$1203,$AG212)),IF(INDEX(对接源_02物料!$E$4:$E$1203,$AG212-1200)=0,"",INDEX(对接源_02物料!$E$4:$E$1203,$AG212-1200))))</f>
      </c>
      <c r="C212" s="61">
        <f>IF($AG212="","",IF($AG212&lt;=1200,IF(INDEX(对接源_01水果!$F$4:$F$1203,$AG212)=0,"",INDEX(对接源_01水果!$F$4:$F$1203,$AG212)),IF(INDEX(对接源_02物料!$F$4:$F$1203,$AG212-1200)=0,"",INDEX(对接源_02物料!$F$4:$F$1203,$AG212-1200))))</f>
      </c>
      <c r="D212" s="61">
        <f>IF($AG212="","",IF($AG212&lt;=1200,IF(INDEX(对接源_01水果!$G$4:$G$1203,$AG212)=0,"",INDEX(对接源_01水果!$G$4:$G$1203,$AG212)),IF(INDEX(对接源_02物料!$G$4:$G$1203,$AG212-1200)=0,"",INDEX(对接源_02物料!$G$4:$G$1203,$AG212-1200))))</f>
      </c>
      <c r="E212" s="164">
        <f>IF($AG212="","",IF($AG212&lt;=1200,IF(INDEX(对接源_01水果!$H$4:$H$1203,$AG212)=0,"",INDEX(对接源_01水果!$H$4:$H$1203,$AG212)),IF(INDEX(对接源_02物料!$H$4:$H$1203,$AG212-1200)=0,"",INDEX(对接源_02物料!$H$4:$H$1203,$AG212-1200))))</f>
      </c>
      <c r="F212" s="61">
        <f>IF($AG212="","",IF($AG212&lt;=1200,IF(INDEX(对接源_01水果!$I$4:$I$1203,$AG212)=0,"",INDEX(对接源_01水果!$I$4:$I$1203,$AG212)),IF(INDEX(对接源_02物料!$I$4:$I$1203,$AG212-1200)=0,"",INDEX(对接源_02物料!$I$4:$I$1203,$AG212-1200))))</f>
      </c>
      <c r="G212" s="173">
        <f>IF($AG212="","",IF($AG212&lt;=1200,IF(INDEX(对接源_01水果!$J$4:$J$1203,$AG212)=0,"",INDEX(对接源_01水果!$J$4:$J$1203,$AG212)),IF(INDEX(对接源_02物料!$J$4:$J$1203,$AG212-1200)=0,"",INDEX(对接源_02物料!$J$4:$J$1203,$AG212-1200))))</f>
      </c>
      <c r="H212" s="173">
        <f>IF($AG212="","",IF($AG212&lt;=1200,IF(INDEX(对接源_01水果!$K$4:$K$1203,$AG212)=0,"",INDEX(对接源_01水果!$K$4:$K$1203,$AG212)),IF(INDEX(对接源_02物料!$K$4:$K$1203,$AG212-1200)=0,"",INDEX(对接源_02物料!$K$4:$K$1203,$AG212-1200))))</f>
      </c>
      <c r="I212" s="61">
        <f>IF($AG212="","",IF($AG212&lt;=1200,IF(INDEX(对接源_01水果!$L$4:$L$1203,$AG212)=0,"",INDEX(对接源_01水果!$L$4:$L$1203,$AG212)),IF(INDEX(对接源_02物料!$L$4:$L$1203,$AG212-1200)=0,"",INDEX(对接源_02物料!$L$4:$L$1203,$AG212-1200))))</f>
      </c>
      <c r="J212" s="64">
        <f>IF($AG212="","",IF($AG212&lt;=1200,IF(INDEX(对接源_01水果!$M$4:$M$1203,$AG212)=0,"",INDEX(对接源_01水果!$M$4:$M$1203,$AG212)),IF(INDEX(对接源_02物料!$M$4:$M$1203,$AG212-1200)=0,"",INDEX(对接源_02物料!$M$4:$M$1203,$AG212-1200))))</f>
      </c>
      <c r="AG212" s="2">
        <f>IFERROR(MATCH(1,_自动清单!$AE$4:$AE$2403,0),"")</f>
      </c>
    </row>
    <row r="213" ht="18" customHeight="1" s="127">
      <c r="A213" s="165">
        <f>IF($AG213="","",IF($AG213&lt;=1200,IF(INDEX(对接源_01水果!$B$4:$B$1203,$AG213)=0,"",INDEX(对接源_01水果!$B$4:$B$1203,$AG213)),IF(INDEX(对接源_02物料!$B$4:$B$1203,$AG213-1200)=0,"",INDEX(对接源_02物料!$B$4:$B$1203,$AG213-1200))))</f>
      </c>
      <c r="B213" s="104">
        <f>IF($AG213="","",IF($AG213&lt;=1200,IF(INDEX(对接源_01水果!$E$4:$E$1203,$AG213)=0,"",INDEX(对接源_01水果!$E$4:$E$1203,$AG213)),IF(INDEX(对接源_02物料!$E$4:$E$1203,$AG213-1200)=0,"",INDEX(对接源_02物料!$E$4:$E$1203,$AG213-1200))))</f>
      </c>
      <c r="C213" s="104">
        <f>IF($AG213="","",IF($AG213&lt;=1200,IF(INDEX(对接源_01水果!$F$4:$F$1203,$AG213)=0,"",INDEX(对接源_01水果!$F$4:$F$1203,$AG213)),IF(INDEX(对接源_02物料!$F$4:$F$1203,$AG213-1200)=0,"",INDEX(对接源_02物料!$F$4:$F$1203,$AG213-1200))))</f>
      </c>
      <c r="D213" s="104">
        <f>IF($AG213="","",IF($AG213&lt;=1200,IF(INDEX(对接源_01水果!$G$4:$G$1203,$AG213)=0,"",INDEX(对接源_01水果!$G$4:$G$1203,$AG213)),IF(INDEX(对接源_02物料!$G$4:$G$1203,$AG213-1200)=0,"",INDEX(对接源_02物料!$G$4:$G$1203,$AG213-1200))))</f>
      </c>
      <c r="E213" s="166">
        <f>IF($AG213="","",IF($AG213&lt;=1200,IF(INDEX(对接源_01水果!$H$4:$H$1203,$AG213)=0,"",INDEX(对接源_01水果!$H$4:$H$1203,$AG213)),IF(INDEX(对接源_02物料!$H$4:$H$1203,$AG213-1200)=0,"",INDEX(对接源_02物料!$H$4:$H$1203,$AG213-1200))))</f>
      </c>
      <c r="F213" s="104">
        <f>IF($AG213="","",IF($AG213&lt;=1200,IF(INDEX(对接源_01水果!$I$4:$I$1203,$AG213)=0,"",INDEX(对接源_01水果!$I$4:$I$1203,$AG213)),IF(INDEX(对接源_02物料!$I$4:$I$1203,$AG213-1200)=0,"",INDEX(对接源_02物料!$I$4:$I$1203,$AG213-1200))))</f>
      </c>
      <c r="G213" s="175">
        <f>IF($AG213="","",IF($AG213&lt;=1200,IF(INDEX(对接源_01水果!$J$4:$J$1203,$AG213)=0,"",INDEX(对接源_01水果!$J$4:$J$1203,$AG213)),IF(INDEX(对接源_02物料!$J$4:$J$1203,$AG213-1200)=0,"",INDEX(对接源_02物料!$J$4:$J$1203,$AG213-1200))))</f>
      </c>
      <c r="H213" s="175">
        <f>IF($AG213="","",IF($AG213&lt;=1200,IF(INDEX(对接源_01水果!$K$4:$K$1203,$AG213)=0,"",INDEX(对接源_01水果!$K$4:$K$1203,$AG213)),IF(INDEX(对接源_02物料!$K$4:$K$1203,$AG213-1200)=0,"",INDEX(对接源_02物料!$K$4:$K$1203,$AG213-1200))))</f>
      </c>
      <c r="I213" s="104">
        <f>IF($AG213="","",IF($AG213&lt;=1200,IF(INDEX(对接源_01水果!$L$4:$L$1203,$AG213)=0,"",INDEX(对接源_01水果!$L$4:$L$1203,$AG213)),IF(INDEX(对接源_02物料!$L$4:$L$1203,$AG213-1200)=0,"",INDEX(对接源_02物料!$L$4:$L$1203,$AG213-1200))))</f>
      </c>
      <c r="J213" s="107">
        <f>IF($AG213="","",IF($AG213&lt;=1200,IF(INDEX(对接源_01水果!$M$4:$M$1203,$AG213)=0,"",INDEX(对接源_01水果!$M$4:$M$1203,$AG213)),IF(INDEX(对接源_02物料!$M$4:$M$1203,$AG213-1200)=0,"",INDEX(对接源_02物料!$M$4:$M$1203,$AG213-1200))))</f>
      </c>
      <c r="AG213" s="2">
        <f>IFERROR(MATCH(2,_自动清单!$AE$4:$AE$2403,0),"")</f>
      </c>
    </row>
    <row r="214" ht="18" customHeight="1" s="127">
      <c r="A214" s="163">
        <f>IF($AG214="","",IF($AG214&lt;=1200,IF(INDEX(对接源_01水果!$B$4:$B$1203,$AG214)=0,"",INDEX(对接源_01水果!$B$4:$B$1203,$AG214)),IF(INDEX(对接源_02物料!$B$4:$B$1203,$AG214-1200)=0,"",INDEX(对接源_02物料!$B$4:$B$1203,$AG214-1200))))</f>
      </c>
      <c r="B214" s="61">
        <f>IF($AG214="","",IF($AG214&lt;=1200,IF(INDEX(对接源_01水果!$E$4:$E$1203,$AG214)=0,"",INDEX(对接源_01水果!$E$4:$E$1203,$AG214)),IF(INDEX(对接源_02物料!$E$4:$E$1203,$AG214-1200)=0,"",INDEX(对接源_02物料!$E$4:$E$1203,$AG214-1200))))</f>
      </c>
      <c r="C214" s="61">
        <f>IF($AG214="","",IF($AG214&lt;=1200,IF(INDEX(对接源_01水果!$F$4:$F$1203,$AG214)=0,"",INDEX(对接源_01水果!$F$4:$F$1203,$AG214)),IF(INDEX(对接源_02物料!$F$4:$F$1203,$AG214-1200)=0,"",INDEX(对接源_02物料!$F$4:$F$1203,$AG214-1200))))</f>
      </c>
      <c r="D214" s="61">
        <f>IF($AG214="","",IF($AG214&lt;=1200,IF(INDEX(对接源_01水果!$G$4:$G$1203,$AG214)=0,"",INDEX(对接源_01水果!$G$4:$G$1203,$AG214)),IF(INDEX(对接源_02物料!$G$4:$G$1203,$AG214-1200)=0,"",INDEX(对接源_02物料!$G$4:$G$1203,$AG214-1200))))</f>
      </c>
      <c r="E214" s="164">
        <f>IF($AG214="","",IF($AG214&lt;=1200,IF(INDEX(对接源_01水果!$H$4:$H$1203,$AG214)=0,"",INDEX(对接源_01水果!$H$4:$H$1203,$AG214)),IF(INDEX(对接源_02物料!$H$4:$H$1203,$AG214-1200)=0,"",INDEX(对接源_02物料!$H$4:$H$1203,$AG214-1200))))</f>
      </c>
      <c r="F214" s="61">
        <f>IF($AG214="","",IF($AG214&lt;=1200,IF(INDEX(对接源_01水果!$I$4:$I$1203,$AG214)=0,"",INDEX(对接源_01水果!$I$4:$I$1203,$AG214)),IF(INDEX(对接源_02物料!$I$4:$I$1203,$AG214-1200)=0,"",INDEX(对接源_02物料!$I$4:$I$1203,$AG214-1200))))</f>
      </c>
      <c r="G214" s="173">
        <f>IF($AG214="","",IF($AG214&lt;=1200,IF(INDEX(对接源_01水果!$J$4:$J$1203,$AG214)=0,"",INDEX(对接源_01水果!$J$4:$J$1203,$AG214)),IF(INDEX(对接源_02物料!$J$4:$J$1203,$AG214-1200)=0,"",INDEX(对接源_02物料!$J$4:$J$1203,$AG214-1200))))</f>
      </c>
      <c r="H214" s="173">
        <f>IF($AG214="","",IF($AG214&lt;=1200,IF(INDEX(对接源_01水果!$K$4:$K$1203,$AG214)=0,"",INDEX(对接源_01水果!$K$4:$K$1203,$AG214)),IF(INDEX(对接源_02物料!$K$4:$K$1203,$AG214-1200)=0,"",INDEX(对接源_02物料!$K$4:$K$1203,$AG214-1200))))</f>
      </c>
      <c r="I214" s="61">
        <f>IF($AG214="","",IF($AG214&lt;=1200,IF(INDEX(对接源_01水果!$L$4:$L$1203,$AG214)=0,"",INDEX(对接源_01水果!$L$4:$L$1203,$AG214)),IF(INDEX(对接源_02物料!$L$4:$L$1203,$AG214-1200)=0,"",INDEX(对接源_02物料!$L$4:$L$1203,$AG214-1200))))</f>
      </c>
      <c r="J214" s="64">
        <f>IF($AG214="","",IF($AG214&lt;=1200,IF(INDEX(对接源_01水果!$M$4:$M$1203,$AG214)=0,"",INDEX(对接源_01水果!$M$4:$M$1203,$AG214)),IF(INDEX(对接源_02物料!$M$4:$M$1203,$AG214-1200)=0,"",INDEX(对接源_02物料!$M$4:$M$1203,$AG214-1200))))</f>
      </c>
      <c r="AG214" s="2">
        <f>IFERROR(MATCH(3,_自动清单!$AE$4:$AE$2403,0),"")</f>
      </c>
    </row>
    <row r="215" ht="18" customHeight="1" s="127">
      <c r="A215" s="165">
        <f>IF($AG215="","",IF($AG215&lt;=1200,IF(INDEX(对接源_01水果!$B$4:$B$1203,$AG215)=0,"",INDEX(对接源_01水果!$B$4:$B$1203,$AG215)),IF(INDEX(对接源_02物料!$B$4:$B$1203,$AG215-1200)=0,"",INDEX(对接源_02物料!$B$4:$B$1203,$AG215-1200))))</f>
      </c>
      <c r="B215" s="104">
        <f>IF($AG215="","",IF($AG215&lt;=1200,IF(INDEX(对接源_01水果!$E$4:$E$1203,$AG215)=0,"",INDEX(对接源_01水果!$E$4:$E$1203,$AG215)),IF(INDEX(对接源_02物料!$E$4:$E$1203,$AG215-1200)=0,"",INDEX(对接源_02物料!$E$4:$E$1203,$AG215-1200))))</f>
      </c>
      <c r="C215" s="104">
        <f>IF($AG215="","",IF($AG215&lt;=1200,IF(INDEX(对接源_01水果!$F$4:$F$1203,$AG215)=0,"",INDEX(对接源_01水果!$F$4:$F$1203,$AG215)),IF(INDEX(对接源_02物料!$F$4:$F$1203,$AG215-1200)=0,"",INDEX(对接源_02物料!$F$4:$F$1203,$AG215-1200))))</f>
      </c>
      <c r="D215" s="104">
        <f>IF($AG215="","",IF($AG215&lt;=1200,IF(INDEX(对接源_01水果!$G$4:$G$1203,$AG215)=0,"",INDEX(对接源_01水果!$G$4:$G$1203,$AG215)),IF(INDEX(对接源_02物料!$G$4:$G$1203,$AG215-1200)=0,"",INDEX(对接源_02物料!$G$4:$G$1203,$AG215-1200))))</f>
      </c>
      <c r="E215" s="166">
        <f>IF($AG215="","",IF($AG215&lt;=1200,IF(INDEX(对接源_01水果!$H$4:$H$1203,$AG215)=0,"",INDEX(对接源_01水果!$H$4:$H$1203,$AG215)),IF(INDEX(对接源_02物料!$H$4:$H$1203,$AG215-1200)=0,"",INDEX(对接源_02物料!$H$4:$H$1203,$AG215-1200))))</f>
      </c>
      <c r="F215" s="104">
        <f>IF($AG215="","",IF($AG215&lt;=1200,IF(INDEX(对接源_01水果!$I$4:$I$1203,$AG215)=0,"",INDEX(对接源_01水果!$I$4:$I$1203,$AG215)),IF(INDEX(对接源_02物料!$I$4:$I$1203,$AG215-1200)=0,"",INDEX(对接源_02物料!$I$4:$I$1203,$AG215-1200))))</f>
      </c>
      <c r="G215" s="175">
        <f>IF($AG215="","",IF($AG215&lt;=1200,IF(INDEX(对接源_01水果!$J$4:$J$1203,$AG215)=0,"",INDEX(对接源_01水果!$J$4:$J$1203,$AG215)),IF(INDEX(对接源_02物料!$J$4:$J$1203,$AG215-1200)=0,"",INDEX(对接源_02物料!$J$4:$J$1203,$AG215-1200))))</f>
      </c>
      <c r="H215" s="175">
        <f>IF($AG215="","",IF($AG215&lt;=1200,IF(INDEX(对接源_01水果!$K$4:$K$1203,$AG215)=0,"",INDEX(对接源_01水果!$K$4:$K$1203,$AG215)),IF(INDEX(对接源_02物料!$K$4:$K$1203,$AG215-1200)=0,"",INDEX(对接源_02物料!$K$4:$K$1203,$AG215-1200))))</f>
      </c>
      <c r="I215" s="104">
        <f>IF($AG215="","",IF($AG215&lt;=1200,IF(INDEX(对接源_01水果!$L$4:$L$1203,$AG215)=0,"",INDEX(对接源_01水果!$L$4:$L$1203,$AG215)),IF(INDEX(对接源_02物料!$L$4:$L$1203,$AG215-1200)=0,"",INDEX(对接源_02物料!$L$4:$L$1203,$AG215-1200))))</f>
      </c>
      <c r="J215" s="107">
        <f>IF($AG215="","",IF($AG215&lt;=1200,IF(INDEX(对接源_01水果!$M$4:$M$1203,$AG215)=0,"",INDEX(对接源_01水果!$M$4:$M$1203,$AG215)),IF(INDEX(对接源_02物料!$M$4:$M$1203,$AG215-1200)=0,"",INDEX(对接源_02物料!$M$4:$M$1203,$AG215-1200))))</f>
      </c>
      <c r="AG215" s="2">
        <f>IFERROR(MATCH(4,_自动清单!$AE$4:$AE$2403,0),"")</f>
      </c>
    </row>
    <row r="216" ht="18" customHeight="1" s="127">
      <c r="A216" s="163">
        <f>IF($AG216="","",IF($AG216&lt;=1200,IF(INDEX(对接源_01水果!$B$4:$B$1203,$AG216)=0,"",INDEX(对接源_01水果!$B$4:$B$1203,$AG216)),IF(INDEX(对接源_02物料!$B$4:$B$1203,$AG216-1200)=0,"",INDEX(对接源_02物料!$B$4:$B$1203,$AG216-1200))))</f>
      </c>
      <c r="B216" s="61">
        <f>IF($AG216="","",IF($AG216&lt;=1200,IF(INDEX(对接源_01水果!$E$4:$E$1203,$AG216)=0,"",INDEX(对接源_01水果!$E$4:$E$1203,$AG216)),IF(INDEX(对接源_02物料!$E$4:$E$1203,$AG216-1200)=0,"",INDEX(对接源_02物料!$E$4:$E$1203,$AG216-1200))))</f>
      </c>
      <c r="C216" s="61">
        <f>IF($AG216="","",IF($AG216&lt;=1200,IF(INDEX(对接源_01水果!$F$4:$F$1203,$AG216)=0,"",INDEX(对接源_01水果!$F$4:$F$1203,$AG216)),IF(INDEX(对接源_02物料!$F$4:$F$1203,$AG216-1200)=0,"",INDEX(对接源_02物料!$F$4:$F$1203,$AG216-1200))))</f>
      </c>
      <c r="D216" s="61">
        <f>IF($AG216="","",IF($AG216&lt;=1200,IF(INDEX(对接源_01水果!$G$4:$G$1203,$AG216)=0,"",INDEX(对接源_01水果!$G$4:$G$1203,$AG216)),IF(INDEX(对接源_02物料!$G$4:$G$1203,$AG216-1200)=0,"",INDEX(对接源_02物料!$G$4:$G$1203,$AG216-1200))))</f>
      </c>
      <c r="E216" s="164">
        <f>IF($AG216="","",IF($AG216&lt;=1200,IF(INDEX(对接源_01水果!$H$4:$H$1203,$AG216)=0,"",INDEX(对接源_01水果!$H$4:$H$1203,$AG216)),IF(INDEX(对接源_02物料!$H$4:$H$1203,$AG216-1200)=0,"",INDEX(对接源_02物料!$H$4:$H$1203,$AG216-1200))))</f>
      </c>
      <c r="F216" s="61">
        <f>IF($AG216="","",IF($AG216&lt;=1200,IF(INDEX(对接源_01水果!$I$4:$I$1203,$AG216)=0,"",INDEX(对接源_01水果!$I$4:$I$1203,$AG216)),IF(INDEX(对接源_02物料!$I$4:$I$1203,$AG216-1200)=0,"",INDEX(对接源_02物料!$I$4:$I$1203,$AG216-1200))))</f>
      </c>
      <c r="G216" s="173">
        <f>IF($AG216="","",IF($AG216&lt;=1200,IF(INDEX(对接源_01水果!$J$4:$J$1203,$AG216)=0,"",INDEX(对接源_01水果!$J$4:$J$1203,$AG216)),IF(INDEX(对接源_02物料!$J$4:$J$1203,$AG216-1200)=0,"",INDEX(对接源_02物料!$J$4:$J$1203,$AG216-1200))))</f>
      </c>
      <c r="H216" s="173">
        <f>IF($AG216="","",IF($AG216&lt;=1200,IF(INDEX(对接源_01水果!$K$4:$K$1203,$AG216)=0,"",INDEX(对接源_01水果!$K$4:$K$1203,$AG216)),IF(INDEX(对接源_02物料!$K$4:$K$1203,$AG216-1200)=0,"",INDEX(对接源_02物料!$K$4:$K$1203,$AG216-1200))))</f>
      </c>
      <c r="I216" s="61">
        <f>IF($AG216="","",IF($AG216&lt;=1200,IF(INDEX(对接源_01水果!$L$4:$L$1203,$AG216)=0,"",INDEX(对接源_01水果!$L$4:$L$1203,$AG216)),IF(INDEX(对接源_02物料!$L$4:$L$1203,$AG216-1200)=0,"",INDEX(对接源_02物料!$L$4:$L$1203,$AG216-1200))))</f>
      </c>
      <c r="J216" s="64">
        <f>IF($AG216="","",IF($AG216&lt;=1200,IF(INDEX(对接源_01水果!$M$4:$M$1203,$AG216)=0,"",INDEX(对接源_01水果!$M$4:$M$1203,$AG216)),IF(INDEX(对接源_02物料!$M$4:$M$1203,$AG216-1200)=0,"",INDEX(对接源_02物料!$M$4:$M$1203,$AG216-1200))))</f>
      </c>
      <c r="AG216" s="2">
        <f>IFERROR(MATCH(5,_自动清单!$AE$4:$AE$2403,0),"")</f>
      </c>
    </row>
    <row r="217" ht="18" customHeight="1" s="127">
      <c r="A217" s="165">
        <f>IF($AG217="","",IF($AG217&lt;=1200,IF(INDEX(对接源_01水果!$B$4:$B$1203,$AG217)=0,"",INDEX(对接源_01水果!$B$4:$B$1203,$AG217)),IF(INDEX(对接源_02物料!$B$4:$B$1203,$AG217-1200)=0,"",INDEX(对接源_02物料!$B$4:$B$1203,$AG217-1200))))</f>
      </c>
      <c r="B217" s="104">
        <f>IF($AG217="","",IF($AG217&lt;=1200,IF(INDEX(对接源_01水果!$E$4:$E$1203,$AG217)=0,"",INDEX(对接源_01水果!$E$4:$E$1203,$AG217)),IF(INDEX(对接源_02物料!$E$4:$E$1203,$AG217-1200)=0,"",INDEX(对接源_02物料!$E$4:$E$1203,$AG217-1200))))</f>
      </c>
      <c r="C217" s="104">
        <f>IF($AG217="","",IF($AG217&lt;=1200,IF(INDEX(对接源_01水果!$F$4:$F$1203,$AG217)=0,"",INDEX(对接源_01水果!$F$4:$F$1203,$AG217)),IF(INDEX(对接源_02物料!$F$4:$F$1203,$AG217-1200)=0,"",INDEX(对接源_02物料!$F$4:$F$1203,$AG217-1200))))</f>
      </c>
      <c r="D217" s="104">
        <f>IF($AG217="","",IF($AG217&lt;=1200,IF(INDEX(对接源_01水果!$G$4:$G$1203,$AG217)=0,"",INDEX(对接源_01水果!$G$4:$G$1203,$AG217)),IF(INDEX(对接源_02物料!$G$4:$G$1203,$AG217-1200)=0,"",INDEX(对接源_02物料!$G$4:$G$1203,$AG217-1200))))</f>
      </c>
      <c r="E217" s="166">
        <f>IF($AG217="","",IF($AG217&lt;=1200,IF(INDEX(对接源_01水果!$H$4:$H$1203,$AG217)=0,"",INDEX(对接源_01水果!$H$4:$H$1203,$AG217)),IF(INDEX(对接源_02物料!$H$4:$H$1203,$AG217-1200)=0,"",INDEX(对接源_02物料!$H$4:$H$1203,$AG217-1200))))</f>
      </c>
      <c r="F217" s="104">
        <f>IF($AG217="","",IF($AG217&lt;=1200,IF(INDEX(对接源_01水果!$I$4:$I$1203,$AG217)=0,"",INDEX(对接源_01水果!$I$4:$I$1203,$AG217)),IF(INDEX(对接源_02物料!$I$4:$I$1203,$AG217-1200)=0,"",INDEX(对接源_02物料!$I$4:$I$1203,$AG217-1200))))</f>
      </c>
      <c r="G217" s="175">
        <f>IF($AG217="","",IF($AG217&lt;=1200,IF(INDEX(对接源_01水果!$J$4:$J$1203,$AG217)=0,"",INDEX(对接源_01水果!$J$4:$J$1203,$AG217)),IF(INDEX(对接源_02物料!$J$4:$J$1203,$AG217-1200)=0,"",INDEX(对接源_02物料!$J$4:$J$1203,$AG217-1200))))</f>
      </c>
      <c r="H217" s="175">
        <f>IF($AG217="","",IF($AG217&lt;=1200,IF(INDEX(对接源_01水果!$K$4:$K$1203,$AG217)=0,"",INDEX(对接源_01水果!$K$4:$K$1203,$AG217)),IF(INDEX(对接源_02物料!$K$4:$K$1203,$AG217-1200)=0,"",INDEX(对接源_02物料!$K$4:$K$1203,$AG217-1200))))</f>
      </c>
      <c r="I217" s="104">
        <f>IF($AG217="","",IF($AG217&lt;=1200,IF(INDEX(对接源_01水果!$L$4:$L$1203,$AG217)=0,"",INDEX(对接源_01水果!$L$4:$L$1203,$AG217)),IF(INDEX(对接源_02物料!$L$4:$L$1203,$AG217-1200)=0,"",INDEX(对接源_02物料!$L$4:$L$1203,$AG217-1200))))</f>
      </c>
      <c r="J217" s="107">
        <f>IF($AG217="","",IF($AG217&lt;=1200,IF(INDEX(对接源_01水果!$M$4:$M$1203,$AG217)=0,"",INDEX(对接源_01水果!$M$4:$M$1203,$AG217)),IF(INDEX(对接源_02物料!$M$4:$M$1203,$AG217-1200)=0,"",INDEX(对接源_02物料!$M$4:$M$1203,$AG217-1200))))</f>
      </c>
      <c r="AG217" s="2">
        <f>IFERROR(MATCH(6,_自动清单!$AE$4:$AE$2403,0),"")</f>
      </c>
    </row>
    <row r="218" ht="18" customHeight="1" s="127">
      <c r="A218" s="163">
        <f>IF($AG218="","",IF($AG218&lt;=1200,IF(INDEX(对接源_01水果!$B$4:$B$1203,$AG218)=0,"",INDEX(对接源_01水果!$B$4:$B$1203,$AG218)),IF(INDEX(对接源_02物料!$B$4:$B$1203,$AG218-1200)=0,"",INDEX(对接源_02物料!$B$4:$B$1203,$AG218-1200))))</f>
      </c>
      <c r="B218" s="61">
        <f>IF($AG218="","",IF($AG218&lt;=1200,IF(INDEX(对接源_01水果!$E$4:$E$1203,$AG218)=0,"",INDEX(对接源_01水果!$E$4:$E$1203,$AG218)),IF(INDEX(对接源_02物料!$E$4:$E$1203,$AG218-1200)=0,"",INDEX(对接源_02物料!$E$4:$E$1203,$AG218-1200))))</f>
      </c>
      <c r="C218" s="61">
        <f>IF($AG218="","",IF($AG218&lt;=1200,IF(INDEX(对接源_01水果!$F$4:$F$1203,$AG218)=0,"",INDEX(对接源_01水果!$F$4:$F$1203,$AG218)),IF(INDEX(对接源_02物料!$F$4:$F$1203,$AG218-1200)=0,"",INDEX(对接源_02物料!$F$4:$F$1203,$AG218-1200))))</f>
      </c>
      <c r="D218" s="61">
        <f>IF($AG218="","",IF($AG218&lt;=1200,IF(INDEX(对接源_01水果!$G$4:$G$1203,$AG218)=0,"",INDEX(对接源_01水果!$G$4:$G$1203,$AG218)),IF(INDEX(对接源_02物料!$G$4:$G$1203,$AG218-1200)=0,"",INDEX(对接源_02物料!$G$4:$G$1203,$AG218-1200))))</f>
      </c>
      <c r="E218" s="164">
        <f>IF($AG218="","",IF($AG218&lt;=1200,IF(INDEX(对接源_01水果!$H$4:$H$1203,$AG218)=0,"",INDEX(对接源_01水果!$H$4:$H$1203,$AG218)),IF(INDEX(对接源_02物料!$H$4:$H$1203,$AG218-1200)=0,"",INDEX(对接源_02物料!$H$4:$H$1203,$AG218-1200))))</f>
      </c>
      <c r="F218" s="61">
        <f>IF($AG218="","",IF($AG218&lt;=1200,IF(INDEX(对接源_01水果!$I$4:$I$1203,$AG218)=0,"",INDEX(对接源_01水果!$I$4:$I$1203,$AG218)),IF(INDEX(对接源_02物料!$I$4:$I$1203,$AG218-1200)=0,"",INDEX(对接源_02物料!$I$4:$I$1203,$AG218-1200))))</f>
      </c>
      <c r="G218" s="173">
        <f>IF($AG218="","",IF($AG218&lt;=1200,IF(INDEX(对接源_01水果!$J$4:$J$1203,$AG218)=0,"",INDEX(对接源_01水果!$J$4:$J$1203,$AG218)),IF(INDEX(对接源_02物料!$J$4:$J$1203,$AG218-1200)=0,"",INDEX(对接源_02物料!$J$4:$J$1203,$AG218-1200))))</f>
      </c>
      <c r="H218" s="173">
        <f>IF($AG218="","",IF($AG218&lt;=1200,IF(INDEX(对接源_01水果!$K$4:$K$1203,$AG218)=0,"",INDEX(对接源_01水果!$K$4:$K$1203,$AG218)),IF(INDEX(对接源_02物料!$K$4:$K$1203,$AG218-1200)=0,"",INDEX(对接源_02物料!$K$4:$K$1203,$AG218-1200))))</f>
      </c>
      <c r="I218" s="61">
        <f>IF($AG218="","",IF($AG218&lt;=1200,IF(INDEX(对接源_01水果!$L$4:$L$1203,$AG218)=0,"",INDEX(对接源_01水果!$L$4:$L$1203,$AG218)),IF(INDEX(对接源_02物料!$L$4:$L$1203,$AG218-1200)=0,"",INDEX(对接源_02物料!$L$4:$L$1203,$AG218-1200))))</f>
      </c>
      <c r="J218" s="64">
        <f>IF($AG218="","",IF($AG218&lt;=1200,IF(INDEX(对接源_01水果!$M$4:$M$1203,$AG218)=0,"",INDEX(对接源_01水果!$M$4:$M$1203,$AG218)),IF(INDEX(对接源_02物料!$M$4:$M$1203,$AG218-1200)=0,"",INDEX(对接源_02物料!$M$4:$M$1203,$AG218-1200))))</f>
      </c>
      <c r="AG218" s="2">
        <f>IFERROR(MATCH(7,_自动清单!$AE$4:$AE$2403,0),"")</f>
      </c>
    </row>
    <row r="219" ht="18" customHeight="1" s="127">
      <c r="A219" s="165">
        <f>IF($AG219="","",IF($AG219&lt;=1200,IF(INDEX(对接源_01水果!$B$4:$B$1203,$AG219)=0,"",INDEX(对接源_01水果!$B$4:$B$1203,$AG219)),IF(INDEX(对接源_02物料!$B$4:$B$1203,$AG219-1200)=0,"",INDEX(对接源_02物料!$B$4:$B$1203,$AG219-1200))))</f>
      </c>
      <c r="B219" s="104">
        <f>IF($AG219="","",IF($AG219&lt;=1200,IF(INDEX(对接源_01水果!$E$4:$E$1203,$AG219)=0,"",INDEX(对接源_01水果!$E$4:$E$1203,$AG219)),IF(INDEX(对接源_02物料!$E$4:$E$1203,$AG219-1200)=0,"",INDEX(对接源_02物料!$E$4:$E$1203,$AG219-1200))))</f>
      </c>
      <c r="C219" s="104">
        <f>IF($AG219="","",IF($AG219&lt;=1200,IF(INDEX(对接源_01水果!$F$4:$F$1203,$AG219)=0,"",INDEX(对接源_01水果!$F$4:$F$1203,$AG219)),IF(INDEX(对接源_02物料!$F$4:$F$1203,$AG219-1200)=0,"",INDEX(对接源_02物料!$F$4:$F$1203,$AG219-1200))))</f>
      </c>
      <c r="D219" s="104">
        <f>IF($AG219="","",IF($AG219&lt;=1200,IF(INDEX(对接源_01水果!$G$4:$G$1203,$AG219)=0,"",INDEX(对接源_01水果!$G$4:$G$1203,$AG219)),IF(INDEX(对接源_02物料!$G$4:$G$1203,$AG219-1200)=0,"",INDEX(对接源_02物料!$G$4:$G$1203,$AG219-1200))))</f>
      </c>
      <c r="E219" s="166">
        <f>IF($AG219="","",IF($AG219&lt;=1200,IF(INDEX(对接源_01水果!$H$4:$H$1203,$AG219)=0,"",INDEX(对接源_01水果!$H$4:$H$1203,$AG219)),IF(INDEX(对接源_02物料!$H$4:$H$1203,$AG219-1200)=0,"",INDEX(对接源_02物料!$H$4:$H$1203,$AG219-1200))))</f>
      </c>
      <c r="F219" s="104">
        <f>IF($AG219="","",IF($AG219&lt;=1200,IF(INDEX(对接源_01水果!$I$4:$I$1203,$AG219)=0,"",INDEX(对接源_01水果!$I$4:$I$1203,$AG219)),IF(INDEX(对接源_02物料!$I$4:$I$1203,$AG219-1200)=0,"",INDEX(对接源_02物料!$I$4:$I$1203,$AG219-1200))))</f>
      </c>
      <c r="G219" s="175">
        <f>IF($AG219="","",IF($AG219&lt;=1200,IF(INDEX(对接源_01水果!$J$4:$J$1203,$AG219)=0,"",INDEX(对接源_01水果!$J$4:$J$1203,$AG219)),IF(INDEX(对接源_02物料!$J$4:$J$1203,$AG219-1200)=0,"",INDEX(对接源_02物料!$J$4:$J$1203,$AG219-1200))))</f>
      </c>
      <c r="H219" s="175">
        <f>IF($AG219="","",IF($AG219&lt;=1200,IF(INDEX(对接源_01水果!$K$4:$K$1203,$AG219)=0,"",INDEX(对接源_01水果!$K$4:$K$1203,$AG219)),IF(INDEX(对接源_02物料!$K$4:$K$1203,$AG219-1200)=0,"",INDEX(对接源_02物料!$K$4:$K$1203,$AG219-1200))))</f>
      </c>
      <c r="I219" s="104">
        <f>IF($AG219="","",IF($AG219&lt;=1200,IF(INDEX(对接源_01水果!$L$4:$L$1203,$AG219)=0,"",INDEX(对接源_01水果!$L$4:$L$1203,$AG219)),IF(INDEX(对接源_02物料!$L$4:$L$1203,$AG219-1200)=0,"",INDEX(对接源_02物料!$L$4:$L$1203,$AG219-1200))))</f>
      </c>
      <c r="J219" s="107">
        <f>IF($AG219="","",IF($AG219&lt;=1200,IF(INDEX(对接源_01水果!$M$4:$M$1203,$AG219)=0,"",INDEX(对接源_01水果!$M$4:$M$1203,$AG219)),IF(INDEX(对接源_02物料!$M$4:$M$1203,$AG219-1200)=0,"",INDEX(对接源_02物料!$M$4:$M$1203,$AG219-1200))))</f>
      </c>
      <c r="AG219" s="2">
        <f>IFERROR(MATCH(8,_自动清单!$AE$4:$AE$2403,0),"")</f>
      </c>
    </row>
    <row r="220" ht="18" customHeight="1" s="127">
      <c r="A220" s="163">
        <f>IF($AG220="","",IF($AG220&lt;=1200,IF(INDEX(对接源_01水果!$B$4:$B$1203,$AG220)=0,"",INDEX(对接源_01水果!$B$4:$B$1203,$AG220)),IF(INDEX(对接源_02物料!$B$4:$B$1203,$AG220-1200)=0,"",INDEX(对接源_02物料!$B$4:$B$1203,$AG220-1200))))</f>
      </c>
      <c r="B220" s="61">
        <f>IF($AG220="","",IF($AG220&lt;=1200,IF(INDEX(对接源_01水果!$E$4:$E$1203,$AG220)=0,"",INDEX(对接源_01水果!$E$4:$E$1203,$AG220)),IF(INDEX(对接源_02物料!$E$4:$E$1203,$AG220-1200)=0,"",INDEX(对接源_02物料!$E$4:$E$1203,$AG220-1200))))</f>
      </c>
      <c r="C220" s="61">
        <f>IF($AG220="","",IF($AG220&lt;=1200,IF(INDEX(对接源_01水果!$F$4:$F$1203,$AG220)=0,"",INDEX(对接源_01水果!$F$4:$F$1203,$AG220)),IF(INDEX(对接源_02物料!$F$4:$F$1203,$AG220-1200)=0,"",INDEX(对接源_02物料!$F$4:$F$1203,$AG220-1200))))</f>
      </c>
      <c r="D220" s="61">
        <f>IF($AG220="","",IF($AG220&lt;=1200,IF(INDEX(对接源_01水果!$G$4:$G$1203,$AG220)=0,"",INDEX(对接源_01水果!$G$4:$G$1203,$AG220)),IF(INDEX(对接源_02物料!$G$4:$G$1203,$AG220-1200)=0,"",INDEX(对接源_02物料!$G$4:$G$1203,$AG220-1200))))</f>
      </c>
      <c r="E220" s="164">
        <f>IF($AG220="","",IF($AG220&lt;=1200,IF(INDEX(对接源_01水果!$H$4:$H$1203,$AG220)=0,"",INDEX(对接源_01水果!$H$4:$H$1203,$AG220)),IF(INDEX(对接源_02物料!$H$4:$H$1203,$AG220-1200)=0,"",INDEX(对接源_02物料!$H$4:$H$1203,$AG220-1200))))</f>
      </c>
      <c r="F220" s="61">
        <f>IF($AG220="","",IF($AG220&lt;=1200,IF(INDEX(对接源_01水果!$I$4:$I$1203,$AG220)=0,"",INDEX(对接源_01水果!$I$4:$I$1203,$AG220)),IF(INDEX(对接源_02物料!$I$4:$I$1203,$AG220-1200)=0,"",INDEX(对接源_02物料!$I$4:$I$1203,$AG220-1200))))</f>
      </c>
      <c r="G220" s="173">
        <f>IF($AG220="","",IF($AG220&lt;=1200,IF(INDEX(对接源_01水果!$J$4:$J$1203,$AG220)=0,"",INDEX(对接源_01水果!$J$4:$J$1203,$AG220)),IF(INDEX(对接源_02物料!$J$4:$J$1203,$AG220-1200)=0,"",INDEX(对接源_02物料!$J$4:$J$1203,$AG220-1200))))</f>
      </c>
      <c r="H220" s="173">
        <f>IF($AG220="","",IF($AG220&lt;=1200,IF(INDEX(对接源_01水果!$K$4:$K$1203,$AG220)=0,"",INDEX(对接源_01水果!$K$4:$K$1203,$AG220)),IF(INDEX(对接源_02物料!$K$4:$K$1203,$AG220-1200)=0,"",INDEX(对接源_02物料!$K$4:$K$1203,$AG220-1200))))</f>
      </c>
      <c r="I220" s="61">
        <f>IF($AG220="","",IF($AG220&lt;=1200,IF(INDEX(对接源_01水果!$L$4:$L$1203,$AG220)=0,"",INDEX(对接源_01水果!$L$4:$L$1203,$AG220)),IF(INDEX(对接源_02物料!$L$4:$L$1203,$AG220-1200)=0,"",INDEX(对接源_02物料!$L$4:$L$1203,$AG220-1200))))</f>
      </c>
      <c r="J220" s="64">
        <f>IF($AG220="","",IF($AG220&lt;=1200,IF(INDEX(对接源_01水果!$M$4:$M$1203,$AG220)=0,"",INDEX(对接源_01水果!$M$4:$M$1203,$AG220)),IF(INDEX(对接源_02物料!$M$4:$M$1203,$AG220-1200)=0,"",INDEX(对接源_02物料!$M$4:$M$1203,$AG220-1200))))</f>
      </c>
      <c r="AG220" s="2">
        <f>IFERROR(MATCH(9,_自动清单!$AE$4:$AE$2403,0),"")</f>
      </c>
    </row>
    <row r="221" ht="18" customHeight="1" s="127">
      <c r="A221" s="165">
        <f>IF($AG221="","",IF($AG221&lt;=1200,IF(INDEX(对接源_01水果!$B$4:$B$1203,$AG221)=0,"",INDEX(对接源_01水果!$B$4:$B$1203,$AG221)),IF(INDEX(对接源_02物料!$B$4:$B$1203,$AG221-1200)=0,"",INDEX(对接源_02物料!$B$4:$B$1203,$AG221-1200))))</f>
      </c>
      <c r="B221" s="104">
        <f>IF($AG221="","",IF($AG221&lt;=1200,IF(INDEX(对接源_01水果!$E$4:$E$1203,$AG221)=0,"",INDEX(对接源_01水果!$E$4:$E$1203,$AG221)),IF(INDEX(对接源_02物料!$E$4:$E$1203,$AG221-1200)=0,"",INDEX(对接源_02物料!$E$4:$E$1203,$AG221-1200))))</f>
      </c>
      <c r="C221" s="104">
        <f>IF($AG221="","",IF($AG221&lt;=1200,IF(INDEX(对接源_01水果!$F$4:$F$1203,$AG221)=0,"",INDEX(对接源_01水果!$F$4:$F$1203,$AG221)),IF(INDEX(对接源_02物料!$F$4:$F$1203,$AG221-1200)=0,"",INDEX(对接源_02物料!$F$4:$F$1203,$AG221-1200))))</f>
      </c>
      <c r="D221" s="104">
        <f>IF($AG221="","",IF($AG221&lt;=1200,IF(INDEX(对接源_01水果!$G$4:$G$1203,$AG221)=0,"",INDEX(对接源_01水果!$G$4:$G$1203,$AG221)),IF(INDEX(对接源_02物料!$G$4:$G$1203,$AG221-1200)=0,"",INDEX(对接源_02物料!$G$4:$G$1203,$AG221-1200))))</f>
      </c>
      <c r="E221" s="166">
        <f>IF($AG221="","",IF($AG221&lt;=1200,IF(INDEX(对接源_01水果!$H$4:$H$1203,$AG221)=0,"",INDEX(对接源_01水果!$H$4:$H$1203,$AG221)),IF(INDEX(对接源_02物料!$H$4:$H$1203,$AG221-1200)=0,"",INDEX(对接源_02物料!$H$4:$H$1203,$AG221-1200))))</f>
      </c>
      <c r="F221" s="104">
        <f>IF($AG221="","",IF($AG221&lt;=1200,IF(INDEX(对接源_01水果!$I$4:$I$1203,$AG221)=0,"",INDEX(对接源_01水果!$I$4:$I$1203,$AG221)),IF(INDEX(对接源_02物料!$I$4:$I$1203,$AG221-1200)=0,"",INDEX(对接源_02物料!$I$4:$I$1203,$AG221-1200))))</f>
      </c>
      <c r="G221" s="175">
        <f>IF($AG221="","",IF($AG221&lt;=1200,IF(INDEX(对接源_01水果!$J$4:$J$1203,$AG221)=0,"",INDEX(对接源_01水果!$J$4:$J$1203,$AG221)),IF(INDEX(对接源_02物料!$J$4:$J$1203,$AG221-1200)=0,"",INDEX(对接源_02物料!$J$4:$J$1203,$AG221-1200))))</f>
      </c>
      <c r="H221" s="175">
        <f>IF($AG221="","",IF($AG221&lt;=1200,IF(INDEX(对接源_01水果!$K$4:$K$1203,$AG221)=0,"",INDEX(对接源_01水果!$K$4:$K$1203,$AG221)),IF(INDEX(对接源_02物料!$K$4:$K$1203,$AG221-1200)=0,"",INDEX(对接源_02物料!$K$4:$K$1203,$AG221-1200))))</f>
      </c>
      <c r="I221" s="104">
        <f>IF($AG221="","",IF($AG221&lt;=1200,IF(INDEX(对接源_01水果!$L$4:$L$1203,$AG221)=0,"",INDEX(对接源_01水果!$L$4:$L$1203,$AG221)),IF(INDEX(对接源_02物料!$L$4:$L$1203,$AG221-1200)=0,"",INDEX(对接源_02物料!$L$4:$L$1203,$AG221-1200))))</f>
      </c>
      <c r="J221" s="107">
        <f>IF($AG221="","",IF($AG221&lt;=1200,IF(INDEX(对接源_01水果!$M$4:$M$1203,$AG221)=0,"",INDEX(对接源_01水果!$M$4:$M$1203,$AG221)),IF(INDEX(对接源_02物料!$M$4:$M$1203,$AG221-1200)=0,"",INDEX(对接源_02物料!$M$4:$M$1203,$AG221-1200))))</f>
      </c>
      <c r="AG221" s="2">
        <f>IFERROR(MATCH(10,_自动清单!$AE$4:$AE$2403,0),"")</f>
      </c>
    </row>
    <row r="222" ht="18" customHeight="1" s="127">
      <c r="A222" s="163">
        <f>IF($AG222="","",IF($AG222&lt;=1200,IF(INDEX(对接源_01水果!$B$4:$B$1203,$AG222)=0,"",INDEX(对接源_01水果!$B$4:$B$1203,$AG222)),IF(INDEX(对接源_02物料!$B$4:$B$1203,$AG222-1200)=0,"",INDEX(对接源_02物料!$B$4:$B$1203,$AG222-1200))))</f>
      </c>
      <c r="B222" s="61">
        <f>IF($AG222="","",IF($AG222&lt;=1200,IF(INDEX(对接源_01水果!$E$4:$E$1203,$AG222)=0,"",INDEX(对接源_01水果!$E$4:$E$1203,$AG222)),IF(INDEX(对接源_02物料!$E$4:$E$1203,$AG222-1200)=0,"",INDEX(对接源_02物料!$E$4:$E$1203,$AG222-1200))))</f>
      </c>
      <c r="C222" s="61">
        <f>IF($AG222="","",IF($AG222&lt;=1200,IF(INDEX(对接源_01水果!$F$4:$F$1203,$AG222)=0,"",INDEX(对接源_01水果!$F$4:$F$1203,$AG222)),IF(INDEX(对接源_02物料!$F$4:$F$1203,$AG222-1200)=0,"",INDEX(对接源_02物料!$F$4:$F$1203,$AG222-1200))))</f>
      </c>
      <c r="D222" s="61">
        <f>IF($AG222="","",IF($AG222&lt;=1200,IF(INDEX(对接源_01水果!$G$4:$G$1203,$AG222)=0,"",INDEX(对接源_01水果!$G$4:$G$1203,$AG222)),IF(INDEX(对接源_02物料!$G$4:$G$1203,$AG222-1200)=0,"",INDEX(对接源_02物料!$G$4:$G$1203,$AG222-1200))))</f>
      </c>
      <c r="E222" s="164">
        <f>IF($AG222="","",IF($AG222&lt;=1200,IF(INDEX(对接源_01水果!$H$4:$H$1203,$AG222)=0,"",INDEX(对接源_01水果!$H$4:$H$1203,$AG222)),IF(INDEX(对接源_02物料!$H$4:$H$1203,$AG222-1200)=0,"",INDEX(对接源_02物料!$H$4:$H$1203,$AG222-1200))))</f>
      </c>
      <c r="F222" s="61">
        <f>IF($AG222="","",IF($AG222&lt;=1200,IF(INDEX(对接源_01水果!$I$4:$I$1203,$AG222)=0,"",INDEX(对接源_01水果!$I$4:$I$1203,$AG222)),IF(INDEX(对接源_02物料!$I$4:$I$1203,$AG222-1200)=0,"",INDEX(对接源_02物料!$I$4:$I$1203,$AG222-1200))))</f>
      </c>
      <c r="G222" s="173">
        <f>IF($AG222="","",IF($AG222&lt;=1200,IF(INDEX(对接源_01水果!$J$4:$J$1203,$AG222)=0,"",INDEX(对接源_01水果!$J$4:$J$1203,$AG222)),IF(INDEX(对接源_02物料!$J$4:$J$1203,$AG222-1200)=0,"",INDEX(对接源_02物料!$J$4:$J$1203,$AG222-1200))))</f>
      </c>
      <c r="H222" s="173">
        <f>IF($AG222="","",IF($AG222&lt;=1200,IF(INDEX(对接源_01水果!$K$4:$K$1203,$AG222)=0,"",INDEX(对接源_01水果!$K$4:$K$1203,$AG222)),IF(INDEX(对接源_02物料!$K$4:$K$1203,$AG222-1200)=0,"",INDEX(对接源_02物料!$K$4:$K$1203,$AG222-1200))))</f>
      </c>
      <c r="I222" s="61">
        <f>IF($AG222="","",IF($AG222&lt;=1200,IF(INDEX(对接源_01水果!$L$4:$L$1203,$AG222)=0,"",INDEX(对接源_01水果!$L$4:$L$1203,$AG222)),IF(INDEX(对接源_02物料!$L$4:$L$1203,$AG222-1200)=0,"",INDEX(对接源_02物料!$L$4:$L$1203,$AG222-1200))))</f>
      </c>
      <c r="J222" s="64">
        <f>IF($AG222="","",IF($AG222&lt;=1200,IF(INDEX(对接源_01水果!$M$4:$M$1203,$AG222)=0,"",INDEX(对接源_01水果!$M$4:$M$1203,$AG222)),IF(INDEX(对接源_02物料!$M$4:$M$1203,$AG222-1200)=0,"",INDEX(对接源_02物料!$M$4:$M$1203,$AG222-1200))))</f>
      </c>
      <c r="AG222" s="2">
        <f>IFERROR(MATCH(11,_自动清单!$AE$4:$AE$2403,0),"")</f>
      </c>
    </row>
    <row r="223" ht="18" customHeight="1" s="127">
      <c r="A223" s="165">
        <f>IF($AG223="","",IF($AG223&lt;=1200,IF(INDEX(对接源_01水果!$B$4:$B$1203,$AG223)=0,"",INDEX(对接源_01水果!$B$4:$B$1203,$AG223)),IF(INDEX(对接源_02物料!$B$4:$B$1203,$AG223-1200)=0,"",INDEX(对接源_02物料!$B$4:$B$1203,$AG223-1200))))</f>
      </c>
      <c r="B223" s="104">
        <f>IF($AG223="","",IF($AG223&lt;=1200,IF(INDEX(对接源_01水果!$E$4:$E$1203,$AG223)=0,"",INDEX(对接源_01水果!$E$4:$E$1203,$AG223)),IF(INDEX(对接源_02物料!$E$4:$E$1203,$AG223-1200)=0,"",INDEX(对接源_02物料!$E$4:$E$1203,$AG223-1200))))</f>
      </c>
      <c r="C223" s="104">
        <f>IF($AG223="","",IF($AG223&lt;=1200,IF(INDEX(对接源_01水果!$F$4:$F$1203,$AG223)=0,"",INDEX(对接源_01水果!$F$4:$F$1203,$AG223)),IF(INDEX(对接源_02物料!$F$4:$F$1203,$AG223-1200)=0,"",INDEX(对接源_02物料!$F$4:$F$1203,$AG223-1200))))</f>
      </c>
      <c r="D223" s="104">
        <f>IF($AG223="","",IF($AG223&lt;=1200,IF(INDEX(对接源_01水果!$G$4:$G$1203,$AG223)=0,"",INDEX(对接源_01水果!$G$4:$G$1203,$AG223)),IF(INDEX(对接源_02物料!$G$4:$G$1203,$AG223-1200)=0,"",INDEX(对接源_02物料!$G$4:$G$1203,$AG223-1200))))</f>
      </c>
      <c r="E223" s="166">
        <f>IF($AG223="","",IF($AG223&lt;=1200,IF(INDEX(对接源_01水果!$H$4:$H$1203,$AG223)=0,"",INDEX(对接源_01水果!$H$4:$H$1203,$AG223)),IF(INDEX(对接源_02物料!$H$4:$H$1203,$AG223-1200)=0,"",INDEX(对接源_02物料!$H$4:$H$1203,$AG223-1200))))</f>
      </c>
      <c r="F223" s="104">
        <f>IF($AG223="","",IF($AG223&lt;=1200,IF(INDEX(对接源_01水果!$I$4:$I$1203,$AG223)=0,"",INDEX(对接源_01水果!$I$4:$I$1203,$AG223)),IF(INDEX(对接源_02物料!$I$4:$I$1203,$AG223-1200)=0,"",INDEX(对接源_02物料!$I$4:$I$1203,$AG223-1200))))</f>
      </c>
      <c r="G223" s="175">
        <f>IF($AG223="","",IF($AG223&lt;=1200,IF(INDEX(对接源_01水果!$J$4:$J$1203,$AG223)=0,"",INDEX(对接源_01水果!$J$4:$J$1203,$AG223)),IF(INDEX(对接源_02物料!$J$4:$J$1203,$AG223-1200)=0,"",INDEX(对接源_02物料!$J$4:$J$1203,$AG223-1200))))</f>
      </c>
      <c r="H223" s="175">
        <f>IF($AG223="","",IF($AG223&lt;=1200,IF(INDEX(对接源_01水果!$K$4:$K$1203,$AG223)=0,"",INDEX(对接源_01水果!$K$4:$K$1203,$AG223)),IF(INDEX(对接源_02物料!$K$4:$K$1203,$AG223-1200)=0,"",INDEX(对接源_02物料!$K$4:$K$1203,$AG223-1200))))</f>
      </c>
      <c r="I223" s="104">
        <f>IF($AG223="","",IF($AG223&lt;=1200,IF(INDEX(对接源_01水果!$L$4:$L$1203,$AG223)=0,"",INDEX(对接源_01水果!$L$4:$L$1203,$AG223)),IF(INDEX(对接源_02物料!$L$4:$L$1203,$AG223-1200)=0,"",INDEX(对接源_02物料!$L$4:$L$1203,$AG223-1200))))</f>
      </c>
      <c r="J223" s="107">
        <f>IF($AG223="","",IF($AG223&lt;=1200,IF(INDEX(对接源_01水果!$M$4:$M$1203,$AG223)=0,"",INDEX(对接源_01水果!$M$4:$M$1203,$AG223)),IF(INDEX(对接源_02物料!$M$4:$M$1203,$AG223-1200)=0,"",INDEX(对接源_02物料!$M$4:$M$1203,$AG223-1200))))</f>
      </c>
      <c r="AG223" s="2">
        <f>IFERROR(MATCH(12,_自动清单!$AE$4:$AE$2403,0),"")</f>
      </c>
    </row>
    <row r="224" ht="18" customHeight="1" s="127">
      <c r="A224" s="163">
        <f>IF($AG224="","",IF($AG224&lt;=1200,IF(INDEX(对接源_01水果!$B$4:$B$1203,$AG224)=0,"",INDEX(对接源_01水果!$B$4:$B$1203,$AG224)),IF(INDEX(对接源_02物料!$B$4:$B$1203,$AG224-1200)=0,"",INDEX(对接源_02物料!$B$4:$B$1203,$AG224-1200))))</f>
      </c>
      <c r="B224" s="61">
        <f>IF($AG224="","",IF($AG224&lt;=1200,IF(INDEX(对接源_01水果!$E$4:$E$1203,$AG224)=0,"",INDEX(对接源_01水果!$E$4:$E$1203,$AG224)),IF(INDEX(对接源_02物料!$E$4:$E$1203,$AG224-1200)=0,"",INDEX(对接源_02物料!$E$4:$E$1203,$AG224-1200))))</f>
      </c>
      <c r="C224" s="61">
        <f>IF($AG224="","",IF($AG224&lt;=1200,IF(INDEX(对接源_01水果!$F$4:$F$1203,$AG224)=0,"",INDEX(对接源_01水果!$F$4:$F$1203,$AG224)),IF(INDEX(对接源_02物料!$F$4:$F$1203,$AG224-1200)=0,"",INDEX(对接源_02物料!$F$4:$F$1203,$AG224-1200))))</f>
      </c>
      <c r="D224" s="61">
        <f>IF($AG224="","",IF($AG224&lt;=1200,IF(INDEX(对接源_01水果!$G$4:$G$1203,$AG224)=0,"",INDEX(对接源_01水果!$G$4:$G$1203,$AG224)),IF(INDEX(对接源_02物料!$G$4:$G$1203,$AG224-1200)=0,"",INDEX(对接源_02物料!$G$4:$G$1203,$AG224-1200))))</f>
      </c>
      <c r="E224" s="164">
        <f>IF($AG224="","",IF($AG224&lt;=1200,IF(INDEX(对接源_01水果!$H$4:$H$1203,$AG224)=0,"",INDEX(对接源_01水果!$H$4:$H$1203,$AG224)),IF(INDEX(对接源_02物料!$H$4:$H$1203,$AG224-1200)=0,"",INDEX(对接源_02物料!$H$4:$H$1203,$AG224-1200))))</f>
      </c>
      <c r="F224" s="61">
        <f>IF($AG224="","",IF($AG224&lt;=1200,IF(INDEX(对接源_01水果!$I$4:$I$1203,$AG224)=0,"",INDEX(对接源_01水果!$I$4:$I$1203,$AG224)),IF(INDEX(对接源_02物料!$I$4:$I$1203,$AG224-1200)=0,"",INDEX(对接源_02物料!$I$4:$I$1203,$AG224-1200))))</f>
      </c>
      <c r="G224" s="173">
        <f>IF($AG224="","",IF($AG224&lt;=1200,IF(INDEX(对接源_01水果!$J$4:$J$1203,$AG224)=0,"",INDEX(对接源_01水果!$J$4:$J$1203,$AG224)),IF(INDEX(对接源_02物料!$J$4:$J$1203,$AG224-1200)=0,"",INDEX(对接源_02物料!$J$4:$J$1203,$AG224-1200))))</f>
      </c>
      <c r="H224" s="173">
        <f>IF($AG224="","",IF($AG224&lt;=1200,IF(INDEX(对接源_01水果!$K$4:$K$1203,$AG224)=0,"",INDEX(对接源_01水果!$K$4:$K$1203,$AG224)),IF(INDEX(对接源_02物料!$K$4:$K$1203,$AG224-1200)=0,"",INDEX(对接源_02物料!$K$4:$K$1203,$AG224-1200))))</f>
      </c>
      <c r="I224" s="61">
        <f>IF($AG224="","",IF($AG224&lt;=1200,IF(INDEX(对接源_01水果!$L$4:$L$1203,$AG224)=0,"",INDEX(对接源_01水果!$L$4:$L$1203,$AG224)),IF(INDEX(对接源_02物料!$L$4:$L$1203,$AG224-1200)=0,"",INDEX(对接源_02物料!$L$4:$L$1203,$AG224-1200))))</f>
      </c>
      <c r="J224" s="64">
        <f>IF($AG224="","",IF($AG224&lt;=1200,IF(INDEX(对接源_01水果!$M$4:$M$1203,$AG224)=0,"",INDEX(对接源_01水果!$M$4:$M$1203,$AG224)),IF(INDEX(对接源_02物料!$M$4:$M$1203,$AG224-1200)=0,"",INDEX(对接源_02物料!$M$4:$M$1203,$AG224-1200))))</f>
      </c>
      <c r="AG224" s="2">
        <f>IFERROR(MATCH(13,_自动清单!$AE$4:$AE$2403,0),"")</f>
      </c>
    </row>
    <row r="225" ht="18" customHeight="1" s="127">
      <c r="A225" s="165">
        <f>IF($AG225="","",IF($AG225&lt;=1200,IF(INDEX(对接源_01水果!$B$4:$B$1203,$AG225)=0,"",INDEX(对接源_01水果!$B$4:$B$1203,$AG225)),IF(INDEX(对接源_02物料!$B$4:$B$1203,$AG225-1200)=0,"",INDEX(对接源_02物料!$B$4:$B$1203,$AG225-1200))))</f>
      </c>
      <c r="B225" s="104">
        <f>IF($AG225="","",IF($AG225&lt;=1200,IF(INDEX(对接源_01水果!$E$4:$E$1203,$AG225)=0,"",INDEX(对接源_01水果!$E$4:$E$1203,$AG225)),IF(INDEX(对接源_02物料!$E$4:$E$1203,$AG225-1200)=0,"",INDEX(对接源_02物料!$E$4:$E$1203,$AG225-1200))))</f>
      </c>
      <c r="C225" s="104">
        <f>IF($AG225="","",IF($AG225&lt;=1200,IF(INDEX(对接源_01水果!$F$4:$F$1203,$AG225)=0,"",INDEX(对接源_01水果!$F$4:$F$1203,$AG225)),IF(INDEX(对接源_02物料!$F$4:$F$1203,$AG225-1200)=0,"",INDEX(对接源_02物料!$F$4:$F$1203,$AG225-1200))))</f>
      </c>
      <c r="D225" s="104">
        <f>IF($AG225="","",IF($AG225&lt;=1200,IF(INDEX(对接源_01水果!$G$4:$G$1203,$AG225)=0,"",INDEX(对接源_01水果!$G$4:$G$1203,$AG225)),IF(INDEX(对接源_02物料!$G$4:$G$1203,$AG225-1200)=0,"",INDEX(对接源_02物料!$G$4:$G$1203,$AG225-1200))))</f>
      </c>
      <c r="E225" s="166">
        <f>IF($AG225="","",IF($AG225&lt;=1200,IF(INDEX(对接源_01水果!$H$4:$H$1203,$AG225)=0,"",INDEX(对接源_01水果!$H$4:$H$1203,$AG225)),IF(INDEX(对接源_02物料!$H$4:$H$1203,$AG225-1200)=0,"",INDEX(对接源_02物料!$H$4:$H$1203,$AG225-1200))))</f>
      </c>
      <c r="F225" s="104">
        <f>IF($AG225="","",IF($AG225&lt;=1200,IF(INDEX(对接源_01水果!$I$4:$I$1203,$AG225)=0,"",INDEX(对接源_01水果!$I$4:$I$1203,$AG225)),IF(INDEX(对接源_02物料!$I$4:$I$1203,$AG225-1200)=0,"",INDEX(对接源_02物料!$I$4:$I$1203,$AG225-1200))))</f>
      </c>
      <c r="G225" s="175">
        <f>IF($AG225="","",IF($AG225&lt;=1200,IF(INDEX(对接源_01水果!$J$4:$J$1203,$AG225)=0,"",INDEX(对接源_01水果!$J$4:$J$1203,$AG225)),IF(INDEX(对接源_02物料!$J$4:$J$1203,$AG225-1200)=0,"",INDEX(对接源_02物料!$J$4:$J$1203,$AG225-1200))))</f>
      </c>
      <c r="H225" s="175">
        <f>IF($AG225="","",IF($AG225&lt;=1200,IF(INDEX(对接源_01水果!$K$4:$K$1203,$AG225)=0,"",INDEX(对接源_01水果!$K$4:$K$1203,$AG225)),IF(INDEX(对接源_02物料!$K$4:$K$1203,$AG225-1200)=0,"",INDEX(对接源_02物料!$K$4:$K$1203,$AG225-1200))))</f>
      </c>
      <c r="I225" s="104">
        <f>IF($AG225="","",IF($AG225&lt;=1200,IF(INDEX(对接源_01水果!$L$4:$L$1203,$AG225)=0,"",INDEX(对接源_01水果!$L$4:$L$1203,$AG225)),IF(INDEX(对接源_02物料!$L$4:$L$1203,$AG225-1200)=0,"",INDEX(对接源_02物料!$L$4:$L$1203,$AG225-1200))))</f>
      </c>
      <c r="J225" s="107">
        <f>IF($AG225="","",IF($AG225&lt;=1200,IF(INDEX(对接源_01水果!$M$4:$M$1203,$AG225)=0,"",INDEX(对接源_01水果!$M$4:$M$1203,$AG225)),IF(INDEX(对接源_02物料!$M$4:$M$1203,$AG225-1200)=0,"",INDEX(对接源_02物料!$M$4:$M$1203,$AG225-1200))))</f>
      </c>
      <c r="AG225" s="2">
        <f>IFERROR(MATCH(14,_自动清单!$AE$4:$AE$2403,0),"")</f>
      </c>
    </row>
    <row r="226" ht="18" customHeight="1" s="127">
      <c r="A226" s="163">
        <f>IF($AG226="","",IF($AG226&lt;=1200,IF(INDEX(对接源_01水果!$B$4:$B$1203,$AG226)=0,"",INDEX(对接源_01水果!$B$4:$B$1203,$AG226)),IF(INDEX(对接源_02物料!$B$4:$B$1203,$AG226-1200)=0,"",INDEX(对接源_02物料!$B$4:$B$1203,$AG226-1200))))</f>
      </c>
      <c r="B226" s="61">
        <f>IF($AG226="","",IF($AG226&lt;=1200,IF(INDEX(对接源_01水果!$E$4:$E$1203,$AG226)=0,"",INDEX(对接源_01水果!$E$4:$E$1203,$AG226)),IF(INDEX(对接源_02物料!$E$4:$E$1203,$AG226-1200)=0,"",INDEX(对接源_02物料!$E$4:$E$1203,$AG226-1200))))</f>
      </c>
      <c r="C226" s="61">
        <f>IF($AG226="","",IF($AG226&lt;=1200,IF(INDEX(对接源_01水果!$F$4:$F$1203,$AG226)=0,"",INDEX(对接源_01水果!$F$4:$F$1203,$AG226)),IF(INDEX(对接源_02物料!$F$4:$F$1203,$AG226-1200)=0,"",INDEX(对接源_02物料!$F$4:$F$1203,$AG226-1200))))</f>
      </c>
      <c r="D226" s="61">
        <f>IF($AG226="","",IF($AG226&lt;=1200,IF(INDEX(对接源_01水果!$G$4:$G$1203,$AG226)=0,"",INDEX(对接源_01水果!$G$4:$G$1203,$AG226)),IF(INDEX(对接源_02物料!$G$4:$G$1203,$AG226-1200)=0,"",INDEX(对接源_02物料!$G$4:$G$1203,$AG226-1200))))</f>
      </c>
      <c r="E226" s="164">
        <f>IF($AG226="","",IF($AG226&lt;=1200,IF(INDEX(对接源_01水果!$H$4:$H$1203,$AG226)=0,"",INDEX(对接源_01水果!$H$4:$H$1203,$AG226)),IF(INDEX(对接源_02物料!$H$4:$H$1203,$AG226-1200)=0,"",INDEX(对接源_02物料!$H$4:$H$1203,$AG226-1200))))</f>
      </c>
      <c r="F226" s="61">
        <f>IF($AG226="","",IF($AG226&lt;=1200,IF(INDEX(对接源_01水果!$I$4:$I$1203,$AG226)=0,"",INDEX(对接源_01水果!$I$4:$I$1203,$AG226)),IF(INDEX(对接源_02物料!$I$4:$I$1203,$AG226-1200)=0,"",INDEX(对接源_02物料!$I$4:$I$1203,$AG226-1200))))</f>
      </c>
      <c r="G226" s="173">
        <f>IF($AG226="","",IF($AG226&lt;=1200,IF(INDEX(对接源_01水果!$J$4:$J$1203,$AG226)=0,"",INDEX(对接源_01水果!$J$4:$J$1203,$AG226)),IF(INDEX(对接源_02物料!$J$4:$J$1203,$AG226-1200)=0,"",INDEX(对接源_02物料!$J$4:$J$1203,$AG226-1200))))</f>
      </c>
      <c r="H226" s="173">
        <f>IF($AG226="","",IF($AG226&lt;=1200,IF(INDEX(对接源_01水果!$K$4:$K$1203,$AG226)=0,"",INDEX(对接源_01水果!$K$4:$K$1203,$AG226)),IF(INDEX(对接源_02物料!$K$4:$K$1203,$AG226-1200)=0,"",INDEX(对接源_02物料!$K$4:$K$1203,$AG226-1200))))</f>
      </c>
      <c r="I226" s="61">
        <f>IF($AG226="","",IF($AG226&lt;=1200,IF(INDEX(对接源_01水果!$L$4:$L$1203,$AG226)=0,"",INDEX(对接源_01水果!$L$4:$L$1203,$AG226)),IF(INDEX(对接源_02物料!$L$4:$L$1203,$AG226-1200)=0,"",INDEX(对接源_02物料!$L$4:$L$1203,$AG226-1200))))</f>
      </c>
      <c r="J226" s="64">
        <f>IF($AG226="","",IF($AG226&lt;=1200,IF(INDEX(对接源_01水果!$M$4:$M$1203,$AG226)=0,"",INDEX(对接源_01水果!$M$4:$M$1203,$AG226)),IF(INDEX(对接源_02物料!$M$4:$M$1203,$AG226-1200)=0,"",INDEX(对接源_02物料!$M$4:$M$1203,$AG226-1200))))</f>
      </c>
      <c r="AG226" s="2">
        <f>IFERROR(MATCH(15,_自动清单!$AE$4:$AE$2403,0),"")</f>
      </c>
    </row>
    <row r="227" ht="18" customHeight="1" s="127">
      <c r="A227" s="165">
        <f>IF($AG227="","",IF($AG227&lt;=1200,IF(INDEX(对接源_01水果!$B$4:$B$1203,$AG227)=0,"",INDEX(对接源_01水果!$B$4:$B$1203,$AG227)),IF(INDEX(对接源_02物料!$B$4:$B$1203,$AG227-1200)=0,"",INDEX(对接源_02物料!$B$4:$B$1203,$AG227-1200))))</f>
      </c>
      <c r="B227" s="104">
        <f>IF($AG227="","",IF($AG227&lt;=1200,IF(INDEX(对接源_01水果!$E$4:$E$1203,$AG227)=0,"",INDEX(对接源_01水果!$E$4:$E$1203,$AG227)),IF(INDEX(对接源_02物料!$E$4:$E$1203,$AG227-1200)=0,"",INDEX(对接源_02物料!$E$4:$E$1203,$AG227-1200))))</f>
      </c>
      <c r="C227" s="104">
        <f>IF($AG227="","",IF($AG227&lt;=1200,IF(INDEX(对接源_01水果!$F$4:$F$1203,$AG227)=0,"",INDEX(对接源_01水果!$F$4:$F$1203,$AG227)),IF(INDEX(对接源_02物料!$F$4:$F$1203,$AG227-1200)=0,"",INDEX(对接源_02物料!$F$4:$F$1203,$AG227-1200))))</f>
      </c>
      <c r="D227" s="104">
        <f>IF($AG227="","",IF($AG227&lt;=1200,IF(INDEX(对接源_01水果!$G$4:$G$1203,$AG227)=0,"",INDEX(对接源_01水果!$G$4:$G$1203,$AG227)),IF(INDEX(对接源_02物料!$G$4:$G$1203,$AG227-1200)=0,"",INDEX(对接源_02物料!$G$4:$G$1203,$AG227-1200))))</f>
      </c>
      <c r="E227" s="166">
        <f>IF($AG227="","",IF($AG227&lt;=1200,IF(INDEX(对接源_01水果!$H$4:$H$1203,$AG227)=0,"",INDEX(对接源_01水果!$H$4:$H$1203,$AG227)),IF(INDEX(对接源_02物料!$H$4:$H$1203,$AG227-1200)=0,"",INDEX(对接源_02物料!$H$4:$H$1203,$AG227-1200))))</f>
      </c>
      <c r="F227" s="104">
        <f>IF($AG227="","",IF($AG227&lt;=1200,IF(INDEX(对接源_01水果!$I$4:$I$1203,$AG227)=0,"",INDEX(对接源_01水果!$I$4:$I$1203,$AG227)),IF(INDEX(对接源_02物料!$I$4:$I$1203,$AG227-1200)=0,"",INDEX(对接源_02物料!$I$4:$I$1203,$AG227-1200))))</f>
      </c>
      <c r="G227" s="175">
        <f>IF($AG227="","",IF($AG227&lt;=1200,IF(INDEX(对接源_01水果!$J$4:$J$1203,$AG227)=0,"",INDEX(对接源_01水果!$J$4:$J$1203,$AG227)),IF(INDEX(对接源_02物料!$J$4:$J$1203,$AG227-1200)=0,"",INDEX(对接源_02物料!$J$4:$J$1203,$AG227-1200))))</f>
      </c>
      <c r="H227" s="175">
        <f>IF($AG227="","",IF($AG227&lt;=1200,IF(INDEX(对接源_01水果!$K$4:$K$1203,$AG227)=0,"",INDEX(对接源_01水果!$K$4:$K$1203,$AG227)),IF(INDEX(对接源_02物料!$K$4:$K$1203,$AG227-1200)=0,"",INDEX(对接源_02物料!$K$4:$K$1203,$AG227-1200))))</f>
      </c>
      <c r="I227" s="104">
        <f>IF($AG227="","",IF($AG227&lt;=1200,IF(INDEX(对接源_01水果!$L$4:$L$1203,$AG227)=0,"",INDEX(对接源_01水果!$L$4:$L$1203,$AG227)),IF(INDEX(对接源_02物料!$L$4:$L$1203,$AG227-1200)=0,"",INDEX(对接源_02物料!$L$4:$L$1203,$AG227-1200))))</f>
      </c>
      <c r="J227" s="107">
        <f>IF($AG227="","",IF($AG227&lt;=1200,IF(INDEX(对接源_01水果!$M$4:$M$1203,$AG227)=0,"",INDEX(对接源_01水果!$M$4:$M$1203,$AG227)),IF(INDEX(对接源_02物料!$M$4:$M$1203,$AG227-1200)=0,"",INDEX(对接源_02物料!$M$4:$M$1203,$AG227-1200))))</f>
      </c>
      <c r="AG227" s="2">
        <f>IFERROR(MATCH(16,_自动清单!$AE$4:$AE$2403,0),"")</f>
      </c>
    </row>
    <row r="228" ht="18" customHeight="1" s="127">
      <c r="A228" s="163">
        <f>IF($AG228="","",IF($AG228&lt;=1200,IF(INDEX(对接源_01水果!$B$4:$B$1203,$AG228)=0,"",INDEX(对接源_01水果!$B$4:$B$1203,$AG228)),IF(INDEX(对接源_02物料!$B$4:$B$1203,$AG228-1200)=0,"",INDEX(对接源_02物料!$B$4:$B$1203,$AG228-1200))))</f>
      </c>
      <c r="B228" s="61">
        <f>IF($AG228="","",IF($AG228&lt;=1200,IF(INDEX(对接源_01水果!$E$4:$E$1203,$AG228)=0,"",INDEX(对接源_01水果!$E$4:$E$1203,$AG228)),IF(INDEX(对接源_02物料!$E$4:$E$1203,$AG228-1200)=0,"",INDEX(对接源_02物料!$E$4:$E$1203,$AG228-1200))))</f>
      </c>
      <c r="C228" s="61">
        <f>IF($AG228="","",IF($AG228&lt;=1200,IF(INDEX(对接源_01水果!$F$4:$F$1203,$AG228)=0,"",INDEX(对接源_01水果!$F$4:$F$1203,$AG228)),IF(INDEX(对接源_02物料!$F$4:$F$1203,$AG228-1200)=0,"",INDEX(对接源_02物料!$F$4:$F$1203,$AG228-1200))))</f>
      </c>
      <c r="D228" s="61">
        <f>IF($AG228="","",IF($AG228&lt;=1200,IF(INDEX(对接源_01水果!$G$4:$G$1203,$AG228)=0,"",INDEX(对接源_01水果!$G$4:$G$1203,$AG228)),IF(INDEX(对接源_02物料!$G$4:$G$1203,$AG228-1200)=0,"",INDEX(对接源_02物料!$G$4:$G$1203,$AG228-1200))))</f>
      </c>
      <c r="E228" s="164">
        <f>IF($AG228="","",IF($AG228&lt;=1200,IF(INDEX(对接源_01水果!$H$4:$H$1203,$AG228)=0,"",INDEX(对接源_01水果!$H$4:$H$1203,$AG228)),IF(INDEX(对接源_02物料!$H$4:$H$1203,$AG228-1200)=0,"",INDEX(对接源_02物料!$H$4:$H$1203,$AG228-1200))))</f>
      </c>
      <c r="F228" s="61">
        <f>IF($AG228="","",IF($AG228&lt;=1200,IF(INDEX(对接源_01水果!$I$4:$I$1203,$AG228)=0,"",INDEX(对接源_01水果!$I$4:$I$1203,$AG228)),IF(INDEX(对接源_02物料!$I$4:$I$1203,$AG228-1200)=0,"",INDEX(对接源_02物料!$I$4:$I$1203,$AG228-1200))))</f>
      </c>
      <c r="G228" s="173">
        <f>IF($AG228="","",IF($AG228&lt;=1200,IF(INDEX(对接源_01水果!$J$4:$J$1203,$AG228)=0,"",INDEX(对接源_01水果!$J$4:$J$1203,$AG228)),IF(INDEX(对接源_02物料!$J$4:$J$1203,$AG228-1200)=0,"",INDEX(对接源_02物料!$J$4:$J$1203,$AG228-1200))))</f>
      </c>
      <c r="H228" s="173">
        <f>IF($AG228="","",IF($AG228&lt;=1200,IF(INDEX(对接源_01水果!$K$4:$K$1203,$AG228)=0,"",INDEX(对接源_01水果!$K$4:$K$1203,$AG228)),IF(INDEX(对接源_02物料!$K$4:$K$1203,$AG228-1200)=0,"",INDEX(对接源_02物料!$K$4:$K$1203,$AG228-1200))))</f>
      </c>
      <c r="I228" s="61">
        <f>IF($AG228="","",IF($AG228&lt;=1200,IF(INDEX(对接源_01水果!$L$4:$L$1203,$AG228)=0,"",INDEX(对接源_01水果!$L$4:$L$1203,$AG228)),IF(INDEX(对接源_02物料!$L$4:$L$1203,$AG228-1200)=0,"",INDEX(对接源_02物料!$L$4:$L$1203,$AG228-1200))))</f>
      </c>
      <c r="J228" s="64">
        <f>IF($AG228="","",IF($AG228&lt;=1200,IF(INDEX(对接源_01水果!$M$4:$M$1203,$AG228)=0,"",INDEX(对接源_01水果!$M$4:$M$1203,$AG228)),IF(INDEX(对接源_02物料!$M$4:$M$1203,$AG228-1200)=0,"",INDEX(对接源_02物料!$M$4:$M$1203,$AG228-1200))))</f>
      </c>
      <c r="AG228" s="2">
        <f>IFERROR(MATCH(17,_自动清单!$AE$4:$AE$2403,0),"")</f>
      </c>
    </row>
    <row r="229" ht="18" customHeight="1" s="127">
      <c r="A229" s="165">
        <f>IF($AG229="","",IF($AG229&lt;=1200,IF(INDEX(对接源_01水果!$B$4:$B$1203,$AG229)=0,"",INDEX(对接源_01水果!$B$4:$B$1203,$AG229)),IF(INDEX(对接源_02物料!$B$4:$B$1203,$AG229-1200)=0,"",INDEX(对接源_02物料!$B$4:$B$1203,$AG229-1200))))</f>
      </c>
      <c r="B229" s="104">
        <f>IF($AG229="","",IF($AG229&lt;=1200,IF(INDEX(对接源_01水果!$E$4:$E$1203,$AG229)=0,"",INDEX(对接源_01水果!$E$4:$E$1203,$AG229)),IF(INDEX(对接源_02物料!$E$4:$E$1203,$AG229-1200)=0,"",INDEX(对接源_02物料!$E$4:$E$1203,$AG229-1200))))</f>
      </c>
      <c r="C229" s="104">
        <f>IF($AG229="","",IF($AG229&lt;=1200,IF(INDEX(对接源_01水果!$F$4:$F$1203,$AG229)=0,"",INDEX(对接源_01水果!$F$4:$F$1203,$AG229)),IF(INDEX(对接源_02物料!$F$4:$F$1203,$AG229-1200)=0,"",INDEX(对接源_02物料!$F$4:$F$1203,$AG229-1200))))</f>
      </c>
      <c r="D229" s="104">
        <f>IF($AG229="","",IF($AG229&lt;=1200,IF(INDEX(对接源_01水果!$G$4:$G$1203,$AG229)=0,"",INDEX(对接源_01水果!$G$4:$G$1203,$AG229)),IF(INDEX(对接源_02物料!$G$4:$G$1203,$AG229-1200)=0,"",INDEX(对接源_02物料!$G$4:$G$1203,$AG229-1200))))</f>
      </c>
      <c r="E229" s="166">
        <f>IF($AG229="","",IF($AG229&lt;=1200,IF(INDEX(对接源_01水果!$H$4:$H$1203,$AG229)=0,"",INDEX(对接源_01水果!$H$4:$H$1203,$AG229)),IF(INDEX(对接源_02物料!$H$4:$H$1203,$AG229-1200)=0,"",INDEX(对接源_02物料!$H$4:$H$1203,$AG229-1200))))</f>
      </c>
      <c r="F229" s="104">
        <f>IF($AG229="","",IF($AG229&lt;=1200,IF(INDEX(对接源_01水果!$I$4:$I$1203,$AG229)=0,"",INDEX(对接源_01水果!$I$4:$I$1203,$AG229)),IF(INDEX(对接源_02物料!$I$4:$I$1203,$AG229-1200)=0,"",INDEX(对接源_02物料!$I$4:$I$1203,$AG229-1200))))</f>
      </c>
      <c r="G229" s="175">
        <f>IF($AG229="","",IF($AG229&lt;=1200,IF(INDEX(对接源_01水果!$J$4:$J$1203,$AG229)=0,"",INDEX(对接源_01水果!$J$4:$J$1203,$AG229)),IF(INDEX(对接源_02物料!$J$4:$J$1203,$AG229-1200)=0,"",INDEX(对接源_02物料!$J$4:$J$1203,$AG229-1200))))</f>
      </c>
      <c r="H229" s="175">
        <f>IF($AG229="","",IF($AG229&lt;=1200,IF(INDEX(对接源_01水果!$K$4:$K$1203,$AG229)=0,"",INDEX(对接源_01水果!$K$4:$K$1203,$AG229)),IF(INDEX(对接源_02物料!$K$4:$K$1203,$AG229-1200)=0,"",INDEX(对接源_02物料!$K$4:$K$1203,$AG229-1200))))</f>
      </c>
      <c r="I229" s="104">
        <f>IF($AG229="","",IF($AG229&lt;=1200,IF(INDEX(对接源_01水果!$L$4:$L$1203,$AG229)=0,"",INDEX(对接源_01水果!$L$4:$L$1203,$AG229)),IF(INDEX(对接源_02物料!$L$4:$L$1203,$AG229-1200)=0,"",INDEX(对接源_02物料!$L$4:$L$1203,$AG229-1200))))</f>
      </c>
      <c r="J229" s="107">
        <f>IF($AG229="","",IF($AG229&lt;=1200,IF(INDEX(对接源_01水果!$M$4:$M$1203,$AG229)=0,"",INDEX(对接源_01水果!$M$4:$M$1203,$AG229)),IF(INDEX(对接源_02物料!$M$4:$M$1203,$AG229-1200)=0,"",INDEX(对接源_02物料!$M$4:$M$1203,$AG229-1200))))</f>
      </c>
      <c r="AG229" s="2">
        <f>IFERROR(MATCH(18,_自动清单!$AE$4:$AE$2403,0),"")</f>
      </c>
    </row>
    <row r="230" ht="18" customHeight="1" s="127">
      <c r="A230" s="163">
        <f>IF($AG230="","",IF($AG230&lt;=1200,IF(INDEX(对接源_01水果!$B$4:$B$1203,$AG230)=0,"",INDEX(对接源_01水果!$B$4:$B$1203,$AG230)),IF(INDEX(对接源_02物料!$B$4:$B$1203,$AG230-1200)=0,"",INDEX(对接源_02物料!$B$4:$B$1203,$AG230-1200))))</f>
      </c>
      <c r="B230" s="61">
        <f>IF($AG230="","",IF($AG230&lt;=1200,IF(INDEX(对接源_01水果!$E$4:$E$1203,$AG230)=0,"",INDEX(对接源_01水果!$E$4:$E$1203,$AG230)),IF(INDEX(对接源_02物料!$E$4:$E$1203,$AG230-1200)=0,"",INDEX(对接源_02物料!$E$4:$E$1203,$AG230-1200))))</f>
      </c>
      <c r="C230" s="61">
        <f>IF($AG230="","",IF($AG230&lt;=1200,IF(INDEX(对接源_01水果!$F$4:$F$1203,$AG230)=0,"",INDEX(对接源_01水果!$F$4:$F$1203,$AG230)),IF(INDEX(对接源_02物料!$F$4:$F$1203,$AG230-1200)=0,"",INDEX(对接源_02物料!$F$4:$F$1203,$AG230-1200))))</f>
      </c>
      <c r="D230" s="61">
        <f>IF($AG230="","",IF($AG230&lt;=1200,IF(INDEX(对接源_01水果!$G$4:$G$1203,$AG230)=0,"",INDEX(对接源_01水果!$G$4:$G$1203,$AG230)),IF(INDEX(对接源_02物料!$G$4:$G$1203,$AG230-1200)=0,"",INDEX(对接源_02物料!$G$4:$G$1203,$AG230-1200))))</f>
      </c>
      <c r="E230" s="164">
        <f>IF($AG230="","",IF($AG230&lt;=1200,IF(INDEX(对接源_01水果!$H$4:$H$1203,$AG230)=0,"",INDEX(对接源_01水果!$H$4:$H$1203,$AG230)),IF(INDEX(对接源_02物料!$H$4:$H$1203,$AG230-1200)=0,"",INDEX(对接源_02物料!$H$4:$H$1203,$AG230-1200))))</f>
      </c>
      <c r="F230" s="61">
        <f>IF($AG230="","",IF($AG230&lt;=1200,IF(INDEX(对接源_01水果!$I$4:$I$1203,$AG230)=0,"",INDEX(对接源_01水果!$I$4:$I$1203,$AG230)),IF(INDEX(对接源_02物料!$I$4:$I$1203,$AG230-1200)=0,"",INDEX(对接源_02物料!$I$4:$I$1203,$AG230-1200))))</f>
      </c>
      <c r="G230" s="173">
        <f>IF($AG230="","",IF($AG230&lt;=1200,IF(INDEX(对接源_01水果!$J$4:$J$1203,$AG230)=0,"",INDEX(对接源_01水果!$J$4:$J$1203,$AG230)),IF(INDEX(对接源_02物料!$J$4:$J$1203,$AG230-1200)=0,"",INDEX(对接源_02物料!$J$4:$J$1203,$AG230-1200))))</f>
      </c>
      <c r="H230" s="173">
        <f>IF($AG230="","",IF($AG230&lt;=1200,IF(INDEX(对接源_01水果!$K$4:$K$1203,$AG230)=0,"",INDEX(对接源_01水果!$K$4:$K$1203,$AG230)),IF(INDEX(对接源_02物料!$K$4:$K$1203,$AG230-1200)=0,"",INDEX(对接源_02物料!$K$4:$K$1203,$AG230-1200))))</f>
      </c>
      <c r="I230" s="61">
        <f>IF($AG230="","",IF($AG230&lt;=1200,IF(INDEX(对接源_01水果!$L$4:$L$1203,$AG230)=0,"",INDEX(对接源_01水果!$L$4:$L$1203,$AG230)),IF(INDEX(对接源_02物料!$L$4:$L$1203,$AG230-1200)=0,"",INDEX(对接源_02物料!$L$4:$L$1203,$AG230-1200))))</f>
      </c>
      <c r="J230" s="64">
        <f>IF($AG230="","",IF($AG230&lt;=1200,IF(INDEX(对接源_01水果!$M$4:$M$1203,$AG230)=0,"",INDEX(对接源_01水果!$M$4:$M$1203,$AG230)),IF(INDEX(对接源_02物料!$M$4:$M$1203,$AG230-1200)=0,"",INDEX(对接源_02物料!$M$4:$M$1203,$AG230-1200))))</f>
      </c>
      <c r="AG230" s="2">
        <f>IFERROR(MATCH(19,_自动清单!$AE$4:$AE$2403,0),"")</f>
      </c>
    </row>
    <row r="231" ht="18" customHeight="1" s="127">
      <c r="A231" s="165">
        <f>IF($AG231="","",IF($AG231&lt;=1200,IF(INDEX(对接源_01水果!$B$4:$B$1203,$AG231)=0,"",INDEX(对接源_01水果!$B$4:$B$1203,$AG231)),IF(INDEX(对接源_02物料!$B$4:$B$1203,$AG231-1200)=0,"",INDEX(对接源_02物料!$B$4:$B$1203,$AG231-1200))))</f>
      </c>
      <c r="B231" s="104">
        <f>IF($AG231="","",IF($AG231&lt;=1200,IF(INDEX(对接源_01水果!$E$4:$E$1203,$AG231)=0,"",INDEX(对接源_01水果!$E$4:$E$1203,$AG231)),IF(INDEX(对接源_02物料!$E$4:$E$1203,$AG231-1200)=0,"",INDEX(对接源_02物料!$E$4:$E$1203,$AG231-1200))))</f>
      </c>
      <c r="C231" s="104">
        <f>IF($AG231="","",IF($AG231&lt;=1200,IF(INDEX(对接源_01水果!$F$4:$F$1203,$AG231)=0,"",INDEX(对接源_01水果!$F$4:$F$1203,$AG231)),IF(INDEX(对接源_02物料!$F$4:$F$1203,$AG231-1200)=0,"",INDEX(对接源_02物料!$F$4:$F$1203,$AG231-1200))))</f>
      </c>
      <c r="D231" s="104">
        <f>IF($AG231="","",IF($AG231&lt;=1200,IF(INDEX(对接源_01水果!$G$4:$G$1203,$AG231)=0,"",INDEX(对接源_01水果!$G$4:$G$1203,$AG231)),IF(INDEX(对接源_02物料!$G$4:$G$1203,$AG231-1200)=0,"",INDEX(对接源_02物料!$G$4:$G$1203,$AG231-1200))))</f>
      </c>
      <c r="E231" s="166">
        <f>IF($AG231="","",IF($AG231&lt;=1200,IF(INDEX(对接源_01水果!$H$4:$H$1203,$AG231)=0,"",INDEX(对接源_01水果!$H$4:$H$1203,$AG231)),IF(INDEX(对接源_02物料!$H$4:$H$1203,$AG231-1200)=0,"",INDEX(对接源_02物料!$H$4:$H$1203,$AG231-1200))))</f>
      </c>
      <c r="F231" s="104">
        <f>IF($AG231="","",IF($AG231&lt;=1200,IF(INDEX(对接源_01水果!$I$4:$I$1203,$AG231)=0,"",INDEX(对接源_01水果!$I$4:$I$1203,$AG231)),IF(INDEX(对接源_02物料!$I$4:$I$1203,$AG231-1200)=0,"",INDEX(对接源_02物料!$I$4:$I$1203,$AG231-1200))))</f>
      </c>
      <c r="G231" s="175">
        <f>IF($AG231="","",IF($AG231&lt;=1200,IF(INDEX(对接源_01水果!$J$4:$J$1203,$AG231)=0,"",INDEX(对接源_01水果!$J$4:$J$1203,$AG231)),IF(INDEX(对接源_02物料!$J$4:$J$1203,$AG231-1200)=0,"",INDEX(对接源_02物料!$J$4:$J$1203,$AG231-1200))))</f>
      </c>
      <c r="H231" s="175">
        <f>IF($AG231="","",IF($AG231&lt;=1200,IF(INDEX(对接源_01水果!$K$4:$K$1203,$AG231)=0,"",INDEX(对接源_01水果!$K$4:$K$1203,$AG231)),IF(INDEX(对接源_02物料!$K$4:$K$1203,$AG231-1200)=0,"",INDEX(对接源_02物料!$K$4:$K$1203,$AG231-1200))))</f>
      </c>
      <c r="I231" s="104">
        <f>IF($AG231="","",IF($AG231&lt;=1200,IF(INDEX(对接源_01水果!$L$4:$L$1203,$AG231)=0,"",INDEX(对接源_01水果!$L$4:$L$1203,$AG231)),IF(INDEX(对接源_02物料!$L$4:$L$1203,$AG231-1200)=0,"",INDEX(对接源_02物料!$L$4:$L$1203,$AG231-1200))))</f>
      </c>
      <c r="J231" s="107">
        <f>IF($AG231="","",IF($AG231&lt;=1200,IF(INDEX(对接源_01水果!$M$4:$M$1203,$AG231)=0,"",INDEX(对接源_01水果!$M$4:$M$1203,$AG231)),IF(INDEX(对接源_02物料!$M$4:$M$1203,$AG231-1200)=0,"",INDEX(对接源_02物料!$M$4:$M$1203,$AG231-1200))))</f>
      </c>
      <c r="AG231" s="2">
        <f>IFERROR(MATCH(20,_自动清单!$AE$4:$AE$2403,0),"")</f>
      </c>
    </row>
    <row r="232" ht="18" customHeight="1" s="127">
      <c r="A232" s="163">
        <f>IF($AG232="","",IF($AG232&lt;=1200,IF(INDEX(对接源_01水果!$B$4:$B$1203,$AG232)=0,"",INDEX(对接源_01水果!$B$4:$B$1203,$AG232)),IF(INDEX(对接源_02物料!$B$4:$B$1203,$AG232-1200)=0,"",INDEX(对接源_02物料!$B$4:$B$1203,$AG232-1200))))</f>
      </c>
      <c r="B232" s="61">
        <f>IF($AG232="","",IF($AG232&lt;=1200,IF(INDEX(对接源_01水果!$E$4:$E$1203,$AG232)=0,"",INDEX(对接源_01水果!$E$4:$E$1203,$AG232)),IF(INDEX(对接源_02物料!$E$4:$E$1203,$AG232-1200)=0,"",INDEX(对接源_02物料!$E$4:$E$1203,$AG232-1200))))</f>
      </c>
      <c r="C232" s="61">
        <f>IF($AG232="","",IF($AG232&lt;=1200,IF(INDEX(对接源_01水果!$F$4:$F$1203,$AG232)=0,"",INDEX(对接源_01水果!$F$4:$F$1203,$AG232)),IF(INDEX(对接源_02物料!$F$4:$F$1203,$AG232-1200)=0,"",INDEX(对接源_02物料!$F$4:$F$1203,$AG232-1200))))</f>
      </c>
      <c r="D232" s="61">
        <f>IF($AG232="","",IF($AG232&lt;=1200,IF(INDEX(对接源_01水果!$G$4:$G$1203,$AG232)=0,"",INDEX(对接源_01水果!$G$4:$G$1203,$AG232)),IF(INDEX(对接源_02物料!$G$4:$G$1203,$AG232-1200)=0,"",INDEX(对接源_02物料!$G$4:$G$1203,$AG232-1200))))</f>
      </c>
      <c r="E232" s="164">
        <f>IF($AG232="","",IF($AG232&lt;=1200,IF(INDEX(对接源_01水果!$H$4:$H$1203,$AG232)=0,"",INDEX(对接源_01水果!$H$4:$H$1203,$AG232)),IF(INDEX(对接源_02物料!$H$4:$H$1203,$AG232-1200)=0,"",INDEX(对接源_02物料!$H$4:$H$1203,$AG232-1200))))</f>
      </c>
      <c r="F232" s="61">
        <f>IF($AG232="","",IF($AG232&lt;=1200,IF(INDEX(对接源_01水果!$I$4:$I$1203,$AG232)=0,"",INDEX(对接源_01水果!$I$4:$I$1203,$AG232)),IF(INDEX(对接源_02物料!$I$4:$I$1203,$AG232-1200)=0,"",INDEX(对接源_02物料!$I$4:$I$1203,$AG232-1200))))</f>
      </c>
      <c r="G232" s="173">
        <f>IF($AG232="","",IF($AG232&lt;=1200,IF(INDEX(对接源_01水果!$J$4:$J$1203,$AG232)=0,"",INDEX(对接源_01水果!$J$4:$J$1203,$AG232)),IF(INDEX(对接源_02物料!$J$4:$J$1203,$AG232-1200)=0,"",INDEX(对接源_02物料!$J$4:$J$1203,$AG232-1200))))</f>
      </c>
      <c r="H232" s="173">
        <f>IF($AG232="","",IF($AG232&lt;=1200,IF(INDEX(对接源_01水果!$K$4:$K$1203,$AG232)=0,"",INDEX(对接源_01水果!$K$4:$K$1203,$AG232)),IF(INDEX(对接源_02物料!$K$4:$K$1203,$AG232-1200)=0,"",INDEX(对接源_02物料!$K$4:$K$1203,$AG232-1200))))</f>
      </c>
      <c r="I232" s="61">
        <f>IF($AG232="","",IF($AG232&lt;=1200,IF(INDEX(对接源_01水果!$L$4:$L$1203,$AG232)=0,"",INDEX(对接源_01水果!$L$4:$L$1203,$AG232)),IF(INDEX(对接源_02物料!$L$4:$L$1203,$AG232-1200)=0,"",INDEX(对接源_02物料!$L$4:$L$1203,$AG232-1200))))</f>
      </c>
      <c r="J232" s="64">
        <f>IF($AG232="","",IF($AG232&lt;=1200,IF(INDEX(对接源_01水果!$M$4:$M$1203,$AG232)=0,"",INDEX(对接源_01水果!$M$4:$M$1203,$AG232)),IF(INDEX(对接源_02物料!$M$4:$M$1203,$AG232-1200)=0,"",INDEX(对接源_02物料!$M$4:$M$1203,$AG232-1200))))</f>
      </c>
      <c r="AG232" s="2">
        <f>IFERROR(MATCH(21,_自动清单!$AE$4:$AE$2403,0),"")</f>
      </c>
    </row>
    <row r="233" ht="18" customHeight="1" s="127">
      <c r="A233" s="165">
        <f>IF($AG233="","",IF($AG233&lt;=1200,IF(INDEX(对接源_01水果!$B$4:$B$1203,$AG233)=0,"",INDEX(对接源_01水果!$B$4:$B$1203,$AG233)),IF(INDEX(对接源_02物料!$B$4:$B$1203,$AG233-1200)=0,"",INDEX(对接源_02物料!$B$4:$B$1203,$AG233-1200))))</f>
      </c>
      <c r="B233" s="104">
        <f>IF($AG233="","",IF($AG233&lt;=1200,IF(INDEX(对接源_01水果!$E$4:$E$1203,$AG233)=0,"",INDEX(对接源_01水果!$E$4:$E$1203,$AG233)),IF(INDEX(对接源_02物料!$E$4:$E$1203,$AG233-1200)=0,"",INDEX(对接源_02物料!$E$4:$E$1203,$AG233-1200))))</f>
      </c>
      <c r="C233" s="104">
        <f>IF($AG233="","",IF($AG233&lt;=1200,IF(INDEX(对接源_01水果!$F$4:$F$1203,$AG233)=0,"",INDEX(对接源_01水果!$F$4:$F$1203,$AG233)),IF(INDEX(对接源_02物料!$F$4:$F$1203,$AG233-1200)=0,"",INDEX(对接源_02物料!$F$4:$F$1203,$AG233-1200))))</f>
      </c>
      <c r="D233" s="104">
        <f>IF($AG233="","",IF($AG233&lt;=1200,IF(INDEX(对接源_01水果!$G$4:$G$1203,$AG233)=0,"",INDEX(对接源_01水果!$G$4:$G$1203,$AG233)),IF(INDEX(对接源_02物料!$G$4:$G$1203,$AG233-1200)=0,"",INDEX(对接源_02物料!$G$4:$G$1203,$AG233-1200))))</f>
      </c>
      <c r="E233" s="166">
        <f>IF($AG233="","",IF($AG233&lt;=1200,IF(INDEX(对接源_01水果!$H$4:$H$1203,$AG233)=0,"",INDEX(对接源_01水果!$H$4:$H$1203,$AG233)),IF(INDEX(对接源_02物料!$H$4:$H$1203,$AG233-1200)=0,"",INDEX(对接源_02物料!$H$4:$H$1203,$AG233-1200))))</f>
      </c>
      <c r="F233" s="104">
        <f>IF($AG233="","",IF($AG233&lt;=1200,IF(INDEX(对接源_01水果!$I$4:$I$1203,$AG233)=0,"",INDEX(对接源_01水果!$I$4:$I$1203,$AG233)),IF(INDEX(对接源_02物料!$I$4:$I$1203,$AG233-1200)=0,"",INDEX(对接源_02物料!$I$4:$I$1203,$AG233-1200))))</f>
      </c>
      <c r="G233" s="175">
        <f>IF($AG233="","",IF($AG233&lt;=1200,IF(INDEX(对接源_01水果!$J$4:$J$1203,$AG233)=0,"",INDEX(对接源_01水果!$J$4:$J$1203,$AG233)),IF(INDEX(对接源_02物料!$J$4:$J$1203,$AG233-1200)=0,"",INDEX(对接源_02物料!$J$4:$J$1203,$AG233-1200))))</f>
      </c>
      <c r="H233" s="175">
        <f>IF($AG233="","",IF($AG233&lt;=1200,IF(INDEX(对接源_01水果!$K$4:$K$1203,$AG233)=0,"",INDEX(对接源_01水果!$K$4:$K$1203,$AG233)),IF(INDEX(对接源_02物料!$K$4:$K$1203,$AG233-1200)=0,"",INDEX(对接源_02物料!$K$4:$K$1203,$AG233-1200))))</f>
      </c>
      <c r="I233" s="104">
        <f>IF($AG233="","",IF($AG233&lt;=1200,IF(INDEX(对接源_01水果!$L$4:$L$1203,$AG233)=0,"",INDEX(对接源_01水果!$L$4:$L$1203,$AG233)),IF(INDEX(对接源_02物料!$L$4:$L$1203,$AG233-1200)=0,"",INDEX(对接源_02物料!$L$4:$L$1203,$AG233-1200))))</f>
      </c>
      <c r="J233" s="107">
        <f>IF($AG233="","",IF($AG233&lt;=1200,IF(INDEX(对接源_01水果!$M$4:$M$1203,$AG233)=0,"",INDEX(对接源_01水果!$M$4:$M$1203,$AG233)),IF(INDEX(对接源_02物料!$M$4:$M$1203,$AG233-1200)=0,"",INDEX(对接源_02物料!$M$4:$M$1203,$AG233-1200))))</f>
      </c>
      <c r="AG233" s="2">
        <f>IFERROR(MATCH(22,_自动清单!$AE$4:$AE$2403,0),"")</f>
      </c>
    </row>
    <row r="234" ht="18" customHeight="1" s="127">
      <c r="A234" s="163">
        <f>IF($AG234="","",IF($AG234&lt;=1200,IF(INDEX(对接源_01水果!$B$4:$B$1203,$AG234)=0,"",INDEX(对接源_01水果!$B$4:$B$1203,$AG234)),IF(INDEX(对接源_02物料!$B$4:$B$1203,$AG234-1200)=0,"",INDEX(对接源_02物料!$B$4:$B$1203,$AG234-1200))))</f>
      </c>
      <c r="B234" s="61">
        <f>IF($AG234="","",IF($AG234&lt;=1200,IF(INDEX(对接源_01水果!$E$4:$E$1203,$AG234)=0,"",INDEX(对接源_01水果!$E$4:$E$1203,$AG234)),IF(INDEX(对接源_02物料!$E$4:$E$1203,$AG234-1200)=0,"",INDEX(对接源_02物料!$E$4:$E$1203,$AG234-1200))))</f>
      </c>
      <c r="C234" s="61">
        <f>IF($AG234="","",IF($AG234&lt;=1200,IF(INDEX(对接源_01水果!$F$4:$F$1203,$AG234)=0,"",INDEX(对接源_01水果!$F$4:$F$1203,$AG234)),IF(INDEX(对接源_02物料!$F$4:$F$1203,$AG234-1200)=0,"",INDEX(对接源_02物料!$F$4:$F$1203,$AG234-1200))))</f>
      </c>
      <c r="D234" s="61">
        <f>IF($AG234="","",IF($AG234&lt;=1200,IF(INDEX(对接源_01水果!$G$4:$G$1203,$AG234)=0,"",INDEX(对接源_01水果!$G$4:$G$1203,$AG234)),IF(INDEX(对接源_02物料!$G$4:$G$1203,$AG234-1200)=0,"",INDEX(对接源_02物料!$G$4:$G$1203,$AG234-1200))))</f>
      </c>
      <c r="E234" s="164">
        <f>IF($AG234="","",IF($AG234&lt;=1200,IF(INDEX(对接源_01水果!$H$4:$H$1203,$AG234)=0,"",INDEX(对接源_01水果!$H$4:$H$1203,$AG234)),IF(INDEX(对接源_02物料!$H$4:$H$1203,$AG234-1200)=0,"",INDEX(对接源_02物料!$H$4:$H$1203,$AG234-1200))))</f>
      </c>
      <c r="F234" s="61">
        <f>IF($AG234="","",IF($AG234&lt;=1200,IF(INDEX(对接源_01水果!$I$4:$I$1203,$AG234)=0,"",INDEX(对接源_01水果!$I$4:$I$1203,$AG234)),IF(INDEX(对接源_02物料!$I$4:$I$1203,$AG234-1200)=0,"",INDEX(对接源_02物料!$I$4:$I$1203,$AG234-1200))))</f>
      </c>
      <c r="G234" s="173">
        <f>IF($AG234="","",IF($AG234&lt;=1200,IF(INDEX(对接源_01水果!$J$4:$J$1203,$AG234)=0,"",INDEX(对接源_01水果!$J$4:$J$1203,$AG234)),IF(INDEX(对接源_02物料!$J$4:$J$1203,$AG234-1200)=0,"",INDEX(对接源_02物料!$J$4:$J$1203,$AG234-1200))))</f>
      </c>
      <c r="H234" s="173">
        <f>IF($AG234="","",IF($AG234&lt;=1200,IF(INDEX(对接源_01水果!$K$4:$K$1203,$AG234)=0,"",INDEX(对接源_01水果!$K$4:$K$1203,$AG234)),IF(INDEX(对接源_02物料!$K$4:$K$1203,$AG234-1200)=0,"",INDEX(对接源_02物料!$K$4:$K$1203,$AG234-1200))))</f>
      </c>
      <c r="I234" s="61">
        <f>IF($AG234="","",IF($AG234&lt;=1200,IF(INDEX(对接源_01水果!$L$4:$L$1203,$AG234)=0,"",INDEX(对接源_01水果!$L$4:$L$1203,$AG234)),IF(INDEX(对接源_02物料!$L$4:$L$1203,$AG234-1200)=0,"",INDEX(对接源_02物料!$L$4:$L$1203,$AG234-1200))))</f>
      </c>
      <c r="J234" s="64">
        <f>IF($AG234="","",IF($AG234&lt;=1200,IF(INDEX(对接源_01水果!$M$4:$M$1203,$AG234)=0,"",INDEX(对接源_01水果!$M$4:$M$1203,$AG234)),IF(INDEX(对接源_02物料!$M$4:$M$1203,$AG234-1200)=0,"",INDEX(对接源_02物料!$M$4:$M$1203,$AG234-1200))))</f>
      </c>
      <c r="AG234" s="2">
        <f>IFERROR(MATCH(23,_自动清单!$AE$4:$AE$2403,0),"")</f>
      </c>
    </row>
    <row r="235" ht="18" customHeight="1" s="127">
      <c r="A235" s="165">
        <f>IF($AG235="","",IF($AG235&lt;=1200,IF(INDEX(对接源_01水果!$B$4:$B$1203,$AG235)=0,"",INDEX(对接源_01水果!$B$4:$B$1203,$AG235)),IF(INDEX(对接源_02物料!$B$4:$B$1203,$AG235-1200)=0,"",INDEX(对接源_02物料!$B$4:$B$1203,$AG235-1200))))</f>
      </c>
      <c r="B235" s="104">
        <f>IF($AG235="","",IF($AG235&lt;=1200,IF(INDEX(对接源_01水果!$E$4:$E$1203,$AG235)=0,"",INDEX(对接源_01水果!$E$4:$E$1203,$AG235)),IF(INDEX(对接源_02物料!$E$4:$E$1203,$AG235-1200)=0,"",INDEX(对接源_02物料!$E$4:$E$1203,$AG235-1200))))</f>
      </c>
      <c r="C235" s="104">
        <f>IF($AG235="","",IF($AG235&lt;=1200,IF(INDEX(对接源_01水果!$F$4:$F$1203,$AG235)=0,"",INDEX(对接源_01水果!$F$4:$F$1203,$AG235)),IF(INDEX(对接源_02物料!$F$4:$F$1203,$AG235-1200)=0,"",INDEX(对接源_02物料!$F$4:$F$1203,$AG235-1200))))</f>
      </c>
      <c r="D235" s="104">
        <f>IF($AG235="","",IF($AG235&lt;=1200,IF(INDEX(对接源_01水果!$G$4:$G$1203,$AG235)=0,"",INDEX(对接源_01水果!$G$4:$G$1203,$AG235)),IF(INDEX(对接源_02物料!$G$4:$G$1203,$AG235-1200)=0,"",INDEX(对接源_02物料!$G$4:$G$1203,$AG235-1200))))</f>
      </c>
      <c r="E235" s="166">
        <f>IF($AG235="","",IF($AG235&lt;=1200,IF(INDEX(对接源_01水果!$H$4:$H$1203,$AG235)=0,"",INDEX(对接源_01水果!$H$4:$H$1203,$AG235)),IF(INDEX(对接源_02物料!$H$4:$H$1203,$AG235-1200)=0,"",INDEX(对接源_02物料!$H$4:$H$1203,$AG235-1200))))</f>
      </c>
      <c r="F235" s="104">
        <f>IF($AG235="","",IF($AG235&lt;=1200,IF(INDEX(对接源_01水果!$I$4:$I$1203,$AG235)=0,"",INDEX(对接源_01水果!$I$4:$I$1203,$AG235)),IF(INDEX(对接源_02物料!$I$4:$I$1203,$AG235-1200)=0,"",INDEX(对接源_02物料!$I$4:$I$1203,$AG235-1200))))</f>
      </c>
      <c r="G235" s="175">
        <f>IF($AG235="","",IF($AG235&lt;=1200,IF(INDEX(对接源_01水果!$J$4:$J$1203,$AG235)=0,"",INDEX(对接源_01水果!$J$4:$J$1203,$AG235)),IF(INDEX(对接源_02物料!$J$4:$J$1203,$AG235-1200)=0,"",INDEX(对接源_02物料!$J$4:$J$1203,$AG235-1200))))</f>
      </c>
      <c r="H235" s="175">
        <f>IF($AG235="","",IF($AG235&lt;=1200,IF(INDEX(对接源_01水果!$K$4:$K$1203,$AG235)=0,"",INDEX(对接源_01水果!$K$4:$K$1203,$AG235)),IF(INDEX(对接源_02物料!$K$4:$K$1203,$AG235-1200)=0,"",INDEX(对接源_02物料!$K$4:$K$1203,$AG235-1200))))</f>
      </c>
      <c r="I235" s="104">
        <f>IF($AG235="","",IF($AG235&lt;=1200,IF(INDEX(对接源_01水果!$L$4:$L$1203,$AG235)=0,"",INDEX(对接源_01水果!$L$4:$L$1203,$AG235)),IF(INDEX(对接源_02物料!$L$4:$L$1203,$AG235-1200)=0,"",INDEX(对接源_02物料!$L$4:$L$1203,$AG235-1200))))</f>
      </c>
      <c r="J235" s="107">
        <f>IF($AG235="","",IF($AG235&lt;=1200,IF(INDEX(对接源_01水果!$M$4:$M$1203,$AG235)=0,"",INDEX(对接源_01水果!$M$4:$M$1203,$AG235)),IF(INDEX(对接源_02物料!$M$4:$M$1203,$AG235-1200)=0,"",INDEX(对接源_02物料!$M$4:$M$1203,$AG235-1200))))</f>
      </c>
      <c r="AG235" s="2">
        <f>IFERROR(MATCH(24,_自动清单!$AE$4:$AE$2403,0),"")</f>
      </c>
    </row>
    <row r="236" ht="18" customHeight="1" s="127">
      <c r="A236" s="163">
        <f>IF($AG236="","",IF($AG236&lt;=1200,IF(INDEX(对接源_01水果!$B$4:$B$1203,$AG236)=0,"",INDEX(对接源_01水果!$B$4:$B$1203,$AG236)),IF(INDEX(对接源_02物料!$B$4:$B$1203,$AG236-1200)=0,"",INDEX(对接源_02物料!$B$4:$B$1203,$AG236-1200))))</f>
      </c>
      <c r="B236" s="61">
        <f>IF($AG236="","",IF($AG236&lt;=1200,IF(INDEX(对接源_01水果!$E$4:$E$1203,$AG236)=0,"",INDEX(对接源_01水果!$E$4:$E$1203,$AG236)),IF(INDEX(对接源_02物料!$E$4:$E$1203,$AG236-1200)=0,"",INDEX(对接源_02物料!$E$4:$E$1203,$AG236-1200))))</f>
      </c>
      <c r="C236" s="61">
        <f>IF($AG236="","",IF($AG236&lt;=1200,IF(INDEX(对接源_01水果!$F$4:$F$1203,$AG236)=0,"",INDEX(对接源_01水果!$F$4:$F$1203,$AG236)),IF(INDEX(对接源_02物料!$F$4:$F$1203,$AG236-1200)=0,"",INDEX(对接源_02物料!$F$4:$F$1203,$AG236-1200))))</f>
      </c>
      <c r="D236" s="61">
        <f>IF($AG236="","",IF($AG236&lt;=1200,IF(INDEX(对接源_01水果!$G$4:$G$1203,$AG236)=0,"",INDEX(对接源_01水果!$G$4:$G$1203,$AG236)),IF(INDEX(对接源_02物料!$G$4:$G$1203,$AG236-1200)=0,"",INDEX(对接源_02物料!$G$4:$G$1203,$AG236-1200))))</f>
      </c>
      <c r="E236" s="164">
        <f>IF($AG236="","",IF($AG236&lt;=1200,IF(INDEX(对接源_01水果!$H$4:$H$1203,$AG236)=0,"",INDEX(对接源_01水果!$H$4:$H$1203,$AG236)),IF(INDEX(对接源_02物料!$H$4:$H$1203,$AG236-1200)=0,"",INDEX(对接源_02物料!$H$4:$H$1203,$AG236-1200))))</f>
      </c>
      <c r="F236" s="61">
        <f>IF($AG236="","",IF($AG236&lt;=1200,IF(INDEX(对接源_01水果!$I$4:$I$1203,$AG236)=0,"",INDEX(对接源_01水果!$I$4:$I$1203,$AG236)),IF(INDEX(对接源_02物料!$I$4:$I$1203,$AG236-1200)=0,"",INDEX(对接源_02物料!$I$4:$I$1203,$AG236-1200))))</f>
      </c>
      <c r="G236" s="173">
        <f>IF($AG236="","",IF($AG236&lt;=1200,IF(INDEX(对接源_01水果!$J$4:$J$1203,$AG236)=0,"",INDEX(对接源_01水果!$J$4:$J$1203,$AG236)),IF(INDEX(对接源_02物料!$J$4:$J$1203,$AG236-1200)=0,"",INDEX(对接源_02物料!$J$4:$J$1203,$AG236-1200))))</f>
      </c>
      <c r="H236" s="173">
        <f>IF($AG236="","",IF($AG236&lt;=1200,IF(INDEX(对接源_01水果!$K$4:$K$1203,$AG236)=0,"",INDEX(对接源_01水果!$K$4:$K$1203,$AG236)),IF(INDEX(对接源_02物料!$K$4:$K$1203,$AG236-1200)=0,"",INDEX(对接源_02物料!$K$4:$K$1203,$AG236-1200))))</f>
      </c>
      <c r="I236" s="61">
        <f>IF($AG236="","",IF($AG236&lt;=1200,IF(INDEX(对接源_01水果!$L$4:$L$1203,$AG236)=0,"",INDEX(对接源_01水果!$L$4:$L$1203,$AG236)),IF(INDEX(对接源_02物料!$L$4:$L$1203,$AG236-1200)=0,"",INDEX(对接源_02物料!$L$4:$L$1203,$AG236-1200))))</f>
      </c>
      <c r="J236" s="64">
        <f>IF($AG236="","",IF($AG236&lt;=1200,IF(INDEX(对接源_01水果!$M$4:$M$1203,$AG236)=0,"",INDEX(对接源_01水果!$M$4:$M$1203,$AG236)),IF(INDEX(对接源_02物料!$M$4:$M$1203,$AG236-1200)=0,"",INDEX(对接源_02物料!$M$4:$M$1203,$AG236-1200))))</f>
      </c>
      <c r="AG236" s="2">
        <f>IFERROR(MATCH(25,_自动清单!$AE$4:$AE$2403,0),"")</f>
      </c>
    </row>
    <row r="237" ht="18" customHeight="1" s="127">
      <c r="A237" s="165">
        <f>IF($AG237="","",IF($AG237&lt;=1200,IF(INDEX(对接源_01水果!$B$4:$B$1203,$AG237)=0,"",INDEX(对接源_01水果!$B$4:$B$1203,$AG237)),IF(INDEX(对接源_02物料!$B$4:$B$1203,$AG237-1200)=0,"",INDEX(对接源_02物料!$B$4:$B$1203,$AG237-1200))))</f>
      </c>
      <c r="B237" s="104">
        <f>IF($AG237="","",IF($AG237&lt;=1200,IF(INDEX(对接源_01水果!$E$4:$E$1203,$AG237)=0,"",INDEX(对接源_01水果!$E$4:$E$1203,$AG237)),IF(INDEX(对接源_02物料!$E$4:$E$1203,$AG237-1200)=0,"",INDEX(对接源_02物料!$E$4:$E$1203,$AG237-1200))))</f>
      </c>
      <c r="C237" s="104">
        <f>IF($AG237="","",IF($AG237&lt;=1200,IF(INDEX(对接源_01水果!$F$4:$F$1203,$AG237)=0,"",INDEX(对接源_01水果!$F$4:$F$1203,$AG237)),IF(INDEX(对接源_02物料!$F$4:$F$1203,$AG237-1200)=0,"",INDEX(对接源_02物料!$F$4:$F$1203,$AG237-1200))))</f>
      </c>
      <c r="D237" s="104">
        <f>IF($AG237="","",IF($AG237&lt;=1200,IF(INDEX(对接源_01水果!$G$4:$G$1203,$AG237)=0,"",INDEX(对接源_01水果!$G$4:$G$1203,$AG237)),IF(INDEX(对接源_02物料!$G$4:$G$1203,$AG237-1200)=0,"",INDEX(对接源_02物料!$G$4:$G$1203,$AG237-1200))))</f>
      </c>
      <c r="E237" s="166">
        <f>IF($AG237="","",IF($AG237&lt;=1200,IF(INDEX(对接源_01水果!$H$4:$H$1203,$AG237)=0,"",INDEX(对接源_01水果!$H$4:$H$1203,$AG237)),IF(INDEX(对接源_02物料!$H$4:$H$1203,$AG237-1200)=0,"",INDEX(对接源_02物料!$H$4:$H$1203,$AG237-1200))))</f>
      </c>
      <c r="F237" s="104">
        <f>IF($AG237="","",IF($AG237&lt;=1200,IF(INDEX(对接源_01水果!$I$4:$I$1203,$AG237)=0,"",INDEX(对接源_01水果!$I$4:$I$1203,$AG237)),IF(INDEX(对接源_02物料!$I$4:$I$1203,$AG237-1200)=0,"",INDEX(对接源_02物料!$I$4:$I$1203,$AG237-1200))))</f>
      </c>
      <c r="G237" s="175">
        <f>IF($AG237="","",IF($AG237&lt;=1200,IF(INDEX(对接源_01水果!$J$4:$J$1203,$AG237)=0,"",INDEX(对接源_01水果!$J$4:$J$1203,$AG237)),IF(INDEX(对接源_02物料!$J$4:$J$1203,$AG237-1200)=0,"",INDEX(对接源_02物料!$J$4:$J$1203,$AG237-1200))))</f>
      </c>
      <c r="H237" s="175">
        <f>IF($AG237="","",IF($AG237&lt;=1200,IF(INDEX(对接源_01水果!$K$4:$K$1203,$AG237)=0,"",INDEX(对接源_01水果!$K$4:$K$1203,$AG237)),IF(INDEX(对接源_02物料!$K$4:$K$1203,$AG237-1200)=0,"",INDEX(对接源_02物料!$K$4:$K$1203,$AG237-1200))))</f>
      </c>
      <c r="I237" s="104">
        <f>IF($AG237="","",IF($AG237&lt;=1200,IF(INDEX(对接源_01水果!$L$4:$L$1203,$AG237)=0,"",INDEX(对接源_01水果!$L$4:$L$1203,$AG237)),IF(INDEX(对接源_02物料!$L$4:$L$1203,$AG237-1200)=0,"",INDEX(对接源_02物料!$L$4:$L$1203,$AG237-1200))))</f>
      </c>
      <c r="J237" s="107">
        <f>IF($AG237="","",IF($AG237&lt;=1200,IF(INDEX(对接源_01水果!$M$4:$M$1203,$AG237)=0,"",INDEX(对接源_01水果!$M$4:$M$1203,$AG237)),IF(INDEX(对接源_02物料!$M$4:$M$1203,$AG237-1200)=0,"",INDEX(对接源_02物料!$M$4:$M$1203,$AG237-1200))))</f>
      </c>
      <c r="AG237" s="2">
        <f>IFERROR(MATCH(26,_自动清单!$AE$4:$AE$2403,0),"")</f>
      </c>
    </row>
    <row r="238" ht="18" customHeight="1" s="127">
      <c r="A238" s="163">
        <f>IF($AG238="","",IF($AG238&lt;=1200,IF(INDEX(对接源_01水果!$B$4:$B$1203,$AG238)=0,"",INDEX(对接源_01水果!$B$4:$B$1203,$AG238)),IF(INDEX(对接源_02物料!$B$4:$B$1203,$AG238-1200)=0,"",INDEX(对接源_02物料!$B$4:$B$1203,$AG238-1200))))</f>
      </c>
      <c r="B238" s="61">
        <f>IF($AG238="","",IF($AG238&lt;=1200,IF(INDEX(对接源_01水果!$E$4:$E$1203,$AG238)=0,"",INDEX(对接源_01水果!$E$4:$E$1203,$AG238)),IF(INDEX(对接源_02物料!$E$4:$E$1203,$AG238-1200)=0,"",INDEX(对接源_02物料!$E$4:$E$1203,$AG238-1200))))</f>
      </c>
      <c r="C238" s="61">
        <f>IF($AG238="","",IF($AG238&lt;=1200,IF(INDEX(对接源_01水果!$F$4:$F$1203,$AG238)=0,"",INDEX(对接源_01水果!$F$4:$F$1203,$AG238)),IF(INDEX(对接源_02物料!$F$4:$F$1203,$AG238-1200)=0,"",INDEX(对接源_02物料!$F$4:$F$1203,$AG238-1200))))</f>
      </c>
      <c r="D238" s="61">
        <f>IF($AG238="","",IF($AG238&lt;=1200,IF(INDEX(对接源_01水果!$G$4:$G$1203,$AG238)=0,"",INDEX(对接源_01水果!$G$4:$G$1203,$AG238)),IF(INDEX(对接源_02物料!$G$4:$G$1203,$AG238-1200)=0,"",INDEX(对接源_02物料!$G$4:$G$1203,$AG238-1200))))</f>
      </c>
      <c r="E238" s="164">
        <f>IF($AG238="","",IF($AG238&lt;=1200,IF(INDEX(对接源_01水果!$H$4:$H$1203,$AG238)=0,"",INDEX(对接源_01水果!$H$4:$H$1203,$AG238)),IF(INDEX(对接源_02物料!$H$4:$H$1203,$AG238-1200)=0,"",INDEX(对接源_02物料!$H$4:$H$1203,$AG238-1200))))</f>
      </c>
      <c r="F238" s="61">
        <f>IF($AG238="","",IF($AG238&lt;=1200,IF(INDEX(对接源_01水果!$I$4:$I$1203,$AG238)=0,"",INDEX(对接源_01水果!$I$4:$I$1203,$AG238)),IF(INDEX(对接源_02物料!$I$4:$I$1203,$AG238-1200)=0,"",INDEX(对接源_02物料!$I$4:$I$1203,$AG238-1200))))</f>
      </c>
      <c r="G238" s="173">
        <f>IF($AG238="","",IF($AG238&lt;=1200,IF(INDEX(对接源_01水果!$J$4:$J$1203,$AG238)=0,"",INDEX(对接源_01水果!$J$4:$J$1203,$AG238)),IF(INDEX(对接源_02物料!$J$4:$J$1203,$AG238-1200)=0,"",INDEX(对接源_02物料!$J$4:$J$1203,$AG238-1200))))</f>
      </c>
      <c r="H238" s="173">
        <f>IF($AG238="","",IF($AG238&lt;=1200,IF(INDEX(对接源_01水果!$K$4:$K$1203,$AG238)=0,"",INDEX(对接源_01水果!$K$4:$K$1203,$AG238)),IF(INDEX(对接源_02物料!$K$4:$K$1203,$AG238-1200)=0,"",INDEX(对接源_02物料!$K$4:$K$1203,$AG238-1200))))</f>
      </c>
      <c r="I238" s="61">
        <f>IF($AG238="","",IF($AG238&lt;=1200,IF(INDEX(对接源_01水果!$L$4:$L$1203,$AG238)=0,"",INDEX(对接源_01水果!$L$4:$L$1203,$AG238)),IF(INDEX(对接源_02物料!$L$4:$L$1203,$AG238-1200)=0,"",INDEX(对接源_02物料!$L$4:$L$1203,$AG238-1200))))</f>
      </c>
      <c r="J238" s="64">
        <f>IF($AG238="","",IF($AG238&lt;=1200,IF(INDEX(对接源_01水果!$M$4:$M$1203,$AG238)=0,"",INDEX(对接源_01水果!$M$4:$M$1203,$AG238)),IF(INDEX(对接源_02物料!$M$4:$M$1203,$AG238-1200)=0,"",INDEX(对接源_02物料!$M$4:$M$1203,$AG238-1200))))</f>
      </c>
      <c r="AG238" s="2">
        <f>IFERROR(MATCH(27,_自动清单!$AE$4:$AE$2403,0),"")</f>
      </c>
    </row>
    <row r="239" ht="18" customHeight="1" s="127">
      <c r="A239" s="165">
        <f>IF($AG239="","",IF($AG239&lt;=1200,IF(INDEX(对接源_01水果!$B$4:$B$1203,$AG239)=0,"",INDEX(对接源_01水果!$B$4:$B$1203,$AG239)),IF(INDEX(对接源_02物料!$B$4:$B$1203,$AG239-1200)=0,"",INDEX(对接源_02物料!$B$4:$B$1203,$AG239-1200))))</f>
      </c>
      <c r="B239" s="104">
        <f>IF($AG239="","",IF($AG239&lt;=1200,IF(INDEX(对接源_01水果!$E$4:$E$1203,$AG239)=0,"",INDEX(对接源_01水果!$E$4:$E$1203,$AG239)),IF(INDEX(对接源_02物料!$E$4:$E$1203,$AG239-1200)=0,"",INDEX(对接源_02物料!$E$4:$E$1203,$AG239-1200))))</f>
      </c>
      <c r="C239" s="104">
        <f>IF($AG239="","",IF($AG239&lt;=1200,IF(INDEX(对接源_01水果!$F$4:$F$1203,$AG239)=0,"",INDEX(对接源_01水果!$F$4:$F$1203,$AG239)),IF(INDEX(对接源_02物料!$F$4:$F$1203,$AG239-1200)=0,"",INDEX(对接源_02物料!$F$4:$F$1203,$AG239-1200))))</f>
      </c>
      <c r="D239" s="104">
        <f>IF($AG239="","",IF($AG239&lt;=1200,IF(INDEX(对接源_01水果!$G$4:$G$1203,$AG239)=0,"",INDEX(对接源_01水果!$G$4:$G$1203,$AG239)),IF(INDEX(对接源_02物料!$G$4:$G$1203,$AG239-1200)=0,"",INDEX(对接源_02物料!$G$4:$G$1203,$AG239-1200))))</f>
      </c>
      <c r="E239" s="166">
        <f>IF($AG239="","",IF($AG239&lt;=1200,IF(INDEX(对接源_01水果!$H$4:$H$1203,$AG239)=0,"",INDEX(对接源_01水果!$H$4:$H$1203,$AG239)),IF(INDEX(对接源_02物料!$H$4:$H$1203,$AG239-1200)=0,"",INDEX(对接源_02物料!$H$4:$H$1203,$AG239-1200))))</f>
      </c>
      <c r="F239" s="104">
        <f>IF($AG239="","",IF($AG239&lt;=1200,IF(INDEX(对接源_01水果!$I$4:$I$1203,$AG239)=0,"",INDEX(对接源_01水果!$I$4:$I$1203,$AG239)),IF(INDEX(对接源_02物料!$I$4:$I$1203,$AG239-1200)=0,"",INDEX(对接源_02物料!$I$4:$I$1203,$AG239-1200))))</f>
      </c>
      <c r="G239" s="175">
        <f>IF($AG239="","",IF($AG239&lt;=1200,IF(INDEX(对接源_01水果!$J$4:$J$1203,$AG239)=0,"",INDEX(对接源_01水果!$J$4:$J$1203,$AG239)),IF(INDEX(对接源_02物料!$J$4:$J$1203,$AG239-1200)=0,"",INDEX(对接源_02物料!$J$4:$J$1203,$AG239-1200))))</f>
      </c>
      <c r="H239" s="175">
        <f>IF($AG239="","",IF($AG239&lt;=1200,IF(INDEX(对接源_01水果!$K$4:$K$1203,$AG239)=0,"",INDEX(对接源_01水果!$K$4:$K$1203,$AG239)),IF(INDEX(对接源_02物料!$K$4:$K$1203,$AG239-1200)=0,"",INDEX(对接源_02物料!$K$4:$K$1203,$AG239-1200))))</f>
      </c>
      <c r="I239" s="104">
        <f>IF($AG239="","",IF($AG239&lt;=1200,IF(INDEX(对接源_01水果!$L$4:$L$1203,$AG239)=0,"",INDEX(对接源_01水果!$L$4:$L$1203,$AG239)),IF(INDEX(对接源_02物料!$L$4:$L$1203,$AG239-1200)=0,"",INDEX(对接源_02物料!$L$4:$L$1203,$AG239-1200))))</f>
      </c>
      <c r="J239" s="107">
        <f>IF($AG239="","",IF($AG239&lt;=1200,IF(INDEX(对接源_01水果!$M$4:$M$1203,$AG239)=0,"",INDEX(对接源_01水果!$M$4:$M$1203,$AG239)),IF(INDEX(对接源_02物料!$M$4:$M$1203,$AG239-1200)=0,"",INDEX(对接源_02物料!$M$4:$M$1203,$AG239-1200))))</f>
      </c>
      <c r="AG239" s="2">
        <f>IFERROR(MATCH(28,_自动清单!$AE$4:$AE$2403,0),"")</f>
      </c>
    </row>
    <row r="240" ht="18" customHeight="1" s="127">
      <c r="A240" s="163">
        <f>IF($AG240="","",IF($AG240&lt;=1200,IF(INDEX(对接源_01水果!$B$4:$B$1203,$AG240)=0,"",INDEX(对接源_01水果!$B$4:$B$1203,$AG240)),IF(INDEX(对接源_02物料!$B$4:$B$1203,$AG240-1200)=0,"",INDEX(对接源_02物料!$B$4:$B$1203,$AG240-1200))))</f>
      </c>
      <c r="B240" s="61">
        <f>IF($AG240="","",IF($AG240&lt;=1200,IF(INDEX(对接源_01水果!$E$4:$E$1203,$AG240)=0,"",INDEX(对接源_01水果!$E$4:$E$1203,$AG240)),IF(INDEX(对接源_02物料!$E$4:$E$1203,$AG240-1200)=0,"",INDEX(对接源_02物料!$E$4:$E$1203,$AG240-1200))))</f>
      </c>
      <c r="C240" s="61">
        <f>IF($AG240="","",IF($AG240&lt;=1200,IF(INDEX(对接源_01水果!$F$4:$F$1203,$AG240)=0,"",INDEX(对接源_01水果!$F$4:$F$1203,$AG240)),IF(INDEX(对接源_02物料!$F$4:$F$1203,$AG240-1200)=0,"",INDEX(对接源_02物料!$F$4:$F$1203,$AG240-1200))))</f>
      </c>
      <c r="D240" s="61">
        <f>IF($AG240="","",IF($AG240&lt;=1200,IF(INDEX(对接源_01水果!$G$4:$G$1203,$AG240)=0,"",INDEX(对接源_01水果!$G$4:$G$1203,$AG240)),IF(INDEX(对接源_02物料!$G$4:$G$1203,$AG240-1200)=0,"",INDEX(对接源_02物料!$G$4:$G$1203,$AG240-1200))))</f>
      </c>
      <c r="E240" s="164">
        <f>IF($AG240="","",IF($AG240&lt;=1200,IF(INDEX(对接源_01水果!$H$4:$H$1203,$AG240)=0,"",INDEX(对接源_01水果!$H$4:$H$1203,$AG240)),IF(INDEX(对接源_02物料!$H$4:$H$1203,$AG240-1200)=0,"",INDEX(对接源_02物料!$H$4:$H$1203,$AG240-1200))))</f>
      </c>
      <c r="F240" s="61">
        <f>IF($AG240="","",IF($AG240&lt;=1200,IF(INDEX(对接源_01水果!$I$4:$I$1203,$AG240)=0,"",INDEX(对接源_01水果!$I$4:$I$1203,$AG240)),IF(INDEX(对接源_02物料!$I$4:$I$1203,$AG240-1200)=0,"",INDEX(对接源_02物料!$I$4:$I$1203,$AG240-1200))))</f>
      </c>
      <c r="G240" s="173">
        <f>IF($AG240="","",IF($AG240&lt;=1200,IF(INDEX(对接源_01水果!$J$4:$J$1203,$AG240)=0,"",INDEX(对接源_01水果!$J$4:$J$1203,$AG240)),IF(INDEX(对接源_02物料!$J$4:$J$1203,$AG240-1200)=0,"",INDEX(对接源_02物料!$J$4:$J$1203,$AG240-1200))))</f>
      </c>
      <c r="H240" s="173">
        <f>IF($AG240="","",IF($AG240&lt;=1200,IF(INDEX(对接源_01水果!$K$4:$K$1203,$AG240)=0,"",INDEX(对接源_01水果!$K$4:$K$1203,$AG240)),IF(INDEX(对接源_02物料!$K$4:$K$1203,$AG240-1200)=0,"",INDEX(对接源_02物料!$K$4:$K$1203,$AG240-1200))))</f>
      </c>
      <c r="I240" s="61">
        <f>IF($AG240="","",IF($AG240&lt;=1200,IF(INDEX(对接源_01水果!$L$4:$L$1203,$AG240)=0,"",INDEX(对接源_01水果!$L$4:$L$1203,$AG240)),IF(INDEX(对接源_02物料!$L$4:$L$1203,$AG240-1200)=0,"",INDEX(对接源_02物料!$L$4:$L$1203,$AG240-1200))))</f>
      </c>
      <c r="J240" s="64">
        <f>IF($AG240="","",IF($AG240&lt;=1200,IF(INDEX(对接源_01水果!$M$4:$M$1203,$AG240)=0,"",INDEX(对接源_01水果!$M$4:$M$1203,$AG240)),IF(INDEX(对接源_02物料!$M$4:$M$1203,$AG240-1200)=0,"",INDEX(对接源_02物料!$M$4:$M$1203,$AG240-1200))))</f>
      </c>
      <c r="AG240" s="2">
        <f>IFERROR(MATCH(29,_自动清单!$AE$4:$AE$2403,0),"")</f>
      </c>
    </row>
    <row r="241" ht="18" customHeight="1" s="127">
      <c r="A241" s="165">
        <f>IF($AG241="","",IF($AG241&lt;=1200,IF(INDEX(对接源_01水果!$B$4:$B$1203,$AG241)=0,"",INDEX(对接源_01水果!$B$4:$B$1203,$AG241)),IF(INDEX(对接源_02物料!$B$4:$B$1203,$AG241-1200)=0,"",INDEX(对接源_02物料!$B$4:$B$1203,$AG241-1200))))</f>
      </c>
      <c r="B241" s="104">
        <f>IF($AG241="","",IF($AG241&lt;=1200,IF(INDEX(对接源_01水果!$E$4:$E$1203,$AG241)=0,"",INDEX(对接源_01水果!$E$4:$E$1203,$AG241)),IF(INDEX(对接源_02物料!$E$4:$E$1203,$AG241-1200)=0,"",INDEX(对接源_02物料!$E$4:$E$1203,$AG241-1200))))</f>
      </c>
      <c r="C241" s="104">
        <f>IF($AG241="","",IF($AG241&lt;=1200,IF(INDEX(对接源_01水果!$F$4:$F$1203,$AG241)=0,"",INDEX(对接源_01水果!$F$4:$F$1203,$AG241)),IF(INDEX(对接源_02物料!$F$4:$F$1203,$AG241-1200)=0,"",INDEX(对接源_02物料!$F$4:$F$1203,$AG241-1200))))</f>
      </c>
      <c r="D241" s="104">
        <f>IF($AG241="","",IF($AG241&lt;=1200,IF(INDEX(对接源_01水果!$G$4:$G$1203,$AG241)=0,"",INDEX(对接源_01水果!$G$4:$G$1203,$AG241)),IF(INDEX(对接源_02物料!$G$4:$G$1203,$AG241-1200)=0,"",INDEX(对接源_02物料!$G$4:$G$1203,$AG241-1200))))</f>
      </c>
      <c r="E241" s="166">
        <f>IF($AG241="","",IF($AG241&lt;=1200,IF(INDEX(对接源_01水果!$H$4:$H$1203,$AG241)=0,"",INDEX(对接源_01水果!$H$4:$H$1203,$AG241)),IF(INDEX(对接源_02物料!$H$4:$H$1203,$AG241-1200)=0,"",INDEX(对接源_02物料!$H$4:$H$1203,$AG241-1200))))</f>
      </c>
      <c r="F241" s="104">
        <f>IF($AG241="","",IF($AG241&lt;=1200,IF(INDEX(对接源_01水果!$I$4:$I$1203,$AG241)=0,"",INDEX(对接源_01水果!$I$4:$I$1203,$AG241)),IF(INDEX(对接源_02物料!$I$4:$I$1203,$AG241-1200)=0,"",INDEX(对接源_02物料!$I$4:$I$1203,$AG241-1200))))</f>
      </c>
      <c r="G241" s="175">
        <f>IF($AG241="","",IF($AG241&lt;=1200,IF(INDEX(对接源_01水果!$J$4:$J$1203,$AG241)=0,"",INDEX(对接源_01水果!$J$4:$J$1203,$AG241)),IF(INDEX(对接源_02物料!$J$4:$J$1203,$AG241-1200)=0,"",INDEX(对接源_02物料!$J$4:$J$1203,$AG241-1200))))</f>
      </c>
      <c r="H241" s="175">
        <f>IF($AG241="","",IF($AG241&lt;=1200,IF(INDEX(对接源_01水果!$K$4:$K$1203,$AG241)=0,"",INDEX(对接源_01水果!$K$4:$K$1203,$AG241)),IF(INDEX(对接源_02物料!$K$4:$K$1203,$AG241-1200)=0,"",INDEX(对接源_02物料!$K$4:$K$1203,$AG241-1200))))</f>
      </c>
      <c r="I241" s="104">
        <f>IF($AG241="","",IF($AG241&lt;=1200,IF(INDEX(对接源_01水果!$L$4:$L$1203,$AG241)=0,"",INDEX(对接源_01水果!$L$4:$L$1203,$AG241)),IF(INDEX(对接源_02物料!$L$4:$L$1203,$AG241-1200)=0,"",INDEX(对接源_02物料!$L$4:$L$1203,$AG241-1200))))</f>
      </c>
      <c r="J241" s="107">
        <f>IF($AG241="","",IF($AG241&lt;=1200,IF(INDEX(对接源_01水果!$M$4:$M$1203,$AG241)=0,"",INDEX(对接源_01水果!$M$4:$M$1203,$AG241)),IF(INDEX(对接源_02物料!$M$4:$M$1203,$AG241-1200)=0,"",INDEX(对接源_02物料!$M$4:$M$1203,$AG241-1200))))</f>
      </c>
      <c r="AG241" s="2">
        <f>IFERROR(MATCH(30,_自动清单!$AE$4:$AE$2403,0),"")</f>
      </c>
    </row>
    <row r="242" ht="18" customHeight="1" s="127">
      <c r="A242" s="163">
        <f>IF($AG242="","",IF($AG242&lt;=1200,IF(INDEX(对接源_01水果!$B$4:$B$1203,$AG242)=0,"",INDEX(对接源_01水果!$B$4:$B$1203,$AG242)),IF(INDEX(对接源_02物料!$B$4:$B$1203,$AG242-1200)=0,"",INDEX(对接源_02物料!$B$4:$B$1203,$AG242-1200))))</f>
      </c>
      <c r="B242" s="61">
        <f>IF($AG242="","",IF($AG242&lt;=1200,IF(INDEX(对接源_01水果!$E$4:$E$1203,$AG242)=0,"",INDEX(对接源_01水果!$E$4:$E$1203,$AG242)),IF(INDEX(对接源_02物料!$E$4:$E$1203,$AG242-1200)=0,"",INDEX(对接源_02物料!$E$4:$E$1203,$AG242-1200))))</f>
      </c>
      <c r="C242" s="61">
        <f>IF($AG242="","",IF($AG242&lt;=1200,IF(INDEX(对接源_01水果!$F$4:$F$1203,$AG242)=0,"",INDEX(对接源_01水果!$F$4:$F$1203,$AG242)),IF(INDEX(对接源_02物料!$F$4:$F$1203,$AG242-1200)=0,"",INDEX(对接源_02物料!$F$4:$F$1203,$AG242-1200))))</f>
      </c>
      <c r="D242" s="61">
        <f>IF($AG242="","",IF($AG242&lt;=1200,IF(INDEX(对接源_01水果!$G$4:$G$1203,$AG242)=0,"",INDEX(对接源_01水果!$G$4:$G$1203,$AG242)),IF(INDEX(对接源_02物料!$G$4:$G$1203,$AG242-1200)=0,"",INDEX(对接源_02物料!$G$4:$G$1203,$AG242-1200))))</f>
      </c>
      <c r="E242" s="164">
        <f>IF($AG242="","",IF($AG242&lt;=1200,IF(INDEX(对接源_01水果!$H$4:$H$1203,$AG242)=0,"",INDEX(对接源_01水果!$H$4:$H$1203,$AG242)),IF(INDEX(对接源_02物料!$H$4:$H$1203,$AG242-1200)=0,"",INDEX(对接源_02物料!$H$4:$H$1203,$AG242-1200))))</f>
      </c>
      <c r="F242" s="61">
        <f>IF($AG242="","",IF($AG242&lt;=1200,IF(INDEX(对接源_01水果!$I$4:$I$1203,$AG242)=0,"",INDEX(对接源_01水果!$I$4:$I$1203,$AG242)),IF(INDEX(对接源_02物料!$I$4:$I$1203,$AG242-1200)=0,"",INDEX(对接源_02物料!$I$4:$I$1203,$AG242-1200))))</f>
      </c>
      <c r="G242" s="173">
        <f>IF($AG242="","",IF($AG242&lt;=1200,IF(INDEX(对接源_01水果!$J$4:$J$1203,$AG242)=0,"",INDEX(对接源_01水果!$J$4:$J$1203,$AG242)),IF(INDEX(对接源_02物料!$J$4:$J$1203,$AG242-1200)=0,"",INDEX(对接源_02物料!$J$4:$J$1203,$AG242-1200))))</f>
      </c>
      <c r="H242" s="173">
        <f>IF($AG242="","",IF($AG242&lt;=1200,IF(INDEX(对接源_01水果!$K$4:$K$1203,$AG242)=0,"",INDEX(对接源_01水果!$K$4:$K$1203,$AG242)),IF(INDEX(对接源_02物料!$K$4:$K$1203,$AG242-1200)=0,"",INDEX(对接源_02物料!$K$4:$K$1203,$AG242-1200))))</f>
      </c>
      <c r="I242" s="61">
        <f>IF($AG242="","",IF($AG242&lt;=1200,IF(INDEX(对接源_01水果!$L$4:$L$1203,$AG242)=0,"",INDEX(对接源_01水果!$L$4:$L$1203,$AG242)),IF(INDEX(对接源_02物料!$L$4:$L$1203,$AG242-1200)=0,"",INDEX(对接源_02物料!$L$4:$L$1203,$AG242-1200))))</f>
      </c>
      <c r="J242" s="64">
        <f>IF($AG242="","",IF($AG242&lt;=1200,IF(INDEX(对接源_01水果!$M$4:$M$1203,$AG242)=0,"",INDEX(对接源_01水果!$M$4:$M$1203,$AG242)),IF(INDEX(对接源_02物料!$M$4:$M$1203,$AG242-1200)=0,"",INDEX(对接源_02物料!$M$4:$M$1203,$AG242-1200))))</f>
      </c>
      <c r="AG242" s="2">
        <f>IFERROR(MATCH(31,_自动清单!$AE$4:$AE$2403,0),"")</f>
      </c>
    </row>
    <row r="243" ht="18" customHeight="1" s="127">
      <c r="A243" s="165">
        <f>IF($AG243="","",IF($AG243&lt;=1200,IF(INDEX(对接源_01水果!$B$4:$B$1203,$AG243)=0,"",INDEX(对接源_01水果!$B$4:$B$1203,$AG243)),IF(INDEX(对接源_02物料!$B$4:$B$1203,$AG243-1200)=0,"",INDEX(对接源_02物料!$B$4:$B$1203,$AG243-1200))))</f>
      </c>
      <c r="B243" s="104">
        <f>IF($AG243="","",IF($AG243&lt;=1200,IF(INDEX(对接源_01水果!$E$4:$E$1203,$AG243)=0,"",INDEX(对接源_01水果!$E$4:$E$1203,$AG243)),IF(INDEX(对接源_02物料!$E$4:$E$1203,$AG243-1200)=0,"",INDEX(对接源_02物料!$E$4:$E$1203,$AG243-1200))))</f>
      </c>
      <c r="C243" s="104">
        <f>IF($AG243="","",IF($AG243&lt;=1200,IF(INDEX(对接源_01水果!$F$4:$F$1203,$AG243)=0,"",INDEX(对接源_01水果!$F$4:$F$1203,$AG243)),IF(INDEX(对接源_02物料!$F$4:$F$1203,$AG243-1200)=0,"",INDEX(对接源_02物料!$F$4:$F$1203,$AG243-1200))))</f>
      </c>
      <c r="D243" s="104">
        <f>IF($AG243="","",IF($AG243&lt;=1200,IF(INDEX(对接源_01水果!$G$4:$G$1203,$AG243)=0,"",INDEX(对接源_01水果!$G$4:$G$1203,$AG243)),IF(INDEX(对接源_02物料!$G$4:$G$1203,$AG243-1200)=0,"",INDEX(对接源_02物料!$G$4:$G$1203,$AG243-1200))))</f>
      </c>
      <c r="E243" s="166">
        <f>IF($AG243="","",IF($AG243&lt;=1200,IF(INDEX(对接源_01水果!$H$4:$H$1203,$AG243)=0,"",INDEX(对接源_01水果!$H$4:$H$1203,$AG243)),IF(INDEX(对接源_02物料!$H$4:$H$1203,$AG243-1200)=0,"",INDEX(对接源_02物料!$H$4:$H$1203,$AG243-1200))))</f>
      </c>
      <c r="F243" s="104">
        <f>IF($AG243="","",IF($AG243&lt;=1200,IF(INDEX(对接源_01水果!$I$4:$I$1203,$AG243)=0,"",INDEX(对接源_01水果!$I$4:$I$1203,$AG243)),IF(INDEX(对接源_02物料!$I$4:$I$1203,$AG243-1200)=0,"",INDEX(对接源_02物料!$I$4:$I$1203,$AG243-1200))))</f>
      </c>
      <c r="G243" s="175">
        <f>IF($AG243="","",IF($AG243&lt;=1200,IF(INDEX(对接源_01水果!$J$4:$J$1203,$AG243)=0,"",INDEX(对接源_01水果!$J$4:$J$1203,$AG243)),IF(INDEX(对接源_02物料!$J$4:$J$1203,$AG243-1200)=0,"",INDEX(对接源_02物料!$J$4:$J$1203,$AG243-1200))))</f>
      </c>
      <c r="H243" s="175">
        <f>IF($AG243="","",IF($AG243&lt;=1200,IF(INDEX(对接源_01水果!$K$4:$K$1203,$AG243)=0,"",INDEX(对接源_01水果!$K$4:$K$1203,$AG243)),IF(INDEX(对接源_02物料!$K$4:$K$1203,$AG243-1200)=0,"",INDEX(对接源_02物料!$K$4:$K$1203,$AG243-1200))))</f>
      </c>
      <c r="I243" s="104">
        <f>IF($AG243="","",IF($AG243&lt;=1200,IF(INDEX(对接源_01水果!$L$4:$L$1203,$AG243)=0,"",INDEX(对接源_01水果!$L$4:$L$1203,$AG243)),IF(INDEX(对接源_02物料!$L$4:$L$1203,$AG243-1200)=0,"",INDEX(对接源_02物料!$L$4:$L$1203,$AG243-1200))))</f>
      </c>
      <c r="J243" s="107">
        <f>IF($AG243="","",IF($AG243&lt;=1200,IF(INDEX(对接源_01水果!$M$4:$M$1203,$AG243)=0,"",INDEX(对接源_01水果!$M$4:$M$1203,$AG243)),IF(INDEX(对接源_02物料!$M$4:$M$1203,$AG243-1200)=0,"",INDEX(对接源_02物料!$M$4:$M$1203,$AG243-1200))))</f>
      </c>
      <c r="AG243" s="2">
        <f>IFERROR(MATCH(32,_自动清单!$AE$4:$AE$2403,0),"")</f>
      </c>
    </row>
    <row r="244" ht="18" customHeight="1" s="127">
      <c r="A244" s="163">
        <f>IF($AG244="","",IF($AG244&lt;=1200,IF(INDEX(对接源_01水果!$B$4:$B$1203,$AG244)=0,"",INDEX(对接源_01水果!$B$4:$B$1203,$AG244)),IF(INDEX(对接源_02物料!$B$4:$B$1203,$AG244-1200)=0,"",INDEX(对接源_02物料!$B$4:$B$1203,$AG244-1200))))</f>
      </c>
      <c r="B244" s="61">
        <f>IF($AG244="","",IF($AG244&lt;=1200,IF(INDEX(对接源_01水果!$E$4:$E$1203,$AG244)=0,"",INDEX(对接源_01水果!$E$4:$E$1203,$AG244)),IF(INDEX(对接源_02物料!$E$4:$E$1203,$AG244-1200)=0,"",INDEX(对接源_02物料!$E$4:$E$1203,$AG244-1200))))</f>
      </c>
      <c r="C244" s="61">
        <f>IF($AG244="","",IF($AG244&lt;=1200,IF(INDEX(对接源_01水果!$F$4:$F$1203,$AG244)=0,"",INDEX(对接源_01水果!$F$4:$F$1203,$AG244)),IF(INDEX(对接源_02物料!$F$4:$F$1203,$AG244-1200)=0,"",INDEX(对接源_02物料!$F$4:$F$1203,$AG244-1200))))</f>
      </c>
      <c r="D244" s="61">
        <f>IF($AG244="","",IF($AG244&lt;=1200,IF(INDEX(对接源_01水果!$G$4:$G$1203,$AG244)=0,"",INDEX(对接源_01水果!$G$4:$G$1203,$AG244)),IF(INDEX(对接源_02物料!$G$4:$G$1203,$AG244-1200)=0,"",INDEX(对接源_02物料!$G$4:$G$1203,$AG244-1200))))</f>
      </c>
      <c r="E244" s="164">
        <f>IF($AG244="","",IF($AG244&lt;=1200,IF(INDEX(对接源_01水果!$H$4:$H$1203,$AG244)=0,"",INDEX(对接源_01水果!$H$4:$H$1203,$AG244)),IF(INDEX(对接源_02物料!$H$4:$H$1203,$AG244-1200)=0,"",INDEX(对接源_02物料!$H$4:$H$1203,$AG244-1200))))</f>
      </c>
      <c r="F244" s="61">
        <f>IF($AG244="","",IF($AG244&lt;=1200,IF(INDEX(对接源_01水果!$I$4:$I$1203,$AG244)=0,"",INDEX(对接源_01水果!$I$4:$I$1203,$AG244)),IF(INDEX(对接源_02物料!$I$4:$I$1203,$AG244-1200)=0,"",INDEX(对接源_02物料!$I$4:$I$1203,$AG244-1200))))</f>
      </c>
      <c r="G244" s="173">
        <f>IF($AG244="","",IF($AG244&lt;=1200,IF(INDEX(对接源_01水果!$J$4:$J$1203,$AG244)=0,"",INDEX(对接源_01水果!$J$4:$J$1203,$AG244)),IF(INDEX(对接源_02物料!$J$4:$J$1203,$AG244-1200)=0,"",INDEX(对接源_02物料!$J$4:$J$1203,$AG244-1200))))</f>
      </c>
      <c r="H244" s="173">
        <f>IF($AG244="","",IF($AG244&lt;=1200,IF(INDEX(对接源_01水果!$K$4:$K$1203,$AG244)=0,"",INDEX(对接源_01水果!$K$4:$K$1203,$AG244)),IF(INDEX(对接源_02物料!$K$4:$K$1203,$AG244-1200)=0,"",INDEX(对接源_02物料!$K$4:$K$1203,$AG244-1200))))</f>
      </c>
      <c r="I244" s="61">
        <f>IF($AG244="","",IF($AG244&lt;=1200,IF(INDEX(对接源_01水果!$L$4:$L$1203,$AG244)=0,"",INDEX(对接源_01水果!$L$4:$L$1203,$AG244)),IF(INDEX(对接源_02物料!$L$4:$L$1203,$AG244-1200)=0,"",INDEX(对接源_02物料!$L$4:$L$1203,$AG244-1200))))</f>
      </c>
      <c r="J244" s="64">
        <f>IF($AG244="","",IF($AG244&lt;=1200,IF(INDEX(对接源_01水果!$M$4:$M$1203,$AG244)=0,"",INDEX(对接源_01水果!$M$4:$M$1203,$AG244)),IF(INDEX(对接源_02物料!$M$4:$M$1203,$AG244-1200)=0,"",INDEX(对接源_02物料!$M$4:$M$1203,$AG244-1200))))</f>
      </c>
      <c r="AG244" s="2">
        <f>IFERROR(MATCH(33,_自动清单!$AE$4:$AE$2403,0),"")</f>
      </c>
    </row>
    <row r="245" ht="18" customHeight="1" s="127">
      <c r="A245" s="165">
        <f>IF($AG245="","",IF($AG245&lt;=1200,IF(INDEX(对接源_01水果!$B$4:$B$1203,$AG245)=0,"",INDEX(对接源_01水果!$B$4:$B$1203,$AG245)),IF(INDEX(对接源_02物料!$B$4:$B$1203,$AG245-1200)=0,"",INDEX(对接源_02物料!$B$4:$B$1203,$AG245-1200))))</f>
      </c>
      <c r="B245" s="104">
        <f>IF($AG245="","",IF($AG245&lt;=1200,IF(INDEX(对接源_01水果!$E$4:$E$1203,$AG245)=0,"",INDEX(对接源_01水果!$E$4:$E$1203,$AG245)),IF(INDEX(对接源_02物料!$E$4:$E$1203,$AG245-1200)=0,"",INDEX(对接源_02物料!$E$4:$E$1203,$AG245-1200))))</f>
      </c>
      <c r="C245" s="104">
        <f>IF($AG245="","",IF($AG245&lt;=1200,IF(INDEX(对接源_01水果!$F$4:$F$1203,$AG245)=0,"",INDEX(对接源_01水果!$F$4:$F$1203,$AG245)),IF(INDEX(对接源_02物料!$F$4:$F$1203,$AG245-1200)=0,"",INDEX(对接源_02物料!$F$4:$F$1203,$AG245-1200))))</f>
      </c>
      <c r="D245" s="104">
        <f>IF($AG245="","",IF($AG245&lt;=1200,IF(INDEX(对接源_01水果!$G$4:$G$1203,$AG245)=0,"",INDEX(对接源_01水果!$G$4:$G$1203,$AG245)),IF(INDEX(对接源_02物料!$G$4:$G$1203,$AG245-1200)=0,"",INDEX(对接源_02物料!$G$4:$G$1203,$AG245-1200))))</f>
      </c>
      <c r="E245" s="166">
        <f>IF($AG245="","",IF($AG245&lt;=1200,IF(INDEX(对接源_01水果!$H$4:$H$1203,$AG245)=0,"",INDEX(对接源_01水果!$H$4:$H$1203,$AG245)),IF(INDEX(对接源_02物料!$H$4:$H$1203,$AG245-1200)=0,"",INDEX(对接源_02物料!$H$4:$H$1203,$AG245-1200))))</f>
      </c>
      <c r="F245" s="104">
        <f>IF($AG245="","",IF($AG245&lt;=1200,IF(INDEX(对接源_01水果!$I$4:$I$1203,$AG245)=0,"",INDEX(对接源_01水果!$I$4:$I$1203,$AG245)),IF(INDEX(对接源_02物料!$I$4:$I$1203,$AG245-1200)=0,"",INDEX(对接源_02物料!$I$4:$I$1203,$AG245-1200))))</f>
      </c>
      <c r="G245" s="175">
        <f>IF($AG245="","",IF($AG245&lt;=1200,IF(INDEX(对接源_01水果!$J$4:$J$1203,$AG245)=0,"",INDEX(对接源_01水果!$J$4:$J$1203,$AG245)),IF(INDEX(对接源_02物料!$J$4:$J$1203,$AG245-1200)=0,"",INDEX(对接源_02物料!$J$4:$J$1203,$AG245-1200))))</f>
      </c>
      <c r="H245" s="175">
        <f>IF($AG245="","",IF($AG245&lt;=1200,IF(INDEX(对接源_01水果!$K$4:$K$1203,$AG245)=0,"",INDEX(对接源_01水果!$K$4:$K$1203,$AG245)),IF(INDEX(对接源_02物料!$K$4:$K$1203,$AG245-1200)=0,"",INDEX(对接源_02物料!$K$4:$K$1203,$AG245-1200))))</f>
      </c>
      <c r="I245" s="104">
        <f>IF($AG245="","",IF($AG245&lt;=1200,IF(INDEX(对接源_01水果!$L$4:$L$1203,$AG245)=0,"",INDEX(对接源_01水果!$L$4:$L$1203,$AG245)),IF(INDEX(对接源_02物料!$L$4:$L$1203,$AG245-1200)=0,"",INDEX(对接源_02物料!$L$4:$L$1203,$AG245-1200))))</f>
      </c>
      <c r="J245" s="107">
        <f>IF($AG245="","",IF($AG245&lt;=1200,IF(INDEX(对接源_01水果!$M$4:$M$1203,$AG245)=0,"",INDEX(对接源_01水果!$M$4:$M$1203,$AG245)),IF(INDEX(对接源_02物料!$M$4:$M$1203,$AG245-1200)=0,"",INDEX(对接源_02物料!$M$4:$M$1203,$AG245-1200))))</f>
      </c>
      <c r="AG245" s="2">
        <f>IFERROR(MATCH(34,_自动清单!$AE$4:$AE$2403,0),"")</f>
      </c>
    </row>
    <row r="246" ht="18" customHeight="1" s="127">
      <c r="A246" s="163">
        <f>IF($AG246="","",IF($AG246&lt;=1200,IF(INDEX(对接源_01水果!$B$4:$B$1203,$AG246)=0,"",INDEX(对接源_01水果!$B$4:$B$1203,$AG246)),IF(INDEX(对接源_02物料!$B$4:$B$1203,$AG246-1200)=0,"",INDEX(对接源_02物料!$B$4:$B$1203,$AG246-1200))))</f>
      </c>
      <c r="B246" s="61">
        <f>IF($AG246="","",IF($AG246&lt;=1200,IF(INDEX(对接源_01水果!$E$4:$E$1203,$AG246)=0,"",INDEX(对接源_01水果!$E$4:$E$1203,$AG246)),IF(INDEX(对接源_02物料!$E$4:$E$1203,$AG246-1200)=0,"",INDEX(对接源_02物料!$E$4:$E$1203,$AG246-1200))))</f>
      </c>
      <c r="C246" s="61">
        <f>IF($AG246="","",IF($AG246&lt;=1200,IF(INDEX(对接源_01水果!$F$4:$F$1203,$AG246)=0,"",INDEX(对接源_01水果!$F$4:$F$1203,$AG246)),IF(INDEX(对接源_02物料!$F$4:$F$1203,$AG246-1200)=0,"",INDEX(对接源_02物料!$F$4:$F$1203,$AG246-1200))))</f>
      </c>
      <c r="D246" s="61">
        <f>IF($AG246="","",IF($AG246&lt;=1200,IF(INDEX(对接源_01水果!$G$4:$G$1203,$AG246)=0,"",INDEX(对接源_01水果!$G$4:$G$1203,$AG246)),IF(INDEX(对接源_02物料!$G$4:$G$1203,$AG246-1200)=0,"",INDEX(对接源_02物料!$G$4:$G$1203,$AG246-1200))))</f>
      </c>
      <c r="E246" s="164">
        <f>IF($AG246="","",IF($AG246&lt;=1200,IF(INDEX(对接源_01水果!$H$4:$H$1203,$AG246)=0,"",INDEX(对接源_01水果!$H$4:$H$1203,$AG246)),IF(INDEX(对接源_02物料!$H$4:$H$1203,$AG246-1200)=0,"",INDEX(对接源_02物料!$H$4:$H$1203,$AG246-1200))))</f>
      </c>
      <c r="F246" s="61">
        <f>IF($AG246="","",IF($AG246&lt;=1200,IF(INDEX(对接源_01水果!$I$4:$I$1203,$AG246)=0,"",INDEX(对接源_01水果!$I$4:$I$1203,$AG246)),IF(INDEX(对接源_02物料!$I$4:$I$1203,$AG246-1200)=0,"",INDEX(对接源_02物料!$I$4:$I$1203,$AG246-1200))))</f>
      </c>
      <c r="G246" s="173">
        <f>IF($AG246="","",IF($AG246&lt;=1200,IF(INDEX(对接源_01水果!$J$4:$J$1203,$AG246)=0,"",INDEX(对接源_01水果!$J$4:$J$1203,$AG246)),IF(INDEX(对接源_02物料!$J$4:$J$1203,$AG246-1200)=0,"",INDEX(对接源_02物料!$J$4:$J$1203,$AG246-1200))))</f>
      </c>
      <c r="H246" s="173">
        <f>IF($AG246="","",IF($AG246&lt;=1200,IF(INDEX(对接源_01水果!$K$4:$K$1203,$AG246)=0,"",INDEX(对接源_01水果!$K$4:$K$1203,$AG246)),IF(INDEX(对接源_02物料!$K$4:$K$1203,$AG246-1200)=0,"",INDEX(对接源_02物料!$K$4:$K$1203,$AG246-1200))))</f>
      </c>
      <c r="I246" s="61">
        <f>IF($AG246="","",IF($AG246&lt;=1200,IF(INDEX(对接源_01水果!$L$4:$L$1203,$AG246)=0,"",INDEX(对接源_01水果!$L$4:$L$1203,$AG246)),IF(INDEX(对接源_02物料!$L$4:$L$1203,$AG246-1200)=0,"",INDEX(对接源_02物料!$L$4:$L$1203,$AG246-1200))))</f>
      </c>
      <c r="J246" s="64">
        <f>IF($AG246="","",IF($AG246&lt;=1200,IF(INDEX(对接源_01水果!$M$4:$M$1203,$AG246)=0,"",INDEX(对接源_01水果!$M$4:$M$1203,$AG246)),IF(INDEX(对接源_02物料!$M$4:$M$1203,$AG246-1200)=0,"",INDEX(对接源_02物料!$M$4:$M$1203,$AG246-1200))))</f>
      </c>
      <c r="AG246" s="2">
        <f>IFERROR(MATCH(35,_自动清单!$AE$4:$AE$2403,0),"")</f>
      </c>
    </row>
    <row r="247" ht="18" customHeight="1" s="127">
      <c r="A247" s="165">
        <f>IF($AG247="","",IF($AG247&lt;=1200,IF(INDEX(对接源_01水果!$B$4:$B$1203,$AG247)=0,"",INDEX(对接源_01水果!$B$4:$B$1203,$AG247)),IF(INDEX(对接源_02物料!$B$4:$B$1203,$AG247-1200)=0,"",INDEX(对接源_02物料!$B$4:$B$1203,$AG247-1200))))</f>
      </c>
      <c r="B247" s="104">
        <f>IF($AG247="","",IF($AG247&lt;=1200,IF(INDEX(对接源_01水果!$E$4:$E$1203,$AG247)=0,"",INDEX(对接源_01水果!$E$4:$E$1203,$AG247)),IF(INDEX(对接源_02物料!$E$4:$E$1203,$AG247-1200)=0,"",INDEX(对接源_02物料!$E$4:$E$1203,$AG247-1200))))</f>
      </c>
      <c r="C247" s="104">
        <f>IF($AG247="","",IF($AG247&lt;=1200,IF(INDEX(对接源_01水果!$F$4:$F$1203,$AG247)=0,"",INDEX(对接源_01水果!$F$4:$F$1203,$AG247)),IF(INDEX(对接源_02物料!$F$4:$F$1203,$AG247-1200)=0,"",INDEX(对接源_02物料!$F$4:$F$1203,$AG247-1200))))</f>
      </c>
      <c r="D247" s="104">
        <f>IF($AG247="","",IF($AG247&lt;=1200,IF(INDEX(对接源_01水果!$G$4:$G$1203,$AG247)=0,"",INDEX(对接源_01水果!$G$4:$G$1203,$AG247)),IF(INDEX(对接源_02物料!$G$4:$G$1203,$AG247-1200)=0,"",INDEX(对接源_02物料!$G$4:$G$1203,$AG247-1200))))</f>
      </c>
      <c r="E247" s="166">
        <f>IF($AG247="","",IF($AG247&lt;=1200,IF(INDEX(对接源_01水果!$H$4:$H$1203,$AG247)=0,"",INDEX(对接源_01水果!$H$4:$H$1203,$AG247)),IF(INDEX(对接源_02物料!$H$4:$H$1203,$AG247-1200)=0,"",INDEX(对接源_02物料!$H$4:$H$1203,$AG247-1200))))</f>
      </c>
      <c r="F247" s="104">
        <f>IF($AG247="","",IF($AG247&lt;=1200,IF(INDEX(对接源_01水果!$I$4:$I$1203,$AG247)=0,"",INDEX(对接源_01水果!$I$4:$I$1203,$AG247)),IF(INDEX(对接源_02物料!$I$4:$I$1203,$AG247-1200)=0,"",INDEX(对接源_02物料!$I$4:$I$1203,$AG247-1200))))</f>
      </c>
      <c r="G247" s="175">
        <f>IF($AG247="","",IF($AG247&lt;=1200,IF(INDEX(对接源_01水果!$J$4:$J$1203,$AG247)=0,"",INDEX(对接源_01水果!$J$4:$J$1203,$AG247)),IF(INDEX(对接源_02物料!$J$4:$J$1203,$AG247-1200)=0,"",INDEX(对接源_02物料!$J$4:$J$1203,$AG247-1200))))</f>
      </c>
      <c r="H247" s="175">
        <f>IF($AG247="","",IF($AG247&lt;=1200,IF(INDEX(对接源_01水果!$K$4:$K$1203,$AG247)=0,"",INDEX(对接源_01水果!$K$4:$K$1203,$AG247)),IF(INDEX(对接源_02物料!$K$4:$K$1203,$AG247-1200)=0,"",INDEX(对接源_02物料!$K$4:$K$1203,$AG247-1200))))</f>
      </c>
      <c r="I247" s="104">
        <f>IF($AG247="","",IF($AG247&lt;=1200,IF(INDEX(对接源_01水果!$L$4:$L$1203,$AG247)=0,"",INDEX(对接源_01水果!$L$4:$L$1203,$AG247)),IF(INDEX(对接源_02物料!$L$4:$L$1203,$AG247-1200)=0,"",INDEX(对接源_02物料!$L$4:$L$1203,$AG247-1200))))</f>
      </c>
      <c r="J247" s="107">
        <f>IF($AG247="","",IF($AG247&lt;=1200,IF(INDEX(对接源_01水果!$M$4:$M$1203,$AG247)=0,"",INDEX(对接源_01水果!$M$4:$M$1203,$AG247)),IF(INDEX(对接源_02物料!$M$4:$M$1203,$AG247-1200)=0,"",INDEX(对接源_02物料!$M$4:$M$1203,$AG247-1200))))</f>
      </c>
      <c r="AG247" s="2">
        <f>IFERROR(MATCH(36,_自动清单!$AE$4:$AE$2403,0),"")</f>
      </c>
    </row>
    <row r="248" ht="18" customHeight="1" s="127">
      <c r="A248" s="163">
        <f>IF($AG248="","",IF($AG248&lt;=1200,IF(INDEX(对接源_01水果!$B$4:$B$1203,$AG248)=0,"",INDEX(对接源_01水果!$B$4:$B$1203,$AG248)),IF(INDEX(对接源_02物料!$B$4:$B$1203,$AG248-1200)=0,"",INDEX(对接源_02物料!$B$4:$B$1203,$AG248-1200))))</f>
      </c>
      <c r="B248" s="61">
        <f>IF($AG248="","",IF($AG248&lt;=1200,IF(INDEX(对接源_01水果!$E$4:$E$1203,$AG248)=0,"",INDEX(对接源_01水果!$E$4:$E$1203,$AG248)),IF(INDEX(对接源_02物料!$E$4:$E$1203,$AG248-1200)=0,"",INDEX(对接源_02物料!$E$4:$E$1203,$AG248-1200))))</f>
      </c>
      <c r="C248" s="61">
        <f>IF($AG248="","",IF($AG248&lt;=1200,IF(INDEX(对接源_01水果!$F$4:$F$1203,$AG248)=0,"",INDEX(对接源_01水果!$F$4:$F$1203,$AG248)),IF(INDEX(对接源_02物料!$F$4:$F$1203,$AG248-1200)=0,"",INDEX(对接源_02物料!$F$4:$F$1203,$AG248-1200))))</f>
      </c>
      <c r="D248" s="61">
        <f>IF($AG248="","",IF($AG248&lt;=1200,IF(INDEX(对接源_01水果!$G$4:$G$1203,$AG248)=0,"",INDEX(对接源_01水果!$G$4:$G$1203,$AG248)),IF(INDEX(对接源_02物料!$G$4:$G$1203,$AG248-1200)=0,"",INDEX(对接源_02物料!$G$4:$G$1203,$AG248-1200))))</f>
      </c>
      <c r="E248" s="164">
        <f>IF($AG248="","",IF($AG248&lt;=1200,IF(INDEX(对接源_01水果!$H$4:$H$1203,$AG248)=0,"",INDEX(对接源_01水果!$H$4:$H$1203,$AG248)),IF(INDEX(对接源_02物料!$H$4:$H$1203,$AG248-1200)=0,"",INDEX(对接源_02物料!$H$4:$H$1203,$AG248-1200))))</f>
      </c>
      <c r="F248" s="61">
        <f>IF($AG248="","",IF($AG248&lt;=1200,IF(INDEX(对接源_01水果!$I$4:$I$1203,$AG248)=0,"",INDEX(对接源_01水果!$I$4:$I$1203,$AG248)),IF(INDEX(对接源_02物料!$I$4:$I$1203,$AG248-1200)=0,"",INDEX(对接源_02物料!$I$4:$I$1203,$AG248-1200))))</f>
      </c>
      <c r="G248" s="173">
        <f>IF($AG248="","",IF($AG248&lt;=1200,IF(INDEX(对接源_01水果!$J$4:$J$1203,$AG248)=0,"",INDEX(对接源_01水果!$J$4:$J$1203,$AG248)),IF(INDEX(对接源_02物料!$J$4:$J$1203,$AG248-1200)=0,"",INDEX(对接源_02物料!$J$4:$J$1203,$AG248-1200))))</f>
      </c>
      <c r="H248" s="173">
        <f>IF($AG248="","",IF($AG248&lt;=1200,IF(INDEX(对接源_01水果!$K$4:$K$1203,$AG248)=0,"",INDEX(对接源_01水果!$K$4:$K$1203,$AG248)),IF(INDEX(对接源_02物料!$K$4:$K$1203,$AG248-1200)=0,"",INDEX(对接源_02物料!$K$4:$K$1203,$AG248-1200))))</f>
      </c>
      <c r="I248" s="61">
        <f>IF($AG248="","",IF($AG248&lt;=1200,IF(INDEX(对接源_01水果!$L$4:$L$1203,$AG248)=0,"",INDEX(对接源_01水果!$L$4:$L$1203,$AG248)),IF(INDEX(对接源_02物料!$L$4:$L$1203,$AG248-1200)=0,"",INDEX(对接源_02物料!$L$4:$L$1203,$AG248-1200))))</f>
      </c>
      <c r="J248" s="64">
        <f>IF($AG248="","",IF($AG248&lt;=1200,IF(INDEX(对接源_01水果!$M$4:$M$1203,$AG248)=0,"",INDEX(对接源_01水果!$M$4:$M$1203,$AG248)),IF(INDEX(对接源_02物料!$M$4:$M$1203,$AG248-1200)=0,"",INDEX(对接源_02物料!$M$4:$M$1203,$AG248-1200))))</f>
      </c>
      <c r="AG248" s="2">
        <f>IFERROR(MATCH(37,_自动清单!$AE$4:$AE$2403,0),"")</f>
      </c>
    </row>
    <row r="249" ht="18" customHeight="1" s="127">
      <c r="A249" s="165">
        <f>IF($AG249="","",IF($AG249&lt;=1200,IF(INDEX(对接源_01水果!$B$4:$B$1203,$AG249)=0,"",INDEX(对接源_01水果!$B$4:$B$1203,$AG249)),IF(INDEX(对接源_02物料!$B$4:$B$1203,$AG249-1200)=0,"",INDEX(对接源_02物料!$B$4:$B$1203,$AG249-1200))))</f>
      </c>
      <c r="B249" s="104">
        <f>IF($AG249="","",IF($AG249&lt;=1200,IF(INDEX(对接源_01水果!$E$4:$E$1203,$AG249)=0,"",INDEX(对接源_01水果!$E$4:$E$1203,$AG249)),IF(INDEX(对接源_02物料!$E$4:$E$1203,$AG249-1200)=0,"",INDEX(对接源_02物料!$E$4:$E$1203,$AG249-1200))))</f>
      </c>
      <c r="C249" s="104">
        <f>IF($AG249="","",IF($AG249&lt;=1200,IF(INDEX(对接源_01水果!$F$4:$F$1203,$AG249)=0,"",INDEX(对接源_01水果!$F$4:$F$1203,$AG249)),IF(INDEX(对接源_02物料!$F$4:$F$1203,$AG249-1200)=0,"",INDEX(对接源_02物料!$F$4:$F$1203,$AG249-1200))))</f>
      </c>
      <c r="D249" s="104">
        <f>IF($AG249="","",IF($AG249&lt;=1200,IF(INDEX(对接源_01水果!$G$4:$G$1203,$AG249)=0,"",INDEX(对接源_01水果!$G$4:$G$1203,$AG249)),IF(INDEX(对接源_02物料!$G$4:$G$1203,$AG249-1200)=0,"",INDEX(对接源_02物料!$G$4:$G$1203,$AG249-1200))))</f>
      </c>
      <c r="E249" s="166">
        <f>IF($AG249="","",IF($AG249&lt;=1200,IF(INDEX(对接源_01水果!$H$4:$H$1203,$AG249)=0,"",INDEX(对接源_01水果!$H$4:$H$1203,$AG249)),IF(INDEX(对接源_02物料!$H$4:$H$1203,$AG249-1200)=0,"",INDEX(对接源_02物料!$H$4:$H$1203,$AG249-1200))))</f>
      </c>
      <c r="F249" s="104">
        <f>IF($AG249="","",IF($AG249&lt;=1200,IF(INDEX(对接源_01水果!$I$4:$I$1203,$AG249)=0,"",INDEX(对接源_01水果!$I$4:$I$1203,$AG249)),IF(INDEX(对接源_02物料!$I$4:$I$1203,$AG249-1200)=0,"",INDEX(对接源_02物料!$I$4:$I$1203,$AG249-1200))))</f>
      </c>
      <c r="G249" s="175">
        <f>IF($AG249="","",IF($AG249&lt;=1200,IF(INDEX(对接源_01水果!$J$4:$J$1203,$AG249)=0,"",INDEX(对接源_01水果!$J$4:$J$1203,$AG249)),IF(INDEX(对接源_02物料!$J$4:$J$1203,$AG249-1200)=0,"",INDEX(对接源_02物料!$J$4:$J$1203,$AG249-1200))))</f>
      </c>
      <c r="H249" s="175">
        <f>IF($AG249="","",IF($AG249&lt;=1200,IF(INDEX(对接源_01水果!$K$4:$K$1203,$AG249)=0,"",INDEX(对接源_01水果!$K$4:$K$1203,$AG249)),IF(INDEX(对接源_02物料!$K$4:$K$1203,$AG249-1200)=0,"",INDEX(对接源_02物料!$K$4:$K$1203,$AG249-1200))))</f>
      </c>
      <c r="I249" s="104">
        <f>IF($AG249="","",IF($AG249&lt;=1200,IF(INDEX(对接源_01水果!$L$4:$L$1203,$AG249)=0,"",INDEX(对接源_01水果!$L$4:$L$1203,$AG249)),IF(INDEX(对接源_02物料!$L$4:$L$1203,$AG249-1200)=0,"",INDEX(对接源_02物料!$L$4:$L$1203,$AG249-1200))))</f>
      </c>
      <c r="J249" s="107">
        <f>IF($AG249="","",IF($AG249&lt;=1200,IF(INDEX(对接源_01水果!$M$4:$M$1203,$AG249)=0,"",INDEX(对接源_01水果!$M$4:$M$1203,$AG249)),IF(INDEX(对接源_02物料!$M$4:$M$1203,$AG249-1200)=0,"",INDEX(对接源_02物料!$M$4:$M$1203,$AG249-1200))))</f>
      </c>
      <c r="AG249" s="2">
        <f>IFERROR(MATCH(38,_自动清单!$AE$4:$AE$2403,0),"")</f>
      </c>
    </row>
    <row r="250" ht="18" customHeight="1" s="127">
      <c r="A250" s="163">
        <f>IF($AG250="","",IF($AG250&lt;=1200,IF(INDEX(对接源_01水果!$B$4:$B$1203,$AG250)=0,"",INDEX(对接源_01水果!$B$4:$B$1203,$AG250)),IF(INDEX(对接源_02物料!$B$4:$B$1203,$AG250-1200)=0,"",INDEX(对接源_02物料!$B$4:$B$1203,$AG250-1200))))</f>
      </c>
      <c r="B250" s="61">
        <f>IF($AG250="","",IF($AG250&lt;=1200,IF(INDEX(对接源_01水果!$E$4:$E$1203,$AG250)=0,"",INDEX(对接源_01水果!$E$4:$E$1203,$AG250)),IF(INDEX(对接源_02物料!$E$4:$E$1203,$AG250-1200)=0,"",INDEX(对接源_02物料!$E$4:$E$1203,$AG250-1200))))</f>
      </c>
      <c r="C250" s="61">
        <f>IF($AG250="","",IF($AG250&lt;=1200,IF(INDEX(对接源_01水果!$F$4:$F$1203,$AG250)=0,"",INDEX(对接源_01水果!$F$4:$F$1203,$AG250)),IF(INDEX(对接源_02物料!$F$4:$F$1203,$AG250-1200)=0,"",INDEX(对接源_02物料!$F$4:$F$1203,$AG250-1200))))</f>
      </c>
      <c r="D250" s="61">
        <f>IF($AG250="","",IF($AG250&lt;=1200,IF(INDEX(对接源_01水果!$G$4:$G$1203,$AG250)=0,"",INDEX(对接源_01水果!$G$4:$G$1203,$AG250)),IF(INDEX(对接源_02物料!$G$4:$G$1203,$AG250-1200)=0,"",INDEX(对接源_02物料!$G$4:$G$1203,$AG250-1200))))</f>
      </c>
      <c r="E250" s="164">
        <f>IF($AG250="","",IF($AG250&lt;=1200,IF(INDEX(对接源_01水果!$H$4:$H$1203,$AG250)=0,"",INDEX(对接源_01水果!$H$4:$H$1203,$AG250)),IF(INDEX(对接源_02物料!$H$4:$H$1203,$AG250-1200)=0,"",INDEX(对接源_02物料!$H$4:$H$1203,$AG250-1200))))</f>
      </c>
      <c r="F250" s="61">
        <f>IF($AG250="","",IF($AG250&lt;=1200,IF(INDEX(对接源_01水果!$I$4:$I$1203,$AG250)=0,"",INDEX(对接源_01水果!$I$4:$I$1203,$AG250)),IF(INDEX(对接源_02物料!$I$4:$I$1203,$AG250-1200)=0,"",INDEX(对接源_02物料!$I$4:$I$1203,$AG250-1200))))</f>
      </c>
      <c r="G250" s="173">
        <f>IF($AG250="","",IF($AG250&lt;=1200,IF(INDEX(对接源_01水果!$J$4:$J$1203,$AG250)=0,"",INDEX(对接源_01水果!$J$4:$J$1203,$AG250)),IF(INDEX(对接源_02物料!$J$4:$J$1203,$AG250-1200)=0,"",INDEX(对接源_02物料!$J$4:$J$1203,$AG250-1200))))</f>
      </c>
      <c r="H250" s="173">
        <f>IF($AG250="","",IF($AG250&lt;=1200,IF(INDEX(对接源_01水果!$K$4:$K$1203,$AG250)=0,"",INDEX(对接源_01水果!$K$4:$K$1203,$AG250)),IF(INDEX(对接源_02物料!$K$4:$K$1203,$AG250-1200)=0,"",INDEX(对接源_02物料!$K$4:$K$1203,$AG250-1200))))</f>
      </c>
      <c r="I250" s="61">
        <f>IF($AG250="","",IF($AG250&lt;=1200,IF(INDEX(对接源_01水果!$L$4:$L$1203,$AG250)=0,"",INDEX(对接源_01水果!$L$4:$L$1203,$AG250)),IF(INDEX(对接源_02物料!$L$4:$L$1203,$AG250-1200)=0,"",INDEX(对接源_02物料!$L$4:$L$1203,$AG250-1200))))</f>
      </c>
      <c r="J250" s="64">
        <f>IF($AG250="","",IF($AG250&lt;=1200,IF(INDEX(对接源_01水果!$M$4:$M$1203,$AG250)=0,"",INDEX(对接源_01水果!$M$4:$M$1203,$AG250)),IF(INDEX(对接源_02物料!$M$4:$M$1203,$AG250-1200)=0,"",INDEX(对接源_02物料!$M$4:$M$1203,$AG250-1200))))</f>
      </c>
      <c r="AG250" s="2">
        <f>IFERROR(MATCH(39,_自动清单!$AE$4:$AE$2403,0),"")</f>
      </c>
    </row>
    <row r="251" ht="18" customHeight="1" s="127">
      <c r="A251" s="165">
        <f>IF($AG251="","",IF($AG251&lt;=1200,IF(INDEX(对接源_01水果!$B$4:$B$1203,$AG251)=0,"",INDEX(对接源_01水果!$B$4:$B$1203,$AG251)),IF(INDEX(对接源_02物料!$B$4:$B$1203,$AG251-1200)=0,"",INDEX(对接源_02物料!$B$4:$B$1203,$AG251-1200))))</f>
      </c>
      <c r="B251" s="104">
        <f>IF($AG251="","",IF($AG251&lt;=1200,IF(INDEX(对接源_01水果!$E$4:$E$1203,$AG251)=0,"",INDEX(对接源_01水果!$E$4:$E$1203,$AG251)),IF(INDEX(对接源_02物料!$E$4:$E$1203,$AG251-1200)=0,"",INDEX(对接源_02物料!$E$4:$E$1203,$AG251-1200))))</f>
      </c>
      <c r="C251" s="104">
        <f>IF($AG251="","",IF($AG251&lt;=1200,IF(INDEX(对接源_01水果!$F$4:$F$1203,$AG251)=0,"",INDEX(对接源_01水果!$F$4:$F$1203,$AG251)),IF(INDEX(对接源_02物料!$F$4:$F$1203,$AG251-1200)=0,"",INDEX(对接源_02物料!$F$4:$F$1203,$AG251-1200))))</f>
      </c>
      <c r="D251" s="104">
        <f>IF($AG251="","",IF($AG251&lt;=1200,IF(INDEX(对接源_01水果!$G$4:$G$1203,$AG251)=0,"",INDEX(对接源_01水果!$G$4:$G$1203,$AG251)),IF(INDEX(对接源_02物料!$G$4:$G$1203,$AG251-1200)=0,"",INDEX(对接源_02物料!$G$4:$G$1203,$AG251-1200))))</f>
      </c>
      <c r="E251" s="166">
        <f>IF($AG251="","",IF($AG251&lt;=1200,IF(INDEX(对接源_01水果!$H$4:$H$1203,$AG251)=0,"",INDEX(对接源_01水果!$H$4:$H$1203,$AG251)),IF(INDEX(对接源_02物料!$H$4:$H$1203,$AG251-1200)=0,"",INDEX(对接源_02物料!$H$4:$H$1203,$AG251-1200))))</f>
      </c>
      <c r="F251" s="104">
        <f>IF($AG251="","",IF($AG251&lt;=1200,IF(INDEX(对接源_01水果!$I$4:$I$1203,$AG251)=0,"",INDEX(对接源_01水果!$I$4:$I$1203,$AG251)),IF(INDEX(对接源_02物料!$I$4:$I$1203,$AG251-1200)=0,"",INDEX(对接源_02物料!$I$4:$I$1203,$AG251-1200))))</f>
      </c>
      <c r="G251" s="175">
        <f>IF($AG251="","",IF($AG251&lt;=1200,IF(INDEX(对接源_01水果!$J$4:$J$1203,$AG251)=0,"",INDEX(对接源_01水果!$J$4:$J$1203,$AG251)),IF(INDEX(对接源_02物料!$J$4:$J$1203,$AG251-1200)=0,"",INDEX(对接源_02物料!$J$4:$J$1203,$AG251-1200))))</f>
      </c>
      <c r="H251" s="175">
        <f>IF($AG251="","",IF($AG251&lt;=1200,IF(INDEX(对接源_01水果!$K$4:$K$1203,$AG251)=0,"",INDEX(对接源_01水果!$K$4:$K$1203,$AG251)),IF(INDEX(对接源_02物料!$K$4:$K$1203,$AG251-1200)=0,"",INDEX(对接源_02物料!$K$4:$K$1203,$AG251-1200))))</f>
      </c>
      <c r="I251" s="104">
        <f>IF($AG251="","",IF($AG251&lt;=1200,IF(INDEX(对接源_01水果!$L$4:$L$1203,$AG251)=0,"",INDEX(对接源_01水果!$L$4:$L$1203,$AG251)),IF(INDEX(对接源_02物料!$L$4:$L$1203,$AG251-1200)=0,"",INDEX(对接源_02物料!$L$4:$L$1203,$AG251-1200))))</f>
      </c>
      <c r="J251" s="107">
        <f>IF($AG251="","",IF($AG251&lt;=1200,IF(INDEX(对接源_01水果!$M$4:$M$1203,$AG251)=0,"",INDEX(对接源_01水果!$M$4:$M$1203,$AG251)),IF(INDEX(对接源_02物料!$M$4:$M$1203,$AG251-1200)=0,"",INDEX(对接源_02物料!$M$4:$M$1203,$AG251-1200))))</f>
      </c>
      <c r="AG251" s="2">
        <f>IFERROR(MATCH(40,_自动清单!$AE$4:$AE$2403,0),"")</f>
      </c>
    </row>
    <row r="252" ht="18" customHeight="1" s="127">
      <c r="A252" s="163">
        <f>IF($AG252="","",IF($AG252&lt;=1200,IF(INDEX(对接源_01水果!$B$4:$B$1203,$AG252)=0,"",INDEX(对接源_01水果!$B$4:$B$1203,$AG252)),IF(INDEX(对接源_02物料!$B$4:$B$1203,$AG252-1200)=0,"",INDEX(对接源_02物料!$B$4:$B$1203,$AG252-1200))))</f>
      </c>
      <c r="B252" s="61">
        <f>IF($AG252="","",IF($AG252&lt;=1200,IF(INDEX(对接源_01水果!$E$4:$E$1203,$AG252)=0,"",INDEX(对接源_01水果!$E$4:$E$1203,$AG252)),IF(INDEX(对接源_02物料!$E$4:$E$1203,$AG252-1200)=0,"",INDEX(对接源_02物料!$E$4:$E$1203,$AG252-1200))))</f>
      </c>
      <c r="C252" s="61">
        <f>IF($AG252="","",IF($AG252&lt;=1200,IF(INDEX(对接源_01水果!$F$4:$F$1203,$AG252)=0,"",INDEX(对接源_01水果!$F$4:$F$1203,$AG252)),IF(INDEX(对接源_02物料!$F$4:$F$1203,$AG252-1200)=0,"",INDEX(对接源_02物料!$F$4:$F$1203,$AG252-1200))))</f>
      </c>
      <c r="D252" s="61">
        <f>IF($AG252="","",IF($AG252&lt;=1200,IF(INDEX(对接源_01水果!$G$4:$G$1203,$AG252)=0,"",INDEX(对接源_01水果!$G$4:$G$1203,$AG252)),IF(INDEX(对接源_02物料!$G$4:$G$1203,$AG252-1200)=0,"",INDEX(对接源_02物料!$G$4:$G$1203,$AG252-1200))))</f>
      </c>
      <c r="E252" s="164">
        <f>IF($AG252="","",IF($AG252&lt;=1200,IF(INDEX(对接源_01水果!$H$4:$H$1203,$AG252)=0,"",INDEX(对接源_01水果!$H$4:$H$1203,$AG252)),IF(INDEX(对接源_02物料!$H$4:$H$1203,$AG252-1200)=0,"",INDEX(对接源_02物料!$H$4:$H$1203,$AG252-1200))))</f>
      </c>
      <c r="F252" s="61">
        <f>IF($AG252="","",IF($AG252&lt;=1200,IF(INDEX(对接源_01水果!$I$4:$I$1203,$AG252)=0,"",INDEX(对接源_01水果!$I$4:$I$1203,$AG252)),IF(INDEX(对接源_02物料!$I$4:$I$1203,$AG252-1200)=0,"",INDEX(对接源_02物料!$I$4:$I$1203,$AG252-1200))))</f>
      </c>
      <c r="G252" s="173">
        <f>IF($AG252="","",IF($AG252&lt;=1200,IF(INDEX(对接源_01水果!$J$4:$J$1203,$AG252)=0,"",INDEX(对接源_01水果!$J$4:$J$1203,$AG252)),IF(INDEX(对接源_02物料!$J$4:$J$1203,$AG252-1200)=0,"",INDEX(对接源_02物料!$J$4:$J$1203,$AG252-1200))))</f>
      </c>
      <c r="H252" s="173">
        <f>IF($AG252="","",IF($AG252&lt;=1200,IF(INDEX(对接源_01水果!$K$4:$K$1203,$AG252)=0,"",INDEX(对接源_01水果!$K$4:$K$1203,$AG252)),IF(INDEX(对接源_02物料!$K$4:$K$1203,$AG252-1200)=0,"",INDEX(对接源_02物料!$K$4:$K$1203,$AG252-1200))))</f>
      </c>
      <c r="I252" s="61">
        <f>IF($AG252="","",IF($AG252&lt;=1200,IF(INDEX(对接源_01水果!$L$4:$L$1203,$AG252)=0,"",INDEX(对接源_01水果!$L$4:$L$1203,$AG252)),IF(INDEX(对接源_02物料!$L$4:$L$1203,$AG252-1200)=0,"",INDEX(对接源_02物料!$L$4:$L$1203,$AG252-1200))))</f>
      </c>
      <c r="J252" s="64">
        <f>IF($AG252="","",IF($AG252&lt;=1200,IF(INDEX(对接源_01水果!$M$4:$M$1203,$AG252)=0,"",INDEX(对接源_01水果!$M$4:$M$1203,$AG252)),IF(INDEX(对接源_02物料!$M$4:$M$1203,$AG252-1200)=0,"",INDEX(对接源_02物料!$M$4:$M$1203,$AG252-1200))))</f>
      </c>
      <c r="AG252" s="2">
        <f>IFERROR(MATCH(41,_自动清单!$AE$4:$AE$2403,0),"")</f>
      </c>
    </row>
    <row r="253" ht="18" customHeight="1" s="127">
      <c r="A253" s="165">
        <f>IF($AG253="","",IF($AG253&lt;=1200,IF(INDEX(对接源_01水果!$B$4:$B$1203,$AG253)=0,"",INDEX(对接源_01水果!$B$4:$B$1203,$AG253)),IF(INDEX(对接源_02物料!$B$4:$B$1203,$AG253-1200)=0,"",INDEX(对接源_02物料!$B$4:$B$1203,$AG253-1200))))</f>
      </c>
      <c r="B253" s="104">
        <f>IF($AG253="","",IF($AG253&lt;=1200,IF(INDEX(对接源_01水果!$E$4:$E$1203,$AG253)=0,"",INDEX(对接源_01水果!$E$4:$E$1203,$AG253)),IF(INDEX(对接源_02物料!$E$4:$E$1203,$AG253-1200)=0,"",INDEX(对接源_02物料!$E$4:$E$1203,$AG253-1200))))</f>
      </c>
      <c r="C253" s="104">
        <f>IF($AG253="","",IF($AG253&lt;=1200,IF(INDEX(对接源_01水果!$F$4:$F$1203,$AG253)=0,"",INDEX(对接源_01水果!$F$4:$F$1203,$AG253)),IF(INDEX(对接源_02物料!$F$4:$F$1203,$AG253-1200)=0,"",INDEX(对接源_02物料!$F$4:$F$1203,$AG253-1200))))</f>
      </c>
      <c r="D253" s="104">
        <f>IF($AG253="","",IF($AG253&lt;=1200,IF(INDEX(对接源_01水果!$G$4:$G$1203,$AG253)=0,"",INDEX(对接源_01水果!$G$4:$G$1203,$AG253)),IF(INDEX(对接源_02物料!$G$4:$G$1203,$AG253-1200)=0,"",INDEX(对接源_02物料!$G$4:$G$1203,$AG253-1200))))</f>
      </c>
      <c r="E253" s="166">
        <f>IF($AG253="","",IF($AG253&lt;=1200,IF(INDEX(对接源_01水果!$H$4:$H$1203,$AG253)=0,"",INDEX(对接源_01水果!$H$4:$H$1203,$AG253)),IF(INDEX(对接源_02物料!$H$4:$H$1203,$AG253-1200)=0,"",INDEX(对接源_02物料!$H$4:$H$1203,$AG253-1200))))</f>
      </c>
      <c r="F253" s="104">
        <f>IF($AG253="","",IF($AG253&lt;=1200,IF(INDEX(对接源_01水果!$I$4:$I$1203,$AG253)=0,"",INDEX(对接源_01水果!$I$4:$I$1203,$AG253)),IF(INDEX(对接源_02物料!$I$4:$I$1203,$AG253-1200)=0,"",INDEX(对接源_02物料!$I$4:$I$1203,$AG253-1200))))</f>
      </c>
      <c r="G253" s="175">
        <f>IF($AG253="","",IF($AG253&lt;=1200,IF(INDEX(对接源_01水果!$J$4:$J$1203,$AG253)=0,"",INDEX(对接源_01水果!$J$4:$J$1203,$AG253)),IF(INDEX(对接源_02物料!$J$4:$J$1203,$AG253-1200)=0,"",INDEX(对接源_02物料!$J$4:$J$1203,$AG253-1200))))</f>
      </c>
      <c r="H253" s="175">
        <f>IF($AG253="","",IF($AG253&lt;=1200,IF(INDEX(对接源_01水果!$K$4:$K$1203,$AG253)=0,"",INDEX(对接源_01水果!$K$4:$K$1203,$AG253)),IF(INDEX(对接源_02物料!$K$4:$K$1203,$AG253-1200)=0,"",INDEX(对接源_02物料!$K$4:$K$1203,$AG253-1200))))</f>
      </c>
      <c r="I253" s="104">
        <f>IF($AG253="","",IF($AG253&lt;=1200,IF(INDEX(对接源_01水果!$L$4:$L$1203,$AG253)=0,"",INDEX(对接源_01水果!$L$4:$L$1203,$AG253)),IF(INDEX(对接源_02物料!$L$4:$L$1203,$AG253-1200)=0,"",INDEX(对接源_02物料!$L$4:$L$1203,$AG253-1200))))</f>
      </c>
      <c r="J253" s="107">
        <f>IF($AG253="","",IF($AG253&lt;=1200,IF(INDEX(对接源_01水果!$M$4:$M$1203,$AG253)=0,"",INDEX(对接源_01水果!$M$4:$M$1203,$AG253)),IF(INDEX(对接源_02物料!$M$4:$M$1203,$AG253-1200)=0,"",INDEX(对接源_02物料!$M$4:$M$1203,$AG253-1200))))</f>
      </c>
      <c r="AG253" s="2">
        <f>IFERROR(MATCH(42,_自动清单!$AE$4:$AE$2403,0),"")</f>
      </c>
    </row>
    <row r="254" ht="18" customHeight="1" s="127">
      <c r="A254" s="163">
        <f>IF($AG254="","",IF($AG254&lt;=1200,IF(INDEX(对接源_01水果!$B$4:$B$1203,$AG254)=0,"",INDEX(对接源_01水果!$B$4:$B$1203,$AG254)),IF(INDEX(对接源_02物料!$B$4:$B$1203,$AG254-1200)=0,"",INDEX(对接源_02物料!$B$4:$B$1203,$AG254-1200))))</f>
      </c>
      <c r="B254" s="61">
        <f>IF($AG254="","",IF($AG254&lt;=1200,IF(INDEX(对接源_01水果!$E$4:$E$1203,$AG254)=0,"",INDEX(对接源_01水果!$E$4:$E$1203,$AG254)),IF(INDEX(对接源_02物料!$E$4:$E$1203,$AG254-1200)=0,"",INDEX(对接源_02物料!$E$4:$E$1203,$AG254-1200))))</f>
      </c>
      <c r="C254" s="61">
        <f>IF($AG254="","",IF($AG254&lt;=1200,IF(INDEX(对接源_01水果!$F$4:$F$1203,$AG254)=0,"",INDEX(对接源_01水果!$F$4:$F$1203,$AG254)),IF(INDEX(对接源_02物料!$F$4:$F$1203,$AG254-1200)=0,"",INDEX(对接源_02物料!$F$4:$F$1203,$AG254-1200))))</f>
      </c>
      <c r="D254" s="61">
        <f>IF($AG254="","",IF($AG254&lt;=1200,IF(INDEX(对接源_01水果!$G$4:$G$1203,$AG254)=0,"",INDEX(对接源_01水果!$G$4:$G$1203,$AG254)),IF(INDEX(对接源_02物料!$G$4:$G$1203,$AG254-1200)=0,"",INDEX(对接源_02物料!$G$4:$G$1203,$AG254-1200))))</f>
      </c>
      <c r="E254" s="164">
        <f>IF($AG254="","",IF($AG254&lt;=1200,IF(INDEX(对接源_01水果!$H$4:$H$1203,$AG254)=0,"",INDEX(对接源_01水果!$H$4:$H$1203,$AG254)),IF(INDEX(对接源_02物料!$H$4:$H$1203,$AG254-1200)=0,"",INDEX(对接源_02物料!$H$4:$H$1203,$AG254-1200))))</f>
      </c>
      <c r="F254" s="61">
        <f>IF($AG254="","",IF($AG254&lt;=1200,IF(INDEX(对接源_01水果!$I$4:$I$1203,$AG254)=0,"",INDEX(对接源_01水果!$I$4:$I$1203,$AG254)),IF(INDEX(对接源_02物料!$I$4:$I$1203,$AG254-1200)=0,"",INDEX(对接源_02物料!$I$4:$I$1203,$AG254-1200))))</f>
      </c>
      <c r="G254" s="173">
        <f>IF($AG254="","",IF($AG254&lt;=1200,IF(INDEX(对接源_01水果!$J$4:$J$1203,$AG254)=0,"",INDEX(对接源_01水果!$J$4:$J$1203,$AG254)),IF(INDEX(对接源_02物料!$J$4:$J$1203,$AG254-1200)=0,"",INDEX(对接源_02物料!$J$4:$J$1203,$AG254-1200))))</f>
      </c>
      <c r="H254" s="173">
        <f>IF($AG254="","",IF($AG254&lt;=1200,IF(INDEX(对接源_01水果!$K$4:$K$1203,$AG254)=0,"",INDEX(对接源_01水果!$K$4:$K$1203,$AG254)),IF(INDEX(对接源_02物料!$K$4:$K$1203,$AG254-1200)=0,"",INDEX(对接源_02物料!$K$4:$K$1203,$AG254-1200))))</f>
      </c>
      <c r="I254" s="61">
        <f>IF($AG254="","",IF($AG254&lt;=1200,IF(INDEX(对接源_01水果!$L$4:$L$1203,$AG254)=0,"",INDEX(对接源_01水果!$L$4:$L$1203,$AG254)),IF(INDEX(对接源_02物料!$L$4:$L$1203,$AG254-1200)=0,"",INDEX(对接源_02物料!$L$4:$L$1203,$AG254-1200))))</f>
      </c>
      <c r="J254" s="64">
        <f>IF($AG254="","",IF($AG254&lt;=1200,IF(INDEX(对接源_01水果!$M$4:$M$1203,$AG254)=0,"",INDEX(对接源_01水果!$M$4:$M$1203,$AG254)),IF(INDEX(对接源_02物料!$M$4:$M$1203,$AG254-1200)=0,"",INDEX(对接源_02物料!$M$4:$M$1203,$AG254-1200))))</f>
      </c>
      <c r="AG254" s="2">
        <f>IFERROR(MATCH(43,_自动清单!$AE$4:$AE$2403,0),"")</f>
      </c>
    </row>
    <row r="255" ht="18" customHeight="1" s="127">
      <c r="A255" s="165">
        <f>IF($AG255="","",IF($AG255&lt;=1200,IF(INDEX(对接源_01水果!$B$4:$B$1203,$AG255)=0,"",INDEX(对接源_01水果!$B$4:$B$1203,$AG255)),IF(INDEX(对接源_02物料!$B$4:$B$1203,$AG255-1200)=0,"",INDEX(对接源_02物料!$B$4:$B$1203,$AG255-1200))))</f>
      </c>
      <c r="B255" s="104">
        <f>IF($AG255="","",IF($AG255&lt;=1200,IF(INDEX(对接源_01水果!$E$4:$E$1203,$AG255)=0,"",INDEX(对接源_01水果!$E$4:$E$1203,$AG255)),IF(INDEX(对接源_02物料!$E$4:$E$1203,$AG255-1200)=0,"",INDEX(对接源_02物料!$E$4:$E$1203,$AG255-1200))))</f>
      </c>
      <c r="C255" s="104">
        <f>IF($AG255="","",IF($AG255&lt;=1200,IF(INDEX(对接源_01水果!$F$4:$F$1203,$AG255)=0,"",INDEX(对接源_01水果!$F$4:$F$1203,$AG255)),IF(INDEX(对接源_02物料!$F$4:$F$1203,$AG255-1200)=0,"",INDEX(对接源_02物料!$F$4:$F$1203,$AG255-1200))))</f>
      </c>
      <c r="D255" s="104">
        <f>IF($AG255="","",IF($AG255&lt;=1200,IF(INDEX(对接源_01水果!$G$4:$G$1203,$AG255)=0,"",INDEX(对接源_01水果!$G$4:$G$1203,$AG255)),IF(INDEX(对接源_02物料!$G$4:$G$1203,$AG255-1200)=0,"",INDEX(对接源_02物料!$G$4:$G$1203,$AG255-1200))))</f>
      </c>
      <c r="E255" s="166">
        <f>IF($AG255="","",IF($AG255&lt;=1200,IF(INDEX(对接源_01水果!$H$4:$H$1203,$AG255)=0,"",INDEX(对接源_01水果!$H$4:$H$1203,$AG255)),IF(INDEX(对接源_02物料!$H$4:$H$1203,$AG255-1200)=0,"",INDEX(对接源_02物料!$H$4:$H$1203,$AG255-1200))))</f>
      </c>
      <c r="F255" s="104">
        <f>IF($AG255="","",IF($AG255&lt;=1200,IF(INDEX(对接源_01水果!$I$4:$I$1203,$AG255)=0,"",INDEX(对接源_01水果!$I$4:$I$1203,$AG255)),IF(INDEX(对接源_02物料!$I$4:$I$1203,$AG255-1200)=0,"",INDEX(对接源_02物料!$I$4:$I$1203,$AG255-1200))))</f>
      </c>
      <c r="G255" s="175">
        <f>IF($AG255="","",IF($AG255&lt;=1200,IF(INDEX(对接源_01水果!$J$4:$J$1203,$AG255)=0,"",INDEX(对接源_01水果!$J$4:$J$1203,$AG255)),IF(INDEX(对接源_02物料!$J$4:$J$1203,$AG255-1200)=0,"",INDEX(对接源_02物料!$J$4:$J$1203,$AG255-1200))))</f>
      </c>
      <c r="H255" s="175">
        <f>IF($AG255="","",IF($AG255&lt;=1200,IF(INDEX(对接源_01水果!$K$4:$K$1203,$AG255)=0,"",INDEX(对接源_01水果!$K$4:$K$1203,$AG255)),IF(INDEX(对接源_02物料!$K$4:$K$1203,$AG255-1200)=0,"",INDEX(对接源_02物料!$K$4:$K$1203,$AG255-1200))))</f>
      </c>
      <c r="I255" s="104">
        <f>IF($AG255="","",IF($AG255&lt;=1200,IF(INDEX(对接源_01水果!$L$4:$L$1203,$AG255)=0,"",INDEX(对接源_01水果!$L$4:$L$1203,$AG255)),IF(INDEX(对接源_02物料!$L$4:$L$1203,$AG255-1200)=0,"",INDEX(对接源_02物料!$L$4:$L$1203,$AG255-1200))))</f>
      </c>
      <c r="J255" s="107">
        <f>IF($AG255="","",IF($AG255&lt;=1200,IF(INDEX(对接源_01水果!$M$4:$M$1203,$AG255)=0,"",INDEX(对接源_01水果!$M$4:$M$1203,$AG255)),IF(INDEX(对接源_02物料!$M$4:$M$1203,$AG255-1200)=0,"",INDEX(对接源_02物料!$M$4:$M$1203,$AG255-1200))))</f>
      </c>
      <c r="AG255" s="2">
        <f>IFERROR(MATCH(44,_自动清单!$AE$4:$AE$2403,0),"")</f>
      </c>
    </row>
    <row r="256" ht="18" customHeight="1" s="127">
      <c r="A256" s="163">
        <f>IF($AG256="","",IF($AG256&lt;=1200,IF(INDEX(对接源_01水果!$B$4:$B$1203,$AG256)=0,"",INDEX(对接源_01水果!$B$4:$B$1203,$AG256)),IF(INDEX(对接源_02物料!$B$4:$B$1203,$AG256-1200)=0,"",INDEX(对接源_02物料!$B$4:$B$1203,$AG256-1200))))</f>
      </c>
      <c r="B256" s="61">
        <f>IF($AG256="","",IF($AG256&lt;=1200,IF(INDEX(对接源_01水果!$E$4:$E$1203,$AG256)=0,"",INDEX(对接源_01水果!$E$4:$E$1203,$AG256)),IF(INDEX(对接源_02物料!$E$4:$E$1203,$AG256-1200)=0,"",INDEX(对接源_02物料!$E$4:$E$1203,$AG256-1200))))</f>
      </c>
      <c r="C256" s="61">
        <f>IF($AG256="","",IF($AG256&lt;=1200,IF(INDEX(对接源_01水果!$F$4:$F$1203,$AG256)=0,"",INDEX(对接源_01水果!$F$4:$F$1203,$AG256)),IF(INDEX(对接源_02物料!$F$4:$F$1203,$AG256-1200)=0,"",INDEX(对接源_02物料!$F$4:$F$1203,$AG256-1200))))</f>
      </c>
      <c r="D256" s="61">
        <f>IF($AG256="","",IF($AG256&lt;=1200,IF(INDEX(对接源_01水果!$G$4:$G$1203,$AG256)=0,"",INDEX(对接源_01水果!$G$4:$G$1203,$AG256)),IF(INDEX(对接源_02物料!$G$4:$G$1203,$AG256-1200)=0,"",INDEX(对接源_02物料!$G$4:$G$1203,$AG256-1200))))</f>
      </c>
      <c r="E256" s="164">
        <f>IF($AG256="","",IF($AG256&lt;=1200,IF(INDEX(对接源_01水果!$H$4:$H$1203,$AG256)=0,"",INDEX(对接源_01水果!$H$4:$H$1203,$AG256)),IF(INDEX(对接源_02物料!$H$4:$H$1203,$AG256-1200)=0,"",INDEX(对接源_02物料!$H$4:$H$1203,$AG256-1200))))</f>
      </c>
      <c r="F256" s="61">
        <f>IF($AG256="","",IF($AG256&lt;=1200,IF(INDEX(对接源_01水果!$I$4:$I$1203,$AG256)=0,"",INDEX(对接源_01水果!$I$4:$I$1203,$AG256)),IF(INDEX(对接源_02物料!$I$4:$I$1203,$AG256-1200)=0,"",INDEX(对接源_02物料!$I$4:$I$1203,$AG256-1200))))</f>
      </c>
      <c r="G256" s="173">
        <f>IF($AG256="","",IF($AG256&lt;=1200,IF(INDEX(对接源_01水果!$J$4:$J$1203,$AG256)=0,"",INDEX(对接源_01水果!$J$4:$J$1203,$AG256)),IF(INDEX(对接源_02物料!$J$4:$J$1203,$AG256-1200)=0,"",INDEX(对接源_02物料!$J$4:$J$1203,$AG256-1200))))</f>
      </c>
      <c r="H256" s="173">
        <f>IF($AG256="","",IF($AG256&lt;=1200,IF(INDEX(对接源_01水果!$K$4:$K$1203,$AG256)=0,"",INDEX(对接源_01水果!$K$4:$K$1203,$AG256)),IF(INDEX(对接源_02物料!$K$4:$K$1203,$AG256-1200)=0,"",INDEX(对接源_02物料!$K$4:$K$1203,$AG256-1200))))</f>
      </c>
      <c r="I256" s="61">
        <f>IF($AG256="","",IF($AG256&lt;=1200,IF(INDEX(对接源_01水果!$L$4:$L$1203,$AG256)=0,"",INDEX(对接源_01水果!$L$4:$L$1203,$AG256)),IF(INDEX(对接源_02物料!$L$4:$L$1203,$AG256-1200)=0,"",INDEX(对接源_02物料!$L$4:$L$1203,$AG256-1200))))</f>
      </c>
      <c r="J256" s="64">
        <f>IF($AG256="","",IF($AG256&lt;=1200,IF(INDEX(对接源_01水果!$M$4:$M$1203,$AG256)=0,"",INDEX(对接源_01水果!$M$4:$M$1203,$AG256)),IF(INDEX(对接源_02物料!$M$4:$M$1203,$AG256-1200)=0,"",INDEX(对接源_02物料!$M$4:$M$1203,$AG256-1200))))</f>
      </c>
      <c r="AG256" s="2">
        <f>IFERROR(MATCH(45,_自动清单!$AE$4:$AE$2403,0),"")</f>
      </c>
    </row>
    <row r="257" ht="18" customHeight="1" s="127">
      <c r="A257" s="165">
        <f>IF($AG257="","",IF($AG257&lt;=1200,IF(INDEX(对接源_01水果!$B$4:$B$1203,$AG257)=0,"",INDEX(对接源_01水果!$B$4:$B$1203,$AG257)),IF(INDEX(对接源_02物料!$B$4:$B$1203,$AG257-1200)=0,"",INDEX(对接源_02物料!$B$4:$B$1203,$AG257-1200))))</f>
      </c>
      <c r="B257" s="104">
        <f>IF($AG257="","",IF($AG257&lt;=1200,IF(INDEX(对接源_01水果!$E$4:$E$1203,$AG257)=0,"",INDEX(对接源_01水果!$E$4:$E$1203,$AG257)),IF(INDEX(对接源_02物料!$E$4:$E$1203,$AG257-1200)=0,"",INDEX(对接源_02物料!$E$4:$E$1203,$AG257-1200))))</f>
      </c>
      <c r="C257" s="104">
        <f>IF($AG257="","",IF($AG257&lt;=1200,IF(INDEX(对接源_01水果!$F$4:$F$1203,$AG257)=0,"",INDEX(对接源_01水果!$F$4:$F$1203,$AG257)),IF(INDEX(对接源_02物料!$F$4:$F$1203,$AG257-1200)=0,"",INDEX(对接源_02物料!$F$4:$F$1203,$AG257-1200))))</f>
      </c>
      <c r="D257" s="104">
        <f>IF($AG257="","",IF($AG257&lt;=1200,IF(INDEX(对接源_01水果!$G$4:$G$1203,$AG257)=0,"",INDEX(对接源_01水果!$G$4:$G$1203,$AG257)),IF(INDEX(对接源_02物料!$G$4:$G$1203,$AG257-1200)=0,"",INDEX(对接源_02物料!$G$4:$G$1203,$AG257-1200))))</f>
      </c>
      <c r="E257" s="166">
        <f>IF($AG257="","",IF($AG257&lt;=1200,IF(INDEX(对接源_01水果!$H$4:$H$1203,$AG257)=0,"",INDEX(对接源_01水果!$H$4:$H$1203,$AG257)),IF(INDEX(对接源_02物料!$H$4:$H$1203,$AG257-1200)=0,"",INDEX(对接源_02物料!$H$4:$H$1203,$AG257-1200))))</f>
      </c>
      <c r="F257" s="104">
        <f>IF($AG257="","",IF($AG257&lt;=1200,IF(INDEX(对接源_01水果!$I$4:$I$1203,$AG257)=0,"",INDEX(对接源_01水果!$I$4:$I$1203,$AG257)),IF(INDEX(对接源_02物料!$I$4:$I$1203,$AG257-1200)=0,"",INDEX(对接源_02物料!$I$4:$I$1203,$AG257-1200))))</f>
      </c>
      <c r="G257" s="175">
        <f>IF($AG257="","",IF($AG257&lt;=1200,IF(INDEX(对接源_01水果!$J$4:$J$1203,$AG257)=0,"",INDEX(对接源_01水果!$J$4:$J$1203,$AG257)),IF(INDEX(对接源_02物料!$J$4:$J$1203,$AG257-1200)=0,"",INDEX(对接源_02物料!$J$4:$J$1203,$AG257-1200))))</f>
      </c>
      <c r="H257" s="175">
        <f>IF($AG257="","",IF($AG257&lt;=1200,IF(INDEX(对接源_01水果!$K$4:$K$1203,$AG257)=0,"",INDEX(对接源_01水果!$K$4:$K$1203,$AG257)),IF(INDEX(对接源_02物料!$K$4:$K$1203,$AG257-1200)=0,"",INDEX(对接源_02物料!$K$4:$K$1203,$AG257-1200))))</f>
      </c>
      <c r="I257" s="104">
        <f>IF($AG257="","",IF($AG257&lt;=1200,IF(INDEX(对接源_01水果!$L$4:$L$1203,$AG257)=0,"",INDEX(对接源_01水果!$L$4:$L$1203,$AG257)),IF(INDEX(对接源_02物料!$L$4:$L$1203,$AG257-1200)=0,"",INDEX(对接源_02物料!$L$4:$L$1203,$AG257-1200))))</f>
      </c>
      <c r="J257" s="107">
        <f>IF($AG257="","",IF($AG257&lt;=1200,IF(INDEX(对接源_01水果!$M$4:$M$1203,$AG257)=0,"",INDEX(对接源_01水果!$M$4:$M$1203,$AG257)),IF(INDEX(对接源_02物料!$M$4:$M$1203,$AG257-1200)=0,"",INDEX(对接源_02物料!$M$4:$M$1203,$AG257-1200))))</f>
      </c>
      <c r="AG257" s="2">
        <f>IFERROR(MATCH(46,_自动清单!$AE$4:$AE$2403,0),"")</f>
      </c>
    </row>
    <row r="258" ht="18" customHeight="1" s="127">
      <c r="A258" s="163">
        <f>IF($AG258="","",IF($AG258&lt;=1200,IF(INDEX(对接源_01水果!$B$4:$B$1203,$AG258)=0,"",INDEX(对接源_01水果!$B$4:$B$1203,$AG258)),IF(INDEX(对接源_02物料!$B$4:$B$1203,$AG258-1200)=0,"",INDEX(对接源_02物料!$B$4:$B$1203,$AG258-1200))))</f>
      </c>
      <c r="B258" s="61">
        <f>IF($AG258="","",IF($AG258&lt;=1200,IF(INDEX(对接源_01水果!$E$4:$E$1203,$AG258)=0,"",INDEX(对接源_01水果!$E$4:$E$1203,$AG258)),IF(INDEX(对接源_02物料!$E$4:$E$1203,$AG258-1200)=0,"",INDEX(对接源_02物料!$E$4:$E$1203,$AG258-1200))))</f>
      </c>
      <c r="C258" s="61">
        <f>IF($AG258="","",IF($AG258&lt;=1200,IF(INDEX(对接源_01水果!$F$4:$F$1203,$AG258)=0,"",INDEX(对接源_01水果!$F$4:$F$1203,$AG258)),IF(INDEX(对接源_02物料!$F$4:$F$1203,$AG258-1200)=0,"",INDEX(对接源_02物料!$F$4:$F$1203,$AG258-1200))))</f>
      </c>
      <c r="D258" s="61">
        <f>IF($AG258="","",IF($AG258&lt;=1200,IF(INDEX(对接源_01水果!$G$4:$G$1203,$AG258)=0,"",INDEX(对接源_01水果!$G$4:$G$1203,$AG258)),IF(INDEX(对接源_02物料!$G$4:$G$1203,$AG258-1200)=0,"",INDEX(对接源_02物料!$G$4:$G$1203,$AG258-1200))))</f>
      </c>
      <c r="E258" s="164">
        <f>IF($AG258="","",IF($AG258&lt;=1200,IF(INDEX(对接源_01水果!$H$4:$H$1203,$AG258)=0,"",INDEX(对接源_01水果!$H$4:$H$1203,$AG258)),IF(INDEX(对接源_02物料!$H$4:$H$1203,$AG258-1200)=0,"",INDEX(对接源_02物料!$H$4:$H$1203,$AG258-1200))))</f>
      </c>
      <c r="F258" s="61">
        <f>IF($AG258="","",IF($AG258&lt;=1200,IF(INDEX(对接源_01水果!$I$4:$I$1203,$AG258)=0,"",INDEX(对接源_01水果!$I$4:$I$1203,$AG258)),IF(INDEX(对接源_02物料!$I$4:$I$1203,$AG258-1200)=0,"",INDEX(对接源_02物料!$I$4:$I$1203,$AG258-1200))))</f>
      </c>
      <c r="G258" s="173">
        <f>IF($AG258="","",IF($AG258&lt;=1200,IF(INDEX(对接源_01水果!$J$4:$J$1203,$AG258)=0,"",INDEX(对接源_01水果!$J$4:$J$1203,$AG258)),IF(INDEX(对接源_02物料!$J$4:$J$1203,$AG258-1200)=0,"",INDEX(对接源_02物料!$J$4:$J$1203,$AG258-1200))))</f>
      </c>
      <c r="H258" s="173">
        <f>IF($AG258="","",IF($AG258&lt;=1200,IF(INDEX(对接源_01水果!$K$4:$K$1203,$AG258)=0,"",INDEX(对接源_01水果!$K$4:$K$1203,$AG258)),IF(INDEX(对接源_02物料!$K$4:$K$1203,$AG258-1200)=0,"",INDEX(对接源_02物料!$K$4:$K$1203,$AG258-1200))))</f>
      </c>
      <c r="I258" s="61">
        <f>IF($AG258="","",IF($AG258&lt;=1200,IF(INDEX(对接源_01水果!$L$4:$L$1203,$AG258)=0,"",INDEX(对接源_01水果!$L$4:$L$1203,$AG258)),IF(INDEX(对接源_02物料!$L$4:$L$1203,$AG258-1200)=0,"",INDEX(对接源_02物料!$L$4:$L$1203,$AG258-1200))))</f>
      </c>
      <c r="J258" s="64">
        <f>IF($AG258="","",IF($AG258&lt;=1200,IF(INDEX(对接源_01水果!$M$4:$M$1203,$AG258)=0,"",INDEX(对接源_01水果!$M$4:$M$1203,$AG258)),IF(INDEX(对接源_02物料!$M$4:$M$1203,$AG258-1200)=0,"",INDEX(对接源_02物料!$M$4:$M$1203,$AG258-1200))))</f>
      </c>
      <c r="AG258" s="2">
        <f>IFERROR(MATCH(47,_自动清单!$AE$4:$AE$2403,0),"")</f>
      </c>
    </row>
    <row r="259" ht="18" customHeight="1" s="127">
      <c r="A259" s="165">
        <f>IF($AG259="","",IF($AG259&lt;=1200,IF(INDEX(对接源_01水果!$B$4:$B$1203,$AG259)=0,"",INDEX(对接源_01水果!$B$4:$B$1203,$AG259)),IF(INDEX(对接源_02物料!$B$4:$B$1203,$AG259-1200)=0,"",INDEX(对接源_02物料!$B$4:$B$1203,$AG259-1200))))</f>
      </c>
      <c r="B259" s="104">
        <f>IF($AG259="","",IF($AG259&lt;=1200,IF(INDEX(对接源_01水果!$E$4:$E$1203,$AG259)=0,"",INDEX(对接源_01水果!$E$4:$E$1203,$AG259)),IF(INDEX(对接源_02物料!$E$4:$E$1203,$AG259-1200)=0,"",INDEX(对接源_02物料!$E$4:$E$1203,$AG259-1200))))</f>
      </c>
      <c r="C259" s="104">
        <f>IF($AG259="","",IF($AG259&lt;=1200,IF(INDEX(对接源_01水果!$F$4:$F$1203,$AG259)=0,"",INDEX(对接源_01水果!$F$4:$F$1203,$AG259)),IF(INDEX(对接源_02物料!$F$4:$F$1203,$AG259-1200)=0,"",INDEX(对接源_02物料!$F$4:$F$1203,$AG259-1200))))</f>
      </c>
      <c r="D259" s="104">
        <f>IF($AG259="","",IF($AG259&lt;=1200,IF(INDEX(对接源_01水果!$G$4:$G$1203,$AG259)=0,"",INDEX(对接源_01水果!$G$4:$G$1203,$AG259)),IF(INDEX(对接源_02物料!$G$4:$G$1203,$AG259-1200)=0,"",INDEX(对接源_02物料!$G$4:$G$1203,$AG259-1200))))</f>
      </c>
      <c r="E259" s="166">
        <f>IF($AG259="","",IF($AG259&lt;=1200,IF(INDEX(对接源_01水果!$H$4:$H$1203,$AG259)=0,"",INDEX(对接源_01水果!$H$4:$H$1203,$AG259)),IF(INDEX(对接源_02物料!$H$4:$H$1203,$AG259-1200)=0,"",INDEX(对接源_02物料!$H$4:$H$1203,$AG259-1200))))</f>
      </c>
      <c r="F259" s="104">
        <f>IF($AG259="","",IF($AG259&lt;=1200,IF(INDEX(对接源_01水果!$I$4:$I$1203,$AG259)=0,"",INDEX(对接源_01水果!$I$4:$I$1203,$AG259)),IF(INDEX(对接源_02物料!$I$4:$I$1203,$AG259-1200)=0,"",INDEX(对接源_02物料!$I$4:$I$1203,$AG259-1200))))</f>
      </c>
      <c r="G259" s="175">
        <f>IF($AG259="","",IF($AG259&lt;=1200,IF(INDEX(对接源_01水果!$J$4:$J$1203,$AG259)=0,"",INDEX(对接源_01水果!$J$4:$J$1203,$AG259)),IF(INDEX(对接源_02物料!$J$4:$J$1203,$AG259-1200)=0,"",INDEX(对接源_02物料!$J$4:$J$1203,$AG259-1200))))</f>
      </c>
      <c r="H259" s="175">
        <f>IF($AG259="","",IF($AG259&lt;=1200,IF(INDEX(对接源_01水果!$K$4:$K$1203,$AG259)=0,"",INDEX(对接源_01水果!$K$4:$K$1203,$AG259)),IF(INDEX(对接源_02物料!$K$4:$K$1203,$AG259-1200)=0,"",INDEX(对接源_02物料!$K$4:$K$1203,$AG259-1200))))</f>
      </c>
      <c r="I259" s="104">
        <f>IF($AG259="","",IF($AG259&lt;=1200,IF(INDEX(对接源_01水果!$L$4:$L$1203,$AG259)=0,"",INDEX(对接源_01水果!$L$4:$L$1203,$AG259)),IF(INDEX(对接源_02物料!$L$4:$L$1203,$AG259-1200)=0,"",INDEX(对接源_02物料!$L$4:$L$1203,$AG259-1200))))</f>
      </c>
      <c r="J259" s="107">
        <f>IF($AG259="","",IF($AG259&lt;=1200,IF(INDEX(对接源_01水果!$M$4:$M$1203,$AG259)=0,"",INDEX(对接源_01水果!$M$4:$M$1203,$AG259)),IF(INDEX(对接源_02物料!$M$4:$M$1203,$AG259-1200)=0,"",INDEX(对接源_02物料!$M$4:$M$1203,$AG259-1200))))</f>
      </c>
      <c r="AG259" s="2">
        <f>IFERROR(MATCH(48,_自动清单!$AE$4:$AE$2403,0),"")</f>
      </c>
    </row>
    <row r="260" ht="18" customHeight="1" s="127">
      <c r="A260" s="163">
        <f>IF($AG260="","",IF($AG260&lt;=1200,IF(INDEX(对接源_01水果!$B$4:$B$1203,$AG260)=0,"",INDEX(对接源_01水果!$B$4:$B$1203,$AG260)),IF(INDEX(对接源_02物料!$B$4:$B$1203,$AG260-1200)=0,"",INDEX(对接源_02物料!$B$4:$B$1203,$AG260-1200))))</f>
      </c>
      <c r="B260" s="61">
        <f>IF($AG260="","",IF($AG260&lt;=1200,IF(INDEX(对接源_01水果!$E$4:$E$1203,$AG260)=0,"",INDEX(对接源_01水果!$E$4:$E$1203,$AG260)),IF(INDEX(对接源_02物料!$E$4:$E$1203,$AG260-1200)=0,"",INDEX(对接源_02物料!$E$4:$E$1203,$AG260-1200))))</f>
      </c>
      <c r="C260" s="61">
        <f>IF($AG260="","",IF($AG260&lt;=1200,IF(INDEX(对接源_01水果!$F$4:$F$1203,$AG260)=0,"",INDEX(对接源_01水果!$F$4:$F$1203,$AG260)),IF(INDEX(对接源_02物料!$F$4:$F$1203,$AG260-1200)=0,"",INDEX(对接源_02物料!$F$4:$F$1203,$AG260-1200))))</f>
      </c>
      <c r="D260" s="61">
        <f>IF($AG260="","",IF($AG260&lt;=1200,IF(INDEX(对接源_01水果!$G$4:$G$1203,$AG260)=0,"",INDEX(对接源_01水果!$G$4:$G$1203,$AG260)),IF(INDEX(对接源_02物料!$G$4:$G$1203,$AG260-1200)=0,"",INDEX(对接源_02物料!$G$4:$G$1203,$AG260-1200))))</f>
      </c>
      <c r="E260" s="164">
        <f>IF($AG260="","",IF($AG260&lt;=1200,IF(INDEX(对接源_01水果!$H$4:$H$1203,$AG260)=0,"",INDEX(对接源_01水果!$H$4:$H$1203,$AG260)),IF(INDEX(对接源_02物料!$H$4:$H$1203,$AG260-1200)=0,"",INDEX(对接源_02物料!$H$4:$H$1203,$AG260-1200))))</f>
      </c>
      <c r="F260" s="61">
        <f>IF($AG260="","",IF($AG260&lt;=1200,IF(INDEX(对接源_01水果!$I$4:$I$1203,$AG260)=0,"",INDEX(对接源_01水果!$I$4:$I$1203,$AG260)),IF(INDEX(对接源_02物料!$I$4:$I$1203,$AG260-1200)=0,"",INDEX(对接源_02物料!$I$4:$I$1203,$AG260-1200))))</f>
      </c>
      <c r="G260" s="173">
        <f>IF($AG260="","",IF($AG260&lt;=1200,IF(INDEX(对接源_01水果!$J$4:$J$1203,$AG260)=0,"",INDEX(对接源_01水果!$J$4:$J$1203,$AG260)),IF(INDEX(对接源_02物料!$J$4:$J$1203,$AG260-1200)=0,"",INDEX(对接源_02物料!$J$4:$J$1203,$AG260-1200))))</f>
      </c>
      <c r="H260" s="173">
        <f>IF($AG260="","",IF($AG260&lt;=1200,IF(INDEX(对接源_01水果!$K$4:$K$1203,$AG260)=0,"",INDEX(对接源_01水果!$K$4:$K$1203,$AG260)),IF(INDEX(对接源_02物料!$K$4:$K$1203,$AG260-1200)=0,"",INDEX(对接源_02物料!$K$4:$K$1203,$AG260-1200))))</f>
      </c>
      <c r="I260" s="61">
        <f>IF($AG260="","",IF($AG260&lt;=1200,IF(INDEX(对接源_01水果!$L$4:$L$1203,$AG260)=0,"",INDEX(对接源_01水果!$L$4:$L$1203,$AG260)),IF(INDEX(对接源_02物料!$L$4:$L$1203,$AG260-1200)=0,"",INDEX(对接源_02物料!$L$4:$L$1203,$AG260-1200))))</f>
      </c>
      <c r="J260" s="64">
        <f>IF($AG260="","",IF($AG260&lt;=1200,IF(INDEX(对接源_01水果!$M$4:$M$1203,$AG260)=0,"",INDEX(对接源_01水果!$M$4:$M$1203,$AG260)),IF(INDEX(对接源_02物料!$M$4:$M$1203,$AG260-1200)=0,"",INDEX(对接源_02物料!$M$4:$M$1203,$AG260-1200))))</f>
      </c>
      <c r="AG260" s="2">
        <f>IFERROR(MATCH(49,_自动清单!$AE$4:$AE$2403,0),"")</f>
      </c>
    </row>
    <row r="261" ht="18" customHeight="1" s="127">
      <c r="A261" s="165">
        <f>IF($AG261="","",IF($AG261&lt;=1200,IF(INDEX(对接源_01水果!$B$4:$B$1203,$AG261)=0,"",INDEX(对接源_01水果!$B$4:$B$1203,$AG261)),IF(INDEX(对接源_02物料!$B$4:$B$1203,$AG261-1200)=0,"",INDEX(对接源_02物料!$B$4:$B$1203,$AG261-1200))))</f>
      </c>
      <c r="B261" s="104">
        <f>IF($AG261="","",IF($AG261&lt;=1200,IF(INDEX(对接源_01水果!$E$4:$E$1203,$AG261)=0,"",INDEX(对接源_01水果!$E$4:$E$1203,$AG261)),IF(INDEX(对接源_02物料!$E$4:$E$1203,$AG261-1200)=0,"",INDEX(对接源_02物料!$E$4:$E$1203,$AG261-1200))))</f>
      </c>
      <c r="C261" s="104">
        <f>IF($AG261="","",IF($AG261&lt;=1200,IF(INDEX(对接源_01水果!$F$4:$F$1203,$AG261)=0,"",INDEX(对接源_01水果!$F$4:$F$1203,$AG261)),IF(INDEX(对接源_02物料!$F$4:$F$1203,$AG261-1200)=0,"",INDEX(对接源_02物料!$F$4:$F$1203,$AG261-1200))))</f>
      </c>
      <c r="D261" s="104">
        <f>IF($AG261="","",IF($AG261&lt;=1200,IF(INDEX(对接源_01水果!$G$4:$G$1203,$AG261)=0,"",INDEX(对接源_01水果!$G$4:$G$1203,$AG261)),IF(INDEX(对接源_02物料!$G$4:$G$1203,$AG261-1200)=0,"",INDEX(对接源_02物料!$G$4:$G$1203,$AG261-1200))))</f>
      </c>
      <c r="E261" s="166">
        <f>IF($AG261="","",IF($AG261&lt;=1200,IF(INDEX(对接源_01水果!$H$4:$H$1203,$AG261)=0,"",INDEX(对接源_01水果!$H$4:$H$1203,$AG261)),IF(INDEX(对接源_02物料!$H$4:$H$1203,$AG261-1200)=0,"",INDEX(对接源_02物料!$H$4:$H$1203,$AG261-1200))))</f>
      </c>
      <c r="F261" s="104">
        <f>IF($AG261="","",IF($AG261&lt;=1200,IF(INDEX(对接源_01水果!$I$4:$I$1203,$AG261)=0,"",INDEX(对接源_01水果!$I$4:$I$1203,$AG261)),IF(INDEX(对接源_02物料!$I$4:$I$1203,$AG261-1200)=0,"",INDEX(对接源_02物料!$I$4:$I$1203,$AG261-1200))))</f>
      </c>
      <c r="G261" s="175">
        <f>IF($AG261="","",IF($AG261&lt;=1200,IF(INDEX(对接源_01水果!$J$4:$J$1203,$AG261)=0,"",INDEX(对接源_01水果!$J$4:$J$1203,$AG261)),IF(INDEX(对接源_02物料!$J$4:$J$1203,$AG261-1200)=0,"",INDEX(对接源_02物料!$J$4:$J$1203,$AG261-1200))))</f>
      </c>
      <c r="H261" s="175">
        <f>IF($AG261="","",IF($AG261&lt;=1200,IF(INDEX(对接源_01水果!$K$4:$K$1203,$AG261)=0,"",INDEX(对接源_01水果!$K$4:$K$1203,$AG261)),IF(INDEX(对接源_02物料!$K$4:$K$1203,$AG261-1200)=0,"",INDEX(对接源_02物料!$K$4:$K$1203,$AG261-1200))))</f>
      </c>
      <c r="I261" s="104">
        <f>IF($AG261="","",IF($AG261&lt;=1200,IF(INDEX(对接源_01水果!$L$4:$L$1203,$AG261)=0,"",INDEX(对接源_01水果!$L$4:$L$1203,$AG261)),IF(INDEX(对接源_02物料!$L$4:$L$1203,$AG261-1200)=0,"",INDEX(对接源_02物料!$L$4:$L$1203,$AG261-1200))))</f>
      </c>
      <c r="J261" s="107">
        <f>IF($AG261="","",IF($AG261&lt;=1200,IF(INDEX(对接源_01水果!$M$4:$M$1203,$AG261)=0,"",INDEX(对接源_01水果!$M$4:$M$1203,$AG261)),IF(INDEX(对接源_02物料!$M$4:$M$1203,$AG261-1200)=0,"",INDEX(对接源_02物料!$M$4:$M$1203,$AG261-1200))))</f>
      </c>
      <c r="AG261" s="2">
        <f>IFERROR(MATCH(50,_自动清单!$AE$4:$AE$2403,0),"")</f>
      </c>
    </row>
    <row r="262" ht="18" customHeight="1" s="127">
      <c r="A262" s="163">
        <f>IF($AG262="","",IF($AG262&lt;=1200,IF(INDEX(对接源_01水果!$B$4:$B$1203,$AG262)=0,"",INDEX(对接源_01水果!$B$4:$B$1203,$AG262)),IF(INDEX(对接源_02物料!$B$4:$B$1203,$AG262-1200)=0,"",INDEX(对接源_02物料!$B$4:$B$1203,$AG262-1200))))</f>
      </c>
      <c r="B262" s="61">
        <f>IF($AG262="","",IF($AG262&lt;=1200,IF(INDEX(对接源_01水果!$E$4:$E$1203,$AG262)=0,"",INDEX(对接源_01水果!$E$4:$E$1203,$AG262)),IF(INDEX(对接源_02物料!$E$4:$E$1203,$AG262-1200)=0,"",INDEX(对接源_02物料!$E$4:$E$1203,$AG262-1200))))</f>
      </c>
      <c r="C262" s="61">
        <f>IF($AG262="","",IF($AG262&lt;=1200,IF(INDEX(对接源_01水果!$F$4:$F$1203,$AG262)=0,"",INDEX(对接源_01水果!$F$4:$F$1203,$AG262)),IF(INDEX(对接源_02物料!$F$4:$F$1203,$AG262-1200)=0,"",INDEX(对接源_02物料!$F$4:$F$1203,$AG262-1200))))</f>
      </c>
      <c r="D262" s="61">
        <f>IF($AG262="","",IF($AG262&lt;=1200,IF(INDEX(对接源_01水果!$G$4:$G$1203,$AG262)=0,"",INDEX(对接源_01水果!$G$4:$G$1203,$AG262)),IF(INDEX(对接源_02物料!$G$4:$G$1203,$AG262-1200)=0,"",INDEX(对接源_02物料!$G$4:$G$1203,$AG262-1200))))</f>
      </c>
      <c r="E262" s="164">
        <f>IF($AG262="","",IF($AG262&lt;=1200,IF(INDEX(对接源_01水果!$H$4:$H$1203,$AG262)=0,"",INDEX(对接源_01水果!$H$4:$H$1203,$AG262)),IF(INDEX(对接源_02物料!$H$4:$H$1203,$AG262-1200)=0,"",INDEX(对接源_02物料!$H$4:$H$1203,$AG262-1200))))</f>
      </c>
      <c r="F262" s="61">
        <f>IF($AG262="","",IF($AG262&lt;=1200,IF(INDEX(对接源_01水果!$I$4:$I$1203,$AG262)=0,"",INDEX(对接源_01水果!$I$4:$I$1203,$AG262)),IF(INDEX(对接源_02物料!$I$4:$I$1203,$AG262-1200)=0,"",INDEX(对接源_02物料!$I$4:$I$1203,$AG262-1200))))</f>
      </c>
      <c r="G262" s="173">
        <f>IF($AG262="","",IF($AG262&lt;=1200,IF(INDEX(对接源_01水果!$J$4:$J$1203,$AG262)=0,"",INDEX(对接源_01水果!$J$4:$J$1203,$AG262)),IF(INDEX(对接源_02物料!$J$4:$J$1203,$AG262-1200)=0,"",INDEX(对接源_02物料!$J$4:$J$1203,$AG262-1200))))</f>
      </c>
      <c r="H262" s="173">
        <f>IF($AG262="","",IF($AG262&lt;=1200,IF(INDEX(对接源_01水果!$K$4:$K$1203,$AG262)=0,"",INDEX(对接源_01水果!$K$4:$K$1203,$AG262)),IF(INDEX(对接源_02物料!$K$4:$K$1203,$AG262-1200)=0,"",INDEX(对接源_02物料!$K$4:$K$1203,$AG262-1200))))</f>
      </c>
      <c r="I262" s="61">
        <f>IF($AG262="","",IF($AG262&lt;=1200,IF(INDEX(对接源_01水果!$L$4:$L$1203,$AG262)=0,"",INDEX(对接源_01水果!$L$4:$L$1203,$AG262)),IF(INDEX(对接源_02物料!$L$4:$L$1203,$AG262-1200)=0,"",INDEX(对接源_02物料!$L$4:$L$1203,$AG262-1200))))</f>
      </c>
      <c r="J262" s="64">
        <f>IF($AG262="","",IF($AG262&lt;=1200,IF(INDEX(对接源_01水果!$M$4:$M$1203,$AG262)=0,"",INDEX(对接源_01水果!$M$4:$M$1203,$AG262)),IF(INDEX(对接源_02物料!$M$4:$M$1203,$AG262-1200)=0,"",INDEX(对接源_02物料!$M$4:$M$1203,$AG262-1200))))</f>
      </c>
      <c r="AG262" s="2">
        <f>IFERROR(MATCH(51,_自动清单!$AE$4:$AE$2403,0),"")</f>
      </c>
    </row>
    <row r="263" ht="18" customHeight="1" s="127">
      <c r="A263" s="165">
        <f>IF($AG263="","",IF($AG263&lt;=1200,IF(INDEX(对接源_01水果!$B$4:$B$1203,$AG263)=0,"",INDEX(对接源_01水果!$B$4:$B$1203,$AG263)),IF(INDEX(对接源_02物料!$B$4:$B$1203,$AG263-1200)=0,"",INDEX(对接源_02物料!$B$4:$B$1203,$AG263-1200))))</f>
      </c>
      <c r="B263" s="104">
        <f>IF($AG263="","",IF($AG263&lt;=1200,IF(INDEX(对接源_01水果!$E$4:$E$1203,$AG263)=0,"",INDEX(对接源_01水果!$E$4:$E$1203,$AG263)),IF(INDEX(对接源_02物料!$E$4:$E$1203,$AG263-1200)=0,"",INDEX(对接源_02物料!$E$4:$E$1203,$AG263-1200))))</f>
      </c>
      <c r="C263" s="104">
        <f>IF($AG263="","",IF($AG263&lt;=1200,IF(INDEX(对接源_01水果!$F$4:$F$1203,$AG263)=0,"",INDEX(对接源_01水果!$F$4:$F$1203,$AG263)),IF(INDEX(对接源_02物料!$F$4:$F$1203,$AG263-1200)=0,"",INDEX(对接源_02物料!$F$4:$F$1203,$AG263-1200))))</f>
      </c>
      <c r="D263" s="104">
        <f>IF($AG263="","",IF($AG263&lt;=1200,IF(INDEX(对接源_01水果!$G$4:$G$1203,$AG263)=0,"",INDEX(对接源_01水果!$G$4:$G$1203,$AG263)),IF(INDEX(对接源_02物料!$G$4:$G$1203,$AG263-1200)=0,"",INDEX(对接源_02物料!$G$4:$G$1203,$AG263-1200))))</f>
      </c>
      <c r="E263" s="166">
        <f>IF($AG263="","",IF($AG263&lt;=1200,IF(INDEX(对接源_01水果!$H$4:$H$1203,$AG263)=0,"",INDEX(对接源_01水果!$H$4:$H$1203,$AG263)),IF(INDEX(对接源_02物料!$H$4:$H$1203,$AG263-1200)=0,"",INDEX(对接源_02物料!$H$4:$H$1203,$AG263-1200))))</f>
      </c>
      <c r="F263" s="104">
        <f>IF($AG263="","",IF($AG263&lt;=1200,IF(INDEX(对接源_01水果!$I$4:$I$1203,$AG263)=0,"",INDEX(对接源_01水果!$I$4:$I$1203,$AG263)),IF(INDEX(对接源_02物料!$I$4:$I$1203,$AG263-1200)=0,"",INDEX(对接源_02物料!$I$4:$I$1203,$AG263-1200))))</f>
      </c>
      <c r="G263" s="175">
        <f>IF($AG263="","",IF($AG263&lt;=1200,IF(INDEX(对接源_01水果!$J$4:$J$1203,$AG263)=0,"",INDEX(对接源_01水果!$J$4:$J$1203,$AG263)),IF(INDEX(对接源_02物料!$J$4:$J$1203,$AG263-1200)=0,"",INDEX(对接源_02物料!$J$4:$J$1203,$AG263-1200))))</f>
      </c>
      <c r="H263" s="175">
        <f>IF($AG263="","",IF($AG263&lt;=1200,IF(INDEX(对接源_01水果!$K$4:$K$1203,$AG263)=0,"",INDEX(对接源_01水果!$K$4:$K$1203,$AG263)),IF(INDEX(对接源_02物料!$K$4:$K$1203,$AG263-1200)=0,"",INDEX(对接源_02物料!$K$4:$K$1203,$AG263-1200))))</f>
      </c>
      <c r="I263" s="104">
        <f>IF($AG263="","",IF($AG263&lt;=1200,IF(INDEX(对接源_01水果!$L$4:$L$1203,$AG263)=0,"",INDEX(对接源_01水果!$L$4:$L$1203,$AG263)),IF(INDEX(对接源_02物料!$L$4:$L$1203,$AG263-1200)=0,"",INDEX(对接源_02物料!$L$4:$L$1203,$AG263-1200))))</f>
      </c>
      <c r="J263" s="107">
        <f>IF($AG263="","",IF($AG263&lt;=1200,IF(INDEX(对接源_01水果!$M$4:$M$1203,$AG263)=0,"",INDEX(对接源_01水果!$M$4:$M$1203,$AG263)),IF(INDEX(对接源_02物料!$M$4:$M$1203,$AG263-1200)=0,"",INDEX(对接源_02物料!$M$4:$M$1203,$AG263-1200))))</f>
      </c>
      <c r="AG263" s="2">
        <f>IFERROR(MATCH(52,_自动清单!$AE$4:$AE$2403,0),"")</f>
      </c>
    </row>
    <row r="264" ht="18" customHeight="1" s="127">
      <c r="A264" s="163">
        <f>IF($AG264="","",IF($AG264&lt;=1200,IF(INDEX(对接源_01水果!$B$4:$B$1203,$AG264)=0,"",INDEX(对接源_01水果!$B$4:$B$1203,$AG264)),IF(INDEX(对接源_02物料!$B$4:$B$1203,$AG264-1200)=0,"",INDEX(对接源_02物料!$B$4:$B$1203,$AG264-1200))))</f>
      </c>
      <c r="B264" s="61">
        <f>IF($AG264="","",IF($AG264&lt;=1200,IF(INDEX(对接源_01水果!$E$4:$E$1203,$AG264)=0,"",INDEX(对接源_01水果!$E$4:$E$1203,$AG264)),IF(INDEX(对接源_02物料!$E$4:$E$1203,$AG264-1200)=0,"",INDEX(对接源_02物料!$E$4:$E$1203,$AG264-1200))))</f>
      </c>
      <c r="C264" s="61">
        <f>IF($AG264="","",IF($AG264&lt;=1200,IF(INDEX(对接源_01水果!$F$4:$F$1203,$AG264)=0,"",INDEX(对接源_01水果!$F$4:$F$1203,$AG264)),IF(INDEX(对接源_02物料!$F$4:$F$1203,$AG264-1200)=0,"",INDEX(对接源_02物料!$F$4:$F$1203,$AG264-1200))))</f>
      </c>
      <c r="D264" s="61">
        <f>IF($AG264="","",IF($AG264&lt;=1200,IF(INDEX(对接源_01水果!$G$4:$G$1203,$AG264)=0,"",INDEX(对接源_01水果!$G$4:$G$1203,$AG264)),IF(INDEX(对接源_02物料!$G$4:$G$1203,$AG264-1200)=0,"",INDEX(对接源_02物料!$G$4:$G$1203,$AG264-1200))))</f>
      </c>
      <c r="E264" s="164">
        <f>IF($AG264="","",IF($AG264&lt;=1200,IF(INDEX(对接源_01水果!$H$4:$H$1203,$AG264)=0,"",INDEX(对接源_01水果!$H$4:$H$1203,$AG264)),IF(INDEX(对接源_02物料!$H$4:$H$1203,$AG264-1200)=0,"",INDEX(对接源_02物料!$H$4:$H$1203,$AG264-1200))))</f>
      </c>
      <c r="F264" s="61">
        <f>IF($AG264="","",IF($AG264&lt;=1200,IF(INDEX(对接源_01水果!$I$4:$I$1203,$AG264)=0,"",INDEX(对接源_01水果!$I$4:$I$1203,$AG264)),IF(INDEX(对接源_02物料!$I$4:$I$1203,$AG264-1200)=0,"",INDEX(对接源_02物料!$I$4:$I$1203,$AG264-1200))))</f>
      </c>
      <c r="G264" s="173">
        <f>IF($AG264="","",IF($AG264&lt;=1200,IF(INDEX(对接源_01水果!$J$4:$J$1203,$AG264)=0,"",INDEX(对接源_01水果!$J$4:$J$1203,$AG264)),IF(INDEX(对接源_02物料!$J$4:$J$1203,$AG264-1200)=0,"",INDEX(对接源_02物料!$J$4:$J$1203,$AG264-1200))))</f>
      </c>
      <c r="H264" s="173">
        <f>IF($AG264="","",IF($AG264&lt;=1200,IF(INDEX(对接源_01水果!$K$4:$K$1203,$AG264)=0,"",INDEX(对接源_01水果!$K$4:$K$1203,$AG264)),IF(INDEX(对接源_02物料!$K$4:$K$1203,$AG264-1200)=0,"",INDEX(对接源_02物料!$K$4:$K$1203,$AG264-1200))))</f>
      </c>
      <c r="I264" s="61">
        <f>IF($AG264="","",IF($AG264&lt;=1200,IF(INDEX(对接源_01水果!$L$4:$L$1203,$AG264)=0,"",INDEX(对接源_01水果!$L$4:$L$1203,$AG264)),IF(INDEX(对接源_02物料!$L$4:$L$1203,$AG264-1200)=0,"",INDEX(对接源_02物料!$L$4:$L$1203,$AG264-1200))))</f>
      </c>
      <c r="J264" s="64">
        <f>IF($AG264="","",IF($AG264&lt;=1200,IF(INDEX(对接源_01水果!$M$4:$M$1203,$AG264)=0,"",INDEX(对接源_01水果!$M$4:$M$1203,$AG264)),IF(INDEX(对接源_02物料!$M$4:$M$1203,$AG264-1200)=0,"",INDEX(对接源_02物料!$M$4:$M$1203,$AG264-1200))))</f>
      </c>
      <c r="AG264" s="2">
        <f>IFERROR(MATCH(53,_自动清单!$AE$4:$AE$2403,0),"")</f>
      </c>
    </row>
    <row r="265" ht="18" customHeight="1" s="127">
      <c r="A265" s="165">
        <f>IF($AG265="","",IF($AG265&lt;=1200,IF(INDEX(对接源_01水果!$B$4:$B$1203,$AG265)=0,"",INDEX(对接源_01水果!$B$4:$B$1203,$AG265)),IF(INDEX(对接源_02物料!$B$4:$B$1203,$AG265-1200)=0,"",INDEX(对接源_02物料!$B$4:$B$1203,$AG265-1200))))</f>
      </c>
      <c r="B265" s="104">
        <f>IF($AG265="","",IF($AG265&lt;=1200,IF(INDEX(对接源_01水果!$E$4:$E$1203,$AG265)=0,"",INDEX(对接源_01水果!$E$4:$E$1203,$AG265)),IF(INDEX(对接源_02物料!$E$4:$E$1203,$AG265-1200)=0,"",INDEX(对接源_02物料!$E$4:$E$1203,$AG265-1200))))</f>
      </c>
      <c r="C265" s="104">
        <f>IF($AG265="","",IF($AG265&lt;=1200,IF(INDEX(对接源_01水果!$F$4:$F$1203,$AG265)=0,"",INDEX(对接源_01水果!$F$4:$F$1203,$AG265)),IF(INDEX(对接源_02物料!$F$4:$F$1203,$AG265-1200)=0,"",INDEX(对接源_02物料!$F$4:$F$1203,$AG265-1200))))</f>
      </c>
      <c r="D265" s="104">
        <f>IF($AG265="","",IF($AG265&lt;=1200,IF(INDEX(对接源_01水果!$G$4:$G$1203,$AG265)=0,"",INDEX(对接源_01水果!$G$4:$G$1203,$AG265)),IF(INDEX(对接源_02物料!$G$4:$G$1203,$AG265-1200)=0,"",INDEX(对接源_02物料!$G$4:$G$1203,$AG265-1200))))</f>
      </c>
      <c r="E265" s="166">
        <f>IF($AG265="","",IF($AG265&lt;=1200,IF(INDEX(对接源_01水果!$H$4:$H$1203,$AG265)=0,"",INDEX(对接源_01水果!$H$4:$H$1203,$AG265)),IF(INDEX(对接源_02物料!$H$4:$H$1203,$AG265-1200)=0,"",INDEX(对接源_02物料!$H$4:$H$1203,$AG265-1200))))</f>
      </c>
      <c r="F265" s="104">
        <f>IF($AG265="","",IF($AG265&lt;=1200,IF(INDEX(对接源_01水果!$I$4:$I$1203,$AG265)=0,"",INDEX(对接源_01水果!$I$4:$I$1203,$AG265)),IF(INDEX(对接源_02物料!$I$4:$I$1203,$AG265-1200)=0,"",INDEX(对接源_02物料!$I$4:$I$1203,$AG265-1200))))</f>
      </c>
      <c r="G265" s="175">
        <f>IF($AG265="","",IF($AG265&lt;=1200,IF(INDEX(对接源_01水果!$J$4:$J$1203,$AG265)=0,"",INDEX(对接源_01水果!$J$4:$J$1203,$AG265)),IF(INDEX(对接源_02物料!$J$4:$J$1203,$AG265-1200)=0,"",INDEX(对接源_02物料!$J$4:$J$1203,$AG265-1200))))</f>
      </c>
      <c r="H265" s="175">
        <f>IF($AG265="","",IF($AG265&lt;=1200,IF(INDEX(对接源_01水果!$K$4:$K$1203,$AG265)=0,"",INDEX(对接源_01水果!$K$4:$K$1203,$AG265)),IF(INDEX(对接源_02物料!$K$4:$K$1203,$AG265-1200)=0,"",INDEX(对接源_02物料!$K$4:$K$1203,$AG265-1200))))</f>
      </c>
      <c r="I265" s="104">
        <f>IF($AG265="","",IF($AG265&lt;=1200,IF(INDEX(对接源_01水果!$L$4:$L$1203,$AG265)=0,"",INDEX(对接源_01水果!$L$4:$L$1203,$AG265)),IF(INDEX(对接源_02物料!$L$4:$L$1203,$AG265-1200)=0,"",INDEX(对接源_02物料!$L$4:$L$1203,$AG265-1200))))</f>
      </c>
      <c r="J265" s="107">
        <f>IF($AG265="","",IF($AG265&lt;=1200,IF(INDEX(对接源_01水果!$M$4:$M$1203,$AG265)=0,"",INDEX(对接源_01水果!$M$4:$M$1203,$AG265)),IF(INDEX(对接源_02物料!$M$4:$M$1203,$AG265-1200)=0,"",INDEX(对接源_02物料!$M$4:$M$1203,$AG265-1200))))</f>
      </c>
      <c r="AG265" s="2">
        <f>IFERROR(MATCH(54,_自动清单!$AE$4:$AE$2403,0),"")</f>
      </c>
    </row>
    <row r="266" ht="18" customHeight="1" s="127">
      <c r="A266" s="163">
        <f>IF($AG266="","",IF($AG266&lt;=1200,IF(INDEX(对接源_01水果!$B$4:$B$1203,$AG266)=0,"",INDEX(对接源_01水果!$B$4:$B$1203,$AG266)),IF(INDEX(对接源_02物料!$B$4:$B$1203,$AG266-1200)=0,"",INDEX(对接源_02物料!$B$4:$B$1203,$AG266-1200))))</f>
      </c>
      <c r="B266" s="61">
        <f>IF($AG266="","",IF($AG266&lt;=1200,IF(INDEX(对接源_01水果!$E$4:$E$1203,$AG266)=0,"",INDEX(对接源_01水果!$E$4:$E$1203,$AG266)),IF(INDEX(对接源_02物料!$E$4:$E$1203,$AG266-1200)=0,"",INDEX(对接源_02物料!$E$4:$E$1203,$AG266-1200))))</f>
      </c>
      <c r="C266" s="61">
        <f>IF($AG266="","",IF($AG266&lt;=1200,IF(INDEX(对接源_01水果!$F$4:$F$1203,$AG266)=0,"",INDEX(对接源_01水果!$F$4:$F$1203,$AG266)),IF(INDEX(对接源_02物料!$F$4:$F$1203,$AG266-1200)=0,"",INDEX(对接源_02物料!$F$4:$F$1203,$AG266-1200))))</f>
      </c>
      <c r="D266" s="61">
        <f>IF($AG266="","",IF($AG266&lt;=1200,IF(INDEX(对接源_01水果!$G$4:$G$1203,$AG266)=0,"",INDEX(对接源_01水果!$G$4:$G$1203,$AG266)),IF(INDEX(对接源_02物料!$G$4:$G$1203,$AG266-1200)=0,"",INDEX(对接源_02物料!$G$4:$G$1203,$AG266-1200))))</f>
      </c>
      <c r="E266" s="164">
        <f>IF($AG266="","",IF($AG266&lt;=1200,IF(INDEX(对接源_01水果!$H$4:$H$1203,$AG266)=0,"",INDEX(对接源_01水果!$H$4:$H$1203,$AG266)),IF(INDEX(对接源_02物料!$H$4:$H$1203,$AG266-1200)=0,"",INDEX(对接源_02物料!$H$4:$H$1203,$AG266-1200))))</f>
      </c>
      <c r="F266" s="61">
        <f>IF($AG266="","",IF($AG266&lt;=1200,IF(INDEX(对接源_01水果!$I$4:$I$1203,$AG266)=0,"",INDEX(对接源_01水果!$I$4:$I$1203,$AG266)),IF(INDEX(对接源_02物料!$I$4:$I$1203,$AG266-1200)=0,"",INDEX(对接源_02物料!$I$4:$I$1203,$AG266-1200))))</f>
      </c>
      <c r="G266" s="173">
        <f>IF($AG266="","",IF($AG266&lt;=1200,IF(INDEX(对接源_01水果!$J$4:$J$1203,$AG266)=0,"",INDEX(对接源_01水果!$J$4:$J$1203,$AG266)),IF(INDEX(对接源_02物料!$J$4:$J$1203,$AG266-1200)=0,"",INDEX(对接源_02物料!$J$4:$J$1203,$AG266-1200))))</f>
      </c>
      <c r="H266" s="173">
        <f>IF($AG266="","",IF($AG266&lt;=1200,IF(INDEX(对接源_01水果!$K$4:$K$1203,$AG266)=0,"",INDEX(对接源_01水果!$K$4:$K$1203,$AG266)),IF(INDEX(对接源_02物料!$K$4:$K$1203,$AG266-1200)=0,"",INDEX(对接源_02物料!$K$4:$K$1203,$AG266-1200))))</f>
      </c>
      <c r="I266" s="61">
        <f>IF($AG266="","",IF($AG266&lt;=1200,IF(INDEX(对接源_01水果!$L$4:$L$1203,$AG266)=0,"",INDEX(对接源_01水果!$L$4:$L$1203,$AG266)),IF(INDEX(对接源_02物料!$L$4:$L$1203,$AG266-1200)=0,"",INDEX(对接源_02物料!$L$4:$L$1203,$AG266-1200))))</f>
      </c>
      <c r="J266" s="64">
        <f>IF($AG266="","",IF($AG266&lt;=1200,IF(INDEX(对接源_01水果!$M$4:$M$1203,$AG266)=0,"",INDEX(对接源_01水果!$M$4:$M$1203,$AG266)),IF(INDEX(对接源_02物料!$M$4:$M$1203,$AG266-1200)=0,"",INDEX(对接源_02物料!$M$4:$M$1203,$AG266-1200))))</f>
      </c>
      <c r="AG266" s="2">
        <f>IFERROR(MATCH(55,_自动清单!$AE$4:$AE$2403,0),"")</f>
      </c>
    </row>
    <row r="267" ht="18" customHeight="1" s="127">
      <c r="A267" s="165">
        <f>IF($AG267="","",IF($AG267&lt;=1200,IF(INDEX(对接源_01水果!$B$4:$B$1203,$AG267)=0,"",INDEX(对接源_01水果!$B$4:$B$1203,$AG267)),IF(INDEX(对接源_02物料!$B$4:$B$1203,$AG267-1200)=0,"",INDEX(对接源_02物料!$B$4:$B$1203,$AG267-1200))))</f>
      </c>
      <c r="B267" s="104">
        <f>IF($AG267="","",IF($AG267&lt;=1200,IF(INDEX(对接源_01水果!$E$4:$E$1203,$AG267)=0,"",INDEX(对接源_01水果!$E$4:$E$1203,$AG267)),IF(INDEX(对接源_02物料!$E$4:$E$1203,$AG267-1200)=0,"",INDEX(对接源_02物料!$E$4:$E$1203,$AG267-1200))))</f>
      </c>
      <c r="C267" s="104">
        <f>IF($AG267="","",IF($AG267&lt;=1200,IF(INDEX(对接源_01水果!$F$4:$F$1203,$AG267)=0,"",INDEX(对接源_01水果!$F$4:$F$1203,$AG267)),IF(INDEX(对接源_02物料!$F$4:$F$1203,$AG267-1200)=0,"",INDEX(对接源_02物料!$F$4:$F$1203,$AG267-1200))))</f>
      </c>
      <c r="D267" s="104">
        <f>IF($AG267="","",IF($AG267&lt;=1200,IF(INDEX(对接源_01水果!$G$4:$G$1203,$AG267)=0,"",INDEX(对接源_01水果!$G$4:$G$1203,$AG267)),IF(INDEX(对接源_02物料!$G$4:$G$1203,$AG267-1200)=0,"",INDEX(对接源_02物料!$G$4:$G$1203,$AG267-1200))))</f>
      </c>
      <c r="E267" s="166">
        <f>IF($AG267="","",IF($AG267&lt;=1200,IF(INDEX(对接源_01水果!$H$4:$H$1203,$AG267)=0,"",INDEX(对接源_01水果!$H$4:$H$1203,$AG267)),IF(INDEX(对接源_02物料!$H$4:$H$1203,$AG267-1200)=0,"",INDEX(对接源_02物料!$H$4:$H$1203,$AG267-1200))))</f>
      </c>
      <c r="F267" s="104">
        <f>IF($AG267="","",IF($AG267&lt;=1200,IF(INDEX(对接源_01水果!$I$4:$I$1203,$AG267)=0,"",INDEX(对接源_01水果!$I$4:$I$1203,$AG267)),IF(INDEX(对接源_02物料!$I$4:$I$1203,$AG267-1200)=0,"",INDEX(对接源_02物料!$I$4:$I$1203,$AG267-1200))))</f>
      </c>
      <c r="G267" s="175">
        <f>IF($AG267="","",IF($AG267&lt;=1200,IF(INDEX(对接源_01水果!$J$4:$J$1203,$AG267)=0,"",INDEX(对接源_01水果!$J$4:$J$1203,$AG267)),IF(INDEX(对接源_02物料!$J$4:$J$1203,$AG267-1200)=0,"",INDEX(对接源_02物料!$J$4:$J$1203,$AG267-1200))))</f>
      </c>
      <c r="H267" s="175">
        <f>IF($AG267="","",IF($AG267&lt;=1200,IF(INDEX(对接源_01水果!$K$4:$K$1203,$AG267)=0,"",INDEX(对接源_01水果!$K$4:$K$1203,$AG267)),IF(INDEX(对接源_02物料!$K$4:$K$1203,$AG267-1200)=0,"",INDEX(对接源_02物料!$K$4:$K$1203,$AG267-1200))))</f>
      </c>
      <c r="I267" s="104">
        <f>IF($AG267="","",IF($AG267&lt;=1200,IF(INDEX(对接源_01水果!$L$4:$L$1203,$AG267)=0,"",INDEX(对接源_01水果!$L$4:$L$1203,$AG267)),IF(INDEX(对接源_02物料!$L$4:$L$1203,$AG267-1200)=0,"",INDEX(对接源_02物料!$L$4:$L$1203,$AG267-1200))))</f>
      </c>
      <c r="J267" s="107">
        <f>IF($AG267="","",IF($AG267&lt;=1200,IF(INDEX(对接源_01水果!$M$4:$M$1203,$AG267)=0,"",INDEX(对接源_01水果!$M$4:$M$1203,$AG267)),IF(INDEX(对接源_02物料!$M$4:$M$1203,$AG267-1200)=0,"",INDEX(对接源_02物料!$M$4:$M$1203,$AG267-1200))))</f>
      </c>
      <c r="AG267" s="2">
        <f>IFERROR(MATCH(56,_自动清单!$AE$4:$AE$2403,0),"")</f>
      </c>
    </row>
    <row r="268" ht="18" customHeight="1" s="127">
      <c r="A268" s="163">
        <f>IF($AG268="","",IF($AG268&lt;=1200,IF(INDEX(对接源_01水果!$B$4:$B$1203,$AG268)=0,"",INDEX(对接源_01水果!$B$4:$B$1203,$AG268)),IF(INDEX(对接源_02物料!$B$4:$B$1203,$AG268-1200)=0,"",INDEX(对接源_02物料!$B$4:$B$1203,$AG268-1200))))</f>
      </c>
      <c r="B268" s="61">
        <f>IF($AG268="","",IF($AG268&lt;=1200,IF(INDEX(对接源_01水果!$E$4:$E$1203,$AG268)=0,"",INDEX(对接源_01水果!$E$4:$E$1203,$AG268)),IF(INDEX(对接源_02物料!$E$4:$E$1203,$AG268-1200)=0,"",INDEX(对接源_02物料!$E$4:$E$1203,$AG268-1200))))</f>
      </c>
      <c r="C268" s="61">
        <f>IF($AG268="","",IF($AG268&lt;=1200,IF(INDEX(对接源_01水果!$F$4:$F$1203,$AG268)=0,"",INDEX(对接源_01水果!$F$4:$F$1203,$AG268)),IF(INDEX(对接源_02物料!$F$4:$F$1203,$AG268-1200)=0,"",INDEX(对接源_02物料!$F$4:$F$1203,$AG268-1200))))</f>
      </c>
      <c r="D268" s="61">
        <f>IF($AG268="","",IF($AG268&lt;=1200,IF(INDEX(对接源_01水果!$G$4:$G$1203,$AG268)=0,"",INDEX(对接源_01水果!$G$4:$G$1203,$AG268)),IF(INDEX(对接源_02物料!$G$4:$G$1203,$AG268-1200)=0,"",INDEX(对接源_02物料!$G$4:$G$1203,$AG268-1200))))</f>
      </c>
      <c r="E268" s="164">
        <f>IF($AG268="","",IF($AG268&lt;=1200,IF(INDEX(对接源_01水果!$H$4:$H$1203,$AG268)=0,"",INDEX(对接源_01水果!$H$4:$H$1203,$AG268)),IF(INDEX(对接源_02物料!$H$4:$H$1203,$AG268-1200)=0,"",INDEX(对接源_02物料!$H$4:$H$1203,$AG268-1200))))</f>
      </c>
      <c r="F268" s="61">
        <f>IF($AG268="","",IF($AG268&lt;=1200,IF(INDEX(对接源_01水果!$I$4:$I$1203,$AG268)=0,"",INDEX(对接源_01水果!$I$4:$I$1203,$AG268)),IF(INDEX(对接源_02物料!$I$4:$I$1203,$AG268-1200)=0,"",INDEX(对接源_02物料!$I$4:$I$1203,$AG268-1200))))</f>
      </c>
      <c r="G268" s="173">
        <f>IF($AG268="","",IF($AG268&lt;=1200,IF(INDEX(对接源_01水果!$J$4:$J$1203,$AG268)=0,"",INDEX(对接源_01水果!$J$4:$J$1203,$AG268)),IF(INDEX(对接源_02物料!$J$4:$J$1203,$AG268-1200)=0,"",INDEX(对接源_02物料!$J$4:$J$1203,$AG268-1200))))</f>
      </c>
      <c r="H268" s="173">
        <f>IF($AG268="","",IF($AG268&lt;=1200,IF(INDEX(对接源_01水果!$K$4:$K$1203,$AG268)=0,"",INDEX(对接源_01水果!$K$4:$K$1203,$AG268)),IF(INDEX(对接源_02物料!$K$4:$K$1203,$AG268-1200)=0,"",INDEX(对接源_02物料!$K$4:$K$1203,$AG268-1200))))</f>
      </c>
      <c r="I268" s="61">
        <f>IF($AG268="","",IF($AG268&lt;=1200,IF(INDEX(对接源_01水果!$L$4:$L$1203,$AG268)=0,"",INDEX(对接源_01水果!$L$4:$L$1203,$AG268)),IF(INDEX(对接源_02物料!$L$4:$L$1203,$AG268-1200)=0,"",INDEX(对接源_02物料!$L$4:$L$1203,$AG268-1200))))</f>
      </c>
      <c r="J268" s="64">
        <f>IF($AG268="","",IF($AG268&lt;=1200,IF(INDEX(对接源_01水果!$M$4:$M$1203,$AG268)=0,"",INDEX(对接源_01水果!$M$4:$M$1203,$AG268)),IF(INDEX(对接源_02物料!$M$4:$M$1203,$AG268-1200)=0,"",INDEX(对接源_02物料!$M$4:$M$1203,$AG268-1200))))</f>
      </c>
      <c r="AG268" s="2">
        <f>IFERROR(MATCH(57,_自动清单!$AE$4:$AE$2403,0),"")</f>
      </c>
    </row>
    <row r="269" ht="18" customHeight="1" s="127">
      <c r="A269" s="165">
        <f>IF($AG269="","",IF($AG269&lt;=1200,IF(INDEX(对接源_01水果!$B$4:$B$1203,$AG269)=0,"",INDEX(对接源_01水果!$B$4:$B$1203,$AG269)),IF(INDEX(对接源_02物料!$B$4:$B$1203,$AG269-1200)=0,"",INDEX(对接源_02物料!$B$4:$B$1203,$AG269-1200))))</f>
      </c>
      <c r="B269" s="104">
        <f>IF($AG269="","",IF($AG269&lt;=1200,IF(INDEX(对接源_01水果!$E$4:$E$1203,$AG269)=0,"",INDEX(对接源_01水果!$E$4:$E$1203,$AG269)),IF(INDEX(对接源_02物料!$E$4:$E$1203,$AG269-1200)=0,"",INDEX(对接源_02物料!$E$4:$E$1203,$AG269-1200))))</f>
      </c>
      <c r="C269" s="104">
        <f>IF($AG269="","",IF($AG269&lt;=1200,IF(INDEX(对接源_01水果!$F$4:$F$1203,$AG269)=0,"",INDEX(对接源_01水果!$F$4:$F$1203,$AG269)),IF(INDEX(对接源_02物料!$F$4:$F$1203,$AG269-1200)=0,"",INDEX(对接源_02物料!$F$4:$F$1203,$AG269-1200))))</f>
      </c>
      <c r="D269" s="104">
        <f>IF($AG269="","",IF($AG269&lt;=1200,IF(INDEX(对接源_01水果!$G$4:$G$1203,$AG269)=0,"",INDEX(对接源_01水果!$G$4:$G$1203,$AG269)),IF(INDEX(对接源_02物料!$G$4:$G$1203,$AG269-1200)=0,"",INDEX(对接源_02物料!$G$4:$G$1203,$AG269-1200))))</f>
      </c>
      <c r="E269" s="166">
        <f>IF($AG269="","",IF($AG269&lt;=1200,IF(INDEX(对接源_01水果!$H$4:$H$1203,$AG269)=0,"",INDEX(对接源_01水果!$H$4:$H$1203,$AG269)),IF(INDEX(对接源_02物料!$H$4:$H$1203,$AG269-1200)=0,"",INDEX(对接源_02物料!$H$4:$H$1203,$AG269-1200))))</f>
      </c>
      <c r="F269" s="104">
        <f>IF($AG269="","",IF($AG269&lt;=1200,IF(INDEX(对接源_01水果!$I$4:$I$1203,$AG269)=0,"",INDEX(对接源_01水果!$I$4:$I$1203,$AG269)),IF(INDEX(对接源_02物料!$I$4:$I$1203,$AG269-1200)=0,"",INDEX(对接源_02物料!$I$4:$I$1203,$AG269-1200))))</f>
      </c>
      <c r="G269" s="175">
        <f>IF($AG269="","",IF($AG269&lt;=1200,IF(INDEX(对接源_01水果!$J$4:$J$1203,$AG269)=0,"",INDEX(对接源_01水果!$J$4:$J$1203,$AG269)),IF(INDEX(对接源_02物料!$J$4:$J$1203,$AG269-1200)=0,"",INDEX(对接源_02物料!$J$4:$J$1203,$AG269-1200))))</f>
      </c>
      <c r="H269" s="175">
        <f>IF($AG269="","",IF($AG269&lt;=1200,IF(INDEX(对接源_01水果!$K$4:$K$1203,$AG269)=0,"",INDEX(对接源_01水果!$K$4:$K$1203,$AG269)),IF(INDEX(对接源_02物料!$K$4:$K$1203,$AG269-1200)=0,"",INDEX(对接源_02物料!$K$4:$K$1203,$AG269-1200))))</f>
      </c>
      <c r="I269" s="104">
        <f>IF($AG269="","",IF($AG269&lt;=1200,IF(INDEX(对接源_01水果!$L$4:$L$1203,$AG269)=0,"",INDEX(对接源_01水果!$L$4:$L$1203,$AG269)),IF(INDEX(对接源_02物料!$L$4:$L$1203,$AG269-1200)=0,"",INDEX(对接源_02物料!$L$4:$L$1203,$AG269-1200))))</f>
      </c>
      <c r="J269" s="107">
        <f>IF($AG269="","",IF($AG269&lt;=1200,IF(INDEX(对接源_01水果!$M$4:$M$1203,$AG269)=0,"",INDEX(对接源_01水果!$M$4:$M$1203,$AG269)),IF(INDEX(对接源_02物料!$M$4:$M$1203,$AG269-1200)=0,"",INDEX(对接源_02物料!$M$4:$M$1203,$AG269-1200))))</f>
      </c>
      <c r="AG269" s="2">
        <f>IFERROR(MATCH(58,_自动清单!$AE$4:$AE$2403,0),"")</f>
      </c>
    </row>
    <row r="270" ht="18" customHeight="1" s="127">
      <c r="A270" s="163">
        <f>IF($AG270="","",IF($AG270&lt;=1200,IF(INDEX(对接源_01水果!$B$4:$B$1203,$AG270)=0,"",INDEX(对接源_01水果!$B$4:$B$1203,$AG270)),IF(INDEX(对接源_02物料!$B$4:$B$1203,$AG270-1200)=0,"",INDEX(对接源_02物料!$B$4:$B$1203,$AG270-1200))))</f>
      </c>
      <c r="B270" s="61">
        <f>IF($AG270="","",IF($AG270&lt;=1200,IF(INDEX(对接源_01水果!$E$4:$E$1203,$AG270)=0,"",INDEX(对接源_01水果!$E$4:$E$1203,$AG270)),IF(INDEX(对接源_02物料!$E$4:$E$1203,$AG270-1200)=0,"",INDEX(对接源_02物料!$E$4:$E$1203,$AG270-1200))))</f>
      </c>
      <c r="C270" s="61">
        <f>IF($AG270="","",IF($AG270&lt;=1200,IF(INDEX(对接源_01水果!$F$4:$F$1203,$AG270)=0,"",INDEX(对接源_01水果!$F$4:$F$1203,$AG270)),IF(INDEX(对接源_02物料!$F$4:$F$1203,$AG270-1200)=0,"",INDEX(对接源_02物料!$F$4:$F$1203,$AG270-1200))))</f>
      </c>
      <c r="D270" s="61">
        <f>IF($AG270="","",IF($AG270&lt;=1200,IF(INDEX(对接源_01水果!$G$4:$G$1203,$AG270)=0,"",INDEX(对接源_01水果!$G$4:$G$1203,$AG270)),IF(INDEX(对接源_02物料!$G$4:$G$1203,$AG270-1200)=0,"",INDEX(对接源_02物料!$G$4:$G$1203,$AG270-1200))))</f>
      </c>
      <c r="E270" s="164">
        <f>IF($AG270="","",IF($AG270&lt;=1200,IF(INDEX(对接源_01水果!$H$4:$H$1203,$AG270)=0,"",INDEX(对接源_01水果!$H$4:$H$1203,$AG270)),IF(INDEX(对接源_02物料!$H$4:$H$1203,$AG270-1200)=0,"",INDEX(对接源_02物料!$H$4:$H$1203,$AG270-1200))))</f>
      </c>
      <c r="F270" s="61">
        <f>IF($AG270="","",IF($AG270&lt;=1200,IF(INDEX(对接源_01水果!$I$4:$I$1203,$AG270)=0,"",INDEX(对接源_01水果!$I$4:$I$1203,$AG270)),IF(INDEX(对接源_02物料!$I$4:$I$1203,$AG270-1200)=0,"",INDEX(对接源_02物料!$I$4:$I$1203,$AG270-1200))))</f>
      </c>
      <c r="G270" s="173">
        <f>IF($AG270="","",IF($AG270&lt;=1200,IF(INDEX(对接源_01水果!$J$4:$J$1203,$AG270)=0,"",INDEX(对接源_01水果!$J$4:$J$1203,$AG270)),IF(INDEX(对接源_02物料!$J$4:$J$1203,$AG270-1200)=0,"",INDEX(对接源_02物料!$J$4:$J$1203,$AG270-1200))))</f>
      </c>
      <c r="H270" s="173">
        <f>IF($AG270="","",IF($AG270&lt;=1200,IF(INDEX(对接源_01水果!$K$4:$K$1203,$AG270)=0,"",INDEX(对接源_01水果!$K$4:$K$1203,$AG270)),IF(INDEX(对接源_02物料!$K$4:$K$1203,$AG270-1200)=0,"",INDEX(对接源_02物料!$K$4:$K$1203,$AG270-1200))))</f>
      </c>
      <c r="I270" s="61">
        <f>IF($AG270="","",IF($AG270&lt;=1200,IF(INDEX(对接源_01水果!$L$4:$L$1203,$AG270)=0,"",INDEX(对接源_01水果!$L$4:$L$1203,$AG270)),IF(INDEX(对接源_02物料!$L$4:$L$1203,$AG270-1200)=0,"",INDEX(对接源_02物料!$L$4:$L$1203,$AG270-1200))))</f>
      </c>
      <c r="J270" s="64">
        <f>IF($AG270="","",IF($AG270&lt;=1200,IF(INDEX(对接源_01水果!$M$4:$M$1203,$AG270)=0,"",INDEX(对接源_01水果!$M$4:$M$1203,$AG270)),IF(INDEX(对接源_02物料!$M$4:$M$1203,$AG270-1200)=0,"",INDEX(对接源_02物料!$M$4:$M$1203,$AG270-1200))))</f>
      </c>
      <c r="AG270" s="2">
        <f>IFERROR(MATCH(59,_自动清单!$AE$4:$AE$2403,0),"")</f>
      </c>
    </row>
    <row r="271" ht="18" customHeight="1" s="127">
      <c r="A271" s="165">
        <f>IF($AG271="","",IF($AG271&lt;=1200,IF(INDEX(对接源_01水果!$B$4:$B$1203,$AG271)=0,"",INDEX(对接源_01水果!$B$4:$B$1203,$AG271)),IF(INDEX(对接源_02物料!$B$4:$B$1203,$AG271-1200)=0,"",INDEX(对接源_02物料!$B$4:$B$1203,$AG271-1200))))</f>
      </c>
      <c r="B271" s="104">
        <f>IF($AG271="","",IF($AG271&lt;=1200,IF(INDEX(对接源_01水果!$E$4:$E$1203,$AG271)=0,"",INDEX(对接源_01水果!$E$4:$E$1203,$AG271)),IF(INDEX(对接源_02物料!$E$4:$E$1203,$AG271-1200)=0,"",INDEX(对接源_02物料!$E$4:$E$1203,$AG271-1200))))</f>
      </c>
      <c r="C271" s="104">
        <f>IF($AG271="","",IF($AG271&lt;=1200,IF(INDEX(对接源_01水果!$F$4:$F$1203,$AG271)=0,"",INDEX(对接源_01水果!$F$4:$F$1203,$AG271)),IF(INDEX(对接源_02物料!$F$4:$F$1203,$AG271-1200)=0,"",INDEX(对接源_02物料!$F$4:$F$1203,$AG271-1200))))</f>
      </c>
      <c r="D271" s="104">
        <f>IF($AG271="","",IF($AG271&lt;=1200,IF(INDEX(对接源_01水果!$G$4:$G$1203,$AG271)=0,"",INDEX(对接源_01水果!$G$4:$G$1203,$AG271)),IF(INDEX(对接源_02物料!$G$4:$G$1203,$AG271-1200)=0,"",INDEX(对接源_02物料!$G$4:$G$1203,$AG271-1200))))</f>
      </c>
      <c r="E271" s="166">
        <f>IF($AG271="","",IF($AG271&lt;=1200,IF(INDEX(对接源_01水果!$H$4:$H$1203,$AG271)=0,"",INDEX(对接源_01水果!$H$4:$H$1203,$AG271)),IF(INDEX(对接源_02物料!$H$4:$H$1203,$AG271-1200)=0,"",INDEX(对接源_02物料!$H$4:$H$1203,$AG271-1200))))</f>
      </c>
      <c r="F271" s="104">
        <f>IF($AG271="","",IF($AG271&lt;=1200,IF(INDEX(对接源_01水果!$I$4:$I$1203,$AG271)=0,"",INDEX(对接源_01水果!$I$4:$I$1203,$AG271)),IF(INDEX(对接源_02物料!$I$4:$I$1203,$AG271-1200)=0,"",INDEX(对接源_02物料!$I$4:$I$1203,$AG271-1200))))</f>
      </c>
      <c r="G271" s="175">
        <f>IF($AG271="","",IF($AG271&lt;=1200,IF(INDEX(对接源_01水果!$J$4:$J$1203,$AG271)=0,"",INDEX(对接源_01水果!$J$4:$J$1203,$AG271)),IF(INDEX(对接源_02物料!$J$4:$J$1203,$AG271-1200)=0,"",INDEX(对接源_02物料!$J$4:$J$1203,$AG271-1200))))</f>
      </c>
      <c r="H271" s="175">
        <f>IF($AG271="","",IF($AG271&lt;=1200,IF(INDEX(对接源_01水果!$K$4:$K$1203,$AG271)=0,"",INDEX(对接源_01水果!$K$4:$K$1203,$AG271)),IF(INDEX(对接源_02物料!$K$4:$K$1203,$AG271-1200)=0,"",INDEX(对接源_02物料!$K$4:$K$1203,$AG271-1200))))</f>
      </c>
      <c r="I271" s="104">
        <f>IF($AG271="","",IF($AG271&lt;=1200,IF(INDEX(对接源_01水果!$L$4:$L$1203,$AG271)=0,"",INDEX(对接源_01水果!$L$4:$L$1203,$AG271)),IF(INDEX(对接源_02物料!$L$4:$L$1203,$AG271-1200)=0,"",INDEX(对接源_02物料!$L$4:$L$1203,$AG271-1200))))</f>
      </c>
      <c r="J271" s="107">
        <f>IF($AG271="","",IF($AG271&lt;=1200,IF(INDEX(对接源_01水果!$M$4:$M$1203,$AG271)=0,"",INDEX(对接源_01水果!$M$4:$M$1203,$AG271)),IF(INDEX(对接源_02物料!$M$4:$M$1203,$AG271-1200)=0,"",INDEX(对接源_02物料!$M$4:$M$1203,$AG271-1200))))</f>
      </c>
      <c r="AG271" s="2">
        <f>IFERROR(MATCH(60,_自动清单!$AE$4:$AE$2403,0),"")</f>
      </c>
    </row>
    <row r="272" ht="18" customHeight="1" s="127">
      <c r="A272" s="163">
        <f>IF($AG272="","",IF($AG272&lt;=1200,IF(INDEX(对接源_01水果!$B$4:$B$1203,$AG272)=0,"",INDEX(对接源_01水果!$B$4:$B$1203,$AG272)),IF(INDEX(对接源_02物料!$B$4:$B$1203,$AG272-1200)=0,"",INDEX(对接源_02物料!$B$4:$B$1203,$AG272-1200))))</f>
      </c>
      <c r="B272" s="61">
        <f>IF($AG272="","",IF($AG272&lt;=1200,IF(INDEX(对接源_01水果!$E$4:$E$1203,$AG272)=0,"",INDEX(对接源_01水果!$E$4:$E$1203,$AG272)),IF(INDEX(对接源_02物料!$E$4:$E$1203,$AG272-1200)=0,"",INDEX(对接源_02物料!$E$4:$E$1203,$AG272-1200))))</f>
      </c>
      <c r="C272" s="61">
        <f>IF($AG272="","",IF($AG272&lt;=1200,IF(INDEX(对接源_01水果!$F$4:$F$1203,$AG272)=0,"",INDEX(对接源_01水果!$F$4:$F$1203,$AG272)),IF(INDEX(对接源_02物料!$F$4:$F$1203,$AG272-1200)=0,"",INDEX(对接源_02物料!$F$4:$F$1203,$AG272-1200))))</f>
      </c>
      <c r="D272" s="61">
        <f>IF($AG272="","",IF($AG272&lt;=1200,IF(INDEX(对接源_01水果!$G$4:$G$1203,$AG272)=0,"",INDEX(对接源_01水果!$G$4:$G$1203,$AG272)),IF(INDEX(对接源_02物料!$G$4:$G$1203,$AG272-1200)=0,"",INDEX(对接源_02物料!$G$4:$G$1203,$AG272-1200))))</f>
      </c>
      <c r="E272" s="164">
        <f>IF($AG272="","",IF($AG272&lt;=1200,IF(INDEX(对接源_01水果!$H$4:$H$1203,$AG272)=0,"",INDEX(对接源_01水果!$H$4:$H$1203,$AG272)),IF(INDEX(对接源_02物料!$H$4:$H$1203,$AG272-1200)=0,"",INDEX(对接源_02物料!$H$4:$H$1203,$AG272-1200))))</f>
      </c>
      <c r="F272" s="61">
        <f>IF($AG272="","",IF($AG272&lt;=1200,IF(INDEX(对接源_01水果!$I$4:$I$1203,$AG272)=0,"",INDEX(对接源_01水果!$I$4:$I$1203,$AG272)),IF(INDEX(对接源_02物料!$I$4:$I$1203,$AG272-1200)=0,"",INDEX(对接源_02物料!$I$4:$I$1203,$AG272-1200))))</f>
      </c>
      <c r="G272" s="173">
        <f>IF($AG272="","",IF($AG272&lt;=1200,IF(INDEX(对接源_01水果!$J$4:$J$1203,$AG272)=0,"",INDEX(对接源_01水果!$J$4:$J$1203,$AG272)),IF(INDEX(对接源_02物料!$J$4:$J$1203,$AG272-1200)=0,"",INDEX(对接源_02物料!$J$4:$J$1203,$AG272-1200))))</f>
      </c>
      <c r="H272" s="173">
        <f>IF($AG272="","",IF($AG272&lt;=1200,IF(INDEX(对接源_01水果!$K$4:$K$1203,$AG272)=0,"",INDEX(对接源_01水果!$K$4:$K$1203,$AG272)),IF(INDEX(对接源_02物料!$K$4:$K$1203,$AG272-1200)=0,"",INDEX(对接源_02物料!$K$4:$K$1203,$AG272-1200))))</f>
      </c>
      <c r="I272" s="61">
        <f>IF($AG272="","",IF($AG272&lt;=1200,IF(INDEX(对接源_01水果!$L$4:$L$1203,$AG272)=0,"",INDEX(对接源_01水果!$L$4:$L$1203,$AG272)),IF(INDEX(对接源_02物料!$L$4:$L$1203,$AG272-1200)=0,"",INDEX(对接源_02物料!$L$4:$L$1203,$AG272-1200))))</f>
      </c>
      <c r="J272" s="64">
        <f>IF($AG272="","",IF($AG272&lt;=1200,IF(INDEX(对接源_01水果!$M$4:$M$1203,$AG272)=0,"",INDEX(对接源_01水果!$M$4:$M$1203,$AG272)),IF(INDEX(对接源_02物料!$M$4:$M$1203,$AG272-1200)=0,"",INDEX(对接源_02物料!$M$4:$M$1203,$AG272-1200))))</f>
      </c>
      <c r="AG272" s="2">
        <f>IFERROR(MATCH(61,_自动清单!$AE$4:$AE$2403,0),"")</f>
      </c>
    </row>
    <row r="273" ht="18" customHeight="1" s="127">
      <c r="A273" s="165">
        <f>IF($AG273="","",IF($AG273&lt;=1200,IF(INDEX(对接源_01水果!$B$4:$B$1203,$AG273)=0,"",INDEX(对接源_01水果!$B$4:$B$1203,$AG273)),IF(INDEX(对接源_02物料!$B$4:$B$1203,$AG273-1200)=0,"",INDEX(对接源_02物料!$B$4:$B$1203,$AG273-1200))))</f>
      </c>
      <c r="B273" s="104">
        <f>IF($AG273="","",IF($AG273&lt;=1200,IF(INDEX(对接源_01水果!$E$4:$E$1203,$AG273)=0,"",INDEX(对接源_01水果!$E$4:$E$1203,$AG273)),IF(INDEX(对接源_02物料!$E$4:$E$1203,$AG273-1200)=0,"",INDEX(对接源_02物料!$E$4:$E$1203,$AG273-1200))))</f>
      </c>
      <c r="C273" s="104">
        <f>IF($AG273="","",IF($AG273&lt;=1200,IF(INDEX(对接源_01水果!$F$4:$F$1203,$AG273)=0,"",INDEX(对接源_01水果!$F$4:$F$1203,$AG273)),IF(INDEX(对接源_02物料!$F$4:$F$1203,$AG273-1200)=0,"",INDEX(对接源_02物料!$F$4:$F$1203,$AG273-1200))))</f>
      </c>
      <c r="D273" s="104">
        <f>IF($AG273="","",IF($AG273&lt;=1200,IF(INDEX(对接源_01水果!$G$4:$G$1203,$AG273)=0,"",INDEX(对接源_01水果!$G$4:$G$1203,$AG273)),IF(INDEX(对接源_02物料!$G$4:$G$1203,$AG273-1200)=0,"",INDEX(对接源_02物料!$G$4:$G$1203,$AG273-1200))))</f>
      </c>
      <c r="E273" s="166">
        <f>IF($AG273="","",IF($AG273&lt;=1200,IF(INDEX(对接源_01水果!$H$4:$H$1203,$AG273)=0,"",INDEX(对接源_01水果!$H$4:$H$1203,$AG273)),IF(INDEX(对接源_02物料!$H$4:$H$1203,$AG273-1200)=0,"",INDEX(对接源_02物料!$H$4:$H$1203,$AG273-1200))))</f>
      </c>
      <c r="F273" s="104">
        <f>IF($AG273="","",IF($AG273&lt;=1200,IF(INDEX(对接源_01水果!$I$4:$I$1203,$AG273)=0,"",INDEX(对接源_01水果!$I$4:$I$1203,$AG273)),IF(INDEX(对接源_02物料!$I$4:$I$1203,$AG273-1200)=0,"",INDEX(对接源_02物料!$I$4:$I$1203,$AG273-1200))))</f>
      </c>
      <c r="G273" s="175">
        <f>IF($AG273="","",IF($AG273&lt;=1200,IF(INDEX(对接源_01水果!$J$4:$J$1203,$AG273)=0,"",INDEX(对接源_01水果!$J$4:$J$1203,$AG273)),IF(INDEX(对接源_02物料!$J$4:$J$1203,$AG273-1200)=0,"",INDEX(对接源_02物料!$J$4:$J$1203,$AG273-1200))))</f>
      </c>
      <c r="H273" s="175">
        <f>IF($AG273="","",IF($AG273&lt;=1200,IF(INDEX(对接源_01水果!$K$4:$K$1203,$AG273)=0,"",INDEX(对接源_01水果!$K$4:$K$1203,$AG273)),IF(INDEX(对接源_02物料!$K$4:$K$1203,$AG273-1200)=0,"",INDEX(对接源_02物料!$K$4:$K$1203,$AG273-1200))))</f>
      </c>
      <c r="I273" s="104">
        <f>IF($AG273="","",IF($AG273&lt;=1200,IF(INDEX(对接源_01水果!$L$4:$L$1203,$AG273)=0,"",INDEX(对接源_01水果!$L$4:$L$1203,$AG273)),IF(INDEX(对接源_02物料!$L$4:$L$1203,$AG273-1200)=0,"",INDEX(对接源_02物料!$L$4:$L$1203,$AG273-1200))))</f>
      </c>
      <c r="J273" s="107">
        <f>IF($AG273="","",IF($AG273&lt;=1200,IF(INDEX(对接源_01水果!$M$4:$M$1203,$AG273)=0,"",INDEX(对接源_01水果!$M$4:$M$1203,$AG273)),IF(INDEX(对接源_02物料!$M$4:$M$1203,$AG273-1200)=0,"",INDEX(对接源_02物料!$M$4:$M$1203,$AG273-1200))))</f>
      </c>
      <c r="AG273" s="2">
        <f>IFERROR(MATCH(62,_自动清单!$AE$4:$AE$2403,0),"")</f>
      </c>
    </row>
    <row r="274" ht="18" customHeight="1" s="127">
      <c r="A274" s="163">
        <f>IF($AG274="","",IF($AG274&lt;=1200,IF(INDEX(对接源_01水果!$B$4:$B$1203,$AG274)=0,"",INDEX(对接源_01水果!$B$4:$B$1203,$AG274)),IF(INDEX(对接源_02物料!$B$4:$B$1203,$AG274-1200)=0,"",INDEX(对接源_02物料!$B$4:$B$1203,$AG274-1200))))</f>
      </c>
      <c r="B274" s="61">
        <f>IF($AG274="","",IF($AG274&lt;=1200,IF(INDEX(对接源_01水果!$E$4:$E$1203,$AG274)=0,"",INDEX(对接源_01水果!$E$4:$E$1203,$AG274)),IF(INDEX(对接源_02物料!$E$4:$E$1203,$AG274-1200)=0,"",INDEX(对接源_02物料!$E$4:$E$1203,$AG274-1200))))</f>
      </c>
      <c r="C274" s="61">
        <f>IF($AG274="","",IF($AG274&lt;=1200,IF(INDEX(对接源_01水果!$F$4:$F$1203,$AG274)=0,"",INDEX(对接源_01水果!$F$4:$F$1203,$AG274)),IF(INDEX(对接源_02物料!$F$4:$F$1203,$AG274-1200)=0,"",INDEX(对接源_02物料!$F$4:$F$1203,$AG274-1200))))</f>
      </c>
      <c r="D274" s="61">
        <f>IF($AG274="","",IF($AG274&lt;=1200,IF(INDEX(对接源_01水果!$G$4:$G$1203,$AG274)=0,"",INDEX(对接源_01水果!$G$4:$G$1203,$AG274)),IF(INDEX(对接源_02物料!$G$4:$G$1203,$AG274-1200)=0,"",INDEX(对接源_02物料!$G$4:$G$1203,$AG274-1200))))</f>
      </c>
      <c r="E274" s="164">
        <f>IF($AG274="","",IF($AG274&lt;=1200,IF(INDEX(对接源_01水果!$H$4:$H$1203,$AG274)=0,"",INDEX(对接源_01水果!$H$4:$H$1203,$AG274)),IF(INDEX(对接源_02物料!$H$4:$H$1203,$AG274-1200)=0,"",INDEX(对接源_02物料!$H$4:$H$1203,$AG274-1200))))</f>
      </c>
      <c r="F274" s="61">
        <f>IF($AG274="","",IF($AG274&lt;=1200,IF(INDEX(对接源_01水果!$I$4:$I$1203,$AG274)=0,"",INDEX(对接源_01水果!$I$4:$I$1203,$AG274)),IF(INDEX(对接源_02物料!$I$4:$I$1203,$AG274-1200)=0,"",INDEX(对接源_02物料!$I$4:$I$1203,$AG274-1200))))</f>
      </c>
      <c r="G274" s="173">
        <f>IF($AG274="","",IF($AG274&lt;=1200,IF(INDEX(对接源_01水果!$J$4:$J$1203,$AG274)=0,"",INDEX(对接源_01水果!$J$4:$J$1203,$AG274)),IF(INDEX(对接源_02物料!$J$4:$J$1203,$AG274-1200)=0,"",INDEX(对接源_02物料!$J$4:$J$1203,$AG274-1200))))</f>
      </c>
      <c r="H274" s="173">
        <f>IF($AG274="","",IF($AG274&lt;=1200,IF(INDEX(对接源_01水果!$K$4:$K$1203,$AG274)=0,"",INDEX(对接源_01水果!$K$4:$K$1203,$AG274)),IF(INDEX(对接源_02物料!$K$4:$K$1203,$AG274-1200)=0,"",INDEX(对接源_02物料!$K$4:$K$1203,$AG274-1200))))</f>
      </c>
      <c r="I274" s="61">
        <f>IF($AG274="","",IF($AG274&lt;=1200,IF(INDEX(对接源_01水果!$L$4:$L$1203,$AG274)=0,"",INDEX(对接源_01水果!$L$4:$L$1203,$AG274)),IF(INDEX(对接源_02物料!$L$4:$L$1203,$AG274-1200)=0,"",INDEX(对接源_02物料!$L$4:$L$1203,$AG274-1200))))</f>
      </c>
      <c r="J274" s="64">
        <f>IF($AG274="","",IF($AG274&lt;=1200,IF(INDEX(对接源_01水果!$M$4:$M$1203,$AG274)=0,"",INDEX(对接源_01水果!$M$4:$M$1203,$AG274)),IF(INDEX(对接源_02物料!$M$4:$M$1203,$AG274-1200)=0,"",INDEX(对接源_02物料!$M$4:$M$1203,$AG274-1200))))</f>
      </c>
      <c r="AG274" s="2">
        <f>IFERROR(MATCH(63,_自动清单!$AE$4:$AE$2403,0),"")</f>
      </c>
    </row>
    <row r="275" ht="18" customHeight="1" s="127">
      <c r="A275" s="165">
        <f>IF($AG275="","",IF($AG275&lt;=1200,IF(INDEX(对接源_01水果!$B$4:$B$1203,$AG275)=0,"",INDEX(对接源_01水果!$B$4:$B$1203,$AG275)),IF(INDEX(对接源_02物料!$B$4:$B$1203,$AG275-1200)=0,"",INDEX(对接源_02物料!$B$4:$B$1203,$AG275-1200))))</f>
      </c>
      <c r="B275" s="104">
        <f>IF($AG275="","",IF($AG275&lt;=1200,IF(INDEX(对接源_01水果!$E$4:$E$1203,$AG275)=0,"",INDEX(对接源_01水果!$E$4:$E$1203,$AG275)),IF(INDEX(对接源_02物料!$E$4:$E$1203,$AG275-1200)=0,"",INDEX(对接源_02物料!$E$4:$E$1203,$AG275-1200))))</f>
      </c>
      <c r="C275" s="104">
        <f>IF($AG275="","",IF($AG275&lt;=1200,IF(INDEX(对接源_01水果!$F$4:$F$1203,$AG275)=0,"",INDEX(对接源_01水果!$F$4:$F$1203,$AG275)),IF(INDEX(对接源_02物料!$F$4:$F$1203,$AG275-1200)=0,"",INDEX(对接源_02物料!$F$4:$F$1203,$AG275-1200))))</f>
      </c>
      <c r="D275" s="104">
        <f>IF($AG275="","",IF($AG275&lt;=1200,IF(INDEX(对接源_01水果!$G$4:$G$1203,$AG275)=0,"",INDEX(对接源_01水果!$G$4:$G$1203,$AG275)),IF(INDEX(对接源_02物料!$G$4:$G$1203,$AG275-1200)=0,"",INDEX(对接源_02物料!$G$4:$G$1203,$AG275-1200))))</f>
      </c>
      <c r="E275" s="166">
        <f>IF($AG275="","",IF($AG275&lt;=1200,IF(INDEX(对接源_01水果!$H$4:$H$1203,$AG275)=0,"",INDEX(对接源_01水果!$H$4:$H$1203,$AG275)),IF(INDEX(对接源_02物料!$H$4:$H$1203,$AG275-1200)=0,"",INDEX(对接源_02物料!$H$4:$H$1203,$AG275-1200))))</f>
      </c>
      <c r="F275" s="104">
        <f>IF($AG275="","",IF($AG275&lt;=1200,IF(INDEX(对接源_01水果!$I$4:$I$1203,$AG275)=0,"",INDEX(对接源_01水果!$I$4:$I$1203,$AG275)),IF(INDEX(对接源_02物料!$I$4:$I$1203,$AG275-1200)=0,"",INDEX(对接源_02物料!$I$4:$I$1203,$AG275-1200))))</f>
      </c>
      <c r="G275" s="175">
        <f>IF($AG275="","",IF($AG275&lt;=1200,IF(INDEX(对接源_01水果!$J$4:$J$1203,$AG275)=0,"",INDEX(对接源_01水果!$J$4:$J$1203,$AG275)),IF(INDEX(对接源_02物料!$J$4:$J$1203,$AG275-1200)=0,"",INDEX(对接源_02物料!$J$4:$J$1203,$AG275-1200))))</f>
      </c>
      <c r="H275" s="175">
        <f>IF($AG275="","",IF($AG275&lt;=1200,IF(INDEX(对接源_01水果!$K$4:$K$1203,$AG275)=0,"",INDEX(对接源_01水果!$K$4:$K$1203,$AG275)),IF(INDEX(对接源_02物料!$K$4:$K$1203,$AG275-1200)=0,"",INDEX(对接源_02物料!$K$4:$K$1203,$AG275-1200))))</f>
      </c>
      <c r="I275" s="104">
        <f>IF($AG275="","",IF($AG275&lt;=1200,IF(INDEX(对接源_01水果!$L$4:$L$1203,$AG275)=0,"",INDEX(对接源_01水果!$L$4:$L$1203,$AG275)),IF(INDEX(对接源_02物料!$L$4:$L$1203,$AG275-1200)=0,"",INDEX(对接源_02物料!$L$4:$L$1203,$AG275-1200))))</f>
      </c>
      <c r="J275" s="107">
        <f>IF($AG275="","",IF($AG275&lt;=1200,IF(INDEX(对接源_01水果!$M$4:$M$1203,$AG275)=0,"",INDEX(对接源_01水果!$M$4:$M$1203,$AG275)),IF(INDEX(对接源_02物料!$M$4:$M$1203,$AG275-1200)=0,"",INDEX(对接源_02物料!$M$4:$M$1203,$AG275-1200))))</f>
      </c>
      <c r="AG275" s="2">
        <f>IFERROR(MATCH(64,_自动清单!$AE$4:$AE$2403,0),"")</f>
      </c>
    </row>
    <row r="276" ht="18" customHeight="1" s="127">
      <c r="A276" s="163">
        <f>IF($AG276="","",IF($AG276&lt;=1200,IF(INDEX(对接源_01水果!$B$4:$B$1203,$AG276)=0,"",INDEX(对接源_01水果!$B$4:$B$1203,$AG276)),IF(INDEX(对接源_02物料!$B$4:$B$1203,$AG276-1200)=0,"",INDEX(对接源_02物料!$B$4:$B$1203,$AG276-1200))))</f>
      </c>
      <c r="B276" s="61">
        <f>IF($AG276="","",IF($AG276&lt;=1200,IF(INDEX(对接源_01水果!$E$4:$E$1203,$AG276)=0,"",INDEX(对接源_01水果!$E$4:$E$1203,$AG276)),IF(INDEX(对接源_02物料!$E$4:$E$1203,$AG276-1200)=0,"",INDEX(对接源_02物料!$E$4:$E$1203,$AG276-1200))))</f>
      </c>
      <c r="C276" s="61">
        <f>IF($AG276="","",IF($AG276&lt;=1200,IF(INDEX(对接源_01水果!$F$4:$F$1203,$AG276)=0,"",INDEX(对接源_01水果!$F$4:$F$1203,$AG276)),IF(INDEX(对接源_02物料!$F$4:$F$1203,$AG276-1200)=0,"",INDEX(对接源_02物料!$F$4:$F$1203,$AG276-1200))))</f>
      </c>
      <c r="D276" s="61">
        <f>IF($AG276="","",IF($AG276&lt;=1200,IF(INDEX(对接源_01水果!$G$4:$G$1203,$AG276)=0,"",INDEX(对接源_01水果!$G$4:$G$1203,$AG276)),IF(INDEX(对接源_02物料!$G$4:$G$1203,$AG276-1200)=0,"",INDEX(对接源_02物料!$G$4:$G$1203,$AG276-1200))))</f>
      </c>
      <c r="E276" s="164">
        <f>IF($AG276="","",IF($AG276&lt;=1200,IF(INDEX(对接源_01水果!$H$4:$H$1203,$AG276)=0,"",INDEX(对接源_01水果!$H$4:$H$1203,$AG276)),IF(INDEX(对接源_02物料!$H$4:$H$1203,$AG276-1200)=0,"",INDEX(对接源_02物料!$H$4:$H$1203,$AG276-1200))))</f>
      </c>
      <c r="F276" s="61">
        <f>IF($AG276="","",IF($AG276&lt;=1200,IF(INDEX(对接源_01水果!$I$4:$I$1203,$AG276)=0,"",INDEX(对接源_01水果!$I$4:$I$1203,$AG276)),IF(INDEX(对接源_02物料!$I$4:$I$1203,$AG276-1200)=0,"",INDEX(对接源_02物料!$I$4:$I$1203,$AG276-1200))))</f>
      </c>
      <c r="G276" s="173">
        <f>IF($AG276="","",IF($AG276&lt;=1200,IF(INDEX(对接源_01水果!$J$4:$J$1203,$AG276)=0,"",INDEX(对接源_01水果!$J$4:$J$1203,$AG276)),IF(INDEX(对接源_02物料!$J$4:$J$1203,$AG276-1200)=0,"",INDEX(对接源_02物料!$J$4:$J$1203,$AG276-1200))))</f>
      </c>
      <c r="H276" s="173">
        <f>IF($AG276="","",IF($AG276&lt;=1200,IF(INDEX(对接源_01水果!$K$4:$K$1203,$AG276)=0,"",INDEX(对接源_01水果!$K$4:$K$1203,$AG276)),IF(INDEX(对接源_02物料!$K$4:$K$1203,$AG276-1200)=0,"",INDEX(对接源_02物料!$K$4:$K$1203,$AG276-1200))))</f>
      </c>
      <c r="I276" s="61">
        <f>IF($AG276="","",IF($AG276&lt;=1200,IF(INDEX(对接源_01水果!$L$4:$L$1203,$AG276)=0,"",INDEX(对接源_01水果!$L$4:$L$1203,$AG276)),IF(INDEX(对接源_02物料!$L$4:$L$1203,$AG276-1200)=0,"",INDEX(对接源_02物料!$L$4:$L$1203,$AG276-1200))))</f>
      </c>
      <c r="J276" s="64">
        <f>IF($AG276="","",IF($AG276&lt;=1200,IF(INDEX(对接源_01水果!$M$4:$M$1203,$AG276)=0,"",INDEX(对接源_01水果!$M$4:$M$1203,$AG276)),IF(INDEX(对接源_02物料!$M$4:$M$1203,$AG276-1200)=0,"",INDEX(对接源_02物料!$M$4:$M$1203,$AG276-1200))))</f>
      </c>
      <c r="AG276" s="2">
        <f>IFERROR(MATCH(65,_自动清单!$AE$4:$AE$2403,0),"")</f>
      </c>
    </row>
    <row r="277" ht="18" customHeight="1" s="127">
      <c r="A277" s="165">
        <f>IF($AG277="","",IF($AG277&lt;=1200,IF(INDEX(对接源_01水果!$B$4:$B$1203,$AG277)=0,"",INDEX(对接源_01水果!$B$4:$B$1203,$AG277)),IF(INDEX(对接源_02物料!$B$4:$B$1203,$AG277-1200)=0,"",INDEX(对接源_02物料!$B$4:$B$1203,$AG277-1200))))</f>
      </c>
      <c r="B277" s="104">
        <f>IF($AG277="","",IF($AG277&lt;=1200,IF(INDEX(对接源_01水果!$E$4:$E$1203,$AG277)=0,"",INDEX(对接源_01水果!$E$4:$E$1203,$AG277)),IF(INDEX(对接源_02物料!$E$4:$E$1203,$AG277-1200)=0,"",INDEX(对接源_02物料!$E$4:$E$1203,$AG277-1200))))</f>
      </c>
      <c r="C277" s="104">
        <f>IF($AG277="","",IF($AG277&lt;=1200,IF(INDEX(对接源_01水果!$F$4:$F$1203,$AG277)=0,"",INDEX(对接源_01水果!$F$4:$F$1203,$AG277)),IF(INDEX(对接源_02物料!$F$4:$F$1203,$AG277-1200)=0,"",INDEX(对接源_02物料!$F$4:$F$1203,$AG277-1200))))</f>
      </c>
      <c r="D277" s="104">
        <f>IF($AG277="","",IF($AG277&lt;=1200,IF(INDEX(对接源_01水果!$G$4:$G$1203,$AG277)=0,"",INDEX(对接源_01水果!$G$4:$G$1203,$AG277)),IF(INDEX(对接源_02物料!$G$4:$G$1203,$AG277-1200)=0,"",INDEX(对接源_02物料!$G$4:$G$1203,$AG277-1200))))</f>
      </c>
      <c r="E277" s="166">
        <f>IF($AG277="","",IF($AG277&lt;=1200,IF(INDEX(对接源_01水果!$H$4:$H$1203,$AG277)=0,"",INDEX(对接源_01水果!$H$4:$H$1203,$AG277)),IF(INDEX(对接源_02物料!$H$4:$H$1203,$AG277-1200)=0,"",INDEX(对接源_02物料!$H$4:$H$1203,$AG277-1200))))</f>
      </c>
      <c r="F277" s="104">
        <f>IF($AG277="","",IF($AG277&lt;=1200,IF(INDEX(对接源_01水果!$I$4:$I$1203,$AG277)=0,"",INDEX(对接源_01水果!$I$4:$I$1203,$AG277)),IF(INDEX(对接源_02物料!$I$4:$I$1203,$AG277-1200)=0,"",INDEX(对接源_02物料!$I$4:$I$1203,$AG277-1200))))</f>
      </c>
      <c r="G277" s="175">
        <f>IF($AG277="","",IF($AG277&lt;=1200,IF(INDEX(对接源_01水果!$J$4:$J$1203,$AG277)=0,"",INDEX(对接源_01水果!$J$4:$J$1203,$AG277)),IF(INDEX(对接源_02物料!$J$4:$J$1203,$AG277-1200)=0,"",INDEX(对接源_02物料!$J$4:$J$1203,$AG277-1200))))</f>
      </c>
      <c r="H277" s="175">
        <f>IF($AG277="","",IF($AG277&lt;=1200,IF(INDEX(对接源_01水果!$K$4:$K$1203,$AG277)=0,"",INDEX(对接源_01水果!$K$4:$K$1203,$AG277)),IF(INDEX(对接源_02物料!$K$4:$K$1203,$AG277-1200)=0,"",INDEX(对接源_02物料!$K$4:$K$1203,$AG277-1200))))</f>
      </c>
      <c r="I277" s="104">
        <f>IF($AG277="","",IF($AG277&lt;=1200,IF(INDEX(对接源_01水果!$L$4:$L$1203,$AG277)=0,"",INDEX(对接源_01水果!$L$4:$L$1203,$AG277)),IF(INDEX(对接源_02物料!$L$4:$L$1203,$AG277-1200)=0,"",INDEX(对接源_02物料!$L$4:$L$1203,$AG277-1200))))</f>
      </c>
      <c r="J277" s="107">
        <f>IF($AG277="","",IF($AG277&lt;=1200,IF(INDEX(对接源_01水果!$M$4:$M$1203,$AG277)=0,"",INDEX(对接源_01水果!$M$4:$M$1203,$AG277)),IF(INDEX(对接源_02物料!$M$4:$M$1203,$AG277-1200)=0,"",INDEX(对接源_02物料!$M$4:$M$1203,$AG277-1200))))</f>
      </c>
      <c r="AG277" s="2">
        <f>IFERROR(MATCH(66,_自动清单!$AE$4:$AE$2403,0),"")</f>
      </c>
    </row>
    <row r="278" ht="18" customHeight="1" s="127">
      <c r="A278" s="163">
        <f>IF($AG278="","",IF($AG278&lt;=1200,IF(INDEX(对接源_01水果!$B$4:$B$1203,$AG278)=0,"",INDEX(对接源_01水果!$B$4:$B$1203,$AG278)),IF(INDEX(对接源_02物料!$B$4:$B$1203,$AG278-1200)=0,"",INDEX(对接源_02物料!$B$4:$B$1203,$AG278-1200))))</f>
      </c>
      <c r="B278" s="61">
        <f>IF($AG278="","",IF($AG278&lt;=1200,IF(INDEX(对接源_01水果!$E$4:$E$1203,$AG278)=0,"",INDEX(对接源_01水果!$E$4:$E$1203,$AG278)),IF(INDEX(对接源_02物料!$E$4:$E$1203,$AG278-1200)=0,"",INDEX(对接源_02物料!$E$4:$E$1203,$AG278-1200))))</f>
      </c>
      <c r="C278" s="61">
        <f>IF($AG278="","",IF($AG278&lt;=1200,IF(INDEX(对接源_01水果!$F$4:$F$1203,$AG278)=0,"",INDEX(对接源_01水果!$F$4:$F$1203,$AG278)),IF(INDEX(对接源_02物料!$F$4:$F$1203,$AG278-1200)=0,"",INDEX(对接源_02物料!$F$4:$F$1203,$AG278-1200))))</f>
      </c>
      <c r="D278" s="61">
        <f>IF($AG278="","",IF($AG278&lt;=1200,IF(INDEX(对接源_01水果!$G$4:$G$1203,$AG278)=0,"",INDEX(对接源_01水果!$G$4:$G$1203,$AG278)),IF(INDEX(对接源_02物料!$G$4:$G$1203,$AG278-1200)=0,"",INDEX(对接源_02物料!$G$4:$G$1203,$AG278-1200))))</f>
      </c>
      <c r="E278" s="164">
        <f>IF($AG278="","",IF($AG278&lt;=1200,IF(INDEX(对接源_01水果!$H$4:$H$1203,$AG278)=0,"",INDEX(对接源_01水果!$H$4:$H$1203,$AG278)),IF(INDEX(对接源_02物料!$H$4:$H$1203,$AG278-1200)=0,"",INDEX(对接源_02物料!$H$4:$H$1203,$AG278-1200))))</f>
      </c>
      <c r="F278" s="61">
        <f>IF($AG278="","",IF($AG278&lt;=1200,IF(INDEX(对接源_01水果!$I$4:$I$1203,$AG278)=0,"",INDEX(对接源_01水果!$I$4:$I$1203,$AG278)),IF(INDEX(对接源_02物料!$I$4:$I$1203,$AG278-1200)=0,"",INDEX(对接源_02物料!$I$4:$I$1203,$AG278-1200))))</f>
      </c>
      <c r="G278" s="173">
        <f>IF($AG278="","",IF($AG278&lt;=1200,IF(INDEX(对接源_01水果!$J$4:$J$1203,$AG278)=0,"",INDEX(对接源_01水果!$J$4:$J$1203,$AG278)),IF(INDEX(对接源_02物料!$J$4:$J$1203,$AG278-1200)=0,"",INDEX(对接源_02物料!$J$4:$J$1203,$AG278-1200))))</f>
      </c>
      <c r="H278" s="173">
        <f>IF($AG278="","",IF($AG278&lt;=1200,IF(INDEX(对接源_01水果!$K$4:$K$1203,$AG278)=0,"",INDEX(对接源_01水果!$K$4:$K$1203,$AG278)),IF(INDEX(对接源_02物料!$K$4:$K$1203,$AG278-1200)=0,"",INDEX(对接源_02物料!$K$4:$K$1203,$AG278-1200))))</f>
      </c>
      <c r="I278" s="61">
        <f>IF($AG278="","",IF($AG278&lt;=1200,IF(INDEX(对接源_01水果!$L$4:$L$1203,$AG278)=0,"",INDEX(对接源_01水果!$L$4:$L$1203,$AG278)),IF(INDEX(对接源_02物料!$L$4:$L$1203,$AG278-1200)=0,"",INDEX(对接源_02物料!$L$4:$L$1203,$AG278-1200))))</f>
      </c>
      <c r="J278" s="64">
        <f>IF($AG278="","",IF($AG278&lt;=1200,IF(INDEX(对接源_01水果!$M$4:$M$1203,$AG278)=0,"",INDEX(对接源_01水果!$M$4:$M$1203,$AG278)),IF(INDEX(对接源_02物料!$M$4:$M$1203,$AG278-1200)=0,"",INDEX(对接源_02物料!$M$4:$M$1203,$AG278-1200))))</f>
      </c>
      <c r="AG278" s="2">
        <f>IFERROR(MATCH(67,_自动清单!$AE$4:$AE$2403,0),"")</f>
      </c>
    </row>
    <row r="279" ht="18" customHeight="1" s="127">
      <c r="A279" s="165">
        <f>IF($AG279="","",IF($AG279&lt;=1200,IF(INDEX(对接源_01水果!$B$4:$B$1203,$AG279)=0,"",INDEX(对接源_01水果!$B$4:$B$1203,$AG279)),IF(INDEX(对接源_02物料!$B$4:$B$1203,$AG279-1200)=0,"",INDEX(对接源_02物料!$B$4:$B$1203,$AG279-1200))))</f>
      </c>
      <c r="B279" s="104">
        <f>IF($AG279="","",IF($AG279&lt;=1200,IF(INDEX(对接源_01水果!$E$4:$E$1203,$AG279)=0,"",INDEX(对接源_01水果!$E$4:$E$1203,$AG279)),IF(INDEX(对接源_02物料!$E$4:$E$1203,$AG279-1200)=0,"",INDEX(对接源_02物料!$E$4:$E$1203,$AG279-1200))))</f>
      </c>
      <c r="C279" s="104">
        <f>IF($AG279="","",IF($AG279&lt;=1200,IF(INDEX(对接源_01水果!$F$4:$F$1203,$AG279)=0,"",INDEX(对接源_01水果!$F$4:$F$1203,$AG279)),IF(INDEX(对接源_02物料!$F$4:$F$1203,$AG279-1200)=0,"",INDEX(对接源_02物料!$F$4:$F$1203,$AG279-1200))))</f>
      </c>
      <c r="D279" s="104">
        <f>IF($AG279="","",IF($AG279&lt;=1200,IF(INDEX(对接源_01水果!$G$4:$G$1203,$AG279)=0,"",INDEX(对接源_01水果!$G$4:$G$1203,$AG279)),IF(INDEX(对接源_02物料!$G$4:$G$1203,$AG279-1200)=0,"",INDEX(对接源_02物料!$G$4:$G$1203,$AG279-1200))))</f>
      </c>
      <c r="E279" s="166">
        <f>IF($AG279="","",IF($AG279&lt;=1200,IF(INDEX(对接源_01水果!$H$4:$H$1203,$AG279)=0,"",INDEX(对接源_01水果!$H$4:$H$1203,$AG279)),IF(INDEX(对接源_02物料!$H$4:$H$1203,$AG279-1200)=0,"",INDEX(对接源_02物料!$H$4:$H$1203,$AG279-1200))))</f>
      </c>
      <c r="F279" s="104">
        <f>IF($AG279="","",IF($AG279&lt;=1200,IF(INDEX(对接源_01水果!$I$4:$I$1203,$AG279)=0,"",INDEX(对接源_01水果!$I$4:$I$1203,$AG279)),IF(INDEX(对接源_02物料!$I$4:$I$1203,$AG279-1200)=0,"",INDEX(对接源_02物料!$I$4:$I$1203,$AG279-1200))))</f>
      </c>
      <c r="G279" s="175">
        <f>IF($AG279="","",IF($AG279&lt;=1200,IF(INDEX(对接源_01水果!$J$4:$J$1203,$AG279)=0,"",INDEX(对接源_01水果!$J$4:$J$1203,$AG279)),IF(INDEX(对接源_02物料!$J$4:$J$1203,$AG279-1200)=0,"",INDEX(对接源_02物料!$J$4:$J$1203,$AG279-1200))))</f>
      </c>
      <c r="H279" s="175">
        <f>IF($AG279="","",IF($AG279&lt;=1200,IF(INDEX(对接源_01水果!$K$4:$K$1203,$AG279)=0,"",INDEX(对接源_01水果!$K$4:$K$1203,$AG279)),IF(INDEX(对接源_02物料!$K$4:$K$1203,$AG279-1200)=0,"",INDEX(对接源_02物料!$K$4:$K$1203,$AG279-1200))))</f>
      </c>
      <c r="I279" s="104">
        <f>IF($AG279="","",IF($AG279&lt;=1200,IF(INDEX(对接源_01水果!$L$4:$L$1203,$AG279)=0,"",INDEX(对接源_01水果!$L$4:$L$1203,$AG279)),IF(INDEX(对接源_02物料!$L$4:$L$1203,$AG279-1200)=0,"",INDEX(对接源_02物料!$L$4:$L$1203,$AG279-1200))))</f>
      </c>
      <c r="J279" s="107">
        <f>IF($AG279="","",IF($AG279&lt;=1200,IF(INDEX(对接源_01水果!$M$4:$M$1203,$AG279)=0,"",INDEX(对接源_01水果!$M$4:$M$1203,$AG279)),IF(INDEX(对接源_02物料!$M$4:$M$1203,$AG279-1200)=0,"",INDEX(对接源_02物料!$M$4:$M$1203,$AG279-1200))))</f>
      </c>
      <c r="AG279" s="2">
        <f>IFERROR(MATCH(68,_自动清单!$AE$4:$AE$2403,0),"")</f>
      </c>
    </row>
    <row r="280" ht="18" customHeight="1" s="127">
      <c r="A280" s="163">
        <f>IF($AG280="","",IF($AG280&lt;=1200,IF(INDEX(对接源_01水果!$B$4:$B$1203,$AG280)=0,"",INDEX(对接源_01水果!$B$4:$B$1203,$AG280)),IF(INDEX(对接源_02物料!$B$4:$B$1203,$AG280-1200)=0,"",INDEX(对接源_02物料!$B$4:$B$1203,$AG280-1200))))</f>
      </c>
      <c r="B280" s="61">
        <f>IF($AG280="","",IF($AG280&lt;=1200,IF(INDEX(对接源_01水果!$E$4:$E$1203,$AG280)=0,"",INDEX(对接源_01水果!$E$4:$E$1203,$AG280)),IF(INDEX(对接源_02物料!$E$4:$E$1203,$AG280-1200)=0,"",INDEX(对接源_02物料!$E$4:$E$1203,$AG280-1200))))</f>
      </c>
      <c r="C280" s="61">
        <f>IF($AG280="","",IF($AG280&lt;=1200,IF(INDEX(对接源_01水果!$F$4:$F$1203,$AG280)=0,"",INDEX(对接源_01水果!$F$4:$F$1203,$AG280)),IF(INDEX(对接源_02物料!$F$4:$F$1203,$AG280-1200)=0,"",INDEX(对接源_02物料!$F$4:$F$1203,$AG280-1200))))</f>
      </c>
      <c r="D280" s="61">
        <f>IF($AG280="","",IF($AG280&lt;=1200,IF(INDEX(对接源_01水果!$G$4:$G$1203,$AG280)=0,"",INDEX(对接源_01水果!$G$4:$G$1203,$AG280)),IF(INDEX(对接源_02物料!$G$4:$G$1203,$AG280-1200)=0,"",INDEX(对接源_02物料!$G$4:$G$1203,$AG280-1200))))</f>
      </c>
      <c r="E280" s="164">
        <f>IF($AG280="","",IF($AG280&lt;=1200,IF(INDEX(对接源_01水果!$H$4:$H$1203,$AG280)=0,"",INDEX(对接源_01水果!$H$4:$H$1203,$AG280)),IF(INDEX(对接源_02物料!$H$4:$H$1203,$AG280-1200)=0,"",INDEX(对接源_02物料!$H$4:$H$1203,$AG280-1200))))</f>
      </c>
      <c r="F280" s="61">
        <f>IF($AG280="","",IF($AG280&lt;=1200,IF(INDEX(对接源_01水果!$I$4:$I$1203,$AG280)=0,"",INDEX(对接源_01水果!$I$4:$I$1203,$AG280)),IF(INDEX(对接源_02物料!$I$4:$I$1203,$AG280-1200)=0,"",INDEX(对接源_02物料!$I$4:$I$1203,$AG280-1200))))</f>
      </c>
      <c r="G280" s="173">
        <f>IF($AG280="","",IF($AG280&lt;=1200,IF(INDEX(对接源_01水果!$J$4:$J$1203,$AG280)=0,"",INDEX(对接源_01水果!$J$4:$J$1203,$AG280)),IF(INDEX(对接源_02物料!$J$4:$J$1203,$AG280-1200)=0,"",INDEX(对接源_02物料!$J$4:$J$1203,$AG280-1200))))</f>
      </c>
      <c r="H280" s="173">
        <f>IF($AG280="","",IF($AG280&lt;=1200,IF(INDEX(对接源_01水果!$K$4:$K$1203,$AG280)=0,"",INDEX(对接源_01水果!$K$4:$K$1203,$AG280)),IF(INDEX(对接源_02物料!$K$4:$K$1203,$AG280-1200)=0,"",INDEX(对接源_02物料!$K$4:$K$1203,$AG280-1200))))</f>
      </c>
      <c r="I280" s="61">
        <f>IF($AG280="","",IF($AG280&lt;=1200,IF(INDEX(对接源_01水果!$L$4:$L$1203,$AG280)=0,"",INDEX(对接源_01水果!$L$4:$L$1203,$AG280)),IF(INDEX(对接源_02物料!$L$4:$L$1203,$AG280-1200)=0,"",INDEX(对接源_02物料!$L$4:$L$1203,$AG280-1200))))</f>
      </c>
      <c r="J280" s="64">
        <f>IF($AG280="","",IF($AG280&lt;=1200,IF(INDEX(对接源_01水果!$M$4:$M$1203,$AG280)=0,"",INDEX(对接源_01水果!$M$4:$M$1203,$AG280)),IF(INDEX(对接源_02物料!$M$4:$M$1203,$AG280-1200)=0,"",INDEX(对接源_02物料!$M$4:$M$1203,$AG280-1200))))</f>
      </c>
      <c r="AG280" s="2">
        <f>IFERROR(MATCH(69,_自动清单!$AE$4:$AE$2403,0),"")</f>
      </c>
    </row>
    <row r="281" ht="18" customHeight="1" s="127">
      <c r="A281" s="165">
        <f>IF($AG281="","",IF($AG281&lt;=1200,IF(INDEX(对接源_01水果!$B$4:$B$1203,$AG281)=0,"",INDEX(对接源_01水果!$B$4:$B$1203,$AG281)),IF(INDEX(对接源_02物料!$B$4:$B$1203,$AG281-1200)=0,"",INDEX(对接源_02物料!$B$4:$B$1203,$AG281-1200))))</f>
      </c>
      <c r="B281" s="104">
        <f>IF($AG281="","",IF($AG281&lt;=1200,IF(INDEX(对接源_01水果!$E$4:$E$1203,$AG281)=0,"",INDEX(对接源_01水果!$E$4:$E$1203,$AG281)),IF(INDEX(对接源_02物料!$E$4:$E$1203,$AG281-1200)=0,"",INDEX(对接源_02物料!$E$4:$E$1203,$AG281-1200))))</f>
      </c>
      <c r="C281" s="104">
        <f>IF($AG281="","",IF($AG281&lt;=1200,IF(INDEX(对接源_01水果!$F$4:$F$1203,$AG281)=0,"",INDEX(对接源_01水果!$F$4:$F$1203,$AG281)),IF(INDEX(对接源_02物料!$F$4:$F$1203,$AG281-1200)=0,"",INDEX(对接源_02物料!$F$4:$F$1203,$AG281-1200))))</f>
      </c>
      <c r="D281" s="104">
        <f>IF($AG281="","",IF($AG281&lt;=1200,IF(INDEX(对接源_01水果!$G$4:$G$1203,$AG281)=0,"",INDEX(对接源_01水果!$G$4:$G$1203,$AG281)),IF(INDEX(对接源_02物料!$G$4:$G$1203,$AG281-1200)=0,"",INDEX(对接源_02物料!$G$4:$G$1203,$AG281-1200))))</f>
      </c>
      <c r="E281" s="166">
        <f>IF($AG281="","",IF($AG281&lt;=1200,IF(INDEX(对接源_01水果!$H$4:$H$1203,$AG281)=0,"",INDEX(对接源_01水果!$H$4:$H$1203,$AG281)),IF(INDEX(对接源_02物料!$H$4:$H$1203,$AG281-1200)=0,"",INDEX(对接源_02物料!$H$4:$H$1203,$AG281-1200))))</f>
      </c>
      <c r="F281" s="104">
        <f>IF($AG281="","",IF($AG281&lt;=1200,IF(INDEX(对接源_01水果!$I$4:$I$1203,$AG281)=0,"",INDEX(对接源_01水果!$I$4:$I$1203,$AG281)),IF(INDEX(对接源_02物料!$I$4:$I$1203,$AG281-1200)=0,"",INDEX(对接源_02物料!$I$4:$I$1203,$AG281-1200))))</f>
      </c>
      <c r="G281" s="175">
        <f>IF($AG281="","",IF($AG281&lt;=1200,IF(INDEX(对接源_01水果!$J$4:$J$1203,$AG281)=0,"",INDEX(对接源_01水果!$J$4:$J$1203,$AG281)),IF(INDEX(对接源_02物料!$J$4:$J$1203,$AG281-1200)=0,"",INDEX(对接源_02物料!$J$4:$J$1203,$AG281-1200))))</f>
      </c>
      <c r="H281" s="175">
        <f>IF($AG281="","",IF($AG281&lt;=1200,IF(INDEX(对接源_01水果!$K$4:$K$1203,$AG281)=0,"",INDEX(对接源_01水果!$K$4:$K$1203,$AG281)),IF(INDEX(对接源_02物料!$K$4:$K$1203,$AG281-1200)=0,"",INDEX(对接源_02物料!$K$4:$K$1203,$AG281-1200))))</f>
      </c>
      <c r="I281" s="104">
        <f>IF($AG281="","",IF($AG281&lt;=1200,IF(INDEX(对接源_01水果!$L$4:$L$1203,$AG281)=0,"",INDEX(对接源_01水果!$L$4:$L$1203,$AG281)),IF(INDEX(对接源_02物料!$L$4:$L$1203,$AG281-1200)=0,"",INDEX(对接源_02物料!$L$4:$L$1203,$AG281-1200))))</f>
      </c>
      <c r="J281" s="107">
        <f>IF($AG281="","",IF($AG281&lt;=1200,IF(INDEX(对接源_01水果!$M$4:$M$1203,$AG281)=0,"",INDEX(对接源_01水果!$M$4:$M$1203,$AG281)),IF(INDEX(对接源_02物料!$M$4:$M$1203,$AG281-1200)=0,"",INDEX(对接源_02物料!$M$4:$M$1203,$AG281-1200))))</f>
      </c>
      <c r="AG281" s="2">
        <f>IFERROR(MATCH(70,_自动清单!$AE$4:$AE$2403,0),"")</f>
      </c>
    </row>
    <row r="282" ht="18" customHeight="1" s="127">
      <c r="A282" s="163">
        <f>IF($AG282="","",IF($AG282&lt;=1200,IF(INDEX(对接源_01水果!$B$4:$B$1203,$AG282)=0,"",INDEX(对接源_01水果!$B$4:$B$1203,$AG282)),IF(INDEX(对接源_02物料!$B$4:$B$1203,$AG282-1200)=0,"",INDEX(对接源_02物料!$B$4:$B$1203,$AG282-1200))))</f>
      </c>
      <c r="B282" s="61">
        <f>IF($AG282="","",IF($AG282&lt;=1200,IF(INDEX(对接源_01水果!$E$4:$E$1203,$AG282)=0,"",INDEX(对接源_01水果!$E$4:$E$1203,$AG282)),IF(INDEX(对接源_02物料!$E$4:$E$1203,$AG282-1200)=0,"",INDEX(对接源_02物料!$E$4:$E$1203,$AG282-1200))))</f>
      </c>
      <c r="C282" s="61">
        <f>IF($AG282="","",IF($AG282&lt;=1200,IF(INDEX(对接源_01水果!$F$4:$F$1203,$AG282)=0,"",INDEX(对接源_01水果!$F$4:$F$1203,$AG282)),IF(INDEX(对接源_02物料!$F$4:$F$1203,$AG282-1200)=0,"",INDEX(对接源_02物料!$F$4:$F$1203,$AG282-1200))))</f>
      </c>
      <c r="D282" s="61">
        <f>IF($AG282="","",IF($AG282&lt;=1200,IF(INDEX(对接源_01水果!$G$4:$G$1203,$AG282)=0,"",INDEX(对接源_01水果!$G$4:$G$1203,$AG282)),IF(INDEX(对接源_02物料!$G$4:$G$1203,$AG282-1200)=0,"",INDEX(对接源_02物料!$G$4:$G$1203,$AG282-1200))))</f>
      </c>
      <c r="E282" s="164">
        <f>IF($AG282="","",IF($AG282&lt;=1200,IF(INDEX(对接源_01水果!$H$4:$H$1203,$AG282)=0,"",INDEX(对接源_01水果!$H$4:$H$1203,$AG282)),IF(INDEX(对接源_02物料!$H$4:$H$1203,$AG282-1200)=0,"",INDEX(对接源_02物料!$H$4:$H$1203,$AG282-1200))))</f>
      </c>
      <c r="F282" s="61">
        <f>IF($AG282="","",IF($AG282&lt;=1200,IF(INDEX(对接源_01水果!$I$4:$I$1203,$AG282)=0,"",INDEX(对接源_01水果!$I$4:$I$1203,$AG282)),IF(INDEX(对接源_02物料!$I$4:$I$1203,$AG282-1200)=0,"",INDEX(对接源_02物料!$I$4:$I$1203,$AG282-1200))))</f>
      </c>
      <c r="G282" s="173">
        <f>IF($AG282="","",IF($AG282&lt;=1200,IF(INDEX(对接源_01水果!$J$4:$J$1203,$AG282)=0,"",INDEX(对接源_01水果!$J$4:$J$1203,$AG282)),IF(INDEX(对接源_02物料!$J$4:$J$1203,$AG282-1200)=0,"",INDEX(对接源_02物料!$J$4:$J$1203,$AG282-1200))))</f>
      </c>
      <c r="H282" s="173">
        <f>IF($AG282="","",IF($AG282&lt;=1200,IF(INDEX(对接源_01水果!$K$4:$K$1203,$AG282)=0,"",INDEX(对接源_01水果!$K$4:$K$1203,$AG282)),IF(INDEX(对接源_02物料!$K$4:$K$1203,$AG282-1200)=0,"",INDEX(对接源_02物料!$K$4:$K$1203,$AG282-1200))))</f>
      </c>
      <c r="I282" s="61">
        <f>IF($AG282="","",IF($AG282&lt;=1200,IF(INDEX(对接源_01水果!$L$4:$L$1203,$AG282)=0,"",INDEX(对接源_01水果!$L$4:$L$1203,$AG282)),IF(INDEX(对接源_02物料!$L$4:$L$1203,$AG282-1200)=0,"",INDEX(对接源_02物料!$L$4:$L$1203,$AG282-1200))))</f>
      </c>
      <c r="J282" s="64">
        <f>IF($AG282="","",IF($AG282&lt;=1200,IF(INDEX(对接源_01水果!$M$4:$M$1203,$AG282)=0,"",INDEX(对接源_01水果!$M$4:$M$1203,$AG282)),IF(INDEX(对接源_02物料!$M$4:$M$1203,$AG282-1200)=0,"",INDEX(对接源_02物料!$M$4:$M$1203,$AG282-1200))))</f>
      </c>
      <c r="AG282" s="2">
        <f>IFERROR(MATCH(71,_自动清单!$AE$4:$AE$2403,0),"")</f>
      </c>
    </row>
    <row r="283" ht="18" customHeight="1" s="127">
      <c r="A283" s="165">
        <f>IF($AG283="","",IF($AG283&lt;=1200,IF(INDEX(对接源_01水果!$B$4:$B$1203,$AG283)=0,"",INDEX(对接源_01水果!$B$4:$B$1203,$AG283)),IF(INDEX(对接源_02物料!$B$4:$B$1203,$AG283-1200)=0,"",INDEX(对接源_02物料!$B$4:$B$1203,$AG283-1200))))</f>
      </c>
      <c r="B283" s="104">
        <f>IF($AG283="","",IF($AG283&lt;=1200,IF(INDEX(对接源_01水果!$E$4:$E$1203,$AG283)=0,"",INDEX(对接源_01水果!$E$4:$E$1203,$AG283)),IF(INDEX(对接源_02物料!$E$4:$E$1203,$AG283-1200)=0,"",INDEX(对接源_02物料!$E$4:$E$1203,$AG283-1200))))</f>
      </c>
      <c r="C283" s="104">
        <f>IF($AG283="","",IF($AG283&lt;=1200,IF(INDEX(对接源_01水果!$F$4:$F$1203,$AG283)=0,"",INDEX(对接源_01水果!$F$4:$F$1203,$AG283)),IF(INDEX(对接源_02物料!$F$4:$F$1203,$AG283-1200)=0,"",INDEX(对接源_02物料!$F$4:$F$1203,$AG283-1200))))</f>
      </c>
      <c r="D283" s="104">
        <f>IF($AG283="","",IF($AG283&lt;=1200,IF(INDEX(对接源_01水果!$G$4:$G$1203,$AG283)=0,"",INDEX(对接源_01水果!$G$4:$G$1203,$AG283)),IF(INDEX(对接源_02物料!$G$4:$G$1203,$AG283-1200)=0,"",INDEX(对接源_02物料!$G$4:$G$1203,$AG283-1200))))</f>
      </c>
      <c r="E283" s="166">
        <f>IF($AG283="","",IF($AG283&lt;=1200,IF(INDEX(对接源_01水果!$H$4:$H$1203,$AG283)=0,"",INDEX(对接源_01水果!$H$4:$H$1203,$AG283)),IF(INDEX(对接源_02物料!$H$4:$H$1203,$AG283-1200)=0,"",INDEX(对接源_02物料!$H$4:$H$1203,$AG283-1200))))</f>
      </c>
      <c r="F283" s="104">
        <f>IF($AG283="","",IF($AG283&lt;=1200,IF(INDEX(对接源_01水果!$I$4:$I$1203,$AG283)=0,"",INDEX(对接源_01水果!$I$4:$I$1203,$AG283)),IF(INDEX(对接源_02物料!$I$4:$I$1203,$AG283-1200)=0,"",INDEX(对接源_02物料!$I$4:$I$1203,$AG283-1200))))</f>
      </c>
      <c r="G283" s="175">
        <f>IF($AG283="","",IF($AG283&lt;=1200,IF(INDEX(对接源_01水果!$J$4:$J$1203,$AG283)=0,"",INDEX(对接源_01水果!$J$4:$J$1203,$AG283)),IF(INDEX(对接源_02物料!$J$4:$J$1203,$AG283-1200)=0,"",INDEX(对接源_02物料!$J$4:$J$1203,$AG283-1200))))</f>
      </c>
      <c r="H283" s="175">
        <f>IF($AG283="","",IF($AG283&lt;=1200,IF(INDEX(对接源_01水果!$K$4:$K$1203,$AG283)=0,"",INDEX(对接源_01水果!$K$4:$K$1203,$AG283)),IF(INDEX(对接源_02物料!$K$4:$K$1203,$AG283-1200)=0,"",INDEX(对接源_02物料!$K$4:$K$1203,$AG283-1200))))</f>
      </c>
      <c r="I283" s="104">
        <f>IF($AG283="","",IF($AG283&lt;=1200,IF(INDEX(对接源_01水果!$L$4:$L$1203,$AG283)=0,"",INDEX(对接源_01水果!$L$4:$L$1203,$AG283)),IF(INDEX(对接源_02物料!$L$4:$L$1203,$AG283-1200)=0,"",INDEX(对接源_02物料!$L$4:$L$1203,$AG283-1200))))</f>
      </c>
      <c r="J283" s="107">
        <f>IF($AG283="","",IF($AG283&lt;=1200,IF(INDEX(对接源_01水果!$M$4:$M$1203,$AG283)=0,"",INDEX(对接源_01水果!$M$4:$M$1203,$AG283)),IF(INDEX(对接源_02物料!$M$4:$M$1203,$AG283-1200)=0,"",INDEX(对接源_02物料!$M$4:$M$1203,$AG283-1200))))</f>
      </c>
      <c r="AG283" s="2">
        <f>IFERROR(MATCH(72,_自动清单!$AE$4:$AE$2403,0),"")</f>
      </c>
    </row>
    <row r="284" ht="18" customHeight="1" s="127">
      <c r="A284" s="163">
        <f>IF($AG284="","",IF($AG284&lt;=1200,IF(INDEX(对接源_01水果!$B$4:$B$1203,$AG284)=0,"",INDEX(对接源_01水果!$B$4:$B$1203,$AG284)),IF(INDEX(对接源_02物料!$B$4:$B$1203,$AG284-1200)=0,"",INDEX(对接源_02物料!$B$4:$B$1203,$AG284-1200))))</f>
      </c>
      <c r="B284" s="61">
        <f>IF($AG284="","",IF($AG284&lt;=1200,IF(INDEX(对接源_01水果!$E$4:$E$1203,$AG284)=0,"",INDEX(对接源_01水果!$E$4:$E$1203,$AG284)),IF(INDEX(对接源_02物料!$E$4:$E$1203,$AG284-1200)=0,"",INDEX(对接源_02物料!$E$4:$E$1203,$AG284-1200))))</f>
      </c>
      <c r="C284" s="61">
        <f>IF($AG284="","",IF($AG284&lt;=1200,IF(INDEX(对接源_01水果!$F$4:$F$1203,$AG284)=0,"",INDEX(对接源_01水果!$F$4:$F$1203,$AG284)),IF(INDEX(对接源_02物料!$F$4:$F$1203,$AG284-1200)=0,"",INDEX(对接源_02物料!$F$4:$F$1203,$AG284-1200))))</f>
      </c>
      <c r="D284" s="61">
        <f>IF($AG284="","",IF($AG284&lt;=1200,IF(INDEX(对接源_01水果!$G$4:$G$1203,$AG284)=0,"",INDEX(对接源_01水果!$G$4:$G$1203,$AG284)),IF(INDEX(对接源_02物料!$G$4:$G$1203,$AG284-1200)=0,"",INDEX(对接源_02物料!$G$4:$G$1203,$AG284-1200))))</f>
      </c>
      <c r="E284" s="164">
        <f>IF($AG284="","",IF($AG284&lt;=1200,IF(INDEX(对接源_01水果!$H$4:$H$1203,$AG284)=0,"",INDEX(对接源_01水果!$H$4:$H$1203,$AG284)),IF(INDEX(对接源_02物料!$H$4:$H$1203,$AG284-1200)=0,"",INDEX(对接源_02物料!$H$4:$H$1203,$AG284-1200))))</f>
      </c>
      <c r="F284" s="61">
        <f>IF($AG284="","",IF($AG284&lt;=1200,IF(INDEX(对接源_01水果!$I$4:$I$1203,$AG284)=0,"",INDEX(对接源_01水果!$I$4:$I$1203,$AG284)),IF(INDEX(对接源_02物料!$I$4:$I$1203,$AG284-1200)=0,"",INDEX(对接源_02物料!$I$4:$I$1203,$AG284-1200))))</f>
      </c>
      <c r="G284" s="173">
        <f>IF($AG284="","",IF($AG284&lt;=1200,IF(INDEX(对接源_01水果!$J$4:$J$1203,$AG284)=0,"",INDEX(对接源_01水果!$J$4:$J$1203,$AG284)),IF(INDEX(对接源_02物料!$J$4:$J$1203,$AG284-1200)=0,"",INDEX(对接源_02物料!$J$4:$J$1203,$AG284-1200))))</f>
      </c>
      <c r="H284" s="173">
        <f>IF($AG284="","",IF($AG284&lt;=1200,IF(INDEX(对接源_01水果!$K$4:$K$1203,$AG284)=0,"",INDEX(对接源_01水果!$K$4:$K$1203,$AG284)),IF(INDEX(对接源_02物料!$K$4:$K$1203,$AG284-1200)=0,"",INDEX(对接源_02物料!$K$4:$K$1203,$AG284-1200))))</f>
      </c>
      <c r="I284" s="61">
        <f>IF($AG284="","",IF($AG284&lt;=1200,IF(INDEX(对接源_01水果!$L$4:$L$1203,$AG284)=0,"",INDEX(对接源_01水果!$L$4:$L$1203,$AG284)),IF(INDEX(对接源_02物料!$L$4:$L$1203,$AG284-1200)=0,"",INDEX(对接源_02物料!$L$4:$L$1203,$AG284-1200))))</f>
      </c>
      <c r="J284" s="64">
        <f>IF($AG284="","",IF($AG284&lt;=1200,IF(INDEX(对接源_01水果!$M$4:$M$1203,$AG284)=0,"",INDEX(对接源_01水果!$M$4:$M$1203,$AG284)),IF(INDEX(对接源_02物料!$M$4:$M$1203,$AG284-1200)=0,"",INDEX(对接源_02物料!$M$4:$M$1203,$AG284-1200))))</f>
      </c>
      <c r="AG284" s="2">
        <f>IFERROR(MATCH(73,_自动清单!$AE$4:$AE$2403,0),"")</f>
      </c>
    </row>
    <row r="285" ht="18" customHeight="1" s="127">
      <c r="A285" s="165">
        <f>IF($AG285="","",IF($AG285&lt;=1200,IF(INDEX(对接源_01水果!$B$4:$B$1203,$AG285)=0,"",INDEX(对接源_01水果!$B$4:$B$1203,$AG285)),IF(INDEX(对接源_02物料!$B$4:$B$1203,$AG285-1200)=0,"",INDEX(对接源_02物料!$B$4:$B$1203,$AG285-1200))))</f>
      </c>
      <c r="B285" s="104">
        <f>IF($AG285="","",IF($AG285&lt;=1200,IF(INDEX(对接源_01水果!$E$4:$E$1203,$AG285)=0,"",INDEX(对接源_01水果!$E$4:$E$1203,$AG285)),IF(INDEX(对接源_02物料!$E$4:$E$1203,$AG285-1200)=0,"",INDEX(对接源_02物料!$E$4:$E$1203,$AG285-1200))))</f>
      </c>
      <c r="C285" s="104">
        <f>IF($AG285="","",IF($AG285&lt;=1200,IF(INDEX(对接源_01水果!$F$4:$F$1203,$AG285)=0,"",INDEX(对接源_01水果!$F$4:$F$1203,$AG285)),IF(INDEX(对接源_02物料!$F$4:$F$1203,$AG285-1200)=0,"",INDEX(对接源_02物料!$F$4:$F$1203,$AG285-1200))))</f>
      </c>
      <c r="D285" s="104">
        <f>IF($AG285="","",IF($AG285&lt;=1200,IF(INDEX(对接源_01水果!$G$4:$G$1203,$AG285)=0,"",INDEX(对接源_01水果!$G$4:$G$1203,$AG285)),IF(INDEX(对接源_02物料!$G$4:$G$1203,$AG285-1200)=0,"",INDEX(对接源_02物料!$G$4:$G$1203,$AG285-1200))))</f>
      </c>
      <c r="E285" s="166">
        <f>IF($AG285="","",IF($AG285&lt;=1200,IF(INDEX(对接源_01水果!$H$4:$H$1203,$AG285)=0,"",INDEX(对接源_01水果!$H$4:$H$1203,$AG285)),IF(INDEX(对接源_02物料!$H$4:$H$1203,$AG285-1200)=0,"",INDEX(对接源_02物料!$H$4:$H$1203,$AG285-1200))))</f>
      </c>
      <c r="F285" s="104">
        <f>IF($AG285="","",IF($AG285&lt;=1200,IF(INDEX(对接源_01水果!$I$4:$I$1203,$AG285)=0,"",INDEX(对接源_01水果!$I$4:$I$1203,$AG285)),IF(INDEX(对接源_02物料!$I$4:$I$1203,$AG285-1200)=0,"",INDEX(对接源_02物料!$I$4:$I$1203,$AG285-1200))))</f>
      </c>
      <c r="G285" s="175">
        <f>IF($AG285="","",IF($AG285&lt;=1200,IF(INDEX(对接源_01水果!$J$4:$J$1203,$AG285)=0,"",INDEX(对接源_01水果!$J$4:$J$1203,$AG285)),IF(INDEX(对接源_02物料!$J$4:$J$1203,$AG285-1200)=0,"",INDEX(对接源_02物料!$J$4:$J$1203,$AG285-1200))))</f>
      </c>
      <c r="H285" s="175">
        <f>IF($AG285="","",IF($AG285&lt;=1200,IF(INDEX(对接源_01水果!$K$4:$K$1203,$AG285)=0,"",INDEX(对接源_01水果!$K$4:$K$1203,$AG285)),IF(INDEX(对接源_02物料!$K$4:$K$1203,$AG285-1200)=0,"",INDEX(对接源_02物料!$K$4:$K$1203,$AG285-1200))))</f>
      </c>
      <c r="I285" s="104">
        <f>IF($AG285="","",IF($AG285&lt;=1200,IF(INDEX(对接源_01水果!$L$4:$L$1203,$AG285)=0,"",INDEX(对接源_01水果!$L$4:$L$1203,$AG285)),IF(INDEX(对接源_02物料!$L$4:$L$1203,$AG285-1200)=0,"",INDEX(对接源_02物料!$L$4:$L$1203,$AG285-1200))))</f>
      </c>
      <c r="J285" s="107">
        <f>IF($AG285="","",IF($AG285&lt;=1200,IF(INDEX(对接源_01水果!$M$4:$M$1203,$AG285)=0,"",INDEX(对接源_01水果!$M$4:$M$1203,$AG285)),IF(INDEX(对接源_02物料!$M$4:$M$1203,$AG285-1200)=0,"",INDEX(对接源_02物料!$M$4:$M$1203,$AG285-1200))))</f>
      </c>
      <c r="AG285" s="2">
        <f>IFERROR(MATCH(74,_自动清单!$AE$4:$AE$2403,0),"")</f>
      </c>
    </row>
    <row r="286" ht="18" customHeight="1" s="127">
      <c r="A286" s="163">
        <f>IF($AG286="","",IF($AG286&lt;=1200,IF(INDEX(对接源_01水果!$B$4:$B$1203,$AG286)=0,"",INDEX(对接源_01水果!$B$4:$B$1203,$AG286)),IF(INDEX(对接源_02物料!$B$4:$B$1203,$AG286-1200)=0,"",INDEX(对接源_02物料!$B$4:$B$1203,$AG286-1200))))</f>
      </c>
      <c r="B286" s="61">
        <f>IF($AG286="","",IF($AG286&lt;=1200,IF(INDEX(对接源_01水果!$E$4:$E$1203,$AG286)=0,"",INDEX(对接源_01水果!$E$4:$E$1203,$AG286)),IF(INDEX(对接源_02物料!$E$4:$E$1203,$AG286-1200)=0,"",INDEX(对接源_02物料!$E$4:$E$1203,$AG286-1200))))</f>
      </c>
      <c r="C286" s="61">
        <f>IF($AG286="","",IF($AG286&lt;=1200,IF(INDEX(对接源_01水果!$F$4:$F$1203,$AG286)=0,"",INDEX(对接源_01水果!$F$4:$F$1203,$AG286)),IF(INDEX(对接源_02物料!$F$4:$F$1203,$AG286-1200)=0,"",INDEX(对接源_02物料!$F$4:$F$1203,$AG286-1200))))</f>
      </c>
      <c r="D286" s="61">
        <f>IF($AG286="","",IF($AG286&lt;=1200,IF(INDEX(对接源_01水果!$G$4:$G$1203,$AG286)=0,"",INDEX(对接源_01水果!$G$4:$G$1203,$AG286)),IF(INDEX(对接源_02物料!$G$4:$G$1203,$AG286-1200)=0,"",INDEX(对接源_02物料!$G$4:$G$1203,$AG286-1200))))</f>
      </c>
      <c r="E286" s="164">
        <f>IF($AG286="","",IF($AG286&lt;=1200,IF(INDEX(对接源_01水果!$H$4:$H$1203,$AG286)=0,"",INDEX(对接源_01水果!$H$4:$H$1203,$AG286)),IF(INDEX(对接源_02物料!$H$4:$H$1203,$AG286-1200)=0,"",INDEX(对接源_02物料!$H$4:$H$1203,$AG286-1200))))</f>
      </c>
      <c r="F286" s="61">
        <f>IF($AG286="","",IF($AG286&lt;=1200,IF(INDEX(对接源_01水果!$I$4:$I$1203,$AG286)=0,"",INDEX(对接源_01水果!$I$4:$I$1203,$AG286)),IF(INDEX(对接源_02物料!$I$4:$I$1203,$AG286-1200)=0,"",INDEX(对接源_02物料!$I$4:$I$1203,$AG286-1200))))</f>
      </c>
      <c r="G286" s="173">
        <f>IF($AG286="","",IF($AG286&lt;=1200,IF(INDEX(对接源_01水果!$J$4:$J$1203,$AG286)=0,"",INDEX(对接源_01水果!$J$4:$J$1203,$AG286)),IF(INDEX(对接源_02物料!$J$4:$J$1203,$AG286-1200)=0,"",INDEX(对接源_02物料!$J$4:$J$1203,$AG286-1200))))</f>
      </c>
      <c r="H286" s="173">
        <f>IF($AG286="","",IF($AG286&lt;=1200,IF(INDEX(对接源_01水果!$K$4:$K$1203,$AG286)=0,"",INDEX(对接源_01水果!$K$4:$K$1203,$AG286)),IF(INDEX(对接源_02物料!$K$4:$K$1203,$AG286-1200)=0,"",INDEX(对接源_02物料!$K$4:$K$1203,$AG286-1200))))</f>
      </c>
      <c r="I286" s="61">
        <f>IF($AG286="","",IF($AG286&lt;=1200,IF(INDEX(对接源_01水果!$L$4:$L$1203,$AG286)=0,"",INDEX(对接源_01水果!$L$4:$L$1203,$AG286)),IF(INDEX(对接源_02物料!$L$4:$L$1203,$AG286-1200)=0,"",INDEX(对接源_02物料!$L$4:$L$1203,$AG286-1200))))</f>
      </c>
      <c r="J286" s="64">
        <f>IF($AG286="","",IF($AG286&lt;=1200,IF(INDEX(对接源_01水果!$M$4:$M$1203,$AG286)=0,"",INDEX(对接源_01水果!$M$4:$M$1203,$AG286)),IF(INDEX(对接源_02物料!$M$4:$M$1203,$AG286-1200)=0,"",INDEX(对接源_02物料!$M$4:$M$1203,$AG286-1200))))</f>
      </c>
      <c r="AG286" s="2">
        <f>IFERROR(MATCH(75,_自动清单!$AE$4:$AE$2403,0),"")</f>
      </c>
    </row>
    <row r="287" ht="18" customHeight="1" s="127">
      <c r="A287" s="165">
        <f>IF($AG287="","",IF($AG287&lt;=1200,IF(INDEX(对接源_01水果!$B$4:$B$1203,$AG287)=0,"",INDEX(对接源_01水果!$B$4:$B$1203,$AG287)),IF(INDEX(对接源_02物料!$B$4:$B$1203,$AG287-1200)=0,"",INDEX(对接源_02物料!$B$4:$B$1203,$AG287-1200))))</f>
      </c>
      <c r="B287" s="104">
        <f>IF($AG287="","",IF($AG287&lt;=1200,IF(INDEX(对接源_01水果!$E$4:$E$1203,$AG287)=0,"",INDEX(对接源_01水果!$E$4:$E$1203,$AG287)),IF(INDEX(对接源_02物料!$E$4:$E$1203,$AG287-1200)=0,"",INDEX(对接源_02物料!$E$4:$E$1203,$AG287-1200))))</f>
      </c>
      <c r="C287" s="104">
        <f>IF($AG287="","",IF($AG287&lt;=1200,IF(INDEX(对接源_01水果!$F$4:$F$1203,$AG287)=0,"",INDEX(对接源_01水果!$F$4:$F$1203,$AG287)),IF(INDEX(对接源_02物料!$F$4:$F$1203,$AG287-1200)=0,"",INDEX(对接源_02物料!$F$4:$F$1203,$AG287-1200))))</f>
      </c>
      <c r="D287" s="104">
        <f>IF($AG287="","",IF($AG287&lt;=1200,IF(INDEX(对接源_01水果!$G$4:$G$1203,$AG287)=0,"",INDEX(对接源_01水果!$G$4:$G$1203,$AG287)),IF(INDEX(对接源_02物料!$G$4:$G$1203,$AG287-1200)=0,"",INDEX(对接源_02物料!$G$4:$G$1203,$AG287-1200))))</f>
      </c>
      <c r="E287" s="166">
        <f>IF($AG287="","",IF($AG287&lt;=1200,IF(INDEX(对接源_01水果!$H$4:$H$1203,$AG287)=0,"",INDEX(对接源_01水果!$H$4:$H$1203,$AG287)),IF(INDEX(对接源_02物料!$H$4:$H$1203,$AG287-1200)=0,"",INDEX(对接源_02物料!$H$4:$H$1203,$AG287-1200))))</f>
      </c>
      <c r="F287" s="104">
        <f>IF($AG287="","",IF($AG287&lt;=1200,IF(INDEX(对接源_01水果!$I$4:$I$1203,$AG287)=0,"",INDEX(对接源_01水果!$I$4:$I$1203,$AG287)),IF(INDEX(对接源_02物料!$I$4:$I$1203,$AG287-1200)=0,"",INDEX(对接源_02物料!$I$4:$I$1203,$AG287-1200))))</f>
      </c>
      <c r="G287" s="175">
        <f>IF($AG287="","",IF($AG287&lt;=1200,IF(INDEX(对接源_01水果!$J$4:$J$1203,$AG287)=0,"",INDEX(对接源_01水果!$J$4:$J$1203,$AG287)),IF(INDEX(对接源_02物料!$J$4:$J$1203,$AG287-1200)=0,"",INDEX(对接源_02物料!$J$4:$J$1203,$AG287-1200))))</f>
      </c>
      <c r="H287" s="175">
        <f>IF($AG287="","",IF($AG287&lt;=1200,IF(INDEX(对接源_01水果!$K$4:$K$1203,$AG287)=0,"",INDEX(对接源_01水果!$K$4:$K$1203,$AG287)),IF(INDEX(对接源_02物料!$K$4:$K$1203,$AG287-1200)=0,"",INDEX(对接源_02物料!$K$4:$K$1203,$AG287-1200))))</f>
      </c>
      <c r="I287" s="104">
        <f>IF($AG287="","",IF($AG287&lt;=1200,IF(INDEX(对接源_01水果!$L$4:$L$1203,$AG287)=0,"",INDEX(对接源_01水果!$L$4:$L$1203,$AG287)),IF(INDEX(对接源_02物料!$L$4:$L$1203,$AG287-1200)=0,"",INDEX(对接源_02物料!$L$4:$L$1203,$AG287-1200))))</f>
      </c>
      <c r="J287" s="107">
        <f>IF($AG287="","",IF($AG287&lt;=1200,IF(INDEX(对接源_01水果!$M$4:$M$1203,$AG287)=0,"",INDEX(对接源_01水果!$M$4:$M$1203,$AG287)),IF(INDEX(对接源_02物料!$M$4:$M$1203,$AG287-1200)=0,"",INDEX(对接源_02物料!$M$4:$M$1203,$AG287-1200))))</f>
      </c>
      <c r="AG287" s="2">
        <f>IFERROR(MATCH(76,_自动清单!$AE$4:$AE$2403,0),"")</f>
      </c>
    </row>
    <row r="288" ht="18" customHeight="1" s="127">
      <c r="A288" s="163">
        <f>IF($AG288="","",IF($AG288&lt;=1200,IF(INDEX(对接源_01水果!$B$4:$B$1203,$AG288)=0,"",INDEX(对接源_01水果!$B$4:$B$1203,$AG288)),IF(INDEX(对接源_02物料!$B$4:$B$1203,$AG288-1200)=0,"",INDEX(对接源_02物料!$B$4:$B$1203,$AG288-1200))))</f>
      </c>
      <c r="B288" s="61">
        <f>IF($AG288="","",IF($AG288&lt;=1200,IF(INDEX(对接源_01水果!$E$4:$E$1203,$AG288)=0,"",INDEX(对接源_01水果!$E$4:$E$1203,$AG288)),IF(INDEX(对接源_02物料!$E$4:$E$1203,$AG288-1200)=0,"",INDEX(对接源_02物料!$E$4:$E$1203,$AG288-1200))))</f>
      </c>
      <c r="C288" s="61">
        <f>IF($AG288="","",IF($AG288&lt;=1200,IF(INDEX(对接源_01水果!$F$4:$F$1203,$AG288)=0,"",INDEX(对接源_01水果!$F$4:$F$1203,$AG288)),IF(INDEX(对接源_02物料!$F$4:$F$1203,$AG288-1200)=0,"",INDEX(对接源_02物料!$F$4:$F$1203,$AG288-1200))))</f>
      </c>
      <c r="D288" s="61">
        <f>IF($AG288="","",IF($AG288&lt;=1200,IF(INDEX(对接源_01水果!$G$4:$G$1203,$AG288)=0,"",INDEX(对接源_01水果!$G$4:$G$1203,$AG288)),IF(INDEX(对接源_02物料!$G$4:$G$1203,$AG288-1200)=0,"",INDEX(对接源_02物料!$G$4:$G$1203,$AG288-1200))))</f>
      </c>
      <c r="E288" s="164">
        <f>IF($AG288="","",IF($AG288&lt;=1200,IF(INDEX(对接源_01水果!$H$4:$H$1203,$AG288)=0,"",INDEX(对接源_01水果!$H$4:$H$1203,$AG288)),IF(INDEX(对接源_02物料!$H$4:$H$1203,$AG288-1200)=0,"",INDEX(对接源_02物料!$H$4:$H$1203,$AG288-1200))))</f>
      </c>
      <c r="F288" s="61">
        <f>IF($AG288="","",IF($AG288&lt;=1200,IF(INDEX(对接源_01水果!$I$4:$I$1203,$AG288)=0,"",INDEX(对接源_01水果!$I$4:$I$1203,$AG288)),IF(INDEX(对接源_02物料!$I$4:$I$1203,$AG288-1200)=0,"",INDEX(对接源_02物料!$I$4:$I$1203,$AG288-1200))))</f>
      </c>
      <c r="G288" s="173">
        <f>IF($AG288="","",IF($AG288&lt;=1200,IF(INDEX(对接源_01水果!$J$4:$J$1203,$AG288)=0,"",INDEX(对接源_01水果!$J$4:$J$1203,$AG288)),IF(INDEX(对接源_02物料!$J$4:$J$1203,$AG288-1200)=0,"",INDEX(对接源_02物料!$J$4:$J$1203,$AG288-1200))))</f>
      </c>
      <c r="H288" s="173">
        <f>IF($AG288="","",IF($AG288&lt;=1200,IF(INDEX(对接源_01水果!$K$4:$K$1203,$AG288)=0,"",INDEX(对接源_01水果!$K$4:$K$1203,$AG288)),IF(INDEX(对接源_02物料!$K$4:$K$1203,$AG288-1200)=0,"",INDEX(对接源_02物料!$K$4:$K$1203,$AG288-1200))))</f>
      </c>
      <c r="I288" s="61">
        <f>IF($AG288="","",IF($AG288&lt;=1200,IF(INDEX(对接源_01水果!$L$4:$L$1203,$AG288)=0,"",INDEX(对接源_01水果!$L$4:$L$1203,$AG288)),IF(INDEX(对接源_02物料!$L$4:$L$1203,$AG288-1200)=0,"",INDEX(对接源_02物料!$L$4:$L$1203,$AG288-1200))))</f>
      </c>
      <c r="J288" s="64">
        <f>IF($AG288="","",IF($AG288&lt;=1200,IF(INDEX(对接源_01水果!$M$4:$M$1203,$AG288)=0,"",INDEX(对接源_01水果!$M$4:$M$1203,$AG288)),IF(INDEX(对接源_02物料!$M$4:$M$1203,$AG288-1200)=0,"",INDEX(对接源_02物料!$M$4:$M$1203,$AG288-1200))))</f>
      </c>
      <c r="AG288" s="2">
        <f>IFERROR(MATCH(77,_自动清单!$AE$4:$AE$2403,0),"")</f>
      </c>
    </row>
    <row r="289" ht="18" customHeight="1" s="127">
      <c r="A289" s="165">
        <f>IF($AG289="","",IF($AG289&lt;=1200,IF(INDEX(对接源_01水果!$B$4:$B$1203,$AG289)=0,"",INDEX(对接源_01水果!$B$4:$B$1203,$AG289)),IF(INDEX(对接源_02物料!$B$4:$B$1203,$AG289-1200)=0,"",INDEX(对接源_02物料!$B$4:$B$1203,$AG289-1200))))</f>
      </c>
      <c r="B289" s="104">
        <f>IF($AG289="","",IF($AG289&lt;=1200,IF(INDEX(对接源_01水果!$E$4:$E$1203,$AG289)=0,"",INDEX(对接源_01水果!$E$4:$E$1203,$AG289)),IF(INDEX(对接源_02物料!$E$4:$E$1203,$AG289-1200)=0,"",INDEX(对接源_02物料!$E$4:$E$1203,$AG289-1200))))</f>
      </c>
      <c r="C289" s="104">
        <f>IF($AG289="","",IF($AG289&lt;=1200,IF(INDEX(对接源_01水果!$F$4:$F$1203,$AG289)=0,"",INDEX(对接源_01水果!$F$4:$F$1203,$AG289)),IF(INDEX(对接源_02物料!$F$4:$F$1203,$AG289-1200)=0,"",INDEX(对接源_02物料!$F$4:$F$1203,$AG289-1200))))</f>
      </c>
      <c r="D289" s="104">
        <f>IF($AG289="","",IF($AG289&lt;=1200,IF(INDEX(对接源_01水果!$G$4:$G$1203,$AG289)=0,"",INDEX(对接源_01水果!$G$4:$G$1203,$AG289)),IF(INDEX(对接源_02物料!$G$4:$G$1203,$AG289-1200)=0,"",INDEX(对接源_02物料!$G$4:$G$1203,$AG289-1200))))</f>
      </c>
      <c r="E289" s="166">
        <f>IF($AG289="","",IF($AG289&lt;=1200,IF(INDEX(对接源_01水果!$H$4:$H$1203,$AG289)=0,"",INDEX(对接源_01水果!$H$4:$H$1203,$AG289)),IF(INDEX(对接源_02物料!$H$4:$H$1203,$AG289-1200)=0,"",INDEX(对接源_02物料!$H$4:$H$1203,$AG289-1200))))</f>
      </c>
      <c r="F289" s="104">
        <f>IF($AG289="","",IF($AG289&lt;=1200,IF(INDEX(对接源_01水果!$I$4:$I$1203,$AG289)=0,"",INDEX(对接源_01水果!$I$4:$I$1203,$AG289)),IF(INDEX(对接源_02物料!$I$4:$I$1203,$AG289-1200)=0,"",INDEX(对接源_02物料!$I$4:$I$1203,$AG289-1200))))</f>
      </c>
      <c r="G289" s="175">
        <f>IF($AG289="","",IF($AG289&lt;=1200,IF(INDEX(对接源_01水果!$J$4:$J$1203,$AG289)=0,"",INDEX(对接源_01水果!$J$4:$J$1203,$AG289)),IF(INDEX(对接源_02物料!$J$4:$J$1203,$AG289-1200)=0,"",INDEX(对接源_02物料!$J$4:$J$1203,$AG289-1200))))</f>
      </c>
      <c r="H289" s="175">
        <f>IF($AG289="","",IF($AG289&lt;=1200,IF(INDEX(对接源_01水果!$K$4:$K$1203,$AG289)=0,"",INDEX(对接源_01水果!$K$4:$K$1203,$AG289)),IF(INDEX(对接源_02物料!$K$4:$K$1203,$AG289-1200)=0,"",INDEX(对接源_02物料!$K$4:$K$1203,$AG289-1200))))</f>
      </c>
      <c r="I289" s="104">
        <f>IF($AG289="","",IF($AG289&lt;=1200,IF(INDEX(对接源_01水果!$L$4:$L$1203,$AG289)=0,"",INDEX(对接源_01水果!$L$4:$L$1203,$AG289)),IF(INDEX(对接源_02物料!$L$4:$L$1203,$AG289-1200)=0,"",INDEX(对接源_02物料!$L$4:$L$1203,$AG289-1200))))</f>
      </c>
      <c r="J289" s="107">
        <f>IF($AG289="","",IF($AG289&lt;=1200,IF(INDEX(对接源_01水果!$M$4:$M$1203,$AG289)=0,"",INDEX(对接源_01水果!$M$4:$M$1203,$AG289)),IF(INDEX(对接源_02物料!$M$4:$M$1203,$AG289-1200)=0,"",INDEX(对接源_02物料!$M$4:$M$1203,$AG289-1200))))</f>
      </c>
      <c r="AG289" s="2">
        <f>IFERROR(MATCH(78,_自动清单!$AE$4:$AE$2403,0),"")</f>
      </c>
    </row>
    <row r="290" ht="18" customHeight="1" s="127">
      <c r="A290" s="163">
        <f>IF($AG290="","",IF($AG290&lt;=1200,IF(INDEX(对接源_01水果!$B$4:$B$1203,$AG290)=0,"",INDEX(对接源_01水果!$B$4:$B$1203,$AG290)),IF(INDEX(对接源_02物料!$B$4:$B$1203,$AG290-1200)=0,"",INDEX(对接源_02物料!$B$4:$B$1203,$AG290-1200))))</f>
      </c>
      <c r="B290" s="61">
        <f>IF($AG290="","",IF($AG290&lt;=1200,IF(INDEX(对接源_01水果!$E$4:$E$1203,$AG290)=0,"",INDEX(对接源_01水果!$E$4:$E$1203,$AG290)),IF(INDEX(对接源_02物料!$E$4:$E$1203,$AG290-1200)=0,"",INDEX(对接源_02物料!$E$4:$E$1203,$AG290-1200))))</f>
      </c>
      <c r="C290" s="61">
        <f>IF($AG290="","",IF($AG290&lt;=1200,IF(INDEX(对接源_01水果!$F$4:$F$1203,$AG290)=0,"",INDEX(对接源_01水果!$F$4:$F$1203,$AG290)),IF(INDEX(对接源_02物料!$F$4:$F$1203,$AG290-1200)=0,"",INDEX(对接源_02物料!$F$4:$F$1203,$AG290-1200))))</f>
      </c>
      <c r="D290" s="61">
        <f>IF($AG290="","",IF($AG290&lt;=1200,IF(INDEX(对接源_01水果!$G$4:$G$1203,$AG290)=0,"",INDEX(对接源_01水果!$G$4:$G$1203,$AG290)),IF(INDEX(对接源_02物料!$G$4:$G$1203,$AG290-1200)=0,"",INDEX(对接源_02物料!$G$4:$G$1203,$AG290-1200))))</f>
      </c>
      <c r="E290" s="164">
        <f>IF($AG290="","",IF($AG290&lt;=1200,IF(INDEX(对接源_01水果!$H$4:$H$1203,$AG290)=0,"",INDEX(对接源_01水果!$H$4:$H$1203,$AG290)),IF(INDEX(对接源_02物料!$H$4:$H$1203,$AG290-1200)=0,"",INDEX(对接源_02物料!$H$4:$H$1203,$AG290-1200))))</f>
      </c>
      <c r="F290" s="61">
        <f>IF($AG290="","",IF($AG290&lt;=1200,IF(INDEX(对接源_01水果!$I$4:$I$1203,$AG290)=0,"",INDEX(对接源_01水果!$I$4:$I$1203,$AG290)),IF(INDEX(对接源_02物料!$I$4:$I$1203,$AG290-1200)=0,"",INDEX(对接源_02物料!$I$4:$I$1203,$AG290-1200))))</f>
      </c>
      <c r="G290" s="173">
        <f>IF($AG290="","",IF($AG290&lt;=1200,IF(INDEX(对接源_01水果!$J$4:$J$1203,$AG290)=0,"",INDEX(对接源_01水果!$J$4:$J$1203,$AG290)),IF(INDEX(对接源_02物料!$J$4:$J$1203,$AG290-1200)=0,"",INDEX(对接源_02物料!$J$4:$J$1203,$AG290-1200))))</f>
      </c>
      <c r="H290" s="173">
        <f>IF($AG290="","",IF($AG290&lt;=1200,IF(INDEX(对接源_01水果!$K$4:$K$1203,$AG290)=0,"",INDEX(对接源_01水果!$K$4:$K$1203,$AG290)),IF(INDEX(对接源_02物料!$K$4:$K$1203,$AG290-1200)=0,"",INDEX(对接源_02物料!$K$4:$K$1203,$AG290-1200))))</f>
      </c>
      <c r="I290" s="61">
        <f>IF($AG290="","",IF($AG290&lt;=1200,IF(INDEX(对接源_01水果!$L$4:$L$1203,$AG290)=0,"",INDEX(对接源_01水果!$L$4:$L$1203,$AG290)),IF(INDEX(对接源_02物料!$L$4:$L$1203,$AG290-1200)=0,"",INDEX(对接源_02物料!$L$4:$L$1203,$AG290-1200))))</f>
      </c>
      <c r="J290" s="64">
        <f>IF($AG290="","",IF($AG290&lt;=1200,IF(INDEX(对接源_01水果!$M$4:$M$1203,$AG290)=0,"",INDEX(对接源_01水果!$M$4:$M$1203,$AG290)),IF(INDEX(对接源_02物料!$M$4:$M$1203,$AG290-1200)=0,"",INDEX(对接源_02物料!$M$4:$M$1203,$AG290-1200))))</f>
      </c>
      <c r="AG290" s="2">
        <f>IFERROR(MATCH(79,_自动清单!$AE$4:$AE$2403,0),"")</f>
      </c>
    </row>
    <row r="291" ht="18" customHeight="1" s="127">
      <c r="A291" s="165">
        <f>IF($AG291="","",IF($AG291&lt;=1200,IF(INDEX(对接源_01水果!$B$4:$B$1203,$AG291)=0,"",INDEX(对接源_01水果!$B$4:$B$1203,$AG291)),IF(INDEX(对接源_02物料!$B$4:$B$1203,$AG291-1200)=0,"",INDEX(对接源_02物料!$B$4:$B$1203,$AG291-1200))))</f>
      </c>
      <c r="B291" s="104">
        <f>IF($AG291="","",IF($AG291&lt;=1200,IF(INDEX(对接源_01水果!$E$4:$E$1203,$AG291)=0,"",INDEX(对接源_01水果!$E$4:$E$1203,$AG291)),IF(INDEX(对接源_02物料!$E$4:$E$1203,$AG291-1200)=0,"",INDEX(对接源_02物料!$E$4:$E$1203,$AG291-1200))))</f>
      </c>
      <c r="C291" s="104">
        <f>IF($AG291="","",IF($AG291&lt;=1200,IF(INDEX(对接源_01水果!$F$4:$F$1203,$AG291)=0,"",INDEX(对接源_01水果!$F$4:$F$1203,$AG291)),IF(INDEX(对接源_02物料!$F$4:$F$1203,$AG291-1200)=0,"",INDEX(对接源_02物料!$F$4:$F$1203,$AG291-1200))))</f>
      </c>
      <c r="D291" s="104">
        <f>IF($AG291="","",IF($AG291&lt;=1200,IF(INDEX(对接源_01水果!$G$4:$G$1203,$AG291)=0,"",INDEX(对接源_01水果!$G$4:$G$1203,$AG291)),IF(INDEX(对接源_02物料!$G$4:$G$1203,$AG291-1200)=0,"",INDEX(对接源_02物料!$G$4:$G$1203,$AG291-1200))))</f>
      </c>
      <c r="E291" s="166">
        <f>IF($AG291="","",IF($AG291&lt;=1200,IF(INDEX(对接源_01水果!$H$4:$H$1203,$AG291)=0,"",INDEX(对接源_01水果!$H$4:$H$1203,$AG291)),IF(INDEX(对接源_02物料!$H$4:$H$1203,$AG291-1200)=0,"",INDEX(对接源_02物料!$H$4:$H$1203,$AG291-1200))))</f>
      </c>
      <c r="F291" s="104">
        <f>IF($AG291="","",IF($AG291&lt;=1200,IF(INDEX(对接源_01水果!$I$4:$I$1203,$AG291)=0,"",INDEX(对接源_01水果!$I$4:$I$1203,$AG291)),IF(INDEX(对接源_02物料!$I$4:$I$1203,$AG291-1200)=0,"",INDEX(对接源_02物料!$I$4:$I$1203,$AG291-1200))))</f>
      </c>
      <c r="G291" s="175">
        <f>IF($AG291="","",IF($AG291&lt;=1200,IF(INDEX(对接源_01水果!$J$4:$J$1203,$AG291)=0,"",INDEX(对接源_01水果!$J$4:$J$1203,$AG291)),IF(INDEX(对接源_02物料!$J$4:$J$1203,$AG291-1200)=0,"",INDEX(对接源_02物料!$J$4:$J$1203,$AG291-1200))))</f>
      </c>
      <c r="H291" s="175">
        <f>IF($AG291="","",IF($AG291&lt;=1200,IF(INDEX(对接源_01水果!$K$4:$K$1203,$AG291)=0,"",INDEX(对接源_01水果!$K$4:$K$1203,$AG291)),IF(INDEX(对接源_02物料!$K$4:$K$1203,$AG291-1200)=0,"",INDEX(对接源_02物料!$K$4:$K$1203,$AG291-1200))))</f>
      </c>
      <c r="I291" s="104">
        <f>IF($AG291="","",IF($AG291&lt;=1200,IF(INDEX(对接源_01水果!$L$4:$L$1203,$AG291)=0,"",INDEX(对接源_01水果!$L$4:$L$1203,$AG291)),IF(INDEX(对接源_02物料!$L$4:$L$1203,$AG291-1200)=0,"",INDEX(对接源_02物料!$L$4:$L$1203,$AG291-1200))))</f>
      </c>
      <c r="J291" s="107">
        <f>IF($AG291="","",IF($AG291&lt;=1200,IF(INDEX(对接源_01水果!$M$4:$M$1203,$AG291)=0,"",INDEX(对接源_01水果!$M$4:$M$1203,$AG291)),IF(INDEX(对接源_02物料!$M$4:$M$1203,$AG291-1200)=0,"",INDEX(对接源_02物料!$M$4:$M$1203,$AG291-1200))))</f>
      </c>
      <c r="AG291" s="2">
        <f>IFERROR(MATCH(80,_自动清单!$AE$4:$AE$2403,0),"")</f>
      </c>
    </row>
    <row r="292" ht="18" customHeight="1" s="127">
      <c r="A292" s="163">
        <f>IF($AG292="","",IF($AG292&lt;=1200,IF(INDEX(对接源_01水果!$B$4:$B$1203,$AG292)=0,"",INDEX(对接源_01水果!$B$4:$B$1203,$AG292)),IF(INDEX(对接源_02物料!$B$4:$B$1203,$AG292-1200)=0,"",INDEX(对接源_02物料!$B$4:$B$1203,$AG292-1200))))</f>
      </c>
      <c r="B292" s="61">
        <f>IF($AG292="","",IF($AG292&lt;=1200,IF(INDEX(对接源_01水果!$E$4:$E$1203,$AG292)=0,"",INDEX(对接源_01水果!$E$4:$E$1203,$AG292)),IF(INDEX(对接源_02物料!$E$4:$E$1203,$AG292-1200)=0,"",INDEX(对接源_02物料!$E$4:$E$1203,$AG292-1200))))</f>
      </c>
      <c r="C292" s="61">
        <f>IF($AG292="","",IF($AG292&lt;=1200,IF(INDEX(对接源_01水果!$F$4:$F$1203,$AG292)=0,"",INDEX(对接源_01水果!$F$4:$F$1203,$AG292)),IF(INDEX(对接源_02物料!$F$4:$F$1203,$AG292-1200)=0,"",INDEX(对接源_02物料!$F$4:$F$1203,$AG292-1200))))</f>
      </c>
      <c r="D292" s="61">
        <f>IF($AG292="","",IF($AG292&lt;=1200,IF(INDEX(对接源_01水果!$G$4:$G$1203,$AG292)=0,"",INDEX(对接源_01水果!$G$4:$G$1203,$AG292)),IF(INDEX(对接源_02物料!$G$4:$G$1203,$AG292-1200)=0,"",INDEX(对接源_02物料!$G$4:$G$1203,$AG292-1200))))</f>
      </c>
      <c r="E292" s="164">
        <f>IF($AG292="","",IF($AG292&lt;=1200,IF(INDEX(对接源_01水果!$H$4:$H$1203,$AG292)=0,"",INDEX(对接源_01水果!$H$4:$H$1203,$AG292)),IF(INDEX(对接源_02物料!$H$4:$H$1203,$AG292-1200)=0,"",INDEX(对接源_02物料!$H$4:$H$1203,$AG292-1200))))</f>
      </c>
      <c r="F292" s="61">
        <f>IF($AG292="","",IF($AG292&lt;=1200,IF(INDEX(对接源_01水果!$I$4:$I$1203,$AG292)=0,"",INDEX(对接源_01水果!$I$4:$I$1203,$AG292)),IF(INDEX(对接源_02物料!$I$4:$I$1203,$AG292-1200)=0,"",INDEX(对接源_02物料!$I$4:$I$1203,$AG292-1200))))</f>
      </c>
      <c r="G292" s="173">
        <f>IF($AG292="","",IF($AG292&lt;=1200,IF(INDEX(对接源_01水果!$J$4:$J$1203,$AG292)=0,"",INDEX(对接源_01水果!$J$4:$J$1203,$AG292)),IF(INDEX(对接源_02物料!$J$4:$J$1203,$AG292-1200)=0,"",INDEX(对接源_02物料!$J$4:$J$1203,$AG292-1200))))</f>
      </c>
      <c r="H292" s="173">
        <f>IF($AG292="","",IF($AG292&lt;=1200,IF(INDEX(对接源_01水果!$K$4:$K$1203,$AG292)=0,"",INDEX(对接源_01水果!$K$4:$K$1203,$AG292)),IF(INDEX(对接源_02物料!$K$4:$K$1203,$AG292-1200)=0,"",INDEX(对接源_02物料!$K$4:$K$1203,$AG292-1200))))</f>
      </c>
      <c r="I292" s="61">
        <f>IF($AG292="","",IF($AG292&lt;=1200,IF(INDEX(对接源_01水果!$L$4:$L$1203,$AG292)=0,"",INDEX(对接源_01水果!$L$4:$L$1203,$AG292)),IF(INDEX(对接源_02物料!$L$4:$L$1203,$AG292-1200)=0,"",INDEX(对接源_02物料!$L$4:$L$1203,$AG292-1200))))</f>
      </c>
      <c r="J292" s="64">
        <f>IF($AG292="","",IF($AG292&lt;=1200,IF(INDEX(对接源_01水果!$M$4:$M$1203,$AG292)=0,"",INDEX(对接源_01水果!$M$4:$M$1203,$AG292)),IF(INDEX(对接源_02物料!$M$4:$M$1203,$AG292-1200)=0,"",INDEX(对接源_02物料!$M$4:$M$1203,$AG292-1200))))</f>
      </c>
      <c r="AG292" s="2">
        <f>IFERROR(MATCH(81,_自动清单!$AE$4:$AE$2403,0),"")</f>
      </c>
    </row>
    <row r="293" ht="18" customHeight="1" s="127">
      <c r="A293" s="165">
        <f>IF($AG293="","",IF($AG293&lt;=1200,IF(INDEX(对接源_01水果!$B$4:$B$1203,$AG293)=0,"",INDEX(对接源_01水果!$B$4:$B$1203,$AG293)),IF(INDEX(对接源_02物料!$B$4:$B$1203,$AG293-1200)=0,"",INDEX(对接源_02物料!$B$4:$B$1203,$AG293-1200))))</f>
      </c>
      <c r="B293" s="104">
        <f>IF($AG293="","",IF($AG293&lt;=1200,IF(INDEX(对接源_01水果!$E$4:$E$1203,$AG293)=0,"",INDEX(对接源_01水果!$E$4:$E$1203,$AG293)),IF(INDEX(对接源_02物料!$E$4:$E$1203,$AG293-1200)=0,"",INDEX(对接源_02物料!$E$4:$E$1203,$AG293-1200))))</f>
      </c>
      <c r="C293" s="104">
        <f>IF($AG293="","",IF($AG293&lt;=1200,IF(INDEX(对接源_01水果!$F$4:$F$1203,$AG293)=0,"",INDEX(对接源_01水果!$F$4:$F$1203,$AG293)),IF(INDEX(对接源_02物料!$F$4:$F$1203,$AG293-1200)=0,"",INDEX(对接源_02物料!$F$4:$F$1203,$AG293-1200))))</f>
      </c>
      <c r="D293" s="104">
        <f>IF($AG293="","",IF($AG293&lt;=1200,IF(INDEX(对接源_01水果!$G$4:$G$1203,$AG293)=0,"",INDEX(对接源_01水果!$G$4:$G$1203,$AG293)),IF(INDEX(对接源_02物料!$G$4:$G$1203,$AG293-1200)=0,"",INDEX(对接源_02物料!$G$4:$G$1203,$AG293-1200))))</f>
      </c>
      <c r="E293" s="166">
        <f>IF($AG293="","",IF($AG293&lt;=1200,IF(INDEX(对接源_01水果!$H$4:$H$1203,$AG293)=0,"",INDEX(对接源_01水果!$H$4:$H$1203,$AG293)),IF(INDEX(对接源_02物料!$H$4:$H$1203,$AG293-1200)=0,"",INDEX(对接源_02物料!$H$4:$H$1203,$AG293-1200))))</f>
      </c>
      <c r="F293" s="104">
        <f>IF($AG293="","",IF($AG293&lt;=1200,IF(INDEX(对接源_01水果!$I$4:$I$1203,$AG293)=0,"",INDEX(对接源_01水果!$I$4:$I$1203,$AG293)),IF(INDEX(对接源_02物料!$I$4:$I$1203,$AG293-1200)=0,"",INDEX(对接源_02物料!$I$4:$I$1203,$AG293-1200))))</f>
      </c>
      <c r="G293" s="175">
        <f>IF($AG293="","",IF($AG293&lt;=1200,IF(INDEX(对接源_01水果!$J$4:$J$1203,$AG293)=0,"",INDEX(对接源_01水果!$J$4:$J$1203,$AG293)),IF(INDEX(对接源_02物料!$J$4:$J$1203,$AG293-1200)=0,"",INDEX(对接源_02物料!$J$4:$J$1203,$AG293-1200))))</f>
      </c>
      <c r="H293" s="175">
        <f>IF($AG293="","",IF($AG293&lt;=1200,IF(INDEX(对接源_01水果!$K$4:$K$1203,$AG293)=0,"",INDEX(对接源_01水果!$K$4:$K$1203,$AG293)),IF(INDEX(对接源_02物料!$K$4:$K$1203,$AG293-1200)=0,"",INDEX(对接源_02物料!$K$4:$K$1203,$AG293-1200))))</f>
      </c>
      <c r="I293" s="104">
        <f>IF($AG293="","",IF($AG293&lt;=1200,IF(INDEX(对接源_01水果!$L$4:$L$1203,$AG293)=0,"",INDEX(对接源_01水果!$L$4:$L$1203,$AG293)),IF(INDEX(对接源_02物料!$L$4:$L$1203,$AG293-1200)=0,"",INDEX(对接源_02物料!$L$4:$L$1203,$AG293-1200))))</f>
      </c>
      <c r="J293" s="107">
        <f>IF($AG293="","",IF($AG293&lt;=1200,IF(INDEX(对接源_01水果!$M$4:$M$1203,$AG293)=0,"",INDEX(对接源_01水果!$M$4:$M$1203,$AG293)),IF(INDEX(对接源_02物料!$M$4:$M$1203,$AG293-1200)=0,"",INDEX(对接源_02物料!$M$4:$M$1203,$AG293-1200))))</f>
      </c>
      <c r="AG293" s="2">
        <f>IFERROR(MATCH(82,_自动清单!$AE$4:$AE$2403,0),"")</f>
      </c>
    </row>
    <row r="294" ht="18" customHeight="1" s="127">
      <c r="A294" s="163">
        <f>IF($AG294="","",IF($AG294&lt;=1200,IF(INDEX(对接源_01水果!$B$4:$B$1203,$AG294)=0,"",INDEX(对接源_01水果!$B$4:$B$1203,$AG294)),IF(INDEX(对接源_02物料!$B$4:$B$1203,$AG294-1200)=0,"",INDEX(对接源_02物料!$B$4:$B$1203,$AG294-1200))))</f>
      </c>
      <c r="B294" s="61">
        <f>IF($AG294="","",IF($AG294&lt;=1200,IF(INDEX(对接源_01水果!$E$4:$E$1203,$AG294)=0,"",INDEX(对接源_01水果!$E$4:$E$1203,$AG294)),IF(INDEX(对接源_02物料!$E$4:$E$1203,$AG294-1200)=0,"",INDEX(对接源_02物料!$E$4:$E$1203,$AG294-1200))))</f>
      </c>
      <c r="C294" s="61">
        <f>IF($AG294="","",IF($AG294&lt;=1200,IF(INDEX(对接源_01水果!$F$4:$F$1203,$AG294)=0,"",INDEX(对接源_01水果!$F$4:$F$1203,$AG294)),IF(INDEX(对接源_02物料!$F$4:$F$1203,$AG294-1200)=0,"",INDEX(对接源_02物料!$F$4:$F$1203,$AG294-1200))))</f>
      </c>
      <c r="D294" s="61">
        <f>IF($AG294="","",IF($AG294&lt;=1200,IF(INDEX(对接源_01水果!$G$4:$G$1203,$AG294)=0,"",INDEX(对接源_01水果!$G$4:$G$1203,$AG294)),IF(INDEX(对接源_02物料!$G$4:$G$1203,$AG294-1200)=0,"",INDEX(对接源_02物料!$G$4:$G$1203,$AG294-1200))))</f>
      </c>
      <c r="E294" s="164">
        <f>IF($AG294="","",IF($AG294&lt;=1200,IF(INDEX(对接源_01水果!$H$4:$H$1203,$AG294)=0,"",INDEX(对接源_01水果!$H$4:$H$1203,$AG294)),IF(INDEX(对接源_02物料!$H$4:$H$1203,$AG294-1200)=0,"",INDEX(对接源_02物料!$H$4:$H$1203,$AG294-1200))))</f>
      </c>
      <c r="F294" s="61">
        <f>IF($AG294="","",IF($AG294&lt;=1200,IF(INDEX(对接源_01水果!$I$4:$I$1203,$AG294)=0,"",INDEX(对接源_01水果!$I$4:$I$1203,$AG294)),IF(INDEX(对接源_02物料!$I$4:$I$1203,$AG294-1200)=0,"",INDEX(对接源_02物料!$I$4:$I$1203,$AG294-1200))))</f>
      </c>
      <c r="G294" s="173">
        <f>IF($AG294="","",IF($AG294&lt;=1200,IF(INDEX(对接源_01水果!$J$4:$J$1203,$AG294)=0,"",INDEX(对接源_01水果!$J$4:$J$1203,$AG294)),IF(INDEX(对接源_02物料!$J$4:$J$1203,$AG294-1200)=0,"",INDEX(对接源_02物料!$J$4:$J$1203,$AG294-1200))))</f>
      </c>
      <c r="H294" s="173">
        <f>IF($AG294="","",IF($AG294&lt;=1200,IF(INDEX(对接源_01水果!$K$4:$K$1203,$AG294)=0,"",INDEX(对接源_01水果!$K$4:$K$1203,$AG294)),IF(INDEX(对接源_02物料!$K$4:$K$1203,$AG294-1200)=0,"",INDEX(对接源_02物料!$K$4:$K$1203,$AG294-1200))))</f>
      </c>
      <c r="I294" s="61">
        <f>IF($AG294="","",IF($AG294&lt;=1200,IF(INDEX(对接源_01水果!$L$4:$L$1203,$AG294)=0,"",INDEX(对接源_01水果!$L$4:$L$1203,$AG294)),IF(INDEX(对接源_02物料!$L$4:$L$1203,$AG294-1200)=0,"",INDEX(对接源_02物料!$L$4:$L$1203,$AG294-1200))))</f>
      </c>
      <c r="J294" s="64">
        <f>IF($AG294="","",IF($AG294&lt;=1200,IF(INDEX(对接源_01水果!$M$4:$M$1203,$AG294)=0,"",INDEX(对接源_01水果!$M$4:$M$1203,$AG294)),IF(INDEX(对接源_02物料!$M$4:$M$1203,$AG294-1200)=0,"",INDEX(对接源_02物料!$M$4:$M$1203,$AG294-1200))))</f>
      </c>
      <c r="AG294" s="2">
        <f>IFERROR(MATCH(83,_自动清单!$AE$4:$AE$2403,0),"")</f>
      </c>
    </row>
    <row r="295" ht="18" customHeight="1" s="127">
      <c r="A295" s="165">
        <f>IF($AG295="","",IF($AG295&lt;=1200,IF(INDEX(对接源_01水果!$B$4:$B$1203,$AG295)=0,"",INDEX(对接源_01水果!$B$4:$B$1203,$AG295)),IF(INDEX(对接源_02物料!$B$4:$B$1203,$AG295-1200)=0,"",INDEX(对接源_02物料!$B$4:$B$1203,$AG295-1200))))</f>
      </c>
      <c r="B295" s="104">
        <f>IF($AG295="","",IF($AG295&lt;=1200,IF(INDEX(对接源_01水果!$E$4:$E$1203,$AG295)=0,"",INDEX(对接源_01水果!$E$4:$E$1203,$AG295)),IF(INDEX(对接源_02物料!$E$4:$E$1203,$AG295-1200)=0,"",INDEX(对接源_02物料!$E$4:$E$1203,$AG295-1200))))</f>
      </c>
      <c r="C295" s="104">
        <f>IF($AG295="","",IF($AG295&lt;=1200,IF(INDEX(对接源_01水果!$F$4:$F$1203,$AG295)=0,"",INDEX(对接源_01水果!$F$4:$F$1203,$AG295)),IF(INDEX(对接源_02物料!$F$4:$F$1203,$AG295-1200)=0,"",INDEX(对接源_02物料!$F$4:$F$1203,$AG295-1200))))</f>
      </c>
      <c r="D295" s="104">
        <f>IF($AG295="","",IF($AG295&lt;=1200,IF(INDEX(对接源_01水果!$G$4:$G$1203,$AG295)=0,"",INDEX(对接源_01水果!$G$4:$G$1203,$AG295)),IF(INDEX(对接源_02物料!$G$4:$G$1203,$AG295-1200)=0,"",INDEX(对接源_02物料!$G$4:$G$1203,$AG295-1200))))</f>
      </c>
      <c r="E295" s="166">
        <f>IF($AG295="","",IF($AG295&lt;=1200,IF(INDEX(对接源_01水果!$H$4:$H$1203,$AG295)=0,"",INDEX(对接源_01水果!$H$4:$H$1203,$AG295)),IF(INDEX(对接源_02物料!$H$4:$H$1203,$AG295-1200)=0,"",INDEX(对接源_02物料!$H$4:$H$1203,$AG295-1200))))</f>
      </c>
      <c r="F295" s="104">
        <f>IF($AG295="","",IF($AG295&lt;=1200,IF(INDEX(对接源_01水果!$I$4:$I$1203,$AG295)=0,"",INDEX(对接源_01水果!$I$4:$I$1203,$AG295)),IF(INDEX(对接源_02物料!$I$4:$I$1203,$AG295-1200)=0,"",INDEX(对接源_02物料!$I$4:$I$1203,$AG295-1200))))</f>
      </c>
      <c r="G295" s="175">
        <f>IF($AG295="","",IF($AG295&lt;=1200,IF(INDEX(对接源_01水果!$J$4:$J$1203,$AG295)=0,"",INDEX(对接源_01水果!$J$4:$J$1203,$AG295)),IF(INDEX(对接源_02物料!$J$4:$J$1203,$AG295-1200)=0,"",INDEX(对接源_02物料!$J$4:$J$1203,$AG295-1200))))</f>
      </c>
      <c r="H295" s="175">
        <f>IF($AG295="","",IF($AG295&lt;=1200,IF(INDEX(对接源_01水果!$K$4:$K$1203,$AG295)=0,"",INDEX(对接源_01水果!$K$4:$K$1203,$AG295)),IF(INDEX(对接源_02物料!$K$4:$K$1203,$AG295-1200)=0,"",INDEX(对接源_02物料!$K$4:$K$1203,$AG295-1200))))</f>
      </c>
      <c r="I295" s="104">
        <f>IF($AG295="","",IF($AG295&lt;=1200,IF(INDEX(对接源_01水果!$L$4:$L$1203,$AG295)=0,"",INDEX(对接源_01水果!$L$4:$L$1203,$AG295)),IF(INDEX(对接源_02物料!$L$4:$L$1203,$AG295-1200)=0,"",INDEX(对接源_02物料!$L$4:$L$1203,$AG295-1200))))</f>
      </c>
      <c r="J295" s="107">
        <f>IF($AG295="","",IF($AG295&lt;=1200,IF(INDEX(对接源_01水果!$M$4:$M$1203,$AG295)=0,"",INDEX(对接源_01水果!$M$4:$M$1203,$AG295)),IF(INDEX(对接源_02物料!$M$4:$M$1203,$AG295-1200)=0,"",INDEX(对接源_02物料!$M$4:$M$1203,$AG295-1200))))</f>
      </c>
      <c r="AG295" s="2">
        <f>IFERROR(MATCH(84,_自动清单!$AE$4:$AE$2403,0),"")</f>
      </c>
    </row>
    <row r="296" ht="18" customHeight="1" s="127">
      <c r="A296" s="163">
        <f>IF($AG296="","",IF($AG296&lt;=1200,IF(INDEX(对接源_01水果!$B$4:$B$1203,$AG296)=0,"",INDEX(对接源_01水果!$B$4:$B$1203,$AG296)),IF(INDEX(对接源_02物料!$B$4:$B$1203,$AG296-1200)=0,"",INDEX(对接源_02物料!$B$4:$B$1203,$AG296-1200))))</f>
      </c>
      <c r="B296" s="61">
        <f>IF($AG296="","",IF($AG296&lt;=1200,IF(INDEX(对接源_01水果!$E$4:$E$1203,$AG296)=0,"",INDEX(对接源_01水果!$E$4:$E$1203,$AG296)),IF(INDEX(对接源_02物料!$E$4:$E$1203,$AG296-1200)=0,"",INDEX(对接源_02物料!$E$4:$E$1203,$AG296-1200))))</f>
      </c>
      <c r="C296" s="61">
        <f>IF($AG296="","",IF($AG296&lt;=1200,IF(INDEX(对接源_01水果!$F$4:$F$1203,$AG296)=0,"",INDEX(对接源_01水果!$F$4:$F$1203,$AG296)),IF(INDEX(对接源_02物料!$F$4:$F$1203,$AG296-1200)=0,"",INDEX(对接源_02物料!$F$4:$F$1203,$AG296-1200))))</f>
      </c>
      <c r="D296" s="61">
        <f>IF($AG296="","",IF($AG296&lt;=1200,IF(INDEX(对接源_01水果!$G$4:$G$1203,$AG296)=0,"",INDEX(对接源_01水果!$G$4:$G$1203,$AG296)),IF(INDEX(对接源_02物料!$G$4:$G$1203,$AG296-1200)=0,"",INDEX(对接源_02物料!$G$4:$G$1203,$AG296-1200))))</f>
      </c>
      <c r="E296" s="164">
        <f>IF($AG296="","",IF($AG296&lt;=1200,IF(INDEX(对接源_01水果!$H$4:$H$1203,$AG296)=0,"",INDEX(对接源_01水果!$H$4:$H$1203,$AG296)),IF(INDEX(对接源_02物料!$H$4:$H$1203,$AG296-1200)=0,"",INDEX(对接源_02物料!$H$4:$H$1203,$AG296-1200))))</f>
      </c>
      <c r="F296" s="61">
        <f>IF($AG296="","",IF($AG296&lt;=1200,IF(INDEX(对接源_01水果!$I$4:$I$1203,$AG296)=0,"",INDEX(对接源_01水果!$I$4:$I$1203,$AG296)),IF(INDEX(对接源_02物料!$I$4:$I$1203,$AG296-1200)=0,"",INDEX(对接源_02物料!$I$4:$I$1203,$AG296-1200))))</f>
      </c>
      <c r="G296" s="173">
        <f>IF($AG296="","",IF($AG296&lt;=1200,IF(INDEX(对接源_01水果!$J$4:$J$1203,$AG296)=0,"",INDEX(对接源_01水果!$J$4:$J$1203,$AG296)),IF(INDEX(对接源_02物料!$J$4:$J$1203,$AG296-1200)=0,"",INDEX(对接源_02物料!$J$4:$J$1203,$AG296-1200))))</f>
      </c>
      <c r="H296" s="173">
        <f>IF($AG296="","",IF($AG296&lt;=1200,IF(INDEX(对接源_01水果!$K$4:$K$1203,$AG296)=0,"",INDEX(对接源_01水果!$K$4:$K$1203,$AG296)),IF(INDEX(对接源_02物料!$K$4:$K$1203,$AG296-1200)=0,"",INDEX(对接源_02物料!$K$4:$K$1203,$AG296-1200))))</f>
      </c>
      <c r="I296" s="61">
        <f>IF($AG296="","",IF($AG296&lt;=1200,IF(INDEX(对接源_01水果!$L$4:$L$1203,$AG296)=0,"",INDEX(对接源_01水果!$L$4:$L$1203,$AG296)),IF(INDEX(对接源_02物料!$L$4:$L$1203,$AG296-1200)=0,"",INDEX(对接源_02物料!$L$4:$L$1203,$AG296-1200))))</f>
      </c>
      <c r="J296" s="64">
        <f>IF($AG296="","",IF($AG296&lt;=1200,IF(INDEX(对接源_01水果!$M$4:$M$1203,$AG296)=0,"",INDEX(对接源_01水果!$M$4:$M$1203,$AG296)),IF(INDEX(对接源_02物料!$M$4:$M$1203,$AG296-1200)=0,"",INDEX(对接源_02物料!$M$4:$M$1203,$AG296-1200))))</f>
      </c>
      <c r="AG296" s="2">
        <f>IFERROR(MATCH(85,_自动清单!$AE$4:$AE$2403,0),"")</f>
      </c>
    </row>
    <row r="297" ht="18" customHeight="1" s="127">
      <c r="A297" s="165">
        <f>IF($AG297="","",IF($AG297&lt;=1200,IF(INDEX(对接源_01水果!$B$4:$B$1203,$AG297)=0,"",INDEX(对接源_01水果!$B$4:$B$1203,$AG297)),IF(INDEX(对接源_02物料!$B$4:$B$1203,$AG297-1200)=0,"",INDEX(对接源_02物料!$B$4:$B$1203,$AG297-1200))))</f>
      </c>
      <c r="B297" s="104">
        <f>IF($AG297="","",IF($AG297&lt;=1200,IF(INDEX(对接源_01水果!$E$4:$E$1203,$AG297)=0,"",INDEX(对接源_01水果!$E$4:$E$1203,$AG297)),IF(INDEX(对接源_02物料!$E$4:$E$1203,$AG297-1200)=0,"",INDEX(对接源_02物料!$E$4:$E$1203,$AG297-1200))))</f>
      </c>
      <c r="C297" s="104">
        <f>IF($AG297="","",IF($AG297&lt;=1200,IF(INDEX(对接源_01水果!$F$4:$F$1203,$AG297)=0,"",INDEX(对接源_01水果!$F$4:$F$1203,$AG297)),IF(INDEX(对接源_02物料!$F$4:$F$1203,$AG297-1200)=0,"",INDEX(对接源_02物料!$F$4:$F$1203,$AG297-1200))))</f>
      </c>
      <c r="D297" s="104">
        <f>IF($AG297="","",IF($AG297&lt;=1200,IF(INDEX(对接源_01水果!$G$4:$G$1203,$AG297)=0,"",INDEX(对接源_01水果!$G$4:$G$1203,$AG297)),IF(INDEX(对接源_02物料!$G$4:$G$1203,$AG297-1200)=0,"",INDEX(对接源_02物料!$G$4:$G$1203,$AG297-1200))))</f>
      </c>
      <c r="E297" s="166">
        <f>IF($AG297="","",IF($AG297&lt;=1200,IF(INDEX(对接源_01水果!$H$4:$H$1203,$AG297)=0,"",INDEX(对接源_01水果!$H$4:$H$1203,$AG297)),IF(INDEX(对接源_02物料!$H$4:$H$1203,$AG297-1200)=0,"",INDEX(对接源_02物料!$H$4:$H$1203,$AG297-1200))))</f>
      </c>
      <c r="F297" s="104">
        <f>IF($AG297="","",IF($AG297&lt;=1200,IF(INDEX(对接源_01水果!$I$4:$I$1203,$AG297)=0,"",INDEX(对接源_01水果!$I$4:$I$1203,$AG297)),IF(INDEX(对接源_02物料!$I$4:$I$1203,$AG297-1200)=0,"",INDEX(对接源_02物料!$I$4:$I$1203,$AG297-1200))))</f>
      </c>
      <c r="G297" s="175">
        <f>IF($AG297="","",IF($AG297&lt;=1200,IF(INDEX(对接源_01水果!$J$4:$J$1203,$AG297)=0,"",INDEX(对接源_01水果!$J$4:$J$1203,$AG297)),IF(INDEX(对接源_02物料!$J$4:$J$1203,$AG297-1200)=0,"",INDEX(对接源_02物料!$J$4:$J$1203,$AG297-1200))))</f>
      </c>
      <c r="H297" s="175">
        <f>IF($AG297="","",IF($AG297&lt;=1200,IF(INDEX(对接源_01水果!$K$4:$K$1203,$AG297)=0,"",INDEX(对接源_01水果!$K$4:$K$1203,$AG297)),IF(INDEX(对接源_02物料!$K$4:$K$1203,$AG297-1200)=0,"",INDEX(对接源_02物料!$K$4:$K$1203,$AG297-1200))))</f>
      </c>
      <c r="I297" s="104">
        <f>IF($AG297="","",IF($AG297&lt;=1200,IF(INDEX(对接源_01水果!$L$4:$L$1203,$AG297)=0,"",INDEX(对接源_01水果!$L$4:$L$1203,$AG297)),IF(INDEX(对接源_02物料!$L$4:$L$1203,$AG297-1200)=0,"",INDEX(对接源_02物料!$L$4:$L$1203,$AG297-1200))))</f>
      </c>
      <c r="J297" s="107">
        <f>IF($AG297="","",IF($AG297&lt;=1200,IF(INDEX(对接源_01水果!$M$4:$M$1203,$AG297)=0,"",INDEX(对接源_01水果!$M$4:$M$1203,$AG297)),IF(INDEX(对接源_02物料!$M$4:$M$1203,$AG297-1200)=0,"",INDEX(对接源_02物料!$M$4:$M$1203,$AG297-1200))))</f>
      </c>
      <c r="AG297" s="2">
        <f>IFERROR(MATCH(86,_自动清单!$AE$4:$AE$2403,0),"")</f>
      </c>
    </row>
    <row r="298" ht="18" customHeight="1" s="127">
      <c r="A298" s="163">
        <f>IF($AG298="","",IF($AG298&lt;=1200,IF(INDEX(对接源_01水果!$B$4:$B$1203,$AG298)=0,"",INDEX(对接源_01水果!$B$4:$B$1203,$AG298)),IF(INDEX(对接源_02物料!$B$4:$B$1203,$AG298-1200)=0,"",INDEX(对接源_02物料!$B$4:$B$1203,$AG298-1200))))</f>
      </c>
      <c r="B298" s="61">
        <f>IF($AG298="","",IF($AG298&lt;=1200,IF(INDEX(对接源_01水果!$E$4:$E$1203,$AG298)=0,"",INDEX(对接源_01水果!$E$4:$E$1203,$AG298)),IF(INDEX(对接源_02物料!$E$4:$E$1203,$AG298-1200)=0,"",INDEX(对接源_02物料!$E$4:$E$1203,$AG298-1200))))</f>
      </c>
      <c r="C298" s="61">
        <f>IF($AG298="","",IF($AG298&lt;=1200,IF(INDEX(对接源_01水果!$F$4:$F$1203,$AG298)=0,"",INDEX(对接源_01水果!$F$4:$F$1203,$AG298)),IF(INDEX(对接源_02物料!$F$4:$F$1203,$AG298-1200)=0,"",INDEX(对接源_02物料!$F$4:$F$1203,$AG298-1200))))</f>
      </c>
      <c r="D298" s="61">
        <f>IF($AG298="","",IF($AG298&lt;=1200,IF(INDEX(对接源_01水果!$G$4:$G$1203,$AG298)=0,"",INDEX(对接源_01水果!$G$4:$G$1203,$AG298)),IF(INDEX(对接源_02物料!$G$4:$G$1203,$AG298-1200)=0,"",INDEX(对接源_02物料!$G$4:$G$1203,$AG298-1200))))</f>
      </c>
      <c r="E298" s="164">
        <f>IF($AG298="","",IF($AG298&lt;=1200,IF(INDEX(对接源_01水果!$H$4:$H$1203,$AG298)=0,"",INDEX(对接源_01水果!$H$4:$H$1203,$AG298)),IF(INDEX(对接源_02物料!$H$4:$H$1203,$AG298-1200)=0,"",INDEX(对接源_02物料!$H$4:$H$1203,$AG298-1200))))</f>
      </c>
      <c r="F298" s="61">
        <f>IF($AG298="","",IF($AG298&lt;=1200,IF(INDEX(对接源_01水果!$I$4:$I$1203,$AG298)=0,"",INDEX(对接源_01水果!$I$4:$I$1203,$AG298)),IF(INDEX(对接源_02物料!$I$4:$I$1203,$AG298-1200)=0,"",INDEX(对接源_02物料!$I$4:$I$1203,$AG298-1200))))</f>
      </c>
      <c r="G298" s="173">
        <f>IF($AG298="","",IF($AG298&lt;=1200,IF(INDEX(对接源_01水果!$J$4:$J$1203,$AG298)=0,"",INDEX(对接源_01水果!$J$4:$J$1203,$AG298)),IF(INDEX(对接源_02物料!$J$4:$J$1203,$AG298-1200)=0,"",INDEX(对接源_02物料!$J$4:$J$1203,$AG298-1200))))</f>
      </c>
      <c r="H298" s="173">
        <f>IF($AG298="","",IF($AG298&lt;=1200,IF(INDEX(对接源_01水果!$K$4:$K$1203,$AG298)=0,"",INDEX(对接源_01水果!$K$4:$K$1203,$AG298)),IF(INDEX(对接源_02物料!$K$4:$K$1203,$AG298-1200)=0,"",INDEX(对接源_02物料!$K$4:$K$1203,$AG298-1200))))</f>
      </c>
      <c r="I298" s="61">
        <f>IF($AG298="","",IF($AG298&lt;=1200,IF(INDEX(对接源_01水果!$L$4:$L$1203,$AG298)=0,"",INDEX(对接源_01水果!$L$4:$L$1203,$AG298)),IF(INDEX(对接源_02物料!$L$4:$L$1203,$AG298-1200)=0,"",INDEX(对接源_02物料!$L$4:$L$1203,$AG298-1200))))</f>
      </c>
      <c r="J298" s="64">
        <f>IF($AG298="","",IF($AG298&lt;=1200,IF(INDEX(对接源_01水果!$M$4:$M$1203,$AG298)=0,"",INDEX(对接源_01水果!$M$4:$M$1203,$AG298)),IF(INDEX(对接源_02物料!$M$4:$M$1203,$AG298-1200)=0,"",INDEX(对接源_02物料!$M$4:$M$1203,$AG298-1200))))</f>
      </c>
      <c r="AG298" s="2">
        <f>IFERROR(MATCH(87,_自动清单!$AE$4:$AE$2403,0),"")</f>
      </c>
    </row>
    <row r="299" ht="18" customHeight="1" s="127">
      <c r="A299" s="165">
        <f>IF($AG299="","",IF($AG299&lt;=1200,IF(INDEX(对接源_01水果!$B$4:$B$1203,$AG299)=0,"",INDEX(对接源_01水果!$B$4:$B$1203,$AG299)),IF(INDEX(对接源_02物料!$B$4:$B$1203,$AG299-1200)=0,"",INDEX(对接源_02物料!$B$4:$B$1203,$AG299-1200))))</f>
      </c>
      <c r="B299" s="104">
        <f>IF($AG299="","",IF($AG299&lt;=1200,IF(INDEX(对接源_01水果!$E$4:$E$1203,$AG299)=0,"",INDEX(对接源_01水果!$E$4:$E$1203,$AG299)),IF(INDEX(对接源_02物料!$E$4:$E$1203,$AG299-1200)=0,"",INDEX(对接源_02物料!$E$4:$E$1203,$AG299-1200))))</f>
      </c>
      <c r="C299" s="104">
        <f>IF($AG299="","",IF($AG299&lt;=1200,IF(INDEX(对接源_01水果!$F$4:$F$1203,$AG299)=0,"",INDEX(对接源_01水果!$F$4:$F$1203,$AG299)),IF(INDEX(对接源_02物料!$F$4:$F$1203,$AG299-1200)=0,"",INDEX(对接源_02物料!$F$4:$F$1203,$AG299-1200))))</f>
      </c>
      <c r="D299" s="104">
        <f>IF($AG299="","",IF($AG299&lt;=1200,IF(INDEX(对接源_01水果!$G$4:$G$1203,$AG299)=0,"",INDEX(对接源_01水果!$G$4:$G$1203,$AG299)),IF(INDEX(对接源_02物料!$G$4:$G$1203,$AG299-1200)=0,"",INDEX(对接源_02物料!$G$4:$G$1203,$AG299-1200))))</f>
      </c>
      <c r="E299" s="166">
        <f>IF($AG299="","",IF($AG299&lt;=1200,IF(INDEX(对接源_01水果!$H$4:$H$1203,$AG299)=0,"",INDEX(对接源_01水果!$H$4:$H$1203,$AG299)),IF(INDEX(对接源_02物料!$H$4:$H$1203,$AG299-1200)=0,"",INDEX(对接源_02物料!$H$4:$H$1203,$AG299-1200))))</f>
      </c>
      <c r="F299" s="104">
        <f>IF($AG299="","",IF($AG299&lt;=1200,IF(INDEX(对接源_01水果!$I$4:$I$1203,$AG299)=0,"",INDEX(对接源_01水果!$I$4:$I$1203,$AG299)),IF(INDEX(对接源_02物料!$I$4:$I$1203,$AG299-1200)=0,"",INDEX(对接源_02物料!$I$4:$I$1203,$AG299-1200))))</f>
      </c>
      <c r="G299" s="175">
        <f>IF($AG299="","",IF($AG299&lt;=1200,IF(INDEX(对接源_01水果!$J$4:$J$1203,$AG299)=0,"",INDEX(对接源_01水果!$J$4:$J$1203,$AG299)),IF(INDEX(对接源_02物料!$J$4:$J$1203,$AG299-1200)=0,"",INDEX(对接源_02物料!$J$4:$J$1203,$AG299-1200))))</f>
      </c>
      <c r="H299" s="175">
        <f>IF($AG299="","",IF($AG299&lt;=1200,IF(INDEX(对接源_01水果!$K$4:$K$1203,$AG299)=0,"",INDEX(对接源_01水果!$K$4:$K$1203,$AG299)),IF(INDEX(对接源_02物料!$K$4:$K$1203,$AG299-1200)=0,"",INDEX(对接源_02物料!$K$4:$K$1203,$AG299-1200))))</f>
      </c>
      <c r="I299" s="104">
        <f>IF($AG299="","",IF($AG299&lt;=1200,IF(INDEX(对接源_01水果!$L$4:$L$1203,$AG299)=0,"",INDEX(对接源_01水果!$L$4:$L$1203,$AG299)),IF(INDEX(对接源_02物料!$L$4:$L$1203,$AG299-1200)=0,"",INDEX(对接源_02物料!$L$4:$L$1203,$AG299-1200))))</f>
      </c>
      <c r="J299" s="107">
        <f>IF($AG299="","",IF($AG299&lt;=1200,IF(INDEX(对接源_01水果!$M$4:$M$1203,$AG299)=0,"",INDEX(对接源_01水果!$M$4:$M$1203,$AG299)),IF(INDEX(对接源_02物料!$M$4:$M$1203,$AG299-1200)=0,"",INDEX(对接源_02物料!$M$4:$M$1203,$AG299-1200))))</f>
      </c>
      <c r="AG299" s="2">
        <f>IFERROR(MATCH(88,_自动清单!$AE$4:$AE$2403,0),"")</f>
      </c>
    </row>
    <row r="300" ht="18" customHeight="1" s="127">
      <c r="A300" s="163">
        <f>IF($AG300="","",IF($AG300&lt;=1200,IF(INDEX(对接源_01水果!$B$4:$B$1203,$AG300)=0,"",INDEX(对接源_01水果!$B$4:$B$1203,$AG300)),IF(INDEX(对接源_02物料!$B$4:$B$1203,$AG300-1200)=0,"",INDEX(对接源_02物料!$B$4:$B$1203,$AG300-1200))))</f>
      </c>
      <c r="B300" s="61">
        <f>IF($AG300="","",IF($AG300&lt;=1200,IF(INDEX(对接源_01水果!$E$4:$E$1203,$AG300)=0,"",INDEX(对接源_01水果!$E$4:$E$1203,$AG300)),IF(INDEX(对接源_02物料!$E$4:$E$1203,$AG300-1200)=0,"",INDEX(对接源_02物料!$E$4:$E$1203,$AG300-1200))))</f>
      </c>
      <c r="C300" s="61">
        <f>IF($AG300="","",IF($AG300&lt;=1200,IF(INDEX(对接源_01水果!$F$4:$F$1203,$AG300)=0,"",INDEX(对接源_01水果!$F$4:$F$1203,$AG300)),IF(INDEX(对接源_02物料!$F$4:$F$1203,$AG300-1200)=0,"",INDEX(对接源_02物料!$F$4:$F$1203,$AG300-1200))))</f>
      </c>
      <c r="D300" s="61">
        <f>IF($AG300="","",IF($AG300&lt;=1200,IF(INDEX(对接源_01水果!$G$4:$G$1203,$AG300)=0,"",INDEX(对接源_01水果!$G$4:$G$1203,$AG300)),IF(INDEX(对接源_02物料!$G$4:$G$1203,$AG300-1200)=0,"",INDEX(对接源_02物料!$G$4:$G$1203,$AG300-1200))))</f>
      </c>
      <c r="E300" s="164">
        <f>IF($AG300="","",IF($AG300&lt;=1200,IF(INDEX(对接源_01水果!$H$4:$H$1203,$AG300)=0,"",INDEX(对接源_01水果!$H$4:$H$1203,$AG300)),IF(INDEX(对接源_02物料!$H$4:$H$1203,$AG300-1200)=0,"",INDEX(对接源_02物料!$H$4:$H$1203,$AG300-1200))))</f>
      </c>
      <c r="F300" s="61">
        <f>IF($AG300="","",IF($AG300&lt;=1200,IF(INDEX(对接源_01水果!$I$4:$I$1203,$AG300)=0,"",INDEX(对接源_01水果!$I$4:$I$1203,$AG300)),IF(INDEX(对接源_02物料!$I$4:$I$1203,$AG300-1200)=0,"",INDEX(对接源_02物料!$I$4:$I$1203,$AG300-1200))))</f>
      </c>
      <c r="G300" s="173">
        <f>IF($AG300="","",IF($AG300&lt;=1200,IF(INDEX(对接源_01水果!$J$4:$J$1203,$AG300)=0,"",INDEX(对接源_01水果!$J$4:$J$1203,$AG300)),IF(INDEX(对接源_02物料!$J$4:$J$1203,$AG300-1200)=0,"",INDEX(对接源_02物料!$J$4:$J$1203,$AG300-1200))))</f>
      </c>
      <c r="H300" s="173">
        <f>IF($AG300="","",IF($AG300&lt;=1200,IF(INDEX(对接源_01水果!$K$4:$K$1203,$AG300)=0,"",INDEX(对接源_01水果!$K$4:$K$1203,$AG300)),IF(INDEX(对接源_02物料!$K$4:$K$1203,$AG300-1200)=0,"",INDEX(对接源_02物料!$K$4:$K$1203,$AG300-1200))))</f>
      </c>
      <c r="I300" s="61">
        <f>IF($AG300="","",IF($AG300&lt;=1200,IF(INDEX(对接源_01水果!$L$4:$L$1203,$AG300)=0,"",INDEX(对接源_01水果!$L$4:$L$1203,$AG300)),IF(INDEX(对接源_02物料!$L$4:$L$1203,$AG300-1200)=0,"",INDEX(对接源_02物料!$L$4:$L$1203,$AG300-1200))))</f>
      </c>
      <c r="J300" s="64">
        <f>IF($AG300="","",IF($AG300&lt;=1200,IF(INDEX(对接源_01水果!$M$4:$M$1203,$AG300)=0,"",INDEX(对接源_01水果!$M$4:$M$1203,$AG300)),IF(INDEX(对接源_02物料!$M$4:$M$1203,$AG300-1200)=0,"",INDEX(对接源_02物料!$M$4:$M$1203,$AG300-1200))))</f>
      </c>
      <c r="AG300" s="2">
        <f>IFERROR(MATCH(89,_自动清单!$AE$4:$AE$2403,0),"")</f>
      </c>
    </row>
    <row r="301" ht="18" customHeight="1" s="127">
      <c r="A301" s="165">
        <f>IF($AG301="","",IF($AG301&lt;=1200,IF(INDEX(对接源_01水果!$B$4:$B$1203,$AG301)=0,"",INDEX(对接源_01水果!$B$4:$B$1203,$AG301)),IF(INDEX(对接源_02物料!$B$4:$B$1203,$AG301-1200)=0,"",INDEX(对接源_02物料!$B$4:$B$1203,$AG301-1200))))</f>
      </c>
      <c r="B301" s="104">
        <f>IF($AG301="","",IF($AG301&lt;=1200,IF(INDEX(对接源_01水果!$E$4:$E$1203,$AG301)=0,"",INDEX(对接源_01水果!$E$4:$E$1203,$AG301)),IF(INDEX(对接源_02物料!$E$4:$E$1203,$AG301-1200)=0,"",INDEX(对接源_02物料!$E$4:$E$1203,$AG301-1200))))</f>
      </c>
      <c r="C301" s="104">
        <f>IF($AG301="","",IF($AG301&lt;=1200,IF(INDEX(对接源_01水果!$F$4:$F$1203,$AG301)=0,"",INDEX(对接源_01水果!$F$4:$F$1203,$AG301)),IF(INDEX(对接源_02物料!$F$4:$F$1203,$AG301-1200)=0,"",INDEX(对接源_02物料!$F$4:$F$1203,$AG301-1200))))</f>
      </c>
      <c r="D301" s="104">
        <f>IF($AG301="","",IF($AG301&lt;=1200,IF(INDEX(对接源_01水果!$G$4:$G$1203,$AG301)=0,"",INDEX(对接源_01水果!$G$4:$G$1203,$AG301)),IF(INDEX(对接源_02物料!$G$4:$G$1203,$AG301-1200)=0,"",INDEX(对接源_02物料!$G$4:$G$1203,$AG301-1200))))</f>
      </c>
      <c r="E301" s="166">
        <f>IF($AG301="","",IF($AG301&lt;=1200,IF(INDEX(对接源_01水果!$H$4:$H$1203,$AG301)=0,"",INDEX(对接源_01水果!$H$4:$H$1203,$AG301)),IF(INDEX(对接源_02物料!$H$4:$H$1203,$AG301-1200)=0,"",INDEX(对接源_02物料!$H$4:$H$1203,$AG301-1200))))</f>
      </c>
      <c r="F301" s="104">
        <f>IF($AG301="","",IF($AG301&lt;=1200,IF(INDEX(对接源_01水果!$I$4:$I$1203,$AG301)=0,"",INDEX(对接源_01水果!$I$4:$I$1203,$AG301)),IF(INDEX(对接源_02物料!$I$4:$I$1203,$AG301-1200)=0,"",INDEX(对接源_02物料!$I$4:$I$1203,$AG301-1200))))</f>
      </c>
      <c r="G301" s="175">
        <f>IF($AG301="","",IF($AG301&lt;=1200,IF(INDEX(对接源_01水果!$J$4:$J$1203,$AG301)=0,"",INDEX(对接源_01水果!$J$4:$J$1203,$AG301)),IF(INDEX(对接源_02物料!$J$4:$J$1203,$AG301-1200)=0,"",INDEX(对接源_02物料!$J$4:$J$1203,$AG301-1200))))</f>
      </c>
      <c r="H301" s="175">
        <f>IF($AG301="","",IF($AG301&lt;=1200,IF(INDEX(对接源_01水果!$K$4:$K$1203,$AG301)=0,"",INDEX(对接源_01水果!$K$4:$K$1203,$AG301)),IF(INDEX(对接源_02物料!$K$4:$K$1203,$AG301-1200)=0,"",INDEX(对接源_02物料!$K$4:$K$1203,$AG301-1200))))</f>
      </c>
      <c r="I301" s="104">
        <f>IF($AG301="","",IF($AG301&lt;=1200,IF(INDEX(对接源_01水果!$L$4:$L$1203,$AG301)=0,"",INDEX(对接源_01水果!$L$4:$L$1203,$AG301)),IF(INDEX(对接源_02物料!$L$4:$L$1203,$AG301-1200)=0,"",INDEX(对接源_02物料!$L$4:$L$1203,$AG301-1200))))</f>
      </c>
      <c r="J301" s="107">
        <f>IF($AG301="","",IF($AG301&lt;=1200,IF(INDEX(对接源_01水果!$M$4:$M$1203,$AG301)=0,"",INDEX(对接源_01水果!$M$4:$M$1203,$AG301)),IF(INDEX(对接源_02物料!$M$4:$M$1203,$AG301-1200)=0,"",INDEX(对接源_02物料!$M$4:$M$1203,$AG301-1200))))</f>
      </c>
      <c r="AG301" s="2">
        <f>IFERROR(MATCH(90,_自动清单!$AE$4:$AE$2403,0),"")</f>
      </c>
    </row>
    <row r="302" ht="18" customHeight="1" s="127">
      <c r="A302" s="163">
        <f>IF($AG302="","",IF($AG302&lt;=1200,IF(INDEX(对接源_01水果!$B$4:$B$1203,$AG302)=0,"",INDEX(对接源_01水果!$B$4:$B$1203,$AG302)),IF(INDEX(对接源_02物料!$B$4:$B$1203,$AG302-1200)=0,"",INDEX(对接源_02物料!$B$4:$B$1203,$AG302-1200))))</f>
      </c>
      <c r="B302" s="61">
        <f>IF($AG302="","",IF($AG302&lt;=1200,IF(INDEX(对接源_01水果!$E$4:$E$1203,$AG302)=0,"",INDEX(对接源_01水果!$E$4:$E$1203,$AG302)),IF(INDEX(对接源_02物料!$E$4:$E$1203,$AG302-1200)=0,"",INDEX(对接源_02物料!$E$4:$E$1203,$AG302-1200))))</f>
      </c>
      <c r="C302" s="61">
        <f>IF($AG302="","",IF($AG302&lt;=1200,IF(INDEX(对接源_01水果!$F$4:$F$1203,$AG302)=0,"",INDEX(对接源_01水果!$F$4:$F$1203,$AG302)),IF(INDEX(对接源_02物料!$F$4:$F$1203,$AG302-1200)=0,"",INDEX(对接源_02物料!$F$4:$F$1203,$AG302-1200))))</f>
      </c>
      <c r="D302" s="61">
        <f>IF($AG302="","",IF($AG302&lt;=1200,IF(INDEX(对接源_01水果!$G$4:$G$1203,$AG302)=0,"",INDEX(对接源_01水果!$G$4:$G$1203,$AG302)),IF(INDEX(对接源_02物料!$G$4:$G$1203,$AG302-1200)=0,"",INDEX(对接源_02物料!$G$4:$G$1203,$AG302-1200))))</f>
      </c>
      <c r="E302" s="164">
        <f>IF($AG302="","",IF($AG302&lt;=1200,IF(INDEX(对接源_01水果!$H$4:$H$1203,$AG302)=0,"",INDEX(对接源_01水果!$H$4:$H$1203,$AG302)),IF(INDEX(对接源_02物料!$H$4:$H$1203,$AG302-1200)=0,"",INDEX(对接源_02物料!$H$4:$H$1203,$AG302-1200))))</f>
      </c>
      <c r="F302" s="61">
        <f>IF($AG302="","",IF($AG302&lt;=1200,IF(INDEX(对接源_01水果!$I$4:$I$1203,$AG302)=0,"",INDEX(对接源_01水果!$I$4:$I$1203,$AG302)),IF(INDEX(对接源_02物料!$I$4:$I$1203,$AG302-1200)=0,"",INDEX(对接源_02物料!$I$4:$I$1203,$AG302-1200))))</f>
      </c>
      <c r="G302" s="173">
        <f>IF($AG302="","",IF($AG302&lt;=1200,IF(INDEX(对接源_01水果!$J$4:$J$1203,$AG302)=0,"",INDEX(对接源_01水果!$J$4:$J$1203,$AG302)),IF(INDEX(对接源_02物料!$J$4:$J$1203,$AG302-1200)=0,"",INDEX(对接源_02物料!$J$4:$J$1203,$AG302-1200))))</f>
      </c>
      <c r="H302" s="173">
        <f>IF($AG302="","",IF($AG302&lt;=1200,IF(INDEX(对接源_01水果!$K$4:$K$1203,$AG302)=0,"",INDEX(对接源_01水果!$K$4:$K$1203,$AG302)),IF(INDEX(对接源_02物料!$K$4:$K$1203,$AG302-1200)=0,"",INDEX(对接源_02物料!$K$4:$K$1203,$AG302-1200))))</f>
      </c>
      <c r="I302" s="61">
        <f>IF($AG302="","",IF($AG302&lt;=1200,IF(INDEX(对接源_01水果!$L$4:$L$1203,$AG302)=0,"",INDEX(对接源_01水果!$L$4:$L$1203,$AG302)),IF(INDEX(对接源_02物料!$L$4:$L$1203,$AG302-1200)=0,"",INDEX(对接源_02物料!$L$4:$L$1203,$AG302-1200))))</f>
      </c>
      <c r="J302" s="64">
        <f>IF($AG302="","",IF($AG302&lt;=1200,IF(INDEX(对接源_01水果!$M$4:$M$1203,$AG302)=0,"",INDEX(对接源_01水果!$M$4:$M$1203,$AG302)),IF(INDEX(对接源_02物料!$M$4:$M$1203,$AG302-1200)=0,"",INDEX(对接源_02物料!$M$4:$M$1203,$AG302-1200))))</f>
      </c>
      <c r="AG302" s="2">
        <f>IFERROR(MATCH(91,_自动清单!$AE$4:$AE$2403,0),"")</f>
      </c>
    </row>
    <row r="303" ht="18" customHeight="1" s="127">
      <c r="A303" s="165">
        <f>IF($AG303="","",IF($AG303&lt;=1200,IF(INDEX(对接源_01水果!$B$4:$B$1203,$AG303)=0,"",INDEX(对接源_01水果!$B$4:$B$1203,$AG303)),IF(INDEX(对接源_02物料!$B$4:$B$1203,$AG303-1200)=0,"",INDEX(对接源_02物料!$B$4:$B$1203,$AG303-1200))))</f>
      </c>
      <c r="B303" s="104">
        <f>IF($AG303="","",IF($AG303&lt;=1200,IF(INDEX(对接源_01水果!$E$4:$E$1203,$AG303)=0,"",INDEX(对接源_01水果!$E$4:$E$1203,$AG303)),IF(INDEX(对接源_02物料!$E$4:$E$1203,$AG303-1200)=0,"",INDEX(对接源_02物料!$E$4:$E$1203,$AG303-1200))))</f>
      </c>
      <c r="C303" s="104">
        <f>IF($AG303="","",IF($AG303&lt;=1200,IF(INDEX(对接源_01水果!$F$4:$F$1203,$AG303)=0,"",INDEX(对接源_01水果!$F$4:$F$1203,$AG303)),IF(INDEX(对接源_02物料!$F$4:$F$1203,$AG303-1200)=0,"",INDEX(对接源_02物料!$F$4:$F$1203,$AG303-1200))))</f>
      </c>
      <c r="D303" s="104">
        <f>IF($AG303="","",IF($AG303&lt;=1200,IF(INDEX(对接源_01水果!$G$4:$G$1203,$AG303)=0,"",INDEX(对接源_01水果!$G$4:$G$1203,$AG303)),IF(INDEX(对接源_02物料!$G$4:$G$1203,$AG303-1200)=0,"",INDEX(对接源_02物料!$G$4:$G$1203,$AG303-1200))))</f>
      </c>
      <c r="E303" s="166">
        <f>IF($AG303="","",IF($AG303&lt;=1200,IF(INDEX(对接源_01水果!$H$4:$H$1203,$AG303)=0,"",INDEX(对接源_01水果!$H$4:$H$1203,$AG303)),IF(INDEX(对接源_02物料!$H$4:$H$1203,$AG303-1200)=0,"",INDEX(对接源_02物料!$H$4:$H$1203,$AG303-1200))))</f>
      </c>
      <c r="F303" s="104">
        <f>IF($AG303="","",IF($AG303&lt;=1200,IF(INDEX(对接源_01水果!$I$4:$I$1203,$AG303)=0,"",INDEX(对接源_01水果!$I$4:$I$1203,$AG303)),IF(INDEX(对接源_02物料!$I$4:$I$1203,$AG303-1200)=0,"",INDEX(对接源_02物料!$I$4:$I$1203,$AG303-1200))))</f>
      </c>
      <c r="G303" s="175">
        <f>IF($AG303="","",IF($AG303&lt;=1200,IF(INDEX(对接源_01水果!$J$4:$J$1203,$AG303)=0,"",INDEX(对接源_01水果!$J$4:$J$1203,$AG303)),IF(INDEX(对接源_02物料!$J$4:$J$1203,$AG303-1200)=0,"",INDEX(对接源_02物料!$J$4:$J$1203,$AG303-1200))))</f>
      </c>
      <c r="H303" s="175">
        <f>IF($AG303="","",IF($AG303&lt;=1200,IF(INDEX(对接源_01水果!$K$4:$K$1203,$AG303)=0,"",INDEX(对接源_01水果!$K$4:$K$1203,$AG303)),IF(INDEX(对接源_02物料!$K$4:$K$1203,$AG303-1200)=0,"",INDEX(对接源_02物料!$K$4:$K$1203,$AG303-1200))))</f>
      </c>
      <c r="I303" s="104">
        <f>IF($AG303="","",IF($AG303&lt;=1200,IF(INDEX(对接源_01水果!$L$4:$L$1203,$AG303)=0,"",INDEX(对接源_01水果!$L$4:$L$1203,$AG303)),IF(INDEX(对接源_02物料!$L$4:$L$1203,$AG303-1200)=0,"",INDEX(对接源_02物料!$L$4:$L$1203,$AG303-1200))))</f>
      </c>
      <c r="J303" s="107">
        <f>IF($AG303="","",IF($AG303&lt;=1200,IF(INDEX(对接源_01水果!$M$4:$M$1203,$AG303)=0,"",INDEX(对接源_01水果!$M$4:$M$1203,$AG303)),IF(INDEX(对接源_02物料!$M$4:$M$1203,$AG303-1200)=0,"",INDEX(对接源_02物料!$M$4:$M$1203,$AG303-1200))))</f>
      </c>
      <c r="AG303" s="2">
        <f>IFERROR(MATCH(92,_自动清单!$AE$4:$AE$2403,0),"")</f>
      </c>
    </row>
    <row r="304" ht="18" customHeight="1" s="127">
      <c r="A304" s="163">
        <f>IF($AG304="","",IF($AG304&lt;=1200,IF(INDEX(对接源_01水果!$B$4:$B$1203,$AG304)=0,"",INDEX(对接源_01水果!$B$4:$B$1203,$AG304)),IF(INDEX(对接源_02物料!$B$4:$B$1203,$AG304-1200)=0,"",INDEX(对接源_02物料!$B$4:$B$1203,$AG304-1200))))</f>
      </c>
      <c r="B304" s="61">
        <f>IF($AG304="","",IF($AG304&lt;=1200,IF(INDEX(对接源_01水果!$E$4:$E$1203,$AG304)=0,"",INDEX(对接源_01水果!$E$4:$E$1203,$AG304)),IF(INDEX(对接源_02物料!$E$4:$E$1203,$AG304-1200)=0,"",INDEX(对接源_02物料!$E$4:$E$1203,$AG304-1200))))</f>
      </c>
      <c r="C304" s="61">
        <f>IF($AG304="","",IF($AG304&lt;=1200,IF(INDEX(对接源_01水果!$F$4:$F$1203,$AG304)=0,"",INDEX(对接源_01水果!$F$4:$F$1203,$AG304)),IF(INDEX(对接源_02物料!$F$4:$F$1203,$AG304-1200)=0,"",INDEX(对接源_02物料!$F$4:$F$1203,$AG304-1200))))</f>
      </c>
      <c r="D304" s="61">
        <f>IF($AG304="","",IF($AG304&lt;=1200,IF(INDEX(对接源_01水果!$G$4:$G$1203,$AG304)=0,"",INDEX(对接源_01水果!$G$4:$G$1203,$AG304)),IF(INDEX(对接源_02物料!$G$4:$G$1203,$AG304-1200)=0,"",INDEX(对接源_02物料!$G$4:$G$1203,$AG304-1200))))</f>
      </c>
      <c r="E304" s="164">
        <f>IF($AG304="","",IF($AG304&lt;=1200,IF(INDEX(对接源_01水果!$H$4:$H$1203,$AG304)=0,"",INDEX(对接源_01水果!$H$4:$H$1203,$AG304)),IF(INDEX(对接源_02物料!$H$4:$H$1203,$AG304-1200)=0,"",INDEX(对接源_02物料!$H$4:$H$1203,$AG304-1200))))</f>
      </c>
      <c r="F304" s="61">
        <f>IF($AG304="","",IF($AG304&lt;=1200,IF(INDEX(对接源_01水果!$I$4:$I$1203,$AG304)=0,"",INDEX(对接源_01水果!$I$4:$I$1203,$AG304)),IF(INDEX(对接源_02物料!$I$4:$I$1203,$AG304-1200)=0,"",INDEX(对接源_02物料!$I$4:$I$1203,$AG304-1200))))</f>
      </c>
      <c r="G304" s="173">
        <f>IF($AG304="","",IF($AG304&lt;=1200,IF(INDEX(对接源_01水果!$J$4:$J$1203,$AG304)=0,"",INDEX(对接源_01水果!$J$4:$J$1203,$AG304)),IF(INDEX(对接源_02物料!$J$4:$J$1203,$AG304-1200)=0,"",INDEX(对接源_02物料!$J$4:$J$1203,$AG304-1200))))</f>
      </c>
      <c r="H304" s="173">
        <f>IF($AG304="","",IF($AG304&lt;=1200,IF(INDEX(对接源_01水果!$K$4:$K$1203,$AG304)=0,"",INDEX(对接源_01水果!$K$4:$K$1203,$AG304)),IF(INDEX(对接源_02物料!$K$4:$K$1203,$AG304-1200)=0,"",INDEX(对接源_02物料!$K$4:$K$1203,$AG304-1200))))</f>
      </c>
      <c r="I304" s="61">
        <f>IF($AG304="","",IF($AG304&lt;=1200,IF(INDEX(对接源_01水果!$L$4:$L$1203,$AG304)=0,"",INDEX(对接源_01水果!$L$4:$L$1203,$AG304)),IF(INDEX(对接源_02物料!$L$4:$L$1203,$AG304-1200)=0,"",INDEX(对接源_02物料!$L$4:$L$1203,$AG304-1200))))</f>
      </c>
      <c r="J304" s="64">
        <f>IF($AG304="","",IF($AG304&lt;=1200,IF(INDEX(对接源_01水果!$M$4:$M$1203,$AG304)=0,"",INDEX(对接源_01水果!$M$4:$M$1203,$AG304)),IF(INDEX(对接源_02物料!$M$4:$M$1203,$AG304-1200)=0,"",INDEX(对接源_02物料!$M$4:$M$1203,$AG304-1200))))</f>
      </c>
      <c r="AG304" s="2">
        <f>IFERROR(MATCH(93,_自动清单!$AE$4:$AE$2403,0),"")</f>
      </c>
    </row>
    <row r="305" ht="18" customHeight="1" s="127">
      <c r="A305" s="165">
        <f>IF($AG305="","",IF($AG305&lt;=1200,IF(INDEX(对接源_01水果!$B$4:$B$1203,$AG305)=0,"",INDEX(对接源_01水果!$B$4:$B$1203,$AG305)),IF(INDEX(对接源_02物料!$B$4:$B$1203,$AG305-1200)=0,"",INDEX(对接源_02物料!$B$4:$B$1203,$AG305-1200))))</f>
      </c>
      <c r="B305" s="104">
        <f>IF($AG305="","",IF($AG305&lt;=1200,IF(INDEX(对接源_01水果!$E$4:$E$1203,$AG305)=0,"",INDEX(对接源_01水果!$E$4:$E$1203,$AG305)),IF(INDEX(对接源_02物料!$E$4:$E$1203,$AG305-1200)=0,"",INDEX(对接源_02物料!$E$4:$E$1203,$AG305-1200))))</f>
      </c>
      <c r="C305" s="104">
        <f>IF($AG305="","",IF($AG305&lt;=1200,IF(INDEX(对接源_01水果!$F$4:$F$1203,$AG305)=0,"",INDEX(对接源_01水果!$F$4:$F$1203,$AG305)),IF(INDEX(对接源_02物料!$F$4:$F$1203,$AG305-1200)=0,"",INDEX(对接源_02物料!$F$4:$F$1203,$AG305-1200))))</f>
      </c>
      <c r="D305" s="104">
        <f>IF($AG305="","",IF($AG305&lt;=1200,IF(INDEX(对接源_01水果!$G$4:$G$1203,$AG305)=0,"",INDEX(对接源_01水果!$G$4:$G$1203,$AG305)),IF(INDEX(对接源_02物料!$G$4:$G$1203,$AG305-1200)=0,"",INDEX(对接源_02物料!$G$4:$G$1203,$AG305-1200))))</f>
      </c>
      <c r="E305" s="166">
        <f>IF($AG305="","",IF($AG305&lt;=1200,IF(INDEX(对接源_01水果!$H$4:$H$1203,$AG305)=0,"",INDEX(对接源_01水果!$H$4:$H$1203,$AG305)),IF(INDEX(对接源_02物料!$H$4:$H$1203,$AG305-1200)=0,"",INDEX(对接源_02物料!$H$4:$H$1203,$AG305-1200))))</f>
      </c>
      <c r="F305" s="104">
        <f>IF($AG305="","",IF($AG305&lt;=1200,IF(INDEX(对接源_01水果!$I$4:$I$1203,$AG305)=0,"",INDEX(对接源_01水果!$I$4:$I$1203,$AG305)),IF(INDEX(对接源_02物料!$I$4:$I$1203,$AG305-1200)=0,"",INDEX(对接源_02物料!$I$4:$I$1203,$AG305-1200))))</f>
      </c>
      <c r="G305" s="175">
        <f>IF($AG305="","",IF($AG305&lt;=1200,IF(INDEX(对接源_01水果!$J$4:$J$1203,$AG305)=0,"",INDEX(对接源_01水果!$J$4:$J$1203,$AG305)),IF(INDEX(对接源_02物料!$J$4:$J$1203,$AG305-1200)=0,"",INDEX(对接源_02物料!$J$4:$J$1203,$AG305-1200))))</f>
      </c>
      <c r="H305" s="175">
        <f>IF($AG305="","",IF($AG305&lt;=1200,IF(INDEX(对接源_01水果!$K$4:$K$1203,$AG305)=0,"",INDEX(对接源_01水果!$K$4:$K$1203,$AG305)),IF(INDEX(对接源_02物料!$K$4:$K$1203,$AG305-1200)=0,"",INDEX(对接源_02物料!$K$4:$K$1203,$AG305-1200))))</f>
      </c>
      <c r="I305" s="104">
        <f>IF($AG305="","",IF($AG305&lt;=1200,IF(INDEX(对接源_01水果!$L$4:$L$1203,$AG305)=0,"",INDEX(对接源_01水果!$L$4:$L$1203,$AG305)),IF(INDEX(对接源_02物料!$L$4:$L$1203,$AG305-1200)=0,"",INDEX(对接源_02物料!$L$4:$L$1203,$AG305-1200))))</f>
      </c>
      <c r="J305" s="107">
        <f>IF($AG305="","",IF($AG305&lt;=1200,IF(INDEX(对接源_01水果!$M$4:$M$1203,$AG305)=0,"",INDEX(对接源_01水果!$M$4:$M$1203,$AG305)),IF(INDEX(对接源_02物料!$M$4:$M$1203,$AG305-1200)=0,"",INDEX(对接源_02物料!$M$4:$M$1203,$AG305-1200))))</f>
      </c>
      <c r="AG305" s="2">
        <f>IFERROR(MATCH(94,_自动清单!$AE$4:$AE$2403,0),"")</f>
      </c>
    </row>
    <row r="306" ht="18" customHeight="1" s="127">
      <c r="A306" s="163">
        <f>IF($AG306="","",IF($AG306&lt;=1200,IF(INDEX(对接源_01水果!$B$4:$B$1203,$AG306)=0,"",INDEX(对接源_01水果!$B$4:$B$1203,$AG306)),IF(INDEX(对接源_02物料!$B$4:$B$1203,$AG306-1200)=0,"",INDEX(对接源_02物料!$B$4:$B$1203,$AG306-1200))))</f>
      </c>
      <c r="B306" s="61">
        <f>IF($AG306="","",IF($AG306&lt;=1200,IF(INDEX(对接源_01水果!$E$4:$E$1203,$AG306)=0,"",INDEX(对接源_01水果!$E$4:$E$1203,$AG306)),IF(INDEX(对接源_02物料!$E$4:$E$1203,$AG306-1200)=0,"",INDEX(对接源_02物料!$E$4:$E$1203,$AG306-1200))))</f>
      </c>
      <c r="C306" s="61">
        <f>IF($AG306="","",IF($AG306&lt;=1200,IF(INDEX(对接源_01水果!$F$4:$F$1203,$AG306)=0,"",INDEX(对接源_01水果!$F$4:$F$1203,$AG306)),IF(INDEX(对接源_02物料!$F$4:$F$1203,$AG306-1200)=0,"",INDEX(对接源_02物料!$F$4:$F$1203,$AG306-1200))))</f>
      </c>
      <c r="D306" s="61">
        <f>IF($AG306="","",IF($AG306&lt;=1200,IF(INDEX(对接源_01水果!$G$4:$G$1203,$AG306)=0,"",INDEX(对接源_01水果!$G$4:$G$1203,$AG306)),IF(INDEX(对接源_02物料!$G$4:$G$1203,$AG306-1200)=0,"",INDEX(对接源_02物料!$G$4:$G$1203,$AG306-1200))))</f>
      </c>
      <c r="E306" s="164">
        <f>IF($AG306="","",IF($AG306&lt;=1200,IF(INDEX(对接源_01水果!$H$4:$H$1203,$AG306)=0,"",INDEX(对接源_01水果!$H$4:$H$1203,$AG306)),IF(INDEX(对接源_02物料!$H$4:$H$1203,$AG306-1200)=0,"",INDEX(对接源_02物料!$H$4:$H$1203,$AG306-1200))))</f>
      </c>
      <c r="F306" s="61">
        <f>IF($AG306="","",IF($AG306&lt;=1200,IF(INDEX(对接源_01水果!$I$4:$I$1203,$AG306)=0,"",INDEX(对接源_01水果!$I$4:$I$1203,$AG306)),IF(INDEX(对接源_02物料!$I$4:$I$1203,$AG306-1200)=0,"",INDEX(对接源_02物料!$I$4:$I$1203,$AG306-1200))))</f>
      </c>
      <c r="G306" s="173">
        <f>IF($AG306="","",IF($AG306&lt;=1200,IF(INDEX(对接源_01水果!$J$4:$J$1203,$AG306)=0,"",INDEX(对接源_01水果!$J$4:$J$1203,$AG306)),IF(INDEX(对接源_02物料!$J$4:$J$1203,$AG306-1200)=0,"",INDEX(对接源_02物料!$J$4:$J$1203,$AG306-1200))))</f>
      </c>
      <c r="H306" s="173">
        <f>IF($AG306="","",IF($AG306&lt;=1200,IF(INDEX(对接源_01水果!$K$4:$K$1203,$AG306)=0,"",INDEX(对接源_01水果!$K$4:$K$1203,$AG306)),IF(INDEX(对接源_02物料!$K$4:$K$1203,$AG306-1200)=0,"",INDEX(对接源_02物料!$K$4:$K$1203,$AG306-1200))))</f>
      </c>
      <c r="I306" s="61">
        <f>IF($AG306="","",IF($AG306&lt;=1200,IF(INDEX(对接源_01水果!$L$4:$L$1203,$AG306)=0,"",INDEX(对接源_01水果!$L$4:$L$1203,$AG306)),IF(INDEX(对接源_02物料!$L$4:$L$1203,$AG306-1200)=0,"",INDEX(对接源_02物料!$L$4:$L$1203,$AG306-1200))))</f>
      </c>
      <c r="J306" s="64">
        <f>IF($AG306="","",IF($AG306&lt;=1200,IF(INDEX(对接源_01水果!$M$4:$M$1203,$AG306)=0,"",INDEX(对接源_01水果!$M$4:$M$1203,$AG306)),IF(INDEX(对接源_02物料!$M$4:$M$1203,$AG306-1200)=0,"",INDEX(对接源_02物料!$M$4:$M$1203,$AG306-1200))))</f>
      </c>
      <c r="AG306" s="2">
        <f>IFERROR(MATCH(95,_自动清单!$AE$4:$AE$2403,0),"")</f>
      </c>
    </row>
    <row r="307" ht="18" customHeight="1" s="127">
      <c r="A307" s="165">
        <f>IF($AG307="","",IF($AG307&lt;=1200,IF(INDEX(对接源_01水果!$B$4:$B$1203,$AG307)=0,"",INDEX(对接源_01水果!$B$4:$B$1203,$AG307)),IF(INDEX(对接源_02物料!$B$4:$B$1203,$AG307-1200)=0,"",INDEX(对接源_02物料!$B$4:$B$1203,$AG307-1200))))</f>
      </c>
      <c r="B307" s="104">
        <f>IF($AG307="","",IF($AG307&lt;=1200,IF(INDEX(对接源_01水果!$E$4:$E$1203,$AG307)=0,"",INDEX(对接源_01水果!$E$4:$E$1203,$AG307)),IF(INDEX(对接源_02物料!$E$4:$E$1203,$AG307-1200)=0,"",INDEX(对接源_02物料!$E$4:$E$1203,$AG307-1200))))</f>
      </c>
      <c r="C307" s="104">
        <f>IF($AG307="","",IF($AG307&lt;=1200,IF(INDEX(对接源_01水果!$F$4:$F$1203,$AG307)=0,"",INDEX(对接源_01水果!$F$4:$F$1203,$AG307)),IF(INDEX(对接源_02物料!$F$4:$F$1203,$AG307-1200)=0,"",INDEX(对接源_02物料!$F$4:$F$1203,$AG307-1200))))</f>
      </c>
      <c r="D307" s="104">
        <f>IF($AG307="","",IF($AG307&lt;=1200,IF(INDEX(对接源_01水果!$G$4:$G$1203,$AG307)=0,"",INDEX(对接源_01水果!$G$4:$G$1203,$AG307)),IF(INDEX(对接源_02物料!$G$4:$G$1203,$AG307-1200)=0,"",INDEX(对接源_02物料!$G$4:$G$1203,$AG307-1200))))</f>
      </c>
      <c r="E307" s="166">
        <f>IF($AG307="","",IF($AG307&lt;=1200,IF(INDEX(对接源_01水果!$H$4:$H$1203,$AG307)=0,"",INDEX(对接源_01水果!$H$4:$H$1203,$AG307)),IF(INDEX(对接源_02物料!$H$4:$H$1203,$AG307-1200)=0,"",INDEX(对接源_02物料!$H$4:$H$1203,$AG307-1200))))</f>
      </c>
      <c r="F307" s="104">
        <f>IF($AG307="","",IF($AG307&lt;=1200,IF(INDEX(对接源_01水果!$I$4:$I$1203,$AG307)=0,"",INDEX(对接源_01水果!$I$4:$I$1203,$AG307)),IF(INDEX(对接源_02物料!$I$4:$I$1203,$AG307-1200)=0,"",INDEX(对接源_02物料!$I$4:$I$1203,$AG307-1200))))</f>
      </c>
      <c r="G307" s="175">
        <f>IF($AG307="","",IF($AG307&lt;=1200,IF(INDEX(对接源_01水果!$J$4:$J$1203,$AG307)=0,"",INDEX(对接源_01水果!$J$4:$J$1203,$AG307)),IF(INDEX(对接源_02物料!$J$4:$J$1203,$AG307-1200)=0,"",INDEX(对接源_02物料!$J$4:$J$1203,$AG307-1200))))</f>
      </c>
      <c r="H307" s="175">
        <f>IF($AG307="","",IF($AG307&lt;=1200,IF(INDEX(对接源_01水果!$K$4:$K$1203,$AG307)=0,"",INDEX(对接源_01水果!$K$4:$K$1203,$AG307)),IF(INDEX(对接源_02物料!$K$4:$K$1203,$AG307-1200)=0,"",INDEX(对接源_02物料!$K$4:$K$1203,$AG307-1200))))</f>
      </c>
      <c r="I307" s="104">
        <f>IF($AG307="","",IF($AG307&lt;=1200,IF(INDEX(对接源_01水果!$L$4:$L$1203,$AG307)=0,"",INDEX(对接源_01水果!$L$4:$L$1203,$AG307)),IF(INDEX(对接源_02物料!$L$4:$L$1203,$AG307-1200)=0,"",INDEX(对接源_02物料!$L$4:$L$1203,$AG307-1200))))</f>
      </c>
      <c r="J307" s="107">
        <f>IF($AG307="","",IF($AG307&lt;=1200,IF(INDEX(对接源_01水果!$M$4:$M$1203,$AG307)=0,"",INDEX(对接源_01水果!$M$4:$M$1203,$AG307)),IF(INDEX(对接源_02物料!$M$4:$M$1203,$AG307-1200)=0,"",INDEX(对接源_02物料!$M$4:$M$1203,$AG307-1200))))</f>
      </c>
      <c r="AG307" s="2">
        <f>IFERROR(MATCH(96,_自动清单!$AE$4:$AE$2403,0),"")</f>
      </c>
    </row>
    <row r="308" ht="18" customHeight="1" s="127">
      <c r="A308" s="163">
        <f>IF($AG308="","",IF($AG308&lt;=1200,IF(INDEX(对接源_01水果!$B$4:$B$1203,$AG308)=0,"",INDEX(对接源_01水果!$B$4:$B$1203,$AG308)),IF(INDEX(对接源_02物料!$B$4:$B$1203,$AG308-1200)=0,"",INDEX(对接源_02物料!$B$4:$B$1203,$AG308-1200))))</f>
      </c>
      <c r="B308" s="61">
        <f>IF($AG308="","",IF($AG308&lt;=1200,IF(INDEX(对接源_01水果!$E$4:$E$1203,$AG308)=0,"",INDEX(对接源_01水果!$E$4:$E$1203,$AG308)),IF(INDEX(对接源_02物料!$E$4:$E$1203,$AG308-1200)=0,"",INDEX(对接源_02物料!$E$4:$E$1203,$AG308-1200))))</f>
      </c>
      <c r="C308" s="61">
        <f>IF($AG308="","",IF($AG308&lt;=1200,IF(INDEX(对接源_01水果!$F$4:$F$1203,$AG308)=0,"",INDEX(对接源_01水果!$F$4:$F$1203,$AG308)),IF(INDEX(对接源_02物料!$F$4:$F$1203,$AG308-1200)=0,"",INDEX(对接源_02物料!$F$4:$F$1203,$AG308-1200))))</f>
      </c>
      <c r="D308" s="61">
        <f>IF($AG308="","",IF($AG308&lt;=1200,IF(INDEX(对接源_01水果!$G$4:$G$1203,$AG308)=0,"",INDEX(对接源_01水果!$G$4:$G$1203,$AG308)),IF(INDEX(对接源_02物料!$G$4:$G$1203,$AG308-1200)=0,"",INDEX(对接源_02物料!$G$4:$G$1203,$AG308-1200))))</f>
      </c>
      <c r="E308" s="164">
        <f>IF($AG308="","",IF($AG308&lt;=1200,IF(INDEX(对接源_01水果!$H$4:$H$1203,$AG308)=0,"",INDEX(对接源_01水果!$H$4:$H$1203,$AG308)),IF(INDEX(对接源_02物料!$H$4:$H$1203,$AG308-1200)=0,"",INDEX(对接源_02物料!$H$4:$H$1203,$AG308-1200))))</f>
      </c>
      <c r="F308" s="61">
        <f>IF($AG308="","",IF($AG308&lt;=1200,IF(INDEX(对接源_01水果!$I$4:$I$1203,$AG308)=0,"",INDEX(对接源_01水果!$I$4:$I$1203,$AG308)),IF(INDEX(对接源_02物料!$I$4:$I$1203,$AG308-1200)=0,"",INDEX(对接源_02物料!$I$4:$I$1203,$AG308-1200))))</f>
      </c>
      <c r="G308" s="173">
        <f>IF($AG308="","",IF($AG308&lt;=1200,IF(INDEX(对接源_01水果!$J$4:$J$1203,$AG308)=0,"",INDEX(对接源_01水果!$J$4:$J$1203,$AG308)),IF(INDEX(对接源_02物料!$J$4:$J$1203,$AG308-1200)=0,"",INDEX(对接源_02物料!$J$4:$J$1203,$AG308-1200))))</f>
      </c>
      <c r="H308" s="173">
        <f>IF($AG308="","",IF($AG308&lt;=1200,IF(INDEX(对接源_01水果!$K$4:$K$1203,$AG308)=0,"",INDEX(对接源_01水果!$K$4:$K$1203,$AG308)),IF(INDEX(对接源_02物料!$K$4:$K$1203,$AG308-1200)=0,"",INDEX(对接源_02物料!$K$4:$K$1203,$AG308-1200))))</f>
      </c>
      <c r="I308" s="61">
        <f>IF($AG308="","",IF($AG308&lt;=1200,IF(INDEX(对接源_01水果!$L$4:$L$1203,$AG308)=0,"",INDEX(对接源_01水果!$L$4:$L$1203,$AG308)),IF(INDEX(对接源_02物料!$L$4:$L$1203,$AG308-1200)=0,"",INDEX(对接源_02物料!$L$4:$L$1203,$AG308-1200))))</f>
      </c>
      <c r="J308" s="64">
        <f>IF($AG308="","",IF($AG308&lt;=1200,IF(INDEX(对接源_01水果!$M$4:$M$1203,$AG308)=0,"",INDEX(对接源_01水果!$M$4:$M$1203,$AG308)),IF(INDEX(对接源_02物料!$M$4:$M$1203,$AG308-1200)=0,"",INDEX(对接源_02物料!$M$4:$M$1203,$AG308-1200))))</f>
      </c>
      <c r="AG308" s="2">
        <f>IFERROR(MATCH(97,_自动清单!$AE$4:$AE$2403,0),"")</f>
      </c>
    </row>
    <row r="309" ht="18" customHeight="1" s="127">
      <c r="A309" s="165">
        <f>IF($AG309="","",IF($AG309&lt;=1200,IF(INDEX(对接源_01水果!$B$4:$B$1203,$AG309)=0,"",INDEX(对接源_01水果!$B$4:$B$1203,$AG309)),IF(INDEX(对接源_02物料!$B$4:$B$1203,$AG309-1200)=0,"",INDEX(对接源_02物料!$B$4:$B$1203,$AG309-1200))))</f>
      </c>
      <c r="B309" s="104">
        <f>IF($AG309="","",IF($AG309&lt;=1200,IF(INDEX(对接源_01水果!$E$4:$E$1203,$AG309)=0,"",INDEX(对接源_01水果!$E$4:$E$1203,$AG309)),IF(INDEX(对接源_02物料!$E$4:$E$1203,$AG309-1200)=0,"",INDEX(对接源_02物料!$E$4:$E$1203,$AG309-1200))))</f>
      </c>
      <c r="C309" s="104">
        <f>IF($AG309="","",IF($AG309&lt;=1200,IF(INDEX(对接源_01水果!$F$4:$F$1203,$AG309)=0,"",INDEX(对接源_01水果!$F$4:$F$1203,$AG309)),IF(INDEX(对接源_02物料!$F$4:$F$1203,$AG309-1200)=0,"",INDEX(对接源_02物料!$F$4:$F$1203,$AG309-1200))))</f>
      </c>
      <c r="D309" s="104">
        <f>IF($AG309="","",IF($AG309&lt;=1200,IF(INDEX(对接源_01水果!$G$4:$G$1203,$AG309)=0,"",INDEX(对接源_01水果!$G$4:$G$1203,$AG309)),IF(INDEX(对接源_02物料!$G$4:$G$1203,$AG309-1200)=0,"",INDEX(对接源_02物料!$G$4:$G$1203,$AG309-1200))))</f>
      </c>
      <c r="E309" s="166">
        <f>IF($AG309="","",IF($AG309&lt;=1200,IF(INDEX(对接源_01水果!$H$4:$H$1203,$AG309)=0,"",INDEX(对接源_01水果!$H$4:$H$1203,$AG309)),IF(INDEX(对接源_02物料!$H$4:$H$1203,$AG309-1200)=0,"",INDEX(对接源_02物料!$H$4:$H$1203,$AG309-1200))))</f>
      </c>
      <c r="F309" s="104">
        <f>IF($AG309="","",IF($AG309&lt;=1200,IF(INDEX(对接源_01水果!$I$4:$I$1203,$AG309)=0,"",INDEX(对接源_01水果!$I$4:$I$1203,$AG309)),IF(INDEX(对接源_02物料!$I$4:$I$1203,$AG309-1200)=0,"",INDEX(对接源_02物料!$I$4:$I$1203,$AG309-1200))))</f>
      </c>
      <c r="G309" s="175">
        <f>IF($AG309="","",IF($AG309&lt;=1200,IF(INDEX(对接源_01水果!$J$4:$J$1203,$AG309)=0,"",INDEX(对接源_01水果!$J$4:$J$1203,$AG309)),IF(INDEX(对接源_02物料!$J$4:$J$1203,$AG309-1200)=0,"",INDEX(对接源_02物料!$J$4:$J$1203,$AG309-1200))))</f>
      </c>
      <c r="H309" s="175">
        <f>IF($AG309="","",IF($AG309&lt;=1200,IF(INDEX(对接源_01水果!$K$4:$K$1203,$AG309)=0,"",INDEX(对接源_01水果!$K$4:$K$1203,$AG309)),IF(INDEX(对接源_02物料!$K$4:$K$1203,$AG309-1200)=0,"",INDEX(对接源_02物料!$K$4:$K$1203,$AG309-1200))))</f>
      </c>
      <c r="I309" s="104">
        <f>IF($AG309="","",IF($AG309&lt;=1200,IF(INDEX(对接源_01水果!$L$4:$L$1203,$AG309)=0,"",INDEX(对接源_01水果!$L$4:$L$1203,$AG309)),IF(INDEX(对接源_02物料!$L$4:$L$1203,$AG309-1200)=0,"",INDEX(对接源_02物料!$L$4:$L$1203,$AG309-1200))))</f>
      </c>
      <c r="J309" s="107">
        <f>IF($AG309="","",IF($AG309&lt;=1200,IF(INDEX(对接源_01水果!$M$4:$M$1203,$AG309)=0,"",INDEX(对接源_01水果!$M$4:$M$1203,$AG309)),IF(INDEX(对接源_02物料!$M$4:$M$1203,$AG309-1200)=0,"",INDEX(对接源_02物料!$M$4:$M$1203,$AG309-1200))))</f>
      </c>
      <c r="AG309" s="2">
        <f>IFERROR(MATCH(98,_自动清单!$AE$4:$AE$2403,0),"")</f>
      </c>
    </row>
    <row r="310" ht="18" customHeight="1" s="127">
      <c r="A310" s="163">
        <f>IF($AG310="","",IF($AG310&lt;=1200,IF(INDEX(对接源_01水果!$B$4:$B$1203,$AG310)=0,"",INDEX(对接源_01水果!$B$4:$B$1203,$AG310)),IF(INDEX(对接源_02物料!$B$4:$B$1203,$AG310-1200)=0,"",INDEX(对接源_02物料!$B$4:$B$1203,$AG310-1200))))</f>
      </c>
      <c r="B310" s="61">
        <f>IF($AG310="","",IF($AG310&lt;=1200,IF(INDEX(对接源_01水果!$E$4:$E$1203,$AG310)=0,"",INDEX(对接源_01水果!$E$4:$E$1203,$AG310)),IF(INDEX(对接源_02物料!$E$4:$E$1203,$AG310-1200)=0,"",INDEX(对接源_02物料!$E$4:$E$1203,$AG310-1200))))</f>
      </c>
      <c r="C310" s="61">
        <f>IF($AG310="","",IF($AG310&lt;=1200,IF(INDEX(对接源_01水果!$F$4:$F$1203,$AG310)=0,"",INDEX(对接源_01水果!$F$4:$F$1203,$AG310)),IF(INDEX(对接源_02物料!$F$4:$F$1203,$AG310-1200)=0,"",INDEX(对接源_02物料!$F$4:$F$1203,$AG310-1200))))</f>
      </c>
      <c r="D310" s="61">
        <f>IF($AG310="","",IF($AG310&lt;=1200,IF(INDEX(对接源_01水果!$G$4:$G$1203,$AG310)=0,"",INDEX(对接源_01水果!$G$4:$G$1203,$AG310)),IF(INDEX(对接源_02物料!$G$4:$G$1203,$AG310-1200)=0,"",INDEX(对接源_02物料!$G$4:$G$1203,$AG310-1200))))</f>
      </c>
      <c r="E310" s="164">
        <f>IF($AG310="","",IF($AG310&lt;=1200,IF(INDEX(对接源_01水果!$H$4:$H$1203,$AG310)=0,"",INDEX(对接源_01水果!$H$4:$H$1203,$AG310)),IF(INDEX(对接源_02物料!$H$4:$H$1203,$AG310-1200)=0,"",INDEX(对接源_02物料!$H$4:$H$1203,$AG310-1200))))</f>
      </c>
      <c r="F310" s="61">
        <f>IF($AG310="","",IF($AG310&lt;=1200,IF(INDEX(对接源_01水果!$I$4:$I$1203,$AG310)=0,"",INDEX(对接源_01水果!$I$4:$I$1203,$AG310)),IF(INDEX(对接源_02物料!$I$4:$I$1203,$AG310-1200)=0,"",INDEX(对接源_02物料!$I$4:$I$1203,$AG310-1200))))</f>
      </c>
      <c r="G310" s="173">
        <f>IF($AG310="","",IF($AG310&lt;=1200,IF(INDEX(对接源_01水果!$J$4:$J$1203,$AG310)=0,"",INDEX(对接源_01水果!$J$4:$J$1203,$AG310)),IF(INDEX(对接源_02物料!$J$4:$J$1203,$AG310-1200)=0,"",INDEX(对接源_02物料!$J$4:$J$1203,$AG310-1200))))</f>
      </c>
      <c r="H310" s="173">
        <f>IF($AG310="","",IF($AG310&lt;=1200,IF(INDEX(对接源_01水果!$K$4:$K$1203,$AG310)=0,"",INDEX(对接源_01水果!$K$4:$K$1203,$AG310)),IF(INDEX(对接源_02物料!$K$4:$K$1203,$AG310-1200)=0,"",INDEX(对接源_02物料!$K$4:$K$1203,$AG310-1200))))</f>
      </c>
      <c r="I310" s="61">
        <f>IF($AG310="","",IF($AG310&lt;=1200,IF(INDEX(对接源_01水果!$L$4:$L$1203,$AG310)=0,"",INDEX(对接源_01水果!$L$4:$L$1203,$AG310)),IF(INDEX(对接源_02物料!$L$4:$L$1203,$AG310-1200)=0,"",INDEX(对接源_02物料!$L$4:$L$1203,$AG310-1200))))</f>
      </c>
      <c r="J310" s="64">
        <f>IF($AG310="","",IF($AG310&lt;=1200,IF(INDEX(对接源_01水果!$M$4:$M$1203,$AG310)=0,"",INDEX(对接源_01水果!$M$4:$M$1203,$AG310)),IF(INDEX(对接源_02物料!$M$4:$M$1203,$AG310-1200)=0,"",INDEX(对接源_02物料!$M$4:$M$1203,$AG310-1200))))</f>
      </c>
      <c r="AG310" s="2">
        <f>IFERROR(MATCH(99,_自动清单!$AE$4:$AE$2403,0),"")</f>
      </c>
    </row>
    <row r="311" ht="18" customHeight="1" s="127">
      <c r="A311" s="165">
        <f>IF($AG311="","",IF($AG311&lt;=1200,IF(INDEX(对接源_01水果!$B$4:$B$1203,$AG311)=0,"",INDEX(对接源_01水果!$B$4:$B$1203,$AG311)),IF(INDEX(对接源_02物料!$B$4:$B$1203,$AG311-1200)=0,"",INDEX(对接源_02物料!$B$4:$B$1203,$AG311-1200))))</f>
      </c>
      <c r="B311" s="104">
        <f>IF($AG311="","",IF($AG311&lt;=1200,IF(INDEX(对接源_01水果!$E$4:$E$1203,$AG311)=0,"",INDEX(对接源_01水果!$E$4:$E$1203,$AG311)),IF(INDEX(对接源_02物料!$E$4:$E$1203,$AG311-1200)=0,"",INDEX(对接源_02物料!$E$4:$E$1203,$AG311-1200))))</f>
      </c>
      <c r="C311" s="104">
        <f>IF($AG311="","",IF($AG311&lt;=1200,IF(INDEX(对接源_01水果!$F$4:$F$1203,$AG311)=0,"",INDEX(对接源_01水果!$F$4:$F$1203,$AG311)),IF(INDEX(对接源_02物料!$F$4:$F$1203,$AG311-1200)=0,"",INDEX(对接源_02物料!$F$4:$F$1203,$AG311-1200))))</f>
      </c>
      <c r="D311" s="104">
        <f>IF($AG311="","",IF($AG311&lt;=1200,IF(INDEX(对接源_01水果!$G$4:$G$1203,$AG311)=0,"",INDEX(对接源_01水果!$G$4:$G$1203,$AG311)),IF(INDEX(对接源_02物料!$G$4:$G$1203,$AG311-1200)=0,"",INDEX(对接源_02物料!$G$4:$G$1203,$AG311-1200))))</f>
      </c>
      <c r="E311" s="166">
        <f>IF($AG311="","",IF($AG311&lt;=1200,IF(INDEX(对接源_01水果!$H$4:$H$1203,$AG311)=0,"",INDEX(对接源_01水果!$H$4:$H$1203,$AG311)),IF(INDEX(对接源_02物料!$H$4:$H$1203,$AG311-1200)=0,"",INDEX(对接源_02物料!$H$4:$H$1203,$AG311-1200))))</f>
      </c>
      <c r="F311" s="104">
        <f>IF($AG311="","",IF($AG311&lt;=1200,IF(INDEX(对接源_01水果!$I$4:$I$1203,$AG311)=0,"",INDEX(对接源_01水果!$I$4:$I$1203,$AG311)),IF(INDEX(对接源_02物料!$I$4:$I$1203,$AG311-1200)=0,"",INDEX(对接源_02物料!$I$4:$I$1203,$AG311-1200))))</f>
      </c>
      <c r="G311" s="175">
        <f>IF($AG311="","",IF($AG311&lt;=1200,IF(INDEX(对接源_01水果!$J$4:$J$1203,$AG311)=0,"",INDEX(对接源_01水果!$J$4:$J$1203,$AG311)),IF(INDEX(对接源_02物料!$J$4:$J$1203,$AG311-1200)=0,"",INDEX(对接源_02物料!$J$4:$J$1203,$AG311-1200))))</f>
      </c>
      <c r="H311" s="175">
        <f>IF($AG311="","",IF($AG311&lt;=1200,IF(INDEX(对接源_01水果!$K$4:$K$1203,$AG311)=0,"",INDEX(对接源_01水果!$K$4:$K$1203,$AG311)),IF(INDEX(对接源_02物料!$K$4:$K$1203,$AG311-1200)=0,"",INDEX(对接源_02物料!$K$4:$K$1203,$AG311-1200))))</f>
      </c>
      <c r="I311" s="104">
        <f>IF($AG311="","",IF($AG311&lt;=1200,IF(INDEX(对接源_01水果!$L$4:$L$1203,$AG311)=0,"",INDEX(对接源_01水果!$L$4:$L$1203,$AG311)),IF(INDEX(对接源_02物料!$L$4:$L$1203,$AG311-1200)=0,"",INDEX(对接源_02物料!$L$4:$L$1203,$AG311-1200))))</f>
      </c>
      <c r="J311" s="107">
        <f>IF($AG311="","",IF($AG311&lt;=1200,IF(INDEX(对接源_01水果!$M$4:$M$1203,$AG311)=0,"",INDEX(对接源_01水果!$M$4:$M$1203,$AG311)),IF(INDEX(对接源_02物料!$M$4:$M$1203,$AG311-1200)=0,"",INDEX(对接源_02物料!$M$4:$M$1203,$AG311-1200))))</f>
      </c>
      <c r="AG311" s="2">
        <f>IFERROR(MATCH(100,_自动清单!$AE$4:$AE$2403,0),"")</f>
      </c>
    </row>
  </sheetData>
  <mergeCells count="19">
    <mergeCell ref="L7:M7"/>
    <mergeCell ref="A4:G4"/>
    <mergeCell ref="A1:H1"/>
    <mergeCell ref="L3:M3"/>
    <mergeCell ref="B2:C2"/>
    <mergeCell ref="L10:N10"/>
    <mergeCell ref="A127:G127"/>
    <mergeCell ref="L5:M5"/>
    <mergeCell ref="L8:M8"/>
    <mergeCell ref="L4:M4"/>
    <mergeCell ref="H210:J210"/>
    <mergeCell ref="L2:N2"/>
    <mergeCell ref="L9:M9"/>
    <mergeCell ref="L32:N32"/>
    <mergeCell ref="L6:M6"/>
    <mergeCell ref="A3:J3"/>
    <mergeCell ref="H4:J4"/>
    <mergeCell ref="A210:G210"/>
    <mergeCell ref="H127:J127"/>
  </mergeCells>
  <dataValidations count="1">
    <dataValidation sqref="B2" showDropDown="0" showInputMessage="0" showErrorMessage="0" allowBlank="1" type="list">
      <formula1>_自动清单!$E$4:$E$203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U1210"/>
  <sheetViews>
    <sheetView showGridLines="0" zoomScale="120" zoomScaleNormal="120" workbookViewId="0">
      <pane xSplit="3" ySplit="5" topLeftCell="D6" activePane="bottomRight" state="frozen"/>
      <selection pane="topRight"/>
      <selection pane="bottomLeft"/>
      <selection pane="bottomRight" activeCell="A1" sqref="A1"/>
      <selection pane="topRight" activeCell="A1" sqref="A1"/>
      <selection pane="bottomLeft" activeCell="A1" sqref="A1"/>
      <selection pane="bottomRight" activeCell="O16" sqref="O16"/>
    </sheetView>
  </sheetViews>
  <sheetFormatPr baseColWidth="8" defaultColWidth="8.54166666666667" defaultRowHeight="13.5"/>
  <cols>
    <col width="12" customWidth="1" style="127" min="1" max="1"/>
    <col width="13" customWidth="1" style="127" min="2" max="2"/>
    <col width="12" customWidth="1" style="127" min="3" max="3"/>
    <col width="10" customWidth="1" style="127" min="4" max="4"/>
    <col width="12" customWidth="1" style="127" min="5" max="5"/>
    <col width="9" customWidth="1" style="127" min="6" max="6"/>
    <col width="10" customWidth="1" style="127" min="7" max="7"/>
    <col width="11" customWidth="1" style="127" min="8" max="8"/>
    <col width="11" customWidth="1" style="127" min="9" max="9"/>
    <col width="11" customWidth="1" style="127" min="10" max="10"/>
    <col width="11" customWidth="1" style="127" min="11" max="11"/>
    <col width="15" customWidth="1" style="127" min="12" max="12"/>
    <col width="11" customWidth="1" style="127" min="13" max="13"/>
    <col width="16" customWidth="1" style="127" min="14" max="14"/>
    <col width="3" customWidth="1" style="127" min="15" max="15"/>
    <col width="18" customWidth="1" style="127" min="16" max="16"/>
    <col width="3" customWidth="1" style="127" min="17" max="17"/>
    <col width="14" customWidth="1" style="127" min="18" max="18"/>
    <col width="14" customWidth="1" style="127" min="19" max="19"/>
    <col hidden="1" width="6" customWidth="1" style="127" min="20" max="20"/>
    <col hidden="1" width="12" customWidth="1" style="127" min="21" max="21"/>
  </cols>
  <sheetData>
    <row r="1" ht="25.5" customHeight="1" s="127">
      <c r="A1" s="184" t="inlineStr">
        <is>
          <t>新疆果然鲜仓储有限公司</t>
        </is>
      </c>
      <c r="I1" s="68" t="n"/>
      <c r="J1" s="68" t="inlineStr">
        <is>
          <t>对账单</t>
        </is>
      </c>
      <c r="T1" s="185" t="n"/>
      <c r="U1" s="185">
        <f>IF($G$2="",DATE(1900,1,1),$G$2)</f>
        <v>2.0</v>
      </c>
    </row>
    <row r="2" ht="16.5" customHeight="1" s="127">
      <c r="A2" s="186" t="inlineStr">
        <is>
          <t>销售类型:</t>
        </is>
      </c>
      <c r="B2" s="71" t="inlineStr">
        <is>
          <t>果然鲜销售</t>
        </is>
      </c>
      <c r="E2" s="72" t="n"/>
      <c r="F2" s="72" t="inlineStr">
        <is>
          <t>开始日期:</t>
        </is>
      </c>
      <c r="G2" s="187" t="n"/>
      <c r="H2" s="72" t="inlineStr">
        <is>
          <t>结束日期:</t>
        </is>
      </c>
      <c r="I2" s="187" t="n"/>
      <c r="O2" s="23" t="n"/>
      <c r="P2" s="23" t="inlineStr">
        <is>
          <t>销 售 汇 总</t>
        </is>
      </c>
      <c r="T2" s="185" t="n"/>
      <c r="U2" s="185">
        <f>IF($I$2="",DATE(2999,12,31),$I$2)</f>
        <v>401768.0</v>
      </c>
    </row>
    <row r="3" ht="25.5" customHeight="1" s="127">
      <c r="A3" s="188" t="inlineStr">
        <is>
          <t>在 B2 选择送礼、销售、商务或福利，按销售类型及起止日期提取；日期留空不限。C 列「购买人」取《01》成品出库明细的购买方（没填购买方就是客户/领用方）。零金额业务也显示，金额沿用来源记录。</t>
        </is>
      </c>
      <c r="O3" s="76" t="n"/>
      <c r="P3" s="76" t="inlineStr">
        <is>
          <t>总数量</t>
        </is>
      </c>
      <c r="Q3" s="77" t="n"/>
      <c r="R3" s="77">
        <f>ROUND(SUMIFS(对接源_01水果!$H$4:$H$1203,对接源_01水果!$AH$4:$AH$1203,$B$2,对接源_01水果!$B$4:$B$1203,"&gt;="&amp;$U$1,对接源_01水果!$B$4:$B$1203,"&lt;="&amp;$U$2),0)</f>
        <v>23</v>
      </c>
      <c r="U3" t="inlineStr">
        <is>
          <t>销售筛选累计</t>
        </is>
      </c>
    </row>
    <row r="4" ht="15" customHeight="1" s="127">
      <c r="A4" s="189" t="inlineStr">
        <is>
          <t>所选类型未收金额</t>
        </is>
      </c>
      <c r="B4" s="154" t="n"/>
      <c r="C4" s="154" t="n"/>
      <c r="D4" s="154" t="n"/>
      <c r="E4" s="156" t="n"/>
      <c r="F4" s="79">
        <f>ROUND(N($R$7)-N($R$8),2)</f>
        <v>960</v>
      </c>
      <c r="G4" s="154" t="n"/>
      <c r="H4" s="154" t="n"/>
      <c r="I4" s="156" t="n"/>
      <c r="O4" s="76" t="n"/>
      <c r="P4" s="76" t="inlineStr">
        <is>
          <t>销售金额（应收）</t>
        </is>
      </c>
      <c r="Q4" s="80" t="n"/>
      <c r="R4" s="80">
        <f>ROUND(SUMIFS(对接源_01水果!$AI$4:$AI$1203,对接源_01水果!$AH$4:$AH$1203,$B$2,对接源_01水果!$B$4:$B$1203,"&gt;="&amp;$U$1,对接源_01水果!$B$4:$B$1203,"&lt;="&amp;$U$2),2)</f>
        <v>1150</v>
      </c>
      <c r="U4">
        <f>N(U3)+IF(AND($B$2&lt;&gt;"",对接源_01水果!$AH4=$B$2,对接源_01水果!$B4&gt;=$U$1,对接源_01水果!$B4&lt;=$U$2),1,0)</f>
        <v>0</v>
      </c>
    </row>
    <row r="5" ht="30" customHeight="1" s="127">
      <c r="A5" s="190" t="inlineStr">
        <is>
          <t>日　期</t>
        </is>
      </c>
      <c r="B5" s="82" t="inlineStr">
        <is>
          <t>票据单号</t>
        </is>
      </c>
      <c r="C5" s="82" t="inlineStr">
        <is>
          <t>购 买 人</t>
        </is>
      </c>
      <c r="D5" s="82" t="inlineStr">
        <is>
          <t>品　名</t>
        </is>
      </c>
      <c r="E5" s="82" t="inlineStr">
        <is>
          <t>等　级</t>
        </is>
      </c>
      <c r="F5" s="82" t="inlineStr">
        <is>
          <t>数　量</t>
        </is>
      </c>
      <c r="G5" s="82" t="inlineStr">
        <is>
          <t>单位</t>
        </is>
      </c>
      <c r="H5" s="82" t="inlineStr">
        <is>
          <t>销售单价</t>
        </is>
      </c>
      <c r="I5" s="82" t="inlineStr">
        <is>
          <t>销售金额（应收）</t>
        </is>
      </c>
      <c r="J5" s="82" t="inlineStr">
        <is>
          <t>自结运费</t>
        </is>
      </c>
      <c r="K5" s="82" t="inlineStr">
        <is>
          <t>代发运费</t>
        </is>
      </c>
      <c r="L5" s="82" t="inlineStr">
        <is>
          <t>应收合计</t>
        </is>
      </c>
      <c r="M5" s="82" t="inlineStr">
        <is>
          <t>收款状态</t>
        </is>
      </c>
      <c r="N5" s="82" t="inlineStr">
        <is>
          <t>备　注</t>
        </is>
      </c>
      <c r="O5" s="76" t="n"/>
      <c r="P5" s="76" t="inlineStr">
        <is>
          <t>其中·自结运费</t>
        </is>
      </c>
      <c r="Q5" s="80" t="n"/>
      <c r="R5" s="80">
        <f>ROUND(SUMIFS(对接源_01水果!$AE$4:$AE$1203,对接源_01水果!$AH$4:$AH$1203,$B$2,对接源_01水果!$B$4:$B$1203,"&gt;="&amp;$U$1,对接源_01水果!$B$4:$B$1203,"&lt;="&amp;$U$2),2)</f>
        <v>10</v>
      </c>
      <c r="U5">
        <f>N(U4)+IF(AND($B$2&lt;&gt;"",对接源_01水果!$AH5=$B$2,对接源_01水果!$B5&gt;=$U$1,对接源_01水果!$B5&lt;=$U$2),1,0)</f>
        <v>0</v>
      </c>
    </row>
    <row r="6" ht="15.75" customHeight="1" s="127">
      <c r="A6" s="191">
        <f>IF($T6="","",IF(INDEX(对接源_01水果!$B$4:$B$1203,$T6)=0,"",INDEX(对接源_01水果!$B$4:$B$1203,$T6)))</f>
        <v>46281.0</v>
      </c>
      <c r="B6" s="84" t="str">
        <f>IF($T6="","",IF(INDEX(对接源_01水果!$E$4:$E$1203,$T6)=0,"",INDEX(对接源_01水果!$E$4:$E$1203,$T6)))</f>
        <v>NO:0000142</v>
      </c>
      <c r="C6" s="84" t="str">
        <f>IF($T6="","",IF(INDEX(对接源_01水果!$AC$4:$AC$1203,$T6)=0,"",INDEX(对接源_01水果!$AC$4:$AC$1203,$T6)))</f>
        <v>大汪总</v>
      </c>
      <c r="D6" s="84" t="str">
        <f>IF($T6="","",IF(INDEX(对接源_01水果!$F$4:$F$1203,$T6)=0,"",INDEX(对接源_01水果!$F$4:$F$1203,$T6)))</f>
        <v>香梨</v>
      </c>
      <c r="E6" s="84" t="str">
        <f>IF($T6="","",IF(INDEX(对接源_01水果!$G$4:$G$1203,$T6)=0,"",INDEX(对接源_01水果!$G$4:$G$1203,$T6)))</f>
        <v>香梨一级</v>
      </c>
      <c r="F6" s="192">
        <f>IF($T6="","",IF(INDEX(对接源_01水果!$H$4:$H$1203,$T6)=0,"",INDEX(对接源_01水果!$H$4:$H$1203,$T6)))</f>
        <v>4</v>
      </c>
      <c r="G6" s="84" t="str">
        <f>IF($T6="","",IF(INDEX(对接源_01水果!$I$4:$I$1203,$T6)=0,"",INDEX(对接源_01水果!$I$4:$I$1203,$T6)))</f>
        <v>箱</v>
      </c>
      <c r="H6" s="86">
        <f>IF($T6="","",IF(INDEX(对接源_01水果!$AD$4:$AD$1203,$T6)=0,"",INDEX(对接源_01水果!$AD$4:$AD$1203,$T6)))</f>
        <v>50</v>
      </c>
      <c r="I6" s="86">
        <f>IF($T6="","",IF(INDEX(对接源_01水果!$AI$4:$AI$1203,$T6)=0,"",INDEX(对接源_01水果!$AI$4:$AI$1203,$T6)))</f>
        <v>200</v>
      </c>
      <c r="J6" s="86">
        <f>IF($T6="","",IF(INDEX(对接源_01水果!$AE$4:$AE$1203,$T6)=0,"",INDEX(对接源_01水果!$AE$4:$AE$1203,$T6)))</f>
        <v>10</v>
      </c>
      <c r="K6" s="86">
        <f>IF($T6="","",IF(INDEX(对接源_01水果!$AF$4:$AF$1203,$T6)=0,"",INDEX(对接源_01水果!$AF$4:$AF$1203,$T6)))</f>
      </c>
      <c r="L6" s="86">
        <f>IF($T6="","",IF(INDEX(对接源_01水果!$K$4:$K$1203,$T6)=0,"",INDEX(对接源_01水果!$K$4:$K$1203,$T6)))</f>
        <v>210</v>
      </c>
      <c r="M6" s="84" t="str">
        <f>IF($T6="","",IF(INDEX(对接源_01水果!$L$4:$L$1203,$T6)=0,"",INDEX(对接源_01水果!$L$4:$L$1203,$T6)))</f>
        <v>已收讫</v>
      </c>
      <c r="N6" s="87">
        <f>IF($T6="","",IF(INDEX(对接源_01水果!$M$4:$M$1203,$T6)=0,"",INDEX(对接源_01水果!$M$4:$M$1203,$T6)))</f>
      </c>
      <c r="O6" s="76" t="n"/>
      <c r="P6" s="76" t="inlineStr">
        <is>
          <t>其中·代发运费</t>
        </is>
      </c>
      <c r="Q6" s="80" t="n"/>
      <c r="R6" s="80">
        <f>ROUND(SUMIFS(对接源_01水果!$AF$4:$AF$1203,对接源_01水果!$AH$4:$AH$1203,$B$2,对接源_01水果!$B$4:$B$1203,"&gt;="&amp;$U$1,对接源_01水果!$B$4:$B$1203,"&lt;="&amp;$U$2),2)</f>
        <v>10</v>
      </c>
      <c r="S6" s="7" t="n"/>
      <c r="T6" s="7">
        <f>IF(ROW()-5&gt;$U$1203,"",MATCH(ROW()-5,$U$4:$U$1203,0))</f>
        <v>629</v>
      </c>
      <c r="U6">
        <f>N(U5)+IF(AND($B$2&lt;&gt;"",对接源_01水果!$AH6=$B$2,对接源_01水果!$B6&gt;=$U$1,对接源_01水果!$B6&lt;=$U$2),1,0)</f>
        <v>0</v>
      </c>
    </row>
    <row r="7" ht="15.75" customHeight="1" s="127">
      <c r="A7" s="191">
        <f>IF($T7="","",IF(INDEX(对接源_01水果!$B$4:$B$1203,$T7)=0,"",INDEX(对接源_01水果!$B$4:$B$1203,$T7)))</f>
        <v>46281.0</v>
      </c>
      <c r="B7" s="84" t="str">
        <f>IF($T7="","",IF(INDEX(对接源_01水果!$E$4:$E$1203,$T7)=0,"",INDEX(对接源_01水果!$E$4:$E$1203,$T7)))</f>
        <v>NO:0000142</v>
      </c>
      <c r="C7" s="84" t="str">
        <f>IF($T7="","",IF(INDEX(对接源_01水果!$AC$4:$AC$1203,$T7)=0,"",INDEX(对接源_01水果!$AC$4:$AC$1203,$T7)))</f>
        <v>大汪总</v>
      </c>
      <c r="D7" s="84" t="str">
        <f>IF($T7="","",IF(INDEX(对接源_01水果!$F$4:$F$1203,$T7)=0,"",INDEX(对接源_01水果!$F$4:$F$1203,$T7)))</f>
        <v>香梨</v>
      </c>
      <c r="E7" s="84" t="str">
        <f>IF($T7="","",IF(INDEX(对接源_01水果!$G$4:$G$1203,$T7)=0,"",INDEX(对接源_01水果!$G$4:$G$1203,$T7)))</f>
        <v>香梨特级</v>
      </c>
      <c r="F7" s="84">
        <f>IF($T7="","",IF(INDEX(对接源_01水果!$H$4:$H$1203,$T7)=0,"",INDEX(对接源_01水果!$H$4:$H$1203,$T7)))</f>
        <v>8</v>
      </c>
      <c r="G7" s="84" t="str">
        <f>IF($T7="","",IF(INDEX(对接源_01水果!$I$4:$I$1203,$T7)=0,"",INDEX(对接源_01水果!$I$4:$I$1203,$T7)))</f>
        <v>箱</v>
      </c>
      <c r="H7" s="86">
        <f>IF($T7="","",IF(INDEX(对接源_01水果!$AD$4:$AD$1203,$T7)=0,"",INDEX(对接源_01水果!$AD$4:$AD$1203,$T7)))</f>
        <v>50</v>
      </c>
      <c r="I7" s="86">
        <f>IF($T7="","",IF(INDEX(对接源_01水果!$AI$4:$AI$1203,$T7)=0,"",INDEX(对接源_01水果!$AI$4:$AI$1203,$T7)))</f>
        <v>400</v>
      </c>
      <c r="J7" s="86">
        <f>IF($T7="","",IF(INDEX(对接源_01水果!$AE$4:$AE$1203,$T7)=0,"",INDEX(对接源_01水果!$AE$4:$AE$1203,$T7)))</f>
      </c>
      <c r="K7" s="86">
        <f>IF($T7="","",IF(INDEX(对接源_01水果!$AF$4:$AF$1203,$T7)=0,"",INDEX(对接源_01水果!$AF$4:$AF$1203,$T7)))</f>
      </c>
      <c r="L7" s="86">
        <f>IF($T7="","",IF(INDEX(对接源_01水果!$K$4:$K$1203,$T7)=0,"",INDEX(对接源_01水果!$K$4:$K$1203,$T7)))</f>
        <v>400</v>
      </c>
      <c r="M7" s="84" t="str">
        <f>IF($T7="","",IF(INDEX(对接源_01水果!$L$4:$L$1203,$T7)=0,"",INDEX(对接源_01水果!$L$4:$L$1203,$T7)))</f>
        <v>未收款</v>
      </c>
      <c r="N7" s="87">
        <f>IF($T7="","",IF(INDEX(对接源_01水果!$M$4:$M$1203,$T7)=0,"",INDEX(对接源_01水果!$M$4:$M$1203,$T7)))</f>
      </c>
      <c r="O7" s="76" t="n"/>
      <c r="P7" s="76" t="inlineStr">
        <is>
          <t>应收合计</t>
        </is>
      </c>
      <c r="Q7" s="80" t="n"/>
      <c r="R7" s="80">
        <f>ROUND(SUMIFS(对接源_01水果!$K$4:$K$1203,对接源_01水果!$AH$4:$AH$1203,$B$2,对接源_01水果!$B$4:$B$1203,"&gt;="&amp;$U$1,对接源_01水果!$B$4:$B$1203,"&lt;="&amp;$U$2),2)</f>
        <v>1170</v>
      </c>
      <c r="S7" s="7" t="n"/>
      <c r="T7" s="7">
        <f>IF(ROW()-5&gt;$U$1203,"",MATCH(ROW()-5,$U$4:$U$1203,0))</f>
        <v>630</v>
      </c>
      <c r="U7">
        <f>N(U6)+IF(AND($B$2&lt;&gt;"",对接源_01水果!$AH7=$B$2,对接源_01水果!$B7&gt;=$U$1,对接源_01水果!$B7&lt;=$U$2),1,0)</f>
        <v>0</v>
      </c>
    </row>
    <row r="8" ht="15.75" customHeight="1" s="127">
      <c r="A8" s="191">
        <f>IF($T8="","",IF(INDEX(对接源_01水果!$B$4:$B$1203,$T8)=0,"",INDEX(对接源_01水果!$B$4:$B$1203,$T8)))</f>
        <v>46289.0</v>
      </c>
      <c r="B8" s="84" t="str">
        <f>IF($T8="","",IF(INDEX(对接源_01水果!$E$4:$E$1203,$T8)=0,"",INDEX(对接源_01水果!$E$4:$E$1203,$T8)))</f>
        <v>NO:0000144</v>
      </c>
      <c r="C8" s="84" t="str">
        <f>IF($T8="","",IF(INDEX(对接源_01水果!$AC$4:$AC$1203,$T8)=0,"",INDEX(对接源_01水果!$AC$4:$AC$1203,$T8)))</f>
        <v>大汪总</v>
      </c>
      <c r="D8" s="84" t="str">
        <f>IF($T8="","",IF(INDEX(对接源_01水果!$F$4:$F$1203,$T8)=0,"",INDEX(对接源_01水果!$F$4:$F$1203,$T8)))</f>
        <v>苹果</v>
      </c>
      <c r="E8" s="84" t="str">
        <f>IF($T8="","",IF(INDEX(对接源_01水果!$G$4:$G$1203,$T8)=0,"",INDEX(对接源_01水果!$G$4:$G$1203,$T8)))</f>
        <v>新世纪一级</v>
      </c>
      <c r="F8" s="84">
        <f>IF($T8="","",IF(INDEX(对接源_01水果!$H$4:$H$1203,$T8)=0,"",INDEX(对接源_01水果!$H$4:$H$1203,$T8)))</f>
        <v>4</v>
      </c>
      <c r="G8" s="84" t="str">
        <f>IF($T8="","",IF(INDEX(对接源_01水果!$I$4:$I$1203,$T8)=0,"",INDEX(对接源_01水果!$I$4:$I$1203,$T8)))</f>
        <v>箱</v>
      </c>
      <c r="H8" s="86">
        <f>IF($T8="","",IF(INDEX(对接源_01水果!$AD$4:$AD$1203,$T8)=0,"",INDEX(对接源_01水果!$AD$4:$AD$1203,$T8)))</f>
        <v>50</v>
      </c>
      <c r="I8" s="86">
        <f>IF($T8="","",IF(INDEX(对接源_01水果!$AI$4:$AI$1203,$T8)=0,"",INDEX(对接源_01水果!$AI$4:$AI$1203,$T8)))</f>
        <v>200</v>
      </c>
      <c r="J8" s="86">
        <f>IF($T8="","",IF(INDEX(对接源_01水果!$AE$4:$AE$1203,$T8)=0,"",INDEX(对接源_01水果!$AE$4:$AE$1203,$T8)))</f>
      </c>
      <c r="K8" s="86">
        <f>IF($T8="","",IF(INDEX(对接源_01水果!$AF$4:$AF$1203,$T8)=0,"",INDEX(对接源_01水果!$AF$4:$AF$1203,$T8)))</f>
      </c>
      <c r="L8" s="86">
        <f>IF($T8="","",IF(INDEX(对接源_01水果!$K$4:$K$1203,$T8)=0,"",INDEX(对接源_01水果!$K$4:$K$1203,$T8)))</f>
        <v>200</v>
      </c>
      <c r="M8" s="84" t="str">
        <f>IF($T8="","",IF(INDEX(对接源_01水果!$L$4:$L$1203,$T8)=0,"",INDEX(对接源_01水果!$L$4:$L$1203,$T8)))</f>
        <v>未收款</v>
      </c>
      <c r="N8" s="87">
        <f>IF($T8="","",IF(INDEX(对接源_01水果!$M$4:$M$1203,$T8)=0,"",INDEX(对接源_01水果!$M$4:$M$1203,$T8)))</f>
      </c>
      <c r="O8" s="76" t="n"/>
      <c r="P8" s="76" t="inlineStr">
        <is>
          <t>已收金额</t>
        </is>
      </c>
      <c r="Q8" s="80" t="n"/>
      <c r="R8" s="80">
        <f>ROUND(SUMIFS(对接源_01水果!$K$4:$K$1203,对接源_01水果!$AH$4:$AH$1203,$B$2,对接源_01水果!$B$4:$B$1203,"&gt;="&amp;$U$1,对接源_01水果!$B$4:$B$1203,"&lt;="&amp;$U$2,对接源_01水果!$L$4:$L$1203,"已收讫"),2)</f>
        <v>210</v>
      </c>
      <c r="S8" s="7" t="n"/>
      <c r="T8" s="7">
        <f>IF(ROW()-5&gt;$U$1203,"",MATCH(ROW()-5,$U$4:$U$1203,0))</f>
        <v>633</v>
      </c>
      <c r="U8">
        <f>N(U7)+IF(AND($B$2&lt;&gt;"",对接源_01水果!$AH8=$B$2,对接源_01水果!$B8&gt;=$U$1,对接源_01水果!$B8&lt;=$U$2),1,0)</f>
        <v>0</v>
      </c>
    </row>
    <row r="9" ht="15.75" customHeight="1" s="127">
      <c r="A9" s="191">
        <f>IF($T9="","",IF(INDEX(对接源_01水果!$B$4:$B$1203,$T9)=0,"",INDEX(对接源_01水果!$B$4:$B$1203,$T9)))</f>
        <v>46289.0</v>
      </c>
      <c r="B9" s="84" t="str">
        <f>IF($T9="","",IF(INDEX(对接源_01水果!$E$4:$E$1203,$T9)=0,"",INDEX(对接源_01水果!$E$4:$E$1203,$T9)))</f>
        <v>NO:0000144</v>
      </c>
      <c r="C9" s="84" t="str">
        <f>IF($T9="","",IF(INDEX(对接源_01水果!$AC$4:$AC$1203,$T9)=0,"",INDEX(对接源_01水果!$AC$4:$AC$1203,$T9)))</f>
        <v>大汪总</v>
      </c>
      <c r="D9" s="84" t="str">
        <f>IF($T9="","",IF(INDEX(对接源_01水果!$F$4:$F$1203,$T9)=0,"",INDEX(对接源_01水果!$F$4:$F$1203,$T9)))</f>
        <v>香梨</v>
      </c>
      <c r="E9" s="84" t="str">
        <f>IF($T9="","",IF(INDEX(对接源_01水果!$G$4:$G$1203,$T9)=0,"",INDEX(对接源_01水果!$G$4:$G$1203,$T9)))</f>
        <v>香梨一级</v>
      </c>
      <c r="F9" s="84">
        <f>IF($T9="","",IF(INDEX(对接源_01水果!$H$4:$H$1203,$T9)=0,"",INDEX(对接源_01水果!$H$4:$H$1203,$T9)))</f>
        <v>4</v>
      </c>
      <c r="G9" s="84" t="str">
        <f>IF($T9="","",IF(INDEX(对接源_01水果!$I$4:$I$1203,$T9)=0,"",INDEX(对接源_01水果!$I$4:$I$1203,$T9)))</f>
        <v>箱</v>
      </c>
      <c r="H9" s="86">
        <f>IF($T9="","",IF(INDEX(对接源_01水果!$AD$4:$AD$1203,$T9)=0,"",INDEX(对接源_01水果!$AD$4:$AD$1203,$T9)))</f>
        <v>50</v>
      </c>
      <c r="I9" s="86">
        <f>IF($T9="","",IF(INDEX(对接源_01水果!$AI$4:$AI$1203,$T9)=0,"",INDEX(对接源_01水果!$AI$4:$AI$1203,$T9)))</f>
        <v>200</v>
      </c>
      <c r="J9" s="86">
        <f>IF($T9="","",IF(INDEX(对接源_01水果!$AE$4:$AE$1203,$T9)=0,"",INDEX(对接源_01水果!$AE$4:$AE$1203,$T9)))</f>
      </c>
      <c r="K9" s="86">
        <f>IF($T9="","",IF(INDEX(对接源_01水果!$AF$4:$AF$1203,$T9)=0,"",INDEX(对接源_01水果!$AF$4:$AF$1203,$T9)))</f>
      </c>
      <c r="L9" s="86">
        <f>IF($T9="","",IF(INDEX(对接源_01水果!$K$4:$K$1203,$T9)=0,"",INDEX(对接源_01水果!$K$4:$K$1203,$T9)))</f>
        <v>200</v>
      </c>
      <c r="M9" s="84" t="str">
        <f>IF($T9="","",IF(INDEX(对接源_01水果!$L$4:$L$1203,$T9)=0,"",INDEX(对接源_01水果!$L$4:$L$1203,$T9)))</f>
        <v>未收款</v>
      </c>
      <c r="N9" s="87">
        <f>IF($T9="","",IF(INDEX(对接源_01水果!$M$4:$M$1203,$T9)=0,"",INDEX(对接源_01水果!$M$4:$M$1203,$T9)))</f>
      </c>
      <c r="O9" s="76" t="n"/>
      <c r="P9" s="76" t="inlineStr">
        <is>
          <t>未收金额（应收）</t>
        </is>
      </c>
      <c r="Q9" s="80" t="n"/>
      <c r="R9" s="80">
        <f>ROUND(N($R$7)-N($R$8),2)</f>
        <v>960</v>
      </c>
      <c r="S9" s="7" t="n"/>
      <c r="T9" s="7">
        <f>IF(ROW()-5&gt;$U$1203,"",MATCH(ROW()-5,$U$4:$U$1203,0))</f>
        <v>634</v>
      </c>
      <c r="U9">
        <f>N(U8)+IF(AND($B$2&lt;&gt;"",对接源_01水果!$AH9=$B$2,对接源_01水果!$B9&gt;=$U$1,对接源_01水果!$B9&lt;=$U$2),1,0)</f>
        <v>0</v>
      </c>
    </row>
    <row r="10" ht="15.75" customHeight="1" s="127">
      <c r="A10" s="191">
        <f>IF($T10="","",IF(INDEX(对接源_01水果!$B$4:$B$1203,$T10)=0,"",INDEX(对接源_01水果!$B$4:$B$1203,$T10)))</f>
        <v>46289.0</v>
      </c>
      <c r="B10" s="84" t="str">
        <f>IF($T10="","",IF(INDEX(对接源_01水果!$E$4:$E$1203,$T10)=0,"",INDEX(对接源_01水果!$E$4:$E$1203,$T10)))</f>
        <v>NO:0000145</v>
      </c>
      <c r="C10" s="84" t="str">
        <f>IF($T10="","",IF(INDEX(对接源_01水果!$AC$4:$AC$1203,$T10)=0,"",INDEX(对接源_01水果!$AC$4:$AC$1203,$T10)))</f>
        <v>大汪总</v>
      </c>
      <c r="D10" s="84" t="str">
        <f>IF($T10="","",IF(INDEX(对接源_01水果!$F$4:$F$1203,$T10)=0,"",INDEX(对接源_01水果!$F$4:$F$1203,$T10)))</f>
        <v>香梨</v>
      </c>
      <c r="E10" s="84" t="str">
        <f>IF($T10="","",IF(INDEX(对接源_01水果!$G$4:$G$1203,$T10)=0,"",INDEX(对接源_01水果!$G$4:$G$1203,$T10)))</f>
        <v>香梨一级</v>
      </c>
      <c r="F10" s="84">
        <f>IF($T10="","",IF(INDEX(对接源_01水果!$H$4:$H$1203,$T10)=0,"",INDEX(对接源_01水果!$H$4:$H$1203,$T10)))</f>
        <v>2</v>
      </c>
      <c r="G10" s="84" t="str">
        <f>IF($T10="","",IF(INDEX(对接源_01水果!$I$4:$I$1203,$T10)=0,"",INDEX(对接源_01水果!$I$4:$I$1203,$T10)))</f>
        <v>箱</v>
      </c>
      <c r="H10" s="86">
        <f>IF($T10="","",IF(INDEX(对接源_01水果!$AD$4:$AD$1203,$T10)=0,"",INDEX(对接源_01水果!$AD$4:$AD$1203,$T10)))</f>
        <v>50</v>
      </c>
      <c r="I10" s="86">
        <f>IF($T10="","",IF(INDEX(对接源_01水果!$AI$4:$AI$1203,$T10)=0,"",INDEX(对接源_01水果!$AI$4:$AI$1203,$T10)))</f>
        <v>100</v>
      </c>
      <c r="J10" s="86">
        <f>IF($T10="","",IF(INDEX(对接源_01水果!$AE$4:$AE$1203,$T10)=0,"",INDEX(对接源_01水果!$AE$4:$AE$1203,$T10)))</f>
      </c>
      <c r="K10" s="86">
        <f>IF($T10="","",IF(INDEX(对接源_01水果!$AF$4:$AF$1203,$T10)=0,"",INDEX(对接源_01水果!$AF$4:$AF$1203,$T10)))</f>
      </c>
      <c r="L10" s="86">
        <f>IF($T10="","",IF(INDEX(对接源_01水果!$K$4:$K$1203,$T10)=0,"",INDEX(对接源_01水果!$K$4:$K$1203,$T10)))</f>
        <v>100</v>
      </c>
      <c r="M10" s="84" t="str">
        <f>IF($T10="","",IF(INDEX(对接源_01水果!$L$4:$L$1203,$T10)=0,"",INDEX(对接源_01水果!$L$4:$L$1203,$T10)))</f>
        <v>未收款</v>
      </c>
      <c r="N10" s="87">
        <f>IF($T10="","",IF(INDEX(对接源_01水果!$M$4:$M$1203,$T10)=0,"",INDEX(对接源_01水果!$M$4:$M$1203,$T10)))</f>
      </c>
      <c r="S10" s="7" t="n"/>
      <c r="T10" s="7">
        <f>IF(ROW()-5&gt;$U$1203,"",MATCH(ROW()-5,$U$4:$U$1203,0))</f>
        <v>635</v>
      </c>
      <c r="U10">
        <f>N(U9)+IF(AND($B$2&lt;&gt;"",对接源_01水果!$AH10=$B$2,对接源_01水果!$B10&gt;=$U$1,对接源_01水果!$B10&lt;=$U$2),1,0)</f>
        <v>0</v>
      </c>
    </row>
    <row r="11" ht="15.75" customHeight="1" s="127">
      <c r="A11" s="191">
        <f>IF($T11="","",IF(INDEX(对接源_01水果!$B$4:$B$1203,$T11)=0,"",INDEX(对接源_01水果!$B$4:$B$1203,$T11)))</f>
        <v>46289.0</v>
      </c>
      <c r="B11" s="84" t="str">
        <f>IF($T11="","",IF(INDEX(对接源_01水果!$E$4:$E$1203,$T11)=0,"",INDEX(对接源_01水果!$E$4:$E$1203,$T11)))</f>
        <v>NO:0000145</v>
      </c>
      <c r="C11" s="84" t="str">
        <f>IF($T11="","",IF(INDEX(对接源_01水果!$AC$4:$AC$1203,$T11)=0,"",INDEX(对接源_01水果!$AC$4:$AC$1203,$T11)))</f>
        <v>谢老大</v>
      </c>
      <c r="D11" s="84" t="str">
        <f>IF($T11="","",IF(INDEX(对接源_01水果!$F$4:$F$1203,$T11)=0,"",INDEX(对接源_01水果!$F$4:$F$1203,$T11)))</f>
        <v>香梨</v>
      </c>
      <c r="E11" s="84" t="str">
        <f>IF($T11="","",IF(INDEX(对接源_01水果!$G$4:$G$1203,$T11)=0,"",INDEX(对接源_01水果!$G$4:$G$1203,$T11)))</f>
        <v>香梨一级</v>
      </c>
      <c r="F11" s="84">
        <f>IF($T11="","",IF(INDEX(对接源_01水果!$H$4:$H$1203,$T11)=0,"",INDEX(对接源_01水果!$H$4:$H$1203,$T11)))</f>
        <v>1</v>
      </c>
      <c r="G11" s="84" t="str">
        <f>IF($T11="","",IF(INDEX(对接源_01水果!$I$4:$I$1203,$T11)=0,"",INDEX(对接源_01水果!$I$4:$I$1203,$T11)))</f>
        <v>箱</v>
      </c>
      <c r="H11" s="86">
        <f>IF($T11="","",IF(INDEX(对接源_01水果!$AD$4:$AD$1203,$T11)=0,"",INDEX(对接源_01水果!$AD$4:$AD$1203,$T11)))</f>
        <v>50</v>
      </c>
      <c r="I11" s="86">
        <f>IF($T11="","",IF(INDEX(对接源_01水果!$AI$4:$AI$1203,$T11)=0,"",INDEX(对接源_01水果!$AI$4:$AI$1203,$T11)))</f>
        <v>50</v>
      </c>
      <c r="J11" s="86">
        <f>IF($T11="","",IF(INDEX(对接源_01水果!$AE$4:$AE$1203,$T11)=0,"",INDEX(对接源_01水果!$AE$4:$AE$1203,$T11)))</f>
      </c>
      <c r="K11" s="86">
        <f>IF($T11="","",IF(INDEX(对接源_01水果!$AF$4:$AF$1203,$T11)=0,"",INDEX(对接源_01水果!$AF$4:$AF$1203,$T11)))</f>
        <v>10</v>
      </c>
      <c r="L11" s="86">
        <f>IF($T11="","",IF(INDEX(对接源_01水果!$K$4:$K$1203,$T11)=0,"",INDEX(对接源_01水果!$K$4:$K$1203,$T11)))</f>
        <v>60</v>
      </c>
      <c r="M11" s="84" t="str">
        <f>IF($T11="","",IF(INDEX(对接源_01水果!$L$4:$L$1203,$T11)=0,"",INDEX(对接源_01水果!$L$4:$L$1203,$T11)))</f>
        <v>未收款</v>
      </c>
      <c r="N11" s="87">
        <f>IF($T11="","",IF(INDEX(对接源_01水果!$M$4:$M$1203,$T11)=0,"",INDEX(对接源_01水果!$M$4:$M$1203,$T11)))</f>
      </c>
      <c r="S11" s="7" t="n"/>
      <c r="T11" s="7">
        <f>IF(ROW()-5&gt;$U$1203,"",MATCH(ROW()-5,$U$4:$U$1203,0))</f>
        <v>636</v>
      </c>
      <c r="U11">
        <f>N(U10)+IF(AND($B$2&lt;&gt;"",对接源_01水果!$AH11=$B$2,对接源_01水果!$B11&gt;=$U$1,对接源_01水果!$B11&lt;=$U$2),1,0)</f>
        <v>0</v>
      </c>
    </row>
    <row r="12" ht="15.75" customHeight="1" s="127">
      <c r="A12" s="191">
        <f>IF($T12="","",IF(INDEX(对接源_01水果!$B$4:$B$1203,$T12)=0,"",INDEX(对接源_01水果!$B$4:$B$1203,$T12)))</f>
      </c>
      <c r="B12" s="84">
        <f>IF($T12="","",IF(INDEX(对接源_01水果!$E$4:$E$1203,$T12)=0,"",INDEX(对接源_01水果!$E$4:$E$1203,$T12)))</f>
      </c>
      <c r="C12" s="84">
        <f>IF($T12="","",IF(INDEX(对接源_01水果!$AC$4:$AC$1203,$T12)=0,"",INDEX(对接源_01水果!$AC$4:$AC$1203,$T12)))</f>
      </c>
      <c r="D12" s="84">
        <f>IF($T12="","",IF(INDEX(对接源_01水果!$F$4:$F$1203,$T12)=0,"",INDEX(对接源_01水果!$F$4:$F$1203,$T12)))</f>
      </c>
      <c r="E12" s="84">
        <f>IF($T12="","",IF(INDEX(对接源_01水果!$G$4:$G$1203,$T12)=0,"",INDEX(对接源_01水果!$G$4:$G$1203,$T12)))</f>
      </c>
      <c r="F12" s="84">
        <f>IF($T12="","",IF(INDEX(对接源_01水果!$H$4:$H$1203,$T12)=0,"",INDEX(对接源_01水果!$H$4:$H$1203,$T12)))</f>
      </c>
      <c r="G12" s="84">
        <f>IF($T12="","",IF(INDEX(对接源_01水果!$I$4:$I$1203,$T12)=0,"",INDEX(对接源_01水果!$I$4:$I$1203,$T12)))</f>
      </c>
      <c r="H12" s="86">
        <f>IF($T12="","",IF(INDEX(对接源_01水果!$AD$4:$AD$1203,$T12)=0,"",INDEX(对接源_01水果!$AD$4:$AD$1203,$T12)))</f>
      </c>
      <c r="I12" s="86">
        <f>IF($T12="","",IF(INDEX(对接源_01水果!$AI$4:$AI$1203,$T12)=0,"",INDEX(对接源_01水果!$AI$4:$AI$1203,$T12)))</f>
      </c>
      <c r="J12" s="86">
        <f>IF($T12="","",IF(INDEX(对接源_01水果!$AE$4:$AE$1203,$T12)=0,"",INDEX(对接源_01水果!$AE$4:$AE$1203,$T12)))</f>
      </c>
      <c r="K12" s="86">
        <f>IF($T12="","",IF(INDEX(对接源_01水果!$AF$4:$AF$1203,$T12)=0,"",INDEX(对接源_01水果!$AF$4:$AF$1203,$T12)))</f>
      </c>
      <c r="L12" s="86">
        <f>IF($T12="","",IF(INDEX(对接源_01水果!$K$4:$K$1203,$T12)=0,"",INDEX(对接源_01水果!$K$4:$K$1203,$T12)))</f>
      </c>
      <c r="M12" s="84">
        <f>IF($T12="","",IF(INDEX(对接源_01水果!$L$4:$L$1203,$T12)=0,"",INDEX(对接源_01水果!$L$4:$L$1203,$T12)))</f>
      </c>
      <c r="N12" s="87">
        <f>IF($T12="","",IF(INDEX(对接源_01水果!$M$4:$M$1203,$T12)=0,"",INDEX(对接源_01水果!$M$4:$M$1203,$T12)))</f>
      </c>
      <c r="S12" s="7" t="n"/>
      <c r="T12" s="7">
        <f>IF(ROW()-5&gt;$U$1203,"",MATCH(ROW()-5,$U$4:$U$1203,0))</f>
      </c>
      <c r="U12">
        <f>N(U11)+IF(AND($B$2&lt;&gt;"",对接源_01水果!$AH12=$B$2,对接源_01水果!$B12&gt;=$U$1,对接源_01水果!$B12&lt;=$U$2),1,0)</f>
        <v>0</v>
      </c>
    </row>
    <row r="13" ht="15.75" customHeight="1" s="127">
      <c r="A13" s="191">
        <f>IF($T13="","",IF(INDEX(对接源_01水果!$B$4:$B$1203,$T13)=0,"",INDEX(对接源_01水果!$B$4:$B$1203,$T13)))</f>
      </c>
      <c r="B13" s="84">
        <f>IF($T13="","",IF(INDEX(对接源_01水果!$E$4:$E$1203,$T13)=0,"",INDEX(对接源_01水果!$E$4:$E$1203,$T13)))</f>
      </c>
      <c r="C13" s="84">
        <f>IF($T13="","",IF(INDEX(对接源_01水果!$AC$4:$AC$1203,$T13)=0,"",INDEX(对接源_01水果!$AC$4:$AC$1203,$T13)))</f>
      </c>
      <c r="D13" s="84">
        <f>IF($T13="","",IF(INDEX(对接源_01水果!$F$4:$F$1203,$T13)=0,"",INDEX(对接源_01水果!$F$4:$F$1203,$T13)))</f>
      </c>
      <c r="E13" s="84">
        <f>IF($T13="","",IF(INDEX(对接源_01水果!$G$4:$G$1203,$T13)=0,"",INDEX(对接源_01水果!$G$4:$G$1203,$T13)))</f>
      </c>
      <c r="F13" s="84">
        <f>IF($T13="","",IF(INDEX(对接源_01水果!$H$4:$H$1203,$T13)=0,"",INDEX(对接源_01水果!$H$4:$H$1203,$T13)))</f>
      </c>
      <c r="G13" s="84">
        <f>IF($T13="","",IF(INDEX(对接源_01水果!$I$4:$I$1203,$T13)=0,"",INDEX(对接源_01水果!$I$4:$I$1203,$T13)))</f>
      </c>
      <c r="H13" s="86">
        <f>IF($T13="","",IF(INDEX(对接源_01水果!$AD$4:$AD$1203,$T13)=0,"",INDEX(对接源_01水果!$AD$4:$AD$1203,$T13)))</f>
      </c>
      <c r="I13" s="86">
        <f>IF($T13="","",IF(INDEX(对接源_01水果!$AI$4:$AI$1203,$T13)=0,"",INDEX(对接源_01水果!$AI$4:$AI$1203,$T13)))</f>
      </c>
      <c r="J13" s="86">
        <f>IF($T13="","",IF(INDEX(对接源_01水果!$AE$4:$AE$1203,$T13)=0,"",INDEX(对接源_01水果!$AE$4:$AE$1203,$T13)))</f>
      </c>
      <c r="K13" s="86">
        <f>IF($T13="","",IF(INDEX(对接源_01水果!$AF$4:$AF$1203,$T13)=0,"",INDEX(对接源_01水果!$AF$4:$AF$1203,$T13)))</f>
      </c>
      <c r="L13" s="86">
        <f>IF($T13="","",IF(INDEX(对接源_01水果!$K$4:$K$1203,$T13)=0,"",INDEX(对接源_01水果!$K$4:$K$1203,$T13)))</f>
      </c>
      <c r="M13" s="84">
        <f>IF($T13="","",IF(INDEX(对接源_01水果!$L$4:$L$1203,$T13)=0,"",INDEX(对接源_01水果!$L$4:$L$1203,$T13)))</f>
      </c>
      <c r="N13" s="87">
        <f>IF($T13="","",IF(INDEX(对接源_01水果!$M$4:$M$1203,$T13)=0,"",INDEX(对接源_01水果!$M$4:$M$1203,$T13)))</f>
      </c>
      <c r="S13" s="7" t="n"/>
      <c r="T13" s="7">
        <f>IF(ROW()-5&gt;$U$1203,"",MATCH(ROW()-5,$U$4:$U$1203,0))</f>
      </c>
      <c r="U13">
        <f>N(U12)+IF(AND($B$2&lt;&gt;"",对接源_01水果!$AH13=$B$2,对接源_01水果!$B13&gt;=$U$1,对接源_01水果!$B13&lt;=$U$2),1,0)</f>
        <v>0</v>
      </c>
    </row>
    <row r="14" ht="15.75" customHeight="1" s="127">
      <c r="A14" s="191">
        <f>IF($T14="","",IF(INDEX(对接源_01水果!$B$4:$B$1203,$T14)=0,"",INDEX(对接源_01水果!$B$4:$B$1203,$T14)))</f>
      </c>
      <c r="B14" s="84">
        <f>IF($T14="","",IF(INDEX(对接源_01水果!$E$4:$E$1203,$T14)=0,"",INDEX(对接源_01水果!$E$4:$E$1203,$T14)))</f>
      </c>
      <c r="C14" s="84">
        <f>IF($T14="","",IF(INDEX(对接源_01水果!$AC$4:$AC$1203,$T14)=0,"",INDEX(对接源_01水果!$AC$4:$AC$1203,$T14)))</f>
      </c>
      <c r="D14" s="84">
        <f>IF($T14="","",IF(INDEX(对接源_01水果!$F$4:$F$1203,$T14)=0,"",INDEX(对接源_01水果!$F$4:$F$1203,$T14)))</f>
      </c>
      <c r="E14" s="84">
        <f>IF($T14="","",IF(INDEX(对接源_01水果!$G$4:$G$1203,$T14)=0,"",INDEX(对接源_01水果!$G$4:$G$1203,$T14)))</f>
      </c>
      <c r="F14" s="84">
        <f>IF($T14="","",IF(INDEX(对接源_01水果!$H$4:$H$1203,$T14)=0,"",INDEX(对接源_01水果!$H$4:$H$1203,$T14)))</f>
      </c>
      <c r="G14" s="84">
        <f>IF($T14="","",IF(INDEX(对接源_01水果!$I$4:$I$1203,$T14)=0,"",INDEX(对接源_01水果!$I$4:$I$1203,$T14)))</f>
      </c>
      <c r="H14" s="86">
        <f>IF($T14="","",IF(INDEX(对接源_01水果!$AD$4:$AD$1203,$T14)=0,"",INDEX(对接源_01水果!$AD$4:$AD$1203,$T14)))</f>
      </c>
      <c r="I14" s="86">
        <f>IF($T14="","",IF(INDEX(对接源_01水果!$AI$4:$AI$1203,$T14)=0,"",INDEX(对接源_01水果!$AI$4:$AI$1203,$T14)))</f>
      </c>
      <c r="J14" s="86">
        <f>IF($T14="","",IF(INDEX(对接源_01水果!$AE$4:$AE$1203,$T14)=0,"",INDEX(对接源_01水果!$AE$4:$AE$1203,$T14)))</f>
      </c>
      <c r="K14" s="86">
        <f>IF($T14="","",IF(INDEX(对接源_01水果!$AF$4:$AF$1203,$T14)=0,"",INDEX(对接源_01水果!$AF$4:$AF$1203,$T14)))</f>
      </c>
      <c r="L14" s="86">
        <f>IF($T14="","",IF(INDEX(对接源_01水果!$K$4:$K$1203,$T14)=0,"",INDEX(对接源_01水果!$K$4:$K$1203,$T14)))</f>
      </c>
      <c r="M14" s="84">
        <f>IF($T14="","",IF(INDEX(对接源_01水果!$L$4:$L$1203,$T14)=0,"",INDEX(对接源_01水果!$L$4:$L$1203,$T14)))</f>
      </c>
      <c r="N14" s="87">
        <f>IF($T14="","",IF(INDEX(对接源_01水果!$M$4:$M$1203,$T14)=0,"",INDEX(对接源_01水果!$M$4:$M$1203,$T14)))</f>
      </c>
      <c r="S14" s="7" t="n"/>
      <c r="T14" s="7">
        <f>IF(ROW()-5&gt;$U$1203,"",MATCH(ROW()-5,$U$4:$U$1203,0))</f>
      </c>
      <c r="U14">
        <f>N(U13)+IF(AND($B$2&lt;&gt;"",对接源_01水果!$AH14=$B$2,对接源_01水果!$B14&gt;=$U$1,对接源_01水果!$B14&lt;=$U$2),1,0)</f>
        <v>0</v>
      </c>
    </row>
    <row r="15" ht="15.75" customHeight="1" s="127">
      <c r="A15" s="191">
        <f>IF($T15="","",IF(INDEX(对接源_01水果!$B$4:$B$1203,$T15)=0,"",INDEX(对接源_01水果!$B$4:$B$1203,$T15)))</f>
      </c>
      <c r="B15" s="84">
        <f>IF($T15="","",IF(INDEX(对接源_01水果!$E$4:$E$1203,$T15)=0,"",INDEX(对接源_01水果!$E$4:$E$1203,$T15)))</f>
      </c>
      <c r="C15" s="84">
        <f>IF($T15="","",IF(INDEX(对接源_01水果!$AC$4:$AC$1203,$T15)=0,"",INDEX(对接源_01水果!$AC$4:$AC$1203,$T15)))</f>
      </c>
      <c r="D15" s="84">
        <f>IF($T15="","",IF(INDEX(对接源_01水果!$F$4:$F$1203,$T15)=0,"",INDEX(对接源_01水果!$F$4:$F$1203,$T15)))</f>
      </c>
      <c r="E15" s="84">
        <f>IF($T15="","",IF(INDEX(对接源_01水果!$G$4:$G$1203,$T15)=0,"",INDEX(对接源_01水果!$G$4:$G$1203,$T15)))</f>
      </c>
      <c r="F15" s="84">
        <f>IF($T15="","",IF(INDEX(对接源_01水果!$H$4:$H$1203,$T15)=0,"",INDEX(对接源_01水果!$H$4:$H$1203,$T15)))</f>
      </c>
      <c r="G15" s="84">
        <f>IF($T15="","",IF(INDEX(对接源_01水果!$I$4:$I$1203,$T15)=0,"",INDEX(对接源_01水果!$I$4:$I$1203,$T15)))</f>
      </c>
      <c r="H15" s="86">
        <f>IF($T15="","",IF(INDEX(对接源_01水果!$AD$4:$AD$1203,$T15)=0,"",INDEX(对接源_01水果!$AD$4:$AD$1203,$T15)))</f>
      </c>
      <c r="I15" s="86">
        <f>IF($T15="","",IF(INDEX(对接源_01水果!$AI$4:$AI$1203,$T15)=0,"",INDEX(对接源_01水果!$AI$4:$AI$1203,$T15)))</f>
      </c>
      <c r="J15" s="86">
        <f>IF($T15="","",IF(INDEX(对接源_01水果!$AE$4:$AE$1203,$T15)=0,"",INDEX(对接源_01水果!$AE$4:$AE$1203,$T15)))</f>
      </c>
      <c r="K15" s="86">
        <f>IF($T15="","",IF(INDEX(对接源_01水果!$AF$4:$AF$1203,$T15)=0,"",INDEX(对接源_01水果!$AF$4:$AF$1203,$T15)))</f>
      </c>
      <c r="L15" s="86">
        <f>IF($T15="","",IF(INDEX(对接源_01水果!$K$4:$K$1203,$T15)=0,"",INDEX(对接源_01水果!$K$4:$K$1203,$T15)))</f>
      </c>
      <c r="M15" s="84">
        <f>IF($T15="","",IF(INDEX(对接源_01水果!$L$4:$L$1203,$T15)=0,"",INDEX(对接源_01水果!$L$4:$L$1203,$T15)))</f>
      </c>
      <c r="N15" s="87">
        <f>IF($T15="","",IF(INDEX(对接源_01水果!$M$4:$M$1203,$T15)=0,"",INDEX(对接源_01水果!$M$4:$M$1203,$T15)))</f>
      </c>
      <c r="S15" s="7" t="n"/>
      <c r="T15" s="7">
        <f>IF(ROW()-5&gt;$U$1203,"",MATCH(ROW()-5,$U$4:$U$1203,0))</f>
      </c>
      <c r="U15">
        <f>N(U14)+IF(AND($B$2&lt;&gt;"",对接源_01水果!$AH15=$B$2,对接源_01水果!$B15&gt;=$U$1,对接源_01水果!$B15&lt;=$U$2),1,0)</f>
        <v>0</v>
      </c>
    </row>
    <row r="16" ht="15.75" customHeight="1" s="127">
      <c r="A16" s="191">
        <f>IF($T16="","",IF(INDEX(对接源_01水果!$B$4:$B$1203,$T16)=0,"",INDEX(对接源_01水果!$B$4:$B$1203,$T16)))</f>
      </c>
      <c r="B16" s="84">
        <f>IF($T16="","",IF(INDEX(对接源_01水果!$E$4:$E$1203,$T16)=0,"",INDEX(对接源_01水果!$E$4:$E$1203,$T16)))</f>
      </c>
      <c r="C16" s="84">
        <f>IF($T16="","",IF(INDEX(对接源_01水果!$AC$4:$AC$1203,$T16)=0,"",INDEX(对接源_01水果!$AC$4:$AC$1203,$T16)))</f>
      </c>
      <c r="D16" s="84">
        <f>IF($T16="","",IF(INDEX(对接源_01水果!$F$4:$F$1203,$T16)=0,"",INDEX(对接源_01水果!$F$4:$F$1203,$T16)))</f>
      </c>
      <c r="E16" s="84">
        <f>IF($T16="","",IF(INDEX(对接源_01水果!$G$4:$G$1203,$T16)=0,"",INDEX(对接源_01水果!$G$4:$G$1203,$T16)))</f>
      </c>
      <c r="F16" s="84">
        <f>IF($T16="","",IF(INDEX(对接源_01水果!$H$4:$H$1203,$T16)=0,"",INDEX(对接源_01水果!$H$4:$H$1203,$T16)))</f>
      </c>
      <c r="G16" s="84">
        <f>IF($T16="","",IF(INDEX(对接源_01水果!$I$4:$I$1203,$T16)=0,"",INDEX(对接源_01水果!$I$4:$I$1203,$T16)))</f>
      </c>
      <c r="H16" s="86">
        <f>IF($T16="","",IF(INDEX(对接源_01水果!$AD$4:$AD$1203,$T16)=0,"",INDEX(对接源_01水果!$AD$4:$AD$1203,$T16)))</f>
      </c>
      <c r="I16" s="86">
        <f>IF($T16="","",IF(INDEX(对接源_01水果!$AI$4:$AI$1203,$T16)=0,"",INDEX(对接源_01水果!$AI$4:$AI$1203,$T16)))</f>
      </c>
      <c r="J16" s="86">
        <f>IF($T16="","",IF(INDEX(对接源_01水果!$AE$4:$AE$1203,$T16)=0,"",INDEX(对接源_01水果!$AE$4:$AE$1203,$T16)))</f>
      </c>
      <c r="K16" s="86">
        <f>IF($T16="","",IF(INDEX(对接源_01水果!$AF$4:$AF$1203,$T16)=0,"",INDEX(对接源_01水果!$AF$4:$AF$1203,$T16)))</f>
      </c>
      <c r="L16" s="86">
        <f>IF($T16="","",IF(INDEX(对接源_01水果!$K$4:$K$1203,$T16)=0,"",INDEX(对接源_01水果!$K$4:$K$1203,$T16)))</f>
      </c>
      <c r="M16" s="84">
        <f>IF($T16="","",IF(INDEX(对接源_01水果!$L$4:$L$1203,$T16)=0,"",INDEX(对接源_01水果!$L$4:$L$1203,$T16)))</f>
      </c>
      <c r="N16" s="87">
        <f>IF($T16="","",IF(INDEX(对接源_01水果!$M$4:$M$1203,$T16)=0,"",INDEX(对接源_01水果!$M$4:$M$1203,$T16)))</f>
      </c>
      <c r="S16" s="7" t="n"/>
      <c r="T16" s="7">
        <f>IF(ROW()-5&gt;$U$1203,"",MATCH(ROW()-5,$U$4:$U$1203,0))</f>
      </c>
      <c r="U16">
        <f>N(U15)+IF(AND($B$2&lt;&gt;"",对接源_01水果!$AH16=$B$2,对接源_01水果!$B16&gt;=$U$1,对接源_01水果!$B16&lt;=$U$2),1,0)</f>
        <v>0</v>
      </c>
    </row>
    <row r="17" ht="15.75" customHeight="1" s="127">
      <c r="A17" s="191">
        <f>IF($T17="","",IF(INDEX(对接源_01水果!$B$4:$B$1203,$T17)=0,"",INDEX(对接源_01水果!$B$4:$B$1203,$T17)))</f>
      </c>
      <c r="B17" s="84">
        <f>IF($T17="","",IF(INDEX(对接源_01水果!$E$4:$E$1203,$T17)=0,"",INDEX(对接源_01水果!$E$4:$E$1203,$T17)))</f>
      </c>
      <c r="C17" s="84">
        <f>IF($T17="","",IF(INDEX(对接源_01水果!$AC$4:$AC$1203,$T17)=0,"",INDEX(对接源_01水果!$AC$4:$AC$1203,$T17)))</f>
      </c>
      <c r="D17" s="84">
        <f>IF($T17="","",IF(INDEX(对接源_01水果!$F$4:$F$1203,$T17)=0,"",INDEX(对接源_01水果!$F$4:$F$1203,$T17)))</f>
      </c>
      <c r="E17" s="84">
        <f>IF($T17="","",IF(INDEX(对接源_01水果!$G$4:$G$1203,$T17)=0,"",INDEX(对接源_01水果!$G$4:$G$1203,$T17)))</f>
      </c>
      <c r="F17" s="84">
        <f>IF($T17="","",IF(INDEX(对接源_01水果!$H$4:$H$1203,$T17)=0,"",INDEX(对接源_01水果!$H$4:$H$1203,$T17)))</f>
      </c>
      <c r="G17" s="84">
        <f>IF($T17="","",IF(INDEX(对接源_01水果!$I$4:$I$1203,$T17)=0,"",INDEX(对接源_01水果!$I$4:$I$1203,$T17)))</f>
      </c>
      <c r="H17" s="86">
        <f>IF($T17="","",IF(INDEX(对接源_01水果!$AD$4:$AD$1203,$T17)=0,"",INDEX(对接源_01水果!$AD$4:$AD$1203,$T17)))</f>
      </c>
      <c r="I17" s="86">
        <f>IF($T17="","",IF(INDEX(对接源_01水果!$AI$4:$AI$1203,$T17)=0,"",INDEX(对接源_01水果!$AI$4:$AI$1203,$T17)))</f>
      </c>
      <c r="J17" s="86">
        <f>IF($T17="","",IF(INDEX(对接源_01水果!$AE$4:$AE$1203,$T17)=0,"",INDEX(对接源_01水果!$AE$4:$AE$1203,$T17)))</f>
      </c>
      <c r="K17" s="86">
        <f>IF($T17="","",IF(INDEX(对接源_01水果!$AF$4:$AF$1203,$T17)=0,"",INDEX(对接源_01水果!$AF$4:$AF$1203,$T17)))</f>
      </c>
      <c r="L17" s="86">
        <f>IF($T17="","",IF(INDEX(对接源_01水果!$K$4:$K$1203,$T17)=0,"",INDEX(对接源_01水果!$K$4:$K$1203,$T17)))</f>
      </c>
      <c r="M17" s="84">
        <f>IF($T17="","",IF(INDEX(对接源_01水果!$L$4:$L$1203,$T17)=0,"",INDEX(对接源_01水果!$L$4:$L$1203,$T17)))</f>
      </c>
      <c r="N17" s="87">
        <f>IF($T17="","",IF(INDEX(对接源_01水果!$M$4:$M$1203,$T17)=0,"",INDEX(对接源_01水果!$M$4:$M$1203,$T17)))</f>
      </c>
      <c r="S17" s="7" t="n"/>
      <c r="T17" s="7">
        <f>IF(ROW()-5&gt;$U$1203,"",MATCH(ROW()-5,$U$4:$U$1203,0))</f>
      </c>
      <c r="U17">
        <f>N(U16)+IF(AND($B$2&lt;&gt;"",对接源_01水果!$AH17=$B$2,对接源_01水果!$B17&gt;=$U$1,对接源_01水果!$B17&lt;=$U$2),1,0)</f>
        <v>0</v>
      </c>
    </row>
    <row r="18" ht="15.75" customHeight="1" s="127">
      <c r="A18" s="191">
        <f>IF($T18="","",IF(INDEX(对接源_01水果!$B$4:$B$1203,$T18)=0,"",INDEX(对接源_01水果!$B$4:$B$1203,$T18)))</f>
      </c>
      <c r="B18" s="84">
        <f>IF($T18="","",IF(INDEX(对接源_01水果!$E$4:$E$1203,$T18)=0,"",INDEX(对接源_01水果!$E$4:$E$1203,$T18)))</f>
      </c>
      <c r="C18" s="84">
        <f>IF($T18="","",IF(INDEX(对接源_01水果!$AC$4:$AC$1203,$T18)=0,"",INDEX(对接源_01水果!$AC$4:$AC$1203,$T18)))</f>
      </c>
      <c r="D18" s="84">
        <f>IF($T18="","",IF(INDEX(对接源_01水果!$F$4:$F$1203,$T18)=0,"",INDEX(对接源_01水果!$F$4:$F$1203,$T18)))</f>
      </c>
      <c r="E18" s="84">
        <f>IF($T18="","",IF(INDEX(对接源_01水果!$G$4:$G$1203,$T18)=0,"",INDEX(对接源_01水果!$G$4:$G$1203,$T18)))</f>
      </c>
      <c r="F18" s="84">
        <f>IF($T18="","",IF(INDEX(对接源_01水果!$H$4:$H$1203,$T18)=0,"",INDEX(对接源_01水果!$H$4:$H$1203,$T18)))</f>
      </c>
      <c r="G18" s="84">
        <f>IF($T18="","",IF(INDEX(对接源_01水果!$I$4:$I$1203,$T18)=0,"",INDEX(对接源_01水果!$I$4:$I$1203,$T18)))</f>
      </c>
      <c r="H18" s="86">
        <f>IF($T18="","",IF(INDEX(对接源_01水果!$AD$4:$AD$1203,$T18)=0,"",INDEX(对接源_01水果!$AD$4:$AD$1203,$T18)))</f>
      </c>
      <c r="I18" s="86">
        <f>IF($T18="","",IF(INDEX(对接源_01水果!$AI$4:$AI$1203,$T18)=0,"",INDEX(对接源_01水果!$AI$4:$AI$1203,$T18)))</f>
      </c>
      <c r="J18" s="86">
        <f>IF($T18="","",IF(INDEX(对接源_01水果!$AE$4:$AE$1203,$T18)=0,"",INDEX(对接源_01水果!$AE$4:$AE$1203,$T18)))</f>
      </c>
      <c r="K18" s="86">
        <f>IF($T18="","",IF(INDEX(对接源_01水果!$AF$4:$AF$1203,$T18)=0,"",INDEX(对接源_01水果!$AF$4:$AF$1203,$T18)))</f>
      </c>
      <c r="L18" s="86">
        <f>IF($T18="","",IF(INDEX(对接源_01水果!$K$4:$K$1203,$T18)=0,"",INDEX(对接源_01水果!$K$4:$K$1203,$T18)))</f>
      </c>
      <c r="M18" s="84">
        <f>IF($T18="","",IF(INDEX(对接源_01水果!$L$4:$L$1203,$T18)=0,"",INDEX(对接源_01水果!$L$4:$L$1203,$T18)))</f>
      </c>
      <c r="N18" s="87">
        <f>IF($T18="","",IF(INDEX(对接源_01水果!$M$4:$M$1203,$T18)=0,"",INDEX(对接源_01水果!$M$4:$M$1203,$T18)))</f>
      </c>
      <c r="S18" s="7" t="n"/>
      <c r="T18" s="7">
        <f>IF(ROW()-5&gt;$U$1203,"",MATCH(ROW()-5,$U$4:$U$1203,0))</f>
      </c>
      <c r="U18">
        <f>N(U17)+IF(AND($B$2&lt;&gt;"",对接源_01水果!$AH18=$B$2,对接源_01水果!$B18&gt;=$U$1,对接源_01水果!$B18&lt;=$U$2),1,0)</f>
        <v>0</v>
      </c>
    </row>
    <row r="19" ht="15.75" customHeight="1" s="127">
      <c r="A19" s="191">
        <f>IF($T19="","",IF(INDEX(对接源_01水果!$B$4:$B$1203,$T19)=0,"",INDEX(对接源_01水果!$B$4:$B$1203,$T19)))</f>
      </c>
      <c r="B19" s="84">
        <f>IF($T19="","",IF(INDEX(对接源_01水果!$E$4:$E$1203,$T19)=0,"",INDEX(对接源_01水果!$E$4:$E$1203,$T19)))</f>
      </c>
      <c r="C19" s="84">
        <f>IF($T19="","",IF(INDEX(对接源_01水果!$AC$4:$AC$1203,$T19)=0,"",INDEX(对接源_01水果!$AC$4:$AC$1203,$T19)))</f>
      </c>
      <c r="D19" s="84">
        <f>IF($T19="","",IF(INDEX(对接源_01水果!$F$4:$F$1203,$T19)=0,"",INDEX(对接源_01水果!$F$4:$F$1203,$T19)))</f>
      </c>
      <c r="E19" s="84">
        <f>IF($T19="","",IF(INDEX(对接源_01水果!$G$4:$G$1203,$T19)=0,"",INDEX(对接源_01水果!$G$4:$G$1203,$T19)))</f>
      </c>
      <c r="F19" s="84">
        <f>IF($T19="","",IF(INDEX(对接源_01水果!$H$4:$H$1203,$T19)=0,"",INDEX(对接源_01水果!$H$4:$H$1203,$T19)))</f>
      </c>
      <c r="G19" s="84">
        <f>IF($T19="","",IF(INDEX(对接源_01水果!$I$4:$I$1203,$T19)=0,"",INDEX(对接源_01水果!$I$4:$I$1203,$T19)))</f>
      </c>
      <c r="H19" s="86">
        <f>IF($T19="","",IF(INDEX(对接源_01水果!$AD$4:$AD$1203,$T19)=0,"",INDEX(对接源_01水果!$AD$4:$AD$1203,$T19)))</f>
      </c>
      <c r="I19" s="86">
        <f>IF($T19="","",IF(INDEX(对接源_01水果!$AI$4:$AI$1203,$T19)=0,"",INDEX(对接源_01水果!$AI$4:$AI$1203,$T19)))</f>
      </c>
      <c r="J19" s="86">
        <f>IF($T19="","",IF(INDEX(对接源_01水果!$AE$4:$AE$1203,$T19)=0,"",INDEX(对接源_01水果!$AE$4:$AE$1203,$T19)))</f>
      </c>
      <c r="K19" s="86">
        <f>IF($T19="","",IF(INDEX(对接源_01水果!$AF$4:$AF$1203,$T19)=0,"",INDEX(对接源_01水果!$AF$4:$AF$1203,$T19)))</f>
      </c>
      <c r="L19" s="86">
        <f>IF($T19="","",IF(INDEX(对接源_01水果!$K$4:$K$1203,$T19)=0,"",INDEX(对接源_01水果!$K$4:$K$1203,$T19)))</f>
      </c>
      <c r="M19" s="84">
        <f>IF($T19="","",IF(INDEX(对接源_01水果!$L$4:$L$1203,$T19)=0,"",INDEX(对接源_01水果!$L$4:$L$1203,$T19)))</f>
      </c>
      <c r="N19" s="87">
        <f>IF($T19="","",IF(INDEX(对接源_01水果!$M$4:$M$1203,$T19)=0,"",INDEX(对接源_01水果!$M$4:$M$1203,$T19)))</f>
      </c>
      <c r="S19" s="7" t="n"/>
      <c r="T19" s="7">
        <f>IF(ROW()-5&gt;$U$1203,"",MATCH(ROW()-5,$U$4:$U$1203,0))</f>
      </c>
      <c r="U19">
        <f>N(U18)+IF(AND($B$2&lt;&gt;"",对接源_01水果!$AH19=$B$2,对接源_01水果!$B19&gt;=$U$1,对接源_01水果!$B19&lt;=$U$2),1,0)</f>
        <v>0</v>
      </c>
    </row>
    <row r="20" ht="15.75" customHeight="1" s="127">
      <c r="A20" s="191">
        <f>IF($T20="","",IF(INDEX(对接源_01水果!$B$4:$B$1203,$T20)=0,"",INDEX(对接源_01水果!$B$4:$B$1203,$T20)))</f>
      </c>
      <c r="B20" s="84">
        <f>IF($T20="","",IF(INDEX(对接源_01水果!$E$4:$E$1203,$T20)=0,"",INDEX(对接源_01水果!$E$4:$E$1203,$T20)))</f>
      </c>
      <c r="C20" s="84">
        <f>IF($T20="","",IF(INDEX(对接源_01水果!$AC$4:$AC$1203,$T20)=0,"",INDEX(对接源_01水果!$AC$4:$AC$1203,$T20)))</f>
      </c>
      <c r="D20" s="84">
        <f>IF($T20="","",IF(INDEX(对接源_01水果!$F$4:$F$1203,$T20)=0,"",INDEX(对接源_01水果!$F$4:$F$1203,$T20)))</f>
      </c>
      <c r="E20" s="84">
        <f>IF($T20="","",IF(INDEX(对接源_01水果!$G$4:$G$1203,$T20)=0,"",INDEX(对接源_01水果!$G$4:$G$1203,$T20)))</f>
      </c>
      <c r="F20" s="84">
        <f>IF($T20="","",IF(INDEX(对接源_01水果!$H$4:$H$1203,$T20)=0,"",INDEX(对接源_01水果!$H$4:$H$1203,$T20)))</f>
      </c>
      <c r="G20" s="84">
        <f>IF($T20="","",IF(INDEX(对接源_01水果!$I$4:$I$1203,$T20)=0,"",INDEX(对接源_01水果!$I$4:$I$1203,$T20)))</f>
      </c>
      <c r="H20" s="86">
        <f>IF($T20="","",IF(INDEX(对接源_01水果!$AD$4:$AD$1203,$T20)=0,"",INDEX(对接源_01水果!$AD$4:$AD$1203,$T20)))</f>
      </c>
      <c r="I20" s="86">
        <f>IF($T20="","",IF(INDEX(对接源_01水果!$AI$4:$AI$1203,$T20)=0,"",INDEX(对接源_01水果!$AI$4:$AI$1203,$T20)))</f>
      </c>
      <c r="J20" s="86">
        <f>IF($T20="","",IF(INDEX(对接源_01水果!$AE$4:$AE$1203,$T20)=0,"",INDEX(对接源_01水果!$AE$4:$AE$1203,$T20)))</f>
      </c>
      <c r="K20" s="86">
        <f>IF($T20="","",IF(INDEX(对接源_01水果!$AF$4:$AF$1203,$T20)=0,"",INDEX(对接源_01水果!$AF$4:$AF$1203,$T20)))</f>
      </c>
      <c r="L20" s="86">
        <f>IF($T20="","",IF(INDEX(对接源_01水果!$K$4:$K$1203,$T20)=0,"",INDEX(对接源_01水果!$K$4:$K$1203,$T20)))</f>
      </c>
      <c r="M20" s="84">
        <f>IF($T20="","",IF(INDEX(对接源_01水果!$L$4:$L$1203,$T20)=0,"",INDEX(对接源_01水果!$L$4:$L$1203,$T20)))</f>
      </c>
      <c r="N20" s="87">
        <f>IF($T20="","",IF(INDEX(对接源_01水果!$M$4:$M$1203,$T20)=0,"",INDEX(对接源_01水果!$M$4:$M$1203,$T20)))</f>
      </c>
      <c r="S20" s="7" t="n"/>
      <c r="T20" s="7">
        <f>IF(ROW()-5&gt;$U$1203,"",MATCH(ROW()-5,$U$4:$U$1203,0))</f>
      </c>
      <c r="U20">
        <f>N(U19)+IF(AND($B$2&lt;&gt;"",对接源_01水果!$AH20=$B$2,对接源_01水果!$B20&gt;=$U$1,对接源_01水果!$B20&lt;=$U$2),1,0)</f>
        <v>0</v>
      </c>
    </row>
    <row r="21" ht="15.75" customHeight="1" s="127">
      <c r="A21" s="191">
        <f>IF($T21="","",IF(INDEX(对接源_01水果!$B$4:$B$1203,$T21)=0,"",INDEX(对接源_01水果!$B$4:$B$1203,$T21)))</f>
      </c>
      <c r="B21" s="84">
        <f>IF($T21="","",IF(INDEX(对接源_01水果!$E$4:$E$1203,$T21)=0,"",INDEX(对接源_01水果!$E$4:$E$1203,$T21)))</f>
      </c>
      <c r="C21" s="84">
        <f>IF($T21="","",IF(INDEX(对接源_01水果!$AC$4:$AC$1203,$T21)=0,"",INDEX(对接源_01水果!$AC$4:$AC$1203,$T21)))</f>
      </c>
      <c r="D21" s="84">
        <f>IF($T21="","",IF(INDEX(对接源_01水果!$F$4:$F$1203,$T21)=0,"",INDEX(对接源_01水果!$F$4:$F$1203,$T21)))</f>
      </c>
      <c r="E21" s="84">
        <f>IF($T21="","",IF(INDEX(对接源_01水果!$G$4:$G$1203,$T21)=0,"",INDEX(对接源_01水果!$G$4:$G$1203,$T21)))</f>
      </c>
      <c r="F21" s="84">
        <f>IF($T21="","",IF(INDEX(对接源_01水果!$H$4:$H$1203,$T21)=0,"",INDEX(对接源_01水果!$H$4:$H$1203,$T21)))</f>
      </c>
      <c r="G21" s="84">
        <f>IF($T21="","",IF(INDEX(对接源_01水果!$I$4:$I$1203,$T21)=0,"",INDEX(对接源_01水果!$I$4:$I$1203,$T21)))</f>
      </c>
      <c r="H21" s="86">
        <f>IF($T21="","",IF(INDEX(对接源_01水果!$AD$4:$AD$1203,$T21)=0,"",INDEX(对接源_01水果!$AD$4:$AD$1203,$T21)))</f>
      </c>
      <c r="I21" s="86">
        <f>IF($T21="","",IF(INDEX(对接源_01水果!$AI$4:$AI$1203,$T21)=0,"",INDEX(对接源_01水果!$AI$4:$AI$1203,$T21)))</f>
      </c>
      <c r="J21" s="86">
        <f>IF($T21="","",IF(INDEX(对接源_01水果!$AE$4:$AE$1203,$T21)=0,"",INDEX(对接源_01水果!$AE$4:$AE$1203,$T21)))</f>
      </c>
      <c r="K21" s="86">
        <f>IF($T21="","",IF(INDEX(对接源_01水果!$AF$4:$AF$1203,$T21)=0,"",INDEX(对接源_01水果!$AF$4:$AF$1203,$T21)))</f>
      </c>
      <c r="L21" s="86">
        <f>IF($T21="","",IF(INDEX(对接源_01水果!$K$4:$K$1203,$T21)=0,"",INDEX(对接源_01水果!$K$4:$K$1203,$T21)))</f>
      </c>
      <c r="M21" s="84">
        <f>IF($T21="","",IF(INDEX(对接源_01水果!$L$4:$L$1203,$T21)=0,"",INDEX(对接源_01水果!$L$4:$L$1203,$T21)))</f>
      </c>
      <c r="N21" s="87">
        <f>IF($T21="","",IF(INDEX(对接源_01水果!$M$4:$M$1203,$T21)=0,"",INDEX(对接源_01水果!$M$4:$M$1203,$T21)))</f>
      </c>
      <c r="S21" s="7" t="n"/>
      <c r="T21" s="7">
        <f>IF(ROW()-5&gt;$U$1203,"",MATCH(ROW()-5,$U$4:$U$1203,0))</f>
      </c>
      <c r="U21">
        <f>N(U20)+IF(AND($B$2&lt;&gt;"",对接源_01水果!$AH21=$B$2,对接源_01水果!$B21&gt;=$U$1,对接源_01水果!$B21&lt;=$U$2),1,0)</f>
        <v>0</v>
      </c>
    </row>
    <row r="22" ht="15.75" customHeight="1" s="127">
      <c r="A22" s="191">
        <f>IF($T22="","",IF(INDEX(对接源_01水果!$B$4:$B$1203,$T22)=0,"",INDEX(对接源_01水果!$B$4:$B$1203,$T22)))</f>
      </c>
      <c r="B22" s="84">
        <f>IF($T22="","",IF(INDEX(对接源_01水果!$E$4:$E$1203,$T22)=0,"",INDEX(对接源_01水果!$E$4:$E$1203,$T22)))</f>
      </c>
      <c r="C22" s="84">
        <f>IF($T22="","",IF(INDEX(对接源_01水果!$AC$4:$AC$1203,$T22)=0,"",INDEX(对接源_01水果!$AC$4:$AC$1203,$T22)))</f>
      </c>
      <c r="D22" s="84">
        <f>IF($T22="","",IF(INDEX(对接源_01水果!$F$4:$F$1203,$T22)=0,"",INDEX(对接源_01水果!$F$4:$F$1203,$T22)))</f>
      </c>
      <c r="E22" s="84">
        <f>IF($T22="","",IF(INDEX(对接源_01水果!$G$4:$G$1203,$T22)=0,"",INDEX(对接源_01水果!$G$4:$G$1203,$T22)))</f>
      </c>
      <c r="F22" s="84">
        <f>IF($T22="","",IF(INDEX(对接源_01水果!$H$4:$H$1203,$T22)=0,"",INDEX(对接源_01水果!$H$4:$H$1203,$T22)))</f>
      </c>
      <c r="G22" s="84">
        <f>IF($T22="","",IF(INDEX(对接源_01水果!$I$4:$I$1203,$T22)=0,"",INDEX(对接源_01水果!$I$4:$I$1203,$T22)))</f>
      </c>
      <c r="H22" s="86">
        <f>IF($T22="","",IF(INDEX(对接源_01水果!$AD$4:$AD$1203,$T22)=0,"",INDEX(对接源_01水果!$AD$4:$AD$1203,$T22)))</f>
      </c>
      <c r="I22" s="86">
        <f>IF($T22="","",IF(INDEX(对接源_01水果!$AI$4:$AI$1203,$T22)=0,"",INDEX(对接源_01水果!$AI$4:$AI$1203,$T22)))</f>
      </c>
      <c r="J22" s="86">
        <f>IF($T22="","",IF(INDEX(对接源_01水果!$AE$4:$AE$1203,$T22)=0,"",INDEX(对接源_01水果!$AE$4:$AE$1203,$T22)))</f>
      </c>
      <c r="K22" s="86">
        <f>IF($T22="","",IF(INDEX(对接源_01水果!$AF$4:$AF$1203,$T22)=0,"",INDEX(对接源_01水果!$AF$4:$AF$1203,$T22)))</f>
      </c>
      <c r="L22" s="86">
        <f>IF($T22="","",IF(INDEX(对接源_01水果!$K$4:$K$1203,$T22)=0,"",INDEX(对接源_01水果!$K$4:$K$1203,$T22)))</f>
      </c>
      <c r="M22" s="84">
        <f>IF($T22="","",IF(INDEX(对接源_01水果!$L$4:$L$1203,$T22)=0,"",INDEX(对接源_01水果!$L$4:$L$1203,$T22)))</f>
      </c>
      <c r="N22" s="87">
        <f>IF($T22="","",IF(INDEX(对接源_01水果!$M$4:$M$1203,$T22)=0,"",INDEX(对接源_01水果!$M$4:$M$1203,$T22)))</f>
      </c>
      <c r="S22" s="7" t="n"/>
      <c r="T22" s="7">
        <f>IF(ROW()-5&gt;$U$1203,"",MATCH(ROW()-5,$U$4:$U$1203,0))</f>
      </c>
      <c r="U22">
        <f>N(U21)+IF(AND($B$2&lt;&gt;"",对接源_01水果!$AH22=$B$2,对接源_01水果!$B22&gt;=$U$1,对接源_01水果!$B22&lt;=$U$2),1,0)</f>
        <v>0</v>
      </c>
    </row>
    <row r="23" ht="15.75" customHeight="1" s="127">
      <c r="A23" s="191">
        <f>IF($T23="","",IF(INDEX(对接源_01水果!$B$4:$B$1203,$T23)=0,"",INDEX(对接源_01水果!$B$4:$B$1203,$T23)))</f>
      </c>
      <c r="B23" s="84">
        <f>IF($T23="","",IF(INDEX(对接源_01水果!$E$4:$E$1203,$T23)=0,"",INDEX(对接源_01水果!$E$4:$E$1203,$T23)))</f>
      </c>
      <c r="C23" s="84">
        <f>IF($T23="","",IF(INDEX(对接源_01水果!$AC$4:$AC$1203,$T23)=0,"",INDEX(对接源_01水果!$AC$4:$AC$1203,$T23)))</f>
      </c>
      <c r="D23" s="84">
        <f>IF($T23="","",IF(INDEX(对接源_01水果!$F$4:$F$1203,$T23)=0,"",INDEX(对接源_01水果!$F$4:$F$1203,$T23)))</f>
      </c>
      <c r="E23" s="84">
        <f>IF($T23="","",IF(INDEX(对接源_01水果!$G$4:$G$1203,$T23)=0,"",INDEX(对接源_01水果!$G$4:$G$1203,$T23)))</f>
      </c>
      <c r="F23" s="84">
        <f>IF($T23="","",IF(INDEX(对接源_01水果!$H$4:$H$1203,$T23)=0,"",INDEX(对接源_01水果!$H$4:$H$1203,$T23)))</f>
      </c>
      <c r="G23" s="84">
        <f>IF($T23="","",IF(INDEX(对接源_01水果!$I$4:$I$1203,$T23)=0,"",INDEX(对接源_01水果!$I$4:$I$1203,$T23)))</f>
      </c>
      <c r="H23" s="86">
        <f>IF($T23="","",IF(INDEX(对接源_01水果!$AD$4:$AD$1203,$T23)=0,"",INDEX(对接源_01水果!$AD$4:$AD$1203,$T23)))</f>
      </c>
      <c r="I23" s="86">
        <f>IF($T23="","",IF(INDEX(对接源_01水果!$AI$4:$AI$1203,$T23)=0,"",INDEX(对接源_01水果!$AI$4:$AI$1203,$T23)))</f>
      </c>
      <c r="J23" s="86">
        <f>IF($T23="","",IF(INDEX(对接源_01水果!$AE$4:$AE$1203,$T23)=0,"",INDEX(对接源_01水果!$AE$4:$AE$1203,$T23)))</f>
      </c>
      <c r="K23" s="86">
        <f>IF($T23="","",IF(INDEX(对接源_01水果!$AF$4:$AF$1203,$T23)=0,"",INDEX(对接源_01水果!$AF$4:$AF$1203,$T23)))</f>
      </c>
      <c r="L23" s="86">
        <f>IF($T23="","",IF(INDEX(对接源_01水果!$K$4:$K$1203,$T23)=0,"",INDEX(对接源_01水果!$K$4:$K$1203,$T23)))</f>
      </c>
      <c r="M23" s="84">
        <f>IF($T23="","",IF(INDEX(对接源_01水果!$L$4:$L$1203,$T23)=0,"",INDEX(对接源_01水果!$L$4:$L$1203,$T23)))</f>
      </c>
      <c r="N23" s="87">
        <f>IF($T23="","",IF(INDEX(对接源_01水果!$M$4:$M$1203,$T23)=0,"",INDEX(对接源_01水果!$M$4:$M$1203,$T23)))</f>
      </c>
      <c r="S23" s="7" t="n"/>
      <c r="T23" s="7">
        <f>IF(ROW()-5&gt;$U$1203,"",MATCH(ROW()-5,$U$4:$U$1203,0))</f>
      </c>
      <c r="U23">
        <f>N(U22)+IF(AND($B$2&lt;&gt;"",对接源_01水果!$AH23=$B$2,对接源_01水果!$B23&gt;=$U$1,对接源_01水果!$B23&lt;=$U$2),1,0)</f>
        <v>0</v>
      </c>
    </row>
    <row r="24" ht="15.75" customHeight="1" s="127">
      <c r="A24" s="191">
        <f>IF($T24="","",IF(INDEX(对接源_01水果!$B$4:$B$1203,$T24)=0,"",INDEX(对接源_01水果!$B$4:$B$1203,$T24)))</f>
      </c>
      <c r="B24" s="84">
        <f>IF($T24="","",IF(INDEX(对接源_01水果!$E$4:$E$1203,$T24)=0,"",INDEX(对接源_01水果!$E$4:$E$1203,$T24)))</f>
      </c>
      <c r="C24" s="84">
        <f>IF($T24="","",IF(INDEX(对接源_01水果!$AC$4:$AC$1203,$T24)=0,"",INDEX(对接源_01水果!$AC$4:$AC$1203,$T24)))</f>
      </c>
      <c r="D24" s="84">
        <f>IF($T24="","",IF(INDEX(对接源_01水果!$F$4:$F$1203,$T24)=0,"",INDEX(对接源_01水果!$F$4:$F$1203,$T24)))</f>
      </c>
      <c r="E24" s="84">
        <f>IF($T24="","",IF(INDEX(对接源_01水果!$G$4:$G$1203,$T24)=0,"",INDEX(对接源_01水果!$G$4:$G$1203,$T24)))</f>
      </c>
      <c r="F24" s="84">
        <f>IF($T24="","",IF(INDEX(对接源_01水果!$H$4:$H$1203,$T24)=0,"",INDEX(对接源_01水果!$H$4:$H$1203,$T24)))</f>
      </c>
      <c r="G24" s="84">
        <f>IF($T24="","",IF(INDEX(对接源_01水果!$I$4:$I$1203,$T24)=0,"",INDEX(对接源_01水果!$I$4:$I$1203,$T24)))</f>
      </c>
      <c r="H24" s="86">
        <f>IF($T24="","",IF(INDEX(对接源_01水果!$AD$4:$AD$1203,$T24)=0,"",INDEX(对接源_01水果!$AD$4:$AD$1203,$T24)))</f>
      </c>
      <c r="I24" s="86">
        <f>IF($T24="","",IF(INDEX(对接源_01水果!$AI$4:$AI$1203,$T24)=0,"",INDEX(对接源_01水果!$AI$4:$AI$1203,$T24)))</f>
      </c>
      <c r="J24" s="86">
        <f>IF($T24="","",IF(INDEX(对接源_01水果!$AE$4:$AE$1203,$T24)=0,"",INDEX(对接源_01水果!$AE$4:$AE$1203,$T24)))</f>
      </c>
      <c r="K24" s="86">
        <f>IF($T24="","",IF(INDEX(对接源_01水果!$AF$4:$AF$1203,$T24)=0,"",INDEX(对接源_01水果!$AF$4:$AF$1203,$T24)))</f>
      </c>
      <c r="L24" s="86">
        <f>IF($T24="","",IF(INDEX(对接源_01水果!$K$4:$K$1203,$T24)=0,"",INDEX(对接源_01水果!$K$4:$K$1203,$T24)))</f>
      </c>
      <c r="M24" s="84">
        <f>IF($T24="","",IF(INDEX(对接源_01水果!$L$4:$L$1203,$T24)=0,"",INDEX(对接源_01水果!$L$4:$L$1203,$T24)))</f>
      </c>
      <c r="N24" s="87">
        <f>IF($T24="","",IF(INDEX(对接源_01水果!$M$4:$M$1203,$T24)=0,"",INDEX(对接源_01水果!$M$4:$M$1203,$T24)))</f>
      </c>
      <c r="S24" s="7" t="n"/>
      <c r="T24" s="7">
        <f>IF(ROW()-5&gt;$U$1203,"",MATCH(ROW()-5,$U$4:$U$1203,0))</f>
      </c>
      <c r="U24">
        <f>N(U23)+IF(AND($B$2&lt;&gt;"",对接源_01水果!$AH24=$B$2,对接源_01水果!$B24&gt;=$U$1,对接源_01水果!$B24&lt;=$U$2),1,0)</f>
        <v>0</v>
      </c>
    </row>
    <row r="25" ht="15.75" customHeight="1" s="127">
      <c r="A25" s="191">
        <f>IF($T25="","",IF(INDEX(对接源_01水果!$B$4:$B$1203,$T25)=0,"",INDEX(对接源_01水果!$B$4:$B$1203,$T25)))</f>
      </c>
      <c r="B25" s="84">
        <f>IF($T25="","",IF(INDEX(对接源_01水果!$E$4:$E$1203,$T25)=0,"",INDEX(对接源_01水果!$E$4:$E$1203,$T25)))</f>
      </c>
      <c r="C25" s="84">
        <f>IF($T25="","",IF(INDEX(对接源_01水果!$AC$4:$AC$1203,$T25)=0,"",INDEX(对接源_01水果!$AC$4:$AC$1203,$T25)))</f>
      </c>
      <c r="D25" s="84">
        <f>IF($T25="","",IF(INDEX(对接源_01水果!$F$4:$F$1203,$T25)=0,"",INDEX(对接源_01水果!$F$4:$F$1203,$T25)))</f>
      </c>
      <c r="E25" s="84">
        <f>IF($T25="","",IF(INDEX(对接源_01水果!$G$4:$G$1203,$T25)=0,"",INDEX(对接源_01水果!$G$4:$G$1203,$T25)))</f>
      </c>
      <c r="F25" s="84">
        <f>IF($T25="","",IF(INDEX(对接源_01水果!$H$4:$H$1203,$T25)=0,"",INDEX(对接源_01水果!$H$4:$H$1203,$T25)))</f>
      </c>
      <c r="G25" s="84">
        <f>IF($T25="","",IF(INDEX(对接源_01水果!$I$4:$I$1203,$T25)=0,"",INDEX(对接源_01水果!$I$4:$I$1203,$T25)))</f>
      </c>
      <c r="H25" s="86">
        <f>IF($T25="","",IF(INDEX(对接源_01水果!$AD$4:$AD$1203,$T25)=0,"",INDEX(对接源_01水果!$AD$4:$AD$1203,$T25)))</f>
      </c>
      <c r="I25" s="86">
        <f>IF($T25="","",IF(INDEX(对接源_01水果!$AI$4:$AI$1203,$T25)=0,"",INDEX(对接源_01水果!$AI$4:$AI$1203,$T25)))</f>
      </c>
      <c r="J25" s="86">
        <f>IF($T25="","",IF(INDEX(对接源_01水果!$AE$4:$AE$1203,$T25)=0,"",INDEX(对接源_01水果!$AE$4:$AE$1203,$T25)))</f>
      </c>
      <c r="K25" s="86">
        <f>IF($T25="","",IF(INDEX(对接源_01水果!$AF$4:$AF$1203,$T25)=0,"",INDEX(对接源_01水果!$AF$4:$AF$1203,$T25)))</f>
      </c>
      <c r="L25" s="86">
        <f>IF($T25="","",IF(INDEX(对接源_01水果!$K$4:$K$1203,$T25)=0,"",INDEX(对接源_01水果!$K$4:$K$1203,$T25)))</f>
      </c>
      <c r="M25" s="84">
        <f>IF($T25="","",IF(INDEX(对接源_01水果!$L$4:$L$1203,$T25)=0,"",INDEX(对接源_01水果!$L$4:$L$1203,$T25)))</f>
      </c>
      <c r="N25" s="87">
        <f>IF($T25="","",IF(INDEX(对接源_01水果!$M$4:$M$1203,$T25)=0,"",INDEX(对接源_01水果!$M$4:$M$1203,$T25)))</f>
      </c>
      <c r="S25" s="7" t="n"/>
      <c r="T25" s="7">
        <f>IF(ROW()-5&gt;$U$1203,"",MATCH(ROW()-5,$U$4:$U$1203,0))</f>
      </c>
      <c r="U25">
        <f>N(U24)+IF(AND($B$2&lt;&gt;"",对接源_01水果!$AH25=$B$2,对接源_01水果!$B25&gt;=$U$1,对接源_01水果!$B25&lt;=$U$2),1,0)</f>
        <v>0</v>
      </c>
    </row>
    <row r="26" ht="15.75" customHeight="1" s="127">
      <c r="A26" s="191">
        <f>IF($T26="","",IF(INDEX(对接源_01水果!$B$4:$B$1203,$T26)=0,"",INDEX(对接源_01水果!$B$4:$B$1203,$T26)))</f>
      </c>
      <c r="B26" s="84">
        <f>IF($T26="","",IF(INDEX(对接源_01水果!$E$4:$E$1203,$T26)=0,"",INDEX(对接源_01水果!$E$4:$E$1203,$T26)))</f>
      </c>
      <c r="C26" s="84">
        <f>IF($T26="","",IF(INDEX(对接源_01水果!$AC$4:$AC$1203,$T26)=0,"",INDEX(对接源_01水果!$AC$4:$AC$1203,$T26)))</f>
      </c>
      <c r="D26" s="84">
        <f>IF($T26="","",IF(INDEX(对接源_01水果!$F$4:$F$1203,$T26)=0,"",INDEX(对接源_01水果!$F$4:$F$1203,$T26)))</f>
      </c>
      <c r="E26" s="84">
        <f>IF($T26="","",IF(INDEX(对接源_01水果!$G$4:$G$1203,$T26)=0,"",INDEX(对接源_01水果!$G$4:$G$1203,$T26)))</f>
      </c>
      <c r="F26" s="84">
        <f>IF($T26="","",IF(INDEX(对接源_01水果!$H$4:$H$1203,$T26)=0,"",INDEX(对接源_01水果!$H$4:$H$1203,$T26)))</f>
      </c>
      <c r="G26" s="84">
        <f>IF($T26="","",IF(INDEX(对接源_01水果!$I$4:$I$1203,$T26)=0,"",INDEX(对接源_01水果!$I$4:$I$1203,$T26)))</f>
      </c>
      <c r="H26" s="86">
        <f>IF($T26="","",IF(INDEX(对接源_01水果!$AD$4:$AD$1203,$T26)=0,"",INDEX(对接源_01水果!$AD$4:$AD$1203,$T26)))</f>
      </c>
      <c r="I26" s="86">
        <f>IF($T26="","",IF(INDEX(对接源_01水果!$AI$4:$AI$1203,$T26)=0,"",INDEX(对接源_01水果!$AI$4:$AI$1203,$T26)))</f>
      </c>
      <c r="J26" s="86">
        <f>IF($T26="","",IF(INDEX(对接源_01水果!$AE$4:$AE$1203,$T26)=0,"",INDEX(对接源_01水果!$AE$4:$AE$1203,$T26)))</f>
      </c>
      <c r="K26" s="86">
        <f>IF($T26="","",IF(INDEX(对接源_01水果!$AF$4:$AF$1203,$T26)=0,"",INDEX(对接源_01水果!$AF$4:$AF$1203,$T26)))</f>
      </c>
      <c r="L26" s="86">
        <f>IF($T26="","",IF(INDEX(对接源_01水果!$K$4:$K$1203,$T26)=0,"",INDEX(对接源_01水果!$K$4:$K$1203,$T26)))</f>
      </c>
      <c r="M26" s="84">
        <f>IF($T26="","",IF(INDEX(对接源_01水果!$L$4:$L$1203,$T26)=0,"",INDEX(对接源_01水果!$L$4:$L$1203,$T26)))</f>
      </c>
      <c r="N26" s="87">
        <f>IF($T26="","",IF(INDEX(对接源_01水果!$M$4:$M$1203,$T26)=0,"",INDEX(对接源_01水果!$M$4:$M$1203,$T26)))</f>
      </c>
      <c r="S26" s="7" t="n"/>
      <c r="T26" s="7">
        <f>IF(ROW()-5&gt;$U$1203,"",MATCH(ROW()-5,$U$4:$U$1203,0))</f>
      </c>
      <c r="U26">
        <f>N(U25)+IF(AND($B$2&lt;&gt;"",对接源_01水果!$AH26=$B$2,对接源_01水果!$B26&gt;=$U$1,对接源_01水果!$B26&lt;=$U$2),1,0)</f>
        <v>0</v>
      </c>
    </row>
    <row r="27" ht="15.75" customHeight="1" s="127">
      <c r="A27" s="191">
        <f>IF($T27="","",IF(INDEX(对接源_01水果!$B$4:$B$1203,$T27)=0,"",INDEX(对接源_01水果!$B$4:$B$1203,$T27)))</f>
      </c>
      <c r="B27" s="84">
        <f>IF($T27="","",IF(INDEX(对接源_01水果!$E$4:$E$1203,$T27)=0,"",INDEX(对接源_01水果!$E$4:$E$1203,$T27)))</f>
      </c>
      <c r="C27" s="84">
        <f>IF($T27="","",IF(INDEX(对接源_01水果!$AC$4:$AC$1203,$T27)=0,"",INDEX(对接源_01水果!$AC$4:$AC$1203,$T27)))</f>
      </c>
      <c r="D27" s="84">
        <f>IF($T27="","",IF(INDEX(对接源_01水果!$F$4:$F$1203,$T27)=0,"",INDEX(对接源_01水果!$F$4:$F$1203,$T27)))</f>
      </c>
      <c r="E27" s="84">
        <f>IF($T27="","",IF(INDEX(对接源_01水果!$G$4:$G$1203,$T27)=0,"",INDEX(对接源_01水果!$G$4:$G$1203,$T27)))</f>
      </c>
      <c r="F27" s="84">
        <f>IF($T27="","",IF(INDEX(对接源_01水果!$H$4:$H$1203,$T27)=0,"",INDEX(对接源_01水果!$H$4:$H$1203,$T27)))</f>
      </c>
      <c r="G27" s="84">
        <f>IF($T27="","",IF(INDEX(对接源_01水果!$I$4:$I$1203,$T27)=0,"",INDEX(对接源_01水果!$I$4:$I$1203,$T27)))</f>
      </c>
      <c r="H27" s="86">
        <f>IF($T27="","",IF(INDEX(对接源_01水果!$AD$4:$AD$1203,$T27)=0,"",INDEX(对接源_01水果!$AD$4:$AD$1203,$T27)))</f>
      </c>
      <c r="I27" s="86">
        <f>IF($T27="","",IF(INDEX(对接源_01水果!$AI$4:$AI$1203,$T27)=0,"",INDEX(对接源_01水果!$AI$4:$AI$1203,$T27)))</f>
      </c>
      <c r="J27" s="86">
        <f>IF($T27="","",IF(INDEX(对接源_01水果!$AE$4:$AE$1203,$T27)=0,"",INDEX(对接源_01水果!$AE$4:$AE$1203,$T27)))</f>
      </c>
      <c r="K27" s="86">
        <f>IF($T27="","",IF(INDEX(对接源_01水果!$AF$4:$AF$1203,$T27)=0,"",INDEX(对接源_01水果!$AF$4:$AF$1203,$T27)))</f>
      </c>
      <c r="L27" s="86">
        <f>IF($T27="","",IF(INDEX(对接源_01水果!$K$4:$K$1203,$T27)=0,"",INDEX(对接源_01水果!$K$4:$K$1203,$T27)))</f>
      </c>
      <c r="M27" s="84">
        <f>IF($T27="","",IF(INDEX(对接源_01水果!$L$4:$L$1203,$T27)=0,"",INDEX(对接源_01水果!$L$4:$L$1203,$T27)))</f>
      </c>
      <c r="N27" s="87">
        <f>IF($T27="","",IF(INDEX(对接源_01水果!$M$4:$M$1203,$T27)=0,"",INDEX(对接源_01水果!$M$4:$M$1203,$T27)))</f>
      </c>
      <c r="S27" s="7" t="n"/>
      <c r="T27" s="7">
        <f>IF(ROW()-5&gt;$U$1203,"",MATCH(ROW()-5,$U$4:$U$1203,0))</f>
      </c>
      <c r="U27">
        <f>N(U26)+IF(AND($B$2&lt;&gt;"",对接源_01水果!$AH27=$B$2,对接源_01水果!$B27&gt;=$U$1,对接源_01水果!$B27&lt;=$U$2),1,0)</f>
        <v>0</v>
      </c>
    </row>
    <row r="28" ht="15.75" customHeight="1" s="127">
      <c r="A28" s="191">
        <f>IF($T28="","",IF(INDEX(对接源_01水果!$B$4:$B$1203,$T28)=0,"",INDEX(对接源_01水果!$B$4:$B$1203,$T28)))</f>
      </c>
      <c r="B28" s="84">
        <f>IF($T28="","",IF(INDEX(对接源_01水果!$E$4:$E$1203,$T28)=0,"",INDEX(对接源_01水果!$E$4:$E$1203,$T28)))</f>
      </c>
      <c r="C28" s="84">
        <f>IF($T28="","",IF(INDEX(对接源_01水果!$AC$4:$AC$1203,$T28)=0,"",INDEX(对接源_01水果!$AC$4:$AC$1203,$T28)))</f>
      </c>
      <c r="D28" s="84">
        <f>IF($T28="","",IF(INDEX(对接源_01水果!$F$4:$F$1203,$T28)=0,"",INDEX(对接源_01水果!$F$4:$F$1203,$T28)))</f>
      </c>
      <c r="E28" s="84">
        <f>IF($T28="","",IF(INDEX(对接源_01水果!$G$4:$G$1203,$T28)=0,"",INDEX(对接源_01水果!$G$4:$G$1203,$T28)))</f>
      </c>
      <c r="F28" s="84">
        <f>IF($T28="","",IF(INDEX(对接源_01水果!$H$4:$H$1203,$T28)=0,"",INDEX(对接源_01水果!$H$4:$H$1203,$T28)))</f>
      </c>
      <c r="G28" s="84">
        <f>IF($T28="","",IF(INDEX(对接源_01水果!$I$4:$I$1203,$T28)=0,"",INDEX(对接源_01水果!$I$4:$I$1203,$T28)))</f>
      </c>
      <c r="H28" s="86">
        <f>IF($T28="","",IF(INDEX(对接源_01水果!$AD$4:$AD$1203,$T28)=0,"",INDEX(对接源_01水果!$AD$4:$AD$1203,$T28)))</f>
      </c>
      <c r="I28" s="86">
        <f>IF($T28="","",IF(INDEX(对接源_01水果!$AI$4:$AI$1203,$T28)=0,"",INDEX(对接源_01水果!$AI$4:$AI$1203,$T28)))</f>
      </c>
      <c r="J28" s="86">
        <f>IF($T28="","",IF(INDEX(对接源_01水果!$AE$4:$AE$1203,$T28)=0,"",INDEX(对接源_01水果!$AE$4:$AE$1203,$T28)))</f>
      </c>
      <c r="K28" s="86">
        <f>IF($T28="","",IF(INDEX(对接源_01水果!$AF$4:$AF$1203,$T28)=0,"",INDEX(对接源_01水果!$AF$4:$AF$1203,$T28)))</f>
      </c>
      <c r="L28" s="86">
        <f>IF($T28="","",IF(INDEX(对接源_01水果!$K$4:$K$1203,$T28)=0,"",INDEX(对接源_01水果!$K$4:$K$1203,$T28)))</f>
      </c>
      <c r="M28" s="84">
        <f>IF($T28="","",IF(INDEX(对接源_01水果!$L$4:$L$1203,$T28)=0,"",INDEX(对接源_01水果!$L$4:$L$1203,$T28)))</f>
      </c>
      <c r="N28" s="87">
        <f>IF($T28="","",IF(INDEX(对接源_01水果!$M$4:$M$1203,$T28)=0,"",INDEX(对接源_01水果!$M$4:$M$1203,$T28)))</f>
      </c>
      <c r="S28" s="7" t="n"/>
      <c r="T28" s="7">
        <f>IF(ROW()-5&gt;$U$1203,"",MATCH(ROW()-5,$U$4:$U$1203,0))</f>
      </c>
      <c r="U28">
        <f>N(U27)+IF(AND($B$2&lt;&gt;"",对接源_01水果!$AH28=$B$2,对接源_01水果!$B28&gt;=$U$1,对接源_01水果!$B28&lt;=$U$2),1,0)</f>
        <v>0</v>
      </c>
    </row>
    <row r="29" ht="15.75" customHeight="1" s="127">
      <c r="A29" s="191">
        <f>IF($T29="","",IF(INDEX(对接源_01水果!$B$4:$B$1203,$T29)=0,"",INDEX(对接源_01水果!$B$4:$B$1203,$T29)))</f>
      </c>
      <c r="B29" s="84">
        <f>IF($T29="","",IF(INDEX(对接源_01水果!$E$4:$E$1203,$T29)=0,"",INDEX(对接源_01水果!$E$4:$E$1203,$T29)))</f>
      </c>
      <c r="C29" s="84">
        <f>IF($T29="","",IF(INDEX(对接源_01水果!$AC$4:$AC$1203,$T29)=0,"",INDEX(对接源_01水果!$AC$4:$AC$1203,$T29)))</f>
      </c>
      <c r="D29" s="84">
        <f>IF($T29="","",IF(INDEX(对接源_01水果!$F$4:$F$1203,$T29)=0,"",INDEX(对接源_01水果!$F$4:$F$1203,$T29)))</f>
      </c>
      <c r="E29" s="84">
        <f>IF($T29="","",IF(INDEX(对接源_01水果!$G$4:$G$1203,$T29)=0,"",INDEX(对接源_01水果!$G$4:$G$1203,$T29)))</f>
      </c>
      <c r="F29" s="84">
        <f>IF($T29="","",IF(INDEX(对接源_01水果!$H$4:$H$1203,$T29)=0,"",INDEX(对接源_01水果!$H$4:$H$1203,$T29)))</f>
      </c>
      <c r="G29" s="84">
        <f>IF($T29="","",IF(INDEX(对接源_01水果!$I$4:$I$1203,$T29)=0,"",INDEX(对接源_01水果!$I$4:$I$1203,$T29)))</f>
      </c>
      <c r="H29" s="86">
        <f>IF($T29="","",IF(INDEX(对接源_01水果!$AD$4:$AD$1203,$T29)=0,"",INDEX(对接源_01水果!$AD$4:$AD$1203,$T29)))</f>
      </c>
      <c r="I29" s="86">
        <f>IF($T29="","",IF(INDEX(对接源_01水果!$AI$4:$AI$1203,$T29)=0,"",INDEX(对接源_01水果!$AI$4:$AI$1203,$T29)))</f>
      </c>
      <c r="J29" s="86">
        <f>IF($T29="","",IF(INDEX(对接源_01水果!$AE$4:$AE$1203,$T29)=0,"",INDEX(对接源_01水果!$AE$4:$AE$1203,$T29)))</f>
      </c>
      <c r="K29" s="86">
        <f>IF($T29="","",IF(INDEX(对接源_01水果!$AF$4:$AF$1203,$T29)=0,"",INDEX(对接源_01水果!$AF$4:$AF$1203,$T29)))</f>
      </c>
      <c r="L29" s="86">
        <f>IF($T29="","",IF(INDEX(对接源_01水果!$K$4:$K$1203,$T29)=0,"",INDEX(对接源_01水果!$K$4:$K$1203,$T29)))</f>
      </c>
      <c r="M29" s="84">
        <f>IF($T29="","",IF(INDEX(对接源_01水果!$L$4:$L$1203,$T29)=0,"",INDEX(对接源_01水果!$L$4:$L$1203,$T29)))</f>
      </c>
      <c r="N29" s="87">
        <f>IF($T29="","",IF(INDEX(对接源_01水果!$M$4:$M$1203,$T29)=0,"",INDEX(对接源_01水果!$M$4:$M$1203,$T29)))</f>
      </c>
      <c r="S29" s="7" t="n"/>
      <c r="T29" s="7">
        <f>IF(ROW()-5&gt;$U$1203,"",MATCH(ROW()-5,$U$4:$U$1203,0))</f>
      </c>
      <c r="U29">
        <f>N(U28)+IF(AND($B$2&lt;&gt;"",对接源_01水果!$AH29=$B$2,对接源_01水果!$B29&gt;=$U$1,对接源_01水果!$B29&lt;=$U$2),1,0)</f>
        <v>0</v>
      </c>
    </row>
    <row r="30" ht="15.75" customHeight="1" s="127">
      <c r="A30" s="191">
        <f>IF($T30="","",IF(INDEX(对接源_01水果!$B$4:$B$1203,$T30)=0,"",INDEX(对接源_01水果!$B$4:$B$1203,$T30)))</f>
      </c>
      <c r="B30" s="84">
        <f>IF($T30="","",IF(INDEX(对接源_01水果!$E$4:$E$1203,$T30)=0,"",INDEX(对接源_01水果!$E$4:$E$1203,$T30)))</f>
      </c>
      <c r="C30" s="84">
        <f>IF($T30="","",IF(INDEX(对接源_01水果!$AC$4:$AC$1203,$T30)=0,"",INDEX(对接源_01水果!$AC$4:$AC$1203,$T30)))</f>
      </c>
      <c r="D30" s="84">
        <f>IF($T30="","",IF(INDEX(对接源_01水果!$F$4:$F$1203,$T30)=0,"",INDEX(对接源_01水果!$F$4:$F$1203,$T30)))</f>
      </c>
      <c r="E30" s="84">
        <f>IF($T30="","",IF(INDEX(对接源_01水果!$G$4:$G$1203,$T30)=0,"",INDEX(对接源_01水果!$G$4:$G$1203,$T30)))</f>
      </c>
      <c r="F30" s="84">
        <f>IF($T30="","",IF(INDEX(对接源_01水果!$H$4:$H$1203,$T30)=0,"",INDEX(对接源_01水果!$H$4:$H$1203,$T30)))</f>
      </c>
      <c r="G30" s="84">
        <f>IF($T30="","",IF(INDEX(对接源_01水果!$I$4:$I$1203,$T30)=0,"",INDEX(对接源_01水果!$I$4:$I$1203,$T30)))</f>
      </c>
      <c r="H30" s="86">
        <f>IF($T30="","",IF(INDEX(对接源_01水果!$AD$4:$AD$1203,$T30)=0,"",INDEX(对接源_01水果!$AD$4:$AD$1203,$T30)))</f>
      </c>
      <c r="I30" s="86">
        <f>IF($T30="","",IF(INDEX(对接源_01水果!$AI$4:$AI$1203,$T30)=0,"",INDEX(对接源_01水果!$AI$4:$AI$1203,$T30)))</f>
      </c>
      <c r="J30" s="86">
        <f>IF($T30="","",IF(INDEX(对接源_01水果!$AE$4:$AE$1203,$T30)=0,"",INDEX(对接源_01水果!$AE$4:$AE$1203,$T30)))</f>
      </c>
      <c r="K30" s="86">
        <f>IF($T30="","",IF(INDEX(对接源_01水果!$AF$4:$AF$1203,$T30)=0,"",INDEX(对接源_01水果!$AF$4:$AF$1203,$T30)))</f>
      </c>
      <c r="L30" s="86">
        <f>IF($T30="","",IF(INDEX(对接源_01水果!$K$4:$K$1203,$T30)=0,"",INDEX(对接源_01水果!$K$4:$K$1203,$T30)))</f>
      </c>
      <c r="M30" s="84">
        <f>IF($T30="","",IF(INDEX(对接源_01水果!$L$4:$L$1203,$T30)=0,"",INDEX(对接源_01水果!$L$4:$L$1203,$T30)))</f>
      </c>
      <c r="N30" s="87">
        <f>IF($T30="","",IF(INDEX(对接源_01水果!$M$4:$M$1203,$T30)=0,"",INDEX(对接源_01水果!$M$4:$M$1203,$T30)))</f>
      </c>
      <c r="S30" s="7" t="n"/>
      <c r="T30" s="7">
        <f>IF(ROW()-5&gt;$U$1203,"",MATCH(ROW()-5,$U$4:$U$1203,0))</f>
      </c>
      <c r="U30">
        <f>N(U29)+IF(AND($B$2&lt;&gt;"",对接源_01水果!$AH30=$B$2,对接源_01水果!$B30&gt;=$U$1,对接源_01水果!$B30&lt;=$U$2),1,0)</f>
        <v>0</v>
      </c>
    </row>
    <row r="31" ht="15.75" customHeight="1" s="127">
      <c r="A31" s="191">
        <f>IF($T31="","",IF(INDEX(对接源_01水果!$B$4:$B$1203,$T31)=0,"",INDEX(对接源_01水果!$B$4:$B$1203,$T31)))</f>
      </c>
      <c r="B31" s="84">
        <f>IF($T31="","",IF(INDEX(对接源_01水果!$E$4:$E$1203,$T31)=0,"",INDEX(对接源_01水果!$E$4:$E$1203,$T31)))</f>
      </c>
      <c r="C31" s="84">
        <f>IF($T31="","",IF(INDEX(对接源_01水果!$AC$4:$AC$1203,$T31)=0,"",INDEX(对接源_01水果!$AC$4:$AC$1203,$T31)))</f>
      </c>
      <c r="D31" s="84">
        <f>IF($T31="","",IF(INDEX(对接源_01水果!$F$4:$F$1203,$T31)=0,"",INDEX(对接源_01水果!$F$4:$F$1203,$T31)))</f>
      </c>
      <c r="E31" s="84">
        <f>IF($T31="","",IF(INDEX(对接源_01水果!$G$4:$G$1203,$T31)=0,"",INDEX(对接源_01水果!$G$4:$G$1203,$T31)))</f>
      </c>
      <c r="F31" s="84">
        <f>IF($T31="","",IF(INDEX(对接源_01水果!$H$4:$H$1203,$T31)=0,"",INDEX(对接源_01水果!$H$4:$H$1203,$T31)))</f>
      </c>
      <c r="G31" s="84">
        <f>IF($T31="","",IF(INDEX(对接源_01水果!$I$4:$I$1203,$T31)=0,"",INDEX(对接源_01水果!$I$4:$I$1203,$T31)))</f>
      </c>
      <c r="H31" s="86">
        <f>IF($T31="","",IF(INDEX(对接源_01水果!$AD$4:$AD$1203,$T31)=0,"",INDEX(对接源_01水果!$AD$4:$AD$1203,$T31)))</f>
      </c>
      <c r="I31" s="86">
        <f>IF($T31="","",IF(INDEX(对接源_01水果!$AI$4:$AI$1203,$T31)=0,"",INDEX(对接源_01水果!$AI$4:$AI$1203,$T31)))</f>
      </c>
      <c r="J31" s="86">
        <f>IF($T31="","",IF(INDEX(对接源_01水果!$AE$4:$AE$1203,$T31)=0,"",INDEX(对接源_01水果!$AE$4:$AE$1203,$T31)))</f>
      </c>
      <c r="K31" s="86">
        <f>IF($T31="","",IF(INDEX(对接源_01水果!$AF$4:$AF$1203,$T31)=0,"",INDEX(对接源_01水果!$AF$4:$AF$1203,$T31)))</f>
      </c>
      <c r="L31" s="86">
        <f>IF($T31="","",IF(INDEX(对接源_01水果!$K$4:$K$1203,$T31)=0,"",INDEX(对接源_01水果!$K$4:$K$1203,$T31)))</f>
      </c>
      <c r="M31" s="84">
        <f>IF($T31="","",IF(INDEX(对接源_01水果!$L$4:$L$1203,$T31)=0,"",INDEX(对接源_01水果!$L$4:$L$1203,$T31)))</f>
      </c>
      <c r="N31" s="87">
        <f>IF($T31="","",IF(INDEX(对接源_01水果!$M$4:$M$1203,$T31)=0,"",INDEX(对接源_01水果!$M$4:$M$1203,$T31)))</f>
      </c>
      <c r="S31" s="7" t="n"/>
      <c r="T31" s="7">
        <f>IF(ROW()-5&gt;$U$1203,"",MATCH(ROW()-5,$U$4:$U$1203,0))</f>
      </c>
      <c r="U31">
        <f>N(U30)+IF(AND($B$2&lt;&gt;"",对接源_01水果!$AH31=$B$2,对接源_01水果!$B31&gt;=$U$1,对接源_01水果!$B31&lt;=$U$2),1,0)</f>
        <v>0</v>
      </c>
    </row>
    <row r="32" ht="15.75" customHeight="1" s="127">
      <c r="A32" s="191">
        <f>IF($T32="","",IF(INDEX(对接源_01水果!$B$4:$B$1203,$T32)=0,"",INDEX(对接源_01水果!$B$4:$B$1203,$T32)))</f>
      </c>
      <c r="B32" s="84">
        <f>IF($T32="","",IF(INDEX(对接源_01水果!$E$4:$E$1203,$T32)=0,"",INDEX(对接源_01水果!$E$4:$E$1203,$T32)))</f>
      </c>
      <c r="C32" s="84">
        <f>IF($T32="","",IF(INDEX(对接源_01水果!$AC$4:$AC$1203,$T32)=0,"",INDEX(对接源_01水果!$AC$4:$AC$1203,$T32)))</f>
      </c>
      <c r="D32" s="84">
        <f>IF($T32="","",IF(INDEX(对接源_01水果!$F$4:$F$1203,$T32)=0,"",INDEX(对接源_01水果!$F$4:$F$1203,$T32)))</f>
      </c>
      <c r="E32" s="84">
        <f>IF($T32="","",IF(INDEX(对接源_01水果!$G$4:$G$1203,$T32)=0,"",INDEX(对接源_01水果!$G$4:$G$1203,$T32)))</f>
      </c>
      <c r="F32" s="84">
        <f>IF($T32="","",IF(INDEX(对接源_01水果!$H$4:$H$1203,$T32)=0,"",INDEX(对接源_01水果!$H$4:$H$1203,$T32)))</f>
      </c>
      <c r="G32" s="84">
        <f>IF($T32="","",IF(INDEX(对接源_01水果!$I$4:$I$1203,$T32)=0,"",INDEX(对接源_01水果!$I$4:$I$1203,$T32)))</f>
      </c>
      <c r="H32" s="86">
        <f>IF($T32="","",IF(INDEX(对接源_01水果!$AD$4:$AD$1203,$T32)=0,"",INDEX(对接源_01水果!$AD$4:$AD$1203,$T32)))</f>
      </c>
      <c r="I32" s="86">
        <f>IF($T32="","",IF(INDEX(对接源_01水果!$AI$4:$AI$1203,$T32)=0,"",INDEX(对接源_01水果!$AI$4:$AI$1203,$T32)))</f>
      </c>
      <c r="J32" s="86">
        <f>IF($T32="","",IF(INDEX(对接源_01水果!$AE$4:$AE$1203,$T32)=0,"",INDEX(对接源_01水果!$AE$4:$AE$1203,$T32)))</f>
      </c>
      <c r="K32" s="86">
        <f>IF($T32="","",IF(INDEX(对接源_01水果!$AF$4:$AF$1203,$T32)=0,"",INDEX(对接源_01水果!$AF$4:$AF$1203,$T32)))</f>
      </c>
      <c r="L32" s="86">
        <f>IF($T32="","",IF(INDEX(对接源_01水果!$K$4:$K$1203,$T32)=0,"",INDEX(对接源_01水果!$K$4:$K$1203,$T32)))</f>
      </c>
      <c r="M32" s="84">
        <f>IF($T32="","",IF(INDEX(对接源_01水果!$L$4:$L$1203,$T32)=0,"",INDEX(对接源_01水果!$L$4:$L$1203,$T32)))</f>
      </c>
      <c r="N32" s="87">
        <f>IF($T32="","",IF(INDEX(对接源_01水果!$M$4:$M$1203,$T32)=0,"",INDEX(对接源_01水果!$M$4:$M$1203,$T32)))</f>
      </c>
      <c r="S32" s="7" t="n"/>
      <c r="T32" s="7">
        <f>IF(ROW()-5&gt;$U$1203,"",MATCH(ROW()-5,$U$4:$U$1203,0))</f>
      </c>
      <c r="U32">
        <f>N(U31)+IF(AND($B$2&lt;&gt;"",对接源_01水果!$AH32=$B$2,对接源_01水果!$B32&gt;=$U$1,对接源_01水果!$B32&lt;=$U$2),1,0)</f>
        <v>0</v>
      </c>
    </row>
    <row r="33" ht="15.75" customHeight="1" s="127">
      <c r="A33" s="191">
        <f>IF($T33="","",IF(INDEX(对接源_01水果!$B$4:$B$1203,$T33)=0,"",INDEX(对接源_01水果!$B$4:$B$1203,$T33)))</f>
      </c>
      <c r="B33" s="84">
        <f>IF($T33="","",IF(INDEX(对接源_01水果!$E$4:$E$1203,$T33)=0,"",INDEX(对接源_01水果!$E$4:$E$1203,$T33)))</f>
      </c>
      <c r="C33" s="84">
        <f>IF($T33="","",IF(INDEX(对接源_01水果!$AC$4:$AC$1203,$T33)=0,"",INDEX(对接源_01水果!$AC$4:$AC$1203,$T33)))</f>
      </c>
      <c r="D33" s="84">
        <f>IF($T33="","",IF(INDEX(对接源_01水果!$F$4:$F$1203,$T33)=0,"",INDEX(对接源_01水果!$F$4:$F$1203,$T33)))</f>
      </c>
      <c r="E33" s="84">
        <f>IF($T33="","",IF(INDEX(对接源_01水果!$G$4:$G$1203,$T33)=0,"",INDEX(对接源_01水果!$G$4:$G$1203,$T33)))</f>
      </c>
      <c r="F33" s="84">
        <f>IF($T33="","",IF(INDEX(对接源_01水果!$H$4:$H$1203,$T33)=0,"",INDEX(对接源_01水果!$H$4:$H$1203,$T33)))</f>
      </c>
      <c r="G33" s="84">
        <f>IF($T33="","",IF(INDEX(对接源_01水果!$I$4:$I$1203,$T33)=0,"",INDEX(对接源_01水果!$I$4:$I$1203,$T33)))</f>
      </c>
      <c r="H33" s="86">
        <f>IF($T33="","",IF(INDEX(对接源_01水果!$AD$4:$AD$1203,$T33)=0,"",INDEX(对接源_01水果!$AD$4:$AD$1203,$T33)))</f>
      </c>
      <c r="I33" s="86">
        <f>IF($T33="","",IF(INDEX(对接源_01水果!$AI$4:$AI$1203,$T33)=0,"",INDEX(对接源_01水果!$AI$4:$AI$1203,$T33)))</f>
      </c>
      <c r="J33" s="86">
        <f>IF($T33="","",IF(INDEX(对接源_01水果!$AE$4:$AE$1203,$T33)=0,"",INDEX(对接源_01水果!$AE$4:$AE$1203,$T33)))</f>
      </c>
      <c r="K33" s="86">
        <f>IF($T33="","",IF(INDEX(对接源_01水果!$AF$4:$AF$1203,$T33)=0,"",INDEX(对接源_01水果!$AF$4:$AF$1203,$T33)))</f>
      </c>
      <c r="L33" s="86">
        <f>IF($T33="","",IF(INDEX(对接源_01水果!$K$4:$K$1203,$T33)=0,"",INDEX(对接源_01水果!$K$4:$K$1203,$T33)))</f>
      </c>
      <c r="M33" s="84">
        <f>IF($T33="","",IF(INDEX(对接源_01水果!$L$4:$L$1203,$T33)=0,"",INDEX(对接源_01水果!$L$4:$L$1203,$T33)))</f>
      </c>
      <c r="N33" s="87">
        <f>IF($T33="","",IF(INDEX(对接源_01水果!$M$4:$M$1203,$T33)=0,"",INDEX(对接源_01水果!$M$4:$M$1203,$T33)))</f>
      </c>
      <c r="S33" s="7" t="n"/>
      <c r="T33" s="7">
        <f>IF(ROW()-5&gt;$U$1203,"",MATCH(ROW()-5,$U$4:$U$1203,0))</f>
      </c>
      <c r="U33">
        <f>N(U32)+IF(AND($B$2&lt;&gt;"",对接源_01水果!$AH33=$B$2,对接源_01水果!$B33&gt;=$U$1,对接源_01水果!$B33&lt;=$U$2),1,0)</f>
        <v>0</v>
      </c>
    </row>
    <row r="34" ht="15.75" customHeight="1" s="127">
      <c r="A34" s="191">
        <f>IF($T34="","",IF(INDEX(对接源_01水果!$B$4:$B$1203,$T34)=0,"",INDEX(对接源_01水果!$B$4:$B$1203,$T34)))</f>
      </c>
      <c r="B34" s="84">
        <f>IF($T34="","",IF(INDEX(对接源_01水果!$E$4:$E$1203,$T34)=0,"",INDEX(对接源_01水果!$E$4:$E$1203,$T34)))</f>
      </c>
      <c r="C34" s="84">
        <f>IF($T34="","",IF(INDEX(对接源_01水果!$AC$4:$AC$1203,$T34)=0,"",INDEX(对接源_01水果!$AC$4:$AC$1203,$T34)))</f>
      </c>
      <c r="D34" s="84">
        <f>IF($T34="","",IF(INDEX(对接源_01水果!$F$4:$F$1203,$T34)=0,"",INDEX(对接源_01水果!$F$4:$F$1203,$T34)))</f>
      </c>
      <c r="E34" s="84">
        <f>IF($T34="","",IF(INDEX(对接源_01水果!$G$4:$G$1203,$T34)=0,"",INDEX(对接源_01水果!$G$4:$G$1203,$T34)))</f>
      </c>
      <c r="F34" s="84">
        <f>IF($T34="","",IF(INDEX(对接源_01水果!$H$4:$H$1203,$T34)=0,"",INDEX(对接源_01水果!$H$4:$H$1203,$T34)))</f>
      </c>
      <c r="G34" s="84">
        <f>IF($T34="","",IF(INDEX(对接源_01水果!$I$4:$I$1203,$T34)=0,"",INDEX(对接源_01水果!$I$4:$I$1203,$T34)))</f>
      </c>
      <c r="H34" s="86">
        <f>IF($T34="","",IF(INDEX(对接源_01水果!$AD$4:$AD$1203,$T34)=0,"",INDEX(对接源_01水果!$AD$4:$AD$1203,$T34)))</f>
      </c>
      <c r="I34" s="86">
        <f>IF($T34="","",IF(INDEX(对接源_01水果!$AI$4:$AI$1203,$T34)=0,"",INDEX(对接源_01水果!$AI$4:$AI$1203,$T34)))</f>
      </c>
      <c r="J34" s="86">
        <f>IF($T34="","",IF(INDEX(对接源_01水果!$AE$4:$AE$1203,$T34)=0,"",INDEX(对接源_01水果!$AE$4:$AE$1203,$T34)))</f>
      </c>
      <c r="K34" s="86">
        <f>IF($T34="","",IF(INDEX(对接源_01水果!$AF$4:$AF$1203,$T34)=0,"",INDEX(对接源_01水果!$AF$4:$AF$1203,$T34)))</f>
      </c>
      <c r="L34" s="86">
        <f>IF($T34="","",IF(INDEX(对接源_01水果!$K$4:$K$1203,$T34)=0,"",INDEX(对接源_01水果!$K$4:$K$1203,$T34)))</f>
      </c>
      <c r="M34" s="84">
        <f>IF($T34="","",IF(INDEX(对接源_01水果!$L$4:$L$1203,$T34)=0,"",INDEX(对接源_01水果!$L$4:$L$1203,$T34)))</f>
      </c>
      <c r="N34" s="87">
        <f>IF($T34="","",IF(INDEX(对接源_01水果!$M$4:$M$1203,$T34)=0,"",INDEX(对接源_01水果!$M$4:$M$1203,$T34)))</f>
      </c>
      <c r="S34" s="7" t="n"/>
      <c r="T34" s="7">
        <f>IF(ROW()-5&gt;$U$1203,"",MATCH(ROW()-5,$U$4:$U$1203,0))</f>
      </c>
      <c r="U34">
        <f>N(U33)+IF(AND($B$2&lt;&gt;"",对接源_01水果!$AH34=$B$2,对接源_01水果!$B34&gt;=$U$1,对接源_01水果!$B34&lt;=$U$2),1,0)</f>
        <v>0</v>
      </c>
    </row>
    <row r="35" ht="15.75" customHeight="1" s="127">
      <c r="A35" s="191">
        <f>IF($T35="","",IF(INDEX(对接源_01水果!$B$4:$B$1203,$T35)=0,"",INDEX(对接源_01水果!$B$4:$B$1203,$T35)))</f>
      </c>
      <c r="B35" s="84">
        <f>IF($T35="","",IF(INDEX(对接源_01水果!$E$4:$E$1203,$T35)=0,"",INDEX(对接源_01水果!$E$4:$E$1203,$T35)))</f>
      </c>
      <c r="C35" s="84">
        <f>IF($T35="","",IF(INDEX(对接源_01水果!$AC$4:$AC$1203,$T35)=0,"",INDEX(对接源_01水果!$AC$4:$AC$1203,$T35)))</f>
      </c>
      <c r="D35" s="84">
        <f>IF($T35="","",IF(INDEX(对接源_01水果!$F$4:$F$1203,$T35)=0,"",INDEX(对接源_01水果!$F$4:$F$1203,$T35)))</f>
      </c>
      <c r="E35" s="84">
        <f>IF($T35="","",IF(INDEX(对接源_01水果!$G$4:$G$1203,$T35)=0,"",INDEX(对接源_01水果!$G$4:$G$1203,$T35)))</f>
      </c>
      <c r="F35" s="84">
        <f>IF($T35="","",IF(INDEX(对接源_01水果!$H$4:$H$1203,$T35)=0,"",INDEX(对接源_01水果!$H$4:$H$1203,$T35)))</f>
      </c>
      <c r="G35" s="84">
        <f>IF($T35="","",IF(INDEX(对接源_01水果!$I$4:$I$1203,$T35)=0,"",INDEX(对接源_01水果!$I$4:$I$1203,$T35)))</f>
      </c>
      <c r="H35" s="86">
        <f>IF($T35="","",IF(INDEX(对接源_01水果!$AD$4:$AD$1203,$T35)=0,"",INDEX(对接源_01水果!$AD$4:$AD$1203,$T35)))</f>
      </c>
      <c r="I35" s="86">
        <f>IF($T35="","",IF(INDEX(对接源_01水果!$AI$4:$AI$1203,$T35)=0,"",INDEX(对接源_01水果!$AI$4:$AI$1203,$T35)))</f>
      </c>
      <c r="J35" s="86">
        <f>IF($T35="","",IF(INDEX(对接源_01水果!$AE$4:$AE$1203,$T35)=0,"",INDEX(对接源_01水果!$AE$4:$AE$1203,$T35)))</f>
      </c>
      <c r="K35" s="86">
        <f>IF($T35="","",IF(INDEX(对接源_01水果!$AF$4:$AF$1203,$T35)=0,"",INDEX(对接源_01水果!$AF$4:$AF$1203,$T35)))</f>
      </c>
      <c r="L35" s="86">
        <f>IF($T35="","",IF(INDEX(对接源_01水果!$K$4:$K$1203,$T35)=0,"",INDEX(对接源_01水果!$K$4:$K$1203,$T35)))</f>
      </c>
      <c r="M35" s="84">
        <f>IF($T35="","",IF(INDEX(对接源_01水果!$L$4:$L$1203,$T35)=0,"",INDEX(对接源_01水果!$L$4:$L$1203,$T35)))</f>
      </c>
      <c r="N35" s="87">
        <f>IF($T35="","",IF(INDEX(对接源_01水果!$M$4:$M$1203,$T35)=0,"",INDEX(对接源_01水果!$M$4:$M$1203,$T35)))</f>
      </c>
      <c r="S35" s="7" t="n"/>
      <c r="T35" s="7">
        <f>IF(ROW()-5&gt;$U$1203,"",MATCH(ROW()-5,$U$4:$U$1203,0))</f>
      </c>
      <c r="U35">
        <f>N(U34)+IF(AND($B$2&lt;&gt;"",对接源_01水果!$AH35=$B$2,对接源_01水果!$B35&gt;=$U$1,对接源_01水果!$B35&lt;=$U$2),1,0)</f>
        <v>0</v>
      </c>
    </row>
    <row r="36" ht="15.75" customHeight="1" s="127">
      <c r="A36" s="191">
        <f>IF($T36="","",IF(INDEX(对接源_01水果!$B$4:$B$1203,$T36)=0,"",INDEX(对接源_01水果!$B$4:$B$1203,$T36)))</f>
      </c>
      <c r="B36" s="84">
        <f>IF($T36="","",IF(INDEX(对接源_01水果!$E$4:$E$1203,$T36)=0,"",INDEX(对接源_01水果!$E$4:$E$1203,$T36)))</f>
      </c>
      <c r="C36" s="84">
        <f>IF($T36="","",IF(INDEX(对接源_01水果!$AC$4:$AC$1203,$T36)=0,"",INDEX(对接源_01水果!$AC$4:$AC$1203,$T36)))</f>
      </c>
      <c r="D36" s="84">
        <f>IF($T36="","",IF(INDEX(对接源_01水果!$F$4:$F$1203,$T36)=0,"",INDEX(对接源_01水果!$F$4:$F$1203,$T36)))</f>
      </c>
      <c r="E36" s="84">
        <f>IF($T36="","",IF(INDEX(对接源_01水果!$G$4:$G$1203,$T36)=0,"",INDEX(对接源_01水果!$G$4:$G$1203,$T36)))</f>
      </c>
      <c r="F36" s="84">
        <f>IF($T36="","",IF(INDEX(对接源_01水果!$H$4:$H$1203,$T36)=0,"",INDEX(对接源_01水果!$H$4:$H$1203,$T36)))</f>
      </c>
      <c r="G36" s="84">
        <f>IF($T36="","",IF(INDEX(对接源_01水果!$I$4:$I$1203,$T36)=0,"",INDEX(对接源_01水果!$I$4:$I$1203,$T36)))</f>
      </c>
      <c r="H36" s="86">
        <f>IF($T36="","",IF(INDEX(对接源_01水果!$AD$4:$AD$1203,$T36)=0,"",INDEX(对接源_01水果!$AD$4:$AD$1203,$T36)))</f>
      </c>
      <c r="I36" s="86">
        <f>IF($T36="","",IF(INDEX(对接源_01水果!$AI$4:$AI$1203,$T36)=0,"",INDEX(对接源_01水果!$AI$4:$AI$1203,$T36)))</f>
      </c>
      <c r="J36" s="86">
        <f>IF($T36="","",IF(INDEX(对接源_01水果!$AE$4:$AE$1203,$T36)=0,"",INDEX(对接源_01水果!$AE$4:$AE$1203,$T36)))</f>
      </c>
      <c r="K36" s="86">
        <f>IF($T36="","",IF(INDEX(对接源_01水果!$AF$4:$AF$1203,$T36)=0,"",INDEX(对接源_01水果!$AF$4:$AF$1203,$T36)))</f>
      </c>
      <c r="L36" s="86">
        <f>IF($T36="","",IF(INDEX(对接源_01水果!$K$4:$K$1203,$T36)=0,"",INDEX(对接源_01水果!$K$4:$K$1203,$T36)))</f>
      </c>
      <c r="M36" s="84">
        <f>IF($T36="","",IF(INDEX(对接源_01水果!$L$4:$L$1203,$T36)=0,"",INDEX(对接源_01水果!$L$4:$L$1203,$T36)))</f>
      </c>
      <c r="N36" s="87">
        <f>IF($T36="","",IF(INDEX(对接源_01水果!$M$4:$M$1203,$T36)=0,"",INDEX(对接源_01水果!$M$4:$M$1203,$T36)))</f>
      </c>
      <c r="S36" s="7" t="n"/>
      <c r="T36" s="7">
        <f>IF(ROW()-5&gt;$U$1203,"",MATCH(ROW()-5,$U$4:$U$1203,0))</f>
      </c>
      <c r="U36">
        <f>N(U35)+IF(AND($B$2&lt;&gt;"",对接源_01水果!$AH36=$B$2,对接源_01水果!$B36&gt;=$U$1,对接源_01水果!$B36&lt;=$U$2),1,0)</f>
        <v>0</v>
      </c>
    </row>
    <row r="37" ht="15.75" customHeight="1" s="127">
      <c r="A37" s="191">
        <f>IF($T37="","",IF(INDEX(对接源_01水果!$B$4:$B$1203,$T37)=0,"",INDEX(对接源_01水果!$B$4:$B$1203,$T37)))</f>
      </c>
      <c r="B37" s="84">
        <f>IF($T37="","",IF(INDEX(对接源_01水果!$E$4:$E$1203,$T37)=0,"",INDEX(对接源_01水果!$E$4:$E$1203,$T37)))</f>
      </c>
      <c r="C37" s="84">
        <f>IF($T37="","",IF(INDEX(对接源_01水果!$AC$4:$AC$1203,$T37)=0,"",INDEX(对接源_01水果!$AC$4:$AC$1203,$T37)))</f>
      </c>
      <c r="D37" s="84">
        <f>IF($T37="","",IF(INDEX(对接源_01水果!$F$4:$F$1203,$T37)=0,"",INDEX(对接源_01水果!$F$4:$F$1203,$T37)))</f>
      </c>
      <c r="E37" s="84">
        <f>IF($T37="","",IF(INDEX(对接源_01水果!$G$4:$G$1203,$T37)=0,"",INDEX(对接源_01水果!$G$4:$G$1203,$T37)))</f>
      </c>
      <c r="F37" s="84">
        <f>IF($T37="","",IF(INDEX(对接源_01水果!$H$4:$H$1203,$T37)=0,"",INDEX(对接源_01水果!$H$4:$H$1203,$T37)))</f>
      </c>
      <c r="G37" s="84">
        <f>IF($T37="","",IF(INDEX(对接源_01水果!$I$4:$I$1203,$T37)=0,"",INDEX(对接源_01水果!$I$4:$I$1203,$T37)))</f>
      </c>
      <c r="H37" s="86">
        <f>IF($T37="","",IF(INDEX(对接源_01水果!$AD$4:$AD$1203,$T37)=0,"",INDEX(对接源_01水果!$AD$4:$AD$1203,$T37)))</f>
      </c>
      <c r="I37" s="86">
        <f>IF($T37="","",IF(INDEX(对接源_01水果!$AI$4:$AI$1203,$T37)=0,"",INDEX(对接源_01水果!$AI$4:$AI$1203,$T37)))</f>
      </c>
      <c r="J37" s="86">
        <f>IF($T37="","",IF(INDEX(对接源_01水果!$AE$4:$AE$1203,$T37)=0,"",INDEX(对接源_01水果!$AE$4:$AE$1203,$T37)))</f>
      </c>
      <c r="K37" s="86">
        <f>IF($T37="","",IF(INDEX(对接源_01水果!$AF$4:$AF$1203,$T37)=0,"",INDEX(对接源_01水果!$AF$4:$AF$1203,$T37)))</f>
      </c>
      <c r="L37" s="86">
        <f>IF($T37="","",IF(INDEX(对接源_01水果!$K$4:$K$1203,$T37)=0,"",INDEX(对接源_01水果!$K$4:$K$1203,$T37)))</f>
      </c>
      <c r="M37" s="84">
        <f>IF($T37="","",IF(INDEX(对接源_01水果!$L$4:$L$1203,$T37)=0,"",INDEX(对接源_01水果!$L$4:$L$1203,$T37)))</f>
      </c>
      <c r="N37" s="87">
        <f>IF($T37="","",IF(INDEX(对接源_01水果!$M$4:$M$1203,$T37)=0,"",INDEX(对接源_01水果!$M$4:$M$1203,$T37)))</f>
      </c>
      <c r="S37" s="7" t="n"/>
      <c r="T37" s="7">
        <f>IF(ROW()-5&gt;$U$1203,"",MATCH(ROW()-5,$U$4:$U$1203,0))</f>
      </c>
      <c r="U37">
        <f>N(U36)+IF(AND($B$2&lt;&gt;"",对接源_01水果!$AH37=$B$2,对接源_01水果!$B37&gt;=$U$1,对接源_01水果!$B37&lt;=$U$2),1,0)</f>
        <v>0</v>
      </c>
    </row>
    <row r="38" ht="15.75" customHeight="1" s="127">
      <c r="A38" s="191">
        <f>IF($T38="","",IF(INDEX(对接源_01水果!$B$4:$B$1203,$T38)=0,"",INDEX(对接源_01水果!$B$4:$B$1203,$T38)))</f>
      </c>
      <c r="B38" s="84">
        <f>IF($T38="","",IF(INDEX(对接源_01水果!$E$4:$E$1203,$T38)=0,"",INDEX(对接源_01水果!$E$4:$E$1203,$T38)))</f>
      </c>
      <c r="C38" s="84">
        <f>IF($T38="","",IF(INDEX(对接源_01水果!$AC$4:$AC$1203,$T38)=0,"",INDEX(对接源_01水果!$AC$4:$AC$1203,$T38)))</f>
      </c>
      <c r="D38" s="84">
        <f>IF($T38="","",IF(INDEX(对接源_01水果!$F$4:$F$1203,$T38)=0,"",INDEX(对接源_01水果!$F$4:$F$1203,$T38)))</f>
      </c>
      <c r="E38" s="84">
        <f>IF($T38="","",IF(INDEX(对接源_01水果!$G$4:$G$1203,$T38)=0,"",INDEX(对接源_01水果!$G$4:$G$1203,$T38)))</f>
      </c>
      <c r="F38" s="84">
        <f>IF($T38="","",IF(INDEX(对接源_01水果!$H$4:$H$1203,$T38)=0,"",INDEX(对接源_01水果!$H$4:$H$1203,$T38)))</f>
      </c>
      <c r="G38" s="84">
        <f>IF($T38="","",IF(INDEX(对接源_01水果!$I$4:$I$1203,$T38)=0,"",INDEX(对接源_01水果!$I$4:$I$1203,$T38)))</f>
      </c>
      <c r="H38" s="86">
        <f>IF($T38="","",IF(INDEX(对接源_01水果!$AD$4:$AD$1203,$T38)=0,"",INDEX(对接源_01水果!$AD$4:$AD$1203,$T38)))</f>
      </c>
      <c r="I38" s="86">
        <f>IF($T38="","",IF(INDEX(对接源_01水果!$AI$4:$AI$1203,$T38)=0,"",INDEX(对接源_01水果!$AI$4:$AI$1203,$T38)))</f>
      </c>
      <c r="J38" s="86">
        <f>IF($T38="","",IF(INDEX(对接源_01水果!$AE$4:$AE$1203,$T38)=0,"",INDEX(对接源_01水果!$AE$4:$AE$1203,$T38)))</f>
      </c>
      <c r="K38" s="86">
        <f>IF($T38="","",IF(INDEX(对接源_01水果!$AF$4:$AF$1203,$T38)=0,"",INDEX(对接源_01水果!$AF$4:$AF$1203,$T38)))</f>
      </c>
      <c r="L38" s="86">
        <f>IF($T38="","",IF(INDEX(对接源_01水果!$K$4:$K$1203,$T38)=0,"",INDEX(对接源_01水果!$K$4:$K$1203,$T38)))</f>
      </c>
      <c r="M38" s="84">
        <f>IF($T38="","",IF(INDEX(对接源_01水果!$L$4:$L$1203,$T38)=0,"",INDEX(对接源_01水果!$L$4:$L$1203,$T38)))</f>
      </c>
      <c r="N38" s="87">
        <f>IF($T38="","",IF(INDEX(对接源_01水果!$M$4:$M$1203,$T38)=0,"",INDEX(对接源_01水果!$M$4:$M$1203,$T38)))</f>
      </c>
      <c r="S38" s="7" t="n"/>
      <c r="T38" s="7">
        <f>IF(ROW()-5&gt;$U$1203,"",MATCH(ROW()-5,$U$4:$U$1203,0))</f>
      </c>
      <c r="U38">
        <f>N(U37)+IF(AND($B$2&lt;&gt;"",对接源_01水果!$AH38=$B$2,对接源_01水果!$B38&gt;=$U$1,对接源_01水果!$B38&lt;=$U$2),1,0)</f>
        <v>0</v>
      </c>
    </row>
    <row r="39" ht="15.75" customHeight="1" s="127">
      <c r="A39" s="191">
        <f>IF($T39="","",IF(INDEX(对接源_01水果!$B$4:$B$1203,$T39)=0,"",INDEX(对接源_01水果!$B$4:$B$1203,$T39)))</f>
      </c>
      <c r="B39" s="84">
        <f>IF($T39="","",IF(INDEX(对接源_01水果!$E$4:$E$1203,$T39)=0,"",INDEX(对接源_01水果!$E$4:$E$1203,$T39)))</f>
      </c>
      <c r="C39" s="84">
        <f>IF($T39="","",IF(INDEX(对接源_01水果!$AC$4:$AC$1203,$T39)=0,"",INDEX(对接源_01水果!$AC$4:$AC$1203,$T39)))</f>
      </c>
      <c r="D39" s="84">
        <f>IF($T39="","",IF(INDEX(对接源_01水果!$F$4:$F$1203,$T39)=0,"",INDEX(对接源_01水果!$F$4:$F$1203,$T39)))</f>
      </c>
      <c r="E39" s="84">
        <f>IF($T39="","",IF(INDEX(对接源_01水果!$G$4:$G$1203,$T39)=0,"",INDEX(对接源_01水果!$G$4:$G$1203,$T39)))</f>
      </c>
      <c r="F39" s="84">
        <f>IF($T39="","",IF(INDEX(对接源_01水果!$H$4:$H$1203,$T39)=0,"",INDEX(对接源_01水果!$H$4:$H$1203,$T39)))</f>
      </c>
      <c r="G39" s="84">
        <f>IF($T39="","",IF(INDEX(对接源_01水果!$I$4:$I$1203,$T39)=0,"",INDEX(对接源_01水果!$I$4:$I$1203,$T39)))</f>
      </c>
      <c r="H39" s="86">
        <f>IF($T39="","",IF(INDEX(对接源_01水果!$AD$4:$AD$1203,$T39)=0,"",INDEX(对接源_01水果!$AD$4:$AD$1203,$T39)))</f>
      </c>
      <c r="I39" s="86">
        <f>IF($T39="","",IF(INDEX(对接源_01水果!$AI$4:$AI$1203,$T39)=0,"",INDEX(对接源_01水果!$AI$4:$AI$1203,$T39)))</f>
      </c>
      <c r="J39" s="86">
        <f>IF($T39="","",IF(INDEX(对接源_01水果!$AE$4:$AE$1203,$T39)=0,"",INDEX(对接源_01水果!$AE$4:$AE$1203,$T39)))</f>
      </c>
      <c r="K39" s="86">
        <f>IF($T39="","",IF(INDEX(对接源_01水果!$AF$4:$AF$1203,$T39)=0,"",INDEX(对接源_01水果!$AF$4:$AF$1203,$T39)))</f>
      </c>
      <c r="L39" s="86">
        <f>IF($T39="","",IF(INDEX(对接源_01水果!$K$4:$K$1203,$T39)=0,"",INDEX(对接源_01水果!$K$4:$K$1203,$T39)))</f>
      </c>
      <c r="M39" s="84">
        <f>IF($T39="","",IF(INDEX(对接源_01水果!$L$4:$L$1203,$T39)=0,"",INDEX(对接源_01水果!$L$4:$L$1203,$T39)))</f>
      </c>
      <c r="N39" s="87">
        <f>IF($T39="","",IF(INDEX(对接源_01水果!$M$4:$M$1203,$T39)=0,"",INDEX(对接源_01水果!$M$4:$M$1203,$T39)))</f>
      </c>
      <c r="S39" s="7" t="n"/>
      <c r="T39" s="7">
        <f>IF(ROW()-5&gt;$U$1203,"",MATCH(ROW()-5,$U$4:$U$1203,0))</f>
      </c>
      <c r="U39">
        <f>N(U38)+IF(AND($B$2&lt;&gt;"",对接源_01水果!$AH39=$B$2,对接源_01水果!$B39&gt;=$U$1,对接源_01水果!$B39&lt;=$U$2),1,0)</f>
        <v>0</v>
      </c>
    </row>
    <row r="40" ht="15.75" customHeight="1" s="127">
      <c r="A40" s="191">
        <f>IF($T40="","",IF(INDEX(对接源_01水果!$B$4:$B$1203,$T40)=0,"",INDEX(对接源_01水果!$B$4:$B$1203,$T40)))</f>
      </c>
      <c r="B40" s="84">
        <f>IF($T40="","",IF(INDEX(对接源_01水果!$E$4:$E$1203,$T40)=0,"",INDEX(对接源_01水果!$E$4:$E$1203,$T40)))</f>
      </c>
      <c r="C40" s="84">
        <f>IF($T40="","",IF(INDEX(对接源_01水果!$AC$4:$AC$1203,$T40)=0,"",INDEX(对接源_01水果!$AC$4:$AC$1203,$T40)))</f>
      </c>
      <c r="D40" s="84">
        <f>IF($T40="","",IF(INDEX(对接源_01水果!$F$4:$F$1203,$T40)=0,"",INDEX(对接源_01水果!$F$4:$F$1203,$T40)))</f>
      </c>
      <c r="E40" s="84">
        <f>IF($T40="","",IF(INDEX(对接源_01水果!$G$4:$G$1203,$T40)=0,"",INDEX(对接源_01水果!$G$4:$G$1203,$T40)))</f>
      </c>
      <c r="F40" s="84">
        <f>IF($T40="","",IF(INDEX(对接源_01水果!$H$4:$H$1203,$T40)=0,"",INDEX(对接源_01水果!$H$4:$H$1203,$T40)))</f>
      </c>
      <c r="G40" s="84">
        <f>IF($T40="","",IF(INDEX(对接源_01水果!$I$4:$I$1203,$T40)=0,"",INDEX(对接源_01水果!$I$4:$I$1203,$T40)))</f>
      </c>
      <c r="H40" s="86">
        <f>IF($T40="","",IF(INDEX(对接源_01水果!$AD$4:$AD$1203,$T40)=0,"",INDEX(对接源_01水果!$AD$4:$AD$1203,$T40)))</f>
      </c>
      <c r="I40" s="86">
        <f>IF($T40="","",IF(INDEX(对接源_01水果!$AI$4:$AI$1203,$T40)=0,"",INDEX(对接源_01水果!$AI$4:$AI$1203,$T40)))</f>
      </c>
      <c r="J40" s="86">
        <f>IF($T40="","",IF(INDEX(对接源_01水果!$AE$4:$AE$1203,$T40)=0,"",INDEX(对接源_01水果!$AE$4:$AE$1203,$T40)))</f>
      </c>
      <c r="K40" s="86">
        <f>IF($T40="","",IF(INDEX(对接源_01水果!$AF$4:$AF$1203,$T40)=0,"",INDEX(对接源_01水果!$AF$4:$AF$1203,$T40)))</f>
      </c>
      <c r="L40" s="86">
        <f>IF($T40="","",IF(INDEX(对接源_01水果!$K$4:$K$1203,$T40)=0,"",INDEX(对接源_01水果!$K$4:$K$1203,$T40)))</f>
      </c>
      <c r="M40" s="84">
        <f>IF($T40="","",IF(INDEX(对接源_01水果!$L$4:$L$1203,$T40)=0,"",INDEX(对接源_01水果!$L$4:$L$1203,$T40)))</f>
      </c>
      <c r="N40" s="87">
        <f>IF($T40="","",IF(INDEX(对接源_01水果!$M$4:$M$1203,$T40)=0,"",INDEX(对接源_01水果!$M$4:$M$1203,$T40)))</f>
      </c>
      <c r="S40" s="7" t="n"/>
      <c r="T40" s="7">
        <f>IF(ROW()-5&gt;$U$1203,"",MATCH(ROW()-5,$U$4:$U$1203,0))</f>
      </c>
      <c r="U40">
        <f>N(U39)+IF(AND($B$2&lt;&gt;"",对接源_01水果!$AH40=$B$2,对接源_01水果!$B40&gt;=$U$1,对接源_01水果!$B40&lt;=$U$2),1,0)</f>
        <v>0</v>
      </c>
    </row>
    <row r="41" ht="15.75" customHeight="1" s="127">
      <c r="A41" s="191">
        <f>IF($T41="","",IF(INDEX(对接源_01水果!$B$4:$B$1203,$T41)=0,"",INDEX(对接源_01水果!$B$4:$B$1203,$T41)))</f>
      </c>
      <c r="B41" s="84">
        <f>IF($T41="","",IF(INDEX(对接源_01水果!$E$4:$E$1203,$T41)=0,"",INDEX(对接源_01水果!$E$4:$E$1203,$T41)))</f>
      </c>
      <c r="C41" s="84">
        <f>IF($T41="","",IF(INDEX(对接源_01水果!$AC$4:$AC$1203,$T41)=0,"",INDEX(对接源_01水果!$AC$4:$AC$1203,$T41)))</f>
      </c>
      <c r="D41" s="84">
        <f>IF($T41="","",IF(INDEX(对接源_01水果!$F$4:$F$1203,$T41)=0,"",INDEX(对接源_01水果!$F$4:$F$1203,$T41)))</f>
      </c>
      <c r="E41" s="84">
        <f>IF($T41="","",IF(INDEX(对接源_01水果!$G$4:$G$1203,$T41)=0,"",INDEX(对接源_01水果!$G$4:$G$1203,$T41)))</f>
      </c>
      <c r="F41" s="84">
        <f>IF($T41="","",IF(INDEX(对接源_01水果!$H$4:$H$1203,$T41)=0,"",INDEX(对接源_01水果!$H$4:$H$1203,$T41)))</f>
      </c>
      <c r="G41" s="84">
        <f>IF($T41="","",IF(INDEX(对接源_01水果!$I$4:$I$1203,$T41)=0,"",INDEX(对接源_01水果!$I$4:$I$1203,$T41)))</f>
      </c>
      <c r="H41" s="86">
        <f>IF($T41="","",IF(INDEX(对接源_01水果!$AD$4:$AD$1203,$T41)=0,"",INDEX(对接源_01水果!$AD$4:$AD$1203,$T41)))</f>
      </c>
      <c r="I41" s="86">
        <f>IF($T41="","",IF(INDEX(对接源_01水果!$AI$4:$AI$1203,$T41)=0,"",INDEX(对接源_01水果!$AI$4:$AI$1203,$T41)))</f>
      </c>
      <c r="J41" s="86">
        <f>IF($T41="","",IF(INDEX(对接源_01水果!$AE$4:$AE$1203,$T41)=0,"",INDEX(对接源_01水果!$AE$4:$AE$1203,$T41)))</f>
      </c>
      <c r="K41" s="86">
        <f>IF($T41="","",IF(INDEX(对接源_01水果!$AF$4:$AF$1203,$T41)=0,"",INDEX(对接源_01水果!$AF$4:$AF$1203,$T41)))</f>
      </c>
      <c r="L41" s="86">
        <f>IF($T41="","",IF(INDEX(对接源_01水果!$K$4:$K$1203,$T41)=0,"",INDEX(对接源_01水果!$K$4:$K$1203,$T41)))</f>
      </c>
      <c r="M41" s="84">
        <f>IF($T41="","",IF(INDEX(对接源_01水果!$L$4:$L$1203,$T41)=0,"",INDEX(对接源_01水果!$L$4:$L$1203,$T41)))</f>
      </c>
      <c r="N41" s="87">
        <f>IF($T41="","",IF(INDEX(对接源_01水果!$M$4:$M$1203,$T41)=0,"",INDEX(对接源_01水果!$M$4:$M$1203,$T41)))</f>
      </c>
      <c r="S41" s="7" t="n"/>
      <c r="T41" s="7">
        <f>IF(ROW()-5&gt;$U$1203,"",MATCH(ROW()-5,$U$4:$U$1203,0))</f>
      </c>
      <c r="U41">
        <f>N(U40)+IF(AND($B$2&lt;&gt;"",对接源_01水果!$AH41=$B$2,对接源_01水果!$B41&gt;=$U$1,对接源_01水果!$B41&lt;=$U$2),1,0)</f>
        <v>0</v>
      </c>
    </row>
    <row r="42" ht="15.75" customHeight="1" s="127">
      <c r="A42" s="191">
        <f>IF($T42="","",IF(INDEX(对接源_01水果!$B$4:$B$1203,$T42)=0,"",INDEX(对接源_01水果!$B$4:$B$1203,$T42)))</f>
      </c>
      <c r="B42" s="84">
        <f>IF($T42="","",IF(INDEX(对接源_01水果!$E$4:$E$1203,$T42)=0,"",INDEX(对接源_01水果!$E$4:$E$1203,$T42)))</f>
      </c>
      <c r="C42" s="84">
        <f>IF($T42="","",IF(INDEX(对接源_01水果!$AC$4:$AC$1203,$T42)=0,"",INDEX(对接源_01水果!$AC$4:$AC$1203,$T42)))</f>
      </c>
      <c r="D42" s="84">
        <f>IF($T42="","",IF(INDEX(对接源_01水果!$F$4:$F$1203,$T42)=0,"",INDEX(对接源_01水果!$F$4:$F$1203,$T42)))</f>
      </c>
      <c r="E42" s="84">
        <f>IF($T42="","",IF(INDEX(对接源_01水果!$G$4:$G$1203,$T42)=0,"",INDEX(对接源_01水果!$G$4:$G$1203,$T42)))</f>
      </c>
      <c r="F42" s="84">
        <f>IF($T42="","",IF(INDEX(对接源_01水果!$H$4:$H$1203,$T42)=0,"",INDEX(对接源_01水果!$H$4:$H$1203,$T42)))</f>
      </c>
      <c r="G42" s="84">
        <f>IF($T42="","",IF(INDEX(对接源_01水果!$I$4:$I$1203,$T42)=0,"",INDEX(对接源_01水果!$I$4:$I$1203,$T42)))</f>
      </c>
      <c r="H42" s="86">
        <f>IF($T42="","",IF(INDEX(对接源_01水果!$AD$4:$AD$1203,$T42)=0,"",INDEX(对接源_01水果!$AD$4:$AD$1203,$T42)))</f>
      </c>
      <c r="I42" s="86">
        <f>IF($T42="","",IF(INDEX(对接源_01水果!$AI$4:$AI$1203,$T42)=0,"",INDEX(对接源_01水果!$AI$4:$AI$1203,$T42)))</f>
      </c>
      <c r="J42" s="86">
        <f>IF($T42="","",IF(INDEX(对接源_01水果!$AE$4:$AE$1203,$T42)=0,"",INDEX(对接源_01水果!$AE$4:$AE$1203,$T42)))</f>
      </c>
      <c r="K42" s="86">
        <f>IF($T42="","",IF(INDEX(对接源_01水果!$AF$4:$AF$1203,$T42)=0,"",INDEX(对接源_01水果!$AF$4:$AF$1203,$T42)))</f>
      </c>
      <c r="L42" s="86">
        <f>IF($T42="","",IF(INDEX(对接源_01水果!$K$4:$K$1203,$T42)=0,"",INDEX(对接源_01水果!$K$4:$K$1203,$T42)))</f>
      </c>
      <c r="M42" s="84">
        <f>IF($T42="","",IF(INDEX(对接源_01水果!$L$4:$L$1203,$T42)=0,"",INDEX(对接源_01水果!$L$4:$L$1203,$T42)))</f>
      </c>
      <c r="N42" s="87">
        <f>IF($T42="","",IF(INDEX(对接源_01水果!$M$4:$M$1203,$T42)=0,"",INDEX(对接源_01水果!$M$4:$M$1203,$T42)))</f>
      </c>
      <c r="S42" s="7" t="n"/>
      <c r="T42" s="7">
        <f>IF(ROW()-5&gt;$U$1203,"",MATCH(ROW()-5,$U$4:$U$1203,0))</f>
      </c>
      <c r="U42">
        <f>N(U41)+IF(AND($B$2&lt;&gt;"",对接源_01水果!$AH42=$B$2,对接源_01水果!$B42&gt;=$U$1,对接源_01水果!$B42&lt;=$U$2),1,0)</f>
        <v>0</v>
      </c>
    </row>
    <row r="43" ht="15.75" customHeight="1" s="127">
      <c r="A43" s="191">
        <f>IF($T43="","",IF(INDEX(对接源_01水果!$B$4:$B$1203,$T43)=0,"",INDEX(对接源_01水果!$B$4:$B$1203,$T43)))</f>
      </c>
      <c r="B43" s="84">
        <f>IF($T43="","",IF(INDEX(对接源_01水果!$E$4:$E$1203,$T43)=0,"",INDEX(对接源_01水果!$E$4:$E$1203,$T43)))</f>
      </c>
      <c r="C43" s="84">
        <f>IF($T43="","",IF(INDEX(对接源_01水果!$AC$4:$AC$1203,$T43)=0,"",INDEX(对接源_01水果!$AC$4:$AC$1203,$T43)))</f>
      </c>
      <c r="D43" s="84">
        <f>IF($T43="","",IF(INDEX(对接源_01水果!$F$4:$F$1203,$T43)=0,"",INDEX(对接源_01水果!$F$4:$F$1203,$T43)))</f>
      </c>
      <c r="E43" s="84">
        <f>IF($T43="","",IF(INDEX(对接源_01水果!$G$4:$G$1203,$T43)=0,"",INDEX(对接源_01水果!$G$4:$G$1203,$T43)))</f>
      </c>
      <c r="F43" s="84">
        <f>IF($T43="","",IF(INDEX(对接源_01水果!$H$4:$H$1203,$T43)=0,"",INDEX(对接源_01水果!$H$4:$H$1203,$T43)))</f>
      </c>
      <c r="G43" s="84">
        <f>IF($T43="","",IF(INDEX(对接源_01水果!$I$4:$I$1203,$T43)=0,"",INDEX(对接源_01水果!$I$4:$I$1203,$T43)))</f>
      </c>
      <c r="H43" s="86">
        <f>IF($T43="","",IF(INDEX(对接源_01水果!$AD$4:$AD$1203,$T43)=0,"",INDEX(对接源_01水果!$AD$4:$AD$1203,$T43)))</f>
      </c>
      <c r="I43" s="86">
        <f>IF($T43="","",IF(INDEX(对接源_01水果!$AI$4:$AI$1203,$T43)=0,"",INDEX(对接源_01水果!$AI$4:$AI$1203,$T43)))</f>
      </c>
      <c r="J43" s="86">
        <f>IF($T43="","",IF(INDEX(对接源_01水果!$AE$4:$AE$1203,$T43)=0,"",INDEX(对接源_01水果!$AE$4:$AE$1203,$T43)))</f>
      </c>
      <c r="K43" s="86">
        <f>IF($T43="","",IF(INDEX(对接源_01水果!$AF$4:$AF$1203,$T43)=0,"",INDEX(对接源_01水果!$AF$4:$AF$1203,$T43)))</f>
      </c>
      <c r="L43" s="86">
        <f>IF($T43="","",IF(INDEX(对接源_01水果!$K$4:$K$1203,$T43)=0,"",INDEX(对接源_01水果!$K$4:$K$1203,$T43)))</f>
      </c>
      <c r="M43" s="84">
        <f>IF($T43="","",IF(INDEX(对接源_01水果!$L$4:$L$1203,$T43)=0,"",INDEX(对接源_01水果!$L$4:$L$1203,$T43)))</f>
      </c>
      <c r="N43" s="87">
        <f>IF($T43="","",IF(INDEX(对接源_01水果!$M$4:$M$1203,$T43)=0,"",INDEX(对接源_01水果!$M$4:$M$1203,$T43)))</f>
      </c>
      <c r="S43" s="7" t="n"/>
      <c r="T43" s="7">
        <f>IF(ROW()-5&gt;$U$1203,"",MATCH(ROW()-5,$U$4:$U$1203,0))</f>
      </c>
      <c r="U43">
        <f>N(U42)+IF(AND($B$2&lt;&gt;"",对接源_01水果!$AH43=$B$2,对接源_01水果!$B43&gt;=$U$1,对接源_01水果!$B43&lt;=$U$2),1,0)</f>
        <v>0</v>
      </c>
    </row>
    <row r="44" ht="15.75" customHeight="1" s="127">
      <c r="A44" s="191">
        <f>IF($T44="","",IF(INDEX(对接源_01水果!$B$4:$B$1203,$T44)=0,"",INDEX(对接源_01水果!$B$4:$B$1203,$T44)))</f>
      </c>
      <c r="B44" s="84">
        <f>IF($T44="","",IF(INDEX(对接源_01水果!$E$4:$E$1203,$T44)=0,"",INDEX(对接源_01水果!$E$4:$E$1203,$T44)))</f>
      </c>
      <c r="C44" s="84">
        <f>IF($T44="","",IF(INDEX(对接源_01水果!$AC$4:$AC$1203,$T44)=0,"",INDEX(对接源_01水果!$AC$4:$AC$1203,$T44)))</f>
      </c>
      <c r="D44" s="84">
        <f>IF($T44="","",IF(INDEX(对接源_01水果!$F$4:$F$1203,$T44)=0,"",INDEX(对接源_01水果!$F$4:$F$1203,$T44)))</f>
      </c>
      <c r="E44" s="84">
        <f>IF($T44="","",IF(INDEX(对接源_01水果!$G$4:$G$1203,$T44)=0,"",INDEX(对接源_01水果!$G$4:$G$1203,$T44)))</f>
      </c>
      <c r="F44" s="84">
        <f>IF($T44="","",IF(INDEX(对接源_01水果!$H$4:$H$1203,$T44)=0,"",INDEX(对接源_01水果!$H$4:$H$1203,$T44)))</f>
      </c>
      <c r="G44" s="84">
        <f>IF($T44="","",IF(INDEX(对接源_01水果!$I$4:$I$1203,$T44)=0,"",INDEX(对接源_01水果!$I$4:$I$1203,$T44)))</f>
      </c>
      <c r="H44" s="86">
        <f>IF($T44="","",IF(INDEX(对接源_01水果!$AD$4:$AD$1203,$T44)=0,"",INDEX(对接源_01水果!$AD$4:$AD$1203,$T44)))</f>
      </c>
      <c r="I44" s="86">
        <f>IF($T44="","",IF(INDEX(对接源_01水果!$AI$4:$AI$1203,$T44)=0,"",INDEX(对接源_01水果!$AI$4:$AI$1203,$T44)))</f>
      </c>
      <c r="J44" s="86">
        <f>IF($T44="","",IF(INDEX(对接源_01水果!$AE$4:$AE$1203,$T44)=0,"",INDEX(对接源_01水果!$AE$4:$AE$1203,$T44)))</f>
      </c>
      <c r="K44" s="86">
        <f>IF($T44="","",IF(INDEX(对接源_01水果!$AF$4:$AF$1203,$T44)=0,"",INDEX(对接源_01水果!$AF$4:$AF$1203,$T44)))</f>
      </c>
      <c r="L44" s="86">
        <f>IF($T44="","",IF(INDEX(对接源_01水果!$K$4:$K$1203,$T44)=0,"",INDEX(对接源_01水果!$K$4:$K$1203,$T44)))</f>
      </c>
      <c r="M44" s="84">
        <f>IF($T44="","",IF(INDEX(对接源_01水果!$L$4:$L$1203,$T44)=0,"",INDEX(对接源_01水果!$L$4:$L$1203,$T44)))</f>
      </c>
      <c r="N44" s="87">
        <f>IF($T44="","",IF(INDEX(对接源_01水果!$M$4:$M$1203,$T44)=0,"",INDEX(对接源_01水果!$M$4:$M$1203,$T44)))</f>
      </c>
      <c r="S44" s="7" t="n"/>
      <c r="T44" s="7">
        <f>IF(ROW()-5&gt;$U$1203,"",MATCH(ROW()-5,$U$4:$U$1203,0))</f>
      </c>
      <c r="U44">
        <f>N(U43)+IF(AND($B$2&lt;&gt;"",对接源_01水果!$AH44=$B$2,对接源_01水果!$B44&gt;=$U$1,对接源_01水果!$B44&lt;=$U$2),1,0)</f>
        <v>0</v>
      </c>
    </row>
    <row r="45" ht="15.75" customHeight="1" s="127">
      <c r="A45" s="191">
        <f>IF($T45="","",IF(INDEX(对接源_01水果!$B$4:$B$1203,$T45)=0,"",INDEX(对接源_01水果!$B$4:$B$1203,$T45)))</f>
      </c>
      <c r="B45" s="84">
        <f>IF($T45="","",IF(INDEX(对接源_01水果!$E$4:$E$1203,$T45)=0,"",INDEX(对接源_01水果!$E$4:$E$1203,$T45)))</f>
      </c>
      <c r="C45" s="84">
        <f>IF($T45="","",IF(INDEX(对接源_01水果!$AC$4:$AC$1203,$T45)=0,"",INDEX(对接源_01水果!$AC$4:$AC$1203,$T45)))</f>
      </c>
      <c r="D45" s="84">
        <f>IF($T45="","",IF(INDEX(对接源_01水果!$F$4:$F$1203,$T45)=0,"",INDEX(对接源_01水果!$F$4:$F$1203,$T45)))</f>
      </c>
      <c r="E45" s="84">
        <f>IF($T45="","",IF(INDEX(对接源_01水果!$G$4:$G$1203,$T45)=0,"",INDEX(对接源_01水果!$G$4:$G$1203,$T45)))</f>
      </c>
      <c r="F45" s="84">
        <f>IF($T45="","",IF(INDEX(对接源_01水果!$H$4:$H$1203,$T45)=0,"",INDEX(对接源_01水果!$H$4:$H$1203,$T45)))</f>
      </c>
      <c r="G45" s="84">
        <f>IF($T45="","",IF(INDEX(对接源_01水果!$I$4:$I$1203,$T45)=0,"",INDEX(对接源_01水果!$I$4:$I$1203,$T45)))</f>
      </c>
      <c r="H45" s="86">
        <f>IF($T45="","",IF(INDEX(对接源_01水果!$AD$4:$AD$1203,$T45)=0,"",INDEX(对接源_01水果!$AD$4:$AD$1203,$T45)))</f>
      </c>
      <c r="I45" s="86">
        <f>IF($T45="","",IF(INDEX(对接源_01水果!$AI$4:$AI$1203,$T45)=0,"",INDEX(对接源_01水果!$AI$4:$AI$1203,$T45)))</f>
      </c>
      <c r="J45" s="86">
        <f>IF($T45="","",IF(INDEX(对接源_01水果!$AE$4:$AE$1203,$T45)=0,"",INDEX(对接源_01水果!$AE$4:$AE$1203,$T45)))</f>
      </c>
      <c r="K45" s="86">
        <f>IF($T45="","",IF(INDEX(对接源_01水果!$AF$4:$AF$1203,$T45)=0,"",INDEX(对接源_01水果!$AF$4:$AF$1203,$T45)))</f>
      </c>
      <c r="L45" s="86">
        <f>IF($T45="","",IF(INDEX(对接源_01水果!$K$4:$K$1203,$T45)=0,"",INDEX(对接源_01水果!$K$4:$K$1203,$T45)))</f>
      </c>
      <c r="M45" s="84">
        <f>IF($T45="","",IF(INDEX(对接源_01水果!$L$4:$L$1203,$T45)=0,"",INDEX(对接源_01水果!$L$4:$L$1203,$T45)))</f>
      </c>
      <c r="N45" s="87">
        <f>IF($T45="","",IF(INDEX(对接源_01水果!$M$4:$M$1203,$T45)=0,"",INDEX(对接源_01水果!$M$4:$M$1203,$T45)))</f>
      </c>
      <c r="S45" s="7" t="n"/>
      <c r="T45" s="7">
        <f>IF(ROW()-5&gt;$U$1203,"",MATCH(ROW()-5,$U$4:$U$1203,0))</f>
      </c>
      <c r="U45">
        <f>N(U44)+IF(AND($B$2&lt;&gt;"",对接源_01水果!$AH45=$B$2,对接源_01水果!$B45&gt;=$U$1,对接源_01水果!$B45&lt;=$U$2),1,0)</f>
        <v>0</v>
      </c>
    </row>
    <row r="46" ht="15.75" customHeight="1" s="127">
      <c r="A46" s="191">
        <f>IF($T46="","",IF(INDEX(对接源_01水果!$B$4:$B$1203,$T46)=0,"",INDEX(对接源_01水果!$B$4:$B$1203,$T46)))</f>
      </c>
      <c r="B46" s="84">
        <f>IF($T46="","",IF(INDEX(对接源_01水果!$E$4:$E$1203,$T46)=0,"",INDEX(对接源_01水果!$E$4:$E$1203,$T46)))</f>
      </c>
      <c r="C46" s="84">
        <f>IF($T46="","",IF(INDEX(对接源_01水果!$AC$4:$AC$1203,$T46)=0,"",INDEX(对接源_01水果!$AC$4:$AC$1203,$T46)))</f>
      </c>
      <c r="D46" s="84">
        <f>IF($T46="","",IF(INDEX(对接源_01水果!$F$4:$F$1203,$T46)=0,"",INDEX(对接源_01水果!$F$4:$F$1203,$T46)))</f>
      </c>
      <c r="E46" s="84">
        <f>IF($T46="","",IF(INDEX(对接源_01水果!$G$4:$G$1203,$T46)=0,"",INDEX(对接源_01水果!$G$4:$G$1203,$T46)))</f>
      </c>
      <c r="F46" s="84">
        <f>IF($T46="","",IF(INDEX(对接源_01水果!$H$4:$H$1203,$T46)=0,"",INDEX(对接源_01水果!$H$4:$H$1203,$T46)))</f>
      </c>
      <c r="G46" s="84">
        <f>IF($T46="","",IF(INDEX(对接源_01水果!$I$4:$I$1203,$T46)=0,"",INDEX(对接源_01水果!$I$4:$I$1203,$T46)))</f>
      </c>
      <c r="H46" s="86">
        <f>IF($T46="","",IF(INDEX(对接源_01水果!$AD$4:$AD$1203,$T46)=0,"",INDEX(对接源_01水果!$AD$4:$AD$1203,$T46)))</f>
      </c>
      <c r="I46" s="86">
        <f>IF($T46="","",IF(INDEX(对接源_01水果!$AI$4:$AI$1203,$T46)=0,"",INDEX(对接源_01水果!$AI$4:$AI$1203,$T46)))</f>
      </c>
      <c r="J46" s="86">
        <f>IF($T46="","",IF(INDEX(对接源_01水果!$AE$4:$AE$1203,$T46)=0,"",INDEX(对接源_01水果!$AE$4:$AE$1203,$T46)))</f>
      </c>
      <c r="K46" s="86">
        <f>IF($T46="","",IF(INDEX(对接源_01水果!$AF$4:$AF$1203,$T46)=0,"",INDEX(对接源_01水果!$AF$4:$AF$1203,$T46)))</f>
      </c>
      <c r="L46" s="86">
        <f>IF($T46="","",IF(INDEX(对接源_01水果!$K$4:$K$1203,$T46)=0,"",INDEX(对接源_01水果!$K$4:$K$1203,$T46)))</f>
      </c>
      <c r="M46" s="84">
        <f>IF($T46="","",IF(INDEX(对接源_01水果!$L$4:$L$1203,$T46)=0,"",INDEX(对接源_01水果!$L$4:$L$1203,$T46)))</f>
      </c>
      <c r="N46" s="87">
        <f>IF($T46="","",IF(INDEX(对接源_01水果!$M$4:$M$1203,$T46)=0,"",INDEX(对接源_01水果!$M$4:$M$1203,$T46)))</f>
      </c>
      <c r="S46" s="7" t="n"/>
      <c r="T46" s="7">
        <f>IF(ROW()-5&gt;$U$1203,"",MATCH(ROW()-5,$U$4:$U$1203,0))</f>
      </c>
      <c r="U46">
        <f>N(U45)+IF(AND($B$2&lt;&gt;"",对接源_01水果!$AH46=$B$2,对接源_01水果!$B46&gt;=$U$1,对接源_01水果!$B46&lt;=$U$2),1,0)</f>
        <v>0</v>
      </c>
    </row>
    <row r="47" ht="15.75" customHeight="1" s="127">
      <c r="A47" s="191">
        <f>IF($T47="","",IF(INDEX(对接源_01水果!$B$4:$B$1203,$T47)=0,"",INDEX(对接源_01水果!$B$4:$B$1203,$T47)))</f>
      </c>
      <c r="B47" s="84">
        <f>IF($T47="","",IF(INDEX(对接源_01水果!$E$4:$E$1203,$T47)=0,"",INDEX(对接源_01水果!$E$4:$E$1203,$T47)))</f>
      </c>
      <c r="C47" s="84">
        <f>IF($T47="","",IF(INDEX(对接源_01水果!$AC$4:$AC$1203,$T47)=0,"",INDEX(对接源_01水果!$AC$4:$AC$1203,$T47)))</f>
      </c>
      <c r="D47" s="84">
        <f>IF($T47="","",IF(INDEX(对接源_01水果!$F$4:$F$1203,$T47)=0,"",INDEX(对接源_01水果!$F$4:$F$1203,$T47)))</f>
      </c>
      <c r="E47" s="84">
        <f>IF($T47="","",IF(INDEX(对接源_01水果!$G$4:$G$1203,$T47)=0,"",INDEX(对接源_01水果!$G$4:$G$1203,$T47)))</f>
      </c>
      <c r="F47" s="84">
        <f>IF($T47="","",IF(INDEX(对接源_01水果!$H$4:$H$1203,$T47)=0,"",INDEX(对接源_01水果!$H$4:$H$1203,$T47)))</f>
      </c>
      <c r="G47" s="84">
        <f>IF($T47="","",IF(INDEX(对接源_01水果!$I$4:$I$1203,$T47)=0,"",INDEX(对接源_01水果!$I$4:$I$1203,$T47)))</f>
      </c>
      <c r="H47" s="86">
        <f>IF($T47="","",IF(INDEX(对接源_01水果!$AD$4:$AD$1203,$T47)=0,"",INDEX(对接源_01水果!$AD$4:$AD$1203,$T47)))</f>
      </c>
      <c r="I47" s="86">
        <f>IF($T47="","",IF(INDEX(对接源_01水果!$AI$4:$AI$1203,$T47)=0,"",INDEX(对接源_01水果!$AI$4:$AI$1203,$T47)))</f>
      </c>
      <c r="J47" s="86">
        <f>IF($T47="","",IF(INDEX(对接源_01水果!$AE$4:$AE$1203,$T47)=0,"",INDEX(对接源_01水果!$AE$4:$AE$1203,$T47)))</f>
      </c>
      <c r="K47" s="86">
        <f>IF($T47="","",IF(INDEX(对接源_01水果!$AF$4:$AF$1203,$T47)=0,"",INDEX(对接源_01水果!$AF$4:$AF$1203,$T47)))</f>
      </c>
      <c r="L47" s="86">
        <f>IF($T47="","",IF(INDEX(对接源_01水果!$K$4:$K$1203,$T47)=0,"",INDEX(对接源_01水果!$K$4:$K$1203,$T47)))</f>
      </c>
      <c r="M47" s="84">
        <f>IF($T47="","",IF(INDEX(对接源_01水果!$L$4:$L$1203,$T47)=0,"",INDEX(对接源_01水果!$L$4:$L$1203,$T47)))</f>
      </c>
      <c r="N47" s="87">
        <f>IF($T47="","",IF(INDEX(对接源_01水果!$M$4:$M$1203,$T47)=0,"",INDEX(对接源_01水果!$M$4:$M$1203,$T47)))</f>
      </c>
      <c r="S47" s="7" t="n"/>
      <c r="T47" s="7">
        <f>IF(ROW()-5&gt;$U$1203,"",MATCH(ROW()-5,$U$4:$U$1203,0))</f>
      </c>
      <c r="U47">
        <f>N(U46)+IF(AND($B$2&lt;&gt;"",对接源_01水果!$AH47=$B$2,对接源_01水果!$B47&gt;=$U$1,对接源_01水果!$B47&lt;=$U$2),1,0)</f>
        <v>0</v>
      </c>
    </row>
    <row r="48" ht="15.75" customHeight="1" s="127">
      <c r="A48" s="191">
        <f>IF($T48="","",IF(INDEX(对接源_01水果!$B$4:$B$1203,$T48)=0,"",INDEX(对接源_01水果!$B$4:$B$1203,$T48)))</f>
      </c>
      <c r="B48" s="84">
        <f>IF($T48="","",IF(INDEX(对接源_01水果!$E$4:$E$1203,$T48)=0,"",INDEX(对接源_01水果!$E$4:$E$1203,$T48)))</f>
      </c>
      <c r="C48" s="84">
        <f>IF($T48="","",IF(INDEX(对接源_01水果!$AC$4:$AC$1203,$T48)=0,"",INDEX(对接源_01水果!$AC$4:$AC$1203,$T48)))</f>
      </c>
      <c r="D48" s="84">
        <f>IF($T48="","",IF(INDEX(对接源_01水果!$F$4:$F$1203,$T48)=0,"",INDEX(对接源_01水果!$F$4:$F$1203,$T48)))</f>
      </c>
      <c r="E48" s="84">
        <f>IF($T48="","",IF(INDEX(对接源_01水果!$G$4:$G$1203,$T48)=0,"",INDEX(对接源_01水果!$G$4:$G$1203,$T48)))</f>
      </c>
      <c r="F48" s="84">
        <f>IF($T48="","",IF(INDEX(对接源_01水果!$H$4:$H$1203,$T48)=0,"",INDEX(对接源_01水果!$H$4:$H$1203,$T48)))</f>
      </c>
      <c r="G48" s="84">
        <f>IF($T48="","",IF(INDEX(对接源_01水果!$I$4:$I$1203,$T48)=0,"",INDEX(对接源_01水果!$I$4:$I$1203,$T48)))</f>
      </c>
      <c r="H48" s="86">
        <f>IF($T48="","",IF(INDEX(对接源_01水果!$AD$4:$AD$1203,$T48)=0,"",INDEX(对接源_01水果!$AD$4:$AD$1203,$T48)))</f>
      </c>
      <c r="I48" s="86">
        <f>IF($T48="","",IF(INDEX(对接源_01水果!$AI$4:$AI$1203,$T48)=0,"",INDEX(对接源_01水果!$AI$4:$AI$1203,$T48)))</f>
      </c>
      <c r="J48" s="86">
        <f>IF($T48="","",IF(INDEX(对接源_01水果!$AE$4:$AE$1203,$T48)=0,"",INDEX(对接源_01水果!$AE$4:$AE$1203,$T48)))</f>
      </c>
      <c r="K48" s="86">
        <f>IF($T48="","",IF(INDEX(对接源_01水果!$AF$4:$AF$1203,$T48)=0,"",INDEX(对接源_01水果!$AF$4:$AF$1203,$T48)))</f>
      </c>
      <c r="L48" s="86">
        <f>IF($T48="","",IF(INDEX(对接源_01水果!$K$4:$K$1203,$T48)=0,"",INDEX(对接源_01水果!$K$4:$K$1203,$T48)))</f>
      </c>
      <c r="M48" s="84">
        <f>IF($T48="","",IF(INDEX(对接源_01水果!$L$4:$L$1203,$T48)=0,"",INDEX(对接源_01水果!$L$4:$L$1203,$T48)))</f>
      </c>
      <c r="N48" s="87">
        <f>IF($T48="","",IF(INDEX(对接源_01水果!$M$4:$M$1203,$T48)=0,"",INDEX(对接源_01水果!$M$4:$M$1203,$T48)))</f>
      </c>
      <c r="S48" s="7" t="n"/>
      <c r="T48" s="7">
        <f>IF(ROW()-5&gt;$U$1203,"",MATCH(ROW()-5,$U$4:$U$1203,0))</f>
      </c>
      <c r="U48">
        <f>N(U47)+IF(AND($B$2&lt;&gt;"",对接源_01水果!$AH48=$B$2,对接源_01水果!$B48&gt;=$U$1,对接源_01水果!$B48&lt;=$U$2),1,0)</f>
        <v>0</v>
      </c>
    </row>
    <row r="49" ht="15.75" customHeight="1" s="127">
      <c r="A49" s="191">
        <f>IF($T49="","",IF(INDEX(对接源_01水果!$B$4:$B$1203,$T49)=0,"",INDEX(对接源_01水果!$B$4:$B$1203,$T49)))</f>
      </c>
      <c r="B49" s="84">
        <f>IF($T49="","",IF(INDEX(对接源_01水果!$E$4:$E$1203,$T49)=0,"",INDEX(对接源_01水果!$E$4:$E$1203,$T49)))</f>
      </c>
      <c r="C49" s="84">
        <f>IF($T49="","",IF(INDEX(对接源_01水果!$AC$4:$AC$1203,$T49)=0,"",INDEX(对接源_01水果!$AC$4:$AC$1203,$T49)))</f>
      </c>
      <c r="D49" s="84">
        <f>IF($T49="","",IF(INDEX(对接源_01水果!$F$4:$F$1203,$T49)=0,"",INDEX(对接源_01水果!$F$4:$F$1203,$T49)))</f>
      </c>
      <c r="E49" s="84">
        <f>IF($T49="","",IF(INDEX(对接源_01水果!$G$4:$G$1203,$T49)=0,"",INDEX(对接源_01水果!$G$4:$G$1203,$T49)))</f>
      </c>
      <c r="F49" s="84">
        <f>IF($T49="","",IF(INDEX(对接源_01水果!$H$4:$H$1203,$T49)=0,"",INDEX(对接源_01水果!$H$4:$H$1203,$T49)))</f>
      </c>
      <c r="G49" s="84">
        <f>IF($T49="","",IF(INDEX(对接源_01水果!$I$4:$I$1203,$T49)=0,"",INDEX(对接源_01水果!$I$4:$I$1203,$T49)))</f>
      </c>
      <c r="H49" s="86">
        <f>IF($T49="","",IF(INDEX(对接源_01水果!$AD$4:$AD$1203,$T49)=0,"",INDEX(对接源_01水果!$AD$4:$AD$1203,$T49)))</f>
      </c>
      <c r="I49" s="86">
        <f>IF($T49="","",IF(INDEX(对接源_01水果!$AI$4:$AI$1203,$T49)=0,"",INDEX(对接源_01水果!$AI$4:$AI$1203,$T49)))</f>
      </c>
      <c r="J49" s="86">
        <f>IF($T49="","",IF(INDEX(对接源_01水果!$AE$4:$AE$1203,$T49)=0,"",INDEX(对接源_01水果!$AE$4:$AE$1203,$T49)))</f>
      </c>
      <c r="K49" s="86">
        <f>IF($T49="","",IF(INDEX(对接源_01水果!$AF$4:$AF$1203,$T49)=0,"",INDEX(对接源_01水果!$AF$4:$AF$1203,$T49)))</f>
      </c>
      <c r="L49" s="86">
        <f>IF($T49="","",IF(INDEX(对接源_01水果!$K$4:$K$1203,$T49)=0,"",INDEX(对接源_01水果!$K$4:$K$1203,$T49)))</f>
      </c>
      <c r="M49" s="84">
        <f>IF($T49="","",IF(INDEX(对接源_01水果!$L$4:$L$1203,$T49)=0,"",INDEX(对接源_01水果!$L$4:$L$1203,$T49)))</f>
      </c>
      <c r="N49" s="87">
        <f>IF($T49="","",IF(INDEX(对接源_01水果!$M$4:$M$1203,$T49)=0,"",INDEX(对接源_01水果!$M$4:$M$1203,$T49)))</f>
      </c>
      <c r="S49" s="7" t="n"/>
      <c r="T49" s="7">
        <f>IF(ROW()-5&gt;$U$1203,"",MATCH(ROW()-5,$U$4:$U$1203,0))</f>
      </c>
      <c r="U49">
        <f>N(U48)+IF(AND($B$2&lt;&gt;"",对接源_01水果!$AH49=$B$2,对接源_01水果!$B49&gt;=$U$1,对接源_01水果!$B49&lt;=$U$2),1,0)</f>
        <v>0</v>
      </c>
    </row>
    <row r="50" ht="15.75" customHeight="1" s="127">
      <c r="A50" s="191">
        <f>IF($T50="","",IF(INDEX(对接源_01水果!$B$4:$B$1203,$T50)=0,"",INDEX(对接源_01水果!$B$4:$B$1203,$T50)))</f>
      </c>
      <c r="B50" s="84">
        <f>IF($T50="","",IF(INDEX(对接源_01水果!$E$4:$E$1203,$T50)=0,"",INDEX(对接源_01水果!$E$4:$E$1203,$T50)))</f>
      </c>
      <c r="C50" s="84">
        <f>IF($T50="","",IF(INDEX(对接源_01水果!$AC$4:$AC$1203,$T50)=0,"",INDEX(对接源_01水果!$AC$4:$AC$1203,$T50)))</f>
      </c>
      <c r="D50" s="84">
        <f>IF($T50="","",IF(INDEX(对接源_01水果!$F$4:$F$1203,$T50)=0,"",INDEX(对接源_01水果!$F$4:$F$1203,$T50)))</f>
      </c>
      <c r="E50" s="84">
        <f>IF($T50="","",IF(INDEX(对接源_01水果!$G$4:$G$1203,$T50)=0,"",INDEX(对接源_01水果!$G$4:$G$1203,$T50)))</f>
      </c>
      <c r="F50" s="84">
        <f>IF($T50="","",IF(INDEX(对接源_01水果!$H$4:$H$1203,$T50)=0,"",INDEX(对接源_01水果!$H$4:$H$1203,$T50)))</f>
      </c>
      <c r="G50" s="84">
        <f>IF($T50="","",IF(INDEX(对接源_01水果!$I$4:$I$1203,$T50)=0,"",INDEX(对接源_01水果!$I$4:$I$1203,$T50)))</f>
      </c>
      <c r="H50" s="86">
        <f>IF($T50="","",IF(INDEX(对接源_01水果!$AD$4:$AD$1203,$T50)=0,"",INDEX(对接源_01水果!$AD$4:$AD$1203,$T50)))</f>
      </c>
      <c r="I50" s="86">
        <f>IF($T50="","",IF(INDEX(对接源_01水果!$AI$4:$AI$1203,$T50)=0,"",INDEX(对接源_01水果!$AI$4:$AI$1203,$T50)))</f>
      </c>
      <c r="J50" s="86">
        <f>IF($T50="","",IF(INDEX(对接源_01水果!$AE$4:$AE$1203,$T50)=0,"",INDEX(对接源_01水果!$AE$4:$AE$1203,$T50)))</f>
      </c>
      <c r="K50" s="86">
        <f>IF($T50="","",IF(INDEX(对接源_01水果!$AF$4:$AF$1203,$T50)=0,"",INDEX(对接源_01水果!$AF$4:$AF$1203,$T50)))</f>
      </c>
      <c r="L50" s="86">
        <f>IF($T50="","",IF(INDEX(对接源_01水果!$K$4:$K$1203,$T50)=0,"",INDEX(对接源_01水果!$K$4:$K$1203,$T50)))</f>
      </c>
      <c r="M50" s="84">
        <f>IF($T50="","",IF(INDEX(对接源_01水果!$L$4:$L$1203,$T50)=0,"",INDEX(对接源_01水果!$L$4:$L$1203,$T50)))</f>
      </c>
      <c r="N50" s="87">
        <f>IF($T50="","",IF(INDEX(对接源_01水果!$M$4:$M$1203,$T50)=0,"",INDEX(对接源_01水果!$M$4:$M$1203,$T50)))</f>
      </c>
      <c r="S50" s="7" t="n"/>
      <c r="T50" s="7">
        <f>IF(ROW()-5&gt;$U$1203,"",MATCH(ROW()-5,$U$4:$U$1203,0))</f>
      </c>
      <c r="U50">
        <f>N(U49)+IF(AND($B$2&lt;&gt;"",对接源_01水果!$AH50=$B$2,对接源_01水果!$B50&gt;=$U$1,对接源_01水果!$B50&lt;=$U$2),1,0)</f>
        <v>0</v>
      </c>
    </row>
    <row r="51" ht="15.75" customHeight="1" s="127">
      <c r="A51" s="191">
        <f>IF($T51="","",IF(INDEX(对接源_01水果!$B$4:$B$1203,$T51)=0,"",INDEX(对接源_01水果!$B$4:$B$1203,$T51)))</f>
      </c>
      <c r="B51" s="84">
        <f>IF($T51="","",IF(INDEX(对接源_01水果!$E$4:$E$1203,$T51)=0,"",INDEX(对接源_01水果!$E$4:$E$1203,$T51)))</f>
      </c>
      <c r="C51" s="84">
        <f>IF($T51="","",IF(INDEX(对接源_01水果!$AC$4:$AC$1203,$T51)=0,"",INDEX(对接源_01水果!$AC$4:$AC$1203,$T51)))</f>
      </c>
      <c r="D51" s="84">
        <f>IF($T51="","",IF(INDEX(对接源_01水果!$F$4:$F$1203,$T51)=0,"",INDEX(对接源_01水果!$F$4:$F$1203,$T51)))</f>
      </c>
      <c r="E51" s="84">
        <f>IF($T51="","",IF(INDEX(对接源_01水果!$G$4:$G$1203,$T51)=0,"",INDEX(对接源_01水果!$G$4:$G$1203,$T51)))</f>
      </c>
      <c r="F51" s="84">
        <f>IF($T51="","",IF(INDEX(对接源_01水果!$H$4:$H$1203,$T51)=0,"",INDEX(对接源_01水果!$H$4:$H$1203,$T51)))</f>
      </c>
      <c r="G51" s="84">
        <f>IF($T51="","",IF(INDEX(对接源_01水果!$I$4:$I$1203,$T51)=0,"",INDEX(对接源_01水果!$I$4:$I$1203,$T51)))</f>
      </c>
      <c r="H51" s="86">
        <f>IF($T51="","",IF(INDEX(对接源_01水果!$AD$4:$AD$1203,$T51)=0,"",INDEX(对接源_01水果!$AD$4:$AD$1203,$T51)))</f>
      </c>
      <c r="I51" s="86">
        <f>IF($T51="","",IF(INDEX(对接源_01水果!$AI$4:$AI$1203,$T51)=0,"",INDEX(对接源_01水果!$AI$4:$AI$1203,$T51)))</f>
      </c>
      <c r="J51" s="86">
        <f>IF($T51="","",IF(INDEX(对接源_01水果!$AE$4:$AE$1203,$T51)=0,"",INDEX(对接源_01水果!$AE$4:$AE$1203,$T51)))</f>
      </c>
      <c r="K51" s="86">
        <f>IF($T51="","",IF(INDEX(对接源_01水果!$AF$4:$AF$1203,$T51)=0,"",INDEX(对接源_01水果!$AF$4:$AF$1203,$T51)))</f>
      </c>
      <c r="L51" s="86">
        <f>IF($T51="","",IF(INDEX(对接源_01水果!$K$4:$K$1203,$T51)=0,"",INDEX(对接源_01水果!$K$4:$K$1203,$T51)))</f>
      </c>
      <c r="M51" s="84">
        <f>IF($T51="","",IF(INDEX(对接源_01水果!$L$4:$L$1203,$T51)=0,"",INDEX(对接源_01水果!$L$4:$L$1203,$T51)))</f>
      </c>
      <c r="N51" s="87">
        <f>IF($T51="","",IF(INDEX(对接源_01水果!$M$4:$M$1203,$T51)=0,"",INDEX(对接源_01水果!$M$4:$M$1203,$T51)))</f>
      </c>
      <c r="S51" s="7" t="n"/>
      <c r="T51" s="7">
        <f>IF(ROW()-5&gt;$U$1203,"",MATCH(ROW()-5,$U$4:$U$1203,0))</f>
      </c>
      <c r="U51">
        <f>N(U50)+IF(AND($B$2&lt;&gt;"",对接源_01水果!$AH51=$B$2,对接源_01水果!$B51&gt;=$U$1,对接源_01水果!$B51&lt;=$U$2),1,0)</f>
        <v>0</v>
      </c>
    </row>
    <row r="52" ht="15.75" customHeight="1" s="127">
      <c r="A52" s="191">
        <f>IF($T52="","",IF(INDEX(对接源_01水果!$B$4:$B$1203,$T52)=0,"",INDEX(对接源_01水果!$B$4:$B$1203,$T52)))</f>
      </c>
      <c r="B52" s="84">
        <f>IF($T52="","",IF(INDEX(对接源_01水果!$E$4:$E$1203,$T52)=0,"",INDEX(对接源_01水果!$E$4:$E$1203,$T52)))</f>
      </c>
      <c r="C52" s="84">
        <f>IF($T52="","",IF(INDEX(对接源_01水果!$AC$4:$AC$1203,$T52)=0,"",INDEX(对接源_01水果!$AC$4:$AC$1203,$T52)))</f>
      </c>
      <c r="D52" s="84">
        <f>IF($T52="","",IF(INDEX(对接源_01水果!$F$4:$F$1203,$T52)=0,"",INDEX(对接源_01水果!$F$4:$F$1203,$T52)))</f>
      </c>
      <c r="E52" s="84">
        <f>IF($T52="","",IF(INDEX(对接源_01水果!$G$4:$G$1203,$T52)=0,"",INDEX(对接源_01水果!$G$4:$G$1203,$T52)))</f>
      </c>
      <c r="F52" s="84">
        <f>IF($T52="","",IF(INDEX(对接源_01水果!$H$4:$H$1203,$T52)=0,"",INDEX(对接源_01水果!$H$4:$H$1203,$T52)))</f>
      </c>
      <c r="G52" s="84">
        <f>IF($T52="","",IF(INDEX(对接源_01水果!$I$4:$I$1203,$T52)=0,"",INDEX(对接源_01水果!$I$4:$I$1203,$T52)))</f>
      </c>
      <c r="H52" s="86">
        <f>IF($T52="","",IF(INDEX(对接源_01水果!$AD$4:$AD$1203,$T52)=0,"",INDEX(对接源_01水果!$AD$4:$AD$1203,$T52)))</f>
      </c>
      <c r="I52" s="86">
        <f>IF($T52="","",IF(INDEX(对接源_01水果!$AI$4:$AI$1203,$T52)=0,"",INDEX(对接源_01水果!$AI$4:$AI$1203,$T52)))</f>
      </c>
      <c r="J52" s="86">
        <f>IF($T52="","",IF(INDEX(对接源_01水果!$AE$4:$AE$1203,$T52)=0,"",INDEX(对接源_01水果!$AE$4:$AE$1203,$T52)))</f>
      </c>
      <c r="K52" s="86">
        <f>IF($T52="","",IF(INDEX(对接源_01水果!$AF$4:$AF$1203,$T52)=0,"",INDEX(对接源_01水果!$AF$4:$AF$1203,$T52)))</f>
      </c>
      <c r="L52" s="86">
        <f>IF($T52="","",IF(INDEX(对接源_01水果!$K$4:$K$1203,$T52)=0,"",INDEX(对接源_01水果!$K$4:$K$1203,$T52)))</f>
      </c>
      <c r="M52" s="84">
        <f>IF($T52="","",IF(INDEX(对接源_01水果!$L$4:$L$1203,$T52)=0,"",INDEX(对接源_01水果!$L$4:$L$1203,$T52)))</f>
      </c>
      <c r="N52" s="87">
        <f>IF($T52="","",IF(INDEX(对接源_01水果!$M$4:$M$1203,$T52)=0,"",INDEX(对接源_01水果!$M$4:$M$1203,$T52)))</f>
      </c>
      <c r="S52" s="7" t="n"/>
      <c r="T52" s="7">
        <f>IF(ROW()-5&gt;$U$1203,"",MATCH(ROW()-5,$U$4:$U$1203,0))</f>
      </c>
      <c r="U52">
        <f>N(U51)+IF(AND($B$2&lt;&gt;"",对接源_01水果!$AH52=$B$2,对接源_01水果!$B52&gt;=$U$1,对接源_01水果!$B52&lt;=$U$2),1,0)</f>
        <v>0</v>
      </c>
    </row>
    <row r="53" ht="15.75" customHeight="1" s="127">
      <c r="A53" s="191">
        <f>IF($T53="","",IF(INDEX(对接源_01水果!$B$4:$B$1203,$T53)=0,"",INDEX(对接源_01水果!$B$4:$B$1203,$T53)))</f>
      </c>
      <c r="B53" s="84">
        <f>IF($T53="","",IF(INDEX(对接源_01水果!$E$4:$E$1203,$T53)=0,"",INDEX(对接源_01水果!$E$4:$E$1203,$T53)))</f>
      </c>
      <c r="C53" s="84">
        <f>IF($T53="","",IF(INDEX(对接源_01水果!$AC$4:$AC$1203,$T53)=0,"",INDEX(对接源_01水果!$AC$4:$AC$1203,$T53)))</f>
      </c>
      <c r="D53" s="84">
        <f>IF($T53="","",IF(INDEX(对接源_01水果!$F$4:$F$1203,$T53)=0,"",INDEX(对接源_01水果!$F$4:$F$1203,$T53)))</f>
      </c>
      <c r="E53" s="84">
        <f>IF($T53="","",IF(INDEX(对接源_01水果!$G$4:$G$1203,$T53)=0,"",INDEX(对接源_01水果!$G$4:$G$1203,$T53)))</f>
      </c>
      <c r="F53" s="84">
        <f>IF($T53="","",IF(INDEX(对接源_01水果!$H$4:$H$1203,$T53)=0,"",INDEX(对接源_01水果!$H$4:$H$1203,$T53)))</f>
      </c>
      <c r="G53" s="84">
        <f>IF($T53="","",IF(INDEX(对接源_01水果!$I$4:$I$1203,$T53)=0,"",INDEX(对接源_01水果!$I$4:$I$1203,$T53)))</f>
      </c>
      <c r="H53" s="86">
        <f>IF($T53="","",IF(INDEX(对接源_01水果!$AD$4:$AD$1203,$T53)=0,"",INDEX(对接源_01水果!$AD$4:$AD$1203,$T53)))</f>
      </c>
      <c r="I53" s="86">
        <f>IF($T53="","",IF(INDEX(对接源_01水果!$AI$4:$AI$1203,$T53)=0,"",INDEX(对接源_01水果!$AI$4:$AI$1203,$T53)))</f>
      </c>
      <c r="J53" s="86">
        <f>IF($T53="","",IF(INDEX(对接源_01水果!$AE$4:$AE$1203,$T53)=0,"",INDEX(对接源_01水果!$AE$4:$AE$1203,$T53)))</f>
      </c>
      <c r="K53" s="86">
        <f>IF($T53="","",IF(INDEX(对接源_01水果!$AF$4:$AF$1203,$T53)=0,"",INDEX(对接源_01水果!$AF$4:$AF$1203,$T53)))</f>
      </c>
      <c r="L53" s="86">
        <f>IF($T53="","",IF(INDEX(对接源_01水果!$K$4:$K$1203,$T53)=0,"",INDEX(对接源_01水果!$K$4:$K$1203,$T53)))</f>
      </c>
      <c r="M53" s="84">
        <f>IF($T53="","",IF(INDEX(对接源_01水果!$L$4:$L$1203,$T53)=0,"",INDEX(对接源_01水果!$L$4:$L$1203,$T53)))</f>
      </c>
      <c r="N53" s="87">
        <f>IF($T53="","",IF(INDEX(对接源_01水果!$M$4:$M$1203,$T53)=0,"",INDEX(对接源_01水果!$M$4:$M$1203,$T53)))</f>
      </c>
      <c r="S53" s="7" t="n"/>
      <c r="T53" s="7">
        <f>IF(ROW()-5&gt;$U$1203,"",MATCH(ROW()-5,$U$4:$U$1203,0))</f>
      </c>
      <c r="U53">
        <f>N(U52)+IF(AND($B$2&lt;&gt;"",对接源_01水果!$AH53=$B$2,对接源_01水果!$B53&gt;=$U$1,对接源_01水果!$B53&lt;=$U$2),1,0)</f>
        <v>0</v>
      </c>
    </row>
    <row r="54" ht="15.75" customHeight="1" s="127">
      <c r="A54" s="191">
        <f>IF($T54="","",IF(INDEX(对接源_01水果!$B$4:$B$1203,$T54)=0,"",INDEX(对接源_01水果!$B$4:$B$1203,$T54)))</f>
      </c>
      <c r="B54" s="84">
        <f>IF($T54="","",IF(INDEX(对接源_01水果!$E$4:$E$1203,$T54)=0,"",INDEX(对接源_01水果!$E$4:$E$1203,$T54)))</f>
      </c>
      <c r="C54" s="84">
        <f>IF($T54="","",IF(INDEX(对接源_01水果!$AC$4:$AC$1203,$T54)=0,"",INDEX(对接源_01水果!$AC$4:$AC$1203,$T54)))</f>
      </c>
      <c r="D54" s="84">
        <f>IF($T54="","",IF(INDEX(对接源_01水果!$F$4:$F$1203,$T54)=0,"",INDEX(对接源_01水果!$F$4:$F$1203,$T54)))</f>
      </c>
      <c r="E54" s="84">
        <f>IF($T54="","",IF(INDEX(对接源_01水果!$G$4:$G$1203,$T54)=0,"",INDEX(对接源_01水果!$G$4:$G$1203,$T54)))</f>
      </c>
      <c r="F54" s="84">
        <f>IF($T54="","",IF(INDEX(对接源_01水果!$H$4:$H$1203,$T54)=0,"",INDEX(对接源_01水果!$H$4:$H$1203,$T54)))</f>
      </c>
      <c r="G54" s="84">
        <f>IF($T54="","",IF(INDEX(对接源_01水果!$I$4:$I$1203,$T54)=0,"",INDEX(对接源_01水果!$I$4:$I$1203,$T54)))</f>
      </c>
      <c r="H54" s="86">
        <f>IF($T54="","",IF(INDEX(对接源_01水果!$AD$4:$AD$1203,$T54)=0,"",INDEX(对接源_01水果!$AD$4:$AD$1203,$T54)))</f>
      </c>
      <c r="I54" s="86">
        <f>IF($T54="","",IF(INDEX(对接源_01水果!$AI$4:$AI$1203,$T54)=0,"",INDEX(对接源_01水果!$AI$4:$AI$1203,$T54)))</f>
      </c>
      <c r="J54" s="86">
        <f>IF($T54="","",IF(INDEX(对接源_01水果!$AE$4:$AE$1203,$T54)=0,"",INDEX(对接源_01水果!$AE$4:$AE$1203,$T54)))</f>
      </c>
      <c r="K54" s="86">
        <f>IF($T54="","",IF(INDEX(对接源_01水果!$AF$4:$AF$1203,$T54)=0,"",INDEX(对接源_01水果!$AF$4:$AF$1203,$T54)))</f>
      </c>
      <c r="L54" s="86">
        <f>IF($T54="","",IF(INDEX(对接源_01水果!$K$4:$K$1203,$T54)=0,"",INDEX(对接源_01水果!$K$4:$K$1203,$T54)))</f>
      </c>
      <c r="M54" s="84">
        <f>IF($T54="","",IF(INDEX(对接源_01水果!$L$4:$L$1203,$T54)=0,"",INDEX(对接源_01水果!$L$4:$L$1203,$T54)))</f>
      </c>
      <c r="N54" s="87">
        <f>IF($T54="","",IF(INDEX(对接源_01水果!$M$4:$M$1203,$T54)=0,"",INDEX(对接源_01水果!$M$4:$M$1203,$T54)))</f>
      </c>
      <c r="S54" s="7" t="n"/>
      <c r="T54" s="7">
        <f>IF(ROW()-5&gt;$U$1203,"",MATCH(ROW()-5,$U$4:$U$1203,0))</f>
      </c>
      <c r="U54">
        <f>N(U53)+IF(AND($B$2&lt;&gt;"",对接源_01水果!$AH54=$B$2,对接源_01水果!$B54&gt;=$U$1,对接源_01水果!$B54&lt;=$U$2),1,0)</f>
        <v>0</v>
      </c>
    </row>
    <row r="55" ht="15.75" customHeight="1" s="127">
      <c r="A55" s="191">
        <f>IF($T55="","",IF(INDEX(对接源_01水果!$B$4:$B$1203,$T55)=0,"",INDEX(对接源_01水果!$B$4:$B$1203,$T55)))</f>
      </c>
      <c r="B55" s="84">
        <f>IF($T55="","",IF(INDEX(对接源_01水果!$E$4:$E$1203,$T55)=0,"",INDEX(对接源_01水果!$E$4:$E$1203,$T55)))</f>
      </c>
      <c r="C55" s="84">
        <f>IF($T55="","",IF(INDEX(对接源_01水果!$AC$4:$AC$1203,$T55)=0,"",INDEX(对接源_01水果!$AC$4:$AC$1203,$T55)))</f>
      </c>
      <c r="D55" s="84">
        <f>IF($T55="","",IF(INDEX(对接源_01水果!$F$4:$F$1203,$T55)=0,"",INDEX(对接源_01水果!$F$4:$F$1203,$T55)))</f>
      </c>
      <c r="E55" s="84">
        <f>IF($T55="","",IF(INDEX(对接源_01水果!$G$4:$G$1203,$T55)=0,"",INDEX(对接源_01水果!$G$4:$G$1203,$T55)))</f>
      </c>
      <c r="F55" s="84">
        <f>IF($T55="","",IF(INDEX(对接源_01水果!$H$4:$H$1203,$T55)=0,"",INDEX(对接源_01水果!$H$4:$H$1203,$T55)))</f>
      </c>
      <c r="G55" s="84">
        <f>IF($T55="","",IF(INDEX(对接源_01水果!$I$4:$I$1203,$T55)=0,"",INDEX(对接源_01水果!$I$4:$I$1203,$T55)))</f>
      </c>
      <c r="H55" s="86">
        <f>IF($T55="","",IF(INDEX(对接源_01水果!$AD$4:$AD$1203,$T55)=0,"",INDEX(对接源_01水果!$AD$4:$AD$1203,$T55)))</f>
      </c>
      <c r="I55" s="86">
        <f>IF($T55="","",IF(INDEX(对接源_01水果!$AI$4:$AI$1203,$T55)=0,"",INDEX(对接源_01水果!$AI$4:$AI$1203,$T55)))</f>
      </c>
      <c r="J55" s="86">
        <f>IF($T55="","",IF(INDEX(对接源_01水果!$AE$4:$AE$1203,$T55)=0,"",INDEX(对接源_01水果!$AE$4:$AE$1203,$T55)))</f>
      </c>
      <c r="K55" s="86">
        <f>IF($T55="","",IF(INDEX(对接源_01水果!$AF$4:$AF$1203,$T55)=0,"",INDEX(对接源_01水果!$AF$4:$AF$1203,$T55)))</f>
      </c>
      <c r="L55" s="86">
        <f>IF($T55="","",IF(INDEX(对接源_01水果!$K$4:$K$1203,$T55)=0,"",INDEX(对接源_01水果!$K$4:$K$1203,$T55)))</f>
      </c>
      <c r="M55" s="84">
        <f>IF($T55="","",IF(INDEX(对接源_01水果!$L$4:$L$1203,$T55)=0,"",INDEX(对接源_01水果!$L$4:$L$1203,$T55)))</f>
      </c>
      <c r="N55" s="87">
        <f>IF($T55="","",IF(INDEX(对接源_01水果!$M$4:$M$1203,$T55)=0,"",INDEX(对接源_01水果!$M$4:$M$1203,$T55)))</f>
      </c>
      <c r="S55" s="7" t="n"/>
      <c r="T55" s="7">
        <f>IF(ROW()-5&gt;$U$1203,"",MATCH(ROW()-5,$U$4:$U$1203,0))</f>
      </c>
      <c r="U55">
        <f>N(U54)+IF(AND($B$2&lt;&gt;"",对接源_01水果!$AH55=$B$2,对接源_01水果!$B55&gt;=$U$1,对接源_01水果!$B55&lt;=$U$2),1,0)</f>
        <v>0</v>
      </c>
    </row>
    <row r="56" ht="15.75" customHeight="1" s="127">
      <c r="A56" s="191">
        <f>IF($T56="","",IF(INDEX(对接源_01水果!$B$4:$B$1203,$T56)=0,"",INDEX(对接源_01水果!$B$4:$B$1203,$T56)))</f>
      </c>
      <c r="B56" s="84">
        <f>IF($T56="","",IF(INDEX(对接源_01水果!$E$4:$E$1203,$T56)=0,"",INDEX(对接源_01水果!$E$4:$E$1203,$T56)))</f>
      </c>
      <c r="C56" s="84">
        <f>IF($T56="","",IF(INDEX(对接源_01水果!$AC$4:$AC$1203,$T56)=0,"",INDEX(对接源_01水果!$AC$4:$AC$1203,$T56)))</f>
      </c>
      <c r="D56" s="84">
        <f>IF($T56="","",IF(INDEX(对接源_01水果!$F$4:$F$1203,$T56)=0,"",INDEX(对接源_01水果!$F$4:$F$1203,$T56)))</f>
      </c>
      <c r="E56" s="84">
        <f>IF($T56="","",IF(INDEX(对接源_01水果!$G$4:$G$1203,$T56)=0,"",INDEX(对接源_01水果!$G$4:$G$1203,$T56)))</f>
      </c>
      <c r="F56" s="84">
        <f>IF($T56="","",IF(INDEX(对接源_01水果!$H$4:$H$1203,$T56)=0,"",INDEX(对接源_01水果!$H$4:$H$1203,$T56)))</f>
      </c>
      <c r="G56" s="84">
        <f>IF($T56="","",IF(INDEX(对接源_01水果!$I$4:$I$1203,$T56)=0,"",INDEX(对接源_01水果!$I$4:$I$1203,$T56)))</f>
      </c>
      <c r="H56" s="86">
        <f>IF($T56="","",IF(INDEX(对接源_01水果!$AD$4:$AD$1203,$T56)=0,"",INDEX(对接源_01水果!$AD$4:$AD$1203,$T56)))</f>
      </c>
      <c r="I56" s="86">
        <f>IF($T56="","",IF(INDEX(对接源_01水果!$AI$4:$AI$1203,$T56)=0,"",INDEX(对接源_01水果!$AI$4:$AI$1203,$T56)))</f>
      </c>
      <c r="J56" s="86">
        <f>IF($T56="","",IF(INDEX(对接源_01水果!$AE$4:$AE$1203,$T56)=0,"",INDEX(对接源_01水果!$AE$4:$AE$1203,$T56)))</f>
      </c>
      <c r="K56" s="86">
        <f>IF($T56="","",IF(INDEX(对接源_01水果!$AF$4:$AF$1203,$T56)=0,"",INDEX(对接源_01水果!$AF$4:$AF$1203,$T56)))</f>
      </c>
      <c r="L56" s="86">
        <f>IF($T56="","",IF(INDEX(对接源_01水果!$K$4:$K$1203,$T56)=0,"",INDEX(对接源_01水果!$K$4:$K$1203,$T56)))</f>
      </c>
      <c r="M56" s="84">
        <f>IF($T56="","",IF(INDEX(对接源_01水果!$L$4:$L$1203,$T56)=0,"",INDEX(对接源_01水果!$L$4:$L$1203,$T56)))</f>
      </c>
      <c r="N56" s="87">
        <f>IF($T56="","",IF(INDEX(对接源_01水果!$M$4:$M$1203,$T56)=0,"",INDEX(对接源_01水果!$M$4:$M$1203,$T56)))</f>
      </c>
      <c r="S56" s="7" t="n"/>
      <c r="T56" s="7">
        <f>IF(ROW()-5&gt;$U$1203,"",MATCH(ROW()-5,$U$4:$U$1203,0))</f>
      </c>
      <c r="U56">
        <f>N(U55)+IF(AND($B$2&lt;&gt;"",对接源_01水果!$AH56=$B$2,对接源_01水果!$B56&gt;=$U$1,对接源_01水果!$B56&lt;=$U$2),1,0)</f>
        <v>0</v>
      </c>
    </row>
    <row r="57" ht="15.75" customHeight="1" s="127">
      <c r="A57" s="191">
        <f>IF($T57="","",IF(INDEX(对接源_01水果!$B$4:$B$1203,$T57)=0,"",INDEX(对接源_01水果!$B$4:$B$1203,$T57)))</f>
      </c>
      <c r="B57" s="84">
        <f>IF($T57="","",IF(INDEX(对接源_01水果!$E$4:$E$1203,$T57)=0,"",INDEX(对接源_01水果!$E$4:$E$1203,$T57)))</f>
      </c>
      <c r="C57" s="84">
        <f>IF($T57="","",IF(INDEX(对接源_01水果!$AC$4:$AC$1203,$T57)=0,"",INDEX(对接源_01水果!$AC$4:$AC$1203,$T57)))</f>
      </c>
      <c r="D57" s="84">
        <f>IF($T57="","",IF(INDEX(对接源_01水果!$F$4:$F$1203,$T57)=0,"",INDEX(对接源_01水果!$F$4:$F$1203,$T57)))</f>
      </c>
      <c r="E57" s="84">
        <f>IF($T57="","",IF(INDEX(对接源_01水果!$G$4:$G$1203,$T57)=0,"",INDEX(对接源_01水果!$G$4:$G$1203,$T57)))</f>
      </c>
      <c r="F57" s="84">
        <f>IF($T57="","",IF(INDEX(对接源_01水果!$H$4:$H$1203,$T57)=0,"",INDEX(对接源_01水果!$H$4:$H$1203,$T57)))</f>
      </c>
      <c r="G57" s="84">
        <f>IF($T57="","",IF(INDEX(对接源_01水果!$I$4:$I$1203,$T57)=0,"",INDEX(对接源_01水果!$I$4:$I$1203,$T57)))</f>
      </c>
      <c r="H57" s="86">
        <f>IF($T57="","",IF(INDEX(对接源_01水果!$AD$4:$AD$1203,$T57)=0,"",INDEX(对接源_01水果!$AD$4:$AD$1203,$T57)))</f>
      </c>
      <c r="I57" s="86">
        <f>IF($T57="","",IF(INDEX(对接源_01水果!$AI$4:$AI$1203,$T57)=0,"",INDEX(对接源_01水果!$AI$4:$AI$1203,$T57)))</f>
      </c>
      <c r="J57" s="86">
        <f>IF($T57="","",IF(INDEX(对接源_01水果!$AE$4:$AE$1203,$T57)=0,"",INDEX(对接源_01水果!$AE$4:$AE$1203,$T57)))</f>
      </c>
      <c r="K57" s="86">
        <f>IF($T57="","",IF(INDEX(对接源_01水果!$AF$4:$AF$1203,$T57)=0,"",INDEX(对接源_01水果!$AF$4:$AF$1203,$T57)))</f>
      </c>
      <c r="L57" s="86">
        <f>IF($T57="","",IF(INDEX(对接源_01水果!$K$4:$K$1203,$T57)=0,"",INDEX(对接源_01水果!$K$4:$K$1203,$T57)))</f>
      </c>
      <c r="M57" s="84">
        <f>IF($T57="","",IF(INDEX(对接源_01水果!$L$4:$L$1203,$T57)=0,"",INDEX(对接源_01水果!$L$4:$L$1203,$T57)))</f>
      </c>
      <c r="N57" s="87">
        <f>IF($T57="","",IF(INDEX(对接源_01水果!$M$4:$M$1203,$T57)=0,"",INDEX(对接源_01水果!$M$4:$M$1203,$T57)))</f>
      </c>
      <c r="S57" s="7" t="n"/>
      <c r="T57" s="7">
        <f>IF(ROW()-5&gt;$U$1203,"",MATCH(ROW()-5,$U$4:$U$1203,0))</f>
      </c>
      <c r="U57">
        <f>N(U56)+IF(AND($B$2&lt;&gt;"",对接源_01水果!$AH57=$B$2,对接源_01水果!$B57&gt;=$U$1,对接源_01水果!$B57&lt;=$U$2),1,0)</f>
        <v>0</v>
      </c>
    </row>
    <row r="58" ht="15.75" customHeight="1" s="127">
      <c r="A58" s="191">
        <f>IF($T58="","",IF(INDEX(对接源_01水果!$B$4:$B$1203,$T58)=0,"",INDEX(对接源_01水果!$B$4:$B$1203,$T58)))</f>
      </c>
      <c r="B58" s="84">
        <f>IF($T58="","",IF(INDEX(对接源_01水果!$E$4:$E$1203,$T58)=0,"",INDEX(对接源_01水果!$E$4:$E$1203,$T58)))</f>
      </c>
      <c r="C58" s="84">
        <f>IF($T58="","",IF(INDEX(对接源_01水果!$AC$4:$AC$1203,$T58)=0,"",INDEX(对接源_01水果!$AC$4:$AC$1203,$T58)))</f>
      </c>
      <c r="D58" s="84">
        <f>IF($T58="","",IF(INDEX(对接源_01水果!$F$4:$F$1203,$T58)=0,"",INDEX(对接源_01水果!$F$4:$F$1203,$T58)))</f>
      </c>
      <c r="E58" s="84">
        <f>IF($T58="","",IF(INDEX(对接源_01水果!$G$4:$G$1203,$T58)=0,"",INDEX(对接源_01水果!$G$4:$G$1203,$T58)))</f>
      </c>
      <c r="F58" s="84">
        <f>IF($T58="","",IF(INDEX(对接源_01水果!$H$4:$H$1203,$T58)=0,"",INDEX(对接源_01水果!$H$4:$H$1203,$T58)))</f>
      </c>
      <c r="G58" s="84">
        <f>IF($T58="","",IF(INDEX(对接源_01水果!$I$4:$I$1203,$T58)=0,"",INDEX(对接源_01水果!$I$4:$I$1203,$T58)))</f>
      </c>
      <c r="H58" s="86">
        <f>IF($T58="","",IF(INDEX(对接源_01水果!$AD$4:$AD$1203,$T58)=0,"",INDEX(对接源_01水果!$AD$4:$AD$1203,$T58)))</f>
      </c>
      <c r="I58" s="86">
        <f>IF($T58="","",IF(INDEX(对接源_01水果!$AI$4:$AI$1203,$T58)=0,"",INDEX(对接源_01水果!$AI$4:$AI$1203,$T58)))</f>
      </c>
      <c r="J58" s="86">
        <f>IF($T58="","",IF(INDEX(对接源_01水果!$AE$4:$AE$1203,$T58)=0,"",INDEX(对接源_01水果!$AE$4:$AE$1203,$T58)))</f>
      </c>
      <c r="K58" s="86">
        <f>IF($T58="","",IF(INDEX(对接源_01水果!$AF$4:$AF$1203,$T58)=0,"",INDEX(对接源_01水果!$AF$4:$AF$1203,$T58)))</f>
      </c>
      <c r="L58" s="86">
        <f>IF($T58="","",IF(INDEX(对接源_01水果!$K$4:$K$1203,$T58)=0,"",INDEX(对接源_01水果!$K$4:$K$1203,$T58)))</f>
      </c>
      <c r="M58" s="84">
        <f>IF($T58="","",IF(INDEX(对接源_01水果!$L$4:$L$1203,$T58)=0,"",INDEX(对接源_01水果!$L$4:$L$1203,$T58)))</f>
      </c>
      <c r="N58" s="87">
        <f>IF($T58="","",IF(INDEX(对接源_01水果!$M$4:$M$1203,$T58)=0,"",INDEX(对接源_01水果!$M$4:$M$1203,$T58)))</f>
      </c>
      <c r="S58" s="7" t="n"/>
      <c r="T58" s="7">
        <f>IF(ROW()-5&gt;$U$1203,"",MATCH(ROW()-5,$U$4:$U$1203,0))</f>
      </c>
      <c r="U58">
        <f>N(U57)+IF(AND($B$2&lt;&gt;"",对接源_01水果!$AH58=$B$2,对接源_01水果!$B58&gt;=$U$1,对接源_01水果!$B58&lt;=$U$2),1,0)</f>
        <v>0</v>
      </c>
    </row>
    <row r="59" ht="15.75" customHeight="1" s="127">
      <c r="A59" s="191">
        <f>IF($T59="","",IF(INDEX(对接源_01水果!$B$4:$B$1203,$T59)=0,"",INDEX(对接源_01水果!$B$4:$B$1203,$T59)))</f>
      </c>
      <c r="B59" s="84">
        <f>IF($T59="","",IF(INDEX(对接源_01水果!$E$4:$E$1203,$T59)=0,"",INDEX(对接源_01水果!$E$4:$E$1203,$T59)))</f>
      </c>
      <c r="C59" s="84">
        <f>IF($T59="","",IF(INDEX(对接源_01水果!$AC$4:$AC$1203,$T59)=0,"",INDEX(对接源_01水果!$AC$4:$AC$1203,$T59)))</f>
      </c>
      <c r="D59" s="84">
        <f>IF($T59="","",IF(INDEX(对接源_01水果!$F$4:$F$1203,$T59)=0,"",INDEX(对接源_01水果!$F$4:$F$1203,$T59)))</f>
      </c>
      <c r="E59" s="84">
        <f>IF($T59="","",IF(INDEX(对接源_01水果!$G$4:$G$1203,$T59)=0,"",INDEX(对接源_01水果!$G$4:$G$1203,$T59)))</f>
      </c>
      <c r="F59" s="84">
        <f>IF($T59="","",IF(INDEX(对接源_01水果!$H$4:$H$1203,$T59)=0,"",INDEX(对接源_01水果!$H$4:$H$1203,$T59)))</f>
      </c>
      <c r="G59" s="84">
        <f>IF($T59="","",IF(INDEX(对接源_01水果!$I$4:$I$1203,$T59)=0,"",INDEX(对接源_01水果!$I$4:$I$1203,$T59)))</f>
      </c>
      <c r="H59" s="86">
        <f>IF($T59="","",IF(INDEX(对接源_01水果!$AD$4:$AD$1203,$T59)=0,"",INDEX(对接源_01水果!$AD$4:$AD$1203,$T59)))</f>
      </c>
      <c r="I59" s="86">
        <f>IF($T59="","",IF(INDEX(对接源_01水果!$AI$4:$AI$1203,$T59)=0,"",INDEX(对接源_01水果!$AI$4:$AI$1203,$T59)))</f>
      </c>
      <c r="J59" s="86">
        <f>IF($T59="","",IF(INDEX(对接源_01水果!$AE$4:$AE$1203,$T59)=0,"",INDEX(对接源_01水果!$AE$4:$AE$1203,$T59)))</f>
      </c>
      <c r="K59" s="86">
        <f>IF($T59="","",IF(INDEX(对接源_01水果!$AF$4:$AF$1203,$T59)=0,"",INDEX(对接源_01水果!$AF$4:$AF$1203,$T59)))</f>
      </c>
      <c r="L59" s="86">
        <f>IF($T59="","",IF(INDEX(对接源_01水果!$K$4:$K$1203,$T59)=0,"",INDEX(对接源_01水果!$K$4:$K$1203,$T59)))</f>
      </c>
      <c r="M59" s="84">
        <f>IF($T59="","",IF(INDEX(对接源_01水果!$L$4:$L$1203,$T59)=0,"",INDEX(对接源_01水果!$L$4:$L$1203,$T59)))</f>
      </c>
      <c r="N59" s="87">
        <f>IF($T59="","",IF(INDEX(对接源_01水果!$M$4:$M$1203,$T59)=0,"",INDEX(对接源_01水果!$M$4:$M$1203,$T59)))</f>
      </c>
      <c r="S59" s="7" t="n"/>
      <c r="T59" s="7">
        <f>IF(ROW()-5&gt;$U$1203,"",MATCH(ROW()-5,$U$4:$U$1203,0))</f>
      </c>
      <c r="U59">
        <f>N(U58)+IF(AND($B$2&lt;&gt;"",对接源_01水果!$AH59=$B$2,对接源_01水果!$B59&gt;=$U$1,对接源_01水果!$B59&lt;=$U$2),1,0)</f>
        <v>0</v>
      </c>
    </row>
    <row r="60" ht="15.75" customHeight="1" s="127">
      <c r="A60" s="191">
        <f>IF($T60="","",IF(INDEX(对接源_01水果!$B$4:$B$1203,$T60)=0,"",INDEX(对接源_01水果!$B$4:$B$1203,$T60)))</f>
      </c>
      <c r="B60" s="84">
        <f>IF($T60="","",IF(INDEX(对接源_01水果!$E$4:$E$1203,$T60)=0,"",INDEX(对接源_01水果!$E$4:$E$1203,$T60)))</f>
      </c>
      <c r="C60" s="84">
        <f>IF($T60="","",IF(INDEX(对接源_01水果!$AC$4:$AC$1203,$T60)=0,"",INDEX(对接源_01水果!$AC$4:$AC$1203,$T60)))</f>
      </c>
      <c r="D60" s="84">
        <f>IF($T60="","",IF(INDEX(对接源_01水果!$F$4:$F$1203,$T60)=0,"",INDEX(对接源_01水果!$F$4:$F$1203,$T60)))</f>
      </c>
      <c r="E60" s="84">
        <f>IF($T60="","",IF(INDEX(对接源_01水果!$G$4:$G$1203,$T60)=0,"",INDEX(对接源_01水果!$G$4:$G$1203,$T60)))</f>
      </c>
      <c r="F60" s="84">
        <f>IF($T60="","",IF(INDEX(对接源_01水果!$H$4:$H$1203,$T60)=0,"",INDEX(对接源_01水果!$H$4:$H$1203,$T60)))</f>
      </c>
      <c r="G60" s="84">
        <f>IF($T60="","",IF(INDEX(对接源_01水果!$I$4:$I$1203,$T60)=0,"",INDEX(对接源_01水果!$I$4:$I$1203,$T60)))</f>
      </c>
      <c r="H60" s="86">
        <f>IF($T60="","",IF(INDEX(对接源_01水果!$AD$4:$AD$1203,$T60)=0,"",INDEX(对接源_01水果!$AD$4:$AD$1203,$T60)))</f>
      </c>
      <c r="I60" s="86">
        <f>IF($T60="","",IF(INDEX(对接源_01水果!$AI$4:$AI$1203,$T60)=0,"",INDEX(对接源_01水果!$AI$4:$AI$1203,$T60)))</f>
      </c>
      <c r="J60" s="86">
        <f>IF($T60="","",IF(INDEX(对接源_01水果!$AE$4:$AE$1203,$T60)=0,"",INDEX(对接源_01水果!$AE$4:$AE$1203,$T60)))</f>
      </c>
      <c r="K60" s="86">
        <f>IF($T60="","",IF(INDEX(对接源_01水果!$AF$4:$AF$1203,$T60)=0,"",INDEX(对接源_01水果!$AF$4:$AF$1203,$T60)))</f>
      </c>
      <c r="L60" s="86">
        <f>IF($T60="","",IF(INDEX(对接源_01水果!$K$4:$K$1203,$T60)=0,"",INDEX(对接源_01水果!$K$4:$K$1203,$T60)))</f>
      </c>
      <c r="M60" s="84">
        <f>IF($T60="","",IF(INDEX(对接源_01水果!$L$4:$L$1203,$T60)=0,"",INDEX(对接源_01水果!$L$4:$L$1203,$T60)))</f>
      </c>
      <c r="N60" s="87">
        <f>IF($T60="","",IF(INDEX(对接源_01水果!$M$4:$M$1203,$T60)=0,"",INDEX(对接源_01水果!$M$4:$M$1203,$T60)))</f>
      </c>
      <c r="S60" s="7" t="n"/>
      <c r="T60" s="7">
        <f>IF(ROW()-5&gt;$U$1203,"",MATCH(ROW()-5,$U$4:$U$1203,0))</f>
      </c>
      <c r="U60">
        <f>N(U59)+IF(AND($B$2&lt;&gt;"",对接源_01水果!$AH60=$B$2,对接源_01水果!$B60&gt;=$U$1,对接源_01水果!$B60&lt;=$U$2),1,0)</f>
        <v>0</v>
      </c>
    </row>
    <row r="61" ht="15.75" customHeight="1" s="127">
      <c r="A61" s="191">
        <f>IF($T61="","",IF(INDEX(对接源_01水果!$B$4:$B$1203,$T61)=0,"",INDEX(对接源_01水果!$B$4:$B$1203,$T61)))</f>
      </c>
      <c r="B61" s="84">
        <f>IF($T61="","",IF(INDEX(对接源_01水果!$E$4:$E$1203,$T61)=0,"",INDEX(对接源_01水果!$E$4:$E$1203,$T61)))</f>
      </c>
      <c r="C61" s="84">
        <f>IF($T61="","",IF(INDEX(对接源_01水果!$AC$4:$AC$1203,$T61)=0,"",INDEX(对接源_01水果!$AC$4:$AC$1203,$T61)))</f>
      </c>
      <c r="D61" s="84">
        <f>IF($T61="","",IF(INDEX(对接源_01水果!$F$4:$F$1203,$T61)=0,"",INDEX(对接源_01水果!$F$4:$F$1203,$T61)))</f>
      </c>
      <c r="E61" s="84">
        <f>IF($T61="","",IF(INDEX(对接源_01水果!$G$4:$G$1203,$T61)=0,"",INDEX(对接源_01水果!$G$4:$G$1203,$T61)))</f>
      </c>
      <c r="F61" s="84">
        <f>IF($T61="","",IF(INDEX(对接源_01水果!$H$4:$H$1203,$T61)=0,"",INDEX(对接源_01水果!$H$4:$H$1203,$T61)))</f>
      </c>
      <c r="G61" s="84">
        <f>IF($T61="","",IF(INDEX(对接源_01水果!$I$4:$I$1203,$T61)=0,"",INDEX(对接源_01水果!$I$4:$I$1203,$T61)))</f>
      </c>
      <c r="H61" s="86">
        <f>IF($T61="","",IF(INDEX(对接源_01水果!$AD$4:$AD$1203,$T61)=0,"",INDEX(对接源_01水果!$AD$4:$AD$1203,$T61)))</f>
      </c>
      <c r="I61" s="86">
        <f>IF($T61="","",IF(INDEX(对接源_01水果!$AI$4:$AI$1203,$T61)=0,"",INDEX(对接源_01水果!$AI$4:$AI$1203,$T61)))</f>
      </c>
      <c r="J61" s="86">
        <f>IF($T61="","",IF(INDEX(对接源_01水果!$AE$4:$AE$1203,$T61)=0,"",INDEX(对接源_01水果!$AE$4:$AE$1203,$T61)))</f>
      </c>
      <c r="K61" s="86">
        <f>IF($T61="","",IF(INDEX(对接源_01水果!$AF$4:$AF$1203,$T61)=0,"",INDEX(对接源_01水果!$AF$4:$AF$1203,$T61)))</f>
      </c>
      <c r="L61" s="86">
        <f>IF($T61="","",IF(INDEX(对接源_01水果!$K$4:$K$1203,$T61)=0,"",INDEX(对接源_01水果!$K$4:$K$1203,$T61)))</f>
      </c>
      <c r="M61" s="84">
        <f>IF($T61="","",IF(INDEX(对接源_01水果!$L$4:$L$1203,$T61)=0,"",INDEX(对接源_01水果!$L$4:$L$1203,$T61)))</f>
      </c>
      <c r="N61" s="87">
        <f>IF($T61="","",IF(INDEX(对接源_01水果!$M$4:$M$1203,$T61)=0,"",INDEX(对接源_01水果!$M$4:$M$1203,$T61)))</f>
      </c>
      <c r="S61" s="7" t="n"/>
      <c r="T61" s="7">
        <f>IF(ROW()-5&gt;$U$1203,"",MATCH(ROW()-5,$U$4:$U$1203,0))</f>
      </c>
      <c r="U61">
        <f>N(U60)+IF(AND($B$2&lt;&gt;"",对接源_01水果!$AH61=$B$2,对接源_01水果!$B61&gt;=$U$1,对接源_01水果!$B61&lt;=$U$2),1,0)</f>
        <v>0</v>
      </c>
    </row>
    <row r="62" ht="15.75" customHeight="1" s="127">
      <c r="A62" s="191">
        <f>IF($T62="","",IF(INDEX(对接源_01水果!$B$4:$B$1203,$T62)=0,"",INDEX(对接源_01水果!$B$4:$B$1203,$T62)))</f>
      </c>
      <c r="B62" s="84">
        <f>IF($T62="","",IF(INDEX(对接源_01水果!$E$4:$E$1203,$T62)=0,"",INDEX(对接源_01水果!$E$4:$E$1203,$T62)))</f>
      </c>
      <c r="C62" s="84">
        <f>IF($T62="","",IF(INDEX(对接源_01水果!$AC$4:$AC$1203,$T62)=0,"",INDEX(对接源_01水果!$AC$4:$AC$1203,$T62)))</f>
      </c>
      <c r="D62" s="84">
        <f>IF($T62="","",IF(INDEX(对接源_01水果!$F$4:$F$1203,$T62)=0,"",INDEX(对接源_01水果!$F$4:$F$1203,$T62)))</f>
      </c>
      <c r="E62" s="84">
        <f>IF($T62="","",IF(INDEX(对接源_01水果!$G$4:$G$1203,$T62)=0,"",INDEX(对接源_01水果!$G$4:$G$1203,$T62)))</f>
      </c>
      <c r="F62" s="84">
        <f>IF($T62="","",IF(INDEX(对接源_01水果!$H$4:$H$1203,$T62)=0,"",INDEX(对接源_01水果!$H$4:$H$1203,$T62)))</f>
      </c>
      <c r="G62" s="84">
        <f>IF($T62="","",IF(INDEX(对接源_01水果!$I$4:$I$1203,$T62)=0,"",INDEX(对接源_01水果!$I$4:$I$1203,$T62)))</f>
      </c>
      <c r="H62" s="86">
        <f>IF($T62="","",IF(INDEX(对接源_01水果!$AD$4:$AD$1203,$T62)=0,"",INDEX(对接源_01水果!$AD$4:$AD$1203,$T62)))</f>
      </c>
      <c r="I62" s="86">
        <f>IF($T62="","",IF(INDEX(对接源_01水果!$AI$4:$AI$1203,$T62)=0,"",INDEX(对接源_01水果!$AI$4:$AI$1203,$T62)))</f>
      </c>
      <c r="J62" s="86">
        <f>IF($T62="","",IF(INDEX(对接源_01水果!$AE$4:$AE$1203,$T62)=0,"",INDEX(对接源_01水果!$AE$4:$AE$1203,$T62)))</f>
      </c>
      <c r="K62" s="86">
        <f>IF($T62="","",IF(INDEX(对接源_01水果!$AF$4:$AF$1203,$T62)=0,"",INDEX(对接源_01水果!$AF$4:$AF$1203,$T62)))</f>
      </c>
      <c r="L62" s="86">
        <f>IF($T62="","",IF(INDEX(对接源_01水果!$K$4:$K$1203,$T62)=0,"",INDEX(对接源_01水果!$K$4:$K$1203,$T62)))</f>
      </c>
      <c r="M62" s="84">
        <f>IF($T62="","",IF(INDEX(对接源_01水果!$L$4:$L$1203,$T62)=0,"",INDEX(对接源_01水果!$L$4:$L$1203,$T62)))</f>
      </c>
      <c r="N62" s="87">
        <f>IF($T62="","",IF(INDEX(对接源_01水果!$M$4:$M$1203,$T62)=0,"",INDEX(对接源_01水果!$M$4:$M$1203,$T62)))</f>
      </c>
      <c r="S62" s="7" t="n"/>
      <c r="T62" s="7">
        <f>IF(ROW()-5&gt;$U$1203,"",MATCH(ROW()-5,$U$4:$U$1203,0))</f>
      </c>
      <c r="U62">
        <f>N(U61)+IF(AND($B$2&lt;&gt;"",对接源_01水果!$AH62=$B$2,对接源_01水果!$B62&gt;=$U$1,对接源_01水果!$B62&lt;=$U$2),1,0)</f>
        <v>0</v>
      </c>
    </row>
    <row r="63" ht="15.75" customHeight="1" s="127">
      <c r="A63" s="191">
        <f>IF($T63="","",IF(INDEX(对接源_01水果!$B$4:$B$1203,$T63)=0,"",INDEX(对接源_01水果!$B$4:$B$1203,$T63)))</f>
      </c>
      <c r="B63" s="84">
        <f>IF($T63="","",IF(INDEX(对接源_01水果!$E$4:$E$1203,$T63)=0,"",INDEX(对接源_01水果!$E$4:$E$1203,$T63)))</f>
      </c>
      <c r="C63" s="84">
        <f>IF($T63="","",IF(INDEX(对接源_01水果!$AC$4:$AC$1203,$T63)=0,"",INDEX(对接源_01水果!$AC$4:$AC$1203,$T63)))</f>
      </c>
      <c r="D63" s="84">
        <f>IF($T63="","",IF(INDEX(对接源_01水果!$F$4:$F$1203,$T63)=0,"",INDEX(对接源_01水果!$F$4:$F$1203,$T63)))</f>
      </c>
      <c r="E63" s="84">
        <f>IF($T63="","",IF(INDEX(对接源_01水果!$G$4:$G$1203,$T63)=0,"",INDEX(对接源_01水果!$G$4:$G$1203,$T63)))</f>
      </c>
      <c r="F63" s="84">
        <f>IF($T63="","",IF(INDEX(对接源_01水果!$H$4:$H$1203,$T63)=0,"",INDEX(对接源_01水果!$H$4:$H$1203,$T63)))</f>
      </c>
      <c r="G63" s="84">
        <f>IF($T63="","",IF(INDEX(对接源_01水果!$I$4:$I$1203,$T63)=0,"",INDEX(对接源_01水果!$I$4:$I$1203,$T63)))</f>
      </c>
      <c r="H63" s="86">
        <f>IF($T63="","",IF(INDEX(对接源_01水果!$AD$4:$AD$1203,$T63)=0,"",INDEX(对接源_01水果!$AD$4:$AD$1203,$T63)))</f>
      </c>
      <c r="I63" s="86">
        <f>IF($T63="","",IF(INDEX(对接源_01水果!$AI$4:$AI$1203,$T63)=0,"",INDEX(对接源_01水果!$AI$4:$AI$1203,$T63)))</f>
      </c>
      <c r="J63" s="86">
        <f>IF($T63="","",IF(INDEX(对接源_01水果!$AE$4:$AE$1203,$T63)=0,"",INDEX(对接源_01水果!$AE$4:$AE$1203,$T63)))</f>
      </c>
      <c r="K63" s="86">
        <f>IF($T63="","",IF(INDEX(对接源_01水果!$AF$4:$AF$1203,$T63)=0,"",INDEX(对接源_01水果!$AF$4:$AF$1203,$T63)))</f>
      </c>
      <c r="L63" s="86">
        <f>IF($T63="","",IF(INDEX(对接源_01水果!$K$4:$K$1203,$T63)=0,"",INDEX(对接源_01水果!$K$4:$K$1203,$T63)))</f>
      </c>
      <c r="M63" s="84">
        <f>IF($T63="","",IF(INDEX(对接源_01水果!$L$4:$L$1203,$T63)=0,"",INDEX(对接源_01水果!$L$4:$L$1203,$T63)))</f>
      </c>
      <c r="N63" s="87">
        <f>IF($T63="","",IF(INDEX(对接源_01水果!$M$4:$M$1203,$T63)=0,"",INDEX(对接源_01水果!$M$4:$M$1203,$T63)))</f>
      </c>
      <c r="S63" s="7" t="n"/>
      <c r="T63" s="7">
        <f>IF(ROW()-5&gt;$U$1203,"",MATCH(ROW()-5,$U$4:$U$1203,0))</f>
      </c>
      <c r="U63">
        <f>N(U62)+IF(AND($B$2&lt;&gt;"",对接源_01水果!$AH63=$B$2,对接源_01水果!$B63&gt;=$U$1,对接源_01水果!$B63&lt;=$U$2),1,0)</f>
        <v>0</v>
      </c>
    </row>
    <row r="64" ht="15.75" customHeight="1" s="127">
      <c r="A64" s="191">
        <f>IF($T64="","",IF(INDEX(对接源_01水果!$B$4:$B$1203,$T64)=0,"",INDEX(对接源_01水果!$B$4:$B$1203,$T64)))</f>
      </c>
      <c r="B64" s="84">
        <f>IF($T64="","",IF(INDEX(对接源_01水果!$E$4:$E$1203,$T64)=0,"",INDEX(对接源_01水果!$E$4:$E$1203,$T64)))</f>
      </c>
      <c r="C64" s="84">
        <f>IF($T64="","",IF(INDEX(对接源_01水果!$AC$4:$AC$1203,$T64)=0,"",INDEX(对接源_01水果!$AC$4:$AC$1203,$T64)))</f>
      </c>
      <c r="D64" s="84">
        <f>IF($T64="","",IF(INDEX(对接源_01水果!$F$4:$F$1203,$T64)=0,"",INDEX(对接源_01水果!$F$4:$F$1203,$T64)))</f>
      </c>
      <c r="E64" s="84">
        <f>IF($T64="","",IF(INDEX(对接源_01水果!$G$4:$G$1203,$T64)=0,"",INDEX(对接源_01水果!$G$4:$G$1203,$T64)))</f>
      </c>
      <c r="F64" s="84">
        <f>IF($T64="","",IF(INDEX(对接源_01水果!$H$4:$H$1203,$T64)=0,"",INDEX(对接源_01水果!$H$4:$H$1203,$T64)))</f>
      </c>
      <c r="G64" s="84">
        <f>IF($T64="","",IF(INDEX(对接源_01水果!$I$4:$I$1203,$T64)=0,"",INDEX(对接源_01水果!$I$4:$I$1203,$T64)))</f>
      </c>
      <c r="H64" s="86">
        <f>IF($T64="","",IF(INDEX(对接源_01水果!$AD$4:$AD$1203,$T64)=0,"",INDEX(对接源_01水果!$AD$4:$AD$1203,$T64)))</f>
      </c>
      <c r="I64" s="86">
        <f>IF($T64="","",IF(INDEX(对接源_01水果!$AI$4:$AI$1203,$T64)=0,"",INDEX(对接源_01水果!$AI$4:$AI$1203,$T64)))</f>
      </c>
      <c r="J64" s="86">
        <f>IF($T64="","",IF(INDEX(对接源_01水果!$AE$4:$AE$1203,$T64)=0,"",INDEX(对接源_01水果!$AE$4:$AE$1203,$T64)))</f>
      </c>
      <c r="K64" s="86">
        <f>IF($T64="","",IF(INDEX(对接源_01水果!$AF$4:$AF$1203,$T64)=0,"",INDEX(对接源_01水果!$AF$4:$AF$1203,$T64)))</f>
      </c>
      <c r="L64" s="86">
        <f>IF($T64="","",IF(INDEX(对接源_01水果!$K$4:$K$1203,$T64)=0,"",INDEX(对接源_01水果!$K$4:$K$1203,$T64)))</f>
      </c>
      <c r="M64" s="84">
        <f>IF($T64="","",IF(INDEX(对接源_01水果!$L$4:$L$1203,$T64)=0,"",INDEX(对接源_01水果!$L$4:$L$1203,$T64)))</f>
      </c>
      <c r="N64" s="87">
        <f>IF($T64="","",IF(INDEX(对接源_01水果!$M$4:$M$1203,$T64)=0,"",INDEX(对接源_01水果!$M$4:$M$1203,$T64)))</f>
      </c>
      <c r="S64" s="7" t="n"/>
      <c r="T64" s="7">
        <f>IF(ROW()-5&gt;$U$1203,"",MATCH(ROW()-5,$U$4:$U$1203,0))</f>
      </c>
      <c r="U64">
        <f>N(U63)+IF(AND($B$2&lt;&gt;"",对接源_01水果!$AH64=$B$2,对接源_01水果!$B64&gt;=$U$1,对接源_01水果!$B64&lt;=$U$2),1,0)</f>
        <v>0</v>
      </c>
    </row>
    <row r="65" ht="15.75" customHeight="1" s="127">
      <c r="A65" s="191">
        <f>IF($T65="","",IF(INDEX(对接源_01水果!$B$4:$B$1203,$T65)=0,"",INDEX(对接源_01水果!$B$4:$B$1203,$T65)))</f>
      </c>
      <c r="B65" s="84">
        <f>IF($T65="","",IF(INDEX(对接源_01水果!$E$4:$E$1203,$T65)=0,"",INDEX(对接源_01水果!$E$4:$E$1203,$T65)))</f>
      </c>
      <c r="C65" s="84">
        <f>IF($T65="","",IF(INDEX(对接源_01水果!$AC$4:$AC$1203,$T65)=0,"",INDEX(对接源_01水果!$AC$4:$AC$1203,$T65)))</f>
      </c>
      <c r="D65" s="84">
        <f>IF($T65="","",IF(INDEX(对接源_01水果!$F$4:$F$1203,$T65)=0,"",INDEX(对接源_01水果!$F$4:$F$1203,$T65)))</f>
      </c>
      <c r="E65" s="84">
        <f>IF($T65="","",IF(INDEX(对接源_01水果!$G$4:$G$1203,$T65)=0,"",INDEX(对接源_01水果!$G$4:$G$1203,$T65)))</f>
      </c>
      <c r="F65" s="84">
        <f>IF($T65="","",IF(INDEX(对接源_01水果!$H$4:$H$1203,$T65)=0,"",INDEX(对接源_01水果!$H$4:$H$1203,$T65)))</f>
      </c>
      <c r="G65" s="84">
        <f>IF($T65="","",IF(INDEX(对接源_01水果!$I$4:$I$1203,$T65)=0,"",INDEX(对接源_01水果!$I$4:$I$1203,$T65)))</f>
      </c>
      <c r="H65" s="86">
        <f>IF($T65="","",IF(INDEX(对接源_01水果!$AD$4:$AD$1203,$T65)=0,"",INDEX(对接源_01水果!$AD$4:$AD$1203,$T65)))</f>
      </c>
      <c r="I65" s="86">
        <f>IF($T65="","",IF(INDEX(对接源_01水果!$AI$4:$AI$1203,$T65)=0,"",INDEX(对接源_01水果!$AI$4:$AI$1203,$T65)))</f>
      </c>
      <c r="J65" s="86">
        <f>IF($T65="","",IF(INDEX(对接源_01水果!$AE$4:$AE$1203,$T65)=0,"",INDEX(对接源_01水果!$AE$4:$AE$1203,$T65)))</f>
      </c>
      <c r="K65" s="86">
        <f>IF($T65="","",IF(INDEX(对接源_01水果!$AF$4:$AF$1203,$T65)=0,"",INDEX(对接源_01水果!$AF$4:$AF$1203,$T65)))</f>
      </c>
      <c r="L65" s="86">
        <f>IF($T65="","",IF(INDEX(对接源_01水果!$K$4:$K$1203,$T65)=0,"",INDEX(对接源_01水果!$K$4:$K$1203,$T65)))</f>
      </c>
      <c r="M65" s="84">
        <f>IF($T65="","",IF(INDEX(对接源_01水果!$L$4:$L$1203,$T65)=0,"",INDEX(对接源_01水果!$L$4:$L$1203,$T65)))</f>
      </c>
      <c r="N65" s="87">
        <f>IF($T65="","",IF(INDEX(对接源_01水果!$M$4:$M$1203,$T65)=0,"",INDEX(对接源_01水果!$M$4:$M$1203,$T65)))</f>
      </c>
      <c r="S65" s="7" t="n"/>
      <c r="T65" s="7">
        <f>IF(ROW()-5&gt;$U$1203,"",MATCH(ROW()-5,$U$4:$U$1203,0))</f>
      </c>
      <c r="U65">
        <f>N(U64)+IF(AND($B$2&lt;&gt;"",对接源_01水果!$AH65=$B$2,对接源_01水果!$B65&gt;=$U$1,对接源_01水果!$B65&lt;=$U$2),1,0)</f>
        <v>0</v>
      </c>
    </row>
    <row r="66" ht="15.75" customHeight="1" s="127">
      <c r="A66" s="191">
        <f>IF($T66="","",IF(INDEX(对接源_01水果!$B$4:$B$1203,$T66)=0,"",INDEX(对接源_01水果!$B$4:$B$1203,$T66)))</f>
      </c>
      <c r="B66" s="84">
        <f>IF($T66="","",IF(INDEX(对接源_01水果!$E$4:$E$1203,$T66)=0,"",INDEX(对接源_01水果!$E$4:$E$1203,$T66)))</f>
      </c>
      <c r="C66" s="84">
        <f>IF($T66="","",IF(INDEX(对接源_01水果!$AC$4:$AC$1203,$T66)=0,"",INDEX(对接源_01水果!$AC$4:$AC$1203,$T66)))</f>
      </c>
      <c r="D66" s="84">
        <f>IF($T66="","",IF(INDEX(对接源_01水果!$F$4:$F$1203,$T66)=0,"",INDEX(对接源_01水果!$F$4:$F$1203,$T66)))</f>
      </c>
      <c r="E66" s="84">
        <f>IF($T66="","",IF(INDEX(对接源_01水果!$G$4:$G$1203,$T66)=0,"",INDEX(对接源_01水果!$G$4:$G$1203,$T66)))</f>
      </c>
      <c r="F66" s="84">
        <f>IF($T66="","",IF(INDEX(对接源_01水果!$H$4:$H$1203,$T66)=0,"",INDEX(对接源_01水果!$H$4:$H$1203,$T66)))</f>
      </c>
      <c r="G66" s="84">
        <f>IF($T66="","",IF(INDEX(对接源_01水果!$I$4:$I$1203,$T66)=0,"",INDEX(对接源_01水果!$I$4:$I$1203,$T66)))</f>
      </c>
      <c r="H66" s="86">
        <f>IF($T66="","",IF(INDEX(对接源_01水果!$AD$4:$AD$1203,$T66)=0,"",INDEX(对接源_01水果!$AD$4:$AD$1203,$T66)))</f>
      </c>
      <c r="I66" s="86">
        <f>IF($T66="","",IF(INDEX(对接源_01水果!$AI$4:$AI$1203,$T66)=0,"",INDEX(对接源_01水果!$AI$4:$AI$1203,$T66)))</f>
      </c>
      <c r="J66" s="86">
        <f>IF($T66="","",IF(INDEX(对接源_01水果!$AE$4:$AE$1203,$T66)=0,"",INDEX(对接源_01水果!$AE$4:$AE$1203,$T66)))</f>
      </c>
      <c r="K66" s="86">
        <f>IF($T66="","",IF(INDEX(对接源_01水果!$AF$4:$AF$1203,$T66)=0,"",INDEX(对接源_01水果!$AF$4:$AF$1203,$T66)))</f>
      </c>
      <c r="L66" s="86">
        <f>IF($T66="","",IF(INDEX(对接源_01水果!$K$4:$K$1203,$T66)=0,"",INDEX(对接源_01水果!$K$4:$K$1203,$T66)))</f>
      </c>
      <c r="M66" s="84">
        <f>IF($T66="","",IF(INDEX(对接源_01水果!$L$4:$L$1203,$T66)=0,"",INDEX(对接源_01水果!$L$4:$L$1203,$T66)))</f>
      </c>
      <c r="N66" s="87">
        <f>IF($T66="","",IF(INDEX(对接源_01水果!$M$4:$M$1203,$T66)=0,"",INDEX(对接源_01水果!$M$4:$M$1203,$T66)))</f>
      </c>
      <c r="S66" s="7" t="n"/>
      <c r="T66" s="7">
        <f>IF(ROW()-5&gt;$U$1203,"",MATCH(ROW()-5,$U$4:$U$1203,0))</f>
      </c>
      <c r="U66">
        <f>N(U65)+IF(AND($B$2&lt;&gt;"",对接源_01水果!$AH66=$B$2,对接源_01水果!$B66&gt;=$U$1,对接源_01水果!$B66&lt;=$U$2),1,0)</f>
        <v>0</v>
      </c>
    </row>
    <row r="67" ht="15.75" customHeight="1" s="127">
      <c r="A67" s="191">
        <f>IF($T67="","",IF(INDEX(对接源_01水果!$B$4:$B$1203,$T67)=0,"",INDEX(对接源_01水果!$B$4:$B$1203,$T67)))</f>
      </c>
      <c r="B67" s="84">
        <f>IF($T67="","",IF(INDEX(对接源_01水果!$E$4:$E$1203,$T67)=0,"",INDEX(对接源_01水果!$E$4:$E$1203,$T67)))</f>
      </c>
      <c r="C67" s="84">
        <f>IF($T67="","",IF(INDEX(对接源_01水果!$AC$4:$AC$1203,$T67)=0,"",INDEX(对接源_01水果!$AC$4:$AC$1203,$T67)))</f>
      </c>
      <c r="D67" s="84">
        <f>IF($T67="","",IF(INDEX(对接源_01水果!$F$4:$F$1203,$T67)=0,"",INDEX(对接源_01水果!$F$4:$F$1203,$T67)))</f>
      </c>
      <c r="E67" s="84">
        <f>IF($T67="","",IF(INDEX(对接源_01水果!$G$4:$G$1203,$T67)=0,"",INDEX(对接源_01水果!$G$4:$G$1203,$T67)))</f>
      </c>
      <c r="F67" s="84">
        <f>IF($T67="","",IF(INDEX(对接源_01水果!$H$4:$H$1203,$T67)=0,"",INDEX(对接源_01水果!$H$4:$H$1203,$T67)))</f>
      </c>
      <c r="G67" s="84">
        <f>IF($T67="","",IF(INDEX(对接源_01水果!$I$4:$I$1203,$T67)=0,"",INDEX(对接源_01水果!$I$4:$I$1203,$T67)))</f>
      </c>
      <c r="H67" s="86">
        <f>IF($T67="","",IF(INDEX(对接源_01水果!$AD$4:$AD$1203,$T67)=0,"",INDEX(对接源_01水果!$AD$4:$AD$1203,$T67)))</f>
      </c>
      <c r="I67" s="86">
        <f>IF($T67="","",IF(INDEX(对接源_01水果!$AI$4:$AI$1203,$T67)=0,"",INDEX(对接源_01水果!$AI$4:$AI$1203,$T67)))</f>
      </c>
      <c r="J67" s="86">
        <f>IF($T67="","",IF(INDEX(对接源_01水果!$AE$4:$AE$1203,$T67)=0,"",INDEX(对接源_01水果!$AE$4:$AE$1203,$T67)))</f>
      </c>
      <c r="K67" s="86">
        <f>IF($T67="","",IF(INDEX(对接源_01水果!$AF$4:$AF$1203,$T67)=0,"",INDEX(对接源_01水果!$AF$4:$AF$1203,$T67)))</f>
      </c>
      <c r="L67" s="86">
        <f>IF($T67="","",IF(INDEX(对接源_01水果!$K$4:$K$1203,$T67)=0,"",INDEX(对接源_01水果!$K$4:$K$1203,$T67)))</f>
      </c>
      <c r="M67" s="84">
        <f>IF($T67="","",IF(INDEX(对接源_01水果!$L$4:$L$1203,$T67)=0,"",INDEX(对接源_01水果!$L$4:$L$1203,$T67)))</f>
      </c>
      <c r="N67" s="87">
        <f>IF($T67="","",IF(INDEX(对接源_01水果!$M$4:$M$1203,$T67)=0,"",INDEX(对接源_01水果!$M$4:$M$1203,$T67)))</f>
      </c>
      <c r="S67" s="7" t="n"/>
      <c r="T67" s="7">
        <f>IF(ROW()-5&gt;$U$1203,"",MATCH(ROW()-5,$U$4:$U$1203,0))</f>
      </c>
      <c r="U67">
        <f>N(U66)+IF(AND($B$2&lt;&gt;"",对接源_01水果!$AH67=$B$2,对接源_01水果!$B67&gt;=$U$1,对接源_01水果!$B67&lt;=$U$2),1,0)</f>
        <v>0</v>
      </c>
    </row>
    <row r="68" ht="15.75" customHeight="1" s="127">
      <c r="A68" s="191">
        <f>IF($T68="","",IF(INDEX(对接源_01水果!$B$4:$B$1203,$T68)=0,"",INDEX(对接源_01水果!$B$4:$B$1203,$T68)))</f>
      </c>
      <c r="B68" s="84">
        <f>IF($T68="","",IF(INDEX(对接源_01水果!$E$4:$E$1203,$T68)=0,"",INDEX(对接源_01水果!$E$4:$E$1203,$T68)))</f>
      </c>
      <c r="C68" s="84">
        <f>IF($T68="","",IF(INDEX(对接源_01水果!$AC$4:$AC$1203,$T68)=0,"",INDEX(对接源_01水果!$AC$4:$AC$1203,$T68)))</f>
      </c>
      <c r="D68" s="84">
        <f>IF($T68="","",IF(INDEX(对接源_01水果!$F$4:$F$1203,$T68)=0,"",INDEX(对接源_01水果!$F$4:$F$1203,$T68)))</f>
      </c>
      <c r="E68" s="84">
        <f>IF($T68="","",IF(INDEX(对接源_01水果!$G$4:$G$1203,$T68)=0,"",INDEX(对接源_01水果!$G$4:$G$1203,$T68)))</f>
      </c>
      <c r="F68" s="84">
        <f>IF($T68="","",IF(INDEX(对接源_01水果!$H$4:$H$1203,$T68)=0,"",INDEX(对接源_01水果!$H$4:$H$1203,$T68)))</f>
      </c>
      <c r="G68" s="84">
        <f>IF($T68="","",IF(INDEX(对接源_01水果!$I$4:$I$1203,$T68)=0,"",INDEX(对接源_01水果!$I$4:$I$1203,$T68)))</f>
      </c>
      <c r="H68" s="86">
        <f>IF($T68="","",IF(INDEX(对接源_01水果!$AD$4:$AD$1203,$T68)=0,"",INDEX(对接源_01水果!$AD$4:$AD$1203,$T68)))</f>
      </c>
      <c r="I68" s="86">
        <f>IF($T68="","",IF(INDEX(对接源_01水果!$AI$4:$AI$1203,$T68)=0,"",INDEX(对接源_01水果!$AI$4:$AI$1203,$T68)))</f>
      </c>
      <c r="J68" s="86">
        <f>IF($T68="","",IF(INDEX(对接源_01水果!$AE$4:$AE$1203,$T68)=0,"",INDEX(对接源_01水果!$AE$4:$AE$1203,$T68)))</f>
      </c>
      <c r="K68" s="86">
        <f>IF($T68="","",IF(INDEX(对接源_01水果!$AF$4:$AF$1203,$T68)=0,"",INDEX(对接源_01水果!$AF$4:$AF$1203,$T68)))</f>
      </c>
      <c r="L68" s="86">
        <f>IF($T68="","",IF(INDEX(对接源_01水果!$K$4:$K$1203,$T68)=0,"",INDEX(对接源_01水果!$K$4:$K$1203,$T68)))</f>
      </c>
      <c r="M68" s="84">
        <f>IF($T68="","",IF(INDEX(对接源_01水果!$L$4:$L$1203,$T68)=0,"",INDEX(对接源_01水果!$L$4:$L$1203,$T68)))</f>
      </c>
      <c r="N68" s="87">
        <f>IF($T68="","",IF(INDEX(对接源_01水果!$M$4:$M$1203,$T68)=0,"",INDEX(对接源_01水果!$M$4:$M$1203,$T68)))</f>
      </c>
      <c r="S68" s="7" t="n"/>
      <c r="T68" s="7">
        <f>IF(ROW()-5&gt;$U$1203,"",MATCH(ROW()-5,$U$4:$U$1203,0))</f>
      </c>
      <c r="U68">
        <f>N(U67)+IF(AND($B$2&lt;&gt;"",对接源_01水果!$AH68=$B$2,对接源_01水果!$B68&gt;=$U$1,对接源_01水果!$B68&lt;=$U$2),1,0)</f>
        <v>0</v>
      </c>
    </row>
    <row r="69" ht="15.75" customHeight="1" s="127">
      <c r="A69" s="191">
        <f>IF($T69="","",IF(INDEX(对接源_01水果!$B$4:$B$1203,$T69)=0,"",INDEX(对接源_01水果!$B$4:$B$1203,$T69)))</f>
      </c>
      <c r="B69" s="84">
        <f>IF($T69="","",IF(INDEX(对接源_01水果!$E$4:$E$1203,$T69)=0,"",INDEX(对接源_01水果!$E$4:$E$1203,$T69)))</f>
      </c>
      <c r="C69" s="84">
        <f>IF($T69="","",IF(INDEX(对接源_01水果!$AC$4:$AC$1203,$T69)=0,"",INDEX(对接源_01水果!$AC$4:$AC$1203,$T69)))</f>
      </c>
      <c r="D69" s="84">
        <f>IF($T69="","",IF(INDEX(对接源_01水果!$F$4:$F$1203,$T69)=0,"",INDEX(对接源_01水果!$F$4:$F$1203,$T69)))</f>
      </c>
      <c r="E69" s="84">
        <f>IF($T69="","",IF(INDEX(对接源_01水果!$G$4:$G$1203,$T69)=0,"",INDEX(对接源_01水果!$G$4:$G$1203,$T69)))</f>
      </c>
      <c r="F69" s="84">
        <f>IF($T69="","",IF(INDEX(对接源_01水果!$H$4:$H$1203,$T69)=0,"",INDEX(对接源_01水果!$H$4:$H$1203,$T69)))</f>
      </c>
      <c r="G69" s="84">
        <f>IF($T69="","",IF(INDEX(对接源_01水果!$I$4:$I$1203,$T69)=0,"",INDEX(对接源_01水果!$I$4:$I$1203,$T69)))</f>
      </c>
      <c r="H69" s="86">
        <f>IF($T69="","",IF(INDEX(对接源_01水果!$AD$4:$AD$1203,$T69)=0,"",INDEX(对接源_01水果!$AD$4:$AD$1203,$T69)))</f>
      </c>
      <c r="I69" s="86">
        <f>IF($T69="","",IF(INDEX(对接源_01水果!$AI$4:$AI$1203,$T69)=0,"",INDEX(对接源_01水果!$AI$4:$AI$1203,$T69)))</f>
      </c>
      <c r="J69" s="86">
        <f>IF($T69="","",IF(INDEX(对接源_01水果!$AE$4:$AE$1203,$T69)=0,"",INDEX(对接源_01水果!$AE$4:$AE$1203,$T69)))</f>
      </c>
      <c r="K69" s="86">
        <f>IF($T69="","",IF(INDEX(对接源_01水果!$AF$4:$AF$1203,$T69)=0,"",INDEX(对接源_01水果!$AF$4:$AF$1203,$T69)))</f>
      </c>
      <c r="L69" s="86">
        <f>IF($T69="","",IF(INDEX(对接源_01水果!$K$4:$K$1203,$T69)=0,"",INDEX(对接源_01水果!$K$4:$K$1203,$T69)))</f>
      </c>
      <c r="M69" s="84">
        <f>IF($T69="","",IF(INDEX(对接源_01水果!$L$4:$L$1203,$T69)=0,"",INDEX(对接源_01水果!$L$4:$L$1203,$T69)))</f>
      </c>
      <c r="N69" s="87">
        <f>IF($T69="","",IF(INDEX(对接源_01水果!$M$4:$M$1203,$T69)=0,"",INDEX(对接源_01水果!$M$4:$M$1203,$T69)))</f>
      </c>
      <c r="S69" s="7" t="n"/>
      <c r="T69" s="7">
        <f>IF(ROW()-5&gt;$U$1203,"",MATCH(ROW()-5,$U$4:$U$1203,0))</f>
      </c>
      <c r="U69">
        <f>N(U68)+IF(AND($B$2&lt;&gt;"",对接源_01水果!$AH69=$B$2,对接源_01水果!$B69&gt;=$U$1,对接源_01水果!$B69&lt;=$U$2),1,0)</f>
        <v>0</v>
      </c>
    </row>
    <row r="70" ht="15.75" customHeight="1" s="127">
      <c r="A70" s="191">
        <f>IF($T70="","",IF(INDEX(对接源_01水果!$B$4:$B$1203,$T70)=0,"",INDEX(对接源_01水果!$B$4:$B$1203,$T70)))</f>
      </c>
      <c r="B70" s="84">
        <f>IF($T70="","",IF(INDEX(对接源_01水果!$E$4:$E$1203,$T70)=0,"",INDEX(对接源_01水果!$E$4:$E$1203,$T70)))</f>
      </c>
      <c r="C70" s="84">
        <f>IF($T70="","",IF(INDEX(对接源_01水果!$AC$4:$AC$1203,$T70)=0,"",INDEX(对接源_01水果!$AC$4:$AC$1203,$T70)))</f>
      </c>
      <c r="D70" s="84">
        <f>IF($T70="","",IF(INDEX(对接源_01水果!$F$4:$F$1203,$T70)=0,"",INDEX(对接源_01水果!$F$4:$F$1203,$T70)))</f>
      </c>
      <c r="E70" s="84">
        <f>IF($T70="","",IF(INDEX(对接源_01水果!$G$4:$G$1203,$T70)=0,"",INDEX(对接源_01水果!$G$4:$G$1203,$T70)))</f>
      </c>
      <c r="F70" s="84">
        <f>IF($T70="","",IF(INDEX(对接源_01水果!$H$4:$H$1203,$T70)=0,"",INDEX(对接源_01水果!$H$4:$H$1203,$T70)))</f>
      </c>
      <c r="G70" s="84">
        <f>IF($T70="","",IF(INDEX(对接源_01水果!$I$4:$I$1203,$T70)=0,"",INDEX(对接源_01水果!$I$4:$I$1203,$T70)))</f>
      </c>
      <c r="H70" s="86">
        <f>IF($T70="","",IF(INDEX(对接源_01水果!$AD$4:$AD$1203,$T70)=0,"",INDEX(对接源_01水果!$AD$4:$AD$1203,$T70)))</f>
      </c>
      <c r="I70" s="86">
        <f>IF($T70="","",IF(INDEX(对接源_01水果!$AI$4:$AI$1203,$T70)=0,"",INDEX(对接源_01水果!$AI$4:$AI$1203,$T70)))</f>
      </c>
      <c r="J70" s="86">
        <f>IF($T70="","",IF(INDEX(对接源_01水果!$AE$4:$AE$1203,$T70)=0,"",INDEX(对接源_01水果!$AE$4:$AE$1203,$T70)))</f>
      </c>
      <c r="K70" s="86">
        <f>IF($T70="","",IF(INDEX(对接源_01水果!$AF$4:$AF$1203,$T70)=0,"",INDEX(对接源_01水果!$AF$4:$AF$1203,$T70)))</f>
      </c>
      <c r="L70" s="86">
        <f>IF($T70="","",IF(INDEX(对接源_01水果!$K$4:$K$1203,$T70)=0,"",INDEX(对接源_01水果!$K$4:$K$1203,$T70)))</f>
      </c>
      <c r="M70" s="84">
        <f>IF($T70="","",IF(INDEX(对接源_01水果!$L$4:$L$1203,$T70)=0,"",INDEX(对接源_01水果!$L$4:$L$1203,$T70)))</f>
      </c>
      <c r="N70" s="87">
        <f>IF($T70="","",IF(INDEX(对接源_01水果!$M$4:$M$1203,$T70)=0,"",INDEX(对接源_01水果!$M$4:$M$1203,$T70)))</f>
      </c>
      <c r="S70" s="7" t="n"/>
      <c r="T70" s="7">
        <f>IF(ROW()-5&gt;$U$1203,"",MATCH(ROW()-5,$U$4:$U$1203,0))</f>
      </c>
      <c r="U70">
        <f>N(U69)+IF(AND($B$2&lt;&gt;"",对接源_01水果!$AH70=$B$2,对接源_01水果!$B70&gt;=$U$1,对接源_01水果!$B70&lt;=$U$2),1,0)</f>
        <v>0</v>
      </c>
    </row>
    <row r="71" ht="15.75" customHeight="1" s="127">
      <c r="A71" s="191">
        <f>IF($T71="","",IF(INDEX(对接源_01水果!$B$4:$B$1203,$T71)=0,"",INDEX(对接源_01水果!$B$4:$B$1203,$T71)))</f>
      </c>
      <c r="B71" s="84">
        <f>IF($T71="","",IF(INDEX(对接源_01水果!$E$4:$E$1203,$T71)=0,"",INDEX(对接源_01水果!$E$4:$E$1203,$T71)))</f>
      </c>
      <c r="C71" s="84">
        <f>IF($T71="","",IF(INDEX(对接源_01水果!$AC$4:$AC$1203,$T71)=0,"",INDEX(对接源_01水果!$AC$4:$AC$1203,$T71)))</f>
      </c>
      <c r="D71" s="84">
        <f>IF($T71="","",IF(INDEX(对接源_01水果!$F$4:$F$1203,$T71)=0,"",INDEX(对接源_01水果!$F$4:$F$1203,$T71)))</f>
      </c>
      <c r="E71" s="84">
        <f>IF($T71="","",IF(INDEX(对接源_01水果!$G$4:$G$1203,$T71)=0,"",INDEX(对接源_01水果!$G$4:$G$1203,$T71)))</f>
      </c>
      <c r="F71" s="84">
        <f>IF($T71="","",IF(INDEX(对接源_01水果!$H$4:$H$1203,$T71)=0,"",INDEX(对接源_01水果!$H$4:$H$1203,$T71)))</f>
      </c>
      <c r="G71" s="84">
        <f>IF($T71="","",IF(INDEX(对接源_01水果!$I$4:$I$1203,$T71)=0,"",INDEX(对接源_01水果!$I$4:$I$1203,$T71)))</f>
      </c>
      <c r="H71" s="86">
        <f>IF($T71="","",IF(INDEX(对接源_01水果!$AD$4:$AD$1203,$T71)=0,"",INDEX(对接源_01水果!$AD$4:$AD$1203,$T71)))</f>
      </c>
      <c r="I71" s="86">
        <f>IF($T71="","",IF(INDEX(对接源_01水果!$AI$4:$AI$1203,$T71)=0,"",INDEX(对接源_01水果!$AI$4:$AI$1203,$T71)))</f>
      </c>
      <c r="J71" s="86">
        <f>IF($T71="","",IF(INDEX(对接源_01水果!$AE$4:$AE$1203,$T71)=0,"",INDEX(对接源_01水果!$AE$4:$AE$1203,$T71)))</f>
      </c>
      <c r="K71" s="86">
        <f>IF($T71="","",IF(INDEX(对接源_01水果!$AF$4:$AF$1203,$T71)=0,"",INDEX(对接源_01水果!$AF$4:$AF$1203,$T71)))</f>
      </c>
      <c r="L71" s="86">
        <f>IF($T71="","",IF(INDEX(对接源_01水果!$K$4:$K$1203,$T71)=0,"",INDEX(对接源_01水果!$K$4:$K$1203,$T71)))</f>
      </c>
      <c r="M71" s="84">
        <f>IF($T71="","",IF(INDEX(对接源_01水果!$L$4:$L$1203,$T71)=0,"",INDEX(对接源_01水果!$L$4:$L$1203,$T71)))</f>
      </c>
      <c r="N71" s="87">
        <f>IF($T71="","",IF(INDEX(对接源_01水果!$M$4:$M$1203,$T71)=0,"",INDEX(对接源_01水果!$M$4:$M$1203,$T71)))</f>
      </c>
      <c r="S71" s="7" t="n"/>
      <c r="T71" s="7">
        <f>IF(ROW()-5&gt;$U$1203,"",MATCH(ROW()-5,$U$4:$U$1203,0))</f>
      </c>
      <c r="U71">
        <f>N(U70)+IF(AND($B$2&lt;&gt;"",对接源_01水果!$AH71=$B$2,对接源_01水果!$B71&gt;=$U$1,对接源_01水果!$B71&lt;=$U$2),1,0)</f>
        <v>0</v>
      </c>
    </row>
    <row r="72" ht="15.75" customHeight="1" s="127">
      <c r="A72" s="191">
        <f>IF($T72="","",IF(INDEX(对接源_01水果!$B$4:$B$1203,$T72)=0,"",INDEX(对接源_01水果!$B$4:$B$1203,$T72)))</f>
      </c>
      <c r="B72" s="84">
        <f>IF($T72="","",IF(INDEX(对接源_01水果!$E$4:$E$1203,$T72)=0,"",INDEX(对接源_01水果!$E$4:$E$1203,$T72)))</f>
      </c>
      <c r="C72" s="84">
        <f>IF($T72="","",IF(INDEX(对接源_01水果!$AC$4:$AC$1203,$T72)=0,"",INDEX(对接源_01水果!$AC$4:$AC$1203,$T72)))</f>
      </c>
      <c r="D72" s="84">
        <f>IF($T72="","",IF(INDEX(对接源_01水果!$F$4:$F$1203,$T72)=0,"",INDEX(对接源_01水果!$F$4:$F$1203,$T72)))</f>
      </c>
      <c r="E72" s="84">
        <f>IF($T72="","",IF(INDEX(对接源_01水果!$G$4:$G$1203,$T72)=0,"",INDEX(对接源_01水果!$G$4:$G$1203,$T72)))</f>
      </c>
      <c r="F72" s="84">
        <f>IF($T72="","",IF(INDEX(对接源_01水果!$H$4:$H$1203,$T72)=0,"",INDEX(对接源_01水果!$H$4:$H$1203,$T72)))</f>
      </c>
      <c r="G72" s="84">
        <f>IF($T72="","",IF(INDEX(对接源_01水果!$I$4:$I$1203,$T72)=0,"",INDEX(对接源_01水果!$I$4:$I$1203,$T72)))</f>
      </c>
      <c r="H72" s="86">
        <f>IF($T72="","",IF(INDEX(对接源_01水果!$AD$4:$AD$1203,$T72)=0,"",INDEX(对接源_01水果!$AD$4:$AD$1203,$T72)))</f>
      </c>
      <c r="I72" s="86">
        <f>IF($T72="","",IF(INDEX(对接源_01水果!$AI$4:$AI$1203,$T72)=0,"",INDEX(对接源_01水果!$AI$4:$AI$1203,$T72)))</f>
      </c>
      <c r="J72" s="86">
        <f>IF($T72="","",IF(INDEX(对接源_01水果!$AE$4:$AE$1203,$T72)=0,"",INDEX(对接源_01水果!$AE$4:$AE$1203,$T72)))</f>
      </c>
      <c r="K72" s="86">
        <f>IF($T72="","",IF(INDEX(对接源_01水果!$AF$4:$AF$1203,$T72)=0,"",INDEX(对接源_01水果!$AF$4:$AF$1203,$T72)))</f>
      </c>
      <c r="L72" s="86">
        <f>IF($T72="","",IF(INDEX(对接源_01水果!$K$4:$K$1203,$T72)=0,"",INDEX(对接源_01水果!$K$4:$K$1203,$T72)))</f>
      </c>
      <c r="M72" s="84">
        <f>IF($T72="","",IF(INDEX(对接源_01水果!$L$4:$L$1203,$T72)=0,"",INDEX(对接源_01水果!$L$4:$L$1203,$T72)))</f>
      </c>
      <c r="N72" s="87">
        <f>IF($T72="","",IF(INDEX(对接源_01水果!$M$4:$M$1203,$T72)=0,"",INDEX(对接源_01水果!$M$4:$M$1203,$T72)))</f>
      </c>
      <c r="S72" s="7" t="n"/>
      <c r="T72" s="7">
        <f>IF(ROW()-5&gt;$U$1203,"",MATCH(ROW()-5,$U$4:$U$1203,0))</f>
      </c>
      <c r="U72">
        <f>N(U71)+IF(AND($B$2&lt;&gt;"",对接源_01水果!$AH72=$B$2,对接源_01水果!$B72&gt;=$U$1,对接源_01水果!$B72&lt;=$U$2),1,0)</f>
        <v>0</v>
      </c>
    </row>
    <row r="73" ht="15.75" customHeight="1" s="127">
      <c r="A73" s="191">
        <f>IF($T73="","",IF(INDEX(对接源_01水果!$B$4:$B$1203,$T73)=0,"",INDEX(对接源_01水果!$B$4:$B$1203,$T73)))</f>
      </c>
      <c r="B73" s="84">
        <f>IF($T73="","",IF(INDEX(对接源_01水果!$E$4:$E$1203,$T73)=0,"",INDEX(对接源_01水果!$E$4:$E$1203,$T73)))</f>
      </c>
      <c r="C73" s="84">
        <f>IF($T73="","",IF(INDEX(对接源_01水果!$AC$4:$AC$1203,$T73)=0,"",INDEX(对接源_01水果!$AC$4:$AC$1203,$T73)))</f>
      </c>
      <c r="D73" s="84">
        <f>IF($T73="","",IF(INDEX(对接源_01水果!$F$4:$F$1203,$T73)=0,"",INDEX(对接源_01水果!$F$4:$F$1203,$T73)))</f>
      </c>
      <c r="E73" s="84">
        <f>IF($T73="","",IF(INDEX(对接源_01水果!$G$4:$G$1203,$T73)=0,"",INDEX(对接源_01水果!$G$4:$G$1203,$T73)))</f>
      </c>
      <c r="F73" s="84">
        <f>IF($T73="","",IF(INDEX(对接源_01水果!$H$4:$H$1203,$T73)=0,"",INDEX(对接源_01水果!$H$4:$H$1203,$T73)))</f>
      </c>
      <c r="G73" s="84">
        <f>IF($T73="","",IF(INDEX(对接源_01水果!$I$4:$I$1203,$T73)=0,"",INDEX(对接源_01水果!$I$4:$I$1203,$T73)))</f>
      </c>
      <c r="H73" s="86">
        <f>IF($T73="","",IF(INDEX(对接源_01水果!$AD$4:$AD$1203,$T73)=0,"",INDEX(对接源_01水果!$AD$4:$AD$1203,$T73)))</f>
      </c>
      <c r="I73" s="86">
        <f>IF($T73="","",IF(INDEX(对接源_01水果!$AI$4:$AI$1203,$T73)=0,"",INDEX(对接源_01水果!$AI$4:$AI$1203,$T73)))</f>
      </c>
      <c r="J73" s="86">
        <f>IF($T73="","",IF(INDEX(对接源_01水果!$AE$4:$AE$1203,$T73)=0,"",INDEX(对接源_01水果!$AE$4:$AE$1203,$T73)))</f>
      </c>
      <c r="K73" s="86">
        <f>IF($T73="","",IF(INDEX(对接源_01水果!$AF$4:$AF$1203,$T73)=0,"",INDEX(对接源_01水果!$AF$4:$AF$1203,$T73)))</f>
      </c>
      <c r="L73" s="86">
        <f>IF($T73="","",IF(INDEX(对接源_01水果!$K$4:$K$1203,$T73)=0,"",INDEX(对接源_01水果!$K$4:$K$1203,$T73)))</f>
      </c>
      <c r="M73" s="84">
        <f>IF($T73="","",IF(INDEX(对接源_01水果!$L$4:$L$1203,$T73)=0,"",INDEX(对接源_01水果!$L$4:$L$1203,$T73)))</f>
      </c>
      <c r="N73" s="87">
        <f>IF($T73="","",IF(INDEX(对接源_01水果!$M$4:$M$1203,$T73)=0,"",INDEX(对接源_01水果!$M$4:$M$1203,$T73)))</f>
      </c>
      <c r="S73" s="7" t="n"/>
      <c r="T73" s="7">
        <f>IF(ROW()-5&gt;$U$1203,"",MATCH(ROW()-5,$U$4:$U$1203,0))</f>
      </c>
      <c r="U73">
        <f>N(U72)+IF(AND($B$2&lt;&gt;"",对接源_01水果!$AH73=$B$2,对接源_01水果!$B73&gt;=$U$1,对接源_01水果!$B73&lt;=$U$2),1,0)</f>
        <v>0</v>
      </c>
    </row>
    <row r="74" ht="15.75" customHeight="1" s="127">
      <c r="A74" s="191">
        <f>IF($T74="","",IF(INDEX(对接源_01水果!$B$4:$B$1203,$T74)=0,"",INDEX(对接源_01水果!$B$4:$B$1203,$T74)))</f>
      </c>
      <c r="B74" s="84">
        <f>IF($T74="","",IF(INDEX(对接源_01水果!$E$4:$E$1203,$T74)=0,"",INDEX(对接源_01水果!$E$4:$E$1203,$T74)))</f>
      </c>
      <c r="C74" s="84">
        <f>IF($T74="","",IF(INDEX(对接源_01水果!$AC$4:$AC$1203,$T74)=0,"",INDEX(对接源_01水果!$AC$4:$AC$1203,$T74)))</f>
      </c>
      <c r="D74" s="84">
        <f>IF($T74="","",IF(INDEX(对接源_01水果!$F$4:$F$1203,$T74)=0,"",INDEX(对接源_01水果!$F$4:$F$1203,$T74)))</f>
      </c>
      <c r="E74" s="84">
        <f>IF($T74="","",IF(INDEX(对接源_01水果!$G$4:$G$1203,$T74)=0,"",INDEX(对接源_01水果!$G$4:$G$1203,$T74)))</f>
      </c>
      <c r="F74" s="84">
        <f>IF($T74="","",IF(INDEX(对接源_01水果!$H$4:$H$1203,$T74)=0,"",INDEX(对接源_01水果!$H$4:$H$1203,$T74)))</f>
      </c>
      <c r="G74" s="84">
        <f>IF($T74="","",IF(INDEX(对接源_01水果!$I$4:$I$1203,$T74)=0,"",INDEX(对接源_01水果!$I$4:$I$1203,$T74)))</f>
      </c>
      <c r="H74" s="86">
        <f>IF($T74="","",IF(INDEX(对接源_01水果!$AD$4:$AD$1203,$T74)=0,"",INDEX(对接源_01水果!$AD$4:$AD$1203,$T74)))</f>
      </c>
      <c r="I74" s="86">
        <f>IF($T74="","",IF(INDEX(对接源_01水果!$AI$4:$AI$1203,$T74)=0,"",INDEX(对接源_01水果!$AI$4:$AI$1203,$T74)))</f>
      </c>
      <c r="J74" s="86">
        <f>IF($T74="","",IF(INDEX(对接源_01水果!$AE$4:$AE$1203,$T74)=0,"",INDEX(对接源_01水果!$AE$4:$AE$1203,$T74)))</f>
      </c>
      <c r="K74" s="86">
        <f>IF($T74="","",IF(INDEX(对接源_01水果!$AF$4:$AF$1203,$T74)=0,"",INDEX(对接源_01水果!$AF$4:$AF$1203,$T74)))</f>
      </c>
      <c r="L74" s="86">
        <f>IF($T74="","",IF(INDEX(对接源_01水果!$K$4:$K$1203,$T74)=0,"",INDEX(对接源_01水果!$K$4:$K$1203,$T74)))</f>
      </c>
      <c r="M74" s="84">
        <f>IF($T74="","",IF(INDEX(对接源_01水果!$L$4:$L$1203,$T74)=0,"",INDEX(对接源_01水果!$L$4:$L$1203,$T74)))</f>
      </c>
      <c r="N74" s="87">
        <f>IF($T74="","",IF(INDEX(对接源_01水果!$M$4:$M$1203,$T74)=0,"",INDEX(对接源_01水果!$M$4:$M$1203,$T74)))</f>
      </c>
      <c r="S74" s="7" t="n"/>
      <c r="T74" s="7">
        <f>IF(ROW()-5&gt;$U$1203,"",MATCH(ROW()-5,$U$4:$U$1203,0))</f>
      </c>
      <c r="U74">
        <f>N(U73)+IF(AND($B$2&lt;&gt;"",对接源_01水果!$AH74=$B$2,对接源_01水果!$B74&gt;=$U$1,对接源_01水果!$B74&lt;=$U$2),1,0)</f>
        <v>0</v>
      </c>
    </row>
    <row r="75" ht="15.75" customHeight="1" s="127">
      <c r="A75" s="191">
        <f>IF($T75="","",IF(INDEX(对接源_01水果!$B$4:$B$1203,$T75)=0,"",INDEX(对接源_01水果!$B$4:$B$1203,$T75)))</f>
      </c>
      <c r="B75" s="84">
        <f>IF($T75="","",IF(INDEX(对接源_01水果!$E$4:$E$1203,$T75)=0,"",INDEX(对接源_01水果!$E$4:$E$1203,$T75)))</f>
      </c>
      <c r="C75" s="84">
        <f>IF($T75="","",IF(INDEX(对接源_01水果!$AC$4:$AC$1203,$T75)=0,"",INDEX(对接源_01水果!$AC$4:$AC$1203,$T75)))</f>
      </c>
      <c r="D75" s="84">
        <f>IF($T75="","",IF(INDEX(对接源_01水果!$F$4:$F$1203,$T75)=0,"",INDEX(对接源_01水果!$F$4:$F$1203,$T75)))</f>
      </c>
      <c r="E75" s="84">
        <f>IF($T75="","",IF(INDEX(对接源_01水果!$G$4:$G$1203,$T75)=0,"",INDEX(对接源_01水果!$G$4:$G$1203,$T75)))</f>
      </c>
      <c r="F75" s="84">
        <f>IF($T75="","",IF(INDEX(对接源_01水果!$H$4:$H$1203,$T75)=0,"",INDEX(对接源_01水果!$H$4:$H$1203,$T75)))</f>
      </c>
      <c r="G75" s="84">
        <f>IF($T75="","",IF(INDEX(对接源_01水果!$I$4:$I$1203,$T75)=0,"",INDEX(对接源_01水果!$I$4:$I$1203,$T75)))</f>
      </c>
      <c r="H75" s="86">
        <f>IF($T75="","",IF(INDEX(对接源_01水果!$AD$4:$AD$1203,$T75)=0,"",INDEX(对接源_01水果!$AD$4:$AD$1203,$T75)))</f>
      </c>
      <c r="I75" s="86">
        <f>IF($T75="","",IF(INDEX(对接源_01水果!$AI$4:$AI$1203,$T75)=0,"",INDEX(对接源_01水果!$AI$4:$AI$1203,$T75)))</f>
      </c>
      <c r="J75" s="86">
        <f>IF($T75="","",IF(INDEX(对接源_01水果!$AE$4:$AE$1203,$T75)=0,"",INDEX(对接源_01水果!$AE$4:$AE$1203,$T75)))</f>
      </c>
      <c r="K75" s="86">
        <f>IF($T75="","",IF(INDEX(对接源_01水果!$AF$4:$AF$1203,$T75)=0,"",INDEX(对接源_01水果!$AF$4:$AF$1203,$T75)))</f>
      </c>
      <c r="L75" s="86">
        <f>IF($T75="","",IF(INDEX(对接源_01水果!$K$4:$K$1203,$T75)=0,"",INDEX(对接源_01水果!$K$4:$K$1203,$T75)))</f>
      </c>
      <c r="M75" s="84">
        <f>IF($T75="","",IF(INDEX(对接源_01水果!$L$4:$L$1203,$T75)=0,"",INDEX(对接源_01水果!$L$4:$L$1203,$T75)))</f>
      </c>
      <c r="N75" s="87">
        <f>IF($T75="","",IF(INDEX(对接源_01水果!$M$4:$M$1203,$T75)=0,"",INDEX(对接源_01水果!$M$4:$M$1203,$T75)))</f>
      </c>
      <c r="S75" s="7" t="n"/>
      <c r="T75" s="7">
        <f>IF(ROW()-5&gt;$U$1203,"",MATCH(ROW()-5,$U$4:$U$1203,0))</f>
      </c>
      <c r="U75">
        <f>N(U74)+IF(AND($B$2&lt;&gt;"",对接源_01水果!$AH75=$B$2,对接源_01水果!$B75&gt;=$U$1,对接源_01水果!$B75&lt;=$U$2),1,0)</f>
        <v>0</v>
      </c>
    </row>
    <row r="76" ht="15.75" customHeight="1" s="127">
      <c r="A76" s="191">
        <f>IF($T76="","",IF(INDEX(对接源_01水果!$B$4:$B$1203,$T76)=0,"",INDEX(对接源_01水果!$B$4:$B$1203,$T76)))</f>
      </c>
      <c r="B76" s="84">
        <f>IF($T76="","",IF(INDEX(对接源_01水果!$E$4:$E$1203,$T76)=0,"",INDEX(对接源_01水果!$E$4:$E$1203,$T76)))</f>
      </c>
      <c r="C76" s="84">
        <f>IF($T76="","",IF(INDEX(对接源_01水果!$AC$4:$AC$1203,$T76)=0,"",INDEX(对接源_01水果!$AC$4:$AC$1203,$T76)))</f>
      </c>
      <c r="D76" s="84">
        <f>IF($T76="","",IF(INDEX(对接源_01水果!$F$4:$F$1203,$T76)=0,"",INDEX(对接源_01水果!$F$4:$F$1203,$T76)))</f>
      </c>
      <c r="E76" s="84">
        <f>IF($T76="","",IF(INDEX(对接源_01水果!$G$4:$G$1203,$T76)=0,"",INDEX(对接源_01水果!$G$4:$G$1203,$T76)))</f>
      </c>
      <c r="F76" s="84">
        <f>IF($T76="","",IF(INDEX(对接源_01水果!$H$4:$H$1203,$T76)=0,"",INDEX(对接源_01水果!$H$4:$H$1203,$T76)))</f>
      </c>
      <c r="G76" s="84">
        <f>IF($T76="","",IF(INDEX(对接源_01水果!$I$4:$I$1203,$T76)=0,"",INDEX(对接源_01水果!$I$4:$I$1203,$T76)))</f>
      </c>
      <c r="H76" s="86">
        <f>IF($T76="","",IF(INDEX(对接源_01水果!$AD$4:$AD$1203,$T76)=0,"",INDEX(对接源_01水果!$AD$4:$AD$1203,$T76)))</f>
      </c>
      <c r="I76" s="86">
        <f>IF($T76="","",IF(INDEX(对接源_01水果!$AI$4:$AI$1203,$T76)=0,"",INDEX(对接源_01水果!$AI$4:$AI$1203,$T76)))</f>
      </c>
      <c r="J76" s="86">
        <f>IF($T76="","",IF(INDEX(对接源_01水果!$AE$4:$AE$1203,$T76)=0,"",INDEX(对接源_01水果!$AE$4:$AE$1203,$T76)))</f>
      </c>
      <c r="K76" s="86">
        <f>IF($T76="","",IF(INDEX(对接源_01水果!$AF$4:$AF$1203,$T76)=0,"",INDEX(对接源_01水果!$AF$4:$AF$1203,$T76)))</f>
      </c>
      <c r="L76" s="86">
        <f>IF($T76="","",IF(INDEX(对接源_01水果!$K$4:$K$1203,$T76)=0,"",INDEX(对接源_01水果!$K$4:$K$1203,$T76)))</f>
      </c>
      <c r="M76" s="84">
        <f>IF($T76="","",IF(INDEX(对接源_01水果!$L$4:$L$1203,$T76)=0,"",INDEX(对接源_01水果!$L$4:$L$1203,$T76)))</f>
      </c>
      <c r="N76" s="87">
        <f>IF($T76="","",IF(INDEX(对接源_01水果!$M$4:$M$1203,$T76)=0,"",INDEX(对接源_01水果!$M$4:$M$1203,$T76)))</f>
      </c>
      <c r="S76" s="7" t="n"/>
      <c r="T76" s="7">
        <f>IF(ROW()-5&gt;$U$1203,"",MATCH(ROW()-5,$U$4:$U$1203,0))</f>
      </c>
      <c r="U76">
        <f>N(U75)+IF(AND($B$2&lt;&gt;"",对接源_01水果!$AH76=$B$2,对接源_01水果!$B76&gt;=$U$1,对接源_01水果!$B76&lt;=$U$2),1,0)</f>
        <v>0</v>
      </c>
    </row>
    <row r="77" ht="15.75" customHeight="1" s="127">
      <c r="A77" s="191">
        <f>IF($T77="","",IF(INDEX(对接源_01水果!$B$4:$B$1203,$T77)=0,"",INDEX(对接源_01水果!$B$4:$B$1203,$T77)))</f>
      </c>
      <c r="B77" s="84">
        <f>IF($T77="","",IF(INDEX(对接源_01水果!$E$4:$E$1203,$T77)=0,"",INDEX(对接源_01水果!$E$4:$E$1203,$T77)))</f>
      </c>
      <c r="C77" s="84">
        <f>IF($T77="","",IF(INDEX(对接源_01水果!$AC$4:$AC$1203,$T77)=0,"",INDEX(对接源_01水果!$AC$4:$AC$1203,$T77)))</f>
      </c>
      <c r="D77" s="84">
        <f>IF($T77="","",IF(INDEX(对接源_01水果!$F$4:$F$1203,$T77)=0,"",INDEX(对接源_01水果!$F$4:$F$1203,$T77)))</f>
      </c>
      <c r="E77" s="84">
        <f>IF($T77="","",IF(INDEX(对接源_01水果!$G$4:$G$1203,$T77)=0,"",INDEX(对接源_01水果!$G$4:$G$1203,$T77)))</f>
      </c>
      <c r="F77" s="84">
        <f>IF($T77="","",IF(INDEX(对接源_01水果!$H$4:$H$1203,$T77)=0,"",INDEX(对接源_01水果!$H$4:$H$1203,$T77)))</f>
      </c>
      <c r="G77" s="84">
        <f>IF($T77="","",IF(INDEX(对接源_01水果!$I$4:$I$1203,$T77)=0,"",INDEX(对接源_01水果!$I$4:$I$1203,$T77)))</f>
      </c>
      <c r="H77" s="86">
        <f>IF($T77="","",IF(INDEX(对接源_01水果!$AD$4:$AD$1203,$T77)=0,"",INDEX(对接源_01水果!$AD$4:$AD$1203,$T77)))</f>
      </c>
      <c r="I77" s="86">
        <f>IF($T77="","",IF(INDEX(对接源_01水果!$AI$4:$AI$1203,$T77)=0,"",INDEX(对接源_01水果!$AI$4:$AI$1203,$T77)))</f>
      </c>
      <c r="J77" s="86">
        <f>IF($T77="","",IF(INDEX(对接源_01水果!$AE$4:$AE$1203,$T77)=0,"",INDEX(对接源_01水果!$AE$4:$AE$1203,$T77)))</f>
      </c>
      <c r="K77" s="86">
        <f>IF($T77="","",IF(INDEX(对接源_01水果!$AF$4:$AF$1203,$T77)=0,"",INDEX(对接源_01水果!$AF$4:$AF$1203,$T77)))</f>
      </c>
      <c r="L77" s="86">
        <f>IF($T77="","",IF(INDEX(对接源_01水果!$K$4:$K$1203,$T77)=0,"",INDEX(对接源_01水果!$K$4:$K$1203,$T77)))</f>
      </c>
      <c r="M77" s="84">
        <f>IF($T77="","",IF(INDEX(对接源_01水果!$L$4:$L$1203,$T77)=0,"",INDEX(对接源_01水果!$L$4:$L$1203,$T77)))</f>
      </c>
      <c r="N77" s="87">
        <f>IF($T77="","",IF(INDEX(对接源_01水果!$M$4:$M$1203,$T77)=0,"",INDEX(对接源_01水果!$M$4:$M$1203,$T77)))</f>
      </c>
      <c r="S77" s="7" t="n"/>
      <c r="T77" s="7">
        <f>IF(ROW()-5&gt;$U$1203,"",MATCH(ROW()-5,$U$4:$U$1203,0))</f>
      </c>
      <c r="U77">
        <f>N(U76)+IF(AND($B$2&lt;&gt;"",对接源_01水果!$AH77=$B$2,对接源_01水果!$B77&gt;=$U$1,对接源_01水果!$B77&lt;=$U$2),1,0)</f>
        <v>0</v>
      </c>
    </row>
    <row r="78" ht="15.75" customHeight="1" s="127">
      <c r="A78" s="191">
        <f>IF($T78="","",IF(INDEX(对接源_01水果!$B$4:$B$1203,$T78)=0,"",INDEX(对接源_01水果!$B$4:$B$1203,$T78)))</f>
      </c>
      <c r="B78" s="84">
        <f>IF($T78="","",IF(INDEX(对接源_01水果!$E$4:$E$1203,$T78)=0,"",INDEX(对接源_01水果!$E$4:$E$1203,$T78)))</f>
      </c>
      <c r="C78" s="84">
        <f>IF($T78="","",IF(INDEX(对接源_01水果!$AC$4:$AC$1203,$T78)=0,"",INDEX(对接源_01水果!$AC$4:$AC$1203,$T78)))</f>
      </c>
      <c r="D78" s="84">
        <f>IF($T78="","",IF(INDEX(对接源_01水果!$F$4:$F$1203,$T78)=0,"",INDEX(对接源_01水果!$F$4:$F$1203,$T78)))</f>
      </c>
      <c r="E78" s="84">
        <f>IF($T78="","",IF(INDEX(对接源_01水果!$G$4:$G$1203,$T78)=0,"",INDEX(对接源_01水果!$G$4:$G$1203,$T78)))</f>
      </c>
      <c r="F78" s="84">
        <f>IF($T78="","",IF(INDEX(对接源_01水果!$H$4:$H$1203,$T78)=0,"",INDEX(对接源_01水果!$H$4:$H$1203,$T78)))</f>
      </c>
      <c r="G78" s="84">
        <f>IF($T78="","",IF(INDEX(对接源_01水果!$I$4:$I$1203,$T78)=0,"",INDEX(对接源_01水果!$I$4:$I$1203,$T78)))</f>
      </c>
      <c r="H78" s="86">
        <f>IF($T78="","",IF(INDEX(对接源_01水果!$AD$4:$AD$1203,$T78)=0,"",INDEX(对接源_01水果!$AD$4:$AD$1203,$T78)))</f>
      </c>
      <c r="I78" s="86">
        <f>IF($T78="","",IF(INDEX(对接源_01水果!$AI$4:$AI$1203,$T78)=0,"",INDEX(对接源_01水果!$AI$4:$AI$1203,$T78)))</f>
      </c>
      <c r="J78" s="86">
        <f>IF($T78="","",IF(INDEX(对接源_01水果!$AE$4:$AE$1203,$T78)=0,"",INDEX(对接源_01水果!$AE$4:$AE$1203,$T78)))</f>
      </c>
      <c r="K78" s="86">
        <f>IF($T78="","",IF(INDEX(对接源_01水果!$AF$4:$AF$1203,$T78)=0,"",INDEX(对接源_01水果!$AF$4:$AF$1203,$T78)))</f>
      </c>
      <c r="L78" s="86">
        <f>IF($T78="","",IF(INDEX(对接源_01水果!$K$4:$K$1203,$T78)=0,"",INDEX(对接源_01水果!$K$4:$K$1203,$T78)))</f>
      </c>
      <c r="M78" s="84">
        <f>IF($T78="","",IF(INDEX(对接源_01水果!$L$4:$L$1203,$T78)=0,"",INDEX(对接源_01水果!$L$4:$L$1203,$T78)))</f>
      </c>
      <c r="N78" s="87">
        <f>IF($T78="","",IF(INDEX(对接源_01水果!$M$4:$M$1203,$T78)=0,"",INDEX(对接源_01水果!$M$4:$M$1203,$T78)))</f>
      </c>
      <c r="S78" s="7" t="n"/>
      <c r="T78" s="7">
        <f>IF(ROW()-5&gt;$U$1203,"",MATCH(ROW()-5,$U$4:$U$1203,0))</f>
      </c>
      <c r="U78">
        <f>N(U77)+IF(AND($B$2&lt;&gt;"",对接源_01水果!$AH78=$B$2,对接源_01水果!$B78&gt;=$U$1,对接源_01水果!$B78&lt;=$U$2),1,0)</f>
        <v>0</v>
      </c>
    </row>
    <row r="79" ht="15.75" customHeight="1" s="127">
      <c r="A79" s="191">
        <f>IF($T79="","",IF(INDEX(对接源_01水果!$B$4:$B$1203,$T79)=0,"",INDEX(对接源_01水果!$B$4:$B$1203,$T79)))</f>
      </c>
      <c r="B79" s="84">
        <f>IF($T79="","",IF(INDEX(对接源_01水果!$E$4:$E$1203,$T79)=0,"",INDEX(对接源_01水果!$E$4:$E$1203,$T79)))</f>
      </c>
      <c r="C79" s="84">
        <f>IF($T79="","",IF(INDEX(对接源_01水果!$AC$4:$AC$1203,$T79)=0,"",INDEX(对接源_01水果!$AC$4:$AC$1203,$T79)))</f>
      </c>
      <c r="D79" s="84">
        <f>IF($T79="","",IF(INDEX(对接源_01水果!$F$4:$F$1203,$T79)=0,"",INDEX(对接源_01水果!$F$4:$F$1203,$T79)))</f>
      </c>
      <c r="E79" s="84">
        <f>IF($T79="","",IF(INDEX(对接源_01水果!$G$4:$G$1203,$T79)=0,"",INDEX(对接源_01水果!$G$4:$G$1203,$T79)))</f>
      </c>
      <c r="F79" s="84">
        <f>IF($T79="","",IF(INDEX(对接源_01水果!$H$4:$H$1203,$T79)=0,"",INDEX(对接源_01水果!$H$4:$H$1203,$T79)))</f>
      </c>
      <c r="G79" s="84">
        <f>IF($T79="","",IF(INDEX(对接源_01水果!$I$4:$I$1203,$T79)=0,"",INDEX(对接源_01水果!$I$4:$I$1203,$T79)))</f>
      </c>
      <c r="H79" s="86">
        <f>IF($T79="","",IF(INDEX(对接源_01水果!$AD$4:$AD$1203,$T79)=0,"",INDEX(对接源_01水果!$AD$4:$AD$1203,$T79)))</f>
      </c>
      <c r="I79" s="86">
        <f>IF($T79="","",IF(INDEX(对接源_01水果!$AI$4:$AI$1203,$T79)=0,"",INDEX(对接源_01水果!$AI$4:$AI$1203,$T79)))</f>
      </c>
      <c r="J79" s="86">
        <f>IF($T79="","",IF(INDEX(对接源_01水果!$AE$4:$AE$1203,$T79)=0,"",INDEX(对接源_01水果!$AE$4:$AE$1203,$T79)))</f>
      </c>
      <c r="K79" s="86">
        <f>IF($T79="","",IF(INDEX(对接源_01水果!$AF$4:$AF$1203,$T79)=0,"",INDEX(对接源_01水果!$AF$4:$AF$1203,$T79)))</f>
      </c>
      <c r="L79" s="86">
        <f>IF($T79="","",IF(INDEX(对接源_01水果!$K$4:$K$1203,$T79)=0,"",INDEX(对接源_01水果!$K$4:$K$1203,$T79)))</f>
      </c>
      <c r="M79" s="84">
        <f>IF($T79="","",IF(INDEX(对接源_01水果!$L$4:$L$1203,$T79)=0,"",INDEX(对接源_01水果!$L$4:$L$1203,$T79)))</f>
      </c>
      <c r="N79" s="87">
        <f>IF($T79="","",IF(INDEX(对接源_01水果!$M$4:$M$1203,$T79)=0,"",INDEX(对接源_01水果!$M$4:$M$1203,$T79)))</f>
      </c>
      <c r="S79" s="7" t="n"/>
      <c r="T79" s="7">
        <f>IF(ROW()-5&gt;$U$1203,"",MATCH(ROW()-5,$U$4:$U$1203,0))</f>
      </c>
      <c r="U79">
        <f>N(U78)+IF(AND($B$2&lt;&gt;"",对接源_01水果!$AH79=$B$2,对接源_01水果!$B79&gt;=$U$1,对接源_01水果!$B79&lt;=$U$2),1,0)</f>
        <v>0</v>
      </c>
    </row>
    <row r="80" ht="15.75" customHeight="1" s="127">
      <c r="A80" s="191">
        <f>IF($T80="","",IF(INDEX(对接源_01水果!$B$4:$B$1203,$T80)=0,"",INDEX(对接源_01水果!$B$4:$B$1203,$T80)))</f>
      </c>
      <c r="B80" s="84">
        <f>IF($T80="","",IF(INDEX(对接源_01水果!$E$4:$E$1203,$T80)=0,"",INDEX(对接源_01水果!$E$4:$E$1203,$T80)))</f>
      </c>
      <c r="C80" s="84">
        <f>IF($T80="","",IF(INDEX(对接源_01水果!$AC$4:$AC$1203,$T80)=0,"",INDEX(对接源_01水果!$AC$4:$AC$1203,$T80)))</f>
      </c>
      <c r="D80" s="84">
        <f>IF($T80="","",IF(INDEX(对接源_01水果!$F$4:$F$1203,$T80)=0,"",INDEX(对接源_01水果!$F$4:$F$1203,$T80)))</f>
      </c>
      <c r="E80" s="84">
        <f>IF($T80="","",IF(INDEX(对接源_01水果!$G$4:$G$1203,$T80)=0,"",INDEX(对接源_01水果!$G$4:$G$1203,$T80)))</f>
      </c>
      <c r="F80" s="84">
        <f>IF($T80="","",IF(INDEX(对接源_01水果!$H$4:$H$1203,$T80)=0,"",INDEX(对接源_01水果!$H$4:$H$1203,$T80)))</f>
      </c>
      <c r="G80" s="84">
        <f>IF($T80="","",IF(INDEX(对接源_01水果!$I$4:$I$1203,$T80)=0,"",INDEX(对接源_01水果!$I$4:$I$1203,$T80)))</f>
      </c>
      <c r="H80" s="86">
        <f>IF($T80="","",IF(INDEX(对接源_01水果!$AD$4:$AD$1203,$T80)=0,"",INDEX(对接源_01水果!$AD$4:$AD$1203,$T80)))</f>
      </c>
      <c r="I80" s="86">
        <f>IF($T80="","",IF(INDEX(对接源_01水果!$AI$4:$AI$1203,$T80)=0,"",INDEX(对接源_01水果!$AI$4:$AI$1203,$T80)))</f>
      </c>
      <c r="J80" s="86">
        <f>IF($T80="","",IF(INDEX(对接源_01水果!$AE$4:$AE$1203,$T80)=0,"",INDEX(对接源_01水果!$AE$4:$AE$1203,$T80)))</f>
      </c>
      <c r="K80" s="86">
        <f>IF($T80="","",IF(INDEX(对接源_01水果!$AF$4:$AF$1203,$T80)=0,"",INDEX(对接源_01水果!$AF$4:$AF$1203,$T80)))</f>
      </c>
      <c r="L80" s="86">
        <f>IF($T80="","",IF(INDEX(对接源_01水果!$K$4:$K$1203,$T80)=0,"",INDEX(对接源_01水果!$K$4:$K$1203,$T80)))</f>
      </c>
      <c r="M80" s="84">
        <f>IF($T80="","",IF(INDEX(对接源_01水果!$L$4:$L$1203,$T80)=0,"",INDEX(对接源_01水果!$L$4:$L$1203,$T80)))</f>
      </c>
      <c r="N80" s="87">
        <f>IF($T80="","",IF(INDEX(对接源_01水果!$M$4:$M$1203,$T80)=0,"",INDEX(对接源_01水果!$M$4:$M$1203,$T80)))</f>
      </c>
      <c r="S80" s="7" t="n"/>
      <c r="T80" s="7">
        <f>IF(ROW()-5&gt;$U$1203,"",MATCH(ROW()-5,$U$4:$U$1203,0))</f>
      </c>
      <c r="U80">
        <f>N(U79)+IF(AND($B$2&lt;&gt;"",对接源_01水果!$AH80=$B$2,对接源_01水果!$B80&gt;=$U$1,对接源_01水果!$B80&lt;=$U$2),1,0)</f>
        <v>0</v>
      </c>
    </row>
    <row r="81" ht="15.75" customHeight="1" s="127">
      <c r="A81" s="191">
        <f>IF($T81="","",IF(INDEX(对接源_01水果!$B$4:$B$1203,$T81)=0,"",INDEX(对接源_01水果!$B$4:$B$1203,$T81)))</f>
      </c>
      <c r="B81" s="84">
        <f>IF($T81="","",IF(INDEX(对接源_01水果!$E$4:$E$1203,$T81)=0,"",INDEX(对接源_01水果!$E$4:$E$1203,$T81)))</f>
      </c>
      <c r="C81" s="84">
        <f>IF($T81="","",IF(INDEX(对接源_01水果!$AC$4:$AC$1203,$T81)=0,"",INDEX(对接源_01水果!$AC$4:$AC$1203,$T81)))</f>
      </c>
      <c r="D81" s="84">
        <f>IF($T81="","",IF(INDEX(对接源_01水果!$F$4:$F$1203,$T81)=0,"",INDEX(对接源_01水果!$F$4:$F$1203,$T81)))</f>
      </c>
      <c r="E81" s="84">
        <f>IF($T81="","",IF(INDEX(对接源_01水果!$G$4:$G$1203,$T81)=0,"",INDEX(对接源_01水果!$G$4:$G$1203,$T81)))</f>
      </c>
      <c r="F81" s="84">
        <f>IF($T81="","",IF(INDEX(对接源_01水果!$H$4:$H$1203,$T81)=0,"",INDEX(对接源_01水果!$H$4:$H$1203,$T81)))</f>
      </c>
      <c r="G81" s="84">
        <f>IF($T81="","",IF(INDEX(对接源_01水果!$I$4:$I$1203,$T81)=0,"",INDEX(对接源_01水果!$I$4:$I$1203,$T81)))</f>
      </c>
      <c r="H81" s="86">
        <f>IF($T81="","",IF(INDEX(对接源_01水果!$AD$4:$AD$1203,$T81)=0,"",INDEX(对接源_01水果!$AD$4:$AD$1203,$T81)))</f>
      </c>
      <c r="I81" s="86">
        <f>IF($T81="","",IF(INDEX(对接源_01水果!$AI$4:$AI$1203,$T81)=0,"",INDEX(对接源_01水果!$AI$4:$AI$1203,$T81)))</f>
      </c>
      <c r="J81" s="86">
        <f>IF($T81="","",IF(INDEX(对接源_01水果!$AE$4:$AE$1203,$T81)=0,"",INDEX(对接源_01水果!$AE$4:$AE$1203,$T81)))</f>
      </c>
      <c r="K81" s="86">
        <f>IF($T81="","",IF(INDEX(对接源_01水果!$AF$4:$AF$1203,$T81)=0,"",INDEX(对接源_01水果!$AF$4:$AF$1203,$T81)))</f>
      </c>
      <c r="L81" s="86">
        <f>IF($T81="","",IF(INDEX(对接源_01水果!$K$4:$K$1203,$T81)=0,"",INDEX(对接源_01水果!$K$4:$K$1203,$T81)))</f>
      </c>
      <c r="M81" s="84">
        <f>IF($T81="","",IF(INDEX(对接源_01水果!$L$4:$L$1203,$T81)=0,"",INDEX(对接源_01水果!$L$4:$L$1203,$T81)))</f>
      </c>
      <c r="N81" s="87">
        <f>IF($T81="","",IF(INDEX(对接源_01水果!$M$4:$M$1203,$T81)=0,"",INDEX(对接源_01水果!$M$4:$M$1203,$T81)))</f>
      </c>
      <c r="S81" s="7" t="n"/>
      <c r="T81" s="7">
        <f>IF(ROW()-5&gt;$U$1203,"",MATCH(ROW()-5,$U$4:$U$1203,0))</f>
      </c>
      <c r="U81">
        <f>N(U80)+IF(AND($B$2&lt;&gt;"",对接源_01水果!$AH81=$B$2,对接源_01水果!$B81&gt;=$U$1,对接源_01水果!$B81&lt;=$U$2),1,0)</f>
        <v>0</v>
      </c>
    </row>
    <row r="82" ht="15.75" customHeight="1" s="127">
      <c r="A82" s="191">
        <f>IF($T82="","",IF(INDEX(对接源_01水果!$B$4:$B$1203,$T82)=0,"",INDEX(对接源_01水果!$B$4:$B$1203,$T82)))</f>
      </c>
      <c r="B82" s="84">
        <f>IF($T82="","",IF(INDEX(对接源_01水果!$E$4:$E$1203,$T82)=0,"",INDEX(对接源_01水果!$E$4:$E$1203,$T82)))</f>
      </c>
      <c r="C82" s="84">
        <f>IF($T82="","",IF(INDEX(对接源_01水果!$AC$4:$AC$1203,$T82)=0,"",INDEX(对接源_01水果!$AC$4:$AC$1203,$T82)))</f>
      </c>
      <c r="D82" s="84">
        <f>IF($T82="","",IF(INDEX(对接源_01水果!$F$4:$F$1203,$T82)=0,"",INDEX(对接源_01水果!$F$4:$F$1203,$T82)))</f>
      </c>
      <c r="E82" s="84">
        <f>IF($T82="","",IF(INDEX(对接源_01水果!$G$4:$G$1203,$T82)=0,"",INDEX(对接源_01水果!$G$4:$G$1203,$T82)))</f>
      </c>
      <c r="F82" s="84">
        <f>IF($T82="","",IF(INDEX(对接源_01水果!$H$4:$H$1203,$T82)=0,"",INDEX(对接源_01水果!$H$4:$H$1203,$T82)))</f>
      </c>
      <c r="G82" s="84">
        <f>IF($T82="","",IF(INDEX(对接源_01水果!$I$4:$I$1203,$T82)=0,"",INDEX(对接源_01水果!$I$4:$I$1203,$T82)))</f>
      </c>
      <c r="H82" s="86">
        <f>IF($T82="","",IF(INDEX(对接源_01水果!$AD$4:$AD$1203,$T82)=0,"",INDEX(对接源_01水果!$AD$4:$AD$1203,$T82)))</f>
      </c>
      <c r="I82" s="86">
        <f>IF($T82="","",IF(INDEX(对接源_01水果!$AI$4:$AI$1203,$T82)=0,"",INDEX(对接源_01水果!$AI$4:$AI$1203,$T82)))</f>
      </c>
      <c r="J82" s="86">
        <f>IF($T82="","",IF(INDEX(对接源_01水果!$AE$4:$AE$1203,$T82)=0,"",INDEX(对接源_01水果!$AE$4:$AE$1203,$T82)))</f>
      </c>
      <c r="K82" s="86">
        <f>IF($T82="","",IF(INDEX(对接源_01水果!$AF$4:$AF$1203,$T82)=0,"",INDEX(对接源_01水果!$AF$4:$AF$1203,$T82)))</f>
      </c>
      <c r="L82" s="86">
        <f>IF($T82="","",IF(INDEX(对接源_01水果!$K$4:$K$1203,$T82)=0,"",INDEX(对接源_01水果!$K$4:$K$1203,$T82)))</f>
      </c>
      <c r="M82" s="84">
        <f>IF($T82="","",IF(INDEX(对接源_01水果!$L$4:$L$1203,$T82)=0,"",INDEX(对接源_01水果!$L$4:$L$1203,$T82)))</f>
      </c>
      <c r="N82" s="87">
        <f>IF($T82="","",IF(INDEX(对接源_01水果!$M$4:$M$1203,$T82)=0,"",INDEX(对接源_01水果!$M$4:$M$1203,$T82)))</f>
      </c>
      <c r="S82" s="7" t="n"/>
      <c r="T82" s="7">
        <f>IF(ROW()-5&gt;$U$1203,"",MATCH(ROW()-5,$U$4:$U$1203,0))</f>
      </c>
      <c r="U82">
        <f>N(U81)+IF(AND($B$2&lt;&gt;"",对接源_01水果!$AH82=$B$2,对接源_01水果!$B82&gt;=$U$1,对接源_01水果!$B82&lt;=$U$2),1,0)</f>
        <v>0</v>
      </c>
    </row>
    <row r="83" ht="15.75" customHeight="1" s="127">
      <c r="A83" s="191">
        <f>IF($T83="","",IF(INDEX(对接源_01水果!$B$4:$B$1203,$T83)=0,"",INDEX(对接源_01水果!$B$4:$B$1203,$T83)))</f>
      </c>
      <c r="B83" s="84">
        <f>IF($T83="","",IF(INDEX(对接源_01水果!$E$4:$E$1203,$T83)=0,"",INDEX(对接源_01水果!$E$4:$E$1203,$T83)))</f>
      </c>
      <c r="C83" s="84">
        <f>IF($T83="","",IF(INDEX(对接源_01水果!$AC$4:$AC$1203,$T83)=0,"",INDEX(对接源_01水果!$AC$4:$AC$1203,$T83)))</f>
      </c>
      <c r="D83" s="84">
        <f>IF($T83="","",IF(INDEX(对接源_01水果!$F$4:$F$1203,$T83)=0,"",INDEX(对接源_01水果!$F$4:$F$1203,$T83)))</f>
      </c>
      <c r="E83" s="84">
        <f>IF($T83="","",IF(INDEX(对接源_01水果!$G$4:$G$1203,$T83)=0,"",INDEX(对接源_01水果!$G$4:$G$1203,$T83)))</f>
      </c>
      <c r="F83" s="84">
        <f>IF($T83="","",IF(INDEX(对接源_01水果!$H$4:$H$1203,$T83)=0,"",INDEX(对接源_01水果!$H$4:$H$1203,$T83)))</f>
      </c>
      <c r="G83" s="84">
        <f>IF($T83="","",IF(INDEX(对接源_01水果!$I$4:$I$1203,$T83)=0,"",INDEX(对接源_01水果!$I$4:$I$1203,$T83)))</f>
      </c>
      <c r="H83" s="86">
        <f>IF($T83="","",IF(INDEX(对接源_01水果!$AD$4:$AD$1203,$T83)=0,"",INDEX(对接源_01水果!$AD$4:$AD$1203,$T83)))</f>
      </c>
      <c r="I83" s="86">
        <f>IF($T83="","",IF(INDEX(对接源_01水果!$AI$4:$AI$1203,$T83)=0,"",INDEX(对接源_01水果!$AI$4:$AI$1203,$T83)))</f>
      </c>
      <c r="J83" s="86">
        <f>IF($T83="","",IF(INDEX(对接源_01水果!$AE$4:$AE$1203,$T83)=0,"",INDEX(对接源_01水果!$AE$4:$AE$1203,$T83)))</f>
      </c>
      <c r="K83" s="86">
        <f>IF($T83="","",IF(INDEX(对接源_01水果!$AF$4:$AF$1203,$T83)=0,"",INDEX(对接源_01水果!$AF$4:$AF$1203,$T83)))</f>
      </c>
      <c r="L83" s="86">
        <f>IF($T83="","",IF(INDEX(对接源_01水果!$K$4:$K$1203,$T83)=0,"",INDEX(对接源_01水果!$K$4:$K$1203,$T83)))</f>
      </c>
      <c r="M83" s="84">
        <f>IF($T83="","",IF(INDEX(对接源_01水果!$L$4:$L$1203,$T83)=0,"",INDEX(对接源_01水果!$L$4:$L$1203,$T83)))</f>
      </c>
      <c r="N83" s="87">
        <f>IF($T83="","",IF(INDEX(对接源_01水果!$M$4:$M$1203,$T83)=0,"",INDEX(对接源_01水果!$M$4:$M$1203,$T83)))</f>
      </c>
      <c r="S83" s="7" t="n"/>
      <c r="T83" s="7">
        <f>IF(ROW()-5&gt;$U$1203,"",MATCH(ROW()-5,$U$4:$U$1203,0))</f>
      </c>
      <c r="U83">
        <f>N(U82)+IF(AND($B$2&lt;&gt;"",对接源_01水果!$AH83=$B$2,对接源_01水果!$B83&gt;=$U$1,对接源_01水果!$B83&lt;=$U$2),1,0)</f>
        <v>0</v>
      </c>
    </row>
    <row r="84" ht="15.75" customHeight="1" s="127">
      <c r="A84" s="191">
        <f>IF($T84="","",IF(INDEX(对接源_01水果!$B$4:$B$1203,$T84)=0,"",INDEX(对接源_01水果!$B$4:$B$1203,$T84)))</f>
      </c>
      <c r="B84" s="84">
        <f>IF($T84="","",IF(INDEX(对接源_01水果!$E$4:$E$1203,$T84)=0,"",INDEX(对接源_01水果!$E$4:$E$1203,$T84)))</f>
      </c>
      <c r="C84" s="84">
        <f>IF($T84="","",IF(INDEX(对接源_01水果!$AC$4:$AC$1203,$T84)=0,"",INDEX(对接源_01水果!$AC$4:$AC$1203,$T84)))</f>
      </c>
      <c r="D84" s="84">
        <f>IF($T84="","",IF(INDEX(对接源_01水果!$F$4:$F$1203,$T84)=0,"",INDEX(对接源_01水果!$F$4:$F$1203,$T84)))</f>
      </c>
      <c r="E84" s="84">
        <f>IF($T84="","",IF(INDEX(对接源_01水果!$G$4:$G$1203,$T84)=0,"",INDEX(对接源_01水果!$G$4:$G$1203,$T84)))</f>
      </c>
      <c r="F84" s="84">
        <f>IF($T84="","",IF(INDEX(对接源_01水果!$H$4:$H$1203,$T84)=0,"",INDEX(对接源_01水果!$H$4:$H$1203,$T84)))</f>
      </c>
      <c r="G84" s="84">
        <f>IF($T84="","",IF(INDEX(对接源_01水果!$I$4:$I$1203,$T84)=0,"",INDEX(对接源_01水果!$I$4:$I$1203,$T84)))</f>
      </c>
      <c r="H84" s="86">
        <f>IF($T84="","",IF(INDEX(对接源_01水果!$AD$4:$AD$1203,$T84)=0,"",INDEX(对接源_01水果!$AD$4:$AD$1203,$T84)))</f>
      </c>
      <c r="I84" s="86">
        <f>IF($T84="","",IF(INDEX(对接源_01水果!$AI$4:$AI$1203,$T84)=0,"",INDEX(对接源_01水果!$AI$4:$AI$1203,$T84)))</f>
      </c>
      <c r="J84" s="86">
        <f>IF($T84="","",IF(INDEX(对接源_01水果!$AE$4:$AE$1203,$T84)=0,"",INDEX(对接源_01水果!$AE$4:$AE$1203,$T84)))</f>
      </c>
      <c r="K84" s="86">
        <f>IF($T84="","",IF(INDEX(对接源_01水果!$AF$4:$AF$1203,$T84)=0,"",INDEX(对接源_01水果!$AF$4:$AF$1203,$T84)))</f>
      </c>
      <c r="L84" s="86">
        <f>IF($T84="","",IF(INDEX(对接源_01水果!$K$4:$K$1203,$T84)=0,"",INDEX(对接源_01水果!$K$4:$K$1203,$T84)))</f>
      </c>
      <c r="M84" s="84">
        <f>IF($T84="","",IF(INDEX(对接源_01水果!$L$4:$L$1203,$T84)=0,"",INDEX(对接源_01水果!$L$4:$L$1203,$T84)))</f>
      </c>
      <c r="N84" s="87">
        <f>IF($T84="","",IF(INDEX(对接源_01水果!$M$4:$M$1203,$T84)=0,"",INDEX(对接源_01水果!$M$4:$M$1203,$T84)))</f>
      </c>
      <c r="S84" s="7" t="n"/>
      <c r="T84" s="7">
        <f>IF(ROW()-5&gt;$U$1203,"",MATCH(ROW()-5,$U$4:$U$1203,0))</f>
      </c>
      <c r="U84">
        <f>N(U83)+IF(AND($B$2&lt;&gt;"",对接源_01水果!$AH84=$B$2,对接源_01水果!$B84&gt;=$U$1,对接源_01水果!$B84&lt;=$U$2),1,0)</f>
        <v>0</v>
      </c>
    </row>
    <row r="85" ht="15.75" customHeight="1" s="127">
      <c r="A85" s="191">
        <f>IF($T85="","",IF(INDEX(对接源_01水果!$B$4:$B$1203,$T85)=0,"",INDEX(对接源_01水果!$B$4:$B$1203,$T85)))</f>
      </c>
      <c r="B85" s="84">
        <f>IF($T85="","",IF(INDEX(对接源_01水果!$E$4:$E$1203,$T85)=0,"",INDEX(对接源_01水果!$E$4:$E$1203,$T85)))</f>
      </c>
      <c r="C85" s="84">
        <f>IF($T85="","",IF(INDEX(对接源_01水果!$AC$4:$AC$1203,$T85)=0,"",INDEX(对接源_01水果!$AC$4:$AC$1203,$T85)))</f>
      </c>
      <c r="D85" s="84">
        <f>IF($T85="","",IF(INDEX(对接源_01水果!$F$4:$F$1203,$T85)=0,"",INDEX(对接源_01水果!$F$4:$F$1203,$T85)))</f>
      </c>
      <c r="E85" s="84">
        <f>IF($T85="","",IF(INDEX(对接源_01水果!$G$4:$G$1203,$T85)=0,"",INDEX(对接源_01水果!$G$4:$G$1203,$T85)))</f>
      </c>
      <c r="F85" s="84">
        <f>IF($T85="","",IF(INDEX(对接源_01水果!$H$4:$H$1203,$T85)=0,"",INDEX(对接源_01水果!$H$4:$H$1203,$T85)))</f>
      </c>
      <c r="G85" s="84">
        <f>IF($T85="","",IF(INDEX(对接源_01水果!$I$4:$I$1203,$T85)=0,"",INDEX(对接源_01水果!$I$4:$I$1203,$T85)))</f>
      </c>
      <c r="H85" s="86">
        <f>IF($T85="","",IF(INDEX(对接源_01水果!$AD$4:$AD$1203,$T85)=0,"",INDEX(对接源_01水果!$AD$4:$AD$1203,$T85)))</f>
      </c>
      <c r="I85" s="86">
        <f>IF($T85="","",IF(INDEX(对接源_01水果!$AI$4:$AI$1203,$T85)=0,"",INDEX(对接源_01水果!$AI$4:$AI$1203,$T85)))</f>
      </c>
      <c r="J85" s="86">
        <f>IF($T85="","",IF(INDEX(对接源_01水果!$AE$4:$AE$1203,$T85)=0,"",INDEX(对接源_01水果!$AE$4:$AE$1203,$T85)))</f>
      </c>
      <c r="K85" s="86">
        <f>IF($T85="","",IF(INDEX(对接源_01水果!$AF$4:$AF$1203,$T85)=0,"",INDEX(对接源_01水果!$AF$4:$AF$1203,$T85)))</f>
      </c>
      <c r="L85" s="86">
        <f>IF($T85="","",IF(INDEX(对接源_01水果!$K$4:$K$1203,$T85)=0,"",INDEX(对接源_01水果!$K$4:$K$1203,$T85)))</f>
      </c>
      <c r="M85" s="84">
        <f>IF($T85="","",IF(INDEX(对接源_01水果!$L$4:$L$1203,$T85)=0,"",INDEX(对接源_01水果!$L$4:$L$1203,$T85)))</f>
      </c>
      <c r="N85" s="87">
        <f>IF($T85="","",IF(INDEX(对接源_01水果!$M$4:$M$1203,$T85)=0,"",INDEX(对接源_01水果!$M$4:$M$1203,$T85)))</f>
      </c>
      <c r="S85" s="7" t="n"/>
      <c r="T85" s="7">
        <f>IF(ROW()-5&gt;$U$1203,"",MATCH(ROW()-5,$U$4:$U$1203,0))</f>
      </c>
      <c r="U85">
        <f>N(U84)+IF(AND($B$2&lt;&gt;"",对接源_01水果!$AH85=$B$2,对接源_01水果!$B85&gt;=$U$1,对接源_01水果!$B85&lt;=$U$2),1,0)</f>
        <v>0</v>
      </c>
    </row>
    <row r="86" ht="15.75" customHeight="1" s="127">
      <c r="A86" s="191">
        <f>IF($T86="","",IF(INDEX(对接源_01水果!$B$4:$B$1203,$T86)=0,"",INDEX(对接源_01水果!$B$4:$B$1203,$T86)))</f>
      </c>
      <c r="B86" s="84">
        <f>IF($T86="","",IF(INDEX(对接源_01水果!$E$4:$E$1203,$T86)=0,"",INDEX(对接源_01水果!$E$4:$E$1203,$T86)))</f>
      </c>
      <c r="C86" s="84">
        <f>IF($T86="","",IF(INDEX(对接源_01水果!$AC$4:$AC$1203,$T86)=0,"",INDEX(对接源_01水果!$AC$4:$AC$1203,$T86)))</f>
      </c>
      <c r="D86" s="84">
        <f>IF($T86="","",IF(INDEX(对接源_01水果!$F$4:$F$1203,$T86)=0,"",INDEX(对接源_01水果!$F$4:$F$1203,$T86)))</f>
      </c>
      <c r="E86" s="84">
        <f>IF($T86="","",IF(INDEX(对接源_01水果!$G$4:$G$1203,$T86)=0,"",INDEX(对接源_01水果!$G$4:$G$1203,$T86)))</f>
      </c>
      <c r="F86" s="84">
        <f>IF($T86="","",IF(INDEX(对接源_01水果!$H$4:$H$1203,$T86)=0,"",INDEX(对接源_01水果!$H$4:$H$1203,$T86)))</f>
      </c>
      <c r="G86" s="84">
        <f>IF($T86="","",IF(INDEX(对接源_01水果!$I$4:$I$1203,$T86)=0,"",INDEX(对接源_01水果!$I$4:$I$1203,$T86)))</f>
      </c>
      <c r="H86" s="86">
        <f>IF($T86="","",IF(INDEX(对接源_01水果!$AD$4:$AD$1203,$T86)=0,"",INDEX(对接源_01水果!$AD$4:$AD$1203,$T86)))</f>
      </c>
      <c r="I86" s="86">
        <f>IF($T86="","",IF(INDEX(对接源_01水果!$AI$4:$AI$1203,$T86)=0,"",INDEX(对接源_01水果!$AI$4:$AI$1203,$T86)))</f>
      </c>
      <c r="J86" s="86">
        <f>IF($T86="","",IF(INDEX(对接源_01水果!$AE$4:$AE$1203,$T86)=0,"",INDEX(对接源_01水果!$AE$4:$AE$1203,$T86)))</f>
      </c>
      <c r="K86" s="86">
        <f>IF($T86="","",IF(INDEX(对接源_01水果!$AF$4:$AF$1203,$T86)=0,"",INDEX(对接源_01水果!$AF$4:$AF$1203,$T86)))</f>
      </c>
      <c r="L86" s="86">
        <f>IF($T86="","",IF(INDEX(对接源_01水果!$K$4:$K$1203,$T86)=0,"",INDEX(对接源_01水果!$K$4:$K$1203,$T86)))</f>
      </c>
      <c r="M86" s="84">
        <f>IF($T86="","",IF(INDEX(对接源_01水果!$L$4:$L$1203,$T86)=0,"",INDEX(对接源_01水果!$L$4:$L$1203,$T86)))</f>
      </c>
      <c r="N86" s="87">
        <f>IF($T86="","",IF(INDEX(对接源_01水果!$M$4:$M$1203,$T86)=0,"",INDEX(对接源_01水果!$M$4:$M$1203,$T86)))</f>
      </c>
      <c r="S86" s="7" t="n"/>
      <c r="T86" s="7">
        <f>IF(ROW()-5&gt;$U$1203,"",MATCH(ROW()-5,$U$4:$U$1203,0))</f>
      </c>
      <c r="U86">
        <f>N(U85)+IF(AND($B$2&lt;&gt;"",对接源_01水果!$AH86=$B$2,对接源_01水果!$B86&gt;=$U$1,对接源_01水果!$B86&lt;=$U$2),1,0)</f>
        <v>0</v>
      </c>
    </row>
    <row r="87" ht="15.75" customHeight="1" s="127">
      <c r="A87" s="191">
        <f>IF($T87="","",IF(INDEX(对接源_01水果!$B$4:$B$1203,$T87)=0,"",INDEX(对接源_01水果!$B$4:$B$1203,$T87)))</f>
      </c>
      <c r="B87" s="84">
        <f>IF($T87="","",IF(INDEX(对接源_01水果!$E$4:$E$1203,$T87)=0,"",INDEX(对接源_01水果!$E$4:$E$1203,$T87)))</f>
      </c>
      <c r="C87" s="84">
        <f>IF($T87="","",IF(INDEX(对接源_01水果!$AC$4:$AC$1203,$T87)=0,"",INDEX(对接源_01水果!$AC$4:$AC$1203,$T87)))</f>
      </c>
      <c r="D87" s="84">
        <f>IF($T87="","",IF(INDEX(对接源_01水果!$F$4:$F$1203,$T87)=0,"",INDEX(对接源_01水果!$F$4:$F$1203,$T87)))</f>
      </c>
      <c r="E87" s="84">
        <f>IF($T87="","",IF(INDEX(对接源_01水果!$G$4:$G$1203,$T87)=0,"",INDEX(对接源_01水果!$G$4:$G$1203,$T87)))</f>
      </c>
      <c r="F87" s="84">
        <f>IF($T87="","",IF(INDEX(对接源_01水果!$H$4:$H$1203,$T87)=0,"",INDEX(对接源_01水果!$H$4:$H$1203,$T87)))</f>
      </c>
      <c r="G87" s="84">
        <f>IF($T87="","",IF(INDEX(对接源_01水果!$I$4:$I$1203,$T87)=0,"",INDEX(对接源_01水果!$I$4:$I$1203,$T87)))</f>
      </c>
      <c r="H87" s="86">
        <f>IF($T87="","",IF(INDEX(对接源_01水果!$AD$4:$AD$1203,$T87)=0,"",INDEX(对接源_01水果!$AD$4:$AD$1203,$T87)))</f>
      </c>
      <c r="I87" s="86">
        <f>IF($T87="","",IF(INDEX(对接源_01水果!$AI$4:$AI$1203,$T87)=0,"",INDEX(对接源_01水果!$AI$4:$AI$1203,$T87)))</f>
      </c>
      <c r="J87" s="86">
        <f>IF($T87="","",IF(INDEX(对接源_01水果!$AE$4:$AE$1203,$T87)=0,"",INDEX(对接源_01水果!$AE$4:$AE$1203,$T87)))</f>
      </c>
      <c r="K87" s="86">
        <f>IF($T87="","",IF(INDEX(对接源_01水果!$AF$4:$AF$1203,$T87)=0,"",INDEX(对接源_01水果!$AF$4:$AF$1203,$T87)))</f>
      </c>
      <c r="L87" s="86">
        <f>IF($T87="","",IF(INDEX(对接源_01水果!$K$4:$K$1203,$T87)=0,"",INDEX(对接源_01水果!$K$4:$K$1203,$T87)))</f>
      </c>
      <c r="M87" s="84">
        <f>IF($T87="","",IF(INDEX(对接源_01水果!$L$4:$L$1203,$T87)=0,"",INDEX(对接源_01水果!$L$4:$L$1203,$T87)))</f>
      </c>
      <c r="N87" s="87">
        <f>IF($T87="","",IF(INDEX(对接源_01水果!$M$4:$M$1203,$T87)=0,"",INDEX(对接源_01水果!$M$4:$M$1203,$T87)))</f>
      </c>
      <c r="S87" s="7" t="n"/>
      <c r="T87" s="7">
        <f>IF(ROW()-5&gt;$U$1203,"",MATCH(ROW()-5,$U$4:$U$1203,0))</f>
      </c>
      <c r="U87">
        <f>N(U86)+IF(AND($B$2&lt;&gt;"",对接源_01水果!$AH87=$B$2,对接源_01水果!$B87&gt;=$U$1,对接源_01水果!$B87&lt;=$U$2),1,0)</f>
        <v>0</v>
      </c>
    </row>
    <row r="88" ht="15.75" customHeight="1" s="127">
      <c r="A88" s="191">
        <f>IF($T88="","",IF(INDEX(对接源_01水果!$B$4:$B$1203,$T88)=0,"",INDEX(对接源_01水果!$B$4:$B$1203,$T88)))</f>
      </c>
      <c r="B88" s="84">
        <f>IF($T88="","",IF(INDEX(对接源_01水果!$E$4:$E$1203,$T88)=0,"",INDEX(对接源_01水果!$E$4:$E$1203,$T88)))</f>
      </c>
      <c r="C88" s="84">
        <f>IF($T88="","",IF(INDEX(对接源_01水果!$AC$4:$AC$1203,$T88)=0,"",INDEX(对接源_01水果!$AC$4:$AC$1203,$T88)))</f>
      </c>
      <c r="D88" s="84">
        <f>IF($T88="","",IF(INDEX(对接源_01水果!$F$4:$F$1203,$T88)=0,"",INDEX(对接源_01水果!$F$4:$F$1203,$T88)))</f>
      </c>
      <c r="E88" s="84">
        <f>IF($T88="","",IF(INDEX(对接源_01水果!$G$4:$G$1203,$T88)=0,"",INDEX(对接源_01水果!$G$4:$G$1203,$T88)))</f>
      </c>
      <c r="F88" s="84">
        <f>IF($T88="","",IF(INDEX(对接源_01水果!$H$4:$H$1203,$T88)=0,"",INDEX(对接源_01水果!$H$4:$H$1203,$T88)))</f>
      </c>
      <c r="G88" s="84">
        <f>IF($T88="","",IF(INDEX(对接源_01水果!$I$4:$I$1203,$T88)=0,"",INDEX(对接源_01水果!$I$4:$I$1203,$T88)))</f>
      </c>
      <c r="H88" s="86">
        <f>IF($T88="","",IF(INDEX(对接源_01水果!$AD$4:$AD$1203,$T88)=0,"",INDEX(对接源_01水果!$AD$4:$AD$1203,$T88)))</f>
      </c>
      <c r="I88" s="86">
        <f>IF($T88="","",IF(INDEX(对接源_01水果!$AI$4:$AI$1203,$T88)=0,"",INDEX(对接源_01水果!$AI$4:$AI$1203,$T88)))</f>
      </c>
      <c r="J88" s="86">
        <f>IF($T88="","",IF(INDEX(对接源_01水果!$AE$4:$AE$1203,$T88)=0,"",INDEX(对接源_01水果!$AE$4:$AE$1203,$T88)))</f>
      </c>
      <c r="K88" s="86">
        <f>IF($T88="","",IF(INDEX(对接源_01水果!$AF$4:$AF$1203,$T88)=0,"",INDEX(对接源_01水果!$AF$4:$AF$1203,$T88)))</f>
      </c>
      <c r="L88" s="86">
        <f>IF($T88="","",IF(INDEX(对接源_01水果!$K$4:$K$1203,$T88)=0,"",INDEX(对接源_01水果!$K$4:$K$1203,$T88)))</f>
      </c>
      <c r="M88" s="84">
        <f>IF($T88="","",IF(INDEX(对接源_01水果!$L$4:$L$1203,$T88)=0,"",INDEX(对接源_01水果!$L$4:$L$1203,$T88)))</f>
      </c>
      <c r="N88" s="87">
        <f>IF($T88="","",IF(INDEX(对接源_01水果!$M$4:$M$1203,$T88)=0,"",INDEX(对接源_01水果!$M$4:$M$1203,$T88)))</f>
      </c>
      <c r="S88" s="7" t="n"/>
      <c r="T88" s="7">
        <f>IF(ROW()-5&gt;$U$1203,"",MATCH(ROW()-5,$U$4:$U$1203,0))</f>
      </c>
      <c r="U88">
        <f>N(U87)+IF(AND($B$2&lt;&gt;"",对接源_01水果!$AH88=$B$2,对接源_01水果!$B88&gt;=$U$1,对接源_01水果!$B88&lt;=$U$2),1,0)</f>
        <v>0</v>
      </c>
    </row>
    <row r="89" ht="15.75" customHeight="1" s="127">
      <c r="A89" s="191">
        <f>IF($T89="","",IF(INDEX(对接源_01水果!$B$4:$B$1203,$T89)=0,"",INDEX(对接源_01水果!$B$4:$B$1203,$T89)))</f>
      </c>
      <c r="B89" s="84">
        <f>IF($T89="","",IF(INDEX(对接源_01水果!$E$4:$E$1203,$T89)=0,"",INDEX(对接源_01水果!$E$4:$E$1203,$T89)))</f>
      </c>
      <c r="C89" s="84">
        <f>IF($T89="","",IF(INDEX(对接源_01水果!$AC$4:$AC$1203,$T89)=0,"",INDEX(对接源_01水果!$AC$4:$AC$1203,$T89)))</f>
      </c>
      <c r="D89" s="84">
        <f>IF($T89="","",IF(INDEX(对接源_01水果!$F$4:$F$1203,$T89)=0,"",INDEX(对接源_01水果!$F$4:$F$1203,$T89)))</f>
      </c>
      <c r="E89" s="84">
        <f>IF($T89="","",IF(INDEX(对接源_01水果!$G$4:$G$1203,$T89)=0,"",INDEX(对接源_01水果!$G$4:$G$1203,$T89)))</f>
      </c>
      <c r="F89" s="84">
        <f>IF($T89="","",IF(INDEX(对接源_01水果!$H$4:$H$1203,$T89)=0,"",INDEX(对接源_01水果!$H$4:$H$1203,$T89)))</f>
      </c>
      <c r="G89" s="84">
        <f>IF($T89="","",IF(INDEX(对接源_01水果!$I$4:$I$1203,$T89)=0,"",INDEX(对接源_01水果!$I$4:$I$1203,$T89)))</f>
      </c>
      <c r="H89" s="86">
        <f>IF($T89="","",IF(INDEX(对接源_01水果!$AD$4:$AD$1203,$T89)=0,"",INDEX(对接源_01水果!$AD$4:$AD$1203,$T89)))</f>
      </c>
      <c r="I89" s="86">
        <f>IF($T89="","",IF(INDEX(对接源_01水果!$AI$4:$AI$1203,$T89)=0,"",INDEX(对接源_01水果!$AI$4:$AI$1203,$T89)))</f>
      </c>
      <c r="J89" s="86">
        <f>IF($T89="","",IF(INDEX(对接源_01水果!$AE$4:$AE$1203,$T89)=0,"",INDEX(对接源_01水果!$AE$4:$AE$1203,$T89)))</f>
      </c>
      <c r="K89" s="86">
        <f>IF($T89="","",IF(INDEX(对接源_01水果!$AF$4:$AF$1203,$T89)=0,"",INDEX(对接源_01水果!$AF$4:$AF$1203,$T89)))</f>
      </c>
      <c r="L89" s="86">
        <f>IF($T89="","",IF(INDEX(对接源_01水果!$K$4:$K$1203,$T89)=0,"",INDEX(对接源_01水果!$K$4:$K$1203,$T89)))</f>
      </c>
      <c r="M89" s="84">
        <f>IF($T89="","",IF(INDEX(对接源_01水果!$L$4:$L$1203,$T89)=0,"",INDEX(对接源_01水果!$L$4:$L$1203,$T89)))</f>
      </c>
      <c r="N89" s="87">
        <f>IF($T89="","",IF(INDEX(对接源_01水果!$M$4:$M$1203,$T89)=0,"",INDEX(对接源_01水果!$M$4:$M$1203,$T89)))</f>
      </c>
      <c r="S89" s="7" t="n"/>
      <c r="T89" s="7">
        <f>IF(ROW()-5&gt;$U$1203,"",MATCH(ROW()-5,$U$4:$U$1203,0))</f>
      </c>
      <c r="U89">
        <f>N(U88)+IF(AND($B$2&lt;&gt;"",对接源_01水果!$AH89=$B$2,对接源_01水果!$B89&gt;=$U$1,对接源_01水果!$B89&lt;=$U$2),1,0)</f>
        <v>0</v>
      </c>
    </row>
    <row r="90" ht="15.75" customHeight="1" s="127">
      <c r="A90" s="191">
        <f>IF($T90="","",IF(INDEX(对接源_01水果!$B$4:$B$1203,$T90)=0,"",INDEX(对接源_01水果!$B$4:$B$1203,$T90)))</f>
      </c>
      <c r="B90" s="84">
        <f>IF($T90="","",IF(INDEX(对接源_01水果!$E$4:$E$1203,$T90)=0,"",INDEX(对接源_01水果!$E$4:$E$1203,$T90)))</f>
      </c>
      <c r="C90" s="84">
        <f>IF($T90="","",IF(INDEX(对接源_01水果!$AC$4:$AC$1203,$T90)=0,"",INDEX(对接源_01水果!$AC$4:$AC$1203,$T90)))</f>
      </c>
      <c r="D90" s="84">
        <f>IF($T90="","",IF(INDEX(对接源_01水果!$F$4:$F$1203,$T90)=0,"",INDEX(对接源_01水果!$F$4:$F$1203,$T90)))</f>
      </c>
      <c r="E90" s="84">
        <f>IF($T90="","",IF(INDEX(对接源_01水果!$G$4:$G$1203,$T90)=0,"",INDEX(对接源_01水果!$G$4:$G$1203,$T90)))</f>
      </c>
      <c r="F90" s="84">
        <f>IF($T90="","",IF(INDEX(对接源_01水果!$H$4:$H$1203,$T90)=0,"",INDEX(对接源_01水果!$H$4:$H$1203,$T90)))</f>
      </c>
      <c r="G90" s="84">
        <f>IF($T90="","",IF(INDEX(对接源_01水果!$I$4:$I$1203,$T90)=0,"",INDEX(对接源_01水果!$I$4:$I$1203,$T90)))</f>
      </c>
      <c r="H90" s="86">
        <f>IF($T90="","",IF(INDEX(对接源_01水果!$AD$4:$AD$1203,$T90)=0,"",INDEX(对接源_01水果!$AD$4:$AD$1203,$T90)))</f>
      </c>
      <c r="I90" s="86">
        <f>IF($T90="","",IF(INDEX(对接源_01水果!$AI$4:$AI$1203,$T90)=0,"",INDEX(对接源_01水果!$AI$4:$AI$1203,$T90)))</f>
      </c>
      <c r="J90" s="86">
        <f>IF($T90="","",IF(INDEX(对接源_01水果!$AE$4:$AE$1203,$T90)=0,"",INDEX(对接源_01水果!$AE$4:$AE$1203,$T90)))</f>
      </c>
      <c r="K90" s="86">
        <f>IF($T90="","",IF(INDEX(对接源_01水果!$AF$4:$AF$1203,$T90)=0,"",INDEX(对接源_01水果!$AF$4:$AF$1203,$T90)))</f>
      </c>
      <c r="L90" s="86">
        <f>IF($T90="","",IF(INDEX(对接源_01水果!$K$4:$K$1203,$T90)=0,"",INDEX(对接源_01水果!$K$4:$K$1203,$T90)))</f>
      </c>
      <c r="M90" s="84">
        <f>IF($T90="","",IF(INDEX(对接源_01水果!$L$4:$L$1203,$T90)=0,"",INDEX(对接源_01水果!$L$4:$L$1203,$T90)))</f>
      </c>
      <c r="N90" s="87">
        <f>IF($T90="","",IF(INDEX(对接源_01水果!$M$4:$M$1203,$T90)=0,"",INDEX(对接源_01水果!$M$4:$M$1203,$T90)))</f>
      </c>
      <c r="S90" s="7" t="n"/>
      <c r="T90" s="7">
        <f>IF(ROW()-5&gt;$U$1203,"",MATCH(ROW()-5,$U$4:$U$1203,0))</f>
      </c>
      <c r="U90">
        <f>N(U89)+IF(AND($B$2&lt;&gt;"",对接源_01水果!$AH90=$B$2,对接源_01水果!$B90&gt;=$U$1,对接源_01水果!$B90&lt;=$U$2),1,0)</f>
        <v>0</v>
      </c>
    </row>
    <row r="91" ht="15.75" customHeight="1" s="127">
      <c r="A91" s="191">
        <f>IF($T91="","",IF(INDEX(对接源_01水果!$B$4:$B$1203,$T91)=0,"",INDEX(对接源_01水果!$B$4:$B$1203,$T91)))</f>
      </c>
      <c r="B91" s="84">
        <f>IF($T91="","",IF(INDEX(对接源_01水果!$E$4:$E$1203,$T91)=0,"",INDEX(对接源_01水果!$E$4:$E$1203,$T91)))</f>
      </c>
      <c r="C91" s="84">
        <f>IF($T91="","",IF(INDEX(对接源_01水果!$AC$4:$AC$1203,$T91)=0,"",INDEX(对接源_01水果!$AC$4:$AC$1203,$T91)))</f>
      </c>
      <c r="D91" s="84">
        <f>IF($T91="","",IF(INDEX(对接源_01水果!$F$4:$F$1203,$T91)=0,"",INDEX(对接源_01水果!$F$4:$F$1203,$T91)))</f>
      </c>
      <c r="E91" s="84">
        <f>IF($T91="","",IF(INDEX(对接源_01水果!$G$4:$G$1203,$T91)=0,"",INDEX(对接源_01水果!$G$4:$G$1203,$T91)))</f>
      </c>
      <c r="F91" s="84">
        <f>IF($T91="","",IF(INDEX(对接源_01水果!$H$4:$H$1203,$T91)=0,"",INDEX(对接源_01水果!$H$4:$H$1203,$T91)))</f>
      </c>
      <c r="G91" s="84">
        <f>IF($T91="","",IF(INDEX(对接源_01水果!$I$4:$I$1203,$T91)=0,"",INDEX(对接源_01水果!$I$4:$I$1203,$T91)))</f>
      </c>
      <c r="H91" s="86">
        <f>IF($T91="","",IF(INDEX(对接源_01水果!$AD$4:$AD$1203,$T91)=0,"",INDEX(对接源_01水果!$AD$4:$AD$1203,$T91)))</f>
      </c>
      <c r="I91" s="86">
        <f>IF($T91="","",IF(INDEX(对接源_01水果!$AI$4:$AI$1203,$T91)=0,"",INDEX(对接源_01水果!$AI$4:$AI$1203,$T91)))</f>
      </c>
      <c r="J91" s="86">
        <f>IF($T91="","",IF(INDEX(对接源_01水果!$AE$4:$AE$1203,$T91)=0,"",INDEX(对接源_01水果!$AE$4:$AE$1203,$T91)))</f>
      </c>
      <c r="K91" s="86">
        <f>IF($T91="","",IF(INDEX(对接源_01水果!$AF$4:$AF$1203,$T91)=0,"",INDEX(对接源_01水果!$AF$4:$AF$1203,$T91)))</f>
      </c>
      <c r="L91" s="86">
        <f>IF($T91="","",IF(INDEX(对接源_01水果!$K$4:$K$1203,$T91)=0,"",INDEX(对接源_01水果!$K$4:$K$1203,$T91)))</f>
      </c>
      <c r="M91" s="84">
        <f>IF($T91="","",IF(INDEX(对接源_01水果!$L$4:$L$1203,$T91)=0,"",INDEX(对接源_01水果!$L$4:$L$1203,$T91)))</f>
      </c>
      <c r="N91" s="87">
        <f>IF($T91="","",IF(INDEX(对接源_01水果!$M$4:$M$1203,$T91)=0,"",INDEX(对接源_01水果!$M$4:$M$1203,$T91)))</f>
      </c>
      <c r="S91" s="7" t="n"/>
      <c r="T91" s="7">
        <f>IF(ROW()-5&gt;$U$1203,"",MATCH(ROW()-5,$U$4:$U$1203,0))</f>
      </c>
      <c r="U91">
        <f>N(U90)+IF(AND($B$2&lt;&gt;"",对接源_01水果!$AH91=$B$2,对接源_01水果!$B91&gt;=$U$1,对接源_01水果!$B91&lt;=$U$2),1,0)</f>
        <v>0</v>
      </c>
    </row>
    <row r="92" ht="15.75" customHeight="1" s="127">
      <c r="A92" s="191">
        <f>IF($T92="","",IF(INDEX(对接源_01水果!$B$4:$B$1203,$T92)=0,"",INDEX(对接源_01水果!$B$4:$B$1203,$T92)))</f>
      </c>
      <c r="B92" s="84">
        <f>IF($T92="","",IF(INDEX(对接源_01水果!$E$4:$E$1203,$T92)=0,"",INDEX(对接源_01水果!$E$4:$E$1203,$T92)))</f>
      </c>
      <c r="C92" s="84">
        <f>IF($T92="","",IF(INDEX(对接源_01水果!$AC$4:$AC$1203,$T92)=0,"",INDEX(对接源_01水果!$AC$4:$AC$1203,$T92)))</f>
      </c>
      <c r="D92" s="84">
        <f>IF($T92="","",IF(INDEX(对接源_01水果!$F$4:$F$1203,$T92)=0,"",INDEX(对接源_01水果!$F$4:$F$1203,$T92)))</f>
      </c>
      <c r="E92" s="84">
        <f>IF($T92="","",IF(INDEX(对接源_01水果!$G$4:$G$1203,$T92)=0,"",INDEX(对接源_01水果!$G$4:$G$1203,$T92)))</f>
      </c>
      <c r="F92" s="84">
        <f>IF($T92="","",IF(INDEX(对接源_01水果!$H$4:$H$1203,$T92)=0,"",INDEX(对接源_01水果!$H$4:$H$1203,$T92)))</f>
      </c>
      <c r="G92" s="84">
        <f>IF($T92="","",IF(INDEX(对接源_01水果!$I$4:$I$1203,$T92)=0,"",INDEX(对接源_01水果!$I$4:$I$1203,$T92)))</f>
      </c>
      <c r="H92" s="86">
        <f>IF($T92="","",IF(INDEX(对接源_01水果!$AD$4:$AD$1203,$T92)=0,"",INDEX(对接源_01水果!$AD$4:$AD$1203,$T92)))</f>
      </c>
      <c r="I92" s="86">
        <f>IF($T92="","",IF(INDEX(对接源_01水果!$AI$4:$AI$1203,$T92)=0,"",INDEX(对接源_01水果!$AI$4:$AI$1203,$T92)))</f>
      </c>
      <c r="J92" s="86">
        <f>IF($T92="","",IF(INDEX(对接源_01水果!$AE$4:$AE$1203,$T92)=0,"",INDEX(对接源_01水果!$AE$4:$AE$1203,$T92)))</f>
      </c>
      <c r="K92" s="86">
        <f>IF($T92="","",IF(INDEX(对接源_01水果!$AF$4:$AF$1203,$T92)=0,"",INDEX(对接源_01水果!$AF$4:$AF$1203,$T92)))</f>
      </c>
      <c r="L92" s="86">
        <f>IF($T92="","",IF(INDEX(对接源_01水果!$K$4:$K$1203,$T92)=0,"",INDEX(对接源_01水果!$K$4:$K$1203,$T92)))</f>
      </c>
      <c r="M92" s="84">
        <f>IF($T92="","",IF(INDEX(对接源_01水果!$L$4:$L$1203,$T92)=0,"",INDEX(对接源_01水果!$L$4:$L$1203,$T92)))</f>
      </c>
      <c r="N92" s="87">
        <f>IF($T92="","",IF(INDEX(对接源_01水果!$M$4:$M$1203,$T92)=0,"",INDEX(对接源_01水果!$M$4:$M$1203,$T92)))</f>
      </c>
      <c r="S92" s="7" t="n"/>
      <c r="T92" s="7">
        <f>IF(ROW()-5&gt;$U$1203,"",MATCH(ROW()-5,$U$4:$U$1203,0))</f>
      </c>
      <c r="U92">
        <f>N(U91)+IF(AND($B$2&lt;&gt;"",对接源_01水果!$AH92=$B$2,对接源_01水果!$B92&gt;=$U$1,对接源_01水果!$B92&lt;=$U$2),1,0)</f>
        <v>0</v>
      </c>
    </row>
    <row r="93" ht="15.75" customHeight="1" s="127">
      <c r="A93" s="191">
        <f>IF($T93="","",IF(INDEX(对接源_01水果!$B$4:$B$1203,$T93)=0,"",INDEX(对接源_01水果!$B$4:$B$1203,$T93)))</f>
      </c>
      <c r="B93" s="84">
        <f>IF($T93="","",IF(INDEX(对接源_01水果!$E$4:$E$1203,$T93)=0,"",INDEX(对接源_01水果!$E$4:$E$1203,$T93)))</f>
      </c>
      <c r="C93" s="84">
        <f>IF($T93="","",IF(INDEX(对接源_01水果!$AC$4:$AC$1203,$T93)=0,"",INDEX(对接源_01水果!$AC$4:$AC$1203,$T93)))</f>
      </c>
      <c r="D93" s="84">
        <f>IF($T93="","",IF(INDEX(对接源_01水果!$F$4:$F$1203,$T93)=0,"",INDEX(对接源_01水果!$F$4:$F$1203,$T93)))</f>
      </c>
      <c r="E93" s="84">
        <f>IF($T93="","",IF(INDEX(对接源_01水果!$G$4:$G$1203,$T93)=0,"",INDEX(对接源_01水果!$G$4:$G$1203,$T93)))</f>
      </c>
      <c r="F93" s="84">
        <f>IF($T93="","",IF(INDEX(对接源_01水果!$H$4:$H$1203,$T93)=0,"",INDEX(对接源_01水果!$H$4:$H$1203,$T93)))</f>
      </c>
      <c r="G93" s="84">
        <f>IF($T93="","",IF(INDEX(对接源_01水果!$I$4:$I$1203,$T93)=0,"",INDEX(对接源_01水果!$I$4:$I$1203,$T93)))</f>
      </c>
      <c r="H93" s="86">
        <f>IF($T93="","",IF(INDEX(对接源_01水果!$AD$4:$AD$1203,$T93)=0,"",INDEX(对接源_01水果!$AD$4:$AD$1203,$T93)))</f>
      </c>
      <c r="I93" s="86">
        <f>IF($T93="","",IF(INDEX(对接源_01水果!$AI$4:$AI$1203,$T93)=0,"",INDEX(对接源_01水果!$AI$4:$AI$1203,$T93)))</f>
      </c>
      <c r="J93" s="86">
        <f>IF($T93="","",IF(INDEX(对接源_01水果!$AE$4:$AE$1203,$T93)=0,"",INDEX(对接源_01水果!$AE$4:$AE$1203,$T93)))</f>
      </c>
      <c r="K93" s="86">
        <f>IF($T93="","",IF(INDEX(对接源_01水果!$AF$4:$AF$1203,$T93)=0,"",INDEX(对接源_01水果!$AF$4:$AF$1203,$T93)))</f>
      </c>
      <c r="L93" s="86">
        <f>IF($T93="","",IF(INDEX(对接源_01水果!$K$4:$K$1203,$T93)=0,"",INDEX(对接源_01水果!$K$4:$K$1203,$T93)))</f>
      </c>
      <c r="M93" s="84">
        <f>IF($T93="","",IF(INDEX(对接源_01水果!$L$4:$L$1203,$T93)=0,"",INDEX(对接源_01水果!$L$4:$L$1203,$T93)))</f>
      </c>
      <c r="N93" s="87">
        <f>IF($T93="","",IF(INDEX(对接源_01水果!$M$4:$M$1203,$T93)=0,"",INDEX(对接源_01水果!$M$4:$M$1203,$T93)))</f>
      </c>
      <c r="S93" s="7" t="n"/>
      <c r="T93" s="7">
        <f>IF(ROW()-5&gt;$U$1203,"",MATCH(ROW()-5,$U$4:$U$1203,0))</f>
      </c>
      <c r="U93">
        <f>N(U92)+IF(AND($B$2&lt;&gt;"",对接源_01水果!$AH93=$B$2,对接源_01水果!$B93&gt;=$U$1,对接源_01水果!$B93&lt;=$U$2),1,0)</f>
        <v>0</v>
      </c>
    </row>
    <row r="94" ht="15.75" customHeight="1" s="127">
      <c r="A94" s="191">
        <f>IF($T94="","",IF(INDEX(对接源_01水果!$B$4:$B$1203,$T94)=0,"",INDEX(对接源_01水果!$B$4:$B$1203,$T94)))</f>
      </c>
      <c r="B94" s="84">
        <f>IF($T94="","",IF(INDEX(对接源_01水果!$E$4:$E$1203,$T94)=0,"",INDEX(对接源_01水果!$E$4:$E$1203,$T94)))</f>
      </c>
      <c r="C94" s="84">
        <f>IF($T94="","",IF(INDEX(对接源_01水果!$AC$4:$AC$1203,$T94)=0,"",INDEX(对接源_01水果!$AC$4:$AC$1203,$T94)))</f>
      </c>
      <c r="D94" s="84">
        <f>IF($T94="","",IF(INDEX(对接源_01水果!$F$4:$F$1203,$T94)=0,"",INDEX(对接源_01水果!$F$4:$F$1203,$T94)))</f>
      </c>
      <c r="E94" s="84">
        <f>IF($T94="","",IF(INDEX(对接源_01水果!$G$4:$G$1203,$T94)=0,"",INDEX(对接源_01水果!$G$4:$G$1203,$T94)))</f>
      </c>
      <c r="F94" s="84">
        <f>IF($T94="","",IF(INDEX(对接源_01水果!$H$4:$H$1203,$T94)=0,"",INDEX(对接源_01水果!$H$4:$H$1203,$T94)))</f>
      </c>
      <c r="G94" s="84">
        <f>IF($T94="","",IF(INDEX(对接源_01水果!$I$4:$I$1203,$T94)=0,"",INDEX(对接源_01水果!$I$4:$I$1203,$T94)))</f>
      </c>
      <c r="H94" s="86">
        <f>IF($T94="","",IF(INDEX(对接源_01水果!$AD$4:$AD$1203,$T94)=0,"",INDEX(对接源_01水果!$AD$4:$AD$1203,$T94)))</f>
      </c>
      <c r="I94" s="86">
        <f>IF($T94="","",IF(INDEX(对接源_01水果!$AI$4:$AI$1203,$T94)=0,"",INDEX(对接源_01水果!$AI$4:$AI$1203,$T94)))</f>
      </c>
      <c r="J94" s="86">
        <f>IF($T94="","",IF(INDEX(对接源_01水果!$AE$4:$AE$1203,$T94)=0,"",INDEX(对接源_01水果!$AE$4:$AE$1203,$T94)))</f>
      </c>
      <c r="K94" s="86">
        <f>IF($T94="","",IF(INDEX(对接源_01水果!$AF$4:$AF$1203,$T94)=0,"",INDEX(对接源_01水果!$AF$4:$AF$1203,$T94)))</f>
      </c>
      <c r="L94" s="86">
        <f>IF($T94="","",IF(INDEX(对接源_01水果!$K$4:$K$1203,$T94)=0,"",INDEX(对接源_01水果!$K$4:$K$1203,$T94)))</f>
      </c>
      <c r="M94" s="84">
        <f>IF($T94="","",IF(INDEX(对接源_01水果!$L$4:$L$1203,$T94)=0,"",INDEX(对接源_01水果!$L$4:$L$1203,$T94)))</f>
      </c>
      <c r="N94" s="87">
        <f>IF($T94="","",IF(INDEX(对接源_01水果!$M$4:$M$1203,$T94)=0,"",INDEX(对接源_01水果!$M$4:$M$1203,$T94)))</f>
      </c>
      <c r="S94" s="7" t="n"/>
      <c r="T94" s="7">
        <f>IF(ROW()-5&gt;$U$1203,"",MATCH(ROW()-5,$U$4:$U$1203,0))</f>
      </c>
      <c r="U94">
        <f>N(U93)+IF(AND($B$2&lt;&gt;"",对接源_01水果!$AH94=$B$2,对接源_01水果!$B94&gt;=$U$1,对接源_01水果!$B94&lt;=$U$2),1,0)</f>
        <v>0</v>
      </c>
    </row>
    <row r="95" ht="15.75" customHeight="1" s="127">
      <c r="A95" s="191">
        <f>IF($T95="","",IF(INDEX(对接源_01水果!$B$4:$B$1203,$T95)=0,"",INDEX(对接源_01水果!$B$4:$B$1203,$T95)))</f>
      </c>
      <c r="B95" s="84">
        <f>IF($T95="","",IF(INDEX(对接源_01水果!$E$4:$E$1203,$T95)=0,"",INDEX(对接源_01水果!$E$4:$E$1203,$T95)))</f>
      </c>
      <c r="C95" s="84">
        <f>IF($T95="","",IF(INDEX(对接源_01水果!$AC$4:$AC$1203,$T95)=0,"",INDEX(对接源_01水果!$AC$4:$AC$1203,$T95)))</f>
      </c>
      <c r="D95" s="84">
        <f>IF($T95="","",IF(INDEX(对接源_01水果!$F$4:$F$1203,$T95)=0,"",INDEX(对接源_01水果!$F$4:$F$1203,$T95)))</f>
      </c>
      <c r="E95" s="84">
        <f>IF($T95="","",IF(INDEX(对接源_01水果!$G$4:$G$1203,$T95)=0,"",INDEX(对接源_01水果!$G$4:$G$1203,$T95)))</f>
      </c>
      <c r="F95" s="84">
        <f>IF($T95="","",IF(INDEX(对接源_01水果!$H$4:$H$1203,$T95)=0,"",INDEX(对接源_01水果!$H$4:$H$1203,$T95)))</f>
      </c>
      <c r="G95" s="84">
        <f>IF($T95="","",IF(INDEX(对接源_01水果!$I$4:$I$1203,$T95)=0,"",INDEX(对接源_01水果!$I$4:$I$1203,$T95)))</f>
      </c>
      <c r="H95" s="86">
        <f>IF($T95="","",IF(INDEX(对接源_01水果!$AD$4:$AD$1203,$T95)=0,"",INDEX(对接源_01水果!$AD$4:$AD$1203,$T95)))</f>
      </c>
      <c r="I95" s="86">
        <f>IF($T95="","",IF(INDEX(对接源_01水果!$AI$4:$AI$1203,$T95)=0,"",INDEX(对接源_01水果!$AI$4:$AI$1203,$T95)))</f>
      </c>
      <c r="J95" s="86">
        <f>IF($T95="","",IF(INDEX(对接源_01水果!$AE$4:$AE$1203,$T95)=0,"",INDEX(对接源_01水果!$AE$4:$AE$1203,$T95)))</f>
      </c>
      <c r="K95" s="86">
        <f>IF($T95="","",IF(INDEX(对接源_01水果!$AF$4:$AF$1203,$T95)=0,"",INDEX(对接源_01水果!$AF$4:$AF$1203,$T95)))</f>
      </c>
      <c r="L95" s="86">
        <f>IF($T95="","",IF(INDEX(对接源_01水果!$K$4:$K$1203,$T95)=0,"",INDEX(对接源_01水果!$K$4:$K$1203,$T95)))</f>
      </c>
      <c r="M95" s="84">
        <f>IF($T95="","",IF(INDEX(对接源_01水果!$L$4:$L$1203,$T95)=0,"",INDEX(对接源_01水果!$L$4:$L$1203,$T95)))</f>
      </c>
      <c r="N95" s="87">
        <f>IF($T95="","",IF(INDEX(对接源_01水果!$M$4:$M$1203,$T95)=0,"",INDEX(对接源_01水果!$M$4:$M$1203,$T95)))</f>
      </c>
      <c r="S95" s="7" t="n"/>
      <c r="T95" s="7">
        <f>IF(ROW()-5&gt;$U$1203,"",MATCH(ROW()-5,$U$4:$U$1203,0))</f>
      </c>
      <c r="U95">
        <f>N(U94)+IF(AND($B$2&lt;&gt;"",对接源_01水果!$AH95=$B$2,对接源_01水果!$B95&gt;=$U$1,对接源_01水果!$B95&lt;=$U$2),1,0)</f>
        <v>0</v>
      </c>
    </row>
    <row r="96" ht="15.75" customHeight="1" s="127">
      <c r="A96" s="191">
        <f>IF($T96="","",IF(INDEX(对接源_01水果!$B$4:$B$1203,$T96)=0,"",INDEX(对接源_01水果!$B$4:$B$1203,$T96)))</f>
      </c>
      <c r="B96" s="84">
        <f>IF($T96="","",IF(INDEX(对接源_01水果!$E$4:$E$1203,$T96)=0,"",INDEX(对接源_01水果!$E$4:$E$1203,$T96)))</f>
      </c>
      <c r="C96" s="84">
        <f>IF($T96="","",IF(INDEX(对接源_01水果!$AC$4:$AC$1203,$T96)=0,"",INDEX(对接源_01水果!$AC$4:$AC$1203,$T96)))</f>
      </c>
      <c r="D96" s="84">
        <f>IF($T96="","",IF(INDEX(对接源_01水果!$F$4:$F$1203,$T96)=0,"",INDEX(对接源_01水果!$F$4:$F$1203,$T96)))</f>
      </c>
      <c r="E96" s="84">
        <f>IF($T96="","",IF(INDEX(对接源_01水果!$G$4:$G$1203,$T96)=0,"",INDEX(对接源_01水果!$G$4:$G$1203,$T96)))</f>
      </c>
      <c r="F96" s="84">
        <f>IF($T96="","",IF(INDEX(对接源_01水果!$H$4:$H$1203,$T96)=0,"",INDEX(对接源_01水果!$H$4:$H$1203,$T96)))</f>
      </c>
      <c r="G96" s="84">
        <f>IF($T96="","",IF(INDEX(对接源_01水果!$I$4:$I$1203,$T96)=0,"",INDEX(对接源_01水果!$I$4:$I$1203,$T96)))</f>
      </c>
      <c r="H96" s="86">
        <f>IF($T96="","",IF(INDEX(对接源_01水果!$AD$4:$AD$1203,$T96)=0,"",INDEX(对接源_01水果!$AD$4:$AD$1203,$T96)))</f>
      </c>
      <c r="I96" s="86">
        <f>IF($T96="","",IF(INDEX(对接源_01水果!$AI$4:$AI$1203,$T96)=0,"",INDEX(对接源_01水果!$AI$4:$AI$1203,$T96)))</f>
      </c>
      <c r="J96" s="86">
        <f>IF($T96="","",IF(INDEX(对接源_01水果!$AE$4:$AE$1203,$T96)=0,"",INDEX(对接源_01水果!$AE$4:$AE$1203,$T96)))</f>
      </c>
      <c r="K96" s="86">
        <f>IF($T96="","",IF(INDEX(对接源_01水果!$AF$4:$AF$1203,$T96)=0,"",INDEX(对接源_01水果!$AF$4:$AF$1203,$T96)))</f>
      </c>
      <c r="L96" s="86">
        <f>IF($T96="","",IF(INDEX(对接源_01水果!$K$4:$K$1203,$T96)=0,"",INDEX(对接源_01水果!$K$4:$K$1203,$T96)))</f>
      </c>
      <c r="M96" s="84">
        <f>IF($T96="","",IF(INDEX(对接源_01水果!$L$4:$L$1203,$T96)=0,"",INDEX(对接源_01水果!$L$4:$L$1203,$T96)))</f>
      </c>
      <c r="N96" s="87">
        <f>IF($T96="","",IF(INDEX(对接源_01水果!$M$4:$M$1203,$T96)=0,"",INDEX(对接源_01水果!$M$4:$M$1203,$T96)))</f>
      </c>
      <c r="S96" s="7" t="n"/>
      <c r="T96" s="7">
        <f>IF(ROW()-5&gt;$U$1203,"",MATCH(ROW()-5,$U$4:$U$1203,0))</f>
      </c>
      <c r="U96">
        <f>N(U95)+IF(AND($B$2&lt;&gt;"",对接源_01水果!$AH96=$B$2,对接源_01水果!$B96&gt;=$U$1,对接源_01水果!$B96&lt;=$U$2),1,0)</f>
        <v>0</v>
      </c>
    </row>
    <row r="97" ht="15.75" customHeight="1" s="127">
      <c r="A97" s="191">
        <f>IF($T97="","",IF(INDEX(对接源_01水果!$B$4:$B$1203,$T97)=0,"",INDEX(对接源_01水果!$B$4:$B$1203,$T97)))</f>
      </c>
      <c r="B97" s="84">
        <f>IF($T97="","",IF(INDEX(对接源_01水果!$E$4:$E$1203,$T97)=0,"",INDEX(对接源_01水果!$E$4:$E$1203,$T97)))</f>
      </c>
      <c r="C97" s="84">
        <f>IF($T97="","",IF(INDEX(对接源_01水果!$AC$4:$AC$1203,$T97)=0,"",INDEX(对接源_01水果!$AC$4:$AC$1203,$T97)))</f>
      </c>
      <c r="D97" s="84">
        <f>IF($T97="","",IF(INDEX(对接源_01水果!$F$4:$F$1203,$T97)=0,"",INDEX(对接源_01水果!$F$4:$F$1203,$T97)))</f>
      </c>
      <c r="E97" s="84">
        <f>IF($T97="","",IF(INDEX(对接源_01水果!$G$4:$G$1203,$T97)=0,"",INDEX(对接源_01水果!$G$4:$G$1203,$T97)))</f>
      </c>
      <c r="F97" s="84">
        <f>IF($T97="","",IF(INDEX(对接源_01水果!$H$4:$H$1203,$T97)=0,"",INDEX(对接源_01水果!$H$4:$H$1203,$T97)))</f>
      </c>
      <c r="G97" s="84">
        <f>IF($T97="","",IF(INDEX(对接源_01水果!$I$4:$I$1203,$T97)=0,"",INDEX(对接源_01水果!$I$4:$I$1203,$T97)))</f>
      </c>
      <c r="H97" s="86">
        <f>IF($T97="","",IF(INDEX(对接源_01水果!$AD$4:$AD$1203,$T97)=0,"",INDEX(对接源_01水果!$AD$4:$AD$1203,$T97)))</f>
      </c>
      <c r="I97" s="86">
        <f>IF($T97="","",IF(INDEX(对接源_01水果!$AI$4:$AI$1203,$T97)=0,"",INDEX(对接源_01水果!$AI$4:$AI$1203,$T97)))</f>
      </c>
      <c r="J97" s="86">
        <f>IF($T97="","",IF(INDEX(对接源_01水果!$AE$4:$AE$1203,$T97)=0,"",INDEX(对接源_01水果!$AE$4:$AE$1203,$T97)))</f>
      </c>
      <c r="K97" s="86">
        <f>IF($T97="","",IF(INDEX(对接源_01水果!$AF$4:$AF$1203,$T97)=0,"",INDEX(对接源_01水果!$AF$4:$AF$1203,$T97)))</f>
      </c>
      <c r="L97" s="86">
        <f>IF($T97="","",IF(INDEX(对接源_01水果!$K$4:$K$1203,$T97)=0,"",INDEX(对接源_01水果!$K$4:$K$1203,$T97)))</f>
      </c>
      <c r="M97" s="84">
        <f>IF($T97="","",IF(INDEX(对接源_01水果!$L$4:$L$1203,$T97)=0,"",INDEX(对接源_01水果!$L$4:$L$1203,$T97)))</f>
      </c>
      <c r="N97" s="87">
        <f>IF($T97="","",IF(INDEX(对接源_01水果!$M$4:$M$1203,$T97)=0,"",INDEX(对接源_01水果!$M$4:$M$1203,$T97)))</f>
      </c>
      <c r="S97" s="7" t="n"/>
      <c r="T97" s="7">
        <f>IF(ROW()-5&gt;$U$1203,"",MATCH(ROW()-5,$U$4:$U$1203,0))</f>
      </c>
      <c r="U97">
        <f>N(U96)+IF(AND($B$2&lt;&gt;"",对接源_01水果!$AH97=$B$2,对接源_01水果!$B97&gt;=$U$1,对接源_01水果!$B97&lt;=$U$2),1,0)</f>
        <v>0</v>
      </c>
    </row>
    <row r="98" ht="15.75" customHeight="1" s="127">
      <c r="A98" s="191">
        <f>IF($T98="","",IF(INDEX(对接源_01水果!$B$4:$B$1203,$T98)=0,"",INDEX(对接源_01水果!$B$4:$B$1203,$T98)))</f>
      </c>
      <c r="B98" s="84">
        <f>IF($T98="","",IF(INDEX(对接源_01水果!$E$4:$E$1203,$T98)=0,"",INDEX(对接源_01水果!$E$4:$E$1203,$T98)))</f>
      </c>
      <c r="C98" s="84">
        <f>IF($T98="","",IF(INDEX(对接源_01水果!$AC$4:$AC$1203,$T98)=0,"",INDEX(对接源_01水果!$AC$4:$AC$1203,$T98)))</f>
      </c>
      <c r="D98" s="84">
        <f>IF($T98="","",IF(INDEX(对接源_01水果!$F$4:$F$1203,$T98)=0,"",INDEX(对接源_01水果!$F$4:$F$1203,$T98)))</f>
      </c>
      <c r="E98" s="84">
        <f>IF($T98="","",IF(INDEX(对接源_01水果!$G$4:$G$1203,$T98)=0,"",INDEX(对接源_01水果!$G$4:$G$1203,$T98)))</f>
      </c>
      <c r="F98" s="84">
        <f>IF($T98="","",IF(INDEX(对接源_01水果!$H$4:$H$1203,$T98)=0,"",INDEX(对接源_01水果!$H$4:$H$1203,$T98)))</f>
      </c>
      <c r="G98" s="84">
        <f>IF($T98="","",IF(INDEX(对接源_01水果!$I$4:$I$1203,$T98)=0,"",INDEX(对接源_01水果!$I$4:$I$1203,$T98)))</f>
      </c>
      <c r="H98" s="86">
        <f>IF($T98="","",IF(INDEX(对接源_01水果!$AD$4:$AD$1203,$T98)=0,"",INDEX(对接源_01水果!$AD$4:$AD$1203,$T98)))</f>
      </c>
      <c r="I98" s="86">
        <f>IF($T98="","",IF(INDEX(对接源_01水果!$AI$4:$AI$1203,$T98)=0,"",INDEX(对接源_01水果!$AI$4:$AI$1203,$T98)))</f>
      </c>
      <c r="J98" s="86">
        <f>IF($T98="","",IF(INDEX(对接源_01水果!$AE$4:$AE$1203,$T98)=0,"",INDEX(对接源_01水果!$AE$4:$AE$1203,$T98)))</f>
      </c>
      <c r="K98" s="86">
        <f>IF($T98="","",IF(INDEX(对接源_01水果!$AF$4:$AF$1203,$T98)=0,"",INDEX(对接源_01水果!$AF$4:$AF$1203,$T98)))</f>
      </c>
      <c r="L98" s="86">
        <f>IF($T98="","",IF(INDEX(对接源_01水果!$K$4:$K$1203,$T98)=0,"",INDEX(对接源_01水果!$K$4:$K$1203,$T98)))</f>
      </c>
      <c r="M98" s="84">
        <f>IF($T98="","",IF(INDEX(对接源_01水果!$L$4:$L$1203,$T98)=0,"",INDEX(对接源_01水果!$L$4:$L$1203,$T98)))</f>
      </c>
      <c r="N98" s="87">
        <f>IF($T98="","",IF(INDEX(对接源_01水果!$M$4:$M$1203,$T98)=0,"",INDEX(对接源_01水果!$M$4:$M$1203,$T98)))</f>
      </c>
      <c r="S98" s="7" t="n"/>
      <c r="T98" s="7">
        <f>IF(ROW()-5&gt;$U$1203,"",MATCH(ROW()-5,$U$4:$U$1203,0))</f>
      </c>
      <c r="U98">
        <f>N(U97)+IF(AND($B$2&lt;&gt;"",对接源_01水果!$AH98=$B$2,对接源_01水果!$B98&gt;=$U$1,对接源_01水果!$B98&lt;=$U$2),1,0)</f>
        <v>0</v>
      </c>
    </row>
    <row r="99" ht="15.75" customHeight="1" s="127">
      <c r="A99" s="191">
        <f>IF($T99="","",IF(INDEX(对接源_01水果!$B$4:$B$1203,$T99)=0,"",INDEX(对接源_01水果!$B$4:$B$1203,$T99)))</f>
      </c>
      <c r="B99" s="84">
        <f>IF($T99="","",IF(INDEX(对接源_01水果!$E$4:$E$1203,$T99)=0,"",INDEX(对接源_01水果!$E$4:$E$1203,$T99)))</f>
      </c>
      <c r="C99" s="84">
        <f>IF($T99="","",IF(INDEX(对接源_01水果!$AC$4:$AC$1203,$T99)=0,"",INDEX(对接源_01水果!$AC$4:$AC$1203,$T99)))</f>
      </c>
      <c r="D99" s="84">
        <f>IF($T99="","",IF(INDEX(对接源_01水果!$F$4:$F$1203,$T99)=0,"",INDEX(对接源_01水果!$F$4:$F$1203,$T99)))</f>
      </c>
      <c r="E99" s="84">
        <f>IF($T99="","",IF(INDEX(对接源_01水果!$G$4:$G$1203,$T99)=0,"",INDEX(对接源_01水果!$G$4:$G$1203,$T99)))</f>
      </c>
      <c r="F99" s="84">
        <f>IF($T99="","",IF(INDEX(对接源_01水果!$H$4:$H$1203,$T99)=0,"",INDEX(对接源_01水果!$H$4:$H$1203,$T99)))</f>
      </c>
      <c r="G99" s="84">
        <f>IF($T99="","",IF(INDEX(对接源_01水果!$I$4:$I$1203,$T99)=0,"",INDEX(对接源_01水果!$I$4:$I$1203,$T99)))</f>
      </c>
      <c r="H99" s="86">
        <f>IF($T99="","",IF(INDEX(对接源_01水果!$AD$4:$AD$1203,$T99)=0,"",INDEX(对接源_01水果!$AD$4:$AD$1203,$T99)))</f>
      </c>
      <c r="I99" s="86">
        <f>IF($T99="","",IF(INDEX(对接源_01水果!$AI$4:$AI$1203,$T99)=0,"",INDEX(对接源_01水果!$AI$4:$AI$1203,$T99)))</f>
      </c>
      <c r="J99" s="86">
        <f>IF($T99="","",IF(INDEX(对接源_01水果!$AE$4:$AE$1203,$T99)=0,"",INDEX(对接源_01水果!$AE$4:$AE$1203,$T99)))</f>
      </c>
      <c r="K99" s="86">
        <f>IF($T99="","",IF(INDEX(对接源_01水果!$AF$4:$AF$1203,$T99)=0,"",INDEX(对接源_01水果!$AF$4:$AF$1203,$T99)))</f>
      </c>
      <c r="L99" s="86">
        <f>IF($T99="","",IF(INDEX(对接源_01水果!$K$4:$K$1203,$T99)=0,"",INDEX(对接源_01水果!$K$4:$K$1203,$T99)))</f>
      </c>
      <c r="M99" s="84">
        <f>IF($T99="","",IF(INDEX(对接源_01水果!$L$4:$L$1203,$T99)=0,"",INDEX(对接源_01水果!$L$4:$L$1203,$T99)))</f>
      </c>
      <c r="N99" s="87">
        <f>IF($T99="","",IF(INDEX(对接源_01水果!$M$4:$M$1203,$T99)=0,"",INDEX(对接源_01水果!$M$4:$M$1203,$T99)))</f>
      </c>
      <c r="S99" s="7" t="n"/>
      <c r="T99" s="7">
        <f>IF(ROW()-5&gt;$U$1203,"",MATCH(ROW()-5,$U$4:$U$1203,0))</f>
      </c>
      <c r="U99">
        <f>N(U98)+IF(AND($B$2&lt;&gt;"",对接源_01水果!$AH99=$B$2,对接源_01水果!$B99&gt;=$U$1,对接源_01水果!$B99&lt;=$U$2),1,0)</f>
        <v>0</v>
      </c>
    </row>
    <row r="100" ht="15.75" customHeight="1" s="127">
      <c r="A100" s="191">
        <f>IF($T100="","",IF(INDEX(对接源_01水果!$B$4:$B$1203,$T100)=0,"",INDEX(对接源_01水果!$B$4:$B$1203,$T100)))</f>
      </c>
      <c r="B100" s="84">
        <f>IF($T100="","",IF(INDEX(对接源_01水果!$E$4:$E$1203,$T100)=0,"",INDEX(对接源_01水果!$E$4:$E$1203,$T100)))</f>
      </c>
      <c r="C100" s="84">
        <f>IF($T100="","",IF(INDEX(对接源_01水果!$AC$4:$AC$1203,$T100)=0,"",INDEX(对接源_01水果!$AC$4:$AC$1203,$T100)))</f>
      </c>
      <c r="D100" s="84">
        <f>IF($T100="","",IF(INDEX(对接源_01水果!$F$4:$F$1203,$T100)=0,"",INDEX(对接源_01水果!$F$4:$F$1203,$T100)))</f>
      </c>
      <c r="E100" s="84">
        <f>IF($T100="","",IF(INDEX(对接源_01水果!$G$4:$G$1203,$T100)=0,"",INDEX(对接源_01水果!$G$4:$G$1203,$T100)))</f>
      </c>
      <c r="F100" s="84">
        <f>IF($T100="","",IF(INDEX(对接源_01水果!$H$4:$H$1203,$T100)=0,"",INDEX(对接源_01水果!$H$4:$H$1203,$T100)))</f>
      </c>
      <c r="G100" s="84">
        <f>IF($T100="","",IF(INDEX(对接源_01水果!$I$4:$I$1203,$T100)=0,"",INDEX(对接源_01水果!$I$4:$I$1203,$T100)))</f>
      </c>
      <c r="H100" s="86">
        <f>IF($T100="","",IF(INDEX(对接源_01水果!$AD$4:$AD$1203,$T100)=0,"",INDEX(对接源_01水果!$AD$4:$AD$1203,$T100)))</f>
      </c>
      <c r="I100" s="86">
        <f>IF($T100="","",IF(INDEX(对接源_01水果!$AI$4:$AI$1203,$T100)=0,"",INDEX(对接源_01水果!$AI$4:$AI$1203,$T100)))</f>
      </c>
      <c r="J100" s="86">
        <f>IF($T100="","",IF(INDEX(对接源_01水果!$AE$4:$AE$1203,$T100)=0,"",INDEX(对接源_01水果!$AE$4:$AE$1203,$T100)))</f>
      </c>
      <c r="K100" s="86">
        <f>IF($T100="","",IF(INDEX(对接源_01水果!$AF$4:$AF$1203,$T100)=0,"",INDEX(对接源_01水果!$AF$4:$AF$1203,$T100)))</f>
      </c>
      <c r="L100" s="86">
        <f>IF($T100="","",IF(INDEX(对接源_01水果!$K$4:$K$1203,$T100)=0,"",INDEX(对接源_01水果!$K$4:$K$1203,$T100)))</f>
      </c>
      <c r="M100" s="84">
        <f>IF($T100="","",IF(INDEX(对接源_01水果!$L$4:$L$1203,$T100)=0,"",INDEX(对接源_01水果!$L$4:$L$1203,$T100)))</f>
      </c>
      <c r="N100" s="87">
        <f>IF($T100="","",IF(INDEX(对接源_01水果!$M$4:$M$1203,$T100)=0,"",INDEX(对接源_01水果!$M$4:$M$1203,$T100)))</f>
      </c>
      <c r="S100" s="7" t="n"/>
      <c r="T100" s="7">
        <f>IF(ROW()-5&gt;$U$1203,"",MATCH(ROW()-5,$U$4:$U$1203,0))</f>
      </c>
      <c r="U100">
        <f>N(U99)+IF(AND($B$2&lt;&gt;"",对接源_01水果!$AH100=$B$2,对接源_01水果!$B100&gt;=$U$1,对接源_01水果!$B100&lt;=$U$2),1,0)</f>
        <v>0</v>
      </c>
    </row>
    <row r="101" ht="15.75" customHeight="1" s="127">
      <c r="A101" s="191">
        <f>IF($T101="","",IF(INDEX(对接源_01水果!$B$4:$B$1203,$T101)=0,"",INDEX(对接源_01水果!$B$4:$B$1203,$T101)))</f>
      </c>
      <c r="B101" s="84">
        <f>IF($T101="","",IF(INDEX(对接源_01水果!$E$4:$E$1203,$T101)=0,"",INDEX(对接源_01水果!$E$4:$E$1203,$T101)))</f>
      </c>
      <c r="C101" s="84">
        <f>IF($T101="","",IF(INDEX(对接源_01水果!$AC$4:$AC$1203,$T101)=0,"",INDEX(对接源_01水果!$AC$4:$AC$1203,$T101)))</f>
      </c>
      <c r="D101" s="84">
        <f>IF($T101="","",IF(INDEX(对接源_01水果!$F$4:$F$1203,$T101)=0,"",INDEX(对接源_01水果!$F$4:$F$1203,$T101)))</f>
      </c>
      <c r="E101" s="84">
        <f>IF($T101="","",IF(INDEX(对接源_01水果!$G$4:$G$1203,$T101)=0,"",INDEX(对接源_01水果!$G$4:$G$1203,$T101)))</f>
      </c>
      <c r="F101" s="84">
        <f>IF($T101="","",IF(INDEX(对接源_01水果!$H$4:$H$1203,$T101)=0,"",INDEX(对接源_01水果!$H$4:$H$1203,$T101)))</f>
      </c>
      <c r="G101" s="84">
        <f>IF($T101="","",IF(INDEX(对接源_01水果!$I$4:$I$1203,$T101)=0,"",INDEX(对接源_01水果!$I$4:$I$1203,$T101)))</f>
      </c>
      <c r="H101" s="86">
        <f>IF($T101="","",IF(INDEX(对接源_01水果!$AD$4:$AD$1203,$T101)=0,"",INDEX(对接源_01水果!$AD$4:$AD$1203,$T101)))</f>
      </c>
      <c r="I101" s="86">
        <f>IF($T101="","",IF(INDEX(对接源_01水果!$AI$4:$AI$1203,$T101)=0,"",INDEX(对接源_01水果!$AI$4:$AI$1203,$T101)))</f>
      </c>
      <c r="J101" s="86">
        <f>IF($T101="","",IF(INDEX(对接源_01水果!$AE$4:$AE$1203,$T101)=0,"",INDEX(对接源_01水果!$AE$4:$AE$1203,$T101)))</f>
      </c>
      <c r="K101" s="86">
        <f>IF($T101="","",IF(INDEX(对接源_01水果!$AF$4:$AF$1203,$T101)=0,"",INDEX(对接源_01水果!$AF$4:$AF$1203,$T101)))</f>
      </c>
      <c r="L101" s="86">
        <f>IF($T101="","",IF(INDEX(对接源_01水果!$K$4:$K$1203,$T101)=0,"",INDEX(对接源_01水果!$K$4:$K$1203,$T101)))</f>
      </c>
      <c r="M101" s="84">
        <f>IF($T101="","",IF(INDEX(对接源_01水果!$L$4:$L$1203,$T101)=0,"",INDEX(对接源_01水果!$L$4:$L$1203,$T101)))</f>
      </c>
      <c r="N101" s="87">
        <f>IF($T101="","",IF(INDEX(对接源_01水果!$M$4:$M$1203,$T101)=0,"",INDEX(对接源_01水果!$M$4:$M$1203,$T101)))</f>
      </c>
      <c r="S101" s="7" t="n"/>
      <c r="T101" s="7">
        <f>IF(ROW()-5&gt;$U$1203,"",MATCH(ROW()-5,$U$4:$U$1203,0))</f>
      </c>
      <c r="U101">
        <f>N(U100)+IF(AND($B$2&lt;&gt;"",对接源_01水果!$AH101=$B$2,对接源_01水果!$B101&gt;=$U$1,对接源_01水果!$B101&lt;=$U$2),1,0)</f>
        <v>0</v>
      </c>
    </row>
    <row r="102" ht="15.75" customHeight="1" s="127">
      <c r="A102" s="191">
        <f>IF($T102="","",IF(INDEX(对接源_01水果!$B$4:$B$1203,$T102)=0,"",INDEX(对接源_01水果!$B$4:$B$1203,$T102)))</f>
      </c>
      <c r="B102" s="84">
        <f>IF($T102="","",IF(INDEX(对接源_01水果!$E$4:$E$1203,$T102)=0,"",INDEX(对接源_01水果!$E$4:$E$1203,$T102)))</f>
      </c>
      <c r="C102" s="84">
        <f>IF($T102="","",IF(INDEX(对接源_01水果!$AC$4:$AC$1203,$T102)=0,"",INDEX(对接源_01水果!$AC$4:$AC$1203,$T102)))</f>
      </c>
      <c r="D102" s="84">
        <f>IF($T102="","",IF(INDEX(对接源_01水果!$F$4:$F$1203,$T102)=0,"",INDEX(对接源_01水果!$F$4:$F$1203,$T102)))</f>
      </c>
      <c r="E102" s="84">
        <f>IF($T102="","",IF(INDEX(对接源_01水果!$G$4:$G$1203,$T102)=0,"",INDEX(对接源_01水果!$G$4:$G$1203,$T102)))</f>
      </c>
      <c r="F102" s="84">
        <f>IF($T102="","",IF(INDEX(对接源_01水果!$H$4:$H$1203,$T102)=0,"",INDEX(对接源_01水果!$H$4:$H$1203,$T102)))</f>
      </c>
      <c r="G102" s="84">
        <f>IF($T102="","",IF(INDEX(对接源_01水果!$I$4:$I$1203,$T102)=0,"",INDEX(对接源_01水果!$I$4:$I$1203,$T102)))</f>
      </c>
      <c r="H102" s="86">
        <f>IF($T102="","",IF(INDEX(对接源_01水果!$AD$4:$AD$1203,$T102)=0,"",INDEX(对接源_01水果!$AD$4:$AD$1203,$T102)))</f>
      </c>
      <c r="I102" s="86">
        <f>IF($T102="","",IF(INDEX(对接源_01水果!$AI$4:$AI$1203,$T102)=0,"",INDEX(对接源_01水果!$AI$4:$AI$1203,$T102)))</f>
      </c>
      <c r="J102" s="86">
        <f>IF($T102="","",IF(INDEX(对接源_01水果!$AE$4:$AE$1203,$T102)=0,"",INDEX(对接源_01水果!$AE$4:$AE$1203,$T102)))</f>
      </c>
      <c r="K102" s="86">
        <f>IF($T102="","",IF(INDEX(对接源_01水果!$AF$4:$AF$1203,$T102)=0,"",INDEX(对接源_01水果!$AF$4:$AF$1203,$T102)))</f>
      </c>
      <c r="L102" s="86">
        <f>IF($T102="","",IF(INDEX(对接源_01水果!$K$4:$K$1203,$T102)=0,"",INDEX(对接源_01水果!$K$4:$K$1203,$T102)))</f>
      </c>
      <c r="M102" s="84">
        <f>IF($T102="","",IF(INDEX(对接源_01水果!$L$4:$L$1203,$T102)=0,"",INDEX(对接源_01水果!$L$4:$L$1203,$T102)))</f>
      </c>
      <c r="N102" s="87">
        <f>IF($T102="","",IF(INDEX(对接源_01水果!$M$4:$M$1203,$T102)=0,"",INDEX(对接源_01水果!$M$4:$M$1203,$T102)))</f>
      </c>
      <c r="S102" s="7" t="n"/>
      <c r="T102" s="7">
        <f>IF(ROW()-5&gt;$U$1203,"",MATCH(ROW()-5,$U$4:$U$1203,0))</f>
      </c>
      <c r="U102">
        <f>N(U101)+IF(AND($B$2&lt;&gt;"",对接源_01水果!$AH102=$B$2,对接源_01水果!$B102&gt;=$U$1,对接源_01水果!$B102&lt;=$U$2),1,0)</f>
        <v>0</v>
      </c>
    </row>
    <row r="103" ht="15.75" customHeight="1" s="127">
      <c r="A103" s="191">
        <f>IF($T103="","",IF(INDEX(对接源_01水果!$B$4:$B$1203,$T103)=0,"",INDEX(对接源_01水果!$B$4:$B$1203,$T103)))</f>
      </c>
      <c r="B103" s="84">
        <f>IF($T103="","",IF(INDEX(对接源_01水果!$E$4:$E$1203,$T103)=0,"",INDEX(对接源_01水果!$E$4:$E$1203,$T103)))</f>
      </c>
      <c r="C103" s="84">
        <f>IF($T103="","",IF(INDEX(对接源_01水果!$AC$4:$AC$1203,$T103)=0,"",INDEX(对接源_01水果!$AC$4:$AC$1203,$T103)))</f>
      </c>
      <c r="D103" s="84">
        <f>IF($T103="","",IF(INDEX(对接源_01水果!$F$4:$F$1203,$T103)=0,"",INDEX(对接源_01水果!$F$4:$F$1203,$T103)))</f>
      </c>
      <c r="E103" s="84">
        <f>IF($T103="","",IF(INDEX(对接源_01水果!$G$4:$G$1203,$T103)=0,"",INDEX(对接源_01水果!$G$4:$G$1203,$T103)))</f>
      </c>
      <c r="F103" s="84">
        <f>IF($T103="","",IF(INDEX(对接源_01水果!$H$4:$H$1203,$T103)=0,"",INDEX(对接源_01水果!$H$4:$H$1203,$T103)))</f>
      </c>
      <c r="G103" s="84">
        <f>IF($T103="","",IF(INDEX(对接源_01水果!$I$4:$I$1203,$T103)=0,"",INDEX(对接源_01水果!$I$4:$I$1203,$T103)))</f>
      </c>
      <c r="H103" s="86">
        <f>IF($T103="","",IF(INDEX(对接源_01水果!$AD$4:$AD$1203,$T103)=0,"",INDEX(对接源_01水果!$AD$4:$AD$1203,$T103)))</f>
      </c>
      <c r="I103" s="86">
        <f>IF($T103="","",IF(INDEX(对接源_01水果!$AI$4:$AI$1203,$T103)=0,"",INDEX(对接源_01水果!$AI$4:$AI$1203,$T103)))</f>
      </c>
      <c r="J103" s="86">
        <f>IF($T103="","",IF(INDEX(对接源_01水果!$AE$4:$AE$1203,$T103)=0,"",INDEX(对接源_01水果!$AE$4:$AE$1203,$T103)))</f>
      </c>
      <c r="K103" s="86">
        <f>IF($T103="","",IF(INDEX(对接源_01水果!$AF$4:$AF$1203,$T103)=0,"",INDEX(对接源_01水果!$AF$4:$AF$1203,$T103)))</f>
      </c>
      <c r="L103" s="86">
        <f>IF($T103="","",IF(INDEX(对接源_01水果!$K$4:$K$1203,$T103)=0,"",INDEX(对接源_01水果!$K$4:$K$1203,$T103)))</f>
      </c>
      <c r="M103" s="84">
        <f>IF($T103="","",IF(INDEX(对接源_01水果!$L$4:$L$1203,$T103)=0,"",INDEX(对接源_01水果!$L$4:$L$1203,$T103)))</f>
      </c>
      <c r="N103" s="87">
        <f>IF($T103="","",IF(INDEX(对接源_01水果!$M$4:$M$1203,$T103)=0,"",INDEX(对接源_01水果!$M$4:$M$1203,$T103)))</f>
      </c>
      <c r="S103" s="7" t="n"/>
      <c r="T103" s="7">
        <f>IF(ROW()-5&gt;$U$1203,"",MATCH(ROW()-5,$U$4:$U$1203,0))</f>
      </c>
      <c r="U103">
        <f>N(U102)+IF(AND($B$2&lt;&gt;"",对接源_01水果!$AH103=$B$2,对接源_01水果!$B103&gt;=$U$1,对接源_01水果!$B103&lt;=$U$2),1,0)</f>
        <v>0</v>
      </c>
    </row>
    <row r="104" ht="15.75" customHeight="1" s="127">
      <c r="A104" s="191">
        <f>IF($T104="","",IF(INDEX(对接源_01水果!$B$4:$B$1203,$T104)=0,"",INDEX(对接源_01水果!$B$4:$B$1203,$T104)))</f>
      </c>
      <c r="B104" s="84">
        <f>IF($T104="","",IF(INDEX(对接源_01水果!$E$4:$E$1203,$T104)=0,"",INDEX(对接源_01水果!$E$4:$E$1203,$T104)))</f>
      </c>
      <c r="C104" s="84">
        <f>IF($T104="","",IF(INDEX(对接源_01水果!$AC$4:$AC$1203,$T104)=0,"",INDEX(对接源_01水果!$AC$4:$AC$1203,$T104)))</f>
      </c>
      <c r="D104" s="84">
        <f>IF($T104="","",IF(INDEX(对接源_01水果!$F$4:$F$1203,$T104)=0,"",INDEX(对接源_01水果!$F$4:$F$1203,$T104)))</f>
      </c>
      <c r="E104" s="84">
        <f>IF($T104="","",IF(INDEX(对接源_01水果!$G$4:$G$1203,$T104)=0,"",INDEX(对接源_01水果!$G$4:$G$1203,$T104)))</f>
      </c>
      <c r="F104" s="84">
        <f>IF($T104="","",IF(INDEX(对接源_01水果!$H$4:$H$1203,$T104)=0,"",INDEX(对接源_01水果!$H$4:$H$1203,$T104)))</f>
      </c>
      <c r="G104" s="84">
        <f>IF($T104="","",IF(INDEX(对接源_01水果!$I$4:$I$1203,$T104)=0,"",INDEX(对接源_01水果!$I$4:$I$1203,$T104)))</f>
      </c>
      <c r="H104" s="86">
        <f>IF($T104="","",IF(INDEX(对接源_01水果!$AD$4:$AD$1203,$T104)=0,"",INDEX(对接源_01水果!$AD$4:$AD$1203,$T104)))</f>
      </c>
      <c r="I104" s="86">
        <f>IF($T104="","",IF(INDEX(对接源_01水果!$AI$4:$AI$1203,$T104)=0,"",INDEX(对接源_01水果!$AI$4:$AI$1203,$T104)))</f>
      </c>
      <c r="J104" s="86">
        <f>IF($T104="","",IF(INDEX(对接源_01水果!$AE$4:$AE$1203,$T104)=0,"",INDEX(对接源_01水果!$AE$4:$AE$1203,$T104)))</f>
      </c>
      <c r="K104" s="86">
        <f>IF($T104="","",IF(INDEX(对接源_01水果!$AF$4:$AF$1203,$T104)=0,"",INDEX(对接源_01水果!$AF$4:$AF$1203,$T104)))</f>
      </c>
      <c r="L104" s="86">
        <f>IF($T104="","",IF(INDEX(对接源_01水果!$K$4:$K$1203,$T104)=0,"",INDEX(对接源_01水果!$K$4:$K$1203,$T104)))</f>
      </c>
      <c r="M104" s="84">
        <f>IF($T104="","",IF(INDEX(对接源_01水果!$L$4:$L$1203,$T104)=0,"",INDEX(对接源_01水果!$L$4:$L$1203,$T104)))</f>
      </c>
      <c r="N104" s="87">
        <f>IF($T104="","",IF(INDEX(对接源_01水果!$M$4:$M$1203,$T104)=0,"",INDEX(对接源_01水果!$M$4:$M$1203,$T104)))</f>
      </c>
      <c r="S104" s="7" t="n"/>
      <c r="T104" s="7">
        <f>IF(ROW()-5&gt;$U$1203,"",MATCH(ROW()-5,$U$4:$U$1203,0))</f>
      </c>
      <c r="U104">
        <f>N(U103)+IF(AND($B$2&lt;&gt;"",对接源_01水果!$AH104=$B$2,对接源_01水果!$B104&gt;=$U$1,对接源_01水果!$B104&lt;=$U$2),1,0)</f>
        <v>0</v>
      </c>
    </row>
    <row r="105" ht="15.75" customHeight="1" s="127">
      <c r="A105" s="191">
        <f>IF($T105="","",IF(INDEX(对接源_01水果!$B$4:$B$1203,$T105)=0,"",INDEX(对接源_01水果!$B$4:$B$1203,$T105)))</f>
      </c>
      <c r="B105" s="84">
        <f>IF($T105="","",IF(INDEX(对接源_01水果!$E$4:$E$1203,$T105)=0,"",INDEX(对接源_01水果!$E$4:$E$1203,$T105)))</f>
      </c>
      <c r="C105" s="84">
        <f>IF($T105="","",IF(INDEX(对接源_01水果!$AC$4:$AC$1203,$T105)=0,"",INDEX(对接源_01水果!$AC$4:$AC$1203,$T105)))</f>
      </c>
      <c r="D105" s="84">
        <f>IF($T105="","",IF(INDEX(对接源_01水果!$F$4:$F$1203,$T105)=0,"",INDEX(对接源_01水果!$F$4:$F$1203,$T105)))</f>
      </c>
      <c r="E105" s="84">
        <f>IF($T105="","",IF(INDEX(对接源_01水果!$G$4:$G$1203,$T105)=0,"",INDEX(对接源_01水果!$G$4:$G$1203,$T105)))</f>
      </c>
      <c r="F105" s="84">
        <f>IF($T105="","",IF(INDEX(对接源_01水果!$H$4:$H$1203,$T105)=0,"",INDEX(对接源_01水果!$H$4:$H$1203,$T105)))</f>
      </c>
      <c r="G105" s="84">
        <f>IF($T105="","",IF(INDEX(对接源_01水果!$I$4:$I$1203,$T105)=0,"",INDEX(对接源_01水果!$I$4:$I$1203,$T105)))</f>
      </c>
      <c r="H105" s="86">
        <f>IF($T105="","",IF(INDEX(对接源_01水果!$AD$4:$AD$1203,$T105)=0,"",INDEX(对接源_01水果!$AD$4:$AD$1203,$T105)))</f>
      </c>
      <c r="I105" s="86">
        <f>IF($T105="","",IF(INDEX(对接源_01水果!$AI$4:$AI$1203,$T105)=0,"",INDEX(对接源_01水果!$AI$4:$AI$1203,$T105)))</f>
      </c>
      <c r="J105" s="86">
        <f>IF($T105="","",IF(INDEX(对接源_01水果!$AE$4:$AE$1203,$T105)=0,"",INDEX(对接源_01水果!$AE$4:$AE$1203,$T105)))</f>
      </c>
      <c r="K105" s="86">
        <f>IF($T105="","",IF(INDEX(对接源_01水果!$AF$4:$AF$1203,$T105)=0,"",INDEX(对接源_01水果!$AF$4:$AF$1203,$T105)))</f>
      </c>
      <c r="L105" s="86">
        <f>IF($T105="","",IF(INDEX(对接源_01水果!$K$4:$K$1203,$T105)=0,"",INDEX(对接源_01水果!$K$4:$K$1203,$T105)))</f>
      </c>
      <c r="M105" s="84">
        <f>IF($T105="","",IF(INDEX(对接源_01水果!$L$4:$L$1203,$T105)=0,"",INDEX(对接源_01水果!$L$4:$L$1203,$T105)))</f>
      </c>
      <c r="N105" s="87">
        <f>IF($T105="","",IF(INDEX(对接源_01水果!$M$4:$M$1203,$T105)=0,"",INDEX(对接源_01水果!$M$4:$M$1203,$T105)))</f>
      </c>
      <c r="S105" s="7" t="n"/>
      <c r="T105" s="7">
        <f>IF(ROW()-5&gt;$U$1203,"",MATCH(ROW()-5,$U$4:$U$1203,0))</f>
      </c>
      <c r="U105">
        <f>N(U104)+IF(AND($B$2&lt;&gt;"",对接源_01水果!$AH105=$B$2,对接源_01水果!$B105&gt;=$U$1,对接源_01水果!$B105&lt;=$U$2),1,0)</f>
        <v>0</v>
      </c>
    </row>
    <row r="106" ht="15.75" customHeight="1" s="127">
      <c r="A106" s="191">
        <f>IF($T106="","",IF(INDEX(对接源_01水果!$B$4:$B$1203,$T106)=0,"",INDEX(对接源_01水果!$B$4:$B$1203,$T106)))</f>
      </c>
      <c r="B106" s="84">
        <f>IF($T106="","",IF(INDEX(对接源_01水果!$E$4:$E$1203,$T106)=0,"",INDEX(对接源_01水果!$E$4:$E$1203,$T106)))</f>
      </c>
      <c r="C106" s="84">
        <f>IF($T106="","",IF(INDEX(对接源_01水果!$AC$4:$AC$1203,$T106)=0,"",INDEX(对接源_01水果!$AC$4:$AC$1203,$T106)))</f>
      </c>
      <c r="D106" s="84">
        <f>IF($T106="","",IF(INDEX(对接源_01水果!$F$4:$F$1203,$T106)=0,"",INDEX(对接源_01水果!$F$4:$F$1203,$T106)))</f>
      </c>
      <c r="E106" s="84">
        <f>IF($T106="","",IF(INDEX(对接源_01水果!$G$4:$G$1203,$T106)=0,"",INDEX(对接源_01水果!$G$4:$G$1203,$T106)))</f>
      </c>
      <c r="F106" s="84">
        <f>IF($T106="","",IF(INDEX(对接源_01水果!$H$4:$H$1203,$T106)=0,"",INDEX(对接源_01水果!$H$4:$H$1203,$T106)))</f>
      </c>
      <c r="G106" s="84">
        <f>IF($T106="","",IF(INDEX(对接源_01水果!$I$4:$I$1203,$T106)=0,"",INDEX(对接源_01水果!$I$4:$I$1203,$T106)))</f>
      </c>
      <c r="H106" s="86">
        <f>IF($T106="","",IF(INDEX(对接源_01水果!$AD$4:$AD$1203,$T106)=0,"",INDEX(对接源_01水果!$AD$4:$AD$1203,$T106)))</f>
      </c>
      <c r="I106" s="86">
        <f>IF($T106="","",IF(INDEX(对接源_01水果!$AI$4:$AI$1203,$T106)=0,"",INDEX(对接源_01水果!$AI$4:$AI$1203,$T106)))</f>
      </c>
      <c r="J106" s="86">
        <f>IF($T106="","",IF(INDEX(对接源_01水果!$AE$4:$AE$1203,$T106)=0,"",INDEX(对接源_01水果!$AE$4:$AE$1203,$T106)))</f>
      </c>
      <c r="K106" s="86">
        <f>IF($T106="","",IF(INDEX(对接源_01水果!$AF$4:$AF$1203,$T106)=0,"",INDEX(对接源_01水果!$AF$4:$AF$1203,$T106)))</f>
      </c>
      <c r="L106" s="86">
        <f>IF($T106="","",IF(INDEX(对接源_01水果!$K$4:$K$1203,$T106)=0,"",INDEX(对接源_01水果!$K$4:$K$1203,$T106)))</f>
      </c>
      <c r="M106" s="84">
        <f>IF($T106="","",IF(INDEX(对接源_01水果!$L$4:$L$1203,$T106)=0,"",INDEX(对接源_01水果!$L$4:$L$1203,$T106)))</f>
      </c>
      <c r="N106" s="87">
        <f>IF($T106="","",IF(INDEX(对接源_01水果!$M$4:$M$1203,$T106)=0,"",INDEX(对接源_01水果!$M$4:$M$1203,$T106)))</f>
      </c>
      <c r="S106" s="7" t="n"/>
      <c r="T106" s="7">
        <f>IF(ROW()-5&gt;$U$1203,"",MATCH(ROW()-5,$U$4:$U$1203,0))</f>
      </c>
      <c r="U106">
        <f>N(U105)+IF(AND($B$2&lt;&gt;"",对接源_01水果!$AH106=$B$2,对接源_01水果!$B106&gt;=$U$1,对接源_01水果!$B106&lt;=$U$2),1,0)</f>
        <v>0</v>
      </c>
    </row>
    <row r="107" ht="15.75" customHeight="1" s="127">
      <c r="A107" s="191">
        <f>IF($T107="","",IF(INDEX(对接源_01水果!$B$4:$B$1203,$T107)=0,"",INDEX(对接源_01水果!$B$4:$B$1203,$T107)))</f>
      </c>
      <c r="B107" s="84">
        <f>IF($T107="","",IF(INDEX(对接源_01水果!$E$4:$E$1203,$T107)=0,"",INDEX(对接源_01水果!$E$4:$E$1203,$T107)))</f>
      </c>
      <c r="C107" s="84">
        <f>IF($T107="","",IF(INDEX(对接源_01水果!$AC$4:$AC$1203,$T107)=0,"",INDEX(对接源_01水果!$AC$4:$AC$1203,$T107)))</f>
      </c>
      <c r="D107" s="84">
        <f>IF($T107="","",IF(INDEX(对接源_01水果!$F$4:$F$1203,$T107)=0,"",INDEX(对接源_01水果!$F$4:$F$1203,$T107)))</f>
      </c>
      <c r="E107" s="84">
        <f>IF($T107="","",IF(INDEX(对接源_01水果!$G$4:$G$1203,$T107)=0,"",INDEX(对接源_01水果!$G$4:$G$1203,$T107)))</f>
      </c>
      <c r="F107" s="84">
        <f>IF($T107="","",IF(INDEX(对接源_01水果!$H$4:$H$1203,$T107)=0,"",INDEX(对接源_01水果!$H$4:$H$1203,$T107)))</f>
      </c>
      <c r="G107" s="84">
        <f>IF($T107="","",IF(INDEX(对接源_01水果!$I$4:$I$1203,$T107)=0,"",INDEX(对接源_01水果!$I$4:$I$1203,$T107)))</f>
      </c>
      <c r="H107" s="86">
        <f>IF($T107="","",IF(INDEX(对接源_01水果!$AD$4:$AD$1203,$T107)=0,"",INDEX(对接源_01水果!$AD$4:$AD$1203,$T107)))</f>
      </c>
      <c r="I107" s="86">
        <f>IF($T107="","",IF(INDEX(对接源_01水果!$AI$4:$AI$1203,$T107)=0,"",INDEX(对接源_01水果!$AI$4:$AI$1203,$T107)))</f>
      </c>
      <c r="J107" s="86">
        <f>IF($T107="","",IF(INDEX(对接源_01水果!$AE$4:$AE$1203,$T107)=0,"",INDEX(对接源_01水果!$AE$4:$AE$1203,$T107)))</f>
      </c>
      <c r="K107" s="86">
        <f>IF($T107="","",IF(INDEX(对接源_01水果!$AF$4:$AF$1203,$T107)=0,"",INDEX(对接源_01水果!$AF$4:$AF$1203,$T107)))</f>
      </c>
      <c r="L107" s="86">
        <f>IF($T107="","",IF(INDEX(对接源_01水果!$K$4:$K$1203,$T107)=0,"",INDEX(对接源_01水果!$K$4:$K$1203,$T107)))</f>
      </c>
      <c r="M107" s="84">
        <f>IF($T107="","",IF(INDEX(对接源_01水果!$L$4:$L$1203,$T107)=0,"",INDEX(对接源_01水果!$L$4:$L$1203,$T107)))</f>
      </c>
      <c r="N107" s="87">
        <f>IF($T107="","",IF(INDEX(对接源_01水果!$M$4:$M$1203,$T107)=0,"",INDEX(对接源_01水果!$M$4:$M$1203,$T107)))</f>
      </c>
      <c r="S107" s="7" t="n"/>
      <c r="T107" s="7">
        <f>IF(ROW()-5&gt;$U$1203,"",MATCH(ROW()-5,$U$4:$U$1203,0))</f>
      </c>
      <c r="U107">
        <f>N(U106)+IF(AND($B$2&lt;&gt;"",对接源_01水果!$AH107=$B$2,对接源_01水果!$B107&gt;=$U$1,对接源_01水果!$B107&lt;=$U$2),1,0)</f>
        <v>0</v>
      </c>
    </row>
    <row r="108" ht="15.75" customHeight="1" s="127">
      <c r="A108" s="191">
        <f>IF($T108="","",IF(INDEX(对接源_01水果!$B$4:$B$1203,$T108)=0,"",INDEX(对接源_01水果!$B$4:$B$1203,$T108)))</f>
      </c>
      <c r="B108" s="84">
        <f>IF($T108="","",IF(INDEX(对接源_01水果!$E$4:$E$1203,$T108)=0,"",INDEX(对接源_01水果!$E$4:$E$1203,$T108)))</f>
      </c>
      <c r="C108" s="84">
        <f>IF($T108="","",IF(INDEX(对接源_01水果!$AC$4:$AC$1203,$T108)=0,"",INDEX(对接源_01水果!$AC$4:$AC$1203,$T108)))</f>
      </c>
      <c r="D108" s="84">
        <f>IF($T108="","",IF(INDEX(对接源_01水果!$F$4:$F$1203,$T108)=0,"",INDEX(对接源_01水果!$F$4:$F$1203,$T108)))</f>
      </c>
      <c r="E108" s="84">
        <f>IF($T108="","",IF(INDEX(对接源_01水果!$G$4:$G$1203,$T108)=0,"",INDEX(对接源_01水果!$G$4:$G$1203,$T108)))</f>
      </c>
      <c r="F108" s="84">
        <f>IF($T108="","",IF(INDEX(对接源_01水果!$H$4:$H$1203,$T108)=0,"",INDEX(对接源_01水果!$H$4:$H$1203,$T108)))</f>
      </c>
      <c r="G108" s="84">
        <f>IF($T108="","",IF(INDEX(对接源_01水果!$I$4:$I$1203,$T108)=0,"",INDEX(对接源_01水果!$I$4:$I$1203,$T108)))</f>
      </c>
      <c r="H108" s="86">
        <f>IF($T108="","",IF(INDEX(对接源_01水果!$AD$4:$AD$1203,$T108)=0,"",INDEX(对接源_01水果!$AD$4:$AD$1203,$T108)))</f>
      </c>
      <c r="I108" s="86">
        <f>IF($T108="","",IF(INDEX(对接源_01水果!$AI$4:$AI$1203,$T108)=0,"",INDEX(对接源_01水果!$AI$4:$AI$1203,$T108)))</f>
      </c>
      <c r="J108" s="86">
        <f>IF($T108="","",IF(INDEX(对接源_01水果!$AE$4:$AE$1203,$T108)=0,"",INDEX(对接源_01水果!$AE$4:$AE$1203,$T108)))</f>
      </c>
      <c r="K108" s="86">
        <f>IF($T108="","",IF(INDEX(对接源_01水果!$AF$4:$AF$1203,$T108)=0,"",INDEX(对接源_01水果!$AF$4:$AF$1203,$T108)))</f>
      </c>
      <c r="L108" s="86">
        <f>IF($T108="","",IF(INDEX(对接源_01水果!$K$4:$K$1203,$T108)=0,"",INDEX(对接源_01水果!$K$4:$K$1203,$T108)))</f>
      </c>
      <c r="M108" s="84">
        <f>IF($T108="","",IF(INDEX(对接源_01水果!$L$4:$L$1203,$T108)=0,"",INDEX(对接源_01水果!$L$4:$L$1203,$T108)))</f>
      </c>
      <c r="N108" s="87">
        <f>IF($T108="","",IF(INDEX(对接源_01水果!$M$4:$M$1203,$T108)=0,"",INDEX(对接源_01水果!$M$4:$M$1203,$T108)))</f>
      </c>
      <c r="S108" s="7" t="n"/>
      <c r="T108" s="7">
        <f>IF(ROW()-5&gt;$U$1203,"",MATCH(ROW()-5,$U$4:$U$1203,0))</f>
      </c>
      <c r="U108">
        <f>N(U107)+IF(AND($B$2&lt;&gt;"",对接源_01水果!$AH108=$B$2,对接源_01水果!$B108&gt;=$U$1,对接源_01水果!$B108&lt;=$U$2),1,0)</f>
        <v>0</v>
      </c>
    </row>
    <row r="109" ht="15.75" customHeight="1" s="127">
      <c r="A109" s="191">
        <f>IF($T109="","",IF(INDEX(对接源_01水果!$B$4:$B$1203,$T109)=0,"",INDEX(对接源_01水果!$B$4:$B$1203,$T109)))</f>
      </c>
      <c r="B109" s="84">
        <f>IF($T109="","",IF(INDEX(对接源_01水果!$E$4:$E$1203,$T109)=0,"",INDEX(对接源_01水果!$E$4:$E$1203,$T109)))</f>
      </c>
      <c r="C109" s="84">
        <f>IF($T109="","",IF(INDEX(对接源_01水果!$AC$4:$AC$1203,$T109)=0,"",INDEX(对接源_01水果!$AC$4:$AC$1203,$T109)))</f>
      </c>
      <c r="D109" s="84">
        <f>IF($T109="","",IF(INDEX(对接源_01水果!$F$4:$F$1203,$T109)=0,"",INDEX(对接源_01水果!$F$4:$F$1203,$T109)))</f>
      </c>
      <c r="E109" s="84">
        <f>IF($T109="","",IF(INDEX(对接源_01水果!$G$4:$G$1203,$T109)=0,"",INDEX(对接源_01水果!$G$4:$G$1203,$T109)))</f>
      </c>
      <c r="F109" s="84">
        <f>IF($T109="","",IF(INDEX(对接源_01水果!$H$4:$H$1203,$T109)=0,"",INDEX(对接源_01水果!$H$4:$H$1203,$T109)))</f>
      </c>
      <c r="G109" s="84">
        <f>IF($T109="","",IF(INDEX(对接源_01水果!$I$4:$I$1203,$T109)=0,"",INDEX(对接源_01水果!$I$4:$I$1203,$T109)))</f>
      </c>
      <c r="H109" s="86">
        <f>IF($T109="","",IF(INDEX(对接源_01水果!$AD$4:$AD$1203,$T109)=0,"",INDEX(对接源_01水果!$AD$4:$AD$1203,$T109)))</f>
      </c>
      <c r="I109" s="86">
        <f>IF($T109="","",IF(INDEX(对接源_01水果!$AI$4:$AI$1203,$T109)=0,"",INDEX(对接源_01水果!$AI$4:$AI$1203,$T109)))</f>
      </c>
      <c r="J109" s="86">
        <f>IF($T109="","",IF(INDEX(对接源_01水果!$AE$4:$AE$1203,$T109)=0,"",INDEX(对接源_01水果!$AE$4:$AE$1203,$T109)))</f>
      </c>
      <c r="K109" s="86">
        <f>IF($T109="","",IF(INDEX(对接源_01水果!$AF$4:$AF$1203,$T109)=0,"",INDEX(对接源_01水果!$AF$4:$AF$1203,$T109)))</f>
      </c>
      <c r="L109" s="86">
        <f>IF($T109="","",IF(INDEX(对接源_01水果!$K$4:$K$1203,$T109)=0,"",INDEX(对接源_01水果!$K$4:$K$1203,$T109)))</f>
      </c>
      <c r="M109" s="84">
        <f>IF($T109="","",IF(INDEX(对接源_01水果!$L$4:$L$1203,$T109)=0,"",INDEX(对接源_01水果!$L$4:$L$1203,$T109)))</f>
      </c>
      <c r="N109" s="87">
        <f>IF($T109="","",IF(INDEX(对接源_01水果!$M$4:$M$1203,$T109)=0,"",INDEX(对接源_01水果!$M$4:$M$1203,$T109)))</f>
      </c>
      <c r="S109" s="7" t="n"/>
      <c r="T109" s="7">
        <f>IF(ROW()-5&gt;$U$1203,"",MATCH(ROW()-5,$U$4:$U$1203,0))</f>
      </c>
      <c r="U109">
        <f>N(U108)+IF(AND($B$2&lt;&gt;"",对接源_01水果!$AH109=$B$2,对接源_01水果!$B109&gt;=$U$1,对接源_01水果!$B109&lt;=$U$2),1,0)</f>
        <v>0</v>
      </c>
    </row>
    <row r="110" ht="15.75" customHeight="1" s="127">
      <c r="A110" s="191">
        <f>IF($T110="","",IF(INDEX(对接源_01水果!$B$4:$B$1203,$T110)=0,"",INDEX(对接源_01水果!$B$4:$B$1203,$T110)))</f>
      </c>
      <c r="B110" s="84">
        <f>IF($T110="","",IF(INDEX(对接源_01水果!$E$4:$E$1203,$T110)=0,"",INDEX(对接源_01水果!$E$4:$E$1203,$T110)))</f>
      </c>
      <c r="C110" s="84">
        <f>IF($T110="","",IF(INDEX(对接源_01水果!$AC$4:$AC$1203,$T110)=0,"",INDEX(对接源_01水果!$AC$4:$AC$1203,$T110)))</f>
      </c>
      <c r="D110" s="84">
        <f>IF($T110="","",IF(INDEX(对接源_01水果!$F$4:$F$1203,$T110)=0,"",INDEX(对接源_01水果!$F$4:$F$1203,$T110)))</f>
      </c>
      <c r="E110" s="84">
        <f>IF($T110="","",IF(INDEX(对接源_01水果!$G$4:$G$1203,$T110)=0,"",INDEX(对接源_01水果!$G$4:$G$1203,$T110)))</f>
      </c>
      <c r="F110" s="84">
        <f>IF($T110="","",IF(INDEX(对接源_01水果!$H$4:$H$1203,$T110)=0,"",INDEX(对接源_01水果!$H$4:$H$1203,$T110)))</f>
      </c>
      <c r="G110" s="84">
        <f>IF($T110="","",IF(INDEX(对接源_01水果!$I$4:$I$1203,$T110)=0,"",INDEX(对接源_01水果!$I$4:$I$1203,$T110)))</f>
      </c>
      <c r="H110" s="86">
        <f>IF($T110="","",IF(INDEX(对接源_01水果!$AD$4:$AD$1203,$T110)=0,"",INDEX(对接源_01水果!$AD$4:$AD$1203,$T110)))</f>
      </c>
      <c r="I110" s="86">
        <f>IF($T110="","",IF(INDEX(对接源_01水果!$AI$4:$AI$1203,$T110)=0,"",INDEX(对接源_01水果!$AI$4:$AI$1203,$T110)))</f>
      </c>
      <c r="J110" s="86">
        <f>IF($T110="","",IF(INDEX(对接源_01水果!$AE$4:$AE$1203,$T110)=0,"",INDEX(对接源_01水果!$AE$4:$AE$1203,$T110)))</f>
      </c>
      <c r="K110" s="86">
        <f>IF($T110="","",IF(INDEX(对接源_01水果!$AF$4:$AF$1203,$T110)=0,"",INDEX(对接源_01水果!$AF$4:$AF$1203,$T110)))</f>
      </c>
      <c r="L110" s="86">
        <f>IF($T110="","",IF(INDEX(对接源_01水果!$K$4:$K$1203,$T110)=0,"",INDEX(对接源_01水果!$K$4:$K$1203,$T110)))</f>
      </c>
      <c r="M110" s="84">
        <f>IF($T110="","",IF(INDEX(对接源_01水果!$L$4:$L$1203,$T110)=0,"",INDEX(对接源_01水果!$L$4:$L$1203,$T110)))</f>
      </c>
      <c r="N110" s="87">
        <f>IF($T110="","",IF(INDEX(对接源_01水果!$M$4:$M$1203,$T110)=0,"",INDEX(对接源_01水果!$M$4:$M$1203,$T110)))</f>
      </c>
      <c r="S110" s="7" t="n"/>
      <c r="T110" s="7">
        <f>IF(ROW()-5&gt;$U$1203,"",MATCH(ROW()-5,$U$4:$U$1203,0))</f>
      </c>
      <c r="U110">
        <f>N(U109)+IF(AND($B$2&lt;&gt;"",对接源_01水果!$AH110=$B$2,对接源_01水果!$B110&gt;=$U$1,对接源_01水果!$B110&lt;=$U$2),1,0)</f>
        <v>0</v>
      </c>
    </row>
    <row r="111" ht="15.75" customHeight="1" s="127">
      <c r="A111" s="191">
        <f>IF($T111="","",IF(INDEX(对接源_01水果!$B$4:$B$1203,$T111)=0,"",INDEX(对接源_01水果!$B$4:$B$1203,$T111)))</f>
      </c>
      <c r="B111" s="84">
        <f>IF($T111="","",IF(INDEX(对接源_01水果!$E$4:$E$1203,$T111)=0,"",INDEX(对接源_01水果!$E$4:$E$1203,$T111)))</f>
      </c>
      <c r="C111" s="84">
        <f>IF($T111="","",IF(INDEX(对接源_01水果!$AC$4:$AC$1203,$T111)=0,"",INDEX(对接源_01水果!$AC$4:$AC$1203,$T111)))</f>
      </c>
      <c r="D111" s="84">
        <f>IF($T111="","",IF(INDEX(对接源_01水果!$F$4:$F$1203,$T111)=0,"",INDEX(对接源_01水果!$F$4:$F$1203,$T111)))</f>
      </c>
      <c r="E111" s="84">
        <f>IF($T111="","",IF(INDEX(对接源_01水果!$G$4:$G$1203,$T111)=0,"",INDEX(对接源_01水果!$G$4:$G$1203,$T111)))</f>
      </c>
      <c r="F111" s="84">
        <f>IF($T111="","",IF(INDEX(对接源_01水果!$H$4:$H$1203,$T111)=0,"",INDEX(对接源_01水果!$H$4:$H$1203,$T111)))</f>
      </c>
      <c r="G111" s="84">
        <f>IF($T111="","",IF(INDEX(对接源_01水果!$I$4:$I$1203,$T111)=0,"",INDEX(对接源_01水果!$I$4:$I$1203,$T111)))</f>
      </c>
      <c r="H111" s="86">
        <f>IF($T111="","",IF(INDEX(对接源_01水果!$AD$4:$AD$1203,$T111)=0,"",INDEX(对接源_01水果!$AD$4:$AD$1203,$T111)))</f>
      </c>
      <c r="I111" s="86">
        <f>IF($T111="","",IF(INDEX(对接源_01水果!$AI$4:$AI$1203,$T111)=0,"",INDEX(对接源_01水果!$AI$4:$AI$1203,$T111)))</f>
      </c>
      <c r="J111" s="86">
        <f>IF($T111="","",IF(INDEX(对接源_01水果!$AE$4:$AE$1203,$T111)=0,"",INDEX(对接源_01水果!$AE$4:$AE$1203,$T111)))</f>
      </c>
      <c r="K111" s="86">
        <f>IF($T111="","",IF(INDEX(对接源_01水果!$AF$4:$AF$1203,$T111)=0,"",INDEX(对接源_01水果!$AF$4:$AF$1203,$T111)))</f>
      </c>
      <c r="L111" s="86">
        <f>IF($T111="","",IF(INDEX(对接源_01水果!$K$4:$K$1203,$T111)=0,"",INDEX(对接源_01水果!$K$4:$K$1203,$T111)))</f>
      </c>
      <c r="M111" s="84">
        <f>IF($T111="","",IF(INDEX(对接源_01水果!$L$4:$L$1203,$T111)=0,"",INDEX(对接源_01水果!$L$4:$L$1203,$T111)))</f>
      </c>
      <c r="N111" s="87">
        <f>IF($T111="","",IF(INDEX(对接源_01水果!$M$4:$M$1203,$T111)=0,"",INDEX(对接源_01水果!$M$4:$M$1203,$T111)))</f>
      </c>
      <c r="S111" s="7" t="n"/>
      <c r="T111" s="7">
        <f>IF(ROW()-5&gt;$U$1203,"",MATCH(ROW()-5,$U$4:$U$1203,0))</f>
      </c>
      <c r="U111">
        <f>N(U110)+IF(AND($B$2&lt;&gt;"",对接源_01水果!$AH111=$B$2,对接源_01水果!$B111&gt;=$U$1,对接源_01水果!$B111&lt;=$U$2),1,0)</f>
        <v>0</v>
      </c>
    </row>
    <row r="112" ht="15.75" customHeight="1" s="127">
      <c r="A112" s="191">
        <f>IF($T112="","",IF(INDEX(对接源_01水果!$B$4:$B$1203,$T112)=0,"",INDEX(对接源_01水果!$B$4:$B$1203,$T112)))</f>
      </c>
      <c r="B112" s="84">
        <f>IF($T112="","",IF(INDEX(对接源_01水果!$E$4:$E$1203,$T112)=0,"",INDEX(对接源_01水果!$E$4:$E$1203,$T112)))</f>
      </c>
      <c r="C112" s="84">
        <f>IF($T112="","",IF(INDEX(对接源_01水果!$AC$4:$AC$1203,$T112)=0,"",INDEX(对接源_01水果!$AC$4:$AC$1203,$T112)))</f>
      </c>
      <c r="D112" s="84">
        <f>IF($T112="","",IF(INDEX(对接源_01水果!$F$4:$F$1203,$T112)=0,"",INDEX(对接源_01水果!$F$4:$F$1203,$T112)))</f>
      </c>
      <c r="E112" s="84">
        <f>IF($T112="","",IF(INDEX(对接源_01水果!$G$4:$G$1203,$T112)=0,"",INDEX(对接源_01水果!$G$4:$G$1203,$T112)))</f>
      </c>
      <c r="F112" s="84">
        <f>IF($T112="","",IF(INDEX(对接源_01水果!$H$4:$H$1203,$T112)=0,"",INDEX(对接源_01水果!$H$4:$H$1203,$T112)))</f>
      </c>
      <c r="G112" s="84">
        <f>IF($T112="","",IF(INDEX(对接源_01水果!$I$4:$I$1203,$T112)=0,"",INDEX(对接源_01水果!$I$4:$I$1203,$T112)))</f>
      </c>
      <c r="H112" s="86">
        <f>IF($T112="","",IF(INDEX(对接源_01水果!$AD$4:$AD$1203,$T112)=0,"",INDEX(对接源_01水果!$AD$4:$AD$1203,$T112)))</f>
      </c>
      <c r="I112" s="86">
        <f>IF($T112="","",IF(INDEX(对接源_01水果!$AI$4:$AI$1203,$T112)=0,"",INDEX(对接源_01水果!$AI$4:$AI$1203,$T112)))</f>
      </c>
      <c r="J112" s="86">
        <f>IF($T112="","",IF(INDEX(对接源_01水果!$AE$4:$AE$1203,$T112)=0,"",INDEX(对接源_01水果!$AE$4:$AE$1203,$T112)))</f>
      </c>
      <c r="K112" s="86">
        <f>IF($T112="","",IF(INDEX(对接源_01水果!$AF$4:$AF$1203,$T112)=0,"",INDEX(对接源_01水果!$AF$4:$AF$1203,$T112)))</f>
      </c>
      <c r="L112" s="86">
        <f>IF($T112="","",IF(INDEX(对接源_01水果!$K$4:$K$1203,$T112)=0,"",INDEX(对接源_01水果!$K$4:$K$1203,$T112)))</f>
      </c>
      <c r="M112" s="84">
        <f>IF($T112="","",IF(INDEX(对接源_01水果!$L$4:$L$1203,$T112)=0,"",INDEX(对接源_01水果!$L$4:$L$1203,$T112)))</f>
      </c>
      <c r="N112" s="87">
        <f>IF($T112="","",IF(INDEX(对接源_01水果!$M$4:$M$1203,$T112)=0,"",INDEX(对接源_01水果!$M$4:$M$1203,$T112)))</f>
      </c>
      <c r="S112" s="7" t="n"/>
      <c r="T112" s="7">
        <f>IF(ROW()-5&gt;$U$1203,"",MATCH(ROW()-5,$U$4:$U$1203,0))</f>
      </c>
      <c r="U112">
        <f>N(U111)+IF(AND($B$2&lt;&gt;"",对接源_01水果!$AH112=$B$2,对接源_01水果!$B112&gt;=$U$1,对接源_01水果!$B112&lt;=$U$2),1,0)</f>
        <v>0</v>
      </c>
    </row>
    <row r="113" ht="15.75" customHeight="1" s="127">
      <c r="A113" s="191">
        <f>IF($T113="","",IF(INDEX(对接源_01水果!$B$4:$B$1203,$T113)=0,"",INDEX(对接源_01水果!$B$4:$B$1203,$T113)))</f>
      </c>
      <c r="B113" s="84">
        <f>IF($T113="","",IF(INDEX(对接源_01水果!$E$4:$E$1203,$T113)=0,"",INDEX(对接源_01水果!$E$4:$E$1203,$T113)))</f>
      </c>
      <c r="C113" s="84">
        <f>IF($T113="","",IF(INDEX(对接源_01水果!$AC$4:$AC$1203,$T113)=0,"",INDEX(对接源_01水果!$AC$4:$AC$1203,$T113)))</f>
      </c>
      <c r="D113" s="84">
        <f>IF($T113="","",IF(INDEX(对接源_01水果!$F$4:$F$1203,$T113)=0,"",INDEX(对接源_01水果!$F$4:$F$1203,$T113)))</f>
      </c>
      <c r="E113" s="84">
        <f>IF($T113="","",IF(INDEX(对接源_01水果!$G$4:$G$1203,$T113)=0,"",INDEX(对接源_01水果!$G$4:$G$1203,$T113)))</f>
      </c>
      <c r="F113" s="84">
        <f>IF($T113="","",IF(INDEX(对接源_01水果!$H$4:$H$1203,$T113)=0,"",INDEX(对接源_01水果!$H$4:$H$1203,$T113)))</f>
      </c>
      <c r="G113" s="84">
        <f>IF($T113="","",IF(INDEX(对接源_01水果!$I$4:$I$1203,$T113)=0,"",INDEX(对接源_01水果!$I$4:$I$1203,$T113)))</f>
      </c>
      <c r="H113" s="86">
        <f>IF($T113="","",IF(INDEX(对接源_01水果!$AD$4:$AD$1203,$T113)=0,"",INDEX(对接源_01水果!$AD$4:$AD$1203,$T113)))</f>
      </c>
      <c r="I113" s="86">
        <f>IF($T113="","",IF(INDEX(对接源_01水果!$AI$4:$AI$1203,$T113)=0,"",INDEX(对接源_01水果!$AI$4:$AI$1203,$T113)))</f>
      </c>
      <c r="J113" s="86">
        <f>IF($T113="","",IF(INDEX(对接源_01水果!$AE$4:$AE$1203,$T113)=0,"",INDEX(对接源_01水果!$AE$4:$AE$1203,$T113)))</f>
      </c>
      <c r="K113" s="86">
        <f>IF($T113="","",IF(INDEX(对接源_01水果!$AF$4:$AF$1203,$T113)=0,"",INDEX(对接源_01水果!$AF$4:$AF$1203,$T113)))</f>
      </c>
      <c r="L113" s="86">
        <f>IF($T113="","",IF(INDEX(对接源_01水果!$K$4:$K$1203,$T113)=0,"",INDEX(对接源_01水果!$K$4:$K$1203,$T113)))</f>
      </c>
      <c r="M113" s="84">
        <f>IF($T113="","",IF(INDEX(对接源_01水果!$L$4:$L$1203,$T113)=0,"",INDEX(对接源_01水果!$L$4:$L$1203,$T113)))</f>
      </c>
      <c r="N113" s="87">
        <f>IF($T113="","",IF(INDEX(对接源_01水果!$M$4:$M$1203,$T113)=0,"",INDEX(对接源_01水果!$M$4:$M$1203,$T113)))</f>
      </c>
      <c r="S113" s="7" t="n"/>
      <c r="T113" s="7">
        <f>IF(ROW()-5&gt;$U$1203,"",MATCH(ROW()-5,$U$4:$U$1203,0))</f>
      </c>
      <c r="U113">
        <f>N(U112)+IF(AND($B$2&lt;&gt;"",对接源_01水果!$AH113=$B$2,对接源_01水果!$B113&gt;=$U$1,对接源_01水果!$B113&lt;=$U$2),1,0)</f>
        <v>0</v>
      </c>
    </row>
    <row r="114" ht="15.75" customHeight="1" s="127">
      <c r="A114" s="191">
        <f>IF($T114="","",IF(INDEX(对接源_01水果!$B$4:$B$1203,$T114)=0,"",INDEX(对接源_01水果!$B$4:$B$1203,$T114)))</f>
      </c>
      <c r="B114" s="84">
        <f>IF($T114="","",IF(INDEX(对接源_01水果!$E$4:$E$1203,$T114)=0,"",INDEX(对接源_01水果!$E$4:$E$1203,$T114)))</f>
      </c>
      <c r="C114" s="84">
        <f>IF($T114="","",IF(INDEX(对接源_01水果!$AC$4:$AC$1203,$T114)=0,"",INDEX(对接源_01水果!$AC$4:$AC$1203,$T114)))</f>
      </c>
      <c r="D114" s="84">
        <f>IF($T114="","",IF(INDEX(对接源_01水果!$F$4:$F$1203,$T114)=0,"",INDEX(对接源_01水果!$F$4:$F$1203,$T114)))</f>
      </c>
      <c r="E114" s="84">
        <f>IF($T114="","",IF(INDEX(对接源_01水果!$G$4:$G$1203,$T114)=0,"",INDEX(对接源_01水果!$G$4:$G$1203,$T114)))</f>
      </c>
      <c r="F114" s="84">
        <f>IF($T114="","",IF(INDEX(对接源_01水果!$H$4:$H$1203,$T114)=0,"",INDEX(对接源_01水果!$H$4:$H$1203,$T114)))</f>
      </c>
      <c r="G114" s="84">
        <f>IF($T114="","",IF(INDEX(对接源_01水果!$I$4:$I$1203,$T114)=0,"",INDEX(对接源_01水果!$I$4:$I$1203,$T114)))</f>
      </c>
      <c r="H114" s="86">
        <f>IF($T114="","",IF(INDEX(对接源_01水果!$AD$4:$AD$1203,$T114)=0,"",INDEX(对接源_01水果!$AD$4:$AD$1203,$T114)))</f>
      </c>
      <c r="I114" s="86">
        <f>IF($T114="","",IF(INDEX(对接源_01水果!$AI$4:$AI$1203,$T114)=0,"",INDEX(对接源_01水果!$AI$4:$AI$1203,$T114)))</f>
      </c>
      <c r="J114" s="86">
        <f>IF($T114="","",IF(INDEX(对接源_01水果!$AE$4:$AE$1203,$T114)=0,"",INDEX(对接源_01水果!$AE$4:$AE$1203,$T114)))</f>
      </c>
      <c r="K114" s="86">
        <f>IF($T114="","",IF(INDEX(对接源_01水果!$AF$4:$AF$1203,$T114)=0,"",INDEX(对接源_01水果!$AF$4:$AF$1203,$T114)))</f>
      </c>
      <c r="L114" s="86">
        <f>IF($T114="","",IF(INDEX(对接源_01水果!$K$4:$K$1203,$T114)=0,"",INDEX(对接源_01水果!$K$4:$K$1203,$T114)))</f>
      </c>
      <c r="M114" s="84">
        <f>IF($T114="","",IF(INDEX(对接源_01水果!$L$4:$L$1203,$T114)=0,"",INDEX(对接源_01水果!$L$4:$L$1203,$T114)))</f>
      </c>
      <c r="N114" s="87">
        <f>IF($T114="","",IF(INDEX(对接源_01水果!$M$4:$M$1203,$T114)=0,"",INDEX(对接源_01水果!$M$4:$M$1203,$T114)))</f>
      </c>
      <c r="S114" s="7" t="n"/>
      <c r="T114" s="7">
        <f>IF(ROW()-5&gt;$U$1203,"",MATCH(ROW()-5,$U$4:$U$1203,0))</f>
      </c>
      <c r="U114">
        <f>N(U113)+IF(AND($B$2&lt;&gt;"",对接源_01水果!$AH114=$B$2,对接源_01水果!$B114&gt;=$U$1,对接源_01水果!$B114&lt;=$U$2),1,0)</f>
        <v>0</v>
      </c>
    </row>
    <row r="115" ht="15.75" customHeight="1" s="127">
      <c r="A115" s="191">
        <f>IF($T115="","",IF(INDEX(对接源_01水果!$B$4:$B$1203,$T115)=0,"",INDEX(对接源_01水果!$B$4:$B$1203,$T115)))</f>
      </c>
      <c r="B115" s="84">
        <f>IF($T115="","",IF(INDEX(对接源_01水果!$E$4:$E$1203,$T115)=0,"",INDEX(对接源_01水果!$E$4:$E$1203,$T115)))</f>
      </c>
      <c r="C115" s="84">
        <f>IF($T115="","",IF(INDEX(对接源_01水果!$AC$4:$AC$1203,$T115)=0,"",INDEX(对接源_01水果!$AC$4:$AC$1203,$T115)))</f>
      </c>
      <c r="D115" s="84">
        <f>IF($T115="","",IF(INDEX(对接源_01水果!$F$4:$F$1203,$T115)=0,"",INDEX(对接源_01水果!$F$4:$F$1203,$T115)))</f>
      </c>
      <c r="E115" s="84">
        <f>IF($T115="","",IF(INDEX(对接源_01水果!$G$4:$G$1203,$T115)=0,"",INDEX(对接源_01水果!$G$4:$G$1203,$T115)))</f>
      </c>
      <c r="F115" s="84">
        <f>IF($T115="","",IF(INDEX(对接源_01水果!$H$4:$H$1203,$T115)=0,"",INDEX(对接源_01水果!$H$4:$H$1203,$T115)))</f>
      </c>
      <c r="G115" s="84">
        <f>IF($T115="","",IF(INDEX(对接源_01水果!$I$4:$I$1203,$T115)=0,"",INDEX(对接源_01水果!$I$4:$I$1203,$T115)))</f>
      </c>
      <c r="H115" s="86">
        <f>IF($T115="","",IF(INDEX(对接源_01水果!$AD$4:$AD$1203,$T115)=0,"",INDEX(对接源_01水果!$AD$4:$AD$1203,$T115)))</f>
      </c>
      <c r="I115" s="86">
        <f>IF($T115="","",IF(INDEX(对接源_01水果!$AI$4:$AI$1203,$T115)=0,"",INDEX(对接源_01水果!$AI$4:$AI$1203,$T115)))</f>
      </c>
      <c r="J115" s="86">
        <f>IF($T115="","",IF(INDEX(对接源_01水果!$AE$4:$AE$1203,$T115)=0,"",INDEX(对接源_01水果!$AE$4:$AE$1203,$T115)))</f>
      </c>
      <c r="K115" s="86">
        <f>IF($T115="","",IF(INDEX(对接源_01水果!$AF$4:$AF$1203,$T115)=0,"",INDEX(对接源_01水果!$AF$4:$AF$1203,$T115)))</f>
      </c>
      <c r="L115" s="86">
        <f>IF($T115="","",IF(INDEX(对接源_01水果!$K$4:$K$1203,$T115)=0,"",INDEX(对接源_01水果!$K$4:$K$1203,$T115)))</f>
      </c>
      <c r="M115" s="84">
        <f>IF($T115="","",IF(INDEX(对接源_01水果!$L$4:$L$1203,$T115)=0,"",INDEX(对接源_01水果!$L$4:$L$1203,$T115)))</f>
      </c>
      <c r="N115" s="87">
        <f>IF($T115="","",IF(INDEX(对接源_01水果!$M$4:$M$1203,$T115)=0,"",INDEX(对接源_01水果!$M$4:$M$1203,$T115)))</f>
      </c>
      <c r="S115" s="7" t="n"/>
      <c r="T115" s="7">
        <f>IF(ROW()-5&gt;$U$1203,"",MATCH(ROW()-5,$U$4:$U$1203,0))</f>
      </c>
      <c r="U115">
        <f>N(U114)+IF(AND($B$2&lt;&gt;"",对接源_01水果!$AH115=$B$2,对接源_01水果!$B115&gt;=$U$1,对接源_01水果!$B115&lt;=$U$2),1,0)</f>
        <v>0</v>
      </c>
    </row>
    <row r="116" ht="15.75" customHeight="1" s="127">
      <c r="A116" s="191">
        <f>IF($T116="","",IF(INDEX(对接源_01水果!$B$4:$B$1203,$T116)=0,"",INDEX(对接源_01水果!$B$4:$B$1203,$T116)))</f>
      </c>
      <c r="B116" s="84">
        <f>IF($T116="","",IF(INDEX(对接源_01水果!$E$4:$E$1203,$T116)=0,"",INDEX(对接源_01水果!$E$4:$E$1203,$T116)))</f>
      </c>
      <c r="C116" s="84">
        <f>IF($T116="","",IF(INDEX(对接源_01水果!$AC$4:$AC$1203,$T116)=0,"",INDEX(对接源_01水果!$AC$4:$AC$1203,$T116)))</f>
      </c>
      <c r="D116" s="84">
        <f>IF($T116="","",IF(INDEX(对接源_01水果!$F$4:$F$1203,$T116)=0,"",INDEX(对接源_01水果!$F$4:$F$1203,$T116)))</f>
      </c>
      <c r="E116" s="84">
        <f>IF($T116="","",IF(INDEX(对接源_01水果!$G$4:$G$1203,$T116)=0,"",INDEX(对接源_01水果!$G$4:$G$1203,$T116)))</f>
      </c>
      <c r="F116" s="84">
        <f>IF($T116="","",IF(INDEX(对接源_01水果!$H$4:$H$1203,$T116)=0,"",INDEX(对接源_01水果!$H$4:$H$1203,$T116)))</f>
      </c>
      <c r="G116" s="84">
        <f>IF($T116="","",IF(INDEX(对接源_01水果!$I$4:$I$1203,$T116)=0,"",INDEX(对接源_01水果!$I$4:$I$1203,$T116)))</f>
      </c>
      <c r="H116" s="86">
        <f>IF($T116="","",IF(INDEX(对接源_01水果!$AD$4:$AD$1203,$T116)=0,"",INDEX(对接源_01水果!$AD$4:$AD$1203,$T116)))</f>
      </c>
      <c r="I116" s="86">
        <f>IF($T116="","",IF(INDEX(对接源_01水果!$AI$4:$AI$1203,$T116)=0,"",INDEX(对接源_01水果!$AI$4:$AI$1203,$T116)))</f>
      </c>
      <c r="J116" s="86">
        <f>IF($T116="","",IF(INDEX(对接源_01水果!$AE$4:$AE$1203,$T116)=0,"",INDEX(对接源_01水果!$AE$4:$AE$1203,$T116)))</f>
      </c>
      <c r="K116" s="86">
        <f>IF($T116="","",IF(INDEX(对接源_01水果!$AF$4:$AF$1203,$T116)=0,"",INDEX(对接源_01水果!$AF$4:$AF$1203,$T116)))</f>
      </c>
      <c r="L116" s="86">
        <f>IF($T116="","",IF(INDEX(对接源_01水果!$K$4:$K$1203,$T116)=0,"",INDEX(对接源_01水果!$K$4:$K$1203,$T116)))</f>
      </c>
      <c r="M116" s="84">
        <f>IF($T116="","",IF(INDEX(对接源_01水果!$L$4:$L$1203,$T116)=0,"",INDEX(对接源_01水果!$L$4:$L$1203,$T116)))</f>
      </c>
      <c r="N116" s="87">
        <f>IF($T116="","",IF(INDEX(对接源_01水果!$M$4:$M$1203,$T116)=0,"",INDEX(对接源_01水果!$M$4:$M$1203,$T116)))</f>
      </c>
      <c r="S116" s="7" t="n"/>
      <c r="T116" s="7">
        <f>IF(ROW()-5&gt;$U$1203,"",MATCH(ROW()-5,$U$4:$U$1203,0))</f>
      </c>
      <c r="U116">
        <f>N(U115)+IF(AND($B$2&lt;&gt;"",对接源_01水果!$AH116=$B$2,对接源_01水果!$B116&gt;=$U$1,对接源_01水果!$B116&lt;=$U$2),1,0)</f>
        <v>0</v>
      </c>
    </row>
    <row r="117" ht="15.75" customHeight="1" s="127">
      <c r="A117" s="191">
        <f>IF($T117="","",IF(INDEX(对接源_01水果!$B$4:$B$1203,$T117)=0,"",INDEX(对接源_01水果!$B$4:$B$1203,$T117)))</f>
      </c>
      <c r="B117" s="84">
        <f>IF($T117="","",IF(INDEX(对接源_01水果!$E$4:$E$1203,$T117)=0,"",INDEX(对接源_01水果!$E$4:$E$1203,$T117)))</f>
      </c>
      <c r="C117" s="84">
        <f>IF($T117="","",IF(INDEX(对接源_01水果!$AC$4:$AC$1203,$T117)=0,"",INDEX(对接源_01水果!$AC$4:$AC$1203,$T117)))</f>
      </c>
      <c r="D117" s="84">
        <f>IF($T117="","",IF(INDEX(对接源_01水果!$F$4:$F$1203,$T117)=0,"",INDEX(对接源_01水果!$F$4:$F$1203,$T117)))</f>
      </c>
      <c r="E117" s="84">
        <f>IF($T117="","",IF(INDEX(对接源_01水果!$G$4:$G$1203,$T117)=0,"",INDEX(对接源_01水果!$G$4:$G$1203,$T117)))</f>
      </c>
      <c r="F117" s="84">
        <f>IF($T117="","",IF(INDEX(对接源_01水果!$H$4:$H$1203,$T117)=0,"",INDEX(对接源_01水果!$H$4:$H$1203,$T117)))</f>
      </c>
      <c r="G117" s="84">
        <f>IF($T117="","",IF(INDEX(对接源_01水果!$I$4:$I$1203,$T117)=0,"",INDEX(对接源_01水果!$I$4:$I$1203,$T117)))</f>
      </c>
      <c r="H117" s="86">
        <f>IF($T117="","",IF(INDEX(对接源_01水果!$AD$4:$AD$1203,$T117)=0,"",INDEX(对接源_01水果!$AD$4:$AD$1203,$T117)))</f>
      </c>
      <c r="I117" s="86">
        <f>IF($T117="","",IF(INDEX(对接源_01水果!$AI$4:$AI$1203,$T117)=0,"",INDEX(对接源_01水果!$AI$4:$AI$1203,$T117)))</f>
      </c>
      <c r="J117" s="86">
        <f>IF($T117="","",IF(INDEX(对接源_01水果!$AE$4:$AE$1203,$T117)=0,"",INDEX(对接源_01水果!$AE$4:$AE$1203,$T117)))</f>
      </c>
      <c r="K117" s="86">
        <f>IF($T117="","",IF(INDEX(对接源_01水果!$AF$4:$AF$1203,$T117)=0,"",INDEX(对接源_01水果!$AF$4:$AF$1203,$T117)))</f>
      </c>
      <c r="L117" s="86">
        <f>IF($T117="","",IF(INDEX(对接源_01水果!$K$4:$K$1203,$T117)=0,"",INDEX(对接源_01水果!$K$4:$K$1203,$T117)))</f>
      </c>
      <c r="M117" s="84">
        <f>IF($T117="","",IF(INDEX(对接源_01水果!$L$4:$L$1203,$T117)=0,"",INDEX(对接源_01水果!$L$4:$L$1203,$T117)))</f>
      </c>
      <c r="N117" s="87">
        <f>IF($T117="","",IF(INDEX(对接源_01水果!$M$4:$M$1203,$T117)=0,"",INDEX(对接源_01水果!$M$4:$M$1203,$T117)))</f>
      </c>
      <c r="S117" s="7" t="n"/>
      <c r="T117" s="7">
        <f>IF(ROW()-5&gt;$U$1203,"",MATCH(ROW()-5,$U$4:$U$1203,0))</f>
      </c>
      <c r="U117">
        <f>N(U116)+IF(AND($B$2&lt;&gt;"",对接源_01水果!$AH117=$B$2,对接源_01水果!$B117&gt;=$U$1,对接源_01水果!$B117&lt;=$U$2),1,0)</f>
        <v>0</v>
      </c>
    </row>
    <row r="118" ht="15.75" customHeight="1" s="127">
      <c r="A118" s="191">
        <f>IF($T118="","",IF(INDEX(对接源_01水果!$B$4:$B$1203,$T118)=0,"",INDEX(对接源_01水果!$B$4:$B$1203,$T118)))</f>
      </c>
      <c r="B118" s="84">
        <f>IF($T118="","",IF(INDEX(对接源_01水果!$E$4:$E$1203,$T118)=0,"",INDEX(对接源_01水果!$E$4:$E$1203,$T118)))</f>
      </c>
      <c r="C118" s="84">
        <f>IF($T118="","",IF(INDEX(对接源_01水果!$AC$4:$AC$1203,$T118)=0,"",INDEX(对接源_01水果!$AC$4:$AC$1203,$T118)))</f>
      </c>
      <c r="D118" s="84">
        <f>IF($T118="","",IF(INDEX(对接源_01水果!$F$4:$F$1203,$T118)=0,"",INDEX(对接源_01水果!$F$4:$F$1203,$T118)))</f>
      </c>
      <c r="E118" s="84">
        <f>IF($T118="","",IF(INDEX(对接源_01水果!$G$4:$G$1203,$T118)=0,"",INDEX(对接源_01水果!$G$4:$G$1203,$T118)))</f>
      </c>
      <c r="F118" s="84">
        <f>IF($T118="","",IF(INDEX(对接源_01水果!$H$4:$H$1203,$T118)=0,"",INDEX(对接源_01水果!$H$4:$H$1203,$T118)))</f>
      </c>
      <c r="G118" s="84">
        <f>IF($T118="","",IF(INDEX(对接源_01水果!$I$4:$I$1203,$T118)=0,"",INDEX(对接源_01水果!$I$4:$I$1203,$T118)))</f>
      </c>
      <c r="H118" s="86">
        <f>IF($T118="","",IF(INDEX(对接源_01水果!$AD$4:$AD$1203,$T118)=0,"",INDEX(对接源_01水果!$AD$4:$AD$1203,$T118)))</f>
      </c>
      <c r="I118" s="86">
        <f>IF($T118="","",IF(INDEX(对接源_01水果!$AI$4:$AI$1203,$T118)=0,"",INDEX(对接源_01水果!$AI$4:$AI$1203,$T118)))</f>
      </c>
      <c r="J118" s="86">
        <f>IF($T118="","",IF(INDEX(对接源_01水果!$AE$4:$AE$1203,$T118)=0,"",INDEX(对接源_01水果!$AE$4:$AE$1203,$T118)))</f>
      </c>
      <c r="K118" s="86">
        <f>IF($T118="","",IF(INDEX(对接源_01水果!$AF$4:$AF$1203,$T118)=0,"",INDEX(对接源_01水果!$AF$4:$AF$1203,$T118)))</f>
      </c>
      <c r="L118" s="86">
        <f>IF($T118="","",IF(INDEX(对接源_01水果!$K$4:$K$1203,$T118)=0,"",INDEX(对接源_01水果!$K$4:$K$1203,$T118)))</f>
      </c>
      <c r="M118" s="84">
        <f>IF($T118="","",IF(INDEX(对接源_01水果!$L$4:$L$1203,$T118)=0,"",INDEX(对接源_01水果!$L$4:$L$1203,$T118)))</f>
      </c>
      <c r="N118" s="87">
        <f>IF($T118="","",IF(INDEX(对接源_01水果!$M$4:$M$1203,$T118)=0,"",INDEX(对接源_01水果!$M$4:$M$1203,$T118)))</f>
      </c>
      <c r="S118" s="7" t="n"/>
      <c r="T118" s="7">
        <f>IF(ROW()-5&gt;$U$1203,"",MATCH(ROW()-5,$U$4:$U$1203,0))</f>
      </c>
      <c r="U118">
        <f>N(U117)+IF(AND($B$2&lt;&gt;"",对接源_01水果!$AH118=$B$2,对接源_01水果!$B118&gt;=$U$1,对接源_01水果!$B118&lt;=$U$2),1,0)</f>
        <v>0</v>
      </c>
    </row>
    <row r="119" ht="15.75" customHeight="1" s="127">
      <c r="A119" s="191">
        <f>IF($T119="","",IF(INDEX(对接源_01水果!$B$4:$B$1203,$T119)=0,"",INDEX(对接源_01水果!$B$4:$B$1203,$T119)))</f>
      </c>
      <c r="B119" s="84">
        <f>IF($T119="","",IF(INDEX(对接源_01水果!$E$4:$E$1203,$T119)=0,"",INDEX(对接源_01水果!$E$4:$E$1203,$T119)))</f>
      </c>
      <c r="C119" s="84">
        <f>IF($T119="","",IF(INDEX(对接源_01水果!$AC$4:$AC$1203,$T119)=0,"",INDEX(对接源_01水果!$AC$4:$AC$1203,$T119)))</f>
      </c>
      <c r="D119" s="84">
        <f>IF($T119="","",IF(INDEX(对接源_01水果!$F$4:$F$1203,$T119)=0,"",INDEX(对接源_01水果!$F$4:$F$1203,$T119)))</f>
      </c>
      <c r="E119" s="84">
        <f>IF($T119="","",IF(INDEX(对接源_01水果!$G$4:$G$1203,$T119)=0,"",INDEX(对接源_01水果!$G$4:$G$1203,$T119)))</f>
      </c>
      <c r="F119" s="84">
        <f>IF($T119="","",IF(INDEX(对接源_01水果!$H$4:$H$1203,$T119)=0,"",INDEX(对接源_01水果!$H$4:$H$1203,$T119)))</f>
      </c>
      <c r="G119" s="84">
        <f>IF($T119="","",IF(INDEX(对接源_01水果!$I$4:$I$1203,$T119)=0,"",INDEX(对接源_01水果!$I$4:$I$1203,$T119)))</f>
      </c>
      <c r="H119" s="86">
        <f>IF($T119="","",IF(INDEX(对接源_01水果!$AD$4:$AD$1203,$T119)=0,"",INDEX(对接源_01水果!$AD$4:$AD$1203,$T119)))</f>
      </c>
      <c r="I119" s="86">
        <f>IF($T119="","",IF(INDEX(对接源_01水果!$AI$4:$AI$1203,$T119)=0,"",INDEX(对接源_01水果!$AI$4:$AI$1203,$T119)))</f>
      </c>
      <c r="J119" s="86">
        <f>IF($T119="","",IF(INDEX(对接源_01水果!$AE$4:$AE$1203,$T119)=0,"",INDEX(对接源_01水果!$AE$4:$AE$1203,$T119)))</f>
      </c>
      <c r="K119" s="86">
        <f>IF($T119="","",IF(INDEX(对接源_01水果!$AF$4:$AF$1203,$T119)=0,"",INDEX(对接源_01水果!$AF$4:$AF$1203,$T119)))</f>
      </c>
      <c r="L119" s="86">
        <f>IF($T119="","",IF(INDEX(对接源_01水果!$K$4:$K$1203,$T119)=0,"",INDEX(对接源_01水果!$K$4:$K$1203,$T119)))</f>
      </c>
      <c r="M119" s="84">
        <f>IF($T119="","",IF(INDEX(对接源_01水果!$L$4:$L$1203,$T119)=0,"",INDEX(对接源_01水果!$L$4:$L$1203,$T119)))</f>
      </c>
      <c r="N119" s="87">
        <f>IF($T119="","",IF(INDEX(对接源_01水果!$M$4:$M$1203,$T119)=0,"",INDEX(对接源_01水果!$M$4:$M$1203,$T119)))</f>
      </c>
      <c r="S119" s="7" t="n"/>
      <c r="T119" s="7">
        <f>IF(ROW()-5&gt;$U$1203,"",MATCH(ROW()-5,$U$4:$U$1203,0))</f>
      </c>
      <c r="U119">
        <f>N(U118)+IF(AND($B$2&lt;&gt;"",对接源_01水果!$AH119=$B$2,对接源_01水果!$B119&gt;=$U$1,对接源_01水果!$B119&lt;=$U$2),1,0)</f>
        <v>0</v>
      </c>
    </row>
    <row r="120" ht="15.75" customHeight="1" s="127">
      <c r="A120" s="191">
        <f>IF($T120="","",IF(INDEX(对接源_01水果!$B$4:$B$1203,$T120)=0,"",INDEX(对接源_01水果!$B$4:$B$1203,$T120)))</f>
      </c>
      <c r="B120" s="84">
        <f>IF($T120="","",IF(INDEX(对接源_01水果!$E$4:$E$1203,$T120)=0,"",INDEX(对接源_01水果!$E$4:$E$1203,$T120)))</f>
      </c>
      <c r="C120" s="84">
        <f>IF($T120="","",IF(INDEX(对接源_01水果!$AC$4:$AC$1203,$T120)=0,"",INDEX(对接源_01水果!$AC$4:$AC$1203,$T120)))</f>
      </c>
      <c r="D120" s="84">
        <f>IF($T120="","",IF(INDEX(对接源_01水果!$F$4:$F$1203,$T120)=0,"",INDEX(对接源_01水果!$F$4:$F$1203,$T120)))</f>
      </c>
      <c r="E120" s="84">
        <f>IF($T120="","",IF(INDEX(对接源_01水果!$G$4:$G$1203,$T120)=0,"",INDEX(对接源_01水果!$G$4:$G$1203,$T120)))</f>
      </c>
      <c r="F120" s="84">
        <f>IF($T120="","",IF(INDEX(对接源_01水果!$H$4:$H$1203,$T120)=0,"",INDEX(对接源_01水果!$H$4:$H$1203,$T120)))</f>
      </c>
      <c r="G120" s="84">
        <f>IF($T120="","",IF(INDEX(对接源_01水果!$I$4:$I$1203,$T120)=0,"",INDEX(对接源_01水果!$I$4:$I$1203,$T120)))</f>
      </c>
      <c r="H120" s="86">
        <f>IF($T120="","",IF(INDEX(对接源_01水果!$AD$4:$AD$1203,$T120)=0,"",INDEX(对接源_01水果!$AD$4:$AD$1203,$T120)))</f>
      </c>
      <c r="I120" s="86">
        <f>IF($T120="","",IF(INDEX(对接源_01水果!$AI$4:$AI$1203,$T120)=0,"",INDEX(对接源_01水果!$AI$4:$AI$1203,$T120)))</f>
      </c>
      <c r="J120" s="86">
        <f>IF($T120="","",IF(INDEX(对接源_01水果!$AE$4:$AE$1203,$T120)=0,"",INDEX(对接源_01水果!$AE$4:$AE$1203,$T120)))</f>
      </c>
      <c r="K120" s="86">
        <f>IF($T120="","",IF(INDEX(对接源_01水果!$AF$4:$AF$1203,$T120)=0,"",INDEX(对接源_01水果!$AF$4:$AF$1203,$T120)))</f>
      </c>
      <c r="L120" s="86">
        <f>IF($T120="","",IF(INDEX(对接源_01水果!$K$4:$K$1203,$T120)=0,"",INDEX(对接源_01水果!$K$4:$K$1203,$T120)))</f>
      </c>
      <c r="M120" s="84">
        <f>IF($T120="","",IF(INDEX(对接源_01水果!$L$4:$L$1203,$T120)=0,"",INDEX(对接源_01水果!$L$4:$L$1203,$T120)))</f>
      </c>
      <c r="N120" s="87">
        <f>IF($T120="","",IF(INDEX(对接源_01水果!$M$4:$M$1203,$T120)=0,"",INDEX(对接源_01水果!$M$4:$M$1203,$T120)))</f>
      </c>
      <c r="S120" s="7" t="n"/>
      <c r="T120" s="7">
        <f>IF(ROW()-5&gt;$U$1203,"",MATCH(ROW()-5,$U$4:$U$1203,0))</f>
      </c>
      <c r="U120">
        <f>N(U119)+IF(AND($B$2&lt;&gt;"",对接源_01水果!$AH120=$B$2,对接源_01水果!$B120&gt;=$U$1,对接源_01水果!$B120&lt;=$U$2),1,0)</f>
        <v>0</v>
      </c>
    </row>
    <row r="121" ht="15.75" customHeight="1" s="127">
      <c r="A121" s="191">
        <f>IF($T121="","",IF(INDEX(对接源_01水果!$B$4:$B$1203,$T121)=0,"",INDEX(对接源_01水果!$B$4:$B$1203,$T121)))</f>
      </c>
      <c r="B121" s="84">
        <f>IF($T121="","",IF(INDEX(对接源_01水果!$E$4:$E$1203,$T121)=0,"",INDEX(对接源_01水果!$E$4:$E$1203,$T121)))</f>
      </c>
      <c r="C121" s="84">
        <f>IF($T121="","",IF(INDEX(对接源_01水果!$AC$4:$AC$1203,$T121)=0,"",INDEX(对接源_01水果!$AC$4:$AC$1203,$T121)))</f>
      </c>
      <c r="D121" s="84">
        <f>IF($T121="","",IF(INDEX(对接源_01水果!$F$4:$F$1203,$T121)=0,"",INDEX(对接源_01水果!$F$4:$F$1203,$T121)))</f>
      </c>
      <c r="E121" s="84">
        <f>IF($T121="","",IF(INDEX(对接源_01水果!$G$4:$G$1203,$T121)=0,"",INDEX(对接源_01水果!$G$4:$G$1203,$T121)))</f>
      </c>
      <c r="F121" s="84">
        <f>IF($T121="","",IF(INDEX(对接源_01水果!$H$4:$H$1203,$T121)=0,"",INDEX(对接源_01水果!$H$4:$H$1203,$T121)))</f>
      </c>
      <c r="G121" s="84">
        <f>IF($T121="","",IF(INDEX(对接源_01水果!$I$4:$I$1203,$T121)=0,"",INDEX(对接源_01水果!$I$4:$I$1203,$T121)))</f>
      </c>
      <c r="H121" s="86">
        <f>IF($T121="","",IF(INDEX(对接源_01水果!$AD$4:$AD$1203,$T121)=0,"",INDEX(对接源_01水果!$AD$4:$AD$1203,$T121)))</f>
      </c>
      <c r="I121" s="86">
        <f>IF($T121="","",IF(INDEX(对接源_01水果!$AI$4:$AI$1203,$T121)=0,"",INDEX(对接源_01水果!$AI$4:$AI$1203,$T121)))</f>
      </c>
      <c r="J121" s="86">
        <f>IF($T121="","",IF(INDEX(对接源_01水果!$AE$4:$AE$1203,$T121)=0,"",INDEX(对接源_01水果!$AE$4:$AE$1203,$T121)))</f>
      </c>
      <c r="K121" s="86">
        <f>IF($T121="","",IF(INDEX(对接源_01水果!$AF$4:$AF$1203,$T121)=0,"",INDEX(对接源_01水果!$AF$4:$AF$1203,$T121)))</f>
      </c>
      <c r="L121" s="86">
        <f>IF($T121="","",IF(INDEX(对接源_01水果!$K$4:$K$1203,$T121)=0,"",INDEX(对接源_01水果!$K$4:$K$1203,$T121)))</f>
      </c>
      <c r="M121" s="84">
        <f>IF($T121="","",IF(INDEX(对接源_01水果!$L$4:$L$1203,$T121)=0,"",INDEX(对接源_01水果!$L$4:$L$1203,$T121)))</f>
      </c>
      <c r="N121" s="87">
        <f>IF($T121="","",IF(INDEX(对接源_01水果!$M$4:$M$1203,$T121)=0,"",INDEX(对接源_01水果!$M$4:$M$1203,$T121)))</f>
      </c>
      <c r="S121" s="7" t="n"/>
      <c r="T121" s="7">
        <f>IF(ROW()-5&gt;$U$1203,"",MATCH(ROW()-5,$U$4:$U$1203,0))</f>
      </c>
      <c r="U121">
        <f>N(U120)+IF(AND($B$2&lt;&gt;"",对接源_01水果!$AH121=$B$2,对接源_01水果!$B121&gt;=$U$1,对接源_01水果!$B121&lt;=$U$2),1,0)</f>
        <v>0</v>
      </c>
    </row>
    <row r="122" ht="15.75" customHeight="1" s="127">
      <c r="A122" s="191">
        <f>IF($T122="","",IF(INDEX(对接源_01水果!$B$4:$B$1203,$T122)=0,"",INDEX(对接源_01水果!$B$4:$B$1203,$T122)))</f>
      </c>
      <c r="B122" s="84">
        <f>IF($T122="","",IF(INDEX(对接源_01水果!$E$4:$E$1203,$T122)=0,"",INDEX(对接源_01水果!$E$4:$E$1203,$T122)))</f>
      </c>
      <c r="C122" s="84">
        <f>IF($T122="","",IF(INDEX(对接源_01水果!$AC$4:$AC$1203,$T122)=0,"",INDEX(对接源_01水果!$AC$4:$AC$1203,$T122)))</f>
      </c>
      <c r="D122" s="84">
        <f>IF($T122="","",IF(INDEX(对接源_01水果!$F$4:$F$1203,$T122)=0,"",INDEX(对接源_01水果!$F$4:$F$1203,$T122)))</f>
      </c>
      <c r="E122" s="84">
        <f>IF($T122="","",IF(INDEX(对接源_01水果!$G$4:$G$1203,$T122)=0,"",INDEX(对接源_01水果!$G$4:$G$1203,$T122)))</f>
      </c>
      <c r="F122" s="84">
        <f>IF($T122="","",IF(INDEX(对接源_01水果!$H$4:$H$1203,$T122)=0,"",INDEX(对接源_01水果!$H$4:$H$1203,$T122)))</f>
      </c>
      <c r="G122" s="84">
        <f>IF($T122="","",IF(INDEX(对接源_01水果!$I$4:$I$1203,$T122)=0,"",INDEX(对接源_01水果!$I$4:$I$1203,$T122)))</f>
      </c>
      <c r="H122" s="86">
        <f>IF($T122="","",IF(INDEX(对接源_01水果!$AD$4:$AD$1203,$T122)=0,"",INDEX(对接源_01水果!$AD$4:$AD$1203,$T122)))</f>
      </c>
      <c r="I122" s="86">
        <f>IF($T122="","",IF(INDEX(对接源_01水果!$AI$4:$AI$1203,$T122)=0,"",INDEX(对接源_01水果!$AI$4:$AI$1203,$T122)))</f>
      </c>
      <c r="J122" s="86">
        <f>IF($T122="","",IF(INDEX(对接源_01水果!$AE$4:$AE$1203,$T122)=0,"",INDEX(对接源_01水果!$AE$4:$AE$1203,$T122)))</f>
      </c>
      <c r="K122" s="86">
        <f>IF($T122="","",IF(INDEX(对接源_01水果!$AF$4:$AF$1203,$T122)=0,"",INDEX(对接源_01水果!$AF$4:$AF$1203,$T122)))</f>
      </c>
      <c r="L122" s="86">
        <f>IF($T122="","",IF(INDEX(对接源_01水果!$K$4:$K$1203,$T122)=0,"",INDEX(对接源_01水果!$K$4:$K$1203,$T122)))</f>
      </c>
      <c r="M122" s="84">
        <f>IF($T122="","",IF(INDEX(对接源_01水果!$L$4:$L$1203,$T122)=0,"",INDEX(对接源_01水果!$L$4:$L$1203,$T122)))</f>
      </c>
      <c r="N122" s="87">
        <f>IF($T122="","",IF(INDEX(对接源_01水果!$M$4:$M$1203,$T122)=0,"",INDEX(对接源_01水果!$M$4:$M$1203,$T122)))</f>
      </c>
      <c r="S122" s="7" t="n"/>
      <c r="T122" s="7">
        <f>IF(ROW()-5&gt;$U$1203,"",MATCH(ROW()-5,$U$4:$U$1203,0))</f>
      </c>
      <c r="U122">
        <f>N(U121)+IF(AND($B$2&lt;&gt;"",对接源_01水果!$AH122=$B$2,对接源_01水果!$B122&gt;=$U$1,对接源_01水果!$B122&lt;=$U$2),1,0)</f>
        <v>0</v>
      </c>
    </row>
    <row r="123" ht="15.75" customHeight="1" s="127">
      <c r="A123" s="191">
        <f>IF($T123="","",IF(INDEX(对接源_01水果!$B$4:$B$1203,$T123)=0,"",INDEX(对接源_01水果!$B$4:$B$1203,$T123)))</f>
      </c>
      <c r="B123" s="84">
        <f>IF($T123="","",IF(INDEX(对接源_01水果!$E$4:$E$1203,$T123)=0,"",INDEX(对接源_01水果!$E$4:$E$1203,$T123)))</f>
      </c>
      <c r="C123" s="84">
        <f>IF($T123="","",IF(INDEX(对接源_01水果!$AC$4:$AC$1203,$T123)=0,"",INDEX(对接源_01水果!$AC$4:$AC$1203,$T123)))</f>
      </c>
      <c r="D123" s="84">
        <f>IF($T123="","",IF(INDEX(对接源_01水果!$F$4:$F$1203,$T123)=0,"",INDEX(对接源_01水果!$F$4:$F$1203,$T123)))</f>
      </c>
      <c r="E123" s="84">
        <f>IF($T123="","",IF(INDEX(对接源_01水果!$G$4:$G$1203,$T123)=0,"",INDEX(对接源_01水果!$G$4:$G$1203,$T123)))</f>
      </c>
      <c r="F123" s="84">
        <f>IF($T123="","",IF(INDEX(对接源_01水果!$H$4:$H$1203,$T123)=0,"",INDEX(对接源_01水果!$H$4:$H$1203,$T123)))</f>
      </c>
      <c r="G123" s="84">
        <f>IF($T123="","",IF(INDEX(对接源_01水果!$I$4:$I$1203,$T123)=0,"",INDEX(对接源_01水果!$I$4:$I$1203,$T123)))</f>
      </c>
      <c r="H123" s="86">
        <f>IF($T123="","",IF(INDEX(对接源_01水果!$AD$4:$AD$1203,$T123)=0,"",INDEX(对接源_01水果!$AD$4:$AD$1203,$T123)))</f>
      </c>
      <c r="I123" s="86">
        <f>IF($T123="","",IF(INDEX(对接源_01水果!$AI$4:$AI$1203,$T123)=0,"",INDEX(对接源_01水果!$AI$4:$AI$1203,$T123)))</f>
      </c>
      <c r="J123" s="86">
        <f>IF($T123="","",IF(INDEX(对接源_01水果!$AE$4:$AE$1203,$T123)=0,"",INDEX(对接源_01水果!$AE$4:$AE$1203,$T123)))</f>
      </c>
      <c r="K123" s="86">
        <f>IF($T123="","",IF(INDEX(对接源_01水果!$AF$4:$AF$1203,$T123)=0,"",INDEX(对接源_01水果!$AF$4:$AF$1203,$T123)))</f>
      </c>
      <c r="L123" s="86">
        <f>IF($T123="","",IF(INDEX(对接源_01水果!$K$4:$K$1203,$T123)=0,"",INDEX(对接源_01水果!$K$4:$K$1203,$T123)))</f>
      </c>
      <c r="M123" s="84">
        <f>IF($T123="","",IF(INDEX(对接源_01水果!$L$4:$L$1203,$T123)=0,"",INDEX(对接源_01水果!$L$4:$L$1203,$T123)))</f>
      </c>
      <c r="N123" s="87">
        <f>IF($T123="","",IF(INDEX(对接源_01水果!$M$4:$M$1203,$T123)=0,"",INDEX(对接源_01水果!$M$4:$M$1203,$T123)))</f>
      </c>
      <c r="S123" s="7" t="n"/>
      <c r="T123" s="7">
        <f>IF(ROW()-5&gt;$U$1203,"",MATCH(ROW()-5,$U$4:$U$1203,0))</f>
      </c>
      <c r="U123">
        <f>N(U122)+IF(AND($B$2&lt;&gt;"",对接源_01水果!$AH123=$B$2,对接源_01水果!$B123&gt;=$U$1,对接源_01水果!$B123&lt;=$U$2),1,0)</f>
        <v>0</v>
      </c>
    </row>
    <row r="124" ht="15.75" customHeight="1" s="127">
      <c r="A124" s="191">
        <f>IF($T124="","",IF(INDEX(对接源_01水果!$B$4:$B$1203,$T124)=0,"",INDEX(对接源_01水果!$B$4:$B$1203,$T124)))</f>
      </c>
      <c r="B124" s="84">
        <f>IF($T124="","",IF(INDEX(对接源_01水果!$E$4:$E$1203,$T124)=0,"",INDEX(对接源_01水果!$E$4:$E$1203,$T124)))</f>
      </c>
      <c r="C124" s="84">
        <f>IF($T124="","",IF(INDEX(对接源_01水果!$AC$4:$AC$1203,$T124)=0,"",INDEX(对接源_01水果!$AC$4:$AC$1203,$T124)))</f>
      </c>
      <c r="D124" s="84">
        <f>IF($T124="","",IF(INDEX(对接源_01水果!$F$4:$F$1203,$T124)=0,"",INDEX(对接源_01水果!$F$4:$F$1203,$T124)))</f>
      </c>
      <c r="E124" s="84">
        <f>IF($T124="","",IF(INDEX(对接源_01水果!$G$4:$G$1203,$T124)=0,"",INDEX(对接源_01水果!$G$4:$G$1203,$T124)))</f>
      </c>
      <c r="F124" s="84">
        <f>IF($T124="","",IF(INDEX(对接源_01水果!$H$4:$H$1203,$T124)=0,"",INDEX(对接源_01水果!$H$4:$H$1203,$T124)))</f>
      </c>
      <c r="G124" s="84">
        <f>IF($T124="","",IF(INDEX(对接源_01水果!$I$4:$I$1203,$T124)=0,"",INDEX(对接源_01水果!$I$4:$I$1203,$T124)))</f>
      </c>
      <c r="H124" s="86">
        <f>IF($T124="","",IF(INDEX(对接源_01水果!$AD$4:$AD$1203,$T124)=0,"",INDEX(对接源_01水果!$AD$4:$AD$1203,$T124)))</f>
      </c>
      <c r="I124" s="86">
        <f>IF($T124="","",IF(INDEX(对接源_01水果!$AI$4:$AI$1203,$T124)=0,"",INDEX(对接源_01水果!$AI$4:$AI$1203,$T124)))</f>
      </c>
      <c r="J124" s="86">
        <f>IF($T124="","",IF(INDEX(对接源_01水果!$AE$4:$AE$1203,$T124)=0,"",INDEX(对接源_01水果!$AE$4:$AE$1203,$T124)))</f>
      </c>
      <c r="K124" s="86">
        <f>IF($T124="","",IF(INDEX(对接源_01水果!$AF$4:$AF$1203,$T124)=0,"",INDEX(对接源_01水果!$AF$4:$AF$1203,$T124)))</f>
      </c>
      <c r="L124" s="86">
        <f>IF($T124="","",IF(INDEX(对接源_01水果!$K$4:$K$1203,$T124)=0,"",INDEX(对接源_01水果!$K$4:$K$1203,$T124)))</f>
      </c>
      <c r="M124" s="84">
        <f>IF($T124="","",IF(INDEX(对接源_01水果!$L$4:$L$1203,$T124)=0,"",INDEX(对接源_01水果!$L$4:$L$1203,$T124)))</f>
      </c>
      <c r="N124" s="87">
        <f>IF($T124="","",IF(INDEX(对接源_01水果!$M$4:$M$1203,$T124)=0,"",INDEX(对接源_01水果!$M$4:$M$1203,$T124)))</f>
      </c>
      <c r="S124" s="7" t="n"/>
      <c r="T124" s="7">
        <f>IF(ROW()-5&gt;$U$1203,"",MATCH(ROW()-5,$U$4:$U$1203,0))</f>
      </c>
      <c r="U124">
        <f>N(U123)+IF(AND($B$2&lt;&gt;"",对接源_01水果!$AH124=$B$2,对接源_01水果!$B124&gt;=$U$1,对接源_01水果!$B124&lt;=$U$2),1,0)</f>
        <v>0</v>
      </c>
    </row>
    <row r="125" ht="15.75" customHeight="1" s="127">
      <c r="A125" s="191">
        <f>IF($T125="","",IF(INDEX(对接源_01水果!$B$4:$B$1203,$T125)=0,"",INDEX(对接源_01水果!$B$4:$B$1203,$T125)))</f>
      </c>
      <c r="B125" s="84">
        <f>IF($T125="","",IF(INDEX(对接源_01水果!$E$4:$E$1203,$T125)=0,"",INDEX(对接源_01水果!$E$4:$E$1203,$T125)))</f>
      </c>
      <c r="C125" s="84">
        <f>IF($T125="","",IF(INDEX(对接源_01水果!$AC$4:$AC$1203,$T125)=0,"",INDEX(对接源_01水果!$AC$4:$AC$1203,$T125)))</f>
      </c>
      <c r="D125" s="84">
        <f>IF($T125="","",IF(INDEX(对接源_01水果!$F$4:$F$1203,$T125)=0,"",INDEX(对接源_01水果!$F$4:$F$1203,$T125)))</f>
      </c>
      <c r="E125" s="84">
        <f>IF($T125="","",IF(INDEX(对接源_01水果!$G$4:$G$1203,$T125)=0,"",INDEX(对接源_01水果!$G$4:$G$1203,$T125)))</f>
      </c>
      <c r="F125" s="84">
        <f>IF($T125="","",IF(INDEX(对接源_01水果!$H$4:$H$1203,$T125)=0,"",INDEX(对接源_01水果!$H$4:$H$1203,$T125)))</f>
      </c>
      <c r="G125" s="84">
        <f>IF($T125="","",IF(INDEX(对接源_01水果!$I$4:$I$1203,$T125)=0,"",INDEX(对接源_01水果!$I$4:$I$1203,$T125)))</f>
      </c>
      <c r="H125" s="86">
        <f>IF($T125="","",IF(INDEX(对接源_01水果!$AD$4:$AD$1203,$T125)=0,"",INDEX(对接源_01水果!$AD$4:$AD$1203,$T125)))</f>
      </c>
      <c r="I125" s="86">
        <f>IF($T125="","",IF(INDEX(对接源_01水果!$AI$4:$AI$1203,$T125)=0,"",INDEX(对接源_01水果!$AI$4:$AI$1203,$T125)))</f>
      </c>
      <c r="J125" s="86">
        <f>IF($T125="","",IF(INDEX(对接源_01水果!$AE$4:$AE$1203,$T125)=0,"",INDEX(对接源_01水果!$AE$4:$AE$1203,$T125)))</f>
      </c>
      <c r="K125" s="86">
        <f>IF($T125="","",IF(INDEX(对接源_01水果!$AF$4:$AF$1203,$T125)=0,"",INDEX(对接源_01水果!$AF$4:$AF$1203,$T125)))</f>
      </c>
      <c r="L125" s="86">
        <f>IF($T125="","",IF(INDEX(对接源_01水果!$K$4:$K$1203,$T125)=0,"",INDEX(对接源_01水果!$K$4:$K$1203,$T125)))</f>
      </c>
      <c r="M125" s="84">
        <f>IF($T125="","",IF(INDEX(对接源_01水果!$L$4:$L$1203,$T125)=0,"",INDEX(对接源_01水果!$L$4:$L$1203,$T125)))</f>
      </c>
      <c r="N125" s="87">
        <f>IF($T125="","",IF(INDEX(对接源_01水果!$M$4:$M$1203,$T125)=0,"",INDEX(对接源_01水果!$M$4:$M$1203,$T125)))</f>
      </c>
      <c r="S125" s="7" t="n"/>
      <c r="T125" s="7">
        <f>IF(ROW()-5&gt;$U$1203,"",MATCH(ROW()-5,$U$4:$U$1203,0))</f>
      </c>
      <c r="U125">
        <f>N(U124)+IF(AND($B$2&lt;&gt;"",对接源_01水果!$AH125=$B$2,对接源_01水果!$B125&gt;=$U$1,对接源_01水果!$B125&lt;=$U$2),1,0)</f>
        <v>0</v>
      </c>
    </row>
    <row r="126" ht="15.75" customHeight="1" s="127">
      <c r="A126" s="191">
        <f>IF($T126="","",IF(INDEX(对接源_01水果!$B$4:$B$1203,$T126)=0,"",INDEX(对接源_01水果!$B$4:$B$1203,$T126)))</f>
      </c>
      <c r="B126" s="84">
        <f>IF($T126="","",IF(INDEX(对接源_01水果!$E$4:$E$1203,$T126)=0,"",INDEX(对接源_01水果!$E$4:$E$1203,$T126)))</f>
      </c>
      <c r="C126" s="84">
        <f>IF($T126="","",IF(INDEX(对接源_01水果!$AC$4:$AC$1203,$T126)=0,"",INDEX(对接源_01水果!$AC$4:$AC$1203,$T126)))</f>
      </c>
      <c r="D126" s="84">
        <f>IF($T126="","",IF(INDEX(对接源_01水果!$F$4:$F$1203,$T126)=0,"",INDEX(对接源_01水果!$F$4:$F$1203,$T126)))</f>
      </c>
      <c r="E126" s="84">
        <f>IF($T126="","",IF(INDEX(对接源_01水果!$G$4:$G$1203,$T126)=0,"",INDEX(对接源_01水果!$G$4:$G$1203,$T126)))</f>
      </c>
      <c r="F126" s="84">
        <f>IF($T126="","",IF(INDEX(对接源_01水果!$H$4:$H$1203,$T126)=0,"",INDEX(对接源_01水果!$H$4:$H$1203,$T126)))</f>
      </c>
      <c r="G126" s="84">
        <f>IF($T126="","",IF(INDEX(对接源_01水果!$I$4:$I$1203,$T126)=0,"",INDEX(对接源_01水果!$I$4:$I$1203,$T126)))</f>
      </c>
      <c r="H126" s="86">
        <f>IF($T126="","",IF(INDEX(对接源_01水果!$AD$4:$AD$1203,$T126)=0,"",INDEX(对接源_01水果!$AD$4:$AD$1203,$T126)))</f>
      </c>
      <c r="I126" s="86">
        <f>IF($T126="","",IF(INDEX(对接源_01水果!$AI$4:$AI$1203,$T126)=0,"",INDEX(对接源_01水果!$AI$4:$AI$1203,$T126)))</f>
      </c>
      <c r="J126" s="86">
        <f>IF($T126="","",IF(INDEX(对接源_01水果!$AE$4:$AE$1203,$T126)=0,"",INDEX(对接源_01水果!$AE$4:$AE$1203,$T126)))</f>
      </c>
      <c r="K126" s="86">
        <f>IF($T126="","",IF(INDEX(对接源_01水果!$AF$4:$AF$1203,$T126)=0,"",INDEX(对接源_01水果!$AF$4:$AF$1203,$T126)))</f>
      </c>
      <c r="L126" s="86">
        <f>IF($T126="","",IF(INDEX(对接源_01水果!$K$4:$K$1203,$T126)=0,"",INDEX(对接源_01水果!$K$4:$K$1203,$T126)))</f>
      </c>
      <c r="M126" s="84">
        <f>IF($T126="","",IF(INDEX(对接源_01水果!$L$4:$L$1203,$T126)=0,"",INDEX(对接源_01水果!$L$4:$L$1203,$T126)))</f>
      </c>
      <c r="N126" s="87">
        <f>IF($T126="","",IF(INDEX(对接源_01水果!$M$4:$M$1203,$T126)=0,"",INDEX(对接源_01水果!$M$4:$M$1203,$T126)))</f>
      </c>
      <c r="S126" s="7" t="n"/>
      <c r="T126" s="7">
        <f>IF(ROW()-5&gt;$U$1203,"",MATCH(ROW()-5,$U$4:$U$1203,0))</f>
      </c>
      <c r="U126">
        <f>N(U125)+IF(AND($B$2&lt;&gt;"",对接源_01水果!$AH126=$B$2,对接源_01水果!$B126&gt;=$U$1,对接源_01水果!$B126&lt;=$U$2),1,0)</f>
        <v>0</v>
      </c>
    </row>
    <row r="127" ht="15.75" customHeight="1" s="127">
      <c r="A127" s="191">
        <f>IF($T127="","",IF(INDEX(对接源_01水果!$B$4:$B$1203,$T127)=0,"",INDEX(对接源_01水果!$B$4:$B$1203,$T127)))</f>
      </c>
      <c r="B127" s="84">
        <f>IF($T127="","",IF(INDEX(对接源_01水果!$E$4:$E$1203,$T127)=0,"",INDEX(对接源_01水果!$E$4:$E$1203,$T127)))</f>
      </c>
      <c r="C127" s="84">
        <f>IF($T127="","",IF(INDEX(对接源_01水果!$AC$4:$AC$1203,$T127)=0,"",INDEX(对接源_01水果!$AC$4:$AC$1203,$T127)))</f>
      </c>
      <c r="D127" s="84">
        <f>IF($T127="","",IF(INDEX(对接源_01水果!$F$4:$F$1203,$T127)=0,"",INDEX(对接源_01水果!$F$4:$F$1203,$T127)))</f>
      </c>
      <c r="E127" s="84">
        <f>IF($T127="","",IF(INDEX(对接源_01水果!$G$4:$G$1203,$T127)=0,"",INDEX(对接源_01水果!$G$4:$G$1203,$T127)))</f>
      </c>
      <c r="F127" s="84">
        <f>IF($T127="","",IF(INDEX(对接源_01水果!$H$4:$H$1203,$T127)=0,"",INDEX(对接源_01水果!$H$4:$H$1203,$T127)))</f>
      </c>
      <c r="G127" s="84">
        <f>IF($T127="","",IF(INDEX(对接源_01水果!$I$4:$I$1203,$T127)=0,"",INDEX(对接源_01水果!$I$4:$I$1203,$T127)))</f>
      </c>
      <c r="H127" s="86">
        <f>IF($T127="","",IF(INDEX(对接源_01水果!$AD$4:$AD$1203,$T127)=0,"",INDEX(对接源_01水果!$AD$4:$AD$1203,$T127)))</f>
      </c>
      <c r="I127" s="86">
        <f>IF($T127="","",IF(INDEX(对接源_01水果!$AI$4:$AI$1203,$T127)=0,"",INDEX(对接源_01水果!$AI$4:$AI$1203,$T127)))</f>
      </c>
      <c r="J127" s="86">
        <f>IF($T127="","",IF(INDEX(对接源_01水果!$AE$4:$AE$1203,$T127)=0,"",INDEX(对接源_01水果!$AE$4:$AE$1203,$T127)))</f>
      </c>
      <c r="K127" s="86">
        <f>IF($T127="","",IF(INDEX(对接源_01水果!$AF$4:$AF$1203,$T127)=0,"",INDEX(对接源_01水果!$AF$4:$AF$1203,$T127)))</f>
      </c>
      <c r="L127" s="86">
        <f>IF($T127="","",IF(INDEX(对接源_01水果!$K$4:$K$1203,$T127)=0,"",INDEX(对接源_01水果!$K$4:$K$1203,$T127)))</f>
      </c>
      <c r="M127" s="84">
        <f>IF($T127="","",IF(INDEX(对接源_01水果!$L$4:$L$1203,$T127)=0,"",INDEX(对接源_01水果!$L$4:$L$1203,$T127)))</f>
      </c>
      <c r="N127" s="87">
        <f>IF($T127="","",IF(INDEX(对接源_01水果!$M$4:$M$1203,$T127)=0,"",INDEX(对接源_01水果!$M$4:$M$1203,$T127)))</f>
      </c>
      <c r="S127" s="7" t="n"/>
      <c r="T127" s="7">
        <f>IF(ROW()-5&gt;$U$1203,"",MATCH(ROW()-5,$U$4:$U$1203,0))</f>
      </c>
      <c r="U127">
        <f>N(U126)+IF(AND($B$2&lt;&gt;"",对接源_01水果!$AH127=$B$2,对接源_01水果!$B127&gt;=$U$1,对接源_01水果!$B127&lt;=$U$2),1,0)</f>
        <v>0</v>
      </c>
    </row>
    <row r="128" ht="15.75" customHeight="1" s="127">
      <c r="A128" s="191">
        <f>IF($T128="","",IF(INDEX(对接源_01水果!$B$4:$B$1203,$T128)=0,"",INDEX(对接源_01水果!$B$4:$B$1203,$T128)))</f>
      </c>
      <c r="B128" s="84">
        <f>IF($T128="","",IF(INDEX(对接源_01水果!$E$4:$E$1203,$T128)=0,"",INDEX(对接源_01水果!$E$4:$E$1203,$T128)))</f>
      </c>
      <c r="C128" s="84">
        <f>IF($T128="","",IF(INDEX(对接源_01水果!$AC$4:$AC$1203,$T128)=0,"",INDEX(对接源_01水果!$AC$4:$AC$1203,$T128)))</f>
      </c>
      <c r="D128" s="84">
        <f>IF($T128="","",IF(INDEX(对接源_01水果!$F$4:$F$1203,$T128)=0,"",INDEX(对接源_01水果!$F$4:$F$1203,$T128)))</f>
      </c>
      <c r="E128" s="84">
        <f>IF($T128="","",IF(INDEX(对接源_01水果!$G$4:$G$1203,$T128)=0,"",INDEX(对接源_01水果!$G$4:$G$1203,$T128)))</f>
      </c>
      <c r="F128" s="84">
        <f>IF($T128="","",IF(INDEX(对接源_01水果!$H$4:$H$1203,$T128)=0,"",INDEX(对接源_01水果!$H$4:$H$1203,$T128)))</f>
      </c>
      <c r="G128" s="84">
        <f>IF($T128="","",IF(INDEX(对接源_01水果!$I$4:$I$1203,$T128)=0,"",INDEX(对接源_01水果!$I$4:$I$1203,$T128)))</f>
      </c>
      <c r="H128" s="86">
        <f>IF($T128="","",IF(INDEX(对接源_01水果!$AD$4:$AD$1203,$T128)=0,"",INDEX(对接源_01水果!$AD$4:$AD$1203,$T128)))</f>
      </c>
      <c r="I128" s="86">
        <f>IF($T128="","",IF(INDEX(对接源_01水果!$AI$4:$AI$1203,$T128)=0,"",INDEX(对接源_01水果!$AI$4:$AI$1203,$T128)))</f>
      </c>
      <c r="J128" s="86">
        <f>IF($T128="","",IF(INDEX(对接源_01水果!$AE$4:$AE$1203,$T128)=0,"",INDEX(对接源_01水果!$AE$4:$AE$1203,$T128)))</f>
      </c>
      <c r="K128" s="86">
        <f>IF($T128="","",IF(INDEX(对接源_01水果!$AF$4:$AF$1203,$T128)=0,"",INDEX(对接源_01水果!$AF$4:$AF$1203,$T128)))</f>
      </c>
      <c r="L128" s="86">
        <f>IF($T128="","",IF(INDEX(对接源_01水果!$K$4:$K$1203,$T128)=0,"",INDEX(对接源_01水果!$K$4:$K$1203,$T128)))</f>
      </c>
      <c r="M128" s="84">
        <f>IF($T128="","",IF(INDEX(对接源_01水果!$L$4:$L$1203,$T128)=0,"",INDEX(对接源_01水果!$L$4:$L$1203,$T128)))</f>
      </c>
      <c r="N128" s="87">
        <f>IF($T128="","",IF(INDEX(对接源_01水果!$M$4:$M$1203,$T128)=0,"",INDEX(对接源_01水果!$M$4:$M$1203,$T128)))</f>
      </c>
      <c r="S128" s="7" t="n"/>
      <c r="T128" s="7">
        <f>IF(ROW()-5&gt;$U$1203,"",MATCH(ROW()-5,$U$4:$U$1203,0))</f>
      </c>
      <c r="U128">
        <f>N(U127)+IF(AND($B$2&lt;&gt;"",对接源_01水果!$AH128=$B$2,对接源_01水果!$B128&gt;=$U$1,对接源_01水果!$B128&lt;=$U$2),1,0)</f>
        <v>0</v>
      </c>
    </row>
    <row r="129" ht="15.75" customHeight="1" s="127">
      <c r="A129" s="191">
        <f>IF($T129="","",IF(INDEX(对接源_01水果!$B$4:$B$1203,$T129)=0,"",INDEX(对接源_01水果!$B$4:$B$1203,$T129)))</f>
      </c>
      <c r="B129" s="84">
        <f>IF($T129="","",IF(INDEX(对接源_01水果!$E$4:$E$1203,$T129)=0,"",INDEX(对接源_01水果!$E$4:$E$1203,$T129)))</f>
      </c>
      <c r="C129" s="84">
        <f>IF($T129="","",IF(INDEX(对接源_01水果!$AC$4:$AC$1203,$T129)=0,"",INDEX(对接源_01水果!$AC$4:$AC$1203,$T129)))</f>
      </c>
      <c r="D129" s="84">
        <f>IF($T129="","",IF(INDEX(对接源_01水果!$F$4:$F$1203,$T129)=0,"",INDEX(对接源_01水果!$F$4:$F$1203,$T129)))</f>
      </c>
      <c r="E129" s="84">
        <f>IF($T129="","",IF(INDEX(对接源_01水果!$G$4:$G$1203,$T129)=0,"",INDEX(对接源_01水果!$G$4:$G$1203,$T129)))</f>
      </c>
      <c r="F129" s="84">
        <f>IF($T129="","",IF(INDEX(对接源_01水果!$H$4:$H$1203,$T129)=0,"",INDEX(对接源_01水果!$H$4:$H$1203,$T129)))</f>
      </c>
      <c r="G129" s="84">
        <f>IF($T129="","",IF(INDEX(对接源_01水果!$I$4:$I$1203,$T129)=0,"",INDEX(对接源_01水果!$I$4:$I$1203,$T129)))</f>
      </c>
      <c r="H129" s="86">
        <f>IF($T129="","",IF(INDEX(对接源_01水果!$AD$4:$AD$1203,$T129)=0,"",INDEX(对接源_01水果!$AD$4:$AD$1203,$T129)))</f>
      </c>
      <c r="I129" s="86">
        <f>IF($T129="","",IF(INDEX(对接源_01水果!$AI$4:$AI$1203,$T129)=0,"",INDEX(对接源_01水果!$AI$4:$AI$1203,$T129)))</f>
      </c>
      <c r="J129" s="86">
        <f>IF($T129="","",IF(INDEX(对接源_01水果!$AE$4:$AE$1203,$T129)=0,"",INDEX(对接源_01水果!$AE$4:$AE$1203,$T129)))</f>
      </c>
      <c r="K129" s="86">
        <f>IF($T129="","",IF(INDEX(对接源_01水果!$AF$4:$AF$1203,$T129)=0,"",INDEX(对接源_01水果!$AF$4:$AF$1203,$T129)))</f>
      </c>
      <c r="L129" s="86">
        <f>IF($T129="","",IF(INDEX(对接源_01水果!$K$4:$K$1203,$T129)=0,"",INDEX(对接源_01水果!$K$4:$K$1203,$T129)))</f>
      </c>
      <c r="M129" s="84">
        <f>IF($T129="","",IF(INDEX(对接源_01水果!$L$4:$L$1203,$T129)=0,"",INDEX(对接源_01水果!$L$4:$L$1203,$T129)))</f>
      </c>
      <c r="N129" s="87">
        <f>IF($T129="","",IF(INDEX(对接源_01水果!$M$4:$M$1203,$T129)=0,"",INDEX(对接源_01水果!$M$4:$M$1203,$T129)))</f>
      </c>
      <c r="S129" s="7" t="n"/>
      <c r="T129" s="7">
        <f>IF(ROW()-5&gt;$U$1203,"",MATCH(ROW()-5,$U$4:$U$1203,0))</f>
      </c>
      <c r="U129">
        <f>N(U128)+IF(AND($B$2&lt;&gt;"",对接源_01水果!$AH129=$B$2,对接源_01水果!$B129&gt;=$U$1,对接源_01水果!$B129&lt;=$U$2),1,0)</f>
        <v>0</v>
      </c>
    </row>
    <row r="130" ht="15.75" customHeight="1" s="127">
      <c r="A130" s="191">
        <f>IF($T130="","",IF(INDEX(对接源_01水果!$B$4:$B$1203,$T130)=0,"",INDEX(对接源_01水果!$B$4:$B$1203,$T130)))</f>
      </c>
      <c r="B130" s="84">
        <f>IF($T130="","",IF(INDEX(对接源_01水果!$E$4:$E$1203,$T130)=0,"",INDEX(对接源_01水果!$E$4:$E$1203,$T130)))</f>
      </c>
      <c r="C130" s="84">
        <f>IF($T130="","",IF(INDEX(对接源_01水果!$AC$4:$AC$1203,$T130)=0,"",INDEX(对接源_01水果!$AC$4:$AC$1203,$T130)))</f>
      </c>
      <c r="D130" s="84">
        <f>IF($T130="","",IF(INDEX(对接源_01水果!$F$4:$F$1203,$T130)=0,"",INDEX(对接源_01水果!$F$4:$F$1203,$T130)))</f>
      </c>
      <c r="E130" s="84">
        <f>IF($T130="","",IF(INDEX(对接源_01水果!$G$4:$G$1203,$T130)=0,"",INDEX(对接源_01水果!$G$4:$G$1203,$T130)))</f>
      </c>
      <c r="F130" s="84">
        <f>IF($T130="","",IF(INDEX(对接源_01水果!$H$4:$H$1203,$T130)=0,"",INDEX(对接源_01水果!$H$4:$H$1203,$T130)))</f>
      </c>
      <c r="G130" s="84">
        <f>IF($T130="","",IF(INDEX(对接源_01水果!$I$4:$I$1203,$T130)=0,"",INDEX(对接源_01水果!$I$4:$I$1203,$T130)))</f>
      </c>
      <c r="H130" s="86">
        <f>IF($T130="","",IF(INDEX(对接源_01水果!$AD$4:$AD$1203,$T130)=0,"",INDEX(对接源_01水果!$AD$4:$AD$1203,$T130)))</f>
      </c>
      <c r="I130" s="86">
        <f>IF($T130="","",IF(INDEX(对接源_01水果!$AI$4:$AI$1203,$T130)=0,"",INDEX(对接源_01水果!$AI$4:$AI$1203,$T130)))</f>
      </c>
      <c r="J130" s="86">
        <f>IF($T130="","",IF(INDEX(对接源_01水果!$AE$4:$AE$1203,$T130)=0,"",INDEX(对接源_01水果!$AE$4:$AE$1203,$T130)))</f>
      </c>
      <c r="K130" s="86">
        <f>IF($T130="","",IF(INDEX(对接源_01水果!$AF$4:$AF$1203,$T130)=0,"",INDEX(对接源_01水果!$AF$4:$AF$1203,$T130)))</f>
      </c>
      <c r="L130" s="86">
        <f>IF($T130="","",IF(INDEX(对接源_01水果!$K$4:$K$1203,$T130)=0,"",INDEX(对接源_01水果!$K$4:$K$1203,$T130)))</f>
      </c>
      <c r="M130" s="84">
        <f>IF($T130="","",IF(INDEX(对接源_01水果!$L$4:$L$1203,$T130)=0,"",INDEX(对接源_01水果!$L$4:$L$1203,$T130)))</f>
      </c>
      <c r="N130" s="87">
        <f>IF($T130="","",IF(INDEX(对接源_01水果!$M$4:$M$1203,$T130)=0,"",INDEX(对接源_01水果!$M$4:$M$1203,$T130)))</f>
      </c>
      <c r="S130" s="7" t="n"/>
      <c r="T130" s="7">
        <f>IF(ROW()-5&gt;$U$1203,"",MATCH(ROW()-5,$U$4:$U$1203,0))</f>
      </c>
      <c r="U130">
        <f>N(U129)+IF(AND($B$2&lt;&gt;"",对接源_01水果!$AH130=$B$2,对接源_01水果!$B130&gt;=$U$1,对接源_01水果!$B130&lt;=$U$2),1,0)</f>
        <v>0</v>
      </c>
    </row>
    <row r="131" ht="15.75" customHeight="1" s="127">
      <c r="A131" s="191">
        <f>IF($T131="","",IF(INDEX(对接源_01水果!$B$4:$B$1203,$T131)=0,"",INDEX(对接源_01水果!$B$4:$B$1203,$T131)))</f>
      </c>
      <c r="B131" s="84">
        <f>IF($T131="","",IF(INDEX(对接源_01水果!$E$4:$E$1203,$T131)=0,"",INDEX(对接源_01水果!$E$4:$E$1203,$T131)))</f>
      </c>
      <c r="C131" s="84">
        <f>IF($T131="","",IF(INDEX(对接源_01水果!$AC$4:$AC$1203,$T131)=0,"",INDEX(对接源_01水果!$AC$4:$AC$1203,$T131)))</f>
      </c>
      <c r="D131" s="84">
        <f>IF($T131="","",IF(INDEX(对接源_01水果!$F$4:$F$1203,$T131)=0,"",INDEX(对接源_01水果!$F$4:$F$1203,$T131)))</f>
      </c>
      <c r="E131" s="84">
        <f>IF($T131="","",IF(INDEX(对接源_01水果!$G$4:$G$1203,$T131)=0,"",INDEX(对接源_01水果!$G$4:$G$1203,$T131)))</f>
      </c>
      <c r="F131" s="84">
        <f>IF($T131="","",IF(INDEX(对接源_01水果!$H$4:$H$1203,$T131)=0,"",INDEX(对接源_01水果!$H$4:$H$1203,$T131)))</f>
      </c>
      <c r="G131" s="84">
        <f>IF($T131="","",IF(INDEX(对接源_01水果!$I$4:$I$1203,$T131)=0,"",INDEX(对接源_01水果!$I$4:$I$1203,$T131)))</f>
      </c>
      <c r="H131" s="86">
        <f>IF($T131="","",IF(INDEX(对接源_01水果!$AD$4:$AD$1203,$T131)=0,"",INDEX(对接源_01水果!$AD$4:$AD$1203,$T131)))</f>
      </c>
      <c r="I131" s="86">
        <f>IF($T131="","",IF(INDEX(对接源_01水果!$AI$4:$AI$1203,$T131)=0,"",INDEX(对接源_01水果!$AI$4:$AI$1203,$T131)))</f>
      </c>
      <c r="J131" s="86">
        <f>IF($T131="","",IF(INDEX(对接源_01水果!$AE$4:$AE$1203,$T131)=0,"",INDEX(对接源_01水果!$AE$4:$AE$1203,$T131)))</f>
      </c>
      <c r="K131" s="86">
        <f>IF($T131="","",IF(INDEX(对接源_01水果!$AF$4:$AF$1203,$T131)=0,"",INDEX(对接源_01水果!$AF$4:$AF$1203,$T131)))</f>
      </c>
      <c r="L131" s="86">
        <f>IF($T131="","",IF(INDEX(对接源_01水果!$K$4:$K$1203,$T131)=0,"",INDEX(对接源_01水果!$K$4:$K$1203,$T131)))</f>
      </c>
      <c r="M131" s="84">
        <f>IF($T131="","",IF(INDEX(对接源_01水果!$L$4:$L$1203,$T131)=0,"",INDEX(对接源_01水果!$L$4:$L$1203,$T131)))</f>
      </c>
      <c r="N131" s="87">
        <f>IF($T131="","",IF(INDEX(对接源_01水果!$M$4:$M$1203,$T131)=0,"",INDEX(对接源_01水果!$M$4:$M$1203,$T131)))</f>
      </c>
      <c r="S131" s="7" t="n"/>
      <c r="T131" s="7">
        <f>IF(ROW()-5&gt;$U$1203,"",MATCH(ROW()-5,$U$4:$U$1203,0))</f>
      </c>
      <c r="U131">
        <f>N(U130)+IF(AND($B$2&lt;&gt;"",对接源_01水果!$AH131=$B$2,对接源_01水果!$B131&gt;=$U$1,对接源_01水果!$B131&lt;=$U$2),1,0)</f>
        <v>0</v>
      </c>
    </row>
    <row r="132" ht="15.75" customHeight="1" s="127">
      <c r="A132" s="191">
        <f>IF($T132="","",IF(INDEX(对接源_01水果!$B$4:$B$1203,$T132)=0,"",INDEX(对接源_01水果!$B$4:$B$1203,$T132)))</f>
      </c>
      <c r="B132" s="84">
        <f>IF($T132="","",IF(INDEX(对接源_01水果!$E$4:$E$1203,$T132)=0,"",INDEX(对接源_01水果!$E$4:$E$1203,$T132)))</f>
      </c>
      <c r="C132" s="84">
        <f>IF($T132="","",IF(INDEX(对接源_01水果!$AC$4:$AC$1203,$T132)=0,"",INDEX(对接源_01水果!$AC$4:$AC$1203,$T132)))</f>
      </c>
      <c r="D132" s="84">
        <f>IF($T132="","",IF(INDEX(对接源_01水果!$F$4:$F$1203,$T132)=0,"",INDEX(对接源_01水果!$F$4:$F$1203,$T132)))</f>
      </c>
      <c r="E132" s="84">
        <f>IF($T132="","",IF(INDEX(对接源_01水果!$G$4:$G$1203,$T132)=0,"",INDEX(对接源_01水果!$G$4:$G$1203,$T132)))</f>
      </c>
      <c r="F132" s="84">
        <f>IF($T132="","",IF(INDEX(对接源_01水果!$H$4:$H$1203,$T132)=0,"",INDEX(对接源_01水果!$H$4:$H$1203,$T132)))</f>
      </c>
      <c r="G132" s="84">
        <f>IF($T132="","",IF(INDEX(对接源_01水果!$I$4:$I$1203,$T132)=0,"",INDEX(对接源_01水果!$I$4:$I$1203,$T132)))</f>
      </c>
      <c r="H132" s="86">
        <f>IF($T132="","",IF(INDEX(对接源_01水果!$AD$4:$AD$1203,$T132)=0,"",INDEX(对接源_01水果!$AD$4:$AD$1203,$T132)))</f>
      </c>
      <c r="I132" s="86">
        <f>IF($T132="","",IF(INDEX(对接源_01水果!$AI$4:$AI$1203,$T132)=0,"",INDEX(对接源_01水果!$AI$4:$AI$1203,$T132)))</f>
      </c>
      <c r="J132" s="86">
        <f>IF($T132="","",IF(INDEX(对接源_01水果!$AE$4:$AE$1203,$T132)=0,"",INDEX(对接源_01水果!$AE$4:$AE$1203,$T132)))</f>
      </c>
      <c r="K132" s="86">
        <f>IF($T132="","",IF(INDEX(对接源_01水果!$AF$4:$AF$1203,$T132)=0,"",INDEX(对接源_01水果!$AF$4:$AF$1203,$T132)))</f>
      </c>
      <c r="L132" s="86">
        <f>IF($T132="","",IF(INDEX(对接源_01水果!$K$4:$K$1203,$T132)=0,"",INDEX(对接源_01水果!$K$4:$K$1203,$T132)))</f>
      </c>
      <c r="M132" s="84">
        <f>IF($T132="","",IF(INDEX(对接源_01水果!$L$4:$L$1203,$T132)=0,"",INDEX(对接源_01水果!$L$4:$L$1203,$T132)))</f>
      </c>
      <c r="N132" s="87">
        <f>IF($T132="","",IF(INDEX(对接源_01水果!$M$4:$M$1203,$T132)=0,"",INDEX(对接源_01水果!$M$4:$M$1203,$T132)))</f>
      </c>
      <c r="S132" s="7" t="n"/>
      <c r="T132" s="7">
        <f>IF(ROW()-5&gt;$U$1203,"",MATCH(ROW()-5,$U$4:$U$1203,0))</f>
      </c>
      <c r="U132">
        <f>N(U131)+IF(AND($B$2&lt;&gt;"",对接源_01水果!$AH132=$B$2,对接源_01水果!$B132&gt;=$U$1,对接源_01水果!$B132&lt;=$U$2),1,0)</f>
        <v>0</v>
      </c>
    </row>
    <row r="133" ht="15.75" customHeight="1" s="127">
      <c r="A133" s="191">
        <f>IF($T133="","",IF(INDEX(对接源_01水果!$B$4:$B$1203,$T133)=0,"",INDEX(对接源_01水果!$B$4:$B$1203,$T133)))</f>
      </c>
      <c r="B133" s="84">
        <f>IF($T133="","",IF(INDEX(对接源_01水果!$E$4:$E$1203,$T133)=0,"",INDEX(对接源_01水果!$E$4:$E$1203,$T133)))</f>
      </c>
      <c r="C133" s="84">
        <f>IF($T133="","",IF(INDEX(对接源_01水果!$AC$4:$AC$1203,$T133)=0,"",INDEX(对接源_01水果!$AC$4:$AC$1203,$T133)))</f>
      </c>
      <c r="D133" s="84">
        <f>IF($T133="","",IF(INDEX(对接源_01水果!$F$4:$F$1203,$T133)=0,"",INDEX(对接源_01水果!$F$4:$F$1203,$T133)))</f>
      </c>
      <c r="E133" s="84">
        <f>IF($T133="","",IF(INDEX(对接源_01水果!$G$4:$G$1203,$T133)=0,"",INDEX(对接源_01水果!$G$4:$G$1203,$T133)))</f>
      </c>
      <c r="F133" s="84">
        <f>IF($T133="","",IF(INDEX(对接源_01水果!$H$4:$H$1203,$T133)=0,"",INDEX(对接源_01水果!$H$4:$H$1203,$T133)))</f>
      </c>
      <c r="G133" s="84">
        <f>IF($T133="","",IF(INDEX(对接源_01水果!$I$4:$I$1203,$T133)=0,"",INDEX(对接源_01水果!$I$4:$I$1203,$T133)))</f>
      </c>
      <c r="H133" s="86">
        <f>IF($T133="","",IF(INDEX(对接源_01水果!$AD$4:$AD$1203,$T133)=0,"",INDEX(对接源_01水果!$AD$4:$AD$1203,$T133)))</f>
      </c>
      <c r="I133" s="86">
        <f>IF($T133="","",IF(INDEX(对接源_01水果!$AI$4:$AI$1203,$T133)=0,"",INDEX(对接源_01水果!$AI$4:$AI$1203,$T133)))</f>
      </c>
      <c r="J133" s="86">
        <f>IF($T133="","",IF(INDEX(对接源_01水果!$AE$4:$AE$1203,$T133)=0,"",INDEX(对接源_01水果!$AE$4:$AE$1203,$T133)))</f>
      </c>
      <c r="K133" s="86">
        <f>IF($T133="","",IF(INDEX(对接源_01水果!$AF$4:$AF$1203,$T133)=0,"",INDEX(对接源_01水果!$AF$4:$AF$1203,$T133)))</f>
      </c>
      <c r="L133" s="86">
        <f>IF($T133="","",IF(INDEX(对接源_01水果!$K$4:$K$1203,$T133)=0,"",INDEX(对接源_01水果!$K$4:$K$1203,$T133)))</f>
      </c>
      <c r="M133" s="84">
        <f>IF($T133="","",IF(INDEX(对接源_01水果!$L$4:$L$1203,$T133)=0,"",INDEX(对接源_01水果!$L$4:$L$1203,$T133)))</f>
      </c>
      <c r="N133" s="87">
        <f>IF($T133="","",IF(INDEX(对接源_01水果!$M$4:$M$1203,$T133)=0,"",INDEX(对接源_01水果!$M$4:$M$1203,$T133)))</f>
      </c>
      <c r="S133" s="7" t="n"/>
      <c r="T133" s="7">
        <f>IF(ROW()-5&gt;$U$1203,"",MATCH(ROW()-5,$U$4:$U$1203,0))</f>
      </c>
      <c r="U133">
        <f>N(U132)+IF(AND($B$2&lt;&gt;"",对接源_01水果!$AH133=$B$2,对接源_01水果!$B133&gt;=$U$1,对接源_01水果!$B133&lt;=$U$2),1,0)</f>
        <v>0</v>
      </c>
    </row>
    <row r="134" ht="15.75" customHeight="1" s="127">
      <c r="A134" s="191">
        <f>IF($T134="","",IF(INDEX(对接源_01水果!$B$4:$B$1203,$T134)=0,"",INDEX(对接源_01水果!$B$4:$B$1203,$T134)))</f>
      </c>
      <c r="B134" s="84">
        <f>IF($T134="","",IF(INDEX(对接源_01水果!$E$4:$E$1203,$T134)=0,"",INDEX(对接源_01水果!$E$4:$E$1203,$T134)))</f>
      </c>
      <c r="C134" s="84">
        <f>IF($T134="","",IF(INDEX(对接源_01水果!$AC$4:$AC$1203,$T134)=0,"",INDEX(对接源_01水果!$AC$4:$AC$1203,$T134)))</f>
      </c>
      <c r="D134" s="84">
        <f>IF($T134="","",IF(INDEX(对接源_01水果!$F$4:$F$1203,$T134)=0,"",INDEX(对接源_01水果!$F$4:$F$1203,$T134)))</f>
      </c>
      <c r="E134" s="84">
        <f>IF($T134="","",IF(INDEX(对接源_01水果!$G$4:$G$1203,$T134)=0,"",INDEX(对接源_01水果!$G$4:$G$1203,$T134)))</f>
      </c>
      <c r="F134" s="84">
        <f>IF($T134="","",IF(INDEX(对接源_01水果!$H$4:$H$1203,$T134)=0,"",INDEX(对接源_01水果!$H$4:$H$1203,$T134)))</f>
      </c>
      <c r="G134" s="84">
        <f>IF($T134="","",IF(INDEX(对接源_01水果!$I$4:$I$1203,$T134)=0,"",INDEX(对接源_01水果!$I$4:$I$1203,$T134)))</f>
      </c>
      <c r="H134" s="86">
        <f>IF($T134="","",IF(INDEX(对接源_01水果!$AD$4:$AD$1203,$T134)=0,"",INDEX(对接源_01水果!$AD$4:$AD$1203,$T134)))</f>
      </c>
      <c r="I134" s="86">
        <f>IF($T134="","",IF(INDEX(对接源_01水果!$AI$4:$AI$1203,$T134)=0,"",INDEX(对接源_01水果!$AI$4:$AI$1203,$T134)))</f>
      </c>
      <c r="J134" s="86">
        <f>IF($T134="","",IF(INDEX(对接源_01水果!$AE$4:$AE$1203,$T134)=0,"",INDEX(对接源_01水果!$AE$4:$AE$1203,$T134)))</f>
      </c>
      <c r="K134" s="86">
        <f>IF($T134="","",IF(INDEX(对接源_01水果!$AF$4:$AF$1203,$T134)=0,"",INDEX(对接源_01水果!$AF$4:$AF$1203,$T134)))</f>
      </c>
      <c r="L134" s="86">
        <f>IF($T134="","",IF(INDEX(对接源_01水果!$K$4:$K$1203,$T134)=0,"",INDEX(对接源_01水果!$K$4:$K$1203,$T134)))</f>
      </c>
      <c r="M134" s="84">
        <f>IF($T134="","",IF(INDEX(对接源_01水果!$L$4:$L$1203,$T134)=0,"",INDEX(对接源_01水果!$L$4:$L$1203,$T134)))</f>
      </c>
      <c r="N134" s="87">
        <f>IF($T134="","",IF(INDEX(对接源_01水果!$M$4:$M$1203,$T134)=0,"",INDEX(对接源_01水果!$M$4:$M$1203,$T134)))</f>
      </c>
      <c r="S134" s="7" t="n"/>
      <c r="T134" s="7">
        <f>IF(ROW()-5&gt;$U$1203,"",MATCH(ROW()-5,$U$4:$U$1203,0))</f>
      </c>
      <c r="U134">
        <f>N(U133)+IF(AND($B$2&lt;&gt;"",对接源_01水果!$AH134=$B$2,对接源_01水果!$B134&gt;=$U$1,对接源_01水果!$B134&lt;=$U$2),1,0)</f>
        <v>0</v>
      </c>
    </row>
    <row r="135" ht="15.75" customHeight="1" s="127">
      <c r="A135" s="191">
        <f>IF($T135="","",IF(INDEX(对接源_01水果!$B$4:$B$1203,$T135)=0,"",INDEX(对接源_01水果!$B$4:$B$1203,$T135)))</f>
      </c>
      <c r="B135" s="84">
        <f>IF($T135="","",IF(INDEX(对接源_01水果!$E$4:$E$1203,$T135)=0,"",INDEX(对接源_01水果!$E$4:$E$1203,$T135)))</f>
      </c>
      <c r="C135" s="84">
        <f>IF($T135="","",IF(INDEX(对接源_01水果!$AC$4:$AC$1203,$T135)=0,"",INDEX(对接源_01水果!$AC$4:$AC$1203,$T135)))</f>
      </c>
      <c r="D135" s="84">
        <f>IF($T135="","",IF(INDEX(对接源_01水果!$F$4:$F$1203,$T135)=0,"",INDEX(对接源_01水果!$F$4:$F$1203,$T135)))</f>
      </c>
      <c r="E135" s="84">
        <f>IF($T135="","",IF(INDEX(对接源_01水果!$G$4:$G$1203,$T135)=0,"",INDEX(对接源_01水果!$G$4:$G$1203,$T135)))</f>
      </c>
      <c r="F135" s="84">
        <f>IF($T135="","",IF(INDEX(对接源_01水果!$H$4:$H$1203,$T135)=0,"",INDEX(对接源_01水果!$H$4:$H$1203,$T135)))</f>
      </c>
      <c r="G135" s="84">
        <f>IF($T135="","",IF(INDEX(对接源_01水果!$I$4:$I$1203,$T135)=0,"",INDEX(对接源_01水果!$I$4:$I$1203,$T135)))</f>
      </c>
      <c r="H135" s="86">
        <f>IF($T135="","",IF(INDEX(对接源_01水果!$AD$4:$AD$1203,$T135)=0,"",INDEX(对接源_01水果!$AD$4:$AD$1203,$T135)))</f>
      </c>
      <c r="I135" s="86">
        <f>IF($T135="","",IF(INDEX(对接源_01水果!$AI$4:$AI$1203,$T135)=0,"",INDEX(对接源_01水果!$AI$4:$AI$1203,$T135)))</f>
      </c>
      <c r="J135" s="86">
        <f>IF($T135="","",IF(INDEX(对接源_01水果!$AE$4:$AE$1203,$T135)=0,"",INDEX(对接源_01水果!$AE$4:$AE$1203,$T135)))</f>
      </c>
      <c r="K135" s="86">
        <f>IF($T135="","",IF(INDEX(对接源_01水果!$AF$4:$AF$1203,$T135)=0,"",INDEX(对接源_01水果!$AF$4:$AF$1203,$T135)))</f>
      </c>
      <c r="L135" s="86">
        <f>IF($T135="","",IF(INDEX(对接源_01水果!$K$4:$K$1203,$T135)=0,"",INDEX(对接源_01水果!$K$4:$K$1203,$T135)))</f>
      </c>
      <c r="M135" s="84">
        <f>IF($T135="","",IF(INDEX(对接源_01水果!$L$4:$L$1203,$T135)=0,"",INDEX(对接源_01水果!$L$4:$L$1203,$T135)))</f>
      </c>
      <c r="N135" s="87">
        <f>IF($T135="","",IF(INDEX(对接源_01水果!$M$4:$M$1203,$T135)=0,"",INDEX(对接源_01水果!$M$4:$M$1203,$T135)))</f>
      </c>
      <c r="S135" s="7" t="n"/>
      <c r="T135" s="7">
        <f>IF(ROW()-5&gt;$U$1203,"",MATCH(ROW()-5,$U$4:$U$1203,0))</f>
      </c>
      <c r="U135">
        <f>N(U134)+IF(AND($B$2&lt;&gt;"",对接源_01水果!$AH135=$B$2,对接源_01水果!$B135&gt;=$U$1,对接源_01水果!$B135&lt;=$U$2),1,0)</f>
        <v>0</v>
      </c>
    </row>
    <row r="136" ht="15.75" customHeight="1" s="127">
      <c r="A136" s="191">
        <f>IF($T136="","",IF(INDEX(对接源_01水果!$B$4:$B$1203,$T136)=0,"",INDEX(对接源_01水果!$B$4:$B$1203,$T136)))</f>
      </c>
      <c r="B136" s="84">
        <f>IF($T136="","",IF(INDEX(对接源_01水果!$E$4:$E$1203,$T136)=0,"",INDEX(对接源_01水果!$E$4:$E$1203,$T136)))</f>
      </c>
      <c r="C136" s="84">
        <f>IF($T136="","",IF(INDEX(对接源_01水果!$AC$4:$AC$1203,$T136)=0,"",INDEX(对接源_01水果!$AC$4:$AC$1203,$T136)))</f>
      </c>
      <c r="D136" s="84">
        <f>IF($T136="","",IF(INDEX(对接源_01水果!$F$4:$F$1203,$T136)=0,"",INDEX(对接源_01水果!$F$4:$F$1203,$T136)))</f>
      </c>
      <c r="E136" s="84">
        <f>IF($T136="","",IF(INDEX(对接源_01水果!$G$4:$G$1203,$T136)=0,"",INDEX(对接源_01水果!$G$4:$G$1203,$T136)))</f>
      </c>
      <c r="F136" s="84">
        <f>IF($T136="","",IF(INDEX(对接源_01水果!$H$4:$H$1203,$T136)=0,"",INDEX(对接源_01水果!$H$4:$H$1203,$T136)))</f>
      </c>
      <c r="G136" s="84">
        <f>IF($T136="","",IF(INDEX(对接源_01水果!$I$4:$I$1203,$T136)=0,"",INDEX(对接源_01水果!$I$4:$I$1203,$T136)))</f>
      </c>
      <c r="H136" s="86">
        <f>IF($T136="","",IF(INDEX(对接源_01水果!$AD$4:$AD$1203,$T136)=0,"",INDEX(对接源_01水果!$AD$4:$AD$1203,$T136)))</f>
      </c>
      <c r="I136" s="86">
        <f>IF($T136="","",IF(INDEX(对接源_01水果!$AI$4:$AI$1203,$T136)=0,"",INDEX(对接源_01水果!$AI$4:$AI$1203,$T136)))</f>
      </c>
      <c r="J136" s="86">
        <f>IF($T136="","",IF(INDEX(对接源_01水果!$AE$4:$AE$1203,$T136)=0,"",INDEX(对接源_01水果!$AE$4:$AE$1203,$T136)))</f>
      </c>
      <c r="K136" s="86">
        <f>IF($T136="","",IF(INDEX(对接源_01水果!$AF$4:$AF$1203,$T136)=0,"",INDEX(对接源_01水果!$AF$4:$AF$1203,$T136)))</f>
      </c>
      <c r="L136" s="86">
        <f>IF($T136="","",IF(INDEX(对接源_01水果!$K$4:$K$1203,$T136)=0,"",INDEX(对接源_01水果!$K$4:$K$1203,$T136)))</f>
      </c>
      <c r="M136" s="84">
        <f>IF($T136="","",IF(INDEX(对接源_01水果!$L$4:$L$1203,$T136)=0,"",INDEX(对接源_01水果!$L$4:$L$1203,$T136)))</f>
      </c>
      <c r="N136" s="87">
        <f>IF($T136="","",IF(INDEX(对接源_01水果!$M$4:$M$1203,$T136)=0,"",INDEX(对接源_01水果!$M$4:$M$1203,$T136)))</f>
      </c>
      <c r="S136" s="7" t="n"/>
      <c r="T136" s="7">
        <f>IF(ROW()-5&gt;$U$1203,"",MATCH(ROW()-5,$U$4:$U$1203,0))</f>
      </c>
      <c r="U136">
        <f>N(U135)+IF(AND($B$2&lt;&gt;"",对接源_01水果!$AH136=$B$2,对接源_01水果!$B136&gt;=$U$1,对接源_01水果!$B136&lt;=$U$2),1,0)</f>
        <v>0</v>
      </c>
    </row>
    <row r="137" ht="15.75" customHeight="1" s="127">
      <c r="A137" s="191">
        <f>IF($T137="","",IF(INDEX(对接源_01水果!$B$4:$B$1203,$T137)=0,"",INDEX(对接源_01水果!$B$4:$B$1203,$T137)))</f>
      </c>
      <c r="B137" s="84">
        <f>IF($T137="","",IF(INDEX(对接源_01水果!$E$4:$E$1203,$T137)=0,"",INDEX(对接源_01水果!$E$4:$E$1203,$T137)))</f>
      </c>
      <c r="C137" s="84">
        <f>IF($T137="","",IF(INDEX(对接源_01水果!$AC$4:$AC$1203,$T137)=0,"",INDEX(对接源_01水果!$AC$4:$AC$1203,$T137)))</f>
      </c>
      <c r="D137" s="84">
        <f>IF($T137="","",IF(INDEX(对接源_01水果!$F$4:$F$1203,$T137)=0,"",INDEX(对接源_01水果!$F$4:$F$1203,$T137)))</f>
      </c>
      <c r="E137" s="84">
        <f>IF($T137="","",IF(INDEX(对接源_01水果!$G$4:$G$1203,$T137)=0,"",INDEX(对接源_01水果!$G$4:$G$1203,$T137)))</f>
      </c>
      <c r="F137" s="84">
        <f>IF($T137="","",IF(INDEX(对接源_01水果!$H$4:$H$1203,$T137)=0,"",INDEX(对接源_01水果!$H$4:$H$1203,$T137)))</f>
      </c>
      <c r="G137" s="84">
        <f>IF($T137="","",IF(INDEX(对接源_01水果!$I$4:$I$1203,$T137)=0,"",INDEX(对接源_01水果!$I$4:$I$1203,$T137)))</f>
      </c>
      <c r="H137" s="86">
        <f>IF($T137="","",IF(INDEX(对接源_01水果!$AD$4:$AD$1203,$T137)=0,"",INDEX(对接源_01水果!$AD$4:$AD$1203,$T137)))</f>
      </c>
      <c r="I137" s="86">
        <f>IF($T137="","",IF(INDEX(对接源_01水果!$AI$4:$AI$1203,$T137)=0,"",INDEX(对接源_01水果!$AI$4:$AI$1203,$T137)))</f>
      </c>
      <c r="J137" s="86">
        <f>IF($T137="","",IF(INDEX(对接源_01水果!$AE$4:$AE$1203,$T137)=0,"",INDEX(对接源_01水果!$AE$4:$AE$1203,$T137)))</f>
      </c>
      <c r="K137" s="86">
        <f>IF($T137="","",IF(INDEX(对接源_01水果!$AF$4:$AF$1203,$T137)=0,"",INDEX(对接源_01水果!$AF$4:$AF$1203,$T137)))</f>
      </c>
      <c r="L137" s="86">
        <f>IF($T137="","",IF(INDEX(对接源_01水果!$K$4:$K$1203,$T137)=0,"",INDEX(对接源_01水果!$K$4:$K$1203,$T137)))</f>
      </c>
      <c r="M137" s="84">
        <f>IF($T137="","",IF(INDEX(对接源_01水果!$L$4:$L$1203,$T137)=0,"",INDEX(对接源_01水果!$L$4:$L$1203,$T137)))</f>
      </c>
      <c r="N137" s="87">
        <f>IF($T137="","",IF(INDEX(对接源_01水果!$M$4:$M$1203,$T137)=0,"",INDEX(对接源_01水果!$M$4:$M$1203,$T137)))</f>
      </c>
      <c r="S137" s="7" t="n"/>
      <c r="T137" s="7">
        <f>IF(ROW()-5&gt;$U$1203,"",MATCH(ROW()-5,$U$4:$U$1203,0))</f>
      </c>
      <c r="U137">
        <f>N(U136)+IF(AND($B$2&lt;&gt;"",对接源_01水果!$AH137=$B$2,对接源_01水果!$B137&gt;=$U$1,对接源_01水果!$B137&lt;=$U$2),1,0)</f>
        <v>0</v>
      </c>
    </row>
    <row r="138" ht="15.75" customHeight="1" s="127">
      <c r="A138" s="191">
        <f>IF($T138="","",IF(INDEX(对接源_01水果!$B$4:$B$1203,$T138)=0,"",INDEX(对接源_01水果!$B$4:$B$1203,$T138)))</f>
      </c>
      <c r="B138" s="84">
        <f>IF($T138="","",IF(INDEX(对接源_01水果!$E$4:$E$1203,$T138)=0,"",INDEX(对接源_01水果!$E$4:$E$1203,$T138)))</f>
      </c>
      <c r="C138" s="84">
        <f>IF($T138="","",IF(INDEX(对接源_01水果!$AC$4:$AC$1203,$T138)=0,"",INDEX(对接源_01水果!$AC$4:$AC$1203,$T138)))</f>
      </c>
      <c r="D138" s="84">
        <f>IF($T138="","",IF(INDEX(对接源_01水果!$F$4:$F$1203,$T138)=0,"",INDEX(对接源_01水果!$F$4:$F$1203,$T138)))</f>
      </c>
      <c r="E138" s="84">
        <f>IF($T138="","",IF(INDEX(对接源_01水果!$G$4:$G$1203,$T138)=0,"",INDEX(对接源_01水果!$G$4:$G$1203,$T138)))</f>
      </c>
      <c r="F138" s="84">
        <f>IF($T138="","",IF(INDEX(对接源_01水果!$H$4:$H$1203,$T138)=0,"",INDEX(对接源_01水果!$H$4:$H$1203,$T138)))</f>
      </c>
      <c r="G138" s="84">
        <f>IF($T138="","",IF(INDEX(对接源_01水果!$I$4:$I$1203,$T138)=0,"",INDEX(对接源_01水果!$I$4:$I$1203,$T138)))</f>
      </c>
      <c r="H138" s="86">
        <f>IF($T138="","",IF(INDEX(对接源_01水果!$AD$4:$AD$1203,$T138)=0,"",INDEX(对接源_01水果!$AD$4:$AD$1203,$T138)))</f>
      </c>
      <c r="I138" s="86">
        <f>IF($T138="","",IF(INDEX(对接源_01水果!$AI$4:$AI$1203,$T138)=0,"",INDEX(对接源_01水果!$AI$4:$AI$1203,$T138)))</f>
      </c>
      <c r="J138" s="86">
        <f>IF($T138="","",IF(INDEX(对接源_01水果!$AE$4:$AE$1203,$T138)=0,"",INDEX(对接源_01水果!$AE$4:$AE$1203,$T138)))</f>
      </c>
      <c r="K138" s="86">
        <f>IF($T138="","",IF(INDEX(对接源_01水果!$AF$4:$AF$1203,$T138)=0,"",INDEX(对接源_01水果!$AF$4:$AF$1203,$T138)))</f>
      </c>
      <c r="L138" s="86">
        <f>IF($T138="","",IF(INDEX(对接源_01水果!$K$4:$K$1203,$T138)=0,"",INDEX(对接源_01水果!$K$4:$K$1203,$T138)))</f>
      </c>
      <c r="M138" s="84">
        <f>IF($T138="","",IF(INDEX(对接源_01水果!$L$4:$L$1203,$T138)=0,"",INDEX(对接源_01水果!$L$4:$L$1203,$T138)))</f>
      </c>
      <c r="N138" s="87">
        <f>IF($T138="","",IF(INDEX(对接源_01水果!$M$4:$M$1203,$T138)=0,"",INDEX(对接源_01水果!$M$4:$M$1203,$T138)))</f>
      </c>
      <c r="S138" s="7" t="n"/>
      <c r="T138" s="7">
        <f>IF(ROW()-5&gt;$U$1203,"",MATCH(ROW()-5,$U$4:$U$1203,0))</f>
      </c>
      <c r="U138">
        <f>N(U137)+IF(AND($B$2&lt;&gt;"",对接源_01水果!$AH138=$B$2,对接源_01水果!$B138&gt;=$U$1,对接源_01水果!$B138&lt;=$U$2),1,0)</f>
        <v>0</v>
      </c>
    </row>
    <row r="139" ht="15.75" customHeight="1" s="127">
      <c r="A139" s="191">
        <f>IF($T139="","",IF(INDEX(对接源_01水果!$B$4:$B$1203,$T139)=0,"",INDEX(对接源_01水果!$B$4:$B$1203,$T139)))</f>
      </c>
      <c r="B139" s="84">
        <f>IF($T139="","",IF(INDEX(对接源_01水果!$E$4:$E$1203,$T139)=0,"",INDEX(对接源_01水果!$E$4:$E$1203,$T139)))</f>
      </c>
      <c r="C139" s="84">
        <f>IF($T139="","",IF(INDEX(对接源_01水果!$AC$4:$AC$1203,$T139)=0,"",INDEX(对接源_01水果!$AC$4:$AC$1203,$T139)))</f>
      </c>
      <c r="D139" s="84">
        <f>IF($T139="","",IF(INDEX(对接源_01水果!$F$4:$F$1203,$T139)=0,"",INDEX(对接源_01水果!$F$4:$F$1203,$T139)))</f>
      </c>
      <c r="E139" s="84">
        <f>IF($T139="","",IF(INDEX(对接源_01水果!$G$4:$G$1203,$T139)=0,"",INDEX(对接源_01水果!$G$4:$G$1203,$T139)))</f>
      </c>
      <c r="F139" s="84">
        <f>IF($T139="","",IF(INDEX(对接源_01水果!$H$4:$H$1203,$T139)=0,"",INDEX(对接源_01水果!$H$4:$H$1203,$T139)))</f>
      </c>
      <c r="G139" s="84">
        <f>IF($T139="","",IF(INDEX(对接源_01水果!$I$4:$I$1203,$T139)=0,"",INDEX(对接源_01水果!$I$4:$I$1203,$T139)))</f>
      </c>
      <c r="H139" s="86">
        <f>IF($T139="","",IF(INDEX(对接源_01水果!$AD$4:$AD$1203,$T139)=0,"",INDEX(对接源_01水果!$AD$4:$AD$1203,$T139)))</f>
      </c>
      <c r="I139" s="86">
        <f>IF($T139="","",IF(INDEX(对接源_01水果!$AI$4:$AI$1203,$T139)=0,"",INDEX(对接源_01水果!$AI$4:$AI$1203,$T139)))</f>
      </c>
      <c r="J139" s="86">
        <f>IF($T139="","",IF(INDEX(对接源_01水果!$AE$4:$AE$1203,$T139)=0,"",INDEX(对接源_01水果!$AE$4:$AE$1203,$T139)))</f>
      </c>
      <c r="K139" s="86">
        <f>IF($T139="","",IF(INDEX(对接源_01水果!$AF$4:$AF$1203,$T139)=0,"",INDEX(对接源_01水果!$AF$4:$AF$1203,$T139)))</f>
      </c>
      <c r="L139" s="86">
        <f>IF($T139="","",IF(INDEX(对接源_01水果!$K$4:$K$1203,$T139)=0,"",INDEX(对接源_01水果!$K$4:$K$1203,$T139)))</f>
      </c>
      <c r="M139" s="84">
        <f>IF($T139="","",IF(INDEX(对接源_01水果!$L$4:$L$1203,$T139)=0,"",INDEX(对接源_01水果!$L$4:$L$1203,$T139)))</f>
      </c>
      <c r="N139" s="87">
        <f>IF($T139="","",IF(INDEX(对接源_01水果!$M$4:$M$1203,$T139)=0,"",INDEX(对接源_01水果!$M$4:$M$1203,$T139)))</f>
      </c>
      <c r="S139" s="7" t="n"/>
      <c r="T139" s="7">
        <f>IF(ROW()-5&gt;$U$1203,"",MATCH(ROW()-5,$U$4:$U$1203,0))</f>
      </c>
      <c r="U139">
        <f>N(U138)+IF(AND($B$2&lt;&gt;"",对接源_01水果!$AH139=$B$2,对接源_01水果!$B139&gt;=$U$1,对接源_01水果!$B139&lt;=$U$2),1,0)</f>
        <v>0</v>
      </c>
    </row>
    <row r="140" ht="15.75" customHeight="1" s="127">
      <c r="A140" s="191">
        <f>IF($T140="","",IF(INDEX(对接源_01水果!$B$4:$B$1203,$T140)=0,"",INDEX(对接源_01水果!$B$4:$B$1203,$T140)))</f>
      </c>
      <c r="B140" s="84">
        <f>IF($T140="","",IF(INDEX(对接源_01水果!$E$4:$E$1203,$T140)=0,"",INDEX(对接源_01水果!$E$4:$E$1203,$T140)))</f>
      </c>
      <c r="C140" s="84">
        <f>IF($T140="","",IF(INDEX(对接源_01水果!$AC$4:$AC$1203,$T140)=0,"",INDEX(对接源_01水果!$AC$4:$AC$1203,$T140)))</f>
      </c>
      <c r="D140" s="84">
        <f>IF($T140="","",IF(INDEX(对接源_01水果!$F$4:$F$1203,$T140)=0,"",INDEX(对接源_01水果!$F$4:$F$1203,$T140)))</f>
      </c>
      <c r="E140" s="84">
        <f>IF($T140="","",IF(INDEX(对接源_01水果!$G$4:$G$1203,$T140)=0,"",INDEX(对接源_01水果!$G$4:$G$1203,$T140)))</f>
      </c>
      <c r="F140" s="84">
        <f>IF($T140="","",IF(INDEX(对接源_01水果!$H$4:$H$1203,$T140)=0,"",INDEX(对接源_01水果!$H$4:$H$1203,$T140)))</f>
      </c>
      <c r="G140" s="84">
        <f>IF($T140="","",IF(INDEX(对接源_01水果!$I$4:$I$1203,$T140)=0,"",INDEX(对接源_01水果!$I$4:$I$1203,$T140)))</f>
      </c>
      <c r="H140" s="86">
        <f>IF($T140="","",IF(INDEX(对接源_01水果!$AD$4:$AD$1203,$T140)=0,"",INDEX(对接源_01水果!$AD$4:$AD$1203,$T140)))</f>
      </c>
      <c r="I140" s="86">
        <f>IF($T140="","",IF(INDEX(对接源_01水果!$AI$4:$AI$1203,$T140)=0,"",INDEX(对接源_01水果!$AI$4:$AI$1203,$T140)))</f>
      </c>
      <c r="J140" s="86">
        <f>IF($T140="","",IF(INDEX(对接源_01水果!$AE$4:$AE$1203,$T140)=0,"",INDEX(对接源_01水果!$AE$4:$AE$1203,$T140)))</f>
      </c>
      <c r="K140" s="86">
        <f>IF($T140="","",IF(INDEX(对接源_01水果!$AF$4:$AF$1203,$T140)=0,"",INDEX(对接源_01水果!$AF$4:$AF$1203,$T140)))</f>
      </c>
      <c r="L140" s="86">
        <f>IF($T140="","",IF(INDEX(对接源_01水果!$K$4:$K$1203,$T140)=0,"",INDEX(对接源_01水果!$K$4:$K$1203,$T140)))</f>
      </c>
      <c r="M140" s="84">
        <f>IF($T140="","",IF(INDEX(对接源_01水果!$L$4:$L$1203,$T140)=0,"",INDEX(对接源_01水果!$L$4:$L$1203,$T140)))</f>
      </c>
      <c r="N140" s="87">
        <f>IF($T140="","",IF(INDEX(对接源_01水果!$M$4:$M$1203,$T140)=0,"",INDEX(对接源_01水果!$M$4:$M$1203,$T140)))</f>
      </c>
      <c r="S140" s="7" t="n"/>
      <c r="T140" s="7">
        <f>IF(ROW()-5&gt;$U$1203,"",MATCH(ROW()-5,$U$4:$U$1203,0))</f>
      </c>
      <c r="U140">
        <f>N(U139)+IF(AND($B$2&lt;&gt;"",对接源_01水果!$AH140=$B$2,对接源_01水果!$B140&gt;=$U$1,对接源_01水果!$B140&lt;=$U$2),1,0)</f>
        <v>0</v>
      </c>
    </row>
    <row r="141" ht="15.75" customHeight="1" s="127">
      <c r="A141" s="191">
        <f>IF($T141="","",IF(INDEX(对接源_01水果!$B$4:$B$1203,$T141)=0,"",INDEX(对接源_01水果!$B$4:$B$1203,$T141)))</f>
      </c>
      <c r="B141" s="84">
        <f>IF($T141="","",IF(INDEX(对接源_01水果!$E$4:$E$1203,$T141)=0,"",INDEX(对接源_01水果!$E$4:$E$1203,$T141)))</f>
      </c>
      <c r="C141" s="84">
        <f>IF($T141="","",IF(INDEX(对接源_01水果!$AC$4:$AC$1203,$T141)=0,"",INDEX(对接源_01水果!$AC$4:$AC$1203,$T141)))</f>
      </c>
      <c r="D141" s="84">
        <f>IF($T141="","",IF(INDEX(对接源_01水果!$F$4:$F$1203,$T141)=0,"",INDEX(对接源_01水果!$F$4:$F$1203,$T141)))</f>
      </c>
      <c r="E141" s="84">
        <f>IF($T141="","",IF(INDEX(对接源_01水果!$G$4:$G$1203,$T141)=0,"",INDEX(对接源_01水果!$G$4:$G$1203,$T141)))</f>
      </c>
      <c r="F141" s="84">
        <f>IF($T141="","",IF(INDEX(对接源_01水果!$H$4:$H$1203,$T141)=0,"",INDEX(对接源_01水果!$H$4:$H$1203,$T141)))</f>
      </c>
      <c r="G141" s="84">
        <f>IF($T141="","",IF(INDEX(对接源_01水果!$I$4:$I$1203,$T141)=0,"",INDEX(对接源_01水果!$I$4:$I$1203,$T141)))</f>
      </c>
      <c r="H141" s="86">
        <f>IF($T141="","",IF(INDEX(对接源_01水果!$AD$4:$AD$1203,$T141)=0,"",INDEX(对接源_01水果!$AD$4:$AD$1203,$T141)))</f>
      </c>
      <c r="I141" s="86">
        <f>IF($T141="","",IF(INDEX(对接源_01水果!$AI$4:$AI$1203,$T141)=0,"",INDEX(对接源_01水果!$AI$4:$AI$1203,$T141)))</f>
      </c>
      <c r="J141" s="86">
        <f>IF($T141="","",IF(INDEX(对接源_01水果!$AE$4:$AE$1203,$T141)=0,"",INDEX(对接源_01水果!$AE$4:$AE$1203,$T141)))</f>
      </c>
      <c r="K141" s="86">
        <f>IF($T141="","",IF(INDEX(对接源_01水果!$AF$4:$AF$1203,$T141)=0,"",INDEX(对接源_01水果!$AF$4:$AF$1203,$T141)))</f>
      </c>
      <c r="L141" s="86">
        <f>IF($T141="","",IF(INDEX(对接源_01水果!$K$4:$K$1203,$T141)=0,"",INDEX(对接源_01水果!$K$4:$K$1203,$T141)))</f>
      </c>
      <c r="M141" s="84">
        <f>IF($T141="","",IF(INDEX(对接源_01水果!$L$4:$L$1203,$T141)=0,"",INDEX(对接源_01水果!$L$4:$L$1203,$T141)))</f>
      </c>
      <c r="N141" s="87">
        <f>IF($T141="","",IF(INDEX(对接源_01水果!$M$4:$M$1203,$T141)=0,"",INDEX(对接源_01水果!$M$4:$M$1203,$T141)))</f>
      </c>
      <c r="S141" s="7" t="n"/>
      <c r="T141" s="7">
        <f>IF(ROW()-5&gt;$U$1203,"",MATCH(ROW()-5,$U$4:$U$1203,0))</f>
      </c>
      <c r="U141">
        <f>N(U140)+IF(AND($B$2&lt;&gt;"",对接源_01水果!$AH141=$B$2,对接源_01水果!$B141&gt;=$U$1,对接源_01水果!$B141&lt;=$U$2),1,0)</f>
        <v>0</v>
      </c>
    </row>
    <row r="142" ht="15.75" customHeight="1" s="127">
      <c r="A142" s="191">
        <f>IF($T142="","",IF(INDEX(对接源_01水果!$B$4:$B$1203,$T142)=0,"",INDEX(对接源_01水果!$B$4:$B$1203,$T142)))</f>
      </c>
      <c r="B142" s="84">
        <f>IF($T142="","",IF(INDEX(对接源_01水果!$E$4:$E$1203,$T142)=0,"",INDEX(对接源_01水果!$E$4:$E$1203,$T142)))</f>
      </c>
      <c r="C142" s="84">
        <f>IF($T142="","",IF(INDEX(对接源_01水果!$AC$4:$AC$1203,$T142)=0,"",INDEX(对接源_01水果!$AC$4:$AC$1203,$T142)))</f>
      </c>
      <c r="D142" s="84">
        <f>IF($T142="","",IF(INDEX(对接源_01水果!$F$4:$F$1203,$T142)=0,"",INDEX(对接源_01水果!$F$4:$F$1203,$T142)))</f>
      </c>
      <c r="E142" s="84">
        <f>IF($T142="","",IF(INDEX(对接源_01水果!$G$4:$G$1203,$T142)=0,"",INDEX(对接源_01水果!$G$4:$G$1203,$T142)))</f>
      </c>
      <c r="F142" s="84">
        <f>IF($T142="","",IF(INDEX(对接源_01水果!$H$4:$H$1203,$T142)=0,"",INDEX(对接源_01水果!$H$4:$H$1203,$T142)))</f>
      </c>
      <c r="G142" s="84">
        <f>IF($T142="","",IF(INDEX(对接源_01水果!$I$4:$I$1203,$T142)=0,"",INDEX(对接源_01水果!$I$4:$I$1203,$T142)))</f>
      </c>
      <c r="H142" s="86">
        <f>IF($T142="","",IF(INDEX(对接源_01水果!$AD$4:$AD$1203,$T142)=0,"",INDEX(对接源_01水果!$AD$4:$AD$1203,$T142)))</f>
      </c>
      <c r="I142" s="86">
        <f>IF($T142="","",IF(INDEX(对接源_01水果!$AI$4:$AI$1203,$T142)=0,"",INDEX(对接源_01水果!$AI$4:$AI$1203,$T142)))</f>
      </c>
      <c r="J142" s="86">
        <f>IF($T142="","",IF(INDEX(对接源_01水果!$AE$4:$AE$1203,$T142)=0,"",INDEX(对接源_01水果!$AE$4:$AE$1203,$T142)))</f>
      </c>
      <c r="K142" s="86">
        <f>IF($T142="","",IF(INDEX(对接源_01水果!$AF$4:$AF$1203,$T142)=0,"",INDEX(对接源_01水果!$AF$4:$AF$1203,$T142)))</f>
      </c>
      <c r="L142" s="86">
        <f>IF($T142="","",IF(INDEX(对接源_01水果!$K$4:$K$1203,$T142)=0,"",INDEX(对接源_01水果!$K$4:$K$1203,$T142)))</f>
      </c>
      <c r="M142" s="84">
        <f>IF($T142="","",IF(INDEX(对接源_01水果!$L$4:$L$1203,$T142)=0,"",INDEX(对接源_01水果!$L$4:$L$1203,$T142)))</f>
      </c>
      <c r="N142" s="87">
        <f>IF($T142="","",IF(INDEX(对接源_01水果!$M$4:$M$1203,$T142)=0,"",INDEX(对接源_01水果!$M$4:$M$1203,$T142)))</f>
      </c>
      <c r="S142" s="7" t="n"/>
      <c r="T142" s="7">
        <f>IF(ROW()-5&gt;$U$1203,"",MATCH(ROW()-5,$U$4:$U$1203,0))</f>
      </c>
      <c r="U142">
        <f>N(U141)+IF(AND($B$2&lt;&gt;"",对接源_01水果!$AH142=$B$2,对接源_01水果!$B142&gt;=$U$1,对接源_01水果!$B142&lt;=$U$2),1,0)</f>
        <v>0</v>
      </c>
    </row>
    <row r="143" ht="15.75" customHeight="1" s="127">
      <c r="A143" s="191">
        <f>IF($T143="","",IF(INDEX(对接源_01水果!$B$4:$B$1203,$T143)=0,"",INDEX(对接源_01水果!$B$4:$B$1203,$T143)))</f>
      </c>
      <c r="B143" s="84">
        <f>IF($T143="","",IF(INDEX(对接源_01水果!$E$4:$E$1203,$T143)=0,"",INDEX(对接源_01水果!$E$4:$E$1203,$T143)))</f>
      </c>
      <c r="C143" s="84">
        <f>IF($T143="","",IF(INDEX(对接源_01水果!$AC$4:$AC$1203,$T143)=0,"",INDEX(对接源_01水果!$AC$4:$AC$1203,$T143)))</f>
      </c>
      <c r="D143" s="84">
        <f>IF($T143="","",IF(INDEX(对接源_01水果!$F$4:$F$1203,$T143)=0,"",INDEX(对接源_01水果!$F$4:$F$1203,$T143)))</f>
      </c>
      <c r="E143" s="84">
        <f>IF($T143="","",IF(INDEX(对接源_01水果!$G$4:$G$1203,$T143)=0,"",INDEX(对接源_01水果!$G$4:$G$1203,$T143)))</f>
      </c>
      <c r="F143" s="84">
        <f>IF($T143="","",IF(INDEX(对接源_01水果!$H$4:$H$1203,$T143)=0,"",INDEX(对接源_01水果!$H$4:$H$1203,$T143)))</f>
      </c>
      <c r="G143" s="84">
        <f>IF($T143="","",IF(INDEX(对接源_01水果!$I$4:$I$1203,$T143)=0,"",INDEX(对接源_01水果!$I$4:$I$1203,$T143)))</f>
      </c>
      <c r="H143" s="86">
        <f>IF($T143="","",IF(INDEX(对接源_01水果!$AD$4:$AD$1203,$T143)=0,"",INDEX(对接源_01水果!$AD$4:$AD$1203,$T143)))</f>
      </c>
      <c r="I143" s="86">
        <f>IF($T143="","",IF(INDEX(对接源_01水果!$AI$4:$AI$1203,$T143)=0,"",INDEX(对接源_01水果!$AI$4:$AI$1203,$T143)))</f>
      </c>
      <c r="J143" s="86">
        <f>IF($T143="","",IF(INDEX(对接源_01水果!$AE$4:$AE$1203,$T143)=0,"",INDEX(对接源_01水果!$AE$4:$AE$1203,$T143)))</f>
      </c>
      <c r="K143" s="86">
        <f>IF($T143="","",IF(INDEX(对接源_01水果!$AF$4:$AF$1203,$T143)=0,"",INDEX(对接源_01水果!$AF$4:$AF$1203,$T143)))</f>
      </c>
      <c r="L143" s="86">
        <f>IF($T143="","",IF(INDEX(对接源_01水果!$K$4:$K$1203,$T143)=0,"",INDEX(对接源_01水果!$K$4:$K$1203,$T143)))</f>
      </c>
      <c r="M143" s="84">
        <f>IF($T143="","",IF(INDEX(对接源_01水果!$L$4:$L$1203,$T143)=0,"",INDEX(对接源_01水果!$L$4:$L$1203,$T143)))</f>
      </c>
      <c r="N143" s="87">
        <f>IF($T143="","",IF(INDEX(对接源_01水果!$M$4:$M$1203,$T143)=0,"",INDEX(对接源_01水果!$M$4:$M$1203,$T143)))</f>
      </c>
      <c r="S143" s="7" t="n"/>
      <c r="T143" s="7">
        <f>IF(ROW()-5&gt;$U$1203,"",MATCH(ROW()-5,$U$4:$U$1203,0))</f>
      </c>
      <c r="U143">
        <f>N(U142)+IF(AND($B$2&lt;&gt;"",对接源_01水果!$AH143=$B$2,对接源_01水果!$B143&gt;=$U$1,对接源_01水果!$B143&lt;=$U$2),1,0)</f>
        <v>0</v>
      </c>
    </row>
    <row r="144" ht="15.75" customHeight="1" s="127">
      <c r="A144" s="191">
        <f>IF($T144="","",IF(INDEX(对接源_01水果!$B$4:$B$1203,$T144)=0,"",INDEX(对接源_01水果!$B$4:$B$1203,$T144)))</f>
      </c>
      <c r="B144" s="84">
        <f>IF($T144="","",IF(INDEX(对接源_01水果!$E$4:$E$1203,$T144)=0,"",INDEX(对接源_01水果!$E$4:$E$1203,$T144)))</f>
      </c>
      <c r="C144" s="84">
        <f>IF($T144="","",IF(INDEX(对接源_01水果!$AC$4:$AC$1203,$T144)=0,"",INDEX(对接源_01水果!$AC$4:$AC$1203,$T144)))</f>
      </c>
      <c r="D144" s="84">
        <f>IF($T144="","",IF(INDEX(对接源_01水果!$F$4:$F$1203,$T144)=0,"",INDEX(对接源_01水果!$F$4:$F$1203,$T144)))</f>
      </c>
      <c r="E144" s="84">
        <f>IF($T144="","",IF(INDEX(对接源_01水果!$G$4:$G$1203,$T144)=0,"",INDEX(对接源_01水果!$G$4:$G$1203,$T144)))</f>
      </c>
      <c r="F144" s="84">
        <f>IF($T144="","",IF(INDEX(对接源_01水果!$H$4:$H$1203,$T144)=0,"",INDEX(对接源_01水果!$H$4:$H$1203,$T144)))</f>
      </c>
      <c r="G144" s="84">
        <f>IF($T144="","",IF(INDEX(对接源_01水果!$I$4:$I$1203,$T144)=0,"",INDEX(对接源_01水果!$I$4:$I$1203,$T144)))</f>
      </c>
      <c r="H144" s="86">
        <f>IF($T144="","",IF(INDEX(对接源_01水果!$AD$4:$AD$1203,$T144)=0,"",INDEX(对接源_01水果!$AD$4:$AD$1203,$T144)))</f>
      </c>
      <c r="I144" s="86">
        <f>IF($T144="","",IF(INDEX(对接源_01水果!$AI$4:$AI$1203,$T144)=0,"",INDEX(对接源_01水果!$AI$4:$AI$1203,$T144)))</f>
      </c>
      <c r="J144" s="86">
        <f>IF($T144="","",IF(INDEX(对接源_01水果!$AE$4:$AE$1203,$T144)=0,"",INDEX(对接源_01水果!$AE$4:$AE$1203,$T144)))</f>
      </c>
      <c r="K144" s="86">
        <f>IF($T144="","",IF(INDEX(对接源_01水果!$AF$4:$AF$1203,$T144)=0,"",INDEX(对接源_01水果!$AF$4:$AF$1203,$T144)))</f>
      </c>
      <c r="L144" s="86">
        <f>IF($T144="","",IF(INDEX(对接源_01水果!$K$4:$K$1203,$T144)=0,"",INDEX(对接源_01水果!$K$4:$K$1203,$T144)))</f>
      </c>
      <c r="M144" s="84">
        <f>IF($T144="","",IF(INDEX(对接源_01水果!$L$4:$L$1203,$T144)=0,"",INDEX(对接源_01水果!$L$4:$L$1203,$T144)))</f>
      </c>
      <c r="N144" s="87">
        <f>IF($T144="","",IF(INDEX(对接源_01水果!$M$4:$M$1203,$T144)=0,"",INDEX(对接源_01水果!$M$4:$M$1203,$T144)))</f>
      </c>
      <c r="S144" s="7" t="n"/>
      <c r="T144" s="7">
        <f>IF(ROW()-5&gt;$U$1203,"",MATCH(ROW()-5,$U$4:$U$1203,0))</f>
      </c>
      <c r="U144">
        <f>N(U143)+IF(AND($B$2&lt;&gt;"",对接源_01水果!$AH144=$B$2,对接源_01水果!$B144&gt;=$U$1,对接源_01水果!$B144&lt;=$U$2),1,0)</f>
        <v>0</v>
      </c>
    </row>
    <row r="145" ht="15.75" customHeight="1" s="127">
      <c r="A145" s="191">
        <f>IF($T145="","",IF(INDEX(对接源_01水果!$B$4:$B$1203,$T145)=0,"",INDEX(对接源_01水果!$B$4:$B$1203,$T145)))</f>
      </c>
      <c r="B145" s="84">
        <f>IF($T145="","",IF(INDEX(对接源_01水果!$E$4:$E$1203,$T145)=0,"",INDEX(对接源_01水果!$E$4:$E$1203,$T145)))</f>
      </c>
      <c r="C145" s="84">
        <f>IF($T145="","",IF(INDEX(对接源_01水果!$AC$4:$AC$1203,$T145)=0,"",INDEX(对接源_01水果!$AC$4:$AC$1203,$T145)))</f>
      </c>
      <c r="D145" s="84">
        <f>IF($T145="","",IF(INDEX(对接源_01水果!$F$4:$F$1203,$T145)=0,"",INDEX(对接源_01水果!$F$4:$F$1203,$T145)))</f>
      </c>
      <c r="E145" s="84">
        <f>IF($T145="","",IF(INDEX(对接源_01水果!$G$4:$G$1203,$T145)=0,"",INDEX(对接源_01水果!$G$4:$G$1203,$T145)))</f>
      </c>
      <c r="F145" s="84">
        <f>IF($T145="","",IF(INDEX(对接源_01水果!$H$4:$H$1203,$T145)=0,"",INDEX(对接源_01水果!$H$4:$H$1203,$T145)))</f>
      </c>
      <c r="G145" s="84">
        <f>IF($T145="","",IF(INDEX(对接源_01水果!$I$4:$I$1203,$T145)=0,"",INDEX(对接源_01水果!$I$4:$I$1203,$T145)))</f>
      </c>
      <c r="H145" s="86">
        <f>IF($T145="","",IF(INDEX(对接源_01水果!$AD$4:$AD$1203,$T145)=0,"",INDEX(对接源_01水果!$AD$4:$AD$1203,$T145)))</f>
      </c>
      <c r="I145" s="86">
        <f>IF($T145="","",IF(INDEX(对接源_01水果!$AI$4:$AI$1203,$T145)=0,"",INDEX(对接源_01水果!$AI$4:$AI$1203,$T145)))</f>
      </c>
      <c r="J145" s="86">
        <f>IF($T145="","",IF(INDEX(对接源_01水果!$AE$4:$AE$1203,$T145)=0,"",INDEX(对接源_01水果!$AE$4:$AE$1203,$T145)))</f>
      </c>
      <c r="K145" s="86">
        <f>IF($T145="","",IF(INDEX(对接源_01水果!$AF$4:$AF$1203,$T145)=0,"",INDEX(对接源_01水果!$AF$4:$AF$1203,$T145)))</f>
      </c>
      <c r="L145" s="86">
        <f>IF($T145="","",IF(INDEX(对接源_01水果!$K$4:$K$1203,$T145)=0,"",INDEX(对接源_01水果!$K$4:$K$1203,$T145)))</f>
      </c>
      <c r="M145" s="84">
        <f>IF($T145="","",IF(INDEX(对接源_01水果!$L$4:$L$1203,$T145)=0,"",INDEX(对接源_01水果!$L$4:$L$1203,$T145)))</f>
      </c>
      <c r="N145" s="87">
        <f>IF($T145="","",IF(INDEX(对接源_01水果!$M$4:$M$1203,$T145)=0,"",INDEX(对接源_01水果!$M$4:$M$1203,$T145)))</f>
      </c>
      <c r="S145" s="7" t="n"/>
      <c r="T145" s="7">
        <f>IF(ROW()-5&gt;$U$1203,"",MATCH(ROW()-5,$U$4:$U$1203,0))</f>
      </c>
      <c r="U145">
        <f>N(U144)+IF(AND($B$2&lt;&gt;"",对接源_01水果!$AH145=$B$2,对接源_01水果!$B145&gt;=$U$1,对接源_01水果!$B145&lt;=$U$2),1,0)</f>
        <v>0</v>
      </c>
    </row>
    <row r="146" ht="15.75" customHeight="1" s="127">
      <c r="A146" s="191">
        <f>IF($T146="","",IF(INDEX(对接源_01水果!$B$4:$B$1203,$T146)=0,"",INDEX(对接源_01水果!$B$4:$B$1203,$T146)))</f>
      </c>
      <c r="B146" s="84">
        <f>IF($T146="","",IF(INDEX(对接源_01水果!$E$4:$E$1203,$T146)=0,"",INDEX(对接源_01水果!$E$4:$E$1203,$T146)))</f>
      </c>
      <c r="C146" s="84">
        <f>IF($T146="","",IF(INDEX(对接源_01水果!$AC$4:$AC$1203,$T146)=0,"",INDEX(对接源_01水果!$AC$4:$AC$1203,$T146)))</f>
      </c>
      <c r="D146" s="84">
        <f>IF($T146="","",IF(INDEX(对接源_01水果!$F$4:$F$1203,$T146)=0,"",INDEX(对接源_01水果!$F$4:$F$1203,$T146)))</f>
      </c>
      <c r="E146" s="84">
        <f>IF($T146="","",IF(INDEX(对接源_01水果!$G$4:$G$1203,$T146)=0,"",INDEX(对接源_01水果!$G$4:$G$1203,$T146)))</f>
      </c>
      <c r="F146" s="84">
        <f>IF($T146="","",IF(INDEX(对接源_01水果!$H$4:$H$1203,$T146)=0,"",INDEX(对接源_01水果!$H$4:$H$1203,$T146)))</f>
      </c>
      <c r="G146" s="84">
        <f>IF($T146="","",IF(INDEX(对接源_01水果!$I$4:$I$1203,$T146)=0,"",INDEX(对接源_01水果!$I$4:$I$1203,$T146)))</f>
      </c>
      <c r="H146" s="86">
        <f>IF($T146="","",IF(INDEX(对接源_01水果!$AD$4:$AD$1203,$T146)=0,"",INDEX(对接源_01水果!$AD$4:$AD$1203,$T146)))</f>
      </c>
      <c r="I146" s="86">
        <f>IF($T146="","",IF(INDEX(对接源_01水果!$AI$4:$AI$1203,$T146)=0,"",INDEX(对接源_01水果!$AI$4:$AI$1203,$T146)))</f>
      </c>
      <c r="J146" s="86">
        <f>IF($T146="","",IF(INDEX(对接源_01水果!$AE$4:$AE$1203,$T146)=0,"",INDEX(对接源_01水果!$AE$4:$AE$1203,$T146)))</f>
      </c>
      <c r="K146" s="86">
        <f>IF($T146="","",IF(INDEX(对接源_01水果!$AF$4:$AF$1203,$T146)=0,"",INDEX(对接源_01水果!$AF$4:$AF$1203,$T146)))</f>
      </c>
      <c r="L146" s="86">
        <f>IF($T146="","",IF(INDEX(对接源_01水果!$K$4:$K$1203,$T146)=0,"",INDEX(对接源_01水果!$K$4:$K$1203,$T146)))</f>
      </c>
      <c r="M146" s="84">
        <f>IF($T146="","",IF(INDEX(对接源_01水果!$L$4:$L$1203,$T146)=0,"",INDEX(对接源_01水果!$L$4:$L$1203,$T146)))</f>
      </c>
      <c r="N146" s="87">
        <f>IF($T146="","",IF(INDEX(对接源_01水果!$M$4:$M$1203,$T146)=0,"",INDEX(对接源_01水果!$M$4:$M$1203,$T146)))</f>
      </c>
      <c r="S146" s="7" t="n"/>
      <c r="T146" s="7">
        <f>IF(ROW()-5&gt;$U$1203,"",MATCH(ROW()-5,$U$4:$U$1203,0))</f>
      </c>
      <c r="U146">
        <f>N(U145)+IF(AND($B$2&lt;&gt;"",对接源_01水果!$AH146=$B$2,对接源_01水果!$B146&gt;=$U$1,对接源_01水果!$B146&lt;=$U$2),1,0)</f>
        <v>0</v>
      </c>
    </row>
    <row r="147" ht="15.75" customHeight="1" s="127">
      <c r="A147" s="191">
        <f>IF($T147="","",IF(INDEX(对接源_01水果!$B$4:$B$1203,$T147)=0,"",INDEX(对接源_01水果!$B$4:$B$1203,$T147)))</f>
      </c>
      <c r="B147" s="84">
        <f>IF($T147="","",IF(INDEX(对接源_01水果!$E$4:$E$1203,$T147)=0,"",INDEX(对接源_01水果!$E$4:$E$1203,$T147)))</f>
      </c>
      <c r="C147" s="84">
        <f>IF($T147="","",IF(INDEX(对接源_01水果!$AC$4:$AC$1203,$T147)=0,"",INDEX(对接源_01水果!$AC$4:$AC$1203,$T147)))</f>
      </c>
      <c r="D147" s="84">
        <f>IF($T147="","",IF(INDEX(对接源_01水果!$F$4:$F$1203,$T147)=0,"",INDEX(对接源_01水果!$F$4:$F$1203,$T147)))</f>
      </c>
      <c r="E147" s="84">
        <f>IF($T147="","",IF(INDEX(对接源_01水果!$G$4:$G$1203,$T147)=0,"",INDEX(对接源_01水果!$G$4:$G$1203,$T147)))</f>
      </c>
      <c r="F147" s="84">
        <f>IF($T147="","",IF(INDEX(对接源_01水果!$H$4:$H$1203,$T147)=0,"",INDEX(对接源_01水果!$H$4:$H$1203,$T147)))</f>
      </c>
      <c r="G147" s="84">
        <f>IF($T147="","",IF(INDEX(对接源_01水果!$I$4:$I$1203,$T147)=0,"",INDEX(对接源_01水果!$I$4:$I$1203,$T147)))</f>
      </c>
      <c r="H147" s="86">
        <f>IF($T147="","",IF(INDEX(对接源_01水果!$AD$4:$AD$1203,$T147)=0,"",INDEX(对接源_01水果!$AD$4:$AD$1203,$T147)))</f>
      </c>
      <c r="I147" s="86">
        <f>IF($T147="","",IF(INDEX(对接源_01水果!$AI$4:$AI$1203,$T147)=0,"",INDEX(对接源_01水果!$AI$4:$AI$1203,$T147)))</f>
      </c>
      <c r="J147" s="86">
        <f>IF($T147="","",IF(INDEX(对接源_01水果!$AE$4:$AE$1203,$T147)=0,"",INDEX(对接源_01水果!$AE$4:$AE$1203,$T147)))</f>
      </c>
      <c r="K147" s="86">
        <f>IF($T147="","",IF(INDEX(对接源_01水果!$AF$4:$AF$1203,$T147)=0,"",INDEX(对接源_01水果!$AF$4:$AF$1203,$T147)))</f>
      </c>
      <c r="L147" s="86">
        <f>IF($T147="","",IF(INDEX(对接源_01水果!$K$4:$K$1203,$T147)=0,"",INDEX(对接源_01水果!$K$4:$K$1203,$T147)))</f>
      </c>
      <c r="M147" s="84">
        <f>IF($T147="","",IF(INDEX(对接源_01水果!$L$4:$L$1203,$T147)=0,"",INDEX(对接源_01水果!$L$4:$L$1203,$T147)))</f>
      </c>
      <c r="N147" s="87">
        <f>IF($T147="","",IF(INDEX(对接源_01水果!$M$4:$M$1203,$T147)=0,"",INDEX(对接源_01水果!$M$4:$M$1203,$T147)))</f>
      </c>
      <c r="S147" s="7" t="n"/>
      <c r="T147" s="7">
        <f>IF(ROW()-5&gt;$U$1203,"",MATCH(ROW()-5,$U$4:$U$1203,0))</f>
      </c>
      <c r="U147">
        <f>N(U146)+IF(AND($B$2&lt;&gt;"",对接源_01水果!$AH147=$B$2,对接源_01水果!$B147&gt;=$U$1,对接源_01水果!$B147&lt;=$U$2),1,0)</f>
        <v>0</v>
      </c>
    </row>
    <row r="148" ht="15.75" customHeight="1" s="127">
      <c r="A148" s="191">
        <f>IF($T148="","",IF(INDEX(对接源_01水果!$B$4:$B$1203,$T148)=0,"",INDEX(对接源_01水果!$B$4:$B$1203,$T148)))</f>
      </c>
      <c r="B148" s="84">
        <f>IF($T148="","",IF(INDEX(对接源_01水果!$E$4:$E$1203,$T148)=0,"",INDEX(对接源_01水果!$E$4:$E$1203,$T148)))</f>
      </c>
      <c r="C148" s="84">
        <f>IF($T148="","",IF(INDEX(对接源_01水果!$AC$4:$AC$1203,$T148)=0,"",INDEX(对接源_01水果!$AC$4:$AC$1203,$T148)))</f>
      </c>
      <c r="D148" s="84">
        <f>IF($T148="","",IF(INDEX(对接源_01水果!$F$4:$F$1203,$T148)=0,"",INDEX(对接源_01水果!$F$4:$F$1203,$T148)))</f>
      </c>
      <c r="E148" s="84">
        <f>IF($T148="","",IF(INDEX(对接源_01水果!$G$4:$G$1203,$T148)=0,"",INDEX(对接源_01水果!$G$4:$G$1203,$T148)))</f>
      </c>
      <c r="F148" s="84">
        <f>IF($T148="","",IF(INDEX(对接源_01水果!$H$4:$H$1203,$T148)=0,"",INDEX(对接源_01水果!$H$4:$H$1203,$T148)))</f>
      </c>
      <c r="G148" s="84">
        <f>IF($T148="","",IF(INDEX(对接源_01水果!$I$4:$I$1203,$T148)=0,"",INDEX(对接源_01水果!$I$4:$I$1203,$T148)))</f>
      </c>
      <c r="H148" s="86">
        <f>IF($T148="","",IF(INDEX(对接源_01水果!$AD$4:$AD$1203,$T148)=0,"",INDEX(对接源_01水果!$AD$4:$AD$1203,$T148)))</f>
      </c>
      <c r="I148" s="86">
        <f>IF($T148="","",IF(INDEX(对接源_01水果!$AI$4:$AI$1203,$T148)=0,"",INDEX(对接源_01水果!$AI$4:$AI$1203,$T148)))</f>
      </c>
      <c r="J148" s="86">
        <f>IF($T148="","",IF(INDEX(对接源_01水果!$AE$4:$AE$1203,$T148)=0,"",INDEX(对接源_01水果!$AE$4:$AE$1203,$T148)))</f>
      </c>
      <c r="K148" s="86">
        <f>IF($T148="","",IF(INDEX(对接源_01水果!$AF$4:$AF$1203,$T148)=0,"",INDEX(对接源_01水果!$AF$4:$AF$1203,$T148)))</f>
      </c>
      <c r="L148" s="86">
        <f>IF($T148="","",IF(INDEX(对接源_01水果!$K$4:$K$1203,$T148)=0,"",INDEX(对接源_01水果!$K$4:$K$1203,$T148)))</f>
      </c>
      <c r="M148" s="84">
        <f>IF($T148="","",IF(INDEX(对接源_01水果!$L$4:$L$1203,$T148)=0,"",INDEX(对接源_01水果!$L$4:$L$1203,$T148)))</f>
      </c>
      <c r="N148" s="87">
        <f>IF($T148="","",IF(INDEX(对接源_01水果!$M$4:$M$1203,$T148)=0,"",INDEX(对接源_01水果!$M$4:$M$1203,$T148)))</f>
      </c>
      <c r="S148" s="7" t="n"/>
      <c r="T148" s="7">
        <f>IF(ROW()-5&gt;$U$1203,"",MATCH(ROW()-5,$U$4:$U$1203,0))</f>
      </c>
      <c r="U148">
        <f>N(U147)+IF(AND($B$2&lt;&gt;"",对接源_01水果!$AH148=$B$2,对接源_01水果!$B148&gt;=$U$1,对接源_01水果!$B148&lt;=$U$2),1,0)</f>
        <v>0</v>
      </c>
    </row>
    <row r="149" ht="15.75" customHeight="1" s="127">
      <c r="A149" s="191">
        <f>IF($T149="","",IF(INDEX(对接源_01水果!$B$4:$B$1203,$T149)=0,"",INDEX(对接源_01水果!$B$4:$B$1203,$T149)))</f>
      </c>
      <c r="B149" s="84">
        <f>IF($T149="","",IF(INDEX(对接源_01水果!$E$4:$E$1203,$T149)=0,"",INDEX(对接源_01水果!$E$4:$E$1203,$T149)))</f>
      </c>
      <c r="C149" s="84">
        <f>IF($T149="","",IF(INDEX(对接源_01水果!$AC$4:$AC$1203,$T149)=0,"",INDEX(对接源_01水果!$AC$4:$AC$1203,$T149)))</f>
      </c>
      <c r="D149" s="84">
        <f>IF($T149="","",IF(INDEX(对接源_01水果!$F$4:$F$1203,$T149)=0,"",INDEX(对接源_01水果!$F$4:$F$1203,$T149)))</f>
      </c>
      <c r="E149" s="84">
        <f>IF($T149="","",IF(INDEX(对接源_01水果!$G$4:$G$1203,$T149)=0,"",INDEX(对接源_01水果!$G$4:$G$1203,$T149)))</f>
      </c>
      <c r="F149" s="84">
        <f>IF($T149="","",IF(INDEX(对接源_01水果!$H$4:$H$1203,$T149)=0,"",INDEX(对接源_01水果!$H$4:$H$1203,$T149)))</f>
      </c>
      <c r="G149" s="84">
        <f>IF($T149="","",IF(INDEX(对接源_01水果!$I$4:$I$1203,$T149)=0,"",INDEX(对接源_01水果!$I$4:$I$1203,$T149)))</f>
      </c>
      <c r="H149" s="86">
        <f>IF($T149="","",IF(INDEX(对接源_01水果!$AD$4:$AD$1203,$T149)=0,"",INDEX(对接源_01水果!$AD$4:$AD$1203,$T149)))</f>
      </c>
      <c r="I149" s="86">
        <f>IF($T149="","",IF(INDEX(对接源_01水果!$AI$4:$AI$1203,$T149)=0,"",INDEX(对接源_01水果!$AI$4:$AI$1203,$T149)))</f>
      </c>
      <c r="J149" s="86">
        <f>IF($T149="","",IF(INDEX(对接源_01水果!$AE$4:$AE$1203,$T149)=0,"",INDEX(对接源_01水果!$AE$4:$AE$1203,$T149)))</f>
      </c>
      <c r="K149" s="86">
        <f>IF($T149="","",IF(INDEX(对接源_01水果!$AF$4:$AF$1203,$T149)=0,"",INDEX(对接源_01水果!$AF$4:$AF$1203,$T149)))</f>
      </c>
      <c r="L149" s="86">
        <f>IF($T149="","",IF(INDEX(对接源_01水果!$K$4:$K$1203,$T149)=0,"",INDEX(对接源_01水果!$K$4:$K$1203,$T149)))</f>
      </c>
      <c r="M149" s="84">
        <f>IF($T149="","",IF(INDEX(对接源_01水果!$L$4:$L$1203,$T149)=0,"",INDEX(对接源_01水果!$L$4:$L$1203,$T149)))</f>
      </c>
      <c r="N149" s="87">
        <f>IF($T149="","",IF(INDEX(对接源_01水果!$M$4:$M$1203,$T149)=0,"",INDEX(对接源_01水果!$M$4:$M$1203,$T149)))</f>
      </c>
      <c r="S149" s="7" t="n"/>
      <c r="T149" s="7">
        <f>IF(ROW()-5&gt;$U$1203,"",MATCH(ROW()-5,$U$4:$U$1203,0))</f>
      </c>
      <c r="U149">
        <f>N(U148)+IF(AND($B$2&lt;&gt;"",对接源_01水果!$AH149=$B$2,对接源_01水果!$B149&gt;=$U$1,对接源_01水果!$B149&lt;=$U$2),1,0)</f>
        <v>0</v>
      </c>
    </row>
    <row r="150" ht="15.75" customHeight="1" s="127">
      <c r="A150" s="191">
        <f>IF($T150="","",IF(INDEX(对接源_01水果!$B$4:$B$1203,$T150)=0,"",INDEX(对接源_01水果!$B$4:$B$1203,$T150)))</f>
      </c>
      <c r="B150" s="84">
        <f>IF($T150="","",IF(INDEX(对接源_01水果!$E$4:$E$1203,$T150)=0,"",INDEX(对接源_01水果!$E$4:$E$1203,$T150)))</f>
      </c>
      <c r="C150" s="84">
        <f>IF($T150="","",IF(INDEX(对接源_01水果!$AC$4:$AC$1203,$T150)=0,"",INDEX(对接源_01水果!$AC$4:$AC$1203,$T150)))</f>
      </c>
      <c r="D150" s="84">
        <f>IF($T150="","",IF(INDEX(对接源_01水果!$F$4:$F$1203,$T150)=0,"",INDEX(对接源_01水果!$F$4:$F$1203,$T150)))</f>
      </c>
      <c r="E150" s="84">
        <f>IF($T150="","",IF(INDEX(对接源_01水果!$G$4:$G$1203,$T150)=0,"",INDEX(对接源_01水果!$G$4:$G$1203,$T150)))</f>
      </c>
      <c r="F150" s="84">
        <f>IF($T150="","",IF(INDEX(对接源_01水果!$H$4:$H$1203,$T150)=0,"",INDEX(对接源_01水果!$H$4:$H$1203,$T150)))</f>
      </c>
      <c r="G150" s="84">
        <f>IF($T150="","",IF(INDEX(对接源_01水果!$I$4:$I$1203,$T150)=0,"",INDEX(对接源_01水果!$I$4:$I$1203,$T150)))</f>
      </c>
      <c r="H150" s="86">
        <f>IF($T150="","",IF(INDEX(对接源_01水果!$AD$4:$AD$1203,$T150)=0,"",INDEX(对接源_01水果!$AD$4:$AD$1203,$T150)))</f>
      </c>
      <c r="I150" s="86">
        <f>IF($T150="","",IF(INDEX(对接源_01水果!$AI$4:$AI$1203,$T150)=0,"",INDEX(对接源_01水果!$AI$4:$AI$1203,$T150)))</f>
      </c>
      <c r="J150" s="86">
        <f>IF($T150="","",IF(INDEX(对接源_01水果!$AE$4:$AE$1203,$T150)=0,"",INDEX(对接源_01水果!$AE$4:$AE$1203,$T150)))</f>
      </c>
      <c r="K150" s="86">
        <f>IF($T150="","",IF(INDEX(对接源_01水果!$AF$4:$AF$1203,$T150)=0,"",INDEX(对接源_01水果!$AF$4:$AF$1203,$T150)))</f>
      </c>
      <c r="L150" s="86">
        <f>IF($T150="","",IF(INDEX(对接源_01水果!$K$4:$K$1203,$T150)=0,"",INDEX(对接源_01水果!$K$4:$K$1203,$T150)))</f>
      </c>
      <c r="M150" s="84">
        <f>IF($T150="","",IF(INDEX(对接源_01水果!$L$4:$L$1203,$T150)=0,"",INDEX(对接源_01水果!$L$4:$L$1203,$T150)))</f>
      </c>
      <c r="N150" s="87">
        <f>IF($T150="","",IF(INDEX(对接源_01水果!$M$4:$M$1203,$T150)=0,"",INDEX(对接源_01水果!$M$4:$M$1203,$T150)))</f>
      </c>
      <c r="S150" s="7" t="n"/>
      <c r="T150" s="7">
        <f>IF(ROW()-5&gt;$U$1203,"",MATCH(ROW()-5,$U$4:$U$1203,0))</f>
      </c>
      <c r="U150">
        <f>N(U149)+IF(AND($B$2&lt;&gt;"",对接源_01水果!$AH150=$B$2,对接源_01水果!$B150&gt;=$U$1,对接源_01水果!$B150&lt;=$U$2),1,0)</f>
        <v>0</v>
      </c>
    </row>
    <row r="151" ht="15.75" customHeight="1" s="127">
      <c r="A151" s="191">
        <f>IF($T151="","",IF(INDEX(对接源_01水果!$B$4:$B$1203,$T151)=0,"",INDEX(对接源_01水果!$B$4:$B$1203,$T151)))</f>
      </c>
      <c r="B151" s="84">
        <f>IF($T151="","",IF(INDEX(对接源_01水果!$E$4:$E$1203,$T151)=0,"",INDEX(对接源_01水果!$E$4:$E$1203,$T151)))</f>
      </c>
      <c r="C151" s="84">
        <f>IF($T151="","",IF(INDEX(对接源_01水果!$AC$4:$AC$1203,$T151)=0,"",INDEX(对接源_01水果!$AC$4:$AC$1203,$T151)))</f>
      </c>
      <c r="D151" s="84">
        <f>IF($T151="","",IF(INDEX(对接源_01水果!$F$4:$F$1203,$T151)=0,"",INDEX(对接源_01水果!$F$4:$F$1203,$T151)))</f>
      </c>
      <c r="E151" s="84">
        <f>IF($T151="","",IF(INDEX(对接源_01水果!$G$4:$G$1203,$T151)=0,"",INDEX(对接源_01水果!$G$4:$G$1203,$T151)))</f>
      </c>
      <c r="F151" s="84">
        <f>IF($T151="","",IF(INDEX(对接源_01水果!$H$4:$H$1203,$T151)=0,"",INDEX(对接源_01水果!$H$4:$H$1203,$T151)))</f>
      </c>
      <c r="G151" s="84">
        <f>IF($T151="","",IF(INDEX(对接源_01水果!$I$4:$I$1203,$T151)=0,"",INDEX(对接源_01水果!$I$4:$I$1203,$T151)))</f>
      </c>
      <c r="H151" s="86">
        <f>IF($T151="","",IF(INDEX(对接源_01水果!$AD$4:$AD$1203,$T151)=0,"",INDEX(对接源_01水果!$AD$4:$AD$1203,$T151)))</f>
      </c>
      <c r="I151" s="86">
        <f>IF($T151="","",IF(INDEX(对接源_01水果!$AI$4:$AI$1203,$T151)=0,"",INDEX(对接源_01水果!$AI$4:$AI$1203,$T151)))</f>
      </c>
      <c r="J151" s="86">
        <f>IF($T151="","",IF(INDEX(对接源_01水果!$AE$4:$AE$1203,$T151)=0,"",INDEX(对接源_01水果!$AE$4:$AE$1203,$T151)))</f>
      </c>
      <c r="K151" s="86">
        <f>IF($T151="","",IF(INDEX(对接源_01水果!$AF$4:$AF$1203,$T151)=0,"",INDEX(对接源_01水果!$AF$4:$AF$1203,$T151)))</f>
      </c>
      <c r="L151" s="86">
        <f>IF($T151="","",IF(INDEX(对接源_01水果!$K$4:$K$1203,$T151)=0,"",INDEX(对接源_01水果!$K$4:$K$1203,$T151)))</f>
      </c>
      <c r="M151" s="84">
        <f>IF($T151="","",IF(INDEX(对接源_01水果!$L$4:$L$1203,$T151)=0,"",INDEX(对接源_01水果!$L$4:$L$1203,$T151)))</f>
      </c>
      <c r="N151" s="87">
        <f>IF($T151="","",IF(INDEX(对接源_01水果!$M$4:$M$1203,$T151)=0,"",INDEX(对接源_01水果!$M$4:$M$1203,$T151)))</f>
      </c>
      <c r="S151" s="7" t="n"/>
      <c r="T151" s="7">
        <f>IF(ROW()-5&gt;$U$1203,"",MATCH(ROW()-5,$U$4:$U$1203,0))</f>
      </c>
      <c r="U151">
        <f>N(U150)+IF(AND($B$2&lt;&gt;"",对接源_01水果!$AH151=$B$2,对接源_01水果!$B151&gt;=$U$1,对接源_01水果!$B151&lt;=$U$2),1,0)</f>
        <v>0</v>
      </c>
    </row>
    <row r="152" ht="15.75" customHeight="1" s="127">
      <c r="A152" s="191">
        <f>IF($T152="","",IF(INDEX(对接源_01水果!$B$4:$B$1203,$T152)=0,"",INDEX(对接源_01水果!$B$4:$B$1203,$T152)))</f>
      </c>
      <c r="B152" s="84">
        <f>IF($T152="","",IF(INDEX(对接源_01水果!$E$4:$E$1203,$T152)=0,"",INDEX(对接源_01水果!$E$4:$E$1203,$T152)))</f>
      </c>
      <c r="C152" s="84">
        <f>IF($T152="","",IF(INDEX(对接源_01水果!$AC$4:$AC$1203,$T152)=0,"",INDEX(对接源_01水果!$AC$4:$AC$1203,$T152)))</f>
      </c>
      <c r="D152" s="84">
        <f>IF($T152="","",IF(INDEX(对接源_01水果!$F$4:$F$1203,$T152)=0,"",INDEX(对接源_01水果!$F$4:$F$1203,$T152)))</f>
      </c>
      <c r="E152" s="84">
        <f>IF($T152="","",IF(INDEX(对接源_01水果!$G$4:$G$1203,$T152)=0,"",INDEX(对接源_01水果!$G$4:$G$1203,$T152)))</f>
      </c>
      <c r="F152" s="84">
        <f>IF($T152="","",IF(INDEX(对接源_01水果!$H$4:$H$1203,$T152)=0,"",INDEX(对接源_01水果!$H$4:$H$1203,$T152)))</f>
      </c>
      <c r="G152" s="84">
        <f>IF($T152="","",IF(INDEX(对接源_01水果!$I$4:$I$1203,$T152)=0,"",INDEX(对接源_01水果!$I$4:$I$1203,$T152)))</f>
      </c>
      <c r="H152" s="86">
        <f>IF($T152="","",IF(INDEX(对接源_01水果!$AD$4:$AD$1203,$T152)=0,"",INDEX(对接源_01水果!$AD$4:$AD$1203,$T152)))</f>
      </c>
      <c r="I152" s="86">
        <f>IF($T152="","",IF(INDEX(对接源_01水果!$AI$4:$AI$1203,$T152)=0,"",INDEX(对接源_01水果!$AI$4:$AI$1203,$T152)))</f>
      </c>
      <c r="J152" s="86">
        <f>IF($T152="","",IF(INDEX(对接源_01水果!$AE$4:$AE$1203,$T152)=0,"",INDEX(对接源_01水果!$AE$4:$AE$1203,$T152)))</f>
      </c>
      <c r="K152" s="86">
        <f>IF($T152="","",IF(INDEX(对接源_01水果!$AF$4:$AF$1203,$T152)=0,"",INDEX(对接源_01水果!$AF$4:$AF$1203,$T152)))</f>
      </c>
      <c r="L152" s="86">
        <f>IF($T152="","",IF(INDEX(对接源_01水果!$K$4:$K$1203,$T152)=0,"",INDEX(对接源_01水果!$K$4:$K$1203,$T152)))</f>
      </c>
      <c r="M152" s="84">
        <f>IF($T152="","",IF(INDEX(对接源_01水果!$L$4:$L$1203,$T152)=0,"",INDEX(对接源_01水果!$L$4:$L$1203,$T152)))</f>
      </c>
      <c r="N152" s="87">
        <f>IF($T152="","",IF(INDEX(对接源_01水果!$M$4:$M$1203,$T152)=0,"",INDEX(对接源_01水果!$M$4:$M$1203,$T152)))</f>
      </c>
      <c r="S152" s="7" t="n"/>
      <c r="T152" s="7">
        <f>IF(ROW()-5&gt;$U$1203,"",MATCH(ROW()-5,$U$4:$U$1203,0))</f>
      </c>
      <c r="U152">
        <f>N(U151)+IF(AND($B$2&lt;&gt;"",对接源_01水果!$AH152=$B$2,对接源_01水果!$B152&gt;=$U$1,对接源_01水果!$B152&lt;=$U$2),1,0)</f>
        <v>0</v>
      </c>
    </row>
    <row r="153" ht="15.75" customHeight="1" s="127">
      <c r="A153" s="191">
        <f>IF($T153="","",IF(INDEX(对接源_01水果!$B$4:$B$1203,$T153)=0,"",INDEX(对接源_01水果!$B$4:$B$1203,$T153)))</f>
      </c>
      <c r="B153" s="84">
        <f>IF($T153="","",IF(INDEX(对接源_01水果!$E$4:$E$1203,$T153)=0,"",INDEX(对接源_01水果!$E$4:$E$1203,$T153)))</f>
      </c>
      <c r="C153" s="84">
        <f>IF($T153="","",IF(INDEX(对接源_01水果!$AC$4:$AC$1203,$T153)=0,"",INDEX(对接源_01水果!$AC$4:$AC$1203,$T153)))</f>
      </c>
      <c r="D153" s="84">
        <f>IF($T153="","",IF(INDEX(对接源_01水果!$F$4:$F$1203,$T153)=0,"",INDEX(对接源_01水果!$F$4:$F$1203,$T153)))</f>
      </c>
      <c r="E153" s="84">
        <f>IF($T153="","",IF(INDEX(对接源_01水果!$G$4:$G$1203,$T153)=0,"",INDEX(对接源_01水果!$G$4:$G$1203,$T153)))</f>
      </c>
      <c r="F153" s="84">
        <f>IF($T153="","",IF(INDEX(对接源_01水果!$H$4:$H$1203,$T153)=0,"",INDEX(对接源_01水果!$H$4:$H$1203,$T153)))</f>
      </c>
      <c r="G153" s="84">
        <f>IF($T153="","",IF(INDEX(对接源_01水果!$I$4:$I$1203,$T153)=0,"",INDEX(对接源_01水果!$I$4:$I$1203,$T153)))</f>
      </c>
      <c r="H153" s="86">
        <f>IF($T153="","",IF(INDEX(对接源_01水果!$AD$4:$AD$1203,$T153)=0,"",INDEX(对接源_01水果!$AD$4:$AD$1203,$T153)))</f>
      </c>
      <c r="I153" s="86">
        <f>IF($T153="","",IF(INDEX(对接源_01水果!$AI$4:$AI$1203,$T153)=0,"",INDEX(对接源_01水果!$AI$4:$AI$1203,$T153)))</f>
      </c>
      <c r="J153" s="86">
        <f>IF($T153="","",IF(INDEX(对接源_01水果!$AE$4:$AE$1203,$T153)=0,"",INDEX(对接源_01水果!$AE$4:$AE$1203,$T153)))</f>
      </c>
      <c r="K153" s="86">
        <f>IF($T153="","",IF(INDEX(对接源_01水果!$AF$4:$AF$1203,$T153)=0,"",INDEX(对接源_01水果!$AF$4:$AF$1203,$T153)))</f>
      </c>
      <c r="L153" s="86">
        <f>IF($T153="","",IF(INDEX(对接源_01水果!$K$4:$K$1203,$T153)=0,"",INDEX(对接源_01水果!$K$4:$K$1203,$T153)))</f>
      </c>
      <c r="M153" s="84">
        <f>IF($T153="","",IF(INDEX(对接源_01水果!$L$4:$L$1203,$T153)=0,"",INDEX(对接源_01水果!$L$4:$L$1203,$T153)))</f>
      </c>
      <c r="N153" s="87">
        <f>IF($T153="","",IF(INDEX(对接源_01水果!$M$4:$M$1203,$T153)=0,"",INDEX(对接源_01水果!$M$4:$M$1203,$T153)))</f>
      </c>
      <c r="S153" s="7" t="n"/>
      <c r="T153" s="7">
        <f>IF(ROW()-5&gt;$U$1203,"",MATCH(ROW()-5,$U$4:$U$1203,0))</f>
      </c>
      <c r="U153">
        <f>N(U152)+IF(AND($B$2&lt;&gt;"",对接源_01水果!$AH153=$B$2,对接源_01水果!$B153&gt;=$U$1,对接源_01水果!$B153&lt;=$U$2),1,0)</f>
        <v>0</v>
      </c>
    </row>
    <row r="154" ht="15.75" customHeight="1" s="127">
      <c r="A154" s="191">
        <f>IF($T154="","",IF(INDEX(对接源_01水果!$B$4:$B$1203,$T154)=0,"",INDEX(对接源_01水果!$B$4:$B$1203,$T154)))</f>
      </c>
      <c r="B154" s="84">
        <f>IF($T154="","",IF(INDEX(对接源_01水果!$E$4:$E$1203,$T154)=0,"",INDEX(对接源_01水果!$E$4:$E$1203,$T154)))</f>
      </c>
      <c r="C154" s="84">
        <f>IF($T154="","",IF(INDEX(对接源_01水果!$AC$4:$AC$1203,$T154)=0,"",INDEX(对接源_01水果!$AC$4:$AC$1203,$T154)))</f>
      </c>
      <c r="D154" s="84">
        <f>IF($T154="","",IF(INDEX(对接源_01水果!$F$4:$F$1203,$T154)=0,"",INDEX(对接源_01水果!$F$4:$F$1203,$T154)))</f>
      </c>
      <c r="E154" s="84">
        <f>IF($T154="","",IF(INDEX(对接源_01水果!$G$4:$G$1203,$T154)=0,"",INDEX(对接源_01水果!$G$4:$G$1203,$T154)))</f>
      </c>
      <c r="F154" s="84">
        <f>IF($T154="","",IF(INDEX(对接源_01水果!$H$4:$H$1203,$T154)=0,"",INDEX(对接源_01水果!$H$4:$H$1203,$T154)))</f>
      </c>
      <c r="G154" s="84">
        <f>IF($T154="","",IF(INDEX(对接源_01水果!$I$4:$I$1203,$T154)=0,"",INDEX(对接源_01水果!$I$4:$I$1203,$T154)))</f>
      </c>
      <c r="H154" s="86">
        <f>IF($T154="","",IF(INDEX(对接源_01水果!$AD$4:$AD$1203,$T154)=0,"",INDEX(对接源_01水果!$AD$4:$AD$1203,$T154)))</f>
      </c>
      <c r="I154" s="86">
        <f>IF($T154="","",IF(INDEX(对接源_01水果!$AI$4:$AI$1203,$T154)=0,"",INDEX(对接源_01水果!$AI$4:$AI$1203,$T154)))</f>
      </c>
      <c r="J154" s="86">
        <f>IF($T154="","",IF(INDEX(对接源_01水果!$AE$4:$AE$1203,$T154)=0,"",INDEX(对接源_01水果!$AE$4:$AE$1203,$T154)))</f>
      </c>
      <c r="K154" s="86">
        <f>IF($T154="","",IF(INDEX(对接源_01水果!$AF$4:$AF$1203,$T154)=0,"",INDEX(对接源_01水果!$AF$4:$AF$1203,$T154)))</f>
      </c>
      <c r="L154" s="86">
        <f>IF($T154="","",IF(INDEX(对接源_01水果!$K$4:$K$1203,$T154)=0,"",INDEX(对接源_01水果!$K$4:$K$1203,$T154)))</f>
      </c>
      <c r="M154" s="84">
        <f>IF($T154="","",IF(INDEX(对接源_01水果!$L$4:$L$1203,$T154)=0,"",INDEX(对接源_01水果!$L$4:$L$1203,$T154)))</f>
      </c>
      <c r="N154" s="87">
        <f>IF($T154="","",IF(INDEX(对接源_01水果!$M$4:$M$1203,$T154)=0,"",INDEX(对接源_01水果!$M$4:$M$1203,$T154)))</f>
      </c>
      <c r="S154" s="7" t="n"/>
      <c r="T154" s="7">
        <f>IF(ROW()-5&gt;$U$1203,"",MATCH(ROW()-5,$U$4:$U$1203,0))</f>
      </c>
      <c r="U154">
        <f>N(U153)+IF(AND($B$2&lt;&gt;"",对接源_01水果!$AH154=$B$2,对接源_01水果!$B154&gt;=$U$1,对接源_01水果!$B154&lt;=$U$2),1,0)</f>
        <v>0</v>
      </c>
    </row>
    <row r="155" ht="15.75" customHeight="1" s="127">
      <c r="A155" s="191">
        <f>IF($T155="","",IF(INDEX(对接源_01水果!$B$4:$B$1203,$T155)=0,"",INDEX(对接源_01水果!$B$4:$B$1203,$T155)))</f>
      </c>
      <c r="B155" s="84">
        <f>IF($T155="","",IF(INDEX(对接源_01水果!$E$4:$E$1203,$T155)=0,"",INDEX(对接源_01水果!$E$4:$E$1203,$T155)))</f>
      </c>
      <c r="C155" s="84">
        <f>IF($T155="","",IF(INDEX(对接源_01水果!$AC$4:$AC$1203,$T155)=0,"",INDEX(对接源_01水果!$AC$4:$AC$1203,$T155)))</f>
      </c>
      <c r="D155" s="84">
        <f>IF($T155="","",IF(INDEX(对接源_01水果!$F$4:$F$1203,$T155)=0,"",INDEX(对接源_01水果!$F$4:$F$1203,$T155)))</f>
      </c>
      <c r="E155" s="84">
        <f>IF($T155="","",IF(INDEX(对接源_01水果!$G$4:$G$1203,$T155)=0,"",INDEX(对接源_01水果!$G$4:$G$1203,$T155)))</f>
      </c>
      <c r="F155" s="84">
        <f>IF($T155="","",IF(INDEX(对接源_01水果!$H$4:$H$1203,$T155)=0,"",INDEX(对接源_01水果!$H$4:$H$1203,$T155)))</f>
      </c>
      <c r="G155" s="84">
        <f>IF($T155="","",IF(INDEX(对接源_01水果!$I$4:$I$1203,$T155)=0,"",INDEX(对接源_01水果!$I$4:$I$1203,$T155)))</f>
      </c>
      <c r="H155" s="86">
        <f>IF($T155="","",IF(INDEX(对接源_01水果!$AD$4:$AD$1203,$T155)=0,"",INDEX(对接源_01水果!$AD$4:$AD$1203,$T155)))</f>
      </c>
      <c r="I155" s="86">
        <f>IF($T155="","",IF(INDEX(对接源_01水果!$AI$4:$AI$1203,$T155)=0,"",INDEX(对接源_01水果!$AI$4:$AI$1203,$T155)))</f>
      </c>
      <c r="J155" s="86">
        <f>IF($T155="","",IF(INDEX(对接源_01水果!$AE$4:$AE$1203,$T155)=0,"",INDEX(对接源_01水果!$AE$4:$AE$1203,$T155)))</f>
      </c>
      <c r="K155" s="86">
        <f>IF($T155="","",IF(INDEX(对接源_01水果!$AF$4:$AF$1203,$T155)=0,"",INDEX(对接源_01水果!$AF$4:$AF$1203,$T155)))</f>
      </c>
      <c r="L155" s="86">
        <f>IF($T155="","",IF(INDEX(对接源_01水果!$K$4:$K$1203,$T155)=0,"",INDEX(对接源_01水果!$K$4:$K$1203,$T155)))</f>
      </c>
      <c r="M155" s="84">
        <f>IF($T155="","",IF(INDEX(对接源_01水果!$L$4:$L$1203,$T155)=0,"",INDEX(对接源_01水果!$L$4:$L$1203,$T155)))</f>
      </c>
      <c r="N155" s="87">
        <f>IF($T155="","",IF(INDEX(对接源_01水果!$M$4:$M$1203,$T155)=0,"",INDEX(对接源_01水果!$M$4:$M$1203,$T155)))</f>
      </c>
      <c r="S155" s="7" t="n"/>
      <c r="T155" s="7">
        <f>IF(ROW()-5&gt;$U$1203,"",MATCH(ROW()-5,$U$4:$U$1203,0))</f>
      </c>
      <c r="U155">
        <f>N(U154)+IF(AND($B$2&lt;&gt;"",对接源_01水果!$AH155=$B$2,对接源_01水果!$B155&gt;=$U$1,对接源_01水果!$B155&lt;=$U$2),1,0)</f>
        <v>0</v>
      </c>
    </row>
    <row r="156" ht="15.75" customHeight="1" s="127">
      <c r="A156" s="191">
        <f>IF($T156="","",IF(INDEX(对接源_01水果!$B$4:$B$1203,$T156)=0,"",INDEX(对接源_01水果!$B$4:$B$1203,$T156)))</f>
      </c>
      <c r="B156" s="84">
        <f>IF($T156="","",IF(INDEX(对接源_01水果!$E$4:$E$1203,$T156)=0,"",INDEX(对接源_01水果!$E$4:$E$1203,$T156)))</f>
      </c>
      <c r="C156" s="84">
        <f>IF($T156="","",IF(INDEX(对接源_01水果!$AC$4:$AC$1203,$T156)=0,"",INDEX(对接源_01水果!$AC$4:$AC$1203,$T156)))</f>
      </c>
      <c r="D156" s="84">
        <f>IF($T156="","",IF(INDEX(对接源_01水果!$F$4:$F$1203,$T156)=0,"",INDEX(对接源_01水果!$F$4:$F$1203,$T156)))</f>
      </c>
      <c r="E156" s="84">
        <f>IF($T156="","",IF(INDEX(对接源_01水果!$G$4:$G$1203,$T156)=0,"",INDEX(对接源_01水果!$G$4:$G$1203,$T156)))</f>
      </c>
      <c r="F156" s="84">
        <f>IF($T156="","",IF(INDEX(对接源_01水果!$H$4:$H$1203,$T156)=0,"",INDEX(对接源_01水果!$H$4:$H$1203,$T156)))</f>
      </c>
      <c r="G156" s="84">
        <f>IF($T156="","",IF(INDEX(对接源_01水果!$I$4:$I$1203,$T156)=0,"",INDEX(对接源_01水果!$I$4:$I$1203,$T156)))</f>
      </c>
      <c r="H156" s="86">
        <f>IF($T156="","",IF(INDEX(对接源_01水果!$AD$4:$AD$1203,$T156)=0,"",INDEX(对接源_01水果!$AD$4:$AD$1203,$T156)))</f>
      </c>
      <c r="I156" s="86">
        <f>IF($T156="","",IF(INDEX(对接源_01水果!$AI$4:$AI$1203,$T156)=0,"",INDEX(对接源_01水果!$AI$4:$AI$1203,$T156)))</f>
      </c>
      <c r="J156" s="86">
        <f>IF($T156="","",IF(INDEX(对接源_01水果!$AE$4:$AE$1203,$T156)=0,"",INDEX(对接源_01水果!$AE$4:$AE$1203,$T156)))</f>
      </c>
      <c r="K156" s="86">
        <f>IF($T156="","",IF(INDEX(对接源_01水果!$AF$4:$AF$1203,$T156)=0,"",INDEX(对接源_01水果!$AF$4:$AF$1203,$T156)))</f>
      </c>
      <c r="L156" s="86">
        <f>IF($T156="","",IF(INDEX(对接源_01水果!$K$4:$K$1203,$T156)=0,"",INDEX(对接源_01水果!$K$4:$K$1203,$T156)))</f>
      </c>
      <c r="M156" s="84">
        <f>IF($T156="","",IF(INDEX(对接源_01水果!$L$4:$L$1203,$T156)=0,"",INDEX(对接源_01水果!$L$4:$L$1203,$T156)))</f>
      </c>
      <c r="N156" s="87">
        <f>IF($T156="","",IF(INDEX(对接源_01水果!$M$4:$M$1203,$T156)=0,"",INDEX(对接源_01水果!$M$4:$M$1203,$T156)))</f>
      </c>
      <c r="S156" s="7" t="n"/>
      <c r="T156" s="7">
        <f>IF(ROW()-5&gt;$U$1203,"",MATCH(ROW()-5,$U$4:$U$1203,0))</f>
      </c>
      <c r="U156">
        <f>N(U155)+IF(AND($B$2&lt;&gt;"",对接源_01水果!$AH156=$B$2,对接源_01水果!$B156&gt;=$U$1,对接源_01水果!$B156&lt;=$U$2),1,0)</f>
        <v>0</v>
      </c>
    </row>
    <row r="157" ht="15.75" customHeight="1" s="127">
      <c r="A157" s="191">
        <f>IF($T157="","",IF(INDEX(对接源_01水果!$B$4:$B$1203,$T157)=0,"",INDEX(对接源_01水果!$B$4:$B$1203,$T157)))</f>
      </c>
      <c r="B157" s="84">
        <f>IF($T157="","",IF(INDEX(对接源_01水果!$E$4:$E$1203,$T157)=0,"",INDEX(对接源_01水果!$E$4:$E$1203,$T157)))</f>
      </c>
      <c r="C157" s="84">
        <f>IF($T157="","",IF(INDEX(对接源_01水果!$AC$4:$AC$1203,$T157)=0,"",INDEX(对接源_01水果!$AC$4:$AC$1203,$T157)))</f>
      </c>
      <c r="D157" s="84">
        <f>IF($T157="","",IF(INDEX(对接源_01水果!$F$4:$F$1203,$T157)=0,"",INDEX(对接源_01水果!$F$4:$F$1203,$T157)))</f>
      </c>
      <c r="E157" s="84">
        <f>IF($T157="","",IF(INDEX(对接源_01水果!$G$4:$G$1203,$T157)=0,"",INDEX(对接源_01水果!$G$4:$G$1203,$T157)))</f>
      </c>
      <c r="F157" s="84">
        <f>IF($T157="","",IF(INDEX(对接源_01水果!$H$4:$H$1203,$T157)=0,"",INDEX(对接源_01水果!$H$4:$H$1203,$T157)))</f>
      </c>
      <c r="G157" s="84">
        <f>IF($T157="","",IF(INDEX(对接源_01水果!$I$4:$I$1203,$T157)=0,"",INDEX(对接源_01水果!$I$4:$I$1203,$T157)))</f>
      </c>
      <c r="H157" s="86">
        <f>IF($T157="","",IF(INDEX(对接源_01水果!$AD$4:$AD$1203,$T157)=0,"",INDEX(对接源_01水果!$AD$4:$AD$1203,$T157)))</f>
      </c>
      <c r="I157" s="86">
        <f>IF($T157="","",IF(INDEX(对接源_01水果!$AI$4:$AI$1203,$T157)=0,"",INDEX(对接源_01水果!$AI$4:$AI$1203,$T157)))</f>
      </c>
      <c r="J157" s="86">
        <f>IF($T157="","",IF(INDEX(对接源_01水果!$AE$4:$AE$1203,$T157)=0,"",INDEX(对接源_01水果!$AE$4:$AE$1203,$T157)))</f>
      </c>
      <c r="K157" s="86">
        <f>IF($T157="","",IF(INDEX(对接源_01水果!$AF$4:$AF$1203,$T157)=0,"",INDEX(对接源_01水果!$AF$4:$AF$1203,$T157)))</f>
      </c>
      <c r="L157" s="86">
        <f>IF($T157="","",IF(INDEX(对接源_01水果!$K$4:$K$1203,$T157)=0,"",INDEX(对接源_01水果!$K$4:$K$1203,$T157)))</f>
      </c>
      <c r="M157" s="84">
        <f>IF($T157="","",IF(INDEX(对接源_01水果!$L$4:$L$1203,$T157)=0,"",INDEX(对接源_01水果!$L$4:$L$1203,$T157)))</f>
      </c>
      <c r="N157" s="87">
        <f>IF($T157="","",IF(INDEX(对接源_01水果!$M$4:$M$1203,$T157)=0,"",INDEX(对接源_01水果!$M$4:$M$1203,$T157)))</f>
      </c>
      <c r="S157" s="7" t="n"/>
      <c r="T157" s="7">
        <f>IF(ROW()-5&gt;$U$1203,"",MATCH(ROW()-5,$U$4:$U$1203,0))</f>
      </c>
      <c r="U157">
        <f>N(U156)+IF(AND($B$2&lt;&gt;"",对接源_01水果!$AH157=$B$2,对接源_01水果!$B157&gt;=$U$1,对接源_01水果!$B157&lt;=$U$2),1,0)</f>
        <v>0</v>
      </c>
    </row>
    <row r="158" ht="15.75" customHeight="1" s="127">
      <c r="A158" s="191">
        <f>IF($T158="","",IF(INDEX(对接源_01水果!$B$4:$B$1203,$T158)=0,"",INDEX(对接源_01水果!$B$4:$B$1203,$T158)))</f>
      </c>
      <c r="B158" s="84">
        <f>IF($T158="","",IF(INDEX(对接源_01水果!$E$4:$E$1203,$T158)=0,"",INDEX(对接源_01水果!$E$4:$E$1203,$T158)))</f>
      </c>
      <c r="C158" s="84">
        <f>IF($T158="","",IF(INDEX(对接源_01水果!$AC$4:$AC$1203,$T158)=0,"",INDEX(对接源_01水果!$AC$4:$AC$1203,$T158)))</f>
      </c>
      <c r="D158" s="84">
        <f>IF($T158="","",IF(INDEX(对接源_01水果!$F$4:$F$1203,$T158)=0,"",INDEX(对接源_01水果!$F$4:$F$1203,$T158)))</f>
      </c>
      <c r="E158" s="84">
        <f>IF($T158="","",IF(INDEX(对接源_01水果!$G$4:$G$1203,$T158)=0,"",INDEX(对接源_01水果!$G$4:$G$1203,$T158)))</f>
      </c>
      <c r="F158" s="84">
        <f>IF($T158="","",IF(INDEX(对接源_01水果!$H$4:$H$1203,$T158)=0,"",INDEX(对接源_01水果!$H$4:$H$1203,$T158)))</f>
      </c>
      <c r="G158" s="84">
        <f>IF($T158="","",IF(INDEX(对接源_01水果!$I$4:$I$1203,$T158)=0,"",INDEX(对接源_01水果!$I$4:$I$1203,$T158)))</f>
      </c>
      <c r="H158" s="86">
        <f>IF($T158="","",IF(INDEX(对接源_01水果!$AD$4:$AD$1203,$T158)=0,"",INDEX(对接源_01水果!$AD$4:$AD$1203,$T158)))</f>
      </c>
      <c r="I158" s="86">
        <f>IF($T158="","",IF(INDEX(对接源_01水果!$AI$4:$AI$1203,$T158)=0,"",INDEX(对接源_01水果!$AI$4:$AI$1203,$T158)))</f>
      </c>
      <c r="J158" s="86">
        <f>IF($T158="","",IF(INDEX(对接源_01水果!$AE$4:$AE$1203,$T158)=0,"",INDEX(对接源_01水果!$AE$4:$AE$1203,$T158)))</f>
      </c>
      <c r="K158" s="86">
        <f>IF($T158="","",IF(INDEX(对接源_01水果!$AF$4:$AF$1203,$T158)=0,"",INDEX(对接源_01水果!$AF$4:$AF$1203,$T158)))</f>
      </c>
      <c r="L158" s="86">
        <f>IF($T158="","",IF(INDEX(对接源_01水果!$K$4:$K$1203,$T158)=0,"",INDEX(对接源_01水果!$K$4:$K$1203,$T158)))</f>
      </c>
      <c r="M158" s="84">
        <f>IF($T158="","",IF(INDEX(对接源_01水果!$L$4:$L$1203,$T158)=0,"",INDEX(对接源_01水果!$L$4:$L$1203,$T158)))</f>
      </c>
      <c r="N158" s="87">
        <f>IF($T158="","",IF(INDEX(对接源_01水果!$M$4:$M$1203,$T158)=0,"",INDEX(对接源_01水果!$M$4:$M$1203,$T158)))</f>
      </c>
      <c r="S158" s="7" t="n"/>
      <c r="T158" s="7">
        <f>IF(ROW()-5&gt;$U$1203,"",MATCH(ROW()-5,$U$4:$U$1203,0))</f>
      </c>
      <c r="U158">
        <f>N(U157)+IF(AND($B$2&lt;&gt;"",对接源_01水果!$AH158=$B$2,对接源_01水果!$B158&gt;=$U$1,对接源_01水果!$B158&lt;=$U$2),1,0)</f>
        <v>0</v>
      </c>
    </row>
    <row r="159" ht="15.75" customHeight="1" s="127">
      <c r="A159" s="191">
        <f>IF($T159="","",IF(INDEX(对接源_01水果!$B$4:$B$1203,$T159)=0,"",INDEX(对接源_01水果!$B$4:$B$1203,$T159)))</f>
      </c>
      <c r="B159" s="84">
        <f>IF($T159="","",IF(INDEX(对接源_01水果!$E$4:$E$1203,$T159)=0,"",INDEX(对接源_01水果!$E$4:$E$1203,$T159)))</f>
      </c>
      <c r="C159" s="84">
        <f>IF($T159="","",IF(INDEX(对接源_01水果!$AC$4:$AC$1203,$T159)=0,"",INDEX(对接源_01水果!$AC$4:$AC$1203,$T159)))</f>
      </c>
      <c r="D159" s="84">
        <f>IF($T159="","",IF(INDEX(对接源_01水果!$F$4:$F$1203,$T159)=0,"",INDEX(对接源_01水果!$F$4:$F$1203,$T159)))</f>
      </c>
      <c r="E159" s="84">
        <f>IF($T159="","",IF(INDEX(对接源_01水果!$G$4:$G$1203,$T159)=0,"",INDEX(对接源_01水果!$G$4:$G$1203,$T159)))</f>
      </c>
      <c r="F159" s="84">
        <f>IF($T159="","",IF(INDEX(对接源_01水果!$H$4:$H$1203,$T159)=0,"",INDEX(对接源_01水果!$H$4:$H$1203,$T159)))</f>
      </c>
      <c r="G159" s="84">
        <f>IF($T159="","",IF(INDEX(对接源_01水果!$I$4:$I$1203,$T159)=0,"",INDEX(对接源_01水果!$I$4:$I$1203,$T159)))</f>
      </c>
      <c r="H159" s="86">
        <f>IF($T159="","",IF(INDEX(对接源_01水果!$AD$4:$AD$1203,$T159)=0,"",INDEX(对接源_01水果!$AD$4:$AD$1203,$T159)))</f>
      </c>
      <c r="I159" s="86">
        <f>IF($T159="","",IF(INDEX(对接源_01水果!$AI$4:$AI$1203,$T159)=0,"",INDEX(对接源_01水果!$AI$4:$AI$1203,$T159)))</f>
      </c>
      <c r="J159" s="86">
        <f>IF($T159="","",IF(INDEX(对接源_01水果!$AE$4:$AE$1203,$T159)=0,"",INDEX(对接源_01水果!$AE$4:$AE$1203,$T159)))</f>
      </c>
      <c r="K159" s="86">
        <f>IF($T159="","",IF(INDEX(对接源_01水果!$AF$4:$AF$1203,$T159)=0,"",INDEX(对接源_01水果!$AF$4:$AF$1203,$T159)))</f>
      </c>
      <c r="L159" s="86">
        <f>IF($T159="","",IF(INDEX(对接源_01水果!$K$4:$K$1203,$T159)=0,"",INDEX(对接源_01水果!$K$4:$K$1203,$T159)))</f>
      </c>
      <c r="M159" s="84">
        <f>IF($T159="","",IF(INDEX(对接源_01水果!$L$4:$L$1203,$T159)=0,"",INDEX(对接源_01水果!$L$4:$L$1203,$T159)))</f>
      </c>
      <c r="N159" s="87">
        <f>IF($T159="","",IF(INDEX(对接源_01水果!$M$4:$M$1203,$T159)=0,"",INDEX(对接源_01水果!$M$4:$M$1203,$T159)))</f>
      </c>
      <c r="S159" s="7" t="n"/>
      <c r="T159" s="7">
        <f>IF(ROW()-5&gt;$U$1203,"",MATCH(ROW()-5,$U$4:$U$1203,0))</f>
      </c>
      <c r="U159">
        <f>N(U158)+IF(AND($B$2&lt;&gt;"",对接源_01水果!$AH159=$B$2,对接源_01水果!$B159&gt;=$U$1,对接源_01水果!$B159&lt;=$U$2),1,0)</f>
        <v>0</v>
      </c>
    </row>
    <row r="160" ht="15.75" customHeight="1" s="127">
      <c r="A160" s="191">
        <f>IF($T160="","",IF(INDEX(对接源_01水果!$B$4:$B$1203,$T160)=0,"",INDEX(对接源_01水果!$B$4:$B$1203,$T160)))</f>
      </c>
      <c r="B160" s="84">
        <f>IF($T160="","",IF(INDEX(对接源_01水果!$E$4:$E$1203,$T160)=0,"",INDEX(对接源_01水果!$E$4:$E$1203,$T160)))</f>
      </c>
      <c r="C160" s="84">
        <f>IF($T160="","",IF(INDEX(对接源_01水果!$AC$4:$AC$1203,$T160)=0,"",INDEX(对接源_01水果!$AC$4:$AC$1203,$T160)))</f>
      </c>
      <c r="D160" s="84">
        <f>IF($T160="","",IF(INDEX(对接源_01水果!$F$4:$F$1203,$T160)=0,"",INDEX(对接源_01水果!$F$4:$F$1203,$T160)))</f>
      </c>
      <c r="E160" s="84">
        <f>IF($T160="","",IF(INDEX(对接源_01水果!$G$4:$G$1203,$T160)=0,"",INDEX(对接源_01水果!$G$4:$G$1203,$T160)))</f>
      </c>
      <c r="F160" s="84">
        <f>IF($T160="","",IF(INDEX(对接源_01水果!$H$4:$H$1203,$T160)=0,"",INDEX(对接源_01水果!$H$4:$H$1203,$T160)))</f>
      </c>
      <c r="G160" s="84">
        <f>IF($T160="","",IF(INDEX(对接源_01水果!$I$4:$I$1203,$T160)=0,"",INDEX(对接源_01水果!$I$4:$I$1203,$T160)))</f>
      </c>
      <c r="H160" s="86">
        <f>IF($T160="","",IF(INDEX(对接源_01水果!$AD$4:$AD$1203,$T160)=0,"",INDEX(对接源_01水果!$AD$4:$AD$1203,$T160)))</f>
      </c>
      <c r="I160" s="86">
        <f>IF($T160="","",IF(INDEX(对接源_01水果!$AI$4:$AI$1203,$T160)=0,"",INDEX(对接源_01水果!$AI$4:$AI$1203,$T160)))</f>
      </c>
      <c r="J160" s="86">
        <f>IF($T160="","",IF(INDEX(对接源_01水果!$AE$4:$AE$1203,$T160)=0,"",INDEX(对接源_01水果!$AE$4:$AE$1203,$T160)))</f>
      </c>
      <c r="K160" s="86">
        <f>IF($T160="","",IF(INDEX(对接源_01水果!$AF$4:$AF$1203,$T160)=0,"",INDEX(对接源_01水果!$AF$4:$AF$1203,$T160)))</f>
      </c>
      <c r="L160" s="86">
        <f>IF($T160="","",IF(INDEX(对接源_01水果!$K$4:$K$1203,$T160)=0,"",INDEX(对接源_01水果!$K$4:$K$1203,$T160)))</f>
      </c>
      <c r="M160" s="84">
        <f>IF($T160="","",IF(INDEX(对接源_01水果!$L$4:$L$1203,$T160)=0,"",INDEX(对接源_01水果!$L$4:$L$1203,$T160)))</f>
      </c>
      <c r="N160" s="87">
        <f>IF($T160="","",IF(INDEX(对接源_01水果!$M$4:$M$1203,$T160)=0,"",INDEX(对接源_01水果!$M$4:$M$1203,$T160)))</f>
      </c>
      <c r="S160" s="7" t="n"/>
      <c r="T160" s="7">
        <f>IF(ROW()-5&gt;$U$1203,"",MATCH(ROW()-5,$U$4:$U$1203,0))</f>
      </c>
      <c r="U160">
        <f>N(U159)+IF(AND($B$2&lt;&gt;"",对接源_01水果!$AH160=$B$2,对接源_01水果!$B160&gt;=$U$1,对接源_01水果!$B160&lt;=$U$2),1,0)</f>
        <v>0</v>
      </c>
    </row>
    <row r="161" ht="15.75" customHeight="1" s="127">
      <c r="A161" s="191">
        <f>IF($T161="","",IF(INDEX(对接源_01水果!$B$4:$B$1203,$T161)=0,"",INDEX(对接源_01水果!$B$4:$B$1203,$T161)))</f>
      </c>
      <c r="B161" s="84">
        <f>IF($T161="","",IF(INDEX(对接源_01水果!$E$4:$E$1203,$T161)=0,"",INDEX(对接源_01水果!$E$4:$E$1203,$T161)))</f>
      </c>
      <c r="C161" s="84">
        <f>IF($T161="","",IF(INDEX(对接源_01水果!$AC$4:$AC$1203,$T161)=0,"",INDEX(对接源_01水果!$AC$4:$AC$1203,$T161)))</f>
      </c>
      <c r="D161" s="84">
        <f>IF($T161="","",IF(INDEX(对接源_01水果!$F$4:$F$1203,$T161)=0,"",INDEX(对接源_01水果!$F$4:$F$1203,$T161)))</f>
      </c>
      <c r="E161" s="84">
        <f>IF($T161="","",IF(INDEX(对接源_01水果!$G$4:$G$1203,$T161)=0,"",INDEX(对接源_01水果!$G$4:$G$1203,$T161)))</f>
      </c>
      <c r="F161" s="84">
        <f>IF($T161="","",IF(INDEX(对接源_01水果!$H$4:$H$1203,$T161)=0,"",INDEX(对接源_01水果!$H$4:$H$1203,$T161)))</f>
      </c>
      <c r="G161" s="84">
        <f>IF($T161="","",IF(INDEX(对接源_01水果!$I$4:$I$1203,$T161)=0,"",INDEX(对接源_01水果!$I$4:$I$1203,$T161)))</f>
      </c>
      <c r="H161" s="86">
        <f>IF($T161="","",IF(INDEX(对接源_01水果!$AD$4:$AD$1203,$T161)=0,"",INDEX(对接源_01水果!$AD$4:$AD$1203,$T161)))</f>
      </c>
      <c r="I161" s="86">
        <f>IF($T161="","",IF(INDEX(对接源_01水果!$AI$4:$AI$1203,$T161)=0,"",INDEX(对接源_01水果!$AI$4:$AI$1203,$T161)))</f>
      </c>
      <c r="J161" s="86">
        <f>IF($T161="","",IF(INDEX(对接源_01水果!$AE$4:$AE$1203,$T161)=0,"",INDEX(对接源_01水果!$AE$4:$AE$1203,$T161)))</f>
      </c>
      <c r="K161" s="86">
        <f>IF($T161="","",IF(INDEX(对接源_01水果!$AF$4:$AF$1203,$T161)=0,"",INDEX(对接源_01水果!$AF$4:$AF$1203,$T161)))</f>
      </c>
      <c r="L161" s="86">
        <f>IF($T161="","",IF(INDEX(对接源_01水果!$K$4:$K$1203,$T161)=0,"",INDEX(对接源_01水果!$K$4:$K$1203,$T161)))</f>
      </c>
      <c r="M161" s="84">
        <f>IF($T161="","",IF(INDEX(对接源_01水果!$L$4:$L$1203,$T161)=0,"",INDEX(对接源_01水果!$L$4:$L$1203,$T161)))</f>
      </c>
      <c r="N161" s="87">
        <f>IF($T161="","",IF(INDEX(对接源_01水果!$M$4:$M$1203,$T161)=0,"",INDEX(对接源_01水果!$M$4:$M$1203,$T161)))</f>
      </c>
      <c r="S161" s="7" t="n"/>
      <c r="T161" s="7">
        <f>IF(ROW()-5&gt;$U$1203,"",MATCH(ROW()-5,$U$4:$U$1203,0))</f>
      </c>
      <c r="U161">
        <f>N(U160)+IF(AND($B$2&lt;&gt;"",对接源_01水果!$AH161=$B$2,对接源_01水果!$B161&gt;=$U$1,对接源_01水果!$B161&lt;=$U$2),1,0)</f>
        <v>0</v>
      </c>
    </row>
    <row r="162" ht="15.75" customHeight="1" s="127">
      <c r="A162" s="191">
        <f>IF($T162="","",IF(INDEX(对接源_01水果!$B$4:$B$1203,$T162)=0,"",INDEX(对接源_01水果!$B$4:$B$1203,$T162)))</f>
      </c>
      <c r="B162" s="84">
        <f>IF($T162="","",IF(INDEX(对接源_01水果!$E$4:$E$1203,$T162)=0,"",INDEX(对接源_01水果!$E$4:$E$1203,$T162)))</f>
      </c>
      <c r="C162" s="84">
        <f>IF($T162="","",IF(INDEX(对接源_01水果!$AC$4:$AC$1203,$T162)=0,"",INDEX(对接源_01水果!$AC$4:$AC$1203,$T162)))</f>
      </c>
      <c r="D162" s="84">
        <f>IF($T162="","",IF(INDEX(对接源_01水果!$F$4:$F$1203,$T162)=0,"",INDEX(对接源_01水果!$F$4:$F$1203,$T162)))</f>
      </c>
      <c r="E162" s="84">
        <f>IF($T162="","",IF(INDEX(对接源_01水果!$G$4:$G$1203,$T162)=0,"",INDEX(对接源_01水果!$G$4:$G$1203,$T162)))</f>
      </c>
      <c r="F162" s="84">
        <f>IF($T162="","",IF(INDEX(对接源_01水果!$H$4:$H$1203,$T162)=0,"",INDEX(对接源_01水果!$H$4:$H$1203,$T162)))</f>
      </c>
      <c r="G162" s="84">
        <f>IF($T162="","",IF(INDEX(对接源_01水果!$I$4:$I$1203,$T162)=0,"",INDEX(对接源_01水果!$I$4:$I$1203,$T162)))</f>
      </c>
      <c r="H162" s="86">
        <f>IF($T162="","",IF(INDEX(对接源_01水果!$AD$4:$AD$1203,$T162)=0,"",INDEX(对接源_01水果!$AD$4:$AD$1203,$T162)))</f>
      </c>
      <c r="I162" s="86">
        <f>IF($T162="","",IF(INDEX(对接源_01水果!$AI$4:$AI$1203,$T162)=0,"",INDEX(对接源_01水果!$AI$4:$AI$1203,$T162)))</f>
      </c>
      <c r="J162" s="86">
        <f>IF($T162="","",IF(INDEX(对接源_01水果!$AE$4:$AE$1203,$T162)=0,"",INDEX(对接源_01水果!$AE$4:$AE$1203,$T162)))</f>
      </c>
      <c r="K162" s="86">
        <f>IF($T162="","",IF(INDEX(对接源_01水果!$AF$4:$AF$1203,$T162)=0,"",INDEX(对接源_01水果!$AF$4:$AF$1203,$T162)))</f>
      </c>
      <c r="L162" s="86">
        <f>IF($T162="","",IF(INDEX(对接源_01水果!$K$4:$K$1203,$T162)=0,"",INDEX(对接源_01水果!$K$4:$K$1203,$T162)))</f>
      </c>
      <c r="M162" s="84">
        <f>IF($T162="","",IF(INDEX(对接源_01水果!$L$4:$L$1203,$T162)=0,"",INDEX(对接源_01水果!$L$4:$L$1203,$T162)))</f>
      </c>
      <c r="N162" s="87">
        <f>IF($T162="","",IF(INDEX(对接源_01水果!$M$4:$M$1203,$T162)=0,"",INDEX(对接源_01水果!$M$4:$M$1203,$T162)))</f>
      </c>
      <c r="S162" s="7" t="n"/>
      <c r="T162" s="7">
        <f>IF(ROW()-5&gt;$U$1203,"",MATCH(ROW()-5,$U$4:$U$1203,0))</f>
      </c>
      <c r="U162">
        <f>N(U161)+IF(AND($B$2&lt;&gt;"",对接源_01水果!$AH162=$B$2,对接源_01水果!$B162&gt;=$U$1,对接源_01水果!$B162&lt;=$U$2),1,0)</f>
        <v>0</v>
      </c>
    </row>
    <row r="163" ht="15.75" customHeight="1" s="127">
      <c r="A163" s="191">
        <f>IF($T163="","",IF(INDEX(对接源_01水果!$B$4:$B$1203,$T163)=0,"",INDEX(对接源_01水果!$B$4:$B$1203,$T163)))</f>
      </c>
      <c r="B163" s="84">
        <f>IF($T163="","",IF(INDEX(对接源_01水果!$E$4:$E$1203,$T163)=0,"",INDEX(对接源_01水果!$E$4:$E$1203,$T163)))</f>
      </c>
      <c r="C163" s="84">
        <f>IF($T163="","",IF(INDEX(对接源_01水果!$AC$4:$AC$1203,$T163)=0,"",INDEX(对接源_01水果!$AC$4:$AC$1203,$T163)))</f>
      </c>
      <c r="D163" s="84">
        <f>IF($T163="","",IF(INDEX(对接源_01水果!$F$4:$F$1203,$T163)=0,"",INDEX(对接源_01水果!$F$4:$F$1203,$T163)))</f>
      </c>
      <c r="E163" s="84">
        <f>IF($T163="","",IF(INDEX(对接源_01水果!$G$4:$G$1203,$T163)=0,"",INDEX(对接源_01水果!$G$4:$G$1203,$T163)))</f>
      </c>
      <c r="F163" s="84">
        <f>IF($T163="","",IF(INDEX(对接源_01水果!$H$4:$H$1203,$T163)=0,"",INDEX(对接源_01水果!$H$4:$H$1203,$T163)))</f>
      </c>
      <c r="G163" s="84">
        <f>IF($T163="","",IF(INDEX(对接源_01水果!$I$4:$I$1203,$T163)=0,"",INDEX(对接源_01水果!$I$4:$I$1203,$T163)))</f>
      </c>
      <c r="H163" s="86">
        <f>IF($T163="","",IF(INDEX(对接源_01水果!$AD$4:$AD$1203,$T163)=0,"",INDEX(对接源_01水果!$AD$4:$AD$1203,$T163)))</f>
      </c>
      <c r="I163" s="86">
        <f>IF($T163="","",IF(INDEX(对接源_01水果!$AI$4:$AI$1203,$T163)=0,"",INDEX(对接源_01水果!$AI$4:$AI$1203,$T163)))</f>
      </c>
      <c r="J163" s="86">
        <f>IF($T163="","",IF(INDEX(对接源_01水果!$AE$4:$AE$1203,$T163)=0,"",INDEX(对接源_01水果!$AE$4:$AE$1203,$T163)))</f>
      </c>
      <c r="K163" s="86">
        <f>IF($T163="","",IF(INDEX(对接源_01水果!$AF$4:$AF$1203,$T163)=0,"",INDEX(对接源_01水果!$AF$4:$AF$1203,$T163)))</f>
      </c>
      <c r="L163" s="86">
        <f>IF($T163="","",IF(INDEX(对接源_01水果!$K$4:$K$1203,$T163)=0,"",INDEX(对接源_01水果!$K$4:$K$1203,$T163)))</f>
      </c>
      <c r="M163" s="84">
        <f>IF($T163="","",IF(INDEX(对接源_01水果!$L$4:$L$1203,$T163)=0,"",INDEX(对接源_01水果!$L$4:$L$1203,$T163)))</f>
      </c>
      <c r="N163" s="87">
        <f>IF($T163="","",IF(INDEX(对接源_01水果!$M$4:$M$1203,$T163)=0,"",INDEX(对接源_01水果!$M$4:$M$1203,$T163)))</f>
      </c>
      <c r="S163" s="7" t="n"/>
      <c r="T163" s="7">
        <f>IF(ROW()-5&gt;$U$1203,"",MATCH(ROW()-5,$U$4:$U$1203,0))</f>
      </c>
      <c r="U163">
        <f>N(U162)+IF(AND($B$2&lt;&gt;"",对接源_01水果!$AH163=$B$2,对接源_01水果!$B163&gt;=$U$1,对接源_01水果!$B163&lt;=$U$2),1,0)</f>
        <v>0</v>
      </c>
    </row>
    <row r="164" ht="15.75" customHeight="1" s="127">
      <c r="A164" s="191">
        <f>IF($T164="","",IF(INDEX(对接源_01水果!$B$4:$B$1203,$T164)=0,"",INDEX(对接源_01水果!$B$4:$B$1203,$T164)))</f>
      </c>
      <c r="B164" s="84">
        <f>IF($T164="","",IF(INDEX(对接源_01水果!$E$4:$E$1203,$T164)=0,"",INDEX(对接源_01水果!$E$4:$E$1203,$T164)))</f>
      </c>
      <c r="C164" s="84">
        <f>IF($T164="","",IF(INDEX(对接源_01水果!$AC$4:$AC$1203,$T164)=0,"",INDEX(对接源_01水果!$AC$4:$AC$1203,$T164)))</f>
      </c>
      <c r="D164" s="84">
        <f>IF($T164="","",IF(INDEX(对接源_01水果!$F$4:$F$1203,$T164)=0,"",INDEX(对接源_01水果!$F$4:$F$1203,$T164)))</f>
      </c>
      <c r="E164" s="84">
        <f>IF($T164="","",IF(INDEX(对接源_01水果!$G$4:$G$1203,$T164)=0,"",INDEX(对接源_01水果!$G$4:$G$1203,$T164)))</f>
      </c>
      <c r="F164" s="84">
        <f>IF($T164="","",IF(INDEX(对接源_01水果!$H$4:$H$1203,$T164)=0,"",INDEX(对接源_01水果!$H$4:$H$1203,$T164)))</f>
      </c>
      <c r="G164" s="84">
        <f>IF($T164="","",IF(INDEX(对接源_01水果!$I$4:$I$1203,$T164)=0,"",INDEX(对接源_01水果!$I$4:$I$1203,$T164)))</f>
      </c>
      <c r="H164" s="86">
        <f>IF($T164="","",IF(INDEX(对接源_01水果!$AD$4:$AD$1203,$T164)=0,"",INDEX(对接源_01水果!$AD$4:$AD$1203,$T164)))</f>
      </c>
      <c r="I164" s="86">
        <f>IF($T164="","",IF(INDEX(对接源_01水果!$AI$4:$AI$1203,$T164)=0,"",INDEX(对接源_01水果!$AI$4:$AI$1203,$T164)))</f>
      </c>
      <c r="J164" s="86">
        <f>IF($T164="","",IF(INDEX(对接源_01水果!$AE$4:$AE$1203,$T164)=0,"",INDEX(对接源_01水果!$AE$4:$AE$1203,$T164)))</f>
      </c>
      <c r="K164" s="86">
        <f>IF($T164="","",IF(INDEX(对接源_01水果!$AF$4:$AF$1203,$T164)=0,"",INDEX(对接源_01水果!$AF$4:$AF$1203,$T164)))</f>
      </c>
      <c r="L164" s="86">
        <f>IF($T164="","",IF(INDEX(对接源_01水果!$K$4:$K$1203,$T164)=0,"",INDEX(对接源_01水果!$K$4:$K$1203,$T164)))</f>
      </c>
      <c r="M164" s="84">
        <f>IF($T164="","",IF(INDEX(对接源_01水果!$L$4:$L$1203,$T164)=0,"",INDEX(对接源_01水果!$L$4:$L$1203,$T164)))</f>
      </c>
      <c r="N164" s="87">
        <f>IF($T164="","",IF(INDEX(对接源_01水果!$M$4:$M$1203,$T164)=0,"",INDEX(对接源_01水果!$M$4:$M$1203,$T164)))</f>
      </c>
      <c r="S164" s="7" t="n"/>
      <c r="T164" s="7">
        <f>IF(ROW()-5&gt;$U$1203,"",MATCH(ROW()-5,$U$4:$U$1203,0))</f>
      </c>
      <c r="U164">
        <f>N(U163)+IF(AND($B$2&lt;&gt;"",对接源_01水果!$AH164=$B$2,对接源_01水果!$B164&gt;=$U$1,对接源_01水果!$B164&lt;=$U$2),1,0)</f>
        <v>0</v>
      </c>
    </row>
    <row r="165" ht="15.75" customHeight="1" s="127">
      <c r="A165" s="191">
        <f>IF($T165="","",IF(INDEX(对接源_01水果!$B$4:$B$1203,$T165)=0,"",INDEX(对接源_01水果!$B$4:$B$1203,$T165)))</f>
      </c>
      <c r="B165" s="84">
        <f>IF($T165="","",IF(INDEX(对接源_01水果!$E$4:$E$1203,$T165)=0,"",INDEX(对接源_01水果!$E$4:$E$1203,$T165)))</f>
      </c>
      <c r="C165" s="84">
        <f>IF($T165="","",IF(INDEX(对接源_01水果!$AC$4:$AC$1203,$T165)=0,"",INDEX(对接源_01水果!$AC$4:$AC$1203,$T165)))</f>
      </c>
      <c r="D165" s="84">
        <f>IF($T165="","",IF(INDEX(对接源_01水果!$F$4:$F$1203,$T165)=0,"",INDEX(对接源_01水果!$F$4:$F$1203,$T165)))</f>
      </c>
      <c r="E165" s="84">
        <f>IF($T165="","",IF(INDEX(对接源_01水果!$G$4:$G$1203,$T165)=0,"",INDEX(对接源_01水果!$G$4:$G$1203,$T165)))</f>
      </c>
      <c r="F165" s="84">
        <f>IF($T165="","",IF(INDEX(对接源_01水果!$H$4:$H$1203,$T165)=0,"",INDEX(对接源_01水果!$H$4:$H$1203,$T165)))</f>
      </c>
      <c r="G165" s="84">
        <f>IF($T165="","",IF(INDEX(对接源_01水果!$I$4:$I$1203,$T165)=0,"",INDEX(对接源_01水果!$I$4:$I$1203,$T165)))</f>
      </c>
      <c r="H165" s="86">
        <f>IF($T165="","",IF(INDEX(对接源_01水果!$AD$4:$AD$1203,$T165)=0,"",INDEX(对接源_01水果!$AD$4:$AD$1203,$T165)))</f>
      </c>
      <c r="I165" s="86">
        <f>IF($T165="","",IF(INDEX(对接源_01水果!$AI$4:$AI$1203,$T165)=0,"",INDEX(对接源_01水果!$AI$4:$AI$1203,$T165)))</f>
      </c>
      <c r="J165" s="86">
        <f>IF($T165="","",IF(INDEX(对接源_01水果!$AE$4:$AE$1203,$T165)=0,"",INDEX(对接源_01水果!$AE$4:$AE$1203,$T165)))</f>
      </c>
      <c r="K165" s="86">
        <f>IF($T165="","",IF(INDEX(对接源_01水果!$AF$4:$AF$1203,$T165)=0,"",INDEX(对接源_01水果!$AF$4:$AF$1203,$T165)))</f>
      </c>
      <c r="L165" s="86">
        <f>IF($T165="","",IF(INDEX(对接源_01水果!$K$4:$K$1203,$T165)=0,"",INDEX(对接源_01水果!$K$4:$K$1203,$T165)))</f>
      </c>
      <c r="M165" s="84">
        <f>IF($T165="","",IF(INDEX(对接源_01水果!$L$4:$L$1203,$T165)=0,"",INDEX(对接源_01水果!$L$4:$L$1203,$T165)))</f>
      </c>
      <c r="N165" s="87">
        <f>IF($T165="","",IF(INDEX(对接源_01水果!$M$4:$M$1203,$T165)=0,"",INDEX(对接源_01水果!$M$4:$M$1203,$T165)))</f>
      </c>
      <c r="S165" s="7" t="n"/>
      <c r="T165" s="7">
        <f>IF(ROW()-5&gt;$U$1203,"",MATCH(ROW()-5,$U$4:$U$1203,0))</f>
      </c>
      <c r="U165">
        <f>N(U164)+IF(AND($B$2&lt;&gt;"",对接源_01水果!$AH165=$B$2,对接源_01水果!$B165&gt;=$U$1,对接源_01水果!$B165&lt;=$U$2),1,0)</f>
        <v>0</v>
      </c>
    </row>
    <row r="166" ht="15.75" customHeight="1" s="127">
      <c r="A166" s="191">
        <f>IF($T166="","",IF(INDEX(对接源_01水果!$B$4:$B$1203,$T166)=0,"",INDEX(对接源_01水果!$B$4:$B$1203,$T166)))</f>
      </c>
      <c r="B166" s="84">
        <f>IF($T166="","",IF(INDEX(对接源_01水果!$E$4:$E$1203,$T166)=0,"",INDEX(对接源_01水果!$E$4:$E$1203,$T166)))</f>
      </c>
      <c r="C166" s="84">
        <f>IF($T166="","",IF(INDEX(对接源_01水果!$AC$4:$AC$1203,$T166)=0,"",INDEX(对接源_01水果!$AC$4:$AC$1203,$T166)))</f>
      </c>
      <c r="D166" s="84">
        <f>IF($T166="","",IF(INDEX(对接源_01水果!$F$4:$F$1203,$T166)=0,"",INDEX(对接源_01水果!$F$4:$F$1203,$T166)))</f>
      </c>
      <c r="E166" s="84">
        <f>IF($T166="","",IF(INDEX(对接源_01水果!$G$4:$G$1203,$T166)=0,"",INDEX(对接源_01水果!$G$4:$G$1203,$T166)))</f>
      </c>
      <c r="F166" s="84">
        <f>IF($T166="","",IF(INDEX(对接源_01水果!$H$4:$H$1203,$T166)=0,"",INDEX(对接源_01水果!$H$4:$H$1203,$T166)))</f>
      </c>
      <c r="G166" s="84">
        <f>IF($T166="","",IF(INDEX(对接源_01水果!$I$4:$I$1203,$T166)=0,"",INDEX(对接源_01水果!$I$4:$I$1203,$T166)))</f>
      </c>
      <c r="H166" s="86">
        <f>IF($T166="","",IF(INDEX(对接源_01水果!$AD$4:$AD$1203,$T166)=0,"",INDEX(对接源_01水果!$AD$4:$AD$1203,$T166)))</f>
      </c>
      <c r="I166" s="86">
        <f>IF($T166="","",IF(INDEX(对接源_01水果!$AI$4:$AI$1203,$T166)=0,"",INDEX(对接源_01水果!$AI$4:$AI$1203,$T166)))</f>
      </c>
      <c r="J166" s="86">
        <f>IF($T166="","",IF(INDEX(对接源_01水果!$AE$4:$AE$1203,$T166)=0,"",INDEX(对接源_01水果!$AE$4:$AE$1203,$T166)))</f>
      </c>
      <c r="K166" s="86">
        <f>IF($T166="","",IF(INDEX(对接源_01水果!$AF$4:$AF$1203,$T166)=0,"",INDEX(对接源_01水果!$AF$4:$AF$1203,$T166)))</f>
      </c>
      <c r="L166" s="86">
        <f>IF($T166="","",IF(INDEX(对接源_01水果!$K$4:$K$1203,$T166)=0,"",INDEX(对接源_01水果!$K$4:$K$1203,$T166)))</f>
      </c>
      <c r="M166" s="84">
        <f>IF($T166="","",IF(INDEX(对接源_01水果!$L$4:$L$1203,$T166)=0,"",INDEX(对接源_01水果!$L$4:$L$1203,$T166)))</f>
      </c>
      <c r="N166" s="87">
        <f>IF($T166="","",IF(INDEX(对接源_01水果!$M$4:$M$1203,$T166)=0,"",INDEX(对接源_01水果!$M$4:$M$1203,$T166)))</f>
      </c>
      <c r="S166" s="7" t="n"/>
      <c r="T166" s="7">
        <f>IF(ROW()-5&gt;$U$1203,"",MATCH(ROW()-5,$U$4:$U$1203,0))</f>
      </c>
      <c r="U166">
        <f>N(U165)+IF(AND($B$2&lt;&gt;"",对接源_01水果!$AH166=$B$2,对接源_01水果!$B166&gt;=$U$1,对接源_01水果!$B166&lt;=$U$2),1,0)</f>
        <v>0</v>
      </c>
    </row>
    <row r="167" ht="15.75" customHeight="1" s="127">
      <c r="A167" s="191">
        <f>IF($T167="","",IF(INDEX(对接源_01水果!$B$4:$B$1203,$T167)=0,"",INDEX(对接源_01水果!$B$4:$B$1203,$T167)))</f>
      </c>
      <c r="B167" s="84">
        <f>IF($T167="","",IF(INDEX(对接源_01水果!$E$4:$E$1203,$T167)=0,"",INDEX(对接源_01水果!$E$4:$E$1203,$T167)))</f>
      </c>
      <c r="C167" s="84">
        <f>IF($T167="","",IF(INDEX(对接源_01水果!$AC$4:$AC$1203,$T167)=0,"",INDEX(对接源_01水果!$AC$4:$AC$1203,$T167)))</f>
      </c>
      <c r="D167" s="84">
        <f>IF($T167="","",IF(INDEX(对接源_01水果!$F$4:$F$1203,$T167)=0,"",INDEX(对接源_01水果!$F$4:$F$1203,$T167)))</f>
      </c>
      <c r="E167" s="84">
        <f>IF($T167="","",IF(INDEX(对接源_01水果!$G$4:$G$1203,$T167)=0,"",INDEX(对接源_01水果!$G$4:$G$1203,$T167)))</f>
      </c>
      <c r="F167" s="84">
        <f>IF($T167="","",IF(INDEX(对接源_01水果!$H$4:$H$1203,$T167)=0,"",INDEX(对接源_01水果!$H$4:$H$1203,$T167)))</f>
      </c>
      <c r="G167" s="84">
        <f>IF($T167="","",IF(INDEX(对接源_01水果!$I$4:$I$1203,$T167)=0,"",INDEX(对接源_01水果!$I$4:$I$1203,$T167)))</f>
      </c>
      <c r="H167" s="86">
        <f>IF($T167="","",IF(INDEX(对接源_01水果!$AD$4:$AD$1203,$T167)=0,"",INDEX(对接源_01水果!$AD$4:$AD$1203,$T167)))</f>
      </c>
      <c r="I167" s="86">
        <f>IF($T167="","",IF(INDEX(对接源_01水果!$AI$4:$AI$1203,$T167)=0,"",INDEX(对接源_01水果!$AI$4:$AI$1203,$T167)))</f>
      </c>
      <c r="J167" s="86">
        <f>IF($T167="","",IF(INDEX(对接源_01水果!$AE$4:$AE$1203,$T167)=0,"",INDEX(对接源_01水果!$AE$4:$AE$1203,$T167)))</f>
      </c>
      <c r="K167" s="86">
        <f>IF($T167="","",IF(INDEX(对接源_01水果!$AF$4:$AF$1203,$T167)=0,"",INDEX(对接源_01水果!$AF$4:$AF$1203,$T167)))</f>
      </c>
      <c r="L167" s="86">
        <f>IF($T167="","",IF(INDEX(对接源_01水果!$K$4:$K$1203,$T167)=0,"",INDEX(对接源_01水果!$K$4:$K$1203,$T167)))</f>
      </c>
      <c r="M167" s="84">
        <f>IF($T167="","",IF(INDEX(对接源_01水果!$L$4:$L$1203,$T167)=0,"",INDEX(对接源_01水果!$L$4:$L$1203,$T167)))</f>
      </c>
      <c r="N167" s="87">
        <f>IF($T167="","",IF(INDEX(对接源_01水果!$M$4:$M$1203,$T167)=0,"",INDEX(对接源_01水果!$M$4:$M$1203,$T167)))</f>
      </c>
      <c r="S167" s="7" t="n"/>
      <c r="T167" s="7">
        <f>IF(ROW()-5&gt;$U$1203,"",MATCH(ROW()-5,$U$4:$U$1203,0))</f>
      </c>
      <c r="U167">
        <f>N(U166)+IF(AND($B$2&lt;&gt;"",对接源_01水果!$AH167=$B$2,对接源_01水果!$B167&gt;=$U$1,对接源_01水果!$B167&lt;=$U$2),1,0)</f>
        <v>0</v>
      </c>
    </row>
    <row r="168" ht="15.75" customHeight="1" s="127">
      <c r="A168" s="191">
        <f>IF($T168="","",IF(INDEX(对接源_01水果!$B$4:$B$1203,$T168)=0,"",INDEX(对接源_01水果!$B$4:$B$1203,$T168)))</f>
      </c>
      <c r="B168" s="84">
        <f>IF($T168="","",IF(INDEX(对接源_01水果!$E$4:$E$1203,$T168)=0,"",INDEX(对接源_01水果!$E$4:$E$1203,$T168)))</f>
      </c>
      <c r="C168" s="84">
        <f>IF($T168="","",IF(INDEX(对接源_01水果!$AC$4:$AC$1203,$T168)=0,"",INDEX(对接源_01水果!$AC$4:$AC$1203,$T168)))</f>
      </c>
      <c r="D168" s="84">
        <f>IF($T168="","",IF(INDEX(对接源_01水果!$F$4:$F$1203,$T168)=0,"",INDEX(对接源_01水果!$F$4:$F$1203,$T168)))</f>
      </c>
      <c r="E168" s="84">
        <f>IF($T168="","",IF(INDEX(对接源_01水果!$G$4:$G$1203,$T168)=0,"",INDEX(对接源_01水果!$G$4:$G$1203,$T168)))</f>
      </c>
      <c r="F168" s="84">
        <f>IF($T168="","",IF(INDEX(对接源_01水果!$H$4:$H$1203,$T168)=0,"",INDEX(对接源_01水果!$H$4:$H$1203,$T168)))</f>
      </c>
      <c r="G168" s="84">
        <f>IF($T168="","",IF(INDEX(对接源_01水果!$I$4:$I$1203,$T168)=0,"",INDEX(对接源_01水果!$I$4:$I$1203,$T168)))</f>
      </c>
      <c r="H168" s="86">
        <f>IF($T168="","",IF(INDEX(对接源_01水果!$AD$4:$AD$1203,$T168)=0,"",INDEX(对接源_01水果!$AD$4:$AD$1203,$T168)))</f>
      </c>
      <c r="I168" s="86">
        <f>IF($T168="","",IF(INDEX(对接源_01水果!$AI$4:$AI$1203,$T168)=0,"",INDEX(对接源_01水果!$AI$4:$AI$1203,$T168)))</f>
      </c>
      <c r="J168" s="86">
        <f>IF($T168="","",IF(INDEX(对接源_01水果!$AE$4:$AE$1203,$T168)=0,"",INDEX(对接源_01水果!$AE$4:$AE$1203,$T168)))</f>
      </c>
      <c r="K168" s="86">
        <f>IF($T168="","",IF(INDEX(对接源_01水果!$AF$4:$AF$1203,$T168)=0,"",INDEX(对接源_01水果!$AF$4:$AF$1203,$T168)))</f>
      </c>
      <c r="L168" s="86">
        <f>IF($T168="","",IF(INDEX(对接源_01水果!$K$4:$K$1203,$T168)=0,"",INDEX(对接源_01水果!$K$4:$K$1203,$T168)))</f>
      </c>
      <c r="M168" s="84">
        <f>IF($T168="","",IF(INDEX(对接源_01水果!$L$4:$L$1203,$T168)=0,"",INDEX(对接源_01水果!$L$4:$L$1203,$T168)))</f>
      </c>
      <c r="N168" s="87">
        <f>IF($T168="","",IF(INDEX(对接源_01水果!$M$4:$M$1203,$T168)=0,"",INDEX(对接源_01水果!$M$4:$M$1203,$T168)))</f>
      </c>
      <c r="S168" s="7" t="n"/>
      <c r="T168" s="7">
        <f>IF(ROW()-5&gt;$U$1203,"",MATCH(ROW()-5,$U$4:$U$1203,0))</f>
      </c>
      <c r="U168">
        <f>N(U167)+IF(AND($B$2&lt;&gt;"",对接源_01水果!$AH168=$B$2,对接源_01水果!$B168&gt;=$U$1,对接源_01水果!$B168&lt;=$U$2),1,0)</f>
        <v>0</v>
      </c>
    </row>
    <row r="169" ht="15.75" customHeight="1" s="127">
      <c r="A169" s="191">
        <f>IF($T169="","",IF(INDEX(对接源_01水果!$B$4:$B$1203,$T169)=0,"",INDEX(对接源_01水果!$B$4:$B$1203,$T169)))</f>
      </c>
      <c r="B169" s="84">
        <f>IF($T169="","",IF(INDEX(对接源_01水果!$E$4:$E$1203,$T169)=0,"",INDEX(对接源_01水果!$E$4:$E$1203,$T169)))</f>
      </c>
      <c r="C169" s="84">
        <f>IF($T169="","",IF(INDEX(对接源_01水果!$AC$4:$AC$1203,$T169)=0,"",INDEX(对接源_01水果!$AC$4:$AC$1203,$T169)))</f>
      </c>
      <c r="D169" s="84">
        <f>IF($T169="","",IF(INDEX(对接源_01水果!$F$4:$F$1203,$T169)=0,"",INDEX(对接源_01水果!$F$4:$F$1203,$T169)))</f>
      </c>
      <c r="E169" s="84">
        <f>IF($T169="","",IF(INDEX(对接源_01水果!$G$4:$G$1203,$T169)=0,"",INDEX(对接源_01水果!$G$4:$G$1203,$T169)))</f>
      </c>
      <c r="F169" s="84">
        <f>IF($T169="","",IF(INDEX(对接源_01水果!$H$4:$H$1203,$T169)=0,"",INDEX(对接源_01水果!$H$4:$H$1203,$T169)))</f>
      </c>
      <c r="G169" s="84">
        <f>IF($T169="","",IF(INDEX(对接源_01水果!$I$4:$I$1203,$T169)=0,"",INDEX(对接源_01水果!$I$4:$I$1203,$T169)))</f>
      </c>
      <c r="H169" s="86">
        <f>IF($T169="","",IF(INDEX(对接源_01水果!$AD$4:$AD$1203,$T169)=0,"",INDEX(对接源_01水果!$AD$4:$AD$1203,$T169)))</f>
      </c>
      <c r="I169" s="86">
        <f>IF($T169="","",IF(INDEX(对接源_01水果!$AI$4:$AI$1203,$T169)=0,"",INDEX(对接源_01水果!$AI$4:$AI$1203,$T169)))</f>
      </c>
      <c r="J169" s="86">
        <f>IF($T169="","",IF(INDEX(对接源_01水果!$AE$4:$AE$1203,$T169)=0,"",INDEX(对接源_01水果!$AE$4:$AE$1203,$T169)))</f>
      </c>
      <c r="K169" s="86">
        <f>IF($T169="","",IF(INDEX(对接源_01水果!$AF$4:$AF$1203,$T169)=0,"",INDEX(对接源_01水果!$AF$4:$AF$1203,$T169)))</f>
      </c>
      <c r="L169" s="86">
        <f>IF($T169="","",IF(INDEX(对接源_01水果!$K$4:$K$1203,$T169)=0,"",INDEX(对接源_01水果!$K$4:$K$1203,$T169)))</f>
      </c>
      <c r="M169" s="84">
        <f>IF($T169="","",IF(INDEX(对接源_01水果!$L$4:$L$1203,$T169)=0,"",INDEX(对接源_01水果!$L$4:$L$1203,$T169)))</f>
      </c>
      <c r="N169" s="87">
        <f>IF($T169="","",IF(INDEX(对接源_01水果!$M$4:$M$1203,$T169)=0,"",INDEX(对接源_01水果!$M$4:$M$1203,$T169)))</f>
      </c>
      <c r="S169" s="7" t="n"/>
      <c r="T169" s="7">
        <f>IF(ROW()-5&gt;$U$1203,"",MATCH(ROW()-5,$U$4:$U$1203,0))</f>
      </c>
      <c r="U169">
        <f>N(U168)+IF(AND($B$2&lt;&gt;"",对接源_01水果!$AH169=$B$2,对接源_01水果!$B169&gt;=$U$1,对接源_01水果!$B169&lt;=$U$2),1,0)</f>
        <v>0</v>
      </c>
    </row>
    <row r="170" ht="15.75" customHeight="1" s="127">
      <c r="A170" s="191">
        <f>IF($T170="","",IF(INDEX(对接源_01水果!$B$4:$B$1203,$T170)=0,"",INDEX(对接源_01水果!$B$4:$B$1203,$T170)))</f>
      </c>
      <c r="B170" s="84">
        <f>IF($T170="","",IF(INDEX(对接源_01水果!$E$4:$E$1203,$T170)=0,"",INDEX(对接源_01水果!$E$4:$E$1203,$T170)))</f>
      </c>
      <c r="C170" s="84">
        <f>IF($T170="","",IF(INDEX(对接源_01水果!$AC$4:$AC$1203,$T170)=0,"",INDEX(对接源_01水果!$AC$4:$AC$1203,$T170)))</f>
      </c>
      <c r="D170" s="84">
        <f>IF($T170="","",IF(INDEX(对接源_01水果!$F$4:$F$1203,$T170)=0,"",INDEX(对接源_01水果!$F$4:$F$1203,$T170)))</f>
      </c>
      <c r="E170" s="84">
        <f>IF($T170="","",IF(INDEX(对接源_01水果!$G$4:$G$1203,$T170)=0,"",INDEX(对接源_01水果!$G$4:$G$1203,$T170)))</f>
      </c>
      <c r="F170" s="84">
        <f>IF($T170="","",IF(INDEX(对接源_01水果!$H$4:$H$1203,$T170)=0,"",INDEX(对接源_01水果!$H$4:$H$1203,$T170)))</f>
      </c>
      <c r="G170" s="84">
        <f>IF($T170="","",IF(INDEX(对接源_01水果!$I$4:$I$1203,$T170)=0,"",INDEX(对接源_01水果!$I$4:$I$1203,$T170)))</f>
      </c>
      <c r="H170" s="86">
        <f>IF($T170="","",IF(INDEX(对接源_01水果!$AD$4:$AD$1203,$T170)=0,"",INDEX(对接源_01水果!$AD$4:$AD$1203,$T170)))</f>
      </c>
      <c r="I170" s="86">
        <f>IF($T170="","",IF(INDEX(对接源_01水果!$AI$4:$AI$1203,$T170)=0,"",INDEX(对接源_01水果!$AI$4:$AI$1203,$T170)))</f>
      </c>
      <c r="J170" s="86">
        <f>IF($T170="","",IF(INDEX(对接源_01水果!$AE$4:$AE$1203,$T170)=0,"",INDEX(对接源_01水果!$AE$4:$AE$1203,$T170)))</f>
      </c>
      <c r="K170" s="86">
        <f>IF($T170="","",IF(INDEX(对接源_01水果!$AF$4:$AF$1203,$T170)=0,"",INDEX(对接源_01水果!$AF$4:$AF$1203,$T170)))</f>
      </c>
      <c r="L170" s="86">
        <f>IF($T170="","",IF(INDEX(对接源_01水果!$K$4:$K$1203,$T170)=0,"",INDEX(对接源_01水果!$K$4:$K$1203,$T170)))</f>
      </c>
      <c r="M170" s="84">
        <f>IF($T170="","",IF(INDEX(对接源_01水果!$L$4:$L$1203,$T170)=0,"",INDEX(对接源_01水果!$L$4:$L$1203,$T170)))</f>
      </c>
      <c r="N170" s="87">
        <f>IF($T170="","",IF(INDEX(对接源_01水果!$M$4:$M$1203,$T170)=0,"",INDEX(对接源_01水果!$M$4:$M$1203,$T170)))</f>
      </c>
      <c r="S170" s="7" t="n"/>
      <c r="T170" s="7">
        <f>IF(ROW()-5&gt;$U$1203,"",MATCH(ROW()-5,$U$4:$U$1203,0))</f>
      </c>
      <c r="U170">
        <f>N(U169)+IF(AND($B$2&lt;&gt;"",对接源_01水果!$AH170=$B$2,对接源_01水果!$B170&gt;=$U$1,对接源_01水果!$B170&lt;=$U$2),1,0)</f>
        <v>0</v>
      </c>
    </row>
    <row r="171" ht="15.75" customHeight="1" s="127">
      <c r="A171" s="191">
        <f>IF($T171="","",IF(INDEX(对接源_01水果!$B$4:$B$1203,$T171)=0,"",INDEX(对接源_01水果!$B$4:$B$1203,$T171)))</f>
      </c>
      <c r="B171" s="84">
        <f>IF($T171="","",IF(INDEX(对接源_01水果!$E$4:$E$1203,$T171)=0,"",INDEX(对接源_01水果!$E$4:$E$1203,$T171)))</f>
      </c>
      <c r="C171" s="84">
        <f>IF($T171="","",IF(INDEX(对接源_01水果!$AC$4:$AC$1203,$T171)=0,"",INDEX(对接源_01水果!$AC$4:$AC$1203,$T171)))</f>
      </c>
      <c r="D171" s="84">
        <f>IF($T171="","",IF(INDEX(对接源_01水果!$F$4:$F$1203,$T171)=0,"",INDEX(对接源_01水果!$F$4:$F$1203,$T171)))</f>
      </c>
      <c r="E171" s="84">
        <f>IF($T171="","",IF(INDEX(对接源_01水果!$G$4:$G$1203,$T171)=0,"",INDEX(对接源_01水果!$G$4:$G$1203,$T171)))</f>
      </c>
      <c r="F171" s="84">
        <f>IF($T171="","",IF(INDEX(对接源_01水果!$H$4:$H$1203,$T171)=0,"",INDEX(对接源_01水果!$H$4:$H$1203,$T171)))</f>
      </c>
      <c r="G171" s="84">
        <f>IF($T171="","",IF(INDEX(对接源_01水果!$I$4:$I$1203,$T171)=0,"",INDEX(对接源_01水果!$I$4:$I$1203,$T171)))</f>
      </c>
      <c r="H171" s="86">
        <f>IF($T171="","",IF(INDEX(对接源_01水果!$AD$4:$AD$1203,$T171)=0,"",INDEX(对接源_01水果!$AD$4:$AD$1203,$T171)))</f>
      </c>
      <c r="I171" s="86">
        <f>IF($T171="","",IF(INDEX(对接源_01水果!$AI$4:$AI$1203,$T171)=0,"",INDEX(对接源_01水果!$AI$4:$AI$1203,$T171)))</f>
      </c>
      <c r="J171" s="86">
        <f>IF($T171="","",IF(INDEX(对接源_01水果!$AE$4:$AE$1203,$T171)=0,"",INDEX(对接源_01水果!$AE$4:$AE$1203,$T171)))</f>
      </c>
      <c r="K171" s="86">
        <f>IF($T171="","",IF(INDEX(对接源_01水果!$AF$4:$AF$1203,$T171)=0,"",INDEX(对接源_01水果!$AF$4:$AF$1203,$T171)))</f>
      </c>
      <c r="L171" s="86">
        <f>IF($T171="","",IF(INDEX(对接源_01水果!$K$4:$K$1203,$T171)=0,"",INDEX(对接源_01水果!$K$4:$K$1203,$T171)))</f>
      </c>
      <c r="M171" s="84">
        <f>IF($T171="","",IF(INDEX(对接源_01水果!$L$4:$L$1203,$T171)=0,"",INDEX(对接源_01水果!$L$4:$L$1203,$T171)))</f>
      </c>
      <c r="N171" s="87">
        <f>IF($T171="","",IF(INDEX(对接源_01水果!$M$4:$M$1203,$T171)=0,"",INDEX(对接源_01水果!$M$4:$M$1203,$T171)))</f>
      </c>
      <c r="S171" s="7" t="n"/>
      <c r="T171" s="7">
        <f>IF(ROW()-5&gt;$U$1203,"",MATCH(ROW()-5,$U$4:$U$1203,0))</f>
      </c>
      <c r="U171">
        <f>N(U170)+IF(AND($B$2&lt;&gt;"",对接源_01水果!$AH171=$B$2,对接源_01水果!$B171&gt;=$U$1,对接源_01水果!$B171&lt;=$U$2),1,0)</f>
        <v>0</v>
      </c>
    </row>
    <row r="172" ht="15.75" customHeight="1" s="127">
      <c r="A172" s="191">
        <f>IF($T172="","",IF(INDEX(对接源_01水果!$B$4:$B$1203,$T172)=0,"",INDEX(对接源_01水果!$B$4:$B$1203,$T172)))</f>
      </c>
      <c r="B172" s="84">
        <f>IF($T172="","",IF(INDEX(对接源_01水果!$E$4:$E$1203,$T172)=0,"",INDEX(对接源_01水果!$E$4:$E$1203,$T172)))</f>
      </c>
      <c r="C172" s="84">
        <f>IF($T172="","",IF(INDEX(对接源_01水果!$AC$4:$AC$1203,$T172)=0,"",INDEX(对接源_01水果!$AC$4:$AC$1203,$T172)))</f>
      </c>
      <c r="D172" s="84">
        <f>IF($T172="","",IF(INDEX(对接源_01水果!$F$4:$F$1203,$T172)=0,"",INDEX(对接源_01水果!$F$4:$F$1203,$T172)))</f>
      </c>
      <c r="E172" s="84">
        <f>IF($T172="","",IF(INDEX(对接源_01水果!$G$4:$G$1203,$T172)=0,"",INDEX(对接源_01水果!$G$4:$G$1203,$T172)))</f>
      </c>
      <c r="F172" s="84">
        <f>IF($T172="","",IF(INDEX(对接源_01水果!$H$4:$H$1203,$T172)=0,"",INDEX(对接源_01水果!$H$4:$H$1203,$T172)))</f>
      </c>
      <c r="G172" s="84">
        <f>IF($T172="","",IF(INDEX(对接源_01水果!$I$4:$I$1203,$T172)=0,"",INDEX(对接源_01水果!$I$4:$I$1203,$T172)))</f>
      </c>
      <c r="H172" s="86">
        <f>IF($T172="","",IF(INDEX(对接源_01水果!$AD$4:$AD$1203,$T172)=0,"",INDEX(对接源_01水果!$AD$4:$AD$1203,$T172)))</f>
      </c>
      <c r="I172" s="86">
        <f>IF($T172="","",IF(INDEX(对接源_01水果!$AI$4:$AI$1203,$T172)=0,"",INDEX(对接源_01水果!$AI$4:$AI$1203,$T172)))</f>
      </c>
      <c r="J172" s="86">
        <f>IF($T172="","",IF(INDEX(对接源_01水果!$AE$4:$AE$1203,$T172)=0,"",INDEX(对接源_01水果!$AE$4:$AE$1203,$T172)))</f>
      </c>
      <c r="K172" s="86">
        <f>IF($T172="","",IF(INDEX(对接源_01水果!$AF$4:$AF$1203,$T172)=0,"",INDEX(对接源_01水果!$AF$4:$AF$1203,$T172)))</f>
      </c>
      <c r="L172" s="86">
        <f>IF($T172="","",IF(INDEX(对接源_01水果!$K$4:$K$1203,$T172)=0,"",INDEX(对接源_01水果!$K$4:$K$1203,$T172)))</f>
      </c>
      <c r="M172" s="84">
        <f>IF($T172="","",IF(INDEX(对接源_01水果!$L$4:$L$1203,$T172)=0,"",INDEX(对接源_01水果!$L$4:$L$1203,$T172)))</f>
      </c>
      <c r="N172" s="87">
        <f>IF($T172="","",IF(INDEX(对接源_01水果!$M$4:$M$1203,$T172)=0,"",INDEX(对接源_01水果!$M$4:$M$1203,$T172)))</f>
      </c>
      <c r="S172" s="7" t="n"/>
      <c r="T172" s="7">
        <f>IF(ROW()-5&gt;$U$1203,"",MATCH(ROW()-5,$U$4:$U$1203,0))</f>
      </c>
      <c r="U172">
        <f>N(U171)+IF(AND($B$2&lt;&gt;"",对接源_01水果!$AH172=$B$2,对接源_01水果!$B172&gt;=$U$1,对接源_01水果!$B172&lt;=$U$2),1,0)</f>
        <v>0</v>
      </c>
    </row>
    <row r="173" ht="15.75" customHeight="1" s="127">
      <c r="A173" s="191">
        <f>IF($T173="","",IF(INDEX(对接源_01水果!$B$4:$B$1203,$T173)=0,"",INDEX(对接源_01水果!$B$4:$B$1203,$T173)))</f>
      </c>
      <c r="B173" s="84">
        <f>IF($T173="","",IF(INDEX(对接源_01水果!$E$4:$E$1203,$T173)=0,"",INDEX(对接源_01水果!$E$4:$E$1203,$T173)))</f>
      </c>
      <c r="C173" s="84">
        <f>IF($T173="","",IF(INDEX(对接源_01水果!$AC$4:$AC$1203,$T173)=0,"",INDEX(对接源_01水果!$AC$4:$AC$1203,$T173)))</f>
      </c>
      <c r="D173" s="84">
        <f>IF($T173="","",IF(INDEX(对接源_01水果!$F$4:$F$1203,$T173)=0,"",INDEX(对接源_01水果!$F$4:$F$1203,$T173)))</f>
      </c>
      <c r="E173" s="84">
        <f>IF($T173="","",IF(INDEX(对接源_01水果!$G$4:$G$1203,$T173)=0,"",INDEX(对接源_01水果!$G$4:$G$1203,$T173)))</f>
      </c>
      <c r="F173" s="84">
        <f>IF($T173="","",IF(INDEX(对接源_01水果!$H$4:$H$1203,$T173)=0,"",INDEX(对接源_01水果!$H$4:$H$1203,$T173)))</f>
      </c>
      <c r="G173" s="84">
        <f>IF($T173="","",IF(INDEX(对接源_01水果!$I$4:$I$1203,$T173)=0,"",INDEX(对接源_01水果!$I$4:$I$1203,$T173)))</f>
      </c>
      <c r="H173" s="86">
        <f>IF($T173="","",IF(INDEX(对接源_01水果!$AD$4:$AD$1203,$T173)=0,"",INDEX(对接源_01水果!$AD$4:$AD$1203,$T173)))</f>
      </c>
      <c r="I173" s="86">
        <f>IF($T173="","",IF(INDEX(对接源_01水果!$AI$4:$AI$1203,$T173)=0,"",INDEX(对接源_01水果!$AI$4:$AI$1203,$T173)))</f>
      </c>
      <c r="J173" s="86">
        <f>IF($T173="","",IF(INDEX(对接源_01水果!$AE$4:$AE$1203,$T173)=0,"",INDEX(对接源_01水果!$AE$4:$AE$1203,$T173)))</f>
      </c>
      <c r="K173" s="86">
        <f>IF($T173="","",IF(INDEX(对接源_01水果!$AF$4:$AF$1203,$T173)=0,"",INDEX(对接源_01水果!$AF$4:$AF$1203,$T173)))</f>
      </c>
      <c r="L173" s="86">
        <f>IF($T173="","",IF(INDEX(对接源_01水果!$K$4:$K$1203,$T173)=0,"",INDEX(对接源_01水果!$K$4:$K$1203,$T173)))</f>
      </c>
      <c r="M173" s="84">
        <f>IF($T173="","",IF(INDEX(对接源_01水果!$L$4:$L$1203,$T173)=0,"",INDEX(对接源_01水果!$L$4:$L$1203,$T173)))</f>
      </c>
      <c r="N173" s="87">
        <f>IF($T173="","",IF(INDEX(对接源_01水果!$M$4:$M$1203,$T173)=0,"",INDEX(对接源_01水果!$M$4:$M$1203,$T173)))</f>
      </c>
      <c r="S173" s="7" t="n"/>
      <c r="T173" s="7">
        <f>IF(ROW()-5&gt;$U$1203,"",MATCH(ROW()-5,$U$4:$U$1203,0))</f>
      </c>
      <c r="U173">
        <f>N(U172)+IF(AND($B$2&lt;&gt;"",对接源_01水果!$AH173=$B$2,对接源_01水果!$B173&gt;=$U$1,对接源_01水果!$B173&lt;=$U$2),1,0)</f>
        <v>0</v>
      </c>
    </row>
    <row r="174" ht="15.75" customHeight="1" s="127">
      <c r="A174" s="191">
        <f>IF($T174="","",IF(INDEX(对接源_01水果!$B$4:$B$1203,$T174)=0,"",INDEX(对接源_01水果!$B$4:$B$1203,$T174)))</f>
      </c>
      <c r="B174" s="84">
        <f>IF($T174="","",IF(INDEX(对接源_01水果!$E$4:$E$1203,$T174)=0,"",INDEX(对接源_01水果!$E$4:$E$1203,$T174)))</f>
      </c>
      <c r="C174" s="84">
        <f>IF($T174="","",IF(INDEX(对接源_01水果!$AC$4:$AC$1203,$T174)=0,"",INDEX(对接源_01水果!$AC$4:$AC$1203,$T174)))</f>
      </c>
      <c r="D174" s="84">
        <f>IF($T174="","",IF(INDEX(对接源_01水果!$F$4:$F$1203,$T174)=0,"",INDEX(对接源_01水果!$F$4:$F$1203,$T174)))</f>
      </c>
      <c r="E174" s="84">
        <f>IF($T174="","",IF(INDEX(对接源_01水果!$G$4:$G$1203,$T174)=0,"",INDEX(对接源_01水果!$G$4:$G$1203,$T174)))</f>
      </c>
      <c r="F174" s="84">
        <f>IF($T174="","",IF(INDEX(对接源_01水果!$H$4:$H$1203,$T174)=0,"",INDEX(对接源_01水果!$H$4:$H$1203,$T174)))</f>
      </c>
      <c r="G174" s="84">
        <f>IF($T174="","",IF(INDEX(对接源_01水果!$I$4:$I$1203,$T174)=0,"",INDEX(对接源_01水果!$I$4:$I$1203,$T174)))</f>
      </c>
      <c r="H174" s="86">
        <f>IF($T174="","",IF(INDEX(对接源_01水果!$AD$4:$AD$1203,$T174)=0,"",INDEX(对接源_01水果!$AD$4:$AD$1203,$T174)))</f>
      </c>
      <c r="I174" s="86">
        <f>IF($T174="","",IF(INDEX(对接源_01水果!$AI$4:$AI$1203,$T174)=0,"",INDEX(对接源_01水果!$AI$4:$AI$1203,$T174)))</f>
      </c>
      <c r="J174" s="86">
        <f>IF($T174="","",IF(INDEX(对接源_01水果!$AE$4:$AE$1203,$T174)=0,"",INDEX(对接源_01水果!$AE$4:$AE$1203,$T174)))</f>
      </c>
      <c r="K174" s="86">
        <f>IF($T174="","",IF(INDEX(对接源_01水果!$AF$4:$AF$1203,$T174)=0,"",INDEX(对接源_01水果!$AF$4:$AF$1203,$T174)))</f>
      </c>
      <c r="L174" s="86">
        <f>IF($T174="","",IF(INDEX(对接源_01水果!$K$4:$K$1203,$T174)=0,"",INDEX(对接源_01水果!$K$4:$K$1203,$T174)))</f>
      </c>
      <c r="M174" s="84">
        <f>IF($T174="","",IF(INDEX(对接源_01水果!$L$4:$L$1203,$T174)=0,"",INDEX(对接源_01水果!$L$4:$L$1203,$T174)))</f>
      </c>
      <c r="N174" s="87">
        <f>IF($T174="","",IF(INDEX(对接源_01水果!$M$4:$M$1203,$T174)=0,"",INDEX(对接源_01水果!$M$4:$M$1203,$T174)))</f>
      </c>
      <c r="S174" s="7" t="n"/>
      <c r="T174" s="7">
        <f>IF(ROW()-5&gt;$U$1203,"",MATCH(ROW()-5,$U$4:$U$1203,0))</f>
      </c>
      <c r="U174">
        <f>N(U173)+IF(AND($B$2&lt;&gt;"",对接源_01水果!$AH174=$B$2,对接源_01水果!$B174&gt;=$U$1,对接源_01水果!$B174&lt;=$U$2),1,0)</f>
        <v>0</v>
      </c>
    </row>
    <row r="175" ht="15.75" customHeight="1" s="127">
      <c r="A175" s="191">
        <f>IF($T175="","",IF(INDEX(对接源_01水果!$B$4:$B$1203,$T175)=0,"",INDEX(对接源_01水果!$B$4:$B$1203,$T175)))</f>
      </c>
      <c r="B175" s="84">
        <f>IF($T175="","",IF(INDEX(对接源_01水果!$E$4:$E$1203,$T175)=0,"",INDEX(对接源_01水果!$E$4:$E$1203,$T175)))</f>
      </c>
      <c r="C175" s="84">
        <f>IF($T175="","",IF(INDEX(对接源_01水果!$AC$4:$AC$1203,$T175)=0,"",INDEX(对接源_01水果!$AC$4:$AC$1203,$T175)))</f>
      </c>
      <c r="D175" s="84">
        <f>IF($T175="","",IF(INDEX(对接源_01水果!$F$4:$F$1203,$T175)=0,"",INDEX(对接源_01水果!$F$4:$F$1203,$T175)))</f>
      </c>
      <c r="E175" s="84">
        <f>IF($T175="","",IF(INDEX(对接源_01水果!$G$4:$G$1203,$T175)=0,"",INDEX(对接源_01水果!$G$4:$G$1203,$T175)))</f>
      </c>
      <c r="F175" s="84">
        <f>IF($T175="","",IF(INDEX(对接源_01水果!$H$4:$H$1203,$T175)=0,"",INDEX(对接源_01水果!$H$4:$H$1203,$T175)))</f>
      </c>
      <c r="G175" s="84">
        <f>IF($T175="","",IF(INDEX(对接源_01水果!$I$4:$I$1203,$T175)=0,"",INDEX(对接源_01水果!$I$4:$I$1203,$T175)))</f>
      </c>
      <c r="H175" s="86">
        <f>IF($T175="","",IF(INDEX(对接源_01水果!$AD$4:$AD$1203,$T175)=0,"",INDEX(对接源_01水果!$AD$4:$AD$1203,$T175)))</f>
      </c>
      <c r="I175" s="86">
        <f>IF($T175="","",IF(INDEX(对接源_01水果!$AI$4:$AI$1203,$T175)=0,"",INDEX(对接源_01水果!$AI$4:$AI$1203,$T175)))</f>
      </c>
      <c r="J175" s="86">
        <f>IF($T175="","",IF(INDEX(对接源_01水果!$AE$4:$AE$1203,$T175)=0,"",INDEX(对接源_01水果!$AE$4:$AE$1203,$T175)))</f>
      </c>
      <c r="K175" s="86">
        <f>IF($T175="","",IF(INDEX(对接源_01水果!$AF$4:$AF$1203,$T175)=0,"",INDEX(对接源_01水果!$AF$4:$AF$1203,$T175)))</f>
      </c>
      <c r="L175" s="86">
        <f>IF($T175="","",IF(INDEX(对接源_01水果!$K$4:$K$1203,$T175)=0,"",INDEX(对接源_01水果!$K$4:$K$1203,$T175)))</f>
      </c>
      <c r="M175" s="84">
        <f>IF($T175="","",IF(INDEX(对接源_01水果!$L$4:$L$1203,$T175)=0,"",INDEX(对接源_01水果!$L$4:$L$1203,$T175)))</f>
      </c>
      <c r="N175" s="87">
        <f>IF($T175="","",IF(INDEX(对接源_01水果!$M$4:$M$1203,$T175)=0,"",INDEX(对接源_01水果!$M$4:$M$1203,$T175)))</f>
      </c>
      <c r="S175" s="7" t="n"/>
      <c r="T175" s="7">
        <f>IF(ROW()-5&gt;$U$1203,"",MATCH(ROW()-5,$U$4:$U$1203,0))</f>
      </c>
      <c r="U175">
        <f>N(U174)+IF(AND($B$2&lt;&gt;"",对接源_01水果!$AH175=$B$2,对接源_01水果!$B175&gt;=$U$1,对接源_01水果!$B175&lt;=$U$2),1,0)</f>
        <v>0</v>
      </c>
    </row>
    <row r="176" ht="15.75" customHeight="1" s="127">
      <c r="A176" s="191">
        <f>IF($T176="","",IF(INDEX(对接源_01水果!$B$4:$B$1203,$T176)=0,"",INDEX(对接源_01水果!$B$4:$B$1203,$T176)))</f>
      </c>
      <c r="B176" s="84">
        <f>IF($T176="","",IF(INDEX(对接源_01水果!$E$4:$E$1203,$T176)=0,"",INDEX(对接源_01水果!$E$4:$E$1203,$T176)))</f>
      </c>
      <c r="C176" s="84">
        <f>IF($T176="","",IF(INDEX(对接源_01水果!$AC$4:$AC$1203,$T176)=0,"",INDEX(对接源_01水果!$AC$4:$AC$1203,$T176)))</f>
      </c>
      <c r="D176" s="84">
        <f>IF($T176="","",IF(INDEX(对接源_01水果!$F$4:$F$1203,$T176)=0,"",INDEX(对接源_01水果!$F$4:$F$1203,$T176)))</f>
      </c>
      <c r="E176" s="84">
        <f>IF($T176="","",IF(INDEX(对接源_01水果!$G$4:$G$1203,$T176)=0,"",INDEX(对接源_01水果!$G$4:$G$1203,$T176)))</f>
      </c>
      <c r="F176" s="84">
        <f>IF($T176="","",IF(INDEX(对接源_01水果!$H$4:$H$1203,$T176)=0,"",INDEX(对接源_01水果!$H$4:$H$1203,$T176)))</f>
      </c>
      <c r="G176" s="84">
        <f>IF($T176="","",IF(INDEX(对接源_01水果!$I$4:$I$1203,$T176)=0,"",INDEX(对接源_01水果!$I$4:$I$1203,$T176)))</f>
      </c>
      <c r="H176" s="86">
        <f>IF($T176="","",IF(INDEX(对接源_01水果!$AD$4:$AD$1203,$T176)=0,"",INDEX(对接源_01水果!$AD$4:$AD$1203,$T176)))</f>
      </c>
      <c r="I176" s="86">
        <f>IF($T176="","",IF(INDEX(对接源_01水果!$AI$4:$AI$1203,$T176)=0,"",INDEX(对接源_01水果!$AI$4:$AI$1203,$T176)))</f>
      </c>
      <c r="J176" s="86">
        <f>IF($T176="","",IF(INDEX(对接源_01水果!$AE$4:$AE$1203,$T176)=0,"",INDEX(对接源_01水果!$AE$4:$AE$1203,$T176)))</f>
      </c>
      <c r="K176" s="86">
        <f>IF($T176="","",IF(INDEX(对接源_01水果!$AF$4:$AF$1203,$T176)=0,"",INDEX(对接源_01水果!$AF$4:$AF$1203,$T176)))</f>
      </c>
      <c r="L176" s="86">
        <f>IF($T176="","",IF(INDEX(对接源_01水果!$K$4:$K$1203,$T176)=0,"",INDEX(对接源_01水果!$K$4:$K$1203,$T176)))</f>
      </c>
      <c r="M176" s="84">
        <f>IF($T176="","",IF(INDEX(对接源_01水果!$L$4:$L$1203,$T176)=0,"",INDEX(对接源_01水果!$L$4:$L$1203,$T176)))</f>
      </c>
      <c r="N176" s="87">
        <f>IF($T176="","",IF(INDEX(对接源_01水果!$M$4:$M$1203,$T176)=0,"",INDEX(对接源_01水果!$M$4:$M$1203,$T176)))</f>
      </c>
      <c r="S176" s="7" t="n"/>
      <c r="T176" s="7">
        <f>IF(ROW()-5&gt;$U$1203,"",MATCH(ROW()-5,$U$4:$U$1203,0))</f>
      </c>
      <c r="U176">
        <f>N(U175)+IF(AND($B$2&lt;&gt;"",对接源_01水果!$AH176=$B$2,对接源_01水果!$B176&gt;=$U$1,对接源_01水果!$B176&lt;=$U$2),1,0)</f>
        <v>0</v>
      </c>
    </row>
    <row r="177" ht="15.75" customHeight="1" s="127">
      <c r="A177" s="191">
        <f>IF($T177="","",IF(INDEX(对接源_01水果!$B$4:$B$1203,$T177)=0,"",INDEX(对接源_01水果!$B$4:$B$1203,$T177)))</f>
      </c>
      <c r="B177" s="84">
        <f>IF($T177="","",IF(INDEX(对接源_01水果!$E$4:$E$1203,$T177)=0,"",INDEX(对接源_01水果!$E$4:$E$1203,$T177)))</f>
      </c>
      <c r="C177" s="84">
        <f>IF($T177="","",IF(INDEX(对接源_01水果!$AC$4:$AC$1203,$T177)=0,"",INDEX(对接源_01水果!$AC$4:$AC$1203,$T177)))</f>
      </c>
      <c r="D177" s="84">
        <f>IF($T177="","",IF(INDEX(对接源_01水果!$F$4:$F$1203,$T177)=0,"",INDEX(对接源_01水果!$F$4:$F$1203,$T177)))</f>
      </c>
      <c r="E177" s="84">
        <f>IF($T177="","",IF(INDEX(对接源_01水果!$G$4:$G$1203,$T177)=0,"",INDEX(对接源_01水果!$G$4:$G$1203,$T177)))</f>
      </c>
      <c r="F177" s="84">
        <f>IF($T177="","",IF(INDEX(对接源_01水果!$H$4:$H$1203,$T177)=0,"",INDEX(对接源_01水果!$H$4:$H$1203,$T177)))</f>
      </c>
      <c r="G177" s="84">
        <f>IF($T177="","",IF(INDEX(对接源_01水果!$I$4:$I$1203,$T177)=0,"",INDEX(对接源_01水果!$I$4:$I$1203,$T177)))</f>
      </c>
      <c r="H177" s="86">
        <f>IF($T177="","",IF(INDEX(对接源_01水果!$AD$4:$AD$1203,$T177)=0,"",INDEX(对接源_01水果!$AD$4:$AD$1203,$T177)))</f>
      </c>
      <c r="I177" s="86">
        <f>IF($T177="","",IF(INDEX(对接源_01水果!$AI$4:$AI$1203,$T177)=0,"",INDEX(对接源_01水果!$AI$4:$AI$1203,$T177)))</f>
      </c>
      <c r="J177" s="86">
        <f>IF($T177="","",IF(INDEX(对接源_01水果!$AE$4:$AE$1203,$T177)=0,"",INDEX(对接源_01水果!$AE$4:$AE$1203,$T177)))</f>
      </c>
      <c r="K177" s="86">
        <f>IF($T177="","",IF(INDEX(对接源_01水果!$AF$4:$AF$1203,$T177)=0,"",INDEX(对接源_01水果!$AF$4:$AF$1203,$T177)))</f>
      </c>
      <c r="L177" s="86">
        <f>IF($T177="","",IF(INDEX(对接源_01水果!$K$4:$K$1203,$T177)=0,"",INDEX(对接源_01水果!$K$4:$K$1203,$T177)))</f>
      </c>
      <c r="M177" s="84">
        <f>IF($T177="","",IF(INDEX(对接源_01水果!$L$4:$L$1203,$T177)=0,"",INDEX(对接源_01水果!$L$4:$L$1203,$T177)))</f>
      </c>
      <c r="N177" s="87">
        <f>IF($T177="","",IF(INDEX(对接源_01水果!$M$4:$M$1203,$T177)=0,"",INDEX(对接源_01水果!$M$4:$M$1203,$T177)))</f>
      </c>
      <c r="S177" s="7" t="n"/>
      <c r="T177" s="7">
        <f>IF(ROW()-5&gt;$U$1203,"",MATCH(ROW()-5,$U$4:$U$1203,0))</f>
      </c>
      <c r="U177">
        <f>N(U176)+IF(AND($B$2&lt;&gt;"",对接源_01水果!$AH177=$B$2,对接源_01水果!$B177&gt;=$U$1,对接源_01水果!$B177&lt;=$U$2),1,0)</f>
        <v>0</v>
      </c>
    </row>
    <row r="178" ht="15.75" customHeight="1" s="127">
      <c r="A178" s="191">
        <f>IF($T178="","",IF(INDEX(对接源_01水果!$B$4:$B$1203,$T178)=0,"",INDEX(对接源_01水果!$B$4:$B$1203,$T178)))</f>
      </c>
      <c r="B178" s="84">
        <f>IF($T178="","",IF(INDEX(对接源_01水果!$E$4:$E$1203,$T178)=0,"",INDEX(对接源_01水果!$E$4:$E$1203,$T178)))</f>
      </c>
      <c r="C178" s="84">
        <f>IF($T178="","",IF(INDEX(对接源_01水果!$AC$4:$AC$1203,$T178)=0,"",INDEX(对接源_01水果!$AC$4:$AC$1203,$T178)))</f>
      </c>
      <c r="D178" s="84">
        <f>IF($T178="","",IF(INDEX(对接源_01水果!$F$4:$F$1203,$T178)=0,"",INDEX(对接源_01水果!$F$4:$F$1203,$T178)))</f>
      </c>
      <c r="E178" s="84">
        <f>IF($T178="","",IF(INDEX(对接源_01水果!$G$4:$G$1203,$T178)=0,"",INDEX(对接源_01水果!$G$4:$G$1203,$T178)))</f>
      </c>
      <c r="F178" s="84">
        <f>IF($T178="","",IF(INDEX(对接源_01水果!$H$4:$H$1203,$T178)=0,"",INDEX(对接源_01水果!$H$4:$H$1203,$T178)))</f>
      </c>
      <c r="G178" s="84">
        <f>IF($T178="","",IF(INDEX(对接源_01水果!$I$4:$I$1203,$T178)=0,"",INDEX(对接源_01水果!$I$4:$I$1203,$T178)))</f>
      </c>
      <c r="H178" s="86">
        <f>IF($T178="","",IF(INDEX(对接源_01水果!$AD$4:$AD$1203,$T178)=0,"",INDEX(对接源_01水果!$AD$4:$AD$1203,$T178)))</f>
      </c>
      <c r="I178" s="86">
        <f>IF($T178="","",IF(INDEX(对接源_01水果!$AI$4:$AI$1203,$T178)=0,"",INDEX(对接源_01水果!$AI$4:$AI$1203,$T178)))</f>
      </c>
      <c r="J178" s="86">
        <f>IF($T178="","",IF(INDEX(对接源_01水果!$AE$4:$AE$1203,$T178)=0,"",INDEX(对接源_01水果!$AE$4:$AE$1203,$T178)))</f>
      </c>
      <c r="K178" s="86">
        <f>IF($T178="","",IF(INDEX(对接源_01水果!$AF$4:$AF$1203,$T178)=0,"",INDEX(对接源_01水果!$AF$4:$AF$1203,$T178)))</f>
      </c>
      <c r="L178" s="86">
        <f>IF($T178="","",IF(INDEX(对接源_01水果!$K$4:$K$1203,$T178)=0,"",INDEX(对接源_01水果!$K$4:$K$1203,$T178)))</f>
      </c>
      <c r="M178" s="84">
        <f>IF($T178="","",IF(INDEX(对接源_01水果!$L$4:$L$1203,$T178)=0,"",INDEX(对接源_01水果!$L$4:$L$1203,$T178)))</f>
      </c>
      <c r="N178" s="87">
        <f>IF($T178="","",IF(INDEX(对接源_01水果!$M$4:$M$1203,$T178)=0,"",INDEX(对接源_01水果!$M$4:$M$1203,$T178)))</f>
      </c>
      <c r="S178" s="7" t="n"/>
      <c r="T178" s="7">
        <f>IF(ROW()-5&gt;$U$1203,"",MATCH(ROW()-5,$U$4:$U$1203,0))</f>
      </c>
      <c r="U178">
        <f>N(U177)+IF(AND($B$2&lt;&gt;"",对接源_01水果!$AH178=$B$2,对接源_01水果!$B178&gt;=$U$1,对接源_01水果!$B178&lt;=$U$2),1,0)</f>
        <v>0</v>
      </c>
    </row>
    <row r="179" ht="15.75" customHeight="1" s="127">
      <c r="A179" s="191">
        <f>IF($T179="","",IF(INDEX(对接源_01水果!$B$4:$B$1203,$T179)=0,"",INDEX(对接源_01水果!$B$4:$B$1203,$T179)))</f>
      </c>
      <c r="B179" s="84">
        <f>IF($T179="","",IF(INDEX(对接源_01水果!$E$4:$E$1203,$T179)=0,"",INDEX(对接源_01水果!$E$4:$E$1203,$T179)))</f>
      </c>
      <c r="C179" s="84">
        <f>IF($T179="","",IF(INDEX(对接源_01水果!$AC$4:$AC$1203,$T179)=0,"",INDEX(对接源_01水果!$AC$4:$AC$1203,$T179)))</f>
      </c>
      <c r="D179" s="84">
        <f>IF($T179="","",IF(INDEX(对接源_01水果!$F$4:$F$1203,$T179)=0,"",INDEX(对接源_01水果!$F$4:$F$1203,$T179)))</f>
      </c>
      <c r="E179" s="84">
        <f>IF($T179="","",IF(INDEX(对接源_01水果!$G$4:$G$1203,$T179)=0,"",INDEX(对接源_01水果!$G$4:$G$1203,$T179)))</f>
      </c>
      <c r="F179" s="84">
        <f>IF($T179="","",IF(INDEX(对接源_01水果!$H$4:$H$1203,$T179)=0,"",INDEX(对接源_01水果!$H$4:$H$1203,$T179)))</f>
      </c>
      <c r="G179" s="84">
        <f>IF($T179="","",IF(INDEX(对接源_01水果!$I$4:$I$1203,$T179)=0,"",INDEX(对接源_01水果!$I$4:$I$1203,$T179)))</f>
      </c>
      <c r="H179" s="86">
        <f>IF($T179="","",IF(INDEX(对接源_01水果!$AD$4:$AD$1203,$T179)=0,"",INDEX(对接源_01水果!$AD$4:$AD$1203,$T179)))</f>
      </c>
      <c r="I179" s="86">
        <f>IF($T179="","",IF(INDEX(对接源_01水果!$AI$4:$AI$1203,$T179)=0,"",INDEX(对接源_01水果!$AI$4:$AI$1203,$T179)))</f>
      </c>
      <c r="J179" s="86">
        <f>IF($T179="","",IF(INDEX(对接源_01水果!$AE$4:$AE$1203,$T179)=0,"",INDEX(对接源_01水果!$AE$4:$AE$1203,$T179)))</f>
      </c>
      <c r="K179" s="86">
        <f>IF($T179="","",IF(INDEX(对接源_01水果!$AF$4:$AF$1203,$T179)=0,"",INDEX(对接源_01水果!$AF$4:$AF$1203,$T179)))</f>
      </c>
      <c r="L179" s="86">
        <f>IF($T179="","",IF(INDEX(对接源_01水果!$K$4:$K$1203,$T179)=0,"",INDEX(对接源_01水果!$K$4:$K$1203,$T179)))</f>
      </c>
      <c r="M179" s="84">
        <f>IF($T179="","",IF(INDEX(对接源_01水果!$L$4:$L$1203,$T179)=0,"",INDEX(对接源_01水果!$L$4:$L$1203,$T179)))</f>
      </c>
      <c r="N179" s="87">
        <f>IF($T179="","",IF(INDEX(对接源_01水果!$M$4:$M$1203,$T179)=0,"",INDEX(对接源_01水果!$M$4:$M$1203,$T179)))</f>
      </c>
      <c r="S179" s="7" t="n"/>
      <c r="T179" s="7">
        <f>IF(ROW()-5&gt;$U$1203,"",MATCH(ROW()-5,$U$4:$U$1203,0))</f>
      </c>
      <c r="U179">
        <f>N(U178)+IF(AND($B$2&lt;&gt;"",对接源_01水果!$AH179=$B$2,对接源_01水果!$B179&gt;=$U$1,对接源_01水果!$B179&lt;=$U$2),1,0)</f>
        <v>0</v>
      </c>
    </row>
    <row r="180" ht="15.75" customHeight="1" s="127">
      <c r="A180" s="191">
        <f>IF($T180="","",IF(INDEX(对接源_01水果!$B$4:$B$1203,$T180)=0,"",INDEX(对接源_01水果!$B$4:$B$1203,$T180)))</f>
      </c>
      <c r="B180" s="84">
        <f>IF($T180="","",IF(INDEX(对接源_01水果!$E$4:$E$1203,$T180)=0,"",INDEX(对接源_01水果!$E$4:$E$1203,$T180)))</f>
      </c>
      <c r="C180" s="84">
        <f>IF($T180="","",IF(INDEX(对接源_01水果!$AC$4:$AC$1203,$T180)=0,"",INDEX(对接源_01水果!$AC$4:$AC$1203,$T180)))</f>
      </c>
      <c r="D180" s="84">
        <f>IF($T180="","",IF(INDEX(对接源_01水果!$F$4:$F$1203,$T180)=0,"",INDEX(对接源_01水果!$F$4:$F$1203,$T180)))</f>
      </c>
      <c r="E180" s="84">
        <f>IF($T180="","",IF(INDEX(对接源_01水果!$G$4:$G$1203,$T180)=0,"",INDEX(对接源_01水果!$G$4:$G$1203,$T180)))</f>
      </c>
      <c r="F180" s="84">
        <f>IF($T180="","",IF(INDEX(对接源_01水果!$H$4:$H$1203,$T180)=0,"",INDEX(对接源_01水果!$H$4:$H$1203,$T180)))</f>
      </c>
      <c r="G180" s="84">
        <f>IF($T180="","",IF(INDEX(对接源_01水果!$I$4:$I$1203,$T180)=0,"",INDEX(对接源_01水果!$I$4:$I$1203,$T180)))</f>
      </c>
      <c r="H180" s="86">
        <f>IF($T180="","",IF(INDEX(对接源_01水果!$AD$4:$AD$1203,$T180)=0,"",INDEX(对接源_01水果!$AD$4:$AD$1203,$T180)))</f>
      </c>
      <c r="I180" s="86">
        <f>IF($T180="","",IF(INDEX(对接源_01水果!$AI$4:$AI$1203,$T180)=0,"",INDEX(对接源_01水果!$AI$4:$AI$1203,$T180)))</f>
      </c>
      <c r="J180" s="86">
        <f>IF($T180="","",IF(INDEX(对接源_01水果!$AE$4:$AE$1203,$T180)=0,"",INDEX(对接源_01水果!$AE$4:$AE$1203,$T180)))</f>
      </c>
      <c r="K180" s="86">
        <f>IF($T180="","",IF(INDEX(对接源_01水果!$AF$4:$AF$1203,$T180)=0,"",INDEX(对接源_01水果!$AF$4:$AF$1203,$T180)))</f>
      </c>
      <c r="L180" s="86">
        <f>IF($T180="","",IF(INDEX(对接源_01水果!$K$4:$K$1203,$T180)=0,"",INDEX(对接源_01水果!$K$4:$K$1203,$T180)))</f>
      </c>
      <c r="M180" s="84">
        <f>IF($T180="","",IF(INDEX(对接源_01水果!$L$4:$L$1203,$T180)=0,"",INDEX(对接源_01水果!$L$4:$L$1203,$T180)))</f>
      </c>
      <c r="N180" s="87">
        <f>IF($T180="","",IF(INDEX(对接源_01水果!$M$4:$M$1203,$T180)=0,"",INDEX(对接源_01水果!$M$4:$M$1203,$T180)))</f>
      </c>
      <c r="S180" s="7" t="n"/>
      <c r="T180" s="7">
        <f>IF(ROW()-5&gt;$U$1203,"",MATCH(ROW()-5,$U$4:$U$1203,0))</f>
      </c>
      <c r="U180">
        <f>N(U179)+IF(AND($B$2&lt;&gt;"",对接源_01水果!$AH180=$B$2,对接源_01水果!$B180&gt;=$U$1,对接源_01水果!$B180&lt;=$U$2),1,0)</f>
        <v>0</v>
      </c>
    </row>
    <row r="181" ht="15.75" customHeight="1" s="127">
      <c r="A181" s="191">
        <f>IF($T181="","",IF(INDEX(对接源_01水果!$B$4:$B$1203,$T181)=0,"",INDEX(对接源_01水果!$B$4:$B$1203,$T181)))</f>
      </c>
      <c r="B181" s="84">
        <f>IF($T181="","",IF(INDEX(对接源_01水果!$E$4:$E$1203,$T181)=0,"",INDEX(对接源_01水果!$E$4:$E$1203,$T181)))</f>
      </c>
      <c r="C181" s="84">
        <f>IF($T181="","",IF(INDEX(对接源_01水果!$AC$4:$AC$1203,$T181)=0,"",INDEX(对接源_01水果!$AC$4:$AC$1203,$T181)))</f>
      </c>
      <c r="D181" s="84">
        <f>IF($T181="","",IF(INDEX(对接源_01水果!$F$4:$F$1203,$T181)=0,"",INDEX(对接源_01水果!$F$4:$F$1203,$T181)))</f>
      </c>
      <c r="E181" s="84">
        <f>IF($T181="","",IF(INDEX(对接源_01水果!$G$4:$G$1203,$T181)=0,"",INDEX(对接源_01水果!$G$4:$G$1203,$T181)))</f>
      </c>
      <c r="F181" s="84">
        <f>IF($T181="","",IF(INDEX(对接源_01水果!$H$4:$H$1203,$T181)=0,"",INDEX(对接源_01水果!$H$4:$H$1203,$T181)))</f>
      </c>
      <c r="G181" s="84">
        <f>IF($T181="","",IF(INDEX(对接源_01水果!$I$4:$I$1203,$T181)=0,"",INDEX(对接源_01水果!$I$4:$I$1203,$T181)))</f>
      </c>
      <c r="H181" s="86">
        <f>IF($T181="","",IF(INDEX(对接源_01水果!$AD$4:$AD$1203,$T181)=0,"",INDEX(对接源_01水果!$AD$4:$AD$1203,$T181)))</f>
      </c>
      <c r="I181" s="86">
        <f>IF($T181="","",IF(INDEX(对接源_01水果!$AI$4:$AI$1203,$T181)=0,"",INDEX(对接源_01水果!$AI$4:$AI$1203,$T181)))</f>
      </c>
      <c r="J181" s="86">
        <f>IF($T181="","",IF(INDEX(对接源_01水果!$AE$4:$AE$1203,$T181)=0,"",INDEX(对接源_01水果!$AE$4:$AE$1203,$T181)))</f>
      </c>
      <c r="K181" s="86">
        <f>IF($T181="","",IF(INDEX(对接源_01水果!$AF$4:$AF$1203,$T181)=0,"",INDEX(对接源_01水果!$AF$4:$AF$1203,$T181)))</f>
      </c>
      <c r="L181" s="86">
        <f>IF($T181="","",IF(INDEX(对接源_01水果!$K$4:$K$1203,$T181)=0,"",INDEX(对接源_01水果!$K$4:$K$1203,$T181)))</f>
      </c>
      <c r="M181" s="84">
        <f>IF($T181="","",IF(INDEX(对接源_01水果!$L$4:$L$1203,$T181)=0,"",INDEX(对接源_01水果!$L$4:$L$1203,$T181)))</f>
      </c>
      <c r="N181" s="87">
        <f>IF($T181="","",IF(INDEX(对接源_01水果!$M$4:$M$1203,$T181)=0,"",INDEX(对接源_01水果!$M$4:$M$1203,$T181)))</f>
      </c>
      <c r="S181" s="7" t="n"/>
      <c r="T181" s="7">
        <f>IF(ROW()-5&gt;$U$1203,"",MATCH(ROW()-5,$U$4:$U$1203,0))</f>
      </c>
      <c r="U181">
        <f>N(U180)+IF(AND($B$2&lt;&gt;"",对接源_01水果!$AH181=$B$2,对接源_01水果!$B181&gt;=$U$1,对接源_01水果!$B181&lt;=$U$2),1,0)</f>
        <v>0</v>
      </c>
    </row>
    <row r="182" ht="15.75" customHeight="1" s="127">
      <c r="A182" s="191">
        <f>IF($T182="","",IF(INDEX(对接源_01水果!$B$4:$B$1203,$T182)=0,"",INDEX(对接源_01水果!$B$4:$B$1203,$T182)))</f>
      </c>
      <c r="B182" s="84">
        <f>IF($T182="","",IF(INDEX(对接源_01水果!$E$4:$E$1203,$T182)=0,"",INDEX(对接源_01水果!$E$4:$E$1203,$T182)))</f>
      </c>
      <c r="C182" s="84">
        <f>IF($T182="","",IF(INDEX(对接源_01水果!$AC$4:$AC$1203,$T182)=0,"",INDEX(对接源_01水果!$AC$4:$AC$1203,$T182)))</f>
      </c>
      <c r="D182" s="84">
        <f>IF($T182="","",IF(INDEX(对接源_01水果!$F$4:$F$1203,$T182)=0,"",INDEX(对接源_01水果!$F$4:$F$1203,$T182)))</f>
      </c>
      <c r="E182" s="84">
        <f>IF($T182="","",IF(INDEX(对接源_01水果!$G$4:$G$1203,$T182)=0,"",INDEX(对接源_01水果!$G$4:$G$1203,$T182)))</f>
      </c>
      <c r="F182" s="84">
        <f>IF($T182="","",IF(INDEX(对接源_01水果!$H$4:$H$1203,$T182)=0,"",INDEX(对接源_01水果!$H$4:$H$1203,$T182)))</f>
      </c>
      <c r="G182" s="84">
        <f>IF($T182="","",IF(INDEX(对接源_01水果!$I$4:$I$1203,$T182)=0,"",INDEX(对接源_01水果!$I$4:$I$1203,$T182)))</f>
      </c>
      <c r="H182" s="86">
        <f>IF($T182="","",IF(INDEX(对接源_01水果!$AD$4:$AD$1203,$T182)=0,"",INDEX(对接源_01水果!$AD$4:$AD$1203,$T182)))</f>
      </c>
      <c r="I182" s="86">
        <f>IF($T182="","",IF(INDEX(对接源_01水果!$AI$4:$AI$1203,$T182)=0,"",INDEX(对接源_01水果!$AI$4:$AI$1203,$T182)))</f>
      </c>
      <c r="J182" s="86">
        <f>IF($T182="","",IF(INDEX(对接源_01水果!$AE$4:$AE$1203,$T182)=0,"",INDEX(对接源_01水果!$AE$4:$AE$1203,$T182)))</f>
      </c>
      <c r="K182" s="86">
        <f>IF($T182="","",IF(INDEX(对接源_01水果!$AF$4:$AF$1203,$T182)=0,"",INDEX(对接源_01水果!$AF$4:$AF$1203,$T182)))</f>
      </c>
      <c r="L182" s="86">
        <f>IF($T182="","",IF(INDEX(对接源_01水果!$K$4:$K$1203,$T182)=0,"",INDEX(对接源_01水果!$K$4:$K$1203,$T182)))</f>
      </c>
      <c r="M182" s="84">
        <f>IF($T182="","",IF(INDEX(对接源_01水果!$L$4:$L$1203,$T182)=0,"",INDEX(对接源_01水果!$L$4:$L$1203,$T182)))</f>
      </c>
      <c r="N182" s="87">
        <f>IF($T182="","",IF(INDEX(对接源_01水果!$M$4:$M$1203,$T182)=0,"",INDEX(对接源_01水果!$M$4:$M$1203,$T182)))</f>
      </c>
      <c r="S182" s="7" t="n"/>
      <c r="T182" s="7">
        <f>IF(ROW()-5&gt;$U$1203,"",MATCH(ROW()-5,$U$4:$U$1203,0))</f>
      </c>
      <c r="U182">
        <f>N(U181)+IF(AND($B$2&lt;&gt;"",对接源_01水果!$AH182=$B$2,对接源_01水果!$B182&gt;=$U$1,对接源_01水果!$B182&lt;=$U$2),1,0)</f>
        <v>0</v>
      </c>
    </row>
    <row r="183" ht="15.75" customHeight="1" s="127">
      <c r="A183" s="191">
        <f>IF($T183="","",IF(INDEX(对接源_01水果!$B$4:$B$1203,$T183)=0,"",INDEX(对接源_01水果!$B$4:$B$1203,$T183)))</f>
      </c>
      <c r="B183" s="84">
        <f>IF($T183="","",IF(INDEX(对接源_01水果!$E$4:$E$1203,$T183)=0,"",INDEX(对接源_01水果!$E$4:$E$1203,$T183)))</f>
      </c>
      <c r="C183" s="84">
        <f>IF($T183="","",IF(INDEX(对接源_01水果!$AC$4:$AC$1203,$T183)=0,"",INDEX(对接源_01水果!$AC$4:$AC$1203,$T183)))</f>
      </c>
      <c r="D183" s="84">
        <f>IF($T183="","",IF(INDEX(对接源_01水果!$F$4:$F$1203,$T183)=0,"",INDEX(对接源_01水果!$F$4:$F$1203,$T183)))</f>
      </c>
      <c r="E183" s="84">
        <f>IF($T183="","",IF(INDEX(对接源_01水果!$G$4:$G$1203,$T183)=0,"",INDEX(对接源_01水果!$G$4:$G$1203,$T183)))</f>
      </c>
      <c r="F183" s="84">
        <f>IF($T183="","",IF(INDEX(对接源_01水果!$H$4:$H$1203,$T183)=0,"",INDEX(对接源_01水果!$H$4:$H$1203,$T183)))</f>
      </c>
      <c r="G183" s="84">
        <f>IF($T183="","",IF(INDEX(对接源_01水果!$I$4:$I$1203,$T183)=0,"",INDEX(对接源_01水果!$I$4:$I$1203,$T183)))</f>
      </c>
      <c r="H183" s="86">
        <f>IF($T183="","",IF(INDEX(对接源_01水果!$AD$4:$AD$1203,$T183)=0,"",INDEX(对接源_01水果!$AD$4:$AD$1203,$T183)))</f>
      </c>
      <c r="I183" s="86">
        <f>IF($T183="","",IF(INDEX(对接源_01水果!$AI$4:$AI$1203,$T183)=0,"",INDEX(对接源_01水果!$AI$4:$AI$1203,$T183)))</f>
      </c>
      <c r="J183" s="86">
        <f>IF($T183="","",IF(INDEX(对接源_01水果!$AE$4:$AE$1203,$T183)=0,"",INDEX(对接源_01水果!$AE$4:$AE$1203,$T183)))</f>
      </c>
      <c r="K183" s="86">
        <f>IF($T183="","",IF(INDEX(对接源_01水果!$AF$4:$AF$1203,$T183)=0,"",INDEX(对接源_01水果!$AF$4:$AF$1203,$T183)))</f>
      </c>
      <c r="L183" s="86">
        <f>IF($T183="","",IF(INDEX(对接源_01水果!$K$4:$K$1203,$T183)=0,"",INDEX(对接源_01水果!$K$4:$K$1203,$T183)))</f>
      </c>
      <c r="M183" s="84">
        <f>IF($T183="","",IF(INDEX(对接源_01水果!$L$4:$L$1203,$T183)=0,"",INDEX(对接源_01水果!$L$4:$L$1203,$T183)))</f>
      </c>
      <c r="N183" s="87">
        <f>IF($T183="","",IF(INDEX(对接源_01水果!$M$4:$M$1203,$T183)=0,"",INDEX(对接源_01水果!$M$4:$M$1203,$T183)))</f>
      </c>
      <c r="S183" s="7" t="n"/>
      <c r="T183" s="7">
        <f>IF(ROW()-5&gt;$U$1203,"",MATCH(ROW()-5,$U$4:$U$1203,0))</f>
      </c>
      <c r="U183">
        <f>N(U182)+IF(AND($B$2&lt;&gt;"",对接源_01水果!$AH183=$B$2,对接源_01水果!$B183&gt;=$U$1,对接源_01水果!$B183&lt;=$U$2),1,0)</f>
        <v>0</v>
      </c>
    </row>
    <row r="184" ht="15.75" customHeight="1" s="127">
      <c r="A184" s="191">
        <f>IF($T184="","",IF(INDEX(对接源_01水果!$B$4:$B$1203,$T184)=0,"",INDEX(对接源_01水果!$B$4:$B$1203,$T184)))</f>
      </c>
      <c r="B184" s="84">
        <f>IF($T184="","",IF(INDEX(对接源_01水果!$E$4:$E$1203,$T184)=0,"",INDEX(对接源_01水果!$E$4:$E$1203,$T184)))</f>
      </c>
      <c r="C184" s="84">
        <f>IF($T184="","",IF(INDEX(对接源_01水果!$AC$4:$AC$1203,$T184)=0,"",INDEX(对接源_01水果!$AC$4:$AC$1203,$T184)))</f>
      </c>
      <c r="D184" s="84">
        <f>IF($T184="","",IF(INDEX(对接源_01水果!$F$4:$F$1203,$T184)=0,"",INDEX(对接源_01水果!$F$4:$F$1203,$T184)))</f>
      </c>
      <c r="E184" s="84">
        <f>IF($T184="","",IF(INDEX(对接源_01水果!$G$4:$G$1203,$T184)=0,"",INDEX(对接源_01水果!$G$4:$G$1203,$T184)))</f>
      </c>
      <c r="F184" s="84">
        <f>IF($T184="","",IF(INDEX(对接源_01水果!$H$4:$H$1203,$T184)=0,"",INDEX(对接源_01水果!$H$4:$H$1203,$T184)))</f>
      </c>
      <c r="G184" s="84">
        <f>IF($T184="","",IF(INDEX(对接源_01水果!$I$4:$I$1203,$T184)=0,"",INDEX(对接源_01水果!$I$4:$I$1203,$T184)))</f>
      </c>
      <c r="H184" s="86">
        <f>IF($T184="","",IF(INDEX(对接源_01水果!$AD$4:$AD$1203,$T184)=0,"",INDEX(对接源_01水果!$AD$4:$AD$1203,$T184)))</f>
      </c>
      <c r="I184" s="86">
        <f>IF($T184="","",IF(INDEX(对接源_01水果!$AI$4:$AI$1203,$T184)=0,"",INDEX(对接源_01水果!$AI$4:$AI$1203,$T184)))</f>
      </c>
      <c r="J184" s="86">
        <f>IF($T184="","",IF(INDEX(对接源_01水果!$AE$4:$AE$1203,$T184)=0,"",INDEX(对接源_01水果!$AE$4:$AE$1203,$T184)))</f>
      </c>
      <c r="K184" s="86">
        <f>IF($T184="","",IF(INDEX(对接源_01水果!$AF$4:$AF$1203,$T184)=0,"",INDEX(对接源_01水果!$AF$4:$AF$1203,$T184)))</f>
      </c>
      <c r="L184" s="86">
        <f>IF($T184="","",IF(INDEX(对接源_01水果!$K$4:$K$1203,$T184)=0,"",INDEX(对接源_01水果!$K$4:$K$1203,$T184)))</f>
      </c>
      <c r="M184" s="84">
        <f>IF($T184="","",IF(INDEX(对接源_01水果!$L$4:$L$1203,$T184)=0,"",INDEX(对接源_01水果!$L$4:$L$1203,$T184)))</f>
      </c>
      <c r="N184" s="87">
        <f>IF($T184="","",IF(INDEX(对接源_01水果!$M$4:$M$1203,$T184)=0,"",INDEX(对接源_01水果!$M$4:$M$1203,$T184)))</f>
      </c>
      <c r="S184" s="7" t="n"/>
      <c r="T184" s="7">
        <f>IF(ROW()-5&gt;$U$1203,"",MATCH(ROW()-5,$U$4:$U$1203,0))</f>
      </c>
      <c r="U184">
        <f>N(U183)+IF(AND($B$2&lt;&gt;"",对接源_01水果!$AH184=$B$2,对接源_01水果!$B184&gt;=$U$1,对接源_01水果!$B184&lt;=$U$2),1,0)</f>
        <v>0</v>
      </c>
    </row>
    <row r="185" ht="15.75" customHeight="1" s="127">
      <c r="A185" s="191">
        <f>IF($T185="","",IF(INDEX(对接源_01水果!$B$4:$B$1203,$T185)=0,"",INDEX(对接源_01水果!$B$4:$B$1203,$T185)))</f>
      </c>
      <c r="B185" s="84">
        <f>IF($T185="","",IF(INDEX(对接源_01水果!$E$4:$E$1203,$T185)=0,"",INDEX(对接源_01水果!$E$4:$E$1203,$T185)))</f>
      </c>
      <c r="C185" s="84">
        <f>IF($T185="","",IF(INDEX(对接源_01水果!$AC$4:$AC$1203,$T185)=0,"",INDEX(对接源_01水果!$AC$4:$AC$1203,$T185)))</f>
      </c>
      <c r="D185" s="84">
        <f>IF($T185="","",IF(INDEX(对接源_01水果!$F$4:$F$1203,$T185)=0,"",INDEX(对接源_01水果!$F$4:$F$1203,$T185)))</f>
      </c>
      <c r="E185" s="84">
        <f>IF($T185="","",IF(INDEX(对接源_01水果!$G$4:$G$1203,$T185)=0,"",INDEX(对接源_01水果!$G$4:$G$1203,$T185)))</f>
      </c>
      <c r="F185" s="84">
        <f>IF($T185="","",IF(INDEX(对接源_01水果!$H$4:$H$1203,$T185)=0,"",INDEX(对接源_01水果!$H$4:$H$1203,$T185)))</f>
      </c>
      <c r="G185" s="84">
        <f>IF($T185="","",IF(INDEX(对接源_01水果!$I$4:$I$1203,$T185)=0,"",INDEX(对接源_01水果!$I$4:$I$1203,$T185)))</f>
      </c>
      <c r="H185" s="86">
        <f>IF($T185="","",IF(INDEX(对接源_01水果!$AD$4:$AD$1203,$T185)=0,"",INDEX(对接源_01水果!$AD$4:$AD$1203,$T185)))</f>
      </c>
      <c r="I185" s="86">
        <f>IF($T185="","",IF(INDEX(对接源_01水果!$AI$4:$AI$1203,$T185)=0,"",INDEX(对接源_01水果!$AI$4:$AI$1203,$T185)))</f>
      </c>
      <c r="J185" s="86">
        <f>IF($T185="","",IF(INDEX(对接源_01水果!$AE$4:$AE$1203,$T185)=0,"",INDEX(对接源_01水果!$AE$4:$AE$1203,$T185)))</f>
      </c>
      <c r="K185" s="86">
        <f>IF($T185="","",IF(INDEX(对接源_01水果!$AF$4:$AF$1203,$T185)=0,"",INDEX(对接源_01水果!$AF$4:$AF$1203,$T185)))</f>
      </c>
      <c r="L185" s="86">
        <f>IF($T185="","",IF(INDEX(对接源_01水果!$K$4:$K$1203,$T185)=0,"",INDEX(对接源_01水果!$K$4:$K$1203,$T185)))</f>
      </c>
      <c r="M185" s="84">
        <f>IF($T185="","",IF(INDEX(对接源_01水果!$L$4:$L$1203,$T185)=0,"",INDEX(对接源_01水果!$L$4:$L$1203,$T185)))</f>
      </c>
      <c r="N185" s="87">
        <f>IF($T185="","",IF(INDEX(对接源_01水果!$M$4:$M$1203,$T185)=0,"",INDEX(对接源_01水果!$M$4:$M$1203,$T185)))</f>
      </c>
      <c r="S185" s="7" t="n"/>
      <c r="T185" s="7">
        <f>IF(ROW()-5&gt;$U$1203,"",MATCH(ROW()-5,$U$4:$U$1203,0))</f>
      </c>
      <c r="U185">
        <f>N(U184)+IF(AND($B$2&lt;&gt;"",对接源_01水果!$AH185=$B$2,对接源_01水果!$B185&gt;=$U$1,对接源_01水果!$B185&lt;=$U$2),1,0)</f>
        <v>0</v>
      </c>
    </row>
    <row r="186" ht="15.75" customHeight="1" s="127">
      <c r="A186" s="191">
        <f>IF($T186="","",IF(INDEX(对接源_01水果!$B$4:$B$1203,$T186)=0,"",INDEX(对接源_01水果!$B$4:$B$1203,$T186)))</f>
      </c>
      <c r="B186" s="84">
        <f>IF($T186="","",IF(INDEX(对接源_01水果!$E$4:$E$1203,$T186)=0,"",INDEX(对接源_01水果!$E$4:$E$1203,$T186)))</f>
      </c>
      <c r="C186" s="84">
        <f>IF($T186="","",IF(INDEX(对接源_01水果!$AC$4:$AC$1203,$T186)=0,"",INDEX(对接源_01水果!$AC$4:$AC$1203,$T186)))</f>
      </c>
      <c r="D186" s="84">
        <f>IF($T186="","",IF(INDEX(对接源_01水果!$F$4:$F$1203,$T186)=0,"",INDEX(对接源_01水果!$F$4:$F$1203,$T186)))</f>
      </c>
      <c r="E186" s="84">
        <f>IF($T186="","",IF(INDEX(对接源_01水果!$G$4:$G$1203,$T186)=0,"",INDEX(对接源_01水果!$G$4:$G$1203,$T186)))</f>
      </c>
      <c r="F186" s="84">
        <f>IF($T186="","",IF(INDEX(对接源_01水果!$H$4:$H$1203,$T186)=0,"",INDEX(对接源_01水果!$H$4:$H$1203,$T186)))</f>
      </c>
      <c r="G186" s="84">
        <f>IF($T186="","",IF(INDEX(对接源_01水果!$I$4:$I$1203,$T186)=0,"",INDEX(对接源_01水果!$I$4:$I$1203,$T186)))</f>
      </c>
      <c r="H186" s="86">
        <f>IF($T186="","",IF(INDEX(对接源_01水果!$AD$4:$AD$1203,$T186)=0,"",INDEX(对接源_01水果!$AD$4:$AD$1203,$T186)))</f>
      </c>
      <c r="I186" s="86">
        <f>IF($T186="","",IF(INDEX(对接源_01水果!$AI$4:$AI$1203,$T186)=0,"",INDEX(对接源_01水果!$AI$4:$AI$1203,$T186)))</f>
      </c>
      <c r="J186" s="86">
        <f>IF($T186="","",IF(INDEX(对接源_01水果!$AE$4:$AE$1203,$T186)=0,"",INDEX(对接源_01水果!$AE$4:$AE$1203,$T186)))</f>
      </c>
      <c r="K186" s="86">
        <f>IF($T186="","",IF(INDEX(对接源_01水果!$AF$4:$AF$1203,$T186)=0,"",INDEX(对接源_01水果!$AF$4:$AF$1203,$T186)))</f>
      </c>
      <c r="L186" s="86">
        <f>IF($T186="","",IF(INDEX(对接源_01水果!$K$4:$K$1203,$T186)=0,"",INDEX(对接源_01水果!$K$4:$K$1203,$T186)))</f>
      </c>
      <c r="M186" s="84">
        <f>IF($T186="","",IF(INDEX(对接源_01水果!$L$4:$L$1203,$T186)=0,"",INDEX(对接源_01水果!$L$4:$L$1203,$T186)))</f>
      </c>
      <c r="N186" s="87">
        <f>IF($T186="","",IF(INDEX(对接源_01水果!$M$4:$M$1203,$T186)=0,"",INDEX(对接源_01水果!$M$4:$M$1203,$T186)))</f>
      </c>
      <c r="S186" s="7" t="n"/>
      <c r="T186" s="7">
        <f>IF(ROW()-5&gt;$U$1203,"",MATCH(ROW()-5,$U$4:$U$1203,0))</f>
      </c>
      <c r="U186">
        <f>N(U185)+IF(AND($B$2&lt;&gt;"",对接源_01水果!$AH186=$B$2,对接源_01水果!$B186&gt;=$U$1,对接源_01水果!$B186&lt;=$U$2),1,0)</f>
        <v>0</v>
      </c>
    </row>
    <row r="187" ht="15.75" customHeight="1" s="127">
      <c r="A187" s="191">
        <f>IF($T187="","",IF(INDEX(对接源_01水果!$B$4:$B$1203,$T187)=0,"",INDEX(对接源_01水果!$B$4:$B$1203,$T187)))</f>
      </c>
      <c r="B187" s="84">
        <f>IF($T187="","",IF(INDEX(对接源_01水果!$E$4:$E$1203,$T187)=0,"",INDEX(对接源_01水果!$E$4:$E$1203,$T187)))</f>
      </c>
      <c r="C187" s="84">
        <f>IF($T187="","",IF(INDEX(对接源_01水果!$AC$4:$AC$1203,$T187)=0,"",INDEX(对接源_01水果!$AC$4:$AC$1203,$T187)))</f>
      </c>
      <c r="D187" s="84">
        <f>IF($T187="","",IF(INDEX(对接源_01水果!$F$4:$F$1203,$T187)=0,"",INDEX(对接源_01水果!$F$4:$F$1203,$T187)))</f>
      </c>
      <c r="E187" s="84">
        <f>IF($T187="","",IF(INDEX(对接源_01水果!$G$4:$G$1203,$T187)=0,"",INDEX(对接源_01水果!$G$4:$G$1203,$T187)))</f>
      </c>
      <c r="F187" s="84">
        <f>IF($T187="","",IF(INDEX(对接源_01水果!$H$4:$H$1203,$T187)=0,"",INDEX(对接源_01水果!$H$4:$H$1203,$T187)))</f>
      </c>
      <c r="G187" s="84">
        <f>IF($T187="","",IF(INDEX(对接源_01水果!$I$4:$I$1203,$T187)=0,"",INDEX(对接源_01水果!$I$4:$I$1203,$T187)))</f>
      </c>
      <c r="H187" s="86">
        <f>IF($T187="","",IF(INDEX(对接源_01水果!$AD$4:$AD$1203,$T187)=0,"",INDEX(对接源_01水果!$AD$4:$AD$1203,$T187)))</f>
      </c>
      <c r="I187" s="86">
        <f>IF($T187="","",IF(INDEX(对接源_01水果!$AI$4:$AI$1203,$T187)=0,"",INDEX(对接源_01水果!$AI$4:$AI$1203,$T187)))</f>
      </c>
      <c r="J187" s="86">
        <f>IF($T187="","",IF(INDEX(对接源_01水果!$AE$4:$AE$1203,$T187)=0,"",INDEX(对接源_01水果!$AE$4:$AE$1203,$T187)))</f>
      </c>
      <c r="K187" s="86">
        <f>IF($T187="","",IF(INDEX(对接源_01水果!$AF$4:$AF$1203,$T187)=0,"",INDEX(对接源_01水果!$AF$4:$AF$1203,$T187)))</f>
      </c>
      <c r="L187" s="86">
        <f>IF($T187="","",IF(INDEX(对接源_01水果!$K$4:$K$1203,$T187)=0,"",INDEX(对接源_01水果!$K$4:$K$1203,$T187)))</f>
      </c>
      <c r="M187" s="84">
        <f>IF($T187="","",IF(INDEX(对接源_01水果!$L$4:$L$1203,$T187)=0,"",INDEX(对接源_01水果!$L$4:$L$1203,$T187)))</f>
      </c>
      <c r="N187" s="87">
        <f>IF($T187="","",IF(INDEX(对接源_01水果!$M$4:$M$1203,$T187)=0,"",INDEX(对接源_01水果!$M$4:$M$1203,$T187)))</f>
      </c>
      <c r="S187" s="7" t="n"/>
      <c r="T187" s="7">
        <f>IF(ROW()-5&gt;$U$1203,"",MATCH(ROW()-5,$U$4:$U$1203,0))</f>
      </c>
      <c r="U187">
        <f>N(U186)+IF(AND($B$2&lt;&gt;"",对接源_01水果!$AH187=$B$2,对接源_01水果!$B187&gt;=$U$1,对接源_01水果!$B187&lt;=$U$2),1,0)</f>
        <v>0</v>
      </c>
    </row>
    <row r="188" ht="15.75" customHeight="1" s="127">
      <c r="A188" s="191">
        <f>IF($T188="","",IF(INDEX(对接源_01水果!$B$4:$B$1203,$T188)=0,"",INDEX(对接源_01水果!$B$4:$B$1203,$T188)))</f>
      </c>
      <c r="B188" s="84">
        <f>IF($T188="","",IF(INDEX(对接源_01水果!$E$4:$E$1203,$T188)=0,"",INDEX(对接源_01水果!$E$4:$E$1203,$T188)))</f>
      </c>
      <c r="C188" s="84">
        <f>IF($T188="","",IF(INDEX(对接源_01水果!$AC$4:$AC$1203,$T188)=0,"",INDEX(对接源_01水果!$AC$4:$AC$1203,$T188)))</f>
      </c>
      <c r="D188" s="84">
        <f>IF($T188="","",IF(INDEX(对接源_01水果!$F$4:$F$1203,$T188)=0,"",INDEX(对接源_01水果!$F$4:$F$1203,$T188)))</f>
      </c>
      <c r="E188" s="84">
        <f>IF($T188="","",IF(INDEX(对接源_01水果!$G$4:$G$1203,$T188)=0,"",INDEX(对接源_01水果!$G$4:$G$1203,$T188)))</f>
      </c>
      <c r="F188" s="84">
        <f>IF($T188="","",IF(INDEX(对接源_01水果!$H$4:$H$1203,$T188)=0,"",INDEX(对接源_01水果!$H$4:$H$1203,$T188)))</f>
      </c>
      <c r="G188" s="84">
        <f>IF($T188="","",IF(INDEX(对接源_01水果!$I$4:$I$1203,$T188)=0,"",INDEX(对接源_01水果!$I$4:$I$1203,$T188)))</f>
      </c>
      <c r="H188" s="86">
        <f>IF($T188="","",IF(INDEX(对接源_01水果!$AD$4:$AD$1203,$T188)=0,"",INDEX(对接源_01水果!$AD$4:$AD$1203,$T188)))</f>
      </c>
      <c r="I188" s="86">
        <f>IF($T188="","",IF(INDEX(对接源_01水果!$AI$4:$AI$1203,$T188)=0,"",INDEX(对接源_01水果!$AI$4:$AI$1203,$T188)))</f>
      </c>
      <c r="J188" s="86">
        <f>IF($T188="","",IF(INDEX(对接源_01水果!$AE$4:$AE$1203,$T188)=0,"",INDEX(对接源_01水果!$AE$4:$AE$1203,$T188)))</f>
      </c>
      <c r="K188" s="86">
        <f>IF($T188="","",IF(INDEX(对接源_01水果!$AF$4:$AF$1203,$T188)=0,"",INDEX(对接源_01水果!$AF$4:$AF$1203,$T188)))</f>
      </c>
      <c r="L188" s="86">
        <f>IF($T188="","",IF(INDEX(对接源_01水果!$K$4:$K$1203,$T188)=0,"",INDEX(对接源_01水果!$K$4:$K$1203,$T188)))</f>
      </c>
      <c r="M188" s="84">
        <f>IF($T188="","",IF(INDEX(对接源_01水果!$L$4:$L$1203,$T188)=0,"",INDEX(对接源_01水果!$L$4:$L$1203,$T188)))</f>
      </c>
      <c r="N188" s="87">
        <f>IF($T188="","",IF(INDEX(对接源_01水果!$M$4:$M$1203,$T188)=0,"",INDEX(对接源_01水果!$M$4:$M$1203,$T188)))</f>
      </c>
      <c r="S188" s="7" t="n"/>
      <c r="T188" s="7">
        <f>IF(ROW()-5&gt;$U$1203,"",MATCH(ROW()-5,$U$4:$U$1203,0))</f>
      </c>
      <c r="U188">
        <f>N(U187)+IF(AND($B$2&lt;&gt;"",对接源_01水果!$AH188=$B$2,对接源_01水果!$B188&gt;=$U$1,对接源_01水果!$B188&lt;=$U$2),1,0)</f>
        <v>0</v>
      </c>
    </row>
    <row r="189" ht="15.75" customHeight="1" s="127">
      <c r="A189" s="191">
        <f>IF($T189="","",IF(INDEX(对接源_01水果!$B$4:$B$1203,$T189)=0,"",INDEX(对接源_01水果!$B$4:$B$1203,$T189)))</f>
      </c>
      <c r="B189" s="84">
        <f>IF($T189="","",IF(INDEX(对接源_01水果!$E$4:$E$1203,$T189)=0,"",INDEX(对接源_01水果!$E$4:$E$1203,$T189)))</f>
      </c>
      <c r="C189" s="84">
        <f>IF($T189="","",IF(INDEX(对接源_01水果!$AC$4:$AC$1203,$T189)=0,"",INDEX(对接源_01水果!$AC$4:$AC$1203,$T189)))</f>
      </c>
      <c r="D189" s="84">
        <f>IF($T189="","",IF(INDEX(对接源_01水果!$F$4:$F$1203,$T189)=0,"",INDEX(对接源_01水果!$F$4:$F$1203,$T189)))</f>
      </c>
      <c r="E189" s="84">
        <f>IF($T189="","",IF(INDEX(对接源_01水果!$G$4:$G$1203,$T189)=0,"",INDEX(对接源_01水果!$G$4:$G$1203,$T189)))</f>
      </c>
      <c r="F189" s="84">
        <f>IF($T189="","",IF(INDEX(对接源_01水果!$H$4:$H$1203,$T189)=0,"",INDEX(对接源_01水果!$H$4:$H$1203,$T189)))</f>
      </c>
      <c r="G189" s="84">
        <f>IF($T189="","",IF(INDEX(对接源_01水果!$I$4:$I$1203,$T189)=0,"",INDEX(对接源_01水果!$I$4:$I$1203,$T189)))</f>
      </c>
      <c r="H189" s="86">
        <f>IF($T189="","",IF(INDEX(对接源_01水果!$AD$4:$AD$1203,$T189)=0,"",INDEX(对接源_01水果!$AD$4:$AD$1203,$T189)))</f>
      </c>
      <c r="I189" s="86">
        <f>IF($T189="","",IF(INDEX(对接源_01水果!$AI$4:$AI$1203,$T189)=0,"",INDEX(对接源_01水果!$AI$4:$AI$1203,$T189)))</f>
      </c>
      <c r="J189" s="86">
        <f>IF($T189="","",IF(INDEX(对接源_01水果!$AE$4:$AE$1203,$T189)=0,"",INDEX(对接源_01水果!$AE$4:$AE$1203,$T189)))</f>
      </c>
      <c r="K189" s="86">
        <f>IF($T189="","",IF(INDEX(对接源_01水果!$AF$4:$AF$1203,$T189)=0,"",INDEX(对接源_01水果!$AF$4:$AF$1203,$T189)))</f>
      </c>
      <c r="L189" s="86">
        <f>IF($T189="","",IF(INDEX(对接源_01水果!$K$4:$K$1203,$T189)=0,"",INDEX(对接源_01水果!$K$4:$K$1203,$T189)))</f>
      </c>
      <c r="M189" s="84">
        <f>IF($T189="","",IF(INDEX(对接源_01水果!$L$4:$L$1203,$T189)=0,"",INDEX(对接源_01水果!$L$4:$L$1203,$T189)))</f>
      </c>
      <c r="N189" s="87">
        <f>IF($T189="","",IF(INDEX(对接源_01水果!$M$4:$M$1203,$T189)=0,"",INDEX(对接源_01水果!$M$4:$M$1203,$T189)))</f>
      </c>
      <c r="S189" s="7" t="n"/>
      <c r="T189" s="7">
        <f>IF(ROW()-5&gt;$U$1203,"",MATCH(ROW()-5,$U$4:$U$1203,0))</f>
      </c>
      <c r="U189">
        <f>N(U188)+IF(AND($B$2&lt;&gt;"",对接源_01水果!$AH189=$B$2,对接源_01水果!$B189&gt;=$U$1,对接源_01水果!$B189&lt;=$U$2),1,0)</f>
        <v>0</v>
      </c>
    </row>
    <row r="190" ht="15.75" customHeight="1" s="127">
      <c r="A190" s="191">
        <f>IF($T190="","",IF(INDEX(对接源_01水果!$B$4:$B$1203,$T190)=0,"",INDEX(对接源_01水果!$B$4:$B$1203,$T190)))</f>
      </c>
      <c r="B190" s="84">
        <f>IF($T190="","",IF(INDEX(对接源_01水果!$E$4:$E$1203,$T190)=0,"",INDEX(对接源_01水果!$E$4:$E$1203,$T190)))</f>
      </c>
      <c r="C190" s="84">
        <f>IF($T190="","",IF(INDEX(对接源_01水果!$AC$4:$AC$1203,$T190)=0,"",INDEX(对接源_01水果!$AC$4:$AC$1203,$T190)))</f>
      </c>
      <c r="D190" s="84">
        <f>IF($T190="","",IF(INDEX(对接源_01水果!$F$4:$F$1203,$T190)=0,"",INDEX(对接源_01水果!$F$4:$F$1203,$T190)))</f>
      </c>
      <c r="E190" s="84">
        <f>IF($T190="","",IF(INDEX(对接源_01水果!$G$4:$G$1203,$T190)=0,"",INDEX(对接源_01水果!$G$4:$G$1203,$T190)))</f>
      </c>
      <c r="F190" s="84">
        <f>IF($T190="","",IF(INDEX(对接源_01水果!$H$4:$H$1203,$T190)=0,"",INDEX(对接源_01水果!$H$4:$H$1203,$T190)))</f>
      </c>
      <c r="G190" s="84">
        <f>IF($T190="","",IF(INDEX(对接源_01水果!$I$4:$I$1203,$T190)=0,"",INDEX(对接源_01水果!$I$4:$I$1203,$T190)))</f>
      </c>
      <c r="H190" s="86">
        <f>IF($T190="","",IF(INDEX(对接源_01水果!$AD$4:$AD$1203,$T190)=0,"",INDEX(对接源_01水果!$AD$4:$AD$1203,$T190)))</f>
      </c>
      <c r="I190" s="86">
        <f>IF($T190="","",IF(INDEX(对接源_01水果!$AI$4:$AI$1203,$T190)=0,"",INDEX(对接源_01水果!$AI$4:$AI$1203,$T190)))</f>
      </c>
      <c r="J190" s="86">
        <f>IF($T190="","",IF(INDEX(对接源_01水果!$AE$4:$AE$1203,$T190)=0,"",INDEX(对接源_01水果!$AE$4:$AE$1203,$T190)))</f>
      </c>
      <c r="K190" s="86">
        <f>IF($T190="","",IF(INDEX(对接源_01水果!$AF$4:$AF$1203,$T190)=0,"",INDEX(对接源_01水果!$AF$4:$AF$1203,$T190)))</f>
      </c>
      <c r="L190" s="86">
        <f>IF($T190="","",IF(INDEX(对接源_01水果!$K$4:$K$1203,$T190)=0,"",INDEX(对接源_01水果!$K$4:$K$1203,$T190)))</f>
      </c>
      <c r="M190" s="84">
        <f>IF($T190="","",IF(INDEX(对接源_01水果!$L$4:$L$1203,$T190)=0,"",INDEX(对接源_01水果!$L$4:$L$1203,$T190)))</f>
      </c>
      <c r="N190" s="87">
        <f>IF($T190="","",IF(INDEX(对接源_01水果!$M$4:$M$1203,$T190)=0,"",INDEX(对接源_01水果!$M$4:$M$1203,$T190)))</f>
      </c>
      <c r="S190" s="7" t="n"/>
      <c r="T190" s="7">
        <f>IF(ROW()-5&gt;$U$1203,"",MATCH(ROW()-5,$U$4:$U$1203,0))</f>
      </c>
      <c r="U190">
        <f>N(U189)+IF(AND($B$2&lt;&gt;"",对接源_01水果!$AH190=$B$2,对接源_01水果!$B190&gt;=$U$1,对接源_01水果!$B190&lt;=$U$2),1,0)</f>
        <v>0</v>
      </c>
    </row>
    <row r="191" ht="15.75" customHeight="1" s="127">
      <c r="A191" s="191">
        <f>IF($T191="","",IF(INDEX(对接源_01水果!$B$4:$B$1203,$T191)=0,"",INDEX(对接源_01水果!$B$4:$B$1203,$T191)))</f>
      </c>
      <c r="B191" s="84">
        <f>IF($T191="","",IF(INDEX(对接源_01水果!$E$4:$E$1203,$T191)=0,"",INDEX(对接源_01水果!$E$4:$E$1203,$T191)))</f>
      </c>
      <c r="C191" s="84">
        <f>IF($T191="","",IF(INDEX(对接源_01水果!$AC$4:$AC$1203,$T191)=0,"",INDEX(对接源_01水果!$AC$4:$AC$1203,$T191)))</f>
      </c>
      <c r="D191" s="84">
        <f>IF($T191="","",IF(INDEX(对接源_01水果!$F$4:$F$1203,$T191)=0,"",INDEX(对接源_01水果!$F$4:$F$1203,$T191)))</f>
      </c>
      <c r="E191" s="84">
        <f>IF($T191="","",IF(INDEX(对接源_01水果!$G$4:$G$1203,$T191)=0,"",INDEX(对接源_01水果!$G$4:$G$1203,$T191)))</f>
      </c>
      <c r="F191" s="84">
        <f>IF($T191="","",IF(INDEX(对接源_01水果!$H$4:$H$1203,$T191)=0,"",INDEX(对接源_01水果!$H$4:$H$1203,$T191)))</f>
      </c>
      <c r="G191" s="84">
        <f>IF($T191="","",IF(INDEX(对接源_01水果!$I$4:$I$1203,$T191)=0,"",INDEX(对接源_01水果!$I$4:$I$1203,$T191)))</f>
      </c>
      <c r="H191" s="86">
        <f>IF($T191="","",IF(INDEX(对接源_01水果!$AD$4:$AD$1203,$T191)=0,"",INDEX(对接源_01水果!$AD$4:$AD$1203,$T191)))</f>
      </c>
      <c r="I191" s="86">
        <f>IF($T191="","",IF(INDEX(对接源_01水果!$AI$4:$AI$1203,$T191)=0,"",INDEX(对接源_01水果!$AI$4:$AI$1203,$T191)))</f>
      </c>
      <c r="J191" s="86">
        <f>IF($T191="","",IF(INDEX(对接源_01水果!$AE$4:$AE$1203,$T191)=0,"",INDEX(对接源_01水果!$AE$4:$AE$1203,$T191)))</f>
      </c>
      <c r="K191" s="86">
        <f>IF($T191="","",IF(INDEX(对接源_01水果!$AF$4:$AF$1203,$T191)=0,"",INDEX(对接源_01水果!$AF$4:$AF$1203,$T191)))</f>
      </c>
      <c r="L191" s="86">
        <f>IF($T191="","",IF(INDEX(对接源_01水果!$K$4:$K$1203,$T191)=0,"",INDEX(对接源_01水果!$K$4:$K$1203,$T191)))</f>
      </c>
      <c r="M191" s="84">
        <f>IF($T191="","",IF(INDEX(对接源_01水果!$L$4:$L$1203,$T191)=0,"",INDEX(对接源_01水果!$L$4:$L$1203,$T191)))</f>
      </c>
      <c r="N191" s="87">
        <f>IF($T191="","",IF(INDEX(对接源_01水果!$M$4:$M$1203,$T191)=0,"",INDEX(对接源_01水果!$M$4:$M$1203,$T191)))</f>
      </c>
      <c r="S191" s="7" t="n"/>
      <c r="T191" s="7">
        <f>IF(ROW()-5&gt;$U$1203,"",MATCH(ROW()-5,$U$4:$U$1203,0))</f>
      </c>
      <c r="U191">
        <f>N(U190)+IF(AND($B$2&lt;&gt;"",对接源_01水果!$AH191=$B$2,对接源_01水果!$B191&gt;=$U$1,对接源_01水果!$B191&lt;=$U$2),1,0)</f>
        <v>0</v>
      </c>
    </row>
    <row r="192" ht="15.75" customHeight="1" s="127">
      <c r="A192" s="191">
        <f>IF($T192="","",IF(INDEX(对接源_01水果!$B$4:$B$1203,$T192)=0,"",INDEX(对接源_01水果!$B$4:$B$1203,$T192)))</f>
      </c>
      <c r="B192" s="84">
        <f>IF($T192="","",IF(INDEX(对接源_01水果!$E$4:$E$1203,$T192)=0,"",INDEX(对接源_01水果!$E$4:$E$1203,$T192)))</f>
      </c>
      <c r="C192" s="84">
        <f>IF($T192="","",IF(INDEX(对接源_01水果!$AC$4:$AC$1203,$T192)=0,"",INDEX(对接源_01水果!$AC$4:$AC$1203,$T192)))</f>
      </c>
      <c r="D192" s="84">
        <f>IF($T192="","",IF(INDEX(对接源_01水果!$F$4:$F$1203,$T192)=0,"",INDEX(对接源_01水果!$F$4:$F$1203,$T192)))</f>
      </c>
      <c r="E192" s="84">
        <f>IF($T192="","",IF(INDEX(对接源_01水果!$G$4:$G$1203,$T192)=0,"",INDEX(对接源_01水果!$G$4:$G$1203,$T192)))</f>
      </c>
      <c r="F192" s="84">
        <f>IF($T192="","",IF(INDEX(对接源_01水果!$H$4:$H$1203,$T192)=0,"",INDEX(对接源_01水果!$H$4:$H$1203,$T192)))</f>
      </c>
      <c r="G192" s="84">
        <f>IF($T192="","",IF(INDEX(对接源_01水果!$I$4:$I$1203,$T192)=0,"",INDEX(对接源_01水果!$I$4:$I$1203,$T192)))</f>
      </c>
      <c r="H192" s="86">
        <f>IF($T192="","",IF(INDEX(对接源_01水果!$AD$4:$AD$1203,$T192)=0,"",INDEX(对接源_01水果!$AD$4:$AD$1203,$T192)))</f>
      </c>
      <c r="I192" s="86">
        <f>IF($T192="","",IF(INDEX(对接源_01水果!$AI$4:$AI$1203,$T192)=0,"",INDEX(对接源_01水果!$AI$4:$AI$1203,$T192)))</f>
      </c>
      <c r="J192" s="86">
        <f>IF($T192="","",IF(INDEX(对接源_01水果!$AE$4:$AE$1203,$T192)=0,"",INDEX(对接源_01水果!$AE$4:$AE$1203,$T192)))</f>
      </c>
      <c r="K192" s="86">
        <f>IF($T192="","",IF(INDEX(对接源_01水果!$AF$4:$AF$1203,$T192)=0,"",INDEX(对接源_01水果!$AF$4:$AF$1203,$T192)))</f>
      </c>
      <c r="L192" s="86">
        <f>IF($T192="","",IF(INDEX(对接源_01水果!$K$4:$K$1203,$T192)=0,"",INDEX(对接源_01水果!$K$4:$K$1203,$T192)))</f>
      </c>
      <c r="M192" s="84">
        <f>IF($T192="","",IF(INDEX(对接源_01水果!$L$4:$L$1203,$T192)=0,"",INDEX(对接源_01水果!$L$4:$L$1203,$T192)))</f>
      </c>
      <c r="N192" s="87">
        <f>IF($T192="","",IF(INDEX(对接源_01水果!$M$4:$M$1203,$T192)=0,"",INDEX(对接源_01水果!$M$4:$M$1203,$T192)))</f>
      </c>
      <c r="S192" s="7" t="n"/>
      <c r="T192" s="7">
        <f>IF(ROW()-5&gt;$U$1203,"",MATCH(ROW()-5,$U$4:$U$1203,0))</f>
      </c>
      <c r="U192">
        <f>N(U191)+IF(AND($B$2&lt;&gt;"",对接源_01水果!$AH192=$B$2,对接源_01水果!$B192&gt;=$U$1,对接源_01水果!$B192&lt;=$U$2),1,0)</f>
        <v>0</v>
      </c>
    </row>
    <row r="193" ht="15.75" customHeight="1" s="127">
      <c r="A193" s="191">
        <f>IF($T193="","",IF(INDEX(对接源_01水果!$B$4:$B$1203,$T193)=0,"",INDEX(对接源_01水果!$B$4:$B$1203,$T193)))</f>
      </c>
      <c r="B193" s="84">
        <f>IF($T193="","",IF(INDEX(对接源_01水果!$E$4:$E$1203,$T193)=0,"",INDEX(对接源_01水果!$E$4:$E$1203,$T193)))</f>
      </c>
      <c r="C193" s="84">
        <f>IF($T193="","",IF(INDEX(对接源_01水果!$AC$4:$AC$1203,$T193)=0,"",INDEX(对接源_01水果!$AC$4:$AC$1203,$T193)))</f>
      </c>
      <c r="D193" s="84">
        <f>IF($T193="","",IF(INDEX(对接源_01水果!$F$4:$F$1203,$T193)=0,"",INDEX(对接源_01水果!$F$4:$F$1203,$T193)))</f>
      </c>
      <c r="E193" s="84">
        <f>IF($T193="","",IF(INDEX(对接源_01水果!$G$4:$G$1203,$T193)=0,"",INDEX(对接源_01水果!$G$4:$G$1203,$T193)))</f>
      </c>
      <c r="F193" s="84">
        <f>IF($T193="","",IF(INDEX(对接源_01水果!$H$4:$H$1203,$T193)=0,"",INDEX(对接源_01水果!$H$4:$H$1203,$T193)))</f>
      </c>
      <c r="G193" s="84">
        <f>IF($T193="","",IF(INDEX(对接源_01水果!$I$4:$I$1203,$T193)=0,"",INDEX(对接源_01水果!$I$4:$I$1203,$T193)))</f>
      </c>
      <c r="H193" s="86">
        <f>IF($T193="","",IF(INDEX(对接源_01水果!$AD$4:$AD$1203,$T193)=0,"",INDEX(对接源_01水果!$AD$4:$AD$1203,$T193)))</f>
      </c>
      <c r="I193" s="86">
        <f>IF($T193="","",IF(INDEX(对接源_01水果!$AI$4:$AI$1203,$T193)=0,"",INDEX(对接源_01水果!$AI$4:$AI$1203,$T193)))</f>
      </c>
      <c r="J193" s="86">
        <f>IF($T193="","",IF(INDEX(对接源_01水果!$AE$4:$AE$1203,$T193)=0,"",INDEX(对接源_01水果!$AE$4:$AE$1203,$T193)))</f>
      </c>
      <c r="K193" s="86">
        <f>IF($T193="","",IF(INDEX(对接源_01水果!$AF$4:$AF$1203,$T193)=0,"",INDEX(对接源_01水果!$AF$4:$AF$1203,$T193)))</f>
      </c>
      <c r="L193" s="86">
        <f>IF($T193="","",IF(INDEX(对接源_01水果!$K$4:$K$1203,$T193)=0,"",INDEX(对接源_01水果!$K$4:$K$1203,$T193)))</f>
      </c>
      <c r="M193" s="84">
        <f>IF($T193="","",IF(INDEX(对接源_01水果!$L$4:$L$1203,$T193)=0,"",INDEX(对接源_01水果!$L$4:$L$1203,$T193)))</f>
      </c>
      <c r="N193" s="87">
        <f>IF($T193="","",IF(INDEX(对接源_01水果!$M$4:$M$1203,$T193)=0,"",INDEX(对接源_01水果!$M$4:$M$1203,$T193)))</f>
      </c>
      <c r="S193" s="7" t="n"/>
      <c r="T193" s="7">
        <f>IF(ROW()-5&gt;$U$1203,"",MATCH(ROW()-5,$U$4:$U$1203,0))</f>
      </c>
      <c r="U193">
        <f>N(U192)+IF(AND($B$2&lt;&gt;"",对接源_01水果!$AH193=$B$2,对接源_01水果!$B193&gt;=$U$1,对接源_01水果!$B193&lt;=$U$2),1,0)</f>
        <v>0</v>
      </c>
    </row>
    <row r="194" ht="15.75" customHeight="1" s="127">
      <c r="A194" s="191">
        <f>IF($T194="","",IF(INDEX(对接源_01水果!$B$4:$B$1203,$T194)=0,"",INDEX(对接源_01水果!$B$4:$B$1203,$T194)))</f>
      </c>
      <c r="B194" s="84">
        <f>IF($T194="","",IF(INDEX(对接源_01水果!$E$4:$E$1203,$T194)=0,"",INDEX(对接源_01水果!$E$4:$E$1203,$T194)))</f>
      </c>
      <c r="C194" s="84">
        <f>IF($T194="","",IF(INDEX(对接源_01水果!$AC$4:$AC$1203,$T194)=0,"",INDEX(对接源_01水果!$AC$4:$AC$1203,$T194)))</f>
      </c>
      <c r="D194" s="84">
        <f>IF($T194="","",IF(INDEX(对接源_01水果!$F$4:$F$1203,$T194)=0,"",INDEX(对接源_01水果!$F$4:$F$1203,$T194)))</f>
      </c>
      <c r="E194" s="84">
        <f>IF($T194="","",IF(INDEX(对接源_01水果!$G$4:$G$1203,$T194)=0,"",INDEX(对接源_01水果!$G$4:$G$1203,$T194)))</f>
      </c>
      <c r="F194" s="84">
        <f>IF($T194="","",IF(INDEX(对接源_01水果!$H$4:$H$1203,$T194)=0,"",INDEX(对接源_01水果!$H$4:$H$1203,$T194)))</f>
      </c>
      <c r="G194" s="84">
        <f>IF($T194="","",IF(INDEX(对接源_01水果!$I$4:$I$1203,$T194)=0,"",INDEX(对接源_01水果!$I$4:$I$1203,$T194)))</f>
      </c>
      <c r="H194" s="86">
        <f>IF($T194="","",IF(INDEX(对接源_01水果!$AD$4:$AD$1203,$T194)=0,"",INDEX(对接源_01水果!$AD$4:$AD$1203,$T194)))</f>
      </c>
      <c r="I194" s="86">
        <f>IF($T194="","",IF(INDEX(对接源_01水果!$AI$4:$AI$1203,$T194)=0,"",INDEX(对接源_01水果!$AI$4:$AI$1203,$T194)))</f>
      </c>
      <c r="J194" s="86">
        <f>IF($T194="","",IF(INDEX(对接源_01水果!$AE$4:$AE$1203,$T194)=0,"",INDEX(对接源_01水果!$AE$4:$AE$1203,$T194)))</f>
      </c>
      <c r="K194" s="86">
        <f>IF($T194="","",IF(INDEX(对接源_01水果!$AF$4:$AF$1203,$T194)=0,"",INDEX(对接源_01水果!$AF$4:$AF$1203,$T194)))</f>
      </c>
      <c r="L194" s="86">
        <f>IF($T194="","",IF(INDEX(对接源_01水果!$K$4:$K$1203,$T194)=0,"",INDEX(对接源_01水果!$K$4:$K$1203,$T194)))</f>
      </c>
      <c r="M194" s="84">
        <f>IF($T194="","",IF(INDEX(对接源_01水果!$L$4:$L$1203,$T194)=0,"",INDEX(对接源_01水果!$L$4:$L$1203,$T194)))</f>
      </c>
      <c r="N194" s="87">
        <f>IF($T194="","",IF(INDEX(对接源_01水果!$M$4:$M$1203,$T194)=0,"",INDEX(对接源_01水果!$M$4:$M$1203,$T194)))</f>
      </c>
      <c r="S194" s="7" t="n"/>
      <c r="T194" s="7">
        <f>IF(ROW()-5&gt;$U$1203,"",MATCH(ROW()-5,$U$4:$U$1203,0))</f>
      </c>
      <c r="U194">
        <f>N(U193)+IF(AND($B$2&lt;&gt;"",对接源_01水果!$AH194=$B$2,对接源_01水果!$B194&gt;=$U$1,对接源_01水果!$B194&lt;=$U$2),1,0)</f>
        <v>0</v>
      </c>
    </row>
    <row r="195" ht="15.75" customHeight="1" s="127">
      <c r="A195" s="191">
        <f>IF($T195="","",IF(INDEX(对接源_01水果!$B$4:$B$1203,$T195)=0,"",INDEX(对接源_01水果!$B$4:$B$1203,$T195)))</f>
      </c>
      <c r="B195" s="84">
        <f>IF($T195="","",IF(INDEX(对接源_01水果!$E$4:$E$1203,$T195)=0,"",INDEX(对接源_01水果!$E$4:$E$1203,$T195)))</f>
      </c>
      <c r="C195" s="84">
        <f>IF($T195="","",IF(INDEX(对接源_01水果!$AC$4:$AC$1203,$T195)=0,"",INDEX(对接源_01水果!$AC$4:$AC$1203,$T195)))</f>
      </c>
      <c r="D195" s="84">
        <f>IF($T195="","",IF(INDEX(对接源_01水果!$F$4:$F$1203,$T195)=0,"",INDEX(对接源_01水果!$F$4:$F$1203,$T195)))</f>
      </c>
      <c r="E195" s="84">
        <f>IF($T195="","",IF(INDEX(对接源_01水果!$G$4:$G$1203,$T195)=0,"",INDEX(对接源_01水果!$G$4:$G$1203,$T195)))</f>
      </c>
      <c r="F195" s="84">
        <f>IF($T195="","",IF(INDEX(对接源_01水果!$H$4:$H$1203,$T195)=0,"",INDEX(对接源_01水果!$H$4:$H$1203,$T195)))</f>
      </c>
      <c r="G195" s="84">
        <f>IF($T195="","",IF(INDEX(对接源_01水果!$I$4:$I$1203,$T195)=0,"",INDEX(对接源_01水果!$I$4:$I$1203,$T195)))</f>
      </c>
      <c r="H195" s="86">
        <f>IF($T195="","",IF(INDEX(对接源_01水果!$AD$4:$AD$1203,$T195)=0,"",INDEX(对接源_01水果!$AD$4:$AD$1203,$T195)))</f>
      </c>
      <c r="I195" s="86">
        <f>IF($T195="","",IF(INDEX(对接源_01水果!$AI$4:$AI$1203,$T195)=0,"",INDEX(对接源_01水果!$AI$4:$AI$1203,$T195)))</f>
      </c>
      <c r="J195" s="86">
        <f>IF($T195="","",IF(INDEX(对接源_01水果!$AE$4:$AE$1203,$T195)=0,"",INDEX(对接源_01水果!$AE$4:$AE$1203,$T195)))</f>
      </c>
      <c r="K195" s="86">
        <f>IF($T195="","",IF(INDEX(对接源_01水果!$AF$4:$AF$1203,$T195)=0,"",INDEX(对接源_01水果!$AF$4:$AF$1203,$T195)))</f>
      </c>
      <c r="L195" s="86">
        <f>IF($T195="","",IF(INDEX(对接源_01水果!$K$4:$K$1203,$T195)=0,"",INDEX(对接源_01水果!$K$4:$K$1203,$T195)))</f>
      </c>
      <c r="M195" s="84">
        <f>IF($T195="","",IF(INDEX(对接源_01水果!$L$4:$L$1203,$T195)=0,"",INDEX(对接源_01水果!$L$4:$L$1203,$T195)))</f>
      </c>
      <c r="N195" s="87">
        <f>IF($T195="","",IF(INDEX(对接源_01水果!$M$4:$M$1203,$T195)=0,"",INDEX(对接源_01水果!$M$4:$M$1203,$T195)))</f>
      </c>
      <c r="S195" s="7" t="n"/>
      <c r="T195" s="7">
        <f>IF(ROW()-5&gt;$U$1203,"",MATCH(ROW()-5,$U$4:$U$1203,0))</f>
      </c>
      <c r="U195">
        <f>N(U194)+IF(AND($B$2&lt;&gt;"",对接源_01水果!$AH195=$B$2,对接源_01水果!$B195&gt;=$U$1,对接源_01水果!$B195&lt;=$U$2),1,0)</f>
        <v>0</v>
      </c>
    </row>
    <row r="196" ht="15.75" customHeight="1" s="127">
      <c r="A196" s="191">
        <f>IF($T196="","",IF(INDEX(对接源_01水果!$B$4:$B$1203,$T196)=0,"",INDEX(对接源_01水果!$B$4:$B$1203,$T196)))</f>
      </c>
      <c r="B196" s="84">
        <f>IF($T196="","",IF(INDEX(对接源_01水果!$E$4:$E$1203,$T196)=0,"",INDEX(对接源_01水果!$E$4:$E$1203,$T196)))</f>
      </c>
      <c r="C196" s="84">
        <f>IF($T196="","",IF(INDEX(对接源_01水果!$AC$4:$AC$1203,$T196)=0,"",INDEX(对接源_01水果!$AC$4:$AC$1203,$T196)))</f>
      </c>
      <c r="D196" s="84">
        <f>IF($T196="","",IF(INDEX(对接源_01水果!$F$4:$F$1203,$T196)=0,"",INDEX(对接源_01水果!$F$4:$F$1203,$T196)))</f>
      </c>
      <c r="E196" s="84">
        <f>IF($T196="","",IF(INDEX(对接源_01水果!$G$4:$G$1203,$T196)=0,"",INDEX(对接源_01水果!$G$4:$G$1203,$T196)))</f>
      </c>
      <c r="F196" s="84">
        <f>IF($T196="","",IF(INDEX(对接源_01水果!$H$4:$H$1203,$T196)=0,"",INDEX(对接源_01水果!$H$4:$H$1203,$T196)))</f>
      </c>
      <c r="G196" s="84">
        <f>IF($T196="","",IF(INDEX(对接源_01水果!$I$4:$I$1203,$T196)=0,"",INDEX(对接源_01水果!$I$4:$I$1203,$T196)))</f>
      </c>
      <c r="H196" s="86">
        <f>IF($T196="","",IF(INDEX(对接源_01水果!$AD$4:$AD$1203,$T196)=0,"",INDEX(对接源_01水果!$AD$4:$AD$1203,$T196)))</f>
      </c>
      <c r="I196" s="86">
        <f>IF($T196="","",IF(INDEX(对接源_01水果!$AI$4:$AI$1203,$T196)=0,"",INDEX(对接源_01水果!$AI$4:$AI$1203,$T196)))</f>
      </c>
      <c r="J196" s="86">
        <f>IF($T196="","",IF(INDEX(对接源_01水果!$AE$4:$AE$1203,$T196)=0,"",INDEX(对接源_01水果!$AE$4:$AE$1203,$T196)))</f>
      </c>
      <c r="K196" s="86">
        <f>IF($T196="","",IF(INDEX(对接源_01水果!$AF$4:$AF$1203,$T196)=0,"",INDEX(对接源_01水果!$AF$4:$AF$1203,$T196)))</f>
      </c>
      <c r="L196" s="86">
        <f>IF($T196="","",IF(INDEX(对接源_01水果!$K$4:$K$1203,$T196)=0,"",INDEX(对接源_01水果!$K$4:$K$1203,$T196)))</f>
      </c>
      <c r="M196" s="84">
        <f>IF($T196="","",IF(INDEX(对接源_01水果!$L$4:$L$1203,$T196)=0,"",INDEX(对接源_01水果!$L$4:$L$1203,$T196)))</f>
      </c>
      <c r="N196" s="87">
        <f>IF($T196="","",IF(INDEX(对接源_01水果!$M$4:$M$1203,$T196)=0,"",INDEX(对接源_01水果!$M$4:$M$1203,$T196)))</f>
      </c>
      <c r="S196" s="7" t="n"/>
      <c r="T196" s="7">
        <f>IF(ROW()-5&gt;$U$1203,"",MATCH(ROW()-5,$U$4:$U$1203,0))</f>
      </c>
      <c r="U196">
        <f>N(U195)+IF(AND($B$2&lt;&gt;"",对接源_01水果!$AH196=$B$2,对接源_01水果!$B196&gt;=$U$1,对接源_01水果!$B196&lt;=$U$2),1,0)</f>
        <v>0</v>
      </c>
    </row>
    <row r="197" ht="15.75" customHeight="1" s="127">
      <c r="A197" s="191">
        <f>IF($T197="","",IF(INDEX(对接源_01水果!$B$4:$B$1203,$T197)=0,"",INDEX(对接源_01水果!$B$4:$B$1203,$T197)))</f>
      </c>
      <c r="B197" s="84">
        <f>IF($T197="","",IF(INDEX(对接源_01水果!$E$4:$E$1203,$T197)=0,"",INDEX(对接源_01水果!$E$4:$E$1203,$T197)))</f>
      </c>
      <c r="C197" s="84">
        <f>IF($T197="","",IF(INDEX(对接源_01水果!$AC$4:$AC$1203,$T197)=0,"",INDEX(对接源_01水果!$AC$4:$AC$1203,$T197)))</f>
      </c>
      <c r="D197" s="84">
        <f>IF($T197="","",IF(INDEX(对接源_01水果!$F$4:$F$1203,$T197)=0,"",INDEX(对接源_01水果!$F$4:$F$1203,$T197)))</f>
      </c>
      <c r="E197" s="84">
        <f>IF($T197="","",IF(INDEX(对接源_01水果!$G$4:$G$1203,$T197)=0,"",INDEX(对接源_01水果!$G$4:$G$1203,$T197)))</f>
      </c>
      <c r="F197" s="84">
        <f>IF($T197="","",IF(INDEX(对接源_01水果!$H$4:$H$1203,$T197)=0,"",INDEX(对接源_01水果!$H$4:$H$1203,$T197)))</f>
      </c>
      <c r="G197" s="84">
        <f>IF($T197="","",IF(INDEX(对接源_01水果!$I$4:$I$1203,$T197)=0,"",INDEX(对接源_01水果!$I$4:$I$1203,$T197)))</f>
      </c>
      <c r="H197" s="86">
        <f>IF($T197="","",IF(INDEX(对接源_01水果!$AD$4:$AD$1203,$T197)=0,"",INDEX(对接源_01水果!$AD$4:$AD$1203,$T197)))</f>
      </c>
      <c r="I197" s="86">
        <f>IF($T197="","",IF(INDEX(对接源_01水果!$AI$4:$AI$1203,$T197)=0,"",INDEX(对接源_01水果!$AI$4:$AI$1203,$T197)))</f>
      </c>
      <c r="J197" s="86">
        <f>IF($T197="","",IF(INDEX(对接源_01水果!$AE$4:$AE$1203,$T197)=0,"",INDEX(对接源_01水果!$AE$4:$AE$1203,$T197)))</f>
      </c>
      <c r="K197" s="86">
        <f>IF($T197="","",IF(INDEX(对接源_01水果!$AF$4:$AF$1203,$T197)=0,"",INDEX(对接源_01水果!$AF$4:$AF$1203,$T197)))</f>
      </c>
      <c r="L197" s="86">
        <f>IF($T197="","",IF(INDEX(对接源_01水果!$K$4:$K$1203,$T197)=0,"",INDEX(对接源_01水果!$K$4:$K$1203,$T197)))</f>
      </c>
      <c r="M197" s="84">
        <f>IF($T197="","",IF(INDEX(对接源_01水果!$L$4:$L$1203,$T197)=0,"",INDEX(对接源_01水果!$L$4:$L$1203,$T197)))</f>
      </c>
      <c r="N197" s="87">
        <f>IF($T197="","",IF(INDEX(对接源_01水果!$M$4:$M$1203,$T197)=0,"",INDEX(对接源_01水果!$M$4:$M$1203,$T197)))</f>
      </c>
      <c r="S197" s="7" t="n"/>
      <c r="T197" s="7">
        <f>IF(ROW()-5&gt;$U$1203,"",MATCH(ROW()-5,$U$4:$U$1203,0))</f>
      </c>
      <c r="U197">
        <f>N(U196)+IF(AND($B$2&lt;&gt;"",对接源_01水果!$AH197=$B$2,对接源_01水果!$B197&gt;=$U$1,对接源_01水果!$B197&lt;=$U$2),1,0)</f>
        <v>0</v>
      </c>
    </row>
    <row r="198" ht="15.75" customHeight="1" s="127">
      <c r="A198" s="191">
        <f>IF($T198="","",IF(INDEX(对接源_01水果!$B$4:$B$1203,$T198)=0,"",INDEX(对接源_01水果!$B$4:$B$1203,$T198)))</f>
      </c>
      <c r="B198" s="84">
        <f>IF($T198="","",IF(INDEX(对接源_01水果!$E$4:$E$1203,$T198)=0,"",INDEX(对接源_01水果!$E$4:$E$1203,$T198)))</f>
      </c>
      <c r="C198" s="84">
        <f>IF($T198="","",IF(INDEX(对接源_01水果!$AC$4:$AC$1203,$T198)=0,"",INDEX(对接源_01水果!$AC$4:$AC$1203,$T198)))</f>
      </c>
      <c r="D198" s="84">
        <f>IF($T198="","",IF(INDEX(对接源_01水果!$F$4:$F$1203,$T198)=0,"",INDEX(对接源_01水果!$F$4:$F$1203,$T198)))</f>
      </c>
      <c r="E198" s="84">
        <f>IF($T198="","",IF(INDEX(对接源_01水果!$G$4:$G$1203,$T198)=0,"",INDEX(对接源_01水果!$G$4:$G$1203,$T198)))</f>
      </c>
      <c r="F198" s="84">
        <f>IF($T198="","",IF(INDEX(对接源_01水果!$H$4:$H$1203,$T198)=0,"",INDEX(对接源_01水果!$H$4:$H$1203,$T198)))</f>
      </c>
      <c r="G198" s="84">
        <f>IF($T198="","",IF(INDEX(对接源_01水果!$I$4:$I$1203,$T198)=0,"",INDEX(对接源_01水果!$I$4:$I$1203,$T198)))</f>
      </c>
      <c r="H198" s="86">
        <f>IF($T198="","",IF(INDEX(对接源_01水果!$AD$4:$AD$1203,$T198)=0,"",INDEX(对接源_01水果!$AD$4:$AD$1203,$T198)))</f>
      </c>
      <c r="I198" s="86">
        <f>IF($T198="","",IF(INDEX(对接源_01水果!$AI$4:$AI$1203,$T198)=0,"",INDEX(对接源_01水果!$AI$4:$AI$1203,$T198)))</f>
      </c>
      <c r="J198" s="86">
        <f>IF($T198="","",IF(INDEX(对接源_01水果!$AE$4:$AE$1203,$T198)=0,"",INDEX(对接源_01水果!$AE$4:$AE$1203,$T198)))</f>
      </c>
      <c r="K198" s="86">
        <f>IF($T198="","",IF(INDEX(对接源_01水果!$AF$4:$AF$1203,$T198)=0,"",INDEX(对接源_01水果!$AF$4:$AF$1203,$T198)))</f>
      </c>
      <c r="L198" s="86">
        <f>IF($T198="","",IF(INDEX(对接源_01水果!$K$4:$K$1203,$T198)=0,"",INDEX(对接源_01水果!$K$4:$K$1203,$T198)))</f>
      </c>
      <c r="M198" s="84">
        <f>IF($T198="","",IF(INDEX(对接源_01水果!$L$4:$L$1203,$T198)=0,"",INDEX(对接源_01水果!$L$4:$L$1203,$T198)))</f>
      </c>
      <c r="N198" s="87">
        <f>IF($T198="","",IF(INDEX(对接源_01水果!$M$4:$M$1203,$T198)=0,"",INDEX(对接源_01水果!$M$4:$M$1203,$T198)))</f>
      </c>
      <c r="S198" s="7" t="n"/>
      <c r="T198" s="7">
        <f>IF(ROW()-5&gt;$U$1203,"",MATCH(ROW()-5,$U$4:$U$1203,0))</f>
      </c>
      <c r="U198">
        <f>N(U197)+IF(AND($B$2&lt;&gt;"",对接源_01水果!$AH198=$B$2,对接源_01水果!$B198&gt;=$U$1,对接源_01水果!$B198&lt;=$U$2),1,0)</f>
        <v>0</v>
      </c>
    </row>
    <row r="199" ht="15.75" customHeight="1" s="127">
      <c r="A199" s="191">
        <f>IF($T199="","",IF(INDEX(对接源_01水果!$B$4:$B$1203,$T199)=0,"",INDEX(对接源_01水果!$B$4:$B$1203,$T199)))</f>
      </c>
      <c r="B199" s="84">
        <f>IF($T199="","",IF(INDEX(对接源_01水果!$E$4:$E$1203,$T199)=0,"",INDEX(对接源_01水果!$E$4:$E$1203,$T199)))</f>
      </c>
      <c r="C199" s="84">
        <f>IF($T199="","",IF(INDEX(对接源_01水果!$AC$4:$AC$1203,$T199)=0,"",INDEX(对接源_01水果!$AC$4:$AC$1203,$T199)))</f>
      </c>
      <c r="D199" s="84">
        <f>IF($T199="","",IF(INDEX(对接源_01水果!$F$4:$F$1203,$T199)=0,"",INDEX(对接源_01水果!$F$4:$F$1203,$T199)))</f>
      </c>
      <c r="E199" s="84">
        <f>IF($T199="","",IF(INDEX(对接源_01水果!$G$4:$G$1203,$T199)=0,"",INDEX(对接源_01水果!$G$4:$G$1203,$T199)))</f>
      </c>
      <c r="F199" s="84">
        <f>IF($T199="","",IF(INDEX(对接源_01水果!$H$4:$H$1203,$T199)=0,"",INDEX(对接源_01水果!$H$4:$H$1203,$T199)))</f>
      </c>
      <c r="G199" s="84">
        <f>IF($T199="","",IF(INDEX(对接源_01水果!$I$4:$I$1203,$T199)=0,"",INDEX(对接源_01水果!$I$4:$I$1203,$T199)))</f>
      </c>
      <c r="H199" s="86">
        <f>IF($T199="","",IF(INDEX(对接源_01水果!$AD$4:$AD$1203,$T199)=0,"",INDEX(对接源_01水果!$AD$4:$AD$1203,$T199)))</f>
      </c>
      <c r="I199" s="86">
        <f>IF($T199="","",IF(INDEX(对接源_01水果!$AI$4:$AI$1203,$T199)=0,"",INDEX(对接源_01水果!$AI$4:$AI$1203,$T199)))</f>
      </c>
      <c r="J199" s="86">
        <f>IF($T199="","",IF(INDEX(对接源_01水果!$AE$4:$AE$1203,$T199)=0,"",INDEX(对接源_01水果!$AE$4:$AE$1203,$T199)))</f>
      </c>
      <c r="K199" s="86">
        <f>IF($T199="","",IF(INDEX(对接源_01水果!$AF$4:$AF$1203,$T199)=0,"",INDEX(对接源_01水果!$AF$4:$AF$1203,$T199)))</f>
      </c>
      <c r="L199" s="86">
        <f>IF($T199="","",IF(INDEX(对接源_01水果!$K$4:$K$1203,$T199)=0,"",INDEX(对接源_01水果!$K$4:$K$1203,$T199)))</f>
      </c>
      <c r="M199" s="84">
        <f>IF($T199="","",IF(INDEX(对接源_01水果!$L$4:$L$1203,$T199)=0,"",INDEX(对接源_01水果!$L$4:$L$1203,$T199)))</f>
      </c>
      <c r="N199" s="87">
        <f>IF($T199="","",IF(INDEX(对接源_01水果!$M$4:$M$1203,$T199)=0,"",INDEX(对接源_01水果!$M$4:$M$1203,$T199)))</f>
      </c>
      <c r="S199" s="7" t="n"/>
      <c r="T199" s="7">
        <f>IF(ROW()-5&gt;$U$1203,"",MATCH(ROW()-5,$U$4:$U$1203,0))</f>
      </c>
      <c r="U199">
        <f>N(U198)+IF(AND($B$2&lt;&gt;"",对接源_01水果!$AH199=$B$2,对接源_01水果!$B199&gt;=$U$1,对接源_01水果!$B199&lt;=$U$2),1,0)</f>
        <v>0</v>
      </c>
    </row>
    <row r="200" ht="15.75" customHeight="1" s="127">
      <c r="A200" s="191">
        <f>IF($T200="","",IF(INDEX(对接源_01水果!$B$4:$B$1203,$T200)=0,"",INDEX(对接源_01水果!$B$4:$B$1203,$T200)))</f>
      </c>
      <c r="B200" s="84">
        <f>IF($T200="","",IF(INDEX(对接源_01水果!$E$4:$E$1203,$T200)=0,"",INDEX(对接源_01水果!$E$4:$E$1203,$T200)))</f>
      </c>
      <c r="C200" s="84">
        <f>IF($T200="","",IF(INDEX(对接源_01水果!$AC$4:$AC$1203,$T200)=0,"",INDEX(对接源_01水果!$AC$4:$AC$1203,$T200)))</f>
      </c>
      <c r="D200" s="84">
        <f>IF($T200="","",IF(INDEX(对接源_01水果!$F$4:$F$1203,$T200)=0,"",INDEX(对接源_01水果!$F$4:$F$1203,$T200)))</f>
      </c>
      <c r="E200" s="84">
        <f>IF($T200="","",IF(INDEX(对接源_01水果!$G$4:$G$1203,$T200)=0,"",INDEX(对接源_01水果!$G$4:$G$1203,$T200)))</f>
      </c>
      <c r="F200" s="84">
        <f>IF($T200="","",IF(INDEX(对接源_01水果!$H$4:$H$1203,$T200)=0,"",INDEX(对接源_01水果!$H$4:$H$1203,$T200)))</f>
      </c>
      <c r="G200" s="84">
        <f>IF($T200="","",IF(INDEX(对接源_01水果!$I$4:$I$1203,$T200)=0,"",INDEX(对接源_01水果!$I$4:$I$1203,$T200)))</f>
      </c>
      <c r="H200" s="86">
        <f>IF($T200="","",IF(INDEX(对接源_01水果!$AD$4:$AD$1203,$T200)=0,"",INDEX(对接源_01水果!$AD$4:$AD$1203,$T200)))</f>
      </c>
      <c r="I200" s="86">
        <f>IF($T200="","",IF(INDEX(对接源_01水果!$AI$4:$AI$1203,$T200)=0,"",INDEX(对接源_01水果!$AI$4:$AI$1203,$T200)))</f>
      </c>
      <c r="J200" s="86">
        <f>IF($T200="","",IF(INDEX(对接源_01水果!$AE$4:$AE$1203,$T200)=0,"",INDEX(对接源_01水果!$AE$4:$AE$1203,$T200)))</f>
      </c>
      <c r="K200" s="86">
        <f>IF($T200="","",IF(INDEX(对接源_01水果!$AF$4:$AF$1203,$T200)=0,"",INDEX(对接源_01水果!$AF$4:$AF$1203,$T200)))</f>
      </c>
      <c r="L200" s="86">
        <f>IF($T200="","",IF(INDEX(对接源_01水果!$K$4:$K$1203,$T200)=0,"",INDEX(对接源_01水果!$K$4:$K$1203,$T200)))</f>
      </c>
      <c r="M200" s="84">
        <f>IF($T200="","",IF(INDEX(对接源_01水果!$L$4:$L$1203,$T200)=0,"",INDEX(对接源_01水果!$L$4:$L$1203,$T200)))</f>
      </c>
      <c r="N200" s="87">
        <f>IF($T200="","",IF(INDEX(对接源_01水果!$M$4:$M$1203,$T200)=0,"",INDEX(对接源_01水果!$M$4:$M$1203,$T200)))</f>
      </c>
      <c r="S200" s="7" t="n"/>
      <c r="T200" s="7">
        <f>IF(ROW()-5&gt;$U$1203,"",MATCH(ROW()-5,$U$4:$U$1203,0))</f>
      </c>
      <c r="U200">
        <f>N(U199)+IF(AND($B$2&lt;&gt;"",对接源_01水果!$AH200=$B$2,对接源_01水果!$B200&gt;=$U$1,对接源_01水果!$B200&lt;=$U$2),1,0)</f>
        <v>0</v>
      </c>
    </row>
    <row r="201" ht="15.75" customHeight="1" s="127">
      <c r="A201" s="191">
        <f>IF($T201="","",IF(INDEX(对接源_01水果!$B$4:$B$1203,$T201)=0,"",INDEX(对接源_01水果!$B$4:$B$1203,$T201)))</f>
      </c>
      <c r="B201" s="84">
        <f>IF($T201="","",IF(INDEX(对接源_01水果!$E$4:$E$1203,$T201)=0,"",INDEX(对接源_01水果!$E$4:$E$1203,$T201)))</f>
      </c>
      <c r="C201" s="84">
        <f>IF($T201="","",IF(INDEX(对接源_01水果!$AC$4:$AC$1203,$T201)=0,"",INDEX(对接源_01水果!$AC$4:$AC$1203,$T201)))</f>
      </c>
      <c r="D201" s="84">
        <f>IF($T201="","",IF(INDEX(对接源_01水果!$F$4:$F$1203,$T201)=0,"",INDEX(对接源_01水果!$F$4:$F$1203,$T201)))</f>
      </c>
      <c r="E201" s="84">
        <f>IF($T201="","",IF(INDEX(对接源_01水果!$G$4:$G$1203,$T201)=0,"",INDEX(对接源_01水果!$G$4:$G$1203,$T201)))</f>
      </c>
      <c r="F201" s="84">
        <f>IF($T201="","",IF(INDEX(对接源_01水果!$H$4:$H$1203,$T201)=0,"",INDEX(对接源_01水果!$H$4:$H$1203,$T201)))</f>
      </c>
      <c r="G201" s="84">
        <f>IF($T201="","",IF(INDEX(对接源_01水果!$I$4:$I$1203,$T201)=0,"",INDEX(对接源_01水果!$I$4:$I$1203,$T201)))</f>
      </c>
      <c r="H201" s="86">
        <f>IF($T201="","",IF(INDEX(对接源_01水果!$AD$4:$AD$1203,$T201)=0,"",INDEX(对接源_01水果!$AD$4:$AD$1203,$T201)))</f>
      </c>
      <c r="I201" s="86">
        <f>IF($T201="","",IF(INDEX(对接源_01水果!$AI$4:$AI$1203,$T201)=0,"",INDEX(对接源_01水果!$AI$4:$AI$1203,$T201)))</f>
      </c>
      <c r="J201" s="86">
        <f>IF($T201="","",IF(INDEX(对接源_01水果!$AE$4:$AE$1203,$T201)=0,"",INDEX(对接源_01水果!$AE$4:$AE$1203,$T201)))</f>
      </c>
      <c r="K201" s="86">
        <f>IF($T201="","",IF(INDEX(对接源_01水果!$AF$4:$AF$1203,$T201)=0,"",INDEX(对接源_01水果!$AF$4:$AF$1203,$T201)))</f>
      </c>
      <c r="L201" s="86">
        <f>IF($T201="","",IF(INDEX(对接源_01水果!$K$4:$K$1203,$T201)=0,"",INDEX(对接源_01水果!$K$4:$K$1203,$T201)))</f>
      </c>
      <c r="M201" s="84">
        <f>IF($T201="","",IF(INDEX(对接源_01水果!$L$4:$L$1203,$T201)=0,"",INDEX(对接源_01水果!$L$4:$L$1203,$T201)))</f>
      </c>
      <c r="N201" s="87">
        <f>IF($T201="","",IF(INDEX(对接源_01水果!$M$4:$M$1203,$T201)=0,"",INDEX(对接源_01水果!$M$4:$M$1203,$T201)))</f>
      </c>
      <c r="S201" s="7" t="n"/>
      <c r="T201" s="7">
        <f>IF(ROW()-5&gt;$U$1203,"",MATCH(ROW()-5,$U$4:$U$1203,0))</f>
      </c>
      <c r="U201">
        <f>N(U200)+IF(AND($B$2&lt;&gt;"",对接源_01水果!$AH201=$B$2,对接源_01水果!$B201&gt;=$U$1,对接源_01水果!$B201&lt;=$U$2),1,0)</f>
        <v>0</v>
      </c>
    </row>
    <row r="202" ht="15.75" customHeight="1" s="127">
      <c r="A202" s="191">
        <f>IF($T202="","",IF(INDEX(对接源_01水果!$B$4:$B$1203,$T202)=0,"",INDEX(对接源_01水果!$B$4:$B$1203,$T202)))</f>
      </c>
      <c r="B202" s="84">
        <f>IF($T202="","",IF(INDEX(对接源_01水果!$E$4:$E$1203,$T202)=0,"",INDEX(对接源_01水果!$E$4:$E$1203,$T202)))</f>
      </c>
      <c r="C202" s="84">
        <f>IF($T202="","",IF(INDEX(对接源_01水果!$AC$4:$AC$1203,$T202)=0,"",INDEX(对接源_01水果!$AC$4:$AC$1203,$T202)))</f>
      </c>
      <c r="D202" s="84">
        <f>IF($T202="","",IF(INDEX(对接源_01水果!$F$4:$F$1203,$T202)=0,"",INDEX(对接源_01水果!$F$4:$F$1203,$T202)))</f>
      </c>
      <c r="E202" s="84">
        <f>IF($T202="","",IF(INDEX(对接源_01水果!$G$4:$G$1203,$T202)=0,"",INDEX(对接源_01水果!$G$4:$G$1203,$T202)))</f>
      </c>
      <c r="F202" s="84">
        <f>IF($T202="","",IF(INDEX(对接源_01水果!$H$4:$H$1203,$T202)=0,"",INDEX(对接源_01水果!$H$4:$H$1203,$T202)))</f>
      </c>
      <c r="G202" s="84">
        <f>IF($T202="","",IF(INDEX(对接源_01水果!$I$4:$I$1203,$T202)=0,"",INDEX(对接源_01水果!$I$4:$I$1203,$T202)))</f>
      </c>
      <c r="H202" s="86">
        <f>IF($T202="","",IF(INDEX(对接源_01水果!$AD$4:$AD$1203,$T202)=0,"",INDEX(对接源_01水果!$AD$4:$AD$1203,$T202)))</f>
      </c>
      <c r="I202" s="86">
        <f>IF($T202="","",IF(INDEX(对接源_01水果!$AI$4:$AI$1203,$T202)=0,"",INDEX(对接源_01水果!$AI$4:$AI$1203,$T202)))</f>
      </c>
      <c r="J202" s="86">
        <f>IF($T202="","",IF(INDEX(对接源_01水果!$AE$4:$AE$1203,$T202)=0,"",INDEX(对接源_01水果!$AE$4:$AE$1203,$T202)))</f>
      </c>
      <c r="K202" s="86">
        <f>IF($T202="","",IF(INDEX(对接源_01水果!$AF$4:$AF$1203,$T202)=0,"",INDEX(对接源_01水果!$AF$4:$AF$1203,$T202)))</f>
      </c>
      <c r="L202" s="86">
        <f>IF($T202="","",IF(INDEX(对接源_01水果!$K$4:$K$1203,$T202)=0,"",INDEX(对接源_01水果!$K$4:$K$1203,$T202)))</f>
      </c>
      <c r="M202" s="84">
        <f>IF($T202="","",IF(INDEX(对接源_01水果!$L$4:$L$1203,$T202)=0,"",INDEX(对接源_01水果!$L$4:$L$1203,$T202)))</f>
      </c>
      <c r="N202" s="87">
        <f>IF($T202="","",IF(INDEX(对接源_01水果!$M$4:$M$1203,$T202)=0,"",INDEX(对接源_01水果!$M$4:$M$1203,$T202)))</f>
      </c>
      <c r="S202" s="7" t="n"/>
      <c r="T202" s="7">
        <f>IF(ROW()-5&gt;$U$1203,"",MATCH(ROW()-5,$U$4:$U$1203,0))</f>
      </c>
      <c r="U202">
        <f>N(U201)+IF(AND($B$2&lt;&gt;"",对接源_01水果!$AH202=$B$2,对接源_01水果!$B202&gt;=$U$1,对接源_01水果!$B202&lt;=$U$2),1,0)</f>
        <v>0</v>
      </c>
    </row>
    <row r="203" ht="15.75" customHeight="1" s="127">
      <c r="A203" s="191">
        <f>IF($T203="","",IF(INDEX(对接源_01水果!$B$4:$B$1203,$T203)=0,"",INDEX(对接源_01水果!$B$4:$B$1203,$T203)))</f>
      </c>
      <c r="B203" s="84">
        <f>IF($T203="","",IF(INDEX(对接源_01水果!$E$4:$E$1203,$T203)=0,"",INDEX(对接源_01水果!$E$4:$E$1203,$T203)))</f>
      </c>
      <c r="C203" s="84">
        <f>IF($T203="","",IF(INDEX(对接源_01水果!$AC$4:$AC$1203,$T203)=0,"",INDEX(对接源_01水果!$AC$4:$AC$1203,$T203)))</f>
      </c>
      <c r="D203" s="84">
        <f>IF($T203="","",IF(INDEX(对接源_01水果!$F$4:$F$1203,$T203)=0,"",INDEX(对接源_01水果!$F$4:$F$1203,$T203)))</f>
      </c>
      <c r="E203" s="84">
        <f>IF($T203="","",IF(INDEX(对接源_01水果!$G$4:$G$1203,$T203)=0,"",INDEX(对接源_01水果!$G$4:$G$1203,$T203)))</f>
      </c>
      <c r="F203" s="84">
        <f>IF($T203="","",IF(INDEX(对接源_01水果!$H$4:$H$1203,$T203)=0,"",INDEX(对接源_01水果!$H$4:$H$1203,$T203)))</f>
      </c>
      <c r="G203" s="84">
        <f>IF($T203="","",IF(INDEX(对接源_01水果!$I$4:$I$1203,$T203)=0,"",INDEX(对接源_01水果!$I$4:$I$1203,$T203)))</f>
      </c>
      <c r="H203" s="86">
        <f>IF($T203="","",IF(INDEX(对接源_01水果!$AD$4:$AD$1203,$T203)=0,"",INDEX(对接源_01水果!$AD$4:$AD$1203,$T203)))</f>
      </c>
      <c r="I203" s="86">
        <f>IF($T203="","",IF(INDEX(对接源_01水果!$AI$4:$AI$1203,$T203)=0,"",INDEX(对接源_01水果!$AI$4:$AI$1203,$T203)))</f>
      </c>
      <c r="J203" s="86">
        <f>IF($T203="","",IF(INDEX(对接源_01水果!$AE$4:$AE$1203,$T203)=0,"",INDEX(对接源_01水果!$AE$4:$AE$1203,$T203)))</f>
      </c>
      <c r="K203" s="86">
        <f>IF($T203="","",IF(INDEX(对接源_01水果!$AF$4:$AF$1203,$T203)=0,"",INDEX(对接源_01水果!$AF$4:$AF$1203,$T203)))</f>
      </c>
      <c r="L203" s="86">
        <f>IF($T203="","",IF(INDEX(对接源_01水果!$K$4:$K$1203,$T203)=0,"",INDEX(对接源_01水果!$K$4:$K$1203,$T203)))</f>
      </c>
      <c r="M203" s="84">
        <f>IF($T203="","",IF(INDEX(对接源_01水果!$L$4:$L$1203,$T203)=0,"",INDEX(对接源_01水果!$L$4:$L$1203,$T203)))</f>
      </c>
      <c r="N203" s="87">
        <f>IF($T203="","",IF(INDEX(对接源_01水果!$M$4:$M$1203,$T203)=0,"",INDEX(对接源_01水果!$M$4:$M$1203,$T203)))</f>
      </c>
      <c r="S203" s="7" t="n"/>
      <c r="T203" s="7">
        <f>IF(ROW()-5&gt;$U$1203,"",MATCH(ROW()-5,$U$4:$U$1203,0))</f>
      </c>
      <c r="U203">
        <f>N(U202)+IF(AND($B$2&lt;&gt;"",对接源_01水果!$AH203=$B$2,对接源_01水果!$B203&gt;=$U$1,对接源_01水果!$B203&lt;=$U$2),1,0)</f>
        <v>0</v>
      </c>
    </row>
    <row r="204" ht="15.75" customHeight="1" s="127">
      <c r="A204" s="191">
        <f>IF($T204="","",IF(INDEX(对接源_01水果!$B$4:$B$1203,$T204)=0,"",INDEX(对接源_01水果!$B$4:$B$1203,$T204)))</f>
      </c>
      <c r="B204" s="84">
        <f>IF($T204="","",IF(INDEX(对接源_01水果!$E$4:$E$1203,$T204)=0,"",INDEX(对接源_01水果!$E$4:$E$1203,$T204)))</f>
      </c>
      <c r="C204" s="84">
        <f>IF($T204="","",IF(INDEX(对接源_01水果!$AC$4:$AC$1203,$T204)=0,"",INDEX(对接源_01水果!$AC$4:$AC$1203,$T204)))</f>
      </c>
      <c r="D204" s="84">
        <f>IF($T204="","",IF(INDEX(对接源_01水果!$F$4:$F$1203,$T204)=0,"",INDEX(对接源_01水果!$F$4:$F$1203,$T204)))</f>
      </c>
      <c r="E204" s="84">
        <f>IF($T204="","",IF(INDEX(对接源_01水果!$G$4:$G$1203,$T204)=0,"",INDEX(对接源_01水果!$G$4:$G$1203,$T204)))</f>
      </c>
      <c r="F204" s="84">
        <f>IF($T204="","",IF(INDEX(对接源_01水果!$H$4:$H$1203,$T204)=0,"",INDEX(对接源_01水果!$H$4:$H$1203,$T204)))</f>
      </c>
      <c r="G204" s="84">
        <f>IF($T204="","",IF(INDEX(对接源_01水果!$I$4:$I$1203,$T204)=0,"",INDEX(对接源_01水果!$I$4:$I$1203,$T204)))</f>
      </c>
      <c r="H204" s="86">
        <f>IF($T204="","",IF(INDEX(对接源_01水果!$AD$4:$AD$1203,$T204)=0,"",INDEX(对接源_01水果!$AD$4:$AD$1203,$T204)))</f>
      </c>
      <c r="I204" s="86">
        <f>IF($T204="","",IF(INDEX(对接源_01水果!$AI$4:$AI$1203,$T204)=0,"",INDEX(对接源_01水果!$AI$4:$AI$1203,$T204)))</f>
      </c>
      <c r="J204" s="86">
        <f>IF($T204="","",IF(INDEX(对接源_01水果!$AE$4:$AE$1203,$T204)=0,"",INDEX(对接源_01水果!$AE$4:$AE$1203,$T204)))</f>
      </c>
      <c r="K204" s="86">
        <f>IF($T204="","",IF(INDEX(对接源_01水果!$AF$4:$AF$1203,$T204)=0,"",INDEX(对接源_01水果!$AF$4:$AF$1203,$T204)))</f>
      </c>
      <c r="L204" s="86">
        <f>IF($T204="","",IF(INDEX(对接源_01水果!$K$4:$K$1203,$T204)=0,"",INDEX(对接源_01水果!$K$4:$K$1203,$T204)))</f>
      </c>
      <c r="M204" s="84">
        <f>IF($T204="","",IF(INDEX(对接源_01水果!$L$4:$L$1203,$T204)=0,"",INDEX(对接源_01水果!$L$4:$L$1203,$T204)))</f>
      </c>
      <c r="N204" s="87">
        <f>IF($T204="","",IF(INDEX(对接源_01水果!$M$4:$M$1203,$T204)=0,"",INDEX(对接源_01水果!$M$4:$M$1203,$T204)))</f>
      </c>
      <c r="S204" s="7" t="n"/>
      <c r="T204" s="7">
        <f>IF(ROW()-5&gt;$U$1203,"",MATCH(ROW()-5,$U$4:$U$1203,0))</f>
      </c>
      <c r="U204">
        <f>N(U203)+IF(AND($B$2&lt;&gt;"",对接源_01水果!$AH204=$B$2,对接源_01水果!$B204&gt;=$U$1,对接源_01水果!$B204&lt;=$U$2),1,0)</f>
        <v>0</v>
      </c>
    </row>
    <row r="205" ht="15.75" customHeight="1" s="127">
      <c r="A205" s="191">
        <f>IF($T205="","",IF(INDEX(对接源_01水果!$B$4:$B$1203,$T205)=0,"",INDEX(对接源_01水果!$B$4:$B$1203,$T205)))</f>
      </c>
      <c r="B205" s="84">
        <f>IF($T205="","",IF(INDEX(对接源_01水果!$E$4:$E$1203,$T205)=0,"",INDEX(对接源_01水果!$E$4:$E$1203,$T205)))</f>
      </c>
      <c r="C205" s="84">
        <f>IF($T205="","",IF(INDEX(对接源_01水果!$AC$4:$AC$1203,$T205)=0,"",INDEX(对接源_01水果!$AC$4:$AC$1203,$T205)))</f>
      </c>
      <c r="D205" s="84">
        <f>IF($T205="","",IF(INDEX(对接源_01水果!$F$4:$F$1203,$T205)=0,"",INDEX(对接源_01水果!$F$4:$F$1203,$T205)))</f>
      </c>
      <c r="E205" s="84">
        <f>IF($T205="","",IF(INDEX(对接源_01水果!$G$4:$G$1203,$T205)=0,"",INDEX(对接源_01水果!$G$4:$G$1203,$T205)))</f>
      </c>
      <c r="F205" s="84">
        <f>IF($T205="","",IF(INDEX(对接源_01水果!$H$4:$H$1203,$T205)=0,"",INDEX(对接源_01水果!$H$4:$H$1203,$T205)))</f>
      </c>
      <c r="G205" s="84">
        <f>IF($T205="","",IF(INDEX(对接源_01水果!$I$4:$I$1203,$T205)=0,"",INDEX(对接源_01水果!$I$4:$I$1203,$T205)))</f>
      </c>
      <c r="H205" s="86">
        <f>IF($T205="","",IF(INDEX(对接源_01水果!$AD$4:$AD$1203,$T205)=0,"",INDEX(对接源_01水果!$AD$4:$AD$1203,$T205)))</f>
      </c>
      <c r="I205" s="86">
        <f>IF($T205="","",IF(INDEX(对接源_01水果!$AI$4:$AI$1203,$T205)=0,"",INDEX(对接源_01水果!$AI$4:$AI$1203,$T205)))</f>
      </c>
      <c r="J205" s="86">
        <f>IF($T205="","",IF(INDEX(对接源_01水果!$AE$4:$AE$1203,$T205)=0,"",INDEX(对接源_01水果!$AE$4:$AE$1203,$T205)))</f>
      </c>
      <c r="K205" s="86">
        <f>IF($T205="","",IF(INDEX(对接源_01水果!$AF$4:$AF$1203,$T205)=0,"",INDEX(对接源_01水果!$AF$4:$AF$1203,$T205)))</f>
      </c>
      <c r="L205" s="86">
        <f>IF($T205="","",IF(INDEX(对接源_01水果!$K$4:$K$1203,$T205)=0,"",INDEX(对接源_01水果!$K$4:$K$1203,$T205)))</f>
      </c>
      <c r="M205" s="84">
        <f>IF($T205="","",IF(INDEX(对接源_01水果!$L$4:$L$1203,$T205)=0,"",INDEX(对接源_01水果!$L$4:$L$1203,$T205)))</f>
      </c>
      <c r="N205" s="87">
        <f>IF($T205="","",IF(INDEX(对接源_01水果!$M$4:$M$1203,$T205)=0,"",INDEX(对接源_01水果!$M$4:$M$1203,$T205)))</f>
      </c>
      <c r="S205" s="7" t="n"/>
      <c r="T205" s="7">
        <f>IF(ROW()-5&gt;$U$1203,"",MATCH(ROW()-5,$U$4:$U$1203,0))</f>
      </c>
      <c r="U205">
        <f>N(U204)+IF(AND($B$2&lt;&gt;"",对接源_01水果!$AH205=$B$2,对接源_01水果!$B205&gt;=$U$1,对接源_01水果!$B205&lt;=$U$2),1,0)</f>
        <v>0</v>
      </c>
    </row>
    <row r="206" ht="16.5" customHeight="1" s="127">
      <c r="A206" s="193" t="inlineStr">
        <is>
          <t>合  计</t>
        </is>
      </c>
      <c r="B206" s="89" t="n"/>
      <c r="C206" s="89" t="n"/>
      <c r="D206" s="89" t="n"/>
      <c r="E206" s="89" t="n"/>
      <c r="F206" s="89">
        <f>ROUND(SUM(F6:F205),2)</f>
        <v>23</v>
      </c>
      <c r="G206" s="89" t="n"/>
      <c r="H206" s="89" t="n"/>
      <c r="I206" s="89">
        <f>ROUND(SUM(I6:I205),2)</f>
        <v>1150</v>
      </c>
      <c r="J206" s="89">
        <f>ROUND(SUM(J6:J205),2)</f>
        <v>10</v>
      </c>
      <c r="K206" s="89">
        <f>ROUND(SUM(K6:K205),2)</f>
        <v>10</v>
      </c>
      <c r="L206" s="89">
        <f>ROUND(SUM(L6:L205),2)</f>
        <v>1170</v>
      </c>
      <c r="M206" s="89" t="n"/>
      <c r="N206" s="89" t="n"/>
      <c r="U206">
        <f>N(U205)+IF(AND($B$2&lt;&gt;"",对接源_01水果!$AH206=$B$2,对接源_01水果!$B206&gt;=$U$1,对接源_01水果!$B206&lt;=$U$2),1,0)</f>
        <v>0</v>
      </c>
    </row>
    <row r="207">
      <c r="U207">
        <f>N(U206)+IF(AND($B$2&lt;&gt;"",对接源_01水果!$AH207=$B$2,对接源_01水果!$B207&gt;=$U$1,对接源_01水果!$B207&lt;=$U$2),1,0)</f>
        <v>0</v>
      </c>
    </row>
    <row r="208" ht="36.75" customHeight="1" s="127">
      <c r="A208" s="194" t="str">
        <f>("对账日期：　"&amp;TEXT(TODAY(),"yyyy 年 m 月 d 日"))</f>
        <v>对账日期：　2026 年 9 月 28 日</v>
      </c>
      <c r="B208" s="195" t="n"/>
      <c r="C208" s="195" t="n"/>
      <c r="D208" s="195" t="n"/>
      <c r="E208" s="196" t="n"/>
      <c r="F208" s="91" t="inlineStr">
        <is>
          <t>合计金额:</t>
        </is>
      </c>
      <c r="G208" s="86">
        <f>ROUND($L$206,2)</f>
        <v>1170</v>
      </c>
      <c r="U208">
        <f>N(U207)+IF(AND($B$2&lt;&gt;"",对接源_01水果!$AH208=$B$2,对接源_01水果!$B208&gt;=$U$1,对接源_01水果!$B208&lt;=$U$2),1,0)</f>
        <v>0</v>
      </c>
    </row>
    <row r="209" ht="16.5" customHeight="1" s="127">
      <c r="E209" s="91" t="n"/>
      <c r="F209" s="91" t="inlineStr">
        <is>
          <t>已 收 款:</t>
        </is>
      </c>
      <c r="G209" s="86">
        <f>ROUND(N($R$8),2)</f>
        <v>210</v>
      </c>
      <c r="U209">
        <f>N(U208)+IF(AND($B$2&lt;&gt;"",对接源_01水果!$AH209=$B$2,对接源_01水果!$B209&gt;=$U$1,对接源_01水果!$B209&lt;=$U$2),1,0)</f>
        <v>0</v>
      </c>
    </row>
    <row r="210" ht="16.5" customHeight="1" s="127">
      <c r="E210" s="91" t="n"/>
      <c r="F210" s="91" t="inlineStr">
        <is>
          <t>应 收 款:</t>
        </is>
      </c>
      <c r="G210" s="89">
        <f>ROUND(N($G$208)-N($G$209),2)</f>
        <v>960</v>
      </c>
      <c r="U210">
        <f>N(U209)+IF(AND($B$2&lt;&gt;"",对接源_01水果!$AH210=$B$2,对接源_01水果!$B210&gt;=$U$1,对接源_01水果!$B210&lt;=$U$2),1,0)</f>
        <v>0</v>
      </c>
    </row>
    <row r="211">
      <c r="U211">
        <f>N(U210)+IF(AND($B$2&lt;&gt;"",对接源_01水果!$AH211=$B$2,对接源_01水果!$B211&gt;=$U$1,对接源_01水果!$B211&lt;=$U$2),1,0)</f>
        <v>0</v>
      </c>
    </row>
    <row r="212">
      <c r="U212">
        <f>N(U211)+IF(AND($B$2&lt;&gt;"",对接源_01水果!$AH212=$B$2,对接源_01水果!$B212&gt;=$U$1,对接源_01水果!$B212&lt;=$U$2),1,0)</f>
        <v>0</v>
      </c>
    </row>
    <row r="213">
      <c r="U213">
        <f>N(U212)+IF(AND($B$2&lt;&gt;"",对接源_01水果!$AH213=$B$2,对接源_01水果!$B213&gt;=$U$1,对接源_01水果!$B213&lt;=$U$2),1,0)</f>
        <v>0</v>
      </c>
    </row>
    <row r="214">
      <c r="U214">
        <f>N(U213)+IF(AND($B$2&lt;&gt;"",对接源_01水果!$AH214=$B$2,对接源_01水果!$B214&gt;=$U$1,对接源_01水果!$B214&lt;=$U$2),1,0)</f>
        <v>0</v>
      </c>
    </row>
    <row r="215">
      <c r="U215">
        <f>N(U214)+IF(AND($B$2&lt;&gt;"",对接源_01水果!$AH215=$B$2,对接源_01水果!$B215&gt;=$U$1,对接源_01水果!$B215&lt;=$U$2),1,0)</f>
        <v>0</v>
      </c>
    </row>
    <row r="216">
      <c r="U216">
        <f>N(U215)+IF(AND($B$2&lt;&gt;"",对接源_01水果!$AH216=$B$2,对接源_01水果!$B216&gt;=$U$1,对接源_01水果!$B216&lt;=$U$2),1,0)</f>
        <v>0</v>
      </c>
    </row>
    <row r="217">
      <c r="U217">
        <f>N(U216)+IF(AND($B$2&lt;&gt;"",对接源_01水果!$AH217=$B$2,对接源_01水果!$B217&gt;=$U$1,对接源_01水果!$B217&lt;=$U$2),1,0)</f>
        <v>0</v>
      </c>
    </row>
    <row r="218">
      <c r="U218">
        <f>N(U217)+IF(AND($B$2&lt;&gt;"",对接源_01水果!$AH218=$B$2,对接源_01水果!$B218&gt;=$U$1,对接源_01水果!$B218&lt;=$U$2),1,0)</f>
        <v>0</v>
      </c>
    </row>
    <row r="219">
      <c r="U219">
        <f>N(U218)+IF(AND($B$2&lt;&gt;"",对接源_01水果!$AH219=$B$2,对接源_01水果!$B219&gt;=$U$1,对接源_01水果!$B219&lt;=$U$2),1,0)</f>
        <v>0</v>
      </c>
    </row>
    <row r="220">
      <c r="U220">
        <f>N(U219)+IF(AND($B$2&lt;&gt;"",对接源_01水果!$AH220=$B$2,对接源_01水果!$B220&gt;=$U$1,对接源_01水果!$B220&lt;=$U$2),1,0)</f>
        <v>0</v>
      </c>
    </row>
    <row r="221">
      <c r="U221">
        <f>N(U220)+IF(AND($B$2&lt;&gt;"",对接源_01水果!$AH221=$B$2,对接源_01水果!$B221&gt;=$U$1,对接源_01水果!$B221&lt;=$U$2),1,0)</f>
        <v>0</v>
      </c>
    </row>
    <row r="222">
      <c r="U222">
        <f>N(U221)+IF(AND($B$2&lt;&gt;"",对接源_01水果!$AH222=$B$2,对接源_01水果!$B222&gt;=$U$1,对接源_01水果!$B222&lt;=$U$2),1,0)</f>
        <v>0</v>
      </c>
    </row>
    <row r="223">
      <c r="U223">
        <f>N(U222)+IF(AND($B$2&lt;&gt;"",对接源_01水果!$AH223=$B$2,对接源_01水果!$B223&gt;=$U$1,对接源_01水果!$B223&lt;=$U$2),1,0)</f>
        <v>0</v>
      </c>
    </row>
    <row r="224">
      <c r="U224">
        <f>N(U223)+IF(AND($B$2&lt;&gt;"",对接源_01水果!$AH224=$B$2,对接源_01水果!$B224&gt;=$U$1,对接源_01水果!$B224&lt;=$U$2),1,0)</f>
        <v>0</v>
      </c>
    </row>
    <row r="225">
      <c r="U225">
        <f>N(U224)+IF(AND($B$2&lt;&gt;"",对接源_01水果!$AH225=$B$2,对接源_01水果!$B225&gt;=$U$1,对接源_01水果!$B225&lt;=$U$2),1,0)</f>
        <v>0</v>
      </c>
    </row>
    <row r="226">
      <c r="U226">
        <f>N(U225)+IF(AND($B$2&lt;&gt;"",对接源_01水果!$AH226=$B$2,对接源_01水果!$B226&gt;=$U$1,对接源_01水果!$B226&lt;=$U$2),1,0)</f>
        <v>0</v>
      </c>
    </row>
    <row r="227">
      <c r="U227">
        <f>N(U226)+IF(AND($B$2&lt;&gt;"",对接源_01水果!$AH227=$B$2,对接源_01水果!$B227&gt;=$U$1,对接源_01水果!$B227&lt;=$U$2),1,0)</f>
        <v>0</v>
      </c>
    </row>
    <row r="228">
      <c r="U228">
        <f>N(U227)+IF(AND($B$2&lt;&gt;"",对接源_01水果!$AH228=$B$2,对接源_01水果!$B228&gt;=$U$1,对接源_01水果!$B228&lt;=$U$2),1,0)</f>
        <v>0</v>
      </c>
    </row>
    <row r="229">
      <c r="U229">
        <f>N(U228)+IF(AND($B$2&lt;&gt;"",对接源_01水果!$AH229=$B$2,对接源_01水果!$B229&gt;=$U$1,对接源_01水果!$B229&lt;=$U$2),1,0)</f>
        <v>0</v>
      </c>
    </row>
    <row r="230">
      <c r="U230">
        <f>N(U229)+IF(AND($B$2&lt;&gt;"",对接源_01水果!$AH230=$B$2,对接源_01水果!$B230&gt;=$U$1,对接源_01水果!$B230&lt;=$U$2),1,0)</f>
        <v>0</v>
      </c>
    </row>
    <row r="231">
      <c r="U231">
        <f>N(U230)+IF(AND($B$2&lt;&gt;"",对接源_01水果!$AH231=$B$2,对接源_01水果!$B231&gt;=$U$1,对接源_01水果!$B231&lt;=$U$2),1,0)</f>
        <v>0</v>
      </c>
    </row>
    <row r="232">
      <c r="U232">
        <f>N(U231)+IF(AND($B$2&lt;&gt;"",对接源_01水果!$AH232=$B$2,对接源_01水果!$B232&gt;=$U$1,对接源_01水果!$B232&lt;=$U$2),1,0)</f>
        <v>0</v>
      </c>
    </row>
    <row r="233">
      <c r="U233">
        <f>N(U232)+IF(AND($B$2&lt;&gt;"",对接源_01水果!$AH233=$B$2,对接源_01水果!$B233&gt;=$U$1,对接源_01水果!$B233&lt;=$U$2),1,0)</f>
        <v>0</v>
      </c>
    </row>
    <row r="234">
      <c r="U234">
        <f>N(U233)+IF(AND($B$2&lt;&gt;"",对接源_01水果!$AH234=$B$2,对接源_01水果!$B234&gt;=$U$1,对接源_01水果!$B234&lt;=$U$2),1,0)</f>
        <v>0</v>
      </c>
    </row>
    <row r="235">
      <c r="U235">
        <f>N(U234)+IF(AND($B$2&lt;&gt;"",对接源_01水果!$AH235=$B$2,对接源_01水果!$B235&gt;=$U$1,对接源_01水果!$B235&lt;=$U$2),1,0)</f>
        <v>0</v>
      </c>
    </row>
    <row r="236">
      <c r="U236">
        <f>N(U235)+IF(AND($B$2&lt;&gt;"",对接源_01水果!$AH236=$B$2,对接源_01水果!$B236&gt;=$U$1,对接源_01水果!$B236&lt;=$U$2),1,0)</f>
        <v>0</v>
      </c>
    </row>
    <row r="237">
      <c r="U237">
        <f>N(U236)+IF(AND($B$2&lt;&gt;"",对接源_01水果!$AH237=$B$2,对接源_01水果!$B237&gt;=$U$1,对接源_01水果!$B237&lt;=$U$2),1,0)</f>
        <v>0</v>
      </c>
    </row>
    <row r="238">
      <c r="U238">
        <f>N(U237)+IF(AND($B$2&lt;&gt;"",对接源_01水果!$AH238=$B$2,对接源_01水果!$B238&gt;=$U$1,对接源_01水果!$B238&lt;=$U$2),1,0)</f>
        <v>0</v>
      </c>
    </row>
    <row r="239">
      <c r="U239">
        <f>N(U238)+IF(AND($B$2&lt;&gt;"",对接源_01水果!$AH239=$B$2,对接源_01水果!$B239&gt;=$U$1,对接源_01水果!$B239&lt;=$U$2),1,0)</f>
        <v>0</v>
      </c>
    </row>
    <row r="240">
      <c r="U240">
        <f>N(U239)+IF(AND($B$2&lt;&gt;"",对接源_01水果!$AH240=$B$2,对接源_01水果!$B240&gt;=$U$1,对接源_01水果!$B240&lt;=$U$2),1,0)</f>
        <v>0</v>
      </c>
    </row>
    <row r="241">
      <c r="U241">
        <f>N(U240)+IF(AND($B$2&lt;&gt;"",对接源_01水果!$AH241=$B$2,对接源_01水果!$B241&gt;=$U$1,对接源_01水果!$B241&lt;=$U$2),1,0)</f>
        <v>0</v>
      </c>
    </row>
    <row r="242">
      <c r="U242">
        <f>N(U241)+IF(AND($B$2&lt;&gt;"",对接源_01水果!$AH242=$B$2,对接源_01水果!$B242&gt;=$U$1,对接源_01水果!$B242&lt;=$U$2),1,0)</f>
        <v>0</v>
      </c>
    </row>
    <row r="243">
      <c r="U243">
        <f>N(U242)+IF(AND($B$2&lt;&gt;"",对接源_01水果!$AH243=$B$2,对接源_01水果!$B243&gt;=$U$1,对接源_01水果!$B243&lt;=$U$2),1,0)</f>
        <v>0</v>
      </c>
    </row>
    <row r="244">
      <c r="U244">
        <f>N(U243)+IF(AND($B$2&lt;&gt;"",对接源_01水果!$AH244=$B$2,对接源_01水果!$B244&gt;=$U$1,对接源_01水果!$B244&lt;=$U$2),1,0)</f>
        <v>0</v>
      </c>
    </row>
    <row r="245">
      <c r="U245">
        <f>N(U244)+IF(AND($B$2&lt;&gt;"",对接源_01水果!$AH245=$B$2,对接源_01水果!$B245&gt;=$U$1,对接源_01水果!$B245&lt;=$U$2),1,0)</f>
        <v>0</v>
      </c>
    </row>
    <row r="246">
      <c r="U246">
        <f>N(U245)+IF(AND($B$2&lt;&gt;"",对接源_01水果!$AH246=$B$2,对接源_01水果!$B246&gt;=$U$1,对接源_01水果!$B246&lt;=$U$2),1,0)</f>
        <v>0</v>
      </c>
    </row>
    <row r="247">
      <c r="U247">
        <f>N(U246)+IF(AND($B$2&lt;&gt;"",对接源_01水果!$AH247=$B$2,对接源_01水果!$B247&gt;=$U$1,对接源_01水果!$B247&lt;=$U$2),1,0)</f>
        <v>0</v>
      </c>
    </row>
    <row r="248">
      <c r="U248">
        <f>N(U247)+IF(AND($B$2&lt;&gt;"",对接源_01水果!$AH248=$B$2,对接源_01水果!$B248&gt;=$U$1,对接源_01水果!$B248&lt;=$U$2),1,0)</f>
        <v>0</v>
      </c>
    </row>
    <row r="249">
      <c r="U249">
        <f>N(U248)+IF(AND($B$2&lt;&gt;"",对接源_01水果!$AH249=$B$2,对接源_01水果!$B249&gt;=$U$1,对接源_01水果!$B249&lt;=$U$2),1,0)</f>
        <v>0</v>
      </c>
    </row>
    <row r="250">
      <c r="U250">
        <f>N(U249)+IF(AND($B$2&lt;&gt;"",对接源_01水果!$AH250=$B$2,对接源_01水果!$B250&gt;=$U$1,对接源_01水果!$B250&lt;=$U$2),1,0)</f>
        <v>0</v>
      </c>
    </row>
    <row r="251">
      <c r="U251">
        <f>N(U250)+IF(AND($B$2&lt;&gt;"",对接源_01水果!$AH251=$B$2,对接源_01水果!$B251&gt;=$U$1,对接源_01水果!$B251&lt;=$U$2),1,0)</f>
        <v>0</v>
      </c>
    </row>
    <row r="252">
      <c r="U252">
        <f>N(U251)+IF(AND($B$2&lt;&gt;"",对接源_01水果!$AH252=$B$2,对接源_01水果!$B252&gt;=$U$1,对接源_01水果!$B252&lt;=$U$2),1,0)</f>
        <v>0</v>
      </c>
    </row>
    <row r="253">
      <c r="U253">
        <f>N(U252)+IF(AND($B$2&lt;&gt;"",对接源_01水果!$AH253=$B$2,对接源_01水果!$B253&gt;=$U$1,对接源_01水果!$B253&lt;=$U$2),1,0)</f>
        <v>0</v>
      </c>
    </row>
    <row r="254">
      <c r="U254">
        <f>N(U253)+IF(AND($B$2&lt;&gt;"",对接源_01水果!$AH254=$B$2,对接源_01水果!$B254&gt;=$U$1,对接源_01水果!$B254&lt;=$U$2),1,0)</f>
        <v>0</v>
      </c>
    </row>
    <row r="255">
      <c r="U255">
        <f>N(U254)+IF(AND($B$2&lt;&gt;"",对接源_01水果!$AH255=$B$2,对接源_01水果!$B255&gt;=$U$1,对接源_01水果!$B255&lt;=$U$2),1,0)</f>
        <v>0</v>
      </c>
    </row>
    <row r="256">
      <c r="U256">
        <f>N(U255)+IF(AND($B$2&lt;&gt;"",对接源_01水果!$AH256=$B$2,对接源_01水果!$B256&gt;=$U$1,对接源_01水果!$B256&lt;=$U$2),1,0)</f>
        <v>0</v>
      </c>
    </row>
    <row r="257">
      <c r="U257">
        <f>N(U256)+IF(AND($B$2&lt;&gt;"",对接源_01水果!$AH257=$B$2,对接源_01水果!$B257&gt;=$U$1,对接源_01水果!$B257&lt;=$U$2),1,0)</f>
        <v>0</v>
      </c>
    </row>
    <row r="258">
      <c r="U258">
        <f>N(U257)+IF(AND($B$2&lt;&gt;"",对接源_01水果!$AH258=$B$2,对接源_01水果!$B258&gt;=$U$1,对接源_01水果!$B258&lt;=$U$2),1,0)</f>
        <v>0</v>
      </c>
    </row>
    <row r="259">
      <c r="U259">
        <f>N(U258)+IF(AND($B$2&lt;&gt;"",对接源_01水果!$AH259=$B$2,对接源_01水果!$B259&gt;=$U$1,对接源_01水果!$B259&lt;=$U$2),1,0)</f>
        <v>0</v>
      </c>
    </row>
    <row r="260">
      <c r="U260">
        <f>N(U259)+IF(AND($B$2&lt;&gt;"",对接源_01水果!$AH260=$B$2,对接源_01水果!$B260&gt;=$U$1,对接源_01水果!$B260&lt;=$U$2),1,0)</f>
        <v>0</v>
      </c>
    </row>
    <row r="261">
      <c r="U261">
        <f>N(U260)+IF(AND($B$2&lt;&gt;"",对接源_01水果!$AH261=$B$2,对接源_01水果!$B261&gt;=$U$1,对接源_01水果!$B261&lt;=$U$2),1,0)</f>
        <v>0</v>
      </c>
    </row>
    <row r="262">
      <c r="U262">
        <f>N(U261)+IF(AND($B$2&lt;&gt;"",对接源_01水果!$AH262=$B$2,对接源_01水果!$B262&gt;=$U$1,对接源_01水果!$B262&lt;=$U$2),1,0)</f>
        <v>0</v>
      </c>
    </row>
    <row r="263">
      <c r="U263">
        <f>N(U262)+IF(AND($B$2&lt;&gt;"",对接源_01水果!$AH263=$B$2,对接源_01水果!$B263&gt;=$U$1,对接源_01水果!$B263&lt;=$U$2),1,0)</f>
        <v>0</v>
      </c>
    </row>
    <row r="264">
      <c r="U264">
        <f>N(U263)+IF(AND($B$2&lt;&gt;"",对接源_01水果!$AH264=$B$2,对接源_01水果!$B264&gt;=$U$1,对接源_01水果!$B264&lt;=$U$2),1,0)</f>
        <v>0</v>
      </c>
    </row>
    <row r="265">
      <c r="U265">
        <f>N(U264)+IF(AND($B$2&lt;&gt;"",对接源_01水果!$AH265=$B$2,对接源_01水果!$B265&gt;=$U$1,对接源_01水果!$B265&lt;=$U$2),1,0)</f>
        <v>0</v>
      </c>
    </row>
    <row r="266">
      <c r="U266">
        <f>N(U265)+IF(AND($B$2&lt;&gt;"",对接源_01水果!$AH266=$B$2,对接源_01水果!$B266&gt;=$U$1,对接源_01水果!$B266&lt;=$U$2),1,0)</f>
        <v>0</v>
      </c>
    </row>
    <row r="267">
      <c r="U267">
        <f>N(U266)+IF(AND($B$2&lt;&gt;"",对接源_01水果!$AH267=$B$2,对接源_01水果!$B267&gt;=$U$1,对接源_01水果!$B267&lt;=$U$2),1,0)</f>
        <v>0</v>
      </c>
    </row>
    <row r="268">
      <c r="U268">
        <f>N(U267)+IF(AND($B$2&lt;&gt;"",对接源_01水果!$AH268=$B$2,对接源_01水果!$B268&gt;=$U$1,对接源_01水果!$B268&lt;=$U$2),1,0)</f>
        <v>0</v>
      </c>
    </row>
    <row r="269">
      <c r="U269">
        <f>N(U268)+IF(AND($B$2&lt;&gt;"",对接源_01水果!$AH269=$B$2,对接源_01水果!$B269&gt;=$U$1,对接源_01水果!$B269&lt;=$U$2),1,0)</f>
        <v>0</v>
      </c>
    </row>
    <row r="270">
      <c r="U270">
        <f>N(U269)+IF(AND($B$2&lt;&gt;"",对接源_01水果!$AH270=$B$2,对接源_01水果!$B270&gt;=$U$1,对接源_01水果!$B270&lt;=$U$2),1,0)</f>
        <v>0</v>
      </c>
    </row>
    <row r="271">
      <c r="U271">
        <f>N(U270)+IF(AND($B$2&lt;&gt;"",对接源_01水果!$AH271=$B$2,对接源_01水果!$B271&gt;=$U$1,对接源_01水果!$B271&lt;=$U$2),1,0)</f>
        <v>0</v>
      </c>
    </row>
    <row r="272">
      <c r="U272">
        <f>N(U271)+IF(AND($B$2&lt;&gt;"",对接源_01水果!$AH272=$B$2,对接源_01水果!$B272&gt;=$U$1,对接源_01水果!$B272&lt;=$U$2),1,0)</f>
        <v>0</v>
      </c>
    </row>
    <row r="273">
      <c r="U273">
        <f>N(U272)+IF(AND($B$2&lt;&gt;"",对接源_01水果!$AH273=$B$2,对接源_01水果!$B273&gt;=$U$1,对接源_01水果!$B273&lt;=$U$2),1,0)</f>
        <v>0</v>
      </c>
    </row>
    <row r="274">
      <c r="U274">
        <f>N(U273)+IF(AND($B$2&lt;&gt;"",对接源_01水果!$AH274=$B$2,对接源_01水果!$B274&gt;=$U$1,对接源_01水果!$B274&lt;=$U$2),1,0)</f>
        <v>0</v>
      </c>
    </row>
    <row r="275">
      <c r="U275">
        <f>N(U274)+IF(AND($B$2&lt;&gt;"",对接源_01水果!$AH275=$B$2,对接源_01水果!$B275&gt;=$U$1,对接源_01水果!$B275&lt;=$U$2),1,0)</f>
        <v>0</v>
      </c>
    </row>
    <row r="276">
      <c r="U276">
        <f>N(U275)+IF(AND($B$2&lt;&gt;"",对接源_01水果!$AH276=$B$2,对接源_01水果!$B276&gt;=$U$1,对接源_01水果!$B276&lt;=$U$2),1,0)</f>
        <v>0</v>
      </c>
    </row>
    <row r="277">
      <c r="U277">
        <f>N(U276)+IF(AND($B$2&lt;&gt;"",对接源_01水果!$AH277=$B$2,对接源_01水果!$B277&gt;=$U$1,对接源_01水果!$B277&lt;=$U$2),1,0)</f>
        <v>0</v>
      </c>
    </row>
    <row r="278">
      <c r="U278">
        <f>N(U277)+IF(AND($B$2&lt;&gt;"",对接源_01水果!$AH278=$B$2,对接源_01水果!$B278&gt;=$U$1,对接源_01水果!$B278&lt;=$U$2),1,0)</f>
        <v>0</v>
      </c>
    </row>
    <row r="279">
      <c r="U279">
        <f>N(U278)+IF(AND($B$2&lt;&gt;"",对接源_01水果!$AH279=$B$2,对接源_01水果!$B279&gt;=$U$1,对接源_01水果!$B279&lt;=$U$2),1,0)</f>
        <v>0</v>
      </c>
    </row>
    <row r="280">
      <c r="U280">
        <f>N(U279)+IF(AND($B$2&lt;&gt;"",对接源_01水果!$AH280=$B$2,对接源_01水果!$B280&gt;=$U$1,对接源_01水果!$B280&lt;=$U$2),1,0)</f>
        <v>0</v>
      </c>
    </row>
    <row r="281">
      <c r="U281">
        <f>N(U280)+IF(AND($B$2&lt;&gt;"",对接源_01水果!$AH281=$B$2,对接源_01水果!$B281&gt;=$U$1,对接源_01水果!$B281&lt;=$U$2),1,0)</f>
        <v>0</v>
      </c>
    </row>
    <row r="282">
      <c r="U282">
        <f>N(U281)+IF(AND($B$2&lt;&gt;"",对接源_01水果!$AH282=$B$2,对接源_01水果!$B282&gt;=$U$1,对接源_01水果!$B282&lt;=$U$2),1,0)</f>
        <v>0</v>
      </c>
    </row>
    <row r="283">
      <c r="U283">
        <f>N(U282)+IF(AND($B$2&lt;&gt;"",对接源_01水果!$AH283=$B$2,对接源_01水果!$B283&gt;=$U$1,对接源_01水果!$B283&lt;=$U$2),1,0)</f>
        <v>0</v>
      </c>
    </row>
    <row r="284">
      <c r="U284">
        <f>N(U283)+IF(AND($B$2&lt;&gt;"",对接源_01水果!$AH284=$B$2,对接源_01水果!$B284&gt;=$U$1,对接源_01水果!$B284&lt;=$U$2),1,0)</f>
        <v>0</v>
      </c>
    </row>
    <row r="285">
      <c r="U285">
        <f>N(U284)+IF(AND($B$2&lt;&gt;"",对接源_01水果!$AH285=$B$2,对接源_01水果!$B285&gt;=$U$1,对接源_01水果!$B285&lt;=$U$2),1,0)</f>
        <v>0</v>
      </c>
    </row>
    <row r="286">
      <c r="U286">
        <f>N(U285)+IF(AND($B$2&lt;&gt;"",对接源_01水果!$AH286=$B$2,对接源_01水果!$B286&gt;=$U$1,对接源_01水果!$B286&lt;=$U$2),1,0)</f>
        <v>0</v>
      </c>
    </row>
    <row r="287">
      <c r="U287">
        <f>N(U286)+IF(AND($B$2&lt;&gt;"",对接源_01水果!$AH287=$B$2,对接源_01水果!$B287&gt;=$U$1,对接源_01水果!$B287&lt;=$U$2),1,0)</f>
        <v>0</v>
      </c>
    </row>
    <row r="288">
      <c r="U288">
        <f>N(U287)+IF(AND($B$2&lt;&gt;"",对接源_01水果!$AH288=$B$2,对接源_01水果!$B288&gt;=$U$1,对接源_01水果!$B288&lt;=$U$2),1,0)</f>
        <v>0</v>
      </c>
    </row>
    <row r="289">
      <c r="U289">
        <f>N(U288)+IF(AND($B$2&lt;&gt;"",对接源_01水果!$AH289=$B$2,对接源_01水果!$B289&gt;=$U$1,对接源_01水果!$B289&lt;=$U$2),1,0)</f>
        <v>0</v>
      </c>
    </row>
    <row r="290">
      <c r="U290">
        <f>N(U289)+IF(AND($B$2&lt;&gt;"",对接源_01水果!$AH290=$B$2,对接源_01水果!$B290&gt;=$U$1,对接源_01水果!$B290&lt;=$U$2),1,0)</f>
        <v>0</v>
      </c>
    </row>
    <row r="291">
      <c r="U291">
        <f>N(U290)+IF(AND($B$2&lt;&gt;"",对接源_01水果!$AH291=$B$2,对接源_01水果!$B291&gt;=$U$1,对接源_01水果!$B291&lt;=$U$2),1,0)</f>
        <v>0</v>
      </c>
    </row>
    <row r="292">
      <c r="U292">
        <f>N(U291)+IF(AND($B$2&lt;&gt;"",对接源_01水果!$AH292=$B$2,对接源_01水果!$B292&gt;=$U$1,对接源_01水果!$B292&lt;=$U$2),1,0)</f>
        <v>0</v>
      </c>
    </row>
    <row r="293">
      <c r="U293">
        <f>N(U292)+IF(AND($B$2&lt;&gt;"",对接源_01水果!$AH293=$B$2,对接源_01水果!$B293&gt;=$U$1,对接源_01水果!$B293&lt;=$U$2),1,0)</f>
        <v>0</v>
      </c>
    </row>
    <row r="294">
      <c r="U294">
        <f>N(U293)+IF(AND($B$2&lt;&gt;"",对接源_01水果!$AH294=$B$2,对接源_01水果!$B294&gt;=$U$1,对接源_01水果!$B294&lt;=$U$2),1,0)</f>
        <v>0</v>
      </c>
    </row>
    <row r="295">
      <c r="U295">
        <f>N(U294)+IF(AND($B$2&lt;&gt;"",对接源_01水果!$AH295=$B$2,对接源_01水果!$B295&gt;=$U$1,对接源_01水果!$B295&lt;=$U$2),1,0)</f>
        <v>0</v>
      </c>
    </row>
    <row r="296">
      <c r="U296">
        <f>N(U295)+IF(AND($B$2&lt;&gt;"",对接源_01水果!$AH296=$B$2,对接源_01水果!$B296&gt;=$U$1,对接源_01水果!$B296&lt;=$U$2),1,0)</f>
        <v>0</v>
      </c>
    </row>
    <row r="297">
      <c r="U297">
        <f>N(U296)+IF(AND($B$2&lt;&gt;"",对接源_01水果!$AH297=$B$2,对接源_01水果!$B297&gt;=$U$1,对接源_01水果!$B297&lt;=$U$2),1,0)</f>
        <v>0</v>
      </c>
    </row>
    <row r="298">
      <c r="U298">
        <f>N(U297)+IF(AND($B$2&lt;&gt;"",对接源_01水果!$AH298=$B$2,对接源_01水果!$B298&gt;=$U$1,对接源_01水果!$B298&lt;=$U$2),1,0)</f>
        <v>0</v>
      </c>
    </row>
    <row r="299">
      <c r="U299">
        <f>N(U298)+IF(AND($B$2&lt;&gt;"",对接源_01水果!$AH299=$B$2,对接源_01水果!$B299&gt;=$U$1,对接源_01水果!$B299&lt;=$U$2),1,0)</f>
        <v>0</v>
      </c>
    </row>
    <row r="300">
      <c r="U300">
        <f>N(U299)+IF(AND($B$2&lt;&gt;"",对接源_01水果!$AH300=$B$2,对接源_01水果!$B300&gt;=$U$1,对接源_01水果!$B300&lt;=$U$2),1,0)</f>
        <v>0</v>
      </c>
    </row>
    <row r="301">
      <c r="U301">
        <f>N(U300)+IF(AND($B$2&lt;&gt;"",对接源_01水果!$AH301=$B$2,对接源_01水果!$B301&gt;=$U$1,对接源_01水果!$B301&lt;=$U$2),1,0)</f>
        <v>0</v>
      </c>
    </row>
    <row r="302">
      <c r="U302">
        <f>N(U301)+IF(AND($B$2&lt;&gt;"",对接源_01水果!$AH302=$B$2,对接源_01水果!$B302&gt;=$U$1,对接源_01水果!$B302&lt;=$U$2),1,0)</f>
        <v>0</v>
      </c>
    </row>
    <row r="303">
      <c r="U303">
        <f>N(U302)+IF(AND($B$2&lt;&gt;"",对接源_01水果!$AH303=$B$2,对接源_01水果!$B303&gt;=$U$1,对接源_01水果!$B303&lt;=$U$2),1,0)</f>
        <v>0</v>
      </c>
    </row>
    <row r="304">
      <c r="U304">
        <f>N(U303)+IF(AND($B$2&lt;&gt;"",对接源_01水果!$AH304=$B$2,对接源_01水果!$B304&gt;=$U$1,对接源_01水果!$B304&lt;=$U$2),1,0)</f>
        <v>0</v>
      </c>
    </row>
    <row r="305">
      <c r="U305">
        <f>N(U304)+IF(AND($B$2&lt;&gt;"",对接源_01水果!$AH305=$B$2,对接源_01水果!$B305&gt;=$U$1,对接源_01水果!$B305&lt;=$U$2),1,0)</f>
        <v>0</v>
      </c>
    </row>
    <row r="306">
      <c r="U306">
        <f>N(U305)+IF(AND($B$2&lt;&gt;"",对接源_01水果!$AH306=$B$2,对接源_01水果!$B306&gt;=$U$1,对接源_01水果!$B306&lt;=$U$2),1,0)</f>
        <v>0</v>
      </c>
    </row>
    <row r="307">
      <c r="U307">
        <f>N(U306)+IF(AND($B$2&lt;&gt;"",对接源_01水果!$AH307=$B$2,对接源_01水果!$B307&gt;=$U$1,对接源_01水果!$B307&lt;=$U$2),1,0)</f>
        <v>0</v>
      </c>
    </row>
    <row r="308">
      <c r="U308">
        <f>N(U307)+IF(AND($B$2&lt;&gt;"",对接源_01水果!$AH308=$B$2,对接源_01水果!$B308&gt;=$U$1,对接源_01水果!$B308&lt;=$U$2),1,0)</f>
        <v>0</v>
      </c>
    </row>
    <row r="309">
      <c r="U309">
        <f>N(U308)+IF(AND($B$2&lt;&gt;"",对接源_01水果!$AH309=$B$2,对接源_01水果!$B309&gt;=$U$1,对接源_01水果!$B309&lt;=$U$2),1,0)</f>
        <v>0</v>
      </c>
    </row>
    <row r="310">
      <c r="U310">
        <f>N(U309)+IF(AND($B$2&lt;&gt;"",对接源_01水果!$AH310=$B$2,对接源_01水果!$B310&gt;=$U$1,对接源_01水果!$B310&lt;=$U$2),1,0)</f>
        <v>0</v>
      </c>
    </row>
    <row r="311">
      <c r="U311">
        <f>N(U310)+IF(AND($B$2&lt;&gt;"",对接源_01水果!$AH311=$B$2,对接源_01水果!$B311&gt;=$U$1,对接源_01水果!$B311&lt;=$U$2),1,0)</f>
        <v>0</v>
      </c>
    </row>
    <row r="312">
      <c r="U312">
        <f>N(U311)+IF(AND($B$2&lt;&gt;"",对接源_01水果!$AH312=$B$2,对接源_01水果!$B312&gt;=$U$1,对接源_01水果!$B312&lt;=$U$2),1,0)</f>
        <v>0</v>
      </c>
    </row>
    <row r="313">
      <c r="U313">
        <f>N(U312)+IF(AND($B$2&lt;&gt;"",对接源_01水果!$AH313=$B$2,对接源_01水果!$B313&gt;=$U$1,对接源_01水果!$B313&lt;=$U$2),1,0)</f>
        <v>0</v>
      </c>
    </row>
    <row r="314">
      <c r="U314">
        <f>N(U313)+IF(AND($B$2&lt;&gt;"",对接源_01水果!$AH314=$B$2,对接源_01水果!$B314&gt;=$U$1,对接源_01水果!$B314&lt;=$U$2),1,0)</f>
        <v>0</v>
      </c>
    </row>
    <row r="315">
      <c r="U315">
        <f>N(U314)+IF(AND($B$2&lt;&gt;"",对接源_01水果!$AH315=$B$2,对接源_01水果!$B315&gt;=$U$1,对接源_01水果!$B315&lt;=$U$2),1,0)</f>
        <v>0</v>
      </c>
    </row>
    <row r="316">
      <c r="U316">
        <f>N(U315)+IF(AND($B$2&lt;&gt;"",对接源_01水果!$AH316=$B$2,对接源_01水果!$B316&gt;=$U$1,对接源_01水果!$B316&lt;=$U$2),1,0)</f>
        <v>0</v>
      </c>
    </row>
    <row r="317">
      <c r="U317">
        <f>N(U316)+IF(AND($B$2&lt;&gt;"",对接源_01水果!$AH317=$B$2,对接源_01水果!$B317&gt;=$U$1,对接源_01水果!$B317&lt;=$U$2),1,0)</f>
        <v>0</v>
      </c>
    </row>
    <row r="318">
      <c r="U318">
        <f>N(U317)+IF(AND($B$2&lt;&gt;"",对接源_01水果!$AH318=$B$2,对接源_01水果!$B318&gt;=$U$1,对接源_01水果!$B318&lt;=$U$2),1,0)</f>
        <v>0</v>
      </c>
    </row>
    <row r="319">
      <c r="U319">
        <f>N(U318)+IF(AND($B$2&lt;&gt;"",对接源_01水果!$AH319=$B$2,对接源_01水果!$B319&gt;=$U$1,对接源_01水果!$B319&lt;=$U$2),1,0)</f>
        <v>0</v>
      </c>
    </row>
    <row r="320">
      <c r="U320">
        <f>N(U319)+IF(AND($B$2&lt;&gt;"",对接源_01水果!$AH320=$B$2,对接源_01水果!$B320&gt;=$U$1,对接源_01水果!$B320&lt;=$U$2),1,0)</f>
        <v>0</v>
      </c>
    </row>
    <row r="321">
      <c r="U321">
        <f>N(U320)+IF(AND($B$2&lt;&gt;"",对接源_01水果!$AH321=$B$2,对接源_01水果!$B321&gt;=$U$1,对接源_01水果!$B321&lt;=$U$2),1,0)</f>
        <v>0</v>
      </c>
    </row>
    <row r="322">
      <c r="U322">
        <f>N(U321)+IF(AND($B$2&lt;&gt;"",对接源_01水果!$AH322=$B$2,对接源_01水果!$B322&gt;=$U$1,对接源_01水果!$B322&lt;=$U$2),1,0)</f>
        <v>0</v>
      </c>
    </row>
    <row r="323">
      <c r="U323">
        <f>N(U322)+IF(AND($B$2&lt;&gt;"",对接源_01水果!$AH323=$B$2,对接源_01水果!$B323&gt;=$U$1,对接源_01水果!$B323&lt;=$U$2),1,0)</f>
        <v>0</v>
      </c>
    </row>
    <row r="324">
      <c r="U324">
        <f>N(U323)+IF(AND($B$2&lt;&gt;"",对接源_01水果!$AH324=$B$2,对接源_01水果!$B324&gt;=$U$1,对接源_01水果!$B324&lt;=$U$2),1,0)</f>
        <v>0</v>
      </c>
    </row>
    <row r="325">
      <c r="U325">
        <f>N(U324)+IF(AND($B$2&lt;&gt;"",对接源_01水果!$AH325=$B$2,对接源_01水果!$B325&gt;=$U$1,对接源_01水果!$B325&lt;=$U$2),1,0)</f>
        <v>0</v>
      </c>
    </row>
    <row r="326">
      <c r="U326">
        <f>N(U325)+IF(AND($B$2&lt;&gt;"",对接源_01水果!$AH326=$B$2,对接源_01水果!$B326&gt;=$U$1,对接源_01水果!$B326&lt;=$U$2),1,0)</f>
        <v>0</v>
      </c>
    </row>
    <row r="327">
      <c r="U327">
        <f>N(U326)+IF(AND($B$2&lt;&gt;"",对接源_01水果!$AH327=$B$2,对接源_01水果!$B327&gt;=$U$1,对接源_01水果!$B327&lt;=$U$2),1,0)</f>
        <v>0</v>
      </c>
    </row>
    <row r="328">
      <c r="U328">
        <f>N(U327)+IF(AND($B$2&lt;&gt;"",对接源_01水果!$AH328=$B$2,对接源_01水果!$B328&gt;=$U$1,对接源_01水果!$B328&lt;=$U$2),1,0)</f>
        <v>0</v>
      </c>
    </row>
    <row r="329">
      <c r="U329">
        <f>N(U328)+IF(AND($B$2&lt;&gt;"",对接源_01水果!$AH329=$B$2,对接源_01水果!$B329&gt;=$U$1,对接源_01水果!$B329&lt;=$U$2),1,0)</f>
        <v>0</v>
      </c>
    </row>
    <row r="330">
      <c r="U330">
        <f>N(U329)+IF(AND($B$2&lt;&gt;"",对接源_01水果!$AH330=$B$2,对接源_01水果!$B330&gt;=$U$1,对接源_01水果!$B330&lt;=$U$2),1,0)</f>
        <v>0</v>
      </c>
    </row>
    <row r="331">
      <c r="U331">
        <f>N(U330)+IF(AND($B$2&lt;&gt;"",对接源_01水果!$AH331=$B$2,对接源_01水果!$B331&gt;=$U$1,对接源_01水果!$B331&lt;=$U$2),1,0)</f>
        <v>0</v>
      </c>
    </row>
    <row r="332">
      <c r="U332">
        <f>N(U331)+IF(AND($B$2&lt;&gt;"",对接源_01水果!$AH332=$B$2,对接源_01水果!$B332&gt;=$U$1,对接源_01水果!$B332&lt;=$U$2),1,0)</f>
        <v>0</v>
      </c>
    </row>
    <row r="333">
      <c r="U333">
        <f>N(U332)+IF(AND($B$2&lt;&gt;"",对接源_01水果!$AH333=$B$2,对接源_01水果!$B333&gt;=$U$1,对接源_01水果!$B333&lt;=$U$2),1,0)</f>
        <v>0</v>
      </c>
    </row>
    <row r="334">
      <c r="U334">
        <f>N(U333)+IF(AND($B$2&lt;&gt;"",对接源_01水果!$AH334=$B$2,对接源_01水果!$B334&gt;=$U$1,对接源_01水果!$B334&lt;=$U$2),1,0)</f>
        <v>0</v>
      </c>
    </row>
    <row r="335">
      <c r="U335">
        <f>N(U334)+IF(AND($B$2&lt;&gt;"",对接源_01水果!$AH335=$B$2,对接源_01水果!$B335&gt;=$U$1,对接源_01水果!$B335&lt;=$U$2),1,0)</f>
        <v>0</v>
      </c>
    </row>
    <row r="336">
      <c r="U336">
        <f>N(U335)+IF(AND($B$2&lt;&gt;"",对接源_01水果!$AH336=$B$2,对接源_01水果!$B336&gt;=$U$1,对接源_01水果!$B336&lt;=$U$2),1,0)</f>
        <v>0</v>
      </c>
    </row>
    <row r="337">
      <c r="U337">
        <f>N(U336)+IF(AND($B$2&lt;&gt;"",对接源_01水果!$AH337=$B$2,对接源_01水果!$B337&gt;=$U$1,对接源_01水果!$B337&lt;=$U$2),1,0)</f>
        <v>0</v>
      </c>
    </row>
    <row r="338">
      <c r="U338">
        <f>N(U337)+IF(AND($B$2&lt;&gt;"",对接源_01水果!$AH338=$B$2,对接源_01水果!$B338&gt;=$U$1,对接源_01水果!$B338&lt;=$U$2),1,0)</f>
        <v>0</v>
      </c>
    </row>
    <row r="339">
      <c r="U339">
        <f>N(U338)+IF(AND($B$2&lt;&gt;"",对接源_01水果!$AH339=$B$2,对接源_01水果!$B339&gt;=$U$1,对接源_01水果!$B339&lt;=$U$2),1,0)</f>
        <v>0</v>
      </c>
    </row>
    <row r="340">
      <c r="U340">
        <f>N(U339)+IF(AND($B$2&lt;&gt;"",对接源_01水果!$AH340=$B$2,对接源_01水果!$B340&gt;=$U$1,对接源_01水果!$B340&lt;=$U$2),1,0)</f>
        <v>0</v>
      </c>
    </row>
    <row r="341">
      <c r="U341">
        <f>N(U340)+IF(AND($B$2&lt;&gt;"",对接源_01水果!$AH341=$B$2,对接源_01水果!$B341&gt;=$U$1,对接源_01水果!$B341&lt;=$U$2),1,0)</f>
        <v>0</v>
      </c>
    </row>
    <row r="342">
      <c r="U342">
        <f>N(U341)+IF(AND($B$2&lt;&gt;"",对接源_01水果!$AH342=$B$2,对接源_01水果!$B342&gt;=$U$1,对接源_01水果!$B342&lt;=$U$2),1,0)</f>
        <v>0</v>
      </c>
    </row>
    <row r="343">
      <c r="U343">
        <f>N(U342)+IF(AND($B$2&lt;&gt;"",对接源_01水果!$AH343=$B$2,对接源_01水果!$B343&gt;=$U$1,对接源_01水果!$B343&lt;=$U$2),1,0)</f>
        <v>0</v>
      </c>
    </row>
    <row r="344">
      <c r="U344">
        <f>N(U343)+IF(AND($B$2&lt;&gt;"",对接源_01水果!$AH344=$B$2,对接源_01水果!$B344&gt;=$U$1,对接源_01水果!$B344&lt;=$U$2),1,0)</f>
        <v>0</v>
      </c>
    </row>
    <row r="345">
      <c r="U345">
        <f>N(U344)+IF(AND($B$2&lt;&gt;"",对接源_01水果!$AH345=$B$2,对接源_01水果!$B345&gt;=$U$1,对接源_01水果!$B345&lt;=$U$2),1,0)</f>
        <v>0</v>
      </c>
    </row>
    <row r="346">
      <c r="U346">
        <f>N(U345)+IF(AND($B$2&lt;&gt;"",对接源_01水果!$AH346=$B$2,对接源_01水果!$B346&gt;=$U$1,对接源_01水果!$B346&lt;=$U$2),1,0)</f>
        <v>0</v>
      </c>
    </row>
    <row r="347">
      <c r="U347">
        <f>N(U346)+IF(AND($B$2&lt;&gt;"",对接源_01水果!$AH347=$B$2,对接源_01水果!$B347&gt;=$U$1,对接源_01水果!$B347&lt;=$U$2),1,0)</f>
        <v>0</v>
      </c>
    </row>
    <row r="348">
      <c r="U348">
        <f>N(U347)+IF(AND($B$2&lt;&gt;"",对接源_01水果!$AH348=$B$2,对接源_01水果!$B348&gt;=$U$1,对接源_01水果!$B348&lt;=$U$2),1,0)</f>
        <v>0</v>
      </c>
    </row>
    <row r="349">
      <c r="U349">
        <f>N(U348)+IF(AND($B$2&lt;&gt;"",对接源_01水果!$AH349=$B$2,对接源_01水果!$B349&gt;=$U$1,对接源_01水果!$B349&lt;=$U$2),1,0)</f>
        <v>0</v>
      </c>
    </row>
    <row r="350">
      <c r="U350">
        <f>N(U349)+IF(AND($B$2&lt;&gt;"",对接源_01水果!$AH350=$B$2,对接源_01水果!$B350&gt;=$U$1,对接源_01水果!$B350&lt;=$U$2),1,0)</f>
        <v>0</v>
      </c>
    </row>
    <row r="351">
      <c r="U351">
        <f>N(U350)+IF(AND($B$2&lt;&gt;"",对接源_01水果!$AH351=$B$2,对接源_01水果!$B351&gt;=$U$1,对接源_01水果!$B351&lt;=$U$2),1,0)</f>
        <v>0</v>
      </c>
    </row>
    <row r="352">
      <c r="U352">
        <f>N(U351)+IF(AND($B$2&lt;&gt;"",对接源_01水果!$AH352=$B$2,对接源_01水果!$B352&gt;=$U$1,对接源_01水果!$B352&lt;=$U$2),1,0)</f>
        <v>0</v>
      </c>
    </row>
    <row r="353">
      <c r="U353">
        <f>N(U352)+IF(AND($B$2&lt;&gt;"",对接源_01水果!$AH353=$B$2,对接源_01水果!$B353&gt;=$U$1,对接源_01水果!$B353&lt;=$U$2),1,0)</f>
        <v>0</v>
      </c>
    </row>
    <row r="354">
      <c r="U354">
        <f>N(U353)+IF(AND($B$2&lt;&gt;"",对接源_01水果!$AH354=$B$2,对接源_01水果!$B354&gt;=$U$1,对接源_01水果!$B354&lt;=$U$2),1,0)</f>
        <v>0</v>
      </c>
    </row>
    <row r="355">
      <c r="U355">
        <f>N(U354)+IF(AND($B$2&lt;&gt;"",对接源_01水果!$AH355=$B$2,对接源_01水果!$B355&gt;=$U$1,对接源_01水果!$B355&lt;=$U$2),1,0)</f>
        <v>0</v>
      </c>
    </row>
    <row r="356">
      <c r="U356">
        <f>N(U355)+IF(AND($B$2&lt;&gt;"",对接源_01水果!$AH356=$B$2,对接源_01水果!$B356&gt;=$U$1,对接源_01水果!$B356&lt;=$U$2),1,0)</f>
        <v>0</v>
      </c>
    </row>
    <row r="357">
      <c r="U357">
        <f>N(U356)+IF(AND($B$2&lt;&gt;"",对接源_01水果!$AH357=$B$2,对接源_01水果!$B357&gt;=$U$1,对接源_01水果!$B357&lt;=$U$2),1,0)</f>
        <v>0</v>
      </c>
    </row>
    <row r="358">
      <c r="U358">
        <f>N(U357)+IF(AND($B$2&lt;&gt;"",对接源_01水果!$AH358=$B$2,对接源_01水果!$B358&gt;=$U$1,对接源_01水果!$B358&lt;=$U$2),1,0)</f>
        <v>0</v>
      </c>
    </row>
    <row r="359">
      <c r="U359">
        <f>N(U358)+IF(AND($B$2&lt;&gt;"",对接源_01水果!$AH359=$B$2,对接源_01水果!$B359&gt;=$U$1,对接源_01水果!$B359&lt;=$U$2),1,0)</f>
        <v>0</v>
      </c>
    </row>
    <row r="360">
      <c r="U360">
        <f>N(U359)+IF(AND($B$2&lt;&gt;"",对接源_01水果!$AH360=$B$2,对接源_01水果!$B360&gt;=$U$1,对接源_01水果!$B360&lt;=$U$2),1,0)</f>
        <v>0</v>
      </c>
    </row>
    <row r="361">
      <c r="U361">
        <f>N(U360)+IF(AND($B$2&lt;&gt;"",对接源_01水果!$AH361=$B$2,对接源_01水果!$B361&gt;=$U$1,对接源_01水果!$B361&lt;=$U$2),1,0)</f>
        <v>0</v>
      </c>
    </row>
    <row r="362">
      <c r="U362">
        <f>N(U361)+IF(AND($B$2&lt;&gt;"",对接源_01水果!$AH362=$B$2,对接源_01水果!$B362&gt;=$U$1,对接源_01水果!$B362&lt;=$U$2),1,0)</f>
        <v>0</v>
      </c>
    </row>
    <row r="363">
      <c r="U363">
        <f>N(U362)+IF(AND($B$2&lt;&gt;"",对接源_01水果!$AH363=$B$2,对接源_01水果!$B363&gt;=$U$1,对接源_01水果!$B363&lt;=$U$2),1,0)</f>
        <v>0</v>
      </c>
    </row>
    <row r="364">
      <c r="U364">
        <f>N(U363)+IF(AND($B$2&lt;&gt;"",对接源_01水果!$AH364=$B$2,对接源_01水果!$B364&gt;=$U$1,对接源_01水果!$B364&lt;=$U$2),1,0)</f>
        <v>0</v>
      </c>
    </row>
    <row r="365">
      <c r="U365">
        <f>N(U364)+IF(AND($B$2&lt;&gt;"",对接源_01水果!$AH365=$B$2,对接源_01水果!$B365&gt;=$U$1,对接源_01水果!$B365&lt;=$U$2),1,0)</f>
        <v>0</v>
      </c>
    </row>
    <row r="366">
      <c r="U366">
        <f>N(U365)+IF(AND($B$2&lt;&gt;"",对接源_01水果!$AH366=$B$2,对接源_01水果!$B366&gt;=$U$1,对接源_01水果!$B366&lt;=$U$2),1,0)</f>
        <v>0</v>
      </c>
    </row>
    <row r="367">
      <c r="U367">
        <f>N(U366)+IF(AND($B$2&lt;&gt;"",对接源_01水果!$AH367=$B$2,对接源_01水果!$B367&gt;=$U$1,对接源_01水果!$B367&lt;=$U$2),1,0)</f>
        <v>0</v>
      </c>
    </row>
    <row r="368">
      <c r="U368">
        <f>N(U367)+IF(AND($B$2&lt;&gt;"",对接源_01水果!$AH368=$B$2,对接源_01水果!$B368&gt;=$U$1,对接源_01水果!$B368&lt;=$U$2),1,0)</f>
        <v>0</v>
      </c>
    </row>
    <row r="369">
      <c r="U369">
        <f>N(U368)+IF(AND($B$2&lt;&gt;"",对接源_01水果!$AH369=$B$2,对接源_01水果!$B369&gt;=$U$1,对接源_01水果!$B369&lt;=$U$2),1,0)</f>
        <v>0</v>
      </c>
    </row>
    <row r="370">
      <c r="U370">
        <f>N(U369)+IF(AND($B$2&lt;&gt;"",对接源_01水果!$AH370=$B$2,对接源_01水果!$B370&gt;=$U$1,对接源_01水果!$B370&lt;=$U$2),1,0)</f>
        <v>0</v>
      </c>
    </row>
    <row r="371">
      <c r="U371">
        <f>N(U370)+IF(AND($B$2&lt;&gt;"",对接源_01水果!$AH371=$B$2,对接源_01水果!$B371&gt;=$U$1,对接源_01水果!$B371&lt;=$U$2),1,0)</f>
        <v>0</v>
      </c>
    </row>
    <row r="372">
      <c r="U372">
        <f>N(U371)+IF(AND($B$2&lt;&gt;"",对接源_01水果!$AH372=$B$2,对接源_01水果!$B372&gt;=$U$1,对接源_01水果!$B372&lt;=$U$2),1,0)</f>
        <v>0</v>
      </c>
    </row>
    <row r="373">
      <c r="U373">
        <f>N(U372)+IF(AND($B$2&lt;&gt;"",对接源_01水果!$AH373=$B$2,对接源_01水果!$B373&gt;=$U$1,对接源_01水果!$B373&lt;=$U$2),1,0)</f>
        <v>0</v>
      </c>
    </row>
    <row r="374">
      <c r="U374">
        <f>N(U373)+IF(AND($B$2&lt;&gt;"",对接源_01水果!$AH374=$B$2,对接源_01水果!$B374&gt;=$U$1,对接源_01水果!$B374&lt;=$U$2),1,0)</f>
        <v>0</v>
      </c>
    </row>
    <row r="375">
      <c r="U375">
        <f>N(U374)+IF(AND($B$2&lt;&gt;"",对接源_01水果!$AH375=$B$2,对接源_01水果!$B375&gt;=$U$1,对接源_01水果!$B375&lt;=$U$2),1,0)</f>
        <v>0</v>
      </c>
    </row>
    <row r="376">
      <c r="U376">
        <f>N(U375)+IF(AND($B$2&lt;&gt;"",对接源_01水果!$AH376=$B$2,对接源_01水果!$B376&gt;=$U$1,对接源_01水果!$B376&lt;=$U$2),1,0)</f>
        <v>0</v>
      </c>
    </row>
    <row r="377">
      <c r="U377">
        <f>N(U376)+IF(AND($B$2&lt;&gt;"",对接源_01水果!$AH377=$B$2,对接源_01水果!$B377&gt;=$U$1,对接源_01水果!$B377&lt;=$U$2),1,0)</f>
        <v>0</v>
      </c>
    </row>
    <row r="378">
      <c r="U378">
        <f>N(U377)+IF(AND($B$2&lt;&gt;"",对接源_01水果!$AH378=$B$2,对接源_01水果!$B378&gt;=$U$1,对接源_01水果!$B378&lt;=$U$2),1,0)</f>
        <v>0</v>
      </c>
    </row>
    <row r="379">
      <c r="U379">
        <f>N(U378)+IF(AND($B$2&lt;&gt;"",对接源_01水果!$AH379=$B$2,对接源_01水果!$B379&gt;=$U$1,对接源_01水果!$B379&lt;=$U$2),1,0)</f>
        <v>0</v>
      </c>
    </row>
    <row r="380">
      <c r="U380">
        <f>N(U379)+IF(AND($B$2&lt;&gt;"",对接源_01水果!$AH380=$B$2,对接源_01水果!$B380&gt;=$U$1,对接源_01水果!$B380&lt;=$U$2),1,0)</f>
        <v>0</v>
      </c>
    </row>
    <row r="381">
      <c r="U381">
        <f>N(U380)+IF(AND($B$2&lt;&gt;"",对接源_01水果!$AH381=$B$2,对接源_01水果!$B381&gt;=$U$1,对接源_01水果!$B381&lt;=$U$2),1,0)</f>
        <v>0</v>
      </c>
    </row>
    <row r="382">
      <c r="U382">
        <f>N(U381)+IF(AND($B$2&lt;&gt;"",对接源_01水果!$AH382=$B$2,对接源_01水果!$B382&gt;=$U$1,对接源_01水果!$B382&lt;=$U$2),1,0)</f>
        <v>0</v>
      </c>
    </row>
    <row r="383">
      <c r="U383">
        <f>N(U382)+IF(AND($B$2&lt;&gt;"",对接源_01水果!$AH383=$B$2,对接源_01水果!$B383&gt;=$U$1,对接源_01水果!$B383&lt;=$U$2),1,0)</f>
        <v>0</v>
      </c>
    </row>
    <row r="384">
      <c r="U384">
        <f>N(U383)+IF(AND($B$2&lt;&gt;"",对接源_01水果!$AH384=$B$2,对接源_01水果!$B384&gt;=$U$1,对接源_01水果!$B384&lt;=$U$2),1,0)</f>
        <v>0</v>
      </c>
    </row>
    <row r="385">
      <c r="U385">
        <f>N(U384)+IF(AND($B$2&lt;&gt;"",对接源_01水果!$AH385=$B$2,对接源_01水果!$B385&gt;=$U$1,对接源_01水果!$B385&lt;=$U$2),1,0)</f>
        <v>0</v>
      </c>
    </row>
    <row r="386">
      <c r="U386">
        <f>N(U385)+IF(AND($B$2&lt;&gt;"",对接源_01水果!$AH386=$B$2,对接源_01水果!$B386&gt;=$U$1,对接源_01水果!$B386&lt;=$U$2),1,0)</f>
        <v>0</v>
      </c>
    </row>
    <row r="387">
      <c r="U387">
        <f>N(U386)+IF(AND($B$2&lt;&gt;"",对接源_01水果!$AH387=$B$2,对接源_01水果!$B387&gt;=$U$1,对接源_01水果!$B387&lt;=$U$2),1,0)</f>
        <v>0</v>
      </c>
    </row>
    <row r="388">
      <c r="U388">
        <f>N(U387)+IF(AND($B$2&lt;&gt;"",对接源_01水果!$AH388=$B$2,对接源_01水果!$B388&gt;=$U$1,对接源_01水果!$B388&lt;=$U$2),1,0)</f>
        <v>0</v>
      </c>
    </row>
    <row r="389">
      <c r="U389">
        <f>N(U388)+IF(AND($B$2&lt;&gt;"",对接源_01水果!$AH389=$B$2,对接源_01水果!$B389&gt;=$U$1,对接源_01水果!$B389&lt;=$U$2),1,0)</f>
        <v>0</v>
      </c>
    </row>
    <row r="390">
      <c r="U390">
        <f>N(U389)+IF(AND($B$2&lt;&gt;"",对接源_01水果!$AH390=$B$2,对接源_01水果!$B390&gt;=$U$1,对接源_01水果!$B390&lt;=$U$2),1,0)</f>
        <v>0</v>
      </c>
    </row>
    <row r="391">
      <c r="U391">
        <f>N(U390)+IF(AND($B$2&lt;&gt;"",对接源_01水果!$AH391=$B$2,对接源_01水果!$B391&gt;=$U$1,对接源_01水果!$B391&lt;=$U$2),1,0)</f>
        <v>0</v>
      </c>
    </row>
    <row r="392">
      <c r="U392">
        <f>N(U391)+IF(AND($B$2&lt;&gt;"",对接源_01水果!$AH392=$B$2,对接源_01水果!$B392&gt;=$U$1,对接源_01水果!$B392&lt;=$U$2),1,0)</f>
        <v>0</v>
      </c>
    </row>
    <row r="393">
      <c r="U393">
        <f>N(U392)+IF(AND($B$2&lt;&gt;"",对接源_01水果!$AH393=$B$2,对接源_01水果!$B393&gt;=$U$1,对接源_01水果!$B393&lt;=$U$2),1,0)</f>
        <v>0</v>
      </c>
    </row>
    <row r="394">
      <c r="U394">
        <f>N(U393)+IF(AND($B$2&lt;&gt;"",对接源_01水果!$AH394=$B$2,对接源_01水果!$B394&gt;=$U$1,对接源_01水果!$B394&lt;=$U$2),1,0)</f>
        <v>0</v>
      </c>
    </row>
    <row r="395">
      <c r="U395">
        <f>N(U394)+IF(AND($B$2&lt;&gt;"",对接源_01水果!$AH395=$B$2,对接源_01水果!$B395&gt;=$U$1,对接源_01水果!$B395&lt;=$U$2),1,0)</f>
        <v>0</v>
      </c>
    </row>
    <row r="396">
      <c r="U396">
        <f>N(U395)+IF(AND($B$2&lt;&gt;"",对接源_01水果!$AH396=$B$2,对接源_01水果!$B396&gt;=$U$1,对接源_01水果!$B396&lt;=$U$2),1,0)</f>
        <v>0</v>
      </c>
    </row>
    <row r="397">
      <c r="U397">
        <f>N(U396)+IF(AND($B$2&lt;&gt;"",对接源_01水果!$AH397=$B$2,对接源_01水果!$B397&gt;=$U$1,对接源_01水果!$B397&lt;=$U$2),1,0)</f>
        <v>0</v>
      </c>
    </row>
    <row r="398">
      <c r="U398">
        <f>N(U397)+IF(AND($B$2&lt;&gt;"",对接源_01水果!$AH398=$B$2,对接源_01水果!$B398&gt;=$U$1,对接源_01水果!$B398&lt;=$U$2),1,0)</f>
        <v>0</v>
      </c>
    </row>
    <row r="399">
      <c r="U399">
        <f>N(U398)+IF(AND($B$2&lt;&gt;"",对接源_01水果!$AH399=$B$2,对接源_01水果!$B399&gt;=$U$1,对接源_01水果!$B399&lt;=$U$2),1,0)</f>
        <v>0</v>
      </c>
    </row>
    <row r="400">
      <c r="U400">
        <f>N(U399)+IF(AND($B$2&lt;&gt;"",对接源_01水果!$AH400=$B$2,对接源_01水果!$B400&gt;=$U$1,对接源_01水果!$B400&lt;=$U$2),1,0)</f>
        <v>0</v>
      </c>
    </row>
    <row r="401">
      <c r="U401">
        <f>N(U400)+IF(AND($B$2&lt;&gt;"",对接源_01水果!$AH401=$B$2,对接源_01水果!$B401&gt;=$U$1,对接源_01水果!$B401&lt;=$U$2),1,0)</f>
        <v>0</v>
      </c>
    </row>
    <row r="402">
      <c r="U402">
        <f>N(U401)+IF(AND($B$2&lt;&gt;"",对接源_01水果!$AH402=$B$2,对接源_01水果!$B402&gt;=$U$1,对接源_01水果!$B402&lt;=$U$2),1,0)</f>
        <v>0</v>
      </c>
    </row>
    <row r="403">
      <c r="U403">
        <f>N(U402)+IF(AND($B$2&lt;&gt;"",对接源_01水果!$AH403=$B$2,对接源_01水果!$B403&gt;=$U$1,对接源_01水果!$B403&lt;=$U$2),1,0)</f>
        <v>0</v>
      </c>
    </row>
    <row r="404">
      <c r="U404">
        <f>N(U403)+IF(AND($B$2&lt;&gt;"",对接源_01水果!$AH404=$B$2,对接源_01水果!$B404&gt;=$U$1,对接源_01水果!$B404&lt;=$U$2),1,0)</f>
        <v>0</v>
      </c>
    </row>
    <row r="405">
      <c r="U405">
        <f>N(U404)+IF(AND($B$2&lt;&gt;"",对接源_01水果!$AH405=$B$2,对接源_01水果!$B405&gt;=$U$1,对接源_01水果!$B405&lt;=$U$2),1,0)</f>
        <v>0</v>
      </c>
    </row>
    <row r="406">
      <c r="U406">
        <f>N(U405)+IF(AND($B$2&lt;&gt;"",对接源_01水果!$AH406=$B$2,对接源_01水果!$B406&gt;=$U$1,对接源_01水果!$B406&lt;=$U$2),1,0)</f>
        <v>0</v>
      </c>
    </row>
    <row r="407">
      <c r="U407">
        <f>N(U406)+IF(AND($B$2&lt;&gt;"",对接源_01水果!$AH407=$B$2,对接源_01水果!$B407&gt;=$U$1,对接源_01水果!$B407&lt;=$U$2),1,0)</f>
        <v>0</v>
      </c>
    </row>
    <row r="408">
      <c r="U408">
        <f>N(U407)+IF(AND($B$2&lt;&gt;"",对接源_01水果!$AH408=$B$2,对接源_01水果!$B408&gt;=$U$1,对接源_01水果!$B408&lt;=$U$2),1,0)</f>
        <v>0</v>
      </c>
    </row>
    <row r="409">
      <c r="U409">
        <f>N(U408)+IF(AND($B$2&lt;&gt;"",对接源_01水果!$AH409=$B$2,对接源_01水果!$B409&gt;=$U$1,对接源_01水果!$B409&lt;=$U$2),1,0)</f>
        <v>0</v>
      </c>
    </row>
    <row r="410">
      <c r="U410">
        <f>N(U409)+IF(AND($B$2&lt;&gt;"",对接源_01水果!$AH410=$B$2,对接源_01水果!$B410&gt;=$U$1,对接源_01水果!$B410&lt;=$U$2),1,0)</f>
        <v>0</v>
      </c>
    </row>
    <row r="411">
      <c r="U411">
        <f>N(U410)+IF(AND($B$2&lt;&gt;"",对接源_01水果!$AH411=$B$2,对接源_01水果!$B411&gt;=$U$1,对接源_01水果!$B411&lt;=$U$2),1,0)</f>
        <v>0</v>
      </c>
    </row>
    <row r="412">
      <c r="U412">
        <f>N(U411)+IF(AND($B$2&lt;&gt;"",对接源_01水果!$AH412=$B$2,对接源_01水果!$B412&gt;=$U$1,对接源_01水果!$B412&lt;=$U$2),1,0)</f>
        <v>0</v>
      </c>
    </row>
    <row r="413">
      <c r="U413">
        <f>N(U412)+IF(AND($B$2&lt;&gt;"",对接源_01水果!$AH413=$B$2,对接源_01水果!$B413&gt;=$U$1,对接源_01水果!$B413&lt;=$U$2),1,0)</f>
        <v>0</v>
      </c>
    </row>
    <row r="414">
      <c r="U414">
        <f>N(U413)+IF(AND($B$2&lt;&gt;"",对接源_01水果!$AH414=$B$2,对接源_01水果!$B414&gt;=$U$1,对接源_01水果!$B414&lt;=$U$2),1,0)</f>
        <v>0</v>
      </c>
    </row>
    <row r="415">
      <c r="U415">
        <f>N(U414)+IF(AND($B$2&lt;&gt;"",对接源_01水果!$AH415=$B$2,对接源_01水果!$B415&gt;=$U$1,对接源_01水果!$B415&lt;=$U$2),1,0)</f>
        <v>0</v>
      </c>
    </row>
    <row r="416">
      <c r="U416">
        <f>N(U415)+IF(AND($B$2&lt;&gt;"",对接源_01水果!$AH416=$B$2,对接源_01水果!$B416&gt;=$U$1,对接源_01水果!$B416&lt;=$U$2),1,0)</f>
        <v>0</v>
      </c>
    </row>
    <row r="417">
      <c r="U417">
        <f>N(U416)+IF(AND($B$2&lt;&gt;"",对接源_01水果!$AH417=$B$2,对接源_01水果!$B417&gt;=$U$1,对接源_01水果!$B417&lt;=$U$2),1,0)</f>
        <v>0</v>
      </c>
    </row>
    <row r="418">
      <c r="U418">
        <f>N(U417)+IF(AND($B$2&lt;&gt;"",对接源_01水果!$AH418=$B$2,对接源_01水果!$B418&gt;=$U$1,对接源_01水果!$B418&lt;=$U$2),1,0)</f>
        <v>0</v>
      </c>
    </row>
    <row r="419">
      <c r="U419">
        <f>N(U418)+IF(AND($B$2&lt;&gt;"",对接源_01水果!$AH419=$B$2,对接源_01水果!$B419&gt;=$U$1,对接源_01水果!$B419&lt;=$U$2),1,0)</f>
        <v>0</v>
      </c>
    </row>
    <row r="420">
      <c r="U420">
        <f>N(U419)+IF(AND($B$2&lt;&gt;"",对接源_01水果!$AH420=$B$2,对接源_01水果!$B420&gt;=$U$1,对接源_01水果!$B420&lt;=$U$2),1,0)</f>
        <v>0</v>
      </c>
    </row>
    <row r="421">
      <c r="U421">
        <f>N(U420)+IF(AND($B$2&lt;&gt;"",对接源_01水果!$AH421=$B$2,对接源_01水果!$B421&gt;=$U$1,对接源_01水果!$B421&lt;=$U$2),1,0)</f>
        <v>0</v>
      </c>
    </row>
    <row r="422">
      <c r="U422">
        <f>N(U421)+IF(AND($B$2&lt;&gt;"",对接源_01水果!$AH422=$B$2,对接源_01水果!$B422&gt;=$U$1,对接源_01水果!$B422&lt;=$U$2),1,0)</f>
        <v>0</v>
      </c>
    </row>
    <row r="423">
      <c r="U423">
        <f>N(U422)+IF(AND($B$2&lt;&gt;"",对接源_01水果!$AH423=$B$2,对接源_01水果!$B423&gt;=$U$1,对接源_01水果!$B423&lt;=$U$2),1,0)</f>
        <v>0</v>
      </c>
    </row>
    <row r="424">
      <c r="U424">
        <f>N(U423)+IF(AND($B$2&lt;&gt;"",对接源_01水果!$AH424=$B$2,对接源_01水果!$B424&gt;=$U$1,对接源_01水果!$B424&lt;=$U$2),1,0)</f>
        <v>0</v>
      </c>
    </row>
    <row r="425">
      <c r="U425">
        <f>N(U424)+IF(AND($B$2&lt;&gt;"",对接源_01水果!$AH425=$B$2,对接源_01水果!$B425&gt;=$U$1,对接源_01水果!$B425&lt;=$U$2),1,0)</f>
        <v>0</v>
      </c>
    </row>
    <row r="426">
      <c r="U426">
        <f>N(U425)+IF(AND($B$2&lt;&gt;"",对接源_01水果!$AH426=$B$2,对接源_01水果!$B426&gt;=$U$1,对接源_01水果!$B426&lt;=$U$2),1,0)</f>
        <v>0</v>
      </c>
    </row>
    <row r="427">
      <c r="U427">
        <f>N(U426)+IF(AND($B$2&lt;&gt;"",对接源_01水果!$AH427=$B$2,对接源_01水果!$B427&gt;=$U$1,对接源_01水果!$B427&lt;=$U$2),1,0)</f>
        <v>0</v>
      </c>
    </row>
    <row r="428">
      <c r="U428">
        <f>N(U427)+IF(AND($B$2&lt;&gt;"",对接源_01水果!$AH428=$B$2,对接源_01水果!$B428&gt;=$U$1,对接源_01水果!$B428&lt;=$U$2),1,0)</f>
        <v>0</v>
      </c>
    </row>
    <row r="429">
      <c r="U429">
        <f>N(U428)+IF(AND($B$2&lt;&gt;"",对接源_01水果!$AH429=$B$2,对接源_01水果!$B429&gt;=$U$1,对接源_01水果!$B429&lt;=$U$2),1,0)</f>
        <v>0</v>
      </c>
    </row>
    <row r="430">
      <c r="U430">
        <f>N(U429)+IF(AND($B$2&lt;&gt;"",对接源_01水果!$AH430=$B$2,对接源_01水果!$B430&gt;=$U$1,对接源_01水果!$B430&lt;=$U$2),1,0)</f>
        <v>0</v>
      </c>
    </row>
    <row r="431">
      <c r="U431">
        <f>N(U430)+IF(AND($B$2&lt;&gt;"",对接源_01水果!$AH431=$B$2,对接源_01水果!$B431&gt;=$U$1,对接源_01水果!$B431&lt;=$U$2),1,0)</f>
        <v>0</v>
      </c>
    </row>
    <row r="432">
      <c r="U432">
        <f>N(U431)+IF(AND($B$2&lt;&gt;"",对接源_01水果!$AH432=$B$2,对接源_01水果!$B432&gt;=$U$1,对接源_01水果!$B432&lt;=$U$2),1,0)</f>
        <v>0</v>
      </c>
    </row>
    <row r="433">
      <c r="U433">
        <f>N(U432)+IF(AND($B$2&lt;&gt;"",对接源_01水果!$AH433=$B$2,对接源_01水果!$B433&gt;=$U$1,对接源_01水果!$B433&lt;=$U$2),1,0)</f>
        <v>0</v>
      </c>
    </row>
    <row r="434">
      <c r="U434">
        <f>N(U433)+IF(AND($B$2&lt;&gt;"",对接源_01水果!$AH434=$B$2,对接源_01水果!$B434&gt;=$U$1,对接源_01水果!$B434&lt;=$U$2),1,0)</f>
        <v>0</v>
      </c>
    </row>
    <row r="435">
      <c r="U435">
        <f>N(U434)+IF(AND($B$2&lt;&gt;"",对接源_01水果!$AH435=$B$2,对接源_01水果!$B435&gt;=$U$1,对接源_01水果!$B435&lt;=$U$2),1,0)</f>
        <v>0</v>
      </c>
    </row>
    <row r="436">
      <c r="U436">
        <f>N(U435)+IF(AND($B$2&lt;&gt;"",对接源_01水果!$AH436=$B$2,对接源_01水果!$B436&gt;=$U$1,对接源_01水果!$B436&lt;=$U$2),1,0)</f>
        <v>0</v>
      </c>
    </row>
    <row r="437">
      <c r="U437">
        <f>N(U436)+IF(AND($B$2&lt;&gt;"",对接源_01水果!$AH437=$B$2,对接源_01水果!$B437&gt;=$U$1,对接源_01水果!$B437&lt;=$U$2),1,0)</f>
        <v>0</v>
      </c>
    </row>
    <row r="438">
      <c r="U438">
        <f>N(U437)+IF(AND($B$2&lt;&gt;"",对接源_01水果!$AH438=$B$2,对接源_01水果!$B438&gt;=$U$1,对接源_01水果!$B438&lt;=$U$2),1,0)</f>
        <v>0</v>
      </c>
    </row>
    <row r="439">
      <c r="U439">
        <f>N(U438)+IF(AND($B$2&lt;&gt;"",对接源_01水果!$AH439=$B$2,对接源_01水果!$B439&gt;=$U$1,对接源_01水果!$B439&lt;=$U$2),1,0)</f>
        <v>0</v>
      </c>
    </row>
    <row r="440">
      <c r="U440">
        <f>N(U439)+IF(AND($B$2&lt;&gt;"",对接源_01水果!$AH440=$B$2,对接源_01水果!$B440&gt;=$U$1,对接源_01水果!$B440&lt;=$U$2),1,0)</f>
        <v>0</v>
      </c>
    </row>
    <row r="441">
      <c r="U441">
        <f>N(U440)+IF(AND($B$2&lt;&gt;"",对接源_01水果!$AH441=$B$2,对接源_01水果!$B441&gt;=$U$1,对接源_01水果!$B441&lt;=$U$2),1,0)</f>
        <v>0</v>
      </c>
    </row>
    <row r="442">
      <c r="U442">
        <f>N(U441)+IF(AND($B$2&lt;&gt;"",对接源_01水果!$AH442=$B$2,对接源_01水果!$B442&gt;=$U$1,对接源_01水果!$B442&lt;=$U$2),1,0)</f>
        <v>0</v>
      </c>
    </row>
    <row r="443">
      <c r="U443">
        <f>N(U442)+IF(AND($B$2&lt;&gt;"",对接源_01水果!$AH443=$B$2,对接源_01水果!$B443&gt;=$U$1,对接源_01水果!$B443&lt;=$U$2),1,0)</f>
        <v>0</v>
      </c>
    </row>
    <row r="444">
      <c r="U444">
        <f>N(U443)+IF(AND($B$2&lt;&gt;"",对接源_01水果!$AH444=$B$2,对接源_01水果!$B444&gt;=$U$1,对接源_01水果!$B444&lt;=$U$2),1,0)</f>
        <v>0</v>
      </c>
    </row>
    <row r="445">
      <c r="U445">
        <f>N(U444)+IF(AND($B$2&lt;&gt;"",对接源_01水果!$AH445=$B$2,对接源_01水果!$B445&gt;=$U$1,对接源_01水果!$B445&lt;=$U$2),1,0)</f>
        <v>0</v>
      </c>
    </row>
    <row r="446">
      <c r="U446">
        <f>N(U445)+IF(AND($B$2&lt;&gt;"",对接源_01水果!$AH446=$B$2,对接源_01水果!$B446&gt;=$U$1,对接源_01水果!$B446&lt;=$U$2),1,0)</f>
        <v>0</v>
      </c>
    </row>
    <row r="447">
      <c r="U447">
        <f>N(U446)+IF(AND($B$2&lt;&gt;"",对接源_01水果!$AH447=$B$2,对接源_01水果!$B447&gt;=$U$1,对接源_01水果!$B447&lt;=$U$2),1,0)</f>
        <v>0</v>
      </c>
    </row>
    <row r="448">
      <c r="U448">
        <f>N(U447)+IF(AND($B$2&lt;&gt;"",对接源_01水果!$AH448=$B$2,对接源_01水果!$B448&gt;=$U$1,对接源_01水果!$B448&lt;=$U$2),1,0)</f>
        <v>0</v>
      </c>
    </row>
    <row r="449">
      <c r="U449">
        <f>N(U448)+IF(AND($B$2&lt;&gt;"",对接源_01水果!$AH449=$B$2,对接源_01水果!$B449&gt;=$U$1,对接源_01水果!$B449&lt;=$U$2),1,0)</f>
        <v>0</v>
      </c>
    </row>
    <row r="450">
      <c r="U450">
        <f>N(U449)+IF(AND($B$2&lt;&gt;"",对接源_01水果!$AH450=$B$2,对接源_01水果!$B450&gt;=$U$1,对接源_01水果!$B450&lt;=$U$2),1,0)</f>
        <v>0</v>
      </c>
    </row>
    <row r="451">
      <c r="U451">
        <f>N(U450)+IF(AND($B$2&lt;&gt;"",对接源_01水果!$AH451=$B$2,对接源_01水果!$B451&gt;=$U$1,对接源_01水果!$B451&lt;=$U$2),1,0)</f>
        <v>0</v>
      </c>
    </row>
    <row r="452">
      <c r="U452">
        <f>N(U451)+IF(AND($B$2&lt;&gt;"",对接源_01水果!$AH452=$B$2,对接源_01水果!$B452&gt;=$U$1,对接源_01水果!$B452&lt;=$U$2),1,0)</f>
        <v>0</v>
      </c>
    </row>
    <row r="453">
      <c r="U453">
        <f>N(U452)+IF(AND($B$2&lt;&gt;"",对接源_01水果!$AH453=$B$2,对接源_01水果!$B453&gt;=$U$1,对接源_01水果!$B453&lt;=$U$2),1,0)</f>
        <v>0</v>
      </c>
    </row>
    <row r="454">
      <c r="U454">
        <f>N(U453)+IF(AND($B$2&lt;&gt;"",对接源_01水果!$AH454=$B$2,对接源_01水果!$B454&gt;=$U$1,对接源_01水果!$B454&lt;=$U$2),1,0)</f>
        <v>0</v>
      </c>
    </row>
    <row r="455">
      <c r="U455">
        <f>N(U454)+IF(AND($B$2&lt;&gt;"",对接源_01水果!$AH455=$B$2,对接源_01水果!$B455&gt;=$U$1,对接源_01水果!$B455&lt;=$U$2),1,0)</f>
        <v>0</v>
      </c>
    </row>
    <row r="456">
      <c r="U456">
        <f>N(U455)+IF(AND($B$2&lt;&gt;"",对接源_01水果!$AH456=$B$2,对接源_01水果!$B456&gt;=$U$1,对接源_01水果!$B456&lt;=$U$2),1,0)</f>
        <v>0</v>
      </c>
    </row>
    <row r="457">
      <c r="U457">
        <f>N(U456)+IF(AND($B$2&lt;&gt;"",对接源_01水果!$AH457=$B$2,对接源_01水果!$B457&gt;=$U$1,对接源_01水果!$B457&lt;=$U$2),1,0)</f>
        <v>0</v>
      </c>
    </row>
    <row r="458">
      <c r="U458">
        <f>N(U457)+IF(AND($B$2&lt;&gt;"",对接源_01水果!$AH458=$B$2,对接源_01水果!$B458&gt;=$U$1,对接源_01水果!$B458&lt;=$U$2),1,0)</f>
        <v>0</v>
      </c>
    </row>
    <row r="459">
      <c r="U459">
        <f>N(U458)+IF(AND($B$2&lt;&gt;"",对接源_01水果!$AH459=$B$2,对接源_01水果!$B459&gt;=$U$1,对接源_01水果!$B459&lt;=$U$2),1,0)</f>
        <v>0</v>
      </c>
    </row>
    <row r="460">
      <c r="U460">
        <f>N(U459)+IF(AND($B$2&lt;&gt;"",对接源_01水果!$AH460=$B$2,对接源_01水果!$B460&gt;=$U$1,对接源_01水果!$B460&lt;=$U$2),1,0)</f>
        <v>0</v>
      </c>
    </row>
    <row r="461">
      <c r="U461">
        <f>N(U460)+IF(AND($B$2&lt;&gt;"",对接源_01水果!$AH461=$B$2,对接源_01水果!$B461&gt;=$U$1,对接源_01水果!$B461&lt;=$U$2),1,0)</f>
        <v>0</v>
      </c>
    </row>
    <row r="462">
      <c r="U462">
        <f>N(U461)+IF(AND($B$2&lt;&gt;"",对接源_01水果!$AH462=$B$2,对接源_01水果!$B462&gt;=$U$1,对接源_01水果!$B462&lt;=$U$2),1,0)</f>
        <v>0</v>
      </c>
    </row>
    <row r="463">
      <c r="U463">
        <f>N(U462)+IF(AND($B$2&lt;&gt;"",对接源_01水果!$AH463=$B$2,对接源_01水果!$B463&gt;=$U$1,对接源_01水果!$B463&lt;=$U$2),1,0)</f>
        <v>0</v>
      </c>
    </row>
    <row r="464">
      <c r="U464">
        <f>N(U463)+IF(AND($B$2&lt;&gt;"",对接源_01水果!$AH464=$B$2,对接源_01水果!$B464&gt;=$U$1,对接源_01水果!$B464&lt;=$U$2),1,0)</f>
        <v>0</v>
      </c>
    </row>
    <row r="465">
      <c r="U465">
        <f>N(U464)+IF(AND($B$2&lt;&gt;"",对接源_01水果!$AH465=$B$2,对接源_01水果!$B465&gt;=$U$1,对接源_01水果!$B465&lt;=$U$2),1,0)</f>
        <v>0</v>
      </c>
    </row>
    <row r="466">
      <c r="U466">
        <f>N(U465)+IF(AND($B$2&lt;&gt;"",对接源_01水果!$AH466=$B$2,对接源_01水果!$B466&gt;=$U$1,对接源_01水果!$B466&lt;=$U$2),1,0)</f>
        <v>0</v>
      </c>
    </row>
    <row r="467">
      <c r="U467">
        <f>N(U466)+IF(AND($B$2&lt;&gt;"",对接源_01水果!$AH467=$B$2,对接源_01水果!$B467&gt;=$U$1,对接源_01水果!$B467&lt;=$U$2),1,0)</f>
        <v>0</v>
      </c>
    </row>
    <row r="468">
      <c r="U468">
        <f>N(U467)+IF(AND($B$2&lt;&gt;"",对接源_01水果!$AH468=$B$2,对接源_01水果!$B468&gt;=$U$1,对接源_01水果!$B468&lt;=$U$2),1,0)</f>
        <v>0</v>
      </c>
    </row>
    <row r="469">
      <c r="U469">
        <f>N(U468)+IF(AND($B$2&lt;&gt;"",对接源_01水果!$AH469=$B$2,对接源_01水果!$B469&gt;=$U$1,对接源_01水果!$B469&lt;=$U$2),1,0)</f>
        <v>0</v>
      </c>
    </row>
    <row r="470">
      <c r="U470">
        <f>N(U469)+IF(AND($B$2&lt;&gt;"",对接源_01水果!$AH470=$B$2,对接源_01水果!$B470&gt;=$U$1,对接源_01水果!$B470&lt;=$U$2),1,0)</f>
        <v>0</v>
      </c>
    </row>
    <row r="471">
      <c r="U471">
        <f>N(U470)+IF(AND($B$2&lt;&gt;"",对接源_01水果!$AH471=$B$2,对接源_01水果!$B471&gt;=$U$1,对接源_01水果!$B471&lt;=$U$2),1,0)</f>
        <v>0</v>
      </c>
    </row>
    <row r="472">
      <c r="U472">
        <f>N(U471)+IF(AND($B$2&lt;&gt;"",对接源_01水果!$AH472=$B$2,对接源_01水果!$B472&gt;=$U$1,对接源_01水果!$B472&lt;=$U$2),1,0)</f>
        <v>0</v>
      </c>
    </row>
    <row r="473">
      <c r="U473">
        <f>N(U472)+IF(AND($B$2&lt;&gt;"",对接源_01水果!$AH473=$B$2,对接源_01水果!$B473&gt;=$U$1,对接源_01水果!$B473&lt;=$U$2),1,0)</f>
        <v>0</v>
      </c>
    </row>
    <row r="474">
      <c r="U474">
        <f>N(U473)+IF(AND($B$2&lt;&gt;"",对接源_01水果!$AH474=$B$2,对接源_01水果!$B474&gt;=$U$1,对接源_01水果!$B474&lt;=$U$2),1,0)</f>
        <v>0</v>
      </c>
    </row>
    <row r="475">
      <c r="U475">
        <f>N(U474)+IF(AND($B$2&lt;&gt;"",对接源_01水果!$AH475=$B$2,对接源_01水果!$B475&gt;=$U$1,对接源_01水果!$B475&lt;=$U$2),1,0)</f>
        <v>0</v>
      </c>
    </row>
    <row r="476">
      <c r="U476">
        <f>N(U475)+IF(AND($B$2&lt;&gt;"",对接源_01水果!$AH476=$B$2,对接源_01水果!$B476&gt;=$U$1,对接源_01水果!$B476&lt;=$U$2),1,0)</f>
        <v>0</v>
      </c>
    </row>
    <row r="477">
      <c r="U477">
        <f>N(U476)+IF(AND($B$2&lt;&gt;"",对接源_01水果!$AH477=$B$2,对接源_01水果!$B477&gt;=$U$1,对接源_01水果!$B477&lt;=$U$2),1,0)</f>
        <v>0</v>
      </c>
    </row>
    <row r="478">
      <c r="U478">
        <f>N(U477)+IF(AND($B$2&lt;&gt;"",对接源_01水果!$AH478=$B$2,对接源_01水果!$B478&gt;=$U$1,对接源_01水果!$B478&lt;=$U$2),1,0)</f>
        <v>0</v>
      </c>
    </row>
    <row r="479">
      <c r="U479">
        <f>N(U478)+IF(AND($B$2&lt;&gt;"",对接源_01水果!$AH479=$B$2,对接源_01水果!$B479&gt;=$U$1,对接源_01水果!$B479&lt;=$U$2),1,0)</f>
        <v>0</v>
      </c>
    </row>
    <row r="480">
      <c r="U480">
        <f>N(U479)+IF(AND($B$2&lt;&gt;"",对接源_01水果!$AH480=$B$2,对接源_01水果!$B480&gt;=$U$1,对接源_01水果!$B480&lt;=$U$2),1,0)</f>
        <v>0</v>
      </c>
    </row>
    <row r="481">
      <c r="U481">
        <f>N(U480)+IF(AND($B$2&lt;&gt;"",对接源_01水果!$AH481=$B$2,对接源_01水果!$B481&gt;=$U$1,对接源_01水果!$B481&lt;=$U$2),1,0)</f>
        <v>0</v>
      </c>
    </row>
    <row r="482">
      <c r="U482">
        <f>N(U481)+IF(AND($B$2&lt;&gt;"",对接源_01水果!$AH482=$B$2,对接源_01水果!$B482&gt;=$U$1,对接源_01水果!$B482&lt;=$U$2),1,0)</f>
        <v>0</v>
      </c>
    </row>
    <row r="483">
      <c r="U483">
        <f>N(U482)+IF(AND($B$2&lt;&gt;"",对接源_01水果!$AH483=$B$2,对接源_01水果!$B483&gt;=$U$1,对接源_01水果!$B483&lt;=$U$2),1,0)</f>
        <v>0</v>
      </c>
    </row>
    <row r="484">
      <c r="U484">
        <f>N(U483)+IF(AND($B$2&lt;&gt;"",对接源_01水果!$AH484=$B$2,对接源_01水果!$B484&gt;=$U$1,对接源_01水果!$B484&lt;=$U$2),1,0)</f>
        <v>0</v>
      </c>
    </row>
    <row r="485">
      <c r="U485">
        <f>N(U484)+IF(AND($B$2&lt;&gt;"",对接源_01水果!$AH485=$B$2,对接源_01水果!$B485&gt;=$U$1,对接源_01水果!$B485&lt;=$U$2),1,0)</f>
        <v>0</v>
      </c>
    </row>
    <row r="486">
      <c r="U486">
        <f>N(U485)+IF(AND($B$2&lt;&gt;"",对接源_01水果!$AH486=$B$2,对接源_01水果!$B486&gt;=$U$1,对接源_01水果!$B486&lt;=$U$2),1,0)</f>
        <v>0</v>
      </c>
    </row>
    <row r="487">
      <c r="U487">
        <f>N(U486)+IF(AND($B$2&lt;&gt;"",对接源_01水果!$AH487=$B$2,对接源_01水果!$B487&gt;=$U$1,对接源_01水果!$B487&lt;=$U$2),1,0)</f>
        <v>0</v>
      </c>
    </row>
    <row r="488">
      <c r="U488">
        <f>N(U487)+IF(AND($B$2&lt;&gt;"",对接源_01水果!$AH488=$B$2,对接源_01水果!$B488&gt;=$U$1,对接源_01水果!$B488&lt;=$U$2),1,0)</f>
        <v>0</v>
      </c>
    </row>
    <row r="489">
      <c r="U489">
        <f>N(U488)+IF(AND($B$2&lt;&gt;"",对接源_01水果!$AH489=$B$2,对接源_01水果!$B489&gt;=$U$1,对接源_01水果!$B489&lt;=$U$2),1,0)</f>
        <v>0</v>
      </c>
    </row>
    <row r="490">
      <c r="U490">
        <f>N(U489)+IF(AND($B$2&lt;&gt;"",对接源_01水果!$AH490=$B$2,对接源_01水果!$B490&gt;=$U$1,对接源_01水果!$B490&lt;=$U$2),1,0)</f>
        <v>0</v>
      </c>
    </row>
    <row r="491">
      <c r="U491">
        <f>N(U490)+IF(AND($B$2&lt;&gt;"",对接源_01水果!$AH491=$B$2,对接源_01水果!$B491&gt;=$U$1,对接源_01水果!$B491&lt;=$U$2),1,0)</f>
        <v>0</v>
      </c>
    </row>
    <row r="492">
      <c r="U492">
        <f>N(U491)+IF(AND($B$2&lt;&gt;"",对接源_01水果!$AH492=$B$2,对接源_01水果!$B492&gt;=$U$1,对接源_01水果!$B492&lt;=$U$2),1,0)</f>
        <v>0</v>
      </c>
    </row>
    <row r="493">
      <c r="U493">
        <f>N(U492)+IF(AND($B$2&lt;&gt;"",对接源_01水果!$AH493=$B$2,对接源_01水果!$B493&gt;=$U$1,对接源_01水果!$B493&lt;=$U$2),1,0)</f>
        <v>0</v>
      </c>
    </row>
    <row r="494">
      <c r="U494">
        <f>N(U493)+IF(AND($B$2&lt;&gt;"",对接源_01水果!$AH494=$B$2,对接源_01水果!$B494&gt;=$U$1,对接源_01水果!$B494&lt;=$U$2),1,0)</f>
        <v>0</v>
      </c>
    </row>
    <row r="495">
      <c r="U495">
        <f>N(U494)+IF(AND($B$2&lt;&gt;"",对接源_01水果!$AH495=$B$2,对接源_01水果!$B495&gt;=$U$1,对接源_01水果!$B495&lt;=$U$2),1,0)</f>
        <v>0</v>
      </c>
    </row>
    <row r="496">
      <c r="U496">
        <f>N(U495)+IF(AND($B$2&lt;&gt;"",对接源_01水果!$AH496=$B$2,对接源_01水果!$B496&gt;=$U$1,对接源_01水果!$B496&lt;=$U$2),1,0)</f>
        <v>0</v>
      </c>
    </row>
    <row r="497">
      <c r="U497">
        <f>N(U496)+IF(AND($B$2&lt;&gt;"",对接源_01水果!$AH497=$B$2,对接源_01水果!$B497&gt;=$U$1,对接源_01水果!$B497&lt;=$U$2),1,0)</f>
        <v>0</v>
      </c>
    </row>
    <row r="498">
      <c r="U498">
        <f>N(U497)+IF(AND($B$2&lt;&gt;"",对接源_01水果!$AH498=$B$2,对接源_01水果!$B498&gt;=$U$1,对接源_01水果!$B498&lt;=$U$2),1,0)</f>
        <v>0</v>
      </c>
    </row>
    <row r="499">
      <c r="U499">
        <f>N(U498)+IF(AND($B$2&lt;&gt;"",对接源_01水果!$AH499=$B$2,对接源_01水果!$B499&gt;=$U$1,对接源_01水果!$B499&lt;=$U$2),1,0)</f>
        <v>0</v>
      </c>
    </row>
    <row r="500">
      <c r="U500">
        <f>N(U499)+IF(AND($B$2&lt;&gt;"",对接源_01水果!$AH500=$B$2,对接源_01水果!$B500&gt;=$U$1,对接源_01水果!$B500&lt;=$U$2),1,0)</f>
        <v>0</v>
      </c>
    </row>
    <row r="501">
      <c r="U501">
        <f>N(U500)+IF(AND($B$2&lt;&gt;"",对接源_01水果!$AH501=$B$2,对接源_01水果!$B501&gt;=$U$1,对接源_01水果!$B501&lt;=$U$2),1,0)</f>
        <v>0</v>
      </c>
    </row>
    <row r="502">
      <c r="U502">
        <f>N(U501)+IF(AND($B$2&lt;&gt;"",对接源_01水果!$AH502=$B$2,对接源_01水果!$B502&gt;=$U$1,对接源_01水果!$B502&lt;=$U$2),1,0)</f>
        <v>0</v>
      </c>
    </row>
    <row r="503">
      <c r="U503">
        <f>N(U502)+IF(AND($B$2&lt;&gt;"",对接源_01水果!$AH503=$B$2,对接源_01水果!$B503&gt;=$U$1,对接源_01水果!$B503&lt;=$U$2),1,0)</f>
        <v>0</v>
      </c>
    </row>
    <row r="504">
      <c r="U504">
        <f>N(U503)+IF(AND($B$2&lt;&gt;"",对接源_01水果!$AH504=$B$2,对接源_01水果!$B504&gt;=$U$1,对接源_01水果!$B504&lt;=$U$2),1,0)</f>
        <v>0</v>
      </c>
    </row>
    <row r="505">
      <c r="U505">
        <f>N(U504)+IF(AND($B$2&lt;&gt;"",对接源_01水果!$AH505=$B$2,对接源_01水果!$B505&gt;=$U$1,对接源_01水果!$B505&lt;=$U$2),1,0)</f>
        <v>0</v>
      </c>
    </row>
    <row r="506">
      <c r="U506">
        <f>N(U505)+IF(AND($B$2&lt;&gt;"",对接源_01水果!$AH506=$B$2,对接源_01水果!$B506&gt;=$U$1,对接源_01水果!$B506&lt;=$U$2),1,0)</f>
        <v>0</v>
      </c>
    </row>
    <row r="507">
      <c r="U507">
        <f>N(U506)+IF(AND($B$2&lt;&gt;"",对接源_01水果!$AH507=$B$2,对接源_01水果!$B507&gt;=$U$1,对接源_01水果!$B507&lt;=$U$2),1,0)</f>
        <v>0</v>
      </c>
    </row>
    <row r="508">
      <c r="U508">
        <f>N(U507)+IF(AND($B$2&lt;&gt;"",对接源_01水果!$AH508=$B$2,对接源_01水果!$B508&gt;=$U$1,对接源_01水果!$B508&lt;=$U$2),1,0)</f>
        <v>0</v>
      </c>
    </row>
    <row r="509">
      <c r="U509">
        <f>N(U508)+IF(AND($B$2&lt;&gt;"",对接源_01水果!$AH509=$B$2,对接源_01水果!$B509&gt;=$U$1,对接源_01水果!$B509&lt;=$U$2),1,0)</f>
        <v>0</v>
      </c>
    </row>
    <row r="510">
      <c r="U510">
        <f>N(U509)+IF(AND($B$2&lt;&gt;"",对接源_01水果!$AH510=$B$2,对接源_01水果!$B510&gt;=$U$1,对接源_01水果!$B510&lt;=$U$2),1,0)</f>
        <v>0</v>
      </c>
    </row>
    <row r="511">
      <c r="U511">
        <f>N(U510)+IF(AND($B$2&lt;&gt;"",对接源_01水果!$AH511=$B$2,对接源_01水果!$B511&gt;=$U$1,对接源_01水果!$B511&lt;=$U$2),1,0)</f>
        <v>0</v>
      </c>
    </row>
    <row r="512">
      <c r="U512">
        <f>N(U511)+IF(AND($B$2&lt;&gt;"",对接源_01水果!$AH512=$B$2,对接源_01水果!$B512&gt;=$U$1,对接源_01水果!$B512&lt;=$U$2),1,0)</f>
        <v>0</v>
      </c>
    </row>
    <row r="513">
      <c r="U513">
        <f>N(U512)+IF(AND($B$2&lt;&gt;"",对接源_01水果!$AH513=$B$2,对接源_01水果!$B513&gt;=$U$1,对接源_01水果!$B513&lt;=$U$2),1,0)</f>
        <v>0</v>
      </c>
    </row>
    <row r="514">
      <c r="U514">
        <f>N(U513)+IF(AND($B$2&lt;&gt;"",对接源_01水果!$AH514=$B$2,对接源_01水果!$B514&gt;=$U$1,对接源_01水果!$B514&lt;=$U$2),1,0)</f>
        <v>0</v>
      </c>
    </row>
    <row r="515">
      <c r="U515">
        <f>N(U514)+IF(AND($B$2&lt;&gt;"",对接源_01水果!$AH515=$B$2,对接源_01水果!$B515&gt;=$U$1,对接源_01水果!$B515&lt;=$U$2),1,0)</f>
        <v>0</v>
      </c>
    </row>
    <row r="516">
      <c r="U516">
        <f>N(U515)+IF(AND($B$2&lt;&gt;"",对接源_01水果!$AH516=$B$2,对接源_01水果!$B516&gt;=$U$1,对接源_01水果!$B516&lt;=$U$2),1,0)</f>
        <v>0</v>
      </c>
    </row>
    <row r="517">
      <c r="U517">
        <f>N(U516)+IF(AND($B$2&lt;&gt;"",对接源_01水果!$AH517=$B$2,对接源_01水果!$B517&gt;=$U$1,对接源_01水果!$B517&lt;=$U$2),1,0)</f>
        <v>0</v>
      </c>
    </row>
    <row r="518">
      <c r="U518">
        <f>N(U517)+IF(AND($B$2&lt;&gt;"",对接源_01水果!$AH518=$B$2,对接源_01水果!$B518&gt;=$U$1,对接源_01水果!$B518&lt;=$U$2),1,0)</f>
        <v>0</v>
      </c>
    </row>
    <row r="519">
      <c r="U519">
        <f>N(U518)+IF(AND($B$2&lt;&gt;"",对接源_01水果!$AH519=$B$2,对接源_01水果!$B519&gt;=$U$1,对接源_01水果!$B519&lt;=$U$2),1,0)</f>
        <v>0</v>
      </c>
    </row>
    <row r="520">
      <c r="U520">
        <f>N(U519)+IF(AND($B$2&lt;&gt;"",对接源_01水果!$AH520=$B$2,对接源_01水果!$B520&gt;=$U$1,对接源_01水果!$B520&lt;=$U$2),1,0)</f>
        <v>0</v>
      </c>
    </row>
    <row r="521">
      <c r="U521">
        <f>N(U520)+IF(AND($B$2&lt;&gt;"",对接源_01水果!$AH521=$B$2,对接源_01水果!$B521&gt;=$U$1,对接源_01水果!$B521&lt;=$U$2),1,0)</f>
        <v>0</v>
      </c>
    </row>
    <row r="522">
      <c r="U522">
        <f>N(U521)+IF(AND($B$2&lt;&gt;"",对接源_01水果!$AH522=$B$2,对接源_01水果!$B522&gt;=$U$1,对接源_01水果!$B522&lt;=$U$2),1,0)</f>
        <v>0</v>
      </c>
    </row>
    <row r="523">
      <c r="U523">
        <f>N(U522)+IF(AND($B$2&lt;&gt;"",对接源_01水果!$AH523=$B$2,对接源_01水果!$B523&gt;=$U$1,对接源_01水果!$B523&lt;=$U$2),1,0)</f>
        <v>0</v>
      </c>
    </row>
    <row r="524">
      <c r="U524">
        <f>N(U523)+IF(AND($B$2&lt;&gt;"",对接源_01水果!$AH524=$B$2,对接源_01水果!$B524&gt;=$U$1,对接源_01水果!$B524&lt;=$U$2),1,0)</f>
        <v>0</v>
      </c>
    </row>
    <row r="525">
      <c r="U525">
        <f>N(U524)+IF(AND($B$2&lt;&gt;"",对接源_01水果!$AH525=$B$2,对接源_01水果!$B525&gt;=$U$1,对接源_01水果!$B525&lt;=$U$2),1,0)</f>
        <v>0</v>
      </c>
    </row>
    <row r="526">
      <c r="U526">
        <f>N(U525)+IF(AND($B$2&lt;&gt;"",对接源_01水果!$AH526=$B$2,对接源_01水果!$B526&gt;=$U$1,对接源_01水果!$B526&lt;=$U$2),1,0)</f>
        <v>0</v>
      </c>
    </row>
    <row r="527">
      <c r="U527">
        <f>N(U526)+IF(AND($B$2&lt;&gt;"",对接源_01水果!$AH527=$B$2,对接源_01水果!$B527&gt;=$U$1,对接源_01水果!$B527&lt;=$U$2),1,0)</f>
        <v>0</v>
      </c>
    </row>
    <row r="528">
      <c r="U528">
        <f>N(U527)+IF(AND($B$2&lt;&gt;"",对接源_01水果!$AH528=$B$2,对接源_01水果!$B528&gt;=$U$1,对接源_01水果!$B528&lt;=$U$2),1,0)</f>
        <v>0</v>
      </c>
    </row>
    <row r="529">
      <c r="U529">
        <f>N(U528)+IF(AND($B$2&lt;&gt;"",对接源_01水果!$AH529=$B$2,对接源_01水果!$B529&gt;=$U$1,对接源_01水果!$B529&lt;=$U$2),1,0)</f>
        <v>0</v>
      </c>
    </row>
    <row r="530">
      <c r="U530">
        <f>N(U529)+IF(AND($B$2&lt;&gt;"",对接源_01水果!$AH530=$B$2,对接源_01水果!$B530&gt;=$U$1,对接源_01水果!$B530&lt;=$U$2),1,0)</f>
        <v>0</v>
      </c>
    </row>
    <row r="531">
      <c r="U531">
        <f>N(U530)+IF(AND($B$2&lt;&gt;"",对接源_01水果!$AH531=$B$2,对接源_01水果!$B531&gt;=$U$1,对接源_01水果!$B531&lt;=$U$2),1,0)</f>
        <v>0</v>
      </c>
    </row>
    <row r="532">
      <c r="U532">
        <f>N(U531)+IF(AND($B$2&lt;&gt;"",对接源_01水果!$AH532=$B$2,对接源_01水果!$B532&gt;=$U$1,对接源_01水果!$B532&lt;=$U$2),1,0)</f>
        <v>0</v>
      </c>
    </row>
    <row r="533">
      <c r="U533">
        <f>N(U532)+IF(AND($B$2&lt;&gt;"",对接源_01水果!$AH533=$B$2,对接源_01水果!$B533&gt;=$U$1,对接源_01水果!$B533&lt;=$U$2),1,0)</f>
        <v>0</v>
      </c>
    </row>
    <row r="534">
      <c r="U534">
        <f>N(U533)+IF(AND($B$2&lt;&gt;"",对接源_01水果!$AH534=$B$2,对接源_01水果!$B534&gt;=$U$1,对接源_01水果!$B534&lt;=$U$2),1,0)</f>
        <v>0</v>
      </c>
    </row>
    <row r="535">
      <c r="U535">
        <f>N(U534)+IF(AND($B$2&lt;&gt;"",对接源_01水果!$AH535=$B$2,对接源_01水果!$B535&gt;=$U$1,对接源_01水果!$B535&lt;=$U$2),1,0)</f>
        <v>0</v>
      </c>
    </row>
    <row r="536">
      <c r="U536">
        <f>N(U535)+IF(AND($B$2&lt;&gt;"",对接源_01水果!$AH536=$B$2,对接源_01水果!$B536&gt;=$U$1,对接源_01水果!$B536&lt;=$U$2),1,0)</f>
        <v>0</v>
      </c>
    </row>
    <row r="537">
      <c r="U537">
        <f>N(U536)+IF(AND($B$2&lt;&gt;"",对接源_01水果!$AH537=$B$2,对接源_01水果!$B537&gt;=$U$1,对接源_01水果!$B537&lt;=$U$2),1,0)</f>
        <v>0</v>
      </c>
    </row>
    <row r="538">
      <c r="U538">
        <f>N(U537)+IF(AND($B$2&lt;&gt;"",对接源_01水果!$AH538=$B$2,对接源_01水果!$B538&gt;=$U$1,对接源_01水果!$B538&lt;=$U$2),1,0)</f>
        <v>0</v>
      </c>
    </row>
    <row r="539">
      <c r="U539">
        <f>N(U538)+IF(AND($B$2&lt;&gt;"",对接源_01水果!$AH539=$B$2,对接源_01水果!$B539&gt;=$U$1,对接源_01水果!$B539&lt;=$U$2),1,0)</f>
        <v>0</v>
      </c>
    </row>
    <row r="540">
      <c r="U540">
        <f>N(U539)+IF(AND($B$2&lt;&gt;"",对接源_01水果!$AH540=$B$2,对接源_01水果!$B540&gt;=$U$1,对接源_01水果!$B540&lt;=$U$2),1,0)</f>
        <v>0</v>
      </c>
    </row>
    <row r="541">
      <c r="U541">
        <f>N(U540)+IF(AND($B$2&lt;&gt;"",对接源_01水果!$AH541=$B$2,对接源_01水果!$B541&gt;=$U$1,对接源_01水果!$B541&lt;=$U$2),1,0)</f>
        <v>0</v>
      </c>
    </row>
    <row r="542">
      <c r="U542">
        <f>N(U541)+IF(AND($B$2&lt;&gt;"",对接源_01水果!$AH542=$B$2,对接源_01水果!$B542&gt;=$U$1,对接源_01水果!$B542&lt;=$U$2),1,0)</f>
        <v>0</v>
      </c>
    </row>
    <row r="543">
      <c r="U543">
        <f>N(U542)+IF(AND($B$2&lt;&gt;"",对接源_01水果!$AH543=$B$2,对接源_01水果!$B543&gt;=$U$1,对接源_01水果!$B543&lt;=$U$2),1,0)</f>
        <v>0</v>
      </c>
    </row>
    <row r="544">
      <c r="U544">
        <f>N(U543)+IF(AND($B$2&lt;&gt;"",对接源_01水果!$AH544=$B$2,对接源_01水果!$B544&gt;=$U$1,对接源_01水果!$B544&lt;=$U$2),1,0)</f>
        <v>0</v>
      </c>
    </row>
    <row r="545">
      <c r="U545">
        <f>N(U544)+IF(AND($B$2&lt;&gt;"",对接源_01水果!$AH545=$B$2,对接源_01水果!$B545&gt;=$U$1,对接源_01水果!$B545&lt;=$U$2),1,0)</f>
        <v>0</v>
      </c>
    </row>
    <row r="546">
      <c r="U546">
        <f>N(U545)+IF(AND($B$2&lt;&gt;"",对接源_01水果!$AH546=$B$2,对接源_01水果!$B546&gt;=$U$1,对接源_01水果!$B546&lt;=$U$2),1,0)</f>
        <v>0</v>
      </c>
    </row>
    <row r="547">
      <c r="U547">
        <f>N(U546)+IF(AND($B$2&lt;&gt;"",对接源_01水果!$AH547=$B$2,对接源_01水果!$B547&gt;=$U$1,对接源_01水果!$B547&lt;=$U$2),1,0)</f>
        <v>0</v>
      </c>
    </row>
    <row r="548">
      <c r="U548">
        <f>N(U547)+IF(AND($B$2&lt;&gt;"",对接源_01水果!$AH548=$B$2,对接源_01水果!$B548&gt;=$U$1,对接源_01水果!$B548&lt;=$U$2),1,0)</f>
        <v>0</v>
      </c>
    </row>
    <row r="549">
      <c r="U549">
        <f>N(U548)+IF(AND($B$2&lt;&gt;"",对接源_01水果!$AH549=$B$2,对接源_01水果!$B549&gt;=$U$1,对接源_01水果!$B549&lt;=$U$2),1,0)</f>
        <v>0</v>
      </c>
    </row>
    <row r="550">
      <c r="U550">
        <f>N(U549)+IF(AND($B$2&lt;&gt;"",对接源_01水果!$AH550=$B$2,对接源_01水果!$B550&gt;=$U$1,对接源_01水果!$B550&lt;=$U$2),1,0)</f>
        <v>0</v>
      </c>
    </row>
    <row r="551">
      <c r="U551">
        <f>N(U550)+IF(AND($B$2&lt;&gt;"",对接源_01水果!$AH551=$B$2,对接源_01水果!$B551&gt;=$U$1,对接源_01水果!$B551&lt;=$U$2),1,0)</f>
        <v>0</v>
      </c>
    </row>
    <row r="552">
      <c r="U552">
        <f>N(U551)+IF(AND($B$2&lt;&gt;"",对接源_01水果!$AH552=$B$2,对接源_01水果!$B552&gt;=$U$1,对接源_01水果!$B552&lt;=$U$2),1,0)</f>
        <v>0</v>
      </c>
    </row>
    <row r="553">
      <c r="U553">
        <f>N(U552)+IF(AND($B$2&lt;&gt;"",对接源_01水果!$AH553=$B$2,对接源_01水果!$B553&gt;=$U$1,对接源_01水果!$B553&lt;=$U$2),1,0)</f>
        <v>0</v>
      </c>
    </row>
    <row r="554">
      <c r="U554">
        <f>N(U553)+IF(AND($B$2&lt;&gt;"",对接源_01水果!$AH554=$B$2,对接源_01水果!$B554&gt;=$U$1,对接源_01水果!$B554&lt;=$U$2),1,0)</f>
        <v>0</v>
      </c>
    </row>
    <row r="555">
      <c r="U555">
        <f>N(U554)+IF(AND($B$2&lt;&gt;"",对接源_01水果!$AH555=$B$2,对接源_01水果!$B555&gt;=$U$1,对接源_01水果!$B555&lt;=$U$2),1,0)</f>
        <v>0</v>
      </c>
    </row>
    <row r="556">
      <c r="U556">
        <f>N(U555)+IF(AND($B$2&lt;&gt;"",对接源_01水果!$AH556=$B$2,对接源_01水果!$B556&gt;=$U$1,对接源_01水果!$B556&lt;=$U$2),1,0)</f>
        <v>0</v>
      </c>
    </row>
    <row r="557">
      <c r="U557">
        <f>N(U556)+IF(AND($B$2&lt;&gt;"",对接源_01水果!$AH557=$B$2,对接源_01水果!$B557&gt;=$U$1,对接源_01水果!$B557&lt;=$U$2),1,0)</f>
        <v>0</v>
      </c>
    </row>
    <row r="558">
      <c r="U558">
        <f>N(U557)+IF(AND($B$2&lt;&gt;"",对接源_01水果!$AH558=$B$2,对接源_01水果!$B558&gt;=$U$1,对接源_01水果!$B558&lt;=$U$2),1,0)</f>
        <v>0</v>
      </c>
    </row>
    <row r="559">
      <c r="U559">
        <f>N(U558)+IF(AND($B$2&lt;&gt;"",对接源_01水果!$AH559=$B$2,对接源_01水果!$B559&gt;=$U$1,对接源_01水果!$B559&lt;=$U$2),1,0)</f>
        <v>0</v>
      </c>
    </row>
    <row r="560">
      <c r="U560">
        <f>N(U559)+IF(AND($B$2&lt;&gt;"",对接源_01水果!$AH560=$B$2,对接源_01水果!$B560&gt;=$U$1,对接源_01水果!$B560&lt;=$U$2),1,0)</f>
        <v>0</v>
      </c>
    </row>
    <row r="561">
      <c r="U561">
        <f>N(U560)+IF(AND($B$2&lt;&gt;"",对接源_01水果!$AH561=$B$2,对接源_01水果!$B561&gt;=$U$1,对接源_01水果!$B561&lt;=$U$2),1,0)</f>
        <v>0</v>
      </c>
    </row>
    <row r="562">
      <c r="U562">
        <f>N(U561)+IF(AND($B$2&lt;&gt;"",对接源_01水果!$AH562=$B$2,对接源_01水果!$B562&gt;=$U$1,对接源_01水果!$B562&lt;=$U$2),1,0)</f>
        <v>0</v>
      </c>
    </row>
    <row r="563">
      <c r="U563">
        <f>N(U562)+IF(AND($B$2&lt;&gt;"",对接源_01水果!$AH563=$B$2,对接源_01水果!$B563&gt;=$U$1,对接源_01水果!$B563&lt;=$U$2),1,0)</f>
        <v>0</v>
      </c>
    </row>
    <row r="564">
      <c r="U564">
        <f>N(U563)+IF(AND($B$2&lt;&gt;"",对接源_01水果!$AH564=$B$2,对接源_01水果!$B564&gt;=$U$1,对接源_01水果!$B564&lt;=$U$2),1,0)</f>
        <v>0</v>
      </c>
    </row>
    <row r="565">
      <c r="U565">
        <f>N(U564)+IF(AND($B$2&lt;&gt;"",对接源_01水果!$AH565=$B$2,对接源_01水果!$B565&gt;=$U$1,对接源_01水果!$B565&lt;=$U$2),1,0)</f>
        <v>0</v>
      </c>
    </row>
    <row r="566">
      <c r="U566">
        <f>N(U565)+IF(AND($B$2&lt;&gt;"",对接源_01水果!$AH566=$B$2,对接源_01水果!$B566&gt;=$U$1,对接源_01水果!$B566&lt;=$U$2),1,0)</f>
        <v>0</v>
      </c>
    </row>
    <row r="567">
      <c r="U567">
        <f>N(U566)+IF(AND($B$2&lt;&gt;"",对接源_01水果!$AH567=$B$2,对接源_01水果!$B567&gt;=$U$1,对接源_01水果!$B567&lt;=$U$2),1,0)</f>
        <v>0</v>
      </c>
    </row>
    <row r="568">
      <c r="U568">
        <f>N(U567)+IF(AND($B$2&lt;&gt;"",对接源_01水果!$AH568=$B$2,对接源_01水果!$B568&gt;=$U$1,对接源_01水果!$B568&lt;=$U$2),1,0)</f>
        <v>0</v>
      </c>
    </row>
    <row r="569">
      <c r="U569">
        <f>N(U568)+IF(AND($B$2&lt;&gt;"",对接源_01水果!$AH569=$B$2,对接源_01水果!$B569&gt;=$U$1,对接源_01水果!$B569&lt;=$U$2),1,0)</f>
        <v>0</v>
      </c>
    </row>
    <row r="570">
      <c r="U570">
        <f>N(U569)+IF(AND($B$2&lt;&gt;"",对接源_01水果!$AH570=$B$2,对接源_01水果!$B570&gt;=$U$1,对接源_01水果!$B570&lt;=$U$2),1,0)</f>
        <v>0</v>
      </c>
    </row>
    <row r="571">
      <c r="U571">
        <f>N(U570)+IF(AND($B$2&lt;&gt;"",对接源_01水果!$AH571=$B$2,对接源_01水果!$B571&gt;=$U$1,对接源_01水果!$B571&lt;=$U$2),1,0)</f>
        <v>0</v>
      </c>
    </row>
    <row r="572">
      <c r="U572">
        <f>N(U571)+IF(AND($B$2&lt;&gt;"",对接源_01水果!$AH572=$B$2,对接源_01水果!$B572&gt;=$U$1,对接源_01水果!$B572&lt;=$U$2),1,0)</f>
        <v>0</v>
      </c>
    </row>
    <row r="573">
      <c r="U573">
        <f>N(U572)+IF(AND($B$2&lt;&gt;"",对接源_01水果!$AH573=$B$2,对接源_01水果!$B573&gt;=$U$1,对接源_01水果!$B573&lt;=$U$2),1,0)</f>
        <v>0</v>
      </c>
    </row>
    <row r="574">
      <c r="U574">
        <f>N(U573)+IF(AND($B$2&lt;&gt;"",对接源_01水果!$AH574=$B$2,对接源_01水果!$B574&gt;=$U$1,对接源_01水果!$B574&lt;=$U$2),1,0)</f>
        <v>0</v>
      </c>
    </row>
    <row r="575">
      <c r="U575">
        <f>N(U574)+IF(AND($B$2&lt;&gt;"",对接源_01水果!$AH575=$B$2,对接源_01水果!$B575&gt;=$U$1,对接源_01水果!$B575&lt;=$U$2),1,0)</f>
        <v>0</v>
      </c>
    </row>
    <row r="576">
      <c r="U576">
        <f>N(U575)+IF(AND($B$2&lt;&gt;"",对接源_01水果!$AH576=$B$2,对接源_01水果!$B576&gt;=$U$1,对接源_01水果!$B576&lt;=$U$2),1,0)</f>
        <v>0</v>
      </c>
    </row>
    <row r="577">
      <c r="U577">
        <f>N(U576)+IF(AND($B$2&lt;&gt;"",对接源_01水果!$AH577=$B$2,对接源_01水果!$B577&gt;=$U$1,对接源_01水果!$B577&lt;=$U$2),1,0)</f>
        <v>0</v>
      </c>
    </row>
    <row r="578">
      <c r="U578">
        <f>N(U577)+IF(AND($B$2&lt;&gt;"",对接源_01水果!$AH578=$B$2,对接源_01水果!$B578&gt;=$U$1,对接源_01水果!$B578&lt;=$U$2),1,0)</f>
        <v>0</v>
      </c>
    </row>
    <row r="579">
      <c r="U579">
        <f>N(U578)+IF(AND($B$2&lt;&gt;"",对接源_01水果!$AH579=$B$2,对接源_01水果!$B579&gt;=$U$1,对接源_01水果!$B579&lt;=$U$2),1,0)</f>
        <v>0</v>
      </c>
    </row>
    <row r="580">
      <c r="U580">
        <f>N(U579)+IF(AND($B$2&lt;&gt;"",对接源_01水果!$AH580=$B$2,对接源_01水果!$B580&gt;=$U$1,对接源_01水果!$B580&lt;=$U$2),1,0)</f>
        <v>0</v>
      </c>
    </row>
    <row r="581">
      <c r="U581">
        <f>N(U580)+IF(AND($B$2&lt;&gt;"",对接源_01水果!$AH581=$B$2,对接源_01水果!$B581&gt;=$U$1,对接源_01水果!$B581&lt;=$U$2),1,0)</f>
        <v>0</v>
      </c>
    </row>
    <row r="582">
      <c r="U582">
        <f>N(U581)+IF(AND($B$2&lt;&gt;"",对接源_01水果!$AH582=$B$2,对接源_01水果!$B582&gt;=$U$1,对接源_01水果!$B582&lt;=$U$2),1,0)</f>
        <v>0</v>
      </c>
    </row>
    <row r="583">
      <c r="U583">
        <f>N(U582)+IF(AND($B$2&lt;&gt;"",对接源_01水果!$AH583=$B$2,对接源_01水果!$B583&gt;=$U$1,对接源_01水果!$B583&lt;=$U$2),1,0)</f>
        <v>0</v>
      </c>
    </row>
    <row r="584">
      <c r="U584">
        <f>N(U583)+IF(AND($B$2&lt;&gt;"",对接源_01水果!$AH584=$B$2,对接源_01水果!$B584&gt;=$U$1,对接源_01水果!$B584&lt;=$U$2),1,0)</f>
        <v>0</v>
      </c>
    </row>
    <row r="585">
      <c r="U585">
        <f>N(U584)+IF(AND($B$2&lt;&gt;"",对接源_01水果!$AH585=$B$2,对接源_01水果!$B585&gt;=$U$1,对接源_01水果!$B585&lt;=$U$2),1,0)</f>
        <v>0</v>
      </c>
    </row>
    <row r="586">
      <c r="U586">
        <f>N(U585)+IF(AND($B$2&lt;&gt;"",对接源_01水果!$AH586=$B$2,对接源_01水果!$B586&gt;=$U$1,对接源_01水果!$B586&lt;=$U$2),1,0)</f>
        <v>0</v>
      </c>
    </row>
    <row r="587">
      <c r="U587">
        <f>N(U586)+IF(AND($B$2&lt;&gt;"",对接源_01水果!$AH587=$B$2,对接源_01水果!$B587&gt;=$U$1,对接源_01水果!$B587&lt;=$U$2),1,0)</f>
        <v>0</v>
      </c>
    </row>
    <row r="588">
      <c r="U588">
        <f>N(U587)+IF(AND($B$2&lt;&gt;"",对接源_01水果!$AH588=$B$2,对接源_01水果!$B588&gt;=$U$1,对接源_01水果!$B588&lt;=$U$2),1,0)</f>
        <v>0</v>
      </c>
    </row>
    <row r="589">
      <c r="U589">
        <f>N(U588)+IF(AND($B$2&lt;&gt;"",对接源_01水果!$AH589=$B$2,对接源_01水果!$B589&gt;=$U$1,对接源_01水果!$B589&lt;=$U$2),1,0)</f>
        <v>0</v>
      </c>
    </row>
    <row r="590">
      <c r="U590">
        <f>N(U589)+IF(AND($B$2&lt;&gt;"",对接源_01水果!$AH590=$B$2,对接源_01水果!$B590&gt;=$U$1,对接源_01水果!$B590&lt;=$U$2),1,0)</f>
        <v>0</v>
      </c>
    </row>
    <row r="591">
      <c r="U591">
        <f>N(U590)+IF(AND($B$2&lt;&gt;"",对接源_01水果!$AH591=$B$2,对接源_01水果!$B591&gt;=$U$1,对接源_01水果!$B591&lt;=$U$2),1,0)</f>
        <v>0</v>
      </c>
    </row>
    <row r="592">
      <c r="U592">
        <f>N(U591)+IF(AND($B$2&lt;&gt;"",对接源_01水果!$AH592=$B$2,对接源_01水果!$B592&gt;=$U$1,对接源_01水果!$B592&lt;=$U$2),1,0)</f>
        <v>0</v>
      </c>
    </row>
    <row r="593">
      <c r="U593">
        <f>N(U592)+IF(AND($B$2&lt;&gt;"",对接源_01水果!$AH593=$B$2,对接源_01水果!$B593&gt;=$U$1,对接源_01水果!$B593&lt;=$U$2),1,0)</f>
        <v>0</v>
      </c>
    </row>
    <row r="594">
      <c r="U594">
        <f>N(U593)+IF(AND($B$2&lt;&gt;"",对接源_01水果!$AH594=$B$2,对接源_01水果!$B594&gt;=$U$1,对接源_01水果!$B594&lt;=$U$2),1,0)</f>
        <v>0</v>
      </c>
    </row>
    <row r="595">
      <c r="U595">
        <f>N(U594)+IF(AND($B$2&lt;&gt;"",对接源_01水果!$AH595=$B$2,对接源_01水果!$B595&gt;=$U$1,对接源_01水果!$B595&lt;=$U$2),1,0)</f>
        <v>0</v>
      </c>
    </row>
    <row r="596">
      <c r="U596">
        <f>N(U595)+IF(AND($B$2&lt;&gt;"",对接源_01水果!$AH596=$B$2,对接源_01水果!$B596&gt;=$U$1,对接源_01水果!$B596&lt;=$U$2),1,0)</f>
        <v>0</v>
      </c>
    </row>
    <row r="597">
      <c r="U597">
        <f>N(U596)+IF(AND($B$2&lt;&gt;"",对接源_01水果!$AH597=$B$2,对接源_01水果!$B597&gt;=$U$1,对接源_01水果!$B597&lt;=$U$2),1,0)</f>
        <v>0</v>
      </c>
    </row>
    <row r="598">
      <c r="U598">
        <f>N(U597)+IF(AND($B$2&lt;&gt;"",对接源_01水果!$AH598=$B$2,对接源_01水果!$B598&gt;=$U$1,对接源_01水果!$B598&lt;=$U$2),1,0)</f>
        <v>0</v>
      </c>
    </row>
    <row r="599">
      <c r="U599">
        <f>N(U598)+IF(AND($B$2&lt;&gt;"",对接源_01水果!$AH599=$B$2,对接源_01水果!$B599&gt;=$U$1,对接源_01水果!$B599&lt;=$U$2),1,0)</f>
        <v>0</v>
      </c>
    </row>
    <row r="600">
      <c r="U600">
        <f>N(U599)+IF(AND($B$2&lt;&gt;"",对接源_01水果!$AH600=$B$2,对接源_01水果!$B600&gt;=$U$1,对接源_01水果!$B600&lt;=$U$2),1,0)</f>
        <v>0</v>
      </c>
    </row>
    <row r="601">
      <c r="U601">
        <f>N(U600)+IF(AND($B$2&lt;&gt;"",对接源_01水果!$AH601=$B$2,对接源_01水果!$B601&gt;=$U$1,对接源_01水果!$B601&lt;=$U$2),1,0)</f>
        <v>0</v>
      </c>
    </row>
    <row r="602">
      <c r="U602">
        <f>N(U601)+IF(AND($B$2&lt;&gt;"",对接源_01水果!$AH602=$B$2,对接源_01水果!$B602&gt;=$U$1,对接源_01水果!$B602&lt;=$U$2),1,0)</f>
        <v>0</v>
      </c>
    </row>
    <row r="603">
      <c r="U603">
        <f>N(U602)+IF(AND($B$2&lt;&gt;"",对接源_01水果!$AH603=$B$2,对接源_01水果!$B603&gt;=$U$1,对接源_01水果!$B603&lt;=$U$2),1,0)</f>
        <v>0</v>
      </c>
    </row>
    <row r="604">
      <c r="U604">
        <f>N(U603)+IF(AND($B$2&lt;&gt;"",对接源_01水果!$AH604=$B$2,对接源_01水果!$B604&gt;=$U$1,对接源_01水果!$B604&lt;=$U$2),1,0)</f>
        <v>0</v>
      </c>
    </row>
    <row r="605">
      <c r="U605">
        <f>N(U604)+IF(AND($B$2&lt;&gt;"",对接源_01水果!$AH605=$B$2,对接源_01水果!$B605&gt;=$U$1,对接源_01水果!$B605&lt;=$U$2),1,0)</f>
        <v>0</v>
      </c>
    </row>
    <row r="606">
      <c r="U606">
        <f>N(U605)+IF(AND($B$2&lt;&gt;"",对接源_01水果!$AH606=$B$2,对接源_01水果!$B606&gt;=$U$1,对接源_01水果!$B606&lt;=$U$2),1,0)</f>
        <v>0</v>
      </c>
    </row>
    <row r="607">
      <c r="U607">
        <f>N(U606)+IF(AND($B$2&lt;&gt;"",对接源_01水果!$AH607=$B$2,对接源_01水果!$B607&gt;=$U$1,对接源_01水果!$B607&lt;=$U$2),1,0)</f>
        <v>0</v>
      </c>
    </row>
    <row r="608">
      <c r="U608">
        <f>N(U607)+IF(AND($B$2&lt;&gt;"",对接源_01水果!$AH608=$B$2,对接源_01水果!$B608&gt;=$U$1,对接源_01水果!$B608&lt;=$U$2),1,0)</f>
        <v>0</v>
      </c>
    </row>
    <row r="609">
      <c r="U609">
        <f>N(U608)+IF(AND($B$2&lt;&gt;"",对接源_01水果!$AH609=$B$2,对接源_01水果!$B609&gt;=$U$1,对接源_01水果!$B609&lt;=$U$2),1,0)</f>
        <v>0</v>
      </c>
    </row>
    <row r="610">
      <c r="U610">
        <f>N(U609)+IF(AND($B$2&lt;&gt;"",对接源_01水果!$AH610=$B$2,对接源_01水果!$B610&gt;=$U$1,对接源_01水果!$B610&lt;=$U$2),1,0)</f>
        <v>0</v>
      </c>
    </row>
    <row r="611">
      <c r="U611">
        <f>N(U610)+IF(AND($B$2&lt;&gt;"",对接源_01水果!$AH611=$B$2,对接源_01水果!$B611&gt;=$U$1,对接源_01水果!$B611&lt;=$U$2),1,0)</f>
        <v>0</v>
      </c>
    </row>
    <row r="612">
      <c r="U612">
        <f>N(U611)+IF(AND($B$2&lt;&gt;"",对接源_01水果!$AH612=$B$2,对接源_01水果!$B612&gt;=$U$1,对接源_01水果!$B612&lt;=$U$2),1,0)</f>
        <v>0</v>
      </c>
    </row>
    <row r="613">
      <c r="U613">
        <f>N(U612)+IF(AND($B$2&lt;&gt;"",对接源_01水果!$AH613=$B$2,对接源_01水果!$B613&gt;=$U$1,对接源_01水果!$B613&lt;=$U$2),1,0)</f>
        <v>0</v>
      </c>
    </row>
    <row r="614">
      <c r="U614">
        <f>N(U613)+IF(AND($B$2&lt;&gt;"",对接源_01水果!$AH614=$B$2,对接源_01水果!$B614&gt;=$U$1,对接源_01水果!$B614&lt;=$U$2),1,0)</f>
        <v>0</v>
      </c>
    </row>
    <row r="615">
      <c r="U615">
        <f>N(U614)+IF(AND($B$2&lt;&gt;"",对接源_01水果!$AH615=$B$2,对接源_01水果!$B615&gt;=$U$1,对接源_01水果!$B615&lt;=$U$2),1,0)</f>
        <v>0</v>
      </c>
    </row>
    <row r="616">
      <c r="U616">
        <f>N(U615)+IF(AND($B$2&lt;&gt;"",对接源_01水果!$AH616=$B$2,对接源_01水果!$B616&gt;=$U$1,对接源_01水果!$B616&lt;=$U$2),1,0)</f>
        <v>0</v>
      </c>
    </row>
    <row r="617">
      <c r="U617">
        <f>N(U616)+IF(AND($B$2&lt;&gt;"",对接源_01水果!$AH617=$B$2,对接源_01水果!$B617&gt;=$U$1,对接源_01水果!$B617&lt;=$U$2),1,0)</f>
        <v>0</v>
      </c>
    </row>
    <row r="618">
      <c r="U618">
        <f>N(U617)+IF(AND($B$2&lt;&gt;"",对接源_01水果!$AH618=$B$2,对接源_01水果!$B618&gt;=$U$1,对接源_01水果!$B618&lt;=$U$2),1,0)</f>
        <v>0</v>
      </c>
    </row>
    <row r="619">
      <c r="U619">
        <f>N(U618)+IF(AND($B$2&lt;&gt;"",对接源_01水果!$AH619=$B$2,对接源_01水果!$B619&gt;=$U$1,对接源_01水果!$B619&lt;=$U$2),1,0)</f>
        <v>0</v>
      </c>
    </row>
    <row r="620">
      <c r="U620">
        <f>N(U619)+IF(AND($B$2&lt;&gt;"",对接源_01水果!$AH620=$B$2,对接源_01水果!$B620&gt;=$U$1,对接源_01水果!$B620&lt;=$U$2),1,0)</f>
        <v>0</v>
      </c>
    </row>
    <row r="621">
      <c r="U621">
        <f>N(U620)+IF(AND($B$2&lt;&gt;"",对接源_01水果!$AH621=$B$2,对接源_01水果!$B621&gt;=$U$1,对接源_01水果!$B621&lt;=$U$2),1,0)</f>
        <v>0</v>
      </c>
    </row>
    <row r="622">
      <c r="U622">
        <f>N(U621)+IF(AND($B$2&lt;&gt;"",对接源_01水果!$AH622=$B$2,对接源_01水果!$B622&gt;=$U$1,对接源_01水果!$B622&lt;=$U$2),1,0)</f>
        <v>0</v>
      </c>
    </row>
    <row r="623">
      <c r="U623">
        <f>N(U622)+IF(AND($B$2&lt;&gt;"",对接源_01水果!$AH623=$B$2,对接源_01水果!$B623&gt;=$U$1,对接源_01水果!$B623&lt;=$U$2),1,0)</f>
        <v>0</v>
      </c>
    </row>
    <row r="624">
      <c r="U624">
        <f>N(U623)+IF(AND($B$2&lt;&gt;"",对接源_01水果!$AH624=$B$2,对接源_01水果!$B624&gt;=$U$1,对接源_01水果!$B624&lt;=$U$2),1,0)</f>
        <v>0</v>
      </c>
    </row>
    <row r="625">
      <c r="U625">
        <f>N(U624)+IF(AND($B$2&lt;&gt;"",对接源_01水果!$AH625=$B$2,对接源_01水果!$B625&gt;=$U$1,对接源_01水果!$B625&lt;=$U$2),1,0)</f>
        <v>0</v>
      </c>
    </row>
    <row r="626">
      <c r="U626">
        <f>N(U625)+IF(AND($B$2&lt;&gt;"",对接源_01水果!$AH626=$B$2,对接源_01水果!$B626&gt;=$U$1,对接源_01水果!$B626&lt;=$U$2),1,0)</f>
        <v>0</v>
      </c>
    </row>
    <row r="627">
      <c r="U627">
        <f>N(U626)+IF(AND($B$2&lt;&gt;"",对接源_01水果!$AH627=$B$2,对接源_01水果!$B627&gt;=$U$1,对接源_01水果!$B627&lt;=$U$2),1,0)</f>
        <v>0</v>
      </c>
    </row>
    <row r="628">
      <c r="U628">
        <f>N(U627)+IF(AND($B$2&lt;&gt;"",对接源_01水果!$AH628=$B$2,对接源_01水果!$B628&gt;=$U$1,对接源_01水果!$B628&lt;=$U$2),1,0)</f>
        <v>0</v>
      </c>
    </row>
    <row r="629">
      <c r="U629">
        <f>N(U628)+IF(AND($B$2&lt;&gt;"",对接源_01水果!$AH629=$B$2,对接源_01水果!$B629&gt;=$U$1,对接源_01水果!$B629&lt;=$U$2),1,0)</f>
        <v>0</v>
      </c>
    </row>
    <row r="630">
      <c r="U630">
        <f>N(U629)+IF(AND($B$2&lt;&gt;"",对接源_01水果!$AH630=$B$2,对接源_01水果!$B630&gt;=$U$1,对接源_01水果!$B630&lt;=$U$2),1,0)</f>
        <v>0</v>
      </c>
    </row>
    <row r="631">
      <c r="U631">
        <f>N(U630)+IF(AND($B$2&lt;&gt;"",对接源_01水果!$AH631=$B$2,对接源_01水果!$B631&gt;=$U$1,对接源_01水果!$B631&lt;=$U$2),1,0)</f>
        <v>0</v>
      </c>
    </row>
    <row r="632">
      <c r="U632">
        <f>N(U631)+IF(AND($B$2&lt;&gt;"",对接源_01水果!$AH632=$B$2,对接源_01水果!$B632&gt;=$U$1,对接源_01水果!$B632&lt;=$U$2),1,0)</f>
        <v>1</v>
      </c>
    </row>
    <row r="633">
      <c r="U633">
        <f>N(U632)+IF(AND($B$2&lt;&gt;"",对接源_01水果!$AH633=$B$2,对接源_01水果!$B633&gt;=$U$1,对接源_01水果!$B633&lt;=$U$2),1,0)</f>
        <v>2</v>
      </c>
    </row>
    <row r="634">
      <c r="U634">
        <f>N(U633)+IF(AND($B$2&lt;&gt;"",对接源_01水果!$AH634=$B$2,对接源_01水果!$B634&gt;=$U$1,对接源_01水果!$B634&lt;=$U$2),1,0)</f>
        <v>2</v>
      </c>
    </row>
    <row r="635">
      <c r="U635">
        <f>N(U634)+IF(AND($B$2&lt;&gt;"",对接源_01水果!$AH635=$B$2,对接源_01水果!$B635&gt;=$U$1,对接源_01水果!$B635&lt;=$U$2),1,0)</f>
        <v>2</v>
      </c>
    </row>
    <row r="636">
      <c r="U636">
        <f>N(U635)+IF(AND($B$2&lt;&gt;"",对接源_01水果!$AH636=$B$2,对接源_01水果!$B636&gt;=$U$1,对接源_01水果!$B636&lt;=$U$2),1,0)</f>
        <v>3</v>
      </c>
    </row>
    <row r="637">
      <c r="U637">
        <f>N(U636)+IF(AND($B$2&lt;&gt;"",对接源_01水果!$AH637=$B$2,对接源_01水果!$B637&gt;=$U$1,对接源_01水果!$B637&lt;=$U$2),1,0)</f>
        <v>4</v>
      </c>
    </row>
    <row r="638">
      <c r="U638">
        <f>N(U637)+IF(AND($B$2&lt;&gt;"",对接源_01水果!$AH638=$B$2,对接源_01水果!$B638&gt;=$U$1,对接源_01水果!$B638&lt;=$U$2),1,0)</f>
        <v>5</v>
      </c>
    </row>
    <row r="639">
      <c r="U639">
        <f>N(U638)+IF(AND($B$2&lt;&gt;"",对接源_01水果!$AH639=$B$2,对接源_01水果!$B639&gt;=$U$1,对接源_01水果!$B639&lt;=$U$2),1,0)</f>
        <v>6</v>
      </c>
    </row>
    <row r="640">
      <c r="U640">
        <f>N(U639)+IF(AND($B$2&lt;&gt;"",对接源_01水果!$AH640=$B$2,对接源_01水果!$B640&gt;=$U$1,对接源_01水果!$B640&lt;=$U$2),1,0)</f>
        <v>6</v>
      </c>
    </row>
    <row r="641">
      <c r="U641">
        <f>N(U640)+IF(AND($B$2&lt;&gt;"",对接源_01水果!$AH641=$B$2,对接源_01水果!$B641&gt;=$U$1,对接源_01水果!$B641&lt;=$U$2),1,0)</f>
        <v>6</v>
      </c>
    </row>
    <row r="642">
      <c r="U642">
        <f>N(U641)+IF(AND($B$2&lt;&gt;"",对接源_01水果!$AH642=$B$2,对接源_01水果!$B642&gt;=$U$1,对接源_01水果!$B642&lt;=$U$2),1,0)</f>
        <v>6</v>
      </c>
    </row>
    <row r="643">
      <c r="U643">
        <f>N(U642)+IF(AND($B$2&lt;&gt;"",对接源_01水果!$AH643=$B$2,对接源_01水果!$B643&gt;=$U$1,对接源_01水果!$B643&lt;=$U$2),1,0)</f>
        <v>6</v>
      </c>
    </row>
    <row r="644">
      <c r="U644">
        <f>N(U643)+IF(AND($B$2&lt;&gt;"",对接源_01水果!$AH644=$B$2,对接源_01水果!$B644&gt;=$U$1,对接源_01水果!$B644&lt;=$U$2),1,0)</f>
        <v>6</v>
      </c>
    </row>
    <row r="645">
      <c r="U645">
        <f>N(U644)+IF(AND($B$2&lt;&gt;"",对接源_01水果!$AH645=$B$2,对接源_01水果!$B645&gt;=$U$1,对接源_01水果!$B645&lt;=$U$2),1,0)</f>
        <v>6</v>
      </c>
    </row>
    <row r="646">
      <c r="U646">
        <f>N(U645)+IF(AND($B$2&lt;&gt;"",对接源_01水果!$AH646=$B$2,对接源_01水果!$B646&gt;=$U$1,对接源_01水果!$B646&lt;=$U$2),1,0)</f>
        <v>6</v>
      </c>
    </row>
    <row r="647">
      <c r="U647">
        <f>N(U646)+IF(AND($B$2&lt;&gt;"",对接源_01水果!$AH647=$B$2,对接源_01水果!$B647&gt;=$U$1,对接源_01水果!$B647&lt;=$U$2),1,0)</f>
        <v>6</v>
      </c>
    </row>
    <row r="648">
      <c r="U648">
        <f>N(U647)+IF(AND($B$2&lt;&gt;"",对接源_01水果!$AH648=$B$2,对接源_01水果!$B648&gt;=$U$1,对接源_01水果!$B648&lt;=$U$2),1,0)</f>
        <v>6</v>
      </c>
    </row>
    <row r="649">
      <c r="U649">
        <f>N(U648)+IF(AND($B$2&lt;&gt;"",对接源_01水果!$AH649=$B$2,对接源_01水果!$B649&gt;=$U$1,对接源_01水果!$B649&lt;=$U$2),1,0)</f>
        <v>6</v>
      </c>
    </row>
    <row r="650">
      <c r="U650">
        <f>N(U649)+IF(AND($B$2&lt;&gt;"",对接源_01水果!$AH650=$B$2,对接源_01水果!$B650&gt;=$U$1,对接源_01水果!$B650&lt;=$U$2),1,0)</f>
        <v>6</v>
      </c>
    </row>
    <row r="651">
      <c r="U651">
        <f>N(U650)+IF(AND($B$2&lt;&gt;"",对接源_01水果!$AH651=$B$2,对接源_01水果!$B651&gt;=$U$1,对接源_01水果!$B651&lt;=$U$2),1,0)</f>
        <v>6</v>
      </c>
    </row>
    <row r="652">
      <c r="U652">
        <f>N(U651)+IF(AND($B$2&lt;&gt;"",对接源_01水果!$AH652=$B$2,对接源_01水果!$B652&gt;=$U$1,对接源_01水果!$B652&lt;=$U$2),1,0)</f>
        <v>6</v>
      </c>
    </row>
    <row r="653">
      <c r="U653">
        <f>N(U652)+IF(AND($B$2&lt;&gt;"",对接源_01水果!$AH653=$B$2,对接源_01水果!$B653&gt;=$U$1,对接源_01水果!$B653&lt;=$U$2),1,0)</f>
        <v>6</v>
      </c>
    </row>
    <row r="654">
      <c r="U654">
        <f>N(U653)+IF(AND($B$2&lt;&gt;"",对接源_01水果!$AH654=$B$2,对接源_01水果!$B654&gt;=$U$1,对接源_01水果!$B654&lt;=$U$2),1,0)</f>
        <v>6</v>
      </c>
    </row>
    <row r="655">
      <c r="U655">
        <f>N(U654)+IF(AND($B$2&lt;&gt;"",对接源_01水果!$AH655=$B$2,对接源_01水果!$B655&gt;=$U$1,对接源_01水果!$B655&lt;=$U$2),1,0)</f>
        <v>6</v>
      </c>
    </row>
    <row r="656">
      <c r="U656">
        <f>N(U655)+IF(AND($B$2&lt;&gt;"",对接源_01水果!$AH656=$B$2,对接源_01水果!$B656&gt;=$U$1,对接源_01水果!$B656&lt;=$U$2),1,0)</f>
        <v>6</v>
      </c>
    </row>
    <row r="657">
      <c r="U657">
        <f>N(U656)+IF(AND($B$2&lt;&gt;"",对接源_01水果!$AH657=$B$2,对接源_01水果!$B657&gt;=$U$1,对接源_01水果!$B657&lt;=$U$2),1,0)</f>
        <v>6</v>
      </c>
    </row>
    <row r="658">
      <c r="U658">
        <f>N(U657)+IF(AND($B$2&lt;&gt;"",对接源_01水果!$AH658=$B$2,对接源_01水果!$B658&gt;=$U$1,对接源_01水果!$B658&lt;=$U$2),1,0)</f>
        <v>6</v>
      </c>
    </row>
    <row r="659">
      <c r="U659">
        <f>N(U658)+IF(AND($B$2&lt;&gt;"",对接源_01水果!$AH659=$B$2,对接源_01水果!$B659&gt;=$U$1,对接源_01水果!$B659&lt;=$U$2),1,0)</f>
        <v>6</v>
      </c>
    </row>
    <row r="660">
      <c r="U660">
        <f>N(U659)+IF(AND($B$2&lt;&gt;"",对接源_01水果!$AH660=$B$2,对接源_01水果!$B660&gt;=$U$1,对接源_01水果!$B660&lt;=$U$2),1,0)</f>
        <v>6</v>
      </c>
    </row>
    <row r="661">
      <c r="U661">
        <f>N(U660)+IF(AND($B$2&lt;&gt;"",对接源_01水果!$AH661=$B$2,对接源_01水果!$B661&gt;=$U$1,对接源_01水果!$B661&lt;=$U$2),1,0)</f>
        <v>6</v>
      </c>
    </row>
    <row r="662">
      <c r="U662">
        <f>N(U661)+IF(AND($B$2&lt;&gt;"",对接源_01水果!$AH662=$B$2,对接源_01水果!$B662&gt;=$U$1,对接源_01水果!$B662&lt;=$U$2),1,0)</f>
        <v>6</v>
      </c>
    </row>
    <row r="663">
      <c r="U663">
        <f>N(U662)+IF(AND($B$2&lt;&gt;"",对接源_01水果!$AH663=$B$2,对接源_01水果!$B663&gt;=$U$1,对接源_01水果!$B663&lt;=$U$2),1,0)</f>
        <v>6</v>
      </c>
    </row>
    <row r="664">
      <c r="U664">
        <f>N(U663)+IF(AND($B$2&lt;&gt;"",对接源_01水果!$AH664=$B$2,对接源_01水果!$B664&gt;=$U$1,对接源_01水果!$B664&lt;=$U$2),1,0)</f>
        <v>6</v>
      </c>
    </row>
    <row r="665">
      <c r="U665">
        <f>N(U664)+IF(AND($B$2&lt;&gt;"",对接源_01水果!$AH665=$B$2,对接源_01水果!$B665&gt;=$U$1,对接源_01水果!$B665&lt;=$U$2),1,0)</f>
        <v>6</v>
      </c>
    </row>
    <row r="666">
      <c r="U666">
        <f>N(U665)+IF(AND($B$2&lt;&gt;"",对接源_01水果!$AH666=$B$2,对接源_01水果!$B666&gt;=$U$1,对接源_01水果!$B666&lt;=$U$2),1,0)</f>
        <v>6</v>
      </c>
    </row>
    <row r="667">
      <c r="U667">
        <f>N(U666)+IF(AND($B$2&lt;&gt;"",对接源_01水果!$AH667=$B$2,对接源_01水果!$B667&gt;=$U$1,对接源_01水果!$B667&lt;=$U$2),1,0)</f>
        <v>6</v>
      </c>
    </row>
    <row r="668">
      <c r="U668">
        <f>N(U667)+IF(AND($B$2&lt;&gt;"",对接源_01水果!$AH668=$B$2,对接源_01水果!$B668&gt;=$U$1,对接源_01水果!$B668&lt;=$U$2),1,0)</f>
        <v>6</v>
      </c>
    </row>
    <row r="669">
      <c r="U669">
        <f>N(U668)+IF(AND($B$2&lt;&gt;"",对接源_01水果!$AH669=$B$2,对接源_01水果!$B669&gt;=$U$1,对接源_01水果!$B669&lt;=$U$2),1,0)</f>
        <v>6</v>
      </c>
    </row>
    <row r="670">
      <c r="U670">
        <f>N(U669)+IF(AND($B$2&lt;&gt;"",对接源_01水果!$AH670=$B$2,对接源_01水果!$B670&gt;=$U$1,对接源_01水果!$B670&lt;=$U$2),1,0)</f>
        <v>6</v>
      </c>
    </row>
    <row r="671">
      <c r="U671">
        <f>N(U670)+IF(AND($B$2&lt;&gt;"",对接源_01水果!$AH671=$B$2,对接源_01水果!$B671&gt;=$U$1,对接源_01水果!$B671&lt;=$U$2),1,0)</f>
        <v>6</v>
      </c>
    </row>
    <row r="672">
      <c r="U672">
        <f>N(U671)+IF(AND($B$2&lt;&gt;"",对接源_01水果!$AH672=$B$2,对接源_01水果!$B672&gt;=$U$1,对接源_01水果!$B672&lt;=$U$2),1,0)</f>
        <v>6</v>
      </c>
    </row>
    <row r="673">
      <c r="U673">
        <f>N(U672)+IF(AND($B$2&lt;&gt;"",对接源_01水果!$AH673=$B$2,对接源_01水果!$B673&gt;=$U$1,对接源_01水果!$B673&lt;=$U$2),1,0)</f>
        <v>6</v>
      </c>
    </row>
    <row r="674">
      <c r="U674">
        <f>N(U673)+IF(AND($B$2&lt;&gt;"",对接源_01水果!$AH674=$B$2,对接源_01水果!$B674&gt;=$U$1,对接源_01水果!$B674&lt;=$U$2),1,0)</f>
        <v>6</v>
      </c>
    </row>
    <row r="675">
      <c r="U675">
        <f>N(U674)+IF(AND($B$2&lt;&gt;"",对接源_01水果!$AH675=$B$2,对接源_01水果!$B675&gt;=$U$1,对接源_01水果!$B675&lt;=$U$2),1,0)</f>
        <v>6</v>
      </c>
    </row>
    <row r="676">
      <c r="U676">
        <f>N(U675)+IF(AND($B$2&lt;&gt;"",对接源_01水果!$AH676=$B$2,对接源_01水果!$B676&gt;=$U$1,对接源_01水果!$B676&lt;=$U$2),1,0)</f>
        <v>6</v>
      </c>
    </row>
    <row r="677">
      <c r="U677">
        <f>N(U676)+IF(AND($B$2&lt;&gt;"",对接源_01水果!$AH677=$B$2,对接源_01水果!$B677&gt;=$U$1,对接源_01水果!$B677&lt;=$U$2),1,0)</f>
        <v>6</v>
      </c>
    </row>
    <row r="678">
      <c r="U678">
        <f>N(U677)+IF(AND($B$2&lt;&gt;"",对接源_01水果!$AH678=$B$2,对接源_01水果!$B678&gt;=$U$1,对接源_01水果!$B678&lt;=$U$2),1,0)</f>
        <v>6</v>
      </c>
    </row>
    <row r="679">
      <c r="U679">
        <f>N(U678)+IF(AND($B$2&lt;&gt;"",对接源_01水果!$AH679=$B$2,对接源_01水果!$B679&gt;=$U$1,对接源_01水果!$B679&lt;=$U$2),1,0)</f>
        <v>6</v>
      </c>
    </row>
    <row r="680">
      <c r="U680">
        <f>N(U679)+IF(AND($B$2&lt;&gt;"",对接源_01水果!$AH680=$B$2,对接源_01水果!$B680&gt;=$U$1,对接源_01水果!$B680&lt;=$U$2),1,0)</f>
        <v>6</v>
      </c>
    </row>
    <row r="681">
      <c r="U681">
        <f>N(U680)+IF(AND($B$2&lt;&gt;"",对接源_01水果!$AH681=$B$2,对接源_01水果!$B681&gt;=$U$1,对接源_01水果!$B681&lt;=$U$2),1,0)</f>
        <v>6</v>
      </c>
    </row>
    <row r="682">
      <c r="U682">
        <f>N(U681)+IF(AND($B$2&lt;&gt;"",对接源_01水果!$AH682=$B$2,对接源_01水果!$B682&gt;=$U$1,对接源_01水果!$B682&lt;=$U$2),1,0)</f>
        <v>6</v>
      </c>
    </row>
    <row r="683">
      <c r="U683">
        <f>N(U682)+IF(AND($B$2&lt;&gt;"",对接源_01水果!$AH683=$B$2,对接源_01水果!$B683&gt;=$U$1,对接源_01水果!$B683&lt;=$U$2),1,0)</f>
        <v>6</v>
      </c>
    </row>
    <row r="684">
      <c r="U684">
        <f>N(U683)+IF(AND($B$2&lt;&gt;"",对接源_01水果!$AH684=$B$2,对接源_01水果!$B684&gt;=$U$1,对接源_01水果!$B684&lt;=$U$2),1,0)</f>
        <v>6</v>
      </c>
    </row>
    <row r="685">
      <c r="U685">
        <f>N(U684)+IF(AND($B$2&lt;&gt;"",对接源_01水果!$AH685=$B$2,对接源_01水果!$B685&gt;=$U$1,对接源_01水果!$B685&lt;=$U$2),1,0)</f>
        <v>6</v>
      </c>
    </row>
    <row r="686">
      <c r="U686">
        <f>N(U685)+IF(AND($B$2&lt;&gt;"",对接源_01水果!$AH686=$B$2,对接源_01水果!$B686&gt;=$U$1,对接源_01水果!$B686&lt;=$U$2),1,0)</f>
        <v>6</v>
      </c>
    </row>
    <row r="687">
      <c r="U687">
        <f>N(U686)+IF(AND($B$2&lt;&gt;"",对接源_01水果!$AH687=$B$2,对接源_01水果!$B687&gt;=$U$1,对接源_01水果!$B687&lt;=$U$2),1,0)</f>
        <v>6</v>
      </c>
    </row>
    <row r="688">
      <c r="U688">
        <f>N(U687)+IF(AND($B$2&lt;&gt;"",对接源_01水果!$AH688=$B$2,对接源_01水果!$B688&gt;=$U$1,对接源_01水果!$B688&lt;=$U$2),1,0)</f>
        <v>6</v>
      </c>
    </row>
    <row r="689">
      <c r="U689">
        <f>N(U688)+IF(AND($B$2&lt;&gt;"",对接源_01水果!$AH689=$B$2,对接源_01水果!$B689&gt;=$U$1,对接源_01水果!$B689&lt;=$U$2),1,0)</f>
        <v>6</v>
      </c>
    </row>
    <row r="690">
      <c r="U690">
        <f>N(U689)+IF(AND($B$2&lt;&gt;"",对接源_01水果!$AH690=$B$2,对接源_01水果!$B690&gt;=$U$1,对接源_01水果!$B690&lt;=$U$2),1,0)</f>
        <v>6</v>
      </c>
    </row>
    <row r="691">
      <c r="U691">
        <f>N(U690)+IF(AND($B$2&lt;&gt;"",对接源_01水果!$AH691=$B$2,对接源_01水果!$B691&gt;=$U$1,对接源_01水果!$B691&lt;=$U$2),1,0)</f>
        <v>6</v>
      </c>
    </row>
    <row r="692">
      <c r="U692">
        <f>N(U691)+IF(AND($B$2&lt;&gt;"",对接源_01水果!$AH692=$B$2,对接源_01水果!$B692&gt;=$U$1,对接源_01水果!$B692&lt;=$U$2),1,0)</f>
        <v>6</v>
      </c>
    </row>
    <row r="693">
      <c r="U693">
        <f>N(U692)+IF(AND($B$2&lt;&gt;"",对接源_01水果!$AH693=$B$2,对接源_01水果!$B693&gt;=$U$1,对接源_01水果!$B693&lt;=$U$2),1,0)</f>
        <v>6</v>
      </c>
    </row>
    <row r="694">
      <c r="U694">
        <f>N(U693)+IF(AND($B$2&lt;&gt;"",对接源_01水果!$AH694=$B$2,对接源_01水果!$B694&gt;=$U$1,对接源_01水果!$B694&lt;=$U$2),1,0)</f>
        <v>6</v>
      </c>
    </row>
    <row r="695">
      <c r="U695">
        <f>N(U694)+IF(AND($B$2&lt;&gt;"",对接源_01水果!$AH695=$B$2,对接源_01水果!$B695&gt;=$U$1,对接源_01水果!$B695&lt;=$U$2),1,0)</f>
        <v>6</v>
      </c>
    </row>
    <row r="696">
      <c r="U696">
        <f>N(U695)+IF(AND($B$2&lt;&gt;"",对接源_01水果!$AH696=$B$2,对接源_01水果!$B696&gt;=$U$1,对接源_01水果!$B696&lt;=$U$2),1,0)</f>
        <v>6</v>
      </c>
    </row>
    <row r="697">
      <c r="U697">
        <f>N(U696)+IF(AND($B$2&lt;&gt;"",对接源_01水果!$AH697=$B$2,对接源_01水果!$B697&gt;=$U$1,对接源_01水果!$B697&lt;=$U$2),1,0)</f>
        <v>6</v>
      </c>
    </row>
    <row r="698">
      <c r="U698">
        <f>N(U697)+IF(AND($B$2&lt;&gt;"",对接源_01水果!$AH698=$B$2,对接源_01水果!$B698&gt;=$U$1,对接源_01水果!$B698&lt;=$U$2),1,0)</f>
        <v>6</v>
      </c>
    </row>
    <row r="699">
      <c r="U699">
        <f>N(U698)+IF(AND($B$2&lt;&gt;"",对接源_01水果!$AH699=$B$2,对接源_01水果!$B699&gt;=$U$1,对接源_01水果!$B699&lt;=$U$2),1,0)</f>
        <v>6</v>
      </c>
    </row>
    <row r="700">
      <c r="U700">
        <f>N(U699)+IF(AND($B$2&lt;&gt;"",对接源_01水果!$AH700=$B$2,对接源_01水果!$B700&gt;=$U$1,对接源_01水果!$B700&lt;=$U$2),1,0)</f>
        <v>6</v>
      </c>
    </row>
    <row r="701">
      <c r="U701">
        <f>N(U700)+IF(AND($B$2&lt;&gt;"",对接源_01水果!$AH701=$B$2,对接源_01水果!$B701&gt;=$U$1,对接源_01水果!$B701&lt;=$U$2),1,0)</f>
        <v>6</v>
      </c>
    </row>
    <row r="702">
      <c r="U702">
        <f>N(U701)+IF(AND($B$2&lt;&gt;"",对接源_01水果!$AH702=$B$2,对接源_01水果!$B702&gt;=$U$1,对接源_01水果!$B702&lt;=$U$2),1,0)</f>
        <v>6</v>
      </c>
    </row>
    <row r="703">
      <c r="U703">
        <f>N(U702)+IF(AND($B$2&lt;&gt;"",对接源_01水果!$AH703=$B$2,对接源_01水果!$B703&gt;=$U$1,对接源_01水果!$B703&lt;=$U$2),1,0)</f>
        <v>6</v>
      </c>
    </row>
    <row r="704">
      <c r="U704">
        <f>N(U703)+IF(AND($B$2&lt;&gt;"",对接源_01水果!$AH704=$B$2,对接源_01水果!$B704&gt;=$U$1,对接源_01水果!$B704&lt;=$U$2),1,0)</f>
        <v>6</v>
      </c>
    </row>
    <row r="705">
      <c r="U705">
        <f>N(U704)+IF(AND($B$2&lt;&gt;"",对接源_01水果!$AH705=$B$2,对接源_01水果!$B705&gt;=$U$1,对接源_01水果!$B705&lt;=$U$2),1,0)</f>
        <v>6</v>
      </c>
    </row>
    <row r="706">
      <c r="U706">
        <f>N(U705)+IF(AND($B$2&lt;&gt;"",对接源_01水果!$AH706=$B$2,对接源_01水果!$B706&gt;=$U$1,对接源_01水果!$B706&lt;=$U$2),1,0)</f>
        <v>6</v>
      </c>
    </row>
    <row r="707">
      <c r="U707">
        <f>N(U706)+IF(AND($B$2&lt;&gt;"",对接源_01水果!$AH707=$B$2,对接源_01水果!$B707&gt;=$U$1,对接源_01水果!$B707&lt;=$U$2),1,0)</f>
        <v>6</v>
      </c>
    </row>
    <row r="708">
      <c r="U708">
        <f>N(U707)+IF(AND($B$2&lt;&gt;"",对接源_01水果!$AH708=$B$2,对接源_01水果!$B708&gt;=$U$1,对接源_01水果!$B708&lt;=$U$2),1,0)</f>
        <v>6</v>
      </c>
    </row>
    <row r="709">
      <c r="U709">
        <f>N(U708)+IF(AND($B$2&lt;&gt;"",对接源_01水果!$AH709=$B$2,对接源_01水果!$B709&gt;=$U$1,对接源_01水果!$B709&lt;=$U$2),1,0)</f>
        <v>6</v>
      </c>
    </row>
    <row r="710">
      <c r="U710">
        <f>N(U709)+IF(AND($B$2&lt;&gt;"",对接源_01水果!$AH710=$B$2,对接源_01水果!$B710&gt;=$U$1,对接源_01水果!$B710&lt;=$U$2),1,0)</f>
        <v>6</v>
      </c>
    </row>
    <row r="711">
      <c r="U711">
        <f>N(U710)+IF(AND($B$2&lt;&gt;"",对接源_01水果!$AH711=$B$2,对接源_01水果!$B711&gt;=$U$1,对接源_01水果!$B711&lt;=$U$2),1,0)</f>
        <v>6</v>
      </c>
    </row>
    <row r="712">
      <c r="U712">
        <f>N(U711)+IF(AND($B$2&lt;&gt;"",对接源_01水果!$AH712=$B$2,对接源_01水果!$B712&gt;=$U$1,对接源_01水果!$B712&lt;=$U$2),1,0)</f>
        <v>6</v>
      </c>
    </row>
    <row r="713">
      <c r="U713">
        <f>N(U712)+IF(AND($B$2&lt;&gt;"",对接源_01水果!$AH713=$B$2,对接源_01水果!$B713&gt;=$U$1,对接源_01水果!$B713&lt;=$U$2),1,0)</f>
        <v>6</v>
      </c>
    </row>
    <row r="714">
      <c r="U714">
        <f>N(U713)+IF(AND($B$2&lt;&gt;"",对接源_01水果!$AH714=$B$2,对接源_01水果!$B714&gt;=$U$1,对接源_01水果!$B714&lt;=$U$2),1,0)</f>
        <v>6</v>
      </c>
    </row>
    <row r="715">
      <c r="U715">
        <f>N(U714)+IF(AND($B$2&lt;&gt;"",对接源_01水果!$AH715=$B$2,对接源_01水果!$B715&gt;=$U$1,对接源_01水果!$B715&lt;=$U$2),1,0)</f>
        <v>6</v>
      </c>
    </row>
    <row r="716">
      <c r="U716">
        <f>N(U715)+IF(AND($B$2&lt;&gt;"",对接源_01水果!$AH716=$B$2,对接源_01水果!$B716&gt;=$U$1,对接源_01水果!$B716&lt;=$U$2),1,0)</f>
        <v>6</v>
      </c>
    </row>
    <row r="717">
      <c r="U717">
        <f>N(U716)+IF(AND($B$2&lt;&gt;"",对接源_01水果!$AH717=$B$2,对接源_01水果!$B717&gt;=$U$1,对接源_01水果!$B717&lt;=$U$2),1,0)</f>
        <v>6</v>
      </c>
    </row>
    <row r="718">
      <c r="U718">
        <f>N(U717)+IF(AND($B$2&lt;&gt;"",对接源_01水果!$AH718=$B$2,对接源_01水果!$B718&gt;=$U$1,对接源_01水果!$B718&lt;=$U$2),1,0)</f>
        <v>6</v>
      </c>
    </row>
    <row r="719">
      <c r="U719">
        <f>N(U718)+IF(AND($B$2&lt;&gt;"",对接源_01水果!$AH719=$B$2,对接源_01水果!$B719&gt;=$U$1,对接源_01水果!$B719&lt;=$U$2),1,0)</f>
        <v>6</v>
      </c>
    </row>
    <row r="720">
      <c r="U720">
        <f>N(U719)+IF(AND($B$2&lt;&gt;"",对接源_01水果!$AH720=$B$2,对接源_01水果!$B720&gt;=$U$1,对接源_01水果!$B720&lt;=$U$2),1,0)</f>
        <v>6</v>
      </c>
    </row>
    <row r="721">
      <c r="U721">
        <f>N(U720)+IF(AND($B$2&lt;&gt;"",对接源_01水果!$AH721=$B$2,对接源_01水果!$B721&gt;=$U$1,对接源_01水果!$B721&lt;=$U$2),1,0)</f>
        <v>6</v>
      </c>
    </row>
    <row r="722">
      <c r="U722">
        <f>N(U721)+IF(AND($B$2&lt;&gt;"",对接源_01水果!$AH722=$B$2,对接源_01水果!$B722&gt;=$U$1,对接源_01水果!$B722&lt;=$U$2),1,0)</f>
        <v>6</v>
      </c>
    </row>
    <row r="723">
      <c r="U723">
        <f>N(U722)+IF(AND($B$2&lt;&gt;"",对接源_01水果!$AH723=$B$2,对接源_01水果!$B723&gt;=$U$1,对接源_01水果!$B723&lt;=$U$2),1,0)</f>
        <v>6</v>
      </c>
    </row>
    <row r="724">
      <c r="U724">
        <f>N(U723)+IF(AND($B$2&lt;&gt;"",对接源_01水果!$AH724=$B$2,对接源_01水果!$B724&gt;=$U$1,对接源_01水果!$B724&lt;=$U$2),1,0)</f>
        <v>6</v>
      </c>
    </row>
    <row r="725">
      <c r="U725">
        <f>N(U724)+IF(AND($B$2&lt;&gt;"",对接源_01水果!$AH725=$B$2,对接源_01水果!$B725&gt;=$U$1,对接源_01水果!$B725&lt;=$U$2),1,0)</f>
        <v>6</v>
      </c>
    </row>
    <row r="726">
      <c r="U726">
        <f>N(U725)+IF(AND($B$2&lt;&gt;"",对接源_01水果!$AH726=$B$2,对接源_01水果!$B726&gt;=$U$1,对接源_01水果!$B726&lt;=$U$2),1,0)</f>
        <v>6</v>
      </c>
    </row>
    <row r="727">
      <c r="U727">
        <f>N(U726)+IF(AND($B$2&lt;&gt;"",对接源_01水果!$AH727=$B$2,对接源_01水果!$B727&gt;=$U$1,对接源_01水果!$B727&lt;=$U$2),1,0)</f>
        <v>6</v>
      </c>
    </row>
    <row r="728">
      <c r="U728">
        <f>N(U727)+IF(AND($B$2&lt;&gt;"",对接源_01水果!$AH728=$B$2,对接源_01水果!$B728&gt;=$U$1,对接源_01水果!$B728&lt;=$U$2),1,0)</f>
        <v>6</v>
      </c>
    </row>
    <row r="729">
      <c r="U729">
        <f>N(U728)+IF(AND($B$2&lt;&gt;"",对接源_01水果!$AH729=$B$2,对接源_01水果!$B729&gt;=$U$1,对接源_01水果!$B729&lt;=$U$2),1,0)</f>
        <v>6</v>
      </c>
    </row>
    <row r="730">
      <c r="U730">
        <f>N(U729)+IF(AND($B$2&lt;&gt;"",对接源_01水果!$AH730=$B$2,对接源_01水果!$B730&gt;=$U$1,对接源_01水果!$B730&lt;=$U$2),1,0)</f>
        <v>6</v>
      </c>
    </row>
    <row r="731">
      <c r="U731">
        <f>N(U730)+IF(AND($B$2&lt;&gt;"",对接源_01水果!$AH731=$B$2,对接源_01水果!$B731&gt;=$U$1,对接源_01水果!$B731&lt;=$U$2),1,0)</f>
        <v>6</v>
      </c>
    </row>
    <row r="732">
      <c r="U732">
        <f>N(U731)+IF(AND($B$2&lt;&gt;"",对接源_01水果!$AH732=$B$2,对接源_01水果!$B732&gt;=$U$1,对接源_01水果!$B732&lt;=$U$2),1,0)</f>
        <v>6</v>
      </c>
    </row>
    <row r="733">
      <c r="U733">
        <f>N(U732)+IF(AND($B$2&lt;&gt;"",对接源_01水果!$AH733=$B$2,对接源_01水果!$B733&gt;=$U$1,对接源_01水果!$B733&lt;=$U$2),1,0)</f>
        <v>6</v>
      </c>
    </row>
    <row r="734">
      <c r="U734">
        <f>N(U733)+IF(AND($B$2&lt;&gt;"",对接源_01水果!$AH734=$B$2,对接源_01水果!$B734&gt;=$U$1,对接源_01水果!$B734&lt;=$U$2),1,0)</f>
        <v>6</v>
      </c>
    </row>
    <row r="735">
      <c r="U735">
        <f>N(U734)+IF(AND($B$2&lt;&gt;"",对接源_01水果!$AH735=$B$2,对接源_01水果!$B735&gt;=$U$1,对接源_01水果!$B735&lt;=$U$2),1,0)</f>
        <v>6</v>
      </c>
    </row>
    <row r="736">
      <c r="U736">
        <f>N(U735)+IF(AND($B$2&lt;&gt;"",对接源_01水果!$AH736=$B$2,对接源_01水果!$B736&gt;=$U$1,对接源_01水果!$B736&lt;=$U$2),1,0)</f>
        <v>6</v>
      </c>
    </row>
    <row r="737">
      <c r="U737">
        <f>N(U736)+IF(AND($B$2&lt;&gt;"",对接源_01水果!$AH737=$B$2,对接源_01水果!$B737&gt;=$U$1,对接源_01水果!$B737&lt;=$U$2),1,0)</f>
        <v>6</v>
      </c>
    </row>
    <row r="738">
      <c r="U738">
        <f>N(U737)+IF(AND($B$2&lt;&gt;"",对接源_01水果!$AH738=$B$2,对接源_01水果!$B738&gt;=$U$1,对接源_01水果!$B738&lt;=$U$2),1,0)</f>
        <v>6</v>
      </c>
    </row>
    <row r="739">
      <c r="U739">
        <f>N(U738)+IF(AND($B$2&lt;&gt;"",对接源_01水果!$AH739=$B$2,对接源_01水果!$B739&gt;=$U$1,对接源_01水果!$B739&lt;=$U$2),1,0)</f>
        <v>6</v>
      </c>
    </row>
    <row r="740">
      <c r="U740">
        <f>N(U739)+IF(AND($B$2&lt;&gt;"",对接源_01水果!$AH740=$B$2,对接源_01水果!$B740&gt;=$U$1,对接源_01水果!$B740&lt;=$U$2),1,0)</f>
        <v>6</v>
      </c>
    </row>
    <row r="741">
      <c r="U741">
        <f>N(U740)+IF(AND($B$2&lt;&gt;"",对接源_01水果!$AH741=$B$2,对接源_01水果!$B741&gt;=$U$1,对接源_01水果!$B741&lt;=$U$2),1,0)</f>
        <v>6</v>
      </c>
    </row>
    <row r="742">
      <c r="U742">
        <f>N(U741)+IF(AND($B$2&lt;&gt;"",对接源_01水果!$AH742=$B$2,对接源_01水果!$B742&gt;=$U$1,对接源_01水果!$B742&lt;=$U$2),1,0)</f>
        <v>6</v>
      </c>
    </row>
    <row r="743">
      <c r="U743">
        <f>N(U742)+IF(AND($B$2&lt;&gt;"",对接源_01水果!$AH743=$B$2,对接源_01水果!$B743&gt;=$U$1,对接源_01水果!$B743&lt;=$U$2),1,0)</f>
        <v>6</v>
      </c>
    </row>
    <row r="744">
      <c r="U744">
        <f>N(U743)+IF(AND($B$2&lt;&gt;"",对接源_01水果!$AH744=$B$2,对接源_01水果!$B744&gt;=$U$1,对接源_01水果!$B744&lt;=$U$2),1,0)</f>
        <v>6</v>
      </c>
    </row>
    <row r="745">
      <c r="U745">
        <f>N(U744)+IF(AND($B$2&lt;&gt;"",对接源_01水果!$AH745=$B$2,对接源_01水果!$B745&gt;=$U$1,对接源_01水果!$B745&lt;=$U$2),1,0)</f>
        <v>6</v>
      </c>
    </row>
    <row r="746">
      <c r="U746">
        <f>N(U745)+IF(AND($B$2&lt;&gt;"",对接源_01水果!$AH746=$B$2,对接源_01水果!$B746&gt;=$U$1,对接源_01水果!$B746&lt;=$U$2),1,0)</f>
        <v>6</v>
      </c>
    </row>
    <row r="747">
      <c r="U747">
        <f>N(U746)+IF(AND($B$2&lt;&gt;"",对接源_01水果!$AH747=$B$2,对接源_01水果!$B747&gt;=$U$1,对接源_01水果!$B747&lt;=$U$2),1,0)</f>
        <v>6</v>
      </c>
    </row>
    <row r="748">
      <c r="U748">
        <f>N(U747)+IF(AND($B$2&lt;&gt;"",对接源_01水果!$AH748=$B$2,对接源_01水果!$B748&gt;=$U$1,对接源_01水果!$B748&lt;=$U$2),1,0)</f>
        <v>6</v>
      </c>
    </row>
    <row r="749">
      <c r="U749">
        <f>N(U748)+IF(AND($B$2&lt;&gt;"",对接源_01水果!$AH749=$B$2,对接源_01水果!$B749&gt;=$U$1,对接源_01水果!$B749&lt;=$U$2),1,0)</f>
        <v>6</v>
      </c>
    </row>
    <row r="750">
      <c r="U750">
        <f>N(U749)+IF(AND($B$2&lt;&gt;"",对接源_01水果!$AH750=$B$2,对接源_01水果!$B750&gt;=$U$1,对接源_01水果!$B750&lt;=$U$2),1,0)</f>
        <v>6</v>
      </c>
    </row>
    <row r="751">
      <c r="U751">
        <f>N(U750)+IF(AND($B$2&lt;&gt;"",对接源_01水果!$AH751=$B$2,对接源_01水果!$B751&gt;=$U$1,对接源_01水果!$B751&lt;=$U$2),1,0)</f>
        <v>6</v>
      </c>
    </row>
    <row r="752">
      <c r="U752">
        <f>N(U751)+IF(AND($B$2&lt;&gt;"",对接源_01水果!$AH752=$B$2,对接源_01水果!$B752&gt;=$U$1,对接源_01水果!$B752&lt;=$U$2),1,0)</f>
        <v>6</v>
      </c>
    </row>
    <row r="753">
      <c r="U753">
        <f>N(U752)+IF(AND($B$2&lt;&gt;"",对接源_01水果!$AH753=$B$2,对接源_01水果!$B753&gt;=$U$1,对接源_01水果!$B753&lt;=$U$2),1,0)</f>
        <v>6</v>
      </c>
    </row>
    <row r="754">
      <c r="U754">
        <f>N(U753)+IF(AND($B$2&lt;&gt;"",对接源_01水果!$AH754=$B$2,对接源_01水果!$B754&gt;=$U$1,对接源_01水果!$B754&lt;=$U$2),1,0)</f>
        <v>6</v>
      </c>
    </row>
    <row r="755">
      <c r="U755">
        <f>N(U754)+IF(AND($B$2&lt;&gt;"",对接源_01水果!$AH755=$B$2,对接源_01水果!$B755&gt;=$U$1,对接源_01水果!$B755&lt;=$U$2),1,0)</f>
        <v>6</v>
      </c>
    </row>
    <row r="756">
      <c r="U756">
        <f>N(U755)+IF(AND($B$2&lt;&gt;"",对接源_01水果!$AH756=$B$2,对接源_01水果!$B756&gt;=$U$1,对接源_01水果!$B756&lt;=$U$2),1,0)</f>
        <v>6</v>
      </c>
    </row>
    <row r="757">
      <c r="U757">
        <f>N(U756)+IF(AND($B$2&lt;&gt;"",对接源_01水果!$AH757=$B$2,对接源_01水果!$B757&gt;=$U$1,对接源_01水果!$B757&lt;=$U$2),1,0)</f>
        <v>6</v>
      </c>
    </row>
    <row r="758">
      <c r="U758">
        <f>N(U757)+IF(AND($B$2&lt;&gt;"",对接源_01水果!$AH758=$B$2,对接源_01水果!$B758&gt;=$U$1,对接源_01水果!$B758&lt;=$U$2),1,0)</f>
        <v>6</v>
      </c>
    </row>
    <row r="759">
      <c r="U759">
        <f>N(U758)+IF(AND($B$2&lt;&gt;"",对接源_01水果!$AH759=$B$2,对接源_01水果!$B759&gt;=$U$1,对接源_01水果!$B759&lt;=$U$2),1,0)</f>
        <v>6</v>
      </c>
    </row>
    <row r="760">
      <c r="U760">
        <f>N(U759)+IF(AND($B$2&lt;&gt;"",对接源_01水果!$AH760=$B$2,对接源_01水果!$B760&gt;=$U$1,对接源_01水果!$B760&lt;=$U$2),1,0)</f>
        <v>6</v>
      </c>
    </row>
    <row r="761">
      <c r="U761">
        <f>N(U760)+IF(AND($B$2&lt;&gt;"",对接源_01水果!$AH761=$B$2,对接源_01水果!$B761&gt;=$U$1,对接源_01水果!$B761&lt;=$U$2),1,0)</f>
        <v>6</v>
      </c>
    </row>
    <row r="762">
      <c r="U762">
        <f>N(U761)+IF(AND($B$2&lt;&gt;"",对接源_01水果!$AH762=$B$2,对接源_01水果!$B762&gt;=$U$1,对接源_01水果!$B762&lt;=$U$2),1,0)</f>
        <v>6</v>
      </c>
    </row>
    <row r="763">
      <c r="U763">
        <f>N(U762)+IF(AND($B$2&lt;&gt;"",对接源_01水果!$AH763=$B$2,对接源_01水果!$B763&gt;=$U$1,对接源_01水果!$B763&lt;=$U$2),1,0)</f>
        <v>6</v>
      </c>
    </row>
    <row r="764">
      <c r="U764">
        <f>N(U763)+IF(AND($B$2&lt;&gt;"",对接源_01水果!$AH764=$B$2,对接源_01水果!$B764&gt;=$U$1,对接源_01水果!$B764&lt;=$U$2),1,0)</f>
        <v>6</v>
      </c>
    </row>
    <row r="765">
      <c r="U765">
        <f>N(U764)+IF(AND($B$2&lt;&gt;"",对接源_01水果!$AH765=$B$2,对接源_01水果!$B765&gt;=$U$1,对接源_01水果!$B765&lt;=$U$2),1,0)</f>
        <v>6</v>
      </c>
    </row>
    <row r="766">
      <c r="U766">
        <f>N(U765)+IF(AND($B$2&lt;&gt;"",对接源_01水果!$AH766=$B$2,对接源_01水果!$B766&gt;=$U$1,对接源_01水果!$B766&lt;=$U$2),1,0)</f>
        <v>6</v>
      </c>
    </row>
    <row r="767">
      <c r="U767">
        <f>N(U766)+IF(AND($B$2&lt;&gt;"",对接源_01水果!$AH767=$B$2,对接源_01水果!$B767&gt;=$U$1,对接源_01水果!$B767&lt;=$U$2),1,0)</f>
        <v>6</v>
      </c>
    </row>
    <row r="768">
      <c r="U768">
        <f>N(U767)+IF(AND($B$2&lt;&gt;"",对接源_01水果!$AH768=$B$2,对接源_01水果!$B768&gt;=$U$1,对接源_01水果!$B768&lt;=$U$2),1,0)</f>
        <v>6</v>
      </c>
    </row>
    <row r="769">
      <c r="U769">
        <f>N(U768)+IF(AND($B$2&lt;&gt;"",对接源_01水果!$AH769=$B$2,对接源_01水果!$B769&gt;=$U$1,对接源_01水果!$B769&lt;=$U$2),1,0)</f>
        <v>6</v>
      </c>
    </row>
    <row r="770">
      <c r="U770">
        <f>N(U769)+IF(AND($B$2&lt;&gt;"",对接源_01水果!$AH770=$B$2,对接源_01水果!$B770&gt;=$U$1,对接源_01水果!$B770&lt;=$U$2),1,0)</f>
        <v>6</v>
      </c>
    </row>
    <row r="771">
      <c r="U771">
        <f>N(U770)+IF(AND($B$2&lt;&gt;"",对接源_01水果!$AH771=$B$2,对接源_01水果!$B771&gt;=$U$1,对接源_01水果!$B771&lt;=$U$2),1,0)</f>
        <v>6</v>
      </c>
    </row>
    <row r="772">
      <c r="U772">
        <f>N(U771)+IF(AND($B$2&lt;&gt;"",对接源_01水果!$AH772=$B$2,对接源_01水果!$B772&gt;=$U$1,对接源_01水果!$B772&lt;=$U$2),1,0)</f>
        <v>6</v>
      </c>
    </row>
    <row r="773">
      <c r="U773">
        <f>N(U772)+IF(AND($B$2&lt;&gt;"",对接源_01水果!$AH773=$B$2,对接源_01水果!$B773&gt;=$U$1,对接源_01水果!$B773&lt;=$U$2),1,0)</f>
        <v>6</v>
      </c>
    </row>
    <row r="774">
      <c r="U774">
        <f>N(U773)+IF(AND($B$2&lt;&gt;"",对接源_01水果!$AH774=$B$2,对接源_01水果!$B774&gt;=$U$1,对接源_01水果!$B774&lt;=$U$2),1,0)</f>
        <v>6</v>
      </c>
    </row>
    <row r="775">
      <c r="U775">
        <f>N(U774)+IF(AND($B$2&lt;&gt;"",对接源_01水果!$AH775=$B$2,对接源_01水果!$B775&gt;=$U$1,对接源_01水果!$B775&lt;=$U$2),1,0)</f>
        <v>6</v>
      </c>
    </row>
    <row r="776">
      <c r="U776">
        <f>N(U775)+IF(AND($B$2&lt;&gt;"",对接源_01水果!$AH776=$B$2,对接源_01水果!$B776&gt;=$U$1,对接源_01水果!$B776&lt;=$U$2),1,0)</f>
        <v>6</v>
      </c>
    </row>
    <row r="777">
      <c r="U777">
        <f>N(U776)+IF(AND($B$2&lt;&gt;"",对接源_01水果!$AH777=$B$2,对接源_01水果!$B777&gt;=$U$1,对接源_01水果!$B777&lt;=$U$2),1,0)</f>
        <v>6</v>
      </c>
    </row>
    <row r="778">
      <c r="U778">
        <f>N(U777)+IF(AND($B$2&lt;&gt;"",对接源_01水果!$AH778=$B$2,对接源_01水果!$B778&gt;=$U$1,对接源_01水果!$B778&lt;=$U$2),1,0)</f>
        <v>6</v>
      </c>
    </row>
    <row r="779">
      <c r="U779">
        <f>N(U778)+IF(AND($B$2&lt;&gt;"",对接源_01水果!$AH779=$B$2,对接源_01水果!$B779&gt;=$U$1,对接源_01水果!$B779&lt;=$U$2),1,0)</f>
        <v>6</v>
      </c>
    </row>
    <row r="780">
      <c r="U780">
        <f>N(U779)+IF(AND($B$2&lt;&gt;"",对接源_01水果!$AH780=$B$2,对接源_01水果!$B780&gt;=$U$1,对接源_01水果!$B780&lt;=$U$2),1,0)</f>
        <v>6</v>
      </c>
    </row>
    <row r="781">
      <c r="U781">
        <f>N(U780)+IF(AND($B$2&lt;&gt;"",对接源_01水果!$AH781=$B$2,对接源_01水果!$B781&gt;=$U$1,对接源_01水果!$B781&lt;=$U$2),1,0)</f>
        <v>6</v>
      </c>
    </row>
    <row r="782">
      <c r="U782">
        <f>N(U781)+IF(AND($B$2&lt;&gt;"",对接源_01水果!$AH782=$B$2,对接源_01水果!$B782&gt;=$U$1,对接源_01水果!$B782&lt;=$U$2),1,0)</f>
        <v>6</v>
      </c>
    </row>
    <row r="783">
      <c r="U783">
        <f>N(U782)+IF(AND($B$2&lt;&gt;"",对接源_01水果!$AH783=$B$2,对接源_01水果!$B783&gt;=$U$1,对接源_01水果!$B783&lt;=$U$2),1,0)</f>
        <v>6</v>
      </c>
    </row>
    <row r="784">
      <c r="U784">
        <f>N(U783)+IF(AND($B$2&lt;&gt;"",对接源_01水果!$AH784=$B$2,对接源_01水果!$B784&gt;=$U$1,对接源_01水果!$B784&lt;=$U$2),1,0)</f>
        <v>6</v>
      </c>
    </row>
    <row r="785">
      <c r="U785">
        <f>N(U784)+IF(AND($B$2&lt;&gt;"",对接源_01水果!$AH785=$B$2,对接源_01水果!$B785&gt;=$U$1,对接源_01水果!$B785&lt;=$U$2),1,0)</f>
        <v>6</v>
      </c>
    </row>
    <row r="786">
      <c r="U786">
        <f>N(U785)+IF(AND($B$2&lt;&gt;"",对接源_01水果!$AH786=$B$2,对接源_01水果!$B786&gt;=$U$1,对接源_01水果!$B786&lt;=$U$2),1,0)</f>
        <v>6</v>
      </c>
    </row>
    <row r="787">
      <c r="U787">
        <f>N(U786)+IF(AND($B$2&lt;&gt;"",对接源_01水果!$AH787=$B$2,对接源_01水果!$B787&gt;=$U$1,对接源_01水果!$B787&lt;=$U$2),1,0)</f>
        <v>6</v>
      </c>
    </row>
    <row r="788">
      <c r="U788">
        <f>N(U787)+IF(AND($B$2&lt;&gt;"",对接源_01水果!$AH788=$B$2,对接源_01水果!$B788&gt;=$U$1,对接源_01水果!$B788&lt;=$U$2),1,0)</f>
        <v>6</v>
      </c>
    </row>
    <row r="789">
      <c r="U789">
        <f>N(U788)+IF(AND($B$2&lt;&gt;"",对接源_01水果!$AH789=$B$2,对接源_01水果!$B789&gt;=$U$1,对接源_01水果!$B789&lt;=$U$2),1,0)</f>
        <v>6</v>
      </c>
    </row>
    <row r="790">
      <c r="U790">
        <f>N(U789)+IF(AND($B$2&lt;&gt;"",对接源_01水果!$AH790=$B$2,对接源_01水果!$B790&gt;=$U$1,对接源_01水果!$B790&lt;=$U$2),1,0)</f>
        <v>6</v>
      </c>
    </row>
    <row r="791">
      <c r="U791">
        <f>N(U790)+IF(AND($B$2&lt;&gt;"",对接源_01水果!$AH791=$B$2,对接源_01水果!$B791&gt;=$U$1,对接源_01水果!$B791&lt;=$U$2),1,0)</f>
        <v>6</v>
      </c>
    </row>
    <row r="792">
      <c r="U792">
        <f>N(U791)+IF(AND($B$2&lt;&gt;"",对接源_01水果!$AH792=$B$2,对接源_01水果!$B792&gt;=$U$1,对接源_01水果!$B792&lt;=$U$2),1,0)</f>
        <v>6</v>
      </c>
    </row>
    <row r="793">
      <c r="U793">
        <f>N(U792)+IF(AND($B$2&lt;&gt;"",对接源_01水果!$AH793=$B$2,对接源_01水果!$B793&gt;=$U$1,对接源_01水果!$B793&lt;=$U$2),1,0)</f>
        <v>6</v>
      </c>
    </row>
    <row r="794">
      <c r="U794">
        <f>N(U793)+IF(AND($B$2&lt;&gt;"",对接源_01水果!$AH794=$B$2,对接源_01水果!$B794&gt;=$U$1,对接源_01水果!$B794&lt;=$U$2),1,0)</f>
        <v>6</v>
      </c>
    </row>
    <row r="795">
      <c r="U795">
        <f>N(U794)+IF(AND($B$2&lt;&gt;"",对接源_01水果!$AH795=$B$2,对接源_01水果!$B795&gt;=$U$1,对接源_01水果!$B795&lt;=$U$2),1,0)</f>
        <v>6</v>
      </c>
    </row>
    <row r="796">
      <c r="U796">
        <f>N(U795)+IF(AND($B$2&lt;&gt;"",对接源_01水果!$AH796=$B$2,对接源_01水果!$B796&gt;=$U$1,对接源_01水果!$B796&lt;=$U$2),1,0)</f>
        <v>6</v>
      </c>
    </row>
    <row r="797">
      <c r="U797">
        <f>N(U796)+IF(AND($B$2&lt;&gt;"",对接源_01水果!$AH797=$B$2,对接源_01水果!$B797&gt;=$U$1,对接源_01水果!$B797&lt;=$U$2),1,0)</f>
        <v>6</v>
      </c>
    </row>
    <row r="798">
      <c r="U798">
        <f>N(U797)+IF(AND($B$2&lt;&gt;"",对接源_01水果!$AH798=$B$2,对接源_01水果!$B798&gt;=$U$1,对接源_01水果!$B798&lt;=$U$2),1,0)</f>
        <v>6</v>
      </c>
    </row>
    <row r="799">
      <c r="U799">
        <f>N(U798)+IF(AND($B$2&lt;&gt;"",对接源_01水果!$AH799=$B$2,对接源_01水果!$B799&gt;=$U$1,对接源_01水果!$B799&lt;=$U$2),1,0)</f>
        <v>6</v>
      </c>
    </row>
    <row r="800">
      <c r="U800">
        <f>N(U799)+IF(AND($B$2&lt;&gt;"",对接源_01水果!$AH800=$B$2,对接源_01水果!$B800&gt;=$U$1,对接源_01水果!$B800&lt;=$U$2),1,0)</f>
        <v>6</v>
      </c>
    </row>
    <row r="801">
      <c r="U801">
        <f>N(U800)+IF(AND($B$2&lt;&gt;"",对接源_01水果!$AH801=$B$2,对接源_01水果!$B801&gt;=$U$1,对接源_01水果!$B801&lt;=$U$2),1,0)</f>
        <v>6</v>
      </c>
    </row>
    <row r="802">
      <c r="U802">
        <f>N(U801)+IF(AND($B$2&lt;&gt;"",对接源_01水果!$AH802=$B$2,对接源_01水果!$B802&gt;=$U$1,对接源_01水果!$B802&lt;=$U$2),1,0)</f>
        <v>6</v>
      </c>
    </row>
    <row r="803">
      <c r="U803">
        <f>N(U802)+IF(AND($B$2&lt;&gt;"",对接源_01水果!$AH803=$B$2,对接源_01水果!$B803&gt;=$U$1,对接源_01水果!$B803&lt;=$U$2),1,0)</f>
        <v>6</v>
      </c>
    </row>
    <row r="804">
      <c r="U804">
        <f>N(U803)+IF(AND($B$2&lt;&gt;"",对接源_01水果!$AH804=$B$2,对接源_01水果!$B804&gt;=$U$1,对接源_01水果!$B804&lt;=$U$2),1,0)</f>
        <v>6</v>
      </c>
    </row>
    <row r="805">
      <c r="U805">
        <f>N(U804)+IF(AND($B$2&lt;&gt;"",对接源_01水果!$AH805=$B$2,对接源_01水果!$B805&gt;=$U$1,对接源_01水果!$B805&lt;=$U$2),1,0)</f>
        <v>6</v>
      </c>
    </row>
    <row r="806">
      <c r="U806">
        <f>N(U805)+IF(AND($B$2&lt;&gt;"",对接源_01水果!$AH806=$B$2,对接源_01水果!$B806&gt;=$U$1,对接源_01水果!$B806&lt;=$U$2),1,0)</f>
        <v>6</v>
      </c>
    </row>
    <row r="807">
      <c r="U807">
        <f>N(U806)+IF(AND($B$2&lt;&gt;"",对接源_01水果!$AH807=$B$2,对接源_01水果!$B807&gt;=$U$1,对接源_01水果!$B807&lt;=$U$2),1,0)</f>
        <v>6</v>
      </c>
    </row>
    <row r="808">
      <c r="U808">
        <f>N(U807)+IF(AND($B$2&lt;&gt;"",对接源_01水果!$AH808=$B$2,对接源_01水果!$B808&gt;=$U$1,对接源_01水果!$B808&lt;=$U$2),1,0)</f>
        <v>6</v>
      </c>
    </row>
    <row r="809">
      <c r="U809">
        <f>N(U808)+IF(AND($B$2&lt;&gt;"",对接源_01水果!$AH809=$B$2,对接源_01水果!$B809&gt;=$U$1,对接源_01水果!$B809&lt;=$U$2),1,0)</f>
        <v>6</v>
      </c>
    </row>
    <row r="810">
      <c r="U810">
        <f>N(U809)+IF(AND($B$2&lt;&gt;"",对接源_01水果!$AH810=$B$2,对接源_01水果!$B810&gt;=$U$1,对接源_01水果!$B810&lt;=$U$2),1,0)</f>
        <v>6</v>
      </c>
    </row>
    <row r="811">
      <c r="U811">
        <f>N(U810)+IF(AND($B$2&lt;&gt;"",对接源_01水果!$AH811=$B$2,对接源_01水果!$B811&gt;=$U$1,对接源_01水果!$B811&lt;=$U$2),1,0)</f>
        <v>6</v>
      </c>
    </row>
    <row r="812">
      <c r="U812">
        <f>N(U811)+IF(AND($B$2&lt;&gt;"",对接源_01水果!$AH812=$B$2,对接源_01水果!$B812&gt;=$U$1,对接源_01水果!$B812&lt;=$U$2),1,0)</f>
        <v>6</v>
      </c>
    </row>
    <row r="813">
      <c r="U813">
        <f>N(U812)+IF(AND($B$2&lt;&gt;"",对接源_01水果!$AH813=$B$2,对接源_01水果!$B813&gt;=$U$1,对接源_01水果!$B813&lt;=$U$2),1,0)</f>
        <v>6</v>
      </c>
    </row>
    <row r="814">
      <c r="U814">
        <f>N(U813)+IF(AND($B$2&lt;&gt;"",对接源_01水果!$AH814=$B$2,对接源_01水果!$B814&gt;=$U$1,对接源_01水果!$B814&lt;=$U$2),1,0)</f>
        <v>6</v>
      </c>
    </row>
    <row r="815">
      <c r="U815">
        <f>N(U814)+IF(AND($B$2&lt;&gt;"",对接源_01水果!$AH815=$B$2,对接源_01水果!$B815&gt;=$U$1,对接源_01水果!$B815&lt;=$U$2),1,0)</f>
        <v>6</v>
      </c>
    </row>
    <row r="816">
      <c r="U816">
        <f>N(U815)+IF(AND($B$2&lt;&gt;"",对接源_01水果!$AH816=$B$2,对接源_01水果!$B816&gt;=$U$1,对接源_01水果!$B816&lt;=$U$2),1,0)</f>
        <v>6</v>
      </c>
    </row>
    <row r="817">
      <c r="U817">
        <f>N(U816)+IF(AND($B$2&lt;&gt;"",对接源_01水果!$AH817=$B$2,对接源_01水果!$B817&gt;=$U$1,对接源_01水果!$B817&lt;=$U$2),1,0)</f>
        <v>6</v>
      </c>
    </row>
    <row r="818">
      <c r="U818">
        <f>N(U817)+IF(AND($B$2&lt;&gt;"",对接源_01水果!$AH818=$B$2,对接源_01水果!$B818&gt;=$U$1,对接源_01水果!$B818&lt;=$U$2),1,0)</f>
        <v>6</v>
      </c>
    </row>
    <row r="819">
      <c r="U819">
        <f>N(U818)+IF(AND($B$2&lt;&gt;"",对接源_01水果!$AH819=$B$2,对接源_01水果!$B819&gt;=$U$1,对接源_01水果!$B819&lt;=$U$2),1,0)</f>
        <v>6</v>
      </c>
    </row>
    <row r="820">
      <c r="U820">
        <f>N(U819)+IF(AND($B$2&lt;&gt;"",对接源_01水果!$AH820=$B$2,对接源_01水果!$B820&gt;=$U$1,对接源_01水果!$B820&lt;=$U$2),1,0)</f>
        <v>6</v>
      </c>
    </row>
    <row r="821">
      <c r="U821">
        <f>N(U820)+IF(AND($B$2&lt;&gt;"",对接源_01水果!$AH821=$B$2,对接源_01水果!$B821&gt;=$U$1,对接源_01水果!$B821&lt;=$U$2),1,0)</f>
        <v>6</v>
      </c>
    </row>
    <row r="822">
      <c r="U822">
        <f>N(U821)+IF(AND($B$2&lt;&gt;"",对接源_01水果!$AH822=$B$2,对接源_01水果!$B822&gt;=$U$1,对接源_01水果!$B822&lt;=$U$2),1,0)</f>
        <v>6</v>
      </c>
    </row>
    <row r="823">
      <c r="U823">
        <f>N(U822)+IF(AND($B$2&lt;&gt;"",对接源_01水果!$AH823=$B$2,对接源_01水果!$B823&gt;=$U$1,对接源_01水果!$B823&lt;=$U$2),1,0)</f>
        <v>6</v>
      </c>
    </row>
    <row r="824">
      <c r="U824">
        <f>N(U823)+IF(AND($B$2&lt;&gt;"",对接源_01水果!$AH824=$B$2,对接源_01水果!$B824&gt;=$U$1,对接源_01水果!$B824&lt;=$U$2),1,0)</f>
        <v>6</v>
      </c>
    </row>
    <row r="825">
      <c r="U825">
        <f>N(U824)+IF(AND($B$2&lt;&gt;"",对接源_01水果!$AH825=$B$2,对接源_01水果!$B825&gt;=$U$1,对接源_01水果!$B825&lt;=$U$2),1,0)</f>
        <v>6</v>
      </c>
    </row>
    <row r="826">
      <c r="U826">
        <f>N(U825)+IF(AND($B$2&lt;&gt;"",对接源_01水果!$AH826=$B$2,对接源_01水果!$B826&gt;=$U$1,对接源_01水果!$B826&lt;=$U$2),1,0)</f>
        <v>6</v>
      </c>
    </row>
    <row r="827">
      <c r="U827">
        <f>N(U826)+IF(AND($B$2&lt;&gt;"",对接源_01水果!$AH827=$B$2,对接源_01水果!$B827&gt;=$U$1,对接源_01水果!$B827&lt;=$U$2),1,0)</f>
        <v>6</v>
      </c>
    </row>
    <row r="828">
      <c r="U828">
        <f>N(U827)+IF(AND($B$2&lt;&gt;"",对接源_01水果!$AH828=$B$2,对接源_01水果!$B828&gt;=$U$1,对接源_01水果!$B828&lt;=$U$2),1,0)</f>
        <v>6</v>
      </c>
    </row>
    <row r="829">
      <c r="U829">
        <f>N(U828)+IF(AND($B$2&lt;&gt;"",对接源_01水果!$AH829=$B$2,对接源_01水果!$B829&gt;=$U$1,对接源_01水果!$B829&lt;=$U$2),1,0)</f>
        <v>6</v>
      </c>
    </row>
    <row r="830">
      <c r="U830">
        <f>N(U829)+IF(AND($B$2&lt;&gt;"",对接源_01水果!$AH830=$B$2,对接源_01水果!$B830&gt;=$U$1,对接源_01水果!$B830&lt;=$U$2),1,0)</f>
        <v>6</v>
      </c>
    </row>
    <row r="831">
      <c r="U831">
        <f>N(U830)+IF(AND($B$2&lt;&gt;"",对接源_01水果!$AH831=$B$2,对接源_01水果!$B831&gt;=$U$1,对接源_01水果!$B831&lt;=$U$2),1,0)</f>
        <v>6</v>
      </c>
    </row>
    <row r="832">
      <c r="U832">
        <f>N(U831)+IF(AND($B$2&lt;&gt;"",对接源_01水果!$AH832=$B$2,对接源_01水果!$B832&gt;=$U$1,对接源_01水果!$B832&lt;=$U$2),1,0)</f>
        <v>6</v>
      </c>
    </row>
    <row r="833">
      <c r="U833">
        <f>N(U832)+IF(AND($B$2&lt;&gt;"",对接源_01水果!$AH833=$B$2,对接源_01水果!$B833&gt;=$U$1,对接源_01水果!$B833&lt;=$U$2),1,0)</f>
        <v>6</v>
      </c>
    </row>
    <row r="834">
      <c r="U834">
        <f>N(U833)+IF(AND($B$2&lt;&gt;"",对接源_01水果!$AH834=$B$2,对接源_01水果!$B834&gt;=$U$1,对接源_01水果!$B834&lt;=$U$2),1,0)</f>
        <v>6</v>
      </c>
    </row>
    <row r="835">
      <c r="U835">
        <f>N(U834)+IF(AND($B$2&lt;&gt;"",对接源_01水果!$AH835=$B$2,对接源_01水果!$B835&gt;=$U$1,对接源_01水果!$B835&lt;=$U$2),1,0)</f>
        <v>6</v>
      </c>
    </row>
    <row r="836">
      <c r="U836">
        <f>N(U835)+IF(AND($B$2&lt;&gt;"",对接源_01水果!$AH836=$B$2,对接源_01水果!$B836&gt;=$U$1,对接源_01水果!$B836&lt;=$U$2),1,0)</f>
        <v>6</v>
      </c>
    </row>
    <row r="837">
      <c r="U837">
        <f>N(U836)+IF(AND($B$2&lt;&gt;"",对接源_01水果!$AH837=$B$2,对接源_01水果!$B837&gt;=$U$1,对接源_01水果!$B837&lt;=$U$2),1,0)</f>
        <v>6</v>
      </c>
    </row>
    <row r="838">
      <c r="U838">
        <f>N(U837)+IF(AND($B$2&lt;&gt;"",对接源_01水果!$AH838=$B$2,对接源_01水果!$B838&gt;=$U$1,对接源_01水果!$B838&lt;=$U$2),1,0)</f>
        <v>6</v>
      </c>
    </row>
    <row r="839">
      <c r="U839">
        <f>N(U838)+IF(AND($B$2&lt;&gt;"",对接源_01水果!$AH839=$B$2,对接源_01水果!$B839&gt;=$U$1,对接源_01水果!$B839&lt;=$U$2),1,0)</f>
        <v>6</v>
      </c>
    </row>
    <row r="840">
      <c r="U840">
        <f>N(U839)+IF(AND($B$2&lt;&gt;"",对接源_01水果!$AH840=$B$2,对接源_01水果!$B840&gt;=$U$1,对接源_01水果!$B840&lt;=$U$2),1,0)</f>
        <v>6</v>
      </c>
    </row>
    <row r="841">
      <c r="U841">
        <f>N(U840)+IF(AND($B$2&lt;&gt;"",对接源_01水果!$AH841=$B$2,对接源_01水果!$B841&gt;=$U$1,对接源_01水果!$B841&lt;=$U$2),1,0)</f>
        <v>6</v>
      </c>
    </row>
    <row r="842">
      <c r="U842">
        <f>N(U841)+IF(AND($B$2&lt;&gt;"",对接源_01水果!$AH842=$B$2,对接源_01水果!$B842&gt;=$U$1,对接源_01水果!$B842&lt;=$U$2),1,0)</f>
        <v>6</v>
      </c>
    </row>
    <row r="843">
      <c r="U843">
        <f>N(U842)+IF(AND($B$2&lt;&gt;"",对接源_01水果!$AH843=$B$2,对接源_01水果!$B843&gt;=$U$1,对接源_01水果!$B843&lt;=$U$2),1,0)</f>
        <v>6</v>
      </c>
    </row>
    <row r="844">
      <c r="U844">
        <f>N(U843)+IF(AND($B$2&lt;&gt;"",对接源_01水果!$AH844=$B$2,对接源_01水果!$B844&gt;=$U$1,对接源_01水果!$B844&lt;=$U$2),1,0)</f>
        <v>6</v>
      </c>
    </row>
    <row r="845">
      <c r="U845">
        <f>N(U844)+IF(AND($B$2&lt;&gt;"",对接源_01水果!$AH845=$B$2,对接源_01水果!$B845&gt;=$U$1,对接源_01水果!$B845&lt;=$U$2),1,0)</f>
        <v>6</v>
      </c>
    </row>
    <row r="846">
      <c r="U846">
        <f>N(U845)+IF(AND($B$2&lt;&gt;"",对接源_01水果!$AH846=$B$2,对接源_01水果!$B846&gt;=$U$1,对接源_01水果!$B846&lt;=$U$2),1,0)</f>
        <v>6</v>
      </c>
    </row>
    <row r="847">
      <c r="U847">
        <f>N(U846)+IF(AND($B$2&lt;&gt;"",对接源_01水果!$AH847=$B$2,对接源_01水果!$B847&gt;=$U$1,对接源_01水果!$B847&lt;=$U$2),1,0)</f>
        <v>6</v>
      </c>
    </row>
    <row r="848">
      <c r="U848">
        <f>N(U847)+IF(AND($B$2&lt;&gt;"",对接源_01水果!$AH848=$B$2,对接源_01水果!$B848&gt;=$U$1,对接源_01水果!$B848&lt;=$U$2),1,0)</f>
        <v>6</v>
      </c>
    </row>
    <row r="849">
      <c r="U849">
        <f>N(U848)+IF(AND($B$2&lt;&gt;"",对接源_01水果!$AH849=$B$2,对接源_01水果!$B849&gt;=$U$1,对接源_01水果!$B849&lt;=$U$2),1,0)</f>
        <v>6</v>
      </c>
    </row>
    <row r="850">
      <c r="U850">
        <f>N(U849)+IF(AND($B$2&lt;&gt;"",对接源_01水果!$AH850=$B$2,对接源_01水果!$B850&gt;=$U$1,对接源_01水果!$B850&lt;=$U$2),1,0)</f>
        <v>6</v>
      </c>
    </row>
    <row r="851">
      <c r="U851">
        <f>N(U850)+IF(AND($B$2&lt;&gt;"",对接源_01水果!$AH851=$B$2,对接源_01水果!$B851&gt;=$U$1,对接源_01水果!$B851&lt;=$U$2),1,0)</f>
        <v>6</v>
      </c>
    </row>
    <row r="852">
      <c r="U852">
        <f>N(U851)+IF(AND($B$2&lt;&gt;"",对接源_01水果!$AH852=$B$2,对接源_01水果!$B852&gt;=$U$1,对接源_01水果!$B852&lt;=$U$2),1,0)</f>
        <v>6</v>
      </c>
    </row>
    <row r="853">
      <c r="U853">
        <f>N(U852)+IF(AND($B$2&lt;&gt;"",对接源_01水果!$AH853=$B$2,对接源_01水果!$B853&gt;=$U$1,对接源_01水果!$B853&lt;=$U$2),1,0)</f>
        <v>6</v>
      </c>
    </row>
    <row r="854">
      <c r="U854">
        <f>N(U853)+IF(AND($B$2&lt;&gt;"",对接源_01水果!$AH854=$B$2,对接源_01水果!$B854&gt;=$U$1,对接源_01水果!$B854&lt;=$U$2),1,0)</f>
        <v>6</v>
      </c>
    </row>
    <row r="855">
      <c r="U855">
        <f>N(U854)+IF(AND($B$2&lt;&gt;"",对接源_01水果!$AH855=$B$2,对接源_01水果!$B855&gt;=$U$1,对接源_01水果!$B855&lt;=$U$2),1,0)</f>
        <v>6</v>
      </c>
    </row>
    <row r="856">
      <c r="U856">
        <f>N(U855)+IF(AND($B$2&lt;&gt;"",对接源_01水果!$AH856=$B$2,对接源_01水果!$B856&gt;=$U$1,对接源_01水果!$B856&lt;=$U$2),1,0)</f>
        <v>6</v>
      </c>
    </row>
    <row r="857">
      <c r="U857">
        <f>N(U856)+IF(AND($B$2&lt;&gt;"",对接源_01水果!$AH857=$B$2,对接源_01水果!$B857&gt;=$U$1,对接源_01水果!$B857&lt;=$U$2),1,0)</f>
        <v>6</v>
      </c>
    </row>
    <row r="858">
      <c r="U858">
        <f>N(U857)+IF(AND($B$2&lt;&gt;"",对接源_01水果!$AH858=$B$2,对接源_01水果!$B858&gt;=$U$1,对接源_01水果!$B858&lt;=$U$2),1,0)</f>
        <v>6</v>
      </c>
    </row>
    <row r="859">
      <c r="U859">
        <f>N(U858)+IF(AND($B$2&lt;&gt;"",对接源_01水果!$AH859=$B$2,对接源_01水果!$B859&gt;=$U$1,对接源_01水果!$B859&lt;=$U$2),1,0)</f>
        <v>6</v>
      </c>
    </row>
    <row r="860">
      <c r="U860">
        <f>N(U859)+IF(AND($B$2&lt;&gt;"",对接源_01水果!$AH860=$B$2,对接源_01水果!$B860&gt;=$U$1,对接源_01水果!$B860&lt;=$U$2),1,0)</f>
        <v>6</v>
      </c>
    </row>
    <row r="861">
      <c r="U861">
        <f>N(U860)+IF(AND($B$2&lt;&gt;"",对接源_01水果!$AH861=$B$2,对接源_01水果!$B861&gt;=$U$1,对接源_01水果!$B861&lt;=$U$2),1,0)</f>
        <v>6</v>
      </c>
    </row>
    <row r="862">
      <c r="U862">
        <f>N(U861)+IF(AND($B$2&lt;&gt;"",对接源_01水果!$AH862=$B$2,对接源_01水果!$B862&gt;=$U$1,对接源_01水果!$B862&lt;=$U$2),1,0)</f>
        <v>6</v>
      </c>
    </row>
    <row r="863">
      <c r="U863">
        <f>N(U862)+IF(AND($B$2&lt;&gt;"",对接源_01水果!$AH863=$B$2,对接源_01水果!$B863&gt;=$U$1,对接源_01水果!$B863&lt;=$U$2),1,0)</f>
        <v>6</v>
      </c>
    </row>
    <row r="864">
      <c r="U864">
        <f>N(U863)+IF(AND($B$2&lt;&gt;"",对接源_01水果!$AH864=$B$2,对接源_01水果!$B864&gt;=$U$1,对接源_01水果!$B864&lt;=$U$2),1,0)</f>
        <v>6</v>
      </c>
    </row>
    <row r="865">
      <c r="U865">
        <f>N(U864)+IF(AND($B$2&lt;&gt;"",对接源_01水果!$AH865=$B$2,对接源_01水果!$B865&gt;=$U$1,对接源_01水果!$B865&lt;=$U$2),1,0)</f>
        <v>6</v>
      </c>
    </row>
    <row r="866">
      <c r="U866">
        <f>N(U865)+IF(AND($B$2&lt;&gt;"",对接源_01水果!$AH866=$B$2,对接源_01水果!$B866&gt;=$U$1,对接源_01水果!$B866&lt;=$U$2),1,0)</f>
        <v>6</v>
      </c>
    </row>
    <row r="867">
      <c r="U867">
        <f>N(U866)+IF(AND($B$2&lt;&gt;"",对接源_01水果!$AH867=$B$2,对接源_01水果!$B867&gt;=$U$1,对接源_01水果!$B867&lt;=$U$2),1,0)</f>
        <v>6</v>
      </c>
    </row>
    <row r="868">
      <c r="U868">
        <f>N(U867)+IF(AND($B$2&lt;&gt;"",对接源_01水果!$AH868=$B$2,对接源_01水果!$B868&gt;=$U$1,对接源_01水果!$B868&lt;=$U$2),1,0)</f>
        <v>6</v>
      </c>
    </row>
    <row r="869">
      <c r="U869">
        <f>N(U868)+IF(AND($B$2&lt;&gt;"",对接源_01水果!$AH869=$B$2,对接源_01水果!$B869&gt;=$U$1,对接源_01水果!$B869&lt;=$U$2),1,0)</f>
        <v>6</v>
      </c>
    </row>
    <row r="870">
      <c r="U870">
        <f>N(U869)+IF(AND($B$2&lt;&gt;"",对接源_01水果!$AH870=$B$2,对接源_01水果!$B870&gt;=$U$1,对接源_01水果!$B870&lt;=$U$2),1,0)</f>
        <v>6</v>
      </c>
    </row>
    <row r="871">
      <c r="U871">
        <f>N(U870)+IF(AND($B$2&lt;&gt;"",对接源_01水果!$AH871=$B$2,对接源_01水果!$B871&gt;=$U$1,对接源_01水果!$B871&lt;=$U$2),1,0)</f>
        <v>6</v>
      </c>
    </row>
    <row r="872">
      <c r="U872">
        <f>N(U871)+IF(AND($B$2&lt;&gt;"",对接源_01水果!$AH872=$B$2,对接源_01水果!$B872&gt;=$U$1,对接源_01水果!$B872&lt;=$U$2),1,0)</f>
        <v>6</v>
      </c>
    </row>
    <row r="873">
      <c r="U873">
        <f>N(U872)+IF(AND($B$2&lt;&gt;"",对接源_01水果!$AH873=$B$2,对接源_01水果!$B873&gt;=$U$1,对接源_01水果!$B873&lt;=$U$2),1,0)</f>
        <v>6</v>
      </c>
    </row>
    <row r="874">
      <c r="U874">
        <f>N(U873)+IF(AND($B$2&lt;&gt;"",对接源_01水果!$AH874=$B$2,对接源_01水果!$B874&gt;=$U$1,对接源_01水果!$B874&lt;=$U$2),1,0)</f>
        <v>6</v>
      </c>
    </row>
    <row r="875">
      <c r="U875">
        <f>N(U874)+IF(AND($B$2&lt;&gt;"",对接源_01水果!$AH875=$B$2,对接源_01水果!$B875&gt;=$U$1,对接源_01水果!$B875&lt;=$U$2),1,0)</f>
        <v>6</v>
      </c>
    </row>
    <row r="876">
      <c r="U876">
        <f>N(U875)+IF(AND($B$2&lt;&gt;"",对接源_01水果!$AH876=$B$2,对接源_01水果!$B876&gt;=$U$1,对接源_01水果!$B876&lt;=$U$2),1,0)</f>
        <v>6</v>
      </c>
    </row>
    <row r="877">
      <c r="U877">
        <f>N(U876)+IF(AND($B$2&lt;&gt;"",对接源_01水果!$AH877=$B$2,对接源_01水果!$B877&gt;=$U$1,对接源_01水果!$B877&lt;=$U$2),1,0)</f>
        <v>6</v>
      </c>
    </row>
    <row r="878">
      <c r="U878">
        <f>N(U877)+IF(AND($B$2&lt;&gt;"",对接源_01水果!$AH878=$B$2,对接源_01水果!$B878&gt;=$U$1,对接源_01水果!$B878&lt;=$U$2),1,0)</f>
        <v>6</v>
      </c>
    </row>
    <row r="879">
      <c r="U879">
        <f>N(U878)+IF(AND($B$2&lt;&gt;"",对接源_01水果!$AH879=$B$2,对接源_01水果!$B879&gt;=$U$1,对接源_01水果!$B879&lt;=$U$2),1,0)</f>
        <v>6</v>
      </c>
    </row>
    <row r="880">
      <c r="U880">
        <f>N(U879)+IF(AND($B$2&lt;&gt;"",对接源_01水果!$AH880=$B$2,对接源_01水果!$B880&gt;=$U$1,对接源_01水果!$B880&lt;=$U$2),1,0)</f>
        <v>6</v>
      </c>
    </row>
    <row r="881">
      <c r="U881">
        <f>N(U880)+IF(AND($B$2&lt;&gt;"",对接源_01水果!$AH881=$B$2,对接源_01水果!$B881&gt;=$U$1,对接源_01水果!$B881&lt;=$U$2),1,0)</f>
        <v>6</v>
      </c>
    </row>
    <row r="882">
      <c r="U882">
        <f>N(U881)+IF(AND($B$2&lt;&gt;"",对接源_01水果!$AH882=$B$2,对接源_01水果!$B882&gt;=$U$1,对接源_01水果!$B882&lt;=$U$2),1,0)</f>
        <v>6</v>
      </c>
    </row>
    <row r="883">
      <c r="U883">
        <f>N(U882)+IF(AND($B$2&lt;&gt;"",对接源_01水果!$AH883=$B$2,对接源_01水果!$B883&gt;=$U$1,对接源_01水果!$B883&lt;=$U$2),1,0)</f>
        <v>6</v>
      </c>
    </row>
    <row r="884">
      <c r="U884">
        <f>N(U883)+IF(AND($B$2&lt;&gt;"",对接源_01水果!$AH884=$B$2,对接源_01水果!$B884&gt;=$U$1,对接源_01水果!$B884&lt;=$U$2),1,0)</f>
        <v>6</v>
      </c>
    </row>
    <row r="885">
      <c r="U885">
        <f>N(U884)+IF(AND($B$2&lt;&gt;"",对接源_01水果!$AH885=$B$2,对接源_01水果!$B885&gt;=$U$1,对接源_01水果!$B885&lt;=$U$2),1,0)</f>
        <v>6</v>
      </c>
    </row>
    <row r="886">
      <c r="U886">
        <f>N(U885)+IF(AND($B$2&lt;&gt;"",对接源_01水果!$AH886=$B$2,对接源_01水果!$B886&gt;=$U$1,对接源_01水果!$B886&lt;=$U$2),1,0)</f>
        <v>6</v>
      </c>
    </row>
    <row r="887">
      <c r="U887">
        <f>N(U886)+IF(AND($B$2&lt;&gt;"",对接源_01水果!$AH887=$B$2,对接源_01水果!$B887&gt;=$U$1,对接源_01水果!$B887&lt;=$U$2),1,0)</f>
        <v>6</v>
      </c>
    </row>
    <row r="888">
      <c r="U888">
        <f>N(U887)+IF(AND($B$2&lt;&gt;"",对接源_01水果!$AH888=$B$2,对接源_01水果!$B888&gt;=$U$1,对接源_01水果!$B888&lt;=$U$2),1,0)</f>
        <v>6</v>
      </c>
    </row>
    <row r="889">
      <c r="U889">
        <f>N(U888)+IF(AND($B$2&lt;&gt;"",对接源_01水果!$AH889=$B$2,对接源_01水果!$B889&gt;=$U$1,对接源_01水果!$B889&lt;=$U$2),1,0)</f>
        <v>6</v>
      </c>
    </row>
    <row r="890">
      <c r="U890">
        <f>N(U889)+IF(AND($B$2&lt;&gt;"",对接源_01水果!$AH890=$B$2,对接源_01水果!$B890&gt;=$U$1,对接源_01水果!$B890&lt;=$U$2),1,0)</f>
        <v>6</v>
      </c>
    </row>
    <row r="891">
      <c r="U891">
        <f>N(U890)+IF(AND($B$2&lt;&gt;"",对接源_01水果!$AH891=$B$2,对接源_01水果!$B891&gt;=$U$1,对接源_01水果!$B891&lt;=$U$2),1,0)</f>
        <v>6</v>
      </c>
    </row>
    <row r="892">
      <c r="U892">
        <f>N(U891)+IF(AND($B$2&lt;&gt;"",对接源_01水果!$AH892=$B$2,对接源_01水果!$B892&gt;=$U$1,对接源_01水果!$B892&lt;=$U$2),1,0)</f>
        <v>6</v>
      </c>
    </row>
    <row r="893">
      <c r="U893">
        <f>N(U892)+IF(AND($B$2&lt;&gt;"",对接源_01水果!$AH893=$B$2,对接源_01水果!$B893&gt;=$U$1,对接源_01水果!$B893&lt;=$U$2),1,0)</f>
        <v>6</v>
      </c>
    </row>
    <row r="894">
      <c r="U894">
        <f>N(U893)+IF(AND($B$2&lt;&gt;"",对接源_01水果!$AH894=$B$2,对接源_01水果!$B894&gt;=$U$1,对接源_01水果!$B894&lt;=$U$2),1,0)</f>
        <v>6</v>
      </c>
    </row>
    <row r="895">
      <c r="U895">
        <f>N(U894)+IF(AND($B$2&lt;&gt;"",对接源_01水果!$AH895=$B$2,对接源_01水果!$B895&gt;=$U$1,对接源_01水果!$B895&lt;=$U$2),1,0)</f>
        <v>6</v>
      </c>
    </row>
    <row r="896">
      <c r="U896">
        <f>N(U895)+IF(AND($B$2&lt;&gt;"",对接源_01水果!$AH896=$B$2,对接源_01水果!$B896&gt;=$U$1,对接源_01水果!$B896&lt;=$U$2),1,0)</f>
        <v>6</v>
      </c>
    </row>
    <row r="897">
      <c r="U897">
        <f>N(U896)+IF(AND($B$2&lt;&gt;"",对接源_01水果!$AH897=$B$2,对接源_01水果!$B897&gt;=$U$1,对接源_01水果!$B897&lt;=$U$2),1,0)</f>
        <v>6</v>
      </c>
    </row>
    <row r="898">
      <c r="U898">
        <f>N(U897)+IF(AND($B$2&lt;&gt;"",对接源_01水果!$AH898=$B$2,对接源_01水果!$B898&gt;=$U$1,对接源_01水果!$B898&lt;=$U$2),1,0)</f>
        <v>6</v>
      </c>
    </row>
    <row r="899">
      <c r="U899">
        <f>N(U898)+IF(AND($B$2&lt;&gt;"",对接源_01水果!$AH899=$B$2,对接源_01水果!$B899&gt;=$U$1,对接源_01水果!$B899&lt;=$U$2),1,0)</f>
        <v>6</v>
      </c>
    </row>
    <row r="900">
      <c r="U900">
        <f>N(U899)+IF(AND($B$2&lt;&gt;"",对接源_01水果!$AH900=$B$2,对接源_01水果!$B900&gt;=$U$1,对接源_01水果!$B900&lt;=$U$2),1,0)</f>
        <v>6</v>
      </c>
    </row>
    <row r="901">
      <c r="U901">
        <f>N(U900)+IF(AND($B$2&lt;&gt;"",对接源_01水果!$AH901=$B$2,对接源_01水果!$B901&gt;=$U$1,对接源_01水果!$B901&lt;=$U$2),1,0)</f>
        <v>6</v>
      </c>
    </row>
    <row r="902">
      <c r="U902">
        <f>N(U901)+IF(AND($B$2&lt;&gt;"",对接源_01水果!$AH902=$B$2,对接源_01水果!$B902&gt;=$U$1,对接源_01水果!$B902&lt;=$U$2),1,0)</f>
        <v>6</v>
      </c>
    </row>
    <row r="903">
      <c r="U903">
        <f>N(U902)+IF(AND($B$2&lt;&gt;"",对接源_01水果!$AH903=$B$2,对接源_01水果!$B903&gt;=$U$1,对接源_01水果!$B903&lt;=$U$2),1,0)</f>
        <v>6</v>
      </c>
    </row>
    <row r="904">
      <c r="U904">
        <f>N(U903)+IF(AND($B$2&lt;&gt;"",对接源_01水果!$AH904=$B$2,对接源_01水果!$B904&gt;=$U$1,对接源_01水果!$B904&lt;=$U$2),1,0)</f>
        <v>6</v>
      </c>
    </row>
    <row r="905">
      <c r="U905">
        <f>N(U904)+IF(AND($B$2&lt;&gt;"",对接源_01水果!$AH905=$B$2,对接源_01水果!$B905&gt;=$U$1,对接源_01水果!$B905&lt;=$U$2),1,0)</f>
        <v>6</v>
      </c>
    </row>
    <row r="906">
      <c r="U906">
        <f>N(U905)+IF(AND($B$2&lt;&gt;"",对接源_01水果!$AH906=$B$2,对接源_01水果!$B906&gt;=$U$1,对接源_01水果!$B906&lt;=$U$2),1,0)</f>
        <v>6</v>
      </c>
    </row>
    <row r="907">
      <c r="U907">
        <f>N(U906)+IF(AND($B$2&lt;&gt;"",对接源_01水果!$AH907=$B$2,对接源_01水果!$B907&gt;=$U$1,对接源_01水果!$B907&lt;=$U$2),1,0)</f>
        <v>6</v>
      </c>
    </row>
    <row r="908">
      <c r="U908">
        <f>N(U907)+IF(AND($B$2&lt;&gt;"",对接源_01水果!$AH908=$B$2,对接源_01水果!$B908&gt;=$U$1,对接源_01水果!$B908&lt;=$U$2),1,0)</f>
        <v>6</v>
      </c>
    </row>
    <row r="909">
      <c r="U909">
        <f>N(U908)+IF(AND($B$2&lt;&gt;"",对接源_01水果!$AH909=$B$2,对接源_01水果!$B909&gt;=$U$1,对接源_01水果!$B909&lt;=$U$2),1,0)</f>
        <v>6</v>
      </c>
    </row>
    <row r="910">
      <c r="U910">
        <f>N(U909)+IF(AND($B$2&lt;&gt;"",对接源_01水果!$AH910=$B$2,对接源_01水果!$B910&gt;=$U$1,对接源_01水果!$B910&lt;=$U$2),1,0)</f>
        <v>6</v>
      </c>
    </row>
    <row r="911">
      <c r="U911">
        <f>N(U910)+IF(AND($B$2&lt;&gt;"",对接源_01水果!$AH911=$B$2,对接源_01水果!$B911&gt;=$U$1,对接源_01水果!$B911&lt;=$U$2),1,0)</f>
        <v>6</v>
      </c>
    </row>
    <row r="912">
      <c r="U912">
        <f>N(U911)+IF(AND($B$2&lt;&gt;"",对接源_01水果!$AH912=$B$2,对接源_01水果!$B912&gt;=$U$1,对接源_01水果!$B912&lt;=$U$2),1,0)</f>
        <v>6</v>
      </c>
    </row>
    <row r="913">
      <c r="U913">
        <f>N(U912)+IF(AND($B$2&lt;&gt;"",对接源_01水果!$AH913=$B$2,对接源_01水果!$B913&gt;=$U$1,对接源_01水果!$B913&lt;=$U$2),1,0)</f>
        <v>6</v>
      </c>
    </row>
    <row r="914">
      <c r="U914">
        <f>N(U913)+IF(AND($B$2&lt;&gt;"",对接源_01水果!$AH914=$B$2,对接源_01水果!$B914&gt;=$U$1,对接源_01水果!$B914&lt;=$U$2),1,0)</f>
        <v>6</v>
      </c>
    </row>
    <row r="915">
      <c r="U915">
        <f>N(U914)+IF(AND($B$2&lt;&gt;"",对接源_01水果!$AH915=$B$2,对接源_01水果!$B915&gt;=$U$1,对接源_01水果!$B915&lt;=$U$2),1,0)</f>
        <v>6</v>
      </c>
    </row>
    <row r="916">
      <c r="U916">
        <f>N(U915)+IF(AND($B$2&lt;&gt;"",对接源_01水果!$AH916=$B$2,对接源_01水果!$B916&gt;=$U$1,对接源_01水果!$B916&lt;=$U$2),1,0)</f>
        <v>6</v>
      </c>
    </row>
    <row r="917">
      <c r="U917">
        <f>N(U916)+IF(AND($B$2&lt;&gt;"",对接源_01水果!$AH917=$B$2,对接源_01水果!$B917&gt;=$U$1,对接源_01水果!$B917&lt;=$U$2),1,0)</f>
        <v>6</v>
      </c>
    </row>
    <row r="918">
      <c r="U918">
        <f>N(U917)+IF(AND($B$2&lt;&gt;"",对接源_01水果!$AH918=$B$2,对接源_01水果!$B918&gt;=$U$1,对接源_01水果!$B918&lt;=$U$2),1,0)</f>
        <v>6</v>
      </c>
    </row>
    <row r="919">
      <c r="U919">
        <f>N(U918)+IF(AND($B$2&lt;&gt;"",对接源_01水果!$AH919=$B$2,对接源_01水果!$B919&gt;=$U$1,对接源_01水果!$B919&lt;=$U$2),1,0)</f>
        <v>6</v>
      </c>
    </row>
    <row r="920">
      <c r="U920">
        <f>N(U919)+IF(AND($B$2&lt;&gt;"",对接源_01水果!$AH920=$B$2,对接源_01水果!$B920&gt;=$U$1,对接源_01水果!$B920&lt;=$U$2),1,0)</f>
        <v>6</v>
      </c>
    </row>
    <row r="921">
      <c r="U921">
        <f>N(U920)+IF(AND($B$2&lt;&gt;"",对接源_01水果!$AH921=$B$2,对接源_01水果!$B921&gt;=$U$1,对接源_01水果!$B921&lt;=$U$2),1,0)</f>
        <v>6</v>
      </c>
    </row>
    <row r="922">
      <c r="U922">
        <f>N(U921)+IF(AND($B$2&lt;&gt;"",对接源_01水果!$AH922=$B$2,对接源_01水果!$B922&gt;=$U$1,对接源_01水果!$B922&lt;=$U$2),1,0)</f>
        <v>6</v>
      </c>
    </row>
    <row r="923">
      <c r="U923">
        <f>N(U922)+IF(AND($B$2&lt;&gt;"",对接源_01水果!$AH923=$B$2,对接源_01水果!$B923&gt;=$U$1,对接源_01水果!$B923&lt;=$U$2),1,0)</f>
        <v>6</v>
      </c>
    </row>
    <row r="924">
      <c r="U924">
        <f>N(U923)+IF(AND($B$2&lt;&gt;"",对接源_01水果!$AH924=$B$2,对接源_01水果!$B924&gt;=$U$1,对接源_01水果!$B924&lt;=$U$2),1,0)</f>
        <v>6</v>
      </c>
    </row>
    <row r="925">
      <c r="U925">
        <f>N(U924)+IF(AND($B$2&lt;&gt;"",对接源_01水果!$AH925=$B$2,对接源_01水果!$B925&gt;=$U$1,对接源_01水果!$B925&lt;=$U$2),1,0)</f>
        <v>6</v>
      </c>
    </row>
    <row r="926">
      <c r="U926">
        <f>N(U925)+IF(AND($B$2&lt;&gt;"",对接源_01水果!$AH926=$B$2,对接源_01水果!$B926&gt;=$U$1,对接源_01水果!$B926&lt;=$U$2),1,0)</f>
        <v>6</v>
      </c>
    </row>
    <row r="927">
      <c r="U927">
        <f>N(U926)+IF(AND($B$2&lt;&gt;"",对接源_01水果!$AH927=$B$2,对接源_01水果!$B927&gt;=$U$1,对接源_01水果!$B927&lt;=$U$2),1,0)</f>
        <v>6</v>
      </c>
    </row>
    <row r="928">
      <c r="U928">
        <f>N(U927)+IF(AND($B$2&lt;&gt;"",对接源_01水果!$AH928=$B$2,对接源_01水果!$B928&gt;=$U$1,对接源_01水果!$B928&lt;=$U$2),1,0)</f>
        <v>6</v>
      </c>
    </row>
    <row r="929">
      <c r="U929">
        <f>N(U928)+IF(AND($B$2&lt;&gt;"",对接源_01水果!$AH929=$B$2,对接源_01水果!$B929&gt;=$U$1,对接源_01水果!$B929&lt;=$U$2),1,0)</f>
        <v>6</v>
      </c>
    </row>
    <row r="930">
      <c r="U930">
        <f>N(U929)+IF(AND($B$2&lt;&gt;"",对接源_01水果!$AH930=$B$2,对接源_01水果!$B930&gt;=$U$1,对接源_01水果!$B930&lt;=$U$2),1,0)</f>
        <v>6</v>
      </c>
    </row>
    <row r="931">
      <c r="U931">
        <f>N(U930)+IF(AND($B$2&lt;&gt;"",对接源_01水果!$AH931=$B$2,对接源_01水果!$B931&gt;=$U$1,对接源_01水果!$B931&lt;=$U$2),1,0)</f>
        <v>6</v>
      </c>
    </row>
    <row r="932">
      <c r="U932">
        <f>N(U931)+IF(AND($B$2&lt;&gt;"",对接源_01水果!$AH932=$B$2,对接源_01水果!$B932&gt;=$U$1,对接源_01水果!$B932&lt;=$U$2),1,0)</f>
        <v>6</v>
      </c>
    </row>
    <row r="933">
      <c r="U933">
        <f>N(U932)+IF(AND($B$2&lt;&gt;"",对接源_01水果!$AH933=$B$2,对接源_01水果!$B933&gt;=$U$1,对接源_01水果!$B933&lt;=$U$2),1,0)</f>
        <v>6</v>
      </c>
    </row>
    <row r="934">
      <c r="U934">
        <f>N(U933)+IF(AND($B$2&lt;&gt;"",对接源_01水果!$AH934=$B$2,对接源_01水果!$B934&gt;=$U$1,对接源_01水果!$B934&lt;=$U$2),1,0)</f>
        <v>6</v>
      </c>
    </row>
    <row r="935">
      <c r="U935">
        <f>N(U934)+IF(AND($B$2&lt;&gt;"",对接源_01水果!$AH935=$B$2,对接源_01水果!$B935&gt;=$U$1,对接源_01水果!$B935&lt;=$U$2),1,0)</f>
        <v>6</v>
      </c>
    </row>
    <row r="936">
      <c r="U936">
        <f>N(U935)+IF(AND($B$2&lt;&gt;"",对接源_01水果!$AH936=$B$2,对接源_01水果!$B936&gt;=$U$1,对接源_01水果!$B936&lt;=$U$2),1,0)</f>
        <v>6</v>
      </c>
    </row>
    <row r="937">
      <c r="U937">
        <f>N(U936)+IF(AND($B$2&lt;&gt;"",对接源_01水果!$AH937=$B$2,对接源_01水果!$B937&gt;=$U$1,对接源_01水果!$B937&lt;=$U$2),1,0)</f>
        <v>6</v>
      </c>
    </row>
    <row r="938">
      <c r="U938">
        <f>N(U937)+IF(AND($B$2&lt;&gt;"",对接源_01水果!$AH938=$B$2,对接源_01水果!$B938&gt;=$U$1,对接源_01水果!$B938&lt;=$U$2),1,0)</f>
        <v>6</v>
      </c>
    </row>
    <row r="939">
      <c r="U939">
        <f>N(U938)+IF(AND($B$2&lt;&gt;"",对接源_01水果!$AH939=$B$2,对接源_01水果!$B939&gt;=$U$1,对接源_01水果!$B939&lt;=$U$2),1,0)</f>
        <v>6</v>
      </c>
    </row>
    <row r="940">
      <c r="U940">
        <f>N(U939)+IF(AND($B$2&lt;&gt;"",对接源_01水果!$AH940=$B$2,对接源_01水果!$B940&gt;=$U$1,对接源_01水果!$B940&lt;=$U$2),1,0)</f>
        <v>6</v>
      </c>
    </row>
    <row r="941">
      <c r="U941">
        <f>N(U940)+IF(AND($B$2&lt;&gt;"",对接源_01水果!$AH941=$B$2,对接源_01水果!$B941&gt;=$U$1,对接源_01水果!$B941&lt;=$U$2),1,0)</f>
        <v>6</v>
      </c>
    </row>
    <row r="942">
      <c r="U942">
        <f>N(U941)+IF(AND($B$2&lt;&gt;"",对接源_01水果!$AH942=$B$2,对接源_01水果!$B942&gt;=$U$1,对接源_01水果!$B942&lt;=$U$2),1,0)</f>
        <v>6</v>
      </c>
    </row>
    <row r="943">
      <c r="U943">
        <f>N(U942)+IF(AND($B$2&lt;&gt;"",对接源_01水果!$AH943=$B$2,对接源_01水果!$B943&gt;=$U$1,对接源_01水果!$B943&lt;=$U$2),1,0)</f>
        <v>6</v>
      </c>
    </row>
    <row r="944">
      <c r="U944">
        <f>N(U943)+IF(AND($B$2&lt;&gt;"",对接源_01水果!$AH944=$B$2,对接源_01水果!$B944&gt;=$U$1,对接源_01水果!$B944&lt;=$U$2),1,0)</f>
        <v>6</v>
      </c>
    </row>
    <row r="945">
      <c r="U945">
        <f>N(U944)+IF(AND($B$2&lt;&gt;"",对接源_01水果!$AH945=$B$2,对接源_01水果!$B945&gt;=$U$1,对接源_01水果!$B945&lt;=$U$2),1,0)</f>
        <v>6</v>
      </c>
    </row>
    <row r="946">
      <c r="U946">
        <f>N(U945)+IF(AND($B$2&lt;&gt;"",对接源_01水果!$AH946=$B$2,对接源_01水果!$B946&gt;=$U$1,对接源_01水果!$B946&lt;=$U$2),1,0)</f>
        <v>6</v>
      </c>
    </row>
    <row r="947">
      <c r="U947">
        <f>N(U946)+IF(AND($B$2&lt;&gt;"",对接源_01水果!$AH947=$B$2,对接源_01水果!$B947&gt;=$U$1,对接源_01水果!$B947&lt;=$U$2),1,0)</f>
        <v>6</v>
      </c>
    </row>
    <row r="948">
      <c r="U948">
        <f>N(U947)+IF(AND($B$2&lt;&gt;"",对接源_01水果!$AH948=$B$2,对接源_01水果!$B948&gt;=$U$1,对接源_01水果!$B948&lt;=$U$2),1,0)</f>
        <v>6</v>
      </c>
    </row>
    <row r="949">
      <c r="U949">
        <f>N(U948)+IF(AND($B$2&lt;&gt;"",对接源_01水果!$AH949=$B$2,对接源_01水果!$B949&gt;=$U$1,对接源_01水果!$B949&lt;=$U$2),1,0)</f>
        <v>6</v>
      </c>
    </row>
    <row r="950">
      <c r="U950">
        <f>N(U949)+IF(AND($B$2&lt;&gt;"",对接源_01水果!$AH950=$B$2,对接源_01水果!$B950&gt;=$U$1,对接源_01水果!$B950&lt;=$U$2),1,0)</f>
        <v>6</v>
      </c>
    </row>
    <row r="951">
      <c r="U951">
        <f>N(U950)+IF(AND($B$2&lt;&gt;"",对接源_01水果!$AH951=$B$2,对接源_01水果!$B951&gt;=$U$1,对接源_01水果!$B951&lt;=$U$2),1,0)</f>
        <v>6</v>
      </c>
    </row>
    <row r="952">
      <c r="U952">
        <f>N(U951)+IF(AND($B$2&lt;&gt;"",对接源_01水果!$AH952=$B$2,对接源_01水果!$B952&gt;=$U$1,对接源_01水果!$B952&lt;=$U$2),1,0)</f>
        <v>6</v>
      </c>
    </row>
    <row r="953">
      <c r="U953">
        <f>N(U952)+IF(AND($B$2&lt;&gt;"",对接源_01水果!$AH953=$B$2,对接源_01水果!$B953&gt;=$U$1,对接源_01水果!$B953&lt;=$U$2),1,0)</f>
        <v>6</v>
      </c>
    </row>
    <row r="954">
      <c r="U954">
        <f>N(U953)+IF(AND($B$2&lt;&gt;"",对接源_01水果!$AH954=$B$2,对接源_01水果!$B954&gt;=$U$1,对接源_01水果!$B954&lt;=$U$2),1,0)</f>
        <v>6</v>
      </c>
    </row>
    <row r="955">
      <c r="U955">
        <f>N(U954)+IF(AND($B$2&lt;&gt;"",对接源_01水果!$AH955=$B$2,对接源_01水果!$B955&gt;=$U$1,对接源_01水果!$B955&lt;=$U$2),1,0)</f>
        <v>6</v>
      </c>
    </row>
    <row r="956">
      <c r="U956">
        <f>N(U955)+IF(AND($B$2&lt;&gt;"",对接源_01水果!$AH956=$B$2,对接源_01水果!$B956&gt;=$U$1,对接源_01水果!$B956&lt;=$U$2),1,0)</f>
        <v>6</v>
      </c>
    </row>
    <row r="957">
      <c r="U957">
        <f>N(U956)+IF(AND($B$2&lt;&gt;"",对接源_01水果!$AH957=$B$2,对接源_01水果!$B957&gt;=$U$1,对接源_01水果!$B957&lt;=$U$2),1,0)</f>
        <v>6</v>
      </c>
    </row>
    <row r="958">
      <c r="U958">
        <f>N(U957)+IF(AND($B$2&lt;&gt;"",对接源_01水果!$AH958=$B$2,对接源_01水果!$B958&gt;=$U$1,对接源_01水果!$B958&lt;=$U$2),1,0)</f>
        <v>6</v>
      </c>
    </row>
    <row r="959">
      <c r="U959">
        <f>N(U958)+IF(AND($B$2&lt;&gt;"",对接源_01水果!$AH959=$B$2,对接源_01水果!$B959&gt;=$U$1,对接源_01水果!$B959&lt;=$U$2),1,0)</f>
        <v>6</v>
      </c>
    </row>
    <row r="960">
      <c r="U960">
        <f>N(U959)+IF(AND($B$2&lt;&gt;"",对接源_01水果!$AH960=$B$2,对接源_01水果!$B960&gt;=$U$1,对接源_01水果!$B960&lt;=$U$2),1,0)</f>
        <v>6</v>
      </c>
    </row>
    <row r="961">
      <c r="U961">
        <f>N(U960)+IF(AND($B$2&lt;&gt;"",对接源_01水果!$AH961=$B$2,对接源_01水果!$B961&gt;=$U$1,对接源_01水果!$B961&lt;=$U$2),1,0)</f>
        <v>6</v>
      </c>
    </row>
    <row r="962">
      <c r="U962">
        <f>N(U961)+IF(AND($B$2&lt;&gt;"",对接源_01水果!$AH962=$B$2,对接源_01水果!$B962&gt;=$U$1,对接源_01水果!$B962&lt;=$U$2),1,0)</f>
        <v>6</v>
      </c>
    </row>
    <row r="963">
      <c r="U963">
        <f>N(U962)+IF(AND($B$2&lt;&gt;"",对接源_01水果!$AH963=$B$2,对接源_01水果!$B963&gt;=$U$1,对接源_01水果!$B963&lt;=$U$2),1,0)</f>
        <v>6</v>
      </c>
    </row>
    <row r="964">
      <c r="U964">
        <f>N(U963)+IF(AND($B$2&lt;&gt;"",对接源_01水果!$AH964=$B$2,对接源_01水果!$B964&gt;=$U$1,对接源_01水果!$B964&lt;=$U$2),1,0)</f>
        <v>6</v>
      </c>
    </row>
    <row r="965">
      <c r="U965">
        <f>N(U964)+IF(AND($B$2&lt;&gt;"",对接源_01水果!$AH965=$B$2,对接源_01水果!$B965&gt;=$U$1,对接源_01水果!$B965&lt;=$U$2),1,0)</f>
        <v>6</v>
      </c>
    </row>
    <row r="966">
      <c r="U966">
        <f>N(U965)+IF(AND($B$2&lt;&gt;"",对接源_01水果!$AH966=$B$2,对接源_01水果!$B966&gt;=$U$1,对接源_01水果!$B966&lt;=$U$2),1,0)</f>
        <v>6</v>
      </c>
    </row>
    <row r="967">
      <c r="U967">
        <f>N(U966)+IF(AND($B$2&lt;&gt;"",对接源_01水果!$AH967=$B$2,对接源_01水果!$B967&gt;=$U$1,对接源_01水果!$B967&lt;=$U$2),1,0)</f>
        <v>6</v>
      </c>
    </row>
    <row r="968">
      <c r="U968">
        <f>N(U967)+IF(AND($B$2&lt;&gt;"",对接源_01水果!$AH968=$B$2,对接源_01水果!$B968&gt;=$U$1,对接源_01水果!$B968&lt;=$U$2),1,0)</f>
        <v>6</v>
      </c>
    </row>
    <row r="969">
      <c r="U969">
        <f>N(U968)+IF(AND($B$2&lt;&gt;"",对接源_01水果!$AH969=$B$2,对接源_01水果!$B969&gt;=$U$1,对接源_01水果!$B969&lt;=$U$2),1,0)</f>
        <v>6</v>
      </c>
    </row>
    <row r="970">
      <c r="U970">
        <f>N(U969)+IF(AND($B$2&lt;&gt;"",对接源_01水果!$AH970=$B$2,对接源_01水果!$B970&gt;=$U$1,对接源_01水果!$B970&lt;=$U$2),1,0)</f>
        <v>6</v>
      </c>
    </row>
    <row r="971">
      <c r="U971">
        <f>N(U970)+IF(AND($B$2&lt;&gt;"",对接源_01水果!$AH971=$B$2,对接源_01水果!$B971&gt;=$U$1,对接源_01水果!$B971&lt;=$U$2),1,0)</f>
        <v>6</v>
      </c>
    </row>
    <row r="972">
      <c r="U972">
        <f>N(U971)+IF(AND($B$2&lt;&gt;"",对接源_01水果!$AH972=$B$2,对接源_01水果!$B972&gt;=$U$1,对接源_01水果!$B972&lt;=$U$2),1,0)</f>
        <v>6</v>
      </c>
    </row>
    <row r="973">
      <c r="U973">
        <f>N(U972)+IF(AND($B$2&lt;&gt;"",对接源_01水果!$AH973=$B$2,对接源_01水果!$B973&gt;=$U$1,对接源_01水果!$B973&lt;=$U$2),1,0)</f>
        <v>6</v>
      </c>
    </row>
    <row r="974">
      <c r="U974">
        <f>N(U973)+IF(AND($B$2&lt;&gt;"",对接源_01水果!$AH974=$B$2,对接源_01水果!$B974&gt;=$U$1,对接源_01水果!$B974&lt;=$U$2),1,0)</f>
        <v>6</v>
      </c>
    </row>
    <row r="975">
      <c r="U975">
        <f>N(U974)+IF(AND($B$2&lt;&gt;"",对接源_01水果!$AH975=$B$2,对接源_01水果!$B975&gt;=$U$1,对接源_01水果!$B975&lt;=$U$2),1,0)</f>
        <v>6</v>
      </c>
    </row>
    <row r="976">
      <c r="U976">
        <f>N(U975)+IF(AND($B$2&lt;&gt;"",对接源_01水果!$AH976=$B$2,对接源_01水果!$B976&gt;=$U$1,对接源_01水果!$B976&lt;=$U$2),1,0)</f>
        <v>6</v>
      </c>
    </row>
    <row r="977">
      <c r="U977">
        <f>N(U976)+IF(AND($B$2&lt;&gt;"",对接源_01水果!$AH977=$B$2,对接源_01水果!$B977&gt;=$U$1,对接源_01水果!$B977&lt;=$U$2),1,0)</f>
        <v>6</v>
      </c>
    </row>
    <row r="978">
      <c r="U978">
        <f>N(U977)+IF(AND($B$2&lt;&gt;"",对接源_01水果!$AH978=$B$2,对接源_01水果!$B978&gt;=$U$1,对接源_01水果!$B978&lt;=$U$2),1,0)</f>
        <v>6</v>
      </c>
    </row>
    <row r="979">
      <c r="U979">
        <f>N(U978)+IF(AND($B$2&lt;&gt;"",对接源_01水果!$AH979=$B$2,对接源_01水果!$B979&gt;=$U$1,对接源_01水果!$B979&lt;=$U$2),1,0)</f>
        <v>6</v>
      </c>
    </row>
    <row r="980">
      <c r="U980">
        <f>N(U979)+IF(AND($B$2&lt;&gt;"",对接源_01水果!$AH980=$B$2,对接源_01水果!$B980&gt;=$U$1,对接源_01水果!$B980&lt;=$U$2),1,0)</f>
        <v>6</v>
      </c>
    </row>
    <row r="981">
      <c r="U981">
        <f>N(U980)+IF(AND($B$2&lt;&gt;"",对接源_01水果!$AH981=$B$2,对接源_01水果!$B981&gt;=$U$1,对接源_01水果!$B981&lt;=$U$2),1,0)</f>
        <v>6</v>
      </c>
    </row>
    <row r="982">
      <c r="U982">
        <f>N(U981)+IF(AND($B$2&lt;&gt;"",对接源_01水果!$AH982=$B$2,对接源_01水果!$B982&gt;=$U$1,对接源_01水果!$B982&lt;=$U$2),1,0)</f>
        <v>6</v>
      </c>
    </row>
    <row r="983">
      <c r="U983">
        <f>N(U982)+IF(AND($B$2&lt;&gt;"",对接源_01水果!$AH983=$B$2,对接源_01水果!$B983&gt;=$U$1,对接源_01水果!$B983&lt;=$U$2),1,0)</f>
        <v>6</v>
      </c>
    </row>
    <row r="984">
      <c r="U984">
        <f>N(U983)+IF(AND($B$2&lt;&gt;"",对接源_01水果!$AH984=$B$2,对接源_01水果!$B984&gt;=$U$1,对接源_01水果!$B984&lt;=$U$2),1,0)</f>
        <v>6</v>
      </c>
    </row>
    <row r="985">
      <c r="U985">
        <f>N(U984)+IF(AND($B$2&lt;&gt;"",对接源_01水果!$AH985=$B$2,对接源_01水果!$B985&gt;=$U$1,对接源_01水果!$B985&lt;=$U$2),1,0)</f>
        <v>6</v>
      </c>
    </row>
    <row r="986">
      <c r="U986">
        <f>N(U985)+IF(AND($B$2&lt;&gt;"",对接源_01水果!$AH986=$B$2,对接源_01水果!$B986&gt;=$U$1,对接源_01水果!$B986&lt;=$U$2),1,0)</f>
        <v>6</v>
      </c>
    </row>
    <row r="987">
      <c r="U987">
        <f>N(U986)+IF(AND($B$2&lt;&gt;"",对接源_01水果!$AH987=$B$2,对接源_01水果!$B987&gt;=$U$1,对接源_01水果!$B987&lt;=$U$2),1,0)</f>
        <v>6</v>
      </c>
    </row>
    <row r="988">
      <c r="U988">
        <f>N(U987)+IF(AND($B$2&lt;&gt;"",对接源_01水果!$AH988=$B$2,对接源_01水果!$B988&gt;=$U$1,对接源_01水果!$B988&lt;=$U$2),1,0)</f>
        <v>6</v>
      </c>
    </row>
    <row r="989">
      <c r="U989">
        <f>N(U988)+IF(AND($B$2&lt;&gt;"",对接源_01水果!$AH989=$B$2,对接源_01水果!$B989&gt;=$U$1,对接源_01水果!$B989&lt;=$U$2),1,0)</f>
        <v>6</v>
      </c>
    </row>
    <row r="990">
      <c r="U990">
        <f>N(U989)+IF(AND($B$2&lt;&gt;"",对接源_01水果!$AH990=$B$2,对接源_01水果!$B990&gt;=$U$1,对接源_01水果!$B990&lt;=$U$2),1,0)</f>
        <v>6</v>
      </c>
    </row>
    <row r="991">
      <c r="U991">
        <f>N(U990)+IF(AND($B$2&lt;&gt;"",对接源_01水果!$AH991=$B$2,对接源_01水果!$B991&gt;=$U$1,对接源_01水果!$B991&lt;=$U$2),1,0)</f>
        <v>6</v>
      </c>
    </row>
    <row r="992">
      <c r="U992">
        <f>N(U991)+IF(AND($B$2&lt;&gt;"",对接源_01水果!$AH992=$B$2,对接源_01水果!$B992&gt;=$U$1,对接源_01水果!$B992&lt;=$U$2),1,0)</f>
        <v>6</v>
      </c>
    </row>
    <row r="993">
      <c r="U993">
        <f>N(U992)+IF(AND($B$2&lt;&gt;"",对接源_01水果!$AH993=$B$2,对接源_01水果!$B993&gt;=$U$1,对接源_01水果!$B993&lt;=$U$2),1,0)</f>
        <v>6</v>
      </c>
    </row>
    <row r="994">
      <c r="U994">
        <f>N(U993)+IF(AND($B$2&lt;&gt;"",对接源_01水果!$AH994=$B$2,对接源_01水果!$B994&gt;=$U$1,对接源_01水果!$B994&lt;=$U$2),1,0)</f>
        <v>6</v>
      </c>
    </row>
    <row r="995">
      <c r="U995">
        <f>N(U994)+IF(AND($B$2&lt;&gt;"",对接源_01水果!$AH995=$B$2,对接源_01水果!$B995&gt;=$U$1,对接源_01水果!$B995&lt;=$U$2),1,0)</f>
        <v>6</v>
      </c>
    </row>
    <row r="996">
      <c r="U996">
        <f>N(U995)+IF(AND($B$2&lt;&gt;"",对接源_01水果!$AH996=$B$2,对接源_01水果!$B996&gt;=$U$1,对接源_01水果!$B996&lt;=$U$2),1,0)</f>
        <v>6</v>
      </c>
    </row>
    <row r="997">
      <c r="U997">
        <f>N(U996)+IF(AND($B$2&lt;&gt;"",对接源_01水果!$AH997=$B$2,对接源_01水果!$B997&gt;=$U$1,对接源_01水果!$B997&lt;=$U$2),1,0)</f>
        <v>6</v>
      </c>
    </row>
    <row r="998">
      <c r="U998">
        <f>N(U997)+IF(AND($B$2&lt;&gt;"",对接源_01水果!$AH998=$B$2,对接源_01水果!$B998&gt;=$U$1,对接源_01水果!$B998&lt;=$U$2),1,0)</f>
        <v>6</v>
      </c>
    </row>
    <row r="999">
      <c r="U999">
        <f>N(U998)+IF(AND($B$2&lt;&gt;"",对接源_01水果!$AH999=$B$2,对接源_01水果!$B999&gt;=$U$1,对接源_01水果!$B999&lt;=$U$2),1,0)</f>
        <v>6</v>
      </c>
    </row>
    <row r="1000">
      <c r="U1000">
        <f>N(U999)+IF(AND($B$2&lt;&gt;"",对接源_01水果!$AH1000=$B$2,对接源_01水果!$B1000&gt;=$U$1,对接源_01水果!$B1000&lt;=$U$2),1,0)</f>
        <v>6</v>
      </c>
    </row>
    <row r="1001">
      <c r="U1001">
        <f>N(U1000)+IF(AND($B$2&lt;&gt;"",对接源_01水果!$AH1001=$B$2,对接源_01水果!$B1001&gt;=$U$1,对接源_01水果!$B1001&lt;=$U$2),1,0)</f>
        <v>6</v>
      </c>
    </row>
    <row r="1002">
      <c r="U1002">
        <f>N(U1001)+IF(AND($B$2&lt;&gt;"",对接源_01水果!$AH1002=$B$2,对接源_01水果!$B1002&gt;=$U$1,对接源_01水果!$B1002&lt;=$U$2),1,0)</f>
        <v>6</v>
      </c>
    </row>
    <row r="1003">
      <c r="U1003">
        <f>N(U1002)+IF(AND($B$2&lt;&gt;"",对接源_01水果!$AH1003=$B$2,对接源_01水果!$B1003&gt;=$U$1,对接源_01水果!$B1003&lt;=$U$2),1,0)</f>
        <v>6</v>
      </c>
    </row>
    <row r="1004">
      <c r="U1004">
        <f>N(U1003)+IF(AND($B$2&lt;&gt;"",对接源_01水果!$AH1004=$B$2,对接源_01水果!$B1004&gt;=$U$1,对接源_01水果!$B1004&lt;=$U$2),1,0)</f>
        <v>6</v>
      </c>
    </row>
    <row r="1005">
      <c r="U1005">
        <f>N(U1004)+IF(AND($B$2&lt;&gt;"",对接源_01水果!$AH1005=$B$2,对接源_01水果!$B1005&gt;=$U$1,对接源_01水果!$B1005&lt;=$U$2),1,0)</f>
        <v>6</v>
      </c>
    </row>
    <row r="1006">
      <c r="U1006">
        <f>N(U1005)+IF(AND($B$2&lt;&gt;"",对接源_01水果!$AH1006=$B$2,对接源_01水果!$B1006&gt;=$U$1,对接源_01水果!$B1006&lt;=$U$2),1,0)</f>
        <v>6</v>
      </c>
    </row>
    <row r="1007">
      <c r="U1007">
        <f>N(U1006)+IF(AND($B$2&lt;&gt;"",对接源_01水果!$AH1007=$B$2,对接源_01水果!$B1007&gt;=$U$1,对接源_01水果!$B1007&lt;=$U$2),1,0)</f>
        <v>6</v>
      </c>
    </row>
    <row r="1008">
      <c r="U1008">
        <f>N(U1007)+IF(AND($B$2&lt;&gt;"",对接源_01水果!$AH1008=$B$2,对接源_01水果!$B1008&gt;=$U$1,对接源_01水果!$B1008&lt;=$U$2),1,0)</f>
        <v>6</v>
      </c>
    </row>
    <row r="1009">
      <c r="U1009">
        <f>N(U1008)+IF(AND($B$2&lt;&gt;"",对接源_01水果!$AH1009=$B$2,对接源_01水果!$B1009&gt;=$U$1,对接源_01水果!$B1009&lt;=$U$2),1,0)</f>
        <v>6</v>
      </c>
    </row>
    <row r="1010">
      <c r="U1010">
        <f>N(U1009)+IF(AND($B$2&lt;&gt;"",对接源_01水果!$AH1010=$B$2,对接源_01水果!$B1010&gt;=$U$1,对接源_01水果!$B1010&lt;=$U$2),1,0)</f>
        <v>6</v>
      </c>
    </row>
    <row r="1011">
      <c r="U1011">
        <f>N(U1010)+IF(AND($B$2&lt;&gt;"",对接源_01水果!$AH1011=$B$2,对接源_01水果!$B1011&gt;=$U$1,对接源_01水果!$B1011&lt;=$U$2),1,0)</f>
        <v>6</v>
      </c>
    </row>
    <row r="1012">
      <c r="U1012">
        <f>N(U1011)+IF(AND($B$2&lt;&gt;"",对接源_01水果!$AH1012=$B$2,对接源_01水果!$B1012&gt;=$U$1,对接源_01水果!$B1012&lt;=$U$2),1,0)</f>
        <v>6</v>
      </c>
    </row>
    <row r="1013">
      <c r="U1013">
        <f>N(U1012)+IF(AND($B$2&lt;&gt;"",对接源_01水果!$AH1013=$B$2,对接源_01水果!$B1013&gt;=$U$1,对接源_01水果!$B1013&lt;=$U$2),1,0)</f>
        <v>6</v>
      </c>
    </row>
    <row r="1014">
      <c r="U1014">
        <f>N(U1013)+IF(AND($B$2&lt;&gt;"",对接源_01水果!$AH1014=$B$2,对接源_01水果!$B1014&gt;=$U$1,对接源_01水果!$B1014&lt;=$U$2),1,0)</f>
        <v>6</v>
      </c>
    </row>
    <row r="1015">
      <c r="U1015">
        <f>N(U1014)+IF(AND($B$2&lt;&gt;"",对接源_01水果!$AH1015=$B$2,对接源_01水果!$B1015&gt;=$U$1,对接源_01水果!$B1015&lt;=$U$2),1,0)</f>
        <v>6</v>
      </c>
    </row>
    <row r="1016">
      <c r="U1016">
        <f>N(U1015)+IF(AND($B$2&lt;&gt;"",对接源_01水果!$AH1016=$B$2,对接源_01水果!$B1016&gt;=$U$1,对接源_01水果!$B1016&lt;=$U$2),1,0)</f>
        <v>6</v>
      </c>
    </row>
    <row r="1017">
      <c r="U1017">
        <f>N(U1016)+IF(AND($B$2&lt;&gt;"",对接源_01水果!$AH1017=$B$2,对接源_01水果!$B1017&gt;=$U$1,对接源_01水果!$B1017&lt;=$U$2),1,0)</f>
        <v>6</v>
      </c>
    </row>
    <row r="1018">
      <c r="U1018">
        <f>N(U1017)+IF(AND($B$2&lt;&gt;"",对接源_01水果!$AH1018=$B$2,对接源_01水果!$B1018&gt;=$U$1,对接源_01水果!$B1018&lt;=$U$2),1,0)</f>
        <v>6</v>
      </c>
    </row>
    <row r="1019">
      <c r="U1019">
        <f>N(U1018)+IF(AND($B$2&lt;&gt;"",对接源_01水果!$AH1019=$B$2,对接源_01水果!$B1019&gt;=$U$1,对接源_01水果!$B1019&lt;=$U$2),1,0)</f>
        <v>6</v>
      </c>
    </row>
    <row r="1020">
      <c r="U1020">
        <f>N(U1019)+IF(AND($B$2&lt;&gt;"",对接源_01水果!$AH1020=$B$2,对接源_01水果!$B1020&gt;=$U$1,对接源_01水果!$B1020&lt;=$U$2),1,0)</f>
        <v>6</v>
      </c>
    </row>
    <row r="1021">
      <c r="U1021">
        <f>N(U1020)+IF(AND($B$2&lt;&gt;"",对接源_01水果!$AH1021=$B$2,对接源_01水果!$B1021&gt;=$U$1,对接源_01水果!$B1021&lt;=$U$2),1,0)</f>
        <v>6</v>
      </c>
    </row>
    <row r="1022">
      <c r="U1022">
        <f>N(U1021)+IF(AND($B$2&lt;&gt;"",对接源_01水果!$AH1022=$B$2,对接源_01水果!$B1022&gt;=$U$1,对接源_01水果!$B1022&lt;=$U$2),1,0)</f>
        <v>6</v>
      </c>
    </row>
    <row r="1023">
      <c r="U1023">
        <f>N(U1022)+IF(AND($B$2&lt;&gt;"",对接源_01水果!$AH1023=$B$2,对接源_01水果!$B1023&gt;=$U$1,对接源_01水果!$B1023&lt;=$U$2),1,0)</f>
        <v>6</v>
      </c>
    </row>
    <row r="1024">
      <c r="U1024">
        <f>N(U1023)+IF(AND($B$2&lt;&gt;"",对接源_01水果!$AH1024=$B$2,对接源_01水果!$B1024&gt;=$U$1,对接源_01水果!$B1024&lt;=$U$2),1,0)</f>
        <v>6</v>
      </c>
    </row>
    <row r="1025">
      <c r="U1025">
        <f>N(U1024)+IF(AND($B$2&lt;&gt;"",对接源_01水果!$AH1025=$B$2,对接源_01水果!$B1025&gt;=$U$1,对接源_01水果!$B1025&lt;=$U$2),1,0)</f>
        <v>6</v>
      </c>
    </row>
    <row r="1026">
      <c r="U1026">
        <f>N(U1025)+IF(AND($B$2&lt;&gt;"",对接源_01水果!$AH1026=$B$2,对接源_01水果!$B1026&gt;=$U$1,对接源_01水果!$B1026&lt;=$U$2),1,0)</f>
        <v>6</v>
      </c>
    </row>
    <row r="1027">
      <c r="U1027">
        <f>N(U1026)+IF(AND($B$2&lt;&gt;"",对接源_01水果!$AH1027=$B$2,对接源_01水果!$B1027&gt;=$U$1,对接源_01水果!$B1027&lt;=$U$2),1,0)</f>
        <v>6</v>
      </c>
    </row>
    <row r="1028">
      <c r="U1028">
        <f>N(U1027)+IF(AND($B$2&lt;&gt;"",对接源_01水果!$AH1028=$B$2,对接源_01水果!$B1028&gt;=$U$1,对接源_01水果!$B1028&lt;=$U$2),1,0)</f>
        <v>6</v>
      </c>
    </row>
    <row r="1029">
      <c r="U1029">
        <f>N(U1028)+IF(AND($B$2&lt;&gt;"",对接源_01水果!$AH1029=$B$2,对接源_01水果!$B1029&gt;=$U$1,对接源_01水果!$B1029&lt;=$U$2),1,0)</f>
        <v>6</v>
      </c>
    </row>
    <row r="1030">
      <c r="U1030">
        <f>N(U1029)+IF(AND($B$2&lt;&gt;"",对接源_01水果!$AH1030=$B$2,对接源_01水果!$B1030&gt;=$U$1,对接源_01水果!$B1030&lt;=$U$2),1,0)</f>
        <v>6</v>
      </c>
    </row>
    <row r="1031">
      <c r="U1031">
        <f>N(U1030)+IF(AND($B$2&lt;&gt;"",对接源_01水果!$AH1031=$B$2,对接源_01水果!$B1031&gt;=$U$1,对接源_01水果!$B1031&lt;=$U$2),1,0)</f>
        <v>6</v>
      </c>
    </row>
    <row r="1032">
      <c r="U1032">
        <f>N(U1031)+IF(AND($B$2&lt;&gt;"",对接源_01水果!$AH1032=$B$2,对接源_01水果!$B1032&gt;=$U$1,对接源_01水果!$B1032&lt;=$U$2),1,0)</f>
        <v>6</v>
      </c>
    </row>
    <row r="1033">
      <c r="U1033">
        <f>N(U1032)+IF(AND($B$2&lt;&gt;"",对接源_01水果!$AH1033=$B$2,对接源_01水果!$B1033&gt;=$U$1,对接源_01水果!$B1033&lt;=$U$2),1,0)</f>
        <v>6</v>
      </c>
    </row>
    <row r="1034">
      <c r="U1034">
        <f>N(U1033)+IF(AND($B$2&lt;&gt;"",对接源_01水果!$AH1034=$B$2,对接源_01水果!$B1034&gt;=$U$1,对接源_01水果!$B1034&lt;=$U$2),1,0)</f>
        <v>6</v>
      </c>
    </row>
    <row r="1035">
      <c r="U1035">
        <f>N(U1034)+IF(AND($B$2&lt;&gt;"",对接源_01水果!$AH1035=$B$2,对接源_01水果!$B1035&gt;=$U$1,对接源_01水果!$B1035&lt;=$U$2),1,0)</f>
        <v>6</v>
      </c>
    </row>
    <row r="1036">
      <c r="U1036">
        <f>N(U1035)+IF(AND($B$2&lt;&gt;"",对接源_01水果!$AH1036=$B$2,对接源_01水果!$B1036&gt;=$U$1,对接源_01水果!$B1036&lt;=$U$2),1,0)</f>
        <v>6</v>
      </c>
    </row>
    <row r="1037">
      <c r="U1037">
        <f>N(U1036)+IF(AND($B$2&lt;&gt;"",对接源_01水果!$AH1037=$B$2,对接源_01水果!$B1037&gt;=$U$1,对接源_01水果!$B1037&lt;=$U$2),1,0)</f>
        <v>6</v>
      </c>
    </row>
    <row r="1038">
      <c r="U1038">
        <f>N(U1037)+IF(AND($B$2&lt;&gt;"",对接源_01水果!$AH1038=$B$2,对接源_01水果!$B1038&gt;=$U$1,对接源_01水果!$B1038&lt;=$U$2),1,0)</f>
        <v>6</v>
      </c>
    </row>
    <row r="1039">
      <c r="U1039">
        <f>N(U1038)+IF(AND($B$2&lt;&gt;"",对接源_01水果!$AH1039=$B$2,对接源_01水果!$B1039&gt;=$U$1,对接源_01水果!$B1039&lt;=$U$2),1,0)</f>
        <v>6</v>
      </c>
    </row>
    <row r="1040">
      <c r="U1040">
        <f>N(U1039)+IF(AND($B$2&lt;&gt;"",对接源_01水果!$AH1040=$B$2,对接源_01水果!$B1040&gt;=$U$1,对接源_01水果!$B1040&lt;=$U$2),1,0)</f>
        <v>6</v>
      </c>
    </row>
    <row r="1041">
      <c r="U1041">
        <f>N(U1040)+IF(AND($B$2&lt;&gt;"",对接源_01水果!$AH1041=$B$2,对接源_01水果!$B1041&gt;=$U$1,对接源_01水果!$B1041&lt;=$U$2),1,0)</f>
        <v>6</v>
      </c>
    </row>
    <row r="1042">
      <c r="U1042">
        <f>N(U1041)+IF(AND($B$2&lt;&gt;"",对接源_01水果!$AH1042=$B$2,对接源_01水果!$B1042&gt;=$U$1,对接源_01水果!$B1042&lt;=$U$2),1,0)</f>
        <v>6</v>
      </c>
    </row>
    <row r="1043">
      <c r="U1043">
        <f>N(U1042)+IF(AND($B$2&lt;&gt;"",对接源_01水果!$AH1043=$B$2,对接源_01水果!$B1043&gt;=$U$1,对接源_01水果!$B1043&lt;=$U$2),1,0)</f>
        <v>6</v>
      </c>
    </row>
    <row r="1044">
      <c r="U1044">
        <f>N(U1043)+IF(AND($B$2&lt;&gt;"",对接源_01水果!$AH1044=$B$2,对接源_01水果!$B1044&gt;=$U$1,对接源_01水果!$B1044&lt;=$U$2),1,0)</f>
        <v>6</v>
      </c>
    </row>
    <row r="1045">
      <c r="U1045">
        <f>N(U1044)+IF(AND($B$2&lt;&gt;"",对接源_01水果!$AH1045=$B$2,对接源_01水果!$B1045&gt;=$U$1,对接源_01水果!$B1045&lt;=$U$2),1,0)</f>
        <v>6</v>
      </c>
    </row>
    <row r="1046">
      <c r="U1046">
        <f>N(U1045)+IF(AND($B$2&lt;&gt;"",对接源_01水果!$AH1046=$B$2,对接源_01水果!$B1046&gt;=$U$1,对接源_01水果!$B1046&lt;=$U$2),1,0)</f>
        <v>6</v>
      </c>
    </row>
    <row r="1047">
      <c r="U1047">
        <f>N(U1046)+IF(AND($B$2&lt;&gt;"",对接源_01水果!$AH1047=$B$2,对接源_01水果!$B1047&gt;=$U$1,对接源_01水果!$B1047&lt;=$U$2),1,0)</f>
        <v>6</v>
      </c>
    </row>
    <row r="1048">
      <c r="U1048">
        <f>N(U1047)+IF(AND($B$2&lt;&gt;"",对接源_01水果!$AH1048=$B$2,对接源_01水果!$B1048&gt;=$U$1,对接源_01水果!$B1048&lt;=$U$2),1,0)</f>
        <v>6</v>
      </c>
    </row>
    <row r="1049">
      <c r="U1049">
        <f>N(U1048)+IF(AND($B$2&lt;&gt;"",对接源_01水果!$AH1049=$B$2,对接源_01水果!$B1049&gt;=$U$1,对接源_01水果!$B1049&lt;=$U$2),1,0)</f>
        <v>6</v>
      </c>
    </row>
    <row r="1050">
      <c r="U1050">
        <f>N(U1049)+IF(AND($B$2&lt;&gt;"",对接源_01水果!$AH1050=$B$2,对接源_01水果!$B1050&gt;=$U$1,对接源_01水果!$B1050&lt;=$U$2),1,0)</f>
        <v>6</v>
      </c>
    </row>
    <row r="1051">
      <c r="U1051">
        <f>N(U1050)+IF(AND($B$2&lt;&gt;"",对接源_01水果!$AH1051=$B$2,对接源_01水果!$B1051&gt;=$U$1,对接源_01水果!$B1051&lt;=$U$2),1,0)</f>
        <v>6</v>
      </c>
    </row>
    <row r="1052">
      <c r="U1052">
        <f>N(U1051)+IF(AND($B$2&lt;&gt;"",对接源_01水果!$AH1052=$B$2,对接源_01水果!$B1052&gt;=$U$1,对接源_01水果!$B1052&lt;=$U$2),1,0)</f>
        <v>6</v>
      </c>
    </row>
    <row r="1053">
      <c r="U1053">
        <f>N(U1052)+IF(AND($B$2&lt;&gt;"",对接源_01水果!$AH1053=$B$2,对接源_01水果!$B1053&gt;=$U$1,对接源_01水果!$B1053&lt;=$U$2),1,0)</f>
        <v>6</v>
      </c>
    </row>
    <row r="1054">
      <c r="U1054">
        <f>N(U1053)+IF(AND($B$2&lt;&gt;"",对接源_01水果!$AH1054=$B$2,对接源_01水果!$B1054&gt;=$U$1,对接源_01水果!$B1054&lt;=$U$2),1,0)</f>
        <v>6</v>
      </c>
    </row>
    <row r="1055">
      <c r="U1055">
        <f>N(U1054)+IF(AND($B$2&lt;&gt;"",对接源_01水果!$AH1055=$B$2,对接源_01水果!$B1055&gt;=$U$1,对接源_01水果!$B1055&lt;=$U$2),1,0)</f>
        <v>6</v>
      </c>
    </row>
    <row r="1056">
      <c r="U1056">
        <f>N(U1055)+IF(AND($B$2&lt;&gt;"",对接源_01水果!$AH1056=$B$2,对接源_01水果!$B1056&gt;=$U$1,对接源_01水果!$B1056&lt;=$U$2),1,0)</f>
        <v>6</v>
      </c>
    </row>
    <row r="1057">
      <c r="U1057">
        <f>N(U1056)+IF(AND($B$2&lt;&gt;"",对接源_01水果!$AH1057=$B$2,对接源_01水果!$B1057&gt;=$U$1,对接源_01水果!$B1057&lt;=$U$2),1,0)</f>
        <v>6</v>
      </c>
    </row>
    <row r="1058">
      <c r="U1058">
        <f>N(U1057)+IF(AND($B$2&lt;&gt;"",对接源_01水果!$AH1058=$B$2,对接源_01水果!$B1058&gt;=$U$1,对接源_01水果!$B1058&lt;=$U$2),1,0)</f>
        <v>6</v>
      </c>
    </row>
    <row r="1059">
      <c r="U1059">
        <f>N(U1058)+IF(AND($B$2&lt;&gt;"",对接源_01水果!$AH1059=$B$2,对接源_01水果!$B1059&gt;=$U$1,对接源_01水果!$B1059&lt;=$U$2),1,0)</f>
        <v>6</v>
      </c>
    </row>
    <row r="1060">
      <c r="U1060">
        <f>N(U1059)+IF(AND($B$2&lt;&gt;"",对接源_01水果!$AH1060=$B$2,对接源_01水果!$B1060&gt;=$U$1,对接源_01水果!$B1060&lt;=$U$2),1,0)</f>
        <v>6</v>
      </c>
    </row>
    <row r="1061">
      <c r="U1061">
        <f>N(U1060)+IF(AND($B$2&lt;&gt;"",对接源_01水果!$AH1061=$B$2,对接源_01水果!$B1061&gt;=$U$1,对接源_01水果!$B1061&lt;=$U$2),1,0)</f>
        <v>6</v>
      </c>
    </row>
    <row r="1062">
      <c r="U1062">
        <f>N(U1061)+IF(AND($B$2&lt;&gt;"",对接源_01水果!$AH1062=$B$2,对接源_01水果!$B1062&gt;=$U$1,对接源_01水果!$B1062&lt;=$U$2),1,0)</f>
        <v>6</v>
      </c>
    </row>
    <row r="1063">
      <c r="U1063">
        <f>N(U1062)+IF(AND($B$2&lt;&gt;"",对接源_01水果!$AH1063=$B$2,对接源_01水果!$B1063&gt;=$U$1,对接源_01水果!$B1063&lt;=$U$2),1,0)</f>
        <v>6</v>
      </c>
    </row>
    <row r="1064">
      <c r="U1064">
        <f>N(U1063)+IF(AND($B$2&lt;&gt;"",对接源_01水果!$AH1064=$B$2,对接源_01水果!$B1064&gt;=$U$1,对接源_01水果!$B1064&lt;=$U$2),1,0)</f>
        <v>6</v>
      </c>
    </row>
    <row r="1065">
      <c r="U1065">
        <f>N(U1064)+IF(AND($B$2&lt;&gt;"",对接源_01水果!$AH1065=$B$2,对接源_01水果!$B1065&gt;=$U$1,对接源_01水果!$B1065&lt;=$U$2),1,0)</f>
        <v>6</v>
      </c>
    </row>
    <row r="1066">
      <c r="U1066">
        <f>N(U1065)+IF(AND($B$2&lt;&gt;"",对接源_01水果!$AH1066=$B$2,对接源_01水果!$B1066&gt;=$U$1,对接源_01水果!$B1066&lt;=$U$2),1,0)</f>
        <v>6</v>
      </c>
    </row>
    <row r="1067">
      <c r="U1067">
        <f>N(U1066)+IF(AND($B$2&lt;&gt;"",对接源_01水果!$AH1067=$B$2,对接源_01水果!$B1067&gt;=$U$1,对接源_01水果!$B1067&lt;=$U$2),1,0)</f>
        <v>6</v>
      </c>
    </row>
    <row r="1068">
      <c r="U1068">
        <f>N(U1067)+IF(AND($B$2&lt;&gt;"",对接源_01水果!$AH1068=$B$2,对接源_01水果!$B1068&gt;=$U$1,对接源_01水果!$B1068&lt;=$U$2),1,0)</f>
        <v>6</v>
      </c>
    </row>
    <row r="1069">
      <c r="U1069">
        <f>N(U1068)+IF(AND($B$2&lt;&gt;"",对接源_01水果!$AH1069=$B$2,对接源_01水果!$B1069&gt;=$U$1,对接源_01水果!$B1069&lt;=$U$2),1,0)</f>
        <v>6</v>
      </c>
    </row>
    <row r="1070">
      <c r="U1070">
        <f>N(U1069)+IF(AND($B$2&lt;&gt;"",对接源_01水果!$AH1070=$B$2,对接源_01水果!$B1070&gt;=$U$1,对接源_01水果!$B1070&lt;=$U$2),1,0)</f>
        <v>6</v>
      </c>
    </row>
    <row r="1071">
      <c r="U1071">
        <f>N(U1070)+IF(AND($B$2&lt;&gt;"",对接源_01水果!$AH1071=$B$2,对接源_01水果!$B1071&gt;=$U$1,对接源_01水果!$B1071&lt;=$U$2),1,0)</f>
        <v>6</v>
      </c>
    </row>
    <row r="1072">
      <c r="U1072">
        <f>N(U1071)+IF(AND($B$2&lt;&gt;"",对接源_01水果!$AH1072=$B$2,对接源_01水果!$B1072&gt;=$U$1,对接源_01水果!$B1072&lt;=$U$2),1,0)</f>
        <v>6</v>
      </c>
    </row>
    <row r="1073">
      <c r="U1073">
        <f>N(U1072)+IF(AND($B$2&lt;&gt;"",对接源_01水果!$AH1073=$B$2,对接源_01水果!$B1073&gt;=$U$1,对接源_01水果!$B1073&lt;=$U$2),1,0)</f>
        <v>6</v>
      </c>
    </row>
    <row r="1074">
      <c r="U1074">
        <f>N(U1073)+IF(AND($B$2&lt;&gt;"",对接源_01水果!$AH1074=$B$2,对接源_01水果!$B1074&gt;=$U$1,对接源_01水果!$B1074&lt;=$U$2),1,0)</f>
        <v>6</v>
      </c>
    </row>
    <row r="1075">
      <c r="U1075">
        <f>N(U1074)+IF(AND($B$2&lt;&gt;"",对接源_01水果!$AH1075=$B$2,对接源_01水果!$B1075&gt;=$U$1,对接源_01水果!$B1075&lt;=$U$2),1,0)</f>
        <v>6</v>
      </c>
    </row>
    <row r="1076">
      <c r="U1076">
        <f>N(U1075)+IF(AND($B$2&lt;&gt;"",对接源_01水果!$AH1076=$B$2,对接源_01水果!$B1076&gt;=$U$1,对接源_01水果!$B1076&lt;=$U$2),1,0)</f>
        <v>6</v>
      </c>
    </row>
    <row r="1077">
      <c r="U1077">
        <f>N(U1076)+IF(AND($B$2&lt;&gt;"",对接源_01水果!$AH1077=$B$2,对接源_01水果!$B1077&gt;=$U$1,对接源_01水果!$B1077&lt;=$U$2),1,0)</f>
        <v>6</v>
      </c>
    </row>
    <row r="1078">
      <c r="U1078">
        <f>N(U1077)+IF(AND($B$2&lt;&gt;"",对接源_01水果!$AH1078=$B$2,对接源_01水果!$B1078&gt;=$U$1,对接源_01水果!$B1078&lt;=$U$2),1,0)</f>
        <v>6</v>
      </c>
    </row>
    <row r="1079">
      <c r="U1079">
        <f>N(U1078)+IF(AND($B$2&lt;&gt;"",对接源_01水果!$AH1079=$B$2,对接源_01水果!$B1079&gt;=$U$1,对接源_01水果!$B1079&lt;=$U$2),1,0)</f>
        <v>6</v>
      </c>
    </row>
    <row r="1080">
      <c r="U1080">
        <f>N(U1079)+IF(AND($B$2&lt;&gt;"",对接源_01水果!$AH1080=$B$2,对接源_01水果!$B1080&gt;=$U$1,对接源_01水果!$B1080&lt;=$U$2),1,0)</f>
        <v>6</v>
      </c>
    </row>
    <row r="1081">
      <c r="U1081">
        <f>N(U1080)+IF(AND($B$2&lt;&gt;"",对接源_01水果!$AH1081=$B$2,对接源_01水果!$B1081&gt;=$U$1,对接源_01水果!$B1081&lt;=$U$2),1,0)</f>
        <v>6</v>
      </c>
    </row>
    <row r="1082">
      <c r="U1082">
        <f>N(U1081)+IF(AND($B$2&lt;&gt;"",对接源_01水果!$AH1082=$B$2,对接源_01水果!$B1082&gt;=$U$1,对接源_01水果!$B1082&lt;=$U$2),1,0)</f>
        <v>6</v>
      </c>
    </row>
    <row r="1083">
      <c r="U1083">
        <f>N(U1082)+IF(AND($B$2&lt;&gt;"",对接源_01水果!$AH1083=$B$2,对接源_01水果!$B1083&gt;=$U$1,对接源_01水果!$B1083&lt;=$U$2),1,0)</f>
        <v>6</v>
      </c>
    </row>
    <row r="1084">
      <c r="U1084">
        <f>N(U1083)+IF(AND($B$2&lt;&gt;"",对接源_01水果!$AH1084=$B$2,对接源_01水果!$B1084&gt;=$U$1,对接源_01水果!$B1084&lt;=$U$2),1,0)</f>
        <v>6</v>
      </c>
    </row>
    <row r="1085">
      <c r="U1085">
        <f>N(U1084)+IF(AND($B$2&lt;&gt;"",对接源_01水果!$AH1085=$B$2,对接源_01水果!$B1085&gt;=$U$1,对接源_01水果!$B1085&lt;=$U$2),1,0)</f>
        <v>6</v>
      </c>
    </row>
    <row r="1086">
      <c r="U1086">
        <f>N(U1085)+IF(AND($B$2&lt;&gt;"",对接源_01水果!$AH1086=$B$2,对接源_01水果!$B1086&gt;=$U$1,对接源_01水果!$B1086&lt;=$U$2),1,0)</f>
        <v>6</v>
      </c>
    </row>
    <row r="1087">
      <c r="U1087">
        <f>N(U1086)+IF(AND($B$2&lt;&gt;"",对接源_01水果!$AH1087=$B$2,对接源_01水果!$B1087&gt;=$U$1,对接源_01水果!$B1087&lt;=$U$2),1,0)</f>
        <v>6</v>
      </c>
    </row>
    <row r="1088">
      <c r="U1088">
        <f>N(U1087)+IF(AND($B$2&lt;&gt;"",对接源_01水果!$AH1088=$B$2,对接源_01水果!$B1088&gt;=$U$1,对接源_01水果!$B1088&lt;=$U$2),1,0)</f>
        <v>6</v>
      </c>
    </row>
    <row r="1089">
      <c r="U1089">
        <f>N(U1088)+IF(AND($B$2&lt;&gt;"",对接源_01水果!$AH1089=$B$2,对接源_01水果!$B1089&gt;=$U$1,对接源_01水果!$B1089&lt;=$U$2),1,0)</f>
        <v>6</v>
      </c>
    </row>
    <row r="1090">
      <c r="U1090">
        <f>N(U1089)+IF(AND($B$2&lt;&gt;"",对接源_01水果!$AH1090=$B$2,对接源_01水果!$B1090&gt;=$U$1,对接源_01水果!$B1090&lt;=$U$2),1,0)</f>
        <v>6</v>
      </c>
    </row>
    <row r="1091">
      <c r="U1091">
        <f>N(U1090)+IF(AND($B$2&lt;&gt;"",对接源_01水果!$AH1091=$B$2,对接源_01水果!$B1091&gt;=$U$1,对接源_01水果!$B1091&lt;=$U$2),1,0)</f>
        <v>6</v>
      </c>
    </row>
    <row r="1092">
      <c r="U1092">
        <f>N(U1091)+IF(AND($B$2&lt;&gt;"",对接源_01水果!$AH1092=$B$2,对接源_01水果!$B1092&gt;=$U$1,对接源_01水果!$B1092&lt;=$U$2),1,0)</f>
        <v>6</v>
      </c>
    </row>
    <row r="1093">
      <c r="U1093">
        <f>N(U1092)+IF(AND($B$2&lt;&gt;"",对接源_01水果!$AH1093=$B$2,对接源_01水果!$B1093&gt;=$U$1,对接源_01水果!$B1093&lt;=$U$2),1,0)</f>
        <v>6</v>
      </c>
    </row>
    <row r="1094">
      <c r="U1094">
        <f>N(U1093)+IF(AND($B$2&lt;&gt;"",对接源_01水果!$AH1094=$B$2,对接源_01水果!$B1094&gt;=$U$1,对接源_01水果!$B1094&lt;=$U$2),1,0)</f>
        <v>6</v>
      </c>
    </row>
    <row r="1095">
      <c r="U1095">
        <f>N(U1094)+IF(AND($B$2&lt;&gt;"",对接源_01水果!$AH1095=$B$2,对接源_01水果!$B1095&gt;=$U$1,对接源_01水果!$B1095&lt;=$U$2),1,0)</f>
        <v>6</v>
      </c>
    </row>
    <row r="1096">
      <c r="U1096">
        <f>N(U1095)+IF(AND($B$2&lt;&gt;"",对接源_01水果!$AH1096=$B$2,对接源_01水果!$B1096&gt;=$U$1,对接源_01水果!$B1096&lt;=$U$2),1,0)</f>
        <v>6</v>
      </c>
    </row>
    <row r="1097">
      <c r="U1097">
        <f>N(U1096)+IF(AND($B$2&lt;&gt;"",对接源_01水果!$AH1097=$B$2,对接源_01水果!$B1097&gt;=$U$1,对接源_01水果!$B1097&lt;=$U$2),1,0)</f>
        <v>6</v>
      </c>
    </row>
    <row r="1098">
      <c r="U1098">
        <f>N(U1097)+IF(AND($B$2&lt;&gt;"",对接源_01水果!$AH1098=$B$2,对接源_01水果!$B1098&gt;=$U$1,对接源_01水果!$B1098&lt;=$U$2),1,0)</f>
        <v>6</v>
      </c>
    </row>
    <row r="1099">
      <c r="U1099">
        <f>N(U1098)+IF(AND($B$2&lt;&gt;"",对接源_01水果!$AH1099=$B$2,对接源_01水果!$B1099&gt;=$U$1,对接源_01水果!$B1099&lt;=$U$2),1,0)</f>
        <v>6</v>
      </c>
    </row>
    <row r="1100">
      <c r="U1100">
        <f>N(U1099)+IF(AND($B$2&lt;&gt;"",对接源_01水果!$AH1100=$B$2,对接源_01水果!$B1100&gt;=$U$1,对接源_01水果!$B1100&lt;=$U$2),1,0)</f>
        <v>6</v>
      </c>
    </row>
    <row r="1101">
      <c r="U1101">
        <f>N(U1100)+IF(AND($B$2&lt;&gt;"",对接源_01水果!$AH1101=$B$2,对接源_01水果!$B1101&gt;=$U$1,对接源_01水果!$B1101&lt;=$U$2),1,0)</f>
        <v>6</v>
      </c>
    </row>
    <row r="1102">
      <c r="U1102">
        <f>N(U1101)+IF(AND($B$2&lt;&gt;"",对接源_01水果!$AH1102=$B$2,对接源_01水果!$B1102&gt;=$U$1,对接源_01水果!$B1102&lt;=$U$2),1,0)</f>
        <v>6</v>
      </c>
    </row>
    <row r="1103">
      <c r="U1103">
        <f>N(U1102)+IF(AND($B$2&lt;&gt;"",对接源_01水果!$AH1103=$B$2,对接源_01水果!$B1103&gt;=$U$1,对接源_01水果!$B1103&lt;=$U$2),1,0)</f>
        <v>6</v>
      </c>
    </row>
    <row r="1104">
      <c r="U1104">
        <f>N(U1103)+IF(AND($B$2&lt;&gt;"",对接源_01水果!$AH1104=$B$2,对接源_01水果!$B1104&gt;=$U$1,对接源_01水果!$B1104&lt;=$U$2),1,0)</f>
        <v>6</v>
      </c>
    </row>
    <row r="1105">
      <c r="U1105">
        <f>N(U1104)+IF(AND($B$2&lt;&gt;"",对接源_01水果!$AH1105=$B$2,对接源_01水果!$B1105&gt;=$U$1,对接源_01水果!$B1105&lt;=$U$2),1,0)</f>
        <v>6</v>
      </c>
    </row>
    <row r="1106">
      <c r="U1106">
        <f>N(U1105)+IF(AND($B$2&lt;&gt;"",对接源_01水果!$AH1106=$B$2,对接源_01水果!$B1106&gt;=$U$1,对接源_01水果!$B1106&lt;=$U$2),1,0)</f>
        <v>6</v>
      </c>
    </row>
    <row r="1107">
      <c r="U1107">
        <f>N(U1106)+IF(AND($B$2&lt;&gt;"",对接源_01水果!$AH1107=$B$2,对接源_01水果!$B1107&gt;=$U$1,对接源_01水果!$B1107&lt;=$U$2),1,0)</f>
        <v>6</v>
      </c>
    </row>
    <row r="1108">
      <c r="U1108">
        <f>N(U1107)+IF(AND($B$2&lt;&gt;"",对接源_01水果!$AH1108=$B$2,对接源_01水果!$B1108&gt;=$U$1,对接源_01水果!$B1108&lt;=$U$2),1,0)</f>
        <v>6</v>
      </c>
    </row>
    <row r="1109">
      <c r="U1109">
        <f>N(U1108)+IF(AND($B$2&lt;&gt;"",对接源_01水果!$AH1109=$B$2,对接源_01水果!$B1109&gt;=$U$1,对接源_01水果!$B1109&lt;=$U$2),1,0)</f>
        <v>6</v>
      </c>
    </row>
    <row r="1110">
      <c r="U1110">
        <f>N(U1109)+IF(AND($B$2&lt;&gt;"",对接源_01水果!$AH1110=$B$2,对接源_01水果!$B1110&gt;=$U$1,对接源_01水果!$B1110&lt;=$U$2),1,0)</f>
        <v>6</v>
      </c>
    </row>
    <row r="1111">
      <c r="U1111">
        <f>N(U1110)+IF(AND($B$2&lt;&gt;"",对接源_01水果!$AH1111=$B$2,对接源_01水果!$B1111&gt;=$U$1,对接源_01水果!$B1111&lt;=$U$2),1,0)</f>
        <v>6</v>
      </c>
    </row>
    <row r="1112">
      <c r="U1112">
        <f>N(U1111)+IF(AND($B$2&lt;&gt;"",对接源_01水果!$AH1112=$B$2,对接源_01水果!$B1112&gt;=$U$1,对接源_01水果!$B1112&lt;=$U$2),1,0)</f>
        <v>6</v>
      </c>
    </row>
    <row r="1113">
      <c r="U1113">
        <f>N(U1112)+IF(AND($B$2&lt;&gt;"",对接源_01水果!$AH1113=$B$2,对接源_01水果!$B1113&gt;=$U$1,对接源_01水果!$B1113&lt;=$U$2),1,0)</f>
        <v>6</v>
      </c>
    </row>
    <row r="1114">
      <c r="U1114">
        <f>N(U1113)+IF(AND($B$2&lt;&gt;"",对接源_01水果!$AH1114=$B$2,对接源_01水果!$B1114&gt;=$U$1,对接源_01水果!$B1114&lt;=$U$2),1,0)</f>
        <v>6</v>
      </c>
    </row>
    <row r="1115">
      <c r="U1115">
        <f>N(U1114)+IF(AND($B$2&lt;&gt;"",对接源_01水果!$AH1115=$B$2,对接源_01水果!$B1115&gt;=$U$1,对接源_01水果!$B1115&lt;=$U$2),1,0)</f>
        <v>6</v>
      </c>
    </row>
    <row r="1116">
      <c r="U1116">
        <f>N(U1115)+IF(AND($B$2&lt;&gt;"",对接源_01水果!$AH1116=$B$2,对接源_01水果!$B1116&gt;=$U$1,对接源_01水果!$B1116&lt;=$U$2),1,0)</f>
        <v>6</v>
      </c>
    </row>
    <row r="1117">
      <c r="U1117">
        <f>N(U1116)+IF(AND($B$2&lt;&gt;"",对接源_01水果!$AH1117=$B$2,对接源_01水果!$B1117&gt;=$U$1,对接源_01水果!$B1117&lt;=$U$2),1,0)</f>
        <v>6</v>
      </c>
    </row>
    <row r="1118">
      <c r="U1118">
        <f>N(U1117)+IF(AND($B$2&lt;&gt;"",对接源_01水果!$AH1118=$B$2,对接源_01水果!$B1118&gt;=$U$1,对接源_01水果!$B1118&lt;=$U$2),1,0)</f>
        <v>6</v>
      </c>
    </row>
    <row r="1119">
      <c r="U1119">
        <f>N(U1118)+IF(AND($B$2&lt;&gt;"",对接源_01水果!$AH1119=$B$2,对接源_01水果!$B1119&gt;=$U$1,对接源_01水果!$B1119&lt;=$U$2),1,0)</f>
        <v>6</v>
      </c>
    </row>
    <row r="1120">
      <c r="U1120">
        <f>N(U1119)+IF(AND($B$2&lt;&gt;"",对接源_01水果!$AH1120=$B$2,对接源_01水果!$B1120&gt;=$U$1,对接源_01水果!$B1120&lt;=$U$2),1,0)</f>
        <v>6</v>
      </c>
    </row>
    <row r="1121">
      <c r="U1121">
        <f>N(U1120)+IF(AND($B$2&lt;&gt;"",对接源_01水果!$AH1121=$B$2,对接源_01水果!$B1121&gt;=$U$1,对接源_01水果!$B1121&lt;=$U$2),1,0)</f>
        <v>6</v>
      </c>
    </row>
    <row r="1122">
      <c r="U1122">
        <f>N(U1121)+IF(AND($B$2&lt;&gt;"",对接源_01水果!$AH1122=$B$2,对接源_01水果!$B1122&gt;=$U$1,对接源_01水果!$B1122&lt;=$U$2),1,0)</f>
        <v>6</v>
      </c>
    </row>
    <row r="1123">
      <c r="U1123">
        <f>N(U1122)+IF(AND($B$2&lt;&gt;"",对接源_01水果!$AH1123=$B$2,对接源_01水果!$B1123&gt;=$U$1,对接源_01水果!$B1123&lt;=$U$2),1,0)</f>
        <v>6</v>
      </c>
    </row>
    <row r="1124">
      <c r="U1124">
        <f>N(U1123)+IF(AND($B$2&lt;&gt;"",对接源_01水果!$AH1124=$B$2,对接源_01水果!$B1124&gt;=$U$1,对接源_01水果!$B1124&lt;=$U$2),1,0)</f>
        <v>6</v>
      </c>
    </row>
    <row r="1125">
      <c r="U1125">
        <f>N(U1124)+IF(AND($B$2&lt;&gt;"",对接源_01水果!$AH1125=$B$2,对接源_01水果!$B1125&gt;=$U$1,对接源_01水果!$B1125&lt;=$U$2),1,0)</f>
        <v>6</v>
      </c>
    </row>
    <row r="1126">
      <c r="U1126">
        <f>N(U1125)+IF(AND($B$2&lt;&gt;"",对接源_01水果!$AH1126=$B$2,对接源_01水果!$B1126&gt;=$U$1,对接源_01水果!$B1126&lt;=$U$2),1,0)</f>
        <v>6</v>
      </c>
    </row>
    <row r="1127">
      <c r="U1127">
        <f>N(U1126)+IF(AND($B$2&lt;&gt;"",对接源_01水果!$AH1127=$B$2,对接源_01水果!$B1127&gt;=$U$1,对接源_01水果!$B1127&lt;=$U$2),1,0)</f>
        <v>6</v>
      </c>
    </row>
    <row r="1128">
      <c r="U1128">
        <f>N(U1127)+IF(AND($B$2&lt;&gt;"",对接源_01水果!$AH1128=$B$2,对接源_01水果!$B1128&gt;=$U$1,对接源_01水果!$B1128&lt;=$U$2),1,0)</f>
        <v>6</v>
      </c>
    </row>
    <row r="1129">
      <c r="U1129">
        <f>N(U1128)+IF(AND($B$2&lt;&gt;"",对接源_01水果!$AH1129=$B$2,对接源_01水果!$B1129&gt;=$U$1,对接源_01水果!$B1129&lt;=$U$2),1,0)</f>
        <v>6</v>
      </c>
    </row>
    <row r="1130">
      <c r="U1130">
        <f>N(U1129)+IF(AND($B$2&lt;&gt;"",对接源_01水果!$AH1130=$B$2,对接源_01水果!$B1130&gt;=$U$1,对接源_01水果!$B1130&lt;=$U$2),1,0)</f>
        <v>6</v>
      </c>
    </row>
    <row r="1131">
      <c r="U1131">
        <f>N(U1130)+IF(AND($B$2&lt;&gt;"",对接源_01水果!$AH1131=$B$2,对接源_01水果!$B1131&gt;=$U$1,对接源_01水果!$B1131&lt;=$U$2),1,0)</f>
        <v>6</v>
      </c>
    </row>
    <row r="1132">
      <c r="U1132">
        <f>N(U1131)+IF(AND($B$2&lt;&gt;"",对接源_01水果!$AH1132=$B$2,对接源_01水果!$B1132&gt;=$U$1,对接源_01水果!$B1132&lt;=$U$2),1,0)</f>
        <v>6</v>
      </c>
    </row>
    <row r="1133">
      <c r="U1133">
        <f>N(U1132)+IF(AND($B$2&lt;&gt;"",对接源_01水果!$AH1133=$B$2,对接源_01水果!$B1133&gt;=$U$1,对接源_01水果!$B1133&lt;=$U$2),1,0)</f>
        <v>6</v>
      </c>
    </row>
    <row r="1134">
      <c r="U1134">
        <f>N(U1133)+IF(AND($B$2&lt;&gt;"",对接源_01水果!$AH1134=$B$2,对接源_01水果!$B1134&gt;=$U$1,对接源_01水果!$B1134&lt;=$U$2),1,0)</f>
        <v>6</v>
      </c>
    </row>
    <row r="1135">
      <c r="U1135">
        <f>N(U1134)+IF(AND($B$2&lt;&gt;"",对接源_01水果!$AH1135=$B$2,对接源_01水果!$B1135&gt;=$U$1,对接源_01水果!$B1135&lt;=$U$2),1,0)</f>
        <v>6</v>
      </c>
    </row>
    <row r="1136">
      <c r="U1136">
        <f>N(U1135)+IF(AND($B$2&lt;&gt;"",对接源_01水果!$AH1136=$B$2,对接源_01水果!$B1136&gt;=$U$1,对接源_01水果!$B1136&lt;=$U$2),1,0)</f>
        <v>6</v>
      </c>
    </row>
    <row r="1137">
      <c r="U1137">
        <f>N(U1136)+IF(AND($B$2&lt;&gt;"",对接源_01水果!$AH1137=$B$2,对接源_01水果!$B1137&gt;=$U$1,对接源_01水果!$B1137&lt;=$U$2),1,0)</f>
        <v>6</v>
      </c>
    </row>
    <row r="1138">
      <c r="U1138">
        <f>N(U1137)+IF(AND($B$2&lt;&gt;"",对接源_01水果!$AH1138=$B$2,对接源_01水果!$B1138&gt;=$U$1,对接源_01水果!$B1138&lt;=$U$2),1,0)</f>
        <v>6</v>
      </c>
    </row>
    <row r="1139">
      <c r="U1139">
        <f>N(U1138)+IF(AND($B$2&lt;&gt;"",对接源_01水果!$AH1139=$B$2,对接源_01水果!$B1139&gt;=$U$1,对接源_01水果!$B1139&lt;=$U$2),1,0)</f>
        <v>6</v>
      </c>
    </row>
    <row r="1140">
      <c r="U1140">
        <f>N(U1139)+IF(AND($B$2&lt;&gt;"",对接源_01水果!$AH1140=$B$2,对接源_01水果!$B1140&gt;=$U$1,对接源_01水果!$B1140&lt;=$U$2),1,0)</f>
        <v>6</v>
      </c>
    </row>
    <row r="1141">
      <c r="U1141">
        <f>N(U1140)+IF(AND($B$2&lt;&gt;"",对接源_01水果!$AH1141=$B$2,对接源_01水果!$B1141&gt;=$U$1,对接源_01水果!$B1141&lt;=$U$2),1,0)</f>
        <v>6</v>
      </c>
    </row>
    <row r="1142">
      <c r="U1142">
        <f>N(U1141)+IF(AND($B$2&lt;&gt;"",对接源_01水果!$AH1142=$B$2,对接源_01水果!$B1142&gt;=$U$1,对接源_01水果!$B1142&lt;=$U$2),1,0)</f>
        <v>6</v>
      </c>
    </row>
    <row r="1143">
      <c r="U1143">
        <f>N(U1142)+IF(AND($B$2&lt;&gt;"",对接源_01水果!$AH1143=$B$2,对接源_01水果!$B1143&gt;=$U$1,对接源_01水果!$B1143&lt;=$U$2),1,0)</f>
        <v>6</v>
      </c>
    </row>
    <row r="1144">
      <c r="U1144">
        <f>N(U1143)+IF(AND($B$2&lt;&gt;"",对接源_01水果!$AH1144=$B$2,对接源_01水果!$B1144&gt;=$U$1,对接源_01水果!$B1144&lt;=$U$2),1,0)</f>
        <v>6</v>
      </c>
    </row>
    <row r="1145">
      <c r="U1145">
        <f>N(U1144)+IF(AND($B$2&lt;&gt;"",对接源_01水果!$AH1145=$B$2,对接源_01水果!$B1145&gt;=$U$1,对接源_01水果!$B1145&lt;=$U$2),1,0)</f>
        <v>6</v>
      </c>
    </row>
    <row r="1146">
      <c r="U1146">
        <f>N(U1145)+IF(AND($B$2&lt;&gt;"",对接源_01水果!$AH1146=$B$2,对接源_01水果!$B1146&gt;=$U$1,对接源_01水果!$B1146&lt;=$U$2),1,0)</f>
        <v>6</v>
      </c>
    </row>
    <row r="1147">
      <c r="U1147">
        <f>N(U1146)+IF(AND($B$2&lt;&gt;"",对接源_01水果!$AH1147=$B$2,对接源_01水果!$B1147&gt;=$U$1,对接源_01水果!$B1147&lt;=$U$2),1,0)</f>
        <v>6</v>
      </c>
    </row>
    <row r="1148">
      <c r="U1148">
        <f>N(U1147)+IF(AND($B$2&lt;&gt;"",对接源_01水果!$AH1148=$B$2,对接源_01水果!$B1148&gt;=$U$1,对接源_01水果!$B1148&lt;=$U$2),1,0)</f>
        <v>6</v>
      </c>
    </row>
    <row r="1149">
      <c r="U1149">
        <f>N(U1148)+IF(AND($B$2&lt;&gt;"",对接源_01水果!$AH1149=$B$2,对接源_01水果!$B1149&gt;=$U$1,对接源_01水果!$B1149&lt;=$U$2),1,0)</f>
        <v>6</v>
      </c>
    </row>
    <row r="1150">
      <c r="U1150">
        <f>N(U1149)+IF(AND($B$2&lt;&gt;"",对接源_01水果!$AH1150=$B$2,对接源_01水果!$B1150&gt;=$U$1,对接源_01水果!$B1150&lt;=$U$2),1,0)</f>
        <v>6</v>
      </c>
    </row>
    <row r="1151">
      <c r="U1151">
        <f>N(U1150)+IF(AND($B$2&lt;&gt;"",对接源_01水果!$AH1151=$B$2,对接源_01水果!$B1151&gt;=$U$1,对接源_01水果!$B1151&lt;=$U$2),1,0)</f>
        <v>6</v>
      </c>
    </row>
    <row r="1152">
      <c r="U1152">
        <f>N(U1151)+IF(AND($B$2&lt;&gt;"",对接源_01水果!$AH1152=$B$2,对接源_01水果!$B1152&gt;=$U$1,对接源_01水果!$B1152&lt;=$U$2),1,0)</f>
        <v>6</v>
      </c>
    </row>
    <row r="1153">
      <c r="U1153">
        <f>N(U1152)+IF(AND($B$2&lt;&gt;"",对接源_01水果!$AH1153=$B$2,对接源_01水果!$B1153&gt;=$U$1,对接源_01水果!$B1153&lt;=$U$2),1,0)</f>
        <v>6</v>
      </c>
    </row>
    <row r="1154">
      <c r="U1154">
        <f>N(U1153)+IF(AND($B$2&lt;&gt;"",对接源_01水果!$AH1154=$B$2,对接源_01水果!$B1154&gt;=$U$1,对接源_01水果!$B1154&lt;=$U$2),1,0)</f>
        <v>6</v>
      </c>
    </row>
    <row r="1155">
      <c r="U1155">
        <f>N(U1154)+IF(AND($B$2&lt;&gt;"",对接源_01水果!$AH1155=$B$2,对接源_01水果!$B1155&gt;=$U$1,对接源_01水果!$B1155&lt;=$U$2),1,0)</f>
        <v>6</v>
      </c>
    </row>
    <row r="1156">
      <c r="U1156">
        <f>N(U1155)+IF(AND($B$2&lt;&gt;"",对接源_01水果!$AH1156=$B$2,对接源_01水果!$B1156&gt;=$U$1,对接源_01水果!$B1156&lt;=$U$2),1,0)</f>
        <v>6</v>
      </c>
    </row>
    <row r="1157">
      <c r="U1157">
        <f>N(U1156)+IF(AND($B$2&lt;&gt;"",对接源_01水果!$AH1157=$B$2,对接源_01水果!$B1157&gt;=$U$1,对接源_01水果!$B1157&lt;=$U$2),1,0)</f>
        <v>6</v>
      </c>
    </row>
    <row r="1158">
      <c r="U1158">
        <f>N(U1157)+IF(AND($B$2&lt;&gt;"",对接源_01水果!$AH1158=$B$2,对接源_01水果!$B1158&gt;=$U$1,对接源_01水果!$B1158&lt;=$U$2),1,0)</f>
        <v>6</v>
      </c>
    </row>
    <row r="1159">
      <c r="U1159">
        <f>N(U1158)+IF(AND($B$2&lt;&gt;"",对接源_01水果!$AH1159=$B$2,对接源_01水果!$B1159&gt;=$U$1,对接源_01水果!$B1159&lt;=$U$2),1,0)</f>
        <v>6</v>
      </c>
    </row>
    <row r="1160">
      <c r="U1160">
        <f>N(U1159)+IF(AND($B$2&lt;&gt;"",对接源_01水果!$AH1160=$B$2,对接源_01水果!$B1160&gt;=$U$1,对接源_01水果!$B1160&lt;=$U$2),1,0)</f>
        <v>6</v>
      </c>
    </row>
    <row r="1161">
      <c r="U1161">
        <f>N(U1160)+IF(AND($B$2&lt;&gt;"",对接源_01水果!$AH1161=$B$2,对接源_01水果!$B1161&gt;=$U$1,对接源_01水果!$B1161&lt;=$U$2),1,0)</f>
        <v>6</v>
      </c>
    </row>
    <row r="1162">
      <c r="U1162">
        <f>N(U1161)+IF(AND($B$2&lt;&gt;"",对接源_01水果!$AH1162=$B$2,对接源_01水果!$B1162&gt;=$U$1,对接源_01水果!$B1162&lt;=$U$2),1,0)</f>
        <v>6</v>
      </c>
    </row>
    <row r="1163">
      <c r="U1163">
        <f>N(U1162)+IF(AND($B$2&lt;&gt;"",对接源_01水果!$AH1163=$B$2,对接源_01水果!$B1163&gt;=$U$1,对接源_01水果!$B1163&lt;=$U$2),1,0)</f>
        <v>6</v>
      </c>
    </row>
    <row r="1164">
      <c r="U1164">
        <f>N(U1163)+IF(AND($B$2&lt;&gt;"",对接源_01水果!$AH1164=$B$2,对接源_01水果!$B1164&gt;=$U$1,对接源_01水果!$B1164&lt;=$U$2),1,0)</f>
        <v>6</v>
      </c>
    </row>
    <row r="1165">
      <c r="U1165">
        <f>N(U1164)+IF(AND($B$2&lt;&gt;"",对接源_01水果!$AH1165=$B$2,对接源_01水果!$B1165&gt;=$U$1,对接源_01水果!$B1165&lt;=$U$2),1,0)</f>
        <v>6</v>
      </c>
    </row>
    <row r="1166">
      <c r="U1166">
        <f>N(U1165)+IF(AND($B$2&lt;&gt;"",对接源_01水果!$AH1166=$B$2,对接源_01水果!$B1166&gt;=$U$1,对接源_01水果!$B1166&lt;=$U$2),1,0)</f>
        <v>6</v>
      </c>
    </row>
    <row r="1167">
      <c r="U1167">
        <f>N(U1166)+IF(AND($B$2&lt;&gt;"",对接源_01水果!$AH1167=$B$2,对接源_01水果!$B1167&gt;=$U$1,对接源_01水果!$B1167&lt;=$U$2),1,0)</f>
        <v>6</v>
      </c>
    </row>
    <row r="1168">
      <c r="U1168">
        <f>N(U1167)+IF(AND($B$2&lt;&gt;"",对接源_01水果!$AH1168=$B$2,对接源_01水果!$B1168&gt;=$U$1,对接源_01水果!$B1168&lt;=$U$2),1,0)</f>
        <v>6</v>
      </c>
    </row>
    <row r="1169">
      <c r="U1169">
        <f>N(U1168)+IF(AND($B$2&lt;&gt;"",对接源_01水果!$AH1169=$B$2,对接源_01水果!$B1169&gt;=$U$1,对接源_01水果!$B1169&lt;=$U$2),1,0)</f>
        <v>6</v>
      </c>
    </row>
    <row r="1170">
      <c r="U1170">
        <f>N(U1169)+IF(AND($B$2&lt;&gt;"",对接源_01水果!$AH1170=$B$2,对接源_01水果!$B1170&gt;=$U$1,对接源_01水果!$B1170&lt;=$U$2),1,0)</f>
        <v>6</v>
      </c>
    </row>
    <row r="1171">
      <c r="U1171">
        <f>N(U1170)+IF(AND($B$2&lt;&gt;"",对接源_01水果!$AH1171=$B$2,对接源_01水果!$B1171&gt;=$U$1,对接源_01水果!$B1171&lt;=$U$2),1,0)</f>
        <v>6</v>
      </c>
    </row>
    <row r="1172">
      <c r="U1172">
        <f>N(U1171)+IF(AND($B$2&lt;&gt;"",对接源_01水果!$AH1172=$B$2,对接源_01水果!$B1172&gt;=$U$1,对接源_01水果!$B1172&lt;=$U$2),1,0)</f>
        <v>6</v>
      </c>
    </row>
    <row r="1173">
      <c r="U1173">
        <f>N(U1172)+IF(AND($B$2&lt;&gt;"",对接源_01水果!$AH1173=$B$2,对接源_01水果!$B1173&gt;=$U$1,对接源_01水果!$B1173&lt;=$U$2),1,0)</f>
        <v>6</v>
      </c>
    </row>
    <row r="1174">
      <c r="U1174">
        <f>N(U1173)+IF(AND($B$2&lt;&gt;"",对接源_01水果!$AH1174=$B$2,对接源_01水果!$B1174&gt;=$U$1,对接源_01水果!$B1174&lt;=$U$2),1,0)</f>
        <v>6</v>
      </c>
    </row>
    <row r="1175">
      <c r="U1175">
        <f>N(U1174)+IF(AND($B$2&lt;&gt;"",对接源_01水果!$AH1175=$B$2,对接源_01水果!$B1175&gt;=$U$1,对接源_01水果!$B1175&lt;=$U$2),1,0)</f>
        <v>6</v>
      </c>
    </row>
    <row r="1176">
      <c r="U1176">
        <f>N(U1175)+IF(AND($B$2&lt;&gt;"",对接源_01水果!$AH1176=$B$2,对接源_01水果!$B1176&gt;=$U$1,对接源_01水果!$B1176&lt;=$U$2),1,0)</f>
        <v>6</v>
      </c>
    </row>
    <row r="1177">
      <c r="U1177">
        <f>N(U1176)+IF(AND($B$2&lt;&gt;"",对接源_01水果!$AH1177=$B$2,对接源_01水果!$B1177&gt;=$U$1,对接源_01水果!$B1177&lt;=$U$2),1,0)</f>
        <v>6</v>
      </c>
    </row>
    <row r="1178">
      <c r="U1178">
        <f>N(U1177)+IF(AND($B$2&lt;&gt;"",对接源_01水果!$AH1178=$B$2,对接源_01水果!$B1178&gt;=$U$1,对接源_01水果!$B1178&lt;=$U$2),1,0)</f>
        <v>6</v>
      </c>
    </row>
    <row r="1179">
      <c r="U1179">
        <f>N(U1178)+IF(AND($B$2&lt;&gt;"",对接源_01水果!$AH1179=$B$2,对接源_01水果!$B1179&gt;=$U$1,对接源_01水果!$B1179&lt;=$U$2),1,0)</f>
        <v>6</v>
      </c>
    </row>
    <row r="1180">
      <c r="U1180">
        <f>N(U1179)+IF(AND($B$2&lt;&gt;"",对接源_01水果!$AH1180=$B$2,对接源_01水果!$B1180&gt;=$U$1,对接源_01水果!$B1180&lt;=$U$2),1,0)</f>
        <v>6</v>
      </c>
    </row>
    <row r="1181">
      <c r="U1181">
        <f>N(U1180)+IF(AND($B$2&lt;&gt;"",对接源_01水果!$AH1181=$B$2,对接源_01水果!$B1181&gt;=$U$1,对接源_01水果!$B1181&lt;=$U$2),1,0)</f>
        <v>6</v>
      </c>
    </row>
    <row r="1182">
      <c r="U1182">
        <f>N(U1181)+IF(AND($B$2&lt;&gt;"",对接源_01水果!$AH1182=$B$2,对接源_01水果!$B1182&gt;=$U$1,对接源_01水果!$B1182&lt;=$U$2),1,0)</f>
        <v>6</v>
      </c>
    </row>
    <row r="1183">
      <c r="U1183">
        <f>N(U1182)+IF(AND($B$2&lt;&gt;"",对接源_01水果!$AH1183=$B$2,对接源_01水果!$B1183&gt;=$U$1,对接源_01水果!$B1183&lt;=$U$2),1,0)</f>
        <v>6</v>
      </c>
    </row>
    <row r="1184">
      <c r="U1184">
        <f>N(U1183)+IF(AND($B$2&lt;&gt;"",对接源_01水果!$AH1184=$B$2,对接源_01水果!$B1184&gt;=$U$1,对接源_01水果!$B1184&lt;=$U$2),1,0)</f>
        <v>6</v>
      </c>
    </row>
    <row r="1185">
      <c r="U1185">
        <f>N(U1184)+IF(AND($B$2&lt;&gt;"",对接源_01水果!$AH1185=$B$2,对接源_01水果!$B1185&gt;=$U$1,对接源_01水果!$B1185&lt;=$U$2),1,0)</f>
        <v>6</v>
      </c>
    </row>
    <row r="1186">
      <c r="U1186">
        <f>N(U1185)+IF(AND($B$2&lt;&gt;"",对接源_01水果!$AH1186=$B$2,对接源_01水果!$B1186&gt;=$U$1,对接源_01水果!$B1186&lt;=$U$2),1,0)</f>
        <v>6</v>
      </c>
    </row>
    <row r="1187">
      <c r="U1187">
        <f>N(U1186)+IF(AND($B$2&lt;&gt;"",对接源_01水果!$AH1187=$B$2,对接源_01水果!$B1187&gt;=$U$1,对接源_01水果!$B1187&lt;=$U$2),1,0)</f>
        <v>6</v>
      </c>
    </row>
    <row r="1188">
      <c r="U1188">
        <f>N(U1187)+IF(AND($B$2&lt;&gt;"",对接源_01水果!$AH1188=$B$2,对接源_01水果!$B1188&gt;=$U$1,对接源_01水果!$B1188&lt;=$U$2),1,0)</f>
        <v>6</v>
      </c>
    </row>
    <row r="1189">
      <c r="U1189">
        <f>N(U1188)+IF(AND($B$2&lt;&gt;"",对接源_01水果!$AH1189=$B$2,对接源_01水果!$B1189&gt;=$U$1,对接源_01水果!$B1189&lt;=$U$2),1,0)</f>
        <v>6</v>
      </c>
    </row>
    <row r="1190">
      <c r="U1190">
        <f>N(U1189)+IF(AND($B$2&lt;&gt;"",对接源_01水果!$AH1190=$B$2,对接源_01水果!$B1190&gt;=$U$1,对接源_01水果!$B1190&lt;=$U$2),1,0)</f>
        <v>6</v>
      </c>
    </row>
    <row r="1191">
      <c r="U1191">
        <f>N(U1190)+IF(AND($B$2&lt;&gt;"",对接源_01水果!$AH1191=$B$2,对接源_01水果!$B1191&gt;=$U$1,对接源_01水果!$B1191&lt;=$U$2),1,0)</f>
        <v>6</v>
      </c>
    </row>
    <row r="1192">
      <c r="U1192">
        <f>N(U1191)+IF(AND($B$2&lt;&gt;"",对接源_01水果!$AH1192=$B$2,对接源_01水果!$B1192&gt;=$U$1,对接源_01水果!$B1192&lt;=$U$2),1,0)</f>
        <v>6</v>
      </c>
    </row>
    <row r="1193">
      <c r="U1193">
        <f>N(U1192)+IF(AND($B$2&lt;&gt;"",对接源_01水果!$AH1193=$B$2,对接源_01水果!$B1193&gt;=$U$1,对接源_01水果!$B1193&lt;=$U$2),1,0)</f>
        <v>6</v>
      </c>
    </row>
    <row r="1194">
      <c r="U1194">
        <f>N(U1193)+IF(AND($B$2&lt;&gt;"",对接源_01水果!$AH1194=$B$2,对接源_01水果!$B1194&gt;=$U$1,对接源_01水果!$B1194&lt;=$U$2),1,0)</f>
        <v>6</v>
      </c>
    </row>
    <row r="1195">
      <c r="U1195">
        <f>N(U1194)+IF(AND($B$2&lt;&gt;"",对接源_01水果!$AH1195=$B$2,对接源_01水果!$B1195&gt;=$U$1,对接源_01水果!$B1195&lt;=$U$2),1,0)</f>
        <v>6</v>
      </c>
    </row>
    <row r="1196">
      <c r="U1196">
        <f>N(U1195)+IF(AND($B$2&lt;&gt;"",对接源_01水果!$AH1196=$B$2,对接源_01水果!$B1196&gt;=$U$1,对接源_01水果!$B1196&lt;=$U$2),1,0)</f>
        <v>6</v>
      </c>
    </row>
    <row r="1197">
      <c r="U1197">
        <f>N(U1196)+IF(AND($B$2&lt;&gt;"",对接源_01水果!$AH1197=$B$2,对接源_01水果!$B1197&gt;=$U$1,对接源_01水果!$B1197&lt;=$U$2),1,0)</f>
        <v>6</v>
      </c>
    </row>
    <row r="1198">
      <c r="U1198">
        <f>N(U1197)+IF(AND($B$2&lt;&gt;"",对接源_01水果!$AH1198=$B$2,对接源_01水果!$B1198&gt;=$U$1,对接源_01水果!$B1198&lt;=$U$2),1,0)</f>
        <v>6</v>
      </c>
    </row>
    <row r="1199">
      <c r="U1199">
        <f>N(U1198)+IF(AND($B$2&lt;&gt;"",对接源_01水果!$AH1199=$B$2,对接源_01水果!$B1199&gt;=$U$1,对接源_01水果!$B1199&lt;=$U$2),1,0)</f>
        <v>6</v>
      </c>
    </row>
    <row r="1200">
      <c r="U1200">
        <f>N(U1199)+IF(AND($B$2&lt;&gt;"",对接源_01水果!$AH1200=$B$2,对接源_01水果!$B1200&gt;=$U$1,对接源_01水果!$B1200&lt;=$U$2),1,0)</f>
        <v>6</v>
      </c>
    </row>
    <row r="1201">
      <c r="U1201">
        <f>N(U1200)+IF(AND($B$2&lt;&gt;"",对接源_01水果!$AH1201=$B$2,对接源_01水果!$B1201&gt;=$U$1,对接源_01水果!$B1201&lt;=$U$2),1,0)</f>
        <v>6</v>
      </c>
    </row>
    <row r="1202">
      <c r="U1202">
        <f>N(U1201)+IF(AND($B$2&lt;&gt;"",对接源_01水果!$AH1202=$B$2,对接源_01水果!$B1202&gt;=$U$1,对接源_01水果!$B1202&lt;=$U$2),1,0)</f>
        <v>6</v>
      </c>
    </row>
    <row r="1203">
      <c r="U1203">
        <f>N(U1202)+IF(AND($B$2&lt;&gt;"",对接源_01水果!$AH1203=$B$2,对接源_01水果!$B1203&gt;=$U$1,对接源_01水果!$B1203&lt;=$U$2),1,0)</f>
        <v>6</v>
      </c>
    </row>
    <row r="1204"/>
    <row r="1205"/>
    <row r="1206"/>
    <row r="1207"/>
    <row r="1208"/>
    <row r="1209"/>
    <row r="1210"/>
  </sheetData>
  <mergeCells count="5">
    <mergeCell ref="A4:E4"/>
    <mergeCell ref="A3:N3"/>
    <mergeCell ref="F4:I4"/>
    <mergeCell ref="A208:E208"/>
    <mergeCell ref="A1:H1"/>
  </mergeCells>
  <dataValidations count="1">
    <dataValidation sqref="B2" showDropDown="0" showInputMessage="0" showErrorMessage="0" allowBlank="0" type="list">
      <formula1>"果然鲜送礼,果然鲜销售,果然鲜商务,果然鲜福利"</formula1>
    </dataValidation>
  </dataValidations>
  <pageMargins left="0.75" right="0.75" top="1" bottom="1" header="0.511811023622047" footer="0.511811023622047"/>
  <pageSetup orientation="landscape" paperSize="9" fitToHeight="0" horizontalDpi="300" verticalDpi="300"/>
</worksheet>
</file>

<file path=xl/worksheets/sheet8.xml><?xml version="1.0" encoding="utf-8"?>
<worksheet xmlns="http://schemas.openxmlformats.org/spreadsheetml/2006/main">
  <sheetPr>
    <tabColor rgb="FF275C70"/>
    <outlinePr summaryBelow="1" summaryRight="1"/>
    <pageSetUpPr/>
  </sheetPr>
  <dimension ref="A1:AE155"/>
  <sheetViews>
    <sheetView showGridLines="0" workbookViewId="0">
      <pane ySplit="3" topLeftCell="A4" activePane="bottomLeft" state="frozen"/>
      <selection activeCell="A1" sqref="A1"/>
      <selection pane="bottomLeft" activeCell="G16" sqref="G16"/>
    </sheetView>
  </sheetViews>
  <sheetFormatPr baseColWidth="8" defaultColWidth="9" defaultRowHeight="13.5"/>
  <cols>
    <col width="13" customWidth="1" style="197" min="1" max="1"/>
    <col width="16" customWidth="1" style="127" min="2" max="2"/>
    <col width="11" customWidth="1" style="127" min="3" max="3"/>
    <col width="13" customWidth="1" style="127" min="4" max="4"/>
    <col width="10" customWidth="1" style="127" min="5" max="5"/>
    <col width="7" customWidth="1" style="127" min="6" max="6"/>
    <col width="11" customWidth="1" style="127" min="7" max="7"/>
    <col width="15" customWidth="1" style="127" min="8" max="8"/>
    <col width="13" customWidth="1" style="127" min="9" max="9"/>
    <col width="15" customWidth="1" style="127" min="10" max="10"/>
    <col width="11" customWidth="1" style="127" min="11" max="11"/>
    <col width="18" customWidth="1" style="127" min="12" max="12"/>
    <col width="2" customWidth="1" style="127" min="13" max="13"/>
    <col width="13.625" customWidth="1" style="127" min="14" max="14"/>
    <col width="6.5" customWidth="1" style="127" min="15" max="15"/>
    <col width="14" customWidth="1" style="127" min="16" max="16"/>
    <col width="2" customWidth="1" style="127" min="17" max="17"/>
    <col width="12" customWidth="1" style="127" min="18" max="18"/>
  </cols>
  <sheetData>
    <row r="1" ht="49.5" customHeight="1" s="127">
      <c r="A1" s="198" t="inlineStr">
        <is>
          <t>新疆果然鲜仓储有限公司</t>
        </is>
      </c>
      <c r="I1" s="38" t="inlineStr">
        <is>
          <t>对账单</t>
        </is>
      </c>
      <c r="P1" s="155" t="n"/>
      <c r="R1" s="199">
        <f>IF($F$2="",DATE(1900,1,1),$F$2)</f>
        <v>2.0</v>
      </c>
    </row>
    <row r="2" ht="25.5" customHeight="1" s="127">
      <c r="A2" s="200" t="inlineStr">
        <is>
          <t>客　户:</t>
        </is>
      </c>
      <c r="B2" s="42" t="inlineStr">
        <is>
          <t>王照雪</t>
        </is>
      </c>
      <c r="C2" s="156" t="n"/>
      <c r="E2" s="43" t="inlineStr">
        <is>
          <t>开始日期:</t>
        </is>
      </c>
      <c r="F2" s="157" t="n"/>
      <c r="G2" s="43" t="inlineStr">
        <is>
          <t>结束日期:</t>
        </is>
      </c>
      <c r="H2" s="157" t="n"/>
      <c r="L2" s="95" t="n"/>
      <c r="N2" s="46" t="inlineStr">
        <is>
          <t>采 购 汇 总</t>
        </is>
      </c>
      <c r="O2" s="160" t="n"/>
      <c r="P2" s="158" t="n"/>
      <c r="R2" s="199">
        <f>IF($H$2="",DATE(2999,12,31),$H$2)</f>
        <v>401768.0</v>
      </c>
    </row>
    <row r="3" ht="19.5" customHeight="1" s="127">
      <c r="A3" s="201" t="inlineStr">
        <is>
          <t>★ 只填 B2 货主/客户与起止日期。这里只列公司（果然鲜）真买下来的那几笔 —— 也就是【01 成品出库明细】里填了「采购单价 / 采购金额」的行；别的行是客户自己的货放在我们这里，不是我们买的，不在这里出现。「采购金额（应付）」只算货款，运费单列，两者相加＝「应付合计」，才是我们要付给他的钱。</t>
        </is>
      </c>
      <c r="B3" s="202" t="n"/>
      <c r="C3" s="202" t="n"/>
      <c r="D3" s="202" t="n"/>
      <c r="E3" s="202" t="n"/>
      <c r="F3" s="202" t="n"/>
      <c r="G3" s="202" t="n"/>
      <c r="H3" s="202" t="n"/>
      <c r="I3" s="202" t="n"/>
      <c r="J3" s="202" t="n"/>
      <c r="K3" s="202" t="n"/>
      <c r="L3" s="203" t="n"/>
      <c r="N3" s="50" t="inlineStr">
        <is>
          <t>采购总数量</t>
        </is>
      </c>
      <c r="O3" s="203" t="n"/>
      <c r="P3" s="52">
        <f>ROUND(SUMIFS(对接源_01水果!$H$4:$H$1203,对接源_01水果!$Y$4:$Y$1203,$B$2,对接源_01水果!$B$4:$B$1203,"&gt;="&amp;$R$1,对接源_01水果!$B$4:$B$1203,"&lt;="&amp;$R$2,对接源_01水果!$AJ$4:$AJ$1203,"&gt;0"),0)</f>
        <v>8</v>
      </c>
    </row>
    <row r="4" ht="24" customHeight="1" s="127">
      <c r="A4" s="204" t="inlineStr">
        <is>
          <t>公司购买客户果品（应付）总金额</t>
        </is>
      </c>
      <c r="B4" s="160" t="n"/>
      <c r="C4" s="160" t="n"/>
      <c r="D4" s="160" t="n"/>
      <c r="E4" s="160" t="n"/>
      <c r="F4" s="160" t="n"/>
      <c r="G4" s="158" t="n"/>
      <c r="H4" s="172">
        <f>ROUND(N($P$6),2)</f>
        <v>320</v>
      </c>
      <c r="I4" s="160" t="n"/>
      <c r="J4" s="158" t="n"/>
      <c r="L4" s="56" t="n"/>
      <c r="N4" s="50" t="inlineStr">
        <is>
          <t>采购金额（应付）</t>
        </is>
      </c>
      <c r="O4" s="203" t="n"/>
      <c r="P4" s="57">
        <f>ROUND(SUMIFS(对接源_01水果!$AA$4:$AA$1203,对接源_01水果!$Y$4:$Y$1203,$B$2,对接源_01水果!$B$4:$B$1203,"&gt;="&amp;$R$1,对接源_01水果!$B$4:$B$1203,"&lt;="&amp;$R$2,对接源_01水果!$AJ$4:$AJ$1203,"&gt;0"),2)</f>
        <v>320</v>
      </c>
    </row>
    <row r="5" ht="30" customHeight="1" s="127">
      <c r="A5" s="205" t="inlineStr">
        <is>
          <t>日　期</t>
        </is>
      </c>
      <c r="B5" s="59" t="inlineStr">
        <is>
          <t>票据单号</t>
        </is>
      </c>
      <c r="C5" s="59" t="inlineStr">
        <is>
          <t>品　名</t>
        </is>
      </c>
      <c r="D5" s="59" t="inlineStr">
        <is>
          <t>等　级</t>
        </is>
      </c>
      <c r="E5" s="59" t="inlineStr">
        <is>
          <t>数　量</t>
        </is>
      </c>
      <c r="F5" s="59" t="inlineStr">
        <is>
          <t>单位</t>
        </is>
      </c>
      <c r="G5" s="59" t="inlineStr">
        <is>
          <t>采购单价</t>
        </is>
      </c>
      <c r="H5" s="59" t="inlineStr">
        <is>
          <t>采购金额（应付）</t>
        </is>
      </c>
      <c r="I5" s="59" t="inlineStr">
        <is>
          <t>采购代发运费</t>
        </is>
      </c>
      <c r="J5" s="59" t="inlineStr">
        <is>
          <t>应付合计</t>
        </is>
      </c>
      <c r="K5" s="59" t="inlineStr">
        <is>
          <t>付款状态</t>
        </is>
      </c>
      <c r="L5" s="59" t="inlineStr">
        <is>
          <t>备　注</t>
        </is>
      </c>
      <c r="N5" s="50" t="inlineStr">
        <is>
          <t>其中·采购代发运费</t>
        </is>
      </c>
      <c r="O5" s="203" t="n"/>
      <c r="P5" s="57">
        <f>ROUND(SUMIFS(对接源_01水果!$AG$4:$AG$1203,对接源_01水果!$Y$4:$Y$1203,$B$2,对接源_01水果!$B$4:$B$1203,"&gt;="&amp;$R$1,对接源_01水果!$B$4:$B$1203,"&lt;="&amp;$R$2,对接源_01水果!$AJ$4:$AJ$1203,"&gt;0"),2)</f>
        <v>0</v>
      </c>
    </row>
    <row r="6" ht="18" customHeight="1" s="127">
      <c r="A6" s="206">
        <f>IF($AE6="","",IF(INDEX(对接源_01水果!$B$4:$B$1203,$AE6)=0,"",INDEX(对接源_01水果!$B$4:$B$1203,$AE6)))</f>
        <v>46289.0</v>
      </c>
      <c r="B6" s="61" t="str">
        <f>IF($AE6="","",IF(INDEX(对接源_01水果!$E$4:$E$1203,$AE6)=0,"",INDEX(对接源_01水果!$E$4:$E$1203,$AE6)))</f>
        <v>NO:0000144</v>
      </c>
      <c r="C6" s="61" t="str">
        <f>IF($AE6="","",IF(INDEX(对接源_01水果!$F$4:$F$1203,$AE6)=0,"",INDEX(对接源_01水果!$F$4:$F$1203,$AE6)))</f>
        <v>苹果</v>
      </c>
      <c r="D6" s="61" t="str">
        <f>IF($AE6="","",IF(INDEX(对接源_01水果!$G$4:$G$1203,$AE6)=0,"",INDEX(对接源_01水果!$G$4:$G$1203,$AE6)))</f>
        <v>新世纪一级</v>
      </c>
      <c r="E6" s="164">
        <f>IF($AE6="","",IF(INDEX(对接源_01水果!$H$4:$H$1203,$AE6)=0,"",INDEX(对接源_01水果!$H$4:$H$1203,$AE6)))</f>
        <v>4</v>
      </c>
      <c r="F6" s="61" t="str">
        <f>IF($AE6="","",IF(INDEX(对接源_01水果!$I$4:$I$1203,$AE6)=0,"",INDEX(对接源_01水果!$I$4:$I$1203,$AE6)))</f>
        <v>箱</v>
      </c>
      <c r="G6" s="173">
        <f>IF($AE6="","",IF(INDEX(对接源_01水果!$Z$4:$Z$1203,$AE6)=0,"",INDEX(对接源_01水果!$Z$4:$Z$1203,$AE6)))</f>
        <v>40</v>
      </c>
      <c r="H6" s="173">
        <f>IF($AE6="","",IF(INDEX(对接源_01水果!$AA$4:$AA$1203,$AE6)=0,"",INDEX(对接源_01水果!$AA$4:$AA$1203,$AE6)))</f>
        <v>160</v>
      </c>
      <c r="I6" s="173">
        <f>IF($AE6="","",IF(INDEX(对接源_01水果!$AG$4:$AG$1203,$AE6)=0,"",INDEX(对接源_01水果!$AG$4:$AG$1203,$AE6)))</f>
      </c>
      <c r="J6" s="173">
        <f>IF($AE6="","",IF(INDEX(对接源_01水果!$AJ$4:$AJ$1203,$AE6)=0,"",INDEX(对接源_01水果!$AJ$4:$AJ$1203,$AE6)))</f>
        <v>160</v>
      </c>
      <c r="K6" s="61" t="str">
        <f>IF($AE6="","",IF(INDEX(对接源_01水果!$AB$4:$AB$1203,$AE6)=0,"",INDEX(对接源_01水果!$AB$4:$AB$1203,$AE6)))</f>
        <v>未付款</v>
      </c>
      <c r="L6" s="64">
        <f>IF($AE6="","",IF(INDEX(对接源_01水果!$M$4:$M$1203,$AE6)=0,"",INDEX(对接源_01水果!$M$4:$M$1203,$AE6)))</f>
      </c>
      <c r="N6" s="50" t="inlineStr">
        <is>
          <t>应付合计</t>
        </is>
      </c>
      <c r="O6" s="203" t="n"/>
      <c r="P6" s="57">
        <f>ROUND(SUMIFS(对接源_01水果!$AJ$4:$AJ$1203,对接源_01水果!$Y$4:$Y$1203,$B$2,对接源_01水果!$B$4:$B$1203,"&gt;="&amp;$R$1,对接源_01水果!$B$4:$B$1203,"&lt;="&amp;$R$2,对接源_01水果!$AJ$4:$AJ$1203,"&gt;0"),2)</f>
        <v>320</v>
      </c>
      <c r="AE6" s="2">
        <f>IFERROR(MATCH(1,_自动清单!$AM$4:$AM$2403,0),"")</f>
        <v>633</v>
      </c>
    </row>
    <row r="7" ht="18" customHeight="1" s="127">
      <c r="A7" s="206">
        <f>IF($AE7="","",IF(INDEX(对接源_01水果!$B$4:$B$1203,$AE7)=0,"",INDEX(对接源_01水果!$B$4:$B$1203,$AE7)))</f>
        <v>46289.0</v>
      </c>
      <c r="B7" s="61" t="str">
        <f>IF($AE7="","",IF(INDEX(对接源_01水果!$E$4:$E$1203,$AE7)=0,"",INDEX(对接源_01水果!$E$4:$E$1203,$AE7)))</f>
        <v>NO:0000144</v>
      </c>
      <c r="C7" s="61" t="str">
        <f>IF($AE7="","",IF(INDEX(对接源_01水果!$F$4:$F$1203,$AE7)=0,"",INDEX(对接源_01水果!$F$4:$F$1203,$AE7)))</f>
        <v>香梨</v>
      </c>
      <c r="D7" s="61" t="str">
        <f>IF($AE7="","",IF(INDEX(对接源_01水果!$G$4:$G$1203,$AE7)=0,"",INDEX(对接源_01水果!$G$4:$G$1203,$AE7)))</f>
        <v>香梨一级</v>
      </c>
      <c r="E7" s="61">
        <f>IF($AE7="","",IF(INDEX(对接源_01水果!$H$4:$H$1203,$AE7)=0,"",INDEX(对接源_01水果!$H$4:$H$1203,$AE7)))</f>
        <v>4</v>
      </c>
      <c r="F7" s="61" t="str">
        <f>IF($AE7="","",IF(INDEX(对接源_01水果!$I$4:$I$1203,$AE7)=0,"",INDEX(对接源_01水果!$I$4:$I$1203,$AE7)))</f>
        <v>箱</v>
      </c>
      <c r="G7" s="173">
        <f>IF($AE7="","",IF(INDEX(对接源_01水果!$Z$4:$Z$1203,$AE7)=0,"",INDEX(对接源_01水果!$Z$4:$Z$1203,$AE7)))</f>
        <v>40</v>
      </c>
      <c r="H7" s="173">
        <f>IF($AE7="","",IF(INDEX(对接源_01水果!$AA$4:$AA$1203,$AE7)=0,"",INDEX(对接源_01水果!$AA$4:$AA$1203,$AE7)))</f>
        <v>160</v>
      </c>
      <c r="I7" s="173">
        <f>IF($AE7="","",IF(INDEX(对接源_01水果!$AG$4:$AG$1203,$AE7)=0,"",INDEX(对接源_01水果!$AG$4:$AG$1203,$AE7)))</f>
      </c>
      <c r="J7" s="173">
        <f>IF($AE7="","",IF(INDEX(对接源_01水果!$AJ$4:$AJ$1203,$AE7)=0,"",INDEX(对接源_01水果!$AJ$4:$AJ$1203,$AE7)))</f>
        <v>160</v>
      </c>
      <c r="K7" s="61" t="str">
        <f>IF($AE7="","",IF(INDEX(对接源_01水果!$AB$4:$AB$1203,$AE7)=0,"",INDEX(对接源_01水果!$AB$4:$AB$1203,$AE7)))</f>
        <v>未付款</v>
      </c>
      <c r="L7" s="64">
        <f>IF($AE7="","",IF(INDEX(对接源_01水果!$M$4:$M$1203,$AE7)=0,"",INDEX(对接源_01水果!$M$4:$M$1203,$AE7)))</f>
      </c>
      <c r="N7" s="50" t="inlineStr">
        <is>
          <t>已付金额</t>
        </is>
      </c>
      <c r="O7" s="203" t="n"/>
      <c r="P7" s="57">
        <f>ROUND(SUMIFS(对接源_01水果!$AJ$4:$AJ$1203,对接源_01水果!$Y$4:$Y$1203,$B$2,对接源_01水果!$B$4:$B$1203,"&gt;="&amp;$R$1,对接源_01水果!$B$4:$B$1203,"&lt;="&amp;$R$2,对接源_01水果!$AJ$4:$AJ$1203,"&gt;0",对接源_01水果!$AB$4:$AB$1203,"已付清"),2)</f>
        <v>0</v>
      </c>
      <c r="AE7" s="2">
        <f>IFERROR(MATCH(2,_自动清单!$AM$4:$AM$2403,0),"")</f>
        <v>634</v>
      </c>
    </row>
    <row r="8" ht="18" customHeight="1" s="127">
      <c r="A8" s="206">
        <f>IF($AE8="","",IF(INDEX(对接源_01水果!$B$4:$B$1203,$AE8)=0,"",INDEX(对接源_01水果!$B$4:$B$1203,$AE8)))</f>
      </c>
      <c r="B8" s="61">
        <f>IF($AE8="","",IF(INDEX(对接源_01水果!$E$4:$E$1203,$AE8)=0,"",INDEX(对接源_01水果!$E$4:$E$1203,$AE8)))</f>
      </c>
      <c r="C8" s="61">
        <f>IF($AE8="","",IF(INDEX(对接源_01水果!$F$4:$F$1203,$AE8)=0,"",INDEX(对接源_01水果!$F$4:$F$1203,$AE8)))</f>
      </c>
      <c r="D8" s="61">
        <f>IF($AE8="","",IF(INDEX(对接源_01水果!$G$4:$G$1203,$AE8)=0,"",INDEX(对接源_01水果!$G$4:$G$1203,$AE8)))</f>
      </c>
      <c r="E8" s="61">
        <f>IF($AE8="","",IF(INDEX(对接源_01水果!$H$4:$H$1203,$AE8)=0,"",INDEX(对接源_01水果!$H$4:$H$1203,$AE8)))</f>
      </c>
      <c r="F8" s="61">
        <f>IF($AE8="","",IF(INDEX(对接源_01水果!$I$4:$I$1203,$AE8)=0,"",INDEX(对接源_01水果!$I$4:$I$1203,$AE8)))</f>
      </c>
      <c r="G8" s="173">
        <f>IF($AE8="","",IF(INDEX(对接源_01水果!$Z$4:$Z$1203,$AE8)=0,"",INDEX(对接源_01水果!$Z$4:$Z$1203,$AE8)))</f>
      </c>
      <c r="H8" s="173">
        <f>IF($AE8="","",IF(INDEX(对接源_01水果!$AA$4:$AA$1203,$AE8)=0,"",INDEX(对接源_01水果!$AA$4:$AA$1203,$AE8)))</f>
      </c>
      <c r="I8" s="173">
        <f>IF($AE8="","",IF(INDEX(对接源_01水果!$AG$4:$AG$1203,$AE8)=0,"",INDEX(对接源_01水果!$AG$4:$AG$1203,$AE8)))</f>
      </c>
      <c r="J8" s="173">
        <f>IF($AE8="","",IF(INDEX(对接源_01水果!$AJ$4:$AJ$1203,$AE8)=0,"",INDEX(对接源_01水果!$AJ$4:$AJ$1203,$AE8)))</f>
      </c>
      <c r="K8" s="61">
        <f>IF($AE8="","",IF(INDEX(对接源_01水果!$AB$4:$AB$1203,$AE8)=0,"",INDEX(对接源_01水果!$AB$4:$AB$1203,$AE8)))</f>
      </c>
      <c r="L8" s="64">
        <f>IF($AE8="","",IF(INDEX(对接源_01水果!$M$4:$M$1203,$AE8)=0,"",INDEX(对接源_01水果!$M$4:$M$1203,$AE8)))</f>
      </c>
      <c r="N8" s="50" t="inlineStr">
        <is>
          <t>未付金额（应付）</t>
        </is>
      </c>
      <c r="O8" s="203" t="n"/>
      <c r="P8" s="57">
        <f>ROUND(N($P$6)-N($P$7),2)</f>
        <v>320</v>
      </c>
      <c r="AE8" s="2">
        <f>IFERROR(MATCH(3,_自动清单!$AM$4:$AM$2403,0),"")</f>
      </c>
    </row>
    <row r="9" ht="18" customHeight="1" s="127">
      <c r="A9" s="206">
        <f>IF($AE9="","",IF(INDEX(对接源_01水果!$B$4:$B$1203,$AE9)=0,"",INDEX(对接源_01水果!$B$4:$B$1203,$AE9)))</f>
      </c>
      <c r="B9" s="61">
        <f>IF($AE9="","",IF(INDEX(对接源_01水果!$E$4:$E$1203,$AE9)=0,"",INDEX(对接源_01水果!$E$4:$E$1203,$AE9)))</f>
      </c>
      <c r="C9" s="61">
        <f>IF($AE9="","",IF(INDEX(对接源_01水果!$F$4:$F$1203,$AE9)=0,"",INDEX(对接源_01水果!$F$4:$F$1203,$AE9)))</f>
      </c>
      <c r="D9" s="61">
        <f>IF($AE9="","",IF(INDEX(对接源_01水果!$G$4:$G$1203,$AE9)=0,"",INDEX(对接源_01水果!$G$4:$G$1203,$AE9)))</f>
      </c>
      <c r="E9" s="61">
        <f>IF($AE9="","",IF(INDEX(对接源_01水果!$H$4:$H$1203,$AE9)=0,"",INDEX(对接源_01水果!$H$4:$H$1203,$AE9)))</f>
      </c>
      <c r="F9" s="61">
        <f>IF($AE9="","",IF(INDEX(对接源_01水果!$I$4:$I$1203,$AE9)=0,"",INDEX(对接源_01水果!$I$4:$I$1203,$AE9)))</f>
      </c>
      <c r="G9" s="173">
        <f>IF($AE9="","",IF(INDEX(对接源_01水果!$Z$4:$Z$1203,$AE9)=0,"",INDEX(对接源_01水果!$Z$4:$Z$1203,$AE9)))</f>
      </c>
      <c r="H9" s="173">
        <f>IF($AE9="","",IF(INDEX(对接源_01水果!$AA$4:$AA$1203,$AE9)=0,"",INDEX(对接源_01水果!$AA$4:$AA$1203,$AE9)))</f>
      </c>
      <c r="I9" s="173">
        <f>IF($AE9="","",IF(INDEX(对接源_01水果!$AG$4:$AG$1203,$AE9)=0,"",INDEX(对接源_01水果!$AG$4:$AG$1203,$AE9)))</f>
      </c>
      <c r="J9" s="173">
        <f>IF($AE9="","",IF(INDEX(对接源_01水果!$AJ$4:$AJ$1203,$AE9)=0,"",INDEX(对接源_01水果!$AJ$4:$AJ$1203,$AE9)))</f>
      </c>
      <c r="K9" s="61">
        <f>IF($AE9="","",IF(INDEX(对接源_01水果!$AB$4:$AB$1203,$AE9)=0,"",INDEX(对接源_01水果!$AB$4:$AB$1203,$AE9)))</f>
      </c>
      <c r="L9" s="64">
        <f>IF($AE9="","",IF(INDEX(对接源_01水果!$M$4:$M$1203,$AE9)=0,"",INDEX(对接源_01水果!$M$4:$M$1203,$AE9)))</f>
      </c>
      <c r="AE9" s="2">
        <f>IFERROR(MATCH(4,_自动清单!$AM$4:$AM$2403,0),"")</f>
      </c>
    </row>
    <row r="10" ht="18" customHeight="1" s="127">
      <c r="A10" s="206">
        <f>IF($AE10="","",IF(INDEX(对接源_01水果!$B$4:$B$1203,$AE10)=0,"",INDEX(对接源_01水果!$B$4:$B$1203,$AE10)))</f>
      </c>
      <c r="B10" s="61">
        <f>IF($AE10="","",IF(INDEX(对接源_01水果!$E$4:$E$1203,$AE10)=0,"",INDEX(对接源_01水果!$E$4:$E$1203,$AE10)))</f>
      </c>
      <c r="C10" s="61">
        <f>IF($AE10="","",IF(INDEX(对接源_01水果!$F$4:$F$1203,$AE10)=0,"",INDEX(对接源_01水果!$F$4:$F$1203,$AE10)))</f>
      </c>
      <c r="D10" s="61">
        <f>IF($AE10="","",IF(INDEX(对接源_01水果!$G$4:$G$1203,$AE10)=0,"",INDEX(对接源_01水果!$G$4:$G$1203,$AE10)))</f>
      </c>
      <c r="E10" s="61">
        <f>IF($AE10="","",IF(INDEX(对接源_01水果!$H$4:$H$1203,$AE10)=0,"",INDEX(对接源_01水果!$H$4:$H$1203,$AE10)))</f>
      </c>
      <c r="F10" s="61">
        <f>IF($AE10="","",IF(INDEX(对接源_01水果!$I$4:$I$1203,$AE10)=0,"",INDEX(对接源_01水果!$I$4:$I$1203,$AE10)))</f>
      </c>
      <c r="G10" s="173">
        <f>IF($AE10="","",IF(INDEX(对接源_01水果!$Z$4:$Z$1203,$AE10)=0,"",INDEX(对接源_01水果!$Z$4:$Z$1203,$AE10)))</f>
      </c>
      <c r="H10" s="173">
        <f>IF($AE10="","",IF(INDEX(对接源_01水果!$AA$4:$AA$1203,$AE10)=0,"",INDEX(对接源_01水果!$AA$4:$AA$1203,$AE10)))</f>
      </c>
      <c r="I10" s="173">
        <f>IF($AE10="","",IF(INDEX(对接源_01水果!$AG$4:$AG$1203,$AE10)=0,"",INDEX(对接源_01水果!$AG$4:$AG$1203,$AE10)))</f>
      </c>
      <c r="J10" s="173">
        <f>IF($AE10="","",IF(INDEX(对接源_01水果!$AJ$4:$AJ$1203,$AE10)=0,"",INDEX(对接源_01水果!$AJ$4:$AJ$1203,$AE10)))</f>
      </c>
      <c r="K10" s="61">
        <f>IF($AE10="","",IF(INDEX(对接源_01水果!$AB$4:$AB$1203,$AE10)=0,"",INDEX(对接源_01水果!$AB$4:$AB$1203,$AE10)))</f>
      </c>
      <c r="L10" s="64">
        <f>IF($AE10="","",IF(INDEX(对接源_01水果!$M$4:$M$1203,$AE10)=0,"",INDEX(对接源_01水果!$M$4:$M$1203,$AE10)))</f>
      </c>
      <c r="AE10" s="2">
        <f>IFERROR(MATCH(5,_自动清单!$AM$4:$AM$2403,0),"")</f>
      </c>
    </row>
    <row r="11" ht="18" customHeight="1" s="127">
      <c r="A11" s="206">
        <f>IF($AE11="","",IF(INDEX(对接源_01水果!$B$4:$B$1203,$AE11)=0,"",INDEX(对接源_01水果!$B$4:$B$1203,$AE11)))</f>
      </c>
      <c r="B11" s="61">
        <f>IF($AE11="","",IF(INDEX(对接源_01水果!$E$4:$E$1203,$AE11)=0,"",INDEX(对接源_01水果!$E$4:$E$1203,$AE11)))</f>
      </c>
      <c r="C11" s="61">
        <f>IF($AE11="","",IF(INDEX(对接源_01水果!$F$4:$F$1203,$AE11)=0,"",INDEX(对接源_01水果!$F$4:$F$1203,$AE11)))</f>
      </c>
      <c r="D11" s="61">
        <f>IF($AE11="","",IF(INDEX(对接源_01水果!$G$4:$G$1203,$AE11)=0,"",INDEX(对接源_01水果!$G$4:$G$1203,$AE11)))</f>
      </c>
      <c r="E11" s="61">
        <f>IF($AE11="","",IF(INDEX(对接源_01水果!$H$4:$H$1203,$AE11)=0,"",INDEX(对接源_01水果!$H$4:$H$1203,$AE11)))</f>
      </c>
      <c r="F11" s="61">
        <f>IF($AE11="","",IF(INDEX(对接源_01水果!$I$4:$I$1203,$AE11)=0,"",INDEX(对接源_01水果!$I$4:$I$1203,$AE11)))</f>
      </c>
      <c r="G11" s="173">
        <f>IF($AE11="","",IF(INDEX(对接源_01水果!$Z$4:$Z$1203,$AE11)=0,"",INDEX(对接源_01水果!$Z$4:$Z$1203,$AE11)))</f>
      </c>
      <c r="H11" s="173">
        <f>IF($AE11="","",IF(INDEX(对接源_01水果!$AA$4:$AA$1203,$AE11)=0,"",INDEX(对接源_01水果!$AA$4:$AA$1203,$AE11)))</f>
      </c>
      <c r="I11" s="173">
        <f>IF($AE11="","",IF(INDEX(对接源_01水果!$AG$4:$AG$1203,$AE11)=0,"",INDEX(对接源_01水果!$AG$4:$AG$1203,$AE11)))</f>
      </c>
      <c r="J11" s="173">
        <f>IF($AE11="","",IF(INDEX(对接源_01水果!$AJ$4:$AJ$1203,$AE11)=0,"",INDEX(对接源_01水果!$AJ$4:$AJ$1203,$AE11)))</f>
      </c>
      <c r="K11" s="61">
        <f>IF($AE11="","",IF(INDEX(对接源_01水果!$AB$4:$AB$1203,$AE11)=0,"",INDEX(对接源_01水果!$AB$4:$AB$1203,$AE11)))</f>
      </c>
      <c r="L11" s="64">
        <f>IF($AE11="","",IF(INDEX(对接源_01水果!$M$4:$M$1203,$AE11)=0,"",INDEX(对接源_01水果!$M$4:$M$1203,$AE11)))</f>
      </c>
      <c r="AE11" s="2">
        <f>IFERROR(MATCH(6,_自动清单!$AM$4:$AM$2403,0),"")</f>
      </c>
    </row>
    <row r="12" ht="18" customHeight="1" s="127">
      <c r="A12" s="206">
        <f>IF($AE12="","",IF(INDEX(对接源_01水果!$B$4:$B$1203,$AE12)=0,"",INDEX(对接源_01水果!$B$4:$B$1203,$AE12)))</f>
      </c>
      <c r="B12" s="61">
        <f>IF($AE12="","",IF(INDEX(对接源_01水果!$E$4:$E$1203,$AE12)=0,"",INDEX(对接源_01水果!$E$4:$E$1203,$AE12)))</f>
      </c>
      <c r="C12" s="61">
        <f>IF($AE12="","",IF(INDEX(对接源_01水果!$F$4:$F$1203,$AE12)=0,"",INDEX(对接源_01水果!$F$4:$F$1203,$AE12)))</f>
      </c>
      <c r="D12" s="61">
        <f>IF($AE12="","",IF(INDEX(对接源_01水果!$G$4:$G$1203,$AE12)=0,"",INDEX(对接源_01水果!$G$4:$G$1203,$AE12)))</f>
      </c>
      <c r="E12" s="61">
        <f>IF($AE12="","",IF(INDEX(对接源_01水果!$H$4:$H$1203,$AE12)=0,"",INDEX(对接源_01水果!$H$4:$H$1203,$AE12)))</f>
      </c>
      <c r="F12" s="61">
        <f>IF($AE12="","",IF(INDEX(对接源_01水果!$I$4:$I$1203,$AE12)=0,"",INDEX(对接源_01水果!$I$4:$I$1203,$AE12)))</f>
      </c>
      <c r="G12" s="173">
        <f>IF($AE12="","",IF(INDEX(对接源_01水果!$Z$4:$Z$1203,$AE12)=0,"",INDEX(对接源_01水果!$Z$4:$Z$1203,$AE12)))</f>
      </c>
      <c r="H12" s="173">
        <f>IF($AE12="","",IF(INDEX(对接源_01水果!$AA$4:$AA$1203,$AE12)=0,"",INDEX(对接源_01水果!$AA$4:$AA$1203,$AE12)))</f>
      </c>
      <c r="I12" s="173">
        <f>IF($AE12="","",IF(INDEX(对接源_01水果!$AG$4:$AG$1203,$AE12)=0,"",INDEX(对接源_01水果!$AG$4:$AG$1203,$AE12)))</f>
      </c>
      <c r="J12" s="173">
        <f>IF($AE12="","",IF(INDEX(对接源_01水果!$AJ$4:$AJ$1203,$AE12)=0,"",INDEX(对接源_01水果!$AJ$4:$AJ$1203,$AE12)))</f>
      </c>
      <c r="K12" s="61">
        <f>IF($AE12="","",IF(INDEX(对接源_01水果!$AB$4:$AB$1203,$AE12)=0,"",INDEX(对接源_01水果!$AB$4:$AB$1203,$AE12)))</f>
      </c>
      <c r="L12" s="64">
        <f>IF($AE12="","",IF(INDEX(对接源_01水果!$M$4:$M$1203,$AE12)=0,"",INDEX(对接源_01水果!$M$4:$M$1203,$AE12)))</f>
      </c>
      <c r="AE12" s="2">
        <f>IFERROR(MATCH(7,_自动清单!$AM$4:$AM$2403,0),"")</f>
      </c>
    </row>
    <row r="13" ht="18" customHeight="1" s="127">
      <c r="A13" s="206">
        <f>IF($AE13="","",IF(INDEX(对接源_01水果!$B$4:$B$1203,$AE13)=0,"",INDEX(对接源_01水果!$B$4:$B$1203,$AE13)))</f>
      </c>
      <c r="B13" s="61">
        <f>IF($AE13="","",IF(INDEX(对接源_01水果!$E$4:$E$1203,$AE13)=0,"",INDEX(对接源_01水果!$E$4:$E$1203,$AE13)))</f>
      </c>
      <c r="C13" s="61">
        <f>IF($AE13="","",IF(INDEX(对接源_01水果!$F$4:$F$1203,$AE13)=0,"",INDEX(对接源_01水果!$F$4:$F$1203,$AE13)))</f>
      </c>
      <c r="D13" s="61">
        <f>IF($AE13="","",IF(INDEX(对接源_01水果!$G$4:$G$1203,$AE13)=0,"",INDEX(对接源_01水果!$G$4:$G$1203,$AE13)))</f>
      </c>
      <c r="E13" s="61">
        <f>IF($AE13="","",IF(INDEX(对接源_01水果!$H$4:$H$1203,$AE13)=0,"",INDEX(对接源_01水果!$H$4:$H$1203,$AE13)))</f>
      </c>
      <c r="F13" s="61">
        <f>IF($AE13="","",IF(INDEX(对接源_01水果!$I$4:$I$1203,$AE13)=0,"",INDEX(对接源_01水果!$I$4:$I$1203,$AE13)))</f>
      </c>
      <c r="G13" s="173">
        <f>IF($AE13="","",IF(INDEX(对接源_01水果!$Z$4:$Z$1203,$AE13)=0,"",INDEX(对接源_01水果!$Z$4:$Z$1203,$AE13)))</f>
      </c>
      <c r="H13" s="173">
        <f>IF($AE13="","",IF(INDEX(对接源_01水果!$AA$4:$AA$1203,$AE13)=0,"",INDEX(对接源_01水果!$AA$4:$AA$1203,$AE13)))</f>
      </c>
      <c r="I13" s="173">
        <f>IF($AE13="","",IF(INDEX(对接源_01水果!$AG$4:$AG$1203,$AE13)=0,"",INDEX(对接源_01水果!$AG$4:$AG$1203,$AE13)))</f>
      </c>
      <c r="J13" s="173">
        <f>IF($AE13="","",IF(INDEX(对接源_01水果!$AJ$4:$AJ$1203,$AE13)=0,"",INDEX(对接源_01水果!$AJ$4:$AJ$1203,$AE13)))</f>
      </c>
      <c r="K13" s="61">
        <f>IF($AE13="","",IF(INDEX(对接源_01水果!$AB$4:$AB$1203,$AE13)=0,"",INDEX(对接源_01水果!$AB$4:$AB$1203,$AE13)))</f>
      </c>
      <c r="L13" s="64">
        <f>IF($AE13="","",IF(INDEX(对接源_01水果!$M$4:$M$1203,$AE13)=0,"",INDEX(对接源_01水果!$M$4:$M$1203,$AE13)))</f>
      </c>
      <c r="AE13" s="2">
        <f>IFERROR(MATCH(8,_自动清单!$AM$4:$AM$2403,0),"")</f>
      </c>
    </row>
    <row r="14" ht="18" customHeight="1" s="127">
      <c r="A14" s="206">
        <f>IF($AE14="","",IF(INDEX(对接源_01水果!$B$4:$B$1203,$AE14)=0,"",INDEX(对接源_01水果!$B$4:$B$1203,$AE14)))</f>
      </c>
      <c r="B14" s="61">
        <f>IF($AE14="","",IF(INDEX(对接源_01水果!$E$4:$E$1203,$AE14)=0,"",INDEX(对接源_01水果!$E$4:$E$1203,$AE14)))</f>
      </c>
      <c r="C14" s="61">
        <f>IF($AE14="","",IF(INDEX(对接源_01水果!$F$4:$F$1203,$AE14)=0,"",INDEX(对接源_01水果!$F$4:$F$1203,$AE14)))</f>
      </c>
      <c r="D14" s="61">
        <f>IF($AE14="","",IF(INDEX(对接源_01水果!$G$4:$G$1203,$AE14)=0,"",INDEX(对接源_01水果!$G$4:$G$1203,$AE14)))</f>
      </c>
      <c r="E14" s="61">
        <f>IF($AE14="","",IF(INDEX(对接源_01水果!$H$4:$H$1203,$AE14)=0,"",INDEX(对接源_01水果!$H$4:$H$1203,$AE14)))</f>
      </c>
      <c r="F14" s="61">
        <f>IF($AE14="","",IF(INDEX(对接源_01水果!$I$4:$I$1203,$AE14)=0,"",INDEX(对接源_01水果!$I$4:$I$1203,$AE14)))</f>
      </c>
      <c r="G14" s="173">
        <f>IF($AE14="","",IF(INDEX(对接源_01水果!$Z$4:$Z$1203,$AE14)=0,"",INDEX(对接源_01水果!$Z$4:$Z$1203,$AE14)))</f>
      </c>
      <c r="H14" s="173">
        <f>IF($AE14="","",IF(INDEX(对接源_01水果!$AA$4:$AA$1203,$AE14)=0,"",INDEX(对接源_01水果!$AA$4:$AA$1203,$AE14)))</f>
      </c>
      <c r="I14" s="173">
        <f>IF($AE14="","",IF(INDEX(对接源_01水果!$AG$4:$AG$1203,$AE14)=0,"",INDEX(对接源_01水果!$AG$4:$AG$1203,$AE14)))</f>
      </c>
      <c r="J14" s="173">
        <f>IF($AE14="","",IF(INDEX(对接源_01水果!$AJ$4:$AJ$1203,$AE14)=0,"",INDEX(对接源_01水果!$AJ$4:$AJ$1203,$AE14)))</f>
      </c>
      <c r="K14" s="61">
        <f>IF($AE14="","",IF(INDEX(对接源_01水果!$AB$4:$AB$1203,$AE14)=0,"",INDEX(对接源_01水果!$AB$4:$AB$1203,$AE14)))</f>
      </c>
      <c r="L14" s="64">
        <f>IF($AE14="","",IF(INDEX(对接源_01水果!$M$4:$M$1203,$AE14)=0,"",INDEX(对接源_01水果!$M$4:$M$1203,$AE14)))</f>
      </c>
      <c r="AE14" s="2">
        <f>IFERROR(MATCH(9,_自动清单!$AM$4:$AM$2403,0),"")</f>
      </c>
    </row>
    <row r="15" ht="18" customHeight="1" s="127">
      <c r="A15" s="206">
        <f>IF($AE15="","",IF(INDEX(对接源_01水果!$B$4:$B$1203,$AE15)=0,"",INDEX(对接源_01水果!$B$4:$B$1203,$AE15)))</f>
      </c>
      <c r="B15" s="61">
        <f>IF($AE15="","",IF(INDEX(对接源_01水果!$E$4:$E$1203,$AE15)=0,"",INDEX(对接源_01水果!$E$4:$E$1203,$AE15)))</f>
      </c>
      <c r="C15" s="61">
        <f>IF($AE15="","",IF(INDEX(对接源_01水果!$F$4:$F$1203,$AE15)=0,"",INDEX(对接源_01水果!$F$4:$F$1203,$AE15)))</f>
      </c>
      <c r="D15" s="61">
        <f>IF($AE15="","",IF(INDEX(对接源_01水果!$G$4:$G$1203,$AE15)=0,"",INDEX(对接源_01水果!$G$4:$G$1203,$AE15)))</f>
      </c>
      <c r="E15" s="61">
        <f>IF($AE15="","",IF(INDEX(对接源_01水果!$H$4:$H$1203,$AE15)=0,"",INDEX(对接源_01水果!$H$4:$H$1203,$AE15)))</f>
      </c>
      <c r="F15" s="61">
        <f>IF($AE15="","",IF(INDEX(对接源_01水果!$I$4:$I$1203,$AE15)=0,"",INDEX(对接源_01水果!$I$4:$I$1203,$AE15)))</f>
      </c>
      <c r="G15" s="173">
        <f>IF($AE15="","",IF(INDEX(对接源_01水果!$Z$4:$Z$1203,$AE15)=0,"",INDEX(对接源_01水果!$Z$4:$Z$1203,$AE15)))</f>
      </c>
      <c r="H15" s="173">
        <f>IF($AE15="","",IF(INDEX(对接源_01水果!$AA$4:$AA$1203,$AE15)=0,"",INDEX(对接源_01水果!$AA$4:$AA$1203,$AE15)))</f>
      </c>
      <c r="I15" s="173">
        <f>IF($AE15="","",IF(INDEX(对接源_01水果!$AG$4:$AG$1203,$AE15)=0,"",INDEX(对接源_01水果!$AG$4:$AG$1203,$AE15)))</f>
      </c>
      <c r="J15" s="173">
        <f>IF($AE15="","",IF(INDEX(对接源_01水果!$AJ$4:$AJ$1203,$AE15)=0,"",INDEX(对接源_01水果!$AJ$4:$AJ$1203,$AE15)))</f>
      </c>
      <c r="K15" s="61">
        <f>IF($AE15="","",IF(INDEX(对接源_01水果!$AB$4:$AB$1203,$AE15)=0,"",INDEX(对接源_01水果!$AB$4:$AB$1203,$AE15)))</f>
      </c>
      <c r="L15" s="64">
        <f>IF($AE15="","",IF(INDEX(对接源_01水果!$M$4:$M$1203,$AE15)=0,"",INDEX(对接源_01水果!$M$4:$M$1203,$AE15)))</f>
      </c>
      <c r="AE15" s="2">
        <f>IFERROR(MATCH(10,_自动清单!$AM$4:$AM$2403,0),"")</f>
      </c>
    </row>
    <row r="16" ht="18" customHeight="1" s="127">
      <c r="A16" s="206">
        <f>IF($AE16="","",IF(INDEX(对接源_01水果!$B$4:$B$1203,$AE16)=0,"",INDEX(对接源_01水果!$B$4:$B$1203,$AE16)))</f>
      </c>
      <c r="B16" s="61">
        <f>IF($AE16="","",IF(INDEX(对接源_01水果!$E$4:$E$1203,$AE16)=0,"",INDEX(对接源_01水果!$E$4:$E$1203,$AE16)))</f>
      </c>
      <c r="C16" s="61">
        <f>IF($AE16="","",IF(INDEX(对接源_01水果!$F$4:$F$1203,$AE16)=0,"",INDEX(对接源_01水果!$F$4:$F$1203,$AE16)))</f>
      </c>
      <c r="D16" s="61">
        <f>IF($AE16="","",IF(INDEX(对接源_01水果!$G$4:$G$1203,$AE16)=0,"",INDEX(对接源_01水果!$G$4:$G$1203,$AE16)))</f>
      </c>
      <c r="E16" s="61">
        <f>IF($AE16="","",IF(INDEX(对接源_01水果!$H$4:$H$1203,$AE16)=0,"",INDEX(对接源_01水果!$H$4:$H$1203,$AE16)))</f>
      </c>
      <c r="F16" s="61">
        <f>IF($AE16="","",IF(INDEX(对接源_01水果!$I$4:$I$1203,$AE16)=0,"",INDEX(对接源_01水果!$I$4:$I$1203,$AE16)))</f>
      </c>
      <c r="G16" s="173">
        <f>IF($AE16="","",IF(INDEX(对接源_01水果!$Z$4:$Z$1203,$AE16)=0,"",INDEX(对接源_01水果!$Z$4:$Z$1203,$AE16)))</f>
      </c>
      <c r="H16" s="173">
        <f>IF($AE16="","",IF(INDEX(对接源_01水果!$AA$4:$AA$1203,$AE16)=0,"",INDEX(对接源_01水果!$AA$4:$AA$1203,$AE16)))</f>
      </c>
      <c r="I16" s="173">
        <f>IF($AE16="","",IF(INDEX(对接源_01水果!$AG$4:$AG$1203,$AE16)=0,"",INDEX(对接源_01水果!$AG$4:$AG$1203,$AE16)))</f>
      </c>
      <c r="J16" s="173">
        <f>IF($AE16="","",IF(INDEX(对接源_01水果!$AJ$4:$AJ$1203,$AE16)=0,"",INDEX(对接源_01水果!$AJ$4:$AJ$1203,$AE16)))</f>
      </c>
      <c r="K16" s="61">
        <f>IF($AE16="","",IF(INDEX(对接源_01水果!$AB$4:$AB$1203,$AE16)=0,"",INDEX(对接源_01水果!$AB$4:$AB$1203,$AE16)))</f>
      </c>
      <c r="L16" s="64">
        <f>IF($AE16="","",IF(INDEX(对接源_01水果!$M$4:$M$1203,$AE16)=0,"",INDEX(对接源_01水果!$M$4:$M$1203,$AE16)))</f>
      </c>
      <c r="AE16" s="2">
        <f>IFERROR(MATCH(11,_自动清单!$AM$4:$AM$2403,0),"")</f>
      </c>
    </row>
    <row r="17" ht="18" customHeight="1" s="127">
      <c r="A17" s="206">
        <f>IF($AE17="","",IF(INDEX(对接源_01水果!$B$4:$B$1203,$AE17)=0,"",INDEX(对接源_01水果!$B$4:$B$1203,$AE17)))</f>
      </c>
      <c r="B17" s="61">
        <f>IF($AE17="","",IF(INDEX(对接源_01水果!$E$4:$E$1203,$AE17)=0,"",INDEX(对接源_01水果!$E$4:$E$1203,$AE17)))</f>
      </c>
      <c r="C17" s="61">
        <f>IF($AE17="","",IF(INDEX(对接源_01水果!$F$4:$F$1203,$AE17)=0,"",INDEX(对接源_01水果!$F$4:$F$1203,$AE17)))</f>
      </c>
      <c r="D17" s="61">
        <f>IF($AE17="","",IF(INDEX(对接源_01水果!$G$4:$G$1203,$AE17)=0,"",INDEX(对接源_01水果!$G$4:$G$1203,$AE17)))</f>
      </c>
      <c r="E17" s="61">
        <f>IF($AE17="","",IF(INDEX(对接源_01水果!$H$4:$H$1203,$AE17)=0,"",INDEX(对接源_01水果!$H$4:$H$1203,$AE17)))</f>
      </c>
      <c r="F17" s="61">
        <f>IF($AE17="","",IF(INDEX(对接源_01水果!$I$4:$I$1203,$AE17)=0,"",INDEX(对接源_01水果!$I$4:$I$1203,$AE17)))</f>
      </c>
      <c r="G17" s="173">
        <f>IF($AE17="","",IF(INDEX(对接源_01水果!$Z$4:$Z$1203,$AE17)=0,"",INDEX(对接源_01水果!$Z$4:$Z$1203,$AE17)))</f>
      </c>
      <c r="H17" s="173">
        <f>IF($AE17="","",IF(INDEX(对接源_01水果!$AA$4:$AA$1203,$AE17)=0,"",INDEX(对接源_01水果!$AA$4:$AA$1203,$AE17)))</f>
      </c>
      <c r="I17" s="173">
        <f>IF($AE17="","",IF(INDEX(对接源_01水果!$AG$4:$AG$1203,$AE17)=0,"",INDEX(对接源_01水果!$AG$4:$AG$1203,$AE17)))</f>
      </c>
      <c r="J17" s="173">
        <f>IF($AE17="","",IF(INDEX(对接源_01水果!$AJ$4:$AJ$1203,$AE17)=0,"",INDEX(对接源_01水果!$AJ$4:$AJ$1203,$AE17)))</f>
      </c>
      <c r="K17" s="61">
        <f>IF($AE17="","",IF(INDEX(对接源_01水果!$AB$4:$AB$1203,$AE17)=0,"",INDEX(对接源_01水果!$AB$4:$AB$1203,$AE17)))</f>
      </c>
      <c r="L17" s="64">
        <f>IF($AE17="","",IF(INDEX(对接源_01水果!$M$4:$M$1203,$AE17)=0,"",INDEX(对接源_01水果!$M$4:$M$1203,$AE17)))</f>
      </c>
      <c r="AE17" s="2">
        <f>IFERROR(MATCH(12,_自动清单!$AM$4:$AM$2403,0),"")</f>
      </c>
    </row>
    <row r="18" ht="18" customHeight="1" s="127">
      <c r="A18" s="206">
        <f>IF($AE18="","",IF(INDEX(对接源_01水果!$B$4:$B$1203,$AE18)=0,"",INDEX(对接源_01水果!$B$4:$B$1203,$AE18)))</f>
      </c>
      <c r="B18" s="61">
        <f>IF($AE18="","",IF(INDEX(对接源_01水果!$E$4:$E$1203,$AE18)=0,"",INDEX(对接源_01水果!$E$4:$E$1203,$AE18)))</f>
      </c>
      <c r="C18" s="61">
        <f>IF($AE18="","",IF(INDEX(对接源_01水果!$F$4:$F$1203,$AE18)=0,"",INDEX(对接源_01水果!$F$4:$F$1203,$AE18)))</f>
      </c>
      <c r="D18" s="61">
        <f>IF($AE18="","",IF(INDEX(对接源_01水果!$G$4:$G$1203,$AE18)=0,"",INDEX(对接源_01水果!$G$4:$G$1203,$AE18)))</f>
      </c>
      <c r="E18" s="61">
        <f>IF($AE18="","",IF(INDEX(对接源_01水果!$H$4:$H$1203,$AE18)=0,"",INDEX(对接源_01水果!$H$4:$H$1203,$AE18)))</f>
      </c>
      <c r="F18" s="61">
        <f>IF($AE18="","",IF(INDEX(对接源_01水果!$I$4:$I$1203,$AE18)=0,"",INDEX(对接源_01水果!$I$4:$I$1203,$AE18)))</f>
      </c>
      <c r="G18" s="173">
        <f>IF($AE18="","",IF(INDEX(对接源_01水果!$Z$4:$Z$1203,$AE18)=0,"",INDEX(对接源_01水果!$Z$4:$Z$1203,$AE18)))</f>
      </c>
      <c r="H18" s="173">
        <f>IF($AE18="","",IF(INDEX(对接源_01水果!$AA$4:$AA$1203,$AE18)=0,"",INDEX(对接源_01水果!$AA$4:$AA$1203,$AE18)))</f>
      </c>
      <c r="I18" s="173">
        <f>IF($AE18="","",IF(INDEX(对接源_01水果!$AG$4:$AG$1203,$AE18)=0,"",INDEX(对接源_01水果!$AG$4:$AG$1203,$AE18)))</f>
      </c>
      <c r="J18" s="173">
        <f>IF($AE18="","",IF(INDEX(对接源_01水果!$AJ$4:$AJ$1203,$AE18)=0,"",INDEX(对接源_01水果!$AJ$4:$AJ$1203,$AE18)))</f>
      </c>
      <c r="K18" s="61">
        <f>IF($AE18="","",IF(INDEX(对接源_01水果!$AB$4:$AB$1203,$AE18)=0,"",INDEX(对接源_01水果!$AB$4:$AB$1203,$AE18)))</f>
      </c>
      <c r="L18" s="64">
        <f>IF($AE18="","",IF(INDEX(对接源_01水果!$M$4:$M$1203,$AE18)=0,"",INDEX(对接源_01水果!$M$4:$M$1203,$AE18)))</f>
      </c>
      <c r="AE18" s="2">
        <f>IFERROR(MATCH(13,_自动清单!$AM$4:$AM$2403,0),"")</f>
      </c>
    </row>
    <row r="19" ht="18" customHeight="1" s="127">
      <c r="A19" s="206">
        <f>IF($AE19="","",IF(INDEX(对接源_01水果!$B$4:$B$1203,$AE19)=0,"",INDEX(对接源_01水果!$B$4:$B$1203,$AE19)))</f>
      </c>
      <c r="B19" s="61">
        <f>IF($AE19="","",IF(INDEX(对接源_01水果!$E$4:$E$1203,$AE19)=0,"",INDEX(对接源_01水果!$E$4:$E$1203,$AE19)))</f>
      </c>
      <c r="C19" s="61">
        <f>IF($AE19="","",IF(INDEX(对接源_01水果!$F$4:$F$1203,$AE19)=0,"",INDEX(对接源_01水果!$F$4:$F$1203,$AE19)))</f>
      </c>
      <c r="D19" s="61">
        <f>IF($AE19="","",IF(INDEX(对接源_01水果!$G$4:$G$1203,$AE19)=0,"",INDEX(对接源_01水果!$G$4:$G$1203,$AE19)))</f>
      </c>
      <c r="E19" s="61">
        <f>IF($AE19="","",IF(INDEX(对接源_01水果!$H$4:$H$1203,$AE19)=0,"",INDEX(对接源_01水果!$H$4:$H$1203,$AE19)))</f>
      </c>
      <c r="F19" s="61">
        <f>IF($AE19="","",IF(INDEX(对接源_01水果!$I$4:$I$1203,$AE19)=0,"",INDEX(对接源_01水果!$I$4:$I$1203,$AE19)))</f>
      </c>
      <c r="G19" s="173">
        <f>IF($AE19="","",IF(INDEX(对接源_01水果!$Z$4:$Z$1203,$AE19)=0,"",INDEX(对接源_01水果!$Z$4:$Z$1203,$AE19)))</f>
      </c>
      <c r="H19" s="173">
        <f>IF($AE19="","",IF(INDEX(对接源_01水果!$AA$4:$AA$1203,$AE19)=0,"",INDEX(对接源_01水果!$AA$4:$AA$1203,$AE19)))</f>
      </c>
      <c r="I19" s="173">
        <f>IF($AE19="","",IF(INDEX(对接源_01水果!$AG$4:$AG$1203,$AE19)=0,"",INDEX(对接源_01水果!$AG$4:$AG$1203,$AE19)))</f>
      </c>
      <c r="J19" s="173">
        <f>IF($AE19="","",IF(INDEX(对接源_01水果!$AJ$4:$AJ$1203,$AE19)=0,"",INDEX(对接源_01水果!$AJ$4:$AJ$1203,$AE19)))</f>
      </c>
      <c r="K19" s="61">
        <f>IF($AE19="","",IF(INDEX(对接源_01水果!$AB$4:$AB$1203,$AE19)=0,"",INDEX(对接源_01水果!$AB$4:$AB$1203,$AE19)))</f>
      </c>
      <c r="L19" s="64">
        <f>IF($AE19="","",IF(INDEX(对接源_01水果!$M$4:$M$1203,$AE19)=0,"",INDEX(对接源_01水果!$M$4:$M$1203,$AE19)))</f>
      </c>
      <c r="AE19" s="2">
        <f>IFERROR(MATCH(14,_自动清单!$AM$4:$AM$2403,0),"")</f>
      </c>
    </row>
    <row r="20" ht="18" customHeight="1" s="127">
      <c r="A20" s="206">
        <f>IF($AE20="","",IF(INDEX(对接源_01水果!$B$4:$B$1203,$AE20)=0,"",INDEX(对接源_01水果!$B$4:$B$1203,$AE20)))</f>
      </c>
      <c r="B20" s="61">
        <f>IF($AE20="","",IF(INDEX(对接源_01水果!$E$4:$E$1203,$AE20)=0,"",INDEX(对接源_01水果!$E$4:$E$1203,$AE20)))</f>
      </c>
      <c r="C20" s="61">
        <f>IF($AE20="","",IF(INDEX(对接源_01水果!$F$4:$F$1203,$AE20)=0,"",INDEX(对接源_01水果!$F$4:$F$1203,$AE20)))</f>
      </c>
      <c r="D20" s="61">
        <f>IF($AE20="","",IF(INDEX(对接源_01水果!$G$4:$G$1203,$AE20)=0,"",INDEX(对接源_01水果!$G$4:$G$1203,$AE20)))</f>
      </c>
      <c r="E20" s="61">
        <f>IF($AE20="","",IF(INDEX(对接源_01水果!$H$4:$H$1203,$AE20)=0,"",INDEX(对接源_01水果!$H$4:$H$1203,$AE20)))</f>
      </c>
      <c r="F20" s="61">
        <f>IF($AE20="","",IF(INDEX(对接源_01水果!$I$4:$I$1203,$AE20)=0,"",INDEX(对接源_01水果!$I$4:$I$1203,$AE20)))</f>
      </c>
      <c r="G20" s="173">
        <f>IF($AE20="","",IF(INDEX(对接源_01水果!$Z$4:$Z$1203,$AE20)=0,"",INDEX(对接源_01水果!$Z$4:$Z$1203,$AE20)))</f>
      </c>
      <c r="H20" s="173">
        <f>IF($AE20="","",IF(INDEX(对接源_01水果!$AA$4:$AA$1203,$AE20)=0,"",INDEX(对接源_01水果!$AA$4:$AA$1203,$AE20)))</f>
      </c>
      <c r="I20" s="173">
        <f>IF($AE20="","",IF(INDEX(对接源_01水果!$AG$4:$AG$1203,$AE20)=0,"",INDEX(对接源_01水果!$AG$4:$AG$1203,$AE20)))</f>
      </c>
      <c r="J20" s="173">
        <f>IF($AE20="","",IF(INDEX(对接源_01水果!$AJ$4:$AJ$1203,$AE20)=0,"",INDEX(对接源_01水果!$AJ$4:$AJ$1203,$AE20)))</f>
      </c>
      <c r="K20" s="61">
        <f>IF($AE20="","",IF(INDEX(对接源_01水果!$AB$4:$AB$1203,$AE20)=0,"",INDEX(对接源_01水果!$AB$4:$AB$1203,$AE20)))</f>
      </c>
      <c r="L20" s="64">
        <f>IF($AE20="","",IF(INDEX(对接源_01水果!$M$4:$M$1203,$AE20)=0,"",INDEX(对接源_01水果!$M$4:$M$1203,$AE20)))</f>
      </c>
      <c r="AE20" s="2">
        <f>IFERROR(MATCH(15,_自动清单!$AM$4:$AM$2403,0),"")</f>
      </c>
    </row>
    <row r="21" ht="18" customHeight="1" s="127">
      <c r="A21" s="206">
        <f>IF($AE21="","",IF(INDEX(对接源_01水果!$B$4:$B$1203,$AE21)=0,"",INDEX(对接源_01水果!$B$4:$B$1203,$AE21)))</f>
      </c>
      <c r="B21" s="61">
        <f>IF($AE21="","",IF(INDEX(对接源_01水果!$E$4:$E$1203,$AE21)=0,"",INDEX(对接源_01水果!$E$4:$E$1203,$AE21)))</f>
      </c>
      <c r="C21" s="61">
        <f>IF($AE21="","",IF(INDEX(对接源_01水果!$F$4:$F$1203,$AE21)=0,"",INDEX(对接源_01水果!$F$4:$F$1203,$AE21)))</f>
      </c>
      <c r="D21" s="61">
        <f>IF($AE21="","",IF(INDEX(对接源_01水果!$G$4:$G$1203,$AE21)=0,"",INDEX(对接源_01水果!$G$4:$G$1203,$AE21)))</f>
      </c>
      <c r="E21" s="61">
        <f>IF($AE21="","",IF(INDEX(对接源_01水果!$H$4:$H$1203,$AE21)=0,"",INDEX(对接源_01水果!$H$4:$H$1203,$AE21)))</f>
      </c>
      <c r="F21" s="61">
        <f>IF($AE21="","",IF(INDEX(对接源_01水果!$I$4:$I$1203,$AE21)=0,"",INDEX(对接源_01水果!$I$4:$I$1203,$AE21)))</f>
      </c>
      <c r="G21" s="173">
        <f>IF($AE21="","",IF(INDEX(对接源_01水果!$Z$4:$Z$1203,$AE21)=0,"",INDEX(对接源_01水果!$Z$4:$Z$1203,$AE21)))</f>
      </c>
      <c r="H21" s="173">
        <f>IF($AE21="","",IF(INDEX(对接源_01水果!$AA$4:$AA$1203,$AE21)=0,"",INDEX(对接源_01水果!$AA$4:$AA$1203,$AE21)))</f>
      </c>
      <c r="I21" s="173">
        <f>IF($AE21="","",IF(INDEX(对接源_01水果!$AG$4:$AG$1203,$AE21)=0,"",INDEX(对接源_01水果!$AG$4:$AG$1203,$AE21)))</f>
      </c>
      <c r="J21" s="173">
        <f>IF($AE21="","",IF(INDEX(对接源_01水果!$AJ$4:$AJ$1203,$AE21)=0,"",INDEX(对接源_01水果!$AJ$4:$AJ$1203,$AE21)))</f>
      </c>
      <c r="K21" s="61">
        <f>IF($AE21="","",IF(INDEX(对接源_01水果!$AB$4:$AB$1203,$AE21)=0,"",INDEX(对接源_01水果!$AB$4:$AB$1203,$AE21)))</f>
      </c>
      <c r="L21" s="64">
        <f>IF($AE21="","",IF(INDEX(对接源_01水果!$M$4:$M$1203,$AE21)=0,"",INDEX(对接源_01水果!$M$4:$M$1203,$AE21)))</f>
      </c>
      <c r="AE21" s="2">
        <f>IFERROR(MATCH(16,_自动清单!$AM$4:$AM$2403,0),"")</f>
      </c>
    </row>
    <row r="22" ht="18" customHeight="1" s="127">
      <c r="A22" s="206">
        <f>IF($AE22="","",IF(INDEX(对接源_01水果!$B$4:$B$1203,$AE22)=0,"",INDEX(对接源_01水果!$B$4:$B$1203,$AE22)))</f>
      </c>
      <c r="B22" s="61">
        <f>IF($AE22="","",IF(INDEX(对接源_01水果!$E$4:$E$1203,$AE22)=0,"",INDEX(对接源_01水果!$E$4:$E$1203,$AE22)))</f>
      </c>
      <c r="C22" s="61">
        <f>IF($AE22="","",IF(INDEX(对接源_01水果!$F$4:$F$1203,$AE22)=0,"",INDEX(对接源_01水果!$F$4:$F$1203,$AE22)))</f>
      </c>
      <c r="D22" s="61">
        <f>IF($AE22="","",IF(INDEX(对接源_01水果!$G$4:$G$1203,$AE22)=0,"",INDEX(对接源_01水果!$G$4:$G$1203,$AE22)))</f>
      </c>
      <c r="E22" s="61">
        <f>IF($AE22="","",IF(INDEX(对接源_01水果!$H$4:$H$1203,$AE22)=0,"",INDEX(对接源_01水果!$H$4:$H$1203,$AE22)))</f>
      </c>
      <c r="F22" s="61">
        <f>IF($AE22="","",IF(INDEX(对接源_01水果!$I$4:$I$1203,$AE22)=0,"",INDEX(对接源_01水果!$I$4:$I$1203,$AE22)))</f>
      </c>
      <c r="G22" s="173">
        <f>IF($AE22="","",IF(INDEX(对接源_01水果!$Z$4:$Z$1203,$AE22)=0,"",INDEX(对接源_01水果!$Z$4:$Z$1203,$AE22)))</f>
      </c>
      <c r="H22" s="173">
        <f>IF($AE22="","",IF(INDEX(对接源_01水果!$AA$4:$AA$1203,$AE22)=0,"",INDEX(对接源_01水果!$AA$4:$AA$1203,$AE22)))</f>
      </c>
      <c r="I22" s="173">
        <f>IF($AE22="","",IF(INDEX(对接源_01水果!$AG$4:$AG$1203,$AE22)=0,"",INDEX(对接源_01水果!$AG$4:$AG$1203,$AE22)))</f>
      </c>
      <c r="J22" s="173">
        <f>IF($AE22="","",IF(INDEX(对接源_01水果!$AJ$4:$AJ$1203,$AE22)=0,"",INDEX(对接源_01水果!$AJ$4:$AJ$1203,$AE22)))</f>
      </c>
      <c r="K22" s="61">
        <f>IF($AE22="","",IF(INDEX(对接源_01水果!$AB$4:$AB$1203,$AE22)=0,"",INDEX(对接源_01水果!$AB$4:$AB$1203,$AE22)))</f>
      </c>
      <c r="L22" s="64">
        <f>IF($AE22="","",IF(INDEX(对接源_01水果!$M$4:$M$1203,$AE22)=0,"",INDEX(对接源_01水果!$M$4:$M$1203,$AE22)))</f>
      </c>
      <c r="AE22" s="2">
        <f>IFERROR(MATCH(17,_自动清单!$AM$4:$AM$2403,0),"")</f>
      </c>
    </row>
    <row r="23" ht="18" customHeight="1" s="127">
      <c r="A23" s="206">
        <f>IF($AE23="","",IF(INDEX(对接源_01水果!$B$4:$B$1203,$AE23)=0,"",INDEX(对接源_01水果!$B$4:$B$1203,$AE23)))</f>
      </c>
      <c r="B23" s="61">
        <f>IF($AE23="","",IF(INDEX(对接源_01水果!$E$4:$E$1203,$AE23)=0,"",INDEX(对接源_01水果!$E$4:$E$1203,$AE23)))</f>
      </c>
      <c r="C23" s="61">
        <f>IF($AE23="","",IF(INDEX(对接源_01水果!$F$4:$F$1203,$AE23)=0,"",INDEX(对接源_01水果!$F$4:$F$1203,$AE23)))</f>
      </c>
      <c r="D23" s="61">
        <f>IF($AE23="","",IF(INDEX(对接源_01水果!$G$4:$G$1203,$AE23)=0,"",INDEX(对接源_01水果!$G$4:$G$1203,$AE23)))</f>
      </c>
      <c r="E23" s="61">
        <f>IF($AE23="","",IF(INDEX(对接源_01水果!$H$4:$H$1203,$AE23)=0,"",INDEX(对接源_01水果!$H$4:$H$1203,$AE23)))</f>
      </c>
      <c r="F23" s="61">
        <f>IF($AE23="","",IF(INDEX(对接源_01水果!$I$4:$I$1203,$AE23)=0,"",INDEX(对接源_01水果!$I$4:$I$1203,$AE23)))</f>
      </c>
      <c r="G23" s="173">
        <f>IF($AE23="","",IF(INDEX(对接源_01水果!$Z$4:$Z$1203,$AE23)=0,"",INDEX(对接源_01水果!$Z$4:$Z$1203,$AE23)))</f>
      </c>
      <c r="H23" s="173">
        <f>IF($AE23="","",IF(INDEX(对接源_01水果!$AA$4:$AA$1203,$AE23)=0,"",INDEX(对接源_01水果!$AA$4:$AA$1203,$AE23)))</f>
      </c>
      <c r="I23" s="173">
        <f>IF($AE23="","",IF(INDEX(对接源_01水果!$AG$4:$AG$1203,$AE23)=0,"",INDEX(对接源_01水果!$AG$4:$AG$1203,$AE23)))</f>
      </c>
      <c r="J23" s="173">
        <f>IF($AE23="","",IF(INDEX(对接源_01水果!$AJ$4:$AJ$1203,$AE23)=0,"",INDEX(对接源_01水果!$AJ$4:$AJ$1203,$AE23)))</f>
      </c>
      <c r="K23" s="61">
        <f>IF($AE23="","",IF(INDEX(对接源_01水果!$AB$4:$AB$1203,$AE23)=0,"",INDEX(对接源_01水果!$AB$4:$AB$1203,$AE23)))</f>
      </c>
      <c r="L23" s="64">
        <f>IF($AE23="","",IF(INDEX(对接源_01水果!$M$4:$M$1203,$AE23)=0,"",INDEX(对接源_01水果!$M$4:$M$1203,$AE23)))</f>
      </c>
      <c r="AE23" s="2">
        <f>IFERROR(MATCH(18,_自动清单!$AM$4:$AM$2403,0),"")</f>
      </c>
    </row>
    <row r="24" ht="18" customHeight="1" s="127">
      <c r="A24" s="206">
        <f>IF($AE24="","",IF(INDEX(对接源_01水果!$B$4:$B$1203,$AE24)=0,"",INDEX(对接源_01水果!$B$4:$B$1203,$AE24)))</f>
      </c>
      <c r="B24" s="61">
        <f>IF($AE24="","",IF(INDEX(对接源_01水果!$E$4:$E$1203,$AE24)=0,"",INDEX(对接源_01水果!$E$4:$E$1203,$AE24)))</f>
      </c>
      <c r="C24" s="61">
        <f>IF($AE24="","",IF(INDEX(对接源_01水果!$F$4:$F$1203,$AE24)=0,"",INDEX(对接源_01水果!$F$4:$F$1203,$AE24)))</f>
      </c>
      <c r="D24" s="61">
        <f>IF($AE24="","",IF(INDEX(对接源_01水果!$G$4:$G$1203,$AE24)=0,"",INDEX(对接源_01水果!$G$4:$G$1203,$AE24)))</f>
      </c>
      <c r="E24" s="61">
        <f>IF($AE24="","",IF(INDEX(对接源_01水果!$H$4:$H$1203,$AE24)=0,"",INDEX(对接源_01水果!$H$4:$H$1203,$AE24)))</f>
      </c>
      <c r="F24" s="61">
        <f>IF($AE24="","",IF(INDEX(对接源_01水果!$I$4:$I$1203,$AE24)=0,"",INDEX(对接源_01水果!$I$4:$I$1203,$AE24)))</f>
      </c>
      <c r="G24" s="173">
        <f>IF($AE24="","",IF(INDEX(对接源_01水果!$Z$4:$Z$1203,$AE24)=0,"",INDEX(对接源_01水果!$Z$4:$Z$1203,$AE24)))</f>
      </c>
      <c r="H24" s="173">
        <f>IF($AE24="","",IF(INDEX(对接源_01水果!$AA$4:$AA$1203,$AE24)=0,"",INDEX(对接源_01水果!$AA$4:$AA$1203,$AE24)))</f>
      </c>
      <c r="I24" s="173">
        <f>IF($AE24="","",IF(INDEX(对接源_01水果!$AG$4:$AG$1203,$AE24)=0,"",INDEX(对接源_01水果!$AG$4:$AG$1203,$AE24)))</f>
      </c>
      <c r="J24" s="173">
        <f>IF($AE24="","",IF(INDEX(对接源_01水果!$AJ$4:$AJ$1203,$AE24)=0,"",INDEX(对接源_01水果!$AJ$4:$AJ$1203,$AE24)))</f>
      </c>
      <c r="K24" s="61">
        <f>IF($AE24="","",IF(INDEX(对接源_01水果!$AB$4:$AB$1203,$AE24)=0,"",INDEX(对接源_01水果!$AB$4:$AB$1203,$AE24)))</f>
      </c>
      <c r="L24" s="64">
        <f>IF($AE24="","",IF(INDEX(对接源_01水果!$M$4:$M$1203,$AE24)=0,"",INDEX(对接源_01水果!$M$4:$M$1203,$AE24)))</f>
      </c>
      <c r="AE24" s="2">
        <f>IFERROR(MATCH(19,_自动清单!$AM$4:$AM$2403,0),"")</f>
      </c>
    </row>
    <row r="25" ht="18" customHeight="1" s="127">
      <c r="A25" s="206">
        <f>IF($AE25="","",IF(INDEX(对接源_01水果!$B$4:$B$1203,$AE25)=0,"",INDEX(对接源_01水果!$B$4:$B$1203,$AE25)))</f>
      </c>
      <c r="B25" s="61">
        <f>IF($AE25="","",IF(INDEX(对接源_01水果!$E$4:$E$1203,$AE25)=0,"",INDEX(对接源_01水果!$E$4:$E$1203,$AE25)))</f>
      </c>
      <c r="C25" s="61">
        <f>IF($AE25="","",IF(INDEX(对接源_01水果!$F$4:$F$1203,$AE25)=0,"",INDEX(对接源_01水果!$F$4:$F$1203,$AE25)))</f>
      </c>
      <c r="D25" s="61">
        <f>IF($AE25="","",IF(INDEX(对接源_01水果!$G$4:$G$1203,$AE25)=0,"",INDEX(对接源_01水果!$G$4:$G$1203,$AE25)))</f>
      </c>
      <c r="E25" s="61">
        <f>IF($AE25="","",IF(INDEX(对接源_01水果!$H$4:$H$1203,$AE25)=0,"",INDEX(对接源_01水果!$H$4:$H$1203,$AE25)))</f>
      </c>
      <c r="F25" s="61">
        <f>IF($AE25="","",IF(INDEX(对接源_01水果!$I$4:$I$1203,$AE25)=0,"",INDEX(对接源_01水果!$I$4:$I$1203,$AE25)))</f>
      </c>
      <c r="G25" s="173">
        <f>IF($AE25="","",IF(INDEX(对接源_01水果!$Z$4:$Z$1203,$AE25)=0,"",INDEX(对接源_01水果!$Z$4:$Z$1203,$AE25)))</f>
      </c>
      <c r="H25" s="173">
        <f>IF($AE25="","",IF(INDEX(对接源_01水果!$AA$4:$AA$1203,$AE25)=0,"",INDEX(对接源_01水果!$AA$4:$AA$1203,$AE25)))</f>
      </c>
      <c r="I25" s="173">
        <f>IF($AE25="","",IF(INDEX(对接源_01水果!$AG$4:$AG$1203,$AE25)=0,"",INDEX(对接源_01水果!$AG$4:$AG$1203,$AE25)))</f>
      </c>
      <c r="J25" s="173">
        <f>IF($AE25="","",IF(INDEX(对接源_01水果!$AJ$4:$AJ$1203,$AE25)=0,"",INDEX(对接源_01水果!$AJ$4:$AJ$1203,$AE25)))</f>
      </c>
      <c r="K25" s="61">
        <f>IF($AE25="","",IF(INDEX(对接源_01水果!$AB$4:$AB$1203,$AE25)=0,"",INDEX(对接源_01水果!$AB$4:$AB$1203,$AE25)))</f>
      </c>
      <c r="L25" s="64">
        <f>IF($AE25="","",IF(INDEX(对接源_01水果!$M$4:$M$1203,$AE25)=0,"",INDEX(对接源_01水果!$M$4:$M$1203,$AE25)))</f>
      </c>
      <c r="AE25" s="2">
        <f>IFERROR(MATCH(20,_自动清单!$AM$4:$AM$2403,0),"")</f>
      </c>
    </row>
    <row r="26" ht="18" customHeight="1" s="127">
      <c r="A26" s="206">
        <f>IF($AE26="","",IF(INDEX(对接源_01水果!$B$4:$B$1203,$AE26)=0,"",INDEX(对接源_01水果!$B$4:$B$1203,$AE26)))</f>
      </c>
      <c r="B26" s="61">
        <f>IF($AE26="","",IF(INDEX(对接源_01水果!$E$4:$E$1203,$AE26)=0,"",INDEX(对接源_01水果!$E$4:$E$1203,$AE26)))</f>
      </c>
      <c r="C26" s="61">
        <f>IF($AE26="","",IF(INDEX(对接源_01水果!$F$4:$F$1203,$AE26)=0,"",INDEX(对接源_01水果!$F$4:$F$1203,$AE26)))</f>
      </c>
      <c r="D26" s="61">
        <f>IF($AE26="","",IF(INDEX(对接源_01水果!$G$4:$G$1203,$AE26)=0,"",INDEX(对接源_01水果!$G$4:$G$1203,$AE26)))</f>
      </c>
      <c r="E26" s="61">
        <f>IF($AE26="","",IF(INDEX(对接源_01水果!$H$4:$H$1203,$AE26)=0,"",INDEX(对接源_01水果!$H$4:$H$1203,$AE26)))</f>
      </c>
      <c r="F26" s="61">
        <f>IF($AE26="","",IF(INDEX(对接源_01水果!$I$4:$I$1203,$AE26)=0,"",INDEX(对接源_01水果!$I$4:$I$1203,$AE26)))</f>
      </c>
      <c r="G26" s="173">
        <f>IF($AE26="","",IF(INDEX(对接源_01水果!$Z$4:$Z$1203,$AE26)=0,"",INDEX(对接源_01水果!$Z$4:$Z$1203,$AE26)))</f>
      </c>
      <c r="H26" s="173">
        <f>IF($AE26="","",IF(INDEX(对接源_01水果!$AA$4:$AA$1203,$AE26)=0,"",INDEX(对接源_01水果!$AA$4:$AA$1203,$AE26)))</f>
      </c>
      <c r="I26" s="173">
        <f>IF($AE26="","",IF(INDEX(对接源_01水果!$AG$4:$AG$1203,$AE26)=0,"",INDEX(对接源_01水果!$AG$4:$AG$1203,$AE26)))</f>
      </c>
      <c r="J26" s="173">
        <f>IF($AE26="","",IF(INDEX(对接源_01水果!$AJ$4:$AJ$1203,$AE26)=0,"",INDEX(对接源_01水果!$AJ$4:$AJ$1203,$AE26)))</f>
      </c>
      <c r="K26" s="61">
        <f>IF($AE26="","",IF(INDEX(对接源_01水果!$AB$4:$AB$1203,$AE26)=0,"",INDEX(对接源_01水果!$AB$4:$AB$1203,$AE26)))</f>
      </c>
      <c r="L26" s="64">
        <f>IF($AE26="","",IF(INDEX(对接源_01水果!$M$4:$M$1203,$AE26)=0,"",INDEX(对接源_01水果!$M$4:$M$1203,$AE26)))</f>
      </c>
      <c r="AE26" s="2">
        <f>IFERROR(MATCH(21,_自动清单!$AM$4:$AM$2403,0),"")</f>
      </c>
    </row>
    <row r="27" ht="18" customHeight="1" s="127">
      <c r="A27" s="206">
        <f>IF($AE27="","",IF(INDEX(对接源_01水果!$B$4:$B$1203,$AE27)=0,"",INDEX(对接源_01水果!$B$4:$B$1203,$AE27)))</f>
      </c>
      <c r="B27" s="61">
        <f>IF($AE27="","",IF(INDEX(对接源_01水果!$E$4:$E$1203,$AE27)=0,"",INDEX(对接源_01水果!$E$4:$E$1203,$AE27)))</f>
      </c>
      <c r="C27" s="61">
        <f>IF($AE27="","",IF(INDEX(对接源_01水果!$F$4:$F$1203,$AE27)=0,"",INDEX(对接源_01水果!$F$4:$F$1203,$AE27)))</f>
      </c>
      <c r="D27" s="61">
        <f>IF($AE27="","",IF(INDEX(对接源_01水果!$G$4:$G$1203,$AE27)=0,"",INDEX(对接源_01水果!$G$4:$G$1203,$AE27)))</f>
      </c>
      <c r="E27" s="61">
        <f>IF($AE27="","",IF(INDEX(对接源_01水果!$H$4:$H$1203,$AE27)=0,"",INDEX(对接源_01水果!$H$4:$H$1203,$AE27)))</f>
      </c>
      <c r="F27" s="61">
        <f>IF($AE27="","",IF(INDEX(对接源_01水果!$I$4:$I$1203,$AE27)=0,"",INDEX(对接源_01水果!$I$4:$I$1203,$AE27)))</f>
      </c>
      <c r="G27" s="173">
        <f>IF($AE27="","",IF(INDEX(对接源_01水果!$Z$4:$Z$1203,$AE27)=0,"",INDEX(对接源_01水果!$Z$4:$Z$1203,$AE27)))</f>
      </c>
      <c r="H27" s="173">
        <f>IF($AE27="","",IF(INDEX(对接源_01水果!$AA$4:$AA$1203,$AE27)=0,"",INDEX(对接源_01水果!$AA$4:$AA$1203,$AE27)))</f>
      </c>
      <c r="I27" s="173">
        <f>IF($AE27="","",IF(INDEX(对接源_01水果!$AG$4:$AG$1203,$AE27)=0,"",INDEX(对接源_01水果!$AG$4:$AG$1203,$AE27)))</f>
      </c>
      <c r="J27" s="173">
        <f>IF($AE27="","",IF(INDEX(对接源_01水果!$AJ$4:$AJ$1203,$AE27)=0,"",INDEX(对接源_01水果!$AJ$4:$AJ$1203,$AE27)))</f>
      </c>
      <c r="K27" s="61">
        <f>IF($AE27="","",IF(INDEX(对接源_01水果!$AB$4:$AB$1203,$AE27)=0,"",INDEX(对接源_01水果!$AB$4:$AB$1203,$AE27)))</f>
      </c>
      <c r="L27" s="64">
        <f>IF($AE27="","",IF(INDEX(对接源_01水果!$M$4:$M$1203,$AE27)=0,"",INDEX(对接源_01水果!$M$4:$M$1203,$AE27)))</f>
      </c>
      <c r="AE27" s="2">
        <f>IFERROR(MATCH(22,_自动清单!$AM$4:$AM$2403,0),"")</f>
      </c>
    </row>
    <row r="28" ht="18" customHeight="1" s="127">
      <c r="A28" s="206">
        <f>IF($AE28="","",IF(INDEX(对接源_01水果!$B$4:$B$1203,$AE28)=0,"",INDEX(对接源_01水果!$B$4:$B$1203,$AE28)))</f>
      </c>
      <c r="B28" s="61">
        <f>IF($AE28="","",IF(INDEX(对接源_01水果!$E$4:$E$1203,$AE28)=0,"",INDEX(对接源_01水果!$E$4:$E$1203,$AE28)))</f>
      </c>
      <c r="C28" s="61">
        <f>IF($AE28="","",IF(INDEX(对接源_01水果!$F$4:$F$1203,$AE28)=0,"",INDEX(对接源_01水果!$F$4:$F$1203,$AE28)))</f>
      </c>
      <c r="D28" s="61">
        <f>IF($AE28="","",IF(INDEX(对接源_01水果!$G$4:$G$1203,$AE28)=0,"",INDEX(对接源_01水果!$G$4:$G$1203,$AE28)))</f>
      </c>
      <c r="E28" s="61">
        <f>IF($AE28="","",IF(INDEX(对接源_01水果!$H$4:$H$1203,$AE28)=0,"",INDEX(对接源_01水果!$H$4:$H$1203,$AE28)))</f>
      </c>
      <c r="F28" s="61">
        <f>IF($AE28="","",IF(INDEX(对接源_01水果!$I$4:$I$1203,$AE28)=0,"",INDEX(对接源_01水果!$I$4:$I$1203,$AE28)))</f>
      </c>
      <c r="G28" s="173">
        <f>IF($AE28="","",IF(INDEX(对接源_01水果!$Z$4:$Z$1203,$AE28)=0,"",INDEX(对接源_01水果!$Z$4:$Z$1203,$AE28)))</f>
      </c>
      <c r="H28" s="173">
        <f>IF($AE28="","",IF(INDEX(对接源_01水果!$AA$4:$AA$1203,$AE28)=0,"",INDEX(对接源_01水果!$AA$4:$AA$1203,$AE28)))</f>
      </c>
      <c r="I28" s="173">
        <f>IF($AE28="","",IF(INDEX(对接源_01水果!$AG$4:$AG$1203,$AE28)=0,"",INDEX(对接源_01水果!$AG$4:$AG$1203,$AE28)))</f>
      </c>
      <c r="J28" s="173">
        <f>IF($AE28="","",IF(INDEX(对接源_01水果!$AJ$4:$AJ$1203,$AE28)=0,"",INDEX(对接源_01水果!$AJ$4:$AJ$1203,$AE28)))</f>
      </c>
      <c r="K28" s="61">
        <f>IF($AE28="","",IF(INDEX(对接源_01水果!$AB$4:$AB$1203,$AE28)=0,"",INDEX(对接源_01水果!$AB$4:$AB$1203,$AE28)))</f>
      </c>
      <c r="L28" s="64">
        <f>IF($AE28="","",IF(INDEX(对接源_01水果!$M$4:$M$1203,$AE28)=0,"",INDEX(对接源_01水果!$M$4:$M$1203,$AE28)))</f>
      </c>
      <c r="AE28" s="2">
        <f>IFERROR(MATCH(23,_自动清单!$AM$4:$AM$2403,0),"")</f>
      </c>
    </row>
    <row r="29" ht="18" customHeight="1" s="127">
      <c r="A29" s="206">
        <f>IF($AE29="","",IF(INDEX(对接源_01水果!$B$4:$B$1203,$AE29)=0,"",INDEX(对接源_01水果!$B$4:$B$1203,$AE29)))</f>
      </c>
      <c r="B29" s="61">
        <f>IF($AE29="","",IF(INDEX(对接源_01水果!$E$4:$E$1203,$AE29)=0,"",INDEX(对接源_01水果!$E$4:$E$1203,$AE29)))</f>
      </c>
      <c r="C29" s="61">
        <f>IF($AE29="","",IF(INDEX(对接源_01水果!$F$4:$F$1203,$AE29)=0,"",INDEX(对接源_01水果!$F$4:$F$1203,$AE29)))</f>
      </c>
      <c r="D29" s="61">
        <f>IF($AE29="","",IF(INDEX(对接源_01水果!$G$4:$G$1203,$AE29)=0,"",INDEX(对接源_01水果!$G$4:$G$1203,$AE29)))</f>
      </c>
      <c r="E29" s="61">
        <f>IF($AE29="","",IF(INDEX(对接源_01水果!$H$4:$H$1203,$AE29)=0,"",INDEX(对接源_01水果!$H$4:$H$1203,$AE29)))</f>
      </c>
      <c r="F29" s="61">
        <f>IF($AE29="","",IF(INDEX(对接源_01水果!$I$4:$I$1203,$AE29)=0,"",INDEX(对接源_01水果!$I$4:$I$1203,$AE29)))</f>
      </c>
      <c r="G29" s="173">
        <f>IF($AE29="","",IF(INDEX(对接源_01水果!$Z$4:$Z$1203,$AE29)=0,"",INDEX(对接源_01水果!$Z$4:$Z$1203,$AE29)))</f>
      </c>
      <c r="H29" s="173">
        <f>IF($AE29="","",IF(INDEX(对接源_01水果!$AA$4:$AA$1203,$AE29)=0,"",INDEX(对接源_01水果!$AA$4:$AA$1203,$AE29)))</f>
      </c>
      <c r="I29" s="173">
        <f>IF($AE29="","",IF(INDEX(对接源_01水果!$AG$4:$AG$1203,$AE29)=0,"",INDEX(对接源_01水果!$AG$4:$AG$1203,$AE29)))</f>
      </c>
      <c r="J29" s="173">
        <f>IF($AE29="","",IF(INDEX(对接源_01水果!$AJ$4:$AJ$1203,$AE29)=0,"",INDEX(对接源_01水果!$AJ$4:$AJ$1203,$AE29)))</f>
      </c>
      <c r="K29" s="61">
        <f>IF($AE29="","",IF(INDEX(对接源_01水果!$AB$4:$AB$1203,$AE29)=0,"",INDEX(对接源_01水果!$AB$4:$AB$1203,$AE29)))</f>
      </c>
      <c r="L29" s="64">
        <f>IF($AE29="","",IF(INDEX(对接源_01水果!$M$4:$M$1203,$AE29)=0,"",INDEX(对接源_01水果!$M$4:$M$1203,$AE29)))</f>
      </c>
      <c r="AE29" s="2">
        <f>IFERROR(MATCH(24,_自动清单!$AM$4:$AM$2403,0),"")</f>
      </c>
    </row>
    <row r="30" ht="18" customHeight="1" s="127">
      <c r="A30" s="206">
        <f>IF($AE30="","",IF(INDEX(对接源_01水果!$B$4:$B$1203,$AE30)=0,"",INDEX(对接源_01水果!$B$4:$B$1203,$AE30)))</f>
      </c>
      <c r="B30" s="61">
        <f>IF($AE30="","",IF(INDEX(对接源_01水果!$E$4:$E$1203,$AE30)=0,"",INDEX(对接源_01水果!$E$4:$E$1203,$AE30)))</f>
      </c>
      <c r="C30" s="61">
        <f>IF($AE30="","",IF(INDEX(对接源_01水果!$F$4:$F$1203,$AE30)=0,"",INDEX(对接源_01水果!$F$4:$F$1203,$AE30)))</f>
      </c>
      <c r="D30" s="61">
        <f>IF($AE30="","",IF(INDEX(对接源_01水果!$G$4:$G$1203,$AE30)=0,"",INDEX(对接源_01水果!$G$4:$G$1203,$AE30)))</f>
      </c>
      <c r="E30" s="61">
        <f>IF($AE30="","",IF(INDEX(对接源_01水果!$H$4:$H$1203,$AE30)=0,"",INDEX(对接源_01水果!$H$4:$H$1203,$AE30)))</f>
      </c>
      <c r="F30" s="61">
        <f>IF($AE30="","",IF(INDEX(对接源_01水果!$I$4:$I$1203,$AE30)=0,"",INDEX(对接源_01水果!$I$4:$I$1203,$AE30)))</f>
      </c>
      <c r="G30" s="173">
        <f>IF($AE30="","",IF(INDEX(对接源_01水果!$Z$4:$Z$1203,$AE30)=0,"",INDEX(对接源_01水果!$Z$4:$Z$1203,$AE30)))</f>
      </c>
      <c r="H30" s="173">
        <f>IF($AE30="","",IF(INDEX(对接源_01水果!$AA$4:$AA$1203,$AE30)=0,"",INDEX(对接源_01水果!$AA$4:$AA$1203,$AE30)))</f>
      </c>
      <c r="I30" s="173">
        <f>IF($AE30="","",IF(INDEX(对接源_01水果!$AG$4:$AG$1203,$AE30)=0,"",INDEX(对接源_01水果!$AG$4:$AG$1203,$AE30)))</f>
      </c>
      <c r="J30" s="173">
        <f>IF($AE30="","",IF(INDEX(对接源_01水果!$AJ$4:$AJ$1203,$AE30)=0,"",INDEX(对接源_01水果!$AJ$4:$AJ$1203,$AE30)))</f>
      </c>
      <c r="K30" s="61">
        <f>IF($AE30="","",IF(INDEX(对接源_01水果!$AB$4:$AB$1203,$AE30)=0,"",INDEX(对接源_01水果!$AB$4:$AB$1203,$AE30)))</f>
      </c>
      <c r="L30" s="64">
        <f>IF($AE30="","",IF(INDEX(对接源_01水果!$M$4:$M$1203,$AE30)=0,"",INDEX(对接源_01水果!$M$4:$M$1203,$AE30)))</f>
      </c>
      <c r="AE30" s="2">
        <f>IFERROR(MATCH(25,_自动清单!$AM$4:$AM$2403,0),"")</f>
      </c>
    </row>
    <row r="31" ht="18" customHeight="1" s="127">
      <c r="A31" s="206">
        <f>IF($AE31="","",IF(INDEX(对接源_01水果!$B$4:$B$1203,$AE31)=0,"",INDEX(对接源_01水果!$B$4:$B$1203,$AE31)))</f>
      </c>
      <c r="B31" s="61">
        <f>IF($AE31="","",IF(INDEX(对接源_01水果!$E$4:$E$1203,$AE31)=0,"",INDEX(对接源_01水果!$E$4:$E$1203,$AE31)))</f>
      </c>
      <c r="C31" s="61">
        <f>IF($AE31="","",IF(INDEX(对接源_01水果!$F$4:$F$1203,$AE31)=0,"",INDEX(对接源_01水果!$F$4:$F$1203,$AE31)))</f>
      </c>
      <c r="D31" s="61">
        <f>IF($AE31="","",IF(INDEX(对接源_01水果!$G$4:$G$1203,$AE31)=0,"",INDEX(对接源_01水果!$G$4:$G$1203,$AE31)))</f>
      </c>
      <c r="E31" s="61">
        <f>IF($AE31="","",IF(INDEX(对接源_01水果!$H$4:$H$1203,$AE31)=0,"",INDEX(对接源_01水果!$H$4:$H$1203,$AE31)))</f>
      </c>
      <c r="F31" s="61">
        <f>IF($AE31="","",IF(INDEX(对接源_01水果!$I$4:$I$1203,$AE31)=0,"",INDEX(对接源_01水果!$I$4:$I$1203,$AE31)))</f>
      </c>
      <c r="G31" s="173">
        <f>IF($AE31="","",IF(INDEX(对接源_01水果!$Z$4:$Z$1203,$AE31)=0,"",INDEX(对接源_01水果!$Z$4:$Z$1203,$AE31)))</f>
      </c>
      <c r="H31" s="173">
        <f>IF($AE31="","",IF(INDEX(对接源_01水果!$AA$4:$AA$1203,$AE31)=0,"",INDEX(对接源_01水果!$AA$4:$AA$1203,$AE31)))</f>
      </c>
      <c r="I31" s="173">
        <f>IF($AE31="","",IF(INDEX(对接源_01水果!$AG$4:$AG$1203,$AE31)=0,"",INDEX(对接源_01水果!$AG$4:$AG$1203,$AE31)))</f>
      </c>
      <c r="J31" s="173">
        <f>IF($AE31="","",IF(INDEX(对接源_01水果!$AJ$4:$AJ$1203,$AE31)=0,"",INDEX(对接源_01水果!$AJ$4:$AJ$1203,$AE31)))</f>
      </c>
      <c r="K31" s="61">
        <f>IF($AE31="","",IF(INDEX(对接源_01水果!$AB$4:$AB$1203,$AE31)=0,"",INDEX(对接源_01水果!$AB$4:$AB$1203,$AE31)))</f>
      </c>
      <c r="L31" s="64">
        <f>IF($AE31="","",IF(INDEX(对接源_01水果!$M$4:$M$1203,$AE31)=0,"",INDEX(对接源_01水果!$M$4:$M$1203,$AE31)))</f>
      </c>
      <c r="AE31" s="2">
        <f>IFERROR(MATCH(26,_自动清单!$AM$4:$AM$2403,0),"")</f>
      </c>
    </row>
    <row r="32" ht="18" customHeight="1" s="127">
      <c r="A32" s="206">
        <f>IF($AE32="","",IF(INDEX(对接源_01水果!$B$4:$B$1203,$AE32)=0,"",INDEX(对接源_01水果!$B$4:$B$1203,$AE32)))</f>
      </c>
      <c r="B32" s="61">
        <f>IF($AE32="","",IF(INDEX(对接源_01水果!$E$4:$E$1203,$AE32)=0,"",INDEX(对接源_01水果!$E$4:$E$1203,$AE32)))</f>
      </c>
      <c r="C32" s="61">
        <f>IF($AE32="","",IF(INDEX(对接源_01水果!$F$4:$F$1203,$AE32)=0,"",INDEX(对接源_01水果!$F$4:$F$1203,$AE32)))</f>
      </c>
      <c r="D32" s="61">
        <f>IF($AE32="","",IF(INDEX(对接源_01水果!$G$4:$G$1203,$AE32)=0,"",INDEX(对接源_01水果!$G$4:$G$1203,$AE32)))</f>
      </c>
      <c r="E32" s="61">
        <f>IF($AE32="","",IF(INDEX(对接源_01水果!$H$4:$H$1203,$AE32)=0,"",INDEX(对接源_01水果!$H$4:$H$1203,$AE32)))</f>
      </c>
      <c r="F32" s="61">
        <f>IF($AE32="","",IF(INDEX(对接源_01水果!$I$4:$I$1203,$AE32)=0,"",INDEX(对接源_01水果!$I$4:$I$1203,$AE32)))</f>
      </c>
      <c r="G32" s="173">
        <f>IF($AE32="","",IF(INDEX(对接源_01水果!$Z$4:$Z$1203,$AE32)=0,"",INDEX(对接源_01水果!$Z$4:$Z$1203,$AE32)))</f>
      </c>
      <c r="H32" s="173">
        <f>IF($AE32="","",IF(INDEX(对接源_01水果!$AA$4:$AA$1203,$AE32)=0,"",INDEX(对接源_01水果!$AA$4:$AA$1203,$AE32)))</f>
      </c>
      <c r="I32" s="173">
        <f>IF($AE32="","",IF(INDEX(对接源_01水果!$AG$4:$AG$1203,$AE32)=0,"",INDEX(对接源_01水果!$AG$4:$AG$1203,$AE32)))</f>
      </c>
      <c r="J32" s="173">
        <f>IF($AE32="","",IF(INDEX(对接源_01水果!$AJ$4:$AJ$1203,$AE32)=0,"",INDEX(对接源_01水果!$AJ$4:$AJ$1203,$AE32)))</f>
      </c>
      <c r="K32" s="61">
        <f>IF($AE32="","",IF(INDEX(对接源_01水果!$AB$4:$AB$1203,$AE32)=0,"",INDEX(对接源_01水果!$AB$4:$AB$1203,$AE32)))</f>
      </c>
      <c r="L32" s="64">
        <f>IF($AE32="","",IF(INDEX(对接源_01水果!$M$4:$M$1203,$AE32)=0,"",INDEX(对接源_01水果!$M$4:$M$1203,$AE32)))</f>
      </c>
      <c r="AE32" s="2">
        <f>IFERROR(MATCH(27,_自动清单!$AM$4:$AM$2403,0),"")</f>
      </c>
    </row>
    <row r="33" ht="18" customHeight="1" s="127">
      <c r="A33" s="206">
        <f>IF($AE33="","",IF(INDEX(对接源_01水果!$B$4:$B$1203,$AE33)=0,"",INDEX(对接源_01水果!$B$4:$B$1203,$AE33)))</f>
      </c>
      <c r="B33" s="61">
        <f>IF($AE33="","",IF(INDEX(对接源_01水果!$E$4:$E$1203,$AE33)=0,"",INDEX(对接源_01水果!$E$4:$E$1203,$AE33)))</f>
      </c>
      <c r="C33" s="61">
        <f>IF($AE33="","",IF(INDEX(对接源_01水果!$F$4:$F$1203,$AE33)=0,"",INDEX(对接源_01水果!$F$4:$F$1203,$AE33)))</f>
      </c>
      <c r="D33" s="61">
        <f>IF($AE33="","",IF(INDEX(对接源_01水果!$G$4:$G$1203,$AE33)=0,"",INDEX(对接源_01水果!$G$4:$G$1203,$AE33)))</f>
      </c>
      <c r="E33" s="61">
        <f>IF($AE33="","",IF(INDEX(对接源_01水果!$H$4:$H$1203,$AE33)=0,"",INDEX(对接源_01水果!$H$4:$H$1203,$AE33)))</f>
      </c>
      <c r="F33" s="61">
        <f>IF($AE33="","",IF(INDEX(对接源_01水果!$I$4:$I$1203,$AE33)=0,"",INDEX(对接源_01水果!$I$4:$I$1203,$AE33)))</f>
      </c>
      <c r="G33" s="173">
        <f>IF($AE33="","",IF(INDEX(对接源_01水果!$Z$4:$Z$1203,$AE33)=0,"",INDEX(对接源_01水果!$Z$4:$Z$1203,$AE33)))</f>
      </c>
      <c r="H33" s="173">
        <f>IF($AE33="","",IF(INDEX(对接源_01水果!$AA$4:$AA$1203,$AE33)=0,"",INDEX(对接源_01水果!$AA$4:$AA$1203,$AE33)))</f>
      </c>
      <c r="I33" s="173">
        <f>IF($AE33="","",IF(INDEX(对接源_01水果!$AG$4:$AG$1203,$AE33)=0,"",INDEX(对接源_01水果!$AG$4:$AG$1203,$AE33)))</f>
      </c>
      <c r="J33" s="173">
        <f>IF($AE33="","",IF(INDEX(对接源_01水果!$AJ$4:$AJ$1203,$AE33)=0,"",INDEX(对接源_01水果!$AJ$4:$AJ$1203,$AE33)))</f>
      </c>
      <c r="K33" s="61">
        <f>IF($AE33="","",IF(INDEX(对接源_01水果!$AB$4:$AB$1203,$AE33)=0,"",INDEX(对接源_01水果!$AB$4:$AB$1203,$AE33)))</f>
      </c>
      <c r="L33" s="64">
        <f>IF($AE33="","",IF(INDEX(对接源_01水果!$M$4:$M$1203,$AE33)=0,"",INDEX(对接源_01水果!$M$4:$M$1203,$AE33)))</f>
      </c>
      <c r="AE33" s="2">
        <f>IFERROR(MATCH(28,_自动清单!$AM$4:$AM$2403,0),"")</f>
      </c>
    </row>
    <row r="34" ht="18" customHeight="1" s="127">
      <c r="A34" s="206">
        <f>IF($AE34="","",IF(INDEX(对接源_01水果!$B$4:$B$1203,$AE34)=0,"",INDEX(对接源_01水果!$B$4:$B$1203,$AE34)))</f>
      </c>
      <c r="B34" s="61">
        <f>IF($AE34="","",IF(INDEX(对接源_01水果!$E$4:$E$1203,$AE34)=0,"",INDEX(对接源_01水果!$E$4:$E$1203,$AE34)))</f>
      </c>
      <c r="C34" s="61">
        <f>IF($AE34="","",IF(INDEX(对接源_01水果!$F$4:$F$1203,$AE34)=0,"",INDEX(对接源_01水果!$F$4:$F$1203,$AE34)))</f>
      </c>
      <c r="D34" s="61">
        <f>IF($AE34="","",IF(INDEX(对接源_01水果!$G$4:$G$1203,$AE34)=0,"",INDEX(对接源_01水果!$G$4:$G$1203,$AE34)))</f>
      </c>
      <c r="E34" s="61">
        <f>IF($AE34="","",IF(INDEX(对接源_01水果!$H$4:$H$1203,$AE34)=0,"",INDEX(对接源_01水果!$H$4:$H$1203,$AE34)))</f>
      </c>
      <c r="F34" s="61">
        <f>IF($AE34="","",IF(INDEX(对接源_01水果!$I$4:$I$1203,$AE34)=0,"",INDEX(对接源_01水果!$I$4:$I$1203,$AE34)))</f>
      </c>
      <c r="G34" s="173">
        <f>IF($AE34="","",IF(INDEX(对接源_01水果!$Z$4:$Z$1203,$AE34)=0,"",INDEX(对接源_01水果!$Z$4:$Z$1203,$AE34)))</f>
      </c>
      <c r="H34" s="173">
        <f>IF($AE34="","",IF(INDEX(对接源_01水果!$AA$4:$AA$1203,$AE34)=0,"",INDEX(对接源_01水果!$AA$4:$AA$1203,$AE34)))</f>
      </c>
      <c r="I34" s="173">
        <f>IF($AE34="","",IF(INDEX(对接源_01水果!$AG$4:$AG$1203,$AE34)=0,"",INDEX(对接源_01水果!$AG$4:$AG$1203,$AE34)))</f>
      </c>
      <c r="J34" s="173">
        <f>IF($AE34="","",IF(INDEX(对接源_01水果!$AJ$4:$AJ$1203,$AE34)=0,"",INDEX(对接源_01水果!$AJ$4:$AJ$1203,$AE34)))</f>
      </c>
      <c r="K34" s="61">
        <f>IF($AE34="","",IF(INDEX(对接源_01水果!$AB$4:$AB$1203,$AE34)=0,"",INDEX(对接源_01水果!$AB$4:$AB$1203,$AE34)))</f>
      </c>
      <c r="L34" s="64">
        <f>IF($AE34="","",IF(INDEX(对接源_01水果!$M$4:$M$1203,$AE34)=0,"",INDEX(对接源_01水果!$M$4:$M$1203,$AE34)))</f>
      </c>
      <c r="AE34" s="2">
        <f>IFERROR(MATCH(29,_自动清单!$AM$4:$AM$2403,0),"")</f>
      </c>
    </row>
    <row r="35" ht="18" customHeight="1" s="127">
      <c r="A35" s="206">
        <f>IF($AE35="","",IF(INDEX(对接源_01水果!$B$4:$B$1203,$AE35)=0,"",INDEX(对接源_01水果!$B$4:$B$1203,$AE35)))</f>
      </c>
      <c r="B35" s="61">
        <f>IF($AE35="","",IF(INDEX(对接源_01水果!$E$4:$E$1203,$AE35)=0,"",INDEX(对接源_01水果!$E$4:$E$1203,$AE35)))</f>
      </c>
      <c r="C35" s="61">
        <f>IF($AE35="","",IF(INDEX(对接源_01水果!$F$4:$F$1203,$AE35)=0,"",INDEX(对接源_01水果!$F$4:$F$1203,$AE35)))</f>
      </c>
      <c r="D35" s="61">
        <f>IF($AE35="","",IF(INDEX(对接源_01水果!$G$4:$G$1203,$AE35)=0,"",INDEX(对接源_01水果!$G$4:$G$1203,$AE35)))</f>
      </c>
      <c r="E35" s="61">
        <f>IF($AE35="","",IF(INDEX(对接源_01水果!$H$4:$H$1203,$AE35)=0,"",INDEX(对接源_01水果!$H$4:$H$1203,$AE35)))</f>
      </c>
      <c r="F35" s="61">
        <f>IF($AE35="","",IF(INDEX(对接源_01水果!$I$4:$I$1203,$AE35)=0,"",INDEX(对接源_01水果!$I$4:$I$1203,$AE35)))</f>
      </c>
      <c r="G35" s="173">
        <f>IF($AE35="","",IF(INDEX(对接源_01水果!$Z$4:$Z$1203,$AE35)=0,"",INDEX(对接源_01水果!$Z$4:$Z$1203,$AE35)))</f>
      </c>
      <c r="H35" s="173">
        <f>IF($AE35="","",IF(INDEX(对接源_01水果!$AA$4:$AA$1203,$AE35)=0,"",INDEX(对接源_01水果!$AA$4:$AA$1203,$AE35)))</f>
      </c>
      <c r="I35" s="173">
        <f>IF($AE35="","",IF(INDEX(对接源_01水果!$AG$4:$AG$1203,$AE35)=0,"",INDEX(对接源_01水果!$AG$4:$AG$1203,$AE35)))</f>
      </c>
      <c r="J35" s="173">
        <f>IF($AE35="","",IF(INDEX(对接源_01水果!$AJ$4:$AJ$1203,$AE35)=0,"",INDEX(对接源_01水果!$AJ$4:$AJ$1203,$AE35)))</f>
      </c>
      <c r="K35" s="61">
        <f>IF($AE35="","",IF(INDEX(对接源_01水果!$AB$4:$AB$1203,$AE35)=0,"",INDEX(对接源_01水果!$AB$4:$AB$1203,$AE35)))</f>
      </c>
      <c r="L35" s="64">
        <f>IF($AE35="","",IF(INDEX(对接源_01水果!$M$4:$M$1203,$AE35)=0,"",INDEX(对接源_01水果!$M$4:$M$1203,$AE35)))</f>
      </c>
      <c r="AE35" s="2">
        <f>IFERROR(MATCH(30,_自动清单!$AM$4:$AM$2403,0),"")</f>
      </c>
    </row>
    <row r="36" ht="18" customHeight="1" s="127">
      <c r="A36" s="206">
        <f>IF($AE36="","",IF(INDEX(对接源_01水果!$B$4:$B$1203,$AE36)=0,"",INDEX(对接源_01水果!$B$4:$B$1203,$AE36)))</f>
      </c>
      <c r="B36" s="61">
        <f>IF($AE36="","",IF(INDEX(对接源_01水果!$E$4:$E$1203,$AE36)=0,"",INDEX(对接源_01水果!$E$4:$E$1203,$AE36)))</f>
      </c>
      <c r="C36" s="61">
        <f>IF($AE36="","",IF(INDEX(对接源_01水果!$F$4:$F$1203,$AE36)=0,"",INDEX(对接源_01水果!$F$4:$F$1203,$AE36)))</f>
      </c>
      <c r="D36" s="61">
        <f>IF($AE36="","",IF(INDEX(对接源_01水果!$G$4:$G$1203,$AE36)=0,"",INDEX(对接源_01水果!$G$4:$G$1203,$AE36)))</f>
      </c>
      <c r="E36" s="61">
        <f>IF($AE36="","",IF(INDEX(对接源_01水果!$H$4:$H$1203,$AE36)=0,"",INDEX(对接源_01水果!$H$4:$H$1203,$AE36)))</f>
      </c>
      <c r="F36" s="61">
        <f>IF($AE36="","",IF(INDEX(对接源_01水果!$I$4:$I$1203,$AE36)=0,"",INDEX(对接源_01水果!$I$4:$I$1203,$AE36)))</f>
      </c>
      <c r="G36" s="173">
        <f>IF($AE36="","",IF(INDEX(对接源_01水果!$Z$4:$Z$1203,$AE36)=0,"",INDEX(对接源_01水果!$Z$4:$Z$1203,$AE36)))</f>
      </c>
      <c r="H36" s="173">
        <f>IF($AE36="","",IF(INDEX(对接源_01水果!$AA$4:$AA$1203,$AE36)=0,"",INDEX(对接源_01水果!$AA$4:$AA$1203,$AE36)))</f>
      </c>
      <c r="I36" s="173">
        <f>IF($AE36="","",IF(INDEX(对接源_01水果!$AG$4:$AG$1203,$AE36)=0,"",INDEX(对接源_01水果!$AG$4:$AG$1203,$AE36)))</f>
      </c>
      <c r="J36" s="173">
        <f>IF($AE36="","",IF(INDEX(对接源_01水果!$AJ$4:$AJ$1203,$AE36)=0,"",INDEX(对接源_01水果!$AJ$4:$AJ$1203,$AE36)))</f>
      </c>
      <c r="K36" s="61">
        <f>IF($AE36="","",IF(INDEX(对接源_01水果!$AB$4:$AB$1203,$AE36)=0,"",INDEX(对接源_01水果!$AB$4:$AB$1203,$AE36)))</f>
      </c>
      <c r="L36" s="64">
        <f>IF($AE36="","",IF(INDEX(对接源_01水果!$M$4:$M$1203,$AE36)=0,"",INDEX(对接源_01水果!$M$4:$M$1203,$AE36)))</f>
      </c>
      <c r="AE36" s="2">
        <f>IFERROR(MATCH(31,_自动清单!$AM$4:$AM$2403,0),"")</f>
      </c>
    </row>
    <row r="37" ht="18" customHeight="1" s="127">
      <c r="A37" s="206">
        <f>IF($AE37="","",IF(INDEX(对接源_01水果!$B$4:$B$1203,$AE37)=0,"",INDEX(对接源_01水果!$B$4:$B$1203,$AE37)))</f>
      </c>
      <c r="B37" s="61">
        <f>IF($AE37="","",IF(INDEX(对接源_01水果!$E$4:$E$1203,$AE37)=0,"",INDEX(对接源_01水果!$E$4:$E$1203,$AE37)))</f>
      </c>
      <c r="C37" s="61">
        <f>IF($AE37="","",IF(INDEX(对接源_01水果!$F$4:$F$1203,$AE37)=0,"",INDEX(对接源_01水果!$F$4:$F$1203,$AE37)))</f>
      </c>
      <c r="D37" s="61">
        <f>IF($AE37="","",IF(INDEX(对接源_01水果!$G$4:$G$1203,$AE37)=0,"",INDEX(对接源_01水果!$G$4:$G$1203,$AE37)))</f>
      </c>
      <c r="E37" s="61">
        <f>IF($AE37="","",IF(INDEX(对接源_01水果!$H$4:$H$1203,$AE37)=0,"",INDEX(对接源_01水果!$H$4:$H$1203,$AE37)))</f>
      </c>
      <c r="F37" s="61">
        <f>IF($AE37="","",IF(INDEX(对接源_01水果!$I$4:$I$1203,$AE37)=0,"",INDEX(对接源_01水果!$I$4:$I$1203,$AE37)))</f>
      </c>
      <c r="G37" s="173">
        <f>IF($AE37="","",IF(INDEX(对接源_01水果!$Z$4:$Z$1203,$AE37)=0,"",INDEX(对接源_01水果!$Z$4:$Z$1203,$AE37)))</f>
      </c>
      <c r="H37" s="173">
        <f>IF($AE37="","",IF(INDEX(对接源_01水果!$AA$4:$AA$1203,$AE37)=0,"",INDEX(对接源_01水果!$AA$4:$AA$1203,$AE37)))</f>
      </c>
      <c r="I37" s="173">
        <f>IF($AE37="","",IF(INDEX(对接源_01水果!$AG$4:$AG$1203,$AE37)=0,"",INDEX(对接源_01水果!$AG$4:$AG$1203,$AE37)))</f>
      </c>
      <c r="J37" s="173">
        <f>IF($AE37="","",IF(INDEX(对接源_01水果!$AJ$4:$AJ$1203,$AE37)=0,"",INDEX(对接源_01水果!$AJ$4:$AJ$1203,$AE37)))</f>
      </c>
      <c r="K37" s="61">
        <f>IF($AE37="","",IF(INDEX(对接源_01水果!$AB$4:$AB$1203,$AE37)=0,"",INDEX(对接源_01水果!$AB$4:$AB$1203,$AE37)))</f>
      </c>
      <c r="L37" s="64">
        <f>IF($AE37="","",IF(INDEX(对接源_01水果!$M$4:$M$1203,$AE37)=0,"",INDEX(对接源_01水果!$M$4:$M$1203,$AE37)))</f>
      </c>
      <c r="AE37" s="2">
        <f>IFERROR(MATCH(32,_自动清单!$AM$4:$AM$2403,0),"")</f>
      </c>
    </row>
    <row r="38" ht="18" customHeight="1" s="127">
      <c r="A38" s="206">
        <f>IF($AE38="","",IF(INDEX(对接源_01水果!$B$4:$B$1203,$AE38)=0,"",INDEX(对接源_01水果!$B$4:$B$1203,$AE38)))</f>
      </c>
      <c r="B38" s="61">
        <f>IF($AE38="","",IF(INDEX(对接源_01水果!$E$4:$E$1203,$AE38)=0,"",INDEX(对接源_01水果!$E$4:$E$1203,$AE38)))</f>
      </c>
      <c r="C38" s="61">
        <f>IF($AE38="","",IF(INDEX(对接源_01水果!$F$4:$F$1203,$AE38)=0,"",INDEX(对接源_01水果!$F$4:$F$1203,$AE38)))</f>
      </c>
      <c r="D38" s="61">
        <f>IF($AE38="","",IF(INDEX(对接源_01水果!$G$4:$G$1203,$AE38)=0,"",INDEX(对接源_01水果!$G$4:$G$1203,$AE38)))</f>
      </c>
      <c r="E38" s="61">
        <f>IF($AE38="","",IF(INDEX(对接源_01水果!$H$4:$H$1203,$AE38)=0,"",INDEX(对接源_01水果!$H$4:$H$1203,$AE38)))</f>
      </c>
      <c r="F38" s="61">
        <f>IF($AE38="","",IF(INDEX(对接源_01水果!$I$4:$I$1203,$AE38)=0,"",INDEX(对接源_01水果!$I$4:$I$1203,$AE38)))</f>
      </c>
      <c r="G38" s="173">
        <f>IF($AE38="","",IF(INDEX(对接源_01水果!$Z$4:$Z$1203,$AE38)=0,"",INDEX(对接源_01水果!$Z$4:$Z$1203,$AE38)))</f>
      </c>
      <c r="H38" s="173">
        <f>IF($AE38="","",IF(INDEX(对接源_01水果!$AA$4:$AA$1203,$AE38)=0,"",INDEX(对接源_01水果!$AA$4:$AA$1203,$AE38)))</f>
      </c>
      <c r="I38" s="173">
        <f>IF($AE38="","",IF(INDEX(对接源_01水果!$AG$4:$AG$1203,$AE38)=0,"",INDEX(对接源_01水果!$AG$4:$AG$1203,$AE38)))</f>
      </c>
      <c r="J38" s="173">
        <f>IF($AE38="","",IF(INDEX(对接源_01水果!$AJ$4:$AJ$1203,$AE38)=0,"",INDEX(对接源_01水果!$AJ$4:$AJ$1203,$AE38)))</f>
      </c>
      <c r="K38" s="61">
        <f>IF($AE38="","",IF(INDEX(对接源_01水果!$AB$4:$AB$1203,$AE38)=0,"",INDEX(对接源_01水果!$AB$4:$AB$1203,$AE38)))</f>
      </c>
      <c r="L38" s="64">
        <f>IF($AE38="","",IF(INDEX(对接源_01水果!$M$4:$M$1203,$AE38)=0,"",INDEX(对接源_01水果!$M$4:$M$1203,$AE38)))</f>
      </c>
      <c r="AE38" s="2">
        <f>IFERROR(MATCH(33,_自动清单!$AM$4:$AM$2403,0),"")</f>
      </c>
    </row>
    <row r="39" ht="18" customHeight="1" s="127">
      <c r="A39" s="206">
        <f>IF($AE39="","",IF(INDEX(对接源_01水果!$B$4:$B$1203,$AE39)=0,"",INDEX(对接源_01水果!$B$4:$B$1203,$AE39)))</f>
      </c>
      <c r="B39" s="61">
        <f>IF($AE39="","",IF(INDEX(对接源_01水果!$E$4:$E$1203,$AE39)=0,"",INDEX(对接源_01水果!$E$4:$E$1203,$AE39)))</f>
      </c>
      <c r="C39" s="61">
        <f>IF($AE39="","",IF(INDEX(对接源_01水果!$F$4:$F$1203,$AE39)=0,"",INDEX(对接源_01水果!$F$4:$F$1203,$AE39)))</f>
      </c>
      <c r="D39" s="61">
        <f>IF($AE39="","",IF(INDEX(对接源_01水果!$G$4:$G$1203,$AE39)=0,"",INDEX(对接源_01水果!$G$4:$G$1203,$AE39)))</f>
      </c>
      <c r="E39" s="61">
        <f>IF($AE39="","",IF(INDEX(对接源_01水果!$H$4:$H$1203,$AE39)=0,"",INDEX(对接源_01水果!$H$4:$H$1203,$AE39)))</f>
      </c>
      <c r="F39" s="61">
        <f>IF($AE39="","",IF(INDEX(对接源_01水果!$I$4:$I$1203,$AE39)=0,"",INDEX(对接源_01水果!$I$4:$I$1203,$AE39)))</f>
      </c>
      <c r="G39" s="173">
        <f>IF($AE39="","",IF(INDEX(对接源_01水果!$Z$4:$Z$1203,$AE39)=0,"",INDEX(对接源_01水果!$Z$4:$Z$1203,$AE39)))</f>
      </c>
      <c r="H39" s="173">
        <f>IF($AE39="","",IF(INDEX(对接源_01水果!$AA$4:$AA$1203,$AE39)=0,"",INDEX(对接源_01水果!$AA$4:$AA$1203,$AE39)))</f>
      </c>
      <c r="I39" s="173">
        <f>IF($AE39="","",IF(INDEX(对接源_01水果!$AG$4:$AG$1203,$AE39)=0,"",INDEX(对接源_01水果!$AG$4:$AG$1203,$AE39)))</f>
      </c>
      <c r="J39" s="173">
        <f>IF($AE39="","",IF(INDEX(对接源_01水果!$AJ$4:$AJ$1203,$AE39)=0,"",INDEX(对接源_01水果!$AJ$4:$AJ$1203,$AE39)))</f>
      </c>
      <c r="K39" s="61">
        <f>IF($AE39="","",IF(INDEX(对接源_01水果!$AB$4:$AB$1203,$AE39)=0,"",INDEX(对接源_01水果!$AB$4:$AB$1203,$AE39)))</f>
      </c>
      <c r="L39" s="64">
        <f>IF($AE39="","",IF(INDEX(对接源_01水果!$M$4:$M$1203,$AE39)=0,"",INDEX(对接源_01水果!$M$4:$M$1203,$AE39)))</f>
      </c>
      <c r="AE39" s="2">
        <f>IFERROR(MATCH(34,_自动清单!$AM$4:$AM$2403,0),"")</f>
      </c>
    </row>
    <row r="40" ht="18" customHeight="1" s="127">
      <c r="A40" s="206">
        <f>IF($AE40="","",IF(INDEX(对接源_01水果!$B$4:$B$1203,$AE40)=0,"",INDEX(对接源_01水果!$B$4:$B$1203,$AE40)))</f>
      </c>
      <c r="B40" s="61">
        <f>IF($AE40="","",IF(INDEX(对接源_01水果!$E$4:$E$1203,$AE40)=0,"",INDEX(对接源_01水果!$E$4:$E$1203,$AE40)))</f>
      </c>
      <c r="C40" s="61">
        <f>IF($AE40="","",IF(INDEX(对接源_01水果!$F$4:$F$1203,$AE40)=0,"",INDEX(对接源_01水果!$F$4:$F$1203,$AE40)))</f>
      </c>
      <c r="D40" s="61">
        <f>IF($AE40="","",IF(INDEX(对接源_01水果!$G$4:$G$1203,$AE40)=0,"",INDEX(对接源_01水果!$G$4:$G$1203,$AE40)))</f>
      </c>
      <c r="E40" s="61">
        <f>IF($AE40="","",IF(INDEX(对接源_01水果!$H$4:$H$1203,$AE40)=0,"",INDEX(对接源_01水果!$H$4:$H$1203,$AE40)))</f>
      </c>
      <c r="F40" s="61">
        <f>IF($AE40="","",IF(INDEX(对接源_01水果!$I$4:$I$1203,$AE40)=0,"",INDEX(对接源_01水果!$I$4:$I$1203,$AE40)))</f>
      </c>
      <c r="G40" s="173">
        <f>IF($AE40="","",IF(INDEX(对接源_01水果!$Z$4:$Z$1203,$AE40)=0,"",INDEX(对接源_01水果!$Z$4:$Z$1203,$AE40)))</f>
      </c>
      <c r="H40" s="173">
        <f>IF($AE40="","",IF(INDEX(对接源_01水果!$AA$4:$AA$1203,$AE40)=0,"",INDEX(对接源_01水果!$AA$4:$AA$1203,$AE40)))</f>
      </c>
      <c r="I40" s="173">
        <f>IF($AE40="","",IF(INDEX(对接源_01水果!$AG$4:$AG$1203,$AE40)=0,"",INDEX(对接源_01水果!$AG$4:$AG$1203,$AE40)))</f>
      </c>
      <c r="J40" s="173">
        <f>IF($AE40="","",IF(INDEX(对接源_01水果!$AJ$4:$AJ$1203,$AE40)=0,"",INDEX(对接源_01水果!$AJ$4:$AJ$1203,$AE40)))</f>
      </c>
      <c r="K40" s="61">
        <f>IF($AE40="","",IF(INDEX(对接源_01水果!$AB$4:$AB$1203,$AE40)=0,"",INDEX(对接源_01水果!$AB$4:$AB$1203,$AE40)))</f>
      </c>
      <c r="L40" s="64">
        <f>IF($AE40="","",IF(INDEX(对接源_01水果!$M$4:$M$1203,$AE40)=0,"",INDEX(对接源_01水果!$M$4:$M$1203,$AE40)))</f>
      </c>
      <c r="AE40" s="2">
        <f>IFERROR(MATCH(35,_自动清单!$AM$4:$AM$2403,0),"")</f>
      </c>
    </row>
    <row r="41" ht="18" customHeight="1" s="127">
      <c r="A41" s="206">
        <f>IF($AE41="","",IF(INDEX(对接源_01水果!$B$4:$B$1203,$AE41)=0,"",INDEX(对接源_01水果!$B$4:$B$1203,$AE41)))</f>
      </c>
      <c r="B41" s="61">
        <f>IF($AE41="","",IF(INDEX(对接源_01水果!$E$4:$E$1203,$AE41)=0,"",INDEX(对接源_01水果!$E$4:$E$1203,$AE41)))</f>
      </c>
      <c r="C41" s="61">
        <f>IF($AE41="","",IF(INDEX(对接源_01水果!$F$4:$F$1203,$AE41)=0,"",INDEX(对接源_01水果!$F$4:$F$1203,$AE41)))</f>
      </c>
      <c r="D41" s="61">
        <f>IF($AE41="","",IF(INDEX(对接源_01水果!$G$4:$G$1203,$AE41)=0,"",INDEX(对接源_01水果!$G$4:$G$1203,$AE41)))</f>
      </c>
      <c r="E41" s="61">
        <f>IF($AE41="","",IF(INDEX(对接源_01水果!$H$4:$H$1203,$AE41)=0,"",INDEX(对接源_01水果!$H$4:$H$1203,$AE41)))</f>
      </c>
      <c r="F41" s="61">
        <f>IF($AE41="","",IF(INDEX(对接源_01水果!$I$4:$I$1203,$AE41)=0,"",INDEX(对接源_01水果!$I$4:$I$1203,$AE41)))</f>
      </c>
      <c r="G41" s="173">
        <f>IF($AE41="","",IF(INDEX(对接源_01水果!$Z$4:$Z$1203,$AE41)=0,"",INDEX(对接源_01水果!$Z$4:$Z$1203,$AE41)))</f>
      </c>
      <c r="H41" s="173">
        <f>IF($AE41="","",IF(INDEX(对接源_01水果!$AA$4:$AA$1203,$AE41)=0,"",INDEX(对接源_01水果!$AA$4:$AA$1203,$AE41)))</f>
      </c>
      <c r="I41" s="173">
        <f>IF($AE41="","",IF(INDEX(对接源_01水果!$AG$4:$AG$1203,$AE41)=0,"",INDEX(对接源_01水果!$AG$4:$AG$1203,$AE41)))</f>
      </c>
      <c r="J41" s="173">
        <f>IF($AE41="","",IF(INDEX(对接源_01水果!$AJ$4:$AJ$1203,$AE41)=0,"",INDEX(对接源_01水果!$AJ$4:$AJ$1203,$AE41)))</f>
      </c>
      <c r="K41" s="61">
        <f>IF($AE41="","",IF(INDEX(对接源_01水果!$AB$4:$AB$1203,$AE41)=0,"",INDEX(对接源_01水果!$AB$4:$AB$1203,$AE41)))</f>
      </c>
      <c r="L41" s="64">
        <f>IF($AE41="","",IF(INDEX(对接源_01水果!$M$4:$M$1203,$AE41)=0,"",INDEX(对接源_01水果!$M$4:$M$1203,$AE41)))</f>
      </c>
      <c r="AE41" s="2">
        <f>IFERROR(MATCH(36,_自动清单!$AM$4:$AM$2403,0),"")</f>
      </c>
    </row>
    <row r="42" ht="18" customHeight="1" s="127">
      <c r="A42" s="206">
        <f>IF($AE42="","",IF(INDEX(对接源_01水果!$B$4:$B$1203,$AE42)=0,"",INDEX(对接源_01水果!$B$4:$B$1203,$AE42)))</f>
      </c>
      <c r="B42" s="61">
        <f>IF($AE42="","",IF(INDEX(对接源_01水果!$E$4:$E$1203,$AE42)=0,"",INDEX(对接源_01水果!$E$4:$E$1203,$AE42)))</f>
      </c>
      <c r="C42" s="61">
        <f>IF($AE42="","",IF(INDEX(对接源_01水果!$F$4:$F$1203,$AE42)=0,"",INDEX(对接源_01水果!$F$4:$F$1203,$AE42)))</f>
      </c>
      <c r="D42" s="61">
        <f>IF($AE42="","",IF(INDEX(对接源_01水果!$G$4:$G$1203,$AE42)=0,"",INDEX(对接源_01水果!$G$4:$G$1203,$AE42)))</f>
      </c>
      <c r="E42" s="61">
        <f>IF($AE42="","",IF(INDEX(对接源_01水果!$H$4:$H$1203,$AE42)=0,"",INDEX(对接源_01水果!$H$4:$H$1203,$AE42)))</f>
      </c>
      <c r="F42" s="61">
        <f>IF($AE42="","",IF(INDEX(对接源_01水果!$I$4:$I$1203,$AE42)=0,"",INDEX(对接源_01水果!$I$4:$I$1203,$AE42)))</f>
      </c>
      <c r="G42" s="173">
        <f>IF($AE42="","",IF(INDEX(对接源_01水果!$Z$4:$Z$1203,$AE42)=0,"",INDEX(对接源_01水果!$Z$4:$Z$1203,$AE42)))</f>
      </c>
      <c r="H42" s="173">
        <f>IF($AE42="","",IF(INDEX(对接源_01水果!$AA$4:$AA$1203,$AE42)=0,"",INDEX(对接源_01水果!$AA$4:$AA$1203,$AE42)))</f>
      </c>
      <c r="I42" s="173">
        <f>IF($AE42="","",IF(INDEX(对接源_01水果!$AG$4:$AG$1203,$AE42)=0,"",INDEX(对接源_01水果!$AG$4:$AG$1203,$AE42)))</f>
      </c>
      <c r="J42" s="173">
        <f>IF($AE42="","",IF(INDEX(对接源_01水果!$AJ$4:$AJ$1203,$AE42)=0,"",INDEX(对接源_01水果!$AJ$4:$AJ$1203,$AE42)))</f>
      </c>
      <c r="K42" s="61">
        <f>IF($AE42="","",IF(INDEX(对接源_01水果!$AB$4:$AB$1203,$AE42)=0,"",INDEX(对接源_01水果!$AB$4:$AB$1203,$AE42)))</f>
      </c>
      <c r="L42" s="64">
        <f>IF($AE42="","",IF(INDEX(对接源_01水果!$M$4:$M$1203,$AE42)=0,"",INDEX(对接源_01水果!$M$4:$M$1203,$AE42)))</f>
      </c>
      <c r="AE42" s="2">
        <f>IFERROR(MATCH(37,_自动清单!$AM$4:$AM$2403,0),"")</f>
      </c>
    </row>
    <row r="43" ht="18" customHeight="1" s="127">
      <c r="A43" s="206">
        <f>IF($AE43="","",IF(INDEX(对接源_01水果!$B$4:$B$1203,$AE43)=0,"",INDEX(对接源_01水果!$B$4:$B$1203,$AE43)))</f>
      </c>
      <c r="B43" s="61">
        <f>IF($AE43="","",IF(INDEX(对接源_01水果!$E$4:$E$1203,$AE43)=0,"",INDEX(对接源_01水果!$E$4:$E$1203,$AE43)))</f>
      </c>
      <c r="C43" s="61">
        <f>IF($AE43="","",IF(INDEX(对接源_01水果!$F$4:$F$1203,$AE43)=0,"",INDEX(对接源_01水果!$F$4:$F$1203,$AE43)))</f>
      </c>
      <c r="D43" s="61">
        <f>IF($AE43="","",IF(INDEX(对接源_01水果!$G$4:$G$1203,$AE43)=0,"",INDEX(对接源_01水果!$G$4:$G$1203,$AE43)))</f>
      </c>
      <c r="E43" s="61">
        <f>IF($AE43="","",IF(INDEX(对接源_01水果!$H$4:$H$1203,$AE43)=0,"",INDEX(对接源_01水果!$H$4:$H$1203,$AE43)))</f>
      </c>
      <c r="F43" s="61">
        <f>IF($AE43="","",IF(INDEX(对接源_01水果!$I$4:$I$1203,$AE43)=0,"",INDEX(对接源_01水果!$I$4:$I$1203,$AE43)))</f>
      </c>
      <c r="G43" s="173">
        <f>IF($AE43="","",IF(INDEX(对接源_01水果!$Z$4:$Z$1203,$AE43)=0,"",INDEX(对接源_01水果!$Z$4:$Z$1203,$AE43)))</f>
      </c>
      <c r="H43" s="173">
        <f>IF($AE43="","",IF(INDEX(对接源_01水果!$AA$4:$AA$1203,$AE43)=0,"",INDEX(对接源_01水果!$AA$4:$AA$1203,$AE43)))</f>
      </c>
      <c r="I43" s="173">
        <f>IF($AE43="","",IF(INDEX(对接源_01水果!$AG$4:$AG$1203,$AE43)=0,"",INDEX(对接源_01水果!$AG$4:$AG$1203,$AE43)))</f>
      </c>
      <c r="J43" s="173">
        <f>IF($AE43="","",IF(INDEX(对接源_01水果!$AJ$4:$AJ$1203,$AE43)=0,"",INDEX(对接源_01水果!$AJ$4:$AJ$1203,$AE43)))</f>
      </c>
      <c r="K43" s="61">
        <f>IF($AE43="","",IF(INDEX(对接源_01水果!$AB$4:$AB$1203,$AE43)=0,"",INDEX(对接源_01水果!$AB$4:$AB$1203,$AE43)))</f>
      </c>
      <c r="L43" s="64">
        <f>IF($AE43="","",IF(INDEX(对接源_01水果!$M$4:$M$1203,$AE43)=0,"",INDEX(对接源_01水果!$M$4:$M$1203,$AE43)))</f>
      </c>
      <c r="AE43" s="2">
        <f>IFERROR(MATCH(38,_自动清单!$AM$4:$AM$2403,0),"")</f>
      </c>
    </row>
    <row r="44" ht="18" customHeight="1" s="127">
      <c r="A44" s="206">
        <f>IF($AE44="","",IF(INDEX(对接源_01水果!$B$4:$B$1203,$AE44)=0,"",INDEX(对接源_01水果!$B$4:$B$1203,$AE44)))</f>
      </c>
      <c r="B44" s="61">
        <f>IF($AE44="","",IF(INDEX(对接源_01水果!$E$4:$E$1203,$AE44)=0,"",INDEX(对接源_01水果!$E$4:$E$1203,$AE44)))</f>
      </c>
      <c r="C44" s="61">
        <f>IF($AE44="","",IF(INDEX(对接源_01水果!$F$4:$F$1203,$AE44)=0,"",INDEX(对接源_01水果!$F$4:$F$1203,$AE44)))</f>
      </c>
      <c r="D44" s="61">
        <f>IF($AE44="","",IF(INDEX(对接源_01水果!$G$4:$G$1203,$AE44)=0,"",INDEX(对接源_01水果!$G$4:$G$1203,$AE44)))</f>
      </c>
      <c r="E44" s="61">
        <f>IF($AE44="","",IF(INDEX(对接源_01水果!$H$4:$H$1203,$AE44)=0,"",INDEX(对接源_01水果!$H$4:$H$1203,$AE44)))</f>
      </c>
      <c r="F44" s="61">
        <f>IF($AE44="","",IF(INDEX(对接源_01水果!$I$4:$I$1203,$AE44)=0,"",INDEX(对接源_01水果!$I$4:$I$1203,$AE44)))</f>
      </c>
      <c r="G44" s="173">
        <f>IF($AE44="","",IF(INDEX(对接源_01水果!$Z$4:$Z$1203,$AE44)=0,"",INDEX(对接源_01水果!$Z$4:$Z$1203,$AE44)))</f>
      </c>
      <c r="H44" s="173">
        <f>IF($AE44="","",IF(INDEX(对接源_01水果!$AA$4:$AA$1203,$AE44)=0,"",INDEX(对接源_01水果!$AA$4:$AA$1203,$AE44)))</f>
      </c>
      <c r="I44" s="173">
        <f>IF($AE44="","",IF(INDEX(对接源_01水果!$AG$4:$AG$1203,$AE44)=0,"",INDEX(对接源_01水果!$AG$4:$AG$1203,$AE44)))</f>
      </c>
      <c r="J44" s="173">
        <f>IF($AE44="","",IF(INDEX(对接源_01水果!$AJ$4:$AJ$1203,$AE44)=0,"",INDEX(对接源_01水果!$AJ$4:$AJ$1203,$AE44)))</f>
      </c>
      <c r="K44" s="61">
        <f>IF($AE44="","",IF(INDEX(对接源_01水果!$AB$4:$AB$1203,$AE44)=0,"",INDEX(对接源_01水果!$AB$4:$AB$1203,$AE44)))</f>
      </c>
      <c r="L44" s="64">
        <f>IF($AE44="","",IF(INDEX(对接源_01水果!$M$4:$M$1203,$AE44)=0,"",INDEX(对接源_01水果!$M$4:$M$1203,$AE44)))</f>
      </c>
      <c r="AE44" s="2">
        <f>IFERROR(MATCH(39,_自动清单!$AM$4:$AM$2403,0),"")</f>
      </c>
    </row>
    <row r="45" ht="18" customHeight="1" s="127">
      <c r="A45" s="206">
        <f>IF($AE45="","",IF(INDEX(对接源_01水果!$B$4:$B$1203,$AE45)=0,"",INDEX(对接源_01水果!$B$4:$B$1203,$AE45)))</f>
      </c>
      <c r="B45" s="61">
        <f>IF($AE45="","",IF(INDEX(对接源_01水果!$E$4:$E$1203,$AE45)=0,"",INDEX(对接源_01水果!$E$4:$E$1203,$AE45)))</f>
      </c>
      <c r="C45" s="61">
        <f>IF($AE45="","",IF(INDEX(对接源_01水果!$F$4:$F$1203,$AE45)=0,"",INDEX(对接源_01水果!$F$4:$F$1203,$AE45)))</f>
      </c>
      <c r="D45" s="61">
        <f>IF($AE45="","",IF(INDEX(对接源_01水果!$G$4:$G$1203,$AE45)=0,"",INDEX(对接源_01水果!$G$4:$G$1203,$AE45)))</f>
      </c>
      <c r="E45" s="61">
        <f>IF($AE45="","",IF(INDEX(对接源_01水果!$H$4:$H$1203,$AE45)=0,"",INDEX(对接源_01水果!$H$4:$H$1203,$AE45)))</f>
      </c>
      <c r="F45" s="61">
        <f>IF($AE45="","",IF(INDEX(对接源_01水果!$I$4:$I$1203,$AE45)=0,"",INDEX(对接源_01水果!$I$4:$I$1203,$AE45)))</f>
      </c>
      <c r="G45" s="173">
        <f>IF($AE45="","",IF(INDEX(对接源_01水果!$Z$4:$Z$1203,$AE45)=0,"",INDEX(对接源_01水果!$Z$4:$Z$1203,$AE45)))</f>
      </c>
      <c r="H45" s="173">
        <f>IF($AE45="","",IF(INDEX(对接源_01水果!$AA$4:$AA$1203,$AE45)=0,"",INDEX(对接源_01水果!$AA$4:$AA$1203,$AE45)))</f>
      </c>
      <c r="I45" s="173">
        <f>IF($AE45="","",IF(INDEX(对接源_01水果!$AG$4:$AG$1203,$AE45)=0,"",INDEX(对接源_01水果!$AG$4:$AG$1203,$AE45)))</f>
      </c>
      <c r="J45" s="173">
        <f>IF($AE45="","",IF(INDEX(对接源_01水果!$AJ$4:$AJ$1203,$AE45)=0,"",INDEX(对接源_01水果!$AJ$4:$AJ$1203,$AE45)))</f>
      </c>
      <c r="K45" s="61">
        <f>IF($AE45="","",IF(INDEX(对接源_01水果!$AB$4:$AB$1203,$AE45)=0,"",INDEX(对接源_01水果!$AB$4:$AB$1203,$AE45)))</f>
      </c>
      <c r="L45" s="64">
        <f>IF($AE45="","",IF(INDEX(对接源_01水果!$M$4:$M$1203,$AE45)=0,"",INDEX(对接源_01水果!$M$4:$M$1203,$AE45)))</f>
      </c>
      <c r="AE45" s="2">
        <f>IFERROR(MATCH(40,_自动清单!$AM$4:$AM$2403,0),"")</f>
      </c>
    </row>
    <row r="46" ht="18" customHeight="1" s="127">
      <c r="A46" s="206">
        <f>IF($AE46="","",IF(INDEX(对接源_01水果!$B$4:$B$1203,$AE46)=0,"",INDEX(对接源_01水果!$B$4:$B$1203,$AE46)))</f>
      </c>
      <c r="B46" s="61">
        <f>IF($AE46="","",IF(INDEX(对接源_01水果!$E$4:$E$1203,$AE46)=0,"",INDEX(对接源_01水果!$E$4:$E$1203,$AE46)))</f>
      </c>
      <c r="C46" s="61">
        <f>IF($AE46="","",IF(INDEX(对接源_01水果!$F$4:$F$1203,$AE46)=0,"",INDEX(对接源_01水果!$F$4:$F$1203,$AE46)))</f>
      </c>
      <c r="D46" s="61">
        <f>IF($AE46="","",IF(INDEX(对接源_01水果!$G$4:$G$1203,$AE46)=0,"",INDEX(对接源_01水果!$G$4:$G$1203,$AE46)))</f>
      </c>
      <c r="E46" s="61">
        <f>IF($AE46="","",IF(INDEX(对接源_01水果!$H$4:$H$1203,$AE46)=0,"",INDEX(对接源_01水果!$H$4:$H$1203,$AE46)))</f>
      </c>
      <c r="F46" s="61">
        <f>IF($AE46="","",IF(INDEX(对接源_01水果!$I$4:$I$1203,$AE46)=0,"",INDEX(对接源_01水果!$I$4:$I$1203,$AE46)))</f>
      </c>
      <c r="G46" s="173">
        <f>IF($AE46="","",IF(INDEX(对接源_01水果!$Z$4:$Z$1203,$AE46)=0,"",INDEX(对接源_01水果!$Z$4:$Z$1203,$AE46)))</f>
      </c>
      <c r="H46" s="173">
        <f>IF($AE46="","",IF(INDEX(对接源_01水果!$AA$4:$AA$1203,$AE46)=0,"",INDEX(对接源_01水果!$AA$4:$AA$1203,$AE46)))</f>
      </c>
      <c r="I46" s="173">
        <f>IF($AE46="","",IF(INDEX(对接源_01水果!$AG$4:$AG$1203,$AE46)=0,"",INDEX(对接源_01水果!$AG$4:$AG$1203,$AE46)))</f>
      </c>
      <c r="J46" s="173">
        <f>IF($AE46="","",IF(INDEX(对接源_01水果!$AJ$4:$AJ$1203,$AE46)=0,"",INDEX(对接源_01水果!$AJ$4:$AJ$1203,$AE46)))</f>
      </c>
      <c r="K46" s="61">
        <f>IF($AE46="","",IF(INDEX(对接源_01水果!$AB$4:$AB$1203,$AE46)=0,"",INDEX(对接源_01水果!$AB$4:$AB$1203,$AE46)))</f>
      </c>
      <c r="L46" s="64">
        <f>IF($AE46="","",IF(INDEX(对接源_01水果!$M$4:$M$1203,$AE46)=0,"",INDEX(对接源_01水果!$M$4:$M$1203,$AE46)))</f>
      </c>
      <c r="AE46" s="2">
        <f>IFERROR(MATCH(41,_自动清单!$AM$4:$AM$2403,0),"")</f>
      </c>
    </row>
    <row r="47" ht="18" customHeight="1" s="127">
      <c r="A47" s="206">
        <f>IF($AE47="","",IF(INDEX(对接源_01水果!$B$4:$B$1203,$AE47)=0,"",INDEX(对接源_01水果!$B$4:$B$1203,$AE47)))</f>
      </c>
      <c r="B47" s="61">
        <f>IF($AE47="","",IF(INDEX(对接源_01水果!$E$4:$E$1203,$AE47)=0,"",INDEX(对接源_01水果!$E$4:$E$1203,$AE47)))</f>
      </c>
      <c r="C47" s="61">
        <f>IF($AE47="","",IF(INDEX(对接源_01水果!$F$4:$F$1203,$AE47)=0,"",INDEX(对接源_01水果!$F$4:$F$1203,$AE47)))</f>
      </c>
      <c r="D47" s="61">
        <f>IF($AE47="","",IF(INDEX(对接源_01水果!$G$4:$G$1203,$AE47)=0,"",INDEX(对接源_01水果!$G$4:$G$1203,$AE47)))</f>
      </c>
      <c r="E47" s="61">
        <f>IF($AE47="","",IF(INDEX(对接源_01水果!$H$4:$H$1203,$AE47)=0,"",INDEX(对接源_01水果!$H$4:$H$1203,$AE47)))</f>
      </c>
      <c r="F47" s="61">
        <f>IF($AE47="","",IF(INDEX(对接源_01水果!$I$4:$I$1203,$AE47)=0,"",INDEX(对接源_01水果!$I$4:$I$1203,$AE47)))</f>
      </c>
      <c r="G47" s="173">
        <f>IF($AE47="","",IF(INDEX(对接源_01水果!$Z$4:$Z$1203,$AE47)=0,"",INDEX(对接源_01水果!$Z$4:$Z$1203,$AE47)))</f>
      </c>
      <c r="H47" s="173">
        <f>IF($AE47="","",IF(INDEX(对接源_01水果!$AA$4:$AA$1203,$AE47)=0,"",INDEX(对接源_01水果!$AA$4:$AA$1203,$AE47)))</f>
      </c>
      <c r="I47" s="173">
        <f>IF($AE47="","",IF(INDEX(对接源_01水果!$AG$4:$AG$1203,$AE47)=0,"",INDEX(对接源_01水果!$AG$4:$AG$1203,$AE47)))</f>
      </c>
      <c r="J47" s="173">
        <f>IF($AE47="","",IF(INDEX(对接源_01水果!$AJ$4:$AJ$1203,$AE47)=0,"",INDEX(对接源_01水果!$AJ$4:$AJ$1203,$AE47)))</f>
      </c>
      <c r="K47" s="61">
        <f>IF($AE47="","",IF(INDEX(对接源_01水果!$AB$4:$AB$1203,$AE47)=0,"",INDEX(对接源_01水果!$AB$4:$AB$1203,$AE47)))</f>
      </c>
      <c r="L47" s="64">
        <f>IF($AE47="","",IF(INDEX(对接源_01水果!$M$4:$M$1203,$AE47)=0,"",INDEX(对接源_01水果!$M$4:$M$1203,$AE47)))</f>
      </c>
      <c r="AE47" s="2">
        <f>IFERROR(MATCH(42,_自动清单!$AM$4:$AM$2403,0),"")</f>
      </c>
    </row>
    <row r="48" ht="18" customHeight="1" s="127">
      <c r="A48" s="206">
        <f>IF($AE48="","",IF(INDEX(对接源_01水果!$B$4:$B$1203,$AE48)=0,"",INDEX(对接源_01水果!$B$4:$B$1203,$AE48)))</f>
      </c>
      <c r="B48" s="61">
        <f>IF($AE48="","",IF(INDEX(对接源_01水果!$E$4:$E$1203,$AE48)=0,"",INDEX(对接源_01水果!$E$4:$E$1203,$AE48)))</f>
      </c>
      <c r="C48" s="61">
        <f>IF($AE48="","",IF(INDEX(对接源_01水果!$F$4:$F$1203,$AE48)=0,"",INDEX(对接源_01水果!$F$4:$F$1203,$AE48)))</f>
      </c>
      <c r="D48" s="61">
        <f>IF($AE48="","",IF(INDEX(对接源_01水果!$G$4:$G$1203,$AE48)=0,"",INDEX(对接源_01水果!$G$4:$G$1203,$AE48)))</f>
      </c>
      <c r="E48" s="61">
        <f>IF($AE48="","",IF(INDEX(对接源_01水果!$H$4:$H$1203,$AE48)=0,"",INDEX(对接源_01水果!$H$4:$H$1203,$AE48)))</f>
      </c>
      <c r="F48" s="61">
        <f>IF($AE48="","",IF(INDEX(对接源_01水果!$I$4:$I$1203,$AE48)=0,"",INDEX(对接源_01水果!$I$4:$I$1203,$AE48)))</f>
      </c>
      <c r="G48" s="173">
        <f>IF($AE48="","",IF(INDEX(对接源_01水果!$Z$4:$Z$1203,$AE48)=0,"",INDEX(对接源_01水果!$Z$4:$Z$1203,$AE48)))</f>
      </c>
      <c r="H48" s="173">
        <f>IF($AE48="","",IF(INDEX(对接源_01水果!$AA$4:$AA$1203,$AE48)=0,"",INDEX(对接源_01水果!$AA$4:$AA$1203,$AE48)))</f>
      </c>
      <c r="I48" s="173">
        <f>IF($AE48="","",IF(INDEX(对接源_01水果!$AG$4:$AG$1203,$AE48)=0,"",INDEX(对接源_01水果!$AG$4:$AG$1203,$AE48)))</f>
      </c>
      <c r="J48" s="173">
        <f>IF($AE48="","",IF(INDEX(对接源_01水果!$AJ$4:$AJ$1203,$AE48)=0,"",INDEX(对接源_01水果!$AJ$4:$AJ$1203,$AE48)))</f>
      </c>
      <c r="K48" s="61">
        <f>IF($AE48="","",IF(INDEX(对接源_01水果!$AB$4:$AB$1203,$AE48)=0,"",INDEX(对接源_01水果!$AB$4:$AB$1203,$AE48)))</f>
      </c>
      <c r="L48" s="64">
        <f>IF($AE48="","",IF(INDEX(对接源_01水果!$M$4:$M$1203,$AE48)=0,"",INDEX(对接源_01水果!$M$4:$M$1203,$AE48)))</f>
      </c>
      <c r="AE48" s="2">
        <f>IFERROR(MATCH(43,_自动清单!$AM$4:$AM$2403,0),"")</f>
      </c>
    </row>
    <row r="49" ht="18" customHeight="1" s="127">
      <c r="A49" s="206">
        <f>IF($AE49="","",IF(INDEX(对接源_01水果!$B$4:$B$1203,$AE49)=0,"",INDEX(对接源_01水果!$B$4:$B$1203,$AE49)))</f>
      </c>
      <c r="B49" s="61">
        <f>IF($AE49="","",IF(INDEX(对接源_01水果!$E$4:$E$1203,$AE49)=0,"",INDEX(对接源_01水果!$E$4:$E$1203,$AE49)))</f>
      </c>
      <c r="C49" s="61">
        <f>IF($AE49="","",IF(INDEX(对接源_01水果!$F$4:$F$1203,$AE49)=0,"",INDEX(对接源_01水果!$F$4:$F$1203,$AE49)))</f>
      </c>
      <c r="D49" s="61">
        <f>IF($AE49="","",IF(INDEX(对接源_01水果!$G$4:$G$1203,$AE49)=0,"",INDEX(对接源_01水果!$G$4:$G$1203,$AE49)))</f>
      </c>
      <c r="E49" s="61">
        <f>IF($AE49="","",IF(INDEX(对接源_01水果!$H$4:$H$1203,$AE49)=0,"",INDEX(对接源_01水果!$H$4:$H$1203,$AE49)))</f>
      </c>
      <c r="F49" s="61">
        <f>IF($AE49="","",IF(INDEX(对接源_01水果!$I$4:$I$1203,$AE49)=0,"",INDEX(对接源_01水果!$I$4:$I$1203,$AE49)))</f>
      </c>
      <c r="G49" s="173">
        <f>IF($AE49="","",IF(INDEX(对接源_01水果!$Z$4:$Z$1203,$AE49)=0,"",INDEX(对接源_01水果!$Z$4:$Z$1203,$AE49)))</f>
      </c>
      <c r="H49" s="173">
        <f>IF($AE49="","",IF(INDEX(对接源_01水果!$AA$4:$AA$1203,$AE49)=0,"",INDEX(对接源_01水果!$AA$4:$AA$1203,$AE49)))</f>
      </c>
      <c r="I49" s="173">
        <f>IF($AE49="","",IF(INDEX(对接源_01水果!$AG$4:$AG$1203,$AE49)=0,"",INDEX(对接源_01水果!$AG$4:$AG$1203,$AE49)))</f>
      </c>
      <c r="J49" s="173">
        <f>IF($AE49="","",IF(INDEX(对接源_01水果!$AJ$4:$AJ$1203,$AE49)=0,"",INDEX(对接源_01水果!$AJ$4:$AJ$1203,$AE49)))</f>
      </c>
      <c r="K49" s="61">
        <f>IF($AE49="","",IF(INDEX(对接源_01水果!$AB$4:$AB$1203,$AE49)=0,"",INDEX(对接源_01水果!$AB$4:$AB$1203,$AE49)))</f>
      </c>
      <c r="L49" s="64">
        <f>IF($AE49="","",IF(INDEX(对接源_01水果!$M$4:$M$1203,$AE49)=0,"",INDEX(对接源_01水果!$M$4:$M$1203,$AE49)))</f>
      </c>
      <c r="AE49" s="2">
        <f>IFERROR(MATCH(44,_自动清单!$AM$4:$AM$2403,0),"")</f>
      </c>
    </row>
    <row r="50" ht="18" customHeight="1" s="127">
      <c r="A50" s="206">
        <f>IF($AE50="","",IF(INDEX(对接源_01水果!$B$4:$B$1203,$AE50)=0,"",INDEX(对接源_01水果!$B$4:$B$1203,$AE50)))</f>
      </c>
      <c r="B50" s="61">
        <f>IF($AE50="","",IF(INDEX(对接源_01水果!$E$4:$E$1203,$AE50)=0,"",INDEX(对接源_01水果!$E$4:$E$1203,$AE50)))</f>
      </c>
      <c r="C50" s="61">
        <f>IF($AE50="","",IF(INDEX(对接源_01水果!$F$4:$F$1203,$AE50)=0,"",INDEX(对接源_01水果!$F$4:$F$1203,$AE50)))</f>
      </c>
      <c r="D50" s="61">
        <f>IF($AE50="","",IF(INDEX(对接源_01水果!$G$4:$G$1203,$AE50)=0,"",INDEX(对接源_01水果!$G$4:$G$1203,$AE50)))</f>
      </c>
      <c r="E50" s="61">
        <f>IF($AE50="","",IF(INDEX(对接源_01水果!$H$4:$H$1203,$AE50)=0,"",INDEX(对接源_01水果!$H$4:$H$1203,$AE50)))</f>
      </c>
      <c r="F50" s="61">
        <f>IF($AE50="","",IF(INDEX(对接源_01水果!$I$4:$I$1203,$AE50)=0,"",INDEX(对接源_01水果!$I$4:$I$1203,$AE50)))</f>
      </c>
      <c r="G50" s="173">
        <f>IF($AE50="","",IF(INDEX(对接源_01水果!$Z$4:$Z$1203,$AE50)=0,"",INDEX(对接源_01水果!$Z$4:$Z$1203,$AE50)))</f>
      </c>
      <c r="H50" s="173">
        <f>IF($AE50="","",IF(INDEX(对接源_01水果!$AA$4:$AA$1203,$AE50)=0,"",INDEX(对接源_01水果!$AA$4:$AA$1203,$AE50)))</f>
      </c>
      <c r="I50" s="173">
        <f>IF($AE50="","",IF(INDEX(对接源_01水果!$AG$4:$AG$1203,$AE50)=0,"",INDEX(对接源_01水果!$AG$4:$AG$1203,$AE50)))</f>
      </c>
      <c r="J50" s="173">
        <f>IF($AE50="","",IF(INDEX(对接源_01水果!$AJ$4:$AJ$1203,$AE50)=0,"",INDEX(对接源_01水果!$AJ$4:$AJ$1203,$AE50)))</f>
      </c>
      <c r="K50" s="61">
        <f>IF($AE50="","",IF(INDEX(对接源_01水果!$AB$4:$AB$1203,$AE50)=0,"",INDEX(对接源_01水果!$AB$4:$AB$1203,$AE50)))</f>
      </c>
      <c r="L50" s="64">
        <f>IF($AE50="","",IF(INDEX(对接源_01水果!$M$4:$M$1203,$AE50)=0,"",INDEX(对接源_01水果!$M$4:$M$1203,$AE50)))</f>
      </c>
      <c r="AE50" s="2">
        <f>IFERROR(MATCH(45,_自动清单!$AM$4:$AM$2403,0),"")</f>
      </c>
    </row>
    <row r="51" ht="18" customHeight="1" s="127">
      <c r="A51" s="206">
        <f>IF($AE51="","",IF(INDEX(对接源_01水果!$B$4:$B$1203,$AE51)=0,"",INDEX(对接源_01水果!$B$4:$B$1203,$AE51)))</f>
      </c>
      <c r="B51" s="61">
        <f>IF($AE51="","",IF(INDEX(对接源_01水果!$E$4:$E$1203,$AE51)=0,"",INDEX(对接源_01水果!$E$4:$E$1203,$AE51)))</f>
      </c>
      <c r="C51" s="61">
        <f>IF($AE51="","",IF(INDEX(对接源_01水果!$F$4:$F$1203,$AE51)=0,"",INDEX(对接源_01水果!$F$4:$F$1203,$AE51)))</f>
      </c>
      <c r="D51" s="61">
        <f>IF($AE51="","",IF(INDEX(对接源_01水果!$G$4:$G$1203,$AE51)=0,"",INDEX(对接源_01水果!$G$4:$G$1203,$AE51)))</f>
      </c>
      <c r="E51" s="61">
        <f>IF($AE51="","",IF(INDEX(对接源_01水果!$H$4:$H$1203,$AE51)=0,"",INDEX(对接源_01水果!$H$4:$H$1203,$AE51)))</f>
      </c>
      <c r="F51" s="61">
        <f>IF($AE51="","",IF(INDEX(对接源_01水果!$I$4:$I$1203,$AE51)=0,"",INDEX(对接源_01水果!$I$4:$I$1203,$AE51)))</f>
      </c>
      <c r="G51" s="173">
        <f>IF($AE51="","",IF(INDEX(对接源_01水果!$Z$4:$Z$1203,$AE51)=0,"",INDEX(对接源_01水果!$Z$4:$Z$1203,$AE51)))</f>
      </c>
      <c r="H51" s="173">
        <f>IF($AE51="","",IF(INDEX(对接源_01水果!$AA$4:$AA$1203,$AE51)=0,"",INDEX(对接源_01水果!$AA$4:$AA$1203,$AE51)))</f>
      </c>
      <c r="I51" s="173">
        <f>IF($AE51="","",IF(INDEX(对接源_01水果!$AG$4:$AG$1203,$AE51)=0,"",INDEX(对接源_01水果!$AG$4:$AG$1203,$AE51)))</f>
      </c>
      <c r="J51" s="173">
        <f>IF($AE51="","",IF(INDEX(对接源_01水果!$AJ$4:$AJ$1203,$AE51)=0,"",INDEX(对接源_01水果!$AJ$4:$AJ$1203,$AE51)))</f>
      </c>
      <c r="K51" s="61">
        <f>IF($AE51="","",IF(INDEX(对接源_01水果!$AB$4:$AB$1203,$AE51)=0,"",INDEX(对接源_01水果!$AB$4:$AB$1203,$AE51)))</f>
      </c>
      <c r="L51" s="64">
        <f>IF($AE51="","",IF(INDEX(对接源_01水果!$M$4:$M$1203,$AE51)=0,"",INDEX(对接源_01水果!$M$4:$M$1203,$AE51)))</f>
      </c>
      <c r="AE51" s="2">
        <f>IFERROR(MATCH(46,_自动清单!$AM$4:$AM$2403,0),"")</f>
      </c>
    </row>
    <row r="52" ht="18" customHeight="1" s="127">
      <c r="A52" s="206">
        <f>IF($AE52="","",IF(INDEX(对接源_01水果!$B$4:$B$1203,$AE52)=0,"",INDEX(对接源_01水果!$B$4:$B$1203,$AE52)))</f>
      </c>
      <c r="B52" s="61">
        <f>IF($AE52="","",IF(INDEX(对接源_01水果!$E$4:$E$1203,$AE52)=0,"",INDEX(对接源_01水果!$E$4:$E$1203,$AE52)))</f>
      </c>
      <c r="C52" s="61">
        <f>IF($AE52="","",IF(INDEX(对接源_01水果!$F$4:$F$1203,$AE52)=0,"",INDEX(对接源_01水果!$F$4:$F$1203,$AE52)))</f>
      </c>
      <c r="D52" s="61">
        <f>IF($AE52="","",IF(INDEX(对接源_01水果!$G$4:$G$1203,$AE52)=0,"",INDEX(对接源_01水果!$G$4:$G$1203,$AE52)))</f>
      </c>
      <c r="E52" s="61">
        <f>IF($AE52="","",IF(INDEX(对接源_01水果!$H$4:$H$1203,$AE52)=0,"",INDEX(对接源_01水果!$H$4:$H$1203,$AE52)))</f>
      </c>
      <c r="F52" s="61">
        <f>IF($AE52="","",IF(INDEX(对接源_01水果!$I$4:$I$1203,$AE52)=0,"",INDEX(对接源_01水果!$I$4:$I$1203,$AE52)))</f>
      </c>
      <c r="G52" s="173">
        <f>IF($AE52="","",IF(INDEX(对接源_01水果!$Z$4:$Z$1203,$AE52)=0,"",INDEX(对接源_01水果!$Z$4:$Z$1203,$AE52)))</f>
      </c>
      <c r="H52" s="173">
        <f>IF($AE52="","",IF(INDEX(对接源_01水果!$AA$4:$AA$1203,$AE52)=0,"",INDEX(对接源_01水果!$AA$4:$AA$1203,$AE52)))</f>
      </c>
      <c r="I52" s="173">
        <f>IF($AE52="","",IF(INDEX(对接源_01水果!$AG$4:$AG$1203,$AE52)=0,"",INDEX(对接源_01水果!$AG$4:$AG$1203,$AE52)))</f>
      </c>
      <c r="J52" s="173">
        <f>IF($AE52="","",IF(INDEX(对接源_01水果!$AJ$4:$AJ$1203,$AE52)=0,"",INDEX(对接源_01水果!$AJ$4:$AJ$1203,$AE52)))</f>
      </c>
      <c r="K52" s="61">
        <f>IF($AE52="","",IF(INDEX(对接源_01水果!$AB$4:$AB$1203,$AE52)=0,"",INDEX(对接源_01水果!$AB$4:$AB$1203,$AE52)))</f>
      </c>
      <c r="L52" s="64">
        <f>IF($AE52="","",IF(INDEX(对接源_01水果!$M$4:$M$1203,$AE52)=0,"",INDEX(对接源_01水果!$M$4:$M$1203,$AE52)))</f>
      </c>
      <c r="AE52" s="2">
        <f>IFERROR(MATCH(47,_自动清单!$AM$4:$AM$2403,0),"")</f>
      </c>
    </row>
    <row r="53" ht="18" customHeight="1" s="127">
      <c r="A53" s="206">
        <f>IF($AE53="","",IF(INDEX(对接源_01水果!$B$4:$B$1203,$AE53)=0,"",INDEX(对接源_01水果!$B$4:$B$1203,$AE53)))</f>
      </c>
      <c r="B53" s="61">
        <f>IF($AE53="","",IF(INDEX(对接源_01水果!$E$4:$E$1203,$AE53)=0,"",INDEX(对接源_01水果!$E$4:$E$1203,$AE53)))</f>
      </c>
      <c r="C53" s="61">
        <f>IF($AE53="","",IF(INDEX(对接源_01水果!$F$4:$F$1203,$AE53)=0,"",INDEX(对接源_01水果!$F$4:$F$1203,$AE53)))</f>
      </c>
      <c r="D53" s="61">
        <f>IF($AE53="","",IF(INDEX(对接源_01水果!$G$4:$G$1203,$AE53)=0,"",INDEX(对接源_01水果!$G$4:$G$1203,$AE53)))</f>
      </c>
      <c r="E53" s="61">
        <f>IF($AE53="","",IF(INDEX(对接源_01水果!$H$4:$H$1203,$AE53)=0,"",INDEX(对接源_01水果!$H$4:$H$1203,$AE53)))</f>
      </c>
      <c r="F53" s="61">
        <f>IF($AE53="","",IF(INDEX(对接源_01水果!$I$4:$I$1203,$AE53)=0,"",INDEX(对接源_01水果!$I$4:$I$1203,$AE53)))</f>
      </c>
      <c r="G53" s="173">
        <f>IF($AE53="","",IF(INDEX(对接源_01水果!$Z$4:$Z$1203,$AE53)=0,"",INDEX(对接源_01水果!$Z$4:$Z$1203,$AE53)))</f>
      </c>
      <c r="H53" s="173">
        <f>IF($AE53="","",IF(INDEX(对接源_01水果!$AA$4:$AA$1203,$AE53)=0,"",INDEX(对接源_01水果!$AA$4:$AA$1203,$AE53)))</f>
      </c>
      <c r="I53" s="173">
        <f>IF($AE53="","",IF(INDEX(对接源_01水果!$AG$4:$AG$1203,$AE53)=0,"",INDEX(对接源_01水果!$AG$4:$AG$1203,$AE53)))</f>
      </c>
      <c r="J53" s="173">
        <f>IF($AE53="","",IF(INDEX(对接源_01水果!$AJ$4:$AJ$1203,$AE53)=0,"",INDEX(对接源_01水果!$AJ$4:$AJ$1203,$AE53)))</f>
      </c>
      <c r="K53" s="61">
        <f>IF($AE53="","",IF(INDEX(对接源_01水果!$AB$4:$AB$1203,$AE53)=0,"",INDEX(对接源_01水果!$AB$4:$AB$1203,$AE53)))</f>
      </c>
      <c r="L53" s="64">
        <f>IF($AE53="","",IF(INDEX(对接源_01水果!$M$4:$M$1203,$AE53)=0,"",INDEX(对接源_01水果!$M$4:$M$1203,$AE53)))</f>
      </c>
      <c r="AE53" s="2">
        <f>IFERROR(MATCH(48,_自动清单!$AM$4:$AM$2403,0),"")</f>
      </c>
    </row>
    <row r="54" ht="18" customHeight="1" s="127">
      <c r="A54" s="206">
        <f>IF($AE54="","",IF(INDEX(对接源_01水果!$B$4:$B$1203,$AE54)=0,"",INDEX(对接源_01水果!$B$4:$B$1203,$AE54)))</f>
      </c>
      <c r="B54" s="61">
        <f>IF($AE54="","",IF(INDEX(对接源_01水果!$E$4:$E$1203,$AE54)=0,"",INDEX(对接源_01水果!$E$4:$E$1203,$AE54)))</f>
      </c>
      <c r="C54" s="61">
        <f>IF($AE54="","",IF(INDEX(对接源_01水果!$F$4:$F$1203,$AE54)=0,"",INDEX(对接源_01水果!$F$4:$F$1203,$AE54)))</f>
      </c>
      <c r="D54" s="61">
        <f>IF($AE54="","",IF(INDEX(对接源_01水果!$G$4:$G$1203,$AE54)=0,"",INDEX(对接源_01水果!$G$4:$G$1203,$AE54)))</f>
      </c>
      <c r="E54" s="61">
        <f>IF($AE54="","",IF(INDEX(对接源_01水果!$H$4:$H$1203,$AE54)=0,"",INDEX(对接源_01水果!$H$4:$H$1203,$AE54)))</f>
      </c>
      <c r="F54" s="61">
        <f>IF($AE54="","",IF(INDEX(对接源_01水果!$I$4:$I$1203,$AE54)=0,"",INDEX(对接源_01水果!$I$4:$I$1203,$AE54)))</f>
      </c>
      <c r="G54" s="173">
        <f>IF($AE54="","",IF(INDEX(对接源_01水果!$Z$4:$Z$1203,$AE54)=0,"",INDEX(对接源_01水果!$Z$4:$Z$1203,$AE54)))</f>
      </c>
      <c r="H54" s="173">
        <f>IF($AE54="","",IF(INDEX(对接源_01水果!$AA$4:$AA$1203,$AE54)=0,"",INDEX(对接源_01水果!$AA$4:$AA$1203,$AE54)))</f>
      </c>
      <c r="I54" s="173">
        <f>IF($AE54="","",IF(INDEX(对接源_01水果!$AG$4:$AG$1203,$AE54)=0,"",INDEX(对接源_01水果!$AG$4:$AG$1203,$AE54)))</f>
      </c>
      <c r="J54" s="173">
        <f>IF($AE54="","",IF(INDEX(对接源_01水果!$AJ$4:$AJ$1203,$AE54)=0,"",INDEX(对接源_01水果!$AJ$4:$AJ$1203,$AE54)))</f>
      </c>
      <c r="K54" s="61">
        <f>IF($AE54="","",IF(INDEX(对接源_01水果!$AB$4:$AB$1203,$AE54)=0,"",INDEX(对接源_01水果!$AB$4:$AB$1203,$AE54)))</f>
      </c>
      <c r="L54" s="64">
        <f>IF($AE54="","",IF(INDEX(对接源_01水果!$M$4:$M$1203,$AE54)=0,"",INDEX(对接源_01水果!$M$4:$M$1203,$AE54)))</f>
      </c>
      <c r="AE54" s="2">
        <f>IFERROR(MATCH(49,_自动清单!$AM$4:$AM$2403,0),"")</f>
      </c>
    </row>
    <row r="55" ht="18" customHeight="1" s="127">
      <c r="A55" s="206">
        <f>IF($AE55="","",IF(INDEX(对接源_01水果!$B$4:$B$1203,$AE55)=0,"",INDEX(对接源_01水果!$B$4:$B$1203,$AE55)))</f>
      </c>
      <c r="B55" s="61">
        <f>IF($AE55="","",IF(INDEX(对接源_01水果!$E$4:$E$1203,$AE55)=0,"",INDEX(对接源_01水果!$E$4:$E$1203,$AE55)))</f>
      </c>
      <c r="C55" s="61">
        <f>IF($AE55="","",IF(INDEX(对接源_01水果!$F$4:$F$1203,$AE55)=0,"",INDEX(对接源_01水果!$F$4:$F$1203,$AE55)))</f>
      </c>
      <c r="D55" s="61">
        <f>IF($AE55="","",IF(INDEX(对接源_01水果!$G$4:$G$1203,$AE55)=0,"",INDEX(对接源_01水果!$G$4:$G$1203,$AE55)))</f>
      </c>
      <c r="E55" s="61">
        <f>IF($AE55="","",IF(INDEX(对接源_01水果!$H$4:$H$1203,$AE55)=0,"",INDEX(对接源_01水果!$H$4:$H$1203,$AE55)))</f>
      </c>
      <c r="F55" s="61">
        <f>IF($AE55="","",IF(INDEX(对接源_01水果!$I$4:$I$1203,$AE55)=0,"",INDEX(对接源_01水果!$I$4:$I$1203,$AE55)))</f>
      </c>
      <c r="G55" s="173">
        <f>IF($AE55="","",IF(INDEX(对接源_01水果!$Z$4:$Z$1203,$AE55)=0,"",INDEX(对接源_01水果!$Z$4:$Z$1203,$AE55)))</f>
      </c>
      <c r="H55" s="173">
        <f>IF($AE55="","",IF(INDEX(对接源_01水果!$AA$4:$AA$1203,$AE55)=0,"",INDEX(对接源_01水果!$AA$4:$AA$1203,$AE55)))</f>
      </c>
      <c r="I55" s="173">
        <f>IF($AE55="","",IF(INDEX(对接源_01水果!$AG$4:$AG$1203,$AE55)=0,"",INDEX(对接源_01水果!$AG$4:$AG$1203,$AE55)))</f>
      </c>
      <c r="J55" s="173">
        <f>IF($AE55="","",IF(INDEX(对接源_01水果!$AJ$4:$AJ$1203,$AE55)=0,"",INDEX(对接源_01水果!$AJ$4:$AJ$1203,$AE55)))</f>
      </c>
      <c r="K55" s="61">
        <f>IF($AE55="","",IF(INDEX(对接源_01水果!$AB$4:$AB$1203,$AE55)=0,"",INDEX(对接源_01水果!$AB$4:$AB$1203,$AE55)))</f>
      </c>
      <c r="L55" s="64">
        <f>IF($AE55="","",IF(INDEX(对接源_01水果!$M$4:$M$1203,$AE55)=0,"",INDEX(对接源_01水果!$M$4:$M$1203,$AE55)))</f>
      </c>
      <c r="AE55" s="2">
        <f>IFERROR(MATCH(50,_自动清单!$AM$4:$AM$2403,0),"")</f>
      </c>
    </row>
    <row r="56" ht="18" customHeight="1" s="127">
      <c r="A56" s="206">
        <f>IF($AE56="","",IF(INDEX(对接源_01水果!$B$4:$B$1203,$AE56)=0,"",INDEX(对接源_01水果!$B$4:$B$1203,$AE56)))</f>
      </c>
      <c r="B56" s="61">
        <f>IF($AE56="","",IF(INDEX(对接源_01水果!$E$4:$E$1203,$AE56)=0,"",INDEX(对接源_01水果!$E$4:$E$1203,$AE56)))</f>
      </c>
      <c r="C56" s="61">
        <f>IF($AE56="","",IF(INDEX(对接源_01水果!$F$4:$F$1203,$AE56)=0,"",INDEX(对接源_01水果!$F$4:$F$1203,$AE56)))</f>
      </c>
      <c r="D56" s="61">
        <f>IF($AE56="","",IF(INDEX(对接源_01水果!$G$4:$G$1203,$AE56)=0,"",INDEX(对接源_01水果!$G$4:$G$1203,$AE56)))</f>
      </c>
      <c r="E56" s="61">
        <f>IF($AE56="","",IF(INDEX(对接源_01水果!$H$4:$H$1203,$AE56)=0,"",INDEX(对接源_01水果!$H$4:$H$1203,$AE56)))</f>
      </c>
      <c r="F56" s="61">
        <f>IF($AE56="","",IF(INDEX(对接源_01水果!$I$4:$I$1203,$AE56)=0,"",INDEX(对接源_01水果!$I$4:$I$1203,$AE56)))</f>
      </c>
      <c r="G56" s="173">
        <f>IF($AE56="","",IF(INDEX(对接源_01水果!$Z$4:$Z$1203,$AE56)=0,"",INDEX(对接源_01水果!$Z$4:$Z$1203,$AE56)))</f>
      </c>
      <c r="H56" s="173">
        <f>IF($AE56="","",IF(INDEX(对接源_01水果!$AA$4:$AA$1203,$AE56)=0,"",INDEX(对接源_01水果!$AA$4:$AA$1203,$AE56)))</f>
      </c>
      <c r="I56" s="173">
        <f>IF($AE56="","",IF(INDEX(对接源_01水果!$AG$4:$AG$1203,$AE56)=0,"",INDEX(对接源_01水果!$AG$4:$AG$1203,$AE56)))</f>
      </c>
      <c r="J56" s="173">
        <f>IF($AE56="","",IF(INDEX(对接源_01水果!$AJ$4:$AJ$1203,$AE56)=0,"",INDEX(对接源_01水果!$AJ$4:$AJ$1203,$AE56)))</f>
      </c>
      <c r="K56" s="61">
        <f>IF($AE56="","",IF(INDEX(对接源_01水果!$AB$4:$AB$1203,$AE56)=0,"",INDEX(对接源_01水果!$AB$4:$AB$1203,$AE56)))</f>
      </c>
      <c r="L56" s="64">
        <f>IF($AE56="","",IF(INDEX(对接源_01水果!$M$4:$M$1203,$AE56)=0,"",INDEX(对接源_01水果!$M$4:$M$1203,$AE56)))</f>
      </c>
      <c r="AE56" s="2">
        <f>IFERROR(MATCH(51,_自动清单!$AM$4:$AM$2403,0),"")</f>
      </c>
    </row>
    <row r="57" ht="18" customHeight="1" s="127">
      <c r="A57" s="206">
        <f>IF($AE57="","",IF(INDEX(对接源_01水果!$B$4:$B$1203,$AE57)=0,"",INDEX(对接源_01水果!$B$4:$B$1203,$AE57)))</f>
      </c>
      <c r="B57" s="61">
        <f>IF($AE57="","",IF(INDEX(对接源_01水果!$E$4:$E$1203,$AE57)=0,"",INDEX(对接源_01水果!$E$4:$E$1203,$AE57)))</f>
      </c>
      <c r="C57" s="61">
        <f>IF($AE57="","",IF(INDEX(对接源_01水果!$F$4:$F$1203,$AE57)=0,"",INDEX(对接源_01水果!$F$4:$F$1203,$AE57)))</f>
      </c>
      <c r="D57" s="61">
        <f>IF($AE57="","",IF(INDEX(对接源_01水果!$G$4:$G$1203,$AE57)=0,"",INDEX(对接源_01水果!$G$4:$G$1203,$AE57)))</f>
      </c>
      <c r="E57" s="61">
        <f>IF($AE57="","",IF(INDEX(对接源_01水果!$H$4:$H$1203,$AE57)=0,"",INDEX(对接源_01水果!$H$4:$H$1203,$AE57)))</f>
      </c>
      <c r="F57" s="61">
        <f>IF($AE57="","",IF(INDEX(对接源_01水果!$I$4:$I$1203,$AE57)=0,"",INDEX(对接源_01水果!$I$4:$I$1203,$AE57)))</f>
      </c>
      <c r="G57" s="173">
        <f>IF($AE57="","",IF(INDEX(对接源_01水果!$Z$4:$Z$1203,$AE57)=0,"",INDEX(对接源_01水果!$Z$4:$Z$1203,$AE57)))</f>
      </c>
      <c r="H57" s="173">
        <f>IF($AE57="","",IF(INDEX(对接源_01水果!$AA$4:$AA$1203,$AE57)=0,"",INDEX(对接源_01水果!$AA$4:$AA$1203,$AE57)))</f>
      </c>
      <c r="I57" s="173">
        <f>IF($AE57="","",IF(INDEX(对接源_01水果!$AG$4:$AG$1203,$AE57)=0,"",INDEX(对接源_01水果!$AG$4:$AG$1203,$AE57)))</f>
      </c>
      <c r="J57" s="173">
        <f>IF($AE57="","",IF(INDEX(对接源_01水果!$AJ$4:$AJ$1203,$AE57)=0,"",INDEX(对接源_01水果!$AJ$4:$AJ$1203,$AE57)))</f>
      </c>
      <c r="K57" s="61">
        <f>IF($AE57="","",IF(INDEX(对接源_01水果!$AB$4:$AB$1203,$AE57)=0,"",INDEX(对接源_01水果!$AB$4:$AB$1203,$AE57)))</f>
      </c>
      <c r="L57" s="64">
        <f>IF($AE57="","",IF(INDEX(对接源_01水果!$M$4:$M$1203,$AE57)=0,"",INDEX(对接源_01水果!$M$4:$M$1203,$AE57)))</f>
      </c>
      <c r="AE57" s="2">
        <f>IFERROR(MATCH(52,_自动清单!$AM$4:$AM$2403,0),"")</f>
      </c>
    </row>
    <row r="58" ht="18" customHeight="1" s="127">
      <c r="A58" s="206">
        <f>IF($AE58="","",IF(INDEX(对接源_01水果!$B$4:$B$1203,$AE58)=0,"",INDEX(对接源_01水果!$B$4:$B$1203,$AE58)))</f>
      </c>
      <c r="B58" s="61">
        <f>IF($AE58="","",IF(INDEX(对接源_01水果!$E$4:$E$1203,$AE58)=0,"",INDEX(对接源_01水果!$E$4:$E$1203,$AE58)))</f>
      </c>
      <c r="C58" s="61">
        <f>IF($AE58="","",IF(INDEX(对接源_01水果!$F$4:$F$1203,$AE58)=0,"",INDEX(对接源_01水果!$F$4:$F$1203,$AE58)))</f>
      </c>
      <c r="D58" s="61">
        <f>IF($AE58="","",IF(INDEX(对接源_01水果!$G$4:$G$1203,$AE58)=0,"",INDEX(对接源_01水果!$G$4:$G$1203,$AE58)))</f>
      </c>
      <c r="E58" s="61">
        <f>IF($AE58="","",IF(INDEX(对接源_01水果!$H$4:$H$1203,$AE58)=0,"",INDEX(对接源_01水果!$H$4:$H$1203,$AE58)))</f>
      </c>
      <c r="F58" s="61">
        <f>IF($AE58="","",IF(INDEX(对接源_01水果!$I$4:$I$1203,$AE58)=0,"",INDEX(对接源_01水果!$I$4:$I$1203,$AE58)))</f>
      </c>
      <c r="G58" s="173">
        <f>IF($AE58="","",IF(INDEX(对接源_01水果!$Z$4:$Z$1203,$AE58)=0,"",INDEX(对接源_01水果!$Z$4:$Z$1203,$AE58)))</f>
      </c>
      <c r="H58" s="173">
        <f>IF($AE58="","",IF(INDEX(对接源_01水果!$AA$4:$AA$1203,$AE58)=0,"",INDEX(对接源_01水果!$AA$4:$AA$1203,$AE58)))</f>
      </c>
      <c r="I58" s="173">
        <f>IF($AE58="","",IF(INDEX(对接源_01水果!$AG$4:$AG$1203,$AE58)=0,"",INDEX(对接源_01水果!$AG$4:$AG$1203,$AE58)))</f>
      </c>
      <c r="J58" s="173">
        <f>IF($AE58="","",IF(INDEX(对接源_01水果!$AJ$4:$AJ$1203,$AE58)=0,"",INDEX(对接源_01水果!$AJ$4:$AJ$1203,$AE58)))</f>
      </c>
      <c r="K58" s="61">
        <f>IF($AE58="","",IF(INDEX(对接源_01水果!$AB$4:$AB$1203,$AE58)=0,"",INDEX(对接源_01水果!$AB$4:$AB$1203,$AE58)))</f>
      </c>
      <c r="L58" s="64">
        <f>IF($AE58="","",IF(INDEX(对接源_01水果!$M$4:$M$1203,$AE58)=0,"",INDEX(对接源_01水果!$M$4:$M$1203,$AE58)))</f>
      </c>
      <c r="AE58" s="2">
        <f>IFERROR(MATCH(53,_自动清单!$AM$4:$AM$2403,0),"")</f>
      </c>
    </row>
    <row r="59" ht="18" customHeight="1" s="127">
      <c r="A59" s="206">
        <f>IF($AE59="","",IF(INDEX(对接源_01水果!$B$4:$B$1203,$AE59)=0,"",INDEX(对接源_01水果!$B$4:$B$1203,$AE59)))</f>
      </c>
      <c r="B59" s="61">
        <f>IF($AE59="","",IF(INDEX(对接源_01水果!$E$4:$E$1203,$AE59)=0,"",INDEX(对接源_01水果!$E$4:$E$1203,$AE59)))</f>
      </c>
      <c r="C59" s="61">
        <f>IF($AE59="","",IF(INDEX(对接源_01水果!$F$4:$F$1203,$AE59)=0,"",INDEX(对接源_01水果!$F$4:$F$1203,$AE59)))</f>
      </c>
      <c r="D59" s="61">
        <f>IF($AE59="","",IF(INDEX(对接源_01水果!$G$4:$G$1203,$AE59)=0,"",INDEX(对接源_01水果!$G$4:$G$1203,$AE59)))</f>
      </c>
      <c r="E59" s="61">
        <f>IF($AE59="","",IF(INDEX(对接源_01水果!$H$4:$H$1203,$AE59)=0,"",INDEX(对接源_01水果!$H$4:$H$1203,$AE59)))</f>
      </c>
      <c r="F59" s="61">
        <f>IF($AE59="","",IF(INDEX(对接源_01水果!$I$4:$I$1203,$AE59)=0,"",INDEX(对接源_01水果!$I$4:$I$1203,$AE59)))</f>
      </c>
      <c r="G59" s="173">
        <f>IF($AE59="","",IF(INDEX(对接源_01水果!$Z$4:$Z$1203,$AE59)=0,"",INDEX(对接源_01水果!$Z$4:$Z$1203,$AE59)))</f>
      </c>
      <c r="H59" s="173">
        <f>IF($AE59="","",IF(INDEX(对接源_01水果!$AA$4:$AA$1203,$AE59)=0,"",INDEX(对接源_01水果!$AA$4:$AA$1203,$AE59)))</f>
      </c>
      <c r="I59" s="173">
        <f>IF($AE59="","",IF(INDEX(对接源_01水果!$AG$4:$AG$1203,$AE59)=0,"",INDEX(对接源_01水果!$AG$4:$AG$1203,$AE59)))</f>
      </c>
      <c r="J59" s="173">
        <f>IF($AE59="","",IF(INDEX(对接源_01水果!$AJ$4:$AJ$1203,$AE59)=0,"",INDEX(对接源_01水果!$AJ$4:$AJ$1203,$AE59)))</f>
      </c>
      <c r="K59" s="61">
        <f>IF($AE59="","",IF(INDEX(对接源_01水果!$AB$4:$AB$1203,$AE59)=0,"",INDEX(对接源_01水果!$AB$4:$AB$1203,$AE59)))</f>
      </c>
      <c r="L59" s="64">
        <f>IF($AE59="","",IF(INDEX(对接源_01水果!$M$4:$M$1203,$AE59)=0,"",INDEX(对接源_01水果!$M$4:$M$1203,$AE59)))</f>
      </c>
      <c r="AE59" s="2">
        <f>IFERROR(MATCH(54,_自动清单!$AM$4:$AM$2403,0),"")</f>
      </c>
    </row>
    <row r="60" ht="18" customHeight="1" s="127">
      <c r="A60" s="206">
        <f>IF($AE60="","",IF(INDEX(对接源_01水果!$B$4:$B$1203,$AE60)=0,"",INDEX(对接源_01水果!$B$4:$B$1203,$AE60)))</f>
      </c>
      <c r="B60" s="61">
        <f>IF($AE60="","",IF(INDEX(对接源_01水果!$E$4:$E$1203,$AE60)=0,"",INDEX(对接源_01水果!$E$4:$E$1203,$AE60)))</f>
      </c>
      <c r="C60" s="61">
        <f>IF($AE60="","",IF(INDEX(对接源_01水果!$F$4:$F$1203,$AE60)=0,"",INDEX(对接源_01水果!$F$4:$F$1203,$AE60)))</f>
      </c>
      <c r="D60" s="61">
        <f>IF($AE60="","",IF(INDEX(对接源_01水果!$G$4:$G$1203,$AE60)=0,"",INDEX(对接源_01水果!$G$4:$G$1203,$AE60)))</f>
      </c>
      <c r="E60" s="61">
        <f>IF($AE60="","",IF(INDEX(对接源_01水果!$H$4:$H$1203,$AE60)=0,"",INDEX(对接源_01水果!$H$4:$H$1203,$AE60)))</f>
      </c>
      <c r="F60" s="61">
        <f>IF($AE60="","",IF(INDEX(对接源_01水果!$I$4:$I$1203,$AE60)=0,"",INDEX(对接源_01水果!$I$4:$I$1203,$AE60)))</f>
      </c>
      <c r="G60" s="173">
        <f>IF($AE60="","",IF(INDEX(对接源_01水果!$Z$4:$Z$1203,$AE60)=0,"",INDEX(对接源_01水果!$Z$4:$Z$1203,$AE60)))</f>
      </c>
      <c r="H60" s="173">
        <f>IF($AE60="","",IF(INDEX(对接源_01水果!$AA$4:$AA$1203,$AE60)=0,"",INDEX(对接源_01水果!$AA$4:$AA$1203,$AE60)))</f>
      </c>
      <c r="I60" s="173">
        <f>IF($AE60="","",IF(INDEX(对接源_01水果!$AG$4:$AG$1203,$AE60)=0,"",INDEX(对接源_01水果!$AG$4:$AG$1203,$AE60)))</f>
      </c>
      <c r="J60" s="173">
        <f>IF($AE60="","",IF(INDEX(对接源_01水果!$AJ$4:$AJ$1203,$AE60)=0,"",INDEX(对接源_01水果!$AJ$4:$AJ$1203,$AE60)))</f>
      </c>
      <c r="K60" s="61">
        <f>IF($AE60="","",IF(INDEX(对接源_01水果!$AB$4:$AB$1203,$AE60)=0,"",INDEX(对接源_01水果!$AB$4:$AB$1203,$AE60)))</f>
      </c>
      <c r="L60" s="64">
        <f>IF($AE60="","",IF(INDEX(对接源_01水果!$M$4:$M$1203,$AE60)=0,"",INDEX(对接源_01水果!$M$4:$M$1203,$AE60)))</f>
      </c>
      <c r="AE60" s="2">
        <f>IFERROR(MATCH(55,_自动清单!$AM$4:$AM$2403,0),"")</f>
      </c>
    </row>
    <row r="61" ht="18" customHeight="1" s="127">
      <c r="A61" s="206">
        <f>IF($AE61="","",IF(INDEX(对接源_01水果!$B$4:$B$1203,$AE61)=0,"",INDEX(对接源_01水果!$B$4:$B$1203,$AE61)))</f>
      </c>
      <c r="B61" s="61">
        <f>IF($AE61="","",IF(INDEX(对接源_01水果!$E$4:$E$1203,$AE61)=0,"",INDEX(对接源_01水果!$E$4:$E$1203,$AE61)))</f>
      </c>
      <c r="C61" s="61">
        <f>IF($AE61="","",IF(INDEX(对接源_01水果!$F$4:$F$1203,$AE61)=0,"",INDEX(对接源_01水果!$F$4:$F$1203,$AE61)))</f>
      </c>
      <c r="D61" s="61">
        <f>IF($AE61="","",IF(INDEX(对接源_01水果!$G$4:$G$1203,$AE61)=0,"",INDEX(对接源_01水果!$G$4:$G$1203,$AE61)))</f>
      </c>
      <c r="E61" s="61">
        <f>IF($AE61="","",IF(INDEX(对接源_01水果!$H$4:$H$1203,$AE61)=0,"",INDEX(对接源_01水果!$H$4:$H$1203,$AE61)))</f>
      </c>
      <c r="F61" s="61">
        <f>IF($AE61="","",IF(INDEX(对接源_01水果!$I$4:$I$1203,$AE61)=0,"",INDEX(对接源_01水果!$I$4:$I$1203,$AE61)))</f>
      </c>
      <c r="G61" s="173">
        <f>IF($AE61="","",IF(INDEX(对接源_01水果!$Z$4:$Z$1203,$AE61)=0,"",INDEX(对接源_01水果!$Z$4:$Z$1203,$AE61)))</f>
      </c>
      <c r="H61" s="173">
        <f>IF($AE61="","",IF(INDEX(对接源_01水果!$AA$4:$AA$1203,$AE61)=0,"",INDEX(对接源_01水果!$AA$4:$AA$1203,$AE61)))</f>
      </c>
      <c r="I61" s="173">
        <f>IF($AE61="","",IF(INDEX(对接源_01水果!$AG$4:$AG$1203,$AE61)=0,"",INDEX(对接源_01水果!$AG$4:$AG$1203,$AE61)))</f>
      </c>
      <c r="J61" s="173">
        <f>IF($AE61="","",IF(INDEX(对接源_01水果!$AJ$4:$AJ$1203,$AE61)=0,"",INDEX(对接源_01水果!$AJ$4:$AJ$1203,$AE61)))</f>
      </c>
      <c r="K61" s="61">
        <f>IF($AE61="","",IF(INDEX(对接源_01水果!$AB$4:$AB$1203,$AE61)=0,"",INDEX(对接源_01水果!$AB$4:$AB$1203,$AE61)))</f>
      </c>
      <c r="L61" s="64">
        <f>IF($AE61="","",IF(INDEX(对接源_01水果!$M$4:$M$1203,$AE61)=0,"",INDEX(对接源_01水果!$M$4:$M$1203,$AE61)))</f>
      </c>
      <c r="AE61" s="2">
        <f>IFERROR(MATCH(56,_自动清单!$AM$4:$AM$2403,0),"")</f>
      </c>
    </row>
    <row r="62" ht="18" customHeight="1" s="127">
      <c r="A62" s="206">
        <f>IF($AE62="","",IF(INDEX(对接源_01水果!$B$4:$B$1203,$AE62)=0,"",INDEX(对接源_01水果!$B$4:$B$1203,$AE62)))</f>
      </c>
      <c r="B62" s="61">
        <f>IF($AE62="","",IF(INDEX(对接源_01水果!$E$4:$E$1203,$AE62)=0,"",INDEX(对接源_01水果!$E$4:$E$1203,$AE62)))</f>
      </c>
      <c r="C62" s="61">
        <f>IF($AE62="","",IF(INDEX(对接源_01水果!$F$4:$F$1203,$AE62)=0,"",INDEX(对接源_01水果!$F$4:$F$1203,$AE62)))</f>
      </c>
      <c r="D62" s="61">
        <f>IF($AE62="","",IF(INDEX(对接源_01水果!$G$4:$G$1203,$AE62)=0,"",INDEX(对接源_01水果!$G$4:$G$1203,$AE62)))</f>
      </c>
      <c r="E62" s="61">
        <f>IF($AE62="","",IF(INDEX(对接源_01水果!$H$4:$H$1203,$AE62)=0,"",INDEX(对接源_01水果!$H$4:$H$1203,$AE62)))</f>
      </c>
      <c r="F62" s="61">
        <f>IF($AE62="","",IF(INDEX(对接源_01水果!$I$4:$I$1203,$AE62)=0,"",INDEX(对接源_01水果!$I$4:$I$1203,$AE62)))</f>
      </c>
      <c r="G62" s="173">
        <f>IF($AE62="","",IF(INDEX(对接源_01水果!$Z$4:$Z$1203,$AE62)=0,"",INDEX(对接源_01水果!$Z$4:$Z$1203,$AE62)))</f>
      </c>
      <c r="H62" s="173">
        <f>IF($AE62="","",IF(INDEX(对接源_01水果!$AA$4:$AA$1203,$AE62)=0,"",INDEX(对接源_01水果!$AA$4:$AA$1203,$AE62)))</f>
      </c>
      <c r="I62" s="173">
        <f>IF($AE62="","",IF(INDEX(对接源_01水果!$AG$4:$AG$1203,$AE62)=0,"",INDEX(对接源_01水果!$AG$4:$AG$1203,$AE62)))</f>
      </c>
      <c r="J62" s="173">
        <f>IF($AE62="","",IF(INDEX(对接源_01水果!$AJ$4:$AJ$1203,$AE62)=0,"",INDEX(对接源_01水果!$AJ$4:$AJ$1203,$AE62)))</f>
      </c>
      <c r="K62" s="61">
        <f>IF($AE62="","",IF(INDEX(对接源_01水果!$AB$4:$AB$1203,$AE62)=0,"",INDEX(对接源_01水果!$AB$4:$AB$1203,$AE62)))</f>
      </c>
      <c r="L62" s="64">
        <f>IF($AE62="","",IF(INDEX(对接源_01水果!$M$4:$M$1203,$AE62)=0,"",INDEX(对接源_01水果!$M$4:$M$1203,$AE62)))</f>
      </c>
      <c r="AE62" s="2">
        <f>IFERROR(MATCH(57,_自动清单!$AM$4:$AM$2403,0),"")</f>
      </c>
    </row>
    <row r="63" ht="18" customHeight="1" s="127">
      <c r="A63" s="206">
        <f>IF($AE63="","",IF(INDEX(对接源_01水果!$B$4:$B$1203,$AE63)=0,"",INDEX(对接源_01水果!$B$4:$B$1203,$AE63)))</f>
      </c>
      <c r="B63" s="61">
        <f>IF($AE63="","",IF(INDEX(对接源_01水果!$E$4:$E$1203,$AE63)=0,"",INDEX(对接源_01水果!$E$4:$E$1203,$AE63)))</f>
      </c>
      <c r="C63" s="61">
        <f>IF($AE63="","",IF(INDEX(对接源_01水果!$F$4:$F$1203,$AE63)=0,"",INDEX(对接源_01水果!$F$4:$F$1203,$AE63)))</f>
      </c>
      <c r="D63" s="61">
        <f>IF($AE63="","",IF(INDEX(对接源_01水果!$G$4:$G$1203,$AE63)=0,"",INDEX(对接源_01水果!$G$4:$G$1203,$AE63)))</f>
      </c>
      <c r="E63" s="61">
        <f>IF($AE63="","",IF(INDEX(对接源_01水果!$H$4:$H$1203,$AE63)=0,"",INDEX(对接源_01水果!$H$4:$H$1203,$AE63)))</f>
      </c>
      <c r="F63" s="61">
        <f>IF($AE63="","",IF(INDEX(对接源_01水果!$I$4:$I$1203,$AE63)=0,"",INDEX(对接源_01水果!$I$4:$I$1203,$AE63)))</f>
      </c>
      <c r="G63" s="173">
        <f>IF($AE63="","",IF(INDEX(对接源_01水果!$Z$4:$Z$1203,$AE63)=0,"",INDEX(对接源_01水果!$Z$4:$Z$1203,$AE63)))</f>
      </c>
      <c r="H63" s="173">
        <f>IF($AE63="","",IF(INDEX(对接源_01水果!$AA$4:$AA$1203,$AE63)=0,"",INDEX(对接源_01水果!$AA$4:$AA$1203,$AE63)))</f>
      </c>
      <c r="I63" s="173">
        <f>IF($AE63="","",IF(INDEX(对接源_01水果!$AG$4:$AG$1203,$AE63)=0,"",INDEX(对接源_01水果!$AG$4:$AG$1203,$AE63)))</f>
      </c>
      <c r="J63" s="173">
        <f>IF($AE63="","",IF(INDEX(对接源_01水果!$AJ$4:$AJ$1203,$AE63)=0,"",INDEX(对接源_01水果!$AJ$4:$AJ$1203,$AE63)))</f>
      </c>
      <c r="K63" s="61">
        <f>IF($AE63="","",IF(INDEX(对接源_01水果!$AB$4:$AB$1203,$AE63)=0,"",INDEX(对接源_01水果!$AB$4:$AB$1203,$AE63)))</f>
      </c>
      <c r="L63" s="64">
        <f>IF($AE63="","",IF(INDEX(对接源_01水果!$M$4:$M$1203,$AE63)=0,"",INDEX(对接源_01水果!$M$4:$M$1203,$AE63)))</f>
      </c>
      <c r="AE63" s="2">
        <f>IFERROR(MATCH(58,_自动清单!$AM$4:$AM$2403,0),"")</f>
      </c>
    </row>
    <row r="64" ht="18" customHeight="1" s="127">
      <c r="A64" s="206">
        <f>IF($AE64="","",IF(INDEX(对接源_01水果!$B$4:$B$1203,$AE64)=0,"",INDEX(对接源_01水果!$B$4:$B$1203,$AE64)))</f>
      </c>
      <c r="B64" s="61">
        <f>IF($AE64="","",IF(INDEX(对接源_01水果!$E$4:$E$1203,$AE64)=0,"",INDEX(对接源_01水果!$E$4:$E$1203,$AE64)))</f>
      </c>
      <c r="C64" s="61">
        <f>IF($AE64="","",IF(INDEX(对接源_01水果!$F$4:$F$1203,$AE64)=0,"",INDEX(对接源_01水果!$F$4:$F$1203,$AE64)))</f>
      </c>
      <c r="D64" s="61">
        <f>IF($AE64="","",IF(INDEX(对接源_01水果!$G$4:$G$1203,$AE64)=0,"",INDEX(对接源_01水果!$G$4:$G$1203,$AE64)))</f>
      </c>
      <c r="E64" s="61">
        <f>IF($AE64="","",IF(INDEX(对接源_01水果!$H$4:$H$1203,$AE64)=0,"",INDEX(对接源_01水果!$H$4:$H$1203,$AE64)))</f>
      </c>
      <c r="F64" s="61">
        <f>IF($AE64="","",IF(INDEX(对接源_01水果!$I$4:$I$1203,$AE64)=0,"",INDEX(对接源_01水果!$I$4:$I$1203,$AE64)))</f>
      </c>
      <c r="G64" s="173">
        <f>IF($AE64="","",IF(INDEX(对接源_01水果!$Z$4:$Z$1203,$AE64)=0,"",INDEX(对接源_01水果!$Z$4:$Z$1203,$AE64)))</f>
      </c>
      <c r="H64" s="173">
        <f>IF($AE64="","",IF(INDEX(对接源_01水果!$AA$4:$AA$1203,$AE64)=0,"",INDEX(对接源_01水果!$AA$4:$AA$1203,$AE64)))</f>
      </c>
      <c r="I64" s="173">
        <f>IF($AE64="","",IF(INDEX(对接源_01水果!$AG$4:$AG$1203,$AE64)=0,"",INDEX(对接源_01水果!$AG$4:$AG$1203,$AE64)))</f>
      </c>
      <c r="J64" s="173">
        <f>IF($AE64="","",IF(INDEX(对接源_01水果!$AJ$4:$AJ$1203,$AE64)=0,"",INDEX(对接源_01水果!$AJ$4:$AJ$1203,$AE64)))</f>
      </c>
      <c r="K64" s="61">
        <f>IF($AE64="","",IF(INDEX(对接源_01水果!$AB$4:$AB$1203,$AE64)=0,"",INDEX(对接源_01水果!$AB$4:$AB$1203,$AE64)))</f>
      </c>
      <c r="L64" s="64">
        <f>IF($AE64="","",IF(INDEX(对接源_01水果!$M$4:$M$1203,$AE64)=0,"",INDEX(对接源_01水果!$M$4:$M$1203,$AE64)))</f>
      </c>
      <c r="AE64" s="2">
        <f>IFERROR(MATCH(59,_自动清单!$AM$4:$AM$2403,0),"")</f>
      </c>
    </row>
    <row r="65" ht="18" customHeight="1" s="127">
      <c r="A65" s="206">
        <f>IF($AE65="","",IF(INDEX(对接源_01水果!$B$4:$B$1203,$AE65)=0,"",INDEX(对接源_01水果!$B$4:$B$1203,$AE65)))</f>
      </c>
      <c r="B65" s="61">
        <f>IF($AE65="","",IF(INDEX(对接源_01水果!$E$4:$E$1203,$AE65)=0,"",INDEX(对接源_01水果!$E$4:$E$1203,$AE65)))</f>
      </c>
      <c r="C65" s="61">
        <f>IF($AE65="","",IF(INDEX(对接源_01水果!$F$4:$F$1203,$AE65)=0,"",INDEX(对接源_01水果!$F$4:$F$1203,$AE65)))</f>
      </c>
      <c r="D65" s="61">
        <f>IF($AE65="","",IF(INDEX(对接源_01水果!$G$4:$G$1203,$AE65)=0,"",INDEX(对接源_01水果!$G$4:$G$1203,$AE65)))</f>
      </c>
      <c r="E65" s="61">
        <f>IF($AE65="","",IF(INDEX(对接源_01水果!$H$4:$H$1203,$AE65)=0,"",INDEX(对接源_01水果!$H$4:$H$1203,$AE65)))</f>
      </c>
      <c r="F65" s="61">
        <f>IF($AE65="","",IF(INDEX(对接源_01水果!$I$4:$I$1203,$AE65)=0,"",INDEX(对接源_01水果!$I$4:$I$1203,$AE65)))</f>
      </c>
      <c r="G65" s="173">
        <f>IF($AE65="","",IF(INDEX(对接源_01水果!$Z$4:$Z$1203,$AE65)=0,"",INDEX(对接源_01水果!$Z$4:$Z$1203,$AE65)))</f>
      </c>
      <c r="H65" s="173">
        <f>IF($AE65="","",IF(INDEX(对接源_01水果!$AA$4:$AA$1203,$AE65)=0,"",INDEX(对接源_01水果!$AA$4:$AA$1203,$AE65)))</f>
      </c>
      <c r="I65" s="173">
        <f>IF($AE65="","",IF(INDEX(对接源_01水果!$AG$4:$AG$1203,$AE65)=0,"",INDEX(对接源_01水果!$AG$4:$AG$1203,$AE65)))</f>
      </c>
      <c r="J65" s="173">
        <f>IF($AE65="","",IF(INDEX(对接源_01水果!$AJ$4:$AJ$1203,$AE65)=0,"",INDEX(对接源_01水果!$AJ$4:$AJ$1203,$AE65)))</f>
      </c>
      <c r="K65" s="61">
        <f>IF($AE65="","",IF(INDEX(对接源_01水果!$AB$4:$AB$1203,$AE65)=0,"",INDEX(对接源_01水果!$AB$4:$AB$1203,$AE65)))</f>
      </c>
      <c r="L65" s="64">
        <f>IF($AE65="","",IF(INDEX(对接源_01水果!$M$4:$M$1203,$AE65)=0,"",INDEX(对接源_01水果!$M$4:$M$1203,$AE65)))</f>
      </c>
      <c r="AE65" s="2">
        <f>IFERROR(MATCH(60,_自动清单!$AM$4:$AM$2403,0),"")</f>
      </c>
    </row>
    <row r="66" ht="18" customHeight="1" s="127">
      <c r="A66" s="206">
        <f>IF($AE66="","",IF(INDEX(对接源_01水果!$B$4:$B$1203,$AE66)=0,"",INDEX(对接源_01水果!$B$4:$B$1203,$AE66)))</f>
      </c>
      <c r="B66" s="61">
        <f>IF($AE66="","",IF(INDEX(对接源_01水果!$E$4:$E$1203,$AE66)=0,"",INDEX(对接源_01水果!$E$4:$E$1203,$AE66)))</f>
      </c>
      <c r="C66" s="61">
        <f>IF($AE66="","",IF(INDEX(对接源_01水果!$F$4:$F$1203,$AE66)=0,"",INDEX(对接源_01水果!$F$4:$F$1203,$AE66)))</f>
      </c>
      <c r="D66" s="61">
        <f>IF($AE66="","",IF(INDEX(对接源_01水果!$G$4:$G$1203,$AE66)=0,"",INDEX(对接源_01水果!$G$4:$G$1203,$AE66)))</f>
      </c>
      <c r="E66" s="61">
        <f>IF($AE66="","",IF(INDEX(对接源_01水果!$H$4:$H$1203,$AE66)=0,"",INDEX(对接源_01水果!$H$4:$H$1203,$AE66)))</f>
      </c>
      <c r="F66" s="61">
        <f>IF($AE66="","",IF(INDEX(对接源_01水果!$I$4:$I$1203,$AE66)=0,"",INDEX(对接源_01水果!$I$4:$I$1203,$AE66)))</f>
      </c>
      <c r="G66" s="173">
        <f>IF($AE66="","",IF(INDEX(对接源_01水果!$Z$4:$Z$1203,$AE66)=0,"",INDEX(对接源_01水果!$Z$4:$Z$1203,$AE66)))</f>
      </c>
      <c r="H66" s="173">
        <f>IF($AE66="","",IF(INDEX(对接源_01水果!$AA$4:$AA$1203,$AE66)=0,"",INDEX(对接源_01水果!$AA$4:$AA$1203,$AE66)))</f>
      </c>
      <c r="I66" s="173">
        <f>IF($AE66="","",IF(INDEX(对接源_01水果!$AG$4:$AG$1203,$AE66)=0,"",INDEX(对接源_01水果!$AG$4:$AG$1203,$AE66)))</f>
      </c>
      <c r="J66" s="173">
        <f>IF($AE66="","",IF(INDEX(对接源_01水果!$AJ$4:$AJ$1203,$AE66)=0,"",INDEX(对接源_01水果!$AJ$4:$AJ$1203,$AE66)))</f>
      </c>
      <c r="K66" s="61">
        <f>IF($AE66="","",IF(INDEX(对接源_01水果!$AB$4:$AB$1203,$AE66)=0,"",INDEX(对接源_01水果!$AB$4:$AB$1203,$AE66)))</f>
      </c>
      <c r="L66" s="64">
        <f>IF($AE66="","",IF(INDEX(对接源_01水果!$M$4:$M$1203,$AE66)=0,"",INDEX(对接源_01水果!$M$4:$M$1203,$AE66)))</f>
      </c>
      <c r="AE66" s="2">
        <f>IFERROR(MATCH(61,_自动清单!$AM$4:$AM$2403,0),"")</f>
      </c>
    </row>
    <row r="67" ht="18" customHeight="1" s="127">
      <c r="A67" s="206">
        <f>IF($AE67="","",IF(INDEX(对接源_01水果!$B$4:$B$1203,$AE67)=0,"",INDEX(对接源_01水果!$B$4:$B$1203,$AE67)))</f>
      </c>
      <c r="B67" s="61">
        <f>IF($AE67="","",IF(INDEX(对接源_01水果!$E$4:$E$1203,$AE67)=0,"",INDEX(对接源_01水果!$E$4:$E$1203,$AE67)))</f>
      </c>
      <c r="C67" s="61">
        <f>IF($AE67="","",IF(INDEX(对接源_01水果!$F$4:$F$1203,$AE67)=0,"",INDEX(对接源_01水果!$F$4:$F$1203,$AE67)))</f>
      </c>
      <c r="D67" s="61">
        <f>IF($AE67="","",IF(INDEX(对接源_01水果!$G$4:$G$1203,$AE67)=0,"",INDEX(对接源_01水果!$G$4:$G$1203,$AE67)))</f>
      </c>
      <c r="E67" s="61">
        <f>IF($AE67="","",IF(INDEX(对接源_01水果!$H$4:$H$1203,$AE67)=0,"",INDEX(对接源_01水果!$H$4:$H$1203,$AE67)))</f>
      </c>
      <c r="F67" s="61">
        <f>IF($AE67="","",IF(INDEX(对接源_01水果!$I$4:$I$1203,$AE67)=0,"",INDEX(对接源_01水果!$I$4:$I$1203,$AE67)))</f>
      </c>
      <c r="G67" s="173">
        <f>IF($AE67="","",IF(INDEX(对接源_01水果!$Z$4:$Z$1203,$AE67)=0,"",INDEX(对接源_01水果!$Z$4:$Z$1203,$AE67)))</f>
      </c>
      <c r="H67" s="173">
        <f>IF($AE67="","",IF(INDEX(对接源_01水果!$AA$4:$AA$1203,$AE67)=0,"",INDEX(对接源_01水果!$AA$4:$AA$1203,$AE67)))</f>
      </c>
      <c r="I67" s="173">
        <f>IF($AE67="","",IF(INDEX(对接源_01水果!$AG$4:$AG$1203,$AE67)=0,"",INDEX(对接源_01水果!$AG$4:$AG$1203,$AE67)))</f>
      </c>
      <c r="J67" s="173">
        <f>IF($AE67="","",IF(INDEX(对接源_01水果!$AJ$4:$AJ$1203,$AE67)=0,"",INDEX(对接源_01水果!$AJ$4:$AJ$1203,$AE67)))</f>
      </c>
      <c r="K67" s="61">
        <f>IF($AE67="","",IF(INDEX(对接源_01水果!$AB$4:$AB$1203,$AE67)=0,"",INDEX(对接源_01水果!$AB$4:$AB$1203,$AE67)))</f>
      </c>
      <c r="L67" s="64">
        <f>IF($AE67="","",IF(INDEX(对接源_01水果!$M$4:$M$1203,$AE67)=0,"",INDEX(对接源_01水果!$M$4:$M$1203,$AE67)))</f>
      </c>
      <c r="AE67" s="2">
        <f>IFERROR(MATCH(62,_自动清单!$AM$4:$AM$2403,0),"")</f>
      </c>
    </row>
    <row r="68" ht="18" customHeight="1" s="127">
      <c r="A68" s="206">
        <f>IF($AE68="","",IF(INDEX(对接源_01水果!$B$4:$B$1203,$AE68)=0,"",INDEX(对接源_01水果!$B$4:$B$1203,$AE68)))</f>
      </c>
      <c r="B68" s="61">
        <f>IF($AE68="","",IF(INDEX(对接源_01水果!$E$4:$E$1203,$AE68)=0,"",INDEX(对接源_01水果!$E$4:$E$1203,$AE68)))</f>
      </c>
      <c r="C68" s="61">
        <f>IF($AE68="","",IF(INDEX(对接源_01水果!$F$4:$F$1203,$AE68)=0,"",INDEX(对接源_01水果!$F$4:$F$1203,$AE68)))</f>
      </c>
      <c r="D68" s="61">
        <f>IF($AE68="","",IF(INDEX(对接源_01水果!$G$4:$G$1203,$AE68)=0,"",INDEX(对接源_01水果!$G$4:$G$1203,$AE68)))</f>
      </c>
      <c r="E68" s="61">
        <f>IF($AE68="","",IF(INDEX(对接源_01水果!$H$4:$H$1203,$AE68)=0,"",INDEX(对接源_01水果!$H$4:$H$1203,$AE68)))</f>
      </c>
      <c r="F68" s="61">
        <f>IF($AE68="","",IF(INDEX(对接源_01水果!$I$4:$I$1203,$AE68)=0,"",INDEX(对接源_01水果!$I$4:$I$1203,$AE68)))</f>
      </c>
      <c r="G68" s="173">
        <f>IF($AE68="","",IF(INDEX(对接源_01水果!$Z$4:$Z$1203,$AE68)=0,"",INDEX(对接源_01水果!$Z$4:$Z$1203,$AE68)))</f>
      </c>
      <c r="H68" s="173">
        <f>IF($AE68="","",IF(INDEX(对接源_01水果!$AA$4:$AA$1203,$AE68)=0,"",INDEX(对接源_01水果!$AA$4:$AA$1203,$AE68)))</f>
      </c>
      <c r="I68" s="173">
        <f>IF($AE68="","",IF(INDEX(对接源_01水果!$AG$4:$AG$1203,$AE68)=0,"",INDEX(对接源_01水果!$AG$4:$AG$1203,$AE68)))</f>
      </c>
      <c r="J68" s="173">
        <f>IF($AE68="","",IF(INDEX(对接源_01水果!$AJ$4:$AJ$1203,$AE68)=0,"",INDEX(对接源_01水果!$AJ$4:$AJ$1203,$AE68)))</f>
      </c>
      <c r="K68" s="61">
        <f>IF($AE68="","",IF(INDEX(对接源_01水果!$AB$4:$AB$1203,$AE68)=0,"",INDEX(对接源_01水果!$AB$4:$AB$1203,$AE68)))</f>
      </c>
      <c r="L68" s="64">
        <f>IF($AE68="","",IF(INDEX(对接源_01水果!$M$4:$M$1203,$AE68)=0,"",INDEX(对接源_01水果!$M$4:$M$1203,$AE68)))</f>
      </c>
      <c r="AE68" s="2">
        <f>IFERROR(MATCH(63,_自动清单!$AM$4:$AM$2403,0),"")</f>
      </c>
    </row>
    <row r="69" ht="18" customHeight="1" s="127">
      <c r="A69" s="206">
        <f>IF($AE69="","",IF(INDEX(对接源_01水果!$B$4:$B$1203,$AE69)=0,"",INDEX(对接源_01水果!$B$4:$B$1203,$AE69)))</f>
      </c>
      <c r="B69" s="61">
        <f>IF($AE69="","",IF(INDEX(对接源_01水果!$E$4:$E$1203,$AE69)=0,"",INDEX(对接源_01水果!$E$4:$E$1203,$AE69)))</f>
      </c>
      <c r="C69" s="61">
        <f>IF($AE69="","",IF(INDEX(对接源_01水果!$F$4:$F$1203,$AE69)=0,"",INDEX(对接源_01水果!$F$4:$F$1203,$AE69)))</f>
      </c>
      <c r="D69" s="61">
        <f>IF($AE69="","",IF(INDEX(对接源_01水果!$G$4:$G$1203,$AE69)=0,"",INDEX(对接源_01水果!$G$4:$G$1203,$AE69)))</f>
      </c>
      <c r="E69" s="61">
        <f>IF($AE69="","",IF(INDEX(对接源_01水果!$H$4:$H$1203,$AE69)=0,"",INDEX(对接源_01水果!$H$4:$H$1203,$AE69)))</f>
      </c>
      <c r="F69" s="61">
        <f>IF($AE69="","",IF(INDEX(对接源_01水果!$I$4:$I$1203,$AE69)=0,"",INDEX(对接源_01水果!$I$4:$I$1203,$AE69)))</f>
      </c>
      <c r="G69" s="173">
        <f>IF($AE69="","",IF(INDEX(对接源_01水果!$Z$4:$Z$1203,$AE69)=0,"",INDEX(对接源_01水果!$Z$4:$Z$1203,$AE69)))</f>
      </c>
      <c r="H69" s="173">
        <f>IF($AE69="","",IF(INDEX(对接源_01水果!$AA$4:$AA$1203,$AE69)=0,"",INDEX(对接源_01水果!$AA$4:$AA$1203,$AE69)))</f>
      </c>
      <c r="I69" s="173">
        <f>IF($AE69="","",IF(INDEX(对接源_01水果!$AG$4:$AG$1203,$AE69)=0,"",INDEX(对接源_01水果!$AG$4:$AG$1203,$AE69)))</f>
      </c>
      <c r="J69" s="173">
        <f>IF($AE69="","",IF(INDEX(对接源_01水果!$AJ$4:$AJ$1203,$AE69)=0,"",INDEX(对接源_01水果!$AJ$4:$AJ$1203,$AE69)))</f>
      </c>
      <c r="K69" s="61">
        <f>IF($AE69="","",IF(INDEX(对接源_01水果!$AB$4:$AB$1203,$AE69)=0,"",INDEX(对接源_01水果!$AB$4:$AB$1203,$AE69)))</f>
      </c>
      <c r="L69" s="64">
        <f>IF($AE69="","",IF(INDEX(对接源_01水果!$M$4:$M$1203,$AE69)=0,"",INDEX(对接源_01水果!$M$4:$M$1203,$AE69)))</f>
      </c>
      <c r="AE69" s="2">
        <f>IFERROR(MATCH(64,_自动清单!$AM$4:$AM$2403,0),"")</f>
      </c>
    </row>
    <row r="70" ht="18" customHeight="1" s="127">
      <c r="A70" s="206">
        <f>IF($AE70="","",IF(INDEX(对接源_01水果!$B$4:$B$1203,$AE70)=0,"",INDEX(对接源_01水果!$B$4:$B$1203,$AE70)))</f>
      </c>
      <c r="B70" s="61">
        <f>IF($AE70="","",IF(INDEX(对接源_01水果!$E$4:$E$1203,$AE70)=0,"",INDEX(对接源_01水果!$E$4:$E$1203,$AE70)))</f>
      </c>
      <c r="C70" s="61">
        <f>IF($AE70="","",IF(INDEX(对接源_01水果!$F$4:$F$1203,$AE70)=0,"",INDEX(对接源_01水果!$F$4:$F$1203,$AE70)))</f>
      </c>
      <c r="D70" s="61">
        <f>IF($AE70="","",IF(INDEX(对接源_01水果!$G$4:$G$1203,$AE70)=0,"",INDEX(对接源_01水果!$G$4:$G$1203,$AE70)))</f>
      </c>
      <c r="E70" s="61">
        <f>IF($AE70="","",IF(INDEX(对接源_01水果!$H$4:$H$1203,$AE70)=0,"",INDEX(对接源_01水果!$H$4:$H$1203,$AE70)))</f>
      </c>
      <c r="F70" s="61">
        <f>IF($AE70="","",IF(INDEX(对接源_01水果!$I$4:$I$1203,$AE70)=0,"",INDEX(对接源_01水果!$I$4:$I$1203,$AE70)))</f>
      </c>
      <c r="G70" s="173">
        <f>IF($AE70="","",IF(INDEX(对接源_01水果!$Z$4:$Z$1203,$AE70)=0,"",INDEX(对接源_01水果!$Z$4:$Z$1203,$AE70)))</f>
      </c>
      <c r="H70" s="173">
        <f>IF($AE70="","",IF(INDEX(对接源_01水果!$AA$4:$AA$1203,$AE70)=0,"",INDEX(对接源_01水果!$AA$4:$AA$1203,$AE70)))</f>
      </c>
      <c r="I70" s="173">
        <f>IF($AE70="","",IF(INDEX(对接源_01水果!$AG$4:$AG$1203,$AE70)=0,"",INDEX(对接源_01水果!$AG$4:$AG$1203,$AE70)))</f>
      </c>
      <c r="J70" s="173">
        <f>IF($AE70="","",IF(INDEX(对接源_01水果!$AJ$4:$AJ$1203,$AE70)=0,"",INDEX(对接源_01水果!$AJ$4:$AJ$1203,$AE70)))</f>
      </c>
      <c r="K70" s="61">
        <f>IF($AE70="","",IF(INDEX(对接源_01水果!$AB$4:$AB$1203,$AE70)=0,"",INDEX(对接源_01水果!$AB$4:$AB$1203,$AE70)))</f>
      </c>
      <c r="L70" s="64">
        <f>IF($AE70="","",IF(INDEX(对接源_01水果!$M$4:$M$1203,$AE70)=0,"",INDEX(对接源_01水果!$M$4:$M$1203,$AE70)))</f>
      </c>
      <c r="AE70" s="2">
        <f>IFERROR(MATCH(65,_自动清单!$AM$4:$AM$2403,0),"")</f>
      </c>
    </row>
    <row r="71" ht="18" customHeight="1" s="127">
      <c r="A71" s="206">
        <f>IF($AE71="","",IF(INDEX(对接源_01水果!$B$4:$B$1203,$AE71)=0,"",INDEX(对接源_01水果!$B$4:$B$1203,$AE71)))</f>
      </c>
      <c r="B71" s="61">
        <f>IF($AE71="","",IF(INDEX(对接源_01水果!$E$4:$E$1203,$AE71)=0,"",INDEX(对接源_01水果!$E$4:$E$1203,$AE71)))</f>
      </c>
      <c r="C71" s="61">
        <f>IF($AE71="","",IF(INDEX(对接源_01水果!$F$4:$F$1203,$AE71)=0,"",INDEX(对接源_01水果!$F$4:$F$1203,$AE71)))</f>
      </c>
      <c r="D71" s="61">
        <f>IF($AE71="","",IF(INDEX(对接源_01水果!$G$4:$G$1203,$AE71)=0,"",INDEX(对接源_01水果!$G$4:$G$1203,$AE71)))</f>
      </c>
      <c r="E71" s="61">
        <f>IF($AE71="","",IF(INDEX(对接源_01水果!$H$4:$H$1203,$AE71)=0,"",INDEX(对接源_01水果!$H$4:$H$1203,$AE71)))</f>
      </c>
      <c r="F71" s="61">
        <f>IF($AE71="","",IF(INDEX(对接源_01水果!$I$4:$I$1203,$AE71)=0,"",INDEX(对接源_01水果!$I$4:$I$1203,$AE71)))</f>
      </c>
      <c r="G71" s="173">
        <f>IF($AE71="","",IF(INDEX(对接源_01水果!$Z$4:$Z$1203,$AE71)=0,"",INDEX(对接源_01水果!$Z$4:$Z$1203,$AE71)))</f>
      </c>
      <c r="H71" s="173">
        <f>IF($AE71="","",IF(INDEX(对接源_01水果!$AA$4:$AA$1203,$AE71)=0,"",INDEX(对接源_01水果!$AA$4:$AA$1203,$AE71)))</f>
      </c>
      <c r="I71" s="173">
        <f>IF($AE71="","",IF(INDEX(对接源_01水果!$AG$4:$AG$1203,$AE71)=0,"",INDEX(对接源_01水果!$AG$4:$AG$1203,$AE71)))</f>
      </c>
      <c r="J71" s="173">
        <f>IF($AE71="","",IF(INDEX(对接源_01水果!$AJ$4:$AJ$1203,$AE71)=0,"",INDEX(对接源_01水果!$AJ$4:$AJ$1203,$AE71)))</f>
      </c>
      <c r="K71" s="61">
        <f>IF($AE71="","",IF(INDEX(对接源_01水果!$AB$4:$AB$1203,$AE71)=0,"",INDEX(对接源_01水果!$AB$4:$AB$1203,$AE71)))</f>
      </c>
      <c r="L71" s="64">
        <f>IF($AE71="","",IF(INDEX(对接源_01水果!$M$4:$M$1203,$AE71)=0,"",INDEX(对接源_01水果!$M$4:$M$1203,$AE71)))</f>
      </c>
      <c r="AE71" s="2">
        <f>IFERROR(MATCH(66,_自动清单!$AM$4:$AM$2403,0),"")</f>
      </c>
    </row>
    <row r="72" ht="18" customHeight="1" s="127">
      <c r="A72" s="206">
        <f>IF($AE72="","",IF(INDEX(对接源_01水果!$B$4:$B$1203,$AE72)=0,"",INDEX(对接源_01水果!$B$4:$B$1203,$AE72)))</f>
      </c>
      <c r="B72" s="61">
        <f>IF($AE72="","",IF(INDEX(对接源_01水果!$E$4:$E$1203,$AE72)=0,"",INDEX(对接源_01水果!$E$4:$E$1203,$AE72)))</f>
      </c>
      <c r="C72" s="61">
        <f>IF($AE72="","",IF(INDEX(对接源_01水果!$F$4:$F$1203,$AE72)=0,"",INDEX(对接源_01水果!$F$4:$F$1203,$AE72)))</f>
      </c>
      <c r="D72" s="61">
        <f>IF($AE72="","",IF(INDEX(对接源_01水果!$G$4:$G$1203,$AE72)=0,"",INDEX(对接源_01水果!$G$4:$G$1203,$AE72)))</f>
      </c>
      <c r="E72" s="61">
        <f>IF($AE72="","",IF(INDEX(对接源_01水果!$H$4:$H$1203,$AE72)=0,"",INDEX(对接源_01水果!$H$4:$H$1203,$AE72)))</f>
      </c>
      <c r="F72" s="61">
        <f>IF($AE72="","",IF(INDEX(对接源_01水果!$I$4:$I$1203,$AE72)=0,"",INDEX(对接源_01水果!$I$4:$I$1203,$AE72)))</f>
      </c>
      <c r="G72" s="173">
        <f>IF($AE72="","",IF(INDEX(对接源_01水果!$Z$4:$Z$1203,$AE72)=0,"",INDEX(对接源_01水果!$Z$4:$Z$1203,$AE72)))</f>
      </c>
      <c r="H72" s="173">
        <f>IF($AE72="","",IF(INDEX(对接源_01水果!$AA$4:$AA$1203,$AE72)=0,"",INDEX(对接源_01水果!$AA$4:$AA$1203,$AE72)))</f>
      </c>
      <c r="I72" s="173">
        <f>IF($AE72="","",IF(INDEX(对接源_01水果!$AG$4:$AG$1203,$AE72)=0,"",INDEX(对接源_01水果!$AG$4:$AG$1203,$AE72)))</f>
      </c>
      <c r="J72" s="173">
        <f>IF($AE72="","",IF(INDEX(对接源_01水果!$AJ$4:$AJ$1203,$AE72)=0,"",INDEX(对接源_01水果!$AJ$4:$AJ$1203,$AE72)))</f>
      </c>
      <c r="K72" s="61">
        <f>IF($AE72="","",IF(INDEX(对接源_01水果!$AB$4:$AB$1203,$AE72)=0,"",INDEX(对接源_01水果!$AB$4:$AB$1203,$AE72)))</f>
      </c>
      <c r="L72" s="64">
        <f>IF($AE72="","",IF(INDEX(对接源_01水果!$M$4:$M$1203,$AE72)=0,"",INDEX(对接源_01水果!$M$4:$M$1203,$AE72)))</f>
      </c>
      <c r="AE72" s="2">
        <f>IFERROR(MATCH(67,_自动清单!$AM$4:$AM$2403,0),"")</f>
      </c>
    </row>
    <row r="73" ht="18" customHeight="1" s="127">
      <c r="A73" s="206">
        <f>IF($AE73="","",IF(INDEX(对接源_01水果!$B$4:$B$1203,$AE73)=0,"",INDEX(对接源_01水果!$B$4:$B$1203,$AE73)))</f>
      </c>
      <c r="B73" s="61">
        <f>IF($AE73="","",IF(INDEX(对接源_01水果!$E$4:$E$1203,$AE73)=0,"",INDEX(对接源_01水果!$E$4:$E$1203,$AE73)))</f>
      </c>
      <c r="C73" s="61">
        <f>IF($AE73="","",IF(INDEX(对接源_01水果!$F$4:$F$1203,$AE73)=0,"",INDEX(对接源_01水果!$F$4:$F$1203,$AE73)))</f>
      </c>
      <c r="D73" s="61">
        <f>IF($AE73="","",IF(INDEX(对接源_01水果!$G$4:$G$1203,$AE73)=0,"",INDEX(对接源_01水果!$G$4:$G$1203,$AE73)))</f>
      </c>
      <c r="E73" s="61">
        <f>IF($AE73="","",IF(INDEX(对接源_01水果!$H$4:$H$1203,$AE73)=0,"",INDEX(对接源_01水果!$H$4:$H$1203,$AE73)))</f>
      </c>
      <c r="F73" s="61">
        <f>IF($AE73="","",IF(INDEX(对接源_01水果!$I$4:$I$1203,$AE73)=0,"",INDEX(对接源_01水果!$I$4:$I$1203,$AE73)))</f>
      </c>
      <c r="G73" s="173">
        <f>IF($AE73="","",IF(INDEX(对接源_01水果!$Z$4:$Z$1203,$AE73)=0,"",INDEX(对接源_01水果!$Z$4:$Z$1203,$AE73)))</f>
      </c>
      <c r="H73" s="173">
        <f>IF($AE73="","",IF(INDEX(对接源_01水果!$AA$4:$AA$1203,$AE73)=0,"",INDEX(对接源_01水果!$AA$4:$AA$1203,$AE73)))</f>
      </c>
      <c r="I73" s="173">
        <f>IF($AE73="","",IF(INDEX(对接源_01水果!$AG$4:$AG$1203,$AE73)=0,"",INDEX(对接源_01水果!$AG$4:$AG$1203,$AE73)))</f>
      </c>
      <c r="J73" s="173">
        <f>IF($AE73="","",IF(INDEX(对接源_01水果!$AJ$4:$AJ$1203,$AE73)=0,"",INDEX(对接源_01水果!$AJ$4:$AJ$1203,$AE73)))</f>
      </c>
      <c r="K73" s="61">
        <f>IF($AE73="","",IF(INDEX(对接源_01水果!$AB$4:$AB$1203,$AE73)=0,"",INDEX(对接源_01水果!$AB$4:$AB$1203,$AE73)))</f>
      </c>
      <c r="L73" s="64">
        <f>IF($AE73="","",IF(INDEX(对接源_01水果!$M$4:$M$1203,$AE73)=0,"",INDEX(对接源_01水果!$M$4:$M$1203,$AE73)))</f>
      </c>
      <c r="AE73" s="2">
        <f>IFERROR(MATCH(68,_自动清单!$AM$4:$AM$2403,0),"")</f>
      </c>
    </row>
    <row r="74" ht="18" customHeight="1" s="127">
      <c r="A74" s="206">
        <f>IF($AE74="","",IF(INDEX(对接源_01水果!$B$4:$B$1203,$AE74)=0,"",INDEX(对接源_01水果!$B$4:$B$1203,$AE74)))</f>
      </c>
      <c r="B74" s="61">
        <f>IF($AE74="","",IF(INDEX(对接源_01水果!$E$4:$E$1203,$AE74)=0,"",INDEX(对接源_01水果!$E$4:$E$1203,$AE74)))</f>
      </c>
      <c r="C74" s="61">
        <f>IF($AE74="","",IF(INDEX(对接源_01水果!$F$4:$F$1203,$AE74)=0,"",INDEX(对接源_01水果!$F$4:$F$1203,$AE74)))</f>
      </c>
      <c r="D74" s="61">
        <f>IF($AE74="","",IF(INDEX(对接源_01水果!$G$4:$G$1203,$AE74)=0,"",INDEX(对接源_01水果!$G$4:$G$1203,$AE74)))</f>
      </c>
      <c r="E74" s="61">
        <f>IF($AE74="","",IF(INDEX(对接源_01水果!$H$4:$H$1203,$AE74)=0,"",INDEX(对接源_01水果!$H$4:$H$1203,$AE74)))</f>
      </c>
      <c r="F74" s="61">
        <f>IF($AE74="","",IF(INDEX(对接源_01水果!$I$4:$I$1203,$AE74)=0,"",INDEX(对接源_01水果!$I$4:$I$1203,$AE74)))</f>
      </c>
      <c r="G74" s="173">
        <f>IF($AE74="","",IF(INDEX(对接源_01水果!$Z$4:$Z$1203,$AE74)=0,"",INDEX(对接源_01水果!$Z$4:$Z$1203,$AE74)))</f>
      </c>
      <c r="H74" s="173">
        <f>IF($AE74="","",IF(INDEX(对接源_01水果!$AA$4:$AA$1203,$AE74)=0,"",INDEX(对接源_01水果!$AA$4:$AA$1203,$AE74)))</f>
      </c>
      <c r="I74" s="173">
        <f>IF($AE74="","",IF(INDEX(对接源_01水果!$AG$4:$AG$1203,$AE74)=0,"",INDEX(对接源_01水果!$AG$4:$AG$1203,$AE74)))</f>
      </c>
      <c r="J74" s="173">
        <f>IF($AE74="","",IF(INDEX(对接源_01水果!$AJ$4:$AJ$1203,$AE74)=0,"",INDEX(对接源_01水果!$AJ$4:$AJ$1203,$AE74)))</f>
      </c>
      <c r="K74" s="61">
        <f>IF($AE74="","",IF(INDEX(对接源_01水果!$AB$4:$AB$1203,$AE74)=0,"",INDEX(对接源_01水果!$AB$4:$AB$1203,$AE74)))</f>
      </c>
      <c r="L74" s="64">
        <f>IF($AE74="","",IF(INDEX(对接源_01水果!$M$4:$M$1203,$AE74)=0,"",INDEX(对接源_01水果!$M$4:$M$1203,$AE74)))</f>
      </c>
      <c r="AE74" s="2">
        <f>IFERROR(MATCH(69,_自动清单!$AM$4:$AM$2403,0),"")</f>
      </c>
    </row>
    <row r="75" ht="18" customHeight="1" s="127">
      <c r="A75" s="206">
        <f>IF($AE75="","",IF(INDEX(对接源_01水果!$B$4:$B$1203,$AE75)=0,"",INDEX(对接源_01水果!$B$4:$B$1203,$AE75)))</f>
      </c>
      <c r="B75" s="61">
        <f>IF($AE75="","",IF(INDEX(对接源_01水果!$E$4:$E$1203,$AE75)=0,"",INDEX(对接源_01水果!$E$4:$E$1203,$AE75)))</f>
      </c>
      <c r="C75" s="61">
        <f>IF($AE75="","",IF(INDEX(对接源_01水果!$F$4:$F$1203,$AE75)=0,"",INDEX(对接源_01水果!$F$4:$F$1203,$AE75)))</f>
      </c>
      <c r="D75" s="61">
        <f>IF($AE75="","",IF(INDEX(对接源_01水果!$G$4:$G$1203,$AE75)=0,"",INDEX(对接源_01水果!$G$4:$G$1203,$AE75)))</f>
      </c>
      <c r="E75" s="61">
        <f>IF($AE75="","",IF(INDEX(对接源_01水果!$H$4:$H$1203,$AE75)=0,"",INDEX(对接源_01水果!$H$4:$H$1203,$AE75)))</f>
      </c>
      <c r="F75" s="61">
        <f>IF($AE75="","",IF(INDEX(对接源_01水果!$I$4:$I$1203,$AE75)=0,"",INDEX(对接源_01水果!$I$4:$I$1203,$AE75)))</f>
      </c>
      <c r="G75" s="173">
        <f>IF($AE75="","",IF(INDEX(对接源_01水果!$Z$4:$Z$1203,$AE75)=0,"",INDEX(对接源_01水果!$Z$4:$Z$1203,$AE75)))</f>
      </c>
      <c r="H75" s="173">
        <f>IF($AE75="","",IF(INDEX(对接源_01水果!$AA$4:$AA$1203,$AE75)=0,"",INDEX(对接源_01水果!$AA$4:$AA$1203,$AE75)))</f>
      </c>
      <c r="I75" s="173">
        <f>IF($AE75="","",IF(INDEX(对接源_01水果!$AG$4:$AG$1203,$AE75)=0,"",INDEX(对接源_01水果!$AG$4:$AG$1203,$AE75)))</f>
      </c>
      <c r="J75" s="173">
        <f>IF($AE75="","",IF(INDEX(对接源_01水果!$AJ$4:$AJ$1203,$AE75)=0,"",INDEX(对接源_01水果!$AJ$4:$AJ$1203,$AE75)))</f>
      </c>
      <c r="K75" s="61">
        <f>IF($AE75="","",IF(INDEX(对接源_01水果!$AB$4:$AB$1203,$AE75)=0,"",INDEX(对接源_01水果!$AB$4:$AB$1203,$AE75)))</f>
      </c>
      <c r="L75" s="64">
        <f>IF($AE75="","",IF(INDEX(对接源_01水果!$M$4:$M$1203,$AE75)=0,"",INDEX(对接源_01水果!$M$4:$M$1203,$AE75)))</f>
      </c>
      <c r="AE75" s="2">
        <f>IFERROR(MATCH(70,_自动清单!$AM$4:$AM$2403,0),"")</f>
      </c>
    </row>
    <row r="76" ht="18" customHeight="1" s="127">
      <c r="A76" s="206">
        <f>IF($AE76="","",IF(INDEX(对接源_01水果!$B$4:$B$1203,$AE76)=0,"",INDEX(对接源_01水果!$B$4:$B$1203,$AE76)))</f>
      </c>
      <c r="B76" s="61">
        <f>IF($AE76="","",IF(INDEX(对接源_01水果!$E$4:$E$1203,$AE76)=0,"",INDEX(对接源_01水果!$E$4:$E$1203,$AE76)))</f>
      </c>
      <c r="C76" s="61">
        <f>IF($AE76="","",IF(INDEX(对接源_01水果!$F$4:$F$1203,$AE76)=0,"",INDEX(对接源_01水果!$F$4:$F$1203,$AE76)))</f>
      </c>
      <c r="D76" s="61">
        <f>IF($AE76="","",IF(INDEX(对接源_01水果!$G$4:$G$1203,$AE76)=0,"",INDEX(对接源_01水果!$G$4:$G$1203,$AE76)))</f>
      </c>
      <c r="E76" s="61">
        <f>IF($AE76="","",IF(INDEX(对接源_01水果!$H$4:$H$1203,$AE76)=0,"",INDEX(对接源_01水果!$H$4:$H$1203,$AE76)))</f>
      </c>
      <c r="F76" s="61">
        <f>IF($AE76="","",IF(INDEX(对接源_01水果!$I$4:$I$1203,$AE76)=0,"",INDEX(对接源_01水果!$I$4:$I$1203,$AE76)))</f>
      </c>
      <c r="G76" s="173">
        <f>IF($AE76="","",IF(INDEX(对接源_01水果!$Z$4:$Z$1203,$AE76)=0,"",INDEX(对接源_01水果!$Z$4:$Z$1203,$AE76)))</f>
      </c>
      <c r="H76" s="173">
        <f>IF($AE76="","",IF(INDEX(对接源_01水果!$AA$4:$AA$1203,$AE76)=0,"",INDEX(对接源_01水果!$AA$4:$AA$1203,$AE76)))</f>
      </c>
      <c r="I76" s="173">
        <f>IF($AE76="","",IF(INDEX(对接源_01水果!$AG$4:$AG$1203,$AE76)=0,"",INDEX(对接源_01水果!$AG$4:$AG$1203,$AE76)))</f>
      </c>
      <c r="J76" s="173">
        <f>IF($AE76="","",IF(INDEX(对接源_01水果!$AJ$4:$AJ$1203,$AE76)=0,"",INDEX(对接源_01水果!$AJ$4:$AJ$1203,$AE76)))</f>
      </c>
      <c r="K76" s="61">
        <f>IF($AE76="","",IF(INDEX(对接源_01水果!$AB$4:$AB$1203,$AE76)=0,"",INDEX(对接源_01水果!$AB$4:$AB$1203,$AE76)))</f>
      </c>
      <c r="L76" s="64">
        <f>IF($AE76="","",IF(INDEX(对接源_01水果!$M$4:$M$1203,$AE76)=0,"",INDEX(对接源_01水果!$M$4:$M$1203,$AE76)))</f>
      </c>
      <c r="AE76" s="2">
        <f>IFERROR(MATCH(71,_自动清单!$AM$4:$AM$2403,0),"")</f>
      </c>
    </row>
    <row r="77" ht="18" customHeight="1" s="127">
      <c r="A77" s="206">
        <f>IF($AE77="","",IF(INDEX(对接源_01水果!$B$4:$B$1203,$AE77)=0,"",INDEX(对接源_01水果!$B$4:$B$1203,$AE77)))</f>
      </c>
      <c r="B77" s="61">
        <f>IF($AE77="","",IF(INDEX(对接源_01水果!$E$4:$E$1203,$AE77)=0,"",INDEX(对接源_01水果!$E$4:$E$1203,$AE77)))</f>
      </c>
      <c r="C77" s="61">
        <f>IF($AE77="","",IF(INDEX(对接源_01水果!$F$4:$F$1203,$AE77)=0,"",INDEX(对接源_01水果!$F$4:$F$1203,$AE77)))</f>
      </c>
      <c r="D77" s="61">
        <f>IF($AE77="","",IF(INDEX(对接源_01水果!$G$4:$G$1203,$AE77)=0,"",INDEX(对接源_01水果!$G$4:$G$1203,$AE77)))</f>
      </c>
      <c r="E77" s="61">
        <f>IF($AE77="","",IF(INDEX(对接源_01水果!$H$4:$H$1203,$AE77)=0,"",INDEX(对接源_01水果!$H$4:$H$1203,$AE77)))</f>
      </c>
      <c r="F77" s="61">
        <f>IF($AE77="","",IF(INDEX(对接源_01水果!$I$4:$I$1203,$AE77)=0,"",INDEX(对接源_01水果!$I$4:$I$1203,$AE77)))</f>
      </c>
      <c r="G77" s="173">
        <f>IF($AE77="","",IF(INDEX(对接源_01水果!$Z$4:$Z$1203,$AE77)=0,"",INDEX(对接源_01水果!$Z$4:$Z$1203,$AE77)))</f>
      </c>
      <c r="H77" s="173">
        <f>IF($AE77="","",IF(INDEX(对接源_01水果!$AA$4:$AA$1203,$AE77)=0,"",INDEX(对接源_01水果!$AA$4:$AA$1203,$AE77)))</f>
      </c>
      <c r="I77" s="173">
        <f>IF($AE77="","",IF(INDEX(对接源_01水果!$AG$4:$AG$1203,$AE77)=0,"",INDEX(对接源_01水果!$AG$4:$AG$1203,$AE77)))</f>
      </c>
      <c r="J77" s="173">
        <f>IF($AE77="","",IF(INDEX(对接源_01水果!$AJ$4:$AJ$1203,$AE77)=0,"",INDEX(对接源_01水果!$AJ$4:$AJ$1203,$AE77)))</f>
      </c>
      <c r="K77" s="61">
        <f>IF($AE77="","",IF(INDEX(对接源_01水果!$AB$4:$AB$1203,$AE77)=0,"",INDEX(对接源_01水果!$AB$4:$AB$1203,$AE77)))</f>
      </c>
      <c r="L77" s="64">
        <f>IF($AE77="","",IF(INDEX(对接源_01水果!$M$4:$M$1203,$AE77)=0,"",INDEX(对接源_01水果!$M$4:$M$1203,$AE77)))</f>
      </c>
      <c r="AE77" s="2">
        <f>IFERROR(MATCH(72,_自动清单!$AM$4:$AM$2403,0),"")</f>
      </c>
    </row>
    <row r="78" ht="18" customHeight="1" s="127">
      <c r="A78" s="206">
        <f>IF($AE78="","",IF(INDEX(对接源_01水果!$B$4:$B$1203,$AE78)=0,"",INDEX(对接源_01水果!$B$4:$B$1203,$AE78)))</f>
      </c>
      <c r="B78" s="61">
        <f>IF($AE78="","",IF(INDEX(对接源_01水果!$E$4:$E$1203,$AE78)=0,"",INDEX(对接源_01水果!$E$4:$E$1203,$AE78)))</f>
      </c>
      <c r="C78" s="61">
        <f>IF($AE78="","",IF(INDEX(对接源_01水果!$F$4:$F$1203,$AE78)=0,"",INDEX(对接源_01水果!$F$4:$F$1203,$AE78)))</f>
      </c>
      <c r="D78" s="61">
        <f>IF($AE78="","",IF(INDEX(对接源_01水果!$G$4:$G$1203,$AE78)=0,"",INDEX(对接源_01水果!$G$4:$G$1203,$AE78)))</f>
      </c>
      <c r="E78" s="61">
        <f>IF($AE78="","",IF(INDEX(对接源_01水果!$H$4:$H$1203,$AE78)=0,"",INDEX(对接源_01水果!$H$4:$H$1203,$AE78)))</f>
      </c>
      <c r="F78" s="61">
        <f>IF($AE78="","",IF(INDEX(对接源_01水果!$I$4:$I$1203,$AE78)=0,"",INDEX(对接源_01水果!$I$4:$I$1203,$AE78)))</f>
      </c>
      <c r="G78" s="173">
        <f>IF($AE78="","",IF(INDEX(对接源_01水果!$Z$4:$Z$1203,$AE78)=0,"",INDEX(对接源_01水果!$Z$4:$Z$1203,$AE78)))</f>
      </c>
      <c r="H78" s="173">
        <f>IF($AE78="","",IF(INDEX(对接源_01水果!$AA$4:$AA$1203,$AE78)=0,"",INDEX(对接源_01水果!$AA$4:$AA$1203,$AE78)))</f>
      </c>
      <c r="I78" s="173">
        <f>IF($AE78="","",IF(INDEX(对接源_01水果!$AG$4:$AG$1203,$AE78)=0,"",INDEX(对接源_01水果!$AG$4:$AG$1203,$AE78)))</f>
      </c>
      <c r="J78" s="173">
        <f>IF($AE78="","",IF(INDEX(对接源_01水果!$AJ$4:$AJ$1203,$AE78)=0,"",INDEX(对接源_01水果!$AJ$4:$AJ$1203,$AE78)))</f>
      </c>
      <c r="K78" s="61">
        <f>IF($AE78="","",IF(INDEX(对接源_01水果!$AB$4:$AB$1203,$AE78)=0,"",INDEX(对接源_01水果!$AB$4:$AB$1203,$AE78)))</f>
      </c>
      <c r="L78" s="64">
        <f>IF($AE78="","",IF(INDEX(对接源_01水果!$M$4:$M$1203,$AE78)=0,"",INDEX(对接源_01水果!$M$4:$M$1203,$AE78)))</f>
      </c>
      <c r="AE78" s="2">
        <f>IFERROR(MATCH(73,_自动清单!$AM$4:$AM$2403,0),"")</f>
      </c>
    </row>
    <row r="79" ht="18" customHeight="1" s="127">
      <c r="A79" s="206">
        <f>IF($AE79="","",IF(INDEX(对接源_01水果!$B$4:$B$1203,$AE79)=0,"",INDEX(对接源_01水果!$B$4:$B$1203,$AE79)))</f>
      </c>
      <c r="B79" s="61">
        <f>IF($AE79="","",IF(INDEX(对接源_01水果!$E$4:$E$1203,$AE79)=0,"",INDEX(对接源_01水果!$E$4:$E$1203,$AE79)))</f>
      </c>
      <c r="C79" s="61">
        <f>IF($AE79="","",IF(INDEX(对接源_01水果!$F$4:$F$1203,$AE79)=0,"",INDEX(对接源_01水果!$F$4:$F$1203,$AE79)))</f>
      </c>
      <c r="D79" s="61">
        <f>IF($AE79="","",IF(INDEX(对接源_01水果!$G$4:$G$1203,$AE79)=0,"",INDEX(对接源_01水果!$G$4:$G$1203,$AE79)))</f>
      </c>
      <c r="E79" s="61">
        <f>IF($AE79="","",IF(INDEX(对接源_01水果!$H$4:$H$1203,$AE79)=0,"",INDEX(对接源_01水果!$H$4:$H$1203,$AE79)))</f>
      </c>
      <c r="F79" s="61">
        <f>IF($AE79="","",IF(INDEX(对接源_01水果!$I$4:$I$1203,$AE79)=0,"",INDEX(对接源_01水果!$I$4:$I$1203,$AE79)))</f>
      </c>
      <c r="G79" s="173">
        <f>IF($AE79="","",IF(INDEX(对接源_01水果!$Z$4:$Z$1203,$AE79)=0,"",INDEX(对接源_01水果!$Z$4:$Z$1203,$AE79)))</f>
      </c>
      <c r="H79" s="173">
        <f>IF($AE79="","",IF(INDEX(对接源_01水果!$AA$4:$AA$1203,$AE79)=0,"",INDEX(对接源_01水果!$AA$4:$AA$1203,$AE79)))</f>
      </c>
      <c r="I79" s="173">
        <f>IF($AE79="","",IF(INDEX(对接源_01水果!$AG$4:$AG$1203,$AE79)=0,"",INDEX(对接源_01水果!$AG$4:$AG$1203,$AE79)))</f>
      </c>
      <c r="J79" s="173">
        <f>IF($AE79="","",IF(INDEX(对接源_01水果!$AJ$4:$AJ$1203,$AE79)=0,"",INDEX(对接源_01水果!$AJ$4:$AJ$1203,$AE79)))</f>
      </c>
      <c r="K79" s="61">
        <f>IF($AE79="","",IF(INDEX(对接源_01水果!$AB$4:$AB$1203,$AE79)=0,"",INDEX(对接源_01水果!$AB$4:$AB$1203,$AE79)))</f>
      </c>
      <c r="L79" s="64">
        <f>IF($AE79="","",IF(INDEX(对接源_01水果!$M$4:$M$1203,$AE79)=0,"",INDEX(对接源_01水果!$M$4:$M$1203,$AE79)))</f>
      </c>
      <c r="AE79" s="2">
        <f>IFERROR(MATCH(74,_自动清单!$AM$4:$AM$2403,0),"")</f>
      </c>
    </row>
    <row r="80" ht="18" customHeight="1" s="127">
      <c r="A80" s="206">
        <f>IF($AE80="","",IF(INDEX(对接源_01水果!$B$4:$B$1203,$AE80)=0,"",INDEX(对接源_01水果!$B$4:$B$1203,$AE80)))</f>
      </c>
      <c r="B80" s="61">
        <f>IF($AE80="","",IF(INDEX(对接源_01水果!$E$4:$E$1203,$AE80)=0,"",INDEX(对接源_01水果!$E$4:$E$1203,$AE80)))</f>
      </c>
      <c r="C80" s="61">
        <f>IF($AE80="","",IF(INDEX(对接源_01水果!$F$4:$F$1203,$AE80)=0,"",INDEX(对接源_01水果!$F$4:$F$1203,$AE80)))</f>
      </c>
      <c r="D80" s="61">
        <f>IF($AE80="","",IF(INDEX(对接源_01水果!$G$4:$G$1203,$AE80)=0,"",INDEX(对接源_01水果!$G$4:$G$1203,$AE80)))</f>
      </c>
      <c r="E80" s="61">
        <f>IF($AE80="","",IF(INDEX(对接源_01水果!$H$4:$H$1203,$AE80)=0,"",INDEX(对接源_01水果!$H$4:$H$1203,$AE80)))</f>
      </c>
      <c r="F80" s="61">
        <f>IF($AE80="","",IF(INDEX(对接源_01水果!$I$4:$I$1203,$AE80)=0,"",INDEX(对接源_01水果!$I$4:$I$1203,$AE80)))</f>
      </c>
      <c r="G80" s="173">
        <f>IF($AE80="","",IF(INDEX(对接源_01水果!$Z$4:$Z$1203,$AE80)=0,"",INDEX(对接源_01水果!$Z$4:$Z$1203,$AE80)))</f>
      </c>
      <c r="H80" s="173">
        <f>IF($AE80="","",IF(INDEX(对接源_01水果!$AA$4:$AA$1203,$AE80)=0,"",INDEX(对接源_01水果!$AA$4:$AA$1203,$AE80)))</f>
      </c>
      <c r="I80" s="173">
        <f>IF($AE80="","",IF(INDEX(对接源_01水果!$AG$4:$AG$1203,$AE80)=0,"",INDEX(对接源_01水果!$AG$4:$AG$1203,$AE80)))</f>
      </c>
      <c r="J80" s="173">
        <f>IF($AE80="","",IF(INDEX(对接源_01水果!$AJ$4:$AJ$1203,$AE80)=0,"",INDEX(对接源_01水果!$AJ$4:$AJ$1203,$AE80)))</f>
      </c>
      <c r="K80" s="61">
        <f>IF($AE80="","",IF(INDEX(对接源_01水果!$AB$4:$AB$1203,$AE80)=0,"",INDEX(对接源_01水果!$AB$4:$AB$1203,$AE80)))</f>
      </c>
      <c r="L80" s="64">
        <f>IF($AE80="","",IF(INDEX(对接源_01水果!$M$4:$M$1203,$AE80)=0,"",INDEX(对接源_01水果!$M$4:$M$1203,$AE80)))</f>
      </c>
      <c r="AE80" s="2">
        <f>IFERROR(MATCH(75,_自动清单!$AM$4:$AM$2403,0),"")</f>
      </c>
    </row>
    <row r="81" ht="18" customHeight="1" s="127">
      <c r="A81" s="206">
        <f>IF($AE81="","",IF(INDEX(对接源_01水果!$B$4:$B$1203,$AE81)=0,"",INDEX(对接源_01水果!$B$4:$B$1203,$AE81)))</f>
      </c>
      <c r="B81" s="61">
        <f>IF($AE81="","",IF(INDEX(对接源_01水果!$E$4:$E$1203,$AE81)=0,"",INDEX(对接源_01水果!$E$4:$E$1203,$AE81)))</f>
      </c>
      <c r="C81" s="61">
        <f>IF($AE81="","",IF(INDEX(对接源_01水果!$F$4:$F$1203,$AE81)=0,"",INDEX(对接源_01水果!$F$4:$F$1203,$AE81)))</f>
      </c>
      <c r="D81" s="61">
        <f>IF($AE81="","",IF(INDEX(对接源_01水果!$G$4:$G$1203,$AE81)=0,"",INDEX(对接源_01水果!$G$4:$G$1203,$AE81)))</f>
      </c>
      <c r="E81" s="61">
        <f>IF($AE81="","",IF(INDEX(对接源_01水果!$H$4:$H$1203,$AE81)=0,"",INDEX(对接源_01水果!$H$4:$H$1203,$AE81)))</f>
      </c>
      <c r="F81" s="61">
        <f>IF($AE81="","",IF(INDEX(对接源_01水果!$I$4:$I$1203,$AE81)=0,"",INDEX(对接源_01水果!$I$4:$I$1203,$AE81)))</f>
      </c>
      <c r="G81" s="173">
        <f>IF($AE81="","",IF(INDEX(对接源_01水果!$Z$4:$Z$1203,$AE81)=0,"",INDEX(对接源_01水果!$Z$4:$Z$1203,$AE81)))</f>
      </c>
      <c r="H81" s="173">
        <f>IF($AE81="","",IF(INDEX(对接源_01水果!$AA$4:$AA$1203,$AE81)=0,"",INDEX(对接源_01水果!$AA$4:$AA$1203,$AE81)))</f>
      </c>
      <c r="I81" s="173">
        <f>IF($AE81="","",IF(INDEX(对接源_01水果!$AG$4:$AG$1203,$AE81)=0,"",INDEX(对接源_01水果!$AG$4:$AG$1203,$AE81)))</f>
      </c>
      <c r="J81" s="173">
        <f>IF($AE81="","",IF(INDEX(对接源_01水果!$AJ$4:$AJ$1203,$AE81)=0,"",INDEX(对接源_01水果!$AJ$4:$AJ$1203,$AE81)))</f>
      </c>
      <c r="K81" s="61">
        <f>IF($AE81="","",IF(INDEX(对接源_01水果!$AB$4:$AB$1203,$AE81)=0,"",INDEX(对接源_01水果!$AB$4:$AB$1203,$AE81)))</f>
      </c>
      <c r="L81" s="64">
        <f>IF($AE81="","",IF(INDEX(对接源_01水果!$M$4:$M$1203,$AE81)=0,"",INDEX(对接源_01水果!$M$4:$M$1203,$AE81)))</f>
      </c>
      <c r="AE81" s="2">
        <f>IFERROR(MATCH(76,_自动清单!$AM$4:$AM$2403,0),"")</f>
      </c>
    </row>
    <row r="82" ht="18" customHeight="1" s="127">
      <c r="A82" s="206">
        <f>IF($AE82="","",IF(INDEX(对接源_01水果!$B$4:$B$1203,$AE82)=0,"",INDEX(对接源_01水果!$B$4:$B$1203,$AE82)))</f>
      </c>
      <c r="B82" s="61">
        <f>IF($AE82="","",IF(INDEX(对接源_01水果!$E$4:$E$1203,$AE82)=0,"",INDEX(对接源_01水果!$E$4:$E$1203,$AE82)))</f>
      </c>
      <c r="C82" s="61">
        <f>IF($AE82="","",IF(INDEX(对接源_01水果!$F$4:$F$1203,$AE82)=0,"",INDEX(对接源_01水果!$F$4:$F$1203,$AE82)))</f>
      </c>
      <c r="D82" s="61">
        <f>IF($AE82="","",IF(INDEX(对接源_01水果!$G$4:$G$1203,$AE82)=0,"",INDEX(对接源_01水果!$G$4:$G$1203,$AE82)))</f>
      </c>
      <c r="E82" s="61">
        <f>IF($AE82="","",IF(INDEX(对接源_01水果!$H$4:$H$1203,$AE82)=0,"",INDEX(对接源_01水果!$H$4:$H$1203,$AE82)))</f>
      </c>
      <c r="F82" s="61">
        <f>IF($AE82="","",IF(INDEX(对接源_01水果!$I$4:$I$1203,$AE82)=0,"",INDEX(对接源_01水果!$I$4:$I$1203,$AE82)))</f>
      </c>
      <c r="G82" s="173">
        <f>IF($AE82="","",IF(INDEX(对接源_01水果!$Z$4:$Z$1203,$AE82)=0,"",INDEX(对接源_01水果!$Z$4:$Z$1203,$AE82)))</f>
      </c>
      <c r="H82" s="173">
        <f>IF($AE82="","",IF(INDEX(对接源_01水果!$AA$4:$AA$1203,$AE82)=0,"",INDEX(对接源_01水果!$AA$4:$AA$1203,$AE82)))</f>
      </c>
      <c r="I82" s="173">
        <f>IF($AE82="","",IF(INDEX(对接源_01水果!$AG$4:$AG$1203,$AE82)=0,"",INDEX(对接源_01水果!$AG$4:$AG$1203,$AE82)))</f>
      </c>
      <c r="J82" s="173">
        <f>IF($AE82="","",IF(INDEX(对接源_01水果!$AJ$4:$AJ$1203,$AE82)=0,"",INDEX(对接源_01水果!$AJ$4:$AJ$1203,$AE82)))</f>
      </c>
      <c r="K82" s="61">
        <f>IF($AE82="","",IF(INDEX(对接源_01水果!$AB$4:$AB$1203,$AE82)=0,"",INDEX(对接源_01水果!$AB$4:$AB$1203,$AE82)))</f>
      </c>
      <c r="L82" s="64">
        <f>IF($AE82="","",IF(INDEX(对接源_01水果!$M$4:$M$1203,$AE82)=0,"",INDEX(对接源_01水果!$M$4:$M$1203,$AE82)))</f>
      </c>
      <c r="AE82" s="2">
        <f>IFERROR(MATCH(77,_自动清单!$AM$4:$AM$2403,0),"")</f>
      </c>
    </row>
    <row r="83" ht="18" customHeight="1" s="127">
      <c r="A83" s="206">
        <f>IF($AE83="","",IF(INDEX(对接源_01水果!$B$4:$B$1203,$AE83)=0,"",INDEX(对接源_01水果!$B$4:$B$1203,$AE83)))</f>
      </c>
      <c r="B83" s="61">
        <f>IF($AE83="","",IF(INDEX(对接源_01水果!$E$4:$E$1203,$AE83)=0,"",INDEX(对接源_01水果!$E$4:$E$1203,$AE83)))</f>
      </c>
      <c r="C83" s="61">
        <f>IF($AE83="","",IF(INDEX(对接源_01水果!$F$4:$F$1203,$AE83)=0,"",INDEX(对接源_01水果!$F$4:$F$1203,$AE83)))</f>
      </c>
      <c r="D83" s="61">
        <f>IF($AE83="","",IF(INDEX(对接源_01水果!$G$4:$G$1203,$AE83)=0,"",INDEX(对接源_01水果!$G$4:$G$1203,$AE83)))</f>
      </c>
      <c r="E83" s="61">
        <f>IF($AE83="","",IF(INDEX(对接源_01水果!$H$4:$H$1203,$AE83)=0,"",INDEX(对接源_01水果!$H$4:$H$1203,$AE83)))</f>
      </c>
      <c r="F83" s="61">
        <f>IF($AE83="","",IF(INDEX(对接源_01水果!$I$4:$I$1203,$AE83)=0,"",INDEX(对接源_01水果!$I$4:$I$1203,$AE83)))</f>
      </c>
      <c r="G83" s="173">
        <f>IF($AE83="","",IF(INDEX(对接源_01水果!$Z$4:$Z$1203,$AE83)=0,"",INDEX(对接源_01水果!$Z$4:$Z$1203,$AE83)))</f>
      </c>
      <c r="H83" s="173">
        <f>IF($AE83="","",IF(INDEX(对接源_01水果!$AA$4:$AA$1203,$AE83)=0,"",INDEX(对接源_01水果!$AA$4:$AA$1203,$AE83)))</f>
      </c>
      <c r="I83" s="173">
        <f>IF($AE83="","",IF(INDEX(对接源_01水果!$AG$4:$AG$1203,$AE83)=0,"",INDEX(对接源_01水果!$AG$4:$AG$1203,$AE83)))</f>
      </c>
      <c r="J83" s="173">
        <f>IF($AE83="","",IF(INDEX(对接源_01水果!$AJ$4:$AJ$1203,$AE83)=0,"",INDEX(对接源_01水果!$AJ$4:$AJ$1203,$AE83)))</f>
      </c>
      <c r="K83" s="61">
        <f>IF($AE83="","",IF(INDEX(对接源_01水果!$AB$4:$AB$1203,$AE83)=0,"",INDEX(对接源_01水果!$AB$4:$AB$1203,$AE83)))</f>
      </c>
      <c r="L83" s="64">
        <f>IF($AE83="","",IF(INDEX(对接源_01水果!$M$4:$M$1203,$AE83)=0,"",INDEX(对接源_01水果!$M$4:$M$1203,$AE83)))</f>
      </c>
      <c r="AE83" s="2">
        <f>IFERROR(MATCH(78,_自动清单!$AM$4:$AM$2403,0),"")</f>
      </c>
    </row>
    <row r="84" ht="18" customHeight="1" s="127">
      <c r="A84" s="206">
        <f>IF($AE84="","",IF(INDEX(对接源_01水果!$B$4:$B$1203,$AE84)=0,"",INDEX(对接源_01水果!$B$4:$B$1203,$AE84)))</f>
      </c>
      <c r="B84" s="61">
        <f>IF($AE84="","",IF(INDEX(对接源_01水果!$E$4:$E$1203,$AE84)=0,"",INDEX(对接源_01水果!$E$4:$E$1203,$AE84)))</f>
      </c>
      <c r="C84" s="61">
        <f>IF($AE84="","",IF(INDEX(对接源_01水果!$F$4:$F$1203,$AE84)=0,"",INDEX(对接源_01水果!$F$4:$F$1203,$AE84)))</f>
      </c>
      <c r="D84" s="61">
        <f>IF($AE84="","",IF(INDEX(对接源_01水果!$G$4:$G$1203,$AE84)=0,"",INDEX(对接源_01水果!$G$4:$G$1203,$AE84)))</f>
      </c>
      <c r="E84" s="61">
        <f>IF($AE84="","",IF(INDEX(对接源_01水果!$H$4:$H$1203,$AE84)=0,"",INDEX(对接源_01水果!$H$4:$H$1203,$AE84)))</f>
      </c>
      <c r="F84" s="61">
        <f>IF($AE84="","",IF(INDEX(对接源_01水果!$I$4:$I$1203,$AE84)=0,"",INDEX(对接源_01水果!$I$4:$I$1203,$AE84)))</f>
      </c>
      <c r="G84" s="173">
        <f>IF($AE84="","",IF(INDEX(对接源_01水果!$Z$4:$Z$1203,$AE84)=0,"",INDEX(对接源_01水果!$Z$4:$Z$1203,$AE84)))</f>
      </c>
      <c r="H84" s="173">
        <f>IF($AE84="","",IF(INDEX(对接源_01水果!$AA$4:$AA$1203,$AE84)=0,"",INDEX(对接源_01水果!$AA$4:$AA$1203,$AE84)))</f>
      </c>
      <c r="I84" s="173">
        <f>IF($AE84="","",IF(INDEX(对接源_01水果!$AG$4:$AG$1203,$AE84)=0,"",INDEX(对接源_01水果!$AG$4:$AG$1203,$AE84)))</f>
      </c>
      <c r="J84" s="173">
        <f>IF($AE84="","",IF(INDEX(对接源_01水果!$AJ$4:$AJ$1203,$AE84)=0,"",INDEX(对接源_01水果!$AJ$4:$AJ$1203,$AE84)))</f>
      </c>
      <c r="K84" s="61">
        <f>IF($AE84="","",IF(INDEX(对接源_01水果!$AB$4:$AB$1203,$AE84)=0,"",INDEX(对接源_01水果!$AB$4:$AB$1203,$AE84)))</f>
      </c>
      <c r="L84" s="64">
        <f>IF($AE84="","",IF(INDEX(对接源_01水果!$M$4:$M$1203,$AE84)=0,"",INDEX(对接源_01水果!$M$4:$M$1203,$AE84)))</f>
      </c>
      <c r="AE84" s="2">
        <f>IFERROR(MATCH(79,_自动清单!$AM$4:$AM$2403,0),"")</f>
      </c>
    </row>
    <row r="85" ht="18" customHeight="1" s="127">
      <c r="A85" s="206">
        <f>IF($AE85="","",IF(INDEX(对接源_01水果!$B$4:$B$1203,$AE85)=0,"",INDEX(对接源_01水果!$B$4:$B$1203,$AE85)))</f>
      </c>
      <c r="B85" s="61">
        <f>IF($AE85="","",IF(INDEX(对接源_01水果!$E$4:$E$1203,$AE85)=0,"",INDEX(对接源_01水果!$E$4:$E$1203,$AE85)))</f>
      </c>
      <c r="C85" s="61">
        <f>IF($AE85="","",IF(INDEX(对接源_01水果!$F$4:$F$1203,$AE85)=0,"",INDEX(对接源_01水果!$F$4:$F$1203,$AE85)))</f>
      </c>
      <c r="D85" s="61">
        <f>IF($AE85="","",IF(INDEX(对接源_01水果!$G$4:$G$1203,$AE85)=0,"",INDEX(对接源_01水果!$G$4:$G$1203,$AE85)))</f>
      </c>
      <c r="E85" s="61">
        <f>IF($AE85="","",IF(INDEX(对接源_01水果!$H$4:$H$1203,$AE85)=0,"",INDEX(对接源_01水果!$H$4:$H$1203,$AE85)))</f>
      </c>
      <c r="F85" s="61">
        <f>IF($AE85="","",IF(INDEX(对接源_01水果!$I$4:$I$1203,$AE85)=0,"",INDEX(对接源_01水果!$I$4:$I$1203,$AE85)))</f>
      </c>
      <c r="G85" s="173">
        <f>IF($AE85="","",IF(INDEX(对接源_01水果!$Z$4:$Z$1203,$AE85)=0,"",INDEX(对接源_01水果!$Z$4:$Z$1203,$AE85)))</f>
      </c>
      <c r="H85" s="173">
        <f>IF($AE85="","",IF(INDEX(对接源_01水果!$AA$4:$AA$1203,$AE85)=0,"",INDEX(对接源_01水果!$AA$4:$AA$1203,$AE85)))</f>
      </c>
      <c r="I85" s="173">
        <f>IF($AE85="","",IF(INDEX(对接源_01水果!$AG$4:$AG$1203,$AE85)=0,"",INDEX(对接源_01水果!$AG$4:$AG$1203,$AE85)))</f>
      </c>
      <c r="J85" s="173">
        <f>IF($AE85="","",IF(INDEX(对接源_01水果!$AJ$4:$AJ$1203,$AE85)=0,"",INDEX(对接源_01水果!$AJ$4:$AJ$1203,$AE85)))</f>
      </c>
      <c r="K85" s="61">
        <f>IF($AE85="","",IF(INDEX(对接源_01水果!$AB$4:$AB$1203,$AE85)=0,"",INDEX(对接源_01水果!$AB$4:$AB$1203,$AE85)))</f>
      </c>
      <c r="L85" s="64">
        <f>IF($AE85="","",IF(INDEX(对接源_01水果!$M$4:$M$1203,$AE85)=0,"",INDEX(对接源_01水果!$M$4:$M$1203,$AE85)))</f>
      </c>
      <c r="AE85" s="2">
        <f>IFERROR(MATCH(80,_自动清单!$AM$4:$AM$2403,0),"")</f>
      </c>
    </row>
    <row r="86" ht="18" customHeight="1" s="127">
      <c r="A86" s="206">
        <f>IF($AE86="","",IF(INDEX(对接源_01水果!$B$4:$B$1203,$AE86)=0,"",INDEX(对接源_01水果!$B$4:$B$1203,$AE86)))</f>
      </c>
      <c r="B86" s="61">
        <f>IF($AE86="","",IF(INDEX(对接源_01水果!$E$4:$E$1203,$AE86)=0,"",INDEX(对接源_01水果!$E$4:$E$1203,$AE86)))</f>
      </c>
      <c r="C86" s="61">
        <f>IF($AE86="","",IF(INDEX(对接源_01水果!$F$4:$F$1203,$AE86)=0,"",INDEX(对接源_01水果!$F$4:$F$1203,$AE86)))</f>
      </c>
      <c r="D86" s="61">
        <f>IF($AE86="","",IF(INDEX(对接源_01水果!$G$4:$G$1203,$AE86)=0,"",INDEX(对接源_01水果!$G$4:$G$1203,$AE86)))</f>
      </c>
      <c r="E86" s="61">
        <f>IF($AE86="","",IF(INDEX(对接源_01水果!$H$4:$H$1203,$AE86)=0,"",INDEX(对接源_01水果!$H$4:$H$1203,$AE86)))</f>
      </c>
      <c r="F86" s="61">
        <f>IF($AE86="","",IF(INDEX(对接源_01水果!$I$4:$I$1203,$AE86)=0,"",INDEX(对接源_01水果!$I$4:$I$1203,$AE86)))</f>
      </c>
      <c r="G86" s="173">
        <f>IF($AE86="","",IF(INDEX(对接源_01水果!$Z$4:$Z$1203,$AE86)=0,"",INDEX(对接源_01水果!$Z$4:$Z$1203,$AE86)))</f>
      </c>
      <c r="H86" s="173">
        <f>IF($AE86="","",IF(INDEX(对接源_01水果!$AA$4:$AA$1203,$AE86)=0,"",INDEX(对接源_01水果!$AA$4:$AA$1203,$AE86)))</f>
      </c>
      <c r="I86" s="173">
        <f>IF($AE86="","",IF(INDEX(对接源_01水果!$AG$4:$AG$1203,$AE86)=0,"",INDEX(对接源_01水果!$AG$4:$AG$1203,$AE86)))</f>
      </c>
      <c r="J86" s="173">
        <f>IF($AE86="","",IF(INDEX(对接源_01水果!$AJ$4:$AJ$1203,$AE86)=0,"",INDEX(对接源_01水果!$AJ$4:$AJ$1203,$AE86)))</f>
      </c>
      <c r="K86" s="61">
        <f>IF($AE86="","",IF(INDEX(对接源_01水果!$AB$4:$AB$1203,$AE86)=0,"",INDEX(对接源_01水果!$AB$4:$AB$1203,$AE86)))</f>
      </c>
      <c r="L86" s="64">
        <f>IF($AE86="","",IF(INDEX(对接源_01水果!$M$4:$M$1203,$AE86)=0,"",INDEX(对接源_01水果!$M$4:$M$1203,$AE86)))</f>
      </c>
      <c r="AE86" s="2">
        <f>IFERROR(MATCH(81,_自动清单!$AM$4:$AM$2403,0),"")</f>
      </c>
    </row>
    <row r="87" ht="18" customHeight="1" s="127">
      <c r="A87" s="206">
        <f>IF($AE87="","",IF(INDEX(对接源_01水果!$B$4:$B$1203,$AE87)=0,"",INDEX(对接源_01水果!$B$4:$B$1203,$AE87)))</f>
      </c>
      <c r="B87" s="61">
        <f>IF($AE87="","",IF(INDEX(对接源_01水果!$E$4:$E$1203,$AE87)=0,"",INDEX(对接源_01水果!$E$4:$E$1203,$AE87)))</f>
      </c>
      <c r="C87" s="61">
        <f>IF($AE87="","",IF(INDEX(对接源_01水果!$F$4:$F$1203,$AE87)=0,"",INDEX(对接源_01水果!$F$4:$F$1203,$AE87)))</f>
      </c>
      <c r="D87" s="61">
        <f>IF($AE87="","",IF(INDEX(对接源_01水果!$G$4:$G$1203,$AE87)=0,"",INDEX(对接源_01水果!$G$4:$G$1203,$AE87)))</f>
      </c>
      <c r="E87" s="61">
        <f>IF($AE87="","",IF(INDEX(对接源_01水果!$H$4:$H$1203,$AE87)=0,"",INDEX(对接源_01水果!$H$4:$H$1203,$AE87)))</f>
      </c>
      <c r="F87" s="61">
        <f>IF($AE87="","",IF(INDEX(对接源_01水果!$I$4:$I$1203,$AE87)=0,"",INDEX(对接源_01水果!$I$4:$I$1203,$AE87)))</f>
      </c>
      <c r="G87" s="173">
        <f>IF($AE87="","",IF(INDEX(对接源_01水果!$Z$4:$Z$1203,$AE87)=0,"",INDEX(对接源_01水果!$Z$4:$Z$1203,$AE87)))</f>
      </c>
      <c r="H87" s="173">
        <f>IF($AE87="","",IF(INDEX(对接源_01水果!$AA$4:$AA$1203,$AE87)=0,"",INDEX(对接源_01水果!$AA$4:$AA$1203,$AE87)))</f>
      </c>
      <c r="I87" s="173">
        <f>IF($AE87="","",IF(INDEX(对接源_01水果!$AG$4:$AG$1203,$AE87)=0,"",INDEX(对接源_01水果!$AG$4:$AG$1203,$AE87)))</f>
      </c>
      <c r="J87" s="173">
        <f>IF($AE87="","",IF(INDEX(对接源_01水果!$AJ$4:$AJ$1203,$AE87)=0,"",INDEX(对接源_01水果!$AJ$4:$AJ$1203,$AE87)))</f>
      </c>
      <c r="K87" s="61">
        <f>IF($AE87="","",IF(INDEX(对接源_01水果!$AB$4:$AB$1203,$AE87)=0,"",INDEX(对接源_01水果!$AB$4:$AB$1203,$AE87)))</f>
      </c>
      <c r="L87" s="64">
        <f>IF($AE87="","",IF(INDEX(对接源_01水果!$M$4:$M$1203,$AE87)=0,"",INDEX(对接源_01水果!$M$4:$M$1203,$AE87)))</f>
      </c>
      <c r="AE87" s="2">
        <f>IFERROR(MATCH(82,_自动清单!$AM$4:$AM$2403,0),"")</f>
      </c>
    </row>
    <row r="88" ht="18" customHeight="1" s="127">
      <c r="A88" s="206">
        <f>IF($AE88="","",IF(INDEX(对接源_01水果!$B$4:$B$1203,$AE88)=0,"",INDEX(对接源_01水果!$B$4:$B$1203,$AE88)))</f>
      </c>
      <c r="B88" s="61">
        <f>IF($AE88="","",IF(INDEX(对接源_01水果!$E$4:$E$1203,$AE88)=0,"",INDEX(对接源_01水果!$E$4:$E$1203,$AE88)))</f>
      </c>
      <c r="C88" s="61">
        <f>IF($AE88="","",IF(INDEX(对接源_01水果!$F$4:$F$1203,$AE88)=0,"",INDEX(对接源_01水果!$F$4:$F$1203,$AE88)))</f>
      </c>
      <c r="D88" s="61">
        <f>IF($AE88="","",IF(INDEX(对接源_01水果!$G$4:$G$1203,$AE88)=0,"",INDEX(对接源_01水果!$G$4:$G$1203,$AE88)))</f>
      </c>
      <c r="E88" s="61">
        <f>IF($AE88="","",IF(INDEX(对接源_01水果!$H$4:$H$1203,$AE88)=0,"",INDEX(对接源_01水果!$H$4:$H$1203,$AE88)))</f>
      </c>
      <c r="F88" s="61">
        <f>IF($AE88="","",IF(INDEX(对接源_01水果!$I$4:$I$1203,$AE88)=0,"",INDEX(对接源_01水果!$I$4:$I$1203,$AE88)))</f>
      </c>
      <c r="G88" s="173">
        <f>IF($AE88="","",IF(INDEX(对接源_01水果!$Z$4:$Z$1203,$AE88)=0,"",INDEX(对接源_01水果!$Z$4:$Z$1203,$AE88)))</f>
      </c>
      <c r="H88" s="173">
        <f>IF($AE88="","",IF(INDEX(对接源_01水果!$AA$4:$AA$1203,$AE88)=0,"",INDEX(对接源_01水果!$AA$4:$AA$1203,$AE88)))</f>
      </c>
      <c r="I88" s="173">
        <f>IF($AE88="","",IF(INDEX(对接源_01水果!$AG$4:$AG$1203,$AE88)=0,"",INDEX(对接源_01水果!$AG$4:$AG$1203,$AE88)))</f>
      </c>
      <c r="J88" s="173">
        <f>IF($AE88="","",IF(INDEX(对接源_01水果!$AJ$4:$AJ$1203,$AE88)=0,"",INDEX(对接源_01水果!$AJ$4:$AJ$1203,$AE88)))</f>
      </c>
      <c r="K88" s="61">
        <f>IF($AE88="","",IF(INDEX(对接源_01水果!$AB$4:$AB$1203,$AE88)=0,"",INDEX(对接源_01水果!$AB$4:$AB$1203,$AE88)))</f>
      </c>
      <c r="L88" s="64">
        <f>IF($AE88="","",IF(INDEX(对接源_01水果!$M$4:$M$1203,$AE88)=0,"",INDEX(对接源_01水果!$M$4:$M$1203,$AE88)))</f>
      </c>
      <c r="AE88" s="2">
        <f>IFERROR(MATCH(83,_自动清单!$AM$4:$AM$2403,0),"")</f>
      </c>
    </row>
    <row r="89" ht="18" customHeight="1" s="127">
      <c r="A89" s="206">
        <f>IF($AE89="","",IF(INDEX(对接源_01水果!$B$4:$B$1203,$AE89)=0,"",INDEX(对接源_01水果!$B$4:$B$1203,$AE89)))</f>
      </c>
      <c r="B89" s="61">
        <f>IF($AE89="","",IF(INDEX(对接源_01水果!$E$4:$E$1203,$AE89)=0,"",INDEX(对接源_01水果!$E$4:$E$1203,$AE89)))</f>
      </c>
      <c r="C89" s="61">
        <f>IF($AE89="","",IF(INDEX(对接源_01水果!$F$4:$F$1203,$AE89)=0,"",INDEX(对接源_01水果!$F$4:$F$1203,$AE89)))</f>
      </c>
      <c r="D89" s="61">
        <f>IF($AE89="","",IF(INDEX(对接源_01水果!$G$4:$G$1203,$AE89)=0,"",INDEX(对接源_01水果!$G$4:$G$1203,$AE89)))</f>
      </c>
      <c r="E89" s="61">
        <f>IF($AE89="","",IF(INDEX(对接源_01水果!$H$4:$H$1203,$AE89)=0,"",INDEX(对接源_01水果!$H$4:$H$1203,$AE89)))</f>
      </c>
      <c r="F89" s="61">
        <f>IF($AE89="","",IF(INDEX(对接源_01水果!$I$4:$I$1203,$AE89)=0,"",INDEX(对接源_01水果!$I$4:$I$1203,$AE89)))</f>
      </c>
      <c r="G89" s="173">
        <f>IF($AE89="","",IF(INDEX(对接源_01水果!$Z$4:$Z$1203,$AE89)=0,"",INDEX(对接源_01水果!$Z$4:$Z$1203,$AE89)))</f>
      </c>
      <c r="H89" s="173">
        <f>IF($AE89="","",IF(INDEX(对接源_01水果!$AA$4:$AA$1203,$AE89)=0,"",INDEX(对接源_01水果!$AA$4:$AA$1203,$AE89)))</f>
      </c>
      <c r="I89" s="173">
        <f>IF($AE89="","",IF(INDEX(对接源_01水果!$AG$4:$AG$1203,$AE89)=0,"",INDEX(对接源_01水果!$AG$4:$AG$1203,$AE89)))</f>
      </c>
      <c r="J89" s="173">
        <f>IF($AE89="","",IF(INDEX(对接源_01水果!$AJ$4:$AJ$1203,$AE89)=0,"",INDEX(对接源_01水果!$AJ$4:$AJ$1203,$AE89)))</f>
      </c>
      <c r="K89" s="61">
        <f>IF($AE89="","",IF(INDEX(对接源_01水果!$AB$4:$AB$1203,$AE89)=0,"",INDEX(对接源_01水果!$AB$4:$AB$1203,$AE89)))</f>
      </c>
      <c r="L89" s="64">
        <f>IF($AE89="","",IF(INDEX(对接源_01水果!$M$4:$M$1203,$AE89)=0,"",INDEX(对接源_01水果!$M$4:$M$1203,$AE89)))</f>
      </c>
      <c r="AE89" s="2">
        <f>IFERROR(MATCH(84,_自动清单!$AM$4:$AM$2403,0),"")</f>
      </c>
    </row>
    <row r="90" ht="18" customHeight="1" s="127">
      <c r="A90" s="206">
        <f>IF($AE90="","",IF(INDEX(对接源_01水果!$B$4:$B$1203,$AE90)=0,"",INDEX(对接源_01水果!$B$4:$B$1203,$AE90)))</f>
      </c>
      <c r="B90" s="61">
        <f>IF($AE90="","",IF(INDEX(对接源_01水果!$E$4:$E$1203,$AE90)=0,"",INDEX(对接源_01水果!$E$4:$E$1203,$AE90)))</f>
      </c>
      <c r="C90" s="61">
        <f>IF($AE90="","",IF(INDEX(对接源_01水果!$F$4:$F$1203,$AE90)=0,"",INDEX(对接源_01水果!$F$4:$F$1203,$AE90)))</f>
      </c>
      <c r="D90" s="61">
        <f>IF($AE90="","",IF(INDEX(对接源_01水果!$G$4:$G$1203,$AE90)=0,"",INDEX(对接源_01水果!$G$4:$G$1203,$AE90)))</f>
      </c>
      <c r="E90" s="61">
        <f>IF($AE90="","",IF(INDEX(对接源_01水果!$H$4:$H$1203,$AE90)=0,"",INDEX(对接源_01水果!$H$4:$H$1203,$AE90)))</f>
      </c>
      <c r="F90" s="61">
        <f>IF($AE90="","",IF(INDEX(对接源_01水果!$I$4:$I$1203,$AE90)=0,"",INDEX(对接源_01水果!$I$4:$I$1203,$AE90)))</f>
      </c>
      <c r="G90" s="173">
        <f>IF($AE90="","",IF(INDEX(对接源_01水果!$Z$4:$Z$1203,$AE90)=0,"",INDEX(对接源_01水果!$Z$4:$Z$1203,$AE90)))</f>
      </c>
      <c r="H90" s="173">
        <f>IF($AE90="","",IF(INDEX(对接源_01水果!$AA$4:$AA$1203,$AE90)=0,"",INDEX(对接源_01水果!$AA$4:$AA$1203,$AE90)))</f>
      </c>
      <c r="I90" s="173">
        <f>IF($AE90="","",IF(INDEX(对接源_01水果!$AG$4:$AG$1203,$AE90)=0,"",INDEX(对接源_01水果!$AG$4:$AG$1203,$AE90)))</f>
      </c>
      <c r="J90" s="173">
        <f>IF($AE90="","",IF(INDEX(对接源_01水果!$AJ$4:$AJ$1203,$AE90)=0,"",INDEX(对接源_01水果!$AJ$4:$AJ$1203,$AE90)))</f>
      </c>
      <c r="K90" s="61">
        <f>IF($AE90="","",IF(INDEX(对接源_01水果!$AB$4:$AB$1203,$AE90)=0,"",INDEX(对接源_01水果!$AB$4:$AB$1203,$AE90)))</f>
      </c>
      <c r="L90" s="64">
        <f>IF($AE90="","",IF(INDEX(对接源_01水果!$M$4:$M$1203,$AE90)=0,"",INDEX(对接源_01水果!$M$4:$M$1203,$AE90)))</f>
      </c>
      <c r="AE90" s="2">
        <f>IFERROR(MATCH(85,_自动清单!$AM$4:$AM$2403,0),"")</f>
      </c>
    </row>
    <row r="91" ht="18" customHeight="1" s="127">
      <c r="A91" s="206">
        <f>IF($AE91="","",IF(INDEX(对接源_01水果!$B$4:$B$1203,$AE91)=0,"",INDEX(对接源_01水果!$B$4:$B$1203,$AE91)))</f>
      </c>
      <c r="B91" s="61">
        <f>IF($AE91="","",IF(INDEX(对接源_01水果!$E$4:$E$1203,$AE91)=0,"",INDEX(对接源_01水果!$E$4:$E$1203,$AE91)))</f>
      </c>
      <c r="C91" s="61">
        <f>IF($AE91="","",IF(INDEX(对接源_01水果!$F$4:$F$1203,$AE91)=0,"",INDEX(对接源_01水果!$F$4:$F$1203,$AE91)))</f>
      </c>
      <c r="D91" s="61">
        <f>IF($AE91="","",IF(INDEX(对接源_01水果!$G$4:$G$1203,$AE91)=0,"",INDEX(对接源_01水果!$G$4:$G$1203,$AE91)))</f>
      </c>
      <c r="E91" s="61">
        <f>IF($AE91="","",IF(INDEX(对接源_01水果!$H$4:$H$1203,$AE91)=0,"",INDEX(对接源_01水果!$H$4:$H$1203,$AE91)))</f>
      </c>
      <c r="F91" s="61">
        <f>IF($AE91="","",IF(INDEX(对接源_01水果!$I$4:$I$1203,$AE91)=0,"",INDEX(对接源_01水果!$I$4:$I$1203,$AE91)))</f>
      </c>
      <c r="G91" s="173">
        <f>IF($AE91="","",IF(INDEX(对接源_01水果!$Z$4:$Z$1203,$AE91)=0,"",INDEX(对接源_01水果!$Z$4:$Z$1203,$AE91)))</f>
      </c>
      <c r="H91" s="173">
        <f>IF($AE91="","",IF(INDEX(对接源_01水果!$AA$4:$AA$1203,$AE91)=0,"",INDEX(对接源_01水果!$AA$4:$AA$1203,$AE91)))</f>
      </c>
      <c r="I91" s="173">
        <f>IF($AE91="","",IF(INDEX(对接源_01水果!$AG$4:$AG$1203,$AE91)=0,"",INDEX(对接源_01水果!$AG$4:$AG$1203,$AE91)))</f>
      </c>
      <c r="J91" s="173">
        <f>IF($AE91="","",IF(INDEX(对接源_01水果!$AJ$4:$AJ$1203,$AE91)=0,"",INDEX(对接源_01水果!$AJ$4:$AJ$1203,$AE91)))</f>
      </c>
      <c r="K91" s="61">
        <f>IF($AE91="","",IF(INDEX(对接源_01水果!$AB$4:$AB$1203,$AE91)=0,"",INDEX(对接源_01水果!$AB$4:$AB$1203,$AE91)))</f>
      </c>
      <c r="L91" s="64">
        <f>IF($AE91="","",IF(INDEX(对接源_01水果!$M$4:$M$1203,$AE91)=0,"",INDEX(对接源_01水果!$M$4:$M$1203,$AE91)))</f>
      </c>
      <c r="AE91" s="2">
        <f>IFERROR(MATCH(86,_自动清单!$AM$4:$AM$2403,0),"")</f>
      </c>
    </row>
    <row r="92" ht="18" customHeight="1" s="127">
      <c r="A92" s="206">
        <f>IF($AE92="","",IF(INDEX(对接源_01水果!$B$4:$B$1203,$AE92)=0,"",INDEX(对接源_01水果!$B$4:$B$1203,$AE92)))</f>
      </c>
      <c r="B92" s="61">
        <f>IF($AE92="","",IF(INDEX(对接源_01水果!$E$4:$E$1203,$AE92)=0,"",INDEX(对接源_01水果!$E$4:$E$1203,$AE92)))</f>
      </c>
      <c r="C92" s="61">
        <f>IF($AE92="","",IF(INDEX(对接源_01水果!$F$4:$F$1203,$AE92)=0,"",INDEX(对接源_01水果!$F$4:$F$1203,$AE92)))</f>
      </c>
      <c r="D92" s="61">
        <f>IF($AE92="","",IF(INDEX(对接源_01水果!$G$4:$G$1203,$AE92)=0,"",INDEX(对接源_01水果!$G$4:$G$1203,$AE92)))</f>
      </c>
      <c r="E92" s="61">
        <f>IF($AE92="","",IF(INDEX(对接源_01水果!$H$4:$H$1203,$AE92)=0,"",INDEX(对接源_01水果!$H$4:$H$1203,$AE92)))</f>
      </c>
      <c r="F92" s="61">
        <f>IF($AE92="","",IF(INDEX(对接源_01水果!$I$4:$I$1203,$AE92)=0,"",INDEX(对接源_01水果!$I$4:$I$1203,$AE92)))</f>
      </c>
      <c r="G92" s="173">
        <f>IF($AE92="","",IF(INDEX(对接源_01水果!$Z$4:$Z$1203,$AE92)=0,"",INDEX(对接源_01水果!$Z$4:$Z$1203,$AE92)))</f>
      </c>
      <c r="H92" s="173">
        <f>IF($AE92="","",IF(INDEX(对接源_01水果!$AA$4:$AA$1203,$AE92)=0,"",INDEX(对接源_01水果!$AA$4:$AA$1203,$AE92)))</f>
      </c>
      <c r="I92" s="173">
        <f>IF($AE92="","",IF(INDEX(对接源_01水果!$AG$4:$AG$1203,$AE92)=0,"",INDEX(对接源_01水果!$AG$4:$AG$1203,$AE92)))</f>
      </c>
      <c r="J92" s="173">
        <f>IF($AE92="","",IF(INDEX(对接源_01水果!$AJ$4:$AJ$1203,$AE92)=0,"",INDEX(对接源_01水果!$AJ$4:$AJ$1203,$AE92)))</f>
      </c>
      <c r="K92" s="61">
        <f>IF($AE92="","",IF(INDEX(对接源_01水果!$AB$4:$AB$1203,$AE92)=0,"",INDEX(对接源_01水果!$AB$4:$AB$1203,$AE92)))</f>
      </c>
      <c r="L92" s="64">
        <f>IF($AE92="","",IF(INDEX(对接源_01水果!$M$4:$M$1203,$AE92)=0,"",INDEX(对接源_01水果!$M$4:$M$1203,$AE92)))</f>
      </c>
      <c r="AE92" s="2">
        <f>IFERROR(MATCH(87,_自动清单!$AM$4:$AM$2403,0),"")</f>
      </c>
    </row>
    <row r="93" ht="18" customHeight="1" s="127">
      <c r="A93" s="206">
        <f>IF($AE93="","",IF(INDEX(对接源_01水果!$B$4:$B$1203,$AE93)=0,"",INDEX(对接源_01水果!$B$4:$B$1203,$AE93)))</f>
      </c>
      <c r="B93" s="61">
        <f>IF($AE93="","",IF(INDEX(对接源_01水果!$E$4:$E$1203,$AE93)=0,"",INDEX(对接源_01水果!$E$4:$E$1203,$AE93)))</f>
      </c>
      <c r="C93" s="61">
        <f>IF($AE93="","",IF(INDEX(对接源_01水果!$F$4:$F$1203,$AE93)=0,"",INDEX(对接源_01水果!$F$4:$F$1203,$AE93)))</f>
      </c>
      <c r="D93" s="61">
        <f>IF($AE93="","",IF(INDEX(对接源_01水果!$G$4:$G$1203,$AE93)=0,"",INDEX(对接源_01水果!$G$4:$G$1203,$AE93)))</f>
      </c>
      <c r="E93" s="61">
        <f>IF($AE93="","",IF(INDEX(对接源_01水果!$H$4:$H$1203,$AE93)=0,"",INDEX(对接源_01水果!$H$4:$H$1203,$AE93)))</f>
      </c>
      <c r="F93" s="61">
        <f>IF($AE93="","",IF(INDEX(对接源_01水果!$I$4:$I$1203,$AE93)=0,"",INDEX(对接源_01水果!$I$4:$I$1203,$AE93)))</f>
      </c>
      <c r="G93" s="173">
        <f>IF($AE93="","",IF(INDEX(对接源_01水果!$Z$4:$Z$1203,$AE93)=0,"",INDEX(对接源_01水果!$Z$4:$Z$1203,$AE93)))</f>
      </c>
      <c r="H93" s="173">
        <f>IF($AE93="","",IF(INDEX(对接源_01水果!$AA$4:$AA$1203,$AE93)=0,"",INDEX(对接源_01水果!$AA$4:$AA$1203,$AE93)))</f>
      </c>
      <c r="I93" s="173">
        <f>IF($AE93="","",IF(INDEX(对接源_01水果!$AG$4:$AG$1203,$AE93)=0,"",INDEX(对接源_01水果!$AG$4:$AG$1203,$AE93)))</f>
      </c>
      <c r="J93" s="173">
        <f>IF($AE93="","",IF(INDEX(对接源_01水果!$AJ$4:$AJ$1203,$AE93)=0,"",INDEX(对接源_01水果!$AJ$4:$AJ$1203,$AE93)))</f>
      </c>
      <c r="K93" s="61">
        <f>IF($AE93="","",IF(INDEX(对接源_01水果!$AB$4:$AB$1203,$AE93)=0,"",INDEX(对接源_01水果!$AB$4:$AB$1203,$AE93)))</f>
      </c>
      <c r="L93" s="64">
        <f>IF($AE93="","",IF(INDEX(对接源_01水果!$M$4:$M$1203,$AE93)=0,"",INDEX(对接源_01水果!$M$4:$M$1203,$AE93)))</f>
      </c>
      <c r="AE93" s="2">
        <f>IFERROR(MATCH(88,_自动清单!$AM$4:$AM$2403,0),"")</f>
      </c>
    </row>
    <row r="94" ht="18" customHeight="1" s="127">
      <c r="A94" s="206">
        <f>IF($AE94="","",IF(INDEX(对接源_01水果!$B$4:$B$1203,$AE94)=0,"",INDEX(对接源_01水果!$B$4:$B$1203,$AE94)))</f>
      </c>
      <c r="B94" s="61">
        <f>IF($AE94="","",IF(INDEX(对接源_01水果!$E$4:$E$1203,$AE94)=0,"",INDEX(对接源_01水果!$E$4:$E$1203,$AE94)))</f>
      </c>
      <c r="C94" s="61">
        <f>IF($AE94="","",IF(INDEX(对接源_01水果!$F$4:$F$1203,$AE94)=0,"",INDEX(对接源_01水果!$F$4:$F$1203,$AE94)))</f>
      </c>
      <c r="D94" s="61">
        <f>IF($AE94="","",IF(INDEX(对接源_01水果!$G$4:$G$1203,$AE94)=0,"",INDEX(对接源_01水果!$G$4:$G$1203,$AE94)))</f>
      </c>
      <c r="E94" s="61">
        <f>IF($AE94="","",IF(INDEX(对接源_01水果!$H$4:$H$1203,$AE94)=0,"",INDEX(对接源_01水果!$H$4:$H$1203,$AE94)))</f>
      </c>
      <c r="F94" s="61">
        <f>IF($AE94="","",IF(INDEX(对接源_01水果!$I$4:$I$1203,$AE94)=0,"",INDEX(对接源_01水果!$I$4:$I$1203,$AE94)))</f>
      </c>
      <c r="G94" s="173">
        <f>IF($AE94="","",IF(INDEX(对接源_01水果!$Z$4:$Z$1203,$AE94)=0,"",INDEX(对接源_01水果!$Z$4:$Z$1203,$AE94)))</f>
      </c>
      <c r="H94" s="173">
        <f>IF($AE94="","",IF(INDEX(对接源_01水果!$AA$4:$AA$1203,$AE94)=0,"",INDEX(对接源_01水果!$AA$4:$AA$1203,$AE94)))</f>
      </c>
      <c r="I94" s="173">
        <f>IF($AE94="","",IF(INDEX(对接源_01水果!$AG$4:$AG$1203,$AE94)=0,"",INDEX(对接源_01水果!$AG$4:$AG$1203,$AE94)))</f>
      </c>
      <c r="J94" s="173">
        <f>IF($AE94="","",IF(INDEX(对接源_01水果!$AJ$4:$AJ$1203,$AE94)=0,"",INDEX(对接源_01水果!$AJ$4:$AJ$1203,$AE94)))</f>
      </c>
      <c r="K94" s="61">
        <f>IF($AE94="","",IF(INDEX(对接源_01水果!$AB$4:$AB$1203,$AE94)=0,"",INDEX(对接源_01水果!$AB$4:$AB$1203,$AE94)))</f>
      </c>
      <c r="L94" s="64">
        <f>IF($AE94="","",IF(INDEX(对接源_01水果!$M$4:$M$1203,$AE94)=0,"",INDEX(对接源_01水果!$M$4:$M$1203,$AE94)))</f>
      </c>
      <c r="AE94" s="2">
        <f>IFERROR(MATCH(89,_自动清单!$AM$4:$AM$2403,0),"")</f>
      </c>
    </row>
    <row r="95" ht="18" customHeight="1" s="127">
      <c r="A95" s="206">
        <f>IF($AE95="","",IF(INDEX(对接源_01水果!$B$4:$B$1203,$AE95)=0,"",INDEX(对接源_01水果!$B$4:$B$1203,$AE95)))</f>
      </c>
      <c r="B95" s="61">
        <f>IF($AE95="","",IF(INDEX(对接源_01水果!$E$4:$E$1203,$AE95)=0,"",INDEX(对接源_01水果!$E$4:$E$1203,$AE95)))</f>
      </c>
      <c r="C95" s="61">
        <f>IF($AE95="","",IF(INDEX(对接源_01水果!$F$4:$F$1203,$AE95)=0,"",INDEX(对接源_01水果!$F$4:$F$1203,$AE95)))</f>
      </c>
      <c r="D95" s="61">
        <f>IF($AE95="","",IF(INDEX(对接源_01水果!$G$4:$G$1203,$AE95)=0,"",INDEX(对接源_01水果!$G$4:$G$1203,$AE95)))</f>
      </c>
      <c r="E95" s="61">
        <f>IF($AE95="","",IF(INDEX(对接源_01水果!$H$4:$H$1203,$AE95)=0,"",INDEX(对接源_01水果!$H$4:$H$1203,$AE95)))</f>
      </c>
      <c r="F95" s="61">
        <f>IF($AE95="","",IF(INDEX(对接源_01水果!$I$4:$I$1203,$AE95)=0,"",INDEX(对接源_01水果!$I$4:$I$1203,$AE95)))</f>
      </c>
      <c r="G95" s="173">
        <f>IF($AE95="","",IF(INDEX(对接源_01水果!$Z$4:$Z$1203,$AE95)=0,"",INDEX(对接源_01水果!$Z$4:$Z$1203,$AE95)))</f>
      </c>
      <c r="H95" s="173">
        <f>IF($AE95="","",IF(INDEX(对接源_01水果!$AA$4:$AA$1203,$AE95)=0,"",INDEX(对接源_01水果!$AA$4:$AA$1203,$AE95)))</f>
      </c>
      <c r="I95" s="173">
        <f>IF($AE95="","",IF(INDEX(对接源_01水果!$AG$4:$AG$1203,$AE95)=0,"",INDEX(对接源_01水果!$AG$4:$AG$1203,$AE95)))</f>
      </c>
      <c r="J95" s="173">
        <f>IF($AE95="","",IF(INDEX(对接源_01水果!$AJ$4:$AJ$1203,$AE95)=0,"",INDEX(对接源_01水果!$AJ$4:$AJ$1203,$AE95)))</f>
      </c>
      <c r="K95" s="61">
        <f>IF($AE95="","",IF(INDEX(对接源_01水果!$AB$4:$AB$1203,$AE95)=0,"",INDEX(对接源_01水果!$AB$4:$AB$1203,$AE95)))</f>
      </c>
      <c r="L95" s="64">
        <f>IF($AE95="","",IF(INDEX(对接源_01水果!$M$4:$M$1203,$AE95)=0,"",INDEX(对接源_01水果!$M$4:$M$1203,$AE95)))</f>
      </c>
      <c r="AE95" s="2">
        <f>IFERROR(MATCH(90,_自动清单!$AM$4:$AM$2403,0),"")</f>
      </c>
    </row>
    <row r="96" ht="18" customHeight="1" s="127">
      <c r="A96" s="206">
        <f>IF($AE96="","",IF(INDEX(对接源_01水果!$B$4:$B$1203,$AE96)=0,"",INDEX(对接源_01水果!$B$4:$B$1203,$AE96)))</f>
      </c>
      <c r="B96" s="61">
        <f>IF($AE96="","",IF(INDEX(对接源_01水果!$E$4:$E$1203,$AE96)=0,"",INDEX(对接源_01水果!$E$4:$E$1203,$AE96)))</f>
      </c>
      <c r="C96" s="61">
        <f>IF($AE96="","",IF(INDEX(对接源_01水果!$F$4:$F$1203,$AE96)=0,"",INDEX(对接源_01水果!$F$4:$F$1203,$AE96)))</f>
      </c>
      <c r="D96" s="61">
        <f>IF($AE96="","",IF(INDEX(对接源_01水果!$G$4:$G$1203,$AE96)=0,"",INDEX(对接源_01水果!$G$4:$G$1203,$AE96)))</f>
      </c>
      <c r="E96" s="61">
        <f>IF($AE96="","",IF(INDEX(对接源_01水果!$H$4:$H$1203,$AE96)=0,"",INDEX(对接源_01水果!$H$4:$H$1203,$AE96)))</f>
      </c>
      <c r="F96" s="61">
        <f>IF($AE96="","",IF(INDEX(对接源_01水果!$I$4:$I$1203,$AE96)=0,"",INDEX(对接源_01水果!$I$4:$I$1203,$AE96)))</f>
      </c>
      <c r="G96" s="173">
        <f>IF($AE96="","",IF(INDEX(对接源_01水果!$Z$4:$Z$1203,$AE96)=0,"",INDEX(对接源_01水果!$Z$4:$Z$1203,$AE96)))</f>
      </c>
      <c r="H96" s="173">
        <f>IF($AE96="","",IF(INDEX(对接源_01水果!$AA$4:$AA$1203,$AE96)=0,"",INDEX(对接源_01水果!$AA$4:$AA$1203,$AE96)))</f>
      </c>
      <c r="I96" s="173">
        <f>IF($AE96="","",IF(INDEX(对接源_01水果!$AG$4:$AG$1203,$AE96)=0,"",INDEX(对接源_01水果!$AG$4:$AG$1203,$AE96)))</f>
      </c>
      <c r="J96" s="173">
        <f>IF($AE96="","",IF(INDEX(对接源_01水果!$AJ$4:$AJ$1203,$AE96)=0,"",INDEX(对接源_01水果!$AJ$4:$AJ$1203,$AE96)))</f>
      </c>
      <c r="K96" s="61">
        <f>IF($AE96="","",IF(INDEX(对接源_01水果!$AB$4:$AB$1203,$AE96)=0,"",INDEX(对接源_01水果!$AB$4:$AB$1203,$AE96)))</f>
      </c>
      <c r="L96" s="64">
        <f>IF($AE96="","",IF(INDEX(对接源_01水果!$M$4:$M$1203,$AE96)=0,"",INDEX(对接源_01水果!$M$4:$M$1203,$AE96)))</f>
      </c>
      <c r="AE96" s="2">
        <f>IFERROR(MATCH(91,_自动清单!$AM$4:$AM$2403,0),"")</f>
      </c>
    </row>
    <row r="97" ht="18" customHeight="1" s="127">
      <c r="A97" s="206">
        <f>IF($AE97="","",IF(INDEX(对接源_01水果!$B$4:$B$1203,$AE97)=0,"",INDEX(对接源_01水果!$B$4:$B$1203,$AE97)))</f>
      </c>
      <c r="B97" s="61">
        <f>IF($AE97="","",IF(INDEX(对接源_01水果!$E$4:$E$1203,$AE97)=0,"",INDEX(对接源_01水果!$E$4:$E$1203,$AE97)))</f>
      </c>
      <c r="C97" s="61">
        <f>IF($AE97="","",IF(INDEX(对接源_01水果!$F$4:$F$1203,$AE97)=0,"",INDEX(对接源_01水果!$F$4:$F$1203,$AE97)))</f>
      </c>
      <c r="D97" s="61">
        <f>IF($AE97="","",IF(INDEX(对接源_01水果!$G$4:$G$1203,$AE97)=0,"",INDEX(对接源_01水果!$G$4:$G$1203,$AE97)))</f>
      </c>
      <c r="E97" s="61">
        <f>IF($AE97="","",IF(INDEX(对接源_01水果!$H$4:$H$1203,$AE97)=0,"",INDEX(对接源_01水果!$H$4:$H$1203,$AE97)))</f>
      </c>
      <c r="F97" s="61">
        <f>IF($AE97="","",IF(INDEX(对接源_01水果!$I$4:$I$1203,$AE97)=0,"",INDEX(对接源_01水果!$I$4:$I$1203,$AE97)))</f>
      </c>
      <c r="G97" s="173">
        <f>IF($AE97="","",IF(INDEX(对接源_01水果!$Z$4:$Z$1203,$AE97)=0,"",INDEX(对接源_01水果!$Z$4:$Z$1203,$AE97)))</f>
      </c>
      <c r="H97" s="173">
        <f>IF($AE97="","",IF(INDEX(对接源_01水果!$AA$4:$AA$1203,$AE97)=0,"",INDEX(对接源_01水果!$AA$4:$AA$1203,$AE97)))</f>
      </c>
      <c r="I97" s="173">
        <f>IF($AE97="","",IF(INDEX(对接源_01水果!$AG$4:$AG$1203,$AE97)=0,"",INDEX(对接源_01水果!$AG$4:$AG$1203,$AE97)))</f>
      </c>
      <c r="J97" s="173">
        <f>IF($AE97="","",IF(INDEX(对接源_01水果!$AJ$4:$AJ$1203,$AE97)=0,"",INDEX(对接源_01水果!$AJ$4:$AJ$1203,$AE97)))</f>
      </c>
      <c r="K97" s="61">
        <f>IF($AE97="","",IF(INDEX(对接源_01水果!$AB$4:$AB$1203,$AE97)=0,"",INDEX(对接源_01水果!$AB$4:$AB$1203,$AE97)))</f>
      </c>
      <c r="L97" s="64">
        <f>IF($AE97="","",IF(INDEX(对接源_01水果!$M$4:$M$1203,$AE97)=0,"",INDEX(对接源_01水果!$M$4:$M$1203,$AE97)))</f>
      </c>
      <c r="AE97" s="2">
        <f>IFERROR(MATCH(92,_自动清单!$AM$4:$AM$2403,0),"")</f>
      </c>
    </row>
    <row r="98" ht="18" customHeight="1" s="127">
      <c r="A98" s="206">
        <f>IF($AE98="","",IF(INDEX(对接源_01水果!$B$4:$B$1203,$AE98)=0,"",INDEX(对接源_01水果!$B$4:$B$1203,$AE98)))</f>
      </c>
      <c r="B98" s="61">
        <f>IF($AE98="","",IF(INDEX(对接源_01水果!$E$4:$E$1203,$AE98)=0,"",INDEX(对接源_01水果!$E$4:$E$1203,$AE98)))</f>
      </c>
      <c r="C98" s="61">
        <f>IF($AE98="","",IF(INDEX(对接源_01水果!$F$4:$F$1203,$AE98)=0,"",INDEX(对接源_01水果!$F$4:$F$1203,$AE98)))</f>
      </c>
      <c r="D98" s="61">
        <f>IF($AE98="","",IF(INDEX(对接源_01水果!$G$4:$G$1203,$AE98)=0,"",INDEX(对接源_01水果!$G$4:$G$1203,$AE98)))</f>
      </c>
      <c r="E98" s="61">
        <f>IF($AE98="","",IF(INDEX(对接源_01水果!$H$4:$H$1203,$AE98)=0,"",INDEX(对接源_01水果!$H$4:$H$1203,$AE98)))</f>
      </c>
      <c r="F98" s="61">
        <f>IF($AE98="","",IF(INDEX(对接源_01水果!$I$4:$I$1203,$AE98)=0,"",INDEX(对接源_01水果!$I$4:$I$1203,$AE98)))</f>
      </c>
      <c r="G98" s="173">
        <f>IF($AE98="","",IF(INDEX(对接源_01水果!$Z$4:$Z$1203,$AE98)=0,"",INDEX(对接源_01水果!$Z$4:$Z$1203,$AE98)))</f>
      </c>
      <c r="H98" s="173">
        <f>IF($AE98="","",IF(INDEX(对接源_01水果!$AA$4:$AA$1203,$AE98)=0,"",INDEX(对接源_01水果!$AA$4:$AA$1203,$AE98)))</f>
      </c>
      <c r="I98" s="173">
        <f>IF($AE98="","",IF(INDEX(对接源_01水果!$AG$4:$AG$1203,$AE98)=0,"",INDEX(对接源_01水果!$AG$4:$AG$1203,$AE98)))</f>
      </c>
      <c r="J98" s="173">
        <f>IF($AE98="","",IF(INDEX(对接源_01水果!$AJ$4:$AJ$1203,$AE98)=0,"",INDEX(对接源_01水果!$AJ$4:$AJ$1203,$AE98)))</f>
      </c>
      <c r="K98" s="61">
        <f>IF($AE98="","",IF(INDEX(对接源_01水果!$AB$4:$AB$1203,$AE98)=0,"",INDEX(对接源_01水果!$AB$4:$AB$1203,$AE98)))</f>
      </c>
      <c r="L98" s="64">
        <f>IF($AE98="","",IF(INDEX(对接源_01水果!$M$4:$M$1203,$AE98)=0,"",INDEX(对接源_01水果!$M$4:$M$1203,$AE98)))</f>
      </c>
      <c r="AE98" s="2">
        <f>IFERROR(MATCH(93,_自动清单!$AM$4:$AM$2403,0),"")</f>
      </c>
    </row>
    <row r="99" ht="18" customHeight="1" s="127">
      <c r="A99" s="206">
        <f>IF($AE99="","",IF(INDEX(对接源_01水果!$B$4:$B$1203,$AE99)=0,"",INDEX(对接源_01水果!$B$4:$B$1203,$AE99)))</f>
      </c>
      <c r="B99" s="61">
        <f>IF($AE99="","",IF(INDEX(对接源_01水果!$E$4:$E$1203,$AE99)=0,"",INDEX(对接源_01水果!$E$4:$E$1203,$AE99)))</f>
      </c>
      <c r="C99" s="61">
        <f>IF($AE99="","",IF(INDEX(对接源_01水果!$F$4:$F$1203,$AE99)=0,"",INDEX(对接源_01水果!$F$4:$F$1203,$AE99)))</f>
      </c>
      <c r="D99" s="61">
        <f>IF($AE99="","",IF(INDEX(对接源_01水果!$G$4:$G$1203,$AE99)=0,"",INDEX(对接源_01水果!$G$4:$G$1203,$AE99)))</f>
      </c>
      <c r="E99" s="61">
        <f>IF($AE99="","",IF(INDEX(对接源_01水果!$H$4:$H$1203,$AE99)=0,"",INDEX(对接源_01水果!$H$4:$H$1203,$AE99)))</f>
      </c>
      <c r="F99" s="61">
        <f>IF($AE99="","",IF(INDEX(对接源_01水果!$I$4:$I$1203,$AE99)=0,"",INDEX(对接源_01水果!$I$4:$I$1203,$AE99)))</f>
      </c>
      <c r="G99" s="173">
        <f>IF($AE99="","",IF(INDEX(对接源_01水果!$Z$4:$Z$1203,$AE99)=0,"",INDEX(对接源_01水果!$Z$4:$Z$1203,$AE99)))</f>
      </c>
      <c r="H99" s="173">
        <f>IF($AE99="","",IF(INDEX(对接源_01水果!$AA$4:$AA$1203,$AE99)=0,"",INDEX(对接源_01水果!$AA$4:$AA$1203,$AE99)))</f>
      </c>
      <c r="I99" s="173">
        <f>IF($AE99="","",IF(INDEX(对接源_01水果!$AG$4:$AG$1203,$AE99)=0,"",INDEX(对接源_01水果!$AG$4:$AG$1203,$AE99)))</f>
      </c>
      <c r="J99" s="173">
        <f>IF($AE99="","",IF(INDEX(对接源_01水果!$AJ$4:$AJ$1203,$AE99)=0,"",INDEX(对接源_01水果!$AJ$4:$AJ$1203,$AE99)))</f>
      </c>
      <c r="K99" s="61">
        <f>IF($AE99="","",IF(INDEX(对接源_01水果!$AB$4:$AB$1203,$AE99)=0,"",INDEX(对接源_01水果!$AB$4:$AB$1203,$AE99)))</f>
      </c>
      <c r="L99" s="64">
        <f>IF($AE99="","",IF(INDEX(对接源_01水果!$M$4:$M$1203,$AE99)=0,"",INDEX(对接源_01水果!$M$4:$M$1203,$AE99)))</f>
      </c>
      <c r="AE99" s="2">
        <f>IFERROR(MATCH(94,_自动清单!$AM$4:$AM$2403,0),"")</f>
      </c>
    </row>
    <row r="100" ht="18" customHeight="1" s="127">
      <c r="A100" s="206">
        <f>IF($AE100="","",IF(INDEX(对接源_01水果!$B$4:$B$1203,$AE100)=0,"",INDEX(对接源_01水果!$B$4:$B$1203,$AE100)))</f>
      </c>
      <c r="B100" s="61">
        <f>IF($AE100="","",IF(INDEX(对接源_01水果!$E$4:$E$1203,$AE100)=0,"",INDEX(对接源_01水果!$E$4:$E$1203,$AE100)))</f>
      </c>
      <c r="C100" s="61">
        <f>IF($AE100="","",IF(INDEX(对接源_01水果!$F$4:$F$1203,$AE100)=0,"",INDEX(对接源_01水果!$F$4:$F$1203,$AE100)))</f>
      </c>
      <c r="D100" s="61">
        <f>IF($AE100="","",IF(INDEX(对接源_01水果!$G$4:$G$1203,$AE100)=0,"",INDEX(对接源_01水果!$G$4:$G$1203,$AE100)))</f>
      </c>
      <c r="E100" s="61">
        <f>IF($AE100="","",IF(INDEX(对接源_01水果!$H$4:$H$1203,$AE100)=0,"",INDEX(对接源_01水果!$H$4:$H$1203,$AE100)))</f>
      </c>
      <c r="F100" s="61">
        <f>IF($AE100="","",IF(INDEX(对接源_01水果!$I$4:$I$1203,$AE100)=0,"",INDEX(对接源_01水果!$I$4:$I$1203,$AE100)))</f>
      </c>
      <c r="G100" s="173">
        <f>IF($AE100="","",IF(INDEX(对接源_01水果!$Z$4:$Z$1203,$AE100)=0,"",INDEX(对接源_01水果!$Z$4:$Z$1203,$AE100)))</f>
      </c>
      <c r="H100" s="173">
        <f>IF($AE100="","",IF(INDEX(对接源_01水果!$AA$4:$AA$1203,$AE100)=0,"",INDEX(对接源_01水果!$AA$4:$AA$1203,$AE100)))</f>
      </c>
      <c r="I100" s="173">
        <f>IF($AE100="","",IF(INDEX(对接源_01水果!$AG$4:$AG$1203,$AE100)=0,"",INDEX(对接源_01水果!$AG$4:$AG$1203,$AE100)))</f>
      </c>
      <c r="J100" s="173">
        <f>IF($AE100="","",IF(INDEX(对接源_01水果!$AJ$4:$AJ$1203,$AE100)=0,"",INDEX(对接源_01水果!$AJ$4:$AJ$1203,$AE100)))</f>
      </c>
      <c r="K100" s="61">
        <f>IF($AE100="","",IF(INDEX(对接源_01水果!$AB$4:$AB$1203,$AE100)=0,"",INDEX(对接源_01水果!$AB$4:$AB$1203,$AE100)))</f>
      </c>
      <c r="L100" s="64">
        <f>IF($AE100="","",IF(INDEX(对接源_01水果!$M$4:$M$1203,$AE100)=0,"",INDEX(对接源_01水果!$M$4:$M$1203,$AE100)))</f>
      </c>
      <c r="AE100" s="2">
        <f>IFERROR(MATCH(95,_自动清单!$AM$4:$AM$2403,0),"")</f>
      </c>
    </row>
    <row r="101" ht="18" customHeight="1" s="127">
      <c r="A101" s="206">
        <f>IF($AE101="","",IF(INDEX(对接源_01水果!$B$4:$B$1203,$AE101)=0,"",INDEX(对接源_01水果!$B$4:$B$1203,$AE101)))</f>
      </c>
      <c r="B101" s="61">
        <f>IF($AE101="","",IF(INDEX(对接源_01水果!$E$4:$E$1203,$AE101)=0,"",INDEX(对接源_01水果!$E$4:$E$1203,$AE101)))</f>
      </c>
      <c r="C101" s="61">
        <f>IF($AE101="","",IF(INDEX(对接源_01水果!$F$4:$F$1203,$AE101)=0,"",INDEX(对接源_01水果!$F$4:$F$1203,$AE101)))</f>
      </c>
      <c r="D101" s="61">
        <f>IF($AE101="","",IF(INDEX(对接源_01水果!$G$4:$G$1203,$AE101)=0,"",INDEX(对接源_01水果!$G$4:$G$1203,$AE101)))</f>
      </c>
      <c r="E101" s="61">
        <f>IF($AE101="","",IF(INDEX(对接源_01水果!$H$4:$H$1203,$AE101)=0,"",INDEX(对接源_01水果!$H$4:$H$1203,$AE101)))</f>
      </c>
      <c r="F101" s="61">
        <f>IF($AE101="","",IF(INDEX(对接源_01水果!$I$4:$I$1203,$AE101)=0,"",INDEX(对接源_01水果!$I$4:$I$1203,$AE101)))</f>
      </c>
      <c r="G101" s="173">
        <f>IF($AE101="","",IF(INDEX(对接源_01水果!$Z$4:$Z$1203,$AE101)=0,"",INDEX(对接源_01水果!$Z$4:$Z$1203,$AE101)))</f>
      </c>
      <c r="H101" s="173">
        <f>IF($AE101="","",IF(INDEX(对接源_01水果!$AA$4:$AA$1203,$AE101)=0,"",INDEX(对接源_01水果!$AA$4:$AA$1203,$AE101)))</f>
      </c>
      <c r="I101" s="173">
        <f>IF($AE101="","",IF(INDEX(对接源_01水果!$AG$4:$AG$1203,$AE101)=0,"",INDEX(对接源_01水果!$AG$4:$AG$1203,$AE101)))</f>
      </c>
      <c r="J101" s="173">
        <f>IF($AE101="","",IF(INDEX(对接源_01水果!$AJ$4:$AJ$1203,$AE101)=0,"",INDEX(对接源_01水果!$AJ$4:$AJ$1203,$AE101)))</f>
      </c>
      <c r="K101" s="61">
        <f>IF($AE101="","",IF(INDEX(对接源_01水果!$AB$4:$AB$1203,$AE101)=0,"",INDEX(对接源_01水果!$AB$4:$AB$1203,$AE101)))</f>
      </c>
      <c r="L101" s="64">
        <f>IF($AE101="","",IF(INDEX(对接源_01水果!$M$4:$M$1203,$AE101)=0,"",INDEX(对接源_01水果!$M$4:$M$1203,$AE101)))</f>
      </c>
      <c r="AE101" s="2">
        <f>IFERROR(MATCH(96,_自动清单!$AM$4:$AM$2403,0),"")</f>
      </c>
    </row>
    <row r="102" ht="18" customHeight="1" s="127">
      <c r="A102" s="206">
        <f>IF($AE102="","",IF(INDEX(对接源_01水果!$B$4:$B$1203,$AE102)=0,"",INDEX(对接源_01水果!$B$4:$B$1203,$AE102)))</f>
      </c>
      <c r="B102" s="61">
        <f>IF($AE102="","",IF(INDEX(对接源_01水果!$E$4:$E$1203,$AE102)=0,"",INDEX(对接源_01水果!$E$4:$E$1203,$AE102)))</f>
      </c>
      <c r="C102" s="61">
        <f>IF($AE102="","",IF(INDEX(对接源_01水果!$F$4:$F$1203,$AE102)=0,"",INDEX(对接源_01水果!$F$4:$F$1203,$AE102)))</f>
      </c>
      <c r="D102" s="61">
        <f>IF($AE102="","",IF(INDEX(对接源_01水果!$G$4:$G$1203,$AE102)=0,"",INDEX(对接源_01水果!$G$4:$G$1203,$AE102)))</f>
      </c>
      <c r="E102" s="61">
        <f>IF($AE102="","",IF(INDEX(对接源_01水果!$H$4:$H$1203,$AE102)=0,"",INDEX(对接源_01水果!$H$4:$H$1203,$AE102)))</f>
      </c>
      <c r="F102" s="61">
        <f>IF($AE102="","",IF(INDEX(对接源_01水果!$I$4:$I$1203,$AE102)=0,"",INDEX(对接源_01水果!$I$4:$I$1203,$AE102)))</f>
      </c>
      <c r="G102" s="173">
        <f>IF($AE102="","",IF(INDEX(对接源_01水果!$Z$4:$Z$1203,$AE102)=0,"",INDEX(对接源_01水果!$Z$4:$Z$1203,$AE102)))</f>
      </c>
      <c r="H102" s="173">
        <f>IF($AE102="","",IF(INDEX(对接源_01水果!$AA$4:$AA$1203,$AE102)=0,"",INDEX(对接源_01水果!$AA$4:$AA$1203,$AE102)))</f>
      </c>
      <c r="I102" s="173">
        <f>IF($AE102="","",IF(INDEX(对接源_01水果!$AG$4:$AG$1203,$AE102)=0,"",INDEX(对接源_01水果!$AG$4:$AG$1203,$AE102)))</f>
      </c>
      <c r="J102" s="173">
        <f>IF($AE102="","",IF(INDEX(对接源_01水果!$AJ$4:$AJ$1203,$AE102)=0,"",INDEX(对接源_01水果!$AJ$4:$AJ$1203,$AE102)))</f>
      </c>
      <c r="K102" s="61">
        <f>IF($AE102="","",IF(INDEX(对接源_01水果!$AB$4:$AB$1203,$AE102)=0,"",INDEX(对接源_01水果!$AB$4:$AB$1203,$AE102)))</f>
      </c>
      <c r="L102" s="64">
        <f>IF($AE102="","",IF(INDEX(对接源_01水果!$M$4:$M$1203,$AE102)=0,"",INDEX(对接源_01水果!$M$4:$M$1203,$AE102)))</f>
      </c>
      <c r="AE102" s="2">
        <f>IFERROR(MATCH(97,_自动清单!$AM$4:$AM$2403,0),"")</f>
      </c>
    </row>
    <row r="103" ht="18" customHeight="1" s="127">
      <c r="A103" s="206">
        <f>IF($AE103="","",IF(INDEX(对接源_01水果!$B$4:$B$1203,$AE103)=0,"",INDEX(对接源_01水果!$B$4:$B$1203,$AE103)))</f>
      </c>
      <c r="B103" s="61">
        <f>IF($AE103="","",IF(INDEX(对接源_01水果!$E$4:$E$1203,$AE103)=0,"",INDEX(对接源_01水果!$E$4:$E$1203,$AE103)))</f>
      </c>
      <c r="C103" s="61">
        <f>IF($AE103="","",IF(INDEX(对接源_01水果!$F$4:$F$1203,$AE103)=0,"",INDEX(对接源_01水果!$F$4:$F$1203,$AE103)))</f>
      </c>
      <c r="D103" s="61">
        <f>IF($AE103="","",IF(INDEX(对接源_01水果!$G$4:$G$1203,$AE103)=0,"",INDEX(对接源_01水果!$G$4:$G$1203,$AE103)))</f>
      </c>
      <c r="E103" s="61">
        <f>IF($AE103="","",IF(INDEX(对接源_01水果!$H$4:$H$1203,$AE103)=0,"",INDEX(对接源_01水果!$H$4:$H$1203,$AE103)))</f>
      </c>
      <c r="F103" s="61">
        <f>IF($AE103="","",IF(INDEX(对接源_01水果!$I$4:$I$1203,$AE103)=0,"",INDEX(对接源_01水果!$I$4:$I$1203,$AE103)))</f>
      </c>
      <c r="G103" s="173">
        <f>IF($AE103="","",IF(INDEX(对接源_01水果!$Z$4:$Z$1203,$AE103)=0,"",INDEX(对接源_01水果!$Z$4:$Z$1203,$AE103)))</f>
      </c>
      <c r="H103" s="173">
        <f>IF($AE103="","",IF(INDEX(对接源_01水果!$AA$4:$AA$1203,$AE103)=0,"",INDEX(对接源_01水果!$AA$4:$AA$1203,$AE103)))</f>
      </c>
      <c r="I103" s="173">
        <f>IF($AE103="","",IF(INDEX(对接源_01水果!$AG$4:$AG$1203,$AE103)=0,"",INDEX(对接源_01水果!$AG$4:$AG$1203,$AE103)))</f>
      </c>
      <c r="J103" s="173">
        <f>IF($AE103="","",IF(INDEX(对接源_01水果!$AJ$4:$AJ$1203,$AE103)=0,"",INDEX(对接源_01水果!$AJ$4:$AJ$1203,$AE103)))</f>
      </c>
      <c r="K103" s="61">
        <f>IF($AE103="","",IF(INDEX(对接源_01水果!$AB$4:$AB$1203,$AE103)=0,"",INDEX(对接源_01水果!$AB$4:$AB$1203,$AE103)))</f>
      </c>
      <c r="L103" s="64">
        <f>IF($AE103="","",IF(INDEX(对接源_01水果!$M$4:$M$1203,$AE103)=0,"",INDEX(对接源_01水果!$M$4:$M$1203,$AE103)))</f>
      </c>
      <c r="AE103" s="2">
        <f>IFERROR(MATCH(98,_自动清单!$AM$4:$AM$2403,0),"")</f>
      </c>
    </row>
    <row r="104" ht="18" customHeight="1" s="127">
      <c r="A104" s="206">
        <f>IF($AE104="","",IF(INDEX(对接源_01水果!$B$4:$B$1203,$AE104)=0,"",INDEX(对接源_01水果!$B$4:$B$1203,$AE104)))</f>
      </c>
      <c r="B104" s="61">
        <f>IF($AE104="","",IF(INDEX(对接源_01水果!$E$4:$E$1203,$AE104)=0,"",INDEX(对接源_01水果!$E$4:$E$1203,$AE104)))</f>
      </c>
      <c r="C104" s="61">
        <f>IF($AE104="","",IF(INDEX(对接源_01水果!$F$4:$F$1203,$AE104)=0,"",INDEX(对接源_01水果!$F$4:$F$1203,$AE104)))</f>
      </c>
      <c r="D104" s="61">
        <f>IF($AE104="","",IF(INDEX(对接源_01水果!$G$4:$G$1203,$AE104)=0,"",INDEX(对接源_01水果!$G$4:$G$1203,$AE104)))</f>
      </c>
      <c r="E104" s="61">
        <f>IF($AE104="","",IF(INDEX(对接源_01水果!$H$4:$H$1203,$AE104)=0,"",INDEX(对接源_01水果!$H$4:$H$1203,$AE104)))</f>
      </c>
      <c r="F104" s="61">
        <f>IF($AE104="","",IF(INDEX(对接源_01水果!$I$4:$I$1203,$AE104)=0,"",INDEX(对接源_01水果!$I$4:$I$1203,$AE104)))</f>
      </c>
      <c r="G104" s="173">
        <f>IF($AE104="","",IF(INDEX(对接源_01水果!$Z$4:$Z$1203,$AE104)=0,"",INDEX(对接源_01水果!$Z$4:$Z$1203,$AE104)))</f>
      </c>
      <c r="H104" s="173">
        <f>IF($AE104="","",IF(INDEX(对接源_01水果!$AA$4:$AA$1203,$AE104)=0,"",INDEX(对接源_01水果!$AA$4:$AA$1203,$AE104)))</f>
      </c>
      <c r="I104" s="173">
        <f>IF($AE104="","",IF(INDEX(对接源_01水果!$AG$4:$AG$1203,$AE104)=0,"",INDEX(对接源_01水果!$AG$4:$AG$1203,$AE104)))</f>
      </c>
      <c r="J104" s="173">
        <f>IF($AE104="","",IF(INDEX(对接源_01水果!$AJ$4:$AJ$1203,$AE104)=0,"",INDEX(对接源_01水果!$AJ$4:$AJ$1203,$AE104)))</f>
      </c>
      <c r="K104" s="61">
        <f>IF($AE104="","",IF(INDEX(对接源_01水果!$AB$4:$AB$1203,$AE104)=0,"",INDEX(对接源_01水果!$AB$4:$AB$1203,$AE104)))</f>
      </c>
      <c r="L104" s="64">
        <f>IF($AE104="","",IF(INDEX(对接源_01水果!$M$4:$M$1203,$AE104)=0,"",INDEX(对接源_01水果!$M$4:$M$1203,$AE104)))</f>
      </c>
      <c r="AE104" s="2">
        <f>IFERROR(MATCH(99,_自动清单!$AM$4:$AM$2403,0),"")</f>
      </c>
    </row>
    <row r="105" ht="18" customHeight="1" s="127">
      <c r="A105" s="206">
        <f>IF($AE105="","",IF(INDEX(对接源_01水果!$B$4:$B$1203,$AE105)=0,"",INDEX(对接源_01水果!$B$4:$B$1203,$AE105)))</f>
      </c>
      <c r="B105" s="61">
        <f>IF($AE105="","",IF(INDEX(对接源_01水果!$E$4:$E$1203,$AE105)=0,"",INDEX(对接源_01水果!$E$4:$E$1203,$AE105)))</f>
      </c>
      <c r="C105" s="61">
        <f>IF($AE105="","",IF(INDEX(对接源_01水果!$F$4:$F$1203,$AE105)=0,"",INDEX(对接源_01水果!$F$4:$F$1203,$AE105)))</f>
      </c>
      <c r="D105" s="61">
        <f>IF($AE105="","",IF(INDEX(对接源_01水果!$G$4:$G$1203,$AE105)=0,"",INDEX(对接源_01水果!$G$4:$G$1203,$AE105)))</f>
      </c>
      <c r="E105" s="61">
        <f>IF($AE105="","",IF(INDEX(对接源_01水果!$H$4:$H$1203,$AE105)=0,"",INDEX(对接源_01水果!$H$4:$H$1203,$AE105)))</f>
      </c>
      <c r="F105" s="61">
        <f>IF($AE105="","",IF(INDEX(对接源_01水果!$I$4:$I$1203,$AE105)=0,"",INDEX(对接源_01水果!$I$4:$I$1203,$AE105)))</f>
      </c>
      <c r="G105" s="173">
        <f>IF($AE105="","",IF(INDEX(对接源_01水果!$Z$4:$Z$1203,$AE105)=0,"",INDEX(对接源_01水果!$Z$4:$Z$1203,$AE105)))</f>
      </c>
      <c r="H105" s="173">
        <f>IF($AE105="","",IF(INDEX(对接源_01水果!$AA$4:$AA$1203,$AE105)=0,"",INDEX(对接源_01水果!$AA$4:$AA$1203,$AE105)))</f>
      </c>
      <c r="I105" s="173">
        <f>IF($AE105="","",IF(INDEX(对接源_01水果!$AG$4:$AG$1203,$AE105)=0,"",INDEX(对接源_01水果!$AG$4:$AG$1203,$AE105)))</f>
      </c>
      <c r="J105" s="173">
        <f>IF($AE105="","",IF(INDEX(对接源_01水果!$AJ$4:$AJ$1203,$AE105)=0,"",INDEX(对接源_01水果!$AJ$4:$AJ$1203,$AE105)))</f>
      </c>
      <c r="K105" s="61">
        <f>IF($AE105="","",IF(INDEX(对接源_01水果!$AB$4:$AB$1203,$AE105)=0,"",INDEX(对接源_01水果!$AB$4:$AB$1203,$AE105)))</f>
      </c>
      <c r="L105" s="64">
        <f>IF($AE105="","",IF(INDEX(对接源_01水果!$M$4:$M$1203,$AE105)=0,"",INDEX(对接源_01水果!$M$4:$M$1203,$AE105)))</f>
      </c>
      <c r="AE105" s="2">
        <f>IFERROR(MATCH(100,_自动清单!$AM$4:$AM$2403,0),"")</f>
      </c>
    </row>
    <row r="106" ht="18" customHeight="1" s="127">
      <c r="A106" s="206">
        <f>IF($AE106="","",IF(INDEX(对接源_01水果!$B$4:$B$1203,$AE106)=0,"",INDEX(对接源_01水果!$B$4:$B$1203,$AE106)))</f>
      </c>
      <c r="B106" s="61">
        <f>IF($AE106="","",IF(INDEX(对接源_01水果!$E$4:$E$1203,$AE106)=0,"",INDEX(对接源_01水果!$E$4:$E$1203,$AE106)))</f>
      </c>
      <c r="C106" s="61">
        <f>IF($AE106="","",IF(INDEX(对接源_01水果!$F$4:$F$1203,$AE106)=0,"",INDEX(对接源_01水果!$F$4:$F$1203,$AE106)))</f>
      </c>
      <c r="D106" s="61">
        <f>IF($AE106="","",IF(INDEX(对接源_01水果!$G$4:$G$1203,$AE106)=0,"",INDEX(对接源_01水果!$G$4:$G$1203,$AE106)))</f>
      </c>
      <c r="E106" s="61">
        <f>IF($AE106="","",IF(INDEX(对接源_01水果!$H$4:$H$1203,$AE106)=0,"",INDEX(对接源_01水果!$H$4:$H$1203,$AE106)))</f>
      </c>
      <c r="F106" s="61">
        <f>IF($AE106="","",IF(INDEX(对接源_01水果!$I$4:$I$1203,$AE106)=0,"",INDEX(对接源_01水果!$I$4:$I$1203,$AE106)))</f>
      </c>
      <c r="G106" s="173">
        <f>IF($AE106="","",IF(INDEX(对接源_01水果!$Z$4:$Z$1203,$AE106)=0,"",INDEX(对接源_01水果!$Z$4:$Z$1203,$AE106)))</f>
      </c>
      <c r="H106" s="173">
        <f>IF($AE106="","",IF(INDEX(对接源_01水果!$AA$4:$AA$1203,$AE106)=0,"",INDEX(对接源_01水果!$AA$4:$AA$1203,$AE106)))</f>
      </c>
      <c r="I106" s="173">
        <f>IF($AE106="","",IF(INDEX(对接源_01水果!$AG$4:$AG$1203,$AE106)=0,"",INDEX(对接源_01水果!$AG$4:$AG$1203,$AE106)))</f>
      </c>
      <c r="J106" s="173">
        <f>IF($AE106="","",IF(INDEX(对接源_01水果!$AJ$4:$AJ$1203,$AE106)=0,"",INDEX(对接源_01水果!$AJ$4:$AJ$1203,$AE106)))</f>
      </c>
      <c r="K106" s="61">
        <f>IF($AE106="","",IF(INDEX(对接源_01水果!$AB$4:$AB$1203,$AE106)=0,"",INDEX(对接源_01水果!$AB$4:$AB$1203,$AE106)))</f>
      </c>
      <c r="L106" s="64">
        <f>IF($AE106="","",IF(INDEX(对接源_01水果!$M$4:$M$1203,$AE106)=0,"",INDEX(对接源_01水果!$M$4:$M$1203,$AE106)))</f>
      </c>
      <c r="AE106" s="2">
        <f>IFERROR(MATCH(101,_自动清单!$AM$4:$AM$2403,0),"")</f>
      </c>
    </row>
    <row r="107" ht="18" customHeight="1" s="127">
      <c r="A107" s="206">
        <f>IF($AE107="","",IF(INDEX(对接源_01水果!$B$4:$B$1203,$AE107)=0,"",INDEX(对接源_01水果!$B$4:$B$1203,$AE107)))</f>
      </c>
      <c r="B107" s="61">
        <f>IF($AE107="","",IF(INDEX(对接源_01水果!$E$4:$E$1203,$AE107)=0,"",INDEX(对接源_01水果!$E$4:$E$1203,$AE107)))</f>
      </c>
      <c r="C107" s="61">
        <f>IF($AE107="","",IF(INDEX(对接源_01水果!$F$4:$F$1203,$AE107)=0,"",INDEX(对接源_01水果!$F$4:$F$1203,$AE107)))</f>
      </c>
      <c r="D107" s="61">
        <f>IF($AE107="","",IF(INDEX(对接源_01水果!$G$4:$G$1203,$AE107)=0,"",INDEX(对接源_01水果!$G$4:$G$1203,$AE107)))</f>
      </c>
      <c r="E107" s="61">
        <f>IF($AE107="","",IF(INDEX(对接源_01水果!$H$4:$H$1203,$AE107)=0,"",INDEX(对接源_01水果!$H$4:$H$1203,$AE107)))</f>
      </c>
      <c r="F107" s="61">
        <f>IF($AE107="","",IF(INDEX(对接源_01水果!$I$4:$I$1203,$AE107)=0,"",INDEX(对接源_01水果!$I$4:$I$1203,$AE107)))</f>
      </c>
      <c r="G107" s="173">
        <f>IF($AE107="","",IF(INDEX(对接源_01水果!$Z$4:$Z$1203,$AE107)=0,"",INDEX(对接源_01水果!$Z$4:$Z$1203,$AE107)))</f>
      </c>
      <c r="H107" s="173">
        <f>IF($AE107="","",IF(INDEX(对接源_01水果!$AA$4:$AA$1203,$AE107)=0,"",INDEX(对接源_01水果!$AA$4:$AA$1203,$AE107)))</f>
      </c>
      <c r="I107" s="173">
        <f>IF($AE107="","",IF(INDEX(对接源_01水果!$AG$4:$AG$1203,$AE107)=0,"",INDEX(对接源_01水果!$AG$4:$AG$1203,$AE107)))</f>
      </c>
      <c r="J107" s="173">
        <f>IF($AE107="","",IF(INDEX(对接源_01水果!$AJ$4:$AJ$1203,$AE107)=0,"",INDEX(对接源_01水果!$AJ$4:$AJ$1203,$AE107)))</f>
      </c>
      <c r="K107" s="61">
        <f>IF($AE107="","",IF(INDEX(对接源_01水果!$AB$4:$AB$1203,$AE107)=0,"",INDEX(对接源_01水果!$AB$4:$AB$1203,$AE107)))</f>
      </c>
      <c r="L107" s="64">
        <f>IF($AE107="","",IF(INDEX(对接源_01水果!$M$4:$M$1203,$AE107)=0,"",INDEX(对接源_01水果!$M$4:$M$1203,$AE107)))</f>
      </c>
      <c r="AE107" s="2">
        <f>IFERROR(MATCH(102,_自动清单!$AM$4:$AM$2403,0),"")</f>
      </c>
    </row>
    <row r="108" ht="18" customHeight="1" s="127">
      <c r="A108" s="206">
        <f>IF($AE108="","",IF(INDEX(对接源_01水果!$B$4:$B$1203,$AE108)=0,"",INDEX(对接源_01水果!$B$4:$B$1203,$AE108)))</f>
      </c>
      <c r="B108" s="61">
        <f>IF($AE108="","",IF(INDEX(对接源_01水果!$E$4:$E$1203,$AE108)=0,"",INDEX(对接源_01水果!$E$4:$E$1203,$AE108)))</f>
      </c>
      <c r="C108" s="61">
        <f>IF($AE108="","",IF(INDEX(对接源_01水果!$F$4:$F$1203,$AE108)=0,"",INDEX(对接源_01水果!$F$4:$F$1203,$AE108)))</f>
      </c>
      <c r="D108" s="61">
        <f>IF($AE108="","",IF(INDEX(对接源_01水果!$G$4:$G$1203,$AE108)=0,"",INDEX(对接源_01水果!$G$4:$G$1203,$AE108)))</f>
      </c>
      <c r="E108" s="61">
        <f>IF($AE108="","",IF(INDEX(对接源_01水果!$H$4:$H$1203,$AE108)=0,"",INDEX(对接源_01水果!$H$4:$H$1203,$AE108)))</f>
      </c>
      <c r="F108" s="61">
        <f>IF($AE108="","",IF(INDEX(对接源_01水果!$I$4:$I$1203,$AE108)=0,"",INDEX(对接源_01水果!$I$4:$I$1203,$AE108)))</f>
      </c>
      <c r="G108" s="173">
        <f>IF($AE108="","",IF(INDEX(对接源_01水果!$Z$4:$Z$1203,$AE108)=0,"",INDEX(对接源_01水果!$Z$4:$Z$1203,$AE108)))</f>
      </c>
      <c r="H108" s="173">
        <f>IF($AE108="","",IF(INDEX(对接源_01水果!$AA$4:$AA$1203,$AE108)=0,"",INDEX(对接源_01水果!$AA$4:$AA$1203,$AE108)))</f>
      </c>
      <c r="I108" s="173">
        <f>IF($AE108="","",IF(INDEX(对接源_01水果!$AG$4:$AG$1203,$AE108)=0,"",INDEX(对接源_01水果!$AG$4:$AG$1203,$AE108)))</f>
      </c>
      <c r="J108" s="173">
        <f>IF($AE108="","",IF(INDEX(对接源_01水果!$AJ$4:$AJ$1203,$AE108)=0,"",INDEX(对接源_01水果!$AJ$4:$AJ$1203,$AE108)))</f>
      </c>
      <c r="K108" s="61">
        <f>IF($AE108="","",IF(INDEX(对接源_01水果!$AB$4:$AB$1203,$AE108)=0,"",INDEX(对接源_01水果!$AB$4:$AB$1203,$AE108)))</f>
      </c>
      <c r="L108" s="64">
        <f>IF($AE108="","",IF(INDEX(对接源_01水果!$M$4:$M$1203,$AE108)=0,"",INDEX(对接源_01水果!$M$4:$M$1203,$AE108)))</f>
      </c>
      <c r="AE108" s="2">
        <f>IFERROR(MATCH(103,_自动清单!$AM$4:$AM$2403,0),"")</f>
      </c>
    </row>
    <row r="109" ht="18" customHeight="1" s="127">
      <c r="A109" s="206">
        <f>IF($AE109="","",IF(INDEX(对接源_01水果!$B$4:$B$1203,$AE109)=0,"",INDEX(对接源_01水果!$B$4:$B$1203,$AE109)))</f>
      </c>
      <c r="B109" s="61">
        <f>IF($AE109="","",IF(INDEX(对接源_01水果!$E$4:$E$1203,$AE109)=0,"",INDEX(对接源_01水果!$E$4:$E$1203,$AE109)))</f>
      </c>
      <c r="C109" s="61">
        <f>IF($AE109="","",IF(INDEX(对接源_01水果!$F$4:$F$1203,$AE109)=0,"",INDEX(对接源_01水果!$F$4:$F$1203,$AE109)))</f>
      </c>
      <c r="D109" s="61">
        <f>IF($AE109="","",IF(INDEX(对接源_01水果!$G$4:$G$1203,$AE109)=0,"",INDEX(对接源_01水果!$G$4:$G$1203,$AE109)))</f>
      </c>
      <c r="E109" s="61">
        <f>IF($AE109="","",IF(INDEX(对接源_01水果!$H$4:$H$1203,$AE109)=0,"",INDEX(对接源_01水果!$H$4:$H$1203,$AE109)))</f>
      </c>
      <c r="F109" s="61">
        <f>IF($AE109="","",IF(INDEX(对接源_01水果!$I$4:$I$1203,$AE109)=0,"",INDEX(对接源_01水果!$I$4:$I$1203,$AE109)))</f>
      </c>
      <c r="G109" s="173">
        <f>IF($AE109="","",IF(INDEX(对接源_01水果!$Z$4:$Z$1203,$AE109)=0,"",INDEX(对接源_01水果!$Z$4:$Z$1203,$AE109)))</f>
      </c>
      <c r="H109" s="173">
        <f>IF($AE109="","",IF(INDEX(对接源_01水果!$AA$4:$AA$1203,$AE109)=0,"",INDEX(对接源_01水果!$AA$4:$AA$1203,$AE109)))</f>
      </c>
      <c r="I109" s="173">
        <f>IF($AE109="","",IF(INDEX(对接源_01水果!$AG$4:$AG$1203,$AE109)=0,"",INDEX(对接源_01水果!$AG$4:$AG$1203,$AE109)))</f>
      </c>
      <c r="J109" s="173">
        <f>IF($AE109="","",IF(INDEX(对接源_01水果!$AJ$4:$AJ$1203,$AE109)=0,"",INDEX(对接源_01水果!$AJ$4:$AJ$1203,$AE109)))</f>
      </c>
      <c r="K109" s="61">
        <f>IF($AE109="","",IF(INDEX(对接源_01水果!$AB$4:$AB$1203,$AE109)=0,"",INDEX(对接源_01水果!$AB$4:$AB$1203,$AE109)))</f>
      </c>
      <c r="L109" s="64">
        <f>IF($AE109="","",IF(INDEX(对接源_01水果!$M$4:$M$1203,$AE109)=0,"",INDEX(对接源_01水果!$M$4:$M$1203,$AE109)))</f>
      </c>
      <c r="AE109" s="2">
        <f>IFERROR(MATCH(104,_自动清单!$AM$4:$AM$2403,0),"")</f>
      </c>
    </row>
    <row r="110" ht="18" customHeight="1" s="127">
      <c r="A110" s="206">
        <f>IF($AE110="","",IF(INDEX(对接源_01水果!$B$4:$B$1203,$AE110)=0,"",INDEX(对接源_01水果!$B$4:$B$1203,$AE110)))</f>
      </c>
      <c r="B110" s="61">
        <f>IF($AE110="","",IF(INDEX(对接源_01水果!$E$4:$E$1203,$AE110)=0,"",INDEX(对接源_01水果!$E$4:$E$1203,$AE110)))</f>
      </c>
      <c r="C110" s="61">
        <f>IF($AE110="","",IF(INDEX(对接源_01水果!$F$4:$F$1203,$AE110)=0,"",INDEX(对接源_01水果!$F$4:$F$1203,$AE110)))</f>
      </c>
      <c r="D110" s="61">
        <f>IF($AE110="","",IF(INDEX(对接源_01水果!$G$4:$G$1203,$AE110)=0,"",INDEX(对接源_01水果!$G$4:$G$1203,$AE110)))</f>
      </c>
      <c r="E110" s="61">
        <f>IF($AE110="","",IF(INDEX(对接源_01水果!$H$4:$H$1203,$AE110)=0,"",INDEX(对接源_01水果!$H$4:$H$1203,$AE110)))</f>
      </c>
      <c r="F110" s="61">
        <f>IF($AE110="","",IF(INDEX(对接源_01水果!$I$4:$I$1203,$AE110)=0,"",INDEX(对接源_01水果!$I$4:$I$1203,$AE110)))</f>
      </c>
      <c r="G110" s="173">
        <f>IF($AE110="","",IF(INDEX(对接源_01水果!$Z$4:$Z$1203,$AE110)=0,"",INDEX(对接源_01水果!$Z$4:$Z$1203,$AE110)))</f>
      </c>
      <c r="H110" s="173">
        <f>IF($AE110="","",IF(INDEX(对接源_01水果!$AA$4:$AA$1203,$AE110)=0,"",INDEX(对接源_01水果!$AA$4:$AA$1203,$AE110)))</f>
      </c>
      <c r="I110" s="173">
        <f>IF($AE110="","",IF(INDEX(对接源_01水果!$AG$4:$AG$1203,$AE110)=0,"",INDEX(对接源_01水果!$AG$4:$AG$1203,$AE110)))</f>
      </c>
      <c r="J110" s="173">
        <f>IF($AE110="","",IF(INDEX(对接源_01水果!$AJ$4:$AJ$1203,$AE110)=0,"",INDEX(对接源_01水果!$AJ$4:$AJ$1203,$AE110)))</f>
      </c>
      <c r="K110" s="61">
        <f>IF($AE110="","",IF(INDEX(对接源_01水果!$AB$4:$AB$1203,$AE110)=0,"",INDEX(对接源_01水果!$AB$4:$AB$1203,$AE110)))</f>
      </c>
      <c r="L110" s="64">
        <f>IF($AE110="","",IF(INDEX(对接源_01水果!$M$4:$M$1203,$AE110)=0,"",INDEX(对接源_01水果!$M$4:$M$1203,$AE110)))</f>
      </c>
      <c r="AE110" s="2">
        <f>IFERROR(MATCH(105,_自动清单!$AM$4:$AM$2403,0),"")</f>
      </c>
    </row>
    <row r="111" ht="18" customHeight="1" s="127">
      <c r="A111" s="206">
        <f>IF($AE111="","",IF(INDEX(对接源_01水果!$B$4:$B$1203,$AE111)=0,"",INDEX(对接源_01水果!$B$4:$B$1203,$AE111)))</f>
      </c>
      <c r="B111" s="61">
        <f>IF($AE111="","",IF(INDEX(对接源_01水果!$E$4:$E$1203,$AE111)=0,"",INDEX(对接源_01水果!$E$4:$E$1203,$AE111)))</f>
      </c>
      <c r="C111" s="61">
        <f>IF($AE111="","",IF(INDEX(对接源_01水果!$F$4:$F$1203,$AE111)=0,"",INDEX(对接源_01水果!$F$4:$F$1203,$AE111)))</f>
      </c>
      <c r="D111" s="61">
        <f>IF($AE111="","",IF(INDEX(对接源_01水果!$G$4:$G$1203,$AE111)=0,"",INDEX(对接源_01水果!$G$4:$G$1203,$AE111)))</f>
      </c>
      <c r="E111" s="61">
        <f>IF($AE111="","",IF(INDEX(对接源_01水果!$H$4:$H$1203,$AE111)=0,"",INDEX(对接源_01水果!$H$4:$H$1203,$AE111)))</f>
      </c>
      <c r="F111" s="61">
        <f>IF($AE111="","",IF(INDEX(对接源_01水果!$I$4:$I$1203,$AE111)=0,"",INDEX(对接源_01水果!$I$4:$I$1203,$AE111)))</f>
      </c>
      <c r="G111" s="173">
        <f>IF($AE111="","",IF(INDEX(对接源_01水果!$Z$4:$Z$1203,$AE111)=0,"",INDEX(对接源_01水果!$Z$4:$Z$1203,$AE111)))</f>
      </c>
      <c r="H111" s="173">
        <f>IF($AE111="","",IF(INDEX(对接源_01水果!$AA$4:$AA$1203,$AE111)=0,"",INDEX(对接源_01水果!$AA$4:$AA$1203,$AE111)))</f>
      </c>
      <c r="I111" s="173">
        <f>IF($AE111="","",IF(INDEX(对接源_01水果!$AG$4:$AG$1203,$AE111)=0,"",INDEX(对接源_01水果!$AG$4:$AG$1203,$AE111)))</f>
      </c>
      <c r="J111" s="173">
        <f>IF($AE111="","",IF(INDEX(对接源_01水果!$AJ$4:$AJ$1203,$AE111)=0,"",INDEX(对接源_01水果!$AJ$4:$AJ$1203,$AE111)))</f>
      </c>
      <c r="K111" s="61">
        <f>IF($AE111="","",IF(INDEX(对接源_01水果!$AB$4:$AB$1203,$AE111)=0,"",INDEX(对接源_01水果!$AB$4:$AB$1203,$AE111)))</f>
      </c>
      <c r="L111" s="64">
        <f>IF($AE111="","",IF(INDEX(对接源_01水果!$M$4:$M$1203,$AE111)=0,"",INDEX(对接源_01水果!$M$4:$M$1203,$AE111)))</f>
      </c>
      <c r="AE111" s="2">
        <f>IFERROR(MATCH(106,_自动清单!$AM$4:$AM$2403,0),"")</f>
      </c>
    </row>
    <row r="112" ht="18" customHeight="1" s="127">
      <c r="A112" s="206">
        <f>IF($AE112="","",IF(INDEX(对接源_01水果!$B$4:$B$1203,$AE112)=0,"",INDEX(对接源_01水果!$B$4:$B$1203,$AE112)))</f>
      </c>
      <c r="B112" s="61">
        <f>IF($AE112="","",IF(INDEX(对接源_01水果!$E$4:$E$1203,$AE112)=0,"",INDEX(对接源_01水果!$E$4:$E$1203,$AE112)))</f>
      </c>
      <c r="C112" s="61">
        <f>IF($AE112="","",IF(INDEX(对接源_01水果!$F$4:$F$1203,$AE112)=0,"",INDEX(对接源_01水果!$F$4:$F$1203,$AE112)))</f>
      </c>
      <c r="D112" s="61">
        <f>IF($AE112="","",IF(INDEX(对接源_01水果!$G$4:$G$1203,$AE112)=0,"",INDEX(对接源_01水果!$G$4:$G$1203,$AE112)))</f>
      </c>
      <c r="E112" s="61">
        <f>IF($AE112="","",IF(INDEX(对接源_01水果!$H$4:$H$1203,$AE112)=0,"",INDEX(对接源_01水果!$H$4:$H$1203,$AE112)))</f>
      </c>
      <c r="F112" s="61">
        <f>IF($AE112="","",IF(INDEX(对接源_01水果!$I$4:$I$1203,$AE112)=0,"",INDEX(对接源_01水果!$I$4:$I$1203,$AE112)))</f>
      </c>
      <c r="G112" s="173">
        <f>IF($AE112="","",IF(INDEX(对接源_01水果!$Z$4:$Z$1203,$AE112)=0,"",INDEX(对接源_01水果!$Z$4:$Z$1203,$AE112)))</f>
      </c>
      <c r="H112" s="173">
        <f>IF($AE112="","",IF(INDEX(对接源_01水果!$AA$4:$AA$1203,$AE112)=0,"",INDEX(对接源_01水果!$AA$4:$AA$1203,$AE112)))</f>
      </c>
      <c r="I112" s="173">
        <f>IF($AE112="","",IF(INDEX(对接源_01水果!$AG$4:$AG$1203,$AE112)=0,"",INDEX(对接源_01水果!$AG$4:$AG$1203,$AE112)))</f>
      </c>
      <c r="J112" s="173">
        <f>IF($AE112="","",IF(INDEX(对接源_01水果!$AJ$4:$AJ$1203,$AE112)=0,"",INDEX(对接源_01水果!$AJ$4:$AJ$1203,$AE112)))</f>
      </c>
      <c r="K112" s="61">
        <f>IF($AE112="","",IF(INDEX(对接源_01水果!$AB$4:$AB$1203,$AE112)=0,"",INDEX(对接源_01水果!$AB$4:$AB$1203,$AE112)))</f>
      </c>
      <c r="L112" s="64">
        <f>IF($AE112="","",IF(INDEX(对接源_01水果!$M$4:$M$1203,$AE112)=0,"",INDEX(对接源_01水果!$M$4:$M$1203,$AE112)))</f>
      </c>
      <c r="AE112" s="2">
        <f>IFERROR(MATCH(107,_自动清单!$AM$4:$AM$2403,0),"")</f>
      </c>
    </row>
    <row r="113" ht="18" customHeight="1" s="127">
      <c r="A113" s="206">
        <f>IF($AE113="","",IF(INDEX(对接源_01水果!$B$4:$B$1203,$AE113)=0,"",INDEX(对接源_01水果!$B$4:$B$1203,$AE113)))</f>
      </c>
      <c r="B113" s="61">
        <f>IF($AE113="","",IF(INDEX(对接源_01水果!$E$4:$E$1203,$AE113)=0,"",INDEX(对接源_01水果!$E$4:$E$1203,$AE113)))</f>
      </c>
      <c r="C113" s="61">
        <f>IF($AE113="","",IF(INDEX(对接源_01水果!$F$4:$F$1203,$AE113)=0,"",INDEX(对接源_01水果!$F$4:$F$1203,$AE113)))</f>
      </c>
      <c r="D113" s="61">
        <f>IF($AE113="","",IF(INDEX(对接源_01水果!$G$4:$G$1203,$AE113)=0,"",INDEX(对接源_01水果!$G$4:$G$1203,$AE113)))</f>
      </c>
      <c r="E113" s="61">
        <f>IF($AE113="","",IF(INDEX(对接源_01水果!$H$4:$H$1203,$AE113)=0,"",INDEX(对接源_01水果!$H$4:$H$1203,$AE113)))</f>
      </c>
      <c r="F113" s="61">
        <f>IF($AE113="","",IF(INDEX(对接源_01水果!$I$4:$I$1203,$AE113)=0,"",INDEX(对接源_01水果!$I$4:$I$1203,$AE113)))</f>
      </c>
      <c r="G113" s="173">
        <f>IF($AE113="","",IF(INDEX(对接源_01水果!$Z$4:$Z$1203,$AE113)=0,"",INDEX(对接源_01水果!$Z$4:$Z$1203,$AE113)))</f>
      </c>
      <c r="H113" s="173">
        <f>IF($AE113="","",IF(INDEX(对接源_01水果!$AA$4:$AA$1203,$AE113)=0,"",INDEX(对接源_01水果!$AA$4:$AA$1203,$AE113)))</f>
      </c>
      <c r="I113" s="173">
        <f>IF($AE113="","",IF(INDEX(对接源_01水果!$AG$4:$AG$1203,$AE113)=0,"",INDEX(对接源_01水果!$AG$4:$AG$1203,$AE113)))</f>
      </c>
      <c r="J113" s="173">
        <f>IF($AE113="","",IF(INDEX(对接源_01水果!$AJ$4:$AJ$1203,$AE113)=0,"",INDEX(对接源_01水果!$AJ$4:$AJ$1203,$AE113)))</f>
      </c>
      <c r="K113" s="61">
        <f>IF($AE113="","",IF(INDEX(对接源_01水果!$AB$4:$AB$1203,$AE113)=0,"",INDEX(对接源_01水果!$AB$4:$AB$1203,$AE113)))</f>
      </c>
      <c r="L113" s="64">
        <f>IF($AE113="","",IF(INDEX(对接源_01水果!$M$4:$M$1203,$AE113)=0,"",INDEX(对接源_01水果!$M$4:$M$1203,$AE113)))</f>
      </c>
      <c r="AE113" s="2">
        <f>IFERROR(MATCH(108,_自动清单!$AM$4:$AM$2403,0),"")</f>
      </c>
    </row>
    <row r="114" ht="18" customHeight="1" s="127">
      <c r="A114" s="206">
        <f>IF($AE114="","",IF(INDEX(对接源_01水果!$B$4:$B$1203,$AE114)=0,"",INDEX(对接源_01水果!$B$4:$B$1203,$AE114)))</f>
      </c>
      <c r="B114" s="61">
        <f>IF($AE114="","",IF(INDEX(对接源_01水果!$E$4:$E$1203,$AE114)=0,"",INDEX(对接源_01水果!$E$4:$E$1203,$AE114)))</f>
      </c>
      <c r="C114" s="61">
        <f>IF($AE114="","",IF(INDEX(对接源_01水果!$F$4:$F$1203,$AE114)=0,"",INDEX(对接源_01水果!$F$4:$F$1203,$AE114)))</f>
      </c>
      <c r="D114" s="61">
        <f>IF($AE114="","",IF(INDEX(对接源_01水果!$G$4:$G$1203,$AE114)=0,"",INDEX(对接源_01水果!$G$4:$G$1203,$AE114)))</f>
      </c>
      <c r="E114" s="61">
        <f>IF($AE114="","",IF(INDEX(对接源_01水果!$H$4:$H$1203,$AE114)=0,"",INDEX(对接源_01水果!$H$4:$H$1203,$AE114)))</f>
      </c>
      <c r="F114" s="61">
        <f>IF($AE114="","",IF(INDEX(对接源_01水果!$I$4:$I$1203,$AE114)=0,"",INDEX(对接源_01水果!$I$4:$I$1203,$AE114)))</f>
      </c>
      <c r="G114" s="173">
        <f>IF($AE114="","",IF(INDEX(对接源_01水果!$Z$4:$Z$1203,$AE114)=0,"",INDEX(对接源_01水果!$Z$4:$Z$1203,$AE114)))</f>
      </c>
      <c r="H114" s="173">
        <f>IF($AE114="","",IF(INDEX(对接源_01水果!$AA$4:$AA$1203,$AE114)=0,"",INDEX(对接源_01水果!$AA$4:$AA$1203,$AE114)))</f>
      </c>
      <c r="I114" s="173">
        <f>IF($AE114="","",IF(INDEX(对接源_01水果!$AG$4:$AG$1203,$AE114)=0,"",INDEX(对接源_01水果!$AG$4:$AG$1203,$AE114)))</f>
      </c>
      <c r="J114" s="173">
        <f>IF($AE114="","",IF(INDEX(对接源_01水果!$AJ$4:$AJ$1203,$AE114)=0,"",INDEX(对接源_01水果!$AJ$4:$AJ$1203,$AE114)))</f>
      </c>
      <c r="K114" s="61">
        <f>IF($AE114="","",IF(INDEX(对接源_01水果!$AB$4:$AB$1203,$AE114)=0,"",INDEX(对接源_01水果!$AB$4:$AB$1203,$AE114)))</f>
      </c>
      <c r="L114" s="64">
        <f>IF($AE114="","",IF(INDEX(对接源_01水果!$M$4:$M$1203,$AE114)=0,"",INDEX(对接源_01水果!$M$4:$M$1203,$AE114)))</f>
      </c>
      <c r="AE114" s="2">
        <f>IFERROR(MATCH(109,_自动清单!$AM$4:$AM$2403,0),"")</f>
      </c>
    </row>
    <row r="115" ht="18" customHeight="1" s="127">
      <c r="A115" s="206">
        <f>IF($AE115="","",IF(INDEX(对接源_01水果!$B$4:$B$1203,$AE115)=0,"",INDEX(对接源_01水果!$B$4:$B$1203,$AE115)))</f>
      </c>
      <c r="B115" s="61">
        <f>IF($AE115="","",IF(INDEX(对接源_01水果!$E$4:$E$1203,$AE115)=0,"",INDEX(对接源_01水果!$E$4:$E$1203,$AE115)))</f>
      </c>
      <c r="C115" s="61">
        <f>IF($AE115="","",IF(INDEX(对接源_01水果!$F$4:$F$1203,$AE115)=0,"",INDEX(对接源_01水果!$F$4:$F$1203,$AE115)))</f>
      </c>
      <c r="D115" s="61">
        <f>IF($AE115="","",IF(INDEX(对接源_01水果!$G$4:$G$1203,$AE115)=0,"",INDEX(对接源_01水果!$G$4:$G$1203,$AE115)))</f>
      </c>
      <c r="E115" s="61">
        <f>IF($AE115="","",IF(INDEX(对接源_01水果!$H$4:$H$1203,$AE115)=0,"",INDEX(对接源_01水果!$H$4:$H$1203,$AE115)))</f>
      </c>
      <c r="F115" s="61">
        <f>IF($AE115="","",IF(INDEX(对接源_01水果!$I$4:$I$1203,$AE115)=0,"",INDEX(对接源_01水果!$I$4:$I$1203,$AE115)))</f>
      </c>
      <c r="G115" s="173">
        <f>IF($AE115="","",IF(INDEX(对接源_01水果!$Z$4:$Z$1203,$AE115)=0,"",INDEX(对接源_01水果!$Z$4:$Z$1203,$AE115)))</f>
      </c>
      <c r="H115" s="173">
        <f>IF($AE115="","",IF(INDEX(对接源_01水果!$AA$4:$AA$1203,$AE115)=0,"",INDEX(对接源_01水果!$AA$4:$AA$1203,$AE115)))</f>
      </c>
      <c r="I115" s="173">
        <f>IF($AE115="","",IF(INDEX(对接源_01水果!$AG$4:$AG$1203,$AE115)=0,"",INDEX(对接源_01水果!$AG$4:$AG$1203,$AE115)))</f>
      </c>
      <c r="J115" s="173">
        <f>IF($AE115="","",IF(INDEX(对接源_01水果!$AJ$4:$AJ$1203,$AE115)=0,"",INDEX(对接源_01水果!$AJ$4:$AJ$1203,$AE115)))</f>
      </c>
      <c r="K115" s="61">
        <f>IF($AE115="","",IF(INDEX(对接源_01水果!$AB$4:$AB$1203,$AE115)=0,"",INDEX(对接源_01水果!$AB$4:$AB$1203,$AE115)))</f>
      </c>
      <c r="L115" s="64">
        <f>IF($AE115="","",IF(INDEX(对接源_01水果!$M$4:$M$1203,$AE115)=0,"",INDEX(对接源_01水果!$M$4:$M$1203,$AE115)))</f>
      </c>
      <c r="AE115" s="2">
        <f>IFERROR(MATCH(110,_自动清单!$AM$4:$AM$2403,0),"")</f>
      </c>
    </row>
    <row r="116" ht="18" customHeight="1" s="127">
      <c r="A116" s="206">
        <f>IF($AE116="","",IF(INDEX(对接源_01水果!$B$4:$B$1203,$AE116)=0,"",INDEX(对接源_01水果!$B$4:$B$1203,$AE116)))</f>
      </c>
      <c r="B116" s="61">
        <f>IF($AE116="","",IF(INDEX(对接源_01水果!$E$4:$E$1203,$AE116)=0,"",INDEX(对接源_01水果!$E$4:$E$1203,$AE116)))</f>
      </c>
      <c r="C116" s="61">
        <f>IF($AE116="","",IF(INDEX(对接源_01水果!$F$4:$F$1203,$AE116)=0,"",INDEX(对接源_01水果!$F$4:$F$1203,$AE116)))</f>
      </c>
      <c r="D116" s="61">
        <f>IF($AE116="","",IF(INDEX(对接源_01水果!$G$4:$G$1203,$AE116)=0,"",INDEX(对接源_01水果!$G$4:$G$1203,$AE116)))</f>
      </c>
      <c r="E116" s="61">
        <f>IF($AE116="","",IF(INDEX(对接源_01水果!$H$4:$H$1203,$AE116)=0,"",INDEX(对接源_01水果!$H$4:$H$1203,$AE116)))</f>
      </c>
      <c r="F116" s="61">
        <f>IF($AE116="","",IF(INDEX(对接源_01水果!$I$4:$I$1203,$AE116)=0,"",INDEX(对接源_01水果!$I$4:$I$1203,$AE116)))</f>
      </c>
      <c r="G116" s="173">
        <f>IF($AE116="","",IF(INDEX(对接源_01水果!$Z$4:$Z$1203,$AE116)=0,"",INDEX(对接源_01水果!$Z$4:$Z$1203,$AE116)))</f>
      </c>
      <c r="H116" s="173">
        <f>IF($AE116="","",IF(INDEX(对接源_01水果!$AA$4:$AA$1203,$AE116)=0,"",INDEX(对接源_01水果!$AA$4:$AA$1203,$AE116)))</f>
      </c>
      <c r="I116" s="173">
        <f>IF($AE116="","",IF(INDEX(对接源_01水果!$AG$4:$AG$1203,$AE116)=0,"",INDEX(对接源_01水果!$AG$4:$AG$1203,$AE116)))</f>
      </c>
      <c r="J116" s="173">
        <f>IF($AE116="","",IF(INDEX(对接源_01水果!$AJ$4:$AJ$1203,$AE116)=0,"",INDEX(对接源_01水果!$AJ$4:$AJ$1203,$AE116)))</f>
      </c>
      <c r="K116" s="61">
        <f>IF($AE116="","",IF(INDEX(对接源_01水果!$AB$4:$AB$1203,$AE116)=0,"",INDEX(对接源_01水果!$AB$4:$AB$1203,$AE116)))</f>
      </c>
      <c r="L116" s="64">
        <f>IF($AE116="","",IF(INDEX(对接源_01水果!$M$4:$M$1203,$AE116)=0,"",INDEX(对接源_01水果!$M$4:$M$1203,$AE116)))</f>
      </c>
      <c r="AE116" s="2">
        <f>IFERROR(MATCH(111,_自动清单!$AM$4:$AM$2403,0),"")</f>
      </c>
    </row>
    <row r="117" ht="18" customHeight="1" s="127">
      <c r="A117" s="206">
        <f>IF($AE117="","",IF(INDEX(对接源_01水果!$B$4:$B$1203,$AE117)=0,"",INDEX(对接源_01水果!$B$4:$B$1203,$AE117)))</f>
      </c>
      <c r="B117" s="61">
        <f>IF($AE117="","",IF(INDEX(对接源_01水果!$E$4:$E$1203,$AE117)=0,"",INDEX(对接源_01水果!$E$4:$E$1203,$AE117)))</f>
      </c>
      <c r="C117" s="61">
        <f>IF($AE117="","",IF(INDEX(对接源_01水果!$F$4:$F$1203,$AE117)=0,"",INDEX(对接源_01水果!$F$4:$F$1203,$AE117)))</f>
      </c>
      <c r="D117" s="61">
        <f>IF($AE117="","",IF(INDEX(对接源_01水果!$G$4:$G$1203,$AE117)=0,"",INDEX(对接源_01水果!$G$4:$G$1203,$AE117)))</f>
      </c>
      <c r="E117" s="61">
        <f>IF($AE117="","",IF(INDEX(对接源_01水果!$H$4:$H$1203,$AE117)=0,"",INDEX(对接源_01水果!$H$4:$H$1203,$AE117)))</f>
      </c>
      <c r="F117" s="61">
        <f>IF($AE117="","",IF(INDEX(对接源_01水果!$I$4:$I$1203,$AE117)=0,"",INDEX(对接源_01水果!$I$4:$I$1203,$AE117)))</f>
      </c>
      <c r="G117" s="173">
        <f>IF($AE117="","",IF(INDEX(对接源_01水果!$Z$4:$Z$1203,$AE117)=0,"",INDEX(对接源_01水果!$Z$4:$Z$1203,$AE117)))</f>
      </c>
      <c r="H117" s="173">
        <f>IF($AE117="","",IF(INDEX(对接源_01水果!$AA$4:$AA$1203,$AE117)=0,"",INDEX(对接源_01水果!$AA$4:$AA$1203,$AE117)))</f>
      </c>
      <c r="I117" s="173">
        <f>IF($AE117="","",IF(INDEX(对接源_01水果!$AG$4:$AG$1203,$AE117)=0,"",INDEX(对接源_01水果!$AG$4:$AG$1203,$AE117)))</f>
      </c>
      <c r="J117" s="173">
        <f>IF($AE117="","",IF(INDEX(对接源_01水果!$AJ$4:$AJ$1203,$AE117)=0,"",INDEX(对接源_01水果!$AJ$4:$AJ$1203,$AE117)))</f>
      </c>
      <c r="K117" s="61">
        <f>IF($AE117="","",IF(INDEX(对接源_01水果!$AB$4:$AB$1203,$AE117)=0,"",INDEX(对接源_01水果!$AB$4:$AB$1203,$AE117)))</f>
      </c>
      <c r="L117" s="64">
        <f>IF($AE117="","",IF(INDEX(对接源_01水果!$M$4:$M$1203,$AE117)=0,"",INDEX(对接源_01水果!$M$4:$M$1203,$AE117)))</f>
      </c>
      <c r="AE117" s="2">
        <f>IFERROR(MATCH(112,_自动清单!$AM$4:$AM$2403,0),"")</f>
      </c>
    </row>
    <row r="118" ht="18" customHeight="1" s="127">
      <c r="A118" s="206">
        <f>IF($AE118="","",IF(INDEX(对接源_01水果!$B$4:$B$1203,$AE118)=0,"",INDEX(对接源_01水果!$B$4:$B$1203,$AE118)))</f>
      </c>
      <c r="B118" s="61">
        <f>IF($AE118="","",IF(INDEX(对接源_01水果!$E$4:$E$1203,$AE118)=0,"",INDEX(对接源_01水果!$E$4:$E$1203,$AE118)))</f>
      </c>
      <c r="C118" s="61">
        <f>IF($AE118="","",IF(INDEX(对接源_01水果!$F$4:$F$1203,$AE118)=0,"",INDEX(对接源_01水果!$F$4:$F$1203,$AE118)))</f>
      </c>
      <c r="D118" s="61">
        <f>IF($AE118="","",IF(INDEX(对接源_01水果!$G$4:$G$1203,$AE118)=0,"",INDEX(对接源_01水果!$G$4:$G$1203,$AE118)))</f>
      </c>
      <c r="E118" s="61">
        <f>IF($AE118="","",IF(INDEX(对接源_01水果!$H$4:$H$1203,$AE118)=0,"",INDEX(对接源_01水果!$H$4:$H$1203,$AE118)))</f>
      </c>
      <c r="F118" s="61">
        <f>IF($AE118="","",IF(INDEX(对接源_01水果!$I$4:$I$1203,$AE118)=0,"",INDEX(对接源_01水果!$I$4:$I$1203,$AE118)))</f>
      </c>
      <c r="G118" s="173">
        <f>IF($AE118="","",IF(INDEX(对接源_01水果!$Z$4:$Z$1203,$AE118)=0,"",INDEX(对接源_01水果!$Z$4:$Z$1203,$AE118)))</f>
      </c>
      <c r="H118" s="173">
        <f>IF($AE118="","",IF(INDEX(对接源_01水果!$AA$4:$AA$1203,$AE118)=0,"",INDEX(对接源_01水果!$AA$4:$AA$1203,$AE118)))</f>
      </c>
      <c r="I118" s="173">
        <f>IF($AE118="","",IF(INDEX(对接源_01水果!$AG$4:$AG$1203,$AE118)=0,"",INDEX(对接源_01水果!$AG$4:$AG$1203,$AE118)))</f>
      </c>
      <c r="J118" s="173">
        <f>IF($AE118="","",IF(INDEX(对接源_01水果!$AJ$4:$AJ$1203,$AE118)=0,"",INDEX(对接源_01水果!$AJ$4:$AJ$1203,$AE118)))</f>
      </c>
      <c r="K118" s="61">
        <f>IF($AE118="","",IF(INDEX(对接源_01水果!$AB$4:$AB$1203,$AE118)=0,"",INDEX(对接源_01水果!$AB$4:$AB$1203,$AE118)))</f>
      </c>
      <c r="L118" s="64">
        <f>IF($AE118="","",IF(INDEX(对接源_01水果!$M$4:$M$1203,$AE118)=0,"",INDEX(对接源_01水果!$M$4:$M$1203,$AE118)))</f>
      </c>
      <c r="AE118" s="2">
        <f>IFERROR(MATCH(113,_自动清单!$AM$4:$AM$2403,0),"")</f>
      </c>
    </row>
    <row r="119" ht="18" customHeight="1" s="127">
      <c r="A119" s="206">
        <f>IF($AE119="","",IF(INDEX(对接源_01水果!$B$4:$B$1203,$AE119)=0,"",INDEX(对接源_01水果!$B$4:$B$1203,$AE119)))</f>
      </c>
      <c r="B119" s="61">
        <f>IF($AE119="","",IF(INDEX(对接源_01水果!$E$4:$E$1203,$AE119)=0,"",INDEX(对接源_01水果!$E$4:$E$1203,$AE119)))</f>
      </c>
      <c r="C119" s="61">
        <f>IF($AE119="","",IF(INDEX(对接源_01水果!$F$4:$F$1203,$AE119)=0,"",INDEX(对接源_01水果!$F$4:$F$1203,$AE119)))</f>
      </c>
      <c r="D119" s="61">
        <f>IF($AE119="","",IF(INDEX(对接源_01水果!$G$4:$G$1203,$AE119)=0,"",INDEX(对接源_01水果!$G$4:$G$1203,$AE119)))</f>
      </c>
      <c r="E119" s="61">
        <f>IF($AE119="","",IF(INDEX(对接源_01水果!$H$4:$H$1203,$AE119)=0,"",INDEX(对接源_01水果!$H$4:$H$1203,$AE119)))</f>
      </c>
      <c r="F119" s="61">
        <f>IF($AE119="","",IF(INDEX(对接源_01水果!$I$4:$I$1203,$AE119)=0,"",INDEX(对接源_01水果!$I$4:$I$1203,$AE119)))</f>
      </c>
      <c r="G119" s="173">
        <f>IF($AE119="","",IF(INDEX(对接源_01水果!$Z$4:$Z$1203,$AE119)=0,"",INDEX(对接源_01水果!$Z$4:$Z$1203,$AE119)))</f>
      </c>
      <c r="H119" s="173">
        <f>IF($AE119="","",IF(INDEX(对接源_01水果!$AA$4:$AA$1203,$AE119)=0,"",INDEX(对接源_01水果!$AA$4:$AA$1203,$AE119)))</f>
      </c>
      <c r="I119" s="173">
        <f>IF($AE119="","",IF(INDEX(对接源_01水果!$AG$4:$AG$1203,$AE119)=0,"",INDEX(对接源_01水果!$AG$4:$AG$1203,$AE119)))</f>
      </c>
      <c r="J119" s="173">
        <f>IF($AE119="","",IF(INDEX(对接源_01水果!$AJ$4:$AJ$1203,$AE119)=0,"",INDEX(对接源_01水果!$AJ$4:$AJ$1203,$AE119)))</f>
      </c>
      <c r="K119" s="61">
        <f>IF($AE119="","",IF(INDEX(对接源_01水果!$AB$4:$AB$1203,$AE119)=0,"",INDEX(对接源_01水果!$AB$4:$AB$1203,$AE119)))</f>
      </c>
      <c r="L119" s="64">
        <f>IF($AE119="","",IF(INDEX(对接源_01水果!$M$4:$M$1203,$AE119)=0,"",INDEX(对接源_01水果!$M$4:$M$1203,$AE119)))</f>
      </c>
      <c r="AE119" s="2">
        <f>IFERROR(MATCH(114,_自动清单!$AM$4:$AM$2403,0),"")</f>
      </c>
    </row>
    <row r="120" ht="18" customHeight="1" s="127">
      <c r="A120" s="206">
        <f>IF($AE120="","",IF(INDEX(对接源_01水果!$B$4:$B$1203,$AE120)=0,"",INDEX(对接源_01水果!$B$4:$B$1203,$AE120)))</f>
      </c>
      <c r="B120" s="61">
        <f>IF($AE120="","",IF(INDEX(对接源_01水果!$E$4:$E$1203,$AE120)=0,"",INDEX(对接源_01水果!$E$4:$E$1203,$AE120)))</f>
      </c>
      <c r="C120" s="61">
        <f>IF($AE120="","",IF(INDEX(对接源_01水果!$F$4:$F$1203,$AE120)=0,"",INDEX(对接源_01水果!$F$4:$F$1203,$AE120)))</f>
      </c>
      <c r="D120" s="61">
        <f>IF($AE120="","",IF(INDEX(对接源_01水果!$G$4:$G$1203,$AE120)=0,"",INDEX(对接源_01水果!$G$4:$G$1203,$AE120)))</f>
      </c>
      <c r="E120" s="61">
        <f>IF($AE120="","",IF(INDEX(对接源_01水果!$H$4:$H$1203,$AE120)=0,"",INDEX(对接源_01水果!$H$4:$H$1203,$AE120)))</f>
      </c>
      <c r="F120" s="61">
        <f>IF($AE120="","",IF(INDEX(对接源_01水果!$I$4:$I$1203,$AE120)=0,"",INDEX(对接源_01水果!$I$4:$I$1203,$AE120)))</f>
      </c>
      <c r="G120" s="173">
        <f>IF($AE120="","",IF(INDEX(对接源_01水果!$Z$4:$Z$1203,$AE120)=0,"",INDEX(对接源_01水果!$Z$4:$Z$1203,$AE120)))</f>
      </c>
      <c r="H120" s="173">
        <f>IF($AE120="","",IF(INDEX(对接源_01水果!$AA$4:$AA$1203,$AE120)=0,"",INDEX(对接源_01水果!$AA$4:$AA$1203,$AE120)))</f>
      </c>
      <c r="I120" s="173">
        <f>IF($AE120="","",IF(INDEX(对接源_01水果!$AG$4:$AG$1203,$AE120)=0,"",INDEX(对接源_01水果!$AG$4:$AG$1203,$AE120)))</f>
      </c>
      <c r="J120" s="173">
        <f>IF($AE120="","",IF(INDEX(对接源_01水果!$AJ$4:$AJ$1203,$AE120)=0,"",INDEX(对接源_01水果!$AJ$4:$AJ$1203,$AE120)))</f>
      </c>
      <c r="K120" s="61">
        <f>IF($AE120="","",IF(INDEX(对接源_01水果!$AB$4:$AB$1203,$AE120)=0,"",INDEX(对接源_01水果!$AB$4:$AB$1203,$AE120)))</f>
      </c>
      <c r="L120" s="64">
        <f>IF($AE120="","",IF(INDEX(对接源_01水果!$M$4:$M$1203,$AE120)=0,"",INDEX(对接源_01水果!$M$4:$M$1203,$AE120)))</f>
      </c>
      <c r="AE120" s="2">
        <f>IFERROR(MATCH(115,_自动清单!$AM$4:$AM$2403,0),"")</f>
      </c>
    </row>
    <row r="121" ht="18" customHeight="1" s="127">
      <c r="A121" s="206">
        <f>IF($AE121="","",IF(INDEX(对接源_01水果!$B$4:$B$1203,$AE121)=0,"",INDEX(对接源_01水果!$B$4:$B$1203,$AE121)))</f>
      </c>
      <c r="B121" s="61">
        <f>IF($AE121="","",IF(INDEX(对接源_01水果!$E$4:$E$1203,$AE121)=0,"",INDEX(对接源_01水果!$E$4:$E$1203,$AE121)))</f>
      </c>
      <c r="C121" s="61">
        <f>IF($AE121="","",IF(INDEX(对接源_01水果!$F$4:$F$1203,$AE121)=0,"",INDEX(对接源_01水果!$F$4:$F$1203,$AE121)))</f>
      </c>
      <c r="D121" s="61">
        <f>IF($AE121="","",IF(INDEX(对接源_01水果!$G$4:$G$1203,$AE121)=0,"",INDEX(对接源_01水果!$G$4:$G$1203,$AE121)))</f>
      </c>
      <c r="E121" s="61">
        <f>IF($AE121="","",IF(INDEX(对接源_01水果!$H$4:$H$1203,$AE121)=0,"",INDEX(对接源_01水果!$H$4:$H$1203,$AE121)))</f>
      </c>
      <c r="F121" s="61">
        <f>IF($AE121="","",IF(INDEX(对接源_01水果!$I$4:$I$1203,$AE121)=0,"",INDEX(对接源_01水果!$I$4:$I$1203,$AE121)))</f>
      </c>
      <c r="G121" s="173">
        <f>IF($AE121="","",IF(INDEX(对接源_01水果!$Z$4:$Z$1203,$AE121)=0,"",INDEX(对接源_01水果!$Z$4:$Z$1203,$AE121)))</f>
      </c>
      <c r="H121" s="173">
        <f>IF($AE121="","",IF(INDEX(对接源_01水果!$AA$4:$AA$1203,$AE121)=0,"",INDEX(对接源_01水果!$AA$4:$AA$1203,$AE121)))</f>
      </c>
      <c r="I121" s="173">
        <f>IF($AE121="","",IF(INDEX(对接源_01水果!$AG$4:$AG$1203,$AE121)=0,"",INDEX(对接源_01水果!$AG$4:$AG$1203,$AE121)))</f>
      </c>
      <c r="J121" s="173">
        <f>IF($AE121="","",IF(INDEX(对接源_01水果!$AJ$4:$AJ$1203,$AE121)=0,"",INDEX(对接源_01水果!$AJ$4:$AJ$1203,$AE121)))</f>
      </c>
      <c r="K121" s="61">
        <f>IF($AE121="","",IF(INDEX(对接源_01水果!$AB$4:$AB$1203,$AE121)=0,"",INDEX(对接源_01水果!$AB$4:$AB$1203,$AE121)))</f>
      </c>
      <c r="L121" s="64">
        <f>IF($AE121="","",IF(INDEX(对接源_01水果!$M$4:$M$1203,$AE121)=0,"",INDEX(对接源_01水果!$M$4:$M$1203,$AE121)))</f>
      </c>
      <c r="AE121" s="2">
        <f>IFERROR(MATCH(116,_自动清单!$AM$4:$AM$2403,0),"")</f>
      </c>
    </row>
    <row r="122" ht="18" customHeight="1" s="127">
      <c r="A122" s="206">
        <f>IF($AE122="","",IF(INDEX(对接源_01水果!$B$4:$B$1203,$AE122)=0,"",INDEX(对接源_01水果!$B$4:$B$1203,$AE122)))</f>
      </c>
      <c r="B122" s="61">
        <f>IF($AE122="","",IF(INDEX(对接源_01水果!$E$4:$E$1203,$AE122)=0,"",INDEX(对接源_01水果!$E$4:$E$1203,$AE122)))</f>
      </c>
      <c r="C122" s="61">
        <f>IF($AE122="","",IF(INDEX(对接源_01水果!$F$4:$F$1203,$AE122)=0,"",INDEX(对接源_01水果!$F$4:$F$1203,$AE122)))</f>
      </c>
      <c r="D122" s="61">
        <f>IF($AE122="","",IF(INDEX(对接源_01水果!$G$4:$G$1203,$AE122)=0,"",INDEX(对接源_01水果!$G$4:$G$1203,$AE122)))</f>
      </c>
      <c r="E122" s="61">
        <f>IF($AE122="","",IF(INDEX(对接源_01水果!$H$4:$H$1203,$AE122)=0,"",INDEX(对接源_01水果!$H$4:$H$1203,$AE122)))</f>
      </c>
      <c r="F122" s="61">
        <f>IF($AE122="","",IF(INDEX(对接源_01水果!$I$4:$I$1203,$AE122)=0,"",INDEX(对接源_01水果!$I$4:$I$1203,$AE122)))</f>
      </c>
      <c r="G122" s="173">
        <f>IF($AE122="","",IF(INDEX(对接源_01水果!$Z$4:$Z$1203,$AE122)=0,"",INDEX(对接源_01水果!$Z$4:$Z$1203,$AE122)))</f>
      </c>
      <c r="H122" s="173">
        <f>IF($AE122="","",IF(INDEX(对接源_01水果!$AA$4:$AA$1203,$AE122)=0,"",INDEX(对接源_01水果!$AA$4:$AA$1203,$AE122)))</f>
      </c>
      <c r="I122" s="173">
        <f>IF($AE122="","",IF(INDEX(对接源_01水果!$AG$4:$AG$1203,$AE122)=0,"",INDEX(对接源_01水果!$AG$4:$AG$1203,$AE122)))</f>
      </c>
      <c r="J122" s="173">
        <f>IF($AE122="","",IF(INDEX(对接源_01水果!$AJ$4:$AJ$1203,$AE122)=0,"",INDEX(对接源_01水果!$AJ$4:$AJ$1203,$AE122)))</f>
      </c>
      <c r="K122" s="61">
        <f>IF($AE122="","",IF(INDEX(对接源_01水果!$AB$4:$AB$1203,$AE122)=0,"",INDEX(对接源_01水果!$AB$4:$AB$1203,$AE122)))</f>
      </c>
      <c r="L122" s="64">
        <f>IF($AE122="","",IF(INDEX(对接源_01水果!$M$4:$M$1203,$AE122)=0,"",INDEX(对接源_01水果!$M$4:$M$1203,$AE122)))</f>
      </c>
      <c r="AE122" s="2">
        <f>IFERROR(MATCH(117,_自动清单!$AM$4:$AM$2403,0),"")</f>
      </c>
    </row>
    <row r="123" ht="18" customHeight="1" s="127">
      <c r="A123" s="206">
        <f>IF($AE123="","",IF(INDEX(对接源_01水果!$B$4:$B$1203,$AE123)=0,"",INDEX(对接源_01水果!$B$4:$B$1203,$AE123)))</f>
      </c>
      <c r="B123" s="61">
        <f>IF($AE123="","",IF(INDEX(对接源_01水果!$E$4:$E$1203,$AE123)=0,"",INDEX(对接源_01水果!$E$4:$E$1203,$AE123)))</f>
      </c>
      <c r="C123" s="61">
        <f>IF($AE123="","",IF(INDEX(对接源_01水果!$F$4:$F$1203,$AE123)=0,"",INDEX(对接源_01水果!$F$4:$F$1203,$AE123)))</f>
      </c>
      <c r="D123" s="61">
        <f>IF($AE123="","",IF(INDEX(对接源_01水果!$G$4:$G$1203,$AE123)=0,"",INDEX(对接源_01水果!$G$4:$G$1203,$AE123)))</f>
      </c>
      <c r="E123" s="61">
        <f>IF($AE123="","",IF(INDEX(对接源_01水果!$H$4:$H$1203,$AE123)=0,"",INDEX(对接源_01水果!$H$4:$H$1203,$AE123)))</f>
      </c>
      <c r="F123" s="61">
        <f>IF($AE123="","",IF(INDEX(对接源_01水果!$I$4:$I$1203,$AE123)=0,"",INDEX(对接源_01水果!$I$4:$I$1203,$AE123)))</f>
      </c>
      <c r="G123" s="173">
        <f>IF($AE123="","",IF(INDEX(对接源_01水果!$Z$4:$Z$1203,$AE123)=0,"",INDEX(对接源_01水果!$Z$4:$Z$1203,$AE123)))</f>
      </c>
      <c r="H123" s="173">
        <f>IF($AE123="","",IF(INDEX(对接源_01水果!$AA$4:$AA$1203,$AE123)=0,"",INDEX(对接源_01水果!$AA$4:$AA$1203,$AE123)))</f>
      </c>
      <c r="I123" s="173">
        <f>IF($AE123="","",IF(INDEX(对接源_01水果!$AG$4:$AG$1203,$AE123)=0,"",INDEX(对接源_01水果!$AG$4:$AG$1203,$AE123)))</f>
      </c>
      <c r="J123" s="173">
        <f>IF($AE123="","",IF(INDEX(对接源_01水果!$AJ$4:$AJ$1203,$AE123)=0,"",INDEX(对接源_01水果!$AJ$4:$AJ$1203,$AE123)))</f>
      </c>
      <c r="K123" s="61">
        <f>IF($AE123="","",IF(INDEX(对接源_01水果!$AB$4:$AB$1203,$AE123)=0,"",INDEX(对接源_01水果!$AB$4:$AB$1203,$AE123)))</f>
      </c>
      <c r="L123" s="64">
        <f>IF($AE123="","",IF(INDEX(对接源_01水果!$M$4:$M$1203,$AE123)=0,"",INDEX(对接源_01水果!$M$4:$M$1203,$AE123)))</f>
      </c>
      <c r="AE123" s="2">
        <f>IFERROR(MATCH(118,_自动清单!$AM$4:$AM$2403,0),"")</f>
      </c>
    </row>
    <row r="124" ht="18" customHeight="1" s="127">
      <c r="A124" s="206">
        <f>IF($AE124="","",IF(INDEX(对接源_01水果!$B$4:$B$1203,$AE124)=0,"",INDEX(对接源_01水果!$B$4:$B$1203,$AE124)))</f>
      </c>
      <c r="B124" s="61">
        <f>IF($AE124="","",IF(INDEX(对接源_01水果!$E$4:$E$1203,$AE124)=0,"",INDEX(对接源_01水果!$E$4:$E$1203,$AE124)))</f>
      </c>
      <c r="C124" s="61">
        <f>IF($AE124="","",IF(INDEX(对接源_01水果!$F$4:$F$1203,$AE124)=0,"",INDEX(对接源_01水果!$F$4:$F$1203,$AE124)))</f>
      </c>
      <c r="D124" s="61">
        <f>IF($AE124="","",IF(INDEX(对接源_01水果!$G$4:$G$1203,$AE124)=0,"",INDEX(对接源_01水果!$G$4:$G$1203,$AE124)))</f>
      </c>
      <c r="E124" s="61">
        <f>IF($AE124="","",IF(INDEX(对接源_01水果!$H$4:$H$1203,$AE124)=0,"",INDEX(对接源_01水果!$H$4:$H$1203,$AE124)))</f>
      </c>
      <c r="F124" s="61">
        <f>IF($AE124="","",IF(INDEX(对接源_01水果!$I$4:$I$1203,$AE124)=0,"",INDEX(对接源_01水果!$I$4:$I$1203,$AE124)))</f>
      </c>
      <c r="G124" s="173">
        <f>IF($AE124="","",IF(INDEX(对接源_01水果!$Z$4:$Z$1203,$AE124)=0,"",INDEX(对接源_01水果!$Z$4:$Z$1203,$AE124)))</f>
      </c>
      <c r="H124" s="173">
        <f>IF($AE124="","",IF(INDEX(对接源_01水果!$AA$4:$AA$1203,$AE124)=0,"",INDEX(对接源_01水果!$AA$4:$AA$1203,$AE124)))</f>
      </c>
      <c r="I124" s="173">
        <f>IF($AE124="","",IF(INDEX(对接源_01水果!$AG$4:$AG$1203,$AE124)=0,"",INDEX(对接源_01水果!$AG$4:$AG$1203,$AE124)))</f>
      </c>
      <c r="J124" s="173">
        <f>IF($AE124="","",IF(INDEX(对接源_01水果!$AJ$4:$AJ$1203,$AE124)=0,"",INDEX(对接源_01水果!$AJ$4:$AJ$1203,$AE124)))</f>
      </c>
      <c r="K124" s="61">
        <f>IF($AE124="","",IF(INDEX(对接源_01水果!$AB$4:$AB$1203,$AE124)=0,"",INDEX(对接源_01水果!$AB$4:$AB$1203,$AE124)))</f>
      </c>
      <c r="L124" s="64">
        <f>IF($AE124="","",IF(INDEX(对接源_01水果!$M$4:$M$1203,$AE124)=0,"",INDEX(对接源_01水果!$M$4:$M$1203,$AE124)))</f>
      </c>
      <c r="AE124" s="2">
        <f>IFERROR(MATCH(119,_自动清单!$AM$4:$AM$2403,0),"")</f>
      </c>
    </row>
    <row r="125" ht="18" customHeight="1" s="127">
      <c r="A125" s="206">
        <f>IF($AE125="","",IF(INDEX(对接源_01水果!$B$4:$B$1203,$AE125)=0,"",INDEX(对接源_01水果!$B$4:$B$1203,$AE125)))</f>
      </c>
      <c r="B125" s="61">
        <f>IF($AE125="","",IF(INDEX(对接源_01水果!$E$4:$E$1203,$AE125)=0,"",INDEX(对接源_01水果!$E$4:$E$1203,$AE125)))</f>
      </c>
      <c r="C125" s="61">
        <f>IF($AE125="","",IF(INDEX(对接源_01水果!$F$4:$F$1203,$AE125)=0,"",INDEX(对接源_01水果!$F$4:$F$1203,$AE125)))</f>
      </c>
      <c r="D125" s="61">
        <f>IF($AE125="","",IF(INDEX(对接源_01水果!$G$4:$G$1203,$AE125)=0,"",INDEX(对接源_01水果!$G$4:$G$1203,$AE125)))</f>
      </c>
      <c r="E125" s="61">
        <f>IF($AE125="","",IF(INDEX(对接源_01水果!$H$4:$H$1203,$AE125)=0,"",INDEX(对接源_01水果!$H$4:$H$1203,$AE125)))</f>
      </c>
      <c r="F125" s="61">
        <f>IF($AE125="","",IF(INDEX(对接源_01水果!$I$4:$I$1203,$AE125)=0,"",INDEX(对接源_01水果!$I$4:$I$1203,$AE125)))</f>
      </c>
      <c r="G125" s="173">
        <f>IF($AE125="","",IF(INDEX(对接源_01水果!$Z$4:$Z$1203,$AE125)=0,"",INDEX(对接源_01水果!$Z$4:$Z$1203,$AE125)))</f>
      </c>
      <c r="H125" s="173">
        <f>IF($AE125="","",IF(INDEX(对接源_01水果!$AA$4:$AA$1203,$AE125)=0,"",INDEX(对接源_01水果!$AA$4:$AA$1203,$AE125)))</f>
      </c>
      <c r="I125" s="173">
        <f>IF($AE125="","",IF(INDEX(对接源_01水果!$AG$4:$AG$1203,$AE125)=0,"",INDEX(对接源_01水果!$AG$4:$AG$1203,$AE125)))</f>
      </c>
      <c r="J125" s="173">
        <f>IF($AE125="","",IF(INDEX(对接源_01水果!$AJ$4:$AJ$1203,$AE125)=0,"",INDEX(对接源_01水果!$AJ$4:$AJ$1203,$AE125)))</f>
      </c>
      <c r="K125" s="61">
        <f>IF($AE125="","",IF(INDEX(对接源_01水果!$AB$4:$AB$1203,$AE125)=0,"",INDEX(对接源_01水果!$AB$4:$AB$1203,$AE125)))</f>
      </c>
      <c r="L125" s="64">
        <f>IF($AE125="","",IF(INDEX(对接源_01水果!$M$4:$M$1203,$AE125)=0,"",INDEX(对接源_01水果!$M$4:$M$1203,$AE125)))</f>
      </c>
      <c r="AE125" s="2">
        <f>IFERROR(MATCH(120,_自动清单!$AM$4:$AM$2403,0),"")</f>
      </c>
    </row>
    <row r="126" ht="18" customHeight="1" s="127">
      <c r="A126" s="206">
        <f>IF($AE126="","",IF(INDEX(对接源_01水果!$B$4:$B$1203,$AE126)=0,"",INDEX(对接源_01水果!$B$4:$B$1203,$AE126)))</f>
      </c>
      <c r="B126" s="61">
        <f>IF($AE126="","",IF(INDEX(对接源_01水果!$E$4:$E$1203,$AE126)=0,"",INDEX(对接源_01水果!$E$4:$E$1203,$AE126)))</f>
      </c>
      <c r="C126" s="61">
        <f>IF($AE126="","",IF(INDEX(对接源_01水果!$F$4:$F$1203,$AE126)=0,"",INDEX(对接源_01水果!$F$4:$F$1203,$AE126)))</f>
      </c>
      <c r="D126" s="61">
        <f>IF($AE126="","",IF(INDEX(对接源_01水果!$G$4:$G$1203,$AE126)=0,"",INDEX(对接源_01水果!$G$4:$G$1203,$AE126)))</f>
      </c>
      <c r="E126" s="61">
        <f>IF($AE126="","",IF(INDEX(对接源_01水果!$H$4:$H$1203,$AE126)=0,"",INDEX(对接源_01水果!$H$4:$H$1203,$AE126)))</f>
      </c>
      <c r="F126" s="61">
        <f>IF($AE126="","",IF(INDEX(对接源_01水果!$I$4:$I$1203,$AE126)=0,"",INDEX(对接源_01水果!$I$4:$I$1203,$AE126)))</f>
      </c>
      <c r="G126" s="173">
        <f>IF($AE126="","",IF(INDEX(对接源_01水果!$Z$4:$Z$1203,$AE126)=0,"",INDEX(对接源_01水果!$Z$4:$Z$1203,$AE126)))</f>
      </c>
      <c r="H126" s="173">
        <f>IF($AE126="","",IF(INDEX(对接源_01水果!$AA$4:$AA$1203,$AE126)=0,"",INDEX(对接源_01水果!$AA$4:$AA$1203,$AE126)))</f>
      </c>
      <c r="I126" s="173">
        <f>IF($AE126="","",IF(INDEX(对接源_01水果!$AG$4:$AG$1203,$AE126)=0,"",INDEX(对接源_01水果!$AG$4:$AG$1203,$AE126)))</f>
      </c>
      <c r="J126" s="173">
        <f>IF($AE126="","",IF(INDEX(对接源_01水果!$AJ$4:$AJ$1203,$AE126)=0,"",INDEX(对接源_01水果!$AJ$4:$AJ$1203,$AE126)))</f>
      </c>
      <c r="K126" s="61">
        <f>IF($AE126="","",IF(INDEX(对接源_01水果!$AB$4:$AB$1203,$AE126)=0,"",INDEX(对接源_01水果!$AB$4:$AB$1203,$AE126)))</f>
      </c>
      <c r="L126" s="64">
        <f>IF($AE126="","",IF(INDEX(对接源_01水果!$M$4:$M$1203,$AE126)=0,"",INDEX(对接源_01水果!$M$4:$M$1203,$AE126)))</f>
      </c>
      <c r="AE126" s="2">
        <f>IFERROR(MATCH(121,_自动清单!$AM$4:$AM$2403,0),"")</f>
      </c>
    </row>
    <row r="127" ht="18" customHeight="1" s="127">
      <c r="A127" s="206">
        <f>IF($AE127="","",IF(INDEX(对接源_01水果!$B$4:$B$1203,$AE127)=0,"",INDEX(对接源_01水果!$B$4:$B$1203,$AE127)))</f>
      </c>
      <c r="B127" s="61">
        <f>IF($AE127="","",IF(INDEX(对接源_01水果!$E$4:$E$1203,$AE127)=0,"",INDEX(对接源_01水果!$E$4:$E$1203,$AE127)))</f>
      </c>
      <c r="C127" s="61">
        <f>IF($AE127="","",IF(INDEX(对接源_01水果!$F$4:$F$1203,$AE127)=0,"",INDEX(对接源_01水果!$F$4:$F$1203,$AE127)))</f>
      </c>
      <c r="D127" s="61">
        <f>IF($AE127="","",IF(INDEX(对接源_01水果!$G$4:$G$1203,$AE127)=0,"",INDEX(对接源_01水果!$G$4:$G$1203,$AE127)))</f>
      </c>
      <c r="E127" s="61">
        <f>IF($AE127="","",IF(INDEX(对接源_01水果!$H$4:$H$1203,$AE127)=0,"",INDEX(对接源_01水果!$H$4:$H$1203,$AE127)))</f>
      </c>
      <c r="F127" s="61">
        <f>IF($AE127="","",IF(INDEX(对接源_01水果!$I$4:$I$1203,$AE127)=0,"",INDEX(对接源_01水果!$I$4:$I$1203,$AE127)))</f>
      </c>
      <c r="G127" s="173">
        <f>IF($AE127="","",IF(INDEX(对接源_01水果!$Z$4:$Z$1203,$AE127)=0,"",INDEX(对接源_01水果!$Z$4:$Z$1203,$AE127)))</f>
      </c>
      <c r="H127" s="173">
        <f>IF($AE127="","",IF(INDEX(对接源_01水果!$AA$4:$AA$1203,$AE127)=0,"",INDEX(对接源_01水果!$AA$4:$AA$1203,$AE127)))</f>
      </c>
      <c r="I127" s="173">
        <f>IF($AE127="","",IF(INDEX(对接源_01水果!$AG$4:$AG$1203,$AE127)=0,"",INDEX(对接源_01水果!$AG$4:$AG$1203,$AE127)))</f>
      </c>
      <c r="J127" s="173">
        <f>IF($AE127="","",IF(INDEX(对接源_01水果!$AJ$4:$AJ$1203,$AE127)=0,"",INDEX(对接源_01水果!$AJ$4:$AJ$1203,$AE127)))</f>
      </c>
      <c r="K127" s="61">
        <f>IF($AE127="","",IF(INDEX(对接源_01水果!$AB$4:$AB$1203,$AE127)=0,"",INDEX(对接源_01水果!$AB$4:$AB$1203,$AE127)))</f>
      </c>
      <c r="L127" s="64">
        <f>IF($AE127="","",IF(INDEX(对接源_01水果!$M$4:$M$1203,$AE127)=0,"",INDEX(对接源_01水果!$M$4:$M$1203,$AE127)))</f>
      </c>
      <c r="AE127" s="2">
        <f>IFERROR(MATCH(122,_自动清单!$AM$4:$AM$2403,0),"")</f>
      </c>
    </row>
    <row r="128" ht="18" customHeight="1" s="127">
      <c r="A128" s="206">
        <f>IF($AE128="","",IF(INDEX(对接源_01水果!$B$4:$B$1203,$AE128)=0,"",INDEX(对接源_01水果!$B$4:$B$1203,$AE128)))</f>
      </c>
      <c r="B128" s="61">
        <f>IF($AE128="","",IF(INDEX(对接源_01水果!$E$4:$E$1203,$AE128)=0,"",INDEX(对接源_01水果!$E$4:$E$1203,$AE128)))</f>
      </c>
      <c r="C128" s="61">
        <f>IF($AE128="","",IF(INDEX(对接源_01水果!$F$4:$F$1203,$AE128)=0,"",INDEX(对接源_01水果!$F$4:$F$1203,$AE128)))</f>
      </c>
      <c r="D128" s="61">
        <f>IF($AE128="","",IF(INDEX(对接源_01水果!$G$4:$G$1203,$AE128)=0,"",INDEX(对接源_01水果!$G$4:$G$1203,$AE128)))</f>
      </c>
      <c r="E128" s="61">
        <f>IF($AE128="","",IF(INDEX(对接源_01水果!$H$4:$H$1203,$AE128)=0,"",INDEX(对接源_01水果!$H$4:$H$1203,$AE128)))</f>
      </c>
      <c r="F128" s="61">
        <f>IF($AE128="","",IF(INDEX(对接源_01水果!$I$4:$I$1203,$AE128)=0,"",INDEX(对接源_01水果!$I$4:$I$1203,$AE128)))</f>
      </c>
      <c r="G128" s="173">
        <f>IF($AE128="","",IF(INDEX(对接源_01水果!$Z$4:$Z$1203,$AE128)=0,"",INDEX(对接源_01水果!$Z$4:$Z$1203,$AE128)))</f>
      </c>
      <c r="H128" s="173">
        <f>IF($AE128="","",IF(INDEX(对接源_01水果!$AA$4:$AA$1203,$AE128)=0,"",INDEX(对接源_01水果!$AA$4:$AA$1203,$AE128)))</f>
      </c>
      <c r="I128" s="173">
        <f>IF($AE128="","",IF(INDEX(对接源_01水果!$AG$4:$AG$1203,$AE128)=0,"",INDEX(对接源_01水果!$AG$4:$AG$1203,$AE128)))</f>
      </c>
      <c r="J128" s="173">
        <f>IF($AE128="","",IF(INDEX(对接源_01水果!$AJ$4:$AJ$1203,$AE128)=0,"",INDEX(对接源_01水果!$AJ$4:$AJ$1203,$AE128)))</f>
      </c>
      <c r="K128" s="61">
        <f>IF($AE128="","",IF(INDEX(对接源_01水果!$AB$4:$AB$1203,$AE128)=0,"",INDEX(对接源_01水果!$AB$4:$AB$1203,$AE128)))</f>
      </c>
      <c r="L128" s="64">
        <f>IF($AE128="","",IF(INDEX(对接源_01水果!$M$4:$M$1203,$AE128)=0,"",INDEX(对接源_01水果!$M$4:$M$1203,$AE128)))</f>
      </c>
      <c r="AE128" s="2">
        <f>IFERROR(MATCH(123,_自动清单!$AM$4:$AM$2403,0),"")</f>
      </c>
    </row>
    <row r="129" ht="18" customHeight="1" s="127">
      <c r="A129" s="206">
        <f>IF($AE129="","",IF(INDEX(对接源_01水果!$B$4:$B$1203,$AE129)=0,"",INDEX(对接源_01水果!$B$4:$B$1203,$AE129)))</f>
      </c>
      <c r="B129" s="61">
        <f>IF($AE129="","",IF(INDEX(对接源_01水果!$E$4:$E$1203,$AE129)=0,"",INDEX(对接源_01水果!$E$4:$E$1203,$AE129)))</f>
      </c>
      <c r="C129" s="61">
        <f>IF($AE129="","",IF(INDEX(对接源_01水果!$F$4:$F$1203,$AE129)=0,"",INDEX(对接源_01水果!$F$4:$F$1203,$AE129)))</f>
      </c>
      <c r="D129" s="61">
        <f>IF($AE129="","",IF(INDEX(对接源_01水果!$G$4:$G$1203,$AE129)=0,"",INDEX(对接源_01水果!$G$4:$G$1203,$AE129)))</f>
      </c>
      <c r="E129" s="61">
        <f>IF($AE129="","",IF(INDEX(对接源_01水果!$H$4:$H$1203,$AE129)=0,"",INDEX(对接源_01水果!$H$4:$H$1203,$AE129)))</f>
      </c>
      <c r="F129" s="61">
        <f>IF($AE129="","",IF(INDEX(对接源_01水果!$I$4:$I$1203,$AE129)=0,"",INDEX(对接源_01水果!$I$4:$I$1203,$AE129)))</f>
      </c>
      <c r="G129" s="173">
        <f>IF($AE129="","",IF(INDEX(对接源_01水果!$Z$4:$Z$1203,$AE129)=0,"",INDEX(对接源_01水果!$Z$4:$Z$1203,$AE129)))</f>
      </c>
      <c r="H129" s="173">
        <f>IF($AE129="","",IF(INDEX(对接源_01水果!$AA$4:$AA$1203,$AE129)=0,"",INDEX(对接源_01水果!$AA$4:$AA$1203,$AE129)))</f>
      </c>
      <c r="I129" s="173">
        <f>IF($AE129="","",IF(INDEX(对接源_01水果!$AG$4:$AG$1203,$AE129)=0,"",INDEX(对接源_01水果!$AG$4:$AG$1203,$AE129)))</f>
      </c>
      <c r="J129" s="173">
        <f>IF($AE129="","",IF(INDEX(对接源_01水果!$AJ$4:$AJ$1203,$AE129)=0,"",INDEX(对接源_01水果!$AJ$4:$AJ$1203,$AE129)))</f>
      </c>
      <c r="K129" s="61">
        <f>IF($AE129="","",IF(INDEX(对接源_01水果!$AB$4:$AB$1203,$AE129)=0,"",INDEX(对接源_01水果!$AB$4:$AB$1203,$AE129)))</f>
      </c>
      <c r="L129" s="64">
        <f>IF($AE129="","",IF(INDEX(对接源_01水果!$M$4:$M$1203,$AE129)=0,"",INDEX(对接源_01水果!$M$4:$M$1203,$AE129)))</f>
      </c>
      <c r="AE129" s="2">
        <f>IFERROR(MATCH(124,_自动清单!$AM$4:$AM$2403,0),"")</f>
      </c>
    </row>
    <row r="130" ht="18" customHeight="1" s="127">
      <c r="A130" s="206">
        <f>IF($AE130="","",IF(INDEX(对接源_01水果!$B$4:$B$1203,$AE130)=0,"",INDEX(对接源_01水果!$B$4:$B$1203,$AE130)))</f>
      </c>
      <c r="B130" s="61">
        <f>IF($AE130="","",IF(INDEX(对接源_01水果!$E$4:$E$1203,$AE130)=0,"",INDEX(对接源_01水果!$E$4:$E$1203,$AE130)))</f>
      </c>
      <c r="C130" s="61">
        <f>IF($AE130="","",IF(INDEX(对接源_01水果!$F$4:$F$1203,$AE130)=0,"",INDEX(对接源_01水果!$F$4:$F$1203,$AE130)))</f>
      </c>
      <c r="D130" s="61">
        <f>IF($AE130="","",IF(INDEX(对接源_01水果!$G$4:$G$1203,$AE130)=0,"",INDEX(对接源_01水果!$G$4:$G$1203,$AE130)))</f>
      </c>
      <c r="E130" s="61">
        <f>IF($AE130="","",IF(INDEX(对接源_01水果!$H$4:$H$1203,$AE130)=0,"",INDEX(对接源_01水果!$H$4:$H$1203,$AE130)))</f>
      </c>
      <c r="F130" s="61">
        <f>IF($AE130="","",IF(INDEX(对接源_01水果!$I$4:$I$1203,$AE130)=0,"",INDEX(对接源_01水果!$I$4:$I$1203,$AE130)))</f>
      </c>
      <c r="G130" s="173">
        <f>IF($AE130="","",IF(INDEX(对接源_01水果!$Z$4:$Z$1203,$AE130)=0,"",INDEX(对接源_01水果!$Z$4:$Z$1203,$AE130)))</f>
      </c>
      <c r="H130" s="173">
        <f>IF($AE130="","",IF(INDEX(对接源_01水果!$AA$4:$AA$1203,$AE130)=0,"",INDEX(对接源_01水果!$AA$4:$AA$1203,$AE130)))</f>
      </c>
      <c r="I130" s="173">
        <f>IF($AE130="","",IF(INDEX(对接源_01水果!$AG$4:$AG$1203,$AE130)=0,"",INDEX(对接源_01水果!$AG$4:$AG$1203,$AE130)))</f>
      </c>
      <c r="J130" s="173">
        <f>IF($AE130="","",IF(INDEX(对接源_01水果!$AJ$4:$AJ$1203,$AE130)=0,"",INDEX(对接源_01水果!$AJ$4:$AJ$1203,$AE130)))</f>
      </c>
      <c r="K130" s="61">
        <f>IF($AE130="","",IF(INDEX(对接源_01水果!$AB$4:$AB$1203,$AE130)=0,"",INDEX(对接源_01水果!$AB$4:$AB$1203,$AE130)))</f>
      </c>
      <c r="L130" s="64">
        <f>IF($AE130="","",IF(INDEX(对接源_01水果!$M$4:$M$1203,$AE130)=0,"",INDEX(对接源_01水果!$M$4:$M$1203,$AE130)))</f>
      </c>
      <c r="AE130" s="2">
        <f>IFERROR(MATCH(125,_自动清单!$AM$4:$AM$2403,0),"")</f>
      </c>
    </row>
    <row r="131" ht="18" customHeight="1" s="127">
      <c r="A131" s="206">
        <f>IF($AE131="","",IF(INDEX(对接源_01水果!$B$4:$B$1203,$AE131)=0,"",INDEX(对接源_01水果!$B$4:$B$1203,$AE131)))</f>
      </c>
      <c r="B131" s="61">
        <f>IF($AE131="","",IF(INDEX(对接源_01水果!$E$4:$E$1203,$AE131)=0,"",INDEX(对接源_01水果!$E$4:$E$1203,$AE131)))</f>
      </c>
      <c r="C131" s="61">
        <f>IF($AE131="","",IF(INDEX(对接源_01水果!$F$4:$F$1203,$AE131)=0,"",INDEX(对接源_01水果!$F$4:$F$1203,$AE131)))</f>
      </c>
      <c r="D131" s="61">
        <f>IF($AE131="","",IF(INDEX(对接源_01水果!$G$4:$G$1203,$AE131)=0,"",INDEX(对接源_01水果!$G$4:$G$1203,$AE131)))</f>
      </c>
      <c r="E131" s="61">
        <f>IF($AE131="","",IF(INDEX(对接源_01水果!$H$4:$H$1203,$AE131)=0,"",INDEX(对接源_01水果!$H$4:$H$1203,$AE131)))</f>
      </c>
      <c r="F131" s="61">
        <f>IF($AE131="","",IF(INDEX(对接源_01水果!$I$4:$I$1203,$AE131)=0,"",INDEX(对接源_01水果!$I$4:$I$1203,$AE131)))</f>
      </c>
      <c r="G131" s="173">
        <f>IF($AE131="","",IF(INDEX(对接源_01水果!$Z$4:$Z$1203,$AE131)=0,"",INDEX(对接源_01水果!$Z$4:$Z$1203,$AE131)))</f>
      </c>
      <c r="H131" s="173">
        <f>IF($AE131="","",IF(INDEX(对接源_01水果!$AA$4:$AA$1203,$AE131)=0,"",INDEX(对接源_01水果!$AA$4:$AA$1203,$AE131)))</f>
      </c>
      <c r="I131" s="173">
        <f>IF($AE131="","",IF(INDEX(对接源_01水果!$AG$4:$AG$1203,$AE131)=0,"",INDEX(对接源_01水果!$AG$4:$AG$1203,$AE131)))</f>
      </c>
      <c r="J131" s="173">
        <f>IF($AE131="","",IF(INDEX(对接源_01水果!$AJ$4:$AJ$1203,$AE131)=0,"",INDEX(对接源_01水果!$AJ$4:$AJ$1203,$AE131)))</f>
      </c>
      <c r="K131" s="61">
        <f>IF($AE131="","",IF(INDEX(对接源_01水果!$AB$4:$AB$1203,$AE131)=0,"",INDEX(对接源_01水果!$AB$4:$AB$1203,$AE131)))</f>
      </c>
      <c r="L131" s="64">
        <f>IF($AE131="","",IF(INDEX(对接源_01水果!$M$4:$M$1203,$AE131)=0,"",INDEX(对接源_01水果!$M$4:$M$1203,$AE131)))</f>
      </c>
      <c r="AE131" s="2">
        <f>IFERROR(MATCH(126,_自动清单!$AM$4:$AM$2403,0),"")</f>
      </c>
    </row>
    <row r="132" ht="18" customHeight="1" s="127">
      <c r="A132" s="206">
        <f>IF($AE132="","",IF(INDEX(对接源_01水果!$B$4:$B$1203,$AE132)=0,"",INDEX(对接源_01水果!$B$4:$B$1203,$AE132)))</f>
      </c>
      <c r="B132" s="61">
        <f>IF($AE132="","",IF(INDEX(对接源_01水果!$E$4:$E$1203,$AE132)=0,"",INDEX(对接源_01水果!$E$4:$E$1203,$AE132)))</f>
      </c>
      <c r="C132" s="61">
        <f>IF($AE132="","",IF(INDEX(对接源_01水果!$F$4:$F$1203,$AE132)=0,"",INDEX(对接源_01水果!$F$4:$F$1203,$AE132)))</f>
      </c>
      <c r="D132" s="61">
        <f>IF($AE132="","",IF(INDEX(对接源_01水果!$G$4:$G$1203,$AE132)=0,"",INDEX(对接源_01水果!$G$4:$G$1203,$AE132)))</f>
      </c>
      <c r="E132" s="61">
        <f>IF($AE132="","",IF(INDEX(对接源_01水果!$H$4:$H$1203,$AE132)=0,"",INDEX(对接源_01水果!$H$4:$H$1203,$AE132)))</f>
      </c>
      <c r="F132" s="61">
        <f>IF($AE132="","",IF(INDEX(对接源_01水果!$I$4:$I$1203,$AE132)=0,"",INDEX(对接源_01水果!$I$4:$I$1203,$AE132)))</f>
      </c>
      <c r="G132" s="173">
        <f>IF($AE132="","",IF(INDEX(对接源_01水果!$Z$4:$Z$1203,$AE132)=0,"",INDEX(对接源_01水果!$Z$4:$Z$1203,$AE132)))</f>
      </c>
      <c r="H132" s="173">
        <f>IF($AE132="","",IF(INDEX(对接源_01水果!$AA$4:$AA$1203,$AE132)=0,"",INDEX(对接源_01水果!$AA$4:$AA$1203,$AE132)))</f>
      </c>
      <c r="I132" s="173">
        <f>IF($AE132="","",IF(INDEX(对接源_01水果!$AG$4:$AG$1203,$AE132)=0,"",INDEX(对接源_01水果!$AG$4:$AG$1203,$AE132)))</f>
      </c>
      <c r="J132" s="173">
        <f>IF($AE132="","",IF(INDEX(对接源_01水果!$AJ$4:$AJ$1203,$AE132)=0,"",INDEX(对接源_01水果!$AJ$4:$AJ$1203,$AE132)))</f>
      </c>
      <c r="K132" s="61">
        <f>IF($AE132="","",IF(INDEX(对接源_01水果!$AB$4:$AB$1203,$AE132)=0,"",INDEX(对接源_01水果!$AB$4:$AB$1203,$AE132)))</f>
      </c>
      <c r="L132" s="64">
        <f>IF($AE132="","",IF(INDEX(对接源_01水果!$M$4:$M$1203,$AE132)=0,"",INDEX(对接源_01水果!$M$4:$M$1203,$AE132)))</f>
      </c>
      <c r="AE132" s="2">
        <f>IFERROR(MATCH(127,_自动清单!$AM$4:$AM$2403,0),"")</f>
      </c>
    </row>
    <row r="133" ht="18" customHeight="1" s="127">
      <c r="A133" s="206">
        <f>IF($AE133="","",IF(INDEX(对接源_01水果!$B$4:$B$1203,$AE133)=0,"",INDEX(对接源_01水果!$B$4:$B$1203,$AE133)))</f>
      </c>
      <c r="B133" s="61">
        <f>IF($AE133="","",IF(INDEX(对接源_01水果!$E$4:$E$1203,$AE133)=0,"",INDEX(对接源_01水果!$E$4:$E$1203,$AE133)))</f>
      </c>
      <c r="C133" s="61">
        <f>IF($AE133="","",IF(INDEX(对接源_01水果!$F$4:$F$1203,$AE133)=0,"",INDEX(对接源_01水果!$F$4:$F$1203,$AE133)))</f>
      </c>
      <c r="D133" s="61">
        <f>IF($AE133="","",IF(INDEX(对接源_01水果!$G$4:$G$1203,$AE133)=0,"",INDEX(对接源_01水果!$G$4:$G$1203,$AE133)))</f>
      </c>
      <c r="E133" s="61">
        <f>IF($AE133="","",IF(INDEX(对接源_01水果!$H$4:$H$1203,$AE133)=0,"",INDEX(对接源_01水果!$H$4:$H$1203,$AE133)))</f>
      </c>
      <c r="F133" s="61">
        <f>IF($AE133="","",IF(INDEX(对接源_01水果!$I$4:$I$1203,$AE133)=0,"",INDEX(对接源_01水果!$I$4:$I$1203,$AE133)))</f>
      </c>
      <c r="G133" s="173">
        <f>IF($AE133="","",IF(INDEX(对接源_01水果!$Z$4:$Z$1203,$AE133)=0,"",INDEX(对接源_01水果!$Z$4:$Z$1203,$AE133)))</f>
      </c>
      <c r="H133" s="173">
        <f>IF($AE133="","",IF(INDEX(对接源_01水果!$AA$4:$AA$1203,$AE133)=0,"",INDEX(对接源_01水果!$AA$4:$AA$1203,$AE133)))</f>
      </c>
      <c r="I133" s="173">
        <f>IF($AE133="","",IF(INDEX(对接源_01水果!$AG$4:$AG$1203,$AE133)=0,"",INDEX(对接源_01水果!$AG$4:$AG$1203,$AE133)))</f>
      </c>
      <c r="J133" s="173">
        <f>IF($AE133="","",IF(INDEX(对接源_01水果!$AJ$4:$AJ$1203,$AE133)=0,"",INDEX(对接源_01水果!$AJ$4:$AJ$1203,$AE133)))</f>
      </c>
      <c r="K133" s="61">
        <f>IF($AE133="","",IF(INDEX(对接源_01水果!$AB$4:$AB$1203,$AE133)=0,"",INDEX(对接源_01水果!$AB$4:$AB$1203,$AE133)))</f>
      </c>
      <c r="L133" s="64">
        <f>IF($AE133="","",IF(INDEX(对接源_01水果!$M$4:$M$1203,$AE133)=0,"",INDEX(对接源_01水果!$M$4:$M$1203,$AE133)))</f>
      </c>
      <c r="AE133" s="2">
        <f>IFERROR(MATCH(128,_自动清单!$AM$4:$AM$2403,0),"")</f>
      </c>
    </row>
    <row r="134" ht="18" customHeight="1" s="127">
      <c r="A134" s="206">
        <f>IF($AE134="","",IF(INDEX(对接源_01水果!$B$4:$B$1203,$AE134)=0,"",INDEX(对接源_01水果!$B$4:$B$1203,$AE134)))</f>
      </c>
      <c r="B134" s="61">
        <f>IF($AE134="","",IF(INDEX(对接源_01水果!$E$4:$E$1203,$AE134)=0,"",INDEX(对接源_01水果!$E$4:$E$1203,$AE134)))</f>
      </c>
      <c r="C134" s="61">
        <f>IF($AE134="","",IF(INDEX(对接源_01水果!$F$4:$F$1203,$AE134)=0,"",INDEX(对接源_01水果!$F$4:$F$1203,$AE134)))</f>
      </c>
      <c r="D134" s="61">
        <f>IF($AE134="","",IF(INDEX(对接源_01水果!$G$4:$G$1203,$AE134)=0,"",INDEX(对接源_01水果!$G$4:$G$1203,$AE134)))</f>
      </c>
      <c r="E134" s="61">
        <f>IF($AE134="","",IF(INDEX(对接源_01水果!$H$4:$H$1203,$AE134)=0,"",INDEX(对接源_01水果!$H$4:$H$1203,$AE134)))</f>
      </c>
      <c r="F134" s="61">
        <f>IF($AE134="","",IF(INDEX(对接源_01水果!$I$4:$I$1203,$AE134)=0,"",INDEX(对接源_01水果!$I$4:$I$1203,$AE134)))</f>
      </c>
      <c r="G134" s="173">
        <f>IF($AE134="","",IF(INDEX(对接源_01水果!$Z$4:$Z$1203,$AE134)=0,"",INDEX(对接源_01水果!$Z$4:$Z$1203,$AE134)))</f>
      </c>
      <c r="H134" s="173">
        <f>IF($AE134="","",IF(INDEX(对接源_01水果!$AA$4:$AA$1203,$AE134)=0,"",INDEX(对接源_01水果!$AA$4:$AA$1203,$AE134)))</f>
      </c>
      <c r="I134" s="173">
        <f>IF($AE134="","",IF(INDEX(对接源_01水果!$AG$4:$AG$1203,$AE134)=0,"",INDEX(对接源_01水果!$AG$4:$AG$1203,$AE134)))</f>
      </c>
      <c r="J134" s="173">
        <f>IF($AE134="","",IF(INDEX(对接源_01水果!$AJ$4:$AJ$1203,$AE134)=0,"",INDEX(对接源_01水果!$AJ$4:$AJ$1203,$AE134)))</f>
      </c>
      <c r="K134" s="61">
        <f>IF($AE134="","",IF(INDEX(对接源_01水果!$AB$4:$AB$1203,$AE134)=0,"",INDEX(对接源_01水果!$AB$4:$AB$1203,$AE134)))</f>
      </c>
      <c r="L134" s="64">
        <f>IF($AE134="","",IF(INDEX(对接源_01水果!$M$4:$M$1203,$AE134)=0,"",INDEX(对接源_01水果!$M$4:$M$1203,$AE134)))</f>
      </c>
      <c r="AE134" s="2">
        <f>IFERROR(MATCH(129,_自动清单!$AM$4:$AM$2403,0),"")</f>
      </c>
    </row>
    <row r="135" ht="18" customHeight="1" s="127">
      <c r="A135" s="206">
        <f>IF($AE135="","",IF(INDEX(对接源_01水果!$B$4:$B$1203,$AE135)=0,"",INDEX(对接源_01水果!$B$4:$B$1203,$AE135)))</f>
      </c>
      <c r="B135" s="61">
        <f>IF($AE135="","",IF(INDEX(对接源_01水果!$E$4:$E$1203,$AE135)=0,"",INDEX(对接源_01水果!$E$4:$E$1203,$AE135)))</f>
      </c>
      <c r="C135" s="61">
        <f>IF($AE135="","",IF(INDEX(对接源_01水果!$F$4:$F$1203,$AE135)=0,"",INDEX(对接源_01水果!$F$4:$F$1203,$AE135)))</f>
      </c>
      <c r="D135" s="61">
        <f>IF($AE135="","",IF(INDEX(对接源_01水果!$G$4:$G$1203,$AE135)=0,"",INDEX(对接源_01水果!$G$4:$G$1203,$AE135)))</f>
      </c>
      <c r="E135" s="61">
        <f>IF($AE135="","",IF(INDEX(对接源_01水果!$H$4:$H$1203,$AE135)=0,"",INDEX(对接源_01水果!$H$4:$H$1203,$AE135)))</f>
      </c>
      <c r="F135" s="61">
        <f>IF($AE135="","",IF(INDEX(对接源_01水果!$I$4:$I$1203,$AE135)=0,"",INDEX(对接源_01水果!$I$4:$I$1203,$AE135)))</f>
      </c>
      <c r="G135" s="173">
        <f>IF($AE135="","",IF(INDEX(对接源_01水果!$Z$4:$Z$1203,$AE135)=0,"",INDEX(对接源_01水果!$Z$4:$Z$1203,$AE135)))</f>
      </c>
      <c r="H135" s="173">
        <f>IF($AE135="","",IF(INDEX(对接源_01水果!$AA$4:$AA$1203,$AE135)=0,"",INDEX(对接源_01水果!$AA$4:$AA$1203,$AE135)))</f>
      </c>
      <c r="I135" s="173">
        <f>IF($AE135="","",IF(INDEX(对接源_01水果!$AG$4:$AG$1203,$AE135)=0,"",INDEX(对接源_01水果!$AG$4:$AG$1203,$AE135)))</f>
      </c>
      <c r="J135" s="173">
        <f>IF($AE135="","",IF(INDEX(对接源_01水果!$AJ$4:$AJ$1203,$AE135)=0,"",INDEX(对接源_01水果!$AJ$4:$AJ$1203,$AE135)))</f>
      </c>
      <c r="K135" s="61">
        <f>IF($AE135="","",IF(INDEX(对接源_01水果!$AB$4:$AB$1203,$AE135)=0,"",INDEX(对接源_01水果!$AB$4:$AB$1203,$AE135)))</f>
      </c>
      <c r="L135" s="64">
        <f>IF($AE135="","",IF(INDEX(对接源_01水果!$M$4:$M$1203,$AE135)=0,"",INDEX(对接源_01水果!$M$4:$M$1203,$AE135)))</f>
      </c>
      <c r="AE135" s="2">
        <f>IFERROR(MATCH(130,_自动清单!$AM$4:$AM$2403,0),"")</f>
      </c>
    </row>
    <row r="136" ht="18" customHeight="1" s="127">
      <c r="A136" s="206">
        <f>IF($AE136="","",IF(INDEX(对接源_01水果!$B$4:$B$1203,$AE136)=0,"",INDEX(对接源_01水果!$B$4:$B$1203,$AE136)))</f>
      </c>
      <c r="B136" s="61">
        <f>IF($AE136="","",IF(INDEX(对接源_01水果!$E$4:$E$1203,$AE136)=0,"",INDEX(对接源_01水果!$E$4:$E$1203,$AE136)))</f>
      </c>
      <c r="C136" s="61">
        <f>IF($AE136="","",IF(INDEX(对接源_01水果!$F$4:$F$1203,$AE136)=0,"",INDEX(对接源_01水果!$F$4:$F$1203,$AE136)))</f>
      </c>
      <c r="D136" s="61">
        <f>IF($AE136="","",IF(INDEX(对接源_01水果!$G$4:$G$1203,$AE136)=0,"",INDEX(对接源_01水果!$G$4:$G$1203,$AE136)))</f>
      </c>
      <c r="E136" s="61">
        <f>IF($AE136="","",IF(INDEX(对接源_01水果!$H$4:$H$1203,$AE136)=0,"",INDEX(对接源_01水果!$H$4:$H$1203,$AE136)))</f>
      </c>
      <c r="F136" s="61">
        <f>IF($AE136="","",IF(INDEX(对接源_01水果!$I$4:$I$1203,$AE136)=0,"",INDEX(对接源_01水果!$I$4:$I$1203,$AE136)))</f>
      </c>
      <c r="G136" s="173">
        <f>IF($AE136="","",IF(INDEX(对接源_01水果!$Z$4:$Z$1203,$AE136)=0,"",INDEX(对接源_01水果!$Z$4:$Z$1203,$AE136)))</f>
      </c>
      <c r="H136" s="173">
        <f>IF($AE136="","",IF(INDEX(对接源_01水果!$AA$4:$AA$1203,$AE136)=0,"",INDEX(对接源_01水果!$AA$4:$AA$1203,$AE136)))</f>
      </c>
      <c r="I136" s="173">
        <f>IF($AE136="","",IF(INDEX(对接源_01水果!$AG$4:$AG$1203,$AE136)=0,"",INDEX(对接源_01水果!$AG$4:$AG$1203,$AE136)))</f>
      </c>
      <c r="J136" s="173">
        <f>IF($AE136="","",IF(INDEX(对接源_01水果!$AJ$4:$AJ$1203,$AE136)=0,"",INDEX(对接源_01水果!$AJ$4:$AJ$1203,$AE136)))</f>
      </c>
      <c r="K136" s="61">
        <f>IF($AE136="","",IF(INDEX(对接源_01水果!$AB$4:$AB$1203,$AE136)=0,"",INDEX(对接源_01水果!$AB$4:$AB$1203,$AE136)))</f>
      </c>
      <c r="L136" s="64">
        <f>IF($AE136="","",IF(INDEX(对接源_01水果!$M$4:$M$1203,$AE136)=0,"",INDEX(对接源_01水果!$M$4:$M$1203,$AE136)))</f>
      </c>
      <c r="AE136" s="2">
        <f>IFERROR(MATCH(131,_自动清单!$AM$4:$AM$2403,0),"")</f>
      </c>
    </row>
    <row r="137" ht="18" customHeight="1" s="127">
      <c r="A137" s="206">
        <f>IF($AE137="","",IF(INDEX(对接源_01水果!$B$4:$B$1203,$AE137)=0,"",INDEX(对接源_01水果!$B$4:$B$1203,$AE137)))</f>
      </c>
      <c r="B137" s="61">
        <f>IF($AE137="","",IF(INDEX(对接源_01水果!$E$4:$E$1203,$AE137)=0,"",INDEX(对接源_01水果!$E$4:$E$1203,$AE137)))</f>
      </c>
      <c r="C137" s="61">
        <f>IF($AE137="","",IF(INDEX(对接源_01水果!$F$4:$F$1203,$AE137)=0,"",INDEX(对接源_01水果!$F$4:$F$1203,$AE137)))</f>
      </c>
      <c r="D137" s="61">
        <f>IF($AE137="","",IF(INDEX(对接源_01水果!$G$4:$G$1203,$AE137)=0,"",INDEX(对接源_01水果!$G$4:$G$1203,$AE137)))</f>
      </c>
      <c r="E137" s="61">
        <f>IF($AE137="","",IF(INDEX(对接源_01水果!$H$4:$H$1203,$AE137)=0,"",INDEX(对接源_01水果!$H$4:$H$1203,$AE137)))</f>
      </c>
      <c r="F137" s="61">
        <f>IF($AE137="","",IF(INDEX(对接源_01水果!$I$4:$I$1203,$AE137)=0,"",INDEX(对接源_01水果!$I$4:$I$1203,$AE137)))</f>
      </c>
      <c r="G137" s="173">
        <f>IF($AE137="","",IF(INDEX(对接源_01水果!$Z$4:$Z$1203,$AE137)=0,"",INDEX(对接源_01水果!$Z$4:$Z$1203,$AE137)))</f>
      </c>
      <c r="H137" s="173">
        <f>IF($AE137="","",IF(INDEX(对接源_01水果!$AA$4:$AA$1203,$AE137)=0,"",INDEX(对接源_01水果!$AA$4:$AA$1203,$AE137)))</f>
      </c>
      <c r="I137" s="173">
        <f>IF($AE137="","",IF(INDEX(对接源_01水果!$AG$4:$AG$1203,$AE137)=0,"",INDEX(对接源_01水果!$AG$4:$AG$1203,$AE137)))</f>
      </c>
      <c r="J137" s="173">
        <f>IF($AE137="","",IF(INDEX(对接源_01水果!$AJ$4:$AJ$1203,$AE137)=0,"",INDEX(对接源_01水果!$AJ$4:$AJ$1203,$AE137)))</f>
      </c>
      <c r="K137" s="61">
        <f>IF($AE137="","",IF(INDEX(对接源_01水果!$AB$4:$AB$1203,$AE137)=0,"",INDEX(对接源_01水果!$AB$4:$AB$1203,$AE137)))</f>
      </c>
      <c r="L137" s="64">
        <f>IF($AE137="","",IF(INDEX(对接源_01水果!$M$4:$M$1203,$AE137)=0,"",INDEX(对接源_01水果!$M$4:$M$1203,$AE137)))</f>
      </c>
      <c r="AE137" s="2">
        <f>IFERROR(MATCH(132,_自动清单!$AM$4:$AM$2403,0),"")</f>
      </c>
    </row>
    <row r="138" ht="18" customHeight="1" s="127">
      <c r="A138" s="206">
        <f>IF($AE138="","",IF(INDEX(对接源_01水果!$B$4:$B$1203,$AE138)=0,"",INDEX(对接源_01水果!$B$4:$B$1203,$AE138)))</f>
      </c>
      <c r="B138" s="61">
        <f>IF($AE138="","",IF(INDEX(对接源_01水果!$E$4:$E$1203,$AE138)=0,"",INDEX(对接源_01水果!$E$4:$E$1203,$AE138)))</f>
      </c>
      <c r="C138" s="61">
        <f>IF($AE138="","",IF(INDEX(对接源_01水果!$F$4:$F$1203,$AE138)=0,"",INDEX(对接源_01水果!$F$4:$F$1203,$AE138)))</f>
      </c>
      <c r="D138" s="61">
        <f>IF($AE138="","",IF(INDEX(对接源_01水果!$G$4:$G$1203,$AE138)=0,"",INDEX(对接源_01水果!$G$4:$G$1203,$AE138)))</f>
      </c>
      <c r="E138" s="61">
        <f>IF($AE138="","",IF(INDEX(对接源_01水果!$H$4:$H$1203,$AE138)=0,"",INDEX(对接源_01水果!$H$4:$H$1203,$AE138)))</f>
      </c>
      <c r="F138" s="61">
        <f>IF($AE138="","",IF(INDEX(对接源_01水果!$I$4:$I$1203,$AE138)=0,"",INDEX(对接源_01水果!$I$4:$I$1203,$AE138)))</f>
      </c>
      <c r="G138" s="173">
        <f>IF($AE138="","",IF(INDEX(对接源_01水果!$Z$4:$Z$1203,$AE138)=0,"",INDEX(对接源_01水果!$Z$4:$Z$1203,$AE138)))</f>
      </c>
      <c r="H138" s="173">
        <f>IF($AE138="","",IF(INDEX(对接源_01水果!$AA$4:$AA$1203,$AE138)=0,"",INDEX(对接源_01水果!$AA$4:$AA$1203,$AE138)))</f>
      </c>
      <c r="I138" s="173">
        <f>IF($AE138="","",IF(INDEX(对接源_01水果!$AG$4:$AG$1203,$AE138)=0,"",INDEX(对接源_01水果!$AG$4:$AG$1203,$AE138)))</f>
      </c>
      <c r="J138" s="173">
        <f>IF($AE138="","",IF(INDEX(对接源_01水果!$AJ$4:$AJ$1203,$AE138)=0,"",INDEX(对接源_01水果!$AJ$4:$AJ$1203,$AE138)))</f>
      </c>
      <c r="K138" s="61">
        <f>IF($AE138="","",IF(INDEX(对接源_01水果!$AB$4:$AB$1203,$AE138)=0,"",INDEX(对接源_01水果!$AB$4:$AB$1203,$AE138)))</f>
      </c>
      <c r="L138" s="64">
        <f>IF($AE138="","",IF(INDEX(对接源_01水果!$M$4:$M$1203,$AE138)=0,"",INDEX(对接源_01水果!$M$4:$M$1203,$AE138)))</f>
      </c>
      <c r="AE138" s="2">
        <f>IFERROR(MATCH(133,_自动清单!$AM$4:$AM$2403,0),"")</f>
      </c>
    </row>
    <row r="139" ht="18" customHeight="1" s="127">
      <c r="A139" s="206">
        <f>IF($AE139="","",IF(INDEX(对接源_01水果!$B$4:$B$1203,$AE139)=0,"",INDEX(对接源_01水果!$B$4:$B$1203,$AE139)))</f>
      </c>
      <c r="B139" s="61">
        <f>IF($AE139="","",IF(INDEX(对接源_01水果!$E$4:$E$1203,$AE139)=0,"",INDEX(对接源_01水果!$E$4:$E$1203,$AE139)))</f>
      </c>
      <c r="C139" s="61">
        <f>IF($AE139="","",IF(INDEX(对接源_01水果!$F$4:$F$1203,$AE139)=0,"",INDEX(对接源_01水果!$F$4:$F$1203,$AE139)))</f>
      </c>
      <c r="D139" s="61">
        <f>IF($AE139="","",IF(INDEX(对接源_01水果!$G$4:$G$1203,$AE139)=0,"",INDEX(对接源_01水果!$G$4:$G$1203,$AE139)))</f>
      </c>
      <c r="E139" s="61">
        <f>IF($AE139="","",IF(INDEX(对接源_01水果!$H$4:$H$1203,$AE139)=0,"",INDEX(对接源_01水果!$H$4:$H$1203,$AE139)))</f>
      </c>
      <c r="F139" s="61">
        <f>IF($AE139="","",IF(INDEX(对接源_01水果!$I$4:$I$1203,$AE139)=0,"",INDEX(对接源_01水果!$I$4:$I$1203,$AE139)))</f>
      </c>
      <c r="G139" s="173">
        <f>IF($AE139="","",IF(INDEX(对接源_01水果!$Z$4:$Z$1203,$AE139)=0,"",INDEX(对接源_01水果!$Z$4:$Z$1203,$AE139)))</f>
      </c>
      <c r="H139" s="173">
        <f>IF($AE139="","",IF(INDEX(对接源_01水果!$AA$4:$AA$1203,$AE139)=0,"",INDEX(对接源_01水果!$AA$4:$AA$1203,$AE139)))</f>
      </c>
      <c r="I139" s="173">
        <f>IF($AE139="","",IF(INDEX(对接源_01水果!$AG$4:$AG$1203,$AE139)=0,"",INDEX(对接源_01水果!$AG$4:$AG$1203,$AE139)))</f>
      </c>
      <c r="J139" s="173">
        <f>IF($AE139="","",IF(INDEX(对接源_01水果!$AJ$4:$AJ$1203,$AE139)=0,"",INDEX(对接源_01水果!$AJ$4:$AJ$1203,$AE139)))</f>
      </c>
      <c r="K139" s="61">
        <f>IF($AE139="","",IF(INDEX(对接源_01水果!$AB$4:$AB$1203,$AE139)=0,"",INDEX(对接源_01水果!$AB$4:$AB$1203,$AE139)))</f>
      </c>
      <c r="L139" s="64">
        <f>IF($AE139="","",IF(INDEX(对接源_01水果!$M$4:$M$1203,$AE139)=0,"",INDEX(对接源_01水果!$M$4:$M$1203,$AE139)))</f>
      </c>
      <c r="AE139" s="2">
        <f>IFERROR(MATCH(134,_自动清单!$AM$4:$AM$2403,0),"")</f>
      </c>
    </row>
    <row r="140" ht="18" customHeight="1" s="127">
      <c r="A140" s="206">
        <f>IF($AE140="","",IF(INDEX(对接源_01水果!$B$4:$B$1203,$AE140)=0,"",INDEX(对接源_01水果!$B$4:$B$1203,$AE140)))</f>
      </c>
      <c r="B140" s="61">
        <f>IF($AE140="","",IF(INDEX(对接源_01水果!$E$4:$E$1203,$AE140)=0,"",INDEX(对接源_01水果!$E$4:$E$1203,$AE140)))</f>
      </c>
      <c r="C140" s="61">
        <f>IF($AE140="","",IF(INDEX(对接源_01水果!$F$4:$F$1203,$AE140)=0,"",INDEX(对接源_01水果!$F$4:$F$1203,$AE140)))</f>
      </c>
      <c r="D140" s="61">
        <f>IF($AE140="","",IF(INDEX(对接源_01水果!$G$4:$G$1203,$AE140)=0,"",INDEX(对接源_01水果!$G$4:$G$1203,$AE140)))</f>
      </c>
      <c r="E140" s="61">
        <f>IF($AE140="","",IF(INDEX(对接源_01水果!$H$4:$H$1203,$AE140)=0,"",INDEX(对接源_01水果!$H$4:$H$1203,$AE140)))</f>
      </c>
      <c r="F140" s="61">
        <f>IF($AE140="","",IF(INDEX(对接源_01水果!$I$4:$I$1203,$AE140)=0,"",INDEX(对接源_01水果!$I$4:$I$1203,$AE140)))</f>
      </c>
      <c r="G140" s="173">
        <f>IF($AE140="","",IF(INDEX(对接源_01水果!$Z$4:$Z$1203,$AE140)=0,"",INDEX(对接源_01水果!$Z$4:$Z$1203,$AE140)))</f>
      </c>
      <c r="H140" s="173">
        <f>IF($AE140="","",IF(INDEX(对接源_01水果!$AA$4:$AA$1203,$AE140)=0,"",INDEX(对接源_01水果!$AA$4:$AA$1203,$AE140)))</f>
      </c>
      <c r="I140" s="173">
        <f>IF($AE140="","",IF(INDEX(对接源_01水果!$AG$4:$AG$1203,$AE140)=0,"",INDEX(对接源_01水果!$AG$4:$AG$1203,$AE140)))</f>
      </c>
      <c r="J140" s="173">
        <f>IF($AE140="","",IF(INDEX(对接源_01水果!$AJ$4:$AJ$1203,$AE140)=0,"",INDEX(对接源_01水果!$AJ$4:$AJ$1203,$AE140)))</f>
      </c>
      <c r="K140" s="61">
        <f>IF($AE140="","",IF(INDEX(对接源_01水果!$AB$4:$AB$1203,$AE140)=0,"",INDEX(对接源_01水果!$AB$4:$AB$1203,$AE140)))</f>
      </c>
      <c r="L140" s="64">
        <f>IF($AE140="","",IF(INDEX(对接源_01水果!$M$4:$M$1203,$AE140)=0,"",INDEX(对接源_01水果!$M$4:$M$1203,$AE140)))</f>
      </c>
      <c r="AE140" s="2">
        <f>IFERROR(MATCH(135,_自动清单!$AM$4:$AM$2403,0),"")</f>
      </c>
    </row>
    <row r="141" ht="18" customHeight="1" s="127">
      <c r="A141" s="206">
        <f>IF($AE141="","",IF(INDEX(对接源_01水果!$B$4:$B$1203,$AE141)=0,"",INDEX(对接源_01水果!$B$4:$B$1203,$AE141)))</f>
      </c>
      <c r="B141" s="61">
        <f>IF($AE141="","",IF(INDEX(对接源_01水果!$E$4:$E$1203,$AE141)=0,"",INDEX(对接源_01水果!$E$4:$E$1203,$AE141)))</f>
      </c>
      <c r="C141" s="61">
        <f>IF($AE141="","",IF(INDEX(对接源_01水果!$F$4:$F$1203,$AE141)=0,"",INDEX(对接源_01水果!$F$4:$F$1203,$AE141)))</f>
      </c>
      <c r="D141" s="61">
        <f>IF($AE141="","",IF(INDEX(对接源_01水果!$G$4:$G$1203,$AE141)=0,"",INDEX(对接源_01水果!$G$4:$G$1203,$AE141)))</f>
      </c>
      <c r="E141" s="61">
        <f>IF($AE141="","",IF(INDEX(对接源_01水果!$H$4:$H$1203,$AE141)=0,"",INDEX(对接源_01水果!$H$4:$H$1203,$AE141)))</f>
      </c>
      <c r="F141" s="61">
        <f>IF($AE141="","",IF(INDEX(对接源_01水果!$I$4:$I$1203,$AE141)=0,"",INDEX(对接源_01水果!$I$4:$I$1203,$AE141)))</f>
      </c>
      <c r="G141" s="173">
        <f>IF($AE141="","",IF(INDEX(对接源_01水果!$Z$4:$Z$1203,$AE141)=0,"",INDEX(对接源_01水果!$Z$4:$Z$1203,$AE141)))</f>
      </c>
      <c r="H141" s="173">
        <f>IF($AE141="","",IF(INDEX(对接源_01水果!$AA$4:$AA$1203,$AE141)=0,"",INDEX(对接源_01水果!$AA$4:$AA$1203,$AE141)))</f>
      </c>
      <c r="I141" s="173">
        <f>IF($AE141="","",IF(INDEX(对接源_01水果!$AG$4:$AG$1203,$AE141)=0,"",INDEX(对接源_01水果!$AG$4:$AG$1203,$AE141)))</f>
      </c>
      <c r="J141" s="173">
        <f>IF($AE141="","",IF(INDEX(对接源_01水果!$AJ$4:$AJ$1203,$AE141)=0,"",INDEX(对接源_01水果!$AJ$4:$AJ$1203,$AE141)))</f>
      </c>
      <c r="K141" s="61">
        <f>IF($AE141="","",IF(INDEX(对接源_01水果!$AB$4:$AB$1203,$AE141)=0,"",INDEX(对接源_01水果!$AB$4:$AB$1203,$AE141)))</f>
      </c>
      <c r="L141" s="64">
        <f>IF($AE141="","",IF(INDEX(对接源_01水果!$M$4:$M$1203,$AE141)=0,"",INDEX(对接源_01水果!$M$4:$M$1203,$AE141)))</f>
      </c>
      <c r="AE141" s="2">
        <f>IFERROR(MATCH(136,_自动清单!$AM$4:$AM$2403,0),"")</f>
      </c>
    </row>
    <row r="142" ht="18" customHeight="1" s="127">
      <c r="A142" s="206">
        <f>IF($AE142="","",IF(INDEX(对接源_01水果!$B$4:$B$1203,$AE142)=0,"",INDEX(对接源_01水果!$B$4:$B$1203,$AE142)))</f>
      </c>
      <c r="B142" s="61">
        <f>IF($AE142="","",IF(INDEX(对接源_01水果!$E$4:$E$1203,$AE142)=0,"",INDEX(对接源_01水果!$E$4:$E$1203,$AE142)))</f>
      </c>
      <c r="C142" s="61">
        <f>IF($AE142="","",IF(INDEX(对接源_01水果!$F$4:$F$1203,$AE142)=0,"",INDEX(对接源_01水果!$F$4:$F$1203,$AE142)))</f>
      </c>
      <c r="D142" s="61">
        <f>IF($AE142="","",IF(INDEX(对接源_01水果!$G$4:$G$1203,$AE142)=0,"",INDEX(对接源_01水果!$G$4:$G$1203,$AE142)))</f>
      </c>
      <c r="E142" s="61">
        <f>IF($AE142="","",IF(INDEX(对接源_01水果!$H$4:$H$1203,$AE142)=0,"",INDEX(对接源_01水果!$H$4:$H$1203,$AE142)))</f>
      </c>
      <c r="F142" s="61">
        <f>IF($AE142="","",IF(INDEX(对接源_01水果!$I$4:$I$1203,$AE142)=0,"",INDEX(对接源_01水果!$I$4:$I$1203,$AE142)))</f>
      </c>
      <c r="G142" s="173">
        <f>IF($AE142="","",IF(INDEX(对接源_01水果!$Z$4:$Z$1203,$AE142)=0,"",INDEX(对接源_01水果!$Z$4:$Z$1203,$AE142)))</f>
      </c>
      <c r="H142" s="173">
        <f>IF($AE142="","",IF(INDEX(对接源_01水果!$AA$4:$AA$1203,$AE142)=0,"",INDEX(对接源_01水果!$AA$4:$AA$1203,$AE142)))</f>
      </c>
      <c r="I142" s="173">
        <f>IF($AE142="","",IF(INDEX(对接源_01水果!$AG$4:$AG$1203,$AE142)=0,"",INDEX(对接源_01水果!$AG$4:$AG$1203,$AE142)))</f>
      </c>
      <c r="J142" s="173">
        <f>IF($AE142="","",IF(INDEX(对接源_01水果!$AJ$4:$AJ$1203,$AE142)=0,"",INDEX(对接源_01水果!$AJ$4:$AJ$1203,$AE142)))</f>
      </c>
      <c r="K142" s="61">
        <f>IF($AE142="","",IF(INDEX(对接源_01水果!$AB$4:$AB$1203,$AE142)=0,"",INDEX(对接源_01水果!$AB$4:$AB$1203,$AE142)))</f>
      </c>
      <c r="L142" s="64">
        <f>IF($AE142="","",IF(INDEX(对接源_01水果!$M$4:$M$1203,$AE142)=0,"",INDEX(对接源_01水果!$M$4:$M$1203,$AE142)))</f>
      </c>
      <c r="AE142" s="2">
        <f>IFERROR(MATCH(137,_自动清单!$AM$4:$AM$2403,0),"")</f>
      </c>
    </row>
    <row r="143" ht="18" customHeight="1" s="127">
      <c r="A143" s="206">
        <f>IF($AE143="","",IF(INDEX(对接源_01水果!$B$4:$B$1203,$AE143)=0,"",INDEX(对接源_01水果!$B$4:$B$1203,$AE143)))</f>
      </c>
      <c r="B143" s="61">
        <f>IF($AE143="","",IF(INDEX(对接源_01水果!$E$4:$E$1203,$AE143)=0,"",INDEX(对接源_01水果!$E$4:$E$1203,$AE143)))</f>
      </c>
      <c r="C143" s="61">
        <f>IF($AE143="","",IF(INDEX(对接源_01水果!$F$4:$F$1203,$AE143)=0,"",INDEX(对接源_01水果!$F$4:$F$1203,$AE143)))</f>
      </c>
      <c r="D143" s="61">
        <f>IF($AE143="","",IF(INDEX(对接源_01水果!$G$4:$G$1203,$AE143)=0,"",INDEX(对接源_01水果!$G$4:$G$1203,$AE143)))</f>
      </c>
      <c r="E143" s="61">
        <f>IF($AE143="","",IF(INDEX(对接源_01水果!$H$4:$H$1203,$AE143)=0,"",INDEX(对接源_01水果!$H$4:$H$1203,$AE143)))</f>
      </c>
      <c r="F143" s="61">
        <f>IF($AE143="","",IF(INDEX(对接源_01水果!$I$4:$I$1203,$AE143)=0,"",INDEX(对接源_01水果!$I$4:$I$1203,$AE143)))</f>
      </c>
      <c r="G143" s="173">
        <f>IF($AE143="","",IF(INDEX(对接源_01水果!$Z$4:$Z$1203,$AE143)=0,"",INDEX(对接源_01水果!$Z$4:$Z$1203,$AE143)))</f>
      </c>
      <c r="H143" s="173">
        <f>IF($AE143="","",IF(INDEX(对接源_01水果!$AA$4:$AA$1203,$AE143)=0,"",INDEX(对接源_01水果!$AA$4:$AA$1203,$AE143)))</f>
      </c>
      <c r="I143" s="173">
        <f>IF($AE143="","",IF(INDEX(对接源_01水果!$AG$4:$AG$1203,$AE143)=0,"",INDEX(对接源_01水果!$AG$4:$AG$1203,$AE143)))</f>
      </c>
      <c r="J143" s="173">
        <f>IF($AE143="","",IF(INDEX(对接源_01水果!$AJ$4:$AJ$1203,$AE143)=0,"",INDEX(对接源_01水果!$AJ$4:$AJ$1203,$AE143)))</f>
      </c>
      <c r="K143" s="61">
        <f>IF($AE143="","",IF(INDEX(对接源_01水果!$AB$4:$AB$1203,$AE143)=0,"",INDEX(对接源_01水果!$AB$4:$AB$1203,$AE143)))</f>
      </c>
      <c r="L143" s="64">
        <f>IF($AE143="","",IF(INDEX(对接源_01水果!$M$4:$M$1203,$AE143)=0,"",INDEX(对接源_01水果!$M$4:$M$1203,$AE143)))</f>
      </c>
      <c r="AE143" s="2">
        <f>IFERROR(MATCH(138,_自动清单!$AM$4:$AM$2403,0),"")</f>
      </c>
    </row>
    <row r="144" ht="18" customHeight="1" s="127">
      <c r="A144" s="206">
        <f>IF($AE144="","",IF(INDEX(对接源_01水果!$B$4:$B$1203,$AE144)=0,"",INDEX(对接源_01水果!$B$4:$B$1203,$AE144)))</f>
      </c>
      <c r="B144" s="61">
        <f>IF($AE144="","",IF(INDEX(对接源_01水果!$E$4:$E$1203,$AE144)=0,"",INDEX(对接源_01水果!$E$4:$E$1203,$AE144)))</f>
      </c>
      <c r="C144" s="61">
        <f>IF($AE144="","",IF(INDEX(对接源_01水果!$F$4:$F$1203,$AE144)=0,"",INDEX(对接源_01水果!$F$4:$F$1203,$AE144)))</f>
      </c>
      <c r="D144" s="61">
        <f>IF($AE144="","",IF(INDEX(对接源_01水果!$G$4:$G$1203,$AE144)=0,"",INDEX(对接源_01水果!$G$4:$G$1203,$AE144)))</f>
      </c>
      <c r="E144" s="61">
        <f>IF($AE144="","",IF(INDEX(对接源_01水果!$H$4:$H$1203,$AE144)=0,"",INDEX(对接源_01水果!$H$4:$H$1203,$AE144)))</f>
      </c>
      <c r="F144" s="61">
        <f>IF($AE144="","",IF(INDEX(对接源_01水果!$I$4:$I$1203,$AE144)=0,"",INDEX(对接源_01水果!$I$4:$I$1203,$AE144)))</f>
      </c>
      <c r="G144" s="173">
        <f>IF($AE144="","",IF(INDEX(对接源_01水果!$Z$4:$Z$1203,$AE144)=0,"",INDEX(对接源_01水果!$Z$4:$Z$1203,$AE144)))</f>
      </c>
      <c r="H144" s="173">
        <f>IF($AE144="","",IF(INDEX(对接源_01水果!$AA$4:$AA$1203,$AE144)=0,"",INDEX(对接源_01水果!$AA$4:$AA$1203,$AE144)))</f>
      </c>
      <c r="I144" s="173">
        <f>IF($AE144="","",IF(INDEX(对接源_01水果!$AG$4:$AG$1203,$AE144)=0,"",INDEX(对接源_01水果!$AG$4:$AG$1203,$AE144)))</f>
      </c>
      <c r="J144" s="173">
        <f>IF($AE144="","",IF(INDEX(对接源_01水果!$AJ$4:$AJ$1203,$AE144)=0,"",INDEX(对接源_01水果!$AJ$4:$AJ$1203,$AE144)))</f>
      </c>
      <c r="K144" s="61">
        <f>IF($AE144="","",IF(INDEX(对接源_01水果!$AB$4:$AB$1203,$AE144)=0,"",INDEX(对接源_01水果!$AB$4:$AB$1203,$AE144)))</f>
      </c>
      <c r="L144" s="64">
        <f>IF($AE144="","",IF(INDEX(对接源_01水果!$M$4:$M$1203,$AE144)=0,"",INDEX(对接源_01水果!$M$4:$M$1203,$AE144)))</f>
      </c>
      <c r="AE144" s="2">
        <f>IFERROR(MATCH(139,_自动清单!$AM$4:$AM$2403,0),"")</f>
      </c>
    </row>
    <row r="145" ht="18" customHeight="1" s="127">
      <c r="A145" s="206">
        <f>IF($AE145="","",IF(INDEX(对接源_01水果!$B$4:$B$1203,$AE145)=0,"",INDEX(对接源_01水果!$B$4:$B$1203,$AE145)))</f>
      </c>
      <c r="B145" s="61">
        <f>IF($AE145="","",IF(INDEX(对接源_01水果!$E$4:$E$1203,$AE145)=0,"",INDEX(对接源_01水果!$E$4:$E$1203,$AE145)))</f>
      </c>
      <c r="C145" s="61">
        <f>IF($AE145="","",IF(INDEX(对接源_01水果!$F$4:$F$1203,$AE145)=0,"",INDEX(对接源_01水果!$F$4:$F$1203,$AE145)))</f>
      </c>
      <c r="D145" s="61">
        <f>IF($AE145="","",IF(INDEX(对接源_01水果!$G$4:$G$1203,$AE145)=0,"",INDEX(对接源_01水果!$G$4:$G$1203,$AE145)))</f>
      </c>
      <c r="E145" s="61">
        <f>IF($AE145="","",IF(INDEX(对接源_01水果!$H$4:$H$1203,$AE145)=0,"",INDEX(对接源_01水果!$H$4:$H$1203,$AE145)))</f>
      </c>
      <c r="F145" s="61">
        <f>IF($AE145="","",IF(INDEX(对接源_01水果!$I$4:$I$1203,$AE145)=0,"",INDEX(对接源_01水果!$I$4:$I$1203,$AE145)))</f>
      </c>
      <c r="G145" s="173">
        <f>IF($AE145="","",IF(INDEX(对接源_01水果!$Z$4:$Z$1203,$AE145)=0,"",INDEX(对接源_01水果!$Z$4:$Z$1203,$AE145)))</f>
      </c>
      <c r="H145" s="173">
        <f>IF($AE145="","",IF(INDEX(对接源_01水果!$AA$4:$AA$1203,$AE145)=0,"",INDEX(对接源_01水果!$AA$4:$AA$1203,$AE145)))</f>
      </c>
      <c r="I145" s="173">
        <f>IF($AE145="","",IF(INDEX(对接源_01水果!$AG$4:$AG$1203,$AE145)=0,"",INDEX(对接源_01水果!$AG$4:$AG$1203,$AE145)))</f>
      </c>
      <c r="J145" s="173">
        <f>IF($AE145="","",IF(INDEX(对接源_01水果!$AJ$4:$AJ$1203,$AE145)=0,"",INDEX(对接源_01水果!$AJ$4:$AJ$1203,$AE145)))</f>
      </c>
      <c r="K145" s="61">
        <f>IF($AE145="","",IF(INDEX(对接源_01水果!$AB$4:$AB$1203,$AE145)=0,"",INDEX(对接源_01水果!$AB$4:$AB$1203,$AE145)))</f>
      </c>
      <c r="L145" s="64">
        <f>IF($AE145="","",IF(INDEX(对接源_01水果!$M$4:$M$1203,$AE145)=0,"",INDEX(对接源_01水果!$M$4:$M$1203,$AE145)))</f>
      </c>
      <c r="AE145" s="2">
        <f>IFERROR(MATCH(140,_自动清单!$AM$4:$AM$2403,0),"")</f>
      </c>
    </row>
    <row r="146" ht="18" customHeight="1" s="127">
      <c r="A146" s="206">
        <f>IF($AE146="","",IF(INDEX(对接源_01水果!$B$4:$B$1203,$AE146)=0,"",INDEX(对接源_01水果!$B$4:$B$1203,$AE146)))</f>
      </c>
      <c r="B146" s="61">
        <f>IF($AE146="","",IF(INDEX(对接源_01水果!$E$4:$E$1203,$AE146)=0,"",INDEX(对接源_01水果!$E$4:$E$1203,$AE146)))</f>
      </c>
      <c r="C146" s="61">
        <f>IF($AE146="","",IF(INDEX(对接源_01水果!$F$4:$F$1203,$AE146)=0,"",INDEX(对接源_01水果!$F$4:$F$1203,$AE146)))</f>
      </c>
      <c r="D146" s="61">
        <f>IF($AE146="","",IF(INDEX(对接源_01水果!$G$4:$G$1203,$AE146)=0,"",INDEX(对接源_01水果!$G$4:$G$1203,$AE146)))</f>
      </c>
      <c r="E146" s="61">
        <f>IF($AE146="","",IF(INDEX(对接源_01水果!$H$4:$H$1203,$AE146)=0,"",INDEX(对接源_01水果!$H$4:$H$1203,$AE146)))</f>
      </c>
      <c r="F146" s="61">
        <f>IF($AE146="","",IF(INDEX(对接源_01水果!$I$4:$I$1203,$AE146)=0,"",INDEX(对接源_01水果!$I$4:$I$1203,$AE146)))</f>
      </c>
      <c r="G146" s="173">
        <f>IF($AE146="","",IF(INDEX(对接源_01水果!$Z$4:$Z$1203,$AE146)=0,"",INDEX(对接源_01水果!$Z$4:$Z$1203,$AE146)))</f>
      </c>
      <c r="H146" s="173">
        <f>IF($AE146="","",IF(INDEX(对接源_01水果!$AA$4:$AA$1203,$AE146)=0,"",INDEX(对接源_01水果!$AA$4:$AA$1203,$AE146)))</f>
      </c>
      <c r="I146" s="173">
        <f>IF($AE146="","",IF(INDEX(对接源_01水果!$AG$4:$AG$1203,$AE146)=0,"",INDEX(对接源_01水果!$AG$4:$AG$1203,$AE146)))</f>
      </c>
      <c r="J146" s="173">
        <f>IF($AE146="","",IF(INDEX(对接源_01水果!$AJ$4:$AJ$1203,$AE146)=0,"",INDEX(对接源_01水果!$AJ$4:$AJ$1203,$AE146)))</f>
      </c>
      <c r="K146" s="61">
        <f>IF($AE146="","",IF(INDEX(对接源_01水果!$AB$4:$AB$1203,$AE146)=0,"",INDEX(对接源_01水果!$AB$4:$AB$1203,$AE146)))</f>
      </c>
      <c r="L146" s="64">
        <f>IF($AE146="","",IF(INDEX(对接源_01水果!$M$4:$M$1203,$AE146)=0,"",INDEX(对接源_01水果!$M$4:$M$1203,$AE146)))</f>
      </c>
      <c r="AE146" s="2">
        <f>IFERROR(MATCH(141,_自动清单!$AM$4:$AM$2403,0),"")</f>
      </c>
    </row>
    <row r="147" ht="18" customHeight="1" s="127">
      <c r="A147" s="206">
        <f>IF($AE147="","",IF(INDEX(对接源_01水果!$B$4:$B$1203,$AE147)=0,"",INDEX(对接源_01水果!$B$4:$B$1203,$AE147)))</f>
      </c>
      <c r="B147" s="61">
        <f>IF($AE147="","",IF(INDEX(对接源_01水果!$E$4:$E$1203,$AE147)=0,"",INDEX(对接源_01水果!$E$4:$E$1203,$AE147)))</f>
      </c>
      <c r="C147" s="61">
        <f>IF($AE147="","",IF(INDEX(对接源_01水果!$F$4:$F$1203,$AE147)=0,"",INDEX(对接源_01水果!$F$4:$F$1203,$AE147)))</f>
      </c>
      <c r="D147" s="61">
        <f>IF($AE147="","",IF(INDEX(对接源_01水果!$G$4:$G$1203,$AE147)=0,"",INDEX(对接源_01水果!$G$4:$G$1203,$AE147)))</f>
      </c>
      <c r="E147" s="61">
        <f>IF($AE147="","",IF(INDEX(对接源_01水果!$H$4:$H$1203,$AE147)=0,"",INDEX(对接源_01水果!$H$4:$H$1203,$AE147)))</f>
      </c>
      <c r="F147" s="61">
        <f>IF($AE147="","",IF(INDEX(对接源_01水果!$I$4:$I$1203,$AE147)=0,"",INDEX(对接源_01水果!$I$4:$I$1203,$AE147)))</f>
      </c>
      <c r="G147" s="173">
        <f>IF($AE147="","",IF(INDEX(对接源_01水果!$Z$4:$Z$1203,$AE147)=0,"",INDEX(对接源_01水果!$Z$4:$Z$1203,$AE147)))</f>
      </c>
      <c r="H147" s="173">
        <f>IF($AE147="","",IF(INDEX(对接源_01水果!$AA$4:$AA$1203,$AE147)=0,"",INDEX(对接源_01水果!$AA$4:$AA$1203,$AE147)))</f>
      </c>
      <c r="I147" s="173">
        <f>IF($AE147="","",IF(INDEX(对接源_01水果!$AG$4:$AG$1203,$AE147)=0,"",INDEX(对接源_01水果!$AG$4:$AG$1203,$AE147)))</f>
      </c>
      <c r="J147" s="173">
        <f>IF($AE147="","",IF(INDEX(对接源_01水果!$AJ$4:$AJ$1203,$AE147)=0,"",INDEX(对接源_01水果!$AJ$4:$AJ$1203,$AE147)))</f>
      </c>
      <c r="K147" s="61">
        <f>IF($AE147="","",IF(INDEX(对接源_01水果!$AB$4:$AB$1203,$AE147)=0,"",INDEX(对接源_01水果!$AB$4:$AB$1203,$AE147)))</f>
      </c>
      <c r="L147" s="64">
        <f>IF($AE147="","",IF(INDEX(对接源_01水果!$M$4:$M$1203,$AE147)=0,"",INDEX(对接源_01水果!$M$4:$M$1203,$AE147)))</f>
      </c>
      <c r="AE147" s="2">
        <f>IFERROR(MATCH(142,_自动清单!$AM$4:$AM$2403,0),"")</f>
      </c>
    </row>
    <row r="148" ht="18" customHeight="1" s="127">
      <c r="A148" s="206">
        <f>IF($AE148="","",IF(INDEX(对接源_01水果!$B$4:$B$1203,$AE148)=0,"",INDEX(对接源_01水果!$B$4:$B$1203,$AE148)))</f>
      </c>
      <c r="B148" s="61">
        <f>IF($AE148="","",IF(INDEX(对接源_01水果!$E$4:$E$1203,$AE148)=0,"",INDEX(对接源_01水果!$E$4:$E$1203,$AE148)))</f>
      </c>
      <c r="C148" s="61">
        <f>IF($AE148="","",IF(INDEX(对接源_01水果!$F$4:$F$1203,$AE148)=0,"",INDEX(对接源_01水果!$F$4:$F$1203,$AE148)))</f>
      </c>
      <c r="D148" s="61">
        <f>IF($AE148="","",IF(INDEX(对接源_01水果!$G$4:$G$1203,$AE148)=0,"",INDEX(对接源_01水果!$G$4:$G$1203,$AE148)))</f>
      </c>
      <c r="E148" s="61">
        <f>IF($AE148="","",IF(INDEX(对接源_01水果!$H$4:$H$1203,$AE148)=0,"",INDEX(对接源_01水果!$H$4:$H$1203,$AE148)))</f>
      </c>
      <c r="F148" s="61">
        <f>IF($AE148="","",IF(INDEX(对接源_01水果!$I$4:$I$1203,$AE148)=0,"",INDEX(对接源_01水果!$I$4:$I$1203,$AE148)))</f>
      </c>
      <c r="G148" s="173">
        <f>IF($AE148="","",IF(INDEX(对接源_01水果!$Z$4:$Z$1203,$AE148)=0,"",INDEX(对接源_01水果!$Z$4:$Z$1203,$AE148)))</f>
      </c>
      <c r="H148" s="173">
        <f>IF($AE148="","",IF(INDEX(对接源_01水果!$AA$4:$AA$1203,$AE148)=0,"",INDEX(对接源_01水果!$AA$4:$AA$1203,$AE148)))</f>
      </c>
      <c r="I148" s="173">
        <f>IF($AE148="","",IF(INDEX(对接源_01水果!$AG$4:$AG$1203,$AE148)=0,"",INDEX(对接源_01水果!$AG$4:$AG$1203,$AE148)))</f>
      </c>
      <c r="J148" s="173">
        <f>IF($AE148="","",IF(INDEX(对接源_01水果!$AJ$4:$AJ$1203,$AE148)=0,"",INDEX(对接源_01水果!$AJ$4:$AJ$1203,$AE148)))</f>
      </c>
      <c r="K148" s="61">
        <f>IF($AE148="","",IF(INDEX(对接源_01水果!$AB$4:$AB$1203,$AE148)=0,"",INDEX(对接源_01水果!$AB$4:$AB$1203,$AE148)))</f>
      </c>
      <c r="L148" s="64">
        <f>IF($AE148="","",IF(INDEX(对接源_01水果!$M$4:$M$1203,$AE148)=0,"",INDEX(对接源_01水果!$M$4:$M$1203,$AE148)))</f>
      </c>
      <c r="AE148" s="2">
        <f>IFERROR(MATCH(143,_自动清单!$AM$4:$AM$2403,0),"")</f>
      </c>
    </row>
    <row r="149" ht="18" customHeight="1" s="127">
      <c r="A149" s="206">
        <f>IF($AE149="","",IF(INDEX(对接源_01水果!$B$4:$B$1203,$AE149)=0,"",INDEX(对接源_01水果!$B$4:$B$1203,$AE149)))</f>
      </c>
      <c r="B149" s="61">
        <f>IF($AE149="","",IF(INDEX(对接源_01水果!$E$4:$E$1203,$AE149)=0,"",INDEX(对接源_01水果!$E$4:$E$1203,$AE149)))</f>
      </c>
      <c r="C149" s="61">
        <f>IF($AE149="","",IF(INDEX(对接源_01水果!$F$4:$F$1203,$AE149)=0,"",INDEX(对接源_01水果!$F$4:$F$1203,$AE149)))</f>
      </c>
      <c r="D149" s="61">
        <f>IF($AE149="","",IF(INDEX(对接源_01水果!$G$4:$G$1203,$AE149)=0,"",INDEX(对接源_01水果!$G$4:$G$1203,$AE149)))</f>
      </c>
      <c r="E149" s="61">
        <f>IF($AE149="","",IF(INDEX(对接源_01水果!$H$4:$H$1203,$AE149)=0,"",INDEX(对接源_01水果!$H$4:$H$1203,$AE149)))</f>
      </c>
      <c r="F149" s="61">
        <f>IF($AE149="","",IF(INDEX(对接源_01水果!$I$4:$I$1203,$AE149)=0,"",INDEX(对接源_01水果!$I$4:$I$1203,$AE149)))</f>
      </c>
      <c r="G149" s="173">
        <f>IF($AE149="","",IF(INDEX(对接源_01水果!$Z$4:$Z$1203,$AE149)=0,"",INDEX(对接源_01水果!$Z$4:$Z$1203,$AE149)))</f>
      </c>
      <c r="H149" s="173">
        <f>IF($AE149="","",IF(INDEX(对接源_01水果!$AA$4:$AA$1203,$AE149)=0,"",INDEX(对接源_01水果!$AA$4:$AA$1203,$AE149)))</f>
      </c>
      <c r="I149" s="173">
        <f>IF($AE149="","",IF(INDEX(对接源_01水果!$AG$4:$AG$1203,$AE149)=0,"",INDEX(对接源_01水果!$AG$4:$AG$1203,$AE149)))</f>
      </c>
      <c r="J149" s="173">
        <f>IF($AE149="","",IF(INDEX(对接源_01水果!$AJ$4:$AJ$1203,$AE149)=0,"",INDEX(对接源_01水果!$AJ$4:$AJ$1203,$AE149)))</f>
      </c>
      <c r="K149" s="61">
        <f>IF($AE149="","",IF(INDEX(对接源_01水果!$AB$4:$AB$1203,$AE149)=0,"",INDEX(对接源_01水果!$AB$4:$AB$1203,$AE149)))</f>
      </c>
      <c r="L149" s="64">
        <f>IF($AE149="","",IF(INDEX(对接源_01水果!$M$4:$M$1203,$AE149)=0,"",INDEX(对接源_01水果!$M$4:$M$1203,$AE149)))</f>
      </c>
      <c r="AE149" s="2">
        <f>IFERROR(MATCH(144,_自动清单!$AM$4:$AM$2403,0),"")</f>
      </c>
    </row>
    <row r="150" ht="18" customHeight="1" s="127">
      <c r="A150" s="206">
        <f>IF($AE150="","",IF(INDEX(对接源_01水果!$B$4:$B$1203,$AE150)=0,"",INDEX(对接源_01水果!$B$4:$B$1203,$AE150)))</f>
      </c>
      <c r="B150" s="61">
        <f>IF($AE150="","",IF(INDEX(对接源_01水果!$E$4:$E$1203,$AE150)=0,"",INDEX(对接源_01水果!$E$4:$E$1203,$AE150)))</f>
      </c>
      <c r="C150" s="61">
        <f>IF($AE150="","",IF(INDEX(对接源_01水果!$F$4:$F$1203,$AE150)=0,"",INDEX(对接源_01水果!$F$4:$F$1203,$AE150)))</f>
      </c>
      <c r="D150" s="61">
        <f>IF($AE150="","",IF(INDEX(对接源_01水果!$G$4:$G$1203,$AE150)=0,"",INDEX(对接源_01水果!$G$4:$G$1203,$AE150)))</f>
      </c>
      <c r="E150" s="61">
        <f>IF($AE150="","",IF(INDEX(对接源_01水果!$H$4:$H$1203,$AE150)=0,"",INDEX(对接源_01水果!$H$4:$H$1203,$AE150)))</f>
      </c>
      <c r="F150" s="61">
        <f>IF($AE150="","",IF(INDEX(对接源_01水果!$I$4:$I$1203,$AE150)=0,"",INDEX(对接源_01水果!$I$4:$I$1203,$AE150)))</f>
      </c>
      <c r="G150" s="173">
        <f>IF($AE150="","",IF(INDEX(对接源_01水果!$Z$4:$Z$1203,$AE150)=0,"",INDEX(对接源_01水果!$Z$4:$Z$1203,$AE150)))</f>
      </c>
      <c r="H150" s="173">
        <f>IF($AE150="","",IF(INDEX(对接源_01水果!$AA$4:$AA$1203,$AE150)=0,"",INDEX(对接源_01水果!$AA$4:$AA$1203,$AE150)))</f>
      </c>
      <c r="I150" s="173">
        <f>IF($AE150="","",IF(INDEX(对接源_01水果!$AG$4:$AG$1203,$AE150)=0,"",INDEX(对接源_01水果!$AG$4:$AG$1203,$AE150)))</f>
      </c>
      <c r="J150" s="173">
        <f>IF($AE150="","",IF(INDEX(对接源_01水果!$AJ$4:$AJ$1203,$AE150)=0,"",INDEX(对接源_01水果!$AJ$4:$AJ$1203,$AE150)))</f>
      </c>
      <c r="K150" s="61">
        <f>IF($AE150="","",IF(INDEX(对接源_01水果!$AB$4:$AB$1203,$AE150)=0,"",INDEX(对接源_01水果!$AB$4:$AB$1203,$AE150)))</f>
      </c>
      <c r="L150" s="64">
        <f>IF($AE150="","",IF(INDEX(对接源_01水果!$M$4:$M$1203,$AE150)=0,"",INDEX(对接源_01水果!$M$4:$M$1203,$AE150)))</f>
      </c>
      <c r="AE150" s="2">
        <f>IFERROR(MATCH(145,_自动清单!$AM$4:$AM$2403,0),"")</f>
      </c>
    </row>
    <row r="151" ht="18" customHeight="1" s="127">
      <c r="A151" s="206">
        <f>IF($AE151="","",IF(INDEX(对接源_01水果!$B$4:$B$1203,$AE151)=0,"",INDEX(对接源_01水果!$B$4:$B$1203,$AE151)))</f>
      </c>
      <c r="B151" s="61">
        <f>IF($AE151="","",IF(INDEX(对接源_01水果!$E$4:$E$1203,$AE151)=0,"",INDEX(对接源_01水果!$E$4:$E$1203,$AE151)))</f>
      </c>
      <c r="C151" s="61">
        <f>IF($AE151="","",IF(INDEX(对接源_01水果!$F$4:$F$1203,$AE151)=0,"",INDEX(对接源_01水果!$F$4:$F$1203,$AE151)))</f>
      </c>
      <c r="D151" s="61">
        <f>IF($AE151="","",IF(INDEX(对接源_01水果!$G$4:$G$1203,$AE151)=0,"",INDEX(对接源_01水果!$G$4:$G$1203,$AE151)))</f>
      </c>
      <c r="E151" s="61">
        <f>IF($AE151="","",IF(INDEX(对接源_01水果!$H$4:$H$1203,$AE151)=0,"",INDEX(对接源_01水果!$H$4:$H$1203,$AE151)))</f>
      </c>
      <c r="F151" s="61">
        <f>IF($AE151="","",IF(INDEX(对接源_01水果!$I$4:$I$1203,$AE151)=0,"",INDEX(对接源_01水果!$I$4:$I$1203,$AE151)))</f>
      </c>
      <c r="G151" s="173">
        <f>IF($AE151="","",IF(INDEX(对接源_01水果!$Z$4:$Z$1203,$AE151)=0,"",INDEX(对接源_01水果!$Z$4:$Z$1203,$AE151)))</f>
      </c>
      <c r="H151" s="173">
        <f>IF($AE151="","",IF(INDEX(对接源_01水果!$AA$4:$AA$1203,$AE151)=0,"",INDEX(对接源_01水果!$AA$4:$AA$1203,$AE151)))</f>
      </c>
      <c r="I151" s="173">
        <f>IF($AE151="","",IF(INDEX(对接源_01水果!$AG$4:$AG$1203,$AE151)=0,"",INDEX(对接源_01水果!$AG$4:$AG$1203,$AE151)))</f>
      </c>
      <c r="J151" s="173">
        <f>IF($AE151="","",IF(INDEX(对接源_01水果!$AJ$4:$AJ$1203,$AE151)=0,"",INDEX(对接源_01水果!$AJ$4:$AJ$1203,$AE151)))</f>
      </c>
      <c r="K151" s="61">
        <f>IF($AE151="","",IF(INDEX(对接源_01水果!$AB$4:$AB$1203,$AE151)=0,"",INDEX(对接源_01水果!$AB$4:$AB$1203,$AE151)))</f>
      </c>
      <c r="L151" s="64">
        <f>IF($AE151="","",IF(INDEX(对接源_01水果!$M$4:$M$1203,$AE151)=0,"",INDEX(对接源_01水果!$M$4:$M$1203,$AE151)))</f>
      </c>
      <c r="AE151" s="2">
        <f>IFERROR(MATCH(146,_自动清单!$AM$4:$AM$2403,0),"")</f>
      </c>
    </row>
    <row r="152" ht="18" customHeight="1" s="127">
      <c r="A152" s="206">
        <f>IF($AE152="","",IF(INDEX(对接源_01水果!$B$4:$B$1203,$AE152)=0,"",INDEX(对接源_01水果!$B$4:$B$1203,$AE152)))</f>
      </c>
      <c r="B152" s="61">
        <f>IF($AE152="","",IF(INDEX(对接源_01水果!$E$4:$E$1203,$AE152)=0,"",INDEX(对接源_01水果!$E$4:$E$1203,$AE152)))</f>
      </c>
      <c r="C152" s="61">
        <f>IF($AE152="","",IF(INDEX(对接源_01水果!$F$4:$F$1203,$AE152)=0,"",INDEX(对接源_01水果!$F$4:$F$1203,$AE152)))</f>
      </c>
      <c r="D152" s="61">
        <f>IF($AE152="","",IF(INDEX(对接源_01水果!$G$4:$G$1203,$AE152)=0,"",INDEX(对接源_01水果!$G$4:$G$1203,$AE152)))</f>
      </c>
      <c r="E152" s="61">
        <f>IF($AE152="","",IF(INDEX(对接源_01水果!$H$4:$H$1203,$AE152)=0,"",INDEX(对接源_01水果!$H$4:$H$1203,$AE152)))</f>
      </c>
      <c r="F152" s="61">
        <f>IF($AE152="","",IF(INDEX(对接源_01水果!$I$4:$I$1203,$AE152)=0,"",INDEX(对接源_01水果!$I$4:$I$1203,$AE152)))</f>
      </c>
      <c r="G152" s="173">
        <f>IF($AE152="","",IF(INDEX(对接源_01水果!$Z$4:$Z$1203,$AE152)=0,"",INDEX(对接源_01水果!$Z$4:$Z$1203,$AE152)))</f>
      </c>
      <c r="H152" s="173">
        <f>IF($AE152="","",IF(INDEX(对接源_01水果!$AA$4:$AA$1203,$AE152)=0,"",INDEX(对接源_01水果!$AA$4:$AA$1203,$AE152)))</f>
      </c>
      <c r="I152" s="173">
        <f>IF($AE152="","",IF(INDEX(对接源_01水果!$AG$4:$AG$1203,$AE152)=0,"",INDEX(对接源_01水果!$AG$4:$AG$1203,$AE152)))</f>
      </c>
      <c r="J152" s="173">
        <f>IF($AE152="","",IF(INDEX(对接源_01水果!$AJ$4:$AJ$1203,$AE152)=0,"",INDEX(对接源_01水果!$AJ$4:$AJ$1203,$AE152)))</f>
      </c>
      <c r="K152" s="61">
        <f>IF($AE152="","",IF(INDEX(对接源_01水果!$AB$4:$AB$1203,$AE152)=0,"",INDEX(对接源_01水果!$AB$4:$AB$1203,$AE152)))</f>
      </c>
      <c r="L152" s="64">
        <f>IF($AE152="","",IF(INDEX(对接源_01水果!$M$4:$M$1203,$AE152)=0,"",INDEX(对接源_01水果!$M$4:$M$1203,$AE152)))</f>
      </c>
      <c r="AE152" s="2">
        <f>IFERROR(MATCH(147,_自动清单!$AM$4:$AM$2403,0),"")</f>
      </c>
    </row>
    <row r="153" ht="18" customHeight="1" s="127">
      <c r="A153" s="206">
        <f>IF($AE153="","",IF(INDEX(对接源_01水果!$B$4:$B$1203,$AE153)=0,"",INDEX(对接源_01水果!$B$4:$B$1203,$AE153)))</f>
      </c>
      <c r="B153" s="61">
        <f>IF($AE153="","",IF(INDEX(对接源_01水果!$E$4:$E$1203,$AE153)=0,"",INDEX(对接源_01水果!$E$4:$E$1203,$AE153)))</f>
      </c>
      <c r="C153" s="61">
        <f>IF($AE153="","",IF(INDEX(对接源_01水果!$F$4:$F$1203,$AE153)=0,"",INDEX(对接源_01水果!$F$4:$F$1203,$AE153)))</f>
      </c>
      <c r="D153" s="61">
        <f>IF($AE153="","",IF(INDEX(对接源_01水果!$G$4:$G$1203,$AE153)=0,"",INDEX(对接源_01水果!$G$4:$G$1203,$AE153)))</f>
      </c>
      <c r="E153" s="61">
        <f>IF($AE153="","",IF(INDEX(对接源_01水果!$H$4:$H$1203,$AE153)=0,"",INDEX(对接源_01水果!$H$4:$H$1203,$AE153)))</f>
      </c>
      <c r="F153" s="61">
        <f>IF($AE153="","",IF(INDEX(对接源_01水果!$I$4:$I$1203,$AE153)=0,"",INDEX(对接源_01水果!$I$4:$I$1203,$AE153)))</f>
      </c>
      <c r="G153" s="173">
        <f>IF($AE153="","",IF(INDEX(对接源_01水果!$Z$4:$Z$1203,$AE153)=0,"",INDEX(对接源_01水果!$Z$4:$Z$1203,$AE153)))</f>
      </c>
      <c r="H153" s="173">
        <f>IF($AE153="","",IF(INDEX(对接源_01水果!$AA$4:$AA$1203,$AE153)=0,"",INDEX(对接源_01水果!$AA$4:$AA$1203,$AE153)))</f>
      </c>
      <c r="I153" s="173">
        <f>IF($AE153="","",IF(INDEX(对接源_01水果!$AG$4:$AG$1203,$AE153)=0,"",INDEX(对接源_01水果!$AG$4:$AG$1203,$AE153)))</f>
      </c>
      <c r="J153" s="173">
        <f>IF($AE153="","",IF(INDEX(对接源_01水果!$AJ$4:$AJ$1203,$AE153)=0,"",INDEX(对接源_01水果!$AJ$4:$AJ$1203,$AE153)))</f>
      </c>
      <c r="K153" s="61">
        <f>IF($AE153="","",IF(INDEX(对接源_01水果!$AB$4:$AB$1203,$AE153)=0,"",INDEX(对接源_01水果!$AB$4:$AB$1203,$AE153)))</f>
      </c>
      <c r="L153" s="64">
        <f>IF($AE153="","",IF(INDEX(对接源_01水果!$M$4:$M$1203,$AE153)=0,"",INDEX(对接源_01水果!$M$4:$M$1203,$AE153)))</f>
      </c>
      <c r="AE153" s="2">
        <f>IFERROR(MATCH(148,_自动清单!$AM$4:$AM$2403,0),"")</f>
      </c>
    </row>
    <row r="154" ht="18" customHeight="1" s="127">
      <c r="A154" s="206">
        <f>IF($AE154="","",IF(INDEX(对接源_01水果!$B$4:$B$1203,$AE154)=0,"",INDEX(对接源_01水果!$B$4:$B$1203,$AE154)))</f>
      </c>
      <c r="B154" s="61">
        <f>IF($AE154="","",IF(INDEX(对接源_01水果!$E$4:$E$1203,$AE154)=0,"",INDEX(对接源_01水果!$E$4:$E$1203,$AE154)))</f>
      </c>
      <c r="C154" s="61">
        <f>IF($AE154="","",IF(INDEX(对接源_01水果!$F$4:$F$1203,$AE154)=0,"",INDEX(对接源_01水果!$F$4:$F$1203,$AE154)))</f>
      </c>
      <c r="D154" s="61">
        <f>IF($AE154="","",IF(INDEX(对接源_01水果!$G$4:$G$1203,$AE154)=0,"",INDEX(对接源_01水果!$G$4:$G$1203,$AE154)))</f>
      </c>
      <c r="E154" s="61">
        <f>IF($AE154="","",IF(INDEX(对接源_01水果!$H$4:$H$1203,$AE154)=0,"",INDEX(对接源_01水果!$H$4:$H$1203,$AE154)))</f>
      </c>
      <c r="F154" s="61">
        <f>IF($AE154="","",IF(INDEX(对接源_01水果!$I$4:$I$1203,$AE154)=0,"",INDEX(对接源_01水果!$I$4:$I$1203,$AE154)))</f>
      </c>
      <c r="G154" s="173">
        <f>IF($AE154="","",IF(INDEX(对接源_01水果!$Z$4:$Z$1203,$AE154)=0,"",INDEX(对接源_01水果!$Z$4:$Z$1203,$AE154)))</f>
      </c>
      <c r="H154" s="173">
        <f>IF($AE154="","",IF(INDEX(对接源_01水果!$AA$4:$AA$1203,$AE154)=0,"",INDEX(对接源_01水果!$AA$4:$AA$1203,$AE154)))</f>
      </c>
      <c r="I154" s="173">
        <f>IF($AE154="","",IF(INDEX(对接源_01水果!$AG$4:$AG$1203,$AE154)=0,"",INDEX(对接源_01水果!$AG$4:$AG$1203,$AE154)))</f>
      </c>
      <c r="J154" s="173">
        <f>IF($AE154="","",IF(INDEX(对接源_01水果!$AJ$4:$AJ$1203,$AE154)=0,"",INDEX(对接源_01水果!$AJ$4:$AJ$1203,$AE154)))</f>
      </c>
      <c r="K154" s="61">
        <f>IF($AE154="","",IF(INDEX(对接源_01水果!$AB$4:$AB$1203,$AE154)=0,"",INDEX(对接源_01水果!$AB$4:$AB$1203,$AE154)))</f>
      </c>
      <c r="L154" s="64">
        <f>IF($AE154="","",IF(INDEX(对接源_01水果!$M$4:$M$1203,$AE154)=0,"",INDEX(对接源_01水果!$M$4:$M$1203,$AE154)))</f>
      </c>
      <c r="AE154" s="2">
        <f>IFERROR(MATCH(149,_自动清单!$AM$4:$AM$2403,0),"")</f>
      </c>
    </row>
    <row r="155" ht="18" customHeight="1" s="127">
      <c r="A155" s="206">
        <f>IF($AE155="","",IF(INDEX(对接源_01水果!$B$4:$B$1203,$AE155)=0,"",INDEX(对接源_01水果!$B$4:$B$1203,$AE155)))</f>
      </c>
      <c r="B155" s="61">
        <f>IF($AE155="","",IF(INDEX(对接源_01水果!$E$4:$E$1203,$AE155)=0,"",INDEX(对接源_01水果!$E$4:$E$1203,$AE155)))</f>
      </c>
      <c r="C155" s="61">
        <f>IF($AE155="","",IF(INDEX(对接源_01水果!$F$4:$F$1203,$AE155)=0,"",INDEX(对接源_01水果!$F$4:$F$1203,$AE155)))</f>
      </c>
      <c r="D155" s="61">
        <f>IF($AE155="","",IF(INDEX(对接源_01水果!$G$4:$G$1203,$AE155)=0,"",INDEX(对接源_01水果!$G$4:$G$1203,$AE155)))</f>
      </c>
      <c r="E155" s="61">
        <f>IF($AE155="","",IF(INDEX(对接源_01水果!$H$4:$H$1203,$AE155)=0,"",INDEX(对接源_01水果!$H$4:$H$1203,$AE155)))</f>
      </c>
      <c r="F155" s="61">
        <f>IF($AE155="","",IF(INDEX(对接源_01水果!$I$4:$I$1203,$AE155)=0,"",INDEX(对接源_01水果!$I$4:$I$1203,$AE155)))</f>
      </c>
      <c r="G155" s="173">
        <f>IF($AE155="","",IF(INDEX(对接源_01水果!$Z$4:$Z$1203,$AE155)=0,"",INDEX(对接源_01水果!$Z$4:$Z$1203,$AE155)))</f>
      </c>
      <c r="H155" s="173">
        <f>IF($AE155="","",IF(INDEX(对接源_01水果!$AA$4:$AA$1203,$AE155)=0,"",INDEX(对接源_01水果!$AA$4:$AA$1203,$AE155)))</f>
      </c>
      <c r="I155" s="173">
        <f>IF($AE155="","",IF(INDEX(对接源_01水果!$AG$4:$AG$1203,$AE155)=0,"",INDEX(对接源_01水果!$AG$4:$AG$1203,$AE155)))</f>
      </c>
      <c r="J155" s="173">
        <f>IF($AE155="","",IF(INDEX(对接源_01水果!$AJ$4:$AJ$1203,$AE155)=0,"",INDEX(对接源_01水果!$AJ$4:$AJ$1203,$AE155)))</f>
      </c>
      <c r="K155" s="61">
        <f>IF($AE155="","",IF(INDEX(对接源_01水果!$AB$4:$AB$1203,$AE155)=0,"",INDEX(对接源_01水果!$AB$4:$AB$1203,$AE155)))</f>
      </c>
      <c r="L155" s="64">
        <f>IF($AE155="","",IF(INDEX(对接源_01水果!$M$4:$M$1203,$AE155)=0,"",INDEX(对接源_01水果!$M$4:$M$1203,$AE155)))</f>
      </c>
      <c r="AE155" s="2">
        <f>IFERROR(MATCH(150,_自动清单!$AM$4:$AM$2403,0),"")</f>
      </c>
    </row>
  </sheetData>
  <mergeCells count="13">
    <mergeCell ref="B2:C2"/>
    <mergeCell ref="N3:O3"/>
    <mergeCell ref="N2:P2"/>
    <mergeCell ref="N7:O7"/>
    <mergeCell ref="N6:O6"/>
    <mergeCell ref="A4:G4"/>
    <mergeCell ref="H4:J4"/>
    <mergeCell ref="A1:H1"/>
    <mergeCell ref="N5:O5"/>
    <mergeCell ref="A3:L3"/>
    <mergeCell ref="N8:O8"/>
    <mergeCell ref="I1:J1"/>
    <mergeCell ref="N4:O4"/>
  </mergeCells>
  <dataValidations count="1">
    <dataValidation sqref="B2" showDropDown="0" showInputMessage="0" showErrorMessage="0" allowBlank="1" type="list">
      <formula1>_自动清单!$E$4:$E$203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548235"/>
    <outlinePr summaryBelow="1" summaryRight="1"/>
    <pageSetUpPr/>
  </sheetPr>
  <dimension ref="A1:M64"/>
  <sheetViews>
    <sheetView showGridLines="0"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B9" sqref="B9"/>
    </sheetView>
  </sheetViews>
  <sheetFormatPr baseColWidth="8" defaultColWidth="9" defaultRowHeight="13.5"/>
  <cols>
    <col width="5" customWidth="1" style="127" min="1" max="1"/>
    <col width="15" customWidth="1" style="127" min="2" max="2"/>
    <col width="11" customWidth="1" style="127" min="3" max="4"/>
    <col width="13" customWidth="1" style="127" min="5" max="5"/>
    <col width="11" customWidth="1" style="127" min="6" max="8"/>
    <col width="13" customWidth="1" style="127" min="9" max="9"/>
    <col width="14" customWidth="1" style="127" min="10" max="10"/>
    <col width="16" customWidth="1" style="127" min="11" max="11"/>
    <col width="14" customWidth="1" style="127" min="12" max="12"/>
    <col width="12" customWidth="1" style="127" min="13" max="13"/>
  </cols>
  <sheetData>
    <row r="1" ht="30" customHeight="1" s="127">
      <c r="A1" s="9" t="inlineStr">
        <is>
          <t>筐 子 / 托 盘 库 存 汇 总（公司自有筐子还剩多少 · 取自《02》）</t>
        </is>
      </c>
    </row>
    <row r="2" ht="18" customHeight="1" s="127">
      <c r="A2" s="29" t="str">
        <f>IF(N(对接源_02物料!$R$4)=1,"★ 全自动：整表取自《02 物料与周转物台账》的【筐子库存汇总】。公司在库结存＝期初＋采购＋客户退回−发出−销售−报损；公司筐总量＝在库＋客户手上未回的","★★ 取不到《02 物料与周转物台账模板.xlsx》的数据，请到【对接源_02物料】按提示修复链接")</f>
        <v>★ 全自动：整表取自《02 物料与周转物台账》的【筐子库存汇总】。公司在库结存＝期初＋采购＋客户退回−发出−销售−报损；公司筐总量＝在库＋客户手上未回的</v>
      </c>
    </row>
    <row r="3" ht="30" customHeight="1" s="127">
      <c r="A3" s="13" t="inlineStr">
        <is>
          <t>序号</t>
        </is>
      </c>
      <c r="B3" s="13" t="inlineStr">
        <is>
          <t>筐子 / 托盘类型</t>
        </is>
      </c>
      <c r="C3" s="13" t="inlineStr">
        <is>
          <t>期初库存</t>
        </is>
      </c>
      <c r="D3" s="13" t="inlineStr">
        <is>
          <t>采购入库</t>
        </is>
      </c>
      <c r="E3" s="13" t="inlineStr">
        <is>
          <t>客户退回入库（显示为负）</t>
        </is>
      </c>
      <c r="F3" s="13" t="inlineStr">
        <is>
          <t>发出出库</t>
        </is>
      </c>
      <c r="G3" s="13" t="inlineStr">
        <is>
          <t>销售出库</t>
        </is>
      </c>
      <c r="H3" s="13" t="inlineStr">
        <is>
          <t>报损/调拨</t>
        </is>
      </c>
      <c r="I3" s="13" t="inlineStr">
        <is>
          <t>公司在库结存</t>
        </is>
      </c>
      <c r="J3" s="13" t="inlineStr">
        <is>
          <t>客户未回库(02册)</t>
        </is>
      </c>
      <c r="K3" s="13" t="inlineStr">
        <is>
          <t>客户未回库(01水果册)</t>
        </is>
      </c>
      <c r="L3" s="13" t="inlineStr">
        <is>
          <t>公司筐总量</t>
        </is>
      </c>
      <c r="M3" s="13" t="inlineStr">
        <is>
          <t>备注</t>
        </is>
      </c>
    </row>
    <row r="4" s="127">
      <c r="A4" s="16">
        <f>IFERROR(IF([2]筐子库存汇总!$A$4=0,"",[2]筐子库存汇总!$A$4),"")</f>
        <v>1</v>
      </c>
      <c r="B4" s="30" t="str">
        <f>IFERROR(IF([2]筐子库存汇总!$B$4=0,"",[2]筐子库存汇总!$B$4),"")</f>
        <v>公司一次性筐</v>
      </c>
      <c r="C4" s="176">
        <f>IFERROR(IF([2]筐子库存汇总!$C$4=0,"",[2]筐子库存汇总!$C$4),"")</f>
        <v>69840</v>
      </c>
      <c r="D4" s="176">
        <f>IFERROR(IF([2]筐子库存汇总!$D$4=0,"",[2]筐子库存汇总!$D$4),"")</f>
      </c>
      <c r="E4" s="207">
        <f>IFERROR(IF([2]筐子库存汇总!$E$4=0,"",[2]筐子库存汇总!$E$4),"")</f>
        <v>388</v>
      </c>
      <c r="F4" s="176">
        <f>IFERROR(IF([2]筐子库存汇总!$F$4=0,"",[2]筐子库存汇总!$F$4),"")</f>
        <v>6906</v>
      </c>
      <c r="G4" s="176">
        <f>IFERROR(IF([2]筐子库存汇总!$G$4=0,"",[2]筐子库存汇总!$G$4),"")</f>
      </c>
      <c r="H4" s="176">
        <f>IFERROR(IF([2]筐子库存汇总!$H$4=0,"",[2]筐子库存汇总!$H$4),"")</f>
      </c>
      <c r="I4" s="176">
        <f>IFERROR(IF([2]筐子库存汇总!$I$4=0,"",[2]筐子库存汇总!$I$4),"")</f>
        <v>63322</v>
      </c>
      <c r="J4" s="176">
        <f>IFERROR(IF([2]筐子库存汇总!$J$4=0,"",[2]筐子库存汇总!$J$4),"")</f>
        <v>6518</v>
      </c>
      <c r="K4" s="176">
        <f>IFERROR(IF([2]筐子库存汇总!$K$4=0,"",[2]筐子库存汇总!$K$4),"")</f>
        <v>-5085</v>
      </c>
      <c r="L4" s="176">
        <f>IFERROR(IF([2]筐子库存汇总!$L$4=0,"",[2]筐子库存汇总!$L$4),"")</f>
        <v>64755</v>
      </c>
      <c r="M4" s="16">
        <f>IFERROR(IF([2]筐子库存汇总!$M$4=0,"",[2]筐子库存汇总!$M$4),"")</f>
      </c>
    </row>
    <row r="5" s="127">
      <c r="A5" s="16">
        <f>IFERROR(IF([2]筐子库存汇总!$A$5=0,"",[2]筐子库存汇总!$A$5),"")</f>
        <v>2</v>
      </c>
      <c r="B5" s="30" t="str">
        <f>IFERROR(IF([2]筐子库存汇总!$B$5=0,"",[2]筐子库存汇总!$B$5),"")</f>
        <v>公司杂周转筐</v>
      </c>
      <c r="C5" s="176">
        <f>IFERROR(IF([2]筐子库存汇总!$C$5=0,"",[2]筐子库存汇总!$C$5),"")</f>
        <v>35928</v>
      </c>
      <c r="D5" s="176">
        <f>IFERROR(IF([2]筐子库存汇总!$D$5=0,"",[2]筐子库存汇总!$D$5),"")</f>
      </c>
      <c r="E5" s="207">
        <f>IFERROR(IF([2]筐子库存汇总!$E$5=0,"",[2]筐子库存汇总!$E$5),"")</f>
        <v>1136</v>
      </c>
      <c r="F5" s="176">
        <f>IFERROR(IF([2]筐子库存汇总!$F$5=0,"",[2]筐子库存汇总!$F$5),"")</f>
        <v>9313</v>
      </c>
      <c r="G5" s="176">
        <f>IFERROR(IF([2]筐子库存汇总!$G$5=0,"",[2]筐子库存汇总!$G$5),"")</f>
      </c>
      <c r="H5" s="176">
        <f>IFERROR(IF([2]筐子库存汇总!$H$5=0,"",[2]筐子库存汇总!$H$5),"")</f>
      </c>
      <c r="I5" s="176">
        <f>IFERROR(IF([2]筐子库存汇总!$I$5=0,"",[2]筐子库存汇总!$I$5),"")</f>
        <v>27751</v>
      </c>
      <c r="J5" s="176">
        <f>IFERROR(IF([2]筐子库存汇总!$J$5=0,"",[2]筐子库存汇总!$J$5),"")</f>
        <v>8177</v>
      </c>
      <c r="K5" s="176">
        <f>IFERROR(IF([2]筐子库存汇总!$K$5=0,"",[2]筐子库存汇总!$K$5),"")</f>
        <v>-7774</v>
      </c>
      <c r="L5" s="176">
        <f>IFERROR(IF([2]筐子库存汇总!$L$5=0,"",[2]筐子库存汇总!$L$5),"")</f>
        <v>28154</v>
      </c>
      <c r="M5" s="16">
        <f>IFERROR(IF([2]筐子库存汇总!$M$5=0,"",[2]筐子库存汇总!$M$5),"")</f>
      </c>
    </row>
    <row r="6" s="127">
      <c r="A6" s="16">
        <f>IFERROR(IF([2]筐子库存汇总!$A$6=0,"",[2]筐子库存汇总!$A$6),"")</f>
        <v>3</v>
      </c>
      <c r="B6" s="30" t="str">
        <f>IFERROR(IF([2]筐子库存汇总!$B$6=0,"",[2]筐子库存汇总!$B$6),"")</f>
        <v>公司新周转筐</v>
      </c>
      <c r="C6" s="176">
        <f>IFERROR(IF([2]筐子库存汇总!$C$6=0,"",[2]筐子库存汇总!$C$6),"")</f>
        <v>58032</v>
      </c>
      <c r="D6" s="176">
        <f>IFERROR(IF([2]筐子库存汇总!$D$6=0,"",[2]筐子库存汇总!$D$6),"")</f>
      </c>
      <c r="E6" s="207">
        <f>IFERROR(IF([2]筐子库存汇总!$E$6=0,"",[2]筐子库存汇总!$E$6),"")</f>
        <v>759</v>
      </c>
      <c r="F6" s="176">
        <f>IFERROR(IF([2]筐子库存汇总!$F$6=0,"",[2]筐子库存汇总!$F$6),"")</f>
        <v>1312</v>
      </c>
      <c r="G6" s="176">
        <f>IFERROR(IF([2]筐子库存汇总!$G$6=0,"",[2]筐子库存汇总!$G$6),"")</f>
      </c>
      <c r="H6" s="176">
        <f>IFERROR(IF([2]筐子库存汇总!$H$6=0,"",[2]筐子库存汇总!$H$6),"")</f>
      </c>
      <c r="I6" s="176">
        <f>IFERROR(IF([2]筐子库存汇总!$I$6=0,"",[2]筐子库存汇总!$I$6),"")</f>
        <v>57479</v>
      </c>
      <c r="J6" s="176">
        <f>IFERROR(IF([2]筐子库存汇总!$J$6=0,"",[2]筐子库存汇总!$J$6),"")</f>
        <v>553</v>
      </c>
      <c r="K6" s="176">
        <f>IFERROR(IF([2]筐子库存汇总!$K$6=0,"",[2]筐子库存汇总!$K$6),"")</f>
        <v>-74</v>
      </c>
      <c r="L6" s="176">
        <f>IFERROR(IF([2]筐子库存汇总!$L$6=0,"",[2]筐子库存汇总!$L$6),"")</f>
        <v>57958</v>
      </c>
      <c r="M6" s="16">
        <f>IFERROR(IF([2]筐子库存汇总!$M$6=0,"",[2]筐子库存汇总!$M$6),"")</f>
      </c>
    </row>
    <row r="7" s="127">
      <c r="A7" s="16">
        <f>IFERROR(IF([2]筐子库存汇总!$A$7=0,"",[2]筐子库存汇总!$A$7),"")</f>
        <v>4</v>
      </c>
      <c r="B7" s="30" t="str">
        <f>IFERROR(IF([2]筐子库存汇总!$B$7=0,"",[2]筐子库存汇总!$B$7),"")</f>
        <v>公司白周转筐</v>
      </c>
      <c r="C7" s="176">
        <f>IFERROR(IF([2]筐子库存汇总!$C$7=0,"",[2]筐子库存汇总!$C$7),"")</f>
        <v>13968</v>
      </c>
      <c r="D7" s="176">
        <f>IFERROR(IF([2]筐子库存汇总!$D$7=0,"",[2]筐子库存汇总!$D$7),"")</f>
      </c>
      <c r="E7" s="207">
        <f>IFERROR(IF([2]筐子库存汇总!$E$7=0,"",[2]筐子库存汇总!$E$7),"")</f>
      </c>
      <c r="F7" s="176">
        <f>IFERROR(IF([2]筐子库存汇总!$F$7=0,"",[2]筐子库存汇总!$F$7),"")</f>
      </c>
      <c r="G7" s="176">
        <f>IFERROR(IF([2]筐子库存汇总!$G$7=0,"",[2]筐子库存汇总!$G$7),"")</f>
      </c>
      <c r="H7" s="176">
        <f>IFERROR(IF([2]筐子库存汇总!$H$7=0,"",[2]筐子库存汇总!$H$7),"")</f>
      </c>
      <c r="I7" s="176">
        <f>IFERROR(IF([2]筐子库存汇总!$I$7=0,"",[2]筐子库存汇总!$I$7),"")</f>
        <v>13968</v>
      </c>
      <c r="J7" s="176">
        <f>IFERROR(IF([2]筐子库存汇总!$J$7=0,"",[2]筐子库存汇总!$J$7),"")</f>
      </c>
      <c r="K7" s="176">
        <f>IFERROR(IF([2]筐子库存汇总!$K$7=0,"",[2]筐子库存汇总!$K$7),"")</f>
      </c>
      <c r="L7" s="176">
        <f>IFERROR(IF([2]筐子库存汇总!$L$7=0,"",[2]筐子库存汇总!$L$7),"")</f>
        <v>13968</v>
      </c>
      <c r="M7" s="16">
        <f>IFERROR(IF([2]筐子库存汇总!$M$7=0,"",[2]筐子库存汇总!$M$7),"")</f>
      </c>
    </row>
    <row r="8" s="127">
      <c r="A8" s="16">
        <f>IFERROR(IF([2]筐子库存汇总!$A$8=0,"",[2]筐子库存汇总!$A$8),"")</f>
        <v>5</v>
      </c>
      <c r="B8" s="30" t="str">
        <f>IFERROR(IF([2]筐子库存汇总!$B$8=0,"",[2]筐子库存汇总!$B$8),"")</f>
        <v>公司红周转筐</v>
      </c>
      <c r="C8" s="176">
        <f>IFERROR(IF([2]筐子库存汇总!$C$8=0,"",[2]筐子库存汇总!$C$8),"")</f>
      </c>
      <c r="D8" s="176">
        <f>IFERROR(IF([2]筐子库存汇总!$D$8=0,"",[2]筐子库存汇总!$D$8),"")</f>
        <v>45216</v>
      </c>
      <c r="E8" s="207">
        <f>IFERROR(IF([2]筐子库存汇总!$E$8=0,"",[2]筐子库存汇总!$E$8),"")</f>
        <v>574</v>
      </c>
      <c r="F8" s="176">
        <f>IFERROR(IF([2]筐子库存汇总!$F$8=0,"",[2]筐子库存汇总!$F$8),"")</f>
        <v>50694</v>
      </c>
      <c r="G8" s="176">
        <f>IFERROR(IF([2]筐子库存汇总!$G$8=0,"",[2]筐子库存汇总!$G$8),"")</f>
        <v>49</v>
      </c>
      <c r="H8" s="176">
        <f>IFERROR(IF([2]筐子库存汇总!$H$8=0,"",[2]筐子库存汇总!$H$8),"")</f>
      </c>
      <c r="I8" s="176">
        <f>IFERROR(IF([2]筐子库存汇总!$I$8=0,"",[2]筐子库存汇总!$I$8),"")</f>
        <v>-4953</v>
      </c>
      <c r="J8" s="176">
        <f>IFERROR(IF([2]筐子库存汇总!$J$8=0,"",[2]筐子库存汇总!$J$8),"")</f>
        <v>50120</v>
      </c>
      <c r="K8" s="176">
        <f>IFERROR(IF([2]筐子库存汇总!$K$8=0,"",[2]筐子库存汇总!$K$8),"")</f>
        <v>-43037</v>
      </c>
      <c r="L8" s="176">
        <f>IFERROR(IF([2]筐子库存汇总!$L$8=0,"",[2]筐子库存汇总!$L$8),"")</f>
        <v>2130</v>
      </c>
      <c r="M8" s="16">
        <f>IFERROR(IF([2]筐子库存汇总!$M$8=0,"",[2]筐子库存汇总!$M$8),"")</f>
      </c>
    </row>
    <row r="9" s="127">
      <c r="A9" s="16">
        <f>IFERROR(IF([2]筐子库存汇总!$A$9=0,"",[2]筐子库存汇总!$A$9),"")</f>
        <v>6</v>
      </c>
      <c r="B9" s="30" t="str">
        <f>IFERROR(IF([2]筐子库存汇总!$B$9=0,"",[2]筐子库存汇总!$B$9),"")</f>
        <v>大托盘</v>
      </c>
      <c r="C9" s="176">
        <f>IFERROR(IF([2]筐子库存汇总!$C$9=0,"",[2]筐子库存汇总!$C$9),"")</f>
      </c>
      <c r="D9" s="176">
        <f>IFERROR(IF([2]筐子库存汇总!$D$9=0,"",[2]筐子库存汇总!$D$9),"")</f>
        <v>210</v>
      </c>
      <c r="E9" s="207">
        <f>IFERROR(IF([2]筐子库存汇总!$E$9=0,"",[2]筐子库存汇总!$E$9),"")</f>
      </c>
      <c r="F9" s="176">
        <f>IFERROR(IF([2]筐子库存汇总!$F$9=0,"",[2]筐子库存汇总!$F$9),"")</f>
      </c>
      <c r="G9" s="176">
        <f>IFERROR(IF([2]筐子库存汇总!$G$9=0,"",[2]筐子库存汇总!$G$9),"")</f>
      </c>
      <c r="H9" s="176">
        <f>IFERROR(IF([2]筐子库存汇总!$H$9=0,"",[2]筐子库存汇总!$H$9),"")</f>
      </c>
      <c r="I9" s="176">
        <f>IFERROR(IF([2]筐子库存汇总!$I$9=0,"",[2]筐子库存汇总!$I$9),"")</f>
        <v>210</v>
      </c>
      <c r="J9" s="176">
        <f>IFERROR(IF([2]筐子库存汇总!$J$9=0,"",[2]筐子库存汇总!$J$9),"")</f>
      </c>
      <c r="K9" s="176">
        <f>IFERROR(IF([2]筐子库存汇总!$K$9=0,"",[2]筐子库存汇总!$K$9),"")</f>
      </c>
      <c r="L9" s="176">
        <f>IFERROR(IF([2]筐子库存汇总!$L$9=0,"",[2]筐子库存汇总!$L$9),"")</f>
        <v>210</v>
      </c>
      <c r="M9" s="30">
        <f>IFERROR(IF([2]筐子库存汇总!$M$9=0,"",[2]筐子库存汇总!$M$9),"")</f>
      </c>
    </row>
    <row r="10" s="127">
      <c r="A10" s="16">
        <f>IFERROR(IF([2]筐子库存汇总!$A$10=0,"",[2]筐子库存汇总!$A$10),"")</f>
        <v>7</v>
      </c>
      <c r="B10" s="30" t="str">
        <f>IFERROR(IF([2]筐子库存汇总!$B$10=0,"",[2]筐子库存汇总!$B$10),"")</f>
        <v>自备一次性筐</v>
      </c>
      <c r="C10" s="176">
        <f>IFERROR(IF([2]筐子库存汇总!$C$10=0,"",[2]筐子库存汇总!$C$10),"")</f>
      </c>
      <c r="D10" s="176">
        <f>IFERROR(IF([2]筐子库存汇总!$D$10=0,"",[2]筐子库存汇总!$D$10),"")</f>
      </c>
      <c r="E10" s="207">
        <f>IFERROR(IF([2]筐子库存汇总!$E$10=0,"",[2]筐子库存汇总!$E$10),"")</f>
      </c>
      <c r="F10" s="176">
        <f>IFERROR(IF([2]筐子库存汇总!$F$10=0,"",[2]筐子库存汇总!$F$10),"")</f>
      </c>
      <c r="G10" s="176">
        <f>IFERROR(IF([2]筐子库存汇总!$G$10=0,"",[2]筐子库存汇总!$G$10),"")</f>
      </c>
      <c r="H10" s="176">
        <f>IFERROR(IF([2]筐子库存汇总!$H$10=0,"",[2]筐子库存汇总!$H$10),"")</f>
      </c>
      <c r="I10" s="176">
        <f>IFERROR(IF([2]筐子库存汇总!$I$10=0,"",[2]筐子库存汇总!$I$10),"")</f>
      </c>
      <c r="J10" s="176">
        <f>IFERROR(IF([2]筐子库存汇总!$J$10=0,"",[2]筐子库存汇总!$J$10),"")</f>
      </c>
      <c r="K10" s="176">
        <f>IFERROR(IF([2]筐子库存汇总!$K$10=0,"",[2]筐子库存汇总!$K$10),"")</f>
      </c>
      <c r="L10" s="176">
        <f>IFERROR(IF([2]筐子库存汇总!$L$10=0,"",[2]筐子库存汇总!$L$10),"")</f>
      </c>
      <c r="M10" s="16" t="str">
        <f>IFERROR(IF([2]筐子库存汇总!$M$10=0,"",[2]筐子库存汇总!$M$10),"")</f>
        <v>客户自备筐，不计公司资产，见【自备筐汇总】</v>
      </c>
    </row>
    <row r="11" s="127">
      <c r="A11" s="16">
        <f>IFERROR(IF([2]筐子库存汇总!$A$11=0,"",[2]筐子库存汇总!$A$11),"")</f>
        <v>8</v>
      </c>
      <c r="B11" s="30" t="str">
        <f>IFERROR(IF([2]筐子库存汇总!$B$11=0,"",[2]筐子库存汇总!$B$11),"")</f>
        <v>自备杂周转筐</v>
      </c>
      <c r="C11" s="176">
        <f>IFERROR(IF([2]筐子库存汇总!$C$11=0,"",[2]筐子库存汇总!$C$11),"")</f>
      </c>
      <c r="D11" s="176">
        <f>IFERROR(IF([2]筐子库存汇总!$D$11=0,"",[2]筐子库存汇总!$D$11),"")</f>
      </c>
      <c r="E11" s="207">
        <f>IFERROR(IF([2]筐子库存汇总!$E$11=0,"",[2]筐子库存汇总!$E$11),"")</f>
      </c>
      <c r="F11" s="176">
        <f>IFERROR(IF([2]筐子库存汇总!$F$11=0,"",[2]筐子库存汇总!$F$11),"")</f>
      </c>
      <c r="G11" s="176">
        <f>IFERROR(IF([2]筐子库存汇总!$G$11=0,"",[2]筐子库存汇总!$G$11),"")</f>
      </c>
      <c r="H11" s="176">
        <f>IFERROR(IF([2]筐子库存汇总!$H$11=0,"",[2]筐子库存汇总!$H$11),"")</f>
      </c>
      <c r="I11" s="176">
        <f>IFERROR(IF([2]筐子库存汇总!$I$11=0,"",[2]筐子库存汇总!$I$11),"")</f>
      </c>
      <c r="J11" s="176">
        <f>IFERROR(IF([2]筐子库存汇总!$J$11=0,"",[2]筐子库存汇总!$J$11),"")</f>
      </c>
      <c r="K11" s="176">
        <f>IFERROR(IF([2]筐子库存汇总!$K$11=0,"",[2]筐子库存汇总!$K$11),"")</f>
      </c>
      <c r="L11" s="176">
        <f>IFERROR(IF([2]筐子库存汇总!$L$11=0,"",[2]筐子库存汇总!$L$11),"")</f>
      </c>
      <c r="M11" s="16" t="str">
        <f>IFERROR(IF([2]筐子库存汇总!$M$11=0,"",[2]筐子库存汇总!$M$11),"")</f>
        <v>客户自备筐，不计公司资产，见【自备筐汇总】</v>
      </c>
    </row>
    <row r="12" s="127">
      <c r="A12" s="16">
        <f>IFERROR(IF([2]筐子库存汇总!$A$12=0,"",[2]筐子库存汇总!$A$12),"")</f>
        <v>9</v>
      </c>
      <c r="B12" s="30" t="str">
        <f>IFERROR(IF([2]筐子库存汇总!$B$12=0,"",[2]筐子库存汇总!$B$12),"")</f>
        <v>纸箱</v>
      </c>
      <c r="C12" s="176">
        <f>IFERROR(IF([2]筐子库存汇总!$C$12=0,"",[2]筐子库存汇总!$C$12),"")</f>
      </c>
      <c r="D12" s="176">
        <f>IFERROR(IF([2]筐子库存汇总!$D$12=0,"",[2]筐子库存汇总!$D$12),"")</f>
      </c>
      <c r="E12" s="207">
        <f>IFERROR(IF([2]筐子库存汇总!$E$12=0,"",[2]筐子库存汇总!$E$12),"")</f>
      </c>
      <c r="F12" s="176">
        <f>IFERROR(IF([2]筐子库存汇总!$F$12=0,"",[2]筐子库存汇总!$F$12),"")</f>
      </c>
      <c r="G12" s="176">
        <f>IFERROR(IF([2]筐子库存汇总!$G$12=0,"",[2]筐子库存汇总!$G$12),"")</f>
      </c>
      <c r="H12" s="176">
        <f>IFERROR(IF([2]筐子库存汇总!$H$12=0,"",[2]筐子库存汇总!$H$12),"")</f>
      </c>
      <c r="I12" s="176">
        <f>IFERROR(IF([2]筐子库存汇总!$I$12=0,"",[2]筐子库存汇总!$I$12),"")</f>
      </c>
      <c r="J12" s="176">
        <f>IFERROR(IF([2]筐子库存汇总!$J$12=0,"",[2]筐子库存汇总!$J$12),"")</f>
      </c>
      <c r="K12" s="176">
        <f>IFERROR(IF([2]筐子库存汇总!$K$12=0,"",[2]筐子库存汇总!$K$12),"")</f>
      </c>
      <c r="L12" s="176">
        <f>IFERROR(IF([2]筐子库存汇总!$L$12=0,"",[2]筐子库存汇总!$L$12),"")</f>
      </c>
      <c r="M12" s="16">
        <f>IFERROR(IF([2]筐子库存汇总!$M$12=0,"",[2]筐子库存汇总!$M$12),"")</f>
      </c>
    </row>
    <row r="13" s="127">
      <c r="A13" s="16">
        <f>IFERROR(IF([2]筐子库存汇总!$A$13=0,"",[2]筐子库存汇总!$A$13),"")</f>
      </c>
      <c r="B13" s="30">
        <f>IFERROR(IF([2]筐子库存汇总!$B$13=0,"",[2]筐子库存汇总!$B$13),"")</f>
      </c>
      <c r="C13" s="176">
        <f>IFERROR(IF([2]筐子库存汇总!$C$13=0,"",[2]筐子库存汇总!$C$13),"")</f>
      </c>
      <c r="D13" s="176">
        <f>IFERROR(IF([2]筐子库存汇总!$D$13=0,"",[2]筐子库存汇总!$D$13),"")</f>
      </c>
      <c r="E13" s="207">
        <f>IFERROR(IF([2]筐子库存汇总!$E$13=0,"",[2]筐子库存汇总!$E$13),"")</f>
      </c>
      <c r="F13" s="176">
        <f>IFERROR(IF([2]筐子库存汇总!$F$13=0,"",[2]筐子库存汇总!$F$13),"")</f>
      </c>
      <c r="G13" s="176">
        <f>IFERROR(IF([2]筐子库存汇总!$G$13=0,"",[2]筐子库存汇总!$G$13),"")</f>
      </c>
      <c r="H13" s="176">
        <f>IFERROR(IF([2]筐子库存汇总!$H$13=0,"",[2]筐子库存汇总!$H$13),"")</f>
      </c>
      <c r="I13" s="176">
        <f>IFERROR(IF([2]筐子库存汇总!$I$13=0,"",[2]筐子库存汇总!$I$13),"")</f>
      </c>
      <c r="J13" s="176">
        <f>IFERROR(IF([2]筐子库存汇总!$J$13=0,"",[2]筐子库存汇总!$J$13),"")</f>
      </c>
      <c r="K13" s="176">
        <f>IFERROR(IF([2]筐子库存汇总!$K$13=0,"",[2]筐子库存汇总!$K$13),"")</f>
      </c>
      <c r="L13" s="176">
        <f>IFERROR(IF([2]筐子库存汇总!$L$13=0,"",[2]筐子库存汇总!$L$13),"")</f>
      </c>
      <c r="M13" s="16">
        <f>IFERROR(IF([2]筐子库存汇总!$M$13=0,"",[2]筐子库存汇总!$M$13),"")</f>
      </c>
    </row>
    <row r="14" s="127">
      <c r="A14" s="16">
        <f>IFERROR(IF([2]筐子库存汇总!$A$14=0,"",[2]筐子库存汇总!$A$14),"")</f>
      </c>
      <c r="B14" s="30">
        <f>IFERROR(IF([2]筐子库存汇总!$B$14=0,"",[2]筐子库存汇总!$B$14),"")</f>
      </c>
      <c r="C14" s="176">
        <f>IFERROR(IF([2]筐子库存汇总!$C$14=0,"",[2]筐子库存汇总!$C$14),"")</f>
      </c>
      <c r="D14" s="176">
        <f>IFERROR(IF([2]筐子库存汇总!$D$14=0,"",[2]筐子库存汇总!$D$14),"")</f>
      </c>
      <c r="E14" s="207">
        <f>IFERROR(IF([2]筐子库存汇总!$E$14=0,"",[2]筐子库存汇总!$E$14),"")</f>
      </c>
      <c r="F14" s="176">
        <f>IFERROR(IF([2]筐子库存汇总!$F$14=0,"",[2]筐子库存汇总!$F$14),"")</f>
      </c>
      <c r="G14" s="176">
        <f>IFERROR(IF([2]筐子库存汇总!$G$14=0,"",[2]筐子库存汇总!$G$14),"")</f>
      </c>
      <c r="H14" s="176">
        <f>IFERROR(IF([2]筐子库存汇总!$H$14=0,"",[2]筐子库存汇总!$H$14),"")</f>
      </c>
      <c r="I14" s="176">
        <f>IFERROR(IF([2]筐子库存汇总!$I$14=0,"",[2]筐子库存汇总!$I$14),"")</f>
      </c>
      <c r="J14" s="176">
        <f>IFERROR(IF([2]筐子库存汇总!$J$14=0,"",[2]筐子库存汇总!$J$14),"")</f>
      </c>
      <c r="K14" s="176">
        <f>IFERROR(IF([2]筐子库存汇总!$K$14=0,"",[2]筐子库存汇总!$K$14),"")</f>
      </c>
      <c r="L14" s="176">
        <f>IFERROR(IF([2]筐子库存汇总!$L$14=0,"",[2]筐子库存汇总!$L$14),"")</f>
      </c>
      <c r="M14" s="16">
        <f>IFERROR(IF([2]筐子库存汇总!$M$14=0,"",[2]筐子库存汇总!$M$14),"")</f>
      </c>
    </row>
    <row r="15" s="127">
      <c r="A15" s="16">
        <f>IFERROR(IF([2]筐子库存汇总!$A$15=0,"",[2]筐子库存汇总!$A$15),"")</f>
      </c>
      <c r="B15" s="30">
        <f>IFERROR(IF([2]筐子库存汇总!$B$15=0,"",[2]筐子库存汇总!$B$15),"")</f>
      </c>
      <c r="C15" s="176">
        <f>IFERROR(IF([2]筐子库存汇总!$C$15=0,"",[2]筐子库存汇总!$C$15),"")</f>
      </c>
      <c r="D15" s="176">
        <f>IFERROR(IF([2]筐子库存汇总!$D$15=0,"",[2]筐子库存汇总!$D$15),"")</f>
      </c>
      <c r="E15" s="207">
        <f>IFERROR(IF([2]筐子库存汇总!$E$15=0,"",[2]筐子库存汇总!$E$15),"")</f>
      </c>
      <c r="F15" s="176">
        <f>IFERROR(IF([2]筐子库存汇总!$F$15=0,"",[2]筐子库存汇总!$F$15),"")</f>
      </c>
      <c r="G15" s="176">
        <f>IFERROR(IF([2]筐子库存汇总!$G$15=0,"",[2]筐子库存汇总!$G$15),"")</f>
      </c>
      <c r="H15" s="176">
        <f>IFERROR(IF([2]筐子库存汇总!$H$15=0,"",[2]筐子库存汇总!$H$15),"")</f>
      </c>
      <c r="I15" s="176">
        <f>IFERROR(IF([2]筐子库存汇总!$I$15=0,"",[2]筐子库存汇总!$I$15),"")</f>
      </c>
      <c r="J15" s="176">
        <f>IFERROR(IF([2]筐子库存汇总!$J$15=0,"",[2]筐子库存汇总!$J$15),"")</f>
      </c>
      <c r="K15" s="176">
        <f>IFERROR(IF([2]筐子库存汇总!$K$15=0,"",[2]筐子库存汇总!$K$15),"")</f>
      </c>
      <c r="L15" s="176">
        <f>IFERROR(IF([2]筐子库存汇总!$L$15=0,"",[2]筐子库存汇总!$L$15),"")</f>
      </c>
      <c r="M15" s="16">
        <f>IFERROR(IF([2]筐子库存汇总!$M$15=0,"",[2]筐子库存汇总!$M$15),"")</f>
      </c>
    </row>
    <row r="16" s="127">
      <c r="A16" s="16">
        <f>IFERROR(IF([2]筐子库存汇总!$A$16=0,"",[2]筐子库存汇总!$A$16),"")</f>
      </c>
      <c r="B16" s="30">
        <f>IFERROR(IF([2]筐子库存汇总!$B$16=0,"",[2]筐子库存汇总!$B$16),"")</f>
      </c>
      <c r="C16" s="176">
        <f>IFERROR(IF([2]筐子库存汇总!$C$16=0,"",[2]筐子库存汇总!$C$16),"")</f>
      </c>
      <c r="D16" s="176">
        <f>IFERROR(IF([2]筐子库存汇总!$D$16=0,"",[2]筐子库存汇总!$D$16),"")</f>
      </c>
      <c r="E16" s="207">
        <f>IFERROR(IF([2]筐子库存汇总!$E$16=0,"",[2]筐子库存汇总!$E$16),"")</f>
      </c>
      <c r="F16" s="176">
        <f>IFERROR(IF([2]筐子库存汇总!$F$16=0,"",[2]筐子库存汇总!$F$16),"")</f>
      </c>
      <c r="G16" s="176">
        <f>IFERROR(IF([2]筐子库存汇总!$G$16=0,"",[2]筐子库存汇总!$G$16),"")</f>
      </c>
      <c r="H16" s="176">
        <f>IFERROR(IF([2]筐子库存汇总!$H$16=0,"",[2]筐子库存汇总!$H$16),"")</f>
      </c>
      <c r="I16" s="176">
        <f>IFERROR(IF([2]筐子库存汇总!$I$16=0,"",[2]筐子库存汇总!$I$16),"")</f>
      </c>
      <c r="J16" s="176">
        <f>IFERROR(IF([2]筐子库存汇总!$J$16=0,"",[2]筐子库存汇总!$J$16),"")</f>
      </c>
      <c r="K16" s="176">
        <f>IFERROR(IF([2]筐子库存汇总!$K$16=0,"",[2]筐子库存汇总!$K$16),"")</f>
      </c>
      <c r="L16" s="176">
        <f>IFERROR(IF([2]筐子库存汇总!$L$16=0,"",[2]筐子库存汇总!$L$16),"")</f>
      </c>
      <c r="M16" s="16">
        <f>IFERROR(IF([2]筐子库存汇总!$M$16=0,"",[2]筐子库存汇总!$M$16),"")</f>
      </c>
    </row>
    <row r="17" s="127">
      <c r="A17" s="16">
        <f>IFERROR(IF([2]筐子库存汇总!$A$17=0,"",[2]筐子库存汇总!$A$17),"")</f>
      </c>
      <c r="B17" s="30">
        <f>IFERROR(IF([2]筐子库存汇总!$B$17=0,"",[2]筐子库存汇总!$B$17),"")</f>
      </c>
      <c r="C17" s="176">
        <f>IFERROR(IF([2]筐子库存汇总!$C$17=0,"",[2]筐子库存汇总!$C$17),"")</f>
      </c>
      <c r="D17" s="176">
        <f>IFERROR(IF([2]筐子库存汇总!$D$17=0,"",[2]筐子库存汇总!$D$17),"")</f>
      </c>
      <c r="E17" s="207">
        <f>IFERROR(IF([2]筐子库存汇总!$E$17=0,"",[2]筐子库存汇总!$E$17),"")</f>
      </c>
      <c r="F17" s="176">
        <f>IFERROR(IF([2]筐子库存汇总!$F$17=0,"",[2]筐子库存汇总!$F$17),"")</f>
      </c>
      <c r="G17" s="176">
        <f>IFERROR(IF([2]筐子库存汇总!$G$17=0,"",[2]筐子库存汇总!$G$17),"")</f>
      </c>
      <c r="H17" s="176">
        <f>IFERROR(IF([2]筐子库存汇总!$H$17=0,"",[2]筐子库存汇总!$H$17),"")</f>
      </c>
      <c r="I17" s="176">
        <f>IFERROR(IF([2]筐子库存汇总!$I$17=0,"",[2]筐子库存汇总!$I$17),"")</f>
      </c>
      <c r="J17" s="176">
        <f>IFERROR(IF([2]筐子库存汇总!$J$17=0,"",[2]筐子库存汇总!$J$17),"")</f>
      </c>
      <c r="K17" s="176">
        <f>IFERROR(IF([2]筐子库存汇总!$K$17=0,"",[2]筐子库存汇总!$K$17),"")</f>
      </c>
      <c r="L17" s="176">
        <f>IFERROR(IF([2]筐子库存汇总!$L$17=0,"",[2]筐子库存汇总!$L$17),"")</f>
      </c>
      <c r="M17" s="16">
        <f>IFERROR(IF([2]筐子库存汇总!$M$17=0,"",[2]筐子库存汇总!$M$17),"")</f>
      </c>
    </row>
    <row r="18" s="127">
      <c r="A18" s="16">
        <f>IFERROR(IF([2]筐子库存汇总!$A$18=0,"",[2]筐子库存汇总!$A$18),"")</f>
      </c>
      <c r="B18" s="30">
        <f>IFERROR(IF([2]筐子库存汇总!$B$18=0,"",[2]筐子库存汇总!$B$18),"")</f>
      </c>
      <c r="C18" s="176">
        <f>IFERROR(IF([2]筐子库存汇总!$C$18=0,"",[2]筐子库存汇总!$C$18),"")</f>
      </c>
      <c r="D18" s="176">
        <f>IFERROR(IF([2]筐子库存汇总!$D$18=0,"",[2]筐子库存汇总!$D$18),"")</f>
      </c>
      <c r="E18" s="207">
        <f>IFERROR(IF([2]筐子库存汇总!$E$18=0,"",[2]筐子库存汇总!$E$18),"")</f>
      </c>
      <c r="F18" s="176">
        <f>IFERROR(IF([2]筐子库存汇总!$F$18=0,"",[2]筐子库存汇总!$F$18),"")</f>
      </c>
      <c r="G18" s="176">
        <f>IFERROR(IF([2]筐子库存汇总!$G$18=0,"",[2]筐子库存汇总!$G$18),"")</f>
      </c>
      <c r="H18" s="176">
        <f>IFERROR(IF([2]筐子库存汇总!$H$18=0,"",[2]筐子库存汇总!$H$18),"")</f>
      </c>
      <c r="I18" s="176">
        <f>IFERROR(IF([2]筐子库存汇总!$I$18=0,"",[2]筐子库存汇总!$I$18),"")</f>
      </c>
      <c r="J18" s="176">
        <f>IFERROR(IF([2]筐子库存汇总!$J$18=0,"",[2]筐子库存汇总!$J$18),"")</f>
      </c>
      <c r="K18" s="176">
        <f>IFERROR(IF([2]筐子库存汇总!$K$18=0,"",[2]筐子库存汇总!$K$18),"")</f>
      </c>
      <c r="L18" s="176">
        <f>IFERROR(IF([2]筐子库存汇总!$L$18=0,"",[2]筐子库存汇总!$L$18),"")</f>
      </c>
      <c r="M18" s="16">
        <f>IFERROR(IF([2]筐子库存汇总!$M$18=0,"",[2]筐子库存汇总!$M$18),"")</f>
      </c>
    </row>
    <row r="19" s="127">
      <c r="A19" s="16">
        <f>IFERROR(IF([2]筐子库存汇总!$A$19=0,"",[2]筐子库存汇总!$A$19),"")</f>
      </c>
      <c r="B19" s="30">
        <f>IFERROR(IF([2]筐子库存汇总!$B$19=0,"",[2]筐子库存汇总!$B$19),"")</f>
      </c>
      <c r="C19" s="176">
        <f>IFERROR(IF([2]筐子库存汇总!$C$19=0,"",[2]筐子库存汇总!$C$19),"")</f>
      </c>
      <c r="D19" s="176">
        <f>IFERROR(IF([2]筐子库存汇总!$D$19=0,"",[2]筐子库存汇总!$D$19),"")</f>
      </c>
      <c r="E19" s="207">
        <f>IFERROR(IF([2]筐子库存汇总!$E$19=0,"",[2]筐子库存汇总!$E$19),"")</f>
      </c>
      <c r="F19" s="176">
        <f>IFERROR(IF([2]筐子库存汇总!$F$19=0,"",[2]筐子库存汇总!$F$19),"")</f>
      </c>
      <c r="G19" s="176">
        <f>IFERROR(IF([2]筐子库存汇总!$G$19=0,"",[2]筐子库存汇总!$G$19),"")</f>
      </c>
      <c r="H19" s="176">
        <f>IFERROR(IF([2]筐子库存汇总!$H$19=0,"",[2]筐子库存汇总!$H$19),"")</f>
      </c>
      <c r="I19" s="176">
        <f>IFERROR(IF([2]筐子库存汇总!$I$19=0,"",[2]筐子库存汇总!$I$19),"")</f>
      </c>
      <c r="J19" s="176">
        <f>IFERROR(IF([2]筐子库存汇总!$J$19=0,"",[2]筐子库存汇总!$J$19),"")</f>
      </c>
      <c r="K19" s="176">
        <f>IFERROR(IF([2]筐子库存汇总!$K$19=0,"",[2]筐子库存汇总!$K$19),"")</f>
      </c>
      <c r="L19" s="176">
        <f>IFERROR(IF([2]筐子库存汇总!$L$19=0,"",[2]筐子库存汇总!$L$19),"")</f>
      </c>
      <c r="M19" s="16">
        <f>IFERROR(IF([2]筐子库存汇总!$M$19=0,"",[2]筐子库存汇总!$M$19),"")</f>
      </c>
    </row>
    <row r="20" s="127">
      <c r="A20" s="16">
        <f>IFERROR(IF([2]筐子库存汇总!$A$20=0,"",[2]筐子库存汇总!$A$20),"")</f>
      </c>
      <c r="B20" s="30">
        <f>IFERROR(IF([2]筐子库存汇总!$B$20=0,"",[2]筐子库存汇总!$B$20),"")</f>
      </c>
      <c r="C20" s="176">
        <f>IFERROR(IF([2]筐子库存汇总!$C$20=0,"",[2]筐子库存汇总!$C$20),"")</f>
      </c>
      <c r="D20" s="176">
        <f>IFERROR(IF([2]筐子库存汇总!$D$20=0,"",[2]筐子库存汇总!$D$20),"")</f>
      </c>
      <c r="E20" s="207">
        <f>IFERROR(IF([2]筐子库存汇总!$E$20=0,"",[2]筐子库存汇总!$E$20),"")</f>
      </c>
      <c r="F20" s="176">
        <f>IFERROR(IF([2]筐子库存汇总!$F$20=0,"",[2]筐子库存汇总!$F$20),"")</f>
      </c>
      <c r="G20" s="176">
        <f>IFERROR(IF([2]筐子库存汇总!$G$20=0,"",[2]筐子库存汇总!$G$20),"")</f>
      </c>
      <c r="H20" s="176">
        <f>IFERROR(IF([2]筐子库存汇总!$H$20=0,"",[2]筐子库存汇总!$H$20),"")</f>
      </c>
      <c r="I20" s="176">
        <f>IFERROR(IF([2]筐子库存汇总!$I$20=0,"",[2]筐子库存汇总!$I$20),"")</f>
      </c>
      <c r="J20" s="176">
        <f>IFERROR(IF([2]筐子库存汇总!$J$20=0,"",[2]筐子库存汇总!$J$20),"")</f>
      </c>
      <c r="K20" s="176">
        <f>IFERROR(IF([2]筐子库存汇总!$K$20=0,"",[2]筐子库存汇总!$K$20),"")</f>
      </c>
      <c r="L20" s="176">
        <f>IFERROR(IF([2]筐子库存汇总!$L$20=0,"",[2]筐子库存汇总!$L$20),"")</f>
      </c>
      <c r="M20" s="16">
        <f>IFERROR(IF([2]筐子库存汇总!$M$20=0,"",[2]筐子库存汇总!$M$20),"")</f>
      </c>
    </row>
    <row r="21" s="127">
      <c r="A21" s="16">
        <f>IFERROR(IF([2]筐子库存汇总!$A$21=0,"",[2]筐子库存汇总!$A$21),"")</f>
      </c>
      <c r="B21" s="30">
        <f>IFERROR(IF([2]筐子库存汇总!$B$21=0,"",[2]筐子库存汇总!$B$21),"")</f>
      </c>
      <c r="C21" s="176">
        <f>IFERROR(IF([2]筐子库存汇总!$C$21=0,"",[2]筐子库存汇总!$C$21),"")</f>
      </c>
      <c r="D21" s="176">
        <f>IFERROR(IF([2]筐子库存汇总!$D$21=0,"",[2]筐子库存汇总!$D$21),"")</f>
      </c>
      <c r="E21" s="207">
        <f>IFERROR(IF([2]筐子库存汇总!$E$21=0,"",[2]筐子库存汇总!$E$21),"")</f>
      </c>
      <c r="F21" s="176">
        <f>IFERROR(IF([2]筐子库存汇总!$F$21=0,"",[2]筐子库存汇总!$F$21),"")</f>
      </c>
      <c r="G21" s="176">
        <f>IFERROR(IF([2]筐子库存汇总!$G$21=0,"",[2]筐子库存汇总!$G$21),"")</f>
      </c>
      <c r="H21" s="176">
        <f>IFERROR(IF([2]筐子库存汇总!$H$21=0,"",[2]筐子库存汇总!$H$21),"")</f>
      </c>
      <c r="I21" s="176">
        <f>IFERROR(IF([2]筐子库存汇总!$I$21=0,"",[2]筐子库存汇总!$I$21),"")</f>
      </c>
      <c r="J21" s="176">
        <f>IFERROR(IF([2]筐子库存汇总!$J$21=0,"",[2]筐子库存汇总!$J$21),"")</f>
      </c>
      <c r="K21" s="176">
        <f>IFERROR(IF([2]筐子库存汇总!$K$21=0,"",[2]筐子库存汇总!$K$21),"")</f>
      </c>
      <c r="L21" s="176">
        <f>IFERROR(IF([2]筐子库存汇总!$L$21=0,"",[2]筐子库存汇总!$L$21),"")</f>
      </c>
      <c r="M21" s="16">
        <f>IFERROR(IF([2]筐子库存汇总!$M$21=0,"",[2]筐子库存汇总!$M$21),"")</f>
      </c>
    </row>
    <row r="22" s="127">
      <c r="A22" s="16">
        <f>IFERROR(IF([2]筐子库存汇总!$A$22=0,"",[2]筐子库存汇总!$A$22),"")</f>
      </c>
      <c r="B22" s="30">
        <f>IFERROR(IF([2]筐子库存汇总!$B$22=0,"",[2]筐子库存汇总!$B$22),"")</f>
      </c>
      <c r="C22" s="176">
        <f>IFERROR(IF([2]筐子库存汇总!$C$22=0,"",[2]筐子库存汇总!$C$22),"")</f>
      </c>
      <c r="D22" s="176">
        <f>IFERROR(IF([2]筐子库存汇总!$D$22=0,"",[2]筐子库存汇总!$D$22),"")</f>
      </c>
      <c r="E22" s="207">
        <f>IFERROR(IF([2]筐子库存汇总!$E$22=0,"",[2]筐子库存汇总!$E$22),"")</f>
      </c>
      <c r="F22" s="176">
        <f>IFERROR(IF([2]筐子库存汇总!$F$22=0,"",[2]筐子库存汇总!$F$22),"")</f>
      </c>
      <c r="G22" s="176">
        <f>IFERROR(IF([2]筐子库存汇总!$G$22=0,"",[2]筐子库存汇总!$G$22),"")</f>
      </c>
      <c r="H22" s="176">
        <f>IFERROR(IF([2]筐子库存汇总!$H$22=0,"",[2]筐子库存汇总!$H$22),"")</f>
      </c>
      <c r="I22" s="176">
        <f>IFERROR(IF([2]筐子库存汇总!$I$22=0,"",[2]筐子库存汇总!$I$22),"")</f>
      </c>
      <c r="J22" s="176">
        <f>IFERROR(IF([2]筐子库存汇总!$J$22=0,"",[2]筐子库存汇总!$J$22),"")</f>
      </c>
      <c r="K22" s="176">
        <f>IFERROR(IF([2]筐子库存汇总!$K$22=0,"",[2]筐子库存汇总!$K$22),"")</f>
      </c>
      <c r="L22" s="176">
        <f>IFERROR(IF([2]筐子库存汇总!$L$22=0,"",[2]筐子库存汇总!$L$22),"")</f>
      </c>
      <c r="M22" s="16">
        <f>IFERROR(IF([2]筐子库存汇总!$M$22=0,"",[2]筐子库存汇总!$M$22),"")</f>
      </c>
    </row>
    <row r="23" s="127">
      <c r="A23" s="16">
        <f>IFERROR(IF([2]筐子库存汇总!$A$23=0,"",[2]筐子库存汇总!$A$23),"")</f>
      </c>
      <c r="B23" s="30">
        <f>IFERROR(IF([2]筐子库存汇总!$B$23=0,"",[2]筐子库存汇总!$B$23),"")</f>
      </c>
      <c r="C23" s="176">
        <f>IFERROR(IF([2]筐子库存汇总!$C$23=0,"",[2]筐子库存汇总!$C$23),"")</f>
      </c>
      <c r="D23" s="176">
        <f>IFERROR(IF([2]筐子库存汇总!$D$23=0,"",[2]筐子库存汇总!$D$23),"")</f>
      </c>
      <c r="E23" s="207">
        <f>IFERROR(IF([2]筐子库存汇总!$E$23=0,"",[2]筐子库存汇总!$E$23),"")</f>
      </c>
      <c r="F23" s="176">
        <f>IFERROR(IF([2]筐子库存汇总!$F$23=0,"",[2]筐子库存汇总!$F$23),"")</f>
      </c>
      <c r="G23" s="176">
        <f>IFERROR(IF([2]筐子库存汇总!$G$23=0,"",[2]筐子库存汇总!$G$23),"")</f>
      </c>
      <c r="H23" s="176">
        <f>IFERROR(IF([2]筐子库存汇总!$H$23=0,"",[2]筐子库存汇总!$H$23),"")</f>
      </c>
      <c r="I23" s="176">
        <f>IFERROR(IF([2]筐子库存汇总!$I$23=0,"",[2]筐子库存汇总!$I$23),"")</f>
      </c>
      <c r="J23" s="176">
        <f>IFERROR(IF([2]筐子库存汇总!$J$23=0,"",[2]筐子库存汇总!$J$23),"")</f>
      </c>
      <c r="K23" s="176">
        <f>IFERROR(IF([2]筐子库存汇总!$K$23=0,"",[2]筐子库存汇总!$K$23),"")</f>
      </c>
      <c r="L23" s="176">
        <f>IFERROR(IF([2]筐子库存汇总!$L$23=0,"",[2]筐子库存汇总!$L$23),"")</f>
      </c>
      <c r="M23" s="16">
        <f>IFERROR(IF([2]筐子库存汇总!$M$23=0,"",[2]筐子库存汇总!$M$23),"")</f>
      </c>
    </row>
    <row r="24" s="127">
      <c r="A24" s="16">
        <f>IFERROR(IF([2]筐子库存汇总!$A$24=0,"",[2]筐子库存汇总!$A$24),"")</f>
      </c>
      <c r="B24" s="30">
        <f>IFERROR(IF([2]筐子库存汇总!$B$24=0,"",[2]筐子库存汇总!$B$24),"")</f>
      </c>
      <c r="C24" s="176">
        <f>IFERROR(IF([2]筐子库存汇总!$C$24=0,"",[2]筐子库存汇总!$C$24),"")</f>
      </c>
      <c r="D24" s="176">
        <f>IFERROR(IF([2]筐子库存汇总!$D$24=0,"",[2]筐子库存汇总!$D$24),"")</f>
      </c>
      <c r="E24" s="207">
        <f>IFERROR(IF([2]筐子库存汇总!$E$24=0,"",[2]筐子库存汇总!$E$24),"")</f>
      </c>
      <c r="F24" s="176">
        <f>IFERROR(IF([2]筐子库存汇总!$F$24=0,"",[2]筐子库存汇总!$F$24),"")</f>
      </c>
      <c r="G24" s="176">
        <f>IFERROR(IF([2]筐子库存汇总!$G$24=0,"",[2]筐子库存汇总!$G$24),"")</f>
      </c>
      <c r="H24" s="176">
        <f>IFERROR(IF([2]筐子库存汇总!$H$24=0,"",[2]筐子库存汇总!$H$24),"")</f>
      </c>
      <c r="I24" s="176">
        <f>IFERROR(IF([2]筐子库存汇总!$I$24=0,"",[2]筐子库存汇总!$I$24),"")</f>
      </c>
      <c r="J24" s="176">
        <f>IFERROR(IF([2]筐子库存汇总!$J$24=0,"",[2]筐子库存汇总!$J$24),"")</f>
      </c>
      <c r="K24" s="176">
        <f>IFERROR(IF([2]筐子库存汇总!$K$24=0,"",[2]筐子库存汇总!$K$24),"")</f>
      </c>
      <c r="L24" s="176">
        <f>IFERROR(IF([2]筐子库存汇总!$L$24=0,"",[2]筐子库存汇总!$L$24),"")</f>
      </c>
      <c r="M24" s="16">
        <f>IFERROR(IF([2]筐子库存汇总!$M$24=0,"",[2]筐子库存汇总!$M$24),"")</f>
      </c>
    </row>
    <row r="25" s="127">
      <c r="A25" s="16">
        <f>IFERROR(IF([2]筐子库存汇总!$A$25=0,"",[2]筐子库存汇总!$A$25),"")</f>
      </c>
      <c r="B25" s="30">
        <f>IFERROR(IF([2]筐子库存汇总!$B$25=0,"",[2]筐子库存汇总!$B$25),"")</f>
      </c>
      <c r="C25" s="176">
        <f>IFERROR(IF([2]筐子库存汇总!$C$25=0,"",[2]筐子库存汇总!$C$25),"")</f>
      </c>
      <c r="D25" s="176">
        <f>IFERROR(IF([2]筐子库存汇总!$D$25=0,"",[2]筐子库存汇总!$D$25),"")</f>
      </c>
      <c r="E25" s="207">
        <f>IFERROR(IF([2]筐子库存汇总!$E$25=0,"",[2]筐子库存汇总!$E$25),"")</f>
      </c>
      <c r="F25" s="176">
        <f>IFERROR(IF([2]筐子库存汇总!$F$25=0,"",[2]筐子库存汇总!$F$25),"")</f>
      </c>
      <c r="G25" s="176">
        <f>IFERROR(IF([2]筐子库存汇总!$G$25=0,"",[2]筐子库存汇总!$G$25),"")</f>
      </c>
      <c r="H25" s="176">
        <f>IFERROR(IF([2]筐子库存汇总!$H$25=0,"",[2]筐子库存汇总!$H$25),"")</f>
      </c>
      <c r="I25" s="176">
        <f>IFERROR(IF([2]筐子库存汇总!$I$25=0,"",[2]筐子库存汇总!$I$25),"")</f>
      </c>
      <c r="J25" s="176">
        <f>IFERROR(IF([2]筐子库存汇总!$J$25=0,"",[2]筐子库存汇总!$J$25),"")</f>
      </c>
      <c r="K25" s="176">
        <f>IFERROR(IF([2]筐子库存汇总!$K$25=0,"",[2]筐子库存汇总!$K$25),"")</f>
      </c>
      <c r="L25" s="176">
        <f>IFERROR(IF([2]筐子库存汇总!$L$25=0,"",[2]筐子库存汇总!$L$25),"")</f>
      </c>
      <c r="M25" s="16">
        <f>IFERROR(IF([2]筐子库存汇总!$M$25=0,"",[2]筐子库存汇总!$M$25),"")</f>
      </c>
    </row>
    <row r="26" s="127">
      <c r="A26" s="16">
        <f>IFERROR(IF([2]筐子库存汇总!$A$26=0,"",[2]筐子库存汇总!$A$26),"")</f>
      </c>
      <c r="B26" s="30">
        <f>IFERROR(IF([2]筐子库存汇总!$B$26=0,"",[2]筐子库存汇总!$B$26),"")</f>
      </c>
      <c r="C26" s="176">
        <f>IFERROR(IF([2]筐子库存汇总!$C$26=0,"",[2]筐子库存汇总!$C$26),"")</f>
      </c>
      <c r="D26" s="176">
        <f>IFERROR(IF([2]筐子库存汇总!$D$26=0,"",[2]筐子库存汇总!$D$26),"")</f>
      </c>
      <c r="E26" s="207">
        <f>IFERROR(IF([2]筐子库存汇总!$E$26=0,"",[2]筐子库存汇总!$E$26),"")</f>
      </c>
      <c r="F26" s="176">
        <f>IFERROR(IF([2]筐子库存汇总!$F$26=0,"",[2]筐子库存汇总!$F$26),"")</f>
      </c>
      <c r="G26" s="176">
        <f>IFERROR(IF([2]筐子库存汇总!$G$26=0,"",[2]筐子库存汇总!$G$26),"")</f>
      </c>
      <c r="H26" s="176">
        <f>IFERROR(IF([2]筐子库存汇总!$H$26=0,"",[2]筐子库存汇总!$H$26),"")</f>
      </c>
      <c r="I26" s="176">
        <f>IFERROR(IF([2]筐子库存汇总!$I$26=0,"",[2]筐子库存汇总!$I$26),"")</f>
      </c>
      <c r="J26" s="176">
        <f>IFERROR(IF([2]筐子库存汇总!$J$26=0,"",[2]筐子库存汇总!$J$26),"")</f>
      </c>
      <c r="K26" s="176">
        <f>IFERROR(IF([2]筐子库存汇总!$K$26=0,"",[2]筐子库存汇总!$K$26),"")</f>
      </c>
      <c r="L26" s="176">
        <f>IFERROR(IF([2]筐子库存汇总!$L$26=0,"",[2]筐子库存汇总!$L$26),"")</f>
      </c>
      <c r="M26" s="16">
        <f>IFERROR(IF([2]筐子库存汇总!$M$26=0,"",[2]筐子库存汇总!$M$26),"")</f>
      </c>
    </row>
    <row r="27" s="127">
      <c r="A27" s="16">
        <f>IFERROR(IF([2]筐子库存汇总!$A$27=0,"",[2]筐子库存汇总!$A$27),"")</f>
      </c>
      <c r="B27" s="30">
        <f>IFERROR(IF([2]筐子库存汇总!$B$27=0,"",[2]筐子库存汇总!$B$27),"")</f>
      </c>
      <c r="C27" s="176">
        <f>IFERROR(IF([2]筐子库存汇总!$C$27=0,"",[2]筐子库存汇总!$C$27),"")</f>
      </c>
      <c r="D27" s="176">
        <f>IFERROR(IF([2]筐子库存汇总!$D$27=0,"",[2]筐子库存汇总!$D$27),"")</f>
      </c>
      <c r="E27" s="207">
        <f>IFERROR(IF([2]筐子库存汇总!$E$27=0,"",[2]筐子库存汇总!$E$27),"")</f>
      </c>
      <c r="F27" s="176">
        <f>IFERROR(IF([2]筐子库存汇总!$F$27=0,"",[2]筐子库存汇总!$F$27),"")</f>
      </c>
      <c r="G27" s="176">
        <f>IFERROR(IF([2]筐子库存汇总!$G$27=0,"",[2]筐子库存汇总!$G$27),"")</f>
      </c>
      <c r="H27" s="176">
        <f>IFERROR(IF([2]筐子库存汇总!$H$27=0,"",[2]筐子库存汇总!$H$27),"")</f>
      </c>
      <c r="I27" s="176">
        <f>IFERROR(IF([2]筐子库存汇总!$I$27=0,"",[2]筐子库存汇总!$I$27),"")</f>
      </c>
      <c r="J27" s="176">
        <f>IFERROR(IF([2]筐子库存汇总!$J$27=0,"",[2]筐子库存汇总!$J$27),"")</f>
      </c>
      <c r="K27" s="176">
        <f>IFERROR(IF([2]筐子库存汇总!$K$27=0,"",[2]筐子库存汇总!$K$27),"")</f>
      </c>
      <c r="L27" s="176">
        <f>IFERROR(IF([2]筐子库存汇总!$L$27=0,"",[2]筐子库存汇总!$L$27),"")</f>
      </c>
      <c r="M27" s="16">
        <f>IFERROR(IF([2]筐子库存汇总!$M$27=0,"",[2]筐子库存汇总!$M$27),"")</f>
      </c>
    </row>
    <row r="28" s="127">
      <c r="A28" s="16">
        <f>IFERROR(IF([2]筐子库存汇总!$A$28=0,"",[2]筐子库存汇总!$A$28),"")</f>
      </c>
      <c r="B28" s="30">
        <f>IFERROR(IF([2]筐子库存汇总!$B$28=0,"",[2]筐子库存汇总!$B$28),"")</f>
      </c>
      <c r="C28" s="176">
        <f>IFERROR(IF([2]筐子库存汇总!$C$28=0,"",[2]筐子库存汇总!$C$28),"")</f>
      </c>
      <c r="D28" s="176">
        <f>IFERROR(IF([2]筐子库存汇总!$D$28=0,"",[2]筐子库存汇总!$D$28),"")</f>
      </c>
      <c r="E28" s="207">
        <f>IFERROR(IF([2]筐子库存汇总!$E$28=0,"",[2]筐子库存汇总!$E$28),"")</f>
      </c>
      <c r="F28" s="176">
        <f>IFERROR(IF([2]筐子库存汇总!$F$28=0,"",[2]筐子库存汇总!$F$28),"")</f>
      </c>
      <c r="G28" s="176">
        <f>IFERROR(IF([2]筐子库存汇总!$G$28=0,"",[2]筐子库存汇总!$G$28),"")</f>
      </c>
      <c r="H28" s="176">
        <f>IFERROR(IF([2]筐子库存汇总!$H$28=0,"",[2]筐子库存汇总!$H$28),"")</f>
      </c>
      <c r="I28" s="176">
        <f>IFERROR(IF([2]筐子库存汇总!$I$28=0,"",[2]筐子库存汇总!$I$28),"")</f>
      </c>
      <c r="J28" s="176">
        <f>IFERROR(IF([2]筐子库存汇总!$J$28=0,"",[2]筐子库存汇总!$J$28),"")</f>
      </c>
      <c r="K28" s="176">
        <f>IFERROR(IF([2]筐子库存汇总!$K$28=0,"",[2]筐子库存汇总!$K$28),"")</f>
      </c>
      <c r="L28" s="176">
        <f>IFERROR(IF([2]筐子库存汇总!$L$28=0,"",[2]筐子库存汇总!$L$28),"")</f>
      </c>
      <c r="M28" s="16">
        <f>IFERROR(IF([2]筐子库存汇总!$M$28=0,"",[2]筐子库存汇总!$M$28),"")</f>
      </c>
    </row>
    <row r="29" s="127">
      <c r="A29" s="16">
        <f>IFERROR(IF([2]筐子库存汇总!$A$29=0,"",[2]筐子库存汇总!$A$29),"")</f>
      </c>
      <c r="B29" s="30">
        <f>IFERROR(IF([2]筐子库存汇总!$B$29=0,"",[2]筐子库存汇总!$B$29),"")</f>
      </c>
      <c r="C29" s="176">
        <f>IFERROR(IF([2]筐子库存汇总!$C$29=0,"",[2]筐子库存汇总!$C$29),"")</f>
      </c>
      <c r="D29" s="176">
        <f>IFERROR(IF([2]筐子库存汇总!$D$29=0,"",[2]筐子库存汇总!$D$29),"")</f>
      </c>
      <c r="E29" s="207">
        <f>IFERROR(IF([2]筐子库存汇总!$E$29=0,"",[2]筐子库存汇总!$E$29),"")</f>
      </c>
      <c r="F29" s="176">
        <f>IFERROR(IF([2]筐子库存汇总!$F$29=0,"",[2]筐子库存汇总!$F$29),"")</f>
      </c>
      <c r="G29" s="176">
        <f>IFERROR(IF([2]筐子库存汇总!$G$29=0,"",[2]筐子库存汇总!$G$29),"")</f>
      </c>
      <c r="H29" s="176">
        <f>IFERROR(IF([2]筐子库存汇总!$H$29=0,"",[2]筐子库存汇总!$H$29),"")</f>
      </c>
      <c r="I29" s="176">
        <f>IFERROR(IF([2]筐子库存汇总!$I$29=0,"",[2]筐子库存汇总!$I$29),"")</f>
      </c>
      <c r="J29" s="176">
        <f>IFERROR(IF([2]筐子库存汇总!$J$29=0,"",[2]筐子库存汇总!$J$29),"")</f>
      </c>
      <c r="K29" s="176">
        <f>IFERROR(IF([2]筐子库存汇总!$K$29=0,"",[2]筐子库存汇总!$K$29),"")</f>
      </c>
      <c r="L29" s="176">
        <f>IFERROR(IF([2]筐子库存汇总!$L$29=0,"",[2]筐子库存汇总!$L$29),"")</f>
      </c>
      <c r="M29" s="16">
        <f>IFERROR(IF([2]筐子库存汇总!$M$29=0,"",[2]筐子库存汇总!$M$29),"")</f>
      </c>
    </row>
    <row r="30" s="127">
      <c r="A30" s="16">
        <f>IFERROR(IF([2]筐子库存汇总!$A$30=0,"",[2]筐子库存汇总!$A$30),"")</f>
      </c>
      <c r="B30" s="30">
        <f>IFERROR(IF([2]筐子库存汇总!$B$30=0,"",[2]筐子库存汇总!$B$30),"")</f>
      </c>
      <c r="C30" s="176">
        <f>IFERROR(IF([2]筐子库存汇总!$C$30=0,"",[2]筐子库存汇总!$C$30),"")</f>
      </c>
      <c r="D30" s="176">
        <f>IFERROR(IF([2]筐子库存汇总!$D$30=0,"",[2]筐子库存汇总!$D$30),"")</f>
      </c>
      <c r="E30" s="207">
        <f>IFERROR(IF([2]筐子库存汇总!$E$30=0,"",[2]筐子库存汇总!$E$30),"")</f>
      </c>
      <c r="F30" s="176">
        <f>IFERROR(IF([2]筐子库存汇总!$F$30=0,"",[2]筐子库存汇总!$F$30),"")</f>
      </c>
      <c r="G30" s="176">
        <f>IFERROR(IF([2]筐子库存汇总!$G$30=0,"",[2]筐子库存汇总!$G$30),"")</f>
      </c>
      <c r="H30" s="176">
        <f>IFERROR(IF([2]筐子库存汇总!$H$30=0,"",[2]筐子库存汇总!$H$30),"")</f>
      </c>
      <c r="I30" s="176">
        <f>IFERROR(IF([2]筐子库存汇总!$I$30=0,"",[2]筐子库存汇总!$I$30),"")</f>
      </c>
      <c r="J30" s="176">
        <f>IFERROR(IF([2]筐子库存汇总!$J$30=0,"",[2]筐子库存汇总!$J$30),"")</f>
      </c>
      <c r="K30" s="176">
        <f>IFERROR(IF([2]筐子库存汇总!$K$30=0,"",[2]筐子库存汇总!$K$30),"")</f>
      </c>
      <c r="L30" s="176">
        <f>IFERROR(IF([2]筐子库存汇总!$L$30=0,"",[2]筐子库存汇总!$L$30),"")</f>
      </c>
      <c r="M30" s="16">
        <f>IFERROR(IF([2]筐子库存汇总!$M$30=0,"",[2]筐子库存汇总!$M$30),"")</f>
      </c>
    </row>
    <row r="31" s="127">
      <c r="A31" s="16">
        <f>IFERROR(IF([2]筐子库存汇总!$A$31=0,"",[2]筐子库存汇总!$A$31),"")</f>
      </c>
      <c r="B31" s="30">
        <f>IFERROR(IF([2]筐子库存汇总!$B$31=0,"",[2]筐子库存汇总!$B$31),"")</f>
      </c>
      <c r="C31" s="176">
        <f>IFERROR(IF([2]筐子库存汇总!$C$31=0,"",[2]筐子库存汇总!$C$31),"")</f>
      </c>
      <c r="D31" s="176">
        <f>IFERROR(IF([2]筐子库存汇总!$D$31=0,"",[2]筐子库存汇总!$D$31),"")</f>
      </c>
      <c r="E31" s="207">
        <f>IFERROR(IF([2]筐子库存汇总!$E$31=0,"",[2]筐子库存汇总!$E$31),"")</f>
      </c>
      <c r="F31" s="176">
        <f>IFERROR(IF([2]筐子库存汇总!$F$31=0,"",[2]筐子库存汇总!$F$31),"")</f>
      </c>
      <c r="G31" s="176">
        <f>IFERROR(IF([2]筐子库存汇总!$G$31=0,"",[2]筐子库存汇总!$G$31),"")</f>
      </c>
      <c r="H31" s="176">
        <f>IFERROR(IF([2]筐子库存汇总!$H$31=0,"",[2]筐子库存汇总!$H$31),"")</f>
      </c>
      <c r="I31" s="176">
        <f>IFERROR(IF([2]筐子库存汇总!$I$31=0,"",[2]筐子库存汇总!$I$31),"")</f>
      </c>
      <c r="J31" s="176">
        <f>IFERROR(IF([2]筐子库存汇总!$J$31=0,"",[2]筐子库存汇总!$J$31),"")</f>
      </c>
      <c r="K31" s="176">
        <f>IFERROR(IF([2]筐子库存汇总!$K$31=0,"",[2]筐子库存汇总!$K$31),"")</f>
      </c>
      <c r="L31" s="176">
        <f>IFERROR(IF([2]筐子库存汇总!$L$31=0,"",[2]筐子库存汇总!$L$31),"")</f>
      </c>
      <c r="M31" s="16">
        <f>IFERROR(IF([2]筐子库存汇总!$M$31=0,"",[2]筐子库存汇总!$M$31),"")</f>
      </c>
    </row>
    <row r="32" s="127">
      <c r="A32" s="16">
        <f>IFERROR(IF([2]筐子库存汇总!$A$32=0,"",[2]筐子库存汇总!$A$32),"")</f>
      </c>
      <c r="B32" s="30">
        <f>IFERROR(IF([2]筐子库存汇总!$B$32=0,"",[2]筐子库存汇总!$B$32),"")</f>
      </c>
      <c r="C32" s="176">
        <f>IFERROR(IF([2]筐子库存汇总!$C$32=0,"",[2]筐子库存汇总!$C$32),"")</f>
      </c>
      <c r="D32" s="176">
        <f>IFERROR(IF([2]筐子库存汇总!$D$32=0,"",[2]筐子库存汇总!$D$32),"")</f>
      </c>
      <c r="E32" s="207">
        <f>IFERROR(IF([2]筐子库存汇总!$E$32=0,"",[2]筐子库存汇总!$E$32),"")</f>
      </c>
      <c r="F32" s="176">
        <f>IFERROR(IF([2]筐子库存汇总!$F$32=0,"",[2]筐子库存汇总!$F$32),"")</f>
      </c>
      <c r="G32" s="176">
        <f>IFERROR(IF([2]筐子库存汇总!$G$32=0,"",[2]筐子库存汇总!$G$32),"")</f>
      </c>
      <c r="H32" s="176">
        <f>IFERROR(IF([2]筐子库存汇总!$H$32=0,"",[2]筐子库存汇总!$H$32),"")</f>
      </c>
      <c r="I32" s="176">
        <f>IFERROR(IF([2]筐子库存汇总!$I$32=0,"",[2]筐子库存汇总!$I$32),"")</f>
      </c>
      <c r="J32" s="176">
        <f>IFERROR(IF([2]筐子库存汇总!$J$32=0,"",[2]筐子库存汇总!$J$32),"")</f>
      </c>
      <c r="K32" s="176">
        <f>IFERROR(IF([2]筐子库存汇总!$K$32=0,"",[2]筐子库存汇总!$K$32),"")</f>
      </c>
      <c r="L32" s="176">
        <f>IFERROR(IF([2]筐子库存汇总!$L$32=0,"",[2]筐子库存汇总!$L$32),"")</f>
      </c>
      <c r="M32" s="16">
        <f>IFERROR(IF([2]筐子库存汇总!$M$32=0,"",[2]筐子库存汇总!$M$32),"")</f>
      </c>
    </row>
    <row r="33" s="127">
      <c r="A33" s="16">
        <f>IFERROR(IF([2]筐子库存汇总!$A$33=0,"",[2]筐子库存汇总!$A$33),"")</f>
      </c>
      <c r="B33" s="30">
        <f>IFERROR(IF([2]筐子库存汇总!$B$33=0,"",[2]筐子库存汇总!$B$33),"")</f>
      </c>
      <c r="C33" s="176">
        <f>IFERROR(IF([2]筐子库存汇总!$C$33=0,"",[2]筐子库存汇总!$C$33),"")</f>
      </c>
      <c r="D33" s="176">
        <f>IFERROR(IF([2]筐子库存汇总!$D$33=0,"",[2]筐子库存汇总!$D$33),"")</f>
      </c>
      <c r="E33" s="207">
        <f>IFERROR(IF([2]筐子库存汇总!$E$33=0,"",[2]筐子库存汇总!$E$33),"")</f>
      </c>
      <c r="F33" s="176">
        <f>IFERROR(IF([2]筐子库存汇总!$F$33=0,"",[2]筐子库存汇总!$F$33),"")</f>
      </c>
      <c r="G33" s="176">
        <f>IFERROR(IF([2]筐子库存汇总!$G$33=0,"",[2]筐子库存汇总!$G$33),"")</f>
      </c>
      <c r="H33" s="176">
        <f>IFERROR(IF([2]筐子库存汇总!$H$33=0,"",[2]筐子库存汇总!$H$33),"")</f>
      </c>
      <c r="I33" s="176">
        <f>IFERROR(IF([2]筐子库存汇总!$I$33=0,"",[2]筐子库存汇总!$I$33),"")</f>
      </c>
      <c r="J33" s="176">
        <f>IFERROR(IF([2]筐子库存汇总!$J$33=0,"",[2]筐子库存汇总!$J$33),"")</f>
      </c>
      <c r="K33" s="176">
        <f>IFERROR(IF([2]筐子库存汇总!$K$33=0,"",[2]筐子库存汇总!$K$33),"")</f>
      </c>
      <c r="L33" s="176">
        <f>IFERROR(IF([2]筐子库存汇总!$L$33=0,"",[2]筐子库存汇总!$L$33),"")</f>
      </c>
      <c r="M33" s="16">
        <f>IFERROR(IF([2]筐子库存汇总!$M$33=0,"",[2]筐子库存汇总!$M$33),"")</f>
      </c>
    </row>
    <row r="34" s="127">
      <c r="A34" s="16">
        <f>IFERROR(IF([2]筐子库存汇总!$A$34=0,"",[2]筐子库存汇总!$A$34),"")</f>
      </c>
      <c r="B34" s="30">
        <f>IFERROR(IF([2]筐子库存汇总!$B$34=0,"",[2]筐子库存汇总!$B$34),"")</f>
      </c>
      <c r="C34" s="176">
        <f>IFERROR(IF([2]筐子库存汇总!$C$34=0,"",[2]筐子库存汇总!$C$34),"")</f>
      </c>
      <c r="D34" s="176">
        <f>IFERROR(IF([2]筐子库存汇总!$D$34=0,"",[2]筐子库存汇总!$D$34),"")</f>
      </c>
      <c r="E34" s="207">
        <f>IFERROR(IF([2]筐子库存汇总!$E$34=0,"",[2]筐子库存汇总!$E$34),"")</f>
      </c>
      <c r="F34" s="176">
        <f>IFERROR(IF([2]筐子库存汇总!$F$34=0,"",[2]筐子库存汇总!$F$34),"")</f>
      </c>
      <c r="G34" s="176">
        <f>IFERROR(IF([2]筐子库存汇总!$G$34=0,"",[2]筐子库存汇总!$G$34),"")</f>
      </c>
      <c r="H34" s="176">
        <f>IFERROR(IF([2]筐子库存汇总!$H$34=0,"",[2]筐子库存汇总!$H$34),"")</f>
      </c>
      <c r="I34" s="176">
        <f>IFERROR(IF([2]筐子库存汇总!$I$34=0,"",[2]筐子库存汇总!$I$34),"")</f>
      </c>
      <c r="J34" s="176">
        <f>IFERROR(IF([2]筐子库存汇总!$J$34=0,"",[2]筐子库存汇总!$J$34),"")</f>
      </c>
      <c r="K34" s="176">
        <f>IFERROR(IF([2]筐子库存汇总!$K$34=0,"",[2]筐子库存汇总!$K$34),"")</f>
      </c>
      <c r="L34" s="176">
        <f>IFERROR(IF([2]筐子库存汇总!$L$34=0,"",[2]筐子库存汇总!$L$34),"")</f>
      </c>
      <c r="M34" s="16">
        <f>IFERROR(IF([2]筐子库存汇总!$M$34=0,"",[2]筐子库存汇总!$M$34),"")</f>
      </c>
    </row>
    <row r="35" s="127">
      <c r="A35" s="16">
        <f>IFERROR(IF([2]筐子库存汇总!$A$35=0,"",[2]筐子库存汇总!$A$35),"")</f>
      </c>
      <c r="B35" s="30">
        <f>IFERROR(IF([2]筐子库存汇总!$B$35=0,"",[2]筐子库存汇总!$B$35),"")</f>
      </c>
      <c r="C35" s="176">
        <f>IFERROR(IF([2]筐子库存汇总!$C$35=0,"",[2]筐子库存汇总!$C$35),"")</f>
      </c>
      <c r="D35" s="176">
        <f>IFERROR(IF([2]筐子库存汇总!$D$35=0,"",[2]筐子库存汇总!$D$35),"")</f>
      </c>
      <c r="E35" s="207">
        <f>IFERROR(IF([2]筐子库存汇总!$E$35=0,"",[2]筐子库存汇总!$E$35),"")</f>
      </c>
      <c r="F35" s="176">
        <f>IFERROR(IF([2]筐子库存汇总!$F$35=0,"",[2]筐子库存汇总!$F$35),"")</f>
      </c>
      <c r="G35" s="176">
        <f>IFERROR(IF([2]筐子库存汇总!$G$35=0,"",[2]筐子库存汇总!$G$35),"")</f>
      </c>
      <c r="H35" s="176">
        <f>IFERROR(IF([2]筐子库存汇总!$H$35=0,"",[2]筐子库存汇总!$H$35),"")</f>
      </c>
      <c r="I35" s="176">
        <f>IFERROR(IF([2]筐子库存汇总!$I$35=0,"",[2]筐子库存汇总!$I$35),"")</f>
      </c>
      <c r="J35" s="176">
        <f>IFERROR(IF([2]筐子库存汇总!$J$35=0,"",[2]筐子库存汇总!$J$35),"")</f>
      </c>
      <c r="K35" s="176">
        <f>IFERROR(IF([2]筐子库存汇总!$K$35=0,"",[2]筐子库存汇总!$K$35),"")</f>
      </c>
      <c r="L35" s="176">
        <f>IFERROR(IF([2]筐子库存汇总!$L$35=0,"",[2]筐子库存汇总!$L$35),"")</f>
      </c>
      <c r="M35" s="16">
        <f>IFERROR(IF([2]筐子库存汇总!$M$35=0,"",[2]筐子库存汇总!$M$35),"")</f>
      </c>
    </row>
    <row r="36" s="127">
      <c r="A36" s="16">
        <f>IFERROR(IF([2]筐子库存汇总!$A$36=0,"",[2]筐子库存汇总!$A$36),"")</f>
      </c>
      <c r="B36" s="30">
        <f>IFERROR(IF([2]筐子库存汇总!$B$36=0,"",[2]筐子库存汇总!$B$36),"")</f>
      </c>
      <c r="C36" s="176">
        <f>IFERROR(IF([2]筐子库存汇总!$C$36=0,"",[2]筐子库存汇总!$C$36),"")</f>
      </c>
      <c r="D36" s="176">
        <f>IFERROR(IF([2]筐子库存汇总!$D$36=0,"",[2]筐子库存汇总!$D$36),"")</f>
      </c>
      <c r="E36" s="207">
        <f>IFERROR(IF([2]筐子库存汇总!$E$36=0,"",[2]筐子库存汇总!$E$36),"")</f>
      </c>
      <c r="F36" s="176">
        <f>IFERROR(IF([2]筐子库存汇总!$F$36=0,"",[2]筐子库存汇总!$F$36),"")</f>
      </c>
      <c r="G36" s="176">
        <f>IFERROR(IF([2]筐子库存汇总!$G$36=0,"",[2]筐子库存汇总!$G$36),"")</f>
      </c>
      <c r="H36" s="176">
        <f>IFERROR(IF([2]筐子库存汇总!$H$36=0,"",[2]筐子库存汇总!$H$36),"")</f>
      </c>
      <c r="I36" s="176">
        <f>IFERROR(IF([2]筐子库存汇总!$I$36=0,"",[2]筐子库存汇总!$I$36),"")</f>
      </c>
      <c r="J36" s="176">
        <f>IFERROR(IF([2]筐子库存汇总!$J$36=0,"",[2]筐子库存汇总!$J$36),"")</f>
      </c>
      <c r="K36" s="176">
        <f>IFERROR(IF([2]筐子库存汇总!$K$36=0,"",[2]筐子库存汇总!$K$36),"")</f>
      </c>
      <c r="L36" s="176">
        <f>IFERROR(IF([2]筐子库存汇总!$L$36=0,"",[2]筐子库存汇总!$L$36),"")</f>
      </c>
      <c r="M36" s="16">
        <f>IFERROR(IF([2]筐子库存汇总!$M$36=0,"",[2]筐子库存汇总!$M$36),"")</f>
      </c>
    </row>
    <row r="37" s="127">
      <c r="A37" s="16">
        <f>IFERROR(IF([2]筐子库存汇总!$A$37=0,"",[2]筐子库存汇总!$A$37),"")</f>
      </c>
      <c r="B37" s="30">
        <f>IFERROR(IF([2]筐子库存汇总!$B$37=0,"",[2]筐子库存汇总!$B$37),"")</f>
      </c>
      <c r="C37" s="176">
        <f>IFERROR(IF([2]筐子库存汇总!$C$37=0,"",[2]筐子库存汇总!$C$37),"")</f>
      </c>
      <c r="D37" s="176">
        <f>IFERROR(IF([2]筐子库存汇总!$D$37=0,"",[2]筐子库存汇总!$D$37),"")</f>
      </c>
      <c r="E37" s="207">
        <f>IFERROR(IF([2]筐子库存汇总!$E$37=0,"",[2]筐子库存汇总!$E$37),"")</f>
      </c>
      <c r="F37" s="176">
        <f>IFERROR(IF([2]筐子库存汇总!$F$37=0,"",[2]筐子库存汇总!$F$37),"")</f>
      </c>
      <c r="G37" s="176">
        <f>IFERROR(IF([2]筐子库存汇总!$G$37=0,"",[2]筐子库存汇总!$G$37),"")</f>
      </c>
      <c r="H37" s="176">
        <f>IFERROR(IF([2]筐子库存汇总!$H$37=0,"",[2]筐子库存汇总!$H$37),"")</f>
      </c>
      <c r="I37" s="176">
        <f>IFERROR(IF([2]筐子库存汇总!$I$37=0,"",[2]筐子库存汇总!$I$37),"")</f>
      </c>
      <c r="J37" s="176">
        <f>IFERROR(IF([2]筐子库存汇总!$J$37=0,"",[2]筐子库存汇总!$J$37),"")</f>
      </c>
      <c r="K37" s="176">
        <f>IFERROR(IF([2]筐子库存汇总!$K$37=0,"",[2]筐子库存汇总!$K$37),"")</f>
      </c>
      <c r="L37" s="176">
        <f>IFERROR(IF([2]筐子库存汇总!$L$37=0,"",[2]筐子库存汇总!$L$37),"")</f>
      </c>
      <c r="M37" s="16">
        <f>IFERROR(IF([2]筐子库存汇总!$M$37=0,"",[2]筐子库存汇总!$M$37),"")</f>
      </c>
    </row>
    <row r="38" s="127">
      <c r="A38" s="16">
        <f>IFERROR(IF([2]筐子库存汇总!$A$38=0,"",[2]筐子库存汇总!$A$38),"")</f>
      </c>
      <c r="B38" s="30">
        <f>IFERROR(IF([2]筐子库存汇总!$B$38=0,"",[2]筐子库存汇总!$B$38),"")</f>
      </c>
      <c r="C38" s="176">
        <f>IFERROR(IF([2]筐子库存汇总!$C$38=0,"",[2]筐子库存汇总!$C$38),"")</f>
      </c>
      <c r="D38" s="176">
        <f>IFERROR(IF([2]筐子库存汇总!$D$38=0,"",[2]筐子库存汇总!$D$38),"")</f>
      </c>
      <c r="E38" s="207">
        <f>IFERROR(IF([2]筐子库存汇总!$E$38=0,"",[2]筐子库存汇总!$E$38),"")</f>
      </c>
      <c r="F38" s="176">
        <f>IFERROR(IF([2]筐子库存汇总!$F$38=0,"",[2]筐子库存汇总!$F$38),"")</f>
      </c>
      <c r="G38" s="176">
        <f>IFERROR(IF([2]筐子库存汇总!$G$38=0,"",[2]筐子库存汇总!$G$38),"")</f>
      </c>
      <c r="H38" s="176">
        <f>IFERROR(IF([2]筐子库存汇总!$H$38=0,"",[2]筐子库存汇总!$H$38),"")</f>
      </c>
      <c r="I38" s="176">
        <f>IFERROR(IF([2]筐子库存汇总!$I$38=0,"",[2]筐子库存汇总!$I$38),"")</f>
      </c>
      <c r="J38" s="176">
        <f>IFERROR(IF([2]筐子库存汇总!$J$38=0,"",[2]筐子库存汇总!$J$38),"")</f>
      </c>
      <c r="K38" s="176">
        <f>IFERROR(IF([2]筐子库存汇总!$K$38=0,"",[2]筐子库存汇总!$K$38),"")</f>
      </c>
      <c r="L38" s="176">
        <f>IFERROR(IF([2]筐子库存汇总!$L$38=0,"",[2]筐子库存汇总!$L$38),"")</f>
      </c>
      <c r="M38" s="16">
        <f>IFERROR(IF([2]筐子库存汇总!$M$38=0,"",[2]筐子库存汇总!$M$38),"")</f>
      </c>
    </row>
    <row r="39" s="127">
      <c r="A39" s="16">
        <f>IFERROR(IF([2]筐子库存汇总!$A$39=0,"",[2]筐子库存汇总!$A$39),"")</f>
      </c>
      <c r="B39" s="30">
        <f>IFERROR(IF([2]筐子库存汇总!$B$39=0,"",[2]筐子库存汇总!$B$39),"")</f>
      </c>
      <c r="C39" s="176">
        <f>IFERROR(IF([2]筐子库存汇总!$C$39=0,"",[2]筐子库存汇总!$C$39),"")</f>
      </c>
      <c r="D39" s="176">
        <f>IFERROR(IF([2]筐子库存汇总!$D$39=0,"",[2]筐子库存汇总!$D$39),"")</f>
      </c>
      <c r="E39" s="207">
        <f>IFERROR(IF([2]筐子库存汇总!$E$39=0,"",[2]筐子库存汇总!$E$39),"")</f>
      </c>
      <c r="F39" s="176">
        <f>IFERROR(IF([2]筐子库存汇总!$F$39=0,"",[2]筐子库存汇总!$F$39),"")</f>
      </c>
      <c r="G39" s="176">
        <f>IFERROR(IF([2]筐子库存汇总!$G$39=0,"",[2]筐子库存汇总!$G$39),"")</f>
      </c>
      <c r="H39" s="176">
        <f>IFERROR(IF([2]筐子库存汇总!$H$39=0,"",[2]筐子库存汇总!$H$39),"")</f>
      </c>
      <c r="I39" s="176">
        <f>IFERROR(IF([2]筐子库存汇总!$I$39=0,"",[2]筐子库存汇总!$I$39),"")</f>
      </c>
      <c r="J39" s="176">
        <f>IFERROR(IF([2]筐子库存汇总!$J$39=0,"",[2]筐子库存汇总!$J$39),"")</f>
      </c>
      <c r="K39" s="176">
        <f>IFERROR(IF([2]筐子库存汇总!$K$39=0,"",[2]筐子库存汇总!$K$39),"")</f>
      </c>
      <c r="L39" s="176">
        <f>IFERROR(IF([2]筐子库存汇总!$L$39=0,"",[2]筐子库存汇总!$L$39),"")</f>
      </c>
      <c r="M39" s="16">
        <f>IFERROR(IF([2]筐子库存汇总!$M$39=0,"",[2]筐子库存汇总!$M$39),"")</f>
      </c>
    </row>
    <row r="40" s="127">
      <c r="A40" s="16">
        <f>IFERROR(IF([2]筐子库存汇总!$A$40=0,"",[2]筐子库存汇总!$A$40),"")</f>
      </c>
      <c r="B40" s="30">
        <f>IFERROR(IF([2]筐子库存汇总!$B$40=0,"",[2]筐子库存汇总!$B$40),"")</f>
      </c>
      <c r="C40" s="176">
        <f>IFERROR(IF([2]筐子库存汇总!$C$40=0,"",[2]筐子库存汇总!$C$40),"")</f>
      </c>
      <c r="D40" s="176">
        <f>IFERROR(IF([2]筐子库存汇总!$D$40=0,"",[2]筐子库存汇总!$D$40),"")</f>
      </c>
      <c r="E40" s="207">
        <f>IFERROR(IF([2]筐子库存汇总!$E$40=0,"",[2]筐子库存汇总!$E$40),"")</f>
      </c>
      <c r="F40" s="176">
        <f>IFERROR(IF([2]筐子库存汇总!$F$40=0,"",[2]筐子库存汇总!$F$40),"")</f>
      </c>
      <c r="G40" s="176">
        <f>IFERROR(IF([2]筐子库存汇总!$G$40=0,"",[2]筐子库存汇总!$G$40),"")</f>
      </c>
      <c r="H40" s="176">
        <f>IFERROR(IF([2]筐子库存汇总!$H$40=0,"",[2]筐子库存汇总!$H$40),"")</f>
      </c>
      <c r="I40" s="176">
        <f>IFERROR(IF([2]筐子库存汇总!$I$40=0,"",[2]筐子库存汇总!$I$40),"")</f>
      </c>
      <c r="J40" s="176">
        <f>IFERROR(IF([2]筐子库存汇总!$J$40=0,"",[2]筐子库存汇总!$J$40),"")</f>
      </c>
      <c r="K40" s="176">
        <f>IFERROR(IF([2]筐子库存汇总!$K$40=0,"",[2]筐子库存汇总!$K$40),"")</f>
      </c>
      <c r="L40" s="176">
        <f>IFERROR(IF([2]筐子库存汇总!$L$40=0,"",[2]筐子库存汇总!$L$40),"")</f>
      </c>
      <c r="M40" s="16">
        <f>IFERROR(IF([2]筐子库存汇总!$M$40=0,"",[2]筐子库存汇总!$M$40),"")</f>
      </c>
    </row>
    <row r="41" s="127">
      <c r="A41" s="16">
        <f>IFERROR(IF([2]筐子库存汇总!$A$41=0,"",[2]筐子库存汇总!$A$41),"")</f>
      </c>
      <c r="B41" s="30">
        <f>IFERROR(IF([2]筐子库存汇总!$B$41=0,"",[2]筐子库存汇总!$B$41),"")</f>
      </c>
      <c r="C41" s="176">
        <f>IFERROR(IF([2]筐子库存汇总!$C$41=0,"",[2]筐子库存汇总!$C$41),"")</f>
      </c>
      <c r="D41" s="176">
        <f>IFERROR(IF([2]筐子库存汇总!$D$41=0,"",[2]筐子库存汇总!$D$41),"")</f>
      </c>
      <c r="E41" s="207">
        <f>IFERROR(IF([2]筐子库存汇总!$E$41=0,"",[2]筐子库存汇总!$E$41),"")</f>
      </c>
      <c r="F41" s="176">
        <f>IFERROR(IF([2]筐子库存汇总!$F$41=0,"",[2]筐子库存汇总!$F$41),"")</f>
      </c>
      <c r="G41" s="176">
        <f>IFERROR(IF([2]筐子库存汇总!$G$41=0,"",[2]筐子库存汇总!$G$41),"")</f>
      </c>
      <c r="H41" s="176">
        <f>IFERROR(IF([2]筐子库存汇总!$H$41=0,"",[2]筐子库存汇总!$H$41),"")</f>
      </c>
      <c r="I41" s="176">
        <f>IFERROR(IF([2]筐子库存汇总!$I$41=0,"",[2]筐子库存汇总!$I$41),"")</f>
      </c>
      <c r="J41" s="176">
        <f>IFERROR(IF([2]筐子库存汇总!$J$41=0,"",[2]筐子库存汇总!$J$41),"")</f>
      </c>
      <c r="K41" s="176">
        <f>IFERROR(IF([2]筐子库存汇总!$K$41=0,"",[2]筐子库存汇总!$K$41),"")</f>
      </c>
      <c r="L41" s="176">
        <f>IFERROR(IF([2]筐子库存汇总!$L$41=0,"",[2]筐子库存汇总!$L$41),"")</f>
      </c>
      <c r="M41" s="16">
        <f>IFERROR(IF([2]筐子库存汇总!$M$41=0,"",[2]筐子库存汇总!$M$41),"")</f>
      </c>
    </row>
    <row r="42" s="127">
      <c r="A42" s="16">
        <f>IFERROR(IF([2]筐子库存汇总!$A$42=0,"",[2]筐子库存汇总!$A$42),"")</f>
      </c>
      <c r="B42" s="30">
        <f>IFERROR(IF([2]筐子库存汇总!$B$42=0,"",[2]筐子库存汇总!$B$42),"")</f>
      </c>
      <c r="C42" s="176">
        <f>IFERROR(IF([2]筐子库存汇总!$C$42=0,"",[2]筐子库存汇总!$C$42),"")</f>
      </c>
      <c r="D42" s="176">
        <f>IFERROR(IF([2]筐子库存汇总!$D$42=0,"",[2]筐子库存汇总!$D$42),"")</f>
      </c>
      <c r="E42" s="207">
        <f>IFERROR(IF([2]筐子库存汇总!$E$42=0,"",[2]筐子库存汇总!$E$42),"")</f>
      </c>
      <c r="F42" s="176">
        <f>IFERROR(IF([2]筐子库存汇总!$F$42=0,"",[2]筐子库存汇总!$F$42),"")</f>
      </c>
      <c r="G42" s="176">
        <f>IFERROR(IF([2]筐子库存汇总!$G$42=0,"",[2]筐子库存汇总!$G$42),"")</f>
      </c>
      <c r="H42" s="176">
        <f>IFERROR(IF([2]筐子库存汇总!$H$42=0,"",[2]筐子库存汇总!$H$42),"")</f>
      </c>
      <c r="I42" s="176">
        <f>IFERROR(IF([2]筐子库存汇总!$I$42=0,"",[2]筐子库存汇总!$I$42),"")</f>
      </c>
      <c r="J42" s="176">
        <f>IFERROR(IF([2]筐子库存汇总!$J$42=0,"",[2]筐子库存汇总!$J$42),"")</f>
      </c>
      <c r="K42" s="176">
        <f>IFERROR(IF([2]筐子库存汇总!$K$42=0,"",[2]筐子库存汇总!$K$42),"")</f>
      </c>
      <c r="L42" s="176">
        <f>IFERROR(IF([2]筐子库存汇总!$L$42=0,"",[2]筐子库存汇总!$L$42),"")</f>
      </c>
      <c r="M42" s="16">
        <f>IFERROR(IF([2]筐子库存汇总!$M$42=0,"",[2]筐子库存汇总!$M$42),"")</f>
      </c>
    </row>
    <row r="43" s="127">
      <c r="A43" s="16">
        <f>IFERROR(IF([2]筐子库存汇总!$A$43=0,"",[2]筐子库存汇总!$A$43),"")</f>
      </c>
      <c r="B43" s="30">
        <f>IFERROR(IF([2]筐子库存汇总!$B$43=0,"",[2]筐子库存汇总!$B$43),"")</f>
      </c>
      <c r="C43" s="176">
        <f>IFERROR(IF([2]筐子库存汇总!$C$43=0,"",[2]筐子库存汇总!$C$43),"")</f>
      </c>
      <c r="D43" s="176">
        <f>IFERROR(IF([2]筐子库存汇总!$D$43=0,"",[2]筐子库存汇总!$D$43),"")</f>
      </c>
      <c r="E43" s="207">
        <f>IFERROR(IF([2]筐子库存汇总!$E$43=0,"",[2]筐子库存汇总!$E$43),"")</f>
      </c>
      <c r="F43" s="176">
        <f>IFERROR(IF([2]筐子库存汇总!$F$43=0,"",[2]筐子库存汇总!$F$43),"")</f>
      </c>
      <c r="G43" s="176">
        <f>IFERROR(IF([2]筐子库存汇总!$G$43=0,"",[2]筐子库存汇总!$G$43),"")</f>
      </c>
      <c r="H43" s="176">
        <f>IFERROR(IF([2]筐子库存汇总!$H$43=0,"",[2]筐子库存汇总!$H$43),"")</f>
      </c>
      <c r="I43" s="176">
        <f>IFERROR(IF([2]筐子库存汇总!$I$43=0,"",[2]筐子库存汇总!$I$43),"")</f>
      </c>
      <c r="J43" s="176">
        <f>IFERROR(IF([2]筐子库存汇总!$J$43=0,"",[2]筐子库存汇总!$J$43),"")</f>
      </c>
      <c r="K43" s="176">
        <f>IFERROR(IF([2]筐子库存汇总!$K$43=0,"",[2]筐子库存汇总!$K$43),"")</f>
      </c>
      <c r="L43" s="176">
        <f>IFERROR(IF([2]筐子库存汇总!$L$43=0,"",[2]筐子库存汇总!$L$43),"")</f>
      </c>
      <c r="M43" s="16">
        <f>IFERROR(IF([2]筐子库存汇总!$M$43=0,"",[2]筐子库存汇总!$M$43),"")</f>
      </c>
    </row>
    <row r="44" s="127">
      <c r="A44" s="16">
        <f>IFERROR(IF([2]筐子库存汇总!$A$44=0,"",[2]筐子库存汇总!$A$44),"")</f>
      </c>
      <c r="B44" s="30">
        <f>IFERROR(IF([2]筐子库存汇总!$B$44=0,"",[2]筐子库存汇总!$B$44),"")</f>
      </c>
      <c r="C44" s="176">
        <f>IFERROR(IF([2]筐子库存汇总!$C$44=0,"",[2]筐子库存汇总!$C$44),"")</f>
      </c>
      <c r="D44" s="176">
        <f>IFERROR(IF([2]筐子库存汇总!$D$44=0,"",[2]筐子库存汇总!$D$44),"")</f>
      </c>
      <c r="E44" s="207">
        <f>IFERROR(IF([2]筐子库存汇总!$E$44=0,"",[2]筐子库存汇总!$E$44),"")</f>
      </c>
      <c r="F44" s="176">
        <f>IFERROR(IF([2]筐子库存汇总!$F$44=0,"",[2]筐子库存汇总!$F$44),"")</f>
      </c>
      <c r="G44" s="176">
        <f>IFERROR(IF([2]筐子库存汇总!$G$44=0,"",[2]筐子库存汇总!$G$44),"")</f>
      </c>
      <c r="H44" s="176">
        <f>IFERROR(IF([2]筐子库存汇总!$H$44=0,"",[2]筐子库存汇总!$H$44),"")</f>
      </c>
      <c r="I44" s="176">
        <f>IFERROR(IF([2]筐子库存汇总!$I$44=0,"",[2]筐子库存汇总!$I$44),"")</f>
      </c>
      <c r="J44" s="176">
        <f>IFERROR(IF([2]筐子库存汇总!$J$44=0,"",[2]筐子库存汇总!$J$44),"")</f>
      </c>
      <c r="K44" s="176">
        <f>IFERROR(IF([2]筐子库存汇总!$K$44=0,"",[2]筐子库存汇总!$K$44),"")</f>
      </c>
      <c r="L44" s="176">
        <f>IFERROR(IF([2]筐子库存汇总!$L$44=0,"",[2]筐子库存汇总!$L$44),"")</f>
      </c>
      <c r="M44" s="16">
        <f>IFERROR(IF([2]筐子库存汇总!$M$44=0,"",[2]筐子库存汇总!$M$44),"")</f>
      </c>
    </row>
    <row r="45" s="127">
      <c r="A45" s="16">
        <f>IFERROR(IF([2]筐子库存汇总!$A$45=0,"",[2]筐子库存汇总!$A$45),"")</f>
      </c>
      <c r="B45" s="30">
        <f>IFERROR(IF([2]筐子库存汇总!$B$45=0,"",[2]筐子库存汇总!$B$45),"")</f>
      </c>
      <c r="C45" s="176">
        <f>IFERROR(IF([2]筐子库存汇总!$C$45=0,"",[2]筐子库存汇总!$C$45),"")</f>
      </c>
      <c r="D45" s="176">
        <f>IFERROR(IF([2]筐子库存汇总!$D$45=0,"",[2]筐子库存汇总!$D$45),"")</f>
      </c>
      <c r="E45" s="207">
        <f>IFERROR(IF([2]筐子库存汇总!$E$45=0,"",[2]筐子库存汇总!$E$45),"")</f>
      </c>
      <c r="F45" s="176">
        <f>IFERROR(IF([2]筐子库存汇总!$F$45=0,"",[2]筐子库存汇总!$F$45),"")</f>
      </c>
      <c r="G45" s="176">
        <f>IFERROR(IF([2]筐子库存汇总!$G$45=0,"",[2]筐子库存汇总!$G$45),"")</f>
      </c>
      <c r="H45" s="176">
        <f>IFERROR(IF([2]筐子库存汇总!$H$45=0,"",[2]筐子库存汇总!$H$45),"")</f>
      </c>
      <c r="I45" s="176">
        <f>IFERROR(IF([2]筐子库存汇总!$I$45=0,"",[2]筐子库存汇总!$I$45),"")</f>
      </c>
      <c r="J45" s="176">
        <f>IFERROR(IF([2]筐子库存汇总!$J$45=0,"",[2]筐子库存汇总!$J$45),"")</f>
      </c>
      <c r="K45" s="176">
        <f>IFERROR(IF([2]筐子库存汇总!$K$45=0,"",[2]筐子库存汇总!$K$45),"")</f>
      </c>
      <c r="L45" s="176">
        <f>IFERROR(IF([2]筐子库存汇总!$L$45=0,"",[2]筐子库存汇总!$L$45),"")</f>
      </c>
      <c r="M45" s="16">
        <f>IFERROR(IF([2]筐子库存汇总!$M$45=0,"",[2]筐子库存汇总!$M$45),"")</f>
      </c>
    </row>
    <row r="46" s="127">
      <c r="A46" s="16">
        <f>IFERROR(IF([2]筐子库存汇总!$A$46=0,"",[2]筐子库存汇总!$A$46),"")</f>
      </c>
      <c r="B46" s="30">
        <f>IFERROR(IF([2]筐子库存汇总!$B$46=0,"",[2]筐子库存汇总!$B$46),"")</f>
      </c>
      <c r="C46" s="176">
        <f>IFERROR(IF([2]筐子库存汇总!$C$46=0,"",[2]筐子库存汇总!$C$46),"")</f>
      </c>
      <c r="D46" s="176">
        <f>IFERROR(IF([2]筐子库存汇总!$D$46=0,"",[2]筐子库存汇总!$D$46),"")</f>
      </c>
      <c r="E46" s="207">
        <f>IFERROR(IF([2]筐子库存汇总!$E$46=0,"",[2]筐子库存汇总!$E$46),"")</f>
      </c>
      <c r="F46" s="176">
        <f>IFERROR(IF([2]筐子库存汇总!$F$46=0,"",[2]筐子库存汇总!$F$46),"")</f>
      </c>
      <c r="G46" s="176">
        <f>IFERROR(IF([2]筐子库存汇总!$G$46=0,"",[2]筐子库存汇总!$G$46),"")</f>
      </c>
      <c r="H46" s="176">
        <f>IFERROR(IF([2]筐子库存汇总!$H$46=0,"",[2]筐子库存汇总!$H$46),"")</f>
      </c>
      <c r="I46" s="176">
        <f>IFERROR(IF([2]筐子库存汇总!$I$46=0,"",[2]筐子库存汇总!$I$46),"")</f>
      </c>
      <c r="J46" s="176">
        <f>IFERROR(IF([2]筐子库存汇总!$J$46=0,"",[2]筐子库存汇总!$J$46),"")</f>
      </c>
      <c r="K46" s="176">
        <f>IFERROR(IF([2]筐子库存汇总!$K$46=0,"",[2]筐子库存汇总!$K$46),"")</f>
      </c>
      <c r="L46" s="176">
        <f>IFERROR(IF([2]筐子库存汇总!$L$46=0,"",[2]筐子库存汇总!$L$46),"")</f>
      </c>
      <c r="M46" s="16">
        <f>IFERROR(IF([2]筐子库存汇总!$M$46=0,"",[2]筐子库存汇总!$M$46),"")</f>
      </c>
    </row>
    <row r="47" s="127">
      <c r="A47" s="16">
        <f>IFERROR(IF([2]筐子库存汇总!$A$47=0,"",[2]筐子库存汇总!$A$47),"")</f>
      </c>
      <c r="B47" s="30">
        <f>IFERROR(IF([2]筐子库存汇总!$B$47=0,"",[2]筐子库存汇总!$B$47),"")</f>
      </c>
      <c r="C47" s="176">
        <f>IFERROR(IF([2]筐子库存汇总!$C$47=0,"",[2]筐子库存汇总!$C$47),"")</f>
      </c>
      <c r="D47" s="176">
        <f>IFERROR(IF([2]筐子库存汇总!$D$47=0,"",[2]筐子库存汇总!$D$47),"")</f>
      </c>
      <c r="E47" s="207">
        <f>IFERROR(IF([2]筐子库存汇总!$E$47=0,"",[2]筐子库存汇总!$E$47),"")</f>
      </c>
      <c r="F47" s="176">
        <f>IFERROR(IF([2]筐子库存汇总!$F$47=0,"",[2]筐子库存汇总!$F$47),"")</f>
      </c>
      <c r="G47" s="176">
        <f>IFERROR(IF([2]筐子库存汇总!$G$47=0,"",[2]筐子库存汇总!$G$47),"")</f>
      </c>
      <c r="H47" s="176">
        <f>IFERROR(IF([2]筐子库存汇总!$H$47=0,"",[2]筐子库存汇总!$H$47),"")</f>
      </c>
      <c r="I47" s="176">
        <f>IFERROR(IF([2]筐子库存汇总!$I$47=0,"",[2]筐子库存汇总!$I$47),"")</f>
      </c>
      <c r="J47" s="176">
        <f>IFERROR(IF([2]筐子库存汇总!$J$47=0,"",[2]筐子库存汇总!$J$47),"")</f>
      </c>
      <c r="K47" s="176">
        <f>IFERROR(IF([2]筐子库存汇总!$K$47=0,"",[2]筐子库存汇总!$K$47),"")</f>
      </c>
      <c r="L47" s="176">
        <f>IFERROR(IF([2]筐子库存汇总!$L$47=0,"",[2]筐子库存汇总!$L$47),"")</f>
      </c>
      <c r="M47" s="16">
        <f>IFERROR(IF([2]筐子库存汇总!$M$47=0,"",[2]筐子库存汇总!$M$47),"")</f>
      </c>
    </row>
    <row r="48" s="127">
      <c r="A48" s="16">
        <f>IFERROR(IF([2]筐子库存汇总!$A$48=0,"",[2]筐子库存汇总!$A$48),"")</f>
      </c>
      <c r="B48" s="30">
        <f>IFERROR(IF([2]筐子库存汇总!$B$48=0,"",[2]筐子库存汇总!$B$48),"")</f>
      </c>
      <c r="C48" s="176">
        <f>IFERROR(IF([2]筐子库存汇总!$C$48=0,"",[2]筐子库存汇总!$C$48),"")</f>
      </c>
      <c r="D48" s="176">
        <f>IFERROR(IF([2]筐子库存汇总!$D$48=0,"",[2]筐子库存汇总!$D$48),"")</f>
      </c>
      <c r="E48" s="207">
        <f>IFERROR(IF([2]筐子库存汇总!$E$48=0,"",[2]筐子库存汇总!$E$48),"")</f>
      </c>
      <c r="F48" s="176">
        <f>IFERROR(IF([2]筐子库存汇总!$F$48=0,"",[2]筐子库存汇总!$F$48),"")</f>
      </c>
      <c r="G48" s="176">
        <f>IFERROR(IF([2]筐子库存汇总!$G$48=0,"",[2]筐子库存汇总!$G$48),"")</f>
      </c>
      <c r="H48" s="176">
        <f>IFERROR(IF([2]筐子库存汇总!$H$48=0,"",[2]筐子库存汇总!$H$48),"")</f>
      </c>
      <c r="I48" s="176">
        <f>IFERROR(IF([2]筐子库存汇总!$I$48=0,"",[2]筐子库存汇总!$I$48),"")</f>
      </c>
      <c r="J48" s="176">
        <f>IFERROR(IF([2]筐子库存汇总!$J$48=0,"",[2]筐子库存汇总!$J$48),"")</f>
      </c>
      <c r="K48" s="176">
        <f>IFERROR(IF([2]筐子库存汇总!$K$48=0,"",[2]筐子库存汇总!$K$48),"")</f>
      </c>
      <c r="L48" s="176">
        <f>IFERROR(IF([2]筐子库存汇总!$L$48=0,"",[2]筐子库存汇总!$L$48),"")</f>
      </c>
      <c r="M48" s="16">
        <f>IFERROR(IF([2]筐子库存汇总!$M$48=0,"",[2]筐子库存汇总!$M$48),"")</f>
      </c>
    </row>
    <row r="49" s="127">
      <c r="A49" s="16">
        <f>IFERROR(IF([2]筐子库存汇总!$A$49=0,"",[2]筐子库存汇总!$A$49),"")</f>
      </c>
      <c r="B49" s="30">
        <f>IFERROR(IF([2]筐子库存汇总!$B$49=0,"",[2]筐子库存汇总!$B$49),"")</f>
      </c>
      <c r="C49" s="176">
        <f>IFERROR(IF([2]筐子库存汇总!$C$49=0,"",[2]筐子库存汇总!$C$49),"")</f>
      </c>
      <c r="D49" s="176">
        <f>IFERROR(IF([2]筐子库存汇总!$D$49=0,"",[2]筐子库存汇总!$D$49),"")</f>
      </c>
      <c r="E49" s="207">
        <f>IFERROR(IF([2]筐子库存汇总!$E$49=0,"",[2]筐子库存汇总!$E$49),"")</f>
      </c>
      <c r="F49" s="176">
        <f>IFERROR(IF([2]筐子库存汇总!$F$49=0,"",[2]筐子库存汇总!$F$49),"")</f>
      </c>
      <c r="G49" s="176">
        <f>IFERROR(IF([2]筐子库存汇总!$G$49=0,"",[2]筐子库存汇总!$G$49),"")</f>
      </c>
      <c r="H49" s="176">
        <f>IFERROR(IF([2]筐子库存汇总!$H$49=0,"",[2]筐子库存汇总!$H$49),"")</f>
      </c>
      <c r="I49" s="176">
        <f>IFERROR(IF([2]筐子库存汇总!$I$49=0,"",[2]筐子库存汇总!$I$49),"")</f>
      </c>
      <c r="J49" s="176">
        <f>IFERROR(IF([2]筐子库存汇总!$J$49=0,"",[2]筐子库存汇总!$J$49),"")</f>
      </c>
      <c r="K49" s="176">
        <f>IFERROR(IF([2]筐子库存汇总!$K$49=0,"",[2]筐子库存汇总!$K$49),"")</f>
      </c>
      <c r="L49" s="176">
        <f>IFERROR(IF([2]筐子库存汇总!$L$49=0,"",[2]筐子库存汇总!$L$49),"")</f>
      </c>
      <c r="M49" s="16">
        <f>IFERROR(IF([2]筐子库存汇总!$M$49=0,"",[2]筐子库存汇总!$M$49),"")</f>
      </c>
    </row>
    <row r="50" s="127">
      <c r="A50" s="16">
        <f>IFERROR(IF([2]筐子库存汇总!$A$50=0,"",[2]筐子库存汇总!$A$50),"")</f>
      </c>
      <c r="B50" s="30">
        <f>IFERROR(IF([2]筐子库存汇总!$B$50=0,"",[2]筐子库存汇总!$B$50),"")</f>
      </c>
      <c r="C50" s="176">
        <f>IFERROR(IF([2]筐子库存汇总!$C$50=0,"",[2]筐子库存汇总!$C$50),"")</f>
      </c>
      <c r="D50" s="176">
        <f>IFERROR(IF([2]筐子库存汇总!$D$50=0,"",[2]筐子库存汇总!$D$50),"")</f>
      </c>
      <c r="E50" s="207">
        <f>IFERROR(IF([2]筐子库存汇总!$E$50=0,"",[2]筐子库存汇总!$E$50),"")</f>
      </c>
      <c r="F50" s="176">
        <f>IFERROR(IF([2]筐子库存汇总!$F$50=0,"",[2]筐子库存汇总!$F$50),"")</f>
      </c>
      <c r="G50" s="176">
        <f>IFERROR(IF([2]筐子库存汇总!$G$50=0,"",[2]筐子库存汇总!$G$50),"")</f>
      </c>
      <c r="H50" s="176">
        <f>IFERROR(IF([2]筐子库存汇总!$H$50=0,"",[2]筐子库存汇总!$H$50),"")</f>
      </c>
      <c r="I50" s="176">
        <f>IFERROR(IF([2]筐子库存汇总!$I$50=0,"",[2]筐子库存汇总!$I$50),"")</f>
      </c>
      <c r="J50" s="176">
        <f>IFERROR(IF([2]筐子库存汇总!$J$50=0,"",[2]筐子库存汇总!$J$50),"")</f>
      </c>
      <c r="K50" s="176">
        <f>IFERROR(IF([2]筐子库存汇总!$K$50=0,"",[2]筐子库存汇总!$K$50),"")</f>
      </c>
      <c r="L50" s="176">
        <f>IFERROR(IF([2]筐子库存汇总!$L$50=0,"",[2]筐子库存汇总!$L$50),"")</f>
      </c>
      <c r="M50" s="16">
        <f>IFERROR(IF([2]筐子库存汇总!$M$50=0,"",[2]筐子库存汇总!$M$50),"")</f>
      </c>
    </row>
    <row r="51" s="127">
      <c r="A51" s="16">
        <f>IFERROR(IF([2]筐子库存汇总!$A$51=0,"",[2]筐子库存汇总!$A$51),"")</f>
      </c>
      <c r="B51" s="30">
        <f>IFERROR(IF([2]筐子库存汇总!$B$51=0,"",[2]筐子库存汇总!$B$51),"")</f>
      </c>
      <c r="C51" s="176">
        <f>IFERROR(IF([2]筐子库存汇总!$C$51=0,"",[2]筐子库存汇总!$C$51),"")</f>
      </c>
      <c r="D51" s="176">
        <f>IFERROR(IF([2]筐子库存汇总!$D$51=0,"",[2]筐子库存汇总!$D$51),"")</f>
      </c>
      <c r="E51" s="207">
        <f>IFERROR(IF([2]筐子库存汇总!$E$51=0,"",[2]筐子库存汇总!$E$51),"")</f>
      </c>
      <c r="F51" s="176">
        <f>IFERROR(IF([2]筐子库存汇总!$F$51=0,"",[2]筐子库存汇总!$F$51),"")</f>
      </c>
      <c r="G51" s="176">
        <f>IFERROR(IF([2]筐子库存汇总!$G$51=0,"",[2]筐子库存汇总!$G$51),"")</f>
      </c>
      <c r="H51" s="176">
        <f>IFERROR(IF([2]筐子库存汇总!$H$51=0,"",[2]筐子库存汇总!$H$51),"")</f>
      </c>
      <c r="I51" s="176">
        <f>IFERROR(IF([2]筐子库存汇总!$I$51=0,"",[2]筐子库存汇总!$I$51),"")</f>
      </c>
      <c r="J51" s="176">
        <f>IFERROR(IF([2]筐子库存汇总!$J$51=0,"",[2]筐子库存汇总!$J$51),"")</f>
      </c>
      <c r="K51" s="176">
        <f>IFERROR(IF([2]筐子库存汇总!$K$51=0,"",[2]筐子库存汇总!$K$51),"")</f>
      </c>
      <c r="L51" s="176">
        <f>IFERROR(IF([2]筐子库存汇总!$L$51=0,"",[2]筐子库存汇总!$L$51),"")</f>
      </c>
      <c r="M51" s="16">
        <f>IFERROR(IF([2]筐子库存汇总!$M$51=0,"",[2]筐子库存汇总!$M$51),"")</f>
      </c>
    </row>
    <row r="52" s="127">
      <c r="A52" s="16">
        <f>IFERROR(IF([2]筐子库存汇总!$A$52=0,"",[2]筐子库存汇总!$A$52),"")</f>
      </c>
      <c r="B52" s="30">
        <f>IFERROR(IF([2]筐子库存汇总!$B$52=0,"",[2]筐子库存汇总!$B$52),"")</f>
      </c>
      <c r="C52" s="176">
        <f>IFERROR(IF([2]筐子库存汇总!$C$52=0,"",[2]筐子库存汇总!$C$52),"")</f>
      </c>
      <c r="D52" s="176">
        <f>IFERROR(IF([2]筐子库存汇总!$D$52=0,"",[2]筐子库存汇总!$D$52),"")</f>
      </c>
      <c r="E52" s="207">
        <f>IFERROR(IF([2]筐子库存汇总!$E$52=0,"",[2]筐子库存汇总!$E$52),"")</f>
      </c>
      <c r="F52" s="176">
        <f>IFERROR(IF([2]筐子库存汇总!$F$52=0,"",[2]筐子库存汇总!$F$52),"")</f>
      </c>
      <c r="G52" s="176">
        <f>IFERROR(IF([2]筐子库存汇总!$G$52=0,"",[2]筐子库存汇总!$G$52),"")</f>
      </c>
      <c r="H52" s="176">
        <f>IFERROR(IF([2]筐子库存汇总!$H$52=0,"",[2]筐子库存汇总!$H$52),"")</f>
      </c>
      <c r="I52" s="176">
        <f>IFERROR(IF([2]筐子库存汇总!$I$52=0,"",[2]筐子库存汇总!$I$52),"")</f>
      </c>
      <c r="J52" s="176">
        <f>IFERROR(IF([2]筐子库存汇总!$J$52=0,"",[2]筐子库存汇总!$J$52),"")</f>
      </c>
      <c r="K52" s="176">
        <f>IFERROR(IF([2]筐子库存汇总!$K$52=0,"",[2]筐子库存汇总!$K$52),"")</f>
      </c>
      <c r="L52" s="176">
        <f>IFERROR(IF([2]筐子库存汇总!$L$52=0,"",[2]筐子库存汇总!$L$52),"")</f>
      </c>
      <c r="M52" s="16">
        <f>IFERROR(IF([2]筐子库存汇总!$M$52=0,"",[2]筐子库存汇总!$M$52),"")</f>
      </c>
    </row>
    <row r="53" s="127">
      <c r="A53" s="16">
        <f>IFERROR(IF([2]筐子库存汇总!$A$53=0,"",[2]筐子库存汇总!$A$53),"")</f>
      </c>
      <c r="B53" s="30">
        <f>IFERROR(IF([2]筐子库存汇总!$B$53=0,"",[2]筐子库存汇总!$B$53),"")</f>
      </c>
      <c r="C53" s="176">
        <f>IFERROR(IF([2]筐子库存汇总!$C$53=0,"",[2]筐子库存汇总!$C$53),"")</f>
      </c>
      <c r="D53" s="176">
        <f>IFERROR(IF([2]筐子库存汇总!$D$53=0,"",[2]筐子库存汇总!$D$53),"")</f>
      </c>
      <c r="E53" s="207">
        <f>IFERROR(IF([2]筐子库存汇总!$E$53=0,"",[2]筐子库存汇总!$E$53),"")</f>
      </c>
      <c r="F53" s="176">
        <f>IFERROR(IF([2]筐子库存汇总!$F$53=0,"",[2]筐子库存汇总!$F$53),"")</f>
      </c>
      <c r="G53" s="176">
        <f>IFERROR(IF([2]筐子库存汇总!$G$53=0,"",[2]筐子库存汇总!$G$53),"")</f>
      </c>
      <c r="H53" s="176">
        <f>IFERROR(IF([2]筐子库存汇总!$H$53=0,"",[2]筐子库存汇总!$H$53),"")</f>
      </c>
      <c r="I53" s="176">
        <f>IFERROR(IF([2]筐子库存汇总!$I$53=0,"",[2]筐子库存汇总!$I$53),"")</f>
      </c>
      <c r="J53" s="176">
        <f>IFERROR(IF([2]筐子库存汇总!$J$53=0,"",[2]筐子库存汇总!$J$53),"")</f>
      </c>
      <c r="K53" s="176">
        <f>IFERROR(IF([2]筐子库存汇总!$K$53=0,"",[2]筐子库存汇总!$K$53),"")</f>
      </c>
      <c r="L53" s="176">
        <f>IFERROR(IF([2]筐子库存汇总!$L$53=0,"",[2]筐子库存汇总!$L$53),"")</f>
      </c>
      <c r="M53" s="16">
        <f>IFERROR(IF([2]筐子库存汇总!$M$53=0,"",[2]筐子库存汇总!$M$53),"")</f>
      </c>
    </row>
    <row r="54" s="127">
      <c r="A54" s="16">
        <f>IFERROR(IF([2]筐子库存汇总!$A$54=0,"",[2]筐子库存汇总!$A$54),"")</f>
      </c>
      <c r="B54" s="30">
        <f>IFERROR(IF([2]筐子库存汇总!$B$54=0,"",[2]筐子库存汇总!$B$54),"")</f>
      </c>
      <c r="C54" s="176">
        <f>IFERROR(IF([2]筐子库存汇总!$C$54=0,"",[2]筐子库存汇总!$C$54),"")</f>
      </c>
      <c r="D54" s="176">
        <f>IFERROR(IF([2]筐子库存汇总!$D$54=0,"",[2]筐子库存汇总!$D$54),"")</f>
      </c>
      <c r="E54" s="207">
        <f>IFERROR(IF([2]筐子库存汇总!$E$54=0,"",[2]筐子库存汇总!$E$54),"")</f>
      </c>
      <c r="F54" s="176">
        <f>IFERROR(IF([2]筐子库存汇总!$F$54=0,"",[2]筐子库存汇总!$F$54),"")</f>
      </c>
      <c r="G54" s="176">
        <f>IFERROR(IF([2]筐子库存汇总!$G$54=0,"",[2]筐子库存汇总!$G$54),"")</f>
      </c>
      <c r="H54" s="176">
        <f>IFERROR(IF([2]筐子库存汇总!$H$54=0,"",[2]筐子库存汇总!$H$54),"")</f>
      </c>
      <c r="I54" s="176">
        <f>IFERROR(IF([2]筐子库存汇总!$I$54=0,"",[2]筐子库存汇总!$I$54),"")</f>
      </c>
      <c r="J54" s="176">
        <f>IFERROR(IF([2]筐子库存汇总!$J$54=0,"",[2]筐子库存汇总!$J$54),"")</f>
      </c>
      <c r="K54" s="176">
        <f>IFERROR(IF([2]筐子库存汇总!$K$54=0,"",[2]筐子库存汇总!$K$54),"")</f>
      </c>
      <c r="L54" s="176">
        <f>IFERROR(IF([2]筐子库存汇总!$L$54=0,"",[2]筐子库存汇总!$L$54),"")</f>
      </c>
      <c r="M54" s="16">
        <f>IFERROR(IF([2]筐子库存汇总!$M$54=0,"",[2]筐子库存汇总!$M$54),"")</f>
      </c>
    </row>
    <row r="55" s="127">
      <c r="A55" s="16">
        <f>IFERROR(IF([2]筐子库存汇总!$A$55=0,"",[2]筐子库存汇总!$A$55),"")</f>
      </c>
      <c r="B55" s="30">
        <f>IFERROR(IF([2]筐子库存汇总!$B$55=0,"",[2]筐子库存汇总!$B$55),"")</f>
      </c>
      <c r="C55" s="176">
        <f>IFERROR(IF([2]筐子库存汇总!$C$55=0,"",[2]筐子库存汇总!$C$55),"")</f>
      </c>
      <c r="D55" s="176">
        <f>IFERROR(IF([2]筐子库存汇总!$D$55=0,"",[2]筐子库存汇总!$D$55),"")</f>
      </c>
      <c r="E55" s="207">
        <f>IFERROR(IF([2]筐子库存汇总!$E$55=0,"",[2]筐子库存汇总!$E$55),"")</f>
      </c>
      <c r="F55" s="176">
        <f>IFERROR(IF([2]筐子库存汇总!$F$55=0,"",[2]筐子库存汇总!$F$55),"")</f>
      </c>
      <c r="G55" s="176">
        <f>IFERROR(IF([2]筐子库存汇总!$G$55=0,"",[2]筐子库存汇总!$G$55),"")</f>
      </c>
      <c r="H55" s="176">
        <f>IFERROR(IF([2]筐子库存汇总!$H$55=0,"",[2]筐子库存汇总!$H$55),"")</f>
      </c>
      <c r="I55" s="176">
        <f>IFERROR(IF([2]筐子库存汇总!$I$55=0,"",[2]筐子库存汇总!$I$55),"")</f>
      </c>
      <c r="J55" s="176">
        <f>IFERROR(IF([2]筐子库存汇总!$J$55=0,"",[2]筐子库存汇总!$J$55),"")</f>
      </c>
      <c r="K55" s="176">
        <f>IFERROR(IF([2]筐子库存汇总!$K$55=0,"",[2]筐子库存汇总!$K$55),"")</f>
      </c>
      <c r="L55" s="176">
        <f>IFERROR(IF([2]筐子库存汇总!$L$55=0,"",[2]筐子库存汇总!$L$55),"")</f>
      </c>
      <c r="M55" s="16">
        <f>IFERROR(IF([2]筐子库存汇总!$M$55=0,"",[2]筐子库存汇总!$M$55),"")</f>
      </c>
    </row>
    <row r="56" s="127">
      <c r="A56" s="16">
        <f>IFERROR(IF([2]筐子库存汇总!$A$56=0,"",[2]筐子库存汇总!$A$56),"")</f>
      </c>
      <c r="B56" s="30">
        <f>IFERROR(IF([2]筐子库存汇总!$B$56=0,"",[2]筐子库存汇总!$B$56),"")</f>
      </c>
      <c r="C56" s="176">
        <f>IFERROR(IF([2]筐子库存汇总!$C$56=0,"",[2]筐子库存汇总!$C$56),"")</f>
      </c>
      <c r="D56" s="176">
        <f>IFERROR(IF([2]筐子库存汇总!$D$56=0,"",[2]筐子库存汇总!$D$56),"")</f>
      </c>
      <c r="E56" s="207">
        <f>IFERROR(IF([2]筐子库存汇总!$E$56=0,"",[2]筐子库存汇总!$E$56),"")</f>
      </c>
      <c r="F56" s="176">
        <f>IFERROR(IF([2]筐子库存汇总!$F$56=0,"",[2]筐子库存汇总!$F$56),"")</f>
      </c>
      <c r="G56" s="176">
        <f>IFERROR(IF([2]筐子库存汇总!$G$56=0,"",[2]筐子库存汇总!$G$56),"")</f>
      </c>
      <c r="H56" s="176">
        <f>IFERROR(IF([2]筐子库存汇总!$H$56=0,"",[2]筐子库存汇总!$H$56),"")</f>
      </c>
      <c r="I56" s="176">
        <f>IFERROR(IF([2]筐子库存汇总!$I$56=0,"",[2]筐子库存汇总!$I$56),"")</f>
      </c>
      <c r="J56" s="176">
        <f>IFERROR(IF([2]筐子库存汇总!$J$56=0,"",[2]筐子库存汇总!$J$56),"")</f>
      </c>
      <c r="K56" s="176">
        <f>IFERROR(IF([2]筐子库存汇总!$K$56=0,"",[2]筐子库存汇总!$K$56),"")</f>
      </c>
      <c r="L56" s="176">
        <f>IFERROR(IF([2]筐子库存汇总!$L$56=0,"",[2]筐子库存汇总!$L$56),"")</f>
      </c>
      <c r="M56" s="16">
        <f>IFERROR(IF([2]筐子库存汇总!$M$56=0,"",[2]筐子库存汇总!$M$56),"")</f>
      </c>
    </row>
    <row r="57" s="127">
      <c r="A57" s="16">
        <f>IFERROR(IF([2]筐子库存汇总!$A$57=0,"",[2]筐子库存汇总!$A$57),"")</f>
      </c>
      <c r="B57" s="30">
        <f>IFERROR(IF([2]筐子库存汇总!$B$57=0,"",[2]筐子库存汇总!$B$57),"")</f>
      </c>
      <c r="C57" s="176">
        <f>IFERROR(IF([2]筐子库存汇总!$C$57=0,"",[2]筐子库存汇总!$C$57),"")</f>
      </c>
      <c r="D57" s="176">
        <f>IFERROR(IF([2]筐子库存汇总!$D$57=0,"",[2]筐子库存汇总!$D$57),"")</f>
      </c>
      <c r="E57" s="207">
        <f>IFERROR(IF([2]筐子库存汇总!$E$57=0,"",[2]筐子库存汇总!$E$57),"")</f>
      </c>
      <c r="F57" s="176">
        <f>IFERROR(IF([2]筐子库存汇总!$F$57=0,"",[2]筐子库存汇总!$F$57),"")</f>
      </c>
      <c r="G57" s="176">
        <f>IFERROR(IF([2]筐子库存汇总!$G$57=0,"",[2]筐子库存汇总!$G$57),"")</f>
      </c>
      <c r="H57" s="176">
        <f>IFERROR(IF([2]筐子库存汇总!$H$57=0,"",[2]筐子库存汇总!$H$57),"")</f>
      </c>
      <c r="I57" s="176">
        <f>IFERROR(IF([2]筐子库存汇总!$I$57=0,"",[2]筐子库存汇总!$I$57),"")</f>
      </c>
      <c r="J57" s="176">
        <f>IFERROR(IF([2]筐子库存汇总!$J$57=0,"",[2]筐子库存汇总!$J$57),"")</f>
      </c>
      <c r="K57" s="176">
        <f>IFERROR(IF([2]筐子库存汇总!$K$57=0,"",[2]筐子库存汇总!$K$57),"")</f>
      </c>
      <c r="L57" s="176">
        <f>IFERROR(IF([2]筐子库存汇总!$L$57=0,"",[2]筐子库存汇总!$L$57),"")</f>
      </c>
      <c r="M57" s="16">
        <f>IFERROR(IF([2]筐子库存汇总!$M$57=0,"",[2]筐子库存汇总!$M$57),"")</f>
      </c>
    </row>
    <row r="58" s="127">
      <c r="A58" s="16">
        <f>IFERROR(IF([2]筐子库存汇总!$A$58=0,"",[2]筐子库存汇总!$A$58),"")</f>
      </c>
      <c r="B58" s="30">
        <f>IFERROR(IF([2]筐子库存汇总!$B$58=0,"",[2]筐子库存汇总!$B$58),"")</f>
      </c>
      <c r="C58" s="176">
        <f>IFERROR(IF([2]筐子库存汇总!$C$58=0,"",[2]筐子库存汇总!$C$58),"")</f>
      </c>
      <c r="D58" s="176">
        <f>IFERROR(IF([2]筐子库存汇总!$D$58=0,"",[2]筐子库存汇总!$D$58),"")</f>
      </c>
      <c r="E58" s="207">
        <f>IFERROR(IF([2]筐子库存汇总!$E$58=0,"",[2]筐子库存汇总!$E$58),"")</f>
      </c>
      <c r="F58" s="176">
        <f>IFERROR(IF([2]筐子库存汇总!$F$58=0,"",[2]筐子库存汇总!$F$58),"")</f>
      </c>
      <c r="G58" s="176">
        <f>IFERROR(IF([2]筐子库存汇总!$G$58=0,"",[2]筐子库存汇总!$G$58),"")</f>
      </c>
      <c r="H58" s="176">
        <f>IFERROR(IF([2]筐子库存汇总!$H$58=0,"",[2]筐子库存汇总!$H$58),"")</f>
      </c>
      <c r="I58" s="176">
        <f>IFERROR(IF([2]筐子库存汇总!$I$58=0,"",[2]筐子库存汇总!$I$58),"")</f>
      </c>
      <c r="J58" s="176">
        <f>IFERROR(IF([2]筐子库存汇总!$J$58=0,"",[2]筐子库存汇总!$J$58),"")</f>
      </c>
      <c r="K58" s="176">
        <f>IFERROR(IF([2]筐子库存汇总!$K$58=0,"",[2]筐子库存汇总!$K$58),"")</f>
      </c>
      <c r="L58" s="176">
        <f>IFERROR(IF([2]筐子库存汇总!$L$58=0,"",[2]筐子库存汇总!$L$58),"")</f>
      </c>
      <c r="M58" s="16">
        <f>IFERROR(IF([2]筐子库存汇总!$M$58=0,"",[2]筐子库存汇总!$M$58),"")</f>
      </c>
    </row>
    <row r="59" s="127">
      <c r="A59" s="16">
        <f>IFERROR(IF([2]筐子库存汇总!$A$59=0,"",[2]筐子库存汇总!$A$59),"")</f>
      </c>
      <c r="B59" s="30">
        <f>IFERROR(IF([2]筐子库存汇总!$B$59=0,"",[2]筐子库存汇总!$B$59),"")</f>
      </c>
      <c r="C59" s="176">
        <f>IFERROR(IF([2]筐子库存汇总!$C$59=0,"",[2]筐子库存汇总!$C$59),"")</f>
      </c>
      <c r="D59" s="176">
        <f>IFERROR(IF([2]筐子库存汇总!$D$59=0,"",[2]筐子库存汇总!$D$59),"")</f>
      </c>
      <c r="E59" s="207">
        <f>IFERROR(IF([2]筐子库存汇总!$E$59=0,"",[2]筐子库存汇总!$E$59),"")</f>
      </c>
      <c r="F59" s="176">
        <f>IFERROR(IF([2]筐子库存汇总!$F$59=0,"",[2]筐子库存汇总!$F$59),"")</f>
      </c>
      <c r="G59" s="176">
        <f>IFERROR(IF([2]筐子库存汇总!$G$59=0,"",[2]筐子库存汇总!$G$59),"")</f>
      </c>
      <c r="H59" s="176">
        <f>IFERROR(IF([2]筐子库存汇总!$H$59=0,"",[2]筐子库存汇总!$H$59),"")</f>
      </c>
      <c r="I59" s="176">
        <f>IFERROR(IF([2]筐子库存汇总!$I$59=0,"",[2]筐子库存汇总!$I$59),"")</f>
      </c>
      <c r="J59" s="176">
        <f>IFERROR(IF([2]筐子库存汇总!$J$59=0,"",[2]筐子库存汇总!$J$59),"")</f>
      </c>
      <c r="K59" s="176">
        <f>IFERROR(IF([2]筐子库存汇总!$K$59=0,"",[2]筐子库存汇总!$K$59),"")</f>
      </c>
      <c r="L59" s="176">
        <f>IFERROR(IF([2]筐子库存汇总!$L$59=0,"",[2]筐子库存汇总!$L$59),"")</f>
      </c>
      <c r="M59" s="16">
        <f>IFERROR(IF([2]筐子库存汇总!$M$59=0,"",[2]筐子库存汇总!$M$59),"")</f>
      </c>
    </row>
    <row r="60" s="127">
      <c r="A60" s="16">
        <f>IFERROR(IF([2]筐子库存汇总!$A$60=0,"",[2]筐子库存汇总!$A$60),"")</f>
      </c>
      <c r="B60" s="30">
        <f>IFERROR(IF([2]筐子库存汇总!$B$60=0,"",[2]筐子库存汇总!$B$60),"")</f>
      </c>
      <c r="C60" s="176">
        <f>IFERROR(IF([2]筐子库存汇总!$C$60=0,"",[2]筐子库存汇总!$C$60),"")</f>
      </c>
      <c r="D60" s="176">
        <f>IFERROR(IF([2]筐子库存汇总!$D$60=0,"",[2]筐子库存汇总!$D$60),"")</f>
      </c>
      <c r="E60" s="207">
        <f>IFERROR(IF([2]筐子库存汇总!$E$60=0,"",[2]筐子库存汇总!$E$60),"")</f>
      </c>
      <c r="F60" s="176">
        <f>IFERROR(IF([2]筐子库存汇总!$F$60=0,"",[2]筐子库存汇总!$F$60),"")</f>
      </c>
      <c r="G60" s="176">
        <f>IFERROR(IF([2]筐子库存汇总!$G$60=0,"",[2]筐子库存汇总!$G$60),"")</f>
      </c>
      <c r="H60" s="176">
        <f>IFERROR(IF([2]筐子库存汇总!$H$60=0,"",[2]筐子库存汇总!$H$60),"")</f>
      </c>
      <c r="I60" s="176">
        <f>IFERROR(IF([2]筐子库存汇总!$I$60=0,"",[2]筐子库存汇总!$I$60),"")</f>
      </c>
      <c r="J60" s="176">
        <f>IFERROR(IF([2]筐子库存汇总!$J$60=0,"",[2]筐子库存汇总!$J$60),"")</f>
      </c>
      <c r="K60" s="176">
        <f>IFERROR(IF([2]筐子库存汇总!$K$60=0,"",[2]筐子库存汇总!$K$60),"")</f>
      </c>
      <c r="L60" s="176">
        <f>IFERROR(IF([2]筐子库存汇总!$L$60=0,"",[2]筐子库存汇总!$L$60),"")</f>
      </c>
      <c r="M60" s="16">
        <f>IFERROR(IF([2]筐子库存汇总!$M$60=0,"",[2]筐子库存汇总!$M$60),"")</f>
      </c>
    </row>
    <row r="61" s="127">
      <c r="A61" s="16">
        <f>IFERROR(IF([2]筐子库存汇总!$A$61=0,"",[2]筐子库存汇总!$A$61),"")</f>
      </c>
      <c r="B61" s="30">
        <f>IFERROR(IF([2]筐子库存汇总!$B$61=0,"",[2]筐子库存汇总!$B$61),"")</f>
      </c>
      <c r="C61" s="176">
        <f>IFERROR(IF([2]筐子库存汇总!$C$61=0,"",[2]筐子库存汇总!$C$61),"")</f>
      </c>
      <c r="D61" s="176">
        <f>IFERROR(IF([2]筐子库存汇总!$D$61=0,"",[2]筐子库存汇总!$D$61),"")</f>
      </c>
      <c r="E61" s="207">
        <f>IFERROR(IF([2]筐子库存汇总!$E$61=0,"",[2]筐子库存汇总!$E$61),"")</f>
      </c>
      <c r="F61" s="176">
        <f>IFERROR(IF([2]筐子库存汇总!$F$61=0,"",[2]筐子库存汇总!$F$61),"")</f>
      </c>
      <c r="G61" s="176">
        <f>IFERROR(IF([2]筐子库存汇总!$G$61=0,"",[2]筐子库存汇总!$G$61),"")</f>
      </c>
      <c r="H61" s="176">
        <f>IFERROR(IF([2]筐子库存汇总!$H$61=0,"",[2]筐子库存汇总!$H$61),"")</f>
      </c>
      <c r="I61" s="176">
        <f>IFERROR(IF([2]筐子库存汇总!$I$61=0,"",[2]筐子库存汇总!$I$61),"")</f>
      </c>
      <c r="J61" s="176">
        <f>IFERROR(IF([2]筐子库存汇总!$J$61=0,"",[2]筐子库存汇总!$J$61),"")</f>
      </c>
      <c r="K61" s="176">
        <f>IFERROR(IF([2]筐子库存汇总!$K$61=0,"",[2]筐子库存汇总!$K$61),"")</f>
      </c>
      <c r="L61" s="176">
        <f>IFERROR(IF([2]筐子库存汇总!$L$61=0,"",[2]筐子库存汇总!$L$61),"")</f>
      </c>
      <c r="M61" s="16">
        <f>IFERROR(IF([2]筐子库存汇总!$M$61=0,"",[2]筐子库存汇总!$M$61),"")</f>
      </c>
    </row>
    <row r="62" s="127">
      <c r="A62" s="16">
        <f>IFERROR(IF([2]筐子库存汇总!$A$62=0,"",[2]筐子库存汇总!$A$62),"")</f>
      </c>
      <c r="B62" s="30">
        <f>IFERROR(IF([2]筐子库存汇总!$B$62=0,"",[2]筐子库存汇总!$B$62),"")</f>
      </c>
      <c r="C62" s="176">
        <f>IFERROR(IF([2]筐子库存汇总!$C$62=0,"",[2]筐子库存汇总!$C$62),"")</f>
      </c>
      <c r="D62" s="176">
        <f>IFERROR(IF([2]筐子库存汇总!$D$62=0,"",[2]筐子库存汇总!$D$62),"")</f>
      </c>
      <c r="E62" s="207">
        <f>IFERROR(IF([2]筐子库存汇总!$E$62=0,"",[2]筐子库存汇总!$E$62),"")</f>
      </c>
      <c r="F62" s="176">
        <f>IFERROR(IF([2]筐子库存汇总!$F$62=0,"",[2]筐子库存汇总!$F$62),"")</f>
      </c>
      <c r="G62" s="176">
        <f>IFERROR(IF([2]筐子库存汇总!$G$62=0,"",[2]筐子库存汇总!$G$62),"")</f>
      </c>
      <c r="H62" s="176">
        <f>IFERROR(IF([2]筐子库存汇总!$H$62=0,"",[2]筐子库存汇总!$H$62),"")</f>
      </c>
      <c r="I62" s="176">
        <f>IFERROR(IF([2]筐子库存汇总!$I$62=0,"",[2]筐子库存汇总!$I$62),"")</f>
      </c>
      <c r="J62" s="176">
        <f>IFERROR(IF([2]筐子库存汇总!$J$62=0,"",[2]筐子库存汇总!$J$62),"")</f>
      </c>
      <c r="K62" s="176">
        <f>IFERROR(IF([2]筐子库存汇总!$K$62=0,"",[2]筐子库存汇总!$K$62),"")</f>
      </c>
      <c r="L62" s="176">
        <f>IFERROR(IF([2]筐子库存汇总!$L$62=0,"",[2]筐子库存汇总!$L$62),"")</f>
      </c>
      <c r="M62" s="16">
        <f>IFERROR(IF([2]筐子库存汇总!$M$62=0,"",[2]筐子库存汇总!$M$62),"")</f>
      </c>
    </row>
    <row r="63" s="127">
      <c r="A63" s="16">
        <f>IFERROR(IF([2]筐子库存汇总!$A$63=0,"",[2]筐子库存汇总!$A$63),"")</f>
      </c>
      <c r="B63" s="30">
        <f>IFERROR(IF([2]筐子库存汇总!$B$63=0,"",[2]筐子库存汇总!$B$63),"")</f>
      </c>
      <c r="C63" s="176">
        <f>IFERROR(IF([2]筐子库存汇总!$C$63=0,"",[2]筐子库存汇总!$C$63),"")</f>
      </c>
      <c r="D63" s="176">
        <f>IFERROR(IF([2]筐子库存汇总!$D$63=0,"",[2]筐子库存汇总!$D$63),"")</f>
      </c>
      <c r="E63" s="207">
        <f>IFERROR(IF([2]筐子库存汇总!$E$63=0,"",[2]筐子库存汇总!$E$63),"")</f>
      </c>
      <c r="F63" s="176">
        <f>IFERROR(IF([2]筐子库存汇总!$F$63=0,"",[2]筐子库存汇总!$F$63),"")</f>
      </c>
      <c r="G63" s="176">
        <f>IFERROR(IF([2]筐子库存汇总!$G$63=0,"",[2]筐子库存汇总!$G$63),"")</f>
      </c>
      <c r="H63" s="176">
        <f>IFERROR(IF([2]筐子库存汇总!$H$63=0,"",[2]筐子库存汇总!$H$63),"")</f>
      </c>
      <c r="I63" s="176">
        <f>IFERROR(IF([2]筐子库存汇总!$I$63=0,"",[2]筐子库存汇总!$I$63),"")</f>
      </c>
      <c r="J63" s="176">
        <f>IFERROR(IF([2]筐子库存汇总!$J$63=0,"",[2]筐子库存汇总!$J$63),"")</f>
      </c>
      <c r="K63" s="176">
        <f>IFERROR(IF([2]筐子库存汇总!$K$63=0,"",[2]筐子库存汇总!$K$63),"")</f>
      </c>
      <c r="L63" s="176">
        <f>IFERROR(IF([2]筐子库存汇总!$L$63=0,"",[2]筐子库存汇总!$L$63),"")</f>
      </c>
      <c r="M63" s="16">
        <f>IFERROR(IF([2]筐子库存汇总!$M$63=0,"",[2]筐子库存汇总!$M$63),"")</f>
      </c>
    </row>
    <row r="64" s="127">
      <c r="A64" s="32" t="n"/>
      <c r="B64" s="27" t="inlineStr">
        <is>
          <t>合计</t>
        </is>
      </c>
      <c r="C64" s="208">
        <f>ROUND(SUM(C4:C63),2)</f>
        <v>177768</v>
      </c>
      <c r="D64" s="208">
        <f>ROUND(SUM(D4:D63),2)</f>
        <v>45426</v>
      </c>
      <c r="E64" s="209">
        <f>ROUND(SUM(E4:E63),2)</f>
        <v>2857</v>
      </c>
      <c r="F64" s="208">
        <f>ROUND(SUM(F4:F63),2)</f>
        <v>68225</v>
      </c>
      <c r="G64" s="208">
        <f>ROUND(SUM(G4:G63),2)</f>
        <v>49</v>
      </c>
      <c r="H64" s="208">
        <f>ROUND(SUM(H4:H63),2)</f>
        <v>0</v>
      </c>
      <c r="I64" s="208">
        <f>ROUND(SUM(I4:I63),2)</f>
        <v>157777</v>
      </c>
      <c r="J64" s="208">
        <f>ROUND(SUM(J4:J63),2)</f>
        <v>65368</v>
      </c>
      <c r="K64" s="208">
        <f>ROUND(SUM(K4:K63),2)</f>
        <v>-55970</v>
      </c>
      <c r="L64" s="208">
        <f>ROUND(SUM(L4:L63),2)</f>
        <v>167175</v>
      </c>
      <c r="M64" s="27" t="n"/>
    </row>
  </sheetData>
  <mergeCells count="2">
    <mergeCell ref="A2:M2"/>
    <mergeCell ref="A1:M1"/>
  </mergeCells>
  <conditionalFormatting sqref="A2">
    <cfRule type="expression" priority="2" dxfId="0">
      <formula>N(对接源_02物料!$R$4)=0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/>
  </sheetPr>
  <dimension ref="A1:L254"/>
  <sheetViews>
    <sheetView showGridLines="0" tabSelected="1"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H24" sqref="H24"/>
    </sheetView>
  </sheetViews>
  <sheetFormatPr baseColWidth="8" defaultColWidth="9" defaultRowHeight="13.5"/>
  <cols>
    <col width="5" customWidth="1" style="8" min="1" max="1"/>
    <col width="16" customWidth="1" style="8" min="2" max="2"/>
    <col width="14" customWidth="1" style="8" min="3" max="10"/>
    <col width="12" customWidth="1" style="8" min="11" max="11"/>
    <col width="16" customWidth="1" style="8" min="12" max="12"/>
    <col width="9" customWidth="1" style="8" min="13" max="16384"/>
  </cols>
  <sheetData>
    <row r="1" ht="30" customHeight="1" s="127">
      <c r="A1" s="9" t="inlineStr">
        <is>
          <t>应 收 应 付 汇 总（按往来单位 · 两册业务合并 · 全自动）</t>
        </is>
      </c>
    </row>
    <row r="2" ht="18" customHeight="1" s="127">
      <c r="A2" s="25" t="str">
        <f>IF(N(MAX(_自动清单!$C$4:$C$2403))&gt;250,"★★ 注意：往来单位已有 "&amp;N(MAX(_自动清单!$C$4:$C$2403))&amp;" 个，超过本表 250 个的显示上限，请选中最后一行整行下拉复制扩表（汇总公式范围也要一起改）","★ 全自动：往来单位由 01、02 两册的明细自动去重生成。金额口径与【综合对账单】一致，不受日期限制（是全期累计）。要看某一段时间的，请用【综合对账单】　【往来单位 "&amp;N(MAX(_自动清单!$C$4:$C$2403))&amp;"/250】")</f>
        <v>★ 全自动：往来单位由 01、02 两册的明细自动去重生成。金额口径与【综合对账单】一致，不受日期限制（是全期累计）。要看某一段时间的，请用【综合对账单】　【往来单位 26/250】</v>
      </c>
    </row>
    <row r="3" ht="30" customHeight="1" s="127">
      <c r="A3" s="13" t="inlineStr">
        <is>
          <t>序号</t>
        </is>
      </c>
      <c r="B3" s="13" t="inlineStr">
        <is>
          <t>往来单位</t>
        </is>
      </c>
      <c r="C3" s="13" t="inlineStr">
        <is>
          <t>水果成品出库</t>
        </is>
      </c>
      <c r="D3" s="13" t="inlineStr">
        <is>
          <t>其他代存</t>
        </is>
      </c>
      <c r="E3" s="13" t="inlineStr">
        <is>
          <t>包装物料</t>
        </is>
      </c>
      <c r="F3" s="13" t="inlineStr">
        <is>
          <t>周转筐</t>
        </is>
      </c>
      <c r="G3" s="13" t="inlineStr">
        <is>
          <t>次果筐/托盘</t>
        </is>
      </c>
      <c r="H3" s="13" t="inlineStr">
        <is>
          <t>业务金额合计</t>
        </is>
      </c>
      <c r="I3" s="13" t="inlineStr">
        <is>
          <t>已收/已付</t>
        </is>
      </c>
      <c r="J3" s="13" t="inlineStr">
        <is>
          <t>未收/未付</t>
        </is>
      </c>
      <c r="K3" s="13" t="inlineStr">
        <is>
          <t>欠款方向</t>
        </is>
      </c>
      <c r="L3" s="13" t="inlineStr">
        <is>
          <t>备注</t>
        </is>
      </c>
    </row>
    <row r="4" s="127">
      <c r="A4" s="16">
        <f>IF($B4="","",ROW()-3)</f>
        <v>1</v>
      </c>
      <c r="B4" s="11" t="str">
        <f>IFERROR(INDEX(_自动清单!$E$4:$E$303,ROW()-3),"")</f>
        <v>聂新平</v>
      </c>
      <c r="C4" s="177">
        <f>IF($B4="","",ROUND(SUMIFS(对接源_01水果!$K$4:$K$1203,对接源_01水果!$C$4:$C$1203,$B4,对接源_01水果!$D$4:$D$1203,"成品出库*"),2))</f>
        <v>0</v>
      </c>
      <c r="D4" s="177">
        <f>IF($B4="","",ROUND(SUMIFS(对接源_01水果!$K$4:$K$1203,对接源_01水果!$C$4:$C$1203,$B4,对接源_01水果!$D$4:$D$1203,"其他代存*"),2))</f>
        <v>0</v>
      </c>
      <c r="E4" s="177">
        <f>IF($B4="","",ROUND(SUMIFS(对接源_02物料!$K$4:$K$1203,对接源_02物料!$C$4:$C$1203,$B4,对接源_02物料!$D$4:$D$1203,"包装物料*"),2))</f>
        <v>0</v>
      </c>
      <c r="F4" s="177">
        <f>IF($B4="","",ROUND(SUMIFS(对接源_02物料!$K$4:$K$1203,对接源_02物料!$C$4:$C$1203,$B4,对接源_02物料!$D$4:$D$1203,"周转筐*"),2))</f>
        <v>0</v>
      </c>
      <c r="G4" s="177">
        <f>IF($B4="","",ROUND(SUMIFS(对接源_02物料!$K$4:$K$1203,对接源_02物料!$C$4:$C$1203,$B4,对接源_02物料!$D$4:$D$1203,"次果筐*"),2))</f>
        <v>0</v>
      </c>
      <c r="H4" s="177">
        <f>IF($B4="","",ROUND(SUM($C4:$G4),2))</f>
        <v>0</v>
      </c>
      <c r="I4" s="177">
        <f>IF($B4="","",ROUND(SUMIFS(对接源_01水果!$K$4:$K$1203,对接源_01水果!$C$4:$C$1203,$B4,对接源_01水果!$D$4:$D$1203,"成品出库*",对接源_01水果!$L$4:$L$1203,"已收讫")+SUMIFS(对接源_01水果!$K$4:$K$1203,对接源_01水果!$C$4:$C$1203,$B4,对接源_01水果!$D$4:$D$1203,"成品出库*",对接源_01水果!$L$4:$L$1203,"已付款")+SUMIFS(对接源_01水果!$K$4:$K$1203,对接源_01水果!$C$4:$C$1203,$B4,对接源_01水果!$D$4:$D$1203,"其他代存*",对接源_01水果!$L$4:$L$1203,"已收讫")+SUMIFS(对接源_01水果!$K$4:$K$1203,对接源_01水果!$C$4:$C$1203,$B4,对接源_01水果!$D$4:$D$1203,"其他代存*",对接源_01水果!$L$4:$L$1203,"已付款")+SUMIFS(对接源_02物料!$K$4:$K$1203,对接源_02物料!$C$4:$C$1203,$B4,对接源_02物料!$D$4:$D$1203,"包装物料*",对接源_02物料!$L$4:$L$1203,"已收讫")+SUMIFS(对接源_02物料!$K$4:$K$1203,对接源_02物料!$C$4:$C$1203,$B4,对接源_02物料!$D$4:$D$1203,"包装物料*",对接源_02物料!$L$4:$L$1203,"已付款")+SUMIFS(对接源_02物料!$K$4:$K$1203,对接源_02物料!$C$4:$C$1203,$B4,对接源_02物料!$D$4:$D$1203,"周转筐*",对接源_02物料!$L$4:$L$1203,"已收讫")+SUMIFS(对接源_02物料!$K$4:$K$1203,对接源_02物料!$C$4:$C$1203,$B4,对接源_02物料!$D$4:$D$1203,"周转筐*",对接源_02物料!$L$4:$L$1203,"已付款")+SUMIFS(对接源_02物料!$K$4:$K$1203,对接源_02物料!$C$4:$C$1203,$B4,对接源_02物料!$D$4:$D$1203,"次果筐*",对接源_02物料!$L$4:$L$1203,"已收讫")+SUMIFS(对接源_02物料!$K$4:$K$1203,对接源_02物料!$C$4:$C$1203,$B4,对接源_02物料!$D$4:$D$1203,"次果筐*",对接源_02物料!$L$4:$L$1203,"已付款"),2))</f>
        <v>0</v>
      </c>
      <c r="J4" s="177">
        <f>IF($B4="","",ROUND(N($H4)-N($I4),2))</f>
        <v>0</v>
      </c>
      <c r="K4" s="16" t="str">
        <f>IF($B4="","",IF(ROUND(N($J4),2)&gt;0,"对方欠款",IF(ROUND(N($J4),2)&lt;0,"我方欠款","已两清")))</f>
        <v>已两清</v>
      </c>
      <c r="L4" s="26" t="n"/>
    </row>
    <row r="5" s="127">
      <c r="A5" s="16">
        <f>IF($B5="","",ROW()-3)</f>
        <v>2</v>
      </c>
      <c r="B5" s="11" t="str">
        <f>IFERROR(INDEX(_自动清单!$E$4:$E$303,ROW()-3),"")</f>
        <v>王照雪</v>
      </c>
      <c r="C5" s="177">
        <f>IF($B5="","",ROUND(SUMIFS(对接源_01水果!$K$4:$K$1203,对接源_01水果!$C$4:$C$1203,$B5,对接源_01水果!$D$4:$D$1203,"成品出库*"),2))</f>
        <v>400</v>
      </c>
      <c r="D5" s="177">
        <f>IF($B5="","",ROUND(SUMIFS(对接源_01水果!$K$4:$K$1203,对接源_01水果!$C$4:$C$1203,$B5,对接源_01水果!$D$4:$D$1203,"其他代存*"),2))</f>
        <v>0</v>
      </c>
      <c r="E5" s="177">
        <f>IF($B5="","",ROUND(SUMIFS(对接源_02物料!$K$4:$K$1203,对接源_02物料!$C$4:$C$1203,$B5,对接源_02物料!$D$4:$D$1203,"包装物料*"),2))</f>
        <v>0</v>
      </c>
      <c r="F5" s="177">
        <f>IF($B5="","",ROUND(SUMIFS(对接源_02物料!$K$4:$K$1203,对接源_02物料!$C$4:$C$1203,$B5,对接源_02物料!$D$4:$D$1203,"周转筐*"),2))</f>
        <v>0</v>
      </c>
      <c r="G5" s="177">
        <f>IF($B5="","",ROUND(SUMIFS(对接源_02物料!$K$4:$K$1203,对接源_02物料!$C$4:$C$1203,$B5,对接源_02物料!$D$4:$D$1203,"次果筐*"),2))</f>
        <v>500</v>
      </c>
      <c r="H5" s="177">
        <f>IF($B5="","",ROUND(SUM($C5:$G5),2))</f>
        <v>900</v>
      </c>
      <c r="I5" s="177">
        <f>IF($B5="","",ROUND(SUMIFS(对接源_01水果!$K$4:$K$1203,对接源_01水果!$C$4:$C$1203,$B5,对接源_01水果!$D$4:$D$1203,"成品出库*",对接源_01水果!$L$4:$L$1203,"已收讫")+SUMIFS(对接源_01水果!$K$4:$K$1203,对接源_01水果!$C$4:$C$1203,$B5,对接源_01水果!$D$4:$D$1203,"成品出库*",对接源_01水果!$L$4:$L$1203,"已付款")+SUMIFS(对接源_01水果!$K$4:$K$1203,对接源_01水果!$C$4:$C$1203,$B5,对接源_01水果!$D$4:$D$1203,"其他代存*",对接源_01水果!$L$4:$L$1203,"已收讫")+SUMIFS(对接源_01水果!$K$4:$K$1203,对接源_01水果!$C$4:$C$1203,$B5,对接源_01水果!$D$4:$D$1203,"其他代存*",对接源_01水果!$L$4:$L$1203,"已付款")+SUMIFS(对接源_02物料!$K$4:$K$1203,对接源_02物料!$C$4:$C$1203,$B5,对接源_02物料!$D$4:$D$1203,"包装物料*",对接源_02物料!$L$4:$L$1203,"已收讫")+SUMIFS(对接源_02物料!$K$4:$K$1203,对接源_02物料!$C$4:$C$1203,$B5,对接源_02物料!$D$4:$D$1203,"包装物料*",对接源_02物料!$L$4:$L$1203,"已付款")+SUMIFS(对接源_02物料!$K$4:$K$1203,对接源_02物料!$C$4:$C$1203,$B5,对接源_02物料!$D$4:$D$1203,"周转筐*",对接源_02物料!$L$4:$L$1203,"已收讫")+SUMIFS(对接源_02物料!$K$4:$K$1203,对接源_02物料!$C$4:$C$1203,$B5,对接源_02物料!$D$4:$D$1203,"周转筐*",对接源_02物料!$L$4:$L$1203,"已付款")+SUMIFS(对接源_02物料!$K$4:$K$1203,对接源_02物料!$C$4:$C$1203,$B5,对接源_02物料!$D$4:$D$1203,"次果筐*",对接源_02物料!$L$4:$L$1203,"已收讫")+SUMIFS(对接源_02物料!$K$4:$K$1203,对接源_02物料!$C$4:$C$1203,$B5,对接源_02物料!$D$4:$D$1203,"次果筐*",对接源_02物料!$L$4:$L$1203,"已付款"),2))</f>
        <v>25</v>
      </c>
      <c r="J5" s="177">
        <f>IF($B5="","",ROUND(N($H5)-N($I5),2))</f>
        <v>875</v>
      </c>
      <c r="K5" s="16" t="str">
        <f>IF($B5="","",IF(ROUND(N($J5),2)&gt;0,"对方欠款",IF(ROUND(N($J5),2)&lt;0,"我方欠款","已两清")))</f>
        <v>对方欠款</v>
      </c>
      <c r="L5" s="26" t="n"/>
    </row>
    <row r="6" s="127">
      <c r="A6" s="16">
        <f>IF($B6="","",ROW()-3)</f>
        <v>3</v>
      </c>
      <c r="B6" s="11" t="str">
        <f>IFERROR(INDEX(_自动清单!$E$4:$E$303,ROW()-3),"")</f>
        <v>伍元虎</v>
      </c>
      <c r="C6" s="177">
        <f>IF($B6="","",ROUND(SUMIFS(对接源_01水果!$K$4:$K$1203,对接源_01水果!$C$4:$C$1203,$B6,对接源_01水果!$D$4:$D$1203,"成品出库*"),2))</f>
        <v>0</v>
      </c>
      <c r="D6" s="177">
        <f>IF($B6="","",ROUND(SUMIFS(对接源_01水果!$K$4:$K$1203,对接源_01水果!$C$4:$C$1203,$B6,对接源_01水果!$D$4:$D$1203,"其他代存*"),2))</f>
        <v>0</v>
      </c>
      <c r="E6" s="177">
        <f>IF($B6="","",ROUND(SUMIFS(对接源_02物料!$K$4:$K$1203,对接源_02物料!$C$4:$C$1203,$B6,对接源_02物料!$D$4:$D$1203,"包装物料*"),2))</f>
        <v>0</v>
      </c>
      <c r="F6" s="177">
        <f>IF($B6="","",ROUND(SUMIFS(对接源_02物料!$K$4:$K$1203,对接源_02物料!$C$4:$C$1203,$B6,对接源_02物料!$D$4:$D$1203,"周转筐*"),2))</f>
        <v>0</v>
      </c>
      <c r="G6" s="177">
        <f>IF($B6="","",ROUND(SUMIFS(对接源_02物料!$K$4:$K$1203,对接源_02物料!$C$4:$C$1203,$B6,对接源_02物料!$D$4:$D$1203,"次果筐*"),2))</f>
        <v>0</v>
      </c>
      <c r="H6" s="177">
        <f>IF($B6="","",ROUND(SUM($C6:$G6),2))</f>
        <v>0</v>
      </c>
      <c r="I6" s="177">
        <f>IF($B6="","",ROUND(SUMIFS(对接源_01水果!$K$4:$K$1203,对接源_01水果!$C$4:$C$1203,$B6,对接源_01水果!$D$4:$D$1203,"成品出库*",对接源_01水果!$L$4:$L$1203,"已收讫")+SUMIFS(对接源_01水果!$K$4:$K$1203,对接源_01水果!$C$4:$C$1203,$B6,对接源_01水果!$D$4:$D$1203,"成品出库*",对接源_01水果!$L$4:$L$1203,"已付款")+SUMIFS(对接源_01水果!$K$4:$K$1203,对接源_01水果!$C$4:$C$1203,$B6,对接源_01水果!$D$4:$D$1203,"其他代存*",对接源_01水果!$L$4:$L$1203,"已收讫")+SUMIFS(对接源_01水果!$K$4:$K$1203,对接源_01水果!$C$4:$C$1203,$B6,对接源_01水果!$D$4:$D$1203,"其他代存*",对接源_01水果!$L$4:$L$1203,"已付款")+SUMIFS(对接源_02物料!$K$4:$K$1203,对接源_02物料!$C$4:$C$1203,$B6,对接源_02物料!$D$4:$D$1203,"包装物料*",对接源_02物料!$L$4:$L$1203,"已收讫")+SUMIFS(对接源_02物料!$K$4:$K$1203,对接源_02物料!$C$4:$C$1203,$B6,对接源_02物料!$D$4:$D$1203,"包装物料*",对接源_02物料!$L$4:$L$1203,"已付款")+SUMIFS(对接源_02物料!$K$4:$K$1203,对接源_02物料!$C$4:$C$1203,$B6,对接源_02物料!$D$4:$D$1203,"周转筐*",对接源_02物料!$L$4:$L$1203,"已收讫")+SUMIFS(对接源_02物料!$K$4:$K$1203,对接源_02物料!$C$4:$C$1203,$B6,对接源_02物料!$D$4:$D$1203,"周转筐*",对接源_02物料!$L$4:$L$1203,"已付款")+SUMIFS(对接源_02物料!$K$4:$K$1203,对接源_02物料!$C$4:$C$1203,$B6,对接源_02物料!$D$4:$D$1203,"次果筐*",对接源_02物料!$L$4:$L$1203,"已收讫")+SUMIFS(对接源_02物料!$K$4:$K$1203,对接源_02物料!$C$4:$C$1203,$B6,对接源_02物料!$D$4:$D$1203,"次果筐*",对接源_02物料!$L$4:$L$1203,"已付款"),2))</f>
        <v>0</v>
      </c>
      <c r="J6" s="177">
        <f>IF($B6="","",ROUND(N($H6)-N($I6),2))</f>
        <v>0</v>
      </c>
      <c r="K6" s="16" t="str">
        <f>IF($B6="","",IF(ROUND(N($J6),2)&gt;0,"对方欠款",IF(ROUND(N($J6),2)&lt;0,"我方欠款","已两清")))</f>
        <v>已两清</v>
      </c>
      <c r="L6" s="26" t="n"/>
    </row>
    <row r="7" s="127">
      <c r="A7" s="16">
        <f>IF($B7="","",ROW()-3)</f>
        <v>4</v>
      </c>
      <c r="B7" s="11" t="str">
        <f>IFERROR(INDEX(_自动清单!$E$4:$E$303,ROW()-3),"")</f>
        <v>马锦祥</v>
      </c>
      <c r="C7" s="177">
        <f>IF($B7="","",ROUND(SUMIFS(对接源_01水果!$K$4:$K$1203,对接源_01水果!$C$4:$C$1203,$B7,对接源_01水果!$D$4:$D$1203,"成品出库*"),2))</f>
        <v>0</v>
      </c>
      <c r="D7" s="177">
        <f>IF($B7="","",ROUND(SUMIFS(对接源_01水果!$K$4:$K$1203,对接源_01水果!$C$4:$C$1203,$B7,对接源_01水果!$D$4:$D$1203,"其他代存*"),2))</f>
        <v>0</v>
      </c>
      <c r="E7" s="177">
        <f>IF($B7="","",ROUND(SUMIFS(对接源_02物料!$K$4:$K$1203,对接源_02物料!$C$4:$C$1203,$B7,对接源_02物料!$D$4:$D$1203,"包装物料*"),2))</f>
        <v>0</v>
      </c>
      <c r="F7" s="177">
        <f>IF($B7="","",ROUND(SUMIFS(对接源_02物料!$K$4:$K$1203,对接源_02物料!$C$4:$C$1203,$B7,对接源_02物料!$D$4:$D$1203,"周转筐*"),2))</f>
        <v>0</v>
      </c>
      <c r="G7" s="177">
        <f>IF($B7="","",ROUND(SUMIFS(对接源_02物料!$K$4:$K$1203,对接源_02物料!$C$4:$C$1203,$B7,对接源_02物料!$D$4:$D$1203,"次果筐*"),2))</f>
        <v>0</v>
      </c>
      <c r="H7" s="177">
        <f>IF($B7="","",ROUND(SUM($C7:$G7),2))</f>
        <v>0</v>
      </c>
      <c r="I7" s="177">
        <f>IF($B7="","",ROUND(SUMIFS(对接源_01水果!$K$4:$K$1203,对接源_01水果!$C$4:$C$1203,$B7,对接源_01水果!$D$4:$D$1203,"成品出库*",对接源_01水果!$L$4:$L$1203,"已收讫")+SUMIFS(对接源_01水果!$K$4:$K$1203,对接源_01水果!$C$4:$C$1203,$B7,对接源_01水果!$D$4:$D$1203,"成品出库*",对接源_01水果!$L$4:$L$1203,"已付款")+SUMIFS(对接源_01水果!$K$4:$K$1203,对接源_01水果!$C$4:$C$1203,$B7,对接源_01水果!$D$4:$D$1203,"其他代存*",对接源_01水果!$L$4:$L$1203,"已收讫")+SUMIFS(对接源_01水果!$K$4:$K$1203,对接源_01水果!$C$4:$C$1203,$B7,对接源_01水果!$D$4:$D$1203,"其他代存*",对接源_01水果!$L$4:$L$1203,"已付款")+SUMIFS(对接源_02物料!$K$4:$K$1203,对接源_02物料!$C$4:$C$1203,$B7,对接源_02物料!$D$4:$D$1203,"包装物料*",对接源_02物料!$L$4:$L$1203,"已收讫")+SUMIFS(对接源_02物料!$K$4:$K$1203,对接源_02物料!$C$4:$C$1203,$B7,对接源_02物料!$D$4:$D$1203,"包装物料*",对接源_02物料!$L$4:$L$1203,"已付款")+SUMIFS(对接源_02物料!$K$4:$K$1203,对接源_02物料!$C$4:$C$1203,$B7,对接源_02物料!$D$4:$D$1203,"周转筐*",对接源_02物料!$L$4:$L$1203,"已收讫")+SUMIFS(对接源_02物料!$K$4:$K$1203,对接源_02物料!$C$4:$C$1203,$B7,对接源_02物料!$D$4:$D$1203,"周转筐*",对接源_02物料!$L$4:$L$1203,"已付款")+SUMIFS(对接源_02物料!$K$4:$K$1203,对接源_02物料!$C$4:$C$1203,$B7,对接源_02物料!$D$4:$D$1203,"次果筐*",对接源_02物料!$L$4:$L$1203,"已收讫")+SUMIFS(对接源_02物料!$K$4:$K$1203,对接源_02物料!$C$4:$C$1203,$B7,对接源_02物料!$D$4:$D$1203,"次果筐*",对接源_02物料!$L$4:$L$1203,"已付款"),2))</f>
        <v>0</v>
      </c>
      <c r="J7" s="177">
        <f>IF($B7="","",ROUND(N($H7)-N($I7),2))</f>
        <v>0</v>
      </c>
      <c r="K7" s="16" t="str">
        <f>IF($B7="","",IF(ROUND(N($J7),2)&gt;0,"对方欠款",IF(ROUND(N($J7),2)&lt;0,"我方欠款","已两清")))</f>
        <v>已两清</v>
      </c>
      <c r="L7" s="26" t="n"/>
    </row>
    <row r="8" s="127">
      <c r="A8" s="16">
        <f>IF($B8="","",ROW()-3)</f>
        <v>5</v>
      </c>
      <c r="B8" s="11" t="str">
        <f>IFERROR(INDEX(_自动清单!$E$4:$E$303,ROW()-3),"")</f>
        <v>麦麦提</v>
      </c>
      <c r="C8" s="177">
        <f>IF($B8="","",ROUND(SUMIFS(对接源_01水果!$K$4:$K$1203,对接源_01水果!$C$4:$C$1203,$B8,对接源_01水果!$D$4:$D$1203,"成品出库*"),2))</f>
        <v>0</v>
      </c>
      <c r="D8" s="177">
        <f>IF($B8="","",ROUND(SUMIFS(对接源_01水果!$K$4:$K$1203,对接源_01水果!$C$4:$C$1203,$B8,对接源_01水果!$D$4:$D$1203,"其他代存*"),2))</f>
        <v>0</v>
      </c>
      <c r="E8" s="177">
        <f>IF($B8="","",ROUND(SUMIFS(对接源_02物料!$K$4:$K$1203,对接源_02物料!$C$4:$C$1203,$B8,对接源_02物料!$D$4:$D$1203,"包装物料*"),2))</f>
        <v>16836</v>
      </c>
      <c r="F8" s="177">
        <f>IF($B8="","",ROUND(SUMIFS(对接源_02物料!$K$4:$K$1203,对接源_02物料!$C$4:$C$1203,$B8,对接源_02物料!$D$4:$D$1203,"周转筐*"),2))</f>
        <v>0</v>
      </c>
      <c r="G8" s="177">
        <f>IF($B8="","",ROUND(SUMIFS(对接源_02物料!$K$4:$K$1203,对接源_02物料!$C$4:$C$1203,$B8,对接源_02物料!$D$4:$D$1203,"次果筐*"),2))</f>
        <v>0</v>
      </c>
      <c r="H8" s="177">
        <f>IF($B8="","",ROUND(SUM($C8:$G8),2))</f>
        <v>16836</v>
      </c>
      <c r="I8" s="177">
        <f>IF($B8="","",ROUND(SUMIFS(对接源_01水果!$K$4:$K$1203,对接源_01水果!$C$4:$C$1203,$B8,对接源_01水果!$D$4:$D$1203,"成品出库*",对接源_01水果!$L$4:$L$1203,"已收讫")+SUMIFS(对接源_01水果!$K$4:$K$1203,对接源_01水果!$C$4:$C$1203,$B8,对接源_01水果!$D$4:$D$1203,"成品出库*",对接源_01水果!$L$4:$L$1203,"已付款")+SUMIFS(对接源_01水果!$K$4:$K$1203,对接源_01水果!$C$4:$C$1203,$B8,对接源_01水果!$D$4:$D$1203,"其他代存*",对接源_01水果!$L$4:$L$1203,"已收讫")+SUMIFS(对接源_01水果!$K$4:$K$1203,对接源_01水果!$C$4:$C$1203,$B8,对接源_01水果!$D$4:$D$1203,"其他代存*",对接源_01水果!$L$4:$L$1203,"已付款")+SUMIFS(对接源_02物料!$K$4:$K$1203,对接源_02物料!$C$4:$C$1203,$B8,对接源_02物料!$D$4:$D$1203,"包装物料*",对接源_02物料!$L$4:$L$1203,"已收讫")+SUMIFS(对接源_02物料!$K$4:$K$1203,对接源_02物料!$C$4:$C$1203,$B8,对接源_02物料!$D$4:$D$1203,"包装物料*",对接源_02物料!$L$4:$L$1203,"已付款")+SUMIFS(对接源_02物料!$K$4:$K$1203,对接源_02物料!$C$4:$C$1203,$B8,对接源_02物料!$D$4:$D$1203,"周转筐*",对接源_02物料!$L$4:$L$1203,"已收讫")+SUMIFS(对接源_02物料!$K$4:$K$1203,对接源_02物料!$C$4:$C$1203,$B8,对接源_02物料!$D$4:$D$1203,"周转筐*",对接源_02物料!$L$4:$L$1203,"已付款")+SUMIFS(对接源_02物料!$K$4:$K$1203,对接源_02物料!$C$4:$C$1203,$B8,对接源_02物料!$D$4:$D$1203,"次果筐*",对接源_02物料!$L$4:$L$1203,"已收讫")+SUMIFS(对接源_02物料!$K$4:$K$1203,对接源_02物料!$C$4:$C$1203,$B8,对接源_02物料!$D$4:$D$1203,"次果筐*",对接源_02物料!$L$4:$L$1203,"已付款"),2))</f>
        <v>96</v>
      </c>
      <c r="J8" s="177">
        <f>IF($B8="","",ROUND(N($H8)-N($I8),2))</f>
        <v>16740</v>
      </c>
      <c r="K8" s="16" t="str">
        <f>IF($B8="","",IF(ROUND(N($J8),2)&gt;0,"对方欠款",IF(ROUND(N($J8),2)&lt;0,"我方欠款","已两清")))</f>
        <v>对方欠款</v>
      </c>
      <c r="L8" s="26" t="n"/>
    </row>
    <row r="9" s="127">
      <c r="A9" s="16">
        <f>IF($B9="","",ROW()-3)</f>
        <v>6</v>
      </c>
      <c r="B9" s="11" t="str">
        <f>IFERROR(INDEX(_自动清单!$E$4:$E$303,ROW()-3),"")</f>
        <v>吐尔洪</v>
      </c>
      <c r="C9" s="177">
        <f>IF($B9="","",ROUND(SUMIFS(对接源_01水果!$K$4:$K$1203,对接源_01水果!$C$4:$C$1203,$B9,对接源_01水果!$D$4:$D$1203,"成品出库*"),2))</f>
        <v>0</v>
      </c>
      <c r="D9" s="177">
        <f>IF($B9="","",ROUND(SUMIFS(对接源_01水果!$K$4:$K$1203,对接源_01水果!$C$4:$C$1203,$B9,对接源_01水果!$D$4:$D$1203,"其他代存*"),2))</f>
        <v>0</v>
      </c>
      <c r="E9" s="177">
        <f>IF($B9="","",ROUND(SUMIFS(对接源_02物料!$K$4:$K$1203,对接源_02物料!$C$4:$C$1203,$B9,对接源_02物料!$D$4:$D$1203,"包装物料*"),2))</f>
        <v>2925</v>
      </c>
      <c r="F9" s="177">
        <f>IF($B9="","",ROUND(SUMIFS(对接源_02物料!$K$4:$K$1203,对接源_02物料!$C$4:$C$1203,$B9,对接源_02物料!$D$4:$D$1203,"周转筐*"),2))</f>
        <v>588</v>
      </c>
      <c r="G9" s="177">
        <f>IF($B9="","",ROUND(SUMIFS(对接源_02物料!$K$4:$K$1203,对接源_02物料!$C$4:$C$1203,$B9,对接源_02物料!$D$4:$D$1203,"次果筐*"),2))</f>
        <v>0</v>
      </c>
      <c r="H9" s="177">
        <f>IF($B9="","",ROUND(SUM($C9:$G9),2))</f>
        <v>3513</v>
      </c>
      <c r="I9" s="177">
        <f>IF($B9="","",ROUND(SUMIFS(对接源_01水果!$K$4:$K$1203,对接源_01水果!$C$4:$C$1203,$B9,对接源_01水果!$D$4:$D$1203,"成品出库*",对接源_01水果!$L$4:$L$1203,"已收讫")+SUMIFS(对接源_01水果!$K$4:$K$1203,对接源_01水果!$C$4:$C$1203,$B9,对接源_01水果!$D$4:$D$1203,"成品出库*",对接源_01水果!$L$4:$L$1203,"已付款")+SUMIFS(对接源_01水果!$K$4:$K$1203,对接源_01水果!$C$4:$C$1203,$B9,对接源_01水果!$D$4:$D$1203,"其他代存*",对接源_01水果!$L$4:$L$1203,"已收讫")+SUMIFS(对接源_01水果!$K$4:$K$1203,对接源_01水果!$C$4:$C$1203,$B9,对接源_01水果!$D$4:$D$1203,"其他代存*",对接源_01水果!$L$4:$L$1203,"已付款")+SUMIFS(对接源_02物料!$K$4:$K$1203,对接源_02物料!$C$4:$C$1203,$B9,对接源_02物料!$D$4:$D$1203,"包装物料*",对接源_02物料!$L$4:$L$1203,"已收讫")+SUMIFS(对接源_02物料!$K$4:$K$1203,对接源_02物料!$C$4:$C$1203,$B9,对接源_02物料!$D$4:$D$1203,"包装物料*",对接源_02物料!$L$4:$L$1203,"已付款")+SUMIFS(对接源_02物料!$K$4:$K$1203,对接源_02物料!$C$4:$C$1203,$B9,对接源_02物料!$D$4:$D$1203,"周转筐*",对接源_02物料!$L$4:$L$1203,"已收讫")+SUMIFS(对接源_02物料!$K$4:$K$1203,对接源_02物料!$C$4:$C$1203,$B9,对接源_02物料!$D$4:$D$1203,"周转筐*",对接源_02物料!$L$4:$L$1203,"已付款")+SUMIFS(对接源_02物料!$K$4:$K$1203,对接源_02物料!$C$4:$C$1203,$B9,对接源_02物料!$D$4:$D$1203,"次果筐*",对接源_02物料!$L$4:$L$1203,"已收讫")+SUMIFS(对接源_02物料!$K$4:$K$1203,对接源_02物料!$C$4:$C$1203,$B9,对接源_02物料!$D$4:$D$1203,"次果筐*",对接源_02物料!$L$4:$L$1203,"已付款"),2))</f>
        <v>588</v>
      </c>
      <c r="J9" s="177">
        <f>IF($B9="","",ROUND(N($H9)-N($I9),2))</f>
        <v>2925</v>
      </c>
      <c r="K9" s="16" t="str">
        <f>IF($B9="","",IF(ROUND(N($J9),2)&gt;0,"对方欠款",IF(ROUND(N($J9),2)&lt;0,"我方欠款","已两清")))</f>
        <v>对方欠款</v>
      </c>
      <c r="L9" s="26" t="n"/>
    </row>
    <row r="10" s="127">
      <c r="A10" s="16">
        <f>IF($B10="","",ROW()-3)</f>
        <v>7</v>
      </c>
      <c r="B10" s="11" t="str">
        <f>IFERROR(INDEX(_自动清单!$E$4:$E$303,ROW()-3),"")</f>
        <v>热合曼</v>
      </c>
      <c r="C10" s="177">
        <f>IF($B10="","",ROUND(SUMIFS(对接源_01水果!$K$4:$K$1203,对接源_01水果!$C$4:$C$1203,$B10,对接源_01水果!$D$4:$D$1203,"成品出库*"),2))</f>
        <v>0</v>
      </c>
      <c r="D10" s="177">
        <f>IF($B10="","",ROUND(SUMIFS(对接源_01水果!$K$4:$K$1203,对接源_01水果!$C$4:$C$1203,$B10,对接源_01水果!$D$4:$D$1203,"其他代存*"),2))</f>
        <v>0</v>
      </c>
      <c r="E10" s="177">
        <f>IF($B10="","",ROUND(SUMIFS(对接源_02物料!$K$4:$K$1203,对接源_02物料!$C$4:$C$1203,$B10,对接源_02物料!$D$4:$D$1203,"包装物料*"),2))</f>
        <v>14966</v>
      </c>
      <c r="F10" s="177">
        <f>IF($B10="","",ROUND(SUMIFS(对接源_02物料!$K$4:$K$1203,对接源_02物料!$C$4:$C$1203,$B10,对接源_02物料!$D$4:$D$1203,"周转筐*"),2))</f>
        <v>0</v>
      </c>
      <c r="G10" s="177">
        <f>IF($B10="","",ROUND(SUMIFS(对接源_02物料!$K$4:$K$1203,对接源_02物料!$C$4:$C$1203,$B10,对接源_02物料!$D$4:$D$1203,"次果筐*"),2))</f>
        <v>0</v>
      </c>
      <c r="H10" s="177">
        <f>IF($B10="","",ROUND(SUM($C10:$G10),2))</f>
        <v>14966</v>
      </c>
      <c r="I10" s="177">
        <f>IF($B10="","",ROUND(SUMIFS(对接源_01水果!$K$4:$K$1203,对接源_01水果!$C$4:$C$1203,$B10,对接源_01水果!$D$4:$D$1203,"成品出库*",对接源_01水果!$L$4:$L$1203,"已收讫")+SUMIFS(对接源_01水果!$K$4:$K$1203,对接源_01水果!$C$4:$C$1203,$B10,对接源_01水果!$D$4:$D$1203,"成品出库*",对接源_01水果!$L$4:$L$1203,"已付款")+SUMIFS(对接源_01水果!$K$4:$K$1203,对接源_01水果!$C$4:$C$1203,$B10,对接源_01水果!$D$4:$D$1203,"其他代存*",对接源_01水果!$L$4:$L$1203,"已收讫")+SUMIFS(对接源_01水果!$K$4:$K$1203,对接源_01水果!$C$4:$C$1203,$B10,对接源_01水果!$D$4:$D$1203,"其他代存*",对接源_01水果!$L$4:$L$1203,"已付款")+SUMIFS(对接源_02物料!$K$4:$K$1203,对接源_02物料!$C$4:$C$1203,$B10,对接源_02物料!$D$4:$D$1203,"包装物料*",对接源_02物料!$L$4:$L$1203,"已收讫")+SUMIFS(对接源_02物料!$K$4:$K$1203,对接源_02物料!$C$4:$C$1203,$B10,对接源_02物料!$D$4:$D$1203,"包装物料*",对接源_02物料!$L$4:$L$1203,"已付款")+SUMIFS(对接源_02物料!$K$4:$K$1203,对接源_02物料!$C$4:$C$1203,$B10,对接源_02物料!$D$4:$D$1203,"周转筐*",对接源_02物料!$L$4:$L$1203,"已收讫")+SUMIFS(对接源_02物料!$K$4:$K$1203,对接源_02物料!$C$4:$C$1203,$B10,对接源_02物料!$D$4:$D$1203,"周转筐*",对接源_02物料!$L$4:$L$1203,"已付款")+SUMIFS(对接源_02物料!$K$4:$K$1203,对接源_02物料!$C$4:$C$1203,$B10,对接源_02物料!$D$4:$D$1203,"次果筐*",对接源_02物料!$L$4:$L$1203,"已收讫")+SUMIFS(对接源_02物料!$K$4:$K$1203,对接源_02物料!$C$4:$C$1203,$B10,对接源_02物料!$D$4:$D$1203,"次果筐*",对接源_02物料!$L$4:$L$1203,"已付款"),2))</f>
        <v>96</v>
      </c>
      <c r="J10" s="177">
        <f>IF($B10="","",ROUND(N($H10)-N($I10),2))</f>
        <v>14870</v>
      </c>
      <c r="K10" s="16" t="str">
        <f>IF($B10="","",IF(ROUND(N($J10),2)&gt;0,"对方欠款",IF(ROUND(N($J10),2)&lt;0,"我方欠款","已两清")))</f>
        <v>对方欠款</v>
      </c>
      <c r="L10" s="26" t="n"/>
    </row>
    <row r="11" s="127">
      <c r="A11" s="16">
        <f>IF($B11="","",ROW()-3)</f>
        <v>8</v>
      </c>
      <c r="B11" s="11" t="str">
        <f>IFERROR(INDEX(_自动清单!$E$4:$E$303,ROW()-3),"")</f>
        <v>贾建国</v>
      </c>
      <c r="C11" s="177">
        <f>IF($B11="","",ROUND(SUMIFS(对接源_01水果!$K$4:$K$1203,对接源_01水果!$C$4:$C$1203,$B11,对接源_01水果!$D$4:$D$1203,"成品出库*"),2))</f>
        <v>0</v>
      </c>
      <c r="D11" s="177">
        <f>IF($B11="","",ROUND(SUMIFS(对接源_01水果!$K$4:$K$1203,对接源_01水果!$C$4:$C$1203,$B11,对接源_01水果!$D$4:$D$1203,"其他代存*"),2))</f>
        <v>0</v>
      </c>
      <c r="E11" s="177">
        <f>IF($B11="","",ROUND(SUMIFS(对接源_02物料!$K$4:$K$1203,对接源_02物料!$C$4:$C$1203,$B11,对接源_02物料!$D$4:$D$1203,"包装物料*"),2))</f>
        <v>2115</v>
      </c>
      <c r="F11" s="177">
        <f>IF($B11="","",ROUND(SUMIFS(对接源_02物料!$K$4:$K$1203,对接源_02物料!$C$4:$C$1203,$B11,对接源_02物料!$D$4:$D$1203,"周转筐*"),2))</f>
        <v>0</v>
      </c>
      <c r="G11" s="177">
        <f>IF($B11="","",ROUND(SUMIFS(对接源_02物料!$K$4:$K$1203,对接源_02物料!$C$4:$C$1203,$B11,对接源_02物料!$D$4:$D$1203,"次果筐*"),2))</f>
        <v>0</v>
      </c>
      <c r="H11" s="177">
        <f>IF($B11="","",ROUND(SUM($C11:$G11),2))</f>
        <v>2115</v>
      </c>
      <c r="I11" s="177">
        <f>IF($B11="","",ROUND(SUMIFS(对接源_01水果!$K$4:$K$1203,对接源_01水果!$C$4:$C$1203,$B11,对接源_01水果!$D$4:$D$1203,"成品出库*",对接源_01水果!$L$4:$L$1203,"已收讫")+SUMIFS(对接源_01水果!$K$4:$K$1203,对接源_01水果!$C$4:$C$1203,$B11,对接源_01水果!$D$4:$D$1203,"成品出库*",对接源_01水果!$L$4:$L$1203,"已付款")+SUMIFS(对接源_01水果!$K$4:$K$1203,对接源_01水果!$C$4:$C$1203,$B11,对接源_01水果!$D$4:$D$1203,"其他代存*",对接源_01水果!$L$4:$L$1203,"已收讫")+SUMIFS(对接源_01水果!$K$4:$K$1203,对接源_01水果!$C$4:$C$1203,$B11,对接源_01水果!$D$4:$D$1203,"其他代存*",对接源_01水果!$L$4:$L$1203,"已付款")+SUMIFS(对接源_02物料!$K$4:$K$1203,对接源_02物料!$C$4:$C$1203,$B11,对接源_02物料!$D$4:$D$1203,"包装物料*",对接源_02物料!$L$4:$L$1203,"已收讫")+SUMIFS(对接源_02物料!$K$4:$K$1203,对接源_02物料!$C$4:$C$1203,$B11,对接源_02物料!$D$4:$D$1203,"包装物料*",对接源_02物料!$L$4:$L$1203,"已付款")+SUMIFS(对接源_02物料!$K$4:$K$1203,对接源_02物料!$C$4:$C$1203,$B11,对接源_02物料!$D$4:$D$1203,"周转筐*",对接源_02物料!$L$4:$L$1203,"已收讫")+SUMIFS(对接源_02物料!$K$4:$K$1203,对接源_02物料!$C$4:$C$1203,$B11,对接源_02物料!$D$4:$D$1203,"周转筐*",对接源_02物料!$L$4:$L$1203,"已付款")+SUMIFS(对接源_02物料!$K$4:$K$1203,对接源_02物料!$C$4:$C$1203,$B11,对接源_02物料!$D$4:$D$1203,"次果筐*",对接源_02物料!$L$4:$L$1203,"已收讫")+SUMIFS(对接源_02物料!$K$4:$K$1203,对接源_02物料!$C$4:$C$1203,$B11,对接源_02物料!$D$4:$D$1203,"次果筐*",对接源_02物料!$L$4:$L$1203,"已付款"),2))</f>
        <v>0</v>
      </c>
      <c r="J11" s="177">
        <f>IF($B11="","",ROUND(N($H11)-N($I11),2))</f>
        <v>2115</v>
      </c>
      <c r="K11" s="16" t="str">
        <f>IF($B11="","",IF(ROUND(N($J11),2)&gt;0,"对方欠款",IF(ROUND(N($J11),2)&lt;0,"我方欠款","已两清")))</f>
        <v>对方欠款</v>
      </c>
      <c r="L11" s="26" t="n"/>
    </row>
    <row r="12" s="127">
      <c r="A12" s="16">
        <f>IF($B12="","",ROW()-3)</f>
        <v>9</v>
      </c>
      <c r="B12" s="11" t="str">
        <f>IFERROR(INDEX(_自动清单!$E$4:$E$303,ROW()-3),"")</f>
        <v>王灵云</v>
      </c>
      <c r="C12" s="177">
        <f>IF($B12="","",ROUND(SUMIFS(对接源_01水果!$K$4:$K$1203,对接源_01水果!$C$4:$C$1203,$B12,对接源_01水果!$D$4:$D$1203,"成品出库*"),2))</f>
        <v>0</v>
      </c>
      <c r="D12" s="177">
        <f>IF($B12="","",ROUND(SUMIFS(对接源_01水果!$K$4:$K$1203,对接源_01水果!$C$4:$C$1203,$B12,对接源_01水果!$D$4:$D$1203,"其他代存*"),2))</f>
        <v>0</v>
      </c>
      <c r="E12" s="177">
        <f>IF($B12="","",ROUND(SUMIFS(对接源_02物料!$K$4:$K$1203,对接源_02物料!$C$4:$C$1203,$B12,对接源_02物料!$D$4:$D$1203,"包装物料*"),2))</f>
        <v>0</v>
      </c>
      <c r="F12" s="177">
        <f>IF($B12="","",ROUND(SUMIFS(对接源_02物料!$K$4:$K$1203,对接源_02物料!$C$4:$C$1203,$B12,对接源_02物料!$D$4:$D$1203,"周转筐*"),2))</f>
        <v>0</v>
      </c>
      <c r="G12" s="177">
        <f>IF($B12="","",ROUND(SUMIFS(对接源_02物料!$K$4:$K$1203,对接源_02物料!$C$4:$C$1203,$B12,对接源_02物料!$D$4:$D$1203,"次果筐*"),2))</f>
        <v>0</v>
      </c>
      <c r="H12" s="177">
        <f>IF($B12="","",ROUND(SUM($C12:$G12),2))</f>
        <v>0</v>
      </c>
      <c r="I12" s="177">
        <f>IF($B12="","",ROUND(SUMIFS(对接源_01水果!$K$4:$K$1203,对接源_01水果!$C$4:$C$1203,$B12,对接源_01水果!$D$4:$D$1203,"成品出库*",对接源_01水果!$L$4:$L$1203,"已收讫")+SUMIFS(对接源_01水果!$K$4:$K$1203,对接源_01水果!$C$4:$C$1203,$B12,对接源_01水果!$D$4:$D$1203,"成品出库*",对接源_01水果!$L$4:$L$1203,"已付款")+SUMIFS(对接源_01水果!$K$4:$K$1203,对接源_01水果!$C$4:$C$1203,$B12,对接源_01水果!$D$4:$D$1203,"其他代存*",对接源_01水果!$L$4:$L$1203,"已收讫")+SUMIFS(对接源_01水果!$K$4:$K$1203,对接源_01水果!$C$4:$C$1203,$B12,对接源_01水果!$D$4:$D$1203,"其他代存*",对接源_01水果!$L$4:$L$1203,"已付款")+SUMIFS(对接源_02物料!$K$4:$K$1203,对接源_02物料!$C$4:$C$1203,$B12,对接源_02物料!$D$4:$D$1203,"包装物料*",对接源_02物料!$L$4:$L$1203,"已收讫")+SUMIFS(对接源_02物料!$K$4:$K$1203,对接源_02物料!$C$4:$C$1203,$B12,对接源_02物料!$D$4:$D$1203,"包装物料*",对接源_02物料!$L$4:$L$1203,"已付款")+SUMIFS(对接源_02物料!$K$4:$K$1203,对接源_02物料!$C$4:$C$1203,$B12,对接源_02物料!$D$4:$D$1203,"周转筐*",对接源_02物料!$L$4:$L$1203,"已收讫")+SUMIFS(对接源_02物料!$K$4:$K$1203,对接源_02物料!$C$4:$C$1203,$B12,对接源_02物料!$D$4:$D$1203,"周转筐*",对接源_02物料!$L$4:$L$1203,"已付款")+SUMIFS(对接源_02物料!$K$4:$K$1203,对接源_02物料!$C$4:$C$1203,$B12,对接源_02物料!$D$4:$D$1203,"次果筐*",对接源_02物料!$L$4:$L$1203,"已收讫")+SUMIFS(对接源_02物料!$K$4:$K$1203,对接源_02物料!$C$4:$C$1203,$B12,对接源_02物料!$D$4:$D$1203,"次果筐*",对接源_02物料!$L$4:$L$1203,"已付款"),2))</f>
        <v>0</v>
      </c>
      <c r="J12" s="177">
        <f>IF($B12="","",ROUND(N($H12)-N($I12),2))</f>
        <v>0</v>
      </c>
      <c r="K12" s="16" t="str">
        <f>IF($B12="","",IF(ROUND(N($J12),2)&gt;0,"对方欠款",IF(ROUND(N($J12),2)&lt;0,"我方欠款","已两清")))</f>
        <v>已两清</v>
      </c>
      <c r="L12" s="26" t="n"/>
    </row>
    <row r="13" s="127">
      <c r="A13" s="16">
        <f>IF($B13="","",ROW()-3)</f>
        <v>10</v>
      </c>
      <c r="B13" s="11" t="str">
        <f>IFERROR(INDEX(_自动清单!$E$4:$E$303,ROW()-3),"")</f>
        <v>杨艳玲</v>
      </c>
      <c r="C13" s="177">
        <f>IF($B13="","",ROUND(SUMIFS(对接源_01水果!$K$4:$K$1203,对接源_01水果!$C$4:$C$1203,$B13,对接源_01水果!$D$4:$D$1203,"成品出库*"),2))</f>
        <v>0</v>
      </c>
      <c r="D13" s="177">
        <f>IF($B13="","",ROUND(SUMIFS(对接源_01水果!$K$4:$K$1203,对接源_01水果!$C$4:$C$1203,$B13,对接源_01水果!$D$4:$D$1203,"其他代存*"),2))</f>
        <v>0</v>
      </c>
      <c r="E13" s="177">
        <f>IF($B13="","",ROUND(SUMIFS(对接源_02物料!$K$4:$K$1203,对接源_02物料!$C$4:$C$1203,$B13,对接源_02物料!$D$4:$D$1203,"包装物料*"),2))</f>
        <v>0</v>
      </c>
      <c r="F13" s="177">
        <f>IF($B13="","",ROUND(SUMIFS(对接源_02物料!$K$4:$K$1203,对接源_02物料!$C$4:$C$1203,$B13,对接源_02物料!$D$4:$D$1203,"周转筐*"),2))</f>
        <v>0</v>
      </c>
      <c r="G13" s="177">
        <f>IF($B13="","",ROUND(SUMIFS(对接源_02物料!$K$4:$K$1203,对接源_02物料!$C$4:$C$1203,$B13,对接源_02物料!$D$4:$D$1203,"次果筐*"),2))</f>
        <v>0</v>
      </c>
      <c r="H13" s="177">
        <f>IF($B13="","",ROUND(SUM($C13:$G13),2))</f>
        <v>0</v>
      </c>
      <c r="I13" s="177">
        <f>IF($B13="","",ROUND(SUMIFS(对接源_01水果!$K$4:$K$1203,对接源_01水果!$C$4:$C$1203,$B13,对接源_01水果!$D$4:$D$1203,"成品出库*",对接源_01水果!$L$4:$L$1203,"已收讫")+SUMIFS(对接源_01水果!$K$4:$K$1203,对接源_01水果!$C$4:$C$1203,$B13,对接源_01水果!$D$4:$D$1203,"成品出库*",对接源_01水果!$L$4:$L$1203,"已付款")+SUMIFS(对接源_01水果!$K$4:$K$1203,对接源_01水果!$C$4:$C$1203,$B13,对接源_01水果!$D$4:$D$1203,"其他代存*",对接源_01水果!$L$4:$L$1203,"已收讫")+SUMIFS(对接源_01水果!$K$4:$K$1203,对接源_01水果!$C$4:$C$1203,$B13,对接源_01水果!$D$4:$D$1203,"其他代存*",对接源_01水果!$L$4:$L$1203,"已付款")+SUMIFS(对接源_02物料!$K$4:$K$1203,对接源_02物料!$C$4:$C$1203,$B13,对接源_02物料!$D$4:$D$1203,"包装物料*",对接源_02物料!$L$4:$L$1203,"已收讫")+SUMIFS(对接源_02物料!$K$4:$K$1203,对接源_02物料!$C$4:$C$1203,$B13,对接源_02物料!$D$4:$D$1203,"包装物料*",对接源_02物料!$L$4:$L$1203,"已付款")+SUMIFS(对接源_02物料!$K$4:$K$1203,对接源_02物料!$C$4:$C$1203,$B13,对接源_02物料!$D$4:$D$1203,"周转筐*",对接源_02物料!$L$4:$L$1203,"已收讫")+SUMIFS(对接源_02物料!$K$4:$K$1203,对接源_02物料!$C$4:$C$1203,$B13,对接源_02物料!$D$4:$D$1203,"周转筐*",对接源_02物料!$L$4:$L$1203,"已付款")+SUMIFS(对接源_02物料!$K$4:$K$1203,对接源_02物料!$C$4:$C$1203,$B13,对接源_02物料!$D$4:$D$1203,"次果筐*",对接源_02物料!$L$4:$L$1203,"已收讫")+SUMIFS(对接源_02物料!$K$4:$K$1203,对接源_02物料!$C$4:$C$1203,$B13,对接源_02物料!$D$4:$D$1203,"次果筐*",对接源_02物料!$L$4:$L$1203,"已付款"),2))</f>
        <v>0</v>
      </c>
      <c r="J13" s="177">
        <f>IF($B13="","",ROUND(N($H13)-N($I13),2))</f>
        <v>0</v>
      </c>
      <c r="K13" s="16" t="str">
        <f>IF($B13="","",IF(ROUND(N($J13),2)&gt;0,"对方欠款",IF(ROUND(N($J13),2)&lt;0,"我方欠款","已两清")))</f>
        <v>已两清</v>
      </c>
      <c r="L13" s="26" t="n"/>
    </row>
    <row r="14" s="127">
      <c r="A14" s="16">
        <f>IF($B14="","",ROW()-3)</f>
        <v>11</v>
      </c>
      <c r="B14" s="11" t="str">
        <f>IFERROR(INDEX(_自动清单!$E$4:$E$303,ROW()-3),"")</f>
        <v>荆建君</v>
      </c>
      <c r="C14" s="177">
        <f>IF($B14="","",ROUND(SUMIFS(对接源_01水果!$K$4:$K$1203,对接源_01水果!$C$4:$C$1203,$B14,对接源_01水果!$D$4:$D$1203,"成品出库*"),2))</f>
        <v>0</v>
      </c>
      <c r="D14" s="177">
        <f>IF($B14="","",ROUND(SUMIFS(对接源_01水果!$K$4:$K$1203,对接源_01水果!$C$4:$C$1203,$B14,对接源_01水果!$D$4:$D$1203,"其他代存*"),2))</f>
        <v>0</v>
      </c>
      <c r="E14" s="177">
        <f>IF($B14="","",ROUND(SUMIFS(对接源_02物料!$K$4:$K$1203,对接源_02物料!$C$4:$C$1203,$B14,对接源_02物料!$D$4:$D$1203,"包装物料*"),2))</f>
        <v>13365</v>
      </c>
      <c r="F14" s="177">
        <f>IF($B14="","",ROUND(SUMIFS(对接源_02物料!$K$4:$K$1203,对接源_02物料!$C$4:$C$1203,$B14,对接源_02物料!$D$4:$D$1203,"周转筐*"),2))</f>
        <v>0</v>
      </c>
      <c r="G14" s="177">
        <f>IF($B14="","",ROUND(SUMIFS(对接源_02物料!$K$4:$K$1203,对接源_02物料!$C$4:$C$1203,$B14,对接源_02物料!$D$4:$D$1203,"次果筐*"),2))</f>
        <v>0</v>
      </c>
      <c r="H14" s="177">
        <f>IF($B14="","",ROUND(SUM($C14:$G14),2))</f>
        <v>13365</v>
      </c>
      <c r="I14" s="177">
        <f>IF($B14="","",ROUND(SUMIFS(对接源_01水果!$K$4:$K$1203,对接源_01水果!$C$4:$C$1203,$B14,对接源_01水果!$D$4:$D$1203,"成品出库*",对接源_01水果!$L$4:$L$1203,"已收讫")+SUMIFS(对接源_01水果!$K$4:$K$1203,对接源_01水果!$C$4:$C$1203,$B14,对接源_01水果!$D$4:$D$1203,"成品出库*",对接源_01水果!$L$4:$L$1203,"已付款")+SUMIFS(对接源_01水果!$K$4:$K$1203,对接源_01水果!$C$4:$C$1203,$B14,对接源_01水果!$D$4:$D$1203,"其他代存*",对接源_01水果!$L$4:$L$1203,"已收讫")+SUMIFS(对接源_01水果!$K$4:$K$1203,对接源_01水果!$C$4:$C$1203,$B14,对接源_01水果!$D$4:$D$1203,"其他代存*",对接源_01水果!$L$4:$L$1203,"已付款")+SUMIFS(对接源_02物料!$K$4:$K$1203,对接源_02物料!$C$4:$C$1203,$B14,对接源_02物料!$D$4:$D$1203,"包装物料*",对接源_02物料!$L$4:$L$1203,"已收讫")+SUMIFS(对接源_02物料!$K$4:$K$1203,对接源_02物料!$C$4:$C$1203,$B14,对接源_02物料!$D$4:$D$1203,"包装物料*",对接源_02物料!$L$4:$L$1203,"已付款")+SUMIFS(对接源_02物料!$K$4:$K$1203,对接源_02物料!$C$4:$C$1203,$B14,对接源_02物料!$D$4:$D$1203,"周转筐*",对接源_02物料!$L$4:$L$1203,"已收讫")+SUMIFS(对接源_02物料!$K$4:$K$1203,对接源_02物料!$C$4:$C$1203,$B14,对接源_02物料!$D$4:$D$1203,"周转筐*",对接源_02物料!$L$4:$L$1203,"已付款")+SUMIFS(对接源_02物料!$K$4:$K$1203,对接源_02物料!$C$4:$C$1203,$B14,对接源_02物料!$D$4:$D$1203,"次果筐*",对接源_02物料!$L$4:$L$1203,"已收讫")+SUMIFS(对接源_02物料!$K$4:$K$1203,对接源_02物料!$C$4:$C$1203,$B14,对接源_02物料!$D$4:$D$1203,"次果筐*",对接源_02物料!$L$4:$L$1203,"已付款"),2))</f>
        <v>0</v>
      </c>
      <c r="J14" s="177">
        <f>IF($B14="","",ROUND(N($H14)-N($I14),2))</f>
        <v>13365</v>
      </c>
      <c r="K14" s="16" t="str">
        <f>IF($B14="","",IF(ROUND(N($J14),2)&gt;0,"对方欠款",IF(ROUND(N($J14),2)&lt;0,"我方欠款","已两清")))</f>
        <v>对方欠款</v>
      </c>
      <c r="L14" s="26" t="n"/>
    </row>
    <row r="15" s="127">
      <c r="A15" s="16">
        <f>IF($B15="","",ROW()-3)</f>
        <v>12</v>
      </c>
      <c r="B15" s="11" t="str">
        <f>IFERROR(INDEX(_自动清单!$E$4:$E$303,ROW()-3),"")</f>
        <v>努尔敦</v>
      </c>
      <c r="C15" s="177">
        <f>IF($B15="","",ROUND(SUMIFS(对接源_01水果!$K$4:$K$1203,对接源_01水果!$C$4:$C$1203,$B15,对接源_01水果!$D$4:$D$1203,"成品出库*"),2))</f>
        <v>0</v>
      </c>
      <c r="D15" s="177">
        <f>IF($B15="","",ROUND(SUMIFS(对接源_01水果!$K$4:$K$1203,对接源_01水果!$C$4:$C$1203,$B15,对接源_01水果!$D$4:$D$1203,"其他代存*"),2))</f>
        <v>0</v>
      </c>
      <c r="E15" s="177">
        <f>IF($B15="","",ROUND(SUMIFS(对接源_02物料!$K$4:$K$1203,对接源_02物料!$C$4:$C$1203,$B15,对接源_02物料!$D$4:$D$1203,"包装物料*"),2))</f>
        <v>31185</v>
      </c>
      <c r="F15" s="177">
        <f>IF($B15="","",ROUND(SUMIFS(对接源_02物料!$K$4:$K$1203,对接源_02物料!$C$4:$C$1203,$B15,对接源_02物料!$D$4:$D$1203,"周转筐*"),2))</f>
        <v>0</v>
      </c>
      <c r="G15" s="177">
        <f>IF($B15="","",ROUND(SUMIFS(对接源_02物料!$K$4:$K$1203,对接源_02物料!$C$4:$C$1203,$B15,对接源_02物料!$D$4:$D$1203,"次果筐*"),2))</f>
        <v>0</v>
      </c>
      <c r="H15" s="177">
        <f>IF($B15="","",ROUND(SUM($C15:$G15),2))</f>
        <v>31185</v>
      </c>
      <c r="I15" s="177">
        <f>IF($B15="","",ROUND(SUMIFS(对接源_01水果!$K$4:$K$1203,对接源_01水果!$C$4:$C$1203,$B15,对接源_01水果!$D$4:$D$1203,"成品出库*",对接源_01水果!$L$4:$L$1203,"已收讫")+SUMIFS(对接源_01水果!$K$4:$K$1203,对接源_01水果!$C$4:$C$1203,$B15,对接源_01水果!$D$4:$D$1203,"成品出库*",对接源_01水果!$L$4:$L$1203,"已付款")+SUMIFS(对接源_01水果!$K$4:$K$1203,对接源_01水果!$C$4:$C$1203,$B15,对接源_01水果!$D$4:$D$1203,"其他代存*",对接源_01水果!$L$4:$L$1203,"已收讫")+SUMIFS(对接源_01水果!$K$4:$K$1203,对接源_01水果!$C$4:$C$1203,$B15,对接源_01水果!$D$4:$D$1203,"其他代存*",对接源_01水果!$L$4:$L$1203,"已付款")+SUMIFS(对接源_02物料!$K$4:$K$1203,对接源_02物料!$C$4:$C$1203,$B15,对接源_02物料!$D$4:$D$1203,"包装物料*",对接源_02物料!$L$4:$L$1203,"已收讫")+SUMIFS(对接源_02物料!$K$4:$K$1203,对接源_02物料!$C$4:$C$1203,$B15,对接源_02物料!$D$4:$D$1203,"包装物料*",对接源_02物料!$L$4:$L$1203,"已付款")+SUMIFS(对接源_02物料!$K$4:$K$1203,对接源_02物料!$C$4:$C$1203,$B15,对接源_02物料!$D$4:$D$1203,"周转筐*",对接源_02物料!$L$4:$L$1203,"已收讫")+SUMIFS(对接源_02物料!$K$4:$K$1203,对接源_02物料!$C$4:$C$1203,$B15,对接源_02物料!$D$4:$D$1203,"周转筐*",对接源_02物料!$L$4:$L$1203,"已付款")+SUMIFS(对接源_02物料!$K$4:$K$1203,对接源_02物料!$C$4:$C$1203,$B15,对接源_02物料!$D$4:$D$1203,"次果筐*",对接源_02物料!$L$4:$L$1203,"已收讫")+SUMIFS(对接源_02物料!$K$4:$K$1203,对接源_02物料!$C$4:$C$1203,$B15,对接源_02物料!$D$4:$D$1203,"次果筐*",对接源_02物料!$L$4:$L$1203,"已付款"),2))</f>
        <v>0</v>
      </c>
      <c r="J15" s="177">
        <f>IF($B15="","",ROUND(N($H15)-N($I15),2))</f>
        <v>31185</v>
      </c>
      <c r="K15" s="16" t="str">
        <f>IF($B15="","",IF(ROUND(N($J15),2)&gt;0,"对方欠款",IF(ROUND(N($J15),2)&lt;0,"我方欠款","已两清")))</f>
        <v>对方欠款</v>
      </c>
      <c r="L15" s="26" t="n"/>
    </row>
    <row r="16" s="127">
      <c r="A16" s="16">
        <f>IF($B16="","",ROW()-3)</f>
        <v>13</v>
      </c>
      <c r="B16" s="11" t="str">
        <f>IFERROR(INDEX(_自动清单!$E$4:$E$303,ROW()-3),"")</f>
        <v>王浩</v>
      </c>
      <c r="C16" s="177">
        <f>IF($B16="","",ROUND(SUMIFS(对接源_01水果!$K$4:$K$1203,对接源_01水果!$C$4:$C$1203,$B16,对接源_01水果!$D$4:$D$1203,"成品出库*"),2))</f>
        <v>770</v>
      </c>
      <c r="D16" s="177">
        <f>IF($B16="","",ROUND(SUMIFS(对接源_01水果!$K$4:$K$1203,对接源_01水果!$C$4:$C$1203,$B16,对接源_01水果!$D$4:$D$1203,"其他代存*"),2))</f>
        <v>0</v>
      </c>
      <c r="E16" s="177">
        <f>IF($B16="","",ROUND(SUMIFS(对接源_02物料!$K$4:$K$1203,对接源_02物料!$C$4:$C$1203,$B16,对接源_02物料!$D$4:$D$1203,"包装物料*"),2))</f>
        <v>150</v>
      </c>
      <c r="F16" s="177">
        <f>IF($B16="","",ROUND(SUMIFS(对接源_02物料!$K$4:$K$1203,对接源_02物料!$C$4:$C$1203,$B16,对接源_02物料!$D$4:$D$1203,"周转筐*"),2))</f>
        <v>0</v>
      </c>
      <c r="G16" s="177">
        <f>IF($B16="","",ROUND(SUMIFS(对接源_02物料!$K$4:$K$1203,对接源_02物料!$C$4:$C$1203,$B16,对接源_02物料!$D$4:$D$1203,"次果筐*"),2))</f>
        <v>0</v>
      </c>
      <c r="H16" s="177">
        <f>IF($B16="","",ROUND(SUM($C16:$G16),2))</f>
        <v>920</v>
      </c>
      <c r="I16" s="177">
        <f>IF($B16="","",ROUND(SUMIFS(对接源_01水果!$K$4:$K$1203,对接源_01水果!$C$4:$C$1203,$B16,对接源_01水果!$D$4:$D$1203,"成品出库*",对接源_01水果!$L$4:$L$1203,"已收讫")+SUMIFS(对接源_01水果!$K$4:$K$1203,对接源_01水果!$C$4:$C$1203,$B16,对接源_01水果!$D$4:$D$1203,"成品出库*",对接源_01水果!$L$4:$L$1203,"已付款")+SUMIFS(对接源_01水果!$K$4:$K$1203,对接源_01水果!$C$4:$C$1203,$B16,对接源_01水果!$D$4:$D$1203,"其他代存*",对接源_01水果!$L$4:$L$1203,"已收讫")+SUMIFS(对接源_01水果!$K$4:$K$1203,对接源_01水果!$C$4:$C$1203,$B16,对接源_01水果!$D$4:$D$1203,"其他代存*",对接源_01水果!$L$4:$L$1203,"已付款")+SUMIFS(对接源_02物料!$K$4:$K$1203,对接源_02物料!$C$4:$C$1203,$B16,对接源_02物料!$D$4:$D$1203,"包装物料*",对接源_02物料!$L$4:$L$1203,"已收讫")+SUMIFS(对接源_02物料!$K$4:$K$1203,对接源_02物料!$C$4:$C$1203,$B16,对接源_02物料!$D$4:$D$1203,"包装物料*",对接源_02物料!$L$4:$L$1203,"已付款")+SUMIFS(对接源_02物料!$K$4:$K$1203,对接源_02物料!$C$4:$C$1203,$B16,对接源_02物料!$D$4:$D$1203,"周转筐*",对接源_02物料!$L$4:$L$1203,"已收讫")+SUMIFS(对接源_02物料!$K$4:$K$1203,对接源_02物料!$C$4:$C$1203,$B16,对接源_02物料!$D$4:$D$1203,"周转筐*",对接源_02物料!$L$4:$L$1203,"已付款")+SUMIFS(对接源_02物料!$K$4:$K$1203,对接源_02物料!$C$4:$C$1203,$B16,对接源_02物料!$D$4:$D$1203,"次果筐*",对接源_02物料!$L$4:$L$1203,"已收讫")+SUMIFS(对接源_02物料!$K$4:$K$1203,对接源_02物料!$C$4:$C$1203,$B16,对接源_02物料!$D$4:$D$1203,"次果筐*",对接源_02物料!$L$4:$L$1203,"已付款"),2))</f>
        <v>360</v>
      </c>
      <c r="J16" s="177">
        <f>IF($B16="","",ROUND(N($H16)-N($I16),2))</f>
        <v>560</v>
      </c>
      <c r="K16" s="16" t="str">
        <f>IF($B16="","",IF(ROUND(N($J16),2)&gt;0,"对方欠款",IF(ROUND(N($J16),2)&lt;0,"我方欠款","已两清")))</f>
        <v>对方欠款</v>
      </c>
      <c r="L16" s="26" t="n"/>
    </row>
    <row r="17" s="127">
      <c r="A17" s="16">
        <f>IF($B17="","",ROW()-3)</f>
        <v>14</v>
      </c>
      <c r="B17" s="11" t="str">
        <f>IFERROR(INDEX(_自动清单!$E$4:$E$303,ROW()-3),"")</f>
        <v>热合曼+艾则孜</v>
      </c>
      <c r="C17" s="177">
        <f>IF($B17="","",ROUND(SUMIFS(对接源_01水果!$K$4:$K$1203,对接源_01水果!$C$4:$C$1203,$B17,对接源_01水果!$D$4:$D$1203,"成品出库*"),2))</f>
        <v>0</v>
      </c>
      <c r="D17" s="177">
        <f>IF($B17="","",ROUND(SUMIFS(对接源_01水果!$K$4:$K$1203,对接源_01水果!$C$4:$C$1203,$B17,对接源_01水果!$D$4:$D$1203,"其他代存*"),2))</f>
        <v>0</v>
      </c>
      <c r="E17" s="177">
        <f>IF($B17="","",ROUND(SUMIFS(对接源_02物料!$K$4:$K$1203,对接源_02物料!$C$4:$C$1203,$B17,对接源_02物料!$D$4:$D$1203,"包装物料*"),2))</f>
        <v>0</v>
      </c>
      <c r="F17" s="177">
        <f>IF($B17="","",ROUND(SUMIFS(对接源_02物料!$K$4:$K$1203,对接源_02物料!$C$4:$C$1203,$B17,对接源_02物料!$D$4:$D$1203,"周转筐*"),2))</f>
        <v>0</v>
      </c>
      <c r="G17" s="177">
        <f>IF($B17="","",ROUND(SUMIFS(对接源_02物料!$K$4:$K$1203,对接源_02物料!$C$4:$C$1203,$B17,对接源_02物料!$D$4:$D$1203,"次果筐*"),2))</f>
        <v>0</v>
      </c>
      <c r="H17" s="177">
        <f>IF($B17="","",ROUND(SUM($C17:$G17),2))</f>
        <v>0</v>
      </c>
      <c r="I17" s="177">
        <f>IF($B17="","",ROUND(SUMIFS(对接源_01水果!$K$4:$K$1203,对接源_01水果!$C$4:$C$1203,$B17,对接源_01水果!$D$4:$D$1203,"成品出库*",对接源_01水果!$L$4:$L$1203,"已收讫")+SUMIFS(对接源_01水果!$K$4:$K$1203,对接源_01水果!$C$4:$C$1203,$B17,对接源_01水果!$D$4:$D$1203,"成品出库*",对接源_01水果!$L$4:$L$1203,"已付款")+SUMIFS(对接源_01水果!$K$4:$K$1203,对接源_01水果!$C$4:$C$1203,$B17,对接源_01水果!$D$4:$D$1203,"其他代存*",对接源_01水果!$L$4:$L$1203,"已收讫")+SUMIFS(对接源_01水果!$K$4:$K$1203,对接源_01水果!$C$4:$C$1203,$B17,对接源_01水果!$D$4:$D$1203,"其他代存*",对接源_01水果!$L$4:$L$1203,"已付款")+SUMIFS(对接源_02物料!$K$4:$K$1203,对接源_02物料!$C$4:$C$1203,$B17,对接源_02物料!$D$4:$D$1203,"包装物料*",对接源_02物料!$L$4:$L$1203,"已收讫")+SUMIFS(对接源_02物料!$K$4:$K$1203,对接源_02物料!$C$4:$C$1203,$B17,对接源_02物料!$D$4:$D$1203,"包装物料*",对接源_02物料!$L$4:$L$1203,"已付款")+SUMIFS(对接源_02物料!$K$4:$K$1203,对接源_02物料!$C$4:$C$1203,$B17,对接源_02物料!$D$4:$D$1203,"周转筐*",对接源_02物料!$L$4:$L$1203,"已收讫")+SUMIFS(对接源_02物料!$K$4:$K$1203,对接源_02物料!$C$4:$C$1203,$B17,对接源_02物料!$D$4:$D$1203,"周转筐*",对接源_02物料!$L$4:$L$1203,"已付款")+SUMIFS(对接源_02物料!$K$4:$K$1203,对接源_02物料!$C$4:$C$1203,$B17,对接源_02物料!$D$4:$D$1203,"次果筐*",对接源_02物料!$L$4:$L$1203,"已收讫")+SUMIFS(对接源_02物料!$K$4:$K$1203,对接源_02物料!$C$4:$C$1203,$B17,对接源_02物料!$D$4:$D$1203,"次果筐*",对接源_02物料!$L$4:$L$1203,"已付款"),2))</f>
        <v>0</v>
      </c>
      <c r="J17" s="177">
        <f>IF($B17="","",ROUND(N($H17)-N($I17),2))</f>
        <v>0</v>
      </c>
      <c r="K17" s="16" t="str">
        <f>IF($B17="","",IF(ROUND(N($J17),2)&gt;0,"对方欠款",IF(ROUND(N($J17),2)&lt;0,"我方欠款","已两清")))</f>
        <v>已两清</v>
      </c>
      <c r="L17" s="26" t="n"/>
    </row>
    <row r="18" s="127">
      <c r="A18" s="16">
        <f>IF($B18="","",ROW()-3)</f>
        <v>15</v>
      </c>
      <c r="B18" s="11" t="str">
        <f>IFERROR(INDEX(_自动清单!$E$4:$E$303,ROW()-3),"")</f>
        <v>李现东</v>
      </c>
      <c r="C18" s="177">
        <f>IF($B18="","",ROUND(SUMIFS(对接源_01水果!$K$4:$K$1203,对接源_01水果!$C$4:$C$1203,$B18,对接源_01水果!$D$4:$D$1203,"成品出库*"),2))</f>
        <v>0</v>
      </c>
      <c r="D18" s="177">
        <f>IF($B18="","",ROUND(SUMIFS(对接源_01水果!$K$4:$K$1203,对接源_01水果!$C$4:$C$1203,$B18,对接源_01水果!$D$4:$D$1203,"其他代存*"),2))</f>
        <v>0</v>
      </c>
      <c r="E18" s="177">
        <f>IF($B18="","",ROUND(SUMIFS(对接源_02物料!$K$4:$K$1203,对接源_02物料!$C$4:$C$1203,$B18,对接源_02物料!$D$4:$D$1203,"包装物料*"),2))</f>
        <v>0</v>
      </c>
      <c r="F18" s="177">
        <f>IF($B18="","",ROUND(SUMIFS(对接源_02物料!$K$4:$K$1203,对接源_02物料!$C$4:$C$1203,$B18,对接源_02物料!$D$4:$D$1203,"周转筐*"),2))</f>
        <v>0</v>
      </c>
      <c r="G18" s="177">
        <f>IF($B18="","",ROUND(SUMIFS(对接源_02物料!$K$4:$K$1203,对接源_02物料!$C$4:$C$1203,$B18,对接源_02物料!$D$4:$D$1203,"次果筐*"),2))</f>
        <v>0</v>
      </c>
      <c r="H18" s="177">
        <f>IF($B18="","",ROUND(SUM($C18:$G18),2))</f>
        <v>0</v>
      </c>
      <c r="I18" s="177">
        <f>IF($B18="","",ROUND(SUMIFS(对接源_01水果!$K$4:$K$1203,对接源_01水果!$C$4:$C$1203,$B18,对接源_01水果!$D$4:$D$1203,"成品出库*",对接源_01水果!$L$4:$L$1203,"已收讫")+SUMIFS(对接源_01水果!$K$4:$K$1203,对接源_01水果!$C$4:$C$1203,$B18,对接源_01水果!$D$4:$D$1203,"成品出库*",对接源_01水果!$L$4:$L$1203,"已付款")+SUMIFS(对接源_01水果!$K$4:$K$1203,对接源_01水果!$C$4:$C$1203,$B18,对接源_01水果!$D$4:$D$1203,"其他代存*",对接源_01水果!$L$4:$L$1203,"已收讫")+SUMIFS(对接源_01水果!$K$4:$K$1203,对接源_01水果!$C$4:$C$1203,$B18,对接源_01水果!$D$4:$D$1203,"其他代存*",对接源_01水果!$L$4:$L$1203,"已付款")+SUMIFS(对接源_02物料!$K$4:$K$1203,对接源_02物料!$C$4:$C$1203,$B18,对接源_02物料!$D$4:$D$1203,"包装物料*",对接源_02物料!$L$4:$L$1203,"已收讫")+SUMIFS(对接源_02物料!$K$4:$K$1203,对接源_02物料!$C$4:$C$1203,$B18,对接源_02物料!$D$4:$D$1203,"包装物料*",对接源_02物料!$L$4:$L$1203,"已付款")+SUMIFS(对接源_02物料!$K$4:$K$1203,对接源_02物料!$C$4:$C$1203,$B18,对接源_02物料!$D$4:$D$1203,"周转筐*",对接源_02物料!$L$4:$L$1203,"已收讫")+SUMIFS(对接源_02物料!$K$4:$K$1203,对接源_02物料!$C$4:$C$1203,$B18,对接源_02物料!$D$4:$D$1203,"周转筐*",对接源_02物料!$L$4:$L$1203,"已付款")+SUMIFS(对接源_02物料!$K$4:$K$1203,对接源_02物料!$C$4:$C$1203,$B18,对接源_02物料!$D$4:$D$1203,"次果筐*",对接源_02物料!$L$4:$L$1203,"已收讫")+SUMIFS(对接源_02物料!$K$4:$K$1203,对接源_02物料!$C$4:$C$1203,$B18,对接源_02物料!$D$4:$D$1203,"次果筐*",对接源_02物料!$L$4:$L$1203,"已付款"),2))</f>
        <v>0</v>
      </c>
      <c r="J18" s="177">
        <f>IF($B18="","",ROUND(N($H18)-N($I18),2))</f>
        <v>0</v>
      </c>
      <c r="K18" s="16" t="str">
        <f>IF($B18="","",IF(ROUND(N($J18),2)&gt;0,"对方欠款",IF(ROUND(N($J18),2)&lt;0,"我方欠款","已两清")))</f>
        <v>已两清</v>
      </c>
      <c r="L18" s="26" t="n"/>
    </row>
    <row r="19" s="127">
      <c r="A19" s="16">
        <f>IF($B19="","",ROW()-3)</f>
        <v>16</v>
      </c>
      <c r="B19" s="11" t="str">
        <f>IFERROR(INDEX(_自动清单!$E$4:$E$303,ROW()-3),"")</f>
        <v>吐尔逊</v>
      </c>
      <c r="C19" s="177">
        <f>IF($B19="","",ROUND(SUMIFS(对接源_01水果!$K$4:$K$1203,对接源_01水果!$C$4:$C$1203,$B19,对接源_01水果!$D$4:$D$1203,"成品出库*"),2))</f>
        <v>0</v>
      </c>
      <c r="D19" s="177">
        <f>IF($B19="","",ROUND(SUMIFS(对接源_01水果!$K$4:$K$1203,对接源_01水果!$C$4:$C$1203,$B19,对接源_01水果!$D$4:$D$1203,"其他代存*"),2))</f>
        <v>0</v>
      </c>
      <c r="E19" s="177">
        <f>IF($B19="","",ROUND(SUMIFS(对接源_02物料!$K$4:$K$1203,对接源_02物料!$C$4:$C$1203,$B19,对接源_02物料!$D$4:$D$1203,"包装物料*"),2))</f>
        <v>1200</v>
      </c>
      <c r="F19" s="177">
        <f>IF($B19="","",ROUND(SUMIFS(对接源_02物料!$K$4:$K$1203,对接源_02物料!$C$4:$C$1203,$B19,对接源_02物料!$D$4:$D$1203,"周转筐*"),2))</f>
        <v>0</v>
      </c>
      <c r="G19" s="177">
        <f>IF($B19="","",ROUND(SUMIFS(对接源_02物料!$K$4:$K$1203,对接源_02物料!$C$4:$C$1203,$B19,对接源_02物料!$D$4:$D$1203,"次果筐*"),2))</f>
        <v>0</v>
      </c>
      <c r="H19" s="177">
        <f>IF($B19="","",ROUND(SUM($C19:$G19),2))</f>
        <v>1200</v>
      </c>
      <c r="I19" s="177">
        <f>IF($B19="","",ROUND(SUMIFS(对接源_01水果!$K$4:$K$1203,对接源_01水果!$C$4:$C$1203,$B19,对接源_01水果!$D$4:$D$1203,"成品出库*",对接源_01水果!$L$4:$L$1203,"已收讫")+SUMIFS(对接源_01水果!$K$4:$K$1203,对接源_01水果!$C$4:$C$1203,$B19,对接源_01水果!$D$4:$D$1203,"成品出库*",对接源_01水果!$L$4:$L$1203,"已付款")+SUMIFS(对接源_01水果!$K$4:$K$1203,对接源_01水果!$C$4:$C$1203,$B19,对接源_01水果!$D$4:$D$1203,"其他代存*",对接源_01水果!$L$4:$L$1203,"已收讫")+SUMIFS(对接源_01水果!$K$4:$K$1203,对接源_01水果!$C$4:$C$1203,$B19,对接源_01水果!$D$4:$D$1203,"其他代存*",对接源_01水果!$L$4:$L$1203,"已付款")+SUMIFS(对接源_02物料!$K$4:$K$1203,对接源_02物料!$C$4:$C$1203,$B19,对接源_02物料!$D$4:$D$1203,"包装物料*",对接源_02物料!$L$4:$L$1203,"已收讫")+SUMIFS(对接源_02物料!$K$4:$K$1203,对接源_02物料!$C$4:$C$1203,$B19,对接源_02物料!$D$4:$D$1203,"包装物料*",对接源_02物料!$L$4:$L$1203,"已付款")+SUMIFS(对接源_02物料!$K$4:$K$1203,对接源_02物料!$C$4:$C$1203,$B19,对接源_02物料!$D$4:$D$1203,"周转筐*",对接源_02物料!$L$4:$L$1203,"已收讫")+SUMIFS(对接源_02物料!$K$4:$K$1203,对接源_02物料!$C$4:$C$1203,$B19,对接源_02物料!$D$4:$D$1203,"周转筐*",对接源_02物料!$L$4:$L$1203,"已付款")+SUMIFS(对接源_02物料!$K$4:$K$1203,对接源_02物料!$C$4:$C$1203,$B19,对接源_02物料!$D$4:$D$1203,"次果筐*",对接源_02物料!$L$4:$L$1203,"已收讫")+SUMIFS(对接源_02物料!$K$4:$K$1203,对接源_02物料!$C$4:$C$1203,$B19,对接源_02物料!$D$4:$D$1203,"次果筐*",对接源_02物料!$L$4:$L$1203,"已付款"),2))</f>
        <v>0</v>
      </c>
      <c r="J19" s="177">
        <f>IF($B19="","",ROUND(N($H19)-N($I19),2))</f>
        <v>1200</v>
      </c>
      <c r="K19" s="16" t="str">
        <f>IF($B19="","",IF(ROUND(N($J19),2)&gt;0,"对方欠款",IF(ROUND(N($J19),2)&lt;0,"我方欠款","已两清")))</f>
        <v>对方欠款</v>
      </c>
      <c r="L19" s="26" t="n"/>
    </row>
    <row r="20" s="127">
      <c r="A20" s="16">
        <f>IF($B20="","",ROW()-3)</f>
        <v>17</v>
      </c>
      <c r="B20" s="11" t="str">
        <f>IFERROR(INDEX(_自动清单!$E$4:$E$303,ROW()-3),"")</f>
        <v>阿布都</v>
      </c>
      <c r="C20" s="177">
        <f>IF($B20="","",ROUND(SUMIFS(对接源_01水果!$K$4:$K$1203,对接源_01水果!$C$4:$C$1203,$B20,对接源_01水果!$D$4:$D$1203,"成品出库*"),2))</f>
        <v>0</v>
      </c>
      <c r="D20" s="177">
        <f>IF($B20="","",ROUND(SUMIFS(对接源_01水果!$K$4:$K$1203,对接源_01水果!$C$4:$C$1203,$B20,对接源_01水果!$D$4:$D$1203,"其他代存*"),2))</f>
        <v>0</v>
      </c>
      <c r="E20" s="177">
        <f>IF($B20="","",ROUND(SUMIFS(对接源_02物料!$K$4:$K$1203,对接源_02物料!$C$4:$C$1203,$B20,对接源_02物料!$D$4:$D$1203,"包装物料*"),2))</f>
        <v>0</v>
      </c>
      <c r="F20" s="177">
        <f>IF($B20="","",ROUND(SUMIFS(对接源_02物料!$K$4:$K$1203,对接源_02物料!$C$4:$C$1203,$B20,对接源_02物料!$D$4:$D$1203,"周转筐*"),2))</f>
        <v>0</v>
      </c>
      <c r="G20" s="177">
        <f>IF($B20="","",ROUND(SUMIFS(对接源_02物料!$K$4:$K$1203,对接源_02物料!$C$4:$C$1203,$B20,对接源_02物料!$D$4:$D$1203,"次果筐*"),2))</f>
        <v>0</v>
      </c>
      <c r="H20" s="177">
        <f>IF($B20="","",ROUND(SUM($C20:$G20),2))</f>
        <v>0</v>
      </c>
      <c r="I20" s="177">
        <f>IF($B20="","",ROUND(SUMIFS(对接源_01水果!$K$4:$K$1203,对接源_01水果!$C$4:$C$1203,$B20,对接源_01水果!$D$4:$D$1203,"成品出库*",对接源_01水果!$L$4:$L$1203,"已收讫")+SUMIFS(对接源_01水果!$K$4:$K$1203,对接源_01水果!$C$4:$C$1203,$B20,对接源_01水果!$D$4:$D$1203,"成品出库*",对接源_01水果!$L$4:$L$1203,"已付款")+SUMIFS(对接源_01水果!$K$4:$K$1203,对接源_01水果!$C$4:$C$1203,$B20,对接源_01水果!$D$4:$D$1203,"其他代存*",对接源_01水果!$L$4:$L$1203,"已收讫")+SUMIFS(对接源_01水果!$K$4:$K$1203,对接源_01水果!$C$4:$C$1203,$B20,对接源_01水果!$D$4:$D$1203,"其他代存*",对接源_01水果!$L$4:$L$1203,"已付款")+SUMIFS(对接源_02物料!$K$4:$K$1203,对接源_02物料!$C$4:$C$1203,$B20,对接源_02物料!$D$4:$D$1203,"包装物料*",对接源_02物料!$L$4:$L$1203,"已收讫")+SUMIFS(对接源_02物料!$K$4:$K$1203,对接源_02物料!$C$4:$C$1203,$B20,对接源_02物料!$D$4:$D$1203,"包装物料*",对接源_02物料!$L$4:$L$1203,"已付款")+SUMIFS(对接源_02物料!$K$4:$K$1203,对接源_02物料!$C$4:$C$1203,$B20,对接源_02物料!$D$4:$D$1203,"周转筐*",对接源_02物料!$L$4:$L$1203,"已收讫")+SUMIFS(对接源_02物料!$K$4:$K$1203,对接源_02物料!$C$4:$C$1203,$B20,对接源_02物料!$D$4:$D$1203,"周转筐*",对接源_02物料!$L$4:$L$1203,"已付款")+SUMIFS(对接源_02物料!$K$4:$K$1203,对接源_02物料!$C$4:$C$1203,$B20,对接源_02物料!$D$4:$D$1203,"次果筐*",对接源_02物料!$L$4:$L$1203,"已收讫")+SUMIFS(对接源_02物料!$K$4:$K$1203,对接源_02物料!$C$4:$C$1203,$B20,对接源_02物料!$D$4:$D$1203,"次果筐*",对接源_02物料!$L$4:$L$1203,"已付款"),2))</f>
        <v>0</v>
      </c>
      <c r="J20" s="177">
        <f>IF($B20="","",ROUND(N($H20)-N($I20),2))</f>
        <v>0</v>
      </c>
      <c r="K20" s="16" t="str">
        <f>IF($B20="","",IF(ROUND(N($J20),2)&gt;0,"对方欠款",IF(ROUND(N($J20),2)&lt;0,"我方欠款","已两清")))</f>
        <v>已两清</v>
      </c>
      <c r="L20" s="26" t="n"/>
    </row>
    <row r="21" s="127">
      <c r="A21" s="16">
        <f>IF($B21="","",ROW()-3)</f>
        <v>18</v>
      </c>
      <c r="B21" s="11" t="str">
        <f>IFERROR(INDEX(_自动清单!$E$4:$E$303,ROW()-3),"")</f>
        <v>艾则孜</v>
      </c>
      <c r="C21" s="177">
        <f>IF($B21="","",ROUND(SUMIFS(对接源_01水果!$K$4:$K$1203,对接源_01水果!$C$4:$C$1203,$B21,对接源_01水果!$D$4:$D$1203,"成品出库*"),2))</f>
        <v>0</v>
      </c>
      <c r="D21" s="177">
        <f>IF($B21="","",ROUND(SUMIFS(对接源_01水果!$K$4:$K$1203,对接源_01水果!$C$4:$C$1203,$B21,对接源_01水果!$D$4:$D$1203,"其他代存*"),2))</f>
        <v>0</v>
      </c>
      <c r="E21" s="177">
        <f>IF($B21="","",ROUND(SUMIFS(对接源_02物料!$K$4:$K$1203,对接源_02物料!$C$4:$C$1203,$B21,对接源_02物料!$D$4:$D$1203,"包装物料*"),2))</f>
        <v>0</v>
      </c>
      <c r="F21" s="177">
        <f>IF($B21="","",ROUND(SUMIFS(对接源_02物料!$K$4:$K$1203,对接源_02物料!$C$4:$C$1203,$B21,对接源_02物料!$D$4:$D$1203,"周转筐*"),2))</f>
        <v>0</v>
      </c>
      <c r="G21" s="177">
        <f>IF($B21="","",ROUND(SUMIFS(对接源_02物料!$K$4:$K$1203,对接源_02物料!$C$4:$C$1203,$B21,对接源_02物料!$D$4:$D$1203,"次果筐*"),2))</f>
        <v>0</v>
      </c>
      <c r="H21" s="177">
        <f>IF($B21="","",ROUND(SUM($C21:$G21),2))</f>
        <v>0</v>
      </c>
      <c r="I21" s="177">
        <f>IF($B21="","",ROUND(SUMIFS(对接源_01水果!$K$4:$K$1203,对接源_01水果!$C$4:$C$1203,$B21,对接源_01水果!$D$4:$D$1203,"成品出库*",对接源_01水果!$L$4:$L$1203,"已收讫")+SUMIFS(对接源_01水果!$K$4:$K$1203,对接源_01水果!$C$4:$C$1203,$B21,对接源_01水果!$D$4:$D$1203,"成品出库*",对接源_01水果!$L$4:$L$1203,"已付款")+SUMIFS(对接源_01水果!$K$4:$K$1203,对接源_01水果!$C$4:$C$1203,$B21,对接源_01水果!$D$4:$D$1203,"其他代存*",对接源_01水果!$L$4:$L$1203,"已收讫")+SUMIFS(对接源_01水果!$K$4:$K$1203,对接源_01水果!$C$4:$C$1203,$B21,对接源_01水果!$D$4:$D$1203,"其他代存*",对接源_01水果!$L$4:$L$1203,"已付款")+SUMIFS(对接源_02物料!$K$4:$K$1203,对接源_02物料!$C$4:$C$1203,$B21,对接源_02物料!$D$4:$D$1203,"包装物料*",对接源_02物料!$L$4:$L$1203,"已收讫")+SUMIFS(对接源_02物料!$K$4:$K$1203,对接源_02物料!$C$4:$C$1203,$B21,对接源_02物料!$D$4:$D$1203,"包装物料*",对接源_02物料!$L$4:$L$1203,"已付款")+SUMIFS(对接源_02物料!$K$4:$K$1203,对接源_02物料!$C$4:$C$1203,$B21,对接源_02物料!$D$4:$D$1203,"周转筐*",对接源_02物料!$L$4:$L$1203,"已收讫")+SUMIFS(对接源_02物料!$K$4:$K$1203,对接源_02物料!$C$4:$C$1203,$B21,对接源_02物料!$D$4:$D$1203,"周转筐*",对接源_02物料!$L$4:$L$1203,"已付款")+SUMIFS(对接源_02物料!$K$4:$K$1203,对接源_02物料!$C$4:$C$1203,$B21,对接源_02物料!$D$4:$D$1203,"次果筐*",对接源_02物料!$L$4:$L$1203,"已收讫")+SUMIFS(对接源_02物料!$K$4:$K$1203,对接源_02物料!$C$4:$C$1203,$B21,对接源_02物料!$D$4:$D$1203,"次果筐*",对接源_02物料!$L$4:$L$1203,"已付款"),2))</f>
        <v>0</v>
      </c>
      <c r="J21" s="177">
        <f>IF($B21="","",ROUND(N($H21)-N($I21),2))</f>
        <v>0</v>
      </c>
      <c r="K21" s="16" t="str">
        <f>IF($B21="","",IF(ROUND(N($J21),2)&gt;0,"对方欠款",IF(ROUND(N($J21),2)&lt;0,"我方欠款","已两清")))</f>
        <v>已两清</v>
      </c>
      <c r="L21" s="26" t="n"/>
    </row>
    <row r="22" s="127">
      <c r="A22" s="16">
        <f>IF($B22="","",ROW()-3)</f>
        <v>19</v>
      </c>
      <c r="B22" s="11" t="str">
        <f>IFERROR(INDEX(_自动清单!$E$4:$E$303,ROW()-3),"")</f>
        <v>田浩芝</v>
      </c>
      <c r="C22" s="177">
        <f>IF($B22="","",ROUND(SUMIFS(对接源_01水果!$K$4:$K$1203,对接源_01水果!$C$4:$C$1203,$B22,对接源_01水果!$D$4:$D$1203,"成品出库*"),2))</f>
        <v>0</v>
      </c>
      <c r="D22" s="177">
        <f>IF($B22="","",ROUND(SUMIFS(对接源_01水果!$K$4:$K$1203,对接源_01水果!$C$4:$C$1203,$B22,对接源_01水果!$D$4:$D$1203,"其他代存*"),2))</f>
        <v>0</v>
      </c>
      <c r="E22" s="177">
        <f>IF($B22="","",ROUND(SUMIFS(对接源_02物料!$K$4:$K$1203,对接源_02物料!$C$4:$C$1203,$B22,对接源_02物料!$D$4:$D$1203,"包装物料*"),2))</f>
        <v>0</v>
      </c>
      <c r="F22" s="177">
        <f>IF($B22="","",ROUND(SUMIFS(对接源_02物料!$K$4:$K$1203,对接源_02物料!$C$4:$C$1203,$B22,对接源_02物料!$D$4:$D$1203,"周转筐*"),2))</f>
        <v>0</v>
      </c>
      <c r="G22" s="177">
        <f>IF($B22="","",ROUND(SUMIFS(对接源_02物料!$K$4:$K$1203,对接源_02物料!$C$4:$C$1203,$B22,对接源_02物料!$D$4:$D$1203,"次果筐*"),2))</f>
        <v>0</v>
      </c>
      <c r="H22" s="177">
        <f>IF($B22="","",ROUND(SUM($C22:$G22),2))</f>
        <v>0</v>
      </c>
      <c r="I22" s="177">
        <f>IF($B22="","",ROUND(SUMIFS(对接源_01水果!$K$4:$K$1203,对接源_01水果!$C$4:$C$1203,$B22,对接源_01水果!$D$4:$D$1203,"成品出库*",对接源_01水果!$L$4:$L$1203,"已收讫")+SUMIFS(对接源_01水果!$K$4:$K$1203,对接源_01水果!$C$4:$C$1203,$B22,对接源_01水果!$D$4:$D$1203,"成品出库*",对接源_01水果!$L$4:$L$1203,"已付款")+SUMIFS(对接源_01水果!$K$4:$K$1203,对接源_01水果!$C$4:$C$1203,$B22,对接源_01水果!$D$4:$D$1203,"其他代存*",对接源_01水果!$L$4:$L$1203,"已收讫")+SUMIFS(对接源_01水果!$K$4:$K$1203,对接源_01水果!$C$4:$C$1203,$B22,对接源_01水果!$D$4:$D$1203,"其他代存*",对接源_01水果!$L$4:$L$1203,"已付款")+SUMIFS(对接源_02物料!$K$4:$K$1203,对接源_02物料!$C$4:$C$1203,$B22,对接源_02物料!$D$4:$D$1203,"包装物料*",对接源_02物料!$L$4:$L$1203,"已收讫")+SUMIFS(对接源_02物料!$K$4:$K$1203,对接源_02物料!$C$4:$C$1203,$B22,对接源_02物料!$D$4:$D$1203,"包装物料*",对接源_02物料!$L$4:$L$1203,"已付款")+SUMIFS(对接源_02物料!$K$4:$K$1203,对接源_02物料!$C$4:$C$1203,$B22,对接源_02物料!$D$4:$D$1203,"周转筐*",对接源_02物料!$L$4:$L$1203,"已收讫")+SUMIFS(对接源_02物料!$K$4:$K$1203,对接源_02物料!$C$4:$C$1203,$B22,对接源_02物料!$D$4:$D$1203,"周转筐*",对接源_02物料!$L$4:$L$1203,"已付款")+SUMIFS(对接源_02物料!$K$4:$K$1203,对接源_02物料!$C$4:$C$1203,$B22,对接源_02物料!$D$4:$D$1203,"次果筐*",对接源_02物料!$L$4:$L$1203,"已收讫")+SUMIFS(对接源_02物料!$K$4:$K$1203,对接源_02物料!$C$4:$C$1203,$B22,对接源_02物料!$D$4:$D$1203,"次果筐*",对接源_02物料!$L$4:$L$1203,"已付款"),2))</f>
        <v>0</v>
      </c>
      <c r="J22" s="177">
        <f>IF($B22="","",ROUND(N($H22)-N($I22),2))</f>
        <v>0</v>
      </c>
      <c r="K22" s="16" t="str">
        <f>IF($B22="","",IF(ROUND(N($J22),2)&gt;0,"对方欠款",IF(ROUND(N($J22),2)&lt;0,"我方欠款","已两清")))</f>
        <v>已两清</v>
      </c>
      <c r="L22" s="26" t="n"/>
    </row>
    <row r="23" s="127">
      <c r="A23" s="16">
        <f>IF($B23="","",ROW()-3)</f>
        <v>20</v>
      </c>
      <c r="B23" s="11" t="str">
        <f>IFERROR(INDEX(_自动清单!$E$4:$E$303,ROW()-3),"")</f>
        <v>艾海提</v>
      </c>
      <c r="C23" s="177">
        <f>IF($B23="","",ROUND(SUMIFS(对接源_01水果!$K$4:$K$1203,对接源_01水果!$C$4:$C$1203,$B23,对接源_01水果!$D$4:$D$1203,"成品出库*"),2))</f>
        <v>0</v>
      </c>
      <c r="D23" s="177">
        <f>IF($B23="","",ROUND(SUMIFS(对接源_01水果!$K$4:$K$1203,对接源_01水果!$C$4:$C$1203,$B23,对接源_01水果!$D$4:$D$1203,"其他代存*"),2))</f>
        <v>0</v>
      </c>
      <c r="E23" s="177">
        <f>IF($B23="","",ROUND(SUMIFS(对接源_02物料!$K$4:$K$1203,对接源_02物料!$C$4:$C$1203,$B23,对接源_02物料!$D$4:$D$1203,"包装物料*"),2))</f>
        <v>540</v>
      </c>
      <c r="F23" s="177">
        <f>IF($B23="","",ROUND(SUMIFS(对接源_02物料!$K$4:$K$1203,对接源_02物料!$C$4:$C$1203,$B23,对接源_02物料!$D$4:$D$1203,"周转筐*"),2))</f>
        <v>0</v>
      </c>
      <c r="G23" s="177">
        <f>IF($B23="","",ROUND(SUMIFS(对接源_02物料!$K$4:$K$1203,对接源_02物料!$C$4:$C$1203,$B23,对接源_02物料!$D$4:$D$1203,"次果筐*"),2))</f>
        <v>0</v>
      </c>
      <c r="H23" s="177">
        <f>IF($B23="","",ROUND(SUM($C23:$G23),2))</f>
        <v>540</v>
      </c>
      <c r="I23" s="177">
        <f>IF($B23="","",ROUND(SUMIFS(对接源_01水果!$K$4:$K$1203,对接源_01水果!$C$4:$C$1203,$B23,对接源_01水果!$D$4:$D$1203,"成品出库*",对接源_01水果!$L$4:$L$1203,"已收讫")+SUMIFS(对接源_01水果!$K$4:$K$1203,对接源_01水果!$C$4:$C$1203,$B23,对接源_01水果!$D$4:$D$1203,"成品出库*",对接源_01水果!$L$4:$L$1203,"已付款")+SUMIFS(对接源_01水果!$K$4:$K$1203,对接源_01水果!$C$4:$C$1203,$B23,对接源_01水果!$D$4:$D$1203,"其他代存*",对接源_01水果!$L$4:$L$1203,"已收讫")+SUMIFS(对接源_01水果!$K$4:$K$1203,对接源_01水果!$C$4:$C$1203,$B23,对接源_01水果!$D$4:$D$1203,"其他代存*",对接源_01水果!$L$4:$L$1203,"已付款")+SUMIFS(对接源_02物料!$K$4:$K$1203,对接源_02物料!$C$4:$C$1203,$B23,对接源_02物料!$D$4:$D$1203,"包装物料*",对接源_02物料!$L$4:$L$1203,"已收讫")+SUMIFS(对接源_02物料!$K$4:$K$1203,对接源_02物料!$C$4:$C$1203,$B23,对接源_02物料!$D$4:$D$1203,"包装物料*",对接源_02物料!$L$4:$L$1203,"已付款")+SUMIFS(对接源_02物料!$K$4:$K$1203,对接源_02物料!$C$4:$C$1203,$B23,对接源_02物料!$D$4:$D$1203,"周转筐*",对接源_02物料!$L$4:$L$1203,"已收讫")+SUMIFS(对接源_02物料!$K$4:$K$1203,对接源_02物料!$C$4:$C$1203,$B23,对接源_02物料!$D$4:$D$1203,"周转筐*",对接源_02物料!$L$4:$L$1203,"已付款")+SUMIFS(对接源_02物料!$K$4:$K$1203,对接源_02物料!$C$4:$C$1203,$B23,对接源_02物料!$D$4:$D$1203,"次果筐*",对接源_02物料!$L$4:$L$1203,"已收讫")+SUMIFS(对接源_02物料!$K$4:$K$1203,对接源_02物料!$C$4:$C$1203,$B23,对接源_02物料!$D$4:$D$1203,"次果筐*",对接源_02物料!$L$4:$L$1203,"已付款"),2))</f>
        <v>0</v>
      </c>
      <c r="J23" s="177">
        <f>IF($B23="","",ROUND(N($H23)-N($I23),2))</f>
        <v>540</v>
      </c>
      <c r="K23" s="16" t="str">
        <f>IF($B23="","",IF(ROUND(N($J23),2)&gt;0,"对方欠款",IF(ROUND(N($J23),2)&lt;0,"我方欠款","已两清")))</f>
        <v>对方欠款</v>
      </c>
      <c r="L23" s="26" t="n"/>
    </row>
    <row r="24" s="127">
      <c r="A24" s="16">
        <f>IF($B24="","",ROW()-3)</f>
        <v>21</v>
      </c>
      <c r="B24" s="11" t="str">
        <f>IFERROR(INDEX(_自动清单!$E$4:$E$303,ROW()-3),"")</f>
        <v>金龙</v>
      </c>
      <c r="C24" s="177">
        <f>IF($B24="","",ROUND(SUMIFS(对接源_01水果!$K$4:$K$1203,对接源_01水果!$C$4:$C$1203,$B24,对接源_01水果!$D$4:$D$1203,"成品出库*"),2))</f>
        <v>0</v>
      </c>
      <c r="D24" s="177">
        <f>IF($B24="","",ROUND(SUMIFS(对接源_01水果!$K$4:$K$1203,对接源_01水果!$C$4:$C$1203,$B24,对接源_01水果!$D$4:$D$1203,"其他代存*"),2))</f>
        <v>0</v>
      </c>
      <c r="E24" s="177">
        <f>IF($B24="","",ROUND(SUMIFS(对接源_02物料!$K$4:$K$1203,对接源_02物料!$C$4:$C$1203,$B24,对接源_02物料!$D$4:$D$1203,"包装物料*"),2))</f>
        <v>0</v>
      </c>
      <c r="F24" s="177">
        <f>IF($B24="","",ROUND(SUMIFS(对接源_02物料!$K$4:$K$1203,对接源_02物料!$C$4:$C$1203,$B24,对接源_02物料!$D$4:$D$1203,"周转筐*"),2))</f>
        <v>0</v>
      </c>
      <c r="G24" s="177">
        <f>IF($B24="","",ROUND(SUMIFS(对接源_02物料!$K$4:$K$1203,对接源_02物料!$C$4:$C$1203,$B24,对接源_02物料!$D$4:$D$1203,"次果筐*"),2))</f>
        <v>0</v>
      </c>
      <c r="H24" s="177">
        <f>IF($B24="","",ROUND(SUM($C24:$G24),2))</f>
        <v>0</v>
      </c>
      <c r="I24" s="177">
        <f>IF($B24="","",ROUND(SUMIFS(对接源_01水果!$K$4:$K$1203,对接源_01水果!$C$4:$C$1203,$B24,对接源_01水果!$D$4:$D$1203,"成品出库*",对接源_01水果!$L$4:$L$1203,"已收讫")+SUMIFS(对接源_01水果!$K$4:$K$1203,对接源_01水果!$C$4:$C$1203,$B24,对接源_01水果!$D$4:$D$1203,"成品出库*",对接源_01水果!$L$4:$L$1203,"已付款")+SUMIFS(对接源_01水果!$K$4:$K$1203,对接源_01水果!$C$4:$C$1203,$B24,对接源_01水果!$D$4:$D$1203,"其他代存*",对接源_01水果!$L$4:$L$1203,"已收讫")+SUMIFS(对接源_01水果!$K$4:$K$1203,对接源_01水果!$C$4:$C$1203,$B24,对接源_01水果!$D$4:$D$1203,"其他代存*",对接源_01水果!$L$4:$L$1203,"已付款")+SUMIFS(对接源_02物料!$K$4:$K$1203,对接源_02物料!$C$4:$C$1203,$B24,对接源_02物料!$D$4:$D$1203,"包装物料*",对接源_02物料!$L$4:$L$1203,"已收讫")+SUMIFS(对接源_02物料!$K$4:$K$1203,对接源_02物料!$C$4:$C$1203,$B24,对接源_02物料!$D$4:$D$1203,"包装物料*",对接源_02物料!$L$4:$L$1203,"已付款")+SUMIFS(对接源_02物料!$K$4:$K$1203,对接源_02物料!$C$4:$C$1203,$B24,对接源_02物料!$D$4:$D$1203,"周转筐*",对接源_02物料!$L$4:$L$1203,"已收讫")+SUMIFS(对接源_02物料!$K$4:$K$1203,对接源_02物料!$C$4:$C$1203,$B24,对接源_02物料!$D$4:$D$1203,"周转筐*",对接源_02物料!$L$4:$L$1203,"已付款")+SUMIFS(对接源_02物料!$K$4:$K$1203,对接源_02物料!$C$4:$C$1203,$B24,对接源_02物料!$D$4:$D$1203,"次果筐*",对接源_02物料!$L$4:$L$1203,"已收讫")+SUMIFS(对接源_02物料!$K$4:$K$1203,对接源_02物料!$C$4:$C$1203,$B24,对接源_02物料!$D$4:$D$1203,"次果筐*",对接源_02物料!$L$4:$L$1203,"已付款"),2))</f>
        <v>0</v>
      </c>
      <c r="J24" s="177">
        <f>IF($B24="","",ROUND(N($H24)-N($I24),2))</f>
        <v>0</v>
      </c>
      <c r="K24" s="16" t="str">
        <f>IF($B24="","",IF(ROUND(N($J24),2)&gt;0,"对方欠款",IF(ROUND(N($J24),2)&lt;0,"我方欠款","已两清")))</f>
        <v>已两清</v>
      </c>
      <c r="L24" s="26" t="n"/>
    </row>
    <row r="25" s="127">
      <c r="A25" s="16">
        <f>IF($B25="","",ROW()-3)</f>
        <v>22</v>
      </c>
      <c r="B25" s="11" t="str">
        <f>IFERROR(INDEX(_自动清单!$E$4:$E$303,ROW()-3),"")</f>
        <v>吐尔地</v>
      </c>
      <c r="C25" s="177">
        <f>IF($B25="","",ROUND(SUMIFS(对接源_01水果!$K$4:$K$1203,对接源_01水果!$C$4:$C$1203,$B25,对接源_01水果!$D$4:$D$1203,"成品出库*"),2))</f>
        <v>0</v>
      </c>
      <c r="D25" s="177">
        <f>IF($B25="","",ROUND(SUMIFS(对接源_01水果!$K$4:$K$1203,对接源_01水果!$C$4:$C$1203,$B25,对接源_01水果!$D$4:$D$1203,"其他代存*"),2))</f>
        <v>0</v>
      </c>
      <c r="E25" s="177">
        <f>IF($B25="","",ROUND(SUMIFS(对接源_02物料!$K$4:$K$1203,对接源_02物料!$C$4:$C$1203,$B25,对接源_02物料!$D$4:$D$1203,"包装物料*"),2))</f>
        <v>2340</v>
      </c>
      <c r="F25" s="177">
        <f>IF($B25="","",ROUND(SUMIFS(对接源_02物料!$K$4:$K$1203,对接源_02物料!$C$4:$C$1203,$B25,对接源_02物料!$D$4:$D$1203,"周转筐*"),2))</f>
        <v>0</v>
      </c>
      <c r="G25" s="177">
        <f>IF($B25="","",ROUND(SUMIFS(对接源_02物料!$K$4:$K$1203,对接源_02物料!$C$4:$C$1203,$B25,对接源_02物料!$D$4:$D$1203,"次果筐*"),2))</f>
        <v>0</v>
      </c>
      <c r="H25" s="177">
        <f>IF($B25="","",ROUND(SUM($C25:$G25),2))</f>
        <v>2340</v>
      </c>
      <c r="I25" s="177">
        <f>IF($B25="","",ROUND(SUMIFS(对接源_01水果!$K$4:$K$1203,对接源_01水果!$C$4:$C$1203,$B25,对接源_01水果!$D$4:$D$1203,"成品出库*",对接源_01水果!$L$4:$L$1203,"已收讫")+SUMIFS(对接源_01水果!$K$4:$K$1203,对接源_01水果!$C$4:$C$1203,$B25,对接源_01水果!$D$4:$D$1203,"成品出库*",对接源_01水果!$L$4:$L$1203,"已付款")+SUMIFS(对接源_01水果!$K$4:$K$1203,对接源_01水果!$C$4:$C$1203,$B25,对接源_01水果!$D$4:$D$1203,"其他代存*",对接源_01水果!$L$4:$L$1203,"已收讫")+SUMIFS(对接源_01水果!$K$4:$K$1203,对接源_01水果!$C$4:$C$1203,$B25,对接源_01水果!$D$4:$D$1203,"其他代存*",对接源_01水果!$L$4:$L$1203,"已付款")+SUMIFS(对接源_02物料!$K$4:$K$1203,对接源_02物料!$C$4:$C$1203,$B25,对接源_02物料!$D$4:$D$1203,"包装物料*",对接源_02物料!$L$4:$L$1203,"已收讫")+SUMIFS(对接源_02物料!$K$4:$K$1203,对接源_02物料!$C$4:$C$1203,$B25,对接源_02物料!$D$4:$D$1203,"包装物料*",对接源_02物料!$L$4:$L$1203,"已付款")+SUMIFS(对接源_02物料!$K$4:$K$1203,对接源_02物料!$C$4:$C$1203,$B25,对接源_02物料!$D$4:$D$1203,"周转筐*",对接源_02物料!$L$4:$L$1203,"已收讫")+SUMIFS(对接源_02物料!$K$4:$K$1203,对接源_02物料!$C$4:$C$1203,$B25,对接源_02物料!$D$4:$D$1203,"周转筐*",对接源_02物料!$L$4:$L$1203,"已付款")+SUMIFS(对接源_02物料!$K$4:$K$1203,对接源_02物料!$C$4:$C$1203,$B25,对接源_02物料!$D$4:$D$1203,"次果筐*",对接源_02物料!$L$4:$L$1203,"已收讫")+SUMIFS(对接源_02物料!$K$4:$K$1203,对接源_02物料!$C$4:$C$1203,$B25,对接源_02物料!$D$4:$D$1203,"次果筐*",对接源_02物料!$L$4:$L$1203,"已付款"),2))</f>
        <v>0</v>
      </c>
      <c r="J25" s="177">
        <f>IF($B25="","",ROUND(N($H25)-N($I25),2))</f>
        <v>2340</v>
      </c>
      <c r="K25" s="16" t="str">
        <f>IF($B25="","",IF(ROUND(N($J25),2)&gt;0,"对方欠款",IF(ROUND(N($J25),2)&lt;0,"我方欠款","已两清")))</f>
        <v>对方欠款</v>
      </c>
      <c r="L25" s="26" t="n"/>
    </row>
    <row r="26" s="127">
      <c r="A26" s="16">
        <f>IF($B26="","",ROW()-3)</f>
        <v>23</v>
      </c>
      <c r="B26" s="11" t="str">
        <f>IFERROR(INDEX(_自动清单!$E$4:$E$303,ROW()-3),"")</f>
        <v>果然鲜</v>
      </c>
      <c r="C26" s="177">
        <f>IF($B26="","",ROUND(SUMIFS(对接源_01水果!$K$4:$K$1203,对接源_01水果!$C$4:$C$1203,$B26,对接源_01水果!$D$4:$D$1203,"成品出库*"),2))</f>
        <v>0</v>
      </c>
      <c r="D26" s="177">
        <f>IF($B26="","",ROUND(SUMIFS(对接源_01水果!$K$4:$K$1203,对接源_01水果!$C$4:$C$1203,$B26,对接源_01水果!$D$4:$D$1203,"其他代存*"),2))</f>
        <v>0</v>
      </c>
      <c r="E26" s="177">
        <f>IF($B26="","",ROUND(SUMIFS(对接源_02物料!$K$4:$K$1203,对接源_02物料!$C$4:$C$1203,$B26,对接源_02物料!$D$4:$D$1203,"包装物料*"),2))</f>
        <v>0</v>
      </c>
      <c r="F26" s="177">
        <f>IF($B26="","",ROUND(SUMIFS(对接源_02物料!$K$4:$K$1203,对接源_02物料!$C$4:$C$1203,$B26,对接源_02物料!$D$4:$D$1203,"周转筐*"),2))</f>
        <v>0</v>
      </c>
      <c r="G26" s="177">
        <f>IF($B26="","",ROUND(SUMIFS(对接源_02物料!$K$4:$K$1203,对接源_02物料!$C$4:$C$1203,$B26,对接源_02物料!$D$4:$D$1203,"次果筐*"),2))</f>
        <v>0</v>
      </c>
      <c r="H26" s="177">
        <f>IF($B26="","",ROUND(SUM($C26:$G26),2))</f>
        <v>0</v>
      </c>
      <c r="I26" s="177">
        <f>IF($B26="","",ROUND(SUMIFS(对接源_01水果!$K$4:$K$1203,对接源_01水果!$C$4:$C$1203,$B26,对接源_01水果!$D$4:$D$1203,"成品出库*",对接源_01水果!$L$4:$L$1203,"已收讫")+SUMIFS(对接源_01水果!$K$4:$K$1203,对接源_01水果!$C$4:$C$1203,$B26,对接源_01水果!$D$4:$D$1203,"成品出库*",对接源_01水果!$L$4:$L$1203,"已付款")+SUMIFS(对接源_01水果!$K$4:$K$1203,对接源_01水果!$C$4:$C$1203,$B26,对接源_01水果!$D$4:$D$1203,"其他代存*",对接源_01水果!$L$4:$L$1203,"已收讫")+SUMIFS(对接源_01水果!$K$4:$K$1203,对接源_01水果!$C$4:$C$1203,$B26,对接源_01水果!$D$4:$D$1203,"其他代存*",对接源_01水果!$L$4:$L$1203,"已付款")+SUMIFS(对接源_02物料!$K$4:$K$1203,对接源_02物料!$C$4:$C$1203,$B26,对接源_02物料!$D$4:$D$1203,"包装物料*",对接源_02物料!$L$4:$L$1203,"已收讫")+SUMIFS(对接源_02物料!$K$4:$K$1203,对接源_02物料!$C$4:$C$1203,$B26,对接源_02物料!$D$4:$D$1203,"包装物料*",对接源_02物料!$L$4:$L$1203,"已付款")+SUMIFS(对接源_02物料!$K$4:$K$1203,对接源_02物料!$C$4:$C$1203,$B26,对接源_02物料!$D$4:$D$1203,"周转筐*",对接源_02物料!$L$4:$L$1203,"已收讫")+SUMIFS(对接源_02物料!$K$4:$K$1203,对接源_02物料!$C$4:$C$1203,$B26,对接源_02物料!$D$4:$D$1203,"周转筐*",对接源_02物料!$L$4:$L$1203,"已付款")+SUMIFS(对接源_02物料!$K$4:$K$1203,对接源_02物料!$C$4:$C$1203,$B26,对接源_02物料!$D$4:$D$1203,"次果筐*",对接源_02物料!$L$4:$L$1203,"已收讫")+SUMIFS(对接源_02物料!$K$4:$K$1203,对接源_02物料!$C$4:$C$1203,$B26,对接源_02物料!$D$4:$D$1203,"次果筐*",对接源_02物料!$L$4:$L$1203,"已付款"),2))</f>
        <v>0</v>
      </c>
      <c r="J26" s="177">
        <f>IF($B26="","",ROUND(N($H26)-N($I26),2))</f>
        <v>0</v>
      </c>
      <c r="K26" s="16" t="str">
        <f>IF($B26="","",IF(ROUND(N($J26),2)&gt;0,"对方欠款",IF(ROUND(N($J26),2)&lt;0,"我方欠款","已两清")))</f>
        <v>已两清</v>
      </c>
      <c r="L26" s="26" t="n"/>
    </row>
    <row r="27" s="127">
      <c r="A27" s="16">
        <f>IF($B27="","",ROW()-3)</f>
        <v>24</v>
      </c>
      <c r="B27" s="11" t="str">
        <f>IFERROR(INDEX(_自动清单!$E$4:$E$303,ROW()-3),"")</f>
        <v>新顺发泡网</v>
      </c>
      <c r="C27" s="177">
        <f>IF($B27="","",ROUND(SUMIFS(对接源_01水果!$K$4:$K$1203,对接源_01水果!$C$4:$C$1203,$B27,对接源_01水果!$D$4:$D$1203,"成品出库*"),2))</f>
        <v>0</v>
      </c>
      <c r="D27" s="177">
        <f>IF($B27="","",ROUND(SUMIFS(对接源_01水果!$K$4:$K$1203,对接源_01水果!$C$4:$C$1203,$B27,对接源_01水果!$D$4:$D$1203,"其他代存*"),2))</f>
        <v>0</v>
      </c>
      <c r="E27" s="177">
        <f>IF($B27="","",ROUND(SUMIFS(对接源_02物料!$K$4:$K$1203,对接源_02物料!$C$4:$C$1203,$B27,对接源_02物料!$D$4:$D$1203,"包装物料*"),2))</f>
        <v>75924</v>
      </c>
      <c r="F27" s="177">
        <f>IF($B27="","",ROUND(SUMIFS(对接源_02物料!$K$4:$K$1203,对接源_02物料!$C$4:$C$1203,$B27,对接源_02物料!$D$4:$D$1203,"周转筐*"),2))</f>
        <v>0</v>
      </c>
      <c r="G27" s="177">
        <f>IF($B27="","",ROUND(SUMIFS(对接源_02物料!$K$4:$K$1203,对接源_02物料!$C$4:$C$1203,$B27,对接源_02物料!$D$4:$D$1203,"次果筐*"),2))</f>
        <v>0</v>
      </c>
      <c r="H27" s="177">
        <f>IF($B27="","",ROUND(SUM($C27:$G27),2))</f>
        <v>75924</v>
      </c>
      <c r="I27" s="177">
        <f>IF($B27="","",ROUND(SUMIFS(对接源_01水果!$K$4:$K$1203,对接源_01水果!$C$4:$C$1203,$B27,对接源_01水果!$D$4:$D$1203,"成品出库*",对接源_01水果!$L$4:$L$1203,"已收讫")+SUMIFS(对接源_01水果!$K$4:$K$1203,对接源_01水果!$C$4:$C$1203,$B27,对接源_01水果!$D$4:$D$1203,"成品出库*",对接源_01水果!$L$4:$L$1203,"已付款")+SUMIFS(对接源_01水果!$K$4:$K$1203,对接源_01水果!$C$4:$C$1203,$B27,对接源_01水果!$D$4:$D$1203,"其他代存*",对接源_01水果!$L$4:$L$1203,"已收讫")+SUMIFS(对接源_01水果!$K$4:$K$1203,对接源_01水果!$C$4:$C$1203,$B27,对接源_01水果!$D$4:$D$1203,"其他代存*",对接源_01水果!$L$4:$L$1203,"已付款")+SUMIFS(对接源_02物料!$K$4:$K$1203,对接源_02物料!$C$4:$C$1203,$B27,对接源_02物料!$D$4:$D$1203,"包装物料*",对接源_02物料!$L$4:$L$1203,"已收讫")+SUMIFS(对接源_02物料!$K$4:$K$1203,对接源_02物料!$C$4:$C$1203,$B27,对接源_02物料!$D$4:$D$1203,"包装物料*",对接源_02物料!$L$4:$L$1203,"已付款")+SUMIFS(对接源_02物料!$K$4:$K$1203,对接源_02物料!$C$4:$C$1203,$B27,对接源_02物料!$D$4:$D$1203,"周转筐*",对接源_02物料!$L$4:$L$1203,"已收讫")+SUMIFS(对接源_02物料!$K$4:$K$1203,对接源_02物料!$C$4:$C$1203,$B27,对接源_02物料!$D$4:$D$1203,"周转筐*",对接源_02物料!$L$4:$L$1203,"已付款")+SUMIFS(对接源_02物料!$K$4:$K$1203,对接源_02物料!$C$4:$C$1203,$B27,对接源_02物料!$D$4:$D$1203,"次果筐*",对接源_02物料!$L$4:$L$1203,"已收讫")+SUMIFS(对接源_02物料!$K$4:$K$1203,对接源_02物料!$C$4:$C$1203,$B27,对接源_02物料!$D$4:$D$1203,"次果筐*",对接源_02物料!$L$4:$L$1203,"已付款"),2))</f>
        <v>23828</v>
      </c>
      <c r="J27" s="177">
        <f>IF($B27="","",ROUND(N($H27)-N($I27),2))</f>
        <v>52096</v>
      </c>
      <c r="K27" s="16" t="str">
        <f>IF($B27="","",IF(ROUND(N($J27),2)&gt;0,"对方欠款",IF(ROUND(N($J27),2)&lt;0,"我方欠款","已两清")))</f>
        <v>对方欠款</v>
      </c>
      <c r="L27" s="26" t="n"/>
    </row>
    <row r="28" s="127">
      <c r="A28" s="16">
        <f>IF($B28="","",ROW()-3)</f>
        <v>25</v>
      </c>
      <c r="B28" s="11" t="str">
        <f>IFERROR(INDEX(_自动清单!$E$4:$E$303,ROW()-3),"")</f>
        <v>全修塑业</v>
      </c>
      <c r="C28" s="177">
        <f>IF($B28="","",ROUND(SUMIFS(对接源_01水果!$K$4:$K$1203,对接源_01水果!$C$4:$C$1203,$B28,对接源_01水果!$D$4:$D$1203,"成品出库*"),2))</f>
        <v>0</v>
      </c>
      <c r="D28" s="177">
        <f>IF($B28="","",ROUND(SUMIFS(对接源_01水果!$K$4:$K$1203,对接源_01水果!$C$4:$C$1203,$B28,对接源_01水果!$D$4:$D$1203,"其他代存*"),2))</f>
        <v>0</v>
      </c>
      <c r="E28" s="177">
        <f>IF($B28="","",ROUND(SUMIFS(对接源_02物料!$K$4:$K$1203,对接源_02物料!$C$4:$C$1203,$B28,对接源_02物料!$D$4:$D$1203,"包装物料*"),2))</f>
        <v>0</v>
      </c>
      <c r="F28" s="177">
        <f>IF($B28="","",ROUND(SUMIFS(对接源_02物料!$K$4:$K$1203,对接源_02物料!$C$4:$C$1203,$B28,对接源_02物料!$D$4:$D$1203,"周转筐*"),2))</f>
        <v>452160</v>
      </c>
      <c r="G28" s="177">
        <f>IF($B28="","",ROUND(SUMIFS(对接源_02物料!$K$4:$K$1203,对接源_02物料!$C$4:$C$1203,$B28,对接源_02物料!$D$4:$D$1203,"次果筐*"),2))</f>
        <v>0</v>
      </c>
      <c r="H28" s="177">
        <f>IF($B28="","",ROUND(SUM($C28:$G28),2))</f>
        <v>452160</v>
      </c>
      <c r="I28" s="177">
        <f>IF($B28="","",ROUND(SUMIFS(对接源_01水果!$K$4:$K$1203,对接源_01水果!$C$4:$C$1203,$B28,对接源_01水果!$D$4:$D$1203,"成品出库*",对接源_01水果!$L$4:$L$1203,"已收讫")+SUMIFS(对接源_01水果!$K$4:$K$1203,对接源_01水果!$C$4:$C$1203,$B28,对接源_01水果!$D$4:$D$1203,"成品出库*",对接源_01水果!$L$4:$L$1203,"已付款")+SUMIFS(对接源_01水果!$K$4:$K$1203,对接源_01水果!$C$4:$C$1203,$B28,对接源_01水果!$D$4:$D$1203,"其他代存*",对接源_01水果!$L$4:$L$1203,"已收讫")+SUMIFS(对接源_01水果!$K$4:$K$1203,对接源_01水果!$C$4:$C$1203,$B28,对接源_01水果!$D$4:$D$1203,"其他代存*",对接源_01水果!$L$4:$L$1203,"已付款")+SUMIFS(对接源_02物料!$K$4:$K$1203,对接源_02物料!$C$4:$C$1203,$B28,对接源_02物料!$D$4:$D$1203,"包装物料*",对接源_02物料!$L$4:$L$1203,"已收讫")+SUMIFS(对接源_02物料!$K$4:$K$1203,对接源_02物料!$C$4:$C$1203,$B28,对接源_02物料!$D$4:$D$1203,"包装物料*",对接源_02物料!$L$4:$L$1203,"已付款")+SUMIFS(对接源_02物料!$K$4:$K$1203,对接源_02物料!$C$4:$C$1203,$B28,对接源_02物料!$D$4:$D$1203,"周转筐*",对接源_02物料!$L$4:$L$1203,"已收讫")+SUMIFS(对接源_02物料!$K$4:$K$1203,对接源_02物料!$C$4:$C$1203,$B28,对接源_02物料!$D$4:$D$1203,"周转筐*",对接源_02物料!$L$4:$L$1203,"已付款")+SUMIFS(对接源_02物料!$K$4:$K$1203,对接源_02物料!$C$4:$C$1203,$B28,对接源_02物料!$D$4:$D$1203,"次果筐*",对接源_02物料!$L$4:$L$1203,"已收讫")+SUMIFS(对接源_02物料!$K$4:$K$1203,对接源_02物料!$C$4:$C$1203,$B28,对接源_02物料!$D$4:$D$1203,"次果筐*",对接源_02物料!$L$4:$L$1203,"已付款"),2))</f>
        <v>0</v>
      </c>
      <c r="J28" s="177">
        <f>IF($B28="","",ROUND(N($H28)-N($I28),2))</f>
        <v>452160</v>
      </c>
      <c r="K28" s="16" t="str">
        <f>IF($B28="","",IF(ROUND(N($J28),2)&gt;0,"对方欠款",IF(ROUND(N($J28),2)&lt;0,"我方欠款","已两清")))</f>
        <v>对方欠款</v>
      </c>
      <c r="L28" s="26" t="n"/>
    </row>
    <row r="29" s="127">
      <c r="A29" s="16">
        <f>IF($B29="","",ROW()-3)</f>
        <v>26</v>
      </c>
      <c r="B29" s="11" t="str">
        <f>IFERROR(INDEX(_自动清单!$E$4:$E$303,ROW()-3),"")</f>
        <v>桂疆</v>
      </c>
      <c r="C29" s="177">
        <f>IF($B29="","",ROUND(SUMIFS(对接源_01水果!$K$4:$K$1203,对接源_01水果!$C$4:$C$1203,$B29,对接源_01水果!$D$4:$D$1203,"成品出库*"),2))</f>
        <v>0</v>
      </c>
      <c r="D29" s="177">
        <f>IF($B29="","",ROUND(SUMIFS(对接源_01水果!$K$4:$K$1203,对接源_01水果!$C$4:$C$1203,$B29,对接源_01水果!$D$4:$D$1203,"其他代存*"),2))</f>
        <v>0</v>
      </c>
      <c r="E29" s="177">
        <f>IF($B29="","",ROUND(SUMIFS(对接源_02物料!$K$4:$K$1203,对接源_02物料!$C$4:$C$1203,$B29,对接源_02物料!$D$4:$D$1203,"包装物料*"),2))</f>
        <v>0</v>
      </c>
      <c r="F29" s="177">
        <f>IF($B29="","",ROUND(SUMIFS(对接源_02物料!$K$4:$K$1203,对接源_02物料!$C$4:$C$1203,$B29,对接源_02物料!$D$4:$D$1203,"周转筐*"),2))</f>
        <v>8400</v>
      </c>
      <c r="G29" s="177">
        <f>IF($B29="","",ROUND(SUMIFS(对接源_02物料!$K$4:$K$1203,对接源_02物料!$C$4:$C$1203,$B29,对接源_02物料!$D$4:$D$1203,"次果筐*"),2))</f>
        <v>0</v>
      </c>
      <c r="H29" s="177">
        <f>IF($B29="","",ROUND(SUM($C29:$G29),2))</f>
        <v>8400</v>
      </c>
      <c r="I29" s="177">
        <f>IF($B29="","",ROUND(SUMIFS(对接源_01水果!$K$4:$K$1203,对接源_01水果!$C$4:$C$1203,$B29,对接源_01水果!$D$4:$D$1203,"成品出库*",对接源_01水果!$L$4:$L$1203,"已收讫")+SUMIFS(对接源_01水果!$K$4:$K$1203,对接源_01水果!$C$4:$C$1203,$B29,对接源_01水果!$D$4:$D$1203,"成品出库*",对接源_01水果!$L$4:$L$1203,"已付款")+SUMIFS(对接源_01水果!$K$4:$K$1203,对接源_01水果!$C$4:$C$1203,$B29,对接源_01水果!$D$4:$D$1203,"其他代存*",对接源_01水果!$L$4:$L$1203,"已收讫")+SUMIFS(对接源_01水果!$K$4:$K$1203,对接源_01水果!$C$4:$C$1203,$B29,对接源_01水果!$D$4:$D$1203,"其他代存*",对接源_01水果!$L$4:$L$1203,"已付款")+SUMIFS(对接源_02物料!$K$4:$K$1203,对接源_02物料!$C$4:$C$1203,$B29,对接源_02物料!$D$4:$D$1203,"包装物料*",对接源_02物料!$L$4:$L$1203,"已收讫")+SUMIFS(对接源_02物料!$K$4:$K$1203,对接源_02物料!$C$4:$C$1203,$B29,对接源_02物料!$D$4:$D$1203,"包装物料*",对接源_02物料!$L$4:$L$1203,"已付款")+SUMIFS(对接源_02物料!$K$4:$K$1203,对接源_02物料!$C$4:$C$1203,$B29,对接源_02物料!$D$4:$D$1203,"周转筐*",对接源_02物料!$L$4:$L$1203,"已收讫")+SUMIFS(对接源_02物料!$K$4:$K$1203,对接源_02物料!$C$4:$C$1203,$B29,对接源_02物料!$D$4:$D$1203,"周转筐*",对接源_02物料!$L$4:$L$1203,"已付款")+SUMIFS(对接源_02物料!$K$4:$K$1203,对接源_02物料!$C$4:$C$1203,$B29,对接源_02物料!$D$4:$D$1203,"次果筐*",对接源_02物料!$L$4:$L$1203,"已收讫")+SUMIFS(对接源_02物料!$K$4:$K$1203,对接源_02物料!$C$4:$C$1203,$B29,对接源_02物料!$D$4:$D$1203,"次果筐*",对接源_02物料!$L$4:$L$1203,"已付款"),2))</f>
        <v>8400</v>
      </c>
      <c r="J29" s="177">
        <f>IF($B29="","",ROUND(N($H29)-N($I29),2))</f>
        <v>0</v>
      </c>
      <c r="K29" s="16" t="str">
        <f>IF($B29="","",IF(ROUND(N($J29),2)&gt;0,"对方欠款",IF(ROUND(N($J29),2)&lt;0,"我方欠款","已两清")))</f>
        <v>已两清</v>
      </c>
      <c r="L29" s="26" t="n"/>
    </row>
    <row r="30" s="127">
      <c r="A30" s="16">
        <f>IF($B30="","",ROW()-3)</f>
      </c>
      <c r="B30" s="11">
        <f>IFERROR(INDEX(_自动清单!$E$4:$E$303,ROW()-3),"")</f>
      </c>
      <c r="C30" s="177">
        <f>IF($B30="","",ROUND(SUMIFS(对接源_01水果!$K$4:$K$1203,对接源_01水果!$C$4:$C$1203,$B30,对接源_01水果!$D$4:$D$1203,"成品出库*"),2))</f>
      </c>
      <c r="D30" s="177">
        <f>IF($B30="","",ROUND(SUMIFS(对接源_01水果!$K$4:$K$1203,对接源_01水果!$C$4:$C$1203,$B30,对接源_01水果!$D$4:$D$1203,"其他代存*"),2))</f>
      </c>
      <c r="E30" s="177">
        <f>IF($B30="","",ROUND(SUMIFS(对接源_02物料!$K$4:$K$1203,对接源_02物料!$C$4:$C$1203,$B30,对接源_02物料!$D$4:$D$1203,"包装物料*"),2))</f>
      </c>
      <c r="F30" s="177">
        <f>IF($B30="","",ROUND(SUMIFS(对接源_02物料!$K$4:$K$1203,对接源_02物料!$C$4:$C$1203,$B30,对接源_02物料!$D$4:$D$1203,"周转筐*"),2))</f>
      </c>
      <c r="G30" s="177">
        <f>IF($B30="","",ROUND(SUMIFS(对接源_02物料!$K$4:$K$1203,对接源_02物料!$C$4:$C$1203,$B30,对接源_02物料!$D$4:$D$1203,"次果筐*"),2))</f>
      </c>
      <c r="H30" s="177">
        <f>IF($B30="","",ROUND(SUM($C30:$G30),2))</f>
      </c>
      <c r="I30" s="177">
        <f>IF($B30="","",ROUND(SUMIFS(对接源_01水果!$K$4:$K$1203,对接源_01水果!$C$4:$C$1203,$B30,对接源_01水果!$D$4:$D$1203,"成品出库*",对接源_01水果!$L$4:$L$1203,"已收讫")+SUMIFS(对接源_01水果!$K$4:$K$1203,对接源_01水果!$C$4:$C$1203,$B30,对接源_01水果!$D$4:$D$1203,"成品出库*",对接源_01水果!$L$4:$L$1203,"已付款")+SUMIFS(对接源_01水果!$K$4:$K$1203,对接源_01水果!$C$4:$C$1203,$B30,对接源_01水果!$D$4:$D$1203,"其他代存*",对接源_01水果!$L$4:$L$1203,"已收讫")+SUMIFS(对接源_01水果!$K$4:$K$1203,对接源_01水果!$C$4:$C$1203,$B30,对接源_01水果!$D$4:$D$1203,"其他代存*",对接源_01水果!$L$4:$L$1203,"已付款")+SUMIFS(对接源_02物料!$K$4:$K$1203,对接源_02物料!$C$4:$C$1203,$B30,对接源_02物料!$D$4:$D$1203,"包装物料*",对接源_02物料!$L$4:$L$1203,"已收讫")+SUMIFS(对接源_02物料!$K$4:$K$1203,对接源_02物料!$C$4:$C$1203,$B30,对接源_02物料!$D$4:$D$1203,"包装物料*",对接源_02物料!$L$4:$L$1203,"已付款")+SUMIFS(对接源_02物料!$K$4:$K$1203,对接源_02物料!$C$4:$C$1203,$B30,对接源_02物料!$D$4:$D$1203,"周转筐*",对接源_02物料!$L$4:$L$1203,"已收讫")+SUMIFS(对接源_02物料!$K$4:$K$1203,对接源_02物料!$C$4:$C$1203,$B30,对接源_02物料!$D$4:$D$1203,"周转筐*",对接源_02物料!$L$4:$L$1203,"已付款")+SUMIFS(对接源_02物料!$K$4:$K$1203,对接源_02物料!$C$4:$C$1203,$B30,对接源_02物料!$D$4:$D$1203,"次果筐*",对接源_02物料!$L$4:$L$1203,"已收讫")+SUMIFS(对接源_02物料!$K$4:$K$1203,对接源_02物料!$C$4:$C$1203,$B30,对接源_02物料!$D$4:$D$1203,"次果筐*",对接源_02物料!$L$4:$L$1203,"已付款"),2))</f>
      </c>
      <c r="J30" s="177">
        <f>IF($B30="","",ROUND(N($H30)-N($I30),2))</f>
      </c>
      <c r="K30" s="16">
        <f>IF($B30="","",IF(ROUND(N($J30),2)&gt;0,"对方欠款",IF(ROUND(N($J30),2)&lt;0,"我方欠款","已两清")))</f>
      </c>
      <c r="L30" s="26" t="n"/>
    </row>
    <row r="31" s="127">
      <c r="A31" s="16">
        <f>IF($B31="","",ROW()-3)</f>
      </c>
      <c r="B31" s="11">
        <f>IFERROR(INDEX(_自动清单!$E$4:$E$303,ROW()-3),"")</f>
      </c>
      <c r="C31" s="177">
        <f>IF($B31="","",ROUND(SUMIFS(对接源_01水果!$K$4:$K$1203,对接源_01水果!$C$4:$C$1203,$B31,对接源_01水果!$D$4:$D$1203,"成品出库*"),2))</f>
      </c>
      <c r="D31" s="177">
        <f>IF($B31="","",ROUND(SUMIFS(对接源_01水果!$K$4:$K$1203,对接源_01水果!$C$4:$C$1203,$B31,对接源_01水果!$D$4:$D$1203,"其他代存*"),2))</f>
      </c>
      <c r="E31" s="177">
        <f>IF($B31="","",ROUND(SUMIFS(对接源_02物料!$K$4:$K$1203,对接源_02物料!$C$4:$C$1203,$B31,对接源_02物料!$D$4:$D$1203,"包装物料*"),2))</f>
      </c>
      <c r="F31" s="177">
        <f>IF($B31="","",ROUND(SUMIFS(对接源_02物料!$K$4:$K$1203,对接源_02物料!$C$4:$C$1203,$B31,对接源_02物料!$D$4:$D$1203,"周转筐*"),2))</f>
      </c>
      <c r="G31" s="177">
        <f>IF($B31="","",ROUND(SUMIFS(对接源_02物料!$K$4:$K$1203,对接源_02物料!$C$4:$C$1203,$B31,对接源_02物料!$D$4:$D$1203,"次果筐*"),2))</f>
      </c>
      <c r="H31" s="177">
        <f>IF($B31="","",ROUND(SUM($C31:$G31),2))</f>
      </c>
      <c r="I31" s="177">
        <f>IF($B31="","",ROUND(SUMIFS(对接源_01水果!$K$4:$K$1203,对接源_01水果!$C$4:$C$1203,$B31,对接源_01水果!$D$4:$D$1203,"成品出库*",对接源_01水果!$L$4:$L$1203,"已收讫")+SUMIFS(对接源_01水果!$K$4:$K$1203,对接源_01水果!$C$4:$C$1203,$B31,对接源_01水果!$D$4:$D$1203,"成品出库*",对接源_01水果!$L$4:$L$1203,"已付款")+SUMIFS(对接源_01水果!$K$4:$K$1203,对接源_01水果!$C$4:$C$1203,$B31,对接源_01水果!$D$4:$D$1203,"其他代存*",对接源_01水果!$L$4:$L$1203,"已收讫")+SUMIFS(对接源_01水果!$K$4:$K$1203,对接源_01水果!$C$4:$C$1203,$B31,对接源_01水果!$D$4:$D$1203,"其他代存*",对接源_01水果!$L$4:$L$1203,"已付款")+SUMIFS(对接源_02物料!$K$4:$K$1203,对接源_02物料!$C$4:$C$1203,$B31,对接源_02物料!$D$4:$D$1203,"包装物料*",对接源_02物料!$L$4:$L$1203,"已收讫")+SUMIFS(对接源_02物料!$K$4:$K$1203,对接源_02物料!$C$4:$C$1203,$B31,对接源_02物料!$D$4:$D$1203,"包装物料*",对接源_02物料!$L$4:$L$1203,"已付款")+SUMIFS(对接源_02物料!$K$4:$K$1203,对接源_02物料!$C$4:$C$1203,$B31,对接源_02物料!$D$4:$D$1203,"周转筐*",对接源_02物料!$L$4:$L$1203,"已收讫")+SUMIFS(对接源_02物料!$K$4:$K$1203,对接源_02物料!$C$4:$C$1203,$B31,对接源_02物料!$D$4:$D$1203,"周转筐*",对接源_02物料!$L$4:$L$1203,"已付款")+SUMIFS(对接源_02物料!$K$4:$K$1203,对接源_02物料!$C$4:$C$1203,$B31,对接源_02物料!$D$4:$D$1203,"次果筐*",对接源_02物料!$L$4:$L$1203,"已收讫")+SUMIFS(对接源_02物料!$K$4:$K$1203,对接源_02物料!$C$4:$C$1203,$B31,对接源_02物料!$D$4:$D$1203,"次果筐*",对接源_02物料!$L$4:$L$1203,"已付款"),2))</f>
      </c>
      <c r="J31" s="177">
        <f>IF($B31="","",ROUND(N($H31)-N($I31),2))</f>
      </c>
      <c r="K31" s="16">
        <f>IF($B31="","",IF(ROUND(N($J31),2)&gt;0,"对方欠款",IF(ROUND(N($J31),2)&lt;0,"我方欠款","已两清")))</f>
      </c>
      <c r="L31" s="26" t="n"/>
    </row>
    <row r="32" s="127">
      <c r="A32" s="16">
        <f>IF($B32="","",ROW()-3)</f>
      </c>
      <c r="B32" s="11">
        <f>IFERROR(INDEX(_自动清单!$E$4:$E$303,ROW()-3),"")</f>
      </c>
      <c r="C32" s="177">
        <f>IF($B32="","",ROUND(SUMIFS(对接源_01水果!$K$4:$K$1203,对接源_01水果!$C$4:$C$1203,$B32,对接源_01水果!$D$4:$D$1203,"成品出库*"),2))</f>
      </c>
      <c r="D32" s="177">
        <f>IF($B32="","",ROUND(SUMIFS(对接源_01水果!$K$4:$K$1203,对接源_01水果!$C$4:$C$1203,$B32,对接源_01水果!$D$4:$D$1203,"其他代存*"),2))</f>
      </c>
      <c r="E32" s="177">
        <f>IF($B32="","",ROUND(SUMIFS(对接源_02物料!$K$4:$K$1203,对接源_02物料!$C$4:$C$1203,$B32,对接源_02物料!$D$4:$D$1203,"包装物料*"),2))</f>
      </c>
      <c r="F32" s="177">
        <f>IF($B32="","",ROUND(SUMIFS(对接源_02物料!$K$4:$K$1203,对接源_02物料!$C$4:$C$1203,$B32,对接源_02物料!$D$4:$D$1203,"周转筐*"),2))</f>
      </c>
      <c r="G32" s="177">
        <f>IF($B32="","",ROUND(SUMIFS(对接源_02物料!$K$4:$K$1203,对接源_02物料!$C$4:$C$1203,$B32,对接源_02物料!$D$4:$D$1203,"次果筐*"),2))</f>
      </c>
      <c r="H32" s="177">
        <f>IF($B32="","",ROUND(SUM($C32:$G32),2))</f>
      </c>
      <c r="I32" s="177">
        <f>IF($B32="","",ROUND(SUMIFS(对接源_01水果!$K$4:$K$1203,对接源_01水果!$C$4:$C$1203,$B32,对接源_01水果!$D$4:$D$1203,"成品出库*",对接源_01水果!$L$4:$L$1203,"已收讫")+SUMIFS(对接源_01水果!$K$4:$K$1203,对接源_01水果!$C$4:$C$1203,$B32,对接源_01水果!$D$4:$D$1203,"成品出库*",对接源_01水果!$L$4:$L$1203,"已付款")+SUMIFS(对接源_01水果!$K$4:$K$1203,对接源_01水果!$C$4:$C$1203,$B32,对接源_01水果!$D$4:$D$1203,"其他代存*",对接源_01水果!$L$4:$L$1203,"已收讫")+SUMIFS(对接源_01水果!$K$4:$K$1203,对接源_01水果!$C$4:$C$1203,$B32,对接源_01水果!$D$4:$D$1203,"其他代存*",对接源_01水果!$L$4:$L$1203,"已付款")+SUMIFS(对接源_02物料!$K$4:$K$1203,对接源_02物料!$C$4:$C$1203,$B32,对接源_02物料!$D$4:$D$1203,"包装物料*",对接源_02物料!$L$4:$L$1203,"已收讫")+SUMIFS(对接源_02物料!$K$4:$K$1203,对接源_02物料!$C$4:$C$1203,$B32,对接源_02物料!$D$4:$D$1203,"包装物料*",对接源_02物料!$L$4:$L$1203,"已付款")+SUMIFS(对接源_02物料!$K$4:$K$1203,对接源_02物料!$C$4:$C$1203,$B32,对接源_02物料!$D$4:$D$1203,"周转筐*",对接源_02物料!$L$4:$L$1203,"已收讫")+SUMIFS(对接源_02物料!$K$4:$K$1203,对接源_02物料!$C$4:$C$1203,$B32,对接源_02物料!$D$4:$D$1203,"周转筐*",对接源_02物料!$L$4:$L$1203,"已付款")+SUMIFS(对接源_02物料!$K$4:$K$1203,对接源_02物料!$C$4:$C$1203,$B32,对接源_02物料!$D$4:$D$1203,"次果筐*",对接源_02物料!$L$4:$L$1203,"已收讫")+SUMIFS(对接源_02物料!$K$4:$K$1203,对接源_02物料!$C$4:$C$1203,$B32,对接源_02物料!$D$4:$D$1203,"次果筐*",对接源_02物料!$L$4:$L$1203,"已付款"),2))</f>
      </c>
      <c r="J32" s="177">
        <f>IF($B32="","",ROUND(N($H32)-N($I32),2))</f>
      </c>
      <c r="K32" s="16">
        <f>IF($B32="","",IF(ROUND(N($J32),2)&gt;0,"对方欠款",IF(ROUND(N($J32),2)&lt;0,"我方欠款","已两清")))</f>
      </c>
      <c r="L32" s="26" t="n"/>
    </row>
    <row r="33" s="127">
      <c r="A33" s="16">
        <f>IF($B33="","",ROW()-3)</f>
      </c>
      <c r="B33" s="11">
        <f>IFERROR(INDEX(_自动清单!$E$4:$E$303,ROW()-3),"")</f>
      </c>
      <c r="C33" s="177">
        <f>IF($B33="","",ROUND(SUMIFS(对接源_01水果!$K$4:$K$1203,对接源_01水果!$C$4:$C$1203,$B33,对接源_01水果!$D$4:$D$1203,"成品出库*"),2))</f>
      </c>
      <c r="D33" s="177">
        <f>IF($B33="","",ROUND(SUMIFS(对接源_01水果!$K$4:$K$1203,对接源_01水果!$C$4:$C$1203,$B33,对接源_01水果!$D$4:$D$1203,"其他代存*"),2))</f>
      </c>
      <c r="E33" s="177">
        <f>IF($B33="","",ROUND(SUMIFS(对接源_02物料!$K$4:$K$1203,对接源_02物料!$C$4:$C$1203,$B33,对接源_02物料!$D$4:$D$1203,"包装物料*"),2))</f>
      </c>
      <c r="F33" s="177">
        <f>IF($B33="","",ROUND(SUMIFS(对接源_02物料!$K$4:$K$1203,对接源_02物料!$C$4:$C$1203,$B33,对接源_02物料!$D$4:$D$1203,"周转筐*"),2))</f>
      </c>
      <c r="G33" s="177">
        <f>IF($B33="","",ROUND(SUMIFS(对接源_02物料!$K$4:$K$1203,对接源_02物料!$C$4:$C$1203,$B33,对接源_02物料!$D$4:$D$1203,"次果筐*"),2))</f>
      </c>
      <c r="H33" s="177">
        <f>IF($B33="","",ROUND(SUM($C33:$G33),2))</f>
      </c>
      <c r="I33" s="177">
        <f>IF($B33="","",ROUND(SUMIFS(对接源_01水果!$K$4:$K$1203,对接源_01水果!$C$4:$C$1203,$B33,对接源_01水果!$D$4:$D$1203,"成品出库*",对接源_01水果!$L$4:$L$1203,"已收讫")+SUMIFS(对接源_01水果!$K$4:$K$1203,对接源_01水果!$C$4:$C$1203,$B33,对接源_01水果!$D$4:$D$1203,"成品出库*",对接源_01水果!$L$4:$L$1203,"已付款")+SUMIFS(对接源_01水果!$K$4:$K$1203,对接源_01水果!$C$4:$C$1203,$B33,对接源_01水果!$D$4:$D$1203,"其他代存*",对接源_01水果!$L$4:$L$1203,"已收讫")+SUMIFS(对接源_01水果!$K$4:$K$1203,对接源_01水果!$C$4:$C$1203,$B33,对接源_01水果!$D$4:$D$1203,"其他代存*",对接源_01水果!$L$4:$L$1203,"已付款")+SUMIFS(对接源_02物料!$K$4:$K$1203,对接源_02物料!$C$4:$C$1203,$B33,对接源_02物料!$D$4:$D$1203,"包装物料*",对接源_02物料!$L$4:$L$1203,"已收讫")+SUMIFS(对接源_02物料!$K$4:$K$1203,对接源_02物料!$C$4:$C$1203,$B33,对接源_02物料!$D$4:$D$1203,"包装物料*",对接源_02物料!$L$4:$L$1203,"已付款")+SUMIFS(对接源_02物料!$K$4:$K$1203,对接源_02物料!$C$4:$C$1203,$B33,对接源_02物料!$D$4:$D$1203,"周转筐*",对接源_02物料!$L$4:$L$1203,"已收讫")+SUMIFS(对接源_02物料!$K$4:$K$1203,对接源_02物料!$C$4:$C$1203,$B33,对接源_02物料!$D$4:$D$1203,"周转筐*",对接源_02物料!$L$4:$L$1203,"已付款")+SUMIFS(对接源_02物料!$K$4:$K$1203,对接源_02物料!$C$4:$C$1203,$B33,对接源_02物料!$D$4:$D$1203,"次果筐*",对接源_02物料!$L$4:$L$1203,"已收讫")+SUMIFS(对接源_02物料!$K$4:$K$1203,对接源_02物料!$C$4:$C$1203,$B33,对接源_02物料!$D$4:$D$1203,"次果筐*",对接源_02物料!$L$4:$L$1203,"已付款"),2))</f>
      </c>
      <c r="J33" s="177">
        <f>IF($B33="","",ROUND(N($H33)-N($I33),2))</f>
      </c>
      <c r="K33" s="16">
        <f>IF($B33="","",IF(ROUND(N($J33),2)&gt;0,"对方欠款",IF(ROUND(N($J33),2)&lt;0,"我方欠款","已两清")))</f>
      </c>
      <c r="L33" s="26" t="n"/>
    </row>
    <row r="34" s="127">
      <c r="A34" s="16">
        <f>IF($B34="","",ROW()-3)</f>
      </c>
      <c r="B34" s="11">
        <f>IFERROR(INDEX(_自动清单!$E$4:$E$303,ROW()-3),"")</f>
      </c>
      <c r="C34" s="177">
        <f>IF($B34="","",ROUND(SUMIFS(对接源_01水果!$K$4:$K$1203,对接源_01水果!$C$4:$C$1203,$B34,对接源_01水果!$D$4:$D$1203,"成品出库*"),2))</f>
      </c>
      <c r="D34" s="177">
        <f>IF($B34="","",ROUND(SUMIFS(对接源_01水果!$K$4:$K$1203,对接源_01水果!$C$4:$C$1203,$B34,对接源_01水果!$D$4:$D$1203,"其他代存*"),2))</f>
      </c>
      <c r="E34" s="177">
        <f>IF($B34="","",ROUND(SUMIFS(对接源_02物料!$K$4:$K$1203,对接源_02物料!$C$4:$C$1203,$B34,对接源_02物料!$D$4:$D$1203,"包装物料*"),2))</f>
      </c>
      <c r="F34" s="177">
        <f>IF($B34="","",ROUND(SUMIFS(对接源_02物料!$K$4:$K$1203,对接源_02物料!$C$4:$C$1203,$B34,对接源_02物料!$D$4:$D$1203,"周转筐*"),2))</f>
      </c>
      <c r="G34" s="177">
        <f>IF($B34="","",ROUND(SUMIFS(对接源_02物料!$K$4:$K$1203,对接源_02物料!$C$4:$C$1203,$B34,对接源_02物料!$D$4:$D$1203,"次果筐*"),2))</f>
      </c>
      <c r="H34" s="177">
        <f>IF($B34="","",ROUND(SUM($C34:$G34),2))</f>
      </c>
      <c r="I34" s="177">
        <f>IF($B34="","",ROUND(SUMIFS(对接源_01水果!$K$4:$K$1203,对接源_01水果!$C$4:$C$1203,$B34,对接源_01水果!$D$4:$D$1203,"成品出库*",对接源_01水果!$L$4:$L$1203,"已收讫")+SUMIFS(对接源_01水果!$K$4:$K$1203,对接源_01水果!$C$4:$C$1203,$B34,对接源_01水果!$D$4:$D$1203,"成品出库*",对接源_01水果!$L$4:$L$1203,"已付款")+SUMIFS(对接源_01水果!$K$4:$K$1203,对接源_01水果!$C$4:$C$1203,$B34,对接源_01水果!$D$4:$D$1203,"其他代存*",对接源_01水果!$L$4:$L$1203,"已收讫")+SUMIFS(对接源_01水果!$K$4:$K$1203,对接源_01水果!$C$4:$C$1203,$B34,对接源_01水果!$D$4:$D$1203,"其他代存*",对接源_01水果!$L$4:$L$1203,"已付款")+SUMIFS(对接源_02物料!$K$4:$K$1203,对接源_02物料!$C$4:$C$1203,$B34,对接源_02物料!$D$4:$D$1203,"包装物料*",对接源_02物料!$L$4:$L$1203,"已收讫")+SUMIFS(对接源_02物料!$K$4:$K$1203,对接源_02物料!$C$4:$C$1203,$B34,对接源_02物料!$D$4:$D$1203,"包装物料*",对接源_02物料!$L$4:$L$1203,"已付款")+SUMIFS(对接源_02物料!$K$4:$K$1203,对接源_02物料!$C$4:$C$1203,$B34,对接源_02物料!$D$4:$D$1203,"周转筐*",对接源_02物料!$L$4:$L$1203,"已收讫")+SUMIFS(对接源_02物料!$K$4:$K$1203,对接源_02物料!$C$4:$C$1203,$B34,对接源_02物料!$D$4:$D$1203,"周转筐*",对接源_02物料!$L$4:$L$1203,"已付款")+SUMIFS(对接源_02物料!$K$4:$K$1203,对接源_02物料!$C$4:$C$1203,$B34,对接源_02物料!$D$4:$D$1203,"次果筐*",对接源_02物料!$L$4:$L$1203,"已收讫")+SUMIFS(对接源_02物料!$K$4:$K$1203,对接源_02物料!$C$4:$C$1203,$B34,对接源_02物料!$D$4:$D$1203,"次果筐*",对接源_02物料!$L$4:$L$1203,"已付款"),2))</f>
      </c>
      <c r="J34" s="177">
        <f>IF($B34="","",ROUND(N($H34)-N($I34),2))</f>
      </c>
      <c r="K34" s="16">
        <f>IF($B34="","",IF(ROUND(N($J34),2)&gt;0,"对方欠款",IF(ROUND(N($J34),2)&lt;0,"我方欠款","已两清")))</f>
      </c>
      <c r="L34" s="26" t="n"/>
    </row>
    <row r="35" s="127">
      <c r="A35" s="16">
        <f>IF($B35="","",ROW()-3)</f>
      </c>
      <c r="B35" s="11">
        <f>IFERROR(INDEX(_自动清单!$E$4:$E$303,ROW()-3),"")</f>
      </c>
      <c r="C35" s="177">
        <f>IF($B35="","",ROUND(SUMIFS(对接源_01水果!$K$4:$K$1203,对接源_01水果!$C$4:$C$1203,$B35,对接源_01水果!$D$4:$D$1203,"成品出库*"),2))</f>
      </c>
      <c r="D35" s="177">
        <f>IF($B35="","",ROUND(SUMIFS(对接源_01水果!$K$4:$K$1203,对接源_01水果!$C$4:$C$1203,$B35,对接源_01水果!$D$4:$D$1203,"其他代存*"),2))</f>
      </c>
      <c r="E35" s="177">
        <f>IF($B35="","",ROUND(SUMIFS(对接源_02物料!$K$4:$K$1203,对接源_02物料!$C$4:$C$1203,$B35,对接源_02物料!$D$4:$D$1203,"包装物料*"),2))</f>
      </c>
      <c r="F35" s="177">
        <f>IF($B35="","",ROUND(SUMIFS(对接源_02物料!$K$4:$K$1203,对接源_02物料!$C$4:$C$1203,$B35,对接源_02物料!$D$4:$D$1203,"周转筐*"),2))</f>
      </c>
      <c r="G35" s="177">
        <f>IF($B35="","",ROUND(SUMIFS(对接源_02物料!$K$4:$K$1203,对接源_02物料!$C$4:$C$1203,$B35,对接源_02物料!$D$4:$D$1203,"次果筐*"),2))</f>
      </c>
      <c r="H35" s="177">
        <f>IF($B35="","",ROUND(SUM($C35:$G35),2))</f>
      </c>
      <c r="I35" s="177">
        <f>IF($B35="","",ROUND(SUMIFS(对接源_01水果!$K$4:$K$1203,对接源_01水果!$C$4:$C$1203,$B35,对接源_01水果!$D$4:$D$1203,"成品出库*",对接源_01水果!$L$4:$L$1203,"已收讫")+SUMIFS(对接源_01水果!$K$4:$K$1203,对接源_01水果!$C$4:$C$1203,$B35,对接源_01水果!$D$4:$D$1203,"成品出库*",对接源_01水果!$L$4:$L$1203,"已付款")+SUMIFS(对接源_01水果!$K$4:$K$1203,对接源_01水果!$C$4:$C$1203,$B35,对接源_01水果!$D$4:$D$1203,"其他代存*",对接源_01水果!$L$4:$L$1203,"已收讫")+SUMIFS(对接源_01水果!$K$4:$K$1203,对接源_01水果!$C$4:$C$1203,$B35,对接源_01水果!$D$4:$D$1203,"其他代存*",对接源_01水果!$L$4:$L$1203,"已付款")+SUMIFS(对接源_02物料!$K$4:$K$1203,对接源_02物料!$C$4:$C$1203,$B35,对接源_02物料!$D$4:$D$1203,"包装物料*",对接源_02物料!$L$4:$L$1203,"已收讫")+SUMIFS(对接源_02物料!$K$4:$K$1203,对接源_02物料!$C$4:$C$1203,$B35,对接源_02物料!$D$4:$D$1203,"包装物料*",对接源_02物料!$L$4:$L$1203,"已付款")+SUMIFS(对接源_02物料!$K$4:$K$1203,对接源_02物料!$C$4:$C$1203,$B35,对接源_02物料!$D$4:$D$1203,"周转筐*",对接源_02物料!$L$4:$L$1203,"已收讫")+SUMIFS(对接源_02物料!$K$4:$K$1203,对接源_02物料!$C$4:$C$1203,$B35,对接源_02物料!$D$4:$D$1203,"周转筐*",对接源_02物料!$L$4:$L$1203,"已付款")+SUMIFS(对接源_02物料!$K$4:$K$1203,对接源_02物料!$C$4:$C$1203,$B35,对接源_02物料!$D$4:$D$1203,"次果筐*",对接源_02物料!$L$4:$L$1203,"已收讫")+SUMIFS(对接源_02物料!$K$4:$K$1203,对接源_02物料!$C$4:$C$1203,$B35,对接源_02物料!$D$4:$D$1203,"次果筐*",对接源_02物料!$L$4:$L$1203,"已付款"),2))</f>
      </c>
      <c r="J35" s="177">
        <f>IF($B35="","",ROUND(N($H35)-N($I35),2))</f>
      </c>
      <c r="K35" s="16">
        <f>IF($B35="","",IF(ROUND(N($J35),2)&gt;0,"对方欠款",IF(ROUND(N($J35),2)&lt;0,"我方欠款","已两清")))</f>
      </c>
      <c r="L35" s="26" t="n"/>
    </row>
    <row r="36" s="127">
      <c r="A36" s="16">
        <f>IF($B36="","",ROW()-3)</f>
      </c>
      <c r="B36" s="11">
        <f>IFERROR(INDEX(_自动清单!$E$4:$E$303,ROW()-3),"")</f>
      </c>
      <c r="C36" s="177">
        <f>IF($B36="","",ROUND(SUMIFS(对接源_01水果!$K$4:$K$1203,对接源_01水果!$C$4:$C$1203,$B36,对接源_01水果!$D$4:$D$1203,"成品出库*"),2))</f>
      </c>
      <c r="D36" s="177">
        <f>IF($B36="","",ROUND(SUMIFS(对接源_01水果!$K$4:$K$1203,对接源_01水果!$C$4:$C$1203,$B36,对接源_01水果!$D$4:$D$1203,"其他代存*"),2))</f>
      </c>
      <c r="E36" s="177">
        <f>IF($B36="","",ROUND(SUMIFS(对接源_02物料!$K$4:$K$1203,对接源_02物料!$C$4:$C$1203,$B36,对接源_02物料!$D$4:$D$1203,"包装物料*"),2))</f>
      </c>
      <c r="F36" s="177">
        <f>IF($B36="","",ROUND(SUMIFS(对接源_02物料!$K$4:$K$1203,对接源_02物料!$C$4:$C$1203,$B36,对接源_02物料!$D$4:$D$1203,"周转筐*"),2))</f>
      </c>
      <c r="G36" s="177">
        <f>IF($B36="","",ROUND(SUMIFS(对接源_02物料!$K$4:$K$1203,对接源_02物料!$C$4:$C$1203,$B36,对接源_02物料!$D$4:$D$1203,"次果筐*"),2))</f>
      </c>
      <c r="H36" s="177">
        <f>IF($B36="","",ROUND(SUM($C36:$G36),2))</f>
      </c>
      <c r="I36" s="177">
        <f>IF($B36="","",ROUND(SUMIFS(对接源_01水果!$K$4:$K$1203,对接源_01水果!$C$4:$C$1203,$B36,对接源_01水果!$D$4:$D$1203,"成品出库*",对接源_01水果!$L$4:$L$1203,"已收讫")+SUMIFS(对接源_01水果!$K$4:$K$1203,对接源_01水果!$C$4:$C$1203,$B36,对接源_01水果!$D$4:$D$1203,"成品出库*",对接源_01水果!$L$4:$L$1203,"已付款")+SUMIFS(对接源_01水果!$K$4:$K$1203,对接源_01水果!$C$4:$C$1203,$B36,对接源_01水果!$D$4:$D$1203,"其他代存*",对接源_01水果!$L$4:$L$1203,"已收讫")+SUMIFS(对接源_01水果!$K$4:$K$1203,对接源_01水果!$C$4:$C$1203,$B36,对接源_01水果!$D$4:$D$1203,"其他代存*",对接源_01水果!$L$4:$L$1203,"已付款")+SUMIFS(对接源_02物料!$K$4:$K$1203,对接源_02物料!$C$4:$C$1203,$B36,对接源_02物料!$D$4:$D$1203,"包装物料*",对接源_02物料!$L$4:$L$1203,"已收讫")+SUMIFS(对接源_02物料!$K$4:$K$1203,对接源_02物料!$C$4:$C$1203,$B36,对接源_02物料!$D$4:$D$1203,"包装物料*",对接源_02物料!$L$4:$L$1203,"已付款")+SUMIFS(对接源_02物料!$K$4:$K$1203,对接源_02物料!$C$4:$C$1203,$B36,对接源_02物料!$D$4:$D$1203,"周转筐*",对接源_02物料!$L$4:$L$1203,"已收讫")+SUMIFS(对接源_02物料!$K$4:$K$1203,对接源_02物料!$C$4:$C$1203,$B36,对接源_02物料!$D$4:$D$1203,"周转筐*",对接源_02物料!$L$4:$L$1203,"已付款")+SUMIFS(对接源_02物料!$K$4:$K$1203,对接源_02物料!$C$4:$C$1203,$B36,对接源_02物料!$D$4:$D$1203,"次果筐*",对接源_02物料!$L$4:$L$1203,"已收讫")+SUMIFS(对接源_02物料!$K$4:$K$1203,对接源_02物料!$C$4:$C$1203,$B36,对接源_02物料!$D$4:$D$1203,"次果筐*",对接源_02物料!$L$4:$L$1203,"已付款"),2))</f>
      </c>
      <c r="J36" s="177">
        <f>IF($B36="","",ROUND(N($H36)-N($I36),2))</f>
      </c>
      <c r="K36" s="16">
        <f>IF($B36="","",IF(ROUND(N($J36),2)&gt;0,"对方欠款",IF(ROUND(N($J36),2)&lt;0,"我方欠款","已两清")))</f>
      </c>
      <c r="L36" s="26" t="n"/>
    </row>
    <row r="37" s="127">
      <c r="A37" s="16">
        <f>IF($B37="","",ROW()-3)</f>
      </c>
      <c r="B37" s="11">
        <f>IFERROR(INDEX(_自动清单!$E$4:$E$303,ROW()-3),"")</f>
      </c>
      <c r="C37" s="177">
        <f>IF($B37="","",ROUND(SUMIFS(对接源_01水果!$K$4:$K$1203,对接源_01水果!$C$4:$C$1203,$B37,对接源_01水果!$D$4:$D$1203,"成品出库*"),2))</f>
      </c>
      <c r="D37" s="177">
        <f>IF($B37="","",ROUND(SUMIFS(对接源_01水果!$K$4:$K$1203,对接源_01水果!$C$4:$C$1203,$B37,对接源_01水果!$D$4:$D$1203,"其他代存*"),2))</f>
      </c>
      <c r="E37" s="177">
        <f>IF($B37="","",ROUND(SUMIFS(对接源_02物料!$K$4:$K$1203,对接源_02物料!$C$4:$C$1203,$B37,对接源_02物料!$D$4:$D$1203,"包装物料*"),2))</f>
      </c>
      <c r="F37" s="177">
        <f>IF($B37="","",ROUND(SUMIFS(对接源_02物料!$K$4:$K$1203,对接源_02物料!$C$4:$C$1203,$B37,对接源_02物料!$D$4:$D$1203,"周转筐*"),2))</f>
      </c>
      <c r="G37" s="177">
        <f>IF($B37="","",ROUND(SUMIFS(对接源_02物料!$K$4:$K$1203,对接源_02物料!$C$4:$C$1203,$B37,对接源_02物料!$D$4:$D$1203,"次果筐*"),2))</f>
      </c>
      <c r="H37" s="177">
        <f>IF($B37="","",ROUND(SUM($C37:$G37),2))</f>
      </c>
      <c r="I37" s="177">
        <f>IF($B37="","",ROUND(SUMIFS(对接源_01水果!$K$4:$K$1203,对接源_01水果!$C$4:$C$1203,$B37,对接源_01水果!$D$4:$D$1203,"成品出库*",对接源_01水果!$L$4:$L$1203,"已收讫")+SUMIFS(对接源_01水果!$K$4:$K$1203,对接源_01水果!$C$4:$C$1203,$B37,对接源_01水果!$D$4:$D$1203,"成品出库*",对接源_01水果!$L$4:$L$1203,"已付款")+SUMIFS(对接源_01水果!$K$4:$K$1203,对接源_01水果!$C$4:$C$1203,$B37,对接源_01水果!$D$4:$D$1203,"其他代存*",对接源_01水果!$L$4:$L$1203,"已收讫")+SUMIFS(对接源_01水果!$K$4:$K$1203,对接源_01水果!$C$4:$C$1203,$B37,对接源_01水果!$D$4:$D$1203,"其他代存*",对接源_01水果!$L$4:$L$1203,"已付款")+SUMIFS(对接源_02物料!$K$4:$K$1203,对接源_02物料!$C$4:$C$1203,$B37,对接源_02物料!$D$4:$D$1203,"包装物料*",对接源_02物料!$L$4:$L$1203,"已收讫")+SUMIFS(对接源_02物料!$K$4:$K$1203,对接源_02物料!$C$4:$C$1203,$B37,对接源_02物料!$D$4:$D$1203,"包装物料*",对接源_02物料!$L$4:$L$1203,"已付款")+SUMIFS(对接源_02物料!$K$4:$K$1203,对接源_02物料!$C$4:$C$1203,$B37,对接源_02物料!$D$4:$D$1203,"周转筐*",对接源_02物料!$L$4:$L$1203,"已收讫")+SUMIFS(对接源_02物料!$K$4:$K$1203,对接源_02物料!$C$4:$C$1203,$B37,对接源_02物料!$D$4:$D$1203,"周转筐*",对接源_02物料!$L$4:$L$1203,"已付款")+SUMIFS(对接源_02物料!$K$4:$K$1203,对接源_02物料!$C$4:$C$1203,$B37,对接源_02物料!$D$4:$D$1203,"次果筐*",对接源_02物料!$L$4:$L$1203,"已收讫")+SUMIFS(对接源_02物料!$K$4:$K$1203,对接源_02物料!$C$4:$C$1203,$B37,对接源_02物料!$D$4:$D$1203,"次果筐*",对接源_02物料!$L$4:$L$1203,"已付款"),2))</f>
      </c>
      <c r="J37" s="177">
        <f>IF($B37="","",ROUND(N($H37)-N($I37),2))</f>
      </c>
      <c r="K37" s="16">
        <f>IF($B37="","",IF(ROUND(N($J37),2)&gt;0,"对方欠款",IF(ROUND(N($J37),2)&lt;0,"我方欠款","已两清")))</f>
      </c>
      <c r="L37" s="26" t="n"/>
    </row>
    <row r="38" s="127">
      <c r="A38" s="16">
        <f>IF($B38="","",ROW()-3)</f>
      </c>
      <c r="B38" s="11">
        <f>IFERROR(INDEX(_自动清单!$E$4:$E$303,ROW()-3),"")</f>
      </c>
      <c r="C38" s="177">
        <f>IF($B38="","",ROUND(SUMIFS(对接源_01水果!$K$4:$K$1203,对接源_01水果!$C$4:$C$1203,$B38,对接源_01水果!$D$4:$D$1203,"成品出库*"),2))</f>
      </c>
      <c r="D38" s="177">
        <f>IF($B38="","",ROUND(SUMIFS(对接源_01水果!$K$4:$K$1203,对接源_01水果!$C$4:$C$1203,$B38,对接源_01水果!$D$4:$D$1203,"其他代存*"),2))</f>
      </c>
      <c r="E38" s="177">
        <f>IF($B38="","",ROUND(SUMIFS(对接源_02物料!$K$4:$K$1203,对接源_02物料!$C$4:$C$1203,$B38,对接源_02物料!$D$4:$D$1203,"包装物料*"),2))</f>
      </c>
      <c r="F38" s="177">
        <f>IF($B38="","",ROUND(SUMIFS(对接源_02物料!$K$4:$K$1203,对接源_02物料!$C$4:$C$1203,$B38,对接源_02物料!$D$4:$D$1203,"周转筐*"),2))</f>
      </c>
      <c r="G38" s="177">
        <f>IF($B38="","",ROUND(SUMIFS(对接源_02物料!$K$4:$K$1203,对接源_02物料!$C$4:$C$1203,$B38,对接源_02物料!$D$4:$D$1203,"次果筐*"),2))</f>
      </c>
      <c r="H38" s="177">
        <f>IF($B38="","",ROUND(SUM($C38:$G38),2))</f>
      </c>
      <c r="I38" s="177">
        <f>IF($B38="","",ROUND(SUMIFS(对接源_01水果!$K$4:$K$1203,对接源_01水果!$C$4:$C$1203,$B38,对接源_01水果!$D$4:$D$1203,"成品出库*",对接源_01水果!$L$4:$L$1203,"已收讫")+SUMIFS(对接源_01水果!$K$4:$K$1203,对接源_01水果!$C$4:$C$1203,$B38,对接源_01水果!$D$4:$D$1203,"成品出库*",对接源_01水果!$L$4:$L$1203,"已付款")+SUMIFS(对接源_01水果!$K$4:$K$1203,对接源_01水果!$C$4:$C$1203,$B38,对接源_01水果!$D$4:$D$1203,"其他代存*",对接源_01水果!$L$4:$L$1203,"已收讫")+SUMIFS(对接源_01水果!$K$4:$K$1203,对接源_01水果!$C$4:$C$1203,$B38,对接源_01水果!$D$4:$D$1203,"其他代存*",对接源_01水果!$L$4:$L$1203,"已付款")+SUMIFS(对接源_02物料!$K$4:$K$1203,对接源_02物料!$C$4:$C$1203,$B38,对接源_02物料!$D$4:$D$1203,"包装物料*",对接源_02物料!$L$4:$L$1203,"已收讫")+SUMIFS(对接源_02物料!$K$4:$K$1203,对接源_02物料!$C$4:$C$1203,$B38,对接源_02物料!$D$4:$D$1203,"包装物料*",对接源_02物料!$L$4:$L$1203,"已付款")+SUMIFS(对接源_02物料!$K$4:$K$1203,对接源_02物料!$C$4:$C$1203,$B38,对接源_02物料!$D$4:$D$1203,"周转筐*",对接源_02物料!$L$4:$L$1203,"已收讫")+SUMIFS(对接源_02物料!$K$4:$K$1203,对接源_02物料!$C$4:$C$1203,$B38,对接源_02物料!$D$4:$D$1203,"周转筐*",对接源_02物料!$L$4:$L$1203,"已付款")+SUMIFS(对接源_02物料!$K$4:$K$1203,对接源_02物料!$C$4:$C$1203,$B38,对接源_02物料!$D$4:$D$1203,"次果筐*",对接源_02物料!$L$4:$L$1203,"已收讫")+SUMIFS(对接源_02物料!$K$4:$K$1203,对接源_02物料!$C$4:$C$1203,$B38,对接源_02物料!$D$4:$D$1203,"次果筐*",对接源_02物料!$L$4:$L$1203,"已付款"),2))</f>
      </c>
      <c r="J38" s="177">
        <f>IF($B38="","",ROUND(N($H38)-N($I38),2))</f>
      </c>
      <c r="K38" s="16">
        <f>IF($B38="","",IF(ROUND(N($J38),2)&gt;0,"对方欠款",IF(ROUND(N($J38),2)&lt;0,"我方欠款","已两清")))</f>
      </c>
      <c r="L38" s="26" t="n"/>
    </row>
    <row r="39" s="127">
      <c r="A39" s="16">
        <f>IF($B39="","",ROW()-3)</f>
      </c>
      <c r="B39" s="11">
        <f>IFERROR(INDEX(_自动清单!$E$4:$E$303,ROW()-3),"")</f>
      </c>
      <c r="C39" s="177">
        <f>IF($B39="","",ROUND(SUMIFS(对接源_01水果!$K$4:$K$1203,对接源_01水果!$C$4:$C$1203,$B39,对接源_01水果!$D$4:$D$1203,"成品出库*"),2))</f>
      </c>
      <c r="D39" s="177">
        <f>IF($B39="","",ROUND(SUMIFS(对接源_01水果!$K$4:$K$1203,对接源_01水果!$C$4:$C$1203,$B39,对接源_01水果!$D$4:$D$1203,"其他代存*"),2))</f>
      </c>
      <c r="E39" s="177">
        <f>IF($B39="","",ROUND(SUMIFS(对接源_02物料!$K$4:$K$1203,对接源_02物料!$C$4:$C$1203,$B39,对接源_02物料!$D$4:$D$1203,"包装物料*"),2))</f>
      </c>
      <c r="F39" s="177">
        <f>IF($B39="","",ROUND(SUMIFS(对接源_02物料!$K$4:$K$1203,对接源_02物料!$C$4:$C$1203,$B39,对接源_02物料!$D$4:$D$1203,"周转筐*"),2))</f>
      </c>
      <c r="G39" s="177">
        <f>IF($B39="","",ROUND(SUMIFS(对接源_02物料!$K$4:$K$1203,对接源_02物料!$C$4:$C$1203,$B39,对接源_02物料!$D$4:$D$1203,"次果筐*"),2))</f>
      </c>
      <c r="H39" s="177">
        <f>IF($B39="","",ROUND(SUM($C39:$G39),2))</f>
      </c>
      <c r="I39" s="177">
        <f>IF($B39="","",ROUND(SUMIFS(对接源_01水果!$K$4:$K$1203,对接源_01水果!$C$4:$C$1203,$B39,对接源_01水果!$D$4:$D$1203,"成品出库*",对接源_01水果!$L$4:$L$1203,"已收讫")+SUMIFS(对接源_01水果!$K$4:$K$1203,对接源_01水果!$C$4:$C$1203,$B39,对接源_01水果!$D$4:$D$1203,"成品出库*",对接源_01水果!$L$4:$L$1203,"已付款")+SUMIFS(对接源_01水果!$K$4:$K$1203,对接源_01水果!$C$4:$C$1203,$B39,对接源_01水果!$D$4:$D$1203,"其他代存*",对接源_01水果!$L$4:$L$1203,"已收讫")+SUMIFS(对接源_01水果!$K$4:$K$1203,对接源_01水果!$C$4:$C$1203,$B39,对接源_01水果!$D$4:$D$1203,"其他代存*",对接源_01水果!$L$4:$L$1203,"已付款")+SUMIFS(对接源_02物料!$K$4:$K$1203,对接源_02物料!$C$4:$C$1203,$B39,对接源_02物料!$D$4:$D$1203,"包装物料*",对接源_02物料!$L$4:$L$1203,"已收讫")+SUMIFS(对接源_02物料!$K$4:$K$1203,对接源_02物料!$C$4:$C$1203,$B39,对接源_02物料!$D$4:$D$1203,"包装物料*",对接源_02物料!$L$4:$L$1203,"已付款")+SUMIFS(对接源_02物料!$K$4:$K$1203,对接源_02物料!$C$4:$C$1203,$B39,对接源_02物料!$D$4:$D$1203,"周转筐*",对接源_02物料!$L$4:$L$1203,"已收讫")+SUMIFS(对接源_02物料!$K$4:$K$1203,对接源_02物料!$C$4:$C$1203,$B39,对接源_02物料!$D$4:$D$1203,"周转筐*",对接源_02物料!$L$4:$L$1203,"已付款")+SUMIFS(对接源_02物料!$K$4:$K$1203,对接源_02物料!$C$4:$C$1203,$B39,对接源_02物料!$D$4:$D$1203,"次果筐*",对接源_02物料!$L$4:$L$1203,"已收讫")+SUMIFS(对接源_02物料!$K$4:$K$1203,对接源_02物料!$C$4:$C$1203,$B39,对接源_02物料!$D$4:$D$1203,"次果筐*",对接源_02物料!$L$4:$L$1203,"已付款"),2))</f>
      </c>
      <c r="J39" s="177">
        <f>IF($B39="","",ROUND(N($H39)-N($I39),2))</f>
      </c>
      <c r="K39" s="16">
        <f>IF($B39="","",IF(ROUND(N($J39),2)&gt;0,"对方欠款",IF(ROUND(N($J39),2)&lt;0,"我方欠款","已两清")))</f>
      </c>
      <c r="L39" s="26" t="n"/>
    </row>
    <row r="40" s="127">
      <c r="A40" s="16">
        <f>IF($B40="","",ROW()-3)</f>
      </c>
      <c r="B40" s="11">
        <f>IFERROR(INDEX(_自动清单!$E$4:$E$303,ROW()-3),"")</f>
      </c>
      <c r="C40" s="177">
        <f>IF($B40="","",ROUND(SUMIFS(对接源_01水果!$K$4:$K$1203,对接源_01水果!$C$4:$C$1203,$B40,对接源_01水果!$D$4:$D$1203,"成品出库*"),2))</f>
      </c>
      <c r="D40" s="177">
        <f>IF($B40="","",ROUND(SUMIFS(对接源_01水果!$K$4:$K$1203,对接源_01水果!$C$4:$C$1203,$B40,对接源_01水果!$D$4:$D$1203,"其他代存*"),2))</f>
      </c>
      <c r="E40" s="177">
        <f>IF($B40="","",ROUND(SUMIFS(对接源_02物料!$K$4:$K$1203,对接源_02物料!$C$4:$C$1203,$B40,对接源_02物料!$D$4:$D$1203,"包装物料*"),2))</f>
      </c>
      <c r="F40" s="177">
        <f>IF($B40="","",ROUND(SUMIFS(对接源_02物料!$K$4:$K$1203,对接源_02物料!$C$4:$C$1203,$B40,对接源_02物料!$D$4:$D$1203,"周转筐*"),2))</f>
      </c>
      <c r="G40" s="177">
        <f>IF($B40="","",ROUND(SUMIFS(对接源_02物料!$K$4:$K$1203,对接源_02物料!$C$4:$C$1203,$B40,对接源_02物料!$D$4:$D$1203,"次果筐*"),2))</f>
      </c>
      <c r="H40" s="177">
        <f>IF($B40="","",ROUND(SUM($C40:$G40),2))</f>
      </c>
      <c r="I40" s="177">
        <f>IF($B40="","",ROUND(SUMIFS(对接源_01水果!$K$4:$K$1203,对接源_01水果!$C$4:$C$1203,$B40,对接源_01水果!$D$4:$D$1203,"成品出库*",对接源_01水果!$L$4:$L$1203,"已收讫")+SUMIFS(对接源_01水果!$K$4:$K$1203,对接源_01水果!$C$4:$C$1203,$B40,对接源_01水果!$D$4:$D$1203,"成品出库*",对接源_01水果!$L$4:$L$1203,"已付款")+SUMIFS(对接源_01水果!$K$4:$K$1203,对接源_01水果!$C$4:$C$1203,$B40,对接源_01水果!$D$4:$D$1203,"其他代存*",对接源_01水果!$L$4:$L$1203,"已收讫")+SUMIFS(对接源_01水果!$K$4:$K$1203,对接源_01水果!$C$4:$C$1203,$B40,对接源_01水果!$D$4:$D$1203,"其他代存*",对接源_01水果!$L$4:$L$1203,"已付款")+SUMIFS(对接源_02物料!$K$4:$K$1203,对接源_02物料!$C$4:$C$1203,$B40,对接源_02物料!$D$4:$D$1203,"包装物料*",对接源_02物料!$L$4:$L$1203,"已收讫")+SUMIFS(对接源_02物料!$K$4:$K$1203,对接源_02物料!$C$4:$C$1203,$B40,对接源_02物料!$D$4:$D$1203,"包装物料*",对接源_02物料!$L$4:$L$1203,"已付款")+SUMIFS(对接源_02物料!$K$4:$K$1203,对接源_02物料!$C$4:$C$1203,$B40,对接源_02物料!$D$4:$D$1203,"周转筐*",对接源_02物料!$L$4:$L$1203,"已收讫")+SUMIFS(对接源_02物料!$K$4:$K$1203,对接源_02物料!$C$4:$C$1203,$B40,对接源_02物料!$D$4:$D$1203,"周转筐*",对接源_02物料!$L$4:$L$1203,"已付款")+SUMIFS(对接源_02物料!$K$4:$K$1203,对接源_02物料!$C$4:$C$1203,$B40,对接源_02物料!$D$4:$D$1203,"次果筐*",对接源_02物料!$L$4:$L$1203,"已收讫")+SUMIFS(对接源_02物料!$K$4:$K$1203,对接源_02物料!$C$4:$C$1203,$B40,对接源_02物料!$D$4:$D$1203,"次果筐*",对接源_02物料!$L$4:$L$1203,"已付款"),2))</f>
      </c>
      <c r="J40" s="177">
        <f>IF($B40="","",ROUND(N($H40)-N($I40),2))</f>
      </c>
      <c r="K40" s="16">
        <f>IF($B40="","",IF(ROUND(N($J40),2)&gt;0,"对方欠款",IF(ROUND(N($J40),2)&lt;0,"我方欠款","已两清")))</f>
      </c>
      <c r="L40" s="26" t="n"/>
    </row>
    <row r="41" s="127">
      <c r="A41" s="16">
        <f>IF($B41="","",ROW()-3)</f>
      </c>
      <c r="B41" s="11">
        <f>IFERROR(INDEX(_自动清单!$E$4:$E$303,ROW()-3),"")</f>
      </c>
      <c r="C41" s="177">
        <f>IF($B41="","",ROUND(SUMIFS(对接源_01水果!$K$4:$K$1203,对接源_01水果!$C$4:$C$1203,$B41,对接源_01水果!$D$4:$D$1203,"成品出库*"),2))</f>
      </c>
      <c r="D41" s="177">
        <f>IF($B41="","",ROUND(SUMIFS(对接源_01水果!$K$4:$K$1203,对接源_01水果!$C$4:$C$1203,$B41,对接源_01水果!$D$4:$D$1203,"其他代存*"),2))</f>
      </c>
      <c r="E41" s="177">
        <f>IF($B41="","",ROUND(SUMIFS(对接源_02物料!$K$4:$K$1203,对接源_02物料!$C$4:$C$1203,$B41,对接源_02物料!$D$4:$D$1203,"包装物料*"),2))</f>
      </c>
      <c r="F41" s="177">
        <f>IF($B41="","",ROUND(SUMIFS(对接源_02物料!$K$4:$K$1203,对接源_02物料!$C$4:$C$1203,$B41,对接源_02物料!$D$4:$D$1203,"周转筐*"),2))</f>
      </c>
      <c r="G41" s="177">
        <f>IF($B41="","",ROUND(SUMIFS(对接源_02物料!$K$4:$K$1203,对接源_02物料!$C$4:$C$1203,$B41,对接源_02物料!$D$4:$D$1203,"次果筐*"),2))</f>
      </c>
      <c r="H41" s="177">
        <f>IF($B41="","",ROUND(SUM($C41:$G41),2))</f>
      </c>
      <c r="I41" s="177">
        <f>IF($B41="","",ROUND(SUMIFS(对接源_01水果!$K$4:$K$1203,对接源_01水果!$C$4:$C$1203,$B41,对接源_01水果!$D$4:$D$1203,"成品出库*",对接源_01水果!$L$4:$L$1203,"已收讫")+SUMIFS(对接源_01水果!$K$4:$K$1203,对接源_01水果!$C$4:$C$1203,$B41,对接源_01水果!$D$4:$D$1203,"成品出库*",对接源_01水果!$L$4:$L$1203,"已付款")+SUMIFS(对接源_01水果!$K$4:$K$1203,对接源_01水果!$C$4:$C$1203,$B41,对接源_01水果!$D$4:$D$1203,"其他代存*",对接源_01水果!$L$4:$L$1203,"已收讫")+SUMIFS(对接源_01水果!$K$4:$K$1203,对接源_01水果!$C$4:$C$1203,$B41,对接源_01水果!$D$4:$D$1203,"其他代存*",对接源_01水果!$L$4:$L$1203,"已付款")+SUMIFS(对接源_02物料!$K$4:$K$1203,对接源_02物料!$C$4:$C$1203,$B41,对接源_02物料!$D$4:$D$1203,"包装物料*",对接源_02物料!$L$4:$L$1203,"已收讫")+SUMIFS(对接源_02物料!$K$4:$K$1203,对接源_02物料!$C$4:$C$1203,$B41,对接源_02物料!$D$4:$D$1203,"包装物料*",对接源_02物料!$L$4:$L$1203,"已付款")+SUMIFS(对接源_02物料!$K$4:$K$1203,对接源_02物料!$C$4:$C$1203,$B41,对接源_02物料!$D$4:$D$1203,"周转筐*",对接源_02物料!$L$4:$L$1203,"已收讫")+SUMIFS(对接源_02物料!$K$4:$K$1203,对接源_02物料!$C$4:$C$1203,$B41,对接源_02物料!$D$4:$D$1203,"周转筐*",对接源_02物料!$L$4:$L$1203,"已付款")+SUMIFS(对接源_02物料!$K$4:$K$1203,对接源_02物料!$C$4:$C$1203,$B41,对接源_02物料!$D$4:$D$1203,"次果筐*",对接源_02物料!$L$4:$L$1203,"已收讫")+SUMIFS(对接源_02物料!$K$4:$K$1203,对接源_02物料!$C$4:$C$1203,$B41,对接源_02物料!$D$4:$D$1203,"次果筐*",对接源_02物料!$L$4:$L$1203,"已付款"),2))</f>
      </c>
      <c r="J41" s="177">
        <f>IF($B41="","",ROUND(N($H41)-N($I41),2))</f>
      </c>
      <c r="K41" s="16">
        <f>IF($B41="","",IF(ROUND(N($J41),2)&gt;0,"对方欠款",IF(ROUND(N($J41),2)&lt;0,"我方欠款","已两清")))</f>
      </c>
      <c r="L41" s="26" t="n"/>
    </row>
    <row r="42" s="127">
      <c r="A42" s="16">
        <f>IF($B42="","",ROW()-3)</f>
      </c>
      <c r="B42" s="11">
        <f>IFERROR(INDEX(_自动清单!$E$4:$E$303,ROW()-3),"")</f>
      </c>
      <c r="C42" s="177">
        <f>IF($B42="","",ROUND(SUMIFS(对接源_01水果!$K$4:$K$1203,对接源_01水果!$C$4:$C$1203,$B42,对接源_01水果!$D$4:$D$1203,"成品出库*"),2))</f>
      </c>
      <c r="D42" s="177">
        <f>IF($B42="","",ROUND(SUMIFS(对接源_01水果!$K$4:$K$1203,对接源_01水果!$C$4:$C$1203,$B42,对接源_01水果!$D$4:$D$1203,"其他代存*"),2))</f>
      </c>
      <c r="E42" s="177">
        <f>IF($B42="","",ROUND(SUMIFS(对接源_02物料!$K$4:$K$1203,对接源_02物料!$C$4:$C$1203,$B42,对接源_02物料!$D$4:$D$1203,"包装物料*"),2))</f>
      </c>
      <c r="F42" s="177">
        <f>IF($B42="","",ROUND(SUMIFS(对接源_02物料!$K$4:$K$1203,对接源_02物料!$C$4:$C$1203,$B42,对接源_02物料!$D$4:$D$1203,"周转筐*"),2))</f>
      </c>
      <c r="G42" s="177">
        <f>IF($B42="","",ROUND(SUMIFS(对接源_02物料!$K$4:$K$1203,对接源_02物料!$C$4:$C$1203,$B42,对接源_02物料!$D$4:$D$1203,"次果筐*"),2))</f>
      </c>
      <c r="H42" s="177">
        <f>IF($B42="","",ROUND(SUM($C42:$G42),2))</f>
      </c>
      <c r="I42" s="177">
        <f>IF($B42="","",ROUND(SUMIFS(对接源_01水果!$K$4:$K$1203,对接源_01水果!$C$4:$C$1203,$B42,对接源_01水果!$D$4:$D$1203,"成品出库*",对接源_01水果!$L$4:$L$1203,"已收讫")+SUMIFS(对接源_01水果!$K$4:$K$1203,对接源_01水果!$C$4:$C$1203,$B42,对接源_01水果!$D$4:$D$1203,"成品出库*",对接源_01水果!$L$4:$L$1203,"已付款")+SUMIFS(对接源_01水果!$K$4:$K$1203,对接源_01水果!$C$4:$C$1203,$B42,对接源_01水果!$D$4:$D$1203,"其他代存*",对接源_01水果!$L$4:$L$1203,"已收讫")+SUMIFS(对接源_01水果!$K$4:$K$1203,对接源_01水果!$C$4:$C$1203,$B42,对接源_01水果!$D$4:$D$1203,"其他代存*",对接源_01水果!$L$4:$L$1203,"已付款")+SUMIFS(对接源_02物料!$K$4:$K$1203,对接源_02物料!$C$4:$C$1203,$B42,对接源_02物料!$D$4:$D$1203,"包装物料*",对接源_02物料!$L$4:$L$1203,"已收讫")+SUMIFS(对接源_02物料!$K$4:$K$1203,对接源_02物料!$C$4:$C$1203,$B42,对接源_02物料!$D$4:$D$1203,"包装物料*",对接源_02物料!$L$4:$L$1203,"已付款")+SUMIFS(对接源_02物料!$K$4:$K$1203,对接源_02物料!$C$4:$C$1203,$B42,对接源_02物料!$D$4:$D$1203,"周转筐*",对接源_02物料!$L$4:$L$1203,"已收讫")+SUMIFS(对接源_02物料!$K$4:$K$1203,对接源_02物料!$C$4:$C$1203,$B42,对接源_02物料!$D$4:$D$1203,"周转筐*",对接源_02物料!$L$4:$L$1203,"已付款")+SUMIFS(对接源_02物料!$K$4:$K$1203,对接源_02物料!$C$4:$C$1203,$B42,对接源_02物料!$D$4:$D$1203,"次果筐*",对接源_02物料!$L$4:$L$1203,"已收讫")+SUMIFS(对接源_02物料!$K$4:$K$1203,对接源_02物料!$C$4:$C$1203,$B42,对接源_02物料!$D$4:$D$1203,"次果筐*",对接源_02物料!$L$4:$L$1203,"已付款"),2))</f>
      </c>
      <c r="J42" s="177">
        <f>IF($B42="","",ROUND(N($H42)-N($I42),2))</f>
      </c>
      <c r="K42" s="16">
        <f>IF($B42="","",IF(ROUND(N($J42),2)&gt;0,"对方欠款",IF(ROUND(N($J42),2)&lt;0,"我方欠款","已两清")))</f>
      </c>
      <c r="L42" s="26" t="n"/>
    </row>
    <row r="43" s="127">
      <c r="A43" s="16">
        <f>IF($B43="","",ROW()-3)</f>
      </c>
      <c r="B43" s="11">
        <f>IFERROR(INDEX(_自动清单!$E$4:$E$303,ROW()-3),"")</f>
      </c>
      <c r="C43" s="177">
        <f>IF($B43="","",ROUND(SUMIFS(对接源_01水果!$K$4:$K$1203,对接源_01水果!$C$4:$C$1203,$B43,对接源_01水果!$D$4:$D$1203,"成品出库*"),2))</f>
      </c>
      <c r="D43" s="177">
        <f>IF($B43="","",ROUND(SUMIFS(对接源_01水果!$K$4:$K$1203,对接源_01水果!$C$4:$C$1203,$B43,对接源_01水果!$D$4:$D$1203,"其他代存*"),2))</f>
      </c>
      <c r="E43" s="177">
        <f>IF($B43="","",ROUND(SUMIFS(对接源_02物料!$K$4:$K$1203,对接源_02物料!$C$4:$C$1203,$B43,对接源_02物料!$D$4:$D$1203,"包装物料*"),2))</f>
      </c>
      <c r="F43" s="177">
        <f>IF($B43="","",ROUND(SUMIFS(对接源_02物料!$K$4:$K$1203,对接源_02物料!$C$4:$C$1203,$B43,对接源_02物料!$D$4:$D$1203,"周转筐*"),2))</f>
      </c>
      <c r="G43" s="177">
        <f>IF($B43="","",ROUND(SUMIFS(对接源_02物料!$K$4:$K$1203,对接源_02物料!$C$4:$C$1203,$B43,对接源_02物料!$D$4:$D$1203,"次果筐*"),2))</f>
      </c>
      <c r="H43" s="177">
        <f>IF($B43="","",ROUND(SUM($C43:$G43),2))</f>
      </c>
      <c r="I43" s="177">
        <f>IF($B43="","",ROUND(SUMIFS(对接源_01水果!$K$4:$K$1203,对接源_01水果!$C$4:$C$1203,$B43,对接源_01水果!$D$4:$D$1203,"成品出库*",对接源_01水果!$L$4:$L$1203,"已收讫")+SUMIFS(对接源_01水果!$K$4:$K$1203,对接源_01水果!$C$4:$C$1203,$B43,对接源_01水果!$D$4:$D$1203,"成品出库*",对接源_01水果!$L$4:$L$1203,"已付款")+SUMIFS(对接源_01水果!$K$4:$K$1203,对接源_01水果!$C$4:$C$1203,$B43,对接源_01水果!$D$4:$D$1203,"其他代存*",对接源_01水果!$L$4:$L$1203,"已收讫")+SUMIFS(对接源_01水果!$K$4:$K$1203,对接源_01水果!$C$4:$C$1203,$B43,对接源_01水果!$D$4:$D$1203,"其他代存*",对接源_01水果!$L$4:$L$1203,"已付款")+SUMIFS(对接源_02物料!$K$4:$K$1203,对接源_02物料!$C$4:$C$1203,$B43,对接源_02物料!$D$4:$D$1203,"包装物料*",对接源_02物料!$L$4:$L$1203,"已收讫")+SUMIFS(对接源_02物料!$K$4:$K$1203,对接源_02物料!$C$4:$C$1203,$B43,对接源_02物料!$D$4:$D$1203,"包装物料*",对接源_02物料!$L$4:$L$1203,"已付款")+SUMIFS(对接源_02物料!$K$4:$K$1203,对接源_02物料!$C$4:$C$1203,$B43,对接源_02物料!$D$4:$D$1203,"周转筐*",对接源_02物料!$L$4:$L$1203,"已收讫")+SUMIFS(对接源_02物料!$K$4:$K$1203,对接源_02物料!$C$4:$C$1203,$B43,对接源_02物料!$D$4:$D$1203,"周转筐*",对接源_02物料!$L$4:$L$1203,"已付款")+SUMIFS(对接源_02物料!$K$4:$K$1203,对接源_02物料!$C$4:$C$1203,$B43,对接源_02物料!$D$4:$D$1203,"次果筐*",对接源_02物料!$L$4:$L$1203,"已收讫")+SUMIFS(对接源_02物料!$K$4:$K$1203,对接源_02物料!$C$4:$C$1203,$B43,对接源_02物料!$D$4:$D$1203,"次果筐*",对接源_02物料!$L$4:$L$1203,"已付款"),2))</f>
      </c>
      <c r="J43" s="177">
        <f>IF($B43="","",ROUND(N($H43)-N($I43),2))</f>
      </c>
      <c r="K43" s="16">
        <f>IF($B43="","",IF(ROUND(N($J43),2)&gt;0,"对方欠款",IF(ROUND(N($J43),2)&lt;0,"我方欠款","已两清")))</f>
      </c>
      <c r="L43" s="26" t="n"/>
    </row>
    <row r="44" s="127">
      <c r="A44" s="16">
        <f>IF($B44="","",ROW()-3)</f>
      </c>
      <c r="B44" s="11">
        <f>IFERROR(INDEX(_自动清单!$E$4:$E$303,ROW()-3),"")</f>
      </c>
      <c r="C44" s="177">
        <f>IF($B44="","",ROUND(SUMIFS(对接源_01水果!$K$4:$K$1203,对接源_01水果!$C$4:$C$1203,$B44,对接源_01水果!$D$4:$D$1203,"成品出库*"),2))</f>
      </c>
      <c r="D44" s="177">
        <f>IF($B44="","",ROUND(SUMIFS(对接源_01水果!$K$4:$K$1203,对接源_01水果!$C$4:$C$1203,$B44,对接源_01水果!$D$4:$D$1203,"其他代存*"),2))</f>
      </c>
      <c r="E44" s="177">
        <f>IF($B44="","",ROUND(SUMIFS(对接源_02物料!$K$4:$K$1203,对接源_02物料!$C$4:$C$1203,$B44,对接源_02物料!$D$4:$D$1203,"包装物料*"),2))</f>
      </c>
      <c r="F44" s="177">
        <f>IF($B44="","",ROUND(SUMIFS(对接源_02物料!$K$4:$K$1203,对接源_02物料!$C$4:$C$1203,$B44,对接源_02物料!$D$4:$D$1203,"周转筐*"),2))</f>
      </c>
      <c r="G44" s="177">
        <f>IF($B44="","",ROUND(SUMIFS(对接源_02物料!$K$4:$K$1203,对接源_02物料!$C$4:$C$1203,$B44,对接源_02物料!$D$4:$D$1203,"次果筐*"),2))</f>
      </c>
      <c r="H44" s="177">
        <f>IF($B44="","",ROUND(SUM($C44:$G44),2))</f>
      </c>
      <c r="I44" s="177">
        <f>IF($B44="","",ROUND(SUMIFS(对接源_01水果!$K$4:$K$1203,对接源_01水果!$C$4:$C$1203,$B44,对接源_01水果!$D$4:$D$1203,"成品出库*",对接源_01水果!$L$4:$L$1203,"已收讫")+SUMIFS(对接源_01水果!$K$4:$K$1203,对接源_01水果!$C$4:$C$1203,$B44,对接源_01水果!$D$4:$D$1203,"成品出库*",对接源_01水果!$L$4:$L$1203,"已付款")+SUMIFS(对接源_01水果!$K$4:$K$1203,对接源_01水果!$C$4:$C$1203,$B44,对接源_01水果!$D$4:$D$1203,"其他代存*",对接源_01水果!$L$4:$L$1203,"已收讫")+SUMIFS(对接源_01水果!$K$4:$K$1203,对接源_01水果!$C$4:$C$1203,$B44,对接源_01水果!$D$4:$D$1203,"其他代存*",对接源_01水果!$L$4:$L$1203,"已付款")+SUMIFS(对接源_02物料!$K$4:$K$1203,对接源_02物料!$C$4:$C$1203,$B44,对接源_02物料!$D$4:$D$1203,"包装物料*",对接源_02物料!$L$4:$L$1203,"已收讫")+SUMIFS(对接源_02物料!$K$4:$K$1203,对接源_02物料!$C$4:$C$1203,$B44,对接源_02物料!$D$4:$D$1203,"包装物料*",对接源_02物料!$L$4:$L$1203,"已付款")+SUMIFS(对接源_02物料!$K$4:$K$1203,对接源_02物料!$C$4:$C$1203,$B44,对接源_02物料!$D$4:$D$1203,"周转筐*",对接源_02物料!$L$4:$L$1203,"已收讫")+SUMIFS(对接源_02物料!$K$4:$K$1203,对接源_02物料!$C$4:$C$1203,$B44,对接源_02物料!$D$4:$D$1203,"周转筐*",对接源_02物料!$L$4:$L$1203,"已付款")+SUMIFS(对接源_02物料!$K$4:$K$1203,对接源_02物料!$C$4:$C$1203,$B44,对接源_02物料!$D$4:$D$1203,"次果筐*",对接源_02物料!$L$4:$L$1203,"已收讫")+SUMIFS(对接源_02物料!$K$4:$K$1203,对接源_02物料!$C$4:$C$1203,$B44,对接源_02物料!$D$4:$D$1203,"次果筐*",对接源_02物料!$L$4:$L$1203,"已付款"),2))</f>
      </c>
      <c r="J44" s="177">
        <f>IF($B44="","",ROUND(N($H44)-N($I44),2))</f>
      </c>
      <c r="K44" s="16">
        <f>IF($B44="","",IF(ROUND(N($J44),2)&gt;0,"对方欠款",IF(ROUND(N($J44),2)&lt;0,"我方欠款","已两清")))</f>
      </c>
      <c r="L44" s="26" t="n"/>
    </row>
    <row r="45" s="127">
      <c r="A45" s="16">
        <f>IF($B45="","",ROW()-3)</f>
      </c>
      <c r="B45" s="11">
        <f>IFERROR(INDEX(_自动清单!$E$4:$E$303,ROW()-3),"")</f>
      </c>
      <c r="C45" s="177">
        <f>IF($B45="","",ROUND(SUMIFS(对接源_01水果!$K$4:$K$1203,对接源_01水果!$C$4:$C$1203,$B45,对接源_01水果!$D$4:$D$1203,"成品出库*"),2))</f>
      </c>
      <c r="D45" s="177">
        <f>IF($B45="","",ROUND(SUMIFS(对接源_01水果!$K$4:$K$1203,对接源_01水果!$C$4:$C$1203,$B45,对接源_01水果!$D$4:$D$1203,"其他代存*"),2))</f>
      </c>
      <c r="E45" s="177">
        <f>IF($B45="","",ROUND(SUMIFS(对接源_02物料!$K$4:$K$1203,对接源_02物料!$C$4:$C$1203,$B45,对接源_02物料!$D$4:$D$1203,"包装物料*"),2))</f>
      </c>
      <c r="F45" s="177">
        <f>IF($B45="","",ROUND(SUMIFS(对接源_02物料!$K$4:$K$1203,对接源_02物料!$C$4:$C$1203,$B45,对接源_02物料!$D$4:$D$1203,"周转筐*"),2))</f>
      </c>
      <c r="G45" s="177">
        <f>IF($B45="","",ROUND(SUMIFS(对接源_02物料!$K$4:$K$1203,对接源_02物料!$C$4:$C$1203,$B45,对接源_02物料!$D$4:$D$1203,"次果筐*"),2))</f>
      </c>
      <c r="H45" s="177">
        <f>IF($B45="","",ROUND(SUM($C45:$G45),2))</f>
      </c>
      <c r="I45" s="177">
        <f>IF($B45="","",ROUND(SUMIFS(对接源_01水果!$K$4:$K$1203,对接源_01水果!$C$4:$C$1203,$B45,对接源_01水果!$D$4:$D$1203,"成品出库*",对接源_01水果!$L$4:$L$1203,"已收讫")+SUMIFS(对接源_01水果!$K$4:$K$1203,对接源_01水果!$C$4:$C$1203,$B45,对接源_01水果!$D$4:$D$1203,"成品出库*",对接源_01水果!$L$4:$L$1203,"已付款")+SUMIFS(对接源_01水果!$K$4:$K$1203,对接源_01水果!$C$4:$C$1203,$B45,对接源_01水果!$D$4:$D$1203,"其他代存*",对接源_01水果!$L$4:$L$1203,"已收讫")+SUMIFS(对接源_01水果!$K$4:$K$1203,对接源_01水果!$C$4:$C$1203,$B45,对接源_01水果!$D$4:$D$1203,"其他代存*",对接源_01水果!$L$4:$L$1203,"已付款")+SUMIFS(对接源_02物料!$K$4:$K$1203,对接源_02物料!$C$4:$C$1203,$B45,对接源_02物料!$D$4:$D$1203,"包装物料*",对接源_02物料!$L$4:$L$1203,"已收讫")+SUMIFS(对接源_02物料!$K$4:$K$1203,对接源_02物料!$C$4:$C$1203,$B45,对接源_02物料!$D$4:$D$1203,"包装物料*",对接源_02物料!$L$4:$L$1203,"已付款")+SUMIFS(对接源_02物料!$K$4:$K$1203,对接源_02物料!$C$4:$C$1203,$B45,对接源_02物料!$D$4:$D$1203,"周转筐*",对接源_02物料!$L$4:$L$1203,"已收讫")+SUMIFS(对接源_02物料!$K$4:$K$1203,对接源_02物料!$C$4:$C$1203,$B45,对接源_02物料!$D$4:$D$1203,"周转筐*",对接源_02物料!$L$4:$L$1203,"已付款")+SUMIFS(对接源_02物料!$K$4:$K$1203,对接源_02物料!$C$4:$C$1203,$B45,对接源_02物料!$D$4:$D$1203,"次果筐*",对接源_02物料!$L$4:$L$1203,"已收讫")+SUMIFS(对接源_02物料!$K$4:$K$1203,对接源_02物料!$C$4:$C$1203,$B45,对接源_02物料!$D$4:$D$1203,"次果筐*",对接源_02物料!$L$4:$L$1203,"已付款"),2))</f>
      </c>
      <c r="J45" s="177">
        <f>IF($B45="","",ROUND(N($H45)-N($I45),2))</f>
      </c>
      <c r="K45" s="16">
        <f>IF($B45="","",IF(ROUND(N($J45),2)&gt;0,"对方欠款",IF(ROUND(N($J45),2)&lt;0,"我方欠款","已两清")))</f>
      </c>
      <c r="L45" s="26" t="n"/>
    </row>
    <row r="46" s="127">
      <c r="A46" s="16">
        <f>IF($B46="","",ROW()-3)</f>
      </c>
      <c r="B46" s="11">
        <f>IFERROR(INDEX(_自动清单!$E$4:$E$303,ROW()-3),"")</f>
      </c>
      <c r="C46" s="177">
        <f>IF($B46="","",ROUND(SUMIFS(对接源_01水果!$K$4:$K$1203,对接源_01水果!$C$4:$C$1203,$B46,对接源_01水果!$D$4:$D$1203,"成品出库*"),2))</f>
      </c>
      <c r="D46" s="177">
        <f>IF($B46="","",ROUND(SUMIFS(对接源_01水果!$K$4:$K$1203,对接源_01水果!$C$4:$C$1203,$B46,对接源_01水果!$D$4:$D$1203,"其他代存*"),2))</f>
      </c>
      <c r="E46" s="177">
        <f>IF($B46="","",ROUND(SUMIFS(对接源_02物料!$K$4:$K$1203,对接源_02物料!$C$4:$C$1203,$B46,对接源_02物料!$D$4:$D$1203,"包装物料*"),2))</f>
      </c>
      <c r="F46" s="177">
        <f>IF($B46="","",ROUND(SUMIFS(对接源_02物料!$K$4:$K$1203,对接源_02物料!$C$4:$C$1203,$B46,对接源_02物料!$D$4:$D$1203,"周转筐*"),2))</f>
      </c>
      <c r="G46" s="177">
        <f>IF($B46="","",ROUND(SUMIFS(对接源_02物料!$K$4:$K$1203,对接源_02物料!$C$4:$C$1203,$B46,对接源_02物料!$D$4:$D$1203,"次果筐*"),2))</f>
      </c>
      <c r="H46" s="177">
        <f>IF($B46="","",ROUND(SUM($C46:$G46),2))</f>
      </c>
      <c r="I46" s="177">
        <f>IF($B46="","",ROUND(SUMIFS(对接源_01水果!$K$4:$K$1203,对接源_01水果!$C$4:$C$1203,$B46,对接源_01水果!$D$4:$D$1203,"成品出库*",对接源_01水果!$L$4:$L$1203,"已收讫")+SUMIFS(对接源_01水果!$K$4:$K$1203,对接源_01水果!$C$4:$C$1203,$B46,对接源_01水果!$D$4:$D$1203,"成品出库*",对接源_01水果!$L$4:$L$1203,"已付款")+SUMIFS(对接源_01水果!$K$4:$K$1203,对接源_01水果!$C$4:$C$1203,$B46,对接源_01水果!$D$4:$D$1203,"其他代存*",对接源_01水果!$L$4:$L$1203,"已收讫")+SUMIFS(对接源_01水果!$K$4:$K$1203,对接源_01水果!$C$4:$C$1203,$B46,对接源_01水果!$D$4:$D$1203,"其他代存*",对接源_01水果!$L$4:$L$1203,"已付款")+SUMIFS(对接源_02物料!$K$4:$K$1203,对接源_02物料!$C$4:$C$1203,$B46,对接源_02物料!$D$4:$D$1203,"包装物料*",对接源_02物料!$L$4:$L$1203,"已收讫")+SUMIFS(对接源_02物料!$K$4:$K$1203,对接源_02物料!$C$4:$C$1203,$B46,对接源_02物料!$D$4:$D$1203,"包装物料*",对接源_02物料!$L$4:$L$1203,"已付款")+SUMIFS(对接源_02物料!$K$4:$K$1203,对接源_02物料!$C$4:$C$1203,$B46,对接源_02物料!$D$4:$D$1203,"周转筐*",对接源_02物料!$L$4:$L$1203,"已收讫")+SUMIFS(对接源_02物料!$K$4:$K$1203,对接源_02物料!$C$4:$C$1203,$B46,对接源_02物料!$D$4:$D$1203,"周转筐*",对接源_02物料!$L$4:$L$1203,"已付款")+SUMIFS(对接源_02物料!$K$4:$K$1203,对接源_02物料!$C$4:$C$1203,$B46,对接源_02物料!$D$4:$D$1203,"次果筐*",对接源_02物料!$L$4:$L$1203,"已收讫")+SUMIFS(对接源_02物料!$K$4:$K$1203,对接源_02物料!$C$4:$C$1203,$B46,对接源_02物料!$D$4:$D$1203,"次果筐*",对接源_02物料!$L$4:$L$1203,"已付款"),2))</f>
      </c>
      <c r="J46" s="177">
        <f>IF($B46="","",ROUND(N($H46)-N($I46),2))</f>
      </c>
      <c r="K46" s="16">
        <f>IF($B46="","",IF(ROUND(N($J46),2)&gt;0,"对方欠款",IF(ROUND(N($J46),2)&lt;0,"我方欠款","已两清")))</f>
      </c>
      <c r="L46" s="26" t="n"/>
    </row>
    <row r="47" s="127">
      <c r="A47" s="16">
        <f>IF($B47="","",ROW()-3)</f>
      </c>
      <c r="B47" s="11">
        <f>IFERROR(INDEX(_自动清单!$E$4:$E$303,ROW()-3),"")</f>
      </c>
      <c r="C47" s="177">
        <f>IF($B47="","",ROUND(SUMIFS(对接源_01水果!$K$4:$K$1203,对接源_01水果!$C$4:$C$1203,$B47,对接源_01水果!$D$4:$D$1203,"成品出库*"),2))</f>
      </c>
      <c r="D47" s="177">
        <f>IF($B47="","",ROUND(SUMIFS(对接源_01水果!$K$4:$K$1203,对接源_01水果!$C$4:$C$1203,$B47,对接源_01水果!$D$4:$D$1203,"其他代存*"),2))</f>
      </c>
      <c r="E47" s="177">
        <f>IF($B47="","",ROUND(SUMIFS(对接源_02物料!$K$4:$K$1203,对接源_02物料!$C$4:$C$1203,$B47,对接源_02物料!$D$4:$D$1203,"包装物料*"),2))</f>
      </c>
      <c r="F47" s="177">
        <f>IF($B47="","",ROUND(SUMIFS(对接源_02物料!$K$4:$K$1203,对接源_02物料!$C$4:$C$1203,$B47,对接源_02物料!$D$4:$D$1203,"周转筐*"),2))</f>
      </c>
      <c r="G47" s="177">
        <f>IF($B47="","",ROUND(SUMIFS(对接源_02物料!$K$4:$K$1203,对接源_02物料!$C$4:$C$1203,$B47,对接源_02物料!$D$4:$D$1203,"次果筐*"),2))</f>
      </c>
      <c r="H47" s="177">
        <f>IF($B47="","",ROUND(SUM($C47:$G47),2))</f>
      </c>
      <c r="I47" s="177">
        <f>IF($B47="","",ROUND(SUMIFS(对接源_01水果!$K$4:$K$1203,对接源_01水果!$C$4:$C$1203,$B47,对接源_01水果!$D$4:$D$1203,"成品出库*",对接源_01水果!$L$4:$L$1203,"已收讫")+SUMIFS(对接源_01水果!$K$4:$K$1203,对接源_01水果!$C$4:$C$1203,$B47,对接源_01水果!$D$4:$D$1203,"成品出库*",对接源_01水果!$L$4:$L$1203,"已付款")+SUMIFS(对接源_01水果!$K$4:$K$1203,对接源_01水果!$C$4:$C$1203,$B47,对接源_01水果!$D$4:$D$1203,"其他代存*",对接源_01水果!$L$4:$L$1203,"已收讫")+SUMIFS(对接源_01水果!$K$4:$K$1203,对接源_01水果!$C$4:$C$1203,$B47,对接源_01水果!$D$4:$D$1203,"其他代存*",对接源_01水果!$L$4:$L$1203,"已付款")+SUMIFS(对接源_02物料!$K$4:$K$1203,对接源_02物料!$C$4:$C$1203,$B47,对接源_02物料!$D$4:$D$1203,"包装物料*",对接源_02物料!$L$4:$L$1203,"已收讫")+SUMIFS(对接源_02物料!$K$4:$K$1203,对接源_02物料!$C$4:$C$1203,$B47,对接源_02物料!$D$4:$D$1203,"包装物料*",对接源_02物料!$L$4:$L$1203,"已付款")+SUMIFS(对接源_02物料!$K$4:$K$1203,对接源_02物料!$C$4:$C$1203,$B47,对接源_02物料!$D$4:$D$1203,"周转筐*",对接源_02物料!$L$4:$L$1203,"已收讫")+SUMIFS(对接源_02物料!$K$4:$K$1203,对接源_02物料!$C$4:$C$1203,$B47,对接源_02物料!$D$4:$D$1203,"周转筐*",对接源_02物料!$L$4:$L$1203,"已付款")+SUMIFS(对接源_02物料!$K$4:$K$1203,对接源_02物料!$C$4:$C$1203,$B47,对接源_02物料!$D$4:$D$1203,"次果筐*",对接源_02物料!$L$4:$L$1203,"已收讫")+SUMIFS(对接源_02物料!$K$4:$K$1203,对接源_02物料!$C$4:$C$1203,$B47,对接源_02物料!$D$4:$D$1203,"次果筐*",对接源_02物料!$L$4:$L$1203,"已付款"),2))</f>
      </c>
      <c r="J47" s="177">
        <f>IF($B47="","",ROUND(N($H47)-N($I47),2))</f>
      </c>
      <c r="K47" s="16">
        <f>IF($B47="","",IF(ROUND(N($J47),2)&gt;0,"对方欠款",IF(ROUND(N($J47),2)&lt;0,"我方欠款","已两清")))</f>
      </c>
      <c r="L47" s="26" t="n"/>
    </row>
    <row r="48" s="127">
      <c r="A48" s="16">
        <f>IF($B48="","",ROW()-3)</f>
      </c>
      <c r="B48" s="11">
        <f>IFERROR(INDEX(_自动清单!$E$4:$E$303,ROW()-3),"")</f>
      </c>
      <c r="C48" s="177">
        <f>IF($B48="","",ROUND(SUMIFS(对接源_01水果!$K$4:$K$1203,对接源_01水果!$C$4:$C$1203,$B48,对接源_01水果!$D$4:$D$1203,"成品出库*"),2))</f>
      </c>
      <c r="D48" s="177">
        <f>IF($B48="","",ROUND(SUMIFS(对接源_01水果!$K$4:$K$1203,对接源_01水果!$C$4:$C$1203,$B48,对接源_01水果!$D$4:$D$1203,"其他代存*"),2))</f>
      </c>
      <c r="E48" s="177">
        <f>IF($B48="","",ROUND(SUMIFS(对接源_02物料!$K$4:$K$1203,对接源_02物料!$C$4:$C$1203,$B48,对接源_02物料!$D$4:$D$1203,"包装物料*"),2))</f>
      </c>
      <c r="F48" s="177">
        <f>IF($B48="","",ROUND(SUMIFS(对接源_02物料!$K$4:$K$1203,对接源_02物料!$C$4:$C$1203,$B48,对接源_02物料!$D$4:$D$1203,"周转筐*"),2))</f>
      </c>
      <c r="G48" s="177">
        <f>IF($B48="","",ROUND(SUMIFS(对接源_02物料!$K$4:$K$1203,对接源_02物料!$C$4:$C$1203,$B48,对接源_02物料!$D$4:$D$1203,"次果筐*"),2))</f>
      </c>
      <c r="H48" s="177">
        <f>IF($B48="","",ROUND(SUM($C48:$G48),2))</f>
      </c>
      <c r="I48" s="177">
        <f>IF($B48="","",ROUND(SUMIFS(对接源_01水果!$K$4:$K$1203,对接源_01水果!$C$4:$C$1203,$B48,对接源_01水果!$D$4:$D$1203,"成品出库*",对接源_01水果!$L$4:$L$1203,"已收讫")+SUMIFS(对接源_01水果!$K$4:$K$1203,对接源_01水果!$C$4:$C$1203,$B48,对接源_01水果!$D$4:$D$1203,"成品出库*",对接源_01水果!$L$4:$L$1203,"已付款")+SUMIFS(对接源_01水果!$K$4:$K$1203,对接源_01水果!$C$4:$C$1203,$B48,对接源_01水果!$D$4:$D$1203,"其他代存*",对接源_01水果!$L$4:$L$1203,"已收讫")+SUMIFS(对接源_01水果!$K$4:$K$1203,对接源_01水果!$C$4:$C$1203,$B48,对接源_01水果!$D$4:$D$1203,"其他代存*",对接源_01水果!$L$4:$L$1203,"已付款")+SUMIFS(对接源_02物料!$K$4:$K$1203,对接源_02物料!$C$4:$C$1203,$B48,对接源_02物料!$D$4:$D$1203,"包装物料*",对接源_02物料!$L$4:$L$1203,"已收讫")+SUMIFS(对接源_02物料!$K$4:$K$1203,对接源_02物料!$C$4:$C$1203,$B48,对接源_02物料!$D$4:$D$1203,"包装物料*",对接源_02物料!$L$4:$L$1203,"已付款")+SUMIFS(对接源_02物料!$K$4:$K$1203,对接源_02物料!$C$4:$C$1203,$B48,对接源_02物料!$D$4:$D$1203,"周转筐*",对接源_02物料!$L$4:$L$1203,"已收讫")+SUMIFS(对接源_02物料!$K$4:$K$1203,对接源_02物料!$C$4:$C$1203,$B48,对接源_02物料!$D$4:$D$1203,"周转筐*",对接源_02物料!$L$4:$L$1203,"已付款")+SUMIFS(对接源_02物料!$K$4:$K$1203,对接源_02物料!$C$4:$C$1203,$B48,对接源_02物料!$D$4:$D$1203,"次果筐*",对接源_02物料!$L$4:$L$1203,"已收讫")+SUMIFS(对接源_02物料!$K$4:$K$1203,对接源_02物料!$C$4:$C$1203,$B48,对接源_02物料!$D$4:$D$1203,"次果筐*",对接源_02物料!$L$4:$L$1203,"已付款"),2))</f>
      </c>
      <c r="J48" s="177">
        <f>IF($B48="","",ROUND(N($H48)-N($I48),2))</f>
      </c>
      <c r="K48" s="16">
        <f>IF($B48="","",IF(ROUND(N($J48),2)&gt;0,"对方欠款",IF(ROUND(N($J48),2)&lt;0,"我方欠款","已两清")))</f>
      </c>
      <c r="L48" s="26" t="n"/>
    </row>
    <row r="49" s="127">
      <c r="A49" s="16">
        <f>IF($B49="","",ROW()-3)</f>
      </c>
      <c r="B49" s="11">
        <f>IFERROR(INDEX(_自动清单!$E$4:$E$303,ROW()-3),"")</f>
      </c>
      <c r="C49" s="177">
        <f>IF($B49="","",ROUND(SUMIFS(对接源_01水果!$K$4:$K$1203,对接源_01水果!$C$4:$C$1203,$B49,对接源_01水果!$D$4:$D$1203,"成品出库*"),2))</f>
      </c>
      <c r="D49" s="177">
        <f>IF($B49="","",ROUND(SUMIFS(对接源_01水果!$K$4:$K$1203,对接源_01水果!$C$4:$C$1203,$B49,对接源_01水果!$D$4:$D$1203,"其他代存*"),2))</f>
      </c>
      <c r="E49" s="177">
        <f>IF($B49="","",ROUND(SUMIFS(对接源_02物料!$K$4:$K$1203,对接源_02物料!$C$4:$C$1203,$B49,对接源_02物料!$D$4:$D$1203,"包装物料*"),2))</f>
      </c>
      <c r="F49" s="177">
        <f>IF($B49="","",ROUND(SUMIFS(对接源_02物料!$K$4:$K$1203,对接源_02物料!$C$4:$C$1203,$B49,对接源_02物料!$D$4:$D$1203,"周转筐*"),2))</f>
      </c>
      <c r="G49" s="177">
        <f>IF($B49="","",ROUND(SUMIFS(对接源_02物料!$K$4:$K$1203,对接源_02物料!$C$4:$C$1203,$B49,对接源_02物料!$D$4:$D$1203,"次果筐*"),2))</f>
      </c>
      <c r="H49" s="177">
        <f>IF($B49="","",ROUND(SUM($C49:$G49),2))</f>
      </c>
      <c r="I49" s="177">
        <f>IF($B49="","",ROUND(SUMIFS(对接源_01水果!$K$4:$K$1203,对接源_01水果!$C$4:$C$1203,$B49,对接源_01水果!$D$4:$D$1203,"成品出库*",对接源_01水果!$L$4:$L$1203,"已收讫")+SUMIFS(对接源_01水果!$K$4:$K$1203,对接源_01水果!$C$4:$C$1203,$B49,对接源_01水果!$D$4:$D$1203,"成品出库*",对接源_01水果!$L$4:$L$1203,"已付款")+SUMIFS(对接源_01水果!$K$4:$K$1203,对接源_01水果!$C$4:$C$1203,$B49,对接源_01水果!$D$4:$D$1203,"其他代存*",对接源_01水果!$L$4:$L$1203,"已收讫")+SUMIFS(对接源_01水果!$K$4:$K$1203,对接源_01水果!$C$4:$C$1203,$B49,对接源_01水果!$D$4:$D$1203,"其他代存*",对接源_01水果!$L$4:$L$1203,"已付款")+SUMIFS(对接源_02物料!$K$4:$K$1203,对接源_02物料!$C$4:$C$1203,$B49,对接源_02物料!$D$4:$D$1203,"包装物料*",对接源_02物料!$L$4:$L$1203,"已收讫")+SUMIFS(对接源_02物料!$K$4:$K$1203,对接源_02物料!$C$4:$C$1203,$B49,对接源_02物料!$D$4:$D$1203,"包装物料*",对接源_02物料!$L$4:$L$1203,"已付款")+SUMIFS(对接源_02物料!$K$4:$K$1203,对接源_02物料!$C$4:$C$1203,$B49,对接源_02物料!$D$4:$D$1203,"周转筐*",对接源_02物料!$L$4:$L$1203,"已收讫")+SUMIFS(对接源_02物料!$K$4:$K$1203,对接源_02物料!$C$4:$C$1203,$B49,对接源_02物料!$D$4:$D$1203,"周转筐*",对接源_02物料!$L$4:$L$1203,"已付款")+SUMIFS(对接源_02物料!$K$4:$K$1203,对接源_02物料!$C$4:$C$1203,$B49,对接源_02物料!$D$4:$D$1203,"次果筐*",对接源_02物料!$L$4:$L$1203,"已收讫")+SUMIFS(对接源_02物料!$K$4:$K$1203,对接源_02物料!$C$4:$C$1203,$B49,对接源_02物料!$D$4:$D$1203,"次果筐*",对接源_02物料!$L$4:$L$1203,"已付款"),2))</f>
      </c>
      <c r="J49" s="177">
        <f>IF($B49="","",ROUND(N($H49)-N($I49),2))</f>
      </c>
      <c r="K49" s="16">
        <f>IF($B49="","",IF(ROUND(N($J49),2)&gt;0,"对方欠款",IF(ROUND(N($J49),2)&lt;0,"我方欠款","已两清")))</f>
      </c>
      <c r="L49" s="26" t="n"/>
    </row>
    <row r="50" s="127">
      <c r="A50" s="16">
        <f>IF($B50="","",ROW()-3)</f>
      </c>
      <c r="B50" s="11">
        <f>IFERROR(INDEX(_自动清单!$E$4:$E$303,ROW()-3),"")</f>
      </c>
      <c r="C50" s="177">
        <f>IF($B50="","",ROUND(SUMIFS(对接源_01水果!$K$4:$K$1203,对接源_01水果!$C$4:$C$1203,$B50,对接源_01水果!$D$4:$D$1203,"成品出库*"),2))</f>
      </c>
      <c r="D50" s="177">
        <f>IF($B50="","",ROUND(SUMIFS(对接源_01水果!$K$4:$K$1203,对接源_01水果!$C$4:$C$1203,$B50,对接源_01水果!$D$4:$D$1203,"其他代存*"),2))</f>
      </c>
      <c r="E50" s="177">
        <f>IF($B50="","",ROUND(SUMIFS(对接源_02物料!$K$4:$K$1203,对接源_02物料!$C$4:$C$1203,$B50,对接源_02物料!$D$4:$D$1203,"包装物料*"),2))</f>
      </c>
      <c r="F50" s="177">
        <f>IF($B50="","",ROUND(SUMIFS(对接源_02物料!$K$4:$K$1203,对接源_02物料!$C$4:$C$1203,$B50,对接源_02物料!$D$4:$D$1203,"周转筐*"),2))</f>
      </c>
      <c r="G50" s="177">
        <f>IF($B50="","",ROUND(SUMIFS(对接源_02物料!$K$4:$K$1203,对接源_02物料!$C$4:$C$1203,$B50,对接源_02物料!$D$4:$D$1203,"次果筐*"),2))</f>
      </c>
      <c r="H50" s="177">
        <f>IF($B50="","",ROUND(SUM($C50:$G50),2))</f>
      </c>
      <c r="I50" s="177">
        <f>IF($B50="","",ROUND(SUMIFS(对接源_01水果!$K$4:$K$1203,对接源_01水果!$C$4:$C$1203,$B50,对接源_01水果!$D$4:$D$1203,"成品出库*",对接源_01水果!$L$4:$L$1203,"已收讫")+SUMIFS(对接源_01水果!$K$4:$K$1203,对接源_01水果!$C$4:$C$1203,$B50,对接源_01水果!$D$4:$D$1203,"成品出库*",对接源_01水果!$L$4:$L$1203,"已付款")+SUMIFS(对接源_01水果!$K$4:$K$1203,对接源_01水果!$C$4:$C$1203,$B50,对接源_01水果!$D$4:$D$1203,"其他代存*",对接源_01水果!$L$4:$L$1203,"已收讫")+SUMIFS(对接源_01水果!$K$4:$K$1203,对接源_01水果!$C$4:$C$1203,$B50,对接源_01水果!$D$4:$D$1203,"其他代存*",对接源_01水果!$L$4:$L$1203,"已付款")+SUMIFS(对接源_02物料!$K$4:$K$1203,对接源_02物料!$C$4:$C$1203,$B50,对接源_02物料!$D$4:$D$1203,"包装物料*",对接源_02物料!$L$4:$L$1203,"已收讫")+SUMIFS(对接源_02物料!$K$4:$K$1203,对接源_02物料!$C$4:$C$1203,$B50,对接源_02物料!$D$4:$D$1203,"包装物料*",对接源_02物料!$L$4:$L$1203,"已付款")+SUMIFS(对接源_02物料!$K$4:$K$1203,对接源_02物料!$C$4:$C$1203,$B50,对接源_02物料!$D$4:$D$1203,"周转筐*",对接源_02物料!$L$4:$L$1203,"已收讫")+SUMIFS(对接源_02物料!$K$4:$K$1203,对接源_02物料!$C$4:$C$1203,$B50,对接源_02物料!$D$4:$D$1203,"周转筐*",对接源_02物料!$L$4:$L$1203,"已付款")+SUMIFS(对接源_02物料!$K$4:$K$1203,对接源_02物料!$C$4:$C$1203,$B50,对接源_02物料!$D$4:$D$1203,"次果筐*",对接源_02物料!$L$4:$L$1203,"已收讫")+SUMIFS(对接源_02物料!$K$4:$K$1203,对接源_02物料!$C$4:$C$1203,$B50,对接源_02物料!$D$4:$D$1203,"次果筐*",对接源_02物料!$L$4:$L$1203,"已付款"),2))</f>
      </c>
      <c r="J50" s="177">
        <f>IF($B50="","",ROUND(N($H50)-N($I50),2))</f>
      </c>
      <c r="K50" s="16">
        <f>IF($B50="","",IF(ROUND(N($J50),2)&gt;0,"对方欠款",IF(ROUND(N($J50),2)&lt;0,"我方欠款","已两清")))</f>
      </c>
      <c r="L50" s="26" t="n"/>
    </row>
    <row r="51" s="127">
      <c r="A51" s="16">
        <f>IF($B51="","",ROW()-3)</f>
      </c>
      <c r="B51" s="11">
        <f>IFERROR(INDEX(_自动清单!$E$4:$E$303,ROW()-3),"")</f>
      </c>
      <c r="C51" s="177">
        <f>IF($B51="","",ROUND(SUMIFS(对接源_01水果!$K$4:$K$1203,对接源_01水果!$C$4:$C$1203,$B51,对接源_01水果!$D$4:$D$1203,"成品出库*"),2))</f>
      </c>
      <c r="D51" s="177">
        <f>IF($B51="","",ROUND(SUMIFS(对接源_01水果!$K$4:$K$1203,对接源_01水果!$C$4:$C$1203,$B51,对接源_01水果!$D$4:$D$1203,"其他代存*"),2))</f>
      </c>
      <c r="E51" s="177">
        <f>IF($B51="","",ROUND(SUMIFS(对接源_02物料!$K$4:$K$1203,对接源_02物料!$C$4:$C$1203,$B51,对接源_02物料!$D$4:$D$1203,"包装物料*"),2))</f>
      </c>
      <c r="F51" s="177">
        <f>IF($B51="","",ROUND(SUMIFS(对接源_02物料!$K$4:$K$1203,对接源_02物料!$C$4:$C$1203,$B51,对接源_02物料!$D$4:$D$1203,"周转筐*"),2))</f>
      </c>
      <c r="G51" s="177">
        <f>IF($B51="","",ROUND(SUMIFS(对接源_02物料!$K$4:$K$1203,对接源_02物料!$C$4:$C$1203,$B51,对接源_02物料!$D$4:$D$1203,"次果筐*"),2))</f>
      </c>
      <c r="H51" s="177">
        <f>IF($B51="","",ROUND(SUM($C51:$G51),2))</f>
      </c>
      <c r="I51" s="177">
        <f>IF($B51="","",ROUND(SUMIFS(对接源_01水果!$K$4:$K$1203,对接源_01水果!$C$4:$C$1203,$B51,对接源_01水果!$D$4:$D$1203,"成品出库*",对接源_01水果!$L$4:$L$1203,"已收讫")+SUMIFS(对接源_01水果!$K$4:$K$1203,对接源_01水果!$C$4:$C$1203,$B51,对接源_01水果!$D$4:$D$1203,"成品出库*",对接源_01水果!$L$4:$L$1203,"已付款")+SUMIFS(对接源_01水果!$K$4:$K$1203,对接源_01水果!$C$4:$C$1203,$B51,对接源_01水果!$D$4:$D$1203,"其他代存*",对接源_01水果!$L$4:$L$1203,"已收讫")+SUMIFS(对接源_01水果!$K$4:$K$1203,对接源_01水果!$C$4:$C$1203,$B51,对接源_01水果!$D$4:$D$1203,"其他代存*",对接源_01水果!$L$4:$L$1203,"已付款")+SUMIFS(对接源_02物料!$K$4:$K$1203,对接源_02物料!$C$4:$C$1203,$B51,对接源_02物料!$D$4:$D$1203,"包装物料*",对接源_02物料!$L$4:$L$1203,"已收讫")+SUMIFS(对接源_02物料!$K$4:$K$1203,对接源_02物料!$C$4:$C$1203,$B51,对接源_02物料!$D$4:$D$1203,"包装物料*",对接源_02物料!$L$4:$L$1203,"已付款")+SUMIFS(对接源_02物料!$K$4:$K$1203,对接源_02物料!$C$4:$C$1203,$B51,对接源_02物料!$D$4:$D$1203,"周转筐*",对接源_02物料!$L$4:$L$1203,"已收讫")+SUMIFS(对接源_02物料!$K$4:$K$1203,对接源_02物料!$C$4:$C$1203,$B51,对接源_02物料!$D$4:$D$1203,"周转筐*",对接源_02物料!$L$4:$L$1203,"已付款")+SUMIFS(对接源_02物料!$K$4:$K$1203,对接源_02物料!$C$4:$C$1203,$B51,对接源_02物料!$D$4:$D$1203,"次果筐*",对接源_02物料!$L$4:$L$1203,"已收讫")+SUMIFS(对接源_02物料!$K$4:$K$1203,对接源_02物料!$C$4:$C$1203,$B51,对接源_02物料!$D$4:$D$1203,"次果筐*",对接源_02物料!$L$4:$L$1203,"已付款"),2))</f>
      </c>
      <c r="J51" s="177">
        <f>IF($B51="","",ROUND(N($H51)-N($I51),2))</f>
      </c>
      <c r="K51" s="16">
        <f>IF($B51="","",IF(ROUND(N($J51),2)&gt;0,"对方欠款",IF(ROUND(N($J51),2)&lt;0,"我方欠款","已两清")))</f>
      </c>
      <c r="L51" s="26" t="n"/>
    </row>
    <row r="52" s="127">
      <c r="A52" s="16">
        <f>IF($B52="","",ROW()-3)</f>
      </c>
      <c r="B52" s="11">
        <f>IFERROR(INDEX(_自动清单!$E$4:$E$303,ROW()-3),"")</f>
      </c>
      <c r="C52" s="177">
        <f>IF($B52="","",ROUND(SUMIFS(对接源_01水果!$K$4:$K$1203,对接源_01水果!$C$4:$C$1203,$B52,对接源_01水果!$D$4:$D$1203,"成品出库*"),2))</f>
      </c>
      <c r="D52" s="177">
        <f>IF($B52="","",ROUND(SUMIFS(对接源_01水果!$K$4:$K$1203,对接源_01水果!$C$4:$C$1203,$B52,对接源_01水果!$D$4:$D$1203,"其他代存*"),2))</f>
      </c>
      <c r="E52" s="177">
        <f>IF($B52="","",ROUND(SUMIFS(对接源_02物料!$K$4:$K$1203,对接源_02物料!$C$4:$C$1203,$B52,对接源_02物料!$D$4:$D$1203,"包装物料*"),2))</f>
      </c>
      <c r="F52" s="177">
        <f>IF($B52="","",ROUND(SUMIFS(对接源_02物料!$K$4:$K$1203,对接源_02物料!$C$4:$C$1203,$B52,对接源_02物料!$D$4:$D$1203,"周转筐*"),2))</f>
      </c>
      <c r="G52" s="177">
        <f>IF($B52="","",ROUND(SUMIFS(对接源_02物料!$K$4:$K$1203,对接源_02物料!$C$4:$C$1203,$B52,对接源_02物料!$D$4:$D$1203,"次果筐*"),2))</f>
      </c>
      <c r="H52" s="177">
        <f>IF($B52="","",ROUND(SUM($C52:$G52),2))</f>
      </c>
      <c r="I52" s="177">
        <f>IF($B52="","",ROUND(SUMIFS(对接源_01水果!$K$4:$K$1203,对接源_01水果!$C$4:$C$1203,$B52,对接源_01水果!$D$4:$D$1203,"成品出库*",对接源_01水果!$L$4:$L$1203,"已收讫")+SUMIFS(对接源_01水果!$K$4:$K$1203,对接源_01水果!$C$4:$C$1203,$B52,对接源_01水果!$D$4:$D$1203,"成品出库*",对接源_01水果!$L$4:$L$1203,"已付款")+SUMIFS(对接源_01水果!$K$4:$K$1203,对接源_01水果!$C$4:$C$1203,$B52,对接源_01水果!$D$4:$D$1203,"其他代存*",对接源_01水果!$L$4:$L$1203,"已收讫")+SUMIFS(对接源_01水果!$K$4:$K$1203,对接源_01水果!$C$4:$C$1203,$B52,对接源_01水果!$D$4:$D$1203,"其他代存*",对接源_01水果!$L$4:$L$1203,"已付款")+SUMIFS(对接源_02物料!$K$4:$K$1203,对接源_02物料!$C$4:$C$1203,$B52,对接源_02物料!$D$4:$D$1203,"包装物料*",对接源_02物料!$L$4:$L$1203,"已收讫")+SUMIFS(对接源_02物料!$K$4:$K$1203,对接源_02物料!$C$4:$C$1203,$B52,对接源_02物料!$D$4:$D$1203,"包装物料*",对接源_02物料!$L$4:$L$1203,"已付款")+SUMIFS(对接源_02物料!$K$4:$K$1203,对接源_02物料!$C$4:$C$1203,$B52,对接源_02物料!$D$4:$D$1203,"周转筐*",对接源_02物料!$L$4:$L$1203,"已收讫")+SUMIFS(对接源_02物料!$K$4:$K$1203,对接源_02物料!$C$4:$C$1203,$B52,对接源_02物料!$D$4:$D$1203,"周转筐*",对接源_02物料!$L$4:$L$1203,"已付款")+SUMIFS(对接源_02物料!$K$4:$K$1203,对接源_02物料!$C$4:$C$1203,$B52,对接源_02物料!$D$4:$D$1203,"次果筐*",对接源_02物料!$L$4:$L$1203,"已收讫")+SUMIFS(对接源_02物料!$K$4:$K$1203,对接源_02物料!$C$4:$C$1203,$B52,对接源_02物料!$D$4:$D$1203,"次果筐*",对接源_02物料!$L$4:$L$1203,"已付款"),2))</f>
      </c>
      <c r="J52" s="177">
        <f>IF($B52="","",ROUND(N($H52)-N($I52),2))</f>
      </c>
      <c r="K52" s="16">
        <f>IF($B52="","",IF(ROUND(N($J52),2)&gt;0,"对方欠款",IF(ROUND(N($J52),2)&lt;0,"我方欠款","已两清")))</f>
      </c>
      <c r="L52" s="26" t="n"/>
    </row>
    <row r="53" s="127">
      <c r="A53" s="16">
        <f>IF($B53="","",ROW()-3)</f>
      </c>
      <c r="B53" s="11">
        <f>IFERROR(INDEX(_自动清单!$E$4:$E$303,ROW()-3),"")</f>
      </c>
      <c r="C53" s="177">
        <f>IF($B53="","",ROUND(SUMIFS(对接源_01水果!$K$4:$K$1203,对接源_01水果!$C$4:$C$1203,$B53,对接源_01水果!$D$4:$D$1203,"成品出库*"),2))</f>
      </c>
      <c r="D53" s="177">
        <f>IF($B53="","",ROUND(SUMIFS(对接源_01水果!$K$4:$K$1203,对接源_01水果!$C$4:$C$1203,$B53,对接源_01水果!$D$4:$D$1203,"其他代存*"),2))</f>
      </c>
      <c r="E53" s="177">
        <f>IF($B53="","",ROUND(SUMIFS(对接源_02物料!$K$4:$K$1203,对接源_02物料!$C$4:$C$1203,$B53,对接源_02物料!$D$4:$D$1203,"包装物料*"),2))</f>
      </c>
      <c r="F53" s="177">
        <f>IF($B53="","",ROUND(SUMIFS(对接源_02物料!$K$4:$K$1203,对接源_02物料!$C$4:$C$1203,$B53,对接源_02物料!$D$4:$D$1203,"周转筐*"),2))</f>
      </c>
      <c r="G53" s="177">
        <f>IF($B53="","",ROUND(SUMIFS(对接源_02物料!$K$4:$K$1203,对接源_02物料!$C$4:$C$1203,$B53,对接源_02物料!$D$4:$D$1203,"次果筐*"),2))</f>
      </c>
      <c r="H53" s="177">
        <f>IF($B53="","",ROUND(SUM($C53:$G53),2))</f>
      </c>
      <c r="I53" s="177">
        <f>IF($B53="","",ROUND(SUMIFS(对接源_01水果!$K$4:$K$1203,对接源_01水果!$C$4:$C$1203,$B53,对接源_01水果!$D$4:$D$1203,"成品出库*",对接源_01水果!$L$4:$L$1203,"已收讫")+SUMIFS(对接源_01水果!$K$4:$K$1203,对接源_01水果!$C$4:$C$1203,$B53,对接源_01水果!$D$4:$D$1203,"成品出库*",对接源_01水果!$L$4:$L$1203,"已付款")+SUMIFS(对接源_01水果!$K$4:$K$1203,对接源_01水果!$C$4:$C$1203,$B53,对接源_01水果!$D$4:$D$1203,"其他代存*",对接源_01水果!$L$4:$L$1203,"已收讫")+SUMIFS(对接源_01水果!$K$4:$K$1203,对接源_01水果!$C$4:$C$1203,$B53,对接源_01水果!$D$4:$D$1203,"其他代存*",对接源_01水果!$L$4:$L$1203,"已付款")+SUMIFS(对接源_02物料!$K$4:$K$1203,对接源_02物料!$C$4:$C$1203,$B53,对接源_02物料!$D$4:$D$1203,"包装物料*",对接源_02物料!$L$4:$L$1203,"已收讫")+SUMIFS(对接源_02物料!$K$4:$K$1203,对接源_02物料!$C$4:$C$1203,$B53,对接源_02物料!$D$4:$D$1203,"包装物料*",对接源_02物料!$L$4:$L$1203,"已付款")+SUMIFS(对接源_02物料!$K$4:$K$1203,对接源_02物料!$C$4:$C$1203,$B53,对接源_02物料!$D$4:$D$1203,"周转筐*",对接源_02物料!$L$4:$L$1203,"已收讫")+SUMIFS(对接源_02物料!$K$4:$K$1203,对接源_02物料!$C$4:$C$1203,$B53,对接源_02物料!$D$4:$D$1203,"周转筐*",对接源_02物料!$L$4:$L$1203,"已付款")+SUMIFS(对接源_02物料!$K$4:$K$1203,对接源_02物料!$C$4:$C$1203,$B53,对接源_02物料!$D$4:$D$1203,"次果筐*",对接源_02物料!$L$4:$L$1203,"已收讫")+SUMIFS(对接源_02物料!$K$4:$K$1203,对接源_02物料!$C$4:$C$1203,$B53,对接源_02物料!$D$4:$D$1203,"次果筐*",对接源_02物料!$L$4:$L$1203,"已付款"),2))</f>
      </c>
      <c r="J53" s="177">
        <f>IF($B53="","",ROUND(N($H53)-N($I53),2))</f>
      </c>
      <c r="K53" s="16">
        <f>IF($B53="","",IF(ROUND(N($J53),2)&gt;0,"对方欠款",IF(ROUND(N($J53),2)&lt;0,"我方欠款","已两清")))</f>
      </c>
      <c r="L53" s="26" t="n"/>
    </row>
    <row r="54" s="127">
      <c r="A54" s="16">
        <f>IF($B54="","",ROW()-3)</f>
      </c>
      <c r="B54" s="11">
        <f>IFERROR(INDEX(_自动清单!$E$4:$E$303,ROW()-3),"")</f>
      </c>
      <c r="C54" s="177">
        <f>IF($B54="","",ROUND(SUMIFS(对接源_01水果!$K$4:$K$1203,对接源_01水果!$C$4:$C$1203,$B54,对接源_01水果!$D$4:$D$1203,"成品出库*"),2))</f>
      </c>
      <c r="D54" s="177">
        <f>IF($B54="","",ROUND(SUMIFS(对接源_01水果!$K$4:$K$1203,对接源_01水果!$C$4:$C$1203,$B54,对接源_01水果!$D$4:$D$1203,"其他代存*"),2))</f>
      </c>
      <c r="E54" s="177">
        <f>IF($B54="","",ROUND(SUMIFS(对接源_02物料!$K$4:$K$1203,对接源_02物料!$C$4:$C$1203,$B54,对接源_02物料!$D$4:$D$1203,"包装物料*"),2))</f>
      </c>
      <c r="F54" s="177">
        <f>IF($B54="","",ROUND(SUMIFS(对接源_02物料!$K$4:$K$1203,对接源_02物料!$C$4:$C$1203,$B54,对接源_02物料!$D$4:$D$1203,"周转筐*"),2))</f>
      </c>
      <c r="G54" s="177">
        <f>IF($B54="","",ROUND(SUMIFS(对接源_02物料!$K$4:$K$1203,对接源_02物料!$C$4:$C$1203,$B54,对接源_02物料!$D$4:$D$1203,"次果筐*"),2))</f>
      </c>
      <c r="H54" s="177">
        <f>IF($B54="","",ROUND(SUM($C54:$G54),2))</f>
      </c>
      <c r="I54" s="177">
        <f>IF($B54="","",ROUND(SUMIFS(对接源_01水果!$K$4:$K$1203,对接源_01水果!$C$4:$C$1203,$B54,对接源_01水果!$D$4:$D$1203,"成品出库*",对接源_01水果!$L$4:$L$1203,"已收讫")+SUMIFS(对接源_01水果!$K$4:$K$1203,对接源_01水果!$C$4:$C$1203,$B54,对接源_01水果!$D$4:$D$1203,"成品出库*",对接源_01水果!$L$4:$L$1203,"已付款")+SUMIFS(对接源_01水果!$K$4:$K$1203,对接源_01水果!$C$4:$C$1203,$B54,对接源_01水果!$D$4:$D$1203,"其他代存*",对接源_01水果!$L$4:$L$1203,"已收讫")+SUMIFS(对接源_01水果!$K$4:$K$1203,对接源_01水果!$C$4:$C$1203,$B54,对接源_01水果!$D$4:$D$1203,"其他代存*",对接源_01水果!$L$4:$L$1203,"已付款")+SUMIFS(对接源_02物料!$K$4:$K$1203,对接源_02物料!$C$4:$C$1203,$B54,对接源_02物料!$D$4:$D$1203,"包装物料*",对接源_02物料!$L$4:$L$1203,"已收讫")+SUMIFS(对接源_02物料!$K$4:$K$1203,对接源_02物料!$C$4:$C$1203,$B54,对接源_02物料!$D$4:$D$1203,"包装物料*",对接源_02物料!$L$4:$L$1203,"已付款")+SUMIFS(对接源_02物料!$K$4:$K$1203,对接源_02物料!$C$4:$C$1203,$B54,对接源_02物料!$D$4:$D$1203,"周转筐*",对接源_02物料!$L$4:$L$1203,"已收讫")+SUMIFS(对接源_02物料!$K$4:$K$1203,对接源_02物料!$C$4:$C$1203,$B54,对接源_02物料!$D$4:$D$1203,"周转筐*",对接源_02物料!$L$4:$L$1203,"已付款")+SUMIFS(对接源_02物料!$K$4:$K$1203,对接源_02物料!$C$4:$C$1203,$B54,对接源_02物料!$D$4:$D$1203,"次果筐*",对接源_02物料!$L$4:$L$1203,"已收讫")+SUMIFS(对接源_02物料!$K$4:$K$1203,对接源_02物料!$C$4:$C$1203,$B54,对接源_02物料!$D$4:$D$1203,"次果筐*",对接源_02物料!$L$4:$L$1203,"已付款"),2))</f>
      </c>
      <c r="J54" s="177">
        <f>IF($B54="","",ROUND(N($H54)-N($I54),2))</f>
      </c>
      <c r="K54" s="16">
        <f>IF($B54="","",IF(ROUND(N($J54),2)&gt;0,"对方欠款",IF(ROUND(N($J54),2)&lt;0,"我方欠款","已两清")))</f>
      </c>
      <c r="L54" s="26" t="n"/>
    </row>
    <row r="55" s="127">
      <c r="A55" s="16">
        <f>IF($B55="","",ROW()-3)</f>
      </c>
      <c r="B55" s="11">
        <f>IFERROR(INDEX(_自动清单!$E$4:$E$303,ROW()-3),"")</f>
      </c>
      <c r="C55" s="177">
        <f>IF($B55="","",ROUND(SUMIFS(对接源_01水果!$K$4:$K$1203,对接源_01水果!$C$4:$C$1203,$B55,对接源_01水果!$D$4:$D$1203,"成品出库*"),2))</f>
      </c>
      <c r="D55" s="177">
        <f>IF($B55="","",ROUND(SUMIFS(对接源_01水果!$K$4:$K$1203,对接源_01水果!$C$4:$C$1203,$B55,对接源_01水果!$D$4:$D$1203,"其他代存*"),2))</f>
      </c>
      <c r="E55" s="177">
        <f>IF($B55="","",ROUND(SUMIFS(对接源_02物料!$K$4:$K$1203,对接源_02物料!$C$4:$C$1203,$B55,对接源_02物料!$D$4:$D$1203,"包装物料*"),2))</f>
      </c>
      <c r="F55" s="177">
        <f>IF($B55="","",ROUND(SUMIFS(对接源_02物料!$K$4:$K$1203,对接源_02物料!$C$4:$C$1203,$B55,对接源_02物料!$D$4:$D$1203,"周转筐*"),2))</f>
      </c>
      <c r="G55" s="177">
        <f>IF($B55="","",ROUND(SUMIFS(对接源_02物料!$K$4:$K$1203,对接源_02物料!$C$4:$C$1203,$B55,对接源_02物料!$D$4:$D$1203,"次果筐*"),2))</f>
      </c>
      <c r="H55" s="177">
        <f>IF($B55="","",ROUND(SUM($C55:$G55),2))</f>
      </c>
      <c r="I55" s="177">
        <f>IF($B55="","",ROUND(SUMIFS(对接源_01水果!$K$4:$K$1203,对接源_01水果!$C$4:$C$1203,$B55,对接源_01水果!$D$4:$D$1203,"成品出库*",对接源_01水果!$L$4:$L$1203,"已收讫")+SUMIFS(对接源_01水果!$K$4:$K$1203,对接源_01水果!$C$4:$C$1203,$B55,对接源_01水果!$D$4:$D$1203,"成品出库*",对接源_01水果!$L$4:$L$1203,"已付款")+SUMIFS(对接源_01水果!$K$4:$K$1203,对接源_01水果!$C$4:$C$1203,$B55,对接源_01水果!$D$4:$D$1203,"其他代存*",对接源_01水果!$L$4:$L$1203,"已收讫")+SUMIFS(对接源_01水果!$K$4:$K$1203,对接源_01水果!$C$4:$C$1203,$B55,对接源_01水果!$D$4:$D$1203,"其他代存*",对接源_01水果!$L$4:$L$1203,"已付款")+SUMIFS(对接源_02物料!$K$4:$K$1203,对接源_02物料!$C$4:$C$1203,$B55,对接源_02物料!$D$4:$D$1203,"包装物料*",对接源_02物料!$L$4:$L$1203,"已收讫")+SUMIFS(对接源_02物料!$K$4:$K$1203,对接源_02物料!$C$4:$C$1203,$B55,对接源_02物料!$D$4:$D$1203,"包装物料*",对接源_02物料!$L$4:$L$1203,"已付款")+SUMIFS(对接源_02物料!$K$4:$K$1203,对接源_02物料!$C$4:$C$1203,$B55,对接源_02物料!$D$4:$D$1203,"周转筐*",对接源_02物料!$L$4:$L$1203,"已收讫")+SUMIFS(对接源_02物料!$K$4:$K$1203,对接源_02物料!$C$4:$C$1203,$B55,对接源_02物料!$D$4:$D$1203,"周转筐*",对接源_02物料!$L$4:$L$1203,"已付款")+SUMIFS(对接源_02物料!$K$4:$K$1203,对接源_02物料!$C$4:$C$1203,$B55,对接源_02物料!$D$4:$D$1203,"次果筐*",对接源_02物料!$L$4:$L$1203,"已收讫")+SUMIFS(对接源_02物料!$K$4:$K$1203,对接源_02物料!$C$4:$C$1203,$B55,对接源_02物料!$D$4:$D$1203,"次果筐*",对接源_02物料!$L$4:$L$1203,"已付款"),2))</f>
      </c>
      <c r="J55" s="177">
        <f>IF($B55="","",ROUND(N($H55)-N($I55),2))</f>
      </c>
      <c r="K55" s="16">
        <f>IF($B55="","",IF(ROUND(N($J55),2)&gt;0,"对方欠款",IF(ROUND(N($J55),2)&lt;0,"我方欠款","已两清")))</f>
      </c>
      <c r="L55" s="26" t="n"/>
    </row>
    <row r="56" s="127">
      <c r="A56" s="16">
        <f>IF($B56="","",ROW()-3)</f>
      </c>
      <c r="B56" s="11">
        <f>IFERROR(INDEX(_自动清单!$E$4:$E$303,ROW()-3),"")</f>
      </c>
      <c r="C56" s="177">
        <f>IF($B56="","",ROUND(SUMIFS(对接源_01水果!$K$4:$K$1203,对接源_01水果!$C$4:$C$1203,$B56,对接源_01水果!$D$4:$D$1203,"成品出库*"),2))</f>
      </c>
      <c r="D56" s="177">
        <f>IF($B56="","",ROUND(SUMIFS(对接源_01水果!$K$4:$K$1203,对接源_01水果!$C$4:$C$1203,$B56,对接源_01水果!$D$4:$D$1203,"其他代存*"),2))</f>
      </c>
      <c r="E56" s="177">
        <f>IF($B56="","",ROUND(SUMIFS(对接源_02物料!$K$4:$K$1203,对接源_02物料!$C$4:$C$1203,$B56,对接源_02物料!$D$4:$D$1203,"包装物料*"),2))</f>
      </c>
      <c r="F56" s="177">
        <f>IF($B56="","",ROUND(SUMIFS(对接源_02物料!$K$4:$K$1203,对接源_02物料!$C$4:$C$1203,$B56,对接源_02物料!$D$4:$D$1203,"周转筐*"),2))</f>
      </c>
      <c r="G56" s="177">
        <f>IF($B56="","",ROUND(SUMIFS(对接源_02物料!$K$4:$K$1203,对接源_02物料!$C$4:$C$1203,$B56,对接源_02物料!$D$4:$D$1203,"次果筐*"),2))</f>
      </c>
      <c r="H56" s="177">
        <f>IF($B56="","",ROUND(SUM($C56:$G56),2))</f>
      </c>
      <c r="I56" s="177">
        <f>IF($B56="","",ROUND(SUMIFS(对接源_01水果!$K$4:$K$1203,对接源_01水果!$C$4:$C$1203,$B56,对接源_01水果!$D$4:$D$1203,"成品出库*",对接源_01水果!$L$4:$L$1203,"已收讫")+SUMIFS(对接源_01水果!$K$4:$K$1203,对接源_01水果!$C$4:$C$1203,$B56,对接源_01水果!$D$4:$D$1203,"成品出库*",对接源_01水果!$L$4:$L$1203,"已付款")+SUMIFS(对接源_01水果!$K$4:$K$1203,对接源_01水果!$C$4:$C$1203,$B56,对接源_01水果!$D$4:$D$1203,"其他代存*",对接源_01水果!$L$4:$L$1203,"已收讫")+SUMIFS(对接源_01水果!$K$4:$K$1203,对接源_01水果!$C$4:$C$1203,$B56,对接源_01水果!$D$4:$D$1203,"其他代存*",对接源_01水果!$L$4:$L$1203,"已付款")+SUMIFS(对接源_02物料!$K$4:$K$1203,对接源_02物料!$C$4:$C$1203,$B56,对接源_02物料!$D$4:$D$1203,"包装物料*",对接源_02物料!$L$4:$L$1203,"已收讫")+SUMIFS(对接源_02物料!$K$4:$K$1203,对接源_02物料!$C$4:$C$1203,$B56,对接源_02物料!$D$4:$D$1203,"包装物料*",对接源_02物料!$L$4:$L$1203,"已付款")+SUMIFS(对接源_02物料!$K$4:$K$1203,对接源_02物料!$C$4:$C$1203,$B56,对接源_02物料!$D$4:$D$1203,"周转筐*",对接源_02物料!$L$4:$L$1203,"已收讫")+SUMIFS(对接源_02物料!$K$4:$K$1203,对接源_02物料!$C$4:$C$1203,$B56,对接源_02物料!$D$4:$D$1203,"周转筐*",对接源_02物料!$L$4:$L$1203,"已付款")+SUMIFS(对接源_02物料!$K$4:$K$1203,对接源_02物料!$C$4:$C$1203,$B56,对接源_02物料!$D$4:$D$1203,"次果筐*",对接源_02物料!$L$4:$L$1203,"已收讫")+SUMIFS(对接源_02物料!$K$4:$K$1203,对接源_02物料!$C$4:$C$1203,$B56,对接源_02物料!$D$4:$D$1203,"次果筐*",对接源_02物料!$L$4:$L$1203,"已付款"),2))</f>
      </c>
      <c r="J56" s="177">
        <f>IF($B56="","",ROUND(N($H56)-N($I56),2))</f>
      </c>
      <c r="K56" s="16">
        <f>IF($B56="","",IF(ROUND(N($J56),2)&gt;0,"对方欠款",IF(ROUND(N($J56),2)&lt;0,"我方欠款","已两清")))</f>
      </c>
      <c r="L56" s="26" t="n"/>
    </row>
    <row r="57" s="127">
      <c r="A57" s="16">
        <f>IF($B57="","",ROW()-3)</f>
      </c>
      <c r="B57" s="11">
        <f>IFERROR(INDEX(_自动清单!$E$4:$E$303,ROW()-3),"")</f>
      </c>
      <c r="C57" s="177">
        <f>IF($B57="","",ROUND(SUMIFS(对接源_01水果!$K$4:$K$1203,对接源_01水果!$C$4:$C$1203,$B57,对接源_01水果!$D$4:$D$1203,"成品出库*"),2))</f>
      </c>
      <c r="D57" s="177">
        <f>IF($B57="","",ROUND(SUMIFS(对接源_01水果!$K$4:$K$1203,对接源_01水果!$C$4:$C$1203,$B57,对接源_01水果!$D$4:$D$1203,"其他代存*"),2))</f>
      </c>
      <c r="E57" s="177">
        <f>IF($B57="","",ROUND(SUMIFS(对接源_02物料!$K$4:$K$1203,对接源_02物料!$C$4:$C$1203,$B57,对接源_02物料!$D$4:$D$1203,"包装物料*"),2))</f>
      </c>
      <c r="F57" s="177">
        <f>IF($B57="","",ROUND(SUMIFS(对接源_02物料!$K$4:$K$1203,对接源_02物料!$C$4:$C$1203,$B57,对接源_02物料!$D$4:$D$1203,"周转筐*"),2))</f>
      </c>
      <c r="G57" s="177">
        <f>IF($B57="","",ROUND(SUMIFS(对接源_02物料!$K$4:$K$1203,对接源_02物料!$C$4:$C$1203,$B57,对接源_02物料!$D$4:$D$1203,"次果筐*"),2))</f>
      </c>
      <c r="H57" s="177">
        <f>IF($B57="","",ROUND(SUM($C57:$G57),2))</f>
      </c>
      <c r="I57" s="177">
        <f>IF($B57="","",ROUND(SUMIFS(对接源_01水果!$K$4:$K$1203,对接源_01水果!$C$4:$C$1203,$B57,对接源_01水果!$D$4:$D$1203,"成品出库*",对接源_01水果!$L$4:$L$1203,"已收讫")+SUMIFS(对接源_01水果!$K$4:$K$1203,对接源_01水果!$C$4:$C$1203,$B57,对接源_01水果!$D$4:$D$1203,"成品出库*",对接源_01水果!$L$4:$L$1203,"已付款")+SUMIFS(对接源_01水果!$K$4:$K$1203,对接源_01水果!$C$4:$C$1203,$B57,对接源_01水果!$D$4:$D$1203,"其他代存*",对接源_01水果!$L$4:$L$1203,"已收讫")+SUMIFS(对接源_01水果!$K$4:$K$1203,对接源_01水果!$C$4:$C$1203,$B57,对接源_01水果!$D$4:$D$1203,"其他代存*",对接源_01水果!$L$4:$L$1203,"已付款")+SUMIFS(对接源_02物料!$K$4:$K$1203,对接源_02物料!$C$4:$C$1203,$B57,对接源_02物料!$D$4:$D$1203,"包装物料*",对接源_02物料!$L$4:$L$1203,"已收讫")+SUMIFS(对接源_02物料!$K$4:$K$1203,对接源_02物料!$C$4:$C$1203,$B57,对接源_02物料!$D$4:$D$1203,"包装物料*",对接源_02物料!$L$4:$L$1203,"已付款")+SUMIFS(对接源_02物料!$K$4:$K$1203,对接源_02物料!$C$4:$C$1203,$B57,对接源_02物料!$D$4:$D$1203,"周转筐*",对接源_02物料!$L$4:$L$1203,"已收讫")+SUMIFS(对接源_02物料!$K$4:$K$1203,对接源_02物料!$C$4:$C$1203,$B57,对接源_02物料!$D$4:$D$1203,"周转筐*",对接源_02物料!$L$4:$L$1203,"已付款")+SUMIFS(对接源_02物料!$K$4:$K$1203,对接源_02物料!$C$4:$C$1203,$B57,对接源_02物料!$D$4:$D$1203,"次果筐*",对接源_02物料!$L$4:$L$1203,"已收讫")+SUMIFS(对接源_02物料!$K$4:$K$1203,对接源_02物料!$C$4:$C$1203,$B57,对接源_02物料!$D$4:$D$1203,"次果筐*",对接源_02物料!$L$4:$L$1203,"已付款"),2))</f>
      </c>
      <c r="J57" s="177">
        <f>IF($B57="","",ROUND(N($H57)-N($I57),2))</f>
      </c>
      <c r="K57" s="16">
        <f>IF($B57="","",IF(ROUND(N($J57),2)&gt;0,"对方欠款",IF(ROUND(N($J57),2)&lt;0,"我方欠款","已两清")))</f>
      </c>
      <c r="L57" s="26" t="n"/>
    </row>
    <row r="58" s="127">
      <c r="A58" s="16">
        <f>IF($B58="","",ROW()-3)</f>
      </c>
      <c r="B58" s="11">
        <f>IFERROR(INDEX(_自动清单!$E$4:$E$303,ROW()-3),"")</f>
      </c>
      <c r="C58" s="177">
        <f>IF($B58="","",ROUND(SUMIFS(对接源_01水果!$K$4:$K$1203,对接源_01水果!$C$4:$C$1203,$B58,对接源_01水果!$D$4:$D$1203,"成品出库*"),2))</f>
      </c>
      <c r="D58" s="177">
        <f>IF($B58="","",ROUND(SUMIFS(对接源_01水果!$K$4:$K$1203,对接源_01水果!$C$4:$C$1203,$B58,对接源_01水果!$D$4:$D$1203,"其他代存*"),2))</f>
      </c>
      <c r="E58" s="177">
        <f>IF($B58="","",ROUND(SUMIFS(对接源_02物料!$K$4:$K$1203,对接源_02物料!$C$4:$C$1203,$B58,对接源_02物料!$D$4:$D$1203,"包装物料*"),2))</f>
      </c>
      <c r="F58" s="177">
        <f>IF($B58="","",ROUND(SUMIFS(对接源_02物料!$K$4:$K$1203,对接源_02物料!$C$4:$C$1203,$B58,对接源_02物料!$D$4:$D$1203,"周转筐*"),2))</f>
      </c>
      <c r="G58" s="177">
        <f>IF($B58="","",ROUND(SUMIFS(对接源_02物料!$K$4:$K$1203,对接源_02物料!$C$4:$C$1203,$B58,对接源_02物料!$D$4:$D$1203,"次果筐*"),2))</f>
      </c>
      <c r="H58" s="177">
        <f>IF($B58="","",ROUND(SUM($C58:$G58),2))</f>
      </c>
      <c r="I58" s="177">
        <f>IF($B58="","",ROUND(SUMIFS(对接源_01水果!$K$4:$K$1203,对接源_01水果!$C$4:$C$1203,$B58,对接源_01水果!$D$4:$D$1203,"成品出库*",对接源_01水果!$L$4:$L$1203,"已收讫")+SUMIFS(对接源_01水果!$K$4:$K$1203,对接源_01水果!$C$4:$C$1203,$B58,对接源_01水果!$D$4:$D$1203,"成品出库*",对接源_01水果!$L$4:$L$1203,"已付款")+SUMIFS(对接源_01水果!$K$4:$K$1203,对接源_01水果!$C$4:$C$1203,$B58,对接源_01水果!$D$4:$D$1203,"其他代存*",对接源_01水果!$L$4:$L$1203,"已收讫")+SUMIFS(对接源_01水果!$K$4:$K$1203,对接源_01水果!$C$4:$C$1203,$B58,对接源_01水果!$D$4:$D$1203,"其他代存*",对接源_01水果!$L$4:$L$1203,"已付款")+SUMIFS(对接源_02物料!$K$4:$K$1203,对接源_02物料!$C$4:$C$1203,$B58,对接源_02物料!$D$4:$D$1203,"包装物料*",对接源_02物料!$L$4:$L$1203,"已收讫")+SUMIFS(对接源_02物料!$K$4:$K$1203,对接源_02物料!$C$4:$C$1203,$B58,对接源_02物料!$D$4:$D$1203,"包装物料*",对接源_02物料!$L$4:$L$1203,"已付款")+SUMIFS(对接源_02物料!$K$4:$K$1203,对接源_02物料!$C$4:$C$1203,$B58,对接源_02物料!$D$4:$D$1203,"周转筐*",对接源_02物料!$L$4:$L$1203,"已收讫")+SUMIFS(对接源_02物料!$K$4:$K$1203,对接源_02物料!$C$4:$C$1203,$B58,对接源_02物料!$D$4:$D$1203,"周转筐*",对接源_02物料!$L$4:$L$1203,"已付款")+SUMIFS(对接源_02物料!$K$4:$K$1203,对接源_02物料!$C$4:$C$1203,$B58,对接源_02物料!$D$4:$D$1203,"次果筐*",对接源_02物料!$L$4:$L$1203,"已收讫")+SUMIFS(对接源_02物料!$K$4:$K$1203,对接源_02物料!$C$4:$C$1203,$B58,对接源_02物料!$D$4:$D$1203,"次果筐*",对接源_02物料!$L$4:$L$1203,"已付款"),2))</f>
      </c>
      <c r="J58" s="177">
        <f>IF($B58="","",ROUND(N($H58)-N($I58),2))</f>
      </c>
      <c r="K58" s="16">
        <f>IF($B58="","",IF(ROUND(N($J58),2)&gt;0,"对方欠款",IF(ROUND(N($J58),2)&lt;0,"我方欠款","已两清")))</f>
      </c>
      <c r="L58" s="26" t="n"/>
    </row>
    <row r="59" s="127">
      <c r="A59" s="16">
        <f>IF($B59="","",ROW()-3)</f>
      </c>
      <c r="B59" s="11">
        <f>IFERROR(INDEX(_自动清单!$E$4:$E$303,ROW()-3),"")</f>
      </c>
      <c r="C59" s="177">
        <f>IF($B59="","",ROUND(SUMIFS(对接源_01水果!$K$4:$K$1203,对接源_01水果!$C$4:$C$1203,$B59,对接源_01水果!$D$4:$D$1203,"成品出库*"),2))</f>
      </c>
      <c r="D59" s="177">
        <f>IF($B59="","",ROUND(SUMIFS(对接源_01水果!$K$4:$K$1203,对接源_01水果!$C$4:$C$1203,$B59,对接源_01水果!$D$4:$D$1203,"其他代存*"),2))</f>
      </c>
      <c r="E59" s="177">
        <f>IF($B59="","",ROUND(SUMIFS(对接源_02物料!$K$4:$K$1203,对接源_02物料!$C$4:$C$1203,$B59,对接源_02物料!$D$4:$D$1203,"包装物料*"),2))</f>
      </c>
      <c r="F59" s="177">
        <f>IF($B59="","",ROUND(SUMIFS(对接源_02物料!$K$4:$K$1203,对接源_02物料!$C$4:$C$1203,$B59,对接源_02物料!$D$4:$D$1203,"周转筐*"),2))</f>
      </c>
      <c r="G59" s="177">
        <f>IF($B59="","",ROUND(SUMIFS(对接源_02物料!$K$4:$K$1203,对接源_02物料!$C$4:$C$1203,$B59,对接源_02物料!$D$4:$D$1203,"次果筐*"),2))</f>
      </c>
      <c r="H59" s="177">
        <f>IF($B59="","",ROUND(SUM($C59:$G59),2))</f>
      </c>
      <c r="I59" s="177">
        <f>IF($B59="","",ROUND(SUMIFS(对接源_01水果!$K$4:$K$1203,对接源_01水果!$C$4:$C$1203,$B59,对接源_01水果!$D$4:$D$1203,"成品出库*",对接源_01水果!$L$4:$L$1203,"已收讫")+SUMIFS(对接源_01水果!$K$4:$K$1203,对接源_01水果!$C$4:$C$1203,$B59,对接源_01水果!$D$4:$D$1203,"成品出库*",对接源_01水果!$L$4:$L$1203,"已付款")+SUMIFS(对接源_01水果!$K$4:$K$1203,对接源_01水果!$C$4:$C$1203,$B59,对接源_01水果!$D$4:$D$1203,"其他代存*",对接源_01水果!$L$4:$L$1203,"已收讫")+SUMIFS(对接源_01水果!$K$4:$K$1203,对接源_01水果!$C$4:$C$1203,$B59,对接源_01水果!$D$4:$D$1203,"其他代存*",对接源_01水果!$L$4:$L$1203,"已付款")+SUMIFS(对接源_02物料!$K$4:$K$1203,对接源_02物料!$C$4:$C$1203,$B59,对接源_02物料!$D$4:$D$1203,"包装物料*",对接源_02物料!$L$4:$L$1203,"已收讫")+SUMIFS(对接源_02物料!$K$4:$K$1203,对接源_02物料!$C$4:$C$1203,$B59,对接源_02物料!$D$4:$D$1203,"包装物料*",对接源_02物料!$L$4:$L$1203,"已付款")+SUMIFS(对接源_02物料!$K$4:$K$1203,对接源_02物料!$C$4:$C$1203,$B59,对接源_02物料!$D$4:$D$1203,"周转筐*",对接源_02物料!$L$4:$L$1203,"已收讫")+SUMIFS(对接源_02物料!$K$4:$K$1203,对接源_02物料!$C$4:$C$1203,$B59,对接源_02物料!$D$4:$D$1203,"周转筐*",对接源_02物料!$L$4:$L$1203,"已付款")+SUMIFS(对接源_02物料!$K$4:$K$1203,对接源_02物料!$C$4:$C$1203,$B59,对接源_02物料!$D$4:$D$1203,"次果筐*",对接源_02物料!$L$4:$L$1203,"已收讫")+SUMIFS(对接源_02物料!$K$4:$K$1203,对接源_02物料!$C$4:$C$1203,$B59,对接源_02物料!$D$4:$D$1203,"次果筐*",对接源_02物料!$L$4:$L$1203,"已付款"),2))</f>
      </c>
      <c r="J59" s="177">
        <f>IF($B59="","",ROUND(N($H59)-N($I59),2))</f>
      </c>
      <c r="K59" s="16">
        <f>IF($B59="","",IF(ROUND(N($J59),2)&gt;0,"对方欠款",IF(ROUND(N($J59),2)&lt;0,"我方欠款","已两清")))</f>
      </c>
      <c r="L59" s="26" t="n"/>
    </row>
    <row r="60" s="127">
      <c r="A60" s="16">
        <f>IF($B60="","",ROW()-3)</f>
      </c>
      <c r="B60" s="11">
        <f>IFERROR(INDEX(_自动清单!$E$4:$E$303,ROW()-3),"")</f>
      </c>
      <c r="C60" s="177">
        <f>IF($B60="","",ROUND(SUMIFS(对接源_01水果!$K$4:$K$1203,对接源_01水果!$C$4:$C$1203,$B60,对接源_01水果!$D$4:$D$1203,"成品出库*"),2))</f>
      </c>
      <c r="D60" s="177">
        <f>IF($B60="","",ROUND(SUMIFS(对接源_01水果!$K$4:$K$1203,对接源_01水果!$C$4:$C$1203,$B60,对接源_01水果!$D$4:$D$1203,"其他代存*"),2))</f>
      </c>
      <c r="E60" s="177">
        <f>IF($B60="","",ROUND(SUMIFS(对接源_02物料!$K$4:$K$1203,对接源_02物料!$C$4:$C$1203,$B60,对接源_02物料!$D$4:$D$1203,"包装物料*"),2))</f>
      </c>
      <c r="F60" s="177">
        <f>IF($B60="","",ROUND(SUMIFS(对接源_02物料!$K$4:$K$1203,对接源_02物料!$C$4:$C$1203,$B60,对接源_02物料!$D$4:$D$1203,"周转筐*"),2))</f>
      </c>
      <c r="G60" s="177">
        <f>IF($B60="","",ROUND(SUMIFS(对接源_02物料!$K$4:$K$1203,对接源_02物料!$C$4:$C$1203,$B60,对接源_02物料!$D$4:$D$1203,"次果筐*"),2))</f>
      </c>
      <c r="H60" s="177">
        <f>IF($B60="","",ROUND(SUM($C60:$G60),2))</f>
      </c>
      <c r="I60" s="177">
        <f>IF($B60="","",ROUND(SUMIFS(对接源_01水果!$K$4:$K$1203,对接源_01水果!$C$4:$C$1203,$B60,对接源_01水果!$D$4:$D$1203,"成品出库*",对接源_01水果!$L$4:$L$1203,"已收讫")+SUMIFS(对接源_01水果!$K$4:$K$1203,对接源_01水果!$C$4:$C$1203,$B60,对接源_01水果!$D$4:$D$1203,"成品出库*",对接源_01水果!$L$4:$L$1203,"已付款")+SUMIFS(对接源_01水果!$K$4:$K$1203,对接源_01水果!$C$4:$C$1203,$B60,对接源_01水果!$D$4:$D$1203,"其他代存*",对接源_01水果!$L$4:$L$1203,"已收讫")+SUMIFS(对接源_01水果!$K$4:$K$1203,对接源_01水果!$C$4:$C$1203,$B60,对接源_01水果!$D$4:$D$1203,"其他代存*",对接源_01水果!$L$4:$L$1203,"已付款")+SUMIFS(对接源_02物料!$K$4:$K$1203,对接源_02物料!$C$4:$C$1203,$B60,对接源_02物料!$D$4:$D$1203,"包装物料*",对接源_02物料!$L$4:$L$1203,"已收讫")+SUMIFS(对接源_02物料!$K$4:$K$1203,对接源_02物料!$C$4:$C$1203,$B60,对接源_02物料!$D$4:$D$1203,"包装物料*",对接源_02物料!$L$4:$L$1203,"已付款")+SUMIFS(对接源_02物料!$K$4:$K$1203,对接源_02物料!$C$4:$C$1203,$B60,对接源_02物料!$D$4:$D$1203,"周转筐*",对接源_02物料!$L$4:$L$1203,"已收讫")+SUMIFS(对接源_02物料!$K$4:$K$1203,对接源_02物料!$C$4:$C$1203,$B60,对接源_02物料!$D$4:$D$1203,"周转筐*",对接源_02物料!$L$4:$L$1203,"已付款")+SUMIFS(对接源_02物料!$K$4:$K$1203,对接源_02物料!$C$4:$C$1203,$B60,对接源_02物料!$D$4:$D$1203,"次果筐*",对接源_02物料!$L$4:$L$1203,"已收讫")+SUMIFS(对接源_02物料!$K$4:$K$1203,对接源_02物料!$C$4:$C$1203,$B60,对接源_02物料!$D$4:$D$1203,"次果筐*",对接源_02物料!$L$4:$L$1203,"已付款"),2))</f>
      </c>
      <c r="J60" s="177">
        <f>IF($B60="","",ROUND(N($H60)-N($I60),2))</f>
      </c>
      <c r="K60" s="16">
        <f>IF($B60="","",IF(ROUND(N($J60),2)&gt;0,"对方欠款",IF(ROUND(N($J60),2)&lt;0,"我方欠款","已两清")))</f>
      </c>
      <c r="L60" s="26" t="n"/>
    </row>
    <row r="61" s="127">
      <c r="A61" s="16">
        <f>IF($B61="","",ROW()-3)</f>
      </c>
      <c r="B61" s="11">
        <f>IFERROR(INDEX(_自动清单!$E$4:$E$303,ROW()-3),"")</f>
      </c>
      <c r="C61" s="177">
        <f>IF($B61="","",ROUND(SUMIFS(对接源_01水果!$K$4:$K$1203,对接源_01水果!$C$4:$C$1203,$B61,对接源_01水果!$D$4:$D$1203,"成品出库*"),2))</f>
      </c>
      <c r="D61" s="177">
        <f>IF($B61="","",ROUND(SUMIFS(对接源_01水果!$K$4:$K$1203,对接源_01水果!$C$4:$C$1203,$B61,对接源_01水果!$D$4:$D$1203,"其他代存*"),2))</f>
      </c>
      <c r="E61" s="177">
        <f>IF($B61="","",ROUND(SUMIFS(对接源_02物料!$K$4:$K$1203,对接源_02物料!$C$4:$C$1203,$B61,对接源_02物料!$D$4:$D$1203,"包装物料*"),2))</f>
      </c>
      <c r="F61" s="177">
        <f>IF($B61="","",ROUND(SUMIFS(对接源_02物料!$K$4:$K$1203,对接源_02物料!$C$4:$C$1203,$B61,对接源_02物料!$D$4:$D$1203,"周转筐*"),2))</f>
      </c>
      <c r="G61" s="177">
        <f>IF($B61="","",ROUND(SUMIFS(对接源_02物料!$K$4:$K$1203,对接源_02物料!$C$4:$C$1203,$B61,对接源_02物料!$D$4:$D$1203,"次果筐*"),2))</f>
      </c>
      <c r="H61" s="177">
        <f>IF($B61="","",ROUND(SUM($C61:$G61),2))</f>
      </c>
      <c r="I61" s="177">
        <f>IF($B61="","",ROUND(SUMIFS(对接源_01水果!$K$4:$K$1203,对接源_01水果!$C$4:$C$1203,$B61,对接源_01水果!$D$4:$D$1203,"成品出库*",对接源_01水果!$L$4:$L$1203,"已收讫")+SUMIFS(对接源_01水果!$K$4:$K$1203,对接源_01水果!$C$4:$C$1203,$B61,对接源_01水果!$D$4:$D$1203,"成品出库*",对接源_01水果!$L$4:$L$1203,"已付款")+SUMIFS(对接源_01水果!$K$4:$K$1203,对接源_01水果!$C$4:$C$1203,$B61,对接源_01水果!$D$4:$D$1203,"其他代存*",对接源_01水果!$L$4:$L$1203,"已收讫")+SUMIFS(对接源_01水果!$K$4:$K$1203,对接源_01水果!$C$4:$C$1203,$B61,对接源_01水果!$D$4:$D$1203,"其他代存*",对接源_01水果!$L$4:$L$1203,"已付款")+SUMIFS(对接源_02物料!$K$4:$K$1203,对接源_02物料!$C$4:$C$1203,$B61,对接源_02物料!$D$4:$D$1203,"包装物料*",对接源_02物料!$L$4:$L$1203,"已收讫")+SUMIFS(对接源_02物料!$K$4:$K$1203,对接源_02物料!$C$4:$C$1203,$B61,对接源_02物料!$D$4:$D$1203,"包装物料*",对接源_02物料!$L$4:$L$1203,"已付款")+SUMIFS(对接源_02物料!$K$4:$K$1203,对接源_02物料!$C$4:$C$1203,$B61,对接源_02物料!$D$4:$D$1203,"周转筐*",对接源_02物料!$L$4:$L$1203,"已收讫")+SUMIFS(对接源_02物料!$K$4:$K$1203,对接源_02物料!$C$4:$C$1203,$B61,对接源_02物料!$D$4:$D$1203,"周转筐*",对接源_02物料!$L$4:$L$1203,"已付款")+SUMIFS(对接源_02物料!$K$4:$K$1203,对接源_02物料!$C$4:$C$1203,$B61,对接源_02物料!$D$4:$D$1203,"次果筐*",对接源_02物料!$L$4:$L$1203,"已收讫")+SUMIFS(对接源_02物料!$K$4:$K$1203,对接源_02物料!$C$4:$C$1203,$B61,对接源_02物料!$D$4:$D$1203,"次果筐*",对接源_02物料!$L$4:$L$1203,"已付款"),2))</f>
      </c>
      <c r="J61" s="177">
        <f>IF($B61="","",ROUND(N($H61)-N($I61),2))</f>
      </c>
      <c r="K61" s="16">
        <f>IF($B61="","",IF(ROUND(N($J61),2)&gt;0,"对方欠款",IF(ROUND(N($J61),2)&lt;0,"我方欠款","已两清")))</f>
      </c>
      <c r="L61" s="26" t="n"/>
    </row>
    <row r="62" s="127">
      <c r="A62" s="16">
        <f>IF($B62="","",ROW()-3)</f>
      </c>
      <c r="B62" s="11">
        <f>IFERROR(INDEX(_自动清单!$E$4:$E$303,ROW()-3),"")</f>
      </c>
      <c r="C62" s="177">
        <f>IF($B62="","",ROUND(SUMIFS(对接源_01水果!$K$4:$K$1203,对接源_01水果!$C$4:$C$1203,$B62,对接源_01水果!$D$4:$D$1203,"成品出库*"),2))</f>
      </c>
      <c r="D62" s="177">
        <f>IF($B62="","",ROUND(SUMIFS(对接源_01水果!$K$4:$K$1203,对接源_01水果!$C$4:$C$1203,$B62,对接源_01水果!$D$4:$D$1203,"其他代存*"),2))</f>
      </c>
      <c r="E62" s="177">
        <f>IF($B62="","",ROUND(SUMIFS(对接源_02物料!$K$4:$K$1203,对接源_02物料!$C$4:$C$1203,$B62,对接源_02物料!$D$4:$D$1203,"包装物料*"),2))</f>
      </c>
      <c r="F62" s="177">
        <f>IF($B62="","",ROUND(SUMIFS(对接源_02物料!$K$4:$K$1203,对接源_02物料!$C$4:$C$1203,$B62,对接源_02物料!$D$4:$D$1203,"周转筐*"),2))</f>
      </c>
      <c r="G62" s="177">
        <f>IF($B62="","",ROUND(SUMIFS(对接源_02物料!$K$4:$K$1203,对接源_02物料!$C$4:$C$1203,$B62,对接源_02物料!$D$4:$D$1203,"次果筐*"),2))</f>
      </c>
      <c r="H62" s="177">
        <f>IF($B62="","",ROUND(SUM($C62:$G62),2))</f>
      </c>
      <c r="I62" s="177">
        <f>IF($B62="","",ROUND(SUMIFS(对接源_01水果!$K$4:$K$1203,对接源_01水果!$C$4:$C$1203,$B62,对接源_01水果!$D$4:$D$1203,"成品出库*",对接源_01水果!$L$4:$L$1203,"已收讫")+SUMIFS(对接源_01水果!$K$4:$K$1203,对接源_01水果!$C$4:$C$1203,$B62,对接源_01水果!$D$4:$D$1203,"成品出库*",对接源_01水果!$L$4:$L$1203,"已付款")+SUMIFS(对接源_01水果!$K$4:$K$1203,对接源_01水果!$C$4:$C$1203,$B62,对接源_01水果!$D$4:$D$1203,"其他代存*",对接源_01水果!$L$4:$L$1203,"已收讫")+SUMIFS(对接源_01水果!$K$4:$K$1203,对接源_01水果!$C$4:$C$1203,$B62,对接源_01水果!$D$4:$D$1203,"其他代存*",对接源_01水果!$L$4:$L$1203,"已付款")+SUMIFS(对接源_02物料!$K$4:$K$1203,对接源_02物料!$C$4:$C$1203,$B62,对接源_02物料!$D$4:$D$1203,"包装物料*",对接源_02物料!$L$4:$L$1203,"已收讫")+SUMIFS(对接源_02物料!$K$4:$K$1203,对接源_02物料!$C$4:$C$1203,$B62,对接源_02物料!$D$4:$D$1203,"包装物料*",对接源_02物料!$L$4:$L$1203,"已付款")+SUMIFS(对接源_02物料!$K$4:$K$1203,对接源_02物料!$C$4:$C$1203,$B62,对接源_02物料!$D$4:$D$1203,"周转筐*",对接源_02物料!$L$4:$L$1203,"已收讫")+SUMIFS(对接源_02物料!$K$4:$K$1203,对接源_02物料!$C$4:$C$1203,$B62,对接源_02物料!$D$4:$D$1203,"周转筐*",对接源_02物料!$L$4:$L$1203,"已付款")+SUMIFS(对接源_02物料!$K$4:$K$1203,对接源_02物料!$C$4:$C$1203,$B62,对接源_02物料!$D$4:$D$1203,"次果筐*",对接源_02物料!$L$4:$L$1203,"已收讫")+SUMIFS(对接源_02物料!$K$4:$K$1203,对接源_02物料!$C$4:$C$1203,$B62,对接源_02物料!$D$4:$D$1203,"次果筐*",对接源_02物料!$L$4:$L$1203,"已付款"),2))</f>
      </c>
      <c r="J62" s="177">
        <f>IF($B62="","",ROUND(N($H62)-N($I62),2))</f>
      </c>
      <c r="K62" s="16">
        <f>IF($B62="","",IF(ROUND(N($J62),2)&gt;0,"对方欠款",IF(ROUND(N($J62),2)&lt;0,"我方欠款","已两清")))</f>
      </c>
      <c r="L62" s="26" t="n"/>
    </row>
    <row r="63" s="127">
      <c r="A63" s="16">
        <f>IF($B63="","",ROW()-3)</f>
      </c>
      <c r="B63" s="11">
        <f>IFERROR(INDEX(_自动清单!$E$4:$E$303,ROW()-3),"")</f>
      </c>
      <c r="C63" s="177">
        <f>IF($B63="","",ROUND(SUMIFS(对接源_01水果!$K$4:$K$1203,对接源_01水果!$C$4:$C$1203,$B63,对接源_01水果!$D$4:$D$1203,"成品出库*"),2))</f>
      </c>
      <c r="D63" s="177">
        <f>IF($B63="","",ROUND(SUMIFS(对接源_01水果!$K$4:$K$1203,对接源_01水果!$C$4:$C$1203,$B63,对接源_01水果!$D$4:$D$1203,"其他代存*"),2))</f>
      </c>
      <c r="E63" s="177">
        <f>IF($B63="","",ROUND(SUMIFS(对接源_02物料!$K$4:$K$1203,对接源_02物料!$C$4:$C$1203,$B63,对接源_02物料!$D$4:$D$1203,"包装物料*"),2))</f>
      </c>
      <c r="F63" s="177">
        <f>IF($B63="","",ROUND(SUMIFS(对接源_02物料!$K$4:$K$1203,对接源_02物料!$C$4:$C$1203,$B63,对接源_02物料!$D$4:$D$1203,"周转筐*"),2))</f>
      </c>
      <c r="G63" s="177">
        <f>IF($B63="","",ROUND(SUMIFS(对接源_02物料!$K$4:$K$1203,对接源_02物料!$C$4:$C$1203,$B63,对接源_02物料!$D$4:$D$1203,"次果筐*"),2))</f>
      </c>
      <c r="H63" s="177">
        <f>IF($B63="","",ROUND(SUM($C63:$G63),2))</f>
      </c>
      <c r="I63" s="177">
        <f>IF($B63="","",ROUND(SUMIFS(对接源_01水果!$K$4:$K$1203,对接源_01水果!$C$4:$C$1203,$B63,对接源_01水果!$D$4:$D$1203,"成品出库*",对接源_01水果!$L$4:$L$1203,"已收讫")+SUMIFS(对接源_01水果!$K$4:$K$1203,对接源_01水果!$C$4:$C$1203,$B63,对接源_01水果!$D$4:$D$1203,"成品出库*",对接源_01水果!$L$4:$L$1203,"已付款")+SUMIFS(对接源_01水果!$K$4:$K$1203,对接源_01水果!$C$4:$C$1203,$B63,对接源_01水果!$D$4:$D$1203,"其他代存*",对接源_01水果!$L$4:$L$1203,"已收讫")+SUMIFS(对接源_01水果!$K$4:$K$1203,对接源_01水果!$C$4:$C$1203,$B63,对接源_01水果!$D$4:$D$1203,"其他代存*",对接源_01水果!$L$4:$L$1203,"已付款")+SUMIFS(对接源_02物料!$K$4:$K$1203,对接源_02物料!$C$4:$C$1203,$B63,对接源_02物料!$D$4:$D$1203,"包装物料*",对接源_02物料!$L$4:$L$1203,"已收讫")+SUMIFS(对接源_02物料!$K$4:$K$1203,对接源_02物料!$C$4:$C$1203,$B63,对接源_02物料!$D$4:$D$1203,"包装物料*",对接源_02物料!$L$4:$L$1203,"已付款")+SUMIFS(对接源_02物料!$K$4:$K$1203,对接源_02物料!$C$4:$C$1203,$B63,对接源_02物料!$D$4:$D$1203,"周转筐*",对接源_02物料!$L$4:$L$1203,"已收讫")+SUMIFS(对接源_02物料!$K$4:$K$1203,对接源_02物料!$C$4:$C$1203,$B63,对接源_02物料!$D$4:$D$1203,"周转筐*",对接源_02物料!$L$4:$L$1203,"已付款")+SUMIFS(对接源_02物料!$K$4:$K$1203,对接源_02物料!$C$4:$C$1203,$B63,对接源_02物料!$D$4:$D$1203,"次果筐*",对接源_02物料!$L$4:$L$1203,"已收讫")+SUMIFS(对接源_02物料!$K$4:$K$1203,对接源_02物料!$C$4:$C$1203,$B63,对接源_02物料!$D$4:$D$1203,"次果筐*",对接源_02物料!$L$4:$L$1203,"已付款"),2))</f>
      </c>
      <c r="J63" s="177">
        <f>IF($B63="","",ROUND(N($H63)-N($I63),2))</f>
      </c>
      <c r="K63" s="16">
        <f>IF($B63="","",IF(ROUND(N($J63),2)&gt;0,"对方欠款",IF(ROUND(N($J63),2)&lt;0,"我方欠款","已两清")))</f>
      </c>
      <c r="L63" s="26" t="n"/>
    </row>
    <row r="64" s="127">
      <c r="A64" s="16">
        <f>IF($B64="","",ROW()-3)</f>
      </c>
      <c r="B64" s="11">
        <f>IFERROR(INDEX(_自动清单!$E$4:$E$303,ROW()-3),"")</f>
      </c>
      <c r="C64" s="177">
        <f>IF($B64="","",ROUND(SUMIFS(对接源_01水果!$K$4:$K$1203,对接源_01水果!$C$4:$C$1203,$B64,对接源_01水果!$D$4:$D$1203,"成品出库*"),2))</f>
      </c>
      <c r="D64" s="177">
        <f>IF($B64="","",ROUND(SUMIFS(对接源_01水果!$K$4:$K$1203,对接源_01水果!$C$4:$C$1203,$B64,对接源_01水果!$D$4:$D$1203,"其他代存*"),2))</f>
      </c>
      <c r="E64" s="177">
        <f>IF($B64="","",ROUND(SUMIFS(对接源_02物料!$K$4:$K$1203,对接源_02物料!$C$4:$C$1203,$B64,对接源_02物料!$D$4:$D$1203,"包装物料*"),2))</f>
      </c>
      <c r="F64" s="177">
        <f>IF($B64="","",ROUND(SUMIFS(对接源_02物料!$K$4:$K$1203,对接源_02物料!$C$4:$C$1203,$B64,对接源_02物料!$D$4:$D$1203,"周转筐*"),2))</f>
      </c>
      <c r="G64" s="177">
        <f>IF($B64="","",ROUND(SUMIFS(对接源_02物料!$K$4:$K$1203,对接源_02物料!$C$4:$C$1203,$B64,对接源_02物料!$D$4:$D$1203,"次果筐*"),2))</f>
      </c>
      <c r="H64" s="177">
        <f>IF($B64="","",ROUND(SUM($C64:$G64),2))</f>
      </c>
      <c r="I64" s="177">
        <f>IF($B64="","",ROUND(SUMIFS(对接源_01水果!$K$4:$K$1203,对接源_01水果!$C$4:$C$1203,$B64,对接源_01水果!$D$4:$D$1203,"成品出库*",对接源_01水果!$L$4:$L$1203,"已收讫")+SUMIFS(对接源_01水果!$K$4:$K$1203,对接源_01水果!$C$4:$C$1203,$B64,对接源_01水果!$D$4:$D$1203,"成品出库*",对接源_01水果!$L$4:$L$1203,"已付款")+SUMIFS(对接源_01水果!$K$4:$K$1203,对接源_01水果!$C$4:$C$1203,$B64,对接源_01水果!$D$4:$D$1203,"其他代存*",对接源_01水果!$L$4:$L$1203,"已收讫")+SUMIFS(对接源_01水果!$K$4:$K$1203,对接源_01水果!$C$4:$C$1203,$B64,对接源_01水果!$D$4:$D$1203,"其他代存*",对接源_01水果!$L$4:$L$1203,"已付款")+SUMIFS(对接源_02物料!$K$4:$K$1203,对接源_02物料!$C$4:$C$1203,$B64,对接源_02物料!$D$4:$D$1203,"包装物料*",对接源_02物料!$L$4:$L$1203,"已收讫")+SUMIFS(对接源_02物料!$K$4:$K$1203,对接源_02物料!$C$4:$C$1203,$B64,对接源_02物料!$D$4:$D$1203,"包装物料*",对接源_02物料!$L$4:$L$1203,"已付款")+SUMIFS(对接源_02物料!$K$4:$K$1203,对接源_02物料!$C$4:$C$1203,$B64,对接源_02物料!$D$4:$D$1203,"周转筐*",对接源_02物料!$L$4:$L$1203,"已收讫")+SUMIFS(对接源_02物料!$K$4:$K$1203,对接源_02物料!$C$4:$C$1203,$B64,对接源_02物料!$D$4:$D$1203,"周转筐*",对接源_02物料!$L$4:$L$1203,"已付款")+SUMIFS(对接源_02物料!$K$4:$K$1203,对接源_02物料!$C$4:$C$1203,$B64,对接源_02物料!$D$4:$D$1203,"次果筐*",对接源_02物料!$L$4:$L$1203,"已收讫")+SUMIFS(对接源_02物料!$K$4:$K$1203,对接源_02物料!$C$4:$C$1203,$B64,对接源_02物料!$D$4:$D$1203,"次果筐*",对接源_02物料!$L$4:$L$1203,"已付款"),2))</f>
      </c>
      <c r="J64" s="177">
        <f>IF($B64="","",ROUND(N($H64)-N($I64),2))</f>
      </c>
      <c r="K64" s="16">
        <f>IF($B64="","",IF(ROUND(N($J64),2)&gt;0,"对方欠款",IF(ROUND(N($J64),2)&lt;0,"我方欠款","已两清")))</f>
      </c>
      <c r="L64" s="26" t="n"/>
    </row>
    <row r="65" s="127">
      <c r="A65" s="16">
        <f>IF($B65="","",ROW()-3)</f>
      </c>
      <c r="B65" s="11">
        <f>IFERROR(INDEX(_自动清单!$E$4:$E$303,ROW()-3),"")</f>
      </c>
      <c r="C65" s="177">
        <f>IF($B65="","",ROUND(SUMIFS(对接源_01水果!$K$4:$K$1203,对接源_01水果!$C$4:$C$1203,$B65,对接源_01水果!$D$4:$D$1203,"成品出库*"),2))</f>
      </c>
      <c r="D65" s="177">
        <f>IF($B65="","",ROUND(SUMIFS(对接源_01水果!$K$4:$K$1203,对接源_01水果!$C$4:$C$1203,$B65,对接源_01水果!$D$4:$D$1203,"其他代存*"),2))</f>
      </c>
      <c r="E65" s="177">
        <f>IF($B65="","",ROUND(SUMIFS(对接源_02物料!$K$4:$K$1203,对接源_02物料!$C$4:$C$1203,$B65,对接源_02物料!$D$4:$D$1203,"包装物料*"),2))</f>
      </c>
      <c r="F65" s="177">
        <f>IF($B65="","",ROUND(SUMIFS(对接源_02物料!$K$4:$K$1203,对接源_02物料!$C$4:$C$1203,$B65,对接源_02物料!$D$4:$D$1203,"周转筐*"),2))</f>
      </c>
      <c r="G65" s="177">
        <f>IF($B65="","",ROUND(SUMIFS(对接源_02物料!$K$4:$K$1203,对接源_02物料!$C$4:$C$1203,$B65,对接源_02物料!$D$4:$D$1203,"次果筐*"),2))</f>
      </c>
      <c r="H65" s="177">
        <f>IF($B65="","",ROUND(SUM($C65:$G65),2))</f>
      </c>
      <c r="I65" s="177">
        <f>IF($B65="","",ROUND(SUMIFS(对接源_01水果!$K$4:$K$1203,对接源_01水果!$C$4:$C$1203,$B65,对接源_01水果!$D$4:$D$1203,"成品出库*",对接源_01水果!$L$4:$L$1203,"已收讫")+SUMIFS(对接源_01水果!$K$4:$K$1203,对接源_01水果!$C$4:$C$1203,$B65,对接源_01水果!$D$4:$D$1203,"成品出库*",对接源_01水果!$L$4:$L$1203,"已付款")+SUMIFS(对接源_01水果!$K$4:$K$1203,对接源_01水果!$C$4:$C$1203,$B65,对接源_01水果!$D$4:$D$1203,"其他代存*",对接源_01水果!$L$4:$L$1203,"已收讫")+SUMIFS(对接源_01水果!$K$4:$K$1203,对接源_01水果!$C$4:$C$1203,$B65,对接源_01水果!$D$4:$D$1203,"其他代存*",对接源_01水果!$L$4:$L$1203,"已付款")+SUMIFS(对接源_02物料!$K$4:$K$1203,对接源_02物料!$C$4:$C$1203,$B65,对接源_02物料!$D$4:$D$1203,"包装物料*",对接源_02物料!$L$4:$L$1203,"已收讫")+SUMIFS(对接源_02物料!$K$4:$K$1203,对接源_02物料!$C$4:$C$1203,$B65,对接源_02物料!$D$4:$D$1203,"包装物料*",对接源_02物料!$L$4:$L$1203,"已付款")+SUMIFS(对接源_02物料!$K$4:$K$1203,对接源_02物料!$C$4:$C$1203,$B65,对接源_02物料!$D$4:$D$1203,"周转筐*",对接源_02物料!$L$4:$L$1203,"已收讫")+SUMIFS(对接源_02物料!$K$4:$K$1203,对接源_02物料!$C$4:$C$1203,$B65,对接源_02物料!$D$4:$D$1203,"周转筐*",对接源_02物料!$L$4:$L$1203,"已付款")+SUMIFS(对接源_02物料!$K$4:$K$1203,对接源_02物料!$C$4:$C$1203,$B65,对接源_02物料!$D$4:$D$1203,"次果筐*",对接源_02物料!$L$4:$L$1203,"已收讫")+SUMIFS(对接源_02物料!$K$4:$K$1203,对接源_02物料!$C$4:$C$1203,$B65,对接源_02物料!$D$4:$D$1203,"次果筐*",对接源_02物料!$L$4:$L$1203,"已付款"),2))</f>
      </c>
      <c r="J65" s="177">
        <f>IF($B65="","",ROUND(N($H65)-N($I65),2))</f>
      </c>
      <c r="K65" s="16">
        <f>IF($B65="","",IF(ROUND(N($J65),2)&gt;0,"对方欠款",IF(ROUND(N($J65),2)&lt;0,"我方欠款","已两清")))</f>
      </c>
      <c r="L65" s="26" t="n"/>
    </row>
    <row r="66" s="127">
      <c r="A66" s="16">
        <f>IF($B66="","",ROW()-3)</f>
      </c>
      <c r="B66" s="11">
        <f>IFERROR(INDEX(_自动清单!$E$4:$E$303,ROW()-3),"")</f>
      </c>
      <c r="C66" s="177">
        <f>IF($B66="","",ROUND(SUMIFS(对接源_01水果!$K$4:$K$1203,对接源_01水果!$C$4:$C$1203,$B66,对接源_01水果!$D$4:$D$1203,"成品出库*"),2))</f>
      </c>
      <c r="D66" s="177">
        <f>IF($B66="","",ROUND(SUMIFS(对接源_01水果!$K$4:$K$1203,对接源_01水果!$C$4:$C$1203,$B66,对接源_01水果!$D$4:$D$1203,"其他代存*"),2))</f>
      </c>
      <c r="E66" s="177">
        <f>IF($B66="","",ROUND(SUMIFS(对接源_02物料!$K$4:$K$1203,对接源_02物料!$C$4:$C$1203,$B66,对接源_02物料!$D$4:$D$1203,"包装物料*"),2))</f>
      </c>
      <c r="F66" s="177">
        <f>IF($B66="","",ROUND(SUMIFS(对接源_02物料!$K$4:$K$1203,对接源_02物料!$C$4:$C$1203,$B66,对接源_02物料!$D$4:$D$1203,"周转筐*"),2))</f>
      </c>
      <c r="G66" s="177">
        <f>IF($B66="","",ROUND(SUMIFS(对接源_02物料!$K$4:$K$1203,对接源_02物料!$C$4:$C$1203,$B66,对接源_02物料!$D$4:$D$1203,"次果筐*"),2))</f>
      </c>
      <c r="H66" s="177">
        <f>IF($B66="","",ROUND(SUM($C66:$G66),2))</f>
      </c>
      <c r="I66" s="177">
        <f>IF($B66="","",ROUND(SUMIFS(对接源_01水果!$K$4:$K$1203,对接源_01水果!$C$4:$C$1203,$B66,对接源_01水果!$D$4:$D$1203,"成品出库*",对接源_01水果!$L$4:$L$1203,"已收讫")+SUMIFS(对接源_01水果!$K$4:$K$1203,对接源_01水果!$C$4:$C$1203,$B66,对接源_01水果!$D$4:$D$1203,"成品出库*",对接源_01水果!$L$4:$L$1203,"已付款")+SUMIFS(对接源_01水果!$K$4:$K$1203,对接源_01水果!$C$4:$C$1203,$B66,对接源_01水果!$D$4:$D$1203,"其他代存*",对接源_01水果!$L$4:$L$1203,"已收讫")+SUMIFS(对接源_01水果!$K$4:$K$1203,对接源_01水果!$C$4:$C$1203,$B66,对接源_01水果!$D$4:$D$1203,"其他代存*",对接源_01水果!$L$4:$L$1203,"已付款")+SUMIFS(对接源_02物料!$K$4:$K$1203,对接源_02物料!$C$4:$C$1203,$B66,对接源_02物料!$D$4:$D$1203,"包装物料*",对接源_02物料!$L$4:$L$1203,"已收讫")+SUMIFS(对接源_02物料!$K$4:$K$1203,对接源_02物料!$C$4:$C$1203,$B66,对接源_02物料!$D$4:$D$1203,"包装物料*",对接源_02物料!$L$4:$L$1203,"已付款")+SUMIFS(对接源_02物料!$K$4:$K$1203,对接源_02物料!$C$4:$C$1203,$B66,对接源_02物料!$D$4:$D$1203,"周转筐*",对接源_02物料!$L$4:$L$1203,"已收讫")+SUMIFS(对接源_02物料!$K$4:$K$1203,对接源_02物料!$C$4:$C$1203,$B66,对接源_02物料!$D$4:$D$1203,"周转筐*",对接源_02物料!$L$4:$L$1203,"已付款")+SUMIFS(对接源_02物料!$K$4:$K$1203,对接源_02物料!$C$4:$C$1203,$B66,对接源_02物料!$D$4:$D$1203,"次果筐*",对接源_02物料!$L$4:$L$1203,"已收讫")+SUMIFS(对接源_02物料!$K$4:$K$1203,对接源_02物料!$C$4:$C$1203,$B66,对接源_02物料!$D$4:$D$1203,"次果筐*",对接源_02物料!$L$4:$L$1203,"已付款"),2))</f>
      </c>
      <c r="J66" s="177">
        <f>IF($B66="","",ROUND(N($H66)-N($I66),2))</f>
      </c>
      <c r="K66" s="16">
        <f>IF($B66="","",IF(ROUND(N($J66),2)&gt;0,"对方欠款",IF(ROUND(N($J66),2)&lt;0,"我方欠款","已两清")))</f>
      </c>
      <c r="L66" s="26" t="n"/>
    </row>
    <row r="67" s="127">
      <c r="A67" s="16">
        <f>IF($B67="","",ROW()-3)</f>
      </c>
      <c r="B67" s="11">
        <f>IFERROR(INDEX(_自动清单!$E$4:$E$303,ROW()-3),"")</f>
      </c>
      <c r="C67" s="177">
        <f>IF($B67="","",ROUND(SUMIFS(对接源_01水果!$K$4:$K$1203,对接源_01水果!$C$4:$C$1203,$B67,对接源_01水果!$D$4:$D$1203,"成品出库*"),2))</f>
      </c>
      <c r="D67" s="177">
        <f>IF($B67="","",ROUND(SUMIFS(对接源_01水果!$K$4:$K$1203,对接源_01水果!$C$4:$C$1203,$B67,对接源_01水果!$D$4:$D$1203,"其他代存*"),2))</f>
      </c>
      <c r="E67" s="177">
        <f>IF($B67="","",ROUND(SUMIFS(对接源_02物料!$K$4:$K$1203,对接源_02物料!$C$4:$C$1203,$B67,对接源_02物料!$D$4:$D$1203,"包装物料*"),2))</f>
      </c>
      <c r="F67" s="177">
        <f>IF($B67="","",ROUND(SUMIFS(对接源_02物料!$K$4:$K$1203,对接源_02物料!$C$4:$C$1203,$B67,对接源_02物料!$D$4:$D$1203,"周转筐*"),2))</f>
      </c>
      <c r="G67" s="177">
        <f>IF($B67="","",ROUND(SUMIFS(对接源_02物料!$K$4:$K$1203,对接源_02物料!$C$4:$C$1203,$B67,对接源_02物料!$D$4:$D$1203,"次果筐*"),2))</f>
      </c>
      <c r="H67" s="177">
        <f>IF($B67="","",ROUND(SUM($C67:$G67),2))</f>
      </c>
      <c r="I67" s="177">
        <f>IF($B67="","",ROUND(SUMIFS(对接源_01水果!$K$4:$K$1203,对接源_01水果!$C$4:$C$1203,$B67,对接源_01水果!$D$4:$D$1203,"成品出库*",对接源_01水果!$L$4:$L$1203,"已收讫")+SUMIFS(对接源_01水果!$K$4:$K$1203,对接源_01水果!$C$4:$C$1203,$B67,对接源_01水果!$D$4:$D$1203,"成品出库*",对接源_01水果!$L$4:$L$1203,"已付款")+SUMIFS(对接源_01水果!$K$4:$K$1203,对接源_01水果!$C$4:$C$1203,$B67,对接源_01水果!$D$4:$D$1203,"其他代存*",对接源_01水果!$L$4:$L$1203,"已收讫")+SUMIFS(对接源_01水果!$K$4:$K$1203,对接源_01水果!$C$4:$C$1203,$B67,对接源_01水果!$D$4:$D$1203,"其他代存*",对接源_01水果!$L$4:$L$1203,"已付款")+SUMIFS(对接源_02物料!$K$4:$K$1203,对接源_02物料!$C$4:$C$1203,$B67,对接源_02物料!$D$4:$D$1203,"包装物料*",对接源_02物料!$L$4:$L$1203,"已收讫")+SUMIFS(对接源_02物料!$K$4:$K$1203,对接源_02物料!$C$4:$C$1203,$B67,对接源_02物料!$D$4:$D$1203,"包装物料*",对接源_02物料!$L$4:$L$1203,"已付款")+SUMIFS(对接源_02物料!$K$4:$K$1203,对接源_02物料!$C$4:$C$1203,$B67,对接源_02物料!$D$4:$D$1203,"周转筐*",对接源_02物料!$L$4:$L$1203,"已收讫")+SUMIFS(对接源_02物料!$K$4:$K$1203,对接源_02物料!$C$4:$C$1203,$B67,对接源_02物料!$D$4:$D$1203,"周转筐*",对接源_02物料!$L$4:$L$1203,"已付款")+SUMIFS(对接源_02物料!$K$4:$K$1203,对接源_02物料!$C$4:$C$1203,$B67,对接源_02物料!$D$4:$D$1203,"次果筐*",对接源_02物料!$L$4:$L$1203,"已收讫")+SUMIFS(对接源_02物料!$K$4:$K$1203,对接源_02物料!$C$4:$C$1203,$B67,对接源_02物料!$D$4:$D$1203,"次果筐*",对接源_02物料!$L$4:$L$1203,"已付款"),2))</f>
      </c>
      <c r="J67" s="177">
        <f>IF($B67="","",ROUND(N($H67)-N($I67),2))</f>
      </c>
      <c r="K67" s="16">
        <f>IF($B67="","",IF(ROUND(N($J67),2)&gt;0,"对方欠款",IF(ROUND(N($J67),2)&lt;0,"我方欠款","已两清")))</f>
      </c>
      <c r="L67" s="26" t="n"/>
    </row>
    <row r="68" s="127">
      <c r="A68" s="16">
        <f>IF($B68="","",ROW()-3)</f>
      </c>
      <c r="B68" s="11">
        <f>IFERROR(INDEX(_自动清单!$E$4:$E$303,ROW()-3),"")</f>
      </c>
      <c r="C68" s="177">
        <f>IF($B68="","",ROUND(SUMIFS(对接源_01水果!$K$4:$K$1203,对接源_01水果!$C$4:$C$1203,$B68,对接源_01水果!$D$4:$D$1203,"成品出库*"),2))</f>
      </c>
      <c r="D68" s="177">
        <f>IF($B68="","",ROUND(SUMIFS(对接源_01水果!$K$4:$K$1203,对接源_01水果!$C$4:$C$1203,$B68,对接源_01水果!$D$4:$D$1203,"其他代存*"),2))</f>
      </c>
      <c r="E68" s="177">
        <f>IF($B68="","",ROUND(SUMIFS(对接源_02物料!$K$4:$K$1203,对接源_02物料!$C$4:$C$1203,$B68,对接源_02物料!$D$4:$D$1203,"包装物料*"),2))</f>
      </c>
      <c r="F68" s="177">
        <f>IF($B68="","",ROUND(SUMIFS(对接源_02物料!$K$4:$K$1203,对接源_02物料!$C$4:$C$1203,$B68,对接源_02物料!$D$4:$D$1203,"周转筐*"),2))</f>
      </c>
      <c r="G68" s="177">
        <f>IF($B68="","",ROUND(SUMIFS(对接源_02物料!$K$4:$K$1203,对接源_02物料!$C$4:$C$1203,$B68,对接源_02物料!$D$4:$D$1203,"次果筐*"),2))</f>
      </c>
      <c r="H68" s="177">
        <f>IF($B68="","",ROUND(SUM($C68:$G68),2))</f>
      </c>
      <c r="I68" s="177">
        <f>IF($B68="","",ROUND(SUMIFS(对接源_01水果!$K$4:$K$1203,对接源_01水果!$C$4:$C$1203,$B68,对接源_01水果!$D$4:$D$1203,"成品出库*",对接源_01水果!$L$4:$L$1203,"已收讫")+SUMIFS(对接源_01水果!$K$4:$K$1203,对接源_01水果!$C$4:$C$1203,$B68,对接源_01水果!$D$4:$D$1203,"成品出库*",对接源_01水果!$L$4:$L$1203,"已付款")+SUMIFS(对接源_01水果!$K$4:$K$1203,对接源_01水果!$C$4:$C$1203,$B68,对接源_01水果!$D$4:$D$1203,"其他代存*",对接源_01水果!$L$4:$L$1203,"已收讫")+SUMIFS(对接源_01水果!$K$4:$K$1203,对接源_01水果!$C$4:$C$1203,$B68,对接源_01水果!$D$4:$D$1203,"其他代存*",对接源_01水果!$L$4:$L$1203,"已付款")+SUMIFS(对接源_02物料!$K$4:$K$1203,对接源_02物料!$C$4:$C$1203,$B68,对接源_02物料!$D$4:$D$1203,"包装物料*",对接源_02物料!$L$4:$L$1203,"已收讫")+SUMIFS(对接源_02物料!$K$4:$K$1203,对接源_02物料!$C$4:$C$1203,$B68,对接源_02物料!$D$4:$D$1203,"包装物料*",对接源_02物料!$L$4:$L$1203,"已付款")+SUMIFS(对接源_02物料!$K$4:$K$1203,对接源_02物料!$C$4:$C$1203,$B68,对接源_02物料!$D$4:$D$1203,"周转筐*",对接源_02物料!$L$4:$L$1203,"已收讫")+SUMIFS(对接源_02物料!$K$4:$K$1203,对接源_02物料!$C$4:$C$1203,$B68,对接源_02物料!$D$4:$D$1203,"周转筐*",对接源_02物料!$L$4:$L$1203,"已付款")+SUMIFS(对接源_02物料!$K$4:$K$1203,对接源_02物料!$C$4:$C$1203,$B68,对接源_02物料!$D$4:$D$1203,"次果筐*",对接源_02物料!$L$4:$L$1203,"已收讫")+SUMIFS(对接源_02物料!$K$4:$K$1203,对接源_02物料!$C$4:$C$1203,$B68,对接源_02物料!$D$4:$D$1203,"次果筐*",对接源_02物料!$L$4:$L$1203,"已付款"),2))</f>
      </c>
      <c r="J68" s="177">
        <f>IF($B68="","",ROUND(N($H68)-N($I68),2))</f>
      </c>
      <c r="K68" s="16">
        <f>IF($B68="","",IF(ROUND(N($J68),2)&gt;0,"对方欠款",IF(ROUND(N($J68),2)&lt;0,"我方欠款","已两清")))</f>
      </c>
      <c r="L68" s="26" t="n"/>
    </row>
    <row r="69" s="127">
      <c r="A69" s="16">
        <f>IF($B69="","",ROW()-3)</f>
      </c>
      <c r="B69" s="11">
        <f>IFERROR(INDEX(_自动清单!$E$4:$E$303,ROW()-3),"")</f>
      </c>
      <c r="C69" s="177">
        <f>IF($B69="","",ROUND(SUMIFS(对接源_01水果!$K$4:$K$1203,对接源_01水果!$C$4:$C$1203,$B69,对接源_01水果!$D$4:$D$1203,"成品出库*"),2))</f>
      </c>
      <c r="D69" s="177">
        <f>IF($B69="","",ROUND(SUMIFS(对接源_01水果!$K$4:$K$1203,对接源_01水果!$C$4:$C$1203,$B69,对接源_01水果!$D$4:$D$1203,"其他代存*"),2))</f>
      </c>
      <c r="E69" s="177">
        <f>IF($B69="","",ROUND(SUMIFS(对接源_02物料!$K$4:$K$1203,对接源_02物料!$C$4:$C$1203,$B69,对接源_02物料!$D$4:$D$1203,"包装物料*"),2))</f>
      </c>
      <c r="F69" s="177">
        <f>IF($B69="","",ROUND(SUMIFS(对接源_02物料!$K$4:$K$1203,对接源_02物料!$C$4:$C$1203,$B69,对接源_02物料!$D$4:$D$1203,"周转筐*"),2))</f>
      </c>
      <c r="G69" s="177">
        <f>IF($B69="","",ROUND(SUMIFS(对接源_02物料!$K$4:$K$1203,对接源_02物料!$C$4:$C$1203,$B69,对接源_02物料!$D$4:$D$1203,"次果筐*"),2))</f>
      </c>
      <c r="H69" s="177">
        <f>IF($B69="","",ROUND(SUM($C69:$G69),2))</f>
      </c>
      <c r="I69" s="177">
        <f>IF($B69="","",ROUND(SUMIFS(对接源_01水果!$K$4:$K$1203,对接源_01水果!$C$4:$C$1203,$B69,对接源_01水果!$D$4:$D$1203,"成品出库*",对接源_01水果!$L$4:$L$1203,"已收讫")+SUMIFS(对接源_01水果!$K$4:$K$1203,对接源_01水果!$C$4:$C$1203,$B69,对接源_01水果!$D$4:$D$1203,"成品出库*",对接源_01水果!$L$4:$L$1203,"已付款")+SUMIFS(对接源_01水果!$K$4:$K$1203,对接源_01水果!$C$4:$C$1203,$B69,对接源_01水果!$D$4:$D$1203,"其他代存*",对接源_01水果!$L$4:$L$1203,"已收讫")+SUMIFS(对接源_01水果!$K$4:$K$1203,对接源_01水果!$C$4:$C$1203,$B69,对接源_01水果!$D$4:$D$1203,"其他代存*",对接源_01水果!$L$4:$L$1203,"已付款")+SUMIFS(对接源_02物料!$K$4:$K$1203,对接源_02物料!$C$4:$C$1203,$B69,对接源_02物料!$D$4:$D$1203,"包装物料*",对接源_02物料!$L$4:$L$1203,"已收讫")+SUMIFS(对接源_02物料!$K$4:$K$1203,对接源_02物料!$C$4:$C$1203,$B69,对接源_02物料!$D$4:$D$1203,"包装物料*",对接源_02物料!$L$4:$L$1203,"已付款")+SUMIFS(对接源_02物料!$K$4:$K$1203,对接源_02物料!$C$4:$C$1203,$B69,对接源_02物料!$D$4:$D$1203,"周转筐*",对接源_02物料!$L$4:$L$1203,"已收讫")+SUMIFS(对接源_02物料!$K$4:$K$1203,对接源_02物料!$C$4:$C$1203,$B69,对接源_02物料!$D$4:$D$1203,"周转筐*",对接源_02物料!$L$4:$L$1203,"已付款")+SUMIFS(对接源_02物料!$K$4:$K$1203,对接源_02物料!$C$4:$C$1203,$B69,对接源_02物料!$D$4:$D$1203,"次果筐*",对接源_02物料!$L$4:$L$1203,"已收讫")+SUMIFS(对接源_02物料!$K$4:$K$1203,对接源_02物料!$C$4:$C$1203,$B69,对接源_02物料!$D$4:$D$1203,"次果筐*",对接源_02物料!$L$4:$L$1203,"已付款"),2))</f>
      </c>
      <c r="J69" s="177">
        <f>IF($B69="","",ROUND(N($H69)-N($I69),2))</f>
      </c>
      <c r="K69" s="16">
        <f>IF($B69="","",IF(ROUND(N($J69),2)&gt;0,"对方欠款",IF(ROUND(N($J69),2)&lt;0,"我方欠款","已两清")))</f>
      </c>
      <c r="L69" s="26" t="n"/>
    </row>
    <row r="70" s="127">
      <c r="A70" s="16">
        <f>IF($B70="","",ROW()-3)</f>
      </c>
      <c r="B70" s="11">
        <f>IFERROR(INDEX(_自动清单!$E$4:$E$303,ROW()-3),"")</f>
      </c>
      <c r="C70" s="177">
        <f>IF($B70="","",ROUND(SUMIFS(对接源_01水果!$K$4:$K$1203,对接源_01水果!$C$4:$C$1203,$B70,对接源_01水果!$D$4:$D$1203,"成品出库*"),2))</f>
      </c>
      <c r="D70" s="177">
        <f>IF($B70="","",ROUND(SUMIFS(对接源_01水果!$K$4:$K$1203,对接源_01水果!$C$4:$C$1203,$B70,对接源_01水果!$D$4:$D$1203,"其他代存*"),2))</f>
      </c>
      <c r="E70" s="177">
        <f>IF($B70="","",ROUND(SUMIFS(对接源_02物料!$K$4:$K$1203,对接源_02物料!$C$4:$C$1203,$B70,对接源_02物料!$D$4:$D$1203,"包装物料*"),2))</f>
      </c>
      <c r="F70" s="177">
        <f>IF($B70="","",ROUND(SUMIFS(对接源_02物料!$K$4:$K$1203,对接源_02物料!$C$4:$C$1203,$B70,对接源_02物料!$D$4:$D$1203,"周转筐*"),2))</f>
      </c>
      <c r="G70" s="177">
        <f>IF($B70="","",ROUND(SUMIFS(对接源_02物料!$K$4:$K$1203,对接源_02物料!$C$4:$C$1203,$B70,对接源_02物料!$D$4:$D$1203,"次果筐*"),2))</f>
      </c>
      <c r="H70" s="177">
        <f>IF($B70="","",ROUND(SUM($C70:$G70),2))</f>
      </c>
      <c r="I70" s="177">
        <f>IF($B70="","",ROUND(SUMIFS(对接源_01水果!$K$4:$K$1203,对接源_01水果!$C$4:$C$1203,$B70,对接源_01水果!$D$4:$D$1203,"成品出库*",对接源_01水果!$L$4:$L$1203,"已收讫")+SUMIFS(对接源_01水果!$K$4:$K$1203,对接源_01水果!$C$4:$C$1203,$B70,对接源_01水果!$D$4:$D$1203,"成品出库*",对接源_01水果!$L$4:$L$1203,"已付款")+SUMIFS(对接源_01水果!$K$4:$K$1203,对接源_01水果!$C$4:$C$1203,$B70,对接源_01水果!$D$4:$D$1203,"其他代存*",对接源_01水果!$L$4:$L$1203,"已收讫")+SUMIFS(对接源_01水果!$K$4:$K$1203,对接源_01水果!$C$4:$C$1203,$B70,对接源_01水果!$D$4:$D$1203,"其他代存*",对接源_01水果!$L$4:$L$1203,"已付款")+SUMIFS(对接源_02物料!$K$4:$K$1203,对接源_02物料!$C$4:$C$1203,$B70,对接源_02物料!$D$4:$D$1203,"包装物料*",对接源_02物料!$L$4:$L$1203,"已收讫")+SUMIFS(对接源_02物料!$K$4:$K$1203,对接源_02物料!$C$4:$C$1203,$B70,对接源_02物料!$D$4:$D$1203,"包装物料*",对接源_02物料!$L$4:$L$1203,"已付款")+SUMIFS(对接源_02物料!$K$4:$K$1203,对接源_02物料!$C$4:$C$1203,$B70,对接源_02物料!$D$4:$D$1203,"周转筐*",对接源_02物料!$L$4:$L$1203,"已收讫")+SUMIFS(对接源_02物料!$K$4:$K$1203,对接源_02物料!$C$4:$C$1203,$B70,对接源_02物料!$D$4:$D$1203,"周转筐*",对接源_02物料!$L$4:$L$1203,"已付款")+SUMIFS(对接源_02物料!$K$4:$K$1203,对接源_02物料!$C$4:$C$1203,$B70,对接源_02物料!$D$4:$D$1203,"次果筐*",对接源_02物料!$L$4:$L$1203,"已收讫")+SUMIFS(对接源_02物料!$K$4:$K$1203,对接源_02物料!$C$4:$C$1203,$B70,对接源_02物料!$D$4:$D$1203,"次果筐*",对接源_02物料!$L$4:$L$1203,"已付款"),2))</f>
      </c>
      <c r="J70" s="177">
        <f>IF($B70="","",ROUND(N($H70)-N($I70),2))</f>
      </c>
      <c r="K70" s="16">
        <f>IF($B70="","",IF(ROUND(N($J70),2)&gt;0,"对方欠款",IF(ROUND(N($J70),2)&lt;0,"我方欠款","已两清")))</f>
      </c>
      <c r="L70" s="26" t="n"/>
    </row>
    <row r="71" s="127">
      <c r="A71" s="16">
        <f>IF($B71="","",ROW()-3)</f>
      </c>
      <c r="B71" s="11">
        <f>IFERROR(INDEX(_自动清单!$E$4:$E$303,ROW()-3),"")</f>
      </c>
      <c r="C71" s="177">
        <f>IF($B71="","",ROUND(SUMIFS(对接源_01水果!$K$4:$K$1203,对接源_01水果!$C$4:$C$1203,$B71,对接源_01水果!$D$4:$D$1203,"成品出库*"),2))</f>
      </c>
      <c r="D71" s="177">
        <f>IF($B71="","",ROUND(SUMIFS(对接源_01水果!$K$4:$K$1203,对接源_01水果!$C$4:$C$1203,$B71,对接源_01水果!$D$4:$D$1203,"其他代存*"),2))</f>
      </c>
      <c r="E71" s="177">
        <f>IF($B71="","",ROUND(SUMIFS(对接源_02物料!$K$4:$K$1203,对接源_02物料!$C$4:$C$1203,$B71,对接源_02物料!$D$4:$D$1203,"包装物料*"),2))</f>
      </c>
      <c r="F71" s="177">
        <f>IF($B71="","",ROUND(SUMIFS(对接源_02物料!$K$4:$K$1203,对接源_02物料!$C$4:$C$1203,$B71,对接源_02物料!$D$4:$D$1203,"周转筐*"),2))</f>
      </c>
      <c r="G71" s="177">
        <f>IF($B71="","",ROUND(SUMIFS(对接源_02物料!$K$4:$K$1203,对接源_02物料!$C$4:$C$1203,$B71,对接源_02物料!$D$4:$D$1203,"次果筐*"),2))</f>
      </c>
      <c r="H71" s="177">
        <f>IF($B71="","",ROUND(SUM($C71:$G71),2))</f>
      </c>
      <c r="I71" s="177">
        <f>IF($B71="","",ROUND(SUMIFS(对接源_01水果!$K$4:$K$1203,对接源_01水果!$C$4:$C$1203,$B71,对接源_01水果!$D$4:$D$1203,"成品出库*",对接源_01水果!$L$4:$L$1203,"已收讫")+SUMIFS(对接源_01水果!$K$4:$K$1203,对接源_01水果!$C$4:$C$1203,$B71,对接源_01水果!$D$4:$D$1203,"成品出库*",对接源_01水果!$L$4:$L$1203,"已付款")+SUMIFS(对接源_01水果!$K$4:$K$1203,对接源_01水果!$C$4:$C$1203,$B71,对接源_01水果!$D$4:$D$1203,"其他代存*",对接源_01水果!$L$4:$L$1203,"已收讫")+SUMIFS(对接源_01水果!$K$4:$K$1203,对接源_01水果!$C$4:$C$1203,$B71,对接源_01水果!$D$4:$D$1203,"其他代存*",对接源_01水果!$L$4:$L$1203,"已付款")+SUMIFS(对接源_02物料!$K$4:$K$1203,对接源_02物料!$C$4:$C$1203,$B71,对接源_02物料!$D$4:$D$1203,"包装物料*",对接源_02物料!$L$4:$L$1203,"已收讫")+SUMIFS(对接源_02物料!$K$4:$K$1203,对接源_02物料!$C$4:$C$1203,$B71,对接源_02物料!$D$4:$D$1203,"包装物料*",对接源_02物料!$L$4:$L$1203,"已付款")+SUMIFS(对接源_02物料!$K$4:$K$1203,对接源_02物料!$C$4:$C$1203,$B71,对接源_02物料!$D$4:$D$1203,"周转筐*",对接源_02物料!$L$4:$L$1203,"已收讫")+SUMIFS(对接源_02物料!$K$4:$K$1203,对接源_02物料!$C$4:$C$1203,$B71,对接源_02物料!$D$4:$D$1203,"周转筐*",对接源_02物料!$L$4:$L$1203,"已付款")+SUMIFS(对接源_02物料!$K$4:$K$1203,对接源_02物料!$C$4:$C$1203,$B71,对接源_02物料!$D$4:$D$1203,"次果筐*",对接源_02物料!$L$4:$L$1203,"已收讫")+SUMIFS(对接源_02物料!$K$4:$K$1203,对接源_02物料!$C$4:$C$1203,$B71,对接源_02物料!$D$4:$D$1203,"次果筐*",对接源_02物料!$L$4:$L$1203,"已付款"),2))</f>
      </c>
      <c r="J71" s="177">
        <f>IF($B71="","",ROUND(N($H71)-N($I71),2))</f>
      </c>
      <c r="K71" s="16">
        <f>IF($B71="","",IF(ROUND(N($J71),2)&gt;0,"对方欠款",IF(ROUND(N($J71),2)&lt;0,"我方欠款","已两清")))</f>
      </c>
      <c r="L71" s="26" t="n"/>
    </row>
    <row r="72" s="127">
      <c r="A72" s="16">
        <f>IF($B72="","",ROW()-3)</f>
      </c>
      <c r="B72" s="11">
        <f>IFERROR(INDEX(_自动清单!$E$4:$E$303,ROW()-3),"")</f>
      </c>
      <c r="C72" s="177">
        <f>IF($B72="","",ROUND(SUMIFS(对接源_01水果!$K$4:$K$1203,对接源_01水果!$C$4:$C$1203,$B72,对接源_01水果!$D$4:$D$1203,"成品出库*"),2))</f>
      </c>
      <c r="D72" s="177">
        <f>IF($B72="","",ROUND(SUMIFS(对接源_01水果!$K$4:$K$1203,对接源_01水果!$C$4:$C$1203,$B72,对接源_01水果!$D$4:$D$1203,"其他代存*"),2))</f>
      </c>
      <c r="E72" s="177">
        <f>IF($B72="","",ROUND(SUMIFS(对接源_02物料!$K$4:$K$1203,对接源_02物料!$C$4:$C$1203,$B72,对接源_02物料!$D$4:$D$1203,"包装物料*"),2))</f>
      </c>
      <c r="F72" s="177">
        <f>IF($B72="","",ROUND(SUMIFS(对接源_02物料!$K$4:$K$1203,对接源_02物料!$C$4:$C$1203,$B72,对接源_02物料!$D$4:$D$1203,"周转筐*"),2))</f>
      </c>
      <c r="G72" s="177">
        <f>IF($B72="","",ROUND(SUMIFS(对接源_02物料!$K$4:$K$1203,对接源_02物料!$C$4:$C$1203,$B72,对接源_02物料!$D$4:$D$1203,"次果筐*"),2))</f>
      </c>
      <c r="H72" s="177">
        <f>IF($B72="","",ROUND(SUM($C72:$G72),2))</f>
      </c>
      <c r="I72" s="177">
        <f>IF($B72="","",ROUND(SUMIFS(对接源_01水果!$K$4:$K$1203,对接源_01水果!$C$4:$C$1203,$B72,对接源_01水果!$D$4:$D$1203,"成品出库*",对接源_01水果!$L$4:$L$1203,"已收讫")+SUMIFS(对接源_01水果!$K$4:$K$1203,对接源_01水果!$C$4:$C$1203,$B72,对接源_01水果!$D$4:$D$1203,"成品出库*",对接源_01水果!$L$4:$L$1203,"已付款")+SUMIFS(对接源_01水果!$K$4:$K$1203,对接源_01水果!$C$4:$C$1203,$B72,对接源_01水果!$D$4:$D$1203,"其他代存*",对接源_01水果!$L$4:$L$1203,"已收讫")+SUMIFS(对接源_01水果!$K$4:$K$1203,对接源_01水果!$C$4:$C$1203,$B72,对接源_01水果!$D$4:$D$1203,"其他代存*",对接源_01水果!$L$4:$L$1203,"已付款")+SUMIFS(对接源_02物料!$K$4:$K$1203,对接源_02物料!$C$4:$C$1203,$B72,对接源_02物料!$D$4:$D$1203,"包装物料*",对接源_02物料!$L$4:$L$1203,"已收讫")+SUMIFS(对接源_02物料!$K$4:$K$1203,对接源_02物料!$C$4:$C$1203,$B72,对接源_02物料!$D$4:$D$1203,"包装物料*",对接源_02物料!$L$4:$L$1203,"已付款")+SUMIFS(对接源_02物料!$K$4:$K$1203,对接源_02物料!$C$4:$C$1203,$B72,对接源_02物料!$D$4:$D$1203,"周转筐*",对接源_02物料!$L$4:$L$1203,"已收讫")+SUMIFS(对接源_02物料!$K$4:$K$1203,对接源_02物料!$C$4:$C$1203,$B72,对接源_02物料!$D$4:$D$1203,"周转筐*",对接源_02物料!$L$4:$L$1203,"已付款")+SUMIFS(对接源_02物料!$K$4:$K$1203,对接源_02物料!$C$4:$C$1203,$B72,对接源_02物料!$D$4:$D$1203,"次果筐*",对接源_02物料!$L$4:$L$1203,"已收讫")+SUMIFS(对接源_02物料!$K$4:$K$1203,对接源_02物料!$C$4:$C$1203,$B72,对接源_02物料!$D$4:$D$1203,"次果筐*",对接源_02物料!$L$4:$L$1203,"已付款"),2))</f>
      </c>
      <c r="J72" s="177">
        <f>IF($B72="","",ROUND(N($H72)-N($I72),2))</f>
      </c>
      <c r="K72" s="16">
        <f>IF($B72="","",IF(ROUND(N($J72),2)&gt;0,"对方欠款",IF(ROUND(N($J72),2)&lt;0,"我方欠款","已两清")))</f>
      </c>
      <c r="L72" s="26" t="n"/>
    </row>
    <row r="73" s="127">
      <c r="A73" s="16">
        <f>IF($B73="","",ROW()-3)</f>
      </c>
      <c r="B73" s="11">
        <f>IFERROR(INDEX(_自动清单!$E$4:$E$303,ROW()-3),"")</f>
      </c>
      <c r="C73" s="177">
        <f>IF($B73="","",ROUND(SUMIFS(对接源_01水果!$K$4:$K$1203,对接源_01水果!$C$4:$C$1203,$B73,对接源_01水果!$D$4:$D$1203,"成品出库*"),2))</f>
      </c>
      <c r="D73" s="177">
        <f>IF($B73="","",ROUND(SUMIFS(对接源_01水果!$K$4:$K$1203,对接源_01水果!$C$4:$C$1203,$B73,对接源_01水果!$D$4:$D$1203,"其他代存*"),2))</f>
      </c>
      <c r="E73" s="177">
        <f>IF($B73="","",ROUND(SUMIFS(对接源_02物料!$K$4:$K$1203,对接源_02物料!$C$4:$C$1203,$B73,对接源_02物料!$D$4:$D$1203,"包装物料*"),2))</f>
      </c>
      <c r="F73" s="177">
        <f>IF($B73="","",ROUND(SUMIFS(对接源_02物料!$K$4:$K$1203,对接源_02物料!$C$4:$C$1203,$B73,对接源_02物料!$D$4:$D$1203,"周转筐*"),2))</f>
      </c>
      <c r="G73" s="177">
        <f>IF($B73="","",ROUND(SUMIFS(对接源_02物料!$K$4:$K$1203,对接源_02物料!$C$4:$C$1203,$B73,对接源_02物料!$D$4:$D$1203,"次果筐*"),2))</f>
      </c>
      <c r="H73" s="177">
        <f>IF($B73="","",ROUND(SUM($C73:$G73),2))</f>
      </c>
      <c r="I73" s="177">
        <f>IF($B73="","",ROUND(SUMIFS(对接源_01水果!$K$4:$K$1203,对接源_01水果!$C$4:$C$1203,$B73,对接源_01水果!$D$4:$D$1203,"成品出库*",对接源_01水果!$L$4:$L$1203,"已收讫")+SUMIFS(对接源_01水果!$K$4:$K$1203,对接源_01水果!$C$4:$C$1203,$B73,对接源_01水果!$D$4:$D$1203,"成品出库*",对接源_01水果!$L$4:$L$1203,"已付款")+SUMIFS(对接源_01水果!$K$4:$K$1203,对接源_01水果!$C$4:$C$1203,$B73,对接源_01水果!$D$4:$D$1203,"其他代存*",对接源_01水果!$L$4:$L$1203,"已收讫")+SUMIFS(对接源_01水果!$K$4:$K$1203,对接源_01水果!$C$4:$C$1203,$B73,对接源_01水果!$D$4:$D$1203,"其他代存*",对接源_01水果!$L$4:$L$1203,"已付款")+SUMIFS(对接源_02物料!$K$4:$K$1203,对接源_02物料!$C$4:$C$1203,$B73,对接源_02物料!$D$4:$D$1203,"包装物料*",对接源_02物料!$L$4:$L$1203,"已收讫")+SUMIFS(对接源_02物料!$K$4:$K$1203,对接源_02物料!$C$4:$C$1203,$B73,对接源_02物料!$D$4:$D$1203,"包装物料*",对接源_02物料!$L$4:$L$1203,"已付款")+SUMIFS(对接源_02物料!$K$4:$K$1203,对接源_02物料!$C$4:$C$1203,$B73,对接源_02物料!$D$4:$D$1203,"周转筐*",对接源_02物料!$L$4:$L$1203,"已收讫")+SUMIFS(对接源_02物料!$K$4:$K$1203,对接源_02物料!$C$4:$C$1203,$B73,对接源_02物料!$D$4:$D$1203,"周转筐*",对接源_02物料!$L$4:$L$1203,"已付款")+SUMIFS(对接源_02物料!$K$4:$K$1203,对接源_02物料!$C$4:$C$1203,$B73,对接源_02物料!$D$4:$D$1203,"次果筐*",对接源_02物料!$L$4:$L$1203,"已收讫")+SUMIFS(对接源_02物料!$K$4:$K$1203,对接源_02物料!$C$4:$C$1203,$B73,对接源_02物料!$D$4:$D$1203,"次果筐*",对接源_02物料!$L$4:$L$1203,"已付款"),2))</f>
      </c>
      <c r="J73" s="177">
        <f>IF($B73="","",ROUND(N($H73)-N($I73),2))</f>
      </c>
      <c r="K73" s="16">
        <f>IF($B73="","",IF(ROUND(N($J73),2)&gt;0,"对方欠款",IF(ROUND(N($J73),2)&lt;0,"我方欠款","已两清")))</f>
      </c>
      <c r="L73" s="26" t="n"/>
    </row>
    <row r="74" s="127">
      <c r="A74" s="16">
        <f>IF($B74="","",ROW()-3)</f>
      </c>
      <c r="B74" s="11">
        <f>IFERROR(INDEX(_自动清单!$E$4:$E$303,ROW()-3),"")</f>
      </c>
      <c r="C74" s="177">
        <f>IF($B74="","",ROUND(SUMIFS(对接源_01水果!$K$4:$K$1203,对接源_01水果!$C$4:$C$1203,$B74,对接源_01水果!$D$4:$D$1203,"成品出库*"),2))</f>
      </c>
      <c r="D74" s="177">
        <f>IF($B74="","",ROUND(SUMIFS(对接源_01水果!$K$4:$K$1203,对接源_01水果!$C$4:$C$1203,$B74,对接源_01水果!$D$4:$D$1203,"其他代存*"),2))</f>
      </c>
      <c r="E74" s="177">
        <f>IF($B74="","",ROUND(SUMIFS(对接源_02物料!$K$4:$K$1203,对接源_02物料!$C$4:$C$1203,$B74,对接源_02物料!$D$4:$D$1203,"包装物料*"),2))</f>
      </c>
      <c r="F74" s="177">
        <f>IF($B74="","",ROUND(SUMIFS(对接源_02物料!$K$4:$K$1203,对接源_02物料!$C$4:$C$1203,$B74,对接源_02物料!$D$4:$D$1203,"周转筐*"),2))</f>
      </c>
      <c r="G74" s="177">
        <f>IF($B74="","",ROUND(SUMIFS(对接源_02物料!$K$4:$K$1203,对接源_02物料!$C$4:$C$1203,$B74,对接源_02物料!$D$4:$D$1203,"次果筐*"),2))</f>
      </c>
      <c r="H74" s="177">
        <f>IF($B74="","",ROUND(SUM($C74:$G74),2))</f>
      </c>
      <c r="I74" s="177">
        <f>IF($B74="","",ROUND(SUMIFS(对接源_01水果!$K$4:$K$1203,对接源_01水果!$C$4:$C$1203,$B74,对接源_01水果!$D$4:$D$1203,"成品出库*",对接源_01水果!$L$4:$L$1203,"已收讫")+SUMIFS(对接源_01水果!$K$4:$K$1203,对接源_01水果!$C$4:$C$1203,$B74,对接源_01水果!$D$4:$D$1203,"成品出库*",对接源_01水果!$L$4:$L$1203,"已付款")+SUMIFS(对接源_01水果!$K$4:$K$1203,对接源_01水果!$C$4:$C$1203,$B74,对接源_01水果!$D$4:$D$1203,"其他代存*",对接源_01水果!$L$4:$L$1203,"已收讫")+SUMIFS(对接源_01水果!$K$4:$K$1203,对接源_01水果!$C$4:$C$1203,$B74,对接源_01水果!$D$4:$D$1203,"其他代存*",对接源_01水果!$L$4:$L$1203,"已付款")+SUMIFS(对接源_02物料!$K$4:$K$1203,对接源_02物料!$C$4:$C$1203,$B74,对接源_02物料!$D$4:$D$1203,"包装物料*",对接源_02物料!$L$4:$L$1203,"已收讫")+SUMIFS(对接源_02物料!$K$4:$K$1203,对接源_02物料!$C$4:$C$1203,$B74,对接源_02物料!$D$4:$D$1203,"包装物料*",对接源_02物料!$L$4:$L$1203,"已付款")+SUMIFS(对接源_02物料!$K$4:$K$1203,对接源_02物料!$C$4:$C$1203,$B74,对接源_02物料!$D$4:$D$1203,"周转筐*",对接源_02物料!$L$4:$L$1203,"已收讫")+SUMIFS(对接源_02物料!$K$4:$K$1203,对接源_02物料!$C$4:$C$1203,$B74,对接源_02物料!$D$4:$D$1203,"周转筐*",对接源_02物料!$L$4:$L$1203,"已付款")+SUMIFS(对接源_02物料!$K$4:$K$1203,对接源_02物料!$C$4:$C$1203,$B74,对接源_02物料!$D$4:$D$1203,"次果筐*",对接源_02物料!$L$4:$L$1203,"已收讫")+SUMIFS(对接源_02物料!$K$4:$K$1203,对接源_02物料!$C$4:$C$1203,$B74,对接源_02物料!$D$4:$D$1203,"次果筐*",对接源_02物料!$L$4:$L$1203,"已付款"),2))</f>
      </c>
      <c r="J74" s="177">
        <f>IF($B74="","",ROUND(N($H74)-N($I74),2))</f>
      </c>
      <c r="K74" s="16">
        <f>IF($B74="","",IF(ROUND(N($J74),2)&gt;0,"对方欠款",IF(ROUND(N($J74),2)&lt;0,"我方欠款","已两清")))</f>
      </c>
      <c r="L74" s="26" t="n"/>
    </row>
    <row r="75" s="127">
      <c r="A75" s="16">
        <f>IF($B75="","",ROW()-3)</f>
      </c>
      <c r="B75" s="11">
        <f>IFERROR(INDEX(_自动清单!$E$4:$E$303,ROW()-3),"")</f>
      </c>
      <c r="C75" s="177">
        <f>IF($B75="","",ROUND(SUMIFS(对接源_01水果!$K$4:$K$1203,对接源_01水果!$C$4:$C$1203,$B75,对接源_01水果!$D$4:$D$1203,"成品出库*"),2))</f>
      </c>
      <c r="D75" s="177">
        <f>IF($B75="","",ROUND(SUMIFS(对接源_01水果!$K$4:$K$1203,对接源_01水果!$C$4:$C$1203,$B75,对接源_01水果!$D$4:$D$1203,"其他代存*"),2))</f>
      </c>
      <c r="E75" s="177">
        <f>IF($B75="","",ROUND(SUMIFS(对接源_02物料!$K$4:$K$1203,对接源_02物料!$C$4:$C$1203,$B75,对接源_02物料!$D$4:$D$1203,"包装物料*"),2))</f>
      </c>
      <c r="F75" s="177">
        <f>IF($B75="","",ROUND(SUMIFS(对接源_02物料!$K$4:$K$1203,对接源_02物料!$C$4:$C$1203,$B75,对接源_02物料!$D$4:$D$1203,"周转筐*"),2))</f>
      </c>
      <c r="G75" s="177">
        <f>IF($B75="","",ROUND(SUMIFS(对接源_02物料!$K$4:$K$1203,对接源_02物料!$C$4:$C$1203,$B75,对接源_02物料!$D$4:$D$1203,"次果筐*"),2))</f>
      </c>
      <c r="H75" s="177">
        <f>IF($B75="","",ROUND(SUM($C75:$G75),2))</f>
      </c>
      <c r="I75" s="177">
        <f>IF($B75="","",ROUND(SUMIFS(对接源_01水果!$K$4:$K$1203,对接源_01水果!$C$4:$C$1203,$B75,对接源_01水果!$D$4:$D$1203,"成品出库*",对接源_01水果!$L$4:$L$1203,"已收讫")+SUMIFS(对接源_01水果!$K$4:$K$1203,对接源_01水果!$C$4:$C$1203,$B75,对接源_01水果!$D$4:$D$1203,"成品出库*",对接源_01水果!$L$4:$L$1203,"已付款")+SUMIFS(对接源_01水果!$K$4:$K$1203,对接源_01水果!$C$4:$C$1203,$B75,对接源_01水果!$D$4:$D$1203,"其他代存*",对接源_01水果!$L$4:$L$1203,"已收讫")+SUMIFS(对接源_01水果!$K$4:$K$1203,对接源_01水果!$C$4:$C$1203,$B75,对接源_01水果!$D$4:$D$1203,"其他代存*",对接源_01水果!$L$4:$L$1203,"已付款")+SUMIFS(对接源_02物料!$K$4:$K$1203,对接源_02物料!$C$4:$C$1203,$B75,对接源_02物料!$D$4:$D$1203,"包装物料*",对接源_02物料!$L$4:$L$1203,"已收讫")+SUMIFS(对接源_02物料!$K$4:$K$1203,对接源_02物料!$C$4:$C$1203,$B75,对接源_02物料!$D$4:$D$1203,"包装物料*",对接源_02物料!$L$4:$L$1203,"已付款")+SUMIFS(对接源_02物料!$K$4:$K$1203,对接源_02物料!$C$4:$C$1203,$B75,对接源_02物料!$D$4:$D$1203,"周转筐*",对接源_02物料!$L$4:$L$1203,"已收讫")+SUMIFS(对接源_02物料!$K$4:$K$1203,对接源_02物料!$C$4:$C$1203,$B75,对接源_02物料!$D$4:$D$1203,"周转筐*",对接源_02物料!$L$4:$L$1203,"已付款")+SUMIFS(对接源_02物料!$K$4:$K$1203,对接源_02物料!$C$4:$C$1203,$B75,对接源_02物料!$D$4:$D$1203,"次果筐*",对接源_02物料!$L$4:$L$1203,"已收讫")+SUMIFS(对接源_02物料!$K$4:$K$1203,对接源_02物料!$C$4:$C$1203,$B75,对接源_02物料!$D$4:$D$1203,"次果筐*",对接源_02物料!$L$4:$L$1203,"已付款"),2))</f>
      </c>
      <c r="J75" s="177">
        <f>IF($B75="","",ROUND(N($H75)-N($I75),2))</f>
      </c>
      <c r="K75" s="16">
        <f>IF($B75="","",IF(ROUND(N($J75),2)&gt;0,"对方欠款",IF(ROUND(N($J75),2)&lt;0,"我方欠款","已两清")))</f>
      </c>
      <c r="L75" s="26" t="n"/>
    </row>
    <row r="76" s="127">
      <c r="A76" s="16">
        <f>IF($B76="","",ROW()-3)</f>
      </c>
      <c r="B76" s="11">
        <f>IFERROR(INDEX(_自动清单!$E$4:$E$303,ROW()-3),"")</f>
      </c>
      <c r="C76" s="177">
        <f>IF($B76="","",ROUND(SUMIFS(对接源_01水果!$K$4:$K$1203,对接源_01水果!$C$4:$C$1203,$B76,对接源_01水果!$D$4:$D$1203,"成品出库*"),2))</f>
      </c>
      <c r="D76" s="177">
        <f>IF($B76="","",ROUND(SUMIFS(对接源_01水果!$K$4:$K$1203,对接源_01水果!$C$4:$C$1203,$B76,对接源_01水果!$D$4:$D$1203,"其他代存*"),2))</f>
      </c>
      <c r="E76" s="177">
        <f>IF($B76="","",ROUND(SUMIFS(对接源_02物料!$K$4:$K$1203,对接源_02物料!$C$4:$C$1203,$B76,对接源_02物料!$D$4:$D$1203,"包装物料*"),2))</f>
      </c>
      <c r="F76" s="177">
        <f>IF($B76="","",ROUND(SUMIFS(对接源_02物料!$K$4:$K$1203,对接源_02物料!$C$4:$C$1203,$B76,对接源_02物料!$D$4:$D$1203,"周转筐*"),2))</f>
      </c>
      <c r="G76" s="177">
        <f>IF($B76="","",ROUND(SUMIFS(对接源_02物料!$K$4:$K$1203,对接源_02物料!$C$4:$C$1203,$B76,对接源_02物料!$D$4:$D$1203,"次果筐*"),2))</f>
      </c>
      <c r="H76" s="177">
        <f>IF($B76="","",ROUND(SUM($C76:$G76),2))</f>
      </c>
      <c r="I76" s="177">
        <f>IF($B76="","",ROUND(SUMIFS(对接源_01水果!$K$4:$K$1203,对接源_01水果!$C$4:$C$1203,$B76,对接源_01水果!$D$4:$D$1203,"成品出库*",对接源_01水果!$L$4:$L$1203,"已收讫")+SUMIFS(对接源_01水果!$K$4:$K$1203,对接源_01水果!$C$4:$C$1203,$B76,对接源_01水果!$D$4:$D$1203,"成品出库*",对接源_01水果!$L$4:$L$1203,"已付款")+SUMIFS(对接源_01水果!$K$4:$K$1203,对接源_01水果!$C$4:$C$1203,$B76,对接源_01水果!$D$4:$D$1203,"其他代存*",对接源_01水果!$L$4:$L$1203,"已收讫")+SUMIFS(对接源_01水果!$K$4:$K$1203,对接源_01水果!$C$4:$C$1203,$B76,对接源_01水果!$D$4:$D$1203,"其他代存*",对接源_01水果!$L$4:$L$1203,"已付款")+SUMIFS(对接源_02物料!$K$4:$K$1203,对接源_02物料!$C$4:$C$1203,$B76,对接源_02物料!$D$4:$D$1203,"包装物料*",对接源_02物料!$L$4:$L$1203,"已收讫")+SUMIFS(对接源_02物料!$K$4:$K$1203,对接源_02物料!$C$4:$C$1203,$B76,对接源_02物料!$D$4:$D$1203,"包装物料*",对接源_02物料!$L$4:$L$1203,"已付款")+SUMIFS(对接源_02物料!$K$4:$K$1203,对接源_02物料!$C$4:$C$1203,$B76,对接源_02物料!$D$4:$D$1203,"周转筐*",对接源_02物料!$L$4:$L$1203,"已收讫")+SUMIFS(对接源_02物料!$K$4:$K$1203,对接源_02物料!$C$4:$C$1203,$B76,对接源_02物料!$D$4:$D$1203,"周转筐*",对接源_02物料!$L$4:$L$1203,"已付款")+SUMIFS(对接源_02物料!$K$4:$K$1203,对接源_02物料!$C$4:$C$1203,$B76,对接源_02物料!$D$4:$D$1203,"次果筐*",对接源_02物料!$L$4:$L$1203,"已收讫")+SUMIFS(对接源_02物料!$K$4:$K$1203,对接源_02物料!$C$4:$C$1203,$B76,对接源_02物料!$D$4:$D$1203,"次果筐*",对接源_02物料!$L$4:$L$1203,"已付款"),2))</f>
      </c>
      <c r="J76" s="177">
        <f>IF($B76="","",ROUND(N($H76)-N($I76),2))</f>
      </c>
      <c r="K76" s="16">
        <f>IF($B76="","",IF(ROUND(N($J76),2)&gt;0,"对方欠款",IF(ROUND(N($J76),2)&lt;0,"我方欠款","已两清")))</f>
      </c>
      <c r="L76" s="26" t="n"/>
    </row>
    <row r="77" s="127">
      <c r="A77" s="16">
        <f>IF($B77="","",ROW()-3)</f>
      </c>
      <c r="B77" s="11">
        <f>IFERROR(INDEX(_自动清单!$E$4:$E$303,ROW()-3),"")</f>
      </c>
      <c r="C77" s="177">
        <f>IF($B77="","",ROUND(SUMIFS(对接源_01水果!$K$4:$K$1203,对接源_01水果!$C$4:$C$1203,$B77,对接源_01水果!$D$4:$D$1203,"成品出库*"),2))</f>
      </c>
      <c r="D77" s="177">
        <f>IF($B77="","",ROUND(SUMIFS(对接源_01水果!$K$4:$K$1203,对接源_01水果!$C$4:$C$1203,$B77,对接源_01水果!$D$4:$D$1203,"其他代存*"),2))</f>
      </c>
      <c r="E77" s="177">
        <f>IF($B77="","",ROUND(SUMIFS(对接源_02物料!$K$4:$K$1203,对接源_02物料!$C$4:$C$1203,$B77,对接源_02物料!$D$4:$D$1203,"包装物料*"),2))</f>
      </c>
      <c r="F77" s="177">
        <f>IF($B77="","",ROUND(SUMIFS(对接源_02物料!$K$4:$K$1203,对接源_02物料!$C$4:$C$1203,$B77,对接源_02物料!$D$4:$D$1203,"周转筐*"),2))</f>
      </c>
      <c r="G77" s="177">
        <f>IF($B77="","",ROUND(SUMIFS(对接源_02物料!$K$4:$K$1203,对接源_02物料!$C$4:$C$1203,$B77,对接源_02物料!$D$4:$D$1203,"次果筐*"),2))</f>
      </c>
      <c r="H77" s="177">
        <f>IF($B77="","",ROUND(SUM($C77:$G77),2))</f>
      </c>
      <c r="I77" s="177">
        <f>IF($B77="","",ROUND(SUMIFS(对接源_01水果!$K$4:$K$1203,对接源_01水果!$C$4:$C$1203,$B77,对接源_01水果!$D$4:$D$1203,"成品出库*",对接源_01水果!$L$4:$L$1203,"已收讫")+SUMIFS(对接源_01水果!$K$4:$K$1203,对接源_01水果!$C$4:$C$1203,$B77,对接源_01水果!$D$4:$D$1203,"成品出库*",对接源_01水果!$L$4:$L$1203,"已付款")+SUMIFS(对接源_01水果!$K$4:$K$1203,对接源_01水果!$C$4:$C$1203,$B77,对接源_01水果!$D$4:$D$1203,"其他代存*",对接源_01水果!$L$4:$L$1203,"已收讫")+SUMIFS(对接源_01水果!$K$4:$K$1203,对接源_01水果!$C$4:$C$1203,$B77,对接源_01水果!$D$4:$D$1203,"其他代存*",对接源_01水果!$L$4:$L$1203,"已付款")+SUMIFS(对接源_02物料!$K$4:$K$1203,对接源_02物料!$C$4:$C$1203,$B77,对接源_02物料!$D$4:$D$1203,"包装物料*",对接源_02物料!$L$4:$L$1203,"已收讫")+SUMIFS(对接源_02物料!$K$4:$K$1203,对接源_02物料!$C$4:$C$1203,$B77,对接源_02物料!$D$4:$D$1203,"包装物料*",对接源_02物料!$L$4:$L$1203,"已付款")+SUMIFS(对接源_02物料!$K$4:$K$1203,对接源_02物料!$C$4:$C$1203,$B77,对接源_02物料!$D$4:$D$1203,"周转筐*",对接源_02物料!$L$4:$L$1203,"已收讫")+SUMIFS(对接源_02物料!$K$4:$K$1203,对接源_02物料!$C$4:$C$1203,$B77,对接源_02物料!$D$4:$D$1203,"周转筐*",对接源_02物料!$L$4:$L$1203,"已付款")+SUMIFS(对接源_02物料!$K$4:$K$1203,对接源_02物料!$C$4:$C$1203,$B77,对接源_02物料!$D$4:$D$1203,"次果筐*",对接源_02物料!$L$4:$L$1203,"已收讫")+SUMIFS(对接源_02物料!$K$4:$K$1203,对接源_02物料!$C$4:$C$1203,$B77,对接源_02物料!$D$4:$D$1203,"次果筐*",对接源_02物料!$L$4:$L$1203,"已付款"),2))</f>
      </c>
      <c r="J77" s="177">
        <f>IF($B77="","",ROUND(N($H77)-N($I77),2))</f>
      </c>
      <c r="K77" s="16">
        <f>IF($B77="","",IF(ROUND(N($J77),2)&gt;0,"对方欠款",IF(ROUND(N($J77),2)&lt;0,"我方欠款","已两清")))</f>
      </c>
      <c r="L77" s="26" t="n"/>
    </row>
    <row r="78" s="127">
      <c r="A78" s="16">
        <f>IF($B78="","",ROW()-3)</f>
      </c>
      <c r="B78" s="11">
        <f>IFERROR(INDEX(_自动清单!$E$4:$E$303,ROW()-3),"")</f>
      </c>
      <c r="C78" s="177">
        <f>IF($B78="","",ROUND(SUMIFS(对接源_01水果!$K$4:$K$1203,对接源_01水果!$C$4:$C$1203,$B78,对接源_01水果!$D$4:$D$1203,"成品出库*"),2))</f>
      </c>
      <c r="D78" s="177">
        <f>IF($B78="","",ROUND(SUMIFS(对接源_01水果!$K$4:$K$1203,对接源_01水果!$C$4:$C$1203,$B78,对接源_01水果!$D$4:$D$1203,"其他代存*"),2))</f>
      </c>
      <c r="E78" s="177">
        <f>IF($B78="","",ROUND(SUMIFS(对接源_02物料!$K$4:$K$1203,对接源_02物料!$C$4:$C$1203,$B78,对接源_02物料!$D$4:$D$1203,"包装物料*"),2))</f>
      </c>
      <c r="F78" s="177">
        <f>IF($B78="","",ROUND(SUMIFS(对接源_02物料!$K$4:$K$1203,对接源_02物料!$C$4:$C$1203,$B78,对接源_02物料!$D$4:$D$1203,"周转筐*"),2))</f>
      </c>
      <c r="G78" s="177">
        <f>IF($B78="","",ROUND(SUMIFS(对接源_02物料!$K$4:$K$1203,对接源_02物料!$C$4:$C$1203,$B78,对接源_02物料!$D$4:$D$1203,"次果筐*"),2))</f>
      </c>
      <c r="H78" s="177">
        <f>IF($B78="","",ROUND(SUM($C78:$G78),2))</f>
      </c>
      <c r="I78" s="177">
        <f>IF($B78="","",ROUND(SUMIFS(对接源_01水果!$K$4:$K$1203,对接源_01水果!$C$4:$C$1203,$B78,对接源_01水果!$D$4:$D$1203,"成品出库*",对接源_01水果!$L$4:$L$1203,"已收讫")+SUMIFS(对接源_01水果!$K$4:$K$1203,对接源_01水果!$C$4:$C$1203,$B78,对接源_01水果!$D$4:$D$1203,"成品出库*",对接源_01水果!$L$4:$L$1203,"已付款")+SUMIFS(对接源_01水果!$K$4:$K$1203,对接源_01水果!$C$4:$C$1203,$B78,对接源_01水果!$D$4:$D$1203,"其他代存*",对接源_01水果!$L$4:$L$1203,"已收讫")+SUMIFS(对接源_01水果!$K$4:$K$1203,对接源_01水果!$C$4:$C$1203,$B78,对接源_01水果!$D$4:$D$1203,"其他代存*",对接源_01水果!$L$4:$L$1203,"已付款")+SUMIFS(对接源_02物料!$K$4:$K$1203,对接源_02物料!$C$4:$C$1203,$B78,对接源_02物料!$D$4:$D$1203,"包装物料*",对接源_02物料!$L$4:$L$1203,"已收讫")+SUMIFS(对接源_02物料!$K$4:$K$1203,对接源_02物料!$C$4:$C$1203,$B78,对接源_02物料!$D$4:$D$1203,"包装物料*",对接源_02物料!$L$4:$L$1203,"已付款")+SUMIFS(对接源_02物料!$K$4:$K$1203,对接源_02物料!$C$4:$C$1203,$B78,对接源_02物料!$D$4:$D$1203,"周转筐*",对接源_02物料!$L$4:$L$1203,"已收讫")+SUMIFS(对接源_02物料!$K$4:$K$1203,对接源_02物料!$C$4:$C$1203,$B78,对接源_02物料!$D$4:$D$1203,"周转筐*",对接源_02物料!$L$4:$L$1203,"已付款")+SUMIFS(对接源_02物料!$K$4:$K$1203,对接源_02物料!$C$4:$C$1203,$B78,对接源_02物料!$D$4:$D$1203,"次果筐*",对接源_02物料!$L$4:$L$1203,"已收讫")+SUMIFS(对接源_02物料!$K$4:$K$1203,对接源_02物料!$C$4:$C$1203,$B78,对接源_02物料!$D$4:$D$1203,"次果筐*",对接源_02物料!$L$4:$L$1203,"已付款"),2))</f>
      </c>
      <c r="J78" s="177">
        <f>IF($B78="","",ROUND(N($H78)-N($I78),2))</f>
      </c>
      <c r="K78" s="16">
        <f>IF($B78="","",IF(ROUND(N($J78),2)&gt;0,"对方欠款",IF(ROUND(N($J78),2)&lt;0,"我方欠款","已两清")))</f>
      </c>
      <c r="L78" s="26" t="n"/>
    </row>
    <row r="79" s="127">
      <c r="A79" s="16">
        <f>IF($B79="","",ROW()-3)</f>
      </c>
      <c r="B79" s="11">
        <f>IFERROR(INDEX(_自动清单!$E$4:$E$303,ROW()-3),"")</f>
      </c>
      <c r="C79" s="177">
        <f>IF($B79="","",ROUND(SUMIFS(对接源_01水果!$K$4:$K$1203,对接源_01水果!$C$4:$C$1203,$B79,对接源_01水果!$D$4:$D$1203,"成品出库*"),2))</f>
      </c>
      <c r="D79" s="177">
        <f>IF($B79="","",ROUND(SUMIFS(对接源_01水果!$K$4:$K$1203,对接源_01水果!$C$4:$C$1203,$B79,对接源_01水果!$D$4:$D$1203,"其他代存*"),2))</f>
      </c>
      <c r="E79" s="177">
        <f>IF($B79="","",ROUND(SUMIFS(对接源_02物料!$K$4:$K$1203,对接源_02物料!$C$4:$C$1203,$B79,对接源_02物料!$D$4:$D$1203,"包装物料*"),2))</f>
      </c>
      <c r="F79" s="177">
        <f>IF($B79="","",ROUND(SUMIFS(对接源_02物料!$K$4:$K$1203,对接源_02物料!$C$4:$C$1203,$B79,对接源_02物料!$D$4:$D$1203,"周转筐*"),2))</f>
      </c>
      <c r="G79" s="177">
        <f>IF($B79="","",ROUND(SUMIFS(对接源_02物料!$K$4:$K$1203,对接源_02物料!$C$4:$C$1203,$B79,对接源_02物料!$D$4:$D$1203,"次果筐*"),2))</f>
      </c>
      <c r="H79" s="177">
        <f>IF($B79="","",ROUND(SUM($C79:$G79),2))</f>
      </c>
      <c r="I79" s="177">
        <f>IF($B79="","",ROUND(SUMIFS(对接源_01水果!$K$4:$K$1203,对接源_01水果!$C$4:$C$1203,$B79,对接源_01水果!$D$4:$D$1203,"成品出库*",对接源_01水果!$L$4:$L$1203,"已收讫")+SUMIFS(对接源_01水果!$K$4:$K$1203,对接源_01水果!$C$4:$C$1203,$B79,对接源_01水果!$D$4:$D$1203,"成品出库*",对接源_01水果!$L$4:$L$1203,"已付款")+SUMIFS(对接源_01水果!$K$4:$K$1203,对接源_01水果!$C$4:$C$1203,$B79,对接源_01水果!$D$4:$D$1203,"其他代存*",对接源_01水果!$L$4:$L$1203,"已收讫")+SUMIFS(对接源_01水果!$K$4:$K$1203,对接源_01水果!$C$4:$C$1203,$B79,对接源_01水果!$D$4:$D$1203,"其他代存*",对接源_01水果!$L$4:$L$1203,"已付款")+SUMIFS(对接源_02物料!$K$4:$K$1203,对接源_02物料!$C$4:$C$1203,$B79,对接源_02物料!$D$4:$D$1203,"包装物料*",对接源_02物料!$L$4:$L$1203,"已收讫")+SUMIFS(对接源_02物料!$K$4:$K$1203,对接源_02物料!$C$4:$C$1203,$B79,对接源_02物料!$D$4:$D$1203,"包装物料*",对接源_02物料!$L$4:$L$1203,"已付款")+SUMIFS(对接源_02物料!$K$4:$K$1203,对接源_02物料!$C$4:$C$1203,$B79,对接源_02物料!$D$4:$D$1203,"周转筐*",对接源_02物料!$L$4:$L$1203,"已收讫")+SUMIFS(对接源_02物料!$K$4:$K$1203,对接源_02物料!$C$4:$C$1203,$B79,对接源_02物料!$D$4:$D$1203,"周转筐*",对接源_02物料!$L$4:$L$1203,"已付款")+SUMIFS(对接源_02物料!$K$4:$K$1203,对接源_02物料!$C$4:$C$1203,$B79,对接源_02物料!$D$4:$D$1203,"次果筐*",对接源_02物料!$L$4:$L$1203,"已收讫")+SUMIFS(对接源_02物料!$K$4:$K$1203,对接源_02物料!$C$4:$C$1203,$B79,对接源_02物料!$D$4:$D$1203,"次果筐*",对接源_02物料!$L$4:$L$1203,"已付款"),2))</f>
      </c>
      <c r="J79" s="177">
        <f>IF($B79="","",ROUND(N($H79)-N($I79),2))</f>
      </c>
      <c r="K79" s="16">
        <f>IF($B79="","",IF(ROUND(N($J79),2)&gt;0,"对方欠款",IF(ROUND(N($J79),2)&lt;0,"我方欠款","已两清")))</f>
      </c>
      <c r="L79" s="26" t="n"/>
    </row>
    <row r="80" s="127">
      <c r="A80" s="16">
        <f>IF($B80="","",ROW()-3)</f>
      </c>
      <c r="B80" s="11">
        <f>IFERROR(INDEX(_自动清单!$E$4:$E$303,ROW()-3),"")</f>
      </c>
      <c r="C80" s="177">
        <f>IF($B80="","",ROUND(SUMIFS(对接源_01水果!$K$4:$K$1203,对接源_01水果!$C$4:$C$1203,$B80,对接源_01水果!$D$4:$D$1203,"成品出库*"),2))</f>
      </c>
      <c r="D80" s="177">
        <f>IF($B80="","",ROUND(SUMIFS(对接源_01水果!$K$4:$K$1203,对接源_01水果!$C$4:$C$1203,$B80,对接源_01水果!$D$4:$D$1203,"其他代存*"),2))</f>
      </c>
      <c r="E80" s="177">
        <f>IF($B80="","",ROUND(SUMIFS(对接源_02物料!$K$4:$K$1203,对接源_02物料!$C$4:$C$1203,$B80,对接源_02物料!$D$4:$D$1203,"包装物料*"),2))</f>
      </c>
      <c r="F80" s="177">
        <f>IF($B80="","",ROUND(SUMIFS(对接源_02物料!$K$4:$K$1203,对接源_02物料!$C$4:$C$1203,$B80,对接源_02物料!$D$4:$D$1203,"周转筐*"),2))</f>
      </c>
      <c r="G80" s="177">
        <f>IF($B80="","",ROUND(SUMIFS(对接源_02物料!$K$4:$K$1203,对接源_02物料!$C$4:$C$1203,$B80,对接源_02物料!$D$4:$D$1203,"次果筐*"),2))</f>
      </c>
      <c r="H80" s="177">
        <f>IF($B80="","",ROUND(SUM($C80:$G80),2))</f>
      </c>
      <c r="I80" s="177">
        <f>IF($B80="","",ROUND(SUMIFS(对接源_01水果!$K$4:$K$1203,对接源_01水果!$C$4:$C$1203,$B80,对接源_01水果!$D$4:$D$1203,"成品出库*",对接源_01水果!$L$4:$L$1203,"已收讫")+SUMIFS(对接源_01水果!$K$4:$K$1203,对接源_01水果!$C$4:$C$1203,$B80,对接源_01水果!$D$4:$D$1203,"成品出库*",对接源_01水果!$L$4:$L$1203,"已付款")+SUMIFS(对接源_01水果!$K$4:$K$1203,对接源_01水果!$C$4:$C$1203,$B80,对接源_01水果!$D$4:$D$1203,"其他代存*",对接源_01水果!$L$4:$L$1203,"已收讫")+SUMIFS(对接源_01水果!$K$4:$K$1203,对接源_01水果!$C$4:$C$1203,$B80,对接源_01水果!$D$4:$D$1203,"其他代存*",对接源_01水果!$L$4:$L$1203,"已付款")+SUMIFS(对接源_02物料!$K$4:$K$1203,对接源_02物料!$C$4:$C$1203,$B80,对接源_02物料!$D$4:$D$1203,"包装物料*",对接源_02物料!$L$4:$L$1203,"已收讫")+SUMIFS(对接源_02物料!$K$4:$K$1203,对接源_02物料!$C$4:$C$1203,$B80,对接源_02物料!$D$4:$D$1203,"包装物料*",对接源_02物料!$L$4:$L$1203,"已付款")+SUMIFS(对接源_02物料!$K$4:$K$1203,对接源_02物料!$C$4:$C$1203,$B80,对接源_02物料!$D$4:$D$1203,"周转筐*",对接源_02物料!$L$4:$L$1203,"已收讫")+SUMIFS(对接源_02物料!$K$4:$K$1203,对接源_02物料!$C$4:$C$1203,$B80,对接源_02物料!$D$4:$D$1203,"周转筐*",对接源_02物料!$L$4:$L$1203,"已付款")+SUMIFS(对接源_02物料!$K$4:$K$1203,对接源_02物料!$C$4:$C$1203,$B80,对接源_02物料!$D$4:$D$1203,"次果筐*",对接源_02物料!$L$4:$L$1203,"已收讫")+SUMIFS(对接源_02物料!$K$4:$K$1203,对接源_02物料!$C$4:$C$1203,$B80,对接源_02物料!$D$4:$D$1203,"次果筐*",对接源_02物料!$L$4:$L$1203,"已付款"),2))</f>
      </c>
      <c r="J80" s="177">
        <f>IF($B80="","",ROUND(N($H80)-N($I80),2))</f>
      </c>
      <c r="K80" s="16">
        <f>IF($B80="","",IF(ROUND(N($J80),2)&gt;0,"对方欠款",IF(ROUND(N($J80),2)&lt;0,"我方欠款","已两清")))</f>
      </c>
      <c r="L80" s="26" t="n"/>
    </row>
    <row r="81" s="127">
      <c r="A81" s="16">
        <f>IF($B81="","",ROW()-3)</f>
      </c>
      <c r="B81" s="11">
        <f>IFERROR(INDEX(_自动清单!$E$4:$E$303,ROW()-3),"")</f>
      </c>
      <c r="C81" s="177">
        <f>IF($B81="","",ROUND(SUMIFS(对接源_01水果!$K$4:$K$1203,对接源_01水果!$C$4:$C$1203,$B81,对接源_01水果!$D$4:$D$1203,"成品出库*"),2))</f>
      </c>
      <c r="D81" s="177">
        <f>IF($B81="","",ROUND(SUMIFS(对接源_01水果!$K$4:$K$1203,对接源_01水果!$C$4:$C$1203,$B81,对接源_01水果!$D$4:$D$1203,"其他代存*"),2))</f>
      </c>
      <c r="E81" s="177">
        <f>IF($B81="","",ROUND(SUMIFS(对接源_02物料!$K$4:$K$1203,对接源_02物料!$C$4:$C$1203,$B81,对接源_02物料!$D$4:$D$1203,"包装物料*"),2))</f>
      </c>
      <c r="F81" s="177">
        <f>IF($B81="","",ROUND(SUMIFS(对接源_02物料!$K$4:$K$1203,对接源_02物料!$C$4:$C$1203,$B81,对接源_02物料!$D$4:$D$1203,"周转筐*"),2))</f>
      </c>
      <c r="G81" s="177">
        <f>IF($B81="","",ROUND(SUMIFS(对接源_02物料!$K$4:$K$1203,对接源_02物料!$C$4:$C$1203,$B81,对接源_02物料!$D$4:$D$1203,"次果筐*"),2))</f>
      </c>
      <c r="H81" s="177">
        <f>IF($B81="","",ROUND(SUM($C81:$G81),2))</f>
      </c>
      <c r="I81" s="177">
        <f>IF($B81="","",ROUND(SUMIFS(对接源_01水果!$K$4:$K$1203,对接源_01水果!$C$4:$C$1203,$B81,对接源_01水果!$D$4:$D$1203,"成品出库*",对接源_01水果!$L$4:$L$1203,"已收讫")+SUMIFS(对接源_01水果!$K$4:$K$1203,对接源_01水果!$C$4:$C$1203,$B81,对接源_01水果!$D$4:$D$1203,"成品出库*",对接源_01水果!$L$4:$L$1203,"已付款")+SUMIFS(对接源_01水果!$K$4:$K$1203,对接源_01水果!$C$4:$C$1203,$B81,对接源_01水果!$D$4:$D$1203,"其他代存*",对接源_01水果!$L$4:$L$1203,"已收讫")+SUMIFS(对接源_01水果!$K$4:$K$1203,对接源_01水果!$C$4:$C$1203,$B81,对接源_01水果!$D$4:$D$1203,"其他代存*",对接源_01水果!$L$4:$L$1203,"已付款")+SUMIFS(对接源_02物料!$K$4:$K$1203,对接源_02物料!$C$4:$C$1203,$B81,对接源_02物料!$D$4:$D$1203,"包装物料*",对接源_02物料!$L$4:$L$1203,"已收讫")+SUMIFS(对接源_02物料!$K$4:$K$1203,对接源_02物料!$C$4:$C$1203,$B81,对接源_02物料!$D$4:$D$1203,"包装物料*",对接源_02物料!$L$4:$L$1203,"已付款")+SUMIFS(对接源_02物料!$K$4:$K$1203,对接源_02物料!$C$4:$C$1203,$B81,对接源_02物料!$D$4:$D$1203,"周转筐*",对接源_02物料!$L$4:$L$1203,"已收讫")+SUMIFS(对接源_02物料!$K$4:$K$1203,对接源_02物料!$C$4:$C$1203,$B81,对接源_02物料!$D$4:$D$1203,"周转筐*",对接源_02物料!$L$4:$L$1203,"已付款")+SUMIFS(对接源_02物料!$K$4:$K$1203,对接源_02物料!$C$4:$C$1203,$B81,对接源_02物料!$D$4:$D$1203,"次果筐*",对接源_02物料!$L$4:$L$1203,"已收讫")+SUMIFS(对接源_02物料!$K$4:$K$1203,对接源_02物料!$C$4:$C$1203,$B81,对接源_02物料!$D$4:$D$1203,"次果筐*",对接源_02物料!$L$4:$L$1203,"已付款"),2))</f>
      </c>
      <c r="J81" s="177">
        <f>IF($B81="","",ROUND(N($H81)-N($I81),2))</f>
      </c>
      <c r="K81" s="16">
        <f>IF($B81="","",IF(ROUND(N($J81),2)&gt;0,"对方欠款",IF(ROUND(N($J81),2)&lt;0,"我方欠款","已两清")))</f>
      </c>
      <c r="L81" s="26" t="n"/>
    </row>
    <row r="82" s="127">
      <c r="A82" s="16">
        <f>IF($B82="","",ROW()-3)</f>
      </c>
      <c r="B82" s="11">
        <f>IFERROR(INDEX(_自动清单!$E$4:$E$303,ROW()-3),"")</f>
      </c>
      <c r="C82" s="177">
        <f>IF($B82="","",ROUND(SUMIFS(对接源_01水果!$K$4:$K$1203,对接源_01水果!$C$4:$C$1203,$B82,对接源_01水果!$D$4:$D$1203,"成品出库*"),2))</f>
      </c>
      <c r="D82" s="177">
        <f>IF($B82="","",ROUND(SUMIFS(对接源_01水果!$K$4:$K$1203,对接源_01水果!$C$4:$C$1203,$B82,对接源_01水果!$D$4:$D$1203,"其他代存*"),2))</f>
      </c>
      <c r="E82" s="177">
        <f>IF($B82="","",ROUND(SUMIFS(对接源_02物料!$K$4:$K$1203,对接源_02物料!$C$4:$C$1203,$B82,对接源_02物料!$D$4:$D$1203,"包装物料*"),2))</f>
      </c>
      <c r="F82" s="177">
        <f>IF($B82="","",ROUND(SUMIFS(对接源_02物料!$K$4:$K$1203,对接源_02物料!$C$4:$C$1203,$B82,对接源_02物料!$D$4:$D$1203,"周转筐*"),2))</f>
      </c>
      <c r="G82" s="177">
        <f>IF($B82="","",ROUND(SUMIFS(对接源_02物料!$K$4:$K$1203,对接源_02物料!$C$4:$C$1203,$B82,对接源_02物料!$D$4:$D$1203,"次果筐*"),2))</f>
      </c>
      <c r="H82" s="177">
        <f>IF($B82="","",ROUND(SUM($C82:$G82),2))</f>
      </c>
      <c r="I82" s="177">
        <f>IF($B82="","",ROUND(SUMIFS(对接源_01水果!$K$4:$K$1203,对接源_01水果!$C$4:$C$1203,$B82,对接源_01水果!$D$4:$D$1203,"成品出库*",对接源_01水果!$L$4:$L$1203,"已收讫")+SUMIFS(对接源_01水果!$K$4:$K$1203,对接源_01水果!$C$4:$C$1203,$B82,对接源_01水果!$D$4:$D$1203,"成品出库*",对接源_01水果!$L$4:$L$1203,"已付款")+SUMIFS(对接源_01水果!$K$4:$K$1203,对接源_01水果!$C$4:$C$1203,$B82,对接源_01水果!$D$4:$D$1203,"其他代存*",对接源_01水果!$L$4:$L$1203,"已收讫")+SUMIFS(对接源_01水果!$K$4:$K$1203,对接源_01水果!$C$4:$C$1203,$B82,对接源_01水果!$D$4:$D$1203,"其他代存*",对接源_01水果!$L$4:$L$1203,"已付款")+SUMIFS(对接源_02物料!$K$4:$K$1203,对接源_02物料!$C$4:$C$1203,$B82,对接源_02物料!$D$4:$D$1203,"包装物料*",对接源_02物料!$L$4:$L$1203,"已收讫")+SUMIFS(对接源_02物料!$K$4:$K$1203,对接源_02物料!$C$4:$C$1203,$B82,对接源_02物料!$D$4:$D$1203,"包装物料*",对接源_02物料!$L$4:$L$1203,"已付款")+SUMIFS(对接源_02物料!$K$4:$K$1203,对接源_02物料!$C$4:$C$1203,$B82,对接源_02物料!$D$4:$D$1203,"周转筐*",对接源_02物料!$L$4:$L$1203,"已收讫")+SUMIFS(对接源_02物料!$K$4:$K$1203,对接源_02物料!$C$4:$C$1203,$B82,对接源_02物料!$D$4:$D$1203,"周转筐*",对接源_02物料!$L$4:$L$1203,"已付款")+SUMIFS(对接源_02物料!$K$4:$K$1203,对接源_02物料!$C$4:$C$1203,$B82,对接源_02物料!$D$4:$D$1203,"次果筐*",对接源_02物料!$L$4:$L$1203,"已收讫")+SUMIFS(对接源_02物料!$K$4:$K$1203,对接源_02物料!$C$4:$C$1203,$B82,对接源_02物料!$D$4:$D$1203,"次果筐*",对接源_02物料!$L$4:$L$1203,"已付款"),2))</f>
      </c>
      <c r="J82" s="177">
        <f>IF($B82="","",ROUND(N($H82)-N($I82),2))</f>
      </c>
      <c r="K82" s="16">
        <f>IF($B82="","",IF(ROUND(N($J82),2)&gt;0,"对方欠款",IF(ROUND(N($J82),2)&lt;0,"我方欠款","已两清")))</f>
      </c>
      <c r="L82" s="26" t="n"/>
    </row>
    <row r="83" s="127">
      <c r="A83" s="16">
        <f>IF($B83="","",ROW()-3)</f>
      </c>
      <c r="B83" s="11">
        <f>IFERROR(INDEX(_自动清单!$E$4:$E$303,ROW()-3),"")</f>
      </c>
      <c r="C83" s="177">
        <f>IF($B83="","",ROUND(SUMIFS(对接源_01水果!$K$4:$K$1203,对接源_01水果!$C$4:$C$1203,$B83,对接源_01水果!$D$4:$D$1203,"成品出库*"),2))</f>
      </c>
      <c r="D83" s="177">
        <f>IF($B83="","",ROUND(SUMIFS(对接源_01水果!$K$4:$K$1203,对接源_01水果!$C$4:$C$1203,$B83,对接源_01水果!$D$4:$D$1203,"其他代存*"),2))</f>
      </c>
      <c r="E83" s="177">
        <f>IF($B83="","",ROUND(SUMIFS(对接源_02物料!$K$4:$K$1203,对接源_02物料!$C$4:$C$1203,$B83,对接源_02物料!$D$4:$D$1203,"包装物料*"),2))</f>
      </c>
      <c r="F83" s="177">
        <f>IF($B83="","",ROUND(SUMIFS(对接源_02物料!$K$4:$K$1203,对接源_02物料!$C$4:$C$1203,$B83,对接源_02物料!$D$4:$D$1203,"周转筐*"),2))</f>
      </c>
      <c r="G83" s="177">
        <f>IF($B83="","",ROUND(SUMIFS(对接源_02物料!$K$4:$K$1203,对接源_02物料!$C$4:$C$1203,$B83,对接源_02物料!$D$4:$D$1203,"次果筐*"),2))</f>
      </c>
      <c r="H83" s="177">
        <f>IF($B83="","",ROUND(SUM($C83:$G83),2))</f>
      </c>
      <c r="I83" s="177">
        <f>IF($B83="","",ROUND(SUMIFS(对接源_01水果!$K$4:$K$1203,对接源_01水果!$C$4:$C$1203,$B83,对接源_01水果!$D$4:$D$1203,"成品出库*",对接源_01水果!$L$4:$L$1203,"已收讫")+SUMIFS(对接源_01水果!$K$4:$K$1203,对接源_01水果!$C$4:$C$1203,$B83,对接源_01水果!$D$4:$D$1203,"成品出库*",对接源_01水果!$L$4:$L$1203,"已付款")+SUMIFS(对接源_01水果!$K$4:$K$1203,对接源_01水果!$C$4:$C$1203,$B83,对接源_01水果!$D$4:$D$1203,"其他代存*",对接源_01水果!$L$4:$L$1203,"已收讫")+SUMIFS(对接源_01水果!$K$4:$K$1203,对接源_01水果!$C$4:$C$1203,$B83,对接源_01水果!$D$4:$D$1203,"其他代存*",对接源_01水果!$L$4:$L$1203,"已付款")+SUMIFS(对接源_02物料!$K$4:$K$1203,对接源_02物料!$C$4:$C$1203,$B83,对接源_02物料!$D$4:$D$1203,"包装物料*",对接源_02物料!$L$4:$L$1203,"已收讫")+SUMIFS(对接源_02物料!$K$4:$K$1203,对接源_02物料!$C$4:$C$1203,$B83,对接源_02物料!$D$4:$D$1203,"包装物料*",对接源_02物料!$L$4:$L$1203,"已付款")+SUMIFS(对接源_02物料!$K$4:$K$1203,对接源_02物料!$C$4:$C$1203,$B83,对接源_02物料!$D$4:$D$1203,"周转筐*",对接源_02物料!$L$4:$L$1203,"已收讫")+SUMIFS(对接源_02物料!$K$4:$K$1203,对接源_02物料!$C$4:$C$1203,$B83,对接源_02物料!$D$4:$D$1203,"周转筐*",对接源_02物料!$L$4:$L$1203,"已付款")+SUMIFS(对接源_02物料!$K$4:$K$1203,对接源_02物料!$C$4:$C$1203,$B83,对接源_02物料!$D$4:$D$1203,"次果筐*",对接源_02物料!$L$4:$L$1203,"已收讫")+SUMIFS(对接源_02物料!$K$4:$K$1203,对接源_02物料!$C$4:$C$1203,$B83,对接源_02物料!$D$4:$D$1203,"次果筐*",对接源_02物料!$L$4:$L$1203,"已付款"),2))</f>
      </c>
      <c r="J83" s="177">
        <f>IF($B83="","",ROUND(N($H83)-N($I83),2))</f>
      </c>
      <c r="K83" s="16">
        <f>IF($B83="","",IF(ROUND(N($J83),2)&gt;0,"对方欠款",IF(ROUND(N($J83),2)&lt;0,"我方欠款","已两清")))</f>
      </c>
      <c r="L83" s="26" t="n"/>
    </row>
    <row r="84" s="127">
      <c r="A84" s="16">
        <f>IF($B84="","",ROW()-3)</f>
      </c>
      <c r="B84" s="11">
        <f>IFERROR(INDEX(_自动清单!$E$4:$E$303,ROW()-3),"")</f>
      </c>
      <c r="C84" s="177">
        <f>IF($B84="","",ROUND(SUMIFS(对接源_01水果!$K$4:$K$1203,对接源_01水果!$C$4:$C$1203,$B84,对接源_01水果!$D$4:$D$1203,"成品出库*"),2))</f>
      </c>
      <c r="D84" s="177">
        <f>IF($B84="","",ROUND(SUMIFS(对接源_01水果!$K$4:$K$1203,对接源_01水果!$C$4:$C$1203,$B84,对接源_01水果!$D$4:$D$1203,"其他代存*"),2))</f>
      </c>
      <c r="E84" s="177">
        <f>IF($B84="","",ROUND(SUMIFS(对接源_02物料!$K$4:$K$1203,对接源_02物料!$C$4:$C$1203,$B84,对接源_02物料!$D$4:$D$1203,"包装物料*"),2))</f>
      </c>
      <c r="F84" s="177">
        <f>IF($B84="","",ROUND(SUMIFS(对接源_02物料!$K$4:$K$1203,对接源_02物料!$C$4:$C$1203,$B84,对接源_02物料!$D$4:$D$1203,"周转筐*"),2))</f>
      </c>
      <c r="G84" s="177">
        <f>IF($B84="","",ROUND(SUMIFS(对接源_02物料!$K$4:$K$1203,对接源_02物料!$C$4:$C$1203,$B84,对接源_02物料!$D$4:$D$1203,"次果筐*"),2))</f>
      </c>
      <c r="H84" s="177">
        <f>IF($B84="","",ROUND(SUM($C84:$G84),2))</f>
      </c>
      <c r="I84" s="177">
        <f>IF($B84="","",ROUND(SUMIFS(对接源_01水果!$K$4:$K$1203,对接源_01水果!$C$4:$C$1203,$B84,对接源_01水果!$D$4:$D$1203,"成品出库*",对接源_01水果!$L$4:$L$1203,"已收讫")+SUMIFS(对接源_01水果!$K$4:$K$1203,对接源_01水果!$C$4:$C$1203,$B84,对接源_01水果!$D$4:$D$1203,"成品出库*",对接源_01水果!$L$4:$L$1203,"已付款")+SUMIFS(对接源_01水果!$K$4:$K$1203,对接源_01水果!$C$4:$C$1203,$B84,对接源_01水果!$D$4:$D$1203,"其他代存*",对接源_01水果!$L$4:$L$1203,"已收讫")+SUMIFS(对接源_01水果!$K$4:$K$1203,对接源_01水果!$C$4:$C$1203,$B84,对接源_01水果!$D$4:$D$1203,"其他代存*",对接源_01水果!$L$4:$L$1203,"已付款")+SUMIFS(对接源_02物料!$K$4:$K$1203,对接源_02物料!$C$4:$C$1203,$B84,对接源_02物料!$D$4:$D$1203,"包装物料*",对接源_02物料!$L$4:$L$1203,"已收讫")+SUMIFS(对接源_02物料!$K$4:$K$1203,对接源_02物料!$C$4:$C$1203,$B84,对接源_02物料!$D$4:$D$1203,"包装物料*",对接源_02物料!$L$4:$L$1203,"已付款")+SUMIFS(对接源_02物料!$K$4:$K$1203,对接源_02物料!$C$4:$C$1203,$B84,对接源_02物料!$D$4:$D$1203,"周转筐*",对接源_02物料!$L$4:$L$1203,"已收讫")+SUMIFS(对接源_02物料!$K$4:$K$1203,对接源_02物料!$C$4:$C$1203,$B84,对接源_02物料!$D$4:$D$1203,"周转筐*",对接源_02物料!$L$4:$L$1203,"已付款")+SUMIFS(对接源_02物料!$K$4:$K$1203,对接源_02物料!$C$4:$C$1203,$B84,对接源_02物料!$D$4:$D$1203,"次果筐*",对接源_02物料!$L$4:$L$1203,"已收讫")+SUMIFS(对接源_02物料!$K$4:$K$1203,对接源_02物料!$C$4:$C$1203,$B84,对接源_02物料!$D$4:$D$1203,"次果筐*",对接源_02物料!$L$4:$L$1203,"已付款"),2))</f>
      </c>
      <c r="J84" s="177">
        <f>IF($B84="","",ROUND(N($H84)-N($I84),2))</f>
      </c>
      <c r="K84" s="16">
        <f>IF($B84="","",IF(ROUND(N($J84),2)&gt;0,"对方欠款",IF(ROUND(N($J84),2)&lt;0,"我方欠款","已两清")))</f>
      </c>
      <c r="L84" s="26" t="n"/>
    </row>
    <row r="85" s="127">
      <c r="A85" s="16">
        <f>IF($B85="","",ROW()-3)</f>
      </c>
      <c r="B85" s="11">
        <f>IFERROR(INDEX(_自动清单!$E$4:$E$303,ROW()-3),"")</f>
      </c>
      <c r="C85" s="177">
        <f>IF($B85="","",ROUND(SUMIFS(对接源_01水果!$K$4:$K$1203,对接源_01水果!$C$4:$C$1203,$B85,对接源_01水果!$D$4:$D$1203,"成品出库*"),2))</f>
      </c>
      <c r="D85" s="177">
        <f>IF($B85="","",ROUND(SUMIFS(对接源_01水果!$K$4:$K$1203,对接源_01水果!$C$4:$C$1203,$B85,对接源_01水果!$D$4:$D$1203,"其他代存*"),2))</f>
      </c>
      <c r="E85" s="177">
        <f>IF($B85="","",ROUND(SUMIFS(对接源_02物料!$K$4:$K$1203,对接源_02物料!$C$4:$C$1203,$B85,对接源_02物料!$D$4:$D$1203,"包装物料*"),2))</f>
      </c>
      <c r="F85" s="177">
        <f>IF($B85="","",ROUND(SUMIFS(对接源_02物料!$K$4:$K$1203,对接源_02物料!$C$4:$C$1203,$B85,对接源_02物料!$D$4:$D$1203,"周转筐*"),2))</f>
      </c>
      <c r="G85" s="177">
        <f>IF($B85="","",ROUND(SUMIFS(对接源_02物料!$K$4:$K$1203,对接源_02物料!$C$4:$C$1203,$B85,对接源_02物料!$D$4:$D$1203,"次果筐*"),2))</f>
      </c>
      <c r="H85" s="177">
        <f>IF($B85="","",ROUND(SUM($C85:$G85),2))</f>
      </c>
      <c r="I85" s="177">
        <f>IF($B85="","",ROUND(SUMIFS(对接源_01水果!$K$4:$K$1203,对接源_01水果!$C$4:$C$1203,$B85,对接源_01水果!$D$4:$D$1203,"成品出库*",对接源_01水果!$L$4:$L$1203,"已收讫")+SUMIFS(对接源_01水果!$K$4:$K$1203,对接源_01水果!$C$4:$C$1203,$B85,对接源_01水果!$D$4:$D$1203,"成品出库*",对接源_01水果!$L$4:$L$1203,"已付款")+SUMIFS(对接源_01水果!$K$4:$K$1203,对接源_01水果!$C$4:$C$1203,$B85,对接源_01水果!$D$4:$D$1203,"其他代存*",对接源_01水果!$L$4:$L$1203,"已收讫")+SUMIFS(对接源_01水果!$K$4:$K$1203,对接源_01水果!$C$4:$C$1203,$B85,对接源_01水果!$D$4:$D$1203,"其他代存*",对接源_01水果!$L$4:$L$1203,"已付款")+SUMIFS(对接源_02物料!$K$4:$K$1203,对接源_02物料!$C$4:$C$1203,$B85,对接源_02物料!$D$4:$D$1203,"包装物料*",对接源_02物料!$L$4:$L$1203,"已收讫")+SUMIFS(对接源_02物料!$K$4:$K$1203,对接源_02物料!$C$4:$C$1203,$B85,对接源_02物料!$D$4:$D$1203,"包装物料*",对接源_02物料!$L$4:$L$1203,"已付款")+SUMIFS(对接源_02物料!$K$4:$K$1203,对接源_02物料!$C$4:$C$1203,$B85,对接源_02物料!$D$4:$D$1203,"周转筐*",对接源_02物料!$L$4:$L$1203,"已收讫")+SUMIFS(对接源_02物料!$K$4:$K$1203,对接源_02物料!$C$4:$C$1203,$B85,对接源_02物料!$D$4:$D$1203,"周转筐*",对接源_02物料!$L$4:$L$1203,"已付款")+SUMIFS(对接源_02物料!$K$4:$K$1203,对接源_02物料!$C$4:$C$1203,$B85,对接源_02物料!$D$4:$D$1203,"次果筐*",对接源_02物料!$L$4:$L$1203,"已收讫")+SUMIFS(对接源_02物料!$K$4:$K$1203,对接源_02物料!$C$4:$C$1203,$B85,对接源_02物料!$D$4:$D$1203,"次果筐*",对接源_02物料!$L$4:$L$1203,"已付款"),2))</f>
      </c>
      <c r="J85" s="177">
        <f>IF($B85="","",ROUND(N($H85)-N($I85),2))</f>
      </c>
      <c r="K85" s="16">
        <f>IF($B85="","",IF(ROUND(N($J85),2)&gt;0,"对方欠款",IF(ROUND(N($J85),2)&lt;0,"我方欠款","已两清")))</f>
      </c>
      <c r="L85" s="26" t="n"/>
    </row>
    <row r="86" s="127">
      <c r="A86" s="16">
        <f>IF($B86="","",ROW()-3)</f>
      </c>
      <c r="B86" s="11">
        <f>IFERROR(INDEX(_自动清单!$E$4:$E$303,ROW()-3),"")</f>
      </c>
      <c r="C86" s="177">
        <f>IF($B86="","",ROUND(SUMIFS(对接源_01水果!$K$4:$K$1203,对接源_01水果!$C$4:$C$1203,$B86,对接源_01水果!$D$4:$D$1203,"成品出库*"),2))</f>
      </c>
      <c r="D86" s="177">
        <f>IF($B86="","",ROUND(SUMIFS(对接源_01水果!$K$4:$K$1203,对接源_01水果!$C$4:$C$1203,$B86,对接源_01水果!$D$4:$D$1203,"其他代存*"),2))</f>
      </c>
      <c r="E86" s="177">
        <f>IF($B86="","",ROUND(SUMIFS(对接源_02物料!$K$4:$K$1203,对接源_02物料!$C$4:$C$1203,$B86,对接源_02物料!$D$4:$D$1203,"包装物料*"),2))</f>
      </c>
      <c r="F86" s="177">
        <f>IF($B86="","",ROUND(SUMIFS(对接源_02物料!$K$4:$K$1203,对接源_02物料!$C$4:$C$1203,$B86,对接源_02物料!$D$4:$D$1203,"周转筐*"),2))</f>
      </c>
      <c r="G86" s="177">
        <f>IF($B86="","",ROUND(SUMIFS(对接源_02物料!$K$4:$K$1203,对接源_02物料!$C$4:$C$1203,$B86,对接源_02物料!$D$4:$D$1203,"次果筐*"),2))</f>
      </c>
      <c r="H86" s="177">
        <f>IF($B86="","",ROUND(SUM($C86:$G86),2))</f>
      </c>
      <c r="I86" s="177">
        <f>IF($B86="","",ROUND(SUMIFS(对接源_01水果!$K$4:$K$1203,对接源_01水果!$C$4:$C$1203,$B86,对接源_01水果!$D$4:$D$1203,"成品出库*",对接源_01水果!$L$4:$L$1203,"已收讫")+SUMIFS(对接源_01水果!$K$4:$K$1203,对接源_01水果!$C$4:$C$1203,$B86,对接源_01水果!$D$4:$D$1203,"成品出库*",对接源_01水果!$L$4:$L$1203,"已付款")+SUMIFS(对接源_01水果!$K$4:$K$1203,对接源_01水果!$C$4:$C$1203,$B86,对接源_01水果!$D$4:$D$1203,"其他代存*",对接源_01水果!$L$4:$L$1203,"已收讫")+SUMIFS(对接源_01水果!$K$4:$K$1203,对接源_01水果!$C$4:$C$1203,$B86,对接源_01水果!$D$4:$D$1203,"其他代存*",对接源_01水果!$L$4:$L$1203,"已付款")+SUMIFS(对接源_02物料!$K$4:$K$1203,对接源_02物料!$C$4:$C$1203,$B86,对接源_02物料!$D$4:$D$1203,"包装物料*",对接源_02物料!$L$4:$L$1203,"已收讫")+SUMIFS(对接源_02物料!$K$4:$K$1203,对接源_02物料!$C$4:$C$1203,$B86,对接源_02物料!$D$4:$D$1203,"包装物料*",对接源_02物料!$L$4:$L$1203,"已付款")+SUMIFS(对接源_02物料!$K$4:$K$1203,对接源_02物料!$C$4:$C$1203,$B86,对接源_02物料!$D$4:$D$1203,"周转筐*",对接源_02物料!$L$4:$L$1203,"已收讫")+SUMIFS(对接源_02物料!$K$4:$K$1203,对接源_02物料!$C$4:$C$1203,$B86,对接源_02物料!$D$4:$D$1203,"周转筐*",对接源_02物料!$L$4:$L$1203,"已付款")+SUMIFS(对接源_02物料!$K$4:$K$1203,对接源_02物料!$C$4:$C$1203,$B86,对接源_02物料!$D$4:$D$1203,"次果筐*",对接源_02物料!$L$4:$L$1203,"已收讫")+SUMIFS(对接源_02物料!$K$4:$K$1203,对接源_02物料!$C$4:$C$1203,$B86,对接源_02物料!$D$4:$D$1203,"次果筐*",对接源_02物料!$L$4:$L$1203,"已付款"),2))</f>
      </c>
      <c r="J86" s="177">
        <f>IF($B86="","",ROUND(N($H86)-N($I86),2))</f>
      </c>
      <c r="K86" s="16">
        <f>IF($B86="","",IF(ROUND(N($J86),2)&gt;0,"对方欠款",IF(ROUND(N($J86),2)&lt;0,"我方欠款","已两清")))</f>
      </c>
      <c r="L86" s="26" t="n"/>
    </row>
    <row r="87" s="127">
      <c r="A87" s="16">
        <f>IF($B87="","",ROW()-3)</f>
      </c>
      <c r="B87" s="11">
        <f>IFERROR(INDEX(_自动清单!$E$4:$E$303,ROW()-3),"")</f>
      </c>
      <c r="C87" s="177">
        <f>IF($B87="","",ROUND(SUMIFS(对接源_01水果!$K$4:$K$1203,对接源_01水果!$C$4:$C$1203,$B87,对接源_01水果!$D$4:$D$1203,"成品出库*"),2))</f>
      </c>
      <c r="D87" s="177">
        <f>IF($B87="","",ROUND(SUMIFS(对接源_01水果!$K$4:$K$1203,对接源_01水果!$C$4:$C$1203,$B87,对接源_01水果!$D$4:$D$1203,"其他代存*"),2))</f>
      </c>
      <c r="E87" s="177">
        <f>IF($B87="","",ROUND(SUMIFS(对接源_02物料!$K$4:$K$1203,对接源_02物料!$C$4:$C$1203,$B87,对接源_02物料!$D$4:$D$1203,"包装物料*"),2))</f>
      </c>
      <c r="F87" s="177">
        <f>IF($B87="","",ROUND(SUMIFS(对接源_02物料!$K$4:$K$1203,对接源_02物料!$C$4:$C$1203,$B87,对接源_02物料!$D$4:$D$1203,"周转筐*"),2))</f>
      </c>
      <c r="G87" s="177">
        <f>IF($B87="","",ROUND(SUMIFS(对接源_02物料!$K$4:$K$1203,对接源_02物料!$C$4:$C$1203,$B87,对接源_02物料!$D$4:$D$1203,"次果筐*"),2))</f>
      </c>
      <c r="H87" s="177">
        <f>IF($B87="","",ROUND(SUM($C87:$G87),2))</f>
      </c>
      <c r="I87" s="177">
        <f>IF($B87="","",ROUND(SUMIFS(对接源_01水果!$K$4:$K$1203,对接源_01水果!$C$4:$C$1203,$B87,对接源_01水果!$D$4:$D$1203,"成品出库*",对接源_01水果!$L$4:$L$1203,"已收讫")+SUMIFS(对接源_01水果!$K$4:$K$1203,对接源_01水果!$C$4:$C$1203,$B87,对接源_01水果!$D$4:$D$1203,"成品出库*",对接源_01水果!$L$4:$L$1203,"已付款")+SUMIFS(对接源_01水果!$K$4:$K$1203,对接源_01水果!$C$4:$C$1203,$B87,对接源_01水果!$D$4:$D$1203,"其他代存*",对接源_01水果!$L$4:$L$1203,"已收讫")+SUMIFS(对接源_01水果!$K$4:$K$1203,对接源_01水果!$C$4:$C$1203,$B87,对接源_01水果!$D$4:$D$1203,"其他代存*",对接源_01水果!$L$4:$L$1203,"已付款")+SUMIFS(对接源_02物料!$K$4:$K$1203,对接源_02物料!$C$4:$C$1203,$B87,对接源_02物料!$D$4:$D$1203,"包装物料*",对接源_02物料!$L$4:$L$1203,"已收讫")+SUMIFS(对接源_02物料!$K$4:$K$1203,对接源_02物料!$C$4:$C$1203,$B87,对接源_02物料!$D$4:$D$1203,"包装物料*",对接源_02物料!$L$4:$L$1203,"已付款")+SUMIFS(对接源_02物料!$K$4:$K$1203,对接源_02物料!$C$4:$C$1203,$B87,对接源_02物料!$D$4:$D$1203,"周转筐*",对接源_02物料!$L$4:$L$1203,"已收讫")+SUMIFS(对接源_02物料!$K$4:$K$1203,对接源_02物料!$C$4:$C$1203,$B87,对接源_02物料!$D$4:$D$1203,"周转筐*",对接源_02物料!$L$4:$L$1203,"已付款")+SUMIFS(对接源_02物料!$K$4:$K$1203,对接源_02物料!$C$4:$C$1203,$B87,对接源_02物料!$D$4:$D$1203,"次果筐*",对接源_02物料!$L$4:$L$1203,"已收讫")+SUMIFS(对接源_02物料!$K$4:$K$1203,对接源_02物料!$C$4:$C$1203,$B87,对接源_02物料!$D$4:$D$1203,"次果筐*",对接源_02物料!$L$4:$L$1203,"已付款"),2))</f>
      </c>
      <c r="J87" s="177">
        <f>IF($B87="","",ROUND(N($H87)-N($I87),2))</f>
      </c>
      <c r="K87" s="16">
        <f>IF($B87="","",IF(ROUND(N($J87),2)&gt;0,"对方欠款",IF(ROUND(N($J87),2)&lt;0,"我方欠款","已两清")))</f>
      </c>
      <c r="L87" s="26" t="n"/>
    </row>
    <row r="88" s="127">
      <c r="A88" s="16">
        <f>IF($B88="","",ROW()-3)</f>
      </c>
      <c r="B88" s="11">
        <f>IFERROR(INDEX(_自动清单!$E$4:$E$303,ROW()-3),"")</f>
      </c>
      <c r="C88" s="177">
        <f>IF($B88="","",ROUND(SUMIFS(对接源_01水果!$K$4:$K$1203,对接源_01水果!$C$4:$C$1203,$B88,对接源_01水果!$D$4:$D$1203,"成品出库*"),2))</f>
      </c>
      <c r="D88" s="177">
        <f>IF($B88="","",ROUND(SUMIFS(对接源_01水果!$K$4:$K$1203,对接源_01水果!$C$4:$C$1203,$B88,对接源_01水果!$D$4:$D$1203,"其他代存*"),2))</f>
      </c>
      <c r="E88" s="177">
        <f>IF($B88="","",ROUND(SUMIFS(对接源_02物料!$K$4:$K$1203,对接源_02物料!$C$4:$C$1203,$B88,对接源_02物料!$D$4:$D$1203,"包装物料*"),2))</f>
      </c>
      <c r="F88" s="177">
        <f>IF($B88="","",ROUND(SUMIFS(对接源_02物料!$K$4:$K$1203,对接源_02物料!$C$4:$C$1203,$B88,对接源_02物料!$D$4:$D$1203,"周转筐*"),2))</f>
      </c>
      <c r="G88" s="177">
        <f>IF($B88="","",ROUND(SUMIFS(对接源_02物料!$K$4:$K$1203,对接源_02物料!$C$4:$C$1203,$B88,对接源_02物料!$D$4:$D$1203,"次果筐*"),2))</f>
      </c>
      <c r="H88" s="177">
        <f>IF($B88="","",ROUND(SUM($C88:$G88),2))</f>
      </c>
      <c r="I88" s="177">
        <f>IF($B88="","",ROUND(SUMIFS(对接源_01水果!$K$4:$K$1203,对接源_01水果!$C$4:$C$1203,$B88,对接源_01水果!$D$4:$D$1203,"成品出库*",对接源_01水果!$L$4:$L$1203,"已收讫")+SUMIFS(对接源_01水果!$K$4:$K$1203,对接源_01水果!$C$4:$C$1203,$B88,对接源_01水果!$D$4:$D$1203,"成品出库*",对接源_01水果!$L$4:$L$1203,"已付款")+SUMIFS(对接源_01水果!$K$4:$K$1203,对接源_01水果!$C$4:$C$1203,$B88,对接源_01水果!$D$4:$D$1203,"其他代存*",对接源_01水果!$L$4:$L$1203,"已收讫")+SUMIFS(对接源_01水果!$K$4:$K$1203,对接源_01水果!$C$4:$C$1203,$B88,对接源_01水果!$D$4:$D$1203,"其他代存*",对接源_01水果!$L$4:$L$1203,"已付款")+SUMIFS(对接源_02物料!$K$4:$K$1203,对接源_02物料!$C$4:$C$1203,$B88,对接源_02物料!$D$4:$D$1203,"包装物料*",对接源_02物料!$L$4:$L$1203,"已收讫")+SUMIFS(对接源_02物料!$K$4:$K$1203,对接源_02物料!$C$4:$C$1203,$B88,对接源_02物料!$D$4:$D$1203,"包装物料*",对接源_02物料!$L$4:$L$1203,"已付款")+SUMIFS(对接源_02物料!$K$4:$K$1203,对接源_02物料!$C$4:$C$1203,$B88,对接源_02物料!$D$4:$D$1203,"周转筐*",对接源_02物料!$L$4:$L$1203,"已收讫")+SUMIFS(对接源_02物料!$K$4:$K$1203,对接源_02物料!$C$4:$C$1203,$B88,对接源_02物料!$D$4:$D$1203,"周转筐*",对接源_02物料!$L$4:$L$1203,"已付款")+SUMIFS(对接源_02物料!$K$4:$K$1203,对接源_02物料!$C$4:$C$1203,$B88,对接源_02物料!$D$4:$D$1203,"次果筐*",对接源_02物料!$L$4:$L$1203,"已收讫")+SUMIFS(对接源_02物料!$K$4:$K$1203,对接源_02物料!$C$4:$C$1203,$B88,对接源_02物料!$D$4:$D$1203,"次果筐*",对接源_02物料!$L$4:$L$1203,"已付款"),2))</f>
      </c>
      <c r="J88" s="177">
        <f>IF($B88="","",ROUND(N($H88)-N($I88),2))</f>
      </c>
      <c r="K88" s="16">
        <f>IF($B88="","",IF(ROUND(N($J88),2)&gt;0,"对方欠款",IF(ROUND(N($J88),2)&lt;0,"我方欠款","已两清")))</f>
      </c>
      <c r="L88" s="26" t="n"/>
    </row>
    <row r="89" s="127">
      <c r="A89" s="16">
        <f>IF($B89="","",ROW()-3)</f>
      </c>
      <c r="B89" s="11">
        <f>IFERROR(INDEX(_自动清单!$E$4:$E$303,ROW()-3),"")</f>
      </c>
      <c r="C89" s="177">
        <f>IF($B89="","",ROUND(SUMIFS(对接源_01水果!$K$4:$K$1203,对接源_01水果!$C$4:$C$1203,$B89,对接源_01水果!$D$4:$D$1203,"成品出库*"),2))</f>
      </c>
      <c r="D89" s="177">
        <f>IF($B89="","",ROUND(SUMIFS(对接源_01水果!$K$4:$K$1203,对接源_01水果!$C$4:$C$1203,$B89,对接源_01水果!$D$4:$D$1203,"其他代存*"),2))</f>
      </c>
      <c r="E89" s="177">
        <f>IF($B89="","",ROUND(SUMIFS(对接源_02物料!$K$4:$K$1203,对接源_02物料!$C$4:$C$1203,$B89,对接源_02物料!$D$4:$D$1203,"包装物料*"),2))</f>
      </c>
      <c r="F89" s="177">
        <f>IF($B89="","",ROUND(SUMIFS(对接源_02物料!$K$4:$K$1203,对接源_02物料!$C$4:$C$1203,$B89,对接源_02物料!$D$4:$D$1203,"周转筐*"),2))</f>
      </c>
      <c r="G89" s="177">
        <f>IF($B89="","",ROUND(SUMIFS(对接源_02物料!$K$4:$K$1203,对接源_02物料!$C$4:$C$1203,$B89,对接源_02物料!$D$4:$D$1203,"次果筐*"),2))</f>
      </c>
      <c r="H89" s="177">
        <f>IF($B89="","",ROUND(SUM($C89:$G89),2))</f>
      </c>
      <c r="I89" s="177">
        <f>IF($B89="","",ROUND(SUMIFS(对接源_01水果!$K$4:$K$1203,对接源_01水果!$C$4:$C$1203,$B89,对接源_01水果!$D$4:$D$1203,"成品出库*",对接源_01水果!$L$4:$L$1203,"已收讫")+SUMIFS(对接源_01水果!$K$4:$K$1203,对接源_01水果!$C$4:$C$1203,$B89,对接源_01水果!$D$4:$D$1203,"成品出库*",对接源_01水果!$L$4:$L$1203,"已付款")+SUMIFS(对接源_01水果!$K$4:$K$1203,对接源_01水果!$C$4:$C$1203,$B89,对接源_01水果!$D$4:$D$1203,"其他代存*",对接源_01水果!$L$4:$L$1203,"已收讫")+SUMIFS(对接源_01水果!$K$4:$K$1203,对接源_01水果!$C$4:$C$1203,$B89,对接源_01水果!$D$4:$D$1203,"其他代存*",对接源_01水果!$L$4:$L$1203,"已付款")+SUMIFS(对接源_02物料!$K$4:$K$1203,对接源_02物料!$C$4:$C$1203,$B89,对接源_02物料!$D$4:$D$1203,"包装物料*",对接源_02物料!$L$4:$L$1203,"已收讫")+SUMIFS(对接源_02物料!$K$4:$K$1203,对接源_02物料!$C$4:$C$1203,$B89,对接源_02物料!$D$4:$D$1203,"包装物料*",对接源_02物料!$L$4:$L$1203,"已付款")+SUMIFS(对接源_02物料!$K$4:$K$1203,对接源_02物料!$C$4:$C$1203,$B89,对接源_02物料!$D$4:$D$1203,"周转筐*",对接源_02物料!$L$4:$L$1203,"已收讫")+SUMIFS(对接源_02物料!$K$4:$K$1203,对接源_02物料!$C$4:$C$1203,$B89,对接源_02物料!$D$4:$D$1203,"周转筐*",对接源_02物料!$L$4:$L$1203,"已付款")+SUMIFS(对接源_02物料!$K$4:$K$1203,对接源_02物料!$C$4:$C$1203,$B89,对接源_02物料!$D$4:$D$1203,"次果筐*",对接源_02物料!$L$4:$L$1203,"已收讫")+SUMIFS(对接源_02物料!$K$4:$K$1203,对接源_02物料!$C$4:$C$1203,$B89,对接源_02物料!$D$4:$D$1203,"次果筐*",对接源_02物料!$L$4:$L$1203,"已付款"),2))</f>
      </c>
      <c r="J89" s="177">
        <f>IF($B89="","",ROUND(N($H89)-N($I89),2))</f>
      </c>
      <c r="K89" s="16">
        <f>IF($B89="","",IF(ROUND(N($J89),2)&gt;0,"对方欠款",IF(ROUND(N($J89),2)&lt;0,"我方欠款","已两清")))</f>
      </c>
      <c r="L89" s="26" t="n"/>
    </row>
    <row r="90" s="127">
      <c r="A90" s="16">
        <f>IF($B90="","",ROW()-3)</f>
      </c>
      <c r="B90" s="11">
        <f>IFERROR(INDEX(_自动清单!$E$4:$E$303,ROW()-3),"")</f>
      </c>
      <c r="C90" s="177">
        <f>IF($B90="","",ROUND(SUMIFS(对接源_01水果!$K$4:$K$1203,对接源_01水果!$C$4:$C$1203,$B90,对接源_01水果!$D$4:$D$1203,"成品出库*"),2))</f>
      </c>
      <c r="D90" s="177">
        <f>IF($B90="","",ROUND(SUMIFS(对接源_01水果!$K$4:$K$1203,对接源_01水果!$C$4:$C$1203,$B90,对接源_01水果!$D$4:$D$1203,"其他代存*"),2))</f>
      </c>
      <c r="E90" s="177">
        <f>IF($B90="","",ROUND(SUMIFS(对接源_02物料!$K$4:$K$1203,对接源_02物料!$C$4:$C$1203,$B90,对接源_02物料!$D$4:$D$1203,"包装物料*"),2))</f>
      </c>
      <c r="F90" s="177">
        <f>IF($B90="","",ROUND(SUMIFS(对接源_02物料!$K$4:$K$1203,对接源_02物料!$C$4:$C$1203,$B90,对接源_02物料!$D$4:$D$1203,"周转筐*"),2))</f>
      </c>
      <c r="G90" s="177">
        <f>IF($B90="","",ROUND(SUMIFS(对接源_02物料!$K$4:$K$1203,对接源_02物料!$C$4:$C$1203,$B90,对接源_02物料!$D$4:$D$1203,"次果筐*"),2))</f>
      </c>
      <c r="H90" s="177">
        <f>IF($B90="","",ROUND(SUM($C90:$G90),2))</f>
      </c>
      <c r="I90" s="177">
        <f>IF($B90="","",ROUND(SUMIFS(对接源_01水果!$K$4:$K$1203,对接源_01水果!$C$4:$C$1203,$B90,对接源_01水果!$D$4:$D$1203,"成品出库*",对接源_01水果!$L$4:$L$1203,"已收讫")+SUMIFS(对接源_01水果!$K$4:$K$1203,对接源_01水果!$C$4:$C$1203,$B90,对接源_01水果!$D$4:$D$1203,"成品出库*",对接源_01水果!$L$4:$L$1203,"已付款")+SUMIFS(对接源_01水果!$K$4:$K$1203,对接源_01水果!$C$4:$C$1203,$B90,对接源_01水果!$D$4:$D$1203,"其他代存*",对接源_01水果!$L$4:$L$1203,"已收讫")+SUMIFS(对接源_01水果!$K$4:$K$1203,对接源_01水果!$C$4:$C$1203,$B90,对接源_01水果!$D$4:$D$1203,"其他代存*",对接源_01水果!$L$4:$L$1203,"已付款")+SUMIFS(对接源_02物料!$K$4:$K$1203,对接源_02物料!$C$4:$C$1203,$B90,对接源_02物料!$D$4:$D$1203,"包装物料*",对接源_02物料!$L$4:$L$1203,"已收讫")+SUMIFS(对接源_02物料!$K$4:$K$1203,对接源_02物料!$C$4:$C$1203,$B90,对接源_02物料!$D$4:$D$1203,"包装物料*",对接源_02物料!$L$4:$L$1203,"已付款")+SUMIFS(对接源_02物料!$K$4:$K$1203,对接源_02物料!$C$4:$C$1203,$B90,对接源_02物料!$D$4:$D$1203,"周转筐*",对接源_02物料!$L$4:$L$1203,"已收讫")+SUMIFS(对接源_02物料!$K$4:$K$1203,对接源_02物料!$C$4:$C$1203,$B90,对接源_02物料!$D$4:$D$1203,"周转筐*",对接源_02物料!$L$4:$L$1203,"已付款")+SUMIFS(对接源_02物料!$K$4:$K$1203,对接源_02物料!$C$4:$C$1203,$B90,对接源_02物料!$D$4:$D$1203,"次果筐*",对接源_02物料!$L$4:$L$1203,"已收讫")+SUMIFS(对接源_02物料!$K$4:$K$1203,对接源_02物料!$C$4:$C$1203,$B90,对接源_02物料!$D$4:$D$1203,"次果筐*",对接源_02物料!$L$4:$L$1203,"已付款"),2))</f>
      </c>
      <c r="J90" s="177">
        <f>IF($B90="","",ROUND(N($H90)-N($I90),2))</f>
      </c>
      <c r="K90" s="16">
        <f>IF($B90="","",IF(ROUND(N($J90),2)&gt;0,"对方欠款",IF(ROUND(N($J90),2)&lt;0,"我方欠款","已两清")))</f>
      </c>
      <c r="L90" s="26" t="n"/>
    </row>
    <row r="91" s="127">
      <c r="A91" s="16">
        <f>IF($B91="","",ROW()-3)</f>
      </c>
      <c r="B91" s="11">
        <f>IFERROR(INDEX(_自动清单!$E$4:$E$303,ROW()-3),"")</f>
      </c>
      <c r="C91" s="177">
        <f>IF($B91="","",ROUND(SUMIFS(对接源_01水果!$K$4:$K$1203,对接源_01水果!$C$4:$C$1203,$B91,对接源_01水果!$D$4:$D$1203,"成品出库*"),2))</f>
      </c>
      <c r="D91" s="177">
        <f>IF($B91="","",ROUND(SUMIFS(对接源_01水果!$K$4:$K$1203,对接源_01水果!$C$4:$C$1203,$B91,对接源_01水果!$D$4:$D$1203,"其他代存*"),2))</f>
      </c>
      <c r="E91" s="177">
        <f>IF($B91="","",ROUND(SUMIFS(对接源_02物料!$K$4:$K$1203,对接源_02物料!$C$4:$C$1203,$B91,对接源_02物料!$D$4:$D$1203,"包装物料*"),2))</f>
      </c>
      <c r="F91" s="177">
        <f>IF($B91="","",ROUND(SUMIFS(对接源_02物料!$K$4:$K$1203,对接源_02物料!$C$4:$C$1203,$B91,对接源_02物料!$D$4:$D$1203,"周转筐*"),2))</f>
      </c>
      <c r="G91" s="177">
        <f>IF($B91="","",ROUND(SUMIFS(对接源_02物料!$K$4:$K$1203,对接源_02物料!$C$4:$C$1203,$B91,对接源_02物料!$D$4:$D$1203,"次果筐*"),2))</f>
      </c>
      <c r="H91" s="177">
        <f>IF($B91="","",ROUND(SUM($C91:$G91),2))</f>
      </c>
      <c r="I91" s="177">
        <f>IF($B91="","",ROUND(SUMIFS(对接源_01水果!$K$4:$K$1203,对接源_01水果!$C$4:$C$1203,$B91,对接源_01水果!$D$4:$D$1203,"成品出库*",对接源_01水果!$L$4:$L$1203,"已收讫")+SUMIFS(对接源_01水果!$K$4:$K$1203,对接源_01水果!$C$4:$C$1203,$B91,对接源_01水果!$D$4:$D$1203,"成品出库*",对接源_01水果!$L$4:$L$1203,"已付款")+SUMIFS(对接源_01水果!$K$4:$K$1203,对接源_01水果!$C$4:$C$1203,$B91,对接源_01水果!$D$4:$D$1203,"其他代存*",对接源_01水果!$L$4:$L$1203,"已收讫")+SUMIFS(对接源_01水果!$K$4:$K$1203,对接源_01水果!$C$4:$C$1203,$B91,对接源_01水果!$D$4:$D$1203,"其他代存*",对接源_01水果!$L$4:$L$1203,"已付款")+SUMIFS(对接源_02物料!$K$4:$K$1203,对接源_02物料!$C$4:$C$1203,$B91,对接源_02物料!$D$4:$D$1203,"包装物料*",对接源_02物料!$L$4:$L$1203,"已收讫")+SUMIFS(对接源_02物料!$K$4:$K$1203,对接源_02物料!$C$4:$C$1203,$B91,对接源_02物料!$D$4:$D$1203,"包装物料*",对接源_02物料!$L$4:$L$1203,"已付款")+SUMIFS(对接源_02物料!$K$4:$K$1203,对接源_02物料!$C$4:$C$1203,$B91,对接源_02物料!$D$4:$D$1203,"周转筐*",对接源_02物料!$L$4:$L$1203,"已收讫")+SUMIFS(对接源_02物料!$K$4:$K$1203,对接源_02物料!$C$4:$C$1203,$B91,对接源_02物料!$D$4:$D$1203,"周转筐*",对接源_02物料!$L$4:$L$1203,"已付款")+SUMIFS(对接源_02物料!$K$4:$K$1203,对接源_02物料!$C$4:$C$1203,$B91,对接源_02物料!$D$4:$D$1203,"次果筐*",对接源_02物料!$L$4:$L$1203,"已收讫")+SUMIFS(对接源_02物料!$K$4:$K$1203,对接源_02物料!$C$4:$C$1203,$B91,对接源_02物料!$D$4:$D$1203,"次果筐*",对接源_02物料!$L$4:$L$1203,"已付款"),2))</f>
      </c>
      <c r="J91" s="177">
        <f>IF($B91="","",ROUND(N($H91)-N($I91),2))</f>
      </c>
      <c r="K91" s="16">
        <f>IF($B91="","",IF(ROUND(N($J91),2)&gt;0,"对方欠款",IF(ROUND(N($J91),2)&lt;0,"我方欠款","已两清")))</f>
      </c>
      <c r="L91" s="26" t="n"/>
    </row>
    <row r="92" s="127">
      <c r="A92" s="16">
        <f>IF($B92="","",ROW()-3)</f>
      </c>
      <c r="B92" s="11">
        <f>IFERROR(INDEX(_自动清单!$E$4:$E$303,ROW()-3),"")</f>
      </c>
      <c r="C92" s="177">
        <f>IF($B92="","",ROUND(SUMIFS(对接源_01水果!$K$4:$K$1203,对接源_01水果!$C$4:$C$1203,$B92,对接源_01水果!$D$4:$D$1203,"成品出库*"),2))</f>
      </c>
      <c r="D92" s="177">
        <f>IF($B92="","",ROUND(SUMIFS(对接源_01水果!$K$4:$K$1203,对接源_01水果!$C$4:$C$1203,$B92,对接源_01水果!$D$4:$D$1203,"其他代存*"),2))</f>
      </c>
      <c r="E92" s="177">
        <f>IF($B92="","",ROUND(SUMIFS(对接源_02物料!$K$4:$K$1203,对接源_02物料!$C$4:$C$1203,$B92,对接源_02物料!$D$4:$D$1203,"包装物料*"),2))</f>
      </c>
      <c r="F92" s="177">
        <f>IF($B92="","",ROUND(SUMIFS(对接源_02物料!$K$4:$K$1203,对接源_02物料!$C$4:$C$1203,$B92,对接源_02物料!$D$4:$D$1203,"周转筐*"),2))</f>
      </c>
      <c r="G92" s="177">
        <f>IF($B92="","",ROUND(SUMIFS(对接源_02物料!$K$4:$K$1203,对接源_02物料!$C$4:$C$1203,$B92,对接源_02物料!$D$4:$D$1203,"次果筐*"),2))</f>
      </c>
      <c r="H92" s="177">
        <f>IF($B92="","",ROUND(SUM($C92:$G92),2))</f>
      </c>
      <c r="I92" s="177">
        <f>IF($B92="","",ROUND(SUMIFS(对接源_01水果!$K$4:$K$1203,对接源_01水果!$C$4:$C$1203,$B92,对接源_01水果!$D$4:$D$1203,"成品出库*",对接源_01水果!$L$4:$L$1203,"已收讫")+SUMIFS(对接源_01水果!$K$4:$K$1203,对接源_01水果!$C$4:$C$1203,$B92,对接源_01水果!$D$4:$D$1203,"成品出库*",对接源_01水果!$L$4:$L$1203,"已付款")+SUMIFS(对接源_01水果!$K$4:$K$1203,对接源_01水果!$C$4:$C$1203,$B92,对接源_01水果!$D$4:$D$1203,"其他代存*",对接源_01水果!$L$4:$L$1203,"已收讫")+SUMIFS(对接源_01水果!$K$4:$K$1203,对接源_01水果!$C$4:$C$1203,$B92,对接源_01水果!$D$4:$D$1203,"其他代存*",对接源_01水果!$L$4:$L$1203,"已付款")+SUMIFS(对接源_02物料!$K$4:$K$1203,对接源_02物料!$C$4:$C$1203,$B92,对接源_02物料!$D$4:$D$1203,"包装物料*",对接源_02物料!$L$4:$L$1203,"已收讫")+SUMIFS(对接源_02物料!$K$4:$K$1203,对接源_02物料!$C$4:$C$1203,$B92,对接源_02物料!$D$4:$D$1203,"包装物料*",对接源_02物料!$L$4:$L$1203,"已付款")+SUMIFS(对接源_02物料!$K$4:$K$1203,对接源_02物料!$C$4:$C$1203,$B92,对接源_02物料!$D$4:$D$1203,"周转筐*",对接源_02物料!$L$4:$L$1203,"已收讫")+SUMIFS(对接源_02物料!$K$4:$K$1203,对接源_02物料!$C$4:$C$1203,$B92,对接源_02物料!$D$4:$D$1203,"周转筐*",对接源_02物料!$L$4:$L$1203,"已付款")+SUMIFS(对接源_02物料!$K$4:$K$1203,对接源_02物料!$C$4:$C$1203,$B92,对接源_02物料!$D$4:$D$1203,"次果筐*",对接源_02物料!$L$4:$L$1203,"已收讫")+SUMIFS(对接源_02物料!$K$4:$K$1203,对接源_02物料!$C$4:$C$1203,$B92,对接源_02物料!$D$4:$D$1203,"次果筐*",对接源_02物料!$L$4:$L$1203,"已付款"),2))</f>
      </c>
      <c r="J92" s="177">
        <f>IF($B92="","",ROUND(N($H92)-N($I92),2))</f>
      </c>
      <c r="K92" s="16">
        <f>IF($B92="","",IF(ROUND(N($J92),2)&gt;0,"对方欠款",IF(ROUND(N($J92),2)&lt;0,"我方欠款","已两清")))</f>
      </c>
      <c r="L92" s="26" t="n"/>
    </row>
    <row r="93" s="127">
      <c r="A93" s="16">
        <f>IF($B93="","",ROW()-3)</f>
      </c>
      <c r="B93" s="11">
        <f>IFERROR(INDEX(_自动清单!$E$4:$E$303,ROW()-3),"")</f>
      </c>
      <c r="C93" s="177">
        <f>IF($B93="","",ROUND(SUMIFS(对接源_01水果!$K$4:$K$1203,对接源_01水果!$C$4:$C$1203,$B93,对接源_01水果!$D$4:$D$1203,"成品出库*"),2))</f>
      </c>
      <c r="D93" s="177">
        <f>IF($B93="","",ROUND(SUMIFS(对接源_01水果!$K$4:$K$1203,对接源_01水果!$C$4:$C$1203,$B93,对接源_01水果!$D$4:$D$1203,"其他代存*"),2))</f>
      </c>
      <c r="E93" s="177">
        <f>IF($B93="","",ROUND(SUMIFS(对接源_02物料!$K$4:$K$1203,对接源_02物料!$C$4:$C$1203,$B93,对接源_02物料!$D$4:$D$1203,"包装物料*"),2))</f>
      </c>
      <c r="F93" s="177">
        <f>IF($B93="","",ROUND(SUMIFS(对接源_02物料!$K$4:$K$1203,对接源_02物料!$C$4:$C$1203,$B93,对接源_02物料!$D$4:$D$1203,"周转筐*"),2))</f>
      </c>
      <c r="G93" s="177">
        <f>IF($B93="","",ROUND(SUMIFS(对接源_02物料!$K$4:$K$1203,对接源_02物料!$C$4:$C$1203,$B93,对接源_02物料!$D$4:$D$1203,"次果筐*"),2))</f>
      </c>
      <c r="H93" s="177">
        <f>IF($B93="","",ROUND(SUM($C93:$G93),2))</f>
      </c>
      <c r="I93" s="177">
        <f>IF($B93="","",ROUND(SUMIFS(对接源_01水果!$K$4:$K$1203,对接源_01水果!$C$4:$C$1203,$B93,对接源_01水果!$D$4:$D$1203,"成品出库*",对接源_01水果!$L$4:$L$1203,"已收讫")+SUMIFS(对接源_01水果!$K$4:$K$1203,对接源_01水果!$C$4:$C$1203,$B93,对接源_01水果!$D$4:$D$1203,"成品出库*",对接源_01水果!$L$4:$L$1203,"已付款")+SUMIFS(对接源_01水果!$K$4:$K$1203,对接源_01水果!$C$4:$C$1203,$B93,对接源_01水果!$D$4:$D$1203,"其他代存*",对接源_01水果!$L$4:$L$1203,"已收讫")+SUMIFS(对接源_01水果!$K$4:$K$1203,对接源_01水果!$C$4:$C$1203,$B93,对接源_01水果!$D$4:$D$1203,"其他代存*",对接源_01水果!$L$4:$L$1203,"已付款")+SUMIFS(对接源_02物料!$K$4:$K$1203,对接源_02物料!$C$4:$C$1203,$B93,对接源_02物料!$D$4:$D$1203,"包装物料*",对接源_02物料!$L$4:$L$1203,"已收讫")+SUMIFS(对接源_02物料!$K$4:$K$1203,对接源_02物料!$C$4:$C$1203,$B93,对接源_02物料!$D$4:$D$1203,"包装物料*",对接源_02物料!$L$4:$L$1203,"已付款")+SUMIFS(对接源_02物料!$K$4:$K$1203,对接源_02物料!$C$4:$C$1203,$B93,对接源_02物料!$D$4:$D$1203,"周转筐*",对接源_02物料!$L$4:$L$1203,"已收讫")+SUMIFS(对接源_02物料!$K$4:$K$1203,对接源_02物料!$C$4:$C$1203,$B93,对接源_02物料!$D$4:$D$1203,"周转筐*",对接源_02物料!$L$4:$L$1203,"已付款")+SUMIFS(对接源_02物料!$K$4:$K$1203,对接源_02物料!$C$4:$C$1203,$B93,对接源_02物料!$D$4:$D$1203,"次果筐*",对接源_02物料!$L$4:$L$1203,"已收讫")+SUMIFS(对接源_02物料!$K$4:$K$1203,对接源_02物料!$C$4:$C$1203,$B93,对接源_02物料!$D$4:$D$1203,"次果筐*",对接源_02物料!$L$4:$L$1203,"已付款"),2))</f>
      </c>
      <c r="J93" s="177">
        <f>IF($B93="","",ROUND(N($H93)-N($I93),2))</f>
      </c>
      <c r="K93" s="16">
        <f>IF($B93="","",IF(ROUND(N($J93),2)&gt;0,"对方欠款",IF(ROUND(N($J93),2)&lt;0,"我方欠款","已两清")))</f>
      </c>
      <c r="L93" s="26" t="n"/>
    </row>
    <row r="94" s="127">
      <c r="A94" s="16">
        <f>IF($B94="","",ROW()-3)</f>
      </c>
      <c r="B94" s="11">
        <f>IFERROR(INDEX(_自动清单!$E$4:$E$303,ROW()-3),"")</f>
      </c>
      <c r="C94" s="177">
        <f>IF($B94="","",ROUND(SUMIFS(对接源_01水果!$K$4:$K$1203,对接源_01水果!$C$4:$C$1203,$B94,对接源_01水果!$D$4:$D$1203,"成品出库*"),2))</f>
      </c>
      <c r="D94" s="177">
        <f>IF($B94="","",ROUND(SUMIFS(对接源_01水果!$K$4:$K$1203,对接源_01水果!$C$4:$C$1203,$B94,对接源_01水果!$D$4:$D$1203,"其他代存*"),2))</f>
      </c>
      <c r="E94" s="177">
        <f>IF($B94="","",ROUND(SUMIFS(对接源_02物料!$K$4:$K$1203,对接源_02物料!$C$4:$C$1203,$B94,对接源_02物料!$D$4:$D$1203,"包装物料*"),2))</f>
      </c>
      <c r="F94" s="177">
        <f>IF($B94="","",ROUND(SUMIFS(对接源_02物料!$K$4:$K$1203,对接源_02物料!$C$4:$C$1203,$B94,对接源_02物料!$D$4:$D$1203,"周转筐*"),2))</f>
      </c>
      <c r="G94" s="177">
        <f>IF($B94="","",ROUND(SUMIFS(对接源_02物料!$K$4:$K$1203,对接源_02物料!$C$4:$C$1203,$B94,对接源_02物料!$D$4:$D$1203,"次果筐*"),2))</f>
      </c>
      <c r="H94" s="177">
        <f>IF($B94="","",ROUND(SUM($C94:$G94),2))</f>
      </c>
      <c r="I94" s="177">
        <f>IF($B94="","",ROUND(SUMIFS(对接源_01水果!$K$4:$K$1203,对接源_01水果!$C$4:$C$1203,$B94,对接源_01水果!$D$4:$D$1203,"成品出库*",对接源_01水果!$L$4:$L$1203,"已收讫")+SUMIFS(对接源_01水果!$K$4:$K$1203,对接源_01水果!$C$4:$C$1203,$B94,对接源_01水果!$D$4:$D$1203,"成品出库*",对接源_01水果!$L$4:$L$1203,"已付款")+SUMIFS(对接源_01水果!$K$4:$K$1203,对接源_01水果!$C$4:$C$1203,$B94,对接源_01水果!$D$4:$D$1203,"其他代存*",对接源_01水果!$L$4:$L$1203,"已收讫")+SUMIFS(对接源_01水果!$K$4:$K$1203,对接源_01水果!$C$4:$C$1203,$B94,对接源_01水果!$D$4:$D$1203,"其他代存*",对接源_01水果!$L$4:$L$1203,"已付款")+SUMIFS(对接源_02物料!$K$4:$K$1203,对接源_02物料!$C$4:$C$1203,$B94,对接源_02物料!$D$4:$D$1203,"包装物料*",对接源_02物料!$L$4:$L$1203,"已收讫")+SUMIFS(对接源_02物料!$K$4:$K$1203,对接源_02物料!$C$4:$C$1203,$B94,对接源_02物料!$D$4:$D$1203,"包装物料*",对接源_02物料!$L$4:$L$1203,"已付款")+SUMIFS(对接源_02物料!$K$4:$K$1203,对接源_02物料!$C$4:$C$1203,$B94,对接源_02物料!$D$4:$D$1203,"周转筐*",对接源_02物料!$L$4:$L$1203,"已收讫")+SUMIFS(对接源_02物料!$K$4:$K$1203,对接源_02物料!$C$4:$C$1203,$B94,对接源_02物料!$D$4:$D$1203,"周转筐*",对接源_02物料!$L$4:$L$1203,"已付款")+SUMIFS(对接源_02物料!$K$4:$K$1203,对接源_02物料!$C$4:$C$1203,$B94,对接源_02物料!$D$4:$D$1203,"次果筐*",对接源_02物料!$L$4:$L$1203,"已收讫")+SUMIFS(对接源_02物料!$K$4:$K$1203,对接源_02物料!$C$4:$C$1203,$B94,对接源_02物料!$D$4:$D$1203,"次果筐*",对接源_02物料!$L$4:$L$1203,"已付款"),2))</f>
      </c>
      <c r="J94" s="177">
        <f>IF($B94="","",ROUND(N($H94)-N($I94),2))</f>
      </c>
      <c r="K94" s="16">
        <f>IF($B94="","",IF(ROUND(N($J94),2)&gt;0,"对方欠款",IF(ROUND(N($J94),2)&lt;0,"我方欠款","已两清")))</f>
      </c>
      <c r="L94" s="26" t="n"/>
    </row>
    <row r="95" s="127">
      <c r="A95" s="16">
        <f>IF($B95="","",ROW()-3)</f>
      </c>
      <c r="B95" s="11">
        <f>IFERROR(INDEX(_自动清单!$E$4:$E$303,ROW()-3),"")</f>
      </c>
      <c r="C95" s="177">
        <f>IF($B95="","",ROUND(SUMIFS(对接源_01水果!$K$4:$K$1203,对接源_01水果!$C$4:$C$1203,$B95,对接源_01水果!$D$4:$D$1203,"成品出库*"),2))</f>
      </c>
      <c r="D95" s="177">
        <f>IF($B95="","",ROUND(SUMIFS(对接源_01水果!$K$4:$K$1203,对接源_01水果!$C$4:$C$1203,$B95,对接源_01水果!$D$4:$D$1203,"其他代存*"),2))</f>
      </c>
      <c r="E95" s="177">
        <f>IF($B95="","",ROUND(SUMIFS(对接源_02物料!$K$4:$K$1203,对接源_02物料!$C$4:$C$1203,$B95,对接源_02物料!$D$4:$D$1203,"包装物料*"),2))</f>
      </c>
      <c r="F95" s="177">
        <f>IF($B95="","",ROUND(SUMIFS(对接源_02物料!$K$4:$K$1203,对接源_02物料!$C$4:$C$1203,$B95,对接源_02物料!$D$4:$D$1203,"周转筐*"),2))</f>
      </c>
      <c r="G95" s="177">
        <f>IF($B95="","",ROUND(SUMIFS(对接源_02物料!$K$4:$K$1203,对接源_02物料!$C$4:$C$1203,$B95,对接源_02物料!$D$4:$D$1203,"次果筐*"),2))</f>
      </c>
      <c r="H95" s="177">
        <f>IF($B95="","",ROUND(SUM($C95:$G95),2))</f>
      </c>
      <c r="I95" s="177">
        <f>IF($B95="","",ROUND(SUMIFS(对接源_01水果!$K$4:$K$1203,对接源_01水果!$C$4:$C$1203,$B95,对接源_01水果!$D$4:$D$1203,"成品出库*",对接源_01水果!$L$4:$L$1203,"已收讫")+SUMIFS(对接源_01水果!$K$4:$K$1203,对接源_01水果!$C$4:$C$1203,$B95,对接源_01水果!$D$4:$D$1203,"成品出库*",对接源_01水果!$L$4:$L$1203,"已付款")+SUMIFS(对接源_01水果!$K$4:$K$1203,对接源_01水果!$C$4:$C$1203,$B95,对接源_01水果!$D$4:$D$1203,"其他代存*",对接源_01水果!$L$4:$L$1203,"已收讫")+SUMIFS(对接源_01水果!$K$4:$K$1203,对接源_01水果!$C$4:$C$1203,$B95,对接源_01水果!$D$4:$D$1203,"其他代存*",对接源_01水果!$L$4:$L$1203,"已付款")+SUMIFS(对接源_02物料!$K$4:$K$1203,对接源_02物料!$C$4:$C$1203,$B95,对接源_02物料!$D$4:$D$1203,"包装物料*",对接源_02物料!$L$4:$L$1203,"已收讫")+SUMIFS(对接源_02物料!$K$4:$K$1203,对接源_02物料!$C$4:$C$1203,$B95,对接源_02物料!$D$4:$D$1203,"包装物料*",对接源_02物料!$L$4:$L$1203,"已付款")+SUMIFS(对接源_02物料!$K$4:$K$1203,对接源_02物料!$C$4:$C$1203,$B95,对接源_02物料!$D$4:$D$1203,"周转筐*",对接源_02物料!$L$4:$L$1203,"已收讫")+SUMIFS(对接源_02物料!$K$4:$K$1203,对接源_02物料!$C$4:$C$1203,$B95,对接源_02物料!$D$4:$D$1203,"周转筐*",对接源_02物料!$L$4:$L$1203,"已付款")+SUMIFS(对接源_02物料!$K$4:$K$1203,对接源_02物料!$C$4:$C$1203,$B95,对接源_02物料!$D$4:$D$1203,"次果筐*",对接源_02物料!$L$4:$L$1203,"已收讫")+SUMIFS(对接源_02物料!$K$4:$K$1203,对接源_02物料!$C$4:$C$1203,$B95,对接源_02物料!$D$4:$D$1203,"次果筐*",对接源_02物料!$L$4:$L$1203,"已付款"),2))</f>
      </c>
      <c r="J95" s="177">
        <f>IF($B95="","",ROUND(N($H95)-N($I95),2))</f>
      </c>
      <c r="K95" s="16">
        <f>IF($B95="","",IF(ROUND(N($J95),2)&gt;0,"对方欠款",IF(ROUND(N($J95),2)&lt;0,"我方欠款","已两清")))</f>
      </c>
      <c r="L95" s="26" t="n"/>
    </row>
    <row r="96" s="127">
      <c r="A96" s="16">
        <f>IF($B96="","",ROW()-3)</f>
      </c>
      <c r="B96" s="11">
        <f>IFERROR(INDEX(_自动清单!$E$4:$E$303,ROW()-3),"")</f>
      </c>
      <c r="C96" s="177">
        <f>IF($B96="","",ROUND(SUMIFS(对接源_01水果!$K$4:$K$1203,对接源_01水果!$C$4:$C$1203,$B96,对接源_01水果!$D$4:$D$1203,"成品出库*"),2))</f>
      </c>
      <c r="D96" s="177">
        <f>IF($B96="","",ROUND(SUMIFS(对接源_01水果!$K$4:$K$1203,对接源_01水果!$C$4:$C$1203,$B96,对接源_01水果!$D$4:$D$1203,"其他代存*"),2))</f>
      </c>
      <c r="E96" s="177">
        <f>IF($B96="","",ROUND(SUMIFS(对接源_02物料!$K$4:$K$1203,对接源_02物料!$C$4:$C$1203,$B96,对接源_02物料!$D$4:$D$1203,"包装物料*"),2))</f>
      </c>
      <c r="F96" s="177">
        <f>IF($B96="","",ROUND(SUMIFS(对接源_02物料!$K$4:$K$1203,对接源_02物料!$C$4:$C$1203,$B96,对接源_02物料!$D$4:$D$1203,"周转筐*"),2))</f>
      </c>
      <c r="G96" s="177">
        <f>IF($B96="","",ROUND(SUMIFS(对接源_02物料!$K$4:$K$1203,对接源_02物料!$C$4:$C$1203,$B96,对接源_02物料!$D$4:$D$1203,"次果筐*"),2))</f>
      </c>
      <c r="H96" s="177">
        <f>IF($B96="","",ROUND(SUM($C96:$G96),2))</f>
      </c>
      <c r="I96" s="177">
        <f>IF($B96="","",ROUND(SUMIFS(对接源_01水果!$K$4:$K$1203,对接源_01水果!$C$4:$C$1203,$B96,对接源_01水果!$D$4:$D$1203,"成品出库*",对接源_01水果!$L$4:$L$1203,"已收讫")+SUMIFS(对接源_01水果!$K$4:$K$1203,对接源_01水果!$C$4:$C$1203,$B96,对接源_01水果!$D$4:$D$1203,"成品出库*",对接源_01水果!$L$4:$L$1203,"已付款")+SUMIFS(对接源_01水果!$K$4:$K$1203,对接源_01水果!$C$4:$C$1203,$B96,对接源_01水果!$D$4:$D$1203,"其他代存*",对接源_01水果!$L$4:$L$1203,"已收讫")+SUMIFS(对接源_01水果!$K$4:$K$1203,对接源_01水果!$C$4:$C$1203,$B96,对接源_01水果!$D$4:$D$1203,"其他代存*",对接源_01水果!$L$4:$L$1203,"已付款")+SUMIFS(对接源_02物料!$K$4:$K$1203,对接源_02物料!$C$4:$C$1203,$B96,对接源_02物料!$D$4:$D$1203,"包装物料*",对接源_02物料!$L$4:$L$1203,"已收讫")+SUMIFS(对接源_02物料!$K$4:$K$1203,对接源_02物料!$C$4:$C$1203,$B96,对接源_02物料!$D$4:$D$1203,"包装物料*",对接源_02物料!$L$4:$L$1203,"已付款")+SUMIFS(对接源_02物料!$K$4:$K$1203,对接源_02物料!$C$4:$C$1203,$B96,对接源_02物料!$D$4:$D$1203,"周转筐*",对接源_02物料!$L$4:$L$1203,"已收讫")+SUMIFS(对接源_02物料!$K$4:$K$1203,对接源_02物料!$C$4:$C$1203,$B96,对接源_02物料!$D$4:$D$1203,"周转筐*",对接源_02物料!$L$4:$L$1203,"已付款")+SUMIFS(对接源_02物料!$K$4:$K$1203,对接源_02物料!$C$4:$C$1203,$B96,对接源_02物料!$D$4:$D$1203,"次果筐*",对接源_02物料!$L$4:$L$1203,"已收讫")+SUMIFS(对接源_02物料!$K$4:$K$1203,对接源_02物料!$C$4:$C$1203,$B96,对接源_02物料!$D$4:$D$1203,"次果筐*",对接源_02物料!$L$4:$L$1203,"已付款"),2))</f>
      </c>
      <c r="J96" s="177">
        <f>IF($B96="","",ROUND(N($H96)-N($I96),2))</f>
      </c>
      <c r="K96" s="16">
        <f>IF($B96="","",IF(ROUND(N($J96),2)&gt;0,"对方欠款",IF(ROUND(N($J96),2)&lt;0,"我方欠款","已两清")))</f>
      </c>
      <c r="L96" s="26" t="n"/>
    </row>
    <row r="97" s="127">
      <c r="A97" s="16">
        <f>IF($B97="","",ROW()-3)</f>
      </c>
      <c r="B97" s="11">
        <f>IFERROR(INDEX(_自动清单!$E$4:$E$303,ROW()-3),"")</f>
      </c>
      <c r="C97" s="177">
        <f>IF($B97="","",ROUND(SUMIFS(对接源_01水果!$K$4:$K$1203,对接源_01水果!$C$4:$C$1203,$B97,对接源_01水果!$D$4:$D$1203,"成品出库*"),2))</f>
      </c>
      <c r="D97" s="177">
        <f>IF($B97="","",ROUND(SUMIFS(对接源_01水果!$K$4:$K$1203,对接源_01水果!$C$4:$C$1203,$B97,对接源_01水果!$D$4:$D$1203,"其他代存*"),2))</f>
      </c>
      <c r="E97" s="177">
        <f>IF($B97="","",ROUND(SUMIFS(对接源_02物料!$K$4:$K$1203,对接源_02物料!$C$4:$C$1203,$B97,对接源_02物料!$D$4:$D$1203,"包装物料*"),2))</f>
      </c>
      <c r="F97" s="177">
        <f>IF($B97="","",ROUND(SUMIFS(对接源_02物料!$K$4:$K$1203,对接源_02物料!$C$4:$C$1203,$B97,对接源_02物料!$D$4:$D$1203,"周转筐*"),2))</f>
      </c>
      <c r="G97" s="177">
        <f>IF($B97="","",ROUND(SUMIFS(对接源_02物料!$K$4:$K$1203,对接源_02物料!$C$4:$C$1203,$B97,对接源_02物料!$D$4:$D$1203,"次果筐*"),2))</f>
      </c>
      <c r="H97" s="177">
        <f>IF($B97="","",ROUND(SUM($C97:$G97),2))</f>
      </c>
      <c r="I97" s="177">
        <f>IF($B97="","",ROUND(SUMIFS(对接源_01水果!$K$4:$K$1203,对接源_01水果!$C$4:$C$1203,$B97,对接源_01水果!$D$4:$D$1203,"成品出库*",对接源_01水果!$L$4:$L$1203,"已收讫")+SUMIFS(对接源_01水果!$K$4:$K$1203,对接源_01水果!$C$4:$C$1203,$B97,对接源_01水果!$D$4:$D$1203,"成品出库*",对接源_01水果!$L$4:$L$1203,"已付款")+SUMIFS(对接源_01水果!$K$4:$K$1203,对接源_01水果!$C$4:$C$1203,$B97,对接源_01水果!$D$4:$D$1203,"其他代存*",对接源_01水果!$L$4:$L$1203,"已收讫")+SUMIFS(对接源_01水果!$K$4:$K$1203,对接源_01水果!$C$4:$C$1203,$B97,对接源_01水果!$D$4:$D$1203,"其他代存*",对接源_01水果!$L$4:$L$1203,"已付款")+SUMIFS(对接源_02物料!$K$4:$K$1203,对接源_02物料!$C$4:$C$1203,$B97,对接源_02物料!$D$4:$D$1203,"包装物料*",对接源_02物料!$L$4:$L$1203,"已收讫")+SUMIFS(对接源_02物料!$K$4:$K$1203,对接源_02物料!$C$4:$C$1203,$B97,对接源_02物料!$D$4:$D$1203,"包装物料*",对接源_02物料!$L$4:$L$1203,"已付款")+SUMIFS(对接源_02物料!$K$4:$K$1203,对接源_02物料!$C$4:$C$1203,$B97,对接源_02物料!$D$4:$D$1203,"周转筐*",对接源_02物料!$L$4:$L$1203,"已收讫")+SUMIFS(对接源_02物料!$K$4:$K$1203,对接源_02物料!$C$4:$C$1203,$B97,对接源_02物料!$D$4:$D$1203,"周转筐*",对接源_02物料!$L$4:$L$1203,"已付款")+SUMIFS(对接源_02物料!$K$4:$K$1203,对接源_02物料!$C$4:$C$1203,$B97,对接源_02物料!$D$4:$D$1203,"次果筐*",对接源_02物料!$L$4:$L$1203,"已收讫")+SUMIFS(对接源_02物料!$K$4:$K$1203,对接源_02物料!$C$4:$C$1203,$B97,对接源_02物料!$D$4:$D$1203,"次果筐*",对接源_02物料!$L$4:$L$1203,"已付款"),2))</f>
      </c>
      <c r="J97" s="177">
        <f>IF($B97="","",ROUND(N($H97)-N($I97),2))</f>
      </c>
      <c r="K97" s="16">
        <f>IF($B97="","",IF(ROUND(N($J97),2)&gt;0,"对方欠款",IF(ROUND(N($J97),2)&lt;0,"我方欠款","已两清")))</f>
      </c>
      <c r="L97" s="26" t="n"/>
    </row>
    <row r="98" s="127">
      <c r="A98" s="16">
        <f>IF($B98="","",ROW()-3)</f>
      </c>
      <c r="B98" s="11">
        <f>IFERROR(INDEX(_自动清单!$E$4:$E$303,ROW()-3),"")</f>
      </c>
      <c r="C98" s="177">
        <f>IF($B98="","",ROUND(SUMIFS(对接源_01水果!$K$4:$K$1203,对接源_01水果!$C$4:$C$1203,$B98,对接源_01水果!$D$4:$D$1203,"成品出库*"),2))</f>
      </c>
      <c r="D98" s="177">
        <f>IF($B98="","",ROUND(SUMIFS(对接源_01水果!$K$4:$K$1203,对接源_01水果!$C$4:$C$1203,$B98,对接源_01水果!$D$4:$D$1203,"其他代存*"),2))</f>
      </c>
      <c r="E98" s="177">
        <f>IF($B98="","",ROUND(SUMIFS(对接源_02物料!$K$4:$K$1203,对接源_02物料!$C$4:$C$1203,$B98,对接源_02物料!$D$4:$D$1203,"包装物料*"),2))</f>
      </c>
      <c r="F98" s="177">
        <f>IF($B98="","",ROUND(SUMIFS(对接源_02物料!$K$4:$K$1203,对接源_02物料!$C$4:$C$1203,$B98,对接源_02物料!$D$4:$D$1203,"周转筐*"),2))</f>
      </c>
      <c r="G98" s="177">
        <f>IF($B98="","",ROUND(SUMIFS(对接源_02物料!$K$4:$K$1203,对接源_02物料!$C$4:$C$1203,$B98,对接源_02物料!$D$4:$D$1203,"次果筐*"),2))</f>
      </c>
      <c r="H98" s="177">
        <f>IF($B98="","",ROUND(SUM($C98:$G98),2))</f>
      </c>
      <c r="I98" s="177">
        <f>IF($B98="","",ROUND(SUMIFS(对接源_01水果!$K$4:$K$1203,对接源_01水果!$C$4:$C$1203,$B98,对接源_01水果!$D$4:$D$1203,"成品出库*",对接源_01水果!$L$4:$L$1203,"已收讫")+SUMIFS(对接源_01水果!$K$4:$K$1203,对接源_01水果!$C$4:$C$1203,$B98,对接源_01水果!$D$4:$D$1203,"成品出库*",对接源_01水果!$L$4:$L$1203,"已付款")+SUMIFS(对接源_01水果!$K$4:$K$1203,对接源_01水果!$C$4:$C$1203,$B98,对接源_01水果!$D$4:$D$1203,"其他代存*",对接源_01水果!$L$4:$L$1203,"已收讫")+SUMIFS(对接源_01水果!$K$4:$K$1203,对接源_01水果!$C$4:$C$1203,$B98,对接源_01水果!$D$4:$D$1203,"其他代存*",对接源_01水果!$L$4:$L$1203,"已付款")+SUMIFS(对接源_02物料!$K$4:$K$1203,对接源_02物料!$C$4:$C$1203,$B98,对接源_02物料!$D$4:$D$1203,"包装物料*",对接源_02物料!$L$4:$L$1203,"已收讫")+SUMIFS(对接源_02物料!$K$4:$K$1203,对接源_02物料!$C$4:$C$1203,$B98,对接源_02物料!$D$4:$D$1203,"包装物料*",对接源_02物料!$L$4:$L$1203,"已付款")+SUMIFS(对接源_02物料!$K$4:$K$1203,对接源_02物料!$C$4:$C$1203,$B98,对接源_02物料!$D$4:$D$1203,"周转筐*",对接源_02物料!$L$4:$L$1203,"已收讫")+SUMIFS(对接源_02物料!$K$4:$K$1203,对接源_02物料!$C$4:$C$1203,$B98,对接源_02物料!$D$4:$D$1203,"周转筐*",对接源_02物料!$L$4:$L$1203,"已付款")+SUMIFS(对接源_02物料!$K$4:$K$1203,对接源_02物料!$C$4:$C$1203,$B98,对接源_02物料!$D$4:$D$1203,"次果筐*",对接源_02物料!$L$4:$L$1203,"已收讫")+SUMIFS(对接源_02物料!$K$4:$K$1203,对接源_02物料!$C$4:$C$1203,$B98,对接源_02物料!$D$4:$D$1203,"次果筐*",对接源_02物料!$L$4:$L$1203,"已付款"),2))</f>
      </c>
      <c r="J98" s="177">
        <f>IF($B98="","",ROUND(N($H98)-N($I98),2))</f>
      </c>
      <c r="K98" s="16">
        <f>IF($B98="","",IF(ROUND(N($J98),2)&gt;0,"对方欠款",IF(ROUND(N($J98),2)&lt;0,"我方欠款","已两清")))</f>
      </c>
      <c r="L98" s="26" t="n"/>
    </row>
    <row r="99" s="127">
      <c r="A99" s="16">
        <f>IF($B99="","",ROW()-3)</f>
      </c>
      <c r="B99" s="11">
        <f>IFERROR(INDEX(_自动清单!$E$4:$E$303,ROW()-3),"")</f>
      </c>
      <c r="C99" s="177">
        <f>IF($B99="","",ROUND(SUMIFS(对接源_01水果!$K$4:$K$1203,对接源_01水果!$C$4:$C$1203,$B99,对接源_01水果!$D$4:$D$1203,"成品出库*"),2))</f>
      </c>
      <c r="D99" s="177">
        <f>IF($B99="","",ROUND(SUMIFS(对接源_01水果!$K$4:$K$1203,对接源_01水果!$C$4:$C$1203,$B99,对接源_01水果!$D$4:$D$1203,"其他代存*"),2))</f>
      </c>
      <c r="E99" s="177">
        <f>IF($B99="","",ROUND(SUMIFS(对接源_02物料!$K$4:$K$1203,对接源_02物料!$C$4:$C$1203,$B99,对接源_02物料!$D$4:$D$1203,"包装物料*"),2))</f>
      </c>
      <c r="F99" s="177">
        <f>IF($B99="","",ROUND(SUMIFS(对接源_02物料!$K$4:$K$1203,对接源_02物料!$C$4:$C$1203,$B99,对接源_02物料!$D$4:$D$1203,"周转筐*"),2))</f>
      </c>
      <c r="G99" s="177">
        <f>IF($B99="","",ROUND(SUMIFS(对接源_02物料!$K$4:$K$1203,对接源_02物料!$C$4:$C$1203,$B99,对接源_02物料!$D$4:$D$1203,"次果筐*"),2))</f>
      </c>
      <c r="H99" s="177">
        <f>IF($B99="","",ROUND(SUM($C99:$G99),2))</f>
      </c>
      <c r="I99" s="177">
        <f>IF($B99="","",ROUND(SUMIFS(对接源_01水果!$K$4:$K$1203,对接源_01水果!$C$4:$C$1203,$B99,对接源_01水果!$D$4:$D$1203,"成品出库*",对接源_01水果!$L$4:$L$1203,"已收讫")+SUMIFS(对接源_01水果!$K$4:$K$1203,对接源_01水果!$C$4:$C$1203,$B99,对接源_01水果!$D$4:$D$1203,"成品出库*",对接源_01水果!$L$4:$L$1203,"已付款")+SUMIFS(对接源_01水果!$K$4:$K$1203,对接源_01水果!$C$4:$C$1203,$B99,对接源_01水果!$D$4:$D$1203,"其他代存*",对接源_01水果!$L$4:$L$1203,"已收讫")+SUMIFS(对接源_01水果!$K$4:$K$1203,对接源_01水果!$C$4:$C$1203,$B99,对接源_01水果!$D$4:$D$1203,"其他代存*",对接源_01水果!$L$4:$L$1203,"已付款")+SUMIFS(对接源_02物料!$K$4:$K$1203,对接源_02物料!$C$4:$C$1203,$B99,对接源_02物料!$D$4:$D$1203,"包装物料*",对接源_02物料!$L$4:$L$1203,"已收讫")+SUMIFS(对接源_02物料!$K$4:$K$1203,对接源_02物料!$C$4:$C$1203,$B99,对接源_02物料!$D$4:$D$1203,"包装物料*",对接源_02物料!$L$4:$L$1203,"已付款")+SUMIFS(对接源_02物料!$K$4:$K$1203,对接源_02物料!$C$4:$C$1203,$B99,对接源_02物料!$D$4:$D$1203,"周转筐*",对接源_02物料!$L$4:$L$1203,"已收讫")+SUMIFS(对接源_02物料!$K$4:$K$1203,对接源_02物料!$C$4:$C$1203,$B99,对接源_02物料!$D$4:$D$1203,"周转筐*",对接源_02物料!$L$4:$L$1203,"已付款")+SUMIFS(对接源_02物料!$K$4:$K$1203,对接源_02物料!$C$4:$C$1203,$B99,对接源_02物料!$D$4:$D$1203,"次果筐*",对接源_02物料!$L$4:$L$1203,"已收讫")+SUMIFS(对接源_02物料!$K$4:$K$1203,对接源_02物料!$C$4:$C$1203,$B99,对接源_02物料!$D$4:$D$1203,"次果筐*",对接源_02物料!$L$4:$L$1203,"已付款"),2))</f>
      </c>
      <c r="J99" s="177">
        <f>IF($B99="","",ROUND(N($H99)-N($I99),2))</f>
      </c>
      <c r="K99" s="16">
        <f>IF($B99="","",IF(ROUND(N($J99),2)&gt;0,"对方欠款",IF(ROUND(N($J99),2)&lt;0,"我方欠款","已两清")))</f>
      </c>
      <c r="L99" s="26" t="n"/>
    </row>
    <row r="100" s="127">
      <c r="A100" s="16">
        <f>IF($B100="","",ROW()-3)</f>
      </c>
      <c r="B100" s="11">
        <f>IFERROR(INDEX(_自动清单!$E$4:$E$303,ROW()-3),"")</f>
      </c>
      <c r="C100" s="177">
        <f>IF($B100="","",ROUND(SUMIFS(对接源_01水果!$K$4:$K$1203,对接源_01水果!$C$4:$C$1203,$B100,对接源_01水果!$D$4:$D$1203,"成品出库*"),2))</f>
      </c>
      <c r="D100" s="177">
        <f>IF($B100="","",ROUND(SUMIFS(对接源_01水果!$K$4:$K$1203,对接源_01水果!$C$4:$C$1203,$B100,对接源_01水果!$D$4:$D$1203,"其他代存*"),2))</f>
      </c>
      <c r="E100" s="177">
        <f>IF($B100="","",ROUND(SUMIFS(对接源_02物料!$K$4:$K$1203,对接源_02物料!$C$4:$C$1203,$B100,对接源_02物料!$D$4:$D$1203,"包装物料*"),2))</f>
      </c>
      <c r="F100" s="177">
        <f>IF($B100="","",ROUND(SUMIFS(对接源_02物料!$K$4:$K$1203,对接源_02物料!$C$4:$C$1203,$B100,对接源_02物料!$D$4:$D$1203,"周转筐*"),2))</f>
      </c>
      <c r="G100" s="177">
        <f>IF($B100="","",ROUND(SUMIFS(对接源_02物料!$K$4:$K$1203,对接源_02物料!$C$4:$C$1203,$B100,对接源_02物料!$D$4:$D$1203,"次果筐*"),2))</f>
      </c>
      <c r="H100" s="177">
        <f>IF($B100="","",ROUND(SUM($C100:$G100),2))</f>
      </c>
      <c r="I100" s="177">
        <f>IF($B100="","",ROUND(SUMIFS(对接源_01水果!$K$4:$K$1203,对接源_01水果!$C$4:$C$1203,$B100,对接源_01水果!$D$4:$D$1203,"成品出库*",对接源_01水果!$L$4:$L$1203,"已收讫")+SUMIFS(对接源_01水果!$K$4:$K$1203,对接源_01水果!$C$4:$C$1203,$B100,对接源_01水果!$D$4:$D$1203,"成品出库*",对接源_01水果!$L$4:$L$1203,"已付款")+SUMIFS(对接源_01水果!$K$4:$K$1203,对接源_01水果!$C$4:$C$1203,$B100,对接源_01水果!$D$4:$D$1203,"其他代存*",对接源_01水果!$L$4:$L$1203,"已收讫")+SUMIFS(对接源_01水果!$K$4:$K$1203,对接源_01水果!$C$4:$C$1203,$B100,对接源_01水果!$D$4:$D$1203,"其他代存*",对接源_01水果!$L$4:$L$1203,"已付款")+SUMIFS(对接源_02物料!$K$4:$K$1203,对接源_02物料!$C$4:$C$1203,$B100,对接源_02物料!$D$4:$D$1203,"包装物料*",对接源_02物料!$L$4:$L$1203,"已收讫")+SUMIFS(对接源_02物料!$K$4:$K$1203,对接源_02物料!$C$4:$C$1203,$B100,对接源_02物料!$D$4:$D$1203,"包装物料*",对接源_02物料!$L$4:$L$1203,"已付款")+SUMIFS(对接源_02物料!$K$4:$K$1203,对接源_02物料!$C$4:$C$1203,$B100,对接源_02物料!$D$4:$D$1203,"周转筐*",对接源_02物料!$L$4:$L$1203,"已收讫")+SUMIFS(对接源_02物料!$K$4:$K$1203,对接源_02物料!$C$4:$C$1203,$B100,对接源_02物料!$D$4:$D$1203,"周转筐*",对接源_02物料!$L$4:$L$1203,"已付款")+SUMIFS(对接源_02物料!$K$4:$K$1203,对接源_02物料!$C$4:$C$1203,$B100,对接源_02物料!$D$4:$D$1203,"次果筐*",对接源_02物料!$L$4:$L$1203,"已收讫")+SUMIFS(对接源_02物料!$K$4:$K$1203,对接源_02物料!$C$4:$C$1203,$B100,对接源_02物料!$D$4:$D$1203,"次果筐*",对接源_02物料!$L$4:$L$1203,"已付款"),2))</f>
      </c>
      <c r="J100" s="177">
        <f>IF($B100="","",ROUND(N($H100)-N($I100),2))</f>
      </c>
      <c r="K100" s="16">
        <f>IF($B100="","",IF(ROUND(N($J100),2)&gt;0,"对方欠款",IF(ROUND(N($J100),2)&lt;0,"我方欠款","已两清")))</f>
      </c>
      <c r="L100" s="26" t="n"/>
    </row>
    <row r="101" s="127">
      <c r="A101" s="16">
        <f>IF($B101="","",ROW()-3)</f>
      </c>
      <c r="B101" s="11">
        <f>IFERROR(INDEX(_自动清单!$E$4:$E$303,ROW()-3),"")</f>
      </c>
      <c r="C101" s="177">
        <f>IF($B101="","",ROUND(SUMIFS(对接源_01水果!$K$4:$K$1203,对接源_01水果!$C$4:$C$1203,$B101,对接源_01水果!$D$4:$D$1203,"成品出库*"),2))</f>
      </c>
      <c r="D101" s="177">
        <f>IF($B101="","",ROUND(SUMIFS(对接源_01水果!$K$4:$K$1203,对接源_01水果!$C$4:$C$1203,$B101,对接源_01水果!$D$4:$D$1203,"其他代存*"),2))</f>
      </c>
      <c r="E101" s="177">
        <f>IF($B101="","",ROUND(SUMIFS(对接源_02物料!$K$4:$K$1203,对接源_02物料!$C$4:$C$1203,$B101,对接源_02物料!$D$4:$D$1203,"包装物料*"),2))</f>
      </c>
      <c r="F101" s="177">
        <f>IF($B101="","",ROUND(SUMIFS(对接源_02物料!$K$4:$K$1203,对接源_02物料!$C$4:$C$1203,$B101,对接源_02物料!$D$4:$D$1203,"周转筐*"),2))</f>
      </c>
      <c r="G101" s="177">
        <f>IF($B101="","",ROUND(SUMIFS(对接源_02物料!$K$4:$K$1203,对接源_02物料!$C$4:$C$1203,$B101,对接源_02物料!$D$4:$D$1203,"次果筐*"),2))</f>
      </c>
      <c r="H101" s="177">
        <f>IF($B101="","",ROUND(SUM($C101:$G101),2))</f>
      </c>
      <c r="I101" s="177">
        <f>IF($B101="","",ROUND(SUMIFS(对接源_01水果!$K$4:$K$1203,对接源_01水果!$C$4:$C$1203,$B101,对接源_01水果!$D$4:$D$1203,"成品出库*",对接源_01水果!$L$4:$L$1203,"已收讫")+SUMIFS(对接源_01水果!$K$4:$K$1203,对接源_01水果!$C$4:$C$1203,$B101,对接源_01水果!$D$4:$D$1203,"成品出库*",对接源_01水果!$L$4:$L$1203,"已付款")+SUMIFS(对接源_01水果!$K$4:$K$1203,对接源_01水果!$C$4:$C$1203,$B101,对接源_01水果!$D$4:$D$1203,"其他代存*",对接源_01水果!$L$4:$L$1203,"已收讫")+SUMIFS(对接源_01水果!$K$4:$K$1203,对接源_01水果!$C$4:$C$1203,$B101,对接源_01水果!$D$4:$D$1203,"其他代存*",对接源_01水果!$L$4:$L$1203,"已付款")+SUMIFS(对接源_02物料!$K$4:$K$1203,对接源_02物料!$C$4:$C$1203,$B101,对接源_02物料!$D$4:$D$1203,"包装物料*",对接源_02物料!$L$4:$L$1203,"已收讫")+SUMIFS(对接源_02物料!$K$4:$K$1203,对接源_02物料!$C$4:$C$1203,$B101,对接源_02物料!$D$4:$D$1203,"包装物料*",对接源_02物料!$L$4:$L$1203,"已付款")+SUMIFS(对接源_02物料!$K$4:$K$1203,对接源_02物料!$C$4:$C$1203,$B101,对接源_02物料!$D$4:$D$1203,"周转筐*",对接源_02物料!$L$4:$L$1203,"已收讫")+SUMIFS(对接源_02物料!$K$4:$K$1203,对接源_02物料!$C$4:$C$1203,$B101,对接源_02物料!$D$4:$D$1203,"周转筐*",对接源_02物料!$L$4:$L$1203,"已付款")+SUMIFS(对接源_02物料!$K$4:$K$1203,对接源_02物料!$C$4:$C$1203,$B101,对接源_02物料!$D$4:$D$1203,"次果筐*",对接源_02物料!$L$4:$L$1203,"已收讫")+SUMIFS(对接源_02物料!$K$4:$K$1203,对接源_02物料!$C$4:$C$1203,$B101,对接源_02物料!$D$4:$D$1203,"次果筐*",对接源_02物料!$L$4:$L$1203,"已付款"),2))</f>
      </c>
      <c r="J101" s="177">
        <f>IF($B101="","",ROUND(N($H101)-N($I101),2))</f>
      </c>
      <c r="K101" s="16">
        <f>IF($B101="","",IF(ROUND(N($J101),2)&gt;0,"对方欠款",IF(ROUND(N($J101),2)&lt;0,"我方欠款","已两清")))</f>
      </c>
      <c r="L101" s="26" t="n"/>
    </row>
    <row r="102" s="127">
      <c r="A102" s="16">
        <f>IF($B102="","",ROW()-3)</f>
      </c>
      <c r="B102" s="11">
        <f>IFERROR(INDEX(_自动清单!$E$4:$E$303,ROW()-3),"")</f>
      </c>
      <c r="C102" s="177">
        <f>IF($B102="","",ROUND(SUMIFS(对接源_01水果!$K$4:$K$1203,对接源_01水果!$C$4:$C$1203,$B102,对接源_01水果!$D$4:$D$1203,"成品出库*"),2))</f>
      </c>
      <c r="D102" s="177">
        <f>IF($B102="","",ROUND(SUMIFS(对接源_01水果!$K$4:$K$1203,对接源_01水果!$C$4:$C$1203,$B102,对接源_01水果!$D$4:$D$1203,"其他代存*"),2))</f>
      </c>
      <c r="E102" s="177">
        <f>IF($B102="","",ROUND(SUMIFS(对接源_02物料!$K$4:$K$1203,对接源_02物料!$C$4:$C$1203,$B102,对接源_02物料!$D$4:$D$1203,"包装物料*"),2))</f>
      </c>
      <c r="F102" s="177">
        <f>IF($B102="","",ROUND(SUMIFS(对接源_02物料!$K$4:$K$1203,对接源_02物料!$C$4:$C$1203,$B102,对接源_02物料!$D$4:$D$1203,"周转筐*"),2))</f>
      </c>
      <c r="G102" s="177">
        <f>IF($B102="","",ROUND(SUMIFS(对接源_02物料!$K$4:$K$1203,对接源_02物料!$C$4:$C$1203,$B102,对接源_02物料!$D$4:$D$1203,"次果筐*"),2))</f>
      </c>
      <c r="H102" s="177">
        <f>IF($B102="","",ROUND(SUM($C102:$G102),2))</f>
      </c>
      <c r="I102" s="177">
        <f>IF($B102="","",ROUND(SUMIFS(对接源_01水果!$K$4:$K$1203,对接源_01水果!$C$4:$C$1203,$B102,对接源_01水果!$D$4:$D$1203,"成品出库*",对接源_01水果!$L$4:$L$1203,"已收讫")+SUMIFS(对接源_01水果!$K$4:$K$1203,对接源_01水果!$C$4:$C$1203,$B102,对接源_01水果!$D$4:$D$1203,"成品出库*",对接源_01水果!$L$4:$L$1203,"已付款")+SUMIFS(对接源_01水果!$K$4:$K$1203,对接源_01水果!$C$4:$C$1203,$B102,对接源_01水果!$D$4:$D$1203,"其他代存*",对接源_01水果!$L$4:$L$1203,"已收讫")+SUMIFS(对接源_01水果!$K$4:$K$1203,对接源_01水果!$C$4:$C$1203,$B102,对接源_01水果!$D$4:$D$1203,"其他代存*",对接源_01水果!$L$4:$L$1203,"已付款")+SUMIFS(对接源_02物料!$K$4:$K$1203,对接源_02物料!$C$4:$C$1203,$B102,对接源_02物料!$D$4:$D$1203,"包装物料*",对接源_02物料!$L$4:$L$1203,"已收讫")+SUMIFS(对接源_02物料!$K$4:$K$1203,对接源_02物料!$C$4:$C$1203,$B102,对接源_02物料!$D$4:$D$1203,"包装物料*",对接源_02物料!$L$4:$L$1203,"已付款")+SUMIFS(对接源_02物料!$K$4:$K$1203,对接源_02物料!$C$4:$C$1203,$B102,对接源_02物料!$D$4:$D$1203,"周转筐*",对接源_02物料!$L$4:$L$1203,"已收讫")+SUMIFS(对接源_02物料!$K$4:$K$1203,对接源_02物料!$C$4:$C$1203,$B102,对接源_02物料!$D$4:$D$1203,"周转筐*",对接源_02物料!$L$4:$L$1203,"已付款")+SUMIFS(对接源_02物料!$K$4:$K$1203,对接源_02物料!$C$4:$C$1203,$B102,对接源_02物料!$D$4:$D$1203,"次果筐*",对接源_02物料!$L$4:$L$1203,"已收讫")+SUMIFS(对接源_02物料!$K$4:$K$1203,对接源_02物料!$C$4:$C$1203,$B102,对接源_02物料!$D$4:$D$1203,"次果筐*",对接源_02物料!$L$4:$L$1203,"已付款"),2))</f>
      </c>
      <c r="J102" s="177">
        <f>IF($B102="","",ROUND(N($H102)-N($I102),2))</f>
      </c>
      <c r="K102" s="16">
        <f>IF($B102="","",IF(ROUND(N($J102),2)&gt;0,"对方欠款",IF(ROUND(N($J102),2)&lt;0,"我方欠款","已两清")))</f>
      </c>
      <c r="L102" s="26" t="n"/>
    </row>
    <row r="103" s="127">
      <c r="A103" s="16">
        <f>IF($B103="","",ROW()-3)</f>
      </c>
      <c r="B103" s="11">
        <f>IFERROR(INDEX(_自动清单!$E$4:$E$303,ROW()-3),"")</f>
      </c>
      <c r="C103" s="177">
        <f>IF($B103="","",ROUND(SUMIFS(对接源_01水果!$K$4:$K$1203,对接源_01水果!$C$4:$C$1203,$B103,对接源_01水果!$D$4:$D$1203,"成品出库*"),2))</f>
      </c>
      <c r="D103" s="177">
        <f>IF($B103="","",ROUND(SUMIFS(对接源_01水果!$K$4:$K$1203,对接源_01水果!$C$4:$C$1203,$B103,对接源_01水果!$D$4:$D$1203,"其他代存*"),2))</f>
      </c>
      <c r="E103" s="177">
        <f>IF($B103="","",ROUND(SUMIFS(对接源_02物料!$K$4:$K$1203,对接源_02物料!$C$4:$C$1203,$B103,对接源_02物料!$D$4:$D$1203,"包装物料*"),2))</f>
      </c>
      <c r="F103" s="177">
        <f>IF($B103="","",ROUND(SUMIFS(对接源_02物料!$K$4:$K$1203,对接源_02物料!$C$4:$C$1203,$B103,对接源_02物料!$D$4:$D$1203,"周转筐*"),2))</f>
      </c>
      <c r="G103" s="177">
        <f>IF($B103="","",ROUND(SUMIFS(对接源_02物料!$K$4:$K$1203,对接源_02物料!$C$4:$C$1203,$B103,对接源_02物料!$D$4:$D$1203,"次果筐*"),2))</f>
      </c>
      <c r="H103" s="177">
        <f>IF($B103="","",ROUND(SUM($C103:$G103),2))</f>
      </c>
      <c r="I103" s="177">
        <f>IF($B103="","",ROUND(SUMIFS(对接源_01水果!$K$4:$K$1203,对接源_01水果!$C$4:$C$1203,$B103,对接源_01水果!$D$4:$D$1203,"成品出库*",对接源_01水果!$L$4:$L$1203,"已收讫")+SUMIFS(对接源_01水果!$K$4:$K$1203,对接源_01水果!$C$4:$C$1203,$B103,对接源_01水果!$D$4:$D$1203,"成品出库*",对接源_01水果!$L$4:$L$1203,"已付款")+SUMIFS(对接源_01水果!$K$4:$K$1203,对接源_01水果!$C$4:$C$1203,$B103,对接源_01水果!$D$4:$D$1203,"其他代存*",对接源_01水果!$L$4:$L$1203,"已收讫")+SUMIFS(对接源_01水果!$K$4:$K$1203,对接源_01水果!$C$4:$C$1203,$B103,对接源_01水果!$D$4:$D$1203,"其他代存*",对接源_01水果!$L$4:$L$1203,"已付款")+SUMIFS(对接源_02物料!$K$4:$K$1203,对接源_02物料!$C$4:$C$1203,$B103,对接源_02物料!$D$4:$D$1203,"包装物料*",对接源_02物料!$L$4:$L$1203,"已收讫")+SUMIFS(对接源_02物料!$K$4:$K$1203,对接源_02物料!$C$4:$C$1203,$B103,对接源_02物料!$D$4:$D$1203,"包装物料*",对接源_02物料!$L$4:$L$1203,"已付款")+SUMIFS(对接源_02物料!$K$4:$K$1203,对接源_02物料!$C$4:$C$1203,$B103,对接源_02物料!$D$4:$D$1203,"周转筐*",对接源_02物料!$L$4:$L$1203,"已收讫")+SUMIFS(对接源_02物料!$K$4:$K$1203,对接源_02物料!$C$4:$C$1203,$B103,对接源_02物料!$D$4:$D$1203,"周转筐*",对接源_02物料!$L$4:$L$1203,"已付款")+SUMIFS(对接源_02物料!$K$4:$K$1203,对接源_02物料!$C$4:$C$1203,$B103,对接源_02物料!$D$4:$D$1203,"次果筐*",对接源_02物料!$L$4:$L$1203,"已收讫")+SUMIFS(对接源_02物料!$K$4:$K$1203,对接源_02物料!$C$4:$C$1203,$B103,对接源_02物料!$D$4:$D$1203,"次果筐*",对接源_02物料!$L$4:$L$1203,"已付款"),2))</f>
      </c>
      <c r="J103" s="177">
        <f>IF($B103="","",ROUND(N($H103)-N($I103),2))</f>
      </c>
      <c r="K103" s="16">
        <f>IF($B103="","",IF(ROUND(N($J103),2)&gt;0,"对方欠款",IF(ROUND(N($J103),2)&lt;0,"我方欠款","已两清")))</f>
      </c>
      <c r="L103" s="26" t="n"/>
    </row>
    <row r="104" s="127">
      <c r="A104" s="16">
        <f>IF($B104="","",ROW()-3)</f>
      </c>
      <c r="B104" s="11">
        <f>IFERROR(INDEX(_自动清单!$E$4:$E$303,ROW()-3),"")</f>
      </c>
      <c r="C104" s="177">
        <f>IF($B104="","",ROUND(SUMIFS(对接源_01水果!$K$4:$K$1203,对接源_01水果!$C$4:$C$1203,$B104,对接源_01水果!$D$4:$D$1203,"成品出库*"),2))</f>
      </c>
      <c r="D104" s="177">
        <f>IF($B104="","",ROUND(SUMIFS(对接源_01水果!$K$4:$K$1203,对接源_01水果!$C$4:$C$1203,$B104,对接源_01水果!$D$4:$D$1203,"其他代存*"),2))</f>
      </c>
      <c r="E104" s="177">
        <f>IF($B104="","",ROUND(SUMIFS(对接源_02物料!$K$4:$K$1203,对接源_02物料!$C$4:$C$1203,$B104,对接源_02物料!$D$4:$D$1203,"包装物料*"),2))</f>
      </c>
      <c r="F104" s="177">
        <f>IF($B104="","",ROUND(SUMIFS(对接源_02物料!$K$4:$K$1203,对接源_02物料!$C$4:$C$1203,$B104,对接源_02物料!$D$4:$D$1203,"周转筐*"),2))</f>
      </c>
      <c r="G104" s="177">
        <f>IF($B104="","",ROUND(SUMIFS(对接源_02物料!$K$4:$K$1203,对接源_02物料!$C$4:$C$1203,$B104,对接源_02物料!$D$4:$D$1203,"次果筐*"),2))</f>
      </c>
      <c r="H104" s="177">
        <f>IF($B104="","",ROUND(SUM($C104:$G104),2))</f>
      </c>
      <c r="I104" s="177">
        <f>IF($B104="","",ROUND(SUMIFS(对接源_01水果!$K$4:$K$1203,对接源_01水果!$C$4:$C$1203,$B104,对接源_01水果!$D$4:$D$1203,"成品出库*",对接源_01水果!$L$4:$L$1203,"已收讫")+SUMIFS(对接源_01水果!$K$4:$K$1203,对接源_01水果!$C$4:$C$1203,$B104,对接源_01水果!$D$4:$D$1203,"成品出库*",对接源_01水果!$L$4:$L$1203,"已付款")+SUMIFS(对接源_01水果!$K$4:$K$1203,对接源_01水果!$C$4:$C$1203,$B104,对接源_01水果!$D$4:$D$1203,"其他代存*",对接源_01水果!$L$4:$L$1203,"已收讫")+SUMIFS(对接源_01水果!$K$4:$K$1203,对接源_01水果!$C$4:$C$1203,$B104,对接源_01水果!$D$4:$D$1203,"其他代存*",对接源_01水果!$L$4:$L$1203,"已付款")+SUMIFS(对接源_02物料!$K$4:$K$1203,对接源_02物料!$C$4:$C$1203,$B104,对接源_02物料!$D$4:$D$1203,"包装物料*",对接源_02物料!$L$4:$L$1203,"已收讫")+SUMIFS(对接源_02物料!$K$4:$K$1203,对接源_02物料!$C$4:$C$1203,$B104,对接源_02物料!$D$4:$D$1203,"包装物料*",对接源_02物料!$L$4:$L$1203,"已付款")+SUMIFS(对接源_02物料!$K$4:$K$1203,对接源_02物料!$C$4:$C$1203,$B104,对接源_02物料!$D$4:$D$1203,"周转筐*",对接源_02物料!$L$4:$L$1203,"已收讫")+SUMIFS(对接源_02物料!$K$4:$K$1203,对接源_02物料!$C$4:$C$1203,$B104,对接源_02物料!$D$4:$D$1203,"周转筐*",对接源_02物料!$L$4:$L$1203,"已付款")+SUMIFS(对接源_02物料!$K$4:$K$1203,对接源_02物料!$C$4:$C$1203,$B104,对接源_02物料!$D$4:$D$1203,"次果筐*",对接源_02物料!$L$4:$L$1203,"已收讫")+SUMIFS(对接源_02物料!$K$4:$K$1203,对接源_02物料!$C$4:$C$1203,$B104,对接源_02物料!$D$4:$D$1203,"次果筐*",对接源_02物料!$L$4:$L$1203,"已付款"),2))</f>
      </c>
      <c r="J104" s="177">
        <f>IF($B104="","",ROUND(N($H104)-N($I104),2))</f>
      </c>
      <c r="K104" s="16">
        <f>IF($B104="","",IF(ROUND(N($J104),2)&gt;0,"对方欠款",IF(ROUND(N($J104),2)&lt;0,"我方欠款","已两清")))</f>
      </c>
      <c r="L104" s="26" t="n"/>
    </row>
    <row r="105" s="127">
      <c r="A105" s="16">
        <f>IF($B105="","",ROW()-3)</f>
      </c>
      <c r="B105" s="11">
        <f>IFERROR(INDEX(_自动清单!$E$4:$E$303,ROW()-3),"")</f>
      </c>
      <c r="C105" s="177">
        <f>IF($B105="","",ROUND(SUMIFS(对接源_01水果!$K$4:$K$1203,对接源_01水果!$C$4:$C$1203,$B105,对接源_01水果!$D$4:$D$1203,"成品出库*"),2))</f>
      </c>
      <c r="D105" s="177">
        <f>IF($B105="","",ROUND(SUMIFS(对接源_01水果!$K$4:$K$1203,对接源_01水果!$C$4:$C$1203,$B105,对接源_01水果!$D$4:$D$1203,"其他代存*"),2))</f>
      </c>
      <c r="E105" s="177">
        <f>IF($B105="","",ROUND(SUMIFS(对接源_02物料!$K$4:$K$1203,对接源_02物料!$C$4:$C$1203,$B105,对接源_02物料!$D$4:$D$1203,"包装物料*"),2))</f>
      </c>
      <c r="F105" s="177">
        <f>IF($B105="","",ROUND(SUMIFS(对接源_02物料!$K$4:$K$1203,对接源_02物料!$C$4:$C$1203,$B105,对接源_02物料!$D$4:$D$1203,"周转筐*"),2))</f>
      </c>
      <c r="G105" s="177">
        <f>IF($B105="","",ROUND(SUMIFS(对接源_02物料!$K$4:$K$1203,对接源_02物料!$C$4:$C$1203,$B105,对接源_02物料!$D$4:$D$1203,"次果筐*"),2))</f>
      </c>
      <c r="H105" s="177">
        <f>IF($B105="","",ROUND(SUM($C105:$G105),2))</f>
      </c>
      <c r="I105" s="177">
        <f>IF($B105="","",ROUND(SUMIFS(对接源_01水果!$K$4:$K$1203,对接源_01水果!$C$4:$C$1203,$B105,对接源_01水果!$D$4:$D$1203,"成品出库*",对接源_01水果!$L$4:$L$1203,"已收讫")+SUMIFS(对接源_01水果!$K$4:$K$1203,对接源_01水果!$C$4:$C$1203,$B105,对接源_01水果!$D$4:$D$1203,"成品出库*",对接源_01水果!$L$4:$L$1203,"已付款")+SUMIFS(对接源_01水果!$K$4:$K$1203,对接源_01水果!$C$4:$C$1203,$B105,对接源_01水果!$D$4:$D$1203,"其他代存*",对接源_01水果!$L$4:$L$1203,"已收讫")+SUMIFS(对接源_01水果!$K$4:$K$1203,对接源_01水果!$C$4:$C$1203,$B105,对接源_01水果!$D$4:$D$1203,"其他代存*",对接源_01水果!$L$4:$L$1203,"已付款")+SUMIFS(对接源_02物料!$K$4:$K$1203,对接源_02物料!$C$4:$C$1203,$B105,对接源_02物料!$D$4:$D$1203,"包装物料*",对接源_02物料!$L$4:$L$1203,"已收讫")+SUMIFS(对接源_02物料!$K$4:$K$1203,对接源_02物料!$C$4:$C$1203,$B105,对接源_02物料!$D$4:$D$1203,"包装物料*",对接源_02物料!$L$4:$L$1203,"已付款")+SUMIFS(对接源_02物料!$K$4:$K$1203,对接源_02物料!$C$4:$C$1203,$B105,对接源_02物料!$D$4:$D$1203,"周转筐*",对接源_02物料!$L$4:$L$1203,"已收讫")+SUMIFS(对接源_02物料!$K$4:$K$1203,对接源_02物料!$C$4:$C$1203,$B105,对接源_02物料!$D$4:$D$1203,"周转筐*",对接源_02物料!$L$4:$L$1203,"已付款")+SUMIFS(对接源_02物料!$K$4:$K$1203,对接源_02物料!$C$4:$C$1203,$B105,对接源_02物料!$D$4:$D$1203,"次果筐*",对接源_02物料!$L$4:$L$1203,"已收讫")+SUMIFS(对接源_02物料!$K$4:$K$1203,对接源_02物料!$C$4:$C$1203,$B105,对接源_02物料!$D$4:$D$1203,"次果筐*",对接源_02物料!$L$4:$L$1203,"已付款"),2))</f>
      </c>
      <c r="J105" s="177">
        <f>IF($B105="","",ROUND(N($H105)-N($I105),2))</f>
      </c>
      <c r="K105" s="16">
        <f>IF($B105="","",IF(ROUND(N($J105),2)&gt;0,"对方欠款",IF(ROUND(N($J105),2)&lt;0,"我方欠款","已两清")))</f>
      </c>
      <c r="L105" s="26" t="n"/>
    </row>
    <row r="106" s="127">
      <c r="A106" s="16">
        <f>IF($B106="","",ROW()-3)</f>
      </c>
      <c r="B106" s="11">
        <f>IFERROR(INDEX(_自动清单!$E$4:$E$303,ROW()-3),"")</f>
      </c>
      <c r="C106" s="177">
        <f>IF($B106="","",ROUND(SUMIFS(对接源_01水果!$K$4:$K$1203,对接源_01水果!$C$4:$C$1203,$B106,对接源_01水果!$D$4:$D$1203,"成品出库*"),2))</f>
      </c>
      <c r="D106" s="177">
        <f>IF($B106="","",ROUND(SUMIFS(对接源_01水果!$K$4:$K$1203,对接源_01水果!$C$4:$C$1203,$B106,对接源_01水果!$D$4:$D$1203,"其他代存*"),2))</f>
      </c>
      <c r="E106" s="177">
        <f>IF($B106="","",ROUND(SUMIFS(对接源_02物料!$K$4:$K$1203,对接源_02物料!$C$4:$C$1203,$B106,对接源_02物料!$D$4:$D$1203,"包装物料*"),2))</f>
      </c>
      <c r="F106" s="177">
        <f>IF($B106="","",ROUND(SUMIFS(对接源_02物料!$K$4:$K$1203,对接源_02物料!$C$4:$C$1203,$B106,对接源_02物料!$D$4:$D$1203,"周转筐*"),2))</f>
      </c>
      <c r="G106" s="177">
        <f>IF($B106="","",ROUND(SUMIFS(对接源_02物料!$K$4:$K$1203,对接源_02物料!$C$4:$C$1203,$B106,对接源_02物料!$D$4:$D$1203,"次果筐*"),2))</f>
      </c>
      <c r="H106" s="177">
        <f>IF($B106="","",ROUND(SUM($C106:$G106),2))</f>
      </c>
      <c r="I106" s="177">
        <f>IF($B106="","",ROUND(SUMIFS(对接源_01水果!$K$4:$K$1203,对接源_01水果!$C$4:$C$1203,$B106,对接源_01水果!$D$4:$D$1203,"成品出库*",对接源_01水果!$L$4:$L$1203,"已收讫")+SUMIFS(对接源_01水果!$K$4:$K$1203,对接源_01水果!$C$4:$C$1203,$B106,对接源_01水果!$D$4:$D$1203,"成品出库*",对接源_01水果!$L$4:$L$1203,"已付款")+SUMIFS(对接源_01水果!$K$4:$K$1203,对接源_01水果!$C$4:$C$1203,$B106,对接源_01水果!$D$4:$D$1203,"其他代存*",对接源_01水果!$L$4:$L$1203,"已收讫")+SUMIFS(对接源_01水果!$K$4:$K$1203,对接源_01水果!$C$4:$C$1203,$B106,对接源_01水果!$D$4:$D$1203,"其他代存*",对接源_01水果!$L$4:$L$1203,"已付款")+SUMIFS(对接源_02物料!$K$4:$K$1203,对接源_02物料!$C$4:$C$1203,$B106,对接源_02物料!$D$4:$D$1203,"包装物料*",对接源_02物料!$L$4:$L$1203,"已收讫")+SUMIFS(对接源_02物料!$K$4:$K$1203,对接源_02物料!$C$4:$C$1203,$B106,对接源_02物料!$D$4:$D$1203,"包装物料*",对接源_02物料!$L$4:$L$1203,"已付款")+SUMIFS(对接源_02物料!$K$4:$K$1203,对接源_02物料!$C$4:$C$1203,$B106,对接源_02物料!$D$4:$D$1203,"周转筐*",对接源_02物料!$L$4:$L$1203,"已收讫")+SUMIFS(对接源_02物料!$K$4:$K$1203,对接源_02物料!$C$4:$C$1203,$B106,对接源_02物料!$D$4:$D$1203,"周转筐*",对接源_02物料!$L$4:$L$1203,"已付款")+SUMIFS(对接源_02物料!$K$4:$K$1203,对接源_02物料!$C$4:$C$1203,$B106,对接源_02物料!$D$4:$D$1203,"次果筐*",对接源_02物料!$L$4:$L$1203,"已收讫")+SUMIFS(对接源_02物料!$K$4:$K$1203,对接源_02物料!$C$4:$C$1203,$B106,对接源_02物料!$D$4:$D$1203,"次果筐*",对接源_02物料!$L$4:$L$1203,"已付款"),2))</f>
      </c>
      <c r="J106" s="177">
        <f>IF($B106="","",ROUND(N($H106)-N($I106),2))</f>
      </c>
      <c r="K106" s="16">
        <f>IF($B106="","",IF(ROUND(N($J106),2)&gt;0,"对方欠款",IF(ROUND(N($J106),2)&lt;0,"我方欠款","已两清")))</f>
      </c>
      <c r="L106" s="26" t="n"/>
    </row>
    <row r="107" s="127">
      <c r="A107" s="16">
        <f>IF($B107="","",ROW()-3)</f>
      </c>
      <c r="B107" s="11">
        <f>IFERROR(INDEX(_自动清单!$E$4:$E$303,ROW()-3),"")</f>
      </c>
      <c r="C107" s="177">
        <f>IF($B107="","",ROUND(SUMIFS(对接源_01水果!$K$4:$K$1203,对接源_01水果!$C$4:$C$1203,$B107,对接源_01水果!$D$4:$D$1203,"成品出库*"),2))</f>
      </c>
      <c r="D107" s="177">
        <f>IF($B107="","",ROUND(SUMIFS(对接源_01水果!$K$4:$K$1203,对接源_01水果!$C$4:$C$1203,$B107,对接源_01水果!$D$4:$D$1203,"其他代存*"),2))</f>
      </c>
      <c r="E107" s="177">
        <f>IF($B107="","",ROUND(SUMIFS(对接源_02物料!$K$4:$K$1203,对接源_02物料!$C$4:$C$1203,$B107,对接源_02物料!$D$4:$D$1203,"包装物料*"),2))</f>
      </c>
      <c r="F107" s="177">
        <f>IF($B107="","",ROUND(SUMIFS(对接源_02物料!$K$4:$K$1203,对接源_02物料!$C$4:$C$1203,$B107,对接源_02物料!$D$4:$D$1203,"周转筐*"),2))</f>
      </c>
      <c r="G107" s="177">
        <f>IF($B107="","",ROUND(SUMIFS(对接源_02物料!$K$4:$K$1203,对接源_02物料!$C$4:$C$1203,$B107,对接源_02物料!$D$4:$D$1203,"次果筐*"),2))</f>
      </c>
      <c r="H107" s="177">
        <f>IF($B107="","",ROUND(SUM($C107:$G107),2))</f>
      </c>
      <c r="I107" s="177">
        <f>IF($B107="","",ROUND(SUMIFS(对接源_01水果!$K$4:$K$1203,对接源_01水果!$C$4:$C$1203,$B107,对接源_01水果!$D$4:$D$1203,"成品出库*",对接源_01水果!$L$4:$L$1203,"已收讫")+SUMIFS(对接源_01水果!$K$4:$K$1203,对接源_01水果!$C$4:$C$1203,$B107,对接源_01水果!$D$4:$D$1203,"成品出库*",对接源_01水果!$L$4:$L$1203,"已付款")+SUMIFS(对接源_01水果!$K$4:$K$1203,对接源_01水果!$C$4:$C$1203,$B107,对接源_01水果!$D$4:$D$1203,"其他代存*",对接源_01水果!$L$4:$L$1203,"已收讫")+SUMIFS(对接源_01水果!$K$4:$K$1203,对接源_01水果!$C$4:$C$1203,$B107,对接源_01水果!$D$4:$D$1203,"其他代存*",对接源_01水果!$L$4:$L$1203,"已付款")+SUMIFS(对接源_02物料!$K$4:$K$1203,对接源_02物料!$C$4:$C$1203,$B107,对接源_02物料!$D$4:$D$1203,"包装物料*",对接源_02物料!$L$4:$L$1203,"已收讫")+SUMIFS(对接源_02物料!$K$4:$K$1203,对接源_02物料!$C$4:$C$1203,$B107,对接源_02物料!$D$4:$D$1203,"包装物料*",对接源_02物料!$L$4:$L$1203,"已付款")+SUMIFS(对接源_02物料!$K$4:$K$1203,对接源_02物料!$C$4:$C$1203,$B107,对接源_02物料!$D$4:$D$1203,"周转筐*",对接源_02物料!$L$4:$L$1203,"已收讫")+SUMIFS(对接源_02物料!$K$4:$K$1203,对接源_02物料!$C$4:$C$1203,$B107,对接源_02物料!$D$4:$D$1203,"周转筐*",对接源_02物料!$L$4:$L$1203,"已付款")+SUMIFS(对接源_02物料!$K$4:$K$1203,对接源_02物料!$C$4:$C$1203,$B107,对接源_02物料!$D$4:$D$1203,"次果筐*",对接源_02物料!$L$4:$L$1203,"已收讫")+SUMIFS(对接源_02物料!$K$4:$K$1203,对接源_02物料!$C$4:$C$1203,$B107,对接源_02物料!$D$4:$D$1203,"次果筐*",对接源_02物料!$L$4:$L$1203,"已付款"),2))</f>
      </c>
      <c r="J107" s="177">
        <f>IF($B107="","",ROUND(N($H107)-N($I107),2))</f>
      </c>
      <c r="K107" s="16">
        <f>IF($B107="","",IF(ROUND(N($J107),2)&gt;0,"对方欠款",IF(ROUND(N($J107),2)&lt;0,"我方欠款","已两清")))</f>
      </c>
      <c r="L107" s="26" t="n"/>
    </row>
    <row r="108" s="127">
      <c r="A108" s="16">
        <f>IF($B108="","",ROW()-3)</f>
      </c>
      <c r="B108" s="11">
        <f>IFERROR(INDEX(_自动清单!$E$4:$E$303,ROW()-3),"")</f>
      </c>
      <c r="C108" s="177">
        <f>IF($B108="","",ROUND(SUMIFS(对接源_01水果!$K$4:$K$1203,对接源_01水果!$C$4:$C$1203,$B108,对接源_01水果!$D$4:$D$1203,"成品出库*"),2))</f>
      </c>
      <c r="D108" s="177">
        <f>IF($B108="","",ROUND(SUMIFS(对接源_01水果!$K$4:$K$1203,对接源_01水果!$C$4:$C$1203,$B108,对接源_01水果!$D$4:$D$1203,"其他代存*"),2))</f>
      </c>
      <c r="E108" s="177">
        <f>IF($B108="","",ROUND(SUMIFS(对接源_02物料!$K$4:$K$1203,对接源_02物料!$C$4:$C$1203,$B108,对接源_02物料!$D$4:$D$1203,"包装物料*"),2))</f>
      </c>
      <c r="F108" s="177">
        <f>IF($B108="","",ROUND(SUMIFS(对接源_02物料!$K$4:$K$1203,对接源_02物料!$C$4:$C$1203,$B108,对接源_02物料!$D$4:$D$1203,"周转筐*"),2))</f>
      </c>
      <c r="G108" s="177">
        <f>IF($B108="","",ROUND(SUMIFS(对接源_02物料!$K$4:$K$1203,对接源_02物料!$C$4:$C$1203,$B108,对接源_02物料!$D$4:$D$1203,"次果筐*"),2))</f>
      </c>
      <c r="H108" s="177">
        <f>IF($B108="","",ROUND(SUM($C108:$G108),2))</f>
      </c>
      <c r="I108" s="177">
        <f>IF($B108="","",ROUND(SUMIFS(对接源_01水果!$K$4:$K$1203,对接源_01水果!$C$4:$C$1203,$B108,对接源_01水果!$D$4:$D$1203,"成品出库*",对接源_01水果!$L$4:$L$1203,"已收讫")+SUMIFS(对接源_01水果!$K$4:$K$1203,对接源_01水果!$C$4:$C$1203,$B108,对接源_01水果!$D$4:$D$1203,"成品出库*",对接源_01水果!$L$4:$L$1203,"已付款")+SUMIFS(对接源_01水果!$K$4:$K$1203,对接源_01水果!$C$4:$C$1203,$B108,对接源_01水果!$D$4:$D$1203,"其他代存*",对接源_01水果!$L$4:$L$1203,"已收讫")+SUMIFS(对接源_01水果!$K$4:$K$1203,对接源_01水果!$C$4:$C$1203,$B108,对接源_01水果!$D$4:$D$1203,"其他代存*",对接源_01水果!$L$4:$L$1203,"已付款")+SUMIFS(对接源_02物料!$K$4:$K$1203,对接源_02物料!$C$4:$C$1203,$B108,对接源_02物料!$D$4:$D$1203,"包装物料*",对接源_02物料!$L$4:$L$1203,"已收讫")+SUMIFS(对接源_02物料!$K$4:$K$1203,对接源_02物料!$C$4:$C$1203,$B108,对接源_02物料!$D$4:$D$1203,"包装物料*",对接源_02物料!$L$4:$L$1203,"已付款")+SUMIFS(对接源_02物料!$K$4:$K$1203,对接源_02物料!$C$4:$C$1203,$B108,对接源_02物料!$D$4:$D$1203,"周转筐*",对接源_02物料!$L$4:$L$1203,"已收讫")+SUMIFS(对接源_02物料!$K$4:$K$1203,对接源_02物料!$C$4:$C$1203,$B108,对接源_02物料!$D$4:$D$1203,"周转筐*",对接源_02物料!$L$4:$L$1203,"已付款")+SUMIFS(对接源_02物料!$K$4:$K$1203,对接源_02物料!$C$4:$C$1203,$B108,对接源_02物料!$D$4:$D$1203,"次果筐*",对接源_02物料!$L$4:$L$1203,"已收讫")+SUMIFS(对接源_02物料!$K$4:$K$1203,对接源_02物料!$C$4:$C$1203,$B108,对接源_02物料!$D$4:$D$1203,"次果筐*",对接源_02物料!$L$4:$L$1203,"已付款"),2))</f>
      </c>
      <c r="J108" s="177">
        <f>IF($B108="","",ROUND(N($H108)-N($I108),2))</f>
      </c>
      <c r="K108" s="16">
        <f>IF($B108="","",IF(ROUND(N($J108),2)&gt;0,"对方欠款",IF(ROUND(N($J108),2)&lt;0,"我方欠款","已两清")))</f>
      </c>
      <c r="L108" s="26" t="n"/>
    </row>
    <row r="109" s="127">
      <c r="A109" s="16">
        <f>IF($B109="","",ROW()-3)</f>
      </c>
      <c r="B109" s="11">
        <f>IFERROR(INDEX(_自动清单!$E$4:$E$303,ROW()-3),"")</f>
      </c>
      <c r="C109" s="177">
        <f>IF($B109="","",ROUND(SUMIFS(对接源_01水果!$K$4:$K$1203,对接源_01水果!$C$4:$C$1203,$B109,对接源_01水果!$D$4:$D$1203,"成品出库*"),2))</f>
      </c>
      <c r="D109" s="177">
        <f>IF($B109="","",ROUND(SUMIFS(对接源_01水果!$K$4:$K$1203,对接源_01水果!$C$4:$C$1203,$B109,对接源_01水果!$D$4:$D$1203,"其他代存*"),2))</f>
      </c>
      <c r="E109" s="177">
        <f>IF($B109="","",ROUND(SUMIFS(对接源_02物料!$K$4:$K$1203,对接源_02物料!$C$4:$C$1203,$B109,对接源_02物料!$D$4:$D$1203,"包装物料*"),2))</f>
      </c>
      <c r="F109" s="177">
        <f>IF($B109="","",ROUND(SUMIFS(对接源_02物料!$K$4:$K$1203,对接源_02物料!$C$4:$C$1203,$B109,对接源_02物料!$D$4:$D$1203,"周转筐*"),2))</f>
      </c>
      <c r="G109" s="177">
        <f>IF($B109="","",ROUND(SUMIFS(对接源_02物料!$K$4:$K$1203,对接源_02物料!$C$4:$C$1203,$B109,对接源_02物料!$D$4:$D$1203,"次果筐*"),2))</f>
      </c>
      <c r="H109" s="177">
        <f>IF($B109="","",ROUND(SUM($C109:$G109),2))</f>
      </c>
      <c r="I109" s="177">
        <f>IF($B109="","",ROUND(SUMIFS(对接源_01水果!$K$4:$K$1203,对接源_01水果!$C$4:$C$1203,$B109,对接源_01水果!$D$4:$D$1203,"成品出库*",对接源_01水果!$L$4:$L$1203,"已收讫")+SUMIFS(对接源_01水果!$K$4:$K$1203,对接源_01水果!$C$4:$C$1203,$B109,对接源_01水果!$D$4:$D$1203,"成品出库*",对接源_01水果!$L$4:$L$1203,"已付款")+SUMIFS(对接源_01水果!$K$4:$K$1203,对接源_01水果!$C$4:$C$1203,$B109,对接源_01水果!$D$4:$D$1203,"其他代存*",对接源_01水果!$L$4:$L$1203,"已收讫")+SUMIFS(对接源_01水果!$K$4:$K$1203,对接源_01水果!$C$4:$C$1203,$B109,对接源_01水果!$D$4:$D$1203,"其他代存*",对接源_01水果!$L$4:$L$1203,"已付款")+SUMIFS(对接源_02物料!$K$4:$K$1203,对接源_02物料!$C$4:$C$1203,$B109,对接源_02物料!$D$4:$D$1203,"包装物料*",对接源_02物料!$L$4:$L$1203,"已收讫")+SUMIFS(对接源_02物料!$K$4:$K$1203,对接源_02物料!$C$4:$C$1203,$B109,对接源_02物料!$D$4:$D$1203,"包装物料*",对接源_02物料!$L$4:$L$1203,"已付款")+SUMIFS(对接源_02物料!$K$4:$K$1203,对接源_02物料!$C$4:$C$1203,$B109,对接源_02物料!$D$4:$D$1203,"周转筐*",对接源_02物料!$L$4:$L$1203,"已收讫")+SUMIFS(对接源_02物料!$K$4:$K$1203,对接源_02物料!$C$4:$C$1203,$B109,对接源_02物料!$D$4:$D$1203,"周转筐*",对接源_02物料!$L$4:$L$1203,"已付款")+SUMIFS(对接源_02物料!$K$4:$K$1203,对接源_02物料!$C$4:$C$1203,$B109,对接源_02物料!$D$4:$D$1203,"次果筐*",对接源_02物料!$L$4:$L$1203,"已收讫")+SUMIFS(对接源_02物料!$K$4:$K$1203,对接源_02物料!$C$4:$C$1203,$B109,对接源_02物料!$D$4:$D$1203,"次果筐*",对接源_02物料!$L$4:$L$1203,"已付款"),2))</f>
      </c>
      <c r="J109" s="177">
        <f>IF($B109="","",ROUND(N($H109)-N($I109),2))</f>
      </c>
      <c r="K109" s="16">
        <f>IF($B109="","",IF(ROUND(N($J109),2)&gt;0,"对方欠款",IF(ROUND(N($J109),2)&lt;0,"我方欠款","已两清")))</f>
      </c>
      <c r="L109" s="26" t="n"/>
    </row>
    <row r="110" s="127">
      <c r="A110" s="16">
        <f>IF($B110="","",ROW()-3)</f>
      </c>
      <c r="B110" s="11">
        <f>IFERROR(INDEX(_自动清单!$E$4:$E$303,ROW()-3),"")</f>
      </c>
      <c r="C110" s="177">
        <f>IF($B110="","",ROUND(SUMIFS(对接源_01水果!$K$4:$K$1203,对接源_01水果!$C$4:$C$1203,$B110,对接源_01水果!$D$4:$D$1203,"成品出库*"),2))</f>
      </c>
      <c r="D110" s="177">
        <f>IF($B110="","",ROUND(SUMIFS(对接源_01水果!$K$4:$K$1203,对接源_01水果!$C$4:$C$1203,$B110,对接源_01水果!$D$4:$D$1203,"其他代存*"),2))</f>
      </c>
      <c r="E110" s="177">
        <f>IF($B110="","",ROUND(SUMIFS(对接源_02物料!$K$4:$K$1203,对接源_02物料!$C$4:$C$1203,$B110,对接源_02物料!$D$4:$D$1203,"包装物料*"),2))</f>
      </c>
      <c r="F110" s="177">
        <f>IF($B110="","",ROUND(SUMIFS(对接源_02物料!$K$4:$K$1203,对接源_02物料!$C$4:$C$1203,$B110,对接源_02物料!$D$4:$D$1203,"周转筐*"),2))</f>
      </c>
      <c r="G110" s="177">
        <f>IF($B110="","",ROUND(SUMIFS(对接源_02物料!$K$4:$K$1203,对接源_02物料!$C$4:$C$1203,$B110,对接源_02物料!$D$4:$D$1203,"次果筐*"),2))</f>
      </c>
      <c r="H110" s="177">
        <f>IF($B110="","",ROUND(SUM($C110:$G110),2))</f>
      </c>
      <c r="I110" s="177">
        <f>IF($B110="","",ROUND(SUMIFS(对接源_01水果!$K$4:$K$1203,对接源_01水果!$C$4:$C$1203,$B110,对接源_01水果!$D$4:$D$1203,"成品出库*",对接源_01水果!$L$4:$L$1203,"已收讫")+SUMIFS(对接源_01水果!$K$4:$K$1203,对接源_01水果!$C$4:$C$1203,$B110,对接源_01水果!$D$4:$D$1203,"成品出库*",对接源_01水果!$L$4:$L$1203,"已付款")+SUMIFS(对接源_01水果!$K$4:$K$1203,对接源_01水果!$C$4:$C$1203,$B110,对接源_01水果!$D$4:$D$1203,"其他代存*",对接源_01水果!$L$4:$L$1203,"已收讫")+SUMIFS(对接源_01水果!$K$4:$K$1203,对接源_01水果!$C$4:$C$1203,$B110,对接源_01水果!$D$4:$D$1203,"其他代存*",对接源_01水果!$L$4:$L$1203,"已付款")+SUMIFS(对接源_02物料!$K$4:$K$1203,对接源_02物料!$C$4:$C$1203,$B110,对接源_02物料!$D$4:$D$1203,"包装物料*",对接源_02物料!$L$4:$L$1203,"已收讫")+SUMIFS(对接源_02物料!$K$4:$K$1203,对接源_02物料!$C$4:$C$1203,$B110,对接源_02物料!$D$4:$D$1203,"包装物料*",对接源_02物料!$L$4:$L$1203,"已付款")+SUMIFS(对接源_02物料!$K$4:$K$1203,对接源_02物料!$C$4:$C$1203,$B110,对接源_02物料!$D$4:$D$1203,"周转筐*",对接源_02物料!$L$4:$L$1203,"已收讫")+SUMIFS(对接源_02物料!$K$4:$K$1203,对接源_02物料!$C$4:$C$1203,$B110,对接源_02物料!$D$4:$D$1203,"周转筐*",对接源_02物料!$L$4:$L$1203,"已付款")+SUMIFS(对接源_02物料!$K$4:$K$1203,对接源_02物料!$C$4:$C$1203,$B110,对接源_02物料!$D$4:$D$1203,"次果筐*",对接源_02物料!$L$4:$L$1203,"已收讫")+SUMIFS(对接源_02物料!$K$4:$K$1203,对接源_02物料!$C$4:$C$1203,$B110,对接源_02物料!$D$4:$D$1203,"次果筐*",对接源_02物料!$L$4:$L$1203,"已付款"),2))</f>
      </c>
      <c r="J110" s="177">
        <f>IF($B110="","",ROUND(N($H110)-N($I110),2))</f>
      </c>
      <c r="K110" s="16">
        <f>IF($B110="","",IF(ROUND(N($J110),2)&gt;0,"对方欠款",IF(ROUND(N($J110),2)&lt;0,"我方欠款","已两清")))</f>
      </c>
      <c r="L110" s="26" t="n"/>
    </row>
    <row r="111" s="127">
      <c r="A111" s="16">
        <f>IF($B111="","",ROW()-3)</f>
      </c>
      <c r="B111" s="11">
        <f>IFERROR(INDEX(_自动清单!$E$4:$E$303,ROW()-3),"")</f>
      </c>
      <c r="C111" s="177">
        <f>IF($B111="","",ROUND(SUMIFS(对接源_01水果!$K$4:$K$1203,对接源_01水果!$C$4:$C$1203,$B111,对接源_01水果!$D$4:$D$1203,"成品出库*"),2))</f>
      </c>
      <c r="D111" s="177">
        <f>IF($B111="","",ROUND(SUMIFS(对接源_01水果!$K$4:$K$1203,对接源_01水果!$C$4:$C$1203,$B111,对接源_01水果!$D$4:$D$1203,"其他代存*"),2))</f>
      </c>
      <c r="E111" s="177">
        <f>IF($B111="","",ROUND(SUMIFS(对接源_02物料!$K$4:$K$1203,对接源_02物料!$C$4:$C$1203,$B111,对接源_02物料!$D$4:$D$1203,"包装物料*"),2))</f>
      </c>
      <c r="F111" s="177">
        <f>IF($B111="","",ROUND(SUMIFS(对接源_02物料!$K$4:$K$1203,对接源_02物料!$C$4:$C$1203,$B111,对接源_02物料!$D$4:$D$1203,"周转筐*"),2))</f>
      </c>
      <c r="G111" s="177">
        <f>IF($B111="","",ROUND(SUMIFS(对接源_02物料!$K$4:$K$1203,对接源_02物料!$C$4:$C$1203,$B111,对接源_02物料!$D$4:$D$1203,"次果筐*"),2))</f>
      </c>
      <c r="H111" s="177">
        <f>IF($B111="","",ROUND(SUM($C111:$G111),2))</f>
      </c>
      <c r="I111" s="177">
        <f>IF($B111="","",ROUND(SUMIFS(对接源_01水果!$K$4:$K$1203,对接源_01水果!$C$4:$C$1203,$B111,对接源_01水果!$D$4:$D$1203,"成品出库*",对接源_01水果!$L$4:$L$1203,"已收讫")+SUMIFS(对接源_01水果!$K$4:$K$1203,对接源_01水果!$C$4:$C$1203,$B111,对接源_01水果!$D$4:$D$1203,"成品出库*",对接源_01水果!$L$4:$L$1203,"已付款")+SUMIFS(对接源_01水果!$K$4:$K$1203,对接源_01水果!$C$4:$C$1203,$B111,对接源_01水果!$D$4:$D$1203,"其他代存*",对接源_01水果!$L$4:$L$1203,"已收讫")+SUMIFS(对接源_01水果!$K$4:$K$1203,对接源_01水果!$C$4:$C$1203,$B111,对接源_01水果!$D$4:$D$1203,"其他代存*",对接源_01水果!$L$4:$L$1203,"已付款")+SUMIFS(对接源_02物料!$K$4:$K$1203,对接源_02物料!$C$4:$C$1203,$B111,对接源_02物料!$D$4:$D$1203,"包装物料*",对接源_02物料!$L$4:$L$1203,"已收讫")+SUMIFS(对接源_02物料!$K$4:$K$1203,对接源_02物料!$C$4:$C$1203,$B111,对接源_02物料!$D$4:$D$1203,"包装物料*",对接源_02物料!$L$4:$L$1203,"已付款")+SUMIFS(对接源_02物料!$K$4:$K$1203,对接源_02物料!$C$4:$C$1203,$B111,对接源_02物料!$D$4:$D$1203,"周转筐*",对接源_02物料!$L$4:$L$1203,"已收讫")+SUMIFS(对接源_02物料!$K$4:$K$1203,对接源_02物料!$C$4:$C$1203,$B111,对接源_02物料!$D$4:$D$1203,"周转筐*",对接源_02物料!$L$4:$L$1203,"已付款")+SUMIFS(对接源_02物料!$K$4:$K$1203,对接源_02物料!$C$4:$C$1203,$B111,对接源_02物料!$D$4:$D$1203,"次果筐*",对接源_02物料!$L$4:$L$1203,"已收讫")+SUMIFS(对接源_02物料!$K$4:$K$1203,对接源_02物料!$C$4:$C$1203,$B111,对接源_02物料!$D$4:$D$1203,"次果筐*",对接源_02物料!$L$4:$L$1203,"已付款"),2))</f>
      </c>
      <c r="J111" s="177">
        <f>IF($B111="","",ROUND(N($H111)-N($I111),2))</f>
      </c>
      <c r="K111" s="16">
        <f>IF($B111="","",IF(ROUND(N($J111),2)&gt;0,"对方欠款",IF(ROUND(N($J111),2)&lt;0,"我方欠款","已两清")))</f>
      </c>
      <c r="L111" s="26" t="n"/>
    </row>
    <row r="112" s="127">
      <c r="A112" s="16">
        <f>IF($B112="","",ROW()-3)</f>
      </c>
      <c r="B112" s="11">
        <f>IFERROR(INDEX(_自动清单!$E$4:$E$303,ROW()-3),"")</f>
      </c>
      <c r="C112" s="177">
        <f>IF($B112="","",ROUND(SUMIFS(对接源_01水果!$K$4:$K$1203,对接源_01水果!$C$4:$C$1203,$B112,对接源_01水果!$D$4:$D$1203,"成品出库*"),2))</f>
      </c>
      <c r="D112" s="177">
        <f>IF($B112="","",ROUND(SUMIFS(对接源_01水果!$K$4:$K$1203,对接源_01水果!$C$4:$C$1203,$B112,对接源_01水果!$D$4:$D$1203,"其他代存*"),2))</f>
      </c>
      <c r="E112" s="177">
        <f>IF($B112="","",ROUND(SUMIFS(对接源_02物料!$K$4:$K$1203,对接源_02物料!$C$4:$C$1203,$B112,对接源_02物料!$D$4:$D$1203,"包装物料*"),2))</f>
      </c>
      <c r="F112" s="177">
        <f>IF($B112="","",ROUND(SUMIFS(对接源_02物料!$K$4:$K$1203,对接源_02物料!$C$4:$C$1203,$B112,对接源_02物料!$D$4:$D$1203,"周转筐*"),2))</f>
      </c>
      <c r="G112" s="177">
        <f>IF($B112="","",ROUND(SUMIFS(对接源_02物料!$K$4:$K$1203,对接源_02物料!$C$4:$C$1203,$B112,对接源_02物料!$D$4:$D$1203,"次果筐*"),2))</f>
      </c>
      <c r="H112" s="177">
        <f>IF($B112="","",ROUND(SUM($C112:$G112),2))</f>
      </c>
      <c r="I112" s="177">
        <f>IF($B112="","",ROUND(SUMIFS(对接源_01水果!$K$4:$K$1203,对接源_01水果!$C$4:$C$1203,$B112,对接源_01水果!$D$4:$D$1203,"成品出库*",对接源_01水果!$L$4:$L$1203,"已收讫")+SUMIFS(对接源_01水果!$K$4:$K$1203,对接源_01水果!$C$4:$C$1203,$B112,对接源_01水果!$D$4:$D$1203,"成品出库*",对接源_01水果!$L$4:$L$1203,"已付款")+SUMIFS(对接源_01水果!$K$4:$K$1203,对接源_01水果!$C$4:$C$1203,$B112,对接源_01水果!$D$4:$D$1203,"其他代存*",对接源_01水果!$L$4:$L$1203,"已收讫")+SUMIFS(对接源_01水果!$K$4:$K$1203,对接源_01水果!$C$4:$C$1203,$B112,对接源_01水果!$D$4:$D$1203,"其他代存*",对接源_01水果!$L$4:$L$1203,"已付款")+SUMIFS(对接源_02物料!$K$4:$K$1203,对接源_02物料!$C$4:$C$1203,$B112,对接源_02物料!$D$4:$D$1203,"包装物料*",对接源_02物料!$L$4:$L$1203,"已收讫")+SUMIFS(对接源_02物料!$K$4:$K$1203,对接源_02物料!$C$4:$C$1203,$B112,对接源_02物料!$D$4:$D$1203,"包装物料*",对接源_02物料!$L$4:$L$1203,"已付款")+SUMIFS(对接源_02物料!$K$4:$K$1203,对接源_02物料!$C$4:$C$1203,$B112,对接源_02物料!$D$4:$D$1203,"周转筐*",对接源_02物料!$L$4:$L$1203,"已收讫")+SUMIFS(对接源_02物料!$K$4:$K$1203,对接源_02物料!$C$4:$C$1203,$B112,对接源_02物料!$D$4:$D$1203,"周转筐*",对接源_02物料!$L$4:$L$1203,"已付款")+SUMIFS(对接源_02物料!$K$4:$K$1203,对接源_02物料!$C$4:$C$1203,$B112,对接源_02物料!$D$4:$D$1203,"次果筐*",对接源_02物料!$L$4:$L$1203,"已收讫")+SUMIFS(对接源_02物料!$K$4:$K$1203,对接源_02物料!$C$4:$C$1203,$B112,对接源_02物料!$D$4:$D$1203,"次果筐*",对接源_02物料!$L$4:$L$1203,"已付款"),2))</f>
      </c>
      <c r="J112" s="177">
        <f>IF($B112="","",ROUND(N($H112)-N($I112),2))</f>
      </c>
      <c r="K112" s="16">
        <f>IF($B112="","",IF(ROUND(N($J112),2)&gt;0,"对方欠款",IF(ROUND(N($J112),2)&lt;0,"我方欠款","已两清")))</f>
      </c>
      <c r="L112" s="26" t="n"/>
    </row>
    <row r="113" s="127">
      <c r="A113" s="16">
        <f>IF($B113="","",ROW()-3)</f>
      </c>
      <c r="B113" s="11">
        <f>IFERROR(INDEX(_自动清单!$E$4:$E$303,ROW()-3),"")</f>
      </c>
      <c r="C113" s="177">
        <f>IF($B113="","",ROUND(SUMIFS(对接源_01水果!$K$4:$K$1203,对接源_01水果!$C$4:$C$1203,$B113,对接源_01水果!$D$4:$D$1203,"成品出库*"),2))</f>
      </c>
      <c r="D113" s="177">
        <f>IF($B113="","",ROUND(SUMIFS(对接源_01水果!$K$4:$K$1203,对接源_01水果!$C$4:$C$1203,$B113,对接源_01水果!$D$4:$D$1203,"其他代存*"),2))</f>
      </c>
      <c r="E113" s="177">
        <f>IF($B113="","",ROUND(SUMIFS(对接源_02物料!$K$4:$K$1203,对接源_02物料!$C$4:$C$1203,$B113,对接源_02物料!$D$4:$D$1203,"包装物料*"),2))</f>
      </c>
      <c r="F113" s="177">
        <f>IF($B113="","",ROUND(SUMIFS(对接源_02物料!$K$4:$K$1203,对接源_02物料!$C$4:$C$1203,$B113,对接源_02物料!$D$4:$D$1203,"周转筐*"),2))</f>
      </c>
      <c r="G113" s="177">
        <f>IF($B113="","",ROUND(SUMIFS(对接源_02物料!$K$4:$K$1203,对接源_02物料!$C$4:$C$1203,$B113,对接源_02物料!$D$4:$D$1203,"次果筐*"),2))</f>
      </c>
      <c r="H113" s="177">
        <f>IF($B113="","",ROUND(SUM($C113:$G113),2))</f>
      </c>
      <c r="I113" s="177">
        <f>IF($B113="","",ROUND(SUMIFS(对接源_01水果!$K$4:$K$1203,对接源_01水果!$C$4:$C$1203,$B113,对接源_01水果!$D$4:$D$1203,"成品出库*",对接源_01水果!$L$4:$L$1203,"已收讫")+SUMIFS(对接源_01水果!$K$4:$K$1203,对接源_01水果!$C$4:$C$1203,$B113,对接源_01水果!$D$4:$D$1203,"成品出库*",对接源_01水果!$L$4:$L$1203,"已付款")+SUMIFS(对接源_01水果!$K$4:$K$1203,对接源_01水果!$C$4:$C$1203,$B113,对接源_01水果!$D$4:$D$1203,"其他代存*",对接源_01水果!$L$4:$L$1203,"已收讫")+SUMIFS(对接源_01水果!$K$4:$K$1203,对接源_01水果!$C$4:$C$1203,$B113,对接源_01水果!$D$4:$D$1203,"其他代存*",对接源_01水果!$L$4:$L$1203,"已付款")+SUMIFS(对接源_02物料!$K$4:$K$1203,对接源_02物料!$C$4:$C$1203,$B113,对接源_02物料!$D$4:$D$1203,"包装物料*",对接源_02物料!$L$4:$L$1203,"已收讫")+SUMIFS(对接源_02物料!$K$4:$K$1203,对接源_02物料!$C$4:$C$1203,$B113,对接源_02物料!$D$4:$D$1203,"包装物料*",对接源_02物料!$L$4:$L$1203,"已付款")+SUMIFS(对接源_02物料!$K$4:$K$1203,对接源_02物料!$C$4:$C$1203,$B113,对接源_02物料!$D$4:$D$1203,"周转筐*",对接源_02物料!$L$4:$L$1203,"已收讫")+SUMIFS(对接源_02物料!$K$4:$K$1203,对接源_02物料!$C$4:$C$1203,$B113,对接源_02物料!$D$4:$D$1203,"周转筐*",对接源_02物料!$L$4:$L$1203,"已付款")+SUMIFS(对接源_02物料!$K$4:$K$1203,对接源_02物料!$C$4:$C$1203,$B113,对接源_02物料!$D$4:$D$1203,"次果筐*",对接源_02物料!$L$4:$L$1203,"已收讫")+SUMIFS(对接源_02物料!$K$4:$K$1203,对接源_02物料!$C$4:$C$1203,$B113,对接源_02物料!$D$4:$D$1203,"次果筐*",对接源_02物料!$L$4:$L$1203,"已付款"),2))</f>
      </c>
      <c r="J113" s="177">
        <f>IF($B113="","",ROUND(N($H113)-N($I113),2))</f>
      </c>
      <c r="K113" s="16">
        <f>IF($B113="","",IF(ROUND(N($J113),2)&gt;0,"对方欠款",IF(ROUND(N($J113),2)&lt;0,"我方欠款","已两清")))</f>
      </c>
      <c r="L113" s="26" t="n"/>
    </row>
    <row r="114" s="127">
      <c r="A114" s="16">
        <f>IF($B114="","",ROW()-3)</f>
      </c>
      <c r="B114" s="11">
        <f>IFERROR(INDEX(_自动清单!$E$4:$E$303,ROW()-3),"")</f>
      </c>
      <c r="C114" s="177">
        <f>IF($B114="","",ROUND(SUMIFS(对接源_01水果!$K$4:$K$1203,对接源_01水果!$C$4:$C$1203,$B114,对接源_01水果!$D$4:$D$1203,"成品出库*"),2))</f>
      </c>
      <c r="D114" s="177">
        <f>IF($B114="","",ROUND(SUMIFS(对接源_01水果!$K$4:$K$1203,对接源_01水果!$C$4:$C$1203,$B114,对接源_01水果!$D$4:$D$1203,"其他代存*"),2))</f>
      </c>
      <c r="E114" s="177">
        <f>IF($B114="","",ROUND(SUMIFS(对接源_02物料!$K$4:$K$1203,对接源_02物料!$C$4:$C$1203,$B114,对接源_02物料!$D$4:$D$1203,"包装物料*"),2))</f>
      </c>
      <c r="F114" s="177">
        <f>IF($B114="","",ROUND(SUMIFS(对接源_02物料!$K$4:$K$1203,对接源_02物料!$C$4:$C$1203,$B114,对接源_02物料!$D$4:$D$1203,"周转筐*"),2))</f>
      </c>
      <c r="G114" s="177">
        <f>IF($B114="","",ROUND(SUMIFS(对接源_02物料!$K$4:$K$1203,对接源_02物料!$C$4:$C$1203,$B114,对接源_02物料!$D$4:$D$1203,"次果筐*"),2))</f>
      </c>
      <c r="H114" s="177">
        <f>IF($B114="","",ROUND(SUM($C114:$G114),2))</f>
      </c>
      <c r="I114" s="177">
        <f>IF($B114="","",ROUND(SUMIFS(对接源_01水果!$K$4:$K$1203,对接源_01水果!$C$4:$C$1203,$B114,对接源_01水果!$D$4:$D$1203,"成品出库*",对接源_01水果!$L$4:$L$1203,"已收讫")+SUMIFS(对接源_01水果!$K$4:$K$1203,对接源_01水果!$C$4:$C$1203,$B114,对接源_01水果!$D$4:$D$1203,"成品出库*",对接源_01水果!$L$4:$L$1203,"已付款")+SUMIFS(对接源_01水果!$K$4:$K$1203,对接源_01水果!$C$4:$C$1203,$B114,对接源_01水果!$D$4:$D$1203,"其他代存*",对接源_01水果!$L$4:$L$1203,"已收讫")+SUMIFS(对接源_01水果!$K$4:$K$1203,对接源_01水果!$C$4:$C$1203,$B114,对接源_01水果!$D$4:$D$1203,"其他代存*",对接源_01水果!$L$4:$L$1203,"已付款")+SUMIFS(对接源_02物料!$K$4:$K$1203,对接源_02物料!$C$4:$C$1203,$B114,对接源_02物料!$D$4:$D$1203,"包装物料*",对接源_02物料!$L$4:$L$1203,"已收讫")+SUMIFS(对接源_02物料!$K$4:$K$1203,对接源_02物料!$C$4:$C$1203,$B114,对接源_02物料!$D$4:$D$1203,"包装物料*",对接源_02物料!$L$4:$L$1203,"已付款")+SUMIFS(对接源_02物料!$K$4:$K$1203,对接源_02物料!$C$4:$C$1203,$B114,对接源_02物料!$D$4:$D$1203,"周转筐*",对接源_02物料!$L$4:$L$1203,"已收讫")+SUMIFS(对接源_02物料!$K$4:$K$1203,对接源_02物料!$C$4:$C$1203,$B114,对接源_02物料!$D$4:$D$1203,"周转筐*",对接源_02物料!$L$4:$L$1203,"已付款")+SUMIFS(对接源_02物料!$K$4:$K$1203,对接源_02物料!$C$4:$C$1203,$B114,对接源_02物料!$D$4:$D$1203,"次果筐*",对接源_02物料!$L$4:$L$1203,"已收讫")+SUMIFS(对接源_02物料!$K$4:$K$1203,对接源_02物料!$C$4:$C$1203,$B114,对接源_02物料!$D$4:$D$1203,"次果筐*",对接源_02物料!$L$4:$L$1203,"已付款"),2))</f>
      </c>
      <c r="J114" s="177">
        <f>IF($B114="","",ROUND(N($H114)-N($I114),2))</f>
      </c>
      <c r="K114" s="16">
        <f>IF($B114="","",IF(ROUND(N($J114),2)&gt;0,"对方欠款",IF(ROUND(N($J114),2)&lt;0,"我方欠款","已两清")))</f>
      </c>
      <c r="L114" s="26" t="n"/>
    </row>
    <row r="115" s="127">
      <c r="A115" s="16">
        <f>IF($B115="","",ROW()-3)</f>
      </c>
      <c r="B115" s="11">
        <f>IFERROR(INDEX(_自动清单!$E$4:$E$303,ROW()-3),"")</f>
      </c>
      <c r="C115" s="177">
        <f>IF($B115="","",ROUND(SUMIFS(对接源_01水果!$K$4:$K$1203,对接源_01水果!$C$4:$C$1203,$B115,对接源_01水果!$D$4:$D$1203,"成品出库*"),2))</f>
      </c>
      <c r="D115" s="177">
        <f>IF($B115="","",ROUND(SUMIFS(对接源_01水果!$K$4:$K$1203,对接源_01水果!$C$4:$C$1203,$B115,对接源_01水果!$D$4:$D$1203,"其他代存*"),2))</f>
      </c>
      <c r="E115" s="177">
        <f>IF($B115="","",ROUND(SUMIFS(对接源_02物料!$K$4:$K$1203,对接源_02物料!$C$4:$C$1203,$B115,对接源_02物料!$D$4:$D$1203,"包装物料*"),2))</f>
      </c>
      <c r="F115" s="177">
        <f>IF($B115="","",ROUND(SUMIFS(对接源_02物料!$K$4:$K$1203,对接源_02物料!$C$4:$C$1203,$B115,对接源_02物料!$D$4:$D$1203,"周转筐*"),2))</f>
      </c>
      <c r="G115" s="177">
        <f>IF($B115="","",ROUND(SUMIFS(对接源_02物料!$K$4:$K$1203,对接源_02物料!$C$4:$C$1203,$B115,对接源_02物料!$D$4:$D$1203,"次果筐*"),2))</f>
      </c>
      <c r="H115" s="177">
        <f>IF($B115="","",ROUND(SUM($C115:$G115),2))</f>
      </c>
      <c r="I115" s="177">
        <f>IF($B115="","",ROUND(SUMIFS(对接源_01水果!$K$4:$K$1203,对接源_01水果!$C$4:$C$1203,$B115,对接源_01水果!$D$4:$D$1203,"成品出库*",对接源_01水果!$L$4:$L$1203,"已收讫")+SUMIFS(对接源_01水果!$K$4:$K$1203,对接源_01水果!$C$4:$C$1203,$B115,对接源_01水果!$D$4:$D$1203,"成品出库*",对接源_01水果!$L$4:$L$1203,"已付款")+SUMIFS(对接源_01水果!$K$4:$K$1203,对接源_01水果!$C$4:$C$1203,$B115,对接源_01水果!$D$4:$D$1203,"其他代存*",对接源_01水果!$L$4:$L$1203,"已收讫")+SUMIFS(对接源_01水果!$K$4:$K$1203,对接源_01水果!$C$4:$C$1203,$B115,对接源_01水果!$D$4:$D$1203,"其他代存*",对接源_01水果!$L$4:$L$1203,"已付款")+SUMIFS(对接源_02物料!$K$4:$K$1203,对接源_02物料!$C$4:$C$1203,$B115,对接源_02物料!$D$4:$D$1203,"包装物料*",对接源_02物料!$L$4:$L$1203,"已收讫")+SUMIFS(对接源_02物料!$K$4:$K$1203,对接源_02物料!$C$4:$C$1203,$B115,对接源_02物料!$D$4:$D$1203,"包装物料*",对接源_02物料!$L$4:$L$1203,"已付款")+SUMIFS(对接源_02物料!$K$4:$K$1203,对接源_02物料!$C$4:$C$1203,$B115,对接源_02物料!$D$4:$D$1203,"周转筐*",对接源_02物料!$L$4:$L$1203,"已收讫")+SUMIFS(对接源_02物料!$K$4:$K$1203,对接源_02物料!$C$4:$C$1203,$B115,对接源_02物料!$D$4:$D$1203,"周转筐*",对接源_02物料!$L$4:$L$1203,"已付款")+SUMIFS(对接源_02物料!$K$4:$K$1203,对接源_02物料!$C$4:$C$1203,$B115,对接源_02物料!$D$4:$D$1203,"次果筐*",对接源_02物料!$L$4:$L$1203,"已收讫")+SUMIFS(对接源_02物料!$K$4:$K$1203,对接源_02物料!$C$4:$C$1203,$B115,对接源_02物料!$D$4:$D$1203,"次果筐*",对接源_02物料!$L$4:$L$1203,"已付款"),2))</f>
      </c>
      <c r="J115" s="177">
        <f>IF($B115="","",ROUND(N($H115)-N($I115),2))</f>
      </c>
      <c r="K115" s="16">
        <f>IF($B115="","",IF(ROUND(N($J115),2)&gt;0,"对方欠款",IF(ROUND(N($J115),2)&lt;0,"我方欠款","已两清")))</f>
      </c>
      <c r="L115" s="26" t="n"/>
    </row>
    <row r="116" s="127">
      <c r="A116" s="16">
        <f>IF($B116="","",ROW()-3)</f>
      </c>
      <c r="B116" s="11">
        <f>IFERROR(INDEX(_自动清单!$E$4:$E$303,ROW()-3),"")</f>
      </c>
      <c r="C116" s="177">
        <f>IF($B116="","",ROUND(SUMIFS(对接源_01水果!$K$4:$K$1203,对接源_01水果!$C$4:$C$1203,$B116,对接源_01水果!$D$4:$D$1203,"成品出库*"),2))</f>
      </c>
      <c r="D116" s="177">
        <f>IF($B116="","",ROUND(SUMIFS(对接源_01水果!$K$4:$K$1203,对接源_01水果!$C$4:$C$1203,$B116,对接源_01水果!$D$4:$D$1203,"其他代存*"),2))</f>
      </c>
      <c r="E116" s="177">
        <f>IF($B116="","",ROUND(SUMIFS(对接源_02物料!$K$4:$K$1203,对接源_02物料!$C$4:$C$1203,$B116,对接源_02物料!$D$4:$D$1203,"包装物料*"),2))</f>
      </c>
      <c r="F116" s="177">
        <f>IF($B116="","",ROUND(SUMIFS(对接源_02物料!$K$4:$K$1203,对接源_02物料!$C$4:$C$1203,$B116,对接源_02物料!$D$4:$D$1203,"周转筐*"),2))</f>
      </c>
      <c r="G116" s="177">
        <f>IF($B116="","",ROUND(SUMIFS(对接源_02物料!$K$4:$K$1203,对接源_02物料!$C$4:$C$1203,$B116,对接源_02物料!$D$4:$D$1203,"次果筐*"),2))</f>
      </c>
      <c r="H116" s="177">
        <f>IF($B116="","",ROUND(SUM($C116:$G116),2))</f>
      </c>
      <c r="I116" s="177">
        <f>IF($B116="","",ROUND(SUMIFS(对接源_01水果!$K$4:$K$1203,对接源_01水果!$C$4:$C$1203,$B116,对接源_01水果!$D$4:$D$1203,"成品出库*",对接源_01水果!$L$4:$L$1203,"已收讫")+SUMIFS(对接源_01水果!$K$4:$K$1203,对接源_01水果!$C$4:$C$1203,$B116,对接源_01水果!$D$4:$D$1203,"成品出库*",对接源_01水果!$L$4:$L$1203,"已付款")+SUMIFS(对接源_01水果!$K$4:$K$1203,对接源_01水果!$C$4:$C$1203,$B116,对接源_01水果!$D$4:$D$1203,"其他代存*",对接源_01水果!$L$4:$L$1203,"已收讫")+SUMIFS(对接源_01水果!$K$4:$K$1203,对接源_01水果!$C$4:$C$1203,$B116,对接源_01水果!$D$4:$D$1203,"其他代存*",对接源_01水果!$L$4:$L$1203,"已付款")+SUMIFS(对接源_02物料!$K$4:$K$1203,对接源_02物料!$C$4:$C$1203,$B116,对接源_02物料!$D$4:$D$1203,"包装物料*",对接源_02物料!$L$4:$L$1203,"已收讫")+SUMIFS(对接源_02物料!$K$4:$K$1203,对接源_02物料!$C$4:$C$1203,$B116,对接源_02物料!$D$4:$D$1203,"包装物料*",对接源_02物料!$L$4:$L$1203,"已付款")+SUMIFS(对接源_02物料!$K$4:$K$1203,对接源_02物料!$C$4:$C$1203,$B116,对接源_02物料!$D$4:$D$1203,"周转筐*",对接源_02物料!$L$4:$L$1203,"已收讫")+SUMIFS(对接源_02物料!$K$4:$K$1203,对接源_02物料!$C$4:$C$1203,$B116,对接源_02物料!$D$4:$D$1203,"周转筐*",对接源_02物料!$L$4:$L$1203,"已付款")+SUMIFS(对接源_02物料!$K$4:$K$1203,对接源_02物料!$C$4:$C$1203,$B116,对接源_02物料!$D$4:$D$1203,"次果筐*",对接源_02物料!$L$4:$L$1203,"已收讫")+SUMIFS(对接源_02物料!$K$4:$K$1203,对接源_02物料!$C$4:$C$1203,$B116,对接源_02物料!$D$4:$D$1203,"次果筐*",对接源_02物料!$L$4:$L$1203,"已付款"),2))</f>
      </c>
      <c r="J116" s="177">
        <f>IF($B116="","",ROUND(N($H116)-N($I116),2))</f>
      </c>
      <c r="K116" s="16">
        <f>IF($B116="","",IF(ROUND(N($J116),2)&gt;0,"对方欠款",IF(ROUND(N($J116),2)&lt;0,"我方欠款","已两清")))</f>
      </c>
      <c r="L116" s="26" t="n"/>
    </row>
    <row r="117" s="127">
      <c r="A117" s="16">
        <f>IF($B117="","",ROW()-3)</f>
      </c>
      <c r="B117" s="11">
        <f>IFERROR(INDEX(_自动清单!$E$4:$E$303,ROW()-3),"")</f>
      </c>
      <c r="C117" s="177">
        <f>IF($B117="","",ROUND(SUMIFS(对接源_01水果!$K$4:$K$1203,对接源_01水果!$C$4:$C$1203,$B117,对接源_01水果!$D$4:$D$1203,"成品出库*"),2))</f>
      </c>
      <c r="D117" s="177">
        <f>IF($B117="","",ROUND(SUMIFS(对接源_01水果!$K$4:$K$1203,对接源_01水果!$C$4:$C$1203,$B117,对接源_01水果!$D$4:$D$1203,"其他代存*"),2))</f>
      </c>
      <c r="E117" s="177">
        <f>IF($B117="","",ROUND(SUMIFS(对接源_02物料!$K$4:$K$1203,对接源_02物料!$C$4:$C$1203,$B117,对接源_02物料!$D$4:$D$1203,"包装物料*"),2))</f>
      </c>
      <c r="F117" s="177">
        <f>IF($B117="","",ROUND(SUMIFS(对接源_02物料!$K$4:$K$1203,对接源_02物料!$C$4:$C$1203,$B117,对接源_02物料!$D$4:$D$1203,"周转筐*"),2))</f>
      </c>
      <c r="G117" s="177">
        <f>IF($B117="","",ROUND(SUMIFS(对接源_02物料!$K$4:$K$1203,对接源_02物料!$C$4:$C$1203,$B117,对接源_02物料!$D$4:$D$1203,"次果筐*"),2))</f>
      </c>
      <c r="H117" s="177">
        <f>IF($B117="","",ROUND(SUM($C117:$G117),2))</f>
      </c>
      <c r="I117" s="177">
        <f>IF($B117="","",ROUND(SUMIFS(对接源_01水果!$K$4:$K$1203,对接源_01水果!$C$4:$C$1203,$B117,对接源_01水果!$D$4:$D$1203,"成品出库*",对接源_01水果!$L$4:$L$1203,"已收讫")+SUMIFS(对接源_01水果!$K$4:$K$1203,对接源_01水果!$C$4:$C$1203,$B117,对接源_01水果!$D$4:$D$1203,"成品出库*",对接源_01水果!$L$4:$L$1203,"已付款")+SUMIFS(对接源_01水果!$K$4:$K$1203,对接源_01水果!$C$4:$C$1203,$B117,对接源_01水果!$D$4:$D$1203,"其他代存*",对接源_01水果!$L$4:$L$1203,"已收讫")+SUMIFS(对接源_01水果!$K$4:$K$1203,对接源_01水果!$C$4:$C$1203,$B117,对接源_01水果!$D$4:$D$1203,"其他代存*",对接源_01水果!$L$4:$L$1203,"已付款")+SUMIFS(对接源_02物料!$K$4:$K$1203,对接源_02物料!$C$4:$C$1203,$B117,对接源_02物料!$D$4:$D$1203,"包装物料*",对接源_02物料!$L$4:$L$1203,"已收讫")+SUMIFS(对接源_02物料!$K$4:$K$1203,对接源_02物料!$C$4:$C$1203,$B117,对接源_02物料!$D$4:$D$1203,"包装物料*",对接源_02物料!$L$4:$L$1203,"已付款")+SUMIFS(对接源_02物料!$K$4:$K$1203,对接源_02物料!$C$4:$C$1203,$B117,对接源_02物料!$D$4:$D$1203,"周转筐*",对接源_02物料!$L$4:$L$1203,"已收讫")+SUMIFS(对接源_02物料!$K$4:$K$1203,对接源_02物料!$C$4:$C$1203,$B117,对接源_02物料!$D$4:$D$1203,"周转筐*",对接源_02物料!$L$4:$L$1203,"已付款")+SUMIFS(对接源_02物料!$K$4:$K$1203,对接源_02物料!$C$4:$C$1203,$B117,对接源_02物料!$D$4:$D$1203,"次果筐*",对接源_02物料!$L$4:$L$1203,"已收讫")+SUMIFS(对接源_02物料!$K$4:$K$1203,对接源_02物料!$C$4:$C$1203,$B117,对接源_02物料!$D$4:$D$1203,"次果筐*",对接源_02物料!$L$4:$L$1203,"已付款"),2))</f>
      </c>
      <c r="J117" s="177">
        <f>IF($B117="","",ROUND(N($H117)-N($I117),2))</f>
      </c>
      <c r="K117" s="16">
        <f>IF($B117="","",IF(ROUND(N($J117),2)&gt;0,"对方欠款",IF(ROUND(N($J117),2)&lt;0,"我方欠款","已两清")))</f>
      </c>
      <c r="L117" s="26" t="n"/>
    </row>
    <row r="118" s="127">
      <c r="A118" s="16">
        <f>IF($B118="","",ROW()-3)</f>
      </c>
      <c r="B118" s="11">
        <f>IFERROR(INDEX(_自动清单!$E$4:$E$303,ROW()-3),"")</f>
      </c>
      <c r="C118" s="177">
        <f>IF($B118="","",ROUND(SUMIFS(对接源_01水果!$K$4:$K$1203,对接源_01水果!$C$4:$C$1203,$B118,对接源_01水果!$D$4:$D$1203,"成品出库*"),2))</f>
      </c>
      <c r="D118" s="177">
        <f>IF($B118="","",ROUND(SUMIFS(对接源_01水果!$K$4:$K$1203,对接源_01水果!$C$4:$C$1203,$B118,对接源_01水果!$D$4:$D$1203,"其他代存*"),2))</f>
      </c>
      <c r="E118" s="177">
        <f>IF($B118="","",ROUND(SUMIFS(对接源_02物料!$K$4:$K$1203,对接源_02物料!$C$4:$C$1203,$B118,对接源_02物料!$D$4:$D$1203,"包装物料*"),2))</f>
      </c>
      <c r="F118" s="177">
        <f>IF($B118="","",ROUND(SUMIFS(对接源_02物料!$K$4:$K$1203,对接源_02物料!$C$4:$C$1203,$B118,对接源_02物料!$D$4:$D$1203,"周转筐*"),2))</f>
      </c>
      <c r="G118" s="177">
        <f>IF($B118="","",ROUND(SUMIFS(对接源_02物料!$K$4:$K$1203,对接源_02物料!$C$4:$C$1203,$B118,对接源_02物料!$D$4:$D$1203,"次果筐*"),2))</f>
      </c>
      <c r="H118" s="177">
        <f>IF($B118="","",ROUND(SUM($C118:$G118),2))</f>
      </c>
      <c r="I118" s="177">
        <f>IF($B118="","",ROUND(SUMIFS(对接源_01水果!$K$4:$K$1203,对接源_01水果!$C$4:$C$1203,$B118,对接源_01水果!$D$4:$D$1203,"成品出库*",对接源_01水果!$L$4:$L$1203,"已收讫")+SUMIFS(对接源_01水果!$K$4:$K$1203,对接源_01水果!$C$4:$C$1203,$B118,对接源_01水果!$D$4:$D$1203,"成品出库*",对接源_01水果!$L$4:$L$1203,"已付款")+SUMIFS(对接源_01水果!$K$4:$K$1203,对接源_01水果!$C$4:$C$1203,$B118,对接源_01水果!$D$4:$D$1203,"其他代存*",对接源_01水果!$L$4:$L$1203,"已收讫")+SUMIFS(对接源_01水果!$K$4:$K$1203,对接源_01水果!$C$4:$C$1203,$B118,对接源_01水果!$D$4:$D$1203,"其他代存*",对接源_01水果!$L$4:$L$1203,"已付款")+SUMIFS(对接源_02物料!$K$4:$K$1203,对接源_02物料!$C$4:$C$1203,$B118,对接源_02物料!$D$4:$D$1203,"包装物料*",对接源_02物料!$L$4:$L$1203,"已收讫")+SUMIFS(对接源_02物料!$K$4:$K$1203,对接源_02物料!$C$4:$C$1203,$B118,对接源_02物料!$D$4:$D$1203,"包装物料*",对接源_02物料!$L$4:$L$1203,"已付款")+SUMIFS(对接源_02物料!$K$4:$K$1203,对接源_02物料!$C$4:$C$1203,$B118,对接源_02物料!$D$4:$D$1203,"周转筐*",对接源_02物料!$L$4:$L$1203,"已收讫")+SUMIFS(对接源_02物料!$K$4:$K$1203,对接源_02物料!$C$4:$C$1203,$B118,对接源_02物料!$D$4:$D$1203,"周转筐*",对接源_02物料!$L$4:$L$1203,"已付款")+SUMIFS(对接源_02物料!$K$4:$K$1203,对接源_02物料!$C$4:$C$1203,$B118,对接源_02物料!$D$4:$D$1203,"次果筐*",对接源_02物料!$L$4:$L$1203,"已收讫")+SUMIFS(对接源_02物料!$K$4:$K$1203,对接源_02物料!$C$4:$C$1203,$B118,对接源_02物料!$D$4:$D$1203,"次果筐*",对接源_02物料!$L$4:$L$1203,"已付款"),2))</f>
      </c>
      <c r="J118" s="177">
        <f>IF($B118="","",ROUND(N($H118)-N($I118),2))</f>
      </c>
      <c r="K118" s="16">
        <f>IF($B118="","",IF(ROUND(N($J118),2)&gt;0,"对方欠款",IF(ROUND(N($J118),2)&lt;0,"我方欠款","已两清")))</f>
      </c>
      <c r="L118" s="26" t="n"/>
    </row>
    <row r="119" s="127">
      <c r="A119" s="16">
        <f>IF($B119="","",ROW()-3)</f>
      </c>
      <c r="B119" s="11">
        <f>IFERROR(INDEX(_自动清单!$E$4:$E$303,ROW()-3),"")</f>
      </c>
      <c r="C119" s="177">
        <f>IF($B119="","",ROUND(SUMIFS(对接源_01水果!$K$4:$K$1203,对接源_01水果!$C$4:$C$1203,$B119,对接源_01水果!$D$4:$D$1203,"成品出库*"),2))</f>
      </c>
      <c r="D119" s="177">
        <f>IF($B119="","",ROUND(SUMIFS(对接源_01水果!$K$4:$K$1203,对接源_01水果!$C$4:$C$1203,$B119,对接源_01水果!$D$4:$D$1203,"其他代存*"),2))</f>
      </c>
      <c r="E119" s="177">
        <f>IF($B119="","",ROUND(SUMIFS(对接源_02物料!$K$4:$K$1203,对接源_02物料!$C$4:$C$1203,$B119,对接源_02物料!$D$4:$D$1203,"包装物料*"),2))</f>
      </c>
      <c r="F119" s="177">
        <f>IF($B119="","",ROUND(SUMIFS(对接源_02物料!$K$4:$K$1203,对接源_02物料!$C$4:$C$1203,$B119,对接源_02物料!$D$4:$D$1203,"周转筐*"),2))</f>
      </c>
      <c r="G119" s="177">
        <f>IF($B119="","",ROUND(SUMIFS(对接源_02物料!$K$4:$K$1203,对接源_02物料!$C$4:$C$1203,$B119,对接源_02物料!$D$4:$D$1203,"次果筐*"),2))</f>
      </c>
      <c r="H119" s="177">
        <f>IF($B119="","",ROUND(SUM($C119:$G119),2))</f>
      </c>
      <c r="I119" s="177">
        <f>IF($B119="","",ROUND(SUMIFS(对接源_01水果!$K$4:$K$1203,对接源_01水果!$C$4:$C$1203,$B119,对接源_01水果!$D$4:$D$1203,"成品出库*",对接源_01水果!$L$4:$L$1203,"已收讫")+SUMIFS(对接源_01水果!$K$4:$K$1203,对接源_01水果!$C$4:$C$1203,$B119,对接源_01水果!$D$4:$D$1203,"成品出库*",对接源_01水果!$L$4:$L$1203,"已付款")+SUMIFS(对接源_01水果!$K$4:$K$1203,对接源_01水果!$C$4:$C$1203,$B119,对接源_01水果!$D$4:$D$1203,"其他代存*",对接源_01水果!$L$4:$L$1203,"已收讫")+SUMIFS(对接源_01水果!$K$4:$K$1203,对接源_01水果!$C$4:$C$1203,$B119,对接源_01水果!$D$4:$D$1203,"其他代存*",对接源_01水果!$L$4:$L$1203,"已付款")+SUMIFS(对接源_02物料!$K$4:$K$1203,对接源_02物料!$C$4:$C$1203,$B119,对接源_02物料!$D$4:$D$1203,"包装物料*",对接源_02物料!$L$4:$L$1203,"已收讫")+SUMIFS(对接源_02物料!$K$4:$K$1203,对接源_02物料!$C$4:$C$1203,$B119,对接源_02物料!$D$4:$D$1203,"包装物料*",对接源_02物料!$L$4:$L$1203,"已付款")+SUMIFS(对接源_02物料!$K$4:$K$1203,对接源_02物料!$C$4:$C$1203,$B119,对接源_02物料!$D$4:$D$1203,"周转筐*",对接源_02物料!$L$4:$L$1203,"已收讫")+SUMIFS(对接源_02物料!$K$4:$K$1203,对接源_02物料!$C$4:$C$1203,$B119,对接源_02物料!$D$4:$D$1203,"周转筐*",对接源_02物料!$L$4:$L$1203,"已付款")+SUMIFS(对接源_02物料!$K$4:$K$1203,对接源_02物料!$C$4:$C$1203,$B119,对接源_02物料!$D$4:$D$1203,"次果筐*",对接源_02物料!$L$4:$L$1203,"已收讫")+SUMIFS(对接源_02物料!$K$4:$K$1203,对接源_02物料!$C$4:$C$1203,$B119,对接源_02物料!$D$4:$D$1203,"次果筐*",对接源_02物料!$L$4:$L$1203,"已付款"),2))</f>
      </c>
      <c r="J119" s="177">
        <f>IF($B119="","",ROUND(N($H119)-N($I119),2))</f>
      </c>
      <c r="K119" s="16">
        <f>IF($B119="","",IF(ROUND(N($J119),2)&gt;0,"对方欠款",IF(ROUND(N($J119),2)&lt;0,"我方欠款","已两清")))</f>
      </c>
      <c r="L119" s="26" t="n"/>
    </row>
    <row r="120" s="127">
      <c r="A120" s="16">
        <f>IF($B120="","",ROW()-3)</f>
      </c>
      <c r="B120" s="11">
        <f>IFERROR(INDEX(_自动清单!$E$4:$E$303,ROW()-3),"")</f>
      </c>
      <c r="C120" s="177">
        <f>IF($B120="","",ROUND(SUMIFS(对接源_01水果!$K$4:$K$1203,对接源_01水果!$C$4:$C$1203,$B120,对接源_01水果!$D$4:$D$1203,"成品出库*"),2))</f>
      </c>
      <c r="D120" s="177">
        <f>IF($B120="","",ROUND(SUMIFS(对接源_01水果!$K$4:$K$1203,对接源_01水果!$C$4:$C$1203,$B120,对接源_01水果!$D$4:$D$1203,"其他代存*"),2))</f>
      </c>
      <c r="E120" s="177">
        <f>IF($B120="","",ROUND(SUMIFS(对接源_02物料!$K$4:$K$1203,对接源_02物料!$C$4:$C$1203,$B120,对接源_02物料!$D$4:$D$1203,"包装物料*"),2))</f>
      </c>
      <c r="F120" s="177">
        <f>IF($B120="","",ROUND(SUMIFS(对接源_02物料!$K$4:$K$1203,对接源_02物料!$C$4:$C$1203,$B120,对接源_02物料!$D$4:$D$1203,"周转筐*"),2))</f>
      </c>
      <c r="G120" s="177">
        <f>IF($B120="","",ROUND(SUMIFS(对接源_02物料!$K$4:$K$1203,对接源_02物料!$C$4:$C$1203,$B120,对接源_02物料!$D$4:$D$1203,"次果筐*"),2))</f>
      </c>
      <c r="H120" s="177">
        <f>IF($B120="","",ROUND(SUM($C120:$G120),2))</f>
      </c>
      <c r="I120" s="177">
        <f>IF($B120="","",ROUND(SUMIFS(对接源_01水果!$K$4:$K$1203,对接源_01水果!$C$4:$C$1203,$B120,对接源_01水果!$D$4:$D$1203,"成品出库*",对接源_01水果!$L$4:$L$1203,"已收讫")+SUMIFS(对接源_01水果!$K$4:$K$1203,对接源_01水果!$C$4:$C$1203,$B120,对接源_01水果!$D$4:$D$1203,"成品出库*",对接源_01水果!$L$4:$L$1203,"已付款")+SUMIFS(对接源_01水果!$K$4:$K$1203,对接源_01水果!$C$4:$C$1203,$B120,对接源_01水果!$D$4:$D$1203,"其他代存*",对接源_01水果!$L$4:$L$1203,"已收讫")+SUMIFS(对接源_01水果!$K$4:$K$1203,对接源_01水果!$C$4:$C$1203,$B120,对接源_01水果!$D$4:$D$1203,"其他代存*",对接源_01水果!$L$4:$L$1203,"已付款")+SUMIFS(对接源_02物料!$K$4:$K$1203,对接源_02物料!$C$4:$C$1203,$B120,对接源_02物料!$D$4:$D$1203,"包装物料*",对接源_02物料!$L$4:$L$1203,"已收讫")+SUMIFS(对接源_02物料!$K$4:$K$1203,对接源_02物料!$C$4:$C$1203,$B120,对接源_02物料!$D$4:$D$1203,"包装物料*",对接源_02物料!$L$4:$L$1203,"已付款")+SUMIFS(对接源_02物料!$K$4:$K$1203,对接源_02物料!$C$4:$C$1203,$B120,对接源_02物料!$D$4:$D$1203,"周转筐*",对接源_02物料!$L$4:$L$1203,"已收讫")+SUMIFS(对接源_02物料!$K$4:$K$1203,对接源_02物料!$C$4:$C$1203,$B120,对接源_02物料!$D$4:$D$1203,"周转筐*",对接源_02物料!$L$4:$L$1203,"已付款")+SUMIFS(对接源_02物料!$K$4:$K$1203,对接源_02物料!$C$4:$C$1203,$B120,对接源_02物料!$D$4:$D$1203,"次果筐*",对接源_02物料!$L$4:$L$1203,"已收讫")+SUMIFS(对接源_02物料!$K$4:$K$1203,对接源_02物料!$C$4:$C$1203,$B120,对接源_02物料!$D$4:$D$1203,"次果筐*",对接源_02物料!$L$4:$L$1203,"已付款"),2))</f>
      </c>
      <c r="J120" s="177">
        <f>IF($B120="","",ROUND(N($H120)-N($I120),2))</f>
      </c>
      <c r="K120" s="16">
        <f>IF($B120="","",IF(ROUND(N($J120),2)&gt;0,"对方欠款",IF(ROUND(N($J120),2)&lt;0,"我方欠款","已两清")))</f>
      </c>
      <c r="L120" s="26" t="n"/>
    </row>
    <row r="121" s="127">
      <c r="A121" s="16">
        <f>IF($B121="","",ROW()-3)</f>
      </c>
      <c r="B121" s="11">
        <f>IFERROR(INDEX(_自动清单!$E$4:$E$303,ROW()-3),"")</f>
      </c>
      <c r="C121" s="177">
        <f>IF($B121="","",ROUND(SUMIFS(对接源_01水果!$K$4:$K$1203,对接源_01水果!$C$4:$C$1203,$B121,对接源_01水果!$D$4:$D$1203,"成品出库*"),2))</f>
      </c>
      <c r="D121" s="177">
        <f>IF($B121="","",ROUND(SUMIFS(对接源_01水果!$K$4:$K$1203,对接源_01水果!$C$4:$C$1203,$B121,对接源_01水果!$D$4:$D$1203,"其他代存*"),2))</f>
      </c>
      <c r="E121" s="177">
        <f>IF($B121="","",ROUND(SUMIFS(对接源_02物料!$K$4:$K$1203,对接源_02物料!$C$4:$C$1203,$B121,对接源_02物料!$D$4:$D$1203,"包装物料*"),2))</f>
      </c>
      <c r="F121" s="177">
        <f>IF($B121="","",ROUND(SUMIFS(对接源_02物料!$K$4:$K$1203,对接源_02物料!$C$4:$C$1203,$B121,对接源_02物料!$D$4:$D$1203,"周转筐*"),2))</f>
      </c>
      <c r="G121" s="177">
        <f>IF($B121="","",ROUND(SUMIFS(对接源_02物料!$K$4:$K$1203,对接源_02物料!$C$4:$C$1203,$B121,对接源_02物料!$D$4:$D$1203,"次果筐*"),2))</f>
      </c>
      <c r="H121" s="177">
        <f>IF($B121="","",ROUND(SUM($C121:$G121),2))</f>
      </c>
      <c r="I121" s="177">
        <f>IF($B121="","",ROUND(SUMIFS(对接源_01水果!$K$4:$K$1203,对接源_01水果!$C$4:$C$1203,$B121,对接源_01水果!$D$4:$D$1203,"成品出库*",对接源_01水果!$L$4:$L$1203,"已收讫")+SUMIFS(对接源_01水果!$K$4:$K$1203,对接源_01水果!$C$4:$C$1203,$B121,对接源_01水果!$D$4:$D$1203,"成品出库*",对接源_01水果!$L$4:$L$1203,"已付款")+SUMIFS(对接源_01水果!$K$4:$K$1203,对接源_01水果!$C$4:$C$1203,$B121,对接源_01水果!$D$4:$D$1203,"其他代存*",对接源_01水果!$L$4:$L$1203,"已收讫")+SUMIFS(对接源_01水果!$K$4:$K$1203,对接源_01水果!$C$4:$C$1203,$B121,对接源_01水果!$D$4:$D$1203,"其他代存*",对接源_01水果!$L$4:$L$1203,"已付款")+SUMIFS(对接源_02物料!$K$4:$K$1203,对接源_02物料!$C$4:$C$1203,$B121,对接源_02物料!$D$4:$D$1203,"包装物料*",对接源_02物料!$L$4:$L$1203,"已收讫")+SUMIFS(对接源_02物料!$K$4:$K$1203,对接源_02物料!$C$4:$C$1203,$B121,对接源_02物料!$D$4:$D$1203,"包装物料*",对接源_02物料!$L$4:$L$1203,"已付款")+SUMIFS(对接源_02物料!$K$4:$K$1203,对接源_02物料!$C$4:$C$1203,$B121,对接源_02物料!$D$4:$D$1203,"周转筐*",对接源_02物料!$L$4:$L$1203,"已收讫")+SUMIFS(对接源_02物料!$K$4:$K$1203,对接源_02物料!$C$4:$C$1203,$B121,对接源_02物料!$D$4:$D$1203,"周转筐*",对接源_02物料!$L$4:$L$1203,"已付款")+SUMIFS(对接源_02物料!$K$4:$K$1203,对接源_02物料!$C$4:$C$1203,$B121,对接源_02物料!$D$4:$D$1203,"次果筐*",对接源_02物料!$L$4:$L$1203,"已收讫")+SUMIFS(对接源_02物料!$K$4:$K$1203,对接源_02物料!$C$4:$C$1203,$B121,对接源_02物料!$D$4:$D$1203,"次果筐*",对接源_02物料!$L$4:$L$1203,"已付款"),2))</f>
      </c>
      <c r="J121" s="177">
        <f>IF($B121="","",ROUND(N($H121)-N($I121),2))</f>
      </c>
      <c r="K121" s="16">
        <f>IF($B121="","",IF(ROUND(N($J121),2)&gt;0,"对方欠款",IF(ROUND(N($J121),2)&lt;0,"我方欠款","已两清")))</f>
      </c>
      <c r="L121" s="26" t="n"/>
    </row>
    <row r="122" s="127">
      <c r="A122" s="16">
        <f>IF($B122="","",ROW()-3)</f>
      </c>
      <c r="B122" s="11">
        <f>IFERROR(INDEX(_自动清单!$E$4:$E$303,ROW()-3),"")</f>
      </c>
      <c r="C122" s="177">
        <f>IF($B122="","",ROUND(SUMIFS(对接源_01水果!$K$4:$K$1203,对接源_01水果!$C$4:$C$1203,$B122,对接源_01水果!$D$4:$D$1203,"成品出库*"),2))</f>
      </c>
      <c r="D122" s="177">
        <f>IF($B122="","",ROUND(SUMIFS(对接源_01水果!$K$4:$K$1203,对接源_01水果!$C$4:$C$1203,$B122,对接源_01水果!$D$4:$D$1203,"其他代存*"),2))</f>
      </c>
      <c r="E122" s="177">
        <f>IF($B122="","",ROUND(SUMIFS(对接源_02物料!$K$4:$K$1203,对接源_02物料!$C$4:$C$1203,$B122,对接源_02物料!$D$4:$D$1203,"包装物料*"),2))</f>
      </c>
      <c r="F122" s="177">
        <f>IF($B122="","",ROUND(SUMIFS(对接源_02物料!$K$4:$K$1203,对接源_02物料!$C$4:$C$1203,$B122,对接源_02物料!$D$4:$D$1203,"周转筐*"),2))</f>
      </c>
      <c r="G122" s="177">
        <f>IF($B122="","",ROUND(SUMIFS(对接源_02物料!$K$4:$K$1203,对接源_02物料!$C$4:$C$1203,$B122,对接源_02物料!$D$4:$D$1203,"次果筐*"),2))</f>
      </c>
      <c r="H122" s="177">
        <f>IF($B122="","",ROUND(SUM($C122:$G122),2))</f>
      </c>
      <c r="I122" s="177">
        <f>IF($B122="","",ROUND(SUMIFS(对接源_01水果!$K$4:$K$1203,对接源_01水果!$C$4:$C$1203,$B122,对接源_01水果!$D$4:$D$1203,"成品出库*",对接源_01水果!$L$4:$L$1203,"已收讫")+SUMIFS(对接源_01水果!$K$4:$K$1203,对接源_01水果!$C$4:$C$1203,$B122,对接源_01水果!$D$4:$D$1203,"成品出库*",对接源_01水果!$L$4:$L$1203,"已付款")+SUMIFS(对接源_01水果!$K$4:$K$1203,对接源_01水果!$C$4:$C$1203,$B122,对接源_01水果!$D$4:$D$1203,"其他代存*",对接源_01水果!$L$4:$L$1203,"已收讫")+SUMIFS(对接源_01水果!$K$4:$K$1203,对接源_01水果!$C$4:$C$1203,$B122,对接源_01水果!$D$4:$D$1203,"其他代存*",对接源_01水果!$L$4:$L$1203,"已付款")+SUMIFS(对接源_02物料!$K$4:$K$1203,对接源_02物料!$C$4:$C$1203,$B122,对接源_02物料!$D$4:$D$1203,"包装物料*",对接源_02物料!$L$4:$L$1203,"已收讫")+SUMIFS(对接源_02物料!$K$4:$K$1203,对接源_02物料!$C$4:$C$1203,$B122,对接源_02物料!$D$4:$D$1203,"包装物料*",对接源_02物料!$L$4:$L$1203,"已付款")+SUMIFS(对接源_02物料!$K$4:$K$1203,对接源_02物料!$C$4:$C$1203,$B122,对接源_02物料!$D$4:$D$1203,"周转筐*",对接源_02物料!$L$4:$L$1203,"已收讫")+SUMIFS(对接源_02物料!$K$4:$K$1203,对接源_02物料!$C$4:$C$1203,$B122,对接源_02物料!$D$4:$D$1203,"周转筐*",对接源_02物料!$L$4:$L$1203,"已付款")+SUMIFS(对接源_02物料!$K$4:$K$1203,对接源_02物料!$C$4:$C$1203,$B122,对接源_02物料!$D$4:$D$1203,"次果筐*",对接源_02物料!$L$4:$L$1203,"已收讫")+SUMIFS(对接源_02物料!$K$4:$K$1203,对接源_02物料!$C$4:$C$1203,$B122,对接源_02物料!$D$4:$D$1203,"次果筐*",对接源_02物料!$L$4:$L$1203,"已付款"),2))</f>
      </c>
      <c r="J122" s="177">
        <f>IF($B122="","",ROUND(N($H122)-N($I122),2))</f>
      </c>
      <c r="K122" s="16">
        <f>IF($B122="","",IF(ROUND(N($J122),2)&gt;0,"对方欠款",IF(ROUND(N($J122),2)&lt;0,"我方欠款","已两清")))</f>
      </c>
      <c r="L122" s="26" t="n"/>
    </row>
    <row r="123" s="127">
      <c r="A123" s="16">
        <f>IF($B123="","",ROW()-3)</f>
      </c>
      <c r="B123" s="11">
        <f>IFERROR(INDEX(_自动清单!$E$4:$E$303,ROW()-3),"")</f>
      </c>
      <c r="C123" s="177">
        <f>IF($B123="","",ROUND(SUMIFS(对接源_01水果!$K$4:$K$1203,对接源_01水果!$C$4:$C$1203,$B123,对接源_01水果!$D$4:$D$1203,"成品出库*"),2))</f>
      </c>
      <c r="D123" s="177">
        <f>IF($B123="","",ROUND(SUMIFS(对接源_01水果!$K$4:$K$1203,对接源_01水果!$C$4:$C$1203,$B123,对接源_01水果!$D$4:$D$1203,"其他代存*"),2))</f>
      </c>
      <c r="E123" s="177">
        <f>IF($B123="","",ROUND(SUMIFS(对接源_02物料!$K$4:$K$1203,对接源_02物料!$C$4:$C$1203,$B123,对接源_02物料!$D$4:$D$1203,"包装物料*"),2))</f>
      </c>
      <c r="F123" s="177">
        <f>IF($B123="","",ROUND(SUMIFS(对接源_02物料!$K$4:$K$1203,对接源_02物料!$C$4:$C$1203,$B123,对接源_02物料!$D$4:$D$1203,"周转筐*"),2))</f>
      </c>
      <c r="G123" s="177">
        <f>IF($B123="","",ROUND(SUMIFS(对接源_02物料!$K$4:$K$1203,对接源_02物料!$C$4:$C$1203,$B123,对接源_02物料!$D$4:$D$1203,"次果筐*"),2))</f>
      </c>
      <c r="H123" s="177">
        <f>IF($B123="","",ROUND(SUM($C123:$G123),2))</f>
      </c>
      <c r="I123" s="177">
        <f>IF($B123="","",ROUND(SUMIFS(对接源_01水果!$K$4:$K$1203,对接源_01水果!$C$4:$C$1203,$B123,对接源_01水果!$D$4:$D$1203,"成品出库*",对接源_01水果!$L$4:$L$1203,"已收讫")+SUMIFS(对接源_01水果!$K$4:$K$1203,对接源_01水果!$C$4:$C$1203,$B123,对接源_01水果!$D$4:$D$1203,"成品出库*",对接源_01水果!$L$4:$L$1203,"已付款")+SUMIFS(对接源_01水果!$K$4:$K$1203,对接源_01水果!$C$4:$C$1203,$B123,对接源_01水果!$D$4:$D$1203,"其他代存*",对接源_01水果!$L$4:$L$1203,"已收讫")+SUMIFS(对接源_01水果!$K$4:$K$1203,对接源_01水果!$C$4:$C$1203,$B123,对接源_01水果!$D$4:$D$1203,"其他代存*",对接源_01水果!$L$4:$L$1203,"已付款")+SUMIFS(对接源_02物料!$K$4:$K$1203,对接源_02物料!$C$4:$C$1203,$B123,对接源_02物料!$D$4:$D$1203,"包装物料*",对接源_02物料!$L$4:$L$1203,"已收讫")+SUMIFS(对接源_02物料!$K$4:$K$1203,对接源_02物料!$C$4:$C$1203,$B123,对接源_02物料!$D$4:$D$1203,"包装物料*",对接源_02物料!$L$4:$L$1203,"已付款")+SUMIFS(对接源_02物料!$K$4:$K$1203,对接源_02物料!$C$4:$C$1203,$B123,对接源_02物料!$D$4:$D$1203,"周转筐*",对接源_02物料!$L$4:$L$1203,"已收讫")+SUMIFS(对接源_02物料!$K$4:$K$1203,对接源_02物料!$C$4:$C$1203,$B123,对接源_02物料!$D$4:$D$1203,"周转筐*",对接源_02物料!$L$4:$L$1203,"已付款")+SUMIFS(对接源_02物料!$K$4:$K$1203,对接源_02物料!$C$4:$C$1203,$B123,对接源_02物料!$D$4:$D$1203,"次果筐*",对接源_02物料!$L$4:$L$1203,"已收讫")+SUMIFS(对接源_02物料!$K$4:$K$1203,对接源_02物料!$C$4:$C$1203,$B123,对接源_02物料!$D$4:$D$1203,"次果筐*",对接源_02物料!$L$4:$L$1203,"已付款"),2))</f>
      </c>
      <c r="J123" s="177">
        <f>IF($B123="","",ROUND(N($H123)-N($I123),2))</f>
      </c>
      <c r="K123" s="16">
        <f>IF($B123="","",IF(ROUND(N($J123),2)&gt;0,"对方欠款",IF(ROUND(N($J123),2)&lt;0,"我方欠款","已两清")))</f>
      </c>
      <c r="L123" s="26" t="n"/>
    </row>
    <row r="124" s="127">
      <c r="A124" s="16">
        <f>IF($B124="","",ROW()-3)</f>
      </c>
      <c r="B124" s="11">
        <f>IFERROR(INDEX(_自动清单!$E$4:$E$303,ROW()-3),"")</f>
      </c>
      <c r="C124" s="177">
        <f>IF($B124="","",ROUND(SUMIFS(对接源_01水果!$K$4:$K$1203,对接源_01水果!$C$4:$C$1203,$B124,对接源_01水果!$D$4:$D$1203,"成品出库*"),2))</f>
      </c>
      <c r="D124" s="177">
        <f>IF($B124="","",ROUND(SUMIFS(对接源_01水果!$K$4:$K$1203,对接源_01水果!$C$4:$C$1203,$B124,对接源_01水果!$D$4:$D$1203,"其他代存*"),2))</f>
      </c>
      <c r="E124" s="177">
        <f>IF($B124="","",ROUND(SUMIFS(对接源_02物料!$K$4:$K$1203,对接源_02物料!$C$4:$C$1203,$B124,对接源_02物料!$D$4:$D$1203,"包装物料*"),2))</f>
      </c>
      <c r="F124" s="177">
        <f>IF($B124="","",ROUND(SUMIFS(对接源_02物料!$K$4:$K$1203,对接源_02物料!$C$4:$C$1203,$B124,对接源_02物料!$D$4:$D$1203,"周转筐*"),2))</f>
      </c>
      <c r="G124" s="177">
        <f>IF($B124="","",ROUND(SUMIFS(对接源_02物料!$K$4:$K$1203,对接源_02物料!$C$4:$C$1203,$B124,对接源_02物料!$D$4:$D$1203,"次果筐*"),2))</f>
      </c>
      <c r="H124" s="177">
        <f>IF($B124="","",ROUND(SUM($C124:$G124),2))</f>
      </c>
      <c r="I124" s="177">
        <f>IF($B124="","",ROUND(SUMIFS(对接源_01水果!$K$4:$K$1203,对接源_01水果!$C$4:$C$1203,$B124,对接源_01水果!$D$4:$D$1203,"成品出库*",对接源_01水果!$L$4:$L$1203,"已收讫")+SUMIFS(对接源_01水果!$K$4:$K$1203,对接源_01水果!$C$4:$C$1203,$B124,对接源_01水果!$D$4:$D$1203,"成品出库*",对接源_01水果!$L$4:$L$1203,"已付款")+SUMIFS(对接源_01水果!$K$4:$K$1203,对接源_01水果!$C$4:$C$1203,$B124,对接源_01水果!$D$4:$D$1203,"其他代存*",对接源_01水果!$L$4:$L$1203,"已收讫")+SUMIFS(对接源_01水果!$K$4:$K$1203,对接源_01水果!$C$4:$C$1203,$B124,对接源_01水果!$D$4:$D$1203,"其他代存*",对接源_01水果!$L$4:$L$1203,"已付款")+SUMIFS(对接源_02物料!$K$4:$K$1203,对接源_02物料!$C$4:$C$1203,$B124,对接源_02物料!$D$4:$D$1203,"包装物料*",对接源_02物料!$L$4:$L$1203,"已收讫")+SUMIFS(对接源_02物料!$K$4:$K$1203,对接源_02物料!$C$4:$C$1203,$B124,对接源_02物料!$D$4:$D$1203,"包装物料*",对接源_02物料!$L$4:$L$1203,"已付款")+SUMIFS(对接源_02物料!$K$4:$K$1203,对接源_02物料!$C$4:$C$1203,$B124,对接源_02物料!$D$4:$D$1203,"周转筐*",对接源_02物料!$L$4:$L$1203,"已收讫")+SUMIFS(对接源_02物料!$K$4:$K$1203,对接源_02物料!$C$4:$C$1203,$B124,对接源_02物料!$D$4:$D$1203,"周转筐*",对接源_02物料!$L$4:$L$1203,"已付款")+SUMIFS(对接源_02物料!$K$4:$K$1203,对接源_02物料!$C$4:$C$1203,$B124,对接源_02物料!$D$4:$D$1203,"次果筐*",对接源_02物料!$L$4:$L$1203,"已收讫")+SUMIFS(对接源_02物料!$K$4:$K$1203,对接源_02物料!$C$4:$C$1203,$B124,对接源_02物料!$D$4:$D$1203,"次果筐*",对接源_02物料!$L$4:$L$1203,"已付款"),2))</f>
      </c>
      <c r="J124" s="177">
        <f>IF($B124="","",ROUND(N($H124)-N($I124),2))</f>
      </c>
      <c r="K124" s="16">
        <f>IF($B124="","",IF(ROUND(N($J124),2)&gt;0,"对方欠款",IF(ROUND(N($J124),2)&lt;0,"我方欠款","已两清")))</f>
      </c>
      <c r="L124" s="26" t="n"/>
    </row>
    <row r="125" s="127">
      <c r="A125" s="16">
        <f>IF($B125="","",ROW()-3)</f>
      </c>
      <c r="B125" s="11">
        <f>IFERROR(INDEX(_自动清单!$E$4:$E$303,ROW()-3),"")</f>
      </c>
      <c r="C125" s="177">
        <f>IF($B125="","",ROUND(SUMIFS(对接源_01水果!$K$4:$K$1203,对接源_01水果!$C$4:$C$1203,$B125,对接源_01水果!$D$4:$D$1203,"成品出库*"),2))</f>
      </c>
      <c r="D125" s="177">
        <f>IF($B125="","",ROUND(SUMIFS(对接源_01水果!$K$4:$K$1203,对接源_01水果!$C$4:$C$1203,$B125,对接源_01水果!$D$4:$D$1203,"其他代存*"),2))</f>
      </c>
      <c r="E125" s="177">
        <f>IF($B125="","",ROUND(SUMIFS(对接源_02物料!$K$4:$K$1203,对接源_02物料!$C$4:$C$1203,$B125,对接源_02物料!$D$4:$D$1203,"包装物料*"),2))</f>
      </c>
      <c r="F125" s="177">
        <f>IF($B125="","",ROUND(SUMIFS(对接源_02物料!$K$4:$K$1203,对接源_02物料!$C$4:$C$1203,$B125,对接源_02物料!$D$4:$D$1203,"周转筐*"),2))</f>
      </c>
      <c r="G125" s="177">
        <f>IF($B125="","",ROUND(SUMIFS(对接源_02物料!$K$4:$K$1203,对接源_02物料!$C$4:$C$1203,$B125,对接源_02物料!$D$4:$D$1203,"次果筐*"),2))</f>
      </c>
      <c r="H125" s="177">
        <f>IF($B125="","",ROUND(SUM($C125:$G125),2))</f>
      </c>
      <c r="I125" s="177">
        <f>IF($B125="","",ROUND(SUMIFS(对接源_01水果!$K$4:$K$1203,对接源_01水果!$C$4:$C$1203,$B125,对接源_01水果!$D$4:$D$1203,"成品出库*",对接源_01水果!$L$4:$L$1203,"已收讫")+SUMIFS(对接源_01水果!$K$4:$K$1203,对接源_01水果!$C$4:$C$1203,$B125,对接源_01水果!$D$4:$D$1203,"成品出库*",对接源_01水果!$L$4:$L$1203,"已付款")+SUMIFS(对接源_01水果!$K$4:$K$1203,对接源_01水果!$C$4:$C$1203,$B125,对接源_01水果!$D$4:$D$1203,"其他代存*",对接源_01水果!$L$4:$L$1203,"已收讫")+SUMIFS(对接源_01水果!$K$4:$K$1203,对接源_01水果!$C$4:$C$1203,$B125,对接源_01水果!$D$4:$D$1203,"其他代存*",对接源_01水果!$L$4:$L$1203,"已付款")+SUMIFS(对接源_02物料!$K$4:$K$1203,对接源_02物料!$C$4:$C$1203,$B125,对接源_02物料!$D$4:$D$1203,"包装物料*",对接源_02物料!$L$4:$L$1203,"已收讫")+SUMIFS(对接源_02物料!$K$4:$K$1203,对接源_02物料!$C$4:$C$1203,$B125,对接源_02物料!$D$4:$D$1203,"包装物料*",对接源_02物料!$L$4:$L$1203,"已付款")+SUMIFS(对接源_02物料!$K$4:$K$1203,对接源_02物料!$C$4:$C$1203,$B125,对接源_02物料!$D$4:$D$1203,"周转筐*",对接源_02物料!$L$4:$L$1203,"已收讫")+SUMIFS(对接源_02物料!$K$4:$K$1203,对接源_02物料!$C$4:$C$1203,$B125,对接源_02物料!$D$4:$D$1203,"周转筐*",对接源_02物料!$L$4:$L$1203,"已付款")+SUMIFS(对接源_02物料!$K$4:$K$1203,对接源_02物料!$C$4:$C$1203,$B125,对接源_02物料!$D$4:$D$1203,"次果筐*",对接源_02物料!$L$4:$L$1203,"已收讫")+SUMIFS(对接源_02物料!$K$4:$K$1203,对接源_02物料!$C$4:$C$1203,$B125,对接源_02物料!$D$4:$D$1203,"次果筐*",对接源_02物料!$L$4:$L$1203,"已付款"),2))</f>
      </c>
      <c r="J125" s="177">
        <f>IF($B125="","",ROUND(N($H125)-N($I125),2))</f>
      </c>
      <c r="K125" s="16">
        <f>IF($B125="","",IF(ROUND(N($J125),2)&gt;0,"对方欠款",IF(ROUND(N($J125),2)&lt;0,"我方欠款","已两清")))</f>
      </c>
      <c r="L125" s="26" t="n"/>
    </row>
    <row r="126" s="127">
      <c r="A126" s="16">
        <f>IF($B126="","",ROW()-3)</f>
      </c>
      <c r="B126" s="11">
        <f>IFERROR(INDEX(_自动清单!$E$4:$E$303,ROW()-3),"")</f>
      </c>
      <c r="C126" s="177">
        <f>IF($B126="","",ROUND(SUMIFS(对接源_01水果!$K$4:$K$1203,对接源_01水果!$C$4:$C$1203,$B126,对接源_01水果!$D$4:$D$1203,"成品出库*"),2))</f>
      </c>
      <c r="D126" s="177">
        <f>IF($B126="","",ROUND(SUMIFS(对接源_01水果!$K$4:$K$1203,对接源_01水果!$C$4:$C$1203,$B126,对接源_01水果!$D$4:$D$1203,"其他代存*"),2))</f>
      </c>
      <c r="E126" s="177">
        <f>IF($B126="","",ROUND(SUMIFS(对接源_02物料!$K$4:$K$1203,对接源_02物料!$C$4:$C$1203,$B126,对接源_02物料!$D$4:$D$1203,"包装物料*"),2))</f>
      </c>
      <c r="F126" s="177">
        <f>IF($B126="","",ROUND(SUMIFS(对接源_02物料!$K$4:$K$1203,对接源_02物料!$C$4:$C$1203,$B126,对接源_02物料!$D$4:$D$1203,"周转筐*"),2))</f>
      </c>
      <c r="G126" s="177">
        <f>IF($B126="","",ROUND(SUMIFS(对接源_02物料!$K$4:$K$1203,对接源_02物料!$C$4:$C$1203,$B126,对接源_02物料!$D$4:$D$1203,"次果筐*"),2))</f>
      </c>
      <c r="H126" s="177">
        <f>IF($B126="","",ROUND(SUM($C126:$G126),2))</f>
      </c>
      <c r="I126" s="177">
        <f>IF($B126="","",ROUND(SUMIFS(对接源_01水果!$K$4:$K$1203,对接源_01水果!$C$4:$C$1203,$B126,对接源_01水果!$D$4:$D$1203,"成品出库*",对接源_01水果!$L$4:$L$1203,"已收讫")+SUMIFS(对接源_01水果!$K$4:$K$1203,对接源_01水果!$C$4:$C$1203,$B126,对接源_01水果!$D$4:$D$1203,"成品出库*",对接源_01水果!$L$4:$L$1203,"已付款")+SUMIFS(对接源_01水果!$K$4:$K$1203,对接源_01水果!$C$4:$C$1203,$B126,对接源_01水果!$D$4:$D$1203,"其他代存*",对接源_01水果!$L$4:$L$1203,"已收讫")+SUMIFS(对接源_01水果!$K$4:$K$1203,对接源_01水果!$C$4:$C$1203,$B126,对接源_01水果!$D$4:$D$1203,"其他代存*",对接源_01水果!$L$4:$L$1203,"已付款")+SUMIFS(对接源_02物料!$K$4:$K$1203,对接源_02物料!$C$4:$C$1203,$B126,对接源_02物料!$D$4:$D$1203,"包装物料*",对接源_02物料!$L$4:$L$1203,"已收讫")+SUMIFS(对接源_02物料!$K$4:$K$1203,对接源_02物料!$C$4:$C$1203,$B126,对接源_02物料!$D$4:$D$1203,"包装物料*",对接源_02物料!$L$4:$L$1203,"已付款")+SUMIFS(对接源_02物料!$K$4:$K$1203,对接源_02物料!$C$4:$C$1203,$B126,对接源_02物料!$D$4:$D$1203,"周转筐*",对接源_02物料!$L$4:$L$1203,"已收讫")+SUMIFS(对接源_02物料!$K$4:$K$1203,对接源_02物料!$C$4:$C$1203,$B126,对接源_02物料!$D$4:$D$1203,"周转筐*",对接源_02物料!$L$4:$L$1203,"已付款")+SUMIFS(对接源_02物料!$K$4:$K$1203,对接源_02物料!$C$4:$C$1203,$B126,对接源_02物料!$D$4:$D$1203,"次果筐*",对接源_02物料!$L$4:$L$1203,"已收讫")+SUMIFS(对接源_02物料!$K$4:$K$1203,对接源_02物料!$C$4:$C$1203,$B126,对接源_02物料!$D$4:$D$1203,"次果筐*",对接源_02物料!$L$4:$L$1203,"已付款"),2))</f>
      </c>
      <c r="J126" s="177">
        <f>IF($B126="","",ROUND(N($H126)-N($I126),2))</f>
      </c>
      <c r="K126" s="16">
        <f>IF($B126="","",IF(ROUND(N($J126),2)&gt;0,"对方欠款",IF(ROUND(N($J126),2)&lt;0,"我方欠款","已两清")))</f>
      </c>
      <c r="L126" s="26" t="n"/>
    </row>
    <row r="127" s="127">
      <c r="A127" s="16">
        <f>IF($B127="","",ROW()-3)</f>
      </c>
      <c r="B127" s="11">
        <f>IFERROR(INDEX(_自动清单!$E$4:$E$303,ROW()-3),"")</f>
      </c>
      <c r="C127" s="177">
        <f>IF($B127="","",ROUND(SUMIFS(对接源_01水果!$K$4:$K$1203,对接源_01水果!$C$4:$C$1203,$B127,对接源_01水果!$D$4:$D$1203,"成品出库*"),2))</f>
      </c>
      <c r="D127" s="177">
        <f>IF($B127="","",ROUND(SUMIFS(对接源_01水果!$K$4:$K$1203,对接源_01水果!$C$4:$C$1203,$B127,对接源_01水果!$D$4:$D$1203,"其他代存*"),2))</f>
      </c>
      <c r="E127" s="177">
        <f>IF($B127="","",ROUND(SUMIFS(对接源_02物料!$K$4:$K$1203,对接源_02物料!$C$4:$C$1203,$B127,对接源_02物料!$D$4:$D$1203,"包装物料*"),2))</f>
      </c>
      <c r="F127" s="177">
        <f>IF($B127="","",ROUND(SUMIFS(对接源_02物料!$K$4:$K$1203,对接源_02物料!$C$4:$C$1203,$B127,对接源_02物料!$D$4:$D$1203,"周转筐*"),2))</f>
      </c>
      <c r="G127" s="177">
        <f>IF($B127="","",ROUND(SUMIFS(对接源_02物料!$K$4:$K$1203,对接源_02物料!$C$4:$C$1203,$B127,对接源_02物料!$D$4:$D$1203,"次果筐*"),2))</f>
      </c>
      <c r="H127" s="177">
        <f>IF($B127="","",ROUND(SUM($C127:$G127),2))</f>
      </c>
      <c r="I127" s="177">
        <f>IF($B127="","",ROUND(SUMIFS(对接源_01水果!$K$4:$K$1203,对接源_01水果!$C$4:$C$1203,$B127,对接源_01水果!$D$4:$D$1203,"成品出库*",对接源_01水果!$L$4:$L$1203,"已收讫")+SUMIFS(对接源_01水果!$K$4:$K$1203,对接源_01水果!$C$4:$C$1203,$B127,对接源_01水果!$D$4:$D$1203,"成品出库*",对接源_01水果!$L$4:$L$1203,"已付款")+SUMIFS(对接源_01水果!$K$4:$K$1203,对接源_01水果!$C$4:$C$1203,$B127,对接源_01水果!$D$4:$D$1203,"其他代存*",对接源_01水果!$L$4:$L$1203,"已收讫")+SUMIFS(对接源_01水果!$K$4:$K$1203,对接源_01水果!$C$4:$C$1203,$B127,对接源_01水果!$D$4:$D$1203,"其他代存*",对接源_01水果!$L$4:$L$1203,"已付款")+SUMIFS(对接源_02物料!$K$4:$K$1203,对接源_02物料!$C$4:$C$1203,$B127,对接源_02物料!$D$4:$D$1203,"包装物料*",对接源_02物料!$L$4:$L$1203,"已收讫")+SUMIFS(对接源_02物料!$K$4:$K$1203,对接源_02物料!$C$4:$C$1203,$B127,对接源_02物料!$D$4:$D$1203,"包装物料*",对接源_02物料!$L$4:$L$1203,"已付款")+SUMIFS(对接源_02物料!$K$4:$K$1203,对接源_02物料!$C$4:$C$1203,$B127,对接源_02物料!$D$4:$D$1203,"周转筐*",对接源_02物料!$L$4:$L$1203,"已收讫")+SUMIFS(对接源_02物料!$K$4:$K$1203,对接源_02物料!$C$4:$C$1203,$B127,对接源_02物料!$D$4:$D$1203,"周转筐*",对接源_02物料!$L$4:$L$1203,"已付款")+SUMIFS(对接源_02物料!$K$4:$K$1203,对接源_02物料!$C$4:$C$1203,$B127,对接源_02物料!$D$4:$D$1203,"次果筐*",对接源_02物料!$L$4:$L$1203,"已收讫")+SUMIFS(对接源_02物料!$K$4:$K$1203,对接源_02物料!$C$4:$C$1203,$B127,对接源_02物料!$D$4:$D$1203,"次果筐*",对接源_02物料!$L$4:$L$1203,"已付款"),2))</f>
      </c>
      <c r="J127" s="177">
        <f>IF($B127="","",ROUND(N($H127)-N($I127),2))</f>
      </c>
      <c r="K127" s="16">
        <f>IF($B127="","",IF(ROUND(N($J127),2)&gt;0,"对方欠款",IF(ROUND(N($J127),2)&lt;0,"我方欠款","已两清")))</f>
      </c>
      <c r="L127" s="26" t="n"/>
    </row>
    <row r="128" s="127">
      <c r="A128" s="16">
        <f>IF($B128="","",ROW()-3)</f>
      </c>
      <c r="B128" s="11">
        <f>IFERROR(INDEX(_自动清单!$E$4:$E$303,ROW()-3),"")</f>
      </c>
      <c r="C128" s="177">
        <f>IF($B128="","",ROUND(SUMIFS(对接源_01水果!$K$4:$K$1203,对接源_01水果!$C$4:$C$1203,$B128,对接源_01水果!$D$4:$D$1203,"成品出库*"),2))</f>
      </c>
      <c r="D128" s="177">
        <f>IF($B128="","",ROUND(SUMIFS(对接源_01水果!$K$4:$K$1203,对接源_01水果!$C$4:$C$1203,$B128,对接源_01水果!$D$4:$D$1203,"其他代存*"),2))</f>
      </c>
      <c r="E128" s="177">
        <f>IF($B128="","",ROUND(SUMIFS(对接源_02物料!$K$4:$K$1203,对接源_02物料!$C$4:$C$1203,$B128,对接源_02物料!$D$4:$D$1203,"包装物料*"),2))</f>
      </c>
      <c r="F128" s="177">
        <f>IF($B128="","",ROUND(SUMIFS(对接源_02物料!$K$4:$K$1203,对接源_02物料!$C$4:$C$1203,$B128,对接源_02物料!$D$4:$D$1203,"周转筐*"),2))</f>
      </c>
      <c r="G128" s="177">
        <f>IF($B128="","",ROUND(SUMIFS(对接源_02物料!$K$4:$K$1203,对接源_02物料!$C$4:$C$1203,$B128,对接源_02物料!$D$4:$D$1203,"次果筐*"),2))</f>
      </c>
      <c r="H128" s="177">
        <f>IF($B128="","",ROUND(SUM($C128:$G128),2))</f>
      </c>
      <c r="I128" s="177">
        <f>IF($B128="","",ROUND(SUMIFS(对接源_01水果!$K$4:$K$1203,对接源_01水果!$C$4:$C$1203,$B128,对接源_01水果!$D$4:$D$1203,"成品出库*",对接源_01水果!$L$4:$L$1203,"已收讫")+SUMIFS(对接源_01水果!$K$4:$K$1203,对接源_01水果!$C$4:$C$1203,$B128,对接源_01水果!$D$4:$D$1203,"成品出库*",对接源_01水果!$L$4:$L$1203,"已付款")+SUMIFS(对接源_01水果!$K$4:$K$1203,对接源_01水果!$C$4:$C$1203,$B128,对接源_01水果!$D$4:$D$1203,"其他代存*",对接源_01水果!$L$4:$L$1203,"已收讫")+SUMIFS(对接源_01水果!$K$4:$K$1203,对接源_01水果!$C$4:$C$1203,$B128,对接源_01水果!$D$4:$D$1203,"其他代存*",对接源_01水果!$L$4:$L$1203,"已付款")+SUMIFS(对接源_02物料!$K$4:$K$1203,对接源_02物料!$C$4:$C$1203,$B128,对接源_02物料!$D$4:$D$1203,"包装物料*",对接源_02物料!$L$4:$L$1203,"已收讫")+SUMIFS(对接源_02物料!$K$4:$K$1203,对接源_02物料!$C$4:$C$1203,$B128,对接源_02物料!$D$4:$D$1203,"包装物料*",对接源_02物料!$L$4:$L$1203,"已付款")+SUMIFS(对接源_02物料!$K$4:$K$1203,对接源_02物料!$C$4:$C$1203,$B128,对接源_02物料!$D$4:$D$1203,"周转筐*",对接源_02物料!$L$4:$L$1203,"已收讫")+SUMIFS(对接源_02物料!$K$4:$K$1203,对接源_02物料!$C$4:$C$1203,$B128,对接源_02物料!$D$4:$D$1203,"周转筐*",对接源_02物料!$L$4:$L$1203,"已付款")+SUMIFS(对接源_02物料!$K$4:$K$1203,对接源_02物料!$C$4:$C$1203,$B128,对接源_02物料!$D$4:$D$1203,"次果筐*",对接源_02物料!$L$4:$L$1203,"已收讫")+SUMIFS(对接源_02物料!$K$4:$K$1203,对接源_02物料!$C$4:$C$1203,$B128,对接源_02物料!$D$4:$D$1203,"次果筐*",对接源_02物料!$L$4:$L$1203,"已付款"),2))</f>
      </c>
      <c r="J128" s="177">
        <f>IF($B128="","",ROUND(N($H128)-N($I128),2))</f>
      </c>
      <c r="K128" s="16">
        <f>IF($B128="","",IF(ROUND(N($J128),2)&gt;0,"对方欠款",IF(ROUND(N($J128),2)&lt;0,"我方欠款","已两清")))</f>
      </c>
      <c r="L128" s="26" t="n"/>
    </row>
    <row r="129" s="127">
      <c r="A129" s="16">
        <f>IF($B129="","",ROW()-3)</f>
      </c>
      <c r="B129" s="11">
        <f>IFERROR(INDEX(_自动清单!$E$4:$E$303,ROW()-3),"")</f>
      </c>
      <c r="C129" s="177">
        <f>IF($B129="","",ROUND(SUMIFS(对接源_01水果!$K$4:$K$1203,对接源_01水果!$C$4:$C$1203,$B129,对接源_01水果!$D$4:$D$1203,"成品出库*"),2))</f>
      </c>
      <c r="D129" s="177">
        <f>IF($B129="","",ROUND(SUMIFS(对接源_01水果!$K$4:$K$1203,对接源_01水果!$C$4:$C$1203,$B129,对接源_01水果!$D$4:$D$1203,"其他代存*"),2))</f>
      </c>
      <c r="E129" s="177">
        <f>IF($B129="","",ROUND(SUMIFS(对接源_02物料!$K$4:$K$1203,对接源_02物料!$C$4:$C$1203,$B129,对接源_02物料!$D$4:$D$1203,"包装物料*"),2))</f>
      </c>
      <c r="F129" s="177">
        <f>IF($B129="","",ROUND(SUMIFS(对接源_02物料!$K$4:$K$1203,对接源_02物料!$C$4:$C$1203,$B129,对接源_02物料!$D$4:$D$1203,"周转筐*"),2))</f>
      </c>
      <c r="G129" s="177">
        <f>IF($B129="","",ROUND(SUMIFS(对接源_02物料!$K$4:$K$1203,对接源_02物料!$C$4:$C$1203,$B129,对接源_02物料!$D$4:$D$1203,"次果筐*"),2))</f>
      </c>
      <c r="H129" s="177">
        <f>IF($B129="","",ROUND(SUM($C129:$G129),2))</f>
      </c>
      <c r="I129" s="177">
        <f>IF($B129="","",ROUND(SUMIFS(对接源_01水果!$K$4:$K$1203,对接源_01水果!$C$4:$C$1203,$B129,对接源_01水果!$D$4:$D$1203,"成品出库*",对接源_01水果!$L$4:$L$1203,"已收讫")+SUMIFS(对接源_01水果!$K$4:$K$1203,对接源_01水果!$C$4:$C$1203,$B129,对接源_01水果!$D$4:$D$1203,"成品出库*",对接源_01水果!$L$4:$L$1203,"已付款")+SUMIFS(对接源_01水果!$K$4:$K$1203,对接源_01水果!$C$4:$C$1203,$B129,对接源_01水果!$D$4:$D$1203,"其他代存*",对接源_01水果!$L$4:$L$1203,"已收讫")+SUMIFS(对接源_01水果!$K$4:$K$1203,对接源_01水果!$C$4:$C$1203,$B129,对接源_01水果!$D$4:$D$1203,"其他代存*",对接源_01水果!$L$4:$L$1203,"已付款")+SUMIFS(对接源_02物料!$K$4:$K$1203,对接源_02物料!$C$4:$C$1203,$B129,对接源_02物料!$D$4:$D$1203,"包装物料*",对接源_02物料!$L$4:$L$1203,"已收讫")+SUMIFS(对接源_02物料!$K$4:$K$1203,对接源_02物料!$C$4:$C$1203,$B129,对接源_02物料!$D$4:$D$1203,"包装物料*",对接源_02物料!$L$4:$L$1203,"已付款")+SUMIFS(对接源_02物料!$K$4:$K$1203,对接源_02物料!$C$4:$C$1203,$B129,对接源_02物料!$D$4:$D$1203,"周转筐*",对接源_02物料!$L$4:$L$1203,"已收讫")+SUMIFS(对接源_02物料!$K$4:$K$1203,对接源_02物料!$C$4:$C$1203,$B129,对接源_02物料!$D$4:$D$1203,"周转筐*",对接源_02物料!$L$4:$L$1203,"已付款")+SUMIFS(对接源_02物料!$K$4:$K$1203,对接源_02物料!$C$4:$C$1203,$B129,对接源_02物料!$D$4:$D$1203,"次果筐*",对接源_02物料!$L$4:$L$1203,"已收讫")+SUMIFS(对接源_02物料!$K$4:$K$1203,对接源_02物料!$C$4:$C$1203,$B129,对接源_02物料!$D$4:$D$1203,"次果筐*",对接源_02物料!$L$4:$L$1203,"已付款"),2))</f>
      </c>
      <c r="J129" s="177">
        <f>IF($B129="","",ROUND(N($H129)-N($I129),2))</f>
      </c>
      <c r="K129" s="16">
        <f>IF($B129="","",IF(ROUND(N($J129),2)&gt;0,"对方欠款",IF(ROUND(N($J129),2)&lt;0,"我方欠款","已两清")))</f>
      </c>
      <c r="L129" s="26" t="n"/>
    </row>
    <row r="130" s="127">
      <c r="A130" s="16">
        <f>IF($B130="","",ROW()-3)</f>
      </c>
      <c r="B130" s="11">
        <f>IFERROR(INDEX(_自动清单!$E$4:$E$303,ROW()-3),"")</f>
      </c>
      <c r="C130" s="177">
        <f>IF($B130="","",ROUND(SUMIFS(对接源_01水果!$K$4:$K$1203,对接源_01水果!$C$4:$C$1203,$B130,对接源_01水果!$D$4:$D$1203,"成品出库*"),2))</f>
      </c>
      <c r="D130" s="177">
        <f>IF($B130="","",ROUND(SUMIFS(对接源_01水果!$K$4:$K$1203,对接源_01水果!$C$4:$C$1203,$B130,对接源_01水果!$D$4:$D$1203,"其他代存*"),2))</f>
      </c>
      <c r="E130" s="177">
        <f>IF($B130="","",ROUND(SUMIFS(对接源_02物料!$K$4:$K$1203,对接源_02物料!$C$4:$C$1203,$B130,对接源_02物料!$D$4:$D$1203,"包装物料*"),2))</f>
      </c>
      <c r="F130" s="177">
        <f>IF($B130="","",ROUND(SUMIFS(对接源_02物料!$K$4:$K$1203,对接源_02物料!$C$4:$C$1203,$B130,对接源_02物料!$D$4:$D$1203,"周转筐*"),2))</f>
      </c>
      <c r="G130" s="177">
        <f>IF($B130="","",ROUND(SUMIFS(对接源_02物料!$K$4:$K$1203,对接源_02物料!$C$4:$C$1203,$B130,对接源_02物料!$D$4:$D$1203,"次果筐*"),2))</f>
      </c>
      <c r="H130" s="177">
        <f>IF($B130="","",ROUND(SUM($C130:$G130),2))</f>
      </c>
      <c r="I130" s="177">
        <f>IF($B130="","",ROUND(SUMIFS(对接源_01水果!$K$4:$K$1203,对接源_01水果!$C$4:$C$1203,$B130,对接源_01水果!$D$4:$D$1203,"成品出库*",对接源_01水果!$L$4:$L$1203,"已收讫")+SUMIFS(对接源_01水果!$K$4:$K$1203,对接源_01水果!$C$4:$C$1203,$B130,对接源_01水果!$D$4:$D$1203,"成品出库*",对接源_01水果!$L$4:$L$1203,"已付款")+SUMIFS(对接源_01水果!$K$4:$K$1203,对接源_01水果!$C$4:$C$1203,$B130,对接源_01水果!$D$4:$D$1203,"其他代存*",对接源_01水果!$L$4:$L$1203,"已收讫")+SUMIFS(对接源_01水果!$K$4:$K$1203,对接源_01水果!$C$4:$C$1203,$B130,对接源_01水果!$D$4:$D$1203,"其他代存*",对接源_01水果!$L$4:$L$1203,"已付款")+SUMIFS(对接源_02物料!$K$4:$K$1203,对接源_02物料!$C$4:$C$1203,$B130,对接源_02物料!$D$4:$D$1203,"包装物料*",对接源_02物料!$L$4:$L$1203,"已收讫")+SUMIFS(对接源_02物料!$K$4:$K$1203,对接源_02物料!$C$4:$C$1203,$B130,对接源_02物料!$D$4:$D$1203,"包装物料*",对接源_02物料!$L$4:$L$1203,"已付款")+SUMIFS(对接源_02物料!$K$4:$K$1203,对接源_02物料!$C$4:$C$1203,$B130,对接源_02物料!$D$4:$D$1203,"周转筐*",对接源_02物料!$L$4:$L$1203,"已收讫")+SUMIFS(对接源_02物料!$K$4:$K$1203,对接源_02物料!$C$4:$C$1203,$B130,对接源_02物料!$D$4:$D$1203,"周转筐*",对接源_02物料!$L$4:$L$1203,"已付款")+SUMIFS(对接源_02物料!$K$4:$K$1203,对接源_02物料!$C$4:$C$1203,$B130,对接源_02物料!$D$4:$D$1203,"次果筐*",对接源_02物料!$L$4:$L$1203,"已收讫")+SUMIFS(对接源_02物料!$K$4:$K$1203,对接源_02物料!$C$4:$C$1203,$B130,对接源_02物料!$D$4:$D$1203,"次果筐*",对接源_02物料!$L$4:$L$1203,"已付款"),2))</f>
      </c>
      <c r="J130" s="177">
        <f>IF($B130="","",ROUND(N($H130)-N($I130),2))</f>
      </c>
      <c r="K130" s="16">
        <f>IF($B130="","",IF(ROUND(N($J130),2)&gt;0,"对方欠款",IF(ROUND(N($J130),2)&lt;0,"我方欠款","已两清")))</f>
      </c>
      <c r="L130" s="26" t="n"/>
    </row>
    <row r="131" s="127">
      <c r="A131" s="16">
        <f>IF($B131="","",ROW()-3)</f>
      </c>
      <c r="B131" s="11">
        <f>IFERROR(INDEX(_自动清单!$E$4:$E$303,ROW()-3),"")</f>
      </c>
      <c r="C131" s="177">
        <f>IF($B131="","",ROUND(SUMIFS(对接源_01水果!$K$4:$K$1203,对接源_01水果!$C$4:$C$1203,$B131,对接源_01水果!$D$4:$D$1203,"成品出库*"),2))</f>
      </c>
      <c r="D131" s="177">
        <f>IF($B131="","",ROUND(SUMIFS(对接源_01水果!$K$4:$K$1203,对接源_01水果!$C$4:$C$1203,$B131,对接源_01水果!$D$4:$D$1203,"其他代存*"),2))</f>
      </c>
      <c r="E131" s="177">
        <f>IF($B131="","",ROUND(SUMIFS(对接源_02物料!$K$4:$K$1203,对接源_02物料!$C$4:$C$1203,$B131,对接源_02物料!$D$4:$D$1203,"包装物料*"),2))</f>
      </c>
      <c r="F131" s="177">
        <f>IF($B131="","",ROUND(SUMIFS(对接源_02物料!$K$4:$K$1203,对接源_02物料!$C$4:$C$1203,$B131,对接源_02物料!$D$4:$D$1203,"周转筐*"),2))</f>
      </c>
      <c r="G131" s="177">
        <f>IF($B131="","",ROUND(SUMIFS(对接源_02物料!$K$4:$K$1203,对接源_02物料!$C$4:$C$1203,$B131,对接源_02物料!$D$4:$D$1203,"次果筐*"),2))</f>
      </c>
      <c r="H131" s="177">
        <f>IF($B131="","",ROUND(SUM($C131:$G131),2))</f>
      </c>
      <c r="I131" s="177">
        <f>IF($B131="","",ROUND(SUMIFS(对接源_01水果!$K$4:$K$1203,对接源_01水果!$C$4:$C$1203,$B131,对接源_01水果!$D$4:$D$1203,"成品出库*",对接源_01水果!$L$4:$L$1203,"已收讫")+SUMIFS(对接源_01水果!$K$4:$K$1203,对接源_01水果!$C$4:$C$1203,$B131,对接源_01水果!$D$4:$D$1203,"成品出库*",对接源_01水果!$L$4:$L$1203,"已付款")+SUMIFS(对接源_01水果!$K$4:$K$1203,对接源_01水果!$C$4:$C$1203,$B131,对接源_01水果!$D$4:$D$1203,"其他代存*",对接源_01水果!$L$4:$L$1203,"已收讫")+SUMIFS(对接源_01水果!$K$4:$K$1203,对接源_01水果!$C$4:$C$1203,$B131,对接源_01水果!$D$4:$D$1203,"其他代存*",对接源_01水果!$L$4:$L$1203,"已付款")+SUMIFS(对接源_02物料!$K$4:$K$1203,对接源_02物料!$C$4:$C$1203,$B131,对接源_02物料!$D$4:$D$1203,"包装物料*",对接源_02物料!$L$4:$L$1203,"已收讫")+SUMIFS(对接源_02物料!$K$4:$K$1203,对接源_02物料!$C$4:$C$1203,$B131,对接源_02物料!$D$4:$D$1203,"包装物料*",对接源_02物料!$L$4:$L$1203,"已付款")+SUMIFS(对接源_02物料!$K$4:$K$1203,对接源_02物料!$C$4:$C$1203,$B131,对接源_02物料!$D$4:$D$1203,"周转筐*",对接源_02物料!$L$4:$L$1203,"已收讫")+SUMIFS(对接源_02物料!$K$4:$K$1203,对接源_02物料!$C$4:$C$1203,$B131,对接源_02物料!$D$4:$D$1203,"周转筐*",对接源_02物料!$L$4:$L$1203,"已付款")+SUMIFS(对接源_02物料!$K$4:$K$1203,对接源_02物料!$C$4:$C$1203,$B131,对接源_02物料!$D$4:$D$1203,"次果筐*",对接源_02物料!$L$4:$L$1203,"已收讫")+SUMIFS(对接源_02物料!$K$4:$K$1203,对接源_02物料!$C$4:$C$1203,$B131,对接源_02物料!$D$4:$D$1203,"次果筐*",对接源_02物料!$L$4:$L$1203,"已付款"),2))</f>
      </c>
      <c r="J131" s="177">
        <f>IF($B131="","",ROUND(N($H131)-N($I131),2))</f>
      </c>
      <c r="K131" s="16">
        <f>IF($B131="","",IF(ROUND(N($J131),2)&gt;0,"对方欠款",IF(ROUND(N($J131),2)&lt;0,"我方欠款","已两清")))</f>
      </c>
      <c r="L131" s="26" t="n"/>
    </row>
    <row r="132" s="127">
      <c r="A132" s="16">
        <f>IF($B132="","",ROW()-3)</f>
      </c>
      <c r="B132" s="11">
        <f>IFERROR(INDEX(_自动清单!$E$4:$E$303,ROW()-3),"")</f>
      </c>
      <c r="C132" s="177">
        <f>IF($B132="","",ROUND(SUMIFS(对接源_01水果!$K$4:$K$1203,对接源_01水果!$C$4:$C$1203,$B132,对接源_01水果!$D$4:$D$1203,"成品出库*"),2))</f>
      </c>
      <c r="D132" s="177">
        <f>IF($B132="","",ROUND(SUMIFS(对接源_01水果!$K$4:$K$1203,对接源_01水果!$C$4:$C$1203,$B132,对接源_01水果!$D$4:$D$1203,"其他代存*"),2))</f>
      </c>
      <c r="E132" s="177">
        <f>IF($B132="","",ROUND(SUMIFS(对接源_02物料!$K$4:$K$1203,对接源_02物料!$C$4:$C$1203,$B132,对接源_02物料!$D$4:$D$1203,"包装物料*"),2))</f>
      </c>
      <c r="F132" s="177">
        <f>IF($B132="","",ROUND(SUMIFS(对接源_02物料!$K$4:$K$1203,对接源_02物料!$C$4:$C$1203,$B132,对接源_02物料!$D$4:$D$1203,"周转筐*"),2))</f>
      </c>
      <c r="G132" s="177">
        <f>IF($B132="","",ROUND(SUMIFS(对接源_02物料!$K$4:$K$1203,对接源_02物料!$C$4:$C$1203,$B132,对接源_02物料!$D$4:$D$1203,"次果筐*"),2))</f>
      </c>
      <c r="H132" s="177">
        <f>IF($B132="","",ROUND(SUM($C132:$G132),2))</f>
      </c>
      <c r="I132" s="177">
        <f>IF($B132="","",ROUND(SUMIFS(对接源_01水果!$K$4:$K$1203,对接源_01水果!$C$4:$C$1203,$B132,对接源_01水果!$D$4:$D$1203,"成品出库*",对接源_01水果!$L$4:$L$1203,"已收讫")+SUMIFS(对接源_01水果!$K$4:$K$1203,对接源_01水果!$C$4:$C$1203,$B132,对接源_01水果!$D$4:$D$1203,"成品出库*",对接源_01水果!$L$4:$L$1203,"已付款")+SUMIFS(对接源_01水果!$K$4:$K$1203,对接源_01水果!$C$4:$C$1203,$B132,对接源_01水果!$D$4:$D$1203,"其他代存*",对接源_01水果!$L$4:$L$1203,"已收讫")+SUMIFS(对接源_01水果!$K$4:$K$1203,对接源_01水果!$C$4:$C$1203,$B132,对接源_01水果!$D$4:$D$1203,"其他代存*",对接源_01水果!$L$4:$L$1203,"已付款")+SUMIFS(对接源_02物料!$K$4:$K$1203,对接源_02物料!$C$4:$C$1203,$B132,对接源_02物料!$D$4:$D$1203,"包装物料*",对接源_02物料!$L$4:$L$1203,"已收讫")+SUMIFS(对接源_02物料!$K$4:$K$1203,对接源_02物料!$C$4:$C$1203,$B132,对接源_02物料!$D$4:$D$1203,"包装物料*",对接源_02物料!$L$4:$L$1203,"已付款")+SUMIFS(对接源_02物料!$K$4:$K$1203,对接源_02物料!$C$4:$C$1203,$B132,对接源_02物料!$D$4:$D$1203,"周转筐*",对接源_02物料!$L$4:$L$1203,"已收讫")+SUMIFS(对接源_02物料!$K$4:$K$1203,对接源_02物料!$C$4:$C$1203,$B132,对接源_02物料!$D$4:$D$1203,"周转筐*",对接源_02物料!$L$4:$L$1203,"已付款")+SUMIFS(对接源_02物料!$K$4:$K$1203,对接源_02物料!$C$4:$C$1203,$B132,对接源_02物料!$D$4:$D$1203,"次果筐*",对接源_02物料!$L$4:$L$1203,"已收讫")+SUMIFS(对接源_02物料!$K$4:$K$1203,对接源_02物料!$C$4:$C$1203,$B132,对接源_02物料!$D$4:$D$1203,"次果筐*",对接源_02物料!$L$4:$L$1203,"已付款"),2))</f>
      </c>
      <c r="J132" s="177">
        <f>IF($B132="","",ROUND(N($H132)-N($I132),2))</f>
      </c>
      <c r="K132" s="16">
        <f>IF($B132="","",IF(ROUND(N($J132),2)&gt;0,"对方欠款",IF(ROUND(N($J132),2)&lt;0,"我方欠款","已两清")))</f>
      </c>
      <c r="L132" s="26" t="n"/>
    </row>
    <row r="133" s="127">
      <c r="A133" s="16">
        <f>IF($B133="","",ROW()-3)</f>
      </c>
      <c r="B133" s="11">
        <f>IFERROR(INDEX(_自动清单!$E$4:$E$303,ROW()-3),"")</f>
      </c>
      <c r="C133" s="177">
        <f>IF($B133="","",ROUND(SUMIFS(对接源_01水果!$K$4:$K$1203,对接源_01水果!$C$4:$C$1203,$B133,对接源_01水果!$D$4:$D$1203,"成品出库*"),2))</f>
      </c>
      <c r="D133" s="177">
        <f>IF($B133="","",ROUND(SUMIFS(对接源_01水果!$K$4:$K$1203,对接源_01水果!$C$4:$C$1203,$B133,对接源_01水果!$D$4:$D$1203,"其他代存*"),2))</f>
      </c>
      <c r="E133" s="177">
        <f>IF($B133="","",ROUND(SUMIFS(对接源_02物料!$K$4:$K$1203,对接源_02物料!$C$4:$C$1203,$B133,对接源_02物料!$D$4:$D$1203,"包装物料*"),2))</f>
      </c>
      <c r="F133" s="177">
        <f>IF($B133="","",ROUND(SUMIFS(对接源_02物料!$K$4:$K$1203,对接源_02物料!$C$4:$C$1203,$B133,对接源_02物料!$D$4:$D$1203,"周转筐*"),2))</f>
      </c>
      <c r="G133" s="177">
        <f>IF($B133="","",ROUND(SUMIFS(对接源_02物料!$K$4:$K$1203,对接源_02物料!$C$4:$C$1203,$B133,对接源_02物料!$D$4:$D$1203,"次果筐*"),2))</f>
      </c>
      <c r="H133" s="177">
        <f>IF($B133="","",ROUND(SUM($C133:$G133),2))</f>
      </c>
      <c r="I133" s="177">
        <f>IF($B133="","",ROUND(SUMIFS(对接源_01水果!$K$4:$K$1203,对接源_01水果!$C$4:$C$1203,$B133,对接源_01水果!$D$4:$D$1203,"成品出库*",对接源_01水果!$L$4:$L$1203,"已收讫")+SUMIFS(对接源_01水果!$K$4:$K$1203,对接源_01水果!$C$4:$C$1203,$B133,对接源_01水果!$D$4:$D$1203,"成品出库*",对接源_01水果!$L$4:$L$1203,"已付款")+SUMIFS(对接源_01水果!$K$4:$K$1203,对接源_01水果!$C$4:$C$1203,$B133,对接源_01水果!$D$4:$D$1203,"其他代存*",对接源_01水果!$L$4:$L$1203,"已收讫")+SUMIFS(对接源_01水果!$K$4:$K$1203,对接源_01水果!$C$4:$C$1203,$B133,对接源_01水果!$D$4:$D$1203,"其他代存*",对接源_01水果!$L$4:$L$1203,"已付款")+SUMIFS(对接源_02物料!$K$4:$K$1203,对接源_02物料!$C$4:$C$1203,$B133,对接源_02物料!$D$4:$D$1203,"包装物料*",对接源_02物料!$L$4:$L$1203,"已收讫")+SUMIFS(对接源_02物料!$K$4:$K$1203,对接源_02物料!$C$4:$C$1203,$B133,对接源_02物料!$D$4:$D$1203,"包装物料*",对接源_02物料!$L$4:$L$1203,"已付款")+SUMIFS(对接源_02物料!$K$4:$K$1203,对接源_02物料!$C$4:$C$1203,$B133,对接源_02物料!$D$4:$D$1203,"周转筐*",对接源_02物料!$L$4:$L$1203,"已收讫")+SUMIFS(对接源_02物料!$K$4:$K$1203,对接源_02物料!$C$4:$C$1203,$B133,对接源_02物料!$D$4:$D$1203,"周转筐*",对接源_02物料!$L$4:$L$1203,"已付款")+SUMIFS(对接源_02物料!$K$4:$K$1203,对接源_02物料!$C$4:$C$1203,$B133,对接源_02物料!$D$4:$D$1203,"次果筐*",对接源_02物料!$L$4:$L$1203,"已收讫")+SUMIFS(对接源_02物料!$K$4:$K$1203,对接源_02物料!$C$4:$C$1203,$B133,对接源_02物料!$D$4:$D$1203,"次果筐*",对接源_02物料!$L$4:$L$1203,"已付款"),2))</f>
      </c>
      <c r="J133" s="177">
        <f>IF($B133="","",ROUND(N($H133)-N($I133),2))</f>
      </c>
      <c r="K133" s="16">
        <f>IF($B133="","",IF(ROUND(N($J133),2)&gt;0,"对方欠款",IF(ROUND(N($J133),2)&lt;0,"我方欠款","已两清")))</f>
      </c>
      <c r="L133" s="26" t="n"/>
    </row>
    <row r="134" s="127">
      <c r="A134" s="16">
        <f>IF($B134="","",ROW()-3)</f>
      </c>
      <c r="B134" s="11">
        <f>IFERROR(INDEX(_自动清单!$E$4:$E$303,ROW()-3),"")</f>
      </c>
      <c r="C134" s="177">
        <f>IF($B134="","",ROUND(SUMIFS(对接源_01水果!$K$4:$K$1203,对接源_01水果!$C$4:$C$1203,$B134,对接源_01水果!$D$4:$D$1203,"成品出库*"),2))</f>
      </c>
      <c r="D134" s="177">
        <f>IF($B134="","",ROUND(SUMIFS(对接源_01水果!$K$4:$K$1203,对接源_01水果!$C$4:$C$1203,$B134,对接源_01水果!$D$4:$D$1203,"其他代存*"),2))</f>
      </c>
      <c r="E134" s="177">
        <f>IF($B134="","",ROUND(SUMIFS(对接源_02物料!$K$4:$K$1203,对接源_02物料!$C$4:$C$1203,$B134,对接源_02物料!$D$4:$D$1203,"包装物料*"),2))</f>
      </c>
      <c r="F134" s="177">
        <f>IF($B134="","",ROUND(SUMIFS(对接源_02物料!$K$4:$K$1203,对接源_02物料!$C$4:$C$1203,$B134,对接源_02物料!$D$4:$D$1203,"周转筐*"),2))</f>
      </c>
      <c r="G134" s="177">
        <f>IF($B134="","",ROUND(SUMIFS(对接源_02物料!$K$4:$K$1203,对接源_02物料!$C$4:$C$1203,$B134,对接源_02物料!$D$4:$D$1203,"次果筐*"),2))</f>
      </c>
      <c r="H134" s="177">
        <f>IF($B134="","",ROUND(SUM($C134:$G134),2))</f>
      </c>
      <c r="I134" s="177">
        <f>IF($B134="","",ROUND(SUMIFS(对接源_01水果!$K$4:$K$1203,对接源_01水果!$C$4:$C$1203,$B134,对接源_01水果!$D$4:$D$1203,"成品出库*",对接源_01水果!$L$4:$L$1203,"已收讫")+SUMIFS(对接源_01水果!$K$4:$K$1203,对接源_01水果!$C$4:$C$1203,$B134,对接源_01水果!$D$4:$D$1203,"成品出库*",对接源_01水果!$L$4:$L$1203,"已付款")+SUMIFS(对接源_01水果!$K$4:$K$1203,对接源_01水果!$C$4:$C$1203,$B134,对接源_01水果!$D$4:$D$1203,"其他代存*",对接源_01水果!$L$4:$L$1203,"已收讫")+SUMIFS(对接源_01水果!$K$4:$K$1203,对接源_01水果!$C$4:$C$1203,$B134,对接源_01水果!$D$4:$D$1203,"其他代存*",对接源_01水果!$L$4:$L$1203,"已付款")+SUMIFS(对接源_02物料!$K$4:$K$1203,对接源_02物料!$C$4:$C$1203,$B134,对接源_02物料!$D$4:$D$1203,"包装物料*",对接源_02物料!$L$4:$L$1203,"已收讫")+SUMIFS(对接源_02物料!$K$4:$K$1203,对接源_02物料!$C$4:$C$1203,$B134,对接源_02物料!$D$4:$D$1203,"包装物料*",对接源_02物料!$L$4:$L$1203,"已付款")+SUMIFS(对接源_02物料!$K$4:$K$1203,对接源_02物料!$C$4:$C$1203,$B134,对接源_02物料!$D$4:$D$1203,"周转筐*",对接源_02物料!$L$4:$L$1203,"已收讫")+SUMIFS(对接源_02物料!$K$4:$K$1203,对接源_02物料!$C$4:$C$1203,$B134,对接源_02物料!$D$4:$D$1203,"周转筐*",对接源_02物料!$L$4:$L$1203,"已付款")+SUMIFS(对接源_02物料!$K$4:$K$1203,对接源_02物料!$C$4:$C$1203,$B134,对接源_02物料!$D$4:$D$1203,"次果筐*",对接源_02物料!$L$4:$L$1203,"已收讫")+SUMIFS(对接源_02物料!$K$4:$K$1203,对接源_02物料!$C$4:$C$1203,$B134,对接源_02物料!$D$4:$D$1203,"次果筐*",对接源_02物料!$L$4:$L$1203,"已付款"),2))</f>
      </c>
      <c r="J134" s="177">
        <f>IF($B134="","",ROUND(N($H134)-N($I134),2))</f>
      </c>
      <c r="K134" s="16">
        <f>IF($B134="","",IF(ROUND(N($J134),2)&gt;0,"对方欠款",IF(ROUND(N($J134),2)&lt;0,"我方欠款","已两清")))</f>
      </c>
      <c r="L134" s="26" t="n"/>
    </row>
    <row r="135" s="127">
      <c r="A135" s="16">
        <f>IF($B135="","",ROW()-3)</f>
      </c>
      <c r="B135" s="11">
        <f>IFERROR(INDEX(_自动清单!$E$4:$E$303,ROW()-3),"")</f>
      </c>
      <c r="C135" s="177">
        <f>IF($B135="","",ROUND(SUMIFS(对接源_01水果!$K$4:$K$1203,对接源_01水果!$C$4:$C$1203,$B135,对接源_01水果!$D$4:$D$1203,"成品出库*"),2))</f>
      </c>
      <c r="D135" s="177">
        <f>IF($B135="","",ROUND(SUMIFS(对接源_01水果!$K$4:$K$1203,对接源_01水果!$C$4:$C$1203,$B135,对接源_01水果!$D$4:$D$1203,"其他代存*"),2))</f>
      </c>
      <c r="E135" s="177">
        <f>IF($B135="","",ROUND(SUMIFS(对接源_02物料!$K$4:$K$1203,对接源_02物料!$C$4:$C$1203,$B135,对接源_02物料!$D$4:$D$1203,"包装物料*"),2))</f>
      </c>
      <c r="F135" s="177">
        <f>IF($B135="","",ROUND(SUMIFS(对接源_02物料!$K$4:$K$1203,对接源_02物料!$C$4:$C$1203,$B135,对接源_02物料!$D$4:$D$1203,"周转筐*"),2))</f>
      </c>
      <c r="G135" s="177">
        <f>IF($B135="","",ROUND(SUMIFS(对接源_02物料!$K$4:$K$1203,对接源_02物料!$C$4:$C$1203,$B135,对接源_02物料!$D$4:$D$1203,"次果筐*"),2))</f>
      </c>
      <c r="H135" s="177">
        <f>IF($B135="","",ROUND(SUM($C135:$G135),2))</f>
      </c>
      <c r="I135" s="177">
        <f>IF($B135="","",ROUND(SUMIFS(对接源_01水果!$K$4:$K$1203,对接源_01水果!$C$4:$C$1203,$B135,对接源_01水果!$D$4:$D$1203,"成品出库*",对接源_01水果!$L$4:$L$1203,"已收讫")+SUMIFS(对接源_01水果!$K$4:$K$1203,对接源_01水果!$C$4:$C$1203,$B135,对接源_01水果!$D$4:$D$1203,"成品出库*",对接源_01水果!$L$4:$L$1203,"已付款")+SUMIFS(对接源_01水果!$K$4:$K$1203,对接源_01水果!$C$4:$C$1203,$B135,对接源_01水果!$D$4:$D$1203,"其他代存*",对接源_01水果!$L$4:$L$1203,"已收讫")+SUMIFS(对接源_01水果!$K$4:$K$1203,对接源_01水果!$C$4:$C$1203,$B135,对接源_01水果!$D$4:$D$1203,"其他代存*",对接源_01水果!$L$4:$L$1203,"已付款")+SUMIFS(对接源_02物料!$K$4:$K$1203,对接源_02物料!$C$4:$C$1203,$B135,对接源_02物料!$D$4:$D$1203,"包装物料*",对接源_02物料!$L$4:$L$1203,"已收讫")+SUMIFS(对接源_02物料!$K$4:$K$1203,对接源_02物料!$C$4:$C$1203,$B135,对接源_02物料!$D$4:$D$1203,"包装物料*",对接源_02物料!$L$4:$L$1203,"已付款")+SUMIFS(对接源_02物料!$K$4:$K$1203,对接源_02物料!$C$4:$C$1203,$B135,对接源_02物料!$D$4:$D$1203,"周转筐*",对接源_02物料!$L$4:$L$1203,"已收讫")+SUMIFS(对接源_02物料!$K$4:$K$1203,对接源_02物料!$C$4:$C$1203,$B135,对接源_02物料!$D$4:$D$1203,"周转筐*",对接源_02物料!$L$4:$L$1203,"已付款")+SUMIFS(对接源_02物料!$K$4:$K$1203,对接源_02物料!$C$4:$C$1203,$B135,对接源_02物料!$D$4:$D$1203,"次果筐*",对接源_02物料!$L$4:$L$1203,"已收讫")+SUMIFS(对接源_02物料!$K$4:$K$1203,对接源_02物料!$C$4:$C$1203,$B135,对接源_02物料!$D$4:$D$1203,"次果筐*",对接源_02物料!$L$4:$L$1203,"已付款"),2))</f>
      </c>
      <c r="J135" s="177">
        <f>IF($B135="","",ROUND(N($H135)-N($I135),2))</f>
      </c>
      <c r="K135" s="16">
        <f>IF($B135="","",IF(ROUND(N($J135),2)&gt;0,"对方欠款",IF(ROUND(N($J135),2)&lt;0,"我方欠款","已两清")))</f>
      </c>
      <c r="L135" s="26" t="n"/>
    </row>
    <row r="136" s="127">
      <c r="A136" s="16">
        <f>IF($B136="","",ROW()-3)</f>
      </c>
      <c r="B136" s="11">
        <f>IFERROR(INDEX(_自动清单!$E$4:$E$303,ROW()-3),"")</f>
      </c>
      <c r="C136" s="177">
        <f>IF($B136="","",ROUND(SUMIFS(对接源_01水果!$K$4:$K$1203,对接源_01水果!$C$4:$C$1203,$B136,对接源_01水果!$D$4:$D$1203,"成品出库*"),2))</f>
      </c>
      <c r="D136" s="177">
        <f>IF($B136="","",ROUND(SUMIFS(对接源_01水果!$K$4:$K$1203,对接源_01水果!$C$4:$C$1203,$B136,对接源_01水果!$D$4:$D$1203,"其他代存*"),2))</f>
      </c>
      <c r="E136" s="177">
        <f>IF($B136="","",ROUND(SUMIFS(对接源_02物料!$K$4:$K$1203,对接源_02物料!$C$4:$C$1203,$B136,对接源_02物料!$D$4:$D$1203,"包装物料*"),2))</f>
      </c>
      <c r="F136" s="177">
        <f>IF($B136="","",ROUND(SUMIFS(对接源_02物料!$K$4:$K$1203,对接源_02物料!$C$4:$C$1203,$B136,对接源_02物料!$D$4:$D$1203,"周转筐*"),2))</f>
      </c>
      <c r="G136" s="177">
        <f>IF($B136="","",ROUND(SUMIFS(对接源_02物料!$K$4:$K$1203,对接源_02物料!$C$4:$C$1203,$B136,对接源_02物料!$D$4:$D$1203,"次果筐*"),2))</f>
      </c>
      <c r="H136" s="177">
        <f>IF($B136="","",ROUND(SUM($C136:$G136),2))</f>
      </c>
      <c r="I136" s="177">
        <f>IF($B136="","",ROUND(SUMIFS(对接源_01水果!$K$4:$K$1203,对接源_01水果!$C$4:$C$1203,$B136,对接源_01水果!$D$4:$D$1203,"成品出库*",对接源_01水果!$L$4:$L$1203,"已收讫")+SUMIFS(对接源_01水果!$K$4:$K$1203,对接源_01水果!$C$4:$C$1203,$B136,对接源_01水果!$D$4:$D$1203,"成品出库*",对接源_01水果!$L$4:$L$1203,"已付款")+SUMIFS(对接源_01水果!$K$4:$K$1203,对接源_01水果!$C$4:$C$1203,$B136,对接源_01水果!$D$4:$D$1203,"其他代存*",对接源_01水果!$L$4:$L$1203,"已收讫")+SUMIFS(对接源_01水果!$K$4:$K$1203,对接源_01水果!$C$4:$C$1203,$B136,对接源_01水果!$D$4:$D$1203,"其他代存*",对接源_01水果!$L$4:$L$1203,"已付款")+SUMIFS(对接源_02物料!$K$4:$K$1203,对接源_02物料!$C$4:$C$1203,$B136,对接源_02物料!$D$4:$D$1203,"包装物料*",对接源_02物料!$L$4:$L$1203,"已收讫")+SUMIFS(对接源_02物料!$K$4:$K$1203,对接源_02物料!$C$4:$C$1203,$B136,对接源_02物料!$D$4:$D$1203,"包装物料*",对接源_02物料!$L$4:$L$1203,"已付款")+SUMIFS(对接源_02物料!$K$4:$K$1203,对接源_02物料!$C$4:$C$1203,$B136,对接源_02物料!$D$4:$D$1203,"周转筐*",对接源_02物料!$L$4:$L$1203,"已收讫")+SUMIFS(对接源_02物料!$K$4:$K$1203,对接源_02物料!$C$4:$C$1203,$B136,对接源_02物料!$D$4:$D$1203,"周转筐*",对接源_02物料!$L$4:$L$1203,"已付款")+SUMIFS(对接源_02物料!$K$4:$K$1203,对接源_02物料!$C$4:$C$1203,$B136,对接源_02物料!$D$4:$D$1203,"次果筐*",对接源_02物料!$L$4:$L$1203,"已收讫")+SUMIFS(对接源_02物料!$K$4:$K$1203,对接源_02物料!$C$4:$C$1203,$B136,对接源_02物料!$D$4:$D$1203,"次果筐*",对接源_02物料!$L$4:$L$1203,"已付款"),2))</f>
      </c>
      <c r="J136" s="177">
        <f>IF($B136="","",ROUND(N($H136)-N($I136),2))</f>
      </c>
      <c r="K136" s="16">
        <f>IF($B136="","",IF(ROUND(N($J136),2)&gt;0,"对方欠款",IF(ROUND(N($J136),2)&lt;0,"我方欠款","已两清")))</f>
      </c>
      <c r="L136" s="26" t="n"/>
    </row>
    <row r="137" s="127">
      <c r="A137" s="16">
        <f>IF($B137="","",ROW()-3)</f>
      </c>
      <c r="B137" s="11">
        <f>IFERROR(INDEX(_自动清单!$E$4:$E$303,ROW()-3),"")</f>
      </c>
      <c r="C137" s="177">
        <f>IF($B137="","",ROUND(SUMIFS(对接源_01水果!$K$4:$K$1203,对接源_01水果!$C$4:$C$1203,$B137,对接源_01水果!$D$4:$D$1203,"成品出库*"),2))</f>
      </c>
      <c r="D137" s="177">
        <f>IF($B137="","",ROUND(SUMIFS(对接源_01水果!$K$4:$K$1203,对接源_01水果!$C$4:$C$1203,$B137,对接源_01水果!$D$4:$D$1203,"其他代存*"),2))</f>
      </c>
      <c r="E137" s="177">
        <f>IF($B137="","",ROUND(SUMIFS(对接源_02物料!$K$4:$K$1203,对接源_02物料!$C$4:$C$1203,$B137,对接源_02物料!$D$4:$D$1203,"包装物料*"),2))</f>
      </c>
      <c r="F137" s="177">
        <f>IF($B137="","",ROUND(SUMIFS(对接源_02物料!$K$4:$K$1203,对接源_02物料!$C$4:$C$1203,$B137,对接源_02物料!$D$4:$D$1203,"周转筐*"),2))</f>
      </c>
      <c r="G137" s="177">
        <f>IF($B137="","",ROUND(SUMIFS(对接源_02物料!$K$4:$K$1203,对接源_02物料!$C$4:$C$1203,$B137,对接源_02物料!$D$4:$D$1203,"次果筐*"),2))</f>
      </c>
      <c r="H137" s="177">
        <f>IF($B137="","",ROUND(SUM($C137:$G137),2))</f>
      </c>
      <c r="I137" s="177">
        <f>IF($B137="","",ROUND(SUMIFS(对接源_01水果!$K$4:$K$1203,对接源_01水果!$C$4:$C$1203,$B137,对接源_01水果!$D$4:$D$1203,"成品出库*",对接源_01水果!$L$4:$L$1203,"已收讫")+SUMIFS(对接源_01水果!$K$4:$K$1203,对接源_01水果!$C$4:$C$1203,$B137,对接源_01水果!$D$4:$D$1203,"成品出库*",对接源_01水果!$L$4:$L$1203,"已付款")+SUMIFS(对接源_01水果!$K$4:$K$1203,对接源_01水果!$C$4:$C$1203,$B137,对接源_01水果!$D$4:$D$1203,"其他代存*",对接源_01水果!$L$4:$L$1203,"已收讫")+SUMIFS(对接源_01水果!$K$4:$K$1203,对接源_01水果!$C$4:$C$1203,$B137,对接源_01水果!$D$4:$D$1203,"其他代存*",对接源_01水果!$L$4:$L$1203,"已付款")+SUMIFS(对接源_02物料!$K$4:$K$1203,对接源_02物料!$C$4:$C$1203,$B137,对接源_02物料!$D$4:$D$1203,"包装物料*",对接源_02物料!$L$4:$L$1203,"已收讫")+SUMIFS(对接源_02物料!$K$4:$K$1203,对接源_02物料!$C$4:$C$1203,$B137,对接源_02物料!$D$4:$D$1203,"包装物料*",对接源_02物料!$L$4:$L$1203,"已付款")+SUMIFS(对接源_02物料!$K$4:$K$1203,对接源_02物料!$C$4:$C$1203,$B137,对接源_02物料!$D$4:$D$1203,"周转筐*",对接源_02物料!$L$4:$L$1203,"已收讫")+SUMIFS(对接源_02物料!$K$4:$K$1203,对接源_02物料!$C$4:$C$1203,$B137,对接源_02物料!$D$4:$D$1203,"周转筐*",对接源_02物料!$L$4:$L$1203,"已付款")+SUMIFS(对接源_02物料!$K$4:$K$1203,对接源_02物料!$C$4:$C$1203,$B137,对接源_02物料!$D$4:$D$1203,"次果筐*",对接源_02物料!$L$4:$L$1203,"已收讫")+SUMIFS(对接源_02物料!$K$4:$K$1203,对接源_02物料!$C$4:$C$1203,$B137,对接源_02物料!$D$4:$D$1203,"次果筐*",对接源_02物料!$L$4:$L$1203,"已付款"),2))</f>
      </c>
      <c r="J137" s="177">
        <f>IF($B137="","",ROUND(N($H137)-N($I137),2))</f>
      </c>
      <c r="K137" s="16">
        <f>IF($B137="","",IF(ROUND(N($J137),2)&gt;0,"对方欠款",IF(ROUND(N($J137),2)&lt;0,"我方欠款","已两清")))</f>
      </c>
      <c r="L137" s="26" t="n"/>
    </row>
    <row r="138" s="127">
      <c r="A138" s="16">
        <f>IF($B138="","",ROW()-3)</f>
      </c>
      <c r="B138" s="11">
        <f>IFERROR(INDEX(_自动清单!$E$4:$E$303,ROW()-3),"")</f>
      </c>
      <c r="C138" s="177">
        <f>IF($B138="","",ROUND(SUMIFS(对接源_01水果!$K$4:$K$1203,对接源_01水果!$C$4:$C$1203,$B138,对接源_01水果!$D$4:$D$1203,"成品出库*"),2))</f>
      </c>
      <c r="D138" s="177">
        <f>IF($B138="","",ROUND(SUMIFS(对接源_01水果!$K$4:$K$1203,对接源_01水果!$C$4:$C$1203,$B138,对接源_01水果!$D$4:$D$1203,"其他代存*"),2))</f>
      </c>
      <c r="E138" s="177">
        <f>IF($B138="","",ROUND(SUMIFS(对接源_02物料!$K$4:$K$1203,对接源_02物料!$C$4:$C$1203,$B138,对接源_02物料!$D$4:$D$1203,"包装物料*"),2))</f>
      </c>
      <c r="F138" s="177">
        <f>IF($B138="","",ROUND(SUMIFS(对接源_02物料!$K$4:$K$1203,对接源_02物料!$C$4:$C$1203,$B138,对接源_02物料!$D$4:$D$1203,"周转筐*"),2))</f>
      </c>
      <c r="G138" s="177">
        <f>IF($B138="","",ROUND(SUMIFS(对接源_02物料!$K$4:$K$1203,对接源_02物料!$C$4:$C$1203,$B138,对接源_02物料!$D$4:$D$1203,"次果筐*"),2))</f>
      </c>
      <c r="H138" s="177">
        <f>IF($B138="","",ROUND(SUM($C138:$G138),2))</f>
      </c>
      <c r="I138" s="177">
        <f>IF($B138="","",ROUND(SUMIFS(对接源_01水果!$K$4:$K$1203,对接源_01水果!$C$4:$C$1203,$B138,对接源_01水果!$D$4:$D$1203,"成品出库*",对接源_01水果!$L$4:$L$1203,"已收讫")+SUMIFS(对接源_01水果!$K$4:$K$1203,对接源_01水果!$C$4:$C$1203,$B138,对接源_01水果!$D$4:$D$1203,"成品出库*",对接源_01水果!$L$4:$L$1203,"已付款")+SUMIFS(对接源_01水果!$K$4:$K$1203,对接源_01水果!$C$4:$C$1203,$B138,对接源_01水果!$D$4:$D$1203,"其他代存*",对接源_01水果!$L$4:$L$1203,"已收讫")+SUMIFS(对接源_01水果!$K$4:$K$1203,对接源_01水果!$C$4:$C$1203,$B138,对接源_01水果!$D$4:$D$1203,"其他代存*",对接源_01水果!$L$4:$L$1203,"已付款")+SUMIFS(对接源_02物料!$K$4:$K$1203,对接源_02物料!$C$4:$C$1203,$B138,对接源_02物料!$D$4:$D$1203,"包装物料*",对接源_02物料!$L$4:$L$1203,"已收讫")+SUMIFS(对接源_02物料!$K$4:$K$1203,对接源_02物料!$C$4:$C$1203,$B138,对接源_02物料!$D$4:$D$1203,"包装物料*",对接源_02物料!$L$4:$L$1203,"已付款")+SUMIFS(对接源_02物料!$K$4:$K$1203,对接源_02物料!$C$4:$C$1203,$B138,对接源_02物料!$D$4:$D$1203,"周转筐*",对接源_02物料!$L$4:$L$1203,"已收讫")+SUMIFS(对接源_02物料!$K$4:$K$1203,对接源_02物料!$C$4:$C$1203,$B138,对接源_02物料!$D$4:$D$1203,"周转筐*",对接源_02物料!$L$4:$L$1203,"已付款")+SUMIFS(对接源_02物料!$K$4:$K$1203,对接源_02物料!$C$4:$C$1203,$B138,对接源_02物料!$D$4:$D$1203,"次果筐*",对接源_02物料!$L$4:$L$1203,"已收讫")+SUMIFS(对接源_02物料!$K$4:$K$1203,对接源_02物料!$C$4:$C$1203,$B138,对接源_02物料!$D$4:$D$1203,"次果筐*",对接源_02物料!$L$4:$L$1203,"已付款"),2))</f>
      </c>
      <c r="J138" s="177">
        <f>IF($B138="","",ROUND(N($H138)-N($I138),2))</f>
      </c>
      <c r="K138" s="16">
        <f>IF($B138="","",IF(ROUND(N($J138),2)&gt;0,"对方欠款",IF(ROUND(N($J138),2)&lt;0,"我方欠款","已两清")))</f>
      </c>
      <c r="L138" s="26" t="n"/>
    </row>
    <row r="139" s="127">
      <c r="A139" s="16">
        <f>IF($B139="","",ROW()-3)</f>
      </c>
      <c r="B139" s="11">
        <f>IFERROR(INDEX(_自动清单!$E$4:$E$303,ROW()-3),"")</f>
      </c>
      <c r="C139" s="177">
        <f>IF($B139="","",ROUND(SUMIFS(对接源_01水果!$K$4:$K$1203,对接源_01水果!$C$4:$C$1203,$B139,对接源_01水果!$D$4:$D$1203,"成品出库*"),2))</f>
      </c>
      <c r="D139" s="177">
        <f>IF($B139="","",ROUND(SUMIFS(对接源_01水果!$K$4:$K$1203,对接源_01水果!$C$4:$C$1203,$B139,对接源_01水果!$D$4:$D$1203,"其他代存*"),2))</f>
      </c>
      <c r="E139" s="177">
        <f>IF($B139="","",ROUND(SUMIFS(对接源_02物料!$K$4:$K$1203,对接源_02物料!$C$4:$C$1203,$B139,对接源_02物料!$D$4:$D$1203,"包装物料*"),2))</f>
      </c>
      <c r="F139" s="177">
        <f>IF($B139="","",ROUND(SUMIFS(对接源_02物料!$K$4:$K$1203,对接源_02物料!$C$4:$C$1203,$B139,对接源_02物料!$D$4:$D$1203,"周转筐*"),2))</f>
      </c>
      <c r="G139" s="177">
        <f>IF($B139="","",ROUND(SUMIFS(对接源_02物料!$K$4:$K$1203,对接源_02物料!$C$4:$C$1203,$B139,对接源_02物料!$D$4:$D$1203,"次果筐*"),2))</f>
      </c>
      <c r="H139" s="177">
        <f>IF($B139="","",ROUND(SUM($C139:$G139),2))</f>
      </c>
      <c r="I139" s="177">
        <f>IF($B139="","",ROUND(SUMIFS(对接源_01水果!$K$4:$K$1203,对接源_01水果!$C$4:$C$1203,$B139,对接源_01水果!$D$4:$D$1203,"成品出库*",对接源_01水果!$L$4:$L$1203,"已收讫")+SUMIFS(对接源_01水果!$K$4:$K$1203,对接源_01水果!$C$4:$C$1203,$B139,对接源_01水果!$D$4:$D$1203,"成品出库*",对接源_01水果!$L$4:$L$1203,"已付款")+SUMIFS(对接源_01水果!$K$4:$K$1203,对接源_01水果!$C$4:$C$1203,$B139,对接源_01水果!$D$4:$D$1203,"其他代存*",对接源_01水果!$L$4:$L$1203,"已收讫")+SUMIFS(对接源_01水果!$K$4:$K$1203,对接源_01水果!$C$4:$C$1203,$B139,对接源_01水果!$D$4:$D$1203,"其他代存*",对接源_01水果!$L$4:$L$1203,"已付款")+SUMIFS(对接源_02物料!$K$4:$K$1203,对接源_02物料!$C$4:$C$1203,$B139,对接源_02物料!$D$4:$D$1203,"包装物料*",对接源_02物料!$L$4:$L$1203,"已收讫")+SUMIFS(对接源_02物料!$K$4:$K$1203,对接源_02物料!$C$4:$C$1203,$B139,对接源_02物料!$D$4:$D$1203,"包装物料*",对接源_02物料!$L$4:$L$1203,"已付款")+SUMIFS(对接源_02物料!$K$4:$K$1203,对接源_02物料!$C$4:$C$1203,$B139,对接源_02物料!$D$4:$D$1203,"周转筐*",对接源_02物料!$L$4:$L$1203,"已收讫")+SUMIFS(对接源_02物料!$K$4:$K$1203,对接源_02物料!$C$4:$C$1203,$B139,对接源_02物料!$D$4:$D$1203,"周转筐*",对接源_02物料!$L$4:$L$1203,"已付款")+SUMIFS(对接源_02物料!$K$4:$K$1203,对接源_02物料!$C$4:$C$1203,$B139,对接源_02物料!$D$4:$D$1203,"次果筐*",对接源_02物料!$L$4:$L$1203,"已收讫")+SUMIFS(对接源_02物料!$K$4:$K$1203,对接源_02物料!$C$4:$C$1203,$B139,对接源_02物料!$D$4:$D$1203,"次果筐*",对接源_02物料!$L$4:$L$1203,"已付款"),2))</f>
      </c>
      <c r="J139" s="177">
        <f>IF($B139="","",ROUND(N($H139)-N($I139),2))</f>
      </c>
      <c r="K139" s="16">
        <f>IF($B139="","",IF(ROUND(N($J139),2)&gt;0,"对方欠款",IF(ROUND(N($J139),2)&lt;0,"我方欠款","已两清")))</f>
      </c>
      <c r="L139" s="26" t="n"/>
    </row>
    <row r="140" s="127">
      <c r="A140" s="16">
        <f>IF($B140="","",ROW()-3)</f>
      </c>
      <c r="B140" s="11">
        <f>IFERROR(INDEX(_自动清单!$E$4:$E$303,ROW()-3),"")</f>
      </c>
      <c r="C140" s="177">
        <f>IF($B140="","",ROUND(SUMIFS(对接源_01水果!$K$4:$K$1203,对接源_01水果!$C$4:$C$1203,$B140,对接源_01水果!$D$4:$D$1203,"成品出库*"),2))</f>
      </c>
      <c r="D140" s="177">
        <f>IF($B140="","",ROUND(SUMIFS(对接源_01水果!$K$4:$K$1203,对接源_01水果!$C$4:$C$1203,$B140,对接源_01水果!$D$4:$D$1203,"其他代存*"),2))</f>
      </c>
      <c r="E140" s="177">
        <f>IF($B140="","",ROUND(SUMIFS(对接源_02物料!$K$4:$K$1203,对接源_02物料!$C$4:$C$1203,$B140,对接源_02物料!$D$4:$D$1203,"包装物料*"),2))</f>
      </c>
      <c r="F140" s="177">
        <f>IF($B140="","",ROUND(SUMIFS(对接源_02物料!$K$4:$K$1203,对接源_02物料!$C$4:$C$1203,$B140,对接源_02物料!$D$4:$D$1203,"周转筐*"),2))</f>
      </c>
      <c r="G140" s="177">
        <f>IF($B140="","",ROUND(SUMIFS(对接源_02物料!$K$4:$K$1203,对接源_02物料!$C$4:$C$1203,$B140,对接源_02物料!$D$4:$D$1203,"次果筐*"),2))</f>
      </c>
      <c r="H140" s="177">
        <f>IF($B140="","",ROUND(SUM($C140:$G140),2))</f>
      </c>
      <c r="I140" s="177">
        <f>IF($B140="","",ROUND(SUMIFS(对接源_01水果!$K$4:$K$1203,对接源_01水果!$C$4:$C$1203,$B140,对接源_01水果!$D$4:$D$1203,"成品出库*",对接源_01水果!$L$4:$L$1203,"已收讫")+SUMIFS(对接源_01水果!$K$4:$K$1203,对接源_01水果!$C$4:$C$1203,$B140,对接源_01水果!$D$4:$D$1203,"成品出库*",对接源_01水果!$L$4:$L$1203,"已付款")+SUMIFS(对接源_01水果!$K$4:$K$1203,对接源_01水果!$C$4:$C$1203,$B140,对接源_01水果!$D$4:$D$1203,"其他代存*",对接源_01水果!$L$4:$L$1203,"已收讫")+SUMIFS(对接源_01水果!$K$4:$K$1203,对接源_01水果!$C$4:$C$1203,$B140,对接源_01水果!$D$4:$D$1203,"其他代存*",对接源_01水果!$L$4:$L$1203,"已付款")+SUMIFS(对接源_02物料!$K$4:$K$1203,对接源_02物料!$C$4:$C$1203,$B140,对接源_02物料!$D$4:$D$1203,"包装物料*",对接源_02物料!$L$4:$L$1203,"已收讫")+SUMIFS(对接源_02物料!$K$4:$K$1203,对接源_02物料!$C$4:$C$1203,$B140,对接源_02物料!$D$4:$D$1203,"包装物料*",对接源_02物料!$L$4:$L$1203,"已付款")+SUMIFS(对接源_02物料!$K$4:$K$1203,对接源_02物料!$C$4:$C$1203,$B140,对接源_02物料!$D$4:$D$1203,"周转筐*",对接源_02物料!$L$4:$L$1203,"已收讫")+SUMIFS(对接源_02物料!$K$4:$K$1203,对接源_02物料!$C$4:$C$1203,$B140,对接源_02物料!$D$4:$D$1203,"周转筐*",对接源_02物料!$L$4:$L$1203,"已付款")+SUMIFS(对接源_02物料!$K$4:$K$1203,对接源_02物料!$C$4:$C$1203,$B140,对接源_02物料!$D$4:$D$1203,"次果筐*",对接源_02物料!$L$4:$L$1203,"已收讫")+SUMIFS(对接源_02物料!$K$4:$K$1203,对接源_02物料!$C$4:$C$1203,$B140,对接源_02物料!$D$4:$D$1203,"次果筐*",对接源_02物料!$L$4:$L$1203,"已付款"),2))</f>
      </c>
      <c r="J140" s="177">
        <f>IF($B140="","",ROUND(N($H140)-N($I140),2))</f>
      </c>
      <c r="K140" s="16">
        <f>IF($B140="","",IF(ROUND(N($J140),2)&gt;0,"对方欠款",IF(ROUND(N($J140),2)&lt;0,"我方欠款","已两清")))</f>
      </c>
      <c r="L140" s="26" t="n"/>
    </row>
    <row r="141" s="127">
      <c r="A141" s="16">
        <f>IF($B141="","",ROW()-3)</f>
      </c>
      <c r="B141" s="11">
        <f>IFERROR(INDEX(_自动清单!$E$4:$E$303,ROW()-3),"")</f>
      </c>
      <c r="C141" s="177">
        <f>IF($B141="","",ROUND(SUMIFS(对接源_01水果!$K$4:$K$1203,对接源_01水果!$C$4:$C$1203,$B141,对接源_01水果!$D$4:$D$1203,"成品出库*"),2))</f>
      </c>
      <c r="D141" s="177">
        <f>IF($B141="","",ROUND(SUMIFS(对接源_01水果!$K$4:$K$1203,对接源_01水果!$C$4:$C$1203,$B141,对接源_01水果!$D$4:$D$1203,"其他代存*"),2))</f>
      </c>
      <c r="E141" s="177">
        <f>IF($B141="","",ROUND(SUMIFS(对接源_02物料!$K$4:$K$1203,对接源_02物料!$C$4:$C$1203,$B141,对接源_02物料!$D$4:$D$1203,"包装物料*"),2))</f>
      </c>
      <c r="F141" s="177">
        <f>IF($B141="","",ROUND(SUMIFS(对接源_02物料!$K$4:$K$1203,对接源_02物料!$C$4:$C$1203,$B141,对接源_02物料!$D$4:$D$1203,"周转筐*"),2))</f>
      </c>
      <c r="G141" s="177">
        <f>IF($B141="","",ROUND(SUMIFS(对接源_02物料!$K$4:$K$1203,对接源_02物料!$C$4:$C$1203,$B141,对接源_02物料!$D$4:$D$1203,"次果筐*"),2))</f>
      </c>
      <c r="H141" s="177">
        <f>IF($B141="","",ROUND(SUM($C141:$G141),2))</f>
      </c>
      <c r="I141" s="177">
        <f>IF($B141="","",ROUND(SUMIFS(对接源_01水果!$K$4:$K$1203,对接源_01水果!$C$4:$C$1203,$B141,对接源_01水果!$D$4:$D$1203,"成品出库*",对接源_01水果!$L$4:$L$1203,"已收讫")+SUMIFS(对接源_01水果!$K$4:$K$1203,对接源_01水果!$C$4:$C$1203,$B141,对接源_01水果!$D$4:$D$1203,"成品出库*",对接源_01水果!$L$4:$L$1203,"已付款")+SUMIFS(对接源_01水果!$K$4:$K$1203,对接源_01水果!$C$4:$C$1203,$B141,对接源_01水果!$D$4:$D$1203,"其他代存*",对接源_01水果!$L$4:$L$1203,"已收讫")+SUMIFS(对接源_01水果!$K$4:$K$1203,对接源_01水果!$C$4:$C$1203,$B141,对接源_01水果!$D$4:$D$1203,"其他代存*",对接源_01水果!$L$4:$L$1203,"已付款")+SUMIFS(对接源_02物料!$K$4:$K$1203,对接源_02物料!$C$4:$C$1203,$B141,对接源_02物料!$D$4:$D$1203,"包装物料*",对接源_02物料!$L$4:$L$1203,"已收讫")+SUMIFS(对接源_02物料!$K$4:$K$1203,对接源_02物料!$C$4:$C$1203,$B141,对接源_02物料!$D$4:$D$1203,"包装物料*",对接源_02物料!$L$4:$L$1203,"已付款")+SUMIFS(对接源_02物料!$K$4:$K$1203,对接源_02物料!$C$4:$C$1203,$B141,对接源_02物料!$D$4:$D$1203,"周转筐*",对接源_02物料!$L$4:$L$1203,"已收讫")+SUMIFS(对接源_02物料!$K$4:$K$1203,对接源_02物料!$C$4:$C$1203,$B141,对接源_02物料!$D$4:$D$1203,"周转筐*",对接源_02物料!$L$4:$L$1203,"已付款")+SUMIFS(对接源_02物料!$K$4:$K$1203,对接源_02物料!$C$4:$C$1203,$B141,对接源_02物料!$D$4:$D$1203,"次果筐*",对接源_02物料!$L$4:$L$1203,"已收讫")+SUMIFS(对接源_02物料!$K$4:$K$1203,对接源_02物料!$C$4:$C$1203,$B141,对接源_02物料!$D$4:$D$1203,"次果筐*",对接源_02物料!$L$4:$L$1203,"已付款"),2))</f>
      </c>
      <c r="J141" s="177">
        <f>IF($B141="","",ROUND(N($H141)-N($I141),2))</f>
      </c>
      <c r="K141" s="16">
        <f>IF($B141="","",IF(ROUND(N($J141),2)&gt;0,"对方欠款",IF(ROUND(N($J141),2)&lt;0,"我方欠款","已两清")))</f>
      </c>
      <c r="L141" s="26" t="n"/>
    </row>
    <row r="142" s="127">
      <c r="A142" s="16">
        <f>IF($B142="","",ROW()-3)</f>
      </c>
      <c r="B142" s="11">
        <f>IFERROR(INDEX(_自动清单!$E$4:$E$303,ROW()-3),"")</f>
      </c>
      <c r="C142" s="177">
        <f>IF($B142="","",ROUND(SUMIFS(对接源_01水果!$K$4:$K$1203,对接源_01水果!$C$4:$C$1203,$B142,对接源_01水果!$D$4:$D$1203,"成品出库*"),2))</f>
      </c>
      <c r="D142" s="177">
        <f>IF($B142="","",ROUND(SUMIFS(对接源_01水果!$K$4:$K$1203,对接源_01水果!$C$4:$C$1203,$B142,对接源_01水果!$D$4:$D$1203,"其他代存*"),2))</f>
      </c>
      <c r="E142" s="177">
        <f>IF($B142="","",ROUND(SUMIFS(对接源_02物料!$K$4:$K$1203,对接源_02物料!$C$4:$C$1203,$B142,对接源_02物料!$D$4:$D$1203,"包装物料*"),2))</f>
      </c>
      <c r="F142" s="177">
        <f>IF($B142="","",ROUND(SUMIFS(对接源_02物料!$K$4:$K$1203,对接源_02物料!$C$4:$C$1203,$B142,对接源_02物料!$D$4:$D$1203,"周转筐*"),2))</f>
      </c>
      <c r="G142" s="177">
        <f>IF($B142="","",ROUND(SUMIFS(对接源_02物料!$K$4:$K$1203,对接源_02物料!$C$4:$C$1203,$B142,对接源_02物料!$D$4:$D$1203,"次果筐*"),2))</f>
      </c>
      <c r="H142" s="177">
        <f>IF($B142="","",ROUND(SUM($C142:$G142),2))</f>
      </c>
      <c r="I142" s="177">
        <f>IF($B142="","",ROUND(SUMIFS(对接源_01水果!$K$4:$K$1203,对接源_01水果!$C$4:$C$1203,$B142,对接源_01水果!$D$4:$D$1203,"成品出库*",对接源_01水果!$L$4:$L$1203,"已收讫")+SUMIFS(对接源_01水果!$K$4:$K$1203,对接源_01水果!$C$4:$C$1203,$B142,对接源_01水果!$D$4:$D$1203,"成品出库*",对接源_01水果!$L$4:$L$1203,"已付款")+SUMIFS(对接源_01水果!$K$4:$K$1203,对接源_01水果!$C$4:$C$1203,$B142,对接源_01水果!$D$4:$D$1203,"其他代存*",对接源_01水果!$L$4:$L$1203,"已收讫")+SUMIFS(对接源_01水果!$K$4:$K$1203,对接源_01水果!$C$4:$C$1203,$B142,对接源_01水果!$D$4:$D$1203,"其他代存*",对接源_01水果!$L$4:$L$1203,"已付款")+SUMIFS(对接源_02物料!$K$4:$K$1203,对接源_02物料!$C$4:$C$1203,$B142,对接源_02物料!$D$4:$D$1203,"包装物料*",对接源_02物料!$L$4:$L$1203,"已收讫")+SUMIFS(对接源_02物料!$K$4:$K$1203,对接源_02物料!$C$4:$C$1203,$B142,对接源_02物料!$D$4:$D$1203,"包装物料*",对接源_02物料!$L$4:$L$1203,"已付款")+SUMIFS(对接源_02物料!$K$4:$K$1203,对接源_02物料!$C$4:$C$1203,$B142,对接源_02物料!$D$4:$D$1203,"周转筐*",对接源_02物料!$L$4:$L$1203,"已收讫")+SUMIFS(对接源_02物料!$K$4:$K$1203,对接源_02物料!$C$4:$C$1203,$B142,对接源_02物料!$D$4:$D$1203,"周转筐*",对接源_02物料!$L$4:$L$1203,"已付款")+SUMIFS(对接源_02物料!$K$4:$K$1203,对接源_02物料!$C$4:$C$1203,$B142,对接源_02物料!$D$4:$D$1203,"次果筐*",对接源_02物料!$L$4:$L$1203,"已收讫")+SUMIFS(对接源_02物料!$K$4:$K$1203,对接源_02物料!$C$4:$C$1203,$B142,对接源_02物料!$D$4:$D$1203,"次果筐*",对接源_02物料!$L$4:$L$1203,"已付款"),2))</f>
      </c>
      <c r="J142" s="177">
        <f>IF($B142="","",ROUND(N($H142)-N($I142),2))</f>
      </c>
      <c r="K142" s="16">
        <f>IF($B142="","",IF(ROUND(N($J142),2)&gt;0,"对方欠款",IF(ROUND(N($J142),2)&lt;0,"我方欠款","已两清")))</f>
      </c>
      <c r="L142" s="26" t="n"/>
    </row>
    <row r="143" s="127">
      <c r="A143" s="16">
        <f>IF($B143="","",ROW()-3)</f>
      </c>
      <c r="B143" s="11">
        <f>IFERROR(INDEX(_自动清单!$E$4:$E$303,ROW()-3),"")</f>
      </c>
      <c r="C143" s="177">
        <f>IF($B143="","",ROUND(SUMIFS(对接源_01水果!$K$4:$K$1203,对接源_01水果!$C$4:$C$1203,$B143,对接源_01水果!$D$4:$D$1203,"成品出库*"),2))</f>
      </c>
      <c r="D143" s="177">
        <f>IF($B143="","",ROUND(SUMIFS(对接源_01水果!$K$4:$K$1203,对接源_01水果!$C$4:$C$1203,$B143,对接源_01水果!$D$4:$D$1203,"其他代存*"),2))</f>
      </c>
      <c r="E143" s="177">
        <f>IF($B143="","",ROUND(SUMIFS(对接源_02物料!$K$4:$K$1203,对接源_02物料!$C$4:$C$1203,$B143,对接源_02物料!$D$4:$D$1203,"包装物料*"),2))</f>
      </c>
      <c r="F143" s="177">
        <f>IF($B143="","",ROUND(SUMIFS(对接源_02物料!$K$4:$K$1203,对接源_02物料!$C$4:$C$1203,$B143,对接源_02物料!$D$4:$D$1203,"周转筐*"),2))</f>
      </c>
      <c r="G143" s="177">
        <f>IF($B143="","",ROUND(SUMIFS(对接源_02物料!$K$4:$K$1203,对接源_02物料!$C$4:$C$1203,$B143,对接源_02物料!$D$4:$D$1203,"次果筐*"),2))</f>
      </c>
      <c r="H143" s="177">
        <f>IF($B143="","",ROUND(SUM($C143:$G143),2))</f>
      </c>
      <c r="I143" s="177">
        <f>IF($B143="","",ROUND(SUMIFS(对接源_01水果!$K$4:$K$1203,对接源_01水果!$C$4:$C$1203,$B143,对接源_01水果!$D$4:$D$1203,"成品出库*",对接源_01水果!$L$4:$L$1203,"已收讫")+SUMIFS(对接源_01水果!$K$4:$K$1203,对接源_01水果!$C$4:$C$1203,$B143,对接源_01水果!$D$4:$D$1203,"成品出库*",对接源_01水果!$L$4:$L$1203,"已付款")+SUMIFS(对接源_01水果!$K$4:$K$1203,对接源_01水果!$C$4:$C$1203,$B143,对接源_01水果!$D$4:$D$1203,"其他代存*",对接源_01水果!$L$4:$L$1203,"已收讫")+SUMIFS(对接源_01水果!$K$4:$K$1203,对接源_01水果!$C$4:$C$1203,$B143,对接源_01水果!$D$4:$D$1203,"其他代存*",对接源_01水果!$L$4:$L$1203,"已付款")+SUMIFS(对接源_02物料!$K$4:$K$1203,对接源_02物料!$C$4:$C$1203,$B143,对接源_02物料!$D$4:$D$1203,"包装物料*",对接源_02物料!$L$4:$L$1203,"已收讫")+SUMIFS(对接源_02物料!$K$4:$K$1203,对接源_02物料!$C$4:$C$1203,$B143,对接源_02物料!$D$4:$D$1203,"包装物料*",对接源_02物料!$L$4:$L$1203,"已付款")+SUMIFS(对接源_02物料!$K$4:$K$1203,对接源_02物料!$C$4:$C$1203,$B143,对接源_02物料!$D$4:$D$1203,"周转筐*",对接源_02物料!$L$4:$L$1203,"已收讫")+SUMIFS(对接源_02物料!$K$4:$K$1203,对接源_02物料!$C$4:$C$1203,$B143,对接源_02物料!$D$4:$D$1203,"周转筐*",对接源_02物料!$L$4:$L$1203,"已付款")+SUMIFS(对接源_02物料!$K$4:$K$1203,对接源_02物料!$C$4:$C$1203,$B143,对接源_02物料!$D$4:$D$1203,"次果筐*",对接源_02物料!$L$4:$L$1203,"已收讫")+SUMIFS(对接源_02物料!$K$4:$K$1203,对接源_02物料!$C$4:$C$1203,$B143,对接源_02物料!$D$4:$D$1203,"次果筐*",对接源_02物料!$L$4:$L$1203,"已付款"),2))</f>
      </c>
      <c r="J143" s="177">
        <f>IF($B143="","",ROUND(N($H143)-N($I143),2))</f>
      </c>
      <c r="K143" s="16">
        <f>IF($B143="","",IF(ROUND(N($J143),2)&gt;0,"对方欠款",IF(ROUND(N($J143),2)&lt;0,"我方欠款","已两清")))</f>
      </c>
      <c r="L143" s="26" t="n"/>
    </row>
    <row r="144" s="127">
      <c r="A144" s="16">
        <f>IF($B144="","",ROW()-3)</f>
      </c>
      <c r="B144" s="11">
        <f>IFERROR(INDEX(_自动清单!$E$4:$E$303,ROW()-3),"")</f>
      </c>
      <c r="C144" s="177">
        <f>IF($B144="","",ROUND(SUMIFS(对接源_01水果!$K$4:$K$1203,对接源_01水果!$C$4:$C$1203,$B144,对接源_01水果!$D$4:$D$1203,"成品出库*"),2))</f>
      </c>
      <c r="D144" s="177">
        <f>IF($B144="","",ROUND(SUMIFS(对接源_01水果!$K$4:$K$1203,对接源_01水果!$C$4:$C$1203,$B144,对接源_01水果!$D$4:$D$1203,"其他代存*"),2))</f>
      </c>
      <c r="E144" s="177">
        <f>IF($B144="","",ROUND(SUMIFS(对接源_02物料!$K$4:$K$1203,对接源_02物料!$C$4:$C$1203,$B144,对接源_02物料!$D$4:$D$1203,"包装物料*"),2))</f>
      </c>
      <c r="F144" s="177">
        <f>IF($B144="","",ROUND(SUMIFS(对接源_02物料!$K$4:$K$1203,对接源_02物料!$C$4:$C$1203,$B144,对接源_02物料!$D$4:$D$1203,"周转筐*"),2))</f>
      </c>
      <c r="G144" s="177">
        <f>IF($B144="","",ROUND(SUMIFS(对接源_02物料!$K$4:$K$1203,对接源_02物料!$C$4:$C$1203,$B144,对接源_02物料!$D$4:$D$1203,"次果筐*"),2))</f>
      </c>
      <c r="H144" s="177">
        <f>IF($B144="","",ROUND(SUM($C144:$G144),2))</f>
      </c>
      <c r="I144" s="177">
        <f>IF($B144="","",ROUND(SUMIFS(对接源_01水果!$K$4:$K$1203,对接源_01水果!$C$4:$C$1203,$B144,对接源_01水果!$D$4:$D$1203,"成品出库*",对接源_01水果!$L$4:$L$1203,"已收讫")+SUMIFS(对接源_01水果!$K$4:$K$1203,对接源_01水果!$C$4:$C$1203,$B144,对接源_01水果!$D$4:$D$1203,"成品出库*",对接源_01水果!$L$4:$L$1203,"已付款")+SUMIFS(对接源_01水果!$K$4:$K$1203,对接源_01水果!$C$4:$C$1203,$B144,对接源_01水果!$D$4:$D$1203,"其他代存*",对接源_01水果!$L$4:$L$1203,"已收讫")+SUMIFS(对接源_01水果!$K$4:$K$1203,对接源_01水果!$C$4:$C$1203,$B144,对接源_01水果!$D$4:$D$1203,"其他代存*",对接源_01水果!$L$4:$L$1203,"已付款")+SUMIFS(对接源_02物料!$K$4:$K$1203,对接源_02物料!$C$4:$C$1203,$B144,对接源_02物料!$D$4:$D$1203,"包装物料*",对接源_02物料!$L$4:$L$1203,"已收讫")+SUMIFS(对接源_02物料!$K$4:$K$1203,对接源_02物料!$C$4:$C$1203,$B144,对接源_02物料!$D$4:$D$1203,"包装物料*",对接源_02物料!$L$4:$L$1203,"已付款")+SUMIFS(对接源_02物料!$K$4:$K$1203,对接源_02物料!$C$4:$C$1203,$B144,对接源_02物料!$D$4:$D$1203,"周转筐*",对接源_02物料!$L$4:$L$1203,"已收讫")+SUMIFS(对接源_02物料!$K$4:$K$1203,对接源_02物料!$C$4:$C$1203,$B144,对接源_02物料!$D$4:$D$1203,"周转筐*",对接源_02物料!$L$4:$L$1203,"已付款")+SUMIFS(对接源_02物料!$K$4:$K$1203,对接源_02物料!$C$4:$C$1203,$B144,对接源_02物料!$D$4:$D$1203,"次果筐*",对接源_02物料!$L$4:$L$1203,"已收讫")+SUMIFS(对接源_02物料!$K$4:$K$1203,对接源_02物料!$C$4:$C$1203,$B144,对接源_02物料!$D$4:$D$1203,"次果筐*",对接源_02物料!$L$4:$L$1203,"已付款"),2))</f>
      </c>
      <c r="J144" s="177">
        <f>IF($B144="","",ROUND(N($H144)-N($I144),2))</f>
      </c>
      <c r="K144" s="16">
        <f>IF($B144="","",IF(ROUND(N($J144),2)&gt;0,"对方欠款",IF(ROUND(N($J144),2)&lt;0,"我方欠款","已两清")))</f>
      </c>
      <c r="L144" s="26" t="n"/>
    </row>
    <row r="145" s="127">
      <c r="A145" s="16">
        <f>IF($B145="","",ROW()-3)</f>
      </c>
      <c r="B145" s="11">
        <f>IFERROR(INDEX(_自动清单!$E$4:$E$303,ROW()-3),"")</f>
      </c>
      <c r="C145" s="177">
        <f>IF($B145="","",ROUND(SUMIFS(对接源_01水果!$K$4:$K$1203,对接源_01水果!$C$4:$C$1203,$B145,对接源_01水果!$D$4:$D$1203,"成品出库*"),2))</f>
      </c>
      <c r="D145" s="177">
        <f>IF($B145="","",ROUND(SUMIFS(对接源_01水果!$K$4:$K$1203,对接源_01水果!$C$4:$C$1203,$B145,对接源_01水果!$D$4:$D$1203,"其他代存*"),2))</f>
      </c>
      <c r="E145" s="177">
        <f>IF($B145="","",ROUND(SUMIFS(对接源_02物料!$K$4:$K$1203,对接源_02物料!$C$4:$C$1203,$B145,对接源_02物料!$D$4:$D$1203,"包装物料*"),2))</f>
      </c>
      <c r="F145" s="177">
        <f>IF($B145="","",ROUND(SUMIFS(对接源_02物料!$K$4:$K$1203,对接源_02物料!$C$4:$C$1203,$B145,对接源_02物料!$D$4:$D$1203,"周转筐*"),2))</f>
      </c>
      <c r="G145" s="177">
        <f>IF($B145="","",ROUND(SUMIFS(对接源_02物料!$K$4:$K$1203,对接源_02物料!$C$4:$C$1203,$B145,对接源_02物料!$D$4:$D$1203,"次果筐*"),2))</f>
      </c>
      <c r="H145" s="177">
        <f>IF($B145="","",ROUND(SUM($C145:$G145),2))</f>
      </c>
      <c r="I145" s="177">
        <f>IF($B145="","",ROUND(SUMIFS(对接源_01水果!$K$4:$K$1203,对接源_01水果!$C$4:$C$1203,$B145,对接源_01水果!$D$4:$D$1203,"成品出库*",对接源_01水果!$L$4:$L$1203,"已收讫")+SUMIFS(对接源_01水果!$K$4:$K$1203,对接源_01水果!$C$4:$C$1203,$B145,对接源_01水果!$D$4:$D$1203,"成品出库*",对接源_01水果!$L$4:$L$1203,"已付款")+SUMIFS(对接源_01水果!$K$4:$K$1203,对接源_01水果!$C$4:$C$1203,$B145,对接源_01水果!$D$4:$D$1203,"其他代存*",对接源_01水果!$L$4:$L$1203,"已收讫")+SUMIFS(对接源_01水果!$K$4:$K$1203,对接源_01水果!$C$4:$C$1203,$B145,对接源_01水果!$D$4:$D$1203,"其他代存*",对接源_01水果!$L$4:$L$1203,"已付款")+SUMIFS(对接源_02物料!$K$4:$K$1203,对接源_02物料!$C$4:$C$1203,$B145,对接源_02物料!$D$4:$D$1203,"包装物料*",对接源_02物料!$L$4:$L$1203,"已收讫")+SUMIFS(对接源_02物料!$K$4:$K$1203,对接源_02物料!$C$4:$C$1203,$B145,对接源_02物料!$D$4:$D$1203,"包装物料*",对接源_02物料!$L$4:$L$1203,"已付款")+SUMIFS(对接源_02物料!$K$4:$K$1203,对接源_02物料!$C$4:$C$1203,$B145,对接源_02物料!$D$4:$D$1203,"周转筐*",对接源_02物料!$L$4:$L$1203,"已收讫")+SUMIFS(对接源_02物料!$K$4:$K$1203,对接源_02物料!$C$4:$C$1203,$B145,对接源_02物料!$D$4:$D$1203,"周转筐*",对接源_02物料!$L$4:$L$1203,"已付款")+SUMIFS(对接源_02物料!$K$4:$K$1203,对接源_02物料!$C$4:$C$1203,$B145,对接源_02物料!$D$4:$D$1203,"次果筐*",对接源_02物料!$L$4:$L$1203,"已收讫")+SUMIFS(对接源_02物料!$K$4:$K$1203,对接源_02物料!$C$4:$C$1203,$B145,对接源_02物料!$D$4:$D$1203,"次果筐*",对接源_02物料!$L$4:$L$1203,"已付款"),2))</f>
      </c>
      <c r="J145" s="177">
        <f>IF($B145="","",ROUND(N($H145)-N($I145),2))</f>
      </c>
      <c r="K145" s="16">
        <f>IF($B145="","",IF(ROUND(N($J145),2)&gt;0,"对方欠款",IF(ROUND(N($J145),2)&lt;0,"我方欠款","已两清")))</f>
      </c>
      <c r="L145" s="26" t="n"/>
    </row>
    <row r="146" s="127">
      <c r="A146" s="16">
        <f>IF($B146="","",ROW()-3)</f>
      </c>
      <c r="B146" s="11">
        <f>IFERROR(INDEX(_自动清单!$E$4:$E$303,ROW()-3),"")</f>
      </c>
      <c r="C146" s="177">
        <f>IF($B146="","",ROUND(SUMIFS(对接源_01水果!$K$4:$K$1203,对接源_01水果!$C$4:$C$1203,$B146,对接源_01水果!$D$4:$D$1203,"成品出库*"),2))</f>
      </c>
      <c r="D146" s="177">
        <f>IF($B146="","",ROUND(SUMIFS(对接源_01水果!$K$4:$K$1203,对接源_01水果!$C$4:$C$1203,$B146,对接源_01水果!$D$4:$D$1203,"其他代存*"),2))</f>
      </c>
      <c r="E146" s="177">
        <f>IF($B146="","",ROUND(SUMIFS(对接源_02物料!$K$4:$K$1203,对接源_02物料!$C$4:$C$1203,$B146,对接源_02物料!$D$4:$D$1203,"包装物料*"),2))</f>
      </c>
      <c r="F146" s="177">
        <f>IF($B146="","",ROUND(SUMIFS(对接源_02物料!$K$4:$K$1203,对接源_02物料!$C$4:$C$1203,$B146,对接源_02物料!$D$4:$D$1203,"周转筐*"),2))</f>
      </c>
      <c r="G146" s="177">
        <f>IF($B146="","",ROUND(SUMIFS(对接源_02物料!$K$4:$K$1203,对接源_02物料!$C$4:$C$1203,$B146,对接源_02物料!$D$4:$D$1203,"次果筐*"),2))</f>
      </c>
      <c r="H146" s="177">
        <f>IF($B146="","",ROUND(SUM($C146:$G146),2))</f>
      </c>
      <c r="I146" s="177">
        <f>IF($B146="","",ROUND(SUMIFS(对接源_01水果!$K$4:$K$1203,对接源_01水果!$C$4:$C$1203,$B146,对接源_01水果!$D$4:$D$1203,"成品出库*",对接源_01水果!$L$4:$L$1203,"已收讫")+SUMIFS(对接源_01水果!$K$4:$K$1203,对接源_01水果!$C$4:$C$1203,$B146,对接源_01水果!$D$4:$D$1203,"成品出库*",对接源_01水果!$L$4:$L$1203,"已付款")+SUMIFS(对接源_01水果!$K$4:$K$1203,对接源_01水果!$C$4:$C$1203,$B146,对接源_01水果!$D$4:$D$1203,"其他代存*",对接源_01水果!$L$4:$L$1203,"已收讫")+SUMIFS(对接源_01水果!$K$4:$K$1203,对接源_01水果!$C$4:$C$1203,$B146,对接源_01水果!$D$4:$D$1203,"其他代存*",对接源_01水果!$L$4:$L$1203,"已付款")+SUMIFS(对接源_02物料!$K$4:$K$1203,对接源_02物料!$C$4:$C$1203,$B146,对接源_02物料!$D$4:$D$1203,"包装物料*",对接源_02物料!$L$4:$L$1203,"已收讫")+SUMIFS(对接源_02物料!$K$4:$K$1203,对接源_02物料!$C$4:$C$1203,$B146,对接源_02物料!$D$4:$D$1203,"包装物料*",对接源_02物料!$L$4:$L$1203,"已付款")+SUMIFS(对接源_02物料!$K$4:$K$1203,对接源_02物料!$C$4:$C$1203,$B146,对接源_02物料!$D$4:$D$1203,"周转筐*",对接源_02物料!$L$4:$L$1203,"已收讫")+SUMIFS(对接源_02物料!$K$4:$K$1203,对接源_02物料!$C$4:$C$1203,$B146,对接源_02物料!$D$4:$D$1203,"周转筐*",对接源_02物料!$L$4:$L$1203,"已付款")+SUMIFS(对接源_02物料!$K$4:$K$1203,对接源_02物料!$C$4:$C$1203,$B146,对接源_02物料!$D$4:$D$1203,"次果筐*",对接源_02物料!$L$4:$L$1203,"已收讫")+SUMIFS(对接源_02物料!$K$4:$K$1203,对接源_02物料!$C$4:$C$1203,$B146,对接源_02物料!$D$4:$D$1203,"次果筐*",对接源_02物料!$L$4:$L$1203,"已付款"),2))</f>
      </c>
      <c r="J146" s="177">
        <f>IF($B146="","",ROUND(N($H146)-N($I146),2))</f>
      </c>
      <c r="K146" s="16">
        <f>IF($B146="","",IF(ROUND(N($J146),2)&gt;0,"对方欠款",IF(ROUND(N($J146),2)&lt;0,"我方欠款","已两清")))</f>
      </c>
      <c r="L146" s="26" t="n"/>
    </row>
    <row r="147" s="127">
      <c r="A147" s="16">
        <f>IF($B147="","",ROW()-3)</f>
      </c>
      <c r="B147" s="11">
        <f>IFERROR(INDEX(_自动清单!$E$4:$E$303,ROW()-3),"")</f>
      </c>
      <c r="C147" s="177">
        <f>IF($B147="","",ROUND(SUMIFS(对接源_01水果!$K$4:$K$1203,对接源_01水果!$C$4:$C$1203,$B147,对接源_01水果!$D$4:$D$1203,"成品出库*"),2))</f>
      </c>
      <c r="D147" s="177">
        <f>IF($B147="","",ROUND(SUMIFS(对接源_01水果!$K$4:$K$1203,对接源_01水果!$C$4:$C$1203,$B147,对接源_01水果!$D$4:$D$1203,"其他代存*"),2))</f>
      </c>
      <c r="E147" s="177">
        <f>IF($B147="","",ROUND(SUMIFS(对接源_02物料!$K$4:$K$1203,对接源_02物料!$C$4:$C$1203,$B147,对接源_02物料!$D$4:$D$1203,"包装物料*"),2))</f>
      </c>
      <c r="F147" s="177">
        <f>IF($B147="","",ROUND(SUMIFS(对接源_02物料!$K$4:$K$1203,对接源_02物料!$C$4:$C$1203,$B147,对接源_02物料!$D$4:$D$1203,"周转筐*"),2))</f>
      </c>
      <c r="G147" s="177">
        <f>IF($B147="","",ROUND(SUMIFS(对接源_02物料!$K$4:$K$1203,对接源_02物料!$C$4:$C$1203,$B147,对接源_02物料!$D$4:$D$1203,"次果筐*"),2))</f>
      </c>
      <c r="H147" s="177">
        <f>IF($B147="","",ROUND(SUM($C147:$G147),2))</f>
      </c>
      <c r="I147" s="177">
        <f>IF($B147="","",ROUND(SUMIFS(对接源_01水果!$K$4:$K$1203,对接源_01水果!$C$4:$C$1203,$B147,对接源_01水果!$D$4:$D$1203,"成品出库*",对接源_01水果!$L$4:$L$1203,"已收讫")+SUMIFS(对接源_01水果!$K$4:$K$1203,对接源_01水果!$C$4:$C$1203,$B147,对接源_01水果!$D$4:$D$1203,"成品出库*",对接源_01水果!$L$4:$L$1203,"已付款")+SUMIFS(对接源_01水果!$K$4:$K$1203,对接源_01水果!$C$4:$C$1203,$B147,对接源_01水果!$D$4:$D$1203,"其他代存*",对接源_01水果!$L$4:$L$1203,"已收讫")+SUMIFS(对接源_01水果!$K$4:$K$1203,对接源_01水果!$C$4:$C$1203,$B147,对接源_01水果!$D$4:$D$1203,"其他代存*",对接源_01水果!$L$4:$L$1203,"已付款")+SUMIFS(对接源_02物料!$K$4:$K$1203,对接源_02物料!$C$4:$C$1203,$B147,对接源_02物料!$D$4:$D$1203,"包装物料*",对接源_02物料!$L$4:$L$1203,"已收讫")+SUMIFS(对接源_02物料!$K$4:$K$1203,对接源_02物料!$C$4:$C$1203,$B147,对接源_02物料!$D$4:$D$1203,"包装物料*",对接源_02物料!$L$4:$L$1203,"已付款")+SUMIFS(对接源_02物料!$K$4:$K$1203,对接源_02物料!$C$4:$C$1203,$B147,对接源_02物料!$D$4:$D$1203,"周转筐*",对接源_02物料!$L$4:$L$1203,"已收讫")+SUMIFS(对接源_02物料!$K$4:$K$1203,对接源_02物料!$C$4:$C$1203,$B147,对接源_02物料!$D$4:$D$1203,"周转筐*",对接源_02物料!$L$4:$L$1203,"已付款")+SUMIFS(对接源_02物料!$K$4:$K$1203,对接源_02物料!$C$4:$C$1203,$B147,对接源_02物料!$D$4:$D$1203,"次果筐*",对接源_02物料!$L$4:$L$1203,"已收讫")+SUMIFS(对接源_02物料!$K$4:$K$1203,对接源_02物料!$C$4:$C$1203,$B147,对接源_02物料!$D$4:$D$1203,"次果筐*",对接源_02物料!$L$4:$L$1203,"已付款"),2))</f>
      </c>
      <c r="J147" s="177">
        <f>IF($B147="","",ROUND(N($H147)-N($I147),2))</f>
      </c>
      <c r="K147" s="16">
        <f>IF($B147="","",IF(ROUND(N($J147),2)&gt;0,"对方欠款",IF(ROUND(N($J147),2)&lt;0,"我方欠款","已两清")))</f>
      </c>
      <c r="L147" s="26" t="n"/>
    </row>
    <row r="148" s="127">
      <c r="A148" s="16">
        <f>IF($B148="","",ROW()-3)</f>
      </c>
      <c r="B148" s="11">
        <f>IFERROR(INDEX(_自动清单!$E$4:$E$303,ROW()-3),"")</f>
      </c>
      <c r="C148" s="177">
        <f>IF($B148="","",ROUND(SUMIFS(对接源_01水果!$K$4:$K$1203,对接源_01水果!$C$4:$C$1203,$B148,对接源_01水果!$D$4:$D$1203,"成品出库*"),2))</f>
      </c>
      <c r="D148" s="177">
        <f>IF($B148="","",ROUND(SUMIFS(对接源_01水果!$K$4:$K$1203,对接源_01水果!$C$4:$C$1203,$B148,对接源_01水果!$D$4:$D$1203,"其他代存*"),2))</f>
      </c>
      <c r="E148" s="177">
        <f>IF($B148="","",ROUND(SUMIFS(对接源_02物料!$K$4:$K$1203,对接源_02物料!$C$4:$C$1203,$B148,对接源_02物料!$D$4:$D$1203,"包装物料*"),2))</f>
      </c>
      <c r="F148" s="177">
        <f>IF($B148="","",ROUND(SUMIFS(对接源_02物料!$K$4:$K$1203,对接源_02物料!$C$4:$C$1203,$B148,对接源_02物料!$D$4:$D$1203,"周转筐*"),2))</f>
      </c>
      <c r="G148" s="177">
        <f>IF($B148="","",ROUND(SUMIFS(对接源_02物料!$K$4:$K$1203,对接源_02物料!$C$4:$C$1203,$B148,对接源_02物料!$D$4:$D$1203,"次果筐*"),2))</f>
      </c>
      <c r="H148" s="177">
        <f>IF($B148="","",ROUND(SUM($C148:$G148),2))</f>
      </c>
      <c r="I148" s="177">
        <f>IF($B148="","",ROUND(SUMIFS(对接源_01水果!$K$4:$K$1203,对接源_01水果!$C$4:$C$1203,$B148,对接源_01水果!$D$4:$D$1203,"成品出库*",对接源_01水果!$L$4:$L$1203,"已收讫")+SUMIFS(对接源_01水果!$K$4:$K$1203,对接源_01水果!$C$4:$C$1203,$B148,对接源_01水果!$D$4:$D$1203,"成品出库*",对接源_01水果!$L$4:$L$1203,"已付款")+SUMIFS(对接源_01水果!$K$4:$K$1203,对接源_01水果!$C$4:$C$1203,$B148,对接源_01水果!$D$4:$D$1203,"其他代存*",对接源_01水果!$L$4:$L$1203,"已收讫")+SUMIFS(对接源_01水果!$K$4:$K$1203,对接源_01水果!$C$4:$C$1203,$B148,对接源_01水果!$D$4:$D$1203,"其他代存*",对接源_01水果!$L$4:$L$1203,"已付款")+SUMIFS(对接源_02物料!$K$4:$K$1203,对接源_02物料!$C$4:$C$1203,$B148,对接源_02物料!$D$4:$D$1203,"包装物料*",对接源_02物料!$L$4:$L$1203,"已收讫")+SUMIFS(对接源_02物料!$K$4:$K$1203,对接源_02物料!$C$4:$C$1203,$B148,对接源_02物料!$D$4:$D$1203,"包装物料*",对接源_02物料!$L$4:$L$1203,"已付款")+SUMIFS(对接源_02物料!$K$4:$K$1203,对接源_02物料!$C$4:$C$1203,$B148,对接源_02物料!$D$4:$D$1203,"周转筐*",对接源_02物料!$L$4:$L$1203,"已收讫")+SUMIFS(对接源_02物料!$K$4:$K$1203,对接源_02物料!$C$4:$C$1203,$B148,对接源_02物料!$D$4:$D$1203,"周转筐*",对接源_02物料!$L$4:$L$1203,"已付款")+SUMIFS(对接源_02物料!$K$4:$K$1203,对接源_02物料!$C$4:$C$1203,$B148,对接源_02物料!$D$4:$D$1203,"次果筐*",对接源_02物料!$L$4:$L$1203,"已收讫")+SUMIFS(对接源_02物料!$K$4:$K$1203,对接源_02物料!$C$4:$C$1203,$B148,对接源_02物料!$D$4:$D$1203,"次果筐*",对接源_02物料!$L$4:$L$1203,"已付款"),2))</f>
      </c>
      <c r="J148" s="177">
        <f>IF($B148="","",ROUND(N($H148)-N($I148),2))</f>
      </c>
      <c r="K148" s="16">
        <f>IF($B148="","",IF(ROUND(N($J148),2)&gt;0,"对方欠款",IF(ROUND(N($J148),2)&lt;0,"我方欠款","已两清")))</f>
      </c>
      <c r="L148" s="26" t="n"/>
    </row>
    <row r="149" s="127">
      <c r="A149" s="16">
        <f>IF($B149="","",ROW()-3)</f>
      </c>
      <c r="B149" s="11">
        <f>IFERROR(INDEX(_自动清单!$E$4:$E$303,ROW()-3),"")</f>
      </c>
      <c r="C149" s="177">
        <f>IF($B149="","",ROUND(SUMIFS(对接源_01水果!$K$4:$K$1203,对接源_01水果!$C$4:$C$1203,$B149,对接源_01水果!$D$4:$D$1203,"成品出库*"),2))</f>
      </c>
      <c r="D149" s="177">
        <f>IF($B149="","",ROUND(SUMIFS(对接源_01水果!$K$4:$K$1203,对接源_01水果!$C$4:$C$1203,$B149,对接源_01水果!$D$4:$D$1203,"其他代存*"),2))</f>
      </c>
      <c r="E149" s="177">
        <f>IF($B149="","",ROUND(SUMIFS(对接源_02物料!$K$4:$K$1203,对接源_02物料!$C$4:$C$1203,$B149,对接源_02物料!$D$4:$D$1203,"包装物料*"),2))</f>
      </c>
      <c r="F149" s="177">
        <f>IF($B149="","",ROUND(SUMIFS(对接源_02物料!$K$4:$K$1203,对接源_02物料!$C$4:$C$1203,$B149,对接源_02物料!$D$4:$D$1203,"周转筐*"),2))</f>
      </c>
      <c r="G149" s="177">
        <f>IF($B149="","",ROUND(SUMIFS(对接源_02物料!$K$4:$K$1203,对接源_02物料!$C$4:$C$1203,$B149,对接源_02物料!$D$4:$D$1203,"次果筐*"),2))</f>
      </c>
      <c r="H149" s="177">
        <f>IF($B149="","",ROUND(SUM($C149:$G149),2))</f>
      </c>
      <c r="I149" s="177">
        <f>IF($B149="","",ROUND(SUMIFS(对接源_01水果!$K$4:$K$1203,对接源_01水果!$C$4:$C$1203,$B149,对接源_01水果!$D$4:$D$1203,"成品出库*",对接源_01水果!$L$4:$L$1203,"已收讫")+SUMIFS(对接源_01水果!$K$4:$K$1203,对接源_01水果!$C$4:$C$1203,$B149,对接源_01水果!$D$4:$D$1203,"成品出库*",对接源_01水果!$L$4:$L$1203,"已付款")+SUMIFS(对接源_01水果!$K$4:$K$1203,对接源_01水果!$C$4:$C$1203,$B149,对接源_01水果!$D$4:$D$1203,"其他代存*",对接源_01水果!$L$4:$L$1203,"已收讫")+SUMIFS(对接源_01水果!$K$4:$K$1203,对接源_01水果!$C$4:$C$1203,$B149,对接源_01水果!$D$4:$D$1203,"其他代存*",对接源_01水果!$L$4:$L$1203,"已付款")+SUMIFS(对接源_02物料!$K$4:$K$1203,对接源_02物料!$C$4:$C$1203,$B149,对接源_02物料!$D$4:$D$1203,"包装物料*",对接源_02物料!$L$4:$L$1203,"已收讫")+SUMIFS(对接源_02物料!$K$4:$K$1203,对接源_02物料!$C$4:$C$1203,$B149,对接源_02物料!$D$4:$D$1203,"包装物料*",对接源_02物料!$L$4:$L$1203,"已付款")+SUMIFS(对接源_02物料!$K$4:$K$1203,对接源_02物料!$C$4:$C$1203,$B149,对接源_02物料!$D$4:$D$1203,"周转筐*",对接源_02物料!$L$4:$L$1203,"已收讫")+SUMIFS(对接源_02物料!$K$4:$K$1203,对接源_02物料!$C$4:$C$1203,$B149,对接源_02物料!$D$4:$D$1203,"周转筐*",对接源_02物料!$L$4:$L$1203,"已付款")+SUMIFS(对接源_02物料!$K$4:$K$1203,对接源_02物料!$C$4:$C$1203,$B149,对接源_02物料!$D$4:$D$1203,"次果筐*",对接源_02物料!$L$4:$L$1203,"已收讫")+SUMIFS(对接源_02物料!$K$4:$K$1203,对接源_02物料!$C$4:$C$1203,$B149,对接源_02物料!$D$4:$D$1203,"次果筐*",对接源_02物料!$L$4:$L$1203,"已付款"),2))</f>
      </c>
      <c r="J149" s="177">
        <f>IF($B149="","",ROUND(N($H149)-N($I149),2))</f>
      </c>
      <c r="K149" s="16">
        <f>IF($B149="","",IF(ROUND(N($J149),2)&gt;0,"对方欠款",IF(ROUND(N($J149),2)&lt;0,"我方欠款","已两清")))</f>
      </c>
      <c r="L149" s="26" t="n"/>
    </row>
    <row r="150" s="127">
      <c r="A150" s="16">
        <f>IF($B150="","",ROW()-3)</f>
      </c>
      <c r="B150" s="11">
        <f>IFERROR(INDEX(_自动清单!$E$4:$E$303,ROW()-3),"")</f>
      </c>
      <c r="C150" s="177">
        <f>IF($B150="","",ROUND(SUMIFS(对接源_01水果!$K$4:$K$1203,对接源_01水果!$C$4:$C$1203,$B150,对接源_01水果!$D$4:$D$1203,"成品出库*"),2))</f>
      </c>
      <c r="D150" s="177">
        <f>IF($B150="","",ROUND(SUMIFS(对接源_01水果!$K$4:$K$1203,对接源_01水果!$C$4:$C$1203,$B150,对接源_01水果!$D$4:$D$1203,"其他代存*"),2))</f>
      </c>
      <c r="E150" s="177">
        <f>IF($B150="","",ROUND(SUMIFS(对接源_02物料!$K$4:$K$1203,对接源_02物料!$C$4:$C$1203,$B150,对接源_02物料!$D$4:$D$1203,"包装物料*"),2))</f>
      </c>
      <c r="F150" s="177">
        <f>IF($B150="","",ROUND(SUMIFS(对接源_02物料!$K$4:$K$1203,对接源_02物料!$C$4:$C$1203,$B150,对接源_02物料!$D$4:$D$1203,"周转筐*"),2))</f>
      </c>
      <c r="G150" s="177">
        <f>IF($B150="","",ROUND(SUMIFS(对接源_02物料!$K$4:$K$1203,对接源_02物料!$C$4:$C$1203,$B150,对接源_02物料!$D$4:$D$1203,"次果筐*"),2))</f>
      </c>
      <c r="H150" s="177">
        <f>IF($B150="","",ROUND(SUM($C150:$G150),2))</f>
      </c>
      <c r="I150" s="177">
        <f>IF($B150="","",ROUND(SUMIFS(对接源_01水果!$K$4:$K$1203,对接源_01水果!$C$4:$C$1203,$B150,对接源_01水果!$D$4:$D$1203,"成品出库*",对接源_01水果!$L$4:$L$1203,"已收讫")+SUMIFS(对接源_01水果!$K$4:$K$1203,对接源_01水果!$C$4:$C$1203,$B150,对接源_01水果!$D$4:$D$1203,"成品出库*",对接源_01水果!$L$4:$L$1203,"已付款")+SUMIFS(对接源_01水果!$K$4:$K$1203,对接源_01水果!$C$4:$C$1203,$B150,对接源_01水果!$D$4:$D$1203,"其他代存*",对接源_01水果!$L$4:$L$1203,"已收讫")+SUMIFS(对接源_01水果!$K$4:$K$1203,对接源_01水果!$C$4:$C$1203,$B150,对接源_01水果!$D$4:$D$1203,"其他代存*",对接源_01水果!$L$4:$L$1203,"已付款")+SUMIFS(对接源_02物料!$K$4:$K$1203,对接源_02物料!$C$4:$C$1203,$B150,对接源_02物料!$D$4:$D$1203,"包装物料*",对接源_02物料!$L$4:$L$1203,"已收讫")+SUMIFS(对接源_02物料!$K$4:$K$1203,对接源_02物料!$C$4:$C$1203,$B150,对接源_02物料!$D$4:$D$1203,"包装物料*",对接源_02物料!$L$4:$L$1203,"已付款")+SUMIFS(对接源_02物料!$K$4:$K$1203,对接源_02物料!$C$4:$C$1203,$B150,对接源_02物料!$D$4:$D$1203,"周转筐*",对接源_02物料!$L$4:$L$1203,"已收讫")+SUMIFS(对接源_02物料!$K$4:$K$1203,对接源_02物料!$C$4:$C$1203,$B150,对接源_02物料!$D$4:$D$1203,"周转筐*",对接源_02物料!$L$4:$L$1203,"已付款")+SUMIFS(对接源_02物料!$K$4:$K$1203,对接源_02物料!$C$4:$C$1203,$B150,对接源_02物料!$D$4:$D$1203,"次果筐*",对接源_02物料!$L$4:$L$1203,"已收讫")+SUMIFS(对接源_02物料!$K$4:$K$1203,对接源_02物料!$C$4:$C$1203,$B150,对接源_02物料!$D$4:$D$1203,"次果筐*",对接源_02物料!$L$4:$L$1203,"已付款"),2))</f>
      </c>
      <c r="J150" s="177">
        <f>IF($B150="","",ROUND(N($H150)-N($I150),2))</f>
      </c>
      <c r="K150" s="16">
        <f>IF($B150="","",IF(ROUND(N($J150),2)&gt;0,"对方欠款",IF(ROUND(N($J150),2)&lt;0,"我方欠款","已两清")))</f>
      </c>
      <c r="L150" s="26" t="n"/>
    </row>
    <row r="151" s="127">
      <c r="A151" s="16">
        <f>IF($B151="","",ROW()-3)</f>
      </c>
      <c r="B151" s="11">
        <f>IFERROR(INDEX(_自动清单!$E$4:$E$303,ROW()-3),"")</f>
      </c>
      <c r="C151" s="177">
        <f>IF($B151="","",ROUND(SUMIFS(对接源_01水果!$K$4:$K$1203,对接源_01水果!$C$4:$C$1203,$B151,对接源_01水果!$D$4:$D$1203,"成品出库*"),2))</f>
      </c>
      <c r="D151" s="177">
        <f>IF($B151="","",ROUND(SUMIFS(对接源_01水果!$K$4:$K$1203,对接源_01水果!$C$4:$C$1203,$B151,对接源_01水果!$D$4:$D$1203,"其他代存*"),2))</f>
      </c>
      <c r="E151" s="177">
        <f>IF($B151="","",ROUND(SUMIFS(对接源_02物料!$K$4:$K$1203,对接源_02物料!$C$4:$C$1203,$B151,对接源_02物料!$D$4:$D$1203,"包装物料*"),2))</f>
      </c>
      <c r="F151" s="177">
        <f>IF($B151="","",ROUND(SUMIFS(对接源_02物料!$K$4:$K$1203,对接源_02物料!$C$4:$C$1203,$B151,对接源_02物料!$D$4:$D$1203,"周转筐*"),2))</f>
      </c>
      <c r="G151" s="177">
        <f>IF($B151="","",ROUND(SUMIFS(对接源_02物料!$K$4:$K$1203,对接源_02物料!$C$4:$C$1203,$B151,对接源_02物料!$D$4:$D$1203,"次果筐*"),2))</f>
      </c>
      <c r="H151" s="177">
        <f>IF($B151="","",ROUND(SUM($C151:$G151),2))</f>
      </c>
      <c r="I151" s="177">
        <f>IF($B151="","",ROUND(SUMIFS(对接源_01水果!$K$4:$K$1203,对接源_01水果!$C$4:$C$1203,$B151,对接源_01水果!$D$4:$D$1203,"成品出库*",对接源_01水果!$L$4:$L$1203,"已收讫")+SUMIFS(对接源_01水果!$K$4:$K$1203,对接源_01水果!$C$4:$C$1203,$B151,对接源_01水果!$D$4:$D$1203,"成品出库*",对接源_01水果!$L$4:$L$1203,"已付款")+SUMIFS(对接源_01水果!$K$4:$K$1203,对接源_01水果!$C$4:$C$1203,$B151,对接源_01水果!$D$4:$D$1203,"其他代存*",对接源_01水果!$L$4:$L$1203,"已收讫")+SUMIFS(对接源_01水果!$K$4:$K$1203,对接源_01水果!$C$4:$C$1203,$B151,对接源_01水果!$D$4:$D$1203,"其他代存*",对接源_01水果!$L$4:$L$1203,"已付款")+SUMIFS(对接源_02物料!$K$4:$K$1203,对接源_02物料!$C$4:$C$1203,$B151,对接源_02物料!$D$4:$D$1203,"包装物料*",对接源_02物料!$L$4:$L$1203,"已收讫")+SUMIFS(对接源_02物料!$K$4:$K$1203,对接源_02物料!$C$4:$C$1203,$B151,对接源_02物料!$D$4:$D$1203,"包装物料*",对接源_02物料!$L$4:$L$1203,"已付款")+SUMIFS(对接源_02物料!$K$4:$K$1203,对接源_02物料!$C$4:$C$1203,$B151,对接源_02物料!$D$4:$D$1203,"周转筐*",对接源_02物料!$L$4:$L$1203,"已收讫")+SUMIFS(对接源_02物料!$K$4:$K$1203,对接源_02物料!$C$4:$C$1203,$B151,对接源_02物料!$D$4:$D$1203,"周转筐*",对接源_02物料!$L$4:$L$1203,"已付款")+SUMIFS(对接源_02物料!$K$4:$K$1203,对接源_02物料!$C$4:$C$1203,$B151,对接源_02物料!$D$4:$D$1203,"次果筐*",对接源_02物料!$L$4:$L$1203,"已收讫")+SUMIFS(对接源_02物料!$K$4:$K$1203,对接源_02物料!$C$4:$C$1203,$B151,对接源_02物料!$D$4:$D$1203,"次果筐*",对接源_02物料!$L$4:$L$1203,"已付款"),2))</f>
      </c>
      <c r="J151" s="177">
        <f>IF($B151="","",ROUND(N($H151)-N($I151),2))</f>
      </c>
      <c r="K151" s="16">
        <f>IF($B151="","",IF(ROUND(N($J151),2)&gt;0,"对方欠款",IF(ROUND(N($J151),2)&lt;0,"我方欠款","已两清")))</f>
      </c>
      <c r="L151" s="26" t="n"/>
    </row>
    <row r="152" s="127">
      <c r="A152" s="16">
        <f>IF($B152="","",ROW()-3)</f>
      </c>
      <c r="B152" s="11">
        <f>IFERROR(INDEX(_自动清单!$E$4:$E$303,ROW()-3),"")</f>
      </c>
      <c r="C152" s="177">
        <f>IF($B152="","",ROUND(SUMIFS(对接源_01水果!$K$4:$K$1203,对接源_01水果!$C$4:$C$1203,$B152,对接源_01水果!$D$4:$D$1203,"成品出库*"),2))</f>
      </c>
      <c r="D152" s="177">
        <f>IF($B152="","",ROUND(SUMIFS(对接源_01水果!$K$4:$K$1203,对接源_01水果!$C$4:$C$1203,$B152,对接源_01水果!$D$4:$D$1203,"其他代存*"),2))</f>
      </c>
      <c r="E152" s="177">
        <f>IF($B152="","",ROUND(SUMIFS(对接源_02物料!$K$4:$K$1203,对接源_02物料!$C$4:$C$1203,$B152,对接源_02物料!$D$4:$D$1203,"包装物料*"),2))</f>
      </c>
      <c r="F152" s="177">
        <f>IF($B152="","",ROUND(SUMIFS(对接源_02物料!$K$4:$K$1203,对接源_02物料!$C$4:$C$1203,$B152,对接源_02物料!$D$4:$D$1203,"周转筐*"),2))</f>
      </c>
      <c r="G152" s="177">
        <f>IF($B152="","",ROUND(SUMIFS(对接源_02物料!$K$4:$K$1203,对接源_02物料!$C$4:$C$1203,$B152,对接源_02物料!$D$4:$D$1203,"次果筐*"),2))</f>
      </c>
      <c r="H152" s="177">
        <f>IF($B152="","",ROUND(SUM($C152:$G152),2))</f>
      </c>
      <c r="I152" s="177">
        <f>IF($B152="","",ROUND(SUMIFS(对接源_01水果!$K$4:$K$1203,对接源_01水果!$C$4:$C$1203,$B152,对接源_01水果!$D$4:$D$1203,"成品出库*",对接源_01水果!$L$4:$L$1203,"已收讫")+SUMIFS(对接源_01水果!$K$4:$K$1203,对接源_01水果!$C$4:$C$1203,$B152,对接源_01水果!$D$4:$D$1203,"成品出库*",对接源_01水果!$L$4:$L$1203,"已付款")+SUMIFS(对接源_01水果!$K$4:$K$1203,对接源_01水果!$C$4:$C$1203,$B152,对接源_01水果!$D$4:$D$1203,"其他代存*",对接源_01水果!$L$4:$L$1203,"已收讫")+SUMIFS(对接源_01水果!$K$4:$K$1203,对接源_01水果!$C$4:$C$1203,$B152,对接源_01水果!$D$4:$D$1203,"其他代存*",对接源_01水果!$L$4:$L$1203,"已付款")+SUMIFS(对接源_02物料!$K$4:$K$1203,对接源_02物料!$C$4:$C$1203,$B152,对接源_02物料!$D$4:$D$1203,"包装物料*",对接源_02物料!$L$4:$L$1203,"已收讫")+SUMIFS(对接源_02物料!$K$4:$K$1203,对接源_02物料!$C$4:$C$1203,$B152,对接源_02物料!$D$4:$D$1203,"包装物料*",对接源_02物料!$L$4:$L$1203,"已付款")+SUMIFS(对接源_02物料!$K$4:$K$1203,对接源_02物料!$C$4:$C$1203,$B152,对接源_02物料!$D$4:$D$1203,"周转筐*",对接源_02物料!$L$4:$L$1203,"已收讫")+SUMIFS(对接源_02物料!$K$4:$K$1203,对接源_02物料!$C$4:$C$1203,$B152,对接源_02物料!$D$4:$D$1203,"周转筐*",对接源_02物料!$L$4:$L$1203,"已付款")+SUMIFS(对接源_02物料!$K$4:$K$1203,对接源_02物料!$C$4:$C$1203,$B152,对接源_02物料!$D$4:$D$1203,"次果筐*",对接源_02物料!$L$4:$L$1203,"已收讫")+SUMIFS(对接源_02物料!$K$4:$K$1203,对接源_02物料!$C$4:$C$1203,$B152,对接源_02物料!$D$4:$D$1203,"次果筐*",对接源_02物料!$L$4:$L$1203,"已付款"),2))</f>
      </c>
      <c r="J152" s="177">
        <f>IF($B152="","",ROUND(N($H152)-N($I152),2))</f>
      </c>
      <c r="K152" s="16">
        <f>IF($B152="","",IF(ROUND(N($J152),2)&gt;0,"对方欠款",IF(ROUND(N($J152),2)&lt;0,"我方欠款","已两清")))</f>
      </c>
      <c r="L152" s="26" t="n"/>
    </row>
    <row r="153" s="127">
      <c r="A153" s="16">
        <f>IF($B153="","",ROW()-3)</f>
      </c>
      <c r="B153" s="11">
        <f>IFERROR(INDEX(_自动清单!$E$4:$E$303,ROW()-3),"")</f>
      </c>
      <c r="C153" s="177">
        <f>IF($B153="","",ROUND(SUMIFS(对接源_01水果!$K$4:$K$1203,对接源_01水果!$C$4:$C$1203,$B153,对接源_01水果!$D$4:$D$1203,"成品出库*"),2))</f>
      </c>
      <c r="D153" s="177">
        <f>IF($B153="","",ROUND(SUMIFS(对接源_01水果!$K$4:$K$1203,对接源_01水果!$C$4:$C$1203,$B153,对接源_01水果!$D$4:$D$1203,"其他代存*"),2))</f>
      </c>
      <c r="E153" s="177">
        <f>IF($B153="","",ROUND(SUMIFS(对接源_02物料!$K$4:$K$1203,对接源_02物料!$C$4:$C$1203,$B153,对接源_02物料!$D$4:$D$1203,"包装物料*"),2))</f>
      </c>
      <c r="F153" s="177">
        <f>IF($B153="","",ROUND(SUMIFS(对接源_02物料!$K$4:$K$1203,对接源_02物料!$C$4:$C$1203,$B153,对接源_02物料!$D$4:$D$1203,"周转筐*"),2))</f>
      </c>
      <c r="G153" s="177">
        <f>IF($B153="","",ROUND(SUMIFS(对接源_02物料!$K$4:$K$1203,对接源_02物料!$C$4:$C$1203,$B153,对接源_02物料!$D$4:$D$1203,"次果筐*"),2))</f>
      </c>
      <c r="H153" s="177">
        <f>IF($B153="","",ROUND(SUM($C153:$G153),2))</f>
      </c>
      <c r="I153" s="177">
        <f>IF($B153="","",ROUND(SUMIFS(对接源_01水果!$K$4:$K$1203,对接源_01水果!$C$4:$C$1203,$B153,对接源_01水果!$D$4:$D$1203,"成品出库*",对接源_01水果!$L$4:$L$1203,"已收讫")+SUMIFS(对接源_01水果!$K$4:$K$1203,对接源_01水果!$C$4:$C$1203,$B153,对接源_01水果!$D$4:$D$1203,"成品出库*",对接源_01水果!$L$4:$L$1203,"已付款")+SUMIFS(对接源_01水果!$K$4:$K$1203,对接源_01水果!$C$4:$C$1203,$B153,对接源_01水果!$D$4:$D$1203,"其他代存*",对接源_01水果!$L$4:$L$1203,"已收讫")+SUMIFS(对接源_01水果!$K$4:$K$1203,对接源_01水果!$C$4:$C$1203,$B153,对接源_01水果!$D$4:$D$1203,"其他代存*",对接源_01水果!$L$4:$L$1203,"已付款")+SUMIFS(对接源_02物料!$K$4:$K$1203,对接源_02物料!$C$4:$C$1203,$B153,对接源_02物料!$D$4:$D$1203,"包装物料*",对接源_02物料!$L$4:$L$1203,"已收讫")+SUMIFS(对接源_02物料!$K$4:$K$1203,对接源_02物料!$C$4:$C$1203,$B153,对接源_02物料!$D$4:$D$1203,"包装物料*",对接源_02物料!$L$4:$L$1203,"已付款")+SUMIFS(对接源_02物料!$K$4:$K$1203,对接源_02物料!$C$4:$C$1203,$B153,对接源_02物料!$D$4:$D$1203,"周转筐*",对接源_02物料!$L$4:$L$1203,"已收讫")+SUMIFS(对接源_02物料!$K$4:$K$1203,对接源_02物料!$C$4:$C$1203,$B153,对接源_02物料!$D$4:$D$1203,"周转筐*",对接源_02物料!$L$4:$L$1203,"已付款")+SUMIFS(对接源_02物料!$K$4:$K$1203,对接源_02物料!$C$4:$C$1203,$B153,对接源_02物料!$D$4:$D$1203,"次果筐*",对接源_02物料!$L$4:$L$1203,"已收讫")+SUMIFS(对接源_02物料!$K$4:$K$1203,对接源_02物料!$C$4:$C$1203,$B153,对接源_02物料!$D$4:$D$1203,"次果筐*",对接源_02物料!$L$4:$L$1203,"已付款"),2))</f>
      </c>
      <c r="J153" s="177">
        <f>IF($B153="","",ROUND(N($H153)-N($I153),2))</f>
      </c>
      <c r="K153" s="16">
        <f>IF($B153="","",IF(ROUND(N($J153),2)&gt;0,"对方欠款",IF(ROUND(N($J153),2)&lt;0,"我方欠款","已两清")))</f>
      </c>
      <c r="L153" s="26" t="n"/>
    </row>
    <row r="154" s="127">
      <c r="A154" s="16">
        <f>IF($B154="","",ROW()-3)</f>
      </c>
      <c r="B154" s="11">
        <f>IFERROR(INDEX(_自动清单!$E$4:$E$303,ROW()-3),"")</f>
      </c>
      <c r="C154" s="177">
        <f>IF($B154="","",ROUND(SUMIFS(对接源_01水果!$K$4:$K$1203,对接源_01水果!$C$4:$C$1203,$B154,对接源_01水果!$D$4:$D$1203,"成品出库*"),2))</f>
      </c>
      <c r="D154" s="177">
        <f>IF($B154="","",ROUND(SUMIFS(对接源_01水果!$K$4:$K$1203,对接源_01水果!$C$4:$C$1203,$B154,对接源_01水果!$D$4:$D$1203,"其他代存*"),2))</f>
      </c>
      <c r="E154" s="177">
        <f>IF($B154="","",ROUND(SUMIFS(对接源_02物料!$K$4:$K$1203,对接源_02物料!$C$4:$C$1203,$B154,对接源_02物料!$D$4:$D$1203,"包装物料*"),2))</f>
      </c>
      <c r="F154" s="177">
        <f>IF($B154="","",ROUND(SUMIFS(对接源_02物料!$K$4:$K$1203,对接源_02物料!$C$4:$C$1203,$B154,对接源_02物料!$D$4:$D$1203,"周转筐*"),2))</f>
      </c>
      <c r="G154" s="177">
        <f>IF($B154="","",ROUND(SUMIFS(对接源_02物料!$K$4:$K$1203,对接源_02物料!$C$4:$C$1203,$B154,对接源_02物料!$D$4:$D$1203,"次果筐*"),2))</f>
      </c>
      <c r="H154" s="177">
        <f>IF($B154="","",ROUND(SUM($C154:$G154),2))</f>
      </c>
      <c r="I154" s="177">
        <f>IF($B154="","",ROUND(SUMIFS(对接源_01水果!$K$4:$K$1203,对接源_01水果!$C$4:$C$1203,$B154,对接源_01水果!$D$4:$D$1203,"成品出库*",对接源_01水果!$L$4:$L$1203,"已收讫")+SUMIFS(对接源_01水果!$K$4:$K$1203,对接源_01水果!$C$4:$C$1203,$B154,对接源_01水果!$D$4:$D$1203,"成品出库*",对接源_01水果!$L$4:$L$1203,"已付款")+SUMIFS(对接源_01水果!$K$4:$K$1203,对接源_01水果!$C$4:$C$1203,$B154,对接源_01水果!$D$4:$D$1203,"其他代存*",对接源_01水果!$L$4:$L$1203,"已收讫")+SUMIFS(对接源_01水果!$K$4:$K$1203,对接源_01水果!$C$4:$C$1203,$B154,对接源_01水果!$D$4:$D$1203,"其他代存*",对接源_01水果!$L$4:$L$1203,"已付款")+SUMIFS(对接源_02物料!$K$4:$K$1203,对接源_02物料!$C$4:$C$1203,$B154,对接源_02物料!$D$4:$D$1203,"包装物料*",对接源_02物料!$L$4:$L$1203,"已收讫")+SUMIFS(对接源_02物料!$K$4:$K$1203,对接源_02物料!$C$4:$C$1203,$B154,对接源_02物料!$D$4:$D$1203,"包装物料*",对接源_02物料!$L$4:$L$1203,"已付款")+SUMIFS(对接源_02物料!$K$4:$K$1203,对接源_02物料!$C$4:$C$1203,$B154,对接源_02物料!$D$4:$D$1203,"周转筐*",对接源_02物料!$L$4:$L$1203,"已收讫")+SUMIFS(对接源_02物料!$K$4:$K$1203,对接源_02物料!$C$4:$C$1203,$B154,对接源_02物料!$D$4:$D$1203,"周转筐*",对接源_02物料!$L$4:$L$1203,"已付款")+SUMIFS(对接源_02物料!$K$4:$K$1203,对接源_02物料!$C$4:$C$1203,$B154,对接源_02物料!$D$4:$D$1203,"次果筐*",对接源_02物料!$L$4:$L$1203,"已收讫")+SUMIFS(对接源_02物料!$K$4:$K$1203,对接源_02物料!$C$4:$C$1203,$B154,对接源_02物料!$D$4:$D$1203,"次果筐*",对接源_02物料!$L$4:$L$1203,"已付款"),2))</f>
      </c>
      <c r="J154" s="177">
        <f>IF($B154="","",ROUND(N($H154)-N($I154),2))</f>
      </c>
      <c r="K154" s="16">
        <f>IF($B154="","",IF(ROUND(N($J154),2)&gt;0,"对方欠款",IF(ROUND(N($J154),2)&lt;0,"我方欠款","已两清")))</f>
      </c>
      <c r="L154" s="26" t="n"/>
    </row>
    <row r="155" s="127">
      <c r="A155" s="16">
        <f>IF($B155="","",ROW()-3)</f>
      </c>
      <c r="B155" s="11">
        <f>IFERROR(INDEX(_自动清单!$E$4:$E$303,ROW()-3),"")</f>
      </c>
      <c r="C155" s="177">
        <f>IF($B155="","",ROUND(SUMIFS(对接源_01水果!$K$4:$K$1203,对接源_01水果!$C$4:$C$1203,$B155,对接源_01水果!$D$4:$D$1203,"成品出库*"),2))</f>
      </c>
      <c r="D155" s="177">
        <f>IF($B155="","",ROUND(SUMIFS(对接源_01水果!$K$4:$K$1203,对接源_01水果!$C$4:$C$1203,$B155,对接源_01水果!$D$4:$D$1203,"其他代存*"),2))</f>
      </c>
      <c r="E155" s="177">
        <f>IF($B155="","",ROUND(SUMIFS(对接源_02物料!$K$4:$K$1203,对接源_02物料!$C$4:$C$1203,$B155,对接源_02物料!$D$4:$D$1203,"包装物料*"),2))</f>
      </c>
      <c r="F155" s="177">
        <f>IF($B155="","",ROUND(SUMIFS(对接源_02物料!$K$4:$K$1203,对接源_02物料!$C$4:$C$1203,$B155,对接源_02物料!$D$4:$D$1203,"周转筐*"),2))</f>
      </c>
      <c r="G155" s="177">
        <f>IF($B155="","",ROUND(SUMIFS(对接源_02物料!$K$4:$K$1203,对接源_02物料!$C$4:$C$1203,$B155,对接源_02物料!$D$4:$D$1203,"次果筐*"),2))</f>
      </c>
      <c r="H155" s="177">
        <f>IF($B155="","",ROUND(SUM($C155:$G155),2))</f>
      </c>
      <c r="I155" s="177">
        <f>IF($B155="","",ROUND(SUMIFS(对接源_01水果!$K$4:$K$1203,对接源_01水果!$C$4:$C$1203,$B155,对接源_01水果!$D$4:$D$1203,"成品出库*",对接源_01水果!$L$4:$L$1203,"已收讫")+SUMIFS(对接源_01水果!$K$4:$K$1203,对接源_01水果!$C$4:$C$1203,$B155,对接源_01水果!$D$4:$D$1203,"成品出库*",对接源_01水果!$L$4:$L$1203,"已付款")+SUMIFS(对接源_01水果!$K$4:$K$1203,对接源_01水果!$C$4:$C$1203,$B155,对接源_01水果!$D$4:$D$1203,"其他代存*",对接源_01水果!$L$4:$L$1203,"已收讫")+SUMIFS(对接源_01水果!$K$4:$K$1203,对接源_01水果!$C$4:$C$1203,$B155,对接源_01水果!$D$4:$D$1203,"其他代存*",对接源_01水果!$L$4:$L$1203,"已付款")+SUMIFS(对接源_02物料!$K$4:$K$1203,对接源_02物料!$C$4:$C$1203,$B155,对接源_02物料!$D$4:$D$1203,"包装物料*",对接源_02物料!$L$4:$L$1203,"已收讫")+SUMIFS(对接源_02物料!$K$4:$K$1203,对接源_02物料!$C$4:$C$1203,$B155,对接源_02物料!$D$4:$D$1203,"包装物料*",对接源_02物料!$L$4:$L$1203,"已付款")+SUMIFS(对接源_02物料!$K$4:$K$1203,对接源_02物料!$C$4:$C$1203,$B155,对接源_02物料!$D$4:$D$1203,"周转筐*",对接源_02物料!$L$4:$L$1203,"已收讫")+SUMIFS(对接源_02物料!$K$4:$K$1203,对接源_02物料!$C$4:$C$1203,$B155,对接源_02物料!$D$4:$D$1203,"周转筐*",对接源_02物料!$L$4:$L$1203,"已付款")+SUMIFS(对接源_02物料!$K$4:$K$1203,对接源_02物料!$C$4:$C$1203,$B155,对接源_02物料!$D$4:$D$1203,"次果筐*",对接源_02物料!$L$4:$L$1203,"已收讫")+SUMIFS(对接源_02物料!$K$4:$K$1203,对接源_02物料!$C$4:$C$1203,$B155,对接源_02物料!$D$4:$D$1203,"次果筐*",对接源_02物料!$L$4:$L$1203,"已付款"),2))</f>
      </c>
      <c r="J155" s="177">
        <f>IF($B155="","",ROUND(N($H155)-N($I155),2))</f>
      </c>
      <c r="K155" s="16">
        <f>IF($B155="","",IF(ROUND(N($J155),2)&gt;0,"对方欠款",IF(ROUND(N($J155),2)&lt;0,"我方欠款","已两清")))</f>
      </c>
      <c r="L155" s="26" t="n"/>
    </row>
    <row r="156" s="127">
      <c r="A156" s="16">
        <f>IF($B156="","",ROW()-3)</f>
      </c>
      <c r="B156" s="11">
        <f>IFERROR(INDEX(_自动清单!$E$4:$E$303,ROW()-3),"")</f>
      </c>
      <c r="C156" s="177">
        <f>IF($B156="","",ROUND(SUMIFS(对接源_01水果!$K$4:$K$1203,对接源_01水果!$C$4:$C$1203,$B156,对接源_01水果!$D$4:$D$1203,"成品出库*"),2))</f>
      </c>
      <c r="D156" s="177">
        <f>IF($B156="","",ROUND(SUMIFS(对接源_01水果!$K$4:$K$1203,对接源_01水果!$C$4:$C$1203,$B156,对接源_01水果!$D$4:$D$1203,"其他代存*"),2))</f>
      </c>
      <c r="E156" s="177">
        <f>IF($B156="","",ROUND(SUMIFS(对接源_02物料!$K$4:$K$1203,对接源_02物料!$C$4:$C$1203,$B156,对接源_02物料!$D$4:$D$1203,"包装物料*"),2))</f>
      </c>
      <c r="F156" s="177">
        <f>IF($B156="","",ROUND(SUMIFS(对接源_02物料!$K$4:$K$1203,对接源_02物料!$C$4:$C$1203,$B156,对接源_02物料!$D$4:$D$1203,"周转筐*"),2))</f>
      </c>
      <c r="G156" s="177">
        <f>IF($B156="","",ROUND(SUMIFS(对接源_02物料!$K$4:$K$1203,对接源_02物料!$C$4:$C$1203,$B156,对接源_02物料!$D$4:$D$1203,"次果筐*"),2))</f>
      </c>
      <c r="H156" s="177">
        <f>IF($B156="","",ROUND(SUM($C156:$G156),2))</f>
      </c>
      <c r="I156" s="177">
        <f>IF($B156="","",ROUND(SUMIFS(对接源_01水果!$K$4:$K$1203,对接源_01水果!$C$4:$C$1203,$B156,对接源_01水果!$D$4:$D$1203,"成品出库*",对接源_01水果!$L$4:$L$1203,"已收讫")+SUMIFS(对接源_01水果!$K$4:$K$1203,对接源_01水果!$C$4:$C$1203,$B156,对接源_01水果!$D$4:$D$1203,"成品出库*",对接源_01水果!$L$4:$L$1203,"已付款")+SUMIFS(对接源_01水果!$K$4:$K$1203,对接源_01水果!$C$4:$C$1203,$B156,对接源_01水果!$D$4:$D$1203,"其他代存*",对接源_01水果!$L$4:$L$1203,"已收讫")+SUMIFS(对接源_01水果!$K$4:$K$1203,对接源_01水果!$C$4:$C$1203,$B156,对接源_01水果!$D$4:$D$1203,"其他代存*",对接源_01水果!$L$4:$L$1203,"已付款")+SUMIFS(对接源_02物料!$K$4:$K$1203,对接源_02物料!$C$4:$C$1203,$B156,对接源_02物料!$D$4:$D$1203,"包装物料*",对接源_02物料!$L$4:$L$1203,"已收讫")+SUMIFS(对接源_02物料!$K$4:$K$1203,对接源_02物料!$C$4:$C$1203,$B156,对接源_02物料!$D$4:$D$1203,"包装物料*",对接源_02物料!$L$4:$L$1203,"已付款")+SUMIFS(对接源_02物料!$K$4:$K$1203,对接源_02物料!$C$4:$C$1203,$B156,对接源_02物料!$D$4:$D$1203,"周转筐*",对接源_02物料!$L$4:$L$1203,"已收讫")+SUMIFS(对接源_02物料!$K$4:$K$1203,对接源_02物料!$C$4:$C$1203,$B156,对接源_02物料!$D$4:$D$1203,"周转筐*",对接源_02物料!$L$4:$L$1203,"已付款")+SUMIFS(对接源_02物料!$K$4:$K$1203,对接源_02物料!$C$4:$C$1203,$B156,对接源_02物料!$D$4:$D$1203,"次果筐*",对接源_02物料!$L$4:$L$1203,"已收讫")+SUMIFS(对接源_02物料!$K$4:$K$1203,对接源_02物料!$C$4:$C$1203,$B156,对接源_02物料!$D$4:$D$1203,"次果筐*",对接源_02物料!$L$4:$L$1203,"已付款"),2))</f>
      </c>
      <c r="J156" s="177">
        <f>IF($B156="","",ROUND(N($H156)-N($I156),2))</f>
      </c>
      <c r="K156" s="16">
        <f>IF($B156="","",IF(ROUND(N($J156),2)&gt;0,"对方欠款",IF(ROUND(N($J156),2)&lt;0,"我方欠款","已两清")))</f>
      </c>
      <c r="L156" s="26" t="n"/>
    </row>
    <row r="157" s="127">
      <c r="A157" s="16">
        <f>IF($B157="","",ROW()-3)</f>
      </c>
      <c r="B157" s="11">
        <f>IFERROR(INDEX(_自动清单!$E$4:$E$303,ROW()-3),"")</f>
      </c>
      <c r="C157" s="177">
        <f>IF($B157="","",ROUND(SUMIFS(对接源_01水果!$K$4:$K$1203,对接源_01水果!$C$4:$C$1203,$B157,对接源_01水果!$D$4:$D$1203,"成品出库*"),2))</f>
      </c>
      <c r="D157" s="177">
        <f>IF($B157="","",ROUND(SUMIFS(对接源_01水果!$K$4:$K$1203,对接源_01水果!$C$4:$C$1203,$B157,对接源_01水果!$D$4:$D$1203,"其他代存*"),2))</f>
      </c>
      <c r="E157" s="177">
        <f>IF($B157="","",ROUND(SUMIFS(对接源_02物料!$K$4:$K$1203,对接源_02物料!$C$4:$C$1203,$B157,对接源_02物料!$D$4:$D$1203,"包装物料*"),2))</f>
      </c>
      <c r="F157" s="177">
        <f>IF($B157="","",ROUND(SUMIFS(对接源_02物料!$K$4:$K$1203,对接源_02物料!$C$4:$C$1203,$B157,对接源_02物料!$D$4:$D$1203,"周转筐*"),2))</f>
      </c>
      <c r="G157" s="177">
        <f>IF($B157="","",ROUND(SUMIFS(对接源_02物料!$K$4:$K$1203,对接源_02物料!$C$4:$C$1203,$B157,对接源_02物料!$D$4:$D$1203,"次果筐*"),2))</f>
      </c>
      <c r="H157" s="177">
        <f>IF($B157="","",ROUND(SUM($C157:$G157),2))</f>
      </c>
      <c r="I157" s="177">
        <f>IF($B157="","",ROUND(SUMIFS(对接源_01水果!$K$4:$K$1203,对接源_01水果!$C$4:$C$1203,$B157,对接源_01水果!$D$4:$D$1203,"成品出库*",对接源_01水果!$L$4:$L$1203,"已收讫")+SUMIFS(对接源_01水果!$K$4:$K$1203,对接源_01水果!$C$4:$C$1203,$B157,对接源_01水果!$D$4:$D$1203,"成品出库*",对接源_01水果!$L$4:$L$1203,"已付款")+SUMIFS(对接源_01水果!$K$4:$K$1203,对接源_01水果!$C$4:$C$1203,$B157,对接源_01水果!$D$4:$D$1203,"其他代存*",对接源_01水果!$L$4:$L$1203,"已收讫")+SUMIFS(对接源_01水果!$K$4:$K$1203,对接源_01水果!$C$4:$C$1203,$B157,对接源_01水果!$D$4:$D$1203,"其他代存*",对接源_01水果!$L$4:$L$1203,"已付款")+SUMIFS(对接源_02物料!$K$4:$K$1203,对接源_02物料!$C$4:$C$1203,$B157,对接源_02物料!$D$4:$D$1203,"包装物料*",对接源_02物料!$L$4:$L$1203,"已收讫")+SUMIFS(对接源_02物料!$K$4:$K$1203,对接源_02物料!$C$4:$C$1203,$B157,对接源_02物料!$D$4:$D$1203,"包装物料*",对接源_02物料!$L$4:$L$1203,"已付款")+SUMIFS(对接源_02物料!$K$4:$K$1203,对接源_02物料!$C$4:$C$1203,$B157,对接源_02物料!$D$4:$D$1203,"周转筐*",对接源_02物料!$L$4:$L$1203,"已收讫")+SUMIFS(对接源_02物料!$K$4:$K$1203,对接源_02物料!$C$4:$C$1203,$B157,对接源_02物料!$D$4:$D$1203,"周转筐*",对接源_02物料!$L$4:$L$1203,"已付款")+SUMIFS(对接源_02物料!$K$4:$K$1203,对接源_02物料!$C$4:$C$1203,$B157,对接源_02物料!$D$4:$D$1203,"次果筐*",对接源_02物料!$L$4:$L$1203,"已收讫")+SUMIFS(对接源_02物料!$K$4:$K$1203,对接源_02物料!$C$4:$C$1203,$B157,对接源_02物料!$D$4:$D$1203,"次果筐*",对接源_02物料!$L$4:$L$1203,"已付款"),2))</f>
      </c>
      <c r="J157" s="177">
        <f>IF($B157="","",ROUND(N($H157)-N($I157),2))</f>
      </c>
      <c r="K157" s="16">
        <f>IF($B157="","",IF(ROUND(N($J157),2)&gt;0,"对方欠款",IF(ROUND(N($J157),2)&lt;0,"我方欠款","已两清")))</f>
      </c>
      <c r="L157" s="26" t="n"/>
    </row>
    <row r="158" s="127">
      <c r="A158" s="16">
        <f>IF($B158="","",ROW()-3)</f>
      </c>
      <c r="B158" s="11">
        <f>IFERROR(INDEX(_自动清单!$E$4:$E$303,ROW()-3),"")</f>
      </c>
      <c r="C158" s="177">
        <f>IF($B158="","",ROUND(SUMIFS(对接源_01水果!$K$4:$K$1203,对接源_01水果!$C$4:$C$1203,$B158,对接源_01水果!$D$4:$D$1203,"成品出库*"),2))</f>
      </c>
      <c r="D158" s="177">
        <f>IF($B158="","",ROUND(SUMIFS(对接源_01水果!$K$4:$K$1203,对接源_01水果!$C$4:$C$1203,$B158,对接源_01水果!$D$4:$D$1203,"其他代存*"),2))</f>
      </c>
      <c r="E158" s="177">
        <f>IF($B158="","",ROUND(SUMIFS(对接源_02物料!$K$4:$K$1203,对接源_02物料!$C$4:$C$1203,$B158,对接源_02物料!$D$4:$D$1203,"包装物料*"),2))</f>
      </c>
      <c r="F158" s="177">
        <f>IF($B158="","",ROUND(SUMIFS(对接源_02物料!$K$4:$K$1203,对接源_02物料!$C$4:$C$1203,$B158,对接源_02物料!$D$4:$D$1203,"周转筐*"),2))</f>
      </c>
      <c r="G158" s="177">
        <f>IF($B158="","",ROUND(SUMIFS(对接源_02物料!$K$4:$K$1203,对接源_02物料!$C$4:$C$1203,$B158,对接源_02物料!$D$4:$D$1203,"次果筐*"),2))</f>
      </c>
      <c r="H158" s="177">
        <f>IF($B158="","",ROUND(SUM($C158:$G158),2))</f>
      </c>
      <c r="I158" s="177">
        <f>IF($B158="","",ROUND(SUMIFS(对接源_01水果!$K$4:$K$1203,对接源_01水果!$C$4:$C$1203,$B158,对接源_01水果!$D$4:$D$1203,"成品出库*",对接源_01水果!$L$4:$L$1203,"已收讫")+SUMIFS(对接源_01水果!$K$4:$K$1203,对接源_01水果!$C$4:$C$1203,$B158,对接源_01水果!$D$4:$D$1203,"成品出库*",对接源_01水果!$L$4:$L$1203,"已付款")+SUMIFS(对接源_01水果!$K$4:$K$1203,对接源_01水果!$C$4:$C$1203,$B158,对接源_01水果!$D$4:$D$1203,"其他代存*",对接源_01水果!$L$4:$L$1203,"已收讫")+SUMIFS(对接源_01水果!$K$4:$K$1203,对接源_01水果!$C$4:$C$1203,$B158,对接源_01水果!$D$4:$D$1203,"其他代存*",对接源_01水果!$L$4:$L$1203,"已付款")+SUMIFS(对接源_02物料!$K$4:$K$1203,对接源_02物料!$C$4:$C$1203,$B158,对接源_02物料!$D$4:$D$1203,"包装物料*",对接源_02物料!$L$4:$L$1203,"已收讫")+SUMIFS(对接源_02物料!$K$4:$K$1203,对接源_02物料!$C$4:$C$1203,$B158,对接源_02物料!$D$4:$D$1203,"包装物料*",对接源_02物料!$L$4:$L$1203,"已付款")+SUMIFS(对接源_02物料!$K$4:$K$1203,对接源_02物料!$C$4:$C$1203,$B158,对接源_02物料!$D$4:$D$1203,"周转筐*",对接源_02物料!$L$4:$L$1203,"已收讫")+SUMIFS(对接源_02物料!$K$4:$K$1203,对接源_02物料!$C$4:$C$1203,$B158,对接源_02物料!$D$4:$D$1203,"周转筐*",对接源_02物料!$L$4:$L$1203,"已付款")+SUMIFS(对接源_02物料!$K$4:$K$1203,对接源_02物料!$C$4:$C$1203,$B158,对接源_02物料!$D$4:$D$1203,"次果筐*",对接源_02物料!$L$4:$L$1203,"已收讫")+SUMIFS(对接源_02物料!$K$4:$K$1203,对接源_02物料!$C$4:$C$1203,$B158,对接源_02物料!$D$4:$D$1203,"次果筐*",对接源_02物料!$L$4:$L$1203,"已付款"),2))</f>
      </c>
      <c r="J158" s="177">
        <f>IF($B158="","",ROUND(N($H158)-N($I158),2))</f>
      </c>
      <c r="K158" s="16">
        <f>IF($B158="","",IF(ROUND(N($J158),2)&gt;0,"对方欠款",IF(ROUND(N($J158),2)&lt;0,"我方欠款","已两清")))</f>
      </c>
      <c r="L158" s="26" t="n"/>
    </row>
    <row r="159" s="127">
      <c r="A159" s="16">
        <f>IF($B159="","",ROW()-3)</f>
      </c>
      <c r="B159" s="11">
        <f>IFERROR(INDEX(_自动清单!$E$4:$E$303,ROW()-3),"")</f>
      </c>
      <c r="C159" s="177">
        <f>IF($B159="","",ROUND(SUMIFS(对接源_01水果!$K$4:$K$1203,对接源_01水果!$C$4:$C$1203,$B159,对接源_01水果!$D$4:$D$1203,"成品出库*"),2))</f>
      </c>
      <c r="D159" s="177">
        <f>IF($B159="","",ROUND(SUMIFS(对接源_01水果!$K$4:$K$1203,对接源_01水果!$C$4:$C$1203,$B159,对接源_01水果!$D$4:$D$1203,"其他代存*"),2))</f>
      </c>
      <c r="E159" s="177">
        <f>IF($B159="","",ROUND(SUMIFS(对接源_02物料!$K$4:$K$1203,对接源_02物料!$C$4:$C$1203,$B159,对接源_02物料!$D$4:$D$1203,"包装物料*"),2))</f>
      </c>
      <c r="F159" s="177">
        <f>IF($B159="","",ROUND(SUMIFS(对接源_02物料!$K$4:$K$1203,对接源_02物料!$C$4:$C$1203,$B159,对接源_02物料!$D$4:$D$1203,"周转筐*"),2))</f>
      </c>
      <c r="G159" s="177">
        <f>IF($B159="","",ROUND(SUMIFS(对接源_02物料!$K$4:$K$1203,对接源_02物料!$C$4:$C$1203,$B159,对接源_02物料!$D$4:$D$1203,"次果筐*"),2))</f>
      </c>
      <c r="H159" s="177">
        <f>IF($B159="","",ROUND(SUM($C159:$G159),2))</f>
      </c>
      <c r="I159" s="177">
        <f>IF($B159="","",ROUND(SUMIFS(对接源_01水果!$K$4:$K$1203,对接源_01水果!$C$4:$C$1203,$B159,对接源_01水果!$D$4:$D$1203,"成品出库*",对接源_01水果!$L$4:$L$1203,"已收讫")+SUMIFS(对接源_01水果!$K$4:$K$1203,对接源_01水果!$C$4:$C$1203,$B159,对接源_01水果!$D$4:$D$1203,"成品出库*",对接源_01水果!$L$4:$L$1203,"已付款")+SUMIFS(对接源_01水果!$K$4:$K$1203,对接源_01水果!$C$4:$C$1203,$B159,对接源_01水果!$D$4:$D$1203,"其他代存*",对接源_01水果!$L$4:$L$1203,"已收讫")+SUMIFS(对接源_01水果!$K$4:$K$1203,对接源_01水果!$C$4:$C$1203,$B159,对接源_01水果!$D$4:$D$1203,"其他代存*",对接源_01水果!$L$4:$L$1203,"已付款")+SUMIFS(对接源_02物料!$K$4:$K$1203,对接源_02物料!$C$4:$C$1203,$B159,对接源_02物料!$D$4:$D$1203,"包装物料*",对接源_02物料!$L$4:$L$1203,"已收讫")+SUMIFS(对接源_02物料!$K$4:$K$1203,对接源_02物料!$C$4:$C$1203,$B159,对接源_02物料!$D$4:$D$1203,"包装物料*",对接源_02物料!$L$4:$L$1203,"已付款")+SUMIFS(对接源_02物料!$K$4:$K$1203,对接源_02物料!$C$4:$C$1203,$B159,对接源_02物料!$D$4:$D$1203,"周转筐*",对接源_02物料!$L$4:$L$1203,"已收讫")+SUMIFS(对接源_02物料!$K$4:$K$1203,对接源_02物料!$C$4:$C$1203,$B159,对接源_02物料!$D$4:$D$1203,"周转筐*",对接源_02物料!$L$4:$L$1203,"已付款")+SUMIFS(对接源_02物料!$K$4:$K$1203,对接源_02物料!$C$4:$C$1203,$B159,对接源_02物料!$D$4:$D$1203,"次果筐*",对接源_02物料!$L$4:$L$1203,"已收讫")+SUMIFS(对接源_02物料!$K$4:$K$1203,对接源_02物料!$C$4:$C$1203,$B159,对接源_02物料!$D$4:$D$1203,"次果筐*",对接源_02物料!$L$4:$L$1203,"已付款"),2))</f>
      </c>
      <c r="J159" s="177">
        <f>IF($B159="","",ROUND(N($H159)-N($I159),2))</f>
      </c>
      <c r="K159" s="16">
        <f>IF($B159="","",IF(ROUND(N($J159),2)&gt;0,"对方欠款",IF(ROUND(N($J159),2)&lt;0,"我方欠款","已两清")))</f>
      </c>
      <c r="L159" s="26" t="n"/>
    </row>
    <row r="160" s="127">
      <c r="A160" s="16">
        <f>IF($B160="","",ROW()-3)</f>
      </c>
      <c r="B160" s="11">
        <f>IFERROR(INDEX(_自动清单!$E$4:$E$303,ROW()-3),"")</f>
      </c>
      <c r="C160" s="177">
        <f>IF($B160="","",ROUND(SUMIFS(对接源_01水果!$K$4:$K$1203,对接源_01水果!$C$4:$C$1203,$B160,对接源_01水果!$D$4:$D$1203,"成品出库*"),2))</f>
      </c>
      <c r="D160" s="177">
        <f>IF($B160="","",ROUND(SUMIFS(对接源_01水果!$K$4:$K$1203,对接源_01水果!$C$4:$C$1203,$B160,对接源_01水果!$D$4:$D$1203,"其他代存*"),2))</f>
      </c>
      <c r="E160" s="177">
        <f>IF($B160="","",ROUND(SUMIFS(对接源_02物料!$K$4:$K$1203,对接源_02物料!$C$4:$C$1203,$B160,对接源_02物料!$D$4:$D$1203,"包装物料*"),2))</f>
      </c>
      <c r="F160" s="177">
        <f>IF($B160="","",ROUND(SUMIFS(对接源_02物料!$K$4:$K$1203,对接源_02物料!$C$4:$C$1203,$B160,对接源_02物料!$D$4:$D$1203,"周转筐*"),2))</f>
      </c>
      <c r="G160" s="177">
        <f>IF($B160="","",ROUND(SUMIFS(对接源_02物料!$K$4:$K$1203,对接源_02物料!$C$4:$C$1203,$B160,对接源_02物料!$D$4:$D$1203,"次果筐*"),2))</f>
      </c>
      <c r="H160" s="177">
        <f>IF($B160="","",ROUND(SUM($C160:$G160),2))</f>
      </c>
      <c r="I160" s="177">
        <f>IF($B160="","",ROUND(SUMIFS(对接源_01水果!$K$4:$K$1203,对接源_01水果!$C$4:$C$1203,$B160,对接源_01水果!$D$4:$D$1203,"成品出库*",对接源_01水果!$L$4:$L$1203,"已收讫")+SUMIFS(对接源_01水果!$K$4:$K$1203,对接源_01水果!$C$4:$C$1203,$B160,对接源_01水果!$D$4:$D$1203,"成品出库*",对接源_01水果!$L$4:$L$1203,"已付款")+SUMIFS(对接源_01水果!$K$4:$K$1203,对接源_01水果!$C$4:$C$1203,$B160,对接源_01水果!$D$4:$D$1203,"其他代存*",对接源_01水果!$L$4:$L$1203,"已收讫")+SUMIFS(对接源_01水果!$K$4:$K$1203,对接源_01水果!$C$4:$C$1203,$B160,对接源_01水果!$D$4:$D$1203,"其他代存*",对接源_01水果!$L$4:$L$1203,"已付款")+SUMIFS(对接源_02物料!$K$4:$K$1203,对接源_02物料!$C$4:$C$1203,$B160,对接源_02物料!$D$4:$D$1203,"包装物料*",对接源_02物料!$L$4:$L$1203,"已收讫")+SUMIFS(对接源_02物料!$K$4:$K$1203,对接源_02物料!$C$4:$C$1203,$B160,对接源_02物料!$D$4:$D$1203,"包装物料*",对接源_02物料!$L$4:$L$1203,"已付款")+SUMIFS(对接源_02物料!$K$4:$K$1203,对接源_02物料!$C$4:$C$1203,$B160,对接源_02物料!$D$4:$D$1203,"周转筐*",对接源_02物料!$L$4:$L$1203,"已收讫")+SUMIFS(对接源_02物料!$K$4:$K$1203,对接源_02物料!$C$4:$C$1203,$B160,对接源_02物料!$D$4:$D$1203,"周转筐*",对接源_02物料!$L$4:$L$1203,"已付款")+SUMIFS(对接源_02物料!$K$4:$K$1203,对接源_02物料!$C$4:$C$1203,$B160,对接源_02物料!$D$4:$D$1203,"次果筐*",对接源_02物料!$L$4:$L$1203,"已收讫")+SUMIFS(对接源_02物料!$K$4:$K$1203,对接源_02物料!$C$4:$C$1203,$B160,对接源_02物料!$D$4:$D$1203,"次果筐*",对接源_02物料!$L$4:$L$1203,"已付款"),2))</f>
      </c>
      <c r="J160" s="177">
        <f>IF($B160="","",ROUND(N($H160)-N($I160),2))</f>
      </c>
      <c r="K160" s="16">
        <f>IF($B160="","",IF(ROUND(N($J160),2)&gt;0,"对方欠款",IF(ROUND(N($J160),2)&lt;0,"我方欠款","已两清")))</f>
      </c>
      <c r="L160" s="26" t="n"/>
    </row>
    <row r="161" s="127">
      <c r="A161" s="16">
        <f>IF($B161="","",ROW()-3)</f>
      </c>
      <c r="B161" s="11">
        <f>IFERROR(INDEX(_自动清单!$E$4:$E$303,ROW()-3),"")</f>
      </c>
      <c r="C161" s="177">
        <f>IF($B161="","",ROUND(SUMIFS(对接源_01水果!$K$4:$K$1203,对接源_01水果!$C$4:$C$1203,$B161,对接源_01水果!$D$4:$D$1203,"成品出库*"),2))</f>
      </c>
      <c r="D161" s="177">
        <f>IF($B161="","",ROUND(SUMIFS(对接源_01水果!$K$4:$K$1203,对接源_01水果!$C$4:$C$1203,$B161,对接源_01水果!$D$4:$D$1203,"其他代存*"),2))</f>
      </c>
      <c r="E161" s="177">
        <f>IF($B161="","",ROUND(SUMIFS(对接源_02物料!$K$4:$K$1203,对接源_02物料!$C$4:$C$1203,$B161,对接源_02物料!$D$4:$D$1203,"包装物料*"),2))</f>
      </c>
      <c r="F161" s="177">
        <f>IF($B161="","",ROUND(SUMIFS(对接源_02物料!$K$4:$K$1203,对接源_02物料!$C$4:$C$1203,$B161,对接源_02物料!$D$4:$D$1203,"周转筐*"),2))</f>
      </c>
      <c r="G161" s="177">
        <f>IF($B161="","",ROUND(SUMIFS(对接源_02物料!$K$4:$K$1203,对接源_02物料!$C$4:$C$1203,$B161,对接源_02物料!$D$4:$D$1203,"次果筐*"),2))</f>
      </c>
      <c r="H161" s="177">
        <f>IF($B161="","",ROUND(SUM($C161:$G161),2))</f>
      </c>
      <c r="I161" s="177">
        <f>IF($B161="","",ROUND(SUMIFS(对接源_01水果!$K$4:$K$1203,对接源_01水果!$C$4:$C$1203,$B161,对接源_01水果!$D$4:$D$1203,"成品出库*",对接源_01水果!$L$4:$L$1203,"已收讫")+SUMIFS(对接源_01水果!$K$4:$K$1203,对接源_01水果!$C$4:$C$1203,$B161,对接源_01水果!$D$4:$D$1203,"成品出库*",对接源_01水果!$L$4:$L$1203,"已付款")+SUMIFS(对接源_01水果!$K$4:$K$1203,对接源_01水果!$C$4:$C$1203,$B161,对接源_01水果!$D$4:$D$1203,"其他代存*",对接源_01水果!$L$4:$L$1203,"已收讫")+SUMIFS(对接源_01水果!$K$4:$K$1203,对接源_01水果!$C$4:$C$1203,$B161,对接源_01水果!$D$4:$D$1203,"其他代存*",对接源_01水果!$L$4:$L$1203,"已付款")+SUMIFS(对接源_02物料!$K$4:$K$1203,对接源_02物料!$C$4:$C$1203,$B161,对接源_02物料!$D$4:$D$1203,"包装物料*",对接源_02物料!$L$4:$L$1203,"已收讫")+SUMIFS(对接源_02物料!$K$4:$K$1203,对接源_02物料!$C$4:$C$1203,$B161,对接源_02物料!$D$4:$D$1203,"包装物料*",对接源_02物料!$L$4:$L$1203,"已付款")+SUMIFS(对接源_02物料!$K$4:$K$1203,对接源_02物料!$C$4:$C$1203,$B161,对接源_02物料!$D$4:$D$1203,"周转筐*",对接源_02物料!$L$4:$L$1203,"已收讫")+SUMIFS(对接源_02物料!$K$4:$K$1203,对接源_02物料!$C$4:$C$1203,$B161,对接源_02物料!$D$4:$D$1203,"周转筐*",对接源_02物料!$L$4:$L$1203,"已付款")+SUMIFS(对接源_02物料!$K$4:$K$1203,对接源_02物料!$C$4:$C$1203,$B161,对接源_02物料!$D$4:$D$1203,"次果筐*",对接源_02物料!$L$4:$L$1203,"已收讫")+SUMIFS(对接源_02物料!$K$4:$K$1203,对接源_02物料!$C$4:$C$1203,$B161,对接源_02物料!$D$4:$D$1203,"次果筐*",对接源_02物料!$L$4:$L$1203,"已付款"),2))</f>
      </c>
      <c r="J161" s="177">
        <f>IF($B161="","",ROUND(N($H161)-N($I161),2))</f>
      </c>
      <c r="K161" s="16">
        <f>IF($B161="","",IF(ROUND(N($J161),2)&gt;0,"对方欠款",IF(ROUND(N($J161),2)&lt;0,"我方欠款","已两清")))</f>
      </c>
      <c r="L161" s="26" t="n"/>
    </row>
    <row r="162" s="127">
      <c r="A162" s="16">
        <f>IF($B162="","",ROW()-3)</f>
      </c>
      <c r="B162" s="11">
        <f>IFERROR(INDEX(_自动清单!$E$4:$E$303,ROW()-3),"")</f>
      </c>
      <c r="C162" s="177">
        <f>IF($B162="","",ROUND(SUMIFS(对接源_01水果!$K$4:$K$1203,对接源_01水果!$C$4:$C$1203,$B162,对接源_01水果!$D$4:$D$1203,"成品出库*"),2))</f>
      </c>
      <c r="D162" s="177">
        <f>IF($B162="","",ROUND(SUMIFS(对接源_01水果!$K$4:$K$1203,对接源_01水果!$C$4:$C$1203,$B162,对接源_01水果!$D$4:$D$1203,"其他代存*"),2))</f>
      </c>
      <c r="E162" s="177">
        <f>IF($B162="","",ROUND(SUMIFS(对接源_02物料!$K$4:$K$1203,对接源_02物料!$C$4:$C$1203,$B162,对接源_02物料!$D$4:$D$1203,"包装物料*"),2))</f>
      </c>
      <c r="F162" s="177">
        <f>IF($B162="","",ROUND(SUMIFS(对接源_02物料!$K$4:$K$1203,对接源_02物料!$C$4:$C$1203,$B162,对接源_02物料!$D$4:$D$1203,"周转筐*"),2))</f>
      </c>
      <c r="G162" s="177">
        <f>IF($B162="","",ROUND(SUMIFS(对接源_02物料!$K$4:$K$1203,对接源_02物料!$C$4:$C$1203,$B162,对接源_02物料!$D$4:$D$1203,"次果筐*"),2))</f>
      </c>
      <c r="H162" s="177">
        <f>IF($B162="","",ROUND(SUM($C162:$G162),2))</f>
      </c>
      <c r="I162" s="177">
        <f>IF($B162="","",ROUND(SUMIFS(对接源_01水果!$K$4:$K$1203,对接源_01水果!$C$4:$C$1203,$B162,对接源_01水果!$D$4:$D$1203,"成品出库*",对接源_01水果!$L$4:$L$1203,"已收讫")+SUMIFS(对接源_01水果!$K$4:$K$1203,对接源_01水果!$C$4:$C$1203,$B162,对接源_01水果!$D$4:$D$1203,"成品出库*",对接源_01水果!$L$4:$L$1203,"已付款")+SUMIFS(对接源_01水果!$K$4:$K$1203,对接源_01水果!$C$4:$C$1203,$B162,对接源_01水果!$D$4:$D$1203,"其他代存*",对接源_01水果!$L$4:$L$1203,"已收讫")+SUMIFS(对接源_01水果!$K$4:$K$1203,对接源_01水果!$C$4:$C$1203,$B162,对接源_01水果!$D$4:$D$1203,"其他代存*",对接源_01水果!$L$4:$L$1203,"已付款")+SUMIFS(对接源_02物料!$K$4:$K$1203,对接源_02物料!$C$4:$C$1203,$B162,对接源_02物料!$D$4:$D$1203,"包装物料*",对接源_02物料!$L$4:$L$1203,"已收讫")+SUMIFS(对接源_02物料!$K$4:$K$1203,对接源_02物料!$C$4:$C$1203,$B162,对接源_02物料!$D$4:$D$1203,"包装物料*",对接源_02物料!$L$4:$L$1203,"已付款")+SUMIFS(对接源_02物料!$K$4:$K$1203,对接源_02物料!$C$4:$C$1203,$B162,对接源_02物料!$D$4:$D$1203,"周转筐*",对接源_02物料!$L$4:$L$1203,"已收讫")+SUMIFS(对接源_02物料!$K$4:$K$1203,对接源_02物料!$C$4:$C$1203,$B162,对接源_02物料!$D$4:$D$1203,"周转筐*",对接源_02物料!$L$4:$L$1203,"已付款")+SUMIFS(对接源_02物料!$K$4:$K$1203,对接源_02物料!$C$4:$C$1203,$B162,对接源_02物料!$D$4:$D$1203,"次果筐*",对接源_02物料!$L$4:$L$1203,"已收讫")+SUMIFS(对接源_02物料!$K$4:$K$1203,对接源_02物料!$C$4:$C$1203,$B162,对接源_02物料!$D$4:$D$1203,"次果筐*",对接源_02物料!$L$4:$L$1203,"已付款"),2))</f>
      </c>
      <c r="J162" s="177">
        <f>IF($B162="","",ROUND(N($H162)-N($I162),2))</f>
      </c>
      <c r="K162" s="16">
        <f>IF($B162="","",IF(ROUND(N($J162),2)&gt;0,"对方欠款",IF(ROUND(N($J162),2)&lt;0,"我方欠款","已两清")))</f>
      </c>
      <c r="L162" s="26" t="n"/>
    </row>
    <row r="163" s="127">
      <c r="A163" s="16">
        <f>IF($B163="","",ROW()-3)</f>
      </c>
      <c r="B163" s="11">
        <f>IFERROR(INDEX(_自动清单!$E$4:$E$303,ROW()-3),"")</f>
      </c>
      <c r="C163" s="177">
        <f>IF($B163="","",ROUND(SUMIFS(对接源_01水果!$K$4:$K$1203,对接源_01水果!$C$4:$C$1203,$B163,对接源_01水果!$D$4:$D$1203,"成品出库*"),2))</f>
      </c>
      <c r="D163" s="177">
        <f>IF($B163="","",ROUND(SUMIFS(对接源_01水果!$K$4:$K$1203,对接源_01水果!$C$4:$C$1203,$B163,对接源_01水果!$D$4:$D$1203,"其他代存*"),2))</f>
      </c>
      <c r="E163" s="177">
        <f>IF($B163="","",ROUND(SUMIFS(对接源_02物料!$K$4:$K$1203,对接源_02物料!$C$4:$C$1203,$B163,对接源_02物料!$D$4:$D$1203,"包装物料*"),2))</f>
      </c>
      <c r="F163" s="177">
        <f>IF($B163="","",ROUND(SUMIFS(对接源_02物料!$K$4:$K$1203,对接源_02物料!$C$4:$C$1203,$B163,对接源_02物料!$D$4:$D$1203,"周转筐*"),2))</f>
      </c>
      <c r="G163" s="177">
        <f>IF($B163="","",ROUND(SUMIFS(对接源_02物料!$K$4:$K$1203,对接源_02物料!$C$4:$C$1203,$B163,对接源_02物料!$D$4:$D$1203,"次果筐*"),2))</f>
      </c>
      <c r="H163" s="177">
        <f>IF($B163="","",ROUND(SUM($C163:$G163),2))</f>
      </c>
      <c r="I163" s="177">
        <f>IF($B163="","",ROUND(SUMIFS(对接源_01水果!$K$4:$K$1203,对接源_01水果!$C$4:$C$1203,$B163,对接源_01水果!$D$4:$D$1203,"成品出库*",对接源_01水果!$L$4:$L$1203,"已收讫")+SUMIFS(对接源_01水果!$K$4:$K$1203,对接源_01水果!$C$4:$C$1203,$B163,对接源_01水果!$D$4:$D$1203,"成品出库*",对接源_01水果!$L$4:$L$1203,"已付款")+SUMIFS(对接源_01水果!$K$4:$K$1203,对接源_01水果!$C$4:$C$1203,$B163,对接源_01水果!$D$4:$D$1203,"其他代存*",对接源_01水果!$L$4:$L$1203,"已收讫")+SUMIFS(对接源_01水果!$K$4:$K$1203,对接源_01水果!$C$4:$C$1203,$B163,对接源_01水果!$D$4:$D$1203,"其他代存*",对接源_01水果!$L$4:$L$1203,"已付款")+SUMIFS(对接源_02物料!$K$4:$K$1203,对接源_02物料!$C$4:$C$1203,$B163,对接源_02物料!$D$4:$D$1203,"包装物料*",对接源_02物料!$L$4:$L$1203,"已收讫")+SUMIFS(对接源_02物料!$K$4:$K$1203,对接源_02物料!$C$4:$C$1203,$B163,对接源_02物料!$D$4:$D$1203,"包装物料*",对接源_02物料!$L$4:$L$1203,"已付款")+SUMIFS(对接源_02物料!$K$4:$K$1203,对接源_02物料!$C$4:$C$1203,$B163,对接源_02物料!$D$4:$D$1203,"周转筐*",对接源_02物料!$L$4:$L$1203,"已收讫")+SUMIFS(对接源_02物料!$K$4:$K$1203,对接源_02物料!$C$4:$C$1203,$B163,对接源_02物料!$D$4:$D$1203,"周转筐*",对接源_02物料!$L$4:$L$1203,"已付款")+SUMIFS(对接源_02物料!$K$4:$K$1203,对接源_02物料!$C$4:$C$1203,$B163,对接源_02物料!$D$4:$D$1203,"次果筐*",对接源_02物料!$L$4:$L$1203,"已收讫")+SUMIFS(对接源_02物料!$K$4:$K$1203,对接源_02物料!$C$4:$C$1203,$B163,对接源_02物料!$D$4:$D$1203,"次果筐*",对接源_02物料!$L$4:$L$1203,"已付款"),2))</f>
      </c>
      <c r="J163" s="177">
        <f>IF($B163="","",ROUND(N($H163)-N($I163),2))</f>
      </c>
      <c r="K163" s="16">
        <f>IF($B163="","",IF(ROUND(N($J163),2)&gt;0,"对方欠款",IF(ROUND(N($J163),2)&lt;0,"我方欠款","已两清")))</f>
      </c>
      <c r="L163" s="26" t="n"/>
    </row>
    <row r="164" s="127">
      <c r="A164" s="16">
        <f>IF($B164="","",ROW()-3)</f>
      </c>
      <c r="B164" s="11">
        <f>IFERROR(INDEX(_自动清单!$E$4:$E$303,ROW()-3),"")</f>
      </c>
      <c r="C164" s="177">
        <f>IF($B164="","",ROUND(SUMIFS(对接源_01水果!$K$4:$K$1203,对接源_01水果!$C$4:$C$1203,$B164,对接源_01水果!$D$4:$D$1203,"成品出库*"),2))</f>
      </c>
      <c r="D164" s="177">
        <f>IF($B164="","",ROUND(SUMIFS(对接源_01水果!$K$4:$K$1203,对接源_01水果!$C$4:$C$1203,$B164,对接源_01水果!$D$4:$D$1203,"其他代存*"),2))</f>
      </c>
      <c r="E164" s="177">
        <f>IF($B164="","",ROUND(SUMIFS(对接源_02物料!$K$4:$K$1203,对接源_02物料!$C$4:$C$1203,$B164,对接源_02物料!$D$4:$D$1203,"包装物料*"),2))</f>
      </c>
      <c r="F164" s="177">
        <f>IF($B164="","",ROUND(SUMIFS(对接源_02物料!$K$4:$K$1203,对接源_02物料!$C$4:$C$1203,$B164,对接源_02物料!$D$4:$D$1203,"周转筐*"),2))</f>
      </c>
      <c r="G164" s="177">
        <f>IF($B164="","",ROUND(SUMIFS(对接源_02物料!$K$4:$K$1203,对接源_02物料!$C$4:$C$1203,$B164,对接源_02物料!$D$4:$D$1203,"次果筐*"),2))</f>
      </c>
      <c r="H164" s="177">
        <f>IF($B164="","",ROUND(SUM($C164:$G164),2))</f>
      </c>
      <c r="I164" s="177">
        <f>IF($B164="","",ROUND(SUMIFS(对接源_01水果!$K$4:$K$1203,对接源_01水果!$C$4:$C$1203,$B164,对接源_01水果!$D$4:$D$1203,"成品出库*",对接源_01水果!$L$4:$L$1203,"已收讫")+SUMIFS(对接源_01水果!$K$4:$K$1203,对接源_01水果!$C$4:$C$1203,$B164,对接源_01水果!$D$4:$D$1203,"成品出库*",对接源_01水果!$L$4:$L$1203,"已付款")+SUMIFS(对接源_01水果!$K$4:$K$1203,对接源_01水果!$C$4:$C$1203,$B164,对接源_01水果!$D$4:$D$1203,"其他代存*",对接源_01水果!$L$4:$L$1203,"已收讫")+SUMIFS(对接源_01水果!$K$4:$K$1203,对接源_01水果!$C$4:$C$1203,$B164,对接源_01水果!$D$4:$D$1203,"其他代存*",对接源_01水果!$L$4:$L$1203,"已付款")+SUMIFS(对接源_02物料!$K$4:$K$1203,对接源_02物料!$C$4:$C$1203,$B164,对接源_02物料!$D$4:$D$1203,"包装物料*",对接源_02物料!$L$4:$L$1203,"已收讫")+SUMIFS(对接源_02物料!$K$4:$K$1203,对接源_02物料!$C$4:$C$1203,$B164,对接源_02物料!$D$4:$D$1203,"包装物料*",对接源_02物料!$L$4:$L$1203,"已付款")+SUMIFS(对接源_02物料!$K$4:$K$1203,对接源_02物料!$C$4:$C$1203,$B164,对接源_02物料!$D$4:$D$1203,"周转筐*",对接源_02物料!$L$4:$L$1203,"已收讫")+SUMIFS(对接源_02物料!$K$4:$K$1203,对接源_02物料!$C$4:$C$1203,$B164,对接源_02物料!$D$4:$D$1203,"周转筐*",对接源_02物料!$L$4:$L$1203,"已付款")+SUMIFS(对接源_02物料!$K$4:$K$1203,对接源_02物料!$C$4:$C$1203,$B164,对接源_02物料!$D$4:$D$1203,"次果筐*",对接源_02物料!$L$4:$L$1203,"已收讫")+SUMIFS(对接源_02物料!$K$4:$K$1203,对接源_02物料!$C$4:$C$1203,$B164,对接源_02物料!$D$4:$D$1203,"次果筐*",对接源_02物料!$L$4:$L$1203,"已付款"),2))</f>
      </c>
      <c r="J164" s="177">
        <f>IF($B164="","",ROUND(N($H164)-N($I164),2))</f>
      </c>
      <c r="K164" s="16">
        <f>IF($B164="","",IF(ROUND(N($J164),2)&gt;0,"对方欠款",IF(ROUND(N($J164),2)&lt;0,"我方欠款","已两清")))</f>
      </c>
      <c r="L164" s="26" t="n"/>
    </row>
    <row r="165" s="127">
      <c r="A165" s="16">
        <f>IF($B165="","",ROW()-3)</f>
      </c>
      <c r="B165" s="11">
        <f>IFERROR(INDEX(_自动清单!$E$4:$E$303,ROW()-3),"")</f>
      </c>
      <c r="C165" s="177">
        <f>IF($B165="","",ROUND(SUMIFS(对接源_01水果!$K$4:$K$1203,对接源_01水果!$C$4:$C$1203,$B165,对接源_01水果!$D$4:$D$1203,"成品出库*"),2))</f>
      </c>
      <c r="D165" s="177">
        <f>IF($B165="","",ROUND(SUMIFS(对接源_01水果!$K$4:$K$1203,对接源_01水果!$C$4:$C$1203,$B165,对接源_01水果!$D$4:$D$1203,"其他代存*"),2))</f>
      </c>
      <c r="E165" s="177">
        <f>IF($B165="","",ROUND(SUMIFS(对接源_02物料!$K$4:$K$1203,对接源_02物料!$C$4:$C$1203,$B165,对接源_02物料!$D$4:$D$1203,"包装物料*"),2))</f>
      </c>
      <c r="F165" s="177">
        <f>IF($B165="","",ROUND(SUMIFS(对接源_02物料!$K$4:$K$1203,对接源_02物料!$C$4:$C$1203,$B165,对接源_02物料!$D$4:$D$1203,"周转筐*"),2))</f>
      </c>
      <c r="G165" s="177">
        <f>IF($B165="","",ROUND(SUMIFS(对接源_02物料!$K$4:$K$1203,对接源_02物料!$C$4:$C$1203,$B165,对接源_02物料!$D$4:$D$1203,"次果筐*"),2))</f>
      </c>
      <c r="H165" s="177">
        <f>IF($B165="","",ROUND(SUM($C165:$G165),2))</f>
      </c>
      <c r="I165" s="177">
        <f>IF($B165="","",ROUND(SUMIFS(对接源_01水果!$K$4:$K$1203,对接源_01水果!$C$4:$C$1203,$B165,对接源_01水果!$D$4:$D$1203,"成品出库*",对接源_01水果!$L$4:$L$1203,"已收讫")+SUMIFS(对接源_01水果!$K$4:$K$1203,对接源_01水果!$C$4:$C$1203,$B165,对接源_01水果!$D$4:$D$1203,"成品出库*",对接源_01水果!$L$4:$L$1203,"已付款")+SUMIFS(对接源_01水果!$K$4:$K$1203,对接源_01水果!$C$4:$C$1203,$B165,对接源_01水果!$D$4:$D$1203,"其他代存*",对接源_01水果!$L$4:$L$1203,"已收讫")+SUMIFS(对接源_01水果!$K$4:$K$1203,对接源_01水果!$C$4:$C$1203,$B165,对接源_01水果!$D$4:$D$1203,"其他代存*",对接源_01水果!$L$4:$L$1203,"已付款")+SUMIFS(对接源_02物料!$K$4:$K$1203,对接源_02物料!$C$4:$C$1203,$B165,对接源_02物料!$D$4:$D$1203,"包装物料*",对接源_02物料!$L$4:$L$1203,"已收讫")+SUMIFS(对接源_02物料!$K$4:$K$1203,对接源_02物料!$C$4:$C$1203,$B165,对接源_02物料!$D$4:$D$1203,"包装物料*",对接源_02物料!$L$4:$L$1203,"已付款")+SUMIFS(对接源_02物料!$K$4:$K$1203,对接源_02物料!$C$4:$C$1203,$B165,对接源_02物料!$D$4:$D$1203,"周转筐*",对接源_02物料!$L$4:$L$1203,"已收讫")+SUMIFS(对接源_02物料!$K$4:$K$1203,对接源_02物料!$C$4:$C$1203,$B165,对接源_02物料!$D$4:$D$1203,"周转筐*",对接源_02物料!$L$4:$L$1203,"已付款")+SUMIFS(对接源_02物料!$K$4:$K$1203,对接源_02物料!$C$4:$C$1203,$B165,对接源_02物料!$D$4:$D$1203,"次果筐*",对接源_02物料!$L$4:$L$1203,"已收讫")+SUMIFS(对接源_02物料!$K$4:$K$1203,对接源_02物料!$C$4:$C$1203,$B165,对接源_02物料!$D$4:$D$1203,"次果筐*",对接源_02物料!$L$4:$L$1203,"已付款"),2))</f>
      </c>
      <c r="J165" s="177">
        <f>IF($B165="","",ROUND(N($H165)-N($I165),2))</f>
      </c>
      <c r="K165" s="16">
        <f>IF($B165="","",IF(ROUND(N($J165),2)&gt;0,"对方欠款",IF(ROUND(N($J165),2)&lt;0,"我方欠款","已两清")))</f>
      </c>
      <c r="L165" s="26" t="n"/>
    </row>
    <row r="166" s="127">
      <c r="A166" s="16">
        <f>IF($B166="","",ROW()-3)</f>
      </c>
      <c r="B166" s="11">
        <f>IFERROR(INDEX(_自动清单!$E$4:$E$303,ROW()-3),"")</f>
      </c>
      <c r="C166" s="177">
        <f>IF($B166="","",ROUND(SUMIFS(对接源_01水果!$K$4:$K$1203,对接源_01水果!$C$4:$C$1203,$B166,对接源_01水果!$D$4:$D$1203,"成品出库*"),2))</f>
      </c>
      <c r="D166" s="177">
        <f>IF($B166="","",ROUND(SUMIFS(对接源_01水果!$K$4:$K$1203,对接源_01水果!$C$4:$C$1203,$B166,对接源_01水果!$D$4:$D$1203,"其他代存*"),2))</f>
      </c>
      <c r="E166" s="177">
        <f>IF($B166="","",ROUND(SUMIFS(对接源_02物料!$K$4:$K$1203,对接源_02物料!$C$4:$C$1203,$B166,对接源_02物料!$D$4:$D$1203,"包装物料*"),2))</f>
      </c>
      <c r="F166" s="177">
        <f>IF($B166="","",ROUND(SUMIFS(对接源_02物料!$K$4:$K$1203,对接源_02物料!$C$4:$C$1203,$B166,对接源_02物料!$D$4:$D$1203,"周转筐*"),2))</f>
      </c>
      <c r="G166" s="177">
        <f>IF($B166="","",ROUND(SUMIFS(对接源_02物料!$K$4:$K$1203,对接源_02物料!$C$4:$C$1203,$B166,对接源_02物料!$D$4:$D$1203,"次果筐*"),2))</f>
      </c>
      <c r="H166" s="177">
        <f>IF($B166="","",ROUND(SUM($C166:$G166),2))</f>
      </c>
      <c r="I166" s="177">
        <f>IF($B166="","",ROUND(SUMIFS(对接源_01水果!$K$4:$K$1203,对接源_01水果!$C$4:$C$1203,$B166,对接源_01水果!$D$4:$D$1203,"成品出库*",对接源_01水果!$L$4:$L$1203,"已收讫")+SUMIFS(对接源_01水果!$K$4:$K$1203,对接源_01水果!$C$4:$C$1203,$B166,对接源_01水果!$D$4:$D$1203,"成品出库*",对接源_01水果!$L$4:$L$1203,"已付款")+SUMIFS(对接源_01水果!$K$4:$K$1203,对接源_01水果!$C$4:$C$1203,$B166,对接源_01水果!$D$4:$D$1203,"其他代存*",对接源_01水果!$L$4:$L$1203,"已收讫")+SUMIFS(对接源_01水果!$K$4:$K$1203,对接源_01水果!$C$4:$C$1203,$B166,对接源_01水果!$D$4:$D$1203,"其他代存*",对接源_01水果!$L$4:$L$1203,"已付款")+SUMIFS(对接源_02物料!$K$4:$K$1203,对接源_02物料!$C$4:$C$1203,$B166,对接源_02物料!$D$4:$D$1203,"包装物料*",对接源_02物料!$L$4:$L$1203,"已收讫")+SUMIFS(对接源_02物料!$K$4:$K$1203,对接源_02物料!$C$4:$C$1203,$B166,对接源_02物料!$D$4:$D$1203,"包装物料*",对接源_02物料!$L$4:$L$1203,"已付款")+SUMIFS(对接源_02物料!$K$4:$K$1203,对接源_02物料!$C$4:$C$1203,$B166,对接源_02物料!$D$4:$D$1203,"周转筐*",对接源_02物料!$L$4:$L$1203,"已收讫")+SUMIFS(对接源_02物料!$K$4:$K$1203,对接源_02物料!$C$4:$C$1203,$B166,对接源_02物料!$D$4:$D$1203,"周转筐*",对接源_02物料!$L$4:$L$1203,"已付款")+SUMIFS(对接源_02物料!$K$4:$K$1203,对接源_02物料!$C$4:$C$1203,$B166,对接源_02物料!$D$4:$D$1203,"次果筐*",对接源_02物料!$L$4:$L$1203,"已收讫")+SUMIFS(对接源_02物料!$K$4:$K$1203,对接源_02物料!$C$4:$C$1203,$B166,对接源_02物料!$D$4:$D$1203,"次果筐*",对接源_02物料!$L$4:$L$1203,"已付款"),2))</f>
      </c>
      <c r="J166" s="177">
        <f>IF($B166="","",ROUND(N($H166)-N($I166),2))</f>
      </c>
      <c r="K166" s="16">
        <f>IF($B166="","",IF(ROUND(N($J166),2)&gt;0,"对方欠款",IF(ROUND(N($J166),2)&lt;0,"我方欠款","已两清")))</f>
      </c>
      <c r="L166" s="26" t="n"/>
    </row>
    <row r="167" s="127">
      <c r="A167" s="16">
        <f>IF($B167="","",ROW()-3)</f>
      </c>
      <c r="B167" s="11">
        <f>IFERROR(INDEX(_自动清单!$E$4:$E$303,ROW()-3),"")</f>
      </c>
      <c r="C167" s="177">
        <f>IF($B167="","",ROUND(SUMIFS(对接源_01水果!$K$4:$K$1203,对接源_01水果!$C$4:$C$1203,$B167,对接源_01水果!$D$4:$D$1203,"成品出库*"),2))</f>
      </c>
      <c r="D167" s="177">
        <f>IF($B167="","",ROUND(SUMIFS(对接源_01水果!$K$4:$K$1203,对接源_01水果!$C$4:$C$1203,$B167,对接源_01水果!$D$4:$D$1203,"其他代存*"),2))</f>
      </c>
      <c r="E167" s="177">
        <f>IF($B167="","",ROUND(SUMIFS(对接源_02物料!$K$4:$K$1203,对接源_02物料!$C$4:$C$1203,$B167,对接源_02物料!$D$4:$D$1203,"包装物料*"),2))</f>
      </c>
      <c r="F167" s="177">
        <f>IF($B167="","",ROUND(SUMIFS(对接源_02物料!$K$4:$K$1203,对接源_02物料!$C$4:$C$1203,$B167,对接源_02物料!$D$4:$D$1203,"周转筐*"),2))</f>
      </c>
      <c r="G167" s="177">
        <f>IF($B167="","",ROUND(SUMIFS(对接源_02物料!$K$4:$K$1203,对接源_02物料!$C$4:$C$1203,$B167,对接源_02物料!$D$4:$D$1203,"次果筐*"),2))</f>
      </c>
      <c r="H167" s="177">
        <f>IF($B167="","",ROUND(SUM($C167:$G167),2))</f>
      </c>
      <c r="I167" s="177">
        <f>IF($B167="","",ROUND(SUMIFS(对接源_01水果!$K$4:$K$1203,对接源_01水果!$C$4:$C$1203,$B167,对接源_01水果!$D$4:$D$1203,"成品出库*",对接源_01水果!$L$4:$L$1203,"已收讫")+SUMIFS(对接源_01水果!$K$4:$K$1203,对接源_01水果!$C$4:$C$1203,$B167,对接源_01水果!$D$4:$D$1203,"成品出库*",对接源_01水果!$L$4:$L$1203,"已付款")+SUMIFS(对接源_01水果!$K$4:$K$1203,对接源_01水果!$C$4:$C$1203,$B167,对接源_01水果!$D$4:$D$1203,"其他代存*",对接源_01水果!$L$4:$L$1203,"已收讫")+SUMIFS(对接源_01水果!$K$4:$K$1203,对接源_01水果!$C$4:$C$1203,$B167,对接源_01水果!$D$4:$D$1203,"其他代存*",对接源_01水果!$L$4:$L$1203,"已付款")+SUMIFS(对接源_02物料!$K$4:$K$1203,对接源_02物料!$C$4:$C$1203,$B167,对接源_02物料!$D$4:$D$1203,"包装物料*",对接源_02物料!$L$4:$L$1203,"已收讫")+SUMIFS(对接源_02物料!$K$4:$K$1203,对接源_02物料!$C$4:$C$1203,$B167,对接源_02物料!$D$4:$D$1203,"包装物料*",对接源_02物料!$L$4:$L$1203,"已付款")+SUMIFS(对接源_02物料!$K$4:$K$1203,对接源_02物料!$C$4:$C$1203,$B167,对接源_02物料!$D$4:$D$1203,"周转筐*",对接源_02物料!$L$4:$L$1203,"已收讫")+SUMIFS(对接源_02物料!$K$4:$K$1203,对接源_02物料!$C$4:$C$1203,$B167,对接源_02物料!$D$4:$D$1203,"周转筐*",对接源_02物料!$L$4:$L$1203,"已付款")+SUMIFS(对接源_02物料!$K$4:$K$1203,对接源_02物料!$C$4:$C$1203,$B167,对接源_02物料!$D$4:$D$1203,"次果筐*",对接源_02物料!$L$4:$L$1203,"已收讫")+SUMIFS(对接源_02物料!$K$4:$K$1203,对接源_02物料!$C$4:$C$1203,$B167,对接源_02物料!$D$4:$D$1203,"次果筐*",对接源_02物料!$L$4:$L$1203,"已付款"),2))</f>
      </c>
      <c r="J167" s="177">
        <f>IF($B167="","",ROUND(N($H167)-N($I167),2))</f>
      </c>
      <c r="K167" s="16">
        <f>IF($B167="","",IF(ROUND(N($J167),2)&gt;0,"对方欠款",IF(ROUND(N($J167),2)&lt;0,"我方欠款","已两清")))</f>
      </c>
      <c r="L167" s="26" t="n"/>
    </row>
    <row r="168" s="127">
      <c r="A168" s="16">
        <f>IF($B168="","",ROW()-3)</f>
      </c>
      <c r="B168" s="11">
        <f>IFERROR(INDEX(_自动清单!$E$4:$E$303,ROW()-3),"")</f>
      </c>
      <c r="C168" s="177">
        <f>IF($B168="","",ROUND(SUMIFS(对接源_01水果!$K$4:$K$1203,对接源_01水果!$C$4:$C$1203,$B168,对接源_01水果!$D$4:$D$1203,"成品出库*"),2))</f>
      </c>
      <c r="D168" s="177">
        <f>IF($B168="","",ROUND(SUMIFS(对接源_01水果!$K$4:$K$1203,对接源_01水果!$C$4:$C$1203,$B168,对接源_01水果!$D$4:$D$1203,"其他代存*"),2))</f>
      </c>
      <c r="E168" s="177">
        <f>IF($B168="","",ROUND(SUMIFS(对接源_02物料!$K$4:$K$1203,对接源_02物料!$C$4:$C$1203,$B168,对接源_02物料!$D$4:$D$1203,"包装物料*"),2))</f>
      </c>
      <c r="F168" s="177">
        <f>IF($B168="","",ROUND(SUMIFS(对接源_02物料!$K$4:$K$1203,对接源_02物料!$C$4:$C$1203,$B168,对接源_02物料!$D$4:$D$1203,"周转筐*"),2))</f>
      </c>
      <c r="G168" s="177">
        <f>IF($B168="","",ROUND(SUMIFS(对接源_02物料!$K$4:$K$1203,对接源_02物料!$C$4:$C$1203,$B168,对接源_02物料!$D$4:$D$1203,"次果筐*"),2))</f>
      </c>
      <c r="H168" s="177">
        <f>IF($B168="","",ROUND(SUM($C168:$G168),2))</f>
      </c>
      <c r="I168" s="177">
        <f>IF($B168="","",ROUND(SUMIFS(对接源_01水果!$K$4:$K$1203,对接源_01水果!$C$4:$C$1203,$B168,对接源_01水果!$D$4:$D$1203,"成品出库*",对接源_01水果!$L$4:$L$1203,"已收讫")+SUMIFS(对接源_01水果!$K$4:$K$1203,对接源_01水果!$C$4:$C$1203,$B168,对接源_01水果!$D$4:$D$1203,"成品出库*",对接源_01水果!$L$4:$L$1203,"已付款")+SUMIFS(对接源_01水果!$K$4:$K$1203,对接源_01水果!$C$4:$C$1203,$B168,对接源_01水果!$D$4:$D$1203,"其他代存*",对接源_01水果!$L$4:$L$1203,"已收讫")+SUMIFS(对接源_01水果!$K$4:$K$1203,对接源_01水果!$C$4:$C$1203,$B168,对接源_01水果!$D$4:$D$1203,"其他代存*",对接源_01水果!$L$4:$L$1203,"已付款")+SUMIFS(对接源_02物料!$K$4:$K$1203,对接源_02物料!$C$4:$C$1203,$B168,对接源_02物料!$D$4:$D$1203,"包装物料*",对接源_02物料!$L$4:$L$1203,"已收讫")+SUMIFS(对接源_02物料!$K$4:$K$1203,对接源_02物料!$C$4:$C$1203,$B168,对接源_02物料!$D$4:$D$1203,"包装物料*",对接源_02物料!$L$4:$L$1203,"已付款")+SUMIFS(对接源_02物料!$K$4:$K$1203,对接源_02物料!$C$4:$C$1203,$B168,对接源_02物料!$D$4:$D$1203,"周转筐*",对接源_02物料!$L$4:$L$1203,"已收讫")+SUMIFS(对接源_02物料!$K$4:$K$1203,对接源_02物料!$C$4:$C$1203,$B168,对接源_02物料!$D$4:$D$1203,"周转筐*",对接源_02物料!$L$4:$L$1203,"已付款")+SUMIFS(对接源_02物料!$K$4:$K$1203,对接源_02物料!$C$4:$C$1203,$B168,对接源_02物料!$D$4:$D$1203,"次果筐*",对接源_02物料!$L$4:$L$1203,"已收讫")+SUMIFS(对接源_02物料!$K$4:$K$1203,对接源_02物料!$C$4:$C$1203,$B168,对接源_02物料!$D$4:$D$1203,"次果筐*",对接源_02物料!$L$4:$L$1203,"已付款"),2))</f>
      </c>
      <c r="J168" s="177">
        <f>IF($B168="","",ROUND(N($H168)-N($I168),2))</f>
      </c>
      <c r="K168" s="16">
        <f>IF($B168="","",IF(ROUND(N($J168),2)&gt;0,"对方欠款",IF(ROUND(N($J168),2)&lt;0,"我方欠款","已两清")))</f>
      </c>
      <c r="L168" s="26" t="n"/>
    </row>
    <row r="169" s="127">
      <c r="A169" s="16">
        <f>IF($B169="","",ROW()-3)</f>
      </c>
      <c r="B169" s="11">
        <f>IFERROR(INDEX(_自动清单!$E$4:$E$303,ROW()-3),"")</f>
      </c>
      <c r="C169" s="177">
        <f>IF($B169="","",ROUND(SUMIFS(对接源_01水果!$K$4:$K$1203,对接源_01水果!$C$4:$C$1203,$B169,对接源_01水果!$D$4:$D$1203,"成品出库*"),2))</f>
      </c>
      <c r="D169" s="177">
        <f>IF($B169="","",ROUND(SUMIFS(对接源_01水果!$K$4:$K$1203,对接源_01水果!$C$4:$C$1203,$B169,对接源_01水果!$D$4:$D$1203,"其他代存*"),2))</f>
      </c>
      <c r="E169" s="177">
        <f>IF($B169="","",ROUND(SUMIFS(对接源_02物料!$K$4:$K$1203,对接源_02物料!$C$4:$C$1203,$B169,对接源_02物料!$D$4:$D$1203,"包装物料*"),2))</f>
      </c>
      <c r="F169" s="177">
        <f>IF($B169="","",ROUND(SUMIFS(对接源_02物料!$K$4:$K$1203,对接源_02物料!$C$4:$C$1203,$B169,对接源_02物料!$D$4:$D$1203,"周转筐*"),2))</f>
      </c>
      <c r="G169" s="177">
        <f>IF($B169="","",ROUND(SUMIFS(对接源_02物料!$K$4:$K$1203,对接源_02物料!$C$4:$C$1203,$B169,对接源_02物料!$D$4:$D$1203,"次果筐*"),2))</f>
      </c>
      <c r="H169" s="177">
        <f>IF($B169="","",ROUND(SUM($C169:$G169),2))</f>
      </c>
      <c r="I169" s="177">
        <f>IF($B169="","",ROUND(SUMIFS(对接源_01水果!$K$4:$K$1203,对接源_01水果!$C$4:$C$1203,$B169,对接源_01水果!$D$4:$D$1203,"成品出库*",对接源_01水果!$L$4:$L$1203,"已收讫")+SUMIFS(对接源_01水果!$K$4:$K$1203,对接源_01水果!$C$4:$C$1203,$B169,对接源_01水果!$D$4:$D$1203,"成品出库*",对接源_01水果!$L$4:$L$1203,"已付款")+SUMIFS(对接源_01水果!$K$4:$K$1203,对接源_01水果!$C$4:$C$1203,$B169,对接源_01水果!$D$4:$D$1203,"其他代存*",对接源_01水果!$L$4:$L$1203,"已收讫")+SUMIFS(对接源_01水果!$K$4:$K$1203,对接源_01水果!$C$4:$C$1203,$B169,对接源_01水果!$D$4:$D$1203,"其他代存*",对接源_01水果!$L$4:$L$1203,"已付款")+SUMIFS(对接源_02物料!$K$4:$K$1203,对接源_02物料!$C$4:$C$1203,$B169,对接源_02物料!$D$4:$D$1203,"包装物料*",对接源_02物料!$L$4:$L$1203,"已收讫")+SUMIFS(对接源_02物料!$K$4:$K$1203,对接源_02物料!$C$4:$C$1203,$B169,对接源_02物料!$D$4:$D$1203,"包装物料*",对接源_02物料!$L$4:$L$1203,"已付款")+SUMIFS(对接源_02物料!$K$4:$K$1203,对接源_02物料!$C$4:$C$1203,$B169,对接源_02物料!$D$4:$D$1203,"周转筐*",对接源_02物料!$L$4:$L$1203,"已收讫")+SUMIFS(对接源_02物料!$K$4:$K$1203,对接源_02物料!$C$4:$C$1203,$B169,对接源_02物料!$D$4:$D$1203,"周转筐*",对接源_02物料!$L$4:$L$1203,"已付款")+SUMIFS(对接源_02物料!$K$4:$K$1203,对接源_02物料!$C$4:$C$1203,$B169,对接源_02物料!$D$4:$D$1203,"次果筐*",对接源_02物料!$L$4:$L$1203,"已收讫")+SUMIFS(对接源_02物料!$K$4:$K$1203,对接源_02物料!$C$4:$C$1203,$B169,对接源_02物料!$D$4:$D$1203,"次果筐*",对接源_02物料!$L$4:$L$1203,"已付款"),2))</f>
      </c>
      <c r="J169" s="177">
        <f>IF($B169="","",ROUND(N($H169)-N($I169),2))</f>
      </c>
      <c r="K169" s="16">
        <f>IF($B169="","",IF(ROUND(N($J169),2)&gt;0,"对方欠款",IF(ROUND(N($J169),2)&lt;0,"我方欠款","已两清")))</f>
      </c>
      <c r="L169" s="26" t="n"/>
    </row>
    <row r="170" s="127">
      <c r="A170" s="16">
        <f>IF($B170="","",ROW()-3)</f>
      </c>
      <c r="B170" s="11">
        <f>IFERROR(INDEX(_自动清单!$E$4:$E$303,ROW()-3),"")</f>
      </c>
      <c r="C170" s="177">
        <f>IF($B170="","",ROUND(SUMIFS(对接源_01水果!$K$4:$K$1203,对接源_01水果!$C$4:$C$1203,$B170,对接源_01水果!$D$4:$D$1203,"成品出库*"),2))</f>
      </c>
      <c r="D170" s="177">
        <f>IF($B170="","",ROUND(SUMIFS(对接源_01水果!$K$4:$K$1203,对接源_01水果!$C$4:$C$1203,$B170,对接源_01水果!$D$4:$D$1203,"其他代存*"),2))</f>
      </c>
      <c r="E170" s="177">
        <f>IF($B170="","",ROUND(SUMIFS(对接源_02物料!$K$4:$K$1203,对接源_02物料!$C$4:$C$1203,$B170,对接源_02物料!$D$4:$D$1203,"包装物料*"),2))</f>
      </c>
      <c r="F170" s="177">
        <f>IF($B170="","",ROUND(SUMIFS(对接源_02物料!$K$4:$K$1203,对接源_02物料!$C$4:$C$1203,$B170,对接源_02物料!$D$4:$D$1203,"周转筐*"),2))</f>
      </c>
      <c r="G170" s="177">
        <f>IF($B170="","",ROUND(SUMIFS(对接源_02物料!$K$4:$K$1203,对接源_02物料!$C$4:$C$1203,$B170,对接源_02物料!$D$4:$D$1203,"次果筐*"),2))</f>
      </c>
      <c r="H170" s="177">
        <f>IF($B170="","",ROUND(SUM($C170:$G170),2))</f>
      </c>
      <c r="I170" s="177">
        <f>IF($B170="","",ROUND(SUMIFS(对接源_01水果!$K$4:$K$1203,对接源_01水果!$C$4:$C$1203,$B170,对接源_01水果!$D$4:$D$1203,"成品出库*",对接源_01水果!$L$4:$L$1203,"已收讫")+SUMIFS(对接源_01水果!$K$4:$K$1203,对接源_01水果!$C$4:$C$1203,$B170,对接源_01水果!$D$4:$D$1203,"成品出库*",对接源_01水果!$L$4:$L$1203,"已付款")+SUMIFS(对接源_01水果!$K$4:$K$1203,对接源_01水果!$C$4:$C$1203,$B170,对接源_01水果!$D$4:$D$1203,"其他代存*",对接源_01水果!$L$4:$L$1203,"已收讫")+SUMIFS(对接源_01水果!$K$4:$K$1203,对接源_01水果!$C$4:$C$1203,$B170,对接源_01水果!$D$4:$D$1203,"其他代存*",对接源_01水果!$L$4:$L$1203,"已付款")+SUMIFS(对接源_02物料!$K$4:$K$1203,对接源_02物料!$C$4:$C$1203,$B170,对接源_02物料!$D$4:$D$1203,"包装物料*",对接源_02物料!$L$4:$L$1203,"已收讫")+SUMIFS(对接源_02物料!$K$4:$K$1203,对接源_02物料!$C$4:$C$1203,$B170,对接源_02物料!$D$4:$D$1203,"包装物料*",对接源_02物料!$L$4:$L$1203,"已付款")+SUMIFS(对接源_02物料!$K$4:$K$1203,对接源_02物料!$C$4:$C$1203,$B170,对接源_02物料!$D$4:$D$1203,"周转筐*",对接源_02物料!$L$4:$L$1203,"已收讫")+SUMIFS(对接源_02物料!$K$4:$K$1203,对接源_02物料!$C$4:$C$1203,$B170,对接源_02物料!$D$4:$D$1203,"周转筐*",对接源_02物料!$L$4:$L$1203,"已付款")+SUMIFS(对接源_02物料!$K$4:$K$1203,对接源_02物料!$C$4:$C$1203,$B170,对接源_02物料!$D$4:$D$1203,"次果筐*",对接源_02物料!$L$4:$L$1203,"已收讫")+SUMIFS(对接源_02物料!$K$4:$K$1203,对接源_02物料!$C$4:$C$1203,$B170,对接源_02物料!$D$4:$D$1203,"次果筐*",对接源_02物料!$L$4:$L$1203,"已付款"),2))</f>
      </c>
      <c r="J170" s="177">
        <f>IF($B170="","",ROUND(N($H170)-N($I170),2))</f>
      </c>
      <c r="K170" s="16">
        <f>IF($B170="","",IF(ROUND(N($J170),2)&gt;0,"对方欠款",IF(ROUND(N($J170),2)&lt;0,"我方欠款","已两清")))</f>
      </c>
      <c r="L170" s="26" t="n"/>
    </row>
    <row r="171" s="127">
      <c r="A171" s="16">
        <f>IF($B171="","",ROW()-3)</f>
      </c>
      <c r="B171" s="11">
        <f>IFERROR(INDEX(_自动清单!$E$4:$E$303,ROW()-3),"")</f>
      </c>
      <c r="C171" s="177">
        <f>IF($B171="","",ROUND(SUMIFS(对接源_01水果!$K$4:$K$1203,对接源_01水果!$C$4:$C$1203,$B171,对接源_01水果!$D$4:$D$1203,"成品出库*"),2))</f>
      </c>
      <c r="D171" s="177">
        <f>IF($B171="","",ROUND(SUMIFS(对接源_01水果!$K$4:$K$1203,对接源_01水果!$C$4:$C$1203,$B171,对接源_01水果!$D$4:$D$1203,"其他代存*"),2))</f>
      </c>
      <c r="E171" s="177">
        <f>IF($B171="","",ROUND(SUMIFS(对接源_02物料!$K$4:$K$1203,对接源_02物料!$C$4:$C$1203,$B171,对接源_02物料!$D$4:$D$1203,"包装物料*"),2))</f>
      </c>
      <c r="F171" s="177">
        <f>IF($B171="","",ROUND(SUMIFS(对接源_02物料!$K$4:$K$1203,对接源_02物料!$C$4:$C$1203,$B171,对接源_02物料!$D$4:$D$1203,"周转筐*"),2))</f>
      </c>
      <c r="G171" s="177">
        <f>IF($B171="","",ROUND(SUMIFS(对接源_02物料!$K$4:$K$1203,对接源_02物料!$C$4:$C$1203,$B171,对接源_02物料!$D$4:$D$1203,"次果筐*"),2))</f>
      </c>
      <c r="H171" s="177">
        <f>IF($B171="","",ROUND(SUM($C171:$G171),2))</f>
      </c>
      <c r="I171" s="177">
        <f>IF($B171="","",ROUND(SUMIFS(对接源_01水果!$K$4:$K$1203,对接源_01水果!$C$4:$C$1203,$B171,对接源_01水果!$D$4:$D$1203,"成品出库*",对接源_01水果!$L$4:$L$1203,"已收讫")+SUMIFS(对接源_01水果!$K$4:$K$1203,对接源_01水果!$C$4:$C$1203,$B171,对接源_01水果!$D$4:$D$1203,"成品出库*",对接源_01水果!$L$4:$L$1203,"已付款")+SUMIFS(对接源_01水果!$K$4:$K$1203,对接源_01水果!$C$4:$C$1203,$B171,对接源_01水果!$D$4:$D$1203,"其他代存*",对接源_01水果!$L$4:$L$1203,"已收讫")+SUMIFS(对接源_01水果!$K$4:$K$1203,对接源_01水果!$C$4:$C$1203,$B171,对接源_01水果!$D$4:$D$1203,"其他代存*",对接源_01水果!$L$4:$L$1203,"已付款")+SUMIFS(对接源_02物料!$K$4:$K$1203,对接源_02物料!$C$4:$C$1203,$B171,对接源_02物料!$D$4:$D$1203,"包装物料*",对接源_02物料!$L$4:$L$1203,"已收讫")+SUMIFS(对接源_02物料!$K$4:$K$1203,对接源_02物料!$C$4:$C$1203,$B171,对接源_02物料!$D$4:$D$1203,"包装物料*",对接源_02物料!$L$4:$L$1203,"已付款")+SUMIFS(对接源_02物料!$K$4:$K$1203,对接源_02物料!$C$4:$C$1203,$B171,对接源_02物料!$D$4:$D$1203,"周转筐*",对接源_02物料!$L$4:$L$1203,"已收讫")+SUMIFS(对接源_02物料!$K$4:$K$1203,对接源_02物料!$C$4:$C$1203,$B171,对接源_02物料!$D$4:$D$1203,"周转筐*",对接源_02物料!$L$4:$L$1203,"已付款")+SUMIFS(对接源_02物料!$K$4:$K$1203,对接源_02物料!$C$4:$C$1203,$B171,对接源_02物料!$D$4:$D$1203,"次果筐*",对接源_02物料!$L$4:$L$1203,"已收讫")+SUMIFS(对接源_02物料!$K$4:$K$1203,对接源_02物料!$C$4:$C$1203,$B171,对接源_02物料!$D$4:$D$1203,"次果筐*",对接源_02物料!$L$4:$L$1203,"已付款"),2))</f>
      </c>
      <c r="J171" s="177">
        <f>IF($B171="","",ROUND(N($H171)-N($I171),2))</f>
      </c>
      <c r="K171" s="16">
        <f>IF($B171="","",IF(ROUND(N($J171),2)&gt;0,"对方欠款",IF(ROUND(N($J171),2)&lt;0,"我方欠款","已两清")))</f>
      </c>
      <c r="L171" s="26" t="n"/>
    </row>
    <row r="172" s="127">
      <c r="A172" s="16">
        <f>IF($B172="","",ROW()-3)</f>
      </c>
      <c r="B172" s="11">
        <f>IFERROR(INDEX(_自动清单!$E$4:$E$303,ROW()-3),"")</f>
      </c>
      <c r="C172" s="177">
        <f>IF($B172="","",ROUND(SUMIFS(对接源_01水果!$K$4:$K$1203,对接源_01水果!$C$4:$C$1203,$B172,对接源_01水果!$D$4:$D$1203,"成品出库*"),2))</f>
      </c>
      <c r="D172" s="177">
        <f>IF($B172="","",ROUND(SUMIFS(对接源_01水果!$K$4:$K$1203,对接源_01水果!$C$4:$C$1203,$B172,对接源_01水果!$D$4:$D$1203,"其他代存*"),2))</f>
      </c>
      <c r="E172" s="177">
        <f>IF($B172="","",ROUND(SUMIFS(对接源_02物料!$K$4:$K$1203,对接源_02物料!$C$4:$C$1203,$B172,对接源_02物料!$D$4:$D$1203,"包装物料*"),2))</f>
      </c>
      <c r="F172" s="177">
        <f>IF($B172="","",ROUND(SUMIFS(对接源_02物料!$K$4:$K$1203,对接源_02物料!$C$4:$C$1203,$B172,对接源_02物料!$D$4:$D$1203,"周转筐*"),2))</f>
      </c>
      <c r="G172" s="177">
        <f>IF($B172="","",ROUND(SUMIFS(对接源_02物料!$K$4:$K$1203,对接源_02物料!$C$4:$C$1203,$B172,对接源_02物料!$D$4:$D$1203,"次果筐*"),2))</f>
      </c>
      <c r="H172" s="177">
        <f>IF($B172="","",ROUND(SUM($C172:$G172),2))</f>
      </c>
      <c r="I172" s="177">
        <f>IF($B172="","",ROUND(SUMIFS(对接源_01水果!$K$4:$K$1203,对接源_01水果!$C$4:$C$1203,$B172,对接源_01水果!$D$4:$D$1203,"成品出库*",对接源_01水果!$L$4:$L$1203,"已收讫")+SUMIFS(对接源_01水果!$K$4:$K$1203,对接源_01水果!$C$4:$C$1203,$B172,对接源_01水果!$D$4:$D$1203,"成品出库*",对接源_01水果!$L$4:$L$1203,"已付款")+SUMIFS(对接源_01水果!$K$4:$K$1203,对接源_01水果!$C$4:$C$1203,$B172,对接源_01水果!$D$4:$D$1203,"其他代存*",对接源_01水果!$L$4:$L$1203,"已收讫")+SUMIFS(对接源_01水果!$K$4:$K$1203,对接源_01水果!$C$4:$C$1203,$B172,对接源_01水果!$D$4:$D$1203,"其他代存*",对接源_01水果!$L$4:$L$1203,"已付款")+SUMIFS(对接源_02物料!$K$4:$K$1203,对接源_02物料!$C$4:$C$1203,$B172,对接源_02物料!$D$4:$D$1203,"包装物料*",对接源_02物料!$L$4:$L$1203,"已收讫")+SUMIFS(对接源_02物料!$K$4:$K$1203,对接源_02物料!$C$4:$C$1203,$B172,对接源_02物料!$D$4:$D$1203,"包装物料*",对接源_02物料!$L$4:$L$1203,"已付款")+SUMIFS(对接源_02物料!$K$4:$K$1203,对接源_02物料!$C$4:$C$1203,$B172,对接源_02物料!$D$4:$D$1203,"周转筐*",对接源_02物料!$L$4:$L$1203,"已收讫")+SUMIFS(对接源_02物料!$K$4:$K$1203,对接源_02物料!$C$4:$C$1203,$B172,对接源_02物料!$D$4:$D$1203,"周转筐*",对接源_02物料!$L$4:$L$1203,"已付款")+SUMIFS(对接源_02物料!$K$4:$K$1203,对接源_02物料!$C$4:$C$1203,$B172,对接源_02物料!$D$4:$D$1203,"次果筐*",对接源_02物料!$L$4:$L$1203,"已收讫")+SUMIFS(对接源_02物料!$K$4:$K$1203,对接源_02物料!$C$4:$C$1203,$B172,对接源_02物料!$D$4:$D$1203,"次果筐*",对接源_02物料!$L$4:$L$1203,"已付款"),2))</f>
      </c>
      <c r="J172" s="177">
        <f>IF($B172="","",ROUND(N($H172)-N($I172),2))</f>
      </c>
      <c r="K172" s="16">
        <f>IF($B172="","",IF(ROUND(N($J172),2)&gt;0,"对方欠款",IF(ROUND(N($J172),2)&lt;0,"我方欠款","已两清")))</f>
      </c>
      <c r="L172" s="26" t="n"/>
    </row>
    <row r="173" s="127">
      <c r="A173" s="16">
        <f>IF($B173="","",ROW()-3)</f>
      </c>
      <c r="B173" s="11">
        <f>IFERROR(INDEX(_自动清单!$E$4:$E$303,ROW()-3),"")</f>
      </c>
      <c r="C173" s="177">
        <f>IF($B173="","",ROUND(SUMIFS(对接源_01水果!$K$4:$K$1203,对接源_01水果!$C$4:$C$1203,$B173,对接源_01水果!$D$4:$D$1203,"成品出库*"),2))</f>
      </c>
      <c r="D173" s="177">
        <f>IF($B173="","",ROUND(SUMIFS(对接源_01水果!$K$4:$K$1203,对接源_01水果!$C$4:$C$1203,$B173,对接源_01水果!$D$4:$D$1203,"其他代存*"),2))</f>
      </c>
      <c r="E173" s="177">
        <f>IF($B173="","",ROUND(SUMIFS(对接源_02物料!$K$4:$K$1203,对接源_02物料!$C$4:$C$1203,$B173,对接源_02物料!$D$4:$D$1203,"包装物料*"),2))</f>
      </c>
      <c r="F173" s="177">
        <f>IF($B173="","",ROUND(SUMIFS(对接源_02物料!$K$4:$K$1203,对接源_02物料!$C$4:$C$1203,$B173,对接源_02物料!$D$4:$D$1203,"周转筐*"),2))</f>
      </c>
      <c r="G173" s="177">
        <f>IF($B173="","",ROUND(SUMIFS(对接源_02物料!$K$4:$K$1203,对接源_02物料!$C$4:$C$1203,$B173,对接源_02物料!$D$4:$D$1203,"次果筐*"),2))</f>
      </c>
      <c r="H173" s="177">
        <f>IF($B173="","",ROUND(SUM($C173:$G173),2))</f>
      </c>
      <c r="I173" s="177">
        <f>IF($B173="","",ROUND(SUMIFS(对接源_01水果!$K$4:$K$1203,对接源_01水果!$C$4:$C$1203,$B173,对接源_01水果!$D$4:$D$1203,"成品出库*",对接源_01水果!$L$4:$L$1203,"已收讫")+SUMIFS(对接源_01水果!$K$4:$K$1203,对接源_01水果!$C$4:$C$1203,$B173,对接源_01水果!$D$4:$D$1203,"成品出库*",对接源_01水果!$L$4:$L$1203,"已付款")+SUMIFS(对接源_01水果!$K$4:$K$1203,对接源_01水果!$C$4:$C$1203,$B173,对接源_01水果!$D$4:$D$1203,"其他代存*",对接源_01水果!$L$4:$L$1203,"已收讫")+SUMIFS(对接源_01水果!$K$4:$K$1203,对接源_01水果!$C$4:$C$1203,$B173,对接源_01水果!$D$4:$D$1203,"其他代存*",对接源_01水果!$L$4:$L$1203,"已付款")+SUMIFS(对接源_02物料!$K$4:$K$1203,对接源_02物料!$C$4:$C$1203,$B173,对接源_02物料!$D$4:$D$1203,"包装物料*",对接源_02物料!$L$4:$L$1203,"已收讫")+SUMIFS(对接源_02物料!$K$4:$K$1203,对接源_02物料!$C$4:$C$1203,$B173,对接源_02物料!$D$4:$D$1203,"包装物料*",对接源_02物料!$L$4:$L$1203,"已付款")+SUMIFS(对接源_02物料!$K$4:$K$1203,对接源_02物料!$C$4:$C$1203,$B173,对接源_02物料!$D$4:$D$1203,"周转筐*",对接源_02物料!$L$4:$L$1203,"已收讫")+SUMIFS(对接源_02物料!$K$4:$K$1203,对接源_02物料!$C$4:$C$1203,$B173,对接源_02物料!$D$4:$D$1203,"周转筐*",对接源_02物料!$L$4:$L$1203,"已付款")+SUMIFS(对接源_02物料!$K$4:$K$1203,对接源_02物料!$C$4:$C$1203,$B173,对接源_02物料!$D$4:$D$1203,"次果筐*",对接源_02物料!$L$4:$L$1203,"已收讫")+SUMIFS(对接源_02物料!$K$4:$K$1203,对接源_02物料!$C$4:$C$1203,$B173,对接源_02物料!$D$4:$D$1203,"次果筐*",对接源_02物料!$L$4:$L$1203,"已付款"),2))</f>
      </c>
      <c r="J173" s="177">
        <f>IF($B173="","",ROUND(N($H173)-N($I173),2))</f>
      </c>
      <c r="K173" s="16">
        <f>IF($B173="","",IF(ROUND(N($J173),2)&gt;0,"对方欠款",IF(ROUND(N($J173),2)&lt;0,"我方欠款","已两清")))</f>
      </c>
      <c r="L173" s="26" t="n"/>
    </row>
    <row r="174" s="127">
      <c r="A174" s="16">
        <f>IF($B174="","",ROW()-3)</f>
      </c>
      <c r="B174" s="11">
        <f>IFERROR(INDEX(_自动清单!$E$4:$E$303,ROW()-3),"")</f>
      </c>
      <c r="C174" s="177">
        <f>IF($B174="","",ROUND(SUMIFS(对接源_01水果!$K$4:$K$1203,对接源_01水果!$C$4:$C$1203,$B174,对接源_01水果!$D$4:$D$1203,"成品出库*"),2))</f>
      </c>
      <c r="D174" s="177">
        <f>IF($B174="","",ROUND(SUMIFS(对接源_01水果!$K$4:$K$1203,对接源_01水果!$C$4:$C$1203,$B174,对接源_01水果!$D$4:$D$1203,"其他代存*"),2))</f>
      </c>
      <c r="E174" s="177">
        <f>IF($B174="","",ROUND(SUMIFS(对接源_02物料!$K$4:$K$1203,对接源_02物料!$C$4:$C$1203,$B174,对接源_02物料!$D$4:$D$1203,"包装物料*"),2))</f>
      </c>
      <c r="F174" s="177">
        <f>IF($B174="","",ROUND(SUMIFS(对接源_02物料!$K$4:$K$1203,对接源_02物料!$C$4:$C$1203,$B174,对接源_02物料!$D$4:$D$1203,"周转筐*"),2))</f>
      </c>
      <c r="G174" s="177">
        <f>IF($B174="","",ROUND(SUMIFS(对接源_02物料!$K$4:$K$1203,对接源_02物料!$C$4:$C$1203,$B174,对接源_02物料!$D$4:$D$1203,"次果筐*"),2))</f>
      </c>
      <c r="H174" s="177">
        <f>IF($B174="","",ROUND(SUM($C174:$G174),2))</f>
      </c>
      <c r="I174" s="177">
        <f>IF($B174="","",ROUND(SUMIFS(对接源_01水果!$K$4:$K$1203,对接源_01水果!$C$4:$C$1203,$B174,对接源_01水果!$D$4:$D$1203,"成品出库*",对接源_01水果!$L$4:$L$1203,"已收讫")+SUMIFS(对接源_01水果!$K$4:$K$1203,对接源_01水果!$C$4:$C$1203,$B174,对接源_01水果!$D$4:$D$1203,"成品出库*",对接源_01水果!$L$4:$L$1203,"已付款")+SUMIFS(对接源_01水果!$K$4:$K$1203,对接源_01水果!$C$4:$C$1203,$B174,对接源_01水果!$D$4:$D$1203,"其他代存*",对接源_01水果!$L$4:$L$1203,"已收讫")+SUMIFS(对接源_01水果!$K$4:$K$1203,对接源_01水果!$C$4:$C$1203,$B174,对接源_01水果!$D$4:$D$1203,"其他代存*",对接源_01水果!$L$4:$L$1203,"已付款")+SUMIFS(对接源_02物料!$K$4:$K$1203,对接源_02物料!$C$4:$C$1203,$B174,对接源_02物料!$D$4:$D$1203,"包装物料*",对接源_02物料!$L$4:$L$1203,"已收讫")+SUMIFS(对接源_02物料!$K$4:$K$1203,对接源_02物料!$C$4:$C$1203,$B174,对接源_02物料!$D$4:$D$1203,"包装物料*",对接源_02物料!$L$4:$L$1203,"已付款")+SUMIFS(对接源_02物料!$K$4:$K$1203,对接源_02物料!$C$4:$C$1203,$B174,对接源_02物料!$D$4:$D$1203,"周转筐*",对接源_02物料!$L$4:$L$1203,"已收讫")+SUMIFS(对接源_02物料!$K$4:$K$1203,对接源_02物料!$C$4:$C$1203,$B174,对接源_02物料!$D$4:$D$1203,"周转筐*",对接源_02物料!$L$4:$L$1203,"已付款")+SUMIFS(对接源_02物料!$K$4:$K$1203,对接源_02物料!$C$4:$C$1203,$B174,对接源_02物料!$D$4:$D$1203,"次果筐*",对接源_02物料!$L$4:$L$1203,"已收讫")+SUMIFS(对接源_02物料!$K$4:$K$1203,对接源_02物料!$C$4:$C$1203,$B174,对接源_02物料!$D$4:$D$1203,"次果筐*",对接源_02物料!$L$4:$L$1203,"已付款"),2))</f>
      </c>
      <c r="J174" s="177">
        <f>IF($B174="","",ROUND(N($H174)-N($I174),2))</f>
      </c>
      <c r="K174" s="16">
        <f>IF($B174="","",IF(ROUND(N($J174),2)&gt;0,"对方欠款",IF(ROUND(N($J174),2)&lt;0,"我方欠款","已两清")))</f>
      </c>
      <c r="L174" s="26" t="n"/>
    </row>
    <row r="175" s="127">
      <c r="A175" s="16">
        <f>IF($B175="","",ROW()-3)</f>
      </c>
      <c r="B175" s="11">
        <f>IFERROR(INDEX(_自动清单!$E$4:$E$303,ROW()-3),"")</f>
      </c>
      <c r="C175" s="177">
        <f>IF($B175="","",ROUND(SUMIFS(对接源_01水果!$K$4:$K$1203,对接源_01水果!$C$4:$C$1203,$B175,对接源_01水果!$D$4:$D$1203,"成品出库*"),2))</f>
      </c>
      <c r="D175" s="177">
        <f>IF($B175="","",ROUND(SUMIFS(对接源_01水果!$K$4:$K$1203,对接源_01水果!$C$4:$C$1203,$B175,对接源_01水果!$D$4:$D$1203,"其他代存*"),2))</f>
      </c>
      <c r="E175" s="177">
        <f>IF($B175="","",ROUND(SUMIFS(对接源_02物料!$K$4:$K$1203,对接源_02物料!$C$4:$C$1203,$B175,对接源_02物料!$D$4:$D$1203,"包装物料*"),2))</f>
      </c>
      <c r="F175" s="177">
        <f>IF($B175="","",ROUND(SUMIFS(对接源_02物料!$K$4:$K$1203,对接源_02物料!$C$4:$C$1203,$B175,对接源_02物料!$D$4:$D$1203,"周转筐*"),2))</f>
      </c>
      <c r="G175" s="177">
        <f>IF($B175="","",ROUND(SUMIFS(对接源_02物料!$K$4:$K$1203,对接源_02物料!$C$4:$C$1203,$B175,对接源_02物料!$D$4:$D$1203,"次果筐*"),2))</f>
      </c>
      <c r="H175" s="177">
        <f>IF($B175="","",ROUND(SUM($C175:$G175),2))</f>
      </c>
      <c r="I175" s="177">
        <f>IF($B175="","",ROUND(SUMIFS(对接源_01水果!$K$4:$K$1203,对接源_01水果!$C$4:$C$1203,$B175,对接源_01水果!$D$4:$D$1203,"成品出库*",对接源_01水果!$L$4:$L$1203,"已收讫")+SUMIFS(对接源_01水果!$K$4:$K$1203,对接源_01水果!$C$4:$C$1203,$B175,对接源_01水果!$D$4:$D$1203,"成品出库*",对接源_01水果!$L$4:$L$1203,"已付款")+SUMIFS(对接源_01水果!$K$4:$K$1203,对接源_01水果!$C$4:$C$1203,$B175,对接源_01水果!$D$4:$D$1203,"其他代存*",对接源_01水果!$L$4:$L$1203,"已收讫")+SUMIFS(对接源_01水果!$K$4:$K$1203,对接源_01水果!$C$4:$C$1203,$B175,对接源_01水果!$D$4:$D$1203,"其他代存*",对接源_01水果!$L$4:$L$1203,"已付款")+SUMIFS(对接源_02物料!$K$4:$K$1203,对接源_02物料!$C$4:$C$1203,$B175,对接源_02物料!$D$4:$D$1203,"包装物料*",对接源_02物料!$L$4:$L$1203,"已收讫")+SUMIFS(对接源_02物料!$K$4:$K$1203,对接源_02物料!$C$4:$C$1203,$B175,对接源_02物料!$D$4:$D$1203,"包装物料*",对接源_02物料!$L$4:$L$1203,"已付款")+SUMIFS(对接源_02物料!$K$4:$K$1203,对接源_02物料!$C$4:$C$1203,$B175,对接源_02物料!$D$4:$D$1203,"周转筐*",对接源_02物料!$L$4:$L$1203,"已收讫")+SUMIFS(对接源_02物料!$K$4:$K$1203,对接源_02物料!$C$4:$C$1203,$B175,对接源_02物料!$D$4:$D$1203,"周转筐*",对接源_02物料!$L$4:$L$1203,"已付款")+SUMIFS(对接源_02物料!$K$4:$K$1203,对接源_02物料!$C$4:$C$1203,$B175,对接源_02物料!$D$4:$D$1203,"次果筐*",对接源_02物料!$L$4:$L$1203,"已收讫")+SUMIFS(对接源_02物料!$K$4:$K$1203,对接源_02物料!$C$4:$C$1203,$B175,对接源_02物料!$D$4:$D$1203,"次果筐*",对接源_02物料!$L$4:$L$1203,"已付款"),2))</f>
      </c>
      <c r="J175" s="177">
        <f>IF($B175="","",ROUND(N($H175)-N($I175),2))</f>
      </c>
      <c r="K175" s="16">
        <f>IF($B175="","",IF(ROUND(N($J175),2)&gt;0,"对方欠款",IF(ROUND(N($J175),2)&lt;0,"我方欠款","已两清")))</f>
      </c>
      <c r="L175" s="26" t="n"/>
    </row>
    <row r="176" s="127">
      <c r="A176" s="16">
        <f>IF($B176="","",ROW()-3)</f>
      </c>
      <c r="B176" s="11">
        <f>IFERROR(INDEX(_自动清单!$E$4:$E$303,ROW()-3),"")</f>
      </c>
      <c r="C176" s="177">
        <f>IF($B176="","",ROUND(SUMIFS(对接源_01水果!$K$4:$K$1203,对接源_01水果!$C$4:$C$1203,$B176,对接源_01水果!$D$4:$D$1203,"成品出库*"),2))</f>
      </c>
      <c r="D176" s="177">
        <f>IF($B176="","",ROUND(SUMIFS(对接源_01水果!$K$4:$K$1203,对接源_01水果!$C$4:$C$1203,$B176,对接源_01水果!$D$4:$D$1203,"其他代存*"),2))</f>
      </c>
      <c r="E176" s="177">
        <f>IF($B176="","",ROUND(SUMIFS(对接源_02物料!$K$4:$K$1203,对接源_02物料!$C$4:$C$1203,$B176,对接源_02物料!$D$4:$D$1203,"包装物料*"),2))</f>
      </c>
      <c r="F176" s="177">
        <f>IF($B176="","",ROUND(SUMIFS(对接源_02物料!$K$4:$K$1203,对接源_02物料!$C$4:$C$1203,$B176,对接源_02物料!$D$4:$D$1203,"周转筐*"),2))</f>
      </c>
      <c r="G176" s="177">
        <f>IF($B176="","",ROUND(SUMIFS(对接源_02物料!$K$4:$K$1203,对接源_02物料!$C$4:$C$1203,$B176,对接源_02物料!$D$4:$D$1203,"次果筐*"),2))</f>
      </c>
      <c r="H176" s="177">
        <f>IF($B176="","",ROUND(SUM($C176:$G176),2))</f>
      </c>
      <c r="I176" s="177">
        <f>IF($B176="","",ROUND(SUMIFS(对接源_01水果!$K$4:$K$1203,对接源_01水果!$C$4:$C$1203,$B176,对接源_01水果!$D$4:$D$1203,"成品出库*",对接源_01水果!$L$4:$L$1203,"已收讫")+SUMIFS(对接源_01水果!$K$4:$K$1203,对接源_01水果!$C$4:$C$1203,$B176,对接源_01水果!$D$4:$D$1203,"成品出库*",对接源_01水果!$L$4:$L$1203,"已付款")+SUMIFS(对接源_01水果!$K$4:$K$1203,对接源_01水果!$C$4:$C$1203,$B176,对接源_01水果!$D$4:$D$1203,"其他代存*",对接源_01水果!$L$4:$L$1203,"已收讫")+SUMIFS(对接源_01水果!$K$4:$K$1203,对接源_01水果!$C$4:$C$1203,$B176,对接源_01水果!$D$4:$D$1203,"其他代存*",对接源_01水果!$L$4:$L$1203,"已付款")+SUMIFS(对接源_02物料!$K$4:$K$1203,对接源_02物料!$C$4:$C$1203,$B176,对接源_02物料!$D$4:$D$1203,"包装物料*",对接源_02物料!$L$4:$L$1203,"已收讫")+SUMIFS(对接源_02物料!$K$4:$K$1203,对接源_02物料!$C$4:$C$1203,$B176,对接源_02物料!$D$4:$D$1203,"包装物料*",对接源_02物料!$L$4:$L$1203,"已付款")+SUMIFS(对接源_02物料!$K$4:$K$1203,对接源_02物料!$C$4:$C$1203,$B176,对接源_02物料!$D$4:$D$1203,"周转筐*",对接源_02物料!$L$4:$L$1203,"已收讫")+SUMIFS(对接源_02物料!$K$4:$K$1203,对接源_02物料!$C$4:$C$1203,$B176,对接源_02物料!$D$4:$D$1203,"周转筐*",对接源_02物料!$L$4:$L$1203,"已付款")+SUMIFS(对接源_02物料!$K$4:$K$1203,对接源_02物料!$C$4:$C$1203,$B176,对接源_02物料!$D$4:$D$1203,"次果筐*",对接源_02物料!$L$4:$L$1203,"已收讫")+SUMIFS(对接源_02物料!$K$4:$K$1203,对接源_02物料!$C$4:$C$1203,$B176,对接源_02物料!$D$4:$D$1203,"次果筐*",对接源_02物料!$L$4:$L$1203,"已付款"),2))</f>
      </c>
      <c r="J176" s="177">
        <f>IF($B176="","",ROUND(N($H176)-N($I176),2))</f>
      </c>
      <c r="K176" s="16">
        <f>IF($B176="","",IF(ROUND(N($J176),2)&gt;0,"对方欠款",IF(ROUND(N($J176),2)&lt;0,"我方欠款","已两清")))</f>
      </c>
      <c r="L176" s="26" t="n"/>
    </row>
    <row r="177" s="127">
      <c r="A177" s="16">
        <f>IF($B177="","",ROW()-3)</f>
      </c>
      <c r="B177" s="11">
        <f>IFERROR(INDEX(_自动清单!$E$4:$E$303,ROW()-3),"")</f>
      </c>
      <c r="C177" s="177">
        <f>IF($B177="","",ROUND(SUMIFS(对接源_01水果!$K$4:$K$1203,对接源_01水果!$C$4:$C$1203,$B177,对接源_01水果!$D$4:$D$1203,"成品出库*"),2))</f>
      </c>
      <c r="D177" s="177">
        <f>IF($B177="","",ROUND(SUMIFS(对接源_01水果!$K$4:$K$1203,对接源_01水果!$C$4:$C$1203,$B177,对接源_01水果!$D$4:$D$1203,"其他代存*"),2))</f>
      </c>
      <c r="E177" s="177">
        <f>IF($B177="","",ROUND(SUMIFS(对接源_02物料!$K$4:$K$1203,对接源_02物料!$C$4:$C$1203,$B177,对接源_02物料!$D$4:$D$1203,"包装物料*"),2))</f>
      </c>
      <c r="F177" s="177">
        <f>IF($B177="","",ROUND(SUMIFS(对接源_02物料!$K$4:$K$1203,对接源_02物料!$C$4:$C$1203,$B177,对接源_02物料!$D$4:$D$1203,"周转筐*"),2))</f>
      </c>
      <c r="G177" s="177">
        <f>IF($B177="","",ROUND(SUMIFS(对接源_02物料!$K$4:$K$1203,对接源_02物料!$C$4:$C$1203,$B177,对接源_02物料!$D$4:$D$1203,"次果筐*"),2))</f>
      </c>
      <c r="H177" s="177">
        <f>IF($B177="","",ROUND(SUM($C177:$G177),2))</f>
      </c>
      <c r="I177" s="177">
        <f>IF($B177="","",ROUND(SUMIFS(对接源_01水果!$K$4:$K$1203,对接源_01水果!$C$4:$C$1203,$B177,对接源_01水果!$D$4:$D$1203,"成品出库*",对接源_01水果!$L$4:$L$1203,"已收讫")+SUMIFS(对接源_01水果!$K$4:$K$1203,对接源_01水果!$C$4:$C$1203,$B177,对接源_01水果!$D$4:$D$1203,"成品出库*",对接源_01水果!$L$4:$L$1203,"已付款")+SUMIFS(对接源_01水果!$K$4:$K$1203,对接源_01水果!$C$4:$C$1203,$B177,对接源_01水果!$D$4:$D$1203,"其他代存*",对接源_01水果!$L$4:$L$1203,"已收讫")+SUMIFS(对接源_01水果!$K$4:$K$1203,对接源_01水果!$C$4:$C$1203,$B177,对接源_01水果!$D$4:$D$1203,"其他代存*",对接源_01水果!$L$4:$L$1203,"已付款")+SUMIFS(对接源_02物料!$K$4:$K$1203,对接源_02物料!$C$4:$C$1203,$B177,对接源_02物料!$D$4:$D$1203,"包装物料*",对接源_02物料!$L$4:$L$1203,"已收讫")+SUMIFS(对接源_02物料!$K$4:$K$1203,对接源_02物料!$C$4:$C$1203,$B177,对接源_02物料!$D$4:$D$1203,"包装物料*",对接源_02物料!$L$4:$L$1203,"已付款")+SUMIFS(对接源_02物料!$K$4:$K$1203,对接源_02物料!$C$4:$C$1203,$B177,对接源_02物料!$D$4:$D$1203,"周转筐*",对接源_02物料!$L$4:$L$1203,"已收讫")+SUMIFS(对接源_02物料!$K$4:$K$1203,对接源_02物料!$C$4:$C$1203,$B177,对接源_02物料!$D$4:$D$1203,"周转筐*",对接源_02物料!$L$4:$L$1203,"已付款")+SUMIFS(对接源_02物料!$K$4:$K$1203,对接源_02物料!$C$4:$C$1203,$B177,对接源_02物料!$D$4:$D$1203,"次果筐*",对接源_02物料!$L$4:$L$1203,"已收讫")+SUMIFS(对接源_02物料!$K$4:$K$1203,对接源_02物料!$C$4:$C$1203,$B177,对接源_02物料!$D$4:$D$1203,"次果筐*",对接源_02物料!$L$4:$L$1203,"已付款"),2))</f>
      </c>
      <c r="J177" s="177">
        <f>IF($B177="","",ROUND(N($H177)-N($I177),2))</f>
      </c>
      <c r="K177" s="16">
        <f>IF($B177="","",IF(ROUND(N($J177),2)&gt;0,"对方欠款",IF(ROUND(N($J177),2)&lt;0,"我方欠款","已两清")))</f>
      </c>
      <c r="L177" s="26" t="n"/>
    </row>
    <row r="178" s="127">
      <c r="A178" s="16">
        <f>IF($B178="","",ROW()-3)</f>
      </c>
      <c r="B178" s="11">
        <f>IFERROR(INDEX(_自动清单!$E$4:$E$303,ROW()-3),"")</f>
      </c>
      <c r="C178" s="177">
        <f>IF($B178="","",ROUND(SUMIFS(对接源_01水果!$K$4:$K$1203,对接源_01水果!$C$4:$C$1203,$B178,对接源_01水果!$D$4:$D$1203,"成品出库*"),2))</f>
      </c>
      <c r="D178" s="177">
        <f>IF($B178="","",ROUND(SUMIFS(对接源_01水果!$K$4:$K$1203,对接源_01水果!$C$4:$C$1203,$B178,对接源_01水果!$D$4:$D$1203,"其他代存*"),2))</f>
      </c>
      <c r="E178" s="177">
        <f>IF($B178="","",ROUND(SUMIFS(对接源_02物料!$K$4:$K$1203,对接源_02物料!$C$4:$C$1203,$B178,对接源_02物料!$D$4:$D$1203,"包装物料*"),2))</f>
      </c>
      <c r="F178" s="177">
        <f>IF($B178="","",ROUND(SUMIFS(对接源_02物料!$K$4:$K$1203,对接源_02物料!$C$4:$C$1203,$B178,对接源_02物料!$D$4:$D$1203,"周转筐*"),2))</f>
      </c>
      <c r="G178" s="177">
        <f>IF($B178="","",ROUND(SUMIFS(对接源_02物料!$K$4:$K$1203,对接源_02物料!$C$4:$C$1203,$B178,对接源_02物料!$D$4:$D$1203,"次果筐*"),2))</f>
      </c>
      <c r="H178" s="177">
        <f>IF($B178="","",ROUND(SUM($C178:$G178),2))</f>
      </c>
      <c r="I178" s="177">
        <f>IF($B178="","",ROUND(SUMIFS(对接源_01水果!$K$4:$K$1203,对接源_01水果!$C$4:$C$1203,$B178,对接源_01水果!$D$4:$D$1203,"成品出库*",对接源_01水果!$L$4:$L$1203,"已收讫")+SUMIFS(对接源_01水果!$K$4:$K$1203,对接源_01水果!$C$4:$C$1203,$B178,对接源_01水果!$D$4:$D$1203,"成品出库*",对接源_01水果!$L$4:$L$1203,"已付款")+SUMIFS(对接源_01水果!$K$4:$K$1203,对接源_01水果!$C$4:$C$1203,$B178,对接源_01水果!$D$4:$D$1203,"其他代存*",对接源_01水果!$L$4:$L$1203,"已收讫")+SUMIFS(对接源_01水果!$K$4:$K$1203,对接源_01水果!$C$4:$C$1203,$B178,对接源_01水果!$D$4:$D$1203,"其他代存*",对接源_01水果!$L$4:$L$1203,"已付款")+SUMIFS(对接源_02物料!$K$4:$K$1203,对接源_02物料!$C$4:$C$1203,$B178,对接源_02物料!$D$4:$D$1203,"包装物料*",对接源_02物料!$L$4:$L$1203,"已收讫")+SUMIFS(对接源_02物料!$K$4:$K$1203,对接源_02物料!$C$4:$C$1203,$B178,对接源_02物料!$D$4:$D$1203,"包装物料*",对接源_02物料!$L$4:$L$1203,"已付款")+SUMIFS(对接源_02物料!$K$4:$K$1203,对接源_02物料!$C$4:$C$1203,$B178,对接源_02物料!$D$4:$D$1203,"周转筐*",对接源_02物料!$L$4:$L$1203,"已收讫")+SUMIFS(对接源_02物料!$K$4:$K$1203,对接源_02物料!$C$4:$C$1203,$B178,对接源_02物料!$D$4:$D$1203,"周转筐*",对接源_02物料!$L$4:$L$1203,"已付款")+SUMIFS(对接源_02物料!$K$4:$K$1203,对接源_02物料!$C$4:$C$1203,$B178,对接源_02物料!$D$4:$D$1203,"次果筐*",对接源_02物料!$L$4:$L$1203,"已收讫")+SUMIFS(对接源_02物料!$K$4:$K$1203,对接源_02物料!$C$4:$C$1203,$B178,对接源_02物料!$D$4:$D$1203,"次果筐*",对接源_02物料!$L$4:$L$1203,"已付款"),2))</f>
      </c>
      <c r="J178" s="177">
        <f>IF($B178="","",ROUND(N($H178)-N($I178),2))</f>
      </c>
      <c r="K178" s="16">
        <f>IF($B178="","",IF(ROUND(N($J178),2)&gt;0,"对方欠款",IF(ROUND(N($J178),2)&lt;0,"我方欠款","已两清")))</f>
      </c>
      <c r="L178" s="26" t="n"/>
    </row>
    <row r="179" s="127">
      <c r="A179" s="16">
        <f>IF($B179="","",ROW()-3)</f>
      </c>
      <c r="B179" s="11">
        <f>IFERROR(INDEX(_自动清单!$E$4:$E$303,ROW()-3),"")</f>
      </c>
      <c r="C179" s="177">
        <f>IF($B179="","",ROUND(SUMIFS(对接源_01水果!$K$4:$K$1203,对接源_01水果!$C$4:$C$1203,$B179,对接源_01水果!$D$4:$D$1203,"成品出库*"),2))</f>
      </c>
      <c r="D179" s="177">
        <f>IF($B179="","",ROUND(SUMIFS(对接源_01水果!$K$4:$K$1203,对接源_01水果!$C$4:$C$1203,$B179,对接源_01水果!$D$4:$D$1203,"其他代存*"),2))</f>
      </c>
      <c r="E179" s="177">
        <f>IF($B179="","",ROUND(SUMIFS(对接源_02物料!$K$4:$K$1203,对接源_02物料!$C$4:$C$1203,$B179,对接源_02物料!$D$4:$D$1203,"包装物料*"),2))</f>
      </c>
      <c r="F179" s="177">
        <f>IF($B179="","",ROUND(SUMIFS(对接源_02物料!$K$4:$K$1203,对接源_02物料!$C$4:$C$1203,$B179,对接源_02物料!$D$4:$D$1203,"周转筐*"),2))</f>
      </c>
      <c r="G179" s="177">
        <f>IF($B179="","",ROUND(SUMIFS(对接源_02物料!$K$4:$K$1203,对接源_02物料!$C$4:$C$1203,$B179,对接源_02物料!$D$4:$D$1203,"次果筐*"),2))</f>
      </c>
      <c r="H179" s="177">
        <f>IF($B179="","",ROUND(SUM($C179:$G179),2))</f>
      </c>
      <c r="I179" s="177">
        <f>IF($B179="","",ROUND(SUMIFS(对接源_01水果!$K$4:$K$1203,对接源_01水果!$C$4:$C$1203,$B179,对接源_01水果!$D$4:$D$1203,"成品出库*",对接源_01水果!$L$4:$L$1203,"已收讫")+SUMIFS(对接源_01水果!$K$4:$K$1203,对接源_01水果!$C$4:$C$1203,$B179,对接源_01水果!$D$4:$D$1203,"成品出库*",对接源_01水果!$L$4:$L$1203,"已付款")+SUMIFS(对接源_01水果!$K$4:$K$1203,对接源_01水果!$C$4:$C$1203,$B179,对接源_01水果!$D$4:$D$1203,"其他代存*",对接源_01水果!$L$4:$L$1203,"已收讫")+SUMIFS(对接源_01水果!$K$4:$K$1203,对接源_01水果!$C$4:$C$1203,$B179,对接源_01水果!$D$4:$D$1203,"其他代存*",对接源_01水果!$L$4:$L$1203,"已付款")+SUMIFS(对接源_02物料!$K$4:$K$1203,对接源_02物料!$C$4:$C$1203,$B179,对接源_02物料!$D$4:$D$1203,"包装物料*",对接源_02物料!$L$4:$L$1203,"已收讫")+SUMIFS(对接源_02物料!$K$4:$K$1203,对接源_02物料!$C$4:$C$1203,$B179,对接源_02物料!$D$4:$D$1203,"包装物料*",对接源_02物料!$L$4:$L$1203,"已付款")+SUMIFS(对接源_02物料!$K$4:$K$1203,对接源_02物料!$C$4:$C$1203,$B179,对接源_02物料!$D$4:$D$1203,"周转筐*",对接源_02物料!$L$4:$L$1203,"已收讫")+SUMIFS(对接源_02物料!$K$4:$K$1203,对接源_02物料!$C$4:$C$1203,$B179,对接源_02物料!$D$4:$D$1203,"周转筐*",对接源_02物料!$L$4:$L$1203,"已付款")+SUMIFS(对接源_02物料!$K$4:$K$1203,对接源_02物料!$C$4:$C$1203,$B179,对接源_02物料!$D$4:$D$1203,"次果筐*",对接源_02物料!$L$4:$L$1203,"已收讫")+SUMIFS(对接源_02物料!$K$4:$K$1203,对接源_02物料!$C$4:$C$1203,$B179,对接源_02物料!$D$4:$D$1203,"次果筐*",对接源_02物料!$L$4:$L$1203,"已付款"),2))</f>
      </c>
      <c r="J179" s="177">
        <f>IF($B179="","",ROUND(N($H179)-N($I179),2))</f>
      </c>
      <c r="K179" s="16">
        <f>IF($B179="","",IF(ROUND(N($J179),2)&gt;0,"对方欠款",IF(ROUND(N($J179),2)&lt;0,"我方欠款","已两清")))</f>
      </c>
      <c r="L179" s="26" t="n"/>
    </row>
    <row r="180" s="127">
      <c r="A180" s="16">
        <f>IF($B180="","",ROW()-3)</f>
      </c>
      <c r="B180" s="11">
        <f>IFERROR(INDEX(_自动清单!$E$4:$E$303,ROW()-3),"")</f>
      </c>
      <c r="C180" s="177">
        <f>IF($B180="","",ROUND(SUMIFS(对接源_01水果!$K$4:$K$1203,对接源_01水果!$C$4:$C$1203,$B180,对接源_01水果!$D$4:$D$1203,"成品出库*"),2))</f>
      </c>
      <c r="D180" s="177">
        <f>IF($B180="","",ROUND(SUMIFS(对接源_01水果!$K$4:$K$1203,对接源_01水果!$C$4:$C$1203,$B180,对接源_01水果!$D$4:$D$1203,"其他代存*"),2))</f>
      </c>
      <c r="E180" s="177">
        <f>IF($B180="","",ROUND(SUMIFS(对接源_02物料!$K$4:$K$1203,对接源_02物料!$C$4:$C$1203,$B180,对接源_02物料!$D$4:$D$1203,"包装物料*"),2))</f>
      </c>
      <c r="F180" s="177">
        <f>IF($B180="","",ROUND(SUMIFS(对接源_02物料!$K$4:$K$1203,对接源_02物料!$C$4:$C$1203,$B180,对接源_02物料!$D$4:$D$1203,"周转筐*"),2))</f>
      </c>
      <c r="G180" s="177">
        <f>IF($B180="","",ROUND(SUMIFS(对接源_02物料!$K$4:$K$1203,对接源_02物料!$C$4:$C$1203,$B180,对接源_02物料!$D$4:$D$1203,"次果筐*"),2))</f>
      </c>
      <c r="H180" s="177">
        <f>IF($B180="","",ROUND(SUM($C180:$G180),2))</f>
      </c>
      <c r="I180" s="177">
        <f>IF($B180="","",ROUND(SUMIFS(对接源_01水果!$K$4:$K$1203,对接源_01水果!$C$4:$C$1203,$B180,对接源_01水果!$D$4:$D$1203,"成品出库*",对接源_01水果!$L$4:$L$1203,"已收讫")+SUMIFS(对接源_01水果!$K$4:$K$1203,对接源_01水果!$C$4:$C$1203,$B180,对接源_01水果!$D$4:$D$1203,"成品出库*",对接源_01水果!$L$4:$L$1203,"已付款")+SUMIFS(对接源_01水果!$K$4:$K$1203,对接源_01水果!$C$4:$C$1203,$B180,对接源_01水果!$D$4:$D$1203,"其他代存*",对接源_01水果!$L$4:$L$1203,"已收讫")+SUMIFS(对接源_01水果!$K$4:$K$1203,对接源_01水果!$C$4:$C$1203,$B180,对接源_01水果!$D$4:$D$1203,"其他代存*",对接源_01水果!$L$4:$L$1203,"已付款")+SUMIFS(对接源_02物料!$K$4:$K$1203,对接源_02物料!$C$4:$C$1203,$B180,对接源_02物料!$D$4:$D$1203,"包装物料*",对接源_02物料!$L$4:$L$1203,"已收讫")+SUMIFS(对接源_02物料!$K$4:$K$1203,对接源_02物料!$C$4:$C$1203,$B180,对接源_02物料!$D$4:$D$1203,"包装物料*",对接源_02物料!$L$4:$L$1203,"已付款")+SUMIFS(对接源_02物料!$K$4:$K$1203,对接源_02物料!$C$4:$C$1203,$B180,对接源_02物料!$D$4:$D$1203,"周转筐*",对接源_02物料!$L$4:$L$1203,"已收讫")+SUMIFS(对接源_02物料!$K$4:$K$1203,对接源_02物料!$C$4:$C$1203,$B180,对接源_02物料!$D$4:$D$1203,"周转筐*",对接源_02物料!$L$4:$L$1203,"已付款")+SUMIFS(对接源_02物料!$K$4:$K$1203,对接源_02物料!$C$4:$C$1203,$B180,对接源_02物料!$D$4:$D$1203,"次果筐*",对接源_02物料!$L$4:$L$1203,"已收讫")+SUMIFS(对接源_02物料!$K$4:$K$1203,对接源_02物料!$C$4:$C$1203,$B180,对接源_02物料!$D$4:$D$1203,"次果筐*",对接源_02物料!$L$4:$L$1203,"已付款"),2))</f>
      </c>
      <c r="J180" s="177">
        <f>IF($B180="","",ROUND(N($H180)-N($I180),2))</f>
      </c>
      <c r="K180" s="16">
        <f>IF($B180="","",IF(ROUND(N($J180),2)&gt;0,"对方欠款",IF(ROUND(N($J180),2)&lt;0,"我方欠款","已两清")))</f>
      </c>
      <c r="L180" s="26" t="n"/>
    </row>
    <row r="181" s="127">
      <c r="A181" s="16">
        <f>IF($B181="","",ROW()-3)</f>
      </c>
      <c r="B181" s="11">
        <f>IFERROR(INDEX(_自动清单!$E$4:$E$303,ROW()-3),"")</f>
      </c>
      <c r="C181" s="177">
        <f>IF($B181="","",ROUND(SUMIFS(对接源_01水果!$K$4:$K$1203,对接源_01水果!$C$4:$C$1203,$B181,对接源_01水果!$D$4:$D$1203,"成品出库*"),2))</f>
      </c>
      <c r="D181" s="177">
        <f>IF($B181="","",ROUND(SUMIFS(对接源_01水果!$K$4:$K$1203,对接源_01水果!$C$4:$C$1203,$B181,对接源_01水果!$D$4:$D$1203,"其他代存*"),2))</f>
      </c>
      <c r="E181" s="177">
        <f>IF($B181="","",ROUND(SUMIFS(对接源_02物料!$K$4:$K$1203,对接源_02物料!$C$4:$C$1203,$B181,对接源_02物料!$D$4:$D$1203,"包装物料*"),2))</f>
      </c>
      <c r="F181" s="177">
        <f>IF($B181="","",ROUND(SUMIFS(对接源_02物料!$K$4:$K$1203,对接源_02物料!$C$4:$C$1203,$B181,对接源_02物料!$D$4:$D$1203,"周转筐*"),2))</f>
      </c>
      <c r="G181" s="177">
        <f>IF($B181="","",ROUND(SUMIFS(对接源_02物料!$K$4:$K$1203,对接源_02物料!$C$4:$C$1203,$B181,对接源_02物料!$D$4:$D$1203,"次果筐*"),2))</f>
      </c>
      <c r="H181" s="177">
        <f>IF($B181="","",ROUND(SUM($C181:$G181),2))</f>
      </c>
      <c r="I181" s="177">
        <f>IF($B181="","",ROUND(SUMIFS(对接源_01水果!$K$4:$K$1203,对接源_01水果!$C$4:$C$1203,$B181,对接源_01水果!$D$4:$D$1203,"成品出库*",对接源_01水果!$L$4:$L$1203,"已收讫")+SUMIFS(对接源_01水果!$K$4:$K$1203,对接源_01水果!$C$4:$C$1203,$B181,对接源_01水果!$D$4:$D$1203,"成品出库*",对接源_01水果!$L$4:$L$1203,"已付款")+SUMIFS(对接源_01水果!$K$4:$K$1203,对接源_01水果!$C$4:$C$1203,$B181,对接源_01水果!$D$4:$D$1203,"其他代存*",对接源_01水果!$L$4:$L$1203,"已收讫")+SUMIFS(对接源_01水果!$K$4:$K$1203,对接源_01水果!$C$4:$C$1203,$B181,对接源_01水果!$D$4:$D$1203,"其他代存*",对接源_01水果!$L$4:$L$1203,"已付款")+SUMIFS(对接源_02物料!$K$4:$K$1203,对接源_02物料!$C$4:$C$1203,$B181,对接源_02物料!$D$4:$D$1203,"包装物料*",对接源_02物料!$L$4:$L$1203,"已收讫")+SUMIFS(对接源_02物料!$K$4:$K$1203,对接源_02物料!$C$4:$C$1203,$B181,对接源_02物料!$D$4:$D$1203,"包装物料*",对接源_02物料!$L$4:$L$1203,"已付款")+SUMIFS(对接源_02物料!$K$4:$K$1203,对接源_02物料!$C$4:$C$1203,$B181,对接源_02物料!$D$4:$D$1203,"周转筐*",对接源_02物料!$L$4:$L$1203,"已收讫")+SUMIFS(对接源_02物料!$K$4:$K$1203,对接源_02物料!$C$4:$C$1203,$B181,对接源_02物料!$D$4:$D$1203,"周转筐*",对接源_02物料!$L$4:$L$1203,"已付款")+SUMIFS(对接源_02物料!$K$4:$K$1203,对接源_02物料!$C$4:$C$1203,$B181,对接源_02物料!$D$4:$D$1203,"次果筐*",对接源_02物料!$L$4:$L$1203,"已收讫")+SUMIFS(对接源_02物料!$K$4:$K$1203,对接源_02物料!$C$4:$C$1203,$B181,对接源_02物料!$D$4:$D$1203,"次果筐*",对接源_02物料!$L$4:$L$1203,"已付款"),2))</f>
      </c>
      <c r="J181" s="177">
        <f>IF($B181="","",ROUND(N($H181)-N($I181),2))</f>
      </c>
      <c r="K181" s="16">
        <f>IF($B181="","",IF(ROUND(N($J181),2)&gt;0,"对方欠款",IF(ROUND(N($J181),2)&lt;0,"我方欠款","已两清")))</f>
      </c>
      <c r="L181" s="26" t="n"/>
    </row>
    <row r="182" s="127">
      <c r="A182" s="16">
        <f>IF($B182="","",ROW()-3)</f>
      </c>
      <c r="B182" s="11">
        <f>IFERROR(INDEX(_自动清单!$E$4:$E$303,ROW()-3),"")</f>
      </c>
      <c r="C182" s="177">
        <f>IF($B182="","",ROUND(SUMIFS(对接源_01水果!$K$4:$K$1203,对接源_01水果!$C$4:$C$1203,$B182,对接源_01水果!$D$4:$D$1203,"成品出库*"),2))</f>
      </c>
      <c r="D182" s="177">
        <f>IF($B182="","",ROUND(SUMIFS(对接源_01水果!$K$4:$K$1203,对接源_01水果!$C$4:$C$1203,$B182,对接源_01水果!$D$4:$D$1203,"其他代存*"),2))</f>
      </c>
      <c r="E182" s="177">
        <f>IF($B182="","",ROUND(SUMIFS(对接源_02物料!$K$4:$K$1203,对接源_02物料!$C$4:$C$1203,$B182,对接源_02物料!$D$4:$D$1203,"包装物料*"),2))</f>
      </c>
      <c r="F182" s="177">
        <f>IF($B182="","",ROUND(SUMIFS(对接源_02物料!$K$4:$K$1203,对接源_02物料!$C$4:$C$1203,$B182,对接源_02物料!$D$4:$D$1203,"周转筐*"),2))</f>
      </c>
      <c r="G182" s="177">
        <f>IF($B182="","",ROUND(SUMIFS(对接源_02物料!$K$4:$K$1203,对接源_02物料!$C$4:$C$1203,$B182,对接源_02物料!$D$4:$D$1203,"次果筐*"),2))</f>
      </c>
      <c r="H182" s="177">
        <f>IF($B182="","",ROUND(SUM($C182:$G182),2))</f>
      </c>
      <c r="I182" s="177">
        <f>IF($B182="","",ROUND(SUMIFS(对接源_01水果!$K$4:$K$1203,对接源_01水果!$C$4:$C$1203,$B182,对接源_01水果!$D$4:$D$1203,"成品出库*",对接源_01水果!$L$4:$L$1203,"已收讫")+SUMIFS(对接源_01水果!$K$4:$K$1203,对接源_01水果!$C$4:$C$1203,$B182,对接源_01水果!$D$4:$D$1203,"成品出库*",对接源_01水果!$L$4:$L$1203,"已付款")+SUMIFS(对接源_01水果!$K$4:$K$1203,对接源_01水果!$C$4:$C$1203,$B182,对接源_01水果!$D$4:$D$1203,"其他代存*",对接源_01水果!$L$4:$L$1203,"已收讫")+SUMIFS(对接源_01水果!$K$4:$K$1203,对接源_01水果!$C$4:$C$1203,$B182,对接源_01水果!$D$4:$D$1203,"其他代存*",对接源_01水果!$L$4:$L$1203,"已付款")+SUMIFS(对接源_02物料!$K$4:$K$1203,对接源_02物料!$C$4:$C$1203,$B182,对接源_02物料!$D$4:$D$1203,"包装物料*",对接源_02物料!$L$4:$L$1203,"已收讫")+SUMIFS(对接源_02物料!$K$4:$K$1203,对接源_02物料!$C$4:$C$1203,$B182,对接源_02物料!$D$4:$D$1203,"包装物料*",对接源_02物料!$L$4:$L$1203,"已付款")+SUMIFS(对接源_02物料!$K$4:$K$1203,对接源_02物料!$C$4:$C$1203,$B182,对接源_02物料!$D$4:$D$1203,"周转筐*",对接源_02物料!$L$4:$L$1203,"已收讫")+SUMIFS(对接源_02物料!$K$4:$K$1203,对接源_02物料!$C$4:$C$1203,$B182,对接源_02物料!$D$4:$D$1203,"周转筐*",对接源_02物料!$L$4:$L$1203,"已付款")+SUMIFS(对接源_02物料!$K$4:$K$1203,对接源_02物料!$C$4:$C$1203,$B182,对接源_02物料!$D$4:$D$1203,"次果筐*",对接源_02物料!$L$4:$L$1203,"已收讫")+SUMIFS(对接源_02物料!$K$4:$K$1203,对接源_02物料!$C$4:$C$1203,$B182,对接源_02物料!$D$4:$D$1203,"次果筐*",对接源_02物料!$L$4:$L$1203,"已付款"),2))</f>
      </c>
      <c r="J182" s="177">
        <f>IF($B182="","",ROUND(N($H182)-N($I182),2))</f>
      </c>
      <c r="K182" s="16">
        <f>IF($B182="","",IF(ROUND(N($J182),2)&gt;0,"对方欠款",IF(ROUND(N($J182),2)&lt;0,"我方欠款","已两清")))</f>
      </c>
      <c r="L182" s="26" t="n"/>
    </row>
    <row r="183" s="127">
      <c r="A183" s="16">
        <f>IF($B183="","",ROW()-3)</f>
      </c>
      <c r="B183" s="11">
        <f>IFERROR(INDEX(_自动清单!$E$4:$E$303,ROW()-3),"")</f>
      </c>
      <c r="C183" s="177">
        <f>IF($B183="","",ROUND(SUMIFS(对接源_01水果!$K$4:$K$1203,对接源_01水果!$C$4:$C$1203,$B183,对接源_01水果!$D$4:$D$1203,"成品出库*"),2))</f>
      </c>
      <c r="D183" s="177">
        <f>IF($B183="","",ROUND(SUMIFS(对接源_01水果!$K$4:$K$1203,对接源_01水果!$C$4:$C$1203,$B183,对接源_01水果!$D$4:$D$1203,"其他代存*"),2))</f>
      </c>
      <c r="E183" s="177">
        <f>IF($B183="","",ROUND(SUMIFS(对接源_02物料!$K$4:$K$1203,对接源_02物料!$C$4:$C$1203,$B183,对接源_02物料!$D$4:$D$1203,"包装物料*"),2))</f>
      </c>
      <c r="F183" s="177">
        <f>IF($B183="","",ROUND(SUMIFS(对接源_02物料!$K$4:$K$1203,对接源_02物料!$C$4:$C$1203,$B183,对接源_02物料!$D$4:$D$1203,"周转筐*"),2))</f>
      </c>
      <c r="G183" s="177">
        <f>IF($B183="","",ROUND(SUMIFS(对接源_02物料!$K$4:$K$1203,对接源_02物料!$C$4:$C$1203,$B183,对接源_02物料!$D$4:$D$1203,"次果筐*"),2))</f>
      </c>
      <c r="H183" s="177">
        <f>IF($B183="","",ROUND(SUM($C183:$G183),2))</f>
      </c>
      <c r="I183" s="177">
        <f>IF($B183="","",ROUND(SUMIFS(对接源_01水果!$K$4:$K$1203,对接源_01水果!$C$4:$C$1203,$B183,对接源_01水果!$D$4:$D$1203,"成品出库*",对接源_01水果!$L$4:$L$1203,"已收讫")+SUMIFS(对接源_01水果!$K$4:$K$1203,对接源_01水果!$C$4:$C$1203,$B183,对接源_01水果!$D$4:$D$1203,"成品出库*",对接源_01水果!$L$4:$L$1203,"已付款")+SUMIFS(对接源_01水果!$K$4:$K$1203,对接源_01水果!$C$4:$C$1203,$B183,对接源_01水果!$D$4:$D$1203,"其他代存*",对接源_01水果!$L$4:$L$1203,"已收讫")+SUMIFS(对接源_01水果!$K$4:$K$1203,对接源_01水果!$C$4:$C$1203,$B183,对接源_01水果!$D$4:$D$1203,"其他代存*",对接源_01水果!$L$4:$L$1203,"已付款")+SUMIFS(对接源_02物料!$K$4:$K$1203,对接源_02物料!$C$4:$C$1203,$B183,对接源_02物料!$D$4:$D$1203,"包装物料*",对接源_02物料!$L$4:$L$1203,"已收讫")+SUMIFS(对接源_02物料!$K$4:$K$1203,对接源_02物料!$C$4:$C$1203,$B183,对接源_02物料!$D$4:$D$1203,"包装物料*",对接源_02物料!$L$4:$L$1203,"已付款")+SUMIFS(对接源_02物料!$K$4:$K$1203,对接源_02物料!$C$4:$C$1203,$B183,对接源_02物料!$D$4:$D$1203,"周转筐*",对接源_02物料!$L$4:$L$1203,"已收讫")+SUMIFS(对接源_02物料!$K$4:$K$1203,对接源_02物料!$C$4:$C$1203,$B183,对接源_02物料!$D$4:$D$1203,"周转筐*",对接源_02物料!$L$4:$L$1203,"已付款")+SUMIFS(对接源_02物料!$K$4:$K$1203,对接源_02物料!$C$4:$C$1203,$B183,对接源_02物料!$D$4:$D$1203,"次果筐*",对接源_02物料!$L$4:$L$1203,"已收讫")+SUMIFS(对接源_02物料!$K$4:$K$1203,对接源_02物料!$C$4:$C$1203,$B183,对接源_02物料!$D$4:$D$1203,"次果筐*",对接源_02物料!$L$4:$L$1203,"已付款"),2))</f>
      </c>
      <c r="J183" s="177">
        <f>IF($B183="","",ROUND(N($H183)-N($I183),2))</f>
      </c>
      <c r="K183" s="16">
        <f>IF($B183="","",IF(ROUND(N($J183),2)&gt;0,"对方欠款",IF(ROUND(N($J183),2)&lt;0,"我方欠款","已两清")))</f>
      </c>
      <c r="L183" s="26" t="n"/>
    </row>
    <row r="184" s="127">
      <c r="A184" s="16">
        <f>IF($B184="","",ROW()-3)</f>
      </c>
      <c r="B184" s="11">
        <f>IFERROR(INDEX(_自动清单!$E$4:$E$303,ROW()-3),"")</f>
      </c>
      <c r="C184" s="177">
        <f>IF($B184="","",ROUND(SUMIFS(对接源_01水果!$K$4:$K$1203,对接源_01水果!$C$4:$C$1203,$B184,对接源_01水果!$D$4:$D$1203,"成品出库*"),2))</f>
      </c>
      <c r="D184" s="177">
        <f>IF($B184="","",ROUND(SUMIFS(对接源_01水果!$K$4:$K$1203,对接源_01水果!$C$4:$C$1203,$B184,对接源_01水果!$D$4:$D$1203,"其他代存*"),2))</f>
      </c>
      <c r="E184" s="177">
        <f>IF($B184="","",ROUND(SUMIFS(对接源_02物料!$K$4:$K$1203,对接源_02物料!$C$4:$C$1203,$B184,对接源_02物料!$D$4:$D$1203,"包装物料*"),2))</f>
      </c>
      <c r="F184" s="177">
        <f>IF($B184="","",ROUND(SUMIFS(对接源_02物料!$K$4:$K$1203,对接源_02物料!$C$4:$C$1203,$B184,对接源_02物料!$D$4:$D$1203,"周转筐*"),2))</f>
      </c>
      <c r="G184" s="177">
        <f>IF($B184="","",ROUND(SUMIFS(对接源_02物料!$K$4:$K$1203,对接源_02物料!$C$4:$C$1203,$B184,对接源_02物料!$D$4:$D$1203,"次果筐*"),2))</f>
      </c>
      <c r="H184" s="177">
        <f>IF($B184="","",ROUND(SUM($C184:$G184),2))</f>
      </c>
      <c r="I184" s="177">
        <f>IF($B184="","",ROUND(SUMIFS(对接源_01水果!$K$4:$K$1203,对接源_01水果!$C$4:$C$1203,$B184,对接源_01水果!$D$4:$D$1203,"成品出库*",对接源_01水果!$L$4:$L$1203,"已收讫")+SUMIFS(对接源_01水果!$K$4:$K$1203,对接源_01水果!$C$4:$C$1203,$B184,对接源_01水果!$D$4:$D$1203,"成品出库*",对接源_01水果!$L$4:$L$1203,"已付款")+SUMIFS(对接源_01水果!$K$4:$K$1203,对接源_01水果!$C$4:$C$1203,$B184,对接源_01水果!$D$4:$D$1203,"其他代存*",对接源_01水果!$L$4:$L$1203,"已收讫")+SUMIFS(对接源_01水果!$K$4:$K$1203,对接源_01水果!$C$4:$C$1203,$B184,对接源_01水果!$D$4:$D$1203,"其他代存*",对接源_01水果!$L$4:$L$1203,"已付款")+SUMIFS(对接源_02物料!$K$4:$K$1203,对接源_02物料!$C$4:$C$1203,$B184,对接源_02物料!$D$4:$D$1203,"包装物料*",对接源_02物料!$L$4:$L$1203,"已收讫")+SUMIFS(对接源_02物料!$K$4:$K$1203,对接源_02物料!$C$4:$C$1203,$B184,对接源_02物料!$D$4:$D$1203,"包装物料*",对接源_02物料!$L$4:$L$1203,"已付款")+SUMIFS(对接源_02物料!$K$4:$K$1203,对接源_02物料!$C$4:$C$1203,$B184,对接源_02物料!$D$4:$D$1203,"周转筐*",对接源_02物料!$L$4:$L$1203,"已收讫")+SUMIFS(对接源_02物料!$K$4:$K$1203,对接源_02物料!$C$4:$C$1203,$B184,对接源_02物料!$D$4:$D$1203,"周转筐*",对接源_02物料!$L$4:$L$1203,"已付款")+SUMIFS(对接源_02物料!$K$4:$K$1203,对接源_02物料!$C$4:$C$1203,$B184,对接源_02物料!$D$4:$D$1203,"次果筐*",对接源_02物料!$L$4:$L$1203,"已收讫")+SUMIFS(对接源_02物料!$K$4:$K$1203,对接源_02物料!$C$4:$C$1203,$B184,对接源_02物料!$D$4:$D$1203,"次果筐*",对接源_02物料!$L$4:$L$1203,"已付款"),2))</f>
      </c>
      <c r="J184" s="177">
        <f>IF($B184="","",ROUND(N($H184)-N($I184),2))</f>
      </c>
      <c r="K184" s="16">
        <f>IF($B184="","",IF(ROUND(N($J184),2)&gt;0,"对方欠款",IF(ROUND(N($J184),2)&lt;0,"我方欠款","已两清")))</f>
      </c>
      <c r="L184" s="26" t="n"/>
    </row>
    <row r="185" s="127">
      <c r="A185" s="16">
        <f>IF($B185="","",ROW()-3)</f>
      </c>
      <c r="B185" s="11">
        <f>IFERROR(INDEX(_自动清单!$E$4:$E$303,ROW()-3),"")</f>
      </c>
      <c r="C185" s="177">
        <f>IF($B185="","",ROUND(SUMIFS(对接源_01水果!$K$4:$K$1203,对接源_01水果!$C$4:$C$1203,$B185,对接源_01水果!$D$4:$D$1203,"成品出库*"),2))</f>
      </c>
      <c r="D185" s="177">
        <f>IF($B185="","",ROUND(SUMIFS(对接源_01水果!$K$4:$K$1203,对接源_01水果!$C$4:$C$1203,$B185,对接源_01水果!$D$4:$D$1203,"其他代存*"),2))</f>
      </c>
      <c r="E185" s="177">
        <f>IF($B185="","",ROUND(SUMIFS(对接源_02物料!$K$4:$K$1203,对接源_02物料!$C$4:$C$1203,$B185,对接源_02物料!$D$4:$D$1203,"包装物料*"),2))</f>
      </c>
      <c r="F185" s="177">
        <f>IF($B185="","",ROUND(SUMIFS(对接源_02物料!$K$4:$K$1203,对接源_02物料!$C$4:$C$1203,$B185,对接源_02物料!$D$4:$D$1203,"周转筐*"),2))</f>
      </c>
      <c r="G185" s="177">
        <f>IF($B185="","",ROUND(SUMIFS(对接源_02物料!$K$4:$K$1203,对接源_02物料!$C$4:$C$1203,$B185,对接源_02物料!$D$4:$D$1203,"次果筐*"),2))</f>
      </c>
      <c r="H185" s="177">
        <f>IF($B185="","",ROUND(SUM($C185:$G185),2))</f>
      </c>
      <c r="I185" s="177">
        <f>IF($B185="","",ROUND(SUMIFS(对接源_01水果!$K$4:$K$1203,对接源_01水果!$C$4:$C$1203,$B185,对接源_01水果!$D$4:$D$1203,"成品出库*",对接源_01水果!$L$4:$L$1203,"已收讫")+SUMIFS(对接源_01水果!$K$4:$K$1203,对接源_01水果!$C$4:$C$1203,$B185,对接源_01水果!$D$4:$D$1203,"成品出库*",对接源_01水果!$L$4:$L$1203,"已付款")+SUMIFS(对接源_01水果!$K$4:$K$1203,对接源_01水果!$C$4:$C$1203,$B185,对接源_01水果!$D$4:$D$1203,"其他代存*",对接源_01水果!$L$4:$L$1203,"已收讫")+SUMIFS(对接源_01水果!$K$4:$K$1203,对接源_01水果!$C$4:$C$1203,$B185,对接源_01水果!$D$4:$D$1203,"其他代存*",对接源_01水果!$L$4:$L$1203,"已付款")+SUMIFS(对接源_02物料!$K$4:$K$1203,对接源_02物料!$C$4:$C$1203,$B185,对接源_02物料!$D$4:$D$1203,"包装物料*",对接源_02物料!$L$4:$L$1203,"已收讫")+SUMIFS(对接源_02物料!$K$4:$K$1203,对接源_02物料!$C$4:$C$1203,$B185,对接源_02物料!$D$4:$D$1203,"包装物料*",对接源_02物料!$L$4:$L$1203,"已付款")+SUMIFS(对接源_02物料!$K$4:$K$1203,对接源_02物料!$C$4:$C$1203,$B185,对接源_02物料!$D$4:$D$1203,"周转筐*",对接源_02物料!$L$4:$L$1203,"已收讫")+SUMIFS(对接源_02物料!$K$4:$K$1203,对接源_02物料!$C$4:$C$1203,$B185,对接源_02物料!$D$4:$D$1203,"周转筐*",对接源_02物料!$L$4:$L$1203,"已付款")+SUMIFS(对接源_02物料!$K$4:$K$1203,对接源_02物料!$C$4:$C$1203,$B185,对接源_02物料!$D$4:$D$1203,"次果筐*",对接源_02物料!$L$4:$L$1203,"已收讫")+SUMIFS(对接源_02物料!$K$4:$K$1203,对接源_02物料!$C$4:$C$1203,$B185,对接源_02物料!$D$4:$D$1203,"次果筐*",对接源_02物料!$L$4:$L$1203,"已付款"),2))</f>
      </c>
      <c r="J185" s="177">
        <f>IF($B185="","",ROUND(N($H185)-N($I185),2))</f>
      </c>
      <c r="K185" s="16">
        <f>IF($B185="","",IF(ROUND(N($J185),2)&gt;0,"对方欠款",IF(ROUND(N($J185),2)&lt;0,"我方欠款","已两清")))</f>
      </c>
      <c r="L185" s="26" t="n"/>
    </row>
    <row r="186" s="127">
      <c r="A186" s="16">
        <f>IF($B186="","",ROW()-3)</f>
      </c>
      <c r="B186" s="11">
        <f>IFERROR(INDEX(_自动清单!$E$4:$E$303,ROW()-3),"")</f>
      </c>
      <c r="C186" s="177">
        <f>IF($B186="","",ROUND(SUMIFS(对接源_01水果!$K$4:$K$1203,对接源_01水果!$C$4:$C$1203,$B186,对接源_01水果!$D$4:$D$1203,"成品出库*"),2))</f>
      </c>
      <c r="D186" s="177">
        <f>IF($B186="","",ROUND(SUMIFS(对接源_01水果!$K$4:$K$1203,对接源_01水果!$C$4:$C$1203,$B186,对接源_01水果!$D$4:$D$1203,"其他代存*"),2))</f>
      </c>
      <c r="E186" s="177">
        <f>IF($B186="","",ROUND(SUMIFS(对接源_02物料!$K$4:$K$1203,对接源_02物料!$C$4:$C$1203,$B186,对接源_02物料!$D$4:$D$1203,"包装物料*"),2))</f>
      </c>
      <c r="F186" s="177">
        <f>IF($B186="","",ROUND(SUMIFS(对接源_02物料!$K$4:$K$1203,对接源_02物料!$C$4:$C$1203,$B186,对接源_02物料!$D$4:$D$1203,"周转筐*"),2))</f>
      </c>
      <c r="G186" s="177">
        <f>IF($B186="","",ROUND(SUMIFS(对接源_02物料!$K$4:$K$1203,对接源_02物料!$C$4:$C$1203,$B186,对接源_02物料!$D$4:$D$1203,"次果筐*"),2))</f>
      </c>
      <c r="H186" s="177">
        <f>IF($B186="","",ROUND(SUM($C186:$G186),2))</f>
      </c>
      <c r="I186" s="177">
        <f>IF($B186="","",ROUND(SUMIFS(对接源_01水果!$K$4:$K$1203,对接源_01水果!$C$4:$C$1203,$B186,对接源_01水果!$D$4:$D$1203,"成品出库*",对接源_01水果!$L$4:$L$1203,"已收讫")+SUMIFS(对接源_01水果!$K$4:$K$1203,对接源_01水果!$C$4:$C$1203,$B186,对接源_01水果!$D$4:$D$1203,"成品出库*",对接源_01水果!$L$4:$L$1203,"已付款")+SUMIFS(对接源_01水果!$K$4:$K$1203,对接源_01水果!$C$4:$C$1203,$B186,对接源_01水果!$D$4:$D$1203,"其他代存*",对接源_01水果!$L$4:$L$1203,"已收讫")+SUMIFS(对接源_01水果!$K$4:$K$1203,对接源_01水果!$C$4:$C$1203,$B186,对接源_01水果!$D$4:$D$1203,"其他代存*",对接源_01水果!$L$4:$L$1203,"已付款")+SUMIFS(对接源_02物料!$K$4:$K$1203,对接源_02物料!$C$4:$C$1203,$B186,对接源_02物料!$D$4:$D$1203,"包装物料*",对接源_02物料!$L$4:$L$1203,"已收讫")+SUMIFS(对接源_02物料!$K$4:$K$1203,对接源_02物料!$C$4:$C$1203,$B186,对接源_02物料!$D$4:$D$1203,"包装物料*",对接源_02物料!$L$4:$L$1203,"已付款")+SUMIFS(对接源_02物料!$K$4:$K$1203,对接源_02物料!$C$4:$C$1203,$B186,对接源_02物料!$D$4:$D$1203,"周转筐*",对接源_02物料!$L$4:$L$1203,"已收讫")+SUMIFS(对接源_02物料!$K$4:$K$1203,对接源_02物料!$C$4:$C$1203,$B186,对接源_02物料!$D$4:$D$1203,"周转筐*",对接源_02物料!$L$4:$L$1203,"已付款")+SUMIFS(对接源_02物料!$K$4:$K$1203,对接源_02物料!$C$4:$C$1203,$B186,对接源_02物料!$D$4:$D$1203,"次果筐*",对接源_02物料!$L$4:$L$1203,"已收讫")+SUMIFS(对接源_02物料!$K$4:$K$1203,对接源_02物料!$C$4:$C$1203,$B186,对接源_02物料!$D$4:$D$1203,"次果筐*",对接源_02物料!$L$4:$L$1203,"已付款"),2))</f>
      </c>
      <c r="J186" s="177">
        <f>IF($B186="","",ROUND(N($H186)-N($I186),2))</f>
      </c>
      <c r="K186" s="16">
        <f>IF($B186="","",IF(ROUND(N($J186),2)&gt;0,"对方欠款",IF(ROUND(N($J186),2)&lt;0,"我方欠款","已两清")))</f>
      </c>
      <c r="L186" s="26" t="n"/>
    </row>
    <row r="187" s="127">
      <c r="A187" s="16">
        <f>IF($B187="","",ROW()-3)</f>
      </c>
      <c r="B187" s="11">
        <f>IFERROR(INDEX(_自动清单!$E$4:$E$303,ROW()-3),"")</f>
      </c>
      <c r="C187" s="177">
        <f>IF($B187="","",ROUND(SUMIFS(对接源_01水果!$K$4:$K$1203,对接源_01水果!$C$4:$C$1203,$B187,对接源_01水果!$D$4:$D$1203,"成品出库*"),2))</f>
      </c>
      <c r="D187" s="177">
        <f>IF($B187="","",ROUND(SUMIFS(对接源_01水果!$K$4:$K$1203,对接源_01水果!$C$4:$C$1203,$B187,对接源_01水果!$D$4:$D$1203,"其他代存*"),2))</f>
      </c>
      <c r="E187" s="177">
        <f>IF($B187="","",ROUND(SUMIFS(对接源_02物料!$K$4:$K$1203,对接源_02物料!$C$4:$C$1203,$B187,对接源_02物料!$D$4:$D$1203,"包装物料*"),2))</f>
      </c>
      <c r="F187" s="177">
        <f>IF($B187="","",ROUND(SUMIFS(对接源_02物料!$K$4:$K$1203,对接源_02物料!$C$4:$C$1203,$B187,对接源_02物料!$D$4:$D$1203,"周转筐*"),2))</f>
      </c>
      <c r="G187" s="177">
        <f>IF($B187="","",ROUND(SUMIFS(对接源_02物料!$K$4:$K$1203,对接源_02物料!$C$4:$C$1203,$B187,对接源_02物料!$D$4:$D$1203,"次果筐*"),2))</f>
      </c>
      <c r="H187" s="177">
        <f>IF($B187="","",ROUND(SUM($C187:$G187),2))</f>
      </c>
      <c r="I187" s="177">
        <f>IF($B187="","",ROUND(SUMIFS(对接源_01水果!$K$4:$K$1203,对接源_01水果!$C$4:$C$1203,$B187,对接源_01水果!$D$4:$D$1203,"成品出库*",对接源_01水果!$L$4:$L$1203,"已收讫")+SUMIFS(对接源_01水果!$K$4:$K$1203,对接源_01水果!$C$4:$C$1203,$B187,对接源_01水果!$D$4:$D$1203,"成品出库*",对接源_01水果!$L$4:$L$1203,"已付款")+SUMIFS(对接源_01水果!$K$4:$K$1203,对接源_01水果!$C$4:$C$1203,$B187,对接源_01水果!$D$4:$D$1203,"其他代存*",对接源_01水果!$L$4:$L$1203,"已收讫")+SUMIFS(对接源_01水果!$K$4:$K$1203,对接源_01水果!$C$4:$C$1203,$B187,对接源_01水果!$D$4:$D$1203,"其他代存*",对接源_01水果!$L$4:$L$1203,"已付款")+SUMIFS(对接源_02物料!$K$4:$K$1203,对接源_02物料!$C$4:$C$1203,$B187,对接源_02物料!$D$4:$D$1203,"包装物料*",对接源_02物料!$L$4:$L$1203,"已收讫")+SUMIFS(对接源_02物料!$K$4:$K$1203,对接源_02物料!$C$4:$C$1203,$B187,对接源_02物料!$D$4:$D$1203,"包装物料*",对接源_02物料!$L$4:$L$1203,"已付款")+SUMIFS(对接源_02物料!$K$4:$K$1203,对接源_02物料!$C$4:$C$1203,$B187,对接源_02物料!$D$4:$D$1203,"周转筐*",对接源_02物料!$L$4:$L$1203,"已收讫")+SUMIFS(对接源_02物料!$K$4:$K$1203,对接源_02物料!$C$4:$C$1203,$B187,对接源_02物料!$D$4:$D$1203,"周转筐*",对接源_02物料!$L$4:$L$1203,"已付款")+SUMIFS(对接源_02物料!$K$4:$K$1203,对接源_02物料!$C$4:$C$1203,$B187,对接源_02物料!$D$4:$D$1203,"次果筐*",对接源_02物料!$L$4:$L$1203,"已收讫")+SUMIFS(对接源_02物料!$K$4:$K$1203,对接源_02物料!$C$4:$C$1203,$B187,对接源_02物料!$D$4:$D$1203,"次果筐*",对接源_02物料!$L$4:$L$1203,"已付款"),2))</f>
      </c>
      <c r="J187" s="177">
        <f>IF($B187="","",ROUND(N($H187)-N($I187),2))</f>
      </c>
      <c r="K187" s="16">
        <f>IF($B187="","",IF(ROUND(N($J187),2)&gt;0,"对方欠款",IF(ROUND(N($J187),2)&lt;0,"我方欠款","已两清")))</f>
      </c>
      <c r="L187" s="26" t="n"/>
    </row>
    <row r="188" s="127">
      <c r="A188" s="16">
        <f>IF($B188="","",ROW()-3)</f>
      </c>
      <c r="B188" s="11">
        <f>IFERROR(INDEX(_自动清单!$E$4:$E$303,ROW()-3),"")</f>
      </c>
      <c r="C188" s="177">
        <f>IF($B188="","",ROUND(SUMIFS(对接源_01水果!$K$4:$K$1203,对接源_01水果!$C$4:$C$1203,$B188,对接源_01水果!$D$4:$D$1203,"成品出库*"),2))</f>
      </c>
      <c r="D188" s="177">
        <f>IF($B188="","",ROUND(SUMIFS(对接源_01水果!$K$4:$K$1203,对接源_01水果!$C$4:$C$1203,$B188,对接源_01水果!$D$4:$D$1203,"其他代存*"),2))</f>
      </c>
      <c r="E188" s="177">
        <f>IF($B188="","",ROUND(SUMIFS(对接源_02物料!$K$4:$K$1203,对接源_02物料!$C$4:$C$1203,$B188,对接源_02物料!$D$4:$D$1203,"包装物料*"),2))</f>
      </c>
      <c r="F188" s="177">
        <f>IF($B188="","",ROUND(SUMIFS(对接源_02物料!$K$4:$K$1203,对接源_02物料!$C$4:$C$1203,$B188,对接源_02物料!$D$4:$D$1203,"周转筐*"),2))</f>
      </c>
      <c r="G188" s="177">
        <f>IF($B188="","",ROUND(SUMIFS(对接源_02物料!$K$4:$K$1203,对接源_02物料!$C$4:$C$1203,$B188,对接源_02物料!$D$4:$D$1203,"次果筐*"),2))</f>
      </c>
      <c r="H188" s="177">
        <f>IF($B188="","",ROUND(SUM($C188:$G188),2))</f>
      </c>
      <c r="I188" s="177">
        <f>IF($B188="","",ROUND(SUMIFS(对接源_01水果!$K$4:$K$1203,对接源_01水果!$C$4:$C$1203,$B188,对接源_01水果!$D$4:$D$1203,"成品出库*",对接源_01水果!$L$4:$L$1203,"已收讫")+SUMIFS(对接源_01水果!$K$4:$K$1203,对接源_01水果!$C$4:$C$1203,$B188,对接源_01水果!$D$4:$D$1203,"成品出库*",对接源_01水果!$L$4:$L$1203,"已付款")+SUMIFS(对接源_01水果!$K$4:$K$1203,对接源_01水果!$C$4:$C$1203,$B188,对接源_01水果!$D$4:$D$1203,"其他代存*",对接源_01水果!$L$4:$L$1203,"已收讫")+SUMIFS(对接源_01水果!$K$4:$K$1203,对接源_01水果!$C$4:$C$1203,$B188,对接源_01水果!$D$4:$D$1203,"其他代存*",对接源_01水果!$L$4:$L$1203,"已付款")+SUMIFS(对接源_02物料!$K$4:$K$1203,对接源_02物料!$C$4:$C$1203,$B188,对接源_02物料!$D$4:$D$1203,"包装物料*",对接源_02物料!$L$4:$L$1203,"已收讫")+SUMIFS(对接源_02物料!$K$4:$K$1203,对接源_02物料!$C$4:$C$1203,$B188,对接源_02物料!$D$4:$D$1203,"包装物料*",对接源_02物料!$L$4:$L$1203,"已付款")+SUMIFS(对接源_02物料!$K$4:$K$1203,对接源_02物料!$C$4:$C$1203,$B188,对接源_02物料!$D$4:$D$1203,"周转筐*",对接源_02物料!$L$4:$L$1203,"已收讫")+SUMIFS(对接源_02物料!$K$4:$K$1203,对接源_02物料!$C$4:$C$1203,$B188,对接源_02物料!$D$4:$D$1203,"周转筐*",对接源_02物料!$L$4:$L$1203,"已付款")+SUMIFS(对接源_02物料!$K$4:$K$1203,对接源_02物料!$C$4:$C$1203,$B188,对接源_02物料!$D$4:$D$1203,"次果筐*",对接源_02物料!$L$4:$L$1203,"已收讫")+SUMIFS(对接源_02物料!$K$4:$K$1203,对接源_02物料!$C$4:$C$1203,$B188,对接源_02物料!$D$4:$D$1203,"次果筐*",对接源_02物料!$L$4:$L$1203,"已付款"),2))</f>
      </c>
      <c r="J188" s="177">
        <f>IF($B188="","",ROUND(N($H188)-N($I188),2))</f>
      </c>
      <c r="K188" s="16">
        <f>IF($B188="","",IF(ROUND(N($J188),2)&gt;0,"对方欠款",IF(ROUND(N($J188),2)&lt;0,"我方欠款","已两清")))</f>
      </c>
      <c r="L188" s="26" t="n"/>
    </row>
    <row r="189" s="127">
      <c r="A189" s="16">
        <f>IF($B189="","",ROW()-3)</f>
      </c>
      <c r="B189" s="11">
        <f>IFERROR(INDEX(_自动清单!$E$4:$E$303,ROW()-3),"")</f>
      </c>
      <c r="C189" s="177">
        <f>IF($B189="","",ROUND(SUMIFS(对接源_01水果!$K$4:$K$1203,对接源_01水果!$C$4:$C$1203,$B189,对接源_01水果!$D$4:$D$1203,"成品出库*"),2))</f>
      </c>
      <c r="D189" s="177">
        <f>IF($B189="","",ROUND(SUMIFS(对接源_01水果!$K$4:$K$1203,对接源_01水果!$C$4:$C$1203,$B189,对接源_01水果!$D$4:$D$1203,"其他代存*"),2))</f>
      </c>
      <c r="E189" s="177">
        <f>IF($B189="","",ROUND(SUMIFS(对接源_02物料!$K$4:$K$1203,对接源_02物料!$C$4:$C$1203,$B189,对接源_02物料!$D$4:$D$1203,"包装物料*"),2))</f>
      </c>
      <c r="F189" s="177">
        <f>IF($B189="","",ROUND(SUMIFS(对接源_02物料!$K$4:$K$1203,对接源_02物料!$C$4:$C$1203,$B189,对接源_02物料!$D$4:$D$1203,"周转筐*"),2))</f>
      </c>
      <c r="G189" s="177">
        <f>IF($B189="","",ROUND(SUMIFS(对接源_02物料!$K$4:$K$1203,对接源_02物料!$C$4:$C$1203,$B189,对接源_02物料!$D$4:$D$1203,"次果筐*"),2))</f>
      </c>
      <c r="H189" s="177">
        <f>IF($B189="","",ROUND(SUM($C189:$G189),2))</f>
      </c>
      <c r="I189" s="177">
        <f>IF($B189="","",ROUND(SUMIFS(对接源_01水果!$K$4:$K$1203,对接源_01水果!$C$4:$C$1203,$B189,对接源_01水果!$D$4:$D$1203,"成品出库*",对接源_01水果!$L$4:$L$1203,"已收讫")+SUMIFS(对接源_01水果!$K$4:$K$1203,对接源_01水果!$C$4:$C$1203,$B189,对接源_01水果!$D$4:$D$1203,"成品出库*",对接源_01水果!$L$4:$L$1203,"已付款")+SUMIFS(对接源_01水果!$K$4:$K$1203,对接源_01水果!$C$4:$C$1203,$B189,对接源_01水果!$D$4:$D$1203,"其他代存*",对接源_01水果!$L$4:$L$1203,"已收讫")+SUMIFS(对接源_01水果!$K$4:$K$1203,对接源_01水果!$C$4:$C$1203,$B189,对接源_01水果!$D$4:$D$1203,"其他代存*",对接源_01水果!$L$4:$L$1203,"已付款")+SUMIFS(对接源_02物料!$K$4:$K$1203,对接源_02物料!$C$4:$C$1203,$B189,对接源_02物料!$D$4:$D$1203,"包装物料*",对接源_02物料!$L$4:$L$1203,"已收讫")+SUMIFS(对接源_02物料!$K$4:$K$1203,对接源_02物料!$C$4:$C$1203,$B189,对接源_02物料!$D$4:$D$1203,"包装物料*",对接源_02物料!$L$4:$L$1203,"已付款")+SUMIFS(对接源_02物料!$K$4:$K$1203,对接源_02物料!$C$4:$C$1203,$B189,对接源_02物料!$D$4:$D$1203,"周转筐*",对接源_02物料!$L$4:$L$1203,"已收讫")+SUMIFS(对接源_02物料!$K$4:$K$1203,对接源_02物料!$C$4:$C$1203,$B189,对接源_02物料!$D$4:$D$1203,"周转筐*",对接源_02物料!$L$4:$L$1203,"已付款")+SUMIFS(对接源_02物料!$K$4:$K$1203,对接源_02物料!$C$4:$C$1203,$B189,对接源_02物料!$D$4:$D$1203,"次果筐*",对接源_02物料!$L$4:$L$1203,"已收讫")+SUMIFS(对接源_02物料!$K$4:$K$1203,对接源_02物料!$C$4:$C$1203,$B189,对接源_02物料!$D$4:$D$1203,"次果筐*",对接源_02物料!$L$4:$L$1203,"已付款"),2))</f>
      </c>
      <c r="J189" s="177">
        <f>IF($B189="","",ROUND(N($H189)-N($I189),2))</f>
      </c>
      <c r="K189" s="16">
        <f>IF($B189="","",IF(ROUND(N($J189),2)&gt;0,"对方欠款",IF(ROUND(N($J189),2)&lt;0,"我方欠款","已两清")))</f>
      </c>
      <c r="L189" s="26" t="n"/>
    </row>
    <row r="190" s="127">
      <c r="A190" s="16">
        <f>IF($B190="","",ROW()-3)</f>
      </c>
      <c r="B190" s="11">
        <f>IFERROR(INDEX(_自动清单!$E$4:$E$303,ROW()-3),"")</f>
      </c>
      <c r="C190" s="177">
        <f>IF($B190="","",ROUND(SUMIFS(对接源_01水果!$K$4:$K$1203,对接源_01水果!$C$4:$C$1203,$B190,对接源_01水果!$D$4:$D$1203,"成品出库*"),2))</f>
      </c>
      <c r="D190" s="177">
        <f>IF($B190="","",ROUND(SUMIFS(对接源_01水果!$K$4:$K$1203,对接源_01水果!$C$4:$C$1203,$B190,对接源_01水果!$D$4:$D$1203,"其他代存*"),2))</f>
      </c>
      <c r="E190" s="177">
        <f>IF($B190="","",ROUND(SUMIFS(对接源_02物料!$K$4:$K$1203,对接源_02物料!$C$4:$C$1203,$B190,对接源_02物料!$D$4:$D$1203,"包装物料*"),2))</f>
      </c>
      <c r="F190" s="177">
        <f>IF($B190="","",ROUND(SUMIFS(对接源_02物料!$K$4:$K$1203,对接源_02物料!$C$4:$C$1203,$B190,对接源_02物料!$D$4:$D$1203,"周转筐*"),2))</f>
      </c>
      <c r="G190" s="177">
        <f>IF($B190="","",ROUND(SUMIFS(对接源_02物料!$K$4:$K$1203,对接源_02物料!$C$4:$C$1203,$B190,对接源_02物料!$D$4:$D$1203,"次果筐*"),2))</f>
      </c>
      <c r="H190" s="177">
        <f>IF($B190="","",ROUND(SUM($C190:$G190),2))</f>
      </c>
      <c r="I190" s="177">
        <f>IF($B190="","",ROUND(SUMIFS(对接源_01水果!$K$4:$K$1203,对接源_01水果!$C$4:$C$1203,$B190,对接源_01水果!$D$4:$D$1203,"成品出库*",对接源_01水果!$L$4:$L$1203,"已收讫")+SUMIFS(对接源_01水果!$K$4:$K$1203,对接源_01水果!$C$4:$C$1203,$B190,对接源_01水果!$D$4:$D$1203,"成品出库*",对接源_01水果!$L$4:$L$1203,"已付款")+SUMIFS(对接源_01水果!$K$4:$K$1203,对接源_01水果!$C$4:$C$1203,$B190,对接源_01水果!$D$4:$D$1203,"其他代存*",对接源_01水果!$L$4:$L$1203,"已收讫")+SUMIFS(对接源_01水果!$K$4:$K$1203,对接源_01水果!$C$4:$C$1203,$B190,对接源_01水果!$D$4:$D$1203,"其他代存*",对接源_01水果!$L$4:$L$1203,"已付款")+SUMIFS(对接源_02物料!$K$4:$K$1203,对接源_02物料!$C$4:$C$1203,$B190,对接源_02物料!$D$4:$D$1203,"包装物料*",对接源_02物料!$L$4:$L$1203,"已收讫")+SUMIFS(对接源_02物料!$K$4:$K$1203,对接源_02物料!$C$4:$C$1203,$B190,对接源_02物料!$D$4:$D$1203,"包装物料*",对接源_02物料!$L$4:$L$1203,"已付款")+SUMIFS(对接源_02物料!$K$4:$K$1203,对接源_02物料!$C$4:$C$1203,$B190,对接源_02物料!$D$4:$D$1203,"周转筐*",对接源_02物料!$L$4:$L$1203,"已收讫")+SUMIFS(对接源_02物料!$K$4:$K$1203,对接源_02物料!$C$4:$C$1203,$B190,对接源_02物料!$D$4:$D$1203,"周转筐*",对接源_02物料!$L$4:$L$1203,"已付款")+SUMIFS(对接源_02物料!$K$4:$K$1203,对接源_02物料!$C$4:$C$1203,$B190,对接源_02物料!$D$4:$D$1203,"次果筐*",对接源_02物料!$L$4:$L$1203,"已收讫")+SUMIFS(对接源_02物料!$K$4:$K$1203,对接源_02物料!$C$4:$C$1203,$B190,对接源_02物料!$D$4:$D$1203,"次果筐*",对接源_02物料!$L$4:$L$1203,"已付款"),2))</f>
      </c>
      <c r="J190" s="177">
        <f>IF($B190="","",ROUND(N($H190)-N($I190),2))</f>
      </c>
      <c r="K190" s="16">
        <f>IF($B190="","",IF(ROUND(N($J190),2)&gt;0,"对方欠款",IF(ROUND(N($J190),2)&lt;0,"我方欠款","已两清")))</f>
      </c>
      <c r="L190" s="26" t="n"/>
    </row>
    <row r="191" s="127">
      <c r="A191" s="16">
        <f>IF($B191="","",ROW()-3)</f>
      </c>
      <c r="B191" s="11">
        <f>IFERROR(INDEX(_自动清单!$E$4:$E$303,ROW()-3),"")</f>
      </c>
      <c r="C191" s="177">
        <f>IF($B191="","",ROUND(SUMIFS(对接源_01水果!$K$4:$K$1203,对接源_01水果!$C$4:$C$1203,$B191,对接源_01水果!$D$4:$D$1203,"成品出库*"),2))</f>
      </c>
      <c r="D191" s="177">
        <f>IF($B191="","",ROUND(SUMIFS(对接源_01水果!$K$4:$K$1203,对接源_01水果!$C$4:$C$1203,$B191,对接源_01水果!$D$4:$D$1203,"其他代存*"),2))</f>
      </c>
      <c r="E191" s="177">
        <f>IF($B191="","",ROUND(SUMIFS(对接源_02物料!$K$4:$K$1203,对接源_02物料!$C$4:$C$1203,$B191,对接源_02物料!$D$4:$D$1203,"包装物料*"),2))</f>
      </c>
      <c r="F191" s="177">
        <f>IF($B191="","",ROUND(SUMIFS(对接源_02物料!$K$4:$K$1203,对接源_02物料!$C$4:$C$1203,$B191,对接源_02物料!$D$4:$D$1203,"周转筐*"),2))</f>
      </c>
      <c r="G191" s="177">
        <f>IF($B191="","",ROUND(SUMIFS(对接源_02物料!$K$4:$K$1203,对接源_02物料!$C$4:$C$1203,$B191,对接源_02物料!$D$4:$D$1203,"次果筐*"),2))</f>
      </c>
      <c r="H191" s="177">
        <f>IF($B191="","",ROUND(SUM($C191:$G191),2))</f>
      </c>
      <c r="I191" s="177">
        <f>IF($B191="","",ROUND(SUMIFS(对接源_01水果!$K$4:$K$1203,对接源_01水果!$C$4:$C$1203,$B191,对接源_01水果!$D$4:$D$1203,"成品出库*",对接源_01水果!$L$4:$L$1203,"已收讫")+SUMIFS(对接源_01水果!$K$4:$K$1203,对接源_01水果!$C$4:$C$1203,$B191,对接源_01水果!$D$4:$D$1203,"成品出库*",对接源_01水果!$L$4:$L$1203,"已付款")+SUMIFS(对接源_01水果!$K$4:$K$1203,对接源_01水果!$C$4:$C$1203,$B191,对接源_01水果!$D$4:$D$1203,"其他代存*",对接源_01水果!$L$4:$L$1203,"已收讫")+SUMIFS(对接源_01水果!$K$4:$K$1203,对接源_01水果!$C$4:$C$1203,$B191,对接源_01水果!$D$4:$D$1203,"其他代存*",对接源_01水果!$L$4:$L$1203,"已付款")+SUMIFS(对接源_02物料!$K$4:$K$1203,对接源_02物料!$C$4:$C$1203,$B191,对接源_02物料!$D$4:$D$1203,"包装物料*",对接源_02物料!$L$4:$L$1203,"已收讫")+SUMIFS(对接源_02物料!$K$4:$K$1203,对接源_02物料!$C$4:$C$1203,$B191,对接源_02物料!$D$4:$D$1203,"包装物料*",对接源_02物料!$L$4:$L$1203,"已付款")+SUMIFS(对接源_02物料!$K$4:$K$1203,对接源_02物料!$C$4:$C$1203,$B191,对接源_02物料!$D$4:$D$1203,"周转筐*",对接源_02物料!$L$4:$L$1203,"已收讫")+SUMIFS(对接源_02物料!$K$4:$K$1203,对接源_02物料!$C$4:$C$1203,$B191,对接源_02物料!$D$4:$D$1203,"周转筐*",对接源_02物料!$L$4:$L$1203,"已付款")+SUMIFS(对接源_02物料!$K$4:$K$1203,对接源_02物料!$C$4:$C$1203,$B191,对接源_02物料!$D$4:$D$1203,"次果筐*",对接源_02物料!$L$4:$L$1203,"已收讫")+SUMIFS(对接源_02物料!$K$4:$K$1203,对接源_02物料!$C$4:$C$1203,$B191,对接源_02物料!$D$4:$D$1203,"次果筐*",对接源_02物料!$L$4:$L$1203,"已付款"),2))</f>
      </c>
      <c r="J191" s="177">
        <f>IF($B191="","",ROUND(N($H191)-N($I191),2))</f>
      </c>
      <c r="K191" s="16">
        <f>IF($B191="","",IF(ROUND(N($J191),2)&gt;0,"对方欠款",IF(ROUND(N($J191),2)&lt;0,"我方欠款","已两清")))</f>
      </c>
      <c r="L191" s="26" t="n"/>
    </row>
    <row r="192" s="127">
      <c r="A192" s="16">
        <f>IF($B192="","",ROW()-3)</f>
      </c>
      <c r="B192" s="11">
        <f>IFERROR(INDEX(_自动清单!$E$4:$E$303,ROW()-3),"")</f>
      </c>
      <c r="C192" s="177">
        <f>IF($B192="","",ROUND(SUMIFS(对接源_01水果!$K$4:$K$1203,对接源_01水果!$C$4:$C$1203,$B192,对接源_01水果!$D$4:$D$1203,"成品出库*"),2))</f>
      </c>
      <c r="D192" s="177">
        <f>IF($B192="","",ROUND(SUMIFS(对接源_01水果!$K$4:$K$1203,对接源_01水果!$C$4:$C$1203,$B192,对接源_01水果!$D$4:$D$1203,"其他代存*"),2))</f>
      </c>
      <c r="E192" s="177">
        <f>IF($B192="","",ROUND(SUMIFS(对接源_02物料!$K$4:$K$1203,对接源_02物料!$C$4:$C$1203,$B192,对接源_02物料!$D$4:$D$1203,"包装物料*"),2))</f>
      </c>
      <c r="F192" s="177">
        <f>IF($B192="","",ROUND(SUMIFS(对接源_02物料!$K$4:$K$1203,对接源_02物料!$C$4:$C$1203,$B192,对接源_02物料!$D$4:$D$1203,"周转筐*"),2))</f>
      </c>
      <c r="G192" s="177">
        <f>IF($B192="","",ROUND(SUMIFS(对接源_02物料!$K$4:$K$1203,对接源_02物料!$C$4:$C$1203,$B192,对接源_02物料!$D$4:$D$1203,"次果筐*"),2))</f>
      </c>
      <c r="H192" s="177">
        <f>IF($B192="","",ROUND(SUM($C192:$G192),2))</f>
      </c>
      <c r="I192" s="177">
        <f>IF($B192="","",ROUND(SUMIFS(对接源_01水果!$K$4:$K$1203,对接源_01水果!$C$4:$C$1203,$B192,对接源_01水果!$D$4:$D$1203,"成品出库*",对接源_01水果!$L$4:$L$1203,"已收讫")+SUMIFS(对接源_01水果!$K$4:$K$1203,对接源_01水果!$C$4:$C$1203,$B192,对接源_01水果!$D$4:$D$1203,"成品出库*",对接源_01水果!$L$4:$L$1203,"已付款")+SUMIFS(对接源_01水果!$K$4:$K$1203,对接源_01水果!$C$4:$C$1203,$B192,对接源_01水果!$D$4:$D$1203,"其他代存*",对接源_01水果!$L$4:$L$1203,"已收讫")+SUMIFS(对接源_01水果!$K$4:$K$1203,对接源_01水果!$C$4:$C$1203,$B192,对接源_01水果!$D$4:$D$1203,"其他代存*",对接源_01水果!$L$4:$L$1203,"已付款")+SUMIFS(对接源_02物料!$K$4:$K$1203,对接源_02物料!$C$4:$C$1203,$B192,对接源_02物料!$D$4:$D$1203,"包装物料*",对接源_02物料!$L$4:$L$1203,"已收讫")+SUMIFS(对接源_02物料!$K$4:$K$1203,对接源_02物料!$C$4:$C$1203,$B192,对接源_02物料!$D$4:$D$1203,"包装物料*",对接源_02物料!$L$4:$L$1203,"已付款")+SUMIFS(对接源_02物料!$K$4:$K$1203,对接源_02物料!$C$4:$C$1203,$B192,对接源_02物料!$D$4:$D$1203,"周转筐*",对接源_02物料!$L$4:$L$1203,"已收讫")+SUMIFS(对接源_02物料!$K$4:$K$1203,对接源_02物料!$C$4:$C$1203,$B192,对接源_02物料!$D$4:$D$1203,"周转筐*",对接源_02物料!$L$4:$L$1203,"已付款")+SUMIFS(对接源_02物料!$K$4:$K$1203,对接源_02物料!$C$4:$C$1203,$B192,对接源_02物料!$D$4:$D$1203,"次果筐*",对接源_02物料!$L$4:$L$1203,"已收讫")+SUMIFS(对接源_02物料!$K$4:$K$1203,对接源_02物料!$C$4:$C$1203,$B192,对接源_02物料!$D$4:$D$1203,"次果筐*",对接源_02物料!$L$4:$L$1203,"已付款"),2))</f>
      </c>
      <c r="J192" s="177">
        <f>IF($B192="","",ROUND(N($H192)-N($I192),2))</f>
      </c>
      <c r="K192" s="16">
        <f>IF($B192="","",IF(ROUND(N($J192),2)&gt;0,"对方欠款",IF(ROUND(N($J192),2)&lt;0,"我方欠款","已两清")))</f>
      </c>
      <c r="L192" s="26" t="n"/>
    </row>
    <row r="193" s="127">
      <c r="A193" s="16">
        <f>IF($B193="","",ROW()-3)</f>
      </c>
      <c r="B193" s="11">
        <f>IFERROR(INDEX(_自动清单!$E$4:$E$303,ROW()-3),"")</f>
      </c>
      <c r="C193" s="177">
        <f>IF($B193="","",ROUND(SUMIFS(对接源_01水果!$K$4:$K$1203,对接源_01水果!$C$4:$C$1203,$B193,对接源_01水果!$D$4:$D$1203,"成品出库*"),2))</f>
      </c>
      <c r="D193" s="177">
        <f>IF($B193="","",ROUND(SUMIFS(对接源_01水果!$K$4:$K$1203,对接源_01水果!$C$4:$C$1203,$B193,对接源_01水果!$D$4:$D$1203,"其他代存*"),2))</f>
      </c>
      <c r="E193" s="177">
        <f>IF($B193="","",ROUND(SUMIFS(对接源_02物料!$K$4:$K$1203,对接源_02物料!$C$4:$C$1203,$B193,对接源_02物料!$D$4:$D$1203,"包装物料*"),2))</f>
      </c>
      <c r="F193" s="177">
        <f>IF($B193="","",ROUND(SUMIFS(对接源_02物料!$K$4:$K$1203,对接源_02物料!$C$4:$C$1203,$B193,对接源_02物料!$D$4:$D$1203,"周转筐*"),2))</f>
      </c>
      <c r="G193" s="177">
        <f>IF($B193="","",ROUND(SUMIFS(对接源_02物料!$K$4:$K$1203,对接源_02物料!$C$4:$C$1203,$B193,对接源_02物料!$D$4:$D$1203,"次果筐*"),2))</f>
      </c>
      <c r="H193" s="177">
        <f>IF($B193="","",ROUND(SUM($C193:$G193),2))</f>
      </c>
      <c r="I193" s="177">
        <f>IF($B193="","",ROUND(SUMIFS(对接源_01水果!$K$4:$K$1203,对接源_01水果!$C$4:$C$1203,$B193,对接源_01水果!$D$4:$D$1203,"成品出库*",对接源_01水果!$L$4:$L$1203,"已收讫")+SUMIFS(对接源_01水果!$K$4:$K$1203,对接源_01水果!$C$4:$C$1203,$B193,对接源_01水果!$D$4:$D$1203,"成品出库*",对接源_01水果!$L$4:$L$1203,"已付款")+SUMIFS(对接源_01水果!$K$4:$K$1203,对接源_01水果!$C$4:$C$1203,$B193,对接源_01水果!$D$4:$D$1203,"其他代存*",对接源_01水果!$L$4:$L$1203,"已收讫")+SUMIFS(对接源_01水果!$K$4:$K$1203,对接源_01水果!$C$4:$C$1203,$B193,对接源_01水果!$D$4:$D$1203,"其他代存*",对接源_01水果!$L$4:$L$1203,"已付款")+SUMIFS(对接源_02物料!$K$4:$K$1203,对接源_02物料!$C$4:$C$1203,$B193,对接源_02物料!$D$4:$D$1203,"包装物料*",对接源_02物料!$L$4:$L$1203,"已收讫")+SUMIFS(对接源_02物料!$K$4:$K$1203,对接源_02物料!$C$4:$C$1203,$B193,对接源_02物料!$D$4:$D$1203,"包装物料*",对接源_02物料!$L$4:$L$1203,"已付款")+SUMIFS(对接源_02物料!$K$4:$K$1203,对接源_02物料!$C$4:$C$1203,$B193,对接源_02物料!$D$4:$D$1203,"周转筐*",对接源_02物料!$L$4:$L$1203,"已收讫")+SUMIFS(对接源_02物料!$K$4:$K$1203,对接源_02物料!$C$4:$C$1203,$B193,对接源_02物料!$D$4:$D$1203,"周转筐*",对接源_02物料!$L$4:$L$1203,"已付款")+SUMIFS(对接源_02物料!$K$4:$K$1203,对接源_02物料!$C$4:$C$1203,$B193,对接源_02物料!$D$4:$D$1203,"次果筐*",对接源_02物料!$L$4:$L$1203,"已收讫")+SUMIFS(对接源_02物料!$K$4:$K$1203,对接源_02物料!$C$4:$C$1203,$B193,对接源_02物料!$D$4:$D$1203,"次果筐*",对接源_02物料!$L$4:$L$1203,"已付款"),2))</f>
      </c>
      <c r="J193" s="177">
        <f>IF($B193="","",ROUND(N($H193)-N($I193),2))</f>
      </c>
      <c r="K193" s="16">
        <f>IF($B193="","",IF(ROUND(N($J193),2)&gt;0,"对方欠款",IF(ROUND(N($J193),2)&lt;0,"我方欠款","已两清")))</f>
      </c>
      <c r="L193" s="26" t="n"/>
    </row>
    <row r="194" s="127">
      <c r="A194" s="16">
        <f>IF($B194="","",ROW()-3)</f>
      </c>
      <c r="B194" s="11">
        <f>IFERROR(INDEX(_自动清单!$E$4:$E$303,ROW()-3),"")</f>
      </c>
      <c r="C194" s="177">
        <f>IF($B194="","",ROUND(SUMIFS(对接源_01水果!$K$4:$K$1203,对接源_01水果!$C$4:$C$1203,$B194,对接源_01水果!$D$4:$D$1203,"成品出库*"),2))</f>
      </c>
      <c r="D194" s="177">
        <f>IF($B194="","",ROUND(SUMIFS(对接源_01水果!$K$4:$K$1203,对接源_01水果!$C$4:$C$1203,$B194,对接源_01水果!$D$4:$D$1203,"其他代存*"),2))</f>
      </c>
      <c r="E194" s="177">
        <f>IF($B194="","",ROUND(SUMIFS(对接源_02物料!$K$4:$K$1203,对接源_02物料!$C$4:$C$1203,$B194,对接源_02物料!$D$4:$D$1203,"包装物料*"),2))</f>
      </c>
      <c r="F194" s="177">
        <f>IF($B194="","",ROUND(SUMIFS(对接源_02物料!$K$4:$K$1203,对接源_02物料!$C$4:$C$1203,$B194,对接源_02物料!$D$4:$D$1203,"周转筐*"),2))</f>
      </c>
      <c r="G194" s="177">
        <f>IF($B194="","",ROUND(SUMIFS(对接源_02物料!$K$4:$K$1203,对接源_02物料!$C$4:$C$1203,$B194,对接源_02物料!$D$4:$D$1203,"次果筐*"),2))</f>
      </c>
      <c r="H194" s="177">
        <f>IF($B194="","",ROUND(SUM($C194:$G194),2))</f>
      </c>
      <c r="I194" s="177">
        <f>IF($B194="","",ROUND(SUMIFS(对接源_01水果!$K$4:$K$1203,对接源_01水果!$C$4:$C$1203,$B194,对接源_01水果!$D$4:$D$1203,"成品出库*",对接源_01水果!$L$4:$L$1203,"已收讫")+SUMIFS(对接源_01水果!$K$4:$K$1203,对接源_01水果!$C$4:$C$1203,$B194,对接源_01水果!$D$4:$D$1203,"成品出库*",对接源_01水果!$L$4:$L$1203,"已付款")+SUMIFS(对接源_01水果!$K$4:$K$1203,对接源_01水果!$C$4:$C$1203,$B194,对接源_01水果!$D$4:$D$1203,"其他代存*",对接源_01水果!$L$4:$L$1203,"已收讫")+SUMIFS(对接源_01水果!$K$4:$K$1203,对接源_01水果!$C$4:$C$1203,$B194,对接源_01水果!$D$4:$D$1203,"其他代存*",对接源_01水果!$L$4:$L$1203,"已付款")+SUMIFS(对接源_02物料!$K$4:$K$1203,对接源_02物料!$C$4:$C$1203,$B194,对接源_02物料!$D$4:$D$1203,"包装物料*",对接源_02物料!$L$4:$L$1203,"已收讫")+SUMIFS(对接源_02物料!$K$4:$K$1203,对接源_02物料!$C$4:$C$1203,$B194,对接源_02物料!$D$4:$D$1203,"包装物料*",对接源_02物料!$L$4:$L$1203,"已付款")+SUMIFS(对接源_02物料!$K$4:$K$1203,对接源_02物料!$C$4:$C$1203,$B194,对接源_02物料!$D$4:$D$1203,"周转筐*",对接源_02物料!$L$4:$L$1203,"已收讫")+SUMIFS(对接源_02物料!$K$4:$K$1203,对接源_02物料!$C$4:$C$1203,$B194,对接源_02物料!$D$4:$D$1203,"周转筐*",对接源_02物料!$L$4:$L$1203,"已付款")+SUMIFS(对接源_02物料!$K$4:$K$1203,对接源_02物料!$C$4:$C$1203,$B194,对接源_02物料!$D$4:$D$1203,"次果筐*",对接源_02物料!$L$4:$L$1203,"已收讫")+SUMIFS(对接源_02物料!$K$4:$K$1203,对接源_02物料!$C$4:$C$1203,$B194,对接源_02物料!$D$4:$D$1203,"次果筐*",对接源_02物料!$L$4:$L$1203,"已付款"),2))</f>
      </c>
      <c r="J194" s="177">
        <f>IF($B194="","",ROUND(N($H194)-N($I194),2))</f>
      </c>
      <c r="K194" s="16">
        <f>IF($B194="","",IF(ROUND(N($J194),2)&gt;0,"对方欠款",IF(ROUND(N($J194),2)&lt;0,"我方欠款","已两清")))</f>
      </c>
      <c r="L194" s="26" t="n"/>
    </row>
    <row r="195" s="127">
      <c r="A195" s="16">
        <f>IF($B195="","",ROW()-3)</f>
      </c>
      <c r="B195" s="11">
        <f>IFERROR(INDEX(_自动清单!$E$4:$E$303,ROW()-3),"")</f>
      </c>
      <c r="C195" s="177">
        <f>IF($B195="","",ROUND(SUMIFS(对接源_01水果!$K$4:$K$1203,对接源_01水果!$C$4:$C$1203,$B195,对接源_01水果!$D$4:$D$1203,"成品出库*"),2))</f>
      </c>
      <c r="D195" s="177">
        <f>IF($B195="","",ROUND(SUMIFS(对接源_01水果!$K$4:$K$1203,对接源_01水果!$C$4:$C$1203,$B195,对接源_01水果!$D$4:$D$1203,"其他代存*"),2))</f>
      </c>
      <c r="E195" s="177">
        <f>IF($B195="","",ROUND(SUMIFS(对接源_02物料!$K$4:$K$1203,对接源_02物料!$C$4:$C$1203,$B195,对接源_02物料!$D$4:$D$1203,"包装物料*"),2))</f>
      </c>
      <c r="F195" s="177">
        <f>IF($B195="","",ROUND(SUMIFS(对接源_02物料!$K$4:$K$1203,对接源_02物料!$C$4:$C$1203,$B195,对接源_02物料!$D$4:$D$1203,"周转筐*"),2))</f>
      </c>
      <c r="G195" s="177">
        <f>IF($B195="","",ROUND(SUMIFS(对接源_02物料!$K$4:$K$1203,对接源_02物料!$C$4:$C$1203,$B195,对接源_02物料!$D$4:$D$1203,"次果筐*"),2))</f>
      </c>
      <c r="H195" s="177">
        <f>IF($B195="","",ROUND(SUM($C195:$G195),2))</f>
      </c>
      <c r="I195" s="177">
        <f>IF($B195="","",ROUND(SUMIFS(对接源_01水果!$K$4:$K$1203,对接源_01水果!$C$4:$C$1203,$B195,对接源_01水果!$D$4:$D$1203,"成品出库*",对接源_01水果!$L$4:$L$1203,"已收讫")+SUMIFS(对接源_01水果!$K$4:$K$1203,对接源_01水果!$C$4:$C$1203,$B195,对接源_01水果!$D$4:$D$1203,"成品出库*",对接源_01水果!$L$4:$L$1203,"已付款")+SUMIFS(对接源_01水果!$K$4:$K$1203,对接源_01水果!$C$4:$C$1203,$B195,对接源_01水果!$D$4:$D$1203,"其他代存*",对接源_01水果!$L$4:$L$1203,"已收讫")+SUMIFS(对接源_01水果!$K$4:$K$1203,对接源_01水果!$C$4:$C$1203,$B195,对接源_01水果!$D$4:$D$1203,"其他代存*",对接源_01水果!$L$4:$L$1203,"已付款")+SUMIFS(对接源_02物料!$K$4:$K$1203,对接源_02物料!$C$4:$C$1203,$B195,对接源_02物料!$D$4:$D$1203,"包装物料*",对接源_02物料!$L$4:$L$1203,"已收讫")+SUMIFS(对接源_02物料!$K$4:$K$1203,对接源_02物料!$C$4:$C$1203,$B195,对接源_02物料!$D$4:$D$1203,"包装物料*",对接源_02物料!$L$4:$L$1203,"已付款")+SUMIFS(对接源_02物料!$K$4:$K$1203,对接源_02物料!$C$4:$C$1203,$B195,对接源_02物料!$D$4:$D$1203,"周转筐*",对接源_02物料!$L$4:$L$1203,"已收讫")+SUMIFS(对接源_02物料!$K$4:$K$1203,对接源_02物料!$C$4:$C$1203,$B195,对接源_02物料!$D$4:$D$1203,"周转筐*",对接源_02物料!$L$4:$L$1203,"已付款")+SUMIFS(对接源_02物料!$K$4:$K$1203,对接源_02物料!$C$4:$C$1203,$B195,对接源_02物料!$D$4:$D$1203,"次果筐*",对接源_02物料!$L$4:$L$1203,"已收讫")+SUMIFS(对接源_02物料!$K$4:$K$1203,对接源_02物料!$C$4:$C$1203,$B195,对接源_02物料!$D$4:$D$1203,"次果筐*",对接源_02物料!$L$4:$L$1203,"已付款"),2))</f>
      </c>
      <c r="J195" s="177">
        <f>IF($B195="","",ROUND(N($H195)-N($I195),2))</f>
      </c>
      <c r="K195" s="16">
        <f>IF($B195="","",IF(ROUND(N($J195),2)&gt;0,"对方欠款",IF(ROUND(N($J195),2)&lt;0,"我方欠款","已两清")))</f>
      </c>
      <c r="L195" s="26" t="n"/>
    </row>
    <row r="196" s="127">
      <c r="A196" s="16">
        <f>IF($B196="","",ROW()-3)</f>
      </c>
      <c r="B196" s="11">
        <f>IFERROR(INDEX(_自动清单!$E$4:$E$303,ROW()-3),"")</f>
      </c>
      <c r="C196" s="177">
        <f>IF($B196="","",ROUND(SUMIFS(对接源_01水果!$K$4:$K$1203,对接源_01水果!$C$4:$C$1203,$B196,对接源_01水果!$D$4:$D$1203,"成品出库*"),2))</f>
      </c>
      <c r="D196" s="177">
        <f>IF($B196="","",ROUND(SUMIFS(对接源_01水果!$K$4:$K$1203,对接源_01水果!$C$4:$C$1203,$B196,对接源_01水果!$D$4:$D$1203,"其他代存*"),2))</f>
      </c>
      <c r="E196" s="177">
        <f>IF($B196="","",ROUND(SUMIFS(对接源_02物料!$K$4:$K$1203,对接源_02物料!$C$4:$C$1203,$B196,对接源_02物料!$D$4:$D$1203,"包装物料*"),2))</f>
      </c>
      <c r="F196" s="177">
        <f>IF($B196="","",ROUND(SUMIFS(对接源_02物料!$K$4:$K$1203,对接源_02物料!$C$4:$C$1203,$B196,对接源_02物料!$D$4:$D$1203,"周转筐*"),2))</f>
      </c>
      <c r="G196" s="177">
        <f>IF($B196="","",ROUND(SUMIFS(对接源_02物料!$K$4:$K$1203,对接源_02物料!$C$4:$C$1203,$B196,对接源_02物料!$D$4:$D$1203,"次果筐*"),2))</f>
      </c>
      <c r="H196" s="177">
        <f>IF($B196="","",ROUND(SUM($C196:$G196),2))</f>
      </c>
      <c r="I196" s="177">
        <f>IF($B196="","",ROUND(SUMIFS(对接源_01水果!$K$4:$K$1203,对接源_01水果!$C$4:$C$1203,$B196,对接源_01水果!$D$4:$D$1203,"成品出库*",对接源_01水果!$L$4:$L$1203,"已收讫")+SUMIFS(对接源_01水果!$K$4:$K$1203,对接源_01水果!$C$4:$C$1203,$B196,对接源_01水果!$D$4:$D$1203,"成品出库*",对接源_01水果!$L$4:$L$1203,"已付款")+SUMIFS(对接源_01水果!$K$4:$K$1203,对接源_01水果!$C$4:$C$1203,$B196,对接源_01水果!$D$4:$D$1203,"其他代存*",对接源_01水果!$L$4:$L$1203,"已收讫")+SUMIFS(对接源_01水果!$K$4:$K$1203,对接源_01水果!$C$4:$C$1203,$B196,对接源_01水果!$D$4:$D$1203,"其他代存*",对接源_01水果!$L$4:$L$1203,"已付款")+SUMIFS(对接源_02物料!$K$4:$K$1203,对接源_02物料!$C$4:$C$1203,$B196,对接源_02物料!$D$4:$D$1203,"包装物料*",对接源_02物料!$L$4:$L$1203,"已收讫")+SUMIFS(对接源_02物料!$K$4:$K$1203,对接源_02物料!$C$4:$C$1203,$B196,对接源_02物料!$D$4:$D$1203,"包装物料*",对接源_02物料!$L$4:$L$1203,"已付款")+SUMIFS(对接源_02物料!$K$4:$K$1203,对接源_02物料!$C$4:$C$1203,$B196,对接源_02物料!$D$4:$D$1203,"周转筐*",对接源_02物料!$L$4:$L$1203,"已收讫")+SUMIFS(对接源_02物料!$K$4:$K$1203,对接源_02物料!$C$4:$C$1203,$B196,对接源_02物料!$D$4:$D$1203,"周转筐*",对接源_02物料!$L$4:$L$1203,"已付款")+SUMIFS(对接源_02物料!$K$4:$K$1203,对接源_02物料!$C$4:$C$1203,$B196,对接源_02物料!$D$4:$D$1203,"次果筐*",对接源_02物料!$L$4:$L$1203,"已收讫")+SUMIFS(对接源_02物料!$K$4:$K$1203,对接源_02物料!$C$4:$C$1203,$B196,对接源_02物料!$D$4:$D$1203,"次果筐*",对接源_02物料!$L$4:$L$1203,"已付款"),2))</f>
      </c>
      <c r="J196" s="177">
        <f>IF($B196="","",ROUND(N($H196)-N($I196),2))</f>
      </c>
      <c r="K196" s="16">
        <f>IF($B196="","",IF(ROUND(N($J196),2)&gt;0,"对方欠款",IF(ROUND(N($J196),2)&lt;0,"我方欠款","已两清")))</f>
      </c>
      <c r="L196" s="26" t="n"/>
    </row>
    <row r="197" s="127">
      <c r="A197" s="16">
        <f>IF($B197="","",ROW()-3)</f>
      </c>
      <c r="B197" s="11">
        <f>IFERROR(INDEX(_自动清单!$E$4:$E$303,ROW()-3),"")</f>
      </c>
      <c r="C197" s="177">
        <f>IF($B197="","",ROUND(SUMIFS(对接源_01水果!$K$4:$K$1203,对接源_01水果!$C$4:$C$1203,$B197,对接源_01水果!$D$4:$D$1203,"成品出库*"),2))</f>
      </c>
      <c r="D197" s="177">
        <f>IF($B197="","",ROUND(SUMIFS(对接源_01水果!$K$4:$K$1203,对接源_01水果!$C$4:$C$1203,$B197,对接源_01水果!$D$4:$D$1203,"其他代存*"),2))</f>
      </c>
      <c r="E197" s="177">
        <f>IF($B197="","",ROUND(SUMIFS(对接源_02物料!$K$4:$K$1203,对接源_02物料!$C$4:$C$1203,$B197,对接源_02物料!$D$4:$D$1203,"包装物料*"),2))</f>
      </c>
      <c r="F197" s="177">
        <f>IF($B197="","",ROUND(SUMIFS(对接源_02物料!$K$4:$K$1203,对接源_02物料!$C$4:$C$1203,$B197,对接源_02物料!$D$4:$D$1203,"周转筐*"),2))</f>
      </c>
      <c r="G197" s="177">
        <f>IF($B197="","",ROUND(SUMIFS(对接源_02物料!$K$4:$K$1203,对接源_02物料!$C$4:$C$1203,$B197,对接源_02物料!$D$4:$D$1203,"次果筐*"),2))</f>
      </c>
      <c r="H197" s="177">
        <f>IF($B197="","",ROUND(SUM($C197:$G197),2))</f>
      </c>
      <c r="I197" s="177">
        <f>IF($B197="","",ROUND(SUMIFS(对接源_01水果!$K$4:$K$1203,对接源_01水果!$C$4:$C$1203,$B197,对接源_01水果!$D$4:$D$1203,"成品出库*",对接源_01水果!$L$4:$L$1203,"已收讫")+SUMIFS(对接源_01水果!$K$4:$K$1203,对接源_01水果!$C$4:$C$1203,$B197,对接源_01水果!$D$4:$D$1203,"成品出库*",对接源_01水果!$L$4:$L$1203,"已付款")+SUMIFS(对接源_01水果!$K$4:$K$1203,对接源_01水果!$C$4:$C$1203,$B197,对接源_01水果!$D$4:$D$1203,"其他代存*",对接源_01水果!$L$4:$L$1203,"已收讫")+SUMIFS(对接源_01水果!$K$4:$K$1203,对接源_01水果!$C$4:$C$1203,$B197,对接源_01水果!$D$4:$D$1203,"其他代存*",对接源_01水果!$L$4:$L$1203,"已付款")+SUMIFS(对接源_02物料!$K$4:$K$1203,对接源_02物料!$C$4:$C$1203,$B197,对接源_02物料!$D$4:$D$1203,"包装物料*",对接源_02物料!$L$4:$L$1203,"已收讫")+SUMIFS(对接源_02物料!$K$4:$K$1203,对接源_02物料!$C$4:$C$1203,$B197,对接源_02物料!$D$4:$D$1203,"包装物料*",对接源_02物料!$L$4:$L$1203,"已付款")+SUMIFS(对接源_02物料!$K$4:$K$1203,对接源_02物料!$C$4:$C$1203,$B197,对接源_02物料!$D$4:$D$1203,"周转筐*",对接源_02物料!$L$4:$L$1203,"已收讫")+SUMIFS(对接源_02物料!$K$4:$K$1203,对接源_02物料!$C$4:$C$1203,$B197,对接源_02物料!$D$4:$D$1203,"周转筐*",对接源_02物料!$L$4:$L$1203,"已付款")+SUMIFS(对接源_02物料!$K$4:$K$1203,对接源_02物料!$C$4:$C$1203,$B197,对接源_02物料!$D$4:$D$1203,"次果筐*",对接源_02物料!$L$4:$L$1203,"已收讫")+SUMIFS(对接源_02物料!$K$4:$K$1203,对接源_02物料!$C$4:$C$1203,$B197,对接源_02物料!$D$4:$D$1203,"次果筐*",对接源_02物料!$L$4:$L$1203,"已付款"),2))</f>
      </c>
      <c r="J197" s="177">
        <f>IF($B197="","",ROUND(N($H197)-N($I197),2))</f>
      </c>
      <c r="K197" s="16">
        <f>IF($B197="","",IF(ROUND(N($J197),2)&gt;0,"对方欠款",IF(ROUND(N($J197),2)&lt;0,"我方欠款","已两清")))</f>
      </c>
      <c r="L197" s="26" t="n"/>
    </row>
    <row r="198" s="127">
      <c r="A198" s="16">
        <f>IF($B198="","",ROW()-3)</f>
      </c>
      <c r="B198" s="11">
        <f>IFERROR(INDEX(_自动清单!$E$4:$E$303,ROW()-3),"")</f>
      </c>
      <c r="C198" s="177">
        <f>IF($B198="","",ROUND(SUMIFS(对接源_01水果!$K$4:$K$1203,对接源_01水果!$C$4:$C$1203,$B198,对接源_01水果!$D$4:$D$1203,"成品出库*"),2))</f>
      </c>
      <c r="D198" s="177">
        <f>IF($B198="","",ROUND(SUMIFS(对接源_01水果!$K$4:$K$1203,对接源_01水果!$C$4:$C$1203,$B198,对接源_01水果!$D$4:$D$1203,"其他代存*"),2))</f>
      </c>
      <c r="E198" s="177">
        <f>IF($B198="","",ROUND(SUMIFS(对接源_02物料!$K$4:$K$1203,对接源_02物料!$C$4:$C$1203,$B198,对接源_02物料!$D$4:$D$1203,"包装物料*"),2))</f>
      </c>
      <c r="F198" s="177">
        <f>IF($B198="","",ROUND(SUMIFS(对接源_02物料!$K$4:$K$1203,对接源_02物料!$C$4:$C$1203,$B198,对接源_02物料!$D$4:$D$1203,"周转筐*"),2))</f>
      </c>
      <c r="G198" s="177">
        <f>IF($B198="","",ROUND(SUMIFS(对接源_02物料!$K$4:$K$1203,对接源_02物料!$C$4:$C$1203,$B198,对接源_02物料!$D$4:$D$1203,"次果筐*"),2))</f>
      </c>
      <c r="H198" s="177">
        <f>IF($B198="","",ROUND(SUM($C198:$G198),2))</f>
      </c>
      <c r="I198" s="177">
        <f>IF($B198="","",ROUND(SUMIFS(对接源_01水果!$K$4:$K$1203,对接源_01水果!$C$4:$C$1203,$B198,对接源_01水果!$D$4:$D$1203,"成品出库*",对接源_01水果!$L$4:$L$1203,"已收讫")+SUMIFS(对接源_01水果!$K$4:$K$1203,对接源_01水果!$C$4:$C$1203,$B198,对接源_01水果!$D$4:$D$1203,"成品出库*",对接源_01水果!$L$4:$L$1203,"已付款")+SUMIFS(对接源_01水果!$K$4:$K$1203,对接源_01水果!$C$4:$C$1203,$B198,对接源_01水果!$D$4:$D$1203,"其他代存*",对接源_01水果!$L$4:$L$1203,"已收讫")+SUMIFS(对接源_01水果!$K$4:$K$1203,对接源_01水果!$C$4:$C$1203,$B198,对接源_01水果!$D$4:$D$1203,"其他代存*",对接源_01水果!$L$4:$L$1203,"已付款")+SUMIFS(对接源_02物料!$K$4:$K$1203,对接源_02物料!$C$4:$C$1203,$B198,对接源_02物料!$D$4:$D$1203,"包装物料*",对接源_02物料!$L$4:$L$1203,"已收讫")+SUMIFS(对接源_02物料!$K$4:$K$1203,对接源_02物料!$C$4:$C$1203,$B198,对接源_02物料!$D$4:$D$1203,"包装物料*",对接源_02物料!$L$4:$L$1203,"已付款")+SUMIFS(对接源_02物料!$K$4:$K$1203,对接源_02物料!$C$4:$C$1203,$B198,对接源_02物料!$D$4:$D$1203,"周转筐*",对接源_02物料!$L$4:$L$1203,"已收讫")+SUMIFS(对接源_02物料!$K$4:$K$1203,对接源_02物料!$C$4:$C$1203,$B198,对接源_02物料!$D$4:$D$1203,"周转筐*",对接源_02物料!$L$4:$L$1203,"已付款")+SUMIFS(对接源_02物料!$K$4:$K$1203,对接源_02物料!$C$4:$C$1203,$B198,对接源_02物料!$D$4:$D$1203,"次果筐*",对接源_02物料!$L$4:$L$1203,"已收讫")+SUMIFS(对接源_02物料!$K$4:$K$1203,对接源_02物料!$C$4:$C$1203,$B198,对接源_02物料!$D$4:$D$1203,"次果筐*",对接源_02物料!$L$4:$L$1203,"已付款"),2))</f>
      </c>
      <c r="J198" s="177">
        <f>IF($B198="","",ROUND(N($H198)-N($I198),2))</f>
      </c>
      <c r="K198" s="16">
        <f>IF($B198="","",IF(ROUND(N($J198),2)&gt;0,"对方欠款",IF(ROUND(N($J198),2)&lt;0,"我方欠款","已两清")))</f>
      </c>
      <c r="L198" s="26" t="n"/>
    </row>
    <row r="199" s="127">
      <c r="A199" s="16">
        <f>IF($B199="","",ROW()-3)</f>
      </c>
      <c r="B199" s="11">
        <f>IFERROR(INDEX(_自动清单!$E$4:$E$303,ROW()-3),"")</f>
      </c>
      <c r="C199" s="177">
        <f>IF($B199="","",ROUND(SUMIFS(对接源_01水果!$K$4:$K$1203,对接源_01水果!$C$4:$C$1203,$B199,对接源_01水果!$D$4:$D$1203,"成品出库*"),2))</f>
      </c>
      <c r="D199" s="177">
        <f>IF($B199="","",ROUND(SUMIFS(对接源_01水果!$K$4:$K$1203,对接源_01水果!$C$4:$C$1203,$B199,对接源_01水果!$D$4:$D$1203,"其他代存*"),2))</f>
      </c>
      <c r="E199" s="177">
        <f>IF($B199="","",ROUND(SUMIFS(对接源_02物料!$K$4:$K$1203,对接源_02物料!$C$4:$C$1203,$B199,对接源_02物料!$D$4:$D$1203,"包装物料*"),2))</f>
      </c>
      <c r="F199" s="177">
        <f>IF($B199="","",ROUND(SUMIFS(对接源_02物料!$K$4:$K$1203,对接源_02物料!$C$4:$C$1203,$B199,对接源_02物料!$D$4:$D$1203,"周转筐*"),2))</f>
      </c>
      <c r="G199" s="177">
        <f>IF($B199="","",ROUND(SUMIFS(对接源_02物料!$K$4:$K$1203,对接源_02物料!$C$4:$C$1203,$B199,对接源_02物料!$D$4:$D$1203,"次果筐*"),2))</f>
      </c>
      <c r="H199" s="177">
        <f>IF($B199="","",ROUND(SUM($C199:$G199),2))</f>
      </c>
      <c r="I199" s="177">
        <f>IF($B199="","",ROUND(SUMIFS(对接源_01水果!$K$4:$K$1203,对接源_01水果!$C$4:$C$1203,$B199,对接源_01水果!$D$4:$D$1203,"成品出库*",对接源_01水果!$L$4:$L$1203,"已收讫")+SUMIFS(对接源_01水果!$K$4:$K$1203,对接源_01水果!$C$4:$C$1203,$B199,对接源_01水果!$D$4:$D$1203,"成品出库*",对接源_01水果!$L$4:$L$1203,"已付款")+SUMIFS(对接源_01水果!$K$4:$K$1203,对接源_01水果!$C$4:$C$1203,$B199,对接源_01水果!$D$4:$D$1203,"其他代存*",对接源_01水果!$L$4:$L$1203,"已收讫")+SUMIFS(对接源_01水果!$K$4:$K$1203,对接源_01水果!$C$4:$C$1203,$B199,对接源_01水果!$D$4:$D$1203,"其他代存*",对接源_01水果!$L$4:$L$1203,"已付款")+SUMIFS(对接源_02物料!$K$4:$K$1203,对接源_02物料!$C$4:$C$1203,$B199,对接源_02物料!$D$4:$D$1203,"包装物料*",对接源_02物料!$L$4:$L$1203,"已收讫")+SUMIFS(对接源_02物料!$K$4:$K$1203,对接源_02物料!$C$4:$C$1203,$B199,对接源_02物料!$D$4:$D$1203,"包装物料*",对接源_02物料!$L$4:$L$1203,"已付款")+SUMIFS(对接源_02物料!$K$4:$K$1203,对接源_02物料!$C$4:$C$1203,$B199,对接源_02物料!$D$4:$D$1203,"周转筐*",对接源_02物料!$L$4:$L$1203,"已收讫")+SUMIFS(对接源_02物料!$K$4:$K$1203,对接源_02物料!$C$4:$C$1203,$B199,对接源_02物料!$D$4:$D$1203,"周转筐*",对接源_02物料!$L$4:$L$1203,"已付款")+SUMIFS(对接源_02物料!$K$4:$K$1203,对接源_02物料!$C$4:$C$1203,$B199,对接源_02物料!$D$4:$D$1203,"次果筐*",对接源_02物料!$L$4:$L$1203,"已收讫")+SUMIFS(对接源_02物料!$K$4:$K$1203,对接源_02物料!$C$4:$C$1203,$B199,对接源_02物料!$D$4:$D$1203,"次果筐*",对接源_02物料!$L$4:$L$1203,"已付款"),2))</f>
      </c>
      <c r="J199" s="177">
        <f>IF($B199="","",ROUND(N($H199)-N($I199),2))</f>
      </c>
      <c r="K199" s="16">
        <f>IF($B199="","",IF(ROUND(N($J199),2)&gt;0,"对方欠款",IF(ROUND(N($J199),2)&lt;0,"我方欠款","已两清")))</f>
      </c>
      <c r="L199" s="26" t="n"/>
    </row>
    <row r="200" s="127">
      <c r="A200" s="16">
        <f>IF($B200="","",ROW()-3)</f>
      </c>
      <c r="B200" s="11">
        <f>IFERROR(INDEX(_自动清单!$E$4:$E$303,ROW()-3),"")</f>
      </c>
      <c r="C200" s="177">
        <f>IF($B200="","",ROUND(SUMIFS(对接源_01水果!$K$4:$K$1203,对接源_01水果!$C$4:$C$1203,$B200,对接源_01水果!$D$4:$D$1203,"成品出库*"),2))</f>
      </c>
      <c r="D200" s="177">
        <f>IF($B200="","",ROUND(SUMIFS(对接源_01水果!$K$4:$K$1203,对接源_01水果!$C$4:$C$1203,$B200,对接源_01水果!$D$4:$D$1203,"其他代存*"),2))</f>
      </c>
      <c r="E200" s="177">
        <f>IF($B200="","",ROUND(SUMIFS(对接源_02物料!$K$4:$K$1203,对接源_02物料!$C$4:$C$1203,$B200,对接源_02物料!$D$4:$D$1203,"包装物料*"),2))</f>
      </c>
      <c r="F200" s="177">
        <f>IF($B200="","",ROUND(SUMIFS(对接源_02物料!$K$4:$K$1203,对接源_02物料!$C$4:$C$1203,$B200,对接源_02物料!$D$4:$D$1203,"周转筐*"),2))</f>
      </c>
      <c r="G200" s="177">
        <f>IF($B200="","",ROUND(SUMIFS(对接源_02物料!$K$4:$K$1203,对接源_02物料!$C$4:$C$1203,$B200,对接源_02物料!$D$4:$D$1203,"次果筐*"),2))</f>
      </c>
      <c r="H200" s="177">
        <f>IF($B200="","",ROUND(SUM($C200:$G200),2))</f>
      </c>
      <c r="I200" s="177">
        <f>IF($B200="","",ROUND(SUMIFS(对接源_01水果!$K$4:$K$1203,对接源_01水果!$C$4:$C$1203,$B200,对接源_01水果!$D$4:$D$1203,"成品出库*",对接源_01水果!$L$4:$L$1203,"已收讫")+SUMIFS(对接源_01水果!$K$4:$K$1203,对接源_01水果!$C$4:$C$1203,$B200,对接源_01水果!$D$4:$D$1203,"成品出库*",对接源_01水果!$L$4:$L$1203,"已付款")+SUMIFS(对接源_01水果!$K$4:$K$1203,对接源_01水果!$C$4:$C$1203,$B200,对接源_01水果!$D$4:$D$1203,"其他代存*",对接源_01水果!$L$4:$L$1203,"已收讫")+SUMIFS(对接源_01水果!$K$4:$K$1203,对接源_01水果!$C$4:$C$1203,$B200,对接源_01水果!$D$4:$D$1203,"其他代存*",对接源_01水果!$L$4:$L$1203,"已付款")+SUMIFS(对接源_02物料!$K$4:$K$1203,对接源_02物料!$C$4:$C$1203,$B200,对接源_02物料!$D$4:$D$1203,"包装物料*",对接源_02物料!$L$4:$L$1203,"已收讫")+SUMIFS(对接源_02物料!$K$4:$K$1203,对接源_02物料!$C$4:$C$1203,$B200,对接源_02物料!$D$4:$D$1203,"包装物料*",对接源_02物料!$L$4:$L$1203,"已付款")+SUMIFS(对接源_02物料!$K$4:$K$1203,对接源_02物料!$C$4:$C$1203,$B200,对接源_02物料!$D$4:$D$1203,"周转筐*",对接源_02物料!$L$4:$L$1203,"已收讫")+SUMIFS(对接源_02物料!$K$4:$K$1203,对接源_02物料!$C$4:$C$1203,$B200,对接源_02物料!$D$4:$D$1203,"周转筐*",对接源_02物料!$L$4:$L$1203,"已付款")+SUMIFS(对接源_02物料!$K$4:$K$1203,对接源_02物料!$C$4:$C$1203,$B200,对接源_02物料!$D$4:$D$1203,"次果筐*",对接源_02物料!$L$4:$L$1203,"已收讫")+SUMIFS(对接源_02物料!$K$4:$K$1203,对接源_02物料!$C$4:$C$1203,$B200,对接源_02物料!$D$4:$D$1203,"次果筐*",对接源_02物料!$L$4:$L$1203,"已付款"),2))</f>
      </c>
      <c r="J200" s="177">
        <f>IF($B200="","",ROUND(N($H200)-N($I200),2))</f>
      </c>
      <c r="K200" s="16">
        <f>IF($B200="","",IF(ROUND(N($J200),2)&gt;0,"对方欠款",IF(ROUND(N($J200),2)&lt;0,"我方欠款","已两清")))</f>
      </c>
      <c r="L200" s="26" t="n"/>
    </row>
    <row r="201" s="127">
      <c r="A201" s="16">
        <f>IF($B201="","",ROW()-3)</f>
      </c>
      <c r="B201" s="11">
        <f>IFERROR(INDEX(_自动清单!$E$4:$E$303,ROW()-3),"")</f>
      </c>
      <c r="C201" s="177">
        <f>IF($B201="","",ROUND(SUMIFS(对接源_01水果!$K$4:$K$1203,对接源_01水果!$C$4:$C$1203,$B201,对接源_01水果!$D$4:$D$1203,"成品出库*"),2))</f>
      </c>
      <c r="D201" s="177">
        <f>IF($B201="","",ROUND(SUMIFS(对接源_01水果!$K$4:$K$1203,对接源_01水果!$C$4:$C$1203,$B201,对接源_01水果!$D$4:$D$1203,"其他代存*"),2))</f>
      </c>
      <c r="E201" s="177">
        <f>IF($B201="","",ROUND(SUMIFS(对接源_02物料!$K$4:$K$1203,对接源_02物料!$C$4:$C$1203,$B201,对接源_02物料!$D$4:$D$1203,"包装物料*"),2))</f>
      </c>
      <c r="F201" s="177">
        <f>IF($B201="","",ROUND(SUMIFS(对接源_02物料!$K$4:$K$1203,对接源_02物料!$C$4:$C$1203,$B201,对接源_02物料!$D$4:$D$1203,"周转筐*"),2))</f>
      </c>
      <c r="G201" s="177">
        <f>IF($B201="","",ROUND(SUMIFS(对接源_02物料!$K$4:$K$1203,对接源_02物料!$C$4:$C$1203,$B201,对接源_02物料!$D$4:$D$1203,"次果筐*"),2))</f>
      </c>
      <c r="H201" s="177">
        <f>IF($B201="","",ROUND(SUM($C201:$G201),2))</f>
      </c>
      <c r="I201" s="177">
        <f>IF($B201="","",ROUND(SUMIFS(对接源_01水果!$K$4:$K$1203,对接源_01水果!$C$4:$C$1203,$B201,对接源_01水果!$D$4:$D$1203,"成品出库*",对接源_01水果!$L$4:$L$1203,"已收讫")+SUMIFS(对接源_01水果!$K$4:$K$1203,对接源_01水果!$C$4:$C$1203,$B201,对接源_01水果!$D$4:$D$1203,"成品出库*",对接源_01水果!$L$4:$L$1203,"已付款")+SUMIFS(对接源_01水果!$K$4:$K$1203,对接源_01水果!$C$4:$C$1203,$B201,对接源_01水果!$D$4:$D$1203,"其他代存*",对接源_01水果!$L$4:$L$1203,"已收讫")+SUMIFS(对接源_01水果!$K$4:$K$1203,对接源_01水果!$C$4:$C$1203,$B201,对接源_01水果!$D$4:$D$1203,"其他代存*",对接源_01水果!$L$4:$L$1203,"已付款")+SUMIFS(对接源_02物料!$K$4:$K$1203,对接源_02物料!$C$4:$C$1203,$B201,对接源_02物料!$D$4:$D$1203,"包装物料*",对接源_02物料!$L$4:$L$1203,"已收讫")+SUMIFS(对接源_02物料!$K$4:$K$1203,对接源_02物料!$C$4:$C$1203,$B201,对接源_02物料!$D$4:$D$1203,"包装物料*",对接源_02物料!$L$4:$L$1203,"已付款")+SUMIFS(对接源_02物料!$K$4:$K$1203,对接源_02物料!$C$4:$C$1203,$B201,对接源_02物料!$D$4:$D$1203,"周转筐*",对接源_02物料!$L$4:$L$1203,"已收讫")+SUMIFS(对接源_02物料!$K$4:$K$1203,对接源_02物料!$C$4:$C$1203,$B201,对接源_02物料!$D$4:$D$1203,"周转筐*",对接源_02物料!$L$4:$L$1203,"已付款")+SUMIFS(对接源_02物料!$K$4:$K$1203,对接源_02物料!$C$4:$C$1203,$B201,对接源_02物料!$D$4:$D$1203,"次果筐*",对接源_02物料!$L$4:$L$1203,"已收讫")+SUMIFS(对接源_02物料!$K$4:$K$1203,对接源_02物料!$C$4:$C$1203,$B201,对接源_02物料!$D$4:$D$1203,"次果筐*",对接源_02物料!$L$4:$L$1203,"已付款"),2))</f>
      </c>
      <c r="J201" s="177">
        <f>IF($B201="","",ROUND(N($H201)-N($I201),2))</f>
      </c>
      <c r="K201" s="16">
        <f>IF($B201="","",IF(ROUND(N($J201),2)&gt;0,"对方欠款",IF(ROUND(N($J201),2)&lt;0,"我方欠款","已两清")))</f>
      </c>
      <c r="L201" s="26" t="n"/>
    </row>
    <row r="202" s="127">
      <c r="A202" s="16">
        <f>IF($B202="","",ROW()-3)</f>
      </c>
      <c r="B202" s="11">
        <f>IFERROR(INDEX(_自动清单!$E$4:$E$303,ROW()-3),"")</f>
      </c>
      <c r="C202" s="177">
        <f>IF($B202="","",ROUND(SUMIFS(对接源_01水果!$K$4:$K$1203,对接源_01水果!$C$4:$C$1203,$B202,对接源_01水果!$D$4:$D$1203,"成品出库*"),2))</f>
      </c>
      <c r="D202" s="177">
        <f>IF($B202="","",ROUND(SUMIFS(对接源_01水果!$K$4:$K$1203,对接源_01水果!$C$4:$C$1203,$B202,对接源_01水果!$D$4:$D$1203,"其他代存*"),2))</f>
      </c>
      <c r="E202" s="177">
        <f>IF($B202="","",ROUND(SUMIFS(对接源_02物料!$K$4:$K$1203,对接源_02物料!$C$4:$C$1203,$B202,对接源_02物料!$D$4:$D$1203,"包装物料*"),2))</f>
      </c>
      <c r="F202" s="177">
        <f>IF($B202="","",ROUND(SUMIFS(对接源_02物料!$K$4:$K$1203,对接源_02物料!$C$4:$C$1203,$B202,对接源_02物料!$D$4:$D$1203,"周转筐*"),2))</f>
      </c>
      <c r="G202" s="177">
        <f>IF($B202="","",ROUND(SUMIFS(对接源_02物料!$K$4:$K$1203,对接源_02物料!$C$4:$C$1203,$B202,对接源_02物料!$D$4:$D$1203,"次果筐*"),2))</f>
      </c>
      <c r="H202" s="177">
        <f>IF($B202="","",ROUND(SUM($C202:$G202),2))</f>
      </c>
      <c r="I202" s="177">
        <f>IF($B202="","",ROUND(SUMIFS(对接源_01水果!$K$4:$K$1203,对接源_01水果!$C$4:$C$1203,$B202,对接源_01水果!$D$4:$D$1203,"成品出库*",对接源_01水果!$L$4:$L$1203,"已收讫")+SUMIFS(对接源_01水果!$K$4:$K$1203,对接源_01水果!$C$4:$C$1203,$B202,对接源_01水果!$D$4:$D$1203,"成品出库*",对接源_01水果!$L$4:$L$1203,"已付款")+SUMIFS(对接源_01水果!$K$4:$K$1203,对接源_01水果!$C$4:$C$1203,$B202,对接源_01水果!$D$4:$D$1203,"其他代存*",对接源_01水果!$L$4:$L$1203,"已收讫")+SUMIFS(对接源_01水果!$K$4:$K$1203,对接源_01水果!$C$4:$C$1203,$B202,对接源_01水果!$D$4:$D$1203,"其他代存*",对接源_01水果!$L$4:$L$1203,"已付款")+SUMIFS(对接源_02物料!$K$4:$K$1203,对接源_02物料!$C$4:$C$1203,$B202,对接源_02物料!$D$4:$D$1203,"包装物料*",对接源_02物料!$L$4:$L$1203,"已收讫")+SUMIFS(对接源_02物料!$K$4:$K$1203,对接源_02物料!$C$4:$C$1203,$B202,对接源_02物料!$D$4:$D$1203,"包装物料*",对接源_02物料!$L$4:$L$1203,"已付款")+SUMIFS(对接源_02物料!$K$4:$K$1203,对接源_02物料!$C$4:$C$1203,$B202,对接源_02物料!$D$4:$D$1203,"周转筐*",对接源_02物料!$L$4:$L$1203,"已收讫")+SUMIFS(对接源_02物料!$K$4:$K$1203,对接源_02物料!$C$4:$C$1203,$B202,对接源_02物料!$D$4:$D$1203,"周转筐*",对接源_02物料!$L$4:$L$1203,"已付款")+SUMIFS(对接源_02物料!$K$4:$K$1203,对接源_02物料!$C$4:$C$1203,$B202,对接源_02物料!$D$4:$D$1203,"次果筐*",对接源_02物料!$L$4:$L$1203,"已收讫")+SUMIFS(对接源_02物料!$K$4:$K$1203,对接源_02物料!$C$4:$C$1203,$B202,对接源_02物料!$D$4:$D$1203,"次果筐*",对接源_02物料!$L$4:$L$1203,"已付款"),2))</f>
      </c>
      <c r="J202" s="177">
        <f>IF($B202="","",ROUND(N($H202)-N($I202),2))</f>
      </c>
      <c r="K202" s="16">
        <f>IF($B202="","",IF(ROUND(N($J202),2)&gt;0,"对方欠款",IF(ROUND(N($J202),2)&lt;0,"我方欠款","已两清")))</f>
      </c>
      <c r="L202" s="26" t="n"/>
    </row>
    <row r="203" s="127">
      <c r="A203" s="16">
        <f>IF($B203="","",ROW()-3)</f>
      </c>
      <c r="B203" s="11">
        <f>IFERROR(INDEX(_自动清单!$E$4:$E$303,ROW()-3),"")</f>
      </c>
      <c r="C203" s="177">
        <f>IF($B203="","",ROUND(SUMIFS(对接源_01水果!$K$4:$K$1203,对接源_01水果!$C$4:$C$1203,$B203,对接源_01水果!$D$4:$D$1203,"成品出库*"),2))</f>
      </c>
      <c r="D203" s="177">
        <f>IF($B203="","",ROUND(SUMIFS(对接源_01水果!$K$4:$K$1203,对接源_01水果!$C$4:$C$1203,$B203,对接源_01水果!$D$4:$D$1203,"其他代存*"),2))</f>
      </c>
      <c r="E203" s="177">
        <f>IF($B203="","",ROUND(SUMIFS(对接源_02物料!$K$4:$K$1203,对接源_02物料!$C$4:$C$1203,$B203,对接源_02物料!$D$4:$D$1203,"包装物料*"),2))</f>
      </c>
      <c r="F203" s="177">
        <f>IF($B203="","",ROUND(SUMIFS(对接源_02物料!$K$4:$K$1203,对接源_02物料!$C$4:$C$1203,$B203,对接源_02物料!$D$4:$D$1203,"周转筐*"),2))</f>
      </c>
      <c r="G203" s="177">
        <f>IF($B203="","",ROUND(SUMIFS(对接源_02物料!$K$4:$K$1203,对接源_02物料!$C$4:$C$1203,$B203,对接源_02物料!$D$4:$D$1203,"次果筐*"),2))</f>
      </c>
      <c r="H203" s="177">
        <f>IF($B203="","",ROUND(SUM($C203:$G203),2))</f>
      </c>
      <c r="I203" s="177">
        <f>IF($B203="","",ROUND(SUMIFS(对接源_01水果!$K$4:$K$1203,对接源_01水果!$C$4:$C$1203,$B203,对接源_01水果!$D$4:$D$1203,"成品出库*",对接源_01水果!$L$4:$L$1203,"已收讫")+SUMIFS(对接源_01水果!$K$4:$K$1203,对接源_01水果!$C$4:$C$1203,$B203,对接源_01水果!$D$4:$D$1203,"成品出库*",对接源_01水果!$L$4:$L$1203,"已付款")+SUMIFS(对接源_01水果!$K$4:$K$1203,对接源_01水果!$C$4:$C$1203,$B203,对接源_01水果!$D$4:$D$1203,"其他代存*",对接源_01水果!$L$4:$L$1203,"已收讫")+SUMIFS(对接源_01水果!$K$4:$K$1203,对接源_01水果!$C$4:$C$1203,$B203,对接源_01水果!$D$4:$D$1203,"其他代存*",对接源_01水果!$L$4:$L$1203,"已付款")+SUMIFS(对接源_02物料!$K$4:$K$1203,对接源_02物料!$C$4:$C$1203,$B203,对接源_02物料!$D$4:$D$1203,"包装物料*",对接源_02物料!$L$4:$L$1203,"已收讫")+SUMIFS(对接源_02物料!$K$4:$K$1203,对接源_02物料!$C$4:$C$1203,$B203,对接源_02物料!$D$4:$D$1203,"包装物料*",对接源_02物料!$L$4:$L$1203,"已付款")+SUMIFS(对接源_02物料!$K$4:$K$1203,对接源_02物料!$C$4:$C$1203,$B203,对接源_02物料!$D$4:$D$1203,"周转筐*",对接源_02物料!$L$4:$L$1203,"已收讫")+SUMIFS(对接源_02物料!$K$4:$K$1203,对接源_02物料!$C$4:$C$1203,$B203,对接源_02物料!$D$4:$D$1203,"周转筐*",对接源_02物料!$L$4:$L$1203,"已付款")+SUMIFS(对接源_02物料!$K$4:$K$1203,对接源_02物料!$C$4:$C$1203,$B203,对接源_02物料!$D$4:$D$1203,"次果筐*",对接源_02物料!$L$4:$L$1203,"已收讫")+SUMIFS(对接源_02物料!$K$4:$K$1203,对接源_02物料!$C$4:$C$1203,$B203,对接源_02物料!$D$4:$D$1203,"次果筐*",对接源_02物料!$L$4:$L$1203,"已付款"),2))</f>
      </c>
      <c r="J203" s="177">
        <f>IF($B203="","",ROUND(N($H203)-N($I203),2))</f>
      </c>
      <c r="K203" s="16">
        <f>IF($B203="","",IF(ROUND(N($J203),2)&gt;0,"对方欠款",IF(ROUND(N($J203),2)&lt;0,"我方欠款","已两清")))</f>
      </c>
      <c r="L203" s="26" t="n"/>
    </row>
    <row r="204" s="127">
      <c r="A204" s="16">
        <f>IF($B204="","",ROW()-3)</f>
      </c>
      <c r="B204" s="11">
        <f>IFERROR(INDEX(_自动清单!$E$4:$E$303,ROW()-3),"")</f>
      </c>
      <c r="C204" s="177">
        <f>IF($B204="","",ROUND(SUMIFS(对接源_01水果!$K$4:$K$1203,对接源_01水果!$C$4:$C$1203,$B204,对接源_01水果!$D$4:$D$1203,"成品出库*"),2))</f>
      </c>
      <c r="D204" s="177">
        <f>IF($B204="","",ROUND(SUMIFS(对接源_01水果!$K$4:$K$1203,对接源_01水果!$C$4:$C$1203,$B204,对接源_01水果!$D$4:$D$1203,"其他代存*"),2))</f>
      </c>
      <c r="E204" s="177">
        <f>IF($B204="","",ROUND(SUMIFS(对接源_02物料!$K$4:$K$1203,对接源_02物料!$C$4:$C$1203,$B204,对接源_02物料!$D$4:$D$1203,"包装物料*"),2))</f>
      </c>
      <c r="F204" s="177">
        <f>IF($B204="","",ROUND(SUMIFS(对接源_02物料!$K$4:$K$1203,对接源_02物料!$C$4:$C$1203,$B204,对接源_02物料!$D$4:$D$1203,"周转筐*"),2))</f>
      </c>
      <c r="G204" s="177">
        <f>IF($B204="","",ROUND(SUMIFS(对接源_02物料!$K$4:$K$1203,对接源_02物料!$C$4:$C$1203,$B204,对接源_02物料!$D$4:$D$1203,"次果筐*"),2))</f>
      </c>
      <c r="H204" s="177">
        <f>IF($B204="","",ROUND(SUM($C204:$G204),2))</f>
      </c>
      <c r="I204" s="177">
        <f>IF($B204="","",ROUND(SUMIFS(对接源_01水果!$K$4:$K$1203,对接源_01水果!$C$4:$C$1203,$B204,对接源_01水果!$D$4:$D$1203,"成品出库*",对接源_01水果!$L$4:$L$1203,"已收讫")+SUMIFS(对接源_01水果!$K$4:$K$1203,对接源_01水果!$C$4:$C$1203,$B204,对接源_01水果!$D$4:$D$1203,"成品出库*",对接源_01水果!$L$4:$L$1203,"已付款")+SUMIFS(对接源_01水果!$K$4:$K$1203,对接源_01水果!$C$4:$C$1203,$B204,对接源_01水果!$D$4:$D$1203,"其他代存*",对接源_01水果!$L$4:$L$1203,"已收讫")+SUMIFS(对接源_01水果!$K$4:$K$1203,对接源_01水果!$C$4:$C$1203,$B204,对接源_01水果!$D$4:$D$1203,"其他代存*",对接源_01水果!$L$4:$L$1203,"已付款")+SUMIFS(对接源_02物料!$K$4:$K$1203,对接源_02物料!$C$4:$C$1203,$B204,对接源_02物料!$D$4:$D$1203,"包装物料*",对接源_02物料!$L$4:$L$1203,"已收讫")+SUMIFS(对接源_02物料!$K$4:$K$1203,对接源_02物料!$C$4:$C$1203,$B204,对接源_02物料!$D$4:$D$1203,"包装物料*",对接源_02物料!$L$4:$L$1203,"已付款")+SUMIFS(对接源_02物料!$K$4:$K$1203,对接源_02物料!$C$4:$C$1203,$B204,对接源_02物料!$D$4:$D$1203,"周转筐*",对接源_02物料!$L$4:$L$1203,"已收讫")+SUMIFS(对接源_02物料!$K$4:$K$1203,对接源_02物料!$C$4:$C$1203,$B204,对接源_02物料!$D$4:$D$1203,"周转筐*",对接源_02物料!$L$4:$L$1203,"已付款")+SUMIFS(对接源_02物料!$K$4:$K$1203,对接源_02物料!$C$4:$C$1203,$B204,对接源_02物料!$D$4:$D$1203,"次果筐*",对接源_02物料!$L$4:$L$1203,"已收讫")+SUMIFS(对接源_02物料!$K$4:$K$1203,对接源_02物料!$C$4:$C$1203,$B204,对接源_02物料!$D$4:$D$1203,"次果筐*",对接源_02物料!$L$4:$L$1203,"已付款"),2))</f>
      </c>
      <c r="J204" s="177">
        <f>IF($B204="","",ROUND(N($H204)-N($I204),2))</f>
      </c>
      <c r="K204" s="16">
        <f>IF($B204="","",IF(ROUND(N($J204),2)&gt;0,"对方欠款",IF(ROUND(N($J204),2)&lt;0,"我方欠款","已两清")))</f>
      </c>
      <c r="L204" s="26" t="n"/>
    </row>
    <row r="205" s="127">
      <c r="A205" s="16">
        <f>IF($B205="","",ROW()-3)</f>
      </c>
      <c r="B205" s="11">
        <f>IFERROR(INDEX(_自动清单!$E$4:$E$303,ROW()-3),"")</f>
      </c>
      <c r="C205" s="177">
        <f>IF($B205="","",ROUND(SUMIFS(对接源_01水果!$K$4:$K$1203,对接源_01水果!$C$4:$C$1203,$B205,对接源_01水果!$D$4:$D$1203,"成品出库*"),2))</f>
      </c>
      <c r="D205" s="177">
        <f>IF($B205="","",ROUND(SUMIFS(对接源_01水果!$K$4:$K$1203,对接源_01水果!$C$4:$C$1203,$B205,对接源_01水果!$D$4:$D$1203,"其他代存*"),2))</f>
      </c>
      <c r="E205" s="177">
        <f>IF($B205="","",ROUND(SUMIFS(对接源_02物料!$K$4:$K$1203,对接源_02物料!$C$4:$C$1203,$B205,对接源_02物料!$D$4:$D$1203,"包装物料*"),2))</f>
      </c>
      <c r="F205" s="177">
        <f>IF($B205="","",ROUND(SUMIFS(对接源_02物料!$K$4:$K$1203,对接源_02物料!$C$4:$C$1203,$B205,对接源_02物料!$D$4:$D$1203,"周转筐*"),2))</f>
      </c>
      <c r="G205" s="177">
        <f>IF($B205="","",ROUND(SUMIFS(对接源_02物料!$K$4:$K$1203,对接源_02物料!$C$4:$C$1203,$B205,对接源_02物料!$D$4:$D$1203,"次果筐*"),2))</f>
      </c>
      <c r="H205" s="177">
        <f>IF($B205="","",ROUND(SUM($C205:$G205),2))</f>
      </c>
      <c r="I205" s="177">
        <f>IF($B205="","",ROUND(SUMIFS(对接源_01水果!$K$4:$K$1203,对接源_01水果!$C$4:$C$1203,$B205,对接源_01水果!$D$4:$D$1203,"成品出库*",对接源_01水果!$L$4:$L$1203,"已收讫")+SUMIFS(对接源_01水果!$K$4:$K$1203,对接源_01水果!$C$4:$C$1203,$B205,对接源_01水果!$D$4:$D$1203,"成品出库*",对接源_01水果!$L$4:$L$1203,"已付款")+SUMIFS(对接源_01水果!$K$4:$K$1203,对接源_01水果!$C$4:$C$1203,$B205,对接源_01水果!$D$4:$D$1203,"其他代存*",对接源_01水果!$L$4:$L$1203,"已收讫")+SUMIFS(对接源_01水果!$K$4:$K$1203,对接源_01水果!$C$4:$C$1203,$B205,对接源_01水果!$D$4:$D$1203,"其他代存*",对接源_01水果!$L$4:$L$1203,"已付款")+SUMIFS(对接源_02物料!$K$4:$K$1203,对接源_02物料!$C$4:$C$1203,$B205,对接源_02物料!$D$4:$D$1203,"包装物料*",对接源_02物料!$L$4:$L$1203,"已收讫")+SUMIFS(对接源_02物料!$K$4:$K$1203,对接源_02物料!$C$4:$C$1203,$B205,对接源_02物料!$D$4:$D$1203,"包装物料*",对接源_02物料!$L$4:$L$1203,"已付款")+SUMIFS(对接源_02物料!$K$4:$K$1203,对接源_02物料!$C$4:$C$1203,$B205,对接源_02物料!$D$4:$D$1203,"周转筐*",对接源_02物料!$L$4:$L$1203,"已收讫")+SUMIFS(对接源_02物料!$K$4:$K$1203,对接源_02物料!$C$4:$C$1203,$B205,对接源_02物料!$D$4:$D$1203,"周转筐*",对接源_02物料!$L$4:$L$1203,"已付款")+SUMIFS(对接源_02物料!$K$4:$K$1203,对接源_02物料!$C$4:$C$1203,$B205,对接源_02物料!$D$4:$D$1203,"次果筐*",对接源_02物料!$L$4:$L$1203,"已收讫")+SUMIFS(对接源_02物料!$K$4:$K$1203,对接源_02物料!$C$4:$C$1203,$B205,对接源_02物料!$D$4:$D$1203,"次果筐*",对接源_02物料!$L$4:$L$1203,"已付款"),2))</f>
      </c>
      <c r="J205" s="177">
        <f>IF($B205="","",ROUND(N($H205)-N($I205),2))</f>
      </c>
      <c r="K205" s="16">
        <f>IF($B205="","",IF(ROUND(N($J205),2)&gt;0,"对方欠款",IF(ROUND(N($J205),2)&lt;0,"我方欠款","已两清")))</f>
      </c>
      <c r="L205" s="26" t="n"/>
    </row>
    <row r="206" s="127">
      <c r="A206" s="16">
        <f>IF($B206="","",ROW()-3)</f>
      </c>
      <c r="B206" s="11">
        <f>IFERROR(INDEX(_自动清单!$E$4:$E$303,ROW()-3),"")</f>
      </c>
      <c r="C206" s="177">
        <f>IF($B206="","",ROUND(SUMIFS(对接源_01水果!$K$4:$K$1203,对接源_01水果!$C$4:$C$1203,$B206,对接源_01水果!$D$4:$D$1203,"成品出库*"),2))</f>
      </c>
      <c r="D206" s="177">
        <f>IF($B206="","",ROUND(SUMIFS(对接源_01水果!$K$4:$K$1203,对接源_01水果!$C$4:$C$1203,$B206,对接源_01水果!$D$4:$D$1203,"其他代存*"),2))</f>
      </c>
      <c r="E206" s="177">
        <f>IF($B206="","",ROUND(SUMIFS(对接源_02物料!$K$4:$K$1203,对接源_02物料!$C$4:$C$1203,$B206,对接源_02物料!$D$4:$D$1203,"包装物料*"),2))</f>
      </c>
      <c r="F206" s="177">
        <f>IF($B206="","",ROUND(SUMIFS(对接源_02物料!$K$4:$K$1203,对接源_02物料!$C$4:$C$1203,$B206,对接源_02物料!$D$4:$D$1203,"周转筐*"),2))</f>
      </c>
      <c r="G206" s="177">
        <f>IF($B206="","",ROUND(SUMIFS(对接源_02物料!$K$4:$K$1203,对接源_02物料!$C$4:$C$1203,$B206,对接源_02物料!$D$4:$D$1203,"次果筐*"),2))</f>
      </c>
      <c r="H206" s="177">
        <f>IF($B206="","",ROUND(SUM($C206:$G206),2))</f>
      </c>
      <c r="I206" s="177">
        <f>IF($B206="","",ROUND(SUMIFS(对接源_01水果!$K$4:$K$1203,对接源_01水果!$C$4:$C$1203,$B206,对接源_01水果!$D$4:$D$1203,"成品出库*",对接源_01水果!$L$4:$L$1203,"已收讫")+SUMIFS(对接源_01水果!$K$4:$K$1203,对接源_01水果!$C$4:$C$1203,$B206,对接源_01水果!$D$4:$D$1203,"成品出库*",对接源_01水果!$L$4:$L$1203,"已付款")+SUMIFS(对接源_01水果!$K$4:$K$1203,对接源_01水果!$C$4:$C$1203,$B206,对接源_01水果!$D$4:$D$1203,"其他代存*",对接源_01水果!$L$4:$L$1203,"已收讫")+SUMIFS(对接源_01水果!$K$4:$K$1203,对接源_01水果!$C$4:$C$1203,$B206,对接源_01水果!$D$4:$D$1203,"其他代存*",对接源_01水果!$L$4:$L$1203,"已付款")+SUMIFS(对接源_02物料!$K$4:$K$1203,对接源_02物料!$C$4:$C$1203,$B206,对接源_02物料!$D$4:$D$1203,"包装物料*",对接源_02物料!$L$4:$L$1203,"已收讫")+SUMIFS(对接源_02物料!$K$4:$K$1203,对接源_02物料!$C$4:$C$1203,$B206,对接源_02物料!$D$4:$D$1203,"包装物料*",对接源_02物料!$L$4:$L$1203,"已付款")+SUMIFS(对接源_02物料!$K$4:$K$1203,对接源_02物料!$C$4:$C$1203,$B206,对接源_02物料!$D$4:$D$1203,"周转筐*",对接源_02物料!$L$4:$L$1203,"已收讫")+SUMIFS(对接源_02物料!$K$4:$K$1203,对接源_02物料!$C$4:$C$1203,$B206,对接源_02物料!$D$4:$D$1203,"周转筐*",对接源_02物料!$L$4:$L$1203,"已付款")+SUMIFS(对接源_02物料!$K$4:$K$1203,对接源_02物料!$C$4:$C$1203,$B206,对接源_02物料!$D$4:$D$1203,"次果筐*",对接源_02物料!$L$4:$L$1203,"已收讫")+SUMIFS(对接源_02物料!$K$4:$K$1203,对接源_02物料!$C$4:$C$1203,$B206,对接源_02物料!$D$4:$D$1203,"次果筐*",对接源_02物料!$L$4:$L$1203,"已付款"),2))</f>
      </c>
      <c r="J206" s="177">
        <f>IF($B206="","",ROUND(N($H206)-N($I206),2))</f>
      </c>
      <c r="K206" s="16">
        <f>IF($B206="","",IF(ROUND(N($J206),2)&gt;0,"对方欠款",IF(ROUND(N($J206),2)&lt;0,"我方欠款","已两清")))</f>
      </c>
      <c r="L206" s="26" t="n"/>
    </row>
    <row r="207" s="127">
      <c r="A207" s="16">
        <f>IF($B207="","",ROW()-3)</f>
      </c>
      <c r="B207" s="11">
        <f>IFERROR(INDEX(_自动清单!$E$4:$E$303,ROW()-3),"")</f>
      </c>
      <c r="C207" s="177">
        <f>IF($B207="","",ROUND(SUMIFS(对接源_01水果!$K$4:$K$1203,对接源_01水果!$C$4:$C$1203,$B207,对接源_01水果!$D$4:$D$1203,"成品出库*"),2))</f>
      </c>
      <c r="D207" s="177">
        <f>IF($B207="","",ROUND(SUMIFS(对接源_01水果!$K$4:$K$1203,对接源_01水果!$C$4:$C$1203,$B207,对接源_01水果!$D$4:$D$1203,"其他代存*"),2))</f>
      </c>
      <c r="E207" s="177">
        <f>IF($B207="","",ROUND(SUMIFS(对接源_02物料!$K$4:$K$1203,对接源_02物料!$C$4:$C$1203,$B207,对接源_02物料!$D$4:$D$1203,"包装物料*"),2))</f>
      </c>
      <c r="F207" s="177">
        <f>IF($B207="","",ROUND(SUMIFS(对接源_02物料!$K$4:$K$1203,对接源_02物料!$C$4:$C$1203,$B207,对接源_02物料!$D$4:$D$1203,"周转筐*"),2))</f>
      </c>
      <c r="G207" s="177">
        <f>IF($B207="","",ROUND(SUMIFS(对接源_02物料!$K$4:$K$1203,对接源_02物料!$C$4:$C$1203,$B207,对接源_02物料!$D$4:$D$1203,"次果筐*"),2))</f>
      </c>
      <c r="H207" s="177">
        <f>IF($B207="","",ROUND(SUM($C207:$G207),2))</f>
      </c>
      <c r="I207" s="177">
        <f>IF($B207="","",ROUND(SUMIFS(对接源_01水果!$K$4:$K$1203,对接源_01水果!$C$4:$C$1203,$B207,对接源_01水果!$D$4:$D$1203,"成品出库*",对接源_01水果!$L$4:$L$1203,"已收讫")+SUMIFS(对接源_01水果!$K$4:$K$1203,对接源_01水果!$C$4:$C$1203,$B207,对接源_01水果!$D$4:$D$1203,"成品出库*",对接源_01水果!$L$4:$L$1203,"已付款")+SUMIFS(对接源_01水果!$K$4:$K$1203,对接源_01水果!$C$4:$C$1203,$B207,对接源_01水果!$D$4:$D$1203,"其他代存*",对接源_01水果!$L$4:$L$1203,"已收讫")+SUMIFS(对接源_01水果!$K$4:$K$1203,对接源_01水果!$C$4:$C$1203,$B207,对接源_01水果!$D$4:$D$1203,"其他代存*",对接源_01水果!$L$4:$L$1203,"已付款")+SUMIFS(对接源_02物料!$K$4:$K$1203,对接源_02物料!$C$4:$C$1203,$B207,对接源_02物料!$D$4:$D$1203,"包装物料*",对接源_02物料!$L$4:$L$1203,"已收讫")+SUMIFS(对接源_02物料!$K$4:$K$1203,对接源_02物料!$C$4:$C$1203,$B207,对接源_02物料!$D$4:$D$1203,"包装物料*",对接源_02物料!$L$4:$L$1203,"已付款")+SUMIFS(对接源_02物料!$K$4:$K$1203,对接源_02物料!$C$4:$C$1203,$B207,对接源_02物料!$D$4:$D$1203,"周转筐*",对接源_02物料!$L$4:$L$1203,"已收讫")+SUMIFS(对接源_02物料!$K$4:$K$1203,对接源_02物料!$C$4:$C$1203,$B207,对接源_02物料!$D$4:$D$1203,"周转筐*",对接源_02物料!$L$4:$L$1203,"已付款")+SUMIFS(对接源_02物料!$K$4:$K$1203,对接源_02物料!$C$4:$C$1203,$B207,对接源_02物料!$D$4:$D$1203,"次果筐*",对接源_02物料!$L$4:$L$1203,"已收讫")+SUMIFS(对接源_02物料!$K$4:$K$1203,对接源_02物料!$C$4:$C$1203,$B207,对接源_02物料!$D$4:$D$1203,"次果筐*",对接源_02物料!$L$4:$L$1203,"已付款"),2))</f>
      </c>
      <c r="J207" s="177">
        <f>IF($B207="","",ROUND(N($H207)-N($I207),2))</f>
      </c>
      <c r="K207" s="16">
        <f>IF($B207="","",IF(ROUND(N($J207),2)&gt;0,"对方欠款",IF(ROUND(N($J207),2)&lt;0,"我方欠款","已两清")))</f>
      </c>
      <c r="L207" s="26" t="n"/>
    </row>
    <row r="208" s="127">
      <c r="A208" s="16">
        <f>IF($B208="","",ROW()-3)</f>
      </c>
      <c r="B208" s="11">
        <f>IFERROR(INDEX(_自动清单!$E$4:$E$303,ROW()-3),"")</f>
      </c>
      <c r="C208" s="177">
        <f>IF($B208="","",ROUND(SUMIFS(对接源_01水果!$K$4:$K$1203,对接源_01水果!$C$4:$C$1203,$B208,对接源_01水果!$D$4:$D$1203,"成品出库*"),2))</f>
      </c>
      <c r="D208" s="177">
        <f>IF($B208="","",ROUND(SUMIFS(对接源_01水果!$K$4:$K$1203,对接源_01水果!$C$4:$C$1203,$B208,对接源_01水果!$D$4:$D$1203,"其他代存*"),2))</f>
      </c>
      <c r="E208" s="177">
        <f>IF($B208="","",ROUND(SUMIFS(对接源_02物料!$K$4:$K$1203,对接源_02物料!$C$4:$C$1203,$B208,对接源_02物料!$D$4:$D$1203,"包装物料*"),2))</f>
      </c>
      <c r="F208" s="177">
        <f>IF($B208="","",ROUND(SUMIFS(对接源_02物料!$K$4:$K$1203,对接源_02物料!$C$4:$C$1203,$B208,对接源_02物料!$D$4:$D$1203,"周转筐*"),2))</f>
      </c>
      <c r="G208" s="177">
        <f>IF($B208="","",ROUND(SUMIFS(对接源_02物料!$K$4:$K$1203,对接源_02物料!$C$4:$C$1203,$B208,对接源_02物料!$D$4:$D$1203,"次果筐*"),2))</f>
      </c>
      <c r="H208" s="177">
        <f>IF($B208="","",ROUND(SUM($C208:$G208),2))</f>
      </c>
      <c r="I208" s="177">
        <f>IF($B208="","",ROUND(SUMIFS(对接源_01水果!$K$4:$K$1203,对接源_01水果!$C$4:$C$1203,$B208,对接源_01水果!$D$4:$D$1203,"成品出库*",对接源_01水果!$L$4:$L$1203,"已收讫")+SUMIFS(对接源_01水果!$K$4:$K$1203,对接源_01水果!$C$4:$C$1203,$B208,对接源_01水果!$D$4:$D$1203,"成品出库*",对接源_01水果!$L$4:$L$1203,"已付款")+SUMIFS(对接源_01水果!$K$4:$K$1203,对接源_01水果!$C$4:$C$1203,$B208,对接源_01水果!$D$4:$D$1203,"其他代存*",对接源_01水果!$L$4:$L$1203,"已收讫")+SUMIFS(对接源_01水果!$K$4:$K$1203,对接源_01水果!$C$4:$C$1203,$B208,对接源_01水果!$D$4:$D$1203,"其他代存*",对接源_01水果!$L$4:$L$1203,"已付款")+SUMIFS(对接源_02物料!$K$4:$K$1203,对接源_02物料!$C$4:$C$1203,$B208,对接源_02物料!$D$4:$D$1203,"包装物料*",对接源_02物料!$L$4:$L$1203,"已收讫")+SUMIFS(对接源_02物料!$K$4:$K$1203,对接源_02物料!$C$4:$C$1203,$B208,对接源_02物料!$D$4:$D$1203,"包装物料*",对接源_02物料!$L$4:$L$1203,"已付款")+SUMIFS(对接源_02物料!$K$4:$K$1203,对接源_02物料!$C$4:$C$1203,$B208,对接源_02物料!$D$4:$D$1203,"周转筐*",对接源_02物料!$L$4:$L$1203,"已收讫")+SUMIFS(对接源_02物料!$K$4:$K$1203,对接源_02物料!$C$4:$C$1203,$B208,对接源_02物料!$D$4:$D$1203,"周转筐*",对接源_02物料!$L$4:$L$1203,"已付款")+SUMIFS(对接源_02物料!$K$4:$K$1203,对接源_02物料!$C$4:$C$1203,$B208,对接源_02物料!$D$4:$D$1203,"次果筐*",对接源_02物料!$L$4:$L$1203,"已收讫")+SUMIFS(对接源_02物料!$K$4:$K$1203,对接源_02物料!$C$4:$C$1203,$B208,对接源_02物料!$D$4:$D$1203,"次果筐*",对接源_02物料!$L$4:$L$1203,"已付款"),2))</f>
      </c>
      <c r="J208" s="177">
        <f>IF($B208="","",ROUND(N($H208)-N($I208),2))</f>
      </c>
      <c r="K208" s="16">
        <f>IF($B208="","",IF(ROUND(N($J208),2)&gt;0,"对方欠款",IF(ROUND(N($J208),2)&lt;0,"我方欠款","已两清")))</f>
      </c>
      <c r="L208" s="26" t="n"/>
    </row>
    <row r="209" s="127">
      <c r="A209" s="16">
        <f>IF($B209="","",ROW()-3)</f>
      </c>
      <c r="B209" s="11">
        <f>IFERROR(INDEX(_自动清单!$E$4:$E$303,ROW()-3),"")</f>
      </c>
      <c r="C209" s="177">
        <f>IF($B209="","",ROUND(SUMIFS(对接源_01水果!$K$4:$K$1203,对接源_01水果!$C$4:$C$1203,$B209,对接源_01水果!$D$4:$D$1203,"成品出库*"),2))</f>
      </c>
      <c r="D209" s="177">
        <f>IF($B209="","",ROUND(SUMIFS(对接源_01水果!$K$4:$K$1203,对接源_01水果!$C$4:$C$1203,$B209,对接源_01水果!$D$4:$D$1203,"其他代存*"),2))</f>
      </c>
      <c r="E209" s="177">
        <f>IF($B209="","",ROUND(SUMIFS(对接源_02物料!$K$4:$K$1203,对接源_02物料!$C$4:$C$1203,$B209,对接源_02物料!$D$4:$D$1203,"包装物料*"),2))</f>
      </c>
      <c r="F209" s="177">
        <f>IF($B209="","",ROUND(SUMIFS(对接源_02物料!$K$4:$K$1203,对接源_02物料!$C$4:$C$1203,$B209,对接源_02物料!$D$4:$D$1203,"周转筐*"),2))</f>
      </c>
      <c r="G209" s="177">
        <f>IF($B209="","",ROUND(SUMIFS(对接源_02物料!$K$4:$K$1203,对接源_02物料!$C$4:$C$1203,$B209,对接源_02物料!$D$4:$D$1203,"次果筐*"),2))</f>
      </c>
      <c r="H209" s="177">
        <f>IF($B209="","",ROUND(SUM($C209:$G209),2))</f>
      </c>
      <c r="I209" s="177">
        <f>IF($B209="","",ROUND(SUMIFS(对接源_01水果!$K$4:$K$1203,对接源_01水果!$C$4:$C$1203,$B209,对接源_01水果!$D$4:$D$1203,"成品出库*",对接源_01水果!$L$4:$L$1203,"已收讫")+SUMIFS(对接源_01水果!$K$4:$K$1203,对接源_01水果!$C$4:$C$1203,$B209,对接源_01水果!$D$4:$D$1203,"成品出库*",对接源_01水果!$L$4:$L$1203,"已付款")+SUMIFS(对接源_01水果!$K$4:$K$1203,对接源_01水果!$C$4:$C$1203,$B209,对接源_01水果!$D$4:$D$1203,"其他代存*",对接源_01水果!$L$4:$L$1203,"已收讫")+SUMIFS(对接源_01水果!$K$4:$K$1203,对接源_01水果!$C$4:$C$1203,$B209,对接源_01水果!$D$4:$D$1203,"其他代存*",对接源_01水果!$L$4:$L$1203,"已付款")+SUMIFS(对接源_02物料!$K$4:$K$1203,对接源_02物料!$C$4:$C$1203,$B209,对接源_02物料!$D$4:$D$1203,"包装物料*",对接源_02物料!$L$4:$L$1203,"已收讫")+SUMIFS(对接源_02物料!$K$4:$K$1203,对接源_02物料!$C$4:$C$1203,$B209,对接源_02物料!$D$4:$D$1203,"包装物料*",对接源_02物料!$L$4:$L$1203,"已付款")+SUMIFS(对接源_02物料!$K$4:$K$1203,对接源_02物料!$C$4:$C$1203,$B209,对接源_02物料!$D$4:$D$1203,"周转筐*",对接源_02物料!$L$4:$L$1203,"已收讫")+SUMIFS(对接源_02物料!$K$4:$K$1203,对接源_02物料!$C$4:$C$1203,$B209,对接源_02物料!$D$4:$D$1203,"周转筐*",对接源_02物料!$L$4:$L$1203,"已付款")+SUMIFS(对接源_02物料!$K$4:$K$1203,对接源_02物料!$C$4:$C$1203,$B209,对接源_02物料!$D$4:$D$1203,"次果筐*",对接源_02物料!$L$4:$L$1203,"已收讫")+SUMIFS(对接源_02物料!$K$4:$K$1203,对接源_02物料!$C$4:$C$1203,$B209,对接源_02物料!$D$4:$D$1203,"次果筐*",对接源_02物料!$L$4:$L$1203,"已付款"),2))</f>
      </c>
      <c r="J209" s="177">
        <f>IF($B209="","",ROUND(N($H209)-N($I209),2))</f>
      </c>
      <c r="K209" s="16">
        <f>IF($B209="","",IF(ROUND(N($J209),2)&gt;0,"对方欠款",IF(ROUND(N($J209),2)&lt;0,"我方欠款","已两清")))</f>
      </c>
      <c r="L209" s="26" t="n"/>
    </row>
    <row r="210" s="127">
      <c r="A210" s="16">
        <f>IF($B210="","",ROW()-3)</f>
      </c>
      <c r="B210" s="11">
        <f>IFERROR(INDEX(_自动清单!$E$4:$E$303,ROW()-3),"")</f>
      </c>
      <c r="C210" s="177">
        <f>IF($B210="","",ROUND(SUMIFS(对接源_01水果!$K$4:$K$1203,对接源_01水果!$C$4:$C$1203,$B210,对接源_01水果!$D$4:$D$1203,"成品出库*"),2))</f>
      </c>
      <c r="D210" s="177">
        <f>IF($B210="","",ROUND(SUMIFS(对接源_01水果!$K$4:$K$1203,对接源_01水果!$C$4:$C$1203,$B210,对接源_01水果!$D$4:$D$1203,"其他代存*"),2))</f>
      </c>
      <c r="E210" s="177">
        <f>IF($B210="","",ROUND(SUMIFS(对接源_02物料!$K$4:$K$1203,对接源_02物料!$C$4:$C$1203,$B210,对接源_02物料!$D$4:$D$1203,"包装物料*"),2))</f>
      </c>
      <c r="F210" s="177">
        <f>IF($B210="","",ROUND(SUMIFS(对接源_02物料!$K$4:$K$1203,对接源_02物料!$C$4:$C$1203,$B210,对接源_02物料!$D$4:$D$1203,"周转筐*"),2))</f>
      </c>
      <c r="G210" s="177">
        <f>IF($B210="","",ROUND(SUMIFS(对接源_02物料!$K$4:$K$1203,对接源_02物料!$C$4:$C$1203,$B210,对接源_02物料!$D$4:$D$1203,"次果筐*"),2))</f>
      </c>
      <c r="H210" s="177">
        <f>IF($B210="","",ROUND(SUM($C210:$G210),2))</f>
      </c>
      <c r="I210" s="177">
        <f>IF($B210="","",ROUND(SUMIFS(对接源_01水果!$K$4:$K$1203,对接源_01水果!$C$4:$C$1203,$B210,对接源_01水果!$D$4:$D$1203,"成品出库*",对接源_01水果!$L$4:$L$1203,"已收讫")+SUMIFS(对接源_01水果!$K$4:$K$1203,对接源_01水果!$C$4:$C$1203,$B210,对接源_01水果!$D$4:$D$1203,"成品出库*",对接源_01水果!$L$4:$L$1203,"已付款")+SUMIFS(对接源_01水果!$K$4:$K$1203,对接源_01水果!$C$4:$C$1203,$B210,对接源_01水果!$D$4:$D$1203,"其他代存*",对接源_01水果!$L$4:$L$1203,"已收讫")+SUMIFS(对接源_01水果!$K$4:$K$1203,对接源_01水果!$C$4:$C$1203,$B210,对接源_01水果!$D$4:$D$1203,"其他代存*",对接源_01水果!$L$4:$L$1203,"已付款")+SUMIFS(对接源_02物料!$K$4:$K$1203,对接源_02物料!$C$4:$C$1203,$B210,对接源_02物料!$D$4:$D$1203,"包装物料*",对接源_02物料!$L$4:$L$1203,"已收讫")+SUMIFS(对接源_02物料!$K$4:$K$1203,对接源_02物料!$C$4:$C$1203,$B210,对接源_02物料!$D$4:$D$1203,"包装物料*",对接源_02物料!$L$4:$L$1203,"已付款")+SUMIFS(对接源_02物料!$K$4:$K$1203,对接源_02物料!$C$4:$C$1203,$B210,对接源_02物料!$D$4:$D$1203,"周转筐*",对接源_02物料!$L$4:$L$1203,"已收讫")+SUMIFS(对接源_02物料!$K$4:$K$1203,对接源_02物料!$C$4:$C$1203,$B210,对接源_02物料!$D$4:$D$1203,"周转筐*",对接源_02物料!$L$4:$L$1203,"已付款")+SUMIFS(对接源_02物料!$K$4:$K$1203,对接源_02物料!$C$4:$C$1203,$B210,对接源_02物料!$D$4:$D$1203,"次果筐*",对接源_02物料!$L$4:$L$1203,"已收讫")+SUMIFS(对接源_02物料!$K$4:$K$1203,对接源_02物料!$C$4:$C$1203,$B210,对接源_02物料!$D$4:$D$1203,"次果筐*",对接源_02物料!$L$4:$L$1203,"已付款"),2))</f>
      </c>
      <c r="J210" s="177">
        <f>IF($B210="","",ROUND(N($H210)-N($I210),2))</f>
      </c>
      <c r="K210" s="16">
        <f>IF($B210="","",IF(ROUND(N($J210),2)&gt;0,"对方欠款",IF(ROUND(N($J210),2)&lt;0,"我方欠款","已两清")))</f>
      </c>
      <c r="L210" s="26" t="n"/>
    </row>
    <row r="211" s="127">
      <c r="A211" s="16">
        <f>IF($B211="","",ROW()-3)</f>
      </c>
      <c r="B211" s="11">
        <f>IFERROR(INDEX(_自动清单!$E$4:$E$303,ROW()-3),"")</f>
      </c>
      <c r="C211" s="177">
        <f>IF($B211="","",ROUND(SUMIFS(对接源_01水果!$K$4:$K$1203,对接源_01水果!$C$4:$C$1203,$B211,对接源_01水果!$D$4:$D$1203,"成品出库*"),2))</f>
      </c>
      <c r="D211" s="177">
        <f>IF($B211="","",ROUND(SUMIFS(对接源_01水果!$K$4:$K$1203,对接源_01水果!$C$4:$C$1203,$B211,对接源_01水果!$D$4:$D$1203,"其他代存*"),2))</f>
      </c>
      <c r="E211" s="177">
        <f>IF($B211="","",ROUND(SUMIFS(对接源_02物料!$K$4:$K$1203,对接源_02物料!$C$4:$C$1203,$B211,对接源_02物料!$D$4:$D$1203,"包装物料*"),2))</f>
      </c>
      <c r="F211" s="177">
        <f>IF($B211="","",ROUND(SUMIFS(对接源_02物料!$K$4:$K$1203,对接源_02物料!$C$4:$C$1203,$B211,对接源_02物料!$D$4:$D$1203,"周转筐*"),2))</f>
      </c>
      <c r="G211" s="177">
        <f>IF($B211="","",ROUND(SUMIFS(对接源_02物料!$K$4:$K$1203,对接源_02物料!$C$4:$C$1203,$B211,对接源_02物料!$D$4:$D$1203,"次果筐*"),2))</f>
      </c>
      <c r="H211" s="177">
        <f>IF($B211="","",ROUND(SUM($C211:$G211),2))</f>
      </c>
      <c r="I211" s="177">
        <f>IF($B211="","",ROUND(SUMIFS(对接源_01水果!$K$4:$K$1203,对接源_01水果!$C$4:$C$1203,$B211,对接源_01水果!$D$4:$D$1203,"成品出库*",对接源_01水果!$L$4:$L$1203,"已收讫")+SUMIFS(对接源_01水果!$K$4:$K$1203,对接源_01水果!$C$4:$C$1203,$B211,对接源_01水果!$D$4:$D$1203,"成品出库*",对接源_01水果!$L$4:$L$1203,"已付款")+SUMIFS(对接源_01水果!$K$4:$K$1203,对接源_01水果!$C$4:$C$1203,$B211,对接源_01水果!$D$4:$D$1203,"其他代存*",对接源_01水果!$L$4:$L$1203,"已收讫")+SUMIFS(对接源_01水果!$K$4:$K$1203,对接源_01水果!$C$4:$C$1203,$B211,对接源_01水果!$D$4:$D$1203,"其他代存*",对接源_01水果!$L$4:$L$1203,"已付款")+SUMIFS(对接源_02物料!$K$4:$K$1203,对接源_02物料!$C$4:$C$1203,$B211,对接源_02物料!$D$4:$D$1203,"包装物料*",对接源_02物料!$L$4:$L$1203,"已收讫")+SUMIFS(对接源_02物料!$K$4:$K$1203,对接源_02物料!$C$4:$C$1203,$B211,对接源_02物料!$D$4:$D$1203,"包装物料*",对接源_02物料!$L$4:$L$1203,"已付款")+SUMIFS(对接源_02物料!$K$4:$K$1203,对接源_02物料!$C$4:$C$1203,$B211,对接源_02物料!$D$4:$D$1203,"周转筐*",对接源_02物料!$L$4:$L$1203,"已收讫")+SUMIFS(对接源_02物料!$K$4:$K$1203,对接源_02物料!$C$4:$C$1203,$B211,对接源_02物料!$D$4:$D$1203,"周转筐*",对接源_02物料!$L$4:$L$1203,"已付款")+SUMIFS(对接源_02物料!$K$4:$K$1203,对接源_02物料!$C$4:$C$1203,$B211,对接源_02物料!$D$4:$D$1203,"次果筐*",对接源_02物料!$L$4:$L$1203,"已收讫")+SUMIFS(对接源_02物料!$K$4:$K$1203,对接源_02物料!$C$4:$C$1203,$B211,对接源_02物料!$D$4:$D$1203,"次果筐*",对接源_02物料!$L$4:$L$1203,"已付款"),2))</f>
      </c>
      <c r="J211" s="177">
        <f>IF($B211="","",ROUND(N($H211)-N($I211),2))</f>
      </c>
      <c r="K211" s="16">
        <f>IF($B211="","",IF(ROUND(N($J211),2)&gt;0,"对方欠款",IF(ROUND(N($J211),2)&lt;0,"我方欠款","已两清")))</f>
      </c>
      <c r="L211" s="26" t="n"/>
    </row>
    <row r="212" s="127">
      <c r="A212" s="16">
        <f>IF($B212="","",ROW()-3)</f>
      </c>
      <c r="B212" s="11">
        <f>IFERROR(INDEX(_自动清单!$E$4:$E$303,ROW()-3),"")</f>
      </c>
      <c r="C212" s="177">
        <f>IF($B212="","",ROUND(SUMIFS(对接源_01水果!$K$4:$K$1203,对接源_01水果!$C$4:$C$1203,$B212,对接源_01水果!$D$4:$D$1203,"成品出库*"),2))</f>
      </c>
      <c r="D212" s="177">
        <f>IF($B212="","",ROUND(SUMIFS(对接源_01水果!$K$4:$K$1203,对接源_01水果!$C$4:$C$1203,$B212,对接源_01水果!$D$4:$D$1203,"其他代存*"),2))</f>
      </c>
      <c r="E212" s="177">
        <f>IF($B212="","",ROUND(SUMIFS(对接源_02物料!$K$4:$K$1203,对接源_02物料!$C$4:$C$1203,$B212,对接源_02物料!$D$4:$D$1203,"包装物料*"),2))</f>
      </c>
      <c r="F212" s="177">
        <f>IF($B212="","",ROUND(SUMIFS(对接源_02物料!$K$4:$K$1203,对接源_02物料!$C$4:$C$1203,$B212,对接源_02物料!$D$4:$D$1203,"周转筐*"),2))</f>
      </c>
      <c r="G212" s="177">
        <f>IF($B212="","",ROUND(SUMIFS(对接源_02物料!$K$4:$K$1203,对接源_02物料!$C$4:$C$1203,$B212,对接源_02物料!$D$4:$D$1203,"次果筐*"),2))</f>
      </c>
      <c r="H212" s="177">
        <f>IF($B212="","",ROUND(SUM($C212:$G212),2))</f>
      </c>
      <c r="I212" s="177">
        <f>IF($B212="","",ROUND(SUMIFS(对接源_01水果!$K$4:$K$1203,对接源_01水果!$C$4:$C$1203,$B212,对接源_01水果!$D$4:$D$1203,"成品出库*",对接源_01水果!$L$4:$L$1203,"已收讫")+SUMIFS(对接源_01水果!$K$4:$K$1203,对接源_01水果!$C$4:$C$1203,$B212,对接源_01水果!$D$4:$D$1203,"成品出库*",对接源_01水果!$L$4:$L$1203,"已付款")+SUMIFS(对接源_01水果!$K$4:$K$1203,对接源_01水果!$C$4:$C$1203,$B212,对接源_01水果!$D$4:$D$1203,"其他代存*",对接源_01水果!$L$4:$L$1203,"已收讫")+SUMIFS(对接源_01水果!$K$4:$K$1203,对接源_01水果!$C$4:$C$1203,$B212,对接源_01水果!$D$4:$D$1203,"其他代存*",对接源_01水果!$L$4:$L$1203,"已付款")+SUMIFS(对接源_02物料!$K$4:$K$1203,对接源_02物料!$C$4:$C$1203,$B212,对接源_02物料!$D$4:$D$1203,"包装物料*",对接源_02物料!$L$4:$L$1203,"已收讫")+SUMIFS(对接源_02物料!$K$4:$K$1203,对接源_02物料!$C$4:$C$1203,$B212,对接源_02物料!$D$4:$D$1203,"包装物料*",对接源_02物料!$L$4:$L$1203,"已付款")+SUMIFS(对接源_02物料!$K$4:$K$1203,对接源_02物料!$C$4:$C$1203,$B212,对接源_02物料!$D$4:$D$1203,"周转筐*",对接源_02物料!$L$4:$L$1203,"已收讫")+SUMIFS(对接源_02物料!$K$4:$K$1203,对接源_02物料!$C$4:$C$1203,$B212,对接源_02物料!$D$4:$D$1203,"周转筐*",对接源_02物料!$L$4:$L$1203,"已付款")+SUMIFS(对接源_02物料!$K$4:$K$1203,对接源_02物料!$C$4:$C$1203,$B212,对接源_02物料!$D$4:$D$1203,"次果筐*",对接源_02物料!$L$4:$L$1203,"已收讫")+SUMIFS(对接源_02物料!$K$4:$K$1203,对接源_02物料!$C$4:$C$1203,$B212,对接源_02物料!$D$4:$D$1203,"次果筐*",对接源_02物料!$L$4:$L$1203,"已付款"),2))</f>
      </c>
      <c r="J212" s="177">
        <f>IF($B212="","",ROUND(N($H212)-N($I212),2))</f>
      </c>
      <c r="K212" s="16">
        <f>IF($B212="","",IF(ROUND(N($J212),2)&gt;0,"对方欠款",IF(ROUND(N($J212),2)&lt;0,"我方欠款","已两清")))</f>
      </c>
      <c r="L212" s="26" t="n"/>
    </row>
    <row r="213" s="127">
      <c r="A213" s="16">
        <f>IF($B213="","",ROW()-3)</f>
      </c>
      <c r="B213" s="11">
        <f>IFERROR(INDEX(_自动清单!$E$4:$E$303,ROW()-3),"")</f>
      </c>
      <c r="C213" s="177">
        <f>IF($B213="","",ROUND(SUMIFS(对接源_01水果!$K$4:$K$1203,对接源_01水果!$C$4:$C$1203,$B213,对接源_01水果!$D$4:$D$1203,"成品出库*"),2))</f>
      </c>
      <c r="D213" s="177">
        <f>IF($B213="","",ROUND(SUMIFS(对接源_01水果!$K$4:$K$1203,对接源_01水果!$C$4:$C$1203,$B213,对接源_01水果!$D$4:$D$1203,"其他代存*"),2))</f>
      </c>
      <c r="E213" s="177">
        <f>IF($B213="","",ROUND(SUMIFS(对接源_02物料!$K$4:$K$1203,对接源_02物料!$C$4:$C$1203,$B213,对接源_02物料!$D$4:$D$1203,"包装物料*"),2))</f>
      </c>
      <c r="F213" s="177">
        <f>IF($B213="","",ROUND(SUMIFS(对接源_02物料!$K$4:$K$1203,对接源_02物料!$C$4:$C$1203,$B213,对接源_02物料!$D$4:$D$1203,"周转筐*"),2))</f>
      </c>
      <c r="G213" s="177">
        <f>IF($B213="","",ROUND(SUMIFS(对接源_02物料!$K$4:$K$1203,对接源_02物料!$C$4:$C$1203,$B213,对接源_02物料!$D$4:$D$1203,"次果筐*"),2))</f>
      </c>
      <c r="H213" s="177">
        <f>IF($B213="","",ROUND(SUM($C213:$G213),2))</f>
      </c>
      <c r="I213" s="177">
        <f>IF($B213="","",ROUND(SUMIFS(对接源_01水果!$K$4:$K$1203,对接源_01水果!$C$4:$C$1203,$B213,对接源_01水果!$D$4:$D$1203,"成品出库*",对接源_01水果!$L$4:$L$1203,"已收讫")+SUMIFS(对接源_01水果!$K$4:$K$1203,对接源_01水果!$C$4:$C$1203,$B213,对接源_01水果!$D$4:$D$1203,"成品出库*",对接源_01水果!$L$4:$L$1203,"已付款")+SUMIFS(对接源_01水果!$K$4:$K$1203,对接源_01水果!$C$4:$C$1203,$B213,对接源_01水果!$D$4:$D$1203,"其他代存*",对接源_01水果!$L$4:$L$1203,"已收讫")+SUMIFS(对接源_01水果!$K$4:$K$1203,对接源_01水果!$C$4:$C$1203,$B213,对接源_01水果!$D$4:$D$1203,"其他代存*",对接源_01水果!$L$4:$L$1203,"已付款")+SUMIFS(对接源_02物料!$K$4:$K$1203,对接源_02物料!$C$4:$C$1203,$B213,对接源_02物料!$D$4:$D$1203,"包装物料*",对接源_02物料!$L$4:$L$1203,"已收讫")+SUMIFS(对接源_02物料!$K$4:$K$1203,对接源_02物料!$C$4:$C$1203,$B213,对接源_02物料!$D$4:$D$1203,"包装物料*",对接源_02物料!$L$4:$L$1203,"已付款")+SUMIFS(对接源_02物料!$K$4:$K$1203,对接源_02物料!$C$4:$C$1203,$B213,对接源_02物料!$D$4:$D$1203,"周转筐*",对接源_02物料!$L$4:$L$1203,"已收讫")+SUMIFS(对接源_02物料!$K$4:$K$1203,对接源_02物料!$C$4:$C$1203,$B213,对接源_02物料!$D$4:$D$1203,"周转筐*",对接源_02物料!$L$4:$L$1203,"已付款")+SUMIFS(对接源_02物料!$K$4:$K$1203,对接源_02物料!$C$4:$C$1203,$B213,对接源_02物料!$D$4:$D$1203,"次果筐*",对接源_02物料!$L$4:$L$1203,"已收讫")+SUMIFS(对接源_02物料!$K$4:$K$1203,对接源_02物料!$C$4:$C$1203,$B213,对接源_02物料!$D$4:$D$1203,"次果筐*",对接源_02物料!$L$4:$L$1203,"已付款"),2))</f>
      </c>
      <c r="J213" s="177">
        <f>IF($B213="","",ROUND(N($H213)-N($I213),2))</f>
      </c>
      <c r="K213" s="16">
        <f>IF($B213="","",IF(ROUND(N($J213),2)&gt;0,"对方欠款",IF(ROUND(N($J213),2)&lt;0,"我方欠款","已两清")))</f>
      </c>
      <c r="L213" s="26" t="n"/>
    </row>
    <row r="214" s="127">
      <c r="A214" s="16">
        <f>IF($B214="","",ROW()-3)</f>
      </c>
      <c r="B214" s="11">
        <f>IFERROR(INDEX(_自动清单!$E$4:$E$303,ROW()-3),"")</f>
      </c>
      <c r="C214" s="177">
        <f>IF($B214="","",ROUND(SUMIFS(对接源_01水果!$K$4:$K$1203,对接源_01水果!$C$4:$C$1203,$B214,对接源_01水果!$D$4:$D$1203,"成品出库*"),2))</f>
      </c>
      <c r="D214" s="177">
        <f>IF($B214="","",ROUND(SUMIFS(对接源_01水果!$K$4:$K$1203,对接源_01水果!$C$4:$C$1203,$B214,对接源_01水果!$D$4:$D$1203,"其他代存*"),2))</f>
      </c>
      <c r="E214" s="177">
        <f>IF($B214="","",ROUND(SUMIFS(对接源_02物料!$K$4:$K$1203,对接源_02物料!$C$4:$C$1203,$B214,对接源_02物料!$D$4:$D$1203,"包装物料*"),2))</f>
      </c>
      <c r="F214" s="177">
        <f>IF($B214="","",ROUND(SUMIFS(对接源_02物料!$K$4:$K$1203,对接源_02物料!$C$4:$C$1203,$B214,对接源_02物料!$D$4:$D$1203,"周转筐*"),2))</f>
      </c>
      <c r="G214" s="177">
        <f>IF($B214="","",ROUND(SUMIFS(对接源_02物料!$K$4:$K$1203,对接源_02物料!$C$4:$C$1203,$B214,对接源_02物料!$D$4:$D$1203,"次果筐*"),2))</f>
      </c>
      <c r="H214" s="177">
        <f>IF($B214="","",ROUND(SUM($C214:$G214),2))</f>
      </c>
      <c r="I214" s="177">
        <f>IF($B214="","",ROUND(SUMIFS(对接源_01水果!$K$4:$K$1203,对接源_01水果!$C$4:$C$1203,$B214,对接源_01水果!$D$4:$D$1203,"成品出库*",对接源_01水果!$L$4:$L$1203,"已收讫")+SUMIFS(对接源_01水果!$K$4:$K$1203,对接源_01水果!$C$4:$C$1203,$B214,对接源_01水果!$D$4:$D$1203,"成品出库*",对接源_01水果!$L$4:$L$1203,"已付款")+SUMIFS(对接源_01水果!$K$4:$K$1203,对接源_01水果!$C$4:$C$1203,$B214,对接源_01水果!$D$4:$D$1203,"其他代存*",对接源_01水果!$L$4:$L$1203,"已收讫")+SUMIFS(对接源_01水果!$K$4:$K$1203,对接源_01水果!$C$4:$C$1203,$B214,对接源_01水果!$D$4:$D$1203,"其他代存*",对接源_01水果!$L$4:$L$1203,"已付款")+SUMIFS(对接源_02物料!$K$4:$K$1203,对接源_02物料!$C$4:$C$1203,$B214,对接源_02物料!$D$4:$D$1203,"包装物料*",对接源_02物料!$L$4:$L$1203,"已收讫")+SUMIFS(对接源_02物料!$K$4:$K$1203,对接源_02物料!$C$4:$C$1203,$B214,对接源_02物料!$D$4:$D$1203,"包装物料*",对接源_02物料!$L$4:$L$1203,"已付款")+SUMIFS(对接源_02物料!$K$4:$K$1203,对接源_02物料!$C$4:$C$1203,$B214,对接源_02物料!$D$4:$D$1203,"周转筐*",对接源_02物料!$L$4:$L$1203,"已收讫")+SUMIFS(对接源_02物料!$K$4:$K$1203,对接源_02物料!$C$4:$C$1203,$B214,对接源_02物料!$D$4:$D$1203,"周转筐*",对接源_02物料!$L$4:$L$1203,"已付款")+SUMIFS(对接源_02物料!$K$4:$K$1203,对接源_02物料!$C$4:$C$1203,$B214,对接源_02物料!$D$4:$D$1203,"次果筐*",对接源_02物料!$L$4:$L$1203,"已收讫")+SUMIFS(对接源_02物料!$K$4:$K$1203,对接源_02物料!$C$4:$C$1203,$B214,对接源_02物料!$D$4:$D$1203,"次果筐*",对接源_02物料!$L$4:$L$1203,"已付款"),2))</f>
      </c>
      <c r="J214" s="177">
        <f>IF($B214="","",ROUND(N($H214)-N($I214),2))</f>
      </c>
      <c r="K214" s="16">
        <f>IF($B214="","",IF(ROUND(N($J214),2)&gt;0,"对方欠款",IF(ROUND(N($J214),2)&lt;0,"我方欠款","已两清")))</f>
      </c>
      <c r="L214" s="26" t="n"/>
    </row>
    <row r="215" s="127">
      <c r="A215" s="16">
        <f>IF($B215="","",ROW()-3)</f>
      </c>
      <c r="B215" s="11">
        <f>IFERROR(INDEX(_自动清单!$E$4:$E$303,ROW()-3),"")</f>
      </c>
      <c r="C215" s="177">
        <f>IF($B215="","",ROUND(SUMIFS(对接源_01水果!$K$4:$K$1203,对接源_01水果!$C$4:$C$1203,$B215,对接源_01水果!$D$4:$D$1203,"成品出库*"),2))</f>
      </c>
      <c r="D215" s="177">
        <f>IF($B215="","",ROUND(SUMIFS(对接源_01水果!$K$4:$K$1203,对接源_01水果!$C$4:$C$1203,$B215,对接源_01水果!$D$4:$D$1203,"其他代存*"),2))</f>
      </c>
      <c r="E215" s="177">
        <f>IF($B215="","",ROUND(SUMIFS(对接源_02物料!$K$4:$K$1203,对接源_02物料!$C$4:$C$1203,$B215,对接源_02物料!$D$4:$D$1203,"包装物料*"),2))</f>
      </c>
      <c r="F215" s="177">
        <f>IF($B215="","",ROUND(SUMIFS(对接源_02物料!$K$4:$K$1203,对接源_02物料!$C$4:$C$1203,$B215,对接源_02物料!$D$4:$D$1203,"周转筐*"),2))</f>
      </c>
      <c r="G215" s="177">
        <f>IF($B215="","",ROUND(SUMIFS(对接源_02物料!$K$4:$K$1203,对接源_02物料!$C$4:$C$1203,$B215,对接源_02物料!$D$4:$D$1203,"次果筐*"),2))</f>
      </c>
      <c r="H215" s="177">
        <f>IF($B215="","",ROUND(SUM($C215:$G215),2))</f>
      </c>
      <c r="I215" s="177">
        <f>IF($B215="","",ROUND(SUMIFS(对接源_01水果!$K$4:$K$1203,对接源_01水果!$C$4:$C$1203,$B215,对接源_01水果!$D$4:$D$1203,"成品出库*",对接源_01水果!$L$4:$L$1203,"已收讫")+SUMIFS(对接源_01水果!$K$4:$K$1203,对接源_01水果!$C$4:$C$1203,$B215,对接源_01水果!$D$4:$D$1203,"成品出库*",对接源_01水果!$L$4:$L$1203,"已付款")+SUMIFS(对接源_01水果!$K$4:$K$1203,对接源_01水果!$C$4:$C$1203,$B215,对接源_01水果!$D$4:$D$1203,"其他代存*",对接源_01水果!$L$4:$L$1203,"已收讫")+SUMIFS(对接源_01水果!$K$4:$K$1203,对接源_01水果!$C$4:$C$1203,$B215,对接源_01水果!$D$4:$D$1203,"其他代存*",对接源_01水果!$L$4:$L$1203,"已付款")+SUMIFS(对接源_02物料!$K$4:$K$1203,对接源_02物料!$C$4:$C$1203,$B215,对接源_02物料!$D$4:$D$1203,"包装物料*",对接源_02物料!$L$4:$L$1203,"已收讫")+SUMIFS(对接源_02物料!$K$4:$K$1203,对接源_02物料!$C$4:$C$1203,$B215,对接源_02物料!$D$4:$D$1203,"包装物料*",对接源_02物料!$L$4:$L$1203,"已付款")+SUMIFS(对接源_02物料!$K$4:$K$1203,对接源_02物料!$C$4:$C$1203,$B215,对接源_02物料!$D$4:$D$1203,"周转筐*",对接源_02物料!$L$4:$L$1203,"已收讫")+SUMIFS(对接源_02物料!$K$4:$K$1203,对接源_02物料!$C$4:$C$1203,$B215,对接源_02物料!$D$4:$D$1203,"周转筐*",对接源_02物料!$L$4:$L$1203,"已付款")+SUMIFS(对接源_02物料!$K$4:$K$1203,对接源_02物料!$C$4:$C$1203,$B215,对接源_02物料!$D$4:$D$1203,"次果筐*",对接源_02物料!$L$4:$L$1203,"已收讫")+SUMIFS(对接源_02物料!$K$4:$K$1203,对接源_02物料!$C$4:$C$1203,$B215,对接源_02物料!$D$4:$D$1203,"次果筐*",对接源_02物料!$L$4:$L$1203,"已付款"),2))</f>
      </c>
      <c r="J215" s="177">
        <f>IF($B215="","",ROUND(N($H215)-N($I215),2))</f>
      </c>
      <c r="K215" s="16">
        <f>IF($B215="","",IF(ROUND(N($J215),2)&gt;0,"对方欠款",IF(ROUND(N($J215),2)&lt;0,"我方欠款","已两清")))</f>
      </c>
      <c r="L215" s="26" t="n"/>
    </row>
    <row r="216" s="127">
      <c r="A216" s="16">
        <f>IF($B216="","",ROW()-3)</f>
      </c>
      <c r="B216" s="11">
        <f>IFERROR(INDEX(_自动清单!$E$4:$E$303,ROW()-3),"")</f>
      </c>
      <c r="C216" s="177">
        <f>IF($B216="","",ROUND(SUMIFS(对接源_01水果!$K$4:$K$1203,对接源_01水果!$C$4:$C$1203,$B216,对接源_01水果!$D$4:$D$1203,"成品出库*"),2))</f>
      </c>
      <c r="D216" s="177">
        <f>IF($B216="","",ROUND(SUMIFS(对接源_01水果!$K$4:$K$1203,对接源_01水果!$C$4:$C$1203,$B216,对接源_01水果!$D$4:$D$1203,"其他代存*"),2))</f>
      </c>
      <c r="E216" s="177">
        <f>IF($B216="","",ROUND(SUMIFS(对接源_02物料!$K$4:$K$1203,对接源_02物料!$C$4:$C$1203,$B216,对接源_02物料!$D$4:$D$1203,"包装物料*"),2))</f>
      </c>
      <c r="F216" s="177">
        <f>IF($B216="","",ROUND(SUMIFS(对接源_02物料!$K$4:$K$1203,对接源_02物料!$C$4:$C$1203,$B216,对接源_02物料!$D$4:$D$1203,"周转筐*"),2))</f>
      </c>
      <c r="G216" s="177">
        <f>IF($B216="","",ROUND(SUMIFS(对接源_02物料!$K$4:$K$1203,对接源_02物料!$C$4:$C$1203,$B216,对接源_02物料!$D$4:$D$1203,"次果筐*"),2))</f>
      </c>
      <c r="H216" s="177">
        <f>IF($B216="","",ROUND(SUM($C216:$G216),2))</f>
      </c>
      <c r="I216" s="177">
        <f>IF($B216="","",ROUND(SUMIFS(对接源_01水果!$K$4:$K$1203,对接源_01水果!$C$4:$C$1203,$B216,对接源_01水果!$D$4:$D$1203,"成品出库*",对接源_01水果!$L$4:$L$1203,"已收讫")+SUMIFS(对接源_01水果!$K$4:$K$1203,对接源_01水果!$C$4:$C$1203,$B216,对接源_01水果!$D$4:$D$1203,"成品出库*",对接源_01水果!$L$4:$L$1203,"已付款")+SUMIFS(对接源_01水果!$K$4:$K$1203,对接源_01水果!$C$4:$C$1203,$B216,对接源_01水果!$D$4:$D$1203,"其他代存*",对接源_01水果!$L$4:$L$1203,"已收讫")+SUMIFS(对接源_01水果!$K$4:$K$1203,对接源_01水果!$C$4:$C$1203,$B216,对接源_01水果!$D$4:$D$1203,"其他代存*",对接源_01水果!$L$4:$L$1203,"已付款")+SUMIFS(对接源_02物料!$K$4:$K$1203,对接源_02物料!$C$4:$C$1203,$B216,对接源_02物料!$D$4:$D$1203,"包装物料*",对接源_02物料!$L$4:$L$1203,"已收讫")+SUMIFS(对接源_02物料!$K$4:$K$1203,对接源_02物料!$C$4:$C$1203,$B216,对接源_02物料!$D$4:$D$1203,"包装物料*",对接源_02物料!$L$4:$L$1203,"已付款")+SUMIFS(对接源_02物料!$K$4:$K$1203,对接源_02物料!$C$4:$C$1203,$B216,对接源_02物料!$D$4:$D$1203,"周转筐*",对接源_02物料!$L$4:$L$1203,"已收讫")+SUMIFS(对接源_02物料!$K$4:$K$1203,对接源_02物料!$C$4:$C$1203,$B216,对接源_02物料!$D$4:$D$1203,"周转筐*",对接源_02物料!$L$4:$L$1203,"已付款")+SUMIFS(对接源_02物料!$K$4:$K$1203,对接源_02物料!$C$4:$C$1203,$B216,对接源_02物料!$D$4:$D$1203,"次果筐*",对接源_02物料!$L$4:$L$1203,"已收讫")+SUMIFS(对接源_02物料!$K$4:$K$1203,对接源_02物料!$C$4:$C$1203,$B216,对接源_02物料!$D$4:$D$1203,"次果筐*",对接源_02物料!$L$4:$L$1203,"已付款"),2))</f>
      </c>
      <c r="J216" s="177">
        <f>IF($B216="","",ROUND(N($H216)-N($I216),2))</f>
      </c>
      <c r="K216" s="16">
        <f>IF($B216="","",IF(ROUND(N($J216),2)&gt;0,"对方欠款",IF(ROUND(N($J216),2)&lt;0,"我方欠款","已两清")))</f>
      </c>
      <c r="L216" s="26" t="n"/>
    </row>
    <row r="217" s="127">
      <c r="A217" s="16">
        <f>IF($B217="","",ROW()-3)</f>
      </c>
      <c r="B217" s="11">
        <f>IFERROR(INDEX(_自动清单!$E$4:$E$303,ROW()-3),"")</f>
      </c>
      <c r="C217" s="177">
        <f>IF($B217="","",ROUND(SUMIFS(对接源_01水果!$K$4:$K$1203,对接源_01水果!$C$4:$C$1203,$B217,对接源_01水果!$D$4:$D$1203,"成品出库*"),2))</f>
      </c>
      <c r="D217" s="177">
        <f>IF($B217="","",ROUND(SUMIFS(对接源_01水果!$K$4:$K$1203,对接源_01水果!$C$4:$C$1203,$B217,对接源_01水果!$D$4:$D$1203,"其他代存*"),2))</f>
      </c>
      <c r="E217" s="177">
        <f>IF($B217="","",ROUND(SUMIFS(对接源_02物料!$K$4:$K$1203,对接源_02物料!$C$4:$C$1203,$B217,对接源_02物料!$D$4:$D$1203,"包装物料*"),2))</f>
      </c>
      <c r="F217" s="177">
        <f>IF($B217="","",ROUND(SUMIFS(对接源_02物料!$K$4:$K$1203,对接源_02物料!$C$4:$C$1203,$B217,对接源_02物料!$D$4:$D$1203,"周转筐*"),2))</f>
      </c>
      <c r="G217" s="177">
        <f>IF($B217="","",ROUND(SUMIFS(对接源_02物料!$K$4:$K$1203,对接源_02物料!$C$4:$C$1203,$B217,对接源_02物料!$D$4:$D$1203,"次果筐*"),2))</f>
      </c>
      <c r="H217" s="177">
        <f>IF($B217="","",ROUND(SUM($C217:$G217),2))</f>
      </c>
      <c r="I217" s="177">
        <f>IF($B217="","",ROUND(SUMIFS(对接源_01水果!$K$4:$K$1203,对接源_01水果!$C$4:$C$1203,$B217,对接源_01水果!$D$4:$D$1203,"成品出库*",对接源_01水果!$L$4:$L$1203,"已收讫")+SUMIFS(对接源_01水果!$K$4:$K$1203,对接源_01水果!$C$4:$C$1203,$B217,对接源_01水果!$D$4:$D$1203,"成品出库*",对接源_01水果!$L$4:$L$1203,"已付款")+SUMIFS(对接源_01水果!$K$4:$K$1203,对接源_01水果!$C$4:$C$1203,$B217,对接源_01水果!$D$4:$D$1203,"其他代存*",对接源_01水果!$L$4:$L$1203,"已收讫")+SUMIFS(对接源_01水果!$K$4:$K$1203,对接源_01水果!$C$4:$C$1203,$B217,对接源_01水果!$D$4:$D$1203,"其他代存*",对接源_01水果!$L$4:$L$1203,"已付款")+SUMIFS(对接源_02物料!$K$4:$K$1203,对接源_02物料!$C$4:$C$1203,$B217,对接源_02物料!$D$4:$D$1203,"包装物料*",对接源_02物料!$L$4:$L$1203,"已收讫")+SUMIFS(对接源_02物料!$K$4:$K$1203,对接源_02物料!$C$4:$C$1203,$B217,对接源_02物料!$D$4:$D$1203,"包装物料*",对接源_02物料!$L$4:$L$1203,"已付款")+SUMIFS(对接源_02物料!$K$4:$K$1203,对接源_02物料!$C$4:$C$1203,$B217,对接源_02物料!$D$4:$D$1203,"周转筐*",对接源_02物料!$L$4:$L$1203,"已收讫")+SUMIFS(对接源_02物料!$K$4:$K$1203,对接源_02物料!$C$4:$C$1203,$B217,对接源_02物料!$D$4:$D$1203,"周转筐*",对接源_02物料!$L$4:$L$1203,"已付款")+SUMIFS(对接源_02物料!$K$4:$K$1203,对接源_02物料!$C$4:$C$1203,$B217,对接源_02物料!$D$4:$D$1203,"次果筐*",对接源_02物料!$L$4:$L$1203,"已收讫")+SUMIFS(对接源_02物料!$K$4:$K$1203,对接源_02物料!$C$4:$C$1203,$B217,对接源_02物料!$D$4:$D$1203,"次果筐*",对接源_02物料!$L$4:$L$1203,"已付款"),2))</f>
      </c>
      <c r="J217" s="177">
        <f>IF($B217="","",ROUND(N($H217)-N($I217),2))</f>
      </c>
      <c r="K217" s="16">
        <f>IF($B217="","",IF(ROUND(N($J217),2)&gt;0,"对方欠款",IF(ROUND(N($J217),2)&lt;0,"我方欠款","已两清")))</f>
      </c>
      <c r="L217" s="26" t="n"/>
    </row>
    <row r="218" s="127">
      <c r="A218" s="16">
        <f>IF($B218="","",ROW()-3)</f>
      </c>
      <c r="B218" s="11">
        <f>IFERROR(INDEX(_自动清单!$E$4:$E$303,ROW()-3),"")</f>
      </c>
      <c r="C218" s="177">
        <f>IF($B218="","",ROUND(SUMIFS(对接源_01水果!$K$4:$K$1203,对接源_01水果!$C$4:$C$1203,$B218,对接源_01水果!$D$4:$D$1203,"成品出库*"),2))</f>
      </c>
      <c r="D218" s="177">
        <f>IF($B218="","",ROUND(SUMIFS(对接源_01水果!$K$4:$K$1203,对接源_01水果!$C$4:$C$1203,$B218,对接源_01水果!$D$4:$D$1203,"其他代存*"),2))</f>
      </c>
      <c r="E218" s="177">
        <f>IF($B218="","",ROUND(SUMIFS(对接源_02物料!$K$4:$K$1203,对接源_02物料!$C$4:$C$1203,$B218,对接源_02物料!$D$4:$D$1203,"包装物料*"),2))</f>
      </c>
      <c r="F218" s="177">
        <f>IF($B218="","",ROUND(SUMIFS(对接源_02物料!$K$4:$K$1203,对接源_02物料!$C$4:$C$1203,$B218,对接源_02物料!$D$4:$D$1203,"周转筐*"),2))</f>
      </c>
      <c r="G218" s="177">
        <f>IF($B218="","",ROUND(SUMIFS(对接源_02物料!$K$4:$K$1203,对接源_02物料!$C$4:$C$1203,$B218,对接源_02物料!$D$4:$D$1203,"次果筐*"),2))</f>
      </c>
      <c r="H218" s="177">
        <f>IF($B218="","",ROUND(SUM($C218:$G218),2))</f>
      </c>
      <c r="I218" s="177">
        <f>IF($B218="","",ROUND(SUMIFS(对接源_01水果!$K$4:$K$1203,对接源_01水果!$C$4:$C$1203,$B218,对接源_01水果!$D$4:$D$1203,"成品出库*",对接源_01水果!$L$4:$L$1203,"已收讫")+SUMIFS(对接源_01水果!$K$4:$K$1203,对接源_01水果!$C$4:$C$1203,$B218,对接源_01水果!$D$4:$D$1203,"成品出库*",对接源_01水果!$L$4:$L$1203,"已付款")+SUMIFS(对接源_01水果!$K$4:$K$1203,对接源_01水果!$C$4:$C$1203,$B218,对接源_01水果!$D$4:$D$1203,"其他代存*",对接源_01水果!$L$4:$L$1203,"已收讫")+SUMIFS(对接源_01水果!$K$4:$K$1203,对接源_01水果!$C$4:$C$1203,$B218,对接源_01水果!$D$4:$D$1203,"其他代存*",对接源_01水果!$L$4:$L$1203,"已付款")+SUMIFS(对接源_02物料!$K$4:$K$1203,对接源_02物料!$C$4:$C$1203,$B218,对接源_02物料!$D$4:$D$1203,"包装物料*",对接源_02物料!$L$4:$L$1203,"已收讫")+SUMIFS(对接源_02物料!$K$4:$K$1203,对接源_02物料!$C$4:$C$1203,$B218,对接源_02物料!$D$4:$D$1203,"包装物料*",对接源_02物料!$L$4:$L$1203,"已付款")+SUMIFS(对接源_02物料!$K$4:$K$1203,对接源_02物料!$C$4:$C$1203,$B218,对接源_02物料!$D$4:$D$1203,"周转筐*",对接源_02物料!$L$4:$L$1203,"已收讫")+SUMIFS(对接源_02物料!$K$4:$K$1203,对接源_02物料!$C$4:$C$1203,$B218,对接源_02物料!$D$4:$D$1203,"周转筐*",对接源_02物料!$L$4:$L$1203,"已付款")+SUMIFS(对接源_02物料!$K$4:$K$1203,对接源_02物料!$C$4:$C$1203,$B218,对接源_02物料!$D$4:$D$1203,"次果筐*",对接源_02物料!$L$4:$L$1203,"已收讫")+SUMIFS(对接源_02物料!$K$4:$K$1203,对接源_02物料!$C$4:$C$1203,$B218,对接源_02物料!$D$4:$D$1203,"次果筐*",对接源_02物料!$L$4:$L$1203,"已付款"),2))</f>
      </c>
      <c r="J218" s="177">
        <f>IF($B218="","",ROUND(N($H218)-N($I218),2))</f>
      </c>
      <c r="K218" s="16">
        <f>IF($B218="","",IF(ROUND(N($J218),2)&gt;0,"对方欠款",IF(ROUND(N($J218),2)&lt;0,"我方欠款","已两清")))</f>
      </c>
      <c r="L218" s="26" t="n"/>
    </row>
    <row r="219" s="127">
      <c r="A219" s="16">
        <f>IF($B219="","",ROW()-3)</f>
      </c>
      <c r="B219" s="11">
        <f>IFERROR(INDEX(_自动清单!$E$4:$E$303,ROW()-3),"")</f>
      </c>
      <c r="C219" s="177">
        <f>IF($B219="","",ROUND(SUMIFS(对接源_01水果!$K$4:$K$1203,对接源_01水果!$C$4:$C$1203,$B219,对接源_01水果!$D$4:$D$1203,"成品出库*"),2))</f>
      </c>
      <c r="D219" s="177">
        <f>IF($B219="","",ROUND(SUMIFS(对接源_01水果!$K$4:$K$1203,对接源_01水果!$C$4:$C$1203,$B219,对接源_01水果!$D$4:$D$1203,"其他代存*"),2))</f>
      </c>
      <c r="E219" s="177">
        <f>IF($B219="","",ROUND(SUMIFS(对接源_02物料!$K$4:$K$1203,对接源_02物料!$C$4:$C$1203,$B219,对接源_02物料!$D$4:$D$1203,"包装物料*"),2))</f>
      </c>
      <c r="F219" s="177">
        <f>IF($B219="","",ROUND(SUMIFS(对接源_02物料!$K$4:$K$1203,对接源_02物料!$C$4:$C$1203,$B219,对接源_02物料!$D$4:$D$1203,"周转筐*"),2))</f>
      </c>
      <c r="G219" s="177">
        <f>IF($B219="","",ROUND(SUMIFS(对接源_02物料!$K$4:$K$1203,对接源_02物料!$C$4:$C$1203,$B219,对接源_02物料!$D$4:$D$1203,"次果筐*"),2))</f>
      </c>
      <c r="H219" s="177">
        <f>IF($B219="","",ROUND(SUM($C219:$G219),2))</f>
      </c>
      <c r="I219" s="177">
        <f>IF($B219="","",ROUND(SUMIFS(对接源_01水果!$K$4:$K$1203,对接源_01水果!$C$4:$C$1203,$B219,对接源_01水果!$D$4:$D$1203,"成品出库*",对接源_01水果!$L$4:$L$1203,"已收讫")+SUMIFS(对接源_01水果!$K$4:$K$1203,对接源_01水果!$C$4:$C$1203,$B219,对接源_01水果!$D$4:$D$1203,"成品出库*",对接源_01水果!$L$4:$L$1203,"已付款")+SUMIFS(对接源_01水果!$K$4:$K$1203,对接源_01水果!$C$4:$C$1203,$B219,对接源_01水果!$D$4:$D$1203,"其他代存*",对接源_01水果!$L$4:$L$1203,"已收讫")+SUMIFS(对接源_01水果!$K$4:$K$1203,对接源_01水果!$C$4:$C$1203,$B219,对接源_01水果!$D$4:$D$1203,"其他代存*",对接源_01水果!$L$4:$L$1203,"已付款")+SUMIFS(对接源_02物料!$K$4:$K$1203,对接源_02物料!$C$4:$C$1203,$B219,对接源_02物料!$D$4:$D$1203,"包装物料*",对接源_02物料!$L$4:$L$1203,"已收讫")+SUMIFS(对接源_02物料!$K$4:$K$1203,对接源_02物料!$C$4:$C$1203,$B219,对接源_02物料!$D$4:$D$1203,"包装物料*",对接源_02物料!$L$4:$L$1203,"已付款")+SUMIFS(对接源_02物料!$K$4:$K$1203,对接源_02物料!$C$4:$C$1203,$B219,对接源_02物料!$D$4:$D$1203,"周转筐*",对接源_02物料!$L$4:$L$1203,"已收讫")+SUMIFS(对接源_02物料!$K$4:$K$1203,对接源_02物料!$C$4:$C$1203,$B219,对接源_02物料!$D$4:$D$1203,"周转筐*",对接源_02物料!$L$4:$L$1203,"已付款")+SUMIFS(对接源_02物料!$K$4:$K$1203,对接源_02物料!$C$4:$C$1203,$B219,对接源_02物料!$D$4:$D$1203,"次果筐*",对接源_02物料!$L$4:$L$1203,"已收讫")+SUMIFS(对接源_02物料!$K$4:$K$1203,对接源_02物料!$C$4:$C$1203,$B219,对接源_02物料!$D$4:$D$1203,"次果筐*",对接源_02物料!$L$4:$L$1203,"已付款"),2))</f>
      </c>
      <c r="J219" s="177">
        <f>IF($B219="","",ROUND(N($H219)-N($I219),2))</f>
      </c>
      <c r="K219" s="16">
        <f>IF($B219="","",IF(ROUND(N($J219),2)&gt;0,"对方欠款",IF(ROUND(N($J219),2)&lt;0,"我方欠款","已两清")))</f>
      </c>
      <c r="L219" s="26" t="n"/>
    </row>
    <row r="220" s="127">
      <c r="A220" s="16">
        <f>IF($B220="","",ROW()-3)</f>
      </c>
      <c r="B220" s="11">
        <f>IFERROR(INDEX(_自动清单!$E$4:$E$303,ROW()-3),"")</f>
      </c>
      <c r="C220" s="177">
        <f>IF($B220="","",ROUND(SUMIFS(对接源_01水果!$K$4:$K$1203,对接源_01水果!$C$4:$C$1203,$B220,对接源_01水果!$D$4:$D$1203,"成品出库*"),2))</f>
      </c>
      <c r="D220" s="177">
        <f>IF($B220="","",ROUND(SUMIFS(对接源_01水果!$K$4:$K$1203,对接源_01水果!$C$4:$C$1203,$B220,对接源_01水果!$D$4:$D$1203,"其他代存*"),2))</f>
      </c>
      <c r="E220" s="177">
        <f>IF($B220="","",ROUND(SUMIFS(对接源_02物料!$K$4:$K$1203,对接源_02物料!$C$4:$C$1203,$B220,对接源_02物料!$D$4:$D$1203,"包装物料*"),2))</f>
      </c>
      <c r="F220" s="177">
        <f>IF($B220="","",ROUND(SUMIFS(对接源_02物料!$K$4:$K$1203,对接源_02物料!$C$4:$C$1203,$B220,对接源_02物料!$D$4:$D$1203,"周转筐*"),2))</f>
      </c>
      <c r="G220" s="177">
        <f>IF($B220="","",ROUND(SUMIFS(对接源_02物料!$K$4:$K$1203,对接源_02物料!$C$4:$C$1203,$B220,对接源_02物料!$D$4:$D$1203,"次果筐*"),2))</f>
      </c>
      <c r="H220" s="177">
        <f>IF($B220="","",ROUND(SUM($C220:$G220),2))</f>
      </c>
      <c r="I220" s="177">
        <f>IF($B220="","",ROUND(SUMIFS(对接源_01水果!$K$4:$K$1203,对接源_01水果!$C$4:$C$1203,$B220,对接源_01水果!$D$4:$D$1203,"成品出库*",对接源_01水果!$L$4:$L$1203,"已收讫")+SUMIFS(对接源_01水果!$K$4:$K$1203,对接源_01水果!$C$4:$C$1203,$B220,对接源_01水果!$D$4:$D$1203,"成品出库*",对接源_01水果!$L$4:$L$1203,"已付款")+SUMIFS(对接源_01水果!$K$4:$K$1203,对接源_01水果!$C$4:$C$1203,$B220,对接源_01水果!$D$4:$D$1203,"其他代存*",对接源_01水果!$L$4:$L$1203,"已收讫")+SUMIFS(对接源_01水果!$K$4:$K$1203,对接源_01水果!$C$4:$C$1203,$B220,对接源_01水果!$D$4:$D$1203,"其他代存*",对接源_01水果!$L$4:$L$1203,"已付款")+SUMIFS(对接源_02物料!$K$4:$K$1203,对接源_02物料!$C$4:$C$1203,$B220,对接源_02物料!$D$4:$D$1203,"包装物料*",对接源_02物料!$L$4:$L$1203,"已收讫")+SUMIFS(对接源_02物料!$K$4:$K$1203,对接源_02物料!$C$4:$C$1203,$B220,对接源_02物料!$D$4:$D$1203,"包装物料*",对接源_02物料!$L$4:$L$1203,"已付款")+SUMIFS(对接源_02物料!$K$4:$K$1203,对接源_02物料!$C$4:$C$1203,$B220,对接源_02物料!$D$4:$D$1203,"周转筐*",对接源_02物料!$L$4:$L$1203,"已收讫")+SUMIFS(对接源_02物料!$K$4:$K$1203,对接源_02物料!$C$4:$C$1203,$B220,对接源_02物料!$D$4:$D$1203,"周转筐*",对接源_02物料!$L$4:$L$1203,"已付款")+SUMIFS(对接源_02物料!$K$4:$K$1203,对接源_02物料!$C$4:$C$1203,$B220,对接源_02物料!$D$4:$D$1203,"次果筐*",对接源_02物料!$L$4:$L$1203,"已收讫")+SUMIFS(对接源_02物料!$K$4:$K$1203,对接源_02物料!$C$4:$C$1203,$B220,对接源_02物料!$D$4:$D$1203,"次果筐*",对接源_02物料!$L$4:$L$1203,"已付款"),2))</f>
      </c>
      <c r="J220" s="177">
        <f>IF($B220="","",ROUND(N($H220)-N($I220),2))</f>
      </c>
      <c r="K220" s="16">
        <f>IF($B220="","",IF(ROUND(N($J220),2)&gt;0,"对方欠款",IF(ROUND(N($J220),2)&lt;0,"我方欠款","已两清")))</f>
      </c>
      <c r="L220" s="26" t="n"/>
    </row>
    <row r="221" s="127">
      <c r="A221" s="16">
        <f>IF($B221="","",ROW()-3)</f>
      </c>
      <c r="B221" s="11">
        <f>IFERROR(INDEX(_自动清单!$E$4:$E$303,ROW()-3),"")</f>
      </c>
      <c r="C221" s="177">
        <f>IF($B221="","",ROUND(SUMIFS(对接源_01水果!$K$4:$K$1203,对接源_01水果!$C$4:$C$1203,$B221,对接源_01水果!$D$4:$D$1203,"成品出库*"),2))</f>
      </c>
      <c r="D221" s="177">
        <f>IF($B221="","",ROUND(SUMIFS(对接源_01水果!$K$4:$K$1203,对接源_01水果!$C$4:$C$1203,$B221,对接源_01水果!$D$4:$D$1203,"其他代存*"),2))</f>
      </c>
      <c r="E221" s="177">
        <f>IF($B221="","",ROUND(SUMIFS(对接源_02物料!$K$4:$K$1203,对接源_02物料!$C$4:$C$1203,$B221,对接源_02物料!$D$4:$D$1203,"包装物料*"),2))</f>
      </c>
      <c r="F221" s="177">
        <f>IF($B221="","",ROUND(SUMIFS(对接源_02物料!$K$4:$K$1203,对接源_02物料!$C$4:$C$1203,$B221,对接源_02物料!$D$4:$D$1203,"周转筐*"),2))</f>
      </c>
      <c r="G221" s="177">
        <f>IF($B221="","",ROUND(SUMIFS(对接源_02物料!$K$4:$K$1203,对接源_02物料!$C$4:$C$1203,$B221,对接源_02物料!$D$4:$D$1203,"次果筐*"),2))</f>
      </c>
      <c r="H221" s="177">
        <f>IF($B221="","",ROUND(SUM($C221:$G221),2))</f>
      </c>
      <c r="I221" s="177">
        <f>IF($B221="","",ROUND(SUMIFS(对接源_01水果!$K$4:$K$1203,对接源_01水果!$C$4:$C$1203,$B221,对接源_01水果!$D$4:$D$1203,"成品出库*",对接源_01水果!$L$4:$L$1203,"已收讫")+SUMIFS(对接源_01水果!$K$4:$K$1203,对接源_01水果!$C$4:$C$1203,$B221,对接源_01水果!$D$4:$D$1203,"成品出库*",对接源_01水果!$L$4:$L$1203,"已付款")+SUMIFS(对接源_01水果!$K$4:$K$1203,对接源_01水果!$C$4:$C$1203,$B221,对接源_01水果!$D$4:$D$1203,"其他代存*",对接源_01水果!$L$4:$L$1203,"已收讫")+SUMIFS(对接源_01水果!$K$4:$K$1203,对接源_01水果!$C$4:$C$1203,$B221,对接源_01水果!$D$4:$D$1203,"其他代存*",对接源_01水果!$L$4:$L$1203,"已付款")+SUMIFS(对接源_02物料!$K$4:$K$1203,对接源_02物料!$C$4:$C$1203,$B221,对接源_02物料!$D$4:$D$1203,"包装物料*",对接源_02物料!$L$4:$L$1203,"已收讫")+SUMIFS(对接源_02物料!$K$4:$K$1203,对接源_02物料!$C$4:$C$1203,$B221,对接源_02物料!$D$4:$D$1203,"包装物料*",对接源_02物料!$L$4:$L$1203,"已付款")+SUMIFS(对接源_02物料!$K$4:$K$1203,对接源_02物料!$C$4:$C$1203,$B221,对接源_02物料!$D$4:$D$1203,"周转筐*",对接源_02物料!$L$4:$L$1203,"已收讫")+SUMIFS(对接源_02物料!$K$4:$K$1203,对接源_02物料!$C$4:$C$1203,$B221,对接源_02物料!$D$4:$D$1203,"周转筐*",对接源_02物料!$L$4:$L$1203,"已付款")+SUMIFS(对接源_02物料!$K$4:$K$1203,对接源_02物料!$C$4:$C$1203,$B221,对接源_02物料!$D$4:$D$1203,"次果筐*",对接源_02物料!$L$4:$L$1203,"已收讫")+SUMIFS(对接源_02物料!$K$4:$K$1203,对接源_02物料!$C$4:$C$1203,$B221,对接源_02物料!$D$4:$D$1203,"次果筐*",对接源_02物料!$L$4:$L$1203,"已付款"),2))</f>
      </c>
      <c r="J221" s="177">
        <f>IF($B221="","",ROUND(N($H221)-N($I221),2))</f>
      </c>
      <c r="K221" s="16">
        <f>IF($B221="","",IF(ROUND(N($J221),2)&gt;0,"对方欠款",IF(ROUND(N($J221),2)&lt;0,"我方欠款","已两清")))</f>
      </c>
      <c r="L221" s="26" t="n"/>
    </row>
    <row r="222" s="127">
      <c r="A222" s="16">
        <f>IF($B222="","",ROW()-3)</f>
      </c>
      <c r="B222" s="11">
        <f>IFERROR(INDEX(_自动清单!$E$4:$E$303,ROW()-3),"")</f>
      </c>
      <c r="C222" s="177">
        <f>IF($B222="","",ROUND(SUMIFS(对接源_01水果!$K$4:$K$1203,对接源_01水果!$C$4:$C$1203,$B222,对接源_01水果!$D$4:$D$1203,"成品出库*"),2))</f>
      </c>
      <c r="D222" s="177">
        <f>IF($B222="","",ROUND(SUMIFS(对接源_01水果!$K$4:$K$1203,对接源_01水果!$C$4:$C$1203,$B222,对接源_01水果!$D$4:$D$1203,"其他代存*"),2))</f>
      </c>
      <c r="E222" s="177">
        <f>IF($B222="","",ROUND(SUMIFS(对接源_02物料!$K$4:$K$1203,对接源_02物料!$C$4:$C$1203,$B222,对接源_02物料!$D$4:$D$1203,"包装物料*"),2))</f>
      </c>
      <c r="F222" s="177">
        <f>IF($B222="","",ROUND(SUMIFS(对接源_02物料!$K$4:$K$1203,对接源_02物料!$C$4:$C$1203,$B222,对接源_02物料!$D$4:$D$1203,"周转筐*"),2))</f>
      </c>
      <c r="G222" s="177">
        <f>IF($B222="","",ROUND(SUMIFS(对接源_02物料!$K$4:$K$1203,对接源_02物料!$C$4:$C$1203,$B222,对接源_02物料!$D$4:$D$1203,"次果筐*"),2))</f>
      </c>
      <c r="H222" s="177">
        <f>IF($B222="","",ROUND(SUM($C222:$G222),2))</f>
      </c>
      <c r="I222" s="177">
        <f>IF($B222="","",ROUND(SUMIFS(对接源_01水果!$K$4:$K$1203,对接源_01水果!$C$4:$C$1203,$B222,对接源_01水果!$D$4:$D$1203,"成品出库*",对接源_01水果!$L$4:$L$1203,"已收讫")+SUMIFS(对接源_01水果!$K$4:$K$1203,对接源_01水果!$C$4:$C$1203,$B222,对接源_01水果!$D$4:$D$1203,"成品出库*",对接源_01水果!$L$4:$L$1203,"已付款")+SUMIFS(对接源_01水果!$K$4:$K$1203,对接源_01水果!$C$4:$C$1203,$B222,对接源_01水果!$D$4:$D$1203,"其他代存*",对接源_01水果!$L$4:$L$1203,"已收讫")+SUMIFS(对接源_01水果!$K$4:$K$1203,对接源_01水果!$C$4:$C$1203,$B222,对接源_01水果!$D$4:$D$1203,"其他代存*",对接源_01水果!$L$4:$L$1203,"已付款")+SUMIFS(对接源_02物料!$K$4:$K$1203,对接源_02物料!$C$4:$C$1203,$B222,对接源_02物料!$D$4:$D$1203,"包装物料*",对接源_02物料!$L$4:$L$1203,"已收讫")+SUMIFS(对接源_02物料!$K$4:$K$1203,对接源_02物料!$C$4:$C$1203,$B222,对接源_02物料!$D$4:$D$1203,"包装物料*",对接源_02物料!$L$4:$L$1203,"已付款")+SUMIFS(对接源_02物料!$K$4:$K$1203,对接源_02物料!$C$4:$C$1203,$B222,对接源_02物料!$D$4:$D$1203,"周转筐*",对接源_02物料!$L$4:$L$1203,"已收讫")+SUMIFS(对接源_02物料!$K$4:$K$1203,对接源_02物料!$C$4:$C$1203,$B222,对接源_02物料!$D$4:$D$1203,"周转筐*",对接源_02物料!$L$4:$L$1203,"已付款")+SUMIFS(对接源_02物料!$K$4:$K$1203,对接源_02物料!$C$4:$C$1203,$B222,对接源_02物料!$D$4:$D$1203,"次果筐*",对接源_02物料!$L$4:$L$1203,"已收讫")+SUMIFS(对接源_02物料!$K$4:$K$1203,对接源_02物料!$C$4:$C$1203,$B222,对接源_02物料!$D$4:$D$1203,"次果筐*",对接源_02物料!$L$4:$L$1203,"已付款"),2))</f>
      </c>
      <c r="J222" s="177">
        <f>IF($B222="","",ROUND(N($H222)-N($I222),2))</f>
      </c>
      <c r="K222" s="16">
        <f>IF($B222="","",IF(ROUND(N($J222),2)&gt;0,"对方欠款",IF(ROUND(N($J222),2)&lt;0,"我方欠款","已两清")))</f>
      </c>
      <c r="L222" s="26" t="n"/>
    </row>
    <row r="223" s="127">
      <c r="A223" s="16">
        <f>IF($B223="","",ROW()-3)</f>
      </c>
      <c r="B223" s="11">
        <f>IFERROR(INDEX(_自动清单!$E$4:$E$303,ROW()-3),"")</f>
      </c>
      <c r="C223" s="177">
        <f>IF($B223="","",ROUND(SUMIFS(对接源_01水果!$K$4:$K$1203,对接源_01水果!$C$4:$C$1203,$B223,对接源_01水果!$D$4:$D$1203,"成品出库*"),2))</f>
      </c>
      <c r="D223" s="177">
        <f>IF($B223="","",ROUND(SUMIFS(对接源_01水果!$K$4:$K$1203,对接源_01水果!$C$4:$C$1203,$B223,对接源_01水果!$D$4:$D$1203,"其他代存*"),2))</f>
      </c>
      <c r="E223" s="177">
        <f>IF($B223="","",ROUND(SUMIFS(对接源_02物料!$K$4:$K$1203,对接源_02物料!$C$4:$C$1203,$B223,对接源_02物料!$D$4:$D$1203,"包装物料*"),2))</f>
      </c>
      <c r="F223" s="177">
        <f>IF($B223="","",ROUND(SUMIFS(对接源_02物料!$K$4:$K$1203,对接源_02物料!$C$4:$C$1203,$B223,对接源_02物料!$D$4:$D$1203,"周转筐*"),2))</f>
      </c>
      <c r="G223" s="177">
        <f>IF($B223="","",ROUND(SUMIFS(对接源_02物料!$K$4:$K$1203,对接源_02物料!$C$4:$C$1203,$B223,对接源_02物料!$D$4:$D$1203,"次果筐*"),2))</f>
      </c>
      <c r="H223" s="177">
        <f>IF($B223="","",ROUND(SUM($C223:$G223),2))</f>
      </c>
      <c r="I223" s="177">
        <f>IF($B223="","",ROUND(SUMIFS(对接源_01水果!$K$4:$K$1203,对接源_01水果!$C$4:$C$1203,$B223,对接源_01水果!$D$4:$D$1203,"成品出库*",对接源_01水果!$L$4:$L$1203,"已收讫")+SUMIFS(对接源_01水果!$K$4:$K$1203,对接源_01水果!$C$4:$C$1203,$B223,对接源_01水果!$D$4:$D$1203,"成品出库*",对接源_01水果!$L$4:$L$1203,"已付款")+SUMIFS(对接源_01水果!$K$4:$K$1203,对接源_01水果!$C$4:$C$1203,$B223,对接源_01水果!$D$4:$D$1203,"其他代存*",对接源_01水果!$L$4:$L$1203,"已收讫")+SUMIFS(对接源_01水果!$K$4:$K$1203,对接源_01水果!$C$4:$C$1203,$B223,对接源_01水果!$D$4:$D$1203,"其他代存*",对接源_01水果!$L$4:$L$1203,"已付款")+SUMIFS(对接源_02物料!$K$4:$K$1203,对接源_02物料!$C$4:$C$1203,$B223,对接源_02物料!$D$4:$D$1203,"包装物料*",对接源_02物料!$L$4:$L$1203,"已收讫")+SUMIFS(对接源_02物料!$K$4:$K$1203,对接源_02物料!$C$4:$C$1203,$B223,对接源_02物料!$D$4:$D$1203,"包装物料*",对接源_02物料!$L$4:$L$1203,"已付款")+SUMIFS(对接源_02物料!$K$4:$K$1203,对接源_02物料!$C$4:$C$1203,$B223,对接源_02物料!$D$4:$D$1203,"周转筐*",对接源_02物料!$L$4:$L$1203,"已收讫")+SUMIFS(对接源_02物料!$K$4:$K$1203,对接源_02物料!$C$4:$C$1203,$B223,对接源_02物料!$D$4:$D$1203,"周转筐*",对接源_02物料!$L$4:$L$1203,"已付款")+SUMIFS(对接源_02物料!$K$4:$K$1203,对接源_02物料!$C$4:$C$1203,$B223,对接源_02物料!$D$4:$D$1203,"次果筐*",对接源_02物料!$L$4:$L$1203,"已收讫")+SUMIFS(对接源_02物料!$K$4:$K$1203,对接源_02物料!$C$4:$C$1203,$B223,对接源_02物料!$D$4:$D$1203,"次果筐*",对接源_02物料!$L$4:$L$1203,"已付款"),2))</f>
      </c>
      <c r="J223" s="177">
        <f>IF($B223="","",ROUND(N($H223)-N($I223),2))</f>
      </c>
      <c r="K223" s="16">
        <f>IF($B223="","",IF(ROUND(N($J223),2)&gt;0,"对方欠款",IF(ROUND(N($J223),2)&lt;0,"我方欠款","已两清")))</f>
      </c>
      <c r="L223" s="26" t="n"/>
    </row>
    <row r="224" s="127">
      <c r="A224" s="16">
        <f>IF($B224="","",ROW()-3)</f>
      </c>
      <c r="B224" s="11">
        <f>IFERROR(INDEX(_自动清单!$E$4:$E$303,ROW()-3),"")</f>
      </c>
      <c r="C224" s="177">
        <f>IF($B224="","",ROUND(SUMIFS(对接源_01水果!$K$4:$K$1203,对接源_01水果!$C$4:$C$1203,$B224,对接源_01水果!$D$4:$D$1203,"成品出库*"),2))</f>
      </c>
      <c r="D224" s="177">
        <f>IF($B224="","",ROUND(SUMIFS(对接源_01水果!$K$4:$K$1203,对接源_01水果!$C$4:$C$1203,$B224,对接源_01水果!$D$4:$D$1203,"其他代存*"),2))</f>
      </c>
      <c r="E224" s="177">
        <f>IF($B224="","",ROUND(SUMIFS(对接源_02物料!$K$4:$K$1203,对接源_02物料!$C$4:$C$1203,$B224,对接源_02物料!$D$4:$D$1203,"包装物料*"),2))</f>
      </c>
      <c r="F224" s="177">
        <f>IF($B224="","",ROUND(SUMIFS(对接源_02物料!$K$4:$K$1203,对接源_02物料!$C$4:$C$1203,$B224,对接源_02物料!$D$4:$D$1203,"周转筐*"),2))</f>
      </c>
      <c r="G224" s="177">
        <f>IF($B224="","",ROUND(SUMIFS(对接源_02物料!$K$4:$K$1203,对接源_02物料!$C$4:$C$1203,$B224,对接源_02物料!$D$4:$D$1203,"次果筐*"),2))</f>
      </c>
      <c r="H224" s="177">
        <f>IF($B224="","",ROUND(SUM($C224:$G224),2))</f>
      </c>
      <c r="I224" s="177">
        <f>IF($B224="","",ROUND(SUMIFS(对接源_01水果!$K$4:$K$1203,对接源_01水果!$C$4:$C$1203,$B224,对接源_01水果!$D$4:$D$1203,"成品出库*",对接源_01水果!$L$4:$L$1203,"已收讫")+SUMIFS(对接源_01水果!$K$4:$K$1203,对接源_01水果!$C$4:$C$1203,$B224,对接源_01水果!$D$4:$D$1203,"成品出库*",对接源_01水果!$L$4:$L$1203,"已付款")+SUMIFS(对接源_01水果!$K$4:$K$1203,对接源_01水果!$C$4:$C$1203,$B224,对接源_01水果!$D$4:$D$1203,"其他代存*",对接源_01水果!$L$4:$L$1203,"已收讫")+SUMIFS(对接源_01水果!$K$4:$K$1203,对接源_01水果!$C$4:$C$1203,$B224,对接源_01水果!$D$4:$D$1203,"其他代存*",对接源_01水果!$L$4:$L$1203,"已付款")+SUMIFS(对接源_02物料!$K$4:$K$1203,对接源_02物料!$C$4:$C$1203,$B224,对接源_02物料!$D$4:$D$1203,"包装物料*",对接源_02物料!$L$4:$L$1203,"已收讫")+SUMIFS(对接源_02物料!$K$4:$K$1203,对接源_02物料!$C$4:$C$1203,$B224,对接源_02物料!$D$4:$D$1203,"包装物料*",对接源_02物料!$L$4:$L$1203,"已付款")+SUMIFS(对接源_02物料!$K$4:$K$1203,对接源_02物料!$C$4:$C$1203,$B224,对接源_02物料!$D$4:$D$1203,"周转筐*",对接源_02物料!$L$4:$L$1203,"已收讫")+SUMIFS(对接源_02物料!$K$4:$K$1203,对接源_02物料!$C$4:$C$1203,$B224,对接源_02物料!$D$4:$D$1203,"周转筐*",对接源_02物料!$L$4:$L$1203,"已付款")+SUMIFS(对接源_02物料!$K$4:$K$1203,对接源_02物料!$C$4:$C$1203,$B224,对接源_02物料!$D$4:$D$1203,"次果筐*",对接源_02物料!$L$4:$L$1203,"已收讫")+SUMIFS(对接源_02物料!$K$4:$K$1203,对接源_02物料!$C$4:$C$1203,$B224,对接源_02物料!$D$4:$D$1203,"次果筐*",对接源_02物料!$L$4:$L$1203,"已付款"),2))</f>
      </c>
      <c r="J224" s="177">
        <f>IF($B224="","",ROUND(N($H224)-N($I224),2))</f>
      </c>
      <c r="K224" s="16">
        <f>IF($B224="","",IF(ROUND(N($J224),2)&gt;0,"对方欠款",IF(ROUND(N($J224),2)&lt;0,"我方欠款","已两清")))</f>
      </c>
      <c r="L224" s="26" t="n"/>
    </row>
    <row r="225" s="127">
      <c r="A225" s="16">
        <f>IF($B225="","",ROW()-3)</f>
      </c>
      <c r="B225" s="11">
        <f>IFERROR(INDEX(_自动清单!$E$4:$E$303,ROW()-3),"")</f>
      </c>
      <c r="C225" s="177">
        <f>IF($B225="","",ROUND(SUMIFS(对接源_01水果!$K$4:$K$1203,对接源_01水果!$C$4:$C$1203,$B225,对接源_01水果!$D$4:$D$1203,"成品出库*"),2))</f>
      </c>
      <c r="D225" s="177">
        <f>IF($B225="","",ROUND(SUMIFS(对接源_01水果!$K$4:$K$1203,对接源_01水果!$C$4:$C$1203,$B225,对接源_01水果!$D$4:$D$1203,"其他代存*"),2))</f>
      </c>
      <c r="E225" s="177">
        <f>IF($B225="","",ROUND(SUMIFS(对接源_02物料!$K$4:$K$1203,对接源_02物料!$C$4:$C$1203,$B225,对接源_02物料!$D$4:$D$1203,"包装物料*"),2))</f>
      </c>
      <c r="F225" s="177">
        <f>IF($B225="","",ROUND(SUMIFS(对接源_02物料!$K$4:$K$1203,对接源_02物料!$C$4:$C$1203,$B225,对接源_02物料!$D$4:$D$1203,"周转筐*"),2))</f>
      </c>
      <c r="G225" s="177">
        <f>IF($B225="","",ROUND(SUMIFS(对接源_02物料!$K$4:$K$1203,对接源_02物料!$C$4:$C$1203,$B225,对接源_02物料!$D$4:$D$1203,"次果筐*"),2))</f>
      </c>
      <c r="H225" s="177">
        <f>IF($B225="","",ROUND(SUM($C225:$G225),2))</f>
      </c>
      <c r="I225" s="177">
        <f>IF($B225="","",ROUND(SUMIFS(对接源_01水果!$K$4:$K$1203,对接源_01水果!$C$4:$C$1203,$B225,对接源_01水果!$D$4:$D$1203,"成品出库*",对接源_01水果!$L$4:$L$1203,"已收讫")+SUMIFS(对接源_01水果!$K$4:$K$1203,对接源_01水果!$C$4:$C$1203,$B225,对接源_01水果!$D$4:$D$1203,"成品出库*",对接源_01水果!$L$4:$L$1203,"已付款")+SUMIFS(对接源_01水果!$K$4:$K$1203,对接源_01水果!$C$4:$C$1203,$B225,对接源_01水果!$D$4:$D$1203,"其他代存*",对接源_01水果!$L$4:$L$1203,"已收讫")+SUMIFS(对接源_01水果!$K$4:$K$1203,对接源_01水果!$C$4:$C$1203,$B225,对接源_01水果!$D$4:$D$1203,"其他代存*",对接源_01水果!$L$4:$L$1203,"已付款")+SUMIFS(对接源_02物料!$K$4:$K$1203,对接源_02物料!$C$4:$C$1203,$B225,对接源_02物料!$D$4:$D$1203,"包装物料*",对接源_02物料!$L$4:$L$1203,"已收讫")+SUMIFS(对接源_02物料!$K$4:$K$1203,对接源_02物料!$C$4:$C$1203,$B225,对接源_02物料!$D$4:$D$1203,"包装物料*",对接源_02物料!$L$4:$L$1203,"已付款")+SUMIFS(对接源_02物料!$K$4:$K$1203,对接源_02物料!$C$4:$C$1203,$B225,对接源_02物料!$D$4:$D$1203,"周转筐*",对接源_02物料!$L$4:$L$1203,"已收讫")+SUMIFS(对接源_02物料!$K$4:$K$1203,对接源_02物料!$C$4:$C$1203,$B225,对接源_02物料!$D$4:$D$1203,"周转筐*",对接源_02物料!$L$4:$L$1203,"已付款")+SUMIFS(对接源_02物料!$K$4:$K$1203,对接源_02物料!$C$4:$C$1203,$B225,对接源_02物料!$D$4:$D$1203,"次果筐*",对接源_02物料!$L$4:$L$1203,"已收讫")+SUMIFS(对接源_02物料!$K$4:$K$1203,对接源_02物料!$C$4:$C$1203,$B225,对接源_02物料!$D$4:$D$1203,"次果筐*",对接源_02物料!$L$4:$L$1203,"已付款"),2))</f>
      </c>
      <c r="J225" s="177">
        <f>IF($B225="","",ROUND(N($H225)-N($I225),2))</f>
      </c>
      <c r="K225" s="16">
        <f>IF($B225="","",IF(ROUND(N($J225),2)&gt;0,"对方欠款",IF(ROUND(N($J225),2)&lt;0,"我方欠款","已两清")))</f>
      </c>
      <c r="L225" s="26" t="n"/>
    </row>
    <row r="226" s="127">
      <c r="A226" s="16">
        <f>IF($B226="","",ROW()-3)</f>
      </c>
      <c r="B226" s="11">
        <f>IFERROR(INDEX(_自动清单!$E$4:$E$303,ROW()-3),"")</f>
      </c>
      <c r="C226" s="177">
        <f>IF($B226="","",ROUND(SUMIFS(对接源_01水果!$K$4:$K$1203,对接源_01水果!$C$4:$C$1203,$B226,对接源_01水果!$D$4:$D$1203,"成品出库*"),2))</f>
      </c>
      <c r="D226" s="177">
        <f>IF($B226="","",ROUND(SUMIFS(对接源_01水果!$K$4:$K$1203,对接源_01水果!$C$4:$C$1203,$B226,对接源_01水果!$D$4:$D$1203,"其他代存*"),2))</f>
      </c>
      <c r="E226" s="177">
        <f>IF($B226="","",ROUND(SUMIFS(对接源_02物料!$K$4:$K$1203,对接源_02物料!$C$4:$C$1203,$B226,对接源_02物料!$D$4:$D$1203,"包装物料*"),2))</f>
      </c>
      <c r="F226" s="177">
        <f>IF($B226="","",ROUND(SUMIFS(对接源_02物料!$K$4:$K$1203,对接源_02物料!$C$4:$C$1203,$B226,对接源_02物料!$D$4:$D$1203,"周转筐*"),2))</f>
      </c>
      <c r="G226" s="177">
        <f>IF($B226="","",ROUND(SUMIFS(对接源_02物料!$K$4:$K$1203,对接源_02物料!$C$4:$C$1203,$B226,对接源_02物料!$D$4:$D$1203,"次果筐*"),2))</f>
      </c>
      <c r="H226" s="177">
        <f>IF($B226="","",ROUND(SUM($C226:$G226),2))</f>
      </c>
      <c r="I226" s="177">
        <f>IF($B226="","",ROUND(SUMIFS(对接源_01水果!$K$4:$K$1203,对接源_01水果!$C$4:$C$1203,$B226,对接源_01水果!$D$4:$D$1203,"成品出库*",对接源_01水果!$L$4:$L$1203,"已收讫")+SUMIFS(对接源_01水果!$K$4:$K$1203,对接源_01水果!$C$4:$C$1203,$B226,对接源_01水果!$D$4:$D$1203,"成品出库*",对接源_01水果!$L$4:$L$1203,"已付款")+SUMIFS(对接源_01水果!$K$4:$K$1203,对接源_01水果!$C$4:$C$1203,$B226,对接源_01水果!$D$4:$D$1203,"其他代存*",对接源_01水果!$L$4:$L$1203,"已收讫")+SUMIFS(对接源_01水果!$K$4:$K$1203,对接源_01水果!$C$4:$C$1203,$B226,对接源_01水果!$D$4:$D$1203,"其他代存*",对接源_01水果!$L$4:$L$1203,"已付款")+SUMIFS(对接源_02物料!$K$4:$K$1203,对接源_02物料!$C$4:$C$1203,$B226,对接源_02物料!$D$4:$D$1203,"包装物料*",对接源_02物料!$L$4:$L$1203,"已收讫")+SUMIFS(对接源_02物料!$K$4:$K$1203,对接源_02物料!$C$4:$C$1203,$B226,对接源_02物料!$D$4:$D$1203,"包装物料*",对接源_02物料!$L$4:$L$1203,"已付款")+SUMIFS(对接源_02物料!$K$4:$K$1203,对接源_02物料!$C$4:$C$1203,$B226,对接源_02物料!$D$4:$D$1203,"周转筐*",对接源_02物料!$L$4:$L$1203,"已收讫")+SUMIFS(对接源_02物料!$K$4:$K$1203,对接源_02物料!$C$4:$C$1203,$B226,对接源_02物料!$D$4:$D$1203,"周转筐*",对接源_02物料!$L$4:$L$1203,"已付款")+SUMIFS(对接源_02物料!$K$4:$K$1203,对接源_02物料!$C$4:$C$1203,$B226,对接源_02物料!$D$4:$D$1203,"次果筐*",对接源_02物料!$L$4:$L$1203,"已收讫")+SUMIFS(对接源_02物料!$K$4:$K$1203,对接源_02物料!$C$4:$C$1203,$B226,对接源_02物料!$D$4:$D$1203,"次果筐*",对接源_02物料!$L$4:$L$1203,"已付款"),2))</f>
      </c>
      <c r="J226" s="177">
        <f>IF($B226="","",ROUND(N($H226)-N($I226),2))</f>
      </c>
      <c r="K226" s="16">
        <f>IF($B226="","",IF(ROUND(N($J226),2)&gt;0,"对方欠款",IF(ROUND(N($J226),2)&lt;0,"我方欠款","已两清")))</f>
      </c>
      <c r="L226" s="26" t="n"/>
    </row>
    <row r="227" s="127">
      <c r="A227" s="16">
        <f>IF($B227="","",ROW()-3)</f>
      </c>
      <c r="B227" s="11">
        <f>IFERROR(INDEX(_自动清单!$E$4:$E$303,ROW()-3),"")</f>
      </c>
      <c r="C227" s="177">
        <f>IF($B227="","",ROUND(SUMIFS(对接源_01水果!$K$4:$K$1203,对接源_01水果!$C$4:$C$1203,$B227,对接源_01水果!$D$4:$D$1203,"成品出库*"),2))</f>
      </c>
      <c r="D227" s="177">
        <f>IF($B227="","",ROUND(SUMIFS(对接源_01水果!$K$4:$K$1203,对接源_01水果!$C$4:$C$1203,$B227,对接源_01水果!$D$4:$D$1203,"其他代存*"),2))</f>
      </c>
      <c r="E227" s="177">
        <f>IF($B227="","",ROUND(SUMIFS(对接源_02物料!$K$4:$K$1203,对接源_02物料!$C$4:$C$1203,$B227,对接源_02物料!$D$4:$D$1203,"包装物料*"),2))</f>
      </c>
      <c r="F227" s="177">
        <f>IF($B227="","",ROUND(SUMIFS(对接源_02物料!$K$4:$K$1203,对接源_02物料!$C$4:$C$1203,$B227,对接源_02物料!$D$4:$D$1203,"周转筐*"),2))</f>
      </c>
      <c r="G227" s="177">
        <f>IF($B227="","",ROUND(SUMIFS(对接源_02物料!$K$4:$K$1203,对接源_02物料!$C$4:$C$1203,$B227,对接源_02物料!$D$4:$D$1203,"次果筐*"),2))</f>
      </c>
      <c r="H227" s="177">
        <f>IF($B227="","",ROUND(SUM($C227:$G227),2))</f>
      </c>
      <c r="I227" s="177">
        <f>IF($B227="","",ROUND(SUMIFS(对接源_01水果!$K$4:$K$1203,对接源_01水果!$C$4:$C$1203,$B227,对接源_01水果!$D$4:$D$1203,"成品出库*",对接源_01水果!$L$4:$L$1203,"已收讫")+SUMIFS(对接源_01水果!$K$4:$K$1203,对接源_01水果!$C$4:$C$1203,$B227,对接源_01水果!$D$4:$D$1203,"成品出库*",对接源_01水果!$L$4:$L$1203,"已付款")+SUMIFS(对接源_01水果!$K$4:$K$1203,对接源_01水果!$C$4:$C$1203,$B227,对接源_01水果!$D$4:$D$1203,"其他代存*",对接源_01水果!$L$4:$L$1203,"已收讫")+SUMIFS(对接源_01水果!$K$4:$K$1203,对接源_01水果!$C$4:$C$1203,$B227,对接源_01水果!$D$4:$D$1203,"其他代存*",对接源_01水果!$L$4:$L$1203,"已付款")+SUMIFS(对接源_02物料!$K$4:$K$1203,对接源_02物料!$C$4:$C$1203,$B227,对接源_02物料!$D$4:$D$1203,"包装物料*",对接源_02物料!$L$4:$L$1203,"已收讫")+SUMIFS(对接源_02物料!$K$4:$K$1203,对接源_02物料!$C$4:$C$1203,$B227,对接源_02物料!$D$4:$D$1203,"包装物料*",对接源_02物料!$L$4:$L$1203,"已付款")+SUMIFS(对接源_02物料!$K$4:$K$1203,对接源_02物料!$C$4:$C$1203,$B227,对接源_02物料!$D$4:$D$1203,"周转筐*",对接源_02物料!$L$4:$L$1203,"已收讫")+SUMIFS(对接源_02物料!$K$4:$K$1203,对接源_02物料!$C$4:$C$1203,$B227,对接源_02物料!$D$4:$D$1203,"周转筐*",对接源_02物料!$L$4:$L$1203,"已付款")+SUMIFS(对接源_02物料!$K$4:$K$1203,对接源_02物料!$C$4:$C$1203,$B227,对接源_02物料!$D$4:$D$1203,"次果筐*",对接源_02物料!$L$4:$L$1203,"已收讫")+SUMIFS(对接源_02物料!$K$4:$K$1203,对接源_02物料!$C$4:$C$1203,$B227,对接源_02物料!$D$4:$D$1203,"次果筐*",对接源_02物料!$L$4:$L$1203,"已付款"),2))</f>
      </c>
      <c r="J227" s="177">
        <f>IF($B227="","",ROUND(N($H227)-N($I227),2))</f>
      </c>
      <c r="K227" s="16">
        <f>IF($B227="","",IF(ROUND(N($J227),2)&gt;0,"对方欠款",IF(ROUND(N($J227),2)&lt;0,"我方欠款","已两清")))</f>
      </c>
      <c r="L227" s="26" t="n"/>
    </row>
    <row r="228" s="127">
      <c r="A228" s="16">
        <f>IF($B228="","",ROW()-3)</f>
      </c>
      <c r="B228" s="11">
        <f>IFERROR(INDEX(_自动清单!$E$4:$E$303,ROW()-3),"")</f>
      </c>
      <c r="C228" s="177">
        <f>IF($B228="","",ROUND(SUMIFS(对接源_01水果!$K$4:$K$1203,对接源_01水果!$C$4:$C$1203,$B228,对接源_01水果!$D$4:$D$1203,"成品出库*"),2))</f>
      </c>
      <c r="D228" s="177">
        <f>IF($B228="","",ROUND(SUMIFS(对接源_01水果!$K$4:$K$1203,对接源_01水果!$C$4:$C$1203,$B228,对接源_01水果!$D$4:$D$1203,"其他代存*"),2))</f>
      </c>
      <c r="E228" s="177">
        <f>IF($B228="","",ROUND(SUMIFS(对接源_02物料!$K$4:$K$1203,对接源_02物料!$C$4:$C$1203,$B228,对接源_02物料!$D$4:$D$1203,"包装物料*"),2))</f>
      </c>
      <c r="F228" s="177">
        <f>IF($B228="","",ROUND(SUMIFS(对接源_02物料!$K$4:$K$1203,对接源_02物料!$C$4:$C$1203,$B228,对接源_02物料!$D$4:$D$1203,"周转筐*"),2))</f>
      </c>
      <c r="G228" s="177">
        <f>IF($B228="","",ROUND(SUMIFS(对接源_02物料!$K$4:$K$1203,对接源_02物料!$C$4:$C$1203,$B228,对接源_02物料!$D$4:$D$1203,"次果筐*"),2))</f>
      </c>
      <c r="H228" s="177">
        <f>IF($B228="","",ROUND(SUM($C228:$G228),2))</f>
      </c>
      <c r="I228" s="177">
        <f>IF($B228="","",ROUND(SUMIFS(对接源_01水果!$K$4:$K$1203,对接源_01水果!$C$4:$C$1203,$B228,对接源_01水果!$D$4:$D$1203,"成品出库*",对接源_01水果!$L$4:$L$1203,"已收讫")+SUMIFS(对接源_01水果!$K$4:$K$1203,对接源_01水果!$C$4:$C$1203,$B228,对接源_01水果!$D$4:$D$1203,"成品出库*",对接源_01水果!$L$4:$L$1203,"已付款")+SUMIFS(对接源_01水果!$K$4:$K$1203,对接源_01水果!$C$4:$C$1203,$B228,对接源_01水果!$D$4:$D$1203,"其他代存*",对接源_01水果!$L$4:$L$1203,"已收讫")+SUMIFS(对接源_01水果!$K$4:$K$1203,对接源_01水果!$C$4:$C$1203,$B228,对接源_01水果!$D$4:$D$1203,"其他代存*",对接源_01水果!$L$4:$L$1203,"已付款")+SUMIFS(对接源_02物料!$K$4:$K$1203,对接源_02物料!$C$4:$C$1203,$B228,对接源_02物料!$D$4:$D$1203,"包装物料*",对接源_02物料!$L$4:$L$1203,"已收讫")+SUMIFS(对接源_02物料!$K$4:$K$1203,对接源_02物料!$C$4:$C$1203,$B228,对接源_02物料!$D$4:$D$1203,"包装物料*",对接源_02物料!$L$4:$L$1203,"已付款")+SUMIFS(对接源_02物料!$K$4:$K$1203,对接源_02物料!$C$4:$C$1203,$B228,对接源_02物料!$D$4:$D$1203,"周转筐*",对接源_02物料!$L$4:$L$1203,"已收讫")+SUMIFS(对接源_02物料!$K$4:$K$1203,对接源_02物料!$C$4:$C$1203,$B228,对接源_02物料!$D$4:$D$1203,"周转筐*",对接源_02物料!$L$4:$L$1203,"已付款")+SUMIFS(对接源_02物料!$K$4:$K$1203,对接源_02物料!$C$4:$C$1203,$B228,对接源_02物料!$D$4:$D$1203,"次果筐*",对接源_02物料!$L$4:$L$1203,"已收讫")+SUMIFS(对接源_02物料!$K$4:$K$1203,对接源_02物料!$C$4:$C$1203,$B228,对接源_02物料!$D$4:$D$1203,"次果筐*",对接源_02物料!$L$4:$L$1203,"已付款"),2))</f>
      </c>
      <c r="J228" s="177">
        <f>IF($B228="","",ROUND(N($H228)-N($I228),2))</f>
      </c>
      <c r="K228" s="16">
        <f>IF($B228="","",IF(ROUND(N($J228),2)&gt;0,"对方欠款",IF(ROUND(N($J228),2)&lt;0,"我方欠款","已两清")))</f>
      </c>
      <c r="L228" s="26" t="n"/>
    </row>
    <row r="229" s="127">
      <c r="A229" s="16">
        <f>IF($B229="","",ROW()-3)</f>
      </c>
      <c r="B229" s="11">
        <f>IFERROR(INDEX(_自动清单!$E$4:$E$303,ROW()-3),"")</f>
      </c>
      <c r="C229" s="177">
        <f>IF($B229="","",ROUND(SUMIFS(对接源_01水果!$K$4:$K$1203,对接源_01水果!$C$4:$C$1203,$B229,对接源_01水果!$D$4:$D$1203,"成品出库*"),2))</f>
      </c>
      <c r="D229" s="177">
        <f>IF($B229="","",ROUND(SUMIFS(对接源_01水果!$K$4:$K$1203,对接源_01水果!$C$4:$C$1203,$B229,对接源_01水果!$D$4:$D$1203,"其他代存*"),2))</f>
      </c>
      <c r="E229" s="177">
        <f>IF($B229="","",ROUND(SUMIFS(对接源_02物料!$K$4:$K$1203,对接源_02物料!$C$4:$C$1203,$B229,对接源_02物料!$D$4:$D$1203,"包装物料*"),2))</f>
      </c>
      <c r="F229" s="177">
        <f>IF($B229="","",ROUND(SUMIFS(对接源_02物料!$K$4:$K$1203,对接源_02物料!$C$4:$C$1203,$B229,对接源_02物料!$D$4:$D$1203,"周转筐*"),2))</f>
      </c>
      <c r="G229" s="177">
        <f>IF($B229="","",ROUND(SUMIFS(对接源_02物料!$K$4:$K$1203,对接源_02物料!$C$4:$C$1203,$B229,对接源_02物料!$D$4:$D$1203,"次果筐*"),2))</f>
      </c>
      <c r="H229" s="177">
        <f>IF($B229="","",ROUND(SUM($C229:$G229),2))</f>
      </c>
      <c r="I229" s="177">
        <f>IF($B229="","",ROUND(SUMIFS(对接源_01水果!$K$4:$K$1203,对接源_01水果!$C$4:$C$1203,$B229,对接源_01水果!$D$4:$D$1203,"成品出库*",对接源_01水果!$L$4:$L$1203,"已收讫")+SUMIFS(对接源_01水果!$K$4:$K$1203,对接源_01水果!$C$4:$C$1203,$B229,对接源_01水果!$D$4:$D$1203,"成品出库*",对接源_01水果!$L$4:$L$1203,"已付款")+SUMIFS(对接源_01水果!$K$4:$K$1203,对接源_01水果!$C$4:$C$1203,$B229,对接源_01水果!$D$4:$D$1203,"其他代存*",对接源_01水果!$L$4:$L$1203,"已收讫")+SUMIFS(对接源_01水果!$K$4:$K$1203,对接源_01水果!$C$4:$C$1203,$B229,对接源_01水果!$D$4:$D$1203,"其他代存*",对接源_01水果!$L$4:$L$1203,"已付款")+SUMIFS(对接源_02物料!$K$4:$K$1203,对接源_02物料!$C$4:$C$1203,$B229,对接源_02物料!$D$4:$D$1203,"包装物料*",对接源_02物料!$L$4:$L$1203,"已收讫")+SUMIFS(对接源_02物料!$K$4:$K$1203,对接源_02物料!$C$4:$C$1203,$B229,对接源_02物料!$D$4:$D$1203,"包装物料*",对接源_02物料!$L$4:$L$1203,"已付款")+SUMIFS(对接源_02物料!$K$4:$K$1203,对接源_02物料!$C$4:$C$1203,$B229,对接源_02物料!$D$4:$D$1203,"周转筐*",对接源_02物料!$L$4:$L$1203,"已收讫")+SUMIFS(对接源_02物料!$K$4:$K$1203,对接源_02物料!$C$4:$C$1203,$B229,对接源_02物料!$D$4:$D$1203,"周转筐*",对接源_02物料!$L$4:$L$1203,"已付款")+SUMIFS(对接源_02物料!$K$4:$K$1203,对接源_02物料!$C$4:$C$1203,$B229,对接源_02物料!$D$4:$D$1203,"次果筐*",对接源_02物料!$L$4:$L$1203,"已收讫")+SUMIFS(对接源_02物料!$K$4:$K$1203,对接源_02物料!$C$4:$C$1203,$B229,对接源_02物料!$D$4:$D$1203,"次果筐*",对接源_02物料!$L$4:$L$1203,"已付款"),2))</f>
      </c>
      <c r="J229" s="177">
        <f>IF($B229="","",ROUND(N($H229)-N($I229),2))</f>
      </c>
      <c r="K229" s="16">
        <f>IF($B229="","",IF(ROUND(N($J229),2)&gt;0,"对方欠款",IF(ROUND(N($J229),2)&lt;0,"我方欠款","已两清")))</f>
      </c>
      <c r="L229" s="26" t="n"/>
    </row>
    <row r="230" s="127">
      <c r="A230" s="16">
        <f>IF($B230="","",ROW()-3)</f>
      </c>
      <c r="B230" s="11">
        <f>IFERROR(INDEX(_自动清单!$E$4:$E$303,ROW()-3),"")</f>
      </c>
      <c r="C230" s="177">
        <f>IF($B230="","",ROUND(SUMIFS(对接源_01水果!$K$4:$K$1203,对接源_01水果!$C$4:$C$1203,$B230,对接源_01水果!$D$4:$D$1203,"成品出库*"),2))</f>
      </c>
      <c r="D230" s="177">
        <f>IF($B230="","",ROUND(SUMIFS(对接源_01水果!$K$4:$K$1203,对接源_01水果!$C$4:$C$1203,$B230,对接源_01水果!$D$4:$D$1203,"其他代存*"),2))</f>
      </c>
      <c r="E230" s="177">
        <f>IF($B230="","",ROUND(SUMIFS(对接源_02物料!$K$4:$K$1203,对接源_02物料!$C$4:$C$1203,$B230,对接源_02物料!$D$4:$D$1203,"包装物料*"),2))</f>
      </c>
      <c r="F230" s="177">
        <f>IF($B230="","",ROUND(SUMIFS(对接源_02物料!$K$4:$K$1203,对接源_02物料!$C$4:$C$1203,$B230,对接源_02物料!$D$4:$D$1203,"周转筐*"),2))</f>
      </c>
      <c r="G230" s="177">
        <f>IF($B230="","",ROUND(SUMIFS(对接源_02物料!$K$4:$K$1203,对接源_02物料!$C$4:$C$1203,$B230,对接源_02物料!$D$4:$D$1203,"次果筐*"),2))</f>
      </c>
      <c r="H230" s="177">
        <f>IF($B230="","",ROUND(SUM($C230:$G230),2))</f>
      </c>
      <c r="I230" s="177">
        <f>IF($B230="","",ROUND(SUMIFS(对接源_01水果!$K$4:$K$1203,对接源_01水果!$C$4:$C$1203,$B230,对接源_01水果!$D$4:$D$1203,"成品出库*",对接源_01水果!$L$4:$L$1203,"已收讫")+SUMIFS(对接源_01水果!$K$4:$K$1203,对接源_01水果!$C$4:$C$1203,$B230,对接源_01水果!$D$4:$D$1203,"成品出库*",对接源_01水果!$L$4:$L$1203,"已付款")+SUMIFS(对接源_01水果!$K$4:$K$1203,对接源_01水果!$C$4:$C$1203,$B230,对接源_01水果!$D$4:$D$1203,"其他代存*",对接源_01水果!$L$4:$L$1203,"已收讫")+SUMIFS(对接源_01水果!$K$4:$K$1203,对接源_01水果!$C$4:$C$1203,$B230,对接源_01水果!$D$4:$D$1203,"其他代存*",对接源_01水果!$L$4:$L$1203,"已付款")+SUMIFS(对接源_02物料!$K$4:$K$1203,对接源_02物料!$C$4:$C$1203,$B230,对接源_02物料!$D$4:$D$1203,"包装物料*",对接源_02物料!$L$4:$L$1203,"已收讫")+SUMIFS(对接源_02物料!$K$4:$K$1203,对接源_02物料!$C$4:$C$1203,$B230,对接源_02物料!$D$4:$D$1203,"包装物料*",对接源_02物料!$L$4:$L$1203,"已付款")+SUMIFS(对接源_02物料!$K$4:$K$1203,对接源_02物料!$C$4:$C$1203,$B230,对接源_02物料!$D$4:$D$1203,"周转筐*",对接源_02物料!$L$4:$L$1203,"已收讫")+SUMIFS(对接源_02物料!$K$4:$K$1203,对接源_02物料!$C$4:$C$1203,$B230,对接源_02物料!$D$4:$D$1203,"周转筐*",对接源_02物料!$L$4:$L$1203,"已付款")+SUMIFS(对接源_02物料!$K$4:$K$1203,对接源_02物料!$C$4:$C$1203,$B230,对接源_02物料!$D$4:$D$1203,"次果筐*",对接源_02物料!$L$4:$L$1203,"已收讫")+SUMIFS(对接源_02物料!$K$4:$K$1203,对接源_02物料!$C$4:$C$1203,$B230,对接源_02物料!$D$4:$D$1203,"次果筐*",对接源_02物料!$L$4:$L$1203,"已付款"),2))</f>
      </c>
      <c r="J230" s="177">
        <f>IF($B230="","",ROUND(N($H230)-N($I230),2))</f>
      </c>
      <c r="K230" s="16">
        <f>IF($B230="","",IF(ROUND(N($J230),2)&gt;0,"对方欠款",IF(ROUND(N($J230),2)&lt;0,"我方欠款","已两清")))</f>
      </c>
      <c r="L230" s="26" t="n"/>
    </row>
    <row r="231" s="127">
      <c r="A231" s="16">
        <f>IF($B231="","",ROW()-3)</f>
      </c>
      <c r="B231" s="11">
        <f>IFERROR(INDEX(_自动清单!$E$4:$E$303,ROW()-3),"")</f>
      </c>
      <c r="C231" s="177">
        <f>IF($B231="","",ROUND(SUMIFS(对接源_01水果!$K$4:$K$1203,对接源_01水果!$C$4:$C$1203,$B231,对接源_01水果!$D$4:$D$1203,"成品出库*"),2))</f>
      </c>
      <c r="D231" s="177">
        <f>IF($B231="","",ROUND(SUMIFS(对接源_01水果!$K$4:$K$1203,对接源_01水果!$C$4:$C$1203,$B231,对接源_01水果!$D$4:$D$1203,"其他代存*"),2))</f>
      </c>
      <c r="E231" s="177">
        <f>IF($B231="","",ROUND(SUMIFS(对接源_02物料!$K$4:$K$1203,对接源_02物料!$C$4:$C$1203,$B231,对接源_02物料!$D$4:$D$1203,"包装物料*"),2))</f>
      </c>
      <c r="F231" s="177">
        <f>IF($B231="","",ROUND(SUMIFS(对接源_02物料!$K$4:$K$1203,对接源_02物料!$C$4:$C$1203,$B231,对接源_02物料!$D$4:$D$1203,"周转筐*"),2))</f>
      </c>
      <c r="G231" s="177">
        <f>IF($B231="","",ROUND(SUMIFS(对接源_02物料!$K$4:$K$1203,对接源_02物料!$C$4:$C$1203,$B231,对接源_02物料!$D$4:$D$1203,"次果筐*"),2))</f>
      </c>
      <c r="H231" s="177">
        <f>IF($B231="","",ROUND(SUM($C231:$G231),2))</f>
      </c>
      <c r="I231" s="177">
        <f>IF($B231="","",ROUND(SUMIFS(对接源_01水果!$K$4:$K$1203,对接源_01水果!$C$4:$C$1203,$B231,对接源_01水果!$D$4:$D$1203,"成品出库*",对接源_01水果!$L$4:$L$1203,"已收讫")+SUMIFS(对接源_01水果!$K$4:$K$1203,对接源_01水果!$C$4:$C$1203,$B231,对接源_01水果!$D$4:$D$1203,"成品出库*",对接源_01水果!$L$4:$L$1203,"已付款")+SUMIFS(对接源_01水果!$K$4:$K$1203,对接源_01水果!$C$4:$C$1203,$B231,对接源_01水果!$D$4:$D$1203,"其他代存*",对接源_01水果!$L$4:$L$1203,"已收讫")+SUMIFS(对接源_01水果!$K$4:$K$1203,对接源_01水果!$C$4:$C$1203,$B231,对接源_01水果!$D$4:$D$1203,"其他代存*",对接源_01水果!$L$4:$L$1203,"已付款")+SUMIFS(对接源_02物料!$K$4:$K$1203,对接源_02物料!$C$4:$C$1203,$B231,对接源_02物料!$D$4:$D$1203,"包装物料*",对接源_02物料!$L$4:$L$1203,"已收讫")+SUMIFS(对接源_02物料!$K$4:$K$1203,对接源_02物料!$C$4:$C$1203,$B231,对接源_02物料!$D$4:$D$1203,"包装物料*",对接源_02物料!$L$4:$L$1203,"已付款")+SUMIFS(对接源_02物料!$K$4:$K$1203,对接源_02物料!$C$4:$C$1203,$B231,对接源_02物料!$D$4:$D$1203,"周转筐*",对接源_02物料!$L$4:$L$1203,"已收讫")+SUMIFS(对接源_02物料!$K$4:$K$1203,对接源_02物料!$C$4:$C$1203,$B231,对接源_02物料!$D$4:$D$1203,"周转筐*",对接源_02物料!$L$4:$L$1203,"已付款")+SUMIFS(对接源_02物料!$K$4:$K$1203,对接源_02物料!$C$4:$C$1203,$B231,对接源_02物料!$D$4:$D$1203,"次果筐*",对接源_02物料!$L$4:$L$1203,"已收讫")+SUMIFS(对接源_02物料!$K$4:$K$1203,对接源_02物料!$C$4:$C$1203,$B231,对接源_02物料!$D$4:$D$1203,"次果筐*",对接源_02物料!$L$4:$L$1203,"已付款"),2))</f>
      </c>
      <c r="J231" s="177">
        <f>IF($B231="","",ROUND(N($H231)-N($I231),2))</f>
      </c>
      <c r="K231" s="16">
        <f>IF($B231="","",IF(ROUND(N($J231),2)&gt;0,"对方欠款",IF(ROUND(N($J231),2)&lt;0,"我方欠款","已两清")))</f>
      </c>
      <c r="L231" s="26" t="n"/>
    </row>
    <row r="232" s="127">
      <c r="A232" s="16">
        <f>IF($B232="","",ROW()-3)</f>
      </c>
      <c r="B232" s="11">
        <f>IFERROR(INDEX(_自动清单!$E$4:$E$303,ROW()-3),"")</f>
      </c>
      <c r="C232" s="177">
        <f>IF($B232="","",ROUND(SUMIFS(对接源_01水果!$K$4:$K$1203,对接源_01水果!$C$4:$C$1203,$B232,对接源_01水果!$D$4:$D$1203,"成品出库*"),2))</f>
      </c>
      <c r="D232" s="177">
        <f>IF($B232="","",ROUND(SUMIFS(对接源_01水果!$K$4:$K$1203,对接源_01水果!$C$4:$C$1203,$B232,对接源_01水果!$D$4:$D$1203,"其他代存*"),2))</f>
      </c>
      <c r="E232" s="177">
        <f>IF($B232="","",ROUND(SUMIFS(对接源_02物料!$K$4:$K$1203,对接源_02物料!$C$4:$C$1203,$B232,对接源_02物料!$D$4:$D$1203,"包装物料*"),2))</f>
      </c>
      <c r="F232" s="177">
        <f>IF($B232="","",ROUND(SUMIFS(对接源_02物料!$K$4:$K$1203,对接源_02物料!$C$4:$C$1203,$B232,对接源_02物料!$D$4:$D$1203,"周转筐*"),2))</f>
      </c>
      <c r="G232" s="177">
        <f>IF($B232="","",ROUND(SUMIFS(对接源_02物料!$K$4:$K$1203,对接源_02物料!$C$4:$C$1203,$B232,对接源_02物料!$D$4:$D$1203,"次果筐*"),2))</f>
      </c>
      <c r="H232" s="177">
        <f>IF($B232="","",ROUND(SUM($C232:$G232),2))</f>
      </c>
      <c r="I232" s="177">
        <f>IF($B232="","",ROUND(SUMIFS(对接源_01水果!$K$4:$K$1203,对接源_01水果!$C$4:$C$1203,$B232,对接源_01水果!$D$4:$D$1203,"成品出库*",对接源_01水果!$L$4:$L$1203,"已收讫")+SUMIFS(对接源_01水果!$K$4:$K$1203,对接源_01水果!$C$4:$C$1203,$B232,对接源_01水果!$D$4:$D$1203,"成品出库*",对接源_01水果!$L$4:$L$1203,"已付款")+SUMIFS(对接源_01水果!$K$4:$K$1203,对接源_01水果!$C$4:$C$1203,$B232,对接源_01水果!$D$4:$D$1203,"其他代存*",对接源_01水果!$L$4:$L$1203,"已收讫")+SUMIFS(对接源_01水果!$K$4:$K$1203,对接源_01水果!$C$4:$C$1203,$B232,对接源_01水果!$D$4:$D$1203,"其他代存*",对接源_01水果!$L$4:$L$1203,"已付款")+SUMIFS(对接源_02物料!$K$4:$K$1203,对接源_02物料!$C$4:$C$1203,$B232,对接源_02物料!$D$4:$D$1203,"包装物料*",对接源_02物料!$L$4:$L$1203,"已收讫")+SUMIFS(对接源_02物料!$K$4:$K$1203,对接源_02物料!$C$4:$C$1203,$B232,对接源_02物料!$D$4:$D$1203,"包装物料*",对接源_02物料!$L$4:$L$1203,"已付款")+SUMIFS(对接源_02物料!$K$4:$K$1203,对接源_02物料!$C$4:$C$1203,$B232,对接源_02物料!$D$4:$D$1203,"周转筐*",对接源_02物料!$L$4:$L$1203,"已收讫")+SUMIFS(对接源_02物料!$K$4:$K$1203,对接源_02物料!$C$4:$C$1203,$B232,对接源_02物料!$D$4:$D$1203,"周转筐*",对接源_02物料!$L$4:$L$1203,"已付款")+SUMIFS(对接源_02物料!$K$4:$K$1203,对接源_02物料!$C$4:$C$1203,$B232,对接源_02物料!$D$4:$D$1203,"次果筐*",对接源_02物料!$L$4:$L$1203,"已收讫")+SUMIFS(对接源_02物料!$K$4:$K$1203,对接源_02物料!$C$4:$C$1203,$B232,对接源_02物料!$D$4:$D$1203,"次果筐*",对接源_02物料!$L$4:$L$1203,"已付款"),2))</f>
      </c>
      <c r="J232" s="177">
        <f>IF($B232="","",ROUND(N($H232)-N($I232),2))</f>
      </c>
      <c r="K232" s="16">
        <f>IF($B232="","",IF(ROUND(N($J232),2)&gt;0,"对方欠款",IF(ROUND(N($J232),2)&lt;0,"我方欠款","已两清")))</f>
      </c>
      <c r="L232" s="26" t="n"/>
    </row>
    <row r="233" s="127">
      <c r="A233" s="16">
        <f>IF($B233="","",ROW()-3)</f>
      </c>
      <c r="B233" s="11">
        <f>IFERROR(INDEX(_自动清单!$E$4:$E$303,ROW()-3),"")</f>
      </c>
      <c r="C233" s="177">
        <f>IF($B233="","",ROUND(SUMIFS(对接源_01水果!$K$4:$K$1203,对接源_01水果!$C$4:$C$1203,$B233,对接源_01水果!$D$4:$D$1203,"成品出库*"),2))</f>
      </c>
      <c r="D233" s="177">
        <f>IF($B233="","",ROUND(SUMIFS(对接源_01水果!$K$4:$K$1203,对接源_01水果!$C$4:$C$1203,$B233,对接源_01水果!$D$4:$D$1203,"其他代存*"),2))</f>
      </c>
      <c r="E233" s="177">
        <f>IF($B233="","",ROUND(SUMIFS(对接源_02物料!$K$4:$K$1203,对接源_02物料!$C$4:$C$1203,$B233,对接源_02物料!$D$4:$D$1203,"包装物料*"),2))</f>
      </c>
      <c r="F233" s="177">
        <f>IF($B233="","",ROUND(SUMIFS(对接源_02物料!$K$4:$K$1203,对接源_02物料!$C$4:$C$1203,$B233,对接源_02物料!$D$4:$D$1203,"周转筐*"),2))</f>
      </c>
      <c r="G233" s="177">
        <f>IF($B233="","",ROUND(SUMIFS(对接源_02物料!$K$4:$K$1203,对接源_02物料!$C$4:$C$1203,$B233,对接源_02物料!$D$4:$D$1203,"次果筐*"),2))</f>
      </c>
      <c r="H233" s="177">
        <f>IF($B233="","",ROUND(SUM($C233:$G233),2))</f>
      </c>
      <c r="I233" s="177">
        <f>IF($B233="","",ROUND(SUMIFS(对接源_01水果!$K$4:$K$1203,对接源_01水果!$C$4:$C$1203,$B233,对接源_01水果!$D$4:$D$1203,"成品出库*",对接源_01水果!$L$4:$L$1203,"已收讫")+SUMIFS(对接源_01水果!$K$4:$K$1203,对接源_01水果!$C$4:$C$1203,$B233,对接源_01水果!$D$4:$D$1203,"成品出库*",对接源_01水果!$L$4:$L$1203,"已付款")+SUMIFS(对接源_01水果!$K$4:$K$1203,对接源_01水果!$C$4:$C$1203,$B233,对接源_01水果!$D$4:$D$1203,"其他代存*",对接源_01水果!$L$4:$L$1203,"已收讫")+SUMIFS(对接源_01水果!$K$4:$K$1203,对接源_01水果!$C$4:$C$1203,$B233,对接源_01水果!$D$4:$D$1203,"其他代存*",对接源_01水果!$L$4:$L$1203,"已付款")+SUMIFS(对接源_02物料!$K$4:$K$1203,对接源_02物料!$C$4:$C$1203,$B233,对接源_02物料!$D$4:$D$1203,"包装物料*",对接源_02物料!$L$4:$L$1203,"已收讫")+SUMIFS(对接源_02物料!$K$4:$K$1203,对接源_02物料!$C$4:$C$1203,$B233,对接源_02物料!$D$4:$D$1203,"包装物料*",对接源_02物料!$L$4:$L$1203,"已付款")+SUMIFS(对接源_02物料!$K$4:$K$1203,对接源_02物料!$C$4:$C$1203,$B233,对接源_02物料!$D$4:$D$1203,"周转筐*",对接源_02物料!$L$4:$L$1203,"已收讫")+SUMIFS(对接源_02物料!$K$4:$K$1203,对接源_02物料!$C$4:$C$1203,$B233,对接源_02物料!$D$4:$D$1203,"周转筐*",对接源_02物料!$L$4:$L$1203,"已付款")+SUMIFS(对接源_02物料!$K$4:$K$1203,对接源_02物料!$C$4:$C$1203,$B233,对接源_02物料!$D$4:$D$1203,"次果筐*",对接源_02物料!$L$4:$L$1203,"已收讫")+SUMIFS(对接源_02物料!$K$4:$K$1203,对接源_02物料!$C$4:$C$1203,$B233,对接源_02物料!$D$4:$D$1203,"次果筐*",对接源_02物料!$L$4:$L$1203,"已付款"),2))</f>
      </c>
      <c r="J233" s="177">
        <f>IF($B233="","",ROUND(N($H233)-N($I233),2))</f>
      </c>
      <c r="K233" s="16">
        <f>IF($B233="","",IF(ROUND(N($J233),2)&gt;0,"对方欠款",IF(ROUND(N($J233),2)&lt;0,"我方欠款","已两清")))</f>
      </c>
      <c r="L233" s="26" t="n"/>
    </row>
    <row r="234" s="127">
      <c r="A234" s="16">
        <f>IF($B234="","",ROW()-3)</f>
      </c>
      <c r="B234" s="11">
        <f>IFERROR(INDEX(_自动清单!$E$4:$E$303,ROW()-3),"")</f>
      </c>
      <c r="C234" s="177">
        <f>IF($B234="","",ROUND(SUMIFS(对接源_01水果!$K$4:$K$1203,对接源_01水果!$C$4:$C$1203,$B234,对接源_01水果!$D$4:$D$1203,"成品出库*"),2))</f>
      </c>
      <c r="D234" s="177">
        <f>IF($B234="","",ROUND(SUMIFS(对接源_01水果!$K$4:$K$1203,对接源_01水果!$C$4:$C$1203,$B234,对接源_01水果!$D$4:$D$1203,"其他代存*"),2))</f>
      </c>
      <c r="E234" s="177">
        <f>IF($B234="","",ROUND(SUMIFS(对接源_02物料!$K$4:$K$1203,对接源_02物料!$C$4:$C$1203,$B234,对接源_02物料!$D$4:$D$1203,"包装物料*"),2))</f>
      </c>
      <c r="F234" s="177">
        <f>IF($B234="","",ROUND(SUMIFS(对接源_02物料!$K$4:$K$1203,对接源_02物料!$C$4:$C$1203,$B234,对接源_02物料!$D$4:$D$1203,"周转筐*"),2))</f>
      </c>
      <c r="G234" s="177">
        <f>IF($B234="","",ROUND(SUMIFS(对接源_02物料!$K$4:$K$1203,对接源_02物料!$C$4:$C$1203,$B234,对接源_02物料!$D$4:$D$1203,"次果筐*"),2))</f>
      </c>
      <c r="H234" s="177">
        <f>IF($B234="","",ROUND(SUM($C234:$G234),2))</f>
      </c>
      <c r="I234" s="177">
        <f>IF($B234="","",ROUND(SUMIFS(对接源_01水果!$K$4:$K$1203,对接源_01水果!$C$4:$C$1203,$B234,对接源_01水果!$D$4:$D$1203,"成品出库*",对接源_01水果!$L$4:$L$1203,"已收讫")+SUMIFS(对接源_01水果!$K$4:$K$1203,对接源_01水果!$C$4:$C$1203,$B234,对接源_01水果!$D$4:$D$1203,"成品出库*",对接源_01水果!$L$4:$L$1203,"已付款")+SUMIFS(对接源_01水果!$K$4:$K$1203,对接源_01水果!$C$4:$C$1203,$B234,对接源_01水果!$D$4:$D$1203,"其他代存*",对接源_01水果!$L$4:$L$1203,"已收讫")+SUMIFS(对接源_01水果!$K$4:$K$1203,对接源_01水果!$C$4:$C$1203,$B234,对接源_01水果!$D$4:$D$1203,"其他代存*",对接源_01水果!$L$4:$L$1203,"已付款")+SUMIFS(对接源_02物料!$K$4:$K$1203,对接源_02物料!$C$4:$C$1203,$B234,对接源_02物料!$D$4:$D$1203,"包装物料*",对接源_02物料!$L$4:$L$1203,"已收讫")+SUMIFS(对接源_02物料!$K$4:$K$1203,对接源_02物料!$C$4:$C$1203,$B234,对接源_02物料!$D$4:$D$1203,"包装物料*",对接源_02物料!$L$4:$L$1203,"已付款")+SUMIFS(对接源_02物料!$K$4:$K$1203,对接源_02物料!$C$4:$C$1203,$B234,对接源_02物料!$D$4:$D$1203,"周转筐*",对接源_02物料!$L$4:$L$1203,"已收讫")+SUMIFS(对接源_02物料!$K$4:$K$1203,对接源_02物料!$C$4:$C$1203,$B234,对接源_02物料!$D$4:$D$1203,"周转筐*",对接源_02物料!$L$4:$L$1203,"已付款")+SUMIFS(对接源_02物料!$K$4:$K$1203,对接源_02物料!$C$4:$C$1203,$B234,对接源_02物料!$D$4:$D$1203,"次果筐*",对接源_02物料!$L$4:$L$1203,"已收讫")+SUMIFS(对接源_02物料!$K$4:$K$1203,对接源_02物料!$C$4:$C$1203,$B234,对接源_02物料!$D$4:$D$1203,"次果筐*",对接源_02物料!$L$4:$L$1203,"已付款"),2))</f>
      </c>
      <c r="J234" s="177">
        <f>IF($B234="","",ROUND(N($H234)-N($I234),2))</f>
      </c>
      <c r="K234" s="16">
        <f>IF($B234="","",IF(ROUND(N($J234),2)&gt;0,"对方欠款",IF(ROUND(N($J234),2)&lt;0,"我方欠款","已两清")))</f>
      </c>
      <c r="L234" s="26" t="n"/>
    </row>
    <row r="235" s="127">
      <c r="A235" s="16">
        <f>IF($B235="","",ROW()-3)</f>
      </c>
      <c r="B235" s="11">
        <f>IFERROR(INDEX(_自动清单!$E$4:$E$303,ROW()-3),"")</f>
      </c>
      <c r="C235" s="177">
        <f>IF($B235="","",ROUND(SUMIFS(对接源_01水果!$K$4:$K$1203,对接源_01水果!$C$4:$C$1203,$B235,对接源_01水果!$D$4:$D$1203,"成品出库*"),2))</f>
      </c>
      <c r="D235" s="177">
        <f>IF($B235="","",ROUND(SUMIFS(对接源_01水果!$K$4:$K$1203,对接源_01水果!$C$4:$C$1203,$B235,对接源_01水果!$D$4:$D$1203,"其他代存*"),2))</f>
      </c>
      <c r="E235" s="177">
        <f>IF($B235="","",ROUND(SUMIFS(对接源_02物料!$K$4:$K$1203,对接源_02物料!$C$4:$C$1203,$B235,对接源_02物料!$D$4:$D$1203,"包装物料*"),2))</f>
      </c>
      <c r="F235" s="177">
        <f>IF($B235="","",ROUND(SUMIFS(对接源_02物料!$K$4:$K$1203,对接源_02物料!$C$4:$C$1203,$B235,对接源_02物料!$D$4:$D$1203,"周转筐*"),2))</f>
      </c>
      <c r="G235" s="177">
        <f>IF($B235="","",ROUND(SUMIFS(对接源_02物料!$K$4:$K$1203,对接源_02物料!$C$4:$C$1203,$B235,对接源_02物料!$D$4:$D$1203,"次果筐*"),2))</f>
      </c>
      <c r="H235" s="177">
        <f>IF($B235="","",ROUND(SUM($C235:$G235),2))</f>
      </c>
      <c r="I235" s="177">
        <f>IF($B235="","",ROUND(SUMIFS(对接源_01水果!$K$4:$K$1203,对接源_01水果!$C$4:$C$1203,$B235,对接源_01水果!$D$4:$D$1203,"成品出库*",对接源_01水果!$L$4:$L$1203,"已收讫")+SUMIFS(对接源_01水果!$K$4:$K$1203,对接源_01水果!$C$4:$C$1203,$B235,对接源_01水果!$D$4:$D$1203,"成品出库*",对接源_01水果!$L$4:$L$1203,"已付款")+SUMIFS(对接源_01水果!$K$4:$K$1203,对接源_01水果!$C$4:$C$1203,$B235,对接源_01水果!$D$4:$D$1203,"其他代存*",对接源_01水果!$L$4:$L$1203,"已收讫")+SUMIFS(对接源_01水果!$K$4:$K$1203,对接源_01水果!$C$4:$C$1203,$B235,对接源_01水果!$D$4:$D$1203,"其他代存*",对接源_01水果!$L$4:$L$1203,"已付款")+SUMIFS(对接源_02物料!$K$4:$K$1203,对接源_02物料!$C$4:$C$1203,$B235,对接源_02物料!$D$4:$D$1203,"包装物料*",对接源_02物料!$L$4:$L$1203,"已收讫")+SUMIFS(对接源_02物料!$K$4:$K$1203,对接源_02物料!$C$4:$C$1203,$B235,对接源_02物料!$D$4:$D$1203,"包装物料*",对接源_02物料!$L$4:$L$1203,"已付款")+SUMIFS(对接源_02物料!$K$4:$K$1203,对接源_02物料!$C$4:$C$1203,$B235,对接源_02物料!$D$4:$D$1203,"周转筐*",对接源_02物料!$L$4:$L$1203,"已收讫")+SUMIFS(对接源_02物料!$K$4:$K$1203,对接源_02物料!$C$4:$C$1203,$B235,对接源_02物料!$D$4:$D$1203,"周转筐*",对接源_02物料!$L$4:$L$1203,"已付款")+SUMIFS(对接源_02物料!$K$4:$K$1203,对接源_02物料!$C$4:$C$1203,$B235,对接源_02物料!$D$4:$D$1203,"次果筐*",对接源_02物料!$L$4:$L$1203,"已收讫")+SUMIFS(对接源_02物料!$K$4:$K$1203,对接源_02物料!$C$4:$C$1203,$B235,对接源_02物料!$D$4:$D$1203,"次果筐*",对接源_02物料!$L$4:$L$1203,"已付款"),2))</f>
      </c>
      <c r="J235" s="177">
        <f>IF($B235="","",ROUND(N($H235)-N($I235),2))</f>
      </c>
      <c r="K235" s="16">
        <f>IF($B235="","",IF(ROUND(N($J235),2)&gt;0,"对方欠款",IF(ROUND(N($J235),2)&lt;0,"我方欠款","已两清")))</f>
      </c>
      <c r="L235" s="26" t="n"/>
    </row>
    <row r="236" s="127">
      <c r="A236" s="16">
        <f>IF($B236="","",ROW()-3)</f>
      </c>
      <c r="B236" s="11">
        <f>IFERROR(INDEX(_自动清单!$E$4:$E$303,ROW()-3),"")</f>
      </c>
      <c r="C236" s="177">
        <f>IF($B236="","",ROUND(SUMIFS(对接源_01水果!$K$4:$K$1203,对接源_01水果!$C$4:$C$1203,$B236,对接源_01水果!$D$4:$D$1203,"成品出库*"),2))</f>
      </c>
      <c r="D236" s="177">
        <f>IF($B236="","",ROUND(SUMIFS(对接源_01水果!$K$4:$K$1203,对接源_01水果!$C$4:$C$1203,$B236,对接源_01水果!$D$4:$D$1203,"其他代存*"),2))</f>
      </c>
      <c r="E236" s="177">
        <f>IF($B236="","",ROUND(SUMIFS(对接源_02物料!$K$4:$K$1203,对接源_02物料!$C$4:$C$1203,$B236,对接源_02物料!$D$4:$D$1203,"包装物料*"),2))</f>
      </c>
      <c r="F236" s="177">
        <f>IF($B236="","",ROUND(SUMIFS(对接源_02物料!$K$4:$K$1203,对接源_02物料!$C$4:$C$1203,$B236,对接源_02物料!$D$4:$D$1203,"周转筐*"),2))</f>
      </c>
      <c r="G236" s="177">
        <f>IF($B236="","",ROUND(SUMIFS(对接源_02物料!$K$4:$K$1203,对接源_02物料!$C$4:$C$1203,$B236,对接源_02物料!$D$4:$D$1203,"次果筐*"),2))</f>
      </c>
      <c r="H236" s="177">
        <f>IF($B236="","",ROUND(SUM($C236:$G236),2))</f>
      </c>
      <c r="I236" s="177">
        <f>IF($B236="","",ROUND(SUMIFS(对接源_01水果!$K$4:$K$1203,对接源_01水果!$C$4:$C$1203,$B236,对接源_01水果!$D$4:$D$1203,"成品出库*",对接源_01水果!$L$4:$L$1203,"已收讫")+SUMIFS(对接源_01水果!$K$4:$K$1203,对接源_01水果!$C$4:$C$1203,$B236,对接源_01水果!$D$4:$D$1203,"成品出库*",对接源_01水果!$L$4:$L$1203,"已付款")+SUMIFS(对接源_01水果!$K$4:$K$1203,对接源_01水果!$C$4:$C$1203,$B236,对接源_01水果!$D$4:$D$1203,"其他代存*",对接源_01水果!$L$4:$L$1203,"已收讫")+SUMIFS(对接源_01水果!$K$4:$K$1203,对接源_01水果!$C$4:$C$1203,$B236,对接源_01水果!$D$4:$D$1203,"其他代存*",对接源_01水果!$L$4:$L$1203,"已付款")+SUMIFS(对接源_02物料!$K$4:$K$1203,对接源_02物料!$C$4:$C$1203,$B236,对接源_02物料!$D$4:$D$1203,"包装物料*",对接源_02物料!$L$4:$L$1203,"已收讫")+SUMIFS(对接源_02物料!$K$4:$K$1203,对接源_02物料!$C$4:$C$1203,$B236,对接源_02物料!$D$4:$D$1203,"包装物料*",对接源_02物料!$L$4:$L$1203,"已付款")+SUMIFS(对接源_02物料!$K$4:$K$1203,对接源_02物料!$C$4:$C$1203,$B236,对接源_02物料!$D$4:$D$1203,"周转筐*",对接源_02物料!$L$4:$L$1203,"已收讫")+SUMIFS(对接源_02物料!$K$4:$K$1203,对接源_02物料!$C$4:$C$1203,$B236,对接源_02物料!$D$4:$D$1203,"周转筐*",对接源_02物料!$L$4:$L$1203,"已付款")+SUMIFS(对接源_02物料!$K$4:$K$1203,对接源_02物料!$C$4:$C$1203,$B236,对接源_02物料!$D$4:$D$1203,"次果筐*",对接源_02物料!$L$4:$L$1203,"已收讫")+SUMIFS(对接源_02物料!$K$4:$K$1203,对接源_02物料!$C$4:$C$1203,$B236,对接源_02物料!$D$4:$D$1203,"次果筐*",对接源_02物料!$L$4:$L$1203,"已付款"),2))</f>
      </c>
      <c r="J236" s="177">
        <f>IF($B236="","",ROUND(N($H236)-N($I236),2))</f>
      </c>
      <c r="K236" s="16">
        <f>IF($B236="","",IF(ROUND(N($J236),2)&gt;0,"对方欠款",IF(ROUND(N($J236),2)&lt;0,"我方欠款","已两清")))</f>
      </c>
      <c r="L236" s="26" t="n"/>
    </row>
    <row r="237" s="127">
      <c r="A237" s="16">
        <f>IF($B237="","",ROW()-3)</f>
      </c>
      <c r="B237" s="11">
        <f>IFERROR(INDEX(_自动清单!$E$4:$E$303,ROW()-3),"")</f>
      </c>
      <c r="C237" s="177">
        <f>IF($B237="","",ROUND(SUMIFS(对接源_01水果!$K$4:$K$1203,对接源_01水果!$C$4:$C$1203,$B237,对接源_01水果!$D$4:$D$1203,"成品出库*"),2))</f>
      </c>
      <c r="D237" s="177">
        <f>IF($B237="","",ROUND(SUMIFS(对接源_01水果!$K$4:$K$1203,对接源_01水果!$C$4:$C$1203,$B237,对接源_01水果!$D$4:$D$1203,"其他代存*"),2))</f>
      </c>
      <c r="E237" s="177">
        <f>IF($B237="","",ROUND(SUMIFS(对接源_02物料!$K$4:$K$1203,对接源_02物料!$C$4:$C$1203,$B237,对接源_02物料!$D$4:$D$1203,"包装物料*"),2))</f>
      </c>
      <c r="F237" s="177">
        <f>IF($B237="","",ROUND(SUMIFS(对接源_02物料!$K$4:$K$1203,对接源_02物料!$C$4:$C$1203,$B237,对接源_02物料!$D$4:$D$1203,"周转筐*"),2))</f>
      </c>
      <c r="G237" s="177">
        <f>IF($B237="","",ROUND(SUMIFS(对接源_02物料!$K$4:$K$1203,对接源_02物料!$C$4:$C$1203,$B237,对接源_02物料!$D$4:$D$1203,"次果筐*"),2))</f>
      </c>
      <c r="H237" s="177">
        <f>IF($B237="","",ROUND(SUM($C237:$G237),2))</f>
      </c>
      <c r="I237" s="177">
        <f>IF($B237="","",ROUND(SUMIFS(对接源_01水果!$K$4:$K$1203,对接源_01水果!$C$4:$C$1203,$B237,对接源_01水果!$D$4:$D$1203,"成品出库*",对接源_01水果!$L$4:$L$1203,"已收讫")+SUMIFS(对接源_01水果!$K$4:$K$1203,对接源_01水果!$C$4:$C$1203,$B237,对接源_01水果!$D$4:$D$1203,"成品出库*",对接源_01水果!$L$4:$L$1203,"已付款")+SUMIFS(对接源_01水果!$K$4:$K$1203,对接源_01水果!$C$4:$C$1203,$B237,对接源_01水果!$D$4:$D$1203,"其他代存*",对接源_01水果!$L$4:$L$1203,"已收讫")+SUMIFS(对接源_01水果!$K$4:$K$1203,对接源_01水果!$C$4:$C$1203,$B237,对接源_01水果!$D$4:$D$1203,"其他代存*",对接源_01水果!$L$4:$L$1203,"已付款")+SUMIFS(对接源_02物料!$K$4:$K$1203,对接源_02物料!$C$4:$C$1203,$B237,对接源_02物料!$D$4:$D$1203,"包装物料*",对接源_02物料!$L$4:$L$1203,"已收讫")+SUMIFS(对接源_02物料!$K$4:$K$1203,对接源_02物料!$C$4:$C$1203,$B237,对接源_02物料!$D$4:$D$1203,"包装物料*",对接源_02物料!$L$4:$L$1203,"已付款")+SUMIFS(对接源_02物料!$K$4:$K$1203,对接源_02物料!$C$4:$C$1203,$B237,对接源_02物料!$D$4:$D$1203,"周转筐*",对接源_02物料!$L$4:$L$1203,"已收讫")+SUMIFS(对接源_02物料!$K$4:$K$1203,对接源_02物料!$C$4:$C$1203,$B237,对接源_02物料!$D$4:$D$1203,"周转筐*",对接源_02物料!$L$4:$L$1203,"已付款")+SUMIFS(对接源_02物料!$K$4:$K$1203,对接源_02物料!$C$4:$C$1203,$B237,对接源_02物料!$D$4:$D$1203,"次果筐*",对接源_02物料!$L$4:$L$1203,"已收讫")+SUMIFS(对接源_02物料!$K$4:$K$1203,对接源_02物料!$C$4:$C$1203,$B237,对接源_02物料!$D$4:$D$1203,"次果筐*",对接源_02物料!$L$4:$L$1203,"已付款"),2))</f>
      </c>
      <c r="J237" s="177">
        <f>IF($B237="","",ROUND(N($H237)-N($I237),2))</f>
      </c>
      <c r="K237" s="16">
        <f>IF($B237="","",IF(ROUND(N($J237),2)&gt;0,"对方欠款",IF(ROUND(N($J237),2)&lt;0,"我方欠款","已两清")))</f>
      </c>
      <c r="L237" s="26" t="n"/>
    </row>
    <row r="238" s="127">
      <c r="A238" s="16">
        <f>IF($B238="","",ROW()-3)</f>
      </c>
      <c r="B238" s="11">
        <f>IFERROR(INDEX(_自动清单!$E$4:$E$303,ROW()-3),"")</f>
      </c>
      <c r="C238" s="177">
        <f>IF($B238="","",ROUND(SUMIFS(对接源_01水果!$K$4:$K$1203,对接源_01水果!$C$4:$C$1203,$B238,对接源_01水果!$D$4:$D$1203,"成品出库*"),2))</f>
      </c>
      <c r="D238" s="177">
        <f>IF($B238="","",ROUND(SUMIFS(对接源_01水果!$K$4:$K$1203,对接源_01水果!$C$4:$C$1203,$B238,对接源_01水果!$D$4:$D$1203,"其他代存*"),2))</f>
      </c>
      <c r="E238" s="177">
        <f>IF($B238="","",ROUND(SUMIFS(对接源_02物料!$K$4:$K$1203,对接源_02物料!$C$4:$C$1203,$B238,对接源_02物料!$D$4:$D$1203,"包装物料*"),2))</f>
      </c>
      <c r="F238" s="177">
        <f>IF($B238="","",ROUND(SUMIFS(对接源_02物料!$K$4:$K$1203,对接源_02物料!$C$4:$C$1203,$B238,对接源_02物料!$D$4:$D$1203,"周转筐*"),2))</f>
      </c>
      <c r="G238" s="177">
        <f>IF($B238="","",ROUND(SUMIFS(对接源_02物料!$K$4:$K$1203,对接源_02物料!$C$4:$C$1203,$B238,对接源_02物料!$D$4:$D$1203,"次果筐*"),2))</f>
      </c>
      <c r="H238" s="177">
        <f>IF($B238="","",ROUND(SUM($C238:$G238),2))</f>
      </c>
      <c r="I238" s="177">
        <f>IF($B238="","",ROUND(SUMIFS(对接源_01水果!$K$4:$K$1203,对接源_01水果!$C$4:$C$1203,$B238,对接源_01水果!$D$4:$D$1203,"成品出库*",对接源_01水果!$L$4:$L$1203,"已收讫")+SUMIFS(对接源_01水果!$K$4:$K$1203,对接源_01水果!$C$4:$C$1203,$B238,对接源_01水果!$D$4:$D$1203,"成品出库*",对接源_01水果!$L$4:$L$1203,"已付款")+SUMIFS(对接源_01水果!$K$4:$K$1203,对接源_01水果!$C$4:$C$1203,$B238,对接源_01水果!$D$4:$D$1203,"其他代存*",对接源_01水果!$L$4:$L$1203,"已收讫")+SUMIFS(对接源_01水果!$K$4:$K$1203,对接源_01水果!$C$4:$C$1203,$B238,对接源_01水果!$D$4:$D$1203,"其他代存*",对接源_01水果!$L$4:$L$1203,"已付款")+SUMIFS(对接源_02物料!$K$4:$K$1203,对接源_02物料!$C$4:$C$1203,$B238,对接源_02物料!$D$4:$D$1203,"包装物料*",对接源_02物料!$L$4:$L$1203,"已收讫")+SUMIFS(对接源_02物料!$K$4:$K$1203,对接源_02物料!$C$4:$C$1203,$B238,对接源_02物料!$D$4:$D$1203,"包装物料*",对接源_02物料!$L$4:$L$1203,"已付款")+SUMIFS(对接源_02物料!$K$4:$K$1203,对接源_02物料!$C$4:$C$1203,$B238,对接源_02物料!$D$4:$D$1203,"周转筐*",对接源_02物料!$L$4:$L$1203,"已收讫")+SUMIFS(对接源_02物料!$K$4:$K$1203,对接源_02物料!$C$4:$C$1203,$B238,对接源_02物料!$D$4:$D$1203,"周转筐*",对接源_02物料!$L$4:$L$1203,"已付款")+SUMIFS(对接源_02物料!$K$4:$K$1203,对接源_02物料!$C$4:$C$1203,$B238,对接源_02物料!$D$4:$D$1203,"次果筐*",对接源_02物料!$L$4:$L$1203,"已收讫")+SUMIFS(对接源_02物料!$K$4:$K$1203,对接源_02物料!$C$4:$C$1203,$B238,对接源_02物料!$D$4:$D$1203,"次果筐*",对接源_02物料!$L$4:$L$1203,"已付款"),2))</f>
      </c>
      <c r="J238" s="177">
        <f>IF($B238="","",ROUND(N($H238)-N($I238),2))</f>
      </c>
      <c r="K238" s="16">
        <f>IF($B238="","",IF(ROUND(N($J238),2)&gt;0,"对方欠款",IF(ROUND(N($J238),2)&lt;0,"我方欠款","已两清")))</f>
      </c>
      <c r="L238" s="26" t="n"/>
    </row>
    <row r="239" s="127">
      <c r="A239" s="16">
        <f>IF($B239="","",ROW()-3)</f>
      </c>
      <c r="B239" s="11">
        <f>IFERROR(INDEX(_自动清单!$E$4:$E$303,ROW()-3),"")</f>
      </c>
      <c r="C239" s="177">
        <f>IF($B239="","",ROUND(SUMIFS(对接源_01水果!$K$4:$K$1203,对接源_01水果!$C$4:$C$1203,$B239,对接源_01水果!$D$4:$D$1203,"成品出库*"),2))</f>
      </c>
      <c r="D239" s="177">
        <f>IF($B239="","",ROUND(SUMIFS(对接源_01水果!$K$4:$K$1203,对接源_01水果!$C$4:$C$1203,$B239,对接源_01水果!$D$4:$D$1203,"其他代存*"),2))</f>
      </c>
      <c r="E239" s="177">
        <f>IF($B239="","",ROUND(SUMIFS(对接源_02物料!$K$4:$K$1203,对接源_02物料!$C$4:$C$1203,$B239,对接源_02物料!$D$4:$D$1203,"包装物料*"),2))</f>
      </c>
      <c r="F239" s="177">
        <f>IF($B239="","",ROUND(SUMIFS(对接源_02物料!$K$4:$K$1203,对接源_02物料!$C$4:$C$1203,$B239,对接源_02物料!$D$4:$D$1203,"周转筐*"),2))</f>
      </c>
      <c r="G239" s="177">
        <f>IF($B239="","",ROUND(SUMIFS(对接源_02物料!$K$4:$K$1203,对接源_02物料!$C$4:$C$1203,$B239,对接源_02物料!$D$4:$D$1203,"次果筐*"),2))</f>
      </c>
      <c r="H239" s="177">
        <f>IF($B239="","",ROUND(SUM($C239:$G239),2))</f>
      </c>
      <c r="I239" s="177">
        <f>IF($B239="","",ROUND(SUMIFS(对接源_01水果!$K$4:$K$1203,对接源_01水果!$C$4:$C$1203,$B239,对接源_01水果!$D$4:$D$1203,"成品出库*",对接源_01水果!$L$4:$L$1203,"已收讫")+SUMIFS(对接源_01水果!$K$4:$K$1203,对接源_01水果!$C$4:$C$1203,$B239,对接源_01水果!$D$4:$D$1203,"成品出库*",对接源_01水果!$L$4:$L$1203,"已付款")+SUMIFS(对接源_01水果!$K$4:$K$1203,对接源_01水果!$C$4:$C$1203,$B239,对接源_01水果!$D$4:$D$1203,"其他代存*",对接源_01水果!$L$4:$L$1203,"已收讫")+SUMIFS(对接源_01水果!$K$4:$K$1203,对接源_01水果!$C$4:$C$1203,$B239,对接源_01水果!$D$4:$D$1203,"其他代存*",对接源_01水果!$L$4:$L$1203,"已付款")+SUMIFS(对接源_02物料!$K$4:$K$1203,对接源_02物料!$C$4:$C$1203,$B239,对接源_02物料!$D$4:$D$1203,"包装物料*",对接源_02物料!$L$4:$L$1203,"已收讫")+SUMIFS(对接源_02物料!$K$4:$K$1203,对接源_02物料!$C$4:$C$1203,$B239,对接源_02物料!$D$4:$D$1203,"包装物料*",对接源_02物料!$L$4:$L$1203,"已付款")+SUMIFS(对接源_02物料!$K$4:$K$1203,对接源_02物料!$C$4:$C$1203,$B239,对接源_02物料!$D$4:$D$1203,"周转筐*",对接源_02物料!$L$4:$L$1203,"已收讫")+SUMIFS(对接源_02物料!$K$4:$K$1203,对接源_02物料!$C$4:$C$1203,$B239,对接源_02物料!$D$4:$D$1203,"周转筐*",对接源_02物料!$L$4:$L$1203,"已付款")+SUMIFS(对接源_02物料!$K$4:$K$1203,对接源_02物料!$C$4:$C$1203,$B239,对接源_02物料!$D$4:$D$1203,"次果筐*",对接源_02物料!$L$4:$L$1203,"已收讫")+SUMIFS(对接源_02物料!$K$4:$K$1203,对接源_02物料!$C$4:$C$1203,$B239,对接源_02物料!$D$4:$D$1203,"次果筐*",对接源_02物料!$L$4:$L$1203,"已付款"),2))</f>
      </c>
      <c r="J239" s="177">
        <f>IF($B239="","",ROUND(N($H239)-N($I239),2))</f>
      </c>
      <c r="K239" s="16">
        <f>IF($B239="","",IF(ROUND(N($J239),2)&gt;0,"对方欠款",IF(ROUND(N($J239),2)&lt;0,"我方欠款","已两清")))</f>
      </c>
      <c r="L239" s="26" t="n"/>
    </row>
    <row r="240" s="127">
      <c r="A240" s="16">
        <f>IF($B240="","",ROW()-3)</f>
      </c>
      <c r="B240" s="11">
        <f>IFERROR(INDEX(_自动清单!$E$4:$E$303,ROW()-3),"")</f>
      </c>
      <c r="C240" s="177">
        <f>IF($B240="","",ROUND(SUMIFS(对接源_01水果!$K$4:$K$1203,对接源_01水果!$C$4:$C$1203,$B240,对接源_01水果!$D$4:$D$1203,"成品出库*"),2))</f>
      </c>
      <c r="D240" s="177">
        <f>IF($B240="","",ROUND(SUMIFS(对接源_01水果!$K$4:$K$1203,对接源_01水果!$C$4:$C$1203,$B240,对接源_01水果!$D$4:$D$1203,"其他代存*"),2))</f>
      </c>
      <c r="E240" s="177">
        <f>IF($B240="","",ROUND(SUMIFS(对接源_02物料!$K$4:$K$1203,对接源_02物料!$C$4:$C$1203,$B240,对接源_02物料!$D$4:$D$1203,"包装物料*"),2))</f>
      </c>
      <c r="F240" s="177">
        <f>IF($B240="","",ROUND(SUMIFS(对接源_02物料!$K$4:$K$1203,对接源_02物料!$C$4:$C$1203,$B240,对接源_02物料!$D$4:$D$1203,"周转筐*"),2))</f>
      </c>
      <c r="G240" s="177">
        <f>IF($B240="","",ROUND(SUMIFS(对接源_02物料!$K$4:$K$1203,对接源_02物料!$C$4:$C$1203,$B240,对接源_02物料!$D$4:$D$1203,"次果筐*"),2))</f>
      </c>
      <c r="H240" s="177">
        <f>IF($B240="","",ROUND(SUM($C240:$G240),2))</f>
      </c>
      <c r="I240" s="177">
        <f>IF($B240="","",ROUND(SUMIFS(对接源_01水果!$K$4:$K$1203,对接源_01水果!$C$4:$C$1203,$B240,对接源_01水果!$D$4:$D$1203,"成品出库*",对接源_01水果!$L$4:$L$1203,"已收讫")+SUMIFS(对接源_01水果!$K$4:$K$1203,对接源_01水果!$C$4:$C$1203,$B240,对接源_01水果!$D$4:$D$1203,"成品出库*",对接源_01水果!$L$4:$L$1203,"已付款")+SUMIFS(对接源_01水果!$K$4:$K$1203,对接源_01水果!$C$4:$C$1203,$B240,对接源_01水果!$D$4:$D$1203,"其他代存*",对接源_01水果!$L$4:$L$1203,"已收讫")+SUMIFS(对接源_01水果!$K$4:$K$1203,对接源_01水果!$C$4:$C$1203,$B240,对接源_01水果!$D$4:$D$1203,"其他代存*",对接源_01水果!$L$4:$L$1203,"已付款")+SUMIFS(对接源_02物料!$K$4:$K$1203,对接源_02物料!$C$4:$C$1203,$B240,对接源_02物料!$D$4:$D$1203,"包装物料*",对接源_02物料!$L$4:$L$1203,"已收讫")+SUMIFS(对接源_02物料!$K$4:$K$1203,对接源_02物料!$C$4:$C$1203,$B240,对接源_02物料!$D$4:$D$1203,"包装物料*",对接源_02物料!$L$4:$L$1203,"已付款")+SUMIFS(对接源_02物料!$K$4:$K$1203,对接源_02物料!$C$4:$C$1203,$B240,对接源_02物料!$D$4:$D$1203,"周转筐*",对接源_02物料!$L$4:$L$1203,"已收讫")+SUMIFS(对接源_02物料!$K$4:$K$1203,对接源_02物料!$C$4:$C$1203,$B240,对接源_02物料!$D$4:$D$1203,"周转筐*",对接源_02物料!$L$4:$L$1203,"已付款")+SUMIFS(对接源_02物料!$K$4:$K$1203,对接源_02物料!$C$4:$C$1203,$B240,对接源_02物料!$D$4:$D$1203,"次果筐*",对接源_02物料!$L$4:$L$1203,"已收讫")+SUMIFS(对接源_02物料!$K$4:$K$1203,对接源_02物料!$C$4:$C$1203,$B240,对接源_02物料!$D$4:$D$1203,"次果筐*",对接源_02物料!$L$4:$L$1203,"已付款"),2))</f>
      </c>
      <c r="J240" s="177">
        <f>IF($B240="","",ROUND(N($H240)-N($I240),2))</f>
      </c>
      <c r="K240" s="16">
        <f>IF($B240="","",IF(ROUND(N($J240),2)&gt;0,"对方欠款",IF(ROUND(N($J240),2)&lt;0,"我方欠款","已两清")))</f>
      </c>
      <c r="L240" s="26" t="n"/>
    </row>
    <row r="241" s="127">
      <c r="A241" s="16">
        <f>IF($B241="","",ROW()-3)</f>
      </c>
      <c r="B241" s="11">
        <f>IFERROR(INDEX(_自动清单!$E$4:$E$303,ROW()-3),"")</f>
      </c>
      <c r="C241" s="177">
        <f>IF($B241="","",ROUND(SUMIFS(对接源_01水果!$K$4:$K$1203,对接源_01水果!$C$4:$C$1203,$B241,对接源_01水果!$D$4:$D$1203,"成品出库*"),2))</f>
      </c>
      <c r="D241" s="177">
        <f>IF($B241="","",ROUND(SUMIFS(对接源_01水果!$K$4:$K$1203,对接源_01水果!$C$4:$C$1203,$B241,对接源_01水果!$D$4:$D$1203,"其他代存*"),2))</f>
      </c>
      <c r="E241" s="177">
        <f>IF($B241="","",ROUND(SUMIFS(对接源_02物料!$K$4:$K$1203,对接源_02物料!$C$4:$C$1203,$B241,对接源_02物料!$D$4:$D$1203,"包装物料*"),2))</f>
      </c>
      <c r="F241" s="177">
        <f>IF($B241="","",ROUND(SUMIFS(对接源_02物料!$K$4:$K$1203,对接源_02物料!$C$4:$C$1203,$B241,对接源_02物料!$D$4:$D$1203,"周转筐*"),2))</f>
      </c>
      <c r="G241" s="177">
        <f>IF($B241="","",ROUND(SUMIFS(对接源_02物料!$K$4:$K$1203,对接源_02物料!$C$4:$C$1203,$B241,对接源_02物料!$D$4:$D$1203,"次果筐*"),2))</f>
      </c>
      <c r="H241" s="177">
        <f>IF($B241="","",ROUND(SUM($C241:$G241),2))</f>
      </c>
      <c r="I241" s="177">
        <f>IF($B241="","",ROUND(SUMIFS(对接源_01水果!$K$4:$K$1203,对接源_01水果!$C$4:$C$1203,$B241,对接源_01水果!$D$4:$D$1203,"成品出库*",对接源_01水果!$L$4:$L$1203,"已收讫")+SUMIFS(对接源_01水果!$K$4:$K$1203,对接源_01水果!$C$4:$C$1203,$B241,对接源_01水果!$D$4:$D$1203,"成品出库*",对接源_01水果!$L$4:$L$1203,"已付款")+SUMIFS(对接源_01水果!$K$4:$K$1203,对接源_01水果!$C$4:$C$1203,$B241,对接源_01水果!$D$4:$D$1203,"其他代存*",对接源_01水果!$L$4:$L$1203,"已收讫")+SUMIFS(对接源_01水果!$K$4:$K$1203,对接源_01水果!$C$4:$C$1203,$B241,对接源_01水果!$D$4:$D$1203,"其他代存*",对接源_01水果!$L$4:$L$1203,"已付款")+SUMIFS(对接源_02物料!$K$4:$K$1203,对接源_02物料!$C$4:$C$1203,$B241,对接源_02物料!$D$4:$D$1203,"包装物料*",对接源_02物料!$L$4:$L$1203,"已收讫")+SUMIFS(对接源_02物料!$K$4:$K$1203,对接源_02物料!$C$4:$C$1203,$B241,对接源_02物料!$D$4:$D$1203,"包装物料*",对接源_02物料!$L$4:$L$1203,"已付款")+SUMIFS(对接源_02物料!$K$4:$K$1203,对接源_02物料!$C$4:$C$1203,$B241,对接源_02物料!$D$4:$D$1203,"周转筐*",对接源_02物料!$L$4:$L$1203,"已收讫")+SUMIFS(对接源_02物料!$K$4:$K$1203,对接源_02物料!$C$4:$C$1203,$B241,对接源_02物料!$D$4:$D$1203,"周转筐*",对接源_02物料!$L$4:$L$1203,"已付款")+SUMIFS(对接源_02物料!$K$4:$K$1203,对接源_02物料!$C$4:$C$1203,$B241,对接源_02物料!$D$4:$D$1203,"次果筐*",对接源_02物料!$L$4:$L$1203,"已收讫")+SUMIFS(对接源_02物料!$K$4:$K$1203,对接源_02物料!$C$4:$C$1203,$B241,对接源_02物料!$D$4:$D$1203,"次果筐*",对接源_02物料!$L$4:$L$1203,"已付款"),2))</f>
      </c>
      <c r="J241" s="177">
        <f>IF($B241="","",ROUND(N($H241)-N($I241),2))</f>
      </c>
      <c r="K241" s="16">
        <f>IF($B241="","",IF(ROUND(N($J241),2)&gt;0,"对方欠款",IF(ROUND(N($J241),2)&lt;0,"我方欠款","已两清")))</f>
      </c>
      <c r="L241" s="26" t="n"/>
    </row>
    <row r="242" s="127">
      <c r="A242" s="16">
        <f>IF($B242="","",ROW()-3)</f>
      </c>
      <c r="B242" s="11">
        <f>IFERROR(INDEX(_自动清单!$E$4:$E$303,ROW()-3),"")</f>
      </c>
      <c r="C242" s="177">
        <f>IF($B242="","",ROUND(SUMIFS(对接源_01水果!$K$4:$K$1203,对接源_01水果!$C$4:$C$1203,$B242,对接源_01水果!$D$4:$D$1203,"成品出库*"),2))</f>
      </c>
      <c r="D242" s="177">
        <f>IF($B242="","",ROUND(SUMIFS(对接源_01水果!$K$4:$K$1203,对接源_01水果!$C$4:$C$1203,$B242,对接源_01水果!$D$4:$D$1203,"其他代存*"),2))</f>
      </c>
      <c r="E242" s="177">
        <f>IF($B242="","",ROUND(SUMIFS(对接源_02物料!$K$4:$K$1203,对接源_02物料!$C$4:$C$1203,$B242,对接源_02物料!$D$4:$D$1203,"包装物料*"),2))</f>
      </c>
      <c r="F242" s="177">
        <f>IF($B242="","",ROUND(SUMIFS(对接源_02物料!$K$4:$K$1203,对接源_02物料!$C$4:$C$1203,$B242,对接源_02物料!$D$4:$D$1203,"周转筐*"),2))</f>
      </c>
      <c r="G242" s="177">
        <f>IF($B242="","",ROUND(SUMIFS(对接源_02物料!$K$4:$K$1203,对接源_02物料!$C$4:$C$1203,$B242,对接源_02物料!$D$4:$D$1203,"次果筐*"),2))</f>
      </c>
      <c r="H242" s="177">
        <f>IF($B242="","",ROUND(SUM($C242:$G242),2))</f>
      </c>
      <c r="I242" s="177">
        <f>IF($B242="","",ROUND(SUMIFS(对接源_01水果!$K$4:$K$1203,对接源_01水果!$C$4:$C$1203,$B242,对接源_01水果!$D$4:$D$1203,"成品出库*",对接源_01水果!$L$4:$L$1203,"已收讫")+SUMIFS(对接源_01水果!$K$4:$K$1203,对接源_01水果!$C$4:$C$1203,$B242,对接源_01水果!$D$4:$D$1203,"成品出库*",对接源_01水果!$L$4:$L$1203,"已付款")+SUMIFS(对接源_01水果!$K$4:$K$1203,对接源_01水果!$C$4:$C$1203,$B242,对接源_01水果!$D$4:$D$1203,"其他代存*",对接源_01水果!$L$4:$L$1203,"已收讫")+SUMIFS(对接源_01水果!$K$4:$K$1203,对接源_01水果!$C$4:$C$1203,$B242,对接源_01水果!$D$4:$D$1203,"其他代存*",对接源_01水果!$L$4:$L$1203,"已付款")+SUMIFS(对接源_02物料!$K$4:$K$1203,对接源_02物料!$C$4:$C$1203,$B242,对接源_02物料!$D$4:$D$1203,"包装物料*",对接源_02物料!$L$4:$L$1203,"已收讫")+SUMIFS(对接源_02物料!$K$4:$K$1203,对接源_02物料!$C$4:$C$1203,$B242,对接源_02物料!$D$4:$D$1203,"包装物料*",对接源_02物料!$L$4:$L$1203,"已付款")+SUMIFS(对接源_02物料!$K$4:$K$1203,对接源_02物料!$C$4:$C$1203,$B242,对接源_02物料!$D$4:$D$1203,"周转筐*",对接源_02物料!$L$4:$L$1203,"已收讫")+SUMIFS(对接源_02物料!$K$4:$K$1203,对接源_02物料!$C$4:$C$1203,$B242,对接源_02物料!$D$4:$D$1203,"周转筐*",对接源_02物料!$L$4:$L$1203,"已付款")+SUMIFS(对接源_02物料!$K$4:$K$1203,对接源_02物料!$C$4:$C$1203,$B242,对接源_02物料!$D$4:$D$1203,"次果筐*",对接源_02物料!$L$4:$L$1203,"已收讫")+SUMIFS(对接源_02物料!$K$4:$K$1203,对接源_02物料!$C$4:$C$1203,$B242,对接源_02物料!$D$4:$D$1203,"次果筐*",对接源_02物料!$L$4:$L$1203,"已付款"),2))</f>
      </c>
      <c r="J242" s="177">
        <f>IF($B242="","",ROUND(N($H242)-N($I242),2))</f>
      </c>
      <c r="K242" s="16">
        <f>IF($B242="","",IF(ROUND(N($J242),2)&gt;0,"对方欠款",IF(ROUND(N($J242),2)&lt;0,"我方欠款","已两清")))</f>
      </c>
      <c r="L242" s="26" t="n"/>
    </row>
    <row r="243" s="127">
      <c r="A243" s="16">
        <f>IF($B243="","",ROW()-3)</f>
      </c>
      <c r="B243" s="11">
        <f>IFERROR(INDEX(_自动清单!$E$4:$E$303,ROW()-3),"")</f>
      </c>
      <c r="C243" s="177">
        <f>IF($B243="","",ROUND(SUMIFS(对接源_01水果!$K$4:$K$1203,对接源_01水果!$C$4:$C$1203,$B243,对接源_01水果!$D$4:$D$1203,"成品出库*"),2))</f>
      </c>
      <c r="D243" s="177">
        <f>IF($B243="","",ROUND(SUMIFS(对接源_01水果!$K$4:$K$1203,对接源_01水果!$C$4:$C$1203,$B243,对接源_01水果!$D$4:$D$1203,"其他代存*"),2))</f>
      </c>
      <c r="E243" s="177">
        <f>IF($B243="","",ROUND(SUMIFS(对接源_02物料!$K$4:$K$1203,对接源_02物料!$C$4:$C$1203,$B243,对接源_02物料!$D$4:$D$1203,"包装物料*"),2))</f>
      </c>
      <c r="F243" s="177">
        <f>IF($B243="","",ROUND(SUMIFS(对接源_02物料!$K$4:$K$1203,对接源_02物料!$C$4:$C$1203,$B243,对接源_02物料!$D$4:$D$1203,"周转筐*"),2))</f>
      </c>
      <c r="G243" s="177">
        <f>IF($B243="","",ROUND(SUMIFS(对接源_02物料!$K$4:$K$1203,对接源_02物料!$C$4:$C$1203,$B243,对接源_02物料!$D$4:$D$1203,"次果筐*"),2))</f>
      </c>
      <c r="H243" s="177">
        <f>IF($B243="","",ROUND(SUM($C243:$G243),2))</f>
      </c>
      <c r="I243" s="177">
        <f>IF($B243="","",ROUND(SUMIFS(对接源_01水果!$K$4:$K$1203,对接源_01水果!$C$4:$C$1203,$B243,对接源_01水果!$D$4:$D$1203,"成品出库*",对接源_01水果!$L$4:$L$1203,"已收讫")+SUMIFS(对接源_01水果!$K$4:$K$1203,对接源_01水果!$C$4:$C$1203,$B243,对接源_01水果!$D$4:$D$1203,"成品出库*",对接源_01水果!$L$4:$L$1203,"已付款")+SUMIFS(对接源_01水果!$K$4:$K$1203,对接源_01水果!$C$4:$C$1203,$B243,对接源_01水果!$D$4:$D$1203,"其他代存*",对接源_01水果!$L$4:$L$1203,"已收讫")+SUMIFS(对接源_01水果!$K$4:$K$1203,对接源_01水果!$C$4:$C$1203,$B243,对接源_01水果!$D$4:$D$1203,"其他代存*",对接源_01水果!$L$4:$L$1203,"已付款")+SUMIFS(对接源_02物料!$K$4:$K$1203,对接源_02物料!$C$4:$C$1203,$B243,对接源_02物料!$D$4:$D$1203,"包装物料*",对接源_02物料!$L$4:$L$1203,"已收讫")+SUMIFS(对接源_02物料!$K$4:$K$1203,对接源_02物料!$C$4:$C$1203,$B243,对接源_02物料!$D$4:$D$1203,"包装物料*",对接源_02物料!$L$4:$L$1203,"已付款")+SUMIFS(对接源_02物料!$K$4:$K$1203,对接源_02物料!$C$4:$C$1203,$B243,对接源_02物料!$D$4:$D$1203,"周转筐*",对接源_02物料!$L$4:$L$1203,"已收讫")+SUMIFS(对接源_02物料!$K$4:$K$1203,对接源_02物料!$C$4:$C$1203,$B243,对接源_02物料!$D$4:$D$1203,"周转筐*",对接源_02物料!$L$4:$L$1203,"已付款")+SUMIFS(对接源_02物料!$K$4:$K$1203,对接源_02物料!$C$4:$C$1203,$B243,对接源_02物料!$D$4:$D$1203,"次果筐*",对接源_02物料!$L$4:$L$1203,"已收讫")+SUMIFS(对接源_02物料!$K$4:$K$1203,对接源_02物料!$C$4:$C$1203,$B243,对接源_02物料!$D$4:$D$1203,"次果筐*",对接源_02物料!$L$4:$L$1203,"已付款"),2))</f>
      </c>
      <c r="J243" s="177">
        <f>IF($B243="","",ROUND(N($H243)-N($I243),2))</f>
      </c>
      <c r="K243" s="16">
        <f>IF($B243="","",IF(ROUND(N($J243),2)&gt;0,"对方欠款",IF(ROUND(N($J243),2)&lt;0,"我方欠款","已两清")))</f>
      </c>
      <c r="L243" s="26" t="n"/>
    </row>
    <row r="244" s="127">
      <c r="A244" s="16">
        <f>IF($B244="","",ROW()-3)</f>
      </c>
      <c r="B244" s="11">
        <f>IFERROR(INDEX(_自动清单!$E$4:$E$303,ROW()-3),"")</f>
      </c>
      <c r="C244" s="177">
        <f>IF($B244="","",ROUND(SUMIFS(对接源_01水果!$K$4:$K$1203,对接源_01水果!$C$4:$C$1203,$B244,对接源_01水果!$D$4:$D$1203,"成品出库*"),2))</f>
      </c>
      <c r="D244" s="177">
        <f>IF($B244="","",ROUND(SUMIFS(对接源_01水果!$K$4:$K$1203,对接源_01水果!$C$4:$C$1203,$B244,对接源_01水果!$D$4:$D$1203,"其他代存*"),2))</f>
      </c>
      <c r="E244" s="177">
        <f>IF($B244="","",ROUND(SUMIFS(对接源_02物料!$K$4:$K$1203,对接源_02物料!$C$4:$C$1203,$B244,对接源_02物料!$D$4:$D$1203,"包装物料*"),2))</f>
      </c>
      <c r="F244" s="177">
        <f>IF($B244="","",ROUND(SUMIFS(对接源_02物料!$K$4:$K$1203,对接源_02物料!$C$4:$C$1203,$B244,对接源_02物料!$D$4:$D$1203,"周转筐*"),2))</f>
      </c>
      <c r="G244" s="177">
        <f>IF($B244="","",ROUND(SUMIFS(对接源_02物料!$K$4:$K$1203,对接源_02物料!$C$4:$C$1203,$B244,对接源_02物料!$D$4:$D$1203,"次果筐*"),2))</f>
      </c>
      <c r="H244" s="177">
        <f>IF($B244="","",ROUND(SUM($C244:$G244),2))</f>
      </c>
      <c r="I244" s="177">
        <f>IF($B244="","",ROUND(SUMIFS(对接源_01水果!$K$4:$K$1203,对接源_01水果!$C$4:$C$1203,$B244,对接源_01水果!$D$4:$D$1203,"成品出库*",对接源_01水果!$L$4:$L$1203,"已收讫")+SUMIFS(对接源_01水果!$K$4:$K$1203,对接源_01水果!$C$4:$C$1203,$B244,对接源_01水果!$D$4:$D$1203,"成品出库*",对接源_01水果!$L$4:$L$1203,"已付款")+SUMIFS(对接源_01水果!$K$4:$K$1203,对接源_01水果!$C$4:$C$1203,$B244,对接源_01水果!$D$4:$D$1203,"其他代存*",对接源_01水果!$L$4:$L$1203,"已收讫")+SUMIFS(对接源_01水果!$K$4:$K$1203,对接源_01水果!$C$4:$C$1203,$B244,对接源_01水果!$D$4:$D$1203,"其他代存*",对接源_01水果!$L$4:$L$1203,"已付款")+SUMIFS(对接源_02物料!$K$4:$K$1203,对接源_02物料!$C$4:$C$1203,$B244,对接源_02物料!$D$4:$D$1203,"包装物料*",对接源_02物料!$L$4:$L$1203,"已收讫")+SUMIFS(对接源_02物料!$K$4:$K$1203,对接源_02物料!$C$4:$C$1203,$B244,对接源_02物料!$D$4:$D$1203,"包装物料*",对接源_02物料!$L$4:$L$1203,"已付款")+SUMIFS(对接源_02物料!$K$4:$K$1203,对接源_02物料!$C$4:$C$1203,$B244,对接源_02物料!$D$4:$D$1203,"周转筐*",对接源_02物料!$L$4:$L$1203,"已收讫")+SUMIFS(对接源_02物料!$K$4:$K$1203,对接源_02物料!$C$4:$C$1203,$B244,对接源_02物料!$D$4:$D$1203,"周转筐*",对接源_02物料!$L$4:$L$1203,"已付款")+SUMIFS(对接源_02物料!$K$4:$K$1203,对接源_02物料!$C$4:$C$1203,$B244,对接源_02物料!$D$4:$D$1203,"次果筐*",对接源_02物料!$L$4:$L$1203,"已收讫")+SUMIFS(对接源_02物料!$K$4:$K$1203,对接源_02物料!$C$4:$C$1203,$B244,对接源_02物料!$D$4:$D$1203,"次果筐*",对接源_02物料!$L$4:$L$1203,"已付款"),2))</f>
      </c>
      <c r="J244" s="177">
        <f>IF($B244="","",ROUND(N($H244)-N($I244),2))</f>
      </c>
      <c r="K244" s="16">
        <f>IF($B244="","",IF(ROUND(N($J244),2)&gt;0,"对方欠款",IF(ROUND(N($J244),2)&lt;0,"我方欠款","已两清")))</f>
      </c>
      <c r="L244" s="26" t="n"/>
    </row>
    <row r="245" s="127">
      <c r="A245" s="16">
        <f>IF($B245="","",ROW()-3)</f>
      </c>
      <c r="B245" s="11">
        <f>IFERROR(INDEX(_自动清单!$E$4:$E$303,ROW()-3),"")</f>
      </c>
      <c r="C245" s="177">
        <f>IF($B245="","",ROUND(SUMIFS(对接源_01水果!$K$4:$K$1203,对接源_01水果!$C$4:$C$1203,$B245,对接源_01水果!$D$4:$D$1203,"成品出库*"),2))</f>
      </c>
      <c r="D245" s="177">
        <f>IF($B245="","",ROUND(SUMIFS(对接源_01水果!$K$4:$K$1203,对接源_01水果!$C$4:$C$1203,$B245,对接源_01水果!$D$4:$D$1203,"其他代存*"),2))</f>
      </c>
      <c r="E245" s="177">
        <f>IF($B245="","",ROUND(SUMIFS(对接源_02物料!$K$4:$K$1203,对接源_02物料!$C$4:$C$1203,$B245,对接源_02物料!$D$4:$D$1203,"包装物料*"),2))</f>
      </c>
      <c r="F245" s="177">
        <f>IF($B245="","",ROUND(SUMIFS(对接源_02物料!$K$4:$K$1203,对接源_02物料!$C$4:$C$1203,$B245,对接源_02物料!$D$4:$D$1203,"周转筐*"),2))</f>
      </c>
      <c r="G245" s="177">
        <f>IF($B245="","",ROUND(SUMIFS(对接源_02物料!$K$4:$K$1203,对接源_02物料!$C$4:$C$1203,$B245,对接源_02物料!$D$4:$D$1203,"次果筐*"),2))</f>
      </c>
      <c r="H245" s="177">
        <f>IF($B245="","",ROUND(SUM($C245:$G245),2))</f>
      </c>
      <c r="I245" s="177">
        <f>IF($B245="","",ROUND(SUMIFS(对接源_01水果!$K$4:$K$1203,对接源_01水果!$C$4:$C$1203,$B245,对接源_01水果!$D$4:$D$1203,"成品出库*",对接源_01水果!$L$4:$L$1203,"已收讫")+SUMIFS(对接源_01水果!$K$4:$K$1203,对接源_01水果!$C$4:$C$1203,$B245,对接源_01水果!$D$4:$D$1203,"成品出库*",对接源_01水果!$L$4:$L$1203,"已付款")+SUMIFS(对接源_01水果!$K$4:$K$1203,对接源_01水果!$C$4:$C$1203,$B245,对接源_01水果!$D$4:$D$1203,"其他代存*",对接源_01水果!$L$4:$L$1203,"已收讫")+SUMIFS(对接源_01水果!$K$4:$K$1203,对接源_01水果!$C$4:$C$1203,$B245,对接源_01水果!$D$4:$D$1203,"其他代存*",对接源_01水果!$L$4:$L$1203,"已付款")+SUMIFS(对接源_02物料!$K$4:$K$1203,对接源_02物料!$C$4:$C$1203,$B245,对接源_02物料!$D$4:$D$1203,"包装物料*",对接源_02物料!$L$4:$L$1203,"已收讫")+SUMIFS(对接源_02物料!$K$4:$K$1203,对接源_02物料!$C$4:$C$1203,$B245,对接源_02物料!$D$4:$D$1203,"包装物料*",对接源_02物料!$L$4:$L$1203,"已付款")+SUMIFS(对接源_02物料!$K$4:$K$1203,对接源_02物料!$C$4:$C$1203,$B245,对接源_02物料!$D$4:$D$1203,"周转筐*",对接源_02物料!$L$4:$L$1203,"已收讫")+SUMIFS(对接源_02物料!$K$4:$K$1203,对接源_02物料!$C$4:$C$1203,$B245,对接源_02物料!$D$4:$D$1203,"周转筐*",对接源_02物料!$L$4:$L$1203,"已付款")+SUMIFS(对接源_02物料!$K$4:$K$1203,对接源_02物料!$C$4:$C$1203,$B245,对接源_02物料!$D$4:$D$1203,"次果筐*",对接源_02物料!$L$4:$L$1203,"已收讫")+SUMIFS(对接源_02物料!$K$4:$K$1203,对接源_02物料!$C$4:$C$1203,$B245,对接源_02物料!$D$4:$D$1203,"次果筐*",对接源_02物料!$L$4:$L$1203,"已付款"),2))</f>
      </c>
      <c r="J245" s="177">
        <f>IF($B245="","",ROUND(N($H245)-N($I245),2))</f>
      </c>
      <c r="K245" s="16">
        <f>IF($B245="","",IF(ROUND(N($J245),2)&gt;0,"对方欠款",IF(ROUND(N($J245),2)&lt;0,"我方欠款","已两清")))</f>
      </c>
      <c r="L245" s="26" t="n"/>
    </row>
    <row r="246" s="127">
      <c r="A246" s="16">
        <f>IF($B246="","",ROW()-3)</f>
      </c>
      <c r="B246" s="11">
        <f>IFERROR(INDEX(_自动清单!$E$4:$E$303,ROW()-3),"")</f>
      </c>
      <c r="C246" s="177">
        <f>IF($B246="","",ROUND(SUMIFS(对接源_01水果!$K$4:$K$1203,对接源_01水果!$C$4:$C$1203,$B246,对接源_01水果!$D$4:$D$1203,"成品出库*"),2))</f>
      </c>
      <c r="D246" s="177">
        <f>IF($B246="","",ROUND(SUMIFS(对接源_01水果!$K$4:$K$1203,对接源_01水果!$C$4:$C$1203,$B246,对接源_01水果!$D$4:$D$1203,"其他代存*"),2))</f>
      </c>
      <c r="E246" s="177">
        <f>IF($B246="","",ROUND(SUMIFS(对接源_02物料!$K$4:$K$1203,对接源_02物料!$C$4:$C$1203,$B246,对接源_02物料!$D$4:$D$1203,"包装物料*"),2))</f>
      </c>
      <c r="F246" s="177">
        <f>IF($B246="","",ROUND(SUMIFS(对接源_02物料!$K$4:$K$1203,对接源_02物料!$C$4:$C$1203,$B246,对接源_02物料!$D$4:$D$1203,"周转筐*"),2))</f>
      </c>
      <c r="G246" s="177">
        <f>IF($B246="","",ROUND(SUMIFS(对接源_02物料!$K$4:$K$1203,对接源_02物料!$C$4:$C$1203,$B246,对接源_02物料!$D$4:$D$1203,"次果筐*"),2))</f>
      </c>
      <c r="H246" s="177">
        <f>IF($B246="","",ROUND(SUM($C246:$G246),2))</f>
      </c>
      <c r="I246" s="177">
        <f>IF($B246="","",ROUND(SUMIFS(对接源_01水果!$K$4:$K$1203,对接源_01水果!$C$4:$C$1203,$B246,对接源_01水果!$D$4:$D$1203,"成品出库*",对接源_01水果!$L$4:$L$1203,"已收讫")+SUMIFS(对接源_01水果!$K$4:$K$1203,对接源_01水果!$C$4:$C$1203,$B246,对接源_01水果!$D$4:$D$1203,"成品出库*",对接源_01水果!$L$4:$L$1203,"已付款")+SUMIFS(对接源_01水果!$K$4:$K$1203,对接源_01水果!$C$4:$C$1203,$B246,对接源_01水果!$D$4:$D$1203,"其他代存*",对接源_01水果!$L$4:$L$1203,"已收讫")+SUMIFS(对接源_01水果!$K$4:$K$1203,对接源_01水果!$C$4:$C$1203,$B246,对接源_01水果!$D$4:$D$1203,"其他代存*",对接源_01水果!$L$4:$L$1203,"已付款")+SUMIFS(对接源_02物料!$K$4:$K$1203,对接源_02物料!$C$4:$C$1203,$B246,对接源_02物料!$D$4:$D$1203,"包装物料*",对接源_02物料!$L$4:$L$1203,"已收讫")+SUMIFS(对接源_02物料!$K$4:$K$1203,对接源_02物料!$C$4:$C$1203,$B246,对接源_02物料!$D$4:$D$1203,"包装物料*",对接源_02物料!$L$4:$L$1203,"已付款")+SUMIFS(对接源_02物料!$K$4:$K$1203,对接源_02物料!$C$4:$C$1203,$B246,对接源_02物料!$D$4:$D$1203,"周转筐*",对接源_02物料!$L$4:$L$1203,"已收讫")+SUMIFS(对接源_02物料!$K$4:$K$1203,对接源_02物料!$C$4:$C$1203,$B246,对接源_02物料!$D$4:$D$1203,"周转筐*",对接源_02物料!$L$4:$L$1203,"已付款")+SUMIFS(对接源_02物料!$K$4:$K$1203,对接源_02物料!$C$4:$C$1203,$B246,对接源_02物料!$D$4:$D$1203,"次果筐*",对接源_02物料!$L$4:$L$1203,"已收讫")+SUMIFS(对接源_02物料!$K$4:$K$1203,对接源_02物料!$C$4:$C$1203,$B246,对接源_02物料!$D$4:$D$1203,"次果筐*",对接源_02物料!$L$4:$L$1203,"已付款"),2))</f>
      </c>
      <c r="J246" s="177">
        <f>IF($B246="","",ROUND(N($H246)-N($I246),2))</f>
      </c>
      <c r="K246" s="16">
        <f>IF($B246="","",IF(ROUND(N($J246),2)&gt;0,"对方欠款",IF(ROUND(N($J246),2)&lt;0,"我方欠款","已两清")))</f>
      </c>
      <c r="L246" s="26" t="n"/>
    </row>
    <row r="247" s="127">
      <c r="A247" s="16">
        <f>IF($B247="","",ROW()-3)</f>
      </c>
      <c r="B247" s="11">
        <f>IFERROR(INDEX(_自动清单!$E$4:$E$303,ROW()-3),"")</f>
      </c>
      <c r="C247" s="177">
        <f>IF($B247="","",ROUND(SUMIFS(对接源_01水果!$K$4:$K$1203,对接源_01水果!$C$4:$C$1203,$B247,对接源_01水果!$D$4:$D$1203,"成品出库*"),2))</f>
      </c>
      <c r="D247" s="177">
        <f>IF($B247="","",ROUND(SUMIFS(对接源_01水果!$K$4:$K$1203,对接源_01水果!$C$4:$C$1203,$B247,对接源_01水果!$D$4:$D$1203,"其他代存*"),2))</f>
      </c>
      <c r="E247" s="177">
        <f>IF($B247="","",ROUND(SUMIFS(对接源_02物料!$K$4:$K$1203,对接源_02物料!$C$4:$C$1203,$B247,对接源_02物料!$D$4:$D$1203,"包装物料*"),2))</f>
      </c>
      <c r="F247" s="177">
        <f>IF($B247="","",ROUND(SUMIFS(对接源_02物料!$K$4:$K$1203,对接源_02物料!$C$4:$C$1203,$B247,对接源_02物料!$D$4:$D$1203,"周转筐*"),2))</f>
      </c>
      <c r="G247" s="177">
        <f>IF($B247="","",ROUND(SUMIFS(对接源_02物料!$K$4:$K$1203,对接源_02物料!$C$4:$C$1203,$B247,对接源_02物料!$D$4:$D$1203,"次果筐*"),2))</f>
      </c>
      <c r="H247" s="177">
        <f>IF($B247="","",ROUND(SUM($C247:$G247),2))</f>
      </c>
      <c r="I247" s="177">
        <f>IF($B247="","",ROUND(SUMIFS(对接源_01水果!$K$4:$K$1203,对接源_01水果!$C$4:$C$1203,$B247,对接源_01水果!$D$4:$D$1203,"成品出库*",对接源_01水果!$L$4:$L$1203,"已收讫")+SUMIFS(对接源_01水果!$K$4:$K$1203,对接源_01水果!$C$4:$C$1203,$B247,对接源_01水果!$D$4:$D$1203,"成品出库*",对接源_01水果!$L$4:$L$1203,"已付款")+SUMIFS(对接源_01水果!$K$4:$K$1203,对接源_01水果!$C$4:$C$1203,$B247,对接源_01水果!$D$4:$D$1203,"其他代存*",对接源_01水果!$L$4:$L$1203,"已收讫")+SUMIFS(对接源_01水果!$K$4:$K$1203,对接源_01水果!$C$4:$C$1203,$B247,对接源_01水果!$D$4:$D$1203,"其他代存*",对接源_01水果!$L$4:$L$1203,"已付款")+SUMIFS(对接源_02物料!$K$4:$K$1203,对接源_02物料!$C$4:$C$1203,$B247,对接源_02物料!$D$4:$D$1203,"包装物料*",对接源_02物料!$L$4:$L$1203,"已收讫")+SUMIFS(对接源_02物料!$K$4:$K$1203,对接源_02物料!$C$4:$C$1203,$B247,对接源_02物料!$D$4:$D$1203,"包装物料*",对接源_02物料!$L$4:$L$1203,"已付款")+SUMIFS(对接源_02物料!$K$4:$K$1203,对接源_02物料!$C$4:$C$1203,$B247,对接源_02物料!$D$4:$D$1203,"周转筐*",对接源_02物料!$L$4:$L$1203,"已收讫")+SUMIFS(对接源_02物料!$K$4:$K$1203,对接源_02物料!$C$4:$C$1203,$B247,对接源_02物料!$D$4:$D$1203,"周转筐*",对接源_02物料!$L$4:$L$1203,"已付款")+SUMIFS(对接源_02物料!$K$4:$K$1203,对接源_02物料!$C$4:$C$1203,$B247,对接源_02物料!$D$4:$D$1203,"次果筐*",对接源_02物料!$L$4:$L$1203,"已收讫")+SUMIFS(对接源_02物料!$K$4:$K$1203,对接源_02物料!$C$4:$C$1203,$B247,对接源_02物料!$D$4:$D$1203,"次果筐*",对接源_02物料!$L$4:$L$1203,"已付款"),2))</f>
      </c>
      <c r="J247" s="177">
        <f>IF($B247="","",ROUND(N($H247)-N($I247),2))</f>
      </c>
      <c r="K247" s="16">
        <f>IF($B247="","",IF(ROUND(N($J247),2)&gt;0,"对方欠款",IF(ROUND(N($J247),2)&lt;0,"我方欠款","已两清")))</f>
      </c>
      <c r="L247" s="26" t="n"/>
    </row>
    <row r="248" s="127">
      <c r="A248" s="16">
        <f>IF($B248="","",ROW()-3)</f>
      </c>
      <c r="B248" s="11">
        <f>IFERROR(INDEX(_自动清单!$E$4:$E$303,ROW()-3),"")</f>
      </c>
      <c r="C248" s="177">
        <f>IF($B248="","",ROUND(SUMIFS(对接源_01水果!$K$4:$K$1203,对接源_01水果!$C$4:$C$1203,$B248,对接源_01水果!$D$4:$D$1203,"成品出库*"),2))</f>
      </c>
      <c r="D248" s="177">
        <f>IF($B248="","",ROUND(SUMIFS(对接源_01水果!$K$4:$K$1203,对接源_01水果!$C$4:$C$1203,$B248,对接源_01水果!$D$4:$D$1203,"其他代存*"),2))</f>
      </c>
      <c r="E248" s="177">
        <f>IF($B248="","",ROUND(SUMIFS(对接源_02物料!$K$4:$K$1203,对接源_02物料!$C$4:$C$1203,$B248,对接源_02物料!$D$4:$D$1203,"包装物料*"),2))</f>
      </c>
      <c r="F248" s="177">
        <f>IF($B248="","",ROUND(SUMIFS(对接源_02物料!$K$4:$K$1203,对接源_02物料!$C$4:$C$1203,$B248,对接源_02物料!$D$4:$D$1203,"周转筐*"),2))</f>
      </c>
      <c r="G248" s="177">
        <f>IF($B248="","",ROUND(SUMIFS(对接源_02物料!$K$4:$K$1203,对接源_02物料!$C$4:$C$1203,$B248,对接源_02物料!$D$4:$D$1203,"次果筐*"),2))</f>
      </c>
      <c r="H248" s="177">
        <f>IF($B248="","",ROUND(SUM($C248:$G248),2))</f>
      </c>
      <c r="I248" s="177">
        <f>IF($B248="","",ROUND(SUMIFS(对接源_01水果!$K$4:$K$1203,对接源_01水果!$C$4:$C$1203,$B248,对接源_01水果!$D$4:$D$1203,"成品出库*",对接源_01水果!$L$4:$L$1203,"已收讫")+SUMIFS(对接源_01水果!$K$4:$K$1203,对接源_01水果!$C$4:$C$1203,$B248,对接源_01水果!$D$4:$D$1203,"成品出库*",对接源_01水果!$L$4:$L$1203,"已付款")+SUMIFS(对接源_01水果!$K$4:$K$1203,对接源_01水果!$C$4:$C$1203,$B248,对接源_01水果!$D$4:$D$1203,"其他代存*",对接源_01水果!$L$4:$L$1203,"已收讫")+SUMIFS(对接源_01水果!$K$4:$K$1203,对接源_01水果!$C$4:$C$1203,$B248,对接源_01水果!$D$4:$D$1203,"其他代存*",对接源_01水果!$L$4:$L$1203,"已付款")+SUMIFS(对接源_02物料!$K$4:$K$1203,对接源_02物料!$C$4:$C$1203,$B248,对接源_02物料!$D$4:$D$1203,"包装物料*",对接源_02物料!$L$4:$L$1203,"已收讫")+SUMIFS(对接源_02物料!$K$4:$K$1203,对接源_02物料!$C$4:$C$1203,$B248,对接源_02物料!$D$4:$D$1203,"包装物料*",对接源_02物料!$L$4:$L$1203,"已付款")+SUMIFS(对接源_02物料!$K$4:$K$1203,对接源_02物料!$C$4:$C$1203,$B248,对接源_02物料!$D$4:$D$1203,"周转筐*",对接源_02物料!$L$4:$L$1203,"已收讫")+SUMIFS(对接源_02物料!$K$4:$K$1203,对接源_02物料!$C$4:$C$1203,$B248,对接源_02物料!$D$4:$D$1203,"周转筐*",对接源_02物料!$L$4:$L$1203,"已付款")+SUMIFS(对接源_02物料!$K$4:$K$1203,对接源_02物料!$C$4:$C$1203,$B248,对接源_02物料!$D$4:$D$1203,"次果筐*",对接源_02物料!$L$4:$L$1203,"已收讫")+SUMIFS(对接源_02物料!$K$4:$K$1203,对接源_02物料!$C$4:$C$1203,$B248,对接源_02物料!$D$4:$D$1203,"次果筐*",对接源_02物料!$L$4:$L$1203,"已付款"),2))</f>
      </c>
      <c r="J248" s="177">
        <f>IF($B248="","",ROUND(N($H248)-N($I248),2))</f>
      </c>
      <c r="K248" s="16">
        <f>IF($B248="","",IF(ROUND(N($J248),2)&gt;0,"对方欠款",IF(ROUND(N($J248),2)&lt;0,"我方欠款","已两清")))</f>
      </c>
      <c r="L248" s="26" t="n"/>
    </row>
    <row r="249" s="127">
      <c r="A249" s="16">
        <f>IF($B249="","",ROW()-3)</f>
      </c>
      <c r="B249" s="11">
        <f>IFERROR(INDEX(_自动清单!$E$4:$E$303,ROW()-3),"")</f>
      </c>
      <c r="C249" s="177">
        <f>IF($B249="","",ROUND(SUMIFS(对接源_01水果!$K$4:$K$1203,对接源_01水果!$C$4:$C$1203,$B249,对接源_01水果!$D$4:$D$1203,"成品出库*"),2))</f>
      </c>
      <c r="D249" s="177">
        <f>IF($B249="","",ROUND(SUMIFS(对接源_01水果!$K$4:$K$1203,对接源_01水果!$C$4:$C$1203,$B249,对接源_01水果!$D$4:$D$1203,"其他代存*"),2))</f>
      </c>
      <c r="E249" s="177">
        <f>IF($B249="","",ROUND(SUMIFS(对接源_02物料!$K$4:$K$1203,对接源_02物料!$C$4:$C$1203,$B249,对接源_02物料!$D$4:$D$1203,"包装物料*"),2))</f>
      </c>
      <c r="F249" s="177">
        <f>IF($B249="","",ROUND(SUMIFS(对接源_02物料!$K$4:$K$1203,对接源_02物料!$C$4:$C$1203,$B249,对接源_02物料!$D$4:$D$1203,"周转筐*"),2))</f>
      </c>
      <c r="G249" s="177">
        <f>IF($B249="","",ROUND(SUMIFS(对接源_02物料!$K$4:$K$1203,对接源_02物料!$C$4:$C$1203,$B249,对接源_02物料!$D$4:$D$1203,"次果筐*"),2))</f>
      </c>
      <c r="H249" s="177">
        <f>IF($B249="","",ROUND(SUM($C249:$G249),2))</f>
      </c>
      <c r="I249" s="177">
        <f>IF($B249="","",ROUND(SUMIFS(对接源_01水果!$K$4:$K$1203,对接源_01水果!$C$4:$C$1203,$B249,对接源_01水果!$D$4:$D$1203,"成品出库*",对接源_01水果!$L$4:$L$1203,"已收讫")+SUMIFS(对接源_01水果!$K$4:$K$1203,对接源_01水果!$C$4:$C$1203,$B249,对接源_01水果!$D$4:$D$1203,"成品出库*",对接源_01水果!$L$4:$L$1203,"已付款")+SUMIFS(对接源_01水果!$K$4:$K$1203,对接源_01水果!$C$4:$C$1203,$B249,对接源_01水果!$D$4:$D$1203,"其他代存*",对接源_01水果!$L$4:$L$1203,"已收讫")+SUMIFS(对接源_01水果!$K$4:$K$1203,对接源_01水果!$C$4:$C$1203,$B249,对接源_01水果!$D$4:$D$1203,"其他代存*",对接源_01水果!$L$4:$L$1203,"已付款")+SUMIFS(对接源_02物料!$K$4:$K$1203,对接源_02物料!$C$4:$C$1203,$B249,对接源_02物料!$D$4:$D$1203,"包装物料*",对接源_02物料!$L$4:$L$1203,"已收讫")+SUMIFS(对接源_02物料!$K$4:$K$1203,对接源_02物料!$C$4:$C$1203,$B249,对接源_02物料!$D$4:$D$1203,"包装物料*",对接源_02物料!$L$4:$L$1203,"已付款")+SUMIFS(对接源_02物料!$K$4:$K$1203,对接源_02物料!$C$4:$C$1203,$B249,对接源_02物料!$D$4:$D$1203,"周转筐*",对接源_02物料!$L$4:$L$1203,"已收讫")+SUMIFS(对接源_02物料!$K$4:$K$1203,对接源_02物料!$C$4:$C$1203,$B249,对接源_02物料!$D$4:$D$1203,"周转筐*",对接源_02物料!$L$4:$L$1203,"已付款")+SUMIFS(对接源_02物料!$K$4:$K$1203,对接源_02物料!$C$4:$C$1203,$B249,对接源_02物料!$D$4:$D$1203,"次果筐*",对接源_02物料!$L$4:$L$1203,"已收讫")+SUMIFS(对接源_02物料!$K$4:$K$1203,对接源_02物料!$C$4:$C$1203,$B249,对接源_02物料!$D$4:$D$1203,"次果筐*",对接源_02物料!$L$4:$L$1203,"已付款"),2))</f>
      </c>
      <c r="J249" s="177">
        <f>IF($B249="","",ROUND(N($H249)-N($I249),2))</f>
      </c>
      <c r="K249" s="16">
        <f>IF($B249="","",IF(ROUND(N($J249),2)&gt;0,"对方欠款",IF(ROUND(N($J249),2)&lt;0,"我方欠款","已两清")))</f>
      </c>
      <c r="L249" s="26" t="n"/>
    </row>
    <row r="250" s="127">
      <c r="A250" s="16">
        <f>IF($B250="","",ROW()-3)</f>
      </c>
      <c r="B250" s="11">
        <f>IFERROR(INDEX(_自动清单!$E$4:$E$303,ROW()-3),"")</f>
      </c>
      <c r="C250" s="177">
        <f>IF($B250="","",ROUND(SUMIFS(对接源_01水果!$K$4:$K$1203,对接源_01水果!$C$4:$C$1203,$B250,对接源_01水果!$D$4:$D$1203,"成品出库*"),2))</f>
      </c>
      <c r="D250" s="177">
        <f>IF($B250="","",ROUND(SUMIFS(对接源_01水果!$K$4:$K$1203,对接源_01水果!$C$4:$C$1203,$B250,对接源_01水果!$D$4:$D$1203,"其他代存*"),2))</f>
      </c>
      <c r="E250" s="177">
        <f>IF($B250="","",ROUND(SUMIFS(对接源_02物料!$K$4:$K$1203,对接源_02物料!$C$4:$C$1203,$B250,对接源_02物料!$D$4:$D$1203,"包装物料*"),2))</f>
      </c>
      <c r="F250" s="177">
        <f>IF($B250="","",ROUND(SUMIFS(对接源_02物料!$K$4:$K$1203,对接源_02物料!$C$4:$C$1203,$B250,对接源_02物料!$D$4:$D$1203,"周转筐*"),2))</f>
      </c>
      <c r="G250" s="177">
        <f>IF($B250="","",ROUND(SUMIFS(对接源_02物料!$K$4:$K$1203,对接源_02物料!$C$4:$C$1203,$B250,对接源_02物料!$D$4:$D$1203,"次果筐*"),2))</f>
      </c>
      <c r="H250" s="177">
        <f>IF($B250="","",ROUND(SUM($C250:$G250),2))</f>
      </c>
      <c r="I250" s="177">
        <f>IF($B250="","",ROUND(SUMIFS(对接源_01水果!$K$4:$K$1203,对接源_01水果!$C$4:$C$1203,$B250,对接源_01水果!$D$4:$D$1203,"成品出库*",对接源_01水果!$L$4:$L$1203,"已收讫")+SUMIFS(对接源_01水果!$K$4:$K$1203,对接源_01水果!$C$4:$C$1203,$B250,对接源_01水果!$D$4:$D$1203,"成品出库*",对接源_01水果!$L$4:$L$1203,"已付款")+SUMIFS(对接源_01水果!$K$4:$K$1203,对接源_01水果!$C$4:$C$1203,$B250,对接源_01水果!$D$4:$D$1203,"其他代存*",对接源_01水果!$L$4:$L$1203,"已收讫")+SUMIFS(对接源_01水果!$K$4:$K$1203,对接源_01水果!$C$4:$C$1203,$B250,对接源_01水果!$D$4:$D$1203,"其他代存*",对接源_01水果!$L$4:$L$1203,"已付款")+SUMIFS(对接源_02物料!$K$4:$K$1203,对接源_02物料!$C$4:$C$1203,$B250,对接源_02物料!$D$4:$D$1203,"包装物料*",对接源_02物料!$L$4:$L$1203,"已收讫")+SUMIFS(对接源_02物料!$K$4:$K$1203,对接源_02物料!$C$4:$C$1203,$B250,对接源_02物料!$D$4:$D$1203,"包装物料*",对接源_02物料!$L$4:$L$1203,"已付款")+SUMIFS(对接源_02物料!$K$4:$K$1203,对接源_02物料!$C$4:$C$1203,$B250,对接源_02物料!$D$4:$D$1203,"周转筐*",对接源_02物料!$L$4:$L$1203,"已收讫")+SUMIFS(对接源_02物料!$K$4:$K$1203,对接源_02物料!$C$4:$C$1203,$B250,对接源_02物料!$D$4:$D$1203,"周转筐*",对接源_02物料!$L$4:$L$1203,"已付款")+SUMIFS(对接源_02物料!$K$4:$K$1203,对接源_02物料!$C$4:$C$1203,$B250,对接源_02物料!$D$4:$D$1203,"次果筐*",对接源_02物料!$L$4:$L$1203,"已收讫")+SUMIFS(对接源_02物料!$K$4:$K$1203,对接源_02物料!$C$4:$C$1203,$B250,对接源_02物料!$D$4:$D$1203,"次果筐*",对接源_02物料!$L$4:$L$1203,"已付款"),2))</f>
      </c>
      <c r="J250" s="177">
        <f>IF($B250="","",ROUND(N($H250)-N($I250),2))</f>
      </c>
      <c r="K250" s="16">
        <f>IF($B250="","",IF(ROUND(N($J250),2)&gt;0,"对方欠款",IF(ROUND(N($J250),2)&lt;0,"我方欠款","已两清")))</f>
      </c>
      <c r="L250" s="26" t="n"/>
    </row>
    <row r="251" s="127">
      <c r="A251" s="16">
        <f>IF($B251="","",ROW()-3)</f>
      </c>
      <c r="B251" s="11">
        <f>IFERROR(INDEX(_自动清单!$E$4:$E$303,ROW()-3),"")</f>
      </c>
      <c r="C251" s="177">
        <f>IF($B251="","",ROUND(SUMIFS(对接源_01水果!$K$4:$K$1203,对接源_01水果!$C$4:$C$1203,$B251,对接源_01水果!$D$4:$D$1203,"成品出库*"),2))</f>
      </c>
      <c r="D251" s="177">
        <f>IF($B251="","",ROUND(SUMIFS(对接源_01水果!$K$4:$K$1203,对接源_01水果!$C$4:$C$1203,$B251,对接源_01水果!$D$4:$D$1203,"其他代存*"),2))</f>
      </c>
      <c r="E251" s="177">
        <f>IF($B251="","",ROUND(SUMIFS(对接源_02物料!$K$4:$K$1203,对接源_02物料!$C$4:$C$1203,$B251,对接源_02物料!$D$4:$D$1203,"包装物料*"),2))</f>
      </c>
      <c r="F251" s="177">
        <f>IF($B251="","",ROUND(SUMIFS(对接源_02物料!$K$4:$K$1203,对接源_02物料!$C$4:$C$1203,$B251,对接源_02物料!$D$4:$D$1203,"周转筐*"),2))</f>
      </c>
      <c r="G251" s="177">
        <f>IF($B251="","",ROUND(SUMIFS(对接源_02物料!$K$4:$K$1203,对接源_02物料!$C$4:$C$1203,$B251,对接源_02物料!$D$4:$D$1203,"次果筐*"),2))</f>
      </c>
      <c r="H251" s="177">
        <f>IF($B251="","",ROUND(SUM($C251:$G251),2))</f>
      </c>
      <c r="I251" s="177">
        <f>IF($B251="","",ROUND(SUMIFS(对接源_01水果!$K$4:$K$1203,对接源_01水果!$C$4:$C$1203,$B251,对接源_01水果!$D$4:$D$1203,"成品出库*",对接源_01水果!$L$4:$L$1203,"已收讫")+SUMIFS(对接源_01水果!$K$4:$K$1203,对接源_01水果!$C$4:$C$1203,$B251,对接源_01水果!$D$4:$D$1203,"成品出库*",对接源_01水果!$L$4:$L$1203,"已付款")+SUMIFS(对接源_01水果!$K$4:$K$1203,对接源_01水果!$C$4:$C$1203,$B251,对接源_01水果!$D$4:$D$1203,"其他代存*",对接源_01水果!$L$4:$L$1203,"已收讫")+SUMIFS(对接源_01水果!$K$4:$K$1203,对接源_01水果!$C$4:$C$1203,$B251,对接源_01水果!$D$4:$D$1203,"其他代存*",对接源_01水果!$L$4:$L$1203,"已付款")+SUMIFS(对接源_02物料!$K$4:$K$1203,对接源_02物料!$C$4:$C$1203,$B251,对接源_02物料!$D$4:$D$1203,"包装物料*",对接源_02物料!$L$4:$L$1203,"已收讫")+SUMIFS(对接源_02物料!$K$4:$K$1203,对接源_02物料!$C$4:$C$1203,$B251,对接源_02物料!$D$4:$D$1203,"包装物料*",对接源_02物料!$L$4:$L$1203,"已付款")+SUMIFS(对接源_02物料!$K$4:$K$1203,对接源_02物料!$C$4:$C$1203,$B251,对接源_02物料!$D$4:$D$1203,"周转筐*",对接源_02物料!$L$4:$L$1203,"已收讫")+SUMIFS(对接源_02物料!$K$4:$K$1203,对接源_02物料!$C$4:$C$1203,$B251,对接源_02物料!$D$4:$D$1203,"周转筐*",对接源_02物料!$L$4:$L$1203,"已付款")+SUMIFS(对接源_02物料!$K$4:$K$1203,对接源_02物料!$C$4:$C$1203,$B251,对接源_02物料!$D$4:$D$1203,"次果筐*",对接源_02物料!$L$4:$L$1203,"已收讫")+SUMIFS(对接源_02物料!$K$4:$K$1203,对接源_02物料!$C$4:$C$1203,$B251,对接源_02物料!$D$4:$D$1203,"次果筐*",对接源_02物料!$L$4:$L$1203,"已付款"),2))</f>
      </c>
      <c r="J251" s="177">
        <f>IF($B251="","",ROUND(N($H251)-N($I251),2))</f>
      </c>
      <c r="K251" s="16">
        <f>IF($B251="","",IF(ROUND(N($J251),2)&gt;0,"对方欠款",IF(ROUND(N($J251),2)&lt;0,"我方欠款","已两清")))</f>
      </c>
      <c r="L251" s="26" t="n"/>
    </row>
    <row r="252" s="127">
      <c r="A252" s="16">
        <f>IF($B252="","",ROW()-3)</f>
      </c>
      <c r="B252" s="11">
        <f>IFERROR(INDEX(_自动清单!$E$4:$E$303,ROW()-3),"")</f>
      </c>
      <c r="C252" s="177">
        <f>IF($B252="","",ROUND(SUMIFS(对接源_01水果!$K$4:$K$1203,对接源_01水果!$C$4:$C$1203,$B252,对接源_01水果!$D$4:$D$1203,"成品出库*"),2))</f>
      </c>
      <c r="D252" s="177">
        <f>IF($B252="","",ROUND(SUMIFS(对接源_01水果!$K$4:$K$1203,对接源_01水果!$C$4:$C$1203,$B252,对接源_01水果!$D$4:$D$1203,"其他代存*"),2))</f>
      </c>
      <c r="E252" s="177">
        <f>IF($B252="","",ROUND(SUMIFS(对接源_02物料!$K$4:$K$1203,对接源_02物料!$C$4:$C$1203,$B252,对接源_02物料!$D$4:$D$1203,"包装物料*"),2))</f>
      </c>
      <c r="F252" s="177">
        <f>IF($B252="","",ROUND(SUMIFS(对接源_02物料!$K$4:$K$1203,对接源_02物料!$C$4:$C$1203,$B252,对接源_02物料!$D$4:$D$1203,"周转筐*"),2))</f>
      </c>
      <c r="G252" s="177">
        <f>IF($B252="","",ROUND(SUMIFS(对接源_02物料!$K$4:$K$1203,对接源_02物料!$C$4:$C$1203,$B252,对接源_02物料!$D$4:$D$1203,"次果筐*"),2))</f>
      </c>
      <c r="H252" s="177">
        <f>IF($B252="","",ROUND(SUM($C252:$G252),2))</f>
      </c>
      <c r="I252" s="177">
        <f>IF($B252="","",ROUND(SUMIFS(对接源_01水果!$K$4:$K$1203,对接源_01水果!$C$4:$C$1203,$B252,对接源_01水果!$D$4:$D$1203,"成品出库*",对接源_01水果!$L$4:$L$1203,"已收讫")+SUMIFS(对接源_01水果!$K$4:$K$1203,对接源_01水果!$C$4:$C$1203,$B252,对接源_01水果!$D$4:$D$1203,"成品出库*",对接源_01水果!$L$4:$L$1203,"已付款")+SUMIFS(对接源_01水果!$K$4:$K$1203,对接源_01水果!$C$4:$C$1203,$B252,对接源_01水果!$D$4:$D$1203,"其他代存*",对接源_01水果!$L$4:$L$1203,"已收讫")+SUMIFS(对接源_01水果!$K$4:$K$1203,对接源_01水果!$C$4:$C$1203,$B252,对接源_01水果!$D$4:$D$1203,"其他代存*",对接源_01水果!$L$4:$L$1203,"已付款")+SUMIFS(对接源_02物料!$K$4:$K$1203,对接源_02物料!$C$4:$C$1203,$B252,对接源_02物料!$D$4:$D$1203,"包装物料*",对接源_02物料!$L$4:$L$1203,"已收讫")+SUMIFS(对接源_02物料!$K$4:$K$1203,对接源_02物料!$C$4:$C$1203,$B252,对接源_02物料!$D$4:$D$1203,"包装物料*",对接源_02物料!$L$4:$L$1203,"已付款")+SUMIFS(对接源_02物料!$K$4:$K$1203,对接源_02物料!$C$4:$C$1203,$B252,对接源_02物料!$D$4:$D$1203,"周转筐*",对接源_02物料!$L$4:$L$1203,"已收讫")+SUMIFS(对接源_02物料!$K$4:$K$1203,对接源_02物料!$C$4:$C$1203,$B252,对接源_02物料!$D$4:$D$1203,"周转筐*",对接源_02物料!$L$4:$L$1203,"已付款")+SUMIFS(对接源_02物料!$K$4:$K$1203,对接源_02物料!$C$4:$C$1203,$B252,对接源_02物料!$D$4:$D$1203,"次果筐*",对接源_02物料!$L$4:$L$1203,"已收讫")+SUMIFS(对接源_02物料!$K$4:$K$1203,对接源_02物料!$C$4:$C$1203,$B252,对接源_02物料!$D$4:$D$1203,"次果筐*",对接源_02物料!$L$4:$L$1203,"已付款"),2))</f>
      </c>
      <c r="J252" s="177">
        <f>IF($B252="","",ROUND(N($H252)-N($I252),2))</f>
      </c>
      <c r="K252" s="16">
        <f>IF($B252="","",IF(ROUND(N($J252),2)&gt;0,"对方欠款",IF(ROUND(N($J252),2)&lt;0,"我方欠款","已两清")))</f>
      </c>
      <c r="L252" s="26" t="n"/>
    </row>
    <row r="253" s="127">
      <c r="A253" s="16">
        <f>IF($B253="","",ROW()-3)</f>
      </c>
      <c r="B253" s="11">
        <f>IFERROR(INDEX(_自动清单!$E$4:$E$303,ROW()-3),"")</f>
      </c>
      <c r="C253" s="177">
        <f>IF($B253="","",ROUND(SUMIFS(对接源_01水果!$K$4:$K$1203,对接源_01水果!$C$4:$C$1203,$B253,对接源_01水果!$D$4:$D$1203,"成品出库*"),2))</f>
      </c>
      <c r="D253" s="177">
        <f>IF($B253="","",ROUND(SUMIFS(对接源_01水果!$K$4:$K$1203,对接源_01水果!$C$4:$C$1203,$B253,对接源_01水果!$D$4:$D$1203,"其他代存*"),2))</f>
      </c>
      <c r="E253" s="177">
        <f>IF($B253="","",ROUND(SUMIFS(对接源_02物料!$K$4:$K$1203,对接源_02物料!$C$4:$C$1203,$B253,对接源_02物料!$D$4:$D$1203,"包装物料*"),2))</f>
      </c>
      <c r="F253" s="177">
        <f>IF($B253="","",ROUND(SUMIFS(对接源_02物料!$K$4:$K$1203,对接源_02物料!$C$4:$C$1203,$B253,对接源_02物料!$D$4:$D$1203,"周转筐*"),2))</f>
      </c>
      <c r="G253" s="177">
        <f>IF($B253="","",ROUND(SUMIFS(对接源_02物料!$K$4:$K$1203,对接源_02物料!$C$4:$C$1203,$B253,对接源_02物料!$D$4:$D$1203,"次果筐*"),2))</f>
      </c>
      <c r="H253" s="177">
        <f>IF($B253="","",ROUND(SUM($C253:$G253),2))</f>
      </c>
      <c r="I253" s="177">
        <f>IF($B253="","",ROUND(SUMIFS(对接源_01水果!$K$4:$K$1203,对接源_01水果!$C$4:$C$1203,$B253,对接源_01水果!$D$4:$D$1203,"成品出库*",对接源_01水果!$L$4:$L$1203,"已收讫")+SUMIFS(对接源_01水果!$K$4:$K$1203,对接源_01水果!$C$4:$C$1203,$B253,对接源_01水果!$D$4:$D$1203,"成品出库*",对接源_01水果!$L$4:$L$1203,"已付款")+SUMIFS(对接源_01水果!$K$4:$K$1203,对接源_01水果!$C$4:$C$1203,$B253,对接源_01水果!$D$4:$D$1203,"其他代存*",对接源_01水果!$L$4:$L$1203,"已收讫")+SUMIFS(对接源_01水果!$K$4:$K$1203,对接源_01水果!$C$4:$C$1203,$B253,对接源_01水果!$D$4:$D$1203,"其他代存*",对接源_01水果!$L$4:$L$1203,"已付款")+SUMIFS(对接源_02物料!$K$4:$K$1203,对接源_02物料!$C$4:$C$1203,$B253,对接源_02物料!$D$4:$D$1203,"包装物料*",对接源_02物料!$L$4:$L$1203,"已收讫")+SUMIFS(对接源_02物料!$K$4:$K$1203,对接源_02物料!$C$4:$C$1203,$B253,对接源_02物料!$D$4:$D$1203,"包装物料*",对接源_02物料!$L$4:$L$1203,"已付款")+SUMIFS(对接源_02物料!$K$4:$K$1203,对接源_02物料!$C$4:$C$1203,$B253,对接源_02物料!$D$4:$D$1203,"周转筐*",对接源_02物料!$L$4:$L$1203,"已收讫")+SUMIFS(对接源_02物料!$K$4:$K$1203,对接源_02物料!$C$4:$C$1203,$B253,对接源_02物料!$D$4:$D$1203,"周转筐*",对接源_02物料!$L$4:$L$1203,"已付款")+SUMIFS(对接源_02物料!$K$4:$K$1203,对接源_02物料!$C$4:$C$1203,$B253,对接源_02物料!$D$4:$D$1203,"次果筐*",对接源_02物料!$L$4:$L$1203,"已收讫")+SUMIFS(对接源_02物料!$K$4:$K$1203,对接源_02物料!$C$4:$C$1203,$B253,对接源_02物料!$D$4:$D$1203,"次果筐*",对接源_02物料!$L$4:$L$1203,"已付款"),2))</f>
      </c>
      <c r="J253" s="177">
        <f>IF($B253="","",ROUND(N($H253)-N($I253),2))</f>
      </c>
      <c r="K253" s="16">
        <f>IF($B253="","",IF(ROUND(N($J253),2)&gt;0,"对方欠款",IF(ROUND(N($J253),2)&lt;0,"我方欠款","已两清")))</f>
      </c>
      <c r="L253" s="26" t="n"/>
    </row>
    <row r="254" s="127">
      <c r="A254" s="27" t="n"/>
      <c r="B254" s="27" t="inlineStr">
        <is>
          <t>合计</t>
        </is>
      </c>
      <c r="C254" s="210">
        <f>ROUND(SUM(C4:C253),2)</f>
        <v>1170</v>
      </c>
      <c r="D254" s="210">
        <f>ROUND(SUM(D4:D253),2)</f>
        <v>0</v>
      </c>
      <c r="E254" s="210">
        <f>ROUND(SUM(E4:E253),2)</f>
        <v>161546</v>
      </c>
      <c r="F254" s="210">
        <f>ROUND(SUM(F4:F253),2)</f>
        <v>461148</v>
      </c>
      <c r="G254" s="210">
        <f>ROUND(SUM(G4:G253),2)</f>
        <v>500</v>
      </c>
      <c r="H254" s="210">
        <f>ROUND(SUM(H4:H253),2)</f>
        <v>624364</v>
      </c>
      <c r="I254" s="210">
        <f>ROUND(SUM(I4:I253),2)</f>
        <v>33393</v>
      </c>
      <c r="J254" s="210">
        <f>ROUND(SUM(J4:J253),2)</f>
        <v>590971</v>
      </c>
      <c r="K254" s="27" t="n"/>
      <c r="L254" s="27" t="n"/>
    </row>
  </sheetData>
  <mergeCells count="2">
    <mergeCell ref="A2:L2"/>
    <mergeCell ref="A1:L1"/>
  </mergeCells>
  <conditionalFormatting sqref="A2">
    <cfRule type="expression" priority="2" dxfId="0">
      <formula>(N(_自动清单!$A$1)&gt;250)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2E75B6"/>
    <outlinePr summaryBelow="1" summaryRight="1"/>
    <pageSetUpPr/>
  </sheetPr>
  <dimension ref="A1:AJ1203"/>
  <sheetViews>
    <sheetView showGridLines="0" workbookViewId="0">
      <pane xSplit="1" ySplit="3" topLeftCell="B277" activePane="bottomRight" state="frozen"/>
      <selection activeCell="A1" sqref="A1"/>
      <selection pane="topRight" activeCell="A1" sqref="A1"/>
      <selection pane="bottomLeft" activeCell="A1" sqref="A1"/>
      <selection pane="bottomRight" activeCell="C143" sqref="C143"/>
    </sheetView>
  </sheetViews>
  <sheetFormatPr baseColWidth="8" defaultColWidth="12" defaultRowHeight="13.5"/>
  <cols>
    <col width="6" customWidth="1" style="8" min="1" max="1"/>
    <col width="12" customWidth="1" style="8" min="2" max="2"/>
    <col width="10.1416666666667" customWidth="1" style="8" min="3" max="3"/>
    <col width="10.5" customWidth="1" style="8" min="4" max="4"/>
    <col width="14" customWidth="1" style="8" min="5" max="5"/>
    <col width="8.141666666666669" customWidth="1" style="8" min="6" max="6"/>
    <col width="12" customWidth="1" style="8" min="7" max="7"/>
    <col width="7.64166666666667" customWidth="1" style="8" min="8" max="8"/>
    <col width="7" customWidth="1" style="8" min="9" max="9"/>
    <col width="12" customWidth="1" style="8" min="10" max="10"/>
    <col width="13" customWidth="1" style="8" min="11" max="11"/>
    <col width="11" customWidth="1" style="8" min="12" max="12"/>
    <col width="16" customWidth="1" style="8" min="13" max="13"/>
    <col width="6" customWidth="1" style="8" min="14" max="15"/>
    <col width="2" customWidth="1" style="8" min="16" max="16"/>
    <col width="13" customWidth="1" style="8" min="17" max="17"/>
    <col width="60" customWidth="1" style="8" min="18" max="18"/>
    <col width="13" customWidth="1" style="8" min="19" max="19"/>
    <col width="10" customWidth="1" style="8" min="20" max="22"/>
    <col width="12" customWidth="1" style="8" min="23" max="23"/>
    <col width="10" customWidth="1" style="8" min="24" max="24"/>
    <col width="13" customWidth="1" style="8" min="25" max="25"/>
    <col width="11" customWidth="1" style="8" min="26" max="26"/>
    <col width="15" customWidth="1" style="8" min="27" max="27"/>
    <col width="11" customWidth="1" style="8" min="28" max="28"/>
    <col width="12" customWidth="1" style="8" min="29" max="16384"/>
  </cols>
  <sheetData>
    <row r="1" ht="30" customHeight="1" s="127">
      <c r="A1" s="9" t="inlineStr">
        <is>
          <t>对 接 源 · 01 水果进销存台账（跨文件自动取数 · 全部公式，勿手工填）</t>
        </is>
      </c>
      <c r="Q1" s="10" t="inlineStr">
        <is>
          <t>有效笔数</t>
        </is>
      </c>
      <c r="R1" s="11">
        <f>MAX($O$4:$O$1203)</f>
        <v>637</v>
      </c>
    </row>
    <row r="2" ht="18" customHeight="1" s="127">
      <c r="A2" s="12" t="str">
        <f>IF($R$4=1,"✔ 链接正常，已取到 "&amp;$R$1&amp;" 笔业务　｜　本表 1:1 对应《01 水果进销存台账》的【对账明细接口】，三个文件必须放在同一个文件夹，文件名也不要改","★★ 链接没接上！→ 请看本表右边 Q6 格的修复说明（往右拉一屏）")</f>
        <v>✔ 链接正常，已取到 637 笔业务　｜　本表 1:1 对应《01 水果进销存台账》的【对账明细接口】，三个文件必须放在同一个文件夹，文件名也不要改</v>
      </c>
      <c r="Q2" s="10" t="inlineStr">
        <is>
          <t>链接探针</t>
        </is>
      </c>
      <c r="R2" s="11" t="str">
        <f>IFERROR(IF([1]对账明细接口!$C$4=0,"未更新",[1]对账明细接口!$C$4),"断开")</f>
        <v>聂新平</v>
      </c>
    </row>
    <row r="3" ht="30" customHeight="1" s="127">
      <c r="A3" s="13" t="inlineStr">
        <is>
          <t>源行</t>
        </is>
      </c>
      <c r="B3" s="13" t="inlineStr">
        <is>
          <t>日期</t>
        </is>
      </c>
      <c r="C3" s="13" t="inlineStr">
        <is>
          <t>往来单位</t>
        </is>
      </c>
      <c r="D3" s="13" t="inlineStr">
        <is>
          <t>业务类别</t>
        </is>
      </c>
      <c r="E3" s="13" t="inlineStr">
        <is>
          <t>票据单号</t>
        </is>
      </c>
      <c r="F3" s="13" t="inlineStr">
        <is>
          <t>品名</t>
        </is>
      </c>
      <c r="G3" s="13" t="inlineStr">
        <is>
          <t>规格/等级</t>
        </is>
      </c>
      <c r="H3" s="13" t="inlineStr">
        <is>
          <t>数量</t>
        </is>
      </c>
      <c r="I3" s="13" t="inlineStr">
        <is>
          <t>单位</t>
        </is>
      </c>
      <c r="J3" s="13" t="inlineStr">
        <is>
          <t>重量KG</t>
        </is>
      </c>
      <c r="K3" s="13" t="inlineStr">
        <is>
          <t>金额(应收合计)</t>
        </is>
      </c>
      <c r="L3" s="13" t="inlineStr">
        <is>
          <t>收付状态</t>
        </is>
      </c>
      <c r="M3" s="13" t="inlineStr">
        <is>
          <t>备注</t>
        </is>
      </c>
      <c r="N3" s="13" t="inlineStr">
        <is>
          <t>有效</t>
        </is>
      </c>
      <c r="O3" s="13" t="inlineStr">
        <is>
          <t>累计</t>
        </is>
      </c>
      <c r="Q3" s="10" t="inlineStr">
        <is>
          <t>已取行数</t>
        </is>
      </c>
      <c r="R3" s="11">
        <f>COUNTA($C$4:$C$1203)</f>
        <v>1200</v>
      </c>
      <c r="S3" s="13" t="inlineStr">
        <is>
          <t>筐子类型</t>
        </is>
      </c>
      <c r="T3" s="13" t="inlineStr">
        <is>
          <t>发出筐数</t>
        </is>
      </c>
      <c r="U3" s="13" t="inlineStr">
        <is>
          <t>退回筐数</t>
        </is>
      </c>
      <c r="V3" s="13" t="inlineStr">
        <is>
          <t>入库筐数</t>
        </is>
      </c>
      <c r="W3" s="13" t="inlineStr">
        <is>
          <t>车牌号</t>
        </is>
      </c>
      <c r="X3" s="13" t="inlineStr">
        <is>
          <t>筐子归属</t>
        </is>
      </c>
      <c r="Y3" s="13" t="inlineStr">
        <is>
          <t>采购货主</t>
        </is>
      </c>
      <c r="Z3" s="13" t="inlineStr">
        <is>
          <t>采购单价</t>
        </is>
      </c>
      <c r="AA3" s="13" t="inlineStr">
        <is>
          <t>采购金额（应付）</t>
        </is>
      </c>
      <c r="AB3" s="13" t="inlineStr">
        <is>
          <t>付款状态</t>
        </is>
      </c>
      <c r="AC3" s="23" t="inlineStr">
        <is>
          <t>购买方</t>
        </is>
      </c>
      <c r="AD3" s="23" t="inlineStr">
        <is>
          <t>销售单价</t>
        </is>
      </c>
      <c r="AE3" s="23" t="inlineStr">
        <is>
          <t>自结运费</t>
        </is>
      </c>
      <c r="AF3" s="23" t="inlineStr">
        <is>
          <t>代发运费</t>
        </is>
      </c>
      <c r="AG3" s="23" t="inlineStr">
        <is>
          <t>采购代发运费</t>
        </is>
      </c>
      <c r="AH3" s="23" t="inlineStr">
        <is>
          <t>销售类型</t>
        </is>
      </c>
      <c r="AI3" s="23" t="inlineStr">
        <is>
          <t>销售货款</t>
        </is>
      </c>
      <c r="AJ3" s="23" t="inlineStr">
        <is>
          <t>应付合计</t>
        </is>
      </c>
    </row>
    <row r="4" ht="14.25" customHeight="1" s="127">
      <c r="A4" s="14" t="n">
        <v>4</v>
      </c>
      <c r="B4" s="211">
        <f>IFERROR(IF([1]对账明细接口!$B$4=0,"",[1]对账明细接口!$B$4),"")</f>
        <v>46245.0</v>
      </c>
      <c r="C4" s="16" t="str">
        <f>IFERROR(IF([1]对账明细接口!$C$4=0,"",[1]对账明细接口!$C$4),"")</f>
        <v>聂新平</v>
      </c>
      <c r="D4" s="16" t="str">
        <f>IFERROR(IF([1]对账明细接口!$D$4=0,"",[1]对账明细接口!$D$4),"")</f>
        <v>原料入库</v>
      </c>
      <c r="E4" s="16" t="str">
        <f>IFERROR(IF([1]对账明细接口!$E$4=0,"",[1]对账明细接口!$E$4),"")</f>
        <v>NO0000756</v>
      </c>
      <c r="F4" s="16" t="str">
        <f>IFERROR(IF([1]对账明细接口!$F$4=0,"",[1]对账明细接口!$F$4),"")</f>
        <v>苹果</v>
      </c>
      <c r="G4" s="16" t="str">
        <f>IFERROR(IF([1]对账明细接口!$G$4=0,"",[1]对账明细接口!$G$4),"")</f>
        <v>嘎啦85#</v>
      </c>
      <c r="H4" s="176">
        <f>IFERROR(IF([1]对账明细接口!$H$4=0,"",[1]对账明细接口!$H$4),"")</f>
        <v>35</v>
      </c>
      <c r="I4" s="16" t="str">
        <f>IFERROR(IF([1]对账明细接口!$I$4=0,"",[1]对账明细接口!$I$4),"")</f>
        <v>筐</v>
      </c>
      <c r="J4" s="177">
        <f>IFERROR(IF([1]对账明细接口!$J$4=0,"",[1]对账明细接口!$J$4),"")</f>
        <v>763</v>
      </c>
      <c r="K4" s="177">
        <f>IFERROR(IF([1]对账明细接口!$K$4=0,"",[1]对账明细接口!$K$4),"")</f>
      </c>
      <c r="L4" s="16">
        <f>IFERROR(IF([1]对账明细接口!$L$4=0,"",[1]对账明细接口!$L$4),"")</f>
      </c>
      <c r="M4" s="16">
        <f>IFERROR(IF([1]对账明细接口!$M$4=0,"",[1]对账明细接口!$M$4),"")</f>
      </c>
      <c r="N4" s="19">
        <f>IF($C4="",0,1)</f>
        <v>1</v>
      </c>
      <c r="O4" s="19">
        <f>N(O3)+$N4</f>
        <v>1</v>
      </c>
      <c r="Q4" s="10" t="inlineStr">
        <is>
          <t>链接可用</t>
        </is>
      </c>
      <c r="R4" s="11">
        <f>IF(OR($R$2="断开",$R$2="未更新"),0,1)</f>
        <v>1</v>
      </c>
      <c r="S4" s="20" t="str">
        <f>IFERROR(IF([1]对账明细接口!$N4=0,"",[1]对账明细接口!$N4),"")</f>
        <v>自备一次性筐</v>
      </c>
      <c r="T4" s="212">
        <f>IFERROR(IF([1]对账明细接口!$O4=0,"",[1]对账明细接口!$O4),"")</f>
      </c>
      <c r="U4" s="212">
        <f>IFERROR(IF([1]对账明细接口!$P4=0,"",[1]对账明细接口!$P4),"")</f>
      </c>
      <c r="V4" s="212">
        <f>IFERROR(IF([1]对账明细接口!$Q4=0,"",[1]对账明细接口!$Q4),"")</f>
        <v>35</v>
      </c>
      <c r="W4" s="20" t="str">
        <f>IFERROR(IF([1]对账明细接口!$R4=0,"",[1]对账明细接口!$R4),"")</f>
        <v>苏M*7G796</v>
      </c>
      <c r="X4" s="20" t="str">
        <f>IFERROR(IF([1]对账明细接口!$S4=0,"",[1]对账明细接口!$S4),"")</f>
        <v>自备筐</v>
      </c>
      <c r="Y4" s="20">
        <f>IFERROR(IF([1]对账明细接口!$T4=0,"",[1]对账明细接口!$T4),"")</f>
      </c>
      <c r="Z4" s="213">
        <f>IFERROR(IF([1]对账明细接口!$U4=0,"",[1]对账明细接口!$U4),"")</f>
      </c>
      <c r="AA4" s="213">
        <f>IFERROR(IF([1]对账明细接口!$V4=0,"",[1]对账明细接口!$V4),"")</f>
      </c>
      <c r="AB4" s="20">
        <f>IFERROR(IF([1]对账明细接口!$W4=0,"",[1]对账明细接口!$W4),"")</f>
      </c>
      <c r="AC4" s="7">
        <f>IFERROR(IF([1]对账明细接口!$X4=0,"",[1]对账明细接口!$X4),"")</f>
      </c>
      <c r="AD4" s="7">
        <f>IFERROR(IF([1]对账明细接口!$Y4=0,"",[1]对账明细接口!$Y4),"")</f>
      </c>
      <c r="AE4" s="7">
        <f>IFERROR(IF([1]对账明细接口!$AA4=0,"",[1]对账明细接口!$AA4),"")</f>
      </c>
      <c r="AF4" s="7">
        <f>IFERROR(IF([1]对账明细接口!$AB4=0,"",[1]对账明细接口!$AB4),"")</f>
      </c>
      <c r="AG4" s="7">
        <f>IFERROR(IF([1]对账明细接口!$AC4=0,"",[1]对账明细接口!$AC4),"")</f>
      </c>
      <c r="AH4" s="7">
        <f>IFERROR(IF([1]对账明细接口!$AD4=0,"",[1]对账明细接口!$AD4),"")</f>
      </c>
      <c r="AI4" s="7">
        <f>IFERROR(IF([1]对账明细接口!$AE4=0,"",[1]对账明细接口!$AE4),"")</f>
      </c>
      <c r="AJ4" s="7">
        <f>IFERROR(IF([1]对账明细接口!$AF4=0,"",[1]对账明细接口!$AF4),"")</f>
      </c>
    </row>
    <row r="5" ht="14.25" customHeight="1" s="127">
      <c r="A5" s="14" t="n">
        <v>5</v>
      </c>
      <c r="B5" s="211">
        <f>IFERROR(IF([1]对账明细接口!$B$5=0,"",[1]对账明细接口!$B$5),"")</f>
        <v>46245.0</v>
      </c>
      <c r="C5" s="16" t="str">
        <f>IFERROR(IF([1]对账明细接口!$C$5=0,"",[1]对账明细接口!$C$5),"")</f>
        <v>聂新平</v>
      </c>
      <c r="D5" s="16" t="str">
        <f>IFERROR(IF([1]对账明细接口!$D$5=0,"",[1]对账明细接口!$D$5),"")</f>
        <v>原料入库</v>
      </c>
      <c r="E5" s="16" t="str">
        <f>IFERROR(IF([1]对账明细接口!$E$5=0,"",[1]对账明细接口!$E$5),"")</f>
        <v>NO0000756</v>
      </c>
      <c r="F5" s="16" t="str">
        <f>IFERROR(IF([1]对账明细接口!$F$5=0,"",[1]对账明细接口!$F$5),"")</f>
        <v>苹果</v>
      </c>
      <c r="G5" s="16" t="str">
        <f>IFERROR(IF([1]对账明细接口!$G$5=0,"",[1]对账明细接口!$G$5),"")</f>
        <v>嘎啦100#</v>
      </c>
      <c r="H5" s="176">
        <f>IFERROR(IF([1]对账明细接口!$H$5=0,"",[1]对账明细接口!$H$5),"")</f>
        <v>20</v>
      </c>
      <c r="I5" s="16" t="str">
        <f>IFERROR(IF([1]对账明细接口!$I$5=0,"",[1]对账明细接口!$I$5),"")</f>
        <v>筐</v>
      </c>
      <c r="J5" s="177">
        <f>IFERROR(IF([1]对账明细接口!$J$5=0,"",[1]对账明细接口!$J$5),"")</f>
        <v>436</v>
      </c>
      <c r="K5" s="177">
        <f>IFERROR(IF([1]对账明细接口!$K$5=0,"",[1]对账明细接口!$K$5),"")</f>
      </c>
      <c r="L5" s="16">
        <f>IFERROR(IF([1]对账明细接口!$L$5=0,"",[1]对账明细接口!$L$5),"")</f>
      </c>
      <c r="M5" s="16">
        <f>IFERROR(IF([1]对账明细接口!$M$5=0,"",[1]对账明细接口!$M$5),"")</f>
      </c>
      <c r="N5" s="19">
        <f>IF($C5="",0,1)</f>
        <v>1</v>
      </c>
      <c r="O5" s="19">
        <f>N(O4)+$N5</f>
        <v>2</v>
      </c>
      <c r="S5" s="20" t="str">
        <f>IFERROR(IF([1]对账明细接口!$N5=0,"",[1]对账明细接口!$N5),"")</f>
        <v>自备一次性筐</v>
      </c>
      <c r="T5" s="212">
        <f>IFERROR(IF([1]对账明细接口!$O5=0,"",[1]对账明细接口!$O5),"")</f>
      </c>
      <c r="U5" s="212">
        <f>IFERROR(IF([1]对账明细接口!$P5=0,"",[1]对账明细接口!$P5),"")</f>
      </c>
      <c r="V5" s="212">
        <f>IFERROR(IF([1]对账明细接口!$Q5=0,"",[1]对账明细接口!$Q5),"")</f>
        <v>20</v>
      </c>
      <c r="W5" s="20" t="str">
        <f>IFERROR(IF([1]对账明细接口!$R5=0,"",[1]对账明细接口!$R5),"")</f>
        <v>苏M*7G796</v>
      </c>
      <c r="X5" s="20" t="str">
        <f>IFERROR(IF([1]对账明细接口!$S5=0,"",[1]对账明细接口!$S5),"")</f>
        <v>自备筐</v>
      </c>
      <c r="Y5" s="20">
        <f>IFERROR(IF([1]对账明细接口!$T5=0,"",[1]对账明细接口!$T5),"")</f>
      </c>
      <c r="Z5" s="213">
        <f>IFERROR(IF([1]对账明细接口!$U5=0,"",[1]对账明细接口!$U5),"")</f>
      </c>
      <c r="AA5" s="213">
        <f>IFERROR(IF([1]对账明细接口!$V5=0,"",[1]对账明细接口!$V5),"")</f>
      </c>
      <c r="AB5" s="20">
        <f>IFERROR(IF([1]对账明细接口!$W5=0,"",[1]对账明细接口!$W5),"")</f>
      </c>
      <c r="AC5" s="7">
        <f>IFERROR(IF([1]对账明细接口!$X5=0,"",[1]对账明细接口!$X5),"")</f>
      </c>
      <c r="AD5" s="7">
        <f>IFERROR(IF([1]对账明细接口!$Y5=0,"",[1]对账明细接口!$Y5),"")</f>
      </c>
      <c r="AE5" s="7">
        <f>IFERROR(IF([1]对账明细接口!$AA5=0,"",[1]对账明细接口!$AA5),"")</f>
      </c>
      <c r="AF5" s="7">
        <f>IFERROR(IF([1]对账明细接口!$AB5=0,"",[1]对账明细接口!$AB5),"")</f>
      </c>
      <c r="AG5" s="7">
        <f>IFERROR(IF([1]对账明细接口!$AC5=0,"",[1]对账明细接口!$AC5),"")</f>
      </c>
      <c r="AH5" s="7">
        <f>IFERROR(IF([1]对账明细接口!$AD5=0,"",[1]对账明细接口!$AD5),"")</f>
      </c>
      <c r="AI5" s="7">
        <f>IFERROR(IF([1]对账明细接口!$AE5=0,"",[1]对账明细接口!$AE5),"")</f>
      </c>
      <c r="AJ5" s="7">
        <f>IFERROR(IF([1]对账明细接口!$AF5=0,"",[1]对账明细接口!$AF5),"")</f>
      </c>
    </row>
    <row r="6" ht="14.25" customHeight="1" s="127">
      <c r="A6" s="14" t="n">
        <v>6</v>
      </c>
      <c r="B6" s="211">
        <f>IFERROR(IF([1]对账明细接口!$B$6=0,"",[1]对账明细接口!$B$6),"")</f>
        <v>46246.0</v>
      </c>
      <c r="C6" s="16" t="str">
        <f>IFERROR(IF([1]对账明细接口!$C$6=0,"",[1]对账明细接口!$C$6),"")</f>
        <v>聂新平</v>
      </c>
      <c r="D6" s="16" t="str">
        <f>IFERROR(IF([1]对账明细接口!$D$6=0,"",[1]对账明细接口!$D$6),"")</f>
        <v>原料入库</v>
      </c>
      <c r="E6" s="16" t="str">
        <f>IFERROR(IF([1]对账明细接口!$E$6=0,"",[1]对账明细接口!$E$6),"")</f>
        <v>NO0000758</v>
      </c>
      <c r="F6" s="16" t="str">
        <f>IFERROR(IF([1]对账明细接口!$F$6=0,"",[1]对账明细接口!$F$6),"")</f>
        <v>苹果</v>
      </c>
      <c r="G6" s="16" t="str">
        <f>IFERROR(IF([1]对账明细接口!$G$6=0,"",[1]对账明细接口!$G$6),"")</f>
        <v>嘎啦85#</v>
      </c>
      <c r="H6" s="176">
        <f>IFERROR(IF([1]对账明细接口!$H$6=0,"",[1]对账明细接口!$H$6),"")</f>
        <v>53</v>
      </c>
      <c r="I6" s="16" t="str">
        <f>IFERROR(IF([1]对账明细接口!$I$6=0,"",[1]对账明细接口!$I$6),"")</f>
        <v>筐</v>
      </c>
      <c r="J6" s="177">
        <f>IFERROR(IF([1]对账明细接口!$J$6=0,"",[1]对账明细接口!$J$6),"")</f>
        <v>1155.4</v>
      </c>
      <c r="K6" s="177">
        <f>IFERROR(IF([1]对账明细接口!$K$6=0,"",[1]对账明细接口!$K$6),"")</f>
      </c>
      <c r="L6" s="16">
        <f>IFERROR(IF([1]对账明细接口!$L$6=0,"",[1]对账明细接口!$L$6),"")</f>
      </c>
      <c r="M6" s="16">
        <f>IFERROR(IF([1]对账明细接口!$M$6=0,"",[1]对账明细接口!$M$6),"")</f>
      </c>
      <c r="N6" s="19">
        <f>IF($C6="",0,1)</f>
        <v>1</v>
      </c>
      <c r="O6" s="19">
        <f>N(O5)+$N6</f>
        <v>3</v>
      </c>
      <c r="Q6" s="22" t="str">
        <f>IF($R$4=1,"✔ 链接正常，已自动取到 "&amp;$R$1&amp;" 笔业务。","★★ 取不到《01_水果进销存台账模板.xlsx》的数据。可能是：① 打开本文件时没点【更新】；② 那个文件被改名或挪走了。修复：菜单【数据】→【编辑链接】→先点【立即更新值】；还取不到数就点【更改源】重新指向《01_水果进销存台账模板.xlsx》。注意：本册只是查询工具，取不到数就是空的，不会算错账，放心。")</f>
        <v>✔ 链接正常，已自动取到 637 笔业务。</v>
      </c>
      <c r="S6" s="20" t="str">
        <f>IFERROR(IF([1]对账明细接口!$N6=0,"",[1]对账明细接口!$N6),"")</f>
        <v>自备一次性筐</v>
      </c>
      <c r="T6" s="212">
        <f>IFERROR(IF([1]对账明细接口!$O6=0,"",[1]对账明细接口!$O6),"")</f>
      </c>
      <c r="U6" s="212">
        <f>IFERROR(IF([1]对账明细接口!$P6=0,"",[1]对账明细接口!$P6),"")</f>
      </c>
      <c r="V6" s="212">
        <f>IFERROR(IF([1]对账明细接口!$Q6=0,"",[1]对账明细接口!$Q6),"")</f>
        <v>53</v>
      </c>
      <c r="W6" s="20" t="str">
        <f>IFERROR(IF([1]对账明细接口!$R6=0,"",[1]对账明细接口!$R6),"")</f>
        <v>苏M*7G796</v>
      </c>
      <c r="X6" s="20" t="str">
        <f>IFERROR(IF([1]对账明细接口!$S6=0,"",[1]对账明细接口!$S6),"")</f>
        <v>自备筐</v>
      </c>
      <c r="Y6" s="20">
        <f>IFERROR(IF([1]对账明细接口!$T6=0,"",[1]对账明细接口!$T6),"")</f>
      </c>
      <c r="Z6" s="213">
        <f>IFERROR(IF([1]对账明细接口!$U6=0,"",[1]对账明细接口!$U6),"")</f>
      </c>
      <c r="AA6" s="213">
        <f>IFERROR(IF([1]对账明细接口!$V6=0,"",[1]对账明细接口!$V6),"")</f>
      </c>
      <c r="AB6" s="20">
        <f>IFERROR(IF([1]对账明细接口!$W6=0,"",[1]对账明细接口!$W6),"")</f>
      </c>
      <c r="AC6" s="7">
        <f>IFERROR(IF([1]对账明细接口!$X6=0,"",[1]对账明细接口!$X6),"")</f>
      </c>
      <c r="AD6" s="7">
        <f>IFERROR(IF([1]对账明细接口!$Y6=0,"",[1]对账明细接口!$Y6),"")</f>
      </c>
      <c r="AE6" s="7">
        <f>IFERROR(IF([1]对账明细接口!$AA6=0,"",[1]对账明细接口!$AA6),"")</f>
      </c>
      <c r="AF6" s="7">
        <f>IFERROR(IF([1]对账明细接口!$AB6=0,"",[1]对账明细接口!$AB6),"")</f>
      </c>
      <c r="AG6" s="7">
        <f>IFERROR(IF([1]对账明细接口!$AC6=0,"",[1]对账明细接口!$AC6),"")</f>
      </c>
      <c r="AH6" s="7">
        <f>IFERROR(IF([1]对账明细接口!$AD6=0,"",[1]对账明细接口!$AD6),"")</f>
      </c>
      <c r="AI6" s="7">
        <f>IFERROR(IF([1]对账明细接口!$AE6=0,"",[1]对账明细接口!$AE6),"")</f>
      </c>
      <c r="AJ6" s="7">
        <f>IFERROR(IF([1]对账明细接口!$AF6=0,"",[1]对账明细接口!$AF6),"")</f>
      </c>
    </row>
    <row r="7" ht="14.25" customHeight="1" s="127">
      <c r="A7" s="14" t="n">
        <v>7</v>
      </c>
      <c r="B7" s="211">
        <f>IFERROR(IF([1]对账明细接口!$B$7=0,"",[1]对账明细接口!$B$7),"")</f>
        <v>46246.0</v>
      </c>
      <c r="C7" s="16" t="str">
        <f>IFERROR(IF([1]对账明细接口!$C$7=0,"",[1]对账明细接口!$C$7),"")</f>
        <v>聂新平</v>
      </c>
      <c r="D7" s="16" t="str">
        <f>IFERROR(IF([1]对账明细接口!$D$7=0,"",[1]对账明细接口!$D$7),"")</f>
        <v>原料入库</v>
      </c>
      <c r="E7" s="16" t="str">
        <f>IFERROR(IF([1]对账明细接口!$E$7=0,"",[1]对账明细接口!$E$7),"")</f>
        <v>NO0000758</v>
      </c>
      <c r="F7" s="16" t="str">
        <f>IFERROR(IF([1]对账明细接口!$F$7=0,"",[1]对账明细接口!$F$7),"")</f>
        <v>苹果</v>
      </c>
      <c r="G7" s="16" t="str">
        <f>IFERROR(IF([1]对账明细接口!$G$7=0,"",[1]对账明细接口!$G$7),"")</f>
        <v>嘎啦100#</v>
      </c>
      <c r="H7" s="176">
        <f>IFERROR(IF([1]对账明细接口!$H$7=0,"",[1]对账明细接口!$H$7),"")</f>
        <v>7</v>
      </c>
      <c r="I7" s="16" t="str">
        <f>IFERROR(IF([1]对账明细接口!$I$7=0,"",[1]对账明细接口!$I$7),"")</f>
        <v>筐</v>
      </c>
      <c r="J7" s="177">
        <f>IFERROR(IF([1]对账明细接口!$J$7=0,"",[1]对账明细接口!$J$7),"")</f>
        <v>152.6</v>
      </c>
      <c r="K7" s="177">
        <f>IFERROR(IF([1]对账明细接口!$K$7=0,"",[1]对账明细接口!$K$7),"")</f>
      </c>
      <c r="L7" s="16">
        <f>IFERROR(IF([1]对账明细接口!$L$7=0,"",[1]对账明细接口!$L$7),"")</f>
      </c>
      <c r="M7" s="16">
        <f>IFERROR(IF([1]对账明细接口!$M$7=0,"",[1]对账明细接口!$M$7),"")</f>
      </c>
      <c r="N7" s="19">
        <f>IF($C7="",0,1)</f>
        <v>1</v>
      </c>
      <c r="O7" s="19">
        <f>N(O6)+$N7</f>
        <v>4</v>
      </c>
      <c r="S7" s="20" t="str">
        <f>IFERROR(IF([1]对账明细接口!$N7=0,"",[1]对账明细接口!$N7),"")</f>
        <v>自备一次性筐</v>
      </c>
      <c r="T7" s="212">
        <f>IFERROR(IF([1]对账明细接口!$O7=0,"",[1]对账明细接口!$O7),"")</f>
      </c>
      <c r="U7" s="212">
        <f>IFERROR(IF([1]对账明细接口!$P7=0,"",[1]对账明细接口!$P7),"")</f>
      </c>
      <c r="V7" s="212">
        <f>IFERROR(IF([1]对账明细接口!$Q7=0,"",[1]对账明细接口!$Q7),"")</f>
        <v>7</v>
      </c>
      <c r="W7" s="20" t="str">
        <f>IFERROR(IF([1]对账明细接口!$R7=0,"",[1]对账明细接口!$R7),"")</f>
        <v>苏M*7G796</v>
      </c>
      <c r="X7" s="20" t="str">
        <f>IFERROR(IF([1]对账明细接口!$S7=0,"",[1]对账明细接口!$S7),"")</f>
        <v>自备筐</v>
      </c>
      <c r="Y7" s="20">
        <f>IFERROR(IF([1]对账明细接口!$T7=0,"",[1]对账明细接口!$T7),"")</f>
      </c>
      <c r="Z7" s="213">
        <f>IFERROR(IF([1]对账明细接口!$U7=0,"",[1]对账明细接口!$U7),"")</f>
      </c>
      <c r="AA7" s="213">
        <f>IFERROR(IF([1]对账明细接口!$V7=0,"",[1]对账明细接口!$V7),"")</f>
      </c>
      <c r="AB7" s="20">
        <f>IFERROR(IF([1]对账明细接口!$W7=0,"",[1]对账明细接口!$W7),"")</f>
      </c>
      <c r="AC7" s="7">
        <f>IFERROR(IF([1]对账明细接口!$X7=0,"",[1]对账明细接口!$X7),"")</f>
      </c>
      <c r="AD7" s="7">
        <f>IFERROR(IF([1]对账明细接口!$Y7=0,"",[1]对账明细接口!$Y7),"")</f>
      </c>
      <c r="AE7" s="7">
        <f>IFERROR(IF([1]对账明细接口!$AA7=0,"",[1]对账明细接口!$AA7),"")</f>
      </c>
      <c r="AF7" s="7">
        <f>IFERROR(IF([1]对账明细接口!$AB7=0,"",[1]对账明细接口!$AB7),"")</f>
      </c>
      <c r="AG7" s="7">
        <f>IFERROR(IF([1]对账明细接口!$AC7=0,"",[1]对账明细接口!$AC7),"")</f>
      </c>
      <c r="AH7" s="7">
        <f>IFERROR(IF([1]对账明细接口!$AD7=0,"",[1]对账明细接口!$AD7),"")</f>
      </c>
      <c r="AI7" s="7">
        <f>IFERROR(IF([1]对账明细接口!$AE7=0,"",[1]对账明细接口!$AE7),"")</f>
      </c>
      <c r="AJ7" s="7">
        <f>IFERROR(IF([1]对账明细接口!$AF7=0,"",[1]对账明细接口!$AF7),"")</f>
      </c>
    </row>
    <row r="8" ht="14.25" customHeight="1" s="127">
      <c r="A8" s="14" t="n">
        <v>8</v>
      </c>
      <c r="B8" s="211">
        <f>IFERROR(IF([1]对账明细接口!$B$8=0,"",[1]对账明细接口!$B$8),"")</f>
        <v>46246.0</v>
      </c>
      <c r="C8" s="16" t="str">
        <f>IFERROR(IF([1]对账明细接口!$C$8=0,"",[1]对账明细接口!$C$8),"")</f>
        <v>聂新平</v>
      </c>
      <c r="D8" s="16" t="str">
        <f>IFERROR(IF([1]对账明细接口!$D$8=0,"",[1]对账明细接口!$D$8),"")</f>
        <v>原料入库</v>
      </c>
      <c r="E8" s="16" t="str">
        <f>IFERROR(IF([1]对账明细接口!$E$8=0,"",[1]对账明细接口!$E$8),"")</f>
        <v>NO0000759</v>
      </c>
      <c r="F8" s="16" t="str">
        <f>IFERROR(IF([1]对账明细接口!$F$8=0,"",[1]对账明细接口!$F$8),"")</f>
        <v>苹果</v>
      </c>
      <c r="G8" s="16" t="str">
        <f>IFERROR(IF([1]对账明细接口!$G$8=0,"",[1]对账明细接口!$G$8),"")</f>
        <v>嘎啦85#</v>
      </c>
      <c r="H8" s="176">
        <f>IFERROR(IF([1]对账明细接口!$H$8=0,"",[1]对账明细接口!$H$8),"")</f>
        <v>20</v>
      </c>
      <c r="I8" s="16" t="str">
        <f>IFERROR(IF([1]对账明细接口!$I$8=0,"",[1]对账明细接口!$I$8),"")</f>
        <v>筐</v>
      </c>
      <c r="J8" s="177">
        <f>IFERROR(IF([1]对账明细接口!$J$8=0,"",[1]对账明细接口!$J$8),"")</f>
        <v>436</v>
      </c>
      <c r="K8" s="177">
        <f>IFERROR(IF([1]对账明细接口!$K$8=0,"",[1]对账明细接口!$K$8),"")</f>
      </c>
      <c r="L8" s="16">
        <f>IFERROR(IF([1]对账明细接口!$L$8=0,"",[1]对账明细接口!$L$8),"")</f>
      </c>
      <c r="M8" s="16">
        <f>IFERROR(IF([1]对账明细接口!$M$8=0,"",[1]对账明细接口!$M$8),"")</f>
      </c>
      <c r="N8" s="19">
        <f>IF($C8="",0,1)</f>
        <v>1</v>
      </c>
      <c r="O8" s="19">
        <f>N(O7)+$N8</f>
        <v>5</v>
      </c>
      <c r="S8" s="20" t="str">
        <f>IFERROR(IF([1]对账明细接口!$N8=0,"",[1]对账明细接口!$N8),"")</f>
        <v>自备一次性筐</v>
      </c>
      <c r="T8" s="212">
        <f>IFERROR(IF([1]对账明细接口!$O8=0,"",[1]对账明细接口!$O8),"")</f>
      </c>
      <c r="U8" s="212">
        <f>IFERROR(IF([1]对账明细接口!$P8=0,"",[1]对账明细接口!$P8),"")</f>
      </c>
      <c r="V8" s="212">
        <f>IFERROR(IF([1]对账明细接口!$Q8=0,"",[1]对账明细接口!$Q8),"")</f>
        <v>20</v>
      </c>
      <c r="W8" s="20" t="str">
        <f>IFERROR(IF([1]对账明细接口!$R8=0,"",[1]对账明细接口!$R8),"")</f>
        <v>苏M*7G796</v>
      </c>
      <c r="X8" s="20" t="str">
        <f>IFERROR(IF([1]对账明细接口!$S8=0,"",[1]对账明细接口!$S8),"")</f>
        <v>自备筐</v>
      </c>
      <c r="Y8" s="20">
        <f>IFERROR(IF([1]对账明细接口!$T8=0,"",[1]对账明细接口!$T8),"")</f>
      </c>
      <c r="Z8" s="213">
        <f>IFERROR(IF([1]对账明细接口!$U8=0,"",[1]对账明细接口!$U8),"")</f>
      </c>
      <c r="AA8" s="213">
        <f>IFERROR(IF([1]对账明细接口!$V8=0,"",[1]对账明细接口!$V8),"")</f>
      </c>
      <c r="AB8" s="20">
        <f>IFERROR(IF([1]对账明细接口!$W8=0,"",[1]对账明细接口!$W8),"")</f>
      </c>
      <c r="AC8" s="7">
        <f>IFERROR(IF([1]对账明细接口!$X8=0,"",[1]对账明细接口!$X8),"")</f>
      </c>
      <c r="AD8" s="7">
        <f>IFERROR(IF([1]对账明细接口!$Y8=0,"",[1]对账明细接口!$Y8),"")</f>
      </c>
      <c r="AE8" s="7">
        <f>IFERROR(IF([1]对账明细接口!$AA8=0,"",[1]对账明细接口!$AA8),"")</f>
      </c>
      <c r="AF8" s="7">
        <f>IFERROR(IF([1]对账明细接口!$AB8=0,"",[1]对账明细接口!$AB8),"")</f>
      </c>
      <c r="AG8" s="7">
        <f>IFERROR(IF([1]对账明细接口!$AC8=0,"",[1]对账明细接口!$AC8),"")</f>
      </c>
      <c r="AH8" s="7">
        <f>IFERROR(IF([1]对账明细接口!$AD8=0,"",[1]对账明细接口!$AD8),"")</f>
      </c>
      <c r="AI8" s="7">
        <f>IFERROR(IF([1]对账明细接口!$AE8=0,"",[1]对账明细接口!$AE8),"")</f>
      </c>
      <c r="AJ8" s="7">
        <f>IFERROR(IF([1]对账明细接口!$AF8=0,"",[1]对账明细接口!$AF8),"")</f>
      </c>
    </row>
    <row r="9" ht="14.25" customHeight="1" s="127">
      <c r="A9" s="14" t="n">
        <v>9</v>
      </c>
      <c r="B9" s="211">
        <f>IFERROR(IF([1]对账明细接口!$B$9=0,"",[1]对账明细接口!$B$9),"")</f>
        <v>46246.0</v>
      </c>
      <c r="C9" s="16" t="str">
        <f>IFERROR(IF([1]对账明细接口!$C$9=0,"",[1]对账明细接口!$C$9),"")</f>
        <v>聂新平</v>
      </c>
      <c r="D9" s="16" t="str">
        <f>IFERROR(IF([1]对账明细接口!$D$9=0,"",[1]对账明细接口!$D$9),"")</f>
        <v>原料入库</v>
      </c>
      <c r="E9" s="16" t="str">
        <f>IFERROR(IF([1]对账明细接口!$E$9=0,"",[1]对账明细接口!$E$9),"")</f>
        <v>NO0000759</v>
      </c>
      <c r="F9" s="16" t="str">
        <f>IFERROR(IF([1]对账明细接口!$F$9=0,"",[1]对账明细接口!$F$9),"")</f>
        <v>苹果</v>
      </c>
      <c r="G9" s="16" t="str">
        <f>IFERROR(IF([1]对账明细接口!$G$9=0,"",[1]对账明细接口!$G$9),"")</f>
        <v>嘎啦100#</v>
      </c>
      <c r="H9" s="176">
        <f>IFERROR(IF([1]对账明细接口!$H$9=0,"",[1]对账明细接口!$H$9),"")</f>
        <v>28</v>
      </c>
      <c r="I9" s="16" t="str">
        <f>IFERROR(IF([1]对账明细接口!$I$9=0,"",[1]对账明细接口!$I$9),"")</f>
        <v>筐</v>
      </c>
      <c r="J9" s="177">
        <f>IFERROR(IF([1]对账明细接口!$J$9=0,"",[1]对账明细接口!$J$9),"")</f>
        <v>610.4</v>
      </c>
      <c r="K9" s="177">
        <f>IFERROR(IF([1]对账明细接口!$K$9=0,"",[1]对账明细接口!$K$9),"")</f>
      </c>
      <c r="L9" s="16">
        <f>IFERROR(IF([1]对账明细接口!$L$9=0,"",[1]对账明细接口!$L$9),"")</f>
      </c>
      <c r="M9" s="16">
        <f>IFERROR(IF([1]对账明细接口!$M$9=0,"",[1]对账明细接口!$M$9),"")</f>
      </c>
      <c r="N9" s="19">
        <f>IF($C9="",0,1)</f>
        <v>1</v>
      </c>
      <c r="O9" s="19">
        <f>N(O8)+$N9</f>
        <v>6</v>
      </c>
      <c r="S9" s="20" t="str">
        <f>IFERROR(IF([1]对账明细接口!$N9=0,"",[1]对账明细接口!$N9),"")</f>
        <v>自备一次性筐</v>
      </c>
      <c r="T9" s="212">
        <f>IFERROR(IF([1]对账明细接口!$O9=0,"",[1]对账明细接口!$O9),"")</f>
      </c>
      <c r="U9" s="212">
        <f>IFERROR(IF([1]对账明细接口!$P9=0,"",[1]对账明细接口!$P9),"")</f>
      </c>
      <c r="V9" s="212">
        <f>IFERROR(IF([1]对账明细接口!$Q9=0,"",[1]对账明细接口!$Q9),"")</f>
        <v>28</v>
      </c>
      <c r="W9" s="20" t="str">
        <f>IFERROR(IF([1]对账明细接口!$R9=0,"",[1]对账明细接口!$R9),"")</f>
        <v>苏M*7G796</v>
      </c>
      <c r="X9" s="20" t="str">
        <f>IFERROR(IF([1]对账明细接口!$S9=0,"",[1]对账明细接口!$S9),"")</f>
        <v>自备筐</v>
      </c>
      <c r="Y9" s="20">
        <f>IFERROR(IF([1]对账明细接口!$T9=0,"",[1]对账明细接口!$T9),"")</f>
      </c>
      <c r="Z9" s="213">
        <f>IFERROR(IF([1]对账明细接口!$U9=0,"",[1]对账明细接口!$U9),"")</f>
      </c>
      <c r="AA9" s="213">
        <f>IFERROR(IF([1]对账明细接口!$V9=0,"",[1]对账明细接口!$V9),"")</f>
      </c>
      <c r="AB9" s="20">
        <f>IFERROR(IF([1]对账明细接口!$W9=0,"",[1]对账明细接口!$W9),"")</f>
      </c>
      <c r="AC9" s="7">
        <f>IFERROR(IF([1]对账明细接口!$X9=0,"",[1]对账明细接口!$X9),"")</f>
      </c>
      <c r="AD9" s="7">
        <f>IFERROR(IF([1]对账明细接口!$Y9=0,"",[1]对账明细接口!$Y9),"")</f>
      </c>
      <c r="AE9" s="7">
        <f>IFERROR(IF([1]对账明细接口!$AA9=0,"",[1]对账明细接口!$AA9),"")</f>
      </c>
      <c r="AF9" s="7">
        <f>IFERROR(IF([1]对账明细接口!$AB9=0,"",[1]对账明细接口!$AB9),"")</f>
      </c>
      <c r="AG9" s="7">
        <f>IFERROR(IF([1]对账明细接口!$AC9=0,"",[1]对账明细接口!$AC9),"")</f>
      </c>
      <c r="AH9" s="7">
        <f>IFERROR(IF([1]对账明细接口!$AD9=0,"",[1]对账明细接口!$AD9),"")</f>
      </c>
      <c r="AI9" s="7">
        <f>IFERROR(IF([1]对账明细接口!$AE9=0,"",[1]对账明细接口!$AE9),"")</f>
      </c>
      <c r="AJ9" s="7">
        <f>IFERROR(IF([1]对账明细接口!$AF9=0,"",[1]对账明细接口!$AF9),"")</f>
      </c>
    </row>
    <row r="10" ht="14.25" customHeight="1" s="127">
      <c r="A10" s="14" t="n">
        <v>10</v>
      </c>
      <c r="B10" s="211">
        <f>IFERROR(IF([1]对账明细接口!$B$10=0,"",[1]对账明细接口!$B$10),"")</f>
        <v>46246.0</v>
      </c>
      <c r="C10" s="16" t="str">
        <f>IFERROR(IF([1]对账明细接口!$C$10=0,"",[1]对账明细接口!$C$10),"")</f>
        <v>聂新平</v>
      </c>
      <c r="D10" s="16" t="str">
        <f>IFERROR(IF([1]对账明细接口!$D$10=0,"",[1]对账明细接口!$D$10),"")</f>
        <v>原料入库</v>
      </c>
      <c r="E10" s="16" t="str">
        <f>IFERROR(IF([1]对账明细接口!$E$10=0,"",[1]对账明细接口!$E$10),"")</f>
        <v>NO0000760</v>
      </c>
      <c r="F10" s="16" t="str">
        <f>IFERROR(IF([1]对账明细接口!$F$10=0,"",[1]对账明细接口!$F$10),"")</f>
        <v>苹果</v>
      </c>
      <c r="G10" s="16" t="str">
        <f>IFERROR(IF([1]对账明细接口!$G$10=0,"",[1]对账明细接口!$G$10),"")</f>
        <v>嘎啦85#</v>
      </c>
      <c r="H10" s="176">
        <f>IFERROR(IF([1]对账明细接口!$H$10=0,"",[1]对账明细接口!$H$10),"")</f>
        <v>19</v>
      </c>
      <c r="I10" s="16" t="str">
        <f>IFERROR(IF([1]对账明细接口!$I$10=0,"",[1]对账明细接口!$I$10),"")</f>
        <v>筐</v>
      </c>
      <c r="J10" s="177">
        <f>IFERROR(IF([1]对账明细接口!$J$10=0,"",[1]对账明细接口!$J$10),"")</f>
        <v>414.2</v>
      </c>
      <c r="K10" s="177">
        <f>IFERROR(IF([1]对账明细接口!$K$10=0,"",[1]对账明细接口!$K$10),"")</f>
      </c>
      <c r="L10" s="16">
        <f>IFERROR(IF([1]对账明细接口!$L$10=0,"",[1]对账明细接口!$L$10),"")</f>
      </c>
      <c r="M10" s="16">
        <f>IFERROR(IF([1]对账明细接口!$M$10=0,"",[1]对账明细接口!$M$10),"")</f>
      </c>
      <c r="N10" s="19">
        <f>IF($C10="",0,1)</f>
        <v>1</v>
      </c>
      <c r="O10" s="19">
        <f>N(O9)+$N10</f>
        <v>7</v>
      </c>
      <c r="S10" s="20" t="str">
        <f>IFERROR(IF([1]对账明细接口!$N10=0,"",[1]对账明细接口!$N10),"")</f>
        <v>自备一次性筐</v>
      </c>
      <c r="T10" s="212">
        <f>IFERROR(IF([1]对账明细接口!$O10=0,"",[1]对账明细接口!$O10),"")</f>
      </c>
      <c r="U10" s="212">
        <f>IFERROR(IF([1]对账明细接口!$P10=0,"",[1]对账明细接口!$P10),"")</f>
      </c>
      <c r="V10" s="212">
        <f>IFERROR(IF([1]对账明细接口!$Q10=0,"",[1]对账明细接口!$Q10),"")</f>
        <v>19</v>
      </c>
      <c r="W10" s="20" t="str">
        <f>IFERROR(IF([1]对账明细接口!$R10=0,"",[1]对账明细接口!$R10),"")</f>
        <v>苏M*7G796</v>
      </c>
      <c r="X10" s="20" t="str">
        <f>IFERROR(IF([1]对账明细接口!$S10=0,"",[1]对账明细接口!$S10),"")</f>
        <v>自备筐</v>
      </c>
      <c r="Y10" s="20">
        <f>IFERROR(IF([1]对账明细接口!$T10=0,"",[1]对账明细接口!$T10),"")</f>
      </c>
      <c r="Z10" s="213">
        <f>IFERROR(IF([1]对账明细接口!$U10=0,"",[1]对账明细接口!$U10),"")</f>
      </c>
      <c r="AA10" s="213">
        <f>IFERROR(IF([1]对账明细接口!$V10=0,"",[1]对账明细接口!$V10),"")</f>
      </c>
      <c r="AB10" s="20">
        <f>IFERROR(IF([1]对账明细接口!$W10=0,"",[1]对账明细接口!$W10),"")</f>
      </c>
      <c r="AC10" s="7">
        <f>IFERROR(IF([1]对账明细接口!$X10=0,"",[1]对账明细接口!$X10),"")</f>
      </c>
      <c r="AD10" s="7">
        <f>IFERROR(IF([1]对账明细接口!$Y10=0,"",[1]对账明细接口!$Y10),"")</f>
      </c>
      <c r="AE10" s="7">
        <f>IFERROR(IF([1]对账明细接口!$AA10=0,"",[1]对账明细接口!$AA10),"")</f>
      </c>
      <c r="AF10" s="7">
        <f>IFERROR(IF([1]对账明细接口!$AB10=0,"",[1]对账明细接口!$AB10),"")</f>
      </c>
      <c r="AG10" s="7">
        <f>IFERROR(IF([1]对账明细接口!$AC10=0,"",[1]对账明细接口!$AC10),"")</f>
      </c>
      <c r="AH10" s="7">
        <f>IFERROR(IF([1]对账明细接口!$AD10=0,"",[1]对账明细接口!$AD10),"")</f>
      </c>
      <c r="AI10" s="7">
        <f>IFERROR(IF([1]对账明细接口!$AE10=0,"",[1]对账明细接口!$AE10),"")</f>
      </c>
      <c r="AJ10" s="7">
        <f>IFERROR(IF([1]对账明细接口!$AF10=0,"",[1]对账明细接口!$AF10),"")</f>
      </c>
    </row>
    <row r="11" ht="14.25" customHeight="1" s="127">
      <c r="A11" s="14" t="n">
        <v>11</v>
      </c>
      <c r="B11" s="211">
        <f>IFERROR(IF([1]对账明细接口!$B$11=0,"",[1]对账明细接口!$B$11),"")</f>
        <v>46246.0</v>
      </c>
      <c r="C11" s="16" t="str">
        <f>IFERROR(IF([1]对账明细接口!$C$11=0,"",[1]对账明细接口!$C$11),"")</f>
        <v>聂新平</v>
      </c>
      <c r="D11" s="16" t="str">
        <f>IFERROR(IF([1]对账明细接口!$D$11=0,"",[1]对账明细接口!$D$11),"")</f>
        <v>原料入库</v>
      </c>
      <c r="E11" s="16" t="str">
        <f>IFERROR(IF([1]对账明细接口!$E$11=0,"",[1]对账明细接口!$E$11),"")</f>
        <v>NO0000760</v>
      </c>
      <c r="F11" s="16" t="str">
        <f>IFERROR(IF([1]对账明细接口!$F$11=0,"",[1]对账明细接口!$F$11),"")</f>
        <v>苹果</v>
      </c>
      <c r="G11" s="16" t="str">
        <f>IFERROR(IF([1]对账明细接口!$G$11=0,"",[1]对账明细接口!$G$11),"")</f>
        <v>嘎啦100#</v>
      </c>
      <c r="H11" s="176">
        <f>IFERROR(IF([1]对账明细接口!$H$11=0,"",[1]对账明细接口!$H$11),"")</f>
        <v>14</v>
      </c>
      <c r="I11" s="16" t="str">
        <f>IFERROR(IF([1]对账明细接口!$I$11=0,"",[1]对账明细接口!$I$11),"")</f>
        <v>筐</v>
      </c>
      <c r="J11" s="177">
        <f>IFERROR(IF([1]对账明细接口!$J$11=0,"",[1]对账明细接口!$J$11),"")</f>
        <v>305.2</v>
      </c>
      <c r="K11" s="177">
        <f>IFERROR(IF([1]对账明细接口!$K$11=0,"",[1]对账明细接口!$K$11),"")</f>
      </c>
      <c r="L11" s="16">
        <f>IFERROR(IF([1]对账明细接口!$L$11=0,"",[1]对账明细接口!$L$11),"")</f>
      </c>
      <c r="M11" s="16">
        <f>IFERROR(IF([1]对账明细接口!$M$11=0,"",[1]对账明细接口!$M$11),"")</f>
      </c>
      <c r="N11" s="19">
        <f>IF($C11="",0,1)</f>
        <v>1</v>
      </c>
      <c r="O11" s="19">
        <f>N(O10)+$N11</f>
        <v>8</v>
      </c>
      <c r="S11" s="20" t="str">
        <f>IFERROR(IF([1]对账明细接口!$N11=0,"",[1]对账明细接口!$N11),"")</f>
        <v>自备一次性筐</v>
      </c>
      <c r="T11" s="212">
        <f>IFERROR(IF([1]对账明细接口!$O11=0,"",[1]对账明细接口!$O11),"")</f>
      </c>
      <c r="U11" s="212">
        <f>IFERROR(IF([1]对账明细接口!$P11=0,"",[1]对账明细接口!$P11),"")</f>
      </c>
      <c r="V11" s="212">
        <f>IFERROR(IF([1]对账明细接口!$Q11=0,"",[1]对账明细接口!$Q11),"")</f>
        <v>14</v>
      </c>
      <c r="W11" s="20" t="str">
        <f>IFERROR(IF([1]对账明细接口!$R11=0,"",[1]对账明细接口!$R11),"")</f>
        <v>苏M*7G796</v>
      </c>
      <c r="X11" s="20" t="str">
        <f>IFERROR(IF([1]对账明细接口!$S11=0,"",[1]对账明细接口!$S11),"")</f>
        <v>自备筐</v>
      </c>
      <c r="Y11" s="20">
        <f>IFERROR(IF([1]对账明细接口!$T11=0,"",[1]对账明细接口!$T11),"")</f>
      </c>
      <c r="Z11" s="213">
        <f>IFERROR(IF([1]对账明细接口!$U11=0,"",[1]对账明细接口!$U11),"")</f>
      </c>
      <c r="AA11" s="213">
        <f>IFERROR(IF([1]对账明细接口!$V11=0,"",[1]对账明细接口!$V11),"")</f>
      </c>
      <c r="AB11" s="20">
        <f>IFERROR(IF([1]对账明细接口!$W11=0,"",[1]对账明细接口!$W11),"")</f>
      </c>
      <c r="AC11" s="7">
        <f>IFERROR(IF([1]对账明细接口!$X11=0,"",[1]对账明细接口!$X11),"")</f>
      </c>
      <c r="AD11" s="7">
        <f>IFERROR(IF([1]对账明细接口!$Y11=0,"",[1]对账明细接口!$Y11),"")</f>
      </c>
      <c r="AE11" s="7">
        <f>IFERROR(IF([1]对账明细接口!$AA11=0,"",[1]对账明细接口!$AA11),"")</f>
      </c>
      <c r="AF11" s="7">
        <f>IFERROR(IF([1]对账明细接口!$AB11=0,"",[1]对账明细接口!$AB11),"")</f>
      </c>
      <c r="AG11" s="7">
        <f>IFERROR(IF([1]对账明细接口!$AC11=0,"",[1]对账明细接口!$AC11),"")</f>
      </c>
      <c r="AH11" s="7">
        <f>IFERROR(IF([1]对账明细接口!$AD11=0,"",[1]对账明细接口!$AD11),"")</f>
      </c>
      <c r="AI11" s="7">
        <f>IFERROR(IF([1]对账明细接口!$AE11=0,"",[1]对账明细接口!$AE11),"")</f>
      </c>
      <c r="AJ11" s="7">
        <f>IFERROR(IF([1]对账明细接口!$AF11=0,"",[1]对账明细接口!$AF11),"")</f>
      </c>
    </row>
    <row r="12" ht="14.25" customHeight="1" s="127">
      <c r="A12" s="14" t="n">
        <v>12</v>
      </c>
      <c r="B12" s="211">
        <f>IFERROR(IF([1]对账明细接口!$B$12=0,"",[1]对账明细接口!$B$12),"")</f>
        <v>46247.0</v>
      </c>
      <c r="C12" s="16" t="str">
        <f>IFERROR(IF([1]对账明细接口!$C$12=0,"",[1]对账明细接口!$C$12),"")</f>
        <v>聂新平</v>
      </c>
      <c r="D12" s="16" t="str">
        <f>IFERROR(IF([1]对账明细接口!$D$12=0,"",[1]对账明细接口!$D$12),"")</f>
        <v>原料入库</v>
      </c>
      <c r="E12" s="16" t="str">
        <f>IFERROR(IF([1]对账明细接口!$E$12=0,"",[1]对账明细接口!$E$12),"")</f>
        <v>NO0000761</v>
      </c>
      <c r="F12" s="16" t="str">
        <f>IFERROR(IF([1]对账明细接口!$F$12=0,"",[1]对账明细接口!$F$12),"")</f>
        <v>苹果</v>
      </c>
      <c r="G12" s="16" t="str">
        <f>IFERROR(IF([1]对账明细接口!$G$12=0,"",[1]对账明细接口!$G$12),"")</f>
        <v>嘎啦85#</v>
      </c>
      <c r="H12" s="176">
        <f>IFERROR(IF([1]对账明细接口!$H$12=0,"",[1]对账明细接口!$H$12),"")</f>
        <v>17</v>
      </c>
      <c r="I12" s="16" t="str">
        <f>IFERROR(IF([1]对账明细接口!$I$12=0,"",[1]对账明细接口!$I$12),"")</f>
        <v>筐</v>
      </c>
      <c r="J12" s="177">
        <f>IFERROR(IF([1]对账明细接口!$J$12=0,"",[1]对账明细接口!$J$12),"")</f>
        <v>370.6</v>
      </c>
      <c r="K12" s="177">
        <f>IFERROR(IF([1]对账明细接口!$K$12=0,"",[1]对账明细接口!$K$12),"")</f>
      </c>
      <c r="L12" s="16">
        <f>IFERROR(IF([1]对账明细接口!$L$12=0,"",[1]对账明细接口!$L$12),"")</f>
      </c>
      <c r="M12" s="16">
        <f>IFERROR(IF([1]对账明细接口!$M$12=0,"",[1]对账明细接口!$M$12),"")</f>
      </c>
      <c r="N12" s="19">
        <f>IF($C12="",0,1)</f>
        <v>1</v>
      </c>
      <c r="O12" s="19">
        <f>N(O11)+$N12</f>
        <v>9</v>
      </c>
      <c r="S12" s="20" t="str">
        <f>IFERROR(IF([1]对账明细接口!$N12=0,"",[1]对账明细接口!$N12),"")</f>
        <v>自备一次性筐</v>
      </c>
      <c r="T12" s="212">
        <f>IFERROR(IF([1]对账明细接口!$O12=0,"",[1]对账明细接口!$O12),"")</f>
      </c>
      <c r="U12" s="212">
        <f>IFERROR(IF([1]对账明细接口!$P12=0,"",[1]对账明细接口!$P12),"")</f>
      </c>
      <c r="V12" s="212">
        <f>IFERROR(IF([1]对账明细接口!$Q12=0,"",[1]对账明细接口!$Q12),"")</f>
        <v>17</v>
      </c>
      <c r="W12" s="20" t="str">
        <f>IFERROR(IF([1]对账明细接口!$R12=0,"",[1]对账明细接口!$R12),"")</f>
        <v>苏M*7G796</v>
      </c>
      <c r="X12" s="20" t="str">
        <f>IFERROR(IF([1]对账明细接口!$S12=0,"",[1]对账明细接口!$S12),"")</f>
        <v>自备筐</v>
      </c>
      <c r="Y12" s="20">
        <f>IFERROR(IF([1]对账明细接口!$T12=0,"",[1]对账明细接口!$T12),"")</f>
      </c>
      <c r="Z12" s="213">
        <f>IFERROR(IF([1]对账明细接口!$U12=0,"",[1]对账明细接口!$U12),"")</f>
      </c>
      <c r="AA12" s="213">
        <f>IFERROR(IF([1]对账明细接口!$V12=0,"",[1]对账明细接口!$V12),"")</f>
      </c>
      <c r="AB12" s="20">
        <f>IFERROR(IF([1]对账明细接口!$W12=0,"",[1]对账明细接口!$W12),"")</f>
      </c>
      <c r="AC12" s="7">
        <f>IFERROR(IF([1]对账明细接口!$X12=0,"",[1]对账明细接口!$X12),"")</f>
      </c>
      <c r="AD12" s="7">
        <f>IFERROR(IF([1]对账明细接口!$Y12=0,"",[1]对账明细接口!$Y12),"")</f>
      </c>
      <c r="AE12" s="7">
        <f>IFERROR(IF([1]对账明细接口!$AA12=0,"",[1]对账明细接口!$AA12),"")</f>
      </c>
      <c r="AF12" s="7">
        <f>IFERROR(IF([1]对账明细接口!$AB12=0,"",[1]对账明细接口!$AB12),"")</f>
      </c>
      <c r="AG12" s="7">
        <f>IFERROR(IF([1]对账明细接口!$AC12=0,"",[1]对账明细接口!$AC12),"")</f>
      </c>
      <c r="AH12" s="7">
        <f>IFERROR(IF([1]对账明细接口!$AD12=0,"",[1]对账明细接口!$AD12),"")</f>
      </c>
      <c r="AI12" s="7">
        <f>IFERROR(IF([1]对账明细接口!$AE12=0,"",[1]对账明细接口!$AE12),"")</f>
      </c>
      <c r="AJ12" s="7">
        <f>IFERROR(IF([1]对账明细接口!$AF12=0,"",[1]对账明细接口!$AF12),"")</f>
      </c>
    </row>
    <row r="13" ht="14.25" customHeight="1" s="127">
      <c r="A13" s="14" t="n">
        <v>13</v>
      </c>
      <c r="B13" s="211">
        <f>IFERROR(IF([1]对账明细接口!$B$13=0,"",[1]对账明细接口!$B$13),"")</f>
        <v>46247.0</v>
      </c>
      <c r="C13" s="16" t="str">
        <f>IFERROR(IF([1]对账明细接口!$C$13=0,"",[1]对账明细接口!$C$13),"")</f>
        <v>聂新平</v>
      </c>
      <c r="D13" s="16" t="str">
        <f>IFERROR(IF([1]对账明细接口!$D$13=0,"",[1]对账明细接口!$D$13),"")</f>
        <v>原料入库</v>
      </c>
      <c r="E13" s="16" t="str">
        <f>IFERROR(IF([1]对账明细接口!$E$13=0,"",[1]对账明细接口!$E$13),"")</f>
        <v>NO0000761</v>
      </c>
      <c r="F13" s="16" t="str">
        <f>IFERROR(IF([1]对账明细接口!$F$13=0,"",[1]对账明细接口!$F$13),"")</f>
        <v>苹果</v>
      </c>
      <c r="G13" s="16" t="str">
        <f>IFERROR(IF([1]对账明细接口!$G$13=0,"",[1]对账明细接口!$G$13),"")</f>
        <v>嘎啦100#</v>
      </c>
      <c r="H13" s="176">
        <f>IFERROR(IF([1]对账明细接口!$H$13=0,"",[1]对账明细接口!$H$13),"")</f>
        <v>43</v>
      </c>
      <c r="I13" s="16" t="str">
        <f>IFERROR(IF([1]对账明细接口!$I$13=0,"",[1]对账明细接口!$I$13),"")</f>
        <v>筐</v>
      </c>
      <c r="J13" s="177">
        <f>IFERROR(IF([1]对账明细接口!$J$13=0,"",[1]对账明细接口!$J$13),"")</f>
        <v>937.4</v>
      </c>
      <c r="K13" s="177">
        <f>IFERROR(IF([1]对账明细接口!$K$13=0,"",[1]对账明细接口!$K$13),"")</f>
      </c>
      <c r="L13" s="16">
        <f>IFERROR(IF([1]对账明细接口!$L$13=0,"",[1]对账明细接口!$L$13),"")</f>
      </c>
      <c r="M13" s="16">
        <f>IFERROR(IF([1]对账明细接口!$M$13=0,"",[1]对账明细接口!$M$13),"")</f>
      </c>
      <c r="N13" s="19">
        <f>IF($C13="",0,1)</f>
        <v>1</v>
      </c>
      <c r="O13" s="19">
        <f>N(O12)+$N13</f>
        <v>10</v>
      </c>
      <c r="S13" s="20" t="str">
        <f>IFERROR(IF([1]对账明细接口!$N13=0,"",[1]对账明细接口!$N13),"")</f>
        <v>自备一次性筐</v>
      </c>
      <c r="T13" s="212">
        <f>IFERROR(IF([1]对账明细接口!$O13=0,"",[1]对账明细接口!$O13),"")</f>
      </c>
      <c r="U13" s="212">
        <f>IFERROR(IF([1]对账明细接口!$P13=0,"",[1]对账明细接口!$P13),"")</f>
      </c>
      <c r="V13" s="212">
        <f>IFERROR(IF([1]对账明细接口!$Q13=0,"",[1]对账明细接口!$Q13),"")</f>
        <v>43</v>
      </c>
      <c r="W13" s="20" t="str">
        <f>IFERROR(IF([1]对账明细接口!$R13=0,"",[1]对账明细接口!$R13),"")</f>
        <v>苏M*7G796</v>
      </c>
      <c r="X13" s="20" t="str">
        <f>IFERROR(IF([1]对账明细接口!$S13=0,"",[1]对账明细接口!$S13),"")</f>
        <v>自备筐</v>
      </c>
      <c r="Y13" s="20">
        <f>IFERROR(IF([1]对账明细接口!$T13=0,"",[1]对账明细接口!$T13),"")</f>
      </c>
      <c r="Z13" s="213">
        <f>IFERROR(IF([1]对账明细接口!$U13=0,"",[1]对账明细接口!$U13),"")</f>
      </c>
      <c r="AA13" s="213">
        <f>IFERROR(IF([1]对账明细接口!$V13=0,"",[1]对账明细接口!$V13),"")</f>
      </c>
      <c r="AB13" s="20">
        <f>IFERROR(IF([1]对账明细接口!$W13=0,"",[1]对账明细接口!$W13),"")</f>
      </c>
      <c r="AC13" s="7">
        <f>IFERROR(IF([1]对账明细接口!$X13=0,"",[1]对账明细接口!$X13),"")</f>
      </c>
      <c r="AD13" s="7">
        <f>IFERROR(IF([1]对账明细接口!$Y13=0,"",[1]对账明细接口!$Y13),"")</f>
      </c>
      <c r="AE13" s="7">
        <f>IFERROR(IF([1]对账明细接口!$AA13=0,"",[1]对账明细接口!$AA13),"")</f>
      </c>
      <c r="AF13" s="7">
        <f>IFERROR(IF([1]对账明细接口!$AB13=0,"",[1]对账明细接口!$AB13),"")</f>
      </c>
      <c r="AG13" s="7">
        <f>IFERROR(IF([1]对账明细接口!$AC13=0,"",[1]对账明细接口!$AC13),"")</f>
      </c>
      <c r="AH13" s="7">
        <f>IFERROR(IF([1]对账明细接口!$AD13=0,"",[1]对账明细接口!$AD13),"")</f>
      </c>
      <c r="AI13" s="7">
        <f>IFERROR(IF([1]对账明细接口!$AE13=0,"",[1]对账明细接口!$AE13),"")</f>
      </c>
      <c r="AJ13" s="7">
        <f>IFERROR(IF([1]对账明细接口!$AF13=0,"",[1]对账明细接口!$AF13),"")</f>
      </c>
    </row>
    <row r="14" ht="14.25" customHeight="1" s="127">
      <c r="A14" s="14" t="n">
        <v>14</v>
      </c>
      <c r="B14" s="211">
        <f>IFERROR(IF([1]对账明细接口!$B$14=0,"",[1]对账明细接口!$B$14),"")</f>
        <v>46247.0</v>
      </c>
      <c r="C14" s="16" t="str">
        <f>IFERROR(IF([1]对账明细接口!$C$14=0,"",[1]对账明细接口!$C$14),"")</f>
        <v>聂新平</v>
      </c>
      <c r="D14" s="16" t="str">
        <f>IFERROR(IF([1]对账明细接口!$D$14=0,"",[1]对账明细接口!$D$14),"")</f>
        <v>原料入库</v>
      </c>
      <c r="E14" s="16" t="str">
        <f>IFERROR(IF([1]对账明细接口!$E$14=0,"",[1]对账明细接口!$E$14),"")</f>
        <v>NO0000762</v>
      </c>
      <c r="F14" s="16" t="str">
        <f>IFERROR(IF([1]对账明细接口!$F$14=0,"",[1]对账明细接口!$F$14),"")</f>
        <v>苹果</v>
      </c>
      <c r="G14" s="16" t="str">
        <f>IFERROR(IF([1]对账明细接口!$G$14=0,"",[1]对账明细接口!$G$14),"")</f>
        <v>嘎啦85#</v>
      </c>
      <c r="H14" s="176">
        <f>IFERROR(IF([1]对账明细接口!$H$14=0,"",[1]对账明细接口!$H$14),"")</f>
        <v>20</v>
      </c>
      <c r="I14" s="16" t="str">
        <f>IFERROR(IF([1]对账明细接口!$I$14=0,"",[1]对账明细接口!$I$14),"")</f>
        <v>筐</v>
      </c>
      <c r="J14" s="177">
        <f>IFERROR(IF([1]对账明细接口!$J$14=0,"",[1]对账明细接口!$J$14),"")</f>
        <v>436</v>
      </c>
      <c r="K14" s="177">
        <f>IFERROR(IF([1]对账明细接口!$K$14=0,"",[1]对账明细接口!$K$14),"")</f>
      </c>
      <c r="L14" s="16">
        <f>IFERROR(IF([1]对账明细接口!$L$14=0,"",[1]对账明细接口!$L$14),"")</f>
      </c>
      <c r="M14" s="16">
        <f>IFERROR(IF([1]对账明细接口!$M$14=0,"",[1]对账明细接口!$M$14),"")</f>
      </c>
      <c r="N14" s="19">
        <f>IF($C14="",0,1)</f>
        <v>1</v>
      </c>
      <c r="O14" s="19">
        <f>N(O13)+$N14</f>
        <v>11</v>
      </c>
      <c r="S14" s="20" t="str">
        <f>IFERROR(IF([1]对账明细接口!$N14=0,"",[1]对账明细接口!$N14),"")</f>
        <v>自备一次性筐</v>
      </c>
      <c r="T14" s="212">
        <f>IFERROR(IF([1]对账明细接口!$O14=0,"",[1]对账明细接口!$O14),"")</f>
      </c>
      <c r="U14" s="212">
        <f>IFERROR(IF([1]对账明细接口!$P14=0,"",[1]对账明细接口!$P14),"")</f>
      </c>
      <c r="V14" s="212">
        <f>IFERROR(IF([1]对账明细接口!$Q14=0,"",[1]对账明细接口!$Q14),"")</f>
        <v>20</v>
      </c>
      <c r="W14" s="20" t="str">
        <f>IFERROR(IF([1]对账明细接口!$R14=0,"",[1]对账明细接口!$R14),"")</f>
        <v>苏M*7G796</v>
      </c>
      <c r="X14" s="20" t="str">
        <f>IFERROR(IF([1]对账明细接口!$S14=0,"",[1]对账明细接口!$S14),"")</f>
        <v>自备筐</v>
      </c>
      <c r="Y14" s="20">
        <f>IFERROR(IF([1]对账明细接口!$T14=0,"",[1]对账明细接口!$T14),"")</f>
      </c>
      <c r="Z14" s="213">
        <f>IFERROR(IF([1]对账明细接口!$U14=0,"",[1]对账明细接口!$U14),"")</f>
      </c>
      <c r="AA14" s="213">
        <f>IFERROR(IF([1]对账明细接口!$V14=0,"",[1]对账明细接口!$V14),"")</f>
      </c>
      <c r="AB14" s="20">
        <f>IFERROR(IF([1]对账明细接口!$W14=0,"",[1]对账明细接口!$W14),"")</f>
      </c>
      <c r="AC14" s="7">
        <f>IFERROR(IF([1]对账明细接口!$X14=0,"",[1]对账明细接口!$X14),"")</f>
      </c>
      <c r="AD14" s="7">
        <f>IFERROR(IF([1]对账明细接口!$Y14=0,"",[1]对账明细接口!$Y14),"")</f>
      </c>
      <c r="AE14" s="7">
        <f>IFERROR(IF([1]对账明细接口!$AA14=0,"",[1]对账明细接口!$AA14),"")</f>
      </c>
      <c r="AF14" s="7">
        <f>IFERROR(IF([1]对账明细接口!$AB14=0,"",[1]对账明细接口!$AB14),"")</f>
      </c>
      <c r="AG14" s="7">
        <f>IFERROR(IF([1]对账明细接口!$AC14=0,"",[1]对账明细接口!$AC14),"")</f>
      </c>
      <c r="AH14" s="7">
        <f>IFERROR(IF([1]对账明细接口!$AD14=0,"",[1]对账明细接口!$AD14),"")</f>
      </c>
      <c r="AI14" s="7">
        <f>IFERROR(IF([1]对账明细接口!$AE14=0,"",[1]对账明细接口!$AE14),"")</f>
      </c>
      <c r="AJ14" s="7">
        <f>IFERROR(IF([1]对账明细接口!$AF14=0,"",[1]对账明细接口!$AF14),"")</f>
      </c>
    </row>
    <row r="15" ht="14.25" customHeight="1" s="127">
      <c r="A15" s="14" t="n">
        <v>15</v>
      </c>
      <c r="B15" s="211">
        <f>IFERROR(IF([1]对账明细接口!$B$15=0,"",[1]对账明细接口!$B$15),"")</f>
        <v>46247.0</v>
      </c>
      <c r="C15" s="16" t="str">
        <f>IFERROR(IF([1]对账明细接口!$C$15=0,"",[1]对账明细接口!$C$15),"")</f>
        <v>聂新平</v>
      </c>
      <c r="D15" s="16" t="str">
        <f>IFERROR(IF([1]对账明细接口!$D$15=0,"",[1]对账明细接口!$D$15),"")</f>
        <v>原料入库</v>
      </c>
      <c r="E15" s="16" t="str">
        <f>IFERROR(IF([1]对账明细接口!$E$15=0,"",[1]对账明细接口!$E$15),"")</f>
        <v>NO0000762</v>
      </c>
      <c r="F15" s="16" t="str">
        <f>IFERROR(IF([1]对账明细接口!$F$15=0,"",[1]对账明细接口!$F$15),"")</f>
        <v>苹果</v>
      </c>
      <c r="G15" s="16" t="str">
        <f>IFERROR(IF([1]对账明细接口!$G$15=0,"",[1]对账明细接口!$G$15),"")</f>
        <v>嘎啦100#</v>
      </c>
      <c r="H15" s="176">
        <f>IFERROR(IF([1]对账明细接口!$H$15=0,"",[1]对账明细接口!$H$15),"")</f>
        <v>31</v>
      </c>
      <c r="I15" s="16" t="str">
        <f>IFERROR(IF([1]对账明细接口!$I$15=0,"",[1]对账明细接口!$I$15),"")</f>
        <v>筐</v>
      </c>
      <c r="J15" s="177">
        <f>IFERROR(IF([1]对账明细接口!$J$15=0,"",[1]对账明细接口!$J$15),"")</f>
        <v>675.8</v>
      </c>
      <c r="K15" s="177">
        <f>IFERROR(IF([1]对账明细接口!$K$15=0,"",[1]对账明细接口!$K$15),"")</f>
      </c>
      <c r="L15" s="16">
        <f>IFERROR(IF([1]对账明细接口!$L$15=0,"",[1]对账明细接口!$L$15),"")</f>
      </c>
      <c r="M15" s="16">
        <f>IFERROR(IF([1]对账明细接口!$M$15=0,"",[1]对账明细接口!$M$15),"")</f>
      </c>
      <c r="N15" s="19">
        <f>IF($C15="",0,1)</f>
        <v>1</v>
      </c>
      <c r="O15" s="19">
        <f>N(O14)+$N15</f>
        <v>12</v>
      </c>
      <c r="S15" s="20" t="str">
        <f>IFERROR(IF([1]对账明细接口!$N15=0,"",[1]对账明细接口!$N15),"")</f>
        <v>自备一次性筐</v>
      </c>
      <c r="T15" s="212">
        <f>IFERROR(IF([1]对账明细接口!$O15=0,"",[1]对账明细接口!$O15),"")</f>
      </c>
      <c r="U15" s="212">
        <f>IFERROR(IF([1]对账明细接口!$P15=0,"",[1]对账明细接口!$P15),"")</f>
      </c>
      <c r="V15" s="212">
        <f>IFERROR(IF([1]对账明细接口!$Q15=0,"",[1]对账明细接口!$Q15),"")</f>
        <v>31</v>
      </c>
      <c r="W15" s="20" t="str">
        <f>IFERROR(IF([1]对账明细接口!$R15=0,"",[1]对账明细接口!$R15),"")</f>
        <v>苏M*7G796</v>
      </c>
      <c r="X15" s="20" t="str">
        <f>IFERROR(IF([1]对账明细接口!$S15=0,"",[1]对账明细接口!$S15),"")</f>
        <v>自备筐</v>
      </c>
      <c r="Y15" s="20">
        <f>IFERROR(IF([1]对账明细接口!$T15=0,"",[1]对账明细接口!$T15),"")</f>
      </c>
      <c r="Z15" s="213">
        <f>IFERROR(IF([1]对账明细接口!$U15=0,"",[1]对账明细接口!$U15),"")</f>
      </c>
      <c r="AA15" s="213">
        <f>IFERROR(IF([1]对账明细接口!$V15=0,"",[1]对账明细接口!$V15),"")</f>
      </c>
      <c r="AB15" s="20">
        <f>IFERROR(IF([1]对账明细接口!$W15=0,"",[1]对账明细接口!$W15),"")</f>
      </c>
      <c r="AC15" s="7">
        <f>IFERROR(IF([1]对账明细接口!$X15=0,"",[1]对账明细接口!$X15),"")</f>
      </c>
      <c r="AD15" s="7">
        <f>IFERROR(IF([1]对账明细接口!$Y15=0,"",[1]对账明细接口!$Y15),"")</f>
      </c>
      <c r="AE15" s="7">
        <f>IFERROR(IF([1]对账明细接口!$AA15=0,"",[1]对账明细接口!$AA15),"")</f>
      </c>
      <c r="AF15" s="7">
        <f>IFERROR(IF([1]对账明细接口!$AB15=0,"",[1]对账明细接口!$AB15),"")</f>
      </c>
      <c r="AG15" s="7">
        <f>IFERROR(IF([1]对账明细接口!$AC15=0,"",[1]对账明细接口!$AC15),"")</f>
      </c>
      <c r="AH15" s="7">
        <f>IFERROR(IF([1]对账明细接口!$AD15=0,"",[1]对账明细接口!$AD15),"")</f>
      </c>
      <c r="AI15" s="7">
        <f>IFERROR(IF([1]对账明细接口!$AE15=0,"",[1]对账明细接口!$AE15),"")</f>
      </c>
      <c r="AJ15" s="7">
        <f>IFERROR(IF([1]对账明细接口!$AF15=0,"",[1]对账明细接口!$AF15),"")</f>
      </c>
    </row>
    <row r="16" ht="14.25" customHeight="1" s="127">
      <c r="A16" s="14" t="n">
        <v>16</v>
      </c>
      <c r="B16" s="211">
        <f>IFERROR(IF([1]对账明细接口!$B$16=0,"",[1]对账明细接口!$B$16),"")</f>
        <v>46247.0</v>
      </c>
      <c r="C16" s="16" t="str">
        <f>IFERROR(IF([1]对账明细接口!$C$16=0,"",[1]对账明细接口!$C$16),"")</f>
        <v>聂新平</v>
      </c>
      <c r="D16" s="16" t="str">
        <f>IFERROR(IF([1]对账明细接口!$D$16=0,"",[1]对账明细接口!$D$16),"")</f>
        <v>原料入库</v>
      </c>
      <c r="E16" s="16" t="str">
        <f>IFERROR(IF([1]对账明细接口!$E$16=0,"",[1]对账明细接口!$E$16),"")</f>
        <v>NO0000764</v>
      </c>
      <c r="F16" s="16" t="str">
        <f>IFERROR(IF([1]对账明细接口!$F$16=0,"",[1]对账明细接口!$F$16),"")</f>
        <v>苹果</v>
      </c>
      <c r="G16" s="16" t="str">
        <f>IFERROR(IF([1]对账明细接口!$G$16=0,"",[1]对账明细接口!$G$16),"")</f>
        <v>嘎啦85#</v>
      </c>
      <c r="H16" s="176">
        <f>IFERROR(IF([1]对账明细接口!$H$16=0,"",[1]对账明细接口!$H$16),"")</f>
        <v>10</v>
      </c>
      <c r="I16" s="16" t="str">
        <f>IFERROR(IF([1]对账明细接口!$I$16=0,"",[1]对账明细接口!$I$16),"")</f>
        <v>筐</v>
      </c>
      <c r="J16" s="177">
        <f>IFERROR(IF([1]对账明细接口!$J$16=0,"",[1]对账明细接口!$J$16),"")</f>
        <v>218</v>
      </c>
      <c r="K16" s="177">
        <f>IFERROR(IF([1]对账明细接口!$K$16=0,"",[1]对账明细接口!$K$16),"")</f>
      </c>
      <c r="L16" s="16">
        <f>IFERROR(IF([1]对账明细接口!$L$16=0,"",[1]对账明细接口!$L$16),"")</f>
      </c>
      <c r="M16" s="16">
        <f>IFERROR(IF([1]对账明细接口!$M$16=0,"",[1]对账明细接口!$M$16),"")</f>
      </c>
      <c r="N16" s="19">
        <f>IF($C16="",0,1)</f>
        <v>1</v>
      </c>
      <c r="O16" s="19">
        <f>N(O15)+$N16</f>
        <v>13</v>
      </c>
      <c r="S16" s="20" t="str">
        <f>IFERROR(IF([1]对账明细接口!$N16=0,"",[1]对账明细接口!$N16),"")</f>
        <v>自备一次性筐</v>
      </c>
      <c r="T16" s="212">
        <f>IFERROR(IF([1]对账明细接口!$O16=0,"",[1]对账明细接口!$O16),"")</f>
      </c>
      <c r="U16" s="212">
        <f>IFERROR(IF([1]对账明细接口!$P16=0,"",[1]对账明细接口!$P16),"")</f>
      </c>
      <c r="V16" s="212">
        <f>IFERROR(IF([1]对账明细接口!$Q16=0,"",[1]对账明细接口!$Q16),"")</f>
        <v>10</v>
      </c>
      <c r="W16" s="20" t="str">
        <f>IFERROR(IF([1]对账明细接口!$R16=0,"",[1]对账明细接口!$R16),"")</f>
        <v>苏M*7G796</v>
      </c>
      <c r="X16" s="20" t="str">
        <f>IFERROR(IF([1]对账明细接口!$S16=0,"",[1]对账明细接口!$S16),"")</f>
        <v>自备筐</v>
      </c>
      <c r="Y16" s="20">
        <f>IFERROR(IF([1]对账明细接口!$T16=0,"",[1]对账明细接口!$T16),"")</f>
      </c>
      <c r="Z16" s="213">
        <f>IFERROR(IF([1]对账明细接口!$U16=0,"",[1]对账明细接口!$U16),"")</f>
      </c>
      <c r="AA16" s="213">
        <f>IFERROR(IF([1]对账明细接口!$V16=0,"",[1]对账明细接口!$V16),"")</f>
      </c>
      <c r="AB16" s="20">
        <f>IFERROR(IF([1]对账明细接口!$W16=0,"",[1]对账明细接口!$W16),"")</f>
      </c>
      <c r="AC16" s="7">
        <f>IFERROR(IF([1]对账明细接口!$X16=0,"",[1]对账明细接口!$X16),"")</f>
      </c>
      <c r="AD16" s="7">
        <f>IFERROR(IF([1]对账明细接口!$Y16=0,"",[1]对账明细接口!$Y16),"")</f>
      </c>
      <c r="AE16" s="7">
        <f>IFERROR(IF([1]对账明细接口!$AA16=0,"",[1]对账明细接口!$AA16),"")</f>
      </c>
      <c r="AF16" s="7">
        <f>IFERROR(IF([1]对账明细接口!$AB16=0,"",[1]对账明细接口!$AB16),"")</f>
      </c>
      <c r="AG16" s="7">
        <f>IFERROR(IF([1]对账明细接口!$AC16=0,"",[1]对账明细接口!$AC16),"")</f>
      </c>
      <c r="AH16" s="7">
        <f>IFERROR(IF([1]对账明细接口!$AD16=0,"",[1]对账明细接口!$AD16),"")</f>
      </c>
      <c r="AI16" s="7">
        <f>IFERROR(IF([1]对账明细接口!$AE16=0,"",[1]对账明细接口!$AE16),"")</f>
      </c>
      <c r="AJ16" s="7">
        <f>IFERROR(IF([1]对账明细接口!$AF16=0,"",[1]对账明细接口!$AF16),"")</f>
      </c>
    </row>
    <row r="17" ht="14.25" customHeight="1" s="127">
      <c r="A17" s="14" t="n">
        <v>17</v>
      </c>
      <c r="B17" s="211">
        <f>IFERROR(IF([1]对账明细接口!$B$17=0,"",[1]对账明细接口!$B$17),"")</f>
        <v>46247.0</v>
      </c>
      <c r="C17" s="16" t="str">
        <f>IFERROR(IF([1]对账明细接口!$C$17=0,"",[1]对账明细接口!$C$17),"")</f>
        <v>聂新平</v>
      </c>
      <c r="D17" s="16" t="str">
        <f>IFERROR(IF([1]对账明细接口!$D$17=0,"",[1]对账明细接口!$D$17),"")</f>
        <v>原料入库</v>
      </c>
      <c r="E17" s="16" t="str">
        <f>IFERROR(IF([1]对账明细接口!$E$17=0,"",[1]对账明细接口!$E$17),"")</f>
        <v>NO0000764</v>
      </c>
      <c r="F17" s="16" t="str">
        <f>IFERROR(IF([1]对账明细接口!$F$17=0,"",[1]对账明细接口!$F$17),"")</f>
        <v>苹果</v>
      </c>
      <c r="G17" s="16" t="str">
        <f>IFERROR(IF([1]对账明细接口!$G$17=0,"",[1]对账明细接口!$G$17),"")</f>
        <v>嘎啦100#</v>
      </c>
      <c r="H17" s="176">
        <f>IFERROR(IF([1]对账明细接口!$H$17=0,"",[1]对账明细接口!$H$17),"")</f>
        <v>7</v>
      </c>
      <c r="I17" s="16" t="str">
        <f>IFERROR(IF([1]对账明细接口!$I$17=0,"",[1]对账明细接口!$I$17),"")</f>
        <v>筐</v>
      </c>
      <c r="J17" s="177">
        <f>IFERROR(IF([1]对账明细接口!$J$17=0,"",[1]对账明细接口!$J$17),"")</f>
        <v>152.6</v>
      </c>
      <c r="K17" s="177">
        <f>IFERROR(IF([1]对账明细接口!$K$17=0,"",[1]对账明细接口!$K$17),"")</f>
      </c>
      <c r="L17" s="16">
        <f>IFERROR(IF([1]对账明细接口!$L$17=0,"",[1]对账明细接口!$L$17),"")</f>
      </c>
      <c r="M17" s="16">
        <f>IFERROR(IF([1]对账明细接口!$M$17=0,"",[1]对账明细接口!$M$17),"")</f>
      </c>
      <c r="N17" s="19">
        <f>IF($C17="",0,1)</f>
        <v>1</v>
      </c>
      <c r="O17" s="19">
        <f>N(O16)+$N17</f>
        <v>14</v>
      </c>
      <c r="S17" s="20" t="str">
        <f>IFERROR(IF([1]对账明细接口!$N17=0,"",[1]对账明细接口!$N17),"")</f>
        <v>自备一次性筐</v>
      </c>
      <c r="T17" s="212">
        <f>IFERROR(IF([1]对账明细接口!$O17=0,"",[1]对账明细接口!$O17),"")</f>
      </c>
      <c r="U17" s="212">
        <f>IFERROR(IF([1]对账明细接口!$P17=0,"",[1]对账明细接口!$P17),"")</f>
      </c>
      <c r="V17" s="212">
        <f>IFERROR(IF([1]对账明细接口!$Q17=0,"",[1]对账明细接口!$Q17),"")</f>
        <v>7</v>
      </c>
      <c r="W17" s="20" t="str">
        <f>IFERROR(IF([1]对账明细接口!$R17=0,"",[1]对账明细接口!$R17),"")</f>
        <v>苏M*7G796</v>
      </c>
      <c r="X17" s="20" t="str">
        <f>IFERROR(IF([1]对账明细接口!$S17=0,"",[1]对账明细接口!$S17),"")</f>
        <v>自备筐</v>
      </c>
      <c r="Y17" s="20">
        <f>IFERROR(IF([1]对账明细接口!$T17=0,"",[1]对账明细接口!$T17),"")</f>
      </c>
      <c r="Z17" s="213">
        <f>IFERROR(IF([1]对账明细接口!$U17=0,"",[1]对账明细接口!$U17),"")</f>
      </c>
      <c r="AA17" s="213">
        <f>IFERROR(IF([1]对账明细接口!$V17=0,"",[1]对账明细接口!$V17),"")</f>
      </c>
      <c r="AB17" s="20">
        <f>IFERROR(IF([1]对账明细接口!$W17=0,"",[1]对账明细接口!$W17),"")</f>
      </c>
      <c r="AC17" s="7">
        <f>IFERROR(IF([1]对账明细接口!$X17=0,"",[1]对账明细接口!$X17),"")</f>
      </c>
      <c r="AD17" s="7">
        <f>IFERROR(IF([1]对账明细接口!$Y17=0,"",[1]对账明细接口!$Y17),"")</f>
      </c>
      <c r="AE17" s="7">
        <f>IFERROR(IF([1]对账明细接口!$AA17=0,"",[1]对账明细接口!$AA17),"")</f>
      </c>
      <c r="AF17" s="7">
        <f>IFERROR(IF([1]对账明细接口!$AB17=0,"",[1]对账明细接口!$AB17),"")</f>
      </c>
      <c r="AG17" s="7">
        <f>IFERROR(IF([1]对账明细接口!$AC17=0,"",[1]对账明细接口!$AC17),"")</f>
      </c>
      <c r="AH17" s="7">
        <f>IFERROR(IF([1]对账明细接口!$AD17=0,"",[1]对账明细接口!$AD17),"")</f>
      </c>
      <c r="AI17" s="7">
        <f>IFERROR(IF([1]对账明细接口!$AE17=0,"",[1]对账明细接口!$AE17),"")</f>
      </c>
      <c r="AJ17" s="7">
        <f>IFERROR(IF([1]对账明细接口!$AF17=0,"",[1]对账明细接口!$AF17),"")</f>
      </c>
    </row>
    <row r="18" ht="14.25" customHeight="1" s="127">
      <c r="A18" s="14" t="n">
        <v>18</v>
      </c>
      <c r="B18" s="211">
        <f>IFERROR(IF([1]对账明细接口!$B$18=0,"",[1]对账明细接口!$B$18),"")</f>
        <v>46247.0</v>
      </c>
      <c r="C18" s="16" t="str">
        <f>IFERROR(IF([1]对账明细接口!$C$18=0,"",[1]对账明细接口!$C$18),"")</f>
        <v>王照雪</v>
      </c>
      <c r="D18" s="16" t="str">
        <f>IFERROR(IF([1]对账明细接口!$D$18=0,"",[1]对账明细接口!$D$18),"")</f>
        <v>原料入库</v>
      </c>
      <c r="E18" s="16" t="str">
        <f>IFERROR(IF([1]对账明细接口!$E$18=0,"",[1]对账明细接口!$E$18),"")</f>
        <v>NO0000765</v>
      </c>
      <c r="F18" s="16" t="str">
        <f>IFERROR(IF([1]对账明细接口!$F$18=0,"",[1]对账明细接口!$F$18),"")</f>
        <v>苹果</v>
      </c>
      <c r="G18" s="16" t="str">
        <f>IFERROR(IF([1]对账明细接口!$G$18=0,"",[1]对账明细接口!$G$18),"")</f>
        <v>华硕一级</v>
      </c>
      <c r="H18" s="176">
        <f>IFERROR(IF([1]对账明细接口!$H$18=0,"",[1]对账明细接口!$H$18),"")</f>
        <v>187</v>
      </c>
      <c r="I18" s="16" t="str">
        <f>IFERROR(IF([1]对账明细接口!$I$18=0,"",[1]对账明细接口!$I$18),"")</f>
        <v>筐</v>
      </c>
      <c r="J18" s="177">
        <f>IFERROR(IF([1]对账明细接口!$J$18=0,"",[1]对账明细接口!$J$18),"")</f>
        <v>3235.1</v>
      </c>
      <c r="K18" s="177">
        <f>IFERROR(IF([1]对账明细接口!$K$18=0,"",[1]对账明细接口!$K$18),"")</f>
      </c>
      <c r="L18" s="16">
        <f>IFERROR(IF([1]对账明细接口!$L$18=0,"",[1]对账明细接口!$L$18),"")</f>
      </c>
      <c r="M18" s="16">
        <f>IFERROR(IF([1]对账明细接口!$M$18=0,"",[1]对账明细接口!$M$18),"")</f>
      </c>
      <c r="N18" s="19">
        <f>IF($C18="",0,1)</f>
        <v>1</v>
      </c>
      <c r="O18" s="19">
        <f>N(O17)+$N18</f>
        <v>15</v>
      </c>
      <c r="S18" s="20" t="str">
        <f>IFERROR(IF([1]对账明细接口!$N18=0,"",[1]对账明细接口!$N18),"")</f>
        <v>公司杂周转筐</v>
      </c>
      <c r="T18" s="212">
        <f>IFERROR(IF([1]对账明细接口!$O18=0,"",[1]对账明细接口!$O18),"")</f>
      </c>
      <c r="U18" s="212">
        <f>IFERROR(IF([1]对账明细接口!$P18=0,"",[1]对账明细接口!$P18),"")</f>
      </c>
      <c r="V18" s="212">
        <f>IFERROR(IF([1]对账明细接口!$Q18=0,"",[1]对账明细接口!$Q18),"")</f>
        <v>187</v>
      </c>
      <c r="W18" s="20" t="str">
        <f>IFERROR(IF([1]对账明细接口!$R18=0,"",[1]对账明细接口!$R18),"")</f>
        <v>豫L*88X19</v>
      </c>
      <c r="X18" s="20" t="str">
        <f>IFERROR(IF([1]对账明细接口!$S18=0,"",[1]对账明细接口!$S18),"")</f>
        <v>公司筐</v>
      </c>
      <c r="Y18" s="20">
        <f>IFERROR(IF([1]对账明细接口!$T18=0,"",[1]对账明细接口!$T18),"")</f>
      </c>
      <c r="Z18" s="213">
        <f>IFERROR(IF([1]对账明细接口!$U18=0,"",[1]对账明细接口!$U18),"")</f>
      </c>
      <c r="AA18" s="213">
        <f>IFERROR(IF([1]对账明细接口!$V18=0,"",[1]对账明细接口!$V18),"")</f>
      </c>
      <c r="AB18" s="20">
        <f>IFERROR(IF([1]对账明细接口!$W18=0,"",[1]对账明细接口!$W18),"")</f>
      </c>
      <c r="AC18" s="7">
        <f>IFERROR(IF([1]对账明细接口!$X18=0,"",[1]对账明细接口!$X18),"")</f>
      </c>
      <c r="AD18" s="7">
        <f>IFERROR(IF([1]对账明细接口!$Y18=0,"",[1]对账明细接口!$Y18),"")</f>
      </c>
      <c r="AE18" s="7">
        <f>IFERROR(IF([1]对账明细接口!$AA18=0,"",[1]对账明细接口!$AA18),"")</f>
      </c>
      <c r="AF18" s="7">
        <f>IFERROR(IF([1]对账明细接口!$AB18=0,"",[1]对账明细接口!$AB18),"")</f>
      </c>
      <c r="AG18" s="7">
        <f>IFERROR(IF([1]对账明细接口!$AC18=0,"",[1]对账明细接口!$AC18),"")</f>
      </c>
      <c r="AH18" s="7">
        <f>IFERROR(IF([1]对账明细接口!$AD18=0,"",[1]对账明细接口!$AD18),"")</f>
      </c>
      <c r="AI18" s="7">
        <f>IFERROR(IF([1]对账明细接口!$AE18=0,"",[1]对账明细接口!$AE18),"")</f>
      </c>
      <c r="AJ18" s="7">
        <f>IFERROR(IF([1]对账明细接口!$AF18=0,"",[1]对账明细接口!$AF18),"")</f>
      </c>
    </row>
    <row r="19" ht="14.25" customHeight="1" s="127">
      <c r="A19" s="14" t="n">
        <v>19</v>
      </c>
      <c r="B19" s="211">
        <f>IFERROR(IF([1]对账明细接口!$B$19=0,"",[1]对账明细接口!$B$19),"")</f>
        <v>46247.0</v>
      </c>
      <c r="C19" s="16" t="str">
        <f>IFERROR(IF([1]对账明细接口!$C$19=0,"",[1]对账明细接口!$C$19),"")</f>
        <v>王照雪</v>
      </c>
      <c r="D19" s="16" t="str">
        <f>IFERROR(IF([1]对账明细接口!$D$19=0,"",[1]对账明细接口!$D$19),"")</f>
        <v>原料入库</v>
      </c>
      <c r="E19" s="16" t="str">
        <f>IFERROR(IF([1]对账明细接口!$E$19=0,"",[1]对账明细接口!$E$19),"")</f>
        <v>NO0000765</v>
      </c>
      <c r="F19" s="16" t="str">
        <f>IFERROR(IF([1]对账明细接口!$F$19=0,"",[1]对账明细接口!$F$19),"")</f>
        <v>苹果</v>
      </c>
      <c r="G19" s="16" t="str">
        <f>IFERROR(IF([1]对账明细接口!$G$19=0,"",[1]对账明细接口!$G$19),"")</f>
        <v>华硕二级</v>
      </c>
      <c r="H19" s="176">
        <f>IFERROR(IF([1]对账明细接口!$H$19=0,"",[1]对账明细接口!$H$19),"")</f>
        <v>49</v>
      </c>
      <c r="I19" s="16" t="str">
        <f>IFERROR(IF([1]对账明细接口!$I$19=0,"",[1]对账明细接口!$I$19),"")</f>
        <v>筐</v>
      </c>
      <c r="J19" s="177">
        <f>IFERROR(IF([1]对账明细接口!$J$19=0,"",[1]对账明细接口!$J$19),"")</f>
        <v>798.7</v>
      </c>
      <c r="K19" s="177">
        <f>IFERROR(IF([1]对账明细接口!$K$19=0,"",[1]对账明细接口!$K$19),"")</f>
      </c>
      <c r="L19" s="16">
        <f>IFERROR(IF([1]对账明细接口!$L$19=0,"",[1]对账明细接口!$L$19),"")</f>
      </c>
      <c r="M19" s="16">
        <f>IFERROR(IF([1]对账明细接口!$M$19=0,"",[1]对账明细接口!$M$19),"")</f>
      </c>
      <c r="N19" s="19">
        <f>IF($C19="",0,1)</f>
        <v>1</v>
      </c>
      <c r="O19" s="19">
        <f>N(O18)+$N19</f>
        <v>16</v>
      </c>
      <c r="S19" s="20" t="str">
        <f>IFERROR(IF([1]对账明细接口!$N19=0,"",[1]对账明细接口!$N19),"")</f>
        <v>公司杂周转筐</v>
      </c>
      <c r="T19" s="212">
        <f>IFERROR(IF([1]对账明细接口!$O19=0,"",[1]对账明细接口!$O19),"")</f>
      </c>
      <c r="U19" s="212">
        <f>IFERROR(IF([1]对账明细接口!$P19=0,"",[1]对账明细接口!$P19),"")</f>
      </c>
      <c r="V19" s="212">
        <f>IFERROR(IF([1]对账明细接口!$Q19=0,"",[1]对账明细接口!$Q19),"")</f>
        <v>49</v>
      </c>
      <c r="W19" s="20" t="str">
        <f>IFERROR(IF([1]对账明细接口!$R19=0,"",[1]对账明细接口!$R19),"")</f>
        <v>豫L*88X19</v>
      </c>
      <c r="X19" s="20" t="str">
        <f>IFERROR(IF([1]对账明细接口!$S19=0,"",[1]对账明细接口!$S19),"")</f>
        <v>公司筐</v>
      </c>
      <c r="Y19" s="20">
        <f>IFERROR(IF([1]对账明细接口!$T19=0,"",[1]对账明细接口!$T19),"")</f>
      </c>
      <c r="Z19" s="213">
        <f>IFERROR(IF([1]对账明细接口!$U19=0,"",[1]对账明细接口!$U19),"")</f>
      </c>
      <c r="AA19" s="213">
        <f>IFERROR(IF([1]对账明细接口!$V19=0,"",[1]对账明细接口!$V19),"")</f>
      </c>
      <c r="AB19" s="20">
        <f>IFERROR(IF([1]对账明细接口!$W19=0,"",[1]对账明细接口!$W19),"")</f>
      </c>
      <c r="AC19" s="7">
        <f>IFERROR(IF([1]对账明细接口!$X19=0,"",[1]对账明细接口!$X19),"")</f>
      </c>
      <c r="AD19" s="7">
        <f>IFERROR(IF([1]对账明细接口!$Y19=0,"",[1]对账明细接口!$Y19),"")</f>
      </c>
      <c r="AE19" s="7">
        <f>IFERROR(IF([1]对账明细接口!$AA19=0,"",[1]对账明细接口!$AA19),"")</f>
      </c>
      <c r="AF19" s="7">
        <f>IFERROR(IF([1]对账明细接口!$AB19=0,"",[1]对账明细接口!$AB19),"")</f>
      </c>
      <c r="AG19" s="7">
        <f>IFERROR(IF([1]对账明细接口!$AC19=0,"",[1]对账明细接口!$AC19),"")</f>
      </c>
      <c r="AH19" s="7">
        <f>IFERROR(IF([1]对账明细接口!$AD19=0,"",[1]对账明细接口!$AD19),"")</f>
      </c>
      <c r="AI19" s="7">
        <f>IFERROR(IF([1]对账明细接口!$AE19=0,"",[1]对账明细接口!$AE19),"")</f>
      </c>
      <c r="AJ19" s="7">
        <f>IFERROR(IF([1]对账明细接口!$AF19=0,"",[1]对账明细接口!$AF19),"")</f>
      </c>
    </row>
    <row r="20" ht="14.25" customHeight="1" s="127">
      <c r="A20" s="14" t="n">
        <v>20</v>
      </c>
      <c r="B20" s="211">
        <f>IFERROR(IF([1]对账明细接口!$B$20=0,"",[1]对账明细接口!$B$20),"")</f>
        <v>46247.0</v>
      </c>
      <c r="C20" s="16" t="str">
        <f>IFERROR(IF([1]对账明细接口!$C$20=0,"",[1]对账明细接口!$C$20),"")</f>
        <v>王照雪</v>
      </c>
      <c r="D20" s="16" t="str">
        <f>IFERROR(IF([1]对账明细接口!$D$20=0,"",[1]对账明细接口!$D$20),"")</f>
        <v>原料入库</v>
      </c>
      <c r="E20" s="16" t="str">
        <f>IFERROR(IF([1]对账明细接口!$E$20=0,"",[1]对账明细接口!$E$20),"")</f>
        <v>NO0000765</v>
      </c>
      <c r="F20" s="16" t="str">
        <f>IFERROR(IF([1]对账明细接口!$F$20=0,"",[1]对账明细接口!$F$20),"")</f>
        <v>苹果</v>
      </c>
      <c r="G20" s="16" t="str">
        <f>IFERROR(IF([1]对账明细接口!$G$20=0,"",[1]对账明细接口!$G$20),"")</f>
        <v>华硕高次</v>
      </c>
      <c r="H20" s="176">
        <f>IFERROR(IF([1]对账明细接口!$H$20=0,"",[1]对账明细接口!$H$20),"")</f>
        <v>11</v>
      </c>
      <c r="I20" s="16" t="str">
        <f>IFERROR(IF([1]对账明细接口!$I$20=0,"",[1]对账明细接口!$I$20),"")</f>
        <v>筐</v>
      </c>
      <c r="J20" s="177">
        <f>IFERROR(IF([1]对账明细接口!$J$20=0,"",[1]对账明细接口!$J$20),"")</f>
        <v>190.3</v>
      </c>
      <c r="K20" s="177">
        <f>IFERROR(IF([1]对账明细接口!$K$20=0,"",[1]对账明细接口!$K$20),"")</f>
      </c>
      <c r="L20" s="16">
        <f>IFERROR(IF([1]对账明细接口!$L$20=0,"",[1]对账明细接口!$L$20),"")</f>
      </c>
      <c r="M20" s="16">
        <f>IFERROR(IF([1]对账明细接口!$M$20=0,"",[1]对账明细接口!$M$20),"")</f>
      </c>
      <c r="N20" s="19">
        <f>IF($C20="",0,1)</f>
        <v>1</v>
      </c>
      <c r="O20" s="19">
        <f>N(O19)+$N20</f>
        <v>17</v>
      </c>
      <c r="S20" s="20" t="str">
        <f>IFERROR(IF([1]对账明细接口!$N20=0,"",[1]对账明细接口!$N20),"")</f>
        <v>公司杂周转筐</v>
      </c>
      <c r="T20" s="212">
        <f>IFERROR(IF([1]对账明细接口!$O20=0,"",[1]对账明细接口!$O20),"")</f>
      </c>
      <c r="U20" s="212">
        <f>IFERROR(IF([1]对账明细接口!$P20=0,"",[1]对账明细接口!$P20),"")</f>
      </c>
      <c r="V20" s="212">
        <f>IFERROR(IF([1]对账明细接口!$Q20=0,"",[1]对账明细接口!$Q20),"")</f>
        <v>11</v>
      </c>
      <c r="W20" s="20" t="str">
        <f>IFERROR(IF([1]对账明细接口!$R20=0,"",[1]对账明细接口!$R20),"")</f>
        <v>豫L*88X19</v>
      </c>
      <c r="X20" s="20" t="str">
        <f>IFERROR(IF([1]对账明细接口!$S20=0,"",[1]对账明细接口!$S20),"")</f>
        <v>公司筐</v>
      </c>
      <c r="Y20" s="20">
        <f>IFERROR(IF([1]对账明细接口!$T20=0,"",[1]对账明细接口!$T20),"")</f>
      </c>
      <c r="Z20" s="213">
        <f>IFERROR(IF([1]对账明细接口!$U20=0,"",[1]对账明细接口!$U20),"")</f>
      </c>
      <c r="AA20" s="213">
        <f>IFERROR(IF([1]对账明细接口!$V20=0,"",[1]对账明细接口!$V20),"")</f>
      </c>
      <c r="AB20" s="20">
        <f>IFERROR(IF([1]对账明细接口!$W20=0,"",[1]对账明细接口!$W20),"")</f>
      </c>
      <c r="AC20" s="7">
        <f>IFERROR(IF([1]对账明细接口!$X20=0,"",[1]对账明细接口!$X20),"")</f>
      </c>
      <c r="AD20" s="7">
        <f>IFERROR(IF([1]对账明细接口!$Y20=0,"",[1]对账明细接口!$Y20),"")</f>
      </c>
      <c r="AE20" s="7">
        <f>IFERROR(IF([1]对账明细接口!$AA20=0,"",[1]对账明细接口!$AA20),"")</f>
      </c>
      <c r="AF20" s="7">
        <f>IFERROR(IF([1]对账明细接口!$AB20=0,"",[1]对账明细接口!$AB20),"")</f>
      </c>
      <c r="AG20" s="7">
        <f>IFERROR(IF([1]对账明细接口!$AC20=0,"",[1]对账明细接口!$AC20),"")</f>
      </c>
      <c r="AH20" s="7">
        <f>IFERROR(IF([1]对账明细接口!$AD20=0,"",[1]对账明细接口!$AD20),"")</f>
      </c>
      <c r="AI20" s="7">
        <f>IFERROR(IF([1]对账明细接口!$AE20=0,"",[1]对账明细接口!$AE20),"")</f>
      </c>
      <c r="AJ20" s="7">
        <f>IFERROR(IF([1]对账明细接口!$AF20=0,"",[1]对账明细接口!$AF20),"")</f>
      </c>
    </row>
    <row r="21" ht="14.25" customHeight="1" s="127">
      <c r="A21" s="14" t="n">
        <v>21</v>
      </c>
      <c r="B21" s="211">
        <f>IFERROR(IF([1]对账明细接口!$B$21=0,"",[1]对账明细接口!$B$21),"")</f>
        <v>46248.0</v>
      </c>
      <c r="C21" s="16" t="str">
        <f>IFERROR(IF([1]对账明细接口!$C$21=0,"",[1]对账明细接口!$C$21),"")</f>
        <v>聂新平</v>
      </c>
      <c r="D21" s="16" t="str">
        <f>IFERROR(IF([1]对账明细接口!$D$21=0,"",[1]对账明细接口!$D$21),"")</f>
        <v>原料入库</v>
      </c>
      <c r="E21" s="16" t="str">
        <f>IFERROR(IF([1]对账明细接口!$E$21=0,"",[1]对账明细接口!$E$21),"")</f>
        <v>NO0000766</v>
      </c>
      <c r="F21" s="16" t="str">
        <f>IFERROR(IF([1]对账明细接口!$F$21=0,"",[1]对账明细接口!$F$21),"")</f>
        <v>苹果</v>
      </c>
      <c r="G21" s="16" t="str">
        <f>IFERROR(IF([1]对账明细接口!$G$21=0,"",[1]对账明细接口!$G$21),"")</f>
        <v>嘎啦85#</v>
      </c>
      <c r="H21" s="176">
        <f>IFERROR(IF([1]对账明细接口!$H$21=0,"",[1]对账明细接口!$H$21),"")</f>
        <v>40</v>
      </c>
      <c r="I21" s="16" t="str">
        <f>IFERROR(IF([1]对账明细接口!$I$21=0,"",[1]对账明细接口!$I$21),"")</f>
        <v>筐</v>
      </c>
      <c r="J21" s="177">
        <f>IFERROR(IF([1]对账明细接口!$J$21=0,"",[1]对账明细接口!$J$21),"")</f>
        <v>872</v>
      </c>
      <c r="K21" s="177">
        <f>IFERROR(IF([1]对账明细接口!$K$21=0,"",[1]对账明细接口!$K$21),"")</f>
      </c>
      <c r="L21" s="16">
        <f>IFERROR(IF([1]对账明细接口!$L$21=0,"",[1]对账明细接口!$L$21),"")</f>
      </c>
      <c r="M21" s="16">
        <f>IFERROR(IF([1]对账明细接口!$M$21=0,"",[1]对账明细接口!$M$21),"")</f>
      </c>
      <c r="N21" s="19">
        <f>IF($C21="",0,1)</f>
        <v>1</v>
      </c>
      <c r="O21" s="19">
        <f>N(O20)+$N21</f>
        <v>18</v>
      </c>
      <c r="S21" s="20" t="str">
        <f>IFERROR(IF([1]对账明细接口!$N21=0,"",[1]对账明细接口!$N21),"")</f>
        <v>自备一次性筐</v>
      </c>
      <c r="T21" s="212">
        <f>IFERROR(IF([1]对账明细接口!$O21=0,"",[1]对账明细接口!$O21),"")</f>
      </c>
      <c r="U21" s="212">
        <f>IFERROR(IF([1]对账明细接口!$P21=0,"",[1]对账明细接口!$P21),"")</f>
      </c>
      <c r="V21" s="212">
        <f>IFERROR(IF([1]对账明细接口!$Q21=0,"",[1]对账明细接口!$Q21),"")</f>
        <v>40</v>
      </c>
      <c r="W21" s="20" t="str">
        <f>IFERROR(IF([1]对账明细接口!$R21=0,"",[1]对账明细接口!$R21),"")</f>
        <v>苏M*7G796</v>
      </c>
      <c r="X21" s="20" t="str">
        <f>IFERROR(IF([1]对账明细接口!$S21=0,"",[1]对账明细接口!$S21),"")</f>
        <v>自备筐</v>
      </c>
      <c r="Y21" s="20">
        <f>IFERROR(IF([1]对账明细接口!$T21=0,"",[1]对账明细接口!$T21),"")</f>
      </c>
      <c r="Z21" s="213">
        <f>IFERROR(IF([1]对账明细接口!$U21=0,"",[1]对账明细接口!$U21),"")</f>
      </c>
      <c r="AA21" s="213">
        <f>IFERROR(IF([1]对账明细接口!$V21=0,"",[1]对账明细接口!$V21),"")</f>
      </c>
      <c r="AB21" s="20">
        <f>IFERROR(IF([1]对账明细接口!$W21=0,"",[1]对账明细接口!$W21),"")</f>
      </c>
      <c r="AC21" s="7">
        <f>IFERROR(IF([1]对账明细接口!$X21=0,"",[1]对账明细接口!$X21),"")</f>
      </c>
      <c r="AD21" s="7">
        <f>IFERROR(IF([1]对账明细接口!$Y21=0,"",[1]对账明细接口!$Y21),"")</f>
      </c>
      <c r="AE21" s="7">
        <f>IFERROR(IF([1]对账明细接口!$AA21=0,"",[1]对账明细接口!$AA21),"")</f>
      </c>
      <c r="AF21" s="7">
        <f>IFERROR(IF([1]对账明细接口!$AB21=0,"",[1]对账明细接口!$AB21),"")</f>
      </c>
      <c r="AG21" s="7">
        <f>IFERROR(IF([1]对账明细接口!$AC21=0,"",[1]对账明细接口!$AC21),"")</f>
      </c>
      <c r="AH21" s="7">
        <f>IFERROR(IF([1]对账明细接口!$AD21=0,"",[1]对账明细接口!$AD21),"")</f>
      </c>
      <c r="AI21" s="7">
        <f>IFERROR(IF([1]对账明细接口!$AE21=0,"",[1]对账明细接口!$AE21),"")</f>
      </c>
      <c r="AJ21" s="7">
        <f>IFERROR(IF([1]对账明细接口!$AF21=0,"",[1]对账明细接口!$AF21),"")</f>
      </c>
    </row>
    <row r="22" ht="14.25" customHeight="1" s="127">
      <c r="A22" s="14" t="n">
        <v>22</v>
      </c>
      <c r="B22" s="211">
        <f>IFERROR(IF([1]对账明细接口!$B$22=0,"",[1]对账明细接口!$B$22),"")</f>
        <v>46248.0</v>
      </c>
      <c r="C22" s="16" t="str">
        <f>IFERROR(IF([1]对账明细接口!$C$22=0,"",[1]对账明细接口!$C$22),"")</f>
        <v>聂新平</v>
      </c>
      <c r="D22" s="16" t="str">
        <f>IFERROR(IF([1]对账明细接口!$D$22=0,"",[1]对账明细接口!$D$22),"")</f>
        <v>原料入库</v>
      </c>
      <c r="E22" s="16" t="str">
        <f>IFERROR(IF([1]对账明细接口!$E$22=0,"",[1]对账明细接口!$E$22),"")</f>
        <v>NO0000766</v>
      </c>
      <c r="F22" s="16" t="str">
        <f>IFERROR(IF([1]对账明细接口!$F$22=0,"",[1]对账明细接口!$F$22),"")</f>
        <v>苹果</v>
      </c>
      <c r="G22" s="16" t="str">
        <f>IFERROR(IF([1]对账明细接口!$G$22=0,"",[1]对账明细接口!$G$22),"")</f>
        <v>嘎啦100#</v>
      </c>
      <c r="H22" s="176">
        <f>IFERROR(IF([1]对账明细接口!$H$22=0,"",[1]对账明细接口!$H$22),"")</f>
        <v>74</v>
      </c>
      <c r="I22" s="16" t="str">
        <f>IFERROR(IF([1]对账明细接口!$I$22=0,"",[1]对账明细接口!$I$22),"")</f>
        <v>筐</v>
      </c>
      <c r="J22" s="177">
        <f>IFERROR(IF([1]对账明细接口!$J$22=0,"",[1]对账明细接口!$J$22),"")</f>
        <v>1613.2</v>
      </c>
      <c r="K22" s="177">
        <f>IFERROR(IF([1]对账明细接口!$K$22=0,"",[1]对账明细接口!$K$22),"")</f>
      </c>
      <c r="L22" s="16">
        <f>IFERROR(IF([1]对账明细接口!$L$22=0,"",[1]对账明细接口!$L$22),"")</f>
      </c>
      <c r="M22" s="16">
        <f>IFERROR(IF([1]对账明细接口!$M$22=0,"",[1]对账明细接口!$M$22),"")</f>
      </c>
      <c r="N22" s="19">
        <f>IF($C22="",0,1)</f>
        <v>1</v>
      </c>
      <c r="O22" s="19">
        <f>N(O21)+$N22</f>
        <v>19</v>
      </c>
      <c r="S22" s="20" t="str">
        <f>IFERROR(IF([1]对账明细接口!$N22=0,"",[1]对账明细接口!$N22),"")</f>
        <v>自备一次性筐</v>
      </c>
      <c r="T22" s="212">
        <f>IFERROR(IF([1]对账明细接口!$O22=0,"",[1]对账明细接口!$O22),"")</f>
      </c>
      <c r="U22" s="212">
        <f>IFERROR(IF([1]对账明细接口!$P22=0,"",[1]对账明细接口!$P22),"")</f>
      </c>
      <c r="V22" s="212">
        <f>IFERROR(IF([1]对账明细接口!$Q22=0,"",[1]对账明细接口!$Q22),"")</f>
        <v>74</v>
      </c>
      <c r="W22" s="20" t="str">
        <f>IFERROR(IF([1]对账明细接口!$R22=0,"",[1]对账明细接口!$R22),"")</f>
        <v>苏M*7G796</v>
      </c>
      <c r="X22" s="20" t="str">
        <f>IFERROR(IF([1]对账明细接口!$S22=0,"",[1]对账明细接口!$S22),"")</f>
        <v>自备筐</v>
      </c>
      <c r="Y22" s="20">
        <f>IFERROR(IF([1]对账明细接口!$T22=0,"",[1]对账明细接口!$T22),"")</f>
      </c>
      <c r="Z22" s="213">
        <f>IFERROR(IF([1]对账明细接口!$U22=0,"",[1]对账明细接口!$U22),"")</f>
      </c>
      <c r="AA22" s="213">
        <f>IFERROR(IF([1]对账明细接口!$V22=0,"",[1]对账明细接口!$V22),"")</f>
      </c>
      <c r="AB22" s="20">
        <f>IFERROR(IF([1]对账明细接口!$W22=0,"",[1]对账明细接口!$W22),"")</f>
      </c>
      <c r="AC22" s="7">
        <f>IFERROR(IF([1]对账明细接口!$X22=0,"",[1]对账明细接口!$X22),"")</f>
      </c>
      <c r="AD22" s="7">
        <f>IFERROR(IF([1]对账明细接口!$Y22=0,"",[1]对账明细接口!$Y22),"")</f>
      </c>
      <c r="AE22" s="7">
        <f>IFERROR(IF([1]对账明细接口!$AA22=0,"",[1]对账明细接口!$AA22),"")</f>
      </c>
      <c r="AF22" s="7">
        <f>IFERROR(IF([1]对账明细接口!$AB22=0,"",[1]对账明细接口!$AB22),"")</f>
      </c>
      <c r="AG22" s="7">
        <f>IFERROR(IF([1]对账明细接口!$AC22=0,"",[1]对账明细接口!$AC22),"")</f>
      </c>
      <c r="AH22" s="7">
        <f>IFERROR(IF([1]对账明细接口!$AD22=0,"",[1]对账明细接口!$AD22),"")</f>
      </c>
      <c r="AI22" s="7">
        <f>IFERROR(IF([1]对账明细接口!$AE22=0,"",[1]对账明细接口!$AE22),"")</f>
      </c>
      <c r="AJ22" s="7">
        <f>IFERROR(IF([1]对账明细接口!$AF22=0,"",[1]对账明细接口!$AF22),"")</f>
      </c>
    </row>
    <row r="23" ht="14.25" customHeight="1" s="127">
      <c r="A23" s="14" t="n">
        <v>23</v>
      </c>
      <c r="B23" s="211">
        <f>IFERROR(IF([1]对账明细接口!$B$23=0,"",[1]对账明细接口!$B$23),"")</f>
        <v>46248.0</v>
      </c>
      <c r="C23" s="16" t="str">
        <f>IFERROR(IF([1]对账明细接口!$C$23=0,"",[1]对账明细接口!$C$23),"")</f>
        <v>伍元虎</v>
      </c>
      <c r="D23" s="16" t="str">
        <f>IFERROR(IF([1]对账明细接口!$D$23=0,"",[1]对账明细接口!$D$23),"")</f>
        <v>原料入库</v>
      </c>
      <c r="E23" s="16" t="str">
        <f>IFERROR(IF([1]对账明细接口!$E$23=0,"",[1]对账明细接口!$E$23),"")</f>
        <v>NO0000767</v>
      </c>
      <c r="F23" s="16" t="str">
        <f>IFERROR(IF([1]对账明细接口!$F$23=0,"",[1]对账明细接口!$F$23),"")</f>
        <v>苹果</v>
      </c>
      <c r="G23" s="16" t="str">
        <f>IFERROR(IF([1]对账明细接口!$G$23=0,"",[1]对账明细接口!$G$23),"")</f>
        <v>海棠果</v>
      </c>
      <c r="H23" s="176">
        <f>IFERROR(IF([1]对账明细接口!$H$23=0,"",[1]对账明细接口!$H$23),"")</f>
        <v>24</v>
      </c>
      <c r="I23" s="16" t="str">
        <f>IFERROR(IF([1]对账明细接口!$I$23=0,"",[1]对账明细接口!$I$23),"")</f>
        <v>筐</v>
      </c>
      <c r="J23" s="177">
        <f>IFERROR(IF([1]对账明细接口!$J$23=0,"",[1]对账明细接口!$J$23),"")</f>
        <v>540</v>
      </c>
      <c r="K23" s="177">
        <f>IFERROR(IF([1]对账明细接口!$K$23=0,"",[1]对账明细接口!$K$23),"")</f>
      </c>
      <c r="L23" s="16">
        <f>IFERROR(IF([1]对账明细接口!$L$23=0,"",[1]对账明细接口!$L$23),"")</f>
      </c>
      <c r="M23" s="16">
        <f>IFERROR(IF([1]对账明细接口!$M$23=0,"",[1]对账明细接口!$M$23),"")</f>
      </c>
      <c r="N23" s="19">
        <f>IF($C23="",0,1)</f>
        <v>1</v>
      </c>
      <c r="O23" s="19">
        <f>N(O22)+$N23</f>
        <v>20</v>
      </c>
      <c r="S23" s="20" t="str">
        <f>IFERROR(IF([1]对账明细接口!$N23=0,"",[1]对账明细接口!$N23),"")</f>
        <v>自备一次性筐</v>
      </c>
      <c r="T23" s="212">
        <f>IFERROR(IF([1]对账明细接口!$O23=0,"",[1]对账明细接口!$O23),"")</f>
      </c>
      <c r="U23" s="212">
        <f>IFERROR(IF([1]对账明细接口!$P23=0,"",[1]对账明细接口!$P23),"")</f>
      </c>
      <c r="V23" s="212">
        <f>IFERROR(IF([1]对账明细接口!$Q23=0,"",[1]对账明细接口!$Q23),"")</f>
        <v>24</v>
      </c>
      <c r="W23" s="20" t="str">
        <f>IFERROR(IF([1]对账明细接口!$R23=0,"",[1]对账明细接口!$R23),"")</f>
        <v>三轮车</v>
      </c>
      <c r="X23" s="20" t="str">
        <f>IFERROR(IF([1]对账明细接口!$S23=0,"",[1]对账明细接口!$S23),"")</f>
        <v>自备筐</v>
      </c>
      <c r="Y23" s="20">
        <f>IFERROR(IF([1]对账明细接口!$T23=0,"",[1]对账明细接口!$T23),"")</f>
      </c>
      <c r="Z23" s="213">
        <f>IFERROR(IF([1]对账明细接口!$U23=0,"",[1]对账明细接口!$U23),"")</f>
      </c>
      <c r="AA23" s="213">
        <f>IFERROR(IF([1]对账明细接口!$V23=0,"",[1]对账明细接口!$V23),"")</f>
      </c>
      <c r="AB23" s="20">
        <f>IFERROR(IF([1]对账明细接口!$W23=0,"",[1]对账明细接口!$W23),"")</f>
      </c>
      <c r="AC23" s="7">
        <f>IFERROR(IF([1]对账明细接口!$X23=0,"",[1]对账明细接口!$X23),"")</f>
      </c>
      <c r="AD23" s="7">
        <f>IFERROR(IF([1]对账明细接口!$Y23=0,"",[1]对账明细接口!$Y23),"")</f>
      </c>
      <c r="AE23" s="7">
        <f>IFERROR(IF([1]对账明细接口!$AA23=0,"",[1]对账明细接口!$AA23),"")</f>
      </c>
      <c r="AF23" s="7">
        <f>IFERROR(IF([1]对账明细接口!$AB23=0,"",[1]对账明细接口!$AB23),"")</f>
      </c>
      <c r="AG23" s="7">
        <f>IFERROR(IF([1]对账明细接口!$AC23=0,"",[1]对账明细接口!$AC23),"")</f>
      </c>
      <c r="AH23" s="7">
        <f>IFERROR(IF([1]对账明细接口!$AD23=0,"",[1]对账明细接口!$AD23),"")</f>
      </c>
      <c r="AI23" s="7">
        <f>IFERROR(IF([1]对账明细接口!$AE23=0,"",[1]对账明细接口!$AE23),"")</f>
      </c>
      <c r="AJ23" s="7">
        <f>IFERROR(IF([1]对账明细接口!$AF23=0,"",[1]对账明细接口!$AF23),"")</f>
      </c>
    </row>
    <row r="24" ht="14.25" customHeight="1" s="127">
      <c r="A24" s="14" t="n">
        <v>24</v>
      </c>
      <c r="B24" s="211">
        <f>IFERROR(IF([1]对账明细接口!$B$24=0,"",[1]对账明细接口!$B$24),"")</f>
        <v>46248.0</v>
      </c>
      <c r="C24" s="16" t="str">
        <f>IFERROR(IF([1]对账明细接口!$C$24=0,"",[1]对账明细接口!$C$24),"")</f>
        <v>王照雪</v>
      </c>
      <c r="D24" s="16" t="str">
        <f>IFERROR(IF([1]对账明细接口!$D$24=0,"",[1]对账明细接口!$D$24),"")</f>
        <v>原料入库</v>
      </c>
      <c r="E24" s="16" t="str">
        <f>IFERROR(IF([1]对账明细接口!$E$24=0,"",[1]对账明细接口!$E$24),"")</f>
        <v>NO0000768</v>
      </c>
      <c r="F24" s="16" t="str">
        <f>IFERROR(IF([1]对账明细接口!$F$24=0,"",[1]对账明细接口!$F$24),"")</f>
        <v>李子</v>
      </c>
      <c r="G24" s="16" t="str">
        <f>IFERROR(IF([1]对账明细接口!$G$24=0,"",[1]对账明细接口!$G$24),"")</f>
        <v>樱桃李</v>
      </c>
      <c r="H24" s="176">
        <f>IFERROR(IF([1]对账明细接口!$H$24=0,"",[1]对账明细接口!$H$24),"")</f>
        <v>317</v>
      </c>
      <c r="I24" s="16" t="str">
        <f>IFERROR(IF([1]对账明细接口!$I$24=0,"",[1]对账明细接口!$I$24),"")</f>
        <v>筐</v>
      </c>
      <c r="J24" s="177">
        <f>IFERROR(IF([1]对账明细接口!$J$24=0,"",[1]对账明细接口!$J$24),"")</f>
        <v>5167.1</v>
      </c>
      <c r="K24" s="177">
        <f>IFERROR(IF([1]对账明细接口!$K$24=0,"",[1]对账明细接口!$K$24),"")</f>
      </c>
      <c r="L24" s="16">
        <f>IFERROR(IF([1]对账明细接口!$L$24=0,"",[1]对账明细接口!$L$24),"")</f>
      </c>
      <c r="M24" s="16">
        <f>IFERROR(IF([1]对账明细接口!$M$24=0,"",[1]对账明细接口!$M$24),"")</f>
      </c>
      <c r="N24" s="19">
        <f>IF($C24="",0,1)</f>
        <v>1</v>
      </c>
      <c r="O24" s="19">
        <f>N(O23)+$N24</f>
        <v>21</v>
      </c>
      <c r="S24" s="20" t="str">
        <f>IFERROR(IF([1]对账明细接口!$N24=0,"",[1]对账明细接口!$N24),"")</f>
        <v>自备一次性筐</v>
      </c>
      <c r="T24" s="212">
        <f>IFERROR(IF([1]对账明细接口!$O24=0,"",[1]对账明细接口!$O24),"")</f>
      </c>
      <c r="U24" s="212">
        <f>IFERROR(IF([1]对账明细接口!$P24=0,"",[1]对账明细接口!$P24),"")</f>
      </c>
      <c r="V24" s="212">
        <f>IFERROR(IF([1]对账明细接口!$Q24=0,"",[1]对账明细接口!$Q24),"")</f>
        <v>317</v>
      </c>
      <c r="W24" s="20" t="str">
        <f>IFERROR(IF([1]对账明细接口!$R24=0,"",[1]对账明细接口!$R24),"")</f>
        <v>豫L*88X19</v>
      </c>
      <c r="X24" s="20" t="str">
        <f>IFERROR(IF([1]对账明细接口!$S24=0,"",[1]对账明细接口!$S24),"")</f>
        <v>自备筐</v>
      </c>
      <c r="Y24" s="20">
        <f>IFERROR(IF([1]对账明细接口!$T24=0,"",[1]对账明细接口!$T24),"")</f>
      </c>
      <c r="Z24" s="213">
        <f>IFERROR(IF([1]对账明细接口!$U24=0,"",[1]对账明细接口!$U24),"")</f>
      </c>
      <c r="AA24" s="213">
        <f>IFERROR(IF([1]对账明细接口!$V24=0,"",[1]对账明细接口!$V24),"")</f>
      </c>
      <c r="AB24" s="20">
        <f>IFERROR(IF([1]对账明细接口!$W24=0,"",[1]对账明细接口!$W24),"")</f>
      </c>
      <c r="AC24" s="7">
        <f>IFERROR(IF([1]对账明细接口!$X24=0,"",[1]对账明细接口!$X24),"")</f>
      </c>
      <c r="AD24" s="7">
        <f>IFERROR(IF([1]对账明细接口!$Y24=0,"",[1]对账明细接口!$Y24),"")</f>
      </c>
      <c r="AE24" s="7">
        <f>IFERROR(IF([1]对账明细接口!$AA24=0,"",[1]对账明细接口!$AA24),"")</f>
      </c>
      <c r="AF24" s="7">
        <f>IFERROR(IF([1]对账明细接口!$AB24=0,"",[1]对账明细接口!$AB24),"")</f>
      </c>
      <c r="AG24" s="7">
        <f>IFERROR(IF([1]对账明细接口!$AC24=0,"",[1]对账明细接口!$AC24),"")</f>
      </c>
      <c r="AH24" s="7">
        <f>IFERROR(IF([1]对账明细接口!$AD24=0,"",[1]对账明细接口!$AD24),"")</f>
      </c>
      <c r="AI24" s="7">
        <f>IFERROR(IF([1]对账明细接口!$AE24=0,"",[1]对账明细接口!$AE24),"")</f>
      </c>
      <c r="AJ24" s="7">
        <f>IFERROR(IF([1]对账明细接口!$AF24=0,"",[1]对账明细接口!$AF24),"")</f>
      </c>
    </row>
    <row r="25" ht="14.25" customHeight="1" s="127">
      <c r="A25" s="14" t="n">
        <v>25</v>
      </c>
      <c r="B25" s="211">
        <f>IFERROR(IF([1]对账明细接口!$B$25=0,"",[1]对账明细接口!$B$25),"")</f>
        <v>46249.0</v>
      </c>
      <c r="C25" s="16" t="str">
        <f>IFERROR(IF([1]对账明细接口!$C$25=0,"",[1]对账明细接口!$C$25),"")</f>
        <v>伍元虎</v>
      </c>
      <c r="D25" s="16" t="str">
        <f>IFERROR(IF([1]对账明细接口!$D$25=0,"",[1]对账明细接口!$D$25),"")</f>
        <v>原料入库</v>
      </c>
      <c r="E25" s="16" t="str">
        <f>IFERROR(IF([1]对账明细接口!$E$25=0,"",[1]对账明细接口!$E$25),"")</f>
        <v>NO0000769</v>
      </c>
      <c r="F25" s="16" t="str">
        <f>IFERROR(IF([1]对账明细接口!$F$25=0,"",[1]对账明细接口!$F$25),"")</f>
        <v>苹果</v>
      </c>
      <c r="G25" s="16" t="str">
        <f>IFERROR(IF([1]对账明细接口!$G$25=0,"",[1]对账明细接口!$G$25),"")</f>
        <v>海棠果</v>
      </c>
      <c r="H25" s="176">
        <f>IFERROR(IF([1]对账明细接口!$H$25=0,"",[1]对账明细接口!$H$25),"")</f>
        <v>34</v>
      </c>
      <c r="I25" s="16" t="str">
        <f>IFERROR(IF([1]对账明细接口!$I$25=0,"",[1]对账明细接口!$I$25),"")</f>
        <v>筐</v>
      </c>
      <c r="J25" s="177">
        <f>IFERROR(IF([1]对账明细接口!$J$25=0,"",[1]对账明细接口!$J$25),"")</f>
        <v>765</v>
      </c>
      <c r="K25" s="177">
        <f>IFERROR(IF([1]对账明细接口!$K$25=0,"",[1]对账明细接口!$K$25),"")</f>
      </c>
      <c r="L25" s="16">
        <f>IFERROR(IF([1]对账明细接口!$L$25=0,"",[1]对账明细接口!$L$25),"")</f>
      </c>
      <c r="M25" s="16">
        <f>IFERROR(IF([1]对账明细接口!$M$25=0,"",[1]对账明细接口!$M$25),"")</f>
      </c>
      <c r="N25" s="19">
        <f>IF($C25="",0,1)</f>
        <v>1</v>
      </c>
      <c r="O25" s="19">
        <f>N(O24)+$N25</f>
        <v>22</v>
      </c>
      <c r="S25" s="20" t="str">
        <f>IFERROR(IF([1]对账明细接口!$N25=0,"",[1]对账明细接口!$N25),"")</f>
        <v>自备一次性筐</v>
      </c>
      <c r="T25" s="212">
        <f>IFERROR(IF([1]对账明细接口!$O25=0,"",[1]对账明细接口!$O25),"")</f>
      </c>
      <c r="U25" s="212">
        <f>IFERROR(IF([1]对账明细接口!$P25=0,"",[1]对账明细接口!$P25),"")</f>
      </c>
      <c r="V25" s="212">
        <f>IFERROR(IF([1]对账明细接口!$Q25=0,"",[1]对账明细接口!$Q25),"")</f>
        <v>34</v>
      </c>
      <c r="W25" s="20" t="str">
        <f>IFERROR(IF([1]对账明细接口!$R25=0,"",[1]对账明细接口!$R25),"")</f>
        <v>三轮车</v>
      </c>
      <c r="X25" s="20" t="str">
        <f>IFERROR(IF([1]对账明细接口!$S25=0,"",[1]对账明细接口!$S25),"")</f>
        <v>自备筐</v>
      </c>
      <c r="Y25" s="20">
        <f>IFERROR(IF([1]对账明细接口!$T25=0,"",[1]对账明细接口!$T25),"")</f>
      </c>
      <c r="Z25" s="213">
        <f>IFERROR(IF([1]对账明细接口!$U25=0,"",[1]对账明细接口!$U25),"")</f>
      </c>
      <c r="AA25" s="213">
        <f>IFERROR(IF([1]对账明细接口!$V25=0,"",[1]对账明细接口!$V25),"")</f>
      </c>
      <c r="AB25" s="20">
        <f>IFERROR(IF([1]对账明细接口!$W25=0,"",[1]对账明细接口!$W25),"")</f>
      </c>
      <c r="AC25" s="7">
        <f>IFERROR(IF([1]对账明细接口!$X25=0,"",[1]对账明细接口!$X25),"")</f>
      </c>
      <c r="AD25" s="7">
        <f>IFERROR(IF([1]对账明细接口!$Y25=0,"",[1]对账明细接口!$Y25),"")</f>
      </c>
      <c r="AE25" s="7">
        <f>IFERROR(IF([1]对账明细接口!$AA25=0,"",[1]对账明细接口!$AA25),"")</f>
      </c>
      <c r="AF25" s="7">
        <f>IFERROR(IF([1]对账明细接口!$AB25=0,"",[1]对账明细接口!$AB25),"")</f>
      </c>
      <c r="AG25" s="7">
        <f>IFERROR(IF([1]对账明细接口!$AC25=0,"",[1]对账明细接口!$AC25),"")</f>
      </c>
      <c r="AH25" s="7">
        <f>IFERROR(IF([1]对账明细接口!$AD25=0,"",[1]对账明细接口!$AD25),"")</f>
      </c>
      <c r="AI25" s="7">
        <f>IFERROR(IF([1]对账明细接口!$AE25=0,"",[1]对账明细接口!$AE25),"")</f>
      </c>
      <c r="AJ25" s="7">
        <f>IFERROR(IF([1]对账明细接口!$AF25=0,"",[1]对账明细接口!$AF25),"")</f>
      </c>
    </row>
    <row r="26" ht="14.25" customHeight="1" s="127">
      <c r="A26" s="14" t="n">
        <v>26</v>
      </c>
      <c r="B26" s="211">
        <f>IFERROR(IF([1]对账明细接口!$B$26=0,"",[1]对账明细接口!$B$26),"")</f>
        <v>46249.0</v>
      </c>
      <c r="C26" s="16" t="str">
        <f>IFERROR(IF([1]对账明细接口!$C$26=0,"",[1]对账明细接口!$C$26),"")</f>
        <v>聂新平</v>
      </c>
      <c r="D26" s="16" t="str">
        <f>IFERROR(IF([1]对账明细接口!$D$26=0,"",[1]对账明细接口!$D$26),"")</f>
        <v>原料入库</v>
      </c>
      <c r="E26" s="16" t="str">
        <f>IFERROR(IF([1]对账明细接口!$E$26=0,"",[1]对账明细接口!$E$26),"")</f>
        <v>NO0000770</v>
      </c>
      <c r="F26" s="16" t="str">
        <f>IFERROR(IF([1]对账明细接口!$F$26=0,"",[1]对账明细接口!$F$26),"")</f>
        <v>苹果</v>
      </c>
      <c r="G26" s="16" t="str">
        <f>IFERROR(IF([1]对账明细接口!$G$26=0,"",[1]对账明细接口!$G$26),"")</f>
        <v>嘎啦85#</v>
      </c>
      <c r="H26" s="176">
        <f>IFERROR(IF([1]对账明细接口!$H$26=0,"",[1]对账明细接口!$H$26),"")</f>
        <v>34</v>
      </c>
      <c r="I26" s="16" t="str">
        <f>IFERROR(IF([1]对账明细接口!$I$26=0,"",[1]对账明细接口!$I$26),"")</f>
        <v>筐</v>
      </c>
      <c r="J26" s="177">
        <f>IFERROR(IF([1]对账明细接口!$J$26=0,"",[1]对账明细接口!$J$26),"")</f>
        <v>741.2</v>
      </c>
      <c r="K26" s="177">
        <f>IFERROR(IF([1]对账明细接口!$K$26=0,"",[1]对账明细接口!$K$26),"")</f>
      </c>
      <c r="L26" s="16">
        <f>IFERROR(IF([1]对账明细接口!$L$26=0,"",[1]对账明细接口!$L$26),"")</f>
      </c>
      <c r="M26" s="16">
        <f>IFERROR(IF([1]对账明细接口!$M$26=0,"",[1]对账明细接口!$M$26),"")</f>
      </c>
      <c r="N26" s="19">
        <f>IF($C26="",0,1)</f>
        <v>1</v>
      </c>
      <c r="O26" s="19">
        <f>N(O25)+$N26</f>
        <v>23</v>
      </c>
      <c r="S26" s="20" t="str">
        <f>IFERROR(IF([1]对账明细接口!$N26=0,"",[1]对账明细接口!$N26),"")</f>
        <v>自备一次性筐</v>
      </c>
      <c r="T26" s="212">
        <f>IFERROR(IF([1]对账明细接口!$O26=0,"",[1]对账明细接口!$O26),"")</f>
      </c>
      <c r="U26" s="212">
        <f>IFERROR(IF([1]对账明细接口!$P26=0,"",[1]对账明细接口!$P26),"")</f>
      </c>
      <c r="V26" s="212">
        <f>IFERROR(IF([1]对账明细接口!$Q26=0,"",[1]对账明细接口!$Q26),"")</f>
        <v>34</v>
      </c>
      <c r="W26" s="20" t="str">
        <f>IFERROR(IF([1]对账明细接口!$R26=0,"",[1]对账明细接口!$R26),"")</f>
        <v>苏M*7G796</v>
      </c>
      <c r="X26" s="20" t="str">
        <f>IFERROR(IF([1]对账明细接口!$S26=0,"",[1]对账明细接口!$S26),"")</f>
        <v>自备筐</v>
      </c>
      <c r="Y26" s="20">
        <f>IFERROR(IF([1]对账明细接口!$T26=0,"",[1]对账明细接口!$T26),"")</f>
      </c>
      <c r="Z26" s="213">
        <f>IFERROR(IF([1]对账明细接口!$U26=0,"",[1]对账明细接口!$U26),"")</f>
      </c>
      <c r="AA26" s="213">
        <f>IFERROR(IF([1]对账明细接口!$V26=0,"",[1]对账明细接口!$V26),"")</f>
      </c>
      <c r="AB26" s="20">
        <f>IFERROR(IF([1]对账明细接口!$W26=0,"",[1]对账明细接口!$W26),"")</f>
      </c>
      <c r="AC26" s="7">
        <f>IFERROR(IF([1]对账明细接口!$X26=0,"",[1]对账明细接口!$X26),"")</f>
      </c>
      <c r="AD26" s="7">
        <f>IFERROR(IF([1]对账明细接口!$Y26=0,"",[1]对账明细接口!$Y26),"")</f>
      </c>
      <c r="AE26" s="7">
        <f>IFERROR(IF([1]对账明细接口!$AA26=0,"",[1]对账明细接口!$AA26),"")</f>
      </c>
      <c r="AF26" s="7">
        <f>IFERROR(IF([1]对账明细接口!$AB26=0,"",[1]对账明细接口!$AB26),"")</f>
      </c>
      <c r="AG26" s="7">
        <f>IFERROR(IF([1]对账明细接口!$AC26=0,"",[1]对账明细接口!$AC26),"")</f>
      </c>
      <c r="AH26" s="7">
        <f>IFERROR(IF([1]对账明细接口!$AD26=0,"",[1]对账明细接口!$AD26),"")</f>
      </c>
      <c r="AI26" s="7">
        <f>IFERROR(IF([1]对账明细接口!$AE26=0,"",[1]对账明细接口!$AE26),"")</f>
      </c>
      <c r="AJ26" s="7">
        <f>IFERROR(IF([1]对账明细接口!$AF26=0,"",[1]对账明细接口!$AF26),"")</f>
      </c>
    </row>
    <row r="27" ht="14.25" customHeight="1" s="127">
      <c r="A27" s="14" t="n">
        <v>27</v>
      </c>
      <c r="B27" s="211">
        <f>IFERROR(IF([1]对账明细接口!$B$27=0,"",[1]对账明细接口!$B$27),"")</f>
        <v>46249.0</v>
      </c>
      <c r="C27" s="16" t="str">
        <f>IFERROR(IF([1]对账明细接口!$C$27=0,"",[1]对账明细接口!$C$27),"")</f>
        <v>聂新平</v>
      </c>
      <c r="D27" s="16" t="str">
        <f>IFERROR(IF([1]对账明细接口!$D$27=0,"",[1]对账明细接口!$D$27),"")</f>
        <v>原料入库</v>
      </c>
      <c r="E27" s="16" t="str">
        <f>IFERROR(IF([1]对账明细接口!$E$27=0,"",[1]对账明细接口!$E$27),"")</f>
        <v>NO0000770</v>
      </c>
      <c r="F27" s="16" t="str">
        <f>IFERROR(IF([1]对账明细接口!$F$27=0,"",[1]对账明细接口!$F$27),"")</f>
        <v>苹果</v>
      </c>
      <c r="G27" s="16" t="str">
        <f>IFERROR(IF([1]对账明细接口!$G$27=0,"",[1]对账明细接口!$G$27),"")</f>
        <v>嘎啦100#</v>
      </c>
      <c r="H27" s="176">
        <f>IFERROR(IF([1]对账明细接口!$H$27=0,"",[1]对账明细接口!$H$27),"")</f>
        <v>64</v>
      </c>
      <c r="I27" s="16" t="str">
        <f>IFERROR(IF([1]对账明细接口!$I$27=0,"",[1]对账明细接口!$I$27),"")</f>
        <v>筐</v>
      </c>
      <c r="J27" s="177">
        <f>IFERROR(IF([1]对账明细接口!$J$27=0,"",[1]对账明细接口!$J$27),"")</f>
        <v>1395.2</v>
      </c>
      <c r="K27" s="177">
        <f>IFERROR(IF([1]对账明细接口!$K$27=0,"",[1]对账明细接口!$K$27),"")</f>
      </c>
      <c r="L27" s="16">
        <f>IFERROR(IF([1]对账明细接口!$L$27=0,"",[1]对账明细接口!$L$27),"")</f>
      </c>
      <c r="M27" s="16">
        <f>IFERROR(IF([1]对账明细接口!$M$27=0,"",[1]对账明细接口!$M$27),"")</f>
      </c>
      <c r="N27" s="19">
        <f>IF($C27="",0,1)</f>
        <v>1</v>
      </c>
      <c r="O27" s="19">
        <f>N(O26)+$N27</f>
        <v>24</v>
      </c>
      <c r="S27" s="20" t="str">
        <f>IFERROR(IF([1]对账明细接口!$N27=0,"",[1]对账明细接口!$N27),"")</f>
        <v>自备一次性筐</v>
      </c>
      <c r="T27" s="212">
        <f>IFERROR(IF([1]对账明细接口!$O27=0,"",[1]对账明细接口!$O27),"")</f>
      </c>
      <c r="U27" s="212">
        <f>IFERROR(IF([1]对账明细接口!$P27=0,"",[1]对账明细接口!$P27),"")</f>
      </c>
      <c r="V27" s="212">
        <f>IFERROR(IF([1]对账明细接口!$Q27=0,"",[1]对账明细接口!$Q27),"")</f>
        <v>64</v>
      </c>
      <c r="W27" s="20" t="str">
        <f>IFERROR(IF([1]对账明细接口!$R27=0,"",[1]对账明细接口!$R27),"")</f>
        <v>苏M*7G796</v>
      </c>
      <c r="X27" s="20" t="str">
        <f>IFERROR(IF([1]对账明细接口!$S27=0,"",[1]对账明细接口!$S27),"")</f>
        <v>自备筐</v>
      </c>
      <c r="Y27" s="20">
        <f>IFERROR(IF([1]对账明细接口!$T27=0,"",[1]对账明细接口!$T27),"")</f>
      </c>
      <c r="Z27" s="213">
        <f>IFERROR(IF([1]对账明细接口!$U27=0,"",[1]对账明细接口!$U27),"")</f>
      </c>
      <c r="AA27" s="213">
        <f>IFERROR(IF([1]对账明细接口!$V27=0,"",[1]对账明细接口!$V27),"")</f>
      </c>
      <c r="AB27" s="20">
        <f>IFERROR(IF([1]对账明细接口!$W27=0,"",[1]对账明细接口!$W27),"")</f>
      </c>
      <c r="AC27" s="7">
        <f>IFERROR(IF([1]对账明细接口!$X27=0,"",[1]对账明细接口!$X27),"")</f>
      </c>
      <c r="AD27" s="7">
        <f>IFERROR(IF([1]对账明细接口!$Y27=0,"",[1]对账明细接口!$Y27),"")</f>
      </c>
      <c r="AE27" s="7">
        <f>IFERROR(IF([1]对账明细接口!$AA27=0,"",[1]对账明细接口!$AA27),"")</f>
      </c>
      <c r="AF27" s="7">
        <f>IFERROR(IF([1]对账明细接口!$AB27=0,"",[1]对账明细接口!$AB27),"")</f>
      </c>
      <c r="AG27" s="7">
        <f>IFERROR(IF([1]对账明细接口!$AC27=0,"",[1]对账明细接口!$AC27),"")</f>
      </c>
      <c r="AH27" s="7">
        <f>IFERROR(IF([1]对账明细接口!$AD27=0,"",[1]对账明细接口!$AD27),"")</f>
      </c>
      <c r="AI27" s="7">
        <f>IFERROR(IF([1]对账明细接口!$AE27=0,"",[1]对账明细接口!$AE27),"")</f>
      </c>
      <c r="AJ27" s="7">
        <f>IFERROR(IF([1]对账明细接口!$AF27=0,"",[1]对账明细接口!$AF27),"")</f>
      </c>
    </row>
    <row r="28" ht="14.25" customHeight="1" s="127">
      <c r="A28" s="14" t="n">
        <v>28</v>
      </c>
      <c r="B28" s="211">
        <f>IFERROR(IF([1]对账明细接口!$B$28=0,"",[1]对账明细接口!$B$28),"")</f>
        <v>46249.0</v>
      </c>
      <c r="C28" s="16" t="str">
        <f>IFERROR(IF([1]对账明细接口!$C$28=0,"",[1]对账明细接口!$C$28),"")</f>
        <v>王照雪</v>
      </c>
      <c r="D28" s="16" t="str">
        <f>IFERROR(IF([1]对账明细接口!$D$28=0,"",[1]对账明细接口!$D$28),"")</f>
        <v>原料入库</v>
      </c>
      <c r="E28" s="16" t="str">
        <f>IFERROR(IF([1]对账明细接口!$E$28=0,"",[1]对账明细接口!$E$28),"")</f>
        <v>NO0000771</v>
      </c>
      <c r="F28" s="16" t="str">
        <f>IFERROR(IF([1]对账明细接口!$F$28=0,"",[1]对账明细接口!$F$28),"")</f>
        <v>李子</v>
      </c>
      <c r="G28" s="16" t="str">
        <f>IFERROR(IF([1]对账明细接口!$G$28=0,"",[1]对账明细接口!$G$28),"")</f>
        <v>樱桃李</v>
      </c>
      <c r="H28" s="176">
        <f>IFERROR(IF([1]对账明细接口!$H$28=0,"",[1]对账明细接口!$H$28),"")</f>
        <v>105</v>
      </c>
      <c r="I28" s="16" t="str">
        <f>IFERROR(IF([1]对账明细接口!$I$28=0,"",[1]对账明细接口!$I$28),"")</f>
        <v>筐</v>
      </c>
      <c r="J28" s="177">
        <f>IFERROR(IF([1]对账明细接口!$J$28=0,"",[1]对账明细接口!$J$28),"")</f>
        <v>1711.5</v>
      </c>
      <c r="K28" s="177">
        <f>IFERROR(IF([1]对账明细接口!$K$28=0,"",[1]对账明细接口!$K$28),"")</f>
      </c>
      <c r="L28" s="16">
        <f>IFERROR(IF([1]对账明细接口!$L$28=0,"",[1]对账明细接口!$L$28),"")</f>
      </c>
      <c r="M28" s="16">
        <f>IFERROR(IF([1]对账明细接口!$M$28=0,"",[1]对账明细接口!$M$28),"")</f>
      </c>
      <c r="N28" s="19">
        <f>IF($C28="",0,1)</f>
        <v>1</v>
      </c>
      <c r="O28" s="19">
        <f>N(O27)+$N28</f>
        <v>25</v>
      </c>
      <c r="S28" s="20" t="str">
        <f>IFERROR(IF([1]对账明细接口!$N28=0,"",[1]对账明细接口!$N28),"")</f>
        <v>自备一次性筐</v>
      </c>
      <c r="T28" s="212">
        <f>IFERROR(IF([1]对账明细接口!$O28=0,"",[1]对账明细接口!$O28),"")</f>
      </c>
      <c r="U28" s="212">
        <f>IFERROR(IF([1]对账明细接口!$P28=0,"",[1]对账明细接口!$P28),"")</f>
      </c>
      <c r="V28" s="212">
        <f>IFERROR(IF([1]对账明细接口!$Q28=0,"",[1]对账明细接口!$Q28),"")</f>
        <v>105</v>
      </c>
      <c r="W28" s="20" t="str">
        <f>IFERROR(IF([1]对账明细接口!$R28=0,"",[1]对账明细接口!$R28),"")</f>
        <v>豫L*88X19</v>
      </c>
      <c r="X28" s="20" t="str">
        <f>IFERROR(IF([1]对账明细接口!$S28=0,"",[1]对账明细接口!$S28),"")</f>
        <v>自备筐</v>
      </c>
      <c r="Y28" s="20">
        <f>IFERROR(IF([1]对账明细接口!$T28=0,"",[1]对账明细接口!$T28),"")</f>
      </c>
      <c r="Z28" s="213">
        <f>IFERROR(IF([1]对账明细接口!$U28=0,"",[1]对账明细接口!$U28),"")</f>
      </c>
      <c r="AA28" s="213">
        <f>IFERROR(IF([1]对账明细接口!$V28=0,"",[1]对账明细接口!$V28),"")</f>
      </c>
      <c r="AB28" s="20">
        <f>IFERROR(IF([1]对账明细接口!$W28=0,"",[1]对账明细接口!$W28),"")</f>
      </c>
      <c r="AC28" s="7">
        <f>IFERROR(IF([1]对账明细接口!$X28=0,"",[1]对账明细接口!$X28),"")</f>
      </c>
      <c r="AD28" s="7">
        <f>IFERROR(IF([1]对账明细接口!$Y28=0,"",[1]对账明细接口!$Y28),"")</f>
      </c>
      <c r="AE28" s="7">
        <f>IFERROR(IF([1]对账明细接口!$AA28=0,"",[1]对账明细接口!$AA28),"")</f>
      </c>
      <c r="AF28" s="7">
        <f>IFERROR(IF([1]对账明细接口!$AB28=0,"",[1]对账明细接口!$AB28),"")</f>
      </c>
      <c r="AG28" s="7">
        <f>IFERROR(IF([1]对账明细接口!$AC28=0,"",[1]对账明细接口!$AC28),"")</f>
      </c>
      <c r="AH28" s="7">
        <f>IFERROR(IF([1]对账明细接口!$AD28=0,"",[1]对账明细接口!$AD28),"")</f>
      </c>
      <c r="AI28" s="7">
        <f>IFERROR(IF([1]对账明细接口!$AE28=0,"",[1]对账明细接口!$AE28),"")</f>
      </c>
      <c r="AJ28" s="7">
        <f>IFERROR(IF([1]对账明细接口!$AF28=0,"",[1]对账明细接口!$AF28),"")</f>
      </c>
    </row>
    <row r="29" ht="14.25" customHeight="1" s="127">
      <c r="A29" s="14" t="n">
        <v>29</v>
      </c>
      <c r="B29" s="211">
        <f>IFERROR(IF([1]对账明细接口!$B$29=0,"",[1]对账明细接口!$B$29),"")</f>
        <v>46250.0</v>
      </c>
      <c r="C29" s="16" t="str">
        <f>IFERROR(IF([1]对账明细接口!$C$29=0,"",[1]对账明细接口!$C$29),"")</f>
        <v>聂新平</v>
      </c>
      <c r="D29" s="16" t="str">
        <f>IFERROR(IF([1]对账明细接口!$D$29=0,"",[1]对账明细接口!$D$29),"")</f>
        <v>原料入库</v>
      </c>
      <c r="E29" s="16" t="str">
        <f>IFERROR(IF([1]对账明细接口!$E$29=0,"",[1]对账明细接口!$E$29),"")</f>
        <v>NO0000772</v>
      </c>
      <c r="F29" s="16" t="str">
        <f>IFERROR(IF([1]对账明细接口!$F$29=0,"",[1]对账明细接口!$F$29),"")</f>
        <v>苹果</v>
      </c>
      <c r="G29" s="16" t="str">
        <f>IFERROR(IF([1]对账明细接口!$G$29=0,"",[1]对账明细接口!$G$29),"")</f>
        <v>嘎啦85#</v>
      </c>
      <c r="H29" s="176">
        <f>IFERROR(IF([1]对账明细接口!$H$29=0,"",[1]对账明细接口!$H$29),"")</f>
        <v>10</v>
      </c>
      <c r="I29" s="16" t="str">
        <f>IFERROR(IF([1]对账明细接口!$I$29=0,"",[1]对账明细接口!$I$29),"")</f>
        <v>筐</v>
      </c>
      <c r="J29" s="177">
        <f>IFERROR(IF([1]对账明细接口!$J$29=0,"",[1]对账明细接口!$J$29),"")</f>
        <v>218</v>
      </c>
      <c r="K29" s="177">
        <f>IFERROR(IF([1]对账明细接口!$K$29=0,"",[1]对账明细接口!$K$29),"")</f>
      </c>
      <c r="L29" s="16">
        <f>IFERROR(IF([1]对账明细接口!$L$29=0,"",[1]对账明细接口!$L$29),"")</f>
      </c>
      <c r="M29" s="16">
        <f>IFERROR(IF([1]对账明细接口!$M$29=0,"",[1]对账明细接口!$M$29),"")</f>
      </c>
      <c r="N29" s="19">
        <f>IF($C29="",0,1)</f>
        <v>1</v>
      </c>
      <c r="O29" s="19">
        <f>N(O28)+$N29</f>
        <v>26</v>
      </c>
      <c r="S29" s="20" t="str">
        <f>IFERROR(IF([1]对账明细接口!$N29=0,"",[1]对账明细接口!$N29),"")</f>
        <v>自备一次性筐</v>
      </c>
      <c r="T29" s="212">
        <f>IFERROR(IF([1]对账明细接口!$O29=0,"",[1]对账明细接口!$O29),"")</f>
      </c>
      <c r="U29" s="212">
        <f>IFERROR(IF([1]对账明细接口!$P29=0,"",[1]对账明细接口!$P29),"")</f>
      </c>
      <c r="V29" s="212">
        <f>IFERROR(IF([1]对账明细接口!$Q29=0,"",[1]对账明细接口!$Q29),"")</f>
        <v>10</v>
      </c>
      <c r="W29" s="20" t="str">
        <f>IFERROR(IF([1]对账明细接口!$R29=0,"",[1]对账明细接口!$R29),"")</f>
        <v>苏M*7G796</v>
      </c>
      <c r="X29" s="20" t="str">
        <f>IFERROR(IF([1]对账明细接口!$S29=0,"",[1]对账明细接口!$S29),"")</f>
        <v>自备筐</v>
      </c>
      <c r="Y29" s="20">
        <f>IFERROR(IF([1]对账明细接口!$T29=0,"",[1]对账明细接口!$T29),"")</f>
      </c>
      <c r="Z29" s="213">
        <f>IFERROR(IF([1]对账明细接口!$U29=0,"",[1]对账明细接口!$U29),"")</f>
      </c>
      <c r="AA29" s="213">
        <f>IFERROR(IF([1]对账明细接口!$V29=0,"",[1]对账明细接口!$V29),"")</f>
      </c>
      <c r="AB29" s="20">
        <f>IFERROR(IF([1]对账明细接口!$W29=0,"",[1]对账明细接口!$W29),"")</f>
      </c>
      <c r="AC29" s="7">
        <f>IFERROR(IF([1]对账明细接口!$X29=0,"",[1]对账明细接口!$X29),"")</f>
      </c>
      <c r="AD29" s="7">
        <f>IFERROR(IF([1]对账明细接口!$Y29=0,"",[1]对账明细接口!$Y29),"")</f>
      </c>
      <c r="AE29" s="7">
        <f>IFERROR(IF([1]对账明细接口!$AA29=0,"",[1]对账明细接口!$AA29),"")</f>
      </c>
      <c r="AF29" s="7">
        <f>IFERROR(IF([1]对账明细接口!$AB29=0,"",[1]对账明细接口!$AB29),"")</f>
      </c>
      <c r="AG29" s="7">
        <f>IFERROR(IF([1]对账明细接口!$AC29=0,"",[1]对账明细接口!$AC29),"")</f>
      </c>
      <c r="AH29" s="7">
        <f>IFERROR(IF([1]对账明细接口!$AD29=0,"",[1]对账明细接口!$AD29),"")</f>
      </c>
      <c r="AI29" s="7">
        <f>IFERROR(IF([1]对账明细接口!$AE29=0,"",[1]对账明细接口!$AE29),"")</f>
      </c>
      <c r="AJ29" s="7">
        <f>IFERROR(IF([1]对账明细接口!$AF29=0,"",[1]对账明细接口!$AF29),"")</f>
      </c>
    </row>
    <row r="30" ht="14.25" customHeight="1" s="127">
      <c r="A30" s="14" t="n">
        <v>30</v>
      </c>
      <c r="B30" s="211">
        <f>IFERROR(IF([1]对账明细接口!$B$30=0,"",[1]对账明细接口!$B$30),"")</f>
        <v>46250.0</v>
      </c>
      <c r="C30" s="16" t="str">
        <f>IFERROR(IF([1]对账明细接口!$C$30=0,"",[1]对账明细接口!$C$30),"")</f>
        <v>聂新平</v>
      </c>
      <c r="D30" s="16" t="str">
        <f>IFERROR(IF([1]对账明细接口!$D$30=0,"",[1]对账明细接口!$D$30),"")</f>
        <v>原料入库</v>
      </c>
      <c r="E30" s="16" t="str">
        <f>IFERROR(IF([1]对账明细接口!$E$30=0,"",[1]对账明细接口!$E$30),"")</f>
        <v>NO0000772</v>
      </c>
      <c r="F30" s="16" t="str">
        <f>IFERROR(IF([1]对账明细接口!$F$30=0,"",[1]对账明细接口!$F$30),"")</f>
        <v>苹果</v>
      </c>
      <c r="G30" s="16" t="str">
        <f>IFERROR(IF([1]对账明细接口!$G$30=0,"",[1]对账明细接口!$G$30),"")</f>
        <v>嘎啦100#</v>
      </c>
      <c r="H30" s="176">
        <f>IFERROR(IF([1]对账明细接口!$H$30=0,"",[1]对账明细接口!$H$30),"")</f>
        <v>28</v>
      </c>
      <c r="I30" s="16" t="str">
        <f>IFERROR(IF([1]对账明细接口!$I$30=0,"",[1]对账明细接口!$I$30),"")</f>
        <v>筐</v>
      </c>
      <c r="J30" s="177">
        <f>IFERROR(IF([1]对账明细接口!$J$30=0,"",[1]对账明细接口!$J$30),"")</f>
        <v>610.4</v>
      </c>
      <c r="K30" s="177">
        <f>IFERROR(IF([1]对账明细接口!$K$30=0,"",[1]对账明细接口!$K$30),"")</f>
      </c>
      <c r="L30" s="16">
        <f>IFERROR(IF([1]对账明细接口!$L$30=0,"",[1]对账明细接口!$L$30),"")</f>
      </c>
      <c r="M30" s="16">
        <f>IFERROR(IF([1]对账明细接口!$M$30=0,"",[1]对账明细接口!$M$30),"")</f>
      </c>
      <c r="N30" s="19">
        <f>IF($C30="",0,1)</f>
        <v>1</v>
      </c>
      <c r="O30" s="19">
        <f>N(O29)+$N30</f>
        <v>27</v>
      </c>
      <c r="S30" s="20" t="str">
        <f>IFERROR(IF([1]对账明细接口!$N30=0,"",[1]对账明细接口!$N30),"")</f>
        <v>自备一次性筐</v>
      </c>
      <c r="T30" s="212">
        <f>IFERROR(IF([1]对账明细接口!$O30=0,"",[1]对账明细接口!$O30),"")</f>
      </c>
      <c r="U30" s="212">
        <f>IFERROR(IF([1]对账明细接口!$P30=0,"",[1]对账明细接口!$P30),"")</f>
      </c>
      <c r="V30" s="212">
        <f>IFERROR(IF([1]对账明细接口!$Q30=0,"",[1]对账明细接口!$Q30),"")</f>
        <v>28</v>
      </c>
      <c r="W30" s="20" t="str">
        <f>IFERROR(IF([1]对账明细接口!$R30=0,"",[1]对账明细接口!$R30),"")</f>
        <v>苏M*7G796</v>
      </c>
      <c r="X30" s="20" t="str">
        <f>IFERROR(IF([1]对账明细接口!$S30=0,"",[1]对账明细接口!$S30),"")</f>
        <v>自备筐</v>
      </c>
      <c r="Y30" s="20">
        <f>IFERROR(IF([1]对账明细接口!$T30=0,"",[1]对账明细接口!$T30),"")</f>
      </c>
      <c r="Z30" s="213">
        <f>IFERROR(IF([1]对账明细接口!$U30=0,"",[1]对账明细接口!$U30),"")</f>
      </c>
      <c r="AA30" s="213">
        <f>IFERROR(IF([1]对账明细接口!$V30=0,"",[1]对账明细接口!$V30),"")</f>
      </c>
      <c r="AB30" s="20">
        <f>IFERROR(IF([1]对账明细接口!$W30=0,"",[1]对账明细接口!$W30),"")</f>
      </c>
      <c r="AC30" s="7">
        <f>IFERROR(IF([1]对账明细接口!$X30=0,"",[1]对账明细接口!$X30),"")</f>
      </c>
      <c r="AD30" s="7">
        <f>IFERROR(IF([1]对账明细接口!$Y30=0,"",[1]对账明细接口!$Y30),"")</f>
      </c>
      <c r="AE30" s="7">
        <f>IFERROR(IF([1]对账明细接口!$AA30=0,"",[1]对账明细接口!$AA30),"")</f>
      </c>
      <c r="AF30" s="7">
        <f>IFERROR(IF([1]对账明细接口!$AB30=0,"",[1]对账明细接口!$AB30),"")</f>
      </c>
      <c r="AG30" s="7">
        <f>IFERROR(IF([1]对账明细接口!$AC30=0,"",[1]对账明细接口!$AC30),"")</f>
      </c>
      <c r="AH30" s="7">
        <f>IFERROR(IF([1]对账明细接口!$AD30=0,"",[1]对账明细接口!$AD30),"")</f>
      </c>
      <c r="AI30" s="7">
        <f>IFERROR(IF([1]对账明细接口!$AE30=0,"",[1]对账明细接口!$AE30),"")</f>
      </c>
      <c r="AJ30" s="7">
        <f>IFERROR(IF([1]对账明细接口!$AF30=0,"",[1]对账明细接口!$AF30),"")</f>
      </c>
    </row>
    <row r="31" ht="14.25" customHeight="1" s="127">
      <c r="A31" s="14" t="n">
        <v>31</v>
      </c>
      <c r="B31" s="211">
        <f>IFERROR(IF([1]对账明细接口!$B$31=0,"",[1]对账明细接口!$B$31),"")</f>
        <v>46251.0</v>
      </c>
      <c r="C31" s="16" t="str">
        <f>IFERROR(IF([1]对账明细接口!$C$31=0,"",[1]对账明细接口!$C$31),"")</f>
        <v>伍元虎</v>
      </c>
      <c r="D31" s="16" t="str">
        <f>IFERROR(IF([1]对账明细接口!$D$31=0,"",[1]对账明细接口!$D$31),"")</f>
        <v>原料入库</v>
      </c>
      <c r="E31" s="16" t="str">
        <f>IFERROR(IF([1]对账明细接口!$E$31=0,"",[1]对账明细接口!$E$31),"")</f>
        <v>NO0000773</v>
      </c>
      <c r="F31" s="16" t="str">
        <f>IFERROR(IF([1]对账明细接口!$F$31=0,"",[1]对账明细接口!$F$31),"")</f>
        <v>苹果</v>
      </c>
      <c r="G31" s="16" t="str">
        <f>IFERROR(IF([1]对账明细接口!$G$31=0,"",[1]对账明细接口!$G$31),"")</f>
        <v>海棠果</v>
      </c>
      <c r="H31" s="176">
        <f>IFERROR(IF([1]对账明细接口!$H$31=0,"",[1]对账明细接口!$H$31),"")</f>
        <v>29</v>
      </c>
      <c r="I31" s="16" t="str">
        <f>IFERROR(IF([1]对账明细接口!$I$31=0,"",[1]对账明细接口!$I$31),"")</f>
        <v>筐</v>
      </c>
      <c r="J31" s="177">
        <f>IFERROR(IF([1]对账明细接口!$J$31=0,"",[1]对账明细接口!$J$31),"")</f>
        <v>652.5</v>
      </c>
      <c r="K31" s="177">
        <f>IFERROR(IF([1]对账明细接口!$K$31=0,"",[1]对账明细接口!$K$31),"")</f>
      </c>
      <c r="L31" s="16">
        <f>IFERROR(IF([1]对账明细接口!$L$31=0,"",[1]对账明细接口!$L$31),"")</f>
      </c>
      <c r="M31" s="16">
        <f>IFERROR(IF([1]对账明细接口!$M$31=0,"",[1]对账明细接口!$M$31),"")</f>
      </c>
      <c r="N31" s="19">
        <f>IF($C31="",0,1)</f>
        <v>1</v>
      </c>
      <c r="O31" s="19">
        <f>N(O30)+$N31</f>
        <v>28</v>
      </c>
      <c r="S31" s="20" t="str">
        <f>IFERROR(IF([1]对账明细接口!$N31=0,"",[1]对账明细接口!$N31),"")</f>
        <v>自备一次性筐</v>
      </c>
      <c r="T31" s="212">
        <f>IFERROR(IF([1]对账明细接口!$O31=0,"",[1]对账明细接口!$O31),"")</f>
      </c>
      <c r="U31" s="212">
        <f>IFERROR(IF([1]对账明细接口!$P31=0,"",[1]对账明细接口!$P31),"")</f>
      </c>
      <c r="V31" s="212">
        <f>IFERROR(IF([1]对账明细接口!$Q31=0,"",[1]对账明细接口!$Q31),"")</f>
        <v>29</v>
      </c>
      <c r="W31" s="20" t="str">
        <f>IFERROR(IF([1]对账明细接口!$R31=0,"",[1]对账明细接口!$R31),"")</f>
        <v>三轮车</v>
      </c>
      <c r="X31" s="20" t="str">
        <f>IFERROR(IF([1]对账明细接口!$S31=0,"",[1]对账明细接口!$S31),"")</f>
        <v>自备筐</v>
      </c>
      <c r="Y31" s="20">
        <f>IFERROR(IF([1]对账明细接口!$T31=0,"",[1]对账明细接口!$T31),"")</f>
      </c>
      <c r="Z31" s="213">
        <f>IFERROR(IF([1]对账明细接口!$U31=0,"",[1]对账明细接口!$U31),"")</f>
      </c>
      <c r="AA31" s="213">
        <f>IFERROR(IF([1]对账明细接口!$V31=0,"",[1]对账明细接口!$V31),"")</f>
      </c>
      <c r="AB31" s="20">
        <f>IFERROR(IF([1]对账明细接口!$W31=0,"",[1]对账明细接口!$W31),"")</f>
      </c>
      <c r="AC31" s="7">
        <f>IFERROR(IF([1]对账明细接口!$X31=0,"",[1]对账明细接口!$X31),"")</f>
      </c>
      <c r="AD31" s="7">
        <f>IFERROR(IF([1]对账明细接口!$Y31=0,"",[1]对账明细接口!$Y31),"")</f>
      </c>
      <c r="AE31" s="7">
        <f>IFERROR(IF([1]对账明细接口!$AA31=0,"",[1]对账明细接口!$AA31),"")</f>
      </c>
      <c r="AF31" s="7">
        <f>IFERROR(IF([1]对账明细接口!$AB31=0,"",[1]对账明细接口!$AB31),"")</f>
      </c>
      <c r="AG31" s="7">
        <f>IFERROR(IF([1]对账明细接口!$AC31=0,"",[1]对账明细接口!$AC31),"")</f>
      </c>
      <c r="AH31" s="7">
        <f>IFERROR(IF([1]对账明细接口!$AD31=0,"",[1]对账明细接口!$AD31),"")</f>
      </c>
      <c r="AI31" s="7">
        <f>IFERROR(IF([1]对账明细接口!$AE31=0,"",[1]对账明细接口!$AE31),"")</f>
      </c>
      <c r="AJ31" s="7">
        <f>IFERROR(IF([1]对账明细接口!$AF31=0,"",[1]对账明细接口!$AF31),"")</f>
      </c>
    </row>
    <row r="32" ht="14.25" customHeight="1" s="127">
      <c r="A32" s="14" t="n">
        <v>32</v>
      </c>
      <c r="B32" s="211">
        <f>IFERROR(IF([1]对账明细接口!$B$32=0,"",[1]对账明细接口!$B$32),"")</f>
        <v>46252.0</v>
      </c>
      <c r="C32" s="16" t="str">
        <f>IFERROR(IF([1]对账明细接口!$C$32=0,"",[1]对账明细接口!$C$32),"")</f>
        <v>聂新平</v>
      </c>
      <c r="D32" s="16" t="str">
        <f>IFERROR(IF([1]对账明细接口!$D$32=0,"",[1]对账明细接口!$D$32),"")</f>
        <v>原料入库</v>
      </c>
      <c r="E32" s="16" t="str">
        <f>IFERROR(IF([1]对账明细接口!$E$32=0,"",[1]对账明细接口!$E$32),"")</f>
        <v>NO0000774</v>
      </c>
      <c r="F32" s="16" t="str">
        <f>IFERROR(IF([1]对账明细接口!$F$32=0,"",[1]对账明细接口!$F$32),"")</f>
        <v>苹果</v>
      </c>
      <c r="G32" s="16" t="str">
        <f>IFERROR(IF([1]对账明细接口!$G$32=0,"",[1]对账明细接口!$G$32),"")</f>
        <v>嘎啦85#</v>
      </c>
      <c r="H32" s="176">
        <f>IFERROR(IF([1]对账明细接口!$H$32=0,"",[1]对账明细接口!$H$32),"")</f>
        <v>1</v>
      </c>
      <c r="I32" s="16" t="str">
        <f>IFERROR(IF([1]对账明细接口!$I$32=0,"",[1]对账明细接口!$I$32),"")</f>
        <v>筐</v>
      </c>
      <c r="J32" s="177">
        <f>IFERROR(IF([1]对账明细接口!$J$32=0,"",[1]对账明细接口!$J$32),"")</f>
        <v>21.8</v>
      </c>
      <c r="K32" s="177">
        <f>IFERROR(IF([1]对账明细接口!$K$32=0,"",[1]对账明细接口!$K$32),"")</f>
      </c>
      <c r="L32" s="16">
        <f>IFERROR(IF([1]对账明细接口!$L$32=0,"",[1]对账明细接口!$L$32),"")</f>
      </c>
      <c r="M32" s="16">
        <f>IFERROR(IF([1]对账明细接口!$M$32=0,"",[1]对账明细接口!$M$32),"")</f>
      </c>
      <c r="N32" s="19">
        <f>IF($C32="",0,1)</f>
        <v>1</v>
      </c>
      <c r="O32" s="19">
        <f>N(O31)+$N32</f>
        <v>29</v>
      </c>
      <c r="S32" s="20" t="str">
        <f>IFERROR(IF([1]对账明细接口!$N32=0,"",[1]对账明细接口!$N32),"")</f>
        <v>自备一次性筐</v>
      </c>
      <c r="T32" s="212">
        <f>IFERROR(IF([1]对账明细接口!$O32=0,"",[1]对账明细接口!$O32),"")</f>
      </c>
      <c r="U32" s="212">
        <f>IFERROR(IF([1]对账明细接口!$P32=0,"",[1]对账明细接口!$P32),"")</f>
      </c>
      <c r="V32" s="212">
        <f>IFERROR(IF([1]对账明细接口!$Q32=0,"",[1]对账明细接口!$Q32),"")</f>
        <v>1</v>
      </c>
      <c r="W32" s="20" t="str">
        <f>IFERROR(IF([1]对账明细接口!$R32=0,"",[1]对账明细接口!$R32),"")</f>
        <v>苏M*7G796</v>
      </c>
      <c r="X32" s="20" t="str">
        <f>IFERROR(IF([1]对账明细接口!$S32=0,"",[1]对账明细接口!$S32),"")</f>
        <v>自备筐</v>
      </c>
      <c r="Y32" s="20">
        <f>IFERROR(IF([1]对账明细接口!$T32=0,"",[1]对账明细接口!$T32),"")</f>
      </c>
      <c r="Z32" s="213">
        <f>IFERROR(IF([1]对账明细接口!$U32=0,"",[1]对账明细接口!$U32),"")</f>
      </c>
      <c r="AA32" s="213">
        <f>IFERROR(IF([1]对账明细接口!$V32=0,"",[1]对账明细接口!$V32),"")</f>
      </c>
      <c r="AB32" s="20">
        <f>IFERROR(IF([1]对账明细接口!$W32=0,"",[1]对账明细接口!$W32),"")</f>
      </c>
      <c r="AC32" s="7">
        <f>IFERROR(IF([1]对账明细接口!$X32=0,"",[1]对账明细接口!$X32),"")</f>
      </c>
      <c r="AD32" s="7">
        <f>IFERROR(IF([1]对账明细接口!$Y32=0,"",[1]对账明细接口!$Y32),"")</f>
      </c>
      <c r="AE32" s="7">
        <f>IFERROR(IF([1]对账明细接口!$AA32=0,"",[1]对账明细接口!$AA32),"")</f>
      </c>
      <c r="AF32" s="7">
        <f>IFERROR(IF([1]对账明细接口!$AB32=0,"",[1]对账明细接口!$AB32),"")</f>
      </c>
      <c r="AG32" s="7">
        <f>IFERROR(IF([1]对账明细接口!$AC32=0,"",[1]对账明细接口!$AC32),"")</f>
      </c>
      <c r="AH32" s="7">
        <f>IFERROR(IF([1]对账明细接口!$AD32=0,"",[1]对账明细接口!$AD32),"")</f>
      </c>
      <c r="AI32" s="7">
        <f>IFERROR(IF([1]对账明细接口!$AE32=0,"",[1]对账明细接口!$AE32),"")</f>
      </c>
      <c r="AJ32" s="7">
        <f>IFERROR(IF([1]对账明细接口!$AF32=0,"",[1]对账明细接口!$AF32),"")</f>
      </c>
    </row>
    <row r="33" ht="14.25" customHeight="1" s="127">
      <c r="A33" s="14" t="n">
        <v>33</v>
      </c>
      <c r="B33" s="211">
        <f>IFERROR(IF([1]对账明细接口!$B$33=0,"",[1]对账明细接口!$B$33),"")</f>
        <v>46252.0</v>
      </c>
      <c r="C33" s="16" t="str">
        <f>IFERROR(IF([1]对账明细接口!$C$33=0,"",[1]对账明细接口!$C$33),"")</f>
        <v>聂新平</v>
      </c>
      <c r="D33" s="16" t="str">
        <f>IFERROR(IF([1]对账明细接口!$D$33=0,"",[1]对账明细接口!$D$33),"")</f>
        <v>原料入库</v>
      </c>
      <c r="E33" s="16" t="str">
        <f>IFERROR(IF([1]对账明细接口!$E$33=0,"",[1]对账明细接口!$E$33),"")</f>
        <v>NO0000774</v>
      </c>
      <c r="F33" s="16" t="str">
        <f>IFERROR(IF([1]对账明细接口!$F$33=0,"",[1]对账明细接口!$F$33),"")</f>
        <v>苹果</v>
      </c>
      <c r="G33" s="16" t="str">
        <f>IFERROR(IF([1]对账明细接口!$G$33=0,"",[1]对账明细接口!$G$33),"")</f>
        <v>嘎啦100#</v>
      </c>
      <c r="H33" s="176">
        <f>IFERROR(IF([1]对账明细接口!$H$33=0,"",[1]对账明细接口!$H$33),"")</f>
        <v>11</v>
      </c>
      <c r="I33" s="16" t="str">
        <f>IFERROR(IF([1]对账明细接口!$I$33=0,"",[1]对账明细接口!$I$33),"")</f>
        <v>筐</v>
      </c>
      <c r="J33" s="177">
        <f>IFERROR(IF([1]对账明细接口!$J$33=0,"",[1]对账明细接口!$J$33),"")</f>
        <v>239.8</v>
      </c>
      <c r="K33" s="177">
        <f>IFERROR(IF([1]对账明细接口!$K$33=0,"",[1]对账明细接口!$K$33),"")</f>
      </c>
      <c r="L33" s="16">
        <f>IFERROR(IF([1]对账明细接口!$L$33=0,"",[1]对账明细接口!$L$33),"")</f>
      </c>
      <c r="M33" s="16">
        <f>IFERROR(IF([1]对账明细接口!$M$33=0,"",[1]对账明细接口!$M$33),"")</f>
      </c>
      <c r="N33" s="19">
        <f>IF($C33="",0,1)</f>
        <v>1</v>
      </c>
      <c r="O33" s="19">
        <f>N(O32)+$N33</f>
        <v>30</v>
      </c>
      <c r="S33" s="20" t="str">
        <f>IFERROR(IF([1]对账明细接口!$N33=0,"",[1]对账明细接口!$N33),"")</f>
        <v>自备一次性筐</v>
      </c>
      <c r="T33" s="212">
        <f>IFERROR(IF([1]对账明细接口!$O33=0,"",[1]对账明细接口!$O33),"")</f>
      </c>
      <c r="U33" s="212">
        <f>IFERROR(IF([1]对账明细接口!$P33=0,"",[1]对账明细接口!$P33),"")</f>
      </c>
      <c r="V33" s="212">
        <f>IFERROR(IF([1]对账明细接口!$Q33=0,"",[1]对账明细接口!$Q33),"")</f>
        <v>11</v>
      </c>
      <c r="W33" s="20" t="str">
        <f>IFERROR(IF([1]对账明细接口!$R33=0,"",[1]对账明细接口!$R33),"")</f>
        <v>苏M*7G796</v>
      </c>
      <c r="X33" s="20" t="str">
        <f>IFERROR(IF([1]对账明细接口!$S33=0,"",[1]对账明细接口!$S33),"")</f>
        <v>自备筐</v>
      </c>
      <c r="Y33" s="20">
        <f>IFERROR(IF([1]对账明细接口!$T33=0,"",[1]对账明细接口!$T33),"")</f>
      </c>
      <c r="Z33" s="213">
        <f>IFERROR(IF([1]对账明细接口!$U33=0,"",[1]对账明细接口!$U33),"")</f>
      </c>
      <c r="AA33" s="213">
        <f>IFERROR(IF([1]对账明细接口!$V33=0,"",[1]对账明细接口!$V33),"")</f>
      </c>
      <c r="AB33" s="20">
        <f>IFERROR(IF([1]对账明细接口!$W33=0,"",[1]对账明细接口!$W33),"")</f>
      </c>
      <c r="AC33" s="7">
        <f>IFERROR(IF([1]对账明细接口!$X33=0,"",[1]对账明细接口!$X33),"")</f>
      </c>
      <c r="AD33" s="7">
        <f>IFERROR(IF([1]对账明细接口!$Y33=0,"",[1]对账明细接口!$Y33),"")</f>
      </c>
      <c r="AE33" s="7">
        <f>IFERROR(IF([1]对账明细接口!$AA33=0,"",[1]对账明细接口!$AA33),"")</f>
      </c>
      <c r="AF33" s="7">
        <f>IFERROR(IF([1]对账明细接口!$AB33=0,"",[1]对账明细接口!$AB33),"")</f>
      </c>
      <c r="AG33" s="7">
        <f>IFERROR(IF([1]对账明细接口!$AC33=0,"",[1]对账明细接口!$AC33),"")</f>
      </c>
      <c r="AH33" s="7">
        <f>IFERROR(IF([1]对账明细接口!$AD33=0,"",[1]对账明细接口!$AD33),"")</f>
      </c>
      <c r="AI33" s="7">
        <f>IFERROR(IF([1]对账明细接口!$AE33=0,"",[1]对账明细接口!$AE33),"")</f>
      </c>
      <c r="AJ33" s="7">
        <f>IFERROR(IF([1]对账明细接口!$AF33=0,"",[1]对账明细接口!$AF33),"")</f>
      </c>
    </row>
    <row r="34" ht="14.25" customHeight="1" s="127">
      <c r="A34" s="14" t="n">
        <v>34</v>
      </c>
      <c r="B34" s="211">
        <f>IFERROR(IF([1]对账明细接口!$B$34=0,"",[1]对账明细接口!$B$34),"")</f>
        <v>46253.0</v>
      </c>
      <c r="C34" s="16" t="str">
        <f>IFERROR(IF([1]对账明细接口!$C$34=0,"",[1]对账明细接口!$C$34),"")</f>
        <v>聂新平</v>
      </c>
      <c r="D34" s="16" t="str">
        <f>IFERROR(IF([1]对账明细接口!$D$34=0,"",[1]对账明细接口!$D$34),"")</f>
        <v>原料入库</v>
      </c>
      <c r="E34" s="16" t="str">
        <f>IFERROR(IF([1]对账明细接口!$E$34=0,"",[1]对账明细接口!$E$34),"")</f>
        <v>NO0000702</v>
      </c>
      <c r="F34" s="16" t="str">
        <f>IFERROR(IF([1]对账明细接口!$F$34=0,"",[1]对账明细接口!$F$34),"")</f>
        <v>苹果</v>
      </c>
      <c r="G34" s="16" t="str">
        <f>IFERROR(IF([1]对账明细接口!$G$34=0,"",[1]对账明细接口!$G$34),"")</f>
        <v>嘎啦85#</v>
      </c>
      <c r="H34" s="176">
        <f>IFERROR(IF([1]对账明细接口!$H$34=0,"",[1]对账明细接口!$H$34),"")</f>
        <v>8</v>
      </c>
      <c r="I34" s="16" t="str">
        <f>IFERROR(IF([1]对账明细接口!$I$34=0,"",[1]对账明细接口!$I$34),"")</f>
        <v>筐</v>
      </c>
      <c r="J34" s="177">
        <f>IFERROR(IF([1]对账明细接口!$J$34=0,"",[1]对账明细接口!$J$34),"")</f>
        <v>174.4</v>
      </c>
      <c r="K34" s="177">
        <f>IFERROR(IF([1]对账明细接口!$K$34=0,"",[1]对账明细接口!$K$34),"")</f>
      </c>
      <c r="L34" s="16">
        <f>IFERROR(IF([1]对账明细接口!$L$34=0,"",[1]对账明细接口!$L$34),"")</f>
      </c>
      <c r="M34" s="16">
        <f>IFERROR(IF([1]对账明细接口!$M$34=0,"",[1]对账明细接口!$M$34),"")</f>
      </c>
      <c r="N34" s="19">
        <f>IF($C34="",0,1)</f>
        <v>1</v>
      </c>
      <c r="O34" s="19">
        <f>N(O33)+$N34</f>
        <v>31</v>
      </c>
      <c r="S34" s="20" t="str">
        <f>IFERROR(IF([1]对账明细接口!$N34=0,"",[1]对账明细接口!$N34),"")</f>
        <v>自备一次性筐</v>
      </c>
      <c r="T34" s="212">
        <f>IFERROR(IF([1]对账明细接口!$O34=0,"",[1]对账明细接口!$O34),"")</f>
      </c>
      <c r="U34" s="212">
        <f>IFERROR(IF([1]对账明细接口!$P34=0,"",[1]对账明细接口!$P34),"")</f>
      </c>
      <c r="V34" s="212">
        <f>IFERROR(IF([1]对账明细接口!$Q34=0,"",[1]对账明细接口!$Q34),"")</f>
        <v>8</v>
      </c>
      <c r="W34" s="20" t="str">
        <f>IFERROR(IF([1]对账明细接口!$R34=0,"",[1]对账明细接口!$R34),"")</f>
        <v>苏M*7G796</v>
      </c>
      <c r="X34" s="20" t="str">
        <f>IFERROR(IF([1]对账明细接口!$S34=0,"",[1]对账明细接口!$S34),"")</f>
        <v>自备筐</v>
      </c>
      <c r="Y34" s="20">
        <f>IFERROR(IF([1]对账明细接口!$T34=0,"",[1]对账明细接口!$T34),"")</f>
      </c>
      <c r="Z34" s="213">
        <f>IFERROR(IF([1]对账明细接口!$U34=0,"",[1]对账明细接口!$U34),"")</f>
      </c>
      <c r="AA34" s="213">
        <f>IFERROR(IF([1]对账明细接口!$V34=0,"",[1]对账明细接口!$V34),"")</f>
      </c>
      <c r="AB34" s="20">
        <f>IFERROR(IF([1]对账明细接口!$W34=0,"",[1]对账明细接口!$W34),"")</f>
      </c>
      <c r="AC34" s="7">
        <f>IFERROR(IF([1]对账明细接口!$X34=0,"",[1]对账明细接口!$X34),"")</f>
      </c>
      <c r="AD34" s="7">
        <f>IFERROR(IF([1]对账明细接口!$Y34=0,"",[1]对账明细接口!$Y34),"")</f>
      </c>
      <c r="AE34" s="7">
        <f>IFERROR(IF([1]对账明细接口!$AA34=0,"",[1]对账明细接口!$AA34),"")</f>
      </c>
      <c r="AF34" s="7">
        <f>IFERROR(IF([1]对账明细接口!$AB34=0,"",[1]对账明细接口!$AB34),"")</f>
      </c>
      <c r="AG34" s="7">
        <f>IFERROR(IF([1]对账明细接口!$AC34=0,"",[1]对账明细接口!$AC34),"")</f>
      </c>
      <c r="AH34" s="7">
        <f>IFERROR(IF([1]对账明细接口!$AD34=0,"",[1]对账明细接口!$AD34),"")</f>
      </c>
      <c r="AI34" s="7">
        <f>IFERROR(IF([1]对账明细接口!$AE34=0,"",[1]对账明细接口!$AE34),"")</f>
      </c>
      <c r="AJ34" s="7">
        <f>IFERROR(IF([1]对账明细接口!$AF34=0,"",[1]对账明细接口!$AF34),"")</f>
      </c>
    </row>
    <row r="35" ht="14.25" customHeight="1" s="127">
      <c r="A35" s="14" t="n">
        <v>35</v>
      </c>
      <c r="B35" s="211">
        <f>IFERROR(IF([1]对账明细接口!$B$35=0,"",[1]对账明细接口!$B$35),"")</f>
        <v>46253.0</v>
      </c>
      <c r="C35" s="16" t="str">
        <f>IFERROR(IF([1]对账明细接口!$C$35=0,"",[1]对账明细接口!$C$35),"")</f>
        <v>聂新平</v>
      </c>
      <c r="D35" s="16" t="str">
        <f>IFERROR(IF([1]对账明细接口!$D$35=0,"",[1]对账明细接口!$D$35),"")</f>
        <v>原料入库</v>
      </c>
      <c r="E35" s="16" t="str">
        <f>IFERROR(IF([1]对账明细接口!$E$35=0,"",[1]对账明细接口!$E$35),"")</f>
        <v>NO0000702</v>
      </c>
      <c r="F35" s="16" t="str">
        <f>IFERROR(IF([1]对账明细接口!$F$35=0,"",[1]对账明细接口!$F$35),"")</f>
        <v>苹果</v>
      </c>
      <c r="G35" s="16" t="str">
        <f>IFERROR(IF([1]对账明细接口!$G$35=0,"",[1]对账明细接口!$G$35),"")</f>
        <v>嘎啦100#</v>
      </c>
      <c r="H35" s="176">
        <f>IFERROR(IF([1]对账明细接口!$H$35=0,"",[1]对账明细接口!$H$35),"")</f>
        <v>16</v>
      </c>
      <c r="I35" s="16" t="str">
        <f>IFERROR(IF([1]对账明细接口!$I$35=0,"",[1]对账明细接口!$I$35),"")</f>
        <v>筐</v>
      </c>
      <c r="J35" s="177">
        <f>IFERROR(IF([1]对账明细接口!$J$35=0,"",[1]对账明细接口!$J$35),"")</f>
        <v>348.8</v>
      </c>
      <c r="K35" s="177">
        <f>IFERROR(IF([1]对账明细接口!$K$35=0,"",[1]对账明细接口!$K$35),"")</f>
      </c>
      <c r="L35" s="16">
        <f>IFERROR(IF([1]对账明细接口!$L$35=0,"",[1]对账明细接口!$L$35),"")</f>
      </c>
      <c r="M35" s="16">
        <f>IFERROR(IF([1]对账明细接口!$M$35=0,"",[1]对账明细接口!$M$35),"")</f>
      </c>
      <c r="N35" s="19">
        <f>IF($C35="",0,1)</f>
        <v>1</v>
      </c>
      <c r="O35" s="19">
        <f>N(O34)+$N35</f>
        <v>32</v>
      </c>
      <c r="S35" s="20" t="str">
        <f>IFERROR(IF([1]对账明细接口!$N35=0,"",[1]对账明细接口!$N35),"")</f>
        <v>自备一次性筐</v>
      </c>
      <c r="T35" s="212">
        <f>IFERROR(IF([1]对账明细接口!$O35=0,"",[1]对账明细接口!$O35),"")</f>
      </c>
      <c r="U35" s="212">
        <f>IFERROR(IF([1]对账明细接口!$P35=0,"",[1]对账明细接口!$P35),"")</f>
      </c>
      <c r="V35" s="212">
        <f>IFERROR(IF([1]对账明细接口!$Q35=0,"",[1]对账明细接口!$Q35),"")</f>
        <v>16</v>
      </c>
      <c r="W35" s="20" t="str">
        <f>IFERROR(IF([1]对账明细接口!$R35=0,"",[1]对账明细接口!$R35),"")</f>
        <v>苏M*7G796</v>
      </c>
      <c r="X35" s="20" t="str">
        <f>IFERROR(IF([1]对账明细接口!$S35=0,"",[1]对账明细接口!$S35),"")</f>
        <v>自备筐</v>
      </c>
      <c r="Y35" s="20">
        <f>IFERROR(IF([1]对账明细接口!$T35=0,"",[1]对账明细接口!$T35),"")</f>
      </c>
      <c r="Z35" s="213">
        <f>IFERROR(IF([1]对账明细接口!$U35=0,"",[1]对账明细接口!$U35),"")</f>
      </c>
      <c r="AA35" s="213">
        <f>IFERROR(IF([1]对账明细接口!$V35=0,"",[1]对账明细接口!$V35),"")</f>
      </c>
      <c r="AB35" s="20">
        <f>IFERROR(IF([1]对账明细接口!$W35=0,"",[1]对账明细接口!$W35),"")</f>
      </c>
      <c r="AC35" s="7">
        <f>IFERROR(IF([1]对账明细接口!$X35=0,"",[1]对账明细接口!$X35),"")</f>
      </c>
      <c r="AD35" s="7">
        <f>IFERROR(IF([1]对账明细接口!$Y35=0,"",[1]对账明细接口!$Y35),"")</f>
      </c>
      <c r="AE35" s="7">
        <f>IFERROR(IF([1]对账明细接口!$AA35=0,"",[1]对账明细接口!$AA35),"")</f>
      </c>
      <c r="AF35" s="7">
        <f>IFERROR(IF([1]对账明细接口!$AB35=0,"",[1]对账明细接口!$AB35),"")</f>
      </c>
      <c r="AG35" s="7">
        <f>IFERROR(IF([1]对账明细接口!$AC35=0,"",[1]对账明细接口!$AC35),"")</f>
      </c>
      <c r="AH35" s="7">
        <f>IFERROR(IF([1]对账明细接口!$AD35=0,"",[1]对账明细接口!$AD35),"")</f>
      </c>
      <c r="AI35" s="7">
        <f>IFERROR(IF([1]对账明细接口!$AE35=0,"",[1]对账明细接口!$AE35),"")</f>
      </c>
      <c r="AJ35" s="7">
        <f>IFERROR(IF([1]对账明细接口!$AF35=0,"",[1]对账明细接口!$AF35),"")</f>
      </c>
    </row>
    <row r="36" ht="14.25" customHeight="1" s="127">
      <c r="A36" s="14" t="n">
        <v>36</v>
      </c>
      <c r="B36" s="211">
        <f>IFERROR(IF([1]对账明细接口!$B$36=0,"",[1]对账明细接口!$B$36),"")</f>
        <v>46254.0</v>
      </c>
      <c r="C36" s="16" t="str">
        <f>IFERROR(IF([1]对账明细接口!$C$36=0,"",[1]对账明细接口!$C$36),"")</f>
        <v>聂新平</v>
      </c>
      <c r="D36" s="16" t="str">
        <f>IFERROR(IF([1]对账明细接口!$D$36=0,"",[1]对账明细接口!$D$36),"")</f>
        <v>原料入库</v>
      </c>
      <c r="E36" s="16" t="str">
        <f>IFERROR(IF([1]对账明细接口!$E$36=0,"",[1]对账明细接口!$E$36),"")</f>
        <v>NO0000708</v>
      </c>
      <c r="F36" s="16" t="str">
        <f>IFERROR(IF([1]对账明细接口!$F$36=0,"",[1]对账明细接口!$F$36),"")</f>
        <v>苹果</v>
      </c>
      <c r="G36" s="16" t="str">
        <f>IFERROR(IF([1]对账明细接口!$G$36=0,"",[1]对账明细接口!$G$36),"")</f>
        <v>嘎啦85#</v>
      </c>
      <c r="H36" s="176">
        <f>IFERROR(IF([1]对账明细接口!$H$36=0,"",[1]对账明细接口!$H$36),"")</f>
        <v>9</v>
      </c>
      <c r="I36" s="16" t="str">
        <f>IFERROR(IF([1]对账明细接口!$I$36=0,"",[1]对账明细接口!$I$36),"")</f>
        <v>筐</v>
      </c>
      <c r="J36" s="177">
        <f>IFERROR(IF([1]对账明细接口!$J$36=0,"",[1]对账明细接口!$J$36),"")</f>
        <v>196.2</v>
      </c>
      <c r="K36" s="177">
        <f>IFERROR(IF([1]对账明细接口!$K$36=0,"",[1]对账明细接口!$K$36),"")</f>
      </c>
      <c r="L36" s="16">
        <f>IFERROR(IF([1]对账明细接口!$L$36=0,"",[1]对账明细接口!$L$36),"")</f>
      </c>
      <c r="M36" s="16">
        <f>IFERROR(IF([1]对账明细接口!$M$36=0,"",[1]对账明细接口!$M$36),"")</f>
      </c>
      <c r="N36" s="19">
        <f>IF($C36="",0,1)</f>
        <v>1</v>
      </c>
      <c r="O36" s="19">
        <f>N(O35)+$N36</f>
        <v>33</v>
      </c>
      <c r="S36" s="20" t="str">
        <f>IFERROR(IF([1]对账明细接口!$N36=0,"",[1]对账明细接口!$N36),"")</f>
        <v>自备一次性筐</v>
      </c>
      <c r="T36" s="212">
        <f>IFERROR(IF([1]对账明细接口!$O36=0,"",[1]对账明细接口!$O36),"")</f>
      </c>
      <c r="U36" s="212">
        <f>IFERROR(IF([1]对账明细接口!$P36=0,"",[1]对账明细接口!$P36),"")</f>
      </c>
      <c r="V36" s="212">
        <f>IFERROR(IF([1]对账明细接口!$Q36=0,"",[1]对账明细接口!$Q36),"")</f>
        <v>9</v>
      </c>
      <c r="W36" s="20" t="str">
        <f>IFERROR(IF([1]对账明细接口!$R36=0,"",[1]对账明细接口!$R36),"")</f>
        <v>苏M*7G796</v>
      </c>
      <c r="X36" s="20" t="str">
        <f>IFERROR(IF([1]对账明细接口!$S36=0,"",[1]对账明细接口!$S36),"")</f>
        <v>自备筐</v>
      </c>
      <c r="Y36" s="20">
        <f>IFERROR(IF([1]对账明细接口!$T36=0,"",[1]对账明细接口!$T36),"")</f>
      </c>
      <c r="Z36" s="213">
        <f>IFERROR(IF([1]对账明细接口!$U36=0,"",[1]对账明细接口!$U36),"")</f>
      </c>
      <c r="AA36" s="213">
        <f>IFERROR(IF([1]对账明细接口!$V36=0,"",[1]对账明细接口!$V36),"")</f>
      </c>
      <c r="AB36" s="20">
        <f>IFERROR(IF([1]对账明细接口!$W36=0,"",[1]对账明细接口!$W36),"")</f>
      </c>
      <c r="AC36" s="7">
        <f>IFERROR(IF([1]对账明细接口!$X36=0,"",[1]对账明细接口!$X36),"")</f>
      </c>
      <c r="AD36" s="7">
        <f>IFERROR(IF([1]对账明细接口!$Y36=0,"",[1]对账明细接口!$Y36),"")</f>
      </c>
      <c r="AE36" s="7">
        <f>IFERROR(IF([1]对账明细接口!$AA36=0,"",[1]对账明细接口!$AA36),"")</f>
      </c>
      <c r="AF36" s="7">
        <f>IFERROR(IF([1]对账明细接口!$AB36=0,"",[1]对账明细接口!$AB36),"")</f>
      </c>
      <c r="AG36" s="7">
        <f>IFERROR(IF([1]对账明细接口!$AC36=0,"",[1]对账明细接口!$AC36),"")</f>
      </c>
      <c r="AH36" s="7">
        <f>IFERROR(IF([1]对账明细接口!$AD36=0,"",[1]对账明细接口!$AD36),"")</f>
      </c>
      <c r="AI36" s="7">
        <f>IFERROR(IF([1]对账明细接口!$AE36=0,"",[1]对账明细接口!$AE36),"")</f>
      </c>
      <c r="AJ36" s="7">
        <f>IFERROR(IF([1]对账明细接口!$AF36=0,"",[1]对账明细接口!$AF36),"")</f>
      </c>
    </row>
    <row r="37" ht="14.25" customHeight="1" s="127">
      <c r="A37" s="14" t="n">
        <v>37</v>
      </c>
      <c r="B37" s="211">
        <f>IFERROR(IF([1]对账明细接口!$B$37=0,"",[1]对账明细接口!$B$37),"")</f>
        <v>46255.0</v>
      </c>
      <c r="C37" s="16" t="str">
        <f>IFERROR(IF([1]对账明细接口!$C$37=0,"",[1]对账明细接口!$C$37),"")</f>
        <v>王照雪</v>
      </c>
      <c r="D37" s="16" t="str">
        <f>IFERROR(IF([1]对账明细接口!$D$37=0,"",[1]对账明细接口!$D$37),"")</f>
        <v>原料入库</v>
      </c>
      <c r="E37" s="16" t="str">
        <f>IFERROR(IF([1]对账明细接口!$E$37=0,"",[1]对账明细接口!$E$37),"")</f>
        <v>NO0000710</v>
      </c>
      <c r="F37" s="16" t="str">
        <f>IFERROR(IF([1]对账明细接口!$F$37=0,"",[1]对账明细接口!$F$37),"")</f>
        <v>苹果</v>
      </c>
      <c r="G37" s="16" t="str">
        <f>IFERROR(IF([1]对账明细接口!$G$37=0,"",[1]对账明细接口!$G$37),"")</f>
        <v>华硕一级</v>
      </c>
      <c r="H37" s="176">
        <f>IFERROR(IF([1]对账明细接口!$H$37=0,"",[1]对账明细接口!$H$37),"")</f>
        <v>57</v>
      </c>
      <c r="I37" s="16" t="str">
        <f>IFERROR(IF([1]对账明细接口!$I$37=0,"",[1]对账明细接口!$I$37),"")</f>
        <v>筐</v>
      </c>
      <c r="J37" s="177">
        <f>IFERROR(IF([1]对账明细接口!$J$37=0,"",[1]对账明细接口!$J$37),"")</f>
        <v>986.1</v>
      </c>
      <c r="K37" s="177">
        <f>IFERROR(IF([1]对账明细接口!$K$37=0,"",[1]对账明细接口!$K$37),"")</f>
      </c>
      <c r="L37" s="16">
        <f>IFERROR(IF([1]对账明细接口!$L$37=0,"",[1]对账明细接口!$L$37),"")</f>
      </c>
      <c r="M37" s="16">
        <f>IFERROR(IF([1]对账明细接口!$M$37=0,"",[1]对账明细接口!$M$37),"")</f>
      </c>
      <c r="N37" s="19">
        <f>IF($C37="",0,1)</f>
        <v>1</v>
      </c>
      <c r="O37" s="19">
        <f>N(O36)+$N37</f>
        <v>34</v>
      </c>
      <c r="S37" s="20" t="str">
        <f>IFERROR(IF([1]对账明细接口!$N37=0,"",[1]对账明细接口!$N37),"")</f>
        <v>公司杂周转筐</v>
      </c>
      <c r="T37" s="212">
        <f>IFERROR(IF([1]对账明细接口!$O37=0,"",[1]对账明细接口!$O37),"")</f>
      </c>
      <c r="U37" s="212">
        <f>IFERROR(IF([1]对账明细接口!$P37=0,"",[1]对账明细接口!$P37),"")</f>
      </c>
      <c r="V37" s="212">
        <f>IFERROR(IF([1]对账明细接口!$Q37=0,"",[1]对账明细接口!$Q37),"")</f>
        <v>57</v>
      </c>
      <c r="W37" s="20" t="str">
        <f>IFERROR(IF([1]对账明细接口!$R37=0,"",[1]对账明细接口!$R37),"")</f>
        <v>豫L*88X19</v>
      </c>
      <c r="X37" s="20" t="str">
        <f>IFERROR(IF([1]对账明细接口!$S37=0,"",[1]对账明细接口!$S37),"")</f>
        <v>公司筐</v>
      </c>
      <c r="Y37" s="20">
        <f>IFERROR(IF([1]对账明细接口!$T37=0,"",[1]对账明细接口!$T37),"")</f>
      </c>
      <c r="Z37" s="213">
        <f>IFERROR(IF([1]对账明细接口!$U37=0,"",[1]对账明细接口!$U37),"")</f>
      </c>
      <c r="AA37" s="213">
        <f>IFERROR(IF([1]对账明细接口!$V37=0,"",[1]对账明细接口!$V37),"")</f>
      </c>
      <c r="AB37" s="20">
        <f>IFERROR(IF([1]对账明细接口!$W37=0,"",[1]对账明细接口!$W37),"")</f>
      </c>
      <c r="AC37" s="7">
        <f>IFERROR(IF([1]对账明细接口!$X37=0,"",[1]对账明细接口!$X37),"")</f>
      </c>
      <c r="AD37" s="7">
        <f>IFERROR(IF([1]对账明细接口!$Y37=0,"",[1]对账明细接口!$Y37),"")</f>
      </c>
      <c r="AE37" s="7">
        <f>IFERROR(IF([1]对账明细接口!$AA37=0,"",[1]对账明细接口!$AA37),"")</f>
      </c>
      <c r="AF37" s="7">
        <f>IFERROR(IF([1]对账明细接口!$AB37=0,"",[1]对账明细接口!$AB37),"")</f>
      </c>
      <c r="AG37" s="7">
        <f>IFERROR(IF([1]对账明细接口!$AC37=0,"",[1]对账明细接口!$AC37),"")</f>
      </c>
      <c r="AH37" s="7">
        <f>IFERROR(IF([1]对账明细接口!$AD37=0,"",[1]对账明细接口!$AD37),"")</f>
      </c>
      <c r="AI37" s="7">
        <f>IFERROR(IF([1]对账明细接口!$AE37=0,"",[1]对账明细接口!$AE37),"")</f>
      </c>
      <c r="AJ37" s="7">
        <f>IFERROR(IF([1]对账明细接口!$AF37=0,"",[1]对账明细接口!$AF37),"")</f>
      </c>
    </row>
    <row r="38" ht="14.25" customHeight="1" s="127">
      <c r="A38" s="14" t="n">
        <v>38</v>
      </c>
      <c r="B38" s="211">
        <f>IFERROR(IF([1]对账明细接口!$B$38=0,"",[1]对账明细接口!$B$38),"")</f>
        <v>46255.0</v>
      </c>
      <c r="C38" s="16" t="str">
        <f>IFERROR(IF([1]对账明细接口!$C$38=0,"",[1]对账明细接口!$C$38),"")</f>
        <v>王照雪</v>
      </c>
      <c r="D38" s="16" t="str">
        <f>IFERROR(IF([1]对账明细接口!$D$38=0,"",[1]对账明细接口!$D$38),"")</f>
        <v>原料入库</v>
      </c>
      <c r="E38" s="16" t="str">
        <f>IFERROR(IF([1]对账明细接口!$E$38=0,"",[1]对账明细接口!$E$38),"")</f>
        <v>NO0000710</v>
      </c>
      <c r="F38" s="16" t="str">
        <f>IFERROR(IF([1]对账明细接口!$F$38=0,"",[1]对账明细接口!$F$38),"")</f>
        <v>苹果</v>
      </c>
      <c r="G38" s="16" t="str">
        <f>IFERROR(IF([1]对账明细接口!$G$38=0,"",[1]对账明细接口!$G$38),"")</f>
        <v>华硕二级</v>
      </c>
      <c r="H38" s="176">
        <f>IFERROR(IF([1]对账明细接口!$H$38=0,"",[1]对账明细接口!$H$38),"")</f>
        <v>18</v>
      </c>
      <c r="I38" s="16" t="str">
        <f>IFERROR(IF([1]对账明细接口!$I$38=0,"",[1]对账明细接口!$I$38),"")</f>
        <v>筐</v>
      </c>
      <c r="J38" s="177">
        <f>IFERROR(IF([1]对账明细接口!$J$38=0,"",[1]对账明细接口!$J$38),"")</f>
        <v>293.4</v>
      </c>
      <c r="K38" s="177">
        <f>IFERROR(IF([1]对账明细接口!$K$38=0,"",[1]对账明细接口!$K$38),"")</f>
      </c>
      <c r="L38" s="16">
        <f>IFERROR(IF([1]对账明细接口!$L$38=0,"",[1]对账明细接口!$L$38),"")</f>
      </c>
      <c r="M38" s="16">
        <f>IFERROR(IF([1]对账明细接口!$M$38=0,"",[1]对账明细接口!$M$38),"")</f>
      </c>
      <c r="N38" s="19">
        <f>IF($C38="",0,1)</f>
        <v>1</v>
      </c>
      <c r="O38" s="19">
        <f>N(O37)+$N38</f>
        <v>35</v>
      </c>
      <c r="S38" s="20" t="str">
        <f>IFERROR(IF([1]对账明细接口!$N38=0,"",[1]对账明细接口!$N38),"")</f>
        <v>公司杂周转筐</v>
      </c>
      <c r="T38" s="212">
        <f>IFERROR(IF([1]对账明细接口!$O38=0,"",[1]对账明细接口!$O38),"")</f>
      </c>
      <c r="U38" s="212">
        <f>IFERROR(IF([1]对账明细接口!$P38=0,"",[1]对账明细接口!$P38),"")</f>
      </c>
      <c r="V38" s="212">
        <f>IFERROR(IF([1]对账明细接口!$Q38=0,"",[1]对账明细接口!$Q38),"")</f>
        <v>18</v>
      </c>
      <c r="W38" s="20" t="str">
        <f>IFERROR(IF([1]对账明细接口!$R38=0,"",[1]对账明细接口!$R38),"")</f>
        <v>豫L*88X19</v>
      </c>
      <c r="X38" s="20" t="str">
        <f>IFERROR(IF([1]对账明细接口!$S38=0,"",[1]对账明细接口!$S38),"")</f>
        <v>公司筐</v>
      </c>
      <c r="Y38" s="20">
        <f>IFERROR(IF([1]对账明细接口!$T38=0,"",[1]对账明细接口!$T38),"")</f>
      </c>
      <c r="Z38" s="213">
        <f>IFERROR(IF([1]对账明细接口!$U38=0,"",[1]对账明细接口!$U38),"")</f>
      </c>
      <c r="AA38" s="213">
        <f>IFERROR(IF([1]对账明细接口!$V38=0,"",[1]对账明细接口!$V38),"")</f>
      </c>
      <c r="AB38" s="20">
        <f>IFERROR(IF([1]对账明细接口!$W38=0,"",[1]对账明细接口!$W38),"")</f>
      </c>
      <c r="AC38" s="7">
        <f>IFERROR(IF([1]对账明细接口!$X38=0,"",[1]对账明细接口!$X38),"")</f>
      </c>
      <c r="AD38" s="7">
        <f>IFERROR(IF([1]对账明细接口!$Y38=0,"",[1]对账明细接口!$Y38),"")</f>
      </c>
      <c r="AE38" s="7">
        <f>IFERROR(IF([1]对账明细接口!$AA38=0,"",[1]对账明细接口!$AA38),"")</f>
      </c>
      <c r="AF38" s="7">
        <f>IFERROR(IF([1]对账明细接口!$AB38=0,"",[1]对账明细接口!$AB38),"")</f>
      </c>
      <c r="AG38" s="7">
        <f>IFERROR(IF([1]对账明细接口!$AC38=0,"",[1]对账明细接口!$AC38),"")</f>
      </c>
      <c r="AH38" s="7">
        <f>IFERROR(IF([1]对账明细接口!$AD38=0,"",[1]对账明细接口!$AD38),"")</f>
      </c>
      <c r="AI38" s="7">
        <f>IFERROR(IF([1]对账明细接口!$AE38=0,"",[1]对账明细接口!$AE38),"")</f>
      </c>
      <c r="AJ38" s="7">
        <f>IFERROR(IF([1]对账明细接口!$AF38=0,"",[1]对账明细接口!$AF38),"")</f>
      </c>
    </row>
    <row r="39" ht="14.25" customHeight="1" s="127">
      <c r="A39" s="14" t="n">
        <v>39</v>
      </c>
      <c r="B39" s="211">
        <f>IFERROR(IF([1]对账明细接口!$B$39=0,"",[1]对账明细接口!$B$39),"")</f>
        <v>46255.0</v>
      </c>
      <c r="C39" s="16" t="str">
        <f>IFERROR(IF([1]对账明细接口!$C$39=0,"",[1]对账明细接口!$C$39),"")</f>
        <v>王照雪</v>
      </c>
      <c r="D39" s="16" t="str">
        <f>IFERROR(IF([1]对账明细接口!$D$39=0,"",[1]对账明细接口!$D$39),"")</f>
        <v>原料入库</v>
      </c>
      <c r="E39" s="16" t="str">
        <f>IFERROR(IF([1]对账明细接口!$E$39=0,"",[1]对账明细接口!$E$39),"")</f>
        <v>NO0000710</v>
      </c>
      <c r="F39" s="16" t="str">
        <f>IFERROR(IF([1]对账明细接口!$F$39=0,"",[1]对账明细接口!$F$39),"")</f>
        <v>苹果</v>
      </c>
      <c r="G39" s="16" t="str">
        <f>IFERROR(IF([1]对账明细接口!$G$39=0,"",[1]对账明细接口!$G$39),"")</f>
        <v>华硕高次</v>
      </c>
      <c r="H39" s="176">
        <f>IFERROR(IF([1]对账明细接口!$H$39=0,"",[1]对账明细接口!$H$39),"")</f>
        <v>18</v>
      </c>
      <c r="I39" s="16" t="str">
        <f>IFERROR(IF([1]对账明细接口!$I$39=0,"",[1]对账明细接口!$I$39),"")</f>
        <v>筐</v>
      </c>
      <c r="J39" s="177">
        <f>IFERROR(IF([1]对账明细接口!$J$39=0,"",[1]对账明细接口!$J$39),"")</f>
        <v>311.4</v>
      </c>
      <c r="K39" s="177">
        <f>IFERROR(IF([1]对账明细接口!$K$39=0,"",[1]对账明细接口!$K$39),"")</f>
      </c>
      <c r="L39" s="16">
        <f>IFERROR(IF([1]对账明细接口!$L$39=0,"",[1]对账明细接口!$L$39),"")</f>
      </c>
      <c r="M39" s="16">
        <f>IFERROR(IF([1]对账明细接口!$M$39=0,"",[1]对账明细接口!$M$39),"")</f>
      </c>
      <c r="N39" s="19">
        <f>IF($C39="",0,1)</f>
        <v>1</v>
      </c>
      <c r="O39" s="19">
        <f>N(O38)+$N39</f>
        <v>36</v>
      </c>
      <c r="S39" s="20" t="str">
        <f>IFERROR(IF([1]对账明细接口!$N39=0,"",[1]对账明细接口!$N39),"")</f>
        <v>公司杂周转筐</v>
      </c>
      <c r="T39" s="212">
        <f>IFERROR(IF([1]对账明细接口!$O39=0,"",[1]对账明细接口!$O39),"")</f>
      </c>
      <c r="U39" s="212">
        <f>IFERROR(IF([1]对账明细接口!$P39=0,"",[1]对账明细接口!$P39),"")</f>
      </c>
      <c r="V39" s="212">
        <f>IFERROR(IF([1]对账明细接口!$Q39=0,"",[1]对账明细接口!$Q39),"")</f>
        <v>18</v>
      </c>
      <c r="W39" s="20" t="str">
        <f>IFERROR(IF([1]对账明细接口!$R39=0,"",[1]对账明细接口!$R39),"")</f>
        <v>豫L*88X19</v>
      </c>
      <c r="X39" s="20" t="str">
        <f>IFERROR(IF([1]对账明细接口!$S39=0,"",[1]对账明细接口!$S39),"")</f>
        <v>公司筐</v>
      </c>
      <c r="Y39" s="20">
        <f>IFERROR(IF([1]对账明细接口!$T39=0,"",[1]对账明细接口!$T39),"")</f>
      </c>
      <c r="Z39" s="213">
        <f>IFERROR(IF([1]对账明细接口!$U39=0,"",[1]对账明细接口!$U39),"")</f>
      </c>
      <c r="AA39" s="213">
        <f>IFERROR(IF([1]对账明细接口!$V39=0,"",[1]对账明细接口!$V39),"")</f>
      </c>
      <c r="AB39" s="20">
        <f>IFERROR(IF([1]对账明细接口!$W39=0,"",[1]对账明细接口!$W39),"")</f>
      </c>
      <c r="AC39" s="7">
        <f>IFERROR(IF([1]对账明细接口!$X39=0,"",[1]对账明细接口!$X39),"")</f>
      </c>
      <c r="AD39" s="7">
        <f>IFERROR(IF([1]对账明细接口!$Y39=0,"",[1]对账明细接口!$Y39),"")</f>
      </c>
      <c r="AE39" s="7">
        <f>IFERROR(IF([1]对账明细接口!$AA39=0,"",[1]对账明细接口!$AA39),"")</f>
      </c>
      <c r="AF39" s="7">
        <f>IFERROR(IF([1]对账明细接口!$AB39=0,"",[1]对账明细接口!$AB39),"")</f>
      </c>
      <c r="AG39" s="7">
        <f>IFERROR(IF([1]对账明细接口!$AC39=0,"",[1]对账明细接口!$AC39),"")</f>
      </c>
      <c r="AH39" s="7">
        <f>IFERROR(IF([1]对账明细接口!$AD39=0,"",[1]对账明细接口!$AD39),"")</f>
      </c>
      <c r="AI39" s="7">
        <f>IFERROR(IF([1]对账明细接口!$AE39=0,"",[1]对账明细接口!$AE39),"")</f>
      </c>
      <c r="AJ39" s="7">
        <f>IFERROR(IF([1]对账明细接口!$AF39=0,"",[1]对账明细接口!$AF39),"")</f>
      </c>
    </row>
    <row r="40" ht="14.25" customHeight="1" s="127">
      <c r="A40" s="14" t="n">
        <v>40</v>
      </c>
      <c r="B40" s="211">
        <f>IFERROR(IF([1]对账明细接口!$B$40=0,"",[1]对账明细接口!$B$40),"")</f>
        <v>46256.0</v>
      </c>
      <c r="C40" s="16" t="str">
        <f>IFERROR(IF([1]对账明细接口!$C$40=0,"",[1]对账明细接口!$C$40),"")</f>
        <v>聂新平</v>
      </c>
      <c r="D40" s="16" t="str">
        <f>IFERROR(IF([1]对账明细接口!$D$40=0,"",[1]对账明细接口!$D$40),"")</f>
        <v>原料入库</v>
      </c>
      <c r="E40" s="16" t="str">
        <f>IFERROR(IF([1]对账明细接口!$E$40=0,"",[1]对账明细接口!$E$40),"")</f>
        <v>NO0000713</v>
      </c>
      <c r="F40" s="16" t="str">
        <f>IFERROR(IF([1]对账明细接口!$F$40=0,"",[1]对账明细接口!$F$40),"")</f>
        <v>苹果</v>
      </c>
      <c r="G40" s="16" t="str">
        <f>IFERROR(IF([1]对账明细接口!$G$40=0,"",[1]对账明细接口!$G$40),"")</f>
        <v>嘎啦100#</v>
      </c>
      <c r="H40" s="176">
        <f>IFERROR(IF([1]对账明细接口!$H$40=0,"",[1]对账明细接口!$H$40),"")</f>
        <v>92</v>
      </c>
      <c r="I40" s="16" t="str">
        <f>IFERROR(IF([1]对账明细接口!$I$40=0,"",[1]对账明细接口!$I$40),"")</f>
        <v>筐</v>
      </c>
      <c r="J40" s="177">
        <f>IFERROR(IF([1]对账明细接口!$J$40=0,"",[1]对账明细接口!$J$40),"")</f>
        <v>2005.6</v>
      </c>
      <c r="K40" s="177">
        <f>IFERROR(IF([1]对账明细接口!$K$40=0,"",[1]对账明细接口!$K$40),"")</f>
      </c>
      <c r="L40" s="16">
        <f>IFERROR(IF([1]对账明细接口!$L$40=0,"",[1]对账明细接口!$L$40),"")</f>
      </c>
      <c r="M40" s="16">
        <f>IFERROR(IF([1]对账明细接口!$M$40=0,"",[1]对账明细接口!$M$40),"")</f>
      </c>
      <c r="N40" s="19">
        <f>IF($C40="",0,1)</f>
        <v>1</v>
      </c>
      <c r="O40" s="19">
        <f>N(O39)+$N40</f>
        <v>37</v>
      </c>
      <c r="S40" s="20" t="str">
        <f>IFERROR(IF([1]对账明细接口!$N40=0,"",[1]对账明细接口!$N40),"")</f>
        <v>自备一次性筐</v>
      </c>
      <c r="T40" s="212">
        <f>IFERROR(IF([1]对账明细接口!$O40=0,"",[1]对账明细接口!$O40),"")</f>
      </c>
      <c r="U40" s="212">
        <f>IFERROR(IF([1]对账明细接口!$P40=0,"",[1]对账明细接口!$P40),"")</f>
      </c>
      <c r="V40" s="212">
        <f>IFERROR(IF([1]对账明细接口!$Q40=0,"",[1]对账明细接口!$Q40),"")</f>
        <v>92</v>
      </c>
      <c r="W40" s="20" t="str">
        <f>IFERROR(IF([1]对账明细接口!$R40=0,"",[1]对账明细接口!$R40),"")</f>
        <v>新N*9F701</v>
      </c>
      <c r="X40" s="20" t="str">
        <f>IFERROR(IF([1]对账明细接口!$S40=0,"",[1]对账明细接口!$S40),"")</f>
        <v>自备筐</v>
      </c>
      <c r="Y40" s="20">
        <f>IFERROR(IF([1]对账明细接口!$T40=0,"",[1]对账明细接口!$T40),"")</f>
      </c>
      <c r="Z40" s="213">
        <f>IFERROR(IF([1]对账明细接口!$U40=0,"",[1]对账明细接口!$U40),"")</f>
      </c>
      <c r="AA40" s="213">
        <f>IFERROR(IF([1]对账明细接口!$V40=0,"",[1]对账明细接口!$V40),"")</f>
      </c>
      <c r="AB40" s="20">
        <f>IFERROR(IF([1]对账明细接口!$W40=0,"",[1]对账明细接口!$W40),"")</f>
      </c>
      <c r="AC40" s="7">
        <f>IFERROR(IF([1]对账明细接口!$X40=0,"",[1]对账明细接口!$X40),"")</f>
      </c>
      <c r="AD40" s="7">
        <f>IFERROR(IF([1]对账明细接口!$Y40=0,"",[1]对账明细接口!$Y40),"")</f>
      </c>
      <c r="AE40" s="7">
        <f>IFERROR(IF([1]对账明细接口!$AA40=0,"",[1]对账明细接口!$AA40),"")</f>
      </c>
      <c r="AF40" s="7">
        <f>IFERROR(IF([1]对账明细接口!$AB40=0,"",[1]对账明细接口!$AB40),"")</f>
      </c>
      <c r="AG40" s="7">
        <f>IFERROR(IF([1]对账明细接口!$AC40=0,"",[1]对账明细接口!$AC40),"")</f>
      </c>
      <c r="AH40" s="7">
        <f>IFERROR(IF([1]对账明细接口!$AD40=0,"",[1]对账明细接口!$AD40),"")</f>
      </c>
      <c r="AI40" s="7">
        <f>IFERROR(IF([1]对账明细接口!$AE40=0,"",[1]对账明细接口!$AE40),"")</f>
      </c>
      <c r="AJ40" s="7">
        <f>IFERROR(IF([1]对账明细接口!$AF40=0,"",[1]对账明细接口!$AF40),"")</f>
      </c>
    </row>
    <row r="41" ht="14.25" customHeight="1" s="127">
      <c r="A41" s="14" t="n">
        <v>41</v>
      </c>
      <c r="B41" s="211">
        <f>IFERROR(IF([1]对账明细接口!$B$41=0,"",[1]对账明细接口!$B$41),"")</f>
        <v>46256.0</v>
      </c>
      <c r="C41" s="16" t="str">
        <f>IFERROR(IF([1]对账明细接口!$C$41=0,"",[1]对账明细接口!$C$41),"")</f>
        <v>聂新平</v>
      </c>
      <c r="D41" s="16" t="str">
        <f>IFERROR(IF([1]对账明细接口!$D$41=0,"",[1]对账明细接口!$D$41),"")</f>
        <v>原料入库</v>
      </c>
      <c r="E41" s="16" t="str">
        <f>IFERROR(IF([1]对账明细接口!$E$41=0,"",[1]对账明细接口!$E$41),"")</f>
        <v>NO0000715</v>
      </c>
      <c r="F41" s="16" t="str">
        <f>IFERROR(IF([1]对账明细接口!$F$41=0,"",[1]对账明细接口!$F$41),"")</f>
        <v>苹果</v>
      </c>
      <c r="G41" s="16" t="str">
        <f>IFERROR(IF([1]对账明细接口!$G$41=0,"",[1]对账明细接口!$G$41),"")</f>
        <v>嘎啦100#</v>
      </c>
      <c r="H41" s="176">
        <f>IFERROR(IF([1]对账明细接口!$H$41=0,"",[1]对账明细接口!$H$41),"")</f>
        <v>55</v>
      </c>
      <c r="I41" s="16" t="str">
        <f>IFERROR(IF([1]对账明细接口!$I$41=0,"",[1]对账明细接口!$I$41),"")</f>
        <v>筐</v>
      </c>
      <c r="J41" s="177">
        <f>IFERROR(IF([1]对账明细接口!$J$41=0,"",[1]对账明细接口!$J$41),"")</f>
        <v>1199</v>
      </c>
      <c r="K41" s="177">
        <f>IFERROR(IF([1]对账明细接口!$K$41=0,"",[1]对账明细接口!$K$41),"")</f>
      </c>
      <c r="L41" s="16">
        <f>IFERROR(IF([1]对账明细接口!$L$41=0,"",[1]对账明细接口!$L$41),"")</f>
      </c>
      <c r="M41" s="16">
        <f>IFERROR(IF([1]对账明细接口!$M$41=0,"",[1]对账明细接口!$M$41),"")</f>
      </c>
      <c r="N41" s="19">
        <f>IF($C41="",0,1)</f>
        <v>1</v>
      </c>
      <c r="O41" s="19">
        <f>N(O40)+$N41</f>
        <v>38</v>
      </c>
      <c r="S41" s="20" t="str">
        <f>IFERROR(IF([1]对账明细接口!$N41=0,"",[1]对账明细接口!$N41),"")</f>
        <v>自备一次性筐</v>
      </c>
      <c r="T41" s="212">
        <f>IFERROR(IF([1]对账明细接口!$O41=0,"",[1]对账明细接口!$O41),"")</f>
      </c>
      <c r="U41" s="212">
        <f>IFERROR(IF([1]对账明细接口!$P41=0,"",[1]对账明细接口!$P41),"")</f>
      </c>
      <c r="V41" s="212">
        <f>IFERROR(IF([1]对账明细接口!$Q41=0,"",[1]对账明细接口!$Q41),"")</f>
        <v>55</v>
      </c>
      <c r="W41" s="20" t="str">
        <f>IFERROR(IF([1]对账明细接口!$R41=0,"",[1]对账明细接口!$R41),"")</f>
        <v>苏M*7G796</v>
      </c>
      <c r="X41" s="20" t="str">
        <f>IFERROR(IF([1]对账明细接口!$S41=0,"",[1]对账明细接口!$S41),"")</f>
        <v>自备筐</v>
      </c>
      <c r="Y41" s="20">
        <f>IFERROR(IF([1]对账明细接口!$T41=0,"",[1]对账明细接口!$T41),"")</f>
      </c>
      <c r="Z41" s="213">
        <f>IFERROR(IF([1]对账明细接口!$U41=0,"",[1]对账明细接口!$U41),"")</f>
      </c>
      <c r="AA41" s="213">
        <f>IFERROR(IF([1]对账明细接口!$V41=0,"",[1]对账明细接口!$V41),"")</f>
      </c>
      <c r="AB41" s="20">
        <f>IFERROR(IF([1]对账明细接口!$W41=0,"",[1]对账明细接口!$W41),"")</f>
      </c>
      <c r="AC41" s="7">
        <f>IFERROR(IF([1]对账明细接口!$X41=0,"",[1]对账明细接口!$X41),"")</f>
      </c>
      <c r="AD41" s="7">
        <f>IFERROR(IF([1]对账明细接口!$Y41=0,"",[1]对账明细接口!$Y41),"")</f>
      </c>
      <c r="AE41" s="7">
        <f>IFERROR(IF([1]对账明细接口!$AA41=0,"",[1]对账明细接口!$AA41),"")</f>
      </c>
      <c r="AF41" s="7">
        <f>IFERROR(IF([1]对账明细接口!$AB41=0,"",[1]对账明细接口!$AB41),"")</f>
      </c>
      <c r="AG41" s="7">
        <f>IFERROR(IF([1]对账明细接口!$AC41=0,"",[1]对账明细接口!$AC41),"")</f>
      </c>
      <c r="AH41" s="7">
        <f>IFERROR(IF([1]对账明细接口!$AD41=0,"",[1]对账明细接口!$AD41),"")</f>
      </c>
      <c r="AI41" s="7">
        <f>IFERROR(IF([1]对账明细接口!$AE41=0,"",[1]对账明细接口!$AE41),"")</f>
      </c>
      <c r="AJ41" s="7">
        <f>IFERROR(IF([1]对账明细接口!$AF41=0,"",[1]对账明细接口!$AF41),"")</f>
      </c>
    </row>
    <row r="42" ht="14.25" customHeight="1" s="127">
      <c r="A42" s="14" t="n">
        <v>42</v>
      </c>
      <c r="B42" s="211">
        <f>IFERROR(IF([1]对账明细接口!$B$42=0,"",[1]对账明细接口!$B$42),"")</f>
        <v>46258.0</v>
      </c>
      <c r="C42" s="16" t="str">
        <f>IFERROR(IF([1]对账明细接口!$C$42=0,"",[1]对账明细接口!$C$42),"")</f>
        <v>聂新平</v>
      </c>
      <c r="D42" s="16" t="str">
        <f>IFERROR(IF([1]对账明细接口!$D$42=0,"",[1]对账明细接口!$D$42),"")</f>
        <v>原料入库</v>
      </c>
      <c r="E42" s="16" t="str">
        <f>IFERROR(IF([1]对账明细接口!$E$42=0,"",[1]对账明细接口!$E$42),"")</f>
        <v>NO0000718</v>
      </c>
      <c r="F42" s="16" t="str">
        <f>IFERROR(IF([1]对账明细接口!$F$42=0,"",[1]对账明细接口!$F$42),"")</f>
        <v>苹果</v>
      </c>
      <c r="G42" s="16" t="str">
        <f>IFERROR(IF([1]对账明细接口!$G$42=0,"",[1]对账明细接口!$G$42),"")</f>
        <v>嘎啦85#</v>
      </c>
      <c r="H42" s="176">
        <f>IFERROR(IF([1]对账明细接口!$H$42=0,"",[1]对账明细接口!$H$42),"")</f>
        <v>10</v>
      </c>
      <c r="I42" s="16" t="str">
        <f>IFERROR(IF([1]对账明细接口!$I$42=0,"",[1]对账明细接口!$I$42),"")</f>
        <v>筐</v>
      </c>
      <c r="J42" s="177">
        <f>IFERROR(IF([1]对账明细接口!$J$42=0,"",[1]对账明细接口!$J$42),"")</f>
        <v>218</v>
      </c>
      <c r="K42" s="177">
        <f>IFERROR(IF([1]对账明细接口!$K$42=0,"",[1]对账明细接口!$K$42),"")</f>
      </c>
      <c r="L42" s="16">
        <f>IFERROR(IF([1]对账明细接口!$L$42=0,"",[1]对账明细接口!$L$42),"")</f>
      </c>
      <c r="M42" s="16">
        <f>IFERROR(IF([1]对账明细接口!$M$42=0,"",[1]对账明细接口!$M$42),"")</f>
      </c>
      <c r="N42" s="19">
        <f>IF($C42="",0,1)</f>
        <v>1</v>
      </c>
      <c r="O42" s="19">
        <f>N(O41)+$N42</f>
        <v>39</v>
      </c>
      <c r="S42" s="20" t="str">
        <f>IFERROR(IF([1]对账明细接口!$N42=0,"",[1]对账明细接口!$N42),"")</f>
        <v>自备一次性筐</v>
      </c>
      <c r="T42" s="212">
        <f>IFERROR(IF([1]对账明细接口!$O42=0,"",[1]对账明细接口!$O42),"")</f>
      </c>
      <c r="U42" s="212">
        <f>IFERROR(IF([1]对账明细接口!$P42=0,"",[1]对账明细接口!$P42),"")</f>
      </c>
      <c r="V42" s="212">
        <f>IFERROR(IF([1]对账明细接口!$Q42=0,"",[1]对账明细接口!$Q42),"")</f>
        <v>10</v>
      </c>
      <c r="W42" s="20" t="str">
        <f>IFERROR(IF([1]对账明细接口!$R42=0,"",[1]对账明细接口!$R42),"")</f>
        <v>苏M*7G796</v>
      </c>
      <c r="X42" s="20" t="str">
        <f>IFERROR(IF([1]对账明细接口!$S42=0,"",[1]对账明细接口!$S42),"")</f>
        <v>自备筐</v>
      </c>
      <c r="Y42" s="20">
        <f>IFERROR(IF([1]对账明细接口!$T42=0,"",[1]对账明细接口!$T42),"")</f>
      </c>
      <c r="Z42" s="213">
        <f>IFERROR(IF([1]对账明细接口!$U42=0,"",[1]对账明细接口!$U42),"")</f>
      </c>
      <c r="AA42" s="213">
        <f>IFERROR(IF([1]对账明细接口!$V42=0,"",[1]对账明细接口!$V42),"")</f>
      </c>
      <c r="AB42" s="20">
        <f>IFERROR(IF([1]对账明细接口!$W42=0,"",[1]对账明细接口!$W42),"")</f>
      </c>
      <c r="AC42" s="7">
        <f>IFERROR(IF([1]对账明细接口!$X42=0,"",[1]对账明细接口!$X42),"")</f>
      </c>
      <c r="AD42" s="7">
        <f>IFERROR(IF([1]对账明细接口!$Y42=0,"",[1]对账明细接口!$Y42),"")</f>
      </c>
      <c r="AE42" s="7">
        <f>IFERROR(IF([1]对账明细接口!$AA42=0,"",[1]对账明细接口!$AA42),"")</f>
      </c>
      <c r="AF42" s="7">
        <f>IFERROR(IF([1]对账明细接口!$AB42=0,"",[1]对账明细接口!$AB42),"")</f>
      </c>
      <c r="AG42" s="7">
        <f>IFERROR(IF([1]对账明细接口!$AC42=0,"",[1]对账明细接口!$AC42),"")</f>
      </c>
      <c r="AH42" s="7">
        <f>IFERROR(IF([1]对账明细接口!$AD42=0,"",[1]对账明细接口!$AD42),"")</f>
      </c>
      <c r="AI42" s="7">
        <f>IFERROR(IF([1]对账明细接口!$AE42=0,"",[1]对账明细接口!$AE42),"")</f>
      </c>
      <c r="AJ42" s="7">
        <f>IFERROR(IF([1]对账明细接口!$AF42=0,"",[1]对账明细接口!$AF42),"")</f>
      </c>
    </row>
    <row r="43" ht="14.25" customHeight="1" s="127">
      <c r="A43" s="14" t="n">
        <v>43</v>
      </c>
      <c r="B43" s="211">
        <f>IFERROR(IF([1]对账明细接口!$B$43=0,"",[1]对账明细接口!$B$43),"")</f>
        <v>46258.0</v>
      </c>
      <c r="C43" s="16" t="str">
        <f>IFERROR(IF([1]对账明细接口!$C$43=0,"",[1]对账明细接口!$C$43),"")</f>
        <v>聂新平</v>
      </c>
      <c r="D43" s="16" t="str">
        <f>IFERROR(IF([1]对账明细接口!$D$43=0,"",[1]对账明细接口!$D$43),"")</f>
        <v>原料入库</v>
      </c>
      <c r="E43" s="16" t="str">
        <f>IFERROR(IF([1]对账明细接口!$E$43=0,"",[1]对账明细接口!$E$43),"")</f>
        <v>NO0000718</v>
      </c>
      <c r="F43" s="16" t="str">
        <f>IFERROR(IF([1]对账明细接口!$F$43=0,"",[1]对账明细接口!$F$43),"")</f>
        <v>苹果</v>
      </c>
      <c r="G43" s="16" t="str">
        <f>IFERROR(IF([1]对账明细接口!$G$43=0,"",[1]对账明细接口!$G$43),"")</f>
        <v>嘎啦100#</v>
      </c>
      <c r="H43" s="176">
        <f>IFERROR(IF([1]对账明细接口!$H$43=0,"",[1]对账明细接口!$H$43),"")</f>
        <v>19</v>
      </c>
      <c r="I43" s="16" t="str">
        <f>IFERROR(IF([1]对账明细接口!$I$43=0,"",[1]对账明细接口!$I$43),"")</f>
        <v>筐</v>
      </c>
      <c r="J43" s="177">
        <f>IFERROR(IF([1]对账明细接口!$J$43=0,"",[1]对账明细接口!$J$43),"")</f>
        <v>414.2</v>
      </c>
      <c r="K43" s="177">
        <f>IFERROR(IF([1]对账明细接口!$K$43=0,"",[1]对账明细接口!$K$43),"")</f>
      </c>
      <c r="L43" s="16">
        <f>IFERROR(IF([1]对账明细接口!$L$43=0,"",[1]对账明细接口!$L$43),"")</f>
      </c>
      <c r="M43" s="16">
        <f>IFERROR(IF([1]对账明细接口!$M$43=0,"",[1]对账明细接口!$M$43),"")</f>
      </c>
      <c r="N43" s="19">
        <f>IF($C43="",0,1)</f>
        <v>1</v>
      </c>
      <c r="O43" s="19">
        <f>N(O42)+$N43</f>
        <v>40</v>
      </c>
      <c r="S43" s="20" t="str">
        <f>IFERROR(IF([1]对账明细接口!$N43=0,"",[1]对账明细接口!$N43),"")</f>
        <v>自备一次性筐</v>
      </c>
      <c r="T43" s="212">
        <f>IFERROR(IF([1]对账明细接口!$O43=0,"",[1]对账明细接口!$O43),"")</f>
      </c>
      <c r="U43" s="212">
        <f>IFERROR(IF([1]对账明细接口!$P43=0,"",[1]对账明细接口!$P43),"")</f>
      </c>
      <c r="V43" s="212">
        <f>IFERROR(IF([1]对账明细接口!$Q43=0,"",[1]对账明细接口!$Q43),"")</f>
        <v>19</v>
      </c>
      <c r="W43" s="20" t="str">
        <f>IFERROR(IF([1]对账明细接口!$R43=0,"",[1]对账明细接口!$R43),"")</f>
        <v>苏M*7G796</v>
      </c>
      <c r="X43" s="20" t="str">
        <f>IFERROR(IF([1]对账明细接口!$S43=0,"",[1]对账明细接口!$S43),"")</f>
        <v>自备筐</v>
      </c>
      <c r="Y43" s="20">
        <f>IFERROR(IF([1]对账明细接口!$T43=0,"",[1]对账明细接口!$T43),"")</f>
      </c>
      <c r="Z43" s="213">
        <f>IFERROR(IF([1]对账明细接口!$U43=0,"",[1]对账明细接口!$U43),"")</f>
      </c>
      <c r="AA43" s="213">
        <f>IFERROR(IF([1]对账明细接口!$V43=0,"",[1]对账明细接口!$V43),"")</f>
      </c>
      <c r="AB43" s="20">
        <f>IFERROR(IF([1]对账明细接口!$W43=0,"",[1]对账明细接口!$W43),"")</f>
      </c>
      <c r="AC43" s="7">
        <f>IFERROR(IF([1]对账明细接口!$X43=0,"",[1]对账明细接口!$X43),"")</f>
      </c>
      <c r="AD43" s="7">
        <f>IFERROR(IF([1]对账明细接口!$Y43=0,"",[1]对账明细接口!$Y43),"")</f>
      </c>
      <c r="AE43" s="7">
        <f>IFERROR(IF([1]对账明细接口!$AA43=0,"",[1]对账明细接口!$AA43),"")</f>
      </c>
      <c r="AF43" s="7">
        <f>IFERROR(IF([1]对账明细接口!$AB43=0,"",[1]对账明细接口!$AB43),"")</f>
      </c>
      <c r="AG43" s="7">
        <f>IFERROR(IF([1]对账明细接口!$AC43=0,"",[1]对账明细接口!$AC43),"")</f>
      </c>
      <c r="AH43" s="7">
        <f>IFERROR(IF([1]对账明细接口!$AD43=0,"",[1]对账明细接口!$AD43),"")</f>
      </c>
      <c r="AI43" s="7">
        <f>IFERROR(IF([1]对账明细接口!$AE43=0,"",[1]对账明细接口!$AE43),"")</f>
      </c>
      <c r="AJ43" s="7">
        <f>IFERROR(IF([1]对账明细接口!$AF43=0,"",[1]对账明细接口!$AF43),"")</f>
      </c>
    </row>
    <row r="44" ht="14.25" customHeight="1" s="127">
      <c r="A44" s="14" t="n">
        <v>44</v>
      </c>
      <c r="B44" s="211">
        <f>IFERROR(IF([1]对账明细接口!$B$44=0,"",[1]对账明细接口!$B$44),"")</f>
        <v>46258.0</v>
      </c>
      <c r="C44" s="16" t="str">
        <f>IFERROR(IF([1]对账明细接口!$C$44=0,"",[1]对账明细接口!$C$44),"")</f>
        <v>聂新平</v>
      </c>
      <c r="D44" s="16" t="str">
        <f>IFERROR(IF([1]对账明细接口!$D$44=0,"",[1]对账明细接口!$D$44),"")</f>
        <v>原料入库</v>
      </c>
      <c r="E44" s="16" t="str">
        <f>IFERROR(IF([1]对账明细接口!$E$44=0,"",[1]对账明细接口!$E$44),"")</f>
        <v>NO0000719</v>
      </c>
      <c r="F44" s="16" t="str">
        <f>IFERROR(IF([1]对账明细接口!$F$44=0,"",[1]对账明细接口!$F$44),"")</f>
        <v>苹果</v>
      </c>
      <c r="G44" s="16" t="str">
        <f>IFERROR(IF([1]对账明细接口!$G$44=0,"",[1]对账明细接口!$G$44),"")</f>
        <v>嘎啦85#</v>
      </c>
      <c r="H44" s="176">
        <f>IFERROR(IF([1]对账明细接口!$H$44=0,"",[1]对账明细接口!$H$44),"")</f>
        <v>141</v>
      </c>
      <c r="I44" s="16" t="str">
        <f>IFERROR(IF([1]对账明细接口!$I$44=0,"",[1]对账明细接口!$I$44),"")</f>
        <v>筐</v>
      </c>
      <c r="J44" s="177">
        <f>IFERROR(IF([1]对账明细接口!$J$44=0,"",[1]对账明细接口!$J$44),"")</f>
        <v>3073.8</v>
      </c>
      <c r="K44" s="177">
        <f>IFERROR(IF([1]对账明细接口!$K$44=0,"",[1]对账明细接口!$K$44),"")</f>
      </c>
      <c r="L44" s="16">
        <f>IFERROR(IF([1]对账明细接口!$L$44=0,"",[1]对账明细接口!$L$44),"")</f>
      </c>
      <c r="M44" s="16">
        <f>IFERROR(IF([1]对账明细接口!$M$44=0,"",[1]对账明细接口!$M$44),"")</f>
      </c>
      <c r="N44" s="19">
        <f>IF($C44="",0,1)</f>
        <v>1</v>
      </c>
      <c r="O44" s="19">
        <f>N(O43)+$N44</f>
        <v>41</v>
      </c>
      <c r="S44" s="20" t="str">
        <f>IFERROR(IF([1]对账明细接口!$N44=0,"",[1]对账明细接口!$N44),"")</f>
        <v>自备一次性筐</v>
      </c>
      <c r="T44" s="212">
        <f>IFERROR(IF([1]对账明细接口!$O44=0,"",[1]对账明细接口!$O44),"")</f>
      </c>
      <c r="U44" s="212">
        <f>IFERROR(IF([1]对账明细接口!$P44=0,"",[1]对账明细接口!$P44),"")</f>
      </c>
      <c r="V44" s="212">
        <f>IFERROR(IF([1]对账明细接口!$Q44=0,"",[1]对账明细接口!$Q44),"")</f>
        <v>141</v>
      </c>
      <c r="W44" s="20" t="str">
        <f>IFERROR(IF([1]对账明细接口!$R44=0,"",[1]对账明细接口!$R44),"")</f>
        <v>新N*E3V16</v>
      </c>
      <c r="X44" s="20" t="str">
        <f>IFERROR(IF([1]对账明细接口!$S44=0,"",[1]对账明细接口!$S44),"")</f>
        <v>自备筐</v>
      </c>
      <c r="Y44" s="20">
        <f>IFERROR(IF([1]对账明细接口!$T44=0,"",[1]对账明细接口!$T44),"")</f>
      </c>
      <c r="Z44" s="213">
        <f>IFERROR(IF([1]对账明细接口!$U44=0,"",[1]对账明细接口!$U44),"")</f>
      </c>
      <c r="AA44" s="213">
        <f>IFERROR(IF([1]对账明细接口!$V44=0,"",[1]对账明细接口!$V44),"")</f>
      </c>
      <c r="AB44" s="20">
        <f>IFERROR(IF([1]对账明细接口!$W44=0,"",[1]对账明细接口!$W44),"")</f>
      </c>
      <c r="AC44" s="7">
        <f>IFERROR(IF([1]对账明细接口!$X44=0,"",[1]对账明细接口!$X44),"")</f>
      </c>
      <c r="AD44" s="7">
        <f>IFERROR(IF([1]对账明细接口!$Y44=0,"",[1]对账明细接口!$Y44),"")</f>
      </c>
      <c r="AE44" s="7">
        <f>IFERROR(IF([1]对账明细接口!$AA44=0,"",[1]对账明细接口!$AA44),"")</f>
      </c>
      <c r="AF44" s="7">
        <f>IFERROR(IF([1]对账明细接口!$AB44=0,"",[1]对账明细接口!$AB44),"")</f>
      </c>
      <c r="AG44" s="7">
        <f>IFERROR(IF([1]对账明细接口!$AC44=0,"",[1]对账明细接口!$AC44),"")</f>
      </c>
      <c r="AH44" s="7">
        <f>IFERROR(IF([1]对账明细接口!$AD44=0,"",[1]对账明细接口!$AD44),"")</f>
      </c>
      <c r="AI44" s="7">
        <f>IFERROR(IF([1]对账明细接口!$AE44=0,"",[1]对账明细接口!$AE44),"")</f>
      </c>
      <c r="AJ44" s="7">
        <f>IFERROR(IF([1]对账明细接口!$AF44=0,"",[1]对账明细接口!$AF44),"")</f>
      </c>
    </row>
    <row r="45" ht="14.25" customHeight="1" s="127">
      <c r="A45" s="14" t="n">
        <v>45</v>
      </c>
      <c r="B45" s="211">
        <f>IFERROR(IF([1]对账明细接口!$B$45=0,"",[1]对账明细接口!$B$45),"")</f>
        <v>46258.0</v>
      </c>
      <c r="C45" s="16" t="str">
        <f>IFERROR(IF([1]对账明细接口!$C$45=0,"",[1]对账明细接口!$C$45),"")</f>
        <v>聂新平</v>
      </c>
      <c r="D45" s="16" t="str">
        <f>IFERROR(IF([1]对账明细接口!$D$45=0,"",[1]对账明细接口!$D$45),"")</f>
        <v>原料入库</v>
      </c>
      <c r="E45" s="16" t="str">
        <f>IFERROR(IF([1]对账明细接口!$E$45=0,"",[1]对账明细接口!$E$45),"")</f>
        <v>NO0000719</v>
      </c>
      <c r="F45" s="16" t="str">
        <f>IFERROR(IF([1]对账明细接口!$F$45=0,"",[1]对账明细接口!$F$45),"")</f>
        <v>苹果</v>
      </c>
      <c r="G45" s="16" t="str">
        <f>IFERROR(IF([1]对账明细接口!$G$45=0,"",[1]对账明细接口!$G$45),"")</f>
        <v>嘎啦100#</v>
      </c>
      <c r="H45" s="176">
        <f>IFERROR(IF([1]对账明细接口!$H$45=0,"",[1]对账明细接口!$H$45),"")</f>
        <v>233</v>
      </c>
      <c r="I45" s="16" t="str">
        <f>IFERROR(IF([1]对账明细接口!$I$45=0,"",[1]对账明细接口!$I$45),"")</f>
        <v>筐</v>
      </c>
      <c r="J45" s="177">
        <f>IFERROR(IF([1]对账明细接口!$J$45=0,"",[1]对账明细接口!$J$45),"")</f>
        <v>5079.4</v>
      </c>
      <c r="K45" s="177">
        <f>IFERROR(IF([1]对账明细接口!$K$45=0,"",[1]对账明细接口!$K$45),"")</f>
      </c>
      <c r="L45" s="16">
        <f>IFERROR(IF([1]对账明细接口!$L$45=0,"",[1]对账明细接口!$L$45),"")</f>
      </c>
      <c r="M45" s="16">
        <f>IFERROR(IF([1]对账明细接口!$M$45=0,"",[1]对账明细接口!$M$45),"")</f>
      </c>
      <c r="N45" s="19">
        <f>IF($C45="",0,1)</f>
        <v>1</v>
      </c>
      <c r="O45" s="19">
        <f>N(O44)+$N45</f>
        <v>42</v>
      </c>
      <c r="S45" s="20" t="str">
        <f>IFERROR(IF([1]对账明细接口!$N45=0,"",[1]对账明细接口!$N45),"")</f>
        <v>自备一次性筐</v>
      </c>
      <c r="T45" s="212">
        <f>IFERROR(IF([1]对账明细接口!$O45=0,"",[1]对账明细接口!$O45),"")</f>
      </c>
      <c r="U45" s="212">
        <f>IFERROR(IF([1]对账明细接口!$P45=0,"",[1]对账明细接口!$P45),"")</f>
      </c>
      <c r="V45" s="212">
        <f>IFERROR(IF([1]对账明细接口!$Q45=0,"",[1]对账明细接口!$Q45),"")</f>
        <v>233</v>
      </c>
      <c r="W45" s="20" t="str">
        <f>IFERROR(IF([1]对账明细接口!$R45=0,"",[1]对账明细接口!$R45),"")</f>
        <v>新N*E3V16</v>
      </c>
      <c r="X45" s="20" t="str">
        <f>IFERROR(IF([1]对账明细接口!$S45=0,"",[1]对账明细接口!$S45),"")</f>
        <v>自备筐</v>
      </c>
      <c r="Y45" s="20">
        <f>IFERROR(IF([1]对账明细接口!$T45=0,"",[1]对账明细接口!$T45),"")</f>
      </c>
      <c r="Z45" s="213">
        <f>IFERROR(IF([1]对账明细接口!$U45=0,"",[1]对账明细接口!$U45),"")</f>
      </c>
      <c r="AA45" s="213">
        <f>IFERROR(IF([1]对账明细接口!$V45=0,"",[1]对账明细接口!$V45),"")</f>
      </c>
      <c r="AB45" s="20">
        <f>IFERROR(IF([1]对账明细接口!$W45=0,"",[1]对账明细接口!$W45),"")</f>
      </c>
      <c r="AC45" s="7">
        <f>IFERROR(IF([1]对账明细接口!$X45=0,"",[1]对账明细接口!$X45),"")</f>
      </c>
      <c r="AD45" s="7">
        <f>IFERROR(IF([1]对账明细接口!$Y45=0,"",[1]对账明细接口!$Y45),"")</f>
      </c>
      <c r="AE45" s="7">
        <f>IFERROR(IF([1]对账明细接口!$AA45=0,"",[1]对账明细接口!$AA45),"")</f>
      </c>
      <c r="AF45" s="7">
        <f>IFERROR(IF([1]对账明细接口!$AB45=0,"",[1]对账明细接口!$AB45),"")</f>
      </c>
      <c r="AG45" s="7">
        <f>IFERROR(IF([1]对账明细接口!$AC45=0,"",[1]对账明细接口!$AC45),"")</f>
      </c>
      <c r="AH45" s="7">
        <f>IFERROR(IF([1]对账明细接口!$AD45=0,"",[1]对账明细接口!$AD45),"")</f>
      </c>
      <c r="AI45" s="7">
        <f>IFERROR(IF([1]对账明细接口!$AE45=0,"",[1]对账明细接口!$AE45),"")</f>
      </c>
      <c r="AJ45" s="7">
        <f>IFERROR(IF([1]对账明细接口!$AF45=0,"",[1]对账明细接口!$AF45),"")</f>
      </c>
    </row>
    <row r="46" ht="14.25" customHeight="1" s="127">
      <c r="A46" s="14" t="n">
        <v>46</v>
      </c>
      <c r="B46" s="211">
        <f>IFERROR(IF([1]对账明细接口!$B$46=0,"",[1]对账明细接口!$B$46),"")</f>
        <v>46258.0</v>
      </c>
      <c r="C46" s="16" t="str">
        <f>IFERROR(IF([1]对账明细接口!$C$46=0,"",[1]对账明细接口!$C$46),"")</f>
        <v>王照雪</v>
      </c>
      <c r="D46" s="16" t="str">
        <f>IFERROR(IF([1]对账明细接口!$D$46=0,"",[1]对账明细接口!$D$46),"")</f>
        <v>原料入库</v>
      </c>
      <c r="E46" s="16" t="str">
        <f>IFERROR(IF([1]对账明细接口!$E$46=0,"",[1]对账明细接口!$E$46),"")</f>
        <v>NO0000721</v>
      </c>
      <c r="F46" s="16" t="str">
        <f>IFERROR(IF([1]对账明细接口!$F$46=0,"",[1]对账明细接口!$F$46),"")</f>
        <v>苹果</v>
      </c>
      <c r="G46" s="16" t="str">
        <f>IFERROR(IF([1]对账明细接口!$G$46=0,"",[1]对账明细接口!$G$46),"")</f>
        <v>华硕一级</v>
      </c>
      <c r="H46" s="176">
        <f>IFERROR(IF([1]对账明细接口!$H$46=0,"",[1]对账明细接口!$H$46),"")</f>
        <v>136</v>
      </c>
      <c r="I46" s="16" t="str">
        <f>IFERROR(IF([1]对账明细接口!$I$46=0,"",[1]对账明细接口!$I$46),"")</f>
        <v>筐</v>
      </c>
      <c r="J46" s="177">
        <f>IFERROR(IF([1]对账明细接口!$J$46=0,"",[1]对账明细接口!$J$46),"")</f>
        <v>2352.8</v>
      </c>
      <c r="K46" s="177">
        <f>IFERROR(IF([1]对账明细接口!$K$46=0,"",[1]对账明细接口!$K$46),"")</f>
      </c>
      <c r="L46" s="16">
        <f>IFERROR(IF([1]对账明细接口!$L$46=0,"",[1]对账明细接口!$L$46),"")</f>
      </c>
      <c r="M46" s="16">
        <f>IFERROR(IF([1]对账明细接口!$M$46=0,"",[1]对账明细接口!$M$46),"")</f>
      </c>
      <c r="N46" s="19">
        <f>IF($C46="",0,1)</f>
        <v>1</v>
      </c>
      <c r="O46" s="19">
        <f>N(O45)+$N46</f>
        <v>43</v>
      </c>
      <c r="S46" s="20" t="str">
        <f>IFERROR(IF([1]对账明细接口!$N46=0,"",[1]对账明细接口!$N46),"")</f>
        <v>公司杂周转筐</v>
      </c>
      <c r="T46" s="212">
        <f>IFERROR(IF([1]对账明细接口!$O46=0,"",[1]对账明细接口!$O46),"")</f>
      </c>
      <c r="U46" s="212">
        <f>IFERROR(IF([1]对账明细接口!$P46=0,"",[1]对账明细接口!$P46),"")</f>
      </c>
      <c r="V46" s="212">
        <f>IFERROR(IF([1]对账明细接口!$Q46=0,"",[1]对账明细接口!$Q46),"")</f>
        <v>136</v>
      </c>
      <c r="W46" s="20" t="str">
        <f>IFERROR(IF([1]对账明细接口!$R46=0,"",[1]对账明细接口!$R46),"")</f>
        <v>豫L*88X19</v>
      </c>
      <c r="X46" s="20" t="str">
        <f>IFERROR(IF([1]对账明细接口!$S46=0,"",[1]对账明细接口!$S46),"")</f>
        <v>公司筐</v>
      </c>
      <c r="Y46" s="20">
        <f>IFERROR(IF([1]对账明细接口!$T46=0,"",[1]对账明细接口!$T46),"")</f>
      </c>
      <c r="Z46" s="213">
        <f>IFERROR(IF([1]对账明细接口!$U46=0,"",[1]对账明细接口!$U46),"")</f>
      </c>
      <c r="AA46" s="213">
        <f>IFERROR(IF([1]对账明细接口!$V46=0,"",[1]对账明细接口!$V46),"")</f>
      </c>
      <c r="AB46" s="20">
        <f>IFERROR(IF([1]对账明细接口!$W46=0,"",[1]对账明细接口!$W46),"")</f>
      </c>
      <c r="AC46" s="7">
        <f>IFERROR(IF([1]对账明细接口!$X46=0,"",[1]对账明细接口!$X46),"")</f>
      </c>
      <c r="AD46" s="7">
        <f>IFERROR(IF([1]对账明细接口!$Y46=0,"",[1]对账明细接口!$Y46),"")</f>
      </c>
      <c r="AE46" s="7">
        <f>IFERROR(IF([1]对账明细接口!$AA46=0,"",[1]对账明细接口!$AA46),"")</f>
      </c>
      <c r="AF46" s="7">
        <f>IFERROR(IF([1]对账明细接口!$AB46=0,"",[1]对账明细接口!$AB46),"")</f>
      </c>
      <c r="AG46" s="7">
        <f>IFERROR(IF([1]对账明细接口!$AC46=0,"",[1]对账明细接口!$AC46),"")</f>
      </c>
      <c r="AH46" s="7">
        <f>IFERROR(IF([1]对账明细接口!$AD46=0,"",[1]对账明细接口!$AD46),"")</f>
      </c>
      <c r="AI46" s="7">
        <f>IFERROR(IF([1]对账明细接口!$AE46=0,"",[1]对账明细接口!$AE46),"")</f>
      </c>
      <c r="AJ46" s="7">
        <f>IFERROR(IF([1]对账明细接口!$AF46=0,"",[1]对账明细接口!$AF46),"")</f>
      </c>
    </row>
    <row r="47" ht="14.25" customHeight="1" s="127">
      <c r="A47" s="14" t="n">
        <v>47</v>
      </c>
      <c r="B47" s="211">
        <f>IFERROR(IF([1]对账明细接口!$B$47=0,"",[1]对账明细接口!$B$47),"")</f>
        <v>46258.0</v>
      </c>
      <c r="C47" s="16" t="str">
        <f>IFERROR(IF([1]对账明细接口!$C$47=0,"",[1]对账明细接口!$C$47),"")</f>
        <v>王照雪</v>
      </c>
      <c r="D47" s="16" t="str">
        <f>IFERROR(IF([1]对账明细接口!$D$47=0,"",[1]对账明细接口!$D$47),"")</f>
        <v>原料入库</v>
      </c>
      <c r="E47" s="16" t="str">
        <f>IFERROR(IF([1]对账明细接口!$E$47=0,"",[1]对账明细接口!$E$47),"")</f>
        <v>NO0000721</v>
      </c>
      <c r="F47" s="16" t="str">
        <f>IFERROR(IF([1]对账明细接口!$F$47=0,"",[1]对账明细接口!$F$47),"")</f>
        <v>苹果</v>
      </c>
      <c r="G47" s="16" t="str">
        <f>IFERROR(IF([1]对账明细接口!$G$47=0,"",[1]对账明细接口!$G$47),"")</f>
        <v>华硕二级</v>
      </c>
      <c r="H47" s="176">
        <f>IFERROR(IF([1]对账明细接口!$H$47=0,"",[1]对账明细接口!$H$47),"")</f>
        <v>66</v>
      </c>
      <c r="I47" s="16" t="str">
        <f>IFERROR(IF([1]对账明细接口!$I$47=0,"",[1]对账明细接口!$I$47),"")</f>
        <v>筐</v>
      </c>
      <c r="J47" s="177">
        <f>IFERROR(IF([1]对账明细接口!$J$47=0,"",[1]对账明细接口!$J$47),"")</f>
        <v>1075.8</v>
      </c>
      <c r="K47" s="177">
        <f>IFERROR(IF([1]对账明细接口!$K$47=0,"",[1]对账明细接口!$K$47),"")</f>
      </c>
      <c r="L47" s="16">
        <f>IFERROR(IF([1]对账明细接口!$L$47=0,"",[1]对账明细接口!$L$47),"")</f>
      </c>
      <c r="M47" s="16">
        <f>IFERROR(IF([1]对账明细接口!$M$47=0,"",[1]对账明细接口!$M$47),"")</f>
      </c>
      <c r="N47" s="19">
        <f>IF($C47="",0,1)</f>
        <v>1</v>
      </c>
      <c r="O47" s="19">
        <f>N(O46)+$N47</f>
        <v>44</v>
      </c>
      <c r="S47" s="20" t="str">
        <f>IFERROR(IF([1]对账明细接口!$N47=0,"",[1]对账明细接口!$N47),"")</f>
        <v>公司杂周转筐</v>
      </c>
      <c r="T47" s="212">
        <f>IFERROR(IF([1]对账明细接口!$O47=0,"",[1]对账明细接口!$O47),"")</f>
      </c>
      <c r="U47" s="212">
        <f>IFERROR(IF([1]对账明细接口!$P47=0,"",[1]对账明细接口!$P47),"")</f>
      </c>
      <c r="V47" s="212">
        <f>IFERROR(IF([1]对账明细接口!$Q47=0,"",[1]对账明细接口!$Q47),"")</f>
        <v>66</v>
      </c>
      <c r="W47" s="20" t="str">
        <f>IFERROR(IF([1]对账明细接口!$R47=0,"",[1]对账明细接口!$R47),"")</f>
        <v>豫L*88X19</v>
      </c>
      <c r="X47" s="20" t="str">
        <f>IFERROR(IF([1]对账明细接口!$S47=0,"",[1]对账明细接口!$S47),"")</f>
        <v>公司筐</v>
      </c>
      <c r="Y47" s="20">
        <f>IFERROR(IF([1]对账明细接口!$T47=0,"",[1]对账明细接口!$T47),"")</f>
      </c>
      <c r="Z47" s="213">
        <f>IFERROR(IF([1]对账明细接口!$U47=0,"",[1]对账明细接口!$U47),"")</f>
      </c>
      <c r="AA47" s="213">
        <f>IFERROR(IF([1]对账明细接口!$V47=0,"",[1]对账明细接口!$V47),"")</f>
      </c>
      <c r="AB47" s="20">
        <f>IFERROR(IF([1]对账明细接口!$W47=0,"",[1]对账明细接口!$W47),"")</f>
      </c>
      <c r="AC47" s="7">
        <f>IFERROR(IF([1]对账明细接口!$X47=0,"",[1]对账明细接口!$X47),"")</f>
      </c>
      <c r="AD47" s="7">
        <f>IFERROR(IF([1]对账明细接口!$Y47=0,"",[1]对账明细接口!$Y47),"")</f>
      </c>
      <c r="AE47" s="7">
        <f>IFERROR(IF([1]对账明细接口!$AA47=0,"",[1]对账明细接口!$AA47),"")</f>
      </c>
      <c r="AF47" s="7">
        <f>IFERROR(IF([1]对账明细接口!$AB47=0,"",[1]对账明细接口!$AB47),"")</f>
      </c>
      <c r="AG47" s="7">
        <f>IFERROR(IF([1]对账明细接口!$AC47=0,"",[1]对账明细接口!$AC47),"")</f>
      </c>
      <c r="AH47" s="7">
        <f>IFERROR(IF([1]对账明细接口!$AD47=0,"",[1]对账明细接口!$AD47),"")</f>
      </c>
      <c r="AI47" s="7">
        <f>IFERROR(IF([1]对账明细接口!$AE47=0,"",[1]对账明细接口!$AE47),"")</f>
      </c>
      <c r="AJ47" s="7">
        <f>IFERROR(IF([1]对账明细接口!$AF47=0,"",[1]对账明细接口!$AF47),"")</f>
      </c>
    </row>
    <row r="48" ht="14.25" customHeight="1" s="127">
      <c r="A48" s="14" t="n">
        <v>48</v>
      </c>
      <c r="B48" s="211">
        <f>IFERROR(IF([1]对账明细接口!$B$48=0,"",[1]对账明细接口!$B$48),"")</f>
        <v>46258.0</v>
      </c>
      <c r="C48" s="16" t="str">
        <f>IFERROR(IF([1]对账明细接口!$C$48=0,"",[1]对账明细接口!$C$48),"")</f>
        <v>王照雪</v>
      </c>
      <c r="D48" s="16" t="str">
        <f>IFERROR(IF([1]对账明细接口!$D$48=0,"",[1]对账明细接口!$D$48),"")</f>
        <v>原料入库</v>
      </c>
      <c r="E48" s="16" t="str">
        <f>IFERROR(IF([1]对账明细接口!$E$48=0,"",[1]对账明细接口!$E$48),"")</f>
        <v>NO0000721</v>
      </c>
      <c r="F48" s="16" t="str">
        <f>IFERROR(IF([1]对账明细接口!$F$48=0,"",[1]对账明细接口!$F$48),"")</f>
        <v>苹果</v>
      </c>
      <c r="G48" s="16" t="str">
        <f>IFERROR(IF([1]对账明细接口!$G$48=0,"",[1]对账明细接口!$G$48),"")</f>
        <v>华硕高次</v>
      </c>
      <c r="H48" s="176">
        <f>IFERROR(IF([1]对账明细接口!$H$48=0,"",[1]对账明细接口!$H$48),"")</f>
        <v>48</v>
      </c>
      <c r="I48" s="16" t="str">
        <f>IFERROR(IF([1]对账明细接口!$I$48=0,"",[1]对账明细接口!$I$48),"")</f>
        <v>筐</v>
      </c>
      <c r="J48" s="177">
        <f>IFERROR(IF([1]对账明细接口!$J$48=0,"",[1]对账明细接口!$J$48),"")</f>
        <v>830.4</v>
      </c>
      <c r="K48" s="177">
        <f>IFERROR(IF([1]对账明细接口!$K$48=0,"",[1]对账明细接口!$K$48),"")</f>
      </c>
      <c r="L48" s="16">
        <f>IFERROR(IF([1]对账明细接口!$L$48=0,"",[1]对账明细接口!$L$48),"")</f>
      </c>
      <c r="M48" s="16">
        <f>IFERROR(IF([1]对账明细接口!$M$48=0,"",[1]对账明细接口!$M$48),"")</f>
      </c>
      <c r="N48" s="19">
        <f>IF($C48="",0,1)</f>
        <v>1</v>
      </c>
      <c r="O48" s="19">
        <f>N(O47)+$N48</f>
        <v>45</v>
      </c>
      <c r="S48" s="20" t="str">
        <f>IFERROR(IF([1]对账明细接口!$N48=0,"",[1]对账明细接口!$N48),"")</f>
        <v>公司杂周转筐</v>
      </c>
      <c r="T48" s="212">
        <f>IFERROR(IF([1]对账明细接口!$O48=0,"",[1]对账明细接口!$O48),"")</f>
      </c>
      <c r="U48" s="212">
        <f>IFERROR(IF([1]对账明细接口!$P48=0,"",[1]对账明细接口!$P48),"")</f>
      </c>
      <c r="V48" s="212">
        <f>IFERROR(IF([1]对账明细接口!$Q48=0,"",[1]对账明细接口!$Q48),"")</f>
        <v>48</v>
      </c>
      <c r="W48" s="20" t="str">
        <f>IFERROR(IF([1]对账明细接口!$R48=0,"",[1]对账明细接口!$R48),"")</f>
        <v>豫L*88X19</v>
      </c>
      <c r="X48" s="20" t="str">
        <f>IFERROR(IF([1]对账明细接口!$S48=0,"",[1]对账明细接口!$S48),"")</f>
        <v>公司筐</v>
      </c>
      <c r="Y48" s="20">
        <f>IFERROR(IF([1]对账明细接口!$T48=0,"",[1]对账明细接口!$T48),"")</f>
      </c>
      <c r="Z48" s="213">
        <f>IFERROR(IF([1]对账明细接口!$U48=0,"",[1]对账明细接口!$U48),"")</f>
      </c>
      <c r="AA48" s="213">
        <f>IFERROR(IF([1]对账明细接口!$V48=0,"",[1]对账明细接口!$V48),"")</f>
      </c>
      <c r="AB48" s="20">
        <f>IFERROR(IF([1]对账明细接口!$W48=0,"",[1]对账明细接口!$W48),"")</f>
      </c>
      <c r="AC48" s="7">
        <f>IFERROR(IF([1]对账明细接口!$X48=0,"",[1]对账明细接口!$X48),"")</f>
      </c>
      <c r="AD48" s="7">
        <f>IFERROR(IF([1]对账明细接口!$Y48=0,"",[1]对账明细接口!$Y48),"")</f>
      </c>
      <c r="AE48" s="7">
        <f>IFERROR(IF([1]对账明细接口!$AA48=0,"",[1]对账明细接口!$AA48),"")</f>
      </c>
      <c r="AF48" s="7">
        <f>IFERROR(IF([1]对账明细接口!$AB48=0,"",[1]对账明细接口!$AB48),"")</f>
      </c>
      <c r="AG48" s="7">
        <f>IFERROR(IF([1]对账明细接口!$AC48=0,"",[1]对账明细接口!$AC48),"")</f>
      </c>
      <c r="AH48" s="7">
        <f>IFERROR(IF([1]对账明细接口!$AD48=0,"",[1]对账明细接口!$AD48),"")</f>
      </c>
      <c r="AI48" s="7">
        <f>IFERROR(IF([1]对账明细接口!$AE48=0,"",[1]对账明细接口!$AE48),"")</f>
      </c>
      <c r="AJ48" s="7">
        <f>IFERROR(IF([1]对账明细接口!$AF48=0,"",[1]对账明细接口!$AF48),"")</f>
      </c>
    </row>
    <row r="49" ht="14.25" customHeight="1" s="127">
      <c r="A49" s="14" t="n">
        <v>49</v>
      </c>
      <c r="B49" s="211">
        <f>IFERROR(IF([1]对账明细接口!$B$49=0,"",[1]对账明细接口!$B$49),"")</f>
        <v>46259.0</v>
      </c>
      <c r="C49" s="16" t="str">
        <f>IFERROR(IF([1]对账明细接口!$C$49=0,"",[1]对账明细接口!$C$49),"")</f>
        <v>马锦祥</v>
      </c>
      <c r="D49" s="16" t="str">
        <f>IFERROR(IF([1]对账明细接口!$D$49=0,"",[1]对账明细接口!$D$49),"")</f>
        <v>原料入库</v>
      </c>
      <c r="E49" s="16" t="str">
        <f>IFERROR(IF([1]对账明细接口!$E$49=0,"",[1]对账明细接口!$E$49),"")</f>
        <v>NO0000727</v>
      </c>
      <c r="F49" s="16" t="str">
        <f>IFERROR(IF([1]对账明细接口!$F$49=0,"",[1]对账明细接口!$F$49),"")</f>
        <v>苹果</v>
      </c>
      <c r="G49" s="16" t="str">
        <f>IFERROR(IF([1]对账明细接口!$G$49=0,"",[1]对账明细接口!$G$49),"")</f>
        <v>海棠果</v>
      </c>
      <c r="H49" s="176">
        <f>IFERROR(IF([1]对账明细接口!$H$49=0,"",[1]对账明细接口!$H$49),"")</f>
        <v>68</v>
      </c>
      <c r="I49" s="16" t="str">
        <f>IFERROR(IF([1]对账明细接口!$I$49=0,"",[1]对账明细接口!$I$49),"")</f>
        <v>筐</v>
      </c>
      <c r="J49" s="177">
        <f>IFERROR(IF([1]对账明细接口!$J$49=0,"",[1]对账明细接口!$J$49),"")</f>
        <v>204</v>
      </c>
      <c r="K49" s="177">
        <f>IFERROR(IF([1]对账明细接口!$K$49=0,"",[1]对账明细接口!$K$49),"")</f>
      </c>
      <c r="L49" s="16">
        <f>IFERROR(IF([1]对账明细接口!$L$49=0,"",[1]对账明细接口!$L$49),"")</f>
      </c>
      <c r="M49" s="16">
        <f>IFERROR(IF([1]对账明细接口!$M$49=0,"",[1]对账明细接口!$M$49),"")</f>
      </c>
      <c r="N49" s="19">
        <f>IF($C49="",0,1)</f>
        <v>1</v>
      </c>
      <c r="O49" s="19">
        <f>N(O48)+$N49</f>
        <v>46</v>
      </c>
      <c r="S49" s="20" t="str">
        <f>IFERROR(IF([1]对账明细接口!$N49=0,"",[1]对账明细接口!$N49),"")</f>
        <v>自备一次性筐</v>
      </c>
      <c r="T49" s="212">
        <f>IFERROR(IF([1]对账明细接口!$O49=0,"",[1]对账明细接口!$O49),"")</f>
      </c>
      <c r="U49" s="212">
        <f>IFERROR(IF([1]对账明细接口!$P49=0,"",[1]对账明细接口!$P49),"")</f>
      </c>
      <c r="V49" s="212">
        <f>IFERROR(IF([1]对账明细接口!$Q49=0,"",[1]对账明细接口!$Q49),"")</f>
        <v>68</v>
      </c>
      <c r="W49" s="20" t="str">
        <f>IFERROR(IF([1]对账明细接口!$R49=0,"",[1]对账明细接口!$R49),"")</f>
        <v>新N*B6R39</v>
      </c>
      <c r="X49" s="20" t="str">
        <f>IFERROR(IF([1]对账明细接口!$S49=0,"",[1]对账明细接口!$S49),"")</f>
        <v>自备筐</v>
      </c>
      <c r="Y49" s="20">
        <f>IFERROR(IF([1]对账明细接口!$T49=0,"",[1]对账明细接口!$T49),"")</f>
      </c>
      <c r="Z49" s="213">
        <f>IFERROR(IF([1]对账明细接口!$U49=0,"",[1]对账明细接口!$U49),"")</f>
      </c>
      <c r="AA49" s="213">
        <f>IFERROR(IF([1]对账明细接口!$V49=0,"",[1]对账明细接口!$V49),"")</f>
      </c>
      <c r="AB49" s="20">
        <f>IFERROR(IF([1]对账明细接口!$W49=0,"",[1]对账明细接口!$W49),"")</f>
      </c>
      <c r="AC49" s="7">
        <f>IFERROR(IF([1]对账明细接口!$X49=0,"",[1]对账明细接口!$X49),"")</f>
      </c>
      <c r="AD49" s="7">
        <f>IFERROR(IF([1]对账明细接口!$Y49=0,"",[1]对账明细接口!$Y49),"")</f>
      </c>
      <c r="AE49" s="7">
        <f>IFERROR(IF([1]对账明细接口!$AA49=0,"",[1]对账明细接口!$AA49),"")</f>
      </c>
      <c r="AF49" s="7">
        <f>IFERROR(IF([1]对账明细接口!$AB49=0,"",[1]对账明细接口!$AB49),"")</f>
      </c>
      <c r="AG49" s="7">
        <f>IFERROR(IF([1]对账明细接口!$AC49=0,"",[1]对账明细接口!$AC49),"")</f>
      </c>
      <c r="AH49" s="7">
        <f>IFERROR(IF([1]对账明细接口!$AD49=0,"",[1]对账明细接口!$AD49),"")</f>
      </c>
      <c r="AI49" s="7">
        <f>IFERROR(IF([1]对账明细接口!$AE49=0,"",[1]对账明细接口!$AE49),"")</f>
      </c>
      <c r="AJ49" s="7">
        <f>IFERROR(IF([1]对账明细接口!$AF49=0,"",[1]对账明细接口!$AF49),"")</f>
      </c>
    </row>
    <row r="50" ht="14.25" customHeight="1" s="127">
      <c r="A50" s="14" t="n">
        <v>50</v>
      </c>
      <c r="B50" s="211">
        <f>IFERROR(IF([1]对账明细接口!$B$50=0,"",[1]对账明细接口!$B$50),"")</f>
        <v>46260.0</v>
      </c>
      <c r="C50" s="16" t="str">
        <f>IFERROR(IF([1]对账明细接口!$C$50=0,"",[1]对账明细接口!$C$50),"")</f>
        <v>聂新平</v>
      </c>
      <c r="D50" s="16" t="str">
        <f>IFERROR(IF([1]对账明细接口!$D$50=0,"",[1]对账明细接口!$D$50),"")</f>
        <v>原料入库</v>
      </c>
      <c r="E50" s="16" t="str">
        <f>IFERROR(IF([1]对账明细接口!$E$50=0,"",[1]对账明细接口!$E$50),"")</f>
        <v>NO0000729</v>
      </c>
      <c r="F50" s="16" t="str">
        <f>IFERROR(IF([1]对账明细接口!$F$50=0,"",[1]对账明细接口!$F$50),"")</f>
        <v>苹果</v>
      </c>
      <c r="G50" s="16" t="str">
        <f>IFERROR(IF([1]对账明细接口!$G$50=0,"",[1]对账明细接口!$G$50),"")</f>
        <v>嘎啦85#</v>
      </c>
      <c r="H50" s="176">
        <f>IFERROR(IF([1]对账明细接口!$H$50=0,"",[1]对账明细接口!$H$50),"")</f>
        <v>80</v>
      </c>
      <c r="I50" s="16" t="str">
        <f>IFERROR(IF([1]对账明细接口!$I$50=0,"",[1]对账明细接口!$I$50),"")</f>
        <v>筐</v>
      </c>
      <c r="J50" s="177">
        <f>IFERROR(IF([1]对账明细接口!$J$50=0,"",[1]对账明细接口!$J$50),"")</f>
        <v>1744</v>
      </c>
      <c r="K50" s="177">
        <f>IFERROR(IF([1]对账明细接口!$K$50=0,"",[1]对账明细接口!$K$50),"")</f>
      </c>
      <c r="L50" s="16">
        <f>IFERROR(IF([1]对账明细接口!$L$50=0,"",[1]对账明细接口!$L$50),"")</f>
      </c>
      <c r="M50" s="16">
        <f>IFERROR(IF([1]对账明细接口!$M$50=0,"",[1]对账明细接口!$M$50),"")</f>
      </c>
      <c r="N50" s="19">
        <f>IF($C50="",0,1)</f>
        <v>1</v>
      </c>
      <c r="O50" s="19">
        <f>N(O49)+$N50</f>
        <v>47</v>
      </c>
      <c r="S50" s="20" t="str">
        <f>IFERROR(IF([1]对账明细接口!$N50=0,"",[1]对账明细接口!$N50),"")</f>
        <v>自备一次性筐</v>
      </c>
      <c r="T50" s="212">
        <f>IFERROR(IF([1]对账明细接口!$O50=0,"",[1]对账明细接口!$O50),"")</f>
      </c>
      <c r="U50" s="212">
        <f>IFERROR(IF([1]对账明细接口!$P50=0,"",[1]对账明细接口!$P50),"")</f>
      </c>
      <c r="V50" s="212">
        <f>IFERROR(IF([1]对账明细接口!$Q50=0,"",[1]对账明细接口!$Q50),"")</f>
        <v>80</v>
      </c>
      <c r="W50" s="20" t="str">
        <f>IFERROR(IF([1]对账明细接口!$R50=0,"",[1]对账明细接口!$R50),"")</f>
        <v>新N*E3V16</v>
      </c>
      <c r="X50" s="20" t="str">
        <f>IFERROR(IF([1]对账明细接口!$S50=0,"",[1]对账明细接口!$S50),"")</f>
        <v>自备筐</v>
      </c>
      <c r="Y50" s="20">
        <f>IFERROR(IF([1]对账明细接口!$T50=0,"",[1]对账明细接口!$T50),"")</f>
      </c>
      <c r="Z50" s="213">
        <f>IFERROR(IF([1]对账明细接口!$U50=0,"",[1]对账明细接口!$U50),"")</f>
      </c>
      <c r="AA50" s="213">
        <f>IFERROR(IF([1]对账明细接口!$V50=0,"",[1]对账明细接口!$V50),"")</f>
      </c>
      <c r="AB50" s="20">
        <f>IFERROR(IF([1]对账明细接口!$W50=0,"",[1]对账明细接口!$W50),"")</f>
      </c>
      <c r="AC50" s="7">
        <f>IFERROR(IF([1]对账明细接口!$X50=0,"",[1]对账明细接口!$X50),"")</f>
      </c>
      <c r="AD50" s="7">
        <f>IFERROR(IF([1]对账明细接口!$Y50=0,"",[1]对账明细接口!$Y50),"")</f>
      </c>
      <c r="AE50" s="7">
        <f>IFERROR(IF([1]对账明细接口!$AA50=0,"",[1]对账明细接口!$AA50),"")</f>
      </c>
      <c r="AF50" s="7">
        <f>IFERROR(IF([1]对账明细接口!$AB50=0,"",[1]对账明细接口!$AB50),"")</f>
      </c>
      <c r="AG50" s="7">
        <f>IFERROR(IF([1]对账明细接口!$AC50=0,"",[1]对账明细接口!$AC50),"")</f>
      </c>
      <c r="AH50" s="7">
        <f>IFERROR(IF([1]对账明细接口!$AD50=0,"",[1]对账明细接口!$AD50),"")</f>
      </c>
      <c r="AI50" s="7">
        <f>IFERROR(IF([1]对账明细接口!$AE50=0,"",[1]对账明细接口!$AE50),"")</f>
      </c>
      <c r="AJ50" s="7">
        <f>IFERROR(IF([1]对账明细接口!$AF50=0,"",[1]对账明细接口!$AF50),"")</f>
      </c>
    </row>
    <row r="51" ht="14.25" customHeight="1" s="127">
      <c r="A51" s="14" t="n">
        <v>51</v>
      </c>
      <c r="B51" s="211">
        <f>IFERROR(IF([1]对账明细接口!$B$51=0,"",[1]对账明细接口!$B$51),"")</f>
        <v>46260.0</v>
      </c>
      <c r="C51" s="16" t="str">
        <f>IFERROR(IF([1]对账明细接口!$C$51=0,"",[1]对账明细接口!$C$51),"")</f>
        <v>聂新平</v>
      </c>
      <c r="D51" s="16" t="str">
        <f>IFERROR(IF([1]对账明细接口!$D$51=0,"",[1]对账明细接口!$D$51),"")</f>
        <v>原料入库</v>
      </c>
      <c r="E51" s="16" t="str">
        <f>IFERROR(IF([1]对账明细接口!$E$51=0,"",[1]对账明细接口!$E$51),"")</f>
        <v>NO0000729</v>
      </c>
      <c r="F51" s="16" t="str">
        <f>IFERROR(IF([1]对账明细接口!$F$51=0,"",[1]对账明细接口!$F$51),"")</f>
        <v>苹果</v>
      </c>
      <c r="G51" s="16" t="str">
        <f>IFERROR(IF([1]对账明细接口!$G$51=0,"",[1]对账明细接口!$G$51),"")</f>
        <v>嘎啦100#</v>
      </c>
      <c r="H51" s="176">
        <f>IFERROR(IF([1]对账明细接口!$H$51=0,"",[1]对账明细接口!$H$51),"")</f>
        <v>132</v>
      </c>
      <c r="I51" s="16" t="str">
        <f>IFERROR(IF([1]对账明细接口!$I$51=0,"",[1]对账明细接口!$I$51),"")</f>
        <v>筐</v>
      </c>
      <c r="J51" s="177">
        <f>IFERROR(IF([1]对账明细接口!$J$51=0,"",[1]对账明细接口!$J$51),"")</f>
        <v>2877.6</v>
      </c>
      <c r="K51" s="177">
        <f>IFERROR(IF([1]对账明细接口!$K$51=0,"",[1]对账明细接口!$K$51),"")</f>
      </c>
      <c r="L51" s="16">
        <f>IFERROR(IF([1]对账明细接口!$L$51=0,"",[1]对账明细接口!$L$51),"")</f>
      </c>
      <c r="M51" s="16">
        <f>IFERROR(IF([1]对账明细接口!$M$51=0,"",[1]对账明细接口!$M$51),"")</f>
      </c>
      <c r="N51" s="19">
        <f>IF($C51="",0,1)</f>
        <v>1</v>
      </c>
      <c r="O51" s="19">
        <f>N(O50)+$N51</f>
        <v>48</v>
      </c>
      <c r="S51" s="20" t="str">
        <f>IFERROR(IF([1]对账明细接口!$N51=0,"",[1]对账明细接口!$N51),"")</f>
        <v>自备一次性筐</v>
      </c>
      <c r="T51" s="212">
        <f>IFERROR(IF([1]对账明细接口!$O51=0,"",[1]对账明细接口!$O51),"")</f>
      </c>
      <c r="U51" s="212">
        <f>IFERROR(IF([1]对账明细接口!$P51=0,"",[1]对账明细接口!$P51),"")</f>
      </c>
      <c r="V51" s="212">
        <f>IFERROR(IF([1]对账明细接口!$Q51=0,"",[1]对账明细接口!$Q51),"")</f>
        <v>132</v>
      </c>
      <c r="W51" s="20" t="str">
        <f>IFERROR(IF([1]对账明细接口!$R51=0,"",[1]对账明细接口!$R51),"")</f>
        <v>新N*E3V16</v>
      </c>
      <c r="X51" s="20" t="str">
        <f>IFERROR(IF([1]对账明细接口!$S51=0,"",[1]对账明细接口!$S51),"")</f>
        <v>自备筐</v>
      </c>
      <c r="Y51" s="20">
        <f>IFERROR(IF([1]对账明细接口!$T51=0,"",[1]对账明细接口!$T51),"")</f>
      </c>
      <c r="Z51" s="213">
        <f>IFERROR(IF([1]对账明细接口!$U51=0,"",[1]对账明细接口!$U51),"")</f>
      </c>
      <c r="AA51" s="213">
        <f>IFERROR(IF([1]对账明细接口!$V51=0,"",[1]对账明细接口!$V51),"")</f>
      </c>
      <c r="AB51" s="20">
        <f>IFERROR(IF([1]对账明细接口!$W51=0,"",[1]对账明细接口!$W51),"")</f>
      </c>
      <c r="AC51" s="7">
        <f>IFERROR(IF([1]对账明细接口!$X51=0,"",[1]对账明细接口!$X51),"")</f>
      </c>
      <c r="AD51" s="7">
        <f>IFERROR(IF([1]对账明细接口!$Y51=0,"",[1]对账明细接口!$Y51),"")</f>
      </c>
      <c r="AE51" s="7">
        <f>IFERROR(IF([1]对账明细接口!$AA51=0,"",[1]对账明细接口!$AA51),"")</f>
      </c>
      <c r="AF51" s="7">
        <f>IFERROR(IF([1]对账明细接口!$AB51=0,"",[1]对账明细接口!$AB51),"")</f>
      </c>
      <c r="AG51" s="7">
        <f>IFERROR(IF([1]对账明细接口!$AC51=0,"",[1]对账明细接口!$AC51),"")</f>
      </c>
      <c r="AH51" s="7">
        <f>IFERROR(IF([1]对账明细接口!$AD51=0,"",[1]对账明细接口!$AD51),"")</f>
      </c>
      <c r="AI51" s="7">
        <f>IFERROR(IF([1]对账明细接口!$AE51=0,"",[1]对账明细接口!$AE51),"")</f>
      </c>
      <c r="AJ51" s="7">
        <f>IFERROR(IF([1]对账明细接口!$AF51=0,"",[1]对账明细接口!$AF51),"")</f>
      </c>
    </row>
    <row r="52" ht="14.25" customHeight="1" s="127">
      <c r="A52" s="14" t="n">
        <v>52</v>
      </c>
      <c r="B52" s="211">
        <f>IFERROR(IF([1]对账明细接口!$B$52=0,"",[1]对账明细接口!$B$52),"")</f>
        <v>46260.0</v>
      </c>
      <c r="C52" s="16" t="str">
        <f>IFERROR(IF([1]对账明细接口!$C$52=0,"",[1]对账明细接口!$C$52),"")</f>
        <v>王照雪</v>
      </c>
      <c r="D52" s="16" t="str">
        <f>IFERROR(IF([1]对账明细接口!$D$52=0,"",[1]对账明细接口!$D$52),"")</f>
        <v>原料入库</v>
      </c>
      <c r="E52" s="16" t="str">
        <f>IFERROR(IF([1]对账明细接口!$E$52=0,"",[1]对账明细接口!$E$52),"")</f>
        <v>NO0000732</v>
      </c>
      <c r="F52" s="16" t="str">
        <f>IFERROR(IF([1]对账明细接口!$F$52=0,"",[1]对账明细接口!$F$52),"")</f>
        <v>苹果</v>
      </c>
      <c r="G52" s="16" t="str">
        <f>IFERROR(IF([1]对账明细接口!$G$52=0,"",[1]对账明细接口!$G$52),"")</f>
        <v>华硕一级</v>
      </c>
      <c r="H52" s="176">
        <f>IFERROR(IF([1]对账明细接口!$H$52=0,"",[1]对账明细接口!$H$52),"")</f>
        <v>174</v>
      </c>
      <c r="I52" s="16" t="str">
        <f>IFERROR(IF([1]对账明细接口!$I$52=0,"",[1]对账明细接口!$I$52),"")</f>
        <v>筐</v>
      </c>
      <c r="J52" s="177">
        <f>IFERROR(IF([1]对账明细接口!$J$52=0,"",[1]对账明细接口!$J$52),"")</f>
        <v>3010.2</v>
      </c>
      <c r="K52" s="177">
        <f>IFERROR(IF([1]对账明细接口!$K$52=0,"",[1]对账明细接口!$K$52),"")</f>
      </c>
      <c r="L52" s="16">
        <f>IFERROR(IF([1]对账明细接口!$L$52=0,"",[1]对账明细接口!$L$52),"")</f>
      </c>
      <c r="M52" s="16">
        <f>IFERROR(IF([1]对账明细接口!$M$52=0,"",[1]对账明细接口!$M$52),"")</f>
      </c>
      <c r="N52" s="19">
        <f>IF($C52="",0,1)</f>
        <v>1</v>
      </c>
      <c r="O52" s="19">
        <f>N(O51)+$N52</f>
        <v>49</v>
      </c>
      <c r="S52" s="20" t="str">
        <f>IFERROR(IF([1]对账明细接口!$N52=0,"",[1]对账明细接口!$N52),"")</f>
        <v>公司杂周转筐</v>
      </c>
      <c r="T52" s="212">
        <f>IFERROR(IF([1]对账明细接口!$O52=0,"",[1]对账明细接口!$O52),"")</f>
      </c>
      <c r="U52" s="212">
        <f>IFERROR(IF([1]对账明细接口!$P52=0,"",[1]对账明细接口!$P52),"")</f>
      </c>
      <c r="V52" s="212">
        <f>IFERROR(IF([1]对账明细接口!$Q52=0,"",[1]对账明细接口!$Q52),"")</f>
        <v>174</v>
      </c>
      <c r="W52" s="20" t="str">
        <f>IFERROR(IF([1]对账明细接口!$R52=0,"",[1]对账明细接口!$R52),"")</f>
        <v>豫L*88X19</v>
      </c>
      <c r="X52" s="20" t="str">
        <f>IFERROR(IF([1]对账明细接口!$S52=0,"",[1]对账明细接口!$S52),"")</f>
        <v>公司筐</v>
      </c>
      <c r="Y52" s="20">
        <f>IFERROR(IF([1]对账明细接口!$T52=0,"",[1]对账明细接口!$T52),"")</f>
      </c>
      <c r="Z52" s="213">
        <f>IFERROR(IF([1]对账明细接口!$U52=0,"",[1]对账明细接口!$U52),"")</f>
      </c>
      <c r="AA52" s="213">
        <f>IFERROR(IF([1]对账明细接口!$V52=0,"",[1]对账明细接口!$V52),"")</f>
      </c>
      <c r="AB52" s="20">
        <f>IFERROR(IF([1]对账明细接口!$W52=0,"",[1]对账明细接口!$W52),"")</f>
      </c>
      <c r="AC52" s="7">
        <f>IFERROR(IF([1]对账明细接口!$X52=0,"",[1]对账明细接口!$X52),"")</f>
      </c>
      <c r="AD52" s="7">
        <f>IFERROR(IF([1]对账明细接口!$Y52=0,"",[1]对账明细接口!$Y52),"")</f>
      </c>
      <c r="AE52" s="7">
        <f>IFERROR(IF([1]对账明细接口!$AA52=0,"",[1]对账明细接口!$AA52),"")</f>
      </c>
      <c r="AF52" s="7">
        <f>IFERROR(IF([1]对账明细接口!$AB52=0,"",[1]对账明细接口!$AB52),"")</f>
      </c>
      <c r="AG52" s="7">
        <f>IFERROR(IF([1]对账明细接口!$AC52=0,"",[1]对账明细接口!$AC52),"")</f>
      </c>
      <c r="AH52" s="7">
        <f>IFERROR(IF([1]对账明细接口!$AD52=0,"",[1]对账明细接口!$AD52),"")</f>
      </c>
      <c r="AI52" s="7">
        <f>IFERROR(IF([1]对账明细接口!$AE52=0,"",[1]对账明细接口!$AE52),"")</f>
      </c>
      <c r="AJ52" s="7">
        <f>IFERROR(IF([1]对账明细接口!$AF52=0,"",[1]对账明细接口!$AF52),"")</f>
      </c>
    </row>
    <row r="53" ht="14.25" customHeight="1" s="127">
      <c r="A53" s="14" t="n">
        <v>53</v>
      </c>
      <c r="B53" s="211">
        <f>IFERROR(IF([1]对账明细接口!$B$53=0,"",[1]对账明细接口!$B$53),"")</f>
        <v>46260.0</v>
      </c>
      <c r="C53" s="16" t="str">
        <f>IFERROR(IF([1]对账明细接口!$C$53=0,"",[1]对账明细接口!$C$53),"")</f>
        <v>王照雪</v>
      </c>
      <c r="D53" s="16" t="str">
        <f>IFERROR(IF([1]对账明细接口!$D$53=0,"",[1]对账明细接口!$D$53),"")</f>
        <v>原料入库</v>
      </c>
      <c r="E53" s="16" t="str">
        <f>IFERROR(IF([1]对账明细接口!$E$53=0,"",[1]对账明细接口!$E$53),"")</f>
        <v>NO0000732</v>
      </c>
      <c r="F53" s="16" t="str">
        <f>IFERROR(IF([1]对账明细接口!$F$53=0,"",[1]对账明细接口!$F$53),"")</f>
        <v>苹果</v>
      </c>
      <c r="G53" s="16" t="str">
        <f>IFERROR(IF([1]对账明细接口!$G$53=0,"",[1]对账明细接口!$G$53),"")</f>
        <v>华硕二级</v>
      </c>
      <c r="H53" s="176">
        <f>IFERROR(IF([1]对账明细接口!$H$53=0,"",[1]对账明细接口!$H$53),"")</f>
        <v>88</v>
      </c>
      <c r="I53" s="16" t="str">
        <f>IFERROR(IF([1]对账明细接口!$I$53=0,"",[1]对账明细接口!$I$53),"")</f>
        <v>筐</v>
      </c>
      <c r="J53" s="177">
        <f>IFERROR(IF([1]对账明细接口!$J$53=0,"",[1]对账明细接口!$J$53),"")</f>
        <v>1434.4</v>
      </c>
      <c r="K53" s="177">
        <f>IFERROR(IF([1]对账明细接口!$K$53=0,"",[1]对账明细接口!$K$53),"")</f>
      </c>
      <c r="L53" s="16">
        <f>IFERROR(IF([1]对账明细接口!$L$53=0,"",[1]对账明细接口!$L$53),"")</f>
      </c>
      <c r="M53" s="16">
        <f>IFERROR(IF([1]对账明细接口!$M$53=0,"",[1]对账明细接口!$M$53),"")</f>
      </c>
      <c r="N53" s="19">
        <f>IF($C53="",0,1)</f>
        <v>1</v>
      </c>
      <c r="O53" s="19">
        <f>N(O52)+$N53</f>
        <v>50</v>
      </c>
      <c r="S53" s="20" t="str">
        <f>IFERROR(IF([1]对账明细接口!$N53=0,"",[1]对账明细接口!$N53),"")</f>
        <v>公司杂周转筐</v>
      </c>
      <c r="T53" s="212">
        <f>IFERROR(IF([1]对账明细接口!$O53=0,"",[1]对账明细接口!$O53),"")</f>
      </c>
      <c r="U53" s="212">
        <f>IFERROR(IF([1]对账明细接口!$P53=0,"",[1]对账明细接口!$P53),"")</f>
      </c>
      <c r="V53" s="212">
        <f>IFERROR(IF([1]对账明细接口!$Q53=0,"",[1]对账明细接口!$Q53),"")</f>
        <v>88</v>
      </c>
      <c r="W53" s="20" t="str">
        <f>IFERROR(IF([1]对账明细接口!$R53=0,"",[1]对账明细接口!$R53),"")</f>
        <v>豫L*88X19</v>
      </c>
      <c r="X53" s="20" t="str">
        <f>IFERROR(IF([1]对账明细接口!$S53=0,"",[1]对账明细接口!$S53),"")</f>
        <v>公司筐</v>
      </c>
      <c r="Y53" s="20">
        <f>IFERROR(IF([1]对账明细接口!$T53=0,"",[1]对账明细接口!$T53),"")</f>
      </c>
      <c r="Z53" s="213">
        <f>IFERROR(IF([1]对账明细接口!$U53=0,"",[1]对账明细接口!$U53),"")</f>
      </c>
      <c r="AA53" s="213">
        <f>IFERROR(IF([1]对账明细接口!$V53=0,"",[1]对账明细接口!$V53),"")</f>
      </c>
      <c r="AB53" s="20">
        <f>IFERROR(IF([1]对账明细接口!$W53=0,"",[1]对账明细接口!$W53),"")</f>
      </c>
      <c r="AC53" s="7">
        <f>IFERROR(IF([1]对账明细接口!$X53=0,"",[1]对账明细接口!$X53),"")</f>
      </c>
      <c r="AD53" s="7">
        <f>IFERROR(IF([1]对账明细接口!$Y53=0,"",[1]对账明细接口!$Y53),"")</f>
      </c>
      <c r="AE53" s="7">
        <f>IFERROR(IF([1]对账明细接口!$AA53=0,"",[1]对账明细接口!$AA53),"")</f>
      </c>
      <c r="AF53" s="7">
        <f>IFERROR(IF([1]对账明细接口!$AB53=0,"",[1]对账明细接口!$AB53),"")</f>
      </c>
      <c r="AG53" s="7">
        <f>IFERROR(IF([1]对账明细接口!$AC53=0,"",[1]对账明细接口!$AC53),"")</f>
      </c>
      <c r="AH53" s="7">
        <f>IFERROR(IF([1]对账明细接口!$AD53=0,"",[1]对账明细接口!$AD53),"")</f>
      </c>
      <c r="AI53" s="7">
        <f>IFERROR(IF([1]对账明细接口!$AE53=0,"",[1]对账明细接口!$AE53),"")</f>
      </c>
      <c r="AJ53" s="7">
        <f>IFERROR(IF([1]对账明细接口!$AF53=0,"",[1]对账明细接口!$AF53),"")</f>
      </c>
    </row>
    <row r="54" ht="14.25" customHeight="1" s="127">
      <c r="A54" s="14" t="n">
        <v>54</v>
      </c>
      <c r="B54" s="211">
        <f>IFERROR(IF([1]对账明细接口!$B$54=0,"",[1]对账明细接口!$B$54),"")</f>
        <v>46260.0</v>
      </c>
      <c r="C54" s="16" t="str">
        <f>IFERROR(IF([1]对账明细接口!$C$54=0,"",[1]对账明细接口!$C$54),"")</f>
        <v>王照雪</v>
      </c>
      <c r="D54" s="16" t="str">
        <f>IFERROR(IF([1]对账明细接口!$D$54=0,"",[1]对账明细接口!$D$54),"")</f>
        <v>原料入库</v>
      </c>
      <c r="E54" s="16" t="str">
        <f>IFERROR(IF([1]对账明细接口!$E$54=0,"",[1]对账明细接口!$E$54),"")</f>
        <v>NO0000732</v>
      </c>
      <c r="F54" s="16" t="str">
        <f>IFERROR(IF([1]对账明细接口!$F$54=0,"",[1]对账明细接口!$F$54),"")</f>
        <v>苹果</v>
      </c>
      <c r="G54" s="16" t="str">
        <f>IFERROR(IF([1]对账明细接口!$G$54=0,"",[1]对账明细接口!$G$54),"")</f>
        <v>华硕高次</v>
      </c>
      <c r="H54" s="176">
        <f>IFERROR(IF([1]对账明细接口!$H$54=0,"",[1]对账明细接口!$H$54),"")</f>
        <v>64</v>
      </c>
      <c r="I54" s="16" t="str">
        <f>IFERROR(IF([1]对账明细接口!$I$54=0,"",[1]对账明细接口!$I$54),"")</f>
        <v>筐</v>
      </c>
      <c r="J54" s="177">
        <f>IFERROR(IF([1]对账明细接口!$J$54=0,"",[1]对账明细接口!$J$54),"")</f>
        <v>1107.2</v>
      </c>
      <c r="K54" s="177">
        <f>IFERROR(IF([1]对账明细接口!$K$54=0,"",[1]对账明细接口!$K$54),"")</f>
      </c>
      <c r="L54" s="16">
        <f>IFERROR(IF([1]对账明细接口!$L$54=0,"",[1]对账明细接口!$L$54),"")</f>
      </c>
      <c r="M54" s="16">
        <f>IFERROR(IF([1]对账明细接口!$M$54=0,"",[1]对账明细接口!$M$54),"")</f>
      </c>
      <c r="N54" s="19">
        <f>IF($C54="",0,1)</f>
        <v>1</v>
      </c>
      <c r="O54" s="19">
        <f>N(O53)+$N54</f>
        <v>51</v>
      </c>
      <c r="S54" s="20" t="str">
        <f>IFERROR(IF([1]对账明细接口!$N54=0,"",[1]对账明细接口!$N54),"")</f>
        <v>公司杂周转筐</v>
      </c>
      <c r="T54" s="212">
        <f>IFERROR(IF([1]对账明细接口!$O54=0,"",[1]对账明细接口!$O54),"")</f>
      </c>
      <c r="U54" s="212">
        <f>IFERROR(IF([1]对账明细接口!$P54=0,"",[1]对账明细接口!$P54),"")</f>
      </c>
      <c r="V54" s="212">
        <f>IFERROR(IF([1]对账明细接口!$Q54=0,"",[1]对账明细接口!$Q54),"")</f>
        <v>64</v>
      </c>
      <c r="W54" s="20" t="str">
        <f>IFERROR(IF([1]对账明细接口!$R54=0,"",[1]对账明细接口!$R54),"")</f>
        <v>豫L*88X19</v>
      </c>
      <c r="X54" s="20" t="str">
        <f>IFERROR(IF([1]对账明细接口!$S54=0,"",[1]对账明细接口!$S54),"")</f>
        <v>公司筐</v>
      </c>
      <c r="Y54" s="20">
        <f>IFERROR(IF([1]对账明细接口!$T54=0,"",[1]对账明细接口!$T54),"")</f>
      </c>
      <c r="Z54" s="213">
        <f>IFERROR(IF([1]对账明细接口!$U54=0,"",[1]对账明细接口!$U54),"")</f>
      </c>
      <c r="AA54" s="213">
        <f>IFERROR(IF([1]对账明细接口!$V54=0,"",[1]对账明细接口!$V54),"")</f>
      </c>
      <c r="AB54" s="20">
        <f>IFERROR(IF([1]对账明细接口!$W54=0,"",[1]对账明细接口!$W54),"")</f>
      </c>
      <c r="AC54" s="7">
        <f>IFERROR(IF([1]对账明细接口!$X54=0,"",[1]对账明细接口!$X54),"")</f>
      </c>
      <c r="AD54" s="7">
        <f>IFERROR(IF([1]对账明细接口!$Y54=0,"",[1]对账明细接口!$Y54),"")</f>
      </c>
      <c r="AE54" s="7">
        <f>IFERROR(IF([1]对账明细接口!$AA54=0,"",[1]对账明细接口!$AA54),"")</f>
      </c>
      <c r="AF54" s="7">
        <f>IFERROR(IF([1]对账明细接口!$AB54=0,"",[1]对账明细接口!$AB54),"")</f>
      </c>
      <c r="AG54" s="7">
        <f>IFERROR(IF([1]对账明细接口!$AC54=0,"",[1]对账明细接口!$AC54),"")</f>
      </c>
      <c r="AH54" s="7">
        <f>IFERROR(IF([1]对账明细接口!$AD54=0,"",[1]对账明细接口!$AD54),"")</f>
      </c>
      <c r="AI54" s="7">
        <f>IFERROR(IF([1]对账明细接口!$AE54=0,"",[1]对账明细接口!$AE54),"")</f>
      </c>
      <c r="AJ54" s="7">
        <f>IFERROR(IF([1]对账明细接口!$AF54=0,"",[1]对账明细接口!$AF54),"")</f>
      </c>
    </row>
    <row r="55" ht="14.25" customHeight="1" s="127">
      <c r="A55" s="14" t="n">
        <v>55</v>
      </c>
      <c r="B55" s="211">
        <f>IFERROR(IF([1]对账明细接口!$B$55=0,"",[1]对账明细接口!$B$55),"")</f>
        <v>46262.0</v>
      </c>
      <c r="C55" s="16" t="str">
        <f>IFERROR(IF([1]对账明细接口!$C$55=0,"",[1]对账明细接口!$C$55),"")</f>
        <v>聂新平</v>
      </c>
      <c r="D55" s="16" t="str">
        <f>IFERROR(IF([1]对账明细接口!$D$55=0,"",[1]对账明细接口!$D$55),"")</f>
        <v>原料入库</v>
      </c>
      <c r="E55" s="16" t="str">
        <f>IFERROR(IF([1]对账明细接口!$E$55=0,"",[1]对账明细接口!$E$55),"")</f>
        <v>NO0000737</v>
      </c>
      <c r="F55" s="16" t="str">
        <f>IFERROR(IF([1]对账明细接口!$F$55=0,"",[1]对账明细接口!$F$55),"")</f>
        <v>苹果</v>
      </c>
      <c r="G55" s="16" t="str">
        <f>IFERROR(IF([1]对账明细接口!$G$55=0,"",[1]对账明细接口!$G$55),"")</f>
        <v>嘎啦85#</v>
      </c>
      <c r="H55" s="176">
        <f>IFERROR(IF([1]对账明细接口!$H$55=0,"",[1]对账明细接口!$H$55),"")</f>
        <v>69</v>
      </c>
      <c r="I55" s="16" t="str">
        <f>IFERROR(IF([1]对账明细接口!$I$55=0,"",[1]对账明细接口!$I$55),"")</f>
        <v>筐</v>
      </c>
      <c r="J55" s="177">
        <f>IFERROR(IF([1]对账明细接口!$J$55=0,"",[1]对账明细接口!$J$55),"")</f>
        <v>1504.2</v>
      </c>
      <c r="K55" s="177">
        <f>IFERROR(IF([1]对账明细接口!$K$55=0,"",[1]对账明细接口!$K$55),"")</f>
      </c>
      <c r="L55" s="16">
        <f>IFERROR(IF([1]对账明细接口!$L$55=0,"",[1]对账明细接口!$L$55),"")</f>
      </c>
      <c r="M55" s="16">
        <f>IFERROR(IF([1]对账明细接口!$M$55=0,"",[1]对账明细接口!$M$55),"")</f>
      </c>
      <c r="N55" s="19">
        <f>IF($C55="",0,1)</f>
        <v>1</v>
      </c>
      <c r="O55" s="19">
        <f>N(O54)+$N55</f>
        <v>52</v>
      </c>
      <c r="S55" s="20" t="str">
        <f>IFERROR(IF([1]对账明细接口!$N55=0,"",[1]对账明细接口!$N55),"")</f>
        <v>自备一次性筐</v>
      </c>
      <c r="T55" s="212">
        <f>IFERROR(IF([1]对账明细接口!$O55=0,"",[1]对账明细接口!$O55),"")</f>
      </c>
      <c r="U55" s="212">
        <f>IFERROR(IF([1]对账明细接口!$P55=0,"",[1]对账明细接口!$P55),"")</f>
      </c>
      <c r="V55" s="212">
        <f>IFERROR(IF([1]对账明细接口!$Q55=0,"",[1]对账明细接口!$Q55),"")</f>
        <v>69</v>
      </c>
      <c r="W55" s="20" t="str">
        <f>IFERROR(IF([1]对账明细接口!$R55=0,"",[1]对账明细接口!$R55),"")</f>
        <v>新N*E3V16</v>
      </c>
      <c r="X55" s="20" t="str">
        <f>IFERROR(IF([1]对账明细接口!$S55=0,"",[1]对账明细接口!$S55),"")</f>
        <v>自备筐</v>
      </c>
      <c r="Y55" s="20">
        <f>IFERROR(IF([1]对账明细接口!$T55=0,"",[1]对账明细接口!$T55),"")</f>
      </c>
      <c r="Z55" s="213">
        <f>IFERROR(IF([1]对账明细接口!$U55=0,"",[1]对账明细接口!$U55),"")</f>
      </c>
      <c r="AA55" s="213">
        <f>IFERROR(IF([1]对账明细接口!$V55=0,"",[1]对账明细接口!$V55),"")</f>
      </c>
      <c r="AB55" s="20">
        <f>IFERROR(IF([1]对账明细接口!$W55=0,"",[1]对账明细接口!$W55),"")</f>
      </c>
      <c r="AC55" s="7">
        <f>IFERROR(IF([1]对账明细接口!$X55=0,"",[1]对账明细接口!$X55),"")</f>
      </c>
      <c r="AD55" s="7">
        <f>IFERROR(IF([1]对账明细接口!$Y55=0,"",[1]对账明细接口!$Y55),"")</f>
      </c>
      <c r="AE55" s="7">
        <f>IFERROR(IF([1]对账明细接口!$AA55=0,"",[1]对账明细接口!$AA55),"")</f>
      </c>
      <c r="AF55" s="7">
        <f>IFERROR(IF([1]对账明细接口!$AB55=0,"",[1]对账明细接口!$AB55),"")</f>
      </c>
      <c r="AG55" s="7">
        <f>IFERROR(IF([1]对账明细接口!$AC55=0,"",[1]对账明细接口!$AC55),"")</f>
      </c>
      <c r="AH55" s="7">
        <f>IFERROR(IF([1]对账明细接口!$AD55=0,"",[1]对账明细接口!$AD55),"")</f>
      </c>
      <c r="AI55" s="7">
        <f>IFERROR(IF([1]对账明细接口!$AE55=0,"",[1]对账明细接口!$AE55),"")</f>
      </c>
      <c r="AJ55" s="7">
        <f>IFERROR(IF([1]对账明细接口!$AF55=0,"",[1]对账明细接口!$AF55),"")</f>
      </c>
    </row>
    <row r="56" ht="14.25" customHeight="1" s="127">
      <c r="A56" s="14" t="n">
        <v>56</v>
      </c>
      <c r="B56" s="211">
        <f>IFERROR(IF([1]对账明细接口!$B$56=0,"",[1]对账明细接口!$B$56),"")</f>
        <v>46262.0</v>
      </c>
      <c r="C56" s="16" t="str">
        <f>IFERROR(IF([1]对账明细接口!$C$56=0,"",[1]对账明细接口!$C$56),"")</f>
        <v>聂新平</v>
      </c>
      <c r="D56" s="16" t="str">
        <f>IFERROR(IF([1]对账明细接口!$D$56=0,"",[1]对账明细接口!$D$56),"")</f>
        <v>原料入库</v>
      </c>
      <c r="E56" s="16" t="str">
        <f>IFERROR(IF([1]对账明细接口!$E$56=0,"",[1]对账明细接口!$E$56),"")</f>
        <v>NO0000737</v>
      </c>
      <c r="F56" s="16" t="str">
        <f>IFERROR(IF([1]对账明细接口!$F$56=0,"",[1]对账明细接口!$F$56),"")</f>
        <v>苹果</v>
      </c>
      <c r="G56" s="16" t="str">
        <f>IFERROR(IF([1]对账明细接口!$G$56=0,"",[1]对账明细接口!$G$56),"")</f>
        <v>嘎啦100#</v>
      </c>
      <c r="H56" s="176">
        <f>IFERROR(IF([1]对账明细接口!$H$56=0,"",[1]对账明细接口!$H$56),"")</f>
        <v>175</v>
      </c>
      <c r="I56" s="16" t="str">
        <f>IFERROR(IF([1]对账明细接口!$I$56=0,"",[1]对账明细接口!$I$56),"")</f>
        <v>筐</v>
      </c>
      <c r="J56" s="177">
        <f>IFERROR(IF([1]对账明细接口!$J$56=0,"",[1]对账明细接口!$J$56),"")</f>
        <v>3815</v>
      </c>
      <c r="K56" s="177">
        <f>IFERROR(IF([1]对账明细接口!$K$56=0,"",[1]对账明细接口!$K$56),"")</f>
      </c>
      <c r="L56" s="16">
        <f>IFERROR(IF([1]对账明细接口!$L$56=0,"",[1]对账明细接口!$L$56),"")</f>
      </c>
      <c r="M56" s="16">
        <f>IFERROR(IF([1]对账明细接口!$M$56=0,"",[1]对账明细接口!$M$56),"")</f>
      </c>
      <c r="N56" s="19">
        <f>IF($C56="",0,1)</f>
        <v>1</v>
      </c>
      <c r="O56" s="19">
        <f>N(O55)+$N56</f>
        <v>53</v>
      </c>
      <c r="S56" s="20" t="str">
        <f>IFERROR(IF([1]对账明细接口!$N56=0,"",[1]对账明细接口!$N56),"")</f>
        <v>自备一次性筐</v>
      </c>
      <c r="T56" s="212">
        <f>IFERROR(IF([1]对账明细接口!$O56=0,"",[1]对账明细接口!$O56),"")</f>
      </c>
      <c r="U56" s="212">
        <f>IFERROR(IF([1]对账明细接口!$P56=0,"",[1]对账明细接口!$P56),"")</f>
      </c>
      <c r="V56" s="212">
        <f>IFERROR(IF([1]对账明细接口!$Q56=0,"",[1]对账明细接口!$Q56),"")</f>
        <v>175</v>
      </c>
      <c r="W56" s="20" t="str">
        <f>IFERROR(IF([1]对账明细接口!$R56=0,"",[1]对账明细接口!$R56),"")</f>
        <v>新N*E3V16</v>
      </c>
      <c r="X56" s="20" t="str">
        <f>IFERROR(IF([1]对账明细接口!$S56=0,"",[1]对账明细接口!$S56),"")</f>
        <v>自备筐</v>
      </c>
      <c r="Y56" s="20">
        <f>IFERROR(IF([1]对账明细接口!$T56=0,"",[1]对账明细接口!$T56),"")</f>
      </c>
      <c r="Z56" s="213">
        <f>IFERROR(IF([1]对账明细接口!$U56=0,"",[1]对账明细接口!$U56),"")</f>
      </c>
      <c r="AA56" s="213">
        <f>IFERROR(IF([1]对账明细接口!$V56=0,"",[1]对账明细接口!$V56),"")</f>
      </c>
      <c r="AB56" s="20">
        <f>IFERROR(IF([1]对账明细接口!$W56=0,"",[1]对账明细接口!$W56),"")</f>
      </c>
      <c r="AC56" s="7">
        <f>IFERROR(IF([1]对账明细接口!$X56=0,"",[1]对账明细接口!$X56),"")</f>
      </c>
      <c r="AD56" s="7">
        <f>IFERROR(IF([1]对账明细接口!$Y56=0,"",[1]对账明细接口!$Y56),"")</f>
      </c>
      <c r="AE56" s="7">
        <f>IFERROR(IF([1]对账明细接口!$AA56=0,"",[1]对账明细接口!$AA56),"")</f>
      </c>
      <c r="AF56" s="7">
        <f>IFERROR(IF([1]对账明细接口!$AB56=0,"",[1]对账明细接口!$AB56),"")</f>
      </c>
      <c r="AG56" s="7">
        <f>IFERROR(IF([1]对账明细接口!$AC56=0,"",[1]对账明细接口!$AC56),"")</f>
      </c>
      <c r="AH56" s="7">
        <f>IFERROR(IF([1]对账明细接口!$AD56=0,"",[1]对账明细接口!$AD56),"")</f>
      </c>
      <c r="AI56" s="7">
        <f>IFERROR(IF([1]对账明细接口!$AE56=0,"",[1]对账明细接口!$AE56),"")</f>
      </c>
      <c r="AJ56" s="7">
        <f>IFERROR(IF([1]对账明细接口!$AF56=0,"",[1]对账明细接口!$AF56),"")</f>
      </c>
    </row>
    <row r="57" ht="14.25" customHeight="1" s="127">
      <c r="A57" s="14" t="n">
        <v>57</v>
      </c>
      <c r="B57" s="211">
        <f>IFERROR(IF([1]对账明细接口!$B$57=0,"",[1]对账明细接口!$B$57),"")</f>
        <v>46262.0</v>
      </c>
      <c r="C57" s="16" t="str">
        <f>IFERROR(IF([1]对账明细接口!$C$57=0,"",[1]对账明细接口!$C$57),"")</f>
        <v>聂新平</v>
      </c>
      <c r="D57" s="16" t="str">
        <f>IFERROR(IF([1]对账明细接口!$D$57=0,"",[1]对账明细接口!$D$57),"")</f>
        <v>原料入库</v>
      </c>
      <c r="E57" s="16" t="str">
        <f>IFERROR(IF([1]对账明细接口!$E$57=0,"",[1]对账明细接口!$E$57),"")</f>
        <v>NO0000738</v>
      </c>
      <c r="F57" s="16" t="str">
        <f>IFERROR(IF([1]对账明细接口!$F$57=0,"",[1]对账明细接口!$F$57),"")</f>
        <v>苹果</v>
      </c>
      <c r="G57" s="16" t="str">
        <f>IFERROR(IF([1]对账明细接口!$G$57=0,"",[1]对账明细接口!$G$57),"")</f>
        <v>嘎啦85#</v>
      </c>
      <c r="H57" s="176">
        <f>IFERROR(IF([1]对账明细接口!$H$57=0,"",[1]对账明细接口!$H$57),"")</f>
        <v>20</v>
      </c>
      <c r="I57" s="16" t="str">
        <f>IFERROR(IF([1]对账明细接口!$I$57=0,"",[1]对账明细接口!$I$57),"")</f>
        <v>筐</v>
      </c>
      <c r="J57" s="177">
        <f>IFERROR(IF([1]对账明细接口!$J$57=0,"",[1]对账明细接口!$J$57),"")</f>
        <v>436</v>
      </c>
      <c r="K57" s="177">
        <f>IFERROR(IF([1]对账明细接口!$K$57=0,"",[1]对账明细接口!$K$57),"")</f>
      </c>
      <c r="L57" s="16">
        <f>IFERROR(IF([1]对账明细接口!$L$57=0,"",[1]对账明细接口!$L$57),"")</f>
      </c>
      <c r="M57" s="16">
        <f>IFERROR(IF([1]对账明细接口!$M$57=0,"",[1]对账明细接口!$M$57),"")</f>
      </c>
      <c r="N57" s="19">
        <f>IF($C57="",0,1)</f>
        <v>1</v>
      </c>
      <c r="O57" s="19">
        <f>N(O56)+$N57</f>
        <v>54</v>
      </c>
      <c r="S57" s="20" t="str">
        <f>IFERROR(IF([1]对账明细接口!$N57=0,"",[1]对账明细接口!$N57),"")</f>
        <v>自备一次性筐</v>
      </c>
      <c r="T57" s="212">
        <f>IFERROR(IF([1]对账明细接口!$O57=0,"",[1]对账明细接口!$O57),"")</f>
      </c>
      <c r="U57" s="212">
        <f>IFERROR(IF([1]对账明细接口!$P57=0,"",[1]对账明细接口!$P57),"")</f>
      </c>
      <c r="V57" s="212">
        <f>IFERROR(IF([1]对账明细接口!$Q57=0,"",[1]对账明细接口!$Q57),"")</f>
        <v>20</v>
      </c>
      <c r="W57" s="20" t="str">
        <f>IFERROR(IF([1]对账明细接口!$R57=0,"",[1]对账明细接口!$R57),"")</f>
        <v>苏M*7G796</v>
      </c>
      <c r="X57" s="20" t="str">
        <f>IFERROR(IF([1]对账明细接口!$S57=0,"",[1]对账明细接口!$S57),"")</f>
        <v>自备筐</v>
      </c>
      <c r="Y57" s="20">
        <f>IFERROR(IF([1]对账明细接口!$T57=0,"",[1]对账明细接口!$T57),"")</f>
      </c>
      <c r="Z57" s="213">
        <f>IFERROR(IF([1]对账明细接口!$U57=0,"",[1]对账明细接口!$U57),"")</f>
      </c>
      <c r="AA57" s="213">
        <f>IFERROR(IF([1]对账明细接口!$V57=0,"",[1]对账明细接口!$V57),"")</f>
      </c>
      <c r="AB57" s="20">
        <f>IFERROR(IF([1]对账明细接口!$W57=0,"",[1]对账明细接口!$W57),"")</f>
      </c>
      <c r="AC57" s="7">
        <f>IFERROR(IF([1]对账明细接口!$X57=0,"",[1]对账明细接口!$X57),"")</f>
      </c>
      <c r="AD57" s="7">
        <f>IFERROR(IF([1]对账明细接口!$Y57=0,"",[1]对账明细接口!$Y57),"")</f>
      </c>
      <c r="AE57" s="7">
        <f>IFERROR(IF([1]对账明细接口!$AA57=0,"",[1]对账明细接口!$AA57),"")</f>
      </c>
      <c r="AF57" s="7">
        <f>IFERROR(IF([1]对账明细接口!$AB57=0,"",[1]对账明细接口!$AB57),"")</f>
      </c>
      <c r="AG57" s="7">
        <f>IFERROR(IF([1]对账明细接口!$AC57=0,"",[1]对账明细接口!$AC57),"")</f>
      </c>
      <c r="AH57" s="7">
        <f>IFERROR(IF([1]对账明细接口!$AD57=0,"",[1]对账明细接口!$AD57),"")</f>
      </c>
      <c r="AI57" s="7">
        <f>IFERROR(IF([1]对账明细接口!$AE57=0,"",[1]对账明细接口!$AE57),"")</f>
      </c>
      <c r="AJ57" s="7">
        <f>IFERROR(IF([1]对账明细接口!$AF57=0,"",[1]对账明细接口!$AF57),"")</f>
      </c>
    </row>
    <row r="58" ht="14.25" customHeight="1" s="127">
      <c r="A58" s="14" t="n">
        <v>58</v>
      </c>
      <c r="B58" s="211">
        <f>IFERROR(IF([1]对账明细接口!$B$58=0,"",[1]对账明细接口!$B$58),"")</f>
        <v>46262.0</v>
      </c>
      <c r="C58" s="16" t="str">
        <f>IFERROR(IF([1]对账明细接口!$C$58=0,"",[1]对账明细接口!$C$58),"")</f>
        <v>王照雪</v>
      </c>
      <c r="D58" s="16" t="str">
        <f>IFERROR(IF([1]对账明细接口!$D$58=0,"",[1]对账明细接口!$D$58),"")</f>
        <v>原料入库</v>
      </c>
      <c r="E58" s="16" t="str">
        <f>IFERROR(IF([1]对账明细接口!$E$58=0,"",[1]对账明细接口!$E$58),"")</f>
        <v>NO0000739</v>
      </c>
      <c r="F58" s="16" t="str">
        <f>IFERROR(IF([1]对账明细接口!$F$58=0,"",[1]对账明细接口!$F$58),"")</f>
        <v>苹果</v>
      </c>
      <c r="G58" s="16" t="str">
        <f>IFERROR(IF([1]对账明细接口!$G$58=0,"",[1]对账明细接口!$G$58),"")</f>
        <v>华硕一级</v>
      </c>
      <c r="H58" s="176">
        <f>IFERROR(IF([1]对账明细接口!$H$58=0,"",[1]对账明细接口!$H$58),"")</f>
        <v>103</v>
      </c>
      <c r="I58" s="16" t="str">
        <f>IFERROR(IF([1]对账明细接口!$I$58=0,"",[1]对账明细接口!$I$58),"")</f>
        <v>筐</v>
      </c>
      <c r="J58" s="177">
        <f>IFERROR(IF([1]对账明细接口!$J$58=0,"",[1]对账明细接口!$J$58),"")</f>
        <v>1781.9</v>
      </c>
      <c r="K58" s="177">
        <f>IFERROR(IF([1]对账明细接口!$K$58=0,"",[1]对账明细接口!$K$58),"")</f>
      </c>
      <c r="L58" s="16">
        <f>IFERROR(IF([1]对账明细接口!$L$58=0,"",[1]对账明细接口!$L$58),"")</f>
      </c>
      <c r="M58" s="16">
        <f>IFERROR(IF([1]对账明细接口!$M$58=0,"",[1]对账明细接口!$M$58),"")</f>
      </c>
      <c r="N58" s="19">
        <f>IF($C58="",0,1)</f>
        <v>1</v>
      </c>
      <c r="O58" s="19">
        <f>N(O57)+$N58</f>
        <v>55</v>
      </c>
      <c r="S58" s="20" t="str">
        <f>IFERROR(IF([1]对账明细接口!$N58=0,"",[1]对账明细接口!$N58),"")</f>
        <v>公司杂周转筐</v>
      </c>
      <c r="T58" s="212">
        <f>IFERROR(IF([1]对账明细接口!$O58=0,"",[1]对账明细接口!$O58),"")</f>
      </c>
      <c r="U58" s="212">
        <f>IFERROR(IF([1]对账明细接口!$P58=0,"",[1]对账明细接口!$P58),"")</f>
      </c>
      <c r="V58" s="212">
        <f>IFERROR(IF([1]对账明细接口!$Q58=0,"",[1]对账明细接口!$Q58),"")</f>
        <v>103</v>
      </c>
      <c r="W58" s="20" t="str">
        <f>IFERROR(IF([1]对账明细接口!$R58=0,"",[1]对账明细接口!$R58),"")</f>
        <v>豫L*88X19</v>
      </c>
      <c r="X58" s="20" t="str">
        <f>IFERROR(IF([1]对账明细接口!$S58=0,"",[1]对账明细接口!$S58),"")</f>
        <v>公司筐</v>
      </c>
      <c r="Y58" s="20">
        <f>IFERROR(IF([1]对账明细接口!$T58=0,"",[1]对账明细接口!$T58),"")</f>
      </c>
      <c r="Z58" s="213">
        <f>IFERROR(IF([1]对账明细接口!$U58=0,"",[1]对账明细接口!$U58),"")</f>
      </c>
      <c r="AA58" s="213">
        <f>IFERROR(IF([1]对账明细接口!$V58=0,"",[1]对账明细接口!$V58),"")</f>
      </c>
      <c r="AB58" s="20">
        <f>IFERROR(IF([1]对账明细接口!$W58=0,"",[1]对账明细接口!$W58),"")</f>
      </c>
      <c r="AC58" s="7">
        <f>IFERROR(IF([1]对账明细接口!$X58=0,"",[1]对账明细接口!$X58),"")</f>
      </c>
      <c r="AD58" s="7">
        <f>IFERROR(IF([1]对账明细接口!$Y58=0,"",[1]对账明细接口!$Y58),"")</f>
      </c>
      <c r="AE58" s="7">
        <f>IFERROR(IF([1]对账明细接口!$AA58=0,"",[1]对账明细接口!$AA58),"")</f>
      </c>
      <c r="AF58" s="7">
        <f>IFERROR(IF([1]对账明细接口!$AB58=0,"",[1]对账明细接口!$AB58),"")</f>
      </c>
      <c r="AG58" s="7">
        <f>IFERROR(IF([1]对账明细接口!$AC58=0,"",[1]对账明细接口!$AC58),"")</f>
      </c>
      <c r="AH58" s="7">
        <f>IFERROR(IF([1]对账明细接口!$AD58=0,"",[1]对账明细接口!$AD58),"")</f>
      </c>
      <c r="AI58" s="7">
        <f>IFERROR(IF([1]对账明细接口!$AE58=0,"",[1]对账明细接口!$AE58),"")</f>
      </c>
      <c r="AJ58" s="7">
        <f>IFERROR(IF([1]对账明细接口!$AF58=0,"",[1]对账明细接口!$AF58),"")</f>
      </c>
    </row>
    <row r="59" ht="14.25" customHeight="1" s="127">
      <c r="A59" s="14" t="n">
        <v>59</v>
      </c>
      <c r="B59" s="211">
        <f>IFERROR(IF([1]对账明细接口!$B$59=0,"",[1]对账明细接口!$B$59),"")</f>
        <v>46262.0</v>
      </c>
      <c r="C59" s="16" t="str">
        <f>IFERROR(IF([1]对账明细接口!$C$59=0,"",[1]对账明细接口!$C$59),"")</f>
        <v>王照雪</v>
      </c>
      <c r="D59" s="16" t="str">
        <f>IFERROR(IF([1]对账明细接口!$D$59=0,"",[1]对账明细接口!$D$59),"")</f>
        <v>原料入库</v>
      </c>
      <c r="E59" s="16" t="str">
        <f>IFERROR(IF([1]对账明细接口!$E$59=0,"",[1]对账明细接口!$E$59),"")</f>
        <v>NO0000739</v>
      </c>
      <c r="F59" s="16" t="str">
        <f>IFERROR(IF([1]对账明细接口!$F$59=0,"",[1]对账明细接口!$F$59),"")</f>
        <v>苹果</v>
      </c>
      <c r="G59" s="16" t="str">
        <f>IFERROR(IF([1]对账明细接口!$G$59=0,"",[1]对账明细接口!$G$59),"")</f>
        <v>华硕二级</v>
      </c>
      <c r="H59" s="176">
        <f>IFERROR(IF([1]对账明细接口!$H$59=0,"",[1]对账明细接口!$H$59),"")</f>
        <v>81</v>
      </c>
      <c r="I59" s="16" t="str">
        <f>IFERROR(IF([1]对账明细接口!$I$59=0,"",[1]对账明细接口!$I$59),"")</f>
        <v>筐</v>
      </c>
      <c r="J59" s="177">
        <f>IFERROR(IF([1]对账明细接口!$J$59=0,"",[1]对账明细接口!$J$59),"")</f>
        <v>1320.3</v>
      </c>
      <c r="K59" s="177">
        <f>IFERROR(IF([1]对账明细接口!$K$59=0,"",[1]对账明细接口!$K$59),"")</f>
      </c>
      <c r="L59" s="16">
        <f>IFERROR(IF([1]对账明细接口!$L$59=0,"",[1]对账明细接口!$L$59),"")</f>
      </c>
      <c r="M59" s="16">
        <f>IFERROR(IF([1]对账明细接口!$M$59=0,"",[1]对账明细接口!$M$59),"")</f>
      </c>
      <c r="N59" s="19">
        <f>IF($C59="",0,1)</f>
        <v>1</v>
      </c>
      <c r="O59" s="19">
        <f>N(O58)+$N59</f>
        <v>56</v>
      </c>
      <c r="S59" s="20" t="str">
        <f>IFERROR(IF([1]对账明细接口!$N59=0,"",[1]对账明细接口!$N59),"")</f>
        <v>公司杂周转筐</v>
      </c>
      <c r="T59" s="212">
        <f>IFERROR(IF([1]对账明细接口!$O59=0,"",[1]对账明细接口!$O59),"")</f>
      </c>
      <c r="U59" s="212">
        <f>IFERROR(IF([1]对账明细接口!$P59=0,"",[1]对账明细接口!$P59),"")</f>
      </c>
      <c r="V59" s="212">
        <f>IFERROR(IF([1]对账明细接口!$Q59=0,"",[1]对账明细接口!$Q59),"")</f>
        <v>81</v>
      </c>
      <c r="W59" s="20" t="str">
        <f>IFERROR(IF([1]对账明细接口!$R59=0,"",[1]对账明细接口!$R59),"")</f>
        <v>豫L*88X19</v>
      </c>
      <c r="X59" s="20" t="str">
        <f>IFERROR(IF([1]对账明细接口!$S59=0,"",[1]对账明细接口!$S59),"")</f>
        <v>公司筐</v>
      </c>
      <c r="Y59" s="20">
        <f>IFERROR(IF([1]对账明细接口!$T59=0,"",[1]对账明细接口!$T59),"")</f>
      </c>
      <c r="Z59" s="213">
        <f>IFERROR(IF([1]对账明细接口!$U59=0,"",[1]对账明细接口!$U59),"")</f>
      </c>
      <c r="AA59" s="213">
        <f>IFERROR(IF([1]对账明细接口!$V59=0,"",[1]对账明细接口!$V59),"")</f>
      </c>
      <c r="AB59" s="20">
        <f>IFERROR(IF([1]对账明细接口!$W59=0,"",[1]对账明细接口!$W59),"")</f>
      </c>
      <c r="AC59" s="7">
        <f>IFERROR(IF([1]对账明细接口!$X59=0,"",[1]对账明细接口!$X59),"")</f>
      </c>
      <c r="AD59" s="7">
        <f>IFERROR(IF([1]对账明细接口!$Y59=0,"",[1]对账明细接口!$Y59),"")</f>
      </c>
      <c r="AE59" s="7">
        <f>IFERROR(IF([1]对账明细接口!$AA59=0,"",[1]对账明细接口!$AA59),"")</f>
      </c>
      <c r="AF59" s="7">
        <f>IFERROR(IF([1]对账明细接口!$AB59=0,"",[1]对账明细接口!$AB59),"")</f>
      </c>
      <c r="AG59" s="7">
        <f>IFERROR(IF([1]对账明细接口!$AC59=0,"",[1]对账明细接口!$AC59),"")</f>
      </c>
      <c r="AH59" s="7">
        <f>IFERROR(IF([1]对账明细接口!$AD59=0,"",[1]对账明细接口!$AD59),"")</f>
      </c>
      <c r="AI59" s="7">
        <f>IFERROR(IF([1]对账明细接口!$AE59=0,"",[1]对账明细接口!$AE59),"")</f>
      </c>
      <c r="AJ59" s="7">
        <f>IFERROR(IF([1]对账明细接口!$AF59=0,"",[1]对账明细接口!$AF59),"")</f>
      </c>
    </row>
    <row r="60" ht="14.25" customHeight="1" s="127">
      <c r="A60" s="14" t="n">
        <v>60</v>
      </c>
      <c r="B60" s="211">
        <f>IFERROR(IF([1]对账明细接口!$B$60=0,"",[1]对账明细接口!$B$60),"")</f>
        <v>46262.0</v>
      </c>
      <c r="C60" s="16" t="str">
        <f>IFERROR(IF([1]对账明细接口!$C$60=0,"",[1]对账明细接口!$C$60),"")</f>
        <v>王照雪</v>
      </c>
      <c r="D60" s="16" t="str">
        <f>IFERROR(IF([1]对账明细接口!$D$60=0,"",[1]对账明细接口!$D$60),"")</f>
        <v>原料入库</v>
      </c>
      <c r="E60" s="16" t="str">
        <f>IFERROR(IF([1]对账明细接口!$E$60=0,"",[1]对账明细接口!$E$60),"")</f>
        <v>NO0000739</v>
      </c>
      <c r="F60" s="16" t="str">
        <f>IFERROR(IF([1]对账明细接口!$F$60=0,"",[1]对账明细接口!$F$60),"")</f>
        <v>苹果</v>
      </c>
      <c r="G60" s="16" t="str">
        <f>IFERROR(IF([1]对账明细接口!$G$60=0,"",[1]对账明细接口!$G$60),"")</f>
        <v>华硕高次</v>
      </c>
      <c r="H60" s="176">
        <f>IFERROR(IF([1]对账明细接口!$H$60=0,"",[1]对账明细接口!$H$60),"")</f>
        <v>20</v>
      </c>
      <c r="I60" s="16" t="str">
        <f>IFERROR(IF([1]对账明细接口!$I$60=0,"",[1]对账明细接口!$I$60),"")</f>
        <v>筐</v>
      </c>
      <c r="J60" s="177">
        <f>IFERROR(IF([1]对账明细接口!$J$60=0,"",[1]对账明细接口!$J$60),"")</f>
        <v>346</v>
      </c>
      <c r="K60" s="177">
        <f>IFERROR(IF([1]对账明细接口!$K$60=0,"",[1]对账明细接口!$K$60),"")</f>
      </c>
      <c r="L60" s="16">
        <f>IFERROR(IF([1]对账明细接口!$L$60=0,"",[1]对账明细接口!$L$60),"")</f>
      </c>
      <c r="M60" s="16">
        <f>IFERROR(IF([1]对账明细接口!$M$60=0,"",[1]对账明细接口!$M$60),"")</f>
      </c>
      <c r="N60" s="19">
        <f>IF($C60="",0,1)</f>
        <v>1</v>
      </c>
      <c r="O60" s="19">
        <f>N(O59)+$N60</f>
        <v>57</v>
      </c>
      <c r="S60" s="20" t="str">
        <f>IFERROR(IF([1]对账明细接口!$N60=0,"",[1]对账明细接口!$N60),"")</f>
        <v>公司杂周转筐</v>
      </c>
      <c r="T60" s="212">
        <f>IFERROR(IF([1]对账明细接口!$O60=0,"",[1]对账明细接口!$O60),"")</f>
      </c>
      <c r="U60" s="212">
        <f>IFERROR(IF([1]对账明细接口!$P60=0,"",[1]对账明细接口!$P60),"")</f>
      </c>
      <c r="V60" s="212">
        <f>IFERROR(IF([1]对账明细接口!$Q60=0,"",[1]对账明细接口!$Q60),"")</f>
        <v>20</v>
      </c>
      <c r="W60" s="20" t="str">
        <f>IFERROR(IF([1]对账明细接口!$R60=0,"",[1]对账明细接口!$R60),"")</f>
        <v>豫L*88X19</v>
      </c>
      <c r="X60" s="20" t="str">
        <f>IFERROR(IF([1]对账明细接口!$S60=0,"",[1]对账明细接口!$S60),"")</f>
        <v>公司筐</v>
      </c>
      <c r="Y60" s="20">
        <f>IFERROR(IF([1]对账明细接口!$T60=0,"",[1]对账明细接口!$T60),"")</f>
      </c>
      <c r="Z60" s="213">
        <f>IFERROR(IF([1]对账明细接口!$U60=0,"",[1]对账明细接口!$U60),"")</f>
      </c>
      <c r="AA60" s="213">
        <f>IFERROR(IF([1]对账明细接口!$V60=0,"",[1]对账明细接口!$V60),"")</f>
      </c>
      <c r="AB60" s="20">
        <f>IFERROR(IF([1]对账明细接口!$W60=0,"",[1]对账明细接口!$W60),"")</f>
      </c>
      <c r="AC60" s="7">
        <f>IFERROR(IF([1]对账明细接口!$X60=0,"",[1]对账明细接口!$X60),"")</f>
      </c>
      <c r="AD60" s="7">
        <f>IFERROR(IF([1]对账明细接口!$Y60=0,"",[1]对账明细接口!$Y60),"")</f>
      </c>
      <c r="AE60" s="7">
        <f>IFERROR(IF([1]对账明细接口!$AA60=0,"",[1]对账明细接口!$AA60),"")</f>
      </c>
      <c r="AF60" s="7">
        <f>IFERROR(IF([1]对账明细接口!$AB60=0,"",[1]对账明细接口!$AB60),"")</f>
      </c>
      <c r="AG60" s="7">
        <f>IFERROR(IF([1]对账明细接口!$AC60=0,"",[1]对账明细接口!$AC60),"")</f>
      </c>
      <c r="AH60" s="7">
        <f>IFERROR(IF([1]对账明细接口!$AD60=0,"",[1]对账明细接口!$AD60),"")</f>
      </c>
      <c r="AI60" s="7">
        <f>IFERROR(IF([1]对账明细接口!$AE60=0,"",[1]对账明细接口!$AE60),"")</f>
      </c>
      <c r="AJ60" s="7">
        <f>IFERROR(IF([1]对账明细接口!$AF60=0,"",[1]对账明细接口!$AF60),"")</f>
      </c>
    </row>
    <row r="61" ht="14.25" customHeight="1" s="127">
      <c r="A61" s="14" t="n">
        <v>61</v>
      </c>
      <c r="B61" s="211">
        <f>IFERROR(IF([1]对账明细接口!$B$61=0,"",[1]对账明细接口!$B$61),"")</f>
        <v>46263.0</v>
      </c>
      <c r="C61" s="16" t="str">
        <f>IFERROR(IF([1]对账明细接口!$C$61=0,"",[1]对账明细接口!$C$61),"")</f>
        <v>聂新平</v>
      </c>
      <c r="D61" s="16" t="str">
        <f>IFERROR(IF([1]对账明细接口!$D$61=0,"",[1]对账明细接口!$D$61),"")</f>
        <v>原料入库</v>
      </c>
      <c r="E61" s="16" t="str">
        <f>IFERROR(IF([1]对账明细接口!$E$61=0,"",[1]对账明细接口!$E$61),"")</f>
        <v>NO0000740</v>
      </c>
      <c r="F61" s="16" t="str">
        <f>IFERROR(IF([1]对账明细接口!$F$61=0,"",[1]对账明细接口!$F$61),"")</f>
        <v>苹果</v>
      </c>
      <c r="G61" s="16" t="str">
        <f>IFERROR(IF([1]对账明细接口!$G$61=0,"",[1]对账明细接口!$G$61),"")</f>
        <v>嘎啦85#</v>
      </c>
      <c r="H61" s="176">
        <f>IFERROR(IF([1]对账明细接口!$H$61=0,"",[1]对账明细接口!$H$61),"")</f>
        <v>22</v>
      </c>
      <c r="I61" s="16" t="str">
        <f>IFERROR(IF([1]对账明细接口!$I$61=0,"",[1]对账明细接口!$I$61),"")</f>
        <v>筐</v>
      </c>
      <c r="J61" s="177">
        <f>IFERROR(IF([1]对账明细接口!$J$61=0,"",[1]对账明细接口!$J$61),"")</f>
        <v>479.6</v>
      </c>
      <c r="K61" s="177">
        <f>IFERROR(IF([1]对账明细接口!$K$61=0,"",[1]对账明细接口!$K$61),"")</f>
      </c>
      <c r="L61" s="16">
        <f>IFERROR(IF([1]对账明细接口!$L$61=0,"",[1]对账明细接口!$L$61),"")</f>
      </c>
      <c r="M61" s="16">
        <f>IFERROR(IF([1]对账明细接口!$M$61=0,"",[1]对账明细接口!$M$61),"")</f>
      </c>
      <c r="N61" s="19">
        <f>IF($C61="",0,1)</f>
        <v>1</v>
      </c>
      <c r="O61" s="19">
        <f>N(O60)+$N61</f>
        <v>58</v>
      </c>
      <c r="S61" s="20" t="str">
        <f>IFERROR(IF([1]对账明细接口!$N61=0,"",[1]对账明细接口!$N61),"")</f>
        <v>自备一次性筐</v>
      </c>
      <c r="T61" s="212">
        <f>IFERROR(IF([1]对账明细接口!$O61=0,"",[1]对账明细接口!$O61),"")</f>
      </c>
      <c r="U61" s="212">
        <f>IFERROR(IF([1]对账明细接口!$P61=0,"",[1]对账明细接口!$P61),"")</f>
      </c>
      <c r="V61" s="212">
        <f>IFERROR(IF([1]对账明细接口!$Q61=0,"",[1]对账明细接口!$Q61),"")</f>
        <v>22</v>
      </c>
      <c r="W61" s="20" t="str">
        <f>IFERROR(IF([1]对账明细接口!$R61=0,"",[1]对账明细接口!$R61),"")</f>
        <v>新N*E3V16</v>
      </c>
      <c r="X61" s="20" t="str">
        <f>IFERROR(IF([1]对账明细接口!$S61=0,"",[1]对账明细接口!$S61),"")</f>
        <v>自备筐</v>
      </c>
      <c r="Y61" s="20">
        <f>IFERROR(IF([1]对账明细接口!$T61=0,"",[1]对账明细接口!$T61),"")</f>
      </c>
      <c r="Z61" s="213">
        <f>IFERROR(IF([1]对账明细接口!$U61=0,"",[1]对账明细接口!$U61),"")</f>
      </c>
      <c r="AA61" s="213">
        <f>IFERROR(IF([1]对账明细接口!$V61=0,"",[1]对账明细接口!$V61),"")</f>
      </c>
      <c r="AB61" s="20">
        <f>IFERROR(IF([1]对账明细接口!$W61=0,"",[1]对账明细接口!$W61),"")</f>
      </c>
      <c r="AC61" s="7">
        <f>IFERROR(IF([1]对账明细接口!$X61=0,"",[1]对账明细接口!$X61),"")</f>
      </c>
      <c r="AD61" s="7">
        <f>IFERROR(IF([1]对账明细接口!$Y61=0,"",[1]对账明细接口!$Y61),"")</f>
      </c>
      <c r="AE61" s="7">
        <f>IFERROR(IF([1]对账明细接口!$AA61=0,"",[1]对账明细接口!$AA61),"")</f>
      </c>
      <c r="AF61" s="7">
        <f>IFERROR(IF([1]对账明细接口!$AB61=0,"",[1]对账明细接口!$AB61),"")</f>
      </c>
      <c r="AG61" s="7">
        <f>IFERROR(IF([1]对账明细接口!$AC61=0,"",[1]对账明细接口!$AC61),"")</f>
      </c>
      <c r="AH61" s="7">
        <f>IFERROR(IF([1]对账明细接口!$AD61=0,"",[1]对账明细接口!$AD61),"")</f>
      </c>
      <c r="AI61" s="7">
        <f>IFERROR(IF([1]对账明细接口!$AE61=0,"",[1]对账明细接口!$AE61),"")</f>
      </c>
      <c r="AJ61" s="7">
        <f>IFERROR(IF([1]对账明细接口!$AF61=0,"",[1]对账明细接口!$AF61),"")</f>
      </c>
    </row>
    <row r="62" ht="14.25" customHeight="1" s="127">
      <c r="A62" s="14" t="n">
        <v>62</v>
      </c>
      <c r="B62" s="211">
        <f>IFERROR(IF([1]对账明细接口!$B$62=0,"",[1]对账明细接口!$B$62),"")</f>
        <v>46263.0</v>
      </c>
      <c r="C62" s="16" t="str">
        <f>IFERROR(IF([1]对账明细接口!$C$62=0,"",[1]对账明细接口!$C$62),"")</f>
        <v>聂新平</v>
      </c>
      <c r="D62" s="16" t="str">
        <f>IFERROR(IF([1]对账明细接口!$D$62=0,"",[1]对账明细接口!$D$62),"")</f>
        <v>原料入库</v>
      </c>
      <c r="E62" s="16" t="str">
        <f>IFERROR(IF([1]对账明细接口!$E$62=0,"",[1]对账明细接口!$E$62),"")</f>
        <v>NO0000740</v>
      </c>
      <c r="F62" s="16" t="str">
        <f>IFERROR(IF([1]对账明细接口!$F$62=0,"",[1]对账明细接口!$F$62),"")</f>
        <v>苹果</v>
      </c>
      <c r="G62" s="16" t="str">
        <f>IFERROR(IF([1]对账明细接口!$G$62=0,"",[1]对账明细接口!$G$62),"")</f>
        <v>嘎啦100#</v>
      </c>
      <c r="H62" s="176">
        <f>IFERROR(IF([1]对账明细接口!$H$62=0,"",[1]对账明细接口!$H$62),"")</f>
        <v>48</v>
      </c>
      <c r="I62" s="16" t="str">
        <f>IFERROR(IF([1]对账明细接口!$I$62=0,"",[1]对账明细接口!$I$62),"")</f>
        <v>筐</v>
      </c>
      <c r="J62" s="177">
        <f>IFERROR(IF([1]对账明细接口!$J$62=0,"",[1]对账明细接口!$J$62),"")</f>
        <v>1046.4</v>
      </c>
      <c r="K62" s="177">
        <f>IFERROR(IF([1]对账明细接口!$K$62=0,"",[1]对账明细接口!$K$62),"")</f>
      </c>
      <c r="L62" s="16">
        <f>IFERROR(IF([1]对账明细接口!$L$62=0,"",[1]对账明细接口!$L$62),"")</f>
      </c>
      <c r="M62" s="16">
        <f>IFERROR(IF([1]对账明细接口!$M$62=0,"",[1]对账明细接口!$M$62),"")</f>
      </c>
      <c r="N62" s="19">
        <f>IF($C62="",0,1)</f>
        <v>1</v>
      </c>
      <c r="O62" s="19">
        <f>N(O61)+$N62</f>
        <v>59</v>
      </c>
      <c r="S62" s="20" t="str">
        <f>IFERROR(IF([1]对账明细接口!$N62=0,"",[1]对账明细接口!$N62),"")</f>
        <v>自备一次性筐</v>
      </c>
      <c r="T62" s="212">
        <f>IFERROR(IF([1]对账明细接口!$O62=0,"",[1]对账明细接口!$O62),"")</f>
      </c>
      <c r="U62" s="212">
        <f>IFERROR(IF([1]对账明细接口!$P62=0,"",[1]对账明细接口!$P62),"")</f>
      </c>
      <c r="V62" s="212">
        <f>IFERROR(IF([1]对账明细接口!$Q62=0,"",[1]对账明细接口!$Q62),"")</f>
        <v>48</v>
      </c>
      <c r="W62" s="20" t="str">
        <f>IFERROR(IF([1]对账明细接口!$R62=0,"",[1]对账明细接口!$R62),"")</f>
        <v>新N*E3V16</v>
      </c>
      <c r="X62" s="20" t="str">
        <f>IFERROR(IF([1]对账明细接口!$S62=0,"",[1]对账明细接口!$S62),"")</f>
        <v>自备筐</v>
      </c>
      <c r="Y62" s="20">
        <f>IFERROR(IF([1]对账明细接口!$T62=0,"",[1]对账明细接口!$T62),"")</f>
      </c>
      <c r="Z62" s="213">
        <f>IFERROR(IF([1]对账明细接口!$U62=0,"",[1]对账明细接口!$U62),"")</f>
      </c>
      <c r="AA62" s="213">
        <f>IFERROR(IF([1]对账明细接口!$V62=0,"",[1]对账明细接口!$V62),"")</f>
      </c>
      <c r="AB62" s="20">
        <f>IFERROR(IF([1]对账明细接口!$W62=0,"",[1]对账明细接口!$W62),"")</f>
      </c>
      <c r="AC62" s="7">
        <f>IFERROR(IF([1]对账明细接口!$X62=0,"",[1]对账明细接口!$X62),"")</f>
      </c>
      <c r="AD62" s="7">
        <f>IFERROR(IF([1]对账明细接口!$Y62=0,"",[1]对账明细接口!$Y62),"")</f>
      </c>
      <c r="AE62" s="7">
        <f>IFERROR(IF([1]对账明细接口!$AA62=0,"",[1]对账明细接口!$AA62),"")</f>
      </c>
      <c r="AF62" s="7">
        <f>IFERROR(IF([1]对账明细接口!$AB62=0,"",[1]对账明细接口!$AB62),"")</f>
      </c>
      <c r="AG62" s="7">
        <f>IFERROR(IF([1]对账明细接口!$AC62=0,"",[1]对账明细接口!$AC62),"")</f>
      </c>
      <c r="AH62" s="7">
        <f>IFERROR(IF([1]对账明细接口!$AD62=0,"",[1]对账明细接口!$AD62),"")</f>
      </c>
      <c r="AI62" s="7">
        <f>IFERROR(IF([1]对账明细接口!$AE62=0,"",[1]对账明细接口!$AE62),"")</f>
      </c>
      <c r="AJ62" s="7">
        <f>IFERROR(IF([1]对账明细接口!$AF62=0,"",[1]对账明细接口!$AF62),"")</f>
      </c>
    </row>
    <row r="63" ht="14.25" customHeight="1" s="127">
      <c r="A63" s="14" t="n">
        <v>63</v>
      </c>
      <c r="B63" s="211">
        <f>IFERROR(IF([1]对账明细接口!$B$63=0,"",[1]对账明细接口!$B$63),"")</f>
        <v>46266.0</v>
      </c>
      <c r="C63" s="16" t="str">
        <f>IFERROR(IF([1]对账明细接口!$C$63=0,"",[1]对账明细接口!$C$63),"")</f>
        <v>聂新平</v>
      </c>
      <c r="D63" s="16" t="str">
        <f>IFERROR(IF([1]对账明细接口!$D$63=0,"",[1]对账明细接口!$D$63),"")</f>
        <v>原料入库</v>
      </c>
      <c r="E63" s="16" t="str">
        <f>IFERROR(IF([1]对账明细接口!$E$63=0,"",[1]对账明细接口!$E$63),"")</f>
        <v>NO0000741</v>
      </c>
      <c r="F63" s="16" t="str">
        <f>IFERROR(IF([1]对账明细接口!$F$63=0,"",[1]对账明细接口!$F$63),"")</f>
        <v>苹果</v>
      </c>
      <c r="G63" s="16" t="str">
        <f>IFERROR(IF([1]对账明细接口!$G$63=0,"",[1]对账明细接口!$G$63),"")</f>
        <v>嘎啦85#</v>
      </c>
      <c r="H63" s="176">
        <f>IFERROR(IF([1]对账明细接口!$H$63=0,"",[1]对账明细接口!$H$63),"")</f>
        <v>14</v>
      </c>
      <c r="I63" s="16" t="str">
        <f>IFERROR(IF([1]对账明细接口!$I$63=0,"",[1]对账明细接口!$I$63),"")</f>
        <v>筐</v>
      </c>
      <c r="J63" s="177">
        <f>IFERROR(IF([1]对账明细接口!$J$63=0,"",[1]对账明细接口!$J$63),"")</f>
        <v>305.2</v>
      </c>
      <c r="K63" s="177">
        <f>IFERROR(IF([1]对账明细接口!$K$63=0,"",[1]对账明细接口!$K$63),"")</f>
      </c>
      <c r="L63" s="16">
        <f>IFERROR(IF([1]对账明细接口!$L$63=0,"",[1]对账明细接口!$L$63),"")</f>
      </c>
      <c r="M63" s="16">
        <f>IFERROR(IF([1]对账明细接口!$M$63=0,"",[1]对账明细接口!$M$63),"")</f>
      </c>
      <c r="N63" s="19">
        <f>IF($C63="",0,1)</f>
        <v>1</v>
      </c>
      <c r="O63" s="19">
        <f>N(O62)+$N63</f>
        <v>60</v>
      </c>
      <c r="S63" s="20" t="str">
        <f>IFERROR(IF([1]对账明细接口!$N63=0,"",[1]对账明细接口!$N63),"")</f>
        <v>自备一次性筐</v>
      </c>
      <c r="T63" s="212">
        <f>IFERROR(IF([1]对账明细接口!$O63=0,"",[1]对账明细接口!$O63),"")</f>
      </c>
      <c r="U63" s="212">
        <f>IFERROR(IF([1]对账明细接口!$P63=0,"",[1]对账明细接口!$P63),"")</f>
      </c>
      <c r="V63" s="212">
        <f>IFERROR(IF([1]对账明细接口!$Q63=0,"",[1]对账明细接口!$Q63),"")</f>
        <v>14</v>
      </c>
      <c r="W63" s="20" t="str">
        <f>IFERROR(IF([1]对账明细接口!$R63=0,"",[1]对账明细接口!$R63),"")</f>
        <v>苏M*7G796</v>
      </c>
      <c r="X63" s="20" t="str">
        <f>IFERROR(IF([1]对账明细接口!$S63=0,"",[1]对账明细接口!$S63),"")</f>
        <v>自备筐</v>
      </c>
      <c r="Y63" s="20">
        <f>IFERROR(IF([1]对账明细接口!$T63=0,"",[1]对账明细接口!$T63),"")</f>
      </c>
      <c r="Z63" s="213">
        <f>IFERROR(IF([1]对账明细接口!$U63=0,"",[1]对账明细接口!$U63),"")</f>
      </c>
      <c r="AA63" s="213">
        <f>IFERROR(IF([1]对账明细接口!$V63=0,"",[1]对账明细接口!$V63),"")</f>
      </c>
      <c r="AB63" s="20">
        <f>IFERROR(IF([1]对账明细接口!$W63=0,"",[1]对账明细接口!$W63),"")</f>
      </c>
      <c r="AC63" s="7">
        <f>IFERROR(IF([1]对账明细接口!$X63=0,"",[1]对账明细接口!$X63),"")</f>
      </c>
      <c r="AD63" s="7">
        <f>IFERROR(IF([1]对账明细接口!$Y63=0,"",[1]对账明细接口!$Y63),"")</f>
      </c>
      <c r="AE63" s="7">
        <f>IFERROR(IF([1]对账明细接口!$AA63=0,"",[1]对账明细接口!$AA63),"")</f>
      </c>
      <c r="AF63" s="7">
        <f>IFERROR(IF([1]对账明细接口!$AB63=0,"",[1]对账明细接口!$AB63),"")</f>
      </c>
      <c r="AG63" s="7">
        <f>IFERROR(IF([1]对账明细接口!$AC63=0,"",[1]对账明细接口!$AC63),"")</f>
      </c>
      <c r="AH63" s="7">
        <f>IFERROR(IF([1]对账明细接口!$AD63=0,"",[1]对账明细接口!$AD63),"")</f>
      </c>
      <c r="AI63" s="7">
        <f>IFERROR(IF([1]对账明细接口!$AE63=0,"",[1]对账明细接口!$AE63),"")</f>
      </c>
      <c r="AJ63" s="7">
        <f>IFERROR(IF([1]对账明细接口!$AF63=0,"",[1]对账明细接口!$AF63),"")</f>
      </c>
    </row>
    <row r="64" ht="14.25" customHeight="1" s="127">
      <c r="A64" s="14" t="n">
        <v>64</v>
      </c>
      <c r="B64" s="211">
        <f>IFERROR(IF([1]对账明细接口!$B$64=0,"",[1]对账明细接口!$B$64),"")</f>
        <v>46266.0</v>
      </c>
      <c r="C64" s="16" t="str">
        <f>IFERROR(IF([1]对账明细接口!$C$64=0,"",[1]对账明细接口!$C$64),"")</f>
        <v>王照雪</v>
      </c>
      <c r="D64" s="16" t="str">
        <f>IFERROR(IF([1]对账明细接口!$D$64=0,"",[1]对账明细接口!$D$64),"")</f>
        <v>原料入库</v>
      </c>
      <c r="E64" s="16" t="str">
        <f>IFERROR(IF([1]对账明细接口!$E$64=0,"",[1]对账明细接口!$E$64),"")</f>
        <v>NO0000742</v>
      </c>
      <c r="F64" s="16" t="str">
        <f>IFERROR(IF([1]对账明细接口!$F$64=0,"",[1]对账明细接口!$F$64),"")</f>
        <v>苹果</v>
      </c>
      <c r="G64" s="16" t="str">
        <f>IFERROR(IF([1]对账明细接口!$G$64=0,"",[1]对账明细接口!$G$64),"")</f>
        <v>华硕一级</v>
      </c>
      <c r="H64" s="176">
        <f>IFERROR(IF([1]对账明细接口!$H$64=0,"",[1]对账明细接口!$H$64),"")</f>
        <v>13</v>
      </c>
      <c r="I64" s="16" t="str">
        <f>IFERROR(IF([1]对账明细接口!$I$64=0,"",[1]对账明细接口!$I$64),"")</f>
        <v>筐</v>
      </c>
      <c r="J64" s="177">
        <f>IFERROR(IF([1]对账明细接口!$J$64=0,"",[1]对账明细接口!$J$64),"")</f>
        <v>224.9</v>
      </c>
      <c r="K64" s="177">
        <f>IFERROR(IF([1]对账明细接口!$K$64=0,"",[1]对账明细接口!$K$64),"")</f>
      </c>
      <c r="L64" s="16">
        <f>IFERROR(IF([1]对账明细接口!$L$64=0,"",[1]对账明细接口!$L$64),"")</f>
      </c>
      <c r="M64" s="16">
        <f>IFERROR(IF([1]对账明细接口!$M$64=0,"",[1]对账明细接口!$M$64),"")</f>
      </c>
      <c r="N64" s="19">
        <f>IF($C64="",0,1)</f>
        <v>1</v>
      </c>
      <c r="O64" s="19">
        <f>N(O63)+$N64</f>
        <v>61</v>
      </c>
      <c r="S64" s="20" t="str">
        <f>IFERROR(IF([1]对账明细接口!$N64=0,"",[1]对账明细接口!$N64),"")</f>
        <v>公司杂周转筐</v>
      </c>
      <c r="T64" s="212">
        <f>IFERROR(IF([1]对账明细接口!$O64=0,"",[1]对账明细接口!$O64),"")</f>
      </c>
      <c r="U64" s="212">
        <f>IFERROR(IF([1]对账明细接口!$P64=0,"",[1]对账明细接口!$P64),"")</f>
      </c>
      <c r="V64" s="212">
        <f>IFERROR(IF([1]对账明细接口!$Q64=0,"",[1]对账明细接口!$Q64),"")</f>
        <v>13</v>
      </c>
      <c r="W64" s="20" t="str">
        <f>IFERROR(IF([1]对账明细接口!$R64=0,"",[1]对账明细接口!$R64),"")</f>
        <v>新N*D1W48</v>
      </c>
      <c r="X64" s="20" t="str">
        <f>IFERROR(IF([1]对账明细接口!$S64=0,"",[1]对账明细接口!$S64),"")</f>
        <v>公司筐</v>
      </c>
      <c r="Y64" s="20">
        <f>IFERROR(IF([1]对账明细接口!$T64=0,"",[1]对账明细接口!$T64),"")</f>
      </c>
      <c r="Z64" s="213">
        <f>IFERROR(IF([1]对账明细接口!$U64=0,"",[1]对账明细接口!$U64),"")</f>
      </c>
      <c r="AA64" s="213">
        <f>IFERROR(IF([1]对账明细接口!$V64=0,"",[1]对账明细接口!$V64),"")</f>
      </c>
      <c r="AB64" s="20">
        <f>IFERROR(IF([1]对账明细接口!$W64=0,"",[1]对账明细接口!$W64),"")</f>
      </c>
      <c r="AC64" s="7">
        <f>IFERROR(IF([1]对账明细接口!$X64=0,"",[1]对账明细接口!$X64),"")</f>
      </c>
      <c r="AD64" s="7">
        <f>IFERROR(IF([1]对账明细接口!$Y64=0,"",[1]对账明细接口!$Y64),"")</f>
      </c>
      <c r="AE64" s="7">
        <f>IFERROR(IF([1]对账明细接口!$AA64=0,"",[1]对账明细接口!$AA64),"")</f>
      </c>
      <c r="AF64" s="7">
        <f>IFERROR(IF([1]对账明细接口!$AB64=0,"",[1]对账明细接口!$AB64),"")</f>
      </c>
      <c r="AG64" s="7">
        <f>IFERROR(IF([1]对账明细接口!$AC64=0,"",[1]对账明细接口!$AC64),"")</f>
      </c>
      <c r="AH64" s="7">
        <f>IFERROR(IF([1]对账明细接口!$AD64=0,"",[1]对账明细接口!$AD64),"")</f>
      </c>
      <c r="AI64" s="7">
        <f>IFERROR(IF([1]对账明细接口!$AE64=0,"",[1]对账明细接口!$AE64),"")</f>
      </c>
      <c r="AJ64" s="7">
        <f>IFERROR(IF([1]对账明细接口!$AF64=0,"",[1]对账明细接口!$AF64),"")</f>
      </c>
    </row>
    <row r="65" ht="14.25" customHeight="1" s="127">
      <c r="A65" s="14" t="n">
        <v>65</v>
      </c>
      <c r="B65" s="211">
        <f>IFERROR(IF([1]对账明细接口!$B$65=0,"",[1]对账明细接口!$B$65),"")</f>
        <v>46266.0</v>
      </c>
      <c r="C65" s="16" t="str">
        <f>IFERROR(IF([1]对账明细接口!$C$65=0,"",[1]对账明细接口!$C$65),"")</f>
        <v>王照雪</v>
      </c>
      <c r="D65" s="16" t="str">
        <f>IFERROR(IF([1]对账明细接口!$D$65=0,"",[1]对账明细接口!$D$65),"")</f>
        <v>原料入库</v>
      </c>
      <c r="E65" s="16" t="str">
        <f>IFERROR(IF([1]对账明细接口!$E$65=0,"",[1]对账明细接口!$E$65),"")</f>
        <v>NO0000742</v>
      </c>
      <c r="F65" s="16" t="str">
        <f>IFERROR(IF([1]对账明细接口!$F$65=0,"",[1]对账明细接口!$F$65),"")</f>
        <v>苹果</v>
      </c>
      <c r="G65" s="16" t="str">
        <f>IFERROR(IF([1]对账明细接口!$G$65=0,"",[1]对账明细接口!$G$65),"")</f>
        <v>华硕二级</v>
      </c>
      <c r="H65" s="176">
        <f>IFERROR(IF([1]对账明细接口!$H$65=0,"",[1]对账明细接口!$H$65),"")</f>
        <v>27</v>
      </c>
      <c r="I65" s="16" t="str">
        <f>IFERROR(IF([1]对账明细接口!$I$65=0,"",[1]对账明细接口!$I$65),"")</f>
        <v>筐</v>
      </c>
      <c r="J65" s="177">
        <f>IFERROR(IF([1]对账明细接口!$J$65=0,"",[1]对账明细接口!$J$65),"")</f>
        <v>440.1</v>
      </c>
      <c r="K65" s="177">
        <f>IFERROR(IF([1]对账明细接口!$K$65=0,"",[1]对账明细接口!$K$65),"")</f>
      </c>
      <c r="L65" s="16">
        <f>IFERROR(IF([1]对账明细接口!$L$65=0,"",[1]对账明细接口!$L$65),"")</f>
      </c>
      <c r="M65" s="16">
        <f>IFERROR(IF([1]对账明细接口!$M$65=0,"",[1]对账明细接口!$M$65),"")</f>
      </c>
      <c r="N65" s="19">
        <f>IF($C65="",0,1)</f>
        <v>1</v>
      </c>
      <c r="O65" s="19">
        <f>N(O64)+$N65</f>
        <v>62</v>
      </c>
      <c r="S65" s="20" t="str">
        <f>IFERROR(IF([1]对账明细接口!$N65=0,"",[1]对账明细接口!$N65),"")</f>
        <v>公司杂周转筐</v>
      </c>
      <c r="T65" s="212">
        <f>IFERROR(IF([1]对账明细接口!$O65=0,"",[1]对账明细接口!$O65),"")</f>
      </c>
      <c r="U65" s="212">
        <f>IFERROR(IF([1]对账明细接口!$P65=0,"",[1]对账明细接口!$P65),"")</f>
      </c>
      <c r="V65" s="212">
        <f>IFERROR(IF([1]对账明细接口!$Q65=0,"",[1]对账明细接口!$Q65),"")</f>
        <v>27</v>
      </c>
      <c r="W65" s="20" t="str">
        <f>IFERROR(IF([1]对账明细接口!$R65=0,"",[1]对账明细接口!$R65),"")</f>
        <v>新N*D1W48</v>
      </c>
      <c r="X65" s="20" t="str">
        <f>IFERROR(IF([1]对账明细接口!$S65=0,"",[1]对账明细接口!$S65),"")</f>
        <v>公司筐</v>
      </c>
      <c r="Y65" s="20">
        <f>IFERROR(IF([1]对账明细接口!$T65=0,"",[1]对账明细接口!$T65),"")</f>
      </c>
      <c r="Z65" s="213">
        <f>IFERROR(IF([1]对账明细接口!$U65=0,"",[1]对账明细接口!$U65),"")</f>
      </c>
      <c r="AA65" s="213">
        <f>IFERROR(IF([1]对账明细接口!$V65=0,"",[1]对账明细接口!$V65),"")</f>
      </c>
      <c r="AB65" s="20">
        <f>IFERROR(IF([1]对账明细接口!$W65=0,"",[1]对账明细接口!$W65),"")</f>
      </c>
      <c r="AC65" s="7">
        <f>IFERROR(IF([1]对账明细接口!$X65=0,"",[1]对账明细接口!$X65),"")</f>
      </c>
      <c r="AD65" s="7">
        <f>IFERROR(IF([1]对账明细接口!$Y65=0,"",[1]对账明细接口!$Y65),"")</f>
      </c>
      <c r="AE65" s="7">
        <f>IFERROR(IF([1]对账明细接口!$AA65=0,"",[1]对账明细接口!$AA65),"")</f>
      </c>
      <c r="AF65" s="7">
        <f>IFERROR(IF([1]对账明细接口!$AB65=0,"",[1]对账明细接口!$AB65),"")</f>
      </c>
      <c r="AG65" s="7">
        <f>IFERROR(IF([1]对账明细接口!$AC65=0,"",[1]对账明细接口!$AC65),"")</f>
      </c>
      <c r="AH65" s="7">
        <f>IFERROR(IF([1]对账明细接口!$AD65=0,"",[1]对账明细接口!$AD65),"")</f>
      </c>
      <c r="AI65" s="7">
        <f>IFERROR(IF([1]对账明细接口!$AE65=0,"",[1]对账明细接口!$AE65),"")</f>
      </c>
      <c r="AJ65" s="7">
        <f>IFERROR(IF([1]对账明细接口!$AF65=0,"",[1]对账明细接口!$AF65),"")</f>
      </c>
    </row>
    <row r="66" ht="14.25" customHeight="1" s="127">
      <c r="A66" s="14" t="n">
        <v>66</v>
      </c>
      <c r="B66" s="211">
        <f>IFERROR(IF([1]对账明细接口!$B$66=0,"",[1]对账明细接口!$B$66),"")</f>
        <v>46266.0</v>
      </c>
      <c r="C66" s="16" t="str">
        <f>IFERROR(IF([1]对账明细接口!$C$66=0,"",[1]对账明细接口!$C$66),"")</f>
        <v>王照雪</v>
      </c>
      <c r="D66" s="16" t="str">
        <f>IFERROR(IF([1]对账明细接口!$D$66=0,"",[1]对账明细接口!$D$66),"")</f>
        <v>原料入库</v>
      </c>
      <c r="E66" s="16" t="str">
        <f>IFERROR(IF([1]对账明细接口!$E$66=0,"",[1]对账明细接口!$E$66),"")</f>
        <v>NO0000742</v>
      </c>
      <c r="F66" s="16" t="str">
        <f>IFERROR(IF([1]对账明细接口!$F$66=0,"",[1]对账明细接口!$F$66),"")</f>
        <v>苹果</v>
      </c>
      <c r="G66" s="16" t="str">
        <f>IFERROR(IF([1]对账明细接口!$G$66=0,"",[1]对账明细接口!$G$66),"")</f>
        <v>华硕高次</v>
      </c>
      <c r="H66" s="176">
        <f>IFERROR(IF([1]对账明细接口!$H$66=0,"",[1]对账明细接口!$H$66),"")</f>
        <v>13</v>
      </c>
      <c r="I66" s="16" t="str">
        <f>IFERROR(IF([1]对账明细接口!$I$66=0,"",[1]对账明细接口!$I$66),"")</f>
        <v>筐</v>
      </c>
      <c r="J66" s="177">
        <f>IFERROR(IF([1]对账明细接口!$J$66=0,"",[1]对账明细接口!$J$66),"")</f>
        <v>224.9</v>
      </c>
      <c r="K66" s="177">
        <f>IFERROR(IF([1]对账明细接口!$K$66=0,"",[1]对账明细接口!$K$66),"")</f>
      </c>
      <c r="L66" s="16">
        <f>IFERROR(IF([1]对账明细接口!$L$66=0,"",[1]对账明细接口!$L$66),"")</f>
      </c>
      <c r="M66" s="16">
        <f>IFERROR(IF([1]对账明细接口!$M$66=0,"",[1]对账明细接口!$M$66),"")</f>
      </c>
      <c r="N66" s="19">
        <f>IF($C66="",0,1)</f>
        <v>1</v>
      </c>
      <c r="O66" s="19">
        <f>N(O65)+$N66</f>
        <v>63</v>
      </c>
      <c r="S66" s="20" t="str">
        <f>IFERROR(IF([1]对账明细接口!$N66=0,"",[1]对账明细接口!$N66),"")</f>
        <v>公司杂周转筐</v>
      </c>
      <c r="T66" s="212">
        <f>IFERROR(IF([1]对账明细接口!$O66=0,"",[1]对账明细接口!$O66),"")</f>
      </c>
      <c r="U66" s="212">
        <f>IFERROR(IF([1]对账明细接口!$P66=0,"",[1]对账明细接口!$P66),"")</f>
      </c>
      <c r="V66" s="212">
        <f>IFERROR(IF([1]对账明细接口!$Q66=0,"",[1]对账明细接口!$Q66),"")</f>
        <v>13</v>
      </c>
      <c r="W66" s="20" t="str">
        <f>IFERROR(IF([1]对账明细接口!$R66=0,"",[1]对账明细接口!$R66),"")</f>
        <v>新N*D1W48</v>
      </c>
      <c r="X66" s="20" t="str">
        <f>IFERROR(IF([1]对账明细接口!$S66=0,"",[1]对账明细接口!$S66),"")</f>
        <v>公司筐</v>
      </c>
      <c r="Y66" s="20">
        <f>IFERROR(IF([1]对账明细接口!$T66=0,"",[1]对账明细接口!$T66),"")</f>
      </c>
      <c r="Z66" s="213">
        <f>IFERROR(IF([1]对账明细接口!$U66=0,"",[1]对账明细接口!$U66),"")</f>
      </c>
      <c r="AA66" s="213">
        <f>IFERROR(IF([1]对账明细接口!$V66=0,"",[1]对账明细接口!$V66),"")</f>
      </c>
      <c r="AB66" s="20">
        <f>IFERROR(IF([1]对账明细接口!$W66=0,"",[1]对账明细接口!$W66),"")</f>
      </c>
      <c r="AC66" s="7">
        <f>IFERROR(IF([1]对账明细接口!$X66=0,"",[1]对账明细接口!$X66),"")</f>
      </c>
      <c r="AD66" s="7">
        <f>IFERROR(IF([1]对账明细接口!$Y66=0,"",[1]对账明细接口!$Y66),"")</f>
      </c>
      <c r="AE66" s="7">
        <f>IFERROR(IF([1]对账明细接口!$AA66=0,"",[1]对账明细接口!$AA66),"")</f>
      </c>
      <c r="AF66" s="7">
        <f>IFERROR(IF([1]对账明细接口!$AB66=0,"",[1]对账明细接口!$AB66),"")</f>
      </c>
      <c r="AG66" s="7">
        <f>IFERROR(IF([1]对账明细接口!$AC66=0,"",[1]对账明细接口!$AC66),"")</f>
      </c>
      <c r="AH66" s="7">
        <f>IFERROR(IF([1]对账明细接口!$AD66=0,"",[1]对账明细接口!$AD66),"")</f>
      </c>
      <c r="AI66" s="7">
        <f>IFERROR(IF([1]对账明细接口!$AE66=0,"",[1]对账明细接口!$AE66),"")</f>
      </c>
      <c r="AJ66" s="7">
        <f>IFERROR(IF([1]对账明细接口!$AF66=0,"",[1]对账明细接口!$AF66),"")</f>
      </c>
    </row>
    <row r="67" ht="14.25" customHeight="1" s="127">
      <c r="A67" s="14" t="n">
        <v>67</v>
      </c>
      <c r="B67" s="211">
        <f>IFERROR(IF([1]对账明细接口!$B$67=0,"",[1]对账明细接口!$B$67),"")</f>
        <v>46252.0</v>
      </c>
      <c r="C67" s="16" t="str">
        <f>IFERROR(IF([1]对账明细接口!$C$67=0,"",[1]对账明细接口!$C$67),"")</f>
        <v>聂新平</v>
      </c>
      <c r="D67" s="16" t="str">
        <f>IFERROR(IF([1]对账明细接口!$D$67=0,"",[1]对账明细接口!$D$67),"")</f>
        <v>原料入库</v>
      </c>
      <c r="E67" s="16" t="str">
        <f>IFERROR(IF([1]对账明细接口!$E$67=0,"",[1]对账明细接口!$E$67),"")</f>
        <v>NO:0000775</v>
      </c>
      <c r="F67" s="16" t="str">
        <f>IFERROR(IF([1]对账明细接口!$F$67=0,"",[1]对账明细接口!$F$67),"")</f>
        <v>西梅</v>
      </c>
      <c r="G67" s="16" t="str">
        <f>IFERROR(IF([1]对账明细接口!$G$67=0,"",[1]对账明细接口!$G$67),"")</f>
        <v>西梅二级</v>
      </c>
      <c r="H67" s="176">
        <f>IFERROR(IF([1]对账明细接口!$H$67=0,"",[1]对账明细接口!$H$67),"")</f>
        <v>336</v>
      </c>
      <c r="I67" s="16" t="str">
        <f>IFERROR(IF([1]对账明细接口!$I$67=0,"",[1]对账明细接口!$I$67),"")</f>
        <v>筐</v>
      </c>
      <c r="J67" s="177">
        <f>IFERROR(IF([1]对账明细接口!$J$67=0,"",[1]对账明细接口!$J$67),"")</f>
        <v>672</v>
      </c>
      <c r="K67" s="177">
        <f>IFERROR(IF([1]对账明细接口!$K$67=0,"",[1]对账明细接口!$K$67),"")</f>
      </c>
      <c r="L67" s="16">
        <f>IFERROR(IF([1]对账明细接口!$L$67=0,"",[1]对账明细接口!$L$67),"")</f>
      </c>
      <c r="M67" s="16">
        <f>IFERROR(IF([1]对账明细接口!$M$67=0,"",[1]对账明细接口!$M$67),"")</f>
      </c>
      <c r="N67" s="19">
        <f>IF($C67="",0,1)</f>
        <v>1</v>
      </c>
      <c r="O67" s="19">
        <f>N(O66)+$N67</f>
        <v>64</v>
      </c>
      <c r="S67" s="20" t="str">
        <f>IFERROR(IF([1]对账明细接口!$N67=0,"",[1]对账明细接口!$N67),"")</f>
        <v>自备一次性筐</v>
      </c>
      <c r="T67" s="212">
        <f>IFERROR(IF([1]对账明细接口!$O67=0,"",[1]对账明细接口!$O67),"")</f>
      </c>
      <c r="U67" s="212">
        <f>IFERROR(IF([1]对账明细接口!$P67=0,"",[1]对账明细接口!$P67),"")</f>
      </c>
      <c r="V67" s="212">
        <f>IFERROR(IF([1]对账明细接口!$Q67=0,"",[1]对账明细接口!$Q67),"")</f>
        <v>336</v>
      </c>
      <c r="W67" s="20" t="str">
        <f>IFERROR(IF([1]对账明细接口!$R67=0,"",[1]对账明细接口!$R67),"")</f>
        <v>苏M*7G796</v>
      </c>
      <c r="X67" s="20" t="str">
        <f>IFERROR(IF([1]对账明细接口!$S67=0,"",[1]对账明细接口!$S67),"")</f>
        <v>自备筐</v>
      </c>
      <c r="Y67" s="20">
        <f>IFERROR(IF([1]对账明细接口!$T67=0,"",[1]对账明细接口!$T67),"")</f>
      </c>
      <c r="Z67" s="213">
        <f>IFERROR(IF([1]对账明细接口!$U67=0,"",[1]对账明细接口!$U67),"")</f>
      </c>
      <c r="AA67" s="213">
        <f>IFERROR(IF([1]对账明细接口!$V67=0,"",[1]对账明细接口!$V67),"")</f>
      </c>
      <c r="AB67" s="20">
        <f>IFERROR(IF([1]对账明细接口!$W67=0,"",[1]对账明细接口!$W67),"")</f>
      </c>
      <c r="AC67" s="7">
        <f>IFERROR(IF([1]对账明细接口!$X67=0,"",[1]对账明细接口!$X67),"")</f>
      </c>
      <c r="AD67" s="7">
        <f>IFERROR(IF([1]对账明细接口!$Y67=0,"",[1]对账明细接口!$Y67),"")</f>
      </c>
      <c r="AE67" s="7">
        <f>IFERROR(IF([1]对账明细接口!$AA67=0,"",[1]对账明细接口!$AA67),"")</f>
      </c>
      <c r="AF67" s="7">
        <f>IFERROR(IF([1]对账明细接口!$AB67=0,"",[1]对账明细接口!$AB67),"")</f>
      </c>
      <c r="AG67" s="7">
        <f>IFERROR(IF([1]对账明细接口!$AC67=0,"",[1]对账明细接口!$AC67),"")</f>
      </c>
      <c r="AH67" s="7">
        <f>IFERROR(IF([1]对账明细接口!$AD67=0,"",[1]对账明细接口!$AD67),"")</f>
      </c>
      <c r="AI67" s="7">
        <f>IFERROR(IF([1]对账明细接口!$AE67=0,"",[1]对账明细接口!$AE67),"")</f>
      </c>
      <c r="AJ67" s="7">
        <f>IFERROR(IF([1]对账明细接口!$AF67=0,"",[1]对账明细接口!$AF67),"")</f>
      </c>
    </row>
    <row r="68" ht="14.25" customHeight="1" s="127">
      <c r="A68" s="14" t="n">
        <v>68</v>
      </c>
      <c r="B68" s="211">
        <f>IFERROR(IF([1]对账明细接口!$B$68=0,"",[1]对账明细接口!$B$68),"")</f>
        <v>46252.0</v>
      </c>
      <c r="C68" s="16" t="str">
        <f>IFERROR(IF([1]对账明细接口!$C$68=0,"",[1]对账明细接口!$C$68),"")</f>
        <v>聂新平</v>
      </c>
      <c r="D68" s="16" t="str">
        <f>IFERROR(IF([1]对账明细接口!$D$68=0,"",[1]对账明细接口!$D$68),"")</f>
        <v>原料入库</v>
      </c>
      <c r="E68" s="16" t="str">
        <f>IFERROR(IF([1]对账明细接口!$E$68=0,"",[1]对账明细接口!$E$68),"")</f>
        <v>NO:0000775</v>
      </c>
      <c r="F68" s="16" t="str">
        <f>IFERROR(IF([1]对账明细接口!$F$68=0,"",[1]对账明细接口!$F$68),"")</f>
        <v>西梅</v>
      </c>
      <c r="G68" s="16" t="str">
        <f>IFERROR(IF([1]对账明细接口!$G$68=0,"",[1]对账明细接口!$G$68),"")</f>
        <v>西梅三级</v>
      </c>
      <c r="H68" s="176">
        <f>IFERROR(IF([1]对账明细接口!$H$68=0,"",[1]对账明细接口!$H$68),"")</f>
        <v>96</v>
      </c>
      <c r="I68" s="16" t="str">
        <f>IFERROR(IF([1]对账明细接口!$I$68=0,"",[1]对账明细接口!$I$68),"")</f>
        <v>筐</v>
      </c>
      <c r="J68" s="177">
        <f>IFERROR(IF([1]对账明细接口!$J$68=0,"",[1]对账明细接口!$J$68),"")</f>
        <v>192</v>
      </c>
      <c r="K68" s="177">
        <f>IFERROR(IF([1]对账明细接口!$K$68=0,"",[1]对账明细接口!$K$68),"")</f>
      </c>
      <c r="L68" s="16">
        <f>IFERROR(IF([1]对账明细接口!$L$68=0,"",[1]对账明细接口!$L$68),"")</f>
      </c>
      <c r="M68" s="16">
        <f>IFERROR(IF([1]对账明细接口!$M$68=0,"",[1]对账明细接口!$M$68),"")</f>
      </c>
      <c r="N68" s="19">
        <f>IF($C68="",0,1)</f>
        <v>1</v>
      </c>
      <c r="O68" s="19">
        <f>N(O67)+$N68</f>
        <v>65</v>
      </c>
      <c r="S68" s="20" t="str">
        <f>IFERROR(IF([1]对账明细接口!$N68=0,"",[1]对账明细接口!$N68),"")</f>
        <v>自备一次性筐</v>
      </c>
      <c r="T68" s="212">
        <f>IFERROR(IF([1]对账明细接口!$O68=0,"",[1]对账明细接口!$O68),"")</f>
      </c>
      <c r="U68" s="212">
        <f>IFERROR(IF([1]对账明细接口!$P68=0,"",[1]对账明细接口!$P68),"")</f>
      </c>
      <c r="V68" s="212">
        <f>IFERROR(IF([1]对账明细接口!$Q68=0,"",[1]对账明细接口!$Q68),"")</f>
        <v>96</v>
      </c>
      <c r="W68" s="20" t="str">
        <f>IFERROR(IF([1]对账明细接口!$R68=0,"",[1]对账明细接口!$R68),"")</f>
        <v>苏M*7G796</v>
      </c>
      <c r="X68" s="20" t="str">
        <f>IFERROR(IF([1]对账明细接口!$S68=0,"",[1]对账明细接口!$S68),"")</f>
        <v>自备筐</v>
      </c>
      <c r="Y68" s="20">
        <f>IFERROR(IF([1]对账明细接口!$T68=0,"",[1]对账明细接口!$T68),"")</f>
      </c>
      <c r="Z68" s="213">
        <f>IFERROR(IF([1]对账明细接口!$U68=0,"",[1]对账明细接口!$U68),"")</f>
      </c>
      <c r="AA68" s="213">
        <f>IFERROR(IF([1]对账明细接口!$V68=0,"",[1]对账明细接口!$V68),"")</f>
      </c>
      <c r="AB68" s="20">
        <f>IFERROR(IF([1]对账明细接口!$W68=0,"",[1]对账明细接口!$W68),"")</f>
      </c>
      <c r="AC68" s="7">
        <f>IFERROR(IF([1]对账明细接口!$X68=0,"",[1]对账明细接口!$X68),"")</f>
      </c>
      <c r="AD68" s="7">
        <f>IFERROR(IF([1]对账明细接口!$Y68=0,"",[1]对账明细接口!$Y68),"")</f>
      </c>
      <c r="AE68" s="7">
        <f>IFERROR(IF([1]对账明细接口!$AA68=0,"",[1]对账明细接口!$AA68),"")</f>
      </c>
      <c r="AF68" s="7">
        <f>IFERROR(IF([1]对账明细接口!$AB68=0,"",[1]对账明细接口!$AB68),"")</f>
      </c>
      <c r="AG68" s="7">
        <f>IFERROR(IF([1]对账明细接口!$AC68=0,"",[1]对账明细接口!$AC68),"")</f>
      </c>
      <c r="AH68" s="7">
        <f>IFERROR(IF([1]对账明细接口!$AD68=0,"",[1]对账明细接口!$AD68),"")</f>
      </c>
      <c r="AI68" s="7">
        <f>IFERROR(IF([1]对账明细接口!$AE68=0,"",[1]对账明细接口!$AE68),"")</f>
      </c>
      <c r="AJ68" s="7">
        <f>IFERROR(IF([1]对账明细接口!$AF68=0,"",[1]对账明细接口!$AF68),"")</f>
      </c>
    </row>
    <row r="69" ht="14.25" customHeight="1" s="127">
      <c r="A69" s="14" t="n">
        <v>69</v>
      </c>
      <c r="B69" s="211">
        <f>IFERROR(IF([1]对账明细接口!$B$69=0,"",[1]对账明细接口!$B$69),"")</f>
        <v>46252.0</v>
      </c>
      <c r="C69" s="16" t="str">
        <f>IFERROR(IF([1]对账明细接口!$C$69=0,"",[1]对账明细接口!$C$69),"")</f>
        <v>聂新平</v>
      </c>
      <c r="D69" s="16" t="str">
        <f>IFERROR(IF([1]对账明细接口!$D$69=0,"",[1]对账明细接口!$D$69),"")</f>
        <v>原料入库</v>
      </c>
      <c r="E69" s="16" t="str">
        <f>IFERROR(IF([1]对账明细接口!$E$69=0,"",[1]对账明细接口!$E$69),"")</f>
        <v>NO:0000701</v>
      </c>
      <c r="F69" s="16" t="str">
        <f>IFERROR(IF([1]对账明细接口!$F$69=0,"",[1]对账明细接口!$F$69),"")</f>
        <v>西梅</v>
      </c>
      <c r="G69" s="16" t="str">
        <f>IFERROR(IF([1]对账明细接口!$G$69=0,"",[1]对账明细接口!$G$69),"")</f>
        <v>西梅一级</v>
      </c>
      <c r="H69" s="176">
        <f>IFERROR(IF([1]对账明细接口!$H$69=0,"",[1]对账明细接口!$H$69),"")</f>
        <v>41</v>
      </c>
      <c r="I69" s="16" t="str">
        <f>IFERROR(IF([1]对账明细接口!$I$69=0,"",[1]对账明细接口!$I$69),"")</f>
        <v>筐</v>
      </c>
      <c r="J69" s="177">
        <f>IFERROR(IF([1]对账明细接口!$J$69=0,"",[1]对账明细接口!$J$69),"")</f>
        <v>287</v>
      </c>
      <c r="K69" s="177">
        <f>IFERROR(IF([1]对账明细接口!$K$69=0,"",[1]对账明细接口!$K$69),"")</f>
      </c>
      <c r="L69" s="16">
        <f>IFERROR(IF([1]对账明细接口!$L$69=0,"",[1]对账明细接口!$L$69),"")</f>
      </c>
      <c r="M69" s="16">
        <f>IFERROR(IF([1]对账明细接口!$M$69=0,"",[1]对账明细接口!$M$69),"")</f>
      </c>
      <c r="N69" s="19">
        <f>IF($C69="",0,1)</f>
        <v>1</v>
      </c>
      <c r="O69" s="19">
        <f>N(O68)+$N69</f>
        <v>66</v>
      </c>
      <c r="S69" s="20" t="str">
        <f>IFERROR(IF([1]对账明细接口!$N69=0,"",[1]对账明细接口!$N69),"")</f>
        <v>自备一次性筐</v>
      </c>
      <c r="T69" s="212">
        <f>IFERROR(IF([1]对账明细接口!$O69=0,"",[1]对账明细接口!$O69),"")</f>
      </c>
      <c r="U69" s="212">
        <f>IFERROR(IF([1]对账明细接口!$P69=0,"",[1]对账明细接口!$P69),"")</f>
      </c>
      <c r="V69" s="212">
        <f>IFERROR(IF([1]对账明细接口!$Q69=0,"",[1]对账明细接口!$Q69),"")</f>
        <v>41</v>
      </c>
      <c r="W69" s="20" t="str">
        <f>IFERROR(IF([1]对账明细接口!$R69=0,"",[1]对账明细接口!$R69),"")</f>
        <v>苏M*7G796</v>
      </c>
      <c r="X69" s="20" t="str">
        <f>IFERROR(IF([1]对账明细接口!$S69=0,"",[1]对账明细接口!$S69),"")</f>
        <v>自备筐</v>
      </c>
      <c r="Y69" s="20">
        <f>IFERROR(IF([1]对账明细接口!$T69=0,"",[1]对账明细接口!$T69),"")</f>
      </c>
      <c r="Z69" s="213">
        <f>IFERROR(IF([1]对账明细接口!$U69=0,"",[1]对账明细接口!$U69),"")</f>
      </c>
      <c r="AA69" s="213">
        <f>IFERROR(IF([1]对账明细接口!$V69=0,"",[1]对账明细接口!$V69),"")</f>
      </c>
      <c r="AB69" s="20">
        <f>IFERROR(IF([1]对账明细接口!$W69=0,"",[1]对账明细接口!$W69),"")</f>
      </c>
      <c r="AC69" s="7">
        <f>IFERROR(IF([1]对账明细接口!$X69=0,"",[1]对账明细接口!$X69),"")</f>
      </c>
      <c r="AD69" s="7">
        <f>IFERROR(IF([1]对账明细接口!$Y69=0,"",[1]对账明细接口!$Y69),"")</f>
      </c>
      <c r="AE69" s="7">
        <f>IFERROR(IF([1]对账明细接口!$AA69=0,"",[1]对账明细接口!$AA69),"")</f>
      </c>
      <c r="AF69" s="7">
        <f>IFERROR(IF([1]对账明细接口!$AB69=0,"",[1]对账明细接口!$AB69),"")</f>
      </c>
      <c r="AG69" s="7">
        <f>IFERROR(IF([1]对账明细接口!$AC69=0,"",[1]对账明细接口!$AC69),"")</f>
      </c>
      <c r="AH69" s="7">
        <f>IFERROR(IF([1]对账明细接口!$AD69=0,"",[1]对账明细接口!$AD69),"")</f>
      </c>
      <c r="AI69" s="7">
        <f>IFERROR(IF([1]对账明细接口!$AE69=0,"",[1]对账明细接口!$AE69),"")</f>
      </c>
      <c r="AJ69" s="7">
        <f>IFERROR(IF([1]对账明细接口!$AF69=0,"",[1]对账明细接口!$AF69),"")</f>
      </c>
    </row>
    <row r="70" ht="14.25" customHeight="1" s="127">
      <c r="A70" s="14" t="n">
        <v>70</v>
      </c>
      <c r="B70" s="211">
        <f>IFERROR(IF([1]对账明细接口!$B$70=0,"",[1]对账明细接口!$B$70),"")</f>
        <v>46252.0</v>
      </c>
      <c r="C70" s="16" t="str">
        <f>IFERROR(IF([1]对账明细接口!$C$70=0,"",[1]对账明细接口!$C$70),"")</f>
        <v>聂新平</v>
      </c>
      <c r="D70" s="16" t="str">
        <f>IFERROR(IF([1]对账明细接口!$D$70=0,"",[1]对账明细接口!$D$70),"")</f>
        <v>原料入库</v>
      </c>
      <c r="E70" s="16" t="str">
        <f>IFERROR(IF([1]对账明细接口!$E$70=0,"",[1]对账明细接口!$E$70),"")</f>
        <v>NO:0000701</v>
      </c>
      <c r="F70" s="16" t="str">
        <f>IFERROR(IF([1]对账明细接口!$F$70=0,"",[1]对账明细接口!$F$70),"")</f>
        <v>西梅</v>
      </c>
      <c r="G70" s="16" t="str">
        <f>IFERROR(IF([1]对账明细接口!$G$70=0,"",[1]对账明细接口!$G$70),"")</f>
        <v>西梅二级</v>
      </c>
      <c r="H70" s="176">
        <f>IFERROR(IF([1]对账明细接口!$H$70=0,"",[1]对账明细接口!$H$70),"")</f>
        <v>71</v>
      </c>
      <c r="I70" s="16" t="str">
        <f>IFERROR(IF([1]对账明细接口!$I$70=0,"",[1]对账明细接口!$I$70),"")</f>
        <v>筐</v>
      </c>
      <c r="J70" s="177">
        <f>IFERROR(IF([1]对账明细接口!$J$70=0,"",[1]对账明细接口!$J$70),"")</f>
        <v>142</v>
      </c>
      <c r="K70" s="177">
        <f>IFERROR(IF([1]对账明细接口!$K$70=0,"",[1]对账明细接口!$K$70),"")</f>
      </c>
      <c r="L70" s="16">
        <f>IFERROR(IF([1]对账明细接口!$L$70=0,"",[1]对账明细接口!$L$70),"")</f>
      </c>
      <c r="M70" s="16">
        <f>IFERROR(IF([1]对账明细接口!$M$70=0,"",[1]对账明细接口!$M$70),"")</f>
      </c>
      <c r="N70" s="19">
        <f>IF($C70="",0,1)</f>
        <v>1</v>
      </c>
      <c r="O70" s="19">
        <f>N(O69)+$N70</f>
        <v>67</v>
      </c>
      <c r="S70" s="20" t="str">
        <f>IFERROR(IF([1]对账明细接口!$N70=0,"",[1]对账明细接口!$N70),"")</f>
        <v>自备一次性筐</v>
      </c>
      <c r="T70" s="212">
        <f>IFERROR(IF([1]对账明细接口!$O70=0,"",[1]对账明细接口!$O70),"")</f>
      </c>
      <c r="U70" s="212">
        <f>IFERROR(IF([1]对账明细接口!$P70=0,"",[1]对账明细接口!$P70),"")</f>
      </c>
      <c r="V70" s="212">
        <f>IFERROR(IF([1]对账明细接口!$Q70=0,"",[1]对账明细接口!$Q70),"")</f>
        <v>71</v>
      </c>
      <c r="W70" s="20" t="str">
        <f>IFERROR(IF([1]对账明细接口!$R70=0,"",[1]对账明细接口!$R70),"")</f>
        <v>苏M*7G796</v>
      </c>
      <c r="X70" s="20" t="str">
        <f>IFERROR(IF([1]对账明细接口!$S70=0,"",[1]对账明细接口!$S70),"")</f>
        <v>自备筐</v>
      </c>
      <c r="Y70" s="20">
        <f>IFERROR(IF([1]对账明细接口!$T70=0,"",[1]对账明细接口!$T70),"")</f>
      </c>
      <c r="Z70" s="213">
        <f>IFERROR(IF([1]对账明细接口!$U70=0,"",[1]对账明细接口!$U70),"")</f>
      </c>
      <c r="AA70" s="213">
        <f>IFERROR(IF([1]对账明细接口!$V70=0,"",[1]对账明细接口!$V70),"")</f>
      </c>
      <c r="AB70" s="20">
        <f>IFERROR(IF([1]对账明细接口!$W70=0,"",[1]对账明细接口!$W70),"")</f>
      </c>
      <c r="AC70" s="7">
        <f>IFERROR(IF([1]对账明细接口!$X70=0,"",[1]对账明细接口!$X70),"")</f>
      </c>
      <c r="AD70" s="7">
        <f>IFERROR(IF([1]对账明细接口!$Y70=0,"",[1]对账明细接口!$Y70),"")</f>
      </c>
      <c r="AE70" s="7">
        <f>IFERROR(IF([1]对账明细接口!$AA70=0,"",[1]对账明细接口!$AA70),"")</f>
      </c>
      <c r="AF70" s="7">
        <f>IFERROR(IF([1]对账明细接口!$AB70=0,"",[1]对账明细接口!$AB70),"")</f>
      </c>
      <c r="AG70" s="7">
        <f>IFERROR(IF([1]对账明细接口!$AC70=0,"",[1]对账明细接口!$AC70),"")</f>
      </c>
      <c r="AH70" s="7">
        <f>IFERROR(IF([1]对账明细接口!$AD70=0,"",[1]对账明细接口!$AD70),"")</f>
      </c>
      <c r="AI70" s="7">
        <f>IFERROR(IF([1]对账明细接口!$AE70=0,"",[1]对账明细接口!$AE70),"")</f>
      </c>
      <c r="AJ70" s="7">
        <f>IFERROR(IF([1]对账明细接口!$AF70=0,"",[1]对账明细接口!$AF70),"")</f>
      </c>
    </row>
    <row r="71" ht="14.25" customHeight="1" s="127">
      <c r="A71" s="14" t="n">
        <v>71</v>
      </c>
      <c r="B71" s="211">
        <f>IFERROR(IF([1]对账明细接口!$B$71=0,"",[1]对账明细接口!$B$71),"")</f>
        <v>46252.0</v>
      </c>
      <c r="C71" s="16" t="str">
        <f>IFERROR(IF([1]对账明细接口!$C$71=0,"",[1]对账明细接口!$C$71),"")</f>
        <v>聂新平</v>
      </c>
      <c r="D71" s="16" t="str">
        <f>IFERROR(IF([1]对账明细接口!$D$71=0,"",[1]对账明细接口!$D$71),"")</f>
        <v>原料入库</v>
      </c>
      <c r="E71" s="16" t="str">
        <f>IFERROR(IF([1]对账明细接口!$E$71=0,"",[1]对账明细接口!$E$71),"")</f>
        <v>NO:0000701</v>
      </c>
      <c r="F71" s="16" t="str">
        <f>IFERROR(IF([1]对账明细接口!$F$71=0,"",[1]对账明细接口!$F$71),"")</f>
        <v>西梅</v>
      </c>
      <c r="G71" s="16" t="str">
        <f>IFERROR(IF([1]对账明细接口!$G$71=0,"",[1]对账明细接口!$G$71),"")</f>
        <v>西梅三级</v>
      </c>
      <c r="H71" s="176">
        <f>IFERROR(IF([1]对账明细接口!$H$71=0,"",[1]对账明细接口!$H$71),"")</f>
        <v>54</v>
      </c>
      <c r="I71" s="16" t="str">
        <f>IFERROR(IF([1]对账明细接口!$I$71=0,"",[1]对账明细接口!$I$71),"")</f>
        <v>筐</v>
      </c>
      <c r="J71" s="177">
        <f>IFERROR(IF([1]对账明细接口!$J$71=0,"",[1]对账明细接口!$J$71),"")</f>
        <v>108</v>
      </c>
      <c r="K71" s="177">
        <f>IFERROR(IF([1]对账明细接口!$K$71=0,"",[1]对账明细接口!$K$71),"")</f>
      </c>
      <c r="L71" s="16">
        <f>IFERROR(IF([1]对账明细接口!$L$71=0,"",[1]对账明细接口!$L$71),"")</f>
      </c>
      <c r="M71" s="16">
        <f>IFERROR(IF([1]对账明细接口!$M$71=0,"",[1]对账明细接口!$M$71),"")</f>
      </c>
      <c r="N71" s="19">
        <f>IF($C71="",0,1)</f>
        <v>1</v>
      </c>
      <c r="O71" s="19">
        <f>N(O70)+$N71</f>
        <v>68</v>
      </c>
      <c r="S71" s="20" t="str">
        <f>IFERROR(IF([1]对账明细接口!$N71=0,"",[1]对账明细接口!$N71),"")</f>
        <v>自备一次性筐</v>
      </c>
      <c r="T71" s="212">
        <f>IFERROR(IF([1]对账明细接口!$O71=0,"",[1]对账明细接口!$O71),"")</f>
      </c>
      <c r="U71" s="212">
        <f>IFERROR(IF([1]对账明细接口!$P71=0,"",[1]对账明细接口!$P71),"")</f>
      </c>
      <c r="V71" s="212">
        <f>IFERROR(IF([1]对账明细接口!$Q71=0,"",[1]对账明细接口!$Q71),"")</f>
        <v>54</v>
      </c>
      <c r="W71" s="20" t="str">
        <f>IFERROR(IF([1]对账明细接口!$R71=0,"",[1]对账明细接口!$R71),"")</f>
        <v>苏M*7G796</v>
      </c>
      <c r="X71" s="20" t="str">
        <f>IFERROR(IF([1]对账明细接口!$S71=0,"",[1]对账明细接口!$S71),"")</f>
        <v>自备筐</v>
      </c>
      <c r="Y71" s="20">
        <f>IFERROR(IF([1]对账明细接口!$T71=0,"",[1]对账明细接口!$T71),"")</f>
      </c>
      <c r="Z71" s="213">
        <f>IFERROR(IF([1]对账明细接口!$U71=0,"",[1]对账明细接口!$U71),"")</f>
      </c>
      <c r="AA71" s="213">
        <f>IFERROR(IF([1]对账明细接口!$V71=0,"",[1]对账明细接口!$V71),"")</f>
      </c>
      <c r="AB71" s="20">
        <f>IFERROR(IF([1]对账明细接口!$W71=0,"",[1]对账明细接口!$W71),"")</f>
      </c>
      <c r="AC71" s="7">
        <f>IFERROR(IF([1]对账明细接口!$X71=0,"",[1]对账明细接口!$X71),"")</f>
      </c>
      <c r="AD71" s="7">
        <f>IFERROR(IF([1]对账明细接口!$Y71=0,"",[1]对账明细接口!$Y71),"")</f>
      </c>
      <c r="AE71" s="7">
        <f>IFERROR(IF([1]对账明细接口!$AA71=0,"",[1]对账明细接口!$AA71),"")</f>
      </c>
      <c r="AF71" s="7">
        <f>IFERROR(IF([1]对账明细接口!$AB71=0,"",[1]对账明细接口!$AB71),"")</f>
      </c>
      <c r="AG71" s="7">
        <f>IFERROR(IF([1]对账明细接口!$AC71=0,"",[1]对账明细接口!$AC71),"")</f>
      </c>
      <c r="AH71" s="7">
        <f>IFERROR(IF([1]对账明细接口!$AD71=0,"",[1]对账明细接口!$AD71),"")</f>
      </c>
      <c r="AI71" s="7">
        <f>IFERROR(IF([1]对账明细接口!$AE71=0,"",[1]对账明细接口!$AE71),"")</f>
      </c>
      <c r="AJ71" s="7">
        <f>IFERROR(IF([1]对账明细接口!$AF71=0,"",[1]对账明细接口!$AF71),"")</f>
      </c>
    </row>
    <row r="72" ht="14.25" customHeight="1" s="127">
      <c r="A72" s="14" t="n">
        <v>72</v>
      </c>
      <c r="B72" s="211">
        <f>IFERROR(IF([1]对账明细接口!$B$72=0,"",[1]对账明细接口!$B$72),"")</f>
        <v>46253.0</v>
      </c>
      <c r="C72" s="16" t="str">
        <f>IFERROR(IF([1]对账明细接口!$C$72=0,"",[1]对账明细接口!$C$72),"")</f>
        <v>聂新平</v>
      </c>
      <c r="D72" s="16" t="str">
        <f>IFERROR(IF([1]对账明细接口!$D$72=0,"",[1]对账明细接口!$D$72),"")</f>
        <v>原料入库</v>
      </c>
      <c r="E72" s="16" t="str">
        <f>IFERROR(IF([1]对账明细接口!$E$72=0,"",[1]对账明细接口!$E$72),"")</f>
        <v>NO:0000703</v>
      </c>
      <c r="F72" s="16" t="str">
        <f>IFERROR(IF([1]对账明细接口!$F$72=0,"",[1]对账明细接口!$F$72),"")</f>
        <v>西梅</v>
      </c>
      <c r="G72" s="16" t="str">
        <f>IFERROR(IF([1]对账明细接口!$G$72=0,"",[1]对账明细接口!$G$72),"")</f>
        <v>西梅二级</v>
      </c>
      <c r="H72" s="176">
        <f>IFERROR(IF([1]对账明细接口!$H$72=0,"",[1]对账明细接口!$H$72),"")</f>
        <v>432</v>
      </c>
      <c r="I72" s="16" t="str">
        <f>IFERROR(IF([1]对账明细接口!$I$72=0,"",[1]对账明细接口!$I$72),"")</f>
        <v>筐</v>
      </c>
      <c r="J72" s="177">
        <f>IFERROR(IF([1]对账明细接口!$J$72=0,"",[1]对账明细接口!$J$72),"")</f>
        <v>864</v>
      </c>
      <c r="K72" s="177">
        <f>IFERROR(IF([1]对账明细接口!$K$72=0,"",[1]对账明细接口!$K$72),"")</f>
      </c>
      <c r="L72" s="16">
        <f>IFERROR(IF([1]对账明细接口!$L$72=0,"",[1]对账明细接口!$L$72),"")</f>
      </c>
      <c r="M72" s="16">
        <f>IFERROR(IF([1]对账明细接口!$M$72=0,"",[1]对账明细接口!$M$72),"")</f>
      </c>
      <c r="N72" s="19">
        <f>IF($C72="",0,1)</f>
        <v>1</v>
      </c>
      <c r="O72" s="19">
        <f>N(O71)+$N72</f>
        <v>69</v>
      </c>
      <c r="S72" s="20" t="str">
        <f>IFERROR(IF([1]对账明细接口!$N72=0,"",[1]对账明细接口!$N72),"")</f>
        <v>自备一次性筐</v>
      </c>
      <c r="T72" s="212">
        <f>IFERROR(IF([1]对账明细接口!$O72=0,"",[1]对账明细接口!$O72),"")</f>
      </c>
      <c r="U72" s="212">
        <f>IFERROR(IF([1]对账明细接口!$P72=0,"",[1]对账明细接口!$P72),"")</f>
      </c>
      <c r="V72" s="212">
        <f>IFERROR(IF([1]对账明细接口!$Q72=0,"",[1]对账明细接口!$Q72),"")</f>
        <v>432</v>
      </c>
      <c r="W72" s="20" t="str">
        <f>IFERROR(IF([1]对账明细接口!$R72=0,"",[1]对账明细接口!$R72),"")</f>
        <v>苏M*7G796</v>
      </c>
      <c r="X72" s="20" t="str">
        <f>IFERROR(IF([1]对账明细接口!$S72=0,"",[1]对账明细接口!$S72),"")</f>
        <v>自备筐</v>
      </c>
      <c r="Y72" s="20">
        <f>IFERROR(IF([1]对账明细接口!$T72=0,"",[1]对账明细接口!$T72),"")</f>
      </c>
      <c r="Z72" s="213">
        <f>IFERROR(IF([1]对账明细接口!$U72=0,"",[1]对账明细接口!$U72),"")</f>
      </c>
      <c r="AA72" s="213">
        <f>IFERROR(IF([1]对账明细接口!$V72=0,"",[1]对账明细接口!$V72),"")</f>
      </c>
      <c r="AB72" s="20">
        <f>IFERROR(IF([1]对账明细接口!$W72=0,"",[1]对账明细接口!$W72),"")</f>
      </c>
      <c r="AC72" s="7">
        <f>IFERROR(IF([1]对账明细接口!$X72=0,"",[1]对账明细接口!$X72),"")</f>
      </c>
      <c r="AD72" s="7">
        <f>IFERROR(IF([1]对账明细接口!$Y72=0,"",[1]对账明细接口!$Y72),"")</f>
      </c>
      <c r="AE72" s="7">
        <f>IFERROR(IF([1]对账明细接口!$AA72=0,"",[1]对账明细接口!$AA72),"")</f>
      </c>
      <c r="AF72" s="7">
        <f>IFERROR(IF([1]对账明细接口!$AB72=0,"",[1]对账明细接口!$AB72),"")</f>
      </c>
      <c r="AG72" s="7">
        <f>IFERROR(IF([1]对账明细接口!$AC72=0,"",[1]对账明细接口!$AC72),"")</f>
      </c>
      <c r="AH72" s="7">
        <f>IFERROR(IF([1]对账明细接口!$AD72=0,"",[1]对账明细接口!$AD72),"")</f>
      </c>
      <c r="AI72" s="7">
        <f>IFERROR(IF([1]对账明细接口!$AE72=0,"",[1]对账明细接口!$AE72),"")</f>
      </c>
      <c r="AJ72" s="7">
        <f>IFERROR(IF([1]对账明细接口!$AF72=0,"",[1]对账明细接口!$AF72),"")</f>
      </c>
    </row>
    <row r="73" ht="14.25" customHeight="1" s="127">
      <c r="A73" s="14" t="n">
        <v>73</v>
      </c>
      <c r="B73" s="211">
        <f>IFERROR(IF([1]对账明细接口!$B$73=0,"",[1]对账明细接口!$B$73),"")</f>
        <v>46253.0</v>
      </c>
      <c r="C73" s="16" t="str">
        <f>IFERROR(IF([1]对账明细接口!$C$73=0,"",[1]对账明细接口!$C$73),"")</f>
        <v>聂新平</v>
      </c>
      <c r="D73" s="16" t="str">
        <f>IFERROR(IF([1]对账明细接口!$D$73=0,"",[1]对账明细接口!$D$73),"")</f>
        <v>原料入库</v>
      </c>
      <c r="E73" s="16" t="str">
        <f>IFERROR(IF([1]对账明细接口!$E$73=0,"",[1]对账明细接口!$E$73),"")</f>
        <v>NO:0000703</v>
      </c>
      <c r="F73" s="16" t="str">
        <f>IFERROR(IF([1]对账明细接口!$F$73=0,"",[1]对账明细接口!$F$73),"")</f>
        <v>西梅</v>
      </c>
      <c r="G73" s="16" t="str">
        <f>IFERROR(IF([1]对账明细接口!$G$73=0,"",[1]对账明细接口!$G$73),"")</f>
        <v>西梅三级</v>
      </c>
      <c r="H73" s="176">
        <f>IFERROR(IF([1]对账明细接口!$H$73=0,"",[1]对账明细接口!$H$73),"")</f>
        <v>36</v>
      </c>
      <c r="I73" s="16" t="str">
        <f>IFERROR(IF([1]对账明细接口!$I$73=0,"",[1]对账明细接口!$I$73),"")</f>
        <v>筐</v>
      </c>
      <c r="J73" s="177">
        <f>IFERROR(IF([1]对账明细接口!$J$73=0,"",[1]对账明细接口!$J$73),"")</f>
        <v>72</v>
      </c>
      <c r="K73" s="177">
        <f>IFERROR(IF([1]对账明细接口!$K$73=0,"",[1]对账明细接口!$K$73),"")</f>
      </c>
      <c r="L73" s="16">
        <f>IFERROR(IF([1]对账明细接口!$L$73=0,"",[1]对账明细接口!$L$73),"")</f>
      </c>
      <c r="M73" s="16">
        <f>IFERROR(IF([1]对账明细接口!$M$73=0,"",[1]对账明细接口!$M$73),"")</f>
      </c>
      <c r="N73" s="19">
        <f>IF($C73="",0,1)</f>
        <v>1</v>
      </c>
      <c r="O73" s="19">
        <f>N(O72)+$N73</f>
        <v>70</v>
      </c>
      <c r="S73" s="20" t="str">
        <f>IFERROR(IF([1]对账明细接口!$N73=0,"",[1]对账明细接口!$N73),"")</f>
        <v>自备一次性筐</v>
      </c>
      <c r="T73" s="212">
        <f>IFERROR(IF([1]对账明细接口!$O73=0,"",[1]对账明细接口!$O73),"")</f>
      </c>
      <c r="U73" s="212">
        <f>IFERROR(IF([1]对账明细接口!$P73=0,"",[1]对账明细接口!$P73),"")</f>
      </c>
      <c r="V73" s="212">
        <f>IFERROR(IF([1]对账明细接口!$Q73=0,"",[1]对账明细接口!$Q73),"")</f>
        <v>36</v>
      </c>
      <c r="W73" s="20" t="str">
        <f>IFERROR(IF([1]对账明细接口!$R73=0,"",[1]对账明细接口!$R73),"")</f>
        <v>苏M*7G796</v>
      </c>
      <c r="X73" s="20" t="str">
        <f>IFERROR(IF([1]对账明细接口!$S73=0,"",[1]对账明细接口!$S73),"")</f>
        <v>自备筐</v>
      </c>
      <c r="Y73" s="20">
        <f>IFERROR(IF([1]对账明细接口!$T73=0,"",[1]对账明细接口!$T73),"")</f>
      </c>
      <c r="Z73" s="213">
        <f>IFERROR(IF([1]对账明细接口!$U73=0,"",[1]对账明细接口!$U73),"")</f>
      </c>
      <c r="AA73" s="213">
        <f>IFERROR(IF([1]对账明细接口!$V73=0,"",[1]对账明细接口!$V73),"")</f>
      </c>
      <c r="AB73" s="20">
        <f>IFERROR(IF([1]对账明细接口!$W73=0,"",[1]对账明细接口!$W73),"")</f>
      </c>
      <c r="AC73" s="7">
        <f>IFERROR(IF([1]对账明细接口!$X73=0,"",[1]对账明细接口!$X73),"")</f>
      </c>
      <c r="AD73" s="7">
        <f>IFERROR(IF([1]对账明细接口!$Y73=0,"",[1]对账明细接口!$Y73),"")</f>
      </c>
      <c r="AE73" s="7">
        <f>IFERROR(IF([1]对账明细接口!$AA73=0,"",[1]对账明细接口!$AA73),"")</f>
      </c>
      <c r="AF73" s="7">
        <f>IFERROR(IF([1]对账明细接口!$AB73=0,"",[1]对账明细接口!$AB73),"")</f>
      </c>
      <c r="AG73" s="7">
        <f>IFERROR(IF([1]对账明细接口!$AC73=0,"",[1]对账明细接口!$AC73),"")</f>
      </c>
      <c r="AH73" s="7">
        <f>IFERROR(IF([1]对账明细接口!$AD73=0,"",[1]对账明细接口!$AD73),"")</f>
      </c>
      <c r="AI73" s="7">
        <f>IFERROR(IF([1]对账明细接口!$AE73=0,"",[1]对账明细接口!$AE73),"")</f>
      </c>
      <c r="AJ73" s="7">
        <f>IFERROR(IF([1]对账明细接口!$AF73=0,"",[1]对账明细接口!$AF73),"")</f>
      </c>
    </row>
    <row r="74" ht="14.25" customHeight="1" s="127">
      <c r="A74" s="14" t="n">
        <v>74</v>
      </c>
      <c r="B74" s="211">
        <f>IFERROR(IF([1]对账明细接口!$B$74=0,"",[1]对账明细接口!$B$74),"")</f>
        <v>46253.0</v>
      </c>
      <c r="C74" s="16" t="str">
        <f>IFERROR(IF([1]对账明细接口!$C$74=0,"",[1]对账明细接口!$C$74),"")</f>
        <v>聂新平</v>
      </c>
      <c r="D74" s="16" t="str">
        <f>IFERROR(IF([1]对账明细接口!$D$74=0,"",[1]对账明细接口!$D$74),"")</f>
        <v>原料入库</v>
      </c>
      <c r="E74" s="16" t="str">
        <f>IFERROR(IF([1]对账明细接口!$E$74=0,"",[1]对账明细接口!$E$74),"")</f>
        <v>NO:0000704</v>
      </c>
      <c r="F74" s="16" t="str">
        <f>IFERROR(IF([1]对账明细接口!$F$74=0,"",[1]对账明细接口!$F$74),"")</f>
        <v>西梅</v>
      </c>
      <c r="G74" s="16" t="str">
        <f>IFERROR(IF([1]对账明细接口!$G$74=0,"",[1]对账明细接口!$G$74),"")</f>
        <v>西梅二级</v>
      </c>
      <c r="H74" s="176">
        <f>IFERROR(IF([1]对账明细接口!$H$74=0,"",[1]对账明细接口!$H$74),"")</f>
        <v>305</v>
      </c>
      <c r="I74" s="16" t="str">
        <f>IFERROR(IF([1]对账明细接口!$I$74=0,"",[1]对账明细接口!$I$74),"")</f>
        <v>筐</v>
      </c>
      <c r="J74" s="177">
        <f>IFERROR(IF([1]对账明细接口!$J$74=0,"",[1]对账明细接口!$J$74),"")</f>
        <v>610</v>
      </c>
      <c r="K74" s="177">
        <f>IFERROR(IF([1]对账明细接口!$K$74=0,"",[1]对账明细接口!$K$74),"")</f>
      </c>
      <c r="L74" s="16">
        <f>IFERROR(IF([1]对账明细接口!$L$74=0,"",[1]对账明细接口!$L$74),"")</f>
      </c>
      <c r="M74" s="16">
        <f>IFERROR(IF([1]对账明细接口!$M$74=0,"",[1]对账明细接口!$M$74),"")</f>
      </c>
      <c r="N74" s="19">
        <f>IF($C74="",0,1)</f>
        <v>1</v>
      </c>
      <c r="O74" s="19">
        <f>N(O73)+$N74</f>
        <v>71</v>
      </c>
      <c r="S74" s="20" t="str">
        <f>IFERROR(IF([1]对账明细接口!$N74=0,"",[1]对账明细接口!$N74),"")</f>
        <v>自备一次性筐</v>
      </c>
      <c r="T74" s="212">
        <f>IFERROR(IF([1]对账明细接口!$O74=0,"",[1]对账明细接口!$O74),"")</f>
      </c>
      <c r="U74" s="212">
        <f>IFERROR(IF([1]对账明细接口!$P74=0,"",[1]对账明细接口!$P74),"")</f>
      </c>
      <c r="V74" s="212">
        <f>IFERROR(IF([1]对账明细接口!$Q74=0,"",[1]对账明细接口!$Q74),"")</f>
        <v>305</v>
      </c>
      <c r="W74" s="20" t="str">
        <f>IFERROR(IF([1]对账明细接口!$R74=0,"",[1]对账明细接口!$R74),"")</f>
        <v>苏M*7G796</v>
      </c>
      <c r="X74" s="20" t="str">
        <f>IFERROR(IF([1]对账明细接口!$S74=0,"",[1]对账明细接口!$S74),"")</f>
        <v>自备筐</v>
      </c>
      <c r="Y74" s="20">
        <f>IFERROR(IF([1]对账明细接口!$T74=0,"",[1]对账明细接口!$T74),"")</f>
      </c>
      <c r="Z74" s="213">
        <f>IFERROR(IF([1]对账明细接口!$U74=0,"",[1]对账明细接口!$U74),"")</f>
      </c>
      <c r="AA74" s="213">
        <f>IFERROR(IF([1]对账明细接口!$V74=0,"",[1]对账明细接口!$V74),"")</f>
      </c>
      <c r="AB74" s="20">
        <f>IFERROR(IF([1]对账明细接口!$W74=0,"",[1]对账明细接口!$W74),"")</f>
      </c>
      <c r="AC74" s="7">
        <f>IFERROR(IF([1]对账明细接口!$X74=0,"",[1]对账明细接口!$X74),"")</f>
      </c>
      <c r="AD74" s="7">
        <f>IFERROR(IF([1]对账明细接口!$Y74=0,"",[1]对账明细接口!$Y74),"")</f>
      </c>
      <c r="AE74" s="7">
        <f>IFERROR(IF([1]对账明细接口!$AA74=0,"",[1]对账明细接口!$AA74),"")</f>
      </c>
      <c r="AF74" s="7">
        <f>IFERROR(IF([1]对账明细接口!$AB74=0,"",[1]对账明细接口!$AB74),"")</f>
      </c>
      <c r="AG74" s="7">
        <f>IFERROR(IF([1]对账明细接口!$AC74=0,"",[1]对账明细接口!$AC74),"")</f>
      </c>
      <c r="AH74" s="7">
        <f>IFERROR(IF([1]对账明细接口!$AD74=0,"",[1]对账明细接口!$AD74),"")</f>
      </c>
      <c r="AI74" s="7">
        <f>IFERROR(IF([1]对账明细接口!$AE74=0,"",[1]对账明细接口!$AE74),"")</f>
      </c>
      <c r="AJ74" s="7">
        <f>IFERROR(IF([1]对账明细接口!$AF74=0,"",[1]对账明细接口!$AF74),"")</f>
      </c>
    </row>
    <row r="75" ht="14.25" customHeight="1" s="127">
      <c r="A75" s="14" t="n">
        <v>75</v>
      </c>
      <c r="B75" s="211">
        <f>IFERROR(IF([1]对账明细接口!$B$75=0,"",[1]对账明细接口!$B$75),"")</f>
        <v>46253.0</v>
      </c>
      <c r="C75" s="16" t="str">
        <f>IFERROR(IF([1]对账明细接口!$C$75=0,"",[1]对账明细接口!$C$75),"")</f>
        <v>聂新平</v>
      </c>
      <c r="D75" s="16" t="str">
        <f>IFERROR(IF([1]对账明细接口!$D$75=0,"",[1]对账明细接口!$D$75),"")</f>
        <v>原料入库</v>
      </c>
      <c r="E75" s="16" t="str">
        <f>IFERROR(IF([1]对账明细接口!$E$75=0,"",[1]对账明细接口!$E$75),"")</f>
        <v>NO:0000704</v>
      </c>
      <c r="F75" s="16" t="str">
        <f>IFERROR(IF([1]对账明细接口!$F$75=0,"",[1]对账明细接口!$F$75),"")</f>
        <v>西梅</v>
      </c>
      <c r="G75" s="16" t="str">
        <f>IFERROR(IF([1]对账明细接口!$G$75=0,"",[1]对账明细接口!$G$75),"")</f>
        <v>西梅三级</v>
      </c>
      <c r="H75" s="176">
        <f>IFERROR(IF([1]对账明细接口!$H$75=0,"",[1]对账明细接口!$H$75),"")</f>
        <v>163</v>
      </c>
      <c r="I75" s="16" t="str">
        <f>IFERROR(IF([1]对账明细接口!$I$75=0,"",[1]对账明细接口!$I$75),"")</f>
        <v>筐</v>
      </c>
      <c r="J75" s="177">
        <f>IFERROR(IF([1]对账明细接口!$J$75=0,"",[1]对账明细接口!$J$75),"")</f>
        <v>326</v>
      </c>
      <c r="K75" s="177">
        <f>IFERROR(IF([1]对账明细接口!$K$75=0,"",[1]对账明细接口!$K$75),"")</f>
      </c>
      <c r="L75" s="16">
        <f>IFERROR(IF([1]对账明细接口!$L$75=0,"",[1]对账明细接口!$L$75),"")</f>
      </c>
      <c r="M75" s="16">
        <f>IFERROR(IF([1]对账明细接口!$M$75=0,"",[1]对账明细接口!$M$75),"")</f>
      </c>
      <c r="N75" s="19">
        <f>IF($C75="",0,1)</f>
        <v>1</v>
      </c>
      <c r="O75" s="19">
        <f>N(O74)+$N75</f>
        <v>72</v>
      </c>
      <c r="S75" s="20" t="str">
        <f>IFERROR(IF([1]对账明细接口!$N75=0,"",[1]对账明细接口!$N75),"")</f>
        <v>自备一次性筐</v>
      </c>
      <c r="T75" s="212">
        <f>IFERROR(IF([1]对账明细接口!$O75=0,"",[1]对账明细接口!$O75),"")</f>
      </c>
      <c r="U75" s="212">
        <f>IFERROR(IF([1]对账明细接口!$P75=0,"",[1]对账明细接口!$P75),"")</f>
      </c>
      <c r="V75" s="212">
        <f>IFERROR(IF([1]对账明细接口!$Q75=0,"",[1]对账明细接口!$Q75),"")</f>
        <v>163</v>
      </c>
      <c r="W75" s="20" t="str">
        <f>IFERROR(IF([1]对账明细接口!$R75=0,"",[1]对账明细接口!$R75),"")</f>
        <v>苏M*7G796</v>
      </c>
      <c r="X75" s="20" t="str">
        <f>IFERROR(IF([1]对账明细接口!$S75=0,"",[1]对账明细接口!$S75),"")</f>
        <v>自备筐</v>
      </c>
      <c r="Y75" s="20">
        <f>IFERROR(IF([1]对账明细接口!$T75=0,"",[1]对账明细接口!$T75),"")</f>
      </c>
      <c r="Z75" s="213">
        <f>IFERROR(IF([1]对账明细接口!$U75=0,"",[1]对账明细接口!$U75),"")</f>
      </c>
      <c r="AA75" s="213">
        <f>IFERROR(IF([1]对账明细接口!$V75=0,"",[1]对账明细接口!$V75),"")</f>
      </c>
      <c r="AB75" s="20">
        <f>IFERROR(IF([1]对账明细接口!$W75=0,"",[1]对账明细接口!$W75),"")</f>
      </c>
      <c r="AC75" s="7">
        <f>IFERROR(IF([1]对账明细接口!$X75=0,"",[1]对账明细接口!$X75),"")</f>
      </c>
      <c r="AD75" s="7">
        <f>IFERROR(IF([1]对账明细接口!$Y75=0,"",[1]对账明细接口!$Y75),"")</f>
      </c>
      <c r="AE75" s="7">
        <f>IFERROR(IF([1]对账明细接口!$AA75=0,"",[1]对账明细接口!$AA75),"")</f>
      </c>
      <c r="AF75" s="7">
        <f>IFERROR(IF([1]对账明细接口!$AB75=0,"",[1]对账明细接口!$AB75),"")</f>
      </c>
      <c r="AG75" s="7">
        <f>IFERROR(IF([1]对账明细接口!$AC75=0,"",[1]对账明细接口!$AC75),"")</f>
      </c>
      <c r="AH75" s="7">
        <f>IFERROR(IF([1]对账明细接口!$AD75=0,"",[1]对账明细接口!$AD75),"")</f>
      </c>
      <c r="AI75" s="7">
        <f>IFERROR(IF([1]对账明细接口!$AE75=0,"",[1]对账明细接口!$AE75),"")</f>
      </c>
      <c r="AJ75" s="7">
        <f>IFERROR(IF([1]对账明细接口!$AF75=0,"",[1]对账明细接口!$AF75),"")</f>
      </c>
    </row>
    <row r="76" ht="14.25" customHeight="1" s="127">
      <c r="A76" s="14" t="n">
        <v>76</v>
      </c>
      <c r="B76" s="211">
        <f>IFERROR(IF([1]对账明细接口!$B$76=0,"",[1]对账明细接口!$B$76),"")</f>
        <v>46253.0</v>
      </c>
      <c r="C76" s="16" t="str">
        <f>IFERROR(IF([1]对账明细接口!$C$76=0,"",[1]对账明细接口!$C$76),"")</f>
        <v>聂新平</v>
      </c>
      <c r="D76" s="16" t="str">
        <f>IFERROR(IF([1]对账明细接口!$D$76=0,"",[1]对账明细接口!$D$76),"")</f>
        <v>原料入库</v>
      </c>
      <c r="E76" s="16" t="str">
        <f>IFERROR(IF([1]对账明细接口!$E$76=0,"",[1]对账明细接口!$E$76),"")</f>
        <v>NO:0000705</v>
      </c>
      <c r="F76" s="16" t="str">
        <f>IFERROR(IF([1]对账明细接口!$F$76=0,"",[1]对账明细接口!$F$76),"")</f>
        <v>西梅</v>
      </c>
      <c r="G76" s="16" t="str">
        <f>IFERROR(IF([1]对账明细接口!$G$76=0,"",[1]对账明细接口!$G$76),"")</f>
        <v>西梅一级</v>
      </c>
      <c r="H76" s="176">
        <f>IFERROR(IF([1]对账明细接口!$H$76=0,"",[1]对账明细接口!$H$76),"")</f>
        <v>105</v>
      </c>
      <c r="I76" s="16" t="str">
        <f>IFERROR(IF([1]对账明细接口!$I$76=0,"",[1]对账明细接口!$I$76),"")</f>
        <v>筐</v>
      </c>
      <c r="J76" s="177">
        <f>IFERROR(IF([1]对账明细接口!$J$76=0,"",[1]对账明细接口!$J$76),"")</f>
        <v>735</v>
      </c>
      <c r="K76" s="177">
        <f>IFERROR(IF([1]对账明细接口!$K$76=0,"",[1]对账明细接口!$K$76),"")</f>
      </c>
      <c r="L76" s="16">
        <f>IFERROR(IF([1]对账明细接口!$L$76=0,"",[1]对账明细接口!$L$76),"")</f>
      </c>
      <c r="M76" s="16">
        <f>IFERROR(IF([1]对账明细接口!$M$76=0,"",[1]对账明细接口!$M$76),"")</f>
      </c>
      <c r="N76" s="19">
        <f>IF($C76="",0,1)</f>
        <v>1</v>
      </c>
      <c r="O76" s="19">
        <f>N(O75)+$N76</f>
        <v>73</v>
      </c>
      <c r="S76" s="20" t="str">
        <f>IFERROR(IF([1]对账明细接口!$N76=0,"",[1]对账明细接口!$N76),"")</f>
        <v>自备一次性筐</v>
      </c>
      <c r="T76" s="212">
        <f>IFERROR(IF([1]对账明细接口!$O76=0,"",[1]对账明细接口!$O76),"")</f>
      </c>
      <c r="U76" s="212">
        <f>IFERROR(IF([1]对账明细接口!$P76=0,"",[1]对账明细接口!$P76),"")</f>
      </c>
      <c r="V76" s="212">
        <f>IFERROR(IF([1]对账明细接口!$Q76=0,"",[1]对账明细接口!$Q76),"")</f>
        <v>105</v>
      </c>
      <c r="W76" s="20" t="str">
        <f>IFERROR(IF([1]对账明细接口!$R76=0,"",[1]对账明细接口!$R76),"")</f>
        <v>苏M*7G796</v>
      </c>
      <c r="X76" s="20" t="str">
        <f>IFERROR(IF([1]对账明细接口!$S76=0,"",[1]对账明细接口!$S76),"")</f>
        <v>自备筐</v>
      </c>
      <c r="Y76" s="20">
        <f>IFERROR(IF([1]对账明细接口!$T76=0,"",[1]对账明细接口!$T76),"")</f>
      </c>
      <c r="Z76" s="213">
        <f>IFERROR(IF([1]对账明细接口!$U76=0,"",[1]对账明细接口!$U76),"")</f>
      </c>
      <c r="AA76" s="213">
        <f>IFERROR(IF([1]对账明细接口!$V76=0,"",[1]对账明细接口!$V76),"")</f>
      </c>
      <c r="AB76" s="20">
        <f>IFERROR(IF([1]对账明细接口!$W76=0,"",[1]对账明细接口!$W76),"")</f>
      </c>
      <c r="AC76" s="7">
        <f>IFERROR(IF([1]对账明细接口!$X76=0,"",[1]对账明细接口!$X76),"")</f>
      </c>
      <c r="AD76" s="7">
        <f>IFERROR(IF([1]对账明细接口!$Y76=0,"",[1]对账明细接口!$Y76),"")</f>
      </c>
      <c r="AE76" s="7">
        <f>IFERROR(IF([1]对账明细接口!$AA76=0,"",[1]对账明细接口!$AA76),"")</f>
      </c>
      <c r="AF76" s="7">
        <f>IFERROR(IF([1]对账明细接口!$AB76=0,"",[1]对账明细接口!$AB76),"")</f>
      </c>
      <c r="AG76" s="7">
        <f>IFERROR(IF([1]对账明细接口!$AC76=0,"",[1]对账明细接口!$AC76),"")</f>
      </c>
      <c r="AH76" s="7">
        <f>IFERROR(IF([1]对账明细接口!$AD76=0,"",[1]对账明细接口!$AD76),"")</f>
      </c>
      <c r="AI76" s="7">
        <f>IFERROR(IF([1]对账明细接口!$AE76=0,"",[1]对账明细接口!$AE76),"")</f>
      </c>
      <c r="AJ76" s="7">
        <f>IFERROR(IF([1]对账明细接口!$AF76=0,"",[1]对账明细接口!$AF76),"")</f>
      </c>
    </row>
    <row r="77" ht="14.25" customHeight="1" s="127">
      <c r="A77" s="14" t="n">
        <v>77</v>
      </c>
      <c r="B77" s="211">
        <f>IFERROR(IF([1]对账明细接口!$B$77=0,"",[1]对账明细接口!$B$77),"")</f>
        <v>46253.0</v>
      </c>
      <c r="C77" s="16" t="str">
        <f>IFERROR(IF([1]对账明细接口!$C$77=0,"",[1]对账明细接口!$C$77),"")</f>
        <v>聂新平</v>
      </c>
      <c r="D77" s="16" t="str">
        <f>IFERROR(IF([1]对账明细接口!$D$77=0,"",[1]对账明细接口!$D$77),"")</f>
        <v>原料入库</v>
      </c>
      <c r="E77" s="16" t="str">
        <f>IFERROR(IF([1]对账明细接口!$E$77=0,"",[1]对账明细接口!$E$77),"")</f>
        <v>NO:0000705</v>
      </c>
      <c r="F77" s="16" t="str">
        <f>IFERROR(IF([1]对账明细接口!$F$77=0,"",[1]对账明细接口!$F$77),"")</f>
        <v>西梅</v>
      </c>
      <c r="G77" s="16" t="str">
        <f>IFERROR(IF([1]对账明细接口!$G$77=0,"",[1]对账明细接口!$G$77),"")</f>
        <v>西梅二级</v>
      </c>
      <c r="H77" s="176">
        <f>IFERROR(IF([1]对账明细接口!$H$77=0,"",[1]对账明细接口!$H$77),"")</f>
        <v>147</v>
      </c>
      <c r="I77" s="16" t="str">
        <f>IFERROR(IF([1]对账明细接口!$I$77=0,"",[1]对账明细接口!$I$77),"")</f>
        <v>筐</v>
      </c>
      <c r="J77" s="177">
        <f>IFERROR(IF([1]对账明细接口!$J$77=0,"",[1]对账明细接口!$J$77),"")</f>
        <v>294</v>
      </c>
      <c r="K77" s="177">
        <f>IFERROR(IF([1]对账明细接口!$K$77=0,"",[1]对账明细接口!$K$77),"")</f>
      </c>
      <c r="L77" s="16">
        <f>IFERROR(IF([1]对账明细接口!$L$77=0,"",[1]对账明细接口!$L$77),"")</f>
      </c>
      <c r="M77" s="16">
        <f>IFERROR(IF([1]对账明细接口!$M$77=0,"",[1]对账明细接口!$M$77),"")</f>
      </c>
      <c r="N77" s="19">
        <f>IF($C77="",0,1)</f>
        <v>1</v>
      </c>
      <c r="O77" s="19">
        <f>N(O76)+$N77</f>
        <v>74</v>
      </c>
      <c r="S77" s="20" t="str">
        <f>IFERROR(IF([1]对账明细接口!$N77=0,"",[1]对账明细接口!$N77),"")</f>
        <v>自备一次性筐</v>
      </c>
      <c r="T77" s="212">
        <f>IFERROR(IF([1]对账明细接口!$O77=0,"",[1]对账明细接口!$O77),"")</f>
      </c>
      <c r="U77" s="212">
        <f>IFERROR(IF([1]对账明细接口!$P77=0,"",[1]对账明细接口!$P77),"")</f>
      </c>
      <c r="V77" s="212">
        <f>IFERROR(IF([1]对账明细接口!$Q77=0,"",[1]对账明细接口!$Q77),"")</f>
        <v>147</v>
      </c>
      <c r="W77" s="20" t="str">
        <f>IFERROR(IF([1]对账明细接口!$R77=0,"",[1]对账明细接口!$R77),"")</f>
        <v>苏M*7G796</v>
      </c>
      <c r="X77" s="20" t="str">
        <f>IFERROR(IF([1]对账明细接口!$S77=0,"",[1]对账明细接口!$S77),"")</f>
        <v>自备筐</v>
      </c>
      <c r="Y77" s="20">
        <f>IFERROR(IF([1]对账明细接口!$T77=0,"",[1]对账明细接口!$T77),"")</f>
      </c>
      <c r="Z77" s="213">
        <f>IFERROR(IF([1]对账明细接口!$U77=0,"",[1]对账明细接口!$U77),"")</f>
      </c>
      <c r="AA77" s="213">
        <f>IFERROR(IF([1]对账明细接口!$V77=0,"",[1]对账明细接口!$V77),"")</f>
      </c>
      <c r="AB77" s="20">
        <f>IFERROR(IF([1]对账明细接口!$W77=0,"",[1]对账明细接口!$W77),"")</f>
      </c>
      <c r="AC77" s="7">
        <f>IFERROR(IF([1]对账明细接口!$X77=0,"",[1]对账明细接口!$X77),"")</f>
      </c>
      <c r="AD77" s="7">
        <f>IFERROR(IF([1]对账明细接口!$Y77=0,"",[1]对账明细接口!$Y77),"")</f>
      </c>
      <c r="AE77" s="7">
        <f>IFERROR(IF([1]对账明细接口!$AA77=0,"",[1]对账明细接口!$AA77),"")</f>
      </c>
      <c r="AF77" s="7">
        <f>IFERROR(IF([1]对账明细接口!$AB77=0,"",[1]对账明细接口!$AB77),"")</f>
      </c>
      <c r="AG77" s="7">
        <f>IFERROR(IF([1]对账明细接口!$AC77=0,"",[1]对账明细接口!$AC77),"")</f>
      </c>
      <c r="AH77" s="7">
        <f>IFERROR(IF([1]对账明细接口!$AD77=0,"",[1]对账明细接口!$AD77),"")</f>
      </c>
      <c r="AI77" s="7">
        <f>IFERROR(IF([1]对账明细接口!$AE77=0,"",[1]对账明细接口!$AE77),"")</f>
      </c>
      <c r="AJ77" s="7">
        <f>IFERROR(IF([1]对账明细接口!$AF77=0,"",[1]对账明细接口!$AF77),"")</f>
      </c>
    </row>
    <row r="78" ht="14.25" customHeight="1" s="127">
      <c r="A78" s="14" t="n">
        <v>78</v>
      </c>
      <c r="B78" s="211">
        <f>IFERROR(IF([1]对账明细接口!$B$78=0,"",[1]对账明细接口!$B$78),"")</f>
        <v>46253.0</v>
      </c>
      <c r="C78" s="16" t="str">
        <f>IFERROR(IF([1]对账明细接口!$C$78=0,"",[1]对账明细接口!$C$78),"")</f>
        <v>聂新平</v>
      </c>
      <c r="D78" s="16" t="str">
        <f>IFERROR(IF([1]对账明细接口!$D$78=0,"",[1]对账明细接口!$D$78),"")</f>
        <v>原料入库</v>
      </c>
      <c r="E78" s="16" t="str">
        <f>IFERROR(IF([1]对账明细接口!$E$78=0,"",[1]对账明细接口!$E$78),"")</f>
        <v>NO:0000705</v>
      </c>
      <c r="F78" s="16" t="str">
        <f>IFERROR(IF([1]对账明细接口!$F$78=0,"",[1]对账明细接口!$F$78),"")</f>
        <v>西梅</v>
      </c>
      <c r="G78" s="16" t="str">
        <f>IFERROR(IF([1]对账明细接口!$G$78=0,"",[1]对账明细接口!$G$78),"")</f>
        <v>西梅三级</v>
      </c>
      <c r="H78" s="176">
        <f>IFERROR(IF([1]对账明细接口!$H$78=0,"",[1]对账明细接口!$H$78),"")</f>
        <v>107</v>
      </c>
      <c r="I78" s="16" t="str">
        <f>IFERROR(IF([1]对账明细接口!$I$78=0,"",[1]对账明细接口!$I$78),"")</f>
        <v>筐</v>
      </c>
      <c r="J78" s="177">
        <f>IFERROR(IF([1]对账明细接口!$J$78=0,"",[1]对账明细接口!$J$78),"")</f>
        <v>214</v>
      </c>
      <c r="K78" s="177">
        <f>IFERROR(IF([1]对账明细接口!$K$78=0,"",[1]对账明细接口!$K$78),"")</f>
      </c>
      <c r="L78" s="16">
        <f>IFERROR(IF([1]对账明细接口!$L$78=0,"",[1]对账明细接口!$L$78),"")</f>
      </c>
      <c r="M78" s="16">
        <f>IFERROR(IF([1]对账明细接口!$M$78=0,"",[1]对账明细接口!$M$78),"")</f>
      </c>
      <c r="N78" s="19">
        <f>IF($C78="",0,1)</f>
        <v>1</v>
      </c>
      <c r="O78" s="19">
        <f>N(O77)+$N78</f>
        <v>75</v>
      </c>
      <c r="S78" s="20" t="str">
        <f>IFERROR(IF([1]对账明细接口!$N78=0,"",[1]对账明细接口!$N78),"")</f>
        <v>自备一次性筐</v>
      </c>
      <c r="T78" s="212">
        <f>IFERROR(IF([1]对账明细接口!$O78=0,"",[1]对账明细接口!$O78),"")</f>
      </c>
      <c r="U78" s="212">
        <f>IFERROR(IF([1]对账明细接口!$P78=0,"",[1]对账明细接口!$P78),"")</f>
      </c>
      <c r="V78" s="212">
        <f>IFERROR(IF([1]对账明细接口!$Q78=0,"",[1]对账明细接口!$Q78),"")</f>
        <v>107</v>
      </c>
      <c r="W78" s="20" t="str">
        <f>IFERROR(IF([1]对账明细接口!$R78=0,"",[1]对账明细接口!$R78),"")</f>
        <v>苏M*7G796</v>
      </c>
      <c r="X78" s="20" t="str">
        <f>IFERROR(IF([1]对账明细接口!$S78=0,"",[1]对账明细接口!$S78),"")</f>
        <v>自备筐</v>
      </c>
      <c r="Y78" s="20">
        <f>IFERROR(IF([1]对账明细接口!$T78=0,"",[1]对账明细接口!$T78),"")</f>
      </c>
      <c r="Z78" s="213">
        <f>IFERROR(IF([1]对账明细接口!$U78=0,"",[1]对账明细接口!$U78),"")</f>
      </c>
      <c r="AA78" s="213">
        <f>IFERROR(IF([1]对账明细接口!$V78=0,"",[1]对账明细接口!$V78),"")</f>
      </c>
      <c r="AB78" s="20">
        <f>IFERROR(IF([1]对账明细接口!$W78=0,"",[1]对账明细接口!$W78),"")</f>
      </c>
      <c r="AC78" s="7">
        <f>IFERROR(IF([1]对账明细接口!$X78=0,"",[1]对账明细接口!$X78),"")</f>
      </c>
      <c r="AD78" s="7">
        <f>IFERROR(IF([1]对账明细接口!$Y78=0,"",[1]对账明细接口!$Y78),"")</f>
      </c>
      <c r="AE78" s="7">
        <f>IFERROR(IF([1]对账明细接口!$AA78=0,"",[1]对账明细接口!$AA78),"")</f>
      </c>
      <c r="AF78" s="7">
        <f>IFERROR(IF([1]对账明细接口!$AB78=0,"",[1]对账明细接口!$AB78),"")</f>
      </c>
      <c r="AG78" s="7">
        <f>IFERROR(IF([1]对账明细接口!$AC78=0,"",[1]对账明细接口!$AC78),"")</f>
      </c>
      <c r="AH78" s="7">
        <f>IFERROR(IF([1]对账明细接口!$AD78=0,"",[1]对账明细接口!$AD78),"")</f>
      </c>
      <c r="AI78" s="7">
        <f>IFERROR(IF([1]对账明细接口!$AE78=0,"",[1]对账明细接口!$AE78),"")</f>
      </c>
      <c r="AJ78" s="7">
        <f>IFERROR(IF([1]对账明细接口!$AF78=0,"",[1]对账明细接口!$AF78),"")</f>
      </c>
    </row>
    <row r="79" ht="14.25" customHeight="1" s="127">
      <c r="A79" s="14" t="n">
        <v>79</v>
      </c>
      <c r="B79" s="211">
        <f>IFERROR(IF([1]对账明细接口!$B$79=0,"",[1]对账明细接口!$B$79),"")</f>
        <v>46254.0</v>
      </c>
      <c r="C79" s="16" t="str">
        <f>IFERROR(IF([1]对账明细接口!$C$79=0,"",[1]对账明细接口!$C$79),"")</f>
        <v>聂新平</v>
      </c>
      <c r="D79" s="16" t="str">
        <f>IFERROR(IF([1]对账明细接口!$D$79=0,"",[1]对账明细接口!$D$79),"")</f>
        <v>原料入库</v>
      </c>
      <c r="E79" s="16" t="str">
        <f>IFERROR(IF([1]对账明细接口!$E$79=0,"",[1]对账明细接口!$E$79),"")</f>
        <v>NO:0000706</v>
      </c>
      <c r="F79" s="16" t="str">
        <f>IFERROR(IF([1]对账明细接口!$F$79=0,"",[1]对账明细接口!$F$79),"")</f>
        <v>西梅</v>
      </c>
      <c r="G79" s="16" t="str">
        <f>IFERROR(IF([1]对账明细接口!$G$79=0,"",[1]对账明细接口!$G$79),"")</f>
        <v>西梅二级</v>
      </c>
      <c r="H79" s="176">
        <f>IFERROR(IF([1]对账明细接口!$H$79=0,"",[1]对账明细接口!$H$79),"")</f>
        <v>283</v>
      </c>
      <c r="I79" s="16" t="str">
        <f>IFERROR(IF([1]对账明细接口!$I$79=0,"",[1]对账明细接口!$I$79),"")</f>
        <v>筐</v>
      </c>
      <c r="J79" s="177">
        <f>IFERROR(IF([1]对账明细接口!$J$79=0,"",[1]对账明细接口!$J$79),"")</f>
        <v>566</v>
      </c>
      <c r="K79" s="177">
        <f>IFERROR(IF([1]对账明细接口!$K$79=0,"",[1]对账明细接口!$K$79),"")</f>
      </c>
      <c r="L79" s="16">
        <f>IFERROR(IF([1]对账明细接口!$L$79=0,"",[1]对账明细接口!$L$79),"")</f>
      </c>
      <c r="M79" s="16">
        <f>IFERROR(IF([1]对账明细接口!$M$79=0,"",[1]对账明细接口!$M$79),"")</f>
      </c>
      <c r="N79" s="19">
        <f>IF($C79="",0,1)</f>
        <v>1</v>
      </c>
      <c r="O79" s="19">
        <f>N(O78)+$N79</f>
        <v>76</v>
      </c>
      <c r="S79" s="20" t="str">
        <f>IFERROR(IF([1]对账明细接口!$N79=0,"",[1]对账明细接口!$N79),"")</f>
        <v>自备一次性筐</v>
      </c>
      <c r="T79" s="212">
        <f>IFERROR(IF([1]对账明细接口!$O79=0,"",[1]对账明细接口!$O79),"")</f>
      </c>
      <c r="U79" s="212">
        <f>IFERROR(IF([1]对账明细接口!$P79=0,"",[1]对账明细接口!$P79),"")</f>
      </c>
      <c r="V79" s="212">
        <f>IFERROR(IF([1]对账明细接口!$Q79=0,"",[1]对账明细接口!$Q79),"")</f>
        <v>283</v>
      </c>
      <c r="W79" s="20" t="str">
        <f>IFERROR(IF([1]对账明细接口!$R79=0,"",[1]对账明细接口!$R79),"")</f>
        <v>苏M*7G796</v>
      </c>
      <c r="X79" s="20" t="str">
        <f>IFERROR(IF([1]对账明细接口!$S79=0,"",[1]对账明细接口!$S79),"")</f>
        <v>自备筐</v>
      </c>
      <c r="Y79" s="20">
        <f>IFERROR(IF([1]对账明细接口!$T79=0,"",[1]对账明细接口!$T79),"")</f>
      </c>
      <c r="Z79" s="213">
        <f>IFERROR(IF([1]对账明细接口!$U79=0,"",[1]对账明细接口!$U79),"")</f>
      </c>
      <c r="AA79" s="213">
        <f>IFERROR(IF([1]对账明细接口!$V79=0,"",[1]对账明细接口!$V79),"")</f>
      </c>
      <c r="AB79" s="20">
        <f>IFERROR(IF([1]对账明细接口!$W79=0,"",[1]对账明细接口!$W79),"")</f>
      </c>
      <c r="AC79" s="7">
        <f>IFERROR(IF([1]对账明细接口!$X79=0,"",[1]对账明细接口!$X79),"")</f>
      </c>
      <c r="AD79" s="7">
        <f>IFERROR(IF([1]对账明细接口!$Y79=0,"",[1]对账明细接口!$Y79),"")</f>
      </c>
      <c r="AE79" s="7">
        <f>IFERROR(IF([1]对账明细接口!$AA79=0,"",[1]对账明细接口!$AA79),"")</f>
      </c>
      <c r="AF79" s="7">
        <f>IFERROR(IF([1]对账明细接口!$AB79=0,"",[1]对账明细接口!$AB79),"")</f>
      </c>
      <c r="AG79" s="7">
        <f>IFERROR(IF([1]对账明细接口!$AC79=0,"",[1]对账明细接口!$AC79),"")</f>
      </c>
      <c r="AH79" s="7">
        <f>IFERROR(IF([1]对账明细接口!$AD79=0,"",[1]对账明细接口!$AD79),"")</f>
      </c>
      <c r="AI79" s="7">
        <f>IFERROR(IF([1]对账明细接口!$AE79=0,"",[1]对账明细接口!$AE79),"")</f>
      </c>
      <c r="AJ79" s="7">
        <f>IFERROR(IF([1]对账明细接口!$AF79=0,"",[1]对账明细接口!$AF79),"")</f>
      </c>
    </row>
    <row r="80" ht="14.25" customHeight="1" s="127">
      <c r="A80" s="14" t="n">
        <v>80</v>
      </c>
      <c r="B80" s="211">
        <f>IFERROR(IF([1]对账明细接口!$B$80=0,"",[1]对账明细接口!$B$80),"")</f>
        <v>46254.0</v>
      </c>
      <c r="C80" s="16" t="str">
        <f>IFERROR(IF([1]对账明细接口!$C$80=0,"",[1]对账明细接口!$C$80),"")</f>
        <v>聂新平</v>
      </c>
      <c r="D80" s="16" t="str">
        <f>IFERROR(IF([1]对账明细接口!$D$80=0,"",[1]对账明细接口!$D$80),"")</f>
        <v>原料入库</v>
      </c>
      <c r="E80" s="16" t="str">
        <f>IFERROR(IF([1]对账明细接口!$E$80=0,"",[1]对账明细接口!$E$80),"")</f>
        <v>NO:0000706</v>
      </c>
      <c r="F80" s="16" t="str">
        <f>IFERROR(IF([1]对账明细接口!$F$80=0,"",[1]对账明细接口!$F$80),"")</f>
        <v>西梅</v>
      </c>
      <c r="G80" s="16" t="str">
        <f>IFERROR(IF([1]对账明细接口!$G$80=0,"",[1]对账明细接口!$G$80),"")</f>
        <v>西梅三级</v>
      </c>
      <c r="H80" s="176">
        <f>IFERROR(IF([1]对账明细接口!$H$80=0,"",[1]对账明细接口!$H$80),"")</f>
        <v>185</v>
      </c>
      <c r="I80" s="16" t="str">
        <f>IFERROR(IF([1]对账明细接口!$I$80=0,"",[1]对账明细接口!$I$80),"")</f>
        <v>筐</v>
      </c>
      <c r="J80" s="177">
        <f>IFERROR(IF([1]对账明细接口!$J$80=0,"",[1]对账明细接口!$J$80),"")</f>
        <v>370</v>
      </c>
      <c r="K80" s="177">
        <f>IFERROR(IF([1]对账明细接口!$K$80=0,"",[1]对账明细接口!$K$80),"")</f>
      </c>
      <c r="L80" s="16">
        <f>IFERROR(IF([1]对账明细接口!$L$80=0,"",[1]对账明细接口!$L$80),"")</f>
      </c>
      <c r="M80" s="16">
        <f>IFERROR(IF([1]对账明细接口!$M$80=0,"",[1]对账明细接口!$M$80),"")</f>
      </c>
      <c r="N80" s="19">
        <f>IF($C80="",0,1)</f>
        <v>1</v>
      </c>
      <c r="O80" s="19">
        <f>N(O79)+$N80</f>
        <v>77</v>
      </c>
      <c r="S80" s="20" t="str">
        <f>IFERROR(IF([1]对账明细接口!$N80=0,"",[1]对账明细接口!$N80),"")</f>
        <v>自备一次性筐</v>
      </c>
      <c r="T80" s="212">
        <f>IFERROR(IF([1]对账明细接口!$O80=0,"",[1]对账明细接口!$O80),"")</f>
      </c>
      <c r="U80" s="212">
        <f>IFERROR(IF([1]对账明细接口!$P80=0,"",[1]对账明细接口!$P80),"")</f>
      </c>
      <c r="V80" s="212">
        <f>IFERROR(IF([1]对账明细接口!$Q80=0,"",[1]对账明细接口!$Q80),"")</f>
        <v>185</v>
      </c>
      <c r="W80" s="20" t="str">
        <f>IFERROR(IF([1]对账明细接口!$R80=0,"",[1]对账明细接口!$R80),"")</f>
        <v>苏M*7G796</v>
      </c>
      <c r="X80" s="20" t="str">
        <f>IFERROR(IF([1]对账明细接口!$S80=0,"",[1]对账明细接口!$S80),"")</f>
        <v>自备筐</v>
      </c>
      <c r="Y80" s="20">
        <f>IFERROR(IF([1]对账明细接口!$T80=0,"",[1]对账明细接口!$T80),"")</f>
      </c>
      <c r="Z80" s="213">
        <f>IFERROR(IF([1]对账明细接口!$U80=0,"",[1]对账明细接口!$U80),"")</f>
      </c>
      <c r="AA80" s="213">
        <f>IFERROR(IF([1]对账明细接口!$V80=0,"",[1]对账明细接口!$V80),"")</f>
      </c>
      <c r="AB80" s="20">
        <f>IFERROR(IF([1]对账明细接口!$W80=0,"",[1]对账明细接口!$W80),"")</f>
      </c>
      <c r="AC80" s="7">
        <f>IFERROR(IF([1]对账明细接口!$X80=0,"",[1]对账明细接口!$X80),"")</f>
      </c>
      <c r="AD80" s="7">
        <f>IFERROR(IF([1]对账明细接口!$Y80=0,"",[1]对账明细接口!$Y80),"")</f>
      </c>
      <c r="AE80" s="7">
        <f>IFERROR(IF([1]对账明细接口!$AA80=0,"",[1]对账明细接口!$AA80),"")</f>
      </c>
      <c r="AF80" s="7">
        <f>IFERROR(IF([1]对账明细接口!$AB80=0,"",[1]对账明细接口!$AB80),"")</f>
      </c>
      <c r="AG80" s="7">
        <f>IFERROR(IF([1]对账明细接口!$AC80=0,"",[1]对账明细接口!$AC80),"")</f>
      </c>
      <c r="AH80" s="7">
        <f>IFERROR(IF([1]对账明细接口!$AD80=0,"",[1]对账明细接口!$AD80),"")</f>
      </c>
      <c r="AI80" s="7">
        <f>IFERROR(IF([1]对账明细接口!$AE80=0,"",[1]对账明细接口!$AE80),"")</f>
      </c>
      <c r="AJ80" s="7">
        <f>IFERROR(IF([1]对账明细接口!$AF80=0,"",[1]对账明细接口!$AF80),"")</f>
      </c>
    </row>
    <row r="81" ht="14.25" customHeight="1" s="127">
      <c r="A81" s="14" t="n">
        <v>81</v>
      </c>
      <c r="B81" s="211">
        <f>IFERROR(IF([1]对账明细接口!$B$81=0,"",[1]对账明细接口!$B$81),"")</f>
        <v>46254.0</v>
      </c>
      <c r="C81" s="16" t="str">
        <f>IFERROR(IF([1]对账明细接口!$C$81=0,"",[1]对账明细接口!$C$81),"")</f>
        <v>聂新平</v>
      </c>
      <c r="D81" s="16" t="str">
        <f>IFERROR(IF([1]对账明细接口!$D$81=0,"",[1]对账明细接口!$D$81),"")</f>
        <v>原料入库</v>
      </c>
      <c r="E81" s="16" t="str">
        <f>IFERROR(IF([1]对账明细接口!$E$81=0,"",[1]对账明细接口!$E$81),"")</f>
        <v>NO:0000707</v>
      </c>
      <c r="F81" s="16" t="str">
        <f>IFERROR(IF([1]对账明细接口!$F$81=0,"",[1]对账明细接口!$F$81),"")</f>
        <v>西梅</v>
      </c>
      <c r="G81" s="16" t="str">
        <f>IFERROR(IF([1]对账明细接口!$G$81=0,"",[1]对账明细接口!$G$81),"")</f>
        <v>西梅一级</v>
      </c>
      <c r="H81" s="176">
        <f>IFERROR(IF([1]对账明细接口!$H$81=0,"",[1]对账明细接口!$H$81),"")</f>
        <v>16</v>
      </c>
      <c r="I81" s="16" t="str">
        <f>IFERROR(IF([1]对账明细接口!$I$81=0,"",[1]对账明细接口!$I$81),"")</f>
        <v>筐</v>
      </c>
      <c r="J81" s="177">
        <f>IFERROR(IF([1]对账明细接口!$J$81=0,"",[1]对账明细接口!$J$81),"")</f>
        <v>112</v>
      </c>
      <c r="K81" s="177">
        <f>IFERROR(IF([1]对账明细接口!$K$81=0,"",[1]对账明细接口!$K$81),"")</f>
      </c>
      <c r="L81" s="16">
        <f>IFERROR(IF([1]对账明细接口!$L$81=0,"",[1]对账明细接口!$L$81),"")</f>
      </c>
      <c r="M81" s="16">
        <f>IFERROR(IF([1]对账明细接口!$M$81=0,"",[1]对账明细接口!$M$81),"")</f>
      </c>
      <c r="N81" s="19">
        <f>IF($C81="",0,1)</f>
        <v>1</v>
      </c>
      <c r="O81" s="19">
        <f>N(O80)+$N81</f>
        <v>78</v>
      </c>
      <c r="S81" s="20" t="str">
        <f>IFERROR(IF([1]对账明细接口!$N81=0,"",[1]对账明细接口!$N81),"")</f>
        <v>自备一次性筐</v>
      </c>
      <c r="T81" s="212">
        <f>IFERROR(IF([1]对账明细接口!$O81=0,"",[1]对账明细接口!$O81),"")</f>
      </c>
      <c r="U81" s="212">
        <f>IFERROR(IF([1]对账明细接口!$P81=0,"",[1]对账明细接口!$P81),"")</f>
      </c>
      <c r="V81" s="212">
        <f>IFERROR(IF([1]对账明细接口!$Q81=0,"",[1]对账明细接口!$Q81),"")</f>
        <v>16</v>
      </c>
      <c r="W81" s="20" t="str">
        <f>IFERROR(IF([1]对账明细接口!$R81=0,"",[1]对账明细接口!$R81),"")</f>
        <v>苏M*7G796</v>
      </c>
      <c r="X81" s="20" t="str">
        <f>IFERROR(IF([1]对账明细接口!$S81=0,"",[1]对账明细接口!$S81),"")</f>
        <v>自备筐</v>
      </c>
      <c r="Y81" s="20">
        <f>IFERROR(IF([1]对账明细接口!$T81=0,"",[1]对账明细接口!$T81),"")</f>
      </c>
      <c r="Z81" s="213">
        <f>IFERROR(IF([1]对账明细接口!$U81=0,"",[1]对账明细接口!$U81),"")</f>
      </c>
      <c r="AA81" s="213">
        <f>IFERROR(IF([1]对账明细接口!$V81=0,"",[1]对账明细接口!$V81),"")</f>
      </c>
      <c r="AB81" s="20">
        <f>IFERROR(IF([1]对账明细接口!$W81=0,"",[1]对账明细接口!$W81),"")</f>
      </c>
      <c r="AC81" s="7">
        <f>IFERROR(IF([1]对账明细接口!$X81=0,"",[1]对账明细接口!$X81),"")</f>
      </c>
      <c r="AD81" s="7">
        <f>IFERROR(IF([1]对账明细接口!$Y81=0,"",[1]对账明细接口!$Y81),"")</f>
      </c>
      <c r="AE81" s="7">
        <f>IFERROR(IF([1]对账明细接口!$AA81=0,"",[1]对账明细接口!$AA81),"")</f>
      </c>
      <c r="AF81" s="7">
        <f>IFERROR(IF([1]对账明细接口!$AB81=0,"",[1]对账明细接口!$AB81),"")</f>
      </c>
      <c r="AG81" s="7">
        <f>IFERROR(IF([1]对账明细接口!$AC81=0,"",[1]对账明细接口!$AC81),"")</f>
      </c>
      <c r="AH81" s="7">
        <f>IFERROR(IF([1]对账明细接口!$AD81=0,"",[1]对账明细接口!$AD81),"")</f>
      </c>
      <c r="AI81" s="7">
        <f>IFERROR(IF([1]对账明细接口!$AE81=0,"",[1]对账明细接口!$AE81),"")</f>
      </c>
      <c r="AJ81" s="7">
        <f>IFERROR(IF([1]对账明细接口!$AF81=0,"",[1]对账明细接口!$AF81),"")</f>
      </c>
    </row>
    <row r="82" ht="14.25" customHeight="1" s="127">
      <c r="A82" s="14" t="n">
        <v>82</v>
      </c>
      <c r="B82" s="211">
        <f>IFERROR(IF([1]对账明细接口!$B$82=0,"",[1]对账明细接口!$B$82),"")</f>
        <v>46254.0</v>
      </c>
      <c r="C82" s="16" t="str">
        <f>IFERROR(IF([1]对账明细接口!$C$82=0,"",[1]对账明细接口!$C$82),"")</f>
        <v>聂新平</v>
      </c>
      <c r="D82" s="16" t="str">
        <f>IFERROR(IF([1]对账明细接口!$D$82=0,"",[1]对账明细接口!$D$82),"")</f>
        <v>原料入库</v>
      </c>
      <c r="E82" s="16" t="str">
        <f>IFERROR(IF([1]对账明细接口!$E$82=0,"",[1]对账明细接口!$E$82),"")</f>
        <v>NO:0000707</v>
      </c>
      <c r="F82" s="16" t="str">
        <f>IFERROR(IF([1]对账明细接口!$F$82=0,"",[1]对账明细接口!$F$82),"")</f>
        <v>西梅</v>
      </c>
      <c r="G82" s="16" t="str">
        <f>IFERROR(IF([1]对账明细接口!$G$82=0,"",[1]对账明细接口!$G$82),"")</f>
        <v>西梅三级</v>
      </c>
      <c r="H82" s="176">
        <f>IFERROR(IF([1]对账明细接口!$H$82=0,"",[1]对账明细接口!$H$82),"")</f>
        <v>28</v>
      </c>
      <c r="I82" s="16" t="str">
        <f>IFERROR(IF([1]对账明细接口!$I$82=0,"",[1]对账明细接口!$I$82),"")</f>
        <v>筐</v>
      </c>
      <c r="J82" s="177">
        <f>IFERROR(IF([1]对账明细接口!$J$82=0,"",[1]对账明细接口!$J$82),"")</f>
        <v>56</v>
      </c>
      <c r="K82" s="177">
        <f>IFERROR(IF([1]对账明细接口!$K$82=0,"",[1]对账明细接口!$K$82),"")</f>
      </c>
      <c r="L82" s="16">
        <f>IFERROR(IF([1]对账明细接口!$L$82=0,"",[1]对账明细接口!$L$82),"")</f>
      </c>
      <c r="M82" s="16">
        <f>IFERROR(IF([1]对账明细接口!$M$82=0,"",[1]对账明细接口!$M$82),"")</f>
      </c>
      <c r="N82" s="19">
        <f>IF($C82="",0,1)</f>
        <v>1</v>
      </c>
      <c r="O82" s="19">
        <f>N(O81)+$N82</f>
        <v>79</v>
      </c>
      <c r="S82" s="20" t="str">
        <f>IFERROR(IF([1]对账明细接口!$N82=0,"",[1]对账明细接口!$N82),"")</f>
        <v>自备一次性筐</v>
      </c>
      <c r="T82" s="212">
        <f>IFERROR(IF([1]对账明细接口!$O82=0,"",[1]对账明细接口!$O82),"")</f>
      </c>
      <c r="U82" s="212">
        <f>IFERROR(IF([1]对账明细接口!$P82=0,"",[1]对账明细接口!$P82),"")</f>
      </c>
      <c r="V82" s="212">
        <f>IFERROR(IF([1]对账明细接口!$Q82=0,"",[1]对账明细接口!$Q82),"")</f>
        <v>28</v>
      </c>
      <c r="W82" s="20" t="str">
        <f>IFERROR(IF([1]对账明细接口!$R82=0,"",[1]对账明细接口!$R82),"")</f>
        <v>苏M*7G796</v>
      </c>
      <c r="X82" s="20" t="str">
        <f>IFERROR(IF([1]对账明细接口!$S82=0,"",[1]对账明细接口!$S82),"")</f>
        <v>自备筐</v>
      </c>
      <c r="Y82" s="20">
        <f>IFERROR(IF([1]对账明细接口!$T82=0,"",[1]对账明细接口!$T82),"")</f>
      </c>
      <c r="Z82" s="213">
        <f>IFERROR(IF([1]对账明细接口!$U82=0,"",[1]对账明细接口!$U82),"")</f>
      </c>
      <c r="AA82" s="213">
        <f>IFERROR(IF([1]对账明细接口!$V82=0,"",[1]对账明细接口!$V82),"")</f>
      </c>
      <c r="AB82" s="20">
        <f>IFERROR(IF([1]对账明细接口!$W82=0,"",[1]对账明细接口!$W82),"")</f>
      </c>
      <c r="AC82" s="7">
        <f>IFERROR(IF([1]对账明细接口!$X82=0,"",[1]对账明细接口!$X82),"")</f>
      </c>
      <c r="AD82" s="7">
        <f>IFERROR(IF([1]对账明细接口!$Y82=0,"",[1]对账明细接口!$Y82),"")</f>
      </c>
      <c r="AE82" s="7">
        <f>IFERROR(IF([1]对账明细接口!$AA82=0,"",[1]对账明细接口!$AA82),"")</f>
      </c>
      <c r="AF82" s="7">
        <f>IFERROR(IF([1]对账明细接口!$AB82=0,"",[1]对账明细接口!$AB82),"")</f>
      </c>
      <c r="AG82" s="7">
        <f>IFERROR(IF([1]对账明细接口!$AC82=0,"",[1]对账明细接口!$AC82),"")</f>
      </c>
      <c r="AH82" s="7">
        <f>IFERROR(IF([1]对账明细接口!$AD82=0,"",[1]对账明细接口!$AD82),"")</f>
      </c>
      <c r="AI82" s="7">
        <f>IFERROR(IF([1]对账明细接口!$AE82=0,"",[1]对账明细接口!$AE82),"")</f>
      </c>
      <c r="AJ82" s="7">
        <f>IFERROR(IF([1]对账明细接口!$AF82=0,"",[1]对账明细接口!$AF82),"")</f>
      </c>
    </row>
    <row r="83" ht="14.25" customHeight="1" s="127">
      <c r="A83" s="14" t="n">
        <v>83</v>
      </c>
      <c r="B83" s="211">
        <f>IFERROR(IF([1]对账明细接口!$B$83=0,"",[1]对账明细接口!$B$83),"")</f>
        <v>46254.0</v>
      </c>
      <c r="C83" s="16" t="str">
        <f>IFERROR(IF([1]对账明细接口!$C$83=0,"",[1]对账明细接口!$C$83),"")</f>
        <v>聂新平</v>
      </c>
      <c r="D83" s="16" t="str">
        <f>IFERROR(IF([1]对账明细接口!$D$83=0,"",[1]对账明细接口!$D$83),"")</f>
        <v>原料入库</v>
      </c>
      <c r="E83" s="16" t="str">
        <f>IFERROR(IF([1]对账明细接口!$E$83=0,"",[1]对账明细接口!$E$83),"")</f>
        <v>NO:0000707</v>
      </c>
      <c r="F83" s="16" t="str">
        <f>IFERROR(IF([1]对账明细接口!$F$83=0,"",[1]对账明细接口!$F$83),"")</f>
        <v>西梅</v>
      </c>
      <c r="G83" s="16" t="str">
        <f>IFERROR(IF([1]对账明细接口!$G$83=0,"",[1]对账明细接口!$G$83),"")</f>
        <v>西梅二级</v>
      </c>
      <c r="H83" s="176">
        <f>IFERROR(IF([1]对账明细接口!$H$83=0,"",[1]对账明细接口!$H$83),"")</f>
        <v>133</v>
      </c>
      <c r="I83" s="16" t="str">
        <f>IFERROR(IF([1]对账明细接口!$I$83=0,"",[1]对账明细接口!$I$83),"")</f>
        <v>筐</v>
      </c>
      <c r="J83" s="177">
        <f>IFERROR(IF([1]对账明细接口!$J$83=0,"",[1]对账明细接口!$J$83),"")</f>
        <v>1197</v>
      </c>
      <c r="K83" s="177">
        <f>IFERROR(IF([1]对账明细接口!$K$83=0,"",[1]对账明细接口!$K$83),"")</f>
      </c>
      <c r="L83" s="16">
        <f>IFERROR(IF([1]对账明细接口!$L$83=0,"",[1]对账明细接口!$L$83),"")</f>
      </c>
      <c r="M83" s="16">
        <f>IFERROR(IF([1]对账明细接口!$M$83=0,"",[1]对账明细接口!$M$83),"")</f>
      </c>
      <c r="N83" s="19">
        <f>IF($C83="",0,1)</f>
        <v>1</v>
      </c>
      <c r="O83" s="19">
        <f>N(O82)+$N83</f>
        <v>80</v>
      </c>
      <c r="S83" s="20" t="str">
        <f>IFERROR(IF([1]对账明细接口!$N83=0,"",[1]对账明细接口!$N83),"")</f>
        <v>自备一次性筐</v>
      </c>
      <c r="T83" s="212">
        <f>IFERROR(IF([1]对账明细接口!$O83=0,"",[1]对账明细接口!$O83),"")</f>
      </c>
      <c r="U83" s="212">
        <f>IFERROR(IF([1]对账明细接口!$P83=0,"",[1]对账明细接口!$P83),"")</f>
      </c>
      <c r="V83" s="212">
        <f>IFERROR(IF([1]对账明细接口!$Q83=0,"",[1]对账明细接口!$Q83),"")</f>
        <v>133</v>
      </c>
      <c r="W83" s="20" t="str">
        <f>IFERROR(IF([1]对账明细接口!$R83=0,"",[1]对账明细接口!$R83),"")</f>
        <v>苏M*7G796</v>
      </c>
      <c r="X83" s="20" t="str">
        <f>IFERROR(IF([1]对账明细接口!$S83=0,"",[1]对账明细接口!$S83),"")</f>
        <v>自备筐</v>
      </c>
      <c r="Y83" s="20">
        <f>IFERROR(IF([1]对账明细接口!$T83=0,"",[1]对账明细接口!$T83),"")</f>
      </c>
      <c r="Z83" s="213">
        <f>IFERROR(IF([1]对账明细接口!$U83=0,"",[1]对账明细接口!$U83),"")</f>
      </c>
      <c r="AA83" s="213">
        <f>IFERROR(IF([1]对账明细接口!$V83=0,"",[1]对账明细接口!$V83),"")</f>
      </c>
      <c r="AB83" s="20">
        <f>IFERROR(IF([1]对账明细接口!$W83=0,"",[1]对账明细接口!$W83),"")</f>
      </c>
      <c r="AC83" s="7">
        <f>IFERROR(IF([1]对账明细接口!$X83=0,"",[1]对账明细接口!$X83),"")</f>
      </c>
      <c r="AD83" s="7">
        <f>IFERROR(IF([1]对账明细接口!$Y83=0,"",[1]对账明细接口!$Y83),"")</f>
      </c>
      <c r="AE83" s="7">
        <f>IFERROR(IF([1]对账明细接口!$AA83=0,"",[1]对账明细接口!$AA83),"")</f>
      </c>
      <c r="AF83" s="7">
        <f>IFERROR(IF([1]对账明细接口!$AB83=0,"",[1]对账明细接口!$AB83),"")</f>
      </c>
      <c r="AG83" s="7">
        <f>IFERROR(IF([1]对账明细接口!$AC83=0,"",[1]对账明细接口!$AC83),"")</f>
      </c>
      <c r="AH83" s="7">
        <f>IFERROR(IF([1]对账明细接口!$AD83=0,"",[1]对账明细接口!$AD83),"")</f>
      </c>
      <c r="AI83" s="7">
        <f>IFERROR(IF([1]对账明细接口!$AE83=0,"",[1]对账明细接口!$AE83),"")</f>
      </c>
      <c r="AJ83" s="7">
        <f>IFERROR(IF([1]对账明细接口!$AF83=0,"",[1]对账明细接口!$AF83),"")</f>
      </c>
    </row>
    <row r="84" ht="14.25" customHeight="1" s="127">
      <c r="A84" s="14" t="n">
        <v>84</v>
      </c>
      <c r="B84" s="211">
        <f>IFERROR(IF([1]对账明细接口!$B$84=0,"",[1]对账明细接口!$B$84),"")</f>
        <v>46254.0</v>
      </c>
      <c r="C84" s="16" t="str">
        <f>IFERROR(IF([1]对账明细接口!$C$84=0,"",[1]对账明细接口!$C$84),"")</f>
        <v>聂新平</v>
      </c>
      <c r="D84" s="16" t="str">
        <f>IFERROR(IF([1]对账明细接口!$D$84=0,"",[1]对账明细接口!$D$84),"")</f>
        <v>原料入库</v>
      </c>
      <c r="E84" s="16" t="str">
        <f>IFERROR(IF([1]对账明细接口!$E$84=0,"",[1]对账明细接口!$E$84),"")</f>
        <v>NO:0000708</v>
      </c>
      <c r="F84" s="16" t="str">
        <f>IFERROR(IF([1]对账明细接口!$F$84=0,"",[1]对账明细接口!$F$84),"")</f>
        <v>西梅</v>
      </c>
      <c r="G84" s="16" t="str">
        <f>IFERROR(IF([1]对账明细接口!$G$84=0,"",[1]对账明细接口!$G$84),"")</f>
        <v>西梅一级</v>
      </c>
      <c r="H84" s="176">
        <f>IFERROR(IF([1]对账明细接口!$H$84=0,"",[1]对账明细接口!$H$84),"")</f>
        <v>60</v>
      </c>
      <c r="I84" s="16" t="str">
        <f>IFERROR(IF([1]对账明细接口!$I$84=0,"",[1]对账明细接口!$I$84),"")</f>
        <v>筐</v>
      </c>
      <c r="J84" s="177">
        <f>IFERROR(IF([1]对账明细接口!$J$84=0,"",[1]对账明细接口!$J$84),"")</f>
        <v>420</v>
      </c>
      <c r="K84" s="177">
        <f>IFERROR(IF([1]对账明细接口!$K$84=0,"",[1]对账明细接口!$K$84),"")</f>
      </c>
      <c r="L84" s="16">
        <f>IFERROR(IF([1]对账明细接口!$L$84=0,"",[1]对账明细接口!$L$84),"")</f>
      </c>
      <c r="M84" s="16">
        <f>IFERROR(IF([1]对账明细接口!$M$84=0,"",[1]对账明细接口!$M$84),"")</f>
      </c>
      <c r="N84" s="19">
        <f>IF($C84="",0,1)</f>
        <v>1</v>
      </c>
      <c r="O84" s="19">
        <f>N(O83)+$N84</f>
        <v>81</v>
      </c>
      <c r="S84" s="20" t="str">
        <f>IFERROR(IF([1]对账明细接口!$N84=0,"",[1]对账明细接口!$N84),"")</f>
        <v>自备一次性筐</v>
      </c>
      <c r="T84" s="212">
        <f>IFERROR(IF([1]对账明细接口!$O84=0,"",[1]对账明细接口!$O84),"")</f>
      </c>
      <c r="U84" s="212">
        <f>IFERROR(IF([1]对账明细接口!$P84=0,"",[1]对账明细接口!$P84),"")</f>
      </c>
      <c r="V84" s="212">
        <f>IFERROR(IF([1]对账明细接口!$Q84=0,"",[1]对账明细接口!$Q84),"")</f>
        <v>60</v>
      </c>
      <c r="W84" s="20" t="str">
        <f>IFERROR(IF([1]对账明细接口!$R84=0,"",[1]对账明细接口!$R84),"")</f>
        <v>苏M*7G796</v>
      </c>
      <c r="X84" s="20" t="str">
        <f>IFERROR(IF([1]对账明细接口!$S84=0,"",[1]对账明细接口!$S84),"")</f>
        <v>自备筐</v>
      </c>
      <c r="Y84" s="20">
        <f>IFERROR(IF([1]对账明细接口!$T84=0,"",[1]对账明细接口!$T84),"")</f>
      </c>
      <c r="Z84" s="213">
        <f>IFERROR(IF([1]对账明细接口!$U84=0,"",[1]对账明细接口!$U84),"")</f>
      </c>
      <c r="AA84" s="213">
        <f>IFERROR(IF([1]对账明细接口!$V84=0,"",[1]对账明细接口!$V84),"")</f>
      </c>
      <c r="AB84" s="20">
        <f>IFERROR(IF([1]对账明细接口!$W84=0,"",[1]对账明细接口!$W84),"")</f>
      </c>
      <c r="AC84" s="7">
        <f>IFERROR(IF([1]对账明细接口!$X84=0,"",[1]对账明细接口!$X84),"")</f>
      </c>
      <c r="AD84" s="7">
        <f>IFERROR(IF([1]对账明细接口!$Y84=0,"",[1]对账明细接口!$Y84),"")</f>
      </c>
      <c r="AE84" s="7">
        <f>IFERROR(IF([1]对账明细接口!$AA84=0,"",[1]对账明细接口!$AA84),"")</f>
      </c>
      <c r="AF84" s="7">
        <f>IFERROR(IF([1]对账明细接口!$AB84=0,"",[1]对账明细接口!$AB84),"")</f>
      </c>
      <c r="AG84" s="7">
        <f>IFERROR(IF([1]对账明细接口!$AC84=0,"",[1]对账明细接口!$AC84),"")</f>
      </c>
      <c r="AH84" s="7">
        <f>IFERROR(IF([1]对账明细接口!$AD84=0,"",[1]对账明细接口!$AD84),"")</f>
      </c>
      <c r="AI84" s="7">
        <f>IFERROR(IF([1]对账明细接口!$AE84=0,"",[1]对账明细接口!$AE84),"")</f>
      </c>
      <c r="AJ84" s="7">
        <f>IFERROR(IF([1]对账明细接口!$AF84=0,"",[1]对账明细接口!$AF84),"")</f>
      </c>
    </row>
    <row r="85" ht="14.25" customHeight="1" s="127">
      <c r="A85" s="14" t="n">
        <v>85</v>
      </c>
      <c r="B85" s="211">
        <f>IFERROR(IF([1]对账明细接口!$B$85=0,"",[1]对账明细接口!$B$85),"")</f>
        <v>46254.0</v>
      </c>
      <c r="C85" s="16" t="str">
        <f>IFERROR(IF([1]对账明细接口!$C$85=0,"",[1]对账明细接口!$C$85),"")</f>
        <v>聂新平</v>
      </c>
      <c r="D85" s="16" t="str">
        <f>IFERROR(IF([1]对账明细接口!$D$85=0,"",[1]对账明细接口!$D$85),"")</f>
        <v>原料入库</v>
      </c>
      <c r="E85" s="16" t="str">
        <f>IFERROR(IF([1]对账明细接口!$E$85=0,"",[1]对账明细接口!$E$85),"")</f>
        <v>NO:0000708</v>
      </c>
      <c r="F85" s="16" t="str">
        <f>IFERROR(IF([1]对账明细接口!$F$85=0,"",[1]对账明细接口!$F$85),"")</f>
        <v>西梅</v>
      </c>
      <c r="G85" s="16" t="str">
        <f>IFERROR(IF([1]对账明细接口!$G$85=0,"",[1]对账明细接口!$G$85),"")</f>
        <v>西梅二级</v>
      </c>
      <c r="H85" s="176">
        <f>IFERROR(IF([1]对账明细接口!$H$85=0,"",[1]对账明细接口!$H$85),"")</f>
        <v>185</v>
      </c>
      <c r="I85" s="16" t="str">
        <f>IFERROR(IF([1]对账明细接口!$I$85=0,"",[1]对账明细接口!$I$85),"")</f>
        <v>筐</v>
      </c>
      <c r="J85" s="177">
        <f>IFERROR(IF([1]对账明细接口!$J$85=0,"",[1]对账明细接口!$J$85),"")</f>
        <v>370</v>
      </c>
      <c r="K85" s="177">
        <f>IFERROR(IF([1]对账明细接口!$K$85=0,"",[1]对账明细接口!$K$85),"")</f>
      </c>
      <c r="L85" s="16">
        <f>IFERROR(IF([1]对账明细接口!$L$85=0,"",[1]对账明细接口!$L$85),"")</f>
      </c>
      <c r="M85" s="16">
        <f>IFERROR(IF([1]对账明细接口!$M$85=0,"",[1]对账明细接口!$M$85),"")</f>
      </c>
      <c r="N85" s="19">
        <f>IF($C85="",0,1)</f>
        <v>1</v>
      </c>
      <c r="O85" s="19">
        <f>N(O84)+$N85</f>
        <v>82</v>
      </c>
      <c r="S85" s="20" t="str">
        <f>IFERROR(IF([1]对账明细接口!$N85=0,"",[1]对账明细接口!$N85),"")</f>
        <v>自备一次性筐</v>
      </c>
      <c r="T85" s="212">
        <f>IFERROR(IF([1]对账明细接口!$O85=0,"",[1]对账明细接口!$O85),"")</f>
      </c>
      <c r="U85" s="212">
        <f>IFERROR(IF([1]对账明细接口!$P85=0,"",[1]对账明细接口!$P85),"")</f>
      </c>
      <c r="V85" s="212">
        <f>IFERROR(IF([1]对账明细接口!$Q85=0,"",[1]对账明细接口!$Q85),"")</f>
        <v>185</v>
      </c>
      <c r="W85" s="20" t="str">
        <f>IFERROR(IF([1]对账明细接口!$R85=0,"",[1]对账明细接口!$R85),"")</f>
        <v>苏M*7G796</v>
      </c>
      <c r="X85" s="20" t="str">
        <f>IFERROR(IF([1]对账明细接口!$S85=0,"",[1]对账明细接口!$S85),"")</f>
        <v>自备筐</v>
      </c>
      <c r="Y85" s="20">
        <f>IFERROR(IF([1]对账明细接口!$T85=0,"",[1]对账明细接口!$T85),"")</f>
      </c>
      <c r="Z85" s="213">
        <f>IFERROR(IF([1]对账明细接口!$U85=0,"",[1]对账明细接口!$U85),"")</f>
      </c>
      <c r="AA85" s="213">
        <f>IFERROR(IF([1]对账明细接口!$V85=0,"",[1]对账明细接口!$V85),"")</f>
      </c>
      <c r="AB85" s="20">
        <f>IFERROR(IF([1]对账明细接口!$W85=0,"",[1]对账明细接口!$W85),"")</f>
      </c>
      <c r="AC85" s="7">
        <f>IFERROR(IF([1]对账明细接口!$X85=0,"",[1]对账明细接口!$X85),"")</f>
      </c>
      <c r="AD85" s="7">
        <f>IFERROR(IF([1]对账明细接口!$Y85=0,"",[1]对账明细接口!$Y85),"")</f>
      </c>
      <c r="AE85" s="7">
        <f>IFERROR(IF([1]对账明细接口!$AA85=0,"",[1]对账明细接口!$AA85),"")</f>
      </c>
      <c r="AF85" s="7">
        <f>IFERROR(IF([1]对账明细接口!$AB85=0,"",[1]对账明细接口!$AB85),"")</f>
      </c>
      <c r="AG85" s="7">
        <f>IFERROR(IF([1]对账明细接口!$AC85=0,"",[1]对账明细接口!$AC85),"")</f>
      </c>
      <c r="AH85" s="7">
        <f>IFERROR(IF([1]对账明细接口!$AD85=0,"",[1]对账明细接口!$AD85),"")</f>
      </c>
      <c r="AI85" s="7">
        <f>IFERROR(IF([1]对账明细接口!$AE85=0,"",[1]对账明细接口!$AE85),"")</f>
      </c>
      <c r="AJ85" s="7">
        <f>IFERROR(IF([1]对账明细接口!$AF85=0,"",[1]对账明细接口!$AF85),"")</f>
      </c>
    </row>
    <row r="86" ht="14.25" customHeight="1" s="127">
      <c r="A86" s="14" t="n">
        <v>86</v>
      </c>
      <c r="B86" s="211">
        <f>IFERROR(IF([1]对账明细接口!$B$86=0,"",[1]对账明细接口!$B$86),"")</f>
        <v>46254.0</v>
      </c>
      <c r="C86" s="16" t="str">
        <f>IFERROR(IF([1]对账明细接口!$C$86=0,"",[1]对账明细接口!$C$86),"")</f>
        <v>聂新平</v>
      </c>
      <c r="D86" s="16" t="str">
        <f>IFERROR(IF([1]对账明细接口!$D$86=0,"",[1]对账明细接口!$D$86),"")</f>
        <v>原料入库</v>
      </c>
      <c r="E86" s="16" t="str">
        <f>IFERROR(IF([1]对账明细接口!$E$86=0,"",[1]对账明细接口!$E$86),"")</f>
        <v>NO:0000708</v>
      </c>
      <c r="F86" s="16" t="str">
        <f>IFERROR(IF([1]对账明细接口!$F$86=0,"",[1]对账明细接口!$F$86),"")</f>
        <v>西梅</v>
      </c>
      <c r="G86" s="16" t="str">
        <f>IFERROR(IF([1]对账明细接口!$G$86=0,"",[1]对账明细接口!$G$86),"")</f>
        <v>西梅三级</v>
      </c>
      <c r="H86" s="176">
        <f>IFERROR(IF([1]对账明细接口!$H$86=0,"",[1]对账明细接口!$H$86),"")</f>
        <v>115</v>
      </c>
      <c r="I86" s="16" t="str">
        <f>IFERROR(IF([1]对账明细接口!$I$86=0,"",[1]对账明细接口!$I$86),"")</f>
        <v>筐</v>
      </c>
      <c r="J86" s="177">
        <f>IFERROR(IF([1]对账明细接口!$J$86=0,"",[1]对账明细接口!$J$86),"")</f>
        <v>230</v>
      </c>
      <c r="K86" s="177">
        <f>IFERROR(IF([1]对账明细接口!$K$86=0,"",[1]对账明细接口!$K$86),"")</f>
      </c>
      <c r="L86" s="16">
        <f>IFERROR(IF([1]对账明细接口!$L$86=0,"",[1]对账明细接口!$L$86),"")</f>
      </c>
      <c r="M86" s="16">
        <f>IFERROR(IF([1]对账明细接口!$M$86=0,"",[1]对账明细接口!$M$86),"")</f>
      </c>
      <c r="N86" s="19">
        <f>IF($C86="",0,1)</f>
        <v>1</v>
      </c>
      <c r="O86" s="19">
        <f>N(O85)+$N86</f>
        <v>83</v>
      </c>
      <c r="S86" s="20" t="str">
        <f>IFERROR(IF([1]对账明细接口!$N86=0,"",[1]对账明细接口!$N86),"")</f>
        <v>自备一次性筐</v>
      </c>
      <c r="T86" s="212">
        <f>IFERROR(IF([1]对账明细接口!$O86=0,"",[1]对账明细接口!$O86),"")</f>
      </c>
      <c r="U86" s="212">
        <f>IFERROR(IF([1]对账明细接口!$P86=0,"",[1]对账明细接口!$P86),"")</f>
      </c>
      <c r="V86" s="212">
        <f>IFERROR(IF([1]对账明细接口!$Q86=0,"",[1]对账明细接口!$Q86),"")</f>
        <v>115</v>
      </c>
      <c r="W86" s="20" t="str">
        <f>IFERROR(IF([1]对账明细接口!$R86=0,"",[1]对账明细接口!$R86),"")</f>
        <v>苏M*7G796</v>
      </c>
      <c r="X86" s="20" t="str">
        <f>IFERROR(IF([1]对账明细接口!$S86=0,"",[1]对账明细接口!$S86),"")</f>
        <v>自备筐</v>
      </c>
      <c r="Y86" s="20">
        <f>IFERROR(IF([1]对账明细接口!$T86=0,"",[1]对账明细接口!$T86),"")</f>
      </c>
      <c r="Z86" s="213">
        <f>IFERROR(IF([1]对账明细接口!$U86=0,"",[1]对账明细接口!$U86),"")</f>
      </c>
      <c r="AA86" s="213">
        <f>IFERROR(IF([1]对账明细接口!$V86=0,"",[1]对账明细接口!$V86),"")</f>
      </c>
      <c r="AB86" s="20">
        <f>IFERROR(IF([1]对账明细接口!$W86=0,"",[1]对账明细接口!$W86),"")</f>
      </c>
      <c r="AC86" s="7">
        <f>IFERROR(IF([1]对账明细接口!$X86=0,"",[1]对账明细接口!$X86),"")</f>
      </c>
      <c r="AD86" s="7">
        <f>IFERROR(IF([1]对账明细接口!$Y86=0,"",[1]对账明细接口!$Y86),"")</f>
      </c>
      <c r="AE86" s="7">
        <f>IFERROR(IF([1]对账明细接口!$AA86=0,"",[1]对账明细接口!$AA86),"")</f>
      </c>
      <c r="AF86" s="7">
        <f>IFERROR(IF([1]对账明细接口!$AB86=0,"",[1]对账明细接口!$AB86),"")</f>
      </c>
      <c r="AG86" s="7">
        <f>IFERROR(IF([1]对账明细接口!$AC86=0,"",[1]对账明细接口!$AC86),"")</f>
      </c>
      <c r="AH86" s="7">
        <f>IFERROR(IF([1]对账明细接口!$AD86=0,"",[1]对账明细接口!$AD86),"")</f>
      </c>
      <c r="AI86" s="7">
        <f>IFERROR(IF([1]对账明细接口!$AE86=0,"",[1]对账明细接口!$AE86),"")</f>
      </c>
      <c r="AJ86" s="7">
        <f>IFERROR(IF([1]对账明细接口!$AF86=0,"",[1]对账明细接口!$AF86),"")</f>
      </c>
    </row>
    <row r="87" ht="14.25" customHeight="1" s="127">
      <c r="A87" s="14" t="n">
        <v>87</v>
      </c>
      <c r="B87" s="211">
        <f>IFERROR(IF([1]对账明细接口!$B$87=0,"",[1]对账明细接口!$B$87),"")</f>
        <v>46255.0</v>
      </c>
      <c r="C87" s="16" t="str">
        <f>IFERROR(IF([1]对账明细接口!$C$87=0,"",[1]对账明细接口!$C$87),"")</f>
        <v>聂新平</v>
      </c>
      <c r="D87" s="16" t="str">
        <f>IFERROR(IF([1]对账明细接口!$D$87=0,"",[1]对账明细接口!$D$87),"")</f>
        <v>原料入库</v>
      </c>
      <c r="E87" s="16" t="str">
        <f>IFERROR(IF([1]对账明细接口!$E$87=0,"",[1]对账明细接口!$E$87),"")</f>
        <v>NO:0000709</v>
      </c>
      <c r="F87" s="16" t="str">
        <f>IFERROR(IF([1]对账明细接口!$F$87=0,"",[1]对账明细接口!$F$87),"")</f>
        <v>西梅</v>
      </c>
      <c r="G87" s="16" t="str">
        <f>IFERROR(IF([1]对账明细接口!$G$87=0,"",[1]对账明细接口!$G$87),"")</f>
        <v>西梅一级</v>
      </c>
      <c r="H87" s="176">
        <f>IFERROR(IF([1]对账明细接口!$H$87=0,"",[1]对账明细接口!$H$87),"")</f>
        <v>50</v>
      </c>
      <c r="I87" s="16" t="str">
        <f>IFERROR(IF([1]对账明细接口!$I$87=0,"",[1]对账明细接口!$I$87),"")</f>
        <v>筐</v>
      </c>
      <c r="J87" s="177">
        <f>IFERROR(IF([1]对账明细接口!$J$87=0,"",[1]对账明细接口!$J$87),"")</f>
        <v>350</v>
      </c>
      <c r="K87" s="177">
        <f>IFERROR(IF([1]对账明细接口!$K$87=0,"",[1]对账明细接口!$K$87),"")</f>
      </c>
      <c r="L87" s="16">
        <f>IFERROR(IF([1]对账明细接口!$L$87=0,"",[1]对账明细接口!$L$87),"")</f>
      </c>
      <c r="M87" s="16">
        <f>IFERROR(IF([1]对账明细接口!$M$87=0,"",[1]对账明细接口!$M$87),"")</f>
      </c>
      <c r="N87" s="19">
        <f>IF($C87="",0,1)</f>
        <v>1</v>
      </c>
      <c r="O87" s="19">
        <f>N(O86)+$N87</f>
        <v>84</v>
      </c>
      <c r="S87" s="20" t="str">
        <f>IFERROR(IF([1]对账明细接口!$N87=0,"",[1]对账明细接口!$N87),"")</f>
        <v>自备一次性筐</v>
      </c>
      <c r="T87" s="212">
        <f>IFERROR(IF([1]对账明细接口!$O87=0,"",[1]对账明细接口!$O87),"")</f>
      </c>
      <c r="U87" s="212">
        <f>IFERROR(IF([1]对账明细接口!$P87=0,"",[1]对账明细接口!$P87),"")</f>
      </c>
      <c r="V87" s="212">
        <f>IFERROR(IF([1]对账明细接口!$Q87=0,"",[1]对账明细接口!$Q87),"")</f>
        <v>50</v>
      </c>
      <c r="W87" s="20" t="str">
        <f>IFERROR(IF([1]对账明细接口!$R87=0,"",[1]对账明细接口!$R87),"")</f>
        <v>苏M*7G796</v>
      </c>
      <c r="X87" s="20" t="str">
        <f>IFERROR(IF([1]对账明细接口!$S87=0,"",[1]对账明细接口!$S87),"")</f>
        <v>自备筐</v>
      </c>
      <c r="Y87" s="20">
        <f>IFERROR(IF([1]对账明细接口!$T87=0,"",[1]对账明细接口!$T87),"")</f>
      </c>
      <c r="Z87" s="213">
        <f>IFERROR(IF([1]对账明细接口!$U87=0,"",[1]对账明细接口!$U87),"")</f>
      </c>
      <c r="AA87" s="213">
        <f>IFERROR(IF([1]对账明细接口!$V87=0,"",[1]对账明细接口!$V87),"")</f>
      </c>
      <c r="AB87" s="20">
        <f>IFERROR(IF([1]对账明细接口!$W87=0,"",[1]对账明细接口!$W87),"")</f>
      </c>
      <c r="AC87" s="7">
        <f>IFERROR(IF([1]对账明细接口!$X87=0,"",[1]对账明细接口!$X87),"")</f>
      </c>
      <c r="AD87" s="7">
        <f>IFERROR(IF([1]对账明细接口!$Y87=0,"",[1]对账明细接口!$Y87),"")</f>
      </c>
      <c r="AE87" s="7">
        <f>IFERROR(IF([1]对账明细接口!$AA87=0,"",[1]对账明细接口!$AA87),"")</f>
      </c>
      <c r="AF87" s="7">
        <f>IFERROR(IF([1]对账明细接口!$AB87=0,"",[1]对账明细接口!$AB87),"")</f>
      </c>
      <c r="AG87" s="7">
        <f>IFERROR(IF([1]对账明细接口!$AC87=0,"",[1]对账明细接口!$AC87),"")</f>
      </c>
      <c r="AH87" s="7">
        <f>IFERROR(IF([1]对账明细接口!$AD87=0,"",[1]对账明细接口!$AD87),"")</f>
      </c>
      <c r="AI87" s="7">
        <f>IFERROR(IF([1]对账明细接口!$AE87=0,"",[1]对账明细接口!$AE87),"")</f>
      </c>
      <c r="AJ87" s="7">
        <f>IFERROR(IF([1]对账明细接口!$AF87=0,"",[1]对账明细接口!$AF87),"")</f>
      </c>
    </row>
    <row r="88" ht="14.25" customHeight="1" s="127">
      <c r="A88" s="14" t="n">
        <v>88</v>
      </c>
      <c r="B88" s="211">
        <f>IFERROR(IF([1]对账明细接口!$B$88=0,"",[1]对账明细接口!$B$88),"")</f>
        <v>46255.0</v>
      </c>
      <c r="C88" s="16" t="str">
        <f>IFERROR(IF([1]对账明细接口!$C$88=0,"",[1]对账明细接口!$C$88),"")</f>
        <v>聂新平</v>
      </c>
      <c r="D88" s="16" t="str">
        <f>IFERROR(IF([1]对账明细接口!$D$88=0,"",[1]对账明细接口!$D$88),"")</f>
        <v>原料入库</v>
      </c>
      <c r="E88" s="16" t="str">
        <f>IFERROR(IF([1]对账明细接口!$E$88=0,"",[1]对账明细接口!$E$88),"")</f>
        <v>NO:0000709</v>
      </c>
      <c r="F88" s="16" t="str">
        <f>IFERROR(IF([1]对账明细接口!$F$88=0,"",[1]对账明细接口!$F$88),"")</f>
        <v>西梅</v>
      </c>
      <c r="G88" s="16" t="str">
        <f>IFERROR(IF([1]对账明细接口!$G$88=0,"",[1]对账明细接口!$G$88),"")</f>
        <v>西梅二级</v>
      </c>
      <c r="H88" s="176">
        <f>IFERROR(IF([1]对账明细接口!$H$88=0,"",[1]对账明细接口!$H$88),"")</f>
        <v>28</v>
      </c>
      <c r="I88" s="16" t="str">
        <f>IFERROR(IF([1]对账明细接口!$I$88=0,"",[1]对账明细接口!$I$88),"")</f>
        <v>筐</v>
      </c>
      <c r="J88" s="177">
        <f>IFERROR(IF([1]对账明细接口!$J$88=0,"",[1]对账明细接口!$J$88),"")</f>
        <v>252</v>
      </c>
      <c r="K88" s="177">
        <f>IFERROR(IF([1]对账明细接口!$K$88=0,"",[1]对账明细接口!$K$88),"")</f>
      </c>
      <c r="L88" s="16">
        <f>IFERROR(IF([1]对账明细接口!$L$88=0,"",[1]对账明细接口!$L$88),"")</f>
      </c>
      <c r="M88" s="16">
        <f>IFERROR(IF([1]对账明细接口!$M$88=0,"",[1]对账明细接口!$M$88),"")</f>
      </c>
      <c r="N88" s="19">
        <f>IF($C88="",0,1)</f>
        <v>1</v>
      </c>
      <c r="O88" s="19">
        <f>N(O87)+$N88</f>
        <v>85</v>
      </c>
      <c r="S88" s="20" t="str">
        <f>IFERROR(IF([1]对账明细接口!$N88=0,"",[1]对账明细接口!$N88),"")</f>
        <v>自备一次性筐</v>
      </c>
      <c r="T88" s="212">
        <f>IFERROR(IF([1]对账明细接口!$O88=0,"",[1]对账明细接口!$O88),"")</f>
      </c>
      <c r="U88" s="212">
        <f>IFERROR(IF([1]对账明细接口!$P88=0,"",[1]对账明细接口!$P88),"")</f>
      </c>
      <c r="V88" s="212">
        <f>IFERROR(IF([1]对账明细接口!$Q88=0,"",[1]对账明细接口!$Q88),"")</f>
        <v>28</v>
      </c>
      <c r="W88" s="20" t="str">
        <f>IFERROR(IF([1]对账明细接口!$R88=0,"",[1]对账明细接口!$R88),"")</f>
        <v>苏M*7G796</v>
      </c>
      <c r="X88" s="20" t="str">
        <f>IFERROR(IF([1]对账明细接口!$S88=0,"",[1]对账明细接口!$S88),"")</f>
        <v>自备筐</v>
      </c>
      <c r="Y88" s="20">
        <f>IFERROR(IF([1]对账明细接口!$T88=0,"",[1]对账明细接口!$T88),"")</f>
      </c>
      <c r="Z88" s="213">
        <f>IFERROR(IF([1]对账明细接口!$U88=0,"",[1]对账明细接口!$U88),"")</f>
      </c>
      <c r="AA88" s="213">
        <f>IFERROR(IF([1]对账明细接口!$V88=0,"",[1]对账明细接口!$V88),"")</f>
      </c>
      <c r="AB88" s="20">
        <f>IFERROR(IF([1]对账明细接口!$W88=0,"",[1]对账明细接口!$W88),"")</f>
      </c>
      <c r="AC88" s="7">
        <f>IFERROR(IF([1]对账明细接口!$X88=0,"",[1]对账明细接口!$X88),"")</f>
      </c>
      <c r="AD88" s="7">
        <f>IFERROR(IF([1]对账明细接口!$Y88=0,"",[1]对账明细接口!$Y88),"")</f>
      </c>
      <c r="AE88" s="7">
        <f>IFERROR(IF([1]对账明细接口!$AA88=0,"",[1]对账明细接口!$AA88),"")</f>
      </c>
      <c r="AF88" s="7">
        <f>IFERROR(IF([1]对账明细接口!$AB88=0,"",[1]对账明细接口!$AB88),"")</f>
      </c>
      <c r="AG88" s="7">
        <f>IFERROR(IF([1]对账明细接口!$AC88=0,"",[1]对账明细接口!$AC88),"")</f>
      </c>
      <c r="AH88" s="7">
        <f>IFERROR(IF([1]对账明细接口!$AD88=0,"",[1]对账明细接口!$AD88),"")</f>
      </c>
      <c r="AI88" s="7">
        <f>IFERROR(IF([1]对账明细接口!$AE88=0,"",[1]对账明细接口!$AE88),"")</f>
      </c>
      <c r="AJ88" s="7">
        <f>IFERROR(IF([1]对账明细接口!$AF88=0,"",[1]对账明细接口!$AF88),"")</f>
      </c>
    </row>
    <row r="89" ht="14.25" customHeight="1" s="127">
      <c r="A89" s="14" t="n">
        <v>89</v>
      </c>
      <c r="B89" s="211">
        <f>IFERROR(IF([1]对账明细接口!$B$89=0,"",[1]对账明细接口!$B$89),"")</f>
        <v>46255.0</v>
      </c>
      <c r="C89" s="16" t="str">
        <f>IFERROR(IF([1]对账明细接口!$C$89=0,"",[1]对账明细接口!$C$89),"")</f>
        <v>聂新平</v>
      </c>
      <c r="D89" s="16" t="str">
        <f>IFERROR(IF([1]对账明细接口!$D$89=0,"",[1]对账明细接口!$D$89),"")</f>
        <v>原料入库</v>
      </c>
      <c r="E89" s="16" t="str">
        <f>IFERROR(IF([1]对账明细接口!$E$89=0,"",[1]对账明细接口!$E$89),"")</f>
        <v>NO:0000709</v>
      </c>
      <c r="F89" s="16" t="str">
        <f>IFERROR(IF([1]对账明细接口!$F$89=0,"",[1]对账明细接口!$F$89),"")</f>
        <v>西梅</v>
      </c>
      <c r="G89" s="16" t="str">
        <f>IFERROR(IF([1]对账明细接口!$G$89=0,"",[1]对账明细接口!$G$89),"")</f>
        <v>西梅二级</v>
      </c>
      <c r="H89" s="176">
        <f>IFERROR(IF([1]对账明细接口!$H$89=0,"",[1]对账明细接口!$H$89),"")</f>
        <v>70</v>
      </c>
      <c r="I89" s="16" t="str">
        <f>IFERROR(IF([1]对账明细接口!$I$89=0,"",[1]对账明细接口!$I$89),"")</f>
        <v>筐</v>
      </c>
      <c r="J89" s="177">
        <f>IFERROR(IF([1]对账明细接口!$J$89=0,"",[1]对账明细接口!$J$89),"")</f>
        <v>140</v>
      </c>
      <c r="K89" s="177">
        <f>IFERROR(IF([1]对账明细接口!$K$89=0,"",[1]对账明细接口!$K$89),"")</f>
      </c>
      <c r="L89" s="16">
        <f>IFERROR(IF([1]对账明细接口!$L$89=0,"",[1]对账明细接口!$L$89),"")</f>
      </c>
      <c r="M89" s="16">
        <f>IFERROR(IF([1]对账明细接口!$M$89=0,"",[1]对账明细接口!$M$89),"")</f>
      </c>
      <c r="N89" s="19">
        <f>IF($C89="",0,1)</f>
        <v>1</v>
      </c>
      <c r="O89" s="19">
        <f>N(O88)+$N89</f>
        <v>86</v>
      </c>
      <c r="S89" s="20" t="str">
        <f>IFERROR(IF([1]对账明细接口!$N89=0,"",[1]对账明细接口!$N89),"")</f>
        <v>自备一次性筐</v>
      </c>
      <c r="T89" s="212">
        <f>IFERROR(IF([1]对账明细接口!$O89=0,"",[1]对账明细接口!$O89),"")</f>
      </c>
      <c r="U89" s="212">
        <f>IFERROR(IF([1]对账明细接口!$P89=0,"",[1]对账明细接口!$P89),"")</f>
      </c>
      <c r="V89" s="212">
        <f>IFERROR(IF([1]对账明细接口!$Q89=0,"",[1]对账明细接口!$Q89),"")</f>
        <v>70</v>
      </c>
      <c r="W89" s="20" t="str">
        <f>IFERROR(IF([1]对账明细接口!$R89=0,"",[1]对账明细接口!$R89),"")</f>
        <v>苏M*7G796</v>
      </c>
      <c r="X89" s="20" t="str">
        <f>IFERROR(IF([1]对账明细接口!$S89=0,"",[1]对账明细接口!$S89),"")</f>
        <v>自备筐</v>
      </c>
      <c r="Y89" s="20">
        <f>IFERROR(IF([1]对账明细接口!$T89=0,"",[1]对账明细接口!$T89),"")</f>
      </c>
      <c r="Z89" s="213">
        <f>IFERROR(IF([1]对账明细接口!$U89=0,"",[1]对账明细接口!$U89),"")</f>
      </c>
      <c r="AA89" s="213">
        <f>IFERROR(IF([1]对账明细接口!$V89=0,"",[1]对账明细接口!$V89),"")</f>
      </c>
      <c r="AB89" s="20">
        <f>IFERROR(IF([1]对账明细接口!$W89=0,"",[1]对账明细接口!$W89),"")</f>
      </c>
      <c r="AC89" s="7">
        <f>IFERROR(IF([1]对账明细接口!$X89=0,"",[1]对账明细接口!$X89),"")</f>
      </c>
      <c r="AD89" s="7">
        <f>IFERROR(IF([1]对账明细接口!$Y89=0,"",[1]对账明细接口!$Y89),"")</f>
      </c>
      <c r="AE89" s="7">
        <f>IFERROR(IF([1]对账明细接口!$AA89=0,"",[1]对账明细接口!$AA89),"")</f>
      </c>
      <c r="AF89" s="7">
        <f>IFERROR(IF([1]对账明细接口!$AB89=0,"",[1]对账明细接口!$AB89),"")</f>
      </c>
      <c r="AG89" s="7">
        <f>IFERROR(IF([1]对账明细接口!$AC89=0,"",[1]对账明细接口!$AC89),"")</f>
      </c>
      <c r="AH89" s="7">
        <f>IFERROR(IF([1]对账明细接口!$AD89=0,"",[1]对账明细接口!$AD89),"")</f>
      </c>
      <c r="AI89" s="7">
        <f>IFERROR(IF([1]对账明细接口!$AE89=0,"",[1]对账明细接口!$AE89),"")</f>
      </c>
      <c r="AJ89" s="7">
        <f>IFERROR(IF([1]对账明细接口!$AF89=0,"",[1]对账明细接口!$AF89),"")</f>
      </c>
    </row>
    <row r="90" ht="14.25" customHeight="1" s="127">
      <c r="A90" s="14" t="n">
        <v>90</v>
      </c>
      <c r="B90" s="211">
        <f>IFERROR(IF([1]对账明细接口!$B$90=0,"",[1]对账明细接口!$B$90),"")</f>
        <v>46255.0</v>
      </c>
      <c r="C90" s="16" t="str">
        <f>IFERROR(IF([1]对账明细接口!$C$90=0,"",[1]对账明细接口!$C$90),"")</f>
        <v>聂新平</v>
      </c>
      <c r="D90" s="16" t="str">
        <f>IFERROR(IF([1]对账明细接口!$D$90=0,"",[1]对账明细接口!$D$90),"")</f>
        <v>原料入库</v>
      </c>
      <c r="E90" s="16" t="str">
        <f>IFERROR(IF([1]对账明细接口!$E$90=0,"",[1]对账明细接口!$E$90),"")</f>
        <v>NO:0000709</v>
      </c>
      <c r="F90" s="16" t="str">
        <f>IFERROR(IF([1]对账明细接口!$F$90=0,"",[1]对账明细接口!$F$90),"")</f>
        <v>西梅</v>
      </c>
      <c r="G90" s="16" t="str">
        <f>IFERROR(IF([1]对账明细接口!$G$90=0,"",[1]对账明细接口!$G$90),"")</f>
        <v>西梅三级</v>
      </c>
      <c r="H90" s="176">
        <f>IFERROR(IF([1]对账明细接口!$H$90=0,"",[1]对账明细接口!$H$90),"")</f>
        <v>182</v>
      </c>
      <c r="I90" s="16" t="str">
        <f>IFERROR(IF([1]对账明细接口!$I$90=0,"",[1]对账明细接口!$I$90),"")</f>
        <v>筐</v>
      </c>
      <c r="J90" s="177">
        <f>IFERROR(IF([1]对账明细接口!$J$90=0,"",[1]对账明细接口!$J$90),"")</f>
        <v>364</v>
      </c>
      <c r="K90" s="177">
        <f>IFERROR(IF([1]对账明细接口!$K$90=0,"",[1]对账明细接口!$K$90),"")</f>
      </c>
      <c r="L90" s="16">
        <f>IFERROR(IF([1]对账明细接口!$L$90=0,"",[1]对账明细接口!$L$90),"")</f>
      </c>
      <c r="M90" s="16">
        <f>IFERROR(IF([1]对账明细接口!$M$90=0,"",[1]对账明细接口!$M$90),"")</f>
      </c>
      <c r="N90" s="19">
        <f>IF($C90="",0,1)</f>
        <v>1</v>
      </c>
      <c r="O90" s="19">
        <f>N(O89)+$N90</f>
        <v>87</v>
      </c>
      <c r="S90" s="20" t="str">
        <f>IFERROR(IF([1]对账明细接口!$N90=0,"",[1]对账明细接口!$N90),"")</f>
        <v>自备一次性筐</v>
      </c>
      <c r="T90" s="212">
        <f>IFERROR(IF([1]对账明细接口!$O90=0,"",[1]对账明细接口!$O90),"")</f>
      </c>
      <c r="U90" s="212">
        <f>IFERROR(IF([1]对账明细接口!$P90=0,"",[1]对账明细接口!$P90),"")</f>
      </c>
      <c r="V90" s="212">
        <f>IFERROR(IF([1]对账明细接口!$Q90=0,"",[1]对账明细接口!$Q90),"")</f>
        <v>182</v>
      </c>
      <c r="W90" s="20" t="str">
        <f>IFERROR(IF([1]对账明细接口!$R90=0,"",[1]对账明细接口!$R90),"")</f>
        <v>苏M*7G796</v>
      </c>
      <c r="X90" s="20" t="str">
        <f>IFERROR(IF([1]对账明细接口!$S90=0,"",[1]对账明细接口!$S90),"")</f>
        <v>自备筐</v>
      </c>
      <c r="Y90" s="20">
        <f>IFERROR(IF([1]对账明细接口!$T90=0,"",[1]对账明细接口!$T90),"")</f>
      </c>
      <c r="Z90" s="213">
        <f>IFERROR(IF([1]对账明细接口!$U90=0,"",[1]对账明细接口!$U90),"")</f>
      </c>
      <c r="AA90" s="213">
        <f>IFERROR(IF([1]对账明细接口!$V90=0,"",[1]对账明细接口!$V90),"")</f>
      </c>
      <c r="AB90" s="20">
        <f>IFERROR(IF([1]对账明细接口!$W90=0,"",[1]对账明细接口!$W90),"")</f>
      </c>
      <c r="AC90" s="7">
        <f>IFERROR(IF([1]对账明细接口!$X90=0,"",[1]对账明细接口!$X90),"")</f>
      </c>
      <c r="AD90" s="7">
        <f>IFERROR(IF([1]对账明细接口!$Y90=0,"",[1]对账明细接口!$Y90),"")</f>
      </c>
      <c r="AE90" s="7">
        <f>IFERROR(IF([1]对账明细接口!$AA90=0,"",[1]对账明细接口!$AA90),"")</f>
      </c>
      <c r="AF90" s="7">
        <f>IFERROR(IF([1]对账明细接口!$AB90=0,"",[1]对账明细接口!$AB90),"")</f>
      </c>
      <c r="AG90" s="7">
        <f>IFERROR(IF([1]对账明细接口!$AC90=0,"",[1]对账明细接口!$AC90),"")</f>
      </c>
      <c r="AH90" s="7">
        <f>IFERROR(IF([1]对账明细接口!$AD90=0,"",[1]对账明细接口!$AD90),"")</f>
      </c>
      <c r="AI90" s="7">
        <f>IFERROR(IF([1]对账明细接口!$AE90=0,"",[1]对账明细接口!$AE90),"")</f>
      </c>
      <c r="AJ90" s="7">
        <f>IFERROR(IF([1]对账明细接口!$AF90=0,"",[1]对账明细接口!$AF90),"")</f>
      </c>
    </row>
    <row r="91" ht="14.25" customHeight="1" s="127">
      <c r="A91" s="14" t="n">
        <v>91</v>
      </c>
      <c r="B91" s="211">
        <f>IFERROR(IF([1]对账明细接口!$B$91=0,"",[1]对账明细接口!$B$91),"")</f>
        <v>46255.0</v>
      </c>
      <c r="C91" s="16" t="str">
        <f>IFERROR(IF([1]对账明细接口!$C$91=0,"",[1]对账明细接口!$C$91),"")</f>
        <v>聂新平</v>
      </c>
      <c r="D91" s="16" t="str">
        <f>IFERROR(IF([1]对账明细接口!$D$91=0,"",[1]对账明细接口!$D$91),"")</f>
        <v>原料入库</v>
      </c>
      <c r="E91" s="16" t="str">
        <f>IFERROR(IF([1]对账明细接口!$E$91=0,"",[1]对账明细接口!$E$91),"")</f>
        <v>NO:0000711</v>
      </c>
      <c r="F91" s="16" t="str">
        <f>IFERROR(IF([1]对账明细接口!$F$91=0,"",[1]对账明细接口!$F$91),"")</f>
        <v>西梅</v>
      </c>
      <c r="G91" s="16" t="str">
        <f>IFERROR(IF([1]对账明细接口!$G$91=0,"",[1]对账明细接口!$G$91),"")</f>
        <v>西梅一级</v>
      </c>
      <c r="H91" s="176">
        <f>IFERROR(IF([1]对账明细接口!$H$91=0,"",[1]对账明细接口!$H$91),"")</f>
        <v>95</v>
      </c>
      <c r="I91" s="16" t="str">
        <f>IFERROR(IF([1]对账明细接口!$I$91=0,"",[1]对账明细接口!$I$91),"")</f>
        <v>筐</v>
      </c>
      <c r="J91" s="177">
        <f>IFERROR(IF([1]对账明细接口!$J$91=0,"",[1]对账明细接口!$J$91),"")</f>
        <v>665</v>
      </c>
      <c r="K91" s="177">
        <f>IFERROR(IF([1]对账明细接口!$K$91=0,"",[1]对账明细接口!$K$91),"")</f>
      </c>
      <c r="L91" s="16">
        <f>IFERROR(IF([1]对账明细接口!$L$91=0,"",[1]对账明细接口!$L$91),"")</f>
      </c>
      <c r="M91" s="16">
        <f>IFERROR(IF([1]对账明细接口!$M$91=0,"",[1]对账明细接口!$M$91),"")</f>
      </c>
      <c r="N91" s="19">
        <f>IF($C91="",0,1)</f>
        <v>1</v>
      </c>
      <c r="O91" s="19">
        <f>N(O90)+$N91</f>
        <v>88</v>
      </c>
      <c r="S91" s="20" t="str">
        <f>IFERROR(IF([1]对账明细接口!$N91=0,"",[1]对账明细接口!$N91),"")</f>
        <v>自备一次性筐</v>
      </c>
      <c r="T91" s="212">
        <f>IFERROR(IF([1]对账明细接口!$O91=0,"",[1]对账明细接口!$O91),"")</f>
      </c>
      <c r="U91" s="212">
        <f>IFERROR(IF([1]对账明细接口!$P91=0,"",[1]对账明细接口!$P91),"")</f>
      </c>
      <c r="V91" s="212">
        <f>IFERROR(IF([1]对账明细接口!$Q91=0,"",[1]对账明细接口!$Q91),"")</f>
        <v>95</v>
      </c>
      <c r="W91" s="20" t="str">
        <f>IFERROR(IF([1]对账明细接口!$R91=0,"",[1]对账明细接口!$R91),"")</f>
        <v>新N*SQ607</v>
      </c>
      <c r="X91" s="20" t="str">
        <f>IFERROR(IF([1]对账明细接口!$S91=0,"",[1]对账明细接口!$S91),"")</f>
        <v>自备筐</v>
      </c>
      <c r="Y91" s="20">
        <f>IFERROR(IF([1]对账明细接口!$T91=0,"",[1]对账明细接口!$T91),"")</f>
      </c>
      <c r="Z91" s="213">
        <f>IFERROR(IF([1]对账明细接口!$U91=0,"",[1]对账明细接口!$U91),"")</f>
      </c>
      <c r="AA91" s="213">
        <f>IFERROR(IF([1]对账明细接口!$V91=0,"",[1]对账明细接口!$V91),"")</f>
      </c>
      <c r="AB91" s="20">
        <f>IFERROR(IF([1]对账明细接口!$W91=0,"",[1]对账明细接口!$W91),"")</f>
      </c>
      <c r="AC91" s="7">
        <f>IFERROR(IF([1]对账明细接口!$X91=0,"",[1]对账明细接口!$X91),"")</f>
      </c>
      <c r="AD91" s="7">
        <f>IFERROR(IF([1]对账明细接口!$Y91=0,"",[1]对账明细接口!$Y91),"")</f>
      </c>
      <c r="AE91" s="7">
        <f>IFERROR(IF([1]对账明细接口!$AA91=0,"",[1]对账明细接口!$AA91),"")</f>
      </c>
      <c r="AF91" s="7">
        <f>IFERROR(IF([1]对账明细接口!$AB91=0,"",[1]对账明细接口!$AB91),"")</f>
      </c>
      <c r="AG91" s="7">
        <f>IFERROR(IF([1]对账明细接口!$AC91=0,"",[1]对账明细接口!$AC91),"")</f>
      </c>
      <c r="AH91" s="7">
        <f>IFERROR(IF([1]对账明细接口!$AD91=0,"",[1]对账明细接口!$AD91),"")</f>
      </c>
      <c r="AI91" s="7">
        <f>IFERROR(IF([1]对账明细接口!$AE91=0,"",[1]对账明细接口!$AE91),"")</f>
      </c>
      <c r="AJ91" s="7">
        <f>IFERROR(IF([1]对账明细接口!$AF91=0,"",[1]对账明细接口!$AF91),"")</f>
      </c>
    </row>
    <row r="92" ht="14.25" customHeight="1" s="127">
      <c r="A92" s="14" t="n">
        <v>92</v>
      </c>
      <c r="B92" s="211">
        <f>IFERROR(IF([1]对账明细接口!$B$92=0,"",[1]对账明细接口!$B$92),"")</f>
        <v>46255.0</v>
      </c>
      <c r="C92" s="16" t="str">
        <f>IFERROR(IF([1]对账明细接口!$C$92=0,"",[1]对账明细接口!$C$92),"")</f>
        <v>聂新平</v>
      </c>
      <c r="D92" s="16" t="str">
        <f>IFERROR(IF([1]对账明细接口!$D$92=0,"",[1]对账明细接口!$D$92),"")</f>
        <v>原料入库</v>
      </c>
      <c r="E92" s="16" t="str">
        <f>IFERROR(IF([1]对账明细接口!$E$92=0,"",[1]对账明细接口!$E$92),"")</f>
        <v>NO:0000711</v>
      </c>
      <c r="F92" s="16" t="str">
        <f>IFERROR(IF([1]对账明细接口!$F$92=0,"",[1]对账明细接口!$F$92),"")</f>
        <v>西梅</v>
      </c>
      <c r="G92" s="16" t="str">
        <f>IFERROR(IF([1]对账明细接口!$G$92=0,"",[1]对账明细接口!$G$92),"")</f>
        <v>西梅二级</v>
      </c>
      <c r="H92" s="176">
        <f>IFERROR(IF([1]对账明细接口!$H$92=0,"",[1]对账明细接口!$H$92),"")</f>
        <v>35</v>
      </c>
      <c r="I92" s="16" t="str">
        <f>IFERROR(IF([1]对账明细接口!$I$92=0,"",[1]对账明细接口!$I$92),"")</f>
        <v>筐</v>
      </c>
      <c r="J92" s="177">
        <f>IFERROR(IF([1]对账明细接口!$J$92=0,"",[1]对账明细接口!$J$92),"")</f>
        <v>315</v>
      </c>
      <c r="K92" s="177">
        <f>IFERROR(IF([1]对账明细接口!$K$92=0,"",[1]对账明细接口!$K$92),"")</f>
      </c>
      <c r="L92" s="16">
        <f>IFERROR(IF([1]对账明细接口!$L$92=0,"",[1]对账明细接口!$L$92),"")</f>
      </c>
      <c r="M92" s="16">
        <f>IFERROR(IF([1]对账明细接口!$M$92=0,"",[1]对账明细接口!$M$92),"")</f>
      </c>
      <c r="N92" s="19">
        <f>IF($C92="",0,1)</f>
        <v>1</v>
      </c>
      <c r="O92" s="19">
        <f>N(O91)+$N92</f>
        <v>89</v>
      </c>
      <c r="S92" s="20" t="str">
        <f>IFERROR(IF([1]对账明细接口!$N92=0,"",[1]对账明细接口!$N92),"")</f>
        <v>自备一次性筐</v>
      </c>
      <c r="T92" s="212">
        <f>IFERROR(IF([1]对账明细接口!$O92=0,"",[1]对账明细接口!$O92),"")</f>
      </c>
      <c r="U92" s="212">
        <f>IFERROR(IF([1]对账明细接口!$P92=0,"",[1]对账明细接口!$P92),"")</f>
      </c>
      <c r="V92" s="212">
        <f>IFERROR(IF([1]对账明细接口!$Q92=0,"",[1]对账明细接口!$Q92),"")</f>
        <v>35</v>
      </c>
      <c r="W92" s="20" t="str">
        <f>IFERROR(IF([1]对账明细接口!$R92=0,"",[1]对账明细接口!$R92),"")</f>
        <v>新N*SQ607</v>
      </c>
      <c r="X92" s="20" t="str">
        <f>IFERROR(IF([1]对账明细接口!$S92=0,"",[1]对账明细接口!$S92),"")</f>
        <v>自备筐</v>
      </c>
      <c r="Y92" s="20">
        <f>IFERROR(IF([1]对账明细接口!$T92=0,"",[1]对账明细接口!$T92),"")</f>
      </c>
      <c r="Z92" s="213">
        <f>IFERROR(IF([1]对账明细接口!$U92=0,"",[1]对账明细接口!$U92),"")</f>
      </c>
      <c r="AA92" s="213">
        <f>IFERROR(IF([1]对账明细接口!$V92=0,"",[1]对账明细接口!$V92),"")</f>
      </c>
      <c r="AB92" s="20">
        <f>IFERROR(IF([1]对账明细接口!$W92=0,"",[1]对账明细接口!$W92),"")</f>
      </c>
      <c r="AC92" s="7">
        <f>IFERROR(IF([1]对账明细接口!$X92=0,"",[1]对账明细接口!$X92),"")</f>
      </c>
      <c r="AD92" s="7">
        <f>IFERROR(IF([1]对账明细接口!$Y92=0,"",[1]对账明细接口!$Y92),"")</f>
      </c>
      <c r="AE92" s="7">
        <f>IFERROR(IF([1]对账明细接口!$AA92=0,"",[1]对账明细接口!$AA92),"")</f>
      </c>
      <c r="AF92" s="7">
        <f>IFERROR(IF([1]对账明细接口!$AB92=0,"",[1]对账明细接口!$AB92),"")</f>
      </c>
      <c r="AG92" s="7">
        <f>IFERROR(IF([1]对账明细接口!$AC92=0,"",[1]对账明细接口!$AC92),"")</f>
      </c>
      <c r="AH92" s="7">
        <f>IFERROR(IF([1]对账明细接口!$AD92=0,"",[1]对账明细接口!$AD92),"")</f>
      </c>
      <c r="AI92" s="7">
        <f>IFERROR(IF([1]对账明细接口!$AE92=0,"",[1]对账明细接口!$AE92),"")</f>
      </c>
      <c r="AJ92" s="7">
        <f>IFERROR(IF([1]对账明细接口!$AF92=0,"",[1]对账明细接口!$AF92),"")</f>
      </c>
    </row>
    <row r="93" ht="14.25" customHeight="1" s="127">
      <c r="A93" s="14" t="n">
        <v>93</v>
      </c>
      <c r="B93" s="211">
        <f>IFERROR(IF([1]对账明细接口!$B$93=0,"",[1]对账明细接口!$B$93),"")</f>
        <v>46255.0</v>
      </c>
      <c r="C93" s="16" t="str">
        <f>IFERROR(IF([1]对账明细接口!$C$93=0,"",[1]对账明细接口!$C$93),"")</f>
        <v>聂新平</v>
      </c>
      <c r="D93" s="16" t="str">
        <f>IFERROR(IF([1]对账明细接口!$D$93=0,"",[1]对账明细接口!$D$93),"")</f>
        <v>原料入库</v>
      </c>
      <c r="E93" s="16" t="str">
        <f>IFERROR(IF([1]对账明细接口!$E$93=0,"",[1]对账明细接口!$E$93),"")</f>
        <v>NO:0000711</v>
      </c>
      <c r="F93" s="16" t="str">
        <f>IFERROR(IF([1]对账明细接口!$F$93=0,"",[1]对账明细接口!$F$93),"")</f>
        <v>西梅</v>
      </c>
      <c r="G93" s="16" t="str">
        <f>IFERROR(IF([1]对账明细接口!$G$93=0,"",[1]对账明细接口!$G$93),"")</f>
        <v>西梅二级</v>
      </c>
      <c r="H93" s="176">
        <f>IFERROR(IF([1]对账明细接口!$H$93=0,"",[1]对账明细接口!$H$93),"")</f>
        <v>783</v>
      </c>
      <c r="I93" s="16" t="str">
        <f>IFERROR(IF([1]对账明细接口!$I$93=0,"",[1]对账明细接口!$I$93),"")</f>
        <v>筐</v>
      </c>
      <c r="J93" s="177">
        <f>IFERROR(IF([1]对账明细接口!$J$93=0,"",[1]对账明细接口!$J$93),"")</f>
        <v>1566</v>
      </c>
      <c r="K93" s="177">
        <f>IFERROR(IF([1]对账明细接口!$K$93=0,"",[1]对账明细接口!$K$93),"")</f>
      </c>
      <c r="L93" s="16">
        <f>IFERROR(IF([1]对账明细接口!$L$93=0,"",[1]对账明细接口!$L$93),"")</f>
      </c>
      <c r="M93" s="16">
        <f>IFERROR(IF([1]对账明细接口!$M$93=0,"",[1]对账明细接口!$M$93),"")</f>
      </c>
      <c r="N93" s="19">
        <f>IF($C93="",0,1)</f>
        <v>1</v>
      </c>
      <c r="O93" s="19">
        <f>N(O92)+$N93</f>
        <v>90</v>
      </c>
      <c r="S93" s="20" t="str">
        <f>IFERROR(IF([1]对账明细接口!$N93=0,"",[1]对账明细接口!$N93),"")</f>
        <v>自备一次性筐</v>
      </c>
      <c r="T93" s="212">
        <f>IFERROR(IF([1]对账明细接口!$O93=0,"",[1]对账明细接口!$O93),"")</f>
      </c>
      <c r="U93" s="212">
        <f>IFERROR(IF([1]对账明细接口!$P93=0,"",[1]对账明细接口!$P93),"")</f>
      </c>
      <c r="V93" s="212">
        <f>IFERROR(IF([1]对账明细接口!$Q93=0,"",[1]对账明细接口!$Q93),"")</f>
        <v>783</v>
      </c>
      <c r="W93" s="20" t="str">
        <f>IFERROR(IF([1]对账明细接口!$R93=0,"",[1]对账明细接口!$R93),"")</f>
        <v>新N*SQ607</v>
      </c>
      <c r="X93" s="20" t="str">
        <f>IFERROR(IF([1]对账明细接口!$S93=0,"",[1]对账明细接口!$S93),"")</f>
        <v>自备筐</v>
      </c>
      <c r="Y93" s="20">
        <f>IFERROR(IF([1]对账明细接口!$T93=0,"",[1]对账明细接口!$T93),"")</f>
      </c>
      <c r="Z93" s="213">
        <f>IFERROR(IF([1]对账明细接口!$U93=0,"",[1]对账明细接口!$U93),"")</f>
      </c>
      <c r="AA93" s="213">
        <f>IFERROR(IF([1]对账明细接口!$V93=0,"",[1]对账明细接口!$V93),"")</f>
      </c>
      <c r="AB93" s="20">
        <f>IFERROR(IF([1]对账明细接口!$W93=0,"",[1]对账明细接口!$W93),"")</f>
      </c>
      <c r="AC93" s="7">
        <f>IFERROR(IF([1]对账明细接口!$X93=0,"",[1]对账明细接口!$X93),"")</f>
      </c>
      <c r="AD93" s="7">
        <f>IFERROR(IF([1]对账明细接口!$Y93=0,"",[1]对账明细接口!$Y93),"")</f>
      </c>
      <c r="AE93" s="7">
        <f>IFERROR(IF([1]对账明细接口!$AA93=0,"",[1]对账明细接口!$AA93),"")</f>
      </c>
      <c r="AF93" s="7">
        <f>IFERROR(IF([1]对账明细接口!$AB93=0,"",[1]对账明细接口!$AB93),"")</f>
      </c>
      <c r="AG93" s="7">
        <f>IFERROR(IF([1]对账明细接口!$AC93=0,"",[1]对账明细接口!$AC93),"")</f>
      </c>
      <c r="AH93" s="7">
        <f>IFERROR(IF([1]对账明细接口!$AD93=0,"",[1]对账明细接口!$AD93),"")</f>
      </c>
      <c r="AI93" s="7">
        <f>IFERROR(IF([1]对账明细接口!$AE93=0,"",[1]对账明细接口!$AE93),"")</f>
      </c>
      <c r="AJ93" s="7">
        <f>IFERROR(IF([1]对账明细接口!$AF93=0,"",[1]对账明细接口!$AF93),"")</f>
      </c>
    </row>
    <row r="94" ht="14.25" customHeight="1" s="127">
      <c r="A94" s="14" t="n">
        <v>94</v>
      </c>
      <c r="B94" s="211">
        <f>IFERROR(IF([1]对账明细接口!$B$94=0,"",[1]对账明细接口!$B$94),"")</f>
        <v>46255.0</v>
      </c>
      <c r="C94" s="16" t="str">
        <f>IFERROR(IF([1]对账明细接口!$C$94=0,"",[1]对账明细接口!$C$94),"")</f>
        <v>聂新平</v>
      </c>
      <c r="D94" s="16" t="str">
        <f>IFERROR(IF([1]对账明细接口!$D$94=0,"",[1]对账明细接口!$D$94),"")</f>
        <v>原料入库</v>
      </c>
      <c r="E94" s="16" t="str">
        <f>IFERROR(IF([1]对账明细接口!$E$94=0,"",[1]对账明细接口!$E$94),"")</f>
        <v>NO:0000711</v>
      </c>
      <c r="F94" s="16" t="str">
        <f>IFERROR(IF([1]对账明细接口!$F$94=0,"",[1]对账明细接口!$F$94),"")</f>
        <v>西梅</v>
      </c>
      <c r="G94" s="16" t="str">
        <f>IFERROR(IF([1]对账明细接口!$G$94=0,"",[1]对账明细接口!$G$94),"")</f>
        <v>西梅三级</v>
      </c>
      <c r="H94" s="176">
        <f>IFERROR(IF([1]对账明细接口!$H$94=0,"",[1]对账明细接口!$H$94),"")</f>
        <v>264</v>
      </c>
      <c r="I94" s="16" t="str">
        <f>IFERROR(IF([1]对账明细接口!$I$94=0,"",[1]对账明细接口!$I$94),"")</f>
        <v>筐</v>
      </c>
      <c r="J94" s="177">
        <f>IFERROR(IF([1]对账明细接口!$J$94=0,"",[1]对账明细接口!$J$94),"")</f>
        <v>528</v>
      </c>
      <c r="K94" s="177">
        <f>IFERROR(IF([1]对账明细接口!$K$94=0,"",[1]对账明细接口!$K$94),"")</f>
      </c>
      <c r="L94" s="16">
        <f>IFERROR(IF([1]对账明细接口!$L$94=0,"",[1]对账明细接口!$L$94),"")</f>
      </c>
      <c r="M94" s="16">
        <f>IFERROR(IF([1]对账明细接口!$M$94=0,"",[1]对账明细接口!$M$94),"")</f>
      </c>
      <c r="N94" s="19">
        <f>IF($C94="",0,1)</f>
        <v>1</v>
      </c>
      <c r="O94" s="19">
        <f>N(O93)+$N94</f>
        <v>91</v>
      </c>
      <c r="S94" s="20" t="str">
        <f>IFERROR(IF([1]对账明细接口!$N94=0,"",[1]对账明细接口!$N94),"")</f>
        <v>自备一次性筐</v>
      </c>
      <c r="T94" s="212">
        <f>IFERROR(IF([1]对账明细接口!$O94=0,"",[1]对账明细接口!$O94),"")</f>
      </c>
      <c r="U94" s="212">
        <f>IFERROR(IF([1]对账明细接口!$P94=0,"",[1]对账明细接口!$P94),"")</f>
      </c>
      <c r="V94" s="212">
        <f>IFERROR(IF([1]对账明细接口!$Q94=0,"",[1]对账明细接口!$Q94),"")</f>
        <v>264</v>
      </c>
      <c r="W94" s="20" t="str">
        <f>IFERROR(IF([1]对账明细接口!$R94=0,"",[1]对账明细接口!$R94),"")</f>
        <v>新N*SQ607</v>
      </c>
      <c r="X94" s="20" t="str">
        <f>IFERROR(IF([1]对账明细接口!$S94=0,"",[1]对账明细接口!$S94),"")</f>
        <v>自备筐</v>
      </c>
      <c r="Y94" s="20">
        <f>IFERROR(IF([1]对账明细接口!$T94=0,"",[1]对账明细接口!$T94),"")</f>
      </c>
      <c r="Z94" s="213">
        <f>IFERROR(IF([1]对账明细接口!$U94=0,"",[1]对账明细接口!$U94),"")</f>
      </c>
      <c r="AA94" s="213">
        <f>IFERROR(IF([1]对账明细接口!$V94=0,"",[1]对账明细接口!$V94),"")</f>
      </c>
      <c r="AB94" s="20">
        <f>IFERROR(IF([1]对账明细接口!$W94=0,"",[1]对账明细接口!$W94),"")</f>
      </c>
      <c r="AC94" s="7">
        <f>IFERROR(IF([1]对账明细接口!$X94=0,"",[1]对账明细接口!$X94),"")</f>
      </c>
      <c r="AD94" s="7">
        <f>IFERROR(IF([1]对账明细接口!$Y94=0,"",[1]对账明细接口!$Y94),"")</f>
      </c>
      <c r="AE94" s="7">
        <f>IFERROR(IF([1]对账明细接口!$AA94=0,"",[1]对账明细接口!$AA94),"")</f>
      </c>
      <c r="AF94" s="7">
        <f>IFERROR(IF([1]对账明细接口!$AB94=0,"",[1]对账明细接口!$AB94),"")</f>
      </c>
      <c r="AG94" s="7">
        <f>IFERROR(IF([1]对账明细接口!$AC94=0,"",[1]对账明细接口!$AC94),"")</f>
      </c>
      <c r="AH94" s="7">
        <f>IFERROR(IF([1]对账明细接口!$AD94=0,"",[1]对账明细接口!$AD94),"")</f>
      </c>
      <c r="AI94" s="7">
        <f>IFERROR(IF([1]对账明细接口!$AE94=0,"",[1]对账明细接口!$AE94),"")</f>
      </c>
      <c r="AJ94" s="7">
        <f>IFERROR(IF([1]对账明细接口!$AF94=0,"",[1]对账明细接口!$AF94),"")</f>
      </c>
    </row>
    <row r="95" ht="14.25" customHeight="1" s="127">
      <c r="A95" s="14" t="n">
        <v>95</v>
      </c>
      <c r="B95" s="211">
        <f>IFERROR(IF([1]对账明细接口!$B$95=0,"",[1]对账明细接口!$B$95),"")</f>
        <v>46256.0</v>
      </c>
      <c r="C95" s="16" t="str">
        <f>IFERROR(IF([1]对账明细接口!$C$95=0,"",[1]对账明细接口!$C$95),"")</f>
        <v>聂新平</v>
      </c>
      <c r="D95" s="16" t="str">
        <f>IFERROR(IF([1]对账明细接口!$D$95=0,"",[1]对账明细接口!$D$95),"")</f>
        <v>原料入库</v>
      </c>
      <c r="E95" s="16" t="str">
        <f>IFERROR(IF([1]对账明细接口!$E$95=0,"",[1]对账明细接口!$E$95),"")</f>
        <v>NO:0000712</v>
      </c>
      <c r="F95" s="16" t="str">
        <f>IFERROR(IF([1]对账明细接口!$F$95=0,"",[1]对账明细接口!$F$95),"")</f>
        <v>西梅</v>
      </c>
      <c r="G95" s="16" t="str">
        <f>IFERROR(IF([1]对账明细接口!$G$95=0,"",[1]对账明细接口!$G$95),"")</f>
        <v>西梅一级</v>
      </c>
      <c r="H95" s="176">
        <f>IFERROR(IF([1]对账明细接口!$H$95=0,"",[1]对账明细接口!$H$95),"")</f>
        <v>27</v>
      </c>
      <c r="I95" s="16" t="str">
        <f>IFERROR(IF([1]对账明细接口!$I$95=0,"",[1]对账明细接口!$I$95),"")</f>
        <v>筐</v>
      </c>
      <c r="J95" s="177">
        <f>IFERROR(IF([1]对账明细接口!$J$95=0,"",[1]对账明细接口!$J$95),"")</f>
        <v>189</v>
      </c>
      <c r="K95" s="177">
        <f>IFERROR(IF([1]对账明细接口!$K$95=0,"",[1]对账明细接口!$K$95),"")</f>
      </c>
      <c r="L95" s="16">
        <f>IFERROR(IF([1]对账明细接口!$L$95=0,"",[1]对账明细接口!$L$95),"")</f>
      </c>
      <c r="M95" s="16">
        <f>IFERROR(IF([1]对账明细接口!$M$95=0,"",[1]对账明细接口!$M$95),"")</f>
      </c>
      <c r="N95" s="19">
        <f>IF($C95="",0,1)</f>
        <v>1</v>
      </c>
      <c r="O95" s="19">
        <f>N(O94)+$N95</f>
        <v>92</v>
      </c>
      <c r="S95" s="20" t="str">
        <f>IFERROR(IF([1]对账明细接口!$N95=0,"",[1]对账明细接口!$N95),"")</f>
        <v>自备一次性筐</v>
      </c>
      <c r="T95" s="212">
        <f>IFERROR(IF([1]对账明细接口!$O95=0,"",[1]对账明细接口!$O95),"")</f>
      </c>
      <c r="U95" s="212">
        <f>IFERROR(IF([1]对账明细接口!$P95=0,"",[1]对账明细接口!$P95),"")</f>
      </c>
      <c r="V95" s="212">
        <f>IFERROR(IF([1]对账明细接口!$Q95=0,"",[1]对账明细接口!$Q95),"")</f>
        <v>27</v>
      </c>
      <c r="W95" s="20" t="str">
        <f>IFERROR(IF([1]对账明细接口!$R95=0,"",[1]对账明细接口!$R95),"")</f>
        <v>苏M*7G796</v>
      </c>
      <c r="X95" s="20" t="str">
        <f>IFERROR(IF([1]对账明细接口!$S95=0,"",[1]对账明细接口!$S95),"")</f>
        <v>自备筐</v>
      </c>
      <c r="Y95" s="20">
        <f>IFERROR(IF([1]对账明细接口!$T95=0,"",[1]对账明细接口!$T95),"")</f>
      </c>
      <c r="Z95" s="213">
        <f>IFERROR(IF([1]对账明细接口!$U95=0,"",[1]对账明细接口!$U95),"")</f>
      </c>
      <c r="AA95" s="213">
        <f>IFERROR(IF([1]对账明细接口!$V95=0,"",[1]对账明细接口!$V95),"")</f>
      </c>
      <c r="AB95" s="20">
        <f>IFERROR(IF([1]对账明细接口!$W95=0,"",[1]对账明细接口!$W95),"")</f>
      </c>
      <c r="AC95" s="7">
        <f>IFERROR(IF([1]对账明细接口!$X95=0,"",[1]对账明细接口!$X95),"")</f>
      </c>
      <c r="AD95" s="7">
        <f>IFERROR(IF([1]对账明细接口!$Y95=0,"",[1]对账明细接口!$Y95),"")</f>
      </c>
      <c r="AE95" s="7">
        <f>IFERROR(IF([1]对账明细接口!$AA95=0,"",[1]对账明细接口!$AA95),"")</f>
      </c>
      <c r="AF95" s="7">
        <f>IFERROR(IF([1]对账明细接口!$AB95=0,"",[1]对账明细接口!$AB95),"")</f>
      </c>
      <c r="AG95" s="7">
        <f>IFERROR(IF([1]对账明细接口!$AC95=0,"",[1]对账明细接口!$AC95),"")</f>
      </c>
      <c r="AH95" s="7">
        <f>IFERROR(IF([1]对账明细接口!$AD95=0,"",[1]对账明细接口!$AD95),"")</f>
      </c>
      <c r="AI95" s="7">
        <f>IFERROR(IF([1]对账明细接口!$AE95=0,"",[1]对账明细接口!$AE95),"")</f>
      </c>
      <c r="AJ95" s="7">
        <f>IFERROR(IF([1]对账明细接口!$AF95=0,"",[1]对账明细接口!$AF95),"")</f>
      </c>
    </row>
    <row r="96" ht="14.25" customHeight="1" s="127">
      <c r="A96" s="14" t="n">
        <v>96</v>
      </c>
      <c r="B96" s="211">
        <f>IFERROR(IF([1]对账明细接口!$B$96=0,"",[1]对账明细接口!$B$96),"")</f>
        <v>46256.0</v>
      </c>
      <c r="C96" s="16" t="str">
        <f>IFERROR(IF([1]对账明细接口!$C$96=0,"",[1]对账明细接口!$C$96),"")</f>
        <v>聂新平</v>
      </c>
      <c r="D96" s="16" t="str">
        <f>IFERROR(IF([1]对账明细接口!$D$96=0,"",[1]对账明细接口!$D$96),"")</f>
        <v>原料入库</v>
      </c>
      <c r="E96" s="16" t="str">
        <f>IFERROR(IF([1]对账明细接口!$E$96=0,"",[1]对账明细接口!$E$96),"")</f>
        <v>NO:0000712</v>
      </c>
      <c r="F96" s="16" t="str">
        <f>IFERROR(IF([1]对账明细接口!$F$96=0,"",[1]对账明细接口!$F$96),"")</f>
        <v>西梅</v>
      </c>
      <c r="G96" s="16" t="str">
        <f>IFERROR(IF([1]对账明细接口!$G$96=0,"",[1]对账明细接口!$G$96),"")</f>
        <v>西梅二级</v>
      </c>
      <c r="H96" s="176">
        <f>IFERROR(IF([1]对账明细接口!$H$96=0,"",[1]对账明细接口!$H$96),"")</f>
        <v>78</v>
      </c>
      <c r="I96" s="16" t="str">
        <f>IFERROR(IF([1]对账明细接口!$I$96=0,"",[1]对账明细接口!$I$96),"")</f>
        <v>筐</v>
      </c>
      <c r="J96" s="177">
        <f>IFERROR(IF([1]对账明细接口!$J$96=0,"",[1]对账明细接口!$J$96),"")</f>
        <v>936</v>
      </c>
      <c r="K96" s="177">
        <f>IFERROR(IF([1]对账明细接口!$K$96=0,"",[1]对账明细接口!$K$96),"")</f>
      </c>
      <c r="L96" s="16">
        <f>IFERROR(IF([1]对账明细接口!$L$96=0,"",[1]对账明细接口!$L$96),"")</f>
      </c>
      <c r="M96" s="16">
        <f>IFERROR(IF([1]对账明细接口!$M$96=0,"",[1]对账明细接口!$M$96),"")</f>
      </c>
      <c r="N96" s="19">
        <f>IF($C96="",0,1)</f>
        <v>1</v>
      </c>
      <c r="O96" s="19">
        <f>N(O95)+$N96</f>
        <v>93</v>
      </c>
      <c r="S96" s="20" t="str">
        <f>IFERROR(IF([1]对账明细接口!$N96=0,"",[1]对账明细接口!$N96),"")</f>
        <v>自备一次性筐</v>
      </c>
      <c r="T96" s="212">
        <f>IFERROR(IF([1]对账明细接口!$O96=0,"",[1]对账明细接口!$O96),"")</f>
      </c>
      <c r="U96" s="212">
        <f>IFERROR(IF([1]对账明细接口!$P96=0,"",[1]对账明细接口!$P96),"")</f>
      </c>
      <c r="V96" s="212">
        <f>IFERROR(IF([1]对账明细接口!$Q96=0,"",[1]对账明细接口!$Q96),"")</f>
        <v>78</v>
      </c>
      <c r="W96" s="20" t="str">
        <f>IFERROR(IF([1]对账明细接口!$R96=0,"",[1]对账明细接口!$R96),"")</f>
        <v>苏M*7G796</v>
      </c>
      <c r="X96" s="20" t="str">
        <f>IFERROR(IF([1]对账明细接口!$S96=0,"",[1]对账明细接口!$S96),"")</f>
        <v>自备筐</v>
      </c>
      <c r="Y96" s="20">
        <f>IFERROR(IF([1]对账明细接口!$T96=0,"",[1]对账明细接口!$T96),"")</f>
      </c>
      <c r="Z96" s="213">
        <f>IFERROR(IF([1]对账明细接口!$U96=0,"",[1]对账明细接口!$U96),"")</f>
      </c>
      <c r="AA96" s="213">
        <f>IFERROR(IF([1]对账明细接口!$V96=0,"",[1]对账明细接口!$V96),"")</f>
      </c>
      <c r="AB96" s="20">
        <f>IFERROR(IF([1]对账明细接口!$W96=0,"",[1]对账明细接口!$W96),"")</f>
      </c>
      <c r="AC96" s="7">
        <f>IFERROR(IF([1]对账明细接口!$X96=0,"",[1]对账明细接口!$X96),"")</f>
      </c>
      <c r="AD96" s="7">
        <f>IFERROR(IF([1]对账明细接口!$Y96=0,"",[1]对账明细接口!$Y96),"")</f>
      </c>
      <c r="AE96" s="7">
        <f>IFERROR(IF([1]对账明细接口!$AA96=0,"",[1]对账明细接口!$AA96),"")</f>
      </c>
      <c r="AF96" s="7">
        <f>IFERROR(IF([1]对账明细接口!$AB96=0,"",[1]对账明细接口!$AB96),"")</f>
      </c>
      <c r="AG96" s="7">
        <f>IFERROR(IF([1]对账明细接口!$AC96=0,"",[1]对账明细接口!$AC96),"")</f>
      </c>
      <c r="AH96" s="7">
        <f>IFERROR(IF([1]对账明细接口!$AD96=0,"",[1]对账明细接口!$AD96),"")</f>
      </c>
      <c r="AI96" s="7">
        <f>IFERROR(IF([1]对账明细接口!$AE96=0,"",[1]对账明细接口!$AE96),"")</f>
      </c>
      <c r="AJ96" s="7">
        <f>IFERROR(IF([1]对账明细接口!$AF96=0,"",[1]对账明细接口!$AF96),"")</f>
      </c>
    </row>
    <row r="97" ht="14.25" customHeight="1" s="127">
      <c r="A97" s="14" t="n">
        <v>97</v>
      </c>
      <c r="B97" s="211">
        <f>IFERROR(IF([1]对账明细接口!$B$97=0,"",[1]对账明细接口!$B$97),"")</f>
        <v>46256.0</v>
      </c>
      <c r="C97" s="16" t="str">
        <f>IFERROR(IF([1]对账明细接口!$C$97=0,"",[1]对账明细接口!$C$97),"")</f>
        <v>聂新平</v>
      </c>
      <c r="D97" s="16" t="str">
        <f>IFERROR(IF([1]对账明细接口!$D$97=0,"",[1]对账明细接口!$D$97),"")</f>
        <v>原料入库</v>
      </c>
      <c r="E97" s="16" t="str">
        <f>IFERROR(IF([1]对账明细接口!$E$97=0,"",[1]对账明细接口!$E$97),"")</f>
        <v>NO:0000714</v>
      </c>
      <c r="F97" s="16" t="str">
        <f>IFERROR(IF([1]对账明细接口!$F$97=0,"",[1]对账明细接口!$F$97),"")</f>
        <v>西梅</v>
      </c>
      <c r="G97" s="16" t="str">
        <f>IFERROR(IF([1]对账明细接口!$G$97=0,"",[1]对账明细接口!$G$97),"")</f>
        <v>西梅一级</v>
      </c>
      <c r="H97" s="176">
        <f>IFERROR(IF([1]对账明细接口!$H$97=0,"",[1]对账明细接口!$H$97),"")</f>
        <v>189</v>
      </c>
      <c r="I97" s="16" t="str">
        <f>IFERROR(IF([1]对账明细接口!$I$97=0,"",[1]对账明细接口!$I$97),"")</f>
        <v>筐</v>
      </c>
      <c r="J97" s="177">
        <f>IFERROR(IF([1]对账明细接口!$J$97=0,"",[1]对账明细接口!$J$97),"")</f>
        <v>1323</v>
      </c>
      <c r="K97" s="177">
        <f>IFERROR(IF([1]对账明细接口!$K$97=0,"",[1]对账明细接口!$K$97),"")</f>
      </c>
      <c r="L97" s="16">
        <f>IFERROR(IF([1]对账明细接口!$L$97=0,"",[1]对账明细接口!$L$97),"")</f>
      </c>
      <c r="M97" s="16">
        <f>IFERROR(IF([1]对账明细接口!$M$97=0,"",[1]对账明细接口!$M$97),"")</f>
      </c>
      <c r="N97" s="19">
        <f>IF($C97="",0,1)</f>
        <v>1</v>
      </c>
      <c r="O97" s="19">
        <f>N(O96)+$N97</f>
        <v>94</v>
      </c>
      <c r="S97" s="20" t="str">
        <f>IFERROR(IF([1]对账明细接口!$N97=0,"",[1]对账明细接口!$N97),"")</f>
        <v>自备一次性筐</v>
      </c>
      <c r="T97" s="212">
        <f>IFERROR(IF([1]对账明细接口!$O97=0,"",[1]对账明细接口!$O97),"")</f>
      </c>
      <c r="U97" s="212">
        <f>IFERROR(IF([1]对账明细接口!$P97=0,"",[1]对账明细接口!$P97),"")</f>
      </c>
      <c r="V97" s="212">
        <f>IFERROR(IF([1]对账明细接口!$Q97=0,"",[1]对账明细接口!$Q97),"")</f>
        <v>189</v>
      </c>
      <c r="W97" s="20" t="str">
        <f>IFERROR(IF([1]对账明细接口!$R97=0,"",[1]对账明细接口!$R97),"")</f>
        <v>新N*SQ607</v>
      </c>
      <c r="X97" s="20" t="str">
        <f>IFERROR(IF([1]对账明细接口!$S97=0,"",[1]对账明细接口!$S97),"")</f>
        <v>自备筐</v>
      </c>
      <c r="Y97" s="20">
        <f>IFERROR(IF([1]对账明细接口!$T97=0,"",[1]对账明细接口!$T97),"")</f>
      </c>
      <c r="Z97" s="213">
        <f>IFERROR(IF([1]对账明细接口!$U97=0,"",[1]对账明细接口!$U97),"")</f>
      </c>
      <c r="AA97" s="213">
        <f>IFERROR(IF([1]对账明细接口!$V97=0,"",[1]对账明细接口!$V97),"")</f>
      </c>
      <c r="AB97" s="20">
        <f>IFERROR(IF([1]对账明细接口!$W97=0,"",[1]对账明细接口!$W97),"")</f>
      </c>
      <c r="AC97" s="7">
        <f>IFERROR(IF([1]对账明细接口!$X97=0,"",[1]对账明细接口!$X97),"")</f>
      </c>
      <c r="AD97" s="7">
        <f>IFERROR(IF([1]对账明细接口!$Y97=0,"",[1]对账明细接口!$Y97),"")</f>
      </c>
      <c r="AE97" s="7">
        <f>IFERROR(IF([1]对账明细接口!$AA97=0,"",[1]对账明细接口!$AA97),"")</f>
      </c>
      <c r="AF97" s="7">
        <f>IFERROR(IF([1]对账明细接口!$AB97=0,"",[1]对账明细接口!$AB97),"")</f>
      </c>
      <c r="AG97" s="7">
        <f>IFERROR(IF([1]对账明细接口!$AC97=0,"",[1]对账明细接口!$AC97),"")</f>
      </c>
      <c r="AH97" s="7">
        <f>IFERROR(IF([1]对账明细接口!$AD97=0,"",[1]对账明细接口!$AD97),"")</f>
      </c>
      <c r="AI97" s="7">
        <f>IFERROR(IF([1]对账明细接口!$AE97=0,"",[1]对账明细接口!$AE97),"")</f>
      </c>
      <c r="AJ97" s="7">
        <f>IFERROR(IF([1]对账明细接口!$AF97=0,"",[1]对账明细接口!$AF97),"")</f>
      </c>
    </row>
    <row r="98" ht="14.25" customHeight="1" s="127">
      <c r="A98" s="14" t="n">
        <v>98</v>
      </c>
      <c r="B98" s="211">
        <f>IFERROR(IF([1]对账明细接口!$B$98=0,"",[1]对账明细接口!$B$98),"")</f>
        <v>46256.0</v>
      </c>
      <c r="C98" s="16" t="str">
        <f>IFERROR(IF([1]对账明细接口!$C$98=0,"",[1]对账明细接口!$C$98),"")</f>
        <v>聂新平</v>
      </c>
      <c r="D98" s="16" t="str">
        <f>IFERROR(IF([1]对账明细接口!$D$98=0,"",[1]对账明细接口!$D$98),"")</f>
        <v>原料入库</v>
      </c>
      <c r="E98" s="16" t="str">
        <f>IFERROR(IF([1]对账明细接口!$E$98=0,"",[1]对账明细接口!$E$98),"")</f>
        <v>NO:0000714</v>
      </c>
      <c r="F98" s="16" t="str">
        <f>IFERROR(IF([1]对账明细接口!$F$98=0,"",[1]对账明细接口!$F$98),"")</f>
        <v>西梅</v>
      </c>
      <c r="G98" s="16" t="str">
        <f>IFERROR(IF([1]对账明细接口!$G$98=0,"",[1]对账明细接口!$G$98),"")</f>
        <v>西梅二级</v>
      </c>
      <c r="H98" s="176">
        <f>IFERROR(IF([1]对账明细接口!$H$98=0,"",[1]对账明细接口!$H$98),"")</f>
        <v>111</v>
      </c>
      <c r="I98" s="16" t="str">
        <f>IFERROR(IF([1]对账明细接口!$I$98=0,"",[1]对账明细接口!$I$98),"")</f>
        <v>筐</v>
      </c>
      <c r="J98" s="177">
        <f>IFERROR(IF([1]对账明细接口!$J$98=0,"",[1]对账明细接口!$J$98),"")</f>
        <v>1332</v>
      </c>
      <c r="K98" s="177">
        <f>IFERROR(IF([1]对账明细接口!$K$98=0,"",[1]对账明细接口!$K$98),"")</f>
      </c>
      <c r="L98" s="16">
        <f>IFERROR(IF([1]对账明细接口!$L$98=0,"",[1]对账明细接口!$L$98),"")</f>
      </c>
      <c r="M98" s="16">
        <f>IFERROR(IF([1]对账明细接口!$M$98=0,"",[1]对账明细接口!$M$98),"")</f>
      </c>
      <c r="N98" s="19">
        <f>IF($C98="",0,1)</f>
        <v>1</v>
      </c>
      <c r="O98" s="19">
        <f>N(O97)+$N98</f>
        <v>95</v>
      </c>
      <c r="S98" s="20" t="str">
        <f>IFERROR(IF([1]对账明细接口!$N98=0,"",[1]对账明细接口!$N98),"")</f>
        <v>自备一次性筐</v>
      </c>
      <c r="T98" s="212">
        <f>IFERROR(IF([1]对账明细接口!$O98=0,"",[1]对账明细接口!$O98),"")</f>
      </c>
      <c r="U98" s="212">
        <f>IFERROR(IF([1]对账明细接口!$P98=0,"",[1]对账明细接口!$P98),"")</f>
      </c>
      <c r="V98" s="212">
        <f>IFERROR(IF([1]对账明细接口!$Q98=0,"",[1]对账明细接口!$Q98),"")</f>
        <v>111</v>
      </c>
      <c r="W98" s="20" t="str">
        <f>IFERROR(IF([1]对账明细接口!$R98=0,"",[1]对账明细接口!$R98),"")</f>
        <v>新N*SQ607</v>
      </c>
      <c r="X98" s="20" t="str">
        <f>IFERROR(IF([1]对账明细接口!$S98=0,"",[1]对账明细接口!$S98),"")</f>
        <v>自备筐</v>
      </c>
      <c r="Y98" s="20">
        <f>IFERROR(IF([1]对账明细接口!$T98=0,"",[1]对账明细接口!$T98),"")</f>
      </c>
      <c r="Z98" s="213">
        <f>IFERROR(IF([1]对账明细接口!$U98=0,"",[1]对账明细接口!$U98),"")</f>
      </c>
      <c r="AA98" s="213">
        <f>IFERROR(IF([1]对账明细接口!$V98=0,"",[1]对账明细接口!$V98),"")</f>
      </c>
      <c r="AB98" s="20">
        <f>IFERROR(IF([1]对账明细接口!$W98=0,"",[1]对账明细接口!$W98),"")</f>
      </c>
      <c r="AC98" s="7">
        <f>IFERROR(IF([1]对账明细接口!$X98=0,"",[1]对账明细接口!$X98),"")</f>
      </c>
      <c r="AD98" s="7">
        <f>IFERROR(IF([1]对账明细接口!$Y98=0,"",[1]对账明细接口!$Y98),"")</f>
      </c>
      <c r="AE98" s="7">
        <f>IFERROR(IF([1]对账明细接口!$AA98=0,"",[1]对账明细接口!$AA98),"")</f>
      </c>
      <c r="AF98" s="7">
        <f>IFERROR(IF([1]对账明细接口!$AB98=0,"",[1]对账明细接口!$AB98),"")</f>
      </c>
      <c r="AG98" s="7">
        <f>IFERROR(IF([1]对账明细接口!$AC98=0,"",[1]对账明细接口!$AC98),"")</f>
      </c>
      <c r="AH98" s="7">
        <f>IFERROR(IF([1]对账明细接口!$AD98=0,"",[1]对账明细接口!$AD98),"")</f>
      </c>
      <c r="AI98" s="7">
        <f>IFERROR(IF([1]对账明细接口!$AE98=0,"",[1]对账明细接口!$AE98),"")</f>
      </c>
      <c r="AJ98" s="7">
        <f>IFERROR(IF([1]对账明细接口!$AF98=0,"",[1]对账明细接口!$AF98),"")</f>
      </c>
    </row>
    <row r="99" ht="14.25" customHeight="1" s="127">
      <c r="A99" s="14" t="n">
        <v>99</v>
      </c>
      <c r="B99" s="211">
        <f>IFERROR(IF([1]对账明细接口!$B$99=0,"",[1]对账明细接口!$B$99),"")</f>
        <v>46256.0</v>
      </c>
      <c r="C99" s="16" t="str">
        <f>IFERROR(IF([1]对账明细接口!$C$99=0,"",[1]对账明细接口!$C$99),"")</f>
        <v>聂新平</v>
      </c>
      <c r="D99" s="16" t="str">
        <f>IFERROR(IF([1]对账明细接口!$D$99=0,"",[1]对账明细接口!$D$99),"")</f>
        <v>原料入库</v>
      </c>
      <c r="E99" s="16" t="str">
        <f>IFERROR(IF([1]对账明细接口!$E$99=0,"",[1]对账明细接口!$E$99),"")</f>
        <v>NO:0000714</v>
      </c>
      <c r="F99" s="16" t="str">
        <f>IFERROR(IF([1]对账明细接口!$F$99=0,"",[1]对账明细接口!$F$99),"")</f>
        <v>西梅</v>
      </c>
      <c r="G99" s="16" t="str">
        <f>IFERROR(IF([1]对账明细接口!$G$99=0,"",[1]对账明细接口!$G$99),"")</f>
        <v>西梅二级</v>
      </c>
      <c r="H99" s="176">
        <f>IFERROR(IF([1]对账明细接口!$H$99=0,"",[1]对账明细接口!$H$99),"")</f>
        <v>253</v>
      </c>
      <c r="I99" s="16" t="str">
        <f>IFERROR(IF([1]对账明细接口!$I$99=0,"",[1]对账明细接口!$I$99),"")</f>
        <v>筐</v>
      </c>
      <c r="J99" s="177">
        <f>IFERROR(IF([1]对账明细接口!$J$99=0,"",[1]对账明细接口!$J$99),"")</f>
        <v>506</v>
      </c>
      <c r="K99" s="177">
        <f>IFERROR(IF([1]对账明细接口!$K$99=0,"",[1]对账明细接口!$K$99),"")</f>
      </c>
      <c r="L99" s="16">
        <f>IFERROR(IF([1]对账明细接口!$L$99=0,"",[1]对账明细接口!$L$99),"")</f>
      </c>
      <c r="M99" s="16">
        <f>IFERROR(IF([1]对账明细接口!$M$99=0,"",[1]对账明细接口!$M$99),"")</f>
      </c>
      <c r="N99" s="19">
        <f>IF($C99="",0,1)</f>
        <v>1</v>
      </c>
      <c r="O99" s="19">
        <f>N(O98)+$N99</f>
        <v>96</v>
      </c>
      <c r="S99" s="20" t="str">
        <f>IFERROR(IF([1]对账明细接口!$N99=0,"",[1]对账明细接口!$N99),"")</f>
        <v>自备一次性筐</v>
      </c>
      <c r="T99" s="212">
        <f>IFERROR(IF([1]对账明细接口!$O99=0,"",[1]对账明细接口!$O99),"")</f>
      </c>
      <c r="U99" s="212">
        <f>IFERROR(IF([1]对账明细接口!$P99=0,"",[1]对账明细接口!$P99),"")</f>
      </c>
      <c r="V99" s="212">
        <f>IFERROR(IF([1]对账明细接口!$Q99=0,"",[1]对账明细接口!$Q99),"")</f>
        <v>253</v>
      </c>
      <c r="W99" s="20" t="str">
        <f>IFERROR(IF([1]对账明细接口!$R99=0,"",[1]对账明细接口!$R99),"")</f>
        <v>新N*SQ607</v>
      </c>
      <c r="X99" s="20" t="str">
        <f>IFERROR(IF([1]对账明细接口!$S99=0,"",[1]对账明细接口!$S99),"")</f>
        <v>自备筐</v>
      </c>
      <c r="Y99" s="20">
        <f>IFERROR(IF([1]对账明细接口!$T99=0,"",[1]对账明细接口!$T99),"")</f>
      </c>
      <c r="Z99" s="213">
        <f>IFERROR(IF([1]对账明细接口!$U99=0,"",[1]对账明细接口!$U99),"")</f>
      </c>
      <c r="AA99" s="213">
        <f>IFERROR(IF([1]对账明细接口!$V99=0,"",[1]对账明细接口!$V99),"")</f>
      </c>
      <c r="AB99" s="20">
        <f>IFERROR(IF([1]对账明细接口!$W99=0,"",[1]对账明细接口!$W99),"")</f>
      </c>
      <c r="AC99" s="7">
        <f>IFERROR(IF([1]对账明细接口!$X99=0,"",[1]对账明细接口!$X99),"")</f>
      </c>
      <c r="AD99" s="7">
        <f>IFERROR(IF([1]对账明细接口!$Y99=0,"",[1]对账明细接口!$Y99),"")</f>
      </c>
      <c r="AE99" s="7">
        <f>IFERROR(IF([1]对账明细接口!$AA99=0,"",[1]对账明细接口!$AA99),"")</f>
      </c>
      <c r="AF99" s="7">
        <f>IFERROR(IF([1]对账明细接口!$AB99=0,"",[1]对账明细接口!$AB99),"")</f>
      </c>
      <c r="AG99" s="7">
        <f>IFERROR(IF([1]对账明细接口!$AC99=0,"",[1]对账明细接口!$AC99),"")</f>
      </c>
      <c r="AH99" s="7">
        <f>IFERROR(IF([1]对账明细接口!$AD99=0,"",[1]对账明细接口!$AD99),"")</f>
      </c>
      <c r="AI99" s="7">
        <f>IFERROR(IF([1]对账明细接口!$AE99=0,"",[1]对账明细接口!$AE99),"")</f>
      </c>
      <c r="AJ99" s="7">
        <f>IFERROR(IF([1]对账明细接口!$AF99=0,"",[1]对账明细接口!$AF99),"")</f>
      </c>
    </row>
    <row r="100" ht="14.25" customHeight="1" s="127">
      <c r="A100" s="14" t="n">
        <v>100</v>
      </c>
      <c r="B100" s="211">
        <f>IFERROR(IF([1]对账明细接口!$B$100=0,"",[1]对账明细接口!$B$100),"")</f>
        <v>46256.0</v>
      </c>
      <c r="C100" s="16" t="str">
        <f>IFERROR(IF([1]对账明细接口!$C$100=0,"",[1]对账明细接口!$C$100),"")</f>
        <v>聂新平</v>
      </c>
      <c r="D100" s="16" t="str">
        <f>IFERROR(IF([1]对账明细接口!$D$100=0,"",[1]对账明细接口!$D$100),"")</f>
        <v>原料入库</v>
      </c>
      <c r="E100" s="16" t="str">
        <f>IFERROR(IF([1]对账明细接口!$E$100=0,"",[1]对账明细接口!$E$100),"")</f>
        <v>NO:0000714</v>
      </c>
      <c r="F100" s="16" t="str">
        <f>IFERROR(IF([1]对账明细接口!$F$100=0,"",[1]对账明细接口!$F$100),"")</f>
        <v>西梅</v>
      </c>
      <c r="G100" s="16" t="str">
        <f>IFERROR(IF([1]对账明细接口!$G$100=0,"",[1]对账明细接口!$G$100),"")</f>
        <v>西梅三级</v>
      </c>
      <c r="H100" s="176">
        <f>IFERROR(IF([1]对账明细接口!$H$100=0,"",[1]对账明细接口!$H$100),"")</f>
        <v>408</v>
      </c>
      <c r="I100" s="16" t="str">
        <f>IFERROR(IF([1]对账明细接口!$I$100=0,"",[1]对账明细接口!$I$100),"")</f>
        <v>筐</v>
      </c>
      <c r="J100" s="177">
        <f>IFERROR(IF([1]对账明细接口!$J$100=0,"",[1]对账明细接口!$J$100),"")</f>
        <v>816</v>
      </c>
      <c r="K100" s="177">
        <f>IFERROR(IF([1]对账明细接口!$K$100=0,"",[1]对账明细接口!$K$100),"")</f>
      </c>
      <c r="L100" s="16">
        <f>IFERROR(IF([1]对账明细接口!$L$100=0,"",[1]对账明细接口!$L$100),"")</f>
      </c>
      <c r="M100" s="16">
        <f>IFERROR(IF([1]对账明细接口!$M$100=0,"",[1]对账明细接口!$M$100),"")</f>
      </c>
      <c r="N100" s="19">
        <f>IF($C100="",0,1)</f>
        <v>1</v>
      </c>
      <c r="O100" s="19">
        <f>N(O99)+$N100</f>
        <v>97</v>
      </c>
      <c r="S100" s="20" t="str">
        <f>IFERROR(IF([1]对账明细接口!$N100=0,"",[1]对账明细接口!$N100),"")</f>
        <v>自备一次性筐</v>
      </c>
      <c r="T100" s="212">
        <f>IFERROR(IF([1]对账明细接口!$O100=0,"",[1]对账明细接口!$O100),"")</f>
      </c>
      <c r="U100" s="212">
        <f>IFERROR(IF([1]对账明细接口!$P100=0,"",[1]对账明细接口!$P100),"")</f>
      </c>
      <c r="V100" s="212">
        <f>IFERROR(IF([1]对账明细接口!$Q100=0,"",[1]对账明细接口!$Q100),"")</f>
        <v>408</v>
      </c>
      <c r="W100" s="20" t="str">
        <f>IFERROR(IF([1]对账明细接口!$R100=0,"",[1]对账明细接口!$R100),"")</f>
        <v>新N*SQ607</v>
      </c>
      <c r="X100" s="20" t="str">
        <f>IFERROR(IF([1]对账明细接口!$S100=0,"",[1]对账明细接口!$S100),"")</f>
        <v>自备筐</v>
      </c>
      <c r="Y100" s="20">
        <f>IFERROR(IF([1]对账明细接口!$T100=0,"",[1]对账明细接口!$T100),"")</f>
      </c>
      <c r="Z100" s="213">
        <f>IFERROR(IF([1]对账明细接口!$U100=0,"",[1]对账明细接口!$U100),"")</f>
      </c>
      <c r="AA100" s="213">
        <f>IFERROR(IF([1]对账明细接口!$V100=0,"",[1]对账明细接口!$V100),"")</f>
      </c>
      <c r="AB100" s="20">
        <f>IFERROR(IF([1]对账明细接口!$W100=0,"",[1]对账明细接口!$W100),"")</f>
      </c>
      <c r="AC100" s="7">
        <f>IFERROR(IF([1]对账明细接口!$X100=0,"",[1]对账明细接口!$X100),"")</f>
      </c>
      <c r="AD100" s="7">
        <f>IFERROR(IF([1]对账明细接口!$Y100=0,"",[1]对账明细接口!$Y100),"")</f>
      </c>
      <c r="AE100" s="7">
        <f>IFERROR(IF([1]对账明细接口!$AA100=0,"",[1]对账明细接口!$AA100),"")</f>
      </c>
      <c r="AF100" s="7">
        <f>IFERROR(IF([1]对账明细接口!$AB100=0,"",[1]对账明细接口!$AB100),"")</f>
      </c>
      <c r="AG100" s="7">
        <f>IFERROR(IF([1]对账明细接口!$AC100=0,"",[1]对账明细接口!$AC100),"")</f>
      </c>
      <c r="AH100" s="7">
        <f>IFERROR(IF([1]对账明细接口!$AD100=0,"",[1]对账明细接口!$AD100),"")</f>
      </c>
      <c r="AI100" s="7">
        <f>IFERROR(IF([1]对账明细接口!$AE100=0,"",[1]对账明细接口!$AE100),"")</f>
      </c>
      <c r="AJ100" s="7">
        <f>IFERROR(IF([1]对账明细接口!$AF100=0,"",[1]对账明细接口!$AF100),"")</f>
      </c>
    </row>
    <row r="101" ht="14.25" customHeight="1" s="127">
      <c r="A101" s="14" t="n">
        <v>101</v>
      </c>
      <c r="B101" s="211">
        <f>IFERROR(IF([1]对账明细接口!$B$101=0,"",[1]对账明细接口!$B$101),"")</f>
        <v>46257.0</v>
      </c>
      <c r="C101" s="16" t="str">
        <f>IFERROR(IF([1]对账明细接口!$C$101=0,"",[1]对账明细接口!$C$101),"")</f>
        <v>聂新平</v>
      </c>
      <c r="D101" s="16" t="str">
        <f>IFERROR(IF([1]对账明细接口!$D$101=0,"",[1]对账明细接口!$D$101),"")</f>
        <v>原料入库</v>
      </c>
      <c r="E101" s="16" t="str">
        <f>IFERROR(IF([1]对账明细接口!$E$101=0,"",[1]对账明细接口!$E$101),"")</f>
        <v>NO:0000716</v>
      </c>
      <c r="F101" s="16" t="str">
        <f>IFERROR(IF([1]对账明细接口!$F$101=0,"",[1]对账明细接口!$F$101),"")</f>
        <v>西梅</v>
      </c>
      <c r="G101" s="16" t="str">
        <f>IFERROR(IF([1]对账明细接口!$G$101=0,"",[1]对账明细接口!$G$101),"")</f>
        <v>西梅一级</v>
      </c>
      <c r="H101" s="176">
        <f>IFERROR(IF([1]对账明细接口!$H$101=0,"",[1]对账明细接口!$H$101),"")</f>
        <v>81</v>
      </c>
      <c r="I101" s="16" t="str">
        <f>IFERROR(IF([1]对账明细接口!$I$101=0,"",[1]对账明细接口!$I$101),"")</f>
        <v>筐</v>
      </c>
      <c r="J101" s="177">
        <f>IFERROR(IF([1]对账明细接口!$J$101=0,"",[1]对账明细接口!$J$101),"")</f>
        <v>567</v>
      </c>
      <c r="K101" s="177">
        <f>IFERROR(IF([1]对账明细接口!$K$101=0,"",[1]对账明细接口!$K$101),"")</f>
      </c>
      <c r="L101" s="16">
        <f>IFERROR(IF([1]对账明细接口!$L$101=0,"",[1]对账明细接口!$L$101),"")</f>
      </c>
      <c r="M101" s="16">
        <f>IFERROR(IF([1]对账明细接口!$M$101=0,"",[1]对账明细接口!$M$101),"")</f>
      </c>
      <c r="N101" s="19">
        <f>IF($C101="",0,1)</f>
        <v>1</v>
      </c>
      <c r="O101" s="19">
        <f>N(O100)+$N101</f>
        <v>98</v>
      </c>
      <c r="S101" s="20" t="str">
        <f>IFERROR(IF([1]对账明细接口!$N101=0,"",[1]对账明细接口!$N101),"")</f>
        <v>自备一次性筐</v>
      </c>
      <c r="T101" s="212">
        <f>IFERROR(IF([1]对账明细接口!$O101=0,"",[1]对账明细接口!$O101),"")</f>
      </c>
      <c r="U101" s="212">
        <f>IFERROR(IF([1]对账明细接口!$P101=0,"",[1]对账明细接口!$P101),"")</f>
      </c>
      <c r="V101" s="212">
        <f>IFERROR(IF([1]对账明细接口!$Q101=0,"",[1]对账明细接口!$Q101),"")</f>
        <v>81</v>
      </c>
      <c r="W101" s="20" t="str">
        <f>IFERROR(IF([1]对账明细接口!$R101=0,"",[1]对账明细接口!$R101),"")</f>
        <v>苏M*7G796</v>
      </c>
      <c r="X101" s="20" t="str">
        <f>IFERROR(IF([1]对账明细接口!$S101=0,"",[1]对账明细接口!$S101),"")</f>
        <v>自备筐</v>
      </c>
      <c r="Y101" s="20">
        <f>IFERROR(IF([1]对账明细接口!$T101=0,"",[1]对账明细接口!$T101),"")</f>
      </c>
      <c r="Z101" s="213">
        <f>IFERROR(IF([1]对账明细接口!$U101=0,"",[1]对账明细接口!$U101),"")</f>
      </c>
      <c r="AA101" s="213">
        <f>IFERROR(IF([1]对账明细接口!$V101=0,"",[1]对账明细接口!$V101),"")</f>
      </c>
      <c r="AB101" s="20">
        <f>IFERROR(IF([1]对账明细接口!$W101=0,"",[1]对账明细接口!$W101),"")</f>
      </c>
      <c r="AC101" s="7">
        <f>IFERROR(IF([1]对账明细接口!$X101=0,"",[1]对账明细接口!$X101),"")</f>
      </c>
      <c r="AD101" s="7">
        <f>IFERROR(IF([1]对账明细接口!$Y101=0,"",[1]对账明细接口!$Y101),"")</f>
      </c>
      <c r="AE101" s="7">
        <f>IFERROR(IF([1]对账明细接口!$AA101=0,"",[1]对账明细接口!$AA101),"")</f>
      </c>
      <c r="AF101" s="7">
        <f>IFERROR(IF([1]对账明细接口!$AB101=0,"",[1]对账明细接口!$AB101),"")</f>
      </c>
      <c r="AG101" s="7">
        <f>IFERROR(IF([1]对账明细接口!$AC101=0,"",[1]对账明细接口!$AC101),"")</f>
      </c>
      <c r="AH101" s="7">
        <f>IFERROR(IF([1]对账明细接口!$AD101=0,"",[1]对账明细接口!$AD101),"")</f>
      </c>
      <c r="AI101" s="7">
        <f>IFERROR(IF([1]对账明细接口!$AE101=0,"",[1]对账明细接口!$AE101),"")</f>
      </c>
      <c r="AJ101" s="7">
        <f>IFERROR(IF([1]对账明细接口!$AF101=0,"",[1]对账明细接口!$AF101),"")</f>
      </c>
    </row>
    <row r="102" ht="14.25" customHeight="1" s="127">
      <c r="A102" s="14" t="n">
        <v>102</v>
      </c>
      <c r="B102" s="211">
        <f>IFERROR(IF([1]对账明细接口!$B$102=0,"",[1]对账明细接口!$B$102),"")</f>
        <v>46257.0</v>
      </c>
      <c r="C102" s="16" t="str">
        <f>IFERROR(IF([1]对账明细接口!$C$102=0,"",[1]对账明细接口!$C$102),"")</f>
        <v>聂新平</v>
      </c>
      <c r="D102" s="16" t="str">
        <f>IFERROR(IF([1]对账明细接口!$D$102=0,"",[1]对账明细接口!$D$102),"")</f>
        <v>原料入库</v>
      </c>
      <c r="E102" s="16" t="str">
        <f>IFERROR(IF([1]对账明细接口!$E$102=0,"",[1]对账明细接口!$E$102),"")</f>
        <v>NO:0000716</v>
      </c>
      <c r="F102" s="16" t="str">
        <f>IFERROR(IF([1]对账明细接口!$F$102=0,"",[1]对账明细接口!$F$102),"")</f>
        <v>西梅</v>
      </c>
      <c r="G102" s="16" t="str">
        <f>IFERROR(IF([1]对账明细接口!$G$102=0,"",[1]对账明细接口!$G$102),"")</f>
        <v>西梅二级</v>
      </c>
      <c r="H102" s="176">
        <f>IFERROR(IF([1]对账明细接口!$H$102=0,"",[1]对账明细接口!$H$102),"")</f>
        <v>36</v>
      </c>
      <c r="I102" s="16" t="str">
        <f>IFERROR(IF([1]对账明细接口!$I$102=0,"",[1]对账明细接口!$I$102),"")</f>
        <v>筐</v>
      </c>
      <c r="J102" s="177">
        <f>IFERROR(IF([1]对账明细接口!$J$102=0,"",[1]对账明细接口!$J$102),"")</f>
        <v>432</v>
      </c>
      <c r="K102" s="177">
        <f>IFERROR(IF([1]对账明细接口!$K$102=0,"",[1]对账明细接口!$K$102),"")</f>
      </c>
      <c r="L102" s="16">
        <f>IFERROR(IF([1]对账明细接口!$L$102=0,"",[1]对账明细接口!$L$102),"")</f>
      </c>
      <c r="M102" s="16">
        <f>IFERROR(IF([1]对账明细接口!$M$102=0,"",[1]对账明细接口!$M$102),"")</f>
      </c>
      <c r="N102" s="19">
        <f>IF($C102="",0,1)</f>
        <v>1</v>
      </c>
      <c r="O102" s="19">
        <f>N(O101)+$N102</f>
        <v>99</v>
      </c>
      <c r="S102" s="20" t="str">
        <f>IFERROR(IF([1]对账明细接口!$N102=0,"",[1]对账明细接口!$N102),"")</f>
        <v>自备一次性筐</v>
      </c>
      <c r="T102" s="212">
        <f>IFERROR(IF([1]对账明细接口!$O102=0,"",[1]对账明细接口!$O102),"")</f>
      </c>
      <c r="U102" s="212">
        <f>IFERROR(IF([1]对账明细接口!$P102=0,"",[1]对账明细接口!$P102),"")</f>
      </c>
      <c r="V102" s="212">
        <f>IFERROR(IF([1]对账明细接口!$Q102=0,"",[1]对账明细接口!$Q102),"")</f>
        <v>36</v>
      </c>
      <c r="W102" s="20" t="str">
        <f>IFERROR(IF([1]对账明细接口!$R102=0,"",[1]对账明细接口!$R102),"")</f>
        <v>苏M*7G796</v>
      </c>
      <c r="X102" s="20" t="str">
        <f>IFERROR(IF([1]对账明细接口!$S102=0,"",[1]对账明细接口!$S102),"")</f>
        <v>自备筐</v>
      </c>
      <c r="Y102" s="20">
        <f>IFERROR(IF([1]对账明细接口!$T102=0,"",[1]对账明细接口!$T102),"")</f>
      </c>
      <c r="Z102" s="213">
        <f>IFERROR(IF([1]对账明细接口!$U102=0,"",[1]对账明细接口!$U102),"")</f>
      </c>
      <c r="AA102" s="213">
        <f>IFERROR(IF([1]对账明细接口!$V102=0,"",[1]对账明细接口!$V102),"")</f>
      </c>
      <c r="AB102" s="20">
        <f>IFERROR(IF([1]对账明细接口!$W102=0,"",[1]对账明细接口!$W102),"")</f>
      </c>
      <c r="AC102" s="7">
        <f>IFERROR(IF([1]对账明细接口!$X102=0,"",[1]对账明细接口!$X102),"")</f>
      </c>
      <c r="AD102" s="7">
        <f>IFERROR(IF([1]对账明细接口!$Y102=0,"",[1]对账明细接口!$Y102),"")</f>
      </c>
      <c r="AE102" s="7">
        <f>IFERROR(IF([1]对账明细接口!$AA102=0,"",[1]对账明细接口!$AA102),"")</f>
      </c>
      <c r="AF102" s="7">
        <f>IFERROR(IF([1]对账明细接口!$AB102=0,"",[1]对账明细接口!$AB102),"")</f>
      </c>
      <c r="AG102" s="7">
        <f>IFERROR(IF([1]对账明细接口!$AC102=0,"",[1]对账明细接口!$AC102),"")</f>
      </c>
      <c r="AH102" s="7">
        <f>IFERROR(IF([1]对账明细接口!$AD102=0,"",[1]对账明细接口!$AD102),"")</f>
      </c>
      <c r="AI102" s="7">
        <f>IFERROR(IF([1]对账明细接口!$AE102=0,"",[1]对账明细接口!$AE102),"")</f>
      </c>
      <c r="AJ102" s="7">
        <f>IFERROR(IF([1]对账明细接口!$AF102=0,"",[1]对账明细接口!$AF102),"")</f>
      </c>
    </row>
    <row r="103" ht="14.25" customHeight="1" s="127">
      <c r="A103" s="14" t="n">
        <v>103</v>
      </c>
      <c r="B103" s="211">
        <f>IFERROR(IF([1]对账明细接口!$B$103=0,"",[1]对账明细接口!$B$103),"")</f>
        <v>46257.0</v>
      </c>
      <c r="C103" s="16" t="str">
        <f>IFERROR(IF([1]对账明细接口!$C$103=0,"",[1]对账明细接口!$C$103),"")</f>
        <v>聂新平</v>
      </c>
      <c r="D103" s="16" t="str">
        <f>IFERROR(IF([1]对账明细接口!$D$103=0,"",[1]对账明细接口!$D$103),"")</f>
        <v>原料入库</v>
      </c>
      <c r="E103" s="16" t="str">
        <f>IFERROR(IF([1]对账明细接口!$E$103=0,"",[1]对账明细接口!$E$103),"")</f>
        <v>NO:0000716</v>
      </c>
      <c r="F103" s="16" t="str">
        <f>IFERROR(IF([1]对账明细接口!$F$103=0,"",[1]对账明细接口!$F$103),"")</f>
        <v>西梅</v>
      </c>
      <c r="G103" s="16" t="str">
        <f>IFERROR(IF([1]对账明细接口!$G$103=0,"",[1]对账明细接口!$G$103),"")</f>
        <v>西梅三级</v>
      </c>
      <c r="H103" s="176">
        <f>IFERROR(IF([1]对账明细接口!$H$103=0,"",[1]对账明细接口!$H$103),"")</f>
        <v>13</v>
      </c>
      <c r="I103" s="16" t="str">
        <f>IFERROR(IF([1]对账明细接口!$I$103=0,"",[1]对账明细接口!$I$103),"")</f>
        <v>筐</v>
      </c>
      <c r="J103" s="177">
        <f>IFERROR(IF([1]对账明细接口!$J$103=0,"",[1]对账明细接口!$J$103),"")</f>
        <v>26</v>
      </c>
      <c r="K103" s="177">
        <f>IFERROR(IF([1]对账明细接口!$K$103=0,"",[1]对账明细接口!$K$103),"")</f>
      </c>
      <c r="L103" s="16">
        <f>IFERROR(IF([1]对账明细接口!$L$103=0,"",[1]对账明细接口!$L$103),"")</f>
      </c>
      <c r="M103" s="16">
        <f>IFERROR(IF([1]对账明细接口!$M$103=0,"",[1]对账明细接口!$M$103),"")</f>
      </c>
      <c r="N103" s="19">
        <f>IF($C103="",0,1)</f>
        <v>1</v>
      </c>
      <c r="O103" s="19">
        <f>N(O102)+$N103</f>
        <v>100</v>
      </c>
      <c r="S103" s="20" t="str">
        <f>IFERROR(IF([1]对账明细接口!$N103=0,"",[1]对账明细接口!$N103),"")</f>
        <v>自备一次性筐</v>
      </c>
      <c r="T103" s="212">
        <f>IFERROR(IF([1]对账明细接口!$O103=0,"",[1]对账明细接口!$O103),"")</f>
      </c>
      <c r="U103" s="212">
        <f>IFERROR(IF([1]对账明细接口!$P103=0,"",[1]对账明细接口!$P103),"")</f>
      </c>
      <c r="V103" s="212">
        <f>IFERROR(IF([1]对账明细接口!$Q103=0,"",[1]对账明细接口!$Q103),"")</f>
        <v>13</v>
      </c>
      <c r="W103" s="20" t="str">
        <f>IFERROR(IF([1]对账明细接口!$R103=0,"",[1]对账明细接口!$R103),"")</f>
        <v>苏M*7G796</v>
      </c>
      <c r="X103" s="20" t="str">
        <f>IFERROR(IF([1]对账明细接口!$S103=0,"",[1]对账明细接口!$S103),"")</f>
        <v>自备筐</v>
      </c>
      <c r="Y103" s="20">
        <f>IFERROR(IF([1]对账明细接口!$T103=0,"",[1]对账明细接口!$T103),"")</f>
      </c>
      <c r="Z103" s="213">
        <f>IFERROR(IF([1]对账明细接口!$U103=0,"",[1]对账明细接口!$U103),"")</f>
      </c>
      <c r="AA103" s="213">
        <f>IFERROR(IF([1]对账明细接口!$V103=0,"",[1]对账明细接口!$V103),"")</f>
      </c>
      <c r="AB103" s="20">
        <f>IFERROR(IF([1]对账明细接口!$W103=0,"",[1]对账明细接口!$W103),"")</f>
      </c>
      <c r="AC103" s="7">
        <f>IFERROR(IF([1]对账明细接口!$X103=0,"",[1]对账明细接口!$X103),"")</f>
      </c>
      <c r="AD103" s="7">
        <f>IFERROR(IF([1]对账明细接口!$Y103=0,"",[1]对账明细接口!$Y103),"")</f>
      </c>
      <c r="AE103" s="7">
        <f>IFERROR(IF([1]对账明细接口!$AA103=0,"",[1]对账明细接口!$AA103),"")</f>
      </c>
      <c r="AF103" s="7">
        <f>IFERROR(IF([1]对账明细接口!$AB103=0,"",[1]对账明细接口!$AB103),"")</f>
      </c>
      <c r="AG103" s="7">
        <f>IFERROR(IF([1]对账明细接口!$AC103=0,"",[1]对账明细接口!$AC103),"")</f>
      </c>
      <c r="AH103" s="7">
        <f>IFERROR(IF([1]对账明细接口!$AD103=0,"",[1]对账明细接口!$AD103),"")</f>
      </c>
      <c r="AI103" s="7">
        <f>IFERROR(IF([1]对账明细接口!$AE103=0,"",[1]对账明细接口!$AE103),"")</f>
      </c>
      <c r="AJ103" s="7">
        <f>IFERROR(IF([1]对账明细接口!$AF103=0,"",[1]对账明细接口!$AF103),"")</f>
      </c>
    </row>
    <row r="104" ht="14.25" customHeight="1" s="127">
      <c r="A104" s="14" t="n">
        <v>104</v>
      </c>
      <c r="B104" s="211">
        <f>IFERROR(IF([1]对账明细接口!$B$104=0,"",[1]对账明细接口!$B$104),"")</f>
        <v>46257.0</v>
      </c>
      <c r="C104" s="16" t="str">
        <f>IFERROR(IF([1]对账明细接口!$C$104=0,"",[1]对账明细接口!$C$104),"")</f>
        <v>聂新平</v>
      </c>
      <c r="D104" s="16" t="str">
        <f>IFERROR(IF([1]对账明细接口!$D$104=0,"",[1]对账明细接口!$D$104),"")</f>
        <v>原料入库</v>
      </c>
      <c r="E104" s="16" t="str">
        <f>IFERROR(IF([1]对账明细接口!$E$104=0,"",[1]对账明细接口!$E$104),"")</f>
        <v>NO:0000717</v>
      </c>
      <c r="F104" s="16" t="str">
        <f>IFERROR(IF([1]对账明细接口!$F$104=0,"",[1]对账明细接口!$F$104),"")</f>
        <v>西梅</v>
      </c>
      <c r="G104" s="16" t="str">
        <f>IFERROR(IF([1]对账明细接口!$G$104=0,"",[1]对账明细接口!$G$104),"")</f>
        <v>西梅一级</v>
      </c>
      <c r="H104" s="176">
        <f>IFERROR(IF([1]对账明细接口!$H$104=0,"",[1]对账明细接口!$H$104),"")</f>
        <v>73</v>
      </c>
      <c r="I104" s="16" t="str">
        <f>IFERROR(IF([1]对账明细接口!$I$104=0,"",[1]对账明细接口!$I$104),"")</f>
        <v>筐</v>
      </c>
      <c r="J104" s="177">
        <f>IFERROR(IF([1]对账明细接口!$J$104=0,"",[1]对账明细接口!$J$104),"")</f>
        <v>511</v>
      </c>
      <c r="K104" s="177">
        <f>IFERROR(IF([1]对账明细接口!$K$104=0,"",[1]对账明细接口!$K$104),"")</f>
      </c>
      <c r="L104" s="16">
        <f>IFERROR(IF([1]对账明细接口!$L$104=0,"",[1]对账明细接口!$L$104),"")</f>
      </c>
      <c r="M104" s="16">
        <f>IFERROR(IF([1]对账明细接口!$M$104=0,"",[1]对账明细接口!$M$104),"")</f>
      </c>
      <c r="N104" s="19">
        <f>IF($C104="",0,1)</f>
        <v>1</v>
      </c>
      <c r="O104" s="19">
        <f>N(O103)+$N104</f>
        <v>101</v>
      </c>
      <c r="S104" s="20" t="str">
        <f>IFERROR(IF([1]对账明细接口!$N104=0,"",[1]对账明细接口!$N104),"")</f>
        <v>自备一次性筐</v>
      </c>
      <c r="T104" s="212">
        <f>IFERROR(IF([1]对账明细接口!$O104=0,"",[1]对账明细接口!$O104),"")</f>
      </c>
      <c r="U104" s="212">
        <f>IFERROR(IF([1]对账明细接口!$P104=0,"",[1]对账明细接口!$P104),"")</f>
      </c>
      <c r="V104" s="212">
        <f>IFERROR(IF([1]对账明细接口!$Q104=0,"",[1]对账明细接口!$Q104),"")</f>
        <v>73</v>
      </c>
      <c r="W104" s="20" t="str">
        <f>IFERROR(IF([1]对账明细接口!$R104=0,"",[1]对账明细接口!$R104),"")</f>
        <v>新N*SQ607</v>
      </c>
      <c r="X104" s="20" t="str">
        <f>IFERROR(IF([1]对账明细接口!$S104=0,"",[1]对账明细接口!$S104),"")</f>
        <v>自备筐</v>
      </c>
      <c r="Y104" s="20">
        <f>IFERROR(IF([1]对账明细接口!$T104=0,"",[1]对账明细接口!$T104),"")</f>
      </c>
      <c r="Z104" s="213">
        <f>IFERROR(IF([1]对账明细接口!$U104=0,"",[1]对账明细接口!$U104),"")</f>
      </c>
      <c r="AA104" s="213">
        <f>IFERROR(IF([1]对账明细接口!$V104=0,"",[1]对账明细接口!$V104),"")</f>
      </c>
      <c r="AB104" s="20">
        <f>IFERROR(IF([1]对账明细接口!$W104=0,"",[1]对账明细接口!$W104),"")</f>
      </c>
      <c r="AC104" s="7">
        <f>IFERROR(IF([1]对账明细接口!$X104=0,"",[1]对账明细接口!$X104),"")</f>
      </c>
      <c r="AD104" s="7">
        <f>IFERROR(IF([1]对账明细接口!$Y104=0,"",[1]对账明细接口!$Y104),"")</f>
      </c>
      <c r="AE104" s="7">
        <f>IFERROR(IF([1]对账明细接口!$AA104=0,"",[1]对账明细接口!$AA104),"")</f>
      </c>
      <c r="AF104" s="7">
        <f>IFERROR(IF([1]对账明细接口!$AB104=0,"",[1]对账明细接口!$AB104),"")</f>
      </c>
      <c r="AG104" s="7">
        <f>IFERROR(IF([1]对账明细接口!$AC104=0,"",[1]对账明细接口!$AC104),"")</f>
      </c>
      <c r="AH104" s="7">
        <f>IFERROR(IF([1]对账明细接口!$AD104=0,"",[1]对账明细接口!$AD104),"")</f>
      </c>
      <c r="AI104" s="7">
        <f>IFERROR(IF([1]对账明细接口!$AE104=0,"",[1]对账明细接口!$AE104),"")</f>
      </c>
      <c r="AJ104" s="7">
        <f>IFERROR(IF([1]对账明细接口!$AF104=0,"",[1]对账明细接口!$AF104),"")</f>
      </c>
    </row>
    <row r="105" ht="14.25" customHeight="1" s="127">
      <c r="A105" s="14" t="n">
        <v>105</v>
      </c>
      <c r="B105" s="211">
        <f>IFERROR(IF([1]对账明细接口!$B$105=0,"",[1]对账明细接口!$B$105),"")</f>
        <v>46257.0</v>
      </c>
      <c r="C105" s="16" t="str">
        <f>IFERROR(IF([1]对账明细接口!$C$105=0,"",[1]对账明细接口!$C$105),"")</f>
        <v>聂新平</v>
      </c>
      <c r="D105" s="16" t="str">
        <f>IFERROR(IF([1]对账明细接口!$D$105=0,"",[1]对账明细接口!$D$105),"")</f>
        <v>原料入库</v>
      </c>
      <c r="E105" s="16" t="str">
        <f>IFERROR(IF([1]对账明细接口!$E$105=0,"",[1]对账明细接口!$E$105),"")</f>
        <v>NO:0000717</v>
      </c>
      <c r="F105" s="16" t="str">
        <f>IFERROR(IF([1]对账明细接口!$F$105=0,"",[1]对账明细接口!$F$105),"")</f>
        <v>西梅</v>
      </c>
      <c r="G105" s="16" t="str">
        <f>IFERROR(IF([1]对账明细接口!$G$105=0,"",[1]对账明细接口!$G$105),"")</f>
        <v>西梅二级</v>
      </c>
      <c r="H105" s="176">
        <f>IFERROR(IF([1]对账明细接口!$H$105=0,"",[1]对账明细接口!$H$105),"")</f>
        <v>140</v>
      </c>
      <c r="I105" s="16" t="str">
        <f>IFERROR(IF([1]对账明细接口!$I$105=0,"",[1]对账明细接口!$I$105),"")</f>
        <v>筐</v>
      </c>
      <c r="J105" s="177">
        <f>IFERROR(IF([1]对账明细接口!$J$105=0,"",[1]对账明细接口!$J$105),"")</f>
        <v>1680</v>
      </c>
      <c r="K105" s="177">
        <f>IFERROR(IF([1]对账明细接口!$K$105=0,"",[1]对账明细接口!$K$105),"")</f>
      </c>
      <c r="L105" s="16">
        <f>IFERROR(IF([1]对账明细接口!$L$105=0,"",[1]对账明细接口!$L$105),"")</f>
      </c>
      <c r="M105" s="16">
        <f>IFERROR(IF([1]对账明细接口!$M$105=0,"",[1]对账明细接口!$M$105),"")</f>
      </c>
      <c r="N105" s="19">
        <f>IF($C105="",0,1)</f>
        <v>1</v>
      </c>
      <c r="O105" s="19">
        <f>N(O104)+$N105</f>
        <v>102</v>
      </c>
      <c r="S105" s="20" t="str">
        <f>IFERROR(IF([1]对账明细接口!$N105=0,"",[1]对账明细接口!$N105),"")</f>
        <v>自备一次性筐</v>
      </c>
      <c r="T105" s="212">
        <f>IFERROR(IF([1]对账明细接口!$O105=0,"",[1]对账明细接口!$O105),"")</f>
      </c>
      <c r="U105" s="212">
        <f>IFERROR(IF([1]对账明细接口!$P105=0,"",[1]对账明细接口!$P105),"")</f>
      </c>
      <c r="V105" s="212">
        <f>IFERROR(IF([1]对账明细接口!$Q105=0,"",[1]对账明细接口!$Q105),"")</f>
        <v>140</v>
      </c>
      <c r="W105" s="20" t="str">
        <f>IFERROR(IF([1]对账明细接口!$R105=0,"",[1]对账明细接口!$R105),"")</f>
        <v>新N*SQ607</v>
      </c>
      <c r="X105" s="20" t="str">
        <f>IFERROR(IF([1]对账明细接口!$S105=0,"",[1]对账明细接口!$S105),"")</f>
        <v>自备筐</v>
      </c>
      <c r="Y105" s="20">
        <f>IFERROR(IF([1]对账明细接口!$T105=0,"",[1]对账明细接口!$T105),"")</f>
      </c>
      <c r="Z105" s="213">
        <f>IFERROR(IF([1]对账明细接口!$U105=0,"",[1]对账明细接口!$U105),"")</f>
      </c>
      <c r="AA105" s="213">
        <f>IFERROR(IF([1]对账明细接口!$V105=0,"",[1]对账明细接口!$V105),"")</f>
      </c>
      <c r="AB105" s="20">
        <f>IFERROR(IF([1]对账明细接口!$W105=0,"",[1]对账明细接口!$W105),"")</f>
      </c>
      <c r="AC105" s="7">
        <f>IFERROR(IF([1]对账明细接口!$X105=0,"",[1]对账明细接口!$X105),"")</f>
      </c>
      <c r="AD105" s="7">
        <f>IFERROR(IF([1]对账明细接口!$Y105=0,"",[1]对账明细接口!$Y105),"")</f>
      </c>
      <c r="AE105" s="7">
        <f>IFERROR(IF([1]对账明细接口!$AA105=0,"",[1]对账明细接口!$AA105),"")</f>
      </c>
      <c r="AF105" s="7">
        <f>IFERROR(IF([1]对账明细接口!$AB105=0,"",[1]对账明细接口!$AB105),"")</f>
      </c>
      <c r="AG105" s="7">
        <f>IFERROR(IF([1]对账明细接口!$AC105=0,"",[1]对账明细接口!$AC105),"")</f>
      </c>
      <c r="AH105" s="7">
        <f>IFERROR(IF([1]对账明细接口!$AD105=0,"",[1]对账明细接口!$AD105),"")</f>
      </c>
      <c r="AI105" s="7">
        <f>IFERROR(IF([1]对账明细接口!$AE105=0,"",[1]对账明细接口!$AE105),"")</f>
      </c>
      <c r="AJ105" s="7">
        <f>IFERROR(IF([1]对账明细接口!$AF105=0,"",[1]对账明细接口!$AF105),"")</f>
      </c>
    </row>
    <row r="106" ht="14.25" customHeight="1" s="127">
      <c r="A106" s="14" t="n">
        <v>106</v>
      </c>
      <c r="B106" s="211">
        <f>IFERROR(IF([1]对账明细接口!$B$106=0,"",[1]对账明细接口!$B$106),"")</f>
        <v>46257.0</v>
      </c>
      <c r="C106" s="16" t="str">
        <f>IFERROR(IF([1]对账明细接口!$C$106=0,"",[1]对账明细接口!$C$106),"")</f>
        <v>聂新平</v>
      </c>
      <c r="D106" s="16" t="str">
        <f>IFERROR(IF([1]对账明细接口!$D$106=0,"",[1]对账明细接口!$D$106),"")</f>
        <v>原料入库</v>
      </c>
      <c r="E106" s="16" t="str">
        <f>IFERROR(IF([1]对账明细接口!$E$106=0,"",[1]对账明细接口!$E$106),"")</f>
        <v>NO:0000717</v>
      </c>
      <c r="F106" s="16" t="str">
        <f>IFERROR(IF([1]对账明细接口!$F$106=0,"",[1]对账明细接口!$F$106),"")</f>
        <v>西梅</v>
      </c>
      <c r="G106" s="16" t="str">
        <f>IFERROR(IF([1]对账明细接口!$G$106=0,"",[1]对账明细接口!$G$106),"")</f>
        <v>西梅三级</v>
      </c>
      <c r="H106" s="176">
        <f>IFERROR(IF([1]对账明细接口!$H$106=0,"",[1]对账明细接口!$H$106),"")</f>
        <v>354</v>
      </c>
      <c r="I106" s="16" t="str">
        <f>IFERROR(IF([1]对账明细接口!$I$106=0,"",[1]对账明细接口!$I$106),"")</f>
        <v>筐</v>
      </c>
      <c r="J106" s="177">
        <f>IFERROR(IF([1]对账明细接口!$J$106=0,"",[1]对账明细接口!$J$106),"")</f>
        <v>708</v>
      </c>
      <c r="K106" s="177">
        <f>IFERROR(IF([1]对账明细接口!$K$106=0,"",[1]对账明细接口!$K$106),"")</f>
      </c>
      <c r="L106" s="16">
        <f>IFERROR(IF([1]对账明细接口!$L$106=0,"",[1]对账明细接口!$L$106),"")</f>
      </c>
      <c r="M106" s="16">
        <f>IFERROR(IF([1]对账明细接口!$M$106=0,"",[1]对账明细接口!$M$106),"")</f>
      </c>
      <c r="N106" s="19">
        <f>IF($C106="",0,1)</f>
        <v>1</v>
      </c>
      <c r="O106" s="19">
        <f>N(O105)+$N106</f>
        <v>103</v>
      </c>
      <c r="S106" s="20" t="str">
        <f>IFERROR(IF([1]对账明细接口!$N106=0,"",[1]对账明细接口!$N106),"")</f>
        <v>自备一次性筐</v>
      </c>
      <c r="T106" s="212">
        <f>IFERROR(IF([1]对账明细接口!$O106=0,"",[1]对账明细接口!$O106),"")</f>
      </c>
      <c r="U106" s="212">
        <f>IFERROR(IF([1]对账明细接口!$P106=0,"",[1]对账明细接口!$P106),"")</f>
      </c>
      <c r="V106" s="212">
        <f>IFERROR(IF([1]对账明细接口!$Q106=0,"",[1]对账明细接口!$Q106),"")</f>
        <v>354</v>
      </c>
      <c r="W106" s="20" t="str">
        <f>IFERROR(IF([1]对账明细接口!$R106=0,"",[1]对账明细接口!$R106),"")</f>
        <v>新N*SQ607</v>
      </c>
      <c r="X106" s="20" t="str">
        <f>IFERROR(IF([1]对账明细接口!$S106=0,"",[1]对账明细接口!$S106),"")</f>
        <v>自备筐</v>
      </c>
      <c r="Y106" s="20">
        <f>IFERROR(IF([1]对账明细接口!$T106=0,"",[1]对账明细接口!$T106),"")</f>
      </c>
      <c r="Z106" s="213">
        <f>IFERROR(IF([1]对账明细接口!$U106=0,"",[1]对账明细接口!$U106),"")</f>
      </c>
      <c r="AA106" s="213">
        <f>IFERROR(IF([1]对账明细接口!$V106=0,"",[1]对账明细接口!$V106),"")</f>
      </c>
      <c r="AB106" s="20">
        <f>IFERROR(IF([1]对账明细接口!$W106=0,"",[1]对账明细接口!$W106),"")</f>
      </c>
      <c r="AC106" s="7">
        <f>IFERROR(IF([1]对账明细接口!$X106=0,"",[1]对账明细接口!$X106),"")</f>
      </c>
      <c r="AD106" s="7">
        <f>IFERROR(IF([1]对账明细接口!$Y106=0,"",[1]对账明细接口!$Y106),"")</f>
      </c>
      <c r="AE106" s="7">
        <f>IFERROR(IF([1]对账明细接口!$AA106=0,"",[1]对账明细接口!$AA106),"")</f>
      </c>
      <c r="AF106" s="7">
        <f>IFERROR(IF([1]对账明细接口!$AB106=0,"",[1]对账明细接口!$AB106),"")</f>
      </c>
      <c r="AG106" s="7">
        <f>IFERROR(IF([1]对账明细接口!$AC106=0,"",[1]对账明细接口!$AC106),"")</f>
      </c>
      <c r="AH106" s="7">
        <f>IFERROR(IF([1]对账明细接口!$AD106=0,"",[1]对账明细接口!$AD106),"")</f>
      </c>
      <c r="AI106" s="7">
        <f>IFERROR(IF([1]对账明细接口!$AE106=0,"",[1]对账明细接口!$AE106),"")</f>
      </c>
      <c r="AJ106" s="7">
        <f>IFERROR(IF([1]对账明细接口!$AF106=0,"",[1]对账明细接口!$AF106),"")</f>
      </c>
    </row>
    <row r="107" ht="14.25" customHeight="1" s="127">
      <c r="A107" s="14" t="n">
        <v>107</v>
      </c>
      <c r="B107" s="211">
        <f>IFERROR(IF([1]对账明细接口!$B$107=0,"",[1]对账明细接口!$B$107),"")</f>
        <v>46258.0</v>
      </c>
      <c r="C107" s="16" t="str">
        <f>IFERROR(IF([1]对账明细接口!$C$107=0,"",[1]对账明细接口!$C$107),"")</f>
        <v>聂新平</v>
      </c>
      <c r="D107" s="16" t="str">
        <f>IFERROR(IF([1]对账明细接口!$D$107=0,"",[1]对账明细接口!$D$107),"")</f>
        <v>原料入库</v>
      </c>
      <c r="E107" s="16" t="str">
        <f>IFERROR(IF([1]对账明细接口!$E$107=0,"",[1]对账明细接口!$E$107),"")</f>
        <v>NO:0000720</v>
      </c>
      <c r="F107" s="16" t="str">
        <f>IFERROR(IF([1]对账明细接口!$F$107=0,"",[1]对账明细接口!$F$107),"")</f>
        <v>西梅</v>
      </c>
      <c r="G107" s="16" t="str">
        <f>IFERROR(IF([1]对账明细接口!$G$107=0,"",[1]对账明细接口!$G$107),"")</f>
        <v>西梅一级</v>
      </c>
      <c r="H107" s="176">
        <f>IFERROR(IF([1]对账明细接口!$H$107=0,"",[1]对账明细接口!$H$107),"")</f>
        <v>81</v>
      </c>
      <c r="I107" s="16" t="str">
        <f>IFERROR(IF([1]对账明细接口!$I$107=0,"",[1]对账明细接口!$I$107),"")</f>
        <v>筐</v>
      </c>
      <c r="J107" s="177">
        <f>IFERROR(IF([1]对账明细接口!$J$107=0,"",[1]对账明细接口!$J$107),"")</f>
        <v>567</v>
      </c>
      <c r="K107" s="177">
        <f>IFERROR(IF([1]对账明细接口!$K$107=0,"",[1]对账明细接口!$K$107),"")</f>
      </c>
      <c r="L107" s="16">
        <f>IFERROR(IF([1]对账明细接口!$L$107=0,"",[1]对账明细接口!$L$107),"")</f>
      </c>
      <c r="M107" s="16">
        <f>IFERROR(IF([1]对账明细接口!$M$107=0,"",[1]对账明细接口!$M$107),"")</f>
      </c>
      <c r="N107" s="19">
        <f>IF($C107="",0,1)</f>
        <v>1</v>
      </c>
      <c r="O107" s="19">
        <f>N(O106)+$N107</f>
        <v>104</v>
      </c>
      <c r="S107" s="20" t="str">
        <f>IFERROR(IF([1]对账明细接口!$N107=0,"",[1]对账明细接口!$N107),"")</f>
        <v>自备一次性筐</v>
      </c>
      <c r="T107" s="212">
        <f>IFERROR(IF([1]对账明细接口!$O107=0,"",[1]对账明细接口!$O107),"")</f>
      </c>
      <c r="U107" s="212">
        <f>IFERROR(IF([1]对账明细接口!$P107=0,"",[1]对账明细接口!$P107),"")</f>
      </c>
      <c r="V107" s="212">
        <f>IFERROR(IF([1]对账明细接口!$Q107=0,"",[1]对账明细接口!$Q107),"")</f>
        <v>81</v>
      </c>
      <c r="W107" s="20" t="str">
        <f>IFERROR(IF([1]对账明细接口!$R107=0,"",[1]对账明细接口!$R107),"")</f>
        <v>苏M*7G796</v>
      </c>
      <c r="X107" s="20" t="str">
        <f>IFERROR(IF([1]对账明细接口!$S107=0,"",[1]对账明细接口!$S107),"")</f>
        <v>自备筐</v>
      </c>
      <c r="Y107" s="20">
        <f>IFERROR(IF([1]对账明细接口!$T107=0,"",[1]对账明细接口!$T107),"")</f>
      </c>
      <c r="Z107" s="213">
        <f>IFERROR(IF([1]对账明细接口!$U107=0,"",[1]对账明细接口!$U107),"")</f>
      </c>
      <c r="AA107" s="213">
        <f>IFERROR(IF([1]对账明细接口!$V107=0,"",[1]对账明细接口!$V107),"")</f>
      </c>
      <c r="AB107" s="20">
        <f>IFERROR(IF([1]对账明细接口!$W107=0,"",[1]对账明细接口!$W107),"")</f>
      </c>
      <c r="AC107" s="7">
        <f>IFERROR(IF([1]对账明细接口!$X107=0,"",[1]对账明细接口!$X107),"")</f>
      </c>
      <c r="AD107" s="7">
        <f>IFERROR(IF([1]对账明细接口!$Y107=0,"",[1]对账明细接口!$Y107),"")</f>
      </c>
      <c r="AE107" s="7">
        <f>IFERROR(IF([1]对账明细接口!$AA107=0,"",[1]对账明细接口!$AA107),"")</f>
      </c>
      <c r="AF107" s="7">
        <f>IFERROR(IF([1]对账明细接口!$AB107=0,"",[1]对账明细接口!$AB107),"")</f>
      </c>
      <c r="AG107" s="7">
        <f>IFERROR(IF([1]对账明细接口!$AC107=0,"",[1]对账明细接口!$AC107),"")</f>
      </c>
      <c r="AH107" s="7">
        <f>IFERROR(IF([1]对账明细接口!$AD107=0,"",[1]对账明细接口!$AD107),"")</f>
      </c>
      <c r="AI107" s="7">
        <f>IFERROR(IF([1]对账明细接口!$AE107=0,"",[1]对账明细接口!$AE107),"")</f>
      </c>
      <c r="AJ107" s="7">
        <f>IFERROR(IF([1]对账明细接口!$AF107=0,"",[1]对账明细接口!$AF107),"")</f>
      </c>
    </row>
    <row r="108" ht="14.25" customHeight="1" s="127">
      <c r="A108" s="14" t="n">
        <v>108</v>
      </c>
      <c r="B108" s="211">
        <f>IFERROR(IF([1]对账明细接口!$B$108=0,"",[1]对账明细接口!$B$108),"")</f>
        <v>46258.0</v>
      </c>
      <c r="C108" s="16" t="str">
        <f>IFERROR(IF([1]对账明细接口!$C$108=0,"",[1]对账明细接口!$C$108),"")</f>
        <v>聂新平</v>
      </c>
      <c r="D108" s="16" t="str">
        <f>IFERROR(IF([1]对账明细接口!$D$108=0,"",[1]对账明细接口!$D$108),"")</f>
        <v>原料入库</v>
      </c>
      <c r="E108" s="16" t="str">
        <f>IFERROR(IF([1]对账明细接口!$E$108=0,"",[1]对账明细接口!$E$108),"")</f>
        <v>NO:0000720</v>
      </c>
      <c r="F108" s="16" t="str">
        <f>IFERROR(IF([1]对账明细接口!$F$108=0,"",[1]对账明细接口!$F$108),"")</f>
        <v>西梅</v>
      </c>
      <c r="G108" s="16" t="str">
        <f>IFERROR(IF([1]对账明细接口!$G$108=0,"",[1]对账明细接口!$G$108),"")</f>
        <v>西梅二级</v>
      </c>
      <c r="H108" s="176">
        <f>IFERROR(IF([1]对账明细接口!$H$108=0,"",[1]对账明细接口!$H$108),"")</f>
        <v>43</v>
      </c>
      <c r="I108" s="16" t="str">
        <f>IFERROR(IF([1]对账明细接口!$I$108=0,"",[1]对账明细接口!$I$108),"")</f>
        <v>筐</v>
      </c>
      <c r="J108" s="177">
        <f>IFERROR(IF([1]对账明细接口!$J$108=0,"",[1]对账明细接口!$J$108),"")</f>
        <v>516</v>
      </c>
      <c r="K108" s="177">
        <f>IFERROR(IF([1]对账明细接口!$K$108=0,"",[1]对账明细接口!$K$108),"")</f>
      </c>
      <c r="L108" s="16">
        <f>IFERROR(IF([1]对账明细接口!$L$108=0,"",[1]对账明细接口!$L$108),"")</f>
      </c>
      <c r="M108" s="16">
        <f>IFERROR(IF([1]对账明细接口!$M$108=0,"",[1]对账明细接口!$M$108),"")</f>
      </c>
      <c r="N108" s="19">
        <f>IF($C108="",0,1)</f>
        <v>1</v>
      </c>
      <c r="O108" s="19">
        <f>N(O107)+$N108</f>
        <v>105</v>
      </c>
      <c r="S108" s="20" t="str">
        <f>IFERROR(IF([1]对账明细接口!$N108=0,"",[1]对账明细接口!$N108),"")</f>
        <v>自备一次性筐</v>
      </c>
      <c r="T108" s="212">
        <f>IFERROR(IF([1]对账明细接口!$O108=0,"",[1]对账明细接口!$O108),"")</f>
      </c>
      <c r="U108" s="212">
        <f>IFERROR(IF([1]对账明细接口!$P108=0,"",[1]对账明细接口!$P108),"")</f>
      </c>
      <c r="V108" s="212">
        <f>IFERROR(IF([1]对账明细接口!$Q108=0,"",[1]对账明细接口!$Q108),"")</f>
        <v>43</v>
      </c>
      <c r="W108" s="20" t="str">
        <f>IFERROR(IF([1]对账明细接口!$R108=0,"",[1]对账明细接口!$R108),"")</f>
        <v>苏M*7G796</v>
      </c>
      <c r="X108" s="20" t="str">
        <f>IFERROR(IF([1]对账明细接口!$S108=0,"",[1]对账明细接口!$S108),"")</f>
        <v>自备筐</v>
      </c>
      <c r="Y108" s="20">
        <f>IFERROR(IF([1]对账明细接口!$T108=0,"",[1]对账明细接口!$T108),"")</f>
      </c>
      <c r="Z108" s="213">
        <f>IFERROR(IF([1]对账明细接口!$U108=0,"",[1]对账明细接口!$U108),"")</f>
      </c>
      <c r="AA108" s="213">
        <f>IFERROR(IF([1]对账明细接口!$V108=0,"",[1]对账明细接口!$V108),"")</f>
      </c>
      <c r="AB108" s="20">
        <f>IFERROR(IF([1]对账明细接口!$W108=0,"",[1]对账明细接口!$W108),"")</f>
      </c>
      <c r="AC108" s="7">
        <f>IFERROR(IF([1]对账明细接口!$X108=0,"",[1]对账明细接口!$X108),"")</f>
      </c>
      <c r="AD108" s="7">
        <f>IFERROR(IF([1]对账明细接口!$Y108=0,"",[1]对账明细接口!$Y108),"")</f>
      </c>
      <c r="AE108" s="7">
        <f>IFERROR(IF([1]对账明细接口!$AA108=0,"",[1]对账明细接口!$AA108),"")</f>
      </c>
      <c r="AF108" s="7">
        <f>IFERROR(IF([1]对账明细接口!$AB108=0,"",[1]对账明细接口!$AB108),"")</f>
      </c>
      <c r="AG108" s="7">
        <f>IFERROR(IF([1]对账明细接口!$AC108=0,"",[1]对账明细接口!$AC108),"")</f>
      </c>
      <c r="AH108" s="7">
        <f>IFERROR(IF([1]对账明细接口!$AD108=0,"",[1]对账明细接口!$AD108),"")</f>
      </c>
      <c r="AI108" s="7">
        <f>IFERROR(IF([1]对账明细接口!$AE108=0,"",[1]对账明细接口!$AE108),"")</f>
      </c>
      <c r="AJ108" s="7">
        <f>IFERROR(IF([1]对账明细接口!$AF108=0,"",[1]对账明细接口!$AF108),"")</f>
      </c>
    </row>
    <row r="109" ht="14.25" customHeight="1" s="127">
      <c r="A109" s="14" t="n">
        <v>109</v>
      </c>
      <c r="B109" s="211">
        <f>IFERROR(IF([1]对账明细接口!$B$109=0,"",[1]对账明细接口!$B$109),"")</f>
        <v>46258.0</v>
      </c>
      <c r="C109" s="16" t="str">
        <f>IFERROR(IF([1]对账明细接口!$C$109=0,"",[1]对账明细接口!$C$109),"")</f>
        <v>聂新平</v>
      </c>
      <c r="D109" s="16" t="str">
        <f>IFERROR(IF([1]对账明细接口!$D$109=0,"",[1]对账明细接口!$D$109),"")</f>
        <v>原料入库</v>
      </c>
      <c r="E109" s="16" t="str">
        <f>IFERROR(IF([1]对账明细接口!$E$109=0,"",[1]对账明细接口!$E$109),"")</f>
        <v>NO:0000722</v>
      </c>
      <c r="F109" s="16" t="str">
        <f>IFERROR(IF([1]对账明细接口!$F$109=0,"",[1]对账明细接口!$F$109),"")</f>
        <v>西梅</v>
      </c>
      <c r="G109" s="16" t="str">
        <f>IFERROR(IF([1]对账明细接口!$G$109=0,"",[1]对账明细接口!$G$109),"")</f>
        <v>西梅二级</v>
      </c>
      <c r="H109" s="176">
        <f>IFERROR(IF([1]对账明细接口!$H$109=0,"",[1]对账明细接口!$H$109),"")</f>
        <v>96</v>
      </c>
      <c r="I109" s="16" t="str">
        <f>IFERROR(IF([1]对账明细接口!$I$109=0,"",[1]对账明细接口!$I$109),"")</f>
        <v>筐</v>
      </c>
      <c r="J109" s="177">
        <f>IFERROR(IF([1]对账明细接口!$J$109=0,"",[1]对账明细接口!$J$109),"")</f>
        <v>1152</v>
      </c>
      <c r="K109" s="177">
        <f>IFERROR(IF([1]对账明细接口!$K$109=0,"",[1]对账明细接口!$K$109),"")</f>
      </c>
      <c r="L109" s="16">
        <f>IFERROR(IF([1]对账明细接口!$L$109=0,"",[1]对账明细接口!$L$109),"")</f>
      </c>
      <c r="M109" s="16">
        <f>IFERROR(IF([1]对账明细接口!$M$109=0,"",[1]对账明细接口!$M$109),"")</f>
      </c>
      <c r="N109" s="19">
        <f>IF($C109="",0,1)</f>
        <v>1</v>
      </c>
      <c r="O109" s="19">
        <f>N(O108)+$N109</f>
        <v>106</v>
      </c>
      <c r="S109" s="20" t="str">
        <f>IFERROR(IF([1]对账明细接口!$N109=0,"",[1]对账明细接口!$N109),"")</f>
        <v>自备一次性筐</v>
      </c>
      <c r="T109" s="212">
        <f>IFERROR(IF([1]对账明细接口!$O109=0,"",[1]对账明细接口!$O109),"")</f>
      </c>
      <c r="U109" s="212">
        <f>IFERROR(IF([1]对账明细接口!$P109=0,"",[1]对账明细接口!$P109),"")</f>
      </c>
      <c r="V109" s="212">
        <f>IFERROR(IF([1]对账明细接口!$Q109=0,"",[1]对账明细接口!$Q109),"")</f>
        <v>96</v>
      </c>
      <c r="W109" s="20" t="str">
        <f>IFERROR(IF([1]对账明细接口!$R109=0,"",[1]对账明细接口!$R109),"")</f>
        <v>苏M*7G796</v>
      </c>
      <c r="X109" s="20" t="str">
        <f>IFERROR(IF([1]对账明细接口!$S109=0,"",[1]对账明细接口!$S109),"")</f>
        <v>自备筐</v>
      </c>
      <c r="Y109" s="20">
        <f>IFERROR(IF([1]对账明细接口!$T109=0,"",[1]对账明细接口!$T109),"")</f>
      </c>
      <c r="Z109" s="213">
        <f>IFERROR(IF([1]对账明细接口!$U109=0,"",[1]对账明细接口!$U109),"")</f>
      </c>
      <c r="AA109" s="213">
        <f>IFERROR(IF([1]对账明细接口!$V109=0,"",[1]对账明细接口!$V109),"")</f>
      </c>
      <c r="AB109" s="20">
        <f>IFERROR(IF([1]对账明细接口!$W109=0,"",[1]对账明细接口!$W109),"")</f>
      </c>
      <c r="AC109" s="7">
        <f>IFERROR(IF([1]对账明细接口!$X109=0,"",[1]对账明细接口!$X109),"")</f>
      </c>
      <c r="AD109" s="7">
        <f>IFERROR(IF([1]对账明细接口!$Y109=0,"",[1]对账明细接口!$Y109),"")</f>
      </c>
      <c r="AE109" s="7">
        <f>IFERROR(IF([1]对账明细接口!$AA109=0,"",[1]对账明细接口!$AA109),"")</f>
      </c>
      <c r="AF109" s="7">
        <f>IFERROR(IF([1]对账明细接口!$AB109=0,"",[1]对账明细接口!$AB109),"")</f>
      </c>
      <c r="AG109" s="7">
        <f>IFERROR(IF([1]对账明细接口!$AC109=0,"",[1]对账明细接口!$AC109),"")</f>
      </c>
      <c r="AH109" s="7">
        <f>IFERROR(IF([1]对账明细接口!$AD109=0,"",[1]对账明细接口!$AD109),"")</f>
      </c>
      <c r="AI109" s="7">
        <f>IFERROR(IF([1]对账明细接口!$AE109=0,"",[1]对账明细接口!$AE109),"")</f>
      </c>
      <c r="AJ109" s="7">
        <f>IFERROR(IF([1]对账明细接口!$AF109=0,"",[1]对账明细接口!$AF109),"")</f>
      </c>
    </row>
    <row r="110" ht="14.25" customHeight="1" s="127">
      <c r="A110" s="14" t="n">
        <v>110</v>
      </c>
      <c r="B110" s="211">
        <f>IFERROR(IF([1]对账明细接口!$B$110=0,"",[1]对账明细接口!$B$110),"")</f>
        <v>46258.0</v>
      </c>
      <c r="C110" s="16" t="str">
        <f>IFERROR(IF([1]对账明细接口!$C$110=0,"",[1]对账明细接口!$C$110),"")</f>
        <v>聂新平</v>
      </c>
      <c r="D110" s="16" t="str">
        <f>IFERROR(IF([1]对账明细接口!$D$110=0,"",[1]对账明细接口!$D$110),"")</f>
        <v>原料入库</v>
      </c>
      <c r="E110" s="16" t="str">
        <f>IFERROR(IF([1]对账明细接口!$E$110=0,"",[1]对账明细接口!$E$110),"")</f>
        <v>NO:0000722</v>
      </c>
      <c r="F110" s="16" t="str">
        <f>IFERROR(IF([1]对账明细接口!$F$110=0,"",[1]对账明细接口!$F$110),"")</f>
        <v>西梅</v>
      </c>
      <c r="G110" s="16" t="str">
        <f>IFERROR(IF([1]对账明细接口!$G$110=0,"",[1]对账明细接口!$G$110),"")</f>
        <v>西梅三级</v>
      </c>
      <c r="H110" s="176">
        <f>IFERROR(IF([1]对账明细接口!$H$110=0,"",[1]对账明细接口!$H$110),"")</f>
        <v>35</v>
      </c>
      <c r="I110" s="16" t="str">
        <f>IFERROR(IF([1]对账明细接口!$I$110=0,"",[1]对账明细接口!$I$110),"")</f>
        <v>筐</v>
      </c>
      <c r="J110" s="177">
        <f>IFERROR(IF([1]对账明细接口!$J$110=0,"",[1]对账明细接口!$J$110),"")</f>
        <v>70</v>
      </c>
      <c r="K110" s="177">
        <f>IFERROR(IF([1]对账明细接口!$K$110=0,"",[1]对账明细接口!$K$110),"")</f>
      </c>
      <c r="L110" s="16">
        <f>IFERROR(IF([1]对账明细接口!$L$110=0,"",[1]对账明细接口!$L$110),"")</f>
      </c>
      <c r="M110" s="16">
        <f>IFERROR(IF([1]对账明细接口!$M$110=0,"",[1]对账明细接口!$M$110),"")</f>
      </c>
      <c r="N110" s="19">
        <f>IF($C110="",0,1)</f>
        <v>1</v>
      </c>
      <c r="O110" s="19">
        <f>N(O109)+$N110</f>
        <v>107</v>
      </c>
      <c r="S110" s="20" t="str">
        <f>IFERROR(IF([1]对账明细接口!$N110=0,"",[1]对账明细接口!$N110),"")</f>
        <v>自备一次性筐</v>
      </c>
      <c r="T110" s="212">
        <f>IFERROR(IF([1]对账明细接口!$O110=0,"",[1]对账明细接口!$O110),"")</f>
      </c>
      <c r="U110" s="212">
        <f>IFERROR(IF([1]对账明细接口!$P110=0,"",[1]对账明细接口!$P110),"")</f>
      </c>
      <c r="V110" s="212">
        <f>IFERROR(IF([1]对账明细接口!$Q110=0,"",[1]对账明细接口!$Q110),"")</f>
        <v>35</v>
      </c>
      <c r="W110" s="20" t="str">
        <f>IFERROR(IF([1]对账明细接口!$R110=0,"",[1]对账明细接口!$R110),"")</f>
        <v>苏M*7G796</v>
      </c>
      <c r="X110" s="20" t="str">
        <f>IFERROR(IF([1]对账明细接口!$S110=0,"",[1]对账明细接口!$S110),"")</f>
        <v>自备筐</v>
      </c>
      <c r="Y110" s="20">
        <f>IFERROR(IF([1]对账明细接口!$T110=0,"",[1]对账明细接口!$T110),"")</f>
      </c>
      <c r="Z110" s="213">
        <f>IFERROR(IF([1]对账明细接口!$U110=0,"",[1]对账明细接口!$U110),"")</f>
      </c>
      <c r="AA110" s="213">
        <f>IFERROR(IF([1]对账明细接口!$V110=0,"",[1]对账明细接口!$V110),"")</f>
      </c>
      <c r="AB110" s="20">
        <f>IFERROR(IF([1]对账明细接口!$W110=0,"",[1]对账明细接口!$W110),"")</f>
      </c>
      <c r="AC110" s="7">
        <f>IFERROR(IF([1]对账明细接口!$X110=0,"",[1]对账明细接口!$X110),"")</f>
      </c>
      <c r="AD110" s="7">
        <f>IFERROR(IF([1]对账明细接口!$Y110=0,"",[1]对账明细接口!$Y110),"")</f>
      </c>
      <c r="AE110" s="7">
        <f>IFERROR(IF([1]对账明细接口!$AA110=0,"",[1]对账明细接口!$AA110),"")</f>
      </c>
      <c r="AF110" s="7">
        <f>IFERROR(IF([1]对账明细接口!$AB110=0,"",[1]对账明细接口!$AB110),"")</f>
      </c>
      <c r="AG110" s="7">
        <f>IFERROR(IF([1]对账明细接口!$AC110=0,"",[1]对账明细接口!$AC110),"")</f>
      </c>
      <c r="AH110" s="7">
        <f>IFERROR(IF([1]对账明细接口!$AD110=0,"",[1]对账明细接口!$AD110),"")</f>
      </c>
      <c r="AI110" s="7">
        <f>IFERROR(IF([1]对账明细接口!$AE110=0,"",[1]对账明细接口!$AE110),"")</f>
      </c>
      <c r="AJ110" s="7">
        <f>IFERROR(IF([1]对账明细接口!$AF110=0,"",[1]对账明细接口!$AF110),"")</f>
      </c>
    </row>
    <row r="111" ht="14.25" customHeight="1" s="127">
      <c r="A111" s="14" t="n">
        <v>111</v>
      </c>
      <c r="B111" s="211">
        <f>IFERROR(IF([1]对账明细接口!$B$111=0,"",[1]对账明细接口!$B$111),"")</f>
        <v>46258.0</v>
      </c>
      <c r="C111" s="16" t="str">
        <f>IFERROR(IF([1]对账明细接口!$C$111=0,"",[1]对账明细接口!$C$111),"")</f>
        <v>聂新平</v>
      </c>
      <c r="D111" s="16" t="str">
        <f>IFERROR(IF([1]对账明细接口!$D$111=0,"",[1]对账明细接口!$D$111),"")</f>
        <v>原料入库</v>
      </c>
      <c r="E111" s="16" t="str">
        <f>IFERROR(IF([1]对账明细接口!$E$111=0,"",[1]对账明细接口!$E$111),"")</f>
        <v>NO:0000723</v>
      </c>
      <c r="F111" s="16" t="str">
        <f>IFERROR(IF([1]对账明细接口!$F$111=0,"",[1]对账明细接口!$F$111),"")</f>
        <v>西梅</v>
      </c>
      <c r="G111" s="16" t="str">
        <f>IFERROR(IF([1]对账明细接口!$G$111=0,"",[1]对账明细接口!$G$111),"")</f>
        <v>西梅一级</v>
      </c>
      <c r="H111" s="176">
        <f>IFERROR(IF([1]对账明细接口!$H$111=0,"",[1]对账明细接口!$H$111),"")</f>
        <v>112</v>
      </c>
      <c r="I111" s="16" t="str">
        <f>IFERROR(IF([1]对账明细接口!$I$111=0,"",[1]对账明细接口!$I$111),"")</f>
        <v>筐</v>
      </c>
      <c r="J111" s="177">
        <f>IFERROR(IF([1]对账明细接口!$J$111=0,"",[1]对账明细接口!$J$111),"")</f>
        <v>784</v>
      </c>
      <c r="K111" s="177">
        <f>IFERROR(IF([1]对账明细接口!$K$111=0,"",[1]对账明细接口!$K$111),"")</f>
      </c>
      <c r="L111" s="16">
        <f>IFERROR(IF([1]对账明细接口!$L$111=0,"",[1]对账明细接口!$L$111),"")</f>
      </c>
      <c r="M111" s="16">
        <f>IFERROR(IF([1]对账明细接口!$M$111=0,"",[1]对账明细接口!$M$111),"")</f>
      </c>
      <c r="N111" s="19">
        <f>IF($C111="",0,1)</f>
        <v>1</v>
      </c>
      <c r="O111" s="19">
        <f>N(O110)+$N111</f>
        <v>108</v>
      </c>
      <c r="S111" s="20" t="str">
        <f>IFERROR(IF([1]对账明细接口!$N111=0,"",[1]对账明细接口!$N111),"")</f>
        <v>自备一次性筐</v>
      </c>
      <c r="T111" s="212">
        <f>IFERROR(IF([1]对账明细接口!$O111=0,"",[1]对账明细接口!$O111),"")</f>
      </c>
      <c r="U111" s="212">
        <f>IFERROR(IF([1]对账明细接口!$P111=0,"",[1]对账明细接口!$P111),"")</f>
      </c>
      <c r="V111" s="212">
        <f>IFERROR(IF([1]对账明细接口!$Q111=0,"",[1]对账明细接口!$Q111),"")</f>
        <v>112</v>
      </c>
      <c r="W111" s="20" t="str">
        <f>IFERROR(IF([1]对账明细接口!$R111=0,"",[1]对账明细接口!$R111),"")</f>
        <v>苏M*7G796</v>
      </c>
      <c r="X111" s="20" t="str">
        <f>IFERROR(IF([1]对账明细接口!$S111=0,"",[1]对账明细接口!$S111),"")</f>
        <v>自备筐</v>
      </c>
      <c r="Y111" s="20">
        <f>IFERROR(IF([1]对账明细接口!$T111=0,"",[1]对账明细接口!$T111),"")</f>
      </c>
      <c r="Z111" s="213">
        <f>IFERROR(IF([1]对账明细接口!$U111=0,"",[1]对账明细接口!$U111),"")</f>
      </c>
      <c r="AA111" s="213">
        <f>IFERROR(IF([1]对账明细接口!$V111=0,"",[1]对账明细接口!$V111),"")</f>
      </c>
      <c r="AB111" s="20">
        <f>IFERROR(IF([1]对账明细接口!$W111=0,"",[1]对账明细接口!$W111),"")</f>
      </c>
      <c r="AC111" s="7">
        <f>IFERROR(IF([1]对账明细接口!$X111=0,"",[1]对账明细接口!$X111),"")</f>
      </c>
      <c r="AD111" s="7">
        <f>IFERROR(IF([1]对账明细接口!$Y111=0,"",[1]对账明细接口!$Y111),"")</f>
      </c>
      <c r="AE111" s="7">
        <f>IFERROR(IF([1]对账明细接口!$AA111=0,"",[1]对账明细接口!$AA111),"")</f>
      </c>
      <c r="AF111" s="7">
        <f>IFERROR(IF([1]对账明细接口!$AB111=0,"",[1]对账明细接口!$AB111),"")</f>
      </c>
      <c r="AG111" s="7">
        <f>IFERROR(IF([1]对账明细接口!$AC111=0,"",[1]对账明细接口!$AC111),"")</f>
      </c>
      <c r="AH111" s="7">
        <f>IFERROR(IF([1]对账明细接口!$AD111=0,"",[1]对账明细接口!$AD111),"")</f>
      </c>
      <c r="AI111" s="7">
        <f>IFERROR(IF([1]对账明细接口!$AE111=0,"",[1]对账明细接口!$AE111),"")</f>
      </c>
      <c r="AJ111" s="7">
        <f>IFERROR(IF([1]对账明细接口!$AF111=0,"",[1]对账明细接口!$AF111),"")</f>
      </c>
    </row>
    <row r="112" ht="14.25" customHeight="1" s="127">
      <c r="A112" s="14" t="n">
        <v>112</v>
      </c>
      <c r="B112" s="211">
        <f>IFERROR(IF([1]对账明细接口!$B$112=0,"",[1]对账明细接口!$B$112),"")</f>
        <v>46258.0</v>
      </c>
      <c r="C112" s="16" t="str">
        <f>IFERROR(IF([1]对账明细接口!$C$112=0,"",[1]对账明细接口!$C$112),"")</f>
        <v>聂新平</v>
      </c>
      <c r="D112" s="16" t="str">
        <f>IFERROR(IF([1]对账明细接口!$D$112=0,"",[1]对账明细接口!$D$112),"")</f>
        <v>原料入库</v>
      </c>
      <c r="E112" s="16" t="str">
        <f>IFERROR(IF([1]对账明细接口!$E$112=0,"",[1]对账明细接口!$E$112),"")</f>
        <v>NO:0000723</v>
      </c>
      <c r="F112" s="16" t="str">
        <f>IFERROR(IF([1]对账明细接口!$F$112=0,"",[1]对账明细接口!$F$112),"")</f>
        <v>西梅</v>
      </c>
      <c r="G112" s="16" t="str">
        <f>IFERROR(IF([1]对账明细接口!$G$112=0,"",[1]对账明细接口!$G$112),"")</f>
        <v>西梅二级</v>
      </c>
      <c r="H112" s="176">
        <f>IFERROR(IF([1]对账明细接口!$H$112=0,"",[1]对账明细接口!$H$112),"")</f>
        <v>30</v>
      </c>
      <c r="I112" s="16" t="str">
        <f>IFERROR(IF([1]对账明细接口!$I$112=0,"",[1]对账明细接口!$I$112),"")</f>
        <v>筐</v>
      </c>
      <c r="J112" s="177">
        <f>IFERROR(IF([1]对账明细接口!$J$112=0,"",[1]对账明细接口!$J$112),"")</f>
        <v>360</v>
      </c>
      <c r="K112" s="177">
        <f>IFERROR(IF([1]对账明细接口!$K$112=0,"",[1]对账明细接口!$K$112),"")</f>
      </c>
      <c r="L112" s="16">
        <f>IFERROR(IF([1]对账明细接口!$L$112=0,"",[1]对账明细接口!$L$112),"")</f>
      </c>
      <c r="M112" s="16">
        <f>IFERROR(IF([1]对账明细接口!$M$112=0,"",[1]对账明细接口!$M$112),"")</f>
      </c>
      <c r="N112" s="19">
        <f>IF($C112="",0,1)</f>
        <v>1</v>
      </c>
      <c r="O112" s="19">
        <f>N(O111)+$N112</f>
        <v>109</v>
      </c>
      <c r="S112" s="20" t="str">
        <f>IFERROR(IF([1]对账明细接口!$N112=0,"",[1]对账明细接口!$N112),"")</f>
        <v>自备一次性筐</v>
      </c>
      <c r="T112" s="212">
        <f>IFERROR(IF([1]对账明细接口!$O112=0,"",[1]对账明细接口!$O112),"")</f>
      </c>
      <c r="U112" s="212">
        <f>IFERROR(IF([1]对账明细接口!$P112=0,"",[1]对账明细接口!$P112),"")</f>
      </c>
      <c r="V112" s="212">
        <f>IFERROR(IF([1]对账明细接口!$Q112=0,"",[1]对账明细接口!$Q112),"")</f>
        <v>30</v>
      </c>
      <c r="W112" s="20" t="str">
        <f>IFERROR(IF([1]对账明细接口!$R112=0,"",[1]对账明细接口!$R112),"")</f>
        <v>苏M*7G796</v>
      </c>
      <c r="X112" s="20" t="str">
        <f>IFERROR(IF([1]对账明细接口!$S112=0,"",[1]对账明细接口!$S112),"")</f>
        <v>自备筐</v>
      </c>
      <c r="Y112" s="20">
        <f>IFERROR(IF([1]对账明细接口!$T112=0,"",[1]对账明细接口!$T112),"")</f>
      </c>
      <c r="Z112" s="213">
        <f>IFERROR(IF([1]对账明细接口!$U112=0,"",[1]对账明细接口!$U112),"")</f>
      </c>
      <c r="AA112" s="213">
        <f>IFERROR(IF([1]对账明细接口!$V112=0,"",[1]对账明细接口!$V112),"")</f>
      </c>
      <c r="AB112" s="20">
        <f>IFERROR(IF([1]对账明细接口!$W112=0,"",[1]对账明细接口!$W112),"")</f>
      </c>
      <c r="AC112" s="7">
        <f>IFERROR(IF([1]对账明细接口!$X112=0,"",[1]对账明细接口!$X112),"")</f>
      </c>
      <c r="AD112" s="7">
        <f>IFERROR(IF([1]对账明细接口!$Y112=0,"",[1]对账明细接口!$Y112),"")</f>
      </c>
      <c r="AE112" s="7">
        <f>IFERROR(IF([1]对账明细接口!$AA112=0,"",[1]对账明细接口!$AA112),"")</f>
      </c>
      <c r="AF112" s="7">
        <f>IFERROR(IF([1]对账明细接口!$AB112=0,"",[1]对账明细接口!$AB112),"")</f>
      </c>
      <c r="AG112" s="7">
        <f>IFERROR(IF([1]对账明细接口!$AC112=0,"",[1]对账明细接口!$AC112),"")</f>
      </c>
      <c r="AH112" s="7">
        <f>IFERROR(IF([1]对账明细接口!$AD112=0,"",[1]对账明细接口!$AD112),"")</f>
      </c>
      <c r="AI112" s="7">
        <f>IFERROR(IF([1]对账明细接口!$AE112=0,"",[1]对账明细接口!$AE112),"")</f>
      </c>
      <c r="AJ112" s="7">
        <f>IFERROR(IF([1]对账明细接口!$AF112=0,"",[1]对账明细接口!$AF112),"")</f>
      </c>
    </row>
    <row r="113" ht="14.25" customHeight="1" s="127">
      <c r="A113" s="14" t="n">
        <v>113</v>
      </c>
      <c r="B113" s="211">
        <f>IFERROR(IF([1]对账明细接口!$B$113=0,"",[1]对账明细接口!$B$113),"")</f>
        <v>46259.0</v>
      </c>
      <c r="C113" s="16" t="str">
        <f>IFERROR(IF([1]对账明细接口!$C$113=0,"",[1]对账明细接口!$C$113),"")</f>
        <v>聂新平</v>
      </c>
      <c r="D113" s="16" t="str">
        <f>IFERROR(IF([1]对账明细接口!$D$113=0,"",[1]对账明细接口!$D$113),"")</f>
        <v>原料入库</v>
      </c>
      <c r="E113" s="16" t="str">
        <f>IFERROR(IF([1]对账明细接口!$E$113=0,"",[1]对账明细接口!$E$113),"")</f>
        <v>NO:0000724</v>
      </c>
      <c r="F113" s="16" t="str">
        <f>IFERROR(IF([1]对账明细接口!$F$113=0,"",[1]对账明细接口!$F$113),"")</f>
        <v>西梅</v>
      </c>
      <c r="G113" s="16" t="str">
        <f>IFERROR(IF([1]对账明细接口!$G$113=0,"",[1]对账明细接口!$G$113),"")</f>
        <v>西梅二级</v>
      </c>
      <c r="H113" s="176">
        <f>IFERROR(IF([1]对账明细接口!$H$113=0,"",[1]对账明细接口!$H$113),"")</f>
        <v>97</v>
      </c>
      <c r="I113" s="16" t="str">
        <f>IFERROR(IF([1]对账明细接口!$I$113=0,"",[1]对账明细接口!$I$113),"")</f>
        <v>筐</v>
      </c>
      <c r="J113" s="177">
        <f>IFERROR(IF([1]对账明细接口!$J$113=0,"",[1]对账明细接口!$J$113),"")</f>
        <v>194</v>
      </c>
      <c r="K113" s="177">
        <f>IFERROR(IF([1]对账明细接口!$K$113=0,"",[1]对账明细接口!$K$113),"")</f>
      </c>
      <c r="L113" s="16">
        <f>IFERROR(IF([1]对账明细接口!$L$113=0,"",[1]对账明细接口!$L$113),"")</f>
      </c>
      <c r="M113" s="16">
        <f>IFERROR(IF([1]对账明细接口!$M$113=0,"",[1]对账明细接口!$M$113),"")</f>
      </c>
      <c r="N113" s="19">
        <f>IF($C113="",0,1)</f>
        <v>1</v>
      </c>
      <c r="O113" s="19">
        <f>N(O112)+$N113</f>
        <v>110</v>
      </c>
      <c r="S113" s="20" t="str">
        <f>IFERROR(IF([1]对账明细接口!$N113=0,"",[1]对账明细接口!$N113),"")</f>
        <v>自备一次性筐</v>
      </c>
      <c r="T113" s="212">
        <f>IFERROR(IF([1]对账明细接口!$O113=0,"",[1]对账明细接口!$O113),"")</f>
      </c>
      <c r="U113" s="212">
        <f>IFERROR(IF([1]对账明细接口!$P113=0,"",[1]对账明细接口!$P113),"")</f>
      </c>
      <c r="V113" s="212">
        <f>IFERROR(IF([1]对账明细接口!$Q113=0,"",[1]对账明细接口!$Q113),"")</f>
        <v>97</v>
      </c>
      <c r="W113" s="20" t="str">
        <f>IFERROR(IF([1]对账明细接口!$R113=0,"",[1]对账明细接口!$R113),"")</f>
        <v>苏M*7G796</v>
      </c>
      <c r="X113" s="20" t="str">
        <f>IFERROR(IF([1]对账明细接口!$S113=0,"",[1]对账明细接口!$S113),"")</f>
        <v>自备筐</v>
      </c>
      <c r="Y113" s="20">
        <f>IFERROR(IF([1]对账明细接口!$T113=0,"",[1]对账明细接口!$T113),"")</f>
      </c>
      <c r="Z113" s="213">
        <f>IFERROR(IF([1]对账明细接口!$U113=0,"",[1]对账明细接口!$U113),"")</f>
      </c>
      <c r="AA113" s="213">
        <f>IFERROR(IF([1]对账明细接口!$V113=0,"",[1]对账明细接口!$V113),"")</f>
      </c>
      <c r="AB113" s="20">
        <f>IFERROR(IF([1]对账明细接口!$W113=0,"",[1]对账明细接口!$W113),"")</f>
      </c>
      <c r="AC113" s="7">
        <f>IFERROR(IF([1]对账明细接口!$X113=0,"",[1]对账明细接口!$X113),"")</f>
      </c>
      <c r="AD113" s="7">
        <f>IFERROR(IF([1]对账明细接口!$Y113=0,"",[1]对账明细接口!$Y113),"")</f>
      </c>
      <c r="AE113" s="7">
        <f>IFERROR(IF([1]对账明细接口!$AA113=0,"",[1]对账明细接口!$AA113),"")</f>
      </c>
      <c r="AF113" s="7">
        <f>IFERROR(IF([1]对账明细接口!$AB113=0,"",[1]对账明细接口!$AB113),"")</f>
      </c>
      <c r="AG113" s="7">
        <f>IFERROR(IF([1]对账明细接口!$AC113=0,"",[1]对账明细接口!$AC113),"")</f>
      </c>
      <c r="AH113" s="7">
        <f>IFERROR(IF([1]对账明细接口!$AD113=0,"",[1]对账明细接口!$AD113),"")</f>
      </c>
      <c r="AI113" s="7">
        <f>IFERROR(IF([1]对账明细接口!$AE113=0,"",[1]对账明细接口!$AE113),"")</f>
      </c>
      <c r="AJ113" s="7">
        <f>IFERROR(IF([1]对账明细接口!$AF113=0,"",[1]对账明细接口!$AF113),"")</f>
      </c>
    </row>
    <row r="114" ht="14.25" customHeight="1" s="127">
      <c r="A114" s="14" t="n">
        <v>114</v>
      </c>
      <c r="B114" s="211">
        <f>IFERROR(IF([1]对账明细接口!$B$114=0,"",[1]对账明细接口!$B$114),"")</f>
        <v>46259.0</v>
      </c>
      <c r="C114" s="16" t="str">
        <f>IFERROR(IF([1]对账明细接口!$C$114=0,"",[1]对账明细接口!$C$114),"")</f>
        <v>聂新平</v>
      </c>
      <c r="D114" s="16" t="str">
        <f>IFERROR(IF([1]对账明细接口!$D$114=0,"",[1]对账明细接口!$D$114),"")</f>
        <v>原料入库</v>
      </c>
      <c r="E114" s="16" t="str">
        <f>IFERROR(IF([1]对账明细接口!$E$114=0,"",[1]对账明细接口!$E$114),"")</f>
        <v>NO:0000724</v>
      </c>
      <c r="F114" s="16" t="str">
        <f>IFERROR(IF([1]对账明细接口!$F$114=0,"",[1]对账明细接口!$F$114),"")</f>
        <v>西梅</v>
      </c>
      <c r="G114" s="16" t="str">
        <f>IFERROR(IF([1]对账明细接口!$G$114=0,"",[1]对账明细接口!$G$114),"")</f>
        <v>西梅三级</v>
      </c>
      <c r="H114" s="176">
        <f>IFERROR(IF([1]对账明细接口!$H$114=0,"",[1]对账明细接口!$H$114),"")</f>
        <v>371</v>
      </c>
      <c r="I114" s="16" t="str">
        <f>IFERROR(IF([1]对账明细接口!$I$114=0,"",[1]对账明细接口!$I$114),"")</f>
        <v>筐</v>
      </c>
      <c r="J114" s="177">
        <f>IFERROR(IF([1]对账明细接口!$J$114=0,"",[1]对账明细接口!$J$114),"")</f>
        <v>742</v>
      </c>
      <c r="K114" s="177">
        <f>IFERROR(IF([1]对账明细接口!$K$114=0,"",[1]对账明细接口!$K$114),"")</f>
      </c>
      <c r="L114" s="16">
        <f>IFERROR(IF([1]对账明细接口!$L$114=0,"",[1]对账明细接口!$L$114),"")</f>
      </c>
      <c r="M114" s="16">
        <f>IFERROR(IF([1]对账明细接口!$M$114=0,"",[1]对账明细接口!$M$114),"")</f>
      </c>
      <c r="N114" s="19">
        <f>IF($C114="",0,1)</f>
        <v>1</v>
      </c>
      <c r="O114" s="19">
        <f>N(O113)+$N114</f>
        <v>111</v>
      </c>
      <c r="S114" s="20" t="str">
        <f>IFERROR(IF([1]对账明细接口!$N114=0,"",[1]对账明细接口!$N114),"")</f>
        <v>自备一次性筐</v>
      </c>
      <c r="T114" s="212">
        <f>IFERROR(IF([1]对账明细接口!$O114=0,"",[1]对账明细接口!$O114),"")</f>
      </c>
      <c r="U114" s="212">
        <f>IFERROR(IF([1]对账明细接口!$P114=0,"",[1]对账明细接口!$P114),"")</f>
      </c>
      <c r="V114" s="212">
        <f>IFERROR(IF([1]对账明细接口!$Q114=0,"",[1]对账明细接口!$Q114),"")</f>
        <v>371</v>
      </c>
      <c r="W114" s="20" t="str">
        <f>IFERROR(IF([1]对账明细接口!$R114=0,"",[1]对账明细接口!$R114),"")</f>
        <v>苏M*7G796</v>
      </c>
      <c r="X114" s="20" t="str">
        <f>IFERROR(IF([1]对账明细接口!$S114=0,"",[1]对账明细接口!$S114),"")</f>
        <v>自备筐</v>
      </c>
      <c r="Y114" s="20">
        <f>IFERROR(IF([1]对账明细接口!$T114=0,"",[1]对账明细接口!$T114),"")</f>
      </c>
      <c r="Z114" s="213">
        <f>IFERROR(IF([1]对账明细接口!$U114=0,"",[1]对账明细接口!$U114),"")</f>
      </c>
      <c r="AA114" s="213">
        <f>IFERROR(IF([1]对账明细接口!$V114=0,"",[1]对账明细接口!$V114),"")</f>
      </c>
      <c r="AB114" s="20">
        <f>IFERROR(IF([1]对账明细接口!$W114=0,"",[1]对账明细接口!$W114),"")</f>
      </c>
      <c r="AC114" s="7">
        <f>IFERROR(IF([1]对账明细接口!$X114=0,"",[1]对账明细接口!$X114),"")</f>
      </c>
      <c r="AD114" s="7">
        <f>IFERROR(IF([1]对账明细接口!$Y114=0,"",[1]对账明细接口!$Y114),"")</f>
      </c>
      <c r="AE114" s="7">
        <f>IFERROR(IF([1]对账明细接口!$AA114=0,"",[1]对账明细接口!$AA114),"")</f>
      </c>
      <c r="AF114" s="7">
        <f>IFERROR(IF([1]对账明细接口!$AB114=0,"",[1]对账明细接口!$AB114),"")</f>
      </c>
      <c r="AG114" s="7">
        <f>IFERROR(IF([1]对账明细接口!$AC114=0,"",[1]对账明细接口!$AC114),"")</f>
      </c>
      <c r="AH114" s="7">
        <f>IFERROR(IF([1]对账明细接口!$AD114=0,"",[1]对账明细接口!$AD114),"")</f>
      </c>
      <c r="AI114" s="7">
        <f>IFERROR(IF([1]对账明细接口!$AE114=0,"",[1]对账明细接口!$AE114),"")</f>
      </c>
      <c r="AJ114" s="7">
        <f>IFERROR(IF([1]对账明细接口!$AF114=0,"",[1]对账明细接口!$AF114),"")</f>
      </c>
    </row>
    <row r="115" ht="14.25" customHeight="1" s="127">
      <c r="A115" s="14" t="n">
        <v>115</v>
      </c>
      <c r="B115" s="211">
        <f>IFERROR(IF([1]对账明细接口!$B$115=0,"",[1]对账明细接口!$B$115),"")</f>
        <v>46259.0</v>
      </c>
      <c r="C115" s="16" t="str">
        <f>IFERROR(IF([1]对账明细接口!$C$115=0,"",[1]对账明细接口!$C$115),"")</f>
        <v>聂新平</v>
      </c>
      <c r="D115" s="16" t="str">
        <f>IFERROR(IF([1]对账明细接口!$D$115=0,"",[1]对账明细接口!$D$115),"")</f>
        <v>原料入库</v>
      </c>
      <c r="E115" s="16" t="str">
        <f>IFERROR(IF([1]对账明细接口!$E$115=0,"",[1]对账明细接口!$E$115),"")</f>
        <v>NO:0000724</v>
      </c>
      <c r="F115" s="16" t="str">
        <f>IFERROR(IF([1]对账明细接口!$F$115=0,"",[1]对账明细接口!$F$115),"")</f>
        <v>西梅</v>
      </c>
      <c r="G115" s="16" t="str">
        <f>IFERROR(IF([1]对账明细接口!$G$115=0,"",[1]对账明细接口!$G$115),"")</f>
        <v>西梅二级</v>
      </c>
      <c r="H115" s="176">
        <f>IFERROR(IF([1]对账明细接口!$H$115=0,"",[1]对账明细接口!$H$115),"")</f>
        <v>4</v>
      </c>
      <c r="I115" s="16" t="str">
        <f>IFERROR(IF([1]对账明细接口!$I$115=0,"",[1]对账明细接口!$I$115),"")</f>
        <v>筐</v>
      </c>
      <c r="J115" s="177">
        <f>IFERROR(IF([1]对账明细接口!$J$115=0,"",[1]对账明细接口!$J$115),"")</f>
        <v>48</v>
      </c>
      <c r="K115" s="177">
        <f>IFERROR(IF([1]对账明细接口!$K$115=0,"",[1]对账明细接口!$K$115),"")</f>
      </c>
      <c r="L115" s="16">
        <f>IFERROR(IF([1]对账明细接口!$L$115=0,"",[1]对账明细接口!$L$115),"")</f>
      </c>
      <c r="M115" s="16">
        <f>IFERROR(IF([1]对账明细接口!$M$115=0,"",[1]对账明细接口!$M$115),"")</f>
      </c>
      <c r="N115" s="19">
        <f>IF($C115="",0,1)</f>
        <v>1</v>
      </c>
      <c r="O115" s="19">
        <f>N(O114)+$N115</f>
        <v>112</v>
      </c>
      <c r="S115" s="20" t="str">
        <f>IFERROR(IF([1]对账明细接口!$N115=0,"",[1]对账明细接口!$N115),"")</f>
        <v>自备一次性筐</v>
      </c>
      <c r="T115" s="212">
        <f>IFERROR(IF([1]对账明细接口!$O115=0,"",[1]对账明细接口!$O115),"")</f>
      </c>
      <c r="U115" s="212">
        <f>IFERROR(IF([1]对账明细接口!$P115=0,"",[1]对账明细接口!$P115),"")</f>
      </c>
      <c r="V115" s="212">
        <f>IFERROR(IF([1]对账明细接口!$Q115=0,"",[1]对账明细接口!$Q115),"")</f>
        <v>4</v>
      </c>
      <c r="W115" s="20" t="str">
        <f>IFERROR(IF([1]对账明细接口!$R115=0,"",[1]对账明细接口!$R115),"")</f>
        <v>苏M*7G796</v>
      </c>
      <c r="X115" s="20" t="str">
        <f>IFERROR(IF([1]对账明细接口!$S115=0,"",[1]对账明细接口!$S115),"")</f>
        <v>自备筐</v>
      </c>
      <c r="Y115" s="20">
        <f>IFERROR(IF([1]对账明细接口!$T115=0,"",[1]对账明细接口!$T115),"")</f>
      </c>
      <c r="Z115" s="213">
        <f>IFERROR(IF([1]对账明细接口!$U115=0,"",[1]对账明细接口!$U115),"")</f>
      </c>
      <c r="AA115" s="213">
        <f>IFERROR(IF([1]对账明细接口!$V115=0,"",[1]对账明细接口!$V115),"")</f>
      </c>
      <c r="AB115" s="20">
        <f>IFERROR(IF([1]对账明细接口!$W115=0,"",[1]对账明细接口!$W115),"")</f>
      </c>
      <c r="AC115" s="7">
        <f>IFERROR(IF([1]对账明细接口!$X115=0,"",[1]对账明细接口!$X115),"")</f>
      </c>
      <c r="AD115" s="7">
        <f>IFERROR(IF([1]对账明细接口!$Y115=0,"",[1]对账明细接口!$Y115),"")</f>
      </c>
      <c r="AE115" s="7">
        <f>IFERROR(IF([1]对账明细接口!$AA115=0,"",[1]对账明细接口!$AA115),"")</f>
      </c>
      <c r="AF115" s="7">
        <f>IFERROR(IF([1]对账明细接口!$AB115=0,"",[1]对账明细接口!$AB115),"")</f>
      </c>
      <c r="AG115" s="7">
        <f>IFERROR(IF([1]对账明细接口!$AC115=0,"",[1]对账明细接口!$AC115),"")</f>
      </c>
      <c r="AH115" s="7">
        <f>IFERROR(IF([1]对账明细接口!$AD115=0,"",[1]对账明细接口!$AD115),"")</f>
      </c>
      <c r="AI115" s="7">
        <f>IFERROR(IF([1]对账明细接口!$AE115=0,"",[1]对账明细接口!$AE115),"")</f>
      </c>
      <c r="AJ115" s="7">
        <f>IFERROR(IF([1]对账明细接口!$AF115=0,"",[1]对账明细接口!$AF115),"")</f>
      </c>
    </row>
    <row r="116" ht="14.25" customHeight="1" s="127">
      <c r="A116" s="14" t="n">
        <v>116</v>
      </c>
      <c r="B116" s="211">
        <f>IFERROR(IF([1]对账明细接口!$B$116=0,"",[1]对账明细接口!$B$116),"")</f>
        <v>46259.0</v>
      </c>
      <c r="C116" s="16" t="str">
        <f>IFERROR(IF([1]对账明细接口!$C$116=0,"",[1]对账明细接口!$C$116),"")</f>
        <v>聂新平</v>
      </c>
      <c r="D116" s="16" t="str">
        <f>IFERROR(IF([1]对账明细接口!$D$116=0,"",[1]对账明细接口!$D$116),"")</f>
        <v>原料入库</v>
      </c>
      <c r="E116" s="16" t="str">
        <f>IFERROR(IF([1]对账明细接口!$E$116=0,"",[1]对账明细接口!$E$116),"")</f>
        <v>NO:0000725</v>
      </c>
      <c r="F116" s="16" t="str">
        <f>IFERROR(IF([1]对账明细接口!$F$116=0,"",[1]对账明细接口!$F$116),"")</f>
        <v>西梅</v>
      </c>
      <c r="G116" s="16" t="str">
        <f>IFERROR(IF([1]对账明细接口!$G$116=0,"",[1]对账明细接口!$G$116),"")</f>
        <v>西梅一级</v>
      </c>
      <c r="H116" s="176">
        <f>IFERROR(IF([1]对账明细接口!$H$116=0,"",[1]对账明细接口!$H$116),"")</f>
        <v>72</v>
      </c>
      <c r="I116" s="16" t="str">
        <f>IFERROR(IF([1]对账明细接口!$I$116=0,"",[1]对账明细接口!$I$116),"")</f>
        <v>筐</v>
      </c>
      <c r="J116" s="177">
        <f>IFERROR(IF([1]对账明细接口!$J$116=0,"",[1]对账明细接口!$J$116),"")</f>
        <v>504</v>
      </c>
      <c r="K116" s="177">
        <f>IFERROR(IF([1]对账明细接口!$K$116=0,"",[1]对账明细接口!$K$116),"")</f>
      </c>
      <c r="L116" s="16">
        <f>IFERROR(IF([1]对账明细接口!$L$116=0,"",[1]对账明细接口!$L$116),"")</f>
      </c>
      <c r="M116" s="16">
        <f>IFERROR(IF([1]对账明细接口!$M$116=0,"",[1]对账明细接口!$M$116),"")</f>
      </c>
      <c r="N116" s="19">
        <f>IF($C116="",0,1)</f>
        <v>1</v>
      </c>
      <c r="O116" s="19">
        <f>N(O115)+$N116</f>
        <v>113</v>
      </c>
      <c r="S116" s="20" t="str">
        <f>IFERROR(IF([1]对账明细接口!$N116=0,"",[1]对账明细接口!$N116),"")</f>
        <v>自备一次性筐</v>
      </c>
      <c r="T116" s="212">
        <f>IFERROR(IF([1]对账明细接口!$O116=0,"",[1]对账明细接口!$O116),"")</f>
      </c>
      <c r="U116" s="212">
        <f>IFERROR(IF([1]对账明细接口!$P116=0,"",[1]对账明细接口!$P116),"")</f>
      </c>
      <c r="V116" s="212">
        <f>IFERROR(IF([1]对账明细接口!$Q116=0,"",[1]对账明细接口!$Q116),"")</f>
        <v>72</v>
      </c>
      <c r="W116" s="20" t="str">
        <f>IFERROR(IF([1]对账明细接口!$R116=0,"",[1]对账明细接口!$R116),"")</f>
        <v>苏M*7G796</v>
      </c>
      <c r="X116" s="20" t="str">
        <f>IFERROR(IF([1]对账明细接口!$S116=0,"",[1]对账明细接口!$S116),"")</f>
        <v>自备筐</v>
      </c>
      <c r="Y116" s="20">
        <f>IFERROR(IF([1]对账明细接口!$T116=0,"",[1]对账明细接口!$T116),"")</f>
      </c>
      <c r="Z116" s="213">
        <f>IFERROR(IF([1]对账明细接口!$U116=0,"",[1]对账明细接口!$U116),"")</f>
      </c>
      <c r="AA116" s="213">
        <f>IFERROR(IF([1]对账明细接口!$V116=0,"",[1]对账明细接口!$V116),"")</f>
      </c>
      <c r="AB116" s="20">
        <f>IFERROR(IF([1]对账明细接口!$W116=0,"",[1]对账明细接口!$W116),"")</f>
      </c>
      <c r="AC116" s="7">
        <f>IFERROR(IF([1]对账明细接口!$X116=0,"",[1]对账明细接口!$X116),"")</f>
      </c>
      <c r="AD116" s="7">
        <f>IFERROR(IF([1]对账明细接口!$Y116=0,"",[1]对账明细接口!$Y116),"")</f>
      </c>
      <c r="AE116" s="7">
        <f>IFERROR(IF([1]对账明细接口!$AA116=0,"",[1]对账明细接口!$AA116),"")</f>
      </c>
      <c r="AF116" s="7">
        <f>IFERROR(IF([1]对账明细接口!$AB116=0,"",[1]对账明细接口!$AB116),"")</f>
      </c>
      <c r="AG116" s="7">
        <f>IFERROR(IF([1]对账明细接口!$AC116=0,"",[1]对账明细接口!$AC116),"")</f>
      </c>
      <c r="AH116" s="7">
        <f>IFERROR(IF([1]对账明细接口!$AD116=0,"",[1]对账明细接口!$AD116),"")</f>
      </c>
      <c r="AI116" s="7">
        <f>IFERROR(IF([1]对账明细接口!$AE116=0,"",[1]对账明细接口!$AE116),"")</f>
      </c>
      <c r="AJ116" s="7">
        <f>IFERROR(IF([1]对账明细接口!$AF116=0,"",[1]对账明细接口!$AF116),"")</f>
      </c>
    </row>
    <row r="117" ht="14.25" customHeight="1" s="127">
      <c r="A117" s="14" t="n">
        <v>117</v>
      </c>
      <c r="B117" s="211">
        <f>IFERROR(IF([1]对账明细接口!$B$117=0,"",[1]对账明细接口!$B$117),"")</f>
        <v>46259.0</v>
      </c>
      <c r="C117" s="16" t="str">
        <f>IFERROR(IF([1]对账明细接口!$C$117=0,"",[1]对账明细接口!$C$117),"")</f>
        <v>聂新平</v>
      </c>
      <c r="D117" s="16" t="str">
        <f>IFERROR(IF([1]对账明细接口!$D$117=0,"",[1]对账明细接口!$D$117),"")</f>
        <v>原料入库</v>
      </c>
      <c r="E117" s="16" t="str">
        <f>IFERROR(IF([1]对账明细接口!$E$117=0,"",[1]对账明细接口!$E$117),"")</f>
        <v>NO:0000725</v>
      </c>
      <c r="F117" s="16" t="str">
        <f>IFERROR(IF([1]对账明细接口!$F$117=0,"",[1]对账明细接口!$F$117),"")</f>
        <v>西梅</v>
      </c>
      <c r="G117" s="16" t="str">
        <f>IFERROR(IF([1]对账明细接口!$G$117=0,"",[1]对账明细接口!$G$117),"")</f>
        <v>西梅二级</v>
      </c>
      <c r="H117" s="176">
        <f>IFERROR(IF([1]对账明细接口!$H$117=0,"",[1]对账明细接口!$H$117),"")</f>
        <v>238</v>
      </c>
      <c r="I117" s="16" t="str">
        <f>IFERROR(IF([1]对账明细接口!$I$117=0,"",[1]对账明细接口!$I$117),"")</f>
        <v>筐</v>
      </c>
      <c r="J117" s="177">
        <f>IFERROR(IF([1]对账明细接口!$J$117=0,"",[1]对账明细接口!$J$117),"")</f>
        <v>476</v>
      </c>
      <c r="K117" s="177">
        <f>IFERROR(IF([1]对账明细接口!$K$117=0,"",[1]对账明细接口!$K$117),"")</f>
      </c>
      <c r="L117" s="16">
        <f>IFERROR(IF([1]对账明细接口!$L$117=0,"",[1]对账明细接口!$L$117),"")</f>
      </c>
      <c r="M117" s="16">
        <f>IFERROR(IF([1]对账明细接口!$M$117=0,"",[1]对账明细接口!$M$117),"")</f>
      </c>
      <c r="N117" s="19">
        <f>IF($C117="",0,1)</f>
        <v>1</v>
      </c>
      <c r="O117" s="19">
        <f>N(O116)+$N117</f>
        <v>114</v>
      </c>
      <c r="S117" s="20" t="str">
        <f>IFERROR(IF([1]对账明细接口!$N117=0,"",[1]对账明细接口!$N117),"")</f>
        <v>自备一次性筐</v>
      </c>
      <c r="T117" s="212">
        <f>IFERROR(IF([1]对账明细接口!$O117=0,"",[1]对账明细接口!$O117),"")</f>
      </c>
      <c r="U117" s="212">
        <f>IFERROR(IF([1]对账明细接口!$P117=0,"",[1]对账明细接口!$P117),"")</f>
      </c>
      <c r="V117" s="212">
        <f>IFERROR(IF([1]对账明细接口!$Q117=0,"",[1]对账明细接口!$Q117),"")</f>
        <v>238</v>
      </c>
      <c r="W117" s="20" t="str">
        <f>IFERROR(IF([1]对账明细接口!$R117=0,"",[1]对账明细接口!$R117),"")</f>
        <v>苏M*7G796</v>
      </c>
      <c r="X117" s="20" t="str">
        <f>IFERROR(IF([1]对账明细接口!$S117=0,"",[1]对账明细接口!$S117),"")</f>
        <v>自备筐</v>
      </c>
      <c r="Y117" s="20">
        <f>IFERROR(IF([1]对账明细接口!$T117=0,"",[1]对账明细接口!$T117),"")</f>
      </c>
      <c r="Z117" s="213">
        <f>IFERROR(IF([1]对账明细接口!$U117=0,"",[1]对账明细接口!$U117),"")</f>
      </c>
      <c r="AA117" s="213">
        <f>IFERROR(IF([1]对账明细接口!$V117=0,"",[1]对账明细接口!$V117),"")</f>
      </c>
      <c r="AB117" s="20">
        <f>IFERROR(IF([1]对账明细接口!$W117=0,"",[1]对账明细接口!$W117),"")</f>
      </c>
      <c r="AC117" s="7">
        <f>IFERROR(IF([1]对账明细接口!$X117=0,"",[1]对账明细接口!$X117),"")</f>
      </c>
      <c r="AD117" s="7">
        <f>IFERROR(IF([1]对账明细接口!$Y117=0,"",[1]对账明细接口!$Y117),"")</f>
      </c>
      <c r="AE117" s="7">
        <f>IFERROR(IF([1]对账明细接口!$AA117=0,"",[1]对账明细接口!$AA117),"")</f>
      </c>
      <c r="AF117" s="7">
        <f>IFERROR(IF([1]对账明细接口!$AB117=0,"",[1]对账明细接口!$AB117),"")</f>
      </c>
      <c r="AG117" s="7">
        <f>IFERROR(IF([1]对账明细接口!$AC117=0,"",[1]对账明细接口!$AC117),"")</f>
      </c>
      <c r="AH117" s="7">
        <f>IFERROR(IF([1]对账明细接口!$AD117=0,"",[1]对账明细接口!$AD117),"")</f>
      </c>
      <c r="AI117" s="7">
        <f>IFERROR(IF([1]对账明细接口!$AE117=0,"",[1]对账明细接口!$AE117),"")</f>
      </c>
      <c r="AJ117" s="7">
        <f>IFERROR(IF([1]对账明细接口!$AF117=0,"",[1]对账明细接口!$AF117),"")</f>
      </c>
    </row>
    <row r="118" ht="14.25" customHeight="1" s="127">
      <c r="A118" s="14" t="n">
        <v>118</v>
      </c>
      <c r="B118" s="211">
        <f>IFERROR(IF([1]对账明细接口!$B$118=0,"",[1]对账明细接口!$B$118),"")</f>
        <v>46259.0</v>
      </c>
      <c r="C118" s="16" t="str">
        <f>IFERROR(IF([1]对账明细接口!$C$118=0,"",[1]对账明细接口!$C$118),"")</f>
        <v>聂新平</v>
      </c>
      <c r="D118" s="16" t="str">
        <f>IFERROR(IF([1]对账明细接口!$D$118=0,"",[1]对账明细接口!$D$118),"")</f>
        <v>原料入库</v>
      </c>
      <c r="E118" s="16" t="str">
        <f>IFERROR(IF([1]对账明细接口!$E$118=0,"",[1]对账明细接口!$E$118),"")</f>
        <v>NO:0000726</v>
      </c>
      <c r="F118" s="16" t="str">
        <f>IFERROR(IF([1]对账明细接口!$F$118=0,"",[1]对账明细接口!$F$118),"")</f>
        <v>西梅</v>
      </c>
      <c r="G118" s="16" t="str">
        <f>IFERROR(IF([1]对账明细接口!$G$118=0,"",[1]对账明细接口!$G$118),"")</f>
        <v>西梅一级</v>
      </c>
      <c r="H118" s="176">
        <f>IFERROR(IF([1]对账明细接口!$H$118=0,"",[1]对账明细接口!$H$118),"")</f>
        <v>50</v>
      </c>
      <c r="I118" s="16" t="str">
        <f>IFERROR(IF([1]对账明细接口!$I$118=0,"",[1]对账明细接口!$I$118),"")</f>
        <v>筐</v>
      </c>
      <c r="J118" s="177">
        <f>IFERROR(IF([1]对账明细接口!$J$118=0,"",[1]对账明细接口!$J$118),"")</f>
        <v>350</v>
      </c>
      <c r="K118" s="177">
        <f>IFERROR(IF([1]对账明细接口!$K$118=0,"",[1]对账明细接口!$K$118),"")</f>
      </c>
      <c r="L118" s="16">
        <f>IFERROR(IF([1]对账明细接口!$L$118=0,"",[1]对账明细接口!$L$118),"")</f>
      </c>
      <c r="M118" s="16">
        <f>IFERROR(IF([1]对账明细接口!$M$118=0,"",[1]对账明细接口!$M$118),"")</f>
      </c>
      <c r="N118" s="19">
        <f>IF($C118="",0,1)</f>
        <v>1</v>
      </c>
      <c r="O118" s="19">
        <f>N(O117)+$N118</f>
        <v>115</v>
      </c>
      <c r="S118" s="20" t="str">
        <f>IFERROR(IF([1]对账明细接口!$N118=0,"",[1]对账明细接口!$N118),"")</f>
        <v>自备一次性筐</v>
      </c>
      <c r="T118" s="212">
        <f>IFERROR(IF([1]对账明细接口!$O118=0,"",[1]对账明细接口!$O118),"")</f>
      </c>
      <c r="U118" s="212">
        <f>IFERROR(IF([1]对账明细接口!$P118=0,"",[1]对账明细接口!$P118),"")</f>
      </c>
      <c r="V118" s="212">
        <f>IFERROR(IF([1]对账明细接口!$Q118=0,"",[1]对账明细接口!$Q118),"")</f>
        <v>50</v>
      </c>
      <c r="W118" s="20" t="str">
        <f>IFERROR(IF([1]对账明细接口!$R118=0,"",[1]对账明细接口!$R118),"")</f>
        <v>苏M*7G796</v>
      </c>
      <c r="X118" s="20" t="str">
        <f>IFERROR(IF([1]对账明细接口!$S118=0,"",[1]对账明细接口!$S118),"")</f>
        <v>自备筐</v>
      </c>
      <c r="Y118" s="20">
        <f>IFERROR(IF([1]对账明细接口!$T118=0,"",[1]对账明细接口!$T118),"")</f>
      </c>
      <c r="Z118" s="213">
        <f>IFERROR(IF([1]对账明细接口!$U118=0,"",[1]对账明细接口!$U118),"")</f>
      </c>
      <c r="AA118" s="213">
        <f>IFERROR(IF([1]对账明细接口!$V118=0,"",[1]对账明细接口!$V118),"")</f>
      </c>
      <c r="AB118" s="20">
        <f>IFERROR(IF([1]对账明细接口!$W118=0,"",[1]对账明细接口!$W118),"")</f>
      </c>
      <c r="AC118" s="7">
        <f>IFERROR(IF([1]对账明细接口!$X118=0,"",[1]对账明细接口!$X118),"")</f>
      </c>
      <c r="AD118" s="7">
        <f>IFERROR(IF([1]对账明细接口!$Y118=0,"",[1]对账明细接口!$Y118),"")</f>
      </c>
      <c r="AE118" s="7">
        <f>IFERROR(IF([1]对账明细接口!$AA118=0,"",[1]对账明细接口!$AA118),"")</f>
      </c>
      <c r="AF118" s="7">
        <f>IFERROR(IF([1]对账明细接口!$AB118=0,"",[1]对账明细接口!$AB118),"")</f>
      </c>
      <c r="AG118" s="7">
        <f>IFERROR(IF([1]对账明细接口!$AC118=0,"",[1]对账明细接口!$AC118),"")</f>
      </c>
      <c r="AH118" s="7">
        <f>IFERROR(IF([1]对账明细接口!$AD118=0,"",[1]对账明细接口!$AD118),"")</f>
      </c>
      <c r="AI118" s="7">
        <f>IFERROR(IF([1]对账明细接口!$AE118=0,"",[1]对账明细接口!$AE118),"")</f>
      </c>
      <c r="AJ118" s="7">
        <f>IFERROR(IF([1]对账明细接口!$AF118=0,"",[1]对账明细接口!$AF118),"")</f>
      </c>
    </row>
    <row r="119" ht="14.25" customHeight="1" s="127">
      <c r="A119" s="14" t="n">
        <v>119</v>
      </c>
      <c r="B119" s="211">
        <f>IFERROR(IF([1]对账明细接口!$B$119=0,"",[1]对账明细接口!$B$119),"")</f>
        <v>46259.0</v>
      </c>
      <c r="C119" s="16" t="str">
        <f>IFERROR(IF([1]对账明细接口!$C$119=0,"",[1]对账明细接口!$C$119),"")</f>
        <v>聂新平</v>
      </c>
      <c r="D119" s="16" t="str">
        <f>IFERROR(IF([1]对账明细接口!$D$119=0,"",[1]对账明细接口!$D$119),"")</f>
        <v>原料入库</v>
      </c>
      <c r="E119" s="16" t="str">
        <f>IFERROR(IF([1]对账明细接口!$E$119=0,"",[1]对账明细接口!$E$119),"")</f>
        <v>NO:0000726</v>
      </c>
      <c r="F119" s="16" t="str">
        <f>IFERROR(IF([1]对账明细接口!$F$119=0,"",[1]对账明细接口!$F$119),"")</f>
        <v>西梅</v>
      </c>
      <c r="G119" s="16" t="str">
        <f>IFERROR(IF([1]对账明细接口!$G$119=0,"",[1]对账明细接口!$G$119),"")</f>
        <v>西梅二级</v>
      </c>
      <c r="H119" s="176">
        <f>IFERROR(IF([1]对账明细接口!$H$119=0,"",[1]对账明细接口!$H$119),"")</f>
        <v>22</v>
      </c>
      <c r="I119" s="16" t="str">
        <f>IFERROR(IF([1]对账明细接口!$I$119=0,"",[1]对账明细接口!$I$119),"")</f>
        <v>筐</v>
      </c>
      <c r="J119" s="177">
        <f>IFERROR(IF([1]对账明细接口!$J$119=0,"",[1]对账明细接口!$J$119),"")</f>
        <v>264</v>
      </c>
      <c r="K119" s="177">
        <f>IFERROR(IF([1]对账明细接口!$K$119=0,"",[1]对账明细接口!$K$119),"")</f>
      </c>
      <c r="L119" s="16">
        <f>IFERROR(IF([1]对账明细接口!$L$119=0,"",[1]对账明细接口!$L$119),"")</f>
      </c>
      <c r="M119" s="16">
        <f>IFERROR(IF([1]对账明细接口!$M$119=0,"",[1]对账明细接口!$M$119),"")</f>
      </c>
      <c r="N119" s="19">
        <f>IF($C119="",0,1)</f>
        <v>1</v>
      </c>
      <c r="O119" s="19">
        <f>N(O118)+$N119</f>
        <v>116</v>
      </c>
      <c r="S119" s="20" t="str">
        <f>IFERROR(IF([1]对账明细接口!$N119=0,"",[1]对账明细接口!$N119),"")</f>
        <v>自备一次性筐</v>
      </c>
      <c r="T119" s="212">
        <f>IFERROR(IF([1]对账明细接口!$O119=0,"",[1]对账明细接口!$O119),"")</f>
      </c>
      <c r="U119" s="212">
        <f>IFERROR(IF([1]对账明细接口!$P119=0,"",[1]对账明细接口!$P119),"")</f>
      </c>
      <c r="V119" s="212">
        <f>IFERROR(IF([1]对账明细接口!$Q119=0,"",[1]对账明细接口!$Q119),"")</f>
        <v>22</v>
      </c>
      <c r="W119" s="20" t="str">
        <f>IFERROR(IF([1]对账明细接口!$R119=0,"",[1]对账明细接口!$R119),"")</f>
        <v>苏M*7G796</v>
      </c>
      <c r="X119" s="20" t="str">
        <f>IFERROR(IF([1]对账明细接口!$S119=0,"",[1]对账明细接口!$S119),"")</f>
        <v>自备筐</v>
      </c>
      <c r="Y119" s="20">
        <f>IFERROR(IF([1]对账明细接口!$T119=0,"",[1]对账明细接口!$T119),"")</f>
      </c>
      <c r="Z119" s="213">
        <f>IFERROR(IF([1]对账明细接口!$U119=0,"",[1]对账明细接口!$U119),"")</f>
      </c>
      <c r="AA119" s="213">
        <f>IFERROR(IF([1]对账明细接口!$V119=0,"",[1]对账明细接口!$V119),"")</f>
      </c>
      <c r="AB119" s="20">
        <f>IFERROR(IF([1]对账明细接口!$W119=0,"",[1]对账明细接口!$W119),"")</f>
      </c>
      <c r="AC119" s="7">
        <f>IFERROR(IF([1]对账明细接口!$X119=0,"",[1]对账明细接口!$X119),"")</f>
      </c>
      <c r="AD119" s="7">
        <f>IFERROR(IF([1]对账明细接口!$Y119=0,"",[1]对账明细接口!$Y119),"")</f>
      </c>
      <c r="AE119" s="7">
        <f>IFERROR(IF([1]对账明细接口!$AA119=0,"",[1]对账明细接口!$AA119),"")</f>
      </c>
      <c r="AF119" s="7">
        <f>IFERROR(IF([1]对账明细接口!$AB119=0,"",[1]对账明细接口!$AB119),"")</f>
      </c>
      <c r="AG119" s="7">
        <f>IFERROR(IF([1]对账明细接口!$AC119=0,"",[1]对账明细接口!$AC119),"")</f>
      </c>
      <c r="AH119" s="7">
        <f>IFERROR(IF([1]对账明细接口!$AD119=0,"",[1]对账明细接口!$AD119),"")</f>
      </c>
      <c r="AI119" s="7">
        <f>IFERROR(IF([1]对账明细接口!$AE119=0,"",[1]对账明细接口!$AE119),"")</f>
      </c>
      <c r="AJ119" s="7">
        <f>IFERROR(IF([1]对账明细接口!$AF119=0,"",[1]对账明细接口!$AF119),"")</f>
      </c>
    </row>
    <row r="120" ht="14.25" customHeight="1" s="127">
      <c r="A120" s="14" t="n">
        <v>120</v>
      </c>
      <c r="B120" s="211">
        <f>IFERROR(IF([1]对账明细接口!$B$120=0,"",[1]对账明细接口!$B$120),"")</f>
        <v>46259.0</v>
      </c>
      <c r="C120" s="16" t="str">
        <f>IFERROR(IF([1]对账明细接口!$C$120=0,"",[1]对账明细接口!$C$120),"")</f>
        <v>聂新平</v>
      </c>
      <c r="D120" s="16" t="str">
        <f>IFERROR(IF([1]对账明细接口!$D$120=0,"",[1]对账明细接口!$D$120),"")</f>
        <v>原料入库</v>
      </c>
      <c r="E120" s="16" t="str">
        <f>IFERROR(IF([1]对账明细接口!$E$120=0,"",[1]对账明细接口!$E$120),"")</f>
        <v>NO:0000726</v>
      </c>
      <c r="F120" s="16" t="str">
        <f>IFERROR(IF([1]对账明细接口!$F$120=0,"",[1]对账明细接口!$F$120),"")</f>
        <v>西梅</v>
      </c>
      <c r="G120" s="16" t="str">
        <f>IFERROR(IF([1]对账明细接口!$G$120=0,"",[1]对账明细接口!$G$120),"")</f>
        <v>西梅二级</v>
      </c>
      <c r="H120" s="176">
        <f>IFERROR(IF([1]对账明细接口!$H$120=0,"",[1]对账明细接口!$H$120),"")</f>
        <v>288</v>
      </c>
      <c r="I120" s="16" t="str">
        <f>IFERROR(IF([1]对账明细接口!$I$120=0,"",[1]对账明细接口!$I$120),"")</f>
        <v>筐</v>
      </c>
      <c r="J120" s="177">
        <f>IFERROR(IF([1]对账明细接口!$J$120=0,"",[1]对账明细接口!$J$120),"")</f>
        <v>576</v>
      </c>
      <c r="K120" s="177">
        <f>IFERROR(IF([1]对账明细接口!$K$120=0,"",[1]对账明细接口!$K$120),"")</f>
      </c>
      <c r="L120" s="16">
        <f>IFERROR(IF([1]对账明细接口!$L$120=0,"",[1]对账明细接口!$L$120),"")</f>
      </c>
      <c r="M120" s="16">
        <f>IFERROR(IF([1]对账明细接口!$M$120=0,"",[1]对账明细接口!$M$120),"")</f>
      </c>
      <c r="N120" s="19">
        <f>IF($C120="",0,1)</f>
        <v>1</v>
      </c>
      <c r="O120" s="19">
        <f>N(O119)+$N120</f>
        <v>117</v>
      </c>
      <c r="S120" s="20" t="str">
        <f>IFERROR(IF([1]对账明细接口!$N120=0,"",[1]对账明细接口!$N120),"")</f>
        <v>自备一次性筐</v>
      </c>
      <c r="T120" s="212">
        <f>IFERROR(IF([1]对账明细接口!$O120=0,"",[1]对账明细接口!$O120),"")</f>
      </c>
      <c r="U120" s="212">
        <f>IFERROR(IF([1]对账明细接口!$P120=0,"",[1]对账明细接口!$P120),"")</f>
      </c>
      <c r="V120" s="212">
        <f>IFERROR(IF([1]对账明细接口!$Q120=0,"",[1]对账明细接口!$Q120),"")</f>
        <v>288</v>
      </c>
      <c r="W120" s="20" t="str">
        <f>IFERROR(IF([1]对账明细接口!$R120=0,"",[1]对账明细接口!$R120),"")</f>
        <v>苏M*7G796</v>
      </c>
      <c r="X120" s="20" t="str">
        <f>IFERROR(IF([1]对账明细接口!$S120=0,"",[1]对账明细接口!$S120),"")</f>
        <v>自备筐</v>
      </c>
      <c r="Y120" s="20">
        <f>IFERROR(IF([1]对账明细接口!$T120=0,"",[1]对账明细接口!$T120),"")</f>
      </c>
      <c r="Z120" s="213">
        <f>IFERROR(IF([1]对账明细接口!$U120=0,"",[1]对账明细接口!$U120),"")</f>
      </c>
      <c r="AA120" s="213">
        <f>IFERROR(IF([1]对账明细接口!$V120=0,"",[1]对账明细接口!$V120),"")</f>
      </c>
      <c r="AB120" s="20">
        <f>IFERROR(IF([1]对账明细接口!$W120=0,"",[1]对账明细接口!$W120),"")</f>
      </c>
      <c r="AC120" s="7">
        <f>IFERROR(IF([1]对账明细接口!$X120=0,"",[1]对账明细接口!$X120),"")</f>
      </c>
      <c r="AD120" s="7">
        <f>IFERROR(IF([1]对账明细接口!$Y120=0,"",[1]对账明细接口!$Y120),"")</f>
      </c>
      <c r="AE120" s="7">
        <f>IFERROR(IF([1]对账明细接口!$AA120=0,"",[1]对账明细接口!$AA120),"")</f>
      </c>
      <c r="AF120" s="7">
        <f>IFERROR(IF([1]对账明细接口!$AB120=0,"",[1]对账明细接口!$AB120),"")</f>
      </c>
      <c r="AG120" s="7">
        <f>IFERROR(IF([1]对账明细接口!$AC120=0,"",[1]对账明细接口!$AC120),"")</f>
      </c>
      <c r="AH120" s="7">
        <f>IFERROR(IF([1]对账明细接口!$AD120=0,"",[1]对账明细接口!$AD120),"")</f>
      </c>
      <c r="AI120" s="7">
        <f>IFERROR(IF([1]对账明细接口!$AE120=0,"",[1]对账明细接口!$AE120),"")</f>
      </c>
      <c r="AJ120" s="7">
        <f>IFERROR(IF([1]对账明细接口!$AF120=0,"",[1]对账明细接口!$AF120),"")</f>
      </c>
    </row>
    <row r="121" ht="14.25" customHeight="1" s="127">
      <c r="A121" s="14" t="n">
        <v>121</v>
      </c>
      <c r="B121" s="211">
        <f>IFERROR(IF([1]对账明细接口!$B$121=0,"",[1]对账明细接口!$B$121),"")</f>
        <v>46259.0</v>
      </c>
      <c r="C121" s="16" t="str">
        <f>IFERROR(IF([1]对账明细接口!$C$121=0,"",[1]对账明细接口!$C$121),"")</f>
        <v>聂新平</v>
      </c>
      <c r="D121" s="16" t="str">
        <f>IFERROR(IF([1]对账明细接口!$D$121=0,"",[1]对账明细接口!$D$121),"")</f>
        <v>原料入库</v>
      </c>
      <c r="E121" s="16" t="str">
        <f>IFERROR(IF([1]对账明细接口!$E$121=0,"",[1]对账明细接口!$E$121),"")</f>
        <v>NO:0000726</v>
      </c>
      <c r="F121" s="16" t="str">
        <f>IFERROR(IF([1]对账明细接口!$F$121=0,"",[1]对账明细接口!$F$121),"")</f>
        <v>西梅</v>
      </c>
      <c r="G121" s="16" t="str">
        <f>IFERROR(IF([1]对账明细接口!$G$121=0,"",[1]对账明细接口!$G$121),"")</f>
        <v>西梅三级</v>
      </c>
      <c r="H121" s="176">
        <f>IFERROR(IF([1]对账明细接口!$H$121=0,"",[1]对账明细接口!$H$121),"")</f>
        <v>68</v>
      </c>
      <c r="I121" s="16" t="str">
        <f>IFERROR(IF([1]对账明细接口!$I$121=0,"",[1]对账明细接口!$I$121),"")</f>
        <v>筐</v>
      </c>
      <c r="J121" s="177">
        <f>IFERROR(IF([1]对账明细接口!$J$121=0,"",[1]对账明细接口!$J$121),"")</f>
        <v>136</v>
      </c>
      <c r="K121" s="177">
        <f>IFERROR(IF([1]对账明细接口!$K$121=0,"",[1]对账明细接口!$K$121),"")</f>
      </c>
      <c r="L121" s="16">
        <f>IFERROR(IF([1]对账明细接口!$L$121=0,"",[1]对账明细接口!$L$121),"")</f>
      </c>
      <c r="M121" s="16">
        <f>IFERROR(IF([1]对账明细接口!$M$121=0,"",[1]对账明细接口!$M$121),"")</f>
      </c>
      <c r="N121" s="19">
        <f>IF($C121="",0,1)</f>
        <v>1</v>
      </c>
      <c r="O121" s="19">
        <f>N(O120)+$N121</f>
        <v>118</v>
      </c>
      <c r="S121" s="20" t="str">
        <f>IFERROR(IF([1]对账明细接口!$N121=0,"",[1]对账明细接口!$N121),"")</f>
        <v>自备一次性筐</v>
      </c>
      <c r="T121" s="212">
        <f>IFERROR(IF([1]对账明细接口!$O121=0,"",[1]对账明细接口!$O121),"")</f>
      </c>
      <c r="U121" s="212">
        <f>IFERROR(IF([1]对账明细接口!$P121=0,"",[1]对账明细接口!$P121),"")</f>
      </c>
      <c r="V121" s="212">
        <f>IFERROR(IF([1]对账明细接口!$Q121=0,"",[1]对账明细接口!$Q121),"")</f>
        <v>68</v>
      </c>
      <c r="W121" s="20" t="str">
        <f>IFERROR(IF([1]对账明细接口!$R121=0,"",[1]对账明细接口!$R121),"")</f>
        <v>苏M*7G796</v>
      </c>
      <c r="X121" s="20" t="str">
        <f>IFERROR(IF([1]对账明细接口!$S121=0,"",[1]对账明细接口!$S121),"")</f>
        <v>自备筐</v>
      </c>
      <c r="Y121" s="20">
        <f>IFERROR(IF([1]对账明细接口!$T121=0,"",[1]对账明细接口!$T121),"")</f>
      </c>
      <c r="Z121" s="213">
        <f>IFERROR(IF([1]对账明细接口!$U121=0,"",[1]对账明细接口!$U121),"")</f>
      </c>
      <c r="AA121" s="213">
        <f>IFERROR(IF([1]对账明细接口!$V121=0,"",[1]对账明细接口!$V121),"")</f>
      </c>
      <c r="AB121" s="20">
        <f>IFERROR(IF([1]对账明细接口!$W121=0,"",[1]对账明细接口!$W121),"")</f>
      </c>
      <c r="AC121" s="7">
        <f>IFERROR(IF([1]对账明细接口!$X121=0,"",[1]对账明细接口!$X121),"")</f>
      </c>
      <c r="AD121" s="7">
        <f>IFERROR(IF([1]对账明细接口!$Y121=0,"",[1]对账明细接口!$Y121),"")</f>
      </c>
      <c r="AE121" s="7">
        <f>IFERROR(IF([1]对账明细接口!$AA121=0,"",[1]对账明细接口!$AA121),"")</f>
      </c>
      <c r="AF121" s="7">
        <f>IFERROR(IF([1]对账明细接口!$AB121=0,"",[1]对账明细接口!$AB121),"")</f>
      </c>
      <c r="AG121" s="7">
        <f>IFERROR(IF([1]对账明细接口!$AC121=0,"",[1]对账明细接口!$AC121),"")</f>
      </c>
      <c r="AH121" s="7">
        <f>IFERROR(IF([1]对账明细接口!$AD121=0,"",[1]对账明细接口!$AD121),"")</f>
      </c>
      <c r="AI121" s="7">
        <f>IFERROR(IF([1]对账明细接口!$AE121=0,"",[1]对账明细接口!$AE121),"")</f>
      </c>
      <c r="AJ121" s="7">
        <f>IFERROR(IF([1]对账明细接口!$AF121=0,"",[1]对账明细接口!$AF121),"")</f>
      </c>
    </row>
    <row r="122" ht="14.25" customHeight="1" s="127">
      <c r="A122" s="14" t="n">
        <v>122</v>
      </c>
      <c r="B122" s="211">
        <f>IFERROR(IF([1]对账明细接口!$B$122=0,"",[1]对账明细接口!$B$122),"")</f>
        <v>46259.0</v>
      </c>
      <c r="C122" s="16" t="str">
        <f>IFERROR(IF([1]对账明细接口!$C$122=0,"",[1]对账明细接口!$C$122),"")</f>
        <v>聂新平</v>
      </c>
      <c r="D122" s="16" t="str">
        <f>IFERROR(IF([1]对账明细接口!$D$122=0,"",[1]对账明细接口!$D$122),"")</f>
        <v>原料入库</v>
      </c>
      <c r="E122" s="16" t="str">
        <f>IFERROR(IF([1]对账明细接口!$E$122=0,"",[1]对账明细接口!$E$122),"")</f>
        <v>NO:0000728</v>
      </c>
      <c r="F122" s="16" t="str">
        <f>IFERROR(IF([1]对账明细接口!$F$122=0,"",[1]对账明细接口!$F$122),"")</f>
        <v>西梅</v>
      </c>
      <c r="G122" s="16" t="str">
        <f>IFERROR(IF([1]对账明细接口!$G$122=0,"",[1]对账明细接口!$G$122),"")</f>
        <v>西梅一级</v>
      </c>
      <c r="H122" s="176">
        <f>IFERROR(IF([1]对账明细接口!$H$122=0,"",[1]对账明细接口!$H$122),"")</f>
        <v>50</v>
      </c>
      <c r="I122" s="16" t="str">
        <f>IFERROR(IF([1]对账明细接口!$I$122=0,"",[1]对账明细接口!$I$122),"")</f>
        <v>筐</v>
      </c>
      <c r="J122" s="177">
        <f>IFERROR(IF([1]对账明细接口!$J$122=0,"",[1]对账明细接口!$J$122),"")</f>
        <v>350</v>
      </c>
      <c r="K122" s="177">
        <f>IFERROR(IF([1]对账明细接口!$K$122=0,"",[1]对账明细接口!$K$122),"")</f>
      </c>
      <c r="L122" s="16">
        <f>IFERROR(IF([1]对账明细接口!$L$122=0,"",[1]对账明细接口!$L$122),"")</f>
      </c>
      <c r="M122" s="16">
        <f>IFERROR(IF([1]对账明细接口!$M$122=0,"",[1]对账明细接口!$M$122),"")</f>
      </c>
      <c r="N122" s="19">
        <f>IF($C122="",0,1)</f>
        <v>1</v>
      </c>
      <c r="O122" s="19">
        <f>N(O121)+$N122</f>
        <v>119</v>
      </c>
      <c r="S122" s="20" t="str">
        <f>IFERROR(IF([1]对账明细接口!$N122=0,"",[1]对账明细接口!$N122),"")</f>
        <v>自备一次性筐</v>
      </c>
      <c r="T122" s="212">
        <f>IFERROR(IF([1]对账明细接口!$O122=0,"",[1]对账明细接口!$O122),"")</f>
      </c>
      <c r="U122" s="212">
        <f>IFERROR(IF([1]对账明细接口!$P122=0,"",[1]对账明细接口!$P122),"")</f>
      </c>
      <c r="V122" s="212">
        <f>IFERROR(IF([1]对账明细接口!$Q122=0,"",[1]对账明细接口!$Q122),"")</f>
        <v>50</v>
      </c>
      <c r="W122" s="20" t="str">
        <f>IFERROR(IF([1]对账明细接口!$R122=0,"",[1]对账明细接口!$R122),"")</f>
        <v>苏M*7G796</v>
      </c>
      <c r="X122" s="20" t="str">
        <f>IFERROR(IF([1]对账明细接口!$S122=0,"",[1]对账明细接口!$S122),"")</f>
        <v>自备筐</v>
      </c>
      <c r="Y122" s="20">
        <f>IFERROR(IF([1]对账明细接口!$T122=0,"",[1]对账明细接口!$T122),"")</f>
      </c>
      <c r="Z122" s="213">
        <f>IFERROR(IF([1]对账明细接口!$U122=0,"",[1]对账明细接口!$U122),"")</f>
      </c>
      <c r="AA122" s="213">
        <f>IFERROR(IF([1]对账明细接口!$V122=0,"",[1]对账明细接口!$V122),"")</f>
      </c>
      <c r="AB122" s="20">
        <f>IFERROR(IF([1]对账明细接口!$W122=0,"",[1]对账明细接口!$W122),"")</f>
      </c>
      <c r="AC122" s="7">
        <f>IFERROR(IF([1]对账明细接口!$X122=0,"",[1]对账明细接口!$X122),"")</f>
      </c>
      <c r="AD122" s="7">
        <f>IFERROR(IF([1]对账明细接口!$Y122=0,"",[1]对账明细接口!$Y122),"")</f>
      </c>
      <c r="AE122" s="7">
        <f>IFERROR(IF([1]对账明细接口!$AA122=0,"",[1]对账明细接口!$AA122),"")</f>
      </c>
      <c r="AF122" s="7">
        <f>IFERROR(IF([1]对账明细接口!$AB122=0,"",[1]对账明细接口!$AB122),"")</f>
      </c>
      <c r="AG122" s="7">
        <f>IFERROR(IF([1]对账明细接口!$AC122=0,"",[1]对账明细接口!$AC122),"")</f>
      </c>
      <c r="AH122" s="7">
        <f>IFERROR(IF([1]对账明细接口!$AD122=0,"",[1]对账明细接口!$AD122),"")</f>
      </c>
      <c r="AI122" s="7">
        <f>IFERROR(IF([1]对账明细接口!$AE122=0,"",[1]对账明细接口!$AE122),"")</f>
      </c>
      <c r="AJ122" s="7">
        <f>IFERROR(IF([1]对账明细接口!$AF122=0,"",[1]对账明细接口!$AF122),"")</f>
      </c>
    </row>
    <row r="123" ht="14.25" customHeight="1" s="127">
      <c r="A123" s="14" t="n">
        <v>123</v>
      </c>
      <c r="B123" s="211">
        <f>IFERROR(IF([1]对账明细接口!$B$123=0,"",[1]对账明细接口!$B$123),"")</f>
        <v>46259.0</v>
      </c>
      <c r="C123" s="16" t="str">
        <f>IFERROR(IF([1]对账明细接口!$C$123=0,"",[1]对账明细接口!$C$123),"")</f>
        <v>聂新平</v>
      </c>
      <c r="D123" s="16" t="str">
        <f>IFERROR(IF([1]对账明细接口!$D$123=0,"",[1]对账明细接口!$D$123),"")</f>
        <v>原料入库</v>
      </c>
      <c r="E123" s="16" t="str">
        <f>IFERROR(IF([1]对账明细接口!$E$123=0,"",[1]对账明细接口!$E$123),"")</f>
        <v>NO:0000728</v>
      </c>
      <c r="F123" s="16" t="str">
        <f>IFERROR(IF([1]对账明细接口!$F$123=0,"",[1]对账明细接口!$F$123),"")</f>
        <v>西梅</v>
      </c>
      <c r="G123" s="16" t="str">
        <f>IFERROR(IF([1]对账明细接口!$G$123=0,"",[1]对账明细接口!$G$123),"")</f>
        <v>西梅二级</v>
      </c>
      <c r="H123" s="176">
        <f>IFERROR(IF([1]对账明细接口!$H$123=0,"",[1]对账明细接口!$H$123),"")</f>
        <v>12</v>
      </c>
      <c r="I123" s="16" t="str">
        <f>IFERROR(IF([1]对账明细接口!$I$123=0,"",[1]对账明细接口!$I$123),"")</f>
        <v>筐</v>
      </c>
      <c r="J123" s="177">
        <f>IFERROR(IF([1]对账明细接口!$J$123=0,"",[1]对账明细接口!$J$123),"")</f>
        <v>144</v>
      </c>
      <c r="K123" s="177">
        <f>IFERROR(IF([1]对账明细接口!$K$123=0,"",[1]对账明细接口!$K$123),"")</f>
      </c>
      <c r="L123" s="16">
        <f>IFERROR(IF([1]对账明细接口!$L$123=0,"",[1]对账明细接口!$L$123),"")</f>
      </c>
      <c r="M123" s="16">
        <f>IFERROR(IF([1]对账明细接口!$M$123=0,"",[1]对账明细接口!$M$123),"")</f>
      </c>
      <c r="N123" s="19">
        <f>IF($C123="",0,1)</f>
        <v>1</v>
      </c>
      <c r="O123" s="19">
        <f>N(O122)+$N123</f>
        <v>120</v>
      </c>
      <c r="S123" s="20" t="str">
        <f>IFERROR(IF([1]对账明细接口!$N123=0,"",[1]对账明细接口!$N123),"")</f>
        <v>自备一次性筐</v>
      </c>
      <c r="T123" s="212">
        <f>IFERROR(IF([1]对账明细接口!$O123=0,"",[1]对账明细接口!$O123),"")</f>
      </c>
      <c r="U123" s="212">
        <f>IFERROR(IF([1]对账明细接口!$P123=0,"",[1]对账明细接口!$P123),"")</f>
      </c>
      <c r="V123" s="212">
        <f>IFERROR(IF([1]对账明细接口!$Q123=0,"",[1]对账明细接口!$Q123),"")</f>
        <v>12</v>
      </c>
      <c r="W123" s="20" t="str">
        <f>IFERROR(IF([1]对账明细接口!$R123=0,"",[1]对账明细接口!$R123),"")</f>
        <v>苏M*7G796</v>
      </c>
      <c r="X123" s="20" t="str">
        <f>IFERROR(IF([1]对账明细接口!$S123=0,"",[1]对账明细接口!$S123),"")</f>
        <v>自备筐</v>
      </c>
      <c r="Y123" s="20">
        <f>IFERROR(IF([1]对账明细接口!$T123=0,"",[1]对账明细接口!$T123),"")</f>
      </c>
      <c r="Z123" s="213">
        <f>IFERROR(IF([1]对账明细接口!$U123=0,"",[1]对账明细接口!$U123),"")</f>
      </c>
      <c r="AA123" s="213">
        <f>IFERROR(IF([1]对账明细接口!$V123=0,"",[1]对账明细接口!$V123),"")</f>
      </c>
      <c r="AB123" s="20">
        <f>IFERROR(IF([1]对账明细接口!$W123=0,"",[1]对账明细接口!$W123),"")</f>
      </c>
      <c r="AC123" s="7">
        <f>IFERROR(IF([1]对账明细接口!$X123=0,"",[1]对账明细接口!$X123),"")</f>
      </c>
      <c r="AD123" s="7">
        <f>IFERROR(IF([1]对账明细接口!$Y123=0,"",[1]对账明细接口!$Y123),"")</f>
      </c>
      <c r="AE123" s="7">
        <f>IFERROR(IF([1]对账明细接口!$AA123=0,"",[1]对账明细接口!$AA123),"")</f>
      </c>
      <c r="AF123" s="7">
        <f>IFERROR(IF([1]对账明细接口!$AB123=0,"",[1]对账明细接口!$AB123),"")</f>
      </c>
      <c r="AG123" s="7">
        <f>IFERROR(IF([1]对账明细接口!$AC123=0,"",[1]对账明细接口!$AC123),"")</f>
      </c>
      <c r="AH123" s="7">
        <f>IFERROR(IF([1]对账明细接口!$AD123=0,"",[1]对账明细接口!$AD123),"")</f>
      </c>
      <c r="AI123" s="7">
        <f>IFERROR(IF([1]对账明细接口!$AE123=0,"",[1]对账明细接口!$AE123),"")</f>
      </c>
      <c r="AJ123" s="7">
        <f>IFERROR(IF([1]对账明细接口!$AF123=0,"",[1]对账明细接口!$AF123),"")</f>
      </c>
    </row>
    <row r="124" ht="14.25" customHeight="1" s="127">
      <c r="A124" s="14" t="n">
        <v>124</v>
      </c>
      <c r="B124" s="211">
        <f>IFERROR(IF([1]对账明细接口!$B$124=0,"",[1]对账明细接口!$B$124),"")</f>
        <v>46259.0</v>
      </c>
      <c r="C124" s="16" t="str">
        <f>IFERROR(IF([1]对账明细接口!$C$124=0,"",[1]对账明细接口!$C$124),"")</f>
        <v>聂新平</v>
      </c>
      <c r="D124" s="16" t="str">
        <f>IFERROR(IF([1]对账明细接口!$D$124=0,"",[1]对账明细接口!$D$124),"")</f>
        <v>原料入库</v>
      </c>
      <c r="E124" s="16" t="str">
        <f>IFERROR(IF([1]对账明细接口!$E$124=0,"",[1]对账明细接口!$E$124),"")</f>
        <v>NO:0000728</v>
      </c>
      <c r="F124" s="16" t="str">
        <f>IFERROR(IF([1]对账明细接口!$F$124=0,"",[1]对账明细接口!$F$124),"")</f>
        <v>西梅</v>
      </c>
      <c r="G124" s="16" t="str">
        <f>IFERROR(IF([1]对账明细接口!$G$124=0,"",[1]对账明细接口!$G$124),"")</f>
        <v>西梅二级</v>
      </c>
      <c r="H124" s="176">
        <f>IFERROR(IF([1]对账明细接口!$H$124=0,"",[1]对账明细接口!$H$124),"")</f>
        <v>312</v>
      </c>
      <c r="I124" s="16" t="str">
        <f>IFERROR(IF([1]对账明细接口!$I$124=0,"",[1]对账明细接口!$I$124),"")</f>
        <v>筐</v>
      </c>
      <c r="J124" s="177">
        <f>IFERROR(IF([1]对账明细接口!$J$124=0,"",[1]对账明细接口!$J$124),"")</f>
        <v>624</v>
      </c>
      <c r="K124" s="177">
        <f>IFERROR(IF([1]对账明细接口!$K$124=0,"",[1]对账明细接口!$K$124),"")</f>
      </c>
      <c r="L124" s="16">
        <f>IFERROR(IF([1]对账明细接口!$L$124=0,"",[1]对账明细接口!$L$124),"")</f>
      </c>
      <c r="M124" s="16">
        <f>IFERROR(IF([1]对账明细接口!$M$124=0,"",[1]对账明细接口!$M$124),"")</f>
      </c>
      <c r="N124" s="19">
        <f>IF($C124="",0,1)</f>
        <v>1</v>
      </c>
      <c r="O124" s="19">
        <f>N(O123)+$N124</f>
        <v>121</v>
      </c>
      <c r="S124" s="20" t="str">
        <f>IFERROR(IF([1]对账明细接口!$N124=0,"",[1]对账明细接口!$N124),"")</f>
        <v>自备一次性筐</v>
      </c>
      <c r="T124" s="212">
        <f>IFERROR(IF([1]对账明细接口!$O124=0,"",[1]对账明细接口!$O124),"")</f>
      </c>
      <c r="U124" s="212">
        <f>IFERROR(IF([1]对账明细接口!$P124=0,"",[1]对账明细接口!$P124),"")</f>
      </c>
      <c r="V124" s="212">
        <f>IFERROR(IF([1]对账明细接口!$Q124=0,"",[1]对账明细接口!$Q124),"")</f>
        <v>312</v>
      </c>
      <c r="W124" s="20" t="str">
        <f>IFERROR(IF([1]对账明细接口!$R124=0,"",[1]对账明细接口!$R124),"")</f>
        <v>苏M*7G796</v>
      </c>
      <c r="X124" s="20" t="str">
        <f>IFERROR(IF([1]对账明细接口!$S124=0,"",[1]对账明细接口!$S124),"")</f>
        <v>自备筐</v>
      </c>
      <c r="Y124" s="20">
        <f>IFERROR(IF([1]对账明细接口!$T124=0,"",[1]对账明细接口!$T124),"")</f>
      </c>
      <c r="Z124" s="213">
        <f>IFERROR(IF([1]对账明细接口!$U124=0,"",[1]对账明细接口!$U124),"")</f>
      </c>
      <c r="AA124" s="213">
        <f>IFERROR(IF([1]对账明细接口!$V124=0,"",[1]对账明细接口!$V124),"")</f>
      </c>
      <c r="AB124" s="20">
        <f>IFERROR(IF([1]对账明细接口!$W124=0,"",[1]对账明细接口!$W124),"")</f>
      </c>
      <c r="AC124" s="7">
        <f>IFERROR(IF([1]对账明细接口!$X124=0,"",[1]对账明细接口!$X124),"")</f>
      </c>
      <c r="AD124" s="7">
        <f>IFERROR(IF([1]对账明细接口!$Y124=0,"",[1]对账明细接口!$Y124),"")</f>
      </c>
      <c r="AE124" s="7">
        <f>IFERROR(IF([1]对账明细接口!$AA124=0,"",[1]对账明细接口!$AA124),"")</f>
      </c>
      <c r="AF124" s="7">
        <f>IFERROR(IF([1]对账明细接口!$AB124=0,"",[1]对账明细接口!$AB124),"")</f>
      </c>
      <c r="AG124" s="7">
        <f>IFERROR(IF([1]对账明细接口!$AC124=0,"",[1]对账明细接口!$AC124),"")</f>
      </c>
      <c r="AH124" s="7">
        <f>IFERROR(IF([1]对账明细接口!$AD124=0,"",[1]对账明细接口!$AD124),"")</f>
      </c>
      <c r="AI124" s="7">
        <f>IFERROR(IF([1]对账明细接口!$AE124=0,"",[1]对账明细接口!$AE124),"")</f>
      </c>
      <c r="AJ124" s="7">
        <f>IFERROR(IF([1]对账明细接口!$AF124=0,"",[1]对账明细接口!$AF124),"")</f>
      </c>
    </row>
    <row r="125" ht="14.25" customHeight="1" s="127">
      <c r="A125" s="14" t="n">
        <v>125</v>
      </c>
      <c r="B125" s="211">
        <f>IFERROR(IF([1]对账明细接口!$B$125=0,"",[1]对账明细接口!$B$125),"")</f>
        <v>46260.0</v>
      </c>
      <c r="C125" s="16" t="str">
        <f>IFERROR(IF([1]对账明细接口!$C$125=0,"",[1]对账明细接口!$C$125),"")</f>
        <v>聂新平</v>
      </c>
      <c r="D125" s="16" t="str">
        <f>IFERROR(IF([1]对账明细接口!$D$125=0,"",[1]对账明细接口!$D$125),"")</f>
        <v>原料入库</v>
      </c>
      <c r="E125" s="16" t="str">
        <f>IFERROR(IF([1]对账明细接口!$E$125=0,"",[1]对账明细接口!$E$125),"")</f>
        <v>NO:0000730</v>
      </c>
      <c r="F125" s="16" t="str">
        <f>IFERROR(IF([1]对账明细接口!$F$125=0,"",[1]对账明细接口!$F$125),"")</f>
        <v>西梅</v>
      </c>
      <c r="G125" s="16" t="str">
        <f>IFERROR(IF([1]对账明细接口!$G$125=0,"",[1]对账明细接口!$G$125),"")</f>
        <v>西梅一级</v>
      </c>
      <c r="H125" s="176">
        <f>IFERROR(IF([1]对账明细接口!$H$125=0,"",[1]对账明细接口!$H$125),"")</f>
        <v>20</v>
      </c>
      <c r="I125" s="16" t="str">
        <f>IFERROR(IF([1]对账明细接口!$I$125=0,"",[1]对账明细接口!$I$125),"")</f>
        <v>筐</v>
      </c>
      <c r="J125" s="177">
        <f>IFERROR(IF([1]对账明细接口!$J$125=0,"",[1]对账明细接口!$J$125),"")</f>
        <v>140</v>
      </c>
      <c r="K125" s="177">
        <f>IFERROR(IF([1]对账明细接口!$K$125=0,"",[1]对账明细接口!$K$125),"")</f>
      </c>
      <c r="L125" s="16">
        <f>IFERROR(IF([1]对账明细接口!$L$125=0,"",[1]对账明细接口!$L$125),"")</f>
      </c>
      <c r="M125" s="16">
        <f>IFERROR(IF([1]对账明细接口!$M$125=0,"",[1]对账明细接口!$M$125),"")</f>
      </c>
      <c r="N125" s="19">
        <f>IF($C125="",0,1)</f>
        <v>1</v>
      </c>
      <c r="O125" s="19">
        <f>N(O124)+$N125</f>
        <v>122</v>
      </c>
      <c r="S125" s="20" t="str">
        <f>IFERROR(IF([1]对账明细接口!$N125=0,"",[1]对账明细接口!$N125),"")</f>
        <v>自备一次性筐</v>
      </c>
      <c r="T125" s="212">
        <f>IFERROR(IF([1]对账明细接口!$O125=0,"",[1]对账明细接口!$O125),"")</f>
      </c>
      <c r="U125" s="212">
        <f>IFERROR(IF([1]对账明细接口!$P125=0,"",[1]对账明细接口!$P125),"")</f>
      </c>
      <c r="V125" s="212">
        <f>IFERROR(IF([1]对账明细接口!$Q125=0,"",[1]对账明细接口!$Q125),"")</f>
        <v>20</v>
      </c>
      <c r="W125" s="20" t="str">
        <f>IFERROR(IF([1]对账明细接口!$R125=0,"",[1]对账明细接口!$R125),"")</f>
        <v>苏M*7G796</v>
      </c>
      <c r="X125" s="20" t="str">
        <f>IFERROR(IF([1]对账明细接口!$S125=0,"",[1]对账明细接口!$S125),"")</f>
        <v>自备筐</v>
      </c>
      <c r="Y125" s="20">
        <f>IFERROR(IF([1]对账明细接口!$T125=0,"",[1]对账明细接口!$T125),"")</f>
      </c>
      <c r="Z125" s="213">
        <f>IFERROR(IF([1]对账明细接口!$U125=0,"",[1]对账明细接口!$U125),"")</f>
      </c>
      <c r="AA125" s="213">
        <f>IFERROR(IF([1]对账明细接口!$V125=0,"",[1]对账明细接口!$V125),"")</f>
      </c>
      <c r="AB125" s="20">
        <f>IFERROR(IF([1]对账明细接口!$W125=0,"",[1]对账明细接口!$W125),"")</f>
      </c>
      <c r="AC125" s="7">
        <f>IFERROR(IF([1]对账明细接口!$X125=0,"",[1]对账明细接口!$X125),"")</f>
      </c>
      <c r="AD125" s="7">
        <f>IFERROR(IF([1]对账明细接口!$Y125=0,"",[1]对账明细接口!$Y125),"")</f>
      </c>
      <c r="AE125" s="7">
        <f>IFERROR(IF([1]对账明细接口!$AA125=0,"",[1]对账明细接口!$AA125),"")</f>
      </c>
      <c r="AF125" s="7">
        <f>IFERROR(IF([1]对账明细接口!$AB125=0,"",[1]对账明细接口!$AB125),"")</f>
      </c>
      <c r="AG125" s="7">
        <f>IFERROR(IF([1]对账明细接口!$AC125=0,"",[1]对账明细接口!$AC125),"")</f>
      </c>
      <c r="AH125" s="7">
        <f>IFERROR(IF([1]对账明细接口!$AD125=0,"",[1]对账明细接口!$AD125),"")</f>
      </c>
      <c r="AI125" s="7">
        <f>IFERROR(IF([1]对账明细接口!$AE125=0,"",[1]对账明细接口!$AE125),"")</f>
      </c>
      <c r="AJ125" s="7">
        <f>IFERROR(IF([1]对账明细接口!$AF125=0,"",[1]对账明细接口!$AF125),"")</f>
      </c>
    </row>
    <row r="126" ht="14.25" customHeight="1" s="127">
      <c r="A126" s="14" t="n">
        <v>126</v>
      </c>
      <c r="B126" s="211">
        <f>IFERROR(IF([1]对账明细接口!$B$126=0,"",[1]对账明细接口!$B$126),"")</f>
        <v>46260.0</v>
      </c>
      <c r="C126" s="16" t="str">
        <f>IFERROR(IF([1]对账明细接口!$C$126=0,"",[1]对账明细接口!$C$126),"")</f>
        <v>聂新平</v>
      </c>
      <c r="D126" s="16" t="str">
        <f>IFERROR(IF([1]对账明细接口!$D$126=0,"",[1]对账明细接口!$D$126),"")</f>
        <v>原料入库</v>
      </c>
      <c r="E126" s="16" t="str">
        <f>IFERROR(IF([1]对账明细接口!$E$126=0,"",[1]对账明细接口!$E$126),"")</f>
        <v>NO:0000730</v>
      </c>
      <c r="F126" s="16" t="str">
        <f>IFERROR(IF([1]对账明细接口!$F$126=0,"",[1]对账明细接口!$F$126),"")</f>
        <v>西梅</v>
      </c>
      <c r="G126" s="16" t="str">
        <f>IFERROR(IF([1]对账明细接口!$G$126=0,"",[1]对账明细接口!$G$126),"")</f>
        <v>西梅二级</v>
      </c>
      <c r="H126" s="176">
        <f>IFERROR(IF([1]对账明细接口!$H$126=0,"",[1]对账明细接口!$H$126),"")</f>
        <v>222</v>
      </c>
      <c r="I126" s="16" t="str">
        <f>IFERROR(IF([1]对账明细接口!$I$126=0,"",[1]对账明细接口!$I$126),"")</f>
        <v>筐</v>
      </c>
      <c r="J126" s="177">
        <f>IFERROR(IF([1]对账明细接口!$J$126=0,"",[1]对账明细接口!$J$126),"")</f>
        <v>444</v>
      </c>
      <c r="K126" s="177">
        <f>IFERROR(IF([1]对账明细接口!$K$126=0,"",[1]对账明细接口!$K$126),"")</f>
      </c>
      <c r="L126" s="16">
        <f>IFERROR(IF([1]对账明细接口!$L$126=0,"",[1]对账明细接口!$L$126),"")</f>
      </c>
      <c r="M126" s="16">
        <f>IFERROR(IF([1]对账明细接口!$M$126=0,"",[1]对账明细接口!$M$126),"")</f>
      </c>
      <c r="N126" s="19">
        <f>IF($C126="",0,1)</f>
        <v>1</v>
      </c>
      <c r="O126" s="19">
        <f>N(O125)+$N126</f>
        <v>123</v>
      </c>
      <c r="S126" s="20" t="str">
        <f>IFERROR(IF([1]对账明细接口!$N126=0,"",[1]对账明细接口!$N126),"")</f>
        <v>自备一次性筐</v>
      </c>
      <c r="T126" s="212">
        <f>IFERROR(IF([1]对账明细接口!$O126=0,"",[1]对账明细接口!$O126),"")</f>
      </c>
      <c r="U126" s="212">
        <f>IFERROR(IF([1]对账明细接口!$P126=0,"",[1]对账明细接口!$P126),"")</f>
      </c>
      <c r="V126" s="212">
        <f>IFERROR(IF([1]对账明细接口!$Q126=0,"",[1]对账明细接口!$Q126),"")</f>
        <v>222</v>
      </c>
      <c r="W126" s="20" t="str">
        <f>IFERROR(IF([1]对账明细接口!$R126=0,"",[1]对账明细接口!$R126),"")</f>
        <v>苏M*7G796</v>
      </c>
      <c r="X126" s="20" t="str">
        <f>IFERROR(IF([1]对账明细接口!$S126=0,"",[1]对账明细接口!$S126),"")</f>
        <v>自备筐</v>
      </c>
      <c r="Y126" s="20">
        <f>IFERROR(IF([1]对账明细接口!$T126=0,"",[1]对账明细接口!$T126),"")</f>
      </c>
      <c r="Z126" s="213">
        <f>IFERROR(IF([1]对账明细接口!$U126=0,"",[1]对账明细接口!$U126),"")</f>
      </c>
      <c r="AA126" s="213">
        <f>IFERROR(IF([1]对账明细接口!$V126=0,"",[1]对账明细接口!$V126),"")</f>
      </c>
      <c r="AB126" s="20">
        <f>IFERROR(IF([1]对账明细接口!$W126=0,"",[1]对账明细接口!$W126),"")</f>
      </c>
      <c r="AC126" s="7">
        <f>IFERROR(IF([1]对账明细接口!$X126=0,"",[1]对账明细接口!$X126),"")</f>
      </c>
      <c r="AD126" s="7">
        <f>IFERROR(IF([1]对账明细接口!$Y126=0,"",[1]对账明细接口!$Y126),"")</f>
      </c>
      <c r="AE126" s="7">
        <f>IFERROR(IF([1]对账明细接口!$AA126=0,"",[1]对账明细接口!$AA126),"")</f>
      </c>
      <c r="AF126" s="7">
        <f>IFERROR(IF([1]对账明细接口!$AB126=0,"",[1]对账明细接口!$AB126),"")</f>
      </c>
      <c r="AG126" s="7">
        <f>IFERROR(IF([1]对账明细接口!$AC126=0,"",[1]对账明细接口!$AC126),"")</f>
      </c>
      <c r="AH126" s="7">
        <f>IFERROR(IF([1]对账明细接口!$AD126=0,"",[1]对账明细接口!$AD126),"")</f>
      </c>
      <c r="AI126" s="7">
        <f>IFERROR(IF([1]对账明细接口!$AE126=0,"",[1]对账明细接口!$AE126),"")</f>
      </c>
      <c r="AJ126" s="7">
        <f>IFERROR(IF([1]对账明细接口!$AF126=0,"",[1]对账明细接口!$AF126),"")</f>
      </c>
    </row>
    <row r="127" ht="14.25" customHeight="1" s="127">
      <c r="A127" s="14" t="n">
        <v>127</v>
      </c>
      <c r="B127" s="211">
        <f>IFERROR(IF([1]对账明细接口!$B$127=0,"",[1]对账明细接口!$B$127),"")</f>
        <v>46260.0</v>
      </c>
      <c r="C127" s="16" t="str">
        <f>IFERROR(IF([1]对账明细接口!$C$127=0,"",[1]对账明细接口!$C$127),"")</f>
        <v>聂新平</v>
      </c>
      <c r="D127" s="16" t="str">
        <f>IFERROR(IF([1]对账明细接口!$D$127=0,"",[1]对账明细接口!$D$127),"")</f>
        <v>原料入库</v>
      </c>
      <c r="E127" s="16" t="str">
        <f>IFERROR(IF([1]对账明细接口!$E$127=0,"",[1]对账明细接口!$E$127),"")</f>
        <v>NO:0000730</v>
      </c>
      <c r="F127" s="16" t="str">
        <f>IFERROR(IF([1]对账明细接口!$F$127=0,"",[1]对账明细接口!$F$127),"")</f>
        <v>西梅</v>
      </c>
      <c r="G127" s="16" t="str">
        <f>IFERROR(IF([1]对账明细接口!$G$127=0,"",[1]对账明细接口!$G$127),"")</f>
        <v>西梅三级</v>
      </c>
      <c r="H127" s="176">
        <f>IFERROR(IF([1]对账明细接口!$H$127=0,"",[1]对账明细接口!$H$127),"")</f>
        <v>243</v>
      </c>
      <c r="I127" s="16" t="str">
        <f>IFERROR(IF([1]对账明细接口!$I$127=0,"",[1]对账明细接口!$I$127),"")</f>
        <v>筐</v>
      </c>
      <c r="J127" s="177">
        <f>IFERROR(IF([1]对账明细接口!$J$127=0,"",[1]对账明细接口!$J$127),"")</f>
        <v>486</v>
      </c>
      <c r="K127" s="177">
        <f>IFERROR(IF([1]对账明细接口!$K$127=0,"",[1]对账明细接口!$K$127),"")</f>
      </c>
      <c r="L127" s="16">
        <f>IFERROR(IF([1]对账明细接口!$L$127=0,"",[1]对账明细接口!$L$127),"")</f>
      </c>
      <c r="M127" s="16">
        <f>IFERROR(IF([1]对账明细接口!$M$127=0,"",[1]对账明细接口!$M$127),"")</f>
      </c>
      <c r="N127" s="19">
        <f>IF($C127="",0,1)</f>
        <v>1</v>
      </c>
      <c r="O127" s="19">
        <f>N(O126)+$N127</f>
        <v>124</v>
      </c>
      <c r="S127" s="20" t="str">
        <f>IFERROR(IF([1]对账明细接口!$N127=0,"",[1]对账明细接口!$N127),"")</f>
        <v>自备一次性筐</v>
      </c>
      <c r="T127" s="212">
        <f>IFERROR(IF([1]对账明细接口!$O127=0,"",[1]对账明细接口!$O127),"")</f>
      </c>
      <c r="U127" s="212">
        <f>IFERROR(IF([1]对账明细接口!$P127=0,"",[1]对账明细接口!$P127),"")</f>
      </c>
      <c r="V127" s="212">
        <f>IFERROR(IF([1]对账明细接口!$Q127=0,"",[1]对账明细接口!$Q127),"")</f>
        <v>243</v>
      </c>
      <c r="W127" s="20" t="str">
        <f>IFERROR(IF([1]对账明细接口!$R127=0,"",[1]对账明细接口!$R127),"")</f>
        <v>苏M*7G796</v>
      </c>
      <c r="X127" s="20" t="str">
        <f>IFERROR(IF([1]对账明细接口!$S127=0,"",[1]对账明细接口!$S127),"")</f>
        <v>自备筐</v>
      </c>
      <c r="Y127" s="20">
        <f>IFERROR(IF([1]对账明细接口!$T127=0,"",[1]对账明细接口!$T127),"")</f>
      </c>
      <c r="Z127" s="213">
        <f>IFERROR(IF([1]对账明细接口!$U127=0,"",[1]对账明细接口!$U127),"")</f>
      </c>
      <c r="AA127" s="213">
        <f>IFERROR(IF([1]对账明细接口!$V127=0,"",[1]对账明细接口!$V127),"")</f>
      </c>
      <c r="AB127" s="20">
        <f>IFERROR(IF([1]对账明细接口!$W127=0,"",[1]对账明细接口!$W127),"")</f>
      </c>
      <c r="AC127" s="7">
        <f>IFERROR(IF([1]对账明细接口!$X127=0,"",[1]对账明细接口!$X127),"")</f>
      </c>
      <c r="AD127" s="7">
        <f>IFERROR(IF([1]对账明细接口!$Y127=0,"",[1]对账明细接口!$Y127),"")</f>
      </c>
      <c r="AE127" s="7">
        <f>IFERROR(IF([1]对账明细接口!$AA127=0,"",[1]对账明细接口!$AA127),"")</f>
      </c>
      <c r="AF127" s="7">
        <f>IFERROR(IF([1]对账明细接口!$AB127=0,"",[1]对账明细接口!$AB127),"")</f>
      </c>
      <c r="AG127" s="7">
        <f>IFERROR(IF([1]对账明细接口!$AC127=0,"",[1]对账明细接口!$AC127),"")</f>
      </c>
      <c r="AH127" s="7">
        <f>IFERROR(IF([1]对账明细接口!$AD127=0,"",[1]对账明细接口!$AD127),"")</f>
      </c>
      <c r="AI127" s="7">
        <f>IFERROR(IF([1]对账明细接口!$AE127=0,"",[1]对账明细接口!$AE127),"")</f>
      </c>
      <c r="AJ127" s="7">
        <f>IFERROR(IF([1]对账明细接口!$AF127=0,"",[1]对账明细接口!$AF127),"")</f>
      </c>
    </row>
    <row r="128" ht="14.25" customHeight="1" s="127">
      <c r="A128" s="14" t="n">
        <v>128</v>
      </c>
      <c r="B128" s="211">
        <f>IFERROR(IF([1]对账明细接口!$B$128=0,"",[1]对账明细接口!$B$128),"")</f>
        <v>46260.0</v>
      </c>
      <c r="C128" s="16" t="str">
        <f>IFERROR(IF([1]对账明细接口!$C$128=0,"",[1]对账明细接口!$C$128),"")</f>
        <v>聂新平</v>
      </c>
      <c r="D128" s="16" t="str">
        <f>IFERROR(IF([1]对账明细接口!$D$128=0,"",[1]对账明细接口!$D$128),"")</f>
        <v>原料入库</v>
      </c>
      <c r="E128" s="16" t="str">
        <f>IFERROR(IF([1]对账明细接口!$E$128=0,"",[1]对账明细接口!$E$128),"")</f>
        <v>NO:0000731</v>
      </c>
      <c r="F128" s="16" t="str">
        <f>IFERROR(IF([1]对账明细接口!$F$128=0,"",[1]对账明细接口!$F$128),"")</f>
        <v>西梅</v>
      </c>
      <c r="G128" s="16" t="str">
        <f>IFERROR(IF([1]对账明细接口!$G$128=0,"",[1]对账明细接口!$G$128),"")</f>
        <v>西梅一级</v>
      </c>
      <c r="H128" s="176">
        <f>IFERROR(IF([1]对账明细接口!$H$128=0,"",[1]对账明细接口!$H$128),"")</f>
        <v>101</v>
      </c>
      <c r="I128" s="16" t="str">
        <f>IFERROR(IF([1]对账明细接口!$I$128=0,"",[1]对账明细接口!$I$128),"")</f>
        <v>筐</v>
      </c>
      <c r="J128" s="177">
        <f>IFERROR(IF([1]对账明细接口!$J$128=0,"",[1]对账明细接口!$J$128),"")</f>
        <v>707</v>
      </c>
      <c r="K128" s="177">
        <f>IFERROR(IF([1]对账明细接口!$K$128=0,"",[1]对账明细接口!$K$128),"")</f>
      </c>
      <c r="L128" s="16">
        <f>IFERROR(IF([1]对账明细接口!$L$128=0,"",[1]对账明细接口!$L$128),"")</f>
      </c>
      <c r="M128" s="16">
        <f>IFERROR(IF([1]对账明细接口!$M$128=0,"",[1]对账明细接口!$M$128),"")</f>
      </c>
      <c r="N128" s="19">
        <f>IF($C128="",0,1)</f>
        <v>1</v>
      </c>
      <c r="O128" s="19">
        <f>N(O127)+$N128</f>
        <v>125</v>
      </c>
      <c r="S128" s="20" t="str">
        <f>IFERROR(IF([1]对账明细接口!$N128=0,"",[1]对账明细接口!$N128),"")</f>
        <v>自备一次性筐</v>
      </c>
      <c r="T128" s="212">
        <f>IFERROR(IF([1]对账明细接口!$O128=0,"",[1]对账明细接口!$O128),"")</f>
      </c>
      <c r="U128" s="212">
        <f>IFERROR(IF([1]对账明细接口!$P128=0,"",[1]对账明细接口!$P128),"")</f>
      </c>
      <c r="V128" s="212">
        <f>IFERROR(IF([1]对账明细接口!$Q128=0,"",[1]对账明细接口!$Q128),"")</f>
        <v>101</v>
      </c>
      <c r="W128" s="20" t="str">
        <f>IFERROR(IF([1]对账明细接口!$R128=0,"",[1]对账明细接口!$R128),"")</f>
        <v>苏M*7G796</v>
      </c>
      <c r="X128" s="20" t="str">
        <f>IFERROR(IF([1]对账明细接口!$S128=0,"",[1]对账明细接口!$S128),"")</f>
        <v>自备筐</v>
      </c>
      <c r="Y128" s="20">
        <f>IFERROR(IF([1]对账明细接口!$T128=0,"",[1]对账明细接口!$T128),"")</f>
      </c>
      <c r="Z128" s="213">
        <f>IFERROR(IF([1]对账明细接口!$U128=0,"",[1]对账明细接口!$U128),"")</f>
      </c>
      <c r="AA128" s="213">
        <f>IFERROR(IF([1]对账明细接口!$V128=0,"",[1]对账明细接口!$V128),"")</f>
      </c>
      <c r="AB128" s="20">
        <f>IFERROR(IF([1]对账明细接口!$W128=0,"",[1]对账明细接口!$W128),"")</f>
      </c>
      <c r="AC128" s="7">
        <f>IFERROR(IF([1]对账明细接口!$X128=0,"",[1]对账明细接口!$X128),"")</f>
      </c>
      <c r="AD128" s="7">
        <f>IFERROR(IF([1]对账明细接口!$Y128=0,"",[1]对账明细接口!$Y128),"")</f>
      </c>
      <c r="AE128" s="7">
        <f>IFERROR(IF([1]对账明细接口!$AA128=0,"",[1]对账明细接口!$AA128),"")</f>
      </c>
      <c r="AF128" s="7">
        <f>IFERROR(IF([1]对账明细接口!$AB128=0,"",[1]对账明细接口!$AB128),"")</f>
      </c>
      <c r="AG128" s="7">
        <f>IFERROR(IF([1]对账明细接口!$AC128=0,"",[1]对账明细接口!$AC128),"")</f>
      </c>
      <c r="AH128" s="7">
        <f>IFERROR(IF([1]对账明细接口!$AD128=0,"",[1]对账明细接口!$AD128),"")</f>
      </c>
      <c r="AI128" s="7">
        <f>IFERROR(IF([1]对账明细接口!$AE128=0,"",[1]对账明细接口!$AE128),"")</f>
      </c>
      <c r="AJ128" s="7">
        <f>IFERROR(IF([1]对账明细接口!$AF128=0,"",[1]对账明细接口!$AF128),"")</f>
      </c>
    </row>
    <row r="129" ht="14.25" customHeight="1" s="127">
      <c r="A129" s="14" t="n">
        <v>129</v>
      </c>
      <c r="B129" s="211">
        <f>IFERROR(IF([1]对账明细接口!$B$129=0,"",[1]对账明细接口!$B$129),"")</f>
        <v>46260.0</v>
      </c>
      <c r="C129" s="16" t="str">
        <f>IFERROR(IF([1]对账明细接口!$C$129=0,"",[1]对账明细接口!$C$129),"")</f>
        <v>聂新平</v>
      </c>
      <c r="D129" s="16" t="str">
        <f>IFERROR(IF([1]对账明细接口!$D$129=0,"",[1]对账明细接口!$D$129),"")</f>
        <v>原料入库</v>
      </c>
      <c r="E129" s="16" t="str">
        <f>IFERROR(IF([1]对账明细接口!$E$129=0,"",[1]对账明细接口!$E$129),"")</f>
        <v>NO:0000731</v>
      </c>
      <c r="F129" s="16" t="str">
        <f>IFERROR(IF([1]对账明细接口!$F$129=0,"",[1]对账明细接口!$F$129),"")</f>
        <v>西梅</v>
      </c>
      <c r="G129" s="16" t="str">
        <f>IFERROR(IF([1]对账明细接口!$G$129=0,"",[1]对账明细接口!$G$129),"")</f>
        <v>西梅二级</v>
      </c>
      <c r="H129" s="176">
        <f>IFERROR(IF([1]对账明细接口!$H$129=0,"",[1]对账明细接口!$H$129),"")</f>
        <v>24</v>
      </c>
      <c r="I129" s="16" t="str">
        <f>IFERROR(IF([1]对账明细接口!$I$129=0,"",[1]对账明细接口!$I$129),"")</f>
        <v>筐</v>
      </c>
      <c r="J129" s="177">
        <f>IFERROR(IF([1]对账明细接口!$J$129=0,"",[1]对账明细接口!$J$129),"")</f>
        <v>288</v>
      </c>
      <c r="K129" s="177">
        <f>IFERROR(IF([1]对账明细接口!$K$129=0,"",[1]对账明细接口!$K$129),"")</f>
      </c>
      <c r="L129" s="16">
        <f>IFERROR(IF([1]对账明细接口!$L$129=0,"",[1]对账明细接口!$L$129),"")</f>
      </c>
      <c r="M129" s="16">
        <f>IFERROR(IF([1]对账明细接口!$M$129=0,"",[1]对账明细接口!$M$129),"")</f>
      </c>
      <c r="N129" s="19">
        <f>IF($C129="",0,1)</f>
        <v>1</v>
      </c>
      <c r="O129" s="19">
        <f>N(O128)+$N129</f>
        <v>126</v>
      </c>
      <c r="S129" s="20" t="str">
        <f>IFERROR(IF([1]对账明细接口!$N129=0,"",[1]对账明细接口!$N129),"")</f>
        <v>自备一次性筐</v>
      </c>
      <c r="T129" s="212">
        <f>IFERROR(IF([1]对账明细接口!$O129=0,"",[1]对账明细接口!$O129),"")</f>
      </c>
      <c r="U129" s="212">
        <f>IFERROR(IF([1]对账明细接口!$P129=0,"",[1]对账明细接口!$P129),"")</f>
      </c>
      <c r="V129" s="212">
        <f>IFERROR(IF([1]对账明细接口!$Q129=0,"",[1]对账明细接口!$Q129),"")</f>
        <v>24</v>
      </c>
      <c r="W129" s="20" t="str">
        <f>IFERROR(IF([1]对账明细接口!$R129=0,"",[1]对账明细接口!$R129),"")</f>
        <v>苏M*7G796</v>
      </c>
      <c r="X129" s="20" t="str">
        <f>IFERROR(IF([1]对账明细接口!$S129=0,"",[1]对账明细接口!$S129),"")</f>
        <v>自备筐</v>
      </c>
      <c r="Y129" s="20">
        <f>IFERROR(IF([1]对账明细接口!$T129=0,"",[1]对账明细接口!$T129),"")</f>
      </c>
      <c r="Z129" s="213">
        <f>IFERROR(IF([1]对账明细接口!$U129=0,"",[1]对账明细接口!$U129),"")</f>
      </c>
      <c r="AA129" s="213">
        <f>IFERROR(IF([1]对账明细接口!$V129=0,"",[1]对账明细接口!$V129),"")</f>
      </c>
      <c r="AB129" s="20">
        <f>IFERROR(IF([1]对账明细接口!$W129=0,"",[1]对账明细接口!$W129),"")</f>
      </c>
      <c r="AC129" s="7">
        <f>IFERROR(IF([1]对账明细接口!$X129=0,"",[1]对账明细接口!$X129),"")</f>
      </c>
      <c r="AD129" s="7">
        <f>IFERROR(IF([1]对账明细接口!$Y129=0,"",[1]对账明细接口!$Y129),"")</f>
      </c>
      <c r="AE129" s="7">
        <f>IFERROR(IF([1]对账明细接口!$AA129=0,"",[1]对账明细接口!$AA129),"")</f>
      </c>
      <c r="AF129" s="7">
        <f>IFERROR(IF([1]对账明细接口!$AB129=0,"",[1]对账明细接口!$AB129),"")</f>
      </c>
      <c r="AG129" s="7">
        <f>IFERROR(IF([1]对账明细接口!$AC129=0,"",[1]对账明细接口!$AC129),"")</f>
      </c>
      <c r="AH129" s="7">
        <f>IFERROR(IF([1]对账明细接口!$AD129=0,"",[1]对账明细接口!$AD129),"")</f>
      </c>
      <c r="AI129" s="7">
        <f>IFERROR(IF([1]对账明细接口!$AE129=0,"",[1]对账明细接口!$AE129),"")</f>
      </c>
      <c r="AJ129" s="7">
        <f>IFERROR(IF([1]对账明细接口!$AF129=0,"",[1]对账明细接口!$AF129),"")</f>
      </c>
    </row>
    <row r="130" ht="14.25" customHeight="1" s="127">
      <c r="A130" s="14" t="n">
        <v>130</v>
      </c>
      <c r="B130" s="211">
        <f>IFERROR(IF([1]对账明细接口!$B$130=0,"",[1]对账明细接口!$B$130),"")</f>
        <v>46260.0</v>
      </c>
      <c r="C130" s="16" t="str">
        <f>IFERROR(IF([1]对账明细接口!$C$130=0,"",[1]对账明细接口!$C$130),"")</f>
        <v>聂新平</v>
      </c>
      <c r="D130" s="16" t="str">
        <f>IFERROR(IF([1]对账明细接口!$D$130=0,"",[1]对账明细接口!$D$130),"")</f>
        <v>原料入库</v>
      </c>
      <c r="E130" s="16" t="str">
        <f>IFERROR(IF([1]对账明细接口!$E$130=0,"",[1]对账明细接口!$E$130),"")</f>
        <v>NO:0000731</v>
      </c>
      <c r="F130" s="16" t="str">
        <f>IFERROR(IF([1]对账明细接口!$F$130=0,"",[1]对账明细接口!$F$130),"")</f>
        <v>西梅</v>
      </c>
      <c r="G130" s="16" t="str">
        <f>IFERROR(IF([1]对账明细接口!$G$130=0,"",[1]对账明细接口!$G$130),"")</f>
        <v>西梅二级</v>
      </c>
      <c r="H130" s="176">
        <f>IFERROR(IF([1]对账明细接口!$H$130=0,"",[1]对账明细接口!$H$130),"")</f>
        <v>60</v>
      </c>
      <c r="I130" s="16" t="str">
        <f>IFERROR(IF([1]对账明细接口!$I$130=0,"",[1]对账明细接口!$I$130),"")</f>
        <v>筐</v>
      </c>
      <c r="J130" s="177">
        <f>IFERROR(IF([1]对账明细接口!$J$130=0,"",[1]对账明细接口!$J$130),"")</f>
        <v>120</v>
      </c>
      <c r="K130" s="177">
        <f>IFERROR(IF([1]对账明细接口!$K$130=0,"",[1]对账明细接口!$K$130),"")</f>
      </c>
      <c r="L130" s="16">
        <f>IFERROR(IF([1]对账明细接口!$L$130=0,"",[1]对账明细接口!$L$130),"")</f>
      </c>
      <c r="M130" s="16">
        <f>IFERROR(IF([1]对账明细接口!$M$130=0,"",[1]对账明细接口!$M$130),"")</f>
      </c>
      <c r="N130" s="19">
        <f>IF($C130="",0,1)</f>
        <v>1</v>
      </c>
      <c r="O130" s="19">
        <f>N(O129)+$N130</f>
        <v>127</v>
      </c>
      <c r="S130" s="20" t="str">
        <f>IFERROR(IF([1]对账明细接口!$N130=0,"",[1]对账明细接口!$N130),"")</f>
        <v>自备一次性筐</v>
      </c>
      <c r="T130" s="212">
        <f>IFERROR(IF([1]对账明细接口!$O130=0,"",[1]对账明细接口!$O130),"")</f>
      </c>
      <c r="U130" s="212">
        <f>IFERROR(IF([1]对账明细接口!$P130=0,"",[1]对账明细接口!$P130),"")</f>
      </c>
      <c r="V130" s="212">
        <f>IFERROR(IF([1]对账明细接口!$Q130=0,"",[1]对账明细接口!$Q130),"")</f>
        <v>60</v>
      </c>
      <c r="W130" s="20" t="str">
        <f>IFERROR(IF([1]对账明细接口!$R130=0,"",[1]对账明细接口!$R130),"")</f>
        <v>苏M*7G796</v>
      </c>
      <c r="X130" s="20" t="str">
        <f>IFERROR(IF([1]对账明细接口!$S130=0,"",[1]对账明细接口!$S130),"")</f>
        <v>自备筐</v>
      </c>
      <c r="Y130" s="20">
        <f>IFERROR(IF([1]对账明细接口!$T130=0,"",[1]对账明细接口!$T130),"")</f>
      </c>
      <c r="Z130" s="213">
        <f>IFERROR(IF([1]对账明细接口!$U130=0,"",[1]对账明细接口!$U130),"")</f>
      </c>
      <c r="AA130" s="213">
        <f>IFERROR(IF([1]对账明细接口!$V130=0,"",[1]对账明细接口!$V130),"")</f>
      </c>
      <c r="AB130" s="20">
        <f>IFERROR(IF([1]对账明细接口!$W130=0,"",[1]对账明细接口!$W130),"")</f>
      </c>
      <c r="AC130" s="7">
        <f>IFERROR(IF([1]对账明细接口!$X130=0,"",[1]对账明细接口!$X130),"")</f>
      </c>
      <c r="AD130" s="7">
        <f>IFERROR(IF([1]对账明细接口!$Y130=0,"",[1]对账明细接口!$Y130),"")</f>
      </c>
      <c r="AE130" s="7">
        <f>IFERROR(IF([1]对账明细接口!$AA130=0,"",[1]对账明细接口!$AA130),"")</f>
      </c>
      <c r="AF130" s="7">
        <f>IFERROR(IF([1]对账明细接口!$AB130=0,"",[1]对账明细接口!$AB130),"")</f>
      </c>
      <c r="AG130" s="7">
        <f>IFERROR(IF([1]对账明细接口!$AC130=0,"",[1]对账明细接口!$AC130),"")</f>
      </c>
      <c r="AH130" s="7">
        <f>IFERROR(IF([1]对账明细接口!$AD130=0,"",[1]对账明细接口!$AD130),"")</f>
      </c>
      <c r="AI130" s="7">
        <f>IFERROR(IF([1]对账明细接口!$AE130=0,"",[1]对账明细接口!$AE130),"")</f>
      </c>
      <c r="AJ130" s="7">
        <f>IFERROR(IF([1]对账明细接口!$AF130=0,"",[1]对账明细接口!$AF130),"")</f>
      </c>
    </row>
    <row r="131" ht="14.25" customHeight="1" s="127">
      <c r="A131" s="14" t="n">
        <v>131</v>
      </c>
      <c r="B131" s="211">
        <f>IFERROR(IF([1]对账明细接口!$B$131=0,"",[1]对账明细接口!$B$131),"")</f>
        <v>46260.0</v>
      </c>
      <c r="C131" s="16" t="str">
        <f>IFERROR(IF([1]对账明细接口!$C$131=0,"",[1]对账明细接口!$C$131),"")</f>
        <v>聂新平</v>
      </c>
      <c r="D131" s="16" t="str">
        <f>IFERROR(IF([1]对账明细接口!$D$131=0,"",[1]对账明细接口!$D$131),"")</f>
        <v>原料入库</v>
      </c>
      <c r="E131" s="16" t="str">
        <f>IFERROR(IF([1]对账明细接口!$E$131=0,"",[1]对账明细接口!$E$131),"")</f>
        <v>NO:0000733</v>
      </c>
      <c r="F131" s="16" t="str">
        <f>IFERROR(IF([1]对账明细接口!$F$131=0,"",[1]对账明细接口!$F$131),"")</f>
        <v>西梅</v>
      </c>
      <c r="G131" s="16" t="str">
        <f>IFERROR(IF([1]对账明细接口!$G$131=0,"",[1]对账明细接口!$G$131),"")</f>
        <v>西梅一级</v>
      </c>
      <c r="H131" s="176">
        <f>IFERROR(IF([1]对账明细接口!$H$131=0,"",[1]对账明细接口!$H$131),"")</f>
        <v>86</v>
      </c>
      <c r="I131" s="16" t="str">
        <f>IFERROR(IF([1]对账明细接口!$I$131=0,"",[1]对账明细接口!$I$131),"")</f>
        <v>筐</v>
      </c>
      <c r="J131" s="177">
        <f>IFERROR(IF([1]对账明细接口!$J$131=0,"",[1]对账明细接口!$J$131),"")</f>
        <v>602</v>
      </c>
      <c r="K131" s="177">
        <f>IFERROR(IF([1]对账明细接口!$K$131=0,"",[1]对账明细接口!$K$131),"")</f>
      </c>
      <c r="L131" s="16">
        <f>IFERROR(IF([1]对账明细接口!$L$131=0,"",[1]对账明细接口!$L$131),"")</f>
      </c>
      <c r="M131" s="16">
        <f>IFERROR(IF([1]对账明细接口!$M$131=0,"",[1]对账明细接口!$M$131),"")</f>
      </c>
      <c r="N131" s="19">
        <f>IF($C131="",0,1)</f>
        <v>1</v>
      </c>
      <c r="O131" s="19">
        <f>N(O130)+$N131</f>
        <v>128</v>
      </c>
      <c r="S131" s="20" t="str">
        <f>IFERROR(IF([1]对账明细接口!$N131=0,"",[1]对账明细接口!$N131),"")</f>
        <v>自备一次性筐</v>
      </c>
      <c r="T131" s="212">
        <f>IFERROR(IF([1]对账明细接口!$O131=0,"",[1]对账明细接口!$O131),"")</f>
      </c>
      <c r="U131" s="212">
        <f>IFERROR(IF([1]对账明细接口!$P131=0,"",[1]对账明细接口!$P131),"")</f>
      </c>
      <c r="V131" s="212">
        <f>IFERROR(IF([1]对账明细接口!$Q131=0,"",[1]对账明细接口!$Q131),"")</f>
        <v>86</v>
      </c>
      <c r="W131" s="20" t="str">
        <f>IFERROR(IF([1]对账明细接口!$R131=0,"",[1]对账明细接口!$R131),"")</f>
        <v>苏M*7G796</v>
      </c>
      <c r="X131" s="20" t="str">
        <f>IFERROR(IF([1]对账明细接口!$S131=0,"",[1]对账明细接口!$S131),"")</f>
        <v>自备筐</v>
      </c>
      <c r="Y131" s="20">
        <f>IFERROR(IF([1]对账明细接口!$T131=0,"",[1]对账明细接口!$T131),"")</f>
      </c>
      <c r="Z131" s="213">
        <f>IFERROR(IF([1]对账明细接口!$U131=0,"",[1]对账明细接口!$U131),"")</f>
      </c>
      <c r="AA131" s="213">
        <f>IFERROR(IF([1]对账明细接口!$V131=0,"",[1]对账明细接口!$V131),"")</f>
      </c>
      <c r="AB131" s="20">
        <f>IFERROR(IF([1]对账明细接口!$W131=0,"",[1]对账明细接口!$W131),"")</f>
      </c>
      <c r="AC131" s="7">
        <f>IFERROR(IF([1]对账明细接口!$X131=0,"",[1]对账明细接口!$X131),"")</f>
      </c>
      <c r="AD131" s="7">
        <f>IFERROR(IF([1]对账明细接口!$Y131=0,"",[1]对账明细接口!$Y131),"")</f>
      </c>
      <c r="AE131" s="7">
        <f>IFERROR(IF([1]对账明细接口!$AA131=0,"",[1]对账明细接口!$AA131),"")</f>
      </c>
      <c r="AF131" s="7">
        <f>IFERROR(IF([1]对账明细接口!$AB131=0,"",[1]对账明细接口!$AB131),"")</f>
      </c>
      <c r="AG131" s="7">
        <f>IFERROR(IF([1]对账明细接口!$AC131=0,"",[1]对账明细接口!$AC131),"")</f>
      </c>
      <c r="AH131" s="7">
        <f>IFERROR(IF([1]对账明细接口!$AD131=0,"",[1]对账明细接口!$AD131),"")</f>
      </c>
      <c r="AI131" s="7">
        <f>IFERROR(IF([1]对账明细接口!$AE131=0,"",[1]对账明细接口!$AE131),"")</f>
      </c>
      <c r="AJ131" s="7">
        <f>IFERROR(IF([1]对账明细接口!$AF131=0,"",[1]对账明细接口!$AF131),"")</f>
      </c>
    </row>
    <row r="132" ht="14.25" customHeight="1" s="127">
      <c r="A132" s="14" t="n">
        <v>132</v>
      </c>
      <c r="B132" s="211">
        <f>IFERROR(IF([1]对账明细接口!$B$132=0,"",[1]对账明细接口!$B$132),"")</f>
        <v>46260.0</v>
      </c>
      <c r="C132" s="16" t="str">
        <f>IFERROR(IF([1]对账明细接口!$C$132=0,"",[1]对账明细接口!$C$132),"")</f>
        <v>聂新平</v>
      </c>
      <c r="D132" s="16" t="str">
        <f>IFERROR(IF([1]对账明细接口!$D$132=0,"",[1]对账明细接口!$D$132),"")</f>
        <v>原料入库</v>
      </c>
      <c r="E132" s="16" t="str">
        <f>IFERROR(IF([1]对账明细接口!$E$132=0,"",[1]对账明细接口!$E$132),"")</f>
        <v>NO:0000733</v>
      </c>
      <c r="F132" s="16" t="str">
        <f>IFERROR(IF([1]对账明细接口!$F$132=0,"",[1]对账明细接口!$F$132),"")</f>
        <v>西梅</v>
      </c>
      <c r="G132" s="16" t="str">
        <f>IFERROR(IF([1]对账明细接口!$G$132=0,"",[1]对账明细接口!$G$132),"")</f>
        <v>西梅二级</v>
      </c>
      <c r="H132" s="176">
        <f>IFERROR(IF([1]对账明细接口!$H$132=0,"",[1]对账明细接口!$H$132),"")</f>
        <v>54</v>
      </c>
      <c r="I132" s="16" t="str">
        <f>IFERROR(IF([1]对账明细接口!$I$132=0,"",[1]对账明细接口!$I$132),"")</f>
        <v>筐</v>
      </c>
      <c r="J132" s="177">
        <f>IFERROR(IF([1]对账明细接口!$J$132=0,"",[1]对账明细接口!$J$132),"")</f>
        <v>648</v>
      </c>
      <c r="K132" s="177">
        <f>IFERROR(IF([1]对账明细接口!$K$132=0,"",[1]对账明细接口!$K$132),"")</f>
      </c>
      <c r="L132" s="16">
        <f>IFERROR(IF([1]对账明细接口!$L$132=0,"",[1]对账明细接口!$L$132),"")</f>
      </c>
      <c r="M132" s="16">
        <f>IFERROR(IF([1]对账明细接口!$M$132=0,"",[1]对账明细接口!$M$132),"")</f>
      </c>
      <c r="N132" s="19">
        <f>IF($C132="",0,1)</f>
        <v>1</v>
      </c>
      <c r="O132" s="19">
        <f>N(O131)+$N132</f>
        <v>129</v>
      </c>
      <c r="S132" s="20" t="str">
        <f>IFERROR(IF([1]对账明细接口!$N132=0,"",[1]对账明细接口!$N132),"")</f>
        <v>自备一次性筐</v>
      </c>
      <c r="T132" s="212">
        <f>IFERROR(IF([1]对账明细接口!$O132=0,"",[1]对账明细接口!$O132),"")</f>
      </c>
      <c r="U132" s="212">
        <f>IFERROR(IF([1]对账明细接口!$P132=0,"",[1]对账明细接口!$P132),"")</f>
      </c>
      <c r="V132" s="212">
        <f>IFERROR(IF([1]对账明细接口!$Q132=0,"",[1]对账明细接口!$Q132),"")</f>
        <v>54</v>
      </c>
      <c r="W132" s="20" t="str">
        <f>IFERROR(IF([1]对账明细接口!$R132=0,"",[1]对账明细接口!$R132),"")</f>
        <v>苏M*7G796</v>
      </c>
      <c r="X132" s="20" t="str">
        <f>IFERROR(IF([1]对账明细接口!$S132=0,"",[1]对账明细接口!$S132),"")</f>
        <v>自备筐</v>
      </c>
      <c r="Y132" s="20">
        <f>IFERROR(IF([1]对账明细接口!$T132=0,"",[1]对账明细接口!$T132),"")</f>
      </c>
      <c r="Z132" s="213">
        <f>IFERROR(IF([1]对账明细接口!$U132=0,"",[1]对账明细接口!$U132),"")</f>
      </c>
      <c r="AA132" s="213">
        <f>IFERROR(IF([1]对账明细接口!$V132=0,"",[1]对账明细接口!$V132),"")</f>
      </c>
      <c r="AB132" s="20">
        <f>IFERROR(IF([1]对账明细接口!$W132=0,"",[1]对账明细接口!$W132),"")</f>
      </c>
      <c r="AC132" s="7">
        <f>IFERROR(IF([1]对账明细接口!$X132=0,"",[1]对账明细接口!$X132),"")</f>
      </c>
      <c r="AD132" s="7">
        <f>IFERROR(IF([1]对账明细接口!$Y132=0,"",[1]对账明细接口!$Y132),"")</f>
      </c>
      <c r="AE132" s="7">
        <f>IFERROR(IF([1]对账明细接口!$AA132=0,"",[1]对账明细接口!$AA132),"")</f>
      </c>
      <c r="AF132" s="7">
        <f>IFERROR(IF([1]对账明细接口!$AB132=0,"",[1]对账明细接口!$AB132),"")</f>
      </c>
      <c r="AG132" s="7">
        <f>IFERROR(IF([1]对账明细接口!$AC132=0,"",[1]对账明细接口!$AC132),"")</f>
      </c>
      <c r="AH132" s="7">
        <f>IFERROR(IF([1]对账明细接口!$AD132=0,"",[1]对账明细接口!$AD132),"")</f>
      </c>
      <c r="AI132" s="7">
        <f>IFERROR(IF([1]对账明细接口!$AE132=0,"",[1]对账明细接口!$AE132),"")</f>
      </c>
      <c r="AJ132" s="7">
        <f>IFERROR(IF([1]对账明细接口!$AF132=0,"",[1]对账明细接口!$AF132),"")</f>
      </c>
    </row>
    <row r="133" ht="14.25" customHeight="1" s="127">
      <c r="A133" s="14" t="n">
        <v>133</v>
      </c>
      <c r="B133" s="211">
        <f>IFERROR(IF([1]对账明细接口!$B$133=0,"",[1]对账明细接口!$B$133),"")</f>
        <v>46260.0</v>
      </c>
      <c r="C133" s="16" t="str">
        <f>IFERROR(IF([1]对账明细接口!$C$133=0,"",[1]对账明细接口!$C$133),"")</f>
        <v>聂新平</v>
      </c>
      <c r="D133" s="16" t="str">
        <f>IFERROR(IF([1]对账明细接口!$D$133=0,"",[1]对账明细接口!$D$133),"")</f>
        <v>原料入库</v>
      </c>
      <c r="E133" s="16" t="str">
        <f>IFERROR(IF([1]对账明细接口!$E$133=0,"",[1]对账明细接口!$E$133),"")</f>
        <v>NO:0000733</v>
      </c>
      <c r="F133" s="16" t="str">
        <f>IFERROR(IF([1]对账明细接口!$F$133=0,"",[1]对账明细接口!$F$133),"")</f>
        <v>西梅</v>
      </c>
      <c r="G133" s="16" t="str">
        <f>IFERROR(IF([1]对账明细接口!$G$133=0,"",[1]对账明细接口!$G$133),"")</f>
        <v>西梅三级</v>
      </c>
      <c r="H133" s="176">
        <f>IFERROR(IF([1]对账明细接口!$H$133=0,"",[1]对账明细接口!$H$133),"")</f>
        <v>53</v>
      </c>
      <c r="I133" s="16" t="str">
        <f>IFERROR(IF([1]对账明细接口!$I$133=0,"",[1]对账明细接口!$I$133),"")</f>
        <v>筐</v>
      </c>
      <c r="J133" s="177">
        <f>IFERROR(IF([1]对账明细接口!$J$133=0,"",[1]对账明细接口!$J$133),"")</f>
        <v>106</v>
      </c>
      <c r="K133" s="177">
        <f>IFERROR(IF([1]对账明细接口!$K$133=0,"",[1]对账明细接口!$K$133),"")</f>
      </c>
      <c r="L133" s="16">
        <f>IFERROR(IF([1]对账明细接口!$L$133=0,"",[1]对账明细接口!$L$133),"")</f>
      </c>
      <c r="M133" s="16">
        <f>IFERROR(IF([1]对账明细接口!$M$133=0,"",[1]对账明细接口!$M$133),"")</f>
      </c>
      <c r="N133" s="19">
        <f>IF($C133="",0,1)</f>
        <v>1</v>
      </c>
      <c r="O133" s="19">
        <f>N(O132)+$N133</f>
        <v>130</v>
      </c>
      <c r="S133" s="20" t="str">
        <f>IFERROR(IF([1]对账明细接口!$N133=0,"",[1]对账明细接口!$N133),"")</f>
        <v>自备一次性筐</v>
      </c>
      <c r="T133" s="212">
        <f>IFERROR(IF([1]对账明细接口!$O133=0,"",[1]对账明细接口!$O133),"")</f>
      </c>
      <c r="U133" s="212">
        <f>IFERROR(IF([1]对账明细接口!$P133=0,"",[1]对账明细接口!$P133),"")</f>
      </c>
      <c r="V133" s="212">
        <f>IFERROR(IF([1]对账明细接口!$Q133=0,"",[1]对账明细接口!$Q133),"")</f>
        <v>53</v>
      </c>
      <c r="W133" s="20" t="str">
        <f>IFERROR(IF([1]对账明细接口!$R133=0,"",[1]对账明细接口!$R133),"")</f>
        <v>苏M*7G796</v>
      </c>
      <c r="X133" s="20" t="str">
        <f>IFERROR(IF([1]对账明细接口!$S133=0,"",[1]对账明细接口!$S133),"")</f>
        <v>自备筐</v>
      </c>
      <c r="Y133" s="20">
        <f>IFERROR(IF([1]对账明细接口!$T133=0,"",[1]对账明细接口!$T133),"")</f>
      </c>
      <c r="Z133" s="213">
        <f>IFERROR(IF([1]对账明细接口!$U133=0,"",[1]对账明细接口!$U133),"")</f>
      </c>
      <c r="AA133" s="213">
        <f>IFERROR(IF([1]对账明细接口!$V133=0,"",[1]对账明细接口!$V133),"")</f>
      </c>
      <c r="AB133" s="20">
        <f>IFERROR(IF([1]对账明细接口!$W133=0,"",[1]对账明细接口!$W133),"")</f>
      </c>
      <c r="AC133" s="7">
        <f>IFERROR(IF([1]对账明细接口!$X133=0,"",[1]对账明细接口!$X133),"")</f>
      </c>
      <c r="AD133" s="7">
        <f>IFERROR(IF([1]对账明细接口!$Y133=0,"",[1]对账明细接口!$Y133),"")</f>
      </c>
      <c r="AE133" s="7">
        <f>IFERROR(IF([1]对账明细接口!$AA133=0,"",[1]对账明细接口!$AA133),"")</f>
      </c>
      <c r="AF133" s="7">
        <f>IFERROR(IF([1]对账明细接口!$AB133=0,"",[1]对账明细接口!$AB133),"")</f>
      </c>
      <c r="AG133" s="7">
        <f>IFERROR(IF([1]对账明细接口!$AC133=0,"",[1]对账明细接口!$AC133),"")</f>
      </c>
      <c r="AH133" s="7">
        <f>IFERROR(IF([1]对账明细接口!$AD133=0,"",[1]对账明细接口!$AD133),"")</f>
      </c>
      <c r="AI133" s="7">
        <f>IFERROR(IF([1]对账明细接口!$AE133=0,"",[1]对账明细接口!$AE133),"")</f>
      </c>
      <c r="AJ133" s="7">
        <f>IFERROR(IF([1]对账明细接口!$AF133=0,"",[1]对账明细接口!$AF133),"")</f>
      </c>
    </row>
    <row r="134" ht="14.25" customHeight="1" s="127">
      <c r="A134" s="14" t="n">
        <v>134</v>
      </c>
      <c r="B134" s="211">
        <f>IFERROR(IF([1]对账明细接口!$B$134=0,"",[1]对账明细接口!$B$134),"")</f>
        <v>46260.0</v>
      </c>
      <c r="C134" s="16" t="str">
        <f>IFERROR(IF([1]对账明细接口!$C$134=0,"",[1]对账明细接口!$C$134),"")</f>
        <v>聂新平</v>
      </c>
      <c r="D134" s="16" t="str">
        <f>IFERROR(IF([1]对账明细接口!$D$134=0,"",[1]对账明细接口!$D$134),"")</f>
        <v>原料入库</v>
      </c>
      <c r="E134" s="16" t="str">
        <f>IFERROR(IF([1]对账明细接口!$E$134=0,"",[1]对账明细接口!$E$134),"")</f>
        <v>NO:0000734</v>
      </c>
      <c r="F134" s="16" t="str">
        <f>IFERROR(IF([1]对账明细接口!$F$134=0,"",[1]对账明细接口!$F$134),"")</f>
        <v>西梅</v>
      </c>
      <c r="G134" s="16" t="str">
        <f>IFERROR(IF([1]对账明细接口!$G$134=0,"",[1]对账明细接口!$G$134),"")</f>
        <v>西梅二级</v>
      </c>
      <c r="H134" s="176">
        <f>IFERROR(IF([1]对账明细接口!$H$134=0,"",[1]对账明细接口!$H$134),"")</f>
        <v>21</v>
      </c>
      <c r="I134" s="16" t="str">
        <f>IFERROR(IF([1]对账明细接口!$I$134=0,"",[1]对账明细接口!$I$134),"")</f>
        <v>筐</v>
      </c>
      <c r="J134" s="177">
        <f>IFERROR(IF([1]对账明细接口!$J$134=0,"",[1]对账明细接口!$J$134),"")</f>
        <v>252</v>
      </c>
      <c r="K134" s="177">
        <f>IFERROR(IF([1]对账明细接口!$K$134=0,"",[1]对账明细接口!$K$134),"")</f>
      </c>
      <c r="L134" s="16">
        <f>IFERROR(IF([1]对账明细接口!$L$134=0,"",[1]对账明细接口!$L$134),"")</f>
      </c>
      <c r="M134" s="16">
        <f>IFERROR(IF([1]对账明细接口!$M$134=0,"",[1]对账明细接口!$M$134),"")</f>
      </c>
      <c r="N134" s="19">
        <f>IF($C134="",0,1)</f>
        <v>1</v>
      </c>
      <c r="O134" s="19">
        <f>N(O133)+$N134</f>
        <v>131</v>
      </c>
      <c r="S134" s="20" t="str">
        <f>IFERROR(IF([1]对账明细接口!$N134=0,"",[1]对账明细接口!$N134),"")</f>
        <v>自备一次性筐</v>
      </c>
      <c r="T134" s="212">
        <f>IFERROR(IF([1]对账明细接口!$O134=0,"",[1]对账明细接口!$O134),"")</f>
      </c>
      <c r="U134" s="212">
        <f>IFERROR(IF([1]对账明细接口!$P134=0,"",[1]对账明细接口!$P134),"")</f>
      </c>
      <c r="V134" s="212">
        <f>IFERROR(IF([1]对账明细接口!$Q134=0,"",[1]对账明细接口!$Q134),"")</f>
        <v>21</v>
      </c>
      <c r="W134" s="20" t="str">
        <f>IFERROR(IF([1]对账明细接口!$R134=0,"",[1]对账明细接口!$R134),"")</f>
        <v>苏M*7G796</v>
      </c>
      <c r="X134" s="20" t="str">
        <f>IFERROR(IF([1]对账明细接口!$S134=0,"",[1]对账明细接口!$S134),"")</f>
        <v>自备筐</v>
      </c>
      <c r="Y134" s="20">
        <f>IFERROR(IF([1]对账明细接口!$T134=0,"",[1]对账明细接口!$T134),"")</f>
      </c>
      <c r="Z134" s="213">
        <f>IFERROR(IF([1]对账明细接口!$U134=0,"",[1]对账明细接口!$U134),"")</f>
      </c>
      <c r="AA134" s="213">
        <f>IFERROR(IF([1]对账明细接口!$V134=0,"",[1]对账明细接口!$V134),"")</f>
      </c>
      <c r="AB134" s="20">
        <f>IFERROR(IF([1]对账明细接口!$W134=0,"",[1]对账明细接口!$W134),"")</f>
      </c>
      <c r="AC134" s="7">
        <f>IFERROR(IF([1]对账明细接口!$X134=0,"",[1]对账明细接口!$X134),"")</f>
      </c>
      <c r="AD134" s="7">
        <f>IFERROR(IF([1]对账明细接口!$Y134=0,"",[1]对账明细接口!$Y134),"")</f>
      </c>
      <c r="AE134" s="7">
        <f>IFERROR(IF([1]对账明细接口!$AA134=0,"",[1]对账明细接口!$AA134),"")</f>
      </c>
      <c r="AF134" s="7">
        <f>IFERROR(IF([1]对账明细接口!$AB134=0,"",[1]对账明细接口!$AB134),"")</f>
      </c>
      <c r="AG134" s="7">
        <f>IFERROR(IF([1]对账明细接口!$AC134=0,"",[1]对账明细接口!$AC134),"")</f>
      </c>
      <c r="AH134" s="7">
        <f>IFERROR(IF([1]对账明细接口!$AD134=0,"",[1]对账明细接口!$AD134),"")</f>
      </c>
      <c r="AI134" s="7">
        <f>IFERROR(IF([1]对账明细接口!$AE134=0,"",[1]对账明细接口!$AE134),"")</f>
      </c>
      <c r="AJ134" s="7">
        <f>IFERROR(IF([1]对账明细接口!$AF134=0,"",[1]对账明细接口!$AF134),"")</f>
      </c>
    </row>
    <row r="135" ht="14.25" customHeight="1" s="127">
      <c r="A135" s="14" t="n">
        <v>135</v>
      </c>
      <c r="B135" s="211">
        <f>IFERROR(IF([1]对账明细接口!$B$135=0,"",[1]对账明细接口!$B$135),"")</f>
        <v>46260.0</v>
      </c>
      <c r="C135" s="16" t="str">
        <f>IFERROR(IF([1]对账明细接口!$C$135=0,"",[1]对账明细接口!$C$135),"")</f>
        <v>聂新平</v>
      </c>
      <c r="D135" s="16" t="str">
        <f>IFERROR(IF([1]对账明细接口!$D$135=0,"",[1]对账明细接口!$D$135),"")</f>
        <v>原料入库</v>
      </c>
      <c r="E135" s="16" t="str">
        <f>IFERROR(IF([1]对账明细接口!$E$135=0,"",[1]对账明细接口!$E$135),"")</f>
        <v>NO:0000734</v>
      </c>
      <c r="F135" s="16" t="str">
        <f>IFERROR(IF([1]对账明细接口!$F$135=0,"",[1]对账明细接口!$F$135),"")</f>
        <v>西梅</v>
      </c>
      <c r="G135" s="16" t="str">
        <f>IFERROR(IF([1]对账明细接口!$G$135=0,"",[1]对账明细接口!$G$135),"")</f>
        <v>西梅二级</v>
      </c>
      <c r="H135" s="176">
        <f>IFERROR(IF([1]对账明细接口!$H$135=0,"",[1]对账明细接口!$H$135),"")</f>
        <v>216</v>
      </c>
      <c r="I135" s="16" t="str">
        <f>IFERROR(IF([1]对账明细接口!$I$135=0,"",[1]对账明细接口!$I$135),"")</f>
        <v>筐</v>
      </c>
      <c r="J135" s="177">
        <f>IFERROR(IF([1]对账明细接口!$J$135=0,"",[1]对账明细接口!$J$135),"")</f>
        <v>432</v>
      </c>
      <c r="K135" s="177">
        <f>IFERROR(IF([1]对账明细接口!$K$135=0,"",[1]对账明细接口!$K$135),"")</f>
      </c>
      <c r="L135" s="16">
        <f>IFERROR(IF([1]对账明细接口!$L$135=0,"",[1]对账明细接口!$L$135),"")</f>
      </c>
      <c r="M135" s="16">
        <f>IFERROR(IF([1]对账明细接口!$M$135=0,"",[1]对账明细接口!$M$135),"")</f>
      </c>
      <c r="N135" s="19">
        <f>IF($C135="",0,1)</f>
        <v>1</v>
      </c>
      <c r="O135" s="19">
        <f>N(O134)+$N135</f>
        <v>132</v>
      </c>
      <c r="S135" s="20" t="str">
        <f>IFERROR(IF([1]对账明细接口!$N135=0,"",[1]对账明细接口!$N135),"")</f>
        <v>自备一次性筐</v>
      </c>
      <c r="T135" s="212">
        <f>IFERROR(IF([1]对账明细接口!$O135=0,"",[1]对账明细接口!$O135),"")</f>
      </c>
      <c r="U135" s="212">
        <f>IFERROR(IF([1]对账明细接口!$P135=0,"",[1]对账明细接口!$P135),"")</f>
      </c>
      <c r="V135" s="212">
        <f>IFERROR(IF([1]对账明细接口!$Q135=0,"",[1]对账明细接口!$Q135),"")</f>
        <v>216</v>
      </c>
      <c r="W135" s="20" t="str">
        <f>IFERROR(IF([1]对账明细接口!$R135=0,"",[1]对账明细接口!$R135),"")</f>
        <v>苏M*7G796</v>
      </c>
      <c r="X135" s="20" t="str">
        <f>IFERROR(IF([1]对账明细接口!$S135=0,"",[1]对账明细接口!$S135),"")</f>
        <v>自备筐</v>
      </c>
      <c r="Y135" s="20">
        <f>IFERROR(IF([1]对账明细接口!$T135=0,"",[1]对账明细接口!$T135),"")</f>
      </c>
      <c r="Z135" s="213">
        <f>IFERROR(IF([1]对账明细接口!$U135=0,"",[1]对账明细接口!$U135),"")</f>
      </c>
      <c r="AA135" s="213">
        <f>IFERROR(IF([1]对账明细接口!$V135=0,"",[1]对账明细接口!$V135),"")</f>
      </c>
      <c r="AB135" s="20">
        <f>IFERROR(IF([1]对账明细接口!$W135=0,"",[1]对账明细接口!$W135),"")</f>
      </c>
      <c r="AC135" s="7">
        <f>IFERROR(IF([1]对账明细接口!$X135=0,"",[1]对账明细接口!$X135),"")</f>
      </c>
      <c r="AD135" s="7">
        <f>IFERROR(IF([1]对账明细接口!$Y135=0,"",[1]对账明细接口!$Y135),"")</f>
      </c>
      <c r="AE135" s="7">
        <f>IFERROR(IF([1]对账明细接口!$AA135=0,"",[1]对账明细接口!$AA135),"")</f>
      </c>
      <c r="AF135" s="7">
        <f>IFERROR(IF([1]对账明细接口!$AB135=0,"",[1]对账明细接口!$AB135),"")</f>
      </c>
      <c r="AG135" s="7">
        <f>IFERROR(IF([1]对账明细接口!$AC135=0,"",[1]对账明细接口!$AC135),"")</f>
      </c>
      <c r="AH135" s="7">
        <f>IFERROR(IF([1]对账明细接口!$AD135=0,"",[1]对账明细接口!$AD135),"")</f>
      </c>
      <c r="AI135" s="7">
        <f>IFERROR(IF([1]对账明细接口!$AE135=0,"",[1]对账明细接口!$AE135),"")</f>
      </c>
      <c r="AJ135" s="7">
        <f>IFERROR(IF([1]对账明细接口!$AF135=0,"",[1]对账明细接口!$AF135),"")</f>
      </c>
    </row>
    <row r="136" ht="14.25" customHeight="1" s="127">
      <c r="A136" s="14" t="n">
        <v>136</v>
      </c>
      <c r="B136" s="211">
        <f>IFERROR(IF([1]对账明细接口!$B$136=0,"",[1]对账明细接口!$B$136),"")</f>
        <v>46260.0</v>
      </c>
      <c r="C136" s="16" t="str">
        <f>IFERROR(IF([1]对账明细接口!$C$136=0,"",[1]对账明细接口!$C$136),"")</f>
        <v>聂新平</v>
      </c>
      <c r="D136" s="16" t="str">
        <f>IFERROR(IF([1]对账明细接口!$D$136=0,"",[1]对账明细接口!$D$136),"")</f>
        <v>原料入库</v>
      </c>
      <c r="E136" s="16" t="str">
        <f>IFERROR(IF([1]对账明细接口!$E$136=0,"",[1]对账明细接口!$E$136),"")</f>
        <v>NO:0000734</v>
      </c>
      <c r="F136" s="16" t="str">
        <f>IFERROR(IF([1]对账明细接口!$F$136=0,"",[1]对账明细接口!$F$136),"")</f>
        <v>西梅</v>
      </c>
      <c r="G136" s="16" t="str">
        <f>IFERROR(IF([1]对账明细接口!$G$136=0,"",[1]对账明细接口!$G$136),"")</f>
        <v>西梅三级</v>
      </c>
      <c r="H136" s="176">
        <f>IFERROR(IF([1]对账明细接口!$H$136=0,"",[1]对账明细接口!$H$136),"")</f>
        <v>153</v>
      </c>
      <c r="I136" s="16" t="str">
        <f>IFERROR(IF([1]对账明细接口!$I$136=0,"",[1]对账明细接口!$I$136),"")</f>
        <v>筐</v>
      </c>
      <c r="J136" s="177">
        <f>IFERROR(IF([1]对账明细接口!$J$136=0,"",[1]对账明细接口!$J$136),"")</f>
        <v>306</v>
      </c>
      <c r="K136" s="177">
        <f>IFERROR(IF([1]对账明细接口!$K$136=0,"",[1]对账明细接口!$K$136),"")</f>
      </c>
      <c r="L136" s="16">
        <f>IFERROR(IF([1]对账明细接口!$L$136=0,"",[1]对账明细接口!$L$136),"")</f>
      </c>
      <c r="M136" s="16">
        <f>IFERROR(IF([1]对账明细接口!$M$136=0,"",[1]对账明细接口!$M$136),"")</f>
      </c>
      <c r="N136" s="19">
        <f>IF($C136="",0,1)</f>
        <v>1</v>
      </c>
      <c r="O136" s="19">
        <f>N(O135)+$N136</f>
        <v>133</v>
      </c>
      <c r="S136" s="20" t="str">
        <f>IFERROR(IF([1]对账明细接口!$N136=0,"",[1]对账明细接口!$N136),"")</f>
        <v>自备一次性筐</v>
      </c>
      <c r="T136" s="212">
        <f>IFERROR(IF([1]对账明细接口!$O136=0,"",[1]对账明细接口!$O136),"")</f>
      </c>
      <c r="U136" s="212">
        <f>IFERROR(IF([1]对账明细接口!$P136=0,"",[1]对账明细接口!$P136),"")</f>
      </c>
      <c r="V136" s="212">
        <f>IFERROR(IF([1]对账明细接口!$Q136=0,"",[1]对账明细接口!$Q136),"")</f>
        <v>153</v>
      </c>
      <c r="W136" s="20" t="str">
        <f>IFERROR(IF([1]对账明细接口!$R136=0,"",[1]对账明细接口!$R136),"")</f>
        <v>苏M*7G796</v>
      </c>
      <c r="X136" s="20" t="str">
        <f>IFERROR(IF([1]对账明细接口!$S136=0,"",[1]对账明细接口!$S136),"")</f>
        <v>自备筐</v>
      </c>
      <c r="Y136" s="20">
        <f>IFERROR(IF([1]对账明细接口!$T136=0,"",[1]对账明细接口!$T136),"")</f>
      </c>
      <c r="Z136" s="213">
        <f>IFERROR(IF([1]对账明细接口!$U136=0,"",[1]对账明细接口!$U136),"")</f>
      </c>
      <c r="AA136" s="213">
        <f>IFERROR(IF([1]对账明细接口!$V136=0,"",[1]对账明细接口!$V136),"")</f>
      </c>
      <c r="AB136" s="20">
        <f>IFERROR(IF([1]对账明细接口!$W136=0,"",[1]对账明细接口!$W136),"")</f>
      </c>
      <c r="AC136" s="7">
        <f>IFERROR(IF([1]对账明细接口!$X136=0,"",[1]对账明细接口!$X136),"")</f>
      </c>
      <c r="AD136" s="7">
        <f>IFERROR(IF([1]对账明细接口!$Y136=0,"",[1]对账明细接口!$Y136),"")</f>
      </c>
      <c r="AE136" s="7">
        <f>IFERROR(IF([1]对账明细接口!$AA136=0,"",[1]对账明细接口!$AA136),"")</f>
      </c>
      <c r="AF136" s="7">
        <f>IFERROR(IF([1]对账明细接口!$AB136=0,"",[1]对账明细接口!$AB136),"")</f>
      </c>
      <c r="AG136" s="7">
        <f>IFERROR(IF([1]对账明细接口!$AC136=0,"",[1]对账明细接口!$AC136),"")</f>
      </c>
      <c r="AH136" s="7">
        <f>IFERROR(IF([1]对账明细接口!$AD136=0,"",[1]对账明细接口!$AD136),"")</f>
      </c>
      <c r="AI136" s="7">
        <f>IFERROR(IF([1]对账明细接口!$AE136=0,"",[1]对账明细接口!$AE136),"")</f>
      </c>
      <c r="AJ136" s="7">
        <f>IFERROR(IF([1]对账明细接口!$AF136=0,"",[1]对账明细接口!$AF136),"")</f>
      </c>
    </row>
    <row r="137" ht="14.25" customHeight="1" s="127">
      <c r="A137" s="14" t="n">
        <v>137</v>
      </c>
      <c r="B137" s="211">
        <f>IFERROR(IF([1]对账明细接口!$B$137=0,"",[1]对账明细接口!$B$137),"")</f>
        <v>46261.0</v>
      </c>
      <c r="C137" s="16" t="str">
        <f>IFERROR(IF([1]对账明细接口!$C$137=0,"",[1]对账明细接口!$C$137),"")</f>
        <v>聂新平</v>
      </c>
      <c r="D137" s="16" t="str">
        <f>IFERROR(IF([1]对账明细接口!$D$137=0,"",[1]对账明细接口!$D$137),"")</f>
        <v>原料入库</v>
      </c>
      <c r="E137" s="16" t="str">
        <f>IFERROR(IF([1]对账明细接口!$E$137=0,"",[1]对账明细接口!$E$137),"")</f>
        <v>NO:0000735</v>
      </c>
      <c r="F137" s="16" t="str">
        <f>IFERROR(IF([1]对账明细接口!$F$137=0,"",[1]对账明细接口!$F$137),"")</f>
        <v>西梅</v>
      </c>
      <c r="G137" s="16" t="str">
        <f>IFERROR(IF([1]对账明细接口!$G$137=0,"",[1]对账明细接口!$G$137),"")</f>
        <v>西梅一级</v>
      </c>
      <c r="H137" s="176">
        <f>IFERROR(IF([1]对账明细接口!$H$137=0,"",[1]对账明细接口!$H$137),"")</f>
        <v>100</v>
      </c>
      <c r="I137" s="16" t="str">
        <f>IFERROR(IF([1]对账明细接口!$I$137=0,"",[1]对账明细接口!$I$137),"")</f>
        <v>筐</v>
      </c>
      <c r="J137" s="177">
        <f>IFERROR(IF([1]对账明细接口!$J$137=0,"",[1]对账明细接口!$J$137),"")</f>
        <v>700</v>
      </c>
      <c r="K137" s="177">
        <f>IFERROR(IF([1]对账明细接口!$K$137=0,"",[1]对账明细接口!$K$137),"")</f>
      </c>
      <c r="L137" s="16">
        <f>IFERROR(IF([1]对账明细接口!$L$137=0,"",[1]对账明细接口!$L$137),"")</f>
      </c>
      <c r="M137" s="16">
        <f>IFERROR(IF([1]对账明细接口!$M$137=0,"",[1]对账明细接口!$M$137),"")</f>
      </c>
      <c r="N137" s="19">
        <f>IF($C137="",0,1)</f>
        <v>1</v>
      </c>
      <c r="O137" s="19">
        <f>N(O136)+$N137</f>
        <v>134</v>
      </c>
      <c r="S137" s="20" t="str">
        <f>IFERROR(IF([1]对账明细接口!$N137=0,"",[1]对账明细接口!$N137),"")</f>
        <v>自备一次性筐</v>
      </c>
      <c r="T137" s="212">
        <f>IFERROR(IF([1]对账明细接口!$O137=0,"",[1]对账明细接口!$O137),"")</f>
      </c>
      <c r="U137" s="212">
        <f>IFERROR(IF([1]对账明细接口!$P137=0,"",[1]对账明细接口!$P137),"")</f>
      </c>
      <c r="V137" s="212">
        <f>IFERROR(IF([1]对账明细接口!$Q137=0,"",[1]对账明细接口!$Q137),"")</f>
        <v>100</v>
      </c>
      <c r="W137" s="20" t="str">
        <f>IFERROR(IF([1]对账明细接口!$R137=0,"",[1]对账明细接口!$R137),"")</f>
        <v>苏M*7G796</v>
      </c>
      <c r="X137" s="20" t="str">
        <f>IFERROR(IF([1]对账明细接口!$S137=0,"",[1]对账明细接口!$S137),"")</f>
        <v>自备筐</v>
      </c>
      <c r="Y137" s="20">
        <f>IFERROR(IF([1]对账明细接口!$T137=0,"",[1]对账明细接口!$T137),"")</f>
      </c>
      <c r="Z137" s="213">
        <f>IFERROR(IF([1]对账明细接口!$U137=0,"",[1]对账明细接口!$U137),"")</f>
      </c>
      <c r="AA137" s="213">
        <f>IFERROR(IF([1]对账明细接口!$V137=0,"",[1]对账明细接口!$V137),"")</f>
      </c>
      <c r="AB137" s="20">
        <f>IFERROR(IF([1]对账明细接口!$W137=0,"",[1]对账明细接口!$W137),"")</f>
      </c>
      <c r="AC137" s="7">
        <f>IFERROR(IF([1]对账明细接口!$X137=0,"",[1]对账明细接口!$X137),"")</f>
      </c>
      <c r="AD137" s="7">
        <f>IFERROR(IF([1]对账明细接口!$Y137=0,"",[1]对账明细接口!$Y137),"")</f>
      </c>
      <c r="AE137" s="7">
        <f>IFERROR(IF([1]对账明细接口!$AA137=0,"",[1]对账明细接口!$AA137),"")</f>
      </c>
      <c r="AF137" s="7">
        <f>IFERROR(IF([1]对账明细接口!$AB137=0,"",[1]对账明细接口!$AB137),"")</f>
      </c>
      <c r="AG137" s="7">
        <f>IFERROR(IF([1]对账明细接口!$AC137=0,"",[1]对账明细接口!$AC137),"")</f>
      </c>
      <c r="AH137" s="7">
        <f>IFERROR(IF([1]对账明细接口!$AD137=0,"",[1]对账明细接口!$AD137),"")</f>
      </c>
      <c r="AI137" s="7">
        <f>IFERROR(IF([1]对账明细接口!$AE137=0,"",[1]对账明细接口!$AE137),"")</f>
      </c>
      <c r="AJ137" s="7">
        <f>IFERROR(IF([1]对账明细接口!$AF137=0,"",[1]对账明细接口!$AF137),"")</f>
      </c>
    </row>
    <row r="138" ht="14.25" customHeight="1" s="127">
      <c r="A138" s="14" t="n">
        <v>138</v>
      </c>
      <c r="B138" s="211">
        <f>IFERROR(IF([1]对账明细接口!$B$138=0,"",[1]对账明细接口!$B$138),"")</f>
        <v>46261.0</v>
      </c>
      <c r="C138" s="16" t="str">
        <f>IFERROR(IF([1]对账明细接口!$C$138=0,"",[1]对账明细接口!$C$138),"")</f>
        <v>聂新平</v>
      </c>
      <c r="D138" s="16" t="str">
        <f>IFERROR(IF([1]对账明细接口!$D$138=0,"",[1]对账明细接口!$D$138),"")</f>
        <v>原料入库</v>
      </c>
      <c r="E138" s="16" t="str">
        <f>IFERROR(IF([1]对账明细接口!$E$138=0,"",[1]对账明细接口!$E$138),"")</f>
        <v>NO:0000735</v>
      </c>
      <c r="F138" s="16" t="str">
        <f>IFERROR(IF([1]对账明细接口!$F$138=0,"",[1]对账明细接口!$F$138),"")</f>
        <v>西梅</v>
      </c>
      <c r="G138" s="16" t="str">
        <f>IFERROR(IF([1]对账明细接口!$G$138=0,"",[1]对账明细接口!$G$138),"")</f>
        <v>西梅二级</v>
      </c>
      <c r="H138" s="176">
        <f>IFERROR(IF([1]对账明细接口!$H$138=0,"",[1]对账明细接口!$H$138),"")</f>
        <v>42</v>
      </c>
      <c r="I138" s="16" t="str">
        <f>IFERROR(IF([1]对账明细接口!$I$138=0,"",[1]对账明细接口!$I$138),"")</f>
        <v>筐</v>
      </c>
      <c r="J138" s="177">
        <f>IFERROR(IF([1]对账明细接口!$J$138=0,"",[1]对账明细接口!$J$138),"")</f>
        <v>504</v>
      </c>
      <c r="K138" s="177">
        <f>IFERROR(IF([1]对账明细接口!$K$138=0,"",[1]对账明细接口!$K$138),"")</f>
      </c>
      <c r="L138" s="16">
        <f>IFERROR(IF([1]对账明细接口!$L$138=0,"",[1]对账明细接口!$L$138),"")</f>
      </c>
      <c r="M138" s="16">
        <f>IFERROR(IF([1]对账明细接口!$M$138=0,"",[1]对账明细接口!$M$138),"")</f>
      </c>
      <c r="N138" s="19">
        <f>IF($C138="",0,1)</f>
        <v>1</v>
      </c>
      <c r="O138" s="19">
        <f>N(O137)+$N138</f>
        <v>135</v>
      </c>
      <c r="S138" s="20" t="str">
        <f>IFERROR(IF([1]对账明细接口!$N138=0,"",[1]对账明细接口!$N138),"")</f>
        <v>自备一次性筐</v>
      </c>
      <c r="T138" s="212">
        <f>IFERROR(IF([1]对账明细接口!$O138=0,"",[1]对账明细接口!$O138),"")</f>
      </c>
      <c r="U138" s="212">
        <f>IFERROR(IF([1]对账明细接口!$P138=0,"",[1]对账明细接口!$P138),"")</f>
      </c>
      <c r="V138" s="212">
        <f>IFERROR(IF([1]对账明细接口!$Q138=0,"",[1]对账明细接口!$Q138),"")</f>
        <v>42</v>
      </c>
      <c r="W138" s="20" t="str">
        <f>IFERROR(IF([1]对账明细接口!$R138=0,"",[1]对账明细接口!$R138),"")</f>
        <v>苏M*7G796</v>
      </c>
      <c r="X138" s="20" t="str">
        <f>IFERROR(IF([1]对账明细接口!$S138=0,"",[1]对账明细接口!$S138),"")</f>
        <v>自备筐</v>
      </c>
      <c r="Y138" s="20">
        <f>IFERROR(IF([1]对账明细接口!$T138=0,"",[1]对账明细接口!$T138),"")</f>
      </c>
      <c r="Z138" s="213">
        <f>IFERROR(IF([1]对账明细接口!$U138=0,"",[1]对账明细接口!$U138),"")</f>
      </c>
      <c r="AA138" s="213">
        <f>IFERROR(IF([1]对账明细接口!$V138=0,"",[1]对账明细接口!$V138),"")</f>
      </c>
      <c r="AB138" s="20">
        <f>IFERROR(IF([1]对账明细接口!$W138=0,"",[1]对账明细接口!$W138),"")</f>
      </c>
      <c r="AC138" s="7">
        <f>IFERROR(IF([1]对账明细接口!$X138=0,"",[1]对账明细接口!$X138),"")</f>
      </c>
      <c r="AD138" s="7">
        <f>IFERROR(IF([1]对账明细接口!$Y138=0,"",[1]对账明细接口!$Y138),"")</f>
      </c>
      <c r="AE138" s="7">
        <f>IFERROR(IF([1]对账明细接口!$AA138=0,"",[1]对账明细接口!$AA138),"")</f>
      </c>
      <c r="AF138" s="7">
        <f>IFERROR(IF([1]对账明细接口!$AB138=0,"",[1]对账明细接口!$AB138),"")</f>
      </c>
      <c r="AG138" s="7">
        <f>IFERROR(IF([1]对账明细接口!$AC138=0,"",[1]对账明细接口!$AC138),"")</f>
      </c>
      <c r="AH138" s="7">
        <f>IFERROR(IF([1]对账明细接口!$AD138=0,"",[1]对账明细接口!$AD138),"")</f>
      </c>
      <c r="AI138" s="7">
        <f>IFERROR(IF([1]对账明细接口!$AE138=0,"",[1]对账明细接口!$AE138),"")</f>
      </c>
      <c r="AJ138" s="7">
        <f>IFERROR(IF([1]对账明细接口!$AF138=0,"",[1]对账明细接口!$AF138),"")</f>
      </c>
    </row>
    <row r="139" ht="14.25" customHeight="1" s="127">
      <c r="A139" s="14" t="n">
        <v>139</v>
      </c>
      <c r="B139" s="211">
        <f>IFERROR(IF([1]对账明细接口!$B$139=0,"",[1]对账明细接口!$B$139),"")</f>
        <v>46261.0</v>
      </c>
      <c r="C139" s="16" t="str">
        <f>IFERROR(IF([1]对账明细接口!$C$139=0,"",[1]对账明细接口!$C$139),"")</f>
        <v>聂新平</v>
      </c>
      <c r="D139" s="16" t="str">
        <f>IFERROR(IF([1]对账明细接口!$D$139=0,"",[1]对账明细接口!$D$139),"")</f>
        <v>原料入库</v>
      </c>
      <c r="E139" s="16" t="str">
        <f>IFERROR(IF([1]对账明细接口!$E$139=0,"",[1]对账明细接口!$E$139),"")</f>
        <v>NO:0000736</v>
      </c>
      <c r="F139" s="16" t="str">
        <f>IFERROR(IF([1]对账明细接口!$F$139=0,"",[1]对账明细接口!$F$139),"")</f>
        <v>西梅</v>
      </c>
      <c r="G139" s="16" t="str">
        <f>IFERROR(IF([1]对账明细接口!$G$139=0,"",[1]对账明细接口!$G$139),"")</f>
        <v>西梅一级</v>
      </c>
      <c r="H139" s="176">
        <f>IFERROR(IF([1]对账明细接口!$H$139=0,"",[1]对账明细接口!$H$139),"")</f>
        <v>1</v>
      </c>
      <c r="I139" s="16" t="str">
        <f>IFERROR(IF([1]对账明细接口!$I$139=0,"",[1]对账明细接口!$I$139),"")</f>
        <v>筐</v>
      </c>
      <c r="J139" s="177">
        <f>IFERROR(IF([1]对账明细接口!$J$139=0,"",[1]对账明细接口!$J$139),"")</f>
        <v>7</v>
      </c>
      <c r="K139" s="177">
        <f>IFERROR(IF([1]对账明细接口!$K$139=0,"",[1]对账明细接口!$K$139),"")</f>
      </c>
      <c r="L139" s="16">
        <f>IFERROR(IF([1]对账明细接口!$L$139=0,"",[1]对账明细接口!$L$139),"")</f>
      </c>
      <c r="M139" s="16">
        <f>IFERROR(IF([1]对账明细接口!$M$139=0,"",[1]对账明细接口!$M$139),"")</f>
      </c>
      <c r="N139" s="19">
        <f>IF($C139="",0,1)</f>
        <v>1</v>
      </c>
      <c r="O139" s="19">
        <f>N(O138)+$N139</f>
        <v>136</v>
      </c>
      <c r="S139" s="20" t="str">
        <f>IFERROR(IF([1]对账明细接口!$N139=0,"",[1]对账明细接口!$N139),"")</f>
        <v>自备一次性筐</v>
      </c>
      <c r="T139" s="212">
        <f>IFERROR(IF([1]对账明细接口!$O139=0,"",[1]对账明细接口!$O139),"")</f>
      </c>
      <c r="U139" s="212">
        <f>IFERROR(IF([1]对账明细接口!$P139=0,"",[1]对账明细接口!$P139),"")</f>
      </c>
      <c r="V139" s="212">
        <f>IFERROR(IF([1]对账明细接口!$Q139=0,"",[1]对账明细接口!$Q139),"")</f>
        <v>1</v>
      </c>
      <c r="W139" s="20" t="str">
        <f>IFERROR(IF([1]对账明细接口!$R139=0,"",[1]对账明细接口!$R139),"")</f>
        <v>苏M*7G796</v>
      </c>
      <c r="X139" s="20" t="str">
        <f>IFERROR(IF([1]对账明细接口!$S139=0,"",[1]对账明细接口!$S139),"")</f>
        <v>自备筐</v>
      </c>
      <c r="Y139" s="20">
        <f>IFERROR(IF([1]对账明细接口!$T139=0,"",[1]对账明细接口!$T139),"")</f>
      </c>
      <c r="Z139" s="213">
        <f>IFERROR(IF([1]对账明细接口!$U139=0,"",[1]对账明细接口!$U139),"")</f>
      </c>
      <c r="AA139" s="213">
        <f>IFERROR(IF([1]对账明细接口!$V139=0,"",[1]对账明细接口!$V139),"")</f>
      </c>
      <c r="AB139" s="20">
        <f>IFERROR(IF([1]对账明细接口!$W139=0,"",[1]对账明细接口!$W139),"")</f>
      </c>
      <c r="AC139" s="7">
        <f>IFERROR(IF([1]对账明细接口!$X139=0,"",[1]对账明细接口!$X139),"")</f>
      </c>
      <c r="AD139" s="7">
        <f>IFERROR(IF([1]对账明细接口!$Y139=0,"",[1]对账明细接口!$Y139),"")</f>
      </c>
      <c r="AE139" s="7">
        <f>IFERROR(IF([1]对账明细接口!$AA139=0,"",[1]对账明细接口!$AA139),"")</f>
      </c>
      <c r="AF139" s="7">
        <f>IFERROR(IF([1]对账明细接口!$AB139=0,"",[1]对账明细接口!$AB139),"")</f>
      </c>
      <c r="AG139" s="7">
        <f>IFERROR(IF([1]对账明细接口!$AC139=0,"",[1]对账明细接口!$AC139),"")</f>
      </c>
      <c r="AH139" s="7">
        <f>IFERROR(IF([1]对账明细接口!$AD139=0,"",[1]对账明细接口!$AD139),"")</f>
      </c>
      <c r="AI139" s="7">
        <f>IFERROR(IF([1]对账明细接口!$AE139=0,"",[1]对账明细接口!$AE139),"")</f>
      </c>
      <c r="AJ139" s="7">
        <f>IFERROR(IF([1]对账明细接口!$AF139=0,"",[1]对账明细接口!$AF139),"")</f>
      </c>
    </row>
    <row r="140" ht="14.25" customHeight="1" s="127">
      <c r="A140" s="14" t="n">
        <v>140</v>
      </c>
      <c r="B140" s="211">
        <f>IFERROR(IF([1]对账明细接口!$B$140=0,"",[1]对账明细接口!$B$140),"")</f>
        <v>46261.0</v>
      </c>
      <c r="C140" s="16" t="str">
        <f>IFERROR(IF([1]对账明细接口!$C$140=0,"",[1]对账明细接口!$C$140),"")</f>
        <v>聂新平</v>
      </c>
      <c r="D140" s="16" t="str">
        <f>IFERROR(IF([1]对账明细接口!$D$140=0,"",[1]对账明细接口!$D$140),"")</f>
        <v>原料入库</v>
      </c>
      <c r="E140" s="16" t="str">
        <f>IFERROR(IF([1]对账明细接口!$E$140=0,"",[1]对账明细接口!$E$140),"")</f>
        <v>NO:0000736</v>
      </c>
      <c r="F140" s="16" t="str">
        <f>IFERROR(IF([1]对账明细接口!$F$140=0,"",[1]对账明细接口!$F$140),"")</f>
        <v>西梅</v>
      </c>
      <c r="G140" s="16" t="str">
        <f>IFERROR(IF([1]对账明细接口!$G$140=0,"",[1]对账明细接口!$G$140),"")</f>
        <v>西梅二级</v>
      </c>
      <c r="H140" s="176">
        <f>IFERROR(IF([1]对账明细接口!$H$140=0,"",[1]对账明细接口!$H$140),"")</f>
        <v>40</v>
      </c>
      <c r="I140" s="16" t="str">
        <f>IFERROR(IF([1]对账明细接口!$I$140=0,"",[1]对账明细接口!$I$140),"")</f>
        <v>筐</v>
      </c>
      <c r="J140" s="177">
        <f>IFERROR(IF([1]对账明细接口!$J$140=0,"",[1]对账明细接口!$J$140),"")</f>
        <v>480</v>
      </c>
      <c r="K140" s="177">
        <f>IFERROR(IF([1]对账明细接口!$K$140=0,"",[1]对账明细接口!$K$140),"")</f>
      </c>
      <c r="L140" s="16">
        <f>IFERROR(IF([1]对账明细接口!$L$140=0,"",[1]对账明细接口!$L$140),"")</f>
      </c>
      <c r="M140" s="16">
        <f>IFERROR(IF([1]对账明细接口!$M$140=0,"",[1]对账明细接口!$M$140),"")</f>
      </c>
      <c r="N140" s="19">
        <f>IF($C140="",0,1)</f>
        <v>1</v>
      </c>
      <c r="O140" s="19">
        <f>N(O139)+$N140</f>
        <v>137</v>
      </c>
      <c r="S140" s="20" t="str">
        <f>IFERROR(IF([1]对账明细接口!$N140=0,"",[1]对账明细接口!$N140),"")</f>
        <v>自备一次性筐</v>
      </c>
      <c r="T140" s="212">
        <f>IFERROR(IF([1]对账明细接口!$O140=0,"",[1]对账明细接口!$O140),"")</f>
      </c>
      <c r="U140" s="212">
        <f>IFERROR(IF([1]对账明细接口!$P140=0,"",[1]对账明细接口!$P140),"")</f>
      </c>
      <c r="V140" s="212">
        <f>IFERROR(IF([1]对账明细接口!$Q140=0,"",[1]对账明细接口!$Q140),"")</f>
        <v>40</v>
      </c>
      <c r="W140" s="20" t="str">
        <f>IFERROR(IF([1]对账明细接口!$R140=0,"",[1]对账明细接口!$R140),"")</f>
        <v>苏M*7G796</v>
      </c>
      <c r="X140" s="20" t="str">
        <f>IFERROR(IF([1]对账明细接口!$S140=0,"",[1]对账明细接口!$S140),"")</f>
        <v>自备筐</v>
      </c>
      <c r="Y140" s="20">
        <f>IFERROR(IF([1]对账明细接口!$T140=0,"",[1]对账明细接口!$T140),"")</f>
      </c>
      <c r="Z140" s="213">
        <f>IFERROR(IF([1]对账明细接口!$U140=0,"",[1]对账明细接口!$U140),"")</f>
      </c>
      <c r="AA140" s="213">
        <f>IFERROR(IF([1]对账明细接口!$V140=0,"",[1]对账明细接口!$V140),"")</f>
      </c>
      <c r="AB140" s="20">
        <f>IFERROR(IF([1]对账明细接口!$W140=0,"",[1]对账明细接口!$W140),"")</f>
      </c>
      <c r="AC140" s="7">
        <f>IFERROR(IF([1]对账明细接口!$X140=0,"",[1]对账明细接口!$X140),"")</f>
      </c>
      <c r="AD140" s="7">
        <f>IFERROR(IF([1]对账明细接口!$Y140=0,"",[1]对账明细接口!$Y140),"")</f>
      </c>
      <c r="AE140" s="7">
        <f>IFERROR(IF([1]对账明细接口!$AA140=0,"",[1]对账明细接口!$AA140),"")</f>
      </c>
      <c r="AF140" s="7">
        <f>IFERROR(IF([1]对账明细接口!$AB140=0,"",[1]对账明细接口!$AB140),"")</f>
      </c>
      <c r="AG140" s="7">
        <f>IFERROR(IF([1]对账明细接口!$AC140=0,"",[1]对账明细接口!$AC140),"")</f>
      </c>
      <c r="AH140" s="7">
        <f>IFERROR(IF([1]对账明细接口!$AD140=0,"",[1]对账明细接口!$AD140),"")</f>
      </c>
      <c r="AI140" s="7">
        <f>IFERROR(IF([1]对账明细接口!$AE140=0,"",[1]对账明细接口!$AE140),"")</f>
      </c>
      <c r="AJ140" s="7">
        <f>IFERROR(IF([1]对账明细接口!$AF140=0,"",[1]对账明细接口!$AF140),"")</f>
      </c>
    </row>
    <row r="141" ht="14.25" customHeight="1" s="127">
      <c r="A141" s="14" t="n">
        <v>141</v>
      </c>
      <c r="B141" s="211">
        <f>IFERROR(IF([1]对账明细接口!$B$141=0,"",[1]对账明细接口!$B$141),"")</f>
        <v>46261.0</v>
      </c>
      <c r="C141" s="16" t="str">
        <f>IFERROR(IF([1]对账明细接口!$C$141=0,"",[1]对账明细接口!$C$141),"")</f>
        <v>聂新平</v>
      </c>
      <c r="D141" s="16" t="str">
        <f>IFERROR(IF([1]对账明细接口!$D$141=0,"",[1]对账明细接口!$D$141),"")</f>
        <v>原料入库</v>
      </c>
      <c r="E141" s="16" t="str">
        <f>IFERROR(IF([1]对账明细接口!$E$141=0,"",[1]对账明细接口!$E$141),"")</f>
        <v>NO:0000736</v>
      </c>
      <c r="F141" s="16" t="str">
        <f>IFERROR(IF([1]对账明细接口!$F$141=0,"",[1]对账明细接口!$F$141),"")</f>
        <v>西梅</v>
      </c>
      <c r="G141" s="16" t="str">
        <f>IFERROR(IF([1]对账明细接口!$G$141=0,"",[1]对账明细接口!$G$141),"")</f>
        <v>西梅三级</v>
      </c>
      <c r="H141" s="176">
        <f>IFERROR(IF([1]对账明细接口!$H$141=0,"",[1]对账明细接口!$H$141),"")</f>
        <v>107</v>
      </c>
      <c r="I141" s="16" t="str">
        <f>IFERROR(IF([1]对账明细接口!$I$141=0,"",[1]对账明细接口!$I$141),"")</f>
        <v>筐</v>
      </c>
      <c r="J141" s="177">
        <f>IFERROR(IF([1]对账明细接口!$J$141=0,"",[1]对账明细接口!$J$141),"")</f>
        <v>214</v>
      </c>
      <c r="K141" s="177">
        <f>IFERROR(IF([1]对账明细接口!$K$141=0,"",[1]对账明细接口!$K$141),"")</f>
      </c>
      <c r="L141" s="16">
        <f>IFERROR(IF([1]对账明细接口!$L$141=0,"",[1]对账明细接口!$L$141),"")</f>
      </c>
      <c r="M141" s="16">
        <f>IFERROR(IF([1]对账明细接口!$M$141=0,"",[1]对账明细接口!$M$141),"")</f>
      </c>
      <c r="N141" s="19">
        <f>IF($C141="",0,1)</f>
        <v>1</v>
      </c>
      <c r="O141" s="19">
        <f>N(O140)+$N141</f>
        <v>138</v>
      </c>
      <c r="S141" s="20" t="str">
        <f>IFERROR(IF([1]对账明细接口!$N141=0,"",[1]对账明细接口!$N141),"")</f>
        <v>自备一次性筐</v>
      </c>
      <c r="T141" s="212">
        <f>IFERROR(IF([1]对账明细接口!$O141=0,"",[1]对账明细接口!$O141),"")</f>
      </c>
      <c r="U141" s="212">
        <f>IFERROR(IF([1]对账明细接口!$P141=0,"",[1]对账明细接口!$P141),"")</f>
      </c>
      <c r="V141" s="212">
        <f>IFERROR(IF([1]对账明细接口!$Q141=0,"",[1]对账明细接口!$Q141),"")</f>
        <v>107</v>
      </c>
      <c r="W141" s="20" t="str">
        <f>IFERROR(IF([1]对账明细接口!$R141=0,"",[1]对账明细接口!$R141),"")</f>
        <v>苏M*7G796</v>
      </c>
      <c r="X141" s="20" t="str">
        <f>IFERROR(IF([1]对账明细接口!$S141=0,"",[1]对账明细接口!$S141),"")</f>
        <v>自备筐</v>
      </c>
      <c r="Y141" s="20">
        <f>IFERROR(IF([1]对账明细接口!$T141=0,"",[1]对账明细接口!$T141),"")</f>
      </c>
      <c r="Z141" s="213">
        <f>IFERROR(IF([1]对账明细接口!$U141=0,"",[1]对账明细接口!$U141),"")</f>
      </c>
      <c r="AA141" s="213">
        <f>IFERROR(IF([1]对账明细接口!$V141=0,"",[1]对账明细接口!$V141),"")</f>
      </c>
      <c r="AB141" s="20">
        <f>IFERROR(IF([1]对账明细接口!$W141=0,"",[1]对账明细接口!$W141),"")</f>
      </c>
      <c r="AC141" s="7">
        <f>IFERROR(IF([1]对账明细接口!$X141=0,"",[1]对账明细接口!$X141),"")</f>
      </c>
      <c r="AD141" s="7">
        <f>IFERROR(IF([1]对账明细接口!$Y141=0,"",[1]对账明细接口!$Y141),"")</f>
      </c>
      <c r="AE141" s="7">
        <f>IFERROR(IF([1]对账明细接口!$AA141=0,"",[1]对账明细接口!$AA141),"")</f>
      </c>
      <c r="AF141" s="7">
        <f>IFERROR(IF([1]对账明细接口!$AB141=0,"",[1]对账明细接口!$AB141),"")</f>
      </c>
      <c r="AG141" s="7">
        <f>IFERROR(IF([1]对账明细接口!$AC141=0,"",[1]对账明细接口!$AC141),"")</f>
      </c>
      <c r="AH141" s="7">
        <f>IFERROR(IF([1]对账明细接口!$AD141=0,"",[1]对账明细接口!$AD141),"")</f>
      </c>
      <c r="AI141" s="7">
        <f>IFERROR(IF([1]对账明细接口!$AE141=0,"",[1]对账明细接口!$AE141),"")</f>
      </c>
      <c r="AJ141" s="7">
        <f>IFERROR(IF([1]对账明细接口!$AF141=0,"",[1]对账明细接口!$AF141),"")</f>
      </c>
    </row>
    <row r="142" ht="14.25" customHeight="1" s="127">
      <c r="A142" s="14" t="n">
        <v>142</v>
      </c>
      <c r="B142" s="211">
        <f>IFERROR(IF([1]对账明细接口!$B$142=0,"",[1]对账明细接口!$B$142),"")</f>
        <v>46269.0</v>
      </c>
      <c r="C142" s="16" t="str">
        <f>IFERROR(IF([1]对账明细接口!$C$142=0,"",[1]对账明细接口!$C$142),"")</f>
        <v>马锦祥</v>
      </c>
      <c r="D142" s="16" t="str">
        <f>IFERROR(IF([1]对账明细接口!$D$142=0,"",[1]对账明细接口!$D$142),"")</f>
        <v>原料入库</v>
      </c>
      <c r="E142" s="16" t="str">
        <f>IFERROR(IF([1]对账明细接口!$E$142=0,"",[1]对账明细接口!$E$142),"")</f>
        <v>NO:0000752</v>
      </c>
      <c r="F142" s="16" t="str">
        <f>IFERROR(IF([1]对账明细接口!$F$142=0,"",[1]对账明细接口!$F$142),"")</f>
        <v>香梨</v>
      </c>
      <c r="G142" s="16" t="str">
        <f>IFERROR(IF([1]对账明细接口!$G$142=0,"",[1]对账明细接口!$G$142),"")</f>
        <v>香梨一级</v>
      </c>
      <c r="H142" s="176">
        <f>IFERROR(IF([1]对账明细接口!$H$142=0,"",[1]对账明细接口!$H$142),"")</f>
        <v>266</v>
      </c>
      <c r="I142" s="16" t="str">
        <f>IFERROR(IF([1]对账明细接口!$I$142=0,"",[1]对账明细接口!$I$142),"")</f>
        <v>筐</v>
      </c>
      <c r="J142" s="177">
        <f>IFERROR(IF([1]对账明细接口!$J$142=0,"",[1]对账明细接口!$J$142),"")</f>
        <v>4867.8</v>
      </c>
      <c r="K142" s="177">
        <f>IFERROR(IF([1]对账明细接口!$K$142=0,"",[1]对账明细接口!$K$142),"")</f>
      </c>
      <c r="L142" s="16">
        <f>IFERROR(IF([1]对账明细接口!$L$142=0,"",[1]对账明细接口!$L$142),"")</f>
      </c>
      <c r="M142" s="16">
        <f>IFERROR(IF([1]对账明细接口!$M$142=0,"",[1]对账明细接口!$M$142),"")</f>
      </c>
      <c r="N142" s="19">
        <f>IF($C142="",0,1)</f>
        <v>1</v>
      </c>
      <c r="O142" s="19">
        <f>N(O141)+$N142</f>
        <v>139</v>
      </c>
      <c r="S142" s="20" t="str">
        <f>IFERROR(IF([1]对账明细接口!$N142=0,"",[1]对账明细接口!$N142),"")</f>
        <v>公司杂周转筐</v>
      </c>
      <c r="T142" s="212">
        <f>IFERROR(IF([1]对账明细接口!$O142=0,"",[1]对账明细接口!$O142),"")</f>
      </c>
      <c r="U142" s="212">
        <f>IFERROR(IF([1]对账明细接口!$P142=0,"",[1]对账明细接口!$P142),"")</f>
      </c>
      <c r="V142" s="212">
        <f>IFERROR(IF([1]对账明细接口!$Q142=0,"",[1]对账明细接口!$Q142),"")</f>
        <v>266</v>
      </c>
      <c r="W142" s="20" t="str">
        <f>IFERROR(IF([1]对账明细接口!$R142=0,"",[1]对账明细接口!$R142),"")</f>
        <v>新N*K7V85</v>
      </c>
      <c r="X142" s="20" t="str">
        <f>IFERROR(IF([1]对账明细接口!$S142=0,"",[1]对账明细接口!$S142),"")</f>
        <v>公司筐</v>
      </c>
      <c r="Y142" s="20">
        <f>IFERROR(IF([1]对账明细接口!$T142=0,"",[1]对账明细接口!$T142),"")</f>
      </c>
      <c r="Z142" s="213">
        <f>IFERROR(IF([1]对账明细接口!$U142=0,"",[1]对账明细接口!$U142),"")</f>
      </c>
      <c r="AA142" s="213">
        <f>IFERROR(IF([1]对账明细接口!$V142=0,"",[1]对账明细接口!$V142),"")</f>
      </c>
      <c r="AB142" s="20">
        <f>IFERROR(IF([1]对账明细接口!$W142=0,"",[1]对账明细接口!$W142),"")</f>
      </c>
      <c r="AC142" s="7">
        <f>IFERROR(IF([1]对账明细接口!$X142=0,"",[1]对账明细接口!$X142),"")</f>
      </c>
      <c r="AD142" s="7">
        <f>IFERROR(IF([1]对账明细接口!$Y142=0,"",[1]对账明细接口!$Y142),"")</f>
      </c>
      <c r="AE142" s="7">
        <f>IFERROR(IF([1]对账明细接口!$AA142=0,"",[1]对账明细接口!$AA142),"")</f>
      </c>
      <c r="AF142" s="7">
        <f>IFERROR(IF([1]对账明细接口!$AB142=0,"",[1]对账明细接口!$AB142),"")</f>
      </c>
      <c r="AG142" s="7">
        <f>IFERROR(IF([1]对账明细接口!$AC142=0,"",[1]对账明细接口!$AC142),"")</f>
      </c>
      <c r="AH142" s="7">
        <f>IFERROR(IF([1]对账明细接口!$AD142=0,"",[1]对账明细接口!$AD142),"")</f>
      </c>
      <c r="AI142" s="7">
        <f>IFERROR(IF([1]对账明细接口!$AE142=0,"",[1]对账明细接口!$AE142),"")</f>
      </c>
      <c r="AJ142" s="7">
        <f>IFERROR(IF([1]对账明细接口!$AF142=0,"",[1]对账明细接口!$AF142),"")</f>
      </c>
    </row>
    <row r="143" ht="14.25" customHeight="1" s="127">
      <c r="A143" s="14" t="n">
        <v>143</v>
      </c>
      <c r="B143" s="211">
        <f>IFERROR(IF([1]对账明细接口!$B$143=0,"",[1]对账明细接口!$B$143),"")</f>
        <v>46269.0</v>
      </c>
      <c r="C143" s="16" t="str">
        <f>IFERROR(IF([1]对账明细接口!$C$143=0,"",[1]对账明细接口!$C$143),"")</f>
        <v>马锦祥</v>
      </c>
      <c r="D143" s="16" t="str">
        <f>IFERROR(IF([1]对账明细接口!$D$143=0,"",[1]对账明细接口!$D$143),"")</f>
        <v>原料入库</v>
      </c>
      <c r="E143" s="16" t="str">
        <f>IFERROR(IF([1]对账明细接口!$E$143=0,"",[1]对账明细接口!$E$143),"")</f>
        <v>NO:0000752</v>
      </c>
      <c r="F143" s="16" t="str">
        <f>IFERROR(IF([1]对账明细接口!$F$143=0,"",[1]对账明细接口!$F$143),"")</f>
        <v>香梨</v>
      </c>
      <c r="G143" s="16" t="str">
        <f>IFERROR(IF([1]对账明细接口!$G$143=0,"",[1]对账明细接口!$G$143),"")</f>
        <v>香梨二级</v>
      </c>
      <c r="H143" s="176">
        <f>IFERROR(IF([1]对账明细接口!$H$143=0,"",[1]对账明细接口!$H$143),"")</f>
        <v>70</v>
      </c>
      <c r="I143" s="16" t="str">
        <f>IFERROR(IF([1]对账明细接口!$I$143=0,"",[1]对账明细接口!$I$143),"")</f>
        <v>筐</v>
      </c>
      <c r="J143" s="177">
        <f>IFERROR(IF([1]对账明细接口!$J$143=0,"",[1]对账明细接口!$J$143),"")</f>
        <v>1561</v>
      </c>
      <c r="K143" s="177">
        <f>IFERROR(IF([1]对账明细接口!$K$143=0,"",[1]对账明细接口!$K$143),"")</f>
      </c>
      <c r="L143" s="16">
        <f>IFERROR(IF([1]对账明细接口!$L$143=0,"",[1]对账明细接口!$L$143),"")</f>
      </c>
      <c r="M143" s="16">
        <f>IFERROR(IF([1]对账明细接口!$M$143=0,"",[1]对账明细接口!$M$143),"")</f>
      </c>
      <c r="N143" s="19">
        <f>IF($C143="",0,1)</f>
        <v>1</v>
      </c>
      <c r="O143" s="19">
        <f>N(O142)+$N143</f>
        <v>140</v>
      </c>
      <c r="S143" s="20" t="str">
        <f>IFERROR(IF([1]对账明细接口!$N143=0,"",[1]对账明细接口!$N143),"")</f>
        <v>公司杂周转筐</v>
      </c>
      <c r="T143" s="212">
        <f>IFERROR(IF([1]对账明细接口!$O143=0,"",[1]对账明细接口!$O143),"")</f>
      </c>
      <c r="U143" s="212">
        <f>IFERROR(IF([1]对账明细接口!$P143=0,"",[1]对账明细接口!$P143),"")</f>
      </c>
      <c r="V143" s="212">
        <f>IFERROR(IF([1]对账明细接口!$Q143=0,"",[1]对账明细接口!$Q143),"")</f>
        <v>70</v>
      </c>
      <c r="W143" s="20" t="str">
        <f>IFERROR(IF([1]对账明细接口!$R143=0,"",[1]对账明细接口!$R143),"")</f>
        <v>新N*K7V85</v>
      </c>
      <c r="X143" s="20" t="str">
        <f>IFERROR(IF([1]对账明细接口!$S143=0,"",[1]对账明细接口!$S143),"")</f>
        <v>公司筐</v>
      </c>
      <c r="Y143" s="20">
        <f>IFERROR(IF([1]对账明细接口!$T143=0,"",[1]对账明细接口!$T143),"")</f>
      </c>
      <c r="Z143" s="213">
        <f>IFERROR(IF([1]对账明细接口!$U143=0,"",[1]对账明细接口!$U143),"")</f>
      </c>
      <c r="AA143" s="213">
        <f>IFERROR(IF([1]对账明细接口!$V143=0,"",[1]对账明细接口!$V143),"")</f>
      </c>
      <c r="AB143" s="20">
        <f>IFERROR(IF([1]对账明细接口!$W143=0,"",[1]对账明细接口!$W143),"")</f>
      </c>
      <c r="AC143" s="7">
        <f>IFERROR(IF([1]对账明细接口!$X143=0,"",[1]对账明细接口!$X143),"")</f>
      </c>
      <c r="AD143" s="7">
        <f>IFERROR(IF([1]对账明细接口!$Y143=0,"",[1]对账明细接口!$Y143),"")</f>
      </c>
      <c r="AE143" s="7">
        <f>IFERROR(IF([1]对账明细接口!$AA143=0,"",[1]对账明细接口!$AA143),"")</f>
      </c>
      <c r="AF143" s="7">
        <f>IFERROR(IF([1]对账明细接口!$AB143=0,"",[1]对账明细接口!$AB143),"")</f>
      </c>
      <c r="AG143" s="7">
        <f>IFERROR(IF([1]对账明细接口!$AC143=0,"",[1]对账明细接口!$AC143),"")</f>
      </c>
      <c r="AH143" s="7">
        <f>IFERROR(IF([1]对账明细接口!$AD143=0,"",[1]对账明细接口!$AD143),"")</f>
      </c>
      <c r="AI143" s="7">
        <f>IFERROR(IF([1]对账明细接口!$AE143=0,"",[1]对账明细接口!$AE143),"")</f>
      </c>
      <c r="AJ143" s="7">
        <f>IFERROR(IF([1]对账明细接口!$AF143=0,"",[1]对账明细接口!$AF143),"")</f>
      </c>
    </row>
    <row r="144" ht="14.25" customHeight="1" s="127">
      <c r="A144" s="14" t="n">
        <v>144</v>
      </c>
      <c r="B144" s="211">
        <f>IFERROR(IF([1]对账明细接口!$B$144=0,"",[1]对账明细接口!$B$144),"")</f>
        <v>46269.0</v>
      </c>
      <c r="C144" s="16" t="str">
        <f>IFERROR(IF([1]对账明细接口!$C$144=0,"",[1]对账明细接口!$C$144),"")</f>
        <v>马锦祥</v>
      </c>
      <c r="D144" s="16" t="str">
        <f>IFERROR(IF([1]对账明细接口!$D$144=0,"",[1]对账明细接口!$D$144),"")</f>
        <v>原料入库</v>
      </c>
      <c r="E144" s="16" t="str">
        <f>IFERROR(IF([1]对账明细接口!$E$144=0,"",[1]对账明细接口!$E$144),"")</f>
        <v>NO:0000752</v>
      </c>
      <c r="F144" s="16" t="str">
        <f>IFERROR(IF([1]对账明细接口!$F$144=0,"",[1]对账明细接口!$F$144),"")</f>
        <v>香梨</v>
      </c>
      <c r="G144" s="16" t="str">
        <f>IFERROR(IF([1]对账明细接口!$G$144=0,"",[1]对账明细接口!$G$144),"")</f>
        <v>香梨副特</v>
      </c>
      <c r="H144" s="176">
        <f>IFERROR(IF([1]对账明细接口!$H$144=0,"",[1]对账明细接口!$H$144),"")</f>
        <v>21</v>
      </c>
      <c r="I144" s="16" t="str">
        <f>IFERROR(IF([1]对账明细接口!$I$144=0,"",[1]对账明细接口!$I$144),"")</f>
        <v>筐</v>
      </c>
      <c r="J144" s="177">
        <f>IFERROR(IF([1]对账明细接口!$J$144=0,"",[1]对账明细接口!$J$144),"")</f>
        <v>384.3</v>
      </c>
      <c r="K144" s="177">
        <f>IFERROR(IF([1]对账明细接口!$K$144=0,"",[1]对账明细接口!$K$144),"")</f>
      </c>
      <c r="L144" s="16">
        <f>IFERROR(IF([1]对账明细接口!$L$144=0,"",[1]对账明细接口!$L$144),"")</f>
      </c>
      <c r="M144" s="16">
        <f>IFERROR(IF([1]对账明细接口!$M$144=0,"",[1]对账明细接口!$M$144),"")</f>
      </c>
      <c r="N144" s="19">
        <f>IF($C144="",0,1)</f>
        <v>1</v>
      </c>
      <c r="O144" s="19">
        <f>N(O143)+$N144</f>
        <v>141</v>
      </c>
      <c r="S144" s="20" t="str">
        <f>IFERROR(IF([1]对账明细接口!$N144=0,"",[1]对账明细接口!$N144),"")</f>
        <v>公司杂周转筐</v>
      </c>
      <c r="T144" s="212">
        <f>IFERROR(IF([1]对账明细接口!$O144=0,"",[1]对账明细接口!$O144),"")</f>
      </c>
      <c r="U144" s="212">
        <f>IFERROR(IF([1]对账明细接口!$P144=0,"",[1]对账明细接口!$P144),"")</f>
      </c>
      <c r="V144" s="212">
        <f>IFERROR(IF([1]对账明细接口!$Q144=0,"",[1]对账明细接口!$Q144),"")</f>
        <v>21</v>
      </c>
      <c r="W144" s="20" t="str">
        <f>IFERROR(IF([1]对账明细接口!$R144=0,"",[1]对账明细接口!$R144),"")</f>
        <v>新N*K7V85</v>
      </c>
      <c r="X144" s="20" t="str">
        <f>IFERROR(IF([1]对账明细接口!$S144=0,"",[1]对账明细接口!$S144),"")</f>
        <v>公司筐</v>
      </c>
      <c r="Y144" s="20">
        <f>IFERROR(IF([1]对账明细接口!$T144=0,"",[1]对账明细接口!$T144),"")</f>
      </c>
      <c r="Z144" s="213">
        <f>IFERROR(IF([1]对账明细接口!$U144=0,"",[1]对账明细接口!$U144),"")</f>
      </c>
      <c r="AA144" s="213">
        <f>IFERROR(IF([1]对账明细接口!$V144=0,"",[1]对账明细接口!$V144),"")</f>
      </c>
      <c r="AB144" s="20">
        <f>IFERROR(IF([1]对账明细接口!$W144=0,"",[1]对账明细接口!$W144),"")</f>
      </c>
      <c r="AC144" s="7">
        <f>IFERROR(IF([1]对账明细接口!$X144=0,"",[1]对账明细接口!$X144),"")</f>
      </c>
      <c r="AD144" s="7">
        <f>IFERROR(IF([1]对账明细接口!$Y144=0,"",[1]对账明细接口!$Y144),"")</f>
      </c>
      <c r="AE144" s="7">
        <f>IFERROR(IF([1]对账明细接口!$AA144=0,"",[1]对账明细接口!$AA144),"")</f>
      </c>
      <c r="AF144" s="7">
        <f>IFERROR(IF([1]对账明细接口!$AB144=0,"",[1]对账明细接口!$AB144),"")</f>
      </c>
      <c r="AG144" s="7">
        <f>IFERROR(IF([1]对账明细接口!$AC144=0,"",[1]对账明细接口!$AC144),"")</f>
      </c>
      <c r="AH144" s="7">
        <f>IFERROR(IF([1]对账明细接口!$AD144=0,"",[1]对账明细接口!$AD144),"")</f>
      </c>
      <c r="AI144" s="7">
        <f>IFERROR(IF([1]对账明细接口!$AE144=0,"",[1]对账明细接口!$AE144),"")</f>
      </c>
      <c r="AJ144" s="7">
        <f>IFERROR(IF([1]对账明细接口!$AF144=0,"",[1]对账明细接口!$AF144),"")</f>
      </c>
    </row>
    <row r="145" ht="14.25" customHeight="1" s="127">
      <c r="A145" s="14" t="n">
        <v>145</v>
      </c>
      <c r="B145" s="211">
        <f>IFERROR(IF([1]对账明细接口!$B$145=0,"",[1]对账明细接口!$B$145),"")</f>
        <v>46271.0</v>
      </c>
      <c r="C145" s="16" t="str">
        <f>IFERROR(IF([1]对账明细接口!$C$145=0,"",[1]对账明细接口!$C$145),"")</f>
        <v>麦麦提</v>
      </c>
      <c r="D145" s="16" t="str">
        <f>IFERROR(IF([1]对账明细接口!$D$145=0,"",[1]对账明细接口!$D$145),"")</f>
        <v>原料入库</v>
      </c>
      <c r="E145" s="16" t="str">
        <f>IFERROR(IF([1]对账明细接口!$E$145=0,"",[1]对账明细接口!$E$145),"")</f>
        <v>NO:0000754</v>
      </c>
      <c r="F145" s="16" t="str">
        <f>IFERROR(IF([1]对账明细接口!$F$145=0,"",[1]对账明细接口!$F$145),"")</f>
        <v>香梨</v>
      </c>
      <c r="G145" s="16" t="str">
        <f>IFERROR(IF([1]对账明细接口!$G$145=0,"",[1]对账明细接口!$G$145),"")</f>
        <v>香梨特级</v>
      </c>
      <c r="H145" s="176">
        <f>IFERROR(IF([1]对账明细接口!$H$145=0,"",[1]对账明细接口!$H$145),"")</f>
        <v>280</v>
      </c>
      <c r="I145" s="16" t="str">
        <f>IFERROR(IF([1]对账明细接口!$I$145=0,"",[1]对账明细接口!$I$145),"")</f>
        <v>筐</v>
      </c>
      <c r="J145" s="177">
        <f>IFERROR(IF([1]对账明细接口!$J$145=0,"",[1]对账明细接口!$J$145),"")</f>
        <v>5124</v>
      </c>
      <c r="K145" s="177">
        <f>IFERROR(IF([1]对账明细接口!$K$145=0,"",[1]对账明细接口!$K$145),"")</f>
      </c>
      <c r="L145" s="16">
        <f>IFERROR(IF([1]对账明细接口!$L$145=0,"",[1]对账明细接口!$L$145),"")</f>
      </c>
      <c r="M145" s="16">
        <f>IFERROR(IF([1]对账明细接口!$M$145=0,"",[1]对账明细接口!$M$145),"")</f>
      </c>
      <c r="N145" s="19">
        <f>IF($C145="",0,1)</f>
        <v>1</v>
      </c>
      <c r="O145" s="19">
        <f>N(O144)+$N145</f>
        <v>142</v>
      </c>
      <c r="S145" s="20" t="str">
        <f>IFERROR(IF([1]对账明细接口!$N145=0,"",[1]对账明细接口!$N145),"")</f>
        <v>公司红周转筐</v>
      </c>
      <c r="T145" s="212">
        <f>IFERROR(IF([1]对账明细接口!$O145=0,"",[1]对账明细接口!$O145),"")</f>
      </c>
      <c r="U145" s="212">
        <f>IFERROR(IF([1]对账明细接口!$P145=0,"",[1]对账明细接口!$P145),"")</f>
      </c>
      <c r="V145" s="212">
        <f>IFERROR(IF([1]对账明细接口!$Q145=0,"",[1]对账明细接口!$Q145),"")</f>
        <v>280</v>
      </c>
      <c r="W145" s="20" t="str">
        <f>IFERROR(IF([1]对账明细接口!$R145=0,"",[1]对账明细接口!$R145),"")</f>
        <v>新A*G0554</v>
      </c>
      <c r="X145" s="20" t="str">
        <f>IFERROR(IF([1]对账明细接口!$S145=0,"",[1]对账明细接口!$S145),"")</f>
        <v>公司筐</v>
      </c>
      <c r="Y145" s="20">
        <f>IFERROR(IF([1]对账明细接口!$T145=0,"",[1]对账明细接口!$T145),"")</f>
      </c>
      <c r="Z145" s="213">
        <f>IFERROR(IF([1]对账明细接口!$U145=0,"",[1]对账明细接口!$U145),"")</f>
      </c>
      <c r="AA145" s="213">
        <f>IFERROR(IF([1]对账明细接口!$V145=0,"",[1]对账明细接口!$V145),"")</f>
      </c>
      <c r="AB145" s="20">
        <f>IFERROR(IF([1]对账明细接口!$W145=0,"",[1]对账明细接口!$W145),"")</f>
      </c>
      <c r="AC145" s="7">
        <f>IFERROR(IF([1]对账明细接口!$X145=0,"",[1]对账明细接口!$X145),"")</f>
      </c>
      <c r="AD145" s="7">
        <f>IFERROR(IF([1]对账明细接口!$Y145=0,"",[1]对账明细接口!$Y145),"")</f>
      </c>
      <c r="AE145" s="7">
        <f>IFERROR(IF([1]对账明细接口!$AA145=0,"",[1]对账明细接口!$AA145),"")</f>
      </c>
      <c r="AF145" s="7">
        <f>IFERROR(IF([1]对账明细接口!$AB145=0,"",[1]对账明细接口!$AB145),"")</f>
      </c>
      <c r="AG145" s="7">
        <f>IFERROR(IF([1]对账明细接口!$AC145=0,"",[1]对账明细接口!$AC145),"")</f>
      </c>
      <c r="AH145" s="7">
        <f>IFERROR(IF([1]对账明细接口!$AD145=0,"",[1]对账明细接口!$AD145),"")</f>
      </c>
      <c r="AI145" s="7">
        <f>IFERROR(IF([1]对账明细接口!$AE145=0,"",[1]对账明细接口!$AE145),"")</f>
      </c>
      <c r="AJ145" s="7">
        <f>IFERROR(IF([1]对账明细接口!$AF145=0,"",[1]对账明细接口!$AF145),"")</f>
      </c>
    </row>
    <row r="146" ht="14.25" customHeight="1" s="127">
      <c r="A146" s="14" t="n">
        <v>146</v>
      </c>
      <c r="B146" s="211">
        <f>IFERROR(IF([1]对账明细接口!$B$146=0,"",[1]对账明细接口!$B$146),"")</f>
        <v>46271.0</v>
      </c>
      <c r="C146" s="16" t="str">
        <f>IFERROR(IF([1]对账明细接口!$C$146=0,"",[1]对账明细接口!$C$146),"")</f>
        <v>麦麦提</v>
      </c>
      <c r="D146" s="16" t="str">
        <f>IFERROR(IF([1]对账明细接口!$D$146=0,"",[1]对账明细接口!$D$146),"")</f>
        <v>原料入库</v>
      </c>
      <c r="E146" s="16" t="str">
        <f>IFERROR(IF([1]对账明细接口!$E$146=0,"",[1]对账明细接口!$E$146),"")</f>
        <v>NO:0000754</v>
      </c>
      <c r="F146" s="16" t="str">
        <f>IFERROR(IF([1]对账明细接口!$F$146=0,"",[1]对账明细接口!$F$146),"")</f>
        <v>香梨</v>
      </c>
      <c r="G146" s="16" t="str">
        <f>IFERROR(IF([1]对账明细接口!$G$146=0,"",[1]对账明细接口!$G$146),"")</f>
        <v>香梨一级</v>
      </c>
      <c r="H146" s="176">
        <f>IFERROR(IF([1]对账明细接口!$H$146=0,"",[1]对账明细接口!$H$146),"")</f>
        <v>194</v>
      </c>
      <c r="I146" s="16" t="str">
        <f>IFERROR(IF([1]对账明细接口!$I$146=0,"",[1]对账明细接口!$I$146),"")</f>
        <v>筐</v>
      </c>
      <c r="J146" s="177">
        <f>IFERROR(IF([1]对账明细接口!$J$146=0,"",[1]对账明细接口!$J$146),"")</f>
        <v>3550.2</v>
      </c>
      <c r="K146" s="177">
        <f>IFERROR(IF([1]对账明细接口!$K$146=0,"",[1]对账明细接口!$K$146),"")</f>
      </c>
      <c r="L146" s="16">
        <f>IFERROR(IF([1]对账明细接口!$L$146=0,"",[1]对账明细接口!$L$146),"")</f>
      </c>
      <c r="M146" s="16">
        <f>IFERROR(IF([1]对账明细接口!$M$146=0,"",[1]对账明细接口!$M$146),"")</f>
      </c>
      <c r="N146" s="19">
        <f>IF($C146="",0,1)</f>
        <v>1</v>
      </c>
      <c r="O146" s="19">
        <f>N(O145)+$N146</f>
        <v>143</v>
      </c>
      <c r="S146" s="20" t="str">
        <f>IFERROR(IF([1]对账明细接口!$N146=0,"",[1]对账明细接口!$N146),"")</f>
        <v>公司红周转筐</v>
      </c>
      <c r="T146" s="212">
        <f>IFERROR(IF([1]对账明细接口!$O146=0,"",[1]对账明细接口!$O146),"")</f>
      </c>
      <c r="U146" s="212">
        <f>IFERROR(IF([1]对账明细接口!$P146=0,"",[1]对账明细接口!$P146),"")</f>
      </c>
      <c r="V146" s="212">
        <f>IFERROR(IF([1]对账明细接口!$Q146=0,"",[1]对账明细接口!$Q146),"")</f>
        <v>194</v>
      </c>
      <c r="W146" s="20" t="str">
        <f>IFERROR(IF([1]对账明细接口!$R146=0,"",[1]对账明细接口!$R146),"")</f>
        <v>新A*G0554</v>
      </c>
      <c r="X146" s="20" t="str">
        <f>IFERROR(IF([1]对账明细接口!$S146=0,"",[1]对账明细接口!$S146),"")</f>
        <v>公司筐</v>
      </c>
      <c r="Y146" s="20">
        <f>IFERROR(IF([1]对账明细接口!$T146=0,"",[1]对账明细接口!$T146),"")</f>
      </c>
      <c r="Z146" s="213">
        <f>IFERROR(IF([1]对账明细接口!$U146=0,"",[1]对账明细接口!$U146),"")</f>
      </c>
      <c r="AA146" s="213">
        <f>IFERROR(IF([1]对账明细接口!$V146=0,"",[1]对账明细接口!$V146),"")</f>
      </c>
      <c r="AB146" s="20">
        <f>IFERROR(IF([1]对账明细接口!$W146=0,"",[1]对账明细接口!$W146),"")</f>
      </c>
      <c r="AC146" s="7">
        <f>IFERROR(IF([1]对账明细接口!$X146=0,"",[1]对账明细接口!$X146),"")</f>
      </c>
      <c r="AD146" s="7">
        <f>IFERROR(IF([1]对账明细接口!$Y146=0,"",[1]对账明细接口!$Y146),"")</f>
      </c>
      <c r="AE146" s="7">
        <f>IFERROR(IF([1]对账明细接口!$AA146=0,"",[1]对账明细接口!$AA146),"")</f>
      </c>
      <c r="AF146" s="7">
        <f>IFERROR(IF([1]对账明细接口!$AB146=0,"",[1]对账明细接口!$AB146),"")</f>
      </c>
      <c r="AG146" s="7">
        <f>IFERROR(IF([1]对账明细接口!$AC146=0,"",[1]对账明细接口!$AC146),"")</f>
      </c>
      <c r="AH146" s="7">
        <f>IFERROR(IF([1]对账明细接口!$AD146=0,"",[1]对账明细接口!$AD146),"")</f>
      </c>
      <c r="AI146" s="7">
        <f>IFERROR(IF([1]对账明细接口!$AE146=0,"",[1]对账明细接口!$AE146),"")</f>
      </c>
      <c r="AJ146" s="7">
        <f>IFERROR(IF([1]对账明细接口!$AF146=0,"",[1]对账明细接口!$AF146),"")</f>
      </c>
    </row>
    <row r="147" ht="14.25" customHeight="1" s="127">
      <c r="A147" s="14" t="n">
        <v>147</v>
      </c>
      <c r="B147" s="211">
        <f>IFERROR(IF([1]对账明细接口!$B$147=0,"",[1]对账明细接口!$B$147),"")</f>
        <v>46271.0</v>
      </c>
      <c r="C147" s="16" t="str">
        <f>IFERROR(IF([1]对账明细接口!$C$147=0,"",[1]对账明细接口!$C$147),"")</f>
        <v>麦麦提</v>
      </c>
      <c r="D147" s="16" t="str">
        <f>IFERROR(IF([1]对账明细接口!$D$147=0,"",[1]对账明细接口!$D$147),"")</f>
        <v>原料入库</v>
      </c>
      <c r="E147" s="16" t="str">
        <f>IFERROR(IF([1]对账明细接口!$E$147=0,"",[1]对账明细接口!$E$147),"")</f>
        <v>NO:0000754</v>
      </c>
      <c r="F147" s="16" t="str">
        <f>IFERROR(IF([1]对账明细接口!$F$147=0,"",[1]对账明细接口!$F$147),"")</f>
        <v>香梨</v>
      </c>
      <c r="G147" s="16" t="str">
        <f>IFERROR(IF([1]对账明细接口!$G$147=0,"",[1]对账明细接口!$G$147),"")</f>
        <v>香梨二级</v>
      </c>
      <c r="H147" s="176">
        <f>IFERROR(IF([1]对账明细接口!$H$147=0,"",[1]对账明细接口!$H$147),"")</f>
        <v>152</v>
      </c>
      <c r="I147" s="16" t="str">
        <f>IFERROR(IF([1]对账明细接口!$I$147=0,"",[1]对账明细接口!$I$147),"")</f>
        <v>筐</v>
      </c>
      <c r="J147" s="177">
        <f>IFERROR(IF([1]对账明细接口!$J$147=0,"",[1]对账明细接口!$J$147),"")</f>
        <v>3389.6</v>
      </c>
      <c r="K147" s="177">
        <f>IFERROR(IF([1]对账明细接口!$K$147=0,"",[1]对账明细接口!$K$147),"")</f>
      </c>
      <c r="L147" s="16">
        <f>IFERROR(IF([1]对账明细接口!$L$147=0,"",[1]对账明细接口!$L$147),"")</f>
      </c>
      <c r="M147" s="16">
        <f>IFERROR(IF([1]对账明细接口!$M$147=0,"",[1]对账明细接口!$M$147),"")</f>
      </c>
      <c r="N147" s="19">
        <f>IF($C147="",0,1)</f>
        <v>1</v>
      </c>
      <c r="O147" s="19">
        <f>N(O146)+$N147</f>
        <v>144</v>
      </c>
      <c r="S147" s="20" t="str">
        <f>IFERROR(IF([1]对账明细接口!$N147=0,"",[1]对账明细接口!$N147),"")</f>
        <v>公司红周转筐</v>
      </c>
      <c r="T147" s="212">
        <f>IFERROR(IF([1]对账明细接口!$O147=0,"",[1]对账明细接口!$O147),"")</f>
      </c>
      <c r="U147" s="212">
        <f>IFERROR(IF([1]对账明细接口!$P147=0,"",[1]对账明细接口!$P147),"")</f>
      </c>
      <c r="V147" s="212">
        <f>IFERROR(IF([1]对账明细接口!$Q147=0,"",[1]对账明细接口!$Q147),"")</f>
        <v>152</v>
      </c>
      <c r="W147" s="20" t="str">
        <f>IFERROR(IF([1]对账明细接口!$R147=0,"",[1]对账明细接口!$R147),"")</f>
        <v>新A*G0554</v>
      </c>
      <c r="X147" s="20" t="str">
        <f>IFERROR(IF([1]对账明细接口!$S147=0,"",[1]对账明细接口!$S147),"")</f>
        <v>公司筐</v>
      </c>
      <c r="Y147" s="20">
        <f>IFERROR(IF([1]对账明细接口!$T147=0,"",[1]对账明细接口!$T147),"")</f>
      </c>
      <c r="Z147" s="213">
        <f>IFERROR(IF([1]对账明细接口!$U147=0,"",[1]对账明细接口!$U147),"")</f>
      </c>
      <c r="AA147" s="213">
        <f>IFERROR(IF([1]对账明细接口!$V147=0,"",[1]对账明细接口!$V147),"")</f>
      </c>
      <c r="AB147" s="20">
        <f>IFERROR(IF([1]对账明细接口!$W147=0,"",[1]对账明细接口!$W147),"")</f>
      </c>
      <c r="AC147" s="7">
        <f>IFERROR(IF([1]对账明细接口!$X147=0,"",[1]对账明细接口!$X147),"")</f>
      </c>
      <c r="AD147" s="7">
        <f>IFERROR(IF([1]对账明细接口!$Y147=0,"",[1]对账明细接口!$Y147),"")</f>
      </c>
      <c r="AE147" s="7">
        <f>IFERROR(IF([1]对账明细接口!$AA147=0,"",[1]对账明细接口!$AA147),"")</f>
      </c>
      <c r="AF147" s="7">
        <f>IFERROR(IF([1]对账明细接口!$AB147=0,"",[1]对账明细接口!$AB147),"")</f>
      </c>
      <c r="AG147" s="7">
        <f>IFERROR(IF([1]对账明细接口!$AC147=0,"",[1]对账明细接口!$AC147),"")</f>
      </c>
      <c r="AH147" s="7">
        <f>IFERROR(IF([1]对账明细接口!$AD147=0,"",[1]对账明细接口!$AD147),"")</f>
      </c>
      <c r="AI147" s="7">
        <f>IFERROR(IF([1]对账明细接口!$AE147=0,"",[1]对账明细接口!$AE147),"")</f>
      </c>
      <c r="AJ147" s="7">
        <f>IFERROR(IF([1]对账明细接口!$AF147=0,"",[1]对账明细接口!$AF147),"")</f>
      </c>
    </row>
    <row r="148" ht="14.25" customHeight="1" s="127">
      <c r="A148" s="14" t="n">
        <v>148</v>
      </c>
      <c r="B148" s="211">
        <f>IFERROR(IF([1]对账明细接口!$B$148=0,"",[1]对账明细接口!$B$148),"")</f>
        <v>46272.0</v>
      </c>
      <c r="C148" s="16" t="str">
        <f>IFERROR(IF([1]对账明细接口!$C$148=0,"",[1]对账明细接口!$C$148),"")</f>
        <v>吐尔洪</v>
      </c>
      <c r="D148" s="16" t="str">
        <f>IFERROR(IF([1]对账明细接口!$D$148=0,"",[1]对账明细接口!$D$148),"")</f>
        <v>原料入库</v>
      </c>
      <c r="E148" s="16" t="str">
        <f>IFERROR(IF([1]对账明细接口!$E$148=0,"",[1]对账明细接口!$E$148),"")</f>
        <v>NO:0000756</v>
      </c>
      <c r="F148" s="16" t="str">
        <f>IFERROR(IF([1]对账明细接口!$F$148=0,"",[1]对账明细接口!$F$148),"")</f>
        <v>香梨</v>
      </c>
      <c r="G148" s="16" t="str">
        <f>IFERROR(IF([1]对账明细接口!$G$148=0,"",[1]对账明细接口!$G$148),"")</f>
        <v>香梨特级</v>
      </c>
      <c r="H148" s="176">
        <f>IFERROR(IF([1]对账明细接口!$H$148=0,"",[1]对账明细接口!$H$148),"")</f>
        <v>110</v>
      </c>
      <c r="I148" s="16" t="str">
        <f>IFERROR(IF([1]对账明细接口!$I$148=0,"",[1]对账明细接口!$I$148),"")</f>
        <v>筐</v>
      </c>
      <c r="J148" s="177">
        <f>IFERROR(IF([1]对账明细接口!$J$148=0,"",[1]对账明细接口!$J$148),"")</f>
        <v>2013</v>
      </c>
      <c r="K148" s="177">
        <f>IFERROR(IF([1]对账明细接口!$K$148=0,"",[1]对账明细接口!$K$148),"")</f>
      </c>
      <c r="L148" s="16">
        <f>IFERROR(IF([1]对账明细接口!$L$148=0,"",[1]对账明细接口!$L$148),"")</f>
      </c>
      <c r="M148" s="16" t="str">
        <f>IFERROR(IF([1]对账明细接口!$M$148=0,"",[1]对账明细接口!$M$148),"")</f>
        <v>麦麦提</v>
      </c>
      <c r="N148" s="19">
        <f>IF($C148="",0,1)</f>
        <v>1</v>
      </c>
      <c r="O148" s="19">
        <f>N(O147)+$N148</f>
        <v>145</v>
      </c>
      <c r="S148" s="20" t="str">
        <f>IFERROR(IF([1]对账明细接口!$N148=0,"",[1]对账明细接口!$N148),"")</f>
        <v>公司红周转筐</v>
      </c>
      <c r="T148" s="212">
        <f>IFERROR(IF([1]对账明细接口!$O148=0,"",[1]对账明细接口!$O148),"")</f>
      </c>
      <c r="U148" s="212">
        <f>IFERROR(IF([1]对账明细接口!$P148=0,"",[1]对账明细接口!$P148),"")</f>
      </c>
      <c r="V148" s="212">
        <f>IFERROR(IF([1]对账明细接口!$Q148=0,"",[1]对账明细接口!$Q148),"")</f>
        <v>110</v>
      </c>
      <c r="W148" s="20" t="str">
        <f>IFERROR(IF([1]对账明细接口!$R148=0,"",[1]对账明细接口!$R148),"")</f>
        <v>新N*X8S48</v>
      </c>
      <c r="X148" s="20" t="str">
        <f>IFERROR(IF([1]对账明细接口!$S148=0,"",[1]对账明细接口!$S148),"")</f>
        <v>公司筐</v>
      </c>
      <c r="Y148" s="20">
        <f>IFERROR(IF([1]对账明细接口!$T148=0,"",[1]对账明细接口!$T148),"")</f>
      </c>
      <c r="Z148" s="213">
        <f>IFERROR(IF([1]对账明细接口!$U148=0,"",[1]对账明细接口!$U148),"")</f>
      </c>
      <c r="AA148" s="213">
        <f>IFERROR(IF([1]对账明细接口!$V148=0,"",[1]对账明细接口!$V148),"")</f>
      </c>
      <c r="AB148" s="20">
        <f>IFERROR(IF([1]对账明细接口!$W148=0,"",[1]对账明细接口!$W148),"")</f>
      </c>
      <c r="AC148" s="7">
        <f>IFERROR(IF([1]对账明细接口!$X148=0,"",[1]对账明细接口!$X148),"")</f>
      </c>
      <c r="AD148" s="7">
        <f>IFERROR(IF([1]对账明细接口!$Y148=0,"",[1]对账明细接口!$Y148),"")</f>
      </c>
      <c r="AE148" s="7">
        <f>IFERROR(IF([1]对账明细接口!$AA148=0,"",[1]对账明细接口!$AA148),"")</f>
      </c>
      <c r="AF148" s="7">
        <f>IFERROR(IF([1]对账明细接口!$AB148=0,"",[1]对账明细接口!$AB148),"")</f>
      </c>
      <c r="AG148" s="7">
        <f>IFERROR(IF([1]对账明细接口!$AC148=0,"",[1]对账明细接口!$AC148),"")</f>
      </c>
      <c r="AH148" s="7">
        <f>IFERROR(IF([1]对账明细接口!$AD148=0,"",[1]对账明细接口!$AD148),"")</f>
      </c>
      <c r="AI148" s="7">
        <f>IFERROR(IF([1]对账明细接口!$AE148=0,"",[1]对账明细接口!$AE148),"")</f>
      </c>
      <c r="AJ148" s="7">
        <f>IFERROR(IF([1]对账明细接口!$AF148=0,"",[1]对账明细接口!$AF148),"")</f>
      </c>
    </row>
    <row r="149" ht="14.25" customHeight="1" s="127">
      <c r="A149" s="14" t="n">
        <v>149</v>
      </c>
      <c r="B149" s="211">
        <f>IFERROR(IF([1]对账明细接口!$B$149=0,"",[1]对账明细接口!$B$149),"")</f>
        <v>46272.0</v>
      </c>
      <c r="C149" s="16" t="str">
        <f>IFERROR(IF([1]对账明细接口!$C$149=0,"",[1]对账明细接口!$C$149),"")</f>
        <v>吐尔洪</v>
      </c>
      <c r="D149" s="16" t="str">
        <f>IFERROR(IF([1]对账明细接口!$D$149=0,"",[1]对账明细接口!$D$149),"")</f>
        <v>原料入库</v>
      </c>
      <c r="E149" s="16" t="str">
        <f>IFERROR(IF([1]对账明细接口!$E$149=0,"",[1]对账明细接口!$E$149),"")</f>
        <v>NO:0000756</v>
      </c>
      <c r="F149" s="16" t="str">
        <f>IFERROR(IF([1]对账明细接口!$F$149=0,"",[1]对账明细接口!$F$149),"")</f>
        <v>香梨</v>
      </c>
      <c r="G149" s="16" t="str">
        <f>IFERROR(IF([1]对账明细接口!$G$149=0,"",[1]对账明细接口!$G$149),"")</f>
        <v>香梨二级</v>
      </c>
      <c r="H149" s="176">
        <f>IFERROR(IF([1]对账明细接口!$H$149=0,"",[1]对账明细接口!$H$149),"")</f>
        <v>21</v>
      </c>
      <c r="I149" s="16" t="str">
        <f>IFERROR(IF([1]对账明细接口!$I$149=0,"",[1]对账明细接口!$I$149),"")</f>
        <v>筐</v>
      </c>
      <c r="J149" s="177">
        <f>IFERROR(IF([1]对账明细接口!$J$149=0,"",[1]对账明细接口!$J$149),"")</f>
        <v>384.3</v>
      </c>
      <c r="K149" s="177">
        <f>IFERROR(IF([1]对账明细接口!$K$149=0,"",[1]对账明细接口!$K$149),"")</f>
      </c>
      <c r="L149" s="16">
        <f>IFERROR(IF([1]对账明细接口!$L$149=0,"",[1]对账明细接口!$L$149),"")</f>
      </c>
      <c r="M149" s="16" t="str">
        <f>IFERROR(IF([1]对账明细接口!$M$149=0,"",[1]对账明细接口!$M$149),"")</f>
        <v>麦麦提</v>
      </c>
      <c r="N149" s="19">
        <f>IF($C149="",0,1)</f>
        <v>1</v>
      </c>
      <c r="O149" s="19">
        <f>N(O148)+$N149</f>
        <v>146</v>
      </c>
      <c r="S149" s="20" t="str">
        <f>IFERROR(IF([1]对账明细接口!$N149=0,"",[1]对账明细接口!$N149),"")</f>
        <v>公司红周转筐</v>
      </c>
      <c r="T149" s="212">
        <f>IFERROR(IF([1]对账明细接口!$O149=0,"",[1]对账明细接口!$O149),"")</f>
      </c>
      <c r="U149" s="212">
        <f>IFERROR(IF([1]对账明细接口!$P149=0,"",[1]对账明细接口!$P149),"")</f>
      </c>
      <c r="V149" s="212">
        <f>IFERROR(IF([1]对账明细接口!$Q149=0,"",[1]对账明细接口!$Q149),"")</f>
        <v>21</v>
      </c>
      <c r="W149" s="20" t="str">
        <f>IFERROR(IF([1]对账明细接口!$R149=0,"",[1]对账明细接口!$R149),"")</f>
        <v>新N*X8S48</v>
      </c>
      <c r="X149" s="20" t="str">
        <f>IFERROR(IF([1]对账明细接口!$S149=0,"",[1]对账明细接口!$S149),"")</f>
        <v>公司筐</v>
      </c>
      <c r="Y149" s="20">
        <f>IFERROR(IF([1]对账明细接口!$T149=0,"",[1]对账明细接口!$T149),"")</f>
      </c>
      <c r="Z149" s="213">
        <f>IFERROR(IF([1]对账明细接口!$U149=0,"",[1]对账明细接口!$U149),"")</f>
      </c>
      <c r="AA149" s="213">
        <f>IFERROR(IF([1]对账明细接口!$V149=0,"",[1]对账明细接口!$V149),"")</f>
      </c>
      <c r="AB149" s="20">
        <f>IFERROR(IF([1]对账明细接口!$W149=0,"",[1]对账明细接口!$W149),"")</f>
      </c>
      <c r="AC149" s="7">
        <f>IFERROR(IF([1]对账明细接口!$X149=0,"",[1]对账明细接口!$X149),"")</f>
      </c>
      <c r="AD149" s="7">
        <f>IFERROR(IF([1]对账明细接口!$Y149=0,"",[1]对账明细接口!$Y149),"")</f>
      </c>
      <c r="AE149" s="7">
        <f>IFERROR(IF([1]对账明细接口!$AA149=0,"",[1]对账明细接口!$AA149),"")</f>
      </c>
      <c r="AF149" s="7">
        <f>IFERROR(IF([1]对账明细接口!$AB149=0,"",[1]对账明细接口!$AB149),"")</f>
      </c>
      <c r="AG149" s="7">
        <f>IFERROR(IF([1]对账明细接口!$AC149=0,"",[1]对账明细接口!$AC149),"")</f>
      </c>
      <c r="AH149" s="7">
        <f>IFERROR(IF([1]对账明细接口!$AD149=0,"",[1]对账明细接口!$AD149),"")</f>
      </c>
      <c r="AI149" s="7">
        <f>IFERROR(IF([1]对账明细接口!$AE149=0,"",[1]对账明细接口!$AE149),"")</f>
      </c>
      <c r="AJ149" s="7">
        <f>IFERROR(IF([1]对账明细接口!$AF149=0,"",[1]对账明细接口!$AF149),"")</f>
      </c>
    </row>
    <row r="150" ht="14.25" customHeight="1" s="127">
      <c r="A150" s="14" t="n">
        <v>150</v>
      </c>
      <c r="B150" s="211">
        <f>IFERROR(IF([1]对账明细接口!$B$150=0,"",[1]对账明细接口!$B$150),"")</f>
        <v>46272.0</v>
      </c>
      <c r="C150" s="16" t="str">
        <f>IFERROR(IF([1]对账明细接口!$C$150=0,"",[1]对账明细接口!$C$150),"")</f>
        <v>吐尔洪</v>
      </c>
      <c r="D150" s="16" t="str">
        <f>IFERROR(IF([1]对账明细接口!$D$150=0,"",[1]对账明细接口!$D$150),"")</f>
        <v>原料入库</v>
      </c>
      <c r="E150" s="16" t="str">
        <f>IFERROR(IF([1]对账明细接口!$E$150=0,"",[1]对账明细接口!$E$150),"")</f>
        <v>NO:0000756</v>
      </c>
      <c r="F150" s="16" t="str">
        <f>IFERROR(IF([1]对账明细接口!$F$150=0,"",[1]对账明细接口!$F$150),"")</f>
        <v>香梨</v>
      </c>
      <c r="G150" s="16" t="str">
        <f>IFERROR(IF([1]对账明细接口!$G$150=0,"",[1]对账明细接口!$G$150),"")</f>
        <v>香梨二级</v>
      </c>
      <c r="H150" s="176">
        <f>IFERROR(IF([1]对账明细接口!$H$150=0,"",[1]对账明细接口!$H$150),"")</f>
        <v>67</v>
      </c>
      <c r="I150" s="16" t="str">
        <f>IFERROR(IF([1]对账明细接口!$I$150=0,"",[1]对账明细接口!$I$150),"")</f>
        <v>筐</v>
      </c>
      <c r="J150" s="177">
        <f>IFERROR(IF([1]对账明细接口!$J$150=0,"",[1]对账明细接口!$J$150),"")</f>
        <v>1494.1</v>
      </c>
      <c r="K150" s="177">
        <f>IFERROR(IF([1]对账明细接口!$K$150=0,"",[1]对账明细接口!$K$150),"")</f>
      </c>
      <c r="L150" s="16">
        <f>IFERROR(IF([1]对账明细接口!$L$150=0,"",[1]对账明细接口!$L$150),"")</f>
      </c>
      <c r="M150" s="16" t="str">
        <f>IFERROR(IF([1]对账明细接口!$M$150=0,"",[1]对账明细接口!$M$150),"")</f>
        <v>麦麦提</v>
      </c>
      <c r="N150" s="19">
        <f>IF($C150="",0,1)</f>
        <v>1</v>
      </c>
      <c r="O150" s="19">
        <f>N(O149)+$N150</f>
        <v>147</v>
      </c>
      <c r="S150" s="20" t="str">
        <f>IFERROR(IF([1]对账明细接口!$N150=0,"",[1]对账明细接口!$N150),"")</f>
        <v>公司红周转筐</v>
      </c>
      <c r="T150" s="212">
        <f>IFERROR(IF([1]对账明细接口!$O150=0,"",[1]对账明细接口!$O150),"")</f>
      </c>
      <c r="U150" s="212">
        <f>IFERROR(IF([1]对账明细接口!$P150=0,"",[1]对账明细接口!$P150),"")</f>
      </c>
      <c r="V150" s="212">
        <f>IFERROR(IF([1]对账明细接口!$Q150=0,"",[1]对账明细接口!$Q150),"")</f>
        <v>67</v>
      </c>
      <c r="W150" s="20" t="str">
        <f>IFERROR(IF([1]对账明细接口!$R150=0,"",[1]对账明细接口!$R150),"")</f>
        <v>新N*X8S48</v>
      </c>
      <c r="X150" s="20" t="str">
        <f>IFERROR(IF([1]对账明细接口!$S150=0,"",[1]对账明细接口!$S150),"")</f>
        <v>公司筐</v>
      </c>
      <c r="Y150" s="20">
        <f>IFERROR(IF([1]对账明细接口!$T150=0,"",[1]对账明细接口!$T150),"")</f>
      </c>
      <c r="Z150" s="213">
        <f>IFERROR(IF([1]对账明细接口!$U150=0,"",[1]对账明细接口!$U150),"")</f>
      </c>
      <c r="AA150" s="213">
        <f>IFERROR(IF([1]对账明细接口!$V150=0,"",[1]对账明细接口!$V150),"")</f>
      </c>
      <c r="AB150" s="20">
        <f>IFERROR(IF([1]对账明细接口!$W150=0,"",[1]对账明细接口!$W150),"")</f>
      </c>
      <c r="AC150" s="7">
        <f>IFERROR(IF([1]对账明细接口!$X150=0,"",[1]对账明细接口!$X150),"")</f>
      </c>
      <c r="AD150" s="7">
        <f>IFERROR(IF([1]对账明细接口!$Y150=0,"",[1]对账明细接口!$Y150),"")</f>
      </c>
      <c r="AE150" s="7">
        <f>IFERROR(IF([1]对账明细接口!$AA150=0,"",[1]对账明细接口!$AA150),"")</f>
      </c>
      <c r="AF150" s="7">
        <f>IFERROR(IF([1]对账明细接口!$AB150=0,"",[1]对账明细接口!$AB150),"")</f>
      </c>
      <c r="AG150" s="7">
        <f>IFERROR(IF([1]对账明细接口!$AC150=0,"",[1]对账明细接口!$AC150),"")</f>
      </c>
      <c r="AH150" s="7">
        <f>IFERROR(IF([1]对账明细接口!$AD150=0,"",[1]对账明细接口!$AD150),"")</f>
      </c>
      <c r="AI150" s="7">
        <f>IFERROR(IF([1]对账明细接口!$AE150=0,"",[1]对账明细接口!$AE150),"")</f>
      </c>
      <c r="AJ150" s="7">
        <f>IFERROR(IF([1]对账明细接口!$AF150=0,"",[1]对账明细接口!$AF150),"")</f>
      </c>
    </row>
    <row r="151" ht="14.25" customHeight="1" s="127">
      <c r="A151" s="14" t="n">
        <v>151</v>
      </c>
      <c r="B151" s="211">
        <f>IFERROR(IF([1]对账明细接口!$B$151=0,"",[1]对账明细接口!$B$151),"")</f>
        <v>46272.0</v>
      </c>
      <c r="C151" s="16" t="str">
        <f>IFERROR(IF([1]对账明细接口!$C$151=0,"",[1]对账明细接口!$C$151),"")</f>
        <v>马锦祥</v>
      </c>
      <c r="D151" s="16" t="str">
        <f>IFERROR(IF([1]对账明细接口!$D$151=0,"",[1]对账明细接口!$D$151),"")</f>
        <v>原料入库</v>
      </c>
      <c r="E151" s="16" t="str">
        <f>IFERROR(IF([1]对账明细接口!$E$151=0,"",[1]对账明细接口!$E$151),"")</f>
        <v>NO:0000757</v>
      </c>
      <c r="F151" s="16" t="str">
        <f>IFERROR(IF([1]对账明细接口!$F$151=0,"",[1]对账明细接口!$F$151),"")</f>
        <v>香梨</v>
      </c>
      <c r="G151" s="16" t="str">
        <f>IFERROR(IF([1]对账明细接口!$G$151=0,"",[1]对账明细接口!$G$151),"")</f>
        <v>香梨一级</v>
      </c>
      <c r="H151" s="176">
        <f>IFERROR(IF([1]对账明细接口!$H$151=0,"",[1]对账明细接口!$H$151),"")</f>
        <v>320</v>
      </c>
      <c r="I151" s="16" t="str">
        <f>IFERROR(IF([1]对账明细接口!$I$151=0,"",[1]对账明细接口!$I$151),"")</f>
        <v>筐</v>
      </c>
      <c r="J151" s="177">
        <f>IFERROR(IF([1]对账明细接口!$J$151=0,"",[1]对账明细接口!$J$151),"")</f>
        <v>5856</v>
      </c>
      <c r="K151" s="177">
        <f>IFERROR(IF([1]对账明细接口!$K$151=0,"",[1]对账明细接口!$K$151),"")</f>
      </c>
      <c r="L151" s="16">
        <f>IFERROR(IF([1]对账明细接口!$L$151=0,"",[1]对账明细接口!$L$151),"")</f>
      </c>
      <c r="M151" s="16">
        <f>IFERROR(IF([1]对账明细接口!$M$151=0,"",[1]对账明细接口!$M$151),"")</f>
      </c>
      <c r="N151" s="19">
        <f>IF($C151="",0,1)</f>
        <v>1</v>
      </c>
      <c r="O151" s="19">
        <f>N(O150)+$N151</f>
        <v>148</v>
      </c>
      <c r="S151" s="20" t="str">
        <f>IFERROR(IF([1]对账明细接口!$N151=0,"",[1]对账明细接口!$N151),"")</f>
        <v>公司杂周转筐</v>
      </c>
      <c r="T151" s="212">
        <f>IFERROR(IF([1]对账明细接口!$O151=0,"",[1]对账明细接口!$O151),"")</f>
      </c>
      <c r="U151" s="212">
        <f>IFERROR(IF([1]对账明细接口!$P151=0,"",[1]对账明细接口!$P151),"")</f>
      </c>
      <c r="V151" s="212">
        <f>IFERROR(IF([1]对账明细接口!$Q151=0,"",[1]对账明细接口!$Q151),"")</f>
        <v>320</v>
      </c>
      <c r="W151" s="20" t="str">
        <f>IFERROR(IF([1]对账明细接口!$R151=0,"",[1]对账明细接口!$R151),"")</f>
        <v>新N*K7V85</v>
      </c>
      <c r="X151" s="20" t="str">
        <f>IFERROR(IF([1]对账明细接口!$S151=0,"",[1]对账明细接口!$S151),"")</f>
        <v>公司筐</v>
      </c>
      <c r="Y151" s="20">
        <f>IFERROR(IF([1]对账明细接口!$T151=0,"",[1]对账明细接口!$T151),"")</f>
      </c>
      <c r="Z151" s="213">
        <f>IFERROR(IF([1]对账明细接口!$U151=0,"",[1]对账明细接口!$U151),"")</f>
      </c>
      <c r="AA151" s="213">
        <f>IFERROR(IF([1]对账明细接口!$V151=0,"",[1]对账明细接口!$V151),"")</f>
      </c>
      <c r="AB151" s="20">
        <f>IFERROR(IF([1]对账明细接口!$W151=0,"",[1]对账明细接口!$W151),"")</f>
      </c>
      <c r="AC151" s="7">
        <f>IFERROR(IF([1]对账明细接口!$X151=0,"",[1]对账明细接口!$X151),"")</f>
      </c>
      <c r="AD151" s="7">
        <f>IFERROR(IF([1]对账明细接口!$Y151=0,"",[1]对账明细接口!$Y151),"")</f>
      </c>
      <c r="AE151" s="7">
        <f>IFERROR(IF([1]对账明细接口!$AA151=0,"",[1]对账明细接口!$AA151),"")</f>
      </c>
      <c r="AF151" s="7">
        <f>IFERROR(IF([1]对账明细接口!$AB151=0,"",[1]对账明细接口!$AB151),"")</f>
      </c>
      <c r="AG151" s="7">
        <f>IFERROR(IF([1]对账明细接口!$AC151=0,"",[1]对账明细接口!$AC151),"")</f>
      </c>
      <c r="AH151" s="7">
        <f>IFERROR(IF([1]对账明细接口!$AD151=0,"",[1]对账明细接口!$AD151),"")</f>
      </c>
      <c r="AI151" s="7">
        <f>IFERROR(IF([1]对账明细接口!$AE151=0,"",[1]对账明细接口!$AE151),"")</f>
      </c>
      <c r="AJ151" s="7">
        <f>IFERROR(IF([1]对账明细接口!$AF151=0,"",[1]对账明细接口!$AF151),"")</f>
      </c>
    </row>
    <row r="152" ht="14.25" customHeight="1" s="127">
      <c r="A152" s="14" t="n">
        <v>152</v>
      </c>
      <c r="B152" s="211">
        <f>IFERROR(IF([1]对账明细接口!$B$152=0,"",[1]对账明细接口!$B$152),"")</f>
        <v>46272.0</v>
      </c>
      <c r="C152" s="16" t="str">
        <f>IFERROR(IF([1]对账明细接口!$C$152=0,"",[1]对账明细接口!$C$152),"")</f>
        <v>马锦祥</v>
      </c>
      <c r="D152" s="16" t="str">
        <f>IFERROR(IF([1]对账明细接口!$D$152=0,"",[1]对账明细接口!$D$152),"")</f>
        <v>原料入库</v>
      </c>
      <c r="E152" s="16" t="str">
        <f>IFERROR(IF([1]对账明细接口!$E$152=0,"",[1]对账明细接口!$E$152),"")</f>
        <v>NO:0000757</v>
      </c>
      <c r="F152" s="16" t="str">
        <f>IFERROR(IF([1]对账明细接口!$F$152=0,"",[1]对账明细接口!$F$152),"")</f>
        <v>香梨</v>
      </c>
      <c r="G152" s="16" t="str">
        <f>IFERROR(IF([1]对账明细接口!$G$152=0,"",[1]对账明细接口!$G$152),"")</f>
        <v>香梨二级</v>
      </c>
      <c r="H152" s="176">
        <f>IFERROR(IF([1]对账明细接口!$H$152=0,"",[1]对账明细接口!$H$152),"")</f>
        <v>64</v>
      </c>
      <c r="I152" s="16" t="str">
        <f>IFERROR(IF([1]对账明细接口!$I$152=0,"",[1]对账明细接口!$I$152),"")</f>
        <v>筐</v>
      </c>
      <c r="J152" s="177">
        <f>IFERROR(IF([1]对账明细接口!$J$152=0,"",[1]对账明细接口!$J$152),"")</f>
        <v>1427.2</v>
      </c>
      <c r="K152" s="177">
        <f>IFERROR(IF([1]对账明细接口!$K$152=0,"",[1]对账明细接口!$K$152),"")</f>
      </c>
      <c r="L152" s="16">
        <f>IFERROR(IF([1]对账明细接口!$L$152=0,"",[1]对账明细接口!$L$152),"")</f>
      </c>
      <c r="M152" s="16">
        <f>IFERROR(IF([1]对账明细接口!$M$152=0,"",[1]对账明细接口!$M$152),"")</f>
      </c>
      <c r="N152" s="19">
        <f>IF($C152="",0,1)</f>
        <v>1</v>
      </c>
      <c r="O152" s="19">
        <f>N(O151)+$N152</f>
        <v>149</v>
      </c>
      <c r="S152" s="20" t="str">
        <f>IFERROR(IF([1]对账明细接口!$N152=0,"",[1]对账明细接口!$N152),"")</f>
        <v>公司杂周转筐</v>
      </c>
      <c r="T152" s="212">
        <f>IFERROR(IF([1]对账明细接口!$O152=0,"",[1]对账明细接口!$O152),"")</f>
      </c>
      <c r="U152" s="212">
        <f>IFERROR(IF([1]对账明细接口!$P152=0,"",[1]对账明细接口!$P152),"")</f>
      </c>
      <c r="V152" s="212">
        <f>IFERROR(IF([1]对账明细接口!$Q152=0,"",[1]对账明细接口!$Q152),"")</f>
        <v>64</v>
      </c>
      <c r="W152" s="20" t="str">
        <f>IFERROR(IF([1]对账明细接口!$R152=0,"",[1]对账明细接口!$R152),"")</f>
        <v>新N*K7V85</v>
      </c>
      <c r="X152" s="20" t="str">
        <f>IFERROR(IF([1]对账明细接口!$S152=0,"",[1]对账明细接口!$S152),"")</f>
        <v>公司筐</v>
      </c>
      <c r="Y152" s="20">
        <f>IFERROR(IF([1]对账明细接口!$T152=0,"",[1]对账明细接口!$T152),"")</f>
      </c>
      <c r="Z152" s="213">
        <f>IFERROR(IF([1]对账明细接口!$U152=0,"",[1]对账明细接口!$U152),"")</f>
      </c>
      <c r="AA152" s="213">
        <f>IFERROR(IF([1]对账明细接口!$V152=0,"",[1]对账明细接口!$V152),"")</f>
      </c>
      <c r="AB152" s="20">
        <f>IFERROR(IF([1]对账明细接口!$W152=0,"",[1]对账明细接口!$W152),"")</f>
      </c>
      <c r="AC152" s="7">
        <f>IFERROR(IF([1]对账明细接口!$X152=0,"",[1]对账明细接口!$X152),"")</f>
      </c>
      <c r="AD152" s="7">
        <f>IFERROR(IF([1]对账明细接口!$Y152=0,"",[1]对账明细接口!$Y152),"")</f>
      </c>
      <c r="AE152" s="7">
        <f>IFERROR(IF([1]对账明细接口!$AA152=0,"",[1]对账明细接口!$AA152),"")</f>
      </c>
      <c r="AF152" s="7">
        <f>IFERROR(IF([1]对账明细接口!$AB152=0,"",[1]对账明细接口!$AB152),"")</f>
      </c>
      <c r="AG152" s="7">
        <f>IFERROR(IF([1]对账明细接口!$AC152=0,"",[1]对账明细接口!$AC152),"")</f>
      </c>
      <c r="AH152" s="7">
        <f>IFERROR(IF([1]对账明细接口!$AD152=0,"",[1]对账明细接口!$AD152),"")</f>
      </c>
      <c r="AI152" s="7">
        <f>IFERROR(IF([1]对账明细接口!$AE152=0,"",[1]对账明细接口!$AE152),"")</f>
      </c>
      <c r="AJ152" s="7">
        <f>IFERROR(IF([1]对账明细接口!$AF152=0,"",[1]对账明细接口!$AF152),"")</f>
      </c>
    </row>
    <row r="153" ht="14.25" customHeight="1" s="127">
      <c r="A153" s="14" t="n">
        <v>153</v>
      </c>
      <c r="B153" s="211">
        <f>IFERROR(IF([1]对账明细接口!$B$153=0,"",[1]对账明细接口!$B$153),"")</f>
        <v>46272.0</v>
      </c>
      <c r="C153" s="16" t="str">
        <f>IFERROR(IF([1]对账明细接口!$C$153=0,"",[1]对账明细接口!$C$153),"")</f>
        <v>马锦祥</v>
      </c>
      <c r="D153" s="16" t="str">
        <f>IFERROR(IF([1]对账明细接口!$D$153=0,"",[1]对账明细接口!$D$153),"")</f>
        <v>原料入库</v>
      </c>
      <c r="E153" s="16" t="str">
        <f>IFERROR(IF([1]对账明细接口!$E$153=0,"",[1]对账明细接口!$E$153),"")</f>
        <v>NO:0000757</v>
      </c>
      <c r="F153" s="16" t="str">
        <f>IFERROR(IF([1]对账明细接口!$F$153=0,"",[1]对账明细接口!$F$153),"")</f>
        <v>香梨</v>
      </c>
      <c r="G153" s="16" t="str">
        <f>IFERROR(IF([1]对账明细接口!$G$153=0,"",[1]对账明细接口!$G$153),"")</f>
        <v>香梨副特</v>
      </c>
      <c r="H153" s="176">
        <f>IFERROR(IF([1]对账明细接口!$H$153=0,"",[1]对账明细接口!$H$153),"")</f>
        <v>16</v>
      </c>
      <c r="I153" s="16" t="str">
        <f>IFERROR(IF([1]对账明细接口!$I$153=0,"",[1]对账明细接口!$I$153),"")</f>
        <v>筐</v>
      </c>
      <c r="J153" s="177">
        <f>IFERROR(IF([1]对账明细接口!$J$153=0,"",[1]对账明细接口!$J$153),"")</f>
        <v>292.8</v>
      </c>
      <c r="K153" s="177">
        <f>IFERROR(IF([1]对账明细接口!$K$153=0,"",[1]对账明细接口!$K$153),"")</f>
      </c>
      <c r="L153" s="16">
        <f>IFERROR(IF([1]对账明细接口!$L$153=0,"",[1]对账明细接口!$L$153),"")</f>
      </c>
      <c r="M153" s="16">
        <f>IFERROR(IF([1]对账明细接口!$M$153=0,"",[1]对账明细接口!$M$153),"")</f>
      </c>
      <c r="N153" s="19">
        <f>IF($C153="",0,1)</f>
        <v>1</v>
      </c>
      <c r="O153" s="19">
        <f>N(O152)+$N153</f>
        <v>150</v>
      </c>
      <c r="S153" s="20" t="str">
        <f>IFERROR(IF([1]对账明细接口!$N153=0,"",[1]对账明细接口!$N153),"")</f>
        <v>公司杂周转筐</v>
      </c>
      <c r="T153" s="212">
        <f>IFERROR(IF([1]对账明细接口!$O153=0,"",[1]对账明细接口!$O153),"")</f>
      </c>
      <c r="U153" s="212">
        <f>IFERROR(IF([1]对账明细接口!$P153=0,"",[1]对账明细接口!$P153),"")</f>
      </c>
      <c r="V153" s="212">
        <f>IFERROR(IF([1]对账明细接口!$Q153=0,"",[1]对账明细接口!$Q153),"")</f>
        <v>16</v>
      </c>
      <c r="W153" s="20" t="str">
        <f>IFERROR(IF([1]对账明细接口!$R153=0,"",[1]对账明细接口!$R153),"")</f>
        <v>新N*K7V85</v>
      </c>
      <c r="X153" s="20" t="str">
        <f>IFERROR(IF([1]对账明细接口!$S153=0,"",[1]对账明细接口!$S153),"")</f>
        <v>公司筐</v>
      </c>
      <c r="Y153" s="20">
        <f>IFERROR(IF([1]对账明细接口!$T153=0,"",[1]对账明细接口!$T153),"")</f>
      </c>
      <c r="Z153" s="213">
        <f>IFERROR(IF([1]对账明细接口!$U153=0,"",[1]对账明细接口!$U153),"")</f>
      </c>
      <c r="AA153" s="213">
        <f>IFERROR(IF([1]对账明细接口!$V153=0,"",[1]对账明细接口!$V153),"")</f>
      </c>
      <c r="AB153" s="20">
        <f>IFERROR(IF([1]对账明细接口!$W153=0,"",[1]对账明细接口!$W153),"")</f>
      </c>
      <c r="AC153" s="7">
        <f>IFERROR(IF([1]对账明细接口!$X153=0,"",[1]对账明细接口!$X153),"")</f>
      </c>
      <c r="AD153" s="7">
        <f>IFERROR(IF([1]对账明细接口!$Y153=0,"",[1]对账明细接口!$Y153),"")</f>
      </c>
      <c r="AE153" s="7">
        <f>IFERROR(IF([1]对账明细接口!$AA153=0,"",[1]对账明细接口!$AA153),"")</f>
      </c>
      <c r="AF153" s="7">
        <f>IFERROR(IF([1]对账明细接口!$AB153=0,"",[1]对账明细接口!$AB153),"")</f>
      </c>
      <c r="AG153" s="7">
        <f>IFERROR(IF([1]对账明细接口!$AC153=0,"",[1]对账明细接口!$AC153),"")</f>
      </c>
      <c r="AH153" s="7">
        <f>IFERROR(IF([1]对账明细接口!$AD153=0,"",[1]对账明细接口!$AD153),"")</f>
      </c>
      <c r="AI153" s="7">
        <f>IFERROR(IF([1]对账明细接口!$AE153=0,"",[1]对账明细接口!$AE153),"")</f>
      </c>
      <c r="AJ153" s="7">
        <f>IFERROR(IF([1]对账明细接口!$AF153=0,"",[1]对账明细接口!$AF153),"")</f>
      </c>
    </row>
    <row r="154" ht="14.25" customHeight="1" s="127">
      <c r="A154" s="14" t="n">
        <v>154</v>
      </c>
      <c r="B154" s="211">
        <f>IFERROR(IF([1]对账明细接口!$B$154=0,"",[1]对账明细接口!$B$154),"")</f>
        <v>46272.0</v>
      </c>
      <c r="C154" s="16" t="str">
        <f>IFERROR(IF([1]对账明细接口!$C$154=0,"",[1]对账明细接口!$C$154),"")</f>
        <v>热合曼</v>
      </c>
      <c r="D154" s="16" t="str">
        <f>IFERROR(IF([1]对账明细接口!$D$154=0,"",[1]对账明细接口!$D$154),"")</f>
        <v>原料入库</v>
      </c>
      <c r="E154" s="16" t="str">
        <f>IFERROR(IF([1]对账明细接口!$E$154=0,"",[1]对账明细接口!$E$154),"")</f>
        <v>NO:0000758</v>
      </c>
      <c r="F154" s="16" t="str">
        <f>IFERROR(IF([1]对账明细接口!$F$154=0,"",[1]对账明细接口!$F$154),"")</f>
        <v>香梨</v>
      </c>
      <c r="G154" s="16" t="str">
        <f>IFERROR(IF([1]对账明细接口!$G$154=0,"",[1]对账明细接口!$G$154),"")</f>
        <v>香梨一级</v>
      </c>
      <c r="H154" s="176">
        <f>IFERROR(IF([1]对账明细接口!$H$154=0,"",[1]对账明细接口!$H$154),"")</f>
        <v>129</v>
      </c>
      <c r="I154" s="16" t="str">
        <f>IFERROR(IF([1]对账明细接口!$I$154=0,"",[1]对账明细接口!$I$154),"")</f>
        <v>筐</v>
      </c>
      <c r="J154" s="177">
        <f>IFERROR(IF([1]对账明细接口!$J$154=0,"",[1]对账明细接口!$J$154),"")</f>
        <v>2360.7</v>
      </c>
      <c r="K154" s="177">
        <f>IFERROR(IF([1]对账明细接口!$K$154=0,"",[1]对账明细接口!$K$154),"")</f>
      </c>
      <c r="L154" s="16">
        <f>IFERROR(IF([1]对账明细接口!$L$154=0,"",[1]对账明细接口!$L$154),"")</f>
      </c>
      <c r="M154" s="16">
        <f>IFERROR(IF([1]对账明细接口!$M$154=0,"",[1]对账明细接口!$M$154),"")</f>
      </c>
      <c r="N154" s="19">
        <f>IF($C154="",0,1)</f>
        <v>1</v>
      </c>
      <c r="O154" s="19">
        <f>N(O153)+$N154</f>
        <v>151</v>
      </c>
      <c r="S154" s="20" t="str">
        <f>IFERROR(IF([1]对账明细接口!$N154=0,"",[1]对账明细接口!$N154),"")</f>
        <v>公司红周转筐</v>
      </c>
      <c r="T154" s="212">
        <f>IFERROR(IF([1]对账明细接口!$O154=0,"",[1]对账明细接口!$O154),"")</f>
      </c>
      <c r="U154" s="212">
        <f>IFERROR(IF([1]对账明细接口!$P154=0,"",[1]对账明细接口!$P154),"")</f>
      </c>
      <c r="V154" s="212">
        <f>IFERROR(IF([1]对账明细接口!$Q154=0,"",[1]对账明细接口!$Q154),"")</f>
        <v>129</v>
      </c>
      <c r="W154" s="20" t="str">
        <f>IFERROR(IF([1]对账明细接口!$R154=0,"",[1]对账明细接口!$R154),"")</f>
        <v>新A*G0554</v>
      </c>
      <c r="X154" s="20" t="str">
        <f>IFERROR(IF([1]对账明细接口!$S154=0,"",[1]对账明细接口!$S154),"")</f>
        <v>公司筐</v>
      </c>
      <c r="Y154" s="20">
        <f>IFERROR(IF([1]对账明细接口!$T154=0,"",[1]对账明细接口!$T154),"")</f>
      </c>
      <c r="Z154" s="213">
        <f>IFERROR(IF([1]对账明细接口!$U154=0,"",[1]对账明细接口!$U154),"")</f>
      </c>
      <c r="AA154" s="213">
        <f>IFERROR(IF([1]对账明细接口!$V154=0,"",[1]对账明细接口!$V154),"")</f>
      </c>
      <c r="AB154" s="20">
        <f>IFERROR(IF([1]对账明细接口!$W154=0,"",[1]对账明细接口!$W154),"")</f>
      </c>
      <c r="AC154" s="7">
        <f>IFERROR(IF([1]对账明细接口!$X154=0,"",[1]对账明细接口!$X154),"")</f>
      </c>
      <c r="AD154" s="7">
        <f>IFERROR(IF([1]对账明细接口!$Y154=0,"",[1]对账明细接口!$Y154),"")</f>
      </c>
      <c r="AE154" s="7">
        <f>IFERROR(IF([1]对账明细接口!$AA154=0,"",[1]对账明细接口!$AA154),"")</f>
      </c>
      <c r="AF154" s="7">
        <f>IFERROR(IF([1]对账明细接口!$AB154=0,"",[1]对账明细接口!$AB154),"")</f>
      </c>
      <c r="AG154" s="7">
        <f>IFERROR(IF([1]对账明细接口!$AC154=0,"",[1]对账明细接口!$AC154),"")</f>
      </c>
      <c r="AH154" s="7">
        <f>IFERROR(IF([1]对账明细接口!$AD154=0,"",[1]对账明细接口!$AD154),"")</f>
      </c>
      <c r="AI154" s="7">
        <f>IFERROR(IF([1]对账明细接口!$AE154=0,"",[1]对账明细接口!$AE154),"")</f>
      </c>
      <c r="AJ154" s="7">
        <f>IFERROR(IF([1]对账明细接口!$AF154=0,"",[1]对账明细接口!$AF154),"")</f>
      </c>
    </row>
    <row r="155" ht="14.25" customHeight="1" s="127">
      <c r="A155" s="14" t="n">
        <v>155</v>
      </c>
      <c r="B155" s="211">
        <f>IFERROR(IF([1]对账明细接口!$B$155=0,"",[1]对账明细接口!$B$155),"")</f>
        <v>46272.0</v>
      </c>
      <c r="C155" s="16" t="str">
        <f>IFERROR(IF([1]对账明细接口!$C$155=0,"",[1]对账明细接口!$C$155),"")</f>
        <v>热合曼</v>
      </c>
      <c r="D155" s="16" t="str">
        <f>IFERROR(IF([1]对账明细接口!$D$155=0,"",[1]对账明细接口!$D$155),"")</f>
        <v>原料入库</v>
      </c>
      <c r="E155" s="16" t="str">
        <f>IFERROR(IF([1]对账明细接口!$E$155=0,"",[1]对账明细接口!$E$155),"")</f>
        <v>NO:0000758</v>
      </c>
      <c r="F155" s="16" t="str">
        <f>IFERROR(IF([1]对账明细接口!$F$155=0,"",[1]对账明细接口!$F$155),"")</f>
        <v>香梨</v>
      </c>
      <c r="G155" s="16" t="str">
        <f>IFERROR(IF([1]对账明细接口!$G$155=0,"",[1]对账明细接口!$G$155),"")</f>
        <v>香梨二级</v>
      </c>
      <c r="H155" s="176">
        <f>IFERROR(IF([1]对账明细接口!$H$155=0,"",[1]对账明细接口!$H$155),"")</f>
        <v>119</v>
      </c>
      <c r="I155" s="16" t="str">
        <f>IFERROR(IF([1]对账明细接口!$I$155=0,"",[1]对账明细接口!$I$155),"")</f>
        <v>筐</v>
      </c>
      <c r="J155" s="177">
        <f>IFERROR(IF([1]对账明细接口!$J$155=0,"",[1]对账明细接口!$J$155),"")</f>
        <v>2653.7</v>
      </c>
      <c r="K155" s="177">
        <f>IFERROR(IF([1]对账明细接口!$K$155=0,"",[1]对账明细接口!$K$155),"")</f>
      </c>
      <c r="L155" s="16">
        <f>IFERROR(IF([1]对账明细接口!$L$155=0,"",[1]对账明细接口!$L$155),"")</f>
      </c>
      <c r="M155" s="16">
        <f>IFERROR(IF([1]对账明细接口!$M$155=0,"",[1]对账明细接口!$M$155),"")</f>
      </c>
      <c r="N155" s="19">
        <f>IF($C155="",0,1)</f>
        <v>1</v>
      </c>
      <c r="O155" s="19">
        <f>N(O154)+$N155</f>
        <v>152</v>
      </c>
      <c r="S155" s="20" t="str">
        <f>IFERROR(IF([1]对账明细接口!$N155=0,"",[1]对账明细接口!$N155),"")</f>
        <v>公司红周转筐</v>
      </c>
      <c r="T155" s="212">
        <f>IFERROR(IF([1]对账明细接口!$O155=0,"",[1]对账明细接口!$O155),"")</f>
      </c>
      <c r="U155" s="212">
        <f>IFERROR(IF([1]对账明细接口!$P155=0,"",[1]对账明细接口!$P155),"")</f>
      </c>
      <c r="V155" s="212">
        <f>IFERROR(IF([1]对账明细接口!$Q155=0,"",[1]对账明细接口!$Q155),"")</f>
        <v>119</v>
      </c>
      <c r="W155" s="20" t="str">
        <f>IFERROR(IF([1]对账明细接口!$R155=0,"",[1]对账明细接口!$R155),"")</f>
        <v>新A*G0554</v>
      </c>
      <c r="X155" s="20" t="str">
        <f>IFERROR(IF([1]对账明细接口!$S155=0,"",[1]对账明细接口!$S155),"")</f>
        <v>公司筐</v>
      </c>
      <c r="Y155" s="20">
        <f>IFERROR(IF([1]对账明细接口!$T155=0,"",[1]对账明细接口!$T155),"")</f>
      </c>
      <c r="Z155" s="213">
        <f>IFERROR(IF([1]对账明细接口!$U155=0,"",[1]对账明细接口!$U155),"")</f>
      </c>
      <c r="AA155" s="213">
        <f>IFERROR(IF([1]对账明细接口!$V155=0,"",[1]对账明细接口!$V155),"")</f>
      </c>
      <c r="AB155" s="20">
        <f>IFERROR(IF([1]对账明细接口!$W155=0,"",[1]对账明细接口!$W155),"")</f>
      </c>
      <c r="AC155" s="7">
        <f>IFERROR(IF([1]对账明细接口!$X155=0,"",[1]对账明细接口!$X155),"")</f>
      </c>
      <c r="AD155" s="7">
        <f>IFERROR(IF([1]对账明细接口!$Y155=0,"",[1]对账明细接口!$Y155),"")</f>
      </c>
      <c r="AE155" s="7">
        <f>IFERROR(IF([1]对账明细接口!$AA155=0,"",[1]对账明细接口!$AA155),"")</f>
      </c>
      <c r="AF155" s="7">
        <f>IFERROR(IF([1]对账明细接口!$AB155=0,"",[1]对账明细接口!$AB155),"")</f>
      </c>
      <c r="AG155" s="7">
        <f>IFERROR(IF([1]对账明细接口!$AC155=0,"",[1]对账明细接口!$AC155),"")</f>
      </c>
      <c r="AH155" s="7">
        <f>IFERROR(IF([1]对账明细接口!$AD155=0,"",[1]对账明细接口!$AD155),"")</f>
      </c>
      <c r="AI155" s="7">
        <f>IFERROR(IF([1]对账明细接口!$AE155=0,"",[1]对账明细接口!$AE155),"")</f>
      </c>
      <c r="AJ155" s="7">
        <f>IFERROR(IF([1]对账明细接口!$AF155=0,"",[1]对账明细接口!$AF155),"")</f>
      </c>
    </row>
    <row r="156" ht="14.25" customHeight="1" s="127">
      <c r="A156" s="14" t="n">
        <v>156</v>
      </c>
      <c r="B156" s="211">
        <f>IFERROR(IF([1]对账明细接口!$B$156=0,"",[1]对账明细接口!$B$156),"")</f>
        <v>46272.0</v>
      </c>
      <c r="C156" s="16" t="str">
        <f>IFERROR(IF([1]对账明细接口!$C$156=0,"",[1]对账明细接口!$C$156),"")</f>
        <v>热合曼</v>
      </c>
      <c r="D156" s="16" t="str">
        <f>IFERROR(IF([1]对账明细接口!$D$156=0,"",[1]对账明细接口!$D$156),"")</f>
        <v>原料入库</v>
      </c>
      <c r="E156" s="16" t="str">
        <f>IFERROR(IF([1]对账明细接口!$E$156=0,"",[1]对账明细接口!$E$156),"")</f>
        <v>NO:0000758</v>
      </c>
      <c r="F156" s="16" t="str">
        <f>IFERROR(IF([1]对账明细接口!$F$156=0,"",[1]对账明细接口!$F$156),"")</f>
        <v>香梨</v>
      </c>
      <c r="G156" s="16" t="str">
        <f>IFERROR(IF([1]对账明细接口!$G$156=0,"",[1]对账明细接口!$G$156),"")</f>
        <v>香梨副特</v>
      </c>
      <c r="H156" s="176">
        <f>IFERROR(IF([1]对账明细接口!$H$156=0,"",[1]对账明细接口!$H$156),"")</f>
        <v>262</v>
      </c>
      <c r="I156" s="16" t="str">
        <f>IFERROR(IF([1]对账明细接口!$I$156=0,"",[1]对账明细接口!$I$156),"")</f>
        <v>筐</v>
      </c>
      <c r="J156" s="177">
        <f>IFERROR(IF([1]对账明细接口!$J$156=0,"",[1]对账明细接口!$J$156),"")</f>
        <v>5056.6</v>
      </c>
      <c r="K156" s="177">
        <f>IFERROR(IF([1]对账明细接口!$K$156=0,"",[1]对账明细接口!$K$156),"")</f>
      </c>
      <c r="L156" s="16">
        <f>IFERROR(IF([1]对账明细接口!$L$156=0,"",[1]对账明细接口!$L$156),"")</f>
      </c>
      <c r="M156" s="16">
        <f>IFERROR(IF([1]对账明细接口!$M$156=0,"",[1]对账明细接口!$M$156),"")</f>
      </c>
      <c r="N156" s="19">
        <f>IF($C156="",0,1)</f>
        <v>1</v>
      </c>
      <c r="O156" s="19">
        <f>N(O155)+$N156</f>
        <v>153</v>
      </c>
      <c r="S156" s="20" t="str">
        <f>IFERROR(IF([1]对账明细接口!$N156=0,"",[1]对账明细接口!$N156),"")</f>
        <v>公司红周转筐</v>
      </c>
      <c r="T156" s="212">
        <f>IFERROR(IF([1]对账明细接口!$O156=0,"",[1]对账明细接口!$O156),"")</f>
      </c>
      <c r="U156" s="212">
        <f>IFERROR(IF([1]对账明细接口!$P156=0,"",[1]对账明细接口!$P156),"")</f>
      </c>
      <c r="V156" s="212">
        <f>IFERROR(IF([1]对账明细接口!$Q156=0,"",[1]对账明细接口!$Q156),"")</f>
        <v>262</v>
      </c>
      <c r="W156" s="20" t="str">
        <f>IFERROR(IF([1]对账明细接口!$R156=0,"",[1]对账明细接口!$R156),"")</f>
        <v>新A*G0554</v>
      </c>
      <c r="X156" s="20" t="str">
        <f>IFERROR(IF([1]对账明细接口!$S156=0,"",[1]对账明细接口!$S156),"")</f>
        <v>公司筐</v>
      </c>
      <c r="Y156" s="20">
        <f>IFERROR(IF([1]对账明细接口!$T156=0,"",[1]对账明细接口!$T156),"")</f>
      </c>
      <c r="Z156" s="213">
        <f>IFERROR(IF([1]对账明细接口!$U156=0,"",[1]对账明细接口!$U156),"")</f>
      </c>
      <c r="AA156" s="213">
        <f>IFERROR(IF([1]对账明细接口!$V156=0,"",[1]对账明细接口!$V156),"")</f>
      </c>
      <c r="AB156" s="20">
        <f>IFERROR(IF([1]对账明细接口!$W156=0,"",[1]对账明细接口!$W156),"")</f>
      </c>
      <c r="AC156" s="7">
        <f>IFERROR(IF([1]对账明细接口!$X156=0,"",[1]对账明细接口!$X156),"")</f>
      </c>
      <c r="AD156" s="7">
        <f>IFERROR(IF([1]对账明细接口!$Y156=0,"",[1]对账明细接口!$Y156),"")</f>
      </c>
      <c r="AE156" s="7">
        <f>IFERROR(IF([1]对账明细接口!$AA156=0,"",[1]对账明细接口!$AA156),"")</f>
      </c>
      <c r="AF156" s="7">
        <f>IFERROR(IF([1]对账明细接口!$AB156=0,"",[1]对账明细接口!$AB156),"")</f>
      </c>
      <c r="AG156" s="7">
        <f>IFERROR(IF([1]对账明细接口!$AC156=0,"",[1]对账明细接口!$AC156),"")</f>
      </c>
      <c r="AH156" s="7">
        <f>IFERROR(IF([1]对账明细接口!$AD156=0,"",[1]对账明细接口!$AD156),"")</f>
      </c>
      <c r="AI156" s="7">
        <f>IFERROR(IF([1]对账明细接口!$AE156=0,"",[1]对账明细接口!$AE156),"")</f>
      </c>
      <c r="AJ156" s="7">
        <f>IFERROR(IF([1]对账明细接口!$AF156=0,"",[1]对账明细接口!$AF156),"")</f>
      </c>
    </row>
    <row r="157" ht="14.25" customHeight="1" s="127">
      <c r="A157" s="14" t="n">
        <v>157</v>
      </c>
      <c r="B157" s="211">
        <f>IFERROR(IF([1]对账明细接口!$B$157=0,"",[1]对账明细接口!$B$157),"")</f>
        <v>46273.0</v>
      </c>
      <c r="C157" s="16" t="str">
        <f>IFERROR(IF([1]对账明细接口!$C$157=0,"",[1]对账明细接口!$C$157),"")</f>
        <v>贾建国</v>
      </c>
      <c r="D157" s="16" t="str">
        <f>IFERROR(IF([1]对账明细接口!$D$157=0,"",[1]对账明细接口!$D$157),"")</f>
        <v>原料入库</v>
      </c>
      <c r="E157" s="16" t="str">
        <f>IFERROR(IF([1]对账明细接口!$E$157=0,"",[1]对账明细接口!$E$157),"")</f>
        <v>NO:0000760</v>
      </c>
      <c r="F157" s="16" t="str">
        <f>IFERROR(IF([1]对账明细接口!$F$157=0,"",[1]对账明细接口!$F$157),"")</f>
        <v>香梨</v>
      </c>
      <c r="G157" s="16" t="str">
        <f>IFERROR(IF([1]对账明细接口!$G$157=0,"",[1]对账明细接口!$G$157),"")</f>
        <v>香梨副特</v>
      </c>
      <c r="H157" s="176">
        <f>IFERROR(IF([1]对账明细接口!$H$157=0,"",[1]对账明细接口!$H$157),"")</f>
        <v>144</v>
      </c>
      <c r="I157" s="16" t="str">
        <f>IFERROR(IF([1]对账明细接口!$I$157=0,"",[1]对账明细接口!$I$157),"")</f>
        <v>筐</v>
      </c>
      <c r="J157" s="177">
        <f>IFERROR(IF([1]对账明细接口!$J$157=0,"",[1]对账明细接口!$J$157),"")</f>
        <v>2779.2</v>
      </c>
      <c r="K157" s="177">
        <f>IFERROR(IF([1]对账明细接口!$K$157=0,"",[1]对账明细接口!$K$157),"")</f>
      </c>
      <c r="L157" s="16">
        <f>IFERROR(IF([1]对账明细接口!$L$157=0,"",[1]对账明细接口!$L$157),"")</f>
      </c>
      <c r="M157" s="16">
        <f>IFERROR(IF([1]对账明细接口!$M$157=0,"",[1]对账明细接口!$M$157),"")</f>
      </c>
      <c r="N157" s="19">
        <f>IF($C157="",0,1)</f>
        <v>1</v>
      </c>
      <c r="O157" s="19">
        <f>N(O156)+$N157</f>
        <v>154</v>
      </c>
      <c r="S157" s="20" t="str">
        <f>IFERROR(IF([1]对账明细接口!$N157=0,"",[1]对账明细接口!$N157),"")</f>
        <v>自备一次性筐</v>
      </c>
      <c r="T157" s="212">
        <f>IFERROR(IF([1]对账明细接口!$O157=0,"",[1]对账明细接口!$O157),"")</f>
      </c>
      <c r="U157" s="212">
        <f>IFERROR(IF([1]对账明细接口!$P157=0,"",[1]对账明细接口!$P157),"")</f>
      </c>
      <c r="V157" s="212">
        <f>IFERROR(IF([1]对账明细接口!$Q157=0,"",[1]对账明细接口!$Q157),"")</f>
        <v>144</v>
      </c>
      <c r="W157" s="20" t="str">
        <f>IFERROR(IF([1]对账明细接口!$R157=0,"",[1]对账明细接口!$R157),"")</f>
        <v>豫Q*H5591</v>
      </c>
      <c r="X157" s="20" t="str">
        <f>IFERROR(IF([1]对账明细接口!$S157=0,"",[1]对账明细接口!$S157),"")</f>
        <v>自备筐</v>
      </c>
      <c r="Y157" s="20">
        <f>IFERROR(IF([1]对账明细接口!$T157=0,"",[1]对账明细接口!$T157),"")</f>
      </c>
      <c r="Z157" s="213">
        <f>IFERROR(IF([1]对账明细接口!$U157=0,"",[1]对账明细接口!$U157),"")</f>
      </c>
      <c r="AA157" s="213">
        <f>IFERROR(IF([1]对账明细接口!$V157=0,"",[1]对账明细接口!$V157),"")</f>
      </c>
      <c r="AB157" s="20">
        <f>IFERROR(IF([1]对账明细接口!$W157=0,"",[1]对账明细接口!$W157),"")</f>
      </c>
      <c r="AC157" s="7">
        <f>IFERROR(IF([1]对账明细接口!$X157=0,"",[1]对账明细接口!$X157),"")</f>
      </c>
      <c r="AD157" s="7">
        <f>IFERROR(IF([1]对账明细接口!$Y157=0,"",[1]对账明细接口!$Y157),"")</f>
      </c>
      <c r="AE157" s="7">
        <f>IFERROR(IF([1]对账明细接口!$AA157=0,"",[1]对账明细接口!$AA157),"")</f>
      </c>
      <c r="AF157" s="7">
        <f>IFERROR(IF([1]对账明细接口!$AB157=0,"",[1]对账明细接口!$AB157),"")</f>
      </c>
      <c r="AG157" s="7">
        <f>IFERROR(IF([1]对账明细接口!$AC157=0,"",[1]对账明细接口!$AC157),"")</f>
      </c>
      <c r="AH157" s="7">
        <f>IFERROR(IF([1]对账明细接口!$AD157=0,"",[1]对账明细接口!$AD157),"")</f>
      </c>
      <c r="AI157" s="7">
        <f>IFERROR(IF([1]对账明细接口!$AE157=0,"",[1]对账明细接口!$AE157),"")</f>
      </c>
      <c r="AJ157" s="7">
        <f>IFERROR(IF([1]对账明细接口!$AF157=0,"",[1]对账明细接口!$AF157),"")</f>
      </c>
    </row>
    <row r="158" ht="14.25" customHeight="1" s="127">
      <c r="A158" s="14" t="n">
        <v>158</v>
      </c>
      <c r="B158" s="211">
        <f>IFERROR(IF([1]对账明细接口!$B$158=0,"",[1]对账明细接口!$B$158),"")</f>
        <v>46273.0</v>
      </c>
      <c r="C158" s="16" t="str">
        <f>IFERROR(IF([1]对账明细接口!$C$158=0,"",[1]对账明细接口!$C$158),"")</f>
        <v>贾建国</v>
      </c>
      <c r="D158" s="16" t="str">
        <f>IFERROR(IF([1]对账明细接口!$D$158=0,"",[1]对账明细接口!$D$158),"")</f>
        <v>原料入库</v>
      </c>
      <c r="E158" s="16" t="str">
        <f>IFERROR(IF([1]对账明细接口!$E$158=0,"",[1]对账明细接口!$E$158),"")</f>
        <v>NO:0000760</v>
      </c>
      <c r="F158" s="16" t="str">
        <f>IFERROR(IF([1]对账明细接口!$F$158=0,"",[1]对账明细接口!$F$158),"")</f>
        <v>香梨</v>
      </c>
      <c r="G158" s="16" t="str">
        <f>IFERROR(IF([1]对账明细接口!$G$158=0,"",[1]对账明细接口!$G$158),"")</f>
        <v>香梨二级</v>
      </c>
      <c r="H158" s="176">
        <f>IFERROR(IF([1]对账明细接口!$H$158=0,"",[1]对账明细接口!$H$158),"")</f>
        <v>24</v>
      </c>
      <c r="I158" s="16" t="str">
        <f>IFERROR(IF([1]对账明细接口!$I$158=0,"",[1]对账明细接口!$I$158),"")</f>
        <v>筐</v>
      </c>
      <c r="J158" s="177">
        <f>IFERROR(IF([1]对账明细接口!$J$158=0,"",[1]对账明细接口!$J$158),"")</f>
        <v>540</v>
      </c>
      <c r="K158" s="177">
        <f>IFERROR(IF([1]对账明细接口!$K$158=0,"",[1]对账明细接口!$K$158),"")</f>
      </c>
      <c r="L158" s="16">
        <f>IFERROR(IF([1]对账明细接口!$L$158=0,"",[1]对账明细接口!$L$158),"")</f>
      </c>
      <c r="M158" s="16">
        <f>IFERROR(IF([1]对账明细接口!$M$158=0,"",[1]对账明细接口!$M$158),"")</f>
      </c>
      <c r="N158" s="19">
        <f>IF($C158="",0,1)</f>
        <v>1</v>
      </c>
      <c r="O158" s="19">
        <f>N(O157)+$N158</f>
        <v>155</v>
      </c>
      <c r="S158" s="20" t="str">
        <f>IFERROR(IF([1]对账明细接口!$N158=0,"",[1]对账明细接口!$N158),"")</f>
        <v>自备杂周转筐</v>
      </c>
      <c r="T158" s="212">
        <f>IFERROR(IF([1]对账明细接口!$O158=0,"",[1]对账明细接口!$O158),"")</f>
      </c>
      <c r="U158" s="212">
        <f>IFERROR(IF([1]对账明细接口!$P158=0,"",[1]对账明细接口!$P158),"")</f>
      </c>
      <c r="V158" s="212">
        <f>IFERROR(IF([1]对账明细接口!$Q158=0,"",[1]对账明细接口!$Q158),"")</f>
        <v>24</v>
      </c>
      <c r="W158" s="20" t="str">
        <f>IFERROR(IF([1]对账明细接口!$R158=0,"",[1]对账明细接口!$R158),"")</f>
        <v>豫Q*H5591</v>
      </c>
      <c r="X158" s="20" t="str">
        <f>IFERROR(IF([1]对账明细接口!$S158=0,"",[1]对账明细接口!$S158),"")</f>
        <v>自备筐</v>
      </c>
      <c r="Y158" s="20">
        <f>IFERROR(IF([1]对账明细接口!$T158=0,"",[1]对账明细接口!$T158),"")</f>
      </c>
      <c r="Z158" s="213">
        <f>IFERROR(IF([1]对账明细接口!$U158=0,"",[1]对账明细接口!$U158),"")</f>
      </c>
      <c r="AA158" s="213">
        <f>IFERROR(IF([1]对账明细接口!$V158=0,"",[1]对账明细接口!$V158),"")</f>
      </c>
      <c r="AB158" s="20">
        <f>IFERROR(IF([1]对账明细接口!$W158=0,"",[1]对账明细接口!$W158),"")</f>
      </c>
      <c r="AC158" s="7">
        <f>IFERROR(IF([1]对账明细接口!$X158=0,"",[1]对账明细接口!$X158),"")</f>
      </c>
      <c r="AD158" s="7">
        <f>IFERROR(IF([1]对账明细接口!$Y158=0,"",[1]对账明细接口!$Y158),"")</f>
      </c>
      <c r="AE158" s="7">
        <f>IFERROR(IF([1]对账明细接口!$AA158=0,"",[1]对账明细接口!$AA158),"")</f>
      </c>
      <c r="AF158" s="7">
        <f>IFERROR(IF([1]对账明细接口!$AB158=0,"",[1]对账明细接口!$AB158),"")</f>
      </c>
      <c r="AG158" s="7">
        <f>IFERROR(IF([1]对账明细接口!$AC158=0,"",[1]对账明细接口!$AC158),"")</f>
      </c>
      <c r="AH158" s="7">
        <f>IFERROR(IF([1]对账明细接口!$AD158=0,"",[1]对账明细接口!$AD158),"")</f>
      </c>
      <c r="AI158" s="7">
        <f>IFERROR(IF([1]对账明细接口!$AE158=0,"",[1]对账明细接口!$AE158),"")</f>
      </c>
      <c r="AJ158" s="7">
        <f>IFERROR(IF([1]对账明细接口!$AF158=0,"",[1]对账明细接口!$AF158),"")</f>
      </c>
    </row>
    <row r="159" ht="14.25" customHeight="1" s="127">
      <c r="A159" s="14" t="n">
        <v>159</v>
      </c>
      <c r="B159" s="211">
        <f>IFERROR(IF([1]对账明细接口!$B$159=0,"",[1]对账明细接口!$B$159),"")</f>
        <v>46274.0</v>
      </c>
      <c r="C159" s="16" t="str">
        <f>IFERROR(IF([1]对账明细接口!$C$159=0,"",[1]对账明细接口!$C$159),"")</f>
        <v>吐尔洪</v>
      </c>
      <c r="D159" s="16" t="str">
        <f>IFERROR(IF([1]对账明细接口!$D$159=0,"",[1]对账明细接口!$D$159),"")</f>
        <v>原料入库</v>
      </c>
      <c r="E159" s="16" t="str">
        <f>IFERROR(IF([1]对账明细接口!$E$159=0,"",[1]对账明细接口!$E$159),"")</f>
        <v>NO:0000762</v>
      </c>
      <c r="F159" s="16" t="str">
        <f>IFERROR(IF([1]对账明细接口!$F$159=0,"",[1]对账明细接口!$F$159),"")</f>
        <v>香梨</v>
      </c>
      <c r="G159" s="16" t="str">
        <f>IFERROR(IF([1]对账明细接口!$G$159=0,"",[1]对账明细接口!$G$159),"")</f>
        <v>香梨特级</v>
      </c>
      <c r="H159" s="176">
        <f>IFERROR(IF([1]对账明细接口!$H$159=0,"",[1]对账明细接口!$H$159),"")</f>
        <v>91</v>
      </c>
      <c r="I159" s="16" t="str">
        <f>IFERROR(IF([1]对账明细接口!$I$159=0,"",[1]对账明细接口!$I$159),"")</f>
        <v>筐</v>
      </c>
      <c r="J159" s="177">
        <f>IFERROR(IF([1]对账明细接口!$J$159=0,"",[1]对账明细接口!$J$159),"")</f>
        <v>1665.3</v>
      </c>
      <c r="K159" s="177">
        <f>IFERROR(IF([1]对账明细接口!$K$159=0,"",[1]对账明细接口!$K$159),"")</f>
      </c>
      <c r="L159" s="16">
        <f>IFERROR(IF([1]对账明细接口!$L$159=0,"",[1]对账明细接口!$L$159),"")</f>
      </c>
      <c r="M159" s="16" t="str">
        <f>IFERROR(IF([1]对账明细接口!$M$159=0,"",[1]对账明细接口!$M$159),"")</f>
        <v>麦麦提</v>
      </c>
      <c r="N159" s="19">
        <f>IF($C159="",0,1)</f>
        <v>1</v>
      </c>
      <c r="O159" s="19">
        <f>N(O158)+$N159</f>
        <v>156</v>
      </c>
      <c r="S159" s="20" t="str">
        <f>IFERROR(IF([1]对账明细接口!$N159=0,"",[1]对账明细接口!$N159),"")</f>
        <v>公司红周转筐</v>
      </c>
      <c r="T159" s="212">
        <f>IFERROR(IF([1]对账明细接口!$O159=0,"",[1]对账明细接口!$O159),"")</f>
      </c>
      <c r="U159" s="212">
        <f>IFERROR(IF([1]对账明细接口!$P159=0,"",[1]对账明细接口!$P159),"")</f>
      </c>
      <c r="V159" s="212">
        <f>IFERROR(IF([1]对账明细接口!$Q159=0,"",[1]对账明细接口!$Q159),"")</f>
        <v>91</v>
      </c>
      <c r="W159" s="20" t="str">
        <f>IFERROR(IF([1]对账明细接口!$R159=0,"",[1]对账明细接口!$R159),"")</f>
        <v>新N*X8S48</v>
      </c>
      <c r="X159" s="20" t="str">
        <f>IFERROR(IF([1]对账明细接口!$S159=0,"",[1]对账明细接口!$S159),"")</f>
        <v>公司筐</v>
      </c>
      <c r="Y159" s="20">
        <f>IFERROR(IF([1]对账明细接口!$T159=0,"",[1]对账明细接口!$T159),"")</f>
      </c>
      <c r="Z159" s="213">
        <f>IFERROR(IF([1]对账明细接口!$U159=0,"",[1]对账明细接口!$U159),"")</f>
      </c>
      <c r="AA159" s="213">
        <f>IFERROR(IF([1]对账明细接口!$V159=0,"",[1]对账明细接口!$V159),"")</f>
      </c>
      <c r="AB159" s="20">
        <f>IFERROR(IF([1]对账明细接口!$W159=0,"",[1]对账明细接口!$W159),"")</f>
      </c>
      <c r="AC159" s="7">
        <f>IFERROR(IF([1]对账明细接口!$X159=0,"",[1]对账明细接口!$X159),"")</f>
      </c>
      <c r="AD159" s="7">
        <f>IFERROR(IF([1]对账明细接口!$Y159=0,"",[1]对账明细接口!$Y159),"")</f>
      </c>
      <c r="AE159" s="7">
        <f>IFERROR(IF([1]对账明细接口!$AA159=0,"",[1]对账明细接口!$AA159),"")</f>
      </c>
      <c r="AF159" s="7">
        <f>IFERROR(IF([1]对账明细接口!$AB159=0,"",[1]对账明细接口!$AB159),"")</f>
      </c>
      <c r="AG159" s="7">
        <f>IFERROR(IF([1]对账明细接口!$AC159=0,"",[1]对账明细接口!$AC159),"")</f>
      </c>
      <c r="AH159" s="7">
        <f>IFERROR(IF([1]对账明细接口!$AD159=0,"",[1]对账明细接口!$AD159),"")</f>
      </c>
      <c r="AI159" s="7">
        <f>IFERROR(IF([1]对账明细接口!$AE159=0,"",[1]对账明细接口!$AE159),"")</f>
      </c>
      <c r="AJ159" s="7">
        <f>IFERROR(IF([1]对账明细接口!$AF159=0,"",[1]对账明细接口!$AF159),"")</f>
      </c>
    </row>
    <row r="160" ht="14.25" customHeight="1" s="127">
      <c r="A160" s="14" t="n">
        <v>160</v>
      </c>
      <c r="B160" s="211">
        <f>IFERROR(IF([1]对账明细接口!$B$160=0,"",[1]对账明细接口!$B$160),"")</f>
        <v>46274.0</v>
      </c>
      <c r="C160" s="16" t="str">
        <f>IFERROR(IF([1]对账明细接口!$C$160=0,"",[1]对账明细接口!$C$160),"")</f>
        <v>吐尔洪</v>
      </c>
      <c r="D160" s="16" t="str">
        <f>IFERROR(IF([1]对账明细接口!$D$160=0,"",[1]对账明细接口!$D$160),"")</f>
        <v>原料入库</v>
      </c>
      <c r="E160" s="16" t="str">
        <f>IFERROR(IF([1]对账明细接口!$E$160=0,"",[1]对账明细接口!$E$160),"")</f>
        <v>NO:0000762</v>
      </c>
      <c r="F160" s="16" t="str">
        <f>IFERROR(IF([1]对账明细接口!$F$160=0,"",[1]对账明细接口!$F$160),"")</f>
        <v>香梨</v>
      </c>
      <c r="G160" s="16" t="str">
        <f>IFERROR(IF([1]对账明细接口!$G$160=0,"",[1]对账明细接口!$G$160),"")</f>
        <v>香梨一级</v>
      </c>
      <c r="H160" s="176">
        <f>IFERROR(IF([1]对账明细接口!$H$160=0,"",[1]对账明细接口!$H$160),"")</f>
        <v>79</v>
      </c>
      <c r="I160" s="16" t="str">
        <f>IFERROR(IF([1]对账明细接口!$I$160=0,"",[1]对账明细接口!$I$160),"")</f>
        <v>筐</v>
      </c>
      <c r="J160" s="177">
        <f>IFERROR(IF([1]对账明细接口!$J$160=0,"",[1]对账明细接口!$J$160),"")</f>
        <v>1445.7</v>
      </c>
      <c r="K160" s="177">
        <f>IFERROR(IF([1]对账明细接口!$K$160=0,"",[1]对账明细接口!$K$160),"")</f>
      </c>
      <c r="L160" s="16">
        <f>IFERROR(IF([1]对账明细接口!$L$160=0,"",[1]对账明细接口!$L$160),"")</f>
      </c>
      <c r="M160" s="16" t="str">
        <f>IFERROR(IF([1]对账明细接口!$M$160=0,"",[1]对账明细接口!$M$160),"")</f>
        <v>麦麦提</v>
      </c>
      <c r="N160" s="19">
        <f>IF($C160="",0,1)</f>
        <v>1</v>
      </c>
      <c r="O160" s="19">
        <f>N(O159)+$N160</f>
        <v>157</v>
      </c>
      <c r="S160" s="20" t="str">
        <f>IFERROR(IF([1]对账明细接口!$N160=0,"",[1]对账明细接口!$N160),"")</f>
        <v>公司红周转筐</v>
      </c>
      <c r="T160" s="212">
        <f>IFERROR(IF([1]对账明细接口!$O160=0,"",[1]对账明细接口!$O160),"")</f>
      </c>
      <c r="U160" s="212">
        <f>IFERROR(IF([1]对账明细接口!$P160=0,"",[1]对账明细接口!$P160),"")</f>
      </c>
      <c r="V160" s="212">
        <f>IFERROR(IF([1]对账明细接口!$Q160=0,"",[1]对账明细接口!$Q160),"")</f>
        <v>79</v>
      </c>
      <c r="W160" s="20" t="str">
        <f>IFERROR(IF([1]对账明细接口!$R160=0,"",[1]对账明细接口!$R160),"")</f>
        <v>新N*X8S48</v>
      </c>
      <c r="X160" s="20" t="str">
        <f>IFERROR(IF([1]对账明细接口!$S160=0,"",[1]对账明细接口!$S160),"")</f>
        <v>公司筐</v>
      </c>
      <c r="Y160" s="20">
        <f>IFERROR(IF([1]对账明细接口!$T160=0,"",[1]对账明细接口!$T160),"")</f>
      </c>
      <c r="Z160" s="213">
        <f>IFERROR(IF([1]对账明细接口!$U160=0,"",[1]对账明细接口!$U160),"")</f>
      </c>
      <c r="AA160" s="213">
        <f>IFERROR(IF([1]对账明细接口!$V160=0,"",[1]对账明细接口!$V160),"")</f>
      </c>
      <c r="AB160" s="20">
        <f>IFERROR(IF([1]对账明细接口!$W160=0,"",[1]对账明细接口!$W160),"")</f>
      </c>
      <c r="AC160" s="7">
        <f>IFERROR(IF([1]对账明细接口!$X160=0,"",[1]对账明细接口!$X160),"")</f>
      </c>
      <c r="AD160" s="7">
        <f>IFERROR(IF([1]对账明细接口!$Y160=0,"",[1]对账明细接口!$Y160),"")</f>
      </c>
      <c r="AE160" s="7">
        <f>IFERROR(IF([1]对账明细接口!$AA160=0,"",[1]对账明细接口!$AA160),"")</f>
      </c>
      <c r="AF160" s="7">
        <f>IFERROR(IF([1]对账明细接口!$AB160=0,"",[1]对账明细接口!$AB160),"")</f>
      </c>
      <c r="AG160" s="7">
        <f>IFERROR(IF([1]对账明细接口!$AC160=0,"",[1]对账明细接口!$AC160),"")</f>
      </c>
      <c r="AH160" s="7">
        <f>IFERROR(IF([1]对账明细接口!$AD160=0,"",[1]对账明细接口!$AD160),"")</f>
      </c>
      <c r="AI160" s="7">
        <f>IFERROR(IF([1]对账明细接口!$AE160=0,"",[1]对账明细接口!$AE160),"")</f>
      </c>
      <c r="AJ160" s="7">
        <f>IFERROR(IF([1]对账明细接口!$AF160=0,"",[1]对账明细接口!$AF160),"")</f>
      </c>
    </row>
    <row r="161" ht="14.25" customHeight="1" s="127">
      <c r="A161" s="14" t="n">
        <v>161</v>
      </c>
      <c r="B161" s="211">
        <f>IFERROR(IF([1]对账明细接口!$B$161=0,"",[1]对账明细接口!$B$161),"")</f>
        <v>46274.0</v>
      </c>
      <c r="C161" s="16" t="str">
        <f>IFERROR(IF([1]对账明细接口!$C$161=0,"",[1]对账明细接口!$C$161),"")</f>
        <v>吐尔洪</v>
      </c>
      <c r="D161" s="16" t="str">
        <f>IFERROR(IF([1]对账明细接口!$D$161=0,"",[1]对账明细接口!$D$161),"")</f>
        <v>原料入库</v>
      </c>
      <c r="E161" s="16" t="str">
        <f>IFERROR(IF([1]对账明细接口!$E$161=0,"",[1]对账明细接口!$E$161),"")</f>
        <v>NO:0000762</v>
      </c>
      <c r="F161" s="16" t="str">
        <f>IFERROR(IF([1]对账明细接口!$F$161=0,"",[1]对账明细接口!$F$161),"")</f>
        <v>香梨</v>
      </c>
      <c r="G161" s="16" t="str">
        <f>IFERROR(IF([1]对账明细接口!$G$161=0,"",[1]对账明细接口!$G$161),"")</f>
        <v>香梨二级</v>
      </c>
      <c r="H161" s="176">
        <f>IFERROR(IF([1]对账明细接口!$H$161=0,"",[1]对账明细接口!$H$161),"")</f>
        <v>72</v>
      </c>
      <c r="I161" s="16" t="str">
        <f>IFERROR(IF([1]对账明细接口!$I$161=0,"",[1]对账明细接口!$I$161),"")</f>
        <v>筐</v>
      </c>
      <c r="J161" s="177">
        <f>IFERROR(IF([1]对账明细接口!$J$161=0,"",[1]对账明细接口!$J$161),"")</f>
        <v>1605.6</v>
      </c>
      <c r="K161" s="177">
        <f>IFERROR(IF([1]对账明细接口!$K$161=0,"",[1]对账明细接口!$K$161),"")</f>
      </c>
      <c r="L161" s="16">
        <f>IFERROR(IF([1]对账明细接口!$L$161=0,"",[1]对账明细接口!$L$161),"")</f>
      </c>
      <c r="M161" s="16" t="str">
        <f>IFERROR(IF([1]对账明细接口!$M$161=0,"",[1]对账明细接口!$M$161),"")</f>
        <v>麦麦提</v>
      </c>
      <c r="N161" s="19">
        <f>IF($C161="",0,1)</f>
        <v>1</v>
      </c>
      <c r="O161" s="19">
        <f>N(O160)+$N161</f>
        <v>158</v>
      </c>
      <c r="S161" s="20" t="str">
        <f>IFERROR(IF([1]对账明细接口!$N161=0,"",[1]对账明细接口!$N161),"")</f>
        <v>公司红周转筐</v>
      </c>
      <c r="T161" s="212">
        <f>IFERROR(IF([1]对账明细接口!$O161=0,"",[1]对账明细接口!$O161),"")</f>
      </c>
      <c r="U161" s="212">
        <f>IFERROR(IF([1]对账明细接口!$P161=0,"",[1]对账明细接口!$P161),"")</f>
      </c>
      <c r="V161" s="212">
        <f>IFERROR(IF([1]对账明细接口!$Q161=0,"",[1]对账明细接口!$Q161),"")</f>
        <v>72</v>
      </c>
      <c r="W161" s="20" t="str">
        <f>IFERROR(IF([1]对账明细接口!$R161=0,"",[1]对账明细接口!$R161),"")</f>
        <v>新N*X8S48</v>
      </c>
      <c r="X161" s="20" t="str">
        <f>IFERROR(IF([1]对账明细接口!$S161=0,"",[1]对账明细接口!$S161),"")</f>
        <v>公司筐</v>
      </c>
      <c r="Y161" s="20">
        <f>IFERROR(IF([1]对账明细接口!$T161=0,"",[1]对账明细接口!$T161),"")</f>
      </c>
      <c r="Z161" s="213">
        <f>IFERROR(IF([1]对账明细接口!$U161=0,"",[1]对账明细接口!$U161),"")</f>
      </c>
      <c r="AA161" s="213">
        <f>IFERROR(IF([1]对账明细接口!$V161=0,"",[1]对账明细接口!$V161),"")</f>
      </c>
      <c r="AB161" s="20">
        <f>IFERROR(IF([1]对账明细接口!$W161=0,"",[1]对账明细接口!$W161),"")</f>
      </c>
      <c r="AC161" s="7">
        <f>IFERROR(IF([1]对账明细接口!$X161=0,"",[1]对账明细接口!$X161),"")</f>
      </c>
      <c r="AD161" s="7">
        <f>IFERROR(IF([1]对账明细接口!$Y161=0,"",[1]对账明细接口!$Y161),"")</f>
      </c>
      <c r="AE161" s="7">
        <f>IFERROR(IF([1]对账明细接口!$AA161=0,"",[1]对账明细接口!$AA161),"")</f>
      </c>
      <c r="AF161" s="7">
        <f>IFERROR(IF([1]对账明细接口!$AB161=0,"",[1]对账明细接口!$AB161),"")</f>
      </c>
      <c r="AG161" s="7">
        <f>IFERROR(IF([1]对账明细接口!$AC161=0,"",[1]对账明细接口!$AC161),"")</f>
      </c>
      <c r="AH161" s="7">
        <f>IFERROR(IF([1]对账明细接口!$AD161=0,"",[1]对账明细接口!$AD161),"")</f>
      </c>
      <c r="AI161" s="7">
        <f>IFERROR(IF([1]对账明细接口!$AE161=0,"",[1]对账明细接口!$AE161),"")</f>
      </c>
      <c r="AJ161" s="7">
        <f>IFERROR(IF([1]对账明细接口!$AF161=0,"",[1]对账明细接口!$AF161),"")</f>
      </c>
    </row>
    <row r="162" ht="14.25" customHeight="1" s="127">
      <c r="A162" s="14" t="n">
        <v>162</v>
      </c>
      <c r="B162" s="211">
        <f>IFERROR(IF([1]对账明细接口!$B$162=0,"",[1]对账明细接口!$B$162),"")</f>
        <v>46274.0</v>
      </c>
      <c r="C162" s="16" t="str">
        <f>IFERROR(IF([1]对账明细接口!$C$162=0,"",[1]对账明细接口!$C$162),"")</f>
        <v>麦麦提</v>
      </c>
      <c r="D162" s="16" t="str">
        <f>IFERROR(IF([1]对账明细接口!$D$162=0,"",[1]对账明细接口!$D$162),"")</f>
        <v>原料入库</v>
      </c>
      <c r="E162" s="16" t="str">
        <f>IFERROR(IF([1]对账明细接口!$E$162=0,"",[1]对账明细接口!$E$162),"")</f>
        <v>NO:0000764</v>
      </c>
      <c r="F162" s="16" t="str">
        <f>IFERROR(IF([1]对账明细接口!$F$162=0,"",[1]对账明细接口!$F$162),"")</f>
        <v>香梨</v>
      </c>
      <c r="G162" s="16" t="str">
        <f>IFERROR(IF([1]对账明细接口!$G$162=0,"",[1]对账明细接口!$G$162),"")</f>
        <v>香梨特级</v>
      </c>
      <c r="H162" s="176">
        <f>IFERROR(IF([1]对账明细接口!$H$162=0,"",[1]对账明细接口!$H$162),"")</f>
        <v>264</v>
      </c>
      <c r="I162" s="16" t="str">
        <f>IFERROR(IF([1]对账明细接口!$I$162=0,"",[1]对账明细接口!$I$162),"")</f>
        <v>筐</v>
      </c>
      <c r="J162" s="177">
        <f>IFERROR(IF([1]对账明细接口!$J$162=0,"",[1]对账明细接口!$J$162),"")</f>
        <v>4831.2</v>
      </c>
      <c r="K162" s="177">
        <f>IFERROR(IF([1]对账明细接口!$K$162=0,"",[1]对账明细接口!$K$162),"")</f>
      </c>
      <c r="L162" s="16">
        <f>IFERROR(IF([1]对账明细接口!$L$162=0,"",[1]对账明细接口!$L$162),"")</f>
      </c>
      <c r="M162" s="16">
        <f>IFERROR(IF([1]对账明细接口!$M$162=0,"",[1]对账明细接口!$M$162),"")</f>
      </c>
      <c r="N162" s="19">
        <f>IF($C162="",0,1)</f>
        <v>1</v>
      </c>
      <c r="O162" s="19">
        <f>N(O161)+$N162</f>
        <v>159</v>
      </c>
      <c r="S162" s="20" t="str">
        <f>IFERROR(IF([1]对账明细接口!$N162=0,"",[1]对账明细接口!$N162),"")</f>
        <v>公司红周转筐</v>
      </c>
      <c r="T162" s="212">
        <f>IFERROR(IF([1]对账明细接口!$O162=0,"",[1]对账明细接口!$O162),"")</f>
      </c>
      <c r="U162" s="212">
        <f>IFERROR(IF([1]对账明细接口!$P162=0,"",[1]对账明细接口!$P162),"")</f>
      </c>
      <c r="V162" s="212">
        <f>IFERROR(IF([1]对账明细接口!$Q162=0,"",[1]对账明细接口!$Q162),"")</f>
        <v>264</v>
      </c>
      <c r="W162" s="20" t="str">
        <f>IFERROR(IF([1]对账明细接口!$R162=0,"",[1]对账明细接口!$R162),"")</f>
        <v>新A*G0554</v>
      </c>
      <c r="X162" s="20" t="str">
        <f>IFERROR(IF([1]对账明细接口!$S162=0,"",[1]对账明细接口!$S162),"")</f>
        <v>公司筐</v>
      </c>
      <c r="Y162" s="20">
        <f>IFERROR(IF([1]对账明细接口!$T162=0,"",[1]对账明细接口!$T162),"")</f>
      </c>
      <c r="Z162" s="213">
        <f>IFERROR(IF([1]对账明细接口!$U162=0,"",[1]对账明细接口!$U162),"")</f>
      </c>
      <c r="AA162" s="213">
        <f>IFERROR(IF([1]对账明细接口!$V162=0,"",[1]对账明细接口!$V162),"")</f>
      </c>
      <c r="AB162" s="20">
        <f>IFERROR(IF([1]对账明细接口!$W162=0,"",[1]对账明细接口!$W162),"")</f>
      </c>
      <c r="AC162" s="7">
        <f>IFERROR(IF([1]对账明细接口!$X162=0,"",[1]对账明细接口!$X162),"")</f>
      </c>
      <c r="AD162" s="7">
        <f>IFERROR(IF([1]对账明细接口!$Y162=0,"",[1]对账明细接口!$Y162),"")</f>
      </c>
      <c r="AE162" s="7">
        <f>IFERROR(IF([1]对账明细接口!$AA162=0,"",[1]对账明细接口!$AA162),"")</f>
      </c>
      <c r="AF162" s="7">
        <f>IFERROR(IF([1]对账明细接口!$AB162=0,"",[1]对账明细接口!$AB162),"")</f>
      </c>
      <c r="AG162" s="7">
        <f>IFERROR(IF([1]对账明细接口!$AC162=0,"",[1]对账明细接口!$AC162),"")</f>
      </c>
      <c r="AH162" s="7">
        <f>IFERROR(IF([1]对账明细接口!$AD162=0,"",[1]对账明细接口!$AD162),"")</f>
      </c>
      <c r="AI162" s="7">
        <f>IFERROR(IF([1]对账明细接口!$AE162=0,"",[1]对账明细接口!$AE162),"")</f>
      </c>
      <c r="AJ162" s="7">
        <f>IFERROR(IF([1]对账明细接口!$AF162=0,"",[1]对账明细接口!$AF162),"")</f>
      </c>
    </row>
    <row r="163" ht="14.25" customHeight="1" s="127">
      <c r="A163" s="14" t="n">
        <v>163</v>
      </c>
      <c r="B163" s="211">
        <f>IFERROR(IF([1]对账明细接口!$B$163=0,"",[1]对账明细接口!$B$163),"")</f>
        <v>46274.0</v>
      </c>
      <c r="C163" s="16" t="str">
        <f>IFERROR(IF([1]对账明细接口!$C$163=0,"",[1]对账明细接口!$C$163),"")</f>
        <v>麦麦提</v>
      </c>
      <c r="D163" s="16" t="str">
        <f>IFERROR(IF([1]对账明细接口!$D$163=0,"",[1]对账明细接口!$D$163),"")</f>
        <v>原料入库</v>
      </c>
      <c r="E163" s="16" t="str">
        <f>IFERROR(IF([1]对账明细接口!$E$163=0,"",[1]对账明细接口!$E$163),"")</f>
        <v>NO:0000764</v>
      </c>
      <c r="F163" s="16" t="str">
        <f>IFERROR(IF([1]对账明细接口!$F$163=0,"",[1]对账明细接口!$F$163),"")</f>
        <v>香梨</v>
      </c>
      <c r="G163" s="16" t="str">
        <f>IFERROR(IF([1]对账明细接口!$G$163=0,"",[1]对账明细接口!$G$163),"")</f>
        <v>香梨一级</v>
      </c>
      <c r="H163" s="176">
        <f>IFERROR(IF([1]对账明细接口!$H$163=0,"",[1]对账明细接口!$H$163),"")</f>
        <v>191</v>
      </c>
      <c r="I163" s="16" t="str">
        <f>IFERROR(IF([1]对账明细接口!$I$163=0,"",[1]对账明细接口!$I$163),"")</f>
        <v>筐</v>
      </c>
      <c r="J163" s="177">
        <f>IFERROR(IF([1]对账明细接口!$J$163=0,"",[1]对账明细接口!$J$163),"")</f>
        <v>3495.3</v>
      </c>
      <c r="K163" s="177">
        <f>IFERROR(IF([1]对账明细接口!$K$163=0,"",[1]对账明细接口!$K$163),"")</f>
      </c>
      <c r="L163" s="16">
        <f>IFERROR(IF([1]对账明细接口!$L$163=0,"",[1]对账明细接口!$L$163),"")</f>
      </c>
      <c r="M163" s="16">
        <f>IFERROR(IF([1]对账明细接口!$M$163=0,"",[1]对账明细接口!$M$163),"")</f>
      </c>
      <c r="N163" s="19">
        <f>IF($C163="",0,1)</f>
        <v>1</v>
      </c>
      <c r="O163" s="19">
        <f>N(O162)+$N163</f>
        <v>160</v>
      </c>
      <c r="S163" s="20" t="str">
        <f>IFERROR(IF([1]对账明细接口!$N163=0,"",[1]对账明细接口!$N163),"")</f>
        <v>公司红周转筐</v>
      </c>
      <c r="T163" s="212">
        <f>IFERROR(IF([1]对账明细接口!$O163=0,"",[1]对账明细接口!$O163),"")</f>
      </c>
      <c r="U163" s="212">
        <f>IFERROR(IF([1]对账明细接口!$P163=0,"",[1]对账明细接口!$P163),"")</f>
      </c>
      <c r="V163" s="212">
        <f>IFERROR(IF([1]对账明细接口!$Q163=0,"",[1]对账明细接口!$Q163),"")</f>
        <v>191</v>
      </c>
      <c r="W163" s="20" t="str">
        <f>IFERROR(IF([1]对账明细接口!$R163=0,"",[1]对账明细接口!$R163),"")</f>
        <v>新A*G0554</v>
      </c>
      <c r="X163" s="20" t="str">
        <f>IFERROR(IF([1]对账明细接口!$S163=0,"",[1]对账明细接口!$S163),"")</f>
        <v>公司筐</v>
      </c>
      <c r="Y163" s="20">
        <f>IFERROR(IF([1]对账明细接口!$T163=0,"",[1]对账明细接口!$T163),"")</f>
      </c>
      <c r="Z163" s="213">
        <f>IFERROR(IF([1]对账明细接口!$U163=0,"",[1]对账明细接口!$U163),"")</f>
      </c>
      <c r="AA163" s="213">
        <f>IFERROR(IF([1]对账明细接口!$V163=0,"",[1]对账明细接口!$V163),"")</f>
      </c>
      <c r="AB163" s="20">
        <f>IFERROR(IF([1]对账明细接口!$W163=0,"",[1]对账明细接口!$W163),"")</f>
      </c>
      <c r="AC163" s="7">
        <f>IFERROR(IF([1]对账明细接口!$X163=0,"",[1]对账明细接口!$X163),"")</f>
      </c>
      <c r="AD163" s="7">
        <f>IFERROR(IF([1]对账明细接口!$Y163=0,"",[1]对账明细接口!$Y163),"")</f>
      </c>
      <c r="AE163" s="7">
        <f>IFERROR(IF([1]对账明细接口!$AA163=0,"",[1]对账明细接口!$AA163),"")</f>
      </c>
      <c r="AF163" s="7">
        <f>IFERROR(IF([1]对账明细接口!$AB163=0,"",[1]对账明细接口!$AB163),"")</f>
      </c>
      <c r="AG163" s="7">
        <f>IFERROR(IF([1]对账明细接口!$AC163=0,"",[1]对账明细接口!$AC163),"")</f>
      </c>
      <c r="AH163" s="7">
        <f>IFERROR(IF([1]对账明细接口!$AD163=0,"",[1]对账明细接口!$AD163),"")</f>
      </c>
      <c r="AI163" s="7">
        <f>IFERROR(IF([1]对账明细接口!$AE163=0,"",[1]对账明细接口!$AE163),"")</f>
      </c>
      <c r="AJ163" s="7">
        <f>IFERROR(IF([1]对账明细接口!$AF163=0,"",[1]对账明细接口!$AF163),"")</f>
      </c>
    </row>
    <row r="164" ht="14.25" customHeight="1" s="127">
      <c r="A164" s="14" t="n">
        <v>164</v>
      </c>
      <c r="B164" s="211">
        <f>IFERROR(IF([1]对账明细接口!$B$164=0,"",[1]对账明细接口!$B$164),"")</f>
        <v>46274.0</v>
      </c>
      <c r="C164" s="16" t="str">
        <f>IFERROR(IF([1]对账明细接口!$C$164=0,"",[1]对账明细接口!$C$164),"")</f>
        <v>麦麦提</v>
      </c>
      <c r="D164" s="16" t="str">
        <f>IFERROR(IF([1]对账明细接口!$D$164=0,"",[1]对账明细接口!$D$164),"")</f>
        <v>原料入库</v>
      </c>
      <c r="E164" s="16" t="str">
        <f>IFERROR(IF([1]对账明细接口!$E$164=0,"",[1]对账明细接口!$E$164),"")</f>
        <v>NO:0000764</v>
      </c>
      <c r="F164" s="16" t="str">
        <f>IFERROR(IF([1]对账明细接口!$F$164=0,"",[1]对账明细接口!$F$164),"")</f>
        <v>香梨</v>
      </c>
      <c r="G164" s="16" t="str">
        <f>IFERROR(IF([1]对账明细接口!$G$164=0,"",[1]对账明细接口!$G$164),"")</f>
        <v>香梨二级</v>
      </c>
      <c r="H164" s="176">
        <f>IFERROR(IF([1]对账明细接口!$H$164=0,"",[1]对账明细接口!$H$164),"")</f>
        <v>177</v>
      </c>
      <c r="I164" s="16" t="str">
        <f>IFERROR(IF([1]对账明细接口!$I$164=0,"",[1]对账明细接口!$I$164),"")</f>
        <v>筐</v>
      </c>
      <c r="J164" s="177">
        <f>IFERROR(IF([1]对账明细接口!$J$164=0,"",[1]对账明细接口!$J$164),"")</f>
        <v>3947.1</v>
      </c>
      <c r="K164" s="177">
        <f>IFERROR(IF([1]对账明细接口!$K$164=0,"",[1]对账明细接口!$K$164),"")</f>
      </c>
      <c r="L164" s="16">
        <f>IFERROR(IF([1]对账明细接口!$L$164=0,"",[1]对账明细接口!$L$164),"")</f>
      </c>
      <c r="M164" s="16">
        <f>IFERROR(IF([1]对账明细接口!$M$164=0,"",[1]对账明细接口!$M$164),"")</f>
      </c>
      <c r="N164" s="19">
        <f>IF($C164="",0,1)</f>
        <v>1</v>
      </c>
      <c r="O164" s="19">
        <f>N(O163)+$N164</f>
        <v>161</v>
      </c>
      <c r="S164" s="20" t="str">
        <f>IFERROR(IF([1]对账明细接口!$N164=0,"",[1]对账明细接口!$N164),"")</f>
        <v>公司红周转筐</v>
      </c>
      <c r="T164" s="212">
        <f>IFERROR(IF([1]对账明细接口!$O164=0,"",[1]对账明细接口!$O164),"")</f>
      </c>
      <c r="U164" s="212">
        <f>IFERROR(IF([1]对账明细接口!$P164=0,"",[1]对账明细接口!$P164),"")</f>
      </c>
      <c r="V164" s="212">
        <f>IFERROR(IF([1]对账明细接口!$Q164=0,"",[1]对账明细接口!$Q164),"")</f>
        <v>177</v>
      </c>
      <c r="W164" s="20" t="str">
        <f>IFERROR(IF([1]对账明细接口!$R164=0,"",[1]对账明细接口!$R164),"")</f>
        <v>新A*G0554</v>
      </c>
      <c r="X164" s="20" t="str">
        <f>IFERROR(IF([1]对账明细接口!$S164=0,"",[1]对账明细接口!$S164),"")</f>
        <v>公司筐</v>
      </c>
      <c r="Y164" s="20">
        <f>IFERROR(IF([1]对账明细接口!$T164=0,"",[1]对账明细接口!$T164),"")</f>
      </c>
      <c r="Z164" s="213">
        <f>IFERROR(IF([1]对账明细接口!$U164=0,"",[1]对账明细接口!$U164),"")</f>
      </c>
      <c r="AA164" s="213">
        <f>IFERROR(IF([1]对账明细接口!$V164=0,"",[1]对账明细接口!$V164),"")</f>
      </c>
      <c r="AB164" s="20">
        <f>IFERROR(IF([1]对账明细接口!$W164=0,"",[1]对账明细接口!$W164),"")</f>
      </c>
      <c r="AC164" s="7">
        <f>IFERROR(IF([1]对账明细接口!$X164=0,"",[1]对账明细接口!$X164),"")</f>
      </c>
      <c r="AD164" s="7">
        <f>IFERROR(IF([1]对账明细接口!$Y164=0,"",[1]对账明细接口!$Y164),"")</f>
      </c>
      <c r="AE164" s="7">
        <f>IFERROR(IF([1]对账明细接口!$AA164=0,"",[1]对账明细接口!$AA164),"")</f>
      </c>
      <c r="AF164" s="7">
        <f>IFERROR(IF([1]对账明细接口!$AB164=0,"",[1]对账明细接口!$AB164),"")</f>
      </c>
      <c r="AG164" s="7">
        <f>IFERROR(IF([1]对账明细接口!$AC164=0,"",[1]对账明细接口!$AC164),"")</f>
      </c>
      <c r="AH164" s="7">
        <f>IFERROR(IF([1]对账明细接口!$AD164=0,"",[1]对账明细接口!$AD164),"")</f>
      </c>
      <c r="AI164" s="7">
        <f>IFERROR(IF([1]对账明细接口!$AE164=0,"",[1]对账明细接口!$AE164),"")</f>
      </c>
      <c r="AJ164" s="7">
        <f>IFERROR(IF([1]对账明细接口!$AF164=0,"",[1]对账明细接口!$AF164),"")</f>
      </c>
    </row>
    <row r="165" ht="14.25" customHeight="1" s="127">
      <c r="A165" s="14" t="n">
        <v>165</v>
      </c>
      <c r="B165" s="211">
        <f>IFERROR(IF([1]对账明细接口!$B$165=0,"",[1]对账明细接口!$B$165),"")</f>
        <v>46274.0</v>
      </c>
      <c r="C165" s="16" t="str">
        <f>IFERROR(IF([1]对账明细接口!$C$165=0,"",[1]对账明细接口!$C$165),"")</f>
        <v>贾建国</v>
      </c>
      <c r="D165" s="16" t="str">
        <f>IFERROR(IF([1]对账明细接口!$D$165=0,"",[1]对账明细接口!$D$165),"")</f>
        <v>原料入库</v>
      </c>
      <c r="E165" s="16" t="str">
        <f>IFERROR(IF([1]对账明细接口!$E$165=0,"",[1]对账明细接口!$E$165),"")</f>
        <v>NO:0000767</v>
      </c>
      <c r="F165" s="16" t="str">
        <f>IFERROR(IF([1]对账明细接口!$F$165=0,"",[1]对账明细接口!$F$165),"")</f>
        <v>香梨</v>
      </c>
      <c r="G165" s="16" t="str">
        <f>IFERROR(IF([1]对账明细接口!$G$165=0,"",[1]对账明细接口!$G$165),"")</f>
        <v>香梨二级</v>
      </c>
      <c r="H165" s="176">
        <f>IFERROR(IF([1]对账明细接口!$H$165=0,"",[1]对账明细接口!$H$165),"")</f>
        <v>170</v>
      </c>
      <c r="I165" s="16" t="str">
        <f>IFERROR(IF([1]对账明细接口!$I$165=0,"",[1]对账明细接口!$I$165),"")</f>
        <v>筐</v>
      </c>
      <c r="J165" s="177">
        <f>IFERROR(IF([1]对账明细接口!$J$165=0,"",[1]对账明细接口!$J$165),"")</f>
        <v>3825</v>
      </c>
      <c r="K165" s="177">
        <f>IFERROR(IF([1]对账明细接口!$K$165=0,"",[1]对账明细接口!$K$165),"")</f>
      </c>
      <c r="L165" s="16">
        <f>IFERROR(IF([1]对账明细接口!$L$165=0,"",[1]对账明细接口!$L$165),"")</f>
      </c>
      <c r="M165" s="16" t="str">
        <f>IFERROR(IF([1]对账明细接口!$M$165=0,"",[1]对账明细接口!$M$165),"")</f>
        <v>二黄</v>
      </c>
      <c r="N165" s="19">
        <f>IF($C165="",0,1)</f>
        <v>1</v>
      </c>
      <c r="O165" s="19">
        <f>N(O164)+$N165</f>
        <v>162</v>
      </c>
      <c r="S165" s="20" t="str">
        <f>IFERROR(IF([1]对账明细接口!$N165=0,"",[1]对账明细接口!$N165),"")</f>
        <v>自备杂周转筐</v>
      </c>
      <c r="T165" s="212">
        <f>IFERROR(IF([1]对账明细接口!$O165=0,"",[1]对账明细接口!$O165),"")</f>
      </c>
      <c r="U165" s="212">
        <f>IFERROR(IF([1]对账明细接口!$P165=0,"",[1]对账明细接口!$P165),"")</f>
      </c>
      <c r="V165" s="212">
        <f>IFERROR(IF([1]对账明细接口!$Q165=0,"",[1]对账明细接口!$Q165),"")</f>
        <v>170</v>
      </c>
      <c r="W165" s="20" t="str">
        <f>IFERROR(IF([1]对账明细接口!$R165=0,"",[1]对账明细接口!$R165),"")</f>
        <v>豫Q*H5591</v>
      </c>
      <c r="X165" s="20" t="str">
        <f>IFERROR(IF([1]对账明细接口!$S165=0,"",[1]对账明细接口!$S165),"")</f>
        <v>自备筐</v>
      </c>
      <c r="Y165" s="20">
        <f>IFERROR(IF([1]对账明细接口!$T165=0,"",[1]对账明细接口!$T165),"")</f>
      </c>
      <c r="Z165" s="213">
        <f>IFERROR(IF([1]对账明细接口!$U165=0,"",[1]对账明细接口!$U165),"")</f>
      </c>
      <c r="AA165" s="213">
        <f>IFERROR(IF([1]对账明细接口!$V165=0,"",[1]对账明细接口!$V165),"")</f>
      </c>
      <c r="AB165" s="20">
        <f>IFERROR(IF([1]对账明细接口!$W165=0,"",[1]对账明细接口!$W165),"")</f>
      </c>
      <c r="AC165" s="7">
        <f>IFERROR(IF([1]对账明细接口!$X165=0,"",[1]对账明细接口!$X165),"")</f>
      </c>
      <c r="AD165" s="7">
        <f>IFERROR(IF([1]对账明细接口!$Y165=0,"",[1]对账明细接口!$Y165),"")</f>
      </c>
      <c r="AE165" s="7">
        <f>IFERROR(IF([1]对账明细接口!$AA165=0,"",[1]对账明细接口!$AA165),"")</f>
      </c>
      <c r="AF165" s="7">
        <f>IFERROR(IF([1]对账明细接口!$AB165=0,"",[1]对账明细接口!$AB165),"")</f>
      </c>
      <c r="AG165" s="7">
        <f>IFERROR(IF([1]对账明细接口!$AC165=0,"",[1]对账明细接口!$AC165),"")</f>
      </c>
      <c r="AH165" s="7">
        <f>IFERROR(IF([1]对账明细接口!$AD165=0,"",[1]对账明细接口!$AD165),"")</f>
      </c>
      <c r="AI165" s="7">
        <f>IFERROR(IF([1]对账明细接口!$AE165=0,"",[1]对账明细接口!$AE165),"")</f>
      </c>
      <c r="AJ165" s="7">
        <f>IFERROR(IF([1]对账明细接口!$AF165=0,"",[1]对账明细接口!$AF165),"")</f>
      </c>
    </row>
    <row r="166" ht="14.25" customHeight="1" s="127">
      <c r="A166" s="14" t="n">
        <v>166</v>
      </c>
      <c r="B166" s="211">
        <f>IFERROR(IF([1]对账明细接口!$B$166=0,"",[1]对账明细接口!$B$166),"")</f>
        <v>46274.0</v>
      </c>
      <c r="C166" s="16" t="str">
        <f>IFERROR(IF([1]对账明细接口!$C$166=0,"",[1]对账明细接口!$C$166),"")</f>
        <v>贾建国</v>
      </c>
      <c r="D166" s="16" t="str">
        <f>IFERROR(IF([1]对账明细接口!$D$166=0,"",[1]对账明细接口!$D$166),"")</f>
        <v>原料入库</v>
      </c>
      <c r="E166" s="16" t="str">
        <f>IFERROR(IF([1]对账明细接口!$E$166=0,"",[1]对账明细接口!$E$166),"")</f>
        <v>NO:0000767</v>
      </c>
      <c r="F166" s="16" t="str">
        <f>IFERROR(IF([1]对账明细接口!$F$166=0,"",[1]对账明细接口!$F$166),"")</f>
        <v>香梨</v>
      </c>
      <c r="G166" s="16" t="str">
        <f>IFERROR(IF([1]对账明细接口!$G$166=0,"",[1]对账明细接口!$G$166),"")</f>
        <v>香梨副特</v>
      </c>
      <c r="H166" s="176">
        <f>IFERROR(IF([1]对账明细接口!$H$166=0,"",[1]对账明细接口!$H$166),"")</f>
        <v>28</v>
      </c>
      <c r="I166" s="16" t="str">
        <f>IFERROR(IF([1]对账明细接口!$I$166=0,"",[1]对账明细接口!$I$166),"")</f>
        <v>筐</v>
      </c>
      <c r="J166" s="177">
        <f>IFERROR(IF([1]对账明细接口!$J$166=0,"",[1]对账明细接口!$J$166),"")</f>
        <v>540.4</v>
      </c>
      <c r="K166" s="177">
        <f>IFERROR(IF([1]对账明细接口!$K$166=0,"",[1]对账明细接口!$K$166),"")</f>
      </c>
      <c r="L166" s="16">
        <f>IFERROR(IF([1]对账明细接口!$L$166=0,"",[1]对账明细接口!$L$166),"")</f>
      </c>
      <c r="M166" s="16" t="str">
        <f>IFERROR(IF([1]对账明细接口!$M$166=0,"",[1]对账明细接口!$M$166),"")</f>
        <v>二黄</v>
      </c>
      <c r="N166" s="19">
        <f>IF($C166="",0,1)</f>
        <v>1</v>
      </c>
      <c r="O166" s="19">
        <f>N(O165)+$N166</f>
        <v>163</v>
      </c>
      <c r="S166" s="20" t="str">
        <f>IFERROR(IF([1]对账明细接口!$N166=0,"",[1]对账明细接口!$N166),"")</f>
        <v>自备一次性筐</v>
      </c>
      <c r="T166" s="212">
        <f>IFERROR(IF([1]对账明细接口!$O166=0,"",[1]对账明细接口!$O166),"")</f>
      </c>
      <c r="U166" s="212">
        <f>IFERROR(IF([1]对账明细接口!$P166=0,"",[1]对账明细接口!$P166),"")</f>
      </c>
      <c r="V166" s="212">
        <f>IFERROR(IF([1]对账明细接口!$Q166=0,"",[1]对账明细接口!$Q166),"")</f>
        <v>28</v>
      </c>
      <c r="W166" s="20" t="str">
        <f>IFERROR(IF([1]对账明细接口!$R166=0,"",[1]对账明细接口!$R166),"")</f>
        <v>豫Q*H5591</v>
      </c>
      <c r="X166" s="20" t="str">
        <f>IFERROR(IF([1]对账明细接口!$S166=0,"",[1]对账明细接口!$S166),"")</f>
        <v>自备筐</v>
      </c>
      <c r="Y166" s="20">
        <f>IFERROR(IF([1]对账明细接口!$T166=0,"",[1]对账明细接口!$T166),"")</f>
      </c>
      <c r="Z166" s="213">
        <f>IFERROR(IF([1]对账明细接口!$U166=0,"",[1]对账明细接口!$U166),"")</f>
      </c>
      <c r="AA166" s="213">
        <f>IFERROR(IF([1]对账明细接口!$V166=0,"",[1]对账明细接口!$V166),"")</f>
      </c>
      <c r="AB166" s="20">
        <f>IFERROR(IF([1]对账明细接口!$W166=0,"",[1]对账明细接口!$W166),"")</f>
      </c>
      <c r="AC166" s="7">
        <f>IFERROR(IF([1]对账明细接口!$X166=0,"",[1]对账明细接口!$X166),"")</f>
      </c>
      <c r="AD166" s="7">
        <f>IFERROR(IF([1]对账明细接口!$Y166=0,"",[1]对账明细接口!$Y166),"")</f>
      </c>
      <c r="AE166" s="7">
        <f>IFERROR(IF([1]对账明细接口!$AA166=0,"",[1]对账明细接口!$AA166),"")</f>
      </c>
      <c r="AF166" s="7">
        <f>IFERROR(IF([1]对账明细接口!$AB166=0,"",[1]对账明细接口!$AB166),"")</f>
      </c>
      <c r="AG166" s="7">
        <f>IFERROR(IF([1]对账明细接口!$AC166=0,"",[1]对账明细接口!$AC166),"")</f>
      </c>
      <c r="AH166" s="7">
        <f>IFERROR(IF([1]对账明细接口!$AD166=0,"",[1]对账明细接口!$AD166),"")</f>
      </c>
      <c r="AI166" s="7">
        <f>IFERROR(IF([1]对账明细接口!$AE166=0,"",[1]对账明细接口!$AE166),"")</f>
      </c>
      <c r="AJ166" s="7">
        <f>IFERROR(IF([1]对账明细接口!$AF166=0,"",[1]对账明细接口!$AF166),"")</f>
      </c>
    </row>
    <row r="167" ht="14.25" customHeight="1" s="127">
      <c r="A167" s="14" t="n">
        <v>167</v>
      </c>
      <c r="B167" s="211">
        <f>IFERROR(IF([1]对账明细接口!$B$167=0,"",[1]对账明细接口!$B$167),"")</f>
        <v>46275.0</v>
      </c>
      <c r="C167" s="16" t="str">
        <f>IFERROR(IF([1]对账明细接口!$C$167=0,"",[1]对账明细接口!$C$167),"")</f>
        <v>王灵云</v>
      </c>
      <c r="D167" s="16" t="str">
        <f>IFERROR(IF([1]对账明细接口!$D$167=0,"",[1]对账明细接口!$D$167),"")</f>
        <v>原料入库</v>
      </c>
      <c r="E167" s="16" t="str">
        <f>IFERROR(IF([1]对账明细接口!$E$167=0,"",[1]对账明细接口!$E$167),"")</f>
        <v>NO:0000768</v>
      </c>
      <c r="F167" s="16" t="str">
        <f>IFERROR(IF([1]对账明细接口!$F$167=0,"",[1]对账明细接口!$F$167),"")</f>
        <v>香梨</v>
      </c>
      <c r="G167" s="16" t="str">
        <f>IFERROR(IF([1]对账明细接口!$G$167=0,"",[1]对账明细接口!$G$167),"")</f>
        <v>香梨一级</v>
      </c>
      <c r="H167" s="176">
        <f>IFERROR(IF([1]对账明细接口!$H$167=0,"",[1]对账明细接口!$H$167),"")</f>
        <v>195</v>
      </c>
      <c r="I167" s="16" t="str">
        <f>IFERROR(IF([1]对账明细接口!$I$167=0,"",[1]对账明细接口!$I$167),"")</f>
        <v>筐</v>
      </c>
      <c r="J167" s="177">
        <f>IFERROR(IF([1]对账明细接口!$J$167=0,"",[1]对账明细接口!$J$167),"")</f>
        <v>3568.5</v>
      </c>
      <c r="K167" s="177">
        <f>IFERROR(IF([1]对账明细接口!$K$167=0,"",[1]对账明细接口!$K$167),"")</f>
      </c>
      <c r="L167" s="16">
        <f>IFERROR(IF([1]对账明细接口!$L$167=0,"",[1]对账明细接口!$L$167),"")</f>
      </c>
      <c r="M167" s="16">
        <f>IFERROR(IF([1]对账明细接口!$M$167=0,"",[1]对账明细接口!$M$167),"")</f>
      </c>
      <c r="N167" s="19">
        <f>IF($C167="",0,1)</f>
        <v>1</v>
      </c>
      <c r="O167" s="19">
        <f>N(O166)+$N167</f>
        <v>164</v>
      </c>
      <c r="S167" s="20" t="str">
        <f>IFERROR(IF([1]对账明细接口!$N167=0,"",[1]对账明细接口!$N167),"")</f>
        <v>公司红周转筐</v>
      </c>
      <c r="T167" s="212">
        <f>IFERROR(IF([1]对账明细接口!$O167=0,"",[1]对账明细接口!$O167),"")</f>
      </c>
      <c r="U167" s="212">
        <f>IFERROR(IF([1]对账明细接口!$P167=0,"",[1]对账明细接口!$P167),"")</f>
      </c>
      <c r="V167" s="212">
        <f>IFERROR(IF([1]对账明细接口!$Q167=0,"",[1]对账明细接口!$Q167),"")</f>
        <v>195</v>
      </c>
      <c r="W167" s="20" t="str">
        <f>IFERROR(IF([1]对账明细接口!$R167=0,"",[1]对账明细接口!$R167),"")</f>
        <v>新N*49209</v>
      </c>
      <c r="X167" s="20" t="str">
        <f>IFERROR(IF([1]对账明细接口!$S167=0,"",[1]对账明细接口!$S167),"")</f>
        <v>公司筐</v>
      </c>
      <c r="Y167" s="20">
        <f>IFERROR(IF([1]对账明细接口!$T167=0,"",[1]对账明细接口!$T167),"")</f>
      </c>
      <c r="Z167" s="213">
        <f>IFERROR(IF([1]对账明细接口!$U167=0,"",[1]对账明细接口!$U167),"")</f>
      </c>
      <c r="AA167" s="213">
        <f>IFERROR(IF([1]对账明细接口!$V167=0,"",[1]对账明细接口!$V167),"")</f>
      </c>
      <c r="AB167" s="20">
        <f>IFERROR(IF([1]对账明细接口!$W167=0,"",[1]对账明细接口!$W167),"")</f>
      </c>
      <c r="AC167" s="7">
        <f>IFERROR(IF([1]对账明细接口!$X167=0,"",[1]对账明细接口!$X167),"")</f>
      </c>
      <c r="AD167" s="7">
        <f>IFERROR(IF([1]对账明细接口!$Y167=0,"",[1]对账明细接口!$Y167),"")</f>
      </c>
      <c r="AE167" s="7">
        <f>IFERROR(IF([1]对账明细接口!$AA167=0,"",[1]对账明细接口!$AA167),"")</f>
      </c>
      <c r="AF167" s="7">
        <f>IFERROR(IF([1]对账明细接口!$AB167=0,"",[1]对账明细接口!$AB167),"")</f>
      </c>
      <c r="AG167" s="7">
        <f>IFERROR(IF([1]对账明细接口!$AC167=0,"",[1]对账明细接口!$AC167),"")</f>
      </c>
      <c r="AH167" s="7">
        <f>IFERROR(IF([1]对账明细接口!$AD167=0,"",[1]对账明细接口!$AD167),"")</f>
      </c>
      <c r="AI167" s="7">
        <f>IFERROR(IF([1]对账明细接口!$AE167=0,"",[1]对账明细接口!$AE167),"")</f>
      </c>
      <c r="AJ167" s="7">
        <f>IFERROR(IF([1]对账明细接口!$AF167=0,"",[1]对账明细接口!$AF167),"")</f>
      </c>
    </row>
    <row r="168" ht="14.25" customHeight="1" s="127">
      <c r="A168" s="14" t="n">
        <v>168</v>
      </c>
      <c r="B168" s="211">
        <f>IFERROR(IF([1]对账明细接口!$B$168=0,"",[1]对账明细接口!$B$168),"")</f>
        <v>46275.0</v>
      </c>
      <c r="C168" s="16" t="str">
        <f>IFERROR(IF([1]对账明细接口!$C$168=0,"",[1]对账明细接口!$C$168),"")</f>
        <v>王灵云</v>
      </c>
      <c r="D168" s="16" t="str">
        <f>IFERROR(IF([1]对账明细接口!$D$168=0,"",[1]对账明细接口!$D$168),"")</f>
        <v>原料入库</v>
      </c>
      <c r="E168" s="16" t="str">
        <f>IFERROR(IF([1]对账明细接口!$E$168=0,"",[1]对账明细接口!$E$168),"")</f>
        <v>NO:0000768</v>
      </c>
      <c r="F168" s="16" t="str">
        <f>IFERROR(IF([1]对账明细接口!$F$168=0,"",[1]对账明细接口!$F$168),"")</f>
        <v>香梨</v>
      </c>
      <c r="G168" s="16" t="str">
        <f>IFERROR(IF([1]对账明细接口!$G$168=0,"",[1]对账明细接口!$G$168),"")</f>
        <v>香梨副特</v>
      </c>
      <c r="H168" s="176">
        <f>IFERROR(IF([1]对账明细接口!$H$168=0,"",[1]对账明细接口!$H$168),"")</f>
        <v>134</v>
      </c>
      <c r="I168" s="16" t="str">
        <f>IFERROR(IF([1]对账明细接口!$I$168=0,"",[1]对账明细接口!$I$168),"")</f>
        <v>筐</v>
      </c>
      <c r="J168" s="177">
        <f>IFERROR(IF([1]对账明细接口!$J$168=0,"",[1]对账明细接口!$J$168),"")</f>
        <v>2452.2</v>
      </c>
      <c r="K168" s="177">
        <f>IFERROR(IF([1]对账明细接口!$K$168=0,"",[1]对账明细接口!$K$168),"")</f>
      </c>
      <c r="L168" s="16">
        <f>IFERROR(IF([1]对账明细接口!$L$168=0,"",[1]对账明细接口!$L$168),"")</f>
      </c>
      <c r="M168" s="16">
        <f>IFERROR(IF([1]对账明细接口!$M$168=0,"",[1]对账明细接口!$M$168),"")</f>
      </c>
      <c r="N168" s="19">
        <f>IF($C168="",0,1)</f>
        <v>1</v>
      </c>
      <c r="O168" s="19">
        <f>N(O167)+$N168</f>
        <v>165</v>
      </c>
      <c r="S168" s="20" t="str">
        <f>IFERROR(IF([1]对账明细接口!$N168=0,"",[1]对账明细接口!$N168),"")</f>
        <v>公司红周转筐</v>
      </c>
      <c r="T168" s="212">
        <f>IFERROR(IF([1]对账明细接口!$O168=0,"",[1]对账明细接口!$O168),"")</f>
      </c>
      <c r="U168" s="212">
        <f>IFERROR(IF([1]对账明细接口!$P168=0,"",[1]对账明细接口!$P168),"")</f>
      </c>
      <c r="V168" s="212">
        <f>IFERROR(IF([1]对账明细接口!$Q168=0,"",[1]对账明细接口!$Q168),"")</f>
        <v>134</v>
      </c>
      <c r="W168" s="20" t="str">
        <f>IFERROR(IF([1]对账明细接口!$R168=0,"",[1]对账明细接口!$R168),"")</f>
        <v>新N*49209</v>
      </c>
      <c r="X168" s="20" t="str">
        <f>IFERROR(IF([1]对账明细接口!$S168=0,"",[1]对账明细接口!$S168),"")</f>
        <v>公司筐</v>
      </c>
      <c r="Y168" s="20">
        <f>IFERROR(IF([1]对账明细接口!$T168=0,"",[1]对账明细接口!$T168),"")</f>
      </c>
      <c r="Z168" s="213">
        <f>IFERROR(IF([1]对账明细接口!$U168=0,"",[1]对账明细接口!$U168),"")</f>
      </c>
      <c r="AA168" s="213">
        <f>IFERROR(IF([1]对账明细接口!$V168=0,"",[1]对账明细接口!$V168),"")</f>
      </c>
      <c r="AB168" s="20">
        <f>IFERROR(IF([1]对账明细接口!$W168=0,"",[1]对账明细接口!$W168),"")</f>
      </c>
      <c r="AC168" s="7">
        <f>IFERROR(IF([1]对账明细接口!$X168=0,"",[1]对账明细接口!$X168),"")</f>
      </c>
      <c r="AD168" s="7">
        <f>IFERROR(IF([1]对账明细接口!$Y168=0,"",[1]对账明细接口!$Y168),"")</f>
      </c>
      <c r="AE168" s="7">
        <f>IFERROR(IF([1]对账明细接口!$AA168=0,"",[1]对账明细接口!$AA168),"")</f>
      </c>
      <c r="AF168" s="7">
        <f>IFERROR(IF([1]对账明细接口!$AB168=0,"",[1]对账明细接口!$AB168),"")</f>
      </c>
      <c r="AG168" s="7">
        <f>IFERROR(IF([1]对账明细接口!$AC168=0,"",[1]对账明细接口!$AC168),"")</f>
      </c>
      <c r="AH168" s="7">
        <f>IFERROR(IF([1]对账明细接口!$AD168=0,"",[1]对账明细接口!$AD168),"")</f>
      </c>
      <c r="AI168" s="7">
        <f>IFERROR(IF([1]对账明细接口!$AE168=0,"",[1]对账明细接口!$AE168),"")</f>
      </c>
      <c r="AJ168" s="7">
        <f>IFERROR(IF([1]对账明细接口!$AF168=0,"",[1]对账明细接口!$AF168),"")</f>
      </c>
    </row>
    <row r="169" ht="14.25" customHeight="1" s="127">
      <c r="A169" s="14" t="n">
        <v>169</v>
      </c>
      <c r="B169" s="211">
        <f>IFERROR(IF([1]对账明细接口!$B$169=0,"",[1]对账明细接口!$B$169),"")</f>
        <v>46275.0</v>
      </c>
      <c r="C169" s="16" t="str">
        <f>IFERROR(IF([1]对账明细接口!$C$169=0,"",[1]对账明细接口!$C$169),"")</f>
        <v>王灵云</v>
      </c>
      <c r="D169" s="16" t="str">
        <f>IFERROR(IF([1]对账明细接口!$D$169=0,"",[1]对账明细接口!$D$169),"")</f>
        <v>原料入库</v>
      </c>
      <c r="E169" s="16" t="str">
        <f>IFERROR(IF([1]对账明细接口!$E$169=0,"",[1]对账明细接口!$E$169),"")</f>
        <v>NO:0000768</v>
      </c>
      <c r="F169" s="16" t="str">
        <f>IFERROR(IF([1]对账明细接口!$F$169=0,"",[1]对账明细接口!$F$169),"")</f>
        <v>香梨</v>
      </c>
      <c r="G169" s="16" t="str">
        <f>IFERROR(IF([1]对账明细接口!$G$169=0,"",[1]对账明细接口!$G$169),"")</f>
        <v>香梨二级</v>
      </c>
      <c r="H169" s="176">
        <f>IFERROR(IF([1]对账明细接口!$H$169=0,"",[1]对账明细接口!$H$169),"")</f>
        <v>64</v>
      </c>
      <c r="I169" s="16" t="str">
        <f>IFERROR(IF([1]对账明细接口!$I$169=0,"",[1]对账明细接口!$I$169),"")</f>
        <v>筐</v>
      </c>
      <c r="J169" s="177">
        <f>IFERROR(IF([1]对账明细接口!$J$169=0,"",[1]对账明细接口!$J$169),"")</f>
        <v>1491.2</v>
      </c>
      <c r="K169" s="177">
        <f>IFERROR(IF([1]对账明细接口!$K$169=0,"",[1]对账明细接口!$K$169),"")</f>
      </c>
      <c r="L169" s="16">
        <f>IFERROR(IF([1]对账明细接口!$L$169=0,"",[1]对账明细接口!$L$169),"")</f>
      </c>
      <c r="M169" s="16" t="str">
        <f>IFERROR(IF([1]对账明细接口!$M$169=0,"",[1]对账明细接口!$M$169),"")</f>
        <v>押金3000元已退还</v>
      </c>
      <c r="N169" s="19">
        <f>IF($C169="",0,1)</f>
        <v>1</v>
      </c>
      <c r="O169" s="19">
        <f>N(O168)+$N169</f>
        <v>166</v>
      </c>
      <c r="S169" s="20" t="str">
        <f>IFERROR(IF([1]对账明细接口!$N169=0,"",[1]对账明细接口!$N169),"")</f>
        <v>公司红周转筐</v>
      </c>
      <c r="T169" s="212">
        <f>IFERROR(IF([1]对账明细接口!$O169=0,"",[1]对账明细接口!$O169),"")</f>
      </c>
      <c r="U169" s="212">
        <f>IFERROR(IF([1]对账明细接口!$P169=0,"",[1]对账明细接口!$P169),"")</f>
      </c>
      <c r="V169" s="212">
        <f>IFERROR(IF([1]对账明细接口!$Q169=0,"",[1]对账明细接口!$Q169),"")</f>
        <v>64</v>
      </c>
      <c r="W169" s="20" t="str">
        <f>IFERROR(IF([1]对账明细接口!$R169=0,"",[1]对账明细接口!$R169),"")</f>
        <v>新N*49209</v>
      </c>
      <c r="X169" s="20" t="str">
        <f>IFERROR(IF([1]对账明细接口!$S169=0,"",[1]对账明细接口!$S169),"")</f>
        <v>公司筐</v>
      </c>
      <c r="Y169" s="20">
        <f>IFERROR(IF([1]对账明细接口!$T169=0,"",[1]对账明细接口!$T169),"")</f>
      </c>
      <c r="Z169" s="213">
        <f>IFERROR(IF([1]对账明细接口!$U169=0,"",[1]对账明细接口!$U169),"")</f>
      </c>
      <c r="AA169" s="213">
        <f>IFERROR(IF([1]对账明细接口!$V169=0,"",[1]对账明细接口!$V169),"")</f>
      </c>
      <c r="AB169" s="20">
        <f>IFERROR(IF([1]对账明细接口!$W169=0,"",[1]对账明细接口!$W169),"")</f>
      </c>
      <c r="AC169" s="7">
        <f>IFERROR(IF([1]对账明细接口!$X169=0,"",[1]对账明细接口!$X169),"")</f>
      </c>
      <c r="AD169" s="7">
        <f>IFERROR(IF([1]对账明细接口!$Y169=0,"",[1]对账明细接口!$Y169),"")</f>
      </c>
      <c r="AE169" s="7">
        <f>IFERROR(IF([1]对账明细接口!$AA169=0,"",[1]对账明细接口!$AA169),"")</f>
      </c>
      <c r="AF169" s="7">
        <f>IFERROR(IF([1]对账明细接口!$AB169=0,"",[1]对账明细接口!$AB169),"")</f>
      </c>
      <c r="AG169" s="7">
        <f>IFERROR(IF([1]对账明细接口!$AC169=0,"",[1]对账明细接口!$AC169),"")</f>
      </c>
      <c r="AH169" s="7">
        <f>IFERROR(IF([1]对账明细接口!$AD169=0,"",[1]对账明细接口!$AD169),"")</f>
      </c>
      <c r="AI169" s="7">
        <f>IFERROR(IF([1]对账明细接口!$AE169=0,"",[1]对账明细接口!$AE169),"")</f>
      </c>
      <c r="AJ169" s="7">
        <f>IFERROR(IF([1]对账明细接口!$AF169=0,"",[1]对账明细接口!$AF169),"")</f>
      </c>
    </row>
    <row r="170" ht="14.25" customHeight="1" s="127">
      <c r="A170" s="14" t="n">
        <v>170</v>
      </c>
      <c r="B170" s="211">
        <f>IFERROR(IF([1]对账明细接口!$B$170=0,"",[1]对账明细接口!$B$170),"")</f>
        <v>46275.0</v>
      </c>
      <c r="C170" s="16" t="str">
        <f>IFERROR(IF([1]对账明细接口!$C$170=0,"",[1]对账明细接口!$C$170),"")</f>
        <v>杨艳玲</v>
      </c>
      <c r="D170" s="16" t="str">
        <f>IFERROR(IF([1]对账明细接口!$D$170=0,"",[1]对账明细接口!$D$170),"")</f>
        <v>原料入库</v>
      </c>
      <c r="E170" s="16" t="str">
        <f>IFERROR(IF([1]对账明细接口!$E$170=0,"",[1]对账明细接口!$E$170),"")</f>
        <v>NO:0000769</v>
      </c>
      <c r="F170" s="16" t="str">
        <f>IFERROR(IF([1]对账明细接口!$F$170=0,"",[1]对账明细接口!$F$170),"")</f>
        <v>香梨</v>
      </c>
      <c r="G170" s="16" t="str">
        <f>IFERROR(IF([1]对账明细接口!$G$170=0,"",[1]对账明细接口!$G$170),"")</f>
        <v>香梨玉露</v>
      </c>
      <c r="H170" s="176">
        <f>IFERROR(IF([1]对账明细接口!$H$170=0,"",[1]对账明细接口!$H$170),"")</f>
        <v>104</v>
      </c>
      <c r="I170" s="16" t="str">
        <f>IFERROR(IF([1]对账明细接口!$I$170=0,"",[1]对账明细接口!$I$170),"")</f>
        <v>筐</v>
      </c>
      <c r="J170" s="177">
        <f>IFERROR(IF([1]对账明细接口!$J$170=0,"",[1]对账明细接口!$J$170),"")</f>
        <v>1799.2</v>
      </c>
      <c r="K170" s="177">
        <f>IFERROR(IF([1]对账明细接口!$K$170=0,"",[1]对账明细接口!$K$170),"")</f>
      </c>
      <c r="L170" s="16">
        <f>IFERROR(IF([1]对账明细接口!$L$170=0,"",[1]对账明细接口!$L$170),"")</f>
      </c>
      <c r="M170" s="16">
        <f>IFERROR(IF([1]对账明细接口!$M$170=0,"",[1]对账明细接口!$M$170),"")</f>
      </c>
      <c r="N170" s="19">
        <f>IF($C170="",0,1)</f>
        <v>1</v>
      </c>
      <c r="O170" s="19">
        <f>N(O169)+$N170</f>
        <v>167</v>
      </c>
      <c r="S170" s="20" t="str">
        <f>IFERROR(IF([1]对账明细接口!$N170=0,"",[1]对账明细接口!$N170),"")</f>
        <v>自备一次性筐</v>
      </c>
      <c r="T170" s="212">
        <f>IFERROR(IF([1]对账明细接口!$O170=0,"",[1]对账明细接口!$O170),"")</f>
      </c>
      <c r="U170" s="212">
        <f>IFERROR(IF([1]对账明细接口!$P170=0,"",[1]对账明细接口!$P170),"")</f>
      </c>
      <c r="V170" s="212">
        <f>IFERROR(IF([1]对账明细接口!$Q170=0,"",[1]对账明细接口!$Q170),"")</f>
        <v>104</v>
      </c>
      <c r="W170" s="20" t="str">
        <f>IFERROR(IF([1]对账明细接口!$R170=0,"",[1]对账明细接口!$R170),"")</f>
        <v>新N*E3H01</v>
      </c>
      <c r="X170" s="20" t="str">
        <f>IFERROR(IF([1]对账明细接口!$S170=0,"",[1]对账明细接口!$S170),"")</f>
        <v>自备筐</v>
      </c>
      <c r="Y170" s="20">
        <f>IFERROR(IF([1]对账明细接口!$T170=0,"",[1]对账明细接口!$T170),"")</f>
      </c>
      <c r="Z170" s="213">
        <f>IFERROR(IF([1]对账明细接口!$U170=0,"",[1]对账明细接口!$U170),"")</f>
      </c>
      <c r="AA170" s="213">
        <f>IFERROR(IF([1]对账明细接口!$V170=0,"",[1]对账明细接口!$V170),"")</f>
      </c>
      <c r="AB170" s="20">
        <f>IFERROR(IF([1]对账明细接口!$W170=0,"",[1]对账明细接口!$W170),"")</f>
      </c>
      <c r="AC170" s="7">
        <f>IFERROR(IF([1]对账明细接口!$X170=0,"",[1]对账明细接口!$X170),"")</f>
      </c>
      <c r="AD170" s="7">
        <f>IFERROR(IF([1]对账明细接口!$Y170=0,"",[1]对账明细接口!$Y170),"")</f>
      </c>
      <c r="AE170" s="7">
        <f>IFERROR(IF([1]对账明细接口!$AA170=0,"",[1]对账明细接口!$AA170),"")</f>
      </c>
      <c r="AF170" s="7">
        <f>IFERROR(IF([1]对账明细接口!$AB170=0,"",[1]对账明细接口!$AB170),"")</f>
      </c>
      <c r="AG170" s="7">
        <f>IFERROR(IF([1]对账明细接口!$AC170=0,"",[1]对账明细接口!$AC170),"")</f>
      </c>
      <c r="AH170" s="7">
        <f>IFERROR(IF([1]对账明细接口!$AD170=0,"",[1]对账明细接口!$AD170),"")</f>
      </c>
      <c r="AI170" s="7">
        <f>IFERROR(IF([1]对账明细接口!$AE170=0,"",[1]对账明细接口!$AE170),"")</f>
      </c>
      <c r="AJ170" s="7">
        <f>IFERROR(IF([1]对账明细接口!$AF170=0,"",[1]对账明细接口!$AF170),"")</f>
      </c>
    </row>
    <row r="171" ht="14.25" customHeight="1" s="127">
      <c r="A171" s="14" t="n">
        <v>171</v>
      </c>
      <c r="B171" s="211">
        <f>IFERROR(IF([1]对账明细接口!$B$171=0,"",[1]对账明细接口!$B$171),"")</f>
        <v>46275.0</v>
      </c>
      <c r="C171" s="16" t="str">
        <f>IFERROR(IF([1]对账明细接口!$C$171=0,"",[1]对账明细接口!$C$171),"")</f>
        <v>荆建君</v>
      </c>
      <c r="D171" s="16" t="str">
        <f>IFERROR(IF([1]对账明细接口!$D$171=0,"",[1]对账明细接口!$D$171),"")</f>
        <v>原料入库</v>
      </c>
      <c r="E171" s="16" t="str">
        <f>IFERROR(IF([1]对账明细接口!$E$171=0,"",[1]对账明细接口!$E$171),"")</f>
        <v>NO:0000770</v>
      </c>
      <c r="F171" s="16" t="str">
        <f>IFERROR(IF([1]对账明细接口!$F$171=0,"",[1]对账明细接口!$F$171),"")</f>
        <v>香梨</v>
      </c>
      <c r="G171" s="16" t="str">
        <f>IFERROR(IF([1]对账明细接口!$G$171=0,"",[1]对账明细接口!$G$171),"")</f>
        <v>香梨一级</v>
      </c>
      <c r="H171" s="176">
        <f>IFERROR(IF([1]对账明细接口!$H$171=0,"",[1]对账明细接口!$H$171),"")</f>
        <v>239</v>
      </c>
      <c r="I171" s="16" t="str">
        <f>IFERROR(IF([1]对账明细接口!$I$171=0,"",[1]对账明细接口!$I$171),"")</f>
        <v>筐</v>
      </c>
      <c r="J171" s="177">
        <f>IFERROR(IF([1]对账明细接口!$J$171=0,"",[1]对账明细接口!$J$171),"")</f>
        <v>4373.7</v>
      </c>
      <c r="K171" s="177">
        <f>IFERROR(IF([1]对账明细接口!$K$171=0,"",[1]对账明细接口!$K$171),"")</f>
      </c>
      <c r="L171" s="16">
        <f>IFERROR(IF([1]对账明细接口!$L$171=0,"",[1]对账明细接口!$L$171),"")</f>
      </c>
      <c r="M171" s="16">
        <f>IFERROR(IF([1]对账明细接口!$M$171=0,"",[1]对账明细接口!$M$171),"")</f>
      </c>
      <c r="N171" s="19">
        <f>IF($C171="",0,1)</f>
        <v>1</v>
      </c>
      <c r="O171" s="19">
        <f>N(O170)+$N171</f>
        <v>168</v>
      </c>
      <c r="S171" s="20" t="str">
        <f>IFERROR(IF([1]对账明细接口!$N171=0,"",[1]对账明细接口!$N171),"")</f>
        <v>公司红周转筐</v>
      </c>
      <c r="T171" s="212">
        <f>IFERROR(IF([1]对账明细接口!$O171=0,"",[1]对账明细接口!$O171),"")</f>
      </c>
      <c r="U171" s="212">
        <f>IFERROR(IF([1]对账明细接口!$P171=0,"",[1]对账明细接口!$P171),"")</f>
      </c>
      <c r="V171" s="212">
        <f>IFERROR(IF([1]对账明细接口!$Q171=0,"",[1]对账明细接口!$Q171),"")</f>
        <v>239</v>
      </c>
      <c r="W171" s="20" t="str">
        <f>IFERROR(IF([1]对账明细接口!$R171=0,"",[1]对账明细接口!$R171),"")</f>
        <v>豫A*2737K</v>
      </c>
      <c r="X171" s="20" t="str">
        <f>IFERROR(IF([1]对账明细接口!$S171=0,"",[1]对账明细接口!$S171),"")</f>
        <v>公司筐</v>
      </c>
      <c r="Y171" s="20">
        <f>IFERROR(IF([1]对账明细接口!$T171=0,"",[1]对账明细接口!$T171),"")</f>
      </c>
      <c r="Z171" s="213">
        <f>IFERROR(IF([1]对账明细接口!$U171=0,"",[1]对账明细接口!$U171),"")</f>
      </c>
      <c r="AA171" s="213">
        <f>IFERROR(IF([1]对账明细接口!$V171=0,"",[1]对账明细接口!$V171),"")</f>
      </c>
      <c r="AB171" s="20">
        <f>IFERROR(IF([1]对账明细接口!$W171=0,"",[1]对账明细接口!$W171),"")</f>
      </c>
      <c r="AC171" s="7">
        <f>IFERROR(IF([1]对账明细接口!$X171=0,"",[1]对账明细接口!$X171),"")</f>
      </c>
      <c r="AD171" s="7">
        <f>IFERROR(IF([1]对账明细接口!$Y171=0,"",[1]对账明细接口!$Y171),"")</f>
      </c>
      <c r="AE171" s="7">
        <f>IFERROR(IF([1]对账明细接口!$AA171=0,"",[1]对账明细接口!$AA171),"")</f>
      </c>
      <c r="AF171" s="7">
        <f>IFERROR(IF([1]对账明细接口!$AB171=0,"",[1]对账明细接口!$AB171),"")</f>
      </c>
      <c r="AG171" s="7">
        <f>IFERROR(IF([1]对账明细接口!$AC171=0,"",[1]对账明细接口!$AC171),"")</f>
      </c>
      <c r="AH171" s="7">
        <f>IFERROR(IF([1]对账明细接口!$AD171=0,"",[1]对账明细接口!$AD171),"")</f>
      </c>
      <c r="AI171" s="7">
        <f>IFERROR(IF([1]对账明细接口!$AE171=0,"",[1]对账明细接口!$AE171),"")</f>
      </c>
      <c r="AJ171" s="7">
        <f>IFERROR(IF([1]对账明细接口!$AF171=0,"",[1]对账明细接口!$AF171),"")</f>
      </c>
    </row>
    <row r="172" ht="14.25" customHeight="1" s="127">
      <c r="A172" s="14" t="n">
        <v>172</v>
      </c>
      <c r="B172" s="211">
        <f>IFERROR(IF([1]对账明细接口!$B$172=0,"",[1]对账明细接口!$B$172),"")</f>
        <v>46275.0</v>
      </c>
      <c r="C172" s="16" t="str">
        <f>IFERROR(IF([1]对账明细接口!$C$172=0,"",[1]对账明细接口!$C$172),"")</f>
        <v>荆建君</v>
      </c>
      <c r="D172" s="16" t="str">
        <f>IFERROR(IF([1]对账明细接口!$D$172=0,"",[1]对账明细接口!$D$172),"")</f>
        <v>原料入库</v>
      </c>
      <c r="E172" s="16" t="str">
        <f>IFERROR(IF([1]对账明细接口!$E$172=0,"",[1]对账明细接口!$E$172),"")</f>
        <v>NO:0000770</v>
      </c>
      <c r="F172" s="16" t="str">
        <f>IFERROR(IF([1]对账明细接口!$F$172=0,"",[1]对账明细接口!$F$172),"")</f>
        <v>香梨</v>
      </c>
      <c r="G172" s="16" t="str">
        <f>IFERROR(IF([1]对账明细接口!$G$172=0,"",[1]对账明细接口!$G$172),"")</f>
        <v>香梨二级</v>
      </c>
      <c r="H172" s="176">
        <f>IFERROR(IF([1]对账明细接口!$H$172=0,"",[1]对账明细接口!$H$172),"")</f>
        <v>329</v>
      </c>
      <c r="I172" s="16" t="str">
        <f>IFERROR(IF([1]对账明细接口!$I$172=0,"",[1]对账明细接口!$I$172),"")</f>
        <v>筐</v>
      </c>
      <c r="J172" s="177">
        <f>IFERROR(IF([1]对账明细接口!$J$172=0,"",[1]对账明细接口!$J$172),"")</f>
        <v>6020.7</v>
      </c>
      <c r="K172" s="177">
        <f>IFERROR(IF([1]对账明细接口!$K$172=0,"",[1]对账明细接口!$K$172),"")</f>
      </c>
      <c r="L172" s="16">
        <f>IFERROR(IF([1]对账明细接口!$L$172=0,"",[1]对账明细接口!$L$172),"")</f>
      </c>
      <c r="M172" s="16">
        <f>IFERROR(IF([1]对账明细接口!$M$172=0,"",[1]对账明细接口!$M$172),"")</f>
      </c>
      <c r="N172" s="19">
        <f>IF($C172="",0,1)</f>
        <v>1</v>
      </c>
      <c r="O172" s="19">
        <f>N(O171)+$N172</f>
        <v>169</v>
      </c>
      <c r="S172" s="20" t="str">
        <f>IFERROR(IF([1]对账明细接口!$N172=0,"",[1]对账明细接口!$N172),"")</f>
        <v>公司红周转筐</v>
      </c>
      <c r="T172" s="212">
        <f>IFERROR(IF([1]对账明细接口!$O172=0,"",[1]对账明细接口!$O172),"")</f>
      </c>
      <c r="U172" s="212">
        <f>IFERROR(IF([1]对账明细接口!$P172=0,"",[1]对账明细接口!$P172),"")</f>
      </c>
      <c r="V172" s="212">
        <f>IFERROR(IF([1]对账明细接口!$Q172=0,"",[1]对账明细接口!$Q172),"")</f>
        <v>329</v>
      </c>
      <c r="W172" s="20" t="str">
        <f>IFERROR(IF([1]对账明细接口!$R172=0,"",[1]对账明细接口!$R172),"")</f>
        <v>豫A*2737K</v>
      </c>
      <c r="X172" s="20" t="str">
        <f>IFERROR(IF([1]对账明细接口!$S172=0,"",[1]对账明细接口!$S172),"")</f>
        <v>公司筐</v>
      </c>
      <c r="Y172" s="20">
        <f>IFERROR(IF([1]对账明细接口!$T172=0,"",[1]对账明细接口!$T172),"")</f>
      </c>
      <c r="Z172" s="213">
        <f>IFERROR(IF([1]对账明细接口!$U172=0,"",[1]对账明细接口!$U172),"")</f>
      </c>
      <c r="AA172" s="213">
        <f>IFERROR(IF([1]对账明细接口!$V172=0,"",[1]对账明细接口!$V172),"")</f>
      </c>
      <c r="AB172" s="20">
        <f>IFERROR(IF([1]对账明细接口!$W172=0,"",[1]对账明细接口!$W172),"")</f>
      </c>
      <c r="AC172" s="7">
        <f>IFERROR(IF([1]对账明细接口!$X172=0,"",[1]对账明细接口!$X172),"")</f>
      </c>
      <c r="AD172" s="7">
        <f>IFERROR(IF([1]对账明细接口!$Y172=0,"",[1]对账明细接口!$Y172),"")</f>
      </c>
      <c r="AE172" s="7">
        <f>IFERROR(IF([1]对账明细接口!$AA172=0,"",[1]对账明细接口!$AA172),"")</f>
      </c>
      <c r="AF172" s="7">
        <f>IFERROR(IF([1]对账明细接口!$AB172=0,"",[1]对账明细接口!$AB172),"")</f>
      </c>
      <c r="AG172" s="7">
        <f>IFERROR(IF([1]对账明细接口!$AC172=0,"",[1]对账明细接口!$AC172),"")</f>
      </c>
      <c r="AH172" s="7">
        <f>IFERROR(IF([1]对账明细接口!$AD172=0,"",[1]对账明细接口!$AD172),"")</f>
      </c>
      <c r="AI172" s="7">
        <f>IFERROR(IF([1]对账明细接口!$AE172=0,"",[1]对账明细接口!$AE172),"")</f>
      </c>
      <c r="AJ172" s="7">
        <f>IFERROR(IF([1]对账明细接口!$AF172=0,"",[1]对账明细接口!$AF172),"")</f>
      </c>
    </row>
    <row r="173" ht="14.25" customHeight="1" s="127">
      <c r="A173" s="14" t="n">
        <v>173</v>
      </c>
      <c r="B173" s="211">
        <f>IFERROR(IF([1]对账明细接口!$B$173=0,"",[1]对账明细接口!$B$173),"")</f>
        <v>46275.0</v>
      </c>
      <c r="C173" s="16" t="str">
        <f>IFERROR(IF([1]对账明细接口!$C$173=0,"",[1]对账明细接口!$C$173),"")</f>
        <v>贾建国</v>
      </c>
      <c r="D173" s="16" t="str">
        <f>IFERROR(IF([1]对账明细接口!$D$173=0,"",[1]对账明细接口!$D$173),"")</f>
        <v>原料入库</v>
      </c>
      <c r="E173" s="16" t="str">
        <f>IFERROR(IF([1]对账明细接口!$E$173=0,"",[1]对账明细接口!$E$173),"")</f>
        <v>NO:0000772</v>
      </c>
      <c r="F173" s="16" t="str">
        <f>IFERROR(IF([1]对账明细接口!$F$173=0,"",[1]对账明细接口!$F$173),"")</f>
        <v>香梨</v>
      </c>
      <c r="G173" s="16" t="str">
        <f>IFERROR(IF([1]对账明细接口!$G$173=0,"",[1]对账明细接口!$G$173),"")</f>
        <v>香梨副特</v>
      </c>
      <c r="H173" s="176">
        <f>IFERROR(IF([1]对账明细接口!$H$173=0,"",[1]对账明细接口!$H$173),"")</f>
        <v>74</v>
      </c>
      <c r="I173" s="16" t="str">
        <f>IFERROR(IF([1]对账明细接口!$I$173=0,"",[1]对账明细接口!$I$173),"")</f>
        <v>筐</v>
      </c>
      <c r="J173" s="177">
        <f>IFERROR(IF([1]对账明细接口!$J$173=0,"",[1]对账明细接口!$J$173),"")</f>
        <v>1665</v>
      </c>
      <c r="K173" s="177">
        <f>IFERROR(IF([1]对账明细接口!$K$173=0,"",[1]对账明细接口!$K$173),"")</f>
      </c>
      <c r="L173" s="16">
        <f>IFERROR(IF([1]对账明细接口!$L$173=0,"",[1]对账明细接口!$L$173),"")</f>
      </c>
      <c r="M173" s="16">
        <f>IFERROR(IF([1]对账明细接口!$M$173=0,"",[1]对账明细接口!$M$173),"")</f>
      </c>
      <c r="N173" s="19">
        <f>IF($C173="",0,1)</f>
        <v>1</v>
      </c>
      <c r="O173" s="19">
        <f>N(O172)+$N173</f>
        <v>170</v>
      </c>
      <c r="S173" s="20" t="str">
        <f>IFERROR(IF([1]对账明细接口!$N173=0,"",[1]对账明细接口!$N173),"")</f>
        <v>公司新周转筐</v>
      </c>
      <c r="T173" s="212">
        <f>IFERROR(IF([1]对账明细接口!$O173=0,"",[1]对账明细接口!$O173),"")</f>
      </c>
      <c r="U173" s="212">
        <f>IFERROR(IF([1]对账明细接口!$P173=0,"",[1]对账明细接口!$P173),"")</f>
      </c>
      <c r="V173" s="212">
        <f>IFERROR(IF([1]对账明细接口!$Q173=0,"",[1]对账明细接口!$Q173),"")</f>
        <v>74</v>
      </c>
      <c r="W173" s="20" t="str">
        <f>IFERROR(IF([1]对账明细接口!$R173=0,"",[1]对账明细接口!$R173),"")</f>
        <v>新N*56508</v>
      </c>
      <c r="X173" s="20" t="str">
        <f>IFERROR(IF([1]对账明细接口!$S173=0,"",[1]对账明细接口!$S173),"")</f>
        <v>公司筐</v>
      </c>
      <c r="Y173" s="20">
        <f>IFERROR(IF([1]对账明细接口!$T173=0,"",[1]对账明细接口!$T173),"")</f>
      </c>
      <c r="Z173" s="213">
        <f>IFERROR(IF([1]对账明细接口!$U173=0,"",[1]对账明细接口!$U173),"")</f>
      </c>
      <c r="AA173" s="213">
        <f>IFERROR(IF([1]对账明细接口!$V173=0,"",[1]对账明细接口!$V173),"")</f>
      </c>
      <c r="AB173" s="20">
        <f>IFERROR(IF([1]对账明细接口!$W173=0,"",[1]对账明细接口!$W173),"")</f>
      </c>
      <c r="AC173" s="7">
        <f>IFERROR(IF([1]对账明细接口!$X173=0,"",[1]对账明细接口!$X173),"")</f>
      </c>
      <c r="AD173" s="7">
        <f>IFERROR(IF([1]对账明细接口!$Y173=0,"",[1]对账明细接口!$Y173),"")</f>
      </c>
      <c r="AE173" s="7">
        <f>IFERROR(IF([1]对账明细接口!$AA173=0,"",[1]对账明细接口!$AA173),"")</f>
      </c>
      <c r="AF173" s="7">
        <f>IFERROR(IF([1]对账明细接口!$AB173=0,"",[1]对账明细接口!$AB173),"")</f>
      </c>
      <c r="AG173" s="7">
        <f>IFERROR(IF([1]对账明细接口!$AC173=0,"",[1]对账明细接口!$AC173),"")</f>
      </c>
      <c r="AH173" s="7">
        <f>IFERROR(IF([1]对账明细接口!$AD173=0,"",[1]对账明细接口!$AD173),"")</f>
      </c>
      <c r="AI173" s="7">
        <f>IFERROR(IF([1]对账明细接口!$AE173=0,"",[1]对账明细接口!$AE173),"")</f>
      </c>
      <c r="AJ173" s="7">
        <f>IFERROR(IF([1]对账明细接口!$AF173=0,"",[1]对账明细接口!$AF173),"")</f>
      </c>
    </row>
    <row r="174" ht="14.25" customHeight="1" s="127">
      <c r="A174" s="14" t="n">
        <v>174</v>
      </c>
      <c r="B174" s="211">
        <f>IFERROR(IF([1]对账明细接口!$B$174=0,"",[1]对账明细接口!$B$174),"")</f>
        <v>46275.0</v>
      </c>
      <c r="C174" s="16" t="str">
        <f>IFERROR(IF([1]对账明细接口!$C$174=0,"",[1]对账明细接口!$C$174),"")</f>
        <v>吐尔洪</v>
      </c>
      <c r="D174" s="16" t="str">
        <f>IFERROR(IF([1]对账明细接口!$D$174=0,"",[1]对账明细接口!$D$174),"")</f>
        <v>原料入库</v>
      </c>
      <c r="E174" s="16" t="str">
        <f>IFERROR(IF([1]对账明细接口!$E$174=0,"",[1]对账明细接口!$E$174),"")</f>
        <v>NO:0000773</v>
      </c>
      <c r="F174" s="16" t="str">
        <f>IFERROR(IF([1]对账明细接口!$F$174=0,"",[1]对账明细接口!$F$174),"")</f>
        <v>香梨</v>
      </c>
      <c r="G174" s="16" t="str">
        <f>IFERROR(IF([1]对账明细接口!$G$174=0,"",[1]对账明细接口!$G$174),"")</f>
        <v>香梨特级</v>
      </c>
      <c r="H174" s="176">
        <f>IFERROR(IF([1]对账明细接口!$H$174=0,"",[1]对账明细接口!$H$174),"")</f>
        <v>108</v>
      </c>
      <c r="I174" s="16" t="str">
        <f>IFERROR(IF([1]对账明细接口!$I$174=0,"",[1]对账明细接口!$I$174),"")</f>
        <v>筐</v>
      </c>
      <c r="J174" s="177">
        <f>IFERROR(IF([1]对账明细接口!$J$174=0,"",[1]对账明细接口!$J$174),"")</f>
        <v>1976.4</v>
      </c>
      <c r="K174" s="177">
        <f>IFERROR(IF([1]对账明细接口!$K$174=0,"",[1]对账明细接口!$K$174),"")</f>
      </c>
      <c r="L174" s="16">
        <f>IFERROR(IF([1]对账明细接口!$L$174=0,"",[1]对账明细接口!$L$174),"")</f>
      </c>
      <c r="M174" s="16" t="str">
        <f>IFERROR(IF([1]对账明细接口!$M$174=0,"",[1]对账明细接口!$M$174),"")</f>
        <v>麦麦提</v>
      </c>
      <c r="N174" s="19">
        <f>IF($C174="",0,1)</f>
        <v>1</v>
      </c>
      <c r="O174" s="19">
        <f>N(O173)+$N174</f>
        <v>171</v>
      </c>
      <c r="S174" s="20" t="str">
        <f>IFERROR(IF([1]对账明细接口!$N174=0,"",[1]对账明细接口!$N174),"")</f>
        <v>公司红周转筐</v>
      </c>
      <c r="T174" s="212">
        <f>IFERROR(IF([1]对账明细接口!$O174=0,"",[1]对账明细接口!$O174),"")</f>
      </c>
      <c r="U174" s="212">
        <f>IFERROR(IF([1]对账明细接口!$P174=0,"",[1]对账明细接口!$P174),"")</f>
      </c>
      <c r="V174" s="212">
        <f>IFERROR(IF([1]对账明细接口!$Q174=0,"",[1]对账明细接口!$Q174),"")</f>
        <v>108</v>
      </c>
      <c r="W174" s="20" t="str">
        <f>IFERROR(IF([1]对账明细接口!$R174=0,"",[1]对账明细接口!$R174),"")</f>
        <v>新N*X8S48</v>
      </c>
      <c r="X174" s="20" t="str">
        <f>IFERROR(IF([1]对账明细接口!$S174=0,"",[1]对账明细接口!$S174),"")</f>
        <v>公司筐</v>
      </c>
      <c r="Y174" s="20">
        <f>IFERROR(IF([1]对账明细接口!$T174=0,"",[1]对账明细接口!$T174),"")</f>
      </c>
      <c r="Z174" s="213">
        <f>IFERROR(IF([1]对账明细接口!$U174=0,"",[1]对账明细接口!$U174),"")</f>
      </c>
      <c r="AA174" s="213">
        <f>IFERROR(IF([1]对账明细接口!$V174=0,"",[1]对账明细接口!$V174),"")</f>
      </c>
      <c r="AB174" s="20">
        <f>IFERROR(IF([1]对账明细接口!$W174=0,"",[1]对账明细接口!$W174),"")</f>
      </c>
      <c r="AC174" s="7">
        <f>IFERROR(IF([1]对账明细接口!$X174=0,"",[1]对账明细接口!$X174),"")</f>
      </c>
      <c r="AD174" s="7">
        <f>IFERROR(IF([1]对账明细接口!$Y174=0,"",[1]对账明细接口!$Y174),"")</f>
      </c>
      <c r="AE174" s="7">
        <f>IFERROR(IF([1]对账明细接口!$AA174=0,"",[1]对账明细接口!$AA174),"")</f>
      </c>
      <c r="AF174" s="7">
        <f>IFERROR(IF([1]对账明细接口!$AB174=0,"",[1]对账明细接口!$AB174),"")</f>
      </c>
      <c r="AG174" s="7">
        <f>IFERROR(IF([1]对账明细接口!$AC174=0,"",[1]对账明细接口!$AC174),"")</f>
      </c>
      <c r="AH174" s="7">
        <f>IFERROR(IF([1]对账明细接口!$AD174=0,"",[1]对账明细接口!$AD174),"")</f>
      </c>
      <c r="AI174" s="7">
        <f>IFERROR(IF([1]对账明细接口!$AE174=0,"",[1]对账明细接口!$AE174),"")</f>
      </c>
      <c r="AJ174" s="7">
        <f>IFERROR(IF([1]对账明细接口!$AF174=0,"",[1]对账明细接口!$AF174),"")</f>
      </c>
    </row>
    <row r="175" ht="14.25" customHeight="1" s="127">
      <c r="A175" s="14" t="n">
        <v>175</v>
      </c>
      <c r="B175" s="211">
        <f>IFERROR(IF([1]对账明细接口!$B$175=0,"",[1]对账明细接口!$B$175),"")</f>
        <v>46275.0</v>
      </c>
      <c r="C175" s="16" t="str">
        <f>IFERROR(IF([1]对账明细接口!$C$175=0,"",[1]对账明细接口!$C$175),"")</f>
        <v>吐尔洪</v>
      </c>
      <c r="D175" s="16" t="str">
        <f>IFERROR(IF([1]对账明细接口!$D$175=0,"",[1]对账明细接口!$D$175),"")</f>
        <v>原料入库</v>
      </c>
      <c r="E175" s="16" t="str">
        <f>IFERROR(IF([1]对账明细接口!$E$175=0,"",[1]对账明细接口!$E$175),"")</f>
        <v>NO:0000773</v>
      </c>
      <c r="F175" s="16" t="str">
        <f>IFERROR(IF([1]对账明细接口!$F$175=0,"",[1]对账明细接口!$F$175),"")</f>
        <v>香梨</v>
      </c>
      <c r="G175" s="16" t="str">
        <f>IFERROR(IF([1]对账明细接口!$G$175=0,"",[1]对账明细接口!$G$175),"")</f>
        <v>香梨一级</v>
      </c>
      <c r="H175" s="176">
        <f>IFERROR(IF([1]对账明细接口!$H$175=0,"",[1]对账明细接口!$H$175),"")</f>
        <v>38</v>
      </c>
      <c r="I175" s="16" t="str">
        <f>IFERROR(IF([1]对账明细接口!$I$175=0,"",[1]对账明细接口!$I$175),"")</f>
        <v>筐</v>
      </c>
      <c r="J175" s="177">
        <f>IFERROR(IF([1]对账明细接口!$J$175=0,"",[1]对账明细接口!$J$175),"")</f>
        <v>695.4</v>
      </c>
      <c r="K175" s="177">
        <f>IFERROR(IF([1]对账明细接口!$K$175=0,"",[1]对账明细接口!$K$175),"")</f>
      </c>
      <c r="L175" s="16">
        <f>IFERROR(IF([1]对账明细接口!$L$175=0,"",[1]对账明细接口!$L$175),"")</f>
      </c>
      <c r="M175" s="16" t="str">
        <f>IFERROR(IF([1]对账明细接口!$M$175=0,"",[1]对账明细接口!$M$175),"")</f>
        <v>麦麦提</v>
      </c>
      <c r="N175" s="19">
        <f>IF($C175="",0,1)</f>
        <v>1</v>
      </c>
      <c r="O175" s="19">
        <f>N(O174)+$N175</f>
        <v>172</v>
      </c>
      <c r="S175" s="20" t="str">
        <f>IFERROR(IF([1]对账明细接口!$N175=0,"",[1]对账明细接口!$N175),"")</f>
        <v>公司红周转筐</v>
      </c>
      <c r="T175" s="212">
        <f>IFERROR(IF([1]对账明细接口!$O175=0,"",[1]对账明细接口!$O175),"")</f>
      </c>
      <c r="U175" s="212">
        <f>IFERROR(IF([1]对账明细接口!$P175=0,"",[1]对账明细接口!$P175),"")</f>
      </c>
      <c r="V175" s="212">
        <f>IFERROR(IF([1]对账明细接口!$Q175=0,"",[1]对账明细接口!$Q175),"")</f>
        <v>38</v>
      </c>
      <c r="W175" s="20" t="str">
        <f>IFERROR(IF([1]对账明细接口!$R175=0,"",[1]对账明细接口!$R175),"")</f>
        <v>新N*X8S48</v>
      </c>
      <c r="X175" s="20" t="str">
        <f>IFERROR(IF([1]对账明细接口!$S175=0,"",[1]对账明细接口!$S175),"")</f>
        <v>公司筐</v>
      </c>
      <c r="Y175" s="20">
        <f>IFERROR(IF([1]对账明细接口!$T175=0,"",[1]对账明细接口!$T175),"")</f>
      </c>
      <c r="Z175" s="213">
        <f>IFERROR(IF([1]对账明细接口!$U175=0,"",[1]对账明细接口!$U175),"")</f>
      </c>
      <c r="AA175" s="213">
        <f>IFERROR(IF([1]对账明细接口!$V175=0,"",[1]对账明细接口!$V175),"")</f>
      </c>
      <c r="AB175" s="20">
        <f>IFERROR(IF([1]对账明细接口!$W175=0,"",[1]对账明细接口!$W175),"")</f>
      </c>
      <c r="AC175" s="7">
        <f>IFERROR(IF([1]对账明细接口!$X175=0,"",[1]对账明细接口!$X175),"")</f>
      </c>
      <c r="AD175" s="7">
        <f>IFERROR(IF([1]对账明细接口!$Y175=0,"",[1]对账明细接口!$Y175),"")</f>
      </c>
      <c r="AE175" s="7">
        <f>IFERROR(IF([1]对账明细接口!$AA175=0,"",[1]对账明细接口!$AA175),"")</f>
      </c>
      <c r="AF175" s="7">
        <f>IFERROR(IF([1]对账明细接口!$AB175=0,"",[1]对账明细接口!$AB175),"")</f>
      </c>
      <c r="AG175" s="7">
        <f>IFERROR(IF([1]对账明细接口!$AC175=0,"",[1]对账明细接口!$AC175),"")</f>
      </c>
      <c r="AH175" s="7">
        <f>IFERROR(IF([1]对账明细接口!$AD175=0,"",[1]对账明细接口!$AD175),"")</f>
      </c>
      <c r="AI175" s="7">
        <f>IFERROR(IF([1]对账明细接口!$AE175=0,"",[1]对账明细接口!$AE175),"")</f>
      </c>
      <c r="AJ175" s="7">
        <f>IFERROR(IF([1]对账明细接口!$AF175=0,"",[1]对账明细接口!$AF175),"")</f>
      </c>
    </row>
    <row r="176" ht="14.25" customHeight="1" s="127">
      <c r="A176" s="14" t="n">
        <v>176</v>
      </c>
      <c r="B176" s="211">
        <f>IFERROR(IF([1]对账明细接口!$B$176=0,"",[1]对账明细接口!$B$176),"")</f>
        <v>46275.0</v>
      </c>
      <c r="C176" s="16" t="str">
        <f>IFERROR(IF([1]对账明细接口!$C$176=0,"",[1]对账明细接口!$C$176),"")</f>
        <v>吐尔洪</v>
      </c>
      <c r="D176" s="16" t="str">
        <f>IFERROR(IF([1]对账明细接口!$D$176=0,"",[1]对账明细接口!$D$176),"")</f>
        <v>原料入库</v>
      </c>
      <c r="E176" s="16" t="str">
        <f>IFERROR(IF([1]对账明细接口!$E$176=0,"",[1]对账明细接口!$E$176),"")</f>
        <v>NO:0000773</v>
      </c>
      <c r="F176" s="16" t="str">
        <f>IFERROR(IF([1]对账明细接口!$F$176=0,"",[1]对账明细接口!$F$176),"")</f>
        <v>香梨</v>
      </c>
      <c r="G176" s="16" t="str">
        <f>IFERROR(IF([1]对账明细接口!$G$176=0,"",[1]对账明细接口!$G$176),"")</f>
        <v>香梨二级</v>
      </c>
      <c r="H176" s="176">
        <f>IFERROR(IF([1]对账明细接口!$H$176=0,"",[1]对账明细接口!$H$176),"")</f>
        <v>106</v>
      </c>
      <c r="I176" s="16" t="str">
        <f>IFERROR(IF([1]对账明细接口!$I$176=0,"",[1]对账明细接口!$I$176),"")</f>
        <v>筐</v>
      </c>
      <c r="J176" s="177">
        <f>IFERROR(IF([1]对账明细接口!$J$176=0,"",[1]对账明细接口!$J$176),"")</f>
        <v>2363.8</v>
      </c>
      <c r="K176" s="177">
        <f>IFERROR(IF([1]对账明细接口!$K$176=0,"",[1]对账明细接口!$K$176),"")</f>
      </c>
      <c r="L176" s="16">
        <f>IFERROR(IF([1]对账明细接口!$L$176=0,"",[1]对账明细接口!$L$176),"")</f>
      </c>
      <c r="M176" s="16" t="str">
        <f>IFERROR(IF([1]对账明细接口!$M$176=0,"",[1]对账明细接口!$M$176),"")</f>
        <v>麦麦提</v>
      </c>
      <c r="N176" s="19">
        <f>IF($C176="",0,1)</f>
        <v>1</v>
      </c>
      <c r="O176" s="19">
        <f>N(O175)+$N176</f>
        <v>173</v>
      </c>
      <c r="S176" s="20" t="str">
        <f>IFERROR(IF([1]对账明细接口!$N176=0,"",[1]对账明细接口!$N176),"")</f>
        <v>公司红周转筐</v>
      </c>
      <c r="T176" s="212">
        <f>IFERROR(IF([1]对账明细接口!$O176=0,"",[1]对账明细接口!$O176),"")</f>
      </c>
      <c r="U176" s="212">
        <f>IFERROR(IF([1]对账明细接口!$P176=0,"",[1]对账明细接口!$P176),"")</f>
      </c>
      <c r="V176" s="212">
        <f>IFERROR(IF([1]对账明细接口!$Q176=0,"",[1]对账明细接口!$Q176),"")</f>
        <v>106</v>
      </c>
      <c r="W176" s="20" t="str">
        <f>IFERROR(IF([1]对账明细接口!$R176=0,"",[1]对账明细接口!$R176),"")</f>
        <v>新N*X8S48</v>
      </c>
      <c r="X176" s="20" t="str">
        <f>IFERROR(IF([1]对账明细接口!$S176=0,"",[1]对账明细接口!$S176),"")</f>
        <v>公司筐</v>
      </c>
      <c r="Y176" s="20">
        <f>IFERROR(IF([1]对账明细接口!$T176=0,"",[1]对账明细接口!$T176),"")</f>
      </c>
      <c r="Z176" s="213">
        <f>IFERROR(IF([1]对账明细接口!$U176=0,"",[1]对账明细接口!$U176),"")</f>
      </c>
      <c r="AA176" s="213">
        <f>IFERROR(IF([1]对账明细接口!$V176=0,"",[1]对账明细接口!$V176),"")</f>
      </c>
      <c r="AB176" s="20">
        <f>IFERROR(IF([1]对账明细接口!$W176=0,"",[1]对账明细接口!$W176),"")</f>
      </c>
      <c r="AC176" s="7">
        <f>IFERROR(IF([1]对账明细接口!$X176=0,"",[1]对账明细接口!$X176),"")</f>
      </c>
      <c r="AD176" s="7">
        <f>IFERROR(IF([1]对账明细接口!$Y176=0,"",[1]对账明细接口!$Y176),"")</f>
      </c>
      <c r="AE176" s="7">
        <f>IFERROR(IF([1]对账明细接口!$AA176=0,"",[1]对账明细接口!$AA176),"")</f>
      </c>
      <c r="AF176" s="7">
        <f>IFERROR(IF([1]对账明细接口!$AB176=0,"",[1]对账明细接口!$AB176),"")</f>
      </c>
      <c r="AG176" s="7">
        <f>IFERROR(IF([1]对账明细接口!$AC176=0,"",[1]对账明细接口!$AC176),"")</f>
      </c>
      <c r="AH176" s="7">
        <f>IFERROR(IF([1]对账明细接口!$AD176=0,"",[1]对账明细接口!$AD176),"")</f>
      </c>
      <c r="AI176" s="7">
        <f>IFERROR(IF([1]对账明细接口!$AE176=0,"",[1]对账明细接口!$AE176),"")</f>
      </c>
      <c r="AJ176" s="7">
        <f>IFERROR(IF([1]对账明细接口!$AF176=0,"",[1]对账明细接口!$AF176),"")</f>
      </c>
    </row>
    <row r="177" ht="14.25" customHeight="1" s="127">
      <c r="A177" s="14" t="n">
        <v>177</v>
      </c>
      <c r="B177" s="211">
        <f>IFERROR(IF([1]对账明细接口!$B$177=0,"",[1]对账明细接口!$B$177),"")</f>
        <v>46275.0</v>
      </c>
      <c r="C177" s="16" t="str">
        <f>IFERROR(IF([1]对账明细接口!$C$177=0,"",[1]对账明细接口!$C$177),"")</f>
        <v>王照雪</v>
      </c>
      <c r="D177" s="16" t="str">
        <f>IFERROR(IF([1]对账明细接口!$D$177=0,"",[1]对账明细接口!$D$177),"")</f>
        <v>原料入库</v>
      </c>
      <c r="E177" s="16" t="str">
        <f>IFERROR(IF([1]对账明细接口!$E$177=0,"",[1]对账明细接口!$E$177),"")</f>
        <v>NO:0000775</v>
      </c>
      <c r="F177" s="16" t="str">
        <f>IFERROR(IF([1]对账明细接口!$F$177=0,"",[1]对账明细接口!$F$177),"")</f>
        <v>香梨</v>
      </c>
      <c r="G177" s="16" t="str">
        <f>IFERROR(IF([1]对账明细接口!$G$177=0,"",[1]对账明细接口!$G$177),"")</f>
        <v>香梨一级</v>
      </c>
      <c r="H177" s="176">
        <f>IFERROR(IF([1]对账明细接口!$H$177=0,"",[1]对账明细接口!$H$177),"")</f>
        <v>196</v>
      </c>
      <c r="I177" s="16" t="str">
        <f>IFERROR(IF([1]对账明细接口!$I$177=0,"",[1]对账明细接口!$I$177),"")</f>
        <v>筐</v>
      </c>
      <c r="J177" s="177">
        <f>IFERROR(IF([1]对账明细接口!$J$177=0,"",[1]对账明细接口!$J$177),"")</f>
        <v>3626</v>
      </c>
      <c r="K177" s="177">
        <f>IFERROR(IF([1]对账明细接口!$K$177=0,"",[1]对账明细接口!$K$177),"")</f>
      </c>
      <c r="L177" s="16">
        <f>IFERROR(IF([1]对账明细接口!$L$177=0,"",[1]对账明细接口!$L$177),"")</f>
      </c>
      <c r="M177" s="16">
        <f>IFERROR(IF([1]对账明细接口!$M$177=0,"",[1]对账明细接口!$M$177),"")</f>
      </c>
      <c r="N177" s="19">
        <f>IF($C177="",0,1)</f>
        <v>1</v>
      </c>
      <c r="O177" s="19">
        <f>N(O176)+$N177</f>
        <v>174</v>
      </c>
      <c r="S177" s="20" t="str">
        <f>IFERROR(IF([1]对账明细接口!$N177=0,"",[1]对账明细接口!$N177),"")</f>
        <v>公司一次性筐</v>
      </c>
      <c r="T177" s="212">
        <f>IFERROR(IF([1]对账明细接口!$O177=0,"",[1]对账明细接口!$O177),"")</f>
      </c>
      <c r="U177" s="212">
        <f>IFERROR(IF([1]对账明细接口!$P177=0,"",[1]对账明细接口!$P177),"")</f>
      </c>
      <c r="V177" s="212">
        <f>IFERROR(IF([1]对账明细接口!$Q177=0,"",[1]对账明细接口!$Q177),"")</f>
        <v>196</v>
      </c>
      <c r="W177" s="20" t="str">
        <f>IFERROR(IF([1]对账明细接口!$R177=0,"",[1]对账明细接口!$R177),"")</f>
        <v>豫L*88X19</v>
      </c>
      <c r="X177" s="20" t="str">
        <f>IFERROR(IF([1]对账明细接口!$S177=0,"",[1]对账明细接口!$S177),"")</f>
        <v>公司筐</v>
      </c>
      <c r="Y177" s="20">
        <f>IFERROR(IF([1]对账明细接口!$T177=0,"",[1]对账明细接口!$T177),"")</f>
      </c>
      <c r="Z177" s="213">
        <f>IFERROR(IF([1]对账明细接口!$U177=0,"",[1]对账明细接口!$U177),"")</f>
      </c>
      <c r="AA177" s="213">
        <f>IFERROR(IF([1]对账明细接口!$V177=0,"",[1]对账明细接口!$V177),"")</f>
      </c>
      <c r="AB177" s="20">
        <f>IFERROR(IF([1]对账明细接口!$W177=0,"",[1]对账明细接口!$W177),"")</f>
      </c>
      <c r="AC177" s="7">
        <f>IFERROR(IF([1]对账明细接口!$X177=0,"",[1]对账明细接口!$X177),"")</f>
      </c>
      <c r="AD177" s="7">
        <f>IFERROR(IF([1]对账明细接口!$Y177=0,"",[1]对账明细接口!$Y177),"")</f>
      </c>
      <c r="AE177" s="7">
        <f>IFERROR(IF([1]对账明细接口!$AA177=0,"",[1]对账明细接口!$AA177),"")</f>
      </c>
      <c r="AF177" s="7">
        <f>IFERROR(IF([1]对账明细接口!$AB177=0,"",[1]对账明细接口!$AB177),"")</f>
      </c>
      <c r="AG177" s="7">
        <f>IFERROR(IF([1]对账明细接口!$AC177=0,"",[1]对账明细接口!$AC177),"")</f>
      </c>
      <c r="AH177" s="7">
        <f>IFERROR(IF([1]对账明细接口!$AD177=0,"",[1]对账明细接口!$AD177),"")</f>
      </c>
      <c r="AI177" s="7">
        <f>IFERROR(IF([1]对账明细接口!$AE177=0,"",[1]对账明细接口!$AE177),"")</f>
      </c>
      <c r="AJ177" s="7">
        <f>IFERROR(IF([1]对账明细接口!$AF177=0,"",[1]对账明细接口!$AF177),"")</f>
      </c>
    </row>
    <row r="178" ht="14.25" customHeight="1" s="127">
      <c r="A178" s="14" t="n">
        <v>178</v>
      </c>
      <c r="B178" s="211">
        <f>IFERROR(IF([1]对账明细接口!$B$178=0,"",[1]对账明细接口!$B$178),"")</f>
        <v>46275.0</v>
      </c>
      <c r="C178" s="16" t="str">
        <f>IFERROR(IF([1]对账明细接口!$C$178=0,"",[1]对账明细接口!$C$178),"")</f>
        <v>王照雪</v>
      </c>
      <c r="D178" s="16" t="str">
        <f>IFERROR(IF([1]对账明细接口!$D$178=0,"",[1]对账明细接口!$D$178),"")</f>
        <v>原料入库</v>
      </c>
      <c r="E178" s="16" t="str">
        <f>IFERROR(IF([1]对账明细接口!$E$178=0,"",[1]对账明细接口!$E$178),"")</f>
        <v>NO:0000775</v>
      </c>
      <c r="F178" s="16" t="str">
        <f>IFERROR(IF([1]对账明细接口!$F$178=0,"",[1]对账明细接口!$F$178),"")</f>
        <v>香梨</v>
      </c>
      <c r="G178" s="16" t="str">
        <f>IFERROR(IF([1]对账明细接口!$G$178=0,"",[1]对账明细接口!$G$178),"")</f>
        <v>香梨副特</v>
      </c>
      <c r="H178" s="176">
        <f>IFERROR(IF([1]对账明细接口!$H$178=0,"",[1]对账明细接口!$H$178),"")</f>
        <v>133</v>
      </c>
      <c r="I178" s="16" t="str">
        <f>IFERROR(IF([1]对账明细接口!$I$178=0,"",[1]对账明细接口!$I$178),"")</f>
        <v>筐</v>
      </c>
      <c r="J178" s="177">
        <f>IFERROR(IF([1]对账明细接口!$J$178=0,"",[1]对账明细接口!$J$178),"")</f>
        <v>2460.5</v>
      </c>
      <c r="K178" s="177">
        <f>IFERROR(IF([1]对账明细接口!$K$178=0,"",[1]对账明细接口!$K$178),"")</f>
      </c>
      <c r="L178" s="16">
        <f>IFERROR(IF([1]对账明细接口!$L$178=0,"",[1]对账明细接口!$L$178),"")</f>
      </c>
      <c r="M178" s="16">
        <f>IFERROR(IF([1]对账明细接口!$M$178=0,"",[1]对账明细接口!$M$178),"")</f>
      </c>
      <c r="N178" s="19">
        <f>IF($C178="",0,1)</f>
        <v>1</v>
      </c>
      <c r="O178" s="19">
        <f>N(O177)+$N178</f>
        <v>175</v>
      </c>
      <c r="S178" s="20" t="str">
        <f>IFERROR(IF([1]对账明细接口!$N178=0,"",[1]对账明细接口!$N178),"")</f>
        <v>公司一次性筐</v>
      </c>
      <c r="T178" s="212">
        <f>IFERROR(IF([1]对账明细接口!$O178=0,"",[1]对账明细接口!$O178),"")</f>
      </c>
      <c r="U178" s="212">
        <f>IFERROR(IF([1]对账明细接口!$P178=0,"",[1]对账明细接口!$P178),"")</f>
      </c>
      <c r="V178" s="212">
        <f>IFERROR(IF([1]对账明细接口!$Q178=0,"",[1]对账明细接口!$Q178),"")</f>
        <v>133</v>
      </c>
      <c r="W178" s="20" t="str">
        <f>IFERROR(IF([1]对账明细接口!$R178=0,"",[1]对账明细接口!$R178),"")</f>
        <v>豫L*88X19</v>
      </c>
      <c r="X178" s="20" t="str">
        <f>IFERROR(IF([1]对账明细接口!$S178=0,"",[1]对账明细接口!$S178),"")</f>
        <v>公司筐</v>
      </c>
      <c r="Y178" s="20">
        <f>IFERROR(IF([1]对账明细接口!$T178=0,"",[1]对账明细接口!$T178),"")</f>
      </c>
      <c r="Z178" s="213">
        <f>IFERROR(IF([1]对账明细接口!$U178=0,"",[1]对账明细接口!$U178),"")</f>
      </c>
      <c r="AA178" s="213">
        <f>IFERROR(IF([1]对账明细接口!$V178=0,"",[1]对账明细接口!$V178),"")</f>
      </c>
      <c r="AB178" s="20">
        <f>IFERROR(IF([1]对账明细接口!$W178=0,"",[1]对账明细接口!$W178),"")</f>
      </c>
      <c r="AC178" s="7">
        <f>IFERROR(IF([1]对账明细接口!$X178=0,"",[1]对账明细接口!$X178),"")</f>
      </c>
      <c r="AD178" s="7">
        <f>IFERROR(IF([1]对账明细接口!$Y178=0,"",[1]对账明细接口!$Y178),"")</f>
      </c>
      <c r="AE178" s="7">
        <f>IFERROR(IF([1]对账明细接口!$AA178=0,"",[1]对账明细接口!$AA178),"")</f>
      </c>
      <c r="AF178" s="7">
        <f>IFERROR(IF([1]对账明细接口!$AB178=0,"",[1]对账明细接口!$AB178),"")</f>
      </c>
      <c r="AG178" s="7">
        <f>IFERROR(IF([1]对账明细接口!$AC178=0,"",[1]对账明细接口!$AC178),"")</f>
      </c>
      <c r="AH178" s="7">
        <f>IFERROR(IF([1]对账明细接口!$AD178=0,"",[1]对账明细接口!$AD178),"")</f>
      </c>
      <c r="AI178" s="7">
        <f>IFERROR(IF([1]对账明细接口!$AE178=0,"",[1]对账明细接口!$AE178),"")</f>
      </c>
      <c r="AJ178" s="7">
        <f>IFERROR(IF([1]对账明细接口!$AF178=0,"",[1]对账明细接口!$AF178),"")</f>
      </c>
    </row>
    <row r="179" ht="14.25" customHeight="1" s="127">
      <c r="A179" s="14" t="n">
        <v>179</v>
      </c>
      <c r="B179" s="211">
        <f>IFERROR(IF([1]对账明细接口!$B$179=0,"",[1]对账明细接口!$B$179),"")</f>
        <v>46275.0</v>
      </c>
      <c r="C179" s="16" t="str">
        <f>IFERROR(IF([1]对账明细接口!$C$179=0,"",[1]对账明细接口!$C$179),"")</f>
        <v>热合曼</v>
      </c>
      <c r="D179" s="16" t="str">
        <f>IFERROR(IF([1]对账明细接口!$D$179=0,"",[1]对账明细接口!$D$179),"")</f>
        <v>原料入库</v>
      </c>
      <c r="E179" s="16" t="str">
        <f>IFERROR(IF([1]对账明细接口!$E$179=0,"",[1]对账明细接口!$E$179),"")</f>
        <v>NO:0000776</v>
      </c>
      <c r="F179" s="16" t="str">
        <f>IFERROR(IF([1]对账明细接口!$F$179=0,"",[1]对账明细接口!$F$179),"")</f>
        <v>香梨</v>
      </c>
      <c r="G179" s="16" t="str">
        <f>IFERROR(IF([1]对账明细接口!$G$179=0,"",[1]对账明细接口!$G$179),"")</f>
        <v>香梨一级</v>
      </c>
      <c r="H179" s="176">
        <f>IFERROR(IF([1]对账明细接口!$H$179=0,"",[1]对账明细接口!$H$179),"")</f>
        <v>220</v>
      </c>
      <c r="I179" s="16" t="str">
        <f>IFERROR(IF([1]对账明细接口!$I$179=0,"",[1]对账明细接口!$I$179),"")</f>
        <v>筐</v>
      </c>
      <c r="J179" s="177">
        <f>IFERROR(IF([1]对账明细接口!$J$179=0,"",[1]对账明细接口!$J$179),"")</f>
        <v>4026</v>
      </c>
      <c r="K179" s="177">
        <f>IFERROR(IF([1]对账明细接口!$K$179=0,"",[1]对账明细接口!$K$179),"")</f>
      </c>
      <c r="L179" s="16">
        <f>IFERROR(IF([1]对账明细接口!$L$179=0,"",[1]对账明细接口!$L$179),"")</f>
      </c>
      <c r="M179" s="16">
        <f>IFERROR(IF([1]对账明细接口!$M$179=0,"",[1]对账明细接口!$M$179),"")</f>
      </c>
      <c r="N179" s="19">
        <f>IF($C179="",0,1)</f>
        <v>1</v>
      </c>
      <c r="O179" s="19">
        <f>N(O178)+$N179</f>
        <v>176</v>
      </c>
      <c r="S179" s="20" t="str">
        <f>IFERROR(IF([1]对账明细接口!$N179=0,"",[1]对账明细接口!$N179),"")</f>
        <v>公司红周转筐</v>
      </c>
      <c r="T179" s="212">
        <f>IFERROR(IF([1]对账明细接口!$O179=0,"",[1]对账明细接口!$O179),"")</f>
      </c>
      <c r="U179" s="212">
        <f>IFERROR(IF([1]对账明细接口!$P179=0,"",[1]对账明细接口!$P179),"")</f>
      </c>
      <c r="V179" s="212">
        <f>IFERROR(IF([1]对账明细接口!$Q179=0,"",[1]对账明细接口!$Q179),"")</f>
        <v>220</v>
      </c>
      <c r="W179" s="20" t="str">
        <f>IFERROR(IF([1]对账明细接口!$R179=0,"",[1]对账明细接口!$R179),"")</f>
        <v>新A*G0554</v>
      </c>
      <c r="X179" s="20" t="str">
        <f>IFERROR(IF([1]对账明细接口!$S179=0,"",[1]对账明细接口!$S179),"")</f>
        <v>公司筐</v>
      </c>
      <c r="Y179" s="20">
        <f>IFERROR(IF([1]对账明细接口!$T179=0,"",[1]对账明细接口!$T179),"")</f>
      </c>
      <c r="Z179" s="213">
        <f>IFERROR(IF([1]对账明细接口!$U179=0,"",[1]对账明细接口!$U179),"")</f>
      </c>
      <c r="AA179" s="213">
        <f>IFERROR(IF([1]对账明细接口!$V179=0,"",[1]对账明细接口!$V179),"")</f>
      </c>
      <c r="AB179" s="20">
        <f>IFERROR(IF([1]对账明细接口!$W179=0,"",[1]对账明细接口!$W179),"")</f>
      </c>
      <c r="AC179" s="7">
        <f>IFERROR(IF([1]对账明细接口!$X179=0,"",[1]对账明细接口!$X179),"")</f>
      </c>
      <c r="AD179" s="7">
        <f>IFERROR(IF([1]对账明细接口!$Y179=0,"",[1]对账明细接口!$Y179),"")</f>
      </c>
      <c r="AE179" s="7">
        <f>IFERROR(IF([1]对账明细接口!$AA179=0,"",[1]对账明细接口!$AA179),"")</f>
      </c>
      <c r="AF179" s="7">
        <f>IFERROR(IF([1]对账明细接口!$AB179=0,"",[1]对账明细接口!$AB179),"")</f>
      </c>
      <c r="AG179" s="7">
        <f>IFERROR(IF([1]对账明细接口!$AC179=0,"",[1]对账明细接口!$AC179),"")</f>
      </c>
      <c r="AH179" s="7">
        <f>IFERROR(IF([1]对账明细接口!$AD179=0,"",[1]对账明细接口!$AD179),"")</f>
      </c>
      <c r="AI179" s="7">
        <f>IFERROR(IF([1]对账明细接口!$AE179=0,"",[1]对账明细接口!$AE179),"")</f>
      </c>
      <c r="AJ179" s="7">
        <f>IFERROR(IF([1]对账明细接口!$AF179=0,"",[1]对账明细接口!$AF179),"")</f>
      </c>
    </row>
    <row r="180" ht="14.25" customHeight="1" s="127">
      <c r="A180" s="14" t="n">
        <v>180</v>
      </c>
      <c r="B180" s="211">
        <f>IFERROR(IF([1]对账明细接口!$B$180=0,"",[1]对账明细接口!$B$180),"")</f>
        <v>46275.0</v>
      </c>
      <c r="C180" s="16" t="str">
        <f>IFERROR(IF([1]对账明细接口!$C$180=0,"",[1]对账明细接口!$C$180),"")</f>
        <v>热合曼</v>
      </c>
      <c r="D180" s="16" t="str">
        <f>IFERROR(IF([1]对账明细接口!$D$180=0,"",[1]对账明细接口!$D$180),"")</f>
        <v>原料入库</v>
      </c>
      <c r="E180" s="16" t="str">
        <f>IFERROR(IF([1]对账明细接口!$E$180=0,"",[1]对账明细接口!$E$180),"")</f>
        <v>NO:0000776</v>
      </c>
      <c r="F180" s="16" t="str">
        <f>IFERROR(IF([1]对账明细接口!$F$180=0,"",[1]对账明细接口!$F$180),"")</f>
        <v>香梨</v>
      </c>
      <c r="G180" s="16" t="str">
        <f>IFERROR(IF([1]对账明细接口!$G$180=0,"",[1]对账明细接口!$G$180),"")</f>
        <v>香梨二级</v>
      </c>
      <c r="H180" s="176">
        <f>IFERROR(IF([1]对账明细接口!$H$180=0,"",[1]对账明细接口!$H$180),"")</f>
        <v>54</v>
      </c>
      <c r="I180" s="16" t="str">
        <f>IFERROR(IF([1]对账明细接口!$I$180=0,"",[1]对账明细接口!$I$180),"")</f>
        <v>筐</v>
      </c>
      <c r="J180" s="177">
        <f>IFERROR(IF([1]对账明细接口!$J$180=0,"",[1]对账明细接口!$J$180),"")</f>
        <v>1204.2</v>
      </c>
      <c r="K180" s="177">
        <f>IFERROR(IF([1]对账明细接口!$K$180=0,"",[1]对账明细接口!$K$180),"")</f>
      </c>
      <c r="L180" s="16">
        <f>IFERROR(IF([1]对账明细接口!$L$180=0,"",[1]对账明细接口!$L$180),"")</f>
      </c>
      <c r="M180" s="16">
        <f>IFERROR(IF([1]对账明细接口!$M$180=0,"",[1]对账明细接口!$M$180),"")</f>
      </c>
      <c r="N180" s="19">
        <f>IF($C180="",0,1)</f>
        <v>1</v>
      </c>
      <c r="O180" s="19">
        <f>N(O179)+$N180</f>
        <v>177</v>
      </c>
      <c r="S180" s="20" t="str">
        <f>IFERROR(IF([1]对账明细接口!$N180=0,"",[1]对账明细接口!$N180),"")</f>
        <v>公司红周转筐</v>
      </c>
      <c r="T180" s="212">
        <f>IFERROR(IF([1]对账明细接口!$O180=0,"",[1]对账明细接口!$O180),"")</f>
      </c>
      <c r="U180" s="212">
        <f>IFERROR(IF([1]对账明细接口!$P180=0,"",[1]对账明细接口!$P180),"")</f>
      </c>
      <c r="V180" s="212">
        <f>IFERROR(IF([1]对账明细接口!$Q180=0,"",[1]对账明细接口!$Q180),"")</f>
        <v>54</v>
      </c>
      <c r="W180" s="20" t="str">
        <f>IFERROR(IF([1]对账明细接口!$R180=0,"",[1]对账明细接口!$R180),"")</f>
        <v>新A*G0554</v>
      </c>
      <c r="X180" s="20" t="str">
        <f>IFERROR(IF([1]对账明细接口!$S180=0,"",[1]对账明细接口!$S180),"")</f>
        <v>公司筐</v>
      </c>
      <c r="Y180" s="20">
        <f>IFERROR(IF([1]对账明细接口!$T180=0,"",[1]对账明细接口!$T180),"")</f>
      </c>
      <c r="Z180" s="213">
        <f>IFERROR(IF([1]对账明细接口!$U180=0,"",[1]对账明细接口!$U180),"")</f>
      </c>
      <c r="AA180" s="213">
        <f>IFERROR(IF([1]对账明细接口!$V180=0,"",[1]对账明细接口!$V180),"")</f>
      </c>
      <c r="AB180" s="20">
        <f>IFERROR(IF([1]对账明细接口!$W180=0,"",[1]对账明细接口!$W180),"")</f>
      </c>
      <c r="AC180" s="7">
        <f>IFERROR(IF([1]对账明细接口!$X180=0,"",[1]对账明细接口!$X180),"")</f>
      </c>
      <c r="AD180" s="7">
        <f>IFERROR(IF([1]对账明细接口!$Y180=0,"",[1]对账明细接口!$Y180),"")</f>
      </c>
      <c r="AE180" s="7">
        <f>IFERROR(IF([1]对账明细接口!$AA180=0,"",[1]对账明细接口!$AA180),"")</f>
      </c>
      <c r="AF180" s="7">
        <f>IFERROR(IF([1]对账明细接口!$AB180=0,"",[1]对账明细接口!$AB180),"")</f>
      </c>
      <c r="AG180" s="7">
        <f>IFERROR(IF([1]对账明细接口!$AC180=0,"",[1]对账明细接口!$AC180),"")</f>
      </c>
      <c r="AH180" s="7">
        <f>IFERROR(IF([1]对账明细接口!$AD180=0,"",[1]对账明细接口!$AD180),"")</f>
      </c>
      <c r="AI180" s="7">
        <f>IFERROR(IF([1]对账明细接口!$AE180=0,"",[1]对账明细接口!$AE180),"")</f>
      </c>
      <c r="AJ180" s="7">
        <f>IFERROR(IF([1]对账明细接口!$AF180=0,"",[1]对账明细接口!$AF180),"")</f>
      </c>
    </row>
    <row r="181" ht="14.25" customHeight="1" s="127">
      <c r="A181" s="14" t="n">
        <v>181</v>
      </c>
      <c r="B181" s="211">
        <f>IFERROR(IF([1]对账明细接口!$B$181=0,"",[1]对账明细接口!$B$181),"")</f>
        <v>46275.0</v>
      </c>
      <c r="C181" s="16" t="str">
        <f>IFERROR(IF([1]对账明细接口!$C$181=0,"",[1]对账明细接口!$C$181),"")</f>
        <v>热合曼</v>
      </c>
      <c r="D181" s="16" t="str">
        <f>IFERROR(IF([1]对账明细接口!$D$181=0,"",[1]对账明细接口!$D$181),"")</f>
        <v>原料入库</v>
      </c>
      <c r="E181" s="16" t="str">
        <f>IFERROR(IF([1]对账明细接口!$E$181=0,"",[1]对账明细接口!$E$181),"")</f>
        <v>NO:0000776</v>
      </c>
      <c r="F181" s="16" t="str">
        <f>IFERROR(IF([1]对账明细接口!$F$181=0,"",[1]对账明细接口!$F$181),"")</f>
        <v>香梨</v>
      </c>
      <c r="G181" s="16" t="str">
        <f>IFERROR(IF([1]对账明细接口!$G$181=0,"",[1]对账明细接口!$G$181),"")</f>
        <v>香梨副特</v>
      </c>
      <c r="H181" s="176">
        <f>IFERROR(IF([1]对账明细接口!$H$181=0,"",[1]对账明细接口!$H$181),"")</f>
        <v>305</v>
      </c>
      <c r="I181" s="16" t="str">
        <f>IFERROR(IF([1]对账明细接口!$I$181=0,"",[1]对账明细接口!$I$181),"")</f>
        <v>筐</v>
      </c>
      <c r="J181" s="177">
        <f>IFERROR(IF([1]对账明细接口!$J$181=0,"",[1]对账明细接口!$J$181),"")</f>
        <v>5886.5</v>
      </c>
      <c r="K181" s="177">
        <f>IFERROR(IF([1]对账明细接口!$K$181=0,"",[1]对账明细接口!$K$181),"")</f>
      </c>
      <c r="L181" s="16">
        <f>IFERROR(IF([1]对账明细接口!$L$181=0,"",[1]对账明细接口!$L$181),"")</f>
      </c>
      <c r="M181" s="16">
        <f>IFERROR(IF([1]对账明细接口!$M$181=0,"",[1]对账明细接口!$M$181),"")</f>
      </c>
      <c r="N181" s="19">
        <f>IF($C181="",0,1)</f>
        <v>1</v>
      </c>
      <c r="O181" s="19">
        <f>N(O180)+$N181</f>
        <v>178</v>
      </c>
      <c r="S181" s="20" t="str">
        <f>IFERROR(IF([1]对账明细接口!$N181=0,"",[1]对账明细接口!$N181),"")</f>
        <v>公司红周转筐</v>
      </c>
      <c r="T181" s="212">
        <f>IFERROR(IF([1]对账明细接口!$O181=0,"",[1]对账明细接口!$O181),"")</f>
      </c>
      <c r="U181" s="212">
        <f>IFERROR(IF([1]对账明细接口!$P181=0,"",[1]对账明细接口!$P181),"")</f>
      </c>
      <c r="V181" s="212">
        <f>IFERROR(IF([1]对账明细接口!$Q181=0,"",[1]对账明细接口!$Q181),"")</f>
        <v>305</v>
      </c>
      <c r="W181" s="20" t="str">
        <f>IFERROR(IF([1]对账明细接口!$R181=0,"",[1]对账明细接口!$R181),"")</f>
        <v>新A*G0554</v>
      </c>
      <c r="X181" s="20" t="str">
        <f>IFERROR(IF([1]对账明细接口!$S181=0,"",[1]对账明细接口!$S181),"")</f>
        <v>公司筐</v>
      </c>
      <c r="Y181" s="20">
        <f>IFERROR(IF([1]对账明细接口!$T181=0,"",[1]对账明细接口!$T181),"")</f>
      </c>
      <c r="Z181" s="213">
        <f>IFERROR(IF([1]对账明细接口!$U181=0,"",[1]对账明细接口!$U181),"")</f>
      </c>
      <c r="AA181" s="213">
        <f>IFERROR(IF([1]对账明细接口!$V181=0,"",[1]对账明细接口!$V181),"")</f>
      </c>
      <c r="AB181" s="20">
        <f>IFERROR(IF([1]对账明细接口!$W181=0,"",[1]对账明细接口!$W181),"")</f>
      </c>
      <c r="AC181" s="7">
        <f>IFERROR(IF([1]对账明细接口!$X181=0,"",[1]对账明细接口!$X181),"")</f>
      </c>
      <c r="AD181" s="7">
        <f>IFERROR(IF([1]对账明细接口!$Y181=0,"",[1]对账明细接口!$Y181),"")</f>
      </c>
      <c r="AE181" s="7">
        <f>IFERROR(IF([1]对账明细接口!$AA181=0,"",[1]对账明细接口!$AA181),"")</f>
      </c>
      <c r="AF181" s="7">
        <f>IFERROR(IF([1]对账明细接口!$AB181=0,"",[1]对账明细接口!$AB181),"")</f>
      </c>
      <c r="AG181" s="7">
        <f>IFERROR(IF([1]对账明细接口!$AC181=0,"",[1]对账明细接口!$AC181),"")</f>
      </c>
      <c r="AH181" s="7">
        <f>IFERROR(IF([1]对账明细接口!$AD181=0,"",[1]对账明细接口!$AD181),"")</f>
      </c>
      <c r="AI181" s="7">
        <f>IFERROR(IF([1]对账明细接口!$AE181=0,"",[1]对账明细接口!$AE181),"")</f>
      </c>
      <c r="AJ181" s="7">
        <f>IFERROR(IF([1]对账明细接口!$AF181=0,"",[1]对账明细接口!$AF181),"")</f>
      </c>
    </row>
    <row r="182" ht="14.25" customHeight="1" s="127">
      <c r="A182" s="14" t="n">
        <v>182</v>
      </c>
      <c r="B182" s="211">
        <f>IFERROR(IF([1]对账明细接口!$B$182=0,"",[1]对账明细接口!$B$182),"")</f>
        <v>46276.0</v>
      </c>
      <c r="C182" s="16" t="str">
        <f>IFERROR(IF([1]对账明细接口!$C$182=0,"",[1]对账明细接口!$C$182),"")</f>
        <v>马锦祥</v>
      </c>
      <c r="D182" s="16" t="str">
        <f>IFERROR(IF([1]对账明细接口!$D$182=0,"",[1]对账明细接口!$D$182),"")</f>
        <v>原料入库</v>
      </c>
      <c r="E182" s="16" t="str">
        <f>IFERROR(IF([1]对账明细接口!$E$182=0,"",[1]对账明细接口!$E$182),"")</f>
        <v>NO:0000780</v>
      </c>
      <c r="F182" s="16" t="str">
        <f>IFERROR(IF([1]对账明细接口!$F$182=0,"",[1]对账明细接口!$F$182),"")</f>
        <v>香梨</v>
      </c>
      <c r="G182" s="16" t="str">
        <f>IFERROR(IF([1]对账明细接口!$G$182=0,"",[1]对账明细接口!$G$182),"")</f>
        <v>香梨一级</v>
      </c>
      <c r="H182" s="176">
        <f>IFERROR(IF([1]对账明细接口!$H$182=0,"",[1]对账明细接口!$H$182),"")</f>
        <v>320</v>
      </c>
      <c r="I182" s="16" t="str">
        <f>IFERROR(IF([1]对账明细接口!$I$182=0,"",[1]对账明细接口!$I$182),"")</f>
        <v>筐</v>
      </c>
      <c r="J182" s="177">
        <f>IFERROR(IF([1]对账明细接口!$J$182=0,"",[1]对账明细接口!$J$182),"")</f>
        <v>5856</v>
      </c>
      <c r="K182" s="177">
        <f>IFERROR(IF([1]对账明细接口!$K$182=0,"",[1]对账明细接口!$K$182),"")</f>
      </c>
      <c r="L182" s="16">
        <f>IFERROR(IF([1]对账明细接口!$L$182=0,"",[1]对账明细接口!$L$182),"")</f>
      </c>
      <c r="M182" s="16">
        <f>IFERROR(IF([1]对账明细接口!$M$182=0,"",[1]对账明细接口!$M$182),"")</f>
      </c>
      <c r="N182" s="19">
        <f>IF($C182="",0,1)</f>
        <v>1</v>
      </c>
      <c r="O182" s="19">
        <f>N(O181)+$N182</f>
        <v>179</v>
      </c>
      <c r="S182" s="20" t="str">
        <f>IFERROR(IF([1]对账明细接口!$N182=0,"",[1]对账明细接口!$N182),"")</f>
        <v>公司杂周转筐</v>
      </c>
      <c r="T182" s="212">
        <f>IFERROR(IF([1]对账明细接口!$O182=0,"",[1]对账明细接口!$O182),"")</f>
      </c>
      <c r="U182" s="212">
        <f>IFERROR(IF([1]对账明细接口!$P182=0,"",[1]对账明细接口!$P182),"")</f>
      </c>
      <c r="V182" s="212">
        <f>IFERROR(IF([1]对账明细接口!$Q182=0,"",[1]对账明细接口!$Q182),"")</f>
        <v>320</v>
      </c>
      <c r="W182" s="20" t="str">
        <f>IFERROR(IF([1]对账明细接口!$R182=0,"",[1]对账明细接口!$R182),"")</f>
        <v>新N*K7V85</v>
      </c>
      <c r="X182" s="20" t="str">
        <f>IFERROR(IF([1]对账明细接口!$S182=0,"",[1]对账明细接口!$S182),"")</f>
        <v>公司筐</v>
      </c>
      <c r="Y182" s="20">
        <f>IFERROR(IF([1]对账明细接口!$T182=0,"",[1]对账明细接口!$T182),"")</f>
      </c>
      <c r="Z182" s="213">
        <f>IFERROR(IF([1]对账明细接口!$U182=0,"",[1]对账明细接口!$U182),"")</f>
      </c>
      <c r="AA182" s="213">
        <f>IFERROR(IF([1]对账明细接口!$V182=0,"",[1]对账明细接口!$V182),"")</f>
      </c>
      <c r="AB182" s="20">
        <f>IFERROR(IF([1]对账明细接口!$W182=0,"",[1]对账明细接口!$W182),"")</f>
      </c>
      <c r="AC182" s="7">
        <f>IFERROR(IF([1]对账明细接口!$X182=0,"",[1]对账明细接口!$X182),"")</f>
      </c>
      <c r="AD182" s="7">
        <f>IFERROR(IF([1]对账明细接口!$Y182=0,"",[1]对账明细接口!$Y182),"")</f>
      </c>
      <c r="AE182" s="7">
        <f>IFERROR(IF([1]对账明细接口!$AA182=0,"",[1]对账明细接口!$AA182),"")</f>
      </c>
      <c r="AF182" s="7">
        <f>IFERROR(IF([1]对账明细接口!$AB182=0,"",[1]对账明细接口!$AB182),"")</f>
      </c>
      <c r="AG182" s="7">
        <f>IFERROR(IF([1]对账明细接口!$AC182=0,"",[1]对账明细接口!$AC182),"")</f>
      </c>
      <c r="AH182" s="7">
        <f>IFERROR(IF([1]对账明细接口!$AD182=0,"",[1]对账明细接口!$AD182),"")</f>
      </c>
      <c r="AI182" s="7">
        <f>IFERROR(IF([1]对账明细接口!$AE182=0,"",[1]对账明细接口!$AE182),"")</f>
      </c>
      <c r="AJ182" s="7">
        <f>IFERROR(IF([1]对账明细接口!$AF182=0,"",[1]对账明细接口!$AF182),"")</f>
      </c>
    </row>
    <row r="183" ht="14.25" customHeight="1" s="127">
      <c r="A183" s="14" t="n">
        <v>183</v>
      </c>
      <c r="B183" s="211">
        <f>IFERROR(IF([1]对账明细接口!$B$183=0,"",[1]对账明细接口!$B$183),"")</f>
        <v>46276.0</v>
      </c>
      <c r="C183" s="16" t="str">
        <f>IFERROR(IF([1]对账明细接口!$C$183=0,"",[1]对账明细接口!$C$183),"")</f>
        <v>马锦祥</v>
      </c>
      <c r="D183" s="16" t="str">
        <f>IFERROR(IF([1]对账明细接口!$D$183=0,"",[1]对账明细接口!$D$183),"")</f>
        <v>原料入库</v>
      </c>
      <c r="E183" s="16" t="str">
        <f>IFERROR(IF([1]对账明细接口!$E$183=0,"",[1]对账明细接口!$E$183),"")</f>
        <v>NO:0000780</v>
      </c>
      <c r="F183" s="16" t="str">
        <f>IFERROR(IF([1]对账明细接口!$F$183=0,"",[1]对账明细接口!$F$183),"")</f>
        <v>香梨</v>
      </c>
      <c r="G183" s="16" t="str">
        <f>IFERROR(IF([1]对账明细接口!$G$183=0,"",[1]对账明细接口!$G$183),"")</f>
        <v>香梨二级</v>
      </c>
      <c r="H183" s="176">
        <f>IFERROR(IF([1]对账明细接口!$H$183=0,"",[1]对账明细接口!$H$183),"")</f>
        <v>64</v>
      </c>
      <c r="I183" s="16" t="str">
        <f>IFERROR(IF([1]对账明细接口!$I$183=0,"",[1]对账明细接口!$I$183),"")</f>
        <v>筐</v>
      </c>
      <c r="J183" s="177">
        <f>IFERROR(IF([1]对账明细接口!$J$183=0,"",[1]对账明细接口!$J$183),"")</f>
        <v>1427.2</v>
      </c>
      <c r="K183" s="177">
        <f>IFERROR(IF([1]对账明细接口!$K$183=0,"",[1]对账明细接口!$K$183),"")</f>
      </c>
      <c r="L183" s="16">
        <f>IFERROR(IF([1]对账明细接口!$L$183=0,"",[1]对账明细接口!$L$183),"")</f>
      </c>
      <c r="M183" s="16">
        <f>IFERROR(IF([1]对账明细接口!$M$183=0,"",[1]对账明细接口!$M$183),"")</f>
      </c>
      <c r="N183" s="19">
        <f>IF($C183="",0,1)</f>
        <v>1</v>
      </c>
      <c r="O183" s="19">
        <f>N(O182)+$N183</f>
        <v>180</v>
      </c>
      <c r="S183" s="20" t="str">
        <f>IFERROR(IF([1]对账明细接口!$N183=0,"",[1]对账明细接口!$N183),"")</f>
        <v>公司杂周转筐</v>
      </c>
      <c r="T183" s="212">
        <f>IFERROR(IF([1]对账明细接口!$O183=0,"",[1]对账明细接口!$O183),"")</f>
      </c>
      <c r="U183" s="212">
        <f>IFERROR(IF([1]对账明细接口!$P183=0,"",[1]对账明细接口!$P183),"")</f>
      </c>
      <c r="V183" s="212">
        <f>IFERROR(IF([1]对账明细接口!$Q183=0,"",[1]对账明细接口!$Q183),"")</f>
        <v>64</v>
      </c>
      <c r="W183" s="20" t="str">
        <f>IFERROR(IF([1]对账明细接口!$R183=0,"",[1]对账明细接口!$R183),"")</f>
        <v>新N*K7V85</v>
      </c>
      <c r="X183" s="20" t="str">
        <f>IFERROR(IF([1]对账明细接口!$S183=0,"",[1]对账明细接口!$S183),"")</f>
        <v>公司筐</v>
      </c>
      <c r="Y183" s="20">
        <f>IFERROR(IF([1]对账明细接口!$T183=0,"",[1]对账明细接口!$T183),"")</f>
      </c>
      <c r="Z183" s="213">
        <f>IFERROR(IF([1]对账明细接口!$U183=0,"",[1]对账明细接口!$U183),"")</f>
      </c>
      <c r="AA183" s="213">
        <f>IFERROR(IF([1]对账明细接口!$V183=0,"",[1]对账明细接口!$V183),"")</f>
      </c>
      <c r="AB183" s="20">
        <f>IFERROR(IF([1]对账明细接口!$W183=0,"",[1]对账明细接口!$W183),"")</f>
      </c>
      <c r="AC183" s="7">
        <f>IFERROR(IF([1]对账明细接口!$X183=0,"",[1]对账明细接口!$X183),"")</f>
      </c>
      <c r="AD183" s="7">
        <f>IFERROR(IF([1]对账明细接口!$Y183=0,"",[1]对账明细接口!$Y183),"")</f>
      </c>
      <c r="AE183" s="7">
        <f>IFERROR(IF([1]对账明细接口!$AA183=0,"",[1]对账明细接口!$AA183),"")</f>
      </c>
      <c r="AF183" s="7">
        <f>IFERROR(IF([1]对账明细接口!$AB183=0,"",[1]对账明细接口!$AB183),"")</f>
      </c>
      <c r="AG183" s="7">
        <f>IFERROR(IF([1]对账明细接口!$AC183=0,"",[1]对账明细接口!$AC183),"")</f>
      </c>
      <c r="AH183" s="7">
        <f>IFERROR(IF([1]对账明细接口!$AD183=0,"",[1]对账明细接口!$AD183),"")</f>
      </c>
      <c r="AI183" s="7">
        <f>IFERROR(IF([1]对账明细接口!$AE183=0,"",[1]对账明细接口!$AE183),"")</f>
      </c>
      <c r="AJ183" s="7">
        <f>IFERROR(IF([1]对账明细接口!$AF183=0,"",[1]对账明细接口!$AF183),"")</f>
      </c>
    </row>
    <row r="184" ht="14.25" customHeight="1" s="127">
      <c r="A184" s="14" t="n">
        <v>184</v>
      </c>
      <c r="B184" s="211">
        <f>IFERROR(IF([1]对账明细接口!$B$184=0,"",[1]对账明细接口!$B$184),"")</f>
        <v>46276.0</v>
      </c>
      <c r="C184" s="16" t="str">
        <f>IFERROR(IF([1]对账明细接口!$C$184=0,"",[1]对账明细接口!$C$184),"")</f>
        <v>马锦祥</v>
      </c>
      <c r="D184" s="16" t="str">
        <f>IFERROR(IF([1]对账明细接口!$D$184=0,"",[1]对账明细接口!$D$184),"")</f>
        <v>原料入库</v>
      </c>
      <c r="E184" s="16" t="str">
        <f>IFERROR(IF([1]对账明细接口!$E$184=0,"",[1]对账明细接口!$E$184),"")</f>
        <v>NO:0000780</v>
      </c>
      <c r="F184" s="16" t="str">
        <f>IFERROR(IF([1]对账明细接口!$F$184=0,"",[1]对账明细接口!$F$184),"")</f>
        <v>香梨</v>
      </c>
      <c r="G184" s="16" t="str">
        <f>IFERROR(IF([1]对账明细接口!$G$184=0,"",[1]对账明细接口!$G$184),"")</f>
        <v>香梨副特</v>
      </c>
      <c r="H184" s="176">
        <f>IFERROR(IF([1]对账明细接口!$H$184=0,"",[1]对账明细接口!$H$184),"")</f>
        <v>16</v>
      </c>
      <c r="I184" s="16" t="str">
        <f>IFERROR(IF([1]对账明细接口!$I$184=0,"",[1]对账明细接口!$I$184),"")</f>
        <v>筐</v>
      </c>
      <c r="J184" s="177">
        <f>IFERROR(IF([1]对账明细接口!$J$184=0,"",[1]对账明细接口!$J$184),"")</f>
        <v>292.8</v>
      </c>
      <c r="K184" s="177">
        <f>IFERROR(IF([1]对账明细接口!$K$184=0,"",[1]对账明细接口!$K$184),"")</f>
      </c>
      <c r="L184" s="16">
        <f>IFERROR(IF([1]对账明细接口!$L$184=0,"",[1]对账明细接口!$L$184),"")</f>
      </c>
      <c r="M184" s="16">
        <f>IFERROR(IF([1]对账明细接口!$M$184=0,"",[1]对账明细接口!$M$184),"")</f>
      </c>
      <c r="N184" s="19">
        <f>IF($C184="",0,1)</f>
        <v>1</v>
      </c>
      <c r="O184" s="19">
        <f>N(O183)+$N184</f>
        <v>181</v>
      </c>
      <c r="S184" s="20" t="str">
        <f>IFERROR(IF([1]对账明细接口!$N184=0,"",[1]对账明细接口!$N184),"")</f>
        <v>公司杂周转筐</v>
      </c>
      <c r="T184" s="212">
        <f>IFERROR(IF([1]对账明细接口!$O184=0,"",[1]对账明细接口!$O184),"")</f>
      </c>
      <c r="U184" s="212">
        <f>IFERROR(IF([1]对账明细接口!$P184=0,"",[1]对账明细接口!$P184),"")</f>
      </c>
      <c r="V184" s="212">
        <f>IFERROR(IF([1]对账明细接口!$Q184=0,"",[1]对账明细接口!$Q184),"")</f>
        <v>16</v>
      </c>
      <c r="W184" s="20" t="str">
        <f>IFERROR(IF([1]对账明细接口!$R184=0,"",[1]对账明细接口!$R184),"")</f>
        <v>新N*K7V85</v>
      </c>
      <c r="X184" s="20" t="str">
        <f>IFERROR(IF([1]对账明细接口!$S184=0,"",[1]对账明细接口!$S184),"")</f>
        <v>公司筐</v>
      </c>
      <c r="Y184" s="20">
        <f>IFERROR(IF([1]对账明细接口!$T184=0,"",[1]对账明细接口!$T184),"")</f>
      </c>
      <c r="Z184" s="213">
        <f>IFERROR(IF([1]对账明细接口!$U184=0,"",[1]对账明细接口!$U184),"")</f>
      </c>
      <c r="AA184" s="213">
        <f>IFERROR(IF([1]对账明细接口!$V184=0,"",[1]对账明细接口!$V184),"")</f>
      </c>
      <c r="AB184" s="20">
        <f>IFERROR(IF([1]对账明细接口!$W184=0,"",[1]对账明细接口!$W184),"")</f>
      </c>
      <c r="AC184" s="7">
        <f>IFERROR(IF([1]对账明细接口!$X184=0,"",[1]对账明细接口!$X184),"")</f>
      </c>
      <c r="AD184" s="7">
        <f>IFERROR(IF([1]对账明细接口!$Y184=0,"",[1]对账明细接口!$Y184),"")</f>
      </c>
      <c r="AE184" s="7">
        <f>IFERROR(IF([1]对账明细接口!$AA184=0,"",[1]对账明细接口!$AA184),"")</f>
      </c>
      <c r="AF184" s="7">
        <f>IFERROR(IF([1]对账明细接口!$AB184=0,"",[1]对账明细接口!$AB184),"")</f>
      </c>
      <c r="AG184" s="7">
        <f>IFERROR(IF([1]对账明细接口!$AC184=0,"",[1]对账明细接口!$AC184),"")</f>
      </c>
      <c r="AH184" s="7">
        <f>IFERROR(IF([1]对账明细接口!$AD184=0,"",[1]对账明细接口!$AD184),"")</f>
      </c>
      <c r="AI184" s="7">
        <f>IFERROR(IF([1]对账明细接口!$AE184=0,"",[1]对账明细接口!$AE184),"")</f>
      </c>
      <c r="AJ184" s="7">
        <f>IFERROR(IF([1]对账明细接口!$AF184=0,"",[1]对账明细接口!$AF184),"")</f>
      </c>
    </row>
    <row r="185" ht="14.25" customHeight="1" s="127">
      <c r="A185" s="14" t="n">
        <v>185</v>
      </c>
      <c r="B185" s="211">
        <f>IFERROR(IF([1]对账明细接口!$B$185=0,"",[1]对账明细接口!$B$185),"")</f>
        <v>46276.0</v>
      </c>
      <c r="C185" s="16" t="str">
        <f>IFERROR(IF([1]对账明细接口!$C$185=0,"",[1]对账明细接口!$C$185),"")</f>
        <v>努尔敦</v>
      </c>
      <c r="D185" s="16" t="str">
        <f>IFERROR(IF([1]对账明细接口!$D$185=0,"",[1]对账明细接口!$D$185),"")</f>
        <v>原料入库</v>
      </c>
      <c r="E185" s="16" t="str">
        <f>IFERROR(IF([1]对账明细接口!$E$185=0,"",[1]对账明细接口!$E$185),"")</f>
        <v>NO:0000781</v>
      </c>
      <c r="F185" s="16" t="str">
        <f>IFERROR(IF([1]对账明细接口!$F$185=0,"",[1]对账明细接口!$F$185),"")</f>
        <v>香梨</v>
      </c>
      <c r="G185" s="16" t="str">
        <f>IFERROR(IF([1]对账明细接口!$G$185=0,"",[1]对账明细接口!$G$185),"")</f>
        <v>香梨特级</v>
      </c>
      <c r="H185" s="176">
        <f>IFERROR(IF([1]对账明细接口!$H$185=0,"",[1]对账明细接口!$H$185),"")</f>
        <v>160</v>
      </c>
      <c r="I185" s="16" t="str">
        <f>IFERROR(IF([1]对账明细接口!$I$185=0,"",[1]对账明细接口!$I$185),"")</f>
        <v>筐</v>
      </c>
      <c r="J185" s="177">
        <f>IFERROR(IF([1]对账明细接口!$J$185=0,"",[1]对账明细接口!$J$185),"")</f>
        <v>2928</v>
      </c>
      <c r="K185" s="177">
        <f>IFERROR(IF([1]对账明细接口!$K$185=0,"",[1]对账明细接口!$K$185),"")</f>
      </c>
      <c r="L185" s="16">
        <f>IFERROR(IF([1]对账明细接口!$L$185=0,"",[1]对账明细接口!$L$185),"")</f>
      </c>
      <c r="M185" s="16" t="str">
        <f>IFERROR(IF([1]对账明细接口!$M$185=0,"",[1]对账明细接口!$M$185),"")</f>
        <v>有标签</v>
      </c>
      <c r="N185" s="19">
        <f>IF($C185="",0,1)</f>
        <v>1</v>
      </c>
      <c r="O185" s="19">
        <f>N(O184)+$N185</f>
        <v>182</v>
      </c>
      <c r="S185" s="20" t="str">
        <f>IFERROR(IF([1]对账明细接口!$N185=0,"",[1]对账明细接口!$N185),"")</f>
        <v>公司红周转筐</v>
      </c>
      <c r="T185" s="212">
        <f>IFERROR(IF([1]对账明细接口!$O185=0,"",[1]对账明细接口!$O185),"")</f>
      </c>
      <c r="U185" s="212">
        <f>IFERROR(IF([1]对账明细接口!$P185=0,"",[1]对账明细接口!$P185),"")</f>
      </c>
      <c r="V185" s="212">
        <f>IFERROR(IF([1]对账明细接口!$Q185=0,"",[1]对账明细接口!$Q185),"")</f>
        <v>160</v>
      </c>
      <c r="W185" s="20" t="str">
        <f>IFERROR(IF([1]对账明细接口!$R185=0,"",[1]对账明细接口!$R185),"")</f>
        <v>新F*75240</v>
      </c>
      <c r="X185" s="20" t="str">
        <f>IFERROR(IF([1]对账明细接口!$S185=0,"",[1]对账明细接口!$S185),"")</f>
        <v>公司筐</v>
      </c>
      <c r="Y185" s="20">
        <f>IFERROR(IF([1]对账明细接口!$T185=0,"",[1]对账明细接口!$T185),"")</f>
      </c>
      <c r="Z185" s="213">
        <f>IFERROR(IF([1]对账明细接口!$U185=0,"",[1]对账明细接口!$U185),"")</f>
      </c>
      <c r="AA185" s="213">
        <f>IFERROR(IF([1]对账明细接口!$V185=0,"",[1]对账明细接口!$V185),"")</f>
      </c>
      <c r="AB185" s="20">
        <f>IFERROR(IF([1]对账明细接口!$W185=0,"",[1]对账明细接口!$W185),"")</f>
      </c>
      <c r="AC185" s="7">
        <f>IFERROR(IF([1]对账明细接口!$X185=0,"",[1]对账明细接口!$X185),"")</f>
      </c>
      <c r="AD185" s="7">
        <f>IFERROR(IF([1]对账明细接口!$Y185=0,"",[1]对账明细接口!$Y185),"")</f>
      </c>
      <c r="AE185" s="7">
        <f>IFERROR(IF([1]对账明细接口!$AA185=0,"",[1]对账明细接口!$AA185),"")</f>
      </c>
      <c r="AF185" s="7">
        <f>IFERROR(IF([1]对账明细接口!$AB185=0,"",[1]对账明细接口!$AB185),"")</f>
      </c>
      <c r="AG185" s="7">
        <f>IFERROR(IF([1]对账明细接口!$AC185=0,"",[1]对账明细接口!$AC185),"")</f>
      </c>
      <c r="AH185" s="7">
        <f>IFERROR(IF([1]对账明细接口!$AD185=0,"",[1]对账明细接口!$AD185),"")</f>
      </c>
      <c r="AI185" s="7">
        <f>IFERROR(IF([1]对账明细接口!$AE185=0,"",[1]对账明细接口!$AE185),"")</f>
      </c>
      <c r="AJ185" s="7">
        <f>IFERROR(IF([1]对账明细接口!$AF185=0,"",[1]对账明细接口!$AF185),"")</f>
      </c>
    </row>
    <row r="186" ht="14.25" customHeight="1" s="127">
      <c r="A186" s="14" t="n">
        <v>186</v>
      </c>
      <c r="B186" s="211">
        <f>IFERROR(IF([1]对账明细接口!$B$186=0,"",[1]对账明细接口!$B$186),"")</f>
        <v>46276.0</v>
      </c>
      <c r="C186" s="16" t="str">
        <f>IFERROR(IF([1]对账明细接口!$C$186=0,"",[1]对账明细接口!$C$186),"")</f>
        <v>努尔敦</v>
      </c>
      <c r="D186" s="16" t="str">
        <f>IFERROR(IF([1]对账明细接口!$D$186=0,"",[1]对账明细接口!$D$186),"")</f>
        <v>原料入库</v>
      </c>
      <c r="E186" s="16" t="str">
        <f>IFERROR(IF([1]对账明细接口!$E$186=0,"",[1]对账明细接口!$E$186),"")</f>
        <v>NO:0000781</v>
      </c>
      <c r="F186" s="16" t="str">
        <f>IFERROR(IF([1]对账明细接口!$F$186=0,"",[1]对账明细接口!$F$186),"")</f>
        <v>香梨</v>
      </c>
      <c r="G186" s="16" t="str">
        <f>IFERROR(IF([1]对账明细接口!$G$186=0,"",[1]对账明细接口!$G$186),"")</f>
        <v>香梨一级</v>
      </c>
      <c r="H186" s="176">
        <f>IFERROR(IF([1]对账明细接口!$H$186=0,"",[1]对账明细接口!$H$186),"")</f>
        <v>232</v>
      </c>
      <c r="I186" s="16" t="str">
        <f>IFERROR(IF([1]对账明细接口!$I$186=0,"",[1]对账明细接口!$I$186),"")</f>
        <v>筐</v>
      </c>
      <c r="J186" s="177">
        <f>IFERROR(IF([1]对账明细接口!$J$186=0,"",[1]对账明细接口!$J$186),"")</f>
        <v>4245.6</v>
      </c>
      <c r="K186" s="177">
        <f>IFERROR(IF([1]对账明细接口!$K$186=0,"",[1]对账明细接口!$K$186),"")</f>
      </c>
      <c r="L186" s="16">
        <f>IFERROR(IF([1]对账明细接口!$L$186=0,"",[1]对账明细接口!$L$186),"")</f>
      </c>
      <c r="M186" s="16">
        <f>IFERROR(IF([1]对账明细接口!$M$186=0,"",[1]对账明细接口!$M$186),"")</f>
      </c>
      <c r="N186" s="19">
        <f>IF($C186="",0,1)</f>
        <v>1</v>
      </c>
      <c r="O186" s="19">
        <f>N(O185)+$N186</f>
        <v>183</v>
      </c>
      <c r="S186" s="20" t="str">
        <f>IFERROR(IF([1]对账明细接口!$N186=0,"",[1]对账明细接口!$N186),"")</f>
        <v>公司红周转筐</v>
      </c>
      <c r="T186" s="212">
        <f>IFERROR(IF([1]对账明细接口!$O186=0,"",[1]对账明细接口!$O186),"")</f>
      </c>
      <c r="U186" s="212">
        <f>IFERROR(IF([1]对账明细接口!$P186=0,"",[1]对账明细接口!$P186),"")</f>
      </c>
      <c r="V186" s="212">
        <f>IFERROR(IF([1]对账明细接口!$Q186=0,"",[1]对账明细接口!$Q186),"")</f>
        <v>232</v>
      </c>
      <c r="W186" s="20" t="str">
        <f>IFERROR(IF([1]对账明细接口!$R186=0,"",[1]对账明细接口!$R186),"")</f>
        <v>新F*75240</v>
      </c>
      <c r="X186" s="20" t="str">
        <f>IFERROR(IF([1]对账明细接口!$S186=0,"",[1]对账明细接口!$S186),"")</f>
        <v>公司筐</v>
      </c>
      <c r="Y186" s="20">
        <f>IFERROR(IF([1]对账明细接口!$T186=0,"",[1]对账明细接口!$T186),"")</f>
      </c>
      <c r="Z186" s="213">
        <f>IFERROR(IF([1]对账明细接口!$U186=0,"",[1]对账明细接口!$U186),"")</f>
      </c>
      <c r="AA186" s="213">
        <f>IFERROR(IF([1]对账明细接口!$V186=0,"",[1]对账明细接口!$V186),"")</f>
      </c>
      <c r="AB186" s="20">
        <f>IFERROR(IF([1]对账明细接口!$W186=0,"",[1]对账明细接口!$W186),"")</f>
      </c>
      <c r="AC186" s="7">
        <f>IFERROR(IF([1]对账明细接口!$X186=0,"",[1]对账明细接口!$X186),"")</f>
      </c>
      <c r="AD186" s="7">
        <f>IFERROR(IF([1]对账明细接口!$Y186=0,"",[1]对账明细接口!$Y186),"")</f>
      </c>
      <c r="AE186" s="7">
        <f>IFERROR(IF([1]对账明细接口!$AA186=0,"",[1]对账明细接口!$AA186),"")</f>
      </c>
      <c r="AF186" s="7">
        <f>IFERROR(IF([1]对账明细接口!$AB186=0,"",[1]对账明细接口!$AB186),"")</f>
      </c>
      <c r="AG186" s="7">
        <f>IFERROR(IF([1]对账明细接口!$AC186=0,"",[1]对账明细接口!$AC186),"")</f>
      </c>
      <c r="AH186" s="7">
        <f>IFERROR(IF([1]对账明细接口!$AD186=0,"",[1]对账明细接口!$AD186),"")</f>
      </c>
      <c r="AI186" s="7">
        <f>IFERROR(IF([1]对账明细接口!$AE186=0,"",[1]对账明细接口!$AE186),"")</f>
      </c>
      <c r="AJ186" s="7">
        <f>IFERROR(IF([1]对账明细接口!$AF186=0,"",[1]对账明细接口!$AF186),"")</f>
      </c>
    </row>
    <row r="187" ht="14.25" customHeight="1" s="127">
      <c r="A187" s="14" t="n">
        <v>187</v>
      </c>
      <c r="B187" s="211">
        <f>IFERROR(IF([1]对账明细接口!$B$187=0,"",[1]对账明细接口!$B$187),"")</f>
        <v>46276.0</v>
      </c>
      <c r="C187" s="16" t="str">
        <f>IFERROR(IF([1]对账明细接口!$C$187=0,"",[1]对账明细接口!$C$187),"")</f>
        <v>努尔敦</v>
      </c>
      <c r="D187" s="16" t="str">
        <f>IFERROR(IF([1]对账明细接口!$D$187=0,"",[1]对账明细接口!$D$187),"")</f>
        <v>原料入库</v>
      </c>
      <c r="E187" s="16" t="str">
        <f>IFERROR(IF([1]对账明细接口!$E$187=0,"",[1]对账明细接口!$E$187),"")</f>
        <v>NO:0000781</v>
      </c>
      <c r="F187" s="16" t="str">
        <f>IFERROR(IF([1]对账明细接口!$F$187=0,"",[1]对账明细接口!$F$187),"")</f>
        <v>香梨</v>
      </c>
      <c r="G187" s="16" t="str">
        <f>IFERROR(IF([1]对账明细接口!$G$187=0,"",[1]对账明细接口!$G$187),"")</f>
        <v>香梨二级</v>
      </c>
      <c r="H187" s="176">
        <f>IFERROR(IF([1]对账明细接口!$H$187=0,"",[1]对账明细接口!$H$187),"")</f>
        <v>248</v>
      </c>
      <c r="I187" s="16" t="str">
        <f>IFERROR(IF([1]对账明细接口!$I$187=0,"",[1]对账明细接口!$I$187),"")</f>
        <v>筐</v>
      </c>
      <c r="J187" s="177">
        <f>IFERROR(IF([1]对账明细接口!$J$187=0,"",[1]对账明细接口!$J$187),"")</f>
        <v>5530.4</v>
      </c>
      <c r="K187" s="177">
        <f>IFERROR(IF([1]对账明细接口!$K$187=0,"",[1]对账明细接口!$K$187),"")</f>
      </c>
      <c r="L187" s="16">
        <f>IFERROR(IF([1]对账明细接口!$L$187=0,"",[1]对账明细接口!$L$187),"")</f>
      </c>
      <c r="M187" s="16">
        <f>IFERROR(IF([1]对账明细接口!$M$187=0,"",[1]对账明细接口!$M$187),"")</f>
      </c>
      <c r="N187" s="19">
        <f>IF($C187="",0,1)</f>
        <v>1</v>
      </c>
      <c r="O187" s="19">
        <f>N(O186)+$N187</f>
        <v>184</v>
      </c>
      <c r="S187" s="20" t="str">
        <f>IFERROR(IF([1]对账明细接口!$N187=0,"",[1]对账明细接口!$N187),"")</f>
        <v>公司红周转筐</v>
      </c>
      <c r="T187" s="212">
        <f>IFERROR(IF([1]对账明细接口!$O187=0,"",[1]对账明细接口!$O187),"")</f>
      </c>
      <c r="U187" s="212">
        <f>IFERROR(IF([1]对账明细接口!$P187=0,"",[1]对账明细接口!$P187),"")</f>
      </c>
      <c r="V187" s="212">
        <f>IFERROR(IF([1]对账明细接口!$Q187=0,"",[1]对账明细接口!$Q187),"")</f>
        <v>248</v>
      </c>
      <c r="W187" s="20" t="str">
        <f>IFERROR(IF([1]对账明细接口!$R187=0,"",[1]对账明细接口!$R187),"")</f>
        <v>新F*75240</v>
      </c>
      <c r="X187" s="20" t="str">
        <f>IFERROR(IF([1]对账明细接口!$S187=0,"",[1]对账明细接口!$S187),"")</f>
        <v>公司筐</v>
      </c>
      <c r="Y187" s="20">
        <f>IFERROR(IF([1]对账明细接口!$T187=0,"",[1]对账明细接口!$T187),"")</f>
      </c>
      <c r="Z187" s="213">
        <f>IFERROR(IF([1]对账明细接口!$U187=0,"",[1]对账明细接口!$U187),"")</f>
      </c>
      <c r="AA187" s="213">
        <f>IFERROR(IF([1]对账明细接口!$V187=0,"",[1]对账明细接口!$V187),"")</f>
      </c>
      <c r="AB187" s="20">
        <f>IFERROR(IF([1]对账明细接口!$W187=0,"",[1]对账明细接口!$W187),"")</f>
      </c>
      <c r="AC187" s="7">
        <f>IFERROR(IF([1]对账明细接口!$X187=0,"",[1]对账明细接口!$X187),"")</f>
      </c>
      <c r="AD187" s="7">
        <f>IFERROR(IF([1]对账明细接口!$Y187=0,"",[1]对账明细接口!$Y187),"")</f>
      </c>
      <c r="AE187" s="7">
        <f>IFERROR(IF([1]对账明细接口!$AA187=0,"",[1]对账明细接口!$AA187),"")</f>
      </c>
      <c r="AF187" s="7">
        <f>IFERROR(IF([1]对账明细接口!$AB187=0,"",[1]对账明细接口!$AB187),"")</f>
      </c>
      <c r="AG187" s="7">
        <f>IFERROR(IF([1]对账明细接口!$AC187=0,"",[1]对账明细接口!$AC187),"")</f>
      </c>
      <c r="AH187" s="7">
        <f>IFERROR(IF([1]对账明细接口!$AD187=0,"",[1]对账明细接口!$AD187),"")</f>
      </c>
      <c r="AI187" s="7">
        <f>IFERROR(IF([1]对账明细接口!$AE187=0,"",[1]对账明细接口!$AE187),"")</f>
      </c>
      <c r="AJ187" s="7">
        <f>IFERROR(IF([1]对账明细接口!$AF187=0,"",[1]对账明细接口!$AF187),"")</f>
      </c>
    </row>
    <row r="188" ht="14.25" customHeight="1" s="127">
      <c r="A188" s="14" t="n">
        <v>188</v>
      </c>
      <c r="B188" s="211">
        <f>IFERROR(IF([1]对账明细接口!$B$188=0,"",[1]对账明细接口!$B$188),"")</f>
        <v>46276.0</v>
      </c>
      <c r="C188" s="16" t="str">
        <f>IFERROR(IF([1]对账明细接口!$C$188=0,"",[1]对账明细接口!$C$188),"")</f>
        <v>麦麦提</v>
      </c>
      <c r="D188" s="16" t="str">
        <f>IFERROR(IF([1]对账明细接口!$D$188=0,"",[1]对账明细接口!$D$188),"")</f>
        <v>原料入库</v>
      </c>
      <c r="E188" s="16" t="str">
        <f>IFERROR(IF([1]对账明细接口!$E$188=0,"",[1]对账明细接口!$E$188),"")</f>
        <v>NO:0000782</v>
      </c>
      <c r="F188" s="16" t="str">
        <f>IFERROR(IF([1]对账明细接口!$F$188=0,"",[1]对账明细接口!$F$188),"")</f>
        <v>香梨</v>
      </c>
      <c r="G188" s="16" t="str">
        <f>IFERROR(IF([1]对账明细接口!$G$188=0,"",[1]对账明细接口!$G$188),"")</f>
        <v>香梨特级</v>
      </c>
      <c r="H188" s="176">
        <f>IFERROR(IF([1]对账明细接口!$H$188=0,"",[1]对账明细接口!$H$188),"")</f>
        <v>322</v>
      </c>
      <c r="I188" s="16" t="str">
        <f>IFERROR(IF([1]对账明细接口!$I$188=0,"",[1]对账明细接口!$I$188),"")</f>
        <v>筐</v>
      </c>
      <c r="J188" s="177">
        <f>IFERROR(IF([1]对账明细接口!$J$188=0,"",[1]对账明细接口!$J$188),"")</f>
        <v>5892.6</v>
      </c>
      <c r="K188" s="177">
        <f>IFERROR(IF([1]对账明细接口!$K$188=0,"",[1]对账明细接口!$K$188),"")</f>
      </c>
      <c r="L188" s="16">
        <f>IFERROR(IF([1]对账明细接口!$L$188=0,"",[1]对账明细接口!$L$188),"")</f>
      </c>
      <c r="M188" s="16">
        <f>IFERROR(IF([1]对账明细接口!$M$188=0,"",[1]对账明细接口!$M$188),"")</f>
      </c>
      <c r="N188" s="19">
        <f>IF($C188="",0,1)</f>
        <v>1</v>
      </c>
      <c r="O188" s="19">
        <f>N(O187)+$N188</f>
        <v>185</v>
      </c>
      <c r="S188" s="20" t="str">
        <f>IFERROR(IF([1]对账明细接口!$N188=0,"",[1]对账明细接口!$N188),"")</f>
        <v>公司红周转筐</v>
      </c>
      <c r="T188" s="212">
        <f>IFERROR(IF([1]对账明细接口!$O188=0,"",[1]对账明细接口!$O188),"")</f>
      </c>
      <c r="U188" s="212">
        <f>IFERROR(IF([1]对账明细接口!$P188=0,"",[1]对账明细接口!$P188),"")</f>
      </c>
      <c r="V188" s="212">
        <f>IFERROR(IF([1]对账明细接口!$Q188=0,"",[1]对账明细接口!$Q188),"")</f>
        <v>322</v>
      </c>
      <c r="W188" s="20" t="str">
        <f>IFERROR(IF([1]对账明细接口!$R188=0,"",[1]对账明细接口!$R188),"")</f>
        <v>新A*G0554</v>
      </c>
      <c r="X188" s="20" t="str">
        <f>IFERROR(IF([1]对账明细接口!$S188=0,"",[1]对账明细接口!$S188),"")</f>
        <v>公司筐</v>
      </c>
      <c r="Y188" s="20">
        <f>IFERROR(IF([1]对账明细接口!$T188=0,"",[1]对账明细接口!$T188),"")</f>
      </c>
      <c r="Z188" s="213">
        <f>IFERROR(IF([1]对账明细接口!$U188=0,"",[1]对账明细接口!$U188),"")</f>
      </c>
      <c r="AA188" s="213">
        <f>IFERROR(IF([1]对账明细接口!$V188=0,"",[1]对账明细接口!$V188),"")</f>
      </c>
      <c r="AB188" s="20">
        <f>IFERROR(IF([1]对账明细接口!$W188=0,"",[1]对账明细接口!$W188),"")</f>
      </c>
      <c r="AC188" s="7">
        <f>IFERROR(IF([1]对账明细接口!$X188=0,"",[1]对账明细接口!$X188),"")</f>
      </c>
      <c r="AD188" s="7">
        <f>IFERROR(IF([1]对账明细接口!$Y188=0,"",[1]对账明细接口!$Y188),"")</f>
      </c>
      <c r="AE188" s="7">
        <f>IFERROR(IF([1]对账明细接口!$AA188=0,"",[1]对账明细接口!$AA188),"")</f>
      </c>
      <c r="AF188" s="7">
        <f>IFERROR(IF([1]对账明细接口!$AB188=0,"",[1]对账明细接口!$AB188),"")</f>
      </c>
      <c r="AG188" s="7">
        <f>IFERROR(IF([1]对账明细接口!$AC188=0,"",[1]对账明细接口!$AC188),"")</f>
      </c>
      <c r="AH188" s="7">
        <f>IFERROR(IF([1]对账明细接口!$AD188=0,"",[1]对账明细接口!$AD188),"")</f>
      </c>
      <c r="AI188" s="7">
        <f>IFERROR(IF([1]对账明细接口!$AE188=0,"",[1]对账明细接口!$AE188),"")</f>
      </c>
      <c r="AJ188" s="7">
        <f>IFERROR(IF([1]对账明细接口!$AF188=0,"",[1]对账明细接口!$AF188),"")</f>
      </c>
    </row>
    <row r="189" ht="14.25" customHeight="1" s="127">
      <c r="A189" s="14" t="n">
        <v>189</v>
      </c>
      <c r="B189" s="211">
        <f>IFERROR(IF([1]对账明细接口!$B$189=0,"",[1]对账明细接口!$B$189),"")</f>
        <v>46276.0</v>
      </c>
      <c r="C189" s="16" t="str">
        <f>IFERROR(IF([1]对账明细接口!$C$189=0,"",[1]对账明细接口!$C$189),"")</f>
        <v>麦麦提</v>
      </c>
      <c r="D189" s="16" t="str">
        <f>IFERROR(IF([1]对账明细接口!$D$189=0,"",[1]对账明细接口!$D$189),"")</f>
        <v>原料入库</v>
      </c>
      <c r="E189" s="16" t="str">
        <f>IFERROR(IF([1]对账明细接口!$E$189=0,"",[1]对账明细接口!$E$189),"")</f>
        <v>NO:0000782</v>
      </c>
      <c r="F189" s="16" t="str">
        <f>IFERROR(IF([1]对账明细接口!$F$189=0,"",[1]对账明细接口!$F$189),"")</f>
        <v>香梨</v>
      </c>
      <c r="G189" s="16" t="str">
        <f>IFERROR(IF([1]对账明细接口!$G$189=0,"",[1]对账明细接口!$G$189),"")</f>
        <v>香梨一级</v>
      </c>
      <c r="H189" s="176">
        <f>IFERROR(IF([1]对账明细接口!$H$189=0,"",[1]对账明细接口!$H$189),"")</f>
        <v>158</v>
      </c>
      <c r="I189" s="16" t="str">
        <f>IFERROR(IF([1]对账明细接口!$I$189=0,"",[1]对账明细接口!$I$189),"")</f>
        <v>筐</v>
      </c>
      <c r="J189" s="177">
        <f>IFERROR(IF([1]对账明细接口!$J$189=0,"",[1]对账明细接口!$J$189),"")</f>
        <v>2891.4</v>
      </c>
      <c r="K189" s="177">
        <f>IFERROR(IF([1]对账明细接口!$K$189=0,"",[1]对账明细接口!$K$189),"")</f>
      </c>
      <c r="L189" s="16">
        <f>IFERROR(IF([1]对账明细接口!$L$189=0,"",[1]对账明细接口!$L$189),"")</f>
      </c>
      <c r="M189" s="16">
        <f>IFERROR(IF([1]对账明细接口!$M$189=0,"",[1]对账明细接口!$M$189),"")</f>
      </c>
      <c r="N189" s="19">
        <f>IF($C189="",0,1)</f>
        <v>1</v>
      </c>
      <c r="O189" s="19">
        <f>N(O188)+$N189</f>
        <v>186</v>
      </c>
      <c r="S189" s="20" t="str">
        <f>IFERROR(IF([1]对账明细接口!$N189=0,"",[1]对账明细接口!$N189),"")</f>
        <v>公司红周转筐</v>
      </c>
      <c r="T189" s="212">
        <f>IFERROR(IF([1]对账明细接口!$O189=0,"",[1]对账明细接口!$O189),"")</f>
      </c>
      <c r="U189" s="212">
        <f>IFERROR(IF([1]对账明细接口!$P189=0,"",[1]对账明细接口!$P189),"")</f>
      </c>
      <c r="V189" s="212">
        <f>IFERROR(IF([1]对账明细接口!$Q189=0,"",[1]对账明细接口!$Q189),"")</f>
        <v>158</v>
      </c>
      <c r="W189" s="20" t="str">
        <f>IFERROR(IF([1]对账明细接口!$R189=0,"",[1]对账明细接口!$R189),"")</f>
        <v>新A*G0554</v>
      </c>
      <c r="X189" s="20" t="str">
        <f>IFERROR(IF([1]对账明细接口!$S189=0,"",[1]对账明细接口!$S189),"")</f>
        <v>公司筐</v>
      </c>
      <c r="Y189" s="20">
        <f>IFERROR(IF([1]对账明细接口!$T189=0,"",[1]对账明细接口!$T189),"")</f>
      </c>
      <c r="Z189" s="213">
        <f>IFERROR(IF([1]对账明细接口!$U189=0,"",[1]对账明细接口!$U189),"")</f>
      </c>
      <c r="AA189" s="213">
        <f>IFERROR(IF([1]对账明细接口!$V189=0,"",[1]对账明细接口!$V189),"")</f>
      </c>
      <c r="AB189" s="20">
        <f>IFERROR(IF([1]对账明细接口!$W189=0,"",[1]对账明细接口!$W189),"")</f>
      </c>
      <c r="AC189" s="7">
        <f>IFERROR(IF([1]对账明细接口!$X189=0,"",[1]对账明细接口!$X189),"")</f>
      </c>
      <c r="AD189" s="7">
        <f>IFERROR(IF([1]对账明细接口!$Y189=0,"",[1]对账明细接口!$Y189),"")</f>
      </c>
      <c r="AE189" s="7">
        <f>IFERROR(IF([1]对账明细接口!$AA189=0,"",[1]对账明细接口!$AA189),"")</f>
      </c>
      <c r="AF189" s="7">
        <f>IFERROR(IF([1]对账明细接口!$AB189=0,"",[1]对账明细接口!$AB189),"")</f>
      </c>
      <c r="AG189" s="7">
        <f>IFERROR(IF([1]对账明细接口!$AC189=0,"",[1]对账明细接口!$AC189),"")</f>
      </c>
      <c r="AH189" s="7">
        <f>IFERROR(IF([1]对账明细接口!$AD189=0,"",[1]对账明细接口!$AD189),"")</f>
      </c>
      <c r="AI189" s="7">
        <f>IFERROR(IF([1]对账明细接口!$AE189=0,"",[1]对账明细接口!$AE189),"")</f>
      </c>
      <c r="AJ189" s="7">
        <f>IFERROR(IF([1]对账明细接口!$AF189=0,"",[1]对账明细接口!$AF189),"")</f>
      </c>
    </row>
    <row r="190" ht="14.25" customHeight="1" s="127">
      <c r="A190" s="14" t="n">
        <v>190</v>
      </c>
      <c r="B190" s="211">
        <f>IFERROR(IF([1]对账明细接口!$B$190=0,"",[1]对账明细接口!$B$190),"")</f>
        <v>46276.0</v>
      </c>
      <c r="C190" s="16" t="str">
        <f>IFERROR(IF([1]对账明细接口!$C$190=0,"",[1]对账明细接口!$C$190),"")</f>
        <v>麦麦提</v>
      </c>
      <c r="D190" s="16" t="str">
        <f>IFERROR(IF([1]对账明细接口!$D$190=0,"",[1]对账明细接口!$D$190),"")</f>
        <v>原料入库</v>
      </c>
      <c r="E190" s="16" t="str">
        <f>IFERROR(IF([1]对账明细接口!$E$190=0,"",[1]对账明细接口!$E$190),"")</f>
        <v>NO:0000782</v>
      </c>
      <c r="F190" s="16" t="str">
        <f>IFERROR(IF([1]对账明细接口!$F$190=0,"",[1]对账明细接口!$F$190),"")</f>
        <v>香梨</v>
      </c>
      <c r="G190" s="16" t="str">
        <f>IFERROR(IF([1]对账明细接口!$G$190=0,"",[1]对账明细接口!$G$190),"")</f>
        <v>香梨二级</v>
      </c>
      <c r="H190" s="176">
        <f>IFERROR(IF([1]对账明细接口!$H$190=0,"",[1]对账明细接口!$H$190),"")</f>
        <v>146</v>
      </c>
      <c r="I190" s="16" t="str">
        <f>IFERROR(IF([1]对账明细接口!$I$190=0,"",[1]对账明细接口!$I$190),"")</f>
        <v>筐</v>
      </c>
      <c r="J190" s="177">
        <f>IFERROR(IF([1]对账明细接口!$J$190=0,"",[1]对账明细接口!$J$190),"")</f>
        <v>3255.8</v>
      </c>
      <c r="K190" s="177">
        <f>IFERROR(IF([1]对账明细接口!$K$190=0,"",[1]对账明细接口!$K$190),"")</f>
      </c>
      <c r="L190" s="16">
        <f>IFERROR(IF([1]对账明细接口!$L$190=0,"",[1]对账明细接口!$L$190),"")</f>
      </c>
      <c r="M190" s="16">
        <f>IFERROR(IF([1]对账明细接口!$M$190=0,"",[1]对账明细接口!$M$190),"")</f>
      </c>
      <c r="N190" s="19">
        <f>IF($C190="",0,1)</f>
        <v>1</v>
      </c>
      <c r="O190" s="19">
        <f>N(O189)+$N190</f>
        <v>187</v>
      </c>
      <c r="S190" s="20" t="str">
        <f>IFERROR(IF([1]对账明细接口!$N190=0,"",[1]对账明细接口!$N190),"")</f>
        <v>公司红周转筐</v>
      </c>
      <c r="T190" s="212">
        <f>IFERROR(IF([1]对账明细接口!$O190=0,"",[1]对账明细接口!$O190),"")</f>
      </c>
      <c r="U190" s="212">
        <f>IFERROR(IF([1]对账明细接口!$P190=0,"",[1]对账明细接口!$P190),"")</f>
      </c>
      <c r="V190" s="212">
        <f>IFERROR(IF([1]对账明细接口!$Q190=0,"",[1]对账明细接口!$Q190),"")</f>
        <v>146</v>
      </c>
      <c r="W190" s="20" t="str">
        <f>IFERROR(IF([1]对账明细接口!$R190=0,"",[1]对账明细接口!$R190),"")</f>
        <v>新A*G0554</v>
      </c>
      <c r="X190" s="20" t="str">
        <f>IFERROR(IF([1]对账明细接口!$S190=0,"",[1]对账明细接口!$S190),"")</f>
        <v>公司筐</v>
      </c>
      <c r="Y190" s="20">
        <f>IFERROR(IF([1]对账明细接口!$T190=0,"",[1]对账明细接口!$T190),"")</f>
      </c>
      <c r="Z190" s="213">
        <f>IFERROR(IF([1]对账明细接口!$U190=0,"",[1]对账明细接口!$U190),"")</f>
      </c>
      <c r="AA190" s="213">
        <f>IFERROR(IF([1]对账明细接口!$V190=0,"",[1]对账明细接口!$V190),"")</f>
      </c>
      <c r="AB190" s="20">
        <f>IFERROR(IF([1]对账明细接口!$W190=0,"",[1]对账明细接口!$W190),"")</f>
      </c>
      <c r="AC190" s="7">
        <f>IFERROR(IF([1]对账明细接口!$X190=0,"",[1]对账明细接口!$X190),"")</f>
      </c>
      <c r="AD190" s="7">
        <f>IFERROR(IF([1]对账明细接口!$Y190=0,"",[1]对账明细接口!$Y190),"")</f>
      </c>
      <c r="AE190" s="7">
        <f>IFERROR(IF([1]对账明细接口!$AA190=0,"",[1]对账明细接口!$AA190),"")</f>
      </c>
      <c r="AF190" s="7">
        <f>IFERROR(IF([1]对账明细接口!$AB190=0,"",[1]对账明细接口!$AB190),"")</f>
      </c>
      <c r="AG190" s="7">
        <f>IFERROR(IF([1]对账明细接口!$AC190=0,"",[1]对账明细接口!$AC190),"")</f>
      </c>
      <c r="AH190" s="7">
        <f>IFERROR(IF([1]对账明细接口!$AD190=0,"",[1]对账明细接口!$AD190),"")</f>
      </c>
      <c r="AI190" s="7">
        <f>IFERROR(IF([1]对账明细接口!$AE190=0,"",[1]对账明细接口!$AE190),"")</f>
      </c>
      <c r="AJ190" s="7">
        <f>IFERROR(IF([1]对账明细接口!$AF190=0,"",[1]对账明细接口!$AF190),"")</f>
      </c>
    </row>
    <row r="191" ht="14.25" customHeight="1" s="127">
      <c r="A191" s="14" t="n">
        <v>191</v>
      </c>
      <c r="B191" s="211">
        <f>IFERROR(IF([1]对账明细接口!$B$191=0,"",[1]对账明细接口!$B$191),"")</f>
        <v>46276.0</v>
      </c>
      <c r="C191" s="16" t="str">
        <f>IFERROR(IF([1]对账明细接口!$C$191=0,"",[1]对账明细接口!$C$191),"")</f>
        <v>王浩</v>
      </c>
      <c r="D191" s="16" t="str">
        <f>IFERROR(IF([1]对账明细接口!$D$191=0,"",[1]对账明细接口!$D$191),"")</f>
        <v>原料入库</v>
      </c>
      <c r="E191" s="16" t="str">
        <f>IFERROR(IF([1]对账明细接口!$E$191=0,"",[1]对账明细接口!$E$191),"")</f>
        <v>NO:0000783</v>
      </c>
      <c r="F191" s="16" t="str">
        <f>IFERROR(IF([1]对账明细接口!$F$191=0,"",[1]对账明细接口!$F$191),"")</f>
        <v>香梨</v>
      </c>
      <c r="G191" s="16" t="str">
        <f>IFERROR(IF([1]对账明细接口!$G$191=0,"",[1]对账明细接口!$G$191),"")</f>
        <v>香梨一级</v>
      </c>
      <c r="H191" s="176">
        <f>IFERROR(IF([1]对账明细接口!$H$191=0,"",[1]对账明细接口!$H$191),"")</f>
        <v>1184</v>
      </c>
      <c r="I191" s="16" t="str">
        <f>IFERROR(IF([1]对账明细接口!$I$191=0,"",[1]对账明细接口!$I$191),"")</f>
        <v>筐</v>
      </c>
      <c r="J191" s="177">
        <f>IFERROR(IF([1]对账明细接口!$J$191=0,"",[1]对账明细接口!$J$191),"")</f>
        <v>21667.2</v>
      </c>
      <c r="K191" s="177">
        <f>IFERROR(IF([1]对账明细接口!$K$191=0,"",[1]对账明细接口!$K$191),"")</f>
      </c>
      <c r="L191" s="16">
        <f>IFERROR(IF([1]对账明细接口!$L$191=0,"",[1]对账明细接口!$L$191),"")</f>
      </c>
      <c r="M191" s="16">
        <f>IFERROR(IF([1]对账明细接口!$M$191=0,"",[1]对账明细接口!$M$191),"")</f>
      </c>
      <c r="N191" s="19">
        <f>IF($C191="",0,1)</f>
        <v>1</v>
      </c>
      <c r="O191" s="19">
        <f>N(O190)+$N191</f>
        <v>188</v>
      </c>
      <c r="S191" s="20" t="str">
        <f>IFERROR(IF([1]对账明细接口!$N191=0,"",[1]对账明细接口!$N191),"")</f>
        <v>公司一次性筐</v>
      </c>
      <c r="T191" s="212">
        <f>IFERROR(IF([1]对账明细接口!$O191=0,"",[1]对账明细接口!$O191),"")</f>
      </c>
      <c r="U191" s="212">
        <f>IFERROR(IF([1]对账明细接口!$P191=0,"",[1]对账明细接口!$P191),"")</f>
      </c>
      <c r="V191" s="212">
        <f>IFERROR(IF([1]对账明细接口!$Q191=0,"",[1]对账明细接口!$Q191),"")</f>
        <v>1184</v>
      </c>
      <c r="W191" s="20" t="str">
        <f>IFERROR(IF([1]对账明细接口!$R191=0,"",[1]对账明细接口!$R191),"")</f>
        <v>新M*65781</v>
      </c>
      <c r="X191" s="20" t="str">
        <f>IFERROR(IF([1]对账明细接口!$S191=0,"",[1]对账明细接口!$S191),"")</f>
        <v>公司筐</v>
      </c>
      <c r="Y191" s="20">
        <f>IFERROR(IF([1]对账明细接口!$T191=0,"",[1]对账明细接口!$T191),"")</f>
      </c>
      <c r="Z191" s="213">
        <f>IFERROR(IF([1]对账明细接口!$U191=0,"",[1]对账明细接口!$U191),"")</f>
      </c>
      <c r="AA191" s="213">
        <f>IFERROR(IF([1]对账明细接口!$V191=0,"",[1]对账明细接口!$V191),"")</f>
      </c>
      <c r="AB191" s="20">
        <f>IFERROR(IF([1]对账明细接口!$W191=0,"",[1]对账明细接口!$W191),"")</f>
      </c>
      <c r="AC191" s="7">
        <f>IFERROR(IF([1]对账明细接口!$X191=0,"",[1]对账明细接口!$X191),"")</f>
      </c>
      <c r="AD191" s="7">
        <f>IFERROR(IF([1]对账明细接口!$Y191=0,"",[1]对账明细接口!$Y191),"")</f>
      </c>
      <c r="AE191" s="7">
        <f>IFERROR(IF([1]对账明细接口!$AA191=0,"",[1]对账明细接口!$AA191),"")</f>
      </c>
      <c r="AF191" s="7">
        <f>IFERROR(IF([1]对账明细接口!$AB191=0,"",[1]对账明细接口!$AB191),"")</f>
      </c>
      <c r="AG191" s="7">
        <f>IFERROR(IF([1]对账明细接口!$AC191=0,"",[1]对账明细接口!$AC191),"")</f>
      </c>
      <c r="AH191" s="7">
        <f>IFERROR(IF([1]对账明细接口!$AD191=0,"",[1]对账明细接口!$AD191),"")</f>
      </c>
      <c r="AI191" s="7">
        <f>IFERROR(IF([1]对账明细接口!$AE191=0,"",[1]对账明细接口!$AE191),"")</f>
      </c>
      <c r="AJ191" s="7">
        <f>IFERROR(IF([1]对账明细接口!$AF191=0,"",[1]对账明细接口!$AF191),"")</f>
      </c>
    </row>
    <row r="192" ht="14.25" customHeight="1" s="127">
      <c r="A192" s="14" t="n">
        <v>192</v>
      </c>
      <c r="B192" s="211">
        <f>IFERROR(IF([1]对账明细接口!$B$192=0,"",[1]对账明细接口!$B$192),"")</f>
        <v>46276.0</v>
      </c>
      <c r="C192" s="16" t="str">
        <f>IFERROR(IF([1]对账明细接口!$C$192=0,"",[1]对账明细接口!$C$192),"")</f>
        <v>吐尔洪</v>
      </c>
      <c r="D192" s="16" t="str">
        <f>IFERROR(IF([1]对账明细接口!$D$192=0,"",[1]对账明细接口!$D$192),"")</f>
        <v>原料入库</v>
      </c>
      <c r="E192" s="16" t="str">
        <f>IFERROR(IF([1]对账明细接口!$E$192=0,"",[1]对账明细接口!$E$192),"")</f>
        <v>NO:0000786</v>
      </c>
      <c r="F192" s="16" t="str">
        <f>IFERROR(IF([1]对账明细接口!$F$192=0,"",[1]对账明细接口!$F$192),"")</f>
        <v>香梨</v>
      </c>
      <c r="G192" s="16" t="str">
        <f>IFERROR(IF([1]对账明细接口!$G$192=0,"",[1]对账明细接口!$G$192),"")</f>
        <v>香梨特级</v>
      </c>
      <c r="H192" s="176">
        <f>IFERROR(IF([1]对账明细接口!$H$192=0,"",[1]对账明细接口!$H$192),"")</f>
        <v>88</v>
      </c>
      <c r="I192" s="16" t="str">
        <f>IFERROR(IF([1]对账明细接口!$I$192=0,"",[1]对账明细接口!$I$192),"")</f>
        <v>筐</v>
      </c>
      <c r="J192" s="177">
        <f>IFERROR(IF([1]对账明细接口!$J$192=0,"",[1]对账明细接口!$J$192),"")</f>
        <v>1610.4</v>
      </c>
      <c r="K192" s="177">
        <f>IFERROR(IF([1]对账明细接口!$K$192=0,"",[1]对账明细接口!$K$192),"")</f>
      </c>
      <c r="L192" s="16">
        <f>IFERROR(IF([1]对账明细接口!$L$192=0,"",[1]对账明细接口!$L$192),"")</f>
      </c>
      <c r="M192" s="16" t="str">
        <f>IFERROR(IF([1]对账明细接口!$M$192=0,"",[1]对账明细接口!$M$192),"")</f>
        <v>麦麦提</v>
      </c>
      <c r="N192" s="19">
        <f>IF($C192="",0,1)</f>
        <v>1</v>
      </c>
      <c r="O192" s="19">
        <f>N(O191)+$N192</f>
        <v>189</v>
      </c>
      <c r="S192" s="20" t="str">
        <f>IFERROR(IF([1]对账明细接口!$N192=0,"",[1]对账明细接口!$N192),"")</f>
        <v>公司红周转筐</v>
      </c>
      <c r="T192" s="212">
        <f>IFERROR(IF([1]对账明细接口!$O192=0,"",[1]对账明细接口!$O192),"")</f>
      </c>
      <c r="U192" s="212">
        <f>IFERROR(IF([1]对账明细接口!$P192=0,"",[1]对账明细接口!$P192),"")</f>
      </c>
      <c r="V192" s="212">
        <f>IFERROR(IF([1]对账明细接口!$Q192=0,"",[1]对账明细接口!$Q192),"")</f>
        <v>88</v>
      </c>
      <c r="W192" s="20" t="str">
        <f>IFERROR(IF([1]对账明细接口!$R192=0,"",[1]对账明细接口!$R192),"")</f>
        <v>新N*X8S48</v>
      </c>
      <c r="X192" s="20" t="str">
        <f>IFERROR(IF([1]对账明细接口!$S192=0,"",[1]对账明细接口!$S192),"")</f>
        <v>公司筐</v>
      </c>
      <c r="Y192" s="20">
        <f>IFERROR(IF([1]对账明细接口!$T192=0,"",[1]对账明细接口!$T192),"")</f>
      </c>
      <c r="Z192" s="213">
        <f>IFERROR(IF([1]对账明细接口!$U192=0,"",[1]对账明细接口!$U192),"")</f>
      </c>
      <c r="AA192" s="213">
        <f>IFERROR(IF([1]对账明细接口!$V192=0,"",[1]对账明细接口!$V192),"")</f>
      </c>
      <c r="AB192" s="20">
        <f>IFERROR(IF([1]对账明细接口!$W192=0,"",[1]对账明细接口!$W192),"")</f>
      </c>
      <c r="AC192" s="7">
        <f>IFERROR(IF([1]对账明细接口!$X192=0,"",[1]对账明细接口!$X192),"")</f>
      </c>
      <c r="AD192" s="7">
        <f>IFERROR(IF([1]对账明细接口!$Y192=0,"",[1]对账明细接口!$Y192),"")</f>
      </c>
      <c r="AE192" s="7">
        <f>IFERROR(IF([1]对账明细接口!$AA192=0,"",[1]对账明细接口!$AA192),"")</f>
      </c>
      <c r="AF192" s="7">
        <f>IFERROR(IF([1]对账明细接口!$AB192=0,"",[1]对账明细接口!$AB192),"")</f>
      </c>
      <c r="AG192" s="7">
        <f>IFERROR(IF([1]对账明细接口!$AC192=0,"",[1]对账明细接口!$AC192),"")</f>
      </c>
      <c r="AH192" s="7">
        <f>IFERROR(IF([1]对账明细接口!$AD192=0,"",[1]对账明细接口!$AD192),"")</f>
      </c>
      <c r="AI192" s="7">
        <f>IFERROR(IF([1]对账明细接口!$AE192=0,"",[1]对账明细接口!$AE192),"")</f>
      </c>
      <c r="AJ192" s="7">
        <f>IFERROR(IF([1]对账明细接口!$AF192=0,"",[1]对账明细接口!$AF192),"")</f>
      </c>
    </row>
    <row r="193" ht="14.25" customHeight="1" s="127">
      <c r="A193" s="14" t="n">
        <v>193</v>
      </c>
      <c r="B193" s="211">
        <f>IFERROR(IF([1]对账明细接口!$B$193=0,"",[1]对账明细接口!$B$193),"")</f>
        <v>46276.0</v>
      </c>
      <c r="C193" s="16" t="str">
        <f>IFERROR(IF([1]对账明细接口!$C$193=0,"",[1]对账明细接口!$C$193),"")</f>
        <v>吐尔洪</v>
      </c>
      <c r="D193" s="16" t="str">
        <f>IFERROR(IF([1]对账明细接口!$D$193=0,"",[1]对账明细接口!$D$193),"")</f>
        <v>原料入库</v>
      </c>
      <c r="E193" s="16" t="str">
        <f>IFERROR(IF([1]对账明细接口!$E$193=0,"",[1]对账明细接口!$E$193),"")</f>
        <v>NO:0000786</v>
      </c>
      <c r="F193" s="16" t="str">
        <f>IFERROR(IF([1]对账明细接口!$F$193=0,"",[1]对账明细接口!$F$193),"")</f>
        <v>香梨</v>
      </c>
      <c r="G193" s="16" t="str">
        <f>IFERROR(IF([1]对账明细接口!$G$193=0,"",[1]对账明细接口!$G$193),"")</f>
        <v>香梨一级</v>
      </c>
      <c r="H193" s="176">
        <f>IFERROR(IF([1]对账明细接口!$H$193=0,"",[1]对账明细接口!$H$193),"")</f>
        <v>43</v>
      </c>
      <c r="I193" s="16" t="str">
        <f>IFERROR(IF([1]对账明细接口!$I$193=0,"",[1]对账明细接口!$I$193),"")</f>
        <v>筐</v>
      </c>
      <c r="J193" s="177">
        <f>IFERROR(IF([1]对账明细接口!$J$193=0,"",[1]对账明细接口!$J$193),"")</f>
        <v>786.9</v>
      </c>
      <c r="K193" s="177">
        <f>IFERROR(IF([1]对账明细接口!$K$193=0,"",[1]对账明细接口!$K$193),"")</f>
      </c>
      <c r="L193" s="16">
        <f>IFERROR(IF([1]对账明细接口!$L$193=0,"",[1]对账明细接口!$L$193),"")</f>
      </c>
      <c r="M193" s="16" t="str">
        <f>IFERROR(IF([1]对账明细接口!$M$193=0,"",[1]对账明细接口!$M$193),"")</f>
        <v>麦麦提</v>
      </c>
      <c r="N193" s="19">
        <f>IF($C193="",0,1)</f>
        <v>1</v>
      </c>
      <c r="O193" s="19">
        <f>N(O192)+$N193</f>
        <v>190</v>
      </c>
      <c r="S193" s="20" t="str">
        <f>IFERROR(IF([1]对账明细接口!$N193=0,"",[1]对账明细接口!$N193),"")</f>
        <v>公司红周转筐</v>
      </c>
      <c r="T193" s="212">
        <f>IFERROR(IF([1]对账明细接口!$O193=0,"",[1]对账明细接口!$O193),"")</f>
      </c>
      <c r="U193" s="212">
        <f>IFERROR(IF([1]对账明细接口!$P193=0,"",[1]对账明细接口!$P193),"")</f>
      </c>
      <c r="V193" s="212">
        <f>IFERROR(IF([1]对账明细接口!$Q193=0,"",[1]对账明细接口!$Q193),"")</f>
        <v>43</v>
      </c>
      <c r="W193" s="20" t="str">
        <f>IFERROR(IF([1]对账明细接口!$R193=0,"",[1]对账明细接口!$R193),"")</f>
        <v>新N*X8S48</v>
      </c>
      <c r="X193" s="20" t="str">
        <f>IFERROR(IF([1]对账明细接口!$S193=0,"",[1]对账明细接口!$S193),"")</f>
        <v>公司筐</v>
      </c>
      <c r="Y193" s="20">
        <f>IFERROR(IF([1]对账明细接口!$T193=0,"",[1]对账明细接口!$T193),"")</f>
      </c>
      <c r="Z193" s="213">
        <f>IFERROR(IF([1]对账明细接口!$U193=0,"",[1]对账明细接口!$U193),"")</f>
      </c>
      <c r="AA193" s="213">
        <f>IFERROR(IF([1]对账明细接口!$V193=0,"",[1]对账明细接口!$V193),"")</f>
      </c>
      <c r="AB193" s="20">
        <f>IFERROR(IF([1]对账明细接口!$W193=0,"",[1]对账明细接口!$W193),"")</f>
      </c>
      <c r="AC193" s="7">
        <f>IFERROR(IF([1]对账明细接口!$X193=0,"",[1]对账明细接口!$X193),"")</f>
      </c>
      <c r="AD193" s="7">
        <f>IFERROR(IF([1]对账明细接口!$Y193=0,"",[1]对账明细接口!$Y193),"")</f>
      </c>
      <c r="AE193" s="7">
        <f>IFERROR(IF([1]对账明细接口!$AA193=0,"",[1]对账明细接口!$AA193),"")</f>
      </c>
      <c r="AF193" s="7">
        <f>IFERROR(IF([1]对账明细接口!$AB193=0,"",[1]对账明细接口!$AB193),"")</f>
      </c>
      <c r="AG193" s="7">
        <f>IFERROR(IF([1]对账明细接口!$AC193=0,"",[1]对账明细接口!$AC193),"")</f>
      </c>
      <c r="AH193" s="7">
        <f>IFERROR(IF([1]对账明细接口!$AD193=0,"",[1]对账明细接口!$AD193),"")</f>
      </c>
      <c r="AI193" s="7">
        <f>IFERROR(IF([1]对账明细接口!$AE193=0,"",[1]对账明细接口!$AE193),"")</f>
      </c>
      <c r="AJ193" s="7">
        <f>IFERROR(IF([1]对账明细接口!$AF193=0,"",[1]对账明细接口!$AF193),"")</f>
      </c>
    </row>
    <row r="194" ht="14.25" customHeight="1" s="127">
      <c r="A194" s="14" t="n">
        <v>194</v>
      </c>
      <c r="B194" s="211">
        <f>IFERROR(IF([1]对账明细接口!$B$194=0,"",[1]对账明细接口!$B$194),"")</f>
        <v>46276.0</v>
      </c>
      <c r="C194" s="16" t="str">
        <f>IFERROR(IF([1]对账明细接口!$C$194=0,"",[1]对账明细接口!$C$194),"")</f>
        <v>吐尔洪</v>
      </c>
      <c r="D194" s="16" t="str">
        <f>IFERROR(IF([1]对账明细接口!$D$194=0,"",[1]对账明细接口!$D$194),"")</f>
        <v>原料入库</v>
      </c>
      <c r="E194" s="16" t="str">
        <f>IFERROR(IF([1]对账明细接口!$E$194=0,"",[1]对账明细接口!$E$194),"")</f>
        <v>NO:0000786</v>
      </c>
      <c r="F194" s="16" t="str">
        <f>IFERROR(IF([1]对账明细接口!$F$194=0,"",[1]对账明细接口!$F$194),"")</f>
        <v>香梨</v>
      </c>
      <c r="G194" s="16" t="str">
        <f>IFERROR(IF([1]对账明细接口!$G$194=0,"",[1]对账明细接口!$G$194),"")</f>
        <v>香梨二级</v>
      </c>
      <c r="H194" s="176">
        <f>IFERROR(IF([1]对账明细接口!$H$194=0,"",[1]对账明细接口!$H$194),"")</f>
        <v>88</v>
      </c>
      <c r="I194" s="16" t="str">
        <f>IFERROR(IF([1]对账明细接口!$I$194=0,"",[1]对账明细接口!$I$194),"")</f>
        <v>筐</v>
      </c>
      <c r="J194" s="177">
        <f>IFERROR(IF([1]对账明细接口!$J$194=0,"",[1]对账明细接口!$J$194),"")</f>
        <v>1962.4</v>
      </c>
      <c r="K194" s="177">
        <f>IFERROR(IF([1]对账明细接口!$K$194=0,"",[1]对账明细接口!$K$194),"")</f>
      </c>
      <c r="L194" s="16">
        <f>IFERROR(IF([1]对账明细接口!$L$194=0,"",[1]对账明细接口!$L$194),"")</f>
      </c>
      <c r="M194" s="16" t="str">
        <f>IFERROR(IF([1]对账明细接口!$M$194=0,"",[1]对账明细接口!$M$194),"")</f>
        <v>麦麦提</v>
      </c>
      <c r="N194" s="19">
        <f>IF($C194="",0,1)</f>
        <v>1</v>
      </c>
      <c r="O194" s="19">
        <f>N(O193)+$N194</f>
        <v>191</v>
      </c>
      <c r="S194" s="20" t="str">
        <f>IFERROR(IF([1]对账明细接口!$N194=0,"",[1]对账明细接口!$N194),"")</f>
        <v>公司红周转筐</v>
      </c>
      <c r="T194" s="212">
        <f>IFERROR(IF([1]对账明细接口!$O194=0,"",[1]对账明细接口!$O194),"")</f>
      </c>
      <c r="U194" s="212">
        <f>IFERROR(IF([1]对账明细接口!$P194=0,"",[1]对账明细接口!$P194),"")</f>
      </c>
      <c r="V194" s="212">
        <f>IFERROR(IF([1]对账明细接口!$Q194=0,"",[1]对账明细接口!$Q194),"")</f>
        <v>88</v>
      </c>
      <c r="W194" s="20" t="str">
        <f>IFERROR(IF([1]对账明细接口!$R194=0,"",[1]对账明细接口!$R194),"")</f>
        <v>新N*X8S48</v>
      </c>
      <c r="X194" s="20" t="str">
        <f>IFERROR(IF([1]对账明细接口!$S194=0,"",[1]对账明细接口!$S194),"")</f>
        <v>公司筐</v>
      </c>
      <c r="Y194" s="20">
        <f>IFERROR(IF([1]对账明细接口!$T194=0,"",[1]对账明细接口!$T194),"")</f>
      </c>
      <c r="Z194" s="213">
        <f>IFERROR(IF([1]对账明细接口!$U194=0,"",[1]对账明细接口!$U194),"")</f>
      </c>
      <c r="AA194" s="213">
        <f>IFERROR(IF([1]对账明细接口!$V194=0,"",[1]对账明细接口!$V194),"")</f>
      </c>
      <c r="AB194" s="20">
        <f>IFERROR(IF([1]对账明细接口!$W194=0,"",[1]对账明细接口!$W194),"")</f>
      </c>
      <c r="AC194" s="7">
        <f>IFERROR(IF([1]对账明细接口!$X194=0,"",[1]对账明细接口!$X194),"")</f>
      </c>
      <c r="AD194" s="7">
        <f>IFERROR(IF([1]对账明细接口!$Y194=0,"",[1]对账明细接口!$Y194),"")</f>
      </c>
      <c r="AE194" s="7">
        <f>IFERROR(IF([1]对账明细接口!$AA194=0,"",[1]对账明细接口!$AA194),"")</f>
      </c>
      <c r="AF194" s="7">
        <f>IFERROR(IF([1]对账明细接口!$AB194=0,"",[1]对账明细接口!$AB194),"")</f>
      </c>
      <c r="AG194" s="7">
        <f>IFERROR(IF([1]对账明细接口!$AC194=0,"",[1]对账明细接口!$AC194),"")</f>
      </c>
      <c r="AH194" s="7">
        <f>IFERROR(IF([1]对账明细接口!$AD194=0,"",[1]对账明细接口!$AD194),"")</f>
      </c>
      <c r="AI194" s="7">
        <f>IFERROR(IF([1]对账明细接口!$AE194=0,"",[1]对账明细接口!$AE194),"")</f>
      </c>
      <c r="AJ194" s="7">
        <f>IFERROR(IF([1]对账明细接口!$AF194=0,"",[1]对账明细接口!$AF194),"")</f>
      </c>
    </row>
    <row r="195" ht="14.25" customHeight="1" s="127">
      <c r="A195" s="14" t="n">
        <v>195</v>
      </c>
      <c r="B195" s="211">
        <f>IFERROR(IF([1]对账明细接口!$B$195=0,"",[1]对账明细接口!$B$195),"")</f>
        <v>46276.0</v>
      </c>
      <c r="C195" s="16" t="str">
        <f>IFERROR(IF([1]对账明细接口!$C$195=0,"",[1]对账明细接口!$C$195),"")</f>
        <v>贾建国</v>
      </c>
      <c r="D195" s="16" t="str">
        <f>IFERROR(IF([1]对账明细接口!$D$195=0,"",[1]对账明细接口!$D$195),"")</f>
        <v>原料入库</v>
      </c>
      <c r="E195" s="16" t="str">
        <f>IFERROR(IF([1]对账明细接口!$E$195=0,"",[1]对账明细接口!$E$195),"")</f>
        <v>NO:0000787</v>
      </c>
      <c r="F195" s="16" t="str">
        <f>IFERROR(IF([1]对账明细接口!$F$195=0,"",[1]对账明细接口!$F$195),"")</f>
        <v>香梨</v>
      </c>
      <c r="G195" s="16" t="str">
        <f>IFERROR(IF([1]对账明细接口!$G$195=0,"",[1]对账明细接口!$G$195),"")</f>
        <v>香梨副特</v>
      </c>
      <c r="H195" s="176">
        <f>IFERROR(IF([1]对账明细接口!$H$195=0,"",[1]对账明细接口!$H$195),"")</f>
        <v>393</v>
      </c>
      <c r="I195" s="16" t="str">
        <f>IFERROR(IF([1]对账明细接口!$I$195=0,"",[1]对账明细接口!$I$195),"")</f>
        <v>筐</v>
      </c>
      <c r="J195" s="177">
        <f>IFERROR(IF([1]对账明细接口!$J$195=0,"",[1]对账明细接口!$J$195),"")</f>
        <v>7584.9</v>
      </c>
      <c r="K195" s="177">
        <f>IFERROR(IF([1]对账明细接口!$K$195=0,"",[1]对账明细接口!$K$195),"")</f>
      </c>
      <c r="L195" s="16">
        <f>IFERROR(IF([1]对账明细接口!$L$195=0,"",[1]对账明细接口!$L$195),"")</f>
      </c>
      <c r="M195" s="16">
        <f>IFERROR(IF([1]对账明细接口!$M$195=0,"",[1]对账明细接口!$M$195),"")</f>
      </c>
      <c r="N195" s="19">
        <f>IF($C195="",0,1)</f>
        <v>1</v>
      </c>
      <c r="O195" s="19">
        <f>N(O194)+$N195</f>
        <v>192</v>
      </c>
      <c r="S195" s="20" t="str">
        <f>IFERROR(IF([1]对账明细接口!$N195=0,"",[1]对账明细接口!$N195),"")</f>
        <v>自备一次性筐</v>
      </c>
      <c r="T195" s="212">
        <f>IFERROR(IF([1]对账明细接口!$O195=0,"",[1]对账明细接口!$O195),"")</f>
      </c>
      <c r="U195" s="212">
        <f>IFERROR(IF([1]对账明细接口!$P195=0,"",[1]对账明细接口!$P195),"")</f>
      </c>
      <c r="V195" s="212">
        <f>IFERROR(IF([1]对账明细接口!$Q195=0,"",[1]对账明细接口!$Q195),"")</f>
        <v>393</v>
      </c>
      <c r="W195" s="20" t="str">
        <f>IFERROR(IF([1]对账明细接口!$R195=0,"",[1]对账明细接口!$R195),"")</f>
        <v>豫Q*H5591</v>
      </c>
      <c r="X195" s="20" t="str">
        <f>IFERROR(IF([1]对账明细接口!$S195=0,"",[1]对账明细接口!$S195),"")</f>
        <v>自备筐</v>
      </c>
      <c r="Y195" s="20">
        <f>IFERROR(IF([1]对账明细接口!$T195=0,"",[1]对账明细接口!$T195),"")</f>
      </c>
      <c r="Z195" s="213">
        <f>IFERROR(IF([1]对账明细接口!$U195=0,"",[1]对账明细接口!$U195),"")</f>
      </c>
      <c r="AA195" s="213">
        <f>IFERROR(IF([1]对账明细接口!$V195=0,"",[1]对账明细接口!$V195),"")</f>
      </c>
      <c r="AB195" s="20">
        <f>IFERROR(IF([1]对账明细接口!$W195=0,"",[1]对账明细接口!$W195),"")</f>
      </c>
      <c r="AC195" s="7">
        <f>IFERROR(IF([1]对账明细接口!$X195=0,"",[1]对账明细接口!$X195),"")</f>
      </c>
      <c r="AD195" s="7">
        <f>IFERROR(IF([1]对账明细接口!$Y195=0,"",[1]对账明细接口!$Y195),"")</f>
      </c>
      <c r="AE195" s="7">
        <f>IFERROR(IF([1]对账明细接口!$AA195=0,"",[1]对账明细接口!$AA195),"")</f>
      </c>
      <c r="AF195" s="7">
        <f>IFERROR(IF([1]对账明细接口!$AB195=0,"",[1]对账明细接口!$AB195),"")</f>
      </c>
      <c r="AG195" s="7">
        <f>IFERROR(IF([1]对账明细接口!$AC195=0,"",[1]对账明细接口!$AC195),"")</f>
      </c>
      <c r="AH195" s="7">
        <f>IFERROR(IF([1]对账明细接口!$AD195=0,"",[1]对账明细接口!$AD195),"")</f>
      </c>
      <c r="AI195" s="7">
        <f>IFERROR(IF([1]对账明细接口!$AE195=0,"",[1]对账明细接口!$AE195),"")</f>
      </c>
      <c r="AJ195" s="7">
        <f>IFERROR(IF([1]对账明细接口!$AF195=0,"",[1]对账明细接口!$AF195),"")</f>
      </c>
    </row>
    <row r="196" ht="14.25" customHeight="1" s="127">
      <c r="A196" s="14" t="n">
        <v>196</v>
      </c>
      <c r="B196" s="211">
        <f>IFERROR(IF([1]对账明细接口!$B$196=0,"",[1]对账明细接口!$B$196),"")</f>
        <v>46276.0</v>
      </c>
      <c r="C196" s="16" t="str">
        <f>IFERROR(IF([1]对账明细接口!$C$196=0,"",[1]对账明细接口!$C$196),"")</f>
        <v>贾建国</v>
      </c>
      <c r="D196" s="16" t="str">
        <f>IFERROR(IF([1]对账明细接口!$D$196=0,"",[1]对账明细接口!$D$196),"")</f>
        <v>原料入库</v>
      </c>
      <c r="E196" s="16" t="str">
        <f>IFERROR(IF([1]对账明细接口!$E$196=0,"",[1]对账明细接口!$E$196),"")</f>
        <v>NO:0000787</v>
      </c>
      <c r="F196" s="16" t="str">
        <f>IFERROR(IF([1]对账明细接口!$F$196=0,"",[1]对账明细接口!$F$196),"")</f>
        <v>香梨</v>
      </c>
      <c r="G196" s="16" t="str">
        <f>IFERROR(IF([1]对账明细接口!$G$196=0,"",[1]对账明细接口!$G$196),"")</f>
        <v>香梨副特</v>
      </c>
      <c r="H196" s="176">
        <f>IFERROR(IF([1]对账明细接口!$H$196=0,"",[1]对账明细接口!$H$196),"")</f>
        <v>3</v>
      </c>
      <c r="I196" s="16" t="str">
        <f>IFERROR(IF([1]对账明细接口!$I$196=0,"",[1]对账明细接口!$I$196),"")</f>
        <v>筐</v>
      </c>
      <c r="J196" s="177">
        <f>IFERROR(IF([1]对账明细接口!$J$196=0,"",[1]对账明细接口!$J$196),"")</f>
        <v>57.9</v>
      </c>
      <c r="K196" s="177">
        <f>IFERROR(IF([1]对账明细接口!$K$196=0,"",[1]对账明细接口!$K$196),"")</f>
      </c>
      <c r="L196" s="16">
        <f>IFERROR(IF([1]对账明细接口!$L$196=0,"",[1]对账明细接口!$L$196),"")</f>
      </c>
      <c r="M196" s="16">
        <f>IFERROR(IF([1]对账明细接口!$M$196=0,"",[1]对账明细接口!$M$196),"")</f>
      </c>
      <c r="N196" s="19">
        <f>IF($C196="",0,1)</f>
        <v>1</v>
      </c>
      <c r="O196" s="19">
        <f>N(O195)+$N196</f>
        <v>193</v>
      </c>
      <c r="S196" s="20" t="str">
        <f>IFERROR(IF([1]对账明细接口!$N196=0,"",[1]对账明细接口!$N196),"")</f>
        <v>公司一次性筐</v>
      </c>
      <c r="T196" s="212">
        <f>IFERROR(IF([1]对账明细接口!$O196=0,"",[1]对账明细接口!$O196),"")</f>
      </c>
      <c r="U196" s="212">
        <f>IFERROR(IF([1]对账明细接口!$P196=0,"",[1]对账明细接口!$P196),"")</f>
      </c>
      <c r="V196" s="212">
        <f>IFERROR(IF([1]对账明细接口!$Q196=0,"",[1]对账明细接口!$Q196),"")</f>
        <v>3</v>
      </c>
      <c r="W196" s="20" t="str">
        <f>IFERROR(IF([1]对账明细接口!$R196=0,"",[1]对账明细接口!$R196),"")</f>
        <v>豫Q*H5591</v>
      </c>
      <c r="X196" s="20" t="str">
        <f>IFERROR(IF([1]对账明细接口!$S196=0,"",[1]对账明细接口!$S196),"")</f>
        <v>公司筐</v>
      </c>
      <c r="Y196" s="20">
        <f>IFERROR(IF([1]对账明细接口!$T196=0,"",[1]对账明细接口!$T196),"")</f>
      </c>
      <c r="Z196" s="213">
        <f>IFERROR(IF([1]对账明细接口!$U196=0,"",[1]对账明细接口!$U196),"")</f>
      </c>
      <c r="AA196" s="213">
        <f>IFERROR(IF([1]对账明细接口!$V196=0,"",[1]对账明细接口!$V196),"")</f>
      </c>
      <c r="AB196" s="20">
        <f>IFERROR(IF([1]对账明细接口!$W196=0,"",[1]对账明细接口!$W196),"")</f>
      </c>
      <c r="AC196" s="7">
        <f>IFERROR(IF([1]对账明细接口!$X196=0,"",[1]对账明细接口!$X196),"")</f>
      </c>
      <c r="AD196" s="7">
        <f>IFERROR(IF([1]对账明细接口!$Y196=0,"",[1]对账明细接口!$Y196),"")</f>
      </c>
      <c r="AE196" s="7">
        <f>IFERROR(IF([1]对账明细接口!$AA196=0,"",[1]对账明细接口!$AA196),"")</f>
      </c>
      <c r="AF196" s="7">
        <f>IFERROR(IF([1]对账明细接口!$AB196=0,"",[1]对账明细接口!$AB196),"")</f>
      </c>
      <c r="AG196" s="7">
        <f>IFERROR(IF([1]对账明细接口!$AC196=0,"",[1]对账明细接口!$AC196),"")</f>
      </c>
      <c r="AH196" s="7">
        <f>IFERROR(IF([1]对账明细接口!$AD196=0,"",[1]对账明细接口!$AD196),"")</f>
      </c>
      <c r="AI196" s="7">
        <f>IFERROR(IF([1]对账明细接口!$AE196=0,"",[1]对账明细接口!$AE196),"")</f>
      </c>
      <c r="AJ196" s="7">
        <f>IFERROR(IF([1]对账明细接口!$AF196=0,"",[1]对账明细接口!$AF196),"")</f>
      </c>
    </row>
    <row r="197" ht="14.25" customHeight="1" s="127">
      <c r="A197" s="14" t="n">
        <v>197</v>
      </c>
      <c r="B197" s="211">
        <f>IFERROR(IF([1]对账明细接口!$B$197=0,"",[1]对账明细接口!$B$197),"")</f>
        <v>46277.0</v>
      </c>
      <c r="C197" s="16" t="str">
        <f>IFERROR(IF([1]对账明细接口!$C$197=0,"",[1]对账明细接口!$C$197),"")</f>
        <v>王照雪</v>
      </c>
      <c r="D197" s="16" t="str">
        <f>IFERROR(IF([1]对账明细接口!$D$197=0,"",[1]对账明细接口!$D$197),"")</f>
        <v>原料入库</v>
      </c>
      <c r="E197" s="16" t="str">
        <f>IFERROR(IF([1]对账明细接口!$E$197=0,"",[1]对账明细接口!$E$197),"")</f>
        <v>NO:0000789</v>
      </c>
      <c r="F197" s="16" t="str">
        <f>IFERROR(IF([1]对账明细接口!$F$197=0,"",[1]对账明细接口!$F$197),"")</f>
        <v>香梨</v>
      </c>
      <c r="G197" s="16" t="str">
        <f>IFERROR(IF([1]对账明细接口!$G$197=0,"",[1]对账明细接口!$G$197),"")</f>
        <v>香梨一级</v>
      </c>
      <c r="H197" s="176">
        <f>IFERROR(IF([1]对账明细接口!$H$197=0,"",[1]对账明细接口!$H$197),"")</f>
        <v>99</v>
      </c>
      <c r="I197" s="16" t="str">
        <f>IFERROR(IF([1]对账明细接口!$I$197=0,"",[1]对账明细接口!$I$197),"")</f>
        <v>筐</v>
      </c>
      <c r="J197" s="177">
        <f>IFERROR(IF([1]对账明细接口!$J$197=0,"",[1]对账明细接口!$J$197),"")</f>
        <v>1831.5</v>
      </c>
      <c r="K197" s="177">
        <f>IFERROR(IF([1]对账明细接口!$K$197=0,"",[1]对账明细接口!$K$197),"")</f>
      </c>
      <c r="L197" s="16">
        <f>IFERROR(IF([1]对账明细接口!$L$197=0,"",[1]对账明细接口!$L$197),"")</f>
      </c>
      <c r="M197" s="16">
        <f>IFERROR(IF([1]对账明细接口!$M$197=0,"",[1]对账明细接口!$M$197),"")</f>
      </c>
      <c r="N197" s="19">
        <f>IF($C197="",0,1)</f>
        <v>1</v>
      </c>
      <c r="O197" s="19">
        <f>N(O196)+$N197</f>
        <v>194</v>
      </c>
      <c r="S197" s="20" t="str">
        <f>IFERROR(IF([1]对账明细接口!$N197=0,"",[1]对账明细接口!$N197),"")</f>
        <v>公司一次性筐</v>
      </c>
      <c r="T197" s="212">
        <f>IFERROR(IF([1]对账明细接口!$O197=0,"",[1]对账明细接口!$O197),"")</f>
      </c>
      <c r="U197" s="212">
        <f>IFERROR(IF([1]对账明细接口!$P197=0,"",[1]对账明细接口!$P197),"")</f>
      </c>
      <c r="V197" s="212">
        <f>IFERROR(IF([1]对账明细接口!$Q197=0,"",[1]对账明细接口!$Q197),"")</f>
        <v>99</v>
      </c>
      <c r="W197" s="20" t="str">
        <f>IFERROR(IF([1]对账明细接口!$R197=0,"",[1]对账明细接口!$R197),"")</f>
        <v>豫L*88X19</v>
      </c>
      <c r="X197" s="20" t="str">
        <f>IFERROR(IF([1]对账明细接口!$S197=0,"",[1]对账明细接口!$S197),"")</f>
        <v>公司筐</v>
      </c>
      <c r="Y197" s="20">
        <f>IFERROR(IF([1]对账明细接口!$T197=0,"",[1]对账明细接口!$T197),"")</f>
      </c>
      <c r="Z197" s="213">
        <f>IFERROR(IF([1]对账明细接口!$U197=0,"",[1]对账明细接口!$U197),"")</f>
      </c>
      <c r="AA197" s="213">
        <f>IFERROR(IF([1]对账明细接口!$V197=0,"",[1]对账明细接口!$V197),"")</f>
      </c>
      <c r="AB197" s="20">
        <f>IFERROR(IF([1]对账明细接口!$W197=0,"",[1]对账明细接口!$W197),"")</f>
      </c>
      <c r="AC197" s="7">
        <f>IFERROR(IF([1]对账明细接口!$X197=0,"",[1]对账明细接口!$X197),"")</f>
      </c>
      <c r="AD197" s="7">
        <f>IFERROR(IF([1]对账明细接口!$Y197=0,"",[1]对账明细接口!$Y197),"")</f>
      </c>
      <c r="AE197" s="7">
        <f>IFERROR(IF([1]对账明细接口!$AA197=0,"",[1]对账明细接口!$AA197),"")</f>
      </c>
      <c r="AF197" s="7">
        <f>IFERROR(IF([1]对账明细接口!$AB197=0,"",[1]对账明细接口!$AB197),"")</f>
      </c>
      <c r="AG197" s="7">
        <f>IFERROR(IF([1]对账明细接口!$AC197=0,"",[1]对账明细接口!$AC197),"")</f>
      </c>
      <c r="AH197" s="7">
        <f>IFERROR(IF([1]对账明细接口!$AD197=0,"",[1]对账明细接口!$AD197),"")</f>
      </c>
      <c r="AI197" s="7">
        <f>IFERROR(IF([1]对账明细接口!$AE197=0,"",[1]对账明细接口!$AE197),"")</f>
      </c>
      <c r="AJ197" s="7">
        <f>IFERROR(IF([1]对账明细接口!$AF197=0,"",[1]对账明细接口!$AF197),"")</f>
      </c>
    </row>
    <row r="198" ht="14.25" customHeight="1" s="127">
      <c r="A198" s="14" t="n">
        <v>198</v>
      </c>
      <c r="B198" s="211">
        <f>IFERROR(IF([1]对账明细接口!$B$198=0,"",[1]对账明细接口!$B$198),"")</f>
        <v>46277.0</v>
      </c>
      <c r="C198" s="16" t="str">
        <f>IFERROR(IF([1]对账明细接口!$C$198=0,"",[1]对账明细接口!$C$198),"")</f>
        <v>王照雪</v>
      </c>
      <c r="D198" s="16" t="str">
        <f>IFERROR(IF([1]对账明细接口!$D$198=0,"",[1]对账明细接口!$D$198),"")</f>
        <v>原料入库</v>
      </c>
      <c r="E198" s="16" t="str">
        <f>IFERROR(IF([1]对账明细接口!$E$198=0,"",[1]对账明细接口!$E$198),"")</f>
        <v>NO:0000789</v>
      </c>
      <c r="F198" s="16" t="str">
        <f>IFERROR(IF([1]对账明细接口!$F$198=0,"",[1]对账明细接口!$F$198),"")</f>
        <v>香梨</v>
      </c>
      <c r="G198" s="16" t="str">
        <f>IFERROR(IF([1]对账明细接口!$G$198=0,"",[1]对账明细接口!$G$198),"")</f>
        <v>香梨二级</v>
      </c>
      <c r="H198" s="176">
        <f>IFERROR(IF([1]对账明细接口!$H$198=0,"",[1]对账明细接口!$H$198),"")</f>
        <v>26</v>
      </c>
      <c r="I198" s="16" t="str">
        <f>IFERROR(IF([1]对账明细接口!$I$198=0,"",[1]对账明细接口!$I$198),"")</f>
        <v>筐</v>
      </c>
      <c r="J198" s="177">
        <f>IFERROR(IF([1]对账明细接口!$J$198=0,"",[1]对账明细接口!$J$198),"")</f>
        <v>585</v>
      </c>
      <c r="K198" s="177">
        <f>IFERROR(IF([1]对账明细接口!$K$198=0,"",[1]对账明细接口!$K$198),"")</f>
      </c>
      <c r="L198" s="16">
        <f>IFERROR(IF([1]对账明细接口!$L$198=0,"",[1]对账明细接口!$L$198),"")</f>
      </c>
      <c r="M198" s="16">
        <f>IFERROR(IF([1]对账明细接口!$M$198=0,"",[1]对账明细接口!$M$198),"")</f>
      </c>
      <c r="N198" s="19">
        <f>IF($C198="",0,1)</f>
        <v>1</v>
      </c>
      <c r="O198" s="19">
        <f>N(O197)+$N198</f>
        <v>195</v>
      </c>
      <c r="S198" s="20" t="str">
        <f>IFERROR(IF([1]对账明细接口!$N198=0,"",[1]对账明细接口!$N198),"")</f>
        <v>公司一次性筐</v>
      </c>
      <c r="T198" s="212">
        <f>IFERROR(IF([1]对账明细接口!$O198=0,"",[1]对账明细接口!$O198),"")</f>
      </c>
      <c r="U198" s="212">
        <f>IFERROR(IF([1]对账明细接口!$P198=0,"",[1]对账明细接口!$P198),"")</f>
      </c>
      <c r="V198" s="212">
        <f>IFERROR(IF([1]对账明细接口!$Q198=0,"",[1]对账明细接口!$Q198),"")</f>
        <v>26</v>
      </c>
      <c r="W198" s="20" t="str">
        <f>IFERROR(IF([1]对账明细接口!$R198=0,"",[1]对账明细接口!$R198),"")</f>
        <v>豫L*88X19</v>
      </c>
      <c r="X198" s="20" t="str">
        <f>IFERROR(IF([1]对账明细接口!$S198=0,"",[1]对账明细接口!$S198),"")</f>
        <v>公司筐</v>
      </c>
      <c r="Y198" s="20">
        <f>IFERROR(IF([1]对账明细接口!$T198=0,"",[1]对账明细接口!$T198),"")</f>
      </c>
      <c r="Z198" s="213">
        <f>IFERROR(IF([1]对账明细接口!$U198=0,"",[1]对账明细接口!$U198),"")</f>
      </c>
      <c r="AA198" s="213">
        <f>IFERROR(IF([1]对账明细接口!$V198=0,"",[1]对账明细接口!$V198),"")</f>
      </c>
      <c r="AB198" s="20">
        <f>IFERROR(IF([1]对账明细接口!$W198=0,"",[1]对账明细接口!$W198),"")</f>
      </c>
      <c r="AC198" s="7">
        <f>IFERROR(IF([1]对账明细接口!$X198=0,"",[1]对账明细接口!$X198),"")</f>
      </c>
      <c r="AD198" s="7">
        <f>IFERROR(IF([1]对账明细接口!$Y198=0,"",[1]对账明细接口!$Y198),"")</f>
      </c>
      <c r="AE198" s="7">
        <f>IFERROR(IF([1]对账明细接口!$AA198=0,"",[1]对账明细接口!$AA198),"")</f>
      </c>
      <c r="AF198" s="7">
        <f>IFERROR(IF([1]对账明细接口!$AB198=0,"",[1]对账明细接口!$AB198),"")</f>
      </c>
      <c r="AG198" s="7">
        <f>IFERROR(IF([1]对账明细接口!$AC198=0,"",[1]对账明细接口!$AC198),"")</f>
      </c>
      <c r="AH198" s="7">
        <f>IFERROR(IF([1]对账明细接口!$AD198=0,"",[1]对账明细接口!$AD198),"")</f>
      </c>
      <c r="AI198" s="7">
        <f>IFERROR(IF([1]对账明细接口!$AE198=0,"",[1]对账明细接口!$AE198),"")</f>
      </c>
      <c r="AJ198" s="7">
        <f>IFERROR(IF([1]对账明细接口!$AF198=0,"",[1]对账明细接口!$AF198),"")</f>
      </c>
    </row>
    <row r="199" ht="14.25" customHeight="1" s="127">
      <c r="A199" s="14" t="n">
        <v>199</v>
      </c>
      <c r="B199" s="211">
        <f>IFERROR(IF([1]对账明细接口!$B$199=0,"",[1]对账明细接口!$B$199),"")</f>
        <v>46277.0</v>
      </c>
      <c r="C199" s="16" t="str">
        <f>IFERROR(IF([1]对账明细接口!$C$199=0,"",[1]对账明细接口!$C$199),"")</f>
        <v>王照雪</v>
      </c>
      <c r="D199" s="16" t="str">
        <f>IFERROR(IF([1]对账明细接口!$D$199=0,"",[1]对账明细接口!$D$199),"")</f>
        <v>原料入库</v>
      </c>
      <c r="E199" s="16" t="str">
        <f>IFERROR(IF([1]对账明细接口!$E$199=0,"",[1]对账明细接口!$E$199),"")</f>
        <v>NO:0000789</v>
      </c>
      <c r="F199" s="16" t="str">
        <f>IFERROR(IF([1]对账明细接口!$F$199=0,"",[1]对账明细接口!$F$199),"")</f>
        <v>香梨</v>
      </c>
      <c r="G199" s="16" t="str">
        <f>IFERROR(IF([1]对账明细接口!$G$199=0,"",[1]对账明细接口!$G$199),"")</f>
        <v>香梨副特</v>
      </c>
      <c r="H199" s="176">
        <f>IFERROR(IF([1]对账明细接口!$H$199=0,"",[1]对账明细接口!$H$199),"")</f>
        <v>89</v>
      </c>
      <c r="I199" s="16" t="str">
        <f>IFERROR(IF([1]对账明细接口!$I$199=0,"",[1]对账明细接口!$I$199),"")</f>
        <v>筐</v>
      </c>
      <c r="J199" s="177">
        <f>IFERROR(IF([1]对账明细接口!$J$199=0,"",[1]对账明细接口!$J$199),"")</f>
        <v>1646.5</v>
      </c>
      <c r="K199" s="177">
        <f>IFERROR(IF([1]对账明细接口!$K$199=0,"",[1]对账明细接口!$K$199),"")</f>
      </c>
      <c r="L199" s="16">
        <f>IFERROR(IF([1]对账明细接口!$L$199=0,"",[1]对账明细接口!$L$199),"")</f>
      </c>
      <c r="M199" s="16">
        <f>IFERROR(IF([1]对账明细接口!$M$199=0,"",[1]对账明细接口!$M$199),"")</f>
      </c>
      <c r="N199" s="19">
        <f>IF($C199="",0,1)</f>
        <v>1</v>
      </c>
      <c r="O199" s="19">
        <f>N(O198)+$N199</f>
        <v>196</v>
      </c>
      <c r="S199" s="20" t="str">
        <f>IFERROR(IF([1]对账明细接口!$N199=0,"",[1]对账明细接口!$N199),"")</f>
        <v>公司一次性筐</v>
      </c>
      <c r="T199" s="212">
        <f>IFERROR(IF([1]对账明细接口!$O199=0,"",[1]对账明细接口!$O199),"")</f>
      </c>
      <c r="U199" s="212">
        <f>IFERROR(IF([1]对账明细接口!$P199=0,"",[1]对账明细接口!$P199),"")</f>
      </c>
      <c r="V199" s="212">
        <f>IFERROR(IF([1]对账明细接口!$Q199=0,"",[1]对账明细接口!$Q199),"")</f>
        <v>89</v>
      </c>
      <c r="W199" s="20" t="str">
        <f>IFERROR(IF([1]对账明细接口!$R199=0,"",[1]对账明细接口!$R199),"")</f>
        <v>豫L*88X19</v>
      </c>
      <c r="X199" s="20" t="str">
        <f>IFERROR(IF([1]对账明细接口!$S199=0,"",[1]对账明细接口!$S199),"")</f>
        <v>公司筐</v>
      </c>
      <c r="Y199" s="20">
        <f>IFERROR(IF([1]对账明细接口!$T199=0,"",[1]对账明细接口!$T199),"")</f>
      </c>
      <c r="Z199" s="213">
        <f>IFERROR(IF([1]对账明细接口!$U199=0,"",[1]对账明细接口!$U199),"")</f>
      </c>
      <c r="AA199" s="213">
        <f>IFERROR(IF([1]对账明细接口!$V199=0,"",[1]对账明细接口!$V199),"")</f>
      </c>
      <c r="AB199" s="20">
        <f>IFERROR(IF([1]对账明细接口!$W199=0,"",[1]对账明细接口!$W199),"")</f>
      </c>
      <c r="AC199" s="7">
        <f>IFERROR(IF([1]对账明细接口!$X199=0,"",[1]对账明细接口!$X199),"")</f>
      </c>
      <c r="AD199" s="7">
        <f>IFERROR(IF([1]对账明细接口!$Y199=0,"",[1]对账明细接口!$Y199),"")</f>
      </c>
      <c r="AE199" s="7">
        <f>IFERROR(IF([1]对账明细接口!$AA199=0,"",[1]对账明细接口!$AA199),"")</f>
      </c>
      <c r="AF199" s="7">
        <f>IFERROR(IF([1]对账明细接口!$AB199=0,"",[1]对账明细接口!$AB199),"")</f>
      </c>
      <c r="AG199" s="7">
        <f>IFERROR(IF([1]对账明细接口!$AC199=0,"",[1]对账明细接口!$AC199),"")</f>
      </c>
      <c r="AH199" s="7">
        <f>IFERROR(IF([1]对账明细接口!$AD199=0,"",[1]对账明细接口!$AD199),"")</f>
      </c>
      <c r="AI199" s="7">
        <f>IFERROR(IF([1]对账明细接口!$AE199=0,"",[1]对账明细接口!$AE199),"")</f>
      </c>
      <c r="AJ199" s="7">
        <f>IFERROR(IF([1]对账明细接口!$AF199=0,"",[1]对账明细接口!$AF199),"")</f>
      </c>
    </row>
    <row r="200" ht="14.25" customHeight="1" s="127">
      <c r="A200" s="14" t="n">
        <v>200</v>
      </c>
      <c r="B200" s="211">
        <f>IFERROR(IF([1]对账明细接口!$B$200=0,"",[1]对账明细接口!$B$200),"")</f>
        <v>46277.0</v>
      </c>
      <c r="C200" s="16" t="str">
        <f>IFERROR(IF([1]对账明细接口!$C$200=0,"",[1]对账明细接口!$C$200),"")</f>
        <v>马锦祥</v>
      </c>
      <c r="D200" s="16" t="str">
        <f>IFERROR(IF([1]对账明细接口!$D$200=0,"",[1]对账明细接口!$D$200),"")</f>
        <v>原料入库</v>
      </c>
      <c r="E200" s="16" t="str">
        <f>IFERROR(IF([1]对账明细接口!$E$200=0,"",[1]对账明细接口!$E$200),"")</f>
        <v>NO:0000790</v>
      </c>
      <c r="F200" s="16" t="str">
        <f>IFERROR(IF([1]对账明细接口!$F$200=0,"",[1]对账明细接口!$F$200),"")</f>
        <v>香梨</v>
      </c>
      <c r="G200" s="16" t="str">
        <f>IFERROR(IF([1]对账明细接口!$G$200=0,"",[1]对账明细接口!$G$200),"")</f>
        <v>香梨一级</v>
      </c>
      <c r="H200" s="176">
        <f>IFERROR(IF([1]对账明细接口!$H$200=0,"",[1]对账明细接口!$H$200),"")</f>
        <v>312</v>
      </c>
      <c r="I200" s="16" t="str">
        <f>IFERROR(IF([1]对账明细接口!$I$200=0,"",[1]对账明细接口!$I$200),"")</f>
        <v>筐</v>
      </c>
      <c r="J200" s="177">
        <f>IFERROR(IF([1]对账明细接口!$J$200=0,"",[1]对账明细接口!$J$200),"")</f>
        <v>5709.6</v>
      </c>
      <c r="K200" s="177">
        <f>IFERROR(IF([1]对账明细接口!$K$200=0,"",[1]对账明细接口!$K$200),"")</f>
      </c>
      <c r="L200" s="16">
        <f>IFERROR(IF([1]对账明细接口!$L$200=0,"",[1]对账明细接口!$L$200),"")</f>
      </c>
      <c r="M200" s="16">
        <f>IFERROR(IF([1]对账明细接口!$M$200=0,"",[1]对账明细接口!$M$200),"")</f>
      </c>
      <c r="N200" s="19">
        <f>IF($C200="",0,1)</f>
        <v>1</v>
      </c>
      <c r="O200" s="19">
        <f>N(O199)+$N200</f>
        <v>197</v>
      </c>
      <c r="S200" s="20" t="str">
        <f>IFERROR(IF([1]对账明细接口!$N200=0,"",[1]对账明细接口!$N200),"")</f>
        <v>公司杂周转筐</v>
      </c>
      <c r="T200" s="212">
        <f>IFERROR(IF([1]对账明细接口!$O200=0,"",[1]对账明细接口!$O200),"")</f>
      </c>
      <c r="U200" s="212">
        <f>IFERROR(IF([1]对账明细接口!$P200=0,"",[1]对账明细接口!$P200),"")</f>
      </c>
      <c r="V200" s="212">
        <f>IFERROR(IF([1]对账明细接口!$Q200=0,"",[1]对账明细接口!$Q200),"")</f>
        <v>312</v>
      </c>
      <c r="W200" s="20" t="str">
        <f>IFERROR(IF([1]对账明细接口!$R200=0,"",[1]对账明细接口!$R200),"")</f>
        <v>新N*K7V85</v>
      </c>
      <c r="X200" s="20" t="str">
        <f>IFERROR(IF([1]对账明细接口!$S200=0,"",[1]对账明细接口!$S200),"")</f>
        <v>公司筐</v>
      </c>
      <c r="Y200" s="20">
        <f>IFERROR(IF([1]对账明细接口!$T200=0,"",[1]对账明细接口!$T200),"")</f>
      </c>
      <c r="Z200" s="213">
        <f>IFERROR(IF([1]对账明细接口!$U200=0,"",[1]对账明细接口!$U200),"")</f>
      </c>
      <c r="AA200" s="213">
        <f>IFERROR(IF([1]对账明细接口!$V200=0,"",[1]对账明细接口!$V200),"")</f>
      </c>
      <c r="AB200" s="20">
        <f>IFERROR(IF([1]对账明细接口!$W200=0,"",[1]对账明细接口!$W200),"")</f>
      </c>
      <c r="AC200" s="7">
        <f>IFERROR(IF([1]对账明细接口!$X200=0,"",[1]对账明细接口!$X200),"")</f>
      </c>
      <c r="AD200" s="7">
        <f>IFERROR(IF([1]对账明细接口!$Y200=0,"",[1]对账明细接口!$Y200),"")</f>
      </c>
      <c r="AE200" s="7">
        <f>IFERROR(IF([1]对账明细接口!$AA200=0,"",[1]对账明细接口!$AA200),"")</f>
      </c>
      <c r="AF200" s="7">
        <f>IFERROR(IF([1]对账明细接口!$AB200=0,"",[1]对账明细接口!$AB200),"")</f>
      </c>
      <c r="AG200" s="7">
        <f>IFERROR(IF([1]对账明细接口!$AC200=0,"",[1]对账明细接口!$AC200),"")</f>
      </c>
      <c r="AH200" s="7">
        <f>IFERROR(IF([1]对账明细接口!$AD200=0,"",[1]对账明细接口!$AD200),"")</f>
      </c>
      <c r="AI200" s="7">
        <f>IFERROR(IF([1]对账明细接口!$AE200=0,"",[1]对账明细接口!$AE200),"")</f>
      </c>
      <c r="AJ200" s="7">
        <f>IFERROR(IF([1]对账明细接口!$AF200=0,"",[1]对账明细接口!$AF200),"")</f>
      </c>
    </row>
    <row r="201" ht="14.25" customHeight="1" s="127">
      <c r="A201" s="14" t="n">
        <v>201</v>
      </c>
      <c r="B201" s="211">
        <f>IFERROR(IF([1]对账明细接口!$B$201=0,"",[1]对账明细接口!$B$201),"")</f>
        <v>46277.0</v>
      </c>
      <c r="C201" s="16" t="str">
        <f>IFERROR(IF([1]对账明细接口!$C$201=0,"",[1]对账明细接口!$C$201),"")</f>
        <v>马锦祥</v>
      </c>
      <c r="D201" s="16" t="str">
        <f>IFERROR(IF([1]对账明细接口!$D$201=0,"",[1]对账明细接口!$D$201),"")</f>
        <v>原料入库</v>
      </c>
      <c r="E201" s="16" t="str">
        <f>IFERROR(IF([1]对账明细接口!$E$201=0,"",[1]对账明细接口!$E$201),"")</f>
        <v>NO:0000790</v>
      </c>
      <c r="F201" s="16" t="str">
        <f>IFERROR(IF([1]对账明细接口!$F$201=0,"",[1]对账明细接口!$F$201),"")</f>
        <v>香梨</v>
      </c>
      <c r="G201" s="16" t="str">
        <f>IFERROR(IF([1]对账明细接口!$G$201=0,"",[1]对账明细接口!$G$201),"")</f>
        <v>香梨二级</v>
      </c>
      <c r="H201" s="176">
        <f>IFERROR(IF([1]对账明细接口!$H$201=0,"",[1]对账明细接口!$H$201),"")</f>
        <v>53</v>
      </c>
      <c r="I201" s="16" t="str">
        <f>IFERROR(IF([1]对账明细接口!$I$201=0,"",[1]对账明细接口!$I$201),"")</f>
        <v>筐</v>
      </c>
      <c r="J201" s="177">
        <f>IFERROR(IF([1]对账明细接口!$J$201=0,"",[1]对账明细接口!$J$201),"")</f>
        <v>1181.9</v>
      </c>
      <c r="K201" s="177">
        <f>IFERROR(IF([1]对账明细接口!$K$201=0,"",[1]对账明细接口!$K$201),"")</f>
      </c>
      <c r="L201" s="16">
        <f>IFERROR(IF([1]对账明细接口!$L$201=0,"",[1]对账明细接口!$L$201),"")</f>
      </c>
      <c r="M201" s="16">
        <f>IFERROR(IF([1]对账明细接口!$M$201=0,"",[1]对账明细接口!$M$201),"")</f>
      </c>
      <c r="N201" s="19">
        <f>IF($C201="",0,1)</f>
        <v>1</v>
      </c>
      <c r="O201" s="19">
        <f>N(O200)+$N201</f>
        <v>198</v>
      </c>
      <c r="S201" s="20" t="str">
        <f>IFERROR(IF([1]对账明细接口!$N201=0,"",[1]对账明细接口!$N201),"")</f>
        <v>公司杂周转筐</v>
      </c>
      <c r="T201" s="212">
        <f>IFERROR(IF([1]对账明细接口!$O201=0,"",[1]对账明细接口!$O201),"")</f>
      </c>
      <c r="U201" s="212">
        <f>IFERROR(IF([1]对账明细接口!$P201=0,"",[1]对账明细接口!$P201),"")</f>
      </c>
      <c r="V201" s="212">
        <f>IFERROR(IF([1]对账明细接口!$Q201=0,"",[1]对账明细接口!$Q201),"")</f>
        <v>53</v>
      </c>
      <c r="W201" s="20" t="str">
        <f>IFERROR(IF([1]对账明细接口!$R201=0,"",[1]对账明细接口!$R201),"")</f>
        <v>新N*K7V85</v>
      </c>
      <c r="X201" s="20" t="str">
        <f>IFERROR(IF([1]对账明细接口!$S201=0,"",[1]对账明细接口!$S201),"")</f>
        <v>公司筐</v>
      </c>
      <c r="Y201" s="20">
        <f>IFERROR(IF([1]对账明细接口!$T201=0,"",[1]对账明细接口!$T201),"")</f>
      </c>
      <c r="Z201" s="213">
        <f>IFERROR(IF([1]对账明细接口!$U201=0,"",[1]对账明细接口!$U201),"")</f>
      </c>
      <c r="AA201" s="213">
        <f>IFERROR(IF([1]对账明细接口!$V201=0,"",[1]对账明细接口!$V201),"")</f>
      </c>
      <c r="AB201" s="20">
        <f>IFERROR(IF([1]对账明细接口!$W201=0,"",[1]对账明细接口!$W201),"")</f>
      </c>
      <c r="AC201" s="7">
        <f>IFERROR(IF([1]对账明细接口!$X201=0,"",[1]对账明细接口!$X201),"")</f>
      </c>
      <c r="AD201" s="7">
        <f>IFERROR(IF([1]对账明细接口!$Y201=0,"",[1]对账明细接口!$Y201),"")</f>
      </c>
      <c r="AE201" s="7">
        <f>IFERROR(IF([1]对账明细接口!$AA201=0,"",[1]对账明细接口!$AA201),"")</f>
      </c>
      <c r="AF201" s="7">
        <f>IFERROR(IF([1]对账明细接口!$AB201=0,"",[1]对账明细接口!$AB201),"")</f>
      </c>
      <c r="AG201" s="7">
        <f>IFERROR(IF([1]对账明细接口!$AC201=0,"",[1]对账明细接口!$AC201),"")</f>
      </c>
      <c r="AH201" s="7">
        <f>IFERROR(IF([1]对账明细接口!$AD201=0,"",[1]对账明细接口!$AD201),"")</f>
      </c>
      <c r="AI201" s="7">
        <f>IFERROR(IF([1]对账明细接口!$AE201=0,"",[1]对账明细接口!$AE201),"")</f>
      </c>
      <c r="AJ201" s="7">
        <f>IFERROR(IF([1]对账明细接口!$AF201=0,"",[1]对账明细接口!$AF201),"")</f>
      </c>
    </row>
    <row r="202" ht="14.25" customHeight="1" s="127">
      <c r="A202" s="14" t="n">
        <v>202</v>
      </c>
      <c r="B202" s="211">
        <f>IFERROR(IF([1]对账明细接口!$B$202=0,"",[1]对账明细接口!$B$202),"")</f>
        <v>46277.0</v>
      </c>
      <c r="C202" s="16" t="str">
        <f>IFERROR(IF([1]对账明细接口!$C$202=0,"",[1]对账明细接口!$C$202),"")</f>
        <v>马锦祥</v>
      </c>
      <c r="D202" s="16" t="str">
        <f>IFERROR(IF([1]对账明细接口!$D$202=0,"",[1]对账明细接口!$D$202),"")</f>
        <v>原料入库</v>
      </c>
      <c r="E202" s="16" t="str">
        <f>IFERROR(IF([1]对账明细接口!$E$202=0,"",[1]对账明细接口!$E$202),"")</f>
        <v>NO:0000790</v>
      </c>
      <c r="F202" s="16" t="str">
        <f>IFERROR(IF([1]对账明细接口!$F$202=0,"",[1]对账明细接口!$F$202),"")</f>
        <v>香梨</v>
      </c>
      <c r="G202" s="16" t="str">
        <f>IFERROR(IF([1]对账明细接口!$G$202=0,"",[1]对账明细接口!$G$202),"")</f>
        <v>香梨副特</v>
      </c>
      <c r="H202" s="176">
        <f>IFERROR(IF([1]对账明细接口!$H$202=0,"",[1]对账明细接口!$H$202),"")</f>
        <v>35</v>
      </c>
      <c r="I202" s="16" t="str">
        <f>IFERROR(IF([1]对账明细接口!$I$202=0,"",[1]对账明细接口!$I$202),"")</f>
        <v>筐</v>
      </c>
      <c r="J202" s="177">
        <f>IFERROR(IF([1]对账明细接口!$J$202=0,"",[1]对账明细接口!$J$202),"")</f>
        <v>640.5</v>
      </c>
      <c r="K202" s="177">
        <f>IFERROR(IF([1]对账明细接口!$K$202=0,"",[1]对账明细接口!$K$202),"")</f>
      </c>
      <c r="L202" s="16">
        <f>IFERROR(IF([1]对账明细接口!$L$202=0,"",[1]对账明细接口!$L$202),"")</f>
      </c>
      <c r="M202" s="16">
        <f>IFERROR(IF([1]对账明细接口!$M$202=0,"",[1]对账明细接口!$M$202),"")</f>
      </c>
      <c r="N202" s="19">
        <f>IF($C202="",0,1)</f>
        <v>1</v>
      </c>
      <c r="O202" s="19">
        <f>N(O201)+$N202</f>
        <v>199</v>
      </c>
      <c r="S202" s="20" t="str">
        <f>IFERROR(IF([1]对账明细接口!$N202=0,"",[1]对账明细接口!$N202),"")</f>
        <v>公司杂周转筐</v>
      </c>
      <c r="T202" s="212">
        <f>IFERROR(IF([1]对账明细接口!$O202=0,"",[1]对账明细接口!$O202),"")</f>
      </c>
      <c r="U202" s="212">
        <f>IFERROR(IF([1]对账明细接口!$P202=0,"",[1]对账明细接口!$P202),"")</f>
      </c>
      <c r="V202" s="212">
        <f>IFERROR(IF([1]对账明细接口!$Q202=0,"",[1]对账明细接口!$Q202),"")</f>
        <v>35</v>
      </c>
      <c r="W202" s="20" t="str">
        <f>IFERROR(IF([1]对账明细接口!$R202=0,"",[1]对账明细接口!$R202),"")</f>
        <v>新N*K7V85</v>
      </c>
      <c r="X202" s="20" t="str">
        <f>IFERROR(IF([1]对账明细接口!$S202=0,"",[1]对账明细接口!$S202),"")</f>
        <v>公司筐</v>
      </c>
      <c r="Y202" s="20">
        <f>IFERROR(IF([1]对账明细接口!$T202=0,"",[1]对账明细接口!$T202),"")</f>
      </c>
      <c r="Z202" s="213">
        <f>IFERROR(IF([1]对账明细接口!$U202=0,"",[1]对账明细接口!$U202),"")</f>
      </c>
      <c r="AA202" s="213">
        <f>IFERROR(IF([1]对账明细接口!$V202=0,"",[1]对账明细接口!$V202),"")</f>
      </c>
      <c r="AB202" s="20">
        <f>IFERROR(IF([1]对账明细接口!$W202=0,"",[1]对账明细接口!$W202),"")</f>
      </c>
      <c r="AC202" s="7">
        <f>IFERROR(IF([1]对账明细接口!$X202=0,"",[1]对账明细接口!$X202),"")</f>
      </c>
      <c r="AD202" s="7">
        <f>IFERROR(IF([1]对账明细接口!$Y202=0,"",[1]对账明细接口!$Y202),"")</f>
      </c>
      <c r="AE202" s="7">
        <f>IFERROR(IF([1]对账明细接口!$AA202=0,"",[1]对账明细接口!$AA202),"")</f>
      </c>
      <c r="AF202" s="7">
        <f>IFERROR(IF([1]对账明细接口!$AB202=0,"",[1]对账明细接口!$AB202),"")</f>
      </c>
      <c r="AG202" s="7">
        <f>IFERROR(IF([1]对账明细接口!$AC202=0,"",[1]对账明细接口!$AC202),"")</f>
      </c>
      <c r="AH202" s="7">
        <f>IFERROR(IF([1]对账明细接口!$AD202=0,"",[1]对账明细接口!$AD202),"")</f>
      </c>
      <c r="AI202" s="7">
        <f>IFERROR(IF([1]对账明细接口!$AE202=0,"",[1]对账明细接口!$AE202),"")</f>
      </c>
      <c r="AJ202" s="7">
        <f>IFERROR(IF([1]对账明细接口!$AF202=0,"",[1]对账明细接口!$AF202),"")</f>
      </c>
    </row>
    <row r="203" ht="14.25" customHeight="1" s="127">
      <c r="A203" s="14" t="n">
        <v>203</v>
      </c>
      <c r="B203" s="211">
        <f>IFERROR(IF([1]对账明细接口!$B$203=0,"",[1]对账明细接口!$B$203),"")</f>
        <v>46277.0</v>
      </c>
      <c r="C203" s="16" t="str">
        <f>IFERROR(IF([1]对账明细接口!$C$203=0,"",[1]对账明细接口!$C$203),"")</f>
        <v>王照雪</v>
      </c>
      <c r="D203" s="16" t="str">
        <f>IFERROR(IF([1]对账明细接口!$D$203=0,"",[1]对账明细接口!$D$203),"")</f>
        <v>原料入库</v>
      </c>
      <c r="E203" s="16" t="str">
        <f>IFERROR(IF([1]对账明细接口!$E$203=0,"",[1]对账明细接口!$E$203),"")</f>
        <v>NO:0000792</v>
      </c>
      <c r="F203" s="16" t="str">
        <f>IFERROR(IF([1]对账明细接口!$F$203=0,"",[1]对账明细接口!$F$203),"")</f>
        <v>苹果</v>
      </c>
      <c r="G203" s="16" t="str">
        <f>IFERROR(IF([1]对账明细接口!$G$203=0,"",[1]对账明细接口!$G$203),"")</f>
        <v>新世纪一级</v>
      </c>
      <c r="H203" s="176">
        <f>IFERROR(IF([1]对账明细接口!$H$203=0,"",[1]对账明细接口!$H$203),"")</f>
        <v>110</v>
      </c>
      <c r="I203" s="16" t="str">
        <f>IFERROR(IF([1]对账明细接口!$I$203=0,"",[1]对账明细接口!$I$203),"")</f>
        <v>筐</v>
      </c>
      <c r="J203" s="177">
        <f>IFERROR(IF([1]对账明细接口!$J$203=0,"",[1]对账明细接口!$J$203),"")</f>
        <v>1903</v>
      </c>
      <c r="K203" s="177">
        <f>IFERROR(IF([1]对账明细接口!$K$203=0,"",[1]对账明细接口!$K$203),"")</f>
      </c>
      <c r="L203" s="16">
        <f>IFERROR(IF([1]对账明细接口!$L$203=0,"",[1]对账明细接口!$L$203),"")</f>
      </c>
      <c r="M203" s="16" t="str">
        <f>IFERROR(IF([1]对账明细接口!$M$203=0,"",[1]对账明细接口!$M$203),"")</f>
        <v>光果</v>
      </c>
      <c r="N203" s="19">
        <f>IF($C203="",0,1)</f>
        <v>1</v>
      </c>
      <c r="O203" s="19">
        <f>N(O202)+$N203</f>
        <v>200</v>
      </c>
      <c r="S203" s="20" t="str">
        <f>IFERROR(IF([1]对账明细接口!$N203=0,"",[1]对账明细接口!$N203),"")</f>
        <v>公司杂周转筐</v>
      </c>
      <c r="T203" s="212">
        <f>IFERROR(IF([1]对账明细接口!$O203=0,"",[1]对账明细接口!$O203),"")</f>
      </c>
      <c r="U203" s="212">
        <f>IFERROR(IF([1]对账明细接口!$P203=0,"",[1]对账明细接口!$P203),"")</f>
      </c>
      <c r="V203" s="212">
        <f>IFERROR(IF([1]对账明细接口!$Q203=0,"",[1]对账明细接口!$Q203),"")</f>
        <v>110</v>
      </c>
      <c r="W203" s="20" t="str">
        <f>IFERROR(IF([1]对账明细接口!$R203=0,"",[1]对账明细接口!$R203),"")</f>
        <v>豫L*88X19</v>
      </c>
      <c r="X203" s="20" t="str">
        <f>IFERROR(IF([1]对账明细接口!$S203=0,"",[1]对账明细接口!$S203),"")</f>
        <v>公司筐</v>
      </c>
      <c r="Y203" s="20">
        <f>IFERROR(IF([1]对账明细接口!$T203=0,"",[1]对账明细接口!$T203),"")</f>
      </c>
      <c r="Z203" s="213">
        <f>IFERROR(IF([1]对账明细接口!$U203=0,"",[1]对账明细接口!$U203),"")</f>
      </c>
      <c r="AA203" s="213">
        <f>IFERROR(IF([1]对账明细接口!$V203=0,"",[1]对账明细接口!$V203),"")</f>
      </c>
      <c r="AB203" s="20">
        <f>IFERROR(IF([1]对账明细接口!$W203=0,"",[1]对账明细接口!$W203),"")</f>
      </c>
      <c r="AC203" s="7">
        <f>IFERROR(IF([1]对账明细接口!$X203=0,"",[1]对账明细接口!$X203),"")</f>
      </c>
      <c r="AD203" s="7">
        <f>IFERROR(IF([1]对账明细接口!$Y203=0,"",[1]对账明细接口!$Y203),"")</f>
      </c>
      <c r="AE203" s="7">
        <f>IFERROR(IF([1]对账明细接口!$AA203=0,"",[1]对账明细接口!$AA203),"")</f>
      </c>
      <c r="AF203" s="7">
        <f>IFERROR(IF([1]对账明细接口!$AB203=0,"",[1]对账明细接口!$AB203),"")</f>
      </c>
      <c r="AG203" s="7">
        <f>IFERROR(IF([1]对账明细接口!$AC203=0,"",[1]对账明细接口!$AC203),"")</f>
      </c>
      <c r="AH203" s="7">
        <f>IFERROR(IF([1]对账明细接口!$AD203=0,"",[1]对账明细接口!$AD203),"")</f>
      </c>
      <c r="AI203" s="7">
        <f>IFERROR(IF([1]对账明细接口!$AE203=0,"",[1]对账明细接口!$AE203),"")</f>
      </c>
      <c r="AJ203" s="7">
        <f>IFERROR(IF([1]对账明细接口!$AF203=0,"",[1]对账明细接口!$AF203),"")</f>
      </c>
    </row>
    <row r="204" ht="14.25" customHeight="1" s="127">
      <c r="A204" s="14" t="n">
        <v>204</v>
      </c>
      <c r="B204" s="211">
        <f>IFERROR(IF([1]对账明细接口!$B$204=0,"",[1]对账明细接口!$B$204),"")</f>
        <v>46277.0</v>
      </c>
      <c r="C204" s="16" t="str">
        <f>IFERROR(IF([1]对账明细接口!$C$204=0,"",[1]对账明细接口!$C$204),"")</f>
        <v>王照雪</v>
      </c>
      <c r="D204" s="16" t="str">
        <f>IFERROR(IF([1]对账明细接口!$D$204=0,"",[1]对账明细接口!$D$204),"")</f>
        <v>原料入库</v>
      </c>
      <c r="E204" s="16" t="str">
        <f>IFERROR(IF([1]对账明细接口!$E$204=0,"",[1]对账明细接口!$E$204),"")</f>
        <v>NO:0000792</v>
      </c>
      <c r="F204" s="16" t="str">
        <f>IFERROR(IF([1]对账明细接口!$F$204=0,"",[1]对账明细接口!$F$204),"")</f>
        <v>苹果</v>
      </c>
      <c r="G204" s="16" t="str">
        <f>IFERROR(IF([1]对账明细接口!$G$204=0,"",[1]对账明细接口!$G$204),"")</f>
        <v>新世纪二级</v>
      </c>
      <c r="H204" s="176">
        <f>IFERROR(IF([1]对账明细接口!$H$204=0,"",[1]对账明细接口!$H$204),"")</f>
        <v>58</v>
      </c>
      <c r="I204" s="16" t="str">
        <f>IFERROR(IF([1]对账明细接口!$I$204=0,"",[1]对账明细接口!$I$204),"")</f>
        <v>筐</v>
      </c>
      <c r="J204" s="177">
        <f>IFERROR(IF([1]对账明细接口!$J$204=0,"",[1]对账明细接口!$J$204),"")</f>
        <v>1293.4</v>
      </c>
      <c r="K204" s="177">
        <f>IFERROR(IF([1]对账明细接口!$K$204=0,"",[1]对账明细接口!$K$204),"")</f>
      </c>
      <c r="L204" s="16">
        <f>IFERROR(IF([1]对账明细接口!$L$204=0,"",[1]对账明细接口!$L$204),"")</f>
      </c>
      <c r="M204" s="16" t="str">
        <f>IFERROR(IF([1]对账明细接口!$M$204=0,"",[1]对账明细接口!$M$204),"")</f>
        <v>光果</v>
      </c>
      <c r="N204" s="19">
        <f>IF($C204="",0,1)</f>
        <v>1</v>
      </c>
      <c r="O204" s="19">
        <f>N(O203)+$N204</f>
        <v>201</v>
      </c>
      <c r="S204" s="20" t="str">
        <f>IFERROR(IF([1]对账明细接口!$N204=0,"",[1]对账明细接口!$N204),"")</f>
        <v>公司杂周转筐</v>
      </c>
      <c r="T204" s="212">
        <f>IFERROR(IF([1]对账明细接口!$O204=0,"",[1]对账明细接口!$O204),"")</f>
      </c>
      <c r="U204" s="212">
        <f>IFERROR(IF([1]对账明细接口!$P204=0,"",[1]对账明细接口!$P204),"")</f>
      </c>
      <c r="V204" s="212">
        <f>IFERROR(IF([1]对账明细接口!$Q204=0,"",[1]对账明细接口!$Q204),"")</f>
        <v>58</v>
      </c>
      <c r="W204" s="20" t="str">
        <f>IFERROR(IF([1]对账明细接口!$R204=0,"",[1]对账明细接口!$R204),"")</f>
        <v>豫L*88X19</v>
      </c>
      <c r="X204" s="20" t="str">
        <f>IFERROR(IF([1]对账明细接口!$S204=0,"",[1]对账明细接口!$S204),"")</f>
        <v>公司筐</v>
      </c>
      <c r="Y204" s="20">
        <f>IFERROR(IF([1]对账明细接口!$T204=0,"",[1]对账明细接口!$T204),"")</f>
      </c>
      <c r="Z204" s="213">
        <f>IFERROR(IF([1]对账明细接口!$U204=0,"",[1]对账明细接口!$U204),"")</f>
      </c>
      <c r="AA204" s="213">
        <f>IFERROR(IF([1]对账明细接口!$V204=0,"",[1]对账明细接口!$V204),"")</f>
      </c>
      <c r="AB204" s="20">
        <f>IFERROR(IF([1]对账明细接口!$W204=0,"",[1]对账明细接口!$W204),"")</f>
      </c>
      <c r="AC204" s="7">
        <f>IFERROR(IF([1]对账明细接口!$X204=0,"",[1]对账明细接口!$X204),"")</f>
      </c>
      <c r="AD204" s="7">
        <f>IFERROR(IF([1]对账明细接口!$Y204=0,"",[1]对账明细接口!$Y204),"")</f>
      </c>
      <c r="AE204" s="7">
        <f>IFERROR(IF([1]对账明细接口!$AA204=0,"",[1]对账明细接口!$AA204),"")</f>
      </c>
      <c r="AF204" s="7">
        <f>IFERROR(IF([1]对账明细接口!$AB204=0,"",[1]对账明细接口!$AB204),"")</f>
      </c>
      <c r="AG204" s="7">
        <f>IFERROR(IF([1]对账明细接口!$AC204=0,"",[1]对账明细接口!$AC204),"")</f>
      </c>
      <c r="AH204" s="7">
        <f>IFERROR(IF([1]对账明细接口!$AD204=0,"",[1]对账明细接口!$AD204),"")</f>
      </c>
      <c r="AI204" s="7">
        <f>IFERROR(IF([1]对账明细接口!$AE204=0,"",[1]对账明细接口!$AE204),"")</f>
      </c>
      <c r="AJ204" s="7">
        <f>IFERROR(IF([1]对账明细接口!$AF204=0,"",[1]对账明细接口!$AF204),"")</f>
      </c>
    </row>
    <row r="205" ht="14.25" customHeight="1" s="127">
      <c r="A205" s="14" t="n">
        <v>205</v>
      </c>
      <c r="B205" s="211">
        <f>IFERROR(IF([1]对账明细接口!$B$205=0,"",[1]对账明细接口!$B$205),"")</f>
        <v>46277.0</v>
      </c>
      <c r="C205" s="16" t="str">
        <f>IFERROR(IF([1]对账明细接口!$C$205=0,"",[1]对账明细接口!$C$205),"")</f>
        <v>麦麦提</v>
      </c>
      <c r="D205" s="16" t="str">
        <f>IFERROR(IF([1]对账明细接口!$D$205=0,"",[1]对账明细接口!$D$205),"")</f>
        <v>原料入库</v>
      </c>
      <c r="E205" s="16" t="str">
        <f>IFERROR(IF([1]对账明细接口!$E$205=0,"",[1]对账明细接口!$E$205),"")</f>
        <v>NO:0000793</v>
      </c>
      <c r="F205" s="16" t="str">
        <f>IFERROR(IF([1]对账明细接口!$F$205=0,"",[1]对账明细接口!$F$205),"")</f>
        <v>香梨</v>
      </c>
      <c r="G205" s="16" t="str">
        <f>IFERROR(IF([1]对账明细接口!$G$205=0,"",[1]对账明细接口!$G$205),"")</f>
        <v>香梨特级</v>
      </c>
      <c r="H205" s="176">
        <f>IFERROR(IF([1]对账明细接口!$H$205=0,"",[1]对账明细接口!$H$205),"")</f>
        <v>291</v>
      </c>
      <c r="I205" s="16" t="str">
        <f>IFERROR(IF([1]对账明细接口!$I$205=0,"",[1]对账明细接口!$I$205),"")</f>
        <v>筐</v>
      </c>
      <c r="J205" s="177">
        <f>IFERROR(IF([1]对账明细接口!$J$205=0,"",[1]对账明细接口!$J$205),"")</f>
        <v>5325.3</v>
      </c>
      <c r="K205" s="177">
        <f>IFERROR(IF([1]对账明细接口!$K$205=0,"",[1]对账明细接口!$K$205),"")</f>
      </c>
      <c r="L205" s="16">
        <f>IFERROR(IF([1]对账明细接口!$L$205=0,"",[1]对账明细接口!$L$205),"")</f>
      </c>
      <c r="M205" s="16">
        <f>IFERROR(IF([1]对账明细接口!$M$205=0,"",[1]对账明细接口!$M$205),"")</f>
      </c>
      <c r="N205" s="19">
        <f>IF($C205="",0,1)</f>
        <v>1</v>
      </c>
      <c r="O205" s="19">
        <f>N(O204)+$N205</f>
        <v>202</v>
      </c>
      <c r="S205" s="20" t="str">
        <f>IFERROR(IF([1]对账明细接口!$N205=0,"",[1]对账明细接口!$N205),"")</f>
        <v>公司红周转筐</v>
      </c>
      <c r="T205" s="212">
        <f>IFERROR(IF([1]对账明细接口!$O205=0,"",[1]对账明细接口!$O205),"")</f>
      </c>
      <c r="U205" s="212">
        <f>IFERROR(IF([1]对账明细接口!$P205=0,"",[1]对账明细接口!$P205),"")</f>
      </c>
      <c r="V205" s="212">
        <f>IFERROR(IF([1]对账明细接口!$Q205=0,"",[1]对账明细接口!$Q205),"")</f>
        <v>291</v>
      </c>
      <c r="W205" s="20" t="str">
        <f>IFERROR(IF([1]对账明细接口!$R205=0,"",[1]对账明细接口!$R205),"")</f>
        <v>新A*G0554</v>
      </c>
      <c r="X205" s="20" t="str">
        <f>IFERROR(IF([1]对账明细接口!$S205=0,"",[1]对账明细接口!$S205),"")</f>
        <v>公司筐</v>
      </c>
      <c r="Y205" s="20">
        <f>IFERROR(IF([1]对账明细接口!$T205=0,"",[1]对账明细接口!$T205),"")</f>
      </c>
      <c r="Z205" s="213">
        <f>IFERROR(IF([1]对账明细接口!$U205=0,"",[1]对账明细接口!$U205),"")</f>
      </c>
      <c r="AA205" s="213">
        <f>IFERROR(IF([1]对账明细接口!$V205=0,"",[1]对账明细接口!$V205),"")</f>
      </c>
      <c r="AB205" s="20">
        <f>IFERROR(IF([1]对账明细接口!$W205=0,"",[1]对账明细接口!$W205),"")</f>
      </c>
      <c r="AC205" s="7">
        <f>IFERROR(IF([1]对账明细接口!$X205=0,"",[1]对账明细接口!$X205),"")</f>
      </c>
      <c r="AD205" s="7">
        <f>IFERROR(IF([1]对账明细接口!$Y205=0,"",[1]对账明细接口!$Y205),"")</f>
      </c>
      <c r="AE205" s="7">
        <f>IFERROR(IF([1]对账明细接口!$AA205=0,"",[1]对账明细接口!$AA205),"")</f>
      </c>
      <c r="AF205" s="7">
        <f>IFERROR(IF([1]对账明细接口!$AB205=0,"",[1]对账明细接口!$AB205),"")</f>
      </c>
      <c r="AG205" s="7">
        <f>IFERROR(IF([1]对账明细接口!$AC205=0,"",[1]对账明细接口!$AC205),"")</f>
      </c>
      <c r="AH205" s="7">
        <f>IFERROR(IF([1]对账明细接口!$AD205=0,"",[1]对账明细接口!$AD205),"")</f>
      </c>
      <c r="AI205" s="7">
        <f>IFERROR(IF([1]对账明细接口!$AE205=0,"",[1]对账明细接口!$AE205),"")</f>
      </c>
      <c r="AJ205" s="7">
        <f>IFERROR(IF([1]对账明细接口!$AF205=0,"",[1]对账明细接口!$AF205),"")</f>
      </c>
    </row>
    <row r="206" ht="14.25" customHeight="1" s="127">
      <c r="A206" s="14" t="n">
        <v>206</v>
      </c>
      <c r="B206" s="211">
        <f>IFERROR(IF([1]对账明细接口!$B$206=0,"",[1]对账明细接口!$B$206),"")</f>
        <v>46277.0</v>
      </c>
      <c r="C206" s="16" t="str">
        <f>IFERROR(IF([1]对账明细接口!$C$206=0,"",[1]对账明细接口!$C$206),"")</f>
        <v>麦麦提</v>
      </c>
      <c r="D206" s="16" t="str">
        <f>IFERROR(IF([1]对账明细接口!$D$206=0,"",[1]对账明细接口!$D$206),"")</f>
        <v>原料入库</v>
      </c>
      <c r="E206" s="16" t="str">
        <f>IFERROR(IF([1]对账明细接口!$E$206=0,"",[1]对账明细接口!$E$206),"")</f>
        <v>NO:0000793</v>
      </c>
      <c r="F206" s="16" t="str">
        <f>IFERROR(IF([1]对账明细接口!$F$206=0,"",[1]对账明细接口!$F$206),"")</f>
        <v>香梨</v>
      </c>
      <c r="G206" s="16" t="str">
        <f>IFERROR(IF([1]对账明细接口!$G$206=0,"",[1]对账明细接口!$G$206),"")</f>
        <v>香梨一级</v>
      </c>
      <c r="H206" s="176">
        <f>IFERROR(IF([1]对账明细接口!$H$206=0,"",[1]对账明细接口!$H$206),"")</f>
        <v>194</v>
      </c>
      <c r="I206" s="16" t="str">
        <f>IFERROR(IF([1]对账明细接口!$I$206=0,"",[1]对账明细接口!$I$206),"")</f>
        <v>筐</v>
      </c>
      <c r="J206" s="177">
        <f>IFERROR(IF([1]对账明细接口!$J$206=0,"",[1]对账明细接口!$J$206),"")</f>
        <v>3550.2</v>
      </c>
      <c r="K206" s="177">
        <f>IFERROR(IF([1]对账明细接口!$K$206=0,"",[1]对账明细接口!$K$206),"")</f>
      </c>
      <c r="L206" s="16">
        <f>IFERROR(IF([1]对账明细接口!$L$206=0,"",[1]对账明细接口!$L$206),"")</f>
      </c>
      <c r="M206" s="16">
        <f>IFERROR(IF([1]对账明细接口!$M$206=0,"",[1]对账明细接口!$M$206),"")</f>
      </c>
      <c r="N206" s="19">
        <f>IF($C206="",0,1)</f>
        <v>1</v>
      </c>
      <c r="O206" s="19">
        <f>N(O205)+$N206</f>
        <v>203</v>
      </c>
      <c r="S206" s="20" t="str">
        <f>IFERROR(IF([1]对账明细接口!$N206=0,"",[1]对账明细接口!$N206),"")</f>
        <v>公司红周转筐</v>
      </c>
      <c r="T206" s="212">
        <f>IFERROR(IF([1]对账明细接口!$O206=0,"",[1]对账明细接口!$O206),"")</f>
      </c>
      <c r="U206" s="212">
        <f>IFERROR(IF([1]对账明细接口!$P206=0,"",[1]对账明细接口!$P206),"")</f>
      </c>
      <c r="V206" s="212">
        <f>IFERROR(IF([1]对账明细接口!$Q206=0,"",[1]对账明细接口!$Q206),"")</f>
        <v>194</v>
      </c>
      <c r="W206" s="20" t="str">
        <f>IFERROR(IF([1]对账明细接口!$R206=0,"",[1]对账明细接口!$R206),"")</f>
        <v>新A*G0554</v>
      </c>
      <c r="X206" s="20" t="str">
        <f>IFERROR(IF([1]对账明细接口!$S206=0,"",[1]对账明细接口!$S206),"")</f>
        <v>公司筐</v>
      </c>
      <c r="Y206" s="20">
        <f>IFERROR(IF([1]对账明细接口!$T206=0,"",[1]对账明细接口!$T206),"")</f>
      </c>
      <c r="Z206" s="213">
        <f>IFERROR(IF([1]对账明细接口!$U206=0,"",[1]对账明细接口!$U206),"")</f>
      </c>
      <c r="AA206" s="213">
        <f>IFERROR(IF([1]对账明细接口!$V206=0,"",[1]对账明细接口!$V206),"")</f>
      </c>
      <c r="AB206" s="20">
        <f>IFERROR(IF([1]对账明细接口!$W206=0,"",[1]对账明细接口!$W206),"")</f>
      </c>
      <c r="AC206" s="7">
        <f>IFERROR(IF([1]对账明细接口!$X206=0,"",[1]对账明细接口!$X206),"")</f>
      </c>
      <c r="AD206" s="7">
        <f>IFERROR(IF([1]对账明细接口!$Y206=0,"",[1]对账明细接口!$Y206),"")</f>
      </c>
      <c r="AE206" s="7">
        <f>IFERROR(IF([1]对账明细接口!$AA206=0,"",[1]对账明细接口!$AA206),"")</f>
      </c>
      <c r="AF206" s="7">
        <f>IFERROR(IF([1]对账明细接口!$AB206=0,"",[1]对账明细接口!$AB206),"")</f>
      </c>
      <c r="AG206" s="7">
        <f>IFERROR(IF([1]对账明细接口!$AC206=0,"",[1]对账明细接口!$AC206),"")</f>
      </c>
      <c r="AH206" s="7">
        <f>IFERROR(IF([1]对账明细接口!$AD206=0,"",[1]对账明细接口!$AD206),"")</f>
      </c>
      <c r="AI206" s="7">
        <f>IFERROR(IF([1]对账明细接口!$AE206=0,"",[1]对账明细接口!$AE206),"")</f>
      </c>
      <c r="AJ206" s="7">
        <f>IFERROR(IF([1]对账明细接口!$AF206=0,"",[1]对账明细接口!$AF206),"")</f>
      </c>
    </row>
    <row r="207" ht="14.25" customHeight="1" s="127">
      <c r="A207" s="14" t="n">
        <v>207</v>
      </c>
      <c r="B207" s="211">
        <f>IFERROR(IF([1]对账明细接口!$B$207=0,"",[1]对账明细接口!$B$207),"")</f>
        <v>46277.0</v>
      </c>
      <c r="C207" s="16" t="str">
        <f>IFERROR(IF([1]对账明细接口!$C$207=0,"",[1]对账明细接口!$C$207),"")</f>
        <v>麦麦提</v>
      </c>
      <c r="D207" s="16" t="str">
        <f>IFERROR(IF([1]对账明细接口!$D$207=0,"",[1]对账明细接口!$D$207),"")</f>
        <v>原料入库</v>
      </c>
      <c r="E207" s="16" t="str">
        <f>IFERROR(IF([1]对账明细接口!$E$207=0,"",[1]对账明细接口!$E$207),"")</f>
        <v>NO:0000793</v>
      </c>
      <c r="F207" s="16" t="str">
        <f>IFERROR(IF([1]对账明细接口!$F$207=0,"",[1]对账明细接口!$F$207),"")</f>
        <v>香梨</v>
      </c>
      <c r="G207" s="16" t="str">
        <f>IFERROR(IF([1]对账明细接口!$G$207=0,"",[1]对账明细接口!$G$207),"")</f>
        <v>香梨二级</v>
      </c>
      <c r="H207" s="176">
        <f>IFERROR(IF([1]对账明细接口!$H$207=0,"",[1]对账明细接口!$H$207),"")</f>
        <v>168</v>
      </c>
      <c r="I207" s="16" t="str">
        <f>IFERROR(IF([1]对账明细接口!$I$207=0,"",[1]对账明细接口!$I$207),"")</f>
        <v>筐</v>
      </c>
      <c r="J207" s="177">
        <f>IFERROR(IF([1]对账明细接口!$J$207=0,"",[1]对账明细接口!$J$207),"")</f>
        <v>3746.4</v>
      </c>
      <c r="K207" s="177">
        <f>IFERROR(IF([1]对账明细接口!$K$207=0,"",[1]对账明细接口!$K$207),"")</f>
      </c>
      <c r="L207" s="16">
        <f>IFERROR(IF([1]对账明细接口!$L$207=0,"",[1]对账明细接口!$L$207),"")</f>
      </c>
      <c r="M207" s="16">
        <f>IFERROR(IF([1]对账明细接口!$M$207=0,"",[1]对账明细接口!$M$207),"")</f>
      </c>
      <c r="N207" s="19">
        <f>IF($C207="",0,1)</f>
        <v>1</v>
      </c>
      <c r="O207" s="19">
        <f>N(O206)+$N207</f>
        <v>204</v>
      </c>
      <c r="S207" s="20" t="str">
        <f>IFERROR(IF([1]对账明细接口!$N207=0,"",[1]对账明细接口!$N207),"")</f>
        <v>公司红周转筐</v>
      </c>
      <c r="T207" s="212">
        <f>IFERROR(IF([1]对账明细接口!$O207=0,"",[1]对账明细接口!$O207),"")</f>
      </c>
      <c r="U207" s="212">
        <f>IFERROR(IF([1]对账明细接口!$P207=0,"",[1]对账明细接口!$P207),"")</f>
      </c>
      <c r="V207" s="212">
        <f>IFERROR(IF([1]对账明细接口!$Q207=0,"",[1]对账明细接口!$Q207),"")</f>
        <v>168</v>
      </c>
      <c r="W207" s="20" t="str">
        <f>IFERROR(IF([1]对账明细接口!$R207=0,"",[1]对账明细接口!$R207),"")</f>
        <v>新A*G0554</v>
      </c>
      <c r="X207" s="20" t="str">
        <f>IFERROR(IF([1]对账明细接口!$S207=0,"",[1]对账明细接口!$S207),"")</f>
        <v>公司筐</v>
      </c>
      <c r="Y207" s="20">
        <f>IFERROR(IF([1]对账明细接口!$T207=0,"",[1]对账明细接口!$T207),"")</f>
      </c>
      <c r="Z207" s="213">
        <f>IFERROR(IF([1]对账明细接口!$U207=0,"",[1]对账明细接口!$U207),"")</f>
      </c>
      <c r="AA207" s="213">
        <f>IFERROR(IF([1]对账明细接口!$V207=0,"",[1]对账明细接口!$V207),"")</f>
      </c>
      <c r="AB207" s="20">
        <f>IFERROR(IF([1]对账明细接口!$W207=0,"",[1]对账明细接口!$W207),"")</f>
      </c>
      <c r="AC207" s="7">
        <f>IFERROR(IF([1]对账明细接口!$X207=0,"",[1]对账明细接口!$X207),"")</f>
      </c>
      <c r="AD207" s="7">
        <f>IFERROR(IF([1]对账明细接口!$Y207=0,"",[1]对账明细接口!$Y207),"")</f>
      </c>
      <c r="AE207" s="7">
        <f>IFERROR(IF([1]对账明细接口!$AA207=0,"",[1]对账明细接口!$AA207),"")</f>
      </c>
      <c r="AF207" s="7">
        <f>IFERROR(IF([1]对账明细接口!$AB207=0,"",[1]对账明细接口!$AB207),"")</f>
      </c>
      <c r="AG207" s="7">
        <f>IFERROR(IF([1]对账明细接口!$AC207=0,"",[1]对账明细接口!$AC207),"")</f>
      </c>
      <c r="AH207" s="7">
        <f>IFERROR(IF([1]对账明细接口!$AD207=0,"",[1]对账明细接口!$AD207),"")</f>
      </c>
      <c r="AI207" s="7">
        <f>IFERROR(IF([1]对账明细接口!$AE207=0,"",[1]对账明细接口!$AE207),"")</f>
      </c>
      <c r="AJ207" s="7">
        <f>IFERROR(IF([1]对账明细接口!$AF207=0,"",[1]对账明细接口!$AF207),"")</f>
      </c>
    </row>
    <row r="208" ht="14.25" customHeight="1" s="127">
      <c r="A208" s="14" t="n">
        <v>208</v>
      </c>
      <c r="B208" s="211">
        <f>IFERROR(IF([1]对账明细接口!$B$208=0,"",[1]对账明细接口!$B$208),"")</f>
        <v>46277.0</v>
      </c>
      <c r="C208" s="16" t="str">
        <f>IFERROR(IF([1]对账明细接口!$C$208=0,"",[1]对账明细接口!$C$208),"")</f>
        <v>王灵云</v>
      </c>
      <c r="D208" s="16" t="str">
        <f>IFERROR(IF([1]对账明细接口!$D$208=0,"",[1]对账明细接口!$D$208),"")</f>
        <v>原料入库</v>
      </c>
      <c r="E208" s="16" t="str">
        <f>IFERROR(IF([1]对账明细接口!$E$208=0,"",[1]对账明细接口!$E$208),"")</f>
        <v>NO:0000794</v>
      </c>
      <c r="F208" s="16" t="str">
        <f>IFERROR(IF([1]对账明细接口!$F$208=0,"",[1]对账明细接口!$F$208),"")</f>
        <v>香梨</v>
      </c>
      <c r="G208" s="16" t="str">
        <f>IFERROR(IF([1]对账明细接口!$G$208=0,"",[1]对账明细接口!$G$208),"")</f>
        <v>香梨一级</v>
      </c>
      <c r="H208" s="176">
        <f>IFERROR(IF([1]对账明细接口!$H$208=0,"",[1]对账明细接口!$H$208),"")</f>
        <v>384</v>
      </c>
      <c r="I208" s="16" t="str">
        <f>IFERROR(IF([1]对账明细接口!$I$208=0,"",[1]对账明细接口!$I$208),"")</f>
        <v>筐</v>
      </c>
      <c r="J208" s="177">
        <f>IFERROR(IF([1]对账明细接口!$J$208=0,"",[1]对账明细接口!$J$208),"")</f>
        <v>7027.2</v>
      </c>
      <c r="K208" s="177">
        <f>IFERROR(IF([1]对账明细接口!$K$208=0,"",[1]对账明细接口!$K$208),"")</f>
      </c>
      <c r="L208" s="16">
        <f>IFERROR(IF([1]对账明细接口!$L$208=0,"",[1]对账明细接口!$L$208),"")</f>
      </c>
      <c r="M208" s="16">
        <f>IFERROR(IF([1]对账明细接口!$M$208=0,"",[1]对账明细接口!$M$208),"")</f>
      </c>
      <c r="N208" s="19">
        <f>IF($C208="",0,1)</f>
        <v>1</v>
      </c>
      <c r="O208" s="19">
        <f>N(O207)+$N208</f>
        <v>205</v>
      </c>
      <c r="S208" s="20" t="str">
        <f>IFERROR(IF([1]对账明细接口!$N208=0,"",[1]对账明细接口!$N208),"")</f>
        <v>公司红周转筐</v>
      </c>
      <c r="T208" s="212">
        <f>IFERROR(IF([1]对账明细接口!$O208=0,"",[1]对账明细接口!$O208),"")</f>
      </c>
      <c r="U208" s="212">
        <f>IFERROR(IF([1]对账明细接口!$P208=0,"",[1]对账明细接口!$P208),"")</f>
      </c>
      <c r="V208" s="212">
        <f>IFERROR(IF([1]对账明细接口!$Q208=0,"",[1]对账明细接口!$Q208),"")</f>
        <v>384</v>
      </c>
      <c r="W208" s="20" t="str">
        <f>IFERROR(IF([1]对账明细接口!$R208=0,"",[1]对账明细接口!$R208),"")</f>
        <v>新N*49209</v>
      </c>
      <c r="X208" s="20" t="str">
        <f>IFERROR(IF([1]对账明细接口!$S208=0,"",[1]对账明细接口!$S208),"")</f>
        <v>公司筐</v>
      </c>
      <c r="Y208" s="20">
        <f>IFERROR(IF([1]对账明细接口!$T208=0,"",[1]对账明细接口!$T208),"")</f>
      </c>
      <c r="Z208" s="213">
        <f>IFERROR(IF([1]对账明细接口!$U208=0,"",[1]对账明细接口!$U208),"")</f>
      </c>
      <c r="AA208" s="213">
        <f>IFERROR(IF([1]对账明细接口!$V208=0,"",[1]对账明细接口!$V208),"")</f>
      </c>
      <c r="AB208" s="20">
        <f>IFERROR(IF([1]对账明细接口!$W208=0,"",[1]对账明细接口!$W208),"")</f>
      </c>
      <c r="AC208" s="7">
        <f>IFERROR(IF([1]对账明细接口!$X208=0,"",[1]对账明细接口!$X208),"")</f>
      </c>
      <c r="AD208" s="7">
        <f>IFERROR(IF([1]对账明细接口!$Y208=0,"",[1]对账明细接口!$Y208),"")</f>
      </c>
      <c r="AE208" s="7">
        <f>IFERROR(IF([1]对账明细接口!$AA208=0,"",[1]对账明细接口!$AA208),"")</f>
      </c>
      <c r="AF208" s="7">
        <f>IFERROR(IF([1]对账明细接口!$AB208=0,"",[1]对账明细接口!$AB208),"")</f>
      </c>
      <c r="AG208" s="7">
        <f>IFERROR(IF([1]对账明细接口!$AC208=0,"",[1]对账明细接口!$AC208),"")</f>
      </c>
      <c r="AH208" s="7">
        <f>IFERROR(IF([1]对账明细接口!$AD208=0,"",[1]对账明细接口!$AD208),"")</f>
      </c>
      <c r="AI208" s="7">
        <f>IFERROR(IF([1]对账明细接口!$AE208=0,"",[1]对账明细接口!$AE208),"")</f>
      </c>
      <c r="AJ208" s="7">
        <f>IFERROR(IF([1]对账明细接口!$AF208=0,"",[1]对账明细接口!$AF208),"")</f>
      </c>
    </row>
    <row r="209" ht="14.25" customHeight="1" s="127">
      <c r="A209" s="14" t="n">
        <v>209</v>
      </c>
      <c r="B209" s="211">
        <f>IFERROR(IF([1]对账明细接口!$B$209=0,"",[1]对账明细接口!$B$209),"")</f>
        <v>46277.0</v>
      </c>
      <c r="C209" s="16" t="str">
        <f>IFERROR(IF([1]对账明细接口!$C$209=0,"",[1]对账明细接口!$C$209),"")</f>
        <v>王灵云</v>
      </c>
      <c r="D209" s="16" t="str">
        <f>IFERROR(IF([1]对账明细接口!$D$209=0,"",[1]对账明细接口!$D$209),"")</f>
        <v>原料入库</v>
      </c>
      <c r="E209" s="16" t="str">
        <f>IFERROR(IF([1]对账明细接口!$E$209=0,"",[1]对账明细接口!$E$209),"")</f>
        <v>NO:0000794</v>
      </c>
      <c r="F209" s="16" t="str">
        <f>IFERROR(IF([1]对账明细接口!$F$209=0,"",[1]对账明细接口!$F$209),"")</f>
        <v>香梨</v>
      </c>
      <c r="G209" s="16" t="str">
        <f>IFERROR(IF([1]对账明细接口!$G$209=0,"",[1]对账明细接口!$G$209),"")</f>
        <v>香梨二级</v>
      </c>
      <c r="H209" s="176">
        <f>IFERROR(IF([1]对账明细接口!$H$209=0,"",[1]对账明细接口!$H$209),"")</f>
        <v>52</v>
      </c>
      <c r="I209" s="16" t="str">
        <f>IFERROR(IF([1]对账明细接口!$I$209=0,"",[1]对账明细接口!$I$209),"")</f>
        <v>筐</v>
      </c>
      <c r="J209" s="177">
        <f>IFERROR(IF([1]对账明细接口!$J$209=0,"",[1]对账明细接口!$J$209),"")</f>
        <v>1211.6</v>
      </c>
      <c r="K209" s="177">
        <f>IFERROR(IF([1]对账明细接口!$K$209=0,"",[1]对账明细接口!$K$209),"")</f>
      </c>
      <c r="L209" s="16">
        <f>IFERROR(IF([1]对账明细接口!$L$209=0,"",[1]对账明细接口!$L$209),"")</f>
      </c>
      <c r="M209" s="16">
        <f>IFERROR(IF([1]对账明细接口!$M$209=0,"",[1]对账明细接口!$M$209),"")</f>
      </c>
      <c r="N209" s="19">
        <f>IF($C209="",0,1)</f>
        <v>1</v>
      </c>
      <c r="O209" s="19">
        <f>N(O208)+$N209</f>
        <v>206</v>
      </c>
      <c r="S209" s="20" t="str">
        <f>IFERROR(IF([1]对账明细接口!$N209=0,"",[1]对账明细接口!$N209),"")</f>
        <v>公司红周转筐</v>
      </c>
      <c r="T209" s="212">
        <f>IFERROR(IF([1]对账明细接口!$O209=0,"",[1]对账明细接口!$O209),"")</f>
      </c>
      <c r="U209" s="212">
        <f>IFERROR(IF([1]对账明细接口!$P209=0,"",[1]对账明细接口!$P209),"")</f>
      </c>
      <c r="V209" s="212">
        <f>IFERROR(IF([1]对账明细接口!$Q209=0,"",[1]对账明细接口!$Q209),"")</f>
        <v>52</v>
      </c>
      <c r="W209" s="20" t="str">
        <f>IFERROR(IF([1]对账明细接口!$R209=0,"",[1]对账明细接口!$R209),"")</f>
        <v>新N*49209</v>
      </c>
      <c r="X209" s="20" t="str">
        <f>IFERROR(IF([1]对账明细接口!$S209=0,"",[1]对账明细接口!$S209),"")</f>
        <v>公司筐</v>
      </c>
      <c r="Y209" s="20">
        <f>IFERROR(IF([1]对账明细接口!$T209=0,"",[1]对账明细接口!$T209),"")</f>
      </c>
      <c r="Z209" s="213">
        <f>IFERROR(IF([1]对账明细接口!$U209=0,"",[1]对账明细接口!$U209),"")</f>
      </c>
      <c r="AA209" s="213">
        <f>IFERROR(IF([1]对账明细接口!$V209=0,"",[1]对账明细接口!$V209),"")</f>
      </c>
      <c r="AB209" s="20">
        <f>IFERROR(IF([1]对账明细接口!$W209=0,"",[1]对账明细接口!$W209),"")</f>
      </c>
      <c r="AC209" s="7">
        <f>IFERROR(IF([1]对账明细接口!$X209=0,"",[1]对账明细接口!$X209),"")</f>
      </c>
      <c r="AD209" s="7">
        <f>IFERROR(IF([1]对账明细接口!$Y209=0,"",[1]对账明细接口!$Y209),"")</f>
      </c>
      <c r="AE209" s="7">
        <f>IFERROR(IF([1]对账明细接口!$AA209=0,"",[1]对账明细接口!$AA209),"")</f>
      </c>
      <c r="AF209" s="7">
        <f>IFERROR(IF([1]对账明细接口!$AB209=0,"",[1]对账明细接口!$AB209),"")</f>
      </c>
      <c r="AG209" s="7">
        <f>IFERROR(IF([1]对账明细接口!$AC209=0,"",[1]对账明细接口!$AC209),"")</f>
      </c>
      <c r="AH209" s="7">
        <f>IFERROR(IF([1]对账明细接口!$AD209=0,"",[1]对账明细接口!$AD209),"")</f>
      </c>
      <c r="AI209" s="7">
        <f>IFERROR(IF([1]对账明细接口!$AE209=0,"",[1]对账明细接口!$AE209),"")</f>
      </c>
      <c r="AJ209" s="7">
        <f>IFERROR(IF([1]对账明细接口!$AF209=0,"",[1]对账明细接口!$AF209),"")</f>
      </c>
    </row>
    <row r="210" ht="14.25" customHeight="1" s="127">
      <c r="A210" s="14" t="n">
        <v>210</v>
      </c>
      <c r="B210" s="211">
        <f>IFERROR(IF([1]对账明细接口!$B$210=0,"",[1]对账明细接口!$B$210),"")</f>
        <v>46277.0</v>
      </c>
      <c r="C210" s="16" t="str">
        <f>IFERROR(IF([1]对账明细接口!$C$210=0,"",[1]对账明细接口!$C$210),"")</f>
        <v>王灵云</v>
      </c>
      <c r="D210" s="16" t="str">
        <f>IFERROR(IF([1]对账明细接口!$D$210=0,"",[1]对账明细接口!$D$210),"")</f>
        <v>原料入库</v>
      </c>
      <c r="E210" s="16" t="str">
        <f>IFERROR(IF([1]对账明细接口!$E$210=0,"",[1]对账明细接口!$E$210),"")</f>
        <v>NO:0000794</v>
      </c>
      <c r="F210" s="16" t="str">
        <f>IFERROR(IF([1]对账明细接口!$F$210=0,"",[1]对账明细接口!$F$210),"")</f>
        <v>香梨</v>
      </c>
      <c r="G210" s="16" t="str">
        <f>IFERROR(IF([1]对账明细接口!$G$210=0,"",[1]对账明细接口!$G$210),"")</f>
        <v>香梨副特</v>
      </c>
      <c r="H210" s="176">
        <f>IFERROR(IF([1]对账明细接口!$H$210=0,"",[1]对账明细接口!$H$210),"")</f>
        <v>208</v>
      </c>
      <c r="I210" s="16" t="str">
        <f>IFERROR(IF([1]对账明细接口!$I$210=0,"",[1]对账明细接口!$I$210),"")</f>
        <v>筐</v>
      </c>
      <c r="J210" s="177">
        <f>IFERROR(IF([1]对账明细接口!$J$210=0,"",[1]对账明细接口!$J$210),"")</f>
        <v>3806.4</v>
      </c>
      <c r="K210" s="177">
        <f>IFERROR(IF([1]对账明细接口!$K$210=0,"",[1]对账明细接口!$K$210),"")</f>
      </c>
      <c r="L210" s="16">
        <f>IFERROR(IF([1]对账明细接口!$L$210=0,"",[1]对账明细接口!$L$210),"")</f>
      </c>
      <c r="M210" s="16">
        <f>IFERROR(IF([1]对账明细接口!$M$210=0,"",[1]对账明细接口!$M$210),"")</f>
      </c>
      <c r="N210" s="19">
        <f>IF($C210="",0,1)</f>
        <v>1</v>
      </c>
      <c r="O210" s="19">
        <f>N(O209)+$N210</f>
        <v>207</v>
      </c>
      <c r="S210" s="20" t="str">
        <f>IFERROR(IF([1]对账明细接口!$N210=0,"",[1]对账明细接口!$N210),"")</f>
        <v>公司红周转筐</v>
      </c>
      <c r="T210" s="212">
        <f>IFERROR(IF([1]对账明细接口!$O210=0,"",[1]对账明细接口!$O210),"")</f>
      </c>
      <c r="U210" s="212">
        <f>IFERROR(IF([1]对账明细接口!$P210=0,"",[1]对账明细接口!$P210),"")</f>
      </c>
      <c r="V210" s="212">
        <f>IFERROR(IF([1]对账明细接口!$Q210=0,"",[1]对账明细接口!$Q210),"")</f>
        <v>208</v>
      </c>
      <c r="W210" s="20" t="str">
        <f>IFERROR(IF([1]对账明细接口!$R210=0,"",[1]对账明细接口!$R210),"")</f>
        <v>新N*49209</v>
      </c>
      <c r="X210" s="20" t="str">
        <f>IFERROR(IF([1]对账明细接口!$S210=0,"",[1]对账明细接口!$S210),"")</f>
        <v>公司筐</v>
      </c>
      <c r="Y210" s="20">
        <f>IFERROR(IF([1]对账明细接口!$T210=0,"",[1]对账明细接口!$T210),"")</f>
      </c>
      <c r="Z210" s="213">
        <f>IFERROR(IF([1]对账明细接口!$U210=0,"",[1]对账明细接口!$U210),"")</f>
      </c>
      <c r="AA210" s="213">
        <f>IFERROR(IF([1]对账明细接口!$V210=0,"",[1]对账明细接口!$V210),"")</f>
      </c>
      <c r="AB210" s="20">
        <f>IFERROR(IF([1]对账明细接口!$W210=0,"",[1]对账明细接口!$W210),"")</f>
      </c>
      <c r="AC210" s="7">
        <f>IFERROR(IF([1]对账明细接口!$X210=0,"",[1]对账明细接口!$X210),"")</f>
      </c>
      <c r="AD210" s="7">
        <f>IFERROR(IF([1]对账明细接口!$Y210=0,"",[1]对账明细接口!$Y210),"")</f>
      </c>
      <c r="AE210" s="7">
        <f>IFERROR(IF([1]对账明细接口!$AA210=0,"",[1]对账明细接口!$AA210),"")</f>
      </c>
      <c r="AF210" s="7">
        <f>IFERROR(IF([1]对账明细接口!$AB210=0,"",[1]对账明细接口!$AB210),"")</f>
      </c>
      <c r="AG210" s="7">
        <f>IFERROR(IF([1]对账明细接口!$AC210=0,"",[1]对账明细接口!$AC210),"")</f>
      </c>
      <c r="AH210" s="7">
        <f>IFERROR(IF([1]对账明细接口!$AD210=0,"",[1]对账明细接口!$AD210),"")</f>
      </c>
      <c r="AI210" s="7">
        <f>IFERROR(IF([1]对账明细接口!$AE210=0,"",[1]对账明细接口!$AE210),"")</f>
      </c>
      <c r="AJ210" s="7">
        <f>IFERROR(IF([1]对账明细接口!$AF210=0,"",[1]对账明细接口!$AF210),"")</f>
      </c>
    </row>
    <row r="211" ht="14.25" customHeight="1" s="127">
      <c r="A211" s="14" t="n">
        <v>211</v>
      </c>
      <c r="B211" s="211">
        <f>IFERROR(IF([1]对账明细接口!$B$211=0,"",[1]对账明细接口!$B$211),"")</f>
        <v>46278.0</v>
      </c>
      <c r="C211" s="16" t="str">
        <f>IFERROR(IF([1]对账明细接口!$C$211=0,"",[1]对账明细接口!$C$211),"")</f>
        <v>贾建国</v>
      </c>
      <c r="D211" s="16" t="str">
        <f>IFERROR(IF([1]对账明细接口!$D$211=0,"",[1]对账明细接口!$D$211),"")</f>
        <v>原料入库</v>
      </c>
      <c r="E211" s="16" t="str">
        <f>IFERROR(IF([1]对账明细接口!$E$211=0,"",[1]对账明细接口!$E$211),"")</f>
        <v>NO:0000797</v>
      </c>
      <c r="F211" s="16" t="str">
        <f>IFERROR(IF([1]对账明细接口!$F$211=0,"",[1]对账明细接口!$F$211),"")</f>
        <v>香梨</v>
      </c>
      <c r="G211" s="16" t="str">
        <f>IFERROR(IF([1]对账明细接口!$G$211=0,"",[1]对账明细接口!$G$211),"")</f>
        <v>香梨二级</v>
      </c>
      <c r="H211" s="176">
        <f>IFERROR(IF([1]对账明细接口!$H$211=0,"",[1]对账明细接口!$H$211),"")</f>
        <v>160</v>
      </c>
      <c r="I211" s="16" t="str">
        <f>IFERROR(IF([1]对账明细接口!$I$211=0,"",[1]对账明细接口!$I$211),"")</f>
        <v>筐</v>
      </c>
      <c r="J211" s="177">
        <f>IFERROR(IF([1]对账明细接口!$J$211=0,"",[1]对账明细接口!$J$211),"")</f>
        <v>3600</v>
      </c>
      <c r="K211" s="177">
        <f>IFERROR(IF([1]对账明细接口!$K$211=0,"",[1]对账明细接口!$K$211),"")</f>
      </c>
      <c r="L211" s="16">
        <f>IFERROR(IF([1]对账明细接口!$L$211=0,"",[1]对账明细接口!$L$211),"")</f>
      </c>
      <c r="M211" s="16">
        <f>IFERROR(IF([1]对账明细接口!$M$211=0,"",[1]对账明细接口!$M$211),"")</f>
      </c>
      <c r="N211" s="19">
        <f>IF($C211="",0,1)</f>
        <v>1</v>
      </c>
      <c r="O211" s="19">
        <f>N(O210)+$N211</f>
        <v>208</v>
      </c>
      <c r="S211" s="20" t="str">
        <f>IFERROR(IF([1]对账明细接口!$N211=0,"",[1]对账明细接口!$N211),"")</f>
        <v>自备杂周转筐</v>
      </c>
      <c r="T211" s="212">
        <f>IFERROR(IF([1]对账明细接口!$O211=0,"",[1]对账明细接口!$O211),"")</f>
      </c>
      <c r="U211" s="212">
        <f>IFERROR(IF([1]对账明细接口!$P211=0,"",[1]对账明细接口!$P211),"")</f>
      </c>
      <c r="V211" s="212">
        <f>IFERROR(IF([1]对账明细接口!$Q211=0,"",[1]对账明细接口!$Q211),"")</f>
        <v>160</v>
      </c>
      <c r="W211" s="20" t="str">
        <f>IFERROR(IF([1]对账明细接口!$R211=0,"",[1]对账明细接口!$R211),"")</f>
        <v>豫Q*H5591</v>
      </c>
      <c r="X211" s="20" t="str">
        <f>IFERROR(IF([1]对账明细接口!$S211=0,"",[1]对账明细接口!$S211),"")</f>
        <v>自备筐</v>
      </c>
      <c r="Y211" s="20">
        <f>IFERROR(IF([1]对账明细接口!$T211=0,"",[1]对账明细接口!$T211),"")</f>
      </c>
      <c r="Z211" s="213">
        <f>IFERROR(IF([1]对账明细接口!$U211=0,"",[1]对账明细接口!$U211),"")</f>
      </c>
      <c r="AA211" s="213">
        <f>IFERROR(IF([1]对账明细接口!$V211=0,"",[1]对账明细接口!$V211),"")</f>
      </c>
      <c r="AB211" s="20">
        <f>IFERROR(IF([1]对账明细接口!$W211=0,"",[1]对账明细接口!$W211),"")</f>
      </c>
      <c r="AC211" s="7">
        <f>IFERROR(IF([1]对账明细接口!$X211=0,"",[1]对账明细接口!$X211),"")</f>
      </c>
      <c r="AD211" s="7">
        <f>IFERROR(IF([1]对账明细接口!$Y211=0,"",[1]对账明细接口!$Y211),"")</f>
      </c>
      <c r="AE211" s="7">
        <f>IFERROR(IF([1]对账明细接口!$AA211=0,"",[1]对账明细接口!$AA211),"")</f>
      </c>
      <c r="AF211" s="7">
        <f>IFERROR(IF([1]对账明细接口!$AB211=0,"",[1]对账明细接口!$AB211),"")</f>
      </c>
      <c r="AG211" s="7">
        <f>IFERROR(IF([1]对账明细接口!$AC211=0,"",[1]对账明细接口!$AC211),"")</f>
      </c>
      <c r="AH211" s="7">
        <f>IFERROR(IF([1]对账明细接口!$AD211=0,"",[1]对账明细接口!$AD211),"")</f>
      </c>
      <c r="AI211" s="7">
        <f>IFERROR(IF([1]对账明细接口!$AE211=0,"",[1]对账明细接口!$AE211),"")</f>
      </c>
      <c r="AJ211" s="7">
        <f>IFERROR(IF([1]对账明细接口!$AF211=0,"",[1]对账明细接口!$AF211),"")</f>
      </c>
    </row>
    <row r="212" ht="14.25" customHeight="1" s="127">
      <c r="A212" s="14" t="n">
        <v>212</v>
      </c>
      <c r="B212" s="211">
        <f>IFERROR(IF([1]对账明细接口!$B$212=0,"",[1]对账明细接口!$B$212),"")</f>
        <v>46278.0</v>
      </c>
      <c r="C212" s="16" t="str">
        <f>IFERROR(IF([1]对账明细接口!$C$212=0,"",[1]对账明细接口!$C$212),"")</f>
        <v>贾建国</v>
      </c>
      <c r="D212" s="16" t="str">
        <f>IFERROR(IF([1]对账明细接口!$D$212=0,"",[1]对账明细接口!$D$212),"")</f>
        <v>原料入库</v>
      </c>
      <c r="E212" s="16" t="str">
        <f>IFERROR(IF([1]对账明细接口!$E$212=0,"",[1]对账明细接口!$E$212),"")</f>
        <v>NO:0000797</v>
      </c>
      <c r="F212" s="16" t="str">
        <f>IFERROR(IF([1]对账明细接口!$F$212=0,"",[1]对账明细接口!$F$212),"")</f>
        <v>香梨</v>
      </c>
      <c r="G212" s="16" t="str">
        <f>IFERROR(IF([1]对账明细接口!$G$212=0,"",[1]对账明细接口!$G$212),"")</f>
        <v>香梨副特</v>
      </c>
      <c r="H212" s="176">
        <f>IFERROR(IF([1]对账明细接口!$H$212=0,"",[1]对账明细接口!$H$212),"")</f>
        <v>267</v>
      </c>
      <c r="I212" s="16" t="str">
        <f>IFERROR(IF([1]对账明细接口!$I$212=0,"",[1]对账明细接口!$I$212),"")</f>
        <v>筐</v>
      </c>
      <c r="J212" s="177">
        <f>IFERROR(IF([1]对账明细接口!$J$212=0,"",[1]对账明细接口!$J$212),"")</f>
        <v>5153.1</v>
      </c>
      <c r="K212" s="177">
        <f>IFERROR(IF([1]对账明细接口!$K$212=0,"",[1]对账明细接口!$K$212),"")</f>
      </c>
      <c r="L212" s="16">
        <f>IFERROR(IF([1]对账明细接口!$L$212=0,"",[1]对账明细接口!$L$212),"")</f>
      </c>
      <c r="M212" s="16">
        <f>IFERROR(IF([1]对账明细接口!$M$212=0,"",[1]对账明细接口!$M$212),"")</f>
      </c>
      <c r="N212" s="19">
        <f>IF($C212="",0,1)</f>
        <v>1</v>
      </c>
      <c r="O212" s="19">
        <f>N(O211)+$N212</f>
        <v>209</v>
      </c>
      <c r="S212" s="20" t="str">
        <f>IFERROR(IF([1]对账明细接口!$N212=0,"",[1]对账明细接口!$N212),"")</f>
        <v>自备一次性筐</v>
      </c>
      <c r="T212" s="212">
        <f>IFERROR(IF([1]对账明细接口!$O212=0,"",[1]对账明细接口!$O212),"")</f>
      </c>
      <c r="U212" s="212">
        <f>IFERROR(IF([1]对账明细接口!$P212=0,"",[1]对账明细接口!$P212),"")</f>
      </c>
      <c r="V212" s="212">
        <f>IFERROR(IF([1]对账明细接口!$Q212=0,"",[1]对账明细接口!$Q212),"")</f>
        <v>267</v>
      </c>
      <c r="W212" s="20" t="str">
        <f>IFERROR(IF([1]对账明细接口!$R212=0,"",[1]对账明细接口!$R212),"")</f>
        <v>豫Q*H5591</v>
      </c>
      <c r="X212" s="20" t="str">
        <f>IFERROR(IF([1]对账明细接口!$S212=0,"",[1]对账明细接口!$S212),"")</f>
        <v>自备筐</v>
      </c>
      <c r="Y212" s="20">
        <f>IFERROR(IF([1]对账明细接口!$T212=0,"",[1]对账明细接口!$T212),"")</f>
      </c>
      <c r="Z212" s="213">
        <f>IFERROR(IF([1]对账明细接口!$U212=0,"",[1]对账明细接口!$U212),"")</f>
      </c>
      <c r="AA212" s="213">
        <f>IFERROR(IF([1]对账明细接口!$V212=0,"",[1]对账明细接口!$V212),"")</f>
      </c>
      <c r="AB212" s="20">
        <f>IFERROR(IF([1]对账明细接口!$W212=0,"",[1]对账明细接口!$W212),"")</f>
      </c>
      <c r="AC212" s="7">
        <f>IFERROR(IF([1]对账明细接口!$X212=0,"",[1]对账明细接口!$X212),"")</f>
      </c>
      <c r="AD212" s="7">
        <f>IFERROR(IF([1]对账明细接口!$Y212=0,"",[1]对账明细接口!$Y212),"")</f>
      </c>
      <c r="AE212" s="7">
        <f>IFERROR(IF([1]对账明细接口!$AA212=0,"",[1]对账明细接口!$AA212),"")</f>
      </c>
      <c r="AF212" s="7">
        <f>IFERROR(IF([1]对账明细接口!$AB212=0,"",[1]对账明细接口!$AB212),"")</f>
      </c>
      <c r="AG212" s="7">
        <f>IFERROR(IF([1]对账明细接口!$AC212=0,"",[1]对账明细接口!$AC212),"")</f>
      </c>
      <c r="AH212" s="7">
        <f>IFERROR(IF([1]对账明细接口!$AD212=0,"",[1]对账明细接口!$AD212),"")</f>
      </c>
      <c r="AI212" s="7">
        <f>IFERROR(IF([1]对账明细接口!$AE212=0,"",[1]对账明细接口!$AE212),"")</f>
      </c>
      <c r="AJ212" s="7">
        <f>IFERROR(IF([1]对账明细接口!$AF212=0,"",[1]对账明细接口!$AF212),"")</f>
      </c>
    </row>
    <row r="213" ht="14.25" customHeight="1" s="127">
      <c r="A213" s="14" t="n">
        <v>213</v>
      </c>
      <c r="B213" s="211">
        <f>IFERROR(IF([1]对账明细接口!$B$213=0,"",[1]对账明细接口!$B$213),"")</f>
        <v>46278.0</v>
      </c>
      <c r="C213" s="16" t="str">
        <f>IFERROR(IF([1]对账明细接口!$C$213=0,"",[1]对账明细接口!$C$213),"")</f>
        <v>贾建国</v>
      </c>
      <c r="D213" s="16" t="str">
        <f>IFERROR(IF([1]对账明细接口!$D$213=0,"",[1]对账明细接口!$D$213),"")</f>
        <v>原料入库</v>
      </c>
      <c r="E213" s="16" t="str">
        <f>IFERROR(IF([1]对账明细接口!$E$213=0,"",[1]对账明细接口!$E$213),"")</f>
        <v>NO:0000797</v>
      </c>
      <c r="F213" s="16" t="str">
        <f>IFERROR(IF([1]对账明细接口!$F$213=0,"",[1]对账明细接口!$F$213),"")</f>
        <v>香梨</v>
      </c>
      <c r="G213" s="16" t="str">
        <f>IFERROR(IF([1]对账明细接口!$G$213=0,"",[1]对账明细接口!$G$213),"")</f>
        <v>香梨副特</v>
      </c>
      <c r="H213" s="176">
        <f>IFERROR(IF([1]对账明细接口!$H$213=0,"",[1]对账明细接口!$H$213),"")</f>
        <v>2</v>
      </c>
      <c r="I213" s="16" t="str">
        <f>IFERROR(IF([1]对账明细接口!$I$213=0,"",[1]对账明细接口!$I$213),"")</f>
        <v>筐</v>
      </c>
      <c r="J213" s="177">
        <f>IFERROR(IF([1]对账明细接口!$J$213=0,"",[1]对账明细接口!$J$213),"")</f>
        <v>38.6</v>
      </c>
      <c r="K213" s="177">
        <f>IFERROR(IF([1]对账明细接口!$K$213=0,"",[1]对账明细接口!$K$213),"")</f>
      </c>
      <c r="L213" s="16">
        <f>IFERROR(IF([1]对账明细接口!$L$213=0,"",[1]对账明细接口!$L$213),"")</f>
      </c>
      <c r="M213" s="16">
        <f>IFERROR(IF([1]对账明细接口!$M$213=0,"",[1]对账明细接口!$M$213),"")</f>
      </c>
      <c r="N213" s="19">
        <f>IF($C213="",0,1)</f>
        <v>1</v>
      </c>
      <c r="O213" s="19">
        <f>N(O212)+$N213</f>
        <v>210</v>
      </c>
      <c r="S213" s="20" t="str">
        <f>IFERROR(IF([1]对账明细接口!$N213=0,"",[1]对账明细接口!$N213),"")</f>
        <v>公司一次性筐</v>
      </c>
      <c r="T213" s="212">
        <f>IFERROR(IF([1]对账明细接口!$O213=0,"",[1]对账明细接口!$O213),"")</f>
      </c>
      <c r="U213" s="212">
        <f>IFERROR(IF([1]对账明细接口!$P213=0,"",[1]对账明细接口!$P213),"")</f>
      </c>
      <c r="V213" s="212">
        <f>IFERROR(IF([1]对账明细接口!$Q213=0,"",[1]对账明细接口!$Q213),"")</f>
        <v>2</v>
      </c>
      <c r="W213" s="20" t="str">
        <f>IFERROR(IF([1]对账明细接口!$R213=0,"",[1]对账明细接口!$R213),"")</f>
        <v>豫Q*H5591</v>
      </c>
      <c r="X213" s="20" t="str">
        <f>IFERROR(IF([1]对账明细接口!$S213=0,"",[1]对账明细接口!$S213),"")</f>
        <v>公司筐</v>
      </c>
      <c r="Y213" s="20">
        <f>IFERROR(IF([1]对账明细接口!$T213=0,"",[1]对账明细接口!$T213),"")</f>
      </c>
      <c r="Z213" s="213">
        <f>IFERROR(IF([1]对账明细接口!$U213=0,"",[1]对账明细接口!$U213),"")</f>
      </c>
      <c r="AA213" s="213">
        <f>IFERROR(IF([1]对账明细接口!$V213=0,"",[1]对账明细接口!$V213),"")</f>
      </c>
      <c r="AB213" s="20">
        <f>IFERROR(IF([1]对账明细接口!$W213=0,"",[1]对账明细接口!$W213),"")</f>
      </c>
      <c r="AC213" s="7">
        <f>IFERROR(IF([1]对账明细接口!$X213=0,"",[1]对账明细接口!$X213),"")</f>
      </c>
      <c r="AD213" s="7">
        <f>IFERROR(IF([1]对账明细接口!$Y213=0,"",[1]对账明细接口!$Y213),"")</f>
      </c>
      <c r="AE213" s="7">
        <f>IFERROR(IF([1]对账明细接口!$AA213=0,"",[1]对账明细接口!$AA213),"")</f>
      </c>
      <c r="AF213" s="7">
        <f>IFERROR(IF([1]对账明细接口!$AB213=0,"",[1]对账明细接口!$AB213),"")</f>
      </c>
      <c r="AG213" s="7">
        <f>IFERROR(IF([1]对账明细接口!$AC213=0,"",[1]对账明细接口!$AC213),"")</f>
      </c>
      <c r="AH213" s="7">
        <f>IFERROR(IF([1]对账明细接口!$AD213=0,"",[1]对账明细接口!$AD213),"")</f>
      </c>
      <c r="AI213" s="7">
        <f>IFERROR(IF([1]对账明细接口!$AE213=0,"",[1]对账明细接口!$AE213),"")</f>
      </c>
      <c r="AJ213" s="7">
        <f>IFERROR(IF([1]对账明细接口!$AF213=0,"",[1]对账明细接口!$AF213),"")</f>
      </c>
    </row>
    <row r="214" ht="14.25" customHeight="1" s="127">
      <c r="A214" s="14" t="n">
        <v>214</v>
      </c>
      <c r="B214" s="211">
        <f>IFERROR(IF([1]对账明细接口!$B$214=0,"",[1]对账明细接口!$B$214),"")</f>
        <v>46278.0</v>
      </c>
      <c r="C214" s="16" t="str">
        <f>IFERROR(IF([1]对账明细接口!$C$214=0,"",[1]对账明细接口!$C$214),"")</f>
        <v>吐尔洪</v>
      </c>
      <c r="D214" s="16" t="str">
        <f>IFERROR(IF([1]对账明细接口!$D$214=0,"",[1]对账明细接口!$D$214),"")</f>
        <v>原料入库</v>
      </c>
      <c r="E214" s="16" t="str">
        <f>IFERROR(IF([1]对账明细接口!$E$214=0,"",[1]对账明细接口!$E$214),"")</f>
        <v>NO:0000799</v>
      </c>
      <c r="F214" s="16" t="str">
        <f>IFERROR(IF([1]对账明细接口!$F$214=0,"",[1]对账明细接口!$F$214),"")</f>
        <v>香梨</v>
      </c>
      <c r="G214" s="16" t="str">
        <f>IFERROR(IF([1]对账明细接口!$G$214=0,"",[1]对账明细接口!$G$214),"")</f>
        <v>香梨特级</v>
      </c>
      <c r="H214" s="176">
        <f>IFERROR(IF([1]对账明细接口!$H$214=0,"",[1]对账明细接口!$H$214),"")</f>
        <v>133</v>
      </c>
      <c r="I214" s="16" t="str">
        <f>IFERROR(IF([1]对账明细接口!$I$214=0,"",[1]对账明细接口!$I$214),"")</f>
        <v>筐</v>
      </c>
      <c r="J214" s="177">
        <f>IFERROR(IF([1]对账明细接口!$J$214=0,"",[1]对账明细接口!$J$214),"")</f>
        <v>2433.9</v>
      </c>
      <c r="K214" s="177">
        <f>IFERROR(IF([1]对账明细接口!$K$214=0,"",[1]对账明细接口!$K$214),"")</f>
      </c>
      <c r="L214" s="16">
        <f>IFERROR(IF([1]对账明细接口!$L$214=0,"",[1]对账明细接口!$L$214),"")</f>
      </c>
      <c r="M214" s="16" t="str">
        <f>IFERROR(IF([1]对账明细接口!$M$214=0,"",[1]对账明细接口!$M$214),"")</f>
        <v>麦麦提</v>
      </c>
      <c r="N214" s="19">
        <f>IF($C214="",0,1)</f>
        <v>1</v>
      </c>
      <c r="O214" s="19">
        <f>N(O213)+$N214</f>
        <v>211</v>
      </c>
      <c r="S214" s="20" t="str">
        <f>IFERROR(IF([1]对账明细接口!$N214=0,"",[1]对账明细接口!$N214),"")</f>
        <v>公司红周转筐</v>
      </c>
      <c r="T214" s="212">
        <f>IFERROR(IF([1]对账明细接口!$O214=0,"",[1]对账明细接口!$O214),"")</f>
      </c>
      <c r="U214" s="212">
        <f>IFERROR(IF([1]对账明细接口!$P214=0,"",[1]对账明细接口!$P214),"")</f>
      </c>
      <c r="V214" s="212">
        <f>IFERROR(IF([1]对账明细接口!$Q214=0,"",[1]对账明细接口!$Q214),"")</f>
        <v>133</v>
      </c>
      <c r="W214" s="20" t="str">
        <f>IFERROR(IF([1]对账明细接口!$R214=0,"",[1]对账明细接口!$R214),"")</f>
        <v>新N*X8S48</v>
      </c>
      <c r="X214" s="20" t="str">
        <f>IFERROR(IF([1]对账明细接口!$S214=0,"",[1]对账明细接口!$S214),"")</f>
        <v>公司筐</v>
      </c>
      <c r="Y214" s="20">
        <f>IFERROR(IF([1]对账明细接口!$T214=0,"",[1]对账明细接口!$T214),"")</f>
      </c>
      <c r="Z214" s="213">
        <f>IFERROR(IF([1]对账明细接口!$U214=0,"",[1]对账明细接口!$U214),"")</f>
      </c>
      <c r="AA214" s="213">
        <f>IFERROR(IF([1]对账明细接口!$V214=0,"",[1]对账明细接口!$V214),"")</f>
      </c>
      <c r="AB214" s="20">
        <f>IFERROR(IF([1]对账明细接口!$W214=0,"",[1]对账明细接口!$W214),"")</f>
      </c>
      <c r="AC214" s="7">
        <f>IFERROR(IF([1]对账明细接口!$X214=0,"",[1]对账明细接口!$X214),"")</f>
      </c>
      <c r="AD214" s="7">
        <f>IFERROR(IF([1]对账明细接口!$Y214=0,"",[1]对账明细接口!$Y214),"")</f>
      </c>
      <c r="AE214" s="7">
        <f>IFERROR(IF([1]对账明细接口!$AA214=0,"",[1]对账明细接口!$AA214),"")</f>
      </c>
      <c r="AF214" s="7">
        <f>IFERROR(IF([1]对账明细接口!$AB214=0,"",[1]对账明细接口!$AB214),"")</f>
      </c>
      <c r="AG214" s="7">
        <f>IFERROR(IF([1]对账明细接口!$AC214=0,"",[1]对账明细接口!$AC214),"")</f>
      </c>
      <c r="AH214" s="7">
        <f>IFERROR(IF([1]对账明细接口!$AD214=0,"",[1]对账明细接口!$AD214),"")</f>
      </c>
      <c r="AI214" s="7">
        <f>IFERROR(IF([1]对账明细接口!$AE214=0,"",[1]对账明细接口!$AE214),"")</f>
      </c>
      <c r="AJ214" s="7">
        <f>IFERROR(IF([1]对账明细接口!$AF214=0,"",[1]对账明细接口!$AF214),"")</f>
      </c>
    </row>
    <row r="215" ht="14.25" customHeight="1" s="127">
      <c r="A215" s="14" t="n">
        <v>215</v>
      </c>
      <c r="B215" s="211">
        <f>IFERROR(IF([1]对账明细接口!$B$215=0,"",[1]对账明细接口!$B$215),"")</f>
        <v>46278.0</v>
      </c>
      <c r="C215" s="16" t="str">
        <f>IFERROR(IF([1]对账明细接口!$C$215=0,"",[1]对账明细接口!$C$215),"")</f>
        <v>吐尔洪</v>
      </c>
      <c r="D215" s="16" t="str">
        <f>IFERROR(IF([1]对账明细接口!$D$215=0,"",[1]对账明细接口!$D$215),"")</f>
        <v>原料入库</v>
      </c>
      <c r="E215" s="16" t="str">
        <f>IFERROR(IF([1]对账明细接口!$E$215=0,"",[1]对账明细接口!$E$215),"")</f>
        <v>NO:0000799</v>
      </c>
      <c r="F215" s="16" t="str">
        <f>IFERROR(IF([1]对账明细接口!$F$215=0,"",[1]对账明细接口!$F$215),"")</f>
        <v>香梨</v>
      </c>
      <c r="G215" s="16" t="str">
        <f>IFERROR(IF([1]对账明细接口!$G$215=0,"",[1]对账明细接口!$G$215),"")</f>
        <v>香梨一级</v>
      </c>
      <c r="H215" s="176">
        <f>IFERROR(IF([1]对账明细接口!$H$215=0,"",[1]对账明细接口!$H$215),"")</f>
        <v>50</v>
      </c>
      <c r="I215" s="16" t="str">
        <f>IFERROR(IF([1]对账明细接口!$I$215=0,"",[1]对账明细接口!$I$215),"")</f>
        <v>筐</v>
      </c>
      <c r="J215" s="177">
        <f>IFERROR(IF([1]对账明细接口!$J$215=0,"",[1]对账明细接口!$J$215),"")</f>
        <v>915</v>
      </c>
      <c r="K215" s="177">
        <f>IFERROR(IF([1]对账明细接口!$K$215=0,"",[1]对账明细接口!$K$215),"")</f>
      </c>
      <c r="L215" s="16">
        <f>IFERROR(IF([1]对账明细接口!$L$215=0,"",[1]对账明细接口!$L$215),"")</f>
      </c>
      <c r="M215" s="16" t="str">
        <f>IFERROR(IF([1]对账明细接口!$M$215=0,"",[1]对账明细接口!$M$215),"")</f>
        <v>麦麦提</v>
      </c>
      <c r="N215" s="19">
        <f>IF($C215="",0,1)</f>
        <v>1</v>
      </c>
      <c r="O215" s="19">
        <f>N(O214)+$N215</f>
        <v>212</v>
      </c>
      <c r="S215" s="20" t="str">
        <f>IFERROR(IF([1]对账明细接口!$N215=0,"",[1]对账明细接口!$N215),"")</f>
        <v>公司红周转筐</v>
      </c>
      <c r="T215" s="212">
        <f>IFERROR(IF([1]对账明细接口!$O215=0,"",[1]对账明细接口!$O215),"")</f>
      </c>
      <c r="U215" s="212">
        <f>IFERROR(IF([1]对账明细接口!$P215=0,"",[1]对账明细接口!$P215),"")</f>
      </c>
      <c r="V215" s="212">
        <f>IFERROR(IF([1]对账明细接口!$Q215=0,"",[1]对账明细接口!$Q215),"")</f>
        <v>50</v>
      </c>
      <c r="W215" s="20" t="str">
        <f>IFERROR(IF([1]对账明细接口!$R215=0,"",[1]对账明细接口!$R215),"")</f>
        <v>新N*X8S48</v>
      </c>
      <c r="X215" s="20" t="str">
        <f>IFERROR(IF([1]对账明细接口!$S215=0,"",[1]对账明细接口!$S215),"")</f>
        <v>公司筐</v>
      </c>
      <c r="Y215" s="20">
        <f>IFERROR(IF([1]对账明细接口!$T215=0,"",[1]对账明细接口!$T215),"")</f>
      </c>
      <c r="Z215" s="213">
        <f>IFERROR(IF([1]对账明细接口!$U215=0,"",[1]对账明细接口!$U215),"")</f>
      </c>
      <c r="AA215" s="213">
        <f>IFERROR(IF([1]对账明细接口!$V215=0,"",[1]对账明细接口!$V215),"")</f>
      </c>
      <c r="AB215" s="20">
        <f>IFERROR(IF([1]对账明细接口!$W215=0,"",[1]对账明细接口!$W215),"")</f>
      </c>
      <c r="AC215" s="7">
        <f>IFERROR(IF([1]对账明细接口!$X215=0,"",[1]对账明细接口!$X215),"")</f>
      </c>
      <c r="AD215" s="7">
        <f>IFERROR(IF([1]对账明细接口!$Y215=0,"",[1]对账明细接口!$Y215),"")</f>
      </c>
      <c r="AE215" s="7">
        <f>IFERROR(IF([1]对账明细接口!$AA215=0,"",[1]对账明细接口!$AA215),"")</f>
      </c>
      <c r="AF215" s="7">
        <f>IFERROR(IF([1]对账明细接口!$AB215=0,"",[1]对账明细接口!$AB215),"")</f>
      </c>
      <c r="AG215" s="7">
        <f>IFERROR(IF([1]对账明细接口!$AC215=0,"",[1]对账明细接口!$AC215),"")</f>
      </c>
      <c r="AH215" s="7">
        <f>IFERROR(IF([1]对账明细接口!$AD215=0,"",[1]对账明细接口!$AD215),"")</f>
      </c>
      <c r="AI215" s="7">
        <f>IFERROR(IF([1]对账明细接口!$AE215=0,"",[1]对账明细接口!$AE215),"")</f>
      </c>
      <c r="AJ215" s="7">
        <f>IFERROR(IF([1]对账明细接口!$AF215=0,"",[1]对账明细接口!$AF215),"")</f>
      </c>
    </row>
    <row r="216" ht="14.25" customHeight="1" s="127">
      <c r="A216" s="14" t="n">
        <v>216</v>
      </c>
      <c r="B216" s="211">
        <f>IFERROR(IF([1]对账明细接口!$B$216=0,"",[1]对账明细接口!$B$216),"")</f>
        <v>46278.0</v>
      </c>
      <c r="C216" s="16" t="str">
        <f>IFERROR(IF([1]对账明细接口!$C$216=0,"",[1]对账明细接口!$C$216),"")</f>
        <v>吐尔洪</v>
      </c>
      <c r="D216" s="16" t="str">
        <f>IFERROR(IF([1]对账明细接口!$D$216=0,"",[1]对账明细接口!$D$216),"")</f>
        <v>原料入库</v>
      </c>
      <c r="E216" s="16" t="str">
        <f>IFERROR(IF([1]对账明细接口!$E$216=0,"",[1]对账明细接口!$E$216),"")</f>
        <v>NO:0000799</v>
      </c>
      <c r="F216" s="16" t="str">
        <f>IFERROR(IF([1]对账明细接口!$F$216=0,"",[1]对账明细接口!$F$216),"")</f>
        <v>香梨</v>
      </c>
      <c r="G216" s="16" t="str">
        <f>IFERROR(IF([1]对账明细接口!$G$216=0,"",[1]对账明细接口!$G$216),"")</f>
        <v>香梨二级</v>
      </c>
      <c r="H216" s="176">
        <f>IFERROR(IF([1]对账明细接口!$H$216=0,"",[1]对账明细接口!$H$216),"")</f>
        <v>101</v>
      </c>
      <c r="I216" s="16" t="str">
        <f>IFERROR(IF([1]对账明细接口!$I$216=0,"",[1]对账明细接口!$I$216),"")</f>
        <v>筐</v>
      </c>
      <c r="J216" s="177">
        <f>IFERROR(IF([1]对账明细接口!$J$216=0,"",[1]对账明细接口!$J$216),"")</f>
        <v>2252.3</v>
      </c>
      <c r="K216" s="177">
        <f>IFERROR(IF([1]对账明细接口!$K$216=0,"",[1]对账明细接口!$K$216),"")</f>
      </c>
      <c r="L216" s="16">
        <f>IFERROR(IF([1]对账明细接口!$L$216=0,"",[1]对账明细接口!$L$216),"")</f>
      </c>
      <c r="M216" s="16" t="str">
        <f>IFERROR(IF([1]对账明细接口!$M$216=0,"",[1]对账明细接口!$M$216),"")</f>
        <v>麦麦提</v>
      </c>
      <c r="N216" s="19">
        <f>IF($C216="",0,1)</f>
        <v>1</v>
      </c>
      <c r="O216" s="19">
        <f>N(O215)+$N216</f>
        <v>213</v>
      </c>
      <c r="S216" s="20" t="str">
        <f>IFERROR(IF([1]对账明细接口!$N216=0,"",[1]对账明细接口!$N216),"")</f>
        <v>公司红周转筐</v>
      </c>
      <c r="T216" s="212">
        <f>IFERROR(IF([1]对账明细接口!$O216=0,"",[1]对账明细接口!$O216),"")</f>
      </c>
      <c r="U216" s="212">
        <f>IFERROR(IF([1]对账明细接口!$P216=0,"",[1]对账明细接口!$P216),"")</f>
      </c>
      <c r="V216" s="212">
        <f>IFERROR(IF([1]对账明细接口!$Q216=0,"",[1]对账明细接口!$Q216),"")</f>
        <v>101</v>
      </c>
      <c r="W216" s="20" t="str">
        <f>IFERROR(IF([1]对账明细接口!$R216=0,"",[1]对账明细接口!$R216),"")</f>
        <v>新N*X8S48</v>
      </c>
      <c r="X216" s="20" t="str">
        <f>IFERROR(IF([1]对账明细接口!$S216=0,"",[1]对账明细接口!$S216),"")</f>
        <v>公司筐</v>
      </c>
      <c r="Y216" s="20">
        <f>IFERROR(IF([1]对账明细接口!$T216=0,"",[1]对账明细接口!$T216),"")</f>
      </c>
      <c r="Z216" s="213">
        <f>IFERROR(IF([1]对账明细接口!$U216=0,"",[1]对账明细接口!$U216),"")</f>
      </c>
      <c r="AA216" s="213">
        <f>IFERROR(IF([1]对账明细接口!$V216=0,"",[1]对账明细接口!$V216),"")</f>
      </c>
      <c r="AB216" s="20">
        <f>IFERROR(IF([1]对账明细接口!$W216=0,"",[1]对账明细接口!$W216),"")</f>
      </c>
      <c r="AC216" s="7">
        <f>IFERROR(IF([1]对账明细接口!$X216=0,"",[1]对账明细接口!$X216),"")</f>
      </c>
      <c r="AD216" s="7">
        <f>IFERROR(IF([1]对账明细接口!$Y216=0,"",[1]对账明细接口!$Y216),"")</f>
      </c>
      <c r="AE216" s="7">
        <f>IFERROR(IF([1]对账明细接口!$AA216=0,"",[1]对账明细接口!$AA216),"")</f>
      </c>
      <c r="AF216" s="7">
        <f>IFERROR(IF([1]对账明细接口!$AB216=0,"",[1]对账明细接口!$AB216),"")</f>
      </c>
      <c r="AG216" s="7">
        <f>IFERROR(IF([1]对账明细接口!$AC216=0,"",[1]对账明细接口!$AC216),"")</f>
      </c>
      <c r="AH216" s="7">
        <f>IFERROR(IF([1]对账明细接口!$AD216=0,"",[1]对账明细接口!$AD216),"")</f>
      </c>
      <c r="AI216" s="7">
        <f>IFERROR(IF([1]对账明细接口!$AE216=0,"",[1]对账明细接口!$AE216),"")</f>
      </c>
      <c r="AJ216" s="7">
        <f>IFERROR(IF([1]对账明细接口!$AF216=0,"",[1]对账明细接口!$AF216),"")</f>
      </c>
    </row>
    <row r="217" ht="14.25" customHeight="1" s="127">
      <c r="A217" s="14" t="n">
        <v>217</v>
      </c>
      <c r="B217" s="211">
        <f>IFERROR(IF([1]对账明细接口!$B$217=0,"",[1]对账明细接口!$B$217),"")</f>
        <v>46278.0</v>
      </c>
      <c r="C217" s="16" t="str">
        <f>IFERROR(IF([1]对账明细接口!$C$217=0,"",[1]对账明细接口!$C$217),"")</f>
        <v>热合曼</v>
      </c>
      <c r="D217" s="16" t="str">
        <f>IFERROR(IF([1]对账明细接口!$D$217=0,"",[1]对账明细接口!$D$217),"")</f>
        <v>原料入库</v>
      </c>
      <c r="E217" s="16" t="str">
        <f>IFERROR(IF([1]对账明细接口!$E$217=0,"",[1]对账明细接口!$E$217),"")</f>
        <v>NO:0000800</v>
      </c>
      <c r="F217" s="16" t="str">
        <f>IFERROR(IF([1]对账明细接口!$F$217=0,"",[1]对账明细接口!$F$217),"")</f>
        <v>香梨</v>
      </c>
      <c r="G217" s="16" t="str">
        <f>IFERROR(IF([1]对账明细接口!$G$217=0,"",[1]对账明细接口!$G$217),"")</f>
        <v>香梨副特</v>
      </c>
      <c r="H217" s="176">
        <f>IFERROR(IF([1]对账明细接口!$H$217=0,"",[1]对账明细接口!$H$217),"")</f>
        <v>232</v>
      </c>
      <c r="I217" s="16" t="str">
        <f>IFERROR(IF([1]对账明细接口!$I$217=0,"",[1]对账明细接口!$I$217),"")</f>
        <v>筐</v>
      </c>
      <c r="J217" s="177">
        <f>IFERROR(IF([1]对账明细接口!$J$217=0,"",[1]对账明细接口!$J$217),"")</f>
        <v>4477.6</v>
      </c>
      <c r="K217" s="177">
        <f>IFERROR(IF([1]对账明细接口!$K$217=0,"",[1]对账明细接口!$K$217),"")</f>
      </c>
      <c r="L217" s="16">
        <f>IFERROR(IF([1]对账明细接口!$L$217=0,"",[1]对账明细接口!$L$217),"")</f>
      </c>
      <c r="M217" s="16">
        <f>IFERROR(IF([1]对账明细接口!$M$217=0,"",[1]对账明细接口!$M$217),"")</f>
      </c>
      <c r="N217" s="19">
        <f>IF($C217="",0,1)</f>
        <v>1</v>
      </c>
      <c r="O217" s="19">
        <f>N(O216)+$N217</f>
        <v>214</v>
      </c>
      <c r="S217" s="20" t="str">
        <f>IFERROR(IF([1]对账明细接口!$N217=0,"",[1]对账明细接口!$N217),"")</f>
        <v>公司红周转筐</v>
      </c>
      <c r="T217" s="212">
        <f>IFERROR(IF([1]对账明细接口!$O217=0,"",[1]对账明细接口!$O217),"")</f>
      </c>
      <c r="U217" s="212">
        <f>IFERROR(IF([1]对账明细接口!$P217=0,"",[1]对账明细接口!$P217),"")</f>
      </c>
      <c r="V217" s="212">
        <f>IFERROR(IF([1]对账明细接口!$Q217=0,"",[1]对账明细接口!$Q217),"")</f>
        <v>232</v>
      </c>
      <c r="W217" s="20" t="str">
        <f>IFERROR(IF([1]对账明细接口!$R217=0,"",[1]对账明细接口!$R217),"")</f>
        <v>新A*G0554</v>
      </c>
      <c r="X217" s="20" t="str">
        <f>IFERROR(IF([1]对账明细接口!$S217=0,"",[1]对账明细接口!$S217),"")</f>
        <v>公司筐</v>
      </c>
      <c r="Y217" s="20">
        <f>IFERROR(IF([1]对账明细接口!$T217=0,"",[1]对账明细接口!$T217),"")</f>
      </c>
      <c r="Z217" s="213">
        <f>IFERROR(IF([1]对账明细接口!$U217=0,"",[1]对账明细接口!$U217),"")</f>
      </c>
      <c r="AA217" s="213">
        <f>IFERROR(IF([1]对账明细接口!$V217=0,"",[1]对账明细接口!$V217),"")</f>
      </c>
      <c r="AB217" s="20">
        <f>IFERROR(IF([1]对账明细接口!$W217=0,"",[1]对账明细接口!$W217),"")</f>
      </c>
      <c r="AC217" s="7">
        <f>IFERROR(IF([1]对账明细接口!$X217=0,"",[1]对账明细接口!$X217),"")</f>
      </c>
      <c r="AD217" s="7">
        <f>IFERROR(IF([1]对账明细接口!$Y217=0,"",[1]对账明细接口!$Y217),"")</f>
      </c>
      <c r="AE217" s="7">
        <f>IFERROR(IF([1]对账明细接口!$AA217=0,"",[1]对账明细接口!$AA217),"")</f>
      </c>
      <c r="AF217" s="7">
        <f>IFERROR(IF([1]对账明细接口!$AB217=0,"",[1]对账明细接口!$AB217),"")</f>
      </c>
      <c r="AG217" s="7">
        <f>IFERROR(IF([1]对账明细接口!$AC217=0,"",[1]对账明细接口!$AC217),"")</f>
      </c>
      <c r="AH217" s="7">
        <f>IFERROR(IF([1]对账明细接口!$AD217=0,"",[1]对账明细接口!$AD217),"")</f>
      </c>
      <c r="AI217" s="7">
        <f>IFERROR(IF([1]对账明细接口!$AE217=0,"",[1]对账明细接口!$AE217),"")</f>
      </c>
      <c r="AJ217" s="7">
        <f>IFERROR(IF([1]对账明细接口!$AF217=0,"",[1]对账明细接口!$AF217),"")</f>
      </c>
    </row>
    <row r="218" ht="14.25" customHeight="1" s="127">
      <c r="A218" s="14" t="n">
        <v>218</v>
      </c>
      <c r="B218" s="211">
        <f>IFERROR(IF([1]对账明细接口!$B$218=0,"",[1]对账明细接口!$B$218),"")</f>
        <v>46278.0</v>
      </c>
      <c r="C218" s="16" t="str">
        <f>IFERROR(IF([1]对账明细接口!$C$218=0,"",[1]对账明细接口!$C$218),"")</f>
        <v>热合曼</v>
      </c>
      <c r="D218" s="16" t="str">
        <f>IFERROR(IF([1]对账明细接口!$D$218=0,"",[1]对账明细接口!$D$218),"")</f>
        <v>原料入库</v>
      </c>
      <c r="E218" s="16" t="str">
        <f>IFERROR(IF([1]对账明细接口!$E$218=0,"",[1]对账明细接口!$E$218),"")</f>
        <v>NO:0000800</v>
      </c>
      <c r="F218" s="16" t="str">
        <f>IFERROR(IF([1]对账明细接口!$F$218=0,"",[1]对账明细接口!$F$218),"")</f>
        <v>香梨</v>
      </c>
      <c r="G218" s="16" t="str">
        <f>IFERROR(IF([1]对账明细接口!$G$218=0,"",[1]对账明细接口!$G$218),"")</f>
        <v>香梨一级</v>
      </c>
      <c r="H218" s="176">
        <f>IFERROR(IF([1]对账明细接口!$H$218=0,"",[1]对账明细接口!$H$218),"")</f>
        <v>170</v>
      </c>
      <c r="I218" s="16" t="str">
        <f>IFERROR(IF([1]对账明细接口!$I$218=0,"",[1]对账明细接口!$I$218),"")</f>
        <v>筐</v>
      </c>
      <c r="J218" s="177">
        <f>IFERROR(IF([1]对账明细接口!$J$218=0,"",[1]对账明细接口!$J$218),"")</f>
        <v>3111</v>
      </c>
      <c r="K218" s="177">
        <f>IFERROR(IF([1]对账明细接口!$K$218=0,"",[1]对账明细接口!$K$218),"")</f>
      </c>
      <c r="L218" s="16">
        <f>IFERROR(IF([1]对账明细接口!$L$218=0,"",[1]对账明细接口!$L$218),"")</f>
      </c>
      <c r="M218" s="16">
        <f>IFERROR(IF([1]对账明细接口!$M$218=0,"",[1]对账明细接口!$M$218),"")</f>
      </c>
      <c r="N218" s="19">
        <f>IF($C218="",0,1)</f>
        <v>1</v>
      </c>
      <c r="O218" s="19">
        <f>N(O217)+$N218</f>
        <v>215</v>
      </c>
      <c r="S218" s="20" t="str">
        <f>IFERROR(IF([1]对账明细接口!$N218=0,"",[1]对账明细接口!$N218),"")</f>
        <v>公司红周转筐</v>
      </c>
      <c r="T218" s="212">
        <f>IFERROR(IF([1]对账明细接口!$O218=0,"",[1]对账明细接口!$O218),"")</f>
      </c>
      <c r="U218" s="212">
        <f>IFERROR(IF([1]对账明细接口!$P218=0,"",[1]对账明细接口!$P218),"")</f>
      </c>
      <c r="V218" s="212">
        <f>IFERROR(IF([1]对账明细接口!$Q218=0,"",[1]对账明细接口!$Q218),"")</f>
        <v>170</v>
      </c>
      <c r="W218" s="20" t="str">
        <f>IFERROR(IF([1]对账明细接口!$R218=0,"",[1]对账明细接口!$R218),"")</f>
        <v>新A*G0554</v>
      </c>
      <c r="X218" s="20" t="str">
        <f>IFERROR(IF([1]对账明细接口!$S218=0,"",[1]对账明细接口!$S218),"")</f>
        <v>公司筐</v>
      </c>
      <c r="Y218" s="20">
        <f>IFERROR(IF([1]对账明细接口!$T218=0,"",[1]对账明细接口!$T218),"")</f>
      </c>
      <c r="Z218" s="213">
        <f>IFERROR(IF([1]对账明细接口!$U218=0,"",[1]对账明细接口!$U218),"")</f>
      </c>
      <c r="AA218" s="213">
        <f>IFERROR(IF([1]对账明细接口!$V218=0,"",[1]对账明细接口!$V218),"")</f>
      </c>
      <c r="AB218" s="20">
        <f>IFERROR(IF([1]对账明细接口!$W218=0,"",[1]对账明细接口!$W218),"")</f>
      </c>
      <c r="AC218" s="7">
        <f>IFERROR(IF([1]对账明细接口!$X218=0,"",[1]对账明细接口!$X218),"")</f>
      </c>
      <c r="AD218" s="7">
        <f>IFERROR(IF([1]对账明细接口!$Y218=0,"",[1]对账明细接口!$Y218),"")</f>
      </c>
      <c r="AE218" s="7">
        <f>IFERROR(IF([1]对账明细接口!$AA218=0,"",[1]对账明细接口!$AA218),"")</f>
      </c>
      <c r="AF218" s="7">
        <f>IFERROR(IF([1]对账明细接口!$AB218=0,"",[1]对账明细接口!$AB218),"")</f>
      </c>
      <c r="AG218" s="7">
        <f>IFERROR(IF([1]对账明细接口!$AC218=0,"",[1]对账明细接口!$AC218),"")</f>
      </c>
      <c r="AH218" s="7">
        <f>IFERROR(IF([1]对账明细接口!$AD218=0,"",[1]对账明细接口!$AD218),"")</f>
      </c>
      <c r="AI218" s="7">
        <f>IFERROR(IF([1]对账明细接口!$AE218=0,"",[1]对账明细接口!$AE218),"")</f>
      </c>
      <c r="AJ218" s="7">
        <f>IFERROR(IF([1]对账明细接口!$AF218=0,"",[1]对账明细接口!$AF218),"")</f>
      </c>
    </row>
    <row r="219" ht="14.25" customHeight="1" s="127">
      <c r="A219" s="14" t="n">
        <v>219</v>
      </c>
      <c r="B219" s="211">
        <f>IFERROR(IF([1]对账明细接口!$B$219=0,"",[1]对账明细接口!$B$219),"")</f>
        <v>46278.0</v>
      </c>
      <c r="C219" s="16" t="str">
        <f>IFERROR(IF([1]对账明细接口!$C$219=0,"",[1]对账明细接口!$C$219),"")</f>
        <v>热合曼</v>
      </c>
      <c r="D219" s="16" t="str">
        <f>IFERROR(IF([1]对账明细接口!$D$219=0,"",[1]对账明细接口!$D$219),"")</f>
        <v>原料入库</v>
      </c>
      <c r="E219" s="16" t="str">
        <f>IFERROR(IF([1]对账明细接口!$E$219=0,"",[1]对账明细接口!$E$219),"")</f>
        <v>NO:0000800</v>
      </c>
      <c r="F219" s="16" t="str">
        <f>IFERROR(IF([1]对账明细接口!$F$219=0,"",[1]对账明细接口!$F$219),"")</f>
        <v>香梨</v>
      </c>
      <c r="G219" s="16" t="str">
        <f>IFERROR(IF([1]对账明细接口!$G$219=0,"",[1]对账明细接口!$G$219),"")</f>
        <v>香梨二级</v>
      </c>
      <c r="H219" s="176">
        <f>IFERROR(IF([1]对账明细接口!$H$219=0,"",[1]对账明细接口!$H$219),"")</f>
        <v>30</v>
      </c>
      <c r="I219" s="16" t="str">
        <f>IFERROR(IF([1]对账明细接口!$I$219=0,"",[1]对账明细接口!$I$219),"")</f>
        <v>筐</v>
      </c>
      <c r="J219" s="177">
        <f>IFERROR(IF([1]对账明细接口!$J$219=0,"",[1]对账明细接口!$J$219),"")</f>
        <v>669</v>
      </c>
      <c r="K219" s="177">
        <f>IFERROR(IF([1]对账明细接口!$K$219=0,"",[1]对账明细接口!$K$219),"")</f>
      </c>
      <c r="L219" s="16">
        <f>IFERROR(IF([1]对账明细接口!$L$219=0,"",[1]对账明细接口!$L$219),"")</f>
      </c>
      <c r="M219" s="16">
        <f>IFERROR(IF([1]对账明细接口!$M$219=0,"",[1]对账明细接口!$M$219),"")</f>
      </c>
      <c r="N219" s="19">
        <f>IF($C219="",0,1)</f>
        <v>1</v>
      </c>
      <c r="O219" s="19">
        <f>N(O218)+$N219</f>
        <v>216</v>
      </c>
      <c r="S219" s="20" t="str">
        <f>IFERROR(IF([1]对账明细接口!$N219=0,"",[1]对账明细接口!$N219),"")</f>
        <v>公司红周转筐</v>
      </c>
      <c r="T219" s="212">
        <f>IFERROR(IF([1]对账明细接口!$O219=0,"",[1]对账明细接口!$O219),"")</f>
      </c>
      <c r="U219" s="212">
        <f>IFERROR(IF([1]对账明细接口!$P219=0,"",[1]对账明细接口!$P219),"")</f>
      </c>
      <c r="V219" s="212">
        <f>IFERROR(IF([1]对账明细接口!$Q219=0,"",[1]对账明细接口!$Q219),"")</f>
        <v>30</v>
      </c>
      <c r="W219" s="20" t="str">
        <f>IFERROR(IF([1]对账明细接口!$R219=0,"",[1]对账明细接口!$R219),"")</f>
        <v>新A*G0554</v>
      </c>
      <c r="X219" s="20" t="str">
        <f>IFERROR(IF([1]对账明细接口!$S219=0,"",[1]对账明细接口!$S219),"")</f>
        <v>公司筐</v>
      </c>
      <c r="Y219" s="20">
        <f>IFERROR(IF([1]对账明细接口!$T219=0,"",[1]对账明细接口!$T219),"")</f>
      </c>
      <c r="Z219" s="213">
        <f>IFERROR(IF([1]对账明细接口!$U219=0,"",[1]对账明细接口!$U219),"")</f>
      </c>
      <c r="AA219" s="213">
        <f>IFERROR(IF([1]对账明细接口!$V219=0,"",[1]对账明细接口!$V219),"")</f>
      </c>
      <c r="AB219" s="20">
        <f>IFERROR(IF([1]对账明细接口!$W219=0,"",[1]对账明细接口!$W219),"")</f>
      </c>
      <c r="AC219" s="7">
        <f>IFERROR(IF([1]对账明细接口!$X219=0,"",[1]对账明细接口!$X219),"")</f>
      </c>
      <c r="AD219" s="7">
        <f>IFERROR(IF([1]对账明细接口!$Y219=0,"",[1]对账明细接口!$Y219),"")</f>
      </c>
      <c r="AE219" s="7">
        <f>IFERROR(IF([1]对账明细接口!$AA219=0,"",[1]对账明细接口!$AA219),"")</f>
      </c>
      <c r="AF219" s="7">
        <f>IFERROR(IF([1]对账明细接口!$AB219=0,"",[1]对账明细接口!$AB219),"")</f>
      </c>
      <c r="AG219" s="7">
        <f>IFERROR(IF([1]对账明细接口!$AC219=0,"",[1]对账明细接口!$AC219),"")</f>
      </c>
      <c r="AH219" s="7">
        <f>IFERROR(IF([1]对账明细接口!$AD219=0,"",[1]对账明细接口!$AD219),"")</f>
      </c>
      <c r="AI219" s="7">
        <f>IFERROR(IF([1]对账明细接口!$AE219=0,"",[1]对账明细接口!$AE219),"")</f>
      </c>
      <c r="AJ219" s="7">
        <f>IFERROR(IF([1]对账明细接口!$AF219=0,"",[1]对账明细接口!$AF219),"")</f>
      </c>
    </row>
    <row r="220" ht="14.25" customHeight="1" s="127">
      <c r="A220" s="14" t="n">
        <v>220</v>
      </c>
      <c r="B220" s="211">
        <f>IFERROR(IF([1]对账明细接口!$B$220=0,"",[1]对账明细接口!$B$220),"")</f>
        <v>46278.0</v>
      </c>
      <c r="C220" s="16" t="str">
        <f>IFERROR(IF([1]对账明细接口!$C$220=0,"",[1]对账明细接口!$C$220),"")</f>
        <v>努尔敦</v>
      </c>
      <c r="D220" s="16" t="str">
        <f>IFERROR(IF([1]对账明细接口!$D$220=0,"",[1]对账明细接口!$D$220),"")</f>
        <v>原料入库</v>
      </c>
      <c r="E220" s="16" t="str">
        <f>IFERROR(IF([1]对账明细接口!$E$220=0,"",[1]对账明细接口!$E$220),"")</f>
        <v>NO:0000851</v>
      </c>
      <c r="F220" s="16" t="str">
        <f>IFERROR(IF([1]对账明细接口!$F$220=0,"",[1]对账明细接口!$F$220),"")</f>
        <v>香梨</v>
      </c>
      <c r="G220" s="16" t="str">
        <f>IFERROR(IF([1]对账明细接口!$G$220=0,"",[1]对账明细接口!$G$220),"")</f>
        <v>香梨特级</v>
      </c>
      <c r="H220" s="176">
        <f>IFERROR(IF([1]对账明细接口!$H$220=0,"",[1]对账明细接口!$H$220),"")</f>
        <v>162</v>
      </c>
      <c r="I220" s="16" t="str">
        <f>IFERROR(IF([1]对账明细接口!$I$220=0,"",[1]对账明细接口!$I$220),"")</f>
        <v>筐</v>
      </c>
      <c r="J220" s="177">
        <f>IFERROR(IF([1]对账明细接口!$J$220=0,"",[1]对账明细接口!$J$220),"")</f>
        <v>2964.6</v>
      </c>
      <c r="K220" s="177">
        <f>IFERROR(IF([1]对账明细接口!$K$220=0,"",[1]对账明细接口!$K$220),"")</f>
      </c>
      <c r="L220" s="16">
        <f>IFERROR(IF([1]对账明细接口!$L$220=0,"",[1]对账明细接口!$L$220),"")</f>
      </c>
      <c r="M220" s="16">
        <f>IFERROR(IF([1]对账明细接口!$M$220=0,"",[1]对账明细接口!$M$220),"")</f>
      </c>
      <c r="N220" s="19">
        <f>IF($C220="",0,1)</f>
        <v>1</v>
      </c>
      <c r="O220" s="19">
        <f>N(O219)+$N220</f>
        <v>217</v>
      </c>
      <c r="S220" s="20" t="str">
        <f>IFERROR(IF([1]对账明细接口!$N220=0,"",[1]对账明细接口!$N220),"")</f>
        <v>公司红周转筐</v>
      </c>
      <c r="T220" s="212">
        <f>IFERROR(IF([1]对账明细接口!$O220=0,"",[1]对账明细接口!$O220),"")</f>
      </c>
      <c r="U220" s="212">
        <f>IFERROR(IF([1]对账明细接口!$P220=0,"",[1]对账明细接口!$P220),"")</f>
      </c>
      <c r="V220" s="212">
        <f>IFERROR(IF([1]对账明细接口!$Q220=0,"",[1]对账明细接口!$Q220),"")</f>
        <v>162</v>
      </c>
      <c r="W220" s="20" t="str">
        <f>IFERROR(IF([1]对账明细接口!$R220=0,"",[1]对账明细接口!$R220),"")</f>
        <v>新F*75240</v>
      </c>
      <c r="X220" s="20" t="str">
        <f>IFERROR(IF([1]对账明细接口!$S220=0,"",[1]对账明细接口!$S220),"")</f>
        <v>公司筐</v>
      </c>
      <c r="Y220" s="20">
        <f>IFERROR(IF([1]对账明细接口!$T220=0,"",[1]对账明细接口!$T220),"")</f>
      </c>
      <c r="Z220" s="213">
        <f>IFERROR(IF([1]对账明细接口!$U220=0,"",[1]对账明细接口!$U220),"")</f>
      </c>
      <c r="AA220" s="213">
        <f>IFERROR(IF([1]对账明细接口!$V220=0,"",[1]对账明细接口!$V220),"")</f>
      </c>
      <c r="AB220" s="20">
        <f>IFERROR(IF([1]对账明细接口!$W220=0,"",[1]对账明细接口!$W220),"")</f>
      </c>
      <c r="AC220" s="7">
        <f>IFERROR(IF([1]对账明细接口!$X220=0,"",[1]对账明细接口!$X220),"")</f>
      </c>
      <c r="AD220" s="7">
        <f>IFERROR(IF([1]对账明细接口!$Y220=0,"",[1]对账明细接口!$Y220),"")</f>
      </c>
      <c r="AE220" s="7">
        <f>IFERROR(IF([1]对账明细接口!$AA220=0,"",[1]对账明细接口!$AA220),"")</f>
      </c>
      <c r="AF220" s="7">
        <f>IFERROR(IF([1]对账明细接口!$AB220=0,"",[1]对账明细接口!$AB220),"")</f>
      </c>
      <c r="AG220" s="7">
        <f>IFERROR(IF([1]对账明细接口!$AC220=0,"",[1]对账明细接口!$AC220),"")</f>
      </c>
      <c r="AH220" s="7">
        <f>IFERROR(IF([1]对账明细接口!$AD220=0,"",[1]对账明细接口!$AD220),"")</f>
      </c>
      <c r="AI220" s="7">
        <f>IFERROR(IF([1]对账明细接口!$AE220=0,"",[1]对账明细接口!$AE220),"")</f>
      </c>
      <c r="AJ220" s="7">
        <f>IFERROR(IF([1]对账明细接口!$AF220=0,"",[1]对账明细接口!$AF220),"")</f>
      </c>
    </row>
    <row r="221" ht="14.25" customHeight="1" s="127">
      <c r="A221" s="14" t="n">
        <v>221</v>
      </c>
      <c r="B221" s="211">
        <f>IFERROR(IF([1]对账明细接口!$B$221=0,"",[1]对账明细接口!$B$221),"")</f>
        <v>46278.0</v>
      </c>
      <c r="C221" s="16" t="str">
        <f>IFERROR(IF([1]对账明细接口!$C$221=0,"",[1]对账明细接口!$C$221),"")</f>
        <v>努尔敦</v>
      </c>
      <c r="D221" s="16" t="str">
        <f>IFERROR(IF([1]对账明细接口!$D$221=0,"",[1]对账明细接口!$D$221),"")</f>
        <v>原料入库</v>
      </c>
      <c r="E221" s="16" t="str">
        <f>IFERROR(IF([1]对账明细接口!$E$221=0,"",[1]对账明细接口!$E$221),"")</f>
        <v>NO:0000851</v>
      </c>
      <c r="F221" s="16" t="str">
        <f>IFERROR(IF([1]对账明细接口!$F$221=0,"",[1]对账明细接口!$F$221),"")</f>
        <v>香梨</v>
      </c>
      <c r="G221" s="16" t="str">
        <f>IFERROR(IF([1]对账明细接口!$G$221=0,"",[1]对账明细接口!$G$221),"")</f>
        <v>香梨一级</v>
      </c>
      <c r="H221" s="176">
        <f>IFERROR(IF([1]对账明细接口!$H$221=0,"",[1]对账明细接口!$H$221),"")</f>
        <v>300</v>
      </c>
      <c r="I221" s="16" t="str">
        <f>IFERROR(IF([1]对账明细接口!$I$221=0,"",[1]对账明细接口!$I$221),"")</f>
        <v>筐</v>
      </c>
      <c r="J221" s="177">
        <f>IFERROR(IF([1]对账明细接口!$J$221=0,"",[1]对账明细接口!$J$221),"")</f>
        <v>5490</v>
      </c>
      <c r="K221" s="177">
        <f>IFERROR(IF([1]对账明细接口!$K$221=0,"",[1]对账明细接口!$K$221),"")</f>
      </c>
      <c r="L221" s="16">
        <f>IFERROR(IF([1]对账明细接口!$L$221=0,"",[1]对账明细接口!$L$221),"")</f>
      </c>
      <c r="M221" s="16">
        <f>IFERROR(IF([1]对账明细接口!$M$221=0,"",[1]对账明细接口!$M$221),"")</f>
      </c>
      <c r="N221" s="19">
        <f>IF($C221="",0,1)</f>
        <v>1</v>
      </c>
      <c r="O221" s="19">
        <f>N(O220)+$N221</f>
        <v>218</v>
      </c>
      <c r="S221" s="20" t="str">
        <f>IFERROR(IF([1]对账明细接口!$N221=0,"",[1]对账明细接口!$N221),"")</f>
        <v>公司红周转筐</v>
      </c>
      <c r="T221" s="212">
        <f>IFERROR(IF([1]对账明细接口!$O221=0,"",[1]对账明细接口!$O221),"")</f>
      </c>
      <c r="U221" s="212">
        <f>IFERROR(IF([1]对账明细接口!$P221=0,"",[1]对账明细接口!$P221),"")</f>
      </c>
      <c r="V221" s="212">
        <f>IFERROR(IF([1]对账明细接口!$Q221=0,"",[1]对账明细接口!$Q221),"")</f>
        <v>300</v>
      </c>
      <c r="W221" s="20" t="str">
        <f>IFERROR(IF([1]对账明细接口!$R221=0,"",[1]对账明细接口!$R221),"")</f>
        <v>新F*75240</v>
      </c>
      <c r="X221" s="20" t="str">
        <f>IFERROR(IF([1]对账明细接口!$S221=0,"",[1]对账明细接口!$S221),"")</f>
        <v>公司筐</v>
      </c>
      <c r="Y221" s="20">
        <f>IFERROR(IF([1]对账明细接口!$T221=0,"",[1]对账明细接口!$T221),"")</f>
      </c>
      <c r="Z221" s="213">
        <f>IFERROR(IF([1]对账明细接口!$U221=0,"",[1]对账明细接口!$U221),"")</f>
      </c>
      <c r="AA221" s="213">
        <f>IFERROR(IF([1]对账明细接口!$V221=0,"",[1]对账明细接口!$V221),"")</f>
      </c>
      <c r="AB221" s="20">
        <f>IFERROR(IF([1]对账明细接口!$W221=0,"",[1]对账明细接口!$W221),"")</f>
      </c>
      <c r="AC221" s="7">
        <f>IFERROR(IF([1]对账明细接口!$X221=0,"",[1]对账明细接口!$X221),"")</f>
      </c>
      <c r="AD221" s="7">
        <f>IFERROR(IF([1]对账明细接口!$Y221=0,"",[1]对账明细接口!$Y221),"")</f>
      </c>
      <c r="AE221" s="7">
        <f>IFERROR(IF([1]对账明细接口!$AA221=0,"",[1]对账明细接口!$AA221),"")</f>
      </c>
      <c r="AF221" s="7">
        <f>IFERROR(IF([1]对账明细接口!$AB221=0,"",[1]对账明细接口!$AB221),"")</f>
      </c>
      <c r="AG221" s="7">
        <f>IFERROR(IF([1]对账明细接口!$AC221=0,"",[1]对账明细接口!$AC221),"")</f>
      </c>
      <c r="AH221" s="7">
        <f>IFERROR(IF([1]对账明细接口!$AD221=0,"",[1]对账明细接口!$AD221),"")</f>
      </c>
      <c r="AI221" s="7">
        <f>IFERROR(IF([1]对账明细接口!$AE221=0,"",[1]对账明细接口!$AE221),"")</f>
      </c>
      <c r="AJ221" s="7">
        <f>IFERROR(IF([1]对账明细接口!$AF221=0,"",[1]对账明细接口!$AF221),"")</f>
      </c>
    </row>
    <row r="222" ht="14.25" customHeight="1" s="127">
      <c r="A222" s="14" t="n">
        <v>222</v>
      </c>
      <c r="B222" s="211">
        <f>IFERROR(IF([1]对账明细接口!$B$222=0,"",[1]对账明细接口!$B$222),"")</f>
        <v>46278.0</v>
      </c>
      <c r="C222" s="16" t="str">
        <f>IFERROR(IF([1]对账明细接口!$C$222=0,"",[1]对账明细接口!$C$222),"")</f>
        <v>努尔敦</v>
      </c>
      <c r="D222" s="16" t="str">
        <f>IFERROR(IF([1]对账明细接口!$D$222=0,"",[1]对账明细接口!$D$222),"")</f>
        <v>原料入库</v>
      </c>
      <c r="E222" s="16" t="str">
        <f>IFERROR(IF([1]对账明细接口!$E$222=0,"",[1]对账明细接口!$E$222),"")</f>
        <v>NO:0000851</v>
      </c>
      <c r="F222" s="16" t="str">
        <f>IFERROR(IF([1]对账明细接口!$F$222=0,"",[1]对账明细接口!$F$222),"")</f>
        <v>香梨</v>
      </c>
      <c r="G222" s="16" t="str">
        <f>IFERROR(IF([1]对账明细接口!$G$222=0,"",[1]对账明细接口!$G$222),"")</f>
        <v>香梨二级</v>
      </c>
      <c r="H222" s="176">
        <f>IFERROR(IF([1]对账明细接口!$H$222=0,"",[1]对账明细接口!$H$222),"")</f>
        <v>188</v>
      </c>
      <c r="I222" s="16" t="str">
        <f>IFERROR(IF([1]对账明细接口!$I$222=0,"",[1]对账明细接口!$I$222),"")</f>
        <v>筐</v>
      </c>
      <c r="J222" s="177">
        <f>IFERROR(IF([1]对账明细接口!$J$222=0,"",[1]对账明细接口!$J$222),"")</f>
        <v>4192.4</v>
      </c>
      <c r="K222" s="177">
        <f>IFERROR(IF([1]对账明细接口!$K$222=0,"",[1]对账明细接口!$K$222),"")</f>
      </c>
      <c r="L222" s="16">
        <f>IFERROR(IF([1]对账明细接口!$L$222=0,"",[1]对账明细接口!$L$222),"")</f>
      </c>
      <c r="M222" s="16">
        <f>IFERROR(IF([1]对账明细接口!$M$222=0,"",[1]对账明细接口!$M$222),"")</f>
      </c>
      <c r="N222" s="19">
        <f>IF($C222="",0,1)</f>
        <v>1</v>
      </c>
      <c r="O222" s="19">
        <f>N(O221)+$N222</f>
        <v>219</v>
      </c>
      <c r="S222" s="20" t="str">
        <f>IFERROR(IF([1]对账明细接口!$N222=0,"",[1]对账明细接口!$N222),"")</f>
        <v>公司红周转筐</v>
      </c>
      <c r="T222" s="212">
        <f>IFERROR(IF([1]对账明细接口!$O222=0,"",[1]对账明细接口!$O222),"")</f>
      </c>
      <c r="U222" s="212">
        <f>IFERROR(IF([1]对账明细接口!$P222=0,"",[1]对账明细接口!$P222),"")</f>
      </c>
      <c r="V222" s="212">
        <f>IFERROR(IF([1]对账明细接口!$Q222=0,"",[1]对账明细接口!$Q222),"")</f>
        <v>188</v>
      </c>
      <c r="W222" s="20" t="str">
        <f>IFERROR(IF([1]对账明细接口!$R222=0,"",[1]对账明细接口!$R222),"")</f>
        <v>新F*75240</v>
      </c>
      <c r="X222" s="20" t="str">
        <f>IFERROR(IF([1]对账明细接口!$S222=0,"",[1]对账明细接口!$S222),"")</f>
        <v>公司筐</v>
      </c>
      <c r="Y222" s="20">
        <f>IFERROR(IF([1]对账明细接口!$T222=0,"",[1]对账明细接口!$T222),"")</f>
      </c>
      <c r="Z222" s="213">
        <f>IFERROR(IF([1]对账明细接口!$U222=0,"",[1]对账明细接口!$U222),"")</f>
      </c>
      <c r="AA222" s="213">
        <f>IFERROR(IF([1]对账明细接口!$V222=0,"",[1]对账明细接口!$V222),"")</f>
      </c>
      <c r="AB222" s="20">
        <f>IFERROR(IF([1]对账明细接口!$W222=0,"",[1]对账明细接口!$W222),"")</f>
      </c>
      <c r="AC222" s="7">
        <f>IFERROR(IF([1]对账明细接口!$X222=0,"",[1]对账明细接口!$X222),"")</f>
      </c>
      <c r="AD222" s="7">
        <f>IFERROR(IF([1]对账明细接口!$Y222=0,"",[1]对账明细接口!$Y222),"")</f>
      </c>
      <c r="AE222" s="7">
        <f>IFERROR(IF([1]对账明细接口!$AA222=0,"",[1]对账明细接口!$AA222),"")</f>
      </c>
      <c r="AF222" s="7">
        <f>IFERROR(IF([1]对账明细接口!$AB222=0,"",[1]对账明细接口!$AB222),"")</f>
      </c>
      <c r="AG222" s="7">
        <f>IFERROR(IF([1]对账明细接口!$AC222=0,"",[1]对账明细接口!$AC222),"")</f>
      </c>
      <c r="AH222" s="7">
        <f>IFERROR(IF([1]对账明细接口!$AD222=0,"",[1]对账明细接口!$AD222),"")</f>
      </c>
      <c r="AI222" s="7">
        <f>IFERROR(IF([1]对账明细接口!$AE222=0,"",[1]对账明细接口!$AE222),"")</f>
      </c>
      <c r="AJ222" s="7">
        <f>IFERROR(IF([1]对账明细接口!$AF222=0,"",[1]对账明细接口!$AF222),"")</f>
      </c>
    </row>
    <row r="223" ht="14.25" customHeight="1" s="127">
      <c r="A223" s="14" t="n">
        <v>223</v>
      </c>
      <c r="B223" s="211">
        <f>IFERROR(IF([1]对账明细接口!$B$223=0,"",[1]对账明细接口!$B$223),"")</f>
        <v>46278.0</v>
      </c>
      <c r="C223" s="16" t="str">
        <f>IFERROR(IF([1]对账明细接口!$C$223=0,"",[1]对账明细接口!$C$223),"")</f>
        <v>马锦祥</v>
      </c>
      <c r="D223" s="16" t="str">
        <f>IFERROR(IF([1]对账明细接口!$D$223=0,"",[1]对账明细接口!$D$223),"")</f>
        <v>原料入库</v>
      </c>
      <c r="E223" s="16" t="str">
        <f>IFERROR(IF([1]对账明细接口!$E$223=0,"",[1]对账明细接口!$E$223),"")</f>
        <v>NO:0000852</v>
      </c>
      <c r="F223" s="16" t="str">
        <f>IFERROR(IF([1]对账明细接口!$F$223=0,"",[1]对账明细接口!$F$223),"")</f>
        <v>香梨</v>
      </c>
      <c r="G223" s="16" t="str">
        <f>IFERROR(IF([1]对账明细接口!$G$223=0,"",[1]对账明细接口!$G$223),"")</f>
        <v>香梨一级</v>
      </c>
      <c r="H223" s="176">
        <f>IFERROR(IF([1]对账明细接口!$H$223=0,"",[1]对账明细接口!$H$223),"")</f>
        <v>294</v>
      </c>
      <c r="I223" s="16" t="str">
        <f>IFERROR(IF([1]对账明细接口!$I$223=0,"",[1]对账明细接口!$I$223),"")</f>
        <v>筐</v>
      </c>
      <c r="J223" s="177">
        <f>IFERROR(IF([1]对账明细接口!$J$223=0,"",[1]对账明细接口!$J$223),"")</f>
        <v>5380.2</v>
      </c>
      <c r="K223" s="177">
        <f>IFERROR(IF([1]对账明细接口!$K$223=0,"",[1]对账明细接口!$K$223),"")</f>
      </c>
      <c r="L223" s="16">
        <f>IFERROR(IF([1]对账明细接口!$L$223=0,"",[1]对账明细接口!$L$223),"")</f>
      </c>
      <c r="M223" s="16">
        <f>IFERROR(IF([1]对账明细接口!$M$223=0,"",[1]对账明细接口!$M$223),"")</f>
      </c>
      <c r="N223" s="19">
        <f>IF($C223="",0,1)</f>
        <v>1</v>
      </c>
      <c r="O223" s="19">
        <f>N(O222)+$N223</f>
        <v>220</v>
      </c>
      <c r="S223" s="20" t="str">
        <f>IFERROR(IF([1]对账明细接口!$N223=0,"",[1]对账明细接口!$N223),"")</f>
        <v>公司杂周转筐</v>
      </c>
      <c r="T223" s="212">
        <f>IFERROR(IF([1]对账明细接口!$O223=0,"",[1]对账明细接口!$O223),"")</f>
      </c>
      <c r="U223" s="212">
        <f>IFERROR(IF([1]对账明细接口!$P223=0,"",[1]对账明细接口!$P223),"")</f>
      </c>
      <c r="V223" s="212">
        <f>IFERROR(IF([1]对账明细接口!$Q223=0,"",[1]对账明细接口!$Q223),"")</f>
        <v>294</v>
      </c>
      <c r="W223" s="20" t="str">
        <f>IFERROR(IF([1]对账明细接口!$R223=0,"",[1]对账明细接口!$R223),"")</f>
        <v>新N*K7V85</v>
      </c>
      <c r="X223" s="20" t="str">
        <f>IFERROR(IF([1]对账明细接口!$S223=0,"",[1]对账明细接口!$S223),"")</f>
        <v>公司筐</v>
      </c>
      <c r="Y223" s="20">
        <f>IFERROR(IF([1]对账明细接口!$T223=0,"",[1]对账明细接口!$T223),"")</f>
      </c>
      <c r="Z223" s="213">
        <f>IFERROR(IF([1]对账明细接口!$U223=0,"",[1]对账明细接口!$U223),"")</f>
      </c>
      <c r="AA223" s="213">
        <f>IFERROR(IF([1]对账明细接口!$V223=0,"",[1]对账明细接口!$V223),"")</f>
      </c>
      <c r="AB223" s="20">
        <f>IFERROR(IF([1]对账明细接口!$W223=0,"",[1]对账明细接口!$W223),"")</f>
      </c>
      <c r="AC223" s="7">
        <f>IFERROR(IF([1]对账明细接口!$X223=0,"",[1]对账明细接口!$X223),"")</f>
      </c>
      <c r="AD223" s="7">
        <f>IFERROR(IF([1]对账明细接口!$Y223=0,"",[1]对账明细接口!$Y223),"")</f>
      </c>
      <c r="AE223" s="7">
        <f>IFERROR(IF([1]对账明细接口!$AA223=0,"",[1]对账明细接口!$AA223),"")</f>
      </c>
      <c r="AF223" s="7">
        <f>IFERROR(IF([1]对账明细接口!$AB223=0,"",[1]对账明细接口!$AB223),"")</f>
      </c>
      <c r="AG223" s="7">
        <f>IFERROR(IF([1]对账明细接口!$AC223=0,"",[1]对账明细接口!$AC223),"")</f>
      </c>
      <c r="AH223" s="7">
        <f>IFERROR(IF([1]对账明细接口!$AD223=0,"",[1]对账明细接口!$AD223),"")</f>
      </c>
      <c r="AI223" s="7">
        <f>IFERROR(IF([1]对账明细接口!$AE223=0,"",[1]对账明细接口!$AE223),"")</f>
      </c>
      <c r="AJ223" s="7">
        <f>IFERROR(IF([1]对账明细接口!$AF223=0,"",[1]对账明细接口!$AF223),"")</f>
      </c>
    </row>
    <row r="224" ht="14.25" customHeight="1" s="127">
      <c r="A224" s="14" t="n">
        <v>224</v>
      </c>
      <c r="B224" s="211">
        <f>IFERROR(IF([1]对账明细接口!$B$224=0,"",[1]对账明细接口!$B$224),"")</f>
        <v>46278.0</v>
      </c>
      <c r="C224" s="16" t="str">
        <f>IFERROR(IF([1]对账明细接口!$C$224=0,"",[1]对账明细接口!$C$224),"")</f>
        <v>马锦祥</v>
      </c>
      <c r="D224" s="16" t="str">
        <f>IFERROR(IF([1]对账明细接口!$D$224=0,"",[1]对账明细接口!$D$224),"")</f>
        <v>原料入库</v>
      </c>
      <c r="E224" s="16" t="str">
        <f>IFERROR(IF([1]对账明细接口!$E$224=0,"",[1]对账明细接口!$E$224),"")</f>
        <v>NO:0000852</v>
      </c>
      <c r="F224" s="16" t="str">
        <f>IFERROR(IF([1]对账明细接口!$F$224=0,"",[1]对账明细接口!$F$224),"")</f>
        <v>香梨</v>
      </c>
      <c r="G224" s="16" t="str">
        <f>IFERROR(IF([1]对账明细接口!$G$224=0,"",[1]对账明细接口!$G$224),"")</f>
        <v>香梨二级</v>
      </c>
      <c r="H224" s="176">
        <f>IFERROR(IF([1]对账明细接口!$H$224=0,"",[1]对账明细接口!$H$224),"")</f>
        <v>42</v>
      </c>
      <c r="I224" s="16" t="str">
        <f>IFERROR(IF([1]对账明细接口!$I$224=0,"",[1]对账明细接口!$I$224),"")</f>
        <v>筐</v>
      </c>
      <c r="J224" s="177">
        <f>IFERROR(IF([1]对账明细接口!$J$224=0,"",[1]对账明细接口!$J$224),"")</f>
        <v>936.6</v>
      </c>
      <c r="K224" s="177">
        <f>IFERROR(IF([1]对账明细接口!$K$224=0,"",[1]对账明细接口!$K$224),"")</f>
      </c>
      <c r="L224" s="16">
        <f>IFERROR(IF([1]对账明细接口!$L$224=0,"",[1]对账明细接口!$L$224),"")</f>
      </c>
      <c r="M224" s="16">
        <f>IFERROR(IF([1]对账明细接口!$M$224=0,"",[1]对账明细接口!$M$224),"")</f>
      </c>
      <c r="N224" s="19">
        <f>IF($C224="",0,1)</f>
        <v>1</v>
      </c>
      <c r="O224" s="19">
        <f>N(O223)+$N224</f>
        <v>221</v>
      </c>
      <c r="S224" s="20" t="str">
        <f>IFERROR(IF([1]对账明细接口!$N224=0,"",[1]对账明细接口!$N224),"")</f>
        <v>公司杂周转筐</v>
      </c>
      <c r="T224" s="212">
        <f>IFERROR(IF([1]对账明细接口!$O224=0,"",[1]对账明细接口!$O224),"")</f>
      </c>
      <c r="U224" s="212">
        <f>IFERROR(IF([1]对账明细接口!$P224=0,"",[1]对账明细接口!$P224),"")</f>
      </c>
      <c r="V224" s="212">
        <f>IFERROR(IF([1]对账明细接口!$Q224=0,"",[1]对账明细接口!$Q224),"")</f>
        <v>42</v>
      </c>
      <c r="W224" s="20" t="str">
        <f>IFERROR(IF([1]对账明细接口!$R224=0,"",[1]对账明细接口!$R224),"")</f>
        <v>新N*K7V85</v>
      </c>
      <c r="X224" s="20" t="str">
        <f>IFERROR(IF([1]对账明细接口!$S224=0,"",[1]对账明细接口!$S224),"")</f>
        <v>公司筐</v>
      </c>
      <c r="Y224" s="20">
        <f>IFERROR(IF([1]对账明细接口!$T224=0,"",[1]对账明细接口!$T224),"")</f>
      </c>
      <c r="Z224" s="213">
        <f>IFERROR(IF([1]对账明细接口!$U224=0,"",[1]对账明细接口!$U224),"")</f>
      </c>
      <c r="AA224" s="213">
        <f>IFERROR(IF([1]对账明细接口!$V224=0,"",[1]对账明细接口!$V224),"")</f>
      </c>
      <c r="AB224" s="20">
        <f>IFERROR(IF([1]对账明细接口!$W224=0,"",[1]对账明细接口!$W224),"")</f>
      </c>
      <c r="AC224" s="7">
        <f>IFERROR(IF([1]对账明细接口!$X224=0,"",[1]对账明细接口!$X224),"")</f>
      </c>
      <c r="AD224" s="7">
        <f>IFERROR(IF([1]对账明细接口!$Y224=0,"",[1]对账明细接口!$Y224),"")</f>
      </c>
      <c r="AE224" s="7">
        <f>IFERROR(IF([1]对账明细接口!$AA224=0,"",[1]对账明细接口!$AA224),"")</f>
      </c>
      <c r="AF224" s="7">
        <f>IFERROR(IF([1]对账明细接口!$AB224=0,"",[1]对账明细接口!$AB224),"")</f>
      </c>
      <c r="AG224" s="7">
        <f>IFERROR(IF([1]对账明细接口!$AC224=0,"",[1]对账明细接口!$AC224),"")</f>
      </c>
      <c r="AH224" s="7">
        <f>IFERROR(IF([1]对账明细接口!$AD224=0,"",[1]对账明细接口!$AD224),"")</f>
      </c>
      <c r="AI224" s="7">
        <f>IFERROR(IF([1]对账明细接口!$AE224=0,"",[1]对账明细接口!$AE224),"")</f>
      </c>
      <c r="AJ224" s="7">
        <f>IFERROR(IF([1]对账明细接口!$AF224=0,"",[1]对账明细接口!$AF224),"")</f>
      </c>
    </row>
    <row r="225" ht="14.25" customHeight="1" s="127">
      <c r="A225" s="14" t="n">
        <v>225</v>
      </c>
      <c r="B225" s="211">
        <f>IFERROR(IF([1]对账明细接口!$B$225=0,"",[1]对账明细接口!$B$225),"")</f>
        <v>46278.0</v>
      </c>
      <c r="C225" s="16" t="str">
        <f>IFERROR(IF([1]对账明细接口!$C$225=0,"",[1]对账明细接口!$C$225),"")</f>
        <v>马锦祥</v>
      </c>
      <c r="D225" s="16" t="str">
        <f>IFERROR(IF([1]对账明细接口!$D$225=0,"",[1]对账明细接口!$D$225),"")</f>
        <v>原料入库</v>
      </c>
      <c r="E225" s="16" t="str">
        <f>IFERROR(IF([1]对账明细接口!$E$225=0,"",[1]对账明细接口!$E$225),"")</f>
        <v>NO:0000852</v>
      </c>
      <c r="F225" s="16" t="str">
        <f>IFERROR(IF([1]对账明细接口!$F$225=0,"",[1]对账明细接口!$F$225),"")</f>
        <v>香梨</v>
      </c>
      <c r="G225" s="16" t="str">
        <f>IFERROR(IF([1]对账明细接口!$G$225=0,"",[1]对账明细接口!$G$225),"")</f>
        <v>香梨副特</v>
      </c>
      <c r="H225" s="176">
        <f>IFERROR(IF([1]对账明细接口!$H$225=0,"",[1]对账明细接口!$H$225),"")</f>
        <v>7</v>
      </c>
      <c r="I225" s="16" t="str">
        <f>IFERROR(IF([1]对账明细接口!$I$225=0,"",[1]对账明细接口!$I$225),"")</f>
        <v>筐</v>
      </c>
      <c r="J225" s="177">
        <f>IFERROR(IF([1]对账明细接口!$J$225=0,"",[1]对账明细接口!$J$225),"")</f>
        <v>128.1</v>
      </c>
      <c r="K225" s="177">
        <f>IFERROR(IF([1]对账明细接口!$K$225=0,"",[1]对账明细接口!$K$225),"")</f>
      </c>
      <c r="L225" s="16">
        <f>IFERROR(IF([1]对账明细接口!$L$225=0,"",[1]对账明细接口!$L$225),"")</f>
      </c>
      <c r="M225" s="16">
        <f>IFERROR(IF([1]对账明细接口!$M$225=0,"",[1]对账明细接口!$M$225),"")</f>
      </c>
      <c r="N225" s="19">
        <f>IF($C225="",0,1)</f>
        <v>1</v>
      </c>
      <c r="O225" s="19">
        <f>N(O224)+$N225</f>
        <v>222</v>
      </c>
      <c r="S225" s="20" t="str">
        <f>IFERROR(IF([1]对账明细接口!$N225=0,"",[1]对账明细接口!$N225),"")</f>
        <v>公司杂周转筐</v>
      </c>
      <c r="T225" s="212">
        <f>IFERROR(IF([1]对账明细接口!$O225=0,"",[1]对账明细接口!$O225),"")</f>
      </c>
      <c r="U225" s="212">
        <f>IFERROR(IF([1]对账明细接口!$P225=0,"",[1]对账明细接口!$P225),"")</f>
      </c>
      <c r="V225" s="212">
        <f>IFERROR(IF([1]对账明细接口!$Q225=0,"",[1]对账明细接口!$Q225),"")</f>
        <v>7</v>
      </c>
      <c r="W225" s="20" t="str">
        <f>IFERROR(IF([1]对账明细接口!$R225=0,"",[1]对账明细接口!$R225),"")</f>
        <v>新N*K7V85</v>
      </c>
      <c r="X225" s="20" t="str">
        <f>IFERROR(IF([1]对账明细接口!$S225=0,"",[1]对账明细接口!$S225),"")</f>
        <v>公司筐</v>
      </c>
      <c r="Y225" s="20">
        <f>IFERROR(IF([1]对账明细接口!$T225=0,"",[1]对账明细接口!$T225),"")</f>
      </c>
      <c r="Z225" s="213">
        <f>IFERROR(IF([1]对账明细接口!$U225=0,"",[1]对账明细接口!$U225),"")</f>
      </c>
      <c r="AA225" s="213">
        <f>IFERROR(IF([1]对账明细接口!$V225=0,"",[1]对账明细接口!$V225),"")</f>
      </c>
      <c r="AB225" s="20">
        <f>IFERROR(IF([1]对账明细接口!$W225=0,"",[1]对账明细接口!$W225),"")</f>
      </c>
      <c r="AC225" s="7">
        <f>IFERROR(IF([1]对账明细接口!$X225=0,"",[1]对账明细接口!$X225),"")</f>
      </c>
      <c r="AD225" s="7">
        <f>IFERROR(IF([1]对账明细接口!$Y225=0,"",[1]对账明细接口!$Y225),"")</f>
      </c>
      <c r="AE225" s="7">
        <f>IFERROR(IF([1]对账明细接口!$AA225=0,"",[1]对账明细接口!$AA225),"")</f>
      </c>
      <c r="AF225" s="7">
        <f>IFERROR(IF([1]对账明细接口!$AB225=0,"",[1]对账明细接口!$AB225),"")</f>
      </c>
      <c r="AG225" s="7">
        <f>IFERROR(IF([1]对账明细接口!$AC225=0,"",[1]对账明细接口!$AC225),"")</f>
      </c>
      <c r="AH225" s="7">
        <f>IFERROR(IF([1]对账明细接口!$AD225=0,"",[1]对账明细接口!$AD225),"")</f>
      </c>
      <c r="AI225" s="7">
        <f>IFERROR(IF([1]对账明细接口!$AE225=0,"",[1]对账明细接口!$AE225),"")</f>
      </c>
      <c r="AJ225" s="7">
        <f>IFERROR(IF([1]对账明细接口!$AF225=0,"",[1]对账明细接口!$AF225),"")</f>
      </c>
    </row>
    <row r="226" ht="14.25" customHeight="1" s="127">
      <c r="A226" s="14" t="n">
        <v>226</v>
      </c>
      <c r="B226" s="211">
        <f>IFERROR(IF([1]对账明细接口!$B$226=0,"",[1]对账明细接口!$B$226),"")</f>
        <v>46278.0</v>
      </c>
      <c r="C226" s="16" t="str">
        <f>IFERROR(IF([1]对账明细接口!$C$226=0,"",[1]对账明细接口!$C$226),"")</f>
        <v>荆建君</v>
      </c>
      <c r="D226" s="16" t="str">
        <f>IFERROR(IF([1]对账明细接口!$D$226=0,"",[1]对账明细接口!$D$226),"")</f>
        <v>原料入库</v>
      </c>
      <c r="E226" s="16" t="str">
        <f>IFERROR(IF([1]对账明细接口!$E$226=0,"",[1]对账明细接口!$E$226),"")</f>
        <v>NO:0000854</v>
      </c>
      <c r="F226" s="16" t="str">
        <f>IFERROR(IF([1]对账明细接口!$F$226=0,"",[1]对账明细接口!$F$226),"")</f>
        <v>香梨</v>
      </c>
      <c r="G226" s="16" t="str">
        <f>IFERROR(IF([1]对账明细接口!$G$226=0,"",[1]对账明细接口!$G$226),"")</f>
        <v>香梨一级</v>
      </c>
      <c r="H226" s="176">
        <f>IFERROR(IF([1]对账明细接口!$H$226=0,"",[1]对账明细接口!$H$226),"")</f>
        <v>383</v>
      </c>
      <c r="I226" s="16" t="str">
        <f>IFERROR(IF([1]对账明细接口!$I$226=0,"",[1]对账明细接口!$I$226),"")</f>
        <v>筐</v>
      </c>
      <c r="J226" s="177">
        <f>IFERROR(IF([1]对账明细接口!$J$226=0,"",[1]对账明细接口!$J$226),"")</f>
        <v>7008.9</v>
      </c>
      <c r="K226" s="177">
        <f>IFERROR(IF([1]对账明细接口!$K$226=0,"",[1]对账明细接口!$K$226),"")</f>
      </c>
      <c r="L226" s="16">
        <f>IFERROR(IF([1]对账明细接口!$L$226=0,"",[1]对账明细接口!$L$226),"")</f>
      </c>
      <c r="M226" s="16">
        <f>IFERROR(IF([1]对账明细接口!$M$226=0,"",[1]对账明细接口!$M$226),"")</f>
      </c>
      <c r="N226" s="19">
        <f>IF($C226="",0,1)</f>
        <v>1</v>
      </c>
      <c r="O226" s="19">
        <f>N(O225)+$N226</f>
        <v>223</v>
      </c>
      <c r="S226" s="20" t="str">
        <f>IFERROR(IF([1]对账明细接口!$N226=0,"",[1]对账明细接口!$N226),"")</f>
        <v>公司红周转筐</v>
      </c>
      <c r="T226" s="212">
        <f>IFERROR(IF([1]对账明细接口!$O226=0,"",[1]对账明细接口!$O226),"")</f>
      </c>
      <c r="U226" s="212">
        <f>IFERROR(IF([1]对账明细接口!$P226=0,"",[1]对账明细接口!$P226),"")</f>
      </c>
      <c r="V226" s="212">
        <f>IFERROR(IF([1]对账明细接口!$Q226=0,"",[1]对账明细接口!$Q226),"")</f>
        <v>383</v>
      </c>
      <c r="W226" s="20" t="str">
        <f>IFERROR(IF([1]对账明细接口!$R226=0,"",[1]对账明细接口!$R226),"")</f>
        <v>豫A*2737K</v>
      </c>
      <c r="X226" s="20" t="str">
        <f>IFERROR(IF([1]对账明细接口!$S226=0,"",[1]对账明细接口!$S226),"")</f>
        <v>公司筐</v>
      </c>
      <c r="Y226" s="20">
        <f>IFERROR(IF([1]对账明细接口!$T226=0,"",[1]对账明细接口!$T226),"")</f>
      </c>
      <c r="Z226" s="213">
        <f>IFERROR(IF([1]对账明细接口!$U226=0,"",[1]对账明细接口!$U226),"")</f>
      </c>
      <c r="AA226" s="213">
        <f>IFERROR(IF([1]对账明细接口!$V226=0,"",[1]对账明细接口!$V226),"")</f>
      </c>
      <c r="AB226" s="20">
        <f>IFERROR(IF([1]对账明细接口!$W226=0,"",[1]对账明细接口!$W226),"")</f>
      </c>
      <c r="AC226" s="7">
        <f>IFERROR(IF([1]对账明细接口!$X226=0,"",[1]对账明细接口!$X226),"")</f>
      </c>
      <c r="AD226" s="7">
        <f>IFERROR(IF([1]对账明细接口!$Y226=0,"",[1]对账明细接口!$Y226),"")</f>
      </c>
      <c r="AE226" s="7">
        <f>IFERROR(IF([1]对账明细接口!$AA226=0,"",[1]对账明细接口!$AA226),"")</f>
      </c>
      <c r="AF226" s="7">
        <f>IFERROR(IF([1]对账明细接口!$AB226=0,"",[1]对账明细接口!$AB226),"")</f>
      </c>
      <c r="AG226" s="7">
        <f>IFERROR(IF([1]对账明细接口!$AC226=0,"",[1]对账明细接口!$AC226),"")</f>
      </c>
      <c r="AH226" s="7">
        <f>IFERROR(IF([1]对账明细接口!$AD226=0,"",[1]对账明细接口!$AD226),"")</f>
      </c>
      <c r="AI226" s="7">
        <f>IFERROR(IF([1]对账明细接口!$AE226=0,"",[1]对账明细接口!$AE226),"")</f>
      </c>
      <c r="AJ226" s="7">
        <f>IFERROR(IF([1]对账明细接口!$AF226=0,"",[1]对账明细接口!$AF226),"")</f>
      </c>
    </row>
    <row r="227" ht="14.25" customHeight="1" s="127">
      <c r="A227" s="14" t="n">
        <v>227</v>
      </c>
      <c r="B227" s="211">
        <f>IFERROR(IF([1]对账明细接口!$B$227=0,"",[1]对账明细接口!$B$227),"")</f>
        <v>46278.0</v>
      </c>
      <c r="C227" s="16" t="str">
        <f>IFERROR(IF([1]对账明细接口!$C$227=0,"",[1]对账明细接口!$C$227),"")</f>
        <v>荆建君</v>
      </c>
      <c r="D227" s="16" t="str">
        <f>IFERROR(IF([1]对账明细接口!$D$227=0,"",[1]对账明细接口!$D$227),"")</f>
        <v>原料入库</v>
      </c>
      <c r="E227" s="16" t="str">
        <f>IFERROR(IF([1]对账明细接口!$E$227=0,"",[1]对账明细接口!$E$227),"")</f>
        <v>NO:0000854</v>
      </c>
      <c r="F227" s="16" t="str">
        <f>IFERROR(IF([1]对账明细接口!$F$227=0,"",[1]对账明细接口!$F$227),"")</f>
        <v>香梨</v>
      </c>
      <c r="G227" s="16" t="str">
        <f>IFERROR(IF([1]对账明细接口!$G$227=0,"",[1]对账明细接口!$G$227),"")</f>
        <v>香梨二级</v>
      </c>
      <c r="H227" s="176">
        <f>IFERROR(IF([1]对账明细接口!$H$227=0,"",[1]对账明细接口!$H$227),"")</f>
        <v>265</v>
      </c>
      <c r="I227" s="16" t="str">
        <f>IFERROR(IF([1]对账明细接口!$I$227=0,"",[1]对账明细接口!$I$227),"")</f>
        <v>筐</v>
      </c>
      <c r="J227" s="177">
        <f>IFERROR(IF([1]对账明细接口!$J$227=0,"",[1]对账明细接口!$J$227),"")</f>
        <v>4849.5</v>
      </c>
      <c r="K227" s="177">
        <f>IFERROR(IF([1]对账明细接口!$K$227=0,"",[1]对账明细接口!$K$227),"")</f>
      </c>
      <c r="L227" s="16">
        <f>IFERROR(IF([1]对账明细接口!$L$227=0,"",[1]对账明细接口!$L$227),"")</f>
      </c>
      <c r="M227" s="16">
        <f>IFERROR(IF([1]对账明细接口!$M$227=0,"",[1]对账明细接口!$M$227),"")</f>
      </c>
      <c r="N227" s="19">
        <f>IF($C227="",0,1)</f>
        <v>1</v>
      </c>
      <c r="O227" s="19">
        <f>N(O226)+$N227</f>
        <v>224</v>
      </c>
      <c r="S227" s="20" t="str">
        <f>IFERROR(IF([1]对账明细接口!$N227=0,"",[1]对账明细接口!$N227),"")</f>
        <v>公司红周转筐</v>
      </c>
      <c r="T227" s="212">
        <f>IFERROR(IF([1]对账明细接口!$O227=0,"",[1]对账明细接口!$O227),"")</f>
      </c>
      <c r="U227" s="212">
        <f>IFERROR(IF([1]对账明细接口!$P227=0,"",[1]对账明细接口!$P227),"")</f>
      </c>
      <c r="V227" s="212">
        <f>IFERROR(IF([1]对账明细接口!$Q227=0,"",[1]对账明细接口!$Q227),"")</f>
        <v>265</v>
      </c>
      <c r="W227" s="20" t="str">
        <f>IFERROR(IF([1]对账明细接口!$R227=0,"",[1]对账明细接口!$R227),"")</f>
        <v>豫A*2737K</v>
      </c>
      <c r="X227" s="20" t="str">
        <f>IFERROR(IF([1]对账明细接口!$S227=0,"",[1]对账明细接口!$S227),"")</f>
        <v>公司筐</v>
      </c>
      <c r="Y227" s="20">
        <f>IFERROR(IF([1]对账明细接口!$T227=0,"",[1]对账明细接口!$T227),"")</f>
      </c>
      <c r="Z227" s="213">
        <f>IFERROR(IF([1]对账明细接口!$U227=0,"",[1]对账明细接口!$U227),"")</f>
      </c>
      <c r="AA227" s="213">
        <f>IFERROR(IF([1]对账明细接口!$V227=0,"",[1]对账明细接口!$V227),"")</f>
      </c>
      <c r="AB227" s="20">
        <f>IFERROR(IF([1]对账明细接口!$W227=0,"",[1]对账明细接口!$W227),"")</f>
      </c>
      <c r="AC227" s="7">
        <f>IFERROR(IF([1]对账明细接口!$X227=0,"",[1]对账明细接口!$X227),"")</f>
      </c>
      <c r="AD227" s="7">
        <f>IFERROR(IF([1]对账明细接口!$Y227=0,"",[1]对账明细接口!$Y227),"")</f>
      </c>
      <c r="AE227" s="7">
        <f>IFERROR(IF([1]对账明细接口!$AA227=0,"",[1]对账明细接口!$AA227),"")</f>
      </c>
      <c r="AF227" s="7">
        <f>IFERROR(IF([1]对账明细接口!$AB227=0,"",[1]对账明细接口!$AB227),"")</f>
      </c>
      <c r="AG227" s="7">
        <f>IFERROR(IF([1]对账明细接口!$AC227=0,"",[1]对账明细接口!$AC227),"")</f>
      </c>
      <c r="AH227" s="7">
        <f>IFERROR(IF([1]对账明细接口!$AD227=0,"",[1]对账明细接口!$AD227),"")</f>
      </c>
      <c r="AI227" s="7">
        <f>IFERROR(IF([1]对账明细接口!$AE227=0,"",[1]对账明细接口!$AE227),"")</f>
      </c>
      <c r="AJ227" s="7">
        <f>IFERROR(IF([1]对账明细接口!$AF227=0,"",[1]对账明细接口!$AF227),"")</f>
      </c>
    </row>
    <row r="228" ht="14.25" customHeight="1" s="127">
      <c r="A228" s="14" t="n">
        <v>228</v>
      </c>
      <c r="B228" s="211">
        <f>IFERROR(IF([1]对账明细接口!$B$228=0,"",[1]对账明细接口!$B$228),"")</f>
        <v>46278.0</v>
      </c>
      <c r="C228" s="16" t="str">
        <f>IFERROR(IF([1]对账明细接口!$C$228=0,"",[1]对账明细接口!$C$228),"")</f>
        <v>王照雪</v>
      </c>
      <c r="D228" s="16" t="str">
        <f>IFERROR(IF([1]对账明细接口!$D$228=0,"",[1]对账明细接口!$D$228),"")</f>
        <v>原料入库</v>
      </c>
      <c r="E228" s="16" t="str">
        <f>IFERROR(IF([1]对账明细接口!$E$228=0,"",[1]对账明细接口!$E$228),"")</f>
        <v>NO:0000855</v>
      </c>
      <c r="F228" s="16" t="str">
        <f>IFERROR(IF([1]对账明细接口!$F$228=0,"",[1]对账明细接口!$F$228),"")</f>
        <v>苹果</v>
      </c>
      <c r="G228" s="16" t="str">
        <f>IFERROR(IF([1]对账明细接口!$G$228=0,"",[1]对账明细接口!$G$228),"")</f>
        <v>新世纪特级</v>
      </c>
      <c r="H228" s="176">
        <f>IFERROR(IF([1]对账明细接口!$H$228=0,"",[1]对账明细接口!$H$228),"")</f>
        <v>73</v>
      </c>
      <c r="I228" s="16" t="str">
        <f>IFERROR(IF([1]对账明细接口!$I$228=0,"",[1]对账明细接口!$I$228),"")</f>
        <v>筐</v>
      </c>
      <c r="J228" s="177">
        <f>IFERROR(IF([1]对账明细接口!$J$228=0,"",[1]对账明细接口!$J$228),"")</f>
        <v>1262.9</v>
      </c>
      <c r="K228" s="177">
        <f>IFERROR(IF([1]对账明细接口!$K$228=0,"",[1]对账明细接口!$K$228),"")</f>
      </c>
      <c r="L228" s="16">
        <f>IFERROR(IF([1]对账明细接口!$L$228=0,"",[1]对账明细接口!$L$228),"")</f>
      </c>
      <c r="M228" s="16" t="str">
        <f>IFERROR(IF([1]对账明细接口!$M$228=0,"",[1]对账明细接口!$M$228),"")</f>
        <v>光果</v>
      </c>
      <c r="N228" s="19">
        <f>IF($C228="",0,1)</f>
        <v>1</v>
      </c>
      <c r="O228" s="19">
        <f>N(O227)+$N228</f>
        <v>225</v>
      </c>
      <c r="S228" s="20" t="str">
        <f>IFERROR(IF([1]对账明细接口!$N228=0,"",[1]对账明细接口!$N228),"")</f>
        <v>公司杂周转筐</v>
      </c>
      <c r="T228" s="212">
        <f>IFERROR(IF([1]对账明细接口!$O228=0,"",[1]对账明细接口!$O228),"")</f>
      </c>
      <c r="U228" s="212">
        <f>IFERROR(IF([1]对账明细接口!$P228=0,"",[1]对账明细接口!$P228),"")</f>
      </c>
      <c r="V228" s="212">
        <f>IFERROR(IF([1]对账明细接口!$Q228=0,"",[1]对账明细接口!$Q228),"")</f>
        <v>73</v>
      </c>
      <c r="W228" s="20" t="str">
        <f>IFERROR(IF([1]对账明细接口!$R228=0,"",[1]对账明细接口!$R228),"")</f>
        <v>豫L*88X19</v>
      </c>
      <c r="X228" s="20" t="str">
        <f>IFERROR(IF([1]对账明细接口!$S228=0,"",[1]对账明细接口!$S228),"")</f>
        <v>公司筐</v>
      </c>
      <c r="Y228" s="20">
        <f>IFERROR(IF([1]对账明细接口!$T228=0,"",[1]对账明细接口!$T228),"")</f>
      </c>
      <c r="Z228" s="213">
        <f>IFERROR(IF([1]对账明细接口!$U228=0,"",[1]对账明细接口!$U228),"")</f>
      </c>
      <c r="AA228" s="213">
        <f>IFERROR(IF([1]对账明细接口!$V228=0,"",[1]对账明细接口!$V228),"")</f>
      </c>
      <c r="AB228" s="20">
        <f>IFERROR(IF([1]对账明细接口!$W228=0,"",[1]对账明细接口!$W228),"")</f>
      </c>
      <c r="AC228" s="7">
        <f>IFERROR(IF([1]对账明细接口!$X228=0,"",[1]对账明细接口!$X228),"")</f>
      </c>
      <c r="AD228" s="7">
        <f>IFERROR(IF([1]对账明细接口!$Y228=0,"",[1]对账明细接口!$Y228),"")</f>
      </c>
      <c r="AE228" s="7">
        <f>IFERROR(IF([1]对账明细接口!$AA228=0,"",[1]对账明细接口!$AA228),"")</f>
      </c>
      <c r="AF228" s="7">
        <f>IFERROR(IF([1]对账明细接口!$AB228=0,"",[1]对账明细接口!$AB228),"")</f>
      </c>
      <c r="AG228" s="7">
        <f>IFERROR(IF([1]对账明细接口!$AC228=0,"",[1]对账明细接口!$AC228),"")</f>
      </c>
      <c r="AH228" s="7">
        <f>IFERROR(IF([1]对账明细接口!$AD228=0,"",[1]对账明细接口!$AD228),"")</f>
      </c>
      <c r="AI228" s="7">
        <f>IFERROR(IF([1]对账明细接口!$AE228=0,"",[1]对账明细接口!$AE228),"")</f>
      </c>
      <c r="AJ228" s="7">
        <f>IFERROR(IF([1]对账明细接口!$AF228=0,"",[1]对账明细接口!$AF228),"")</f>
      </c>
    </row>
    <row r="229" ht="14.25" customHeight="1" s="127">
      <c r="A229" s="14" t="n">
        <v>229</v>
      </c>
      <c r="B229" s="211">
        <f>IFERROR(IF([1]对账明细接口!$B$229=0,"",[1]对账明细接口!$B$229),"")</f>
        <v>46278.0</v>
      </c>
      <c r="C229" s="16" t="str">
        <f>IFERROR(IF([1]对账明细接口!$C$229=0,"",[1]对账明细接口!$C$229),"")</f>
        <v>王照雪</v>
      </c>
      <c r="D229" s="16" t="str">
        <f>IFERROR(IF([1]对账明细接口!$D$229=0,"",[1]对账明细接口!$D$229),"")</f>
        <v>原料入库</v>
      </c>
      <c r="E229" s="16" t="str">
        <f>IFERROR(IF([1]对账明细接口!$E$229=0,"",[1]对账明细接口!$E$229),"")</f>
        <v>NO:0000855</v>
      </c>
      <c r="F229" s="16" t="str">
        <f>IFERROR(IF([1]对账明细接口!$F$229=0,"",[1]对账明细接口!$F$229),"")</f>
        <v>苹果</v>
      </c>
      <c r="G229" s="16" t="str">
        <f>IFERROR(IF([1]对账明细接口!$G$229=0,"",[1]对账明细接口!$G$229),"")</f>
        <v>新世纪一级</v>
      </c>
      <c r="H229" s="176">
        <f>IFERROR(IF([1]对账明细接口!$H$229=0,"",[1]对账明细接口!$H$229),"")</f>
        <v>182</v>
      </c>
      <c r="I229" s="16" t="str">
        <f>IFERROR(IF([1]对账明细接口!$I$229=0,"",[1]对账明细接口!$I$229),"")</f>
        <v>筐</v>
      </c>
      <c r="J229" s="177">
        <f>IFERROR(IF([1]对账明细接口!$J$229=0,"",[1]对账明细接口!$J$229),"")</f>
        <v>3148.6</v>
      </c>
      <c r="K229" s="177">
        <f>IFERROR(IF([1]对账明细接口!$K$229=0,"",[1]对账明细接口!$K$229),"")</f>
      </c>
      <c r="L229" s="16">
        <f>IFERROR(IF([1]对账明细接口!$L$229=0,"",[1]对账明细接口!$L$229),"")</f>
      </c>
      <c r="M229" s="16" t="str">
        <f>IFERROR(IF([1]对账明细接口!$M$229=0,"",[1]对账明细接口!$M$229),"")</f>
        <v>光果</v>
      </c>
      <c r="N229" s="19">
        <f>IF($C229="",0,1)</f>
        <v>1</v>
      </c>
      <c r="O229" s="19">
        <f>N(O228)+$N229</f>
        <v>226</v>
      </c>
      <c r="S229" s="20" t="str">
        <f>IFERROR(IF([1]对账明细接口!$N229=0,"",[1]对账明细接口!$N229),"")</f>
        <v>公司杂周转筐</v>
      </c>
      <c r="T229" s="212">
        <f>IFERROR(IF([1]对账明细接口!$O229=0,"",[1]对账明细接口!$O229),"")</f>
      </c>
      <c r="U229" s="212">
        <f>IFERROR(IF([1]对账明细接口!$P229=0,"",[1]对账明细接口!$P229),"")</f>
      </c>
      <c r="V229" s="212">
        <f>IFERROR(IF([1]对账明细接口!$Q229=0,"",[1]对账明细接口!$Q229),"")</f>
        <v>182</v>
      </c>
      <c r="W229" s="20" t="str">
        <f>IFERROR(IF([1]对账明细接口!$R229=0,"",[1]对账明细接口!$R229),"")</f>
        <v>豫L*88X19</v>
      </c>
      <c r="X229" s="20" t="str">
        <f>IFERROR(IF([1]对账明细接口!$S229=0,"",[1]对账明细接口!$S229),"")</f>
        <v>公司筐</v>
      </c>
      <c r="Y229" s="20">
        <f>IFERROR(IF([1]对账明细接口!$T229=0,"",[1]对账明细接口!$T229),"")</f>
      </c>
      <c r="Z229" s="213">
        <f>IFERROR(IF([1]对账明细接口!$U229=0,"",[1]对账明细接口!$U229),"")</f>
      </c>
      <c r="AA229" s="213">
        <f>IFERROR(IF([1]对账明细接口!$V229=0,"",[1]对账明细接口!$V229),"")</f>
      </c>
      <c r="AB229" s="20">
        <f>IFERROR(IF([1]对账明细接口!$W229=0,"",[1]对账明细接口!$W229),"")</f>
      </c>
      <c r="AC229" s="7">
        <f>IFERROR(IF([1]对账明细接口!$X229=0,"",[1]对账明细接口!$X229),"")</f>
      </c>
      <c r="AD229" s="7">
        <f>IFERROR(IF([1]对账明细接口!$Y229=0,"",[1]对账明细接口!$Y229),"")</f>
      </c>
      <c r="AE229" s="7">
        <f>IFERROR(IF([1]对账明细接口!$AA229=0,"",[1]对账明细接口!$AA229),"")</f>
      </c>
      <c r="AF229" s="7">
        <f>IFERROR(IF([1]对账明细接口!$AB229=0,"",[1]对账明细接口!$AB229),"")</f>
      </c>
      <c r="AG229" s="7">
        <f>IFERROR(IF([1]对账明细接口!$AC229=0,"",[1]对账明细接口!$AC229),"")</f>
      </c>
      <c r="AH229" s="7">
        <f>IFERROR(IF([1]对账明细接口!$AD229=0,"",[1]对账明细接口!$AD229),"")</f>
      </c>
      <c r="AI229" s="7">
        <f>IFERROR(IF([1]对账明细接口!$AE229=0,"",[1]对账明细接口!$AE229),"")</f>
      </c>
      <c r="AJ229" s="7">
        <f>IFERROR(IF([1]对账明细接口!$AF229=0,"",[1]对账明细接口!$AF229),"")</f>
      </c>
    </row>
    <row r="230" ht="14.25" customHeight="1" s="127">
      <c r="A230" s="14" t="n">
        <v>230</v>
      </c>
      <c r="B230" s="211">
        <f>IFERROR(IF([1]对账明细接口!$B$230=0,"",[1]对账明细接口!$B$230),"")</f>
        <v>46278.0</v>
      </c>
      <c r="C230" s="16" t="str">
        <f>IFERROR(IF([1]对账明细接口!$C$230=0,"",[1]对账明细接口!$C$230),"")</f>
        <v>王照雪</v>
      </c>
      <c r="D230" s="16" t="str">
        <f>IFERROR(IF([1]对账明细接口!$D$230=0,"",[1]对账明细接口!$D$230),"")</f>
        <v>原料入库</v>
      </c>
      <c r="E230" s="16" t="str">
        <f>IFERROR(IF([1]对账明细接口!$E$230=0,"",[1]对账明细接口!$E$230),"")</f>
        <v>NO:0000855</v>
      </c>
      <c r="F230" s="16" t="str">
        <f>IFERROR(IF([1]对账明细接口!$F$230=0,"",[1]对账明细接口!$F$230),"")</f>
        <v>苹果</v>
      </c>
      <c r="G230" s="16" t="str">
        <f>IFERROR(IF([1]对账明细接口!$G$230=0,"",[1]对账明细接口!$G$230),"")</f>
        <v>新世纪二级</v>
      </c>
      <c r="H230" s="176">
        <f>IFERROR(IF([1]对账明细接口!$H$230=0,"",[1]对账明细接口!$H$230),"")</f>
        <v>74</v>
      </c>
      <c r="I230" s="16" t="str">
        <f>IFERROR(IF([1]对账明细接口!$I$230=0,"",[1]对账明细接口!$I$230),"")</f>
        <v>筐</v>
      </c>
      <c r="J230" s="177">
        <f>IFERROR(IF([1]对账明细接口!$J$230=0,"",[1]对账明细接口!$J$230),"")</f>
        <v>1650.2</v>
      </c>
      <c r="K230" s="177">
        <f>IFERROR(IF([1]对账明细接口!$K$230=0,"",[1]对账明细接口!$K$230),"")</f>
      </c>
      <c r="L230" s="16">
        <f>IFERROR(IF([1]对账明细接口!$L$230=0,"",[1]对账明细接口!$L$230),"")</f>
      </c>
      <c r="M230" s="16" t="str">
        <f>IFERROR(IF([1]对账明细接口!$M$230=0,"",[1]对账明细接口!$M$230),"")</f>
        <v>光果</v>
      </c>
      <c r="N230" s="19">
        <f>IF($C230="",0,1)</f>
        <v>1</v>
      </c>
      <c r="O230" s="19">
        <f>N(O229)+$N230</f>
        <v>227</v>
      </c>
      <c r="S230" s="20" t="str">
        <f>IFERROR(IF([1]对账明细接口!$N230=0,"",[1]对账明细接口!$N230),"")</f>
        <v>公司杂周转筐</v>
      </c>
      <c r="T230" s="212">
        <f>IFERROR(IF([1]对账明细接口!$O230=0,"",[1]对账明细接口!$O230),"")</f>
      </c>
      <c r="U230" s="212">
        <f>IFERROR(IF([1]对账明细接口!$P230=0,"",[1]对账明细接口!$P230),"")</f>
      </c>
      <c r="V230" s="212">
        <f>IFERROR(IF([1]对账明细接口!$Q230=0,"",[1]对账明细接口!$Q230),"")</f>
        <v>74</v>
      </c>
      <c r="W230" s="20" t="str">
        <f>IFERROR(IF([1]对账明细接口!$R230=0,"",[1]对账明细接口!$R230),"")</f>
        <v>豫L*88X19</v>
      </c>
      <c r="X230" s="20" t="str">
        <f>IFERROR(IF([1]对账明细接口!$S230=0,"",[1]对账明细接口!$S230),"")</f>
        <v>公司筐</v>
      </c>
      <c r="Y230" s="20">
        <f>IFERROR(IF([1]对账明细接口!$T230=0,"",[1]对账明细接口!$T230),"")</f>
      </c>
      <c r="Z230" s="213">
        <f>IFERROR(IF([1]对账明细接口!$U230=0,"",[1]对账明细接口!$U230),"")</f>
      </c>
      <c r="AA230" s="213">
        <f>IFERROR(IF([1]对账明细接口!$V230=0,"",[1]对账明细接口!$V230),"")</f>
      </c>
      <c r="AB230" s="20">
        <f>IFERROR(IF([1]对账明细接口!$W230=0,"",[1]对账明细接口!$W230),"")</f>
      </c>
      <c r="AC230" s="7">
        <f>IFERROR(IF([1]对账明细接口!$X230=0,"",[1]对账明细接口!$X230),"")</f>
      </c>
      <c r="AD230" s="7">
        <f>IFERROR(IF([1]对账明细接口!$Y230=0,"",[1]对账明细接口!$Y230),"")</f>
      </c>
      <c r="AE230" s="7">
        <f>IFERROR(IF([1]对账明细接口!$AA230=0,"",[1]对账明细接口!$AA230),"")</f>
      </c>
      <c r="AF230" s="7">
        <f>IFERROR(IF([1]对账明细接口!$AB230=0,"",[1]对账明细接口!$AB230),"")</f>
      </c>
      <c r="AG230" s="7">
        <f>IFERROR(IF([1]对账明细接口!$AC230=0,"",[1]对账明细接口!$AC230),"")</f>
      </c>
      <c r="AH230" s="7">
        <f>IFERROR(IF([1]对账明细接口!$AD230=0,"",[1]对账明细接口!$AD230),"")</f>
      </c>
      <c r="AI230" s="7">
        <f>IFERROR(IF([1]对账明细接口!$AE230=0,"",[1]对账明细接口!$AE230),"")</f>
      </c>
      <c r="AJ230" s="7">
        <f>IFERROR(IF([1]对账明细接口!$AF230=0,"",[1]对账明细接口!$AF230),"")</f>
      </c>
    </row>
    <row r="231" ht="14.25" customHeight="1" s="127">
      <c r="A231" s="14" t="n">
        <v>231</v>
      </c>
      <c r="B231" s="211">
        <f>IFERROR(IF([1]对账明细接口!$B$231=0,"",[1]对账明细接口!$B$231),"")</f>
        <v>46279.0</v>
      </c>
      <c r="C231" s="16" t="str">
        <f>IFERROR(IF([1]对账明细接口!$C$231=0,"",[1]对账明细接口!$C$231),"")</f>
        <v>麦麦提</v>
      </c>
      <c r="D231" s="16" t="str">
        <f>IFERROR(IF([1]对账明细接口!$D$231=0,"",[1]对账明细接口!$D$231),"")</f>
        <v>原料入库</v>
      </c>
      <c r="E231" s="16" t="str">
        <f>IFERROR(IF([1]对账明细接口!$E$231=0,"",[1]对账明细接口!$E$231),"")</f>
        <v>NO:0000858</v>
      </c>
      <c r="F231" s="16" t="str">
        <f>IFERROR(IF([1]对账明细接口!$F$231=0,"",[1]对账明细接口!$F$231),"")</f>
        <v>香梨</v>
      </c>
      <c r="G231" s="16" t="str">
        <f>IFERROR(IF([1]对账明细接口!$G$231=0,"",[1]对账明细接口!$G$231),"")</f>
        <v>香梨特级</v>
      </c>
      <c r="H231" s="176">
        <f>IFERROR(IF([1]对账明细接口!$H$231=0,"",[1]对账明细接口!$H$231),"")</f>
        <v>264</v>
      </c>
      <c r="I231" s="16" t="str">
        <f>IFERROR(IF([1]对账明细接口!$I$231=0,"",[1]对账明细接口!$I$231),"")</f>
        <v>筐</v>
      </c>
      <c r="J231" s="177">
        <f>IFERROR(IF([1]对账明细接口!$J$231=0,"",[1]对账明细接口!$J$231),"")</f>
        <v>4831.2</v>
      </c>
      <c r="K231" s="177">
        <f>IFERROR(IF([1]对账明细接口!$K$231=0,"",[1]对账明细接口!$K$231),"")</f>
      </c>
      <c r="L231" s="16">
        <f>IFERROR(IF([1]对账明细接口!$L$231=0,"",[1]对账明细接口!$L$231),"")</f>
      </c>
      <c r="M231" s="16">
        <f>IFERROR(IF([1]对账明细接口!$M$231=0,"",[1]对账明细接口!$M$231),"")</f>
      </c>
      <c r="N231" s="19">
        <f>IF($C231="",0,1)</f>
        <v>1</v>
      </c>
      <c r="O231" s="19">
        <f>N(O230)+$N231</f>
        <v>228</v>
      </c>
      <c r="S231" s="20" t="str">
        <f>IFERROR(IF([1]对账明细接口!$N231=0,"",[1]对账明细接口!$N231),"")</f>
        <v>公司红周转筐</v>
      </c>
      <c r="T231" s="212">
        <f>IFERROR(IF([1]对账明细接口!$O231=0,"",[1]对账明细接口!$O231),"")</f>
      </c>
      <c r="U231" s="212">
        <f>IFERROR(IF([1]对账明细接口!$P231=0,"",[1]对账明细接口!$P231),"")</f>
      </c>
      <c r="V231" s="212">
        <f>IFERROR(IF([1]对账明细接口!$Q231=0,"",[1]对账明细接口!$Q231),"")</f>
        <v>264</v>
      </c>
      <c r="W231" s="20" t="str">
        <f>IFERROR(IF([1]对账明细接口!$R231=0,"",[1]对账明细接口!$R231),"")</f>
        <v>新A*G0554</v>
      </c>
      <c r="X231" s="20" t="str">
        <f>IFERROR(IF([1]对账明细接口!$S231=0,"",[1]对账明细接口!$S231),"")</f>
        <v>公司筐</v>
      </c>
      <c r="Y231" s="20">
        <f>IFERROR(IF([1]对账明细接口!$T231=0,"",[1]对账明细接口!$T231),"")</f>
      </c>
      <c r="Z231" s="213">
        <f>IFERROR(IF([1]对账明细接口!$U231=0,"",[1]对账明细接口!$U231),"")</f>
      </c>
      <c r="AA231" s="213">
        <f>IFERROR(IF([1]对账明细接口!$V231=0,"",[1]对账明细接口!$V231),"")</f>
      </c>
      <c r="AB231" s="20">
        <f>IFERROR(IF([1]对账明细接口!$W231=0,"",[1]对账明细接口!$W231),"")</f>
      </c>
      <c r="AC231" s="7">
        <f>IFERROR(IF([1]对账明细接口!$X231=0,"",[1]对账明细接口!$X231),"")</f>
      </c>
      <c r="AD231" s="7">
        <f>IFERROR(IF([1]对账明细接口!$Y231=0,"",[1]对账明细接口!$Y231),"")</f>
      </c>
      <c r="AE231" s="7">
        <f>IFERROR(IF([1]对账明细接口!$AA231=0,"",[1]对账明细接口!$AA231),"")</f>
      </c>
      <c r="AF231" s="7">
        <f>IFERROR(IF([1]对账明细接口!$AB231=0,"",[1]对账明细接口!$AB231),"")</f>
      </c>
      <c r="AG231" s="7">
        <f>IFERROR(IF([1]对账明细接口!$AC231=0,"",[1]对账明细接口!$AC231),"")</f>
      </c>
      <c r="AH231" s="7">
        <f>IFERROR(IF([1]对账明细接口!$AD231=0,"",[1]对账明细接口!$AD231),"")</f>
      </c>
      <c r="AI231" s="7">
        <f>IFERROR(IF([1]对账明细接口!$AE231=0,"",[1]对账明细接口!$AE231),"")</f>
      </c>
      <c r="AJ231" s="7">
        <f>IFERROR(IF([1]对账明细接口!$AF231=0,"",[1]对账明细接口!$AF231),"")</f>
      </c>
    </row>
    <row r="232" ht="14.25" customHeight="1" s="127">
      <c r="A232" s="14" t="n">
        <v>232</v>
      </c>
      <c r="B232" s="211">
        <f>IFERROR(IF([1]对账明细接口!$B$232=0,"",[1]对账明细接口!$B$232),"")</f>
        <v>46279.0</v>
      </c>
      <c r="C232" s="16" t="str">
        <f>IFERROR(IF([1]对账明细接口!$C$232=0,"",[1]对账明细接口!$C$232),"")</f>
        <v>麦麦提</v>
      </c>
      <c r="D232" s="16" t="str">
        <f>IFERROR(IF([1]对账明细接口!$D$232=0,"",[1]对账明细接口!$D$232),"")</f>
        <v>原料入库</v>
      </c>
      <c r="E232" s="16" t="str">
        <f>IFERROR(IF([1]对账明细接口!$E$232=0,"",[1]对账明细接口!$E$232),"")</f>
        <v>NO:0000858</v>
      </c>
      <c r="F232" s="16" t="str">
        <f>IFERROR(IF([1]对账明细接口!$F$232=0,"",[1]对账明细接口!$F$232),"")</f>
        <v>香梨</v>
      </c>
      <c r="G232" s="16" t="str">
        <f>IFERROR(IF([1]对账明细接口!$G$232=0,"",[1]对账明细接口!$G$232),"")</f>
        <v>香梨一级</v>
      </c>
      <c r="H232" s="176">
        <f>IFERROR(IF([1]对账明细接口!$H$232=0,"",[1]对账明细接口!$H$232),"")</f>
        <v>184</v>
      </c>
      <c r="I232" s="16" t="str">
        <f>IFERROR(IF([1]对账明细接口!$I$232=0,"",[1]对账明细接口!$I$232),"")</f>
        <v>筐</v>
      </c>
      <c r="J232" s="177">
        <f>IFERROR(IF([1]对账明细接口!$J$232=0,"",[1]对账明细接口!$J$232),"")</f>
        <v>3367.2</v>
      </c>
      <c r="K232" s="177">
        <f>IFERROR(IF([1]对账明细接口!$K$232=0,"",[1]对账明细接口!$K$232),"")</f>
      </c>
      <c r="L232" s="16">
        <f>IFERROR(IF([1]对账明细接口!$L$232=0,"",[1]对账明细接口!$L$232),"")</f>
      </c>
      <c r="M232" s="16">
        <f>IFERROR(IF([1]对账明细接口!$M$232=0,"",[1]对账明细接口!$M$232),"")</f>
      </c>
      <c r="N232" s="19">
        <f>IF($C232="",0,1)</f>
        <v>1</v>
      </c>
      <c r="O232" s="19">
        <f>N(O231)+$N232</f>
        <v>229</v>
      </c>
      <c r="S232" s="20" t="str">
        <f>IFERROR(IF([1]对账明细接口!$N232=0,"",[1]对账明细接口!$N232),"")</f>
        <v>公司红周转筐</v>
      </c>
      <c r="T232" s="212">
        <f>IFERROR(IF([1]对账明细接口!$O232=0,"",[1]对账明细接口!$O232),"")</f>
      </c>
      <c r="U232" s="212">
        <f>IFERROR(IF([1]对账明细接口!$P232=0,"",[1]对账明细接口!$P232),"")</f>
      </c>
      <c r="V232" s="212">
        <f>IFERROR(IF([1]对账明细接口!$Q232=0,"",[1]对账明细接口!$Q232),"")</f>
        <v>184</v>
      </c>
      <c r="W232" s="20" t="str">
        <f>IFERROR(IF([1]对账明细接口!$R232=0,"",[1]对账明细接口!$R232),"")</f>
        <v>新A*G0554</v>
      </c>
      <c r="X232" s="20" t="str">
        <f>IFERROR(IF([1]对账明细接口!$S232=0,"",[1]对账明细接口!$S232),"")</f>
        <v>公司筐</v>
      </c>
      <c r="Y232" s="20">
        <f>IFERROR(IF([1]对账明细接口!$T232=0,"",[1]对账明细接口!$T232),"")</f>
      </c>
      <c r="Z232" s="213">
        <f>IFERROR(IF([1]对账明细接口!$U232=0,"",[1]对账明细接口!$U232),"")</f>
      </c>
      <c r="AA232" s="213">
        <f>IFERROR(IF([1]对账明细接口!$V232=0,"",[1]对账明细接口!$V232),"")</f>
      </c>
      <c r="AB232" s="20">
        <f>IFERROR(IF([1]对账明细接口!$W232=0,"",[1]对账明细接口!$W232),"")</f>
      </c>
      <c r="AC232" s="7">
        <f>IFERROR(IF([1]对账明细接口!$X232=0,"",[1]对账明细接口!$X232),"")</f>
      </c>
      <c r="AD232" s="7">
        <f>IFERROR(IF([1]对账明细接口!$Y232=0,"",[1]对账明细接口!$Y232),"")</f>
      </c>
      <c r="AE232" s="7">
        <f>IFERROR(IF([1]对账明细接口!$AA232=0,"",[1]对账明细接口!$AA232),"")</f>
      </c>
      <c r="AF232" s="7">
        <f>IFERROR(IF([1]对账明细接口!$AB232=0,"",[1]对账明细接口!$AB232),"")</f>
      </c>
      <c r="AG232" s="7">
        <f>IFERROR(IF([1]对账明细接口!$AC232=0,"",[1]对账明细接口!$AC232),"")</f>
      </c>
      <c r="AH232" s="7">
        <f>IFERROR(IF([1]对账明细接口!$AD232=0,"",[1]对账明细接口!$AD232),"")</f>
      </c>
      <c r="AI232" s="7">
        <f>IFERROR(IF([1]对账明细接口!$AE232=0,"",[1]对账明细接口!$AE232),"")</f>
      </c>
      <c r="AJ232" s="7">
        <f>IFERROR(IF([1]对账明细接口!$AF232=0,"",[1]对账明细接口!$AF232),"")</f>
      </c>
    </row>
    <row r="233" ht="14.25" customHeight="1" s="127">
      <c r="A233" s="14" t="n">
        <v>233</v>
      </c>
      <c r="B233" s="211">
        <f>IFERROR(IF([1]对账明细接口!$B$233=0,"",[1]对账明细接口!$B$233),"")</f>
        <v>46279.0</v>
      </c>
      <c r="C233" s="16" t="str">
        <f>IFERROR(IF([1]对账明细接口!$C$233=0,"",[1]对账明细接口!$C$233),"")</f>
        <v>麦麦提</v>
      </c>
      <c r="D233" s="16" t="str">
        <f>IFERROR(IF([1]对账明细接口!$D$233=0,"",[1]对账明细接口!$D$233),"")</f>
        <v>原料入库</v>
      </c>
      <c r="E233" s="16" t="str">
        <f>IFERROR(IF([1]对账明细接口!$E$233=0,"",[1]对账明细接口!$E$233),"")</f>
        <v>NO:0000858</v>
      </c>
      <c r="F233" s="16" t="str">
        <f>IFERROR(IF([1]对账明细接口!$F$233=0,"",[1]对账明细接口!$F$233),"")</f>
        <v>香梨</v>
      </c>
      <c r="G233" s="16" t="str">
        <f>IFERROR(IF([1]对账明细接口!$G$233=0,"",[1]对账明细接口!$G$233),"")</f>
        <v>香梨二级</v>
      </c>
      <c r="H233" s="176">
        <f>IFERROR(IF([1]对账明细接口!$H$233=0,"",[1]对账明细接口!$H$233),"")</f>
        <v>181</v>
      </c>
      <c r="I233" s="16" t="str">
        <f>IFERROR(IF([1]对账明细接口!$I$233=0,"",[1]对账明细接口!$I$233),"")</f>
        <v>筐</v>
      </c>
      <c r="J233" s="177">
        <f>IFERROR(IF([1]对账明细接口!$J$233=0,"",[1]对账明细接口!$J$233),"")</f>
        <v>4036.3</v>
      </c>
      <c r="K233" s="177">
        <f>IFERROR(IF([1]对账明细接口!$K$233=0,"",[1]对账明细接口!$K$233),"")</f>
      </c>
      <c r="L233" s="16">
        <f>IFERROR(IF([1]对账明细接口!$L$233=0,"",[1]对账明细接口!$L$233),"")</f>
      </c>
      <c r="M233" s="16">
        <f>IFERROR(IF([1]对账明细接口!$M$233=0,"",[1]对账明细接口!$M$233),"")</f>
      </c>
      <c r="N233" s="19">
        <f>IF($C233="",0,1)</f>
        <v>1</v>
      </c>
      <c r="O233" s="19">
        <f>N(O232)+$N233</f>
        <v>230</v>
      </c>
      <c r="S233" s="20" t="str">
        <f>IFERROR(IF([1]对账明细接口!$N233=0,"",[1]对账明细接口!$N233),"")</f>
        <v>公司红周转筐</v>
      </c>
      <c r="T233" s="212">
        <f>IFERROR(IF([1]对账明细接口!$O233=0,"",[1]对账明细接口!$O233),"")</f>
      </c>
      <c r="U233" s="212">
        <f>IFERROR(IF([1]对账明细接口!$P233=0,"",[1]对账明细接口!$P233),"")</f>
      </c>
      <c r="V233" s="212">
        <f>IFERROR(IF([1]对账明细接口!$Q233=0,"",[1]对账明细接口!$Q233),"")</f>
        <v>181</v>
      </c>
      <c r="W233" s="20" t="str">
        <f>IFERROR(IF([1]对账明细接口!$R233=0,"",[1]对账明细接口!$R233),"")</f>
        <v>新A*G0554</v>
      </c>
      <c r="X233" s="20" t="str">
        <f>IFERROR(IF([1]对账明细接口!$S233=0,"",[1]对账明细接口!$S233),"")</f>
        <v>公司筐</v>
      </c>
      <c r="Y233" s="20">
        <f>IFERROR(IF([1]对账明细接口!$T233=0,"",[1]对账明细接口!$T233),"")</f>
      </c>
      <c r="Z233" s="213">
        <f>IFERROR(IF([1]对账明细接口!$U233=0,"",[1]对账明细接口!$U233),"")</f>
      </c>
      <c r="AA233" s="213">
        <f>IFERROR(IF([1]对账明细接口!$V233=0,"",[1]对账明细接口!$V233),"")</f>
      </c>
      <c r="AB233" s="20">
        <f>IFERROR(IF([1]对账明细接口!$W233=0,"",[1]对账明细接口!$W233),"")</f>
      </c>
      <c r="AC233" s="7">
        <f>IFERROR(IF([1]对账明细接口!$X233=0,"",[1]对账明细接口!$X233),"")</f>
      </c>
      <c r="AD233" s="7">
        <f>IFERROR(IF([1]对账明细接口!$Y233=0,"",[1]对账明细接口!$Y233),"")</f>
      </c>
      <c r="AE233" s="7">
        <f>IFERROR(IF([1]对账明细接口!$AA233=0,"",[1]对账明细接口!$AA233),"")</f>
      </c>
      <c r="AF233" s="7">
        <f>IFERROR(IF([1]对账明细接口!$AB233=0,"",[1]对账明细接口!$AB233),"")</f>
      </c>
      <c r="AG233" s="7">
        <f>IFERROR(IF([1]对账明细接口!$AC233=0,"",[1]对账明细接口!$AC233),"")</f>
      </c>
      <c r="AH233" s="7">
        <f>IFERROR(IF([1]对账明细接口!$AD233=0,"",[1]对账明细接口!$AD233),"")</f>
      </c>
      <c r="AI233" s="7">
        <f>IFERROR(IF([1]对账明细接口!$AE233=0,"",[1]对账明细接口!$AE233),"")</f>
      </c>
      <c r="AJ233" s="7">
        <f>IFERROR(IF([1]对账明细接口!$AF233=0,"",[1]对账明细接口!$AF233),"")</f>
      </c>
    </row>
    <row r="234" ht="14.25" customHeight="1" s="127">
      <c r="A234" s="14" t="n">
        <v>234</v>
      </c>
      <c r="B234" s="211">
        <f>IFERROR(IF([1]对账明细接口!$B$234=0,"",[1]对账明细接口!$B$234),"")</f>
        <v>46279.0</v>
      </c>
      <c r="C234" s="16" t="str">
        <f>IFERROR(IF([1]对账明细接口!$C$234=0,"",[1]对账明细接口!$C$234),"")</f>
        <v>贾建国</v>
      </c>
      <c r="D234" s="16" t="str">
        <f>IFERROR(IF([1]对账明细接口!$D$234=0,"",[1]对账明细接口!$D$234),"")</f>
        <v>原料入库</v>
      </c>
      <c r="E234" s="16" t="str">
        <f>IFERROR(IF([1]对账明细接口!$E$234=0,"",[1]对账明细接口!$E$234),"")</f>
        <v>NO:0000859</v>
      </c>
      <c r="F234" s="16" t="str">
        <f>IFERROR(IF([1]对账明细接口!$F$234=0,"",[1]对账明细接口!$F$234),"")</f>
        <v>香梨</v>
      </c>
      <c r="G234" s="16" t="str">
        <f>IFERROR(IF([1]对账明细接口!$G$234=0,"",[1]对账明细接口!$G$234),"")</f>
        <v>香梨二级</v>
      </c>
      <c r="H234" s="176">
        <f>IFERROR(IF([1]对账明细接口!$H$234=0,"",[1]对账明细接口!$H$234),"")</f>
        <v>125</v>
      </c>
      <c r="I234" s="16" t="str">
        <f>IFERROR(IF([1]对账明细接口!$I$234=0,"",[1]对账明细接口!$I$234),"")</f>
        <v>筐</v>
      </c>
      <c r="J234" s="177">
        <f>IFERROR(IF([1]对账明细接口!$J$234=0,"",[1]对账明细接口!$J$234),"")</f>
        <v>2812.5</v>
      </c>
      <c r="K234" s="177">
        <f>IFERROR(IF([1]对账明细接口!$K$234=0,"",[1]对账明细接口!$K$234),"")</f>
      </c>
      <c r="L234" s="16">
        <f>IFERROR(IF([1]对账明细接口!$L$234=0,"",[1]对账明细接口!$L$234),"")</f>
      </c>
      <c r="M234" s="16">
        <f>IFERROR(IF([1]对账明细接口!$M$234=0,"",[1]对账明细接口!$M$234),"")</f>
      </c>
      <c r="N234" s="19">
        <f>IF($C234="",0,1)</f>
        <v>1</v>
      </c>
      <c r="O234" s="19">
        <f>N(O233)+$N234</f>
        <v>231</v>
      </c>
      <c r="S234" s="20" t="str">
        <f>IFERROR(IF([1]对账明细接口!$N234=0,"",[1]对账明细接口!$N234),"")</f>
        <v>自备杂周转筐</v>
      </c>
      <c r="T234" s="212">
        <f>IFERROR(IF([1]对账明细接口!$O234=0,"",[1]对账明细接口!$O234),"")</f>
      </c>
      <c r="U234" s="212">
        <f>IFERROR(IF([1]对账明细接口!$P234=0,"",[1]对账明细接口!$P234),"")</f>
      </c>
      <c r="V234" s="212">
        <f>IFERROR(IF([1]对账明细接口!$Q234=0,"",[1]对账明细接口!$Q234),"")</f>
        <v>125</v>
      </c>
      <c r="W234" s="20" t="str">
        <f>IFERROR(IF([1]对账明细接口!$R234=0,"",[1]对账明细接口!$R234),"")</f>
        <v>豫Q*H5591</v>
      </c>
      <c r="X234" s="20" t="str">
        <f>IFERROR(IF([1]对账明细接口!$S234=0,"",[1]对账明细接口!$S234),"")</f>
        <v>自备筐</v>
      </c>
      <c r="Y234" s="20">
        <f>IFERROR(IF([1]对账明细接口!$T234=0,"",[1]对账明细接口!$T234),"")</f>
      </c>
      <c r="Z234" s="213">
        <f>IFERROR(IF([1]对账明细接口!$U234=0,"",[1]对账明细接口!$U234),"")</f>
      </c>
      <c r="AA234" s="213">
        <f>IFERROR(IF([1]对账明细接口!$V234=0,"",[1]对账明细接口!$V234),"")</f>
      </c>
      <c r="AB234" s="20">
        <f>IFERROR(IF([1]对账明细接口!$W234=0,"",[1]对账明细接口!$W234),"")</f>
      </c>
      <c r="AC234" s="7">
        <f>IFERROR(IF([1]对账明细接口!$X234=0,"",[1]对账明细接口!$X234),"")</f>
      </c>
      <c r="AD234" s="7">
        <f>IFERROR(IF([1]对账明细接口!$Y234=0,"",[1]对账明细接口!$Y234),"")</f>
      </c>
      <c r="AE234" s="7">
        <f>IFERROR(IF([1]对账明细接口!$AA234=0,"",[1]对账明细接口!$AA234),"")</f>
      </c>
      <c r="AF234" s="7">
        <f>IFERROR(IF([1]对账明细接口!$AB234=0,"",[1]对账明细接口!$AB234),"")</f>
      </c>
      <c r="AG234" s="7">
        <f>IFERROR(IF([1]对账明细接口!$AC234=0,"",[1]对账明细接口!$AC234),"")</f>
      </c>
      <c r="AH234" s="7">
        <f>IFERROR(IF([1]对账明细接口!$AD234=0,"",[1]对账明细接口!$AD234),"")</f>
      </c>
      <c r="AI234" s="7">
        <f>IFERROR(IF([1]对账明细接口!$AE234=0,"",[1]对账明细接口!$AE234),"")</f>
      </c>
      <c r="AJ234" s="7">
        <f>IFERROR(IF([1]对账明细接口!$AF234=0,"",[1]对账明细接口!$AF234),"")</f>
      </c>
    </row>
    <row r="235" ht="14.25" customHeight="1" s="127">
      <c r="A235" s="14" t="n">
        <v>235</v>
      </c>
      <c r="B235" s="211">
        <f>IFERROR(IF([1]对账明细接口!$B$235=0,"",[1]对账明细接口!$B$235),"")</f>
        <v>46279.0</v>
      </c>
      <c r="C235" s="16" t="str">
        <f>IFERROR(IF([1]对账明细接口!$C$235=0,"",[1]对账明细接口!$C$235),"")</f>
        <v>王灵云</v>
      </c>
      <c r="D235" s="16" t="str">
        <f>IFERROR(IF([1]对账明细接口!$D$235=0,"",[1]对账明细接口!$D$235),"")</f>
        <v>原料入库</v>
      </c>
      <c r="E235" s="16" t="str">
        <f>IFERROR(IF([1]对账明细接口!$E$235=0,"",[1]对账明细接口!$E$235),"")</f>
        <v>NO:0000860</v>
      </c>
      <c r="F235" s="16" t="str">
        <f>IFERROR(IF([1]对账明细接口!$F$235=0,"",[1]对账明细接口!$F$235),"")</f>
        <v>香梨</v>
      </c>
      <c r="G235" s="16" t="str">
        <f>IFERROR(IF([1]对账明细接口!$G$235=0,"",[1]对账明细接口!$G$235),"")</f>
        <v>香梨一级</v>
      </c>
      <c r="H235" s="176">
        <f>IFERROR(IF([1]对账明细接口!$H$235=0,"",[1]对账明细接口!$H$235),"")</f>
        <v>465</v>
      </c>
      <c r="I235" s="16" t="str">
        <f>IFERROR(IF([1]对账明细接口!$I$235=0,"",[1]对账明细接口!$I$235),"")</f>
        <v>筐</v>
      </c>
      <c r="J235" s="177">
        <f>IFERROR(IF([1]对账明细接口!$J$235=0,"",[1]对账明细接口!$J$235),"")</f>
        <v>8509.5</v>
      </c>
      <c r="K235" s="177">
        <f>IFERROR(IF([1]对账明细接口!$K$235=0,"",[1]对账明细接口!$K$235),"")</f>
      </c>
      <c r="L235" s="16">
        <f>IFERROR(IF([1]对账明细接口!$L$235=0,"",[1]对账明细接口!$L$235),"")</f>
      </c>
      <c r="M235" s="16">
        <f>IFERROR(IF([1]对账明细接口!$M$235=0,"",[1]对账明细接口!$M$235),"")</f>
      </c>
      <c r="N235" s="19">
        <f>IF($C235="",0,1)</f>
        <v>1</v>
      </c>
      <c r="O235" s="19">
        <f>N(O234)+$N235</f>
        <v>232</v>
      </c>
      <c r="S235" s="20" t="str">
        <f>IFERROR(IF([1]对账明细接口!$N235=0,"",[1]对账明细接口!$N235),"")</f>
        <v>公司红周转筐</v>
      </c>
      <c r="T235" s="212">
        <f>IFERROR(IF([1]对账明细接口!$O235=0,"",[1]对账明细接口!$O235),"")</f>
      </c>
      <c r="U235" s="212">
        <f>IFERROR(IF([1]对账明细接口!$P235=0,"",[1]对账明细接口!$P235),"")</f>
      </c>
      <c r="V235" s="212">
        <f>IFERROR(IF([1]对账明细接口!$Q235=0,"",[1]对账明细接口!$Q235),"")</f>
        <v>465</v>
      </c>
      <c r="W235" s="20" t="str">
        <f>IFERROR(IF([1]对账明细接口!$R235=0,"",[1]对账明细接口!$R235),"")</f>
        <v>新N*49209</v>
      </c>
      <c r="X235" s="20" t="str">
        <f>IFERROR(IF([1]对账明细接口!$S235=0,"",[1]对账明细接口!$S235),"")</f>
        <v>公司筐</v>
      </c>
      <c r="Y235" s="20">
        <f>IFERROR(IF([1]对账明细接口!$T235=0,"",[1]对账明细接口!$T235),"")</f>
      </c>
      <c r="Z235" s="213">
        <f>IFERROR(IF([1]对账明细接口!$U235=0,"",[1]对账明细接口!$U235),"")</f>
      </c>
      <c r="AA235" s="213">
        <f>IFERROR(IF([1]对账明细接口!$V235=0,"",[1]对账明细接口!$V235),"")</f>
      </c>
      <c r="AB235" s="20">
        <f>IFERROR(IF([1]对账明细接口!$W235=0,"",[1]对账明细接口!$W235),"")</f>
      </c>
      <c r="AC235" s="7">
        <f>IFERROR(IF([1]对账明细接口!$X235=0,"",[1]对账明细接口!$X235),"")</f>
      </c>
      <c r="AD235" s="7">
        <f>IFERROR(IF([1]对账明细接口!$Y235=0,"",[1]对账明细接口!$Y235),"")</f>
      </c>
      <c r="AE235" s="7">
        <f>IFERROR(IF([1]对账明细接口!$AA235=0,"",[1]对账明细接口!$AA235),"")</f>
      </c>
      <c r="AF235" s="7">
        <f>IFERROR(IF([1]对账明细接口!$AB235=0,"",[1]对账明细接口!$AB235),"")</f>
      </c>
      <c r="AG235" s="7">
        <f>IFERROR(IF([1]对账明细接口!$AC235=0,"",[1]对账明细接口!$AC235),"")</f>
      </c>
      <c r="AH235" s="7">
        <f>IFERROR(IF([1]对账明细接口!$AD235=0,"",[1]对账明细接口!$AD235),"")</f>
      </c>
      <c r="AI235" s="7">
        <f>IFERROR(IF([1]对账明细接口!$AE235=0,"",[1]对账明细接口!$AE235),"")</f>
      </c>
      <c r="AJ235" s="7">
        <f>IFERROR(IF([1]对账明细接口!$AF235=0,"",[1]对账明细接口!$AF235),"")</f>
      </c>
    </row>
    <row r="236" ht="14.25" customHeight="1" s="127">
      <c r="A236" s="14" t="n">
        <v>236</v>
      </c>
      <c r="B236" s="211">
        <f>IFERROR(IF([1]对账明细接口!$B$236=0,"",[1]对账明细接口!$B$236),"")</f>
        <v>46279.0</v>
      </c>
      <c r="C236" s="16" t="str">
        <f>IFERROR(IF([1]对账明细接口!$C$236=0,"",[1]对账明细接口!$C$236),"")</f>
        <v>王灵云</v>
      </c>
      <c r="D236" s="16" t="str">
        <f>IFERROR(IF([1]对账明细接口!$D$236=0,"",[1]对账明细接口!$D$236),"")</f>
        <v>原料入库</v>
      </c>
      <c r="E236" s="16" t="str">
        <f>IFERROR(IF([1]对账明细接口!$E$236=0,"",[1]对账明细接口!$E$236),"")</f>
        <v>NO:0000860</v>
      </c>
      <c r="F236" s="16" t="str">
        <f>IFERROR(IF([1]对账明细接口!$F$236=0,"",[1]对账明细接口!$F$236),"")</f>
        <v>香梨</v>
      </c>
      <c r="G236" s="16" t="str">
        <f>IFERROR(IF([1]对账明细接口!$G$236=0,"",[1]对账明细接口!$G$236),"")</f>
        <v>香梨二级</v>
      </c>
      <c r="H236" s="176">
        <f>IFERROR(IF([1]对账明细接口!$H$236=0,"",[1]对账明细接口!$H$236),"")</f>
        <v>164</v>
      </c>
      <c r="I236" s="16" t="str">
        <f>IFERROR(IF([1]对账明细接口!$I$236=0,"",[1]对账明细接口!$I$236),"")</f>
        <v>筐</v>
      </c>
      <c r="J236" s="177">
        <f>IFERROR(IF([1]对账明细接口!$J$236=0,"",[1]对账明细接口!$J$236),"")</f>
        <v>3001.2</v>
      </c>
      <c r="K236" s="177">
        <f>IFERROR(IF([1]对账明细接口!$K$236=0,"",[1]对账明细接口!$K$236),"")</f>
      </c>
      <c r="L236" s="16">
        <f>IFERROR(IF([1]对账明细接口!$L$236=0,"",[1]对账明细接口!$L$236),"")</f>
      </c>
      <c r="M236" s="16">
        <f>IFERROR(IF([1]对账明细接口!$M$236=0,"",[1]对账明细接口!$M$236),"")</f>
      </c>
      <c r="N236" s="19">
        <f>IF($C236="",0,1)</f>
        <v>1</v>
      </c>
      <c r="O236" s="19">
        <f>N(O235)+$N236</f>
        <v>233</v>
      </c>
      <c r="S236" s="20" t="str">
        <f>IFERROR(IF([1]对账明细接口!$N236=0,"",[1]对账明细接口!$N236),"")</f>
        <v>公司红周转筐</v>
      </c>
      <c r="T236" s="212">
        <f>IFERROR(IF([1]对账明细接口!$O236=0,"",[1]对账明细接口!$O236),"")</f>
      </c>
      <c r="U236" s="212">
        <f>IFERROR(IF([1]对账明细接口!$P236=0,"",[1]对账明细接口!$P236),"")</f>
      </c>
      <c r="V236" s="212">
        <f>IFERROR(IF([1]对账明细接口!$Q236=0,"",[1]对账明细接口!$Q236),"")</f>
        <v>164</v>
      </c>
      <c r="W236" s="20" t="str">
        <f>IFERROR(IF([1]对账明细接口!$R236=0,"",[1]对账明细接口!$R236),"")</f>
        <v>新N*49209</v>
      </c>
      <c r="X236" s="20" t="str">
        <f>IFERROR(IF([1]对账明细接口!$S236=0,"",[1]对账明细接口!$S236),"")</f>
        <v>公司筐</v>
      </c>
      <c r="Y236" s="20">
        <f>IFERROR(IF([1]对账明细接口!$T236=0,"",[1]对账明细接口!$T236),"")</f>
      </c>
      <c r="Z236" s="213">
        <f>IFERROR(IF([1]对账明细接口!$U236=0,"",[1]对账明细接口!$U236),"")</f>
      </c>
      <c r="AA236" s="213">
        <f>IFERROR(IF([1]对账明细接口!$V236=0,"",[1]对账明细接口!$V236),"")</f>
      </c>
      <c r="AB236" s="20">
        <f>IFERROR(IF([1]对账明细接口!$W236=0,"",[1]对账明细接口!$W236),"")</f>
      </c>
      <c r="AC236" s="7">
        <f>IFERROR(IF([1]对账明细接口!$X236=0,"",[1]对账明细接口!$X236),"")</f>
      </c>
      <c r="AD236" s="7">
        <f>IFERROR(IF([1]对账明细接口!$Y236=0,"",[1]对账明细接口!$Y236),"")</f>
      </c>
      <c r="AE236" s="7">
        <f>IFERROR(IF([1]对账明细接口!$AA236=0,"",[1]对账明细接口!$AA236),"")</f>
      </c>
      <c r="AF236" s="7">
        <f>IFERROR(IF([1]对账明细接口!$AB236=0,"",[1]对账明细接口!$AB236),"")</f>
      </c>
      <c r="AG236" s="7">
        <f>IFERROR(IF([1]对账明细接口!$AC236=0,"",[1]对账明细接口!$AC236),"")</f>
      </c>
      <c r="AH236" s="7">
        <f>IFERROR(IF([1]对账明细接口!$AD236=0,"",[1]对账明细接口!$AD236),"")</f>
      </c>
      <c r="AI236" s="7">
        <f>IFERROR(IF([1]对账明细接口!$AE236=0,"",[1]对账明细接口!$AE236),"")</f>
      </c>
      <c r="AJ236" s="7">
        <f>IFERROR(IF([1]对账明细接口!$AF236=0,"",[1]对账明细接口!$AF236),"")</f>
      </c>
    </row>
    <row r="237" ht="14.25" customHeight="1" s="127">
      <c r="A237" s="14" t="n">
        <v>237</v>
      </c>
      <c r="B237" s="211">
        <f>IFERROR(IF([1]对账明细接口!$B$237=0,"",[1]对账明细接口!$B$237),"")</f>
        <v>46279.0</v>
      </c>
      <c r="C237" s="16" t="str">
        <f>IFERROR(IF([1]对账明细接口!$C$237=0,"",[1]对账明细接口!$C$237),"")</f>
        <v>王灵云</v>
      </c>
      <c r="D237" s="16" t="str">
        <f>IFERROR(IF([1]对账明细接口!$D$237=0,"",[1]对账明细接口!$D$237),"")</f>
        <v>原料入库</v>
      </c>
      <c r="E237" s="16" t="str">
        <f>IFERROR(IF([1]对账明细接口!$E$237=0,"",[1]对账明细接口!$E$237),"")</f>
        <v>NO:0000860</v>
      </c>
      <c r="F237" s="16" t="str">
        <f>IFERROR(IF([1]对账明细接口!$F$237=0,"",[1]对账明细接口!$F$237),"")</f>
        <v>香梨</v>
      </c>
      <c r="G237" s="16" t="str">
        <f>IFERROR(IF([1]对账明细接口!$G$237=0,"",[1]对账明细接口!$G$237),"")</f>
        <v>香梨副特</v>
      </c>
      <c r="H237" s="176">
        <f>IFERROR(IF([1]对账明细接口!$H$237=0,"",[1]对账明细接口!$H$237),"")</f>
        <v>60</v>
      </c>
      <c r="I237" s="16" t="str">
        <f>IFERROR(IF([1]对账明细接口!$I$237=0,"",[1]对账明细接口!$I$237),"")</f>
        <v>筐</v>
      </c>
      <c r="J237" s="177">
        <f>IFERROR(IF([1]对账明细接口!$J$237=0,"",[1]对账明细接口!$J$237),"")</f>
        <v>1398</v>
      </c>
      <c r="K237" s="177">
        <f>IFERROR(IF([1]对账明细接口!$K$237=0,"",[1]对账明细接口!$K$237),"")</f>
      </c>
      <c r="L237" s="16">
        <f>IFERROR(IF([1]对账明细接口!$L$237=0,"",[1]对账明细接口!$L$237),"")</f>
      </c>
      <c r="M237" s="16">
        <f>IFERROR(IF([1]对账明细接口!$M$237=0,"",[1]对账明细接口!$M$237),"")</f>
      </c>
      <c r="N237" s="19">
        <f>IF($C237="",0,1)</f>
        <v>1</v>
      </c>
      <c r="O237" s="19">
        <f>N(O236)+$N237</f>
        <v>234</v>
      </c>
      <c r="S237" s="20" t="str">
        <f>IFERROR(IF([1]对账明细接口!$N237=0,"",[1]对账明细接口!$N237),"")</f>
        <v>公司红周转筐</v>
      </c>
      <c r="T237" s="212">
        <f>IFERROR(IF([1]对账明细接口!$O237=0,"",[1]对账明细接口!$O237),"")</f>
      </c>
      <c r="U237" s="212">
        <f>IFERROR(IF([1]对账明细接口!$P237=0,"",[1]对账明细接口!$P237),"")</f>
      </c>
      <c r="V237" s="212">
        <f>IFERROR(IF([1]对账明细接口!$Q237=0,"",[1]对账明细接口!$Q237),"")</f>
        <v>60</v>
      </c>
      <c r="W237" s="20" t="str">
        <f>IFERROR(IF([1]对账明细接口!$R237=0,"",[1]对账明细接口!$R237),"")</f>
        <v>新N*49209</v>
      </c>
      <c r="X237" s="20" t="str">
        <f>IFERROR(IF([1]对账明细接口!$S237=0,"",[1]对账明细接口!$S237),"")</f>
        <v>公司筐</v>
      </c>
      <c r="Y237" s="20">
        <f>IFERROR(IF([1]对账明细接口!$T237=0,"",[1]对账明细接口!$T237),"")</f>
      </c>
      <c r="Z237" s="213">
        <f>IFERROR(IF([1]对账明细接口!$U237=0,"",[1]对账明细接口!$U237),"")</f>
      </c>
      <c r="AA237" s="213">
        <f>IFERROR(IF([1]对账明细接口!$V237=0,"",[1]对账明细接口!$V237),"")</f>
      </c>
      <c r="AB237" s="20">
        <f>IFERROR(IF([1]对账明细接口!$W237=0,"",[1]对账明细接口!$W237),"")</f>
      </c>
      <c r="AC237" s="7">
        <f>IFERROR(IF([1]对账明细接口!$X237=0,"",[1]对账明细接口!$X237),"")</f>
      </c>
      <c r="AD237" s="7">
        <f>IFERROR(IF([1]对账明细接口!$Y237=0,"",[1]对账明细接口!$Y237),"")</f>
      </c>
      <c r="AE237" s="7">
        <f>IFERROR(IF([1]对账明细接口!$AA237=0,"",[1]对账明细接口!$AA237),"")</f>
      </c>
      <c r="AF237" s="7">
        <f>IFERROR(IF([1]对账明细接口!$AB237=0,"",[1]对账明细接口!$AB237),"")</f>
      </c>
      <c r="AG237" s="7">
        <f>IFERROR(IF([1]对账明细接口!$AC237=0,"",[1]对账明细接口!$AC237),"")</f>
      </c>
      <c r="AH237" s="7">
        <f>IFERROR(IF([1]对账明细接口!$AD237=0,"",[1]对账明细接口!$AD237),"")</f>
      </c>
      <c r="AI237" s="7">
        <f>IFERROR(IF([1]对账明细接口!$AE237=0,"",[1]对账明细接口!$AE237),"")</f>
      </c>
      <c r="AJ237" s="7">
        <f>IFERROR(IF([1]对账明细接口!$AF237=0,"",[1]对账明细接口!$AF237),"")</f>
      </c>
    </row>
    <row r="238" ht="14.25" customHeight="1" s="127">
      <c r="A238" s="14" t="n">
        <v>238</v>
      </c>
      <c r="B238" s="211">
        <f>IFERROR(IF([1]对账明细接口!$B$238=0,"",[1]对账明细接口!$B$238),"")</f>
        <v>46279.0</v>
      </c>
      <c r="C238" s="16" t="str">
        <f>IFERROR(IF([1]对账明细接口!$C$238=0,"",[1]对账明细接口!$C$238),"")</f>
        <v>吐尔洪</v>
      </c>
      <c r="D238" s="16" t="str">
        <f>IFERROR(IF([1]对账明细接口!$D$238=0,"",[1]对账明细接口!$D$238),"")</f>
        <v>原料入库</v>
      </c>
      <c r="E238" s="16" t="str">
        <f>IFERROR(IF([1]对账明细接口!$E$238=0,"",[1]对账明细接口!$E$238),"")</f>
        <v>NO:0000861</v>
      </c>
      <c r="F238" s="16" t="str">
        <f>IFERROR(IF([1]对账明细接口!$F$238=0,"",[1]对账明细接口!$F$238),"")</f>
        <v>香梨</v>
      </c>
      <c r="G238" s="16" t="str">
        <f>IFERROR(IF([1]对账明细接口!$G$238=0,"",[1]对账明细接口!$G$238),"")</f>
        <v>香梨特级</v>
      </c>
      <c r="H238" s="176">
        <f>IFERROR(IF([1]对账明细接口!$H$238=0,"",[1]对账明细接口!$H$238),"")</f>
        <v>108</v>
      </c>
      <c r="I238" s="16" t="str">
        <f>IFERROR(IF([1]对账明细接口!$I$238=0,"",[1]对账明细接口!$I$238),"")</f>
        <v>筐</v>
      </c>
      <c r="J238" s="177">
        <f>IFERROR(IF([1]对账明细接口!$J$238=0,"",[1]对账明细接口!$J$238),"")</f>
        <v>1976.4</v>
      </c>
      <c r="K238" s="177">
        <f>IFERROR(IF([1]对账明细接口!$K$238=0,"",[1]对账明细接口!$K$238),"")</f>
      </c>
      <c r="L238" s="16">
        <f>IFERROR(IF([1]对账明细接口!$L$238=0,"",[1]对账明细接口!$L$238),"")</f>
      </c>
      <c r="M238" s="16" t="str">
        <f>IFERROR(IF([1]对账明细接口!$M$238=0,"",[1]对账明细接口!$M$238),"")</f>
        <v>麦麦提</v>
      </c>
      <c r="N238" s="19">
        <f>IF($C238="",0,1)</f>
        <v>1</v>
      </c>
      <c r="O238" s="19">
        <f>N(O237)+$N238</f>
        <v>235</v>
      </c>
      <c r="S238" s="20" t="str">
        <f>IFERROR(IF([1]对账明细接口!$N238=0,"",[1]对账明细接口!$N238),"")</f>
        <v>公司红周转筐</v>
      </c>
      <c r="T238" s="212">
        <f>IFERROR(IF([1]对账明细接口!$O238=0,"",[1]对账明细接口!$O238),"")</f>
      </c>
      <c r="U238" s="212">
        <f>IFERROR(IF([1]对账明细接口!$P238=0,"",[1]对账明细接口!$P238),"")</f>
      </c>
      <c r="V238" s="212">
        <f>IFERROR(IF([1]对账明细接口!$Q238=0,"",[1]对账明细接口!$Q238),"")</f>
        <v>108</v>
      </c>
      <c r="W238" s="20" t="str">
        <f>IFERROR(IF([1]对账明细接口!$R238=0,"",[1]对账明细接口!$R238),"")</f>
        <v>新N*X8S48</v>
      </c>
      <c r="X238" s="20" t="str">
        <f>IFERROR(IF([1]对账明细接口!$S238=0,"",[1]对账明细接口!$S238),"")</f>
        <v>公司筐</v>
      </c>
      <c r="Y238" s="20">
        <f>IFERROR(IF([1]对账明细接口!$T238=0,"",[1]对账明细接口!$T238),"")</f>
      </c>
      <c r="Z238" s="213">
        <f>IFERROR(IF([1]对账明细接口!$U238=0,"",[1]对账明细接口!$U238),"")</f>
      </c>
      <c r="AA238" s="213">
        <f>IFERROR(IF([1]对账明细接口!$V238=0,"",[1]对账明细接口!$V238),"")</f>
      </c>
      <c r="AB238" s="20">
        <f>IFERROR(IF([1]对账明细接口!$W238=0,"",[1]对账明细接口!$W238),"")</f>
      </c>
      <c r="AC238" s="7">
        <f>IFERROR(IF([1]对账明细接口!$X238=0,"",[1]对账明细接口!$X238),"")</f>
      </c>
      <c r="AD238" s="7">
        <f>IFERROR(IF([1]对账明细接口!$Y238=0,"",[1]对账明细接口!$Y238),"")</f>
      </c>
      <c r="AE238" s="7">
        <f>IFERROR(IF([1]对账明细接口!$AA238=0,"",[1]对账明细接口!$AA238),"")</f>
      </c>
      <c r="AF238" s="7">
        <f>IFERROR(IF([1]对账明细接口!$AB238=0,"",[1]对账明细接口!$AB238),"")</f>
      </c>
      <c r="AG238" s="7">
        <f>IFERROR(IF([1]对账明细接口!$AC238=0,"",[1]对账明细接口!$AC238),"")</f>
      </c>
      <c r="AH238" s="7">
        <f>IFERROR(IF([1]对账明细接口!$AD238=0,"",[1]对账明细接口!$AD238),"")</f>
      </c>
      <c r="AI238" s="7">
        <f>IFERROR(IF([1]对账明细接口!$AE238=0,"",[1]对账明细接口!$AE238),"")</f>
      </c>
      <c r="AJ238" s="7">
        <f>IFERROR(IF([1]对账明细接口!$AF238=0,"",[1]对账明细接口!$AF238),"")</f>
      </c>
    </row>
    <row r="239" ht="14.25" customHeight="1" s="127">
      <c r="A239" s="14" t="n">
        <v>239</v>
      </c>
      <c r="B239" s="211">
        <f>IFERROR(IF([1]对账明细接口!$B$239=0,"",[1]对账明细接口!$B$239),"")</f>
        <v>46279.0</v>
      </c>
      <c r="C239" s="16" t="str">
        <f>IFERROR(IF([1]对账明细接口!$C$239=0,"",[1]对账明细接口!$C$239),"")</f>
        <v>吐尔洪</v>
      </c>
      <c r="D239" s="16" t="str">
        <f>IFERROR(IF([1]对账明细接口!$D$239=0,"",[1]对账明细接口!$D$239),"")</f>
        <v>原料入库</v>
      </c>
      <c r="E239" s="16" t="str">
        <f>IFERROR(IF([1]对账明细接口!$E$239=0,"",[1]对账明细接口!$E$239),"")</f>
        <v>NO:0000861</v>
      </c>
      <c r="F239" s="16" t="str">
        <f>IFERROR(IF([1]对账明细接口!$F$239=0,"",[1]对账明细接口!$F$239),"")</f>
        <v>香梨</v>
      </c>
      <c r="G239" s="16" t="str">
        <f>IFERROR(IF([1]对账明细接口!$G$239=0,"",[1]对账明细接口!$G$239),"")</f>
        <v>香梨一级</v>
      </c>
      <c r="H239" s="176">
        <f>IFERROR(IF([1]对账明细接口!$H$239=0,"",[1]对账明细接口!$H$239),"")</f>
        <v>41</v>
      </c>
      <c r="I239" s="16" t="str">
        <f>IFERROR(IF([1]对账明细接口!$I$239=0,"",[1]对账明细接口!$I$239),"")</f>
        <v>筐</v>
      </c>
      <c r="J239" s="177">
        <f>IFERROR(IF([1]对账明细接口!$J$239=0,"",[1]对账明细接口!$J$239),"")</f>
        <v>750.3</v>
      </c>
      <c r="K239" s="177">
        <f>IFERROR(IF([1]对账明细接口!$K$239=0,"",[1]对账明细接口!$K$239),"")</f>
      </c>
      <c r="L239" s="16">
        <f>IFERROR(IF([1]对账明细接口!$L$239=0,"",[1]对账明细接口!$L$239),"")</f>
      </c>
      <c r="M239" s="16" t="str">
        <f>IFERROR(IF([1]对账明细接口!$M$239=0,"",[1]对账明细接口!$M$239),"")</f>
        <v>麦麦提</v>
      </c>
      <c r="N239" s="19">
        <f>IF($C239="",0,1)</f>
        <v>1</v>
      </c>
      <c r="O239" s="19">
        <f>N(O238)+$N239</f>
        <v>236</v>
      </c>
      <c r="S239" s="20" t="str">
        <f>IFERROR(IF([1]对账明细接口!$N239=0,"",[1]对账明细接口!$N239),"")</f>
        <v>公司红周转筐</v>
      </c>
      <c r="T239" s="212">
        <f>IFERROR(IF([1]对账明细接口!$O239=0,"",[1]对账明细接口!$O239),"")</f>
      </c>
      <c r="U239" s="212">
        <f>IFERROR(IF([1]对账明细接口!$P239=0,"",[1]对账明细接口!$P239),"")</f>
      </c>
      <c r="V239" s="212">
        <f>IFERROR(IF([1]对账明细接口!$Q239=0,"",[1]对账明细接口!$Q239),"")</f>
        <v>41</v>
      </c>
      <c r="W239" s="20" t="str">
        <f>IFERROR(IF([1]对账明细接口!$R239=0,"",[1]对账明细接口!$R239),"")</f>
        <v>新N*X8S48</v>
      </c>
      <c r="X239" s="20" t="str">
        <f>IFERROR(IF([1]对账明细接口!$S239=0,"",[1]对账明细接口!$S239),"")</f>
        <v>公司筐</v>
      </c>
      <c r="Y239" s="20">
        <f>IFERROR(IF([1]对账明细接口!$T239=0,"",[1]对账明细接口!$T239),"")</f>
      </c>
      <c r="Z239" s="213">
        <f>IFERROR(IF([1]对账明细接口!$U239=0,"",[1]对账明细接口!$U239),"")</f>
      </c>
      <c r="AA239" s="213">
        <f>IFERROR(IF([1]对账明细接口!$V239=0,"",[1]对账明细接口!$V239),"")</f>
      </c>
      <c r="AB239" s="20">
        <f>IFERROR(IF([1]对账明细接口!$W239=0,"",[1]对账明细接口!$W239),"")</f>
      </c>
      <c r="AC239" s="7">
        <f>IFERROR(IF([1]对账明细接口!$X239=0,"",[1]对账明细接口!$X239),"")</f>
      </c>
      <c r="AD239" s="7">
        <f>IFERROR(IF([1]对账明细接口!$Y239=0,"",[1]对账明细接口!$Y239),"")</f>
      </c>
      <c r="AE239" s="7">
        <f>IFERROR(IF([1]对账明细接口!$AA239=0,"",[1]对账明细接口!$AA239),"")</f>
      </c>
      <c r="AF239" s="7">
        <f>IFERROR(IF([1]对账明细接口!$AB239=0,"",[1]对账明细接口!$AB239),"")</f>
      </c>
      <c r="AG239" s="7">
        <f>IFERROR(IF([1]对账明细接口!$AC239=0,"",[1]对账明细接口!$AC239),"")</f>
      </c>
      <c r="AH239" s="7">
        <f>IFERROR(IF([1]对账明细接口!$AD239=0,"",[1]对账明细接口!$AD239),"")</f>
      </c>
      <c r="AI239" s="7">
        <f>IFERROR(IF([1]对账明细接口!$AE239=0,"",[1]对账明细接口!$AE239),"")</f>
      </c>
      <c r="AJ239" s="7">
        <f>IFERROR(IF([1]对账明细接口!$AF239=0,"",[1]对账明细接口!$AF239),"")</f>
      </c>
    </row>
    <row r="240" ht="14.25" customHeight="1" s="127">
      <c r="A240" s="14" t="n">
        <v>240</v>
      </c>
      <c r="B240" s="211">
        <f>IFERROR(IF([1]对账明细接口!$B$240=0,"",[1]对账明细接口!$B$240),"")</f>
        <v>46279.0</v>
      </c>
      <c r="C240" s="16" t="str">
        <f>IFERROR(IF([1]对账明细接口!$C$240=0,"",[1]对账明细接口!$C$240),"")</f>
        <v>吐尔洪</v>
      </c>
      <c r="D240" s="16" t="str">
        <f>IFERROR(IF([1]对账明细接口!$D$240=0,"",[1]对账明细接口!$D$240),"")</f>
        <v>原料入库</v>
      </c>
      <c r="E240" s="16" t="str">
        <f>IFERROR(IF([1]对账明细接口!$E$240=0,"",[1]对账明细接口!$E$240),"")</f>
        <v>NO:0000861</v>
      </c>
      <c r="F240" s="16" t="str">
        <f>IFERROR(IF([1]对账明细接口!$F$240=0,"",[1]对账明细接口!$F$240),"")</f>
        <v>香梨</v>
      </c>
      <c r="G240" s="16" t="str">
        <f>IFERROR(IF([1]对账明细接口!$G$240=0,"",[1]对账明细接口!$G$240),"")</f>
        <v>香梨二级</v>
      </c>
      <c r="H240" s="176">
        <f>IFERROR(IF([1]对账明细接口!$H$240=0,"",[1]对账明细接口!$H$240),"")</f>
        <v>91</v>
      </c>
      <c r="I240" s="16" t="str">
        <f>IFERROR(IF([1]对账明细接口!$I$240=0,"",[1]对账明细接口!$I$240),"")</f>
        <v>筐</v>
      </c>
      <c r="J240" s="177">
        <f>IFERROR(IF([1]对账明细接口!$J$240=0,"",[1]对账明细接口!$J$240),"")</f>
        <v>2029.3</v>
      </c>
      <c r="K240" s="177">
        <f>IFERROR(IF([1]对账明细接口!$K$240=0,"",[1]对账明细接口!$K$240),"")</f>
      </c>
      <c r="L240" s="16">
        <f>IFERROR(IF([1]对账明细接口!$L$240=0,"",[1]对账明细接口!$L$240),"")</f>
      </c>
      <c r="M240" s="16" t="str">
        <f>IFERROR(IF([1]对账明细接口!$M$240=0,"",[1]对账明细接口!$M$240),"")</f>
        <v>麦麦提</v>
      </c>
      <c r="N240" s="19">
        <f>IF($C240="",0,1)</f>
        <v>1</v>
      </c>
      <c r="O240" s="19">
        <f>N(O239)+$N240</f>
        <v>237</v>
      </c>
      <c r="S240" s="20" t="str">
        <f>IFERROR(IF([1]对账明细接口!$N240=0,"",[1]对账明细接口!$N240),"")</f>
        <v>公司红周转筐</v>
      </c>
      <c r="T240" s="212">
        <f>IFERROR(IF([1]对账明细接口!$O240=0,"",[1]对账明细接口!$O240),"")</f>
      </c>
      <c r="U240" s="212">
        <f>IFERROR(IF([1]对账明细接口!$P240=0,"",[1]对账明细接口!$P240),"")</f>
      </c>
      <c r="V240" s="212">
        <f>IFERROR(IF([1]对账明细接口!$Q240=0,"",[1]对账明细接口!$Q240),"")</f>
        <v>91</v>
      </c>
      <c r="W240" s="20" t="str">
        <f>IFERROR(IF([1]对账明细接口!$R240=0,"",[1]对账明细接口!$R240),"")</f>
        <v>新N*X8S48</v>
      </c>
      <c r="X240" s="20" t="str">
        <f>IFERROR(IF([1]对账明细接口!$S240=0,"",[1]对账明细接口!$S240),"")</f>
        <v>公司筐</v>
      </c>
      <c r="Y240" s="20">
        <f>IFERROR(IF([1]对账明细接口!$T240=0,"",[1]对账明细接口!$T240),"")</f>
      </c>
      <c r="Z240" s="213">
        <f>IFERROR(IF([1]对账明细接口!$U240=0,"",[1]对账明细接口!$U240),"")</f>
      </c>
      <c r="AA240" s="213">
        <f>IFERROR(IF([1]对账明细接口!$V240=0,"",[1]对账明细接口!$V240),"")</f>
      </c>
      <c r="AB240" s="20">
        <f>IFERROR(IF([1]对账明细接口!$W240=0,"",[1]对账明细接口!$W240),"")</f>
      </c>
      <c r="AC240" s="7">
        <f>IFERROR(IF([1]对账明细接口!$X240=0,"",[1]对账明细接口!$X240),"")</f>
      </c>
      <c r="AD240" s="7">
        <f>IFERROR(IF([1]对账明细接口!$Y240=0,"",[1]对账明细接口!$Y240),"")</f>
      </c>
      <c r="AE240" s="7">
        <f>IFERROR(IF([1]对账明细接口!$AA240=0,"",[1]对账明细接口!$AA240),"")</f>
      </c>
      <c r="AF240" s="7">
        <f>IFERROR(IF([1]对账明细接口!$AB240=0,"",[1]对账明细接口!$AB240),"")</f>
      </c>
      <c r="AG240" s="7">
        <f>IFERROR(IF([1]对账明细接口!$AC240=0,"",[1]对账明细接口!$AC240),"")</f>
      </c>
      <c r="AH240" s="7">
        <f>IFERROR(IF([1]对账明细接口!$AD240=0,"",[1]对账明细接口!$AD240),"")</f>
      </c>
      <c r="AI240" s="7">
        <f>IFERROR(IF([1]对账明细接口!$AE240=0,"",[1]对账明细接口!$AE240),"")</f>
      </c>
      <c r="AJ240" s="7">
        <f>IFERROR(IF([1]对账明细接口!$AF240=0,"",[1]对账明细接口!$AF240),"")</f>
      </c>
    </row>
    <row r="241" ht="14.25" customHeight="1" s="127">
      <c r="A241" s="14" t="n">
        <v>241</v>
      </c>
      <c r="B241" s="211">
        <f>IFERROR(IF([1]对账明细接口!$B$241=0,"",[1]对账明细接口!$B$241),"")</f>
        <v>46280.0</v>
      </c>
      <c r="C241" s="16" t="str">
        <f>IFERROR(IF([1]对账明细接口!$C$241=0,"",[1]对账明细接口!$C$241),"")</f>
        <v>马锦祥</v>
      </c>
      <c r="D241" s="16" t="str">
        <f>IFERROR(IF([1]对账明细接口!$D$241=0,"",[1]对账明细接口!$D$241),"")</f>
        <v>原料入库</v>
      </c>
      <c r="E241" s="16" t="str">
        <f>IFERROR(IF([1]对账明细接口!$E$241=0,"",[1]对账明细接口!$E$241),"")</f>
        <v>NO:0000864</v>
      </c>
      <c r="F241" s="16" t="str">
        <f>IFERROR(IF([1]对账明细接口!$F$241=0,"",[1]对账明细接口!$F$241),"")</f>
        <v>香梨</v>
      </c>
      <c r="G241" s="16" t="str">
        <f>IFERROR(IF([1]对账明细接口!$G$241=0,"",[1]对账明细接口!$G$241),"")</f>
        <v>香梨一级</v>
      </c>
      <c r="H241" s="176">
        <f>IFERROR(IF([1]对账明细接口!$H$241=0,"",[1]对账明细接口!$H$241),"")</f>
        <v>343</v>
      </c>
      <c r="I241" s="16" t="str">
        <f>IFERROR(IF([1]对账明细接口!$I$241=0,"",[1]对账明细接口!$I$241),"")</f>
        <v>筐</v>
      </c>
      <c r="J241" s="177">
        <f>IFERROR(IF([1]对账明细接口!$J$241=0,"",[1]对账明细接口!$J$241),"")</f>
        <v>6276.9</v>
      </c>
      <c r="K241" s="177">
        <f>IFERROR(IF([1]对账明细接口!$K$241=0,"",[1]对账明细接口!$K$241),"")</f>
      </c>
      <c r="L241" s="16">
        <f>IFERROR(IF([1]对账明细接口!$L$241=0,"",[1]对账明细接口!$L$241),"")</f>
      </c>
      <c r="M241" s="16">
        <f>IFERROR(IF([1]对账明细接口!$M$241=0,"",[1]对账明细接口!$M$241),"")</f>
      </c>
      <c r="N241" s="19">
        <f>IF($C241="",0,1)</f>
        <v>1</v>
      </c>
      <c r="O241" s="19">
        <f>N(O240)+$N241</f>
        <v>238</v>
      </c>
      <c r="S241" s="20" t="str">
        <f>IFERROR(IF([1]对账明细接口!$N241=0,"",[1]对账明细接口!$N241),"")</f>
        <v>公司杂周转筐</v>
      </c>
      <c r="T241" s="212">
        <f>IFERROR(IF([1]对账明细接口!$O241=0,"",[1]对账明细接口!$O241),"")</f>
      </c>
      <c r="U241" s="212">
        <f>IFERROR(IF([1]对账明细接口!$P241=0,"",[1]对账明细接口!$P241),"")</f>
      </c>
      <c r="V241" s="212">
        <f>IFERROR(IF([1]对账明细接口!$Q241=0,"",[1]对账明细接口!$Q241),"")</f>
        <v>343</v>
      </c>
      <c r="W241" s="20" t="str">
        <f>IFERROR(IF([1]对账明细接口!$R241=0,"",[1]对账明细接口!$R241),"")</f>
        <v>新N*K7V85</v>
      </c>
      <c r="X241" s="20" t="str">
        <f>IFERROR(IF([1]对账明细接口!$S241=0,"",[1]对账明细接口!$S241),"")</f>
        <v>公司筐</v>
      </c>
      <c r="Y241" s="20">
        <f>IFERROR(IF([1]对账明细接口!$T241=0,"",[1]对账明细接口!$T241),"")</f>
      </c>
      <c r="Z241" s="213">
        <f>IFERROR(IF([1]对账明细接口!$U241=0,"",[1]对账明细接口!$U241),"")</f>
      </c>
      <c r="AA241" s="213">
        <f>IFERROR(IF([1]对账明细接口!$V241=0,"",[1]对账明细接口!$V241),"")</f>
      </c>
      <c r="AB241" s="20">
        <f>IFERROR(IF([1]对账明细接口!$W241=0,"",[1]对账明细接口!$W241),"")</f>
      </c>
      <c r="AC241" s="7">
        <f>IFERROR(IF([1]对账明细接口!$X241=0,"",[1]对账明细接口!$X241),"")</f>
      </c>
      <c r="AD241" s="7">
        <f>IFERROR(IF([1]对账明细接口!$Y241=0,"",[1]对账明细接口!$Y241),"")</f>
      </c>
      <c r="AE241" s="7">
        <f>IFERROR(IF([1]对账明细接口!$AA241=0,"",[1]对账明细接口!$AA241),"")</f>
      </c>
      <c r="AF241" s="7">
        <f>IFERROR(IF([1]对账明细接口!$AB241=0,"",[1]对账明细接口!$AB241),"")</f>
      </c>
      <c r="AG241" s="7">
        <f>IFERROR(IF([1]对账明细接口!$AC241=0,"",[1]对账明细接口!$AC241),"")</f>
      </c>
      <c r="AH241" s="7">
        <f>IFERROR(IF([1]对账明细接口!$AD241=0,"",[1]对账明细接口!$AD241),"")</f>
      </c>
      <c r="AI241" s="7">
        <f>IFERROR(IF([1]对账明细接口!$AE241=0,"",[1]对账明细接口!$AE241),"")</f>
      </c>
      <c r="AJ241" s="7">
        <f>IFERROR(IF([1]对账明细接口!$AF241=0,"",[1]对账明细接口!$AF241),"")</f>
      </c>
    </row>
    <row r="242" ht="14.25" customHeight="1" s="127">
      <c r="A242" s="14" t="n">
        <v>242</v>
      </c>
      <c r="B242" s="211">
        <f>IFERROR(IF([1]对账明细接口!$B$242=0,"",[1]对账明细接口!$B$242),"")</f>
        <v>46280.0</v>
      </c>
      <c r="C242" s="16" t="str">
        <f>IFERROR(IF([1]对账明细接口!$C$242=0,"",[1]对账明细接口!$C$242),"")</f>
        <v>马锦祥</v>
      </c>
      <c r="D242" s="16" t="str">
        <f>IFERROR(IF([1]对账明细接口!$D$242=0,"",[1]对账明细接口!$D$242),"")</f>
        <v>原料入库</v>
      </c>
      <c r="E242" s="16" t="str">
        <f>IFERROR(IF([1]对账明细接口!$E$242=0,"",[1]对账明细接口!$E$242),"")</f>
        <v>NO:0000867</v>
      </c>
      <c r="F242" s="16" t="str">
        <f>IFERROR(IF([1]对账明细接口!$F$242=0,"",[1]对账明细接口!$F$242),"")</f>
        <v>香梨</v>
      </c>
      <c r="G242" s="16" t="str">
        <f>IFERROR(IF([1]对账明细接口!$G$242=0,"",[1]对账明细接口!$G$242),"")</f>
        <v>香梨一级</v>
      </c>
      <c r="H242" s="176">
        <f>IFERROR(IF([1]对账明细接口!$H$242=0,"",[1]对账明细接口!$H$242),"")</f>
        <v>98</v>
      </c>
      <c r="I242" s="16" t="str">
        <f>IFERROR(IF([1]对账明细接口!$I$242=0,"",[1]对账明细接口!$I$242),"")</f>
        <v>筐</v>
      </c>
      <c r="J242" s="177">
        <f>IFERROR(IF([1]对账明细接口!$J$242=0,"",[1]对账明细接口!$J$242),"")</f>
        <v>1793.4</v>
      </c>
      <c r="K242" s="177">
        <f>IFERROR(IF([1]对账明细接口!$K$242=0,"",[1]对账明细接口!$K$242),"")</f>
      </c>
      <c r="L242" s="16">
        <f>IFERROR(IF([1]对账明细接口!$L$242=0,"",[1]对账明细接口!$L$242),"")</f>
      </c>
      <c r="M242" s="16">
        <f>IFERROR(IF([1]对账明细接口!$M$242=0,"",[1]对账明细接口!$M$242),"")</f>
      </c>
      <c r="N242" s="19">
        <f>IF($C242="",0,1)</f>
        <v>1</v>
      </c>
      <c r="O242" s="19">
        <f>N(O241)+$N242</f>
        <v>239</v>
      </c>
      <c r="S242" s="20" t="str">
        <f>IFERROR(IF([1]对账明细接口!$N242=0,"",[1]对账明细接口!$N242),"")</f>
        <v>公司杂周转筐</v>
      </c>
      <c r="T242" s="212">
        <f>IFERROR(IF([1]对账明细接口!$O242=0,"",[1]对账明细接口!$O242),"")</f>
      </c>
      <c r="U242" s="212">
        <f>IFERROR(IF([1]对账明细接口!$P242=0,"",[1]对账明细接口!$P242),"")</f>
      </c>
      <c r="V242" s="212">
        <f>IFERROR(IF([1]对账明细接口!$Q242=0,"",[1]对账明细接口!$Q242),"")</f>
        <v>98</v>
      </c>
      <c r="W242" s="20" t="str">
        <f>IFERROR(IF([1]对账明细接口!$R242=0,"",[1]对账明细接口!$R242),"")</f>
        <v>新N*K7V85</v>
      </c>
      <c r="X242" s="20" t="str">
        <f>IFERROR(IF([1]对账明细接口!$S242=0,"",[1]对账明细接口!$S242),"")</f>
        <v>公司筐</v>
      </c>
      <c r="Y242" s="20">
        <f>IFERROR(IF([1]对账明细接口!$T242=0,"",[1]对账明细接口!$T242),"")</f>
      </c>
      <c r="Z242" s="213">
        <f>IFERROR(IF([1]对账明细接口!$U242=0,"",[1]对账明细接口!$U242),"")</f>
      </c>
      <c r="AA242" s="213">
        <f>IFERROR(IF([1]对账明细接口!$V242=0,"",[1]对账明细接口!$V242),"")</f>
      </c>
      <c r="AB242" s="20">
        <f>IFERROR(IF([1]对账明细接口!$W242=0,"",[1]对账明细接口!$W242),"")</f>
      </c>
      <c r="AC242" s="7">
        <f>IFERROR(IF([1]对账明细接口!$X242=0,"",[1]对账明细接口!$X242),"")</f>
      </c>
      <c r="AD242" s="7">
        <f>IFERROR(IF([1]对账明细接口!$Y242=0,"",[1]对账明细接口!$Y242),"")</f>
      </c>
      <c r="AE242" s="7">
        <f>IFERROR(IF([1]对账明细接口!$AA242=0,"",[1]对账明细接口!$AA242),"")</f>
      </c>
      <c r="AF242" s="7">
        <f>IFERROR(IF([1]对账明细接口!$AB242=0,"",[1]对账明细接口!$AB242),"")</f>
      </c>
      <c r="AG242" s="7">
        <f>IFERROR(IF([1]对账明细接口!$AC242=0,"",[1]对账明细接口!$AC242),"")</f>
      </c>
      <c r="AH242" s="7">
        <f>IFERROR(IF([1]对账明细接口!$AD242=0,"",[1]对账明细接口!$AD242),"")</f>
      </c>
      <c r="AI242" s="7">
        <f>IFERROR(IF([1]对账明细接口!$AE242=0,"",[1]对账明细接口!$AE242),"")</f>
      </c>
      <c r="AJ242" s="7">
        <f>IFERROR(IF([1]对账明细接口!$AF242=0,"",[1]对账明细接口!$AF242),"")</f>
      </c>
    </row>
    <row r="243" ht="14.25" customHeight="1" s="127">
      <c r="A243" s="14" t="n">
        <v>243</v>
      </c>
      <c r="B243" s="211">
        <f>IFERROR(IF([1]对账明细接口!$B$243=0,"",[1]对账明细接口!$B$243),"")</f>
        <v>46280.0</v>
      </c>
      <c r="C243" s="16" t="str">
        <f>IFERROR(IF([1]对账明细接口!$C$243=0,"",[1]对账明细接口!$C$243),"")</f>
        <v>马锦祥</v>
      </c>
      <c r="D243" s="16" t="str">
        <f>IFERROR(IF([1]对账明细接口!$D$243=0,"",[1]对账明细接口!$D$243),"")</f>
        <v>原料入库</v>
      </c>
      <c r="E243" s="16" t="str">
        <f>IFERROR(IF([1]对账明细接口!$E$243=0,"",[1]对账明细接口!$E$243),"")</f>
        <v>NO:0000867</v>
      </c>
      <c r="F243" s="16" t="str">
        <f>IFERROR(IF([1]对账明细接口!$F$243=0,"",[1]对账明细接口!$F$243),"")</f>
        <v>香梨</v>
      </c>
      <c r="G243" s="16" t="str">
        <f>IFERROR(IF([1]对账明细接口!$G$243=0,"",[1]对账明细接口!$G$243),"")</f>
        <v>香梨二级</v>
      </c>
      <c r="H243" s="176">
        <f>IFERROR(IF([1]对账明细接口!$H$243=0,"",[1]对账明细接口!$H$243),"")</f>
        <v>93</v>
      </c>
      <c r="I243" s="16" t="str">
        <f>IFERROR(IF([1]对账明细接口!$I$243=0,"",[1]对账明细接口!$I$243),"")</f>
        <v>筐</v>
      </c>
      <c r="J243" s="177">
        <f>IFERROR(IF([1]对账明细接口!$J$243=0,"",[1]对账明细接口!$J$243),"")</f>
        <v>2073.9</v>
      </c>
      <c r="K243" s="177">
        <f>IFERROR(IF([1]对账明细接口!$K$243=0,"",[1]对账明细接口!$K$243),"")</f>
      </c>
      <c r="L243" s="16">
        <f>IFERROR(IF([1]对账明细接口!$L$243=0,"",[1]对账明细接口!$L$243),"")</f>
      </c>
      <c r="M243" s="16">
        <f>IFERROR(IF([1]对账明细接口!$M$243=0,"",[1]对账明细接口!$M$243),"")</f>
      </c>
      <c r="N243" s="19">
        <f>IF($C243="",0,1)</f>
        <v>1</v>
      </c>
      <c r="O243" s="19">
        <f>N(O242)+$N243</f>
        <v>240</v>
      </c>
      <c r="S243" s="20" t="str">
        <f>IFERROR(IF([1]对账明细接口!$N243=0,"",[1]对账明细接口!$N243),"")</f>
        <v>公司杂周转筐</v>
      </c>
      <c r="T243" s="212">
        <f>IFERROR(IF([1]对账明细接口!$O243=0,"",[1]对账明细接口!$O243),"")</f>
      </c>
      <c r="U243" s="212">
        <f>IFERROR(IF([1]对账明细接口!$P243=0,"",[1]对账明细接口!$P243),"")</f>
      </c>
      <c r="V243" s="212">
        <f>IFERROR(IF([1]对账明细接口!$Q243=0,"",[1]对账明细接口!$Q243),"")</f>
        <v>93</v>
      </c>
      <c r="W243" s="20" t="str">
        <f>IFERROR(IF([1]对账明细接口!$R243=0,"",[1]对账明细接口!$R243),"")</f>
        <v>新N*K7V85</v>
      </c>
      <c r="X243" s="20" t="str">
        <f>IFERROR(IF([1]对账明细接口!$S243=0,"",[1]对账明细接口!$S243),"")</f>
        <v>公司筐</v>
      </c>
      <c r="Y243" s="20">
        <f>IFERROR(IF([1]对账明细接口!$T243=0,"",[1]对账明细接口!$T243),"")</f>
      </c>
      <c r="Z243" s="213">
        <f>IFERROR(IF([1]对账明细接口!$U243=0,"",[1]对账明细接口!$U243),"")</f>
      </c>
      <c r="AA243" s="213">
        <f>IFERROR(IF([1]对账明细接口!$V243=0,"",[1]对账明细接口!$V243),"")</f>
      </c>
      <c r="AB243" s="20">
        <f>IFERROR(IF([1]对账明细接口!$W243=0,"",[1]对账明细接口!$W243),"")</f>
      </c>
      <c r="AC243" s="7">
        <f>IFERROR(IF([1]对账明细接口!$X243=0,"",[1]对账明细接口!$X243),"")</f>
      </c>
      <c r="AD243" s="7">
        <f>IFERROR(IF([1]对账明细接口!$Y243=0,"",[1]对账明细接口!$Y243),"")</f>
      </c>
      <c r="AE243" s="7">
        <f>IFERROR(IF([1]对账明细接口!$AA243=0,"",[1]对账明细接口!$AA243),"")</f>
      </c>
      <c r="AF243" s="7">
        <f>IFERROR(IF([1]对账明细接口!$AB243=0,"",[1]对账明细接口!$AB243),"")</f>
      </c>
      <c r="AG243" s="7">
        <f>IFERROR(IF([1]对账明细接口!$AC243=0,"",[1]对账明细接口!$AC243),"")</f>
      </c>
      <c r="AH243" s="7">
        <f>IFERROR(IF([1]对账明细接口!$AD243=0,"",[1]对账明细接口!$AD243),"")</f>
      </c>
      <c r="AI243" s="7">
        <f>IFERROR(IF([1]对账明细接口!$AE243=0,"",[1]对账明细接口!$AE243),"")</f>
      </c>
      <c r="AJ243" s="7">
        <f>IFERROR(IF([1]对账明细接口!$AF243=0,"",[1]对账明细接口!$AF243),"")</f>
      </c>
    </row>
    <row r="244" ht="14.25" customHeight="1" s="127">
      <c r="A244" s="14" t="n">
        <v>244</v>
      </c>
      <c r="B244" s="211">
        <f>IFERROR(IF([1]对账明细接口!$B$244=0,"",[1]对账明细接口!$B$244),"")</f>
        <v>46280.0</v>
      </c>
      <c r="C244" s="16" t="str">
        <f>IFERROR(IF([1]对账明细接口!$C$244=0,"",[1]对账明细接口!$C$244),"")</f>
        <v>马锦祥</v>
      </c>
      <c r="D244" s="16" t="str">
        <f>IFERROR(IF([1]对账明细接口!$D$244=0,"",[1]对账明细接口!$D$244),"")</f>
        <v>原料入库</v>
      </c>
      <c r="E244" s="16" t="str">
        <f>IFERROR(IF([1]对账明细接口!$E$244=0,"",[1]对账明细接口!$E$244),"")</f>
        <v>NO:0000867</v>
      </c>
      <c r="F244" s="16" t="str">
        <f>IFERROR(IF([1]对账明细接口!$F$244=0,"",[1]对账明细接口!$F$244),"")</f>
        <v>香梨</v>
      </c>
      <c r="G244" s="16" t="str">
        <f>IFERROR(IF([1]对账明细接口!$G$244=0,"",[1]对账明细接口!$G$244),"")</f>
        <v>香梨副特</v>
      </c>
      <c r="H244" s="176">
        <f>IFERROR(IF([1]对账明细接口!$H$244=0,"",[1]对账明细接口!$H$244),"")</f>
        <v>57</v>
      </c>
      <c r="I244" s="16" t="str">
        <f>IFERROR(IF([1]对账明细接口!$I$244=0,"",[1]对账明细接口!$I$244),"")</f>
        <v>筐</v>
      </c>
      <c r="J244" s="177">
        <f>IFERROR(IF([1]对账明细接口!$J$244=0,"",[1]对账明细接口!$J$244),"")</f>
        <v>1043.1</v>
      </c>
      <c r="K244" s="177">
        <f>IFERROR(IF([1]对账明细接口!$K$244=0,"",[1]对账明细接口!$K$244),"")</f>
      </c>
      <c r="L244" s="16">
        <f>IFERROR(IF([1]对账明细接口!$L$244=0,"",[1]对账明细接口!$L$244),"")</f>
      </c>
      <c r="M244" s="16">
        <f>IFERROR(IF([1]对账明细接口!$M$244=0,"",[1]对账明细接口!$M$244),"")</f>
      </c>
      <c r="N244" s="19">
        <f>IF($C244="",0,1)</f>
        <v>1</v>
      </c>
      <c r="O244" s="19">
        <f>N(O243)+$N244</f>
        <v>241</v>
      </c>
      <c r="S244" s="20" t="str">
        <f>IFERROR(IF([1]对账明细接口!$N244=0,"",[1]对账明细接口!$N244),"")</f>
        <v>公司杂周转筐</v>
      </c>
      <c r="T244" s="212">
        <f>IFERROR(IF([1]对账明细接口!$O244=0,"",[1]对账明细接口!$O244),"")</f>
      </c>
      <c r="U244" s="212">
        <f>IFERROR(IF([1]对账明细接口!$P244=0,"",[1]对账明细接口!$P244),"")</f>
      </c>
      <c r="V244" s="212">
        <f>IFERROR(IF([1]对账明细接口!$Q244=0,"",[1]对账明细接口!$Q244),"")</f>
        <v>57</v>
      </c>
      <c r="W244" s="20" t="str">
        <f>IFERROR(IF([1]对账明细接口!$R244=0,"",[1]对账明细接口!$R244),"")</f>
        <v>新N*K7V85</v>
      </c>
      <c r="X244" s="20" t="str">
        <f>IFERROR(IF([1]对账明细接口!$S244=0,"",[1]对账明细接口!$S244),"")</f>
        <v>公司筐</v>
      </c>
      <c r="Y244" s="20">
        <f>IFERROR(IF([1]对账明细接口!$T244=0,"",[1]对账明细接口!$T244),"")</f>
      </c>
      <c r="Z244" s="213">
        <f>IFERROR(IF([1]对账明细接口!$U244=0,"",[1]对账明细接口!$U244),"")</f>
      </c>
      <c r="AA244" s="213">
        <f>IFERROR(IF([1]对账明细接口!$V244=0,"",[1]对账明细接口!$V244),"")</f>
      </c>
      <c r="AB244" s="20">
        <f>IFERROR(IF([1]对账明细接口!$W244=0,"",[1]对账明细接口!$W244),"")</f>
      </c>
      <c r="AC244" s="7">
        <f>IFERROR(IF([1]对账明细接口!$X244=0,"",[1]对账明细接口!$X244),"")</f>
      </c>
      <c r="AD244" s="7">
        <f>IFERROR(IF([1]对账明细接口!$Y244=0,"",[1]对账明细接口!$Y244),"")</f>
      </c>
      <c r="AE244" s="7">
        <f>IFERROR(IF([1]对账明细接口!$AA244=0,"",[1]对账明细接口!$AA244),"")</f>
      </c>
      <c r="AF244" s="7">
        <f>IFERROR(IF([1]对账明细接口!$AB244=0,"",[1]对账明细接口!$AB244),"")</f>
      </c>
      <c r="AG244" s="7">
        <f>IFERROR(IF([1]对账明细接口!$AC244=0,"",[1]对账明细接口!$AC244),"")</f>
      </c>
      <c r="AH244" s="7">
        <f>IFERROR(IF([1]对账明细接口!$AD244=0,"",[1]对账明细接口!$AD244),"")</f>
      </c>
      <c r="AI244" s="7">
        <f>IFERROR(IF([1]对账明细接口!$AE244=0,"",[1]对账明细接口!$AE244),"")</f>
      </c>
      <c r="AJ244" s="7">
        <f>IFERROR(IF([1]对账明细接口!$AF244=0,"",[1]对账明细接口!$AF244),"")</f>
      </c>
    </row>
    <row r="245" ht="14.25" customHeight="1" s="127">
      <c r="A245" s="14" t="n">
        <v>245</v>
      </c>
      <c r="B245" s="211">
        <f>IFERROR(IF([1]对账明细接口!$B$245=0,"",[1]对账明细接口!$B$245),"")</f>
        <v>46280.0</v>
      </c>
      <c r="C245" s="16" t="str">
        <f>IFERROR(IF([1]对账明细接口!$C$245=0,"",[1]对账明细接口!$C$245),"")</f>
        <v>努尔敦</v>
      </c>
      <c r="D245" s="16" t="str">
        <f>IFERROR(IF([1]对账明细接口!$D$245=0,"",[1]对账明细接口!$D$245),"")</f>
        <v>原料入库</v>
      </c>
      <c r="E245" s="16" t="str">
        <f>IFERROR(IF([1]对账明细接口!$E$245=0,"",[1]对账明细接口!$E$245),"")</f>
        <v>NO:0000868</v>
      </c>
      <c r="F245" s="16" t="str">
        <f>IFERROR(IF([1]对账明细接口!$F$245=0,"",[1]对账明细接口!$F$245),"")</f>
        <v>香梨</v>
      </c>
      <c r="G245" s="16" t="str">
        <f>IFERROR(IF([1]对账明细接口!$G$245=0,"",[1]对账明细接口!$G$245),"")</f>
        <v>香梨特级</v>
      </c>
      <c r="H245" s="176">
        <f>IFERROR(IF([1]对账明细接口!$H$245=0,"",[1]对账明细接口!$H$245),"")</f>
        <v>264</v>
      </c>
      <c r="I245" s="16" t="str">
        <f>IFERROR(IF([1]对账明细接口!$I$245=0,"",[1]对账明细接口!$I$245),"")</f>
        <v>筐</v>
      </c>
      <c r="J245" s="177">
        <f>IFERROR(IF([1]对账明细接口!$J$245=0,"",[1]对账明细接口!$J$245),"")</f>
        <v>4831.2</v>
      </c>
      <c r="K245" s="177">
        <f>IFERROR(IF([1]对账明细接口!$K$245=0,"",[1]对账明细接口!$K$245),"")</f>
      </c>
      <c r="L245" s="16">
        <f>IFERROR(IF([1]对账明细接口!$L$245=0,"",[1]对账明细接口!$L$245),"")</f>
      </c>
      <c r="M245" s="16">
        <f>IFERROR(IF([1]对账明细接口!$M$245=0,"",[1]对账明细接口!$M$245),"")</f>
      </c>
      <c r="N245" s="19">
        <f>IF($C245="",0,1)</f>
        <v>1</v>
      </c>
      <c r="O245" s="19">
        <f>N(O244)+$N245</f>
        <v>242</v>
      </c>
      <c r="S245" s="20" t="str">
        <f>IFERROR(IF([1]对账明细接口!$N245=0,"",[1]对账明细接口!$N245),"")</f>
        <v>公司红周转筐</v>
      </c>
      <c r="T245" s="212">
        <f>IFERROR(IF([1]对账明细接口!$O245=0,"",[1]对账明细接口!$O245),"")</f>
      </c>
      <c r="U245" s="212">
        <f>IFERROR(IF([1]对账明细接口!$P245=0,"",[1]对账明细接口!$P245),"")</f>
      </c>
      <c r="V245" s="212">
        <f>IFERROR(IF([1]对账明细接口!$Q245=0,"",[1]对账明细接口!$Q245),"")</f>
        <v>264</v>
      </c>
      <c r="W245" s="20" t="str">
        <f>IFERROR(IF([1]对账明细接口!$R245=0,"",[1]对账明细接口!$R245),"")</f>
        <v>新F*75240</v>
      </c>
      <c r="X245" s="20" t="str">
        <f>IFERROR(IF([1]对账明细接口!$S245=0,"",[1]对账明细接口!$S245),"")</f>
        <v>公司筐</v>
      </c>
      <c r="Y245" s="20">
        <f>IFERROR(IF([1]对账明细接口!$T245=0,"",[1]对账明细接口!$T245),"")</f>
      </c>
      <c r="Z245" s="213">
        <f>IFERROR(IF([1]对账明细接口!$U245=0,"",[1]对账明细接口!$U245),"")</f>
      </c>
      <c r="AA245" s="213">
        <f>IFERROR(IF([1]对账明细接口!$V245=0,"",[1]对账明细接口!$V245),"")</f>
      </c>
      <c r="AB245" s="20">
        <f>IFERROR(IF([1]对账明细接口!$W245=0,"",[1]对账明细接口!$W245),"")</f>
      </c>
      <c r="AC245" s="7">
        <f>IFERROR(IF([1]对账明细接口!$X245=0,"",[1]对账明细接口!$X245),"")</f>
      </c>
      <c r="AD245" s="7">
        <f>IFERROR(IF([1]对账明细接口!$Y245=0,"",[1]对账明细接口!$Y245),"")</f>
      </c>
      <c r="AE245" s="7">
        <f>IFERROR(IF([1]对账明细接口!$AA245=0,"",[1]对账明细接口!$AA245),"")</f>
      </c>
      <c r="AF245" s="7">
        <f>IFERROR(IF([1]对账明细接口!$AB245=0,"",[1]对账明细接口!$AB245),"")</f>
      </c>
      <c r="AG245" s="7">
        <f>IFERROR(IF([1]对账明细接口!$AC245=0,"",[1]对账明细接口!$AC245),"")</f>
      </c>
      <c r="AH245" s="7">
        <f>IFERROR(IF([1]对账明细接口!$AD245=0,"",[1]对账明细接口!$AD245),"")</f>
      </c>
      <c r="AI245" s="7">
        <f>IFERROR(IF([1]对账明细接口!$AE245=0,"",[1]对账明细接口!$AE245),"")</f>
      </c>
      <c r="AJ245" s="7">
        <f>IFERROR(IF([1]对账明细接口!$AF245=0,"",[1]对账明细接口!$AF245),"")</f>
      </c>
    </row>
    <row r="246" ht="14.25" customHeight="1" s="127">
      <c r="A246" s="14" t="n">
        <v>246</v>
      </c>
      <c r="B246" s="211">
        <f>IFERROR(IF([1]对账明细接口!$B$246=0,"",[1]对账明细接口!$B$246),"")</f>
        <v>46280.0</v>
      </c>
      <c r="C246" s="16" t="str">
        <f>IFERROR(IF([1]对账明细接口!$C$246=0,"",[1]对账明细接口!$C$246),"")</f>
        <v>努尔敦</v>
      </c>
      <c r="D246" s="16" t="str">
        <f>IFERROR(IF([1]对账明细接口!$D$246=0,"",[1]对账明细接口!$D$246),"")</f>
        <v>原料入库</v>
      </c>
      <c r="E246" s="16" t="str">
        <f>IFERROR(IF([1]对账明细接口!$E$246=0,"",[1]对账明细接口!$E$246),"")</f>
        <v>NO:0000868</v>
      </c>
      <c r="F246" s="16" t="str">
        <f>IFERROR(IF([1]对账明细接口!$F$246=0,"",[1]对账明细接口!$F$246),"")</f>
        <v>香梨</v>
      </c>
      <c r="G246" s="16" t="str">
        <f>IFERROR(IF([1]对账明细接口!$G$246=0,"",[1]对账明细接口!$G$246),"")</f>
        <v>香梨一级</v>
      </c>
      <c r="H246" s="176">
        <f>IFERROR(IF([1]对账明细接口!$H$246=0,"",[1]对账明细接口!$H$246),"")</f>
        <v>220</v>
      </c>
      <c r="I246" s="16" t="str">
        <f>IFERROR(IF([1]对账明细接口!$I$246=0,"",[1]对账明细接口!$I$246),"")</f>
        <v>筐</v>
      </c>
      <c r="J246" s="177">
        <f>IFERROR(IF([1]对账明细接口!$J$246=0,"",[1]对账明细接口!$J$246),"")</f>
        <v>4026</v>
      </c>
      <c r="K246" s="177">
        <f>IFERROR(IF([1]对账明细接口!$K$246=0,"",[1]对账明细接口!$K$246),"")</f>
      </c>
      <c r="L246" s="16">
        <f>IFERROR(IF([1]对账明细接口!$L$246=0,"",[1]对账明细接口!$L$246),"")</f>
      </c>
      <c r="M246" s="16">
        <f>IFERROR(IF([1]对账明细接口!$M$246=0,"",[1]对账明细接口!$M$246),"")</f>
      </c>
      <c r="N246" s="19">
        <f>IF($C246="",0,1)</f>
        <v>1</v>
      </c>
      <c r="O246" s="19">
        <f>N(O245)+$N246</f>
        <v>243</v>
      </c>
      <c r="S246" s="20" t="str">
        <f>IFERROR(IF([1]对账明细接口!$N246=0,"",[1]对账明细接口!$N246),"")</f>
        <v>公司红周转筐</v>
      </c>
      <c r="T246" s="212">
        <f>IFERROR(IF([1]对账明细接口!$O246=0,"",[1]对账明细接口!$O246),"")</f>
      </c>
      <c r="U246" s="212">
        <f>IFERROR(IF([1]对账明细接口!$P246=0,"",[1]对账明细接口!$P246),"")</f>
      </c>
      <c r="V246" s="212">
        <f>IFERROR(IF([1]对账明细接口!$Q246=0,"",[1]对账明细接口!$Q246),"")</f>
        <v>220</v>
      </c>
      <c r="W246" s="20" t="str">
        <f>IFERROR(IF([1]对账明细接口!$R246=0,"",[1]对账明细接口!$R246),"")</f>
        <v>新F*75240</v>
      </c>
      <c r="X246" s="20" t="str">
        <f>IFERROR(IF([1]对账明细接口!$S246=0,"",[1]对账明细接口!$S246),"")</f>
        <v>公司筐</v>
      </c>
      <c r="Y246" s="20">
        <f>IFERROR(IF([1]对账明细接口!$T246=0,"",[1]对账明细接口!$T246),"")</f>
      </c>
      <c r="Z246" s="213">
        <f>IFERROR(IF([1]对账明细接口!$U246=0,"",[1]对账明细接口!$U246),"")</f>
      </c>
      <c r="AA246" s="213">
        <f>IFERROR(IF([1]对账明细接口!$V246=0,"",[1]对账明细接口!$V246),"")</f>
      </c>
      <c r="AB246" s="20">
        <f>IFERROR(IF([1]对账明细接口!$W246=0,"",[1]对账明细接口!$W246),"")</f>
      </c>
      <c r="AC246" s="7">
        <f>IFERROR(IF([1]对账明细接口!$X246=0,"",[1]对账明细接口!$X246),"")</f>
      </c>
      <c r="AD246" s="7">
        <f>IFERROR(IF([1]对账明细接口!$Y246=0,"",[1]对账明细接口!$Y246),"")</f>
      </c>
      <c r="AE246" s="7">
        <f>IFERROR(IF([1]对账明细接口!$AA246=0,"",[1]对账明细接口!$AA246),"")</f>
      </c>
      <c r="AF246" s="7">
        <f>IFERROR(IF([1]对账明细接口!$AB246=0,"",[1]对账明细接口!$AB246),"")</f>
      </c>
      <c r="AG246" s="7">
        <f>IFERROR(IF([1]对账明细接口!$AC246=0,"",[1]对账明细接口!$AC246),"")</f>
      </c>
      <c r="AH246" s="7">
        <f>IFERROR(IF([1]对账明细接口!$AD246=0,"",[1]对账明细接口!$AD246),"")</f>
      </c>
      <c r="AI246" s="7">
        <f>IFERROR(IF([1]对账明细接口!$AE246=0,"",[1]对账明细接口!$AE246),"")</f>
      </c>
      <c r="AJ246" s="7">
        <f>IFERROR(IF([1]对账明细接口!$AF246=0,"",[1]对账明细接口!$AF246),"")</f>
      </c>
    </row>
    <row r="247" ht="14.25" customHeight="1" s="127">
      <c r="A247" s="14" t="n">
        <v>247</v>
      </c>
      <c r="B247" s="211">
        <f>IFERROR(IF([1]对账明细接口!$B$247=0,"",[1]对账明细接口!$B$247),"")</f>
        <v>46280.0</v>
      </c>
      <c r="C247" s="16" t="str">
        <f>IFERROR(IF([1]对账明细接口!$C$247=0,"",[1]对账明细接口!$C$247),"")</f>
        <v>努尔敦</v>
      </c>
      <c r="D247" s="16" t="str">
        <f>IFERROR(IF([1]对账明细接口!$D$247=0,"",[1]对账明细接口!$D$247),"")</f>
        <v>原料入库</v>
      </c>
      <c r="E247" s="16" t="str">
        <f>IFERROR(IF([1]对账明细接口!$E$247=0,"",[1]对账明细接口!$E$247),"")</f>
        <v>NO:0000868</v>
      </c>
      <c r="F247" s="16" t="str">
        <f>IFERROR(IF([1]对账明细接口!$F$247=0,"",[1]对账明细接口!$F$247),"")</f>
        <v>香梨</v>
      </c>
      <c r="G247" s="16" t="str">
        <f>IFERROR(IF([1]对账明细接口!$G$247=0,"",[1]对账明细接口!$G$247),"")</f>
        <v>香梨二级</v>
      </c>
      <c r="H247" s="176">
        <f>IFERROR(IF([1]对账明细接口!$H$247=0,"",[1]对账明细接口!$H$247),"")</f>
        <v>168</v>
      </c>
      <c r="I247" s="16" t="str">
        <f>IFERROR(IF([1]对账明细接口!$I$247=0,"",[1]对账明细接口!$I$247),"")</f>
        <v>筐</v>
      </c>
      <c r="J247" s="177">
        <f>IFERROR(IF([1]对账明细接口!$J$247=0,"",[1]对账明细接口!$J$247),"")</f>
        <v>3746.4</v>
      </c>
      <c r="K247" s="177">
        <f>IFERROR(IF([1]对账明细接口!$K$247=0,"",[1]对账明细接口!$K$247),"")</f>
      </c>
      <c r="L247" s="16">
        <f>IFERROR(IF([1]对账明细接口!$L$247=0,"",[1]对账明细接口!$L$247),"")</f>
      </c>
      <c r="M247" s="16">
        <f>IFERROR(IF([1]对账明细接口!$M$247=0,"",[1]对账明细接口!$M$247),"")</f>
      </c>
      <c r="N247" s="19">
        <f>IF($C247="",0,1)</f>
        <v>1</v>
      </c>
      <c r="O247" s="19">
        <f>N(O246)+$N247</f>
        <v>244</v>
      </c>
      <c r="S247" s="20" t="str">
        <f>IFERROR(IF([1]对账明细接口!$N247=0,"",[1]对账明细接口!$N247),"")</f>
        <v>公司红周转筐</v>
      </c>
      <c r="T247" s="212">
        <f>IFERROR(IF([1]对账明细接口!$O247=0,"",[1]对账明细接口!$O247),"")</f>
      </c>
      <c r="U247" s="212">
        <f>IFERROR(IF([1]对账明细接口!$P247=0,"",[1]对账明细接口!$P247),"")</f>
      </c>
      <c r="V247" s="212">
        <f>IFERROR(IF([1]对账明细接口!$Q247=0,"",[1]对账明细接口!$Q247),"")</f>
        <v>168</v>
      </c>
      <c r="W247" s="20" t="str">
        <f>IFERROR(IF([1]对账明细接口!$R247=0,"",[1]对账明细接口!$R247),"")</f>
        <v>新F*75240</v>
      </c>
      <c r="X247" s="20" t="str">
        <f>IFERROR(IF([1]对账明细接口!$S247=0,"",[1]对账明细接口!$S247),"")</f>
        <v>公司筐</v>
      </c>
      <c r="Y247" s="20">
        <f>IFERROR(IF([1]对账明细接口!$T247=0,"",[1]对账明细接口!$T247),"")</f>
      </c>
      <c r="Z247" s="213">
        <f>IFERROR(IF([1]对账明细接口!$U247=0,"",[1]对账明细接口!$U247),"")</f>
      </c>
      <c r="AA247" s="213">
        <f>IFERROR(IF([1]对账明细接口!$V247=0,"",[1]对账明细接口!$V247),"")</f>
      </c>
      <c r="AB247" s="20">
        <f>IFERROR(IF([1]对账明细接口!$W247=0,"",[1]对账明细接口!$W247),"")</f>
      </c>
      <c r="AC247" s="7">
        <f>IFERROR(IF([1]对账明细接口!$X247=0,"",[1]对账明细接口!$X247),"")</f>
      </c>
      <c r="AD247" s="7">
        <f>IFERROR(IF([1]对账明细接口!$Y247=0,"",[1]对账明细接口!$Y247),"")</f>
      </c>
      <c r="AE247" s="7">
        <f>IFERROR(IF([1]对账明细接口!$AA247=0,"",[1]对账明细接口!$AA247),"")</f>
      </c>
      <c r="AF247" s="7">
        <f>IFERROR(IF([1]对账明细接口!$AB247=0,"",[1]对账明细接口!$AB247),"")</f>
      </c>
      <c r="AG247" s="7">
        <f>IFERROR(IF([1]对账明细接口!$AC247=0,"",[1]对账明细接口!$AC247),"")</f>
      </c>
      <c r="AH247" s="7">
        <f>IFERROR(IF([1]对账明细接口!$AD247=0,"",[1]对账明细接口!$AD247),"")</f>
      </c>
      <c r="AI247" s="7">
        <f>IFERROR(IF([1]对账明细接口!$AE247=0,"",[1]对账明细接口!$AE247),"")</f>
      </c>
      <c r="AJ247" s="7">
        <f>IFERROR(IF([1]对账明细接口!$AF247=0,"",[1]对账明细接口!$AF247),"")</f>
      </c>
    </row>
    <row r="248" ht="14.25" customHeight="1" s="127">
      <c r="A248" s="14" t="n">
        <v>248</v>
      </c>
      <c r="B248" s="211">
        <f>IFERROR(IF([1]对账明细接口!$B$248=0,"",[1]对账明细接口!$B$248),"")</f>
        <v>46280.0</v>
      </c>
      <c r="C248" s="16" t="str">
        <f>IFERROR(IF([1]对账明细接口!$C$248=0,"",[1]对账明细接口!$C$248),"")</f>
        <v>王照雪</v>
      </c>
      <c r="D248" s="16" t="str">
        <f>IFERROR(IF([1]对账明细接口!$D$248=0,"",[1]对账明细接口!$D$248),"")</f>
        <v>原料入库</v>
      </c>
      <c r="E248" s="16" t="str">
        <f>IFERROR(IF([1]对账明细接口!$E$248=0,"",[1]对账明细接口!$E$248),"")</f>
        <v>NO:0000869</v>
      </c>
      <c r="F248" s="16" t="str">
        <f>IFERROR(IF([1]对账明细接口!$F$248=0,"",[1]对账明细接口!$F$248),"")</f>
        <v>苹果</v>
      </c>
      <c r="G248" s="16" t="str">
        <f>IFERROR(IF([1]对账明细接口!$G$248=0,"",[1]对账明细接口!$G$248),"")</f>
        <v>新世纪一级</v>
      </c>
      <c r="H248" s="176">
        <f>IFERROR(IF([1]对账明细接口!$H$248=0,"",[1]对账明细接口!$H$248),"")</f>
        <v>52</v>
      </c>
      <c r="I248" s="16" t="str">
        <f>IFERROR(IF([1]对账明细接口!$I$248=0,"",[1]对账明细接口!$I$248),"")</f>
        <v>筐</v>
      </c>
      <c r="J248" s="177">
        <f>IFERROR(IF([1]对账明细接口!$J$248=0,"",[1]对账明细接口!$J$248),"")</f>
        <v>899.6</v>
      </c>
      <c r="K248" s="177">
        <f>IFERROR(IF([1]对账明细接口!$K$248=0,"",[1]对账明细接口!$K$248),"")</f>
      </c>
      <c r="L248" s="16">
        <f>IFERROR(IF([1]对账明细接口!$L$248=0,"",[1]对账明细接口!$L$248),"")</f>
      </c>
      <c r="M248" s="16" t="str">
        <f>IFERROR(IF([1]对账明细接口!$M$248=0,"",[1]对账明细接口!$M$248),"")</f>
        <v>光果</v>
      </c>
      <c r="N248" s="19">
        <f>IF($C248="",0,1)</f>
        <v>1</v>
      </c>
      <c r="O248" s="19">
        <f>N(O247)+$N248</f>
        <v>245</v>
      </c>
      <c r="S248" s="20" t="str">
        <f>IFERROR(IF([1]对账明细接口!$N248=0,"",[1]对账明细接口!$N248),"")</f>
        <v>公司杂周转筐</v>
      </c>
      <c r="T248" s="212">
        <f>IFERROR(IF([1]对账明细接口!$O248=0,"",[1]对账明细接口!$O248),"")</f>
      </c>
      <c r="U248" s="212">
        <f>IFERROR(IF([1]对账明细接口!$P248=0,"",[1]对账明细接口!$P248),"")</f>
      </c>
      <c r="V248" s="212">
        <f>IFERROR(IF([1]对账明细接口!$Q248=0,"",[1]对账明细接口!$Q248),"")</f>
        <v>52</v>
      </c>
      <c r="W248" s="20" t="str">
        <f>IFERROR(IF([1]对账明细接口!$R248=0,"",[1]对账明细接口!$R248),"")</f>
        <v>豫L*88X19</v>
      </c>
      <c r="X248" s="20" t="str">
        <f>IFERROR(IF([1]对账明细接口!$S248=0,"",[1]对账明细接口!$S248),"")</f>
        <v>公司筐</v>
      </c>
      <c r="Y248" s="20">
        <f>IFERROR(IF([1]对账明细接口!$T248=0,"",[1]对账明细接口!$T248),"")</f>
      </c>
      <c r="Z248" s="213">
        <f>IFERROR(IF([1]对账明细接口!$U248=0,"",[1]对账明细接口!$U248),"")</f>
      </c>
      <c r="AA248" s="213">
        <f>IFERROR(IF([1]对账明细接口!$V248=0,"",[1]对账明细接口!$V248),"")</f>
      </c>
      <c r="AB248" s="20">
        <f>IFERROR(IF([1]对账明细接口!$W248=0,"",[1]对账明细接口!$W248),"")</f>
      </c>
      <c r="AC248" s="7">
        <f>IFERROR(IF([1]对账明细接口!$X248=0,"",[1]对账明细接口!$X248),"")</f>
      </c>
      <c r="AD248" s="7">
        <f>IFERROR(IF([1]对账明细接口!$Y248=0,"",[1]对账明细接口!$Y248),"")</f>
      </c>
      <c r="AE248" s="7">
        <f>IFERROR(IF([1]对账明细接口!$AA248=0,"",[1]对账明细接口!$AA248),"")</f>
      </c>
      <c r="AF248" s="7">
        <f>IFERROR(IF([1]对账明细接口!$AB248=0,"",[1]对账明细接口!$AB248),"")</f>
      </c>
      <c r="AG248" s="7">
        <f>IFERROR(IF([1]对账明细接口!$AC248=0,"",[1]对账明细接口!$AC248),"")</f>
      </c>
      <c r="AH248" s="7">
        <f>IFERROR(IF([1]对账明细接口!$AD248=0,"",[1]对账明细接口!$AD248),"")</f>
      </c>
      <c r="AI248" s="7">
        <f>IFERROR(IF([1]对账明细接口!$AE248=0,"",[1]对账明细接口!$AE248),"")</f>
      </c>
      <c r="AJ248" s="7">
        <f>IFERROR(IF([1]对账明细接口!$AF248=0,"",[1]对账明细接口!$AF248),"")</f>
      </c>
    </row>
    <row r="249" ht="14.25" customHeight="1" s="127">
      <c r="A249" s="14" t="n">
        <v>249</v>
      </c>
      <c r="B249" s="211">
        <f>IFERROR(IF([1]对账明细接口!$B$249=0,"",[1]对账明细接口!$B$249),"")</f>
        <v>46280.0</v>
      </c>
      <c r="C249" s="16" t="str">
        <f>IFERROR(IF([1]对账明细接口!$C$249=0,"",[1]对账明细接口!$C$249),"")</f>
        <v>王照雪</v>
      </c>
      <c r="D249" s="16" t="str">
        <f>IFERROR(IF([1]对账明细接口!$D$249=0,"",[1]对账明细接口!$D$249),"")</f>
        <v>原料入库</v>
      </c>
      <c r="E249" s="16" t="str">
        <f>IFERROR(IF([1]对账明细接口!$E$249=0,"",[1]对账明细接口!$E$249),"")</f>
        <v>NO:0000869</v>
      </c>
      <c r="F249" s="16" t="str">
        <f>IFERROR(IF([1]对账明细接口!$F$249=0,"",[1]对账明细接口!$F$249),"")</f>
        <v>苹果</v>
      </c>
      <c r="G249" s="16" t="str">
        <f>IFERROR(IF([1]对账明细接口!$G$249=0,"",[1]对账明细接口!$G$249),"")</f>
        <v>新世纪一级</v>
      </c>
      <c r="H249" s="176">
        <f>IFERROR(IF([1]对账明细接口!$H$249=0,"",[1]对账明细接口!$H$249),"")</f>
        <v>222</v>
      </c>
      <c r="I249" s="16" t="str">
        <f>IFERROR(IF([1]对账明细接口!$I$249=0,"",[1]对账明细接口!$I$249),"")</f>
        <v>筐</v>
      </c>
      <c r="J249" s="177">
        <f>IFERROR(IF([1]对账明细接口!$J$249=0,"",[1]对账明细接口!$J$249),"")</f>
        <v>3840.6</v>
      </c>
      <c r="K249" s="177">
        <f>IFERROR(IF([1]对账明细接口!$K$249=0,"",[1]对账明细接口!$K$249),"")</f>
      </c>
      <c r="L249" s="16">
        <f>IFERROR(IF([1]对账明细接口!$L$249=0,"",[1]对账明细接口!$L$249),"")</f>
      </c>
      <c r="M249" s="16" t="str">
        <f>IFERROR(IF([1]对账明细接口!$M$249=0,"",[1]对账明细接口!$M$249),"")</f>
        <v>套袋</v>
      </c>
      <c r="N249" s="19">
        <f>IF($C249="",0,1)</f>
        <v>1</v>
      </c>
      <c r="O249" s="19">
        <f>N(O248)+$N249</f>
        <v>246</v>
      </c>
      <c r="S249" s="20" t="str">
        <f>IFERROR(IF([1]对账明细接口!$N249=0,"",[1]对账明细接口!$N249),"")</f>
        <v>公司杂周转筐</v>
      </c>
      <c r="T249" s="212">
        <f>IFERROR(IF([1]对账明细接口!$O249=0,"",[1]对账明细接口!$O249),"")</f>
      </c>
      <c r="U249" s="212">
        <f>IFERROR(IF([1]对账明细接口!$P249=0,"",[1]对账明细接口!$P249),"")</f>
      </c>
      <c r="V249" s="212">
        <f>IFERROR(IF([1]对账明细接口!$Q249=0,"",[1]对账明细接口!$Q249),"")</f>
        <v>222</v>
      </c>
      <c r="W249" s="20" t="str">
        <f>IFERROR(IF([1]对账明细接口!$R249=0,"",[1]对账明细接口!$R249),"")</f>
        <v>豫L*88X19</v>
      </c>
      <c r="X249" s="20" t="str">
        <f>IFERROR(IF([1]对账明细接口!$S249=0,"",[1]对账明细接口!$S249),"")</f>
        <v>公司筐</v>
      </c>
      <c r="Y249" s="20">
        <f>IFERROR(IF([1]对账明细接口!$T249=0,"",[1]对账明细接口!$T249),"")</f>
      </c>
      <c r="Z249" s="213">
        <f>IFERROR(IF([1]对账明细接口!$U249=0,"",[1]对账明细接口!$U249),"")</f>
      </c>
      <c r="AA249" s="213">
        <f>IFERROR(IF([1]对账明细接口!$V249=0,"",[1]对账明细接口!$V249),"")</f>
      </c>
      <c r="AB249" s="20">
        <f>IFERROR(IF([1]对账明细接口!$W249=0,"",[1]对账明细接口!$W249),"")</f>
      </c>
      <c r="AC249" s="7">
        <f>IFERROR(IF([1]对账明细接口!$X249=0,"",[1]对账明细接口!$X249),"")</f>
      </c>
      <c r="AD249" s="7">
        <f>IFERROR(IF([1]对账明细接口!$Y249=0,"",[1]对账明细接口!$Y249),"")</f>
      </c>
      <c r="AE249" s="7">
        <f>IFERROR(IF([1]对账明细接口!$AA249=0,"",[1]对账明细接口!$AA249),"")</f>
      </c>
      <c r="AF249" s="7">
        <f>IFERROR(IF([1]对账明细接口!$AB249=0,"",[1]对账明细接口!$AB249),"")</f>
      </c>
      <c r="AG249" s="7">
        <f>IFERROR(IF([1]对账明细接口!$AC249=0,"",[1]对账明细接口!$AC249),"")</f>
      </c>
      <c r="AH249" s="7">
        <f>IFERROR(IF([1]对账明细接口!$AD249=0,"",[1]对账明细接口!$AD249),"")</f>
      </c>
      <c r="AI249" s="7">
        <f>IFERROR(IF([1]对账明细接口!$AE249=0,"",[1]对账明细接口!$AE249),"")</f>
      </c>
      <c r="AJ249" s="7">
        <f>IFERROR(IF([1]对账明细接口!$AF249=0,"",[1]对账明细接口!$AF249),"")</f>
      </c>
    </row>
    <row r="250" ht="14.25" customHeight="1" s="127">
      <c r="A250" s="14" t="n">
        <v>250</v>
      </c>
      <c r="B250" s="211">
        <f>IFERROR(IF([1]对账明细接口!$B$250=0,"",[1]对账明细接口!$B$250),"")</f>
        <v>46280.0</v>
      </c>
      <c r="C250" s="16" t="str">
        <f>IFERROR(IF([1]对账明细接口!$C$250=0,"",[1]对账明细接口!$C$250),"")</f>
        <v>王照雪</v>
      </c>
      <c r="D250" s="16" t="str">
        <f>IFERROR(IF([1]对账明细接口!$D$250=0,"",[1]对账明细接口!$D$250),"")</f>
        <v>原料入库</v>
      </c>
      <c r="E250" s="16" t="str">
        <f>IFERROR(IF([1]对账明细接口!$E$250=0,"",[1]对账明细接口!$E$250),"")</f>
        <v>NO:0000869</v>
      </c>
      <c r="F250" s="16" t="str">
        <f>IFERROR(IF([1]对账明细接口!$F$250=0,"",[1]对账明细接口!$F$250),"")</f>
        <v>苹果</v>
      </c>
      <c r="G250" s="16" t="str">
        <f>IFERROR(IF([1]对账明细接口!$G$250=0,"",[1]对账明细接口!$G$250),"")</f>
        <v>新世纪二级</v>
      </c>
      <c r="H250" s="176">
        <f>IFERROR(IF([1]对账明细接口!$H$250=0,"",[1]对账明细接口!$H$250),"")</f>
        <v>23</v>
      </c>
      <c r="I250" s="16" t="str">
        <f>IFERROR(IF([1]对账明细接口!$I$250=0,"",[1]对账明细接口!$I$250),"")</f>
        <v>筐</v>
      </c>
      <c r="J250" s="177">
        <f>IFERROR(IF([1]对账明细接口!$J$250=0,"",[1]对账明细接口!$J$250),"")</f>
        <v>374.9</v>
      </c>
      <c r="K250" s="177">
        <f>IFERROR(IF([1]对账明细接口!$K$250=0,"",[1]对账明细接口!$K$250),"")</f>
      </c>
      <c r="L250" s="16">
        <f>IFERROR(IF([1]对账明细接口!$L$250=0,"",[1]对账明细接口!$L$250),"")</f>
      </c>
      <c r="M250" s="16" t="str">
        <f>IFERROR(IF([1]对账明细接口!$M$250=0,"",[1]对账明细接口!$M$250),"")</f>
        <v>套袋+光果</v>
      </c>
      <c r="N250" s="19">
        <f>IF($C250="",0,1)</f>
        <v>1</v>
      </c>
      <c r="O250" s="19">
        <f>N(O249)+$N250</f>
        <v>247</v>
      </c>
      <c r="S250" s="20" t="str">
        <f>IFERROR(IF([1]对账明细接口!$N250=0,"",[1]对账明细接口!$N250),"")</f>
        <v>公司杂周转筐</v>
      </c>
      <c r="T250" s="212">
        <f>IFERROR(IF([1]对账明细接口!$O250=0,"",[1]对账明细接口!$O250),"")</f>
      </c>
      <c r="U250" s="212">
        <f>IFERROR(IF([1]对账明细接口!$P250=0,"",[1]对账明细接口!$P250),"")</f>
      </c>
      <c r="V250" s="212">
        <f>IFERROR(IF([1]对账明细接口!$Q250=0,"",[1]对账明细接口!$Q250),"")</f>
        <v>23</v>
      </c>
      <c r="W250" s="20" t="str">
        <f>IFERROR(IF([1]对账明细接口!$R250=0,"",[1]对账明细接口!$R250),"")</f>
        <v>豫L*88X19</v>
      </c>
      <c r="X250" s="20" t="str">
        <f>IFERROR(IF([1]对账明细接口!$S250=0,"",[1]对账明细接口!$S250),"")</f>
        <v>公司筐</v>
      </c>
      <c r="Y250" s="20">
        <f>IFERROR(IF([1]对账明细接口!$T250=0,"",[1]对账明细接口!$T250),"")</f>
      </c>
      <c r="Z250" s="213">
        <f>IFERROR(IF([1]对账明细接口!$U250=0,"",[1]对账明细接口!$U250),"")</f>
      </c>
      <c r="AA250" s="213">
        <f>IFERROR(IF([1]对账明细接口!$V250=0,"",[1]对账明细接口!$V250),"")</f>
      </c>
      <c r="AB250" s="20">
        <f>IFERROR(IF([1]对账明细接口!$W250=0,"",[1]对账明细接口!$W250),"")</f>
      </c>
      <c r="AC250" s="7">
        <f>IFERROR(IF([1]对账明细接口!$X250=0,"",[1]对账明细接口!$X250),"")</f>
      </c>
      <c r="AD250" s="7">
        <f>IFERROR(IF([1]对账明细接口!$Y250=0,"",[1]对账明细接口!$Y250),"")</f>
      </c>
      <c r="AE250" s="7">
        <f>IFERROR(IF([1]对账明细接口!$AA250=0,"",[1]对账明细接口!$AA250),"")</f>
      </c>
      <c r="AF250" s="7">
        <f>IFERROR(IF([1]对账明细接口!$AB250=0,"",[1]对账明细接口!$AB250),"")</f>
      </c>
      <c r="AG250" s="7">
        <f>IFERROR(IF([1]对账明细接口!$AC250=0,"",[1]对账明细接口!$AC250),"")</f>
      </c>
      <c r="AH250" s="7">
        <f>IFERROR(IF([1]对账明细接口!$AD250=0,"",[1]对账明细接口!$AD250),"")</f>
      </c>
      <c r="AI250" s="7">
        <f>IFERROR(IF([1]对账明细接口!$AE250=0,"",[1]对账明细接口!$AE250),"")</f>
      </c>
      <c r="AJ250" s="7">
        <f>IFERROR(IF([1]对账明细接口!$AF250=0,"",[1]对账明细接口!$AF250),"")</f>
      </c>
    </row>
    <row r="251" ht="14.25" customHeight="1" s="127">
      <c r="A251" s="14" t="n">
        <v>251</v>
      </c>
      <c r="B251" s="211">
        <f>IFERROR(IF([1]对账明细接口!$B$251=0,"",[1]对账明细接口!$B$251),"")</f>
        <v>46280.0</v>
      </c>
      <c r="C251" s="16" t="str">
        <f>IFERROR(IF([1]对账明细接口!$C$251=0,"",[1]对账明细接口!$C$251),"")</f>
        <v>王照雪</v>
      </c>
      <c r="D251" s="16" t="str">
        <f>IFERROR(IF([1]对账明细接口!$D$251=0,"",[1]对账明细接口!$D$251),"")</f>
        <v>原料入库</v>
      </c>
      <c r="E251" s="16" t="str">
        <f>IFERROR(IF([1]对账明细接口!$E$251=0,"",[1]对账明细接口!$E$251),"")</f>
        <v>NO:0000869</v>
      </c>
      <c r="F251" s="16" t="str">
        <f>IFERROR(IF([1]对账明细接口!$F$251=0,"",[1]对账明细接口!$F$251),"")</f>
        <v>苹果</v>
      </c>
      <c r="G251" s="16" t="str">
        <f>IFERROR(IF([1]对账明细接口!$G$251=0,"",[1]对账明细接口!$G$251),"")</f>
        <v>新世纪二级</v>
      </c>
      <c r="H251" s="176">
        <f>IFERROR(IF([1]对账明细接口!$H$251=0,"",[1]对账明细接口!$H$251),"")</f>
        <v>7</v>
      </c>
      <c r="I251" s="16" t="str">
        <f>IFERROR(IF([1]对账明细接口!$I$251=0,"",[1]对账明细接口!$I$251),"")</f>
        <v>筐</v>
      </c>
      <c r="J251" s="177">
        <f>IFERROR(IF([1]对账明细接口!$J$251=0,"",[1]对账明细接口!$J$251),"")</f>
        <v>142.1</v>
      </c>
      <c r="K251" s="177">
        <f>IFERROR(IF([1]对账明细接口!$K$251=0,"",[1]对账明细接口!$K$251),"")</f>
      </c>
      <c r="L251" s="16">
        <f>IFERROR(IF([1]对账明细接口!$L$251=0,"",[1]对账明细接口!$L$251),"")</f>
      </c>
      <c r="M251" s="16" t="str">
        <f>IFERROR(IF([1]对账明细接口!$M$251=0,"",[1]对账明细接口!$M$251),"")</f>
        <v>套袋+光果</v>
      </c>
      <c r="N251" s="19">
        <f>IF($C251="",0,1)</f>
        <v>1</v>
      </c>
      <c r="O251" s="19">
        <f>N(O250)+$N251</f>
        <v>248</v>
      </c>
      <c r="S251" s="20" t="str">
        <f>IFERROR(IF([1]对账明细接口!$N251=0,"",[1]对账明细接口!$N251),"")</f>
        <v>公司杂周转筐</v>
      </c>
      <c r="T251" s="212">
        <f>IFERROR(IF([1]对账明细接口!$O251=0,"",[1]对账明细接口!$O251),"")</f>
      </c>
      <c r="U251" s="212">
        <f>IFERROR(IF([1]对账明细接口!$P251=0,"",[1]对账明细接口!$P251),"")</f>
      </c>
      <c r="V251" s="212">
        <f>IFERROR(IF([1]对账明细接口!$Q251=0,"",[1]对账明细接口!$Q251),"")</f>
        <v>7</v>
      </c>
      <c r="W251" s="20" t="str">
        <f>IFERROR(IF([1]对账明细接口!$R251=0,"",[1]对账明细接口!$R251),"")</f>
        <v>豫L*88X19</v>
      </c>
      <c r="X251" s="20" t="str">
        <f>IFERROR(IF([1]对账明细接口!$S251=0,"",[1]对账明细接口!$S251),"")</f>
        <v>公司筐</v>
      </c>
      <c r="Y251" s="20">
        <f>IFERROR(IF([1]对账明细接口!$T251=0,"",[1]对账明细接口!$T251),"")</f>
      </c>
      <c r="Z251" s="213">
        <f>IFERROR(IF([1]对账明细接口!$U251=0,"",[1]对账明细接口!$U251),"")</f>
      </c>
      <c r="AA251" s="213">
        <f>IFERROR(IF([1]对账明细接口!$V251=0,"",[1]对账明细接口!$V251),"")</f>
      </c>
      <c r="AB251" s="20">
        <f>IFERROR(IF([1]对账明细接口!$W251=0,"",[1]对账明细接口!$W251),"")</f>
      </c>
      <c r="AC251" s="7">
        <f>IFERROR(IF([1]对账明细接口!$X251=0,"",[1]对账明细接口!$X251),"")</f>
      </c>
      <c r="AD251" s="7">
        <f>IFERROR(IF([1]对账明细接口!$Y251=0,"",[1]对账明细接口!$Y251),"")</f>
      </c>
      <c r="AE251" s="7">
        <f>IFERROR(IF([1]对账明细接口!$AA251=0,"",[1]对账明细接口!$AA251),"")</f>
      </c>
      <c r="AF251" s="7">
        <f>IFERROR(IF([1]对账明细接口!$AB251=0,"",[1]对账明细接口!$AB251),"")</f>
      </c>
      <c r="AG251" s="7">
        <f>IFERROR(IF([1]对账明细接口!$AC251=0,"",[1]对账明细接口!$AC251),"")</f>
      </c>
      <c r="AH251" s="7">
        <f>IFERROR(IF([1]对账明细接口!$AD251=0,"",[1]对账明细接口!$AD251),"")</f>
      </c>
      <c r="AI251" s="7">
        <f>IFERROR(IF([1]对账明细接口!$AE251=0,"",[1]对账明细接口!$AE251),"")</f>
      </c>
      <c r="AJ251" s="7">
        <f>IFERROR(IF([1]对账明细接口!$AF251=0,"",[1]对账明细接口!$AF251),"")</f>
      </c>
    </row>
    <row r="252" ht="14.25" customHeight="1" s="127">
      <c r="A252" s="14" t="n">
        <v>252</v>
      </c>
      <c r="B252" s="211">
        <f>IFERROR(IF([1]对账明细接口!$B$252=0,"",[1]对账明细接口!$B$252),"")</f>
        <v>46280.0</v>
      </c>
      <c r="C252" s="16" t="str">
        <f>IFERROR(IF([1]对账明细接口!$C$252=0,"",[1]对账明细接口!$C$252),"")</f>
        <v>荆建君</v>
      </c>
      <c r="D252" s="16" t="str">
        <f>IFERROR(IF([1]对账明细接口!$D$252=0,"",[1]对账明细接口!$D$252),"")</f>
        <v>原料入库</v>
      </c>
      <c r="E252" s="16" t="str">
        <f>IFERROR(IF([1]对账明细接口!$E$252=0,"",[1]对账明细接口!$E$252),"")</f>
        <v>NO:0000870</v>
      </c>
      <c r="F252" s="16" t="str">
        <f>IFERROR(IF([1]对账明细接口!$F$252=0,"",[1]对账明细接口!$F$252),"")</f>
        <v>香梨</v>
      </c>
      <c r="G252" s="16" t="str">
        <f>IFERROR(IF([1]对账明细接口!$G$252=0,"",[1]对账明细接口!$G$252),"")</f>
        <v>香梨一级</v>
      </c>
      <c r="H252" s="176">
        <f>IFERROR(IF([1]对账明细接口!$H$252=0,"",[1]对账明细接口!$H$252),"")</f>
        <v>440</v>
      </c>
      <c r="I252" s="16" t="str">
        <f>IFERROR(IF([1]对账明细接口!$I$252=0,"",[1]对账明细接口!$I$252),"")</f>
        <v>筐</v>
      </c>
      <c r="J252" s="177">
        <f>IFERROR(IF([1]对账明细接口!$J$252=0,"",[1]对账明细接口!$J$252),"")</f>
        <v>8052</v>
      </c>
      <c r="K252" s="177">
        <f>IFERROR(IF([1]对账明细接口!$K$252=0,"",[1]对账明细接口!$K$252),"")</f>
      </c>
      <c r="L252" s="16">
        <f>IFERROR(IF([1]对账明细接口!$L$252=0,"",[1]对账明细接口!$L$252),"")</f>
      </c>
      <c r="M252" s="16">
        <f>IFERROR(IF([1]对账明细接口!$M$252=0,"",[1]对账明细接口!$M$252),"")</f>
      </c>
      <c r="N252" s="19">
        <f>IF($C252="",0,1)</f>
        <v>1</v>
      </c>
      <c r="O252" s="19">
        <f>N(O251)+$N252</f>
        <v>249</v>
      </c>
      <c r="S252" s="20" t="str">
        <f>IFERROR(IF([1]对账明细接口!$N252=0,"",[1]对账明细接口!$N252),"")</f>
        <v>公司红周转筐</v>
      </c>
      <c r="T252" s="212">
        <f>IFERROR(IF([1]对账明细接口!$O252=0,"",[1]对账明细接口!$O252),"")</f>
      </c>
      <c r="U252" s="212">
        <f>IFERROR(IF([1]对账明细接口!$P252=0,"",[1]对账明细接口!$P252),"")</f>
      </c>
      <c r="V252" s="212">
        <f>IFERROR(IF([1]对账明细接口!$Q252=0,"",[1]对账明细接口!$Q252),"")</f>
        <v>440</v>
      </c>
      <c r="W252" s="20" t="str">
        <f>IFERROR(IF([1]对账明细接口!$R252=0,"",[1]对账明细接口!$R252),"")</f>
        <v>豫A*2737K</v>
      </c>
      <c r="X252" s="20" t="str">
        <f>IFERROR(IF([1]对账明细接口!$S252=0,"",[1]对账明细接口!$S252),"")</f>
        <v>公司筐</v>
      </c>
      <c r="Y252" s="20">
        <f>IFERROR(IF([1]对账明细接口!$T252=0,"",[1]对账明细接口!$T252),"")</f>
      </c>
      <c r="Z252" s="213">
        <f>IFERROR(IF([1]对账明细接口!$U252=0,"",[1]对账明细接口!$U252),"")</f>
      </c>
      <c r="AA252" s="213">
        <f>IFERROR(IF([1]对账明细接口!$V252=0,"",[1]对账明细接口!$V252),"")</f>
      </c>
      <c r="AB252" s="20">
        <f>IFERROR(IF([1]对账明细接口!$W252=0,"",[1]对账明细接口!$W252),"")</f>
      </c>
      <c r="AC252" s="7">
        <f>IFERROR(IF([1]对账明细接口!$X252=0,"",[1]对账明细接口!$X252),"")</f>
      </c>
      <c r="AD252" s="7">
        <f>IFERROR(IF([1]对账明细接口!$Y252=0,"",[1]对账明细接口!$Y252),"")</f>
      </c>
      <c r="AE252" s="7">
        <f>IFERROR(IF([1]对账明细接口!$AA252=0,"",[1]对账明细接口!$AA252),"")</f>
      </c>
      <c r="AF252" s="7">
        <f>IFERROR(IF([1]对账明细接口!$AB252=0,"",[1]对账明细接口!$AB252),"")</f>
      </c>
      <c r="AG252" s="7">
        <f>IFERROR(IF([1]对账明细接口!$AC252=0,"",[1]对账明细接口!$AC252),"")</f>
      </c>
      <c r="AH252" s="7">
        <f>IFERROR(IF([1]对账明细接口!$AD252=0,"",[1]对账明细接口!$AD252),"")</f>
      </c>
      <c r="AI252" s="7">
        <f>IFERROR(IF([1]对账明细接口!$AE252=0,"",[1]对账明细接口!$AE252),"")</f>
      </c>
      <c r="AJ252" s="7">
        <f>IFERROR(IF([1]对账明细接口!$AF252=0,"",[1]对账明细接口!$AF252),"")</f>
      </c>
    </row>
    <row r="253" ht="14.25" customHeight="1" s="127">
      <c r="A253" s="14" t="n">
        <v>253</v>
      </c>
      <c r="B253" s="211">
        <f>IFERROR(IF([1]对账明细接口!$B$253=0,"",[1]对账明细接口!$B$253),"")</f>
        <v>46280.0</v>
      </c>
      <c r="C253" s="16" t="str">
        <f>IFERROR(IF([1]对账明细接口!$C$253=0,"",[1]对账明细接口!$C$253),"")</f>
        <v>荆建君</v>
      </c>
      <c r="D253" s="16" t="str">
        <f>IFERROR(IF([1]对账明细接口!$D$253=0,"",[1]对账明细接口!$D$253),"")</f>
        <v>原料入库</v>
      </c>
      <c r="E253" s="16" t="str">
        <f>IFERROR(IF([1]对账明细接口!$E$253=0,"",[1]对账明细接口!$E$253),"")</f>
        <v>NO:0000870</v>
      </c>
      <c r="F253" s="16" t="str">
        <f>IFERROR(IF([1]对账明细接口!$F$253=0,"",[1]对账明细接口!$F$253),"")</f>
        <v>香梨</v>
      </c>
      <c r="G253" s="16" t="str">
        <f>IFERROR(IF([1]对账明细接口!$G$253=0,"",[1]对账明细接口!$G$253),"")</f>
        <v>香梨二级</v>
      </c>
      <c r="H253" s="176">
        <f>IFERROR(IF([1]对账明细接口!$H$253=0,"",[1]对账明细接口!$H$253),"")</f>
        <v>208</v>
      </c>
      <c r="I253" s="16" t="str">
        <f>IFERROR(IF([1]对账明细接口!$I$253=0,"",[1]对账明细接口!$I$253),"")</f>
        <v>筐</v>
      </c>
      <c r="J253" s="177">
        <f>IFERROR(IF([1]对账明细接口!$J$253=0,"",[1]对账明细接口!$J$253),"")</f>
        <v>3806.4</v>
      </c>
      <c r="K253" s="177">
        <f>IFERROR(IF([1]对账明细接口!$K$253=0,"",[1]对账明细接口!$K$253),"")</f>
      </c>
      <c r="L253" s="16">
        <f>IFERROR(IF([1]对账明细接口!$L$253=0,"",[1]对账明细接口!$L$253),"")</f>
      </c>
      <c r="M253" s="16">
        <f>IFERROR(IF([1]对账明细接口!$M$253=0,"",[1]对账明细接口!$M$253),"")</f>
      </c>
      <c r="N253" s="19">
        <f>IF($C253="",0,1)</f>
        <v>1</v>
      </c>
      <c r="O253" s="19">
        <f>N(O252)+$N253</f>
        <v>250</v>
      </c>
      <c r="S253" s="20" t="str">
        <f>IFERROR(IF([1]对账明细接口!$N253=0,"",[1]对账明细接口!$N253),"")</f>
        <v>公司红周转筐</v>
      </c>
      <c r="T253" s="212">
        <f>IFERROR(IF([1]对账明细接口!$O253=0,"",[1]对账明细接口!$O253),"")</f>
      </c>
      <c r="U253" s="212">
        <f>IFERROR(IF([1]对账明细接口!$P253=0,"",[1]对账明细接口!$P253),"")</f>
      </c>
      <c r="V253" s="212">
        <f>IFERROR(IF([1]对账明细接口!$Q253=0,"",[1]对账明细接口!$Q253),"")</f>
        <v>208</v>
      </c>
      <c r="W253" s="20" t="str">
        <f>IFERROR(IF([1]对账明细接口!$R253=0,"",[1]对账明细接口!$R253),"")</f>
        <v>豫A*2737K</v>
      </c>
      <c r="X253" s="20" t="str">
        <f>IFERROR(IF([1]对账明细接口!$S253=0,"",[1]对账明细接口!$S253),"")</f>
        <v>公司筐</v>
      </c>
      <c r="Y253" s="20">
        <f>IFERROR(IF([1]对账明细接口!$T253=0,"",[1]对账明细接口!$T253),"")</f>
      </c>
      <c r="Z253" s="213">
        <f>IFERROR(IF([1]对账明细接口!$U253=0,"",[1]对账明细接口!$U253),"")</f>
      </c>
      <c r="AA253" s="213">
        <f>IFERROR(IF([1]对账明细接口!$V253=0,"",[1]对账明细接口!$V253),"")</f>
      </c>
      <c r="AB253" s="20">
        <f>IFERROR(IF([1]对账明细接口!$W253=0,"",[1]对账明细接口!$W253),"")</f>
      </c>
      <c r="AC253" s="7">
        <f>IFERROR(IF([1]对账明细接口!$X253=0,"",[1]对账明细接口!$X253),"")</f>
      </c>
      <c r="AD253" s="7">
        <f>IFERROR(IF([1]对账明细接口!$Y253=0,"",[1]对账明细接口!$Y253),"")</f>
      </c>
      <c r="AE253" s="7">
        <f>IFERROR(IF([1]对账明细接口!$AA253=0,"",[1]对账明细接口!$AA253),"")</f>
      </c>
      <c r="AF253" s="7">
        <f>IFERROR(IF([1]对账明细接口!$AB253=0,"",[1]对账明细接口!$AB253),"")</f>
      </c>
      <c r="AG253" s="7">
        <f>IFERROR(IF([1]对账明细接口!$AC253=0,"",[1]对账明细接口!$AC253),"")</f>
      </c>
      <c r="AH253" s="7">
        <f>IFERROR(IF([1]对账明细接口!$AD253=0,"",[1]对账明细接口!$AD253),"")</f>
      </c>
      <c r="AI253" s="7">
        <f>IFERROR(IF([1]对账明细接口!$AE253=0,"",[1]对账明细接口!$AE253),"")</f>
      </c>
      <c r="AJ253" s="7">
        <f>IFERROR(IF([1]对账明细接口!$AF253=0,"",[1]对账明细接口!$AF253),"")</f>
      </c>
    </row>
    <row r="254" ht="14.25" customHeight="1" s="127">
      <c r="A254" s="14" t="n">
        <v>254</v>
      </c>
      <c r="B254" s="211">
        <f>IFERROR(IF([1]对账明细接口!$B$254=0,"",[1]对账明细接口!$B$254),"")</f>
        <v>46280.0</v>
      </c>
      <c r="C254" s="16" t="str">
        <f>IFERROR(IF([1]对账明细接口!$C$254=0,"",[1]对账明细接口!$C$254),"")</f>
        <v>热合曼+艾则孜</v>
      </c>
      <c r="D254" s="16" t="str">
        <f>IFERROR(IF([1]对账明细接口!$D$254=0,"",[1]对账明细接口!$D$254),"")</f>
        <v>原料入库</v>
      </c>
      <c r="E254" s="16" t="str">
        <f>IFERROR(IF([1]对账明细接口!$E$254=0,"",[1]对账明细接口!$E$254),"")</f>
        <v>NO:0000873</v>
      </c>
      <c r="F254" s="16" t="str">
        <f>IFERROR(IF([1]对账明细接口!$F$254=0,"",[1]对账明细接口!$F$254),"")</f>
        <v>香梨</v>
      </c>
      <c r="G254" s="16" t="str">
        <f>IFERROR(IF([1]对账明细接口!$G$254=0,"",[1]对账明细接口!$G$254),"")</f>
        <v>香梨一级</v>
      </c>
      <c r="H254" s="176">
        <f>IFERROR(IF([1]对账明细接口!$H$254=0,"",[1]对账明细接口!$H$254),"")</f>
        <v>329</v>
      </c>
      <c r="I254" s="16" t="str">
        <f>IFERROR(IF([1]对账明细接口!$I$254=0,"",[1]对账明细接口!$I$254),"")</f>
        <v>筐</v>
      </c>
      <c r="J254" s="177">
        <f>IFERROR(IF([1]对账明细接口!$J$254=0,"",[1]对账明细接口!$J$254),"")</f>
        <v>6020.7</v>
      </c>
      <c r="K254" s="177">
        <f>IFERROR(IF([1]对账明细接口!$K$254=0,"",[1]对账明细接口!$K$254),"")</f>
      </c>
      <c r="L254" s="16">
        <f>IFERROR(IF([1]对账明细接口!$L$254=0,"",[1]对账明细接口!$L$254),"")</f>
      </c>
      <c r="M254" s="16" t="str">
        <f>IFERROR(IF([1]对账明细接口!$M$254=0,"",[1]对账明细接口!$M$254),"")</f>
        <v>热合曼</v>
      </c>
      <c r="N254" s="19">
        <f>IF($C254="",0,1)</f>
        <v>1</v>
      </c>
      <c r="O254" s="19">
        <f>N(O253)+$N254</f>
        <v>251</v>
      </c>
      <c r="S254" s="20" t="str">
        <f>IFERROR(IF([1]对账明细接口!$N254=0,"",[1]对账明细接口!$N254),"")</f>
        <v>公司红周转筐</v>
      </c>
      <c r="T254" s="212">
        <f>IFERROR(IF([1]对账明细接口!$O254=0,"",[1]对账明细接口!$O254),"")</f>
      </c>
      <c r="U254" s="212">
        <f>IFERROR(IF([1]对账明细接口!$P254=0,"",[1]对账明细接口!$P254),"")</f>
      </c>
      <c r="V254" s="212">
        <f>IFERROR(IF([1]对账明细接口!$Q254=0,"",[1]对账明细接口!$Q254),"")</f>
        <v>329</v>
      </c>
      <c r="W254" s="20" t="str">
        <f>IFERROR(IF([1]对账明细接口!$R254=0,"",[1]对账明细接口!$R254),"")</f>
        <v>新A*G0554</v>
      </c>
      <c r="X254" s="20" t="str">
        <f>IFERROR(IF([1]对账明细接口!$S254=0,"",[1]对账明细接口!$S254),"")</f>
        <v>公司筐</v>
      </c>
      <c r="Y254" s="20">
        <f>IFERROR(IF([1]对账明细接口!$T254=0,"",[1]对账明细接口!$T254),"")</f>
      </c>
      <c r="Z254" s="213">
        <f>IFERROR(IF([1]对账明细接口!$U254=0,"",[1]对账明细接口!$U254),"")</f>
      </c>
      <c r="AA254" s="213">
        <f>IFERROR(IF([1]对账明细接口!$V254=0,"",[1]对账明细接口!$V254),"")</f>
      </c>
      <c r="AB254" s="20">
        <f>IFERROR(IF([1]对账明细接口!$W254=0,"",[1]对账明细接口!$W254),"")</f>
      </c>
      <c r="AC254" s="7">
        <f>IFERROR(IF([1]对账明细接口!$X254=0,"",[1]对账明细接口!$X254),"")</f>
      </c>
      <c r="AD254" s="7">
        <f>IFERROR(IF([1]对账明细接口!$Y254=0,"",[1]对账明细接口!$Y254),"")</f>
      </c>
      <c r="AE254" s="7">
        <f>IFERROR(IF([1]对账明细接口!$AA254=0,"",[1]对账明细接口!$AA254),"")</f>
      </c>
      <c r="AF254" s="7">
        <f>IFERROR(IF([1]对账明细接口!$AB254=0,"",[1]对账明细接口!$AB254),"")</f>
      </c>
      <c r="AG254" s="7">
        <f>IFERROR(IF([1]对账明细接口!$AC254=0,"",[1]对账明细接口!$AC254),"")</f>
      </c>
      <c r="AH254" s="7">
        <f>IFERROR(IF([1]对账明细接口!$AD254=0,"",[1]对账明细接口!$AD254),"")</f>
      </c>
      <c r="AI254" s="7">
        <f>IFERROR(IF([1]对账明细接口!$AE254=0,"",[1]对账明细接口!$AE254),"")</f>
      </c>
      <c r="AJ254" s="7">
        <f>IFERROR(IF([1]对账明细接口!$AF254=0,"",[1]对账明细接口!$AF254),"")</f>
      </c>
    </row>
    <row r="255" ht="14.25" customHeight="1" s="127">
      <c r="A255" s="14" t="n">
        <v>255</v>
      </c>
      <c r="B255" s="211">
        <f>IFERROR(IF([1]对账明细接口!$B$255=0,"",[1]对账明细接口!$B$255),"")</f>
        <v>46280.0</v>
      </c>
      <c r="C255" s="16" t="str">
        <f>IFERROR(IF([1]对账明细接口!$C$255=0,"",[1]对账明细接口!$C$255),"")</f>
        <v>热合曼+艾则孜</v>
      </c>
      <c r="D255" s="16" t="str">
        <f>IFERROR(IF([1]对账明细接口!$D$255=0,"",[1]对账明细接口!$D$255),"")</f>
        <v>原料入库</v>
      </c>
      <c r="E255" s="16" t="str">
        <f>IFERROR(IF([1]对账明细接口!$E$255=0,"",[1]对账明细接口!$E$255),"")</f>
        <v>NO:0000873</v>
      </c>
      <c r="F255" s="16" t="str">
        <f>IFERROR(IF([1]对账明细接口!$F$255=0,"",[1]对账明细接口!$F$255),"")</f>
        <v>香梨</v>
      </c>
      <c r="G255" s="16" t="str">
        <f>IFERROR(IF([1]对账明细接口!$G$255=0,"",[1]对账明细接口!$G$255),"")</f>
        <v>香梨二级</v>
      </c>
      <c r="H255" s="176">
        <f>IFERROR(IF([1]对账明细接口!$H$255=0,"",[1]对账明细接口!$H$255),"")</f>
        <v>131</v>
      </c>
      <c r="I255" s="16" t="str">
        <f>IFERROR(IF([1]对账明细接口!$I$255=0,"",[1]对账明细接口!$I$255),"")</f>
        <v>筐</v>
      </c>
      <c r="J255" s="177">
        <f>IFERROR(IF([1]对账明细接口!$J$255=0,"",[1]对账明细接口!$J$255),"")</f>
        <v>2921.3</v>
      </c>
      <c r="K255" s="177">
        <f>IFERROR(IF([1]对账明细接口!$K$255=0,"",[1]对账明细接口!$K$255),"")</f>
      </c>
      <c r="L255" s="16">
        <f>IFERROR(IF([1]对账明细接口!$L$255=0,"",[1]对账明细接口!$L$255),"")</f>
      </c>
      <c r="M255" s="16" t="str">
        <f>IFERROR(IF([1]对账明细接口!$M$255=0,"",[1]对账明细接口!$M$255),"")</f>
        <v>热合曼</v>
      </c>
      <c r="N255" s="19">
        <f>IF($C255="",0,1)</f>
        <v>1</v>
      </c>
      <c r="O255" s="19">
        <f>N(O254)+$N255</f>
        <v>252</v>
      </c>
      <c r="S255" s="20" t="str">
        <f>IFERROR(IF([1]对账明细接口!$N255=0,"",[1]对账明细接口!$N255),"")</f>
        <v>公司红周转筐</v>
      </c>
      <c r="T255" s="212">
        <f>IFERROR(IF([1]对账明细接口!$O255=0,"",[1]对账明细接口!$O255),"")</f>
      </c>
      <c r="U255" s="212">
        <f>IFERROR(IF([1]对账明细接口!$P255=0,"",[1]对账明细接口!$P255),"")</f>
      </c>
      <c r="V255" s="212">
        <f>IFERROR(IF([1]对账明细接口!$Q255=0,"",[1]对账明细接口!$Q255),"")</f>
        <v>131</v>
      </c>
      <c r="W255" s="20" t="str">
        <f>IFERROR(IF([1]对账明细接口!$R255=0,"",[1]对账明细接口!$R255),"")</f>
        <v>新A*G0554</v>
      </c>
      <c r="X255" s="20" t="str">
        <f>IFERROR(IF([1]对账明细接口!$S255=0,"",[1]对账明细接口!$S255),"")</f>
        <v>公司筐</v>
      </c>
      <c r="Y255" s="20">
        <f>IFERROR(IF([1]对账明细接口!$T255=0,"",[1]对账明细接口!$T255),"")</f>
      </c>
      <c r="Z255" s="213">
        <f>IFERROR(IF([1]对账明细接口!$U255=0,"",[1]对账明细接口!$U255),"")</f>
      </c>
      <c r="AA255" s="213">
        <f>IFERROR(IF([1]对账明细接口!$V255=0,"",[1]对账明细接口!$V255),"")</f>
      </c>
      <c r="AB255" s="20">
        <f>IFERROR(IF([1]对账明细接口!$W255=0,"",[1]对账明细接口!$W255),"")</f>
      </c>
      <c r="AC255" s="7">
        <f>IFERROR(IF([1]对账明细接口!$X255=0,"",[1]对账明细接口!$X255),"")</f>
      </c>
      <c r="AD255" s="7">
        <f>IFERROR(IF([1]对账明细接口!$Y255=0,"",[1]对账明细接口!$Y255),"")</f>
      </c>
      <c r="AE255" s="7">
        <f>IFERROR(IF([1]对账明细接口!$AA255=0,"",[1]对账明细接口!$AA255),"")</f>
      </c>
      <c r="AF255" s="7">
        <f>IFERROR(IF([1]对账明细接口!$AB255=0,"",[1]对账明细接口!$AB255),"")</f>
      </c>
      <c r="AG255" s="7">
        <f>IFERROR(IF([1]对账明细接口!$AC255=0,"",[1]对账明细接口!$AC255),"")</f>
      </c>
      <c r="AH255" s="7">
        <f>IFERROR(IF([1]对账明细接口!$AD255=0,"",[1]对账明细接口!$AD255),"")</f>
      </c>
      <c r="AI255" s="7">
        <f>IFERROR(IF([1]对账明细接口!$AE255=0,"",[1]对账明细接口!$AE255),"")</f>
      </c>
      <c r="AJ255" s="7">
        <f>IFERROR(IF([1]对账明细接口!$AF255=0,"",[1]对账明细接口!$AF255),"")</f>
      </c>
    </row>
    <row r="256" ht="14.25" customHeight="1" s="127">
      <c r="A256" s="14" t="n">
        <v>256</v>
      </c>
      <c r="B256" s="211">
        <f>IFERROR(IF([1]对账明细接口!$B$256=0,"",[1]对账明细接口!$B$256),"")</f>
        <v>46280.0</v>
      </c>
      <c r="C256" s="16" t="str">
        <f>IFERROR(IF([1]对账明细接口!$C$256=0,"",[1]对账明细接口!$C$256),"")</f>
        <v>热合曼+艾则孜</v>
      </c>
      <c r="D256" s="16" t="str">
        <f>IFERROR(IF([1]对账明细接口!$D$256=0,"",[1]对账明细接口!$D$256),"")</f>
        <v>原料入库</v>
      </c>
      <c r="E256" s="16" t="str">
        <f>IFERROR(IF([1]对账明细接口!$E$256=0,"",[1]对账明细接口!$E$256),"")</f>
        <v>NO:0000873</v>
      </c>
      <c r="F256" s="16" t="str">
        <f>IFERROR(IF([1]对账明细接口!$F$256=0,"",[1]对账明细接口!$F$256),"")</f>
        <v>香梨</v>
      </c>
      <c r="G256" s="16" t="str">
        <f>IFERROR(IF([1]对账明细接口!$G$256=0,"",[1]对账明细接口!$G$256),"")</f>
        <v>香梨副特</v>
      </c>
      <c r="H256" s="176">
        <f>IFERROR(IF([1]对账明细接口!$H$256=0,"",[1]对账明细接口!$H$256),"")</f>
        <v>40</v>
      </c>
      <c r="I256" s="16" t="str">
        <f>IFERROR(IF([1]对账明细接口!$I$256=0,"",[1]对账明细接口!$I$256),"")</f>
        <v>筐</v>
      </c>
      <c r="J256" s="177">
        <f>IFERROR(IF([1]对账明细接口!$J$256=0,"",[1]对账明细接口!$J$256),"")</f>
        <v>732</v>
      </c>
      <c r="K256" s="177">
        <f>IFERROR(IF([1]对账明细接口!$K$256=0,"",[1]对账明细接口!$K$256),"")</f>
      </c>
      <c r="L256" s="16">
        <f>IFERROR(IF([1]对账明细接口!$L$256=0,"",[1]对账明细接口!$L$256),"")</f>
      </c>
      <c r="M256" s="16" t="str">
        <f>IFERROR(IF([1]对账明细接口!$M$256=0,"",[1]对账明细接口!$M$256),"")</f>
        <v>热合曼</v>
      </c>
      <c r="N256" s="19">
        <f>IF($C256="",0,1)</f>
        <v>1</v>
      </c>
      <c r="O256" s="19">
        <f>N(O255)+$N256</f>
        <v>253</v>
      </c>
      <c r="S256" s="20" t="str">
        <f>IFERROR(IF([1]对账明细接口!$N256=0,"",[1]对账明细接口!$N256),"")</f>
        <v>公司红周转筐</v>
      </c>
      <c r="T256" s="212">
        <f>IFERROR(IF([1]对账明细接口!$O256=0,"",[1]对账明细接口!$O256),"")</f>
      </c>
      <c r="U256" s="212">
        <f>IFERROR(IF([1]对账明细接口!$P256=0,"",[1]对账明细接口!$P256),"")</f>
      </c>
      <c r="V256" s="212">
        <f>IFERROR(IF([1]对账明细接口!$Q256=0,"",[1]对账明细接口!$Q256),"")</f>
        <v>40</v>
      </c>
      <c r="W256" s="20" t="str">
        <f>IFERROR(IF([1]对账明细接口!$R256=0,"",[1]对账明细接口!$R256),"")</f>
        <v>新A*G0554</v>
      </c>
      <c r="X256" s="20" t="str">
        <f>IFERROR(IF([1]对账明细接口!$S256=0,"",[1]对账明细接口!$S256),"")</f>
        <v>公司筐</v>
      </c>
      <c r="Y256" s="20">
        <f>IFERROR(IF([1]对账明细接口!$T256=0,"",[1]对账明细接口!$T256),"")</f>
      </c>
      <c r="Z256" s="213">
        <f>IFERROR(IF([1]对账明细接口!$U256=0,"",[1]对账明细接口!$U256),"")</f>
      </c>
      <c r="AA256" s="213">
        <f>IFERROR(IF([1]对账明细接口!$V256=0,"",[1]对账明细接口!$V256),"")</f>
      </c>
      <c r="AB256" s="20">
        <f>IFERROR(IF([1]对账明细接口!$W256=0,"",[1]对账明细接口!$W256),"")</f>
      </c>
      <c r="AC256" s="7">
        <f>IFERROR(IF([1]对账明细接口!$X256=0,"",[1]对账明细接口!$X256),"")</f>
      </c>
      <c r="AD256" s="7">
        <f>IFERROR(IF([1]对账明细接口!$Y256=0,"",[1]对账明细接口!$Y256),"")</f>
      </c>
      <c r="AE256" s="7">
        <f>IFERROR(IF([1]对账明细接口!$AA256=0,"",[1]对账明细接口!$AA256),"")</f>
      </c>
      <c r="AF256" s="7">
        <f>IFERROR(IF([1]对账明细接口!$AB256=0,"",[1]对账明细接口!$AB256),"")</f>
      </c>
      <c r="AG256" s="7">
        <f>IFERROR(IF([1]对账明细接口!$AC256=0,"",[1]对账明细接口!$AC256),"")</f>
      </c>
      <c r="AH256" s="7">
        <f>IFERROR(IF([1]对账明细接口!$AD256=0,"",[1]对账明细接口!$AD256),"")</f>
      </c>
      <c r="AI256" s="7">
        <f>IFERROR(IF([1]对账明细接口!$AE256=0,"",[1]对账明细接口!$AE256),"")</f>
      </c>
      <c r="AJ256" s="7">
        <f>IFERROR(IF([1]对账明细接口!$AF256=0,"",[1]对账明细接口!$AF256),"")</f>
      </c>
    </row>
    <row r="257" ht="14.25" customHeight="1" s="127">
      <c r="A257" s="14" t="n">
        <v>257</v>
      </c>
      <c r="B257" s="211">
        <f>IFERROR(IF([1]对账明细接口!$B$257=0,"",[1]对账明细接口!$B$257),"")</f>
        <v>46280.0</v>
      </c>
      <c r="C257" s="16" t="str">
        <f>IFERROR(IF([1]对账明细接口!$C$257=0,"",[1]对账明细接口!$C$257),"")</f>
        <v>王灵云</v>
      </c>
      <c r="D257" s="16" t="str">
        <f>IFERROR(IF([1]对账明细接口!$D$257=0,"",[1]对账明细接口!$D$257),"")</f>
        <v>原料入库</v>
      </c>
      <c r="E257" s="16" t="str">
        <f>IFERROR(IF([1]对账明细接口!$E$257=0,"",[1]对账明细接口!$E$257),"")</f>
        <v>NO:0000874</v>
      </c>
      <c r="F257" s="16" t="str">
        <f>IFERROR(IF([1]对账明细接口!$F$257=0,"",[1]对账明细接口!$F$257),"")</f>
        <v>香梨</v>
      </c>
      <c r="G257" s="16" t="str">
        <f>IFERROR(IF([1]对账明细接口!$G$257=0,"",[1]对账明细接口!$G$257),"")</f>
        <v>香梨一级</v>
      </c>
      <c r="H257" s="176">
        <f>IFERROR(IF([1]对账明细接口!$H$257=0,"",[1]对账明细接口!$H$257),"")</f>
        <v>585</v>
      </c>
      <c r="I257" s="16" t="str">
        <f>IFERROR(IF([1]对账明细接口!$I$257=0,"",[1]对账明细接口!$I$257),"")</f>
        <v>筐</v>
      </c>
      <c r="J257" s="177">
        <f>IFERROR(IF([1]对账明细接口!$J$257=0,"",[1]对账明细接口!$J$257),"")</f>
        <v>10705.5</v>
      </c>
      <c r="K257" s="177">
        <f>IFERROR(IF([1]对账明细接口!$K$257=0,"",[1]对账明细接口!$K$257),"")</f>
      </c>
      <c r="L257" s="16">
        <f>IFERROR(IF([1]对账明细接口!$L$257=0,"",[1]对账明细接口!$L$257),"")</f>
      </c>
      <c r="M257" s="16">
        <f>IFERROR(IF([1]对账明细接口!$M$257=0,"",[1]对账明细接口!$M$257),"")</f>
      </c>
      <c r="N257" s="19">
        <f>IF($C257="",0,1)</f>
        <v>1</v>
      </c>
      <c r="O257" s="19">
        <f>N(O256)+$N257</f>
        <v>254</v>
      </c>
      <c r="S257" s="20" t="str">
        <f>IFERROR(IF([1]对账明细接口!$N257=0,"",[1]对账明细接口!$N257),"")</f>
        <v>公司红周转筐</v>
      </c>
      <c r="T257" s="212">
        <f>IFERROR(IF([1]对账明细接口!$O257=0,"",[1]对账明细接口!$O257),"")</f>
      </c>
      <c r="U257" s="212">
        <f>IFERROR(IF([1]对账明细接口!$P257=0,"",[1]对账明细接口!$P257),"")</f>
      </c>
      <c r="V257" s="212">
        <f>IFERROR(IF([1]对账明细接口!$Q257=0,"",[1]对账明细接口!$Q257),"")</f>
        <v>585</v>
      </c>
      <c r="W257" s="20" t="str">
        <f>IFERROR(IF([1]对账明细接口!$R257=0,"",[1]对账明细接口!$R257),"")</f>
        <v>新N*49209</v>
      </c>
      <c r="X257" s="20" t="str">
        <f>IFERROR(IF([1]对账明细接口!$S257=0,"",[1]对账明细接口!$S257),"")</f>
        <v>公司筐</v>
      </c>
      <c r="Y257" s="20">
        <f>IFERROR(IF([1]对账明细接口!$T257=0,"",[1]对账明细接口!$T257),"")</f>
      </c>
      <c r="Z257" s="213">
        <f>IFERROR(IF([1]对账明细接口!$U257=0,"",[1]对账明细接口!$U257),"")</f>
      </c>
      <c r="AA257" s="213">
        <f>IFERROR(IF([1]对账明细接口!$V257=0,"",[1]对账明细接口!$V257),"")</f>
      </c>
      <c r="AB257" s="20">
        <f>IFERROR(IF([1]对账明细接口!$W257=0,"",[1]对账明细接口!$W257),"")</f>
      </c>
      <c r="AC257" s="7">
        <f>IFERROR(IF([1]对账明细接口!$X257=0,"",[1]对账明细接口!$X257),"")</f>
      </c>
      <c r="AD257" s="7">
        <f>IFERROR(IF([1]对账明细接口!$Y257=0,"",[1]对账明细接口!$Y257),"")</f>
      </c>
      <c r="AE257" s="7">
        <f>IFERROR(IF([1]对账明细接口!$AA257=0,"",[1]对账明细接口!$AA257),"")</f>
      </c>
      <c r="AF257" s="7">
        <f>IFERROR(IF([1]对账明细接口!$AB257=0,"",[1]对账明细接口!$AB257),"")</f>
      </c>
      <c r="AG257" s="7">
        <f>IFERROR(IF([1]对账明细接口!$AC257=0,"",[1]对账明细接口!$AC257),"")</f>
      </c>
      <c r="AH257" s="7">
        <f>IFERROR(IF([1]对账明细接口!$AD257=0,"",[1]对账明细接口!$AD257),"")</f>
      </c>
      <c r="AI257" s="7">
        <f>IFERROR(IF([1]对账明细接口!$AE257=0,"",[1]对账明细接口!$AE257),"")</f>
      </c>
      <c r="AJ257" s="7">
        <f>IFERROR(IF([1]对账明细接口!$AF257=0,"",[1]对账明细接口!$AF257),"")</f>
      </c>
    </row>
    <row r="258" ht="14.25" customHeight="1" s="127">
      <c r="A258" s="14" t="n">
        <v>258</v>
      </c>
      <c r="B258" s="211">
        <f>IFERROR(IF([1]对账明细接口!$B$258=0,"",[1]对账明细接口!$B$258),"")</f>
        <v>46280.0</v>
      </c>
      <c r="C258" s="16" t="str">
        <f>IFERROR(IF([1]对账明细接口!$C$258=0,"",[1]对账明细接口!$C$258),"")</f>
        <v>王灵云</v>
      </c>
      <c r="D258" s="16" t="str">
        <f>IFERROR(IF([1]对账明细接口!$D$258=0,"",[1]对账明细接口!$D$258),"")</f>
        <v>原料入库</v>
      </c>
      <c r="E258" s="16" t="str">
        <f>IFERROR(IF([1]对账明细接口!$E$258=0,"",[1]对账明细接口!$E$258),"")</f>
        <v>NO:0000874</v>
      </c>
      <c r="F258" s="16" t="str">
        <f>IFERROR(IF([1]对账明细接口!$F$258=0,"",[1]对账明细接口!$F$258),"")</f>
        <v>香梨</v>
      </c>
      <c r="G258" s="16" t="str">
        <f>IFERROR(IF([1]对账明细接口!$G$258=0,"",[1]对账明细接口!$G$258),"")</f>
        <v>香梨二级</v>
      </c>
      <c r="H258" s="176">
        <f>IFERROR(IF([1]对账明细接口!$H$258=0,"",[1]对账明细接口!$H$258),"")</f>
        <v>104</v>
      </c>
      <c r="I258" s="16" t="str">
        <f>IFERROR(IF([1]对账明细接口!$I$258=0,"",[1]对账明细接口!$I$258),"")</f>
        <v>筐</v>
      </c>
      <c r="J258" s="177">
        <f>IFERROR(IF([1]对账明细接口!$J$258=0,"",[1]对账明细接口!$J$258),"")</f>
        <v>2423.2</v>
      </c>
      <c r="K258" s="177">
        <f>IFERROR(IF([1]对账明细接口!$K$258=0,"",[1]对账明细接口!$K$258),"")</f>
      </c>
      <c r="L258" s="16">
        <f>IFERROR(IF([1]对账明细接口!$L$258=0,"",[1]对账明细接口!$L$258),"")</f>
      </c>
      <c r="M258" s="16">
        <f>IFERROR(IF([1]对账明细接口!$M$258=0,"",[1]对账明细接口!$M$258),"")</f>
      </c>
      <c r="N258" s="19">
        <f>IF($C258="",0,1)</f>
        <v>1</v>
      </c>
      <c r="O258" s="19">
        <f>N(O257)+$N258</f>
        <v>255</v>
      </c>
      <c r="S258" s="20" t="str">
        <f>IFERROR(IF([1]对账明细接口!$N258=0,"",[1]对账明细接口!$N258),"")</f>
        <v>公司红周转筐</v>
      </c>
      <c r="T258" s="212">
        <f>IFERROR(IF([1]对账明细接口!$O258=0,"",[1]对账明细接口!$O258),"")</f>
      </c>
      <c r="U258" s="212">
        <f>IFERROR(IF([1]对账明细接口!$P258=0,"",[1]对账明细接口!$P258),"")</f>
      </c>
      <c r="V258" s="212">
        <f>IFERROR(IF([1]对账明细接口!$Q258=0,"",[1]对账明细接口!$Q258),"")</f>
        <v>104</v>
      </c>
      <c r="W258" s="20" t="str">
        <f>IFERROR(IF([1]对账明细接口!$R258=0,"",[1]对账明细接口!$R258),"")</f>
        <v>新N*49209</v>
      </c>
      <c r="X258" s="20" t="str">
        <f>IFERROR(IF([1]对账明细接口!$S258=0,"",[1]对账明细接口!$S258),"")</f>
        <v>公司筐</v>
      </c>
      <c r="Y258" s="20">
        <f>IFERROR(IF([1]对账明细接口!$T258=0,"",[1]对账明细接口!$T258),"")</f>
      </c>
      <c r="Z258" s="213">
        <f>IFERROR(IF([1]对账明细接口!$U258=0,"",[1]对账明细接口!$U258),"")</f>
      </c>
      <c r="AA258" s="213">
        <f>IFERROR(IF([1]对账明细接口!$V258=0,"",[1]对账明细接口!$V258),"")</f>
      </c>
      <c r="AB258" s="20">
        <f>IFERROR(IF([1]对账明细接口!$W258=0,"",[1]对账明细接口!$W258),"")</f>
      </c>
      <c r="AC258" s="7">
        <f>IFERROR(IF([1]对账明细接口!$X258=0,"",[1]对账明细接口!$X258),"")</f>
      </c>
      <c r="AD258" s="7">
        <f>IFERROR(IF([1]对账明细接口!$Y258=0,"",[1]对账明细接口!$Y258),"")</f>
      </c>
      <c r="AE258" s="7">
        <f>IFERROR(IF([1]对账明细接口!$AA258=0,"",[1]对账明细接口!$AA258),"")</f>
      </c>
      <c r="AF258" s="7">
        <f>IFERROR(IF([1]对账明细接口!$AB258=0,"",[1]对账明细接口!$AB258),"")</f>
      </c>
      <c r="AG258" s="7">
        <f>IFERROR(IF([1]对账明细接口!$AC258=0,"",[1]对账明细接口!$AC258),"")</f>
      </c>
      <c r="AH258" s="7">
        <f>IFERROR(IF([1]对账明细接口!$AD258=0,"",[1]对账明细接口!$AD258),"")</f>
      </c>
      <c r="AI258" s="7">
        <f>IFERROR(IF([1]对账明细接口!$AE258=0,"",[1]对账明细接口!$AE258),"")</f>
      </c>
      <c r="AJ258" s="7">
        <f>IFERROR(IF([1]对账明细接口!$AF258=0,"",[1]对账明细接口!$AF258),"")</f>
      </c>
    </row>
    <row r="259" ht="14.25" customHeight="1" s="127">
      <c r="A259" s="14" t="n">
        <v>259</v>
      </c>
      <c r="B259" s="211">
        <f>IFERROR(IF([1]对账明细接口!$B$259=0,"",[1]对账明细接口!$B$259),"")</f>
        <v>46280.0</v>
      </c>
      <c r="C259" s="16" t="str">
        <f>IFERROR(IF([1]对账明细接口!$C$259=0,"",[1]对账明细接口!$C$259),"")</f>
        <v>李现东</v>
      </c>
      <c r="D259" s="16" t="str">
        <f>IFERROR(IF([1]对账明细接口!$D$259=0,"",[1]对账明细接口!$D$259),"")</f>
        <v>原料入库</v>
      </c>
      <c r="E259" s="16" t="str">
        <f>IFERROR(IF([1]对账明细接口!$E$259=0,"",[1]对账明细接口!$E$259),"")</f>
        <v>NO:0000876</v>
      </c>
      <c r="F259" s="16" t="str">
        <f>IFERROR(IF([1]对账明细接口!$F$259=0,"",[1]对账明细接口!$F$259),"")</f>
        <v>香梨</v>
      </c>
      <c r="G259" s="16" t="str">
        <f>IFERROR(IF([1]对账明细接口!$G$259=0,"",[1]对账明细接口!$G$259),"")</f>
        <v>香梨一级</v>
      </c>
      <c r="H259" s="176">
        <f>IFERROR(IF([1]对账明细接口!$H$259=0,"",[1]对账明细接口!$H$259),"")</f>
        <v>310</v>
      </c>
      <c r="I259" s="16" t="str">
        <f>IFERROR(IF([1]对账明细接口!$I$259=0,"",[1]对账明细接口!$I$259),"")</f>
        <v>筐</v>
      </c>
      <c r="J259" s="177">
        <f>IFERROR(IF([1]对账明细接口!$J$259=0,"",[1]对账明细接口!$J$259),"")</f>
        <v>5673</v>
      </c>
      <c r="K259" s="177">
        <f>IFERROR(IF([1]对账明细接口!$K$259=0,"",[1]对账明细接口!$K$259),"")</f>
      </c>
      <c r="L259" s="16">
        <f>IFERROR(IF([1]对账明细接口!$L$259=0,"",[1]对账明细接口!$L$259),"")</f>
      </c>
      <c r="M259" s="16" t="str">
        <f>IFERROR(IF([1]对账明细接口!$M$259=0,"",[1]对账明细接口!$M$259),"")</f>
        <v>王照雪</v>
      </c>
      <c r="N259" s="19">
        <f>IF($C259="",0,1)</f>
        <v>1</v>
      </c>
      <c r="O259" s="19">
        <f>N(O258)+$N259</f>
        <v>256</v>
      </c>
      <c r="S259" s="20" t="str">
        <f>IFERROR(IF([1]对账明细接口!$N259=0,"",[1]对账明细接口!$N259),"")</f>
        <v>公司杂周转筐</v>
      </c>
      <c r="T259" s="212">
        <f>IFERROR(IF([1]对账明细接口!$O259=0,"",[1]对账明细接口!$O259),"")</f>
      </c>
      <c r="U259" s="212">
        <f>IFERROR(IF([1]对账明细接口!$P259=0,"",[1]对账明细接口!$P259),"")</f>
      </c>
      <c r="V259" s="212">
        <f>IFERROR(IF([1]对账明细接口!$Q259=0,"",[1]对账明细接口!$Q259),"")</f>
        <v>310</v>
      </c>
      <c r="W259" s="20" t="str">
        <f>IFERROR(IF([1]对账明细接口!$R259=0,"",[1]对账明细接口!$R259),"")</f>
        <v>新N*53045</v>
      </c>
      <c r="X259" s="20" t="str">
        <f>IFERROR(IF([1]对账明细接口!$S259=0,"",[1]对账明细接口!$S259),"")</f>
        <v>公司筐</v>
      </c>
      <c r="Y259" s="20">
        <f>IFERROR(IF([1]对账明细接口!$T259=0,"",[1]对账明细接口!$T259),"")</f>
      </c>
      <c r="Z259" s="213">
        <f>IFERROR(IF([1]对账明细接口!$U259=0,"",[1]对账明细接口!$U259),"")</f>
      </c>
      <c r="AA259" s="213">
        <f>IFERROR(IF([1]对账明细接口!$V259=0,"",[1]对账明细接口!$V259),"")</f>
      </c>
      <c r="AB259" s="20">
        <f>IFERROR(IF([1]对账明细接口!$W259=0,"",[1]对账明细接口!$W259),"")</f>
      </c>
      <c r="AC259" s="7">
        <f>IFERROR(IF([1]对账明细接口!$X259=0,"",[1]对账明细接口!$X259),"")</f>
      </c>
      <c r="AD259" s="7">
        <f>IFERROR(IF([1]对账明细接口!$Y259=0,"",[1]对账明细接口!$Y259),"")</f>
      </c>
      <c r="AE259" s="7">
        <f>IFERROR(IF([1]对账明细接口!$AA259=0,"",[1]对账明细接口!$AA259),"")</f>
      </c>
      <c r="AF259" s="7">
        <f>IFERROR(IF([1]对账明细接口!$AB259=0,"",[1]对账明细接口!$AB259),"")</f>
      </c>
      <c r="AG259" s="7">
        <f>IFERROR(IF([1]对账明细接口!$AC259=0,"",[1]对账明细接口!$AC259),"")</f>
      </c>
      <c r="AH259" s="7">
        <f>IFERROR(IF([1]对账明细接口!$AD259=0,"",[1]对账明细接口!$AD259),"")</f>
      </c>
      <c r="AI259" s="7">
        <f>IFERROR(IF([1]对账明细接口!$AE259=0,"",[1]对账明细接口!$AE259),"")</f>
      </c>
      <c r="AJ259" s="7">
        <f>IFERROR(IF([1]对账明细接口!$AF259=0,"",[1]对账明细接口!$AF259),"")</f>
      </c>
    </row>
    <row r="260" ht="14.25" customHeight="1" s="127">
      <c r="A260" s="14" t="n">
        <v>260</v>
      </c>
      <c r="B260" s="211">
        <f>IFERROR(IF([1]对账明细接口!$B$260=0,"",[1]对账明细接口!$B$260),"")</f>
        <v>46280.0</v>
      </c>
      <c r="C260" s="16" t="str">
        <f>IFERROR(IF([1]对账明细接口!$C$260=0,"",[1]对账明细接口!$C$260),"")</f>
        <v>李现东</v>
      </c>
      <c r="D260" s="16" t="str">
        <f>IFERROR(IF([1]对账明细接口!$D$260=0,"",[1]对账明细接口!$D$260),"")</f>
        <v>原料入库</v>
      </c>
      <c r="E260" s="16" t="str">
        <f>IFERROR(IF([1]对账明细接口!$E$260=0,"",[1]对账明细接口!$E$260),"")</f>
        <v>NO:0000876</v>
      </c>
      <c r="F260" s="16" t="str">
        <f>IFERROR(IF([1]对账明细接口!$F$260=0,"",[1]对账明细接口!$F$260),"")</f>
        <v>香梨</v>
      </c>
      <c r="G260" s="16" t="str">
        <f>IFERROR(IF([1]对账明细接口!$G$260=0,"",[1]对账明细接口!$G$260),"")</f>
        <v>香梨二级</v>
      </c>
      <c r="H260" s="176">
        <f>IFERROR(IF([1]对账明细接口!$H$260=0,"",[1]对账明细接口!$H$260),"")</f>
        <v>103</v>
      </c>
      <c r="I260" s="16" t="str">
        <f>IFERROR(IF([1]对账明细接口!$I$260=0,"",[1]对账明细接口!$I$260),"")</f>
        <v>筐</v>
      </c>
      <c r="J260" s="177">
        <f>IFERROR(IF([1]对账明细接口!$J$260=0,"",[1]对账明细接口!$J$260),"")</f>
        <v>2296.9</v>
      </c>
      <c r="K260" s="177">
        <f>IFERROR(IF([1]对账明细接口!$K$260=0,"",[1]对账明细接口!$K$260),"")</f>
      </c>
      <c r="L260" s="16">
        <f>IFERROR(IF([1]对账明细接口!$L$260=0,"",[1]对账明细接口!$L$260),"")</f>
      </c>
      <c r="M260" s="16" t="str">
        <f>IFERROR(IF([1]对账明细接口!$M$260=0,"",[1]对账明细接口!$M$260),"")</f>
        <v>王照雪</v>
      </c>
      <c r="N260" s="19">
        <f>IF($C260="",0,1)</f>
        <v>1</v>
      </c>
      <c r="O260" s="19">
        <f>N(O259)+$N260</f>
        <v>257</v>
      </c>
      <c r="S260" s="20" t="str">
        <f>IFERROR(IF([1]对账明细接口!$N260=0,"",[1]对账明细接口!$N260),"")</f>
        <v>公司杂周转筐</v>
      </c>
      <c r="T260" s="212">
        <f>IFERROR(IF([1]对账明细接口!$O260=0,"",[1]对账明细接口!$O260),"")</f>
      </c>
      <c r="U260" s="212">
        <f>IFERROR(IF([1]对账明细接口!$P260=0,"",[1]对账明细接口!$P260),"")</f>
      </c>
      <c r="V260" s="212">
        <f>IFERROR(IF([1]对账明细接口!$Q260=0,"",[1]对账明细接口!$Q260),"")</f>
        <v>103</v>
      </c>
      <c r="W260" s="20" t="str">
        <f>IFERROR(IF([1]对账明细接口!$R260=0,"",[1]对账明细接口!$R260),"")</f>
        <v>新N*53045</v>
      </c>
      <c r="X260" s="20" t="str">
        <f>IFERROR(IF([1]对账明细接口!$S260=0,"",[1]对账明细接口!$S260),"")</f>
        <v>公司筐</v>
      </c>
      <c r="Y260" s="20">
        <f>IFERROR(IF([1]对账明细接口!$T260=0,"",[1]对账明细接口!$T260),"")</f>
      </c>
      <c r="Z260" s="213">
        <f>IFERROR(IF([1]对账明细接口!$U260=0,"",[1]对账明细接口!$U260),"")</f>
      </c>
      <c r="AA260" s="213">
        <f>IFERROR(IF([1]对账明细接口!$V260=0,"",[1]对账明细接口!$V260),"")</f>
      </c>
      <c r="AB260" s="20">
        <f>IFERROR(IF([1]对账明细接口!$W260=0,"",[1]对账明细接口!$W260),"")</f>
      </c>
      <c r="AC260" s="7">
        <f>IFERROR(IF([1]对账明细接口!$X260=0,"",[1]对账明细接口!$X260),"")</f>
      </c>
      <c r="AD260" s="7">
        <f>IFERROR(IF([1]对账明细接口!$Y260=0,"",[1]对账明细接口!$Y260),"")</f>
      </c>
      <c r="AE260" s="7">
        <f>IFERROR(IF([1]对账明细接口!$AA260=0,"",[1]对账明细接口!$AA260),"")</f>
      </c>
      <c r="AF260" s="7">
        <f>IFERROR(IF([1]对账明细接口!$AB260=0,"",[1]对账明细接口!$AB260),"")</f>
      </c>
      <c r="AG260" s="7">
        <f>IFERROR(IF([1]对账明细接口!$AC260=0,"",[1]对账明细接口!$AC260),"")</f>
      </c>
      <c r="AH260" s="7">
        <f>IFERROR(IF([1]对账明细接口!$AD260=0,"",[1]对账明细接口!$AD260),"")</f>
      </c>
      <c r="AI260" s="7">
        <f>IFERROR(IF([1]对账明细接口!$AE260=0,"",[1]对账明细接口!$AE260),"")</f>
      </c>
      <c r="AJ260" s="7">
        <f>IFERROR(IF([1]对账明细接口!$AF260=0,"",[1]对账明细接口!$AF260),"")</f>
      </c>
    </row>
    <row r="261" ht="14.25" customHeight="1" s="127">
      <c r="A261" s="14" t="n">
        <v>261</v>
      </c>
      <c r="B261" s="211">
        <f>IFERROR(IF([1]对账明细接口!$B$261=0,"",[1]对账明细接口!$B$261),"")</f>
        <v>46280.0</v>
      </c>
      <c r="C261" s="16" t="str">
        <f>IFERROR(IF([1]对账明细接口!$C$261=0,"",[1]对账明细接口!$C$261),"")</f>
        <v>李现东</v>
      </c>
      <c r="D261" s="16" t="str">
        <f>IFERROR(IF([1]对账明细接口!$D$261=0,"",[1]对账明细接口!$D$261),"")</f>
        <v>原料入库</v>
      </c>
      <c r="E261" s="16" t="str">
        <f>IFERROR(IF([1]对账明细接口!$E$261=0,"",[1]对账明细接口!$E$261),"")</f>
        <v>NO:0000876</v>
      </c>
      <c r="F261" s="16" t="str">
        <f>IFERROR(IF([1]对账明细接口!$F$261=0,"",[1]对账明细接口!$F$261),"")</f>
        <v>香梨</v>
      </c>
      <c r="G261" s="16" t="str">
        <f>IFERROR(IF([1]对账明细接口!$G$261=0,"",[1]对账明细接口!$G$261),"")</f>
        <v>香梨副特</v>
      </c>
      <c r="H261" s="176">
        <f>IFERROR(IF([1]对账明细接口!$H$261=0,"",[1]对账明细接口!$H$261),"")</f>
        <v>56</v>
      </c>
      <c r="I261" s="16" t="str">
        <f>IFERROR(IF([1]对账明细接口!$I$261=0,"",[1]对账明细接口!$I$261),"")</f>
        <v>筐</v>
      </c>
      <c r="J261" s="177">
        <f>IFERROR(IF([1]对账明细接口!$J$261=0,"",[1]对账明细接口!$J$261),"")</f>
        <v>1024.8</v>
      </c>
      <c r="K261" s="177">
        <f>IFERROR(IF([1]对账明细接口!$K$261=0,"",[1]对账明细接口!$K$261),"")</f>
      </c>
      <c r="L261" s="16">
        <f>IFERROR(IF([1]对账明细接口!$L$261=0,"",[1]对账明细接口!$L$261),"")</f>
      </c>
      <c r="M261" s="16" t="str">
        <f>IFERROR(IF([1]对账明细接口!$M$261=0,"",[1]对账明细接口!$M$261),"")</f>
        <v>王照雪</v>
      </c>
      <c r="N261" s="19">
        <f>IF($C261="",0,1)</f>
        <v>1</v>
      </c>
      <c r="O261" s="19">
        <f>N(O260)+$N261</f>
        <v>258</v>
      </c>
      <c r="S261" s="20" t="str">
        <f>IFERROR(IF([1]对账明细接口!$N261=0,"",[1]对账明细接口!$N261),"")</f>
        <v>公司杂周转筐</v>
      </c>
      <c r="T261" s="212">
        <f>IFERROR(IF([1]对账明细接口!$O261=0,"",[1]对账明细接口!$O261),"")</f>
      </c>
      <c r="U261" s="212">
        <f>IFERROR(IF([1]对账明细接口!$P261=0,"",[1]对账明细接口!$P261),"")</f>
      </c>
      <c r="V261" s="212">
        <f>IFERROR(IF([1]对账明细接口!$Q261=0,"",[1]对账明细接口!$Q261),"")</f>
        <v>56</v>
      </c>
      <c r="W261" s="20" t="str">
        <f>IFERROR(IF([1]对账明细接口!$R261=0,"",[1]对账明细接口!$R261),"")</f>
        <v>新N*53045</v>
      </c>
      <c r="X261" s="20" t="str">
        <f>IFERROR(IF([1]对账明细接口!$S261=0,"",[1]对账明细接口!$S261),"")</f>
        <v>公司筐</v>
      </c>
      <c r="Y261" s="20">
        <f>IFERROR(IF([1]对账明细接口!$T261=0,"",[1]对账明细接口!$T261),"")</f>
      </c>
      <c r="Z261" s="213">
        <f>IFERROR(IF([1]对账明细接口!$U261=0,"",[1]对账明细接口!$U261),"")</f>
      </c>
      <c r="AA261" s="213">
        <f>IFERROR(IF([1]对账明细接口!$V261=0,"",[1]对账明细接口!$V261),"")</f>
      </c>
      <c r="AB261" s="20">
        <f>IFERROR(IF([1]对账明细接口!$W261=0,"",[1]对账明细接口!$W261),"")</f>
      </c>
      <c r="AC261" s="7">
        <f>IFERROR(IF([1]对账明细接口!$X261=0,"",[1]对账明细接口!$X261),"")</f>
      </c>
      <c r="AD261" s="7">
        <f>IFERROR(IF([1]对账明细接口!$Y261=0,"",[1]对账明细接口!$Y261),"")</f>
      </c>
      <c r="AE261" s="7">
        <f>IFERROR(IF([1]对账明细接口!$AA261=0,"",[1]对账明细接口!$AA261),"")</f>
      </c>
      <c r="AF261" s="7">
        <f>IFERROR(IF([1]对账明细接口!$AB261=0,"",[1]对账明细接口!$AB261),"")</f>
      </c>
      <c r="AG261" s="7">
        <f>IFERROR(IF([1]对账明细接口!$AC261=0,"",[1]对账明细接口!$AC261),"")</f>
      </c>
      <c r="AH261" s="7">
        <f>IFERROR(IF([1]对账明细接口!$AD261=0,"",[1]对账明细接口!$AD261),"")</f>
      </c>
      <c r="AI261" s="7">
        <f>IFERROR(IF([1]对账明细接口!$AE261=0,"",[1]对账明细接口!$AE261),"")</f>
      </c>
      <c r="AJ261" s="7">
        <f>IFERROR(IF([1]对账明细接口!$AF261=0,"",[1]对账明细接口!$AF261),"")</f>
      </c>
    </row>
    <row r="262" ht="14.25" customHeight="1" s="127">
      <c r="A262" s="14" t="n">
        <v>262</v>
      </c>
      <c r="B262" s="211">
        <f>IFERROR(IF([1]对账明细接口!$B$262=0,"",[1]对账明细接口!$B$262),"")</f>
        <v>46281.0</v>
      </c>
      <c r="C262" s="16" t="str">
        <f>IFERROR(IF([1]对账明细接口!$C$262=0,"",[1]对账明细接口!$C$262),"")</f>
        <v>吐尔洪</v>
      </c>
      <c r="D262" s="16" t="str">
        <f>IFERROR(IF([1]对账明细接口!$D$262=0,"",[1]对账明细接口!$D$262),"")</f>
        <v>原料入库</v>
      </c>
      <c r="E262" s="16" t="str">
        <f>IFERROR(IF([1]对账明细接口!$E$262=0,"",[1]对账明细接口!$E$262),"")</f>
        <v>NO:0000878</v>
      </c>
      <c r="F262" s="16" t="str">
        <f>IFERROR(IF([1]对账明细接口!$F$262=0,"",[1]对账明细接口!$F$262),"")</f>
        <v>香梨</v>
      </c>
      <c r="G262" s="16" t="str">
        <f>IFERROR(IF([1]对账明细接口!$G$262=0,"",[1]对账明细接口!$G$262),"")</f>
        <v>香梨特级</v>
      </c>
      <c r="H262" s="176">
        <f>IFERROR(IF([1]对账明细接口!$H$262=0,"",[1]对账明细接口!$H$262),"")</f>
        <v>116</v>
      </c>
      <c r="I262" s="16" t="str">
        <f>IFERROR(IF([1]对账明细接口!$I$262=0,"",[1]对账明细接口!$I$262),"")</f>
        <v>筐</v>
      </c>
      <c r="J262" s="177">
        <f>IFERROR(IF([1]对账明细接口!$J$262=0,"",[1]对账明细接口!$J$262),"")</f>
        <v>2122.8</v>
      </c>
      <c r="K262" s="177">
        <f>IFERROR(IF([1]对账明细接口!$K$262=0,"",[1]对账明细接口!$K$262),"")</f>
      </c>
      <c r="L262" s="16">
        <f>IFERROR(IF([1]对账明细接口!$L$262=0,"",[1]对账明细接口!$L$262),"")</f>
      </c>
      <c r="M262" s="16" t="str">
        <f>IFERROR(IF([1]对账明细接口!$M$262=0,"",[1]对账明细接口!$M$262),"")</f>
        <v>麦麦提</v>
      </c>
      <c r="N262" s="19">
        <f>IF($C262="",0,1)</f>
        <v>1</v>
      </c>
      <c r="O262" s="19">
        <f>N(O261)+$N262</f>
        <v>259</v>
      </c>
      <c r="S262" s="20" t="str">
        <f>IFERROR(IF([1]对账明细接口!$N262=0,"",[1]对账明细接口!$N262),"")</f>
        <v>公司红周转筐</v>
      </c>
      <c r="T262" s="212">
        <f>IFERROR(IF([1]对账明细接口!$O262=0,"",[1]对账明细接口!$O262),"")</f>
      </c>
      <c r="U262" s="212">
        <f>IFERROR(IF([1]对账明细接口!$P262=0,"",[1]对账明细接口!$P262),"")</f>
      </c>
      <c r="V262" s="212">
        <f>IFERROR(IF([1]对账明细接口!$Q262=0,"",[1]对账明细接口!$Q262),"")</f>
        <v>116</v>
      </c>
      <c r="W262" s="20" t="str">
        <f>IFERROR(IF([1]对账明细接口!$R262=0,"",[1]对账明细接口!$R262),"")</f>
        <v>新N*X8S48</v>
      </c>
      <c r="X262" s="20" t="str">
        <f>IFERROR(IF([1]对账明细接口!$S262=0,"",[1]对账明细接口!$S262),"")</f>
        <v>公司筐</v>
      </c>
      <c r="Y262" s="20">
        <f>IFERROR(IF([1]对账明细接口!$T262=0,"",[1]对账明细接口!$T262),"")</f>
      </c>
      <c r="Z262" s="213">
        <f>IFERROR(IF([1]对账明细接口!$U262=0,"",[1]对账明细接口!$U262),"")</f>
      </c>
      <c r="AA262" s="213">
        <f>IFERROR(IF([1]对账明细接口!$V262=0,"",[1]对账明细接口!$V262),"")</f>
      </c>
      <c r="AB262" s="20">
        <f>IFERROR(IF([1]对账明细接口!$W262=0,"",[1]对账明细接口!$W262),"")</f>
      </c>
      <c r="AC262" s="7">
        <f>IFERROR(IF([1]对账明细接口!$X262=0,"",[1]对账明细接口!$X262),"")</f>
      </c>
      <c r="AD262" s="7">
        <f>IFERROR(IF([1]对账明细接口!$Y262=0,"",[1]对账明细接口!$Y262),"")</f>
      </c>
      <c r="AE262" s="7">
        <f>IFERROR(IF([1]对账明细接口!$AA262=0,"",[1]对账明细接口!$AA262),"")</f>
      </c>
      <c r="AF262" s="7">
        <f>IFERROR(IF([1]对账明细接口!$AB262=0,"",[1]对账明细接口!$AB262),"")</f>
      </c>
      <c r="AG262" s="7">
        <f>IFERROR(IF([1]对账明细接口!$AC262=0,"",[1]对账明细接口!$AC262),"")</f>
      </c>
      <c r="AH262" s="7">
        <f>IFERROR(IF([1]对账明细接口!$AD262=0,"",[1]对账明细接口!$AD262),"")</f>
      </c>
      <c r="AI262" s="7">
        <f>IFERROR(IF([1]对账明细接口!$AE262=0,"",[1]对账明细接口!$AE262),"")</f>
      </c>
      <c r="AJ262" s="7">
        <f>IFERROR(IF([1]对账明细接口!$AF262=0,"",[1]对账明细接口!$AF262),"")</f>
      </c>
    </row>
    <row r="263" ht="14.25" customHeight="1" s="127">
      <c r="A263" s="14" t="n">
        <v>263</v>
      </c>
      <c r="B263" s="211">
        <f>IFERROR(IF([1]对账明细接口!$B$263=0,"",[1]对账明细接口!$B$263),"")</f>
        <v>46281.0</v>
      </c>
      <c r="C263" s="16" t="str">
        <f>IFERROR(IF([1]对账明细接口!$C$263=0,"",[1]对账明细接口!$C$263),"")</f>
        <v>吐尔洪</v>
      </c>
      <c r="D263" s="16" t="str">
        <f>IFERROR(IF([1]对账明细接口!$D$263=0,"",[1]对账明细接口!$D$263),"")</f>
        <v>原料入库</v>
      </c>
      <c r="E263" s="16" t="str">
        <f>IFERROR(IF([1]对账明细接口!$E$263=0,"",[1]对账明细接口!$E$263),"")</f>
        <v>NO:0000878</v>
      </c>
      <c r="F263" s="16" t="str">
        <f>IFERROR(IF([1]对账明细接口!$F$263=0,"",[1]对账明细接口!$F$263),"")</f>
        <v>香梨</v>
      </c>
      <c r="G263" s="16" t="str">
        <f>IFERROR(IF([1]对账明细接口!$G$263=0,"",[1]对账明细接口!$G$263),"")</f>
        <v>香梨一级</v>
      </c>
      <c r="H263" s="176">
        <f>IFERROR(IF([1]对账明细接口!$H$263=0,"",[1]对账明细接口!$H$263),"")</f>
        <v>28</v>
      </c>
      <c r="I263" s="16" t="str">
        <f>IFERROR(IF([1]对账明细接口!$I$263=0,"",[1]对账明细接口!$I$263),"")</f>
        <v>筐</v>
      </c>
      <c r="J263" s="177">
        <f>IFERROR(IF([1]对账明细接口!$J$263=0,"",[1]对账明细接口!$J$263),"")</f>
        <v>512.4</v>
      </c>
      <c r="K263" s="177">
        <f>IFERROR(IF([1]对账明细接口!$K$263=0,"",[1]对账明细接口!$K$263),"")</f>
      </c>
      <c r="L263" s="16">
        <f>IFERROR(IF([1]对账明细接口!$L$263=0,"",[1]对账明细接口!$L$263),"")</f>
      </c>
      <c r="M263" s="16" t="str">
        <f>IFERROR(IF([1]对账明细接口!$M$263=0,"",[1]对账明细接口!$M$263),"")</f>
        <v>麦麦提</v>
      </c>
      <c r="N263" s="19">
        <f>IF($C263="",0,1)</f>
        <v>1</v>
      </c>
      <c r="O263" s="19">
        <f>N(O262)+$N263</f>
        <v>260</v>
      </c>
      <c r="S263" s="20" t="str">
        <f>IFERROR(IF([1]对账明细接口!$N263=0,"",[1]对账明细接口!$N263),"")</f>
        <v>公司红周转筐</v>
      </c>
      <c r="T263" s="212">
        <f>IFERROR(IF([1]对账明细接口!$O263=0,"",[1]对账明细接口!$O263),"")</f>
      </c>
      <c r="U263" s="212">
        <f>IFERROR(IF([1]对账明细接口!$P263=0,"",[1]对账明细接口!$P263),"")</f>
      </c>
      <c r="V263" s="212">
        <f>IFERROR(IF([1]对账明细接口!$Q263=0,"",[1]对账明细接口!$Q263),"")</f>
        <v>28</v>
      </c>
      <c r="W263" s="20" t="str">
        <f>IFERROR(IF([1]对账明细接口!$R263=0,"",[1]对账明细接口!$R263),"")</f>
        <v>新N*X8S48</v>
      </c>
      <c r="X263" s="20" t="str">
        <f>IFERROR(IF([1]对账明细接口!$S263=0,"",[1]对账明细接口!$S263),"")</f>
        <v>公司筐</v>
      </c>
      <c r="Y263" s="20">
        <f>IFERROR(IF([1]对账明细接口!$T263=0,"",[1]对账明细接口!$T263),"")</f>
      </c>
      <c r="Z263" s="213">
        <f>IFERROR(IF([1]对账明细接口!$U263=0,"",[1]对账明细接口!$U263),"")</f>
      </c>
      <c r="AA263" s="213">
        <f>IFERROR(IF([1]对账明细接口!$V263=0,"",[1]对账明细接口!$V263),"")</f>
      </c>
      <c r="AB263" s="20">
        <f>IFERROR(IF([1]对账明细接口!$W263=0,"",[1]对账明细接口!$W263),"")</f>
      </c>
      <c r="AC263" s="7">
        <f>IFERROR(IF([1]对账明细接口!$X263=0,"",[1]对账明细接口!$X263),"")</f>
      </c>
      <c r="AD263" s="7">
        <f>IFERROR(IF([1]对账明细接口!$Y263=0,"",[1]对账明细接口!$Y263),"")</f>
      </c>
      <c r="AE263" s="7">
        <f>IFERROR(IF([1]对账明细接口!$AA263=0,"",[1]对账明细接口!$AA263),"")</f>
      </c>
      <c r="AF263" s="7">
        <f>IFERROR(IF([1]对账明细接口!$AB263=0,"",[1]对账明细接口!$AB263),"")</f>
      </c>
      <c r="AG263" s="7">
        <f>IFERROR(IF([1]对账明细接口!$AC263=0,"",[1]对账明细接口!$AC263),"")</f>
      </c>
      <c r="AH263" s="7">
        <f>IFERROR(IF([1]对账明细接口!$AD263=0,"",[1]对账明细接口!$AD263),"")</f>
      </c>
      <c r="AI263" s="7">
        <f>IFERROR(IF([1]对账明细接口!$AE263=0,"",[1]对账明细接口!$AE263),"")</f>
      </c>
      <c r="AJ263" s="7">
        <f>IFERROR(IF([1]对账明细接口!$AF263=0,"",[1]对账明细接口!$AF263),"")</f>
      </c>
    </row>
    <row r="264" ht="14.25" customHeight="1" s="127">
      <c r="A264" s="14" t="n">
        <v>264</v>
      </c>
      <c r="B264" s="211">
        <f>IFERROR(IF([1]对账明细接口!$B$264=0,"",[1]对账明细接口!$B$264),"")</f>
        <v>46281.0</v>
      </c>
      <c r="C264" s="16" t="str">
        <f>IFERROR(IF([1]对账明细接口!$C$264=0,"",[1]对账明细接口!$C$264),"")</f>
        <v>吐尔洪</v>
      </c>
      <c r="D264" s="16" t="str">
        <f>IFERROR(IF([1]对账明细接口!$D$264=0,"",[1]对账明细接口!$D$264),"")</f>
        <v>原料入库</v>
      </c>
      <c r="E264" s="16" t="str">
        <f>IFERROR(IF([1]对账明细接口!$E$264=0,"",[1]对账明细接口!$E$264),"")</f>
        <v>NO:0000878</v>
      </c>
      <c r="F264" s="16" t="str">
        <f>IFERROR(IF([1]对账明细接口!$F$264=0,"",[1]对账明细接口!$F$264),"")</f>
        <v>香梨</v>
      </c>
      <c r="G264" s="16" t="str">
        <f>IFERROR(IF([1]对账明细接口!$G$264=0,"",[1]对账明细接口!$G$264),"")</f>
        <v>香梨二级</v>
      </c>
      <c r="H264" s="176">
        <f>IFERROR(IF([1]对账明细接口!$H$264=0,"",[1]对账明细接口!$H$264),"")</f>
        <v>71</v>
      </c>
      <c r="I264" s="16" t="str">
        <f>IFERROR(IF([1]对账明细接口!$I$264=0,"",[1]对账明细接口!$I$264),"")</f>
        <v>筐</v>
      </c>
      <c r="J264" s="177">
        <f>IFERROR(IF([1]对账明细接口!$J$264=0,"",[1]对账明细接口!$J$264),"")</f>
        <v>1583.3</v>
      </c>
      <c r="K264" s="177">
        <f>IFERROR(IF([1]对账明细接口!$K$264=0,"",[1]对账明细接口!$K$264),"")</f>
      </c>
      <c r="L264" s="16">
        <f>IFERROR(IF([1]对账明细接口!$L$264=0,"",[1]对账明细接口!$L$264),"")</f>
      </c>
      <c r="M264" s="16" t="str">
        <f>IFERROR(IF([1]对账明细接口!$M$264=0,"",[1]对账明细接口!$M$264),"")</f>
        <v>麦麦提</v>
      </c>
      <c r="N264" s="19">
        <f>IF($C264="",0,1)</f>
        <v>1</v>
      </c>
      <c r="O264" s="19">
        <f>N(O263)+$N264</f>
        <v>261</v>
      </c>
      <c r="S264" s="20" t="str">
        <f>IFERROR(IF([1]对账明细接口!$N264=0,"",[1]对账明细接口!$N264),"")</f>
        <v>公司红周转筐</v>
      </c>
      <c r="T264" s="212">
        <f>IFERROR(IF([1]对账明细接口!$O264=0,"",[1]对账明细接口!$O264),"")</f>
      </c>
      <c r="U264" s="212">
        <f>IFERROR(IF([1]对账明细接口!$P264=0,"",[1]对账明细接口!$P264),"")</f>
      </c>
      <c r="V264" s="212">
        <f>IFERROR(IF([1]对账明细接口!$Q264=0,"",[1]对账明细接口!$Q264),"")</f>
        <v>71</v>
      </c>
      <c r="W264" s="20" t="str">
        <f>IFERROR(IF([1]对账明细接口!$R264=0,"",[1]对账明细接口!$R264),"")</f>
        <v>新N*X8S48</v>
      </c>
      <c r="X264" s="20" t="str">
        <f>IFERROR(IF([1]对账明细接口!$S264=0,"",[1]对账明细接口!$S264),"")</f>
        <v>公司筐</v>
      </c>
      <c r="Y264" s="20">
        <f>IFERROR(IF([1]对账明细接口!$T264=0,"",[1]对账明细接口!$T264),"")</f>
      </c>
      <c r="Z264" s="213">
        <f>IFERROR(IF([1]对账明细接口!$U264=0,"",[1]对账明细接口!$U264),"")</f>
      </c>
      <c r="AA264" s="213">
        <f>IFERROR(IF([1]对账明细接口!$V264=0,"",[1]对账明细接口!$V264),"")</f>
      </c>
      <c r="AB264" s="20">
        <f>IFERROR(IF([1]对账明细接口!$W264=0,"",[1]对账明细接口!$W264),"")</f>
      </c>
      <c r="AC264" s="7">
        <f>IFERROR(IF([1]对账明细接口!$X264=0,"",[1]对账明细接口!$X264),"")</f>
      </c>
      <c r="AD264" s="7">
        <f>IFERROR(IF([1]对账明细接口!$Y264=0,"",[1]对账明细接口!$Y264),"")</f>
      </c>
      <c r="AE264" s="7">
        <f>IFERROR(IF([1]对账明细接口!$AA264=0,"",[1]对账明细接口!$AA264),"")</f>
      </c>
      <c r="AF264" s="7">
        <f>IFERROR(IF([1]对账明细接口!$AB264=0,"",[1]对账明细接口!$AB264),"")</f>
      </c>
      <c r="AG264" s="7">
        <f>IFERROR(IF([1]对账明细接口!$AC264=0,"",[1]对账明细接口!$AC264),"")</f>
      </c>
      <c r="AH264" s="7">
        <f>IFERROR(IF([1]对账明细接口!$AD264=0,"",[1]对账明细接口!$AD264),"")</f>
      </c>
      <c r="AI264" s="7">
        <f>IFERROR(IF([1]对账明细接口!$AE264=0,"",[1]对账明细接口!$AE264),"")</f>
      </c>
      <c r="AJ264" s="7">
        <f>IFERROR(IF([1]对账明细接口!$AF264=0,"",[1]对账明细接口!$AF264),"")</f>
      </c>
    </row>
    <row r="265" ht="14.25" customHeight="1" s="127">
      <c r="A265" s="14" t="n">
        <v>265</v>
      </c>
      <c r="B265" s="211">
        <f>IFERROR(IF([1]对账明细接口!$B$265=0,"",[1]对账明细接口!$B$265),"")</f>
        <v>46281.0</v>
      </c>
      <c r="C265" s="16" t="str">
        <f>IFERROR(IF([1]对账明细接口!$C$265=0,"",[1]对账明细接口!$C$265),"")</f>
        <v>王灵云</v>
      </c>
      <c r="D265" s="16" t="str">
        <f>IFERROR(IF([1]对账明细接口!$D$265=0,"",[1]对账明细接口!$D$265),"")</f>
        <v>原料入库</v>
      </c>
      <c r="E265" s="16" t="str">
        <f>IFERROR(IF([1]对账明细接口!$E$265=0,"",[1]对账明细接口!$E$265),"")</f>
        <v>NO:0000881</v>
      </c>
      <c r="F265" s="16" t="str">
        <f>IFERROR(IF([1]对账明细接口!$F$265=0,"",[1]对账明细接口!$F$265),"")</f>
        <v>香梨</v>
      </c>
      <c r="G265" s="16" t="str">
        <f>IFERROR(IF([1]对账明细接口!$G$265=0,"",[1]对账明细接口!$G$265),"")</f>
        <v>香梨一级</v>
      </c>
      <c r="H265" s="176">
        <f>IFERROR(IF([1]对账明细接口!$H$265=0,"",[1]对账明细接口!$H$265),"")</f>
        <v>365</v>
      </c>
      <c r="I265" s="16" t="str">
        <f>IFERROR(IF([1]对账明细接口!$I$265=0,"",[1]对账明细接口!$I$265),"")</f>
        <v>筐</v>
      </c>
      <c r="J265" s="177">
        <f>IFERROR(IF([1]对账明细接口!$J$265=0,"",[1]对账明细接口!$J$265),"")</f>
        <v>6679.5</v>
      </c>
      <c r="K265" s="177">
        <f>IFERROR(IF([1]对账明细接口!$K$265=0,"",[1]对账明细接口!$K$265),"")</f>
      </c>
      <c r="L265" s="16">
        <f>IFERROR(IF([1]对账明细接口!$L$265=0,"",[1]对账明细接口!$L$265),"")</f>
      </c>
      <c r="M265" s="16">
        <f>IFERROR(IF([1]对账明细接口!$M$265=0,"",[1]对账明细接口!$M$265),"")</f>
      </c>
      <c r="N265" s="19">
        <f>IF($C265="",0,1)</f>
        <v>1</v>
      </c>
      <c r="O265" s="19">
        <f>N(O264)+$N265</f>
        <v>262</v>
      </c>
      <c r="S265" s="20" t="str">
        <f>IFERROR(IF([1]对账明细接口!$N265=0,"",[1]对账明细接口!$N265),"")</f>
        <v>公司红周转筐</v>
      </c>
      <c r="T265" s="212">
        <f>IFERROR(IF([1]对账明细接口!$O265=0,"",[1]对账明细接口!$O265),"")</f>
      </c>
      <c r="U265" s="212">
        <f>IFERROR(IF([1]对账明细接口!$P265=0,"",[1]对账明细接口!$P265),"")</f>
      </c>
      <c r="V265" s="212">
        <f>IFERROR(IF([1]对账明细接口!$Q265=0,"",[1]对账明细接口!$Q265),"")</f>
        <v>365</v>
      </c>
      <c r="W265" s="20" t="str">
        <f>IFERROR(IF([1]对账明细接口!$R265=0,"",[1]对账明细接口!$R265),"")</f>
        <v>新N*49209</v>
      </c>
      <c r="X265" s="20" t="str">
        <f>IFERROR(IF([1]对账明细接口!$S265=0,"",[1]对账明细接口!$S265),"")</f>
        <v>公司筐</v>
      </c>
      <c r="Y265" s="20">
        <f>IFERROR(IF([1]对账明细接口!$T265=0,"",[1]对账明细接口!$T265),"")</f>
      </c>
      <c r="Z265" s="213">
        <f>IFERROR(IF([1]对账明细接口!$U265=0,"",[1]对账明细接口!$U265),"")</f>
      </c>
      <c r="AA265" s="213">
        <f>IFERROR(IF([1]对账明细接口!$V265=0,"",[1]对账明细接口!$V265),"")</f>
      </c>
      <c r="AB265" s="20">
        <f>IFERROR(IF([1]对账明细接口!$W265=0,"",[1]对账明细接口!$W265),"")</f>
      </c>
      <c r="AC265" s="7">
        <f>IFERROR(IF([1]对账明细接口!$X265=0,"",[1]对账明细接口!$X265),"")</f>
      </c>
      <c r="AD265" s="7">
        <f>IFERROR(IF([1]对账明细接口!$Y265=0,"",[1]对账明细接口!$Y265),"")</f>
      </c>
      <c r="AE265" s="7">
        <f>IFERROR(IF([1]对账明细接口!$AA265=0,"",[1]对账明细接口!$AA265),"")</f>
      </c>
      <c r="AF265" s="7">
        <f>IFERROR(IF([1]对账明细接口!$AB265=0,"",[1]对账明细接口!$AB265),"")</f>
      </c>
      <c r="AG265" s="7">
        <f>IFERROR(IF([1]对账明细接口!$AC265=0,"",[1]对账明细接口!$AC265),"")</f>
      </c>
      <c r="AH265" s="7">
        <f>IFERROR(IF([1]对账明细接口!$AD265=0,"",[1]对账明细接口!$AD265),"")</f>
      </c>
      <c r="AI265" s="7">
        <f>IFERROR(IF([1]对账明细接口!$AE265=0,"",[1]对账明细接口!$AE265),"")</f>
      </c>
      <c r="AJ265" s="7">
        <f>IFERROR(IF([1]对账明细接口!$AF265=0,"",[1]对账明细接口!$AF265),"")</f>
      </c>
    </row>
    <row r="266" ht="14.25" customHeight="1" s="127">
      <c r="A266" s="14" t="n">
        <v>266</v>
      </c>
      <c r="B266" s="211">
        <f>IFERROR(IF([1]对账明细接口!$B$266=0,"",[1]对账明细接口!$B$266),"")</f>
        <v>46281.0</v>
      </c>
      <c r="C266" s="16" t="str">
        <f>IFERROR(IF([1]对账明细接口!$C$266=0,"",[1]对账明细接口!$C$266),"")</f>
        <v>王灵云</v>
      </c>
      <c r="D266" s="16" t="str">
        <f>IFERROR(IF([1]对账明细接口!$D$266=0,"",[1]对账明细接口!$D$266),"")</f>
        <v>原料入库</v>
      </c>
      <c r="E266" s="16" t="str">
        <f>IFERROR(IF([1]对账明细接口!$E$266=0,"",[1]对账明细接口!$E$266),"")</f>
        <v>NO:0000881</v>
      </c>
      <c r="F266" s="16" t="str">
        <f>IFERROR(IF([1]对账明细接口!$F$266=0,"",[1]对账明细接口!$F$266),"")</f>
        <v>香梨</v>
      </c>
      <c r="G266" s="16" t="str">
        <f>IFERROR(IF([1]对账明细接口!$G$266=0,"",[1]对账明细接口!$G$266),"")</f>
        <v>香梨二级</v>
      </c>
      <c r="H266" s="176">
        <f>IFERROR(IF([1]对账明细接口!$H$266=0,"",[1]对账明细接口!$H$266),"")</f>
        <v>35</v>
      </c>
      <c r="I266" s="16" t="str">
        <f>IFERROR(IF([1]对账明细接口!$I$266=0,"",[1]对账明细接口!$I$266),"")</f>
        <v>筐</v>
      </c>
      <c r="J266" s="177">
        <f>IFERROR(IF([1]对账明细接口!$J$266=0,"",[1]对账明细接口!$J$266),"")</f>
        <v>815.5</v>
      </c>
      <c r="K266" s="177">
        <f>IFERROR(IF([1]对账明细接口!$K$266=0,"",[1]对账明细接口!$K$266),"")</f>
      </c>
      <c r="L266" s="16">
        <f>IFERROR(IF([1]对账明细接口!$L$266=0,"",[1]对账明细接口!$L$266),"")</f>
      </c>
      <c r="M266" s="16">
        <f>IFERROR(IF([1]对账明细接口!$M$266=0,"",[1]对账明细接口!$M$266),"")</f>
      </c>
      <c r="N266" s="19">
        <f>IF($C266="",0,1)</f>
        <v>1</v>
      </c>
      <c r="O266" s="19">
        <f>N(O265)+$N266</f>
        <v>263</v>
      </c>
      <c r="S266" s="20" t="str">
        <f>IFERROR(IF([1]对账明细接口!$N266=0,"",[1]对账明细接口!$N266),"")</f>
        <v>公司红周转筐</v>
      </c>
      <c r="T266" s="212">
        <f>IFERROR(IF([1]对账明细接口!$O266=0,"",[1]对账明细接口!$O266),"")</f>
      </c>
      <c r="U266" s="212">
        <f>IFERROR(IF([1]对账明细接口!$P266=0,"",[1]对账明细接口!$P266),"")</f>
      </c>
      <c r="V266" s="212">
        <f>IFERROR(IF([1]对账明细接口!$Q266=0,"",[1]对账明细接口!$Q266),"")</f>
        <v>35</v>
      </c>
      <c r="W266" s="20" t="str">
        <f>IFERROR(IF([1]对账明细接口!$R266=0,"",[1]对账明细接口!$R266),"")</f>
        <v>新N*49209</v>
      </c>
      <c r="X266" s="20" t="str">
        <f>IFERROR(IF([1]对账明细接口!$S266=0,"",[1]对账明细接口!$S266),"")</f>
        <v>公司筐</v>
      </c>
      <c r="Y266" s="20">
        <f>IFERROR(IF([1]对账明细接口!$T266=0,"",[1]对账明细接口!$T266),"")</f>
      </c>
      <c r="Z266" s="213">
        <f>IFERROR(IF([1]对账明细接口!$U266=0,"",[1]对账明细接口!$U266),"")</f>
      </c>
      <c r="AA266" s="213">
        <f>IFERROR(IF([1]对账明细接口!$V266=0,"",[1]对账明细接口!$V266),"")</f>
      </c>
      <c r="AB266" s="20">
        <f>IFERROR(IF([1]对账明细接口!$W266=0,"",[1]对账明细接口!$W266),"")</f>
      </c>
      <c r="AC266" s="7">
        <f>IFERROR(IF([1]对账明细接口!$X266=0,"",[1]对账明细接口!$X266),"")</f>
      </c>
      <c r="AD266" s="7">
        <f>IFERROR(IF([1]对账明细接口!$Y266=0,"",[1]对账明细接口!$Y266),"")</f>
      </c>
      <c r="AE266" s="7">
        <f>IFERROR(IF([1]对账明细接口!$AA266=0,"",[1]对账明细接口!$AA266),"")</f>
      </c>
      <c r="AF266" s="7">
        <f>IFERROR(IF([1]对账明细接口!$AB266=0,"",[1]对账明细接口!$AB266),"")</f>
      </c>
      <c r="AG266" s="7">
        <f>IFERROR(IF([1]对账明细接口!$AC266=0,"",[1]对账明细接口!$AC266),"")</f>
      </c>
      <c r="AH266" s="7">
        <f>IFERROR(IF([1]对账明细接口!$AD266=0,"",[1]对账明细接口!$AD266),"")</f>
      </c>
      <c r="AI266" s="7">
        <f>IFERROR(IF([1]对账明细接口!$AE266=0,"",[1]对账明细接口!$AE266),"")</f>
      </c>
      <c r="AJ266" s="7">
        <f>IFERROR(IF([1]对账明细接口!$AF266=0,"",[1]对账明细接口!$AF266),"")</f>
      </c>
    </row>
    <row r="267" ht="14.25" customHeight="1" s="127">
      <c r="A267" s="14" t="n">
        <v>267</v>
      </c>
      <c r="B267" s="211">
        <f>IFERROR(IF([1]对账明细接口!$B$267=0,"",[1]对账明细接口!$B$267),"")</f>
        <v>46281.0</v>
      </c>
      <c r="C267" s="16" t="str">
        <f>IFERROR(IF([1]对账明细接口!$C$267=0,"",[1]对账明细接口!$C$267),"")</f>
        <v>王灵云</v>
      </c>
      <c r="D267" s="16" t="str">
        <f>IFERROR(IF([1]对账明细接口!$D$267=0,"",[1]对账明细接口!$D$267),"")</f>
        <v>原料入库</v>
      </c>
      <c r="E267" s="16" t="str">
        <f>IFERROR(IF([1]对账明细接口!$E$267=0,"",[1]对账明细接口!$E$267),"")</f>
        <v>NO:0000881</v>
      </c>
      <c r="F267" s="16" t="str">
        <f>IFERROR(IF([1]对账明细接口!$F$267=0,"",[1]对账明细接口!$F$267),"")</f>
        <v>香梨</v>
      </c>
      <c r="G267" s="16" t="str">
        <f>IFERROR(IF([1]对账明细接口!$G$267=0,"",[1]对账明细接口!$G$267),"")</f>
        <v>香梨副特</v>
      </c>
      <c r="H267" s="176">
        <f>IFERROR(IF([1]对账明细接口!$H$267=0,"",[1]对账明细接口!$H$267),"")</f>
        <v>161</v>
      </c>
      <c r="I267" s="16" t="str">
        <f>IFERROR(IF([1]对账明细接口!$I$267=0,"",[1]对账明细接口!$I$267),"")</f>
        <v>筐</v>
      </c>
      <c r="J267" s="177">
        <f>IFERROR(IF([1]对账明细接口!$J$267=0,"",[1]对账明细接口!$J$267),"")</f>
        <v>2946.3</v>
      </c>
      <c r="K267" s="177">
        <f>IFERROR(IF([1]对账明细接口!$K$267=0,"",[1]对账明细接口!$K$267),"")</f>
      </c>
      <c r="L267" s="16">
        <f>IFERROR(IF([1]对账明细接口!$L$267=0,"",[1]对账明细接口!$L$267),"")</f>
      </c>
      <c r="M267" s="16">
        <f>IFERROR(IF([1]对账明细接口!$M$267=0,"",[1]对账明细接口!$M$267),"")</f>
      </c>
      <c r="N267" s="19">
        <f>IF($C267="",0,1)</f>
        <v>1</v>
      </c>
      <c r="O267" s="19">
        <f>N(O266)+$N267</f>
        <v>264</v>
      </c>
      <c r="S267" s="20" t="str">
        <f>IFERROR(IF([1]对账明细接口!$N267=0,"",[1]对账明细接口!$N267),"")</f>
        <v>公司红周转筐</v>
      </c>
      <c r="T267" s="212">
        <f>IFERROR(IF([1]对账明细接口!$O267=0,"",[1]对账明细接口!$O267),"")</f>
      </c>
      <c r="U267" s="212">
        <f>IFERROR(IF([1]对账明细接口!$P267=0,"",[1]对账明细接口!$P267),"")</f>
      </c>
      <c r="V267" s="212">
        <f>IFERROR(IF([1]对账明细接口!$Q267=0,"",[1]对账明细接口!$Q267),"")</f>
        <v>161</v>
      </c>
      <c r="W267" s="20" t="str">
        <f>IFERROR(IF([1]对账明细接口!$R267=0,"",[1]对账明细接口!$R267),"")</f>
        <v>新N*49209</v>
      </c>
      <c r="X267" s="20" t="str">
        <f>IFERROR(IF([1]对账明细接口!$S267=0,"",[1]对账明细接口!$S267),"")</f>
        <v>公司筐</v>
      </c>
      <c r="Y267" s="20">
        <f>IFERROR(IF([1]对账明细接口!$T267=0,"",[1]对账明细接口!$T267),"")</f>
      </c>
      <c r="Z267" s="213">
        <f>IFERROR(IF([1]对账明细接口!$U267=0,"",[1]对账明细接口!$U267),"")</f>
      </c>
      <c r="AA267" s="213">
        <f>IFERROR(IF([1]对账明细接口!$V267=0,"",[1]对账明细接口!$V267),"")</f>
      </c>
      <c r="AB267" s="20">
        <f>IFERROR(IF([1]对账明细接口!$W267=0,"",[1]对账明细接口!$W267),"")</f>
      </c>
      <c r="AC267" s="7">
        <f>IFERROR(IF([1]对账明细接口!$X267=0,"",[1]对账明细接口!$X267),"")</f>
      </c>
      <c r="AD267" s="7">
        <f>IFERROR(IF([1]对账明细接口!$Y267=0,"",[1]对账明细接口!$Y267),"")</f>
      </c>
      <c r="AE267" s="7">
        <f>IFERROR(IF([1]对账明细接口!$AA267=0,"",[1]对账明细接口!$AA267),"")</f>
      </c>
      <c r="AF267" s="7">
        <f>IFERROR(IF([1]对账明细接口!$AB267=0,"",[1]对账明细接口!$AB267),"")</f>
      </c>
      <c r="AG267" s="7">
        <f>IFERROR(IF([1]对账明细接口!$AC267=0,"",[1]对账明细接口!$AC267),"")</f>
      </c>
      <c r="AH267" s="7">
        <f>IFERROR(IF([1]对账明细接口!$AD267=0,"",[1]对账明细接口!$AD267),"")</f>
      </c>
      <c r="AI267" s="7">
        <f>IFERROR(IF([1]对账明细接口!$AE267=0,"",[1]对账明细接口!$AE267),"")</f>
      </c>
      <c r="AJ267" s="7">
        <f>IFERROR(IF([1]对账明细接口!$AF267=0,"",[1]对账明细接口!$AF267),"")</f>
      </c>
    </row>
    <row r="268" ht="14.25" customHeight="1" s="127">
      <c r="A268" s="14" t="n">
        <v>268</v>
      </c>
      <c r="B268" s="211">
        <f>IFERROR(IF([1]对账明细接口!$B$268=0,"",[1]对账明细接口!$B$268),"")</f>
        <v>46281.0</v>
      </c>
      <c r="C268" s="16" t="str">
        <f>IFERROR(IF([1]对账明细接口!$C$268=0,"",[1]对账明细接口!$C$268),"")</f>
        <v>麦麦提</v>
      </c>
      <c r="D268" s="16" t="str">
        <f>IFERROR(IF([1]对账明细接口!$D$268=0,"",[1]对账明细接口!$D$268),"")</f>
        <v>原料入库</v>
      </c>
      <c r="E268" s="16" t="str">
        <f>IFERROR(IF([1]对账明细接口!$E$268=0,"",[1]对账明细接口!$E$268),"")</f>
        <v>NO:0000882</v>
      </c>
      <c r="F268" s="16" t="str">
        <f>IFERROR(IF([1]对账明细接口!$F$268=0,"",[1]对账明细接口!$F$268),"")</f>
        <v>香梨</v>
      </c>
      <c r="G268" s="16" t="str">
        <f>IFERROR(IF([1]对账明细接口!$G$268=0,"",[1]对账明细接口!$G$268),"")</f>
        <v>香梨特级</v>
      </c>
      <c r="H268" s="176">
        <f>IFERROR(IF([1]对账明细接口!$H$268=0,"",[1]对账明细接口!$H$268),"")</f>
        <v>248</v>
      </c>
      <c r="I268" s="16" t="str">
        <f>IFERROR(IF([1]对账明细接口!$I$268=0,"",[1]对账明细接口!$I$268),"")</f>
        <v>筐</v>
      </c>
      <c r="J268" s="177">
        <f>IFERROR(IF([1]对账明细接口!$J$268=0,"",[1]对账明细接口!$J$268),"")</f>
        <v>4538.4</v>
      </c>
      <c r="K268" s="177">
        <f>IFERROR(IF([1]对账明细接口!$K$268=0,"",[1]对账明细接口!$K$268),"")</f>
      </c>
      <c r="L268" s="16">
        <f>IFERROR(IF([1]对账明细接口!$L$268=0,"",[1]对账明细接口!$L$268),"")</f>
      </c>
      <c r="M268" s="16">
        <f>IFERROR(IF([1]对账明细接口!$M$268=0,"",[1]对账明细接口!$M$268),"")</f>
      </c>
      <c r="N268" s="19">
        <f>IF($C268="",0,1)</f>
        <v>1</v>
      </c>
      <c r="O268" s="19">
        <f>N(O267)+$N268</f>
        <v>265</v>
      </c>
      <c r="S268" s="20" t="str">
        <f>IFERROR(IF([1]对账明细接口!$N268=0,"",[1]对账明细接口!$N268),"")</f>
        <v>公司红周转筐</v>
      </c>
      <c r="T268" s="212">
        <f>IFERROR(IF([1]对账明细接口!$O268=0,"",[1]对账明细接口!$O268),"")</f>
      </c>
      <c r="U268" s="212">
        <f>IFERROR(IF([1]对账明细接口!$P268=0,"",[1]对账明细接口!$P268),"")</f>
      </c>
      <c r="V268" s="212">
        <f>IFERROR(IF([1]对账明细接口!$Q268=0,"",[1]对账明细接口!$Q268),"")</f>
        <v>248</v>
      </c>
      <c r="W268" s="20" t="str">
        <f>IFERROR(IF([1]对账明细接口!$R268=0,"",[1]对账明细接口!$R268),"")</f>
        <v>新A*G0554</v>
      </c>
      <c r="X268" s="20" t="str">
        <f>IFERROR(IF([1]对账明细接口!$S268=0,"",[1]对账明细接口!$S268),"")</f>
        <v>公司筐</v>
      </c>
      <c r="Y268" s="20">
        <f>IFERROR(IF([1]对账明细接口!$T268=0,"",[1]对账明细接口!$T268),"")</f>
      </c>
      <c r="Z268" s="213">
        <f>IFERROR(IF([1]对账明细接口!$U268=0,"",[1]对账明细接口!$U268),"")</f>
      </c>
      <c r="AA268" s="213">
        <f>IFERROR(IF([1]对账明细接口!$V268=0,"",[1]对账明细接口!$V268),"")</f>
      </c>
      <c r="AB268" s="20">
        <f>IFERROR(IF([1]对账明细接口!$W268=0,"",[1]对账明细接口!$W268),"")</f>
      </c>
      <c r="AC268" s="7">
        <f>IFERROR(IF([1]对账明细接口!$X268=0,"",[1]对账明细接口!$X268),"")</f>
      </c>
      <c r="AD268" s="7">
        <f>IFERROR(IF([1]对账明细接口!$Y268=0,"",[1]对账明细接口!$Y268),"")</f>
      </c>
      <c r="AE268" s="7">
        <f>IFERROR(IF([1]对账明细接口!$AA268=0,"",[1]对账明细接口!$AA268),"")</f>
      </c>
      <c r="AF268" s="7">
        <f>IFERROR(IF([1]对账明细接口!$AB268=0,"",[1]对账明细接口!$AB268),"")</f>
      </c>
      <c r="AG268" s="7">
        <f>IFERROR(IF([1]对账明细接口!$AC268=0,"",[1]对账明细接口!$AC268),"")</f>
      </c>
      <c r="AH268" s="7">
        <f>IFERROR(IF([1]对账明细接口!$AD268=0,"",[1]对账明细接口!$AD268),"")</f>
      </c>
      <c r="AI268" s="7">
        <f>IFERROR(IF([1]对账明细接口!$AE268=0,"",[1]对账明细接口!$AE268),"")</f>
      </c>
      <c r="AJ268" s="7">
        <f>IFERROR(IF([1]对账明细接口!$AF268=0,"",[1]对账明细接口!$AF268),"")</f>
      </c>
    </row>
    <row r="269" ht="14.25" customHeight="1" s="127">
      <c r="A269" s="14" t="n">
        <v>269</v>
      </c>
      <c r="B269" s="211">
        <f>IFERROR(IF([1]对账明细接口!$B$269=0,"",[1]对账明细接口!$B$269),"")</f>
        <v>46281.0</v>
      </c>
      <c r="C269" s="16" t="str">
        <f>IFERROR(IF([1]对账明细接口!$C$269=0,"",[1]对账明细接口!$C$269),"")</f>
        <v>麦麦提</v>
      </c>
      <c r="D269" s="16" t="str">
        <f>IFERROR(IF([1]对账明细接口!$D$269=0,"",[1]对账明细接口!$D$269),"")</f>
        <v>原料入库</v>
      </c>
      <c r="E269" s="16" t="str">
        <f>IFERROR(IF([1]对账明细接口!$E$269=0,"",[1]对账明细接口!$E$269),"")</f>
        <v>NO:0000882</v>
      </c>
      <c r="F269" s="16" t="str">
        <f>IFERROR(IF([1]对账明细接口!$F$269=0,"",[1]对账明细接口!$F$269),"")</f>
        <v>香梨</v>
      </c>
      <c r="G269" s="16" t="str">
        <f>IFERROR(IF([1]对账明细接口!$G$269=0,"",[1]对账明细接口!$G$269),"")</f>
        <v>香梨一级</v>
      </c>
      <c r="H269" s="176">
        <f>IFERROR(IF([1]对账明细接口!$H$269=0,"",[1]对账明细接口!$H$269),"")</f>
        <v>176</v>
      </c>
      <c r="I269" s="16" t="str">
        <f>IFERROR(IF([1]对账明细接口!$I$269=0,"",[1]对账明细接口!$I$269),"")</f>
        <v>筐</v>
      </c>
      <c r="J269" s="177">
        <f>IFERROR(IF([1]对账明细接口!$J$269=0,"",[1]对账明细接口!$J$269),"")</f>
        <v>3220.8</v>
      </c>
      <c r="K269" s="177">
        <f>IFERROR(IF([1]对账明细接口!$K$269=0,"",[1]对账明细接口!$K$269),"")</f>
      </c>
      <c r="L269" s="16">
        <f>IFERROR(IF([1]对账明细接口!$L$269=0,"",[1]对账明细接口!$L$269),"")</f>
      </c>
      <c r="M269" s="16">
        <f>IFERROR(IF([1]对账明细接口!$M$269=0,"",[1]对账明细接口!$M$269),"")</f>
      </c>
      <c r="N269" s="19">
        <f>IF($C269="",0,1)</f>
        <v>1</v>
      </c>
      <c r="O269" s="19">
        <f>N(O268)+$N269</f>
        <v>266</v>
      </c>
      <c r="S269" s="20" t="str">
        <f>IFERROR(IF([1]对账明细接口!$N269=0,"",[1]对账明细接口!$N269),"")</f>
        <v>公司红周转筐</v>
      </c>
      <c r="T269" s="212">
        <f>IFERROR(IF([1]对账明细接口!$O269=0,"",[1]对账明细接口!$O269),"")</f>
      </c>
      <c r="U269" s="212">
        <f>IFERROR(IF([1]对账明细接口!$P269=0,"",[1]对账明细接口!$P269),"")</f>
      </c>
      <c r="V269" s="212">
        <f>IFERROR(IF([1]对账明细接口!$Q269=0,"",[1]对账明细接口!$Q269),"")</f>
        <v>176</v>
      </c>
      <c r="W269" s="20" t="str">
        <f>IFERROR(IF([1]对账明细接口!$R269=0,"",[1]对账明细接口!$R269),"")</f>
        <v>新A*G0554</v>
      </c>
      <c r="X269" s="20" t="str">
        <f>IFERROR(IF([1]对账明细接口!$S269=0,"",[1]对账明细接口!$S269),"")</f>
        <v>公司筐</v>
      </c>
      <c r="Y269" s="20">
        <f>IFERROR(IF([1]对账明细接口!$T269=0,"",[1]对账明细接口!$T269),"")</f>
      </c>
      <c r="Z269" s="213">
        <f>IFERROR(IF([1]对账明细接口!$U269=0,"",[1]对账明细接口!$U269),"")</f>
      </c>
      <c r="AA269" s="213">
        <f>IFERROR(IF([1]对账明细接口!$V269=0,"",[1]对账明细接口!$V269),"")</f>
      </c>
      <c r="AB269" s="20">
        <f>IFERROR(IF([1]对账明细接口!$W269=0,"",[1]对账明细接口!$W269),"")</f>
      </c>
      <c r="AC269" s="7">
        <f>IFERROR(IF([1]对账明细接口!$X269=0,"",[1]对账明细接口!$X269),"")</f>
      </c>
      <c r="AD269" s="7">
        <f>IFERROR(IF([1]对账明细接口!$Y269=0,"",[1]对账明细接口!$Y269),"")</f>
      </c>
      <c r="AE269" s="7">
        <f>IFERROR(IF([1]对账明细接口!$AA269=0,"",[1]对账明细接口!$AA269),"")</f>
      </c>
      <c r="AF269" s="7">
        <f>IFERROR(IF([1]对账明细接口!$AB269=0,"",[1]对账明细接口!$AB269),"")</f>
      </c>
      <c r="AG269" s="7">
        <f>IFERROR(IF([1]对账明细接口!$AC269=0,"",[1]对账明细接口!$AC269),"")</f>
      </c>
      <c r="AH269" s="7">
        <f>IFERROR(IF([1]对账明细接口!$AD269=0,"",[1]对账明细接口!$AD269),"")</f>
      </c>
      <c r="AI269" s="7">
        <f>IFERROR(IF([1]对账明细接口!$AE269=0,"",[1]对账明细接口!$AE269),"")</f>
      </c>
      <c r="AJ269" s="7">
        <f>IFERROR(IF([1]对账明细接口!$AF269=0,"",[1]对账明细接口!$AF269),"")</f>
      </c>
    </row>
    <row r="270" ht="14.25" customHeight="1" s="127">
      <c r="A270" s="14" t="n">
        <v>270</v>
      </c>
      <c r="B270" s="211">
        <f>IFERROR(IF([1]对账明细接口!$B$270=0,"",[1]对账明细接口!$B$270),"")</f>
        <v>46281.0</v>
      </c>
      <c r="C270" s="16" t="str">
        <f>IFERROR(IF([1]对账明细接口!$C$270=0,"",[1]对账明细接口!$C$270),"")</f>
        <v>麦麦提</v>
      </c>
      <c r="D270" s="16" t="str">
        <f>IFERROR(IF([1]对账明细接口!$D$270=0,"",[1]对账明细接口!$D$270),"")</f>
        <v>原料入库</v>
      </c>
      <c r="E270" s="16" t="str">
        <f>IFERROR(IF([1]对账明细接口!$E$270=0,"",[1]对账明细接口!$E$270),"")</f>
        <v>NO:0000882</v>
      </c>
      <c r="F270" s="16" t="str">
        <f>IFERROR(IF([1]对账明细接口!$F$270=0,"",[1]对账明细接口!$F$270),"")</f>
        <v>香梨</v>
      </c>
      <c r="G270" s="16" t="str">
        <f>IFERROR(IF([1]对账明细接口!$G$270=0,"",[1]对账明细接口!$G$270),"")</f>
        <v>香梨二级</v>
      </c>
      <c r="H270" s="176">
        <f>IFERROR(IF([1]对账明细接口!$H$270=0,"",[1]对账明细接口!$H$270),"")</f>
        <v>200</v>
      </c>
      <c r="I270" s="16" t="str">
        <f>IFERROR(IF([1]对账明细接口!$I$270=0,"",[1]对账明细接口!$I$270),"")</f>
        <v>筐</v>
      </c>
      <c r="J270" s="177">
        <f>IFERROR(IF([1]对账明细接口!$J$270=0,"",[1]对账明细接口!$J$270),"")</f>
        <v>4460</v>
      </c>
      <c r="K270" s="177">
        <f>IFERROR(IF([1]对账明细接口!$K$270=0,"",[1]对账明细接口!$K$270),"")</f>
      </c>
      <c r="L270" s="16">
        <f>IFERROR(IF([1]对账明细接口!$L$270=0,"",[1]对账明细接口!$L$270),"")</f>
      </c>
      <c r="M270" s="16">
        <f>IFERROR(IF([1]对账明细接口!$M$270=0,"",[1]对账明细接口!$M$270),"")</f>
      </c>
      <c r="N270" s="19">
        <f>IF($C270="",0,1)</f>
        <v>1</v>
      </c>
      <c r="O270" s="19">
        <f>N(O269)+$N270</f>
        <v>267</v>
      </c>
      <c r="S270" s="20" t="str">
        <f>IFERROR(IF([1]对账明细接口!$N270=0,"",[1]对账明细接口!$N270),"")</f>
        <v>公司红周转筐</v>
      </c>
      <c r="T270" s="212">
        <f>IFERROR(IF([1]对账明细接口!$O270=0,"",[1]对账明细接口!$O270),"")</f>
      </c>
      <c r="U270" s="212">
        <f>IFERROR(IF([1]对账明细接口!$P270=0,"",[1]对账明细接口!$P270),"")</f>
      </c>
      <c r="V270" s="212">
        <f>IFERROR(IF([1]对账明细接口!$Q270=0,"",[1]对账明细接口!$Q270),"")</f>
        <v>200</v>
      </c>
      <c r="W270" s="20" t="str">
        <f>IFERROR(IF([1]对账明细接口!$R270=0,"",[1]对账明细接口!$R270),"")</f>
        <v>新A*G0554</v>
      </c>
      <c r="X270" s="20" t="str">
        <f>IFERROR(IF([1]对账明细接口!$S270=0,"",[1]对账明细接口!$S270),"")</f>
        <v>公司筐</v>
      </c>
      <c r="Y270" s="20">
        <f>IFERROR(IF([1]对账明细接口!$T270=0,"",[1]对账明细接口!$T270),"")</f>
      </c>
      <c r="Z270" s="213">
        <f>IFERROR(IF([1]对账明细接口!$U270=0,"",[1]对账明细接口!$U270),"")</f>
      </c>
      <c r="AA270" s="213">
        <f>IFERROR(IF([1]对账明细接口!$V270=0,"",[1]对账明细接口!$V270),"")</f>
      </c>
      <c r="AB270" s="20">
        <f>IFERROR(IF([1]对账明细接口!$W270=0,"",[1]对账明细接口!$W270),"")</f>
      </c>
      <c r="AC270" s="7">
        <f>IFERROR(IF([1]对账明细接口!$X270=0,"",[1]对账明细接口!$X270),"")</f>
      </c>
      <c r="AD270" s="7">
        <f>IFERROR(IF([1]对账明细接口!$Y270=0,"",[1]对账明细接口!$Y270),"")</f>
      </c>
      <c r="AE270" s="7">
        <f>IFERROR(IF([1]对账明细接口!$AA270=0,"",[1]对账明细接口!$AA270),"")</f>
      </c>
      <c r="AF270" s="7">
        <f>IFERROR(IF([1]对账明细接口!$AB270=0,"",[1]对账明细接口!$AB270),"")</f>
      </c>
      <c r="AG270" s="7">
        <f>IFERROR(IF([1]对账明细接口!$AC270=0,"",[1]对账明细接口!$AC270),"")</f>
      </c>
      <c r="AH270" s="7">
        <f>IFERROR(IF([1]对账明细接口!$AD270=0,"",[1]对账明细接口!$AD270),"")</f>
      </c>
      <c r="AI270" s="7">
        <f>IFERROR(IF([1]对账明细接口!$AE270=0,"",[1]对账明细接口!$AE270),"")</f>
      </c>
      <c r="AJ270" s="7">
        <f>IFERROR(IF([1]对账明细接口!$AF270=0,"",[1]对账明细接口!$AF270),"")</f>
      </c>
    </row>
    <row r="271" ht="14.25" customHeight="1" s="127">
      <c r="A271" s="14" t="n">
        <v>271</v>
      </c>
      <c r="B271" s="211">
        <f>IFERROR(IF([1]对账明细接口!$B$271=0,"",[1]对账明细接口!$B$271),"")</f>
        <v>46281.0</v>
      </c>
      <c r="C271" s="16" t="str">
        <f>IFERROR(IF([1]对账明细接口!$C$271=0,"",[1]对账明细接口!$C$271),"")</f>
        <v>努尔敦</v>
      </c>
      <c r="D271" s="16" t="str">
        <f>IFERROR(IF([1]对账明细接口!$D$271=0,"",[1]对账明细接口!$D$271),"")</f>
        <v>原料入库</v>
      </c>
      <c r="E271" s="16" t="str">
        <f>IFERROR(IF([1]对账明细接口!$E$271=0,"",[1]对账明细接口!$E$271),"")</f>
        <v>NO:0000883</v>
      </c>
      <c r="F271" s="16" t="str">
        <f>IFERROR(IF([1]对账明细接口!$F$271=0,"",[1]对账明细接口!$F$271),"")</f>
        <v>香梨</v>
      </c>
      <c r="G271" s="16" t="str">
        <f>IFERROR(IF([1]对账明细接口!$G$271=0,"",[1]对账明细接口!$G$271),"")</f>
        <v>香梨特级</v>
      </c>
      <c r="H271" s="176">
        <f>IFERROR(IF([1]对账明细接口!$H$271=0,"",[1]对账明细接口!$H$271),"")</f>
        <v>296</v>
      </c>
      <c r="I271" s="16" t="str">
        <f>IFERROR(IF([1]对账明细接口!$I$271=0,"",[1]对账明细接口!$I$271),"")</f>
        <v>筐</v>
      </c>
      <c r="J271" s="177">
        <f>IFERROR(IF([1]对账明细接口!$J$271=0,"",[1]对账明细接口!$J$271),"")</f>
        <v>5416.8</v>
      </c>
      <c r="K271" s="177">
        <f>IFERROR(IF([1]对账明细接口!$K$271=0,"",[1]对账明细接口!$K$271),"")</f>
      </c>
      <c r="L271" s="16">
        <f>IFERROR(IF([1]对账明细接口!$L$271=0,"",[1]对账明细接口!$L$271),"")</f>
      </c>
      <c r="M271" s="16">
        <f>IFERROR(IF([1]对账明细接口!$M$271=0,"",[1]对账明细接口!$M$271),"")</f>
      </c>
      <c r="N271" s="19">
        <f>IF($C271="",0,1)</f>
        <v>1</v>
      </c>
      <c r="O271" s="19">
        <f>N(O270)+$N271</f>
        <v>268</v>
      </c>
      <c r="S271" s="20" t="str">
        <f>IFERROR(IF([1]对账明细接口!$N271=0,"",[1]对账明细接口!$N271),"")</f>
        <v>公司红周转筐</v>
      </c>
      <c r="T271" s="212">
        <f>IFERROR(IF([1]对账明细接口!$O271=0,"",[1]对账明细接口!$O271),"")</f>
      </c>
      <c r="U271" s="212">
        <f>IFERROR(IF([1]对账明细接口!$P271=0,"",[1]对账明细接口!$P271),"")</f>
      </c>
      <c r="V271" s="212">
        <f>IFERROR(IF([1]对账明细接口!$Q271=0,"",[1]对账明细接口!$Q271),"")</f>
        <v>296</v>
      </c>
      <c r="W271" s="20" t="str">
        <f>IFERROR(IF([1]对账明细接口!$R271=0,"",[1]对账明细接口!$R271),"")</f>
        <v>新F*75240</v>
      </c>
      <c r="X271" s="20" t="str">
        <f>IFERROR(IF([1]对账明细接口!$S271=0,"",[1]对账明细接口!$S271),"")</f>
        <v>公司筐</v>
      </c>
      <c r="Y271" s="20">
        <f>IFERROR(IF([1]对账明细接口!$T271=0,"",[1]对账明细接口!$T271),"")</f>
      </c>
      <c r="Z271" s="213">
        <f>IFERROR(IF([1]对账明细接口!$U271=0,"",[1]对账明细接口!$U271),"")</f>
      </c>
      <c r="AA271" s="213">
        <f>IFERROR(IF([1]对账明细接口!$V271=0,"",[1]对账明细接口!$V271),"")</f>
      </c>
      <c r="AB271" s="20">
        <f>IFERROR(IF([1]对账明细接口!$W271=0,"",[1]对账明细接口!$W271),"")</f>
      </c>
      <c r="AC271" s="7">
        <f>IFERROR(IF([1]对账明细接口!$X271=0,"",[1]对账明细接口!$X271),"")</f>
      </c>
      <c r="AD271" s="7">
        <f>IFERROR(IF([1]对账明细接口!$Y271=0,"",[1]对账明细接口!$Y271),"")</f>
      </c>
      <c r="AE271" s="7">
        <f>IFERROR(IF([1]对账明细接口!$AA271=0,"",[1]对账明细接口!$AA271),"")</f>
      </c>
      <c r="AF271" s="7">
        <f>IFERROR(IF([1]对账明细接口!$AB271=0,"",[1]对账明细接口!$AB271),"")</f>
      </c>
      <c r="AG271" s="7">
        <f>IFERROR(IF([1]对账明细接口!$AC271=0,"",[1]对账明细接口!$AC271),"")</f>
      </c>
      <c r="AH271" s="7">
        <f>IFERROR(IF([1]对账明细接口!$AD271=0,"",[1]对账明细接口!$AD271),"")</f>
      </c>
      <c r="AI271" s="7">
        <f>IFERROR(IF([1]对账明细接口!$AE271=0,"",[1]对账明细接口!$AE271),"")</f>
      </c>
      <c r="AJ271" s="7">
        <f>IFERROR(IF([1]对账明细接口!$AF271=0,"",[1]对账明细接口!$AF271),"")</f>
      </c>
    </row>
    <row r="272" ht="14.25" customHeight="1" s="127">
      <c r="A272" s="14" t="n">
        <v>272</v>
      </c>
      <c r="B272" s="211">
        <f>IFERROR(IF([1]对账明细接口!$B$272=0,"",[1]对账明细接口!$B$272),"")</f>
        <v>46281.0</v>
      </c>
      <c r="C272" s="16" t="str">
        <f>IFERROR(IF([1]对账明细接口!$C$272=0,"",[1]对账明细接口!$C$272),"")</f>
        <v>努尔敦</v>
      </c>
      <c r="D272" s="16" t="str">
        <f>IFERROR(IF([1]对账明细接口!$D$272=0,"",[1]对账明细接口!$D$272),"")</f>
        <v>原料入库</v>
      </c>
      <c r="E272" s="16" t="str">
        <f>IFERROR(IF([1]对账明细接口!$E$272=0,"",[1]对账明细接口!$E$272),"")</f>
        <v>NO:0000883</v>
      </c>
      <c r="F272" s="16" t="str">
        <f>IFERROR(IF([1]对账明细接口!$F$272=0,"",[1]对账明细接口!$F$272),"")</f>
        <v>香梨</v>
      </c>
      <c r="G272" s="16" t="str">
        <f>IFERROR(IF([1]对账明细接口!$G$272=0,"",[1]对账明细接口!$G$272),"")</f>
        <v>香梨一级</v>
      </c>
      <c r="H272" s="176">
        <f>IFERROR(IF([1]对账明细接口!$H$272=0,"",[1]对账明细接口!$H$272),"")</f>
        <v>233</v>
      </c>
      <c r="I272" s="16" t="str">
        <f>IFERROR(IF([1]对账明细接口!$I$272=0,"",[1]对账明细接口!$I$272),"")</f>
        <v>筐</v>
      </c>
      <c r="J272" s="177">
        <f>IFERROR(IF([1]对账明细接口!$J$272=0,"",[1]对账明细接口!$J$272),"")</f>
        <v>4263.9</v>
      </c>
      <c r="K272" s="177">
        <f>IFERROR(IF([1]对账明细接口!$K$272=0,"",[1]对账明细接口!$K$272),"")</f>
      </c>
      <c r="L272" s="16">
        <f>IFERROR(IF([1]对账明细接口!$L$272=0,"",[1]对账明细接口!$L$272),"")</f>
      </c>
      <c r="M272" s="16">
        <f>IFERROR(IF([1]对账明细接口!$M$272=0,"",[1]对账明细接口!$M$272),"")</f>
      </c>
      <c r="N272" s="19">
        <f>IF($C272="",0,1)</f>
        <v>1</v>
      </c>
      <c r="O272" s="19">
        <f>N(O271)+$N272</f>
        <v>269</v>
      </c>
      <c r="S272" s="20" t="str">
        <f>IFERROR(IF([1]对账明细接口!$N272=0,"",[1]对账明细接口!$N272),"")</f>
        <v>公司红周转筐</v>
      </c>
      <c r="T272" s="212">
        <f>IFERROR(IF([1]对账明细接口!$O272=0,"",[1]对账明细接口!$O272),"")</f>
      </c>
      <c r="U272" s="212">
        <f>IFERROR(IF([1]对账明细接口!$P272=0,"",[1]对账明细接口!$P272),"")</f>
      </c>
      <c r="V272" s="212">
        <f>IFERROR(IF([1]对账明细接口!$Q272=0,"",[1]对账明细接口!$Q272),"")</f>
        <v>233</v>
      </c>
      <c r="W272" s="20" t="str">
        <f>IFERROR(IF([1]对账明细接口!$R272=0,"",[1]对账明细接口!$R272),"")</f>
        <v>新F*75240</v>
      </c>
      <c r="X272" s="20" t="str">
        <f>IFERROR(IF([1]对账明细接口!$S272=0,"",[1]对账明细接口!$S272),"")</f>
        <v>公司筐</v>
      </c>
      <c r="Y272" s="20">
        <f>IFERROR(IF([1]对账明细接口!$T272=0,"",[1]对账明细接口!$T272),"")</f>
      </c>
      <c r="Z272" s="213">
        <f>IFERROR(IF([1]对账明细接口!$U272=0,"",[1]对账明细接口!$U272),"")</f>
      </c>
      <c r="AA272" s="213">
        <f>IFERROR(IF([1]对账明细接口!$V272=0,"",[1]对账明细接口!$V272),"")</f>
      </c>
      <c r="AB272" s="20">
        <f>IFERROR(IF([1]对账明细接口!$W272=0,"",[1]对账明细接口!$W272),"")</f>
      </c>
      <c r="AC272" s="7">
        <f>IFERROR(IF([1]对账明细接口!$X272=0,"",[1]对账明细接口!$X272),"")</f>
      </c>
      <c r="AD272" s="7">
        <f>IFERROR(IF([1]对账明细接口!$Y272=0,"",[1]对账明细接口!$Y272),"")</f>
      </c>
      <c r="AE272" s="7">
        <f>IFERROR(IF([1]对账明细接口!$AA272=0,"",[1]对账明细接口!$AA272),"")</f>
      </c>
      <c r="AF272" s="7">
        <f>IFERROR(IF([1]对账明细接口!$AB272=0,"",[1]对账明细接口!$AB272),"")</f>
      </c>
      <c r="AG272" s="7">
        <f>IFERROR(IF([1]对账明细接口!$AC272=0,"",[1]对账明细接口!$AC272),"")</f>
      </c>
      <c r="AH272" s="7">
        <f>IFERROR(IF([1]对账明细接口!$AD272=0,"",[1]对账明细接口!$AD272),"")</f>
      </c>
      <c r="AI272" s="7">
        <f>IFERROR(IF([1]对账明细接口!$AE272=0,"",[1]对账明细接口!$AE272),"")</f>
      </c>
      <c r="AJ272" s="7">
        <f>IFERROR(IF([1]对账明细接口!$AF272=0,"",[1]对账明细接口!$AF272),"")</f>
      </c>
    </row>
    <row r="273" ht="14.25" customHeight="1" s="127">
      <c r="A273" s="14" t="n">
        <v>273</v>
      </c>
      <c r="B273" s="211">
        <f>IFERROR(IF([1]对账明细接口!$B$273=0,"",[1]对账明细接口!$B$273),"")</f>
        <v>46281.0</v>
      </c>
      <c r="C273" s="16" t="str">
        <f>IFERROR(IF([1]对账明细接口!$C$273=0,"",[1]对账明细接口!$C$273),"")</f>
        <v>努尔敦</v>
      </c>
      <c r="D273" s="16" t="str">
        <f>IFERROR(IF([1]对账明细接口!$D$273=0,"",[1]对账明细接口!$D$273),"")</f>
        <v>原料入库</v>
      </c>
      <c r="E273" s="16" t="str">
        <f>IFERROR(IF([1]对账明细接口!$E$273=0,"",[1]对账明细接口!$E$273),"")</f>
        <v>NO:0000883</v>
      </c>
      <c r="F273" s="16" t="str">
        <f>IFERROR(IF([1]对账明细接口!$F$273=0,"",[1]对账明细接口!$F$273),"")</f>
        <v>香梨</v>
      </c>
      <c r="G273" s="16" t="str">
        <f>IFERROR(IF([1]对账明细接口!$G$273=0,"",[1]对账明细接口!$G$273),"")</f>
        <v>香梨二级</v>
      </c>
      <c r="H273" s="176">
        <f>IFERROR(IF([1]对账明细接口!$H$273=0,"",[1]对账明细接口!$H$273),"")</f>
        <v>112</v>
      </c>
      <c r="I273" s="16" t="str">
        <f>IFERROR(IF([1]对账明细接口!$I$273=0,"",[1]对账明细接口!$I$273),"")</f>
        <v>筐</v>
      </c>
      <c r="J273" s="177">
        <f>IFERROR(IF([1]对账明细接口!$J$273=0,"",[1]对账明细接口!$J$273),"")</f>
        <v>2497.6</v>
      </c>
      <c r="K273" s="177">
        <f>IFERROR(IF([1]对账明细接口!$K$273=0,"",[1]对账明细接口!$K$273),"")</f>
      </c>
      <c r="L273" s="16">
        <f>IFERROR(IF([1]对账明细接口!$L$273=0,"",[1]对账明细接口!$L$273),"")</f>
      </c>
      <c r="M273" s="16">
        <f>IFERROR(IF([1]对账明细接口!$M$273=0,"",[1]对账明细接口!$M$273),"")</f>
      </c>
      <c r="N273" s="19">
        <f>IF($C273="",0,1)</f>
        <v>1</v>
      </c>
      <c r="O273" s="19">
        <f>N(O272)+$N273</f>
        <v>270</v>
      </c>
      <c r="S273" s="20" t="str">
        <f>IFERROR(IF([1]对账明细接口!$N273=0,"",[1]对账明细接口!$N273),"")</f>
        <v>公司红周转筐</v>
      </c>
      <c r="T273" s="212">
        <f>IFERROR(IF([1]对账明细接口!$O273=0,"",[1]对账明细接口!$O273),"")</f>
      </c>
      <c r="U273" s="212">
        <f>IFERROR(IF([1]对账明细接口!$P273=0,"",[1]对账明细接口!$P273),"")</f>
      </c>
      <c r="V273" s="212">
        <f>IFERROR(IF([1]对账明细接口!$Q273=0,"",[1]对账明细接口!$Q273),"")</f>
        <v>112</v>
      </c>
      <c r="W273" s="20" t="str">
        <f>IFERROR(IF([1]对账明细接口!$R273=0,"",[1]对账明细接口!$R273),"")</f>
        <v>新F*75240</v>
      </c>
      <c r="X273" s="20" t="str">
        <f>IFERROR(IF([1]对账明细接口!$S273=0,"",[1]对账明细接口!$S273),"")</f>
        <v>公司筐</v>
      </c>
      <c r="Y273" s="20">
        <f>IFERROR(IF([1]对账明细接口!$T273=0,"",[1]对账明细接口!$T273),"")</f>
      </c>
      <c r="Z273" s="213">
        <f>IFERROR(IF([1]对账明细接口!$U273=0,"",[1]对账明细接口!$U273),"")</f>
      </c>
      <c r="AA273" s="213">
        <f>IFERROR(IF([1]对账明细接口!$V273=0,"",[1]对账明细接口!$V273),"")</f>
      </c>
      <c r="AB273" s="20">
        <f>IFERROR(IF([1]对账明细接口!$W273=0,"",[1]对账明细接口!$W273),"")</f>
      </c>
      <c r="AC273" s="7">
        <f>IFERROR(IF([1]对账明细接口!$X273=0,"",[1]对账明细接口!$X273),"")</f>
      </c>
      <c r="AD273" s="7">
        <f>IFERROR(IF([1]对账明细接口!$Y273=0,"",[1]对账明细接口!$Y273),"")</f>
      </c>
      <c r="AE273" s="7">
        <f>IFERROR(IF([1]对账明细接口!$AA273=0,"",[1]对账明细接口!$AA273),"")</f>
      </c>
      <c r="AF273" s="7">
        <f>IFERROR(IF([1]对账明细接口!$AB273=0,"",[1]对账明细接口!$AB273),"")</f>
      </c>
      <c r="AG273" s="7">
        <f>IFERROR(IF([1]对账明细接口!$AC273=0,"",[1]对账明细接口!$AC273),"")</f>
      </c>
      <c r="AH273" s="7">
        <f>IFERROR(IF([1]对账明细接口!$AD273=0,"",[1]对账明细接口!$AD273),"")</f>
      </c>
      <c r="AI273" s="7">
        <f>IFERROR(IF([1]对账明细接口!$AE273=0,"",[1]对账明细接口!$AE273),"")</f>
      </c>
      <c r="AJ273" s="7">
        <f>IFERROR(IF([1]对账明细接口!$AF273=0,"",[1]对账明细接口!$AF273),"")</f>
      </c>
    </row>
    <row r="274" ht="14.25" customHeight="1" s="127">
      <c r="A274" s="14" t="n">
        <v>274</v>
      </c>
      <c r="B274" s="211">
        <f>IFERROR(IF([1]对账明细接口!$B$274=0,"",[1]对账明细接口!$B$274),"")</f>
        <v>46282.0</v>
      </c>
      <c r="C274" s="16" t="str">
        <f>IFERROR(IF([1]对账明细接口!$C$274=0,"",[1]对账明细接口!$C$274),"")</f>
        <v>吐尔逊</v>
      </c>
      <c r="D274" s="16" t="str">
        <f>IFERROR(IF([1]对账明细接口!$D$274=0,"",[1]对账明细接口!$D$274),"")</f>
        <v>原料入库</v>
      </c>
      <c r="E274" s="16" t="str">
        <f>IFERROR(IF([1]对账明细接口!$E$274=0,"",[1]对账明细接口!$E$274),"")</f>
        <v>NO:0000886</v>
      </c>
      <c r="F274" s="16" t="str">
        <f>IFERROR(IF([1]对账明细接口!$F$274=0,"",[1]对账明细接口!$F$274),"")</f>
        <v>香梨</v>
      </c>
      <c r="G274" s="16" t="str">
        <f>IFERROR(IF([1]对账明细接口!$G$274=0,"",[1]对账明细接口!$G$274),"")</f>
        <v>香梨一级</v>
      </c>
      <c r="H274" s="176">
        <f>IFERROR(IF([1]对账明细接口!$H$274=0,"",[1]对账明细接口!$H$274),"")</f>
        <v>100</v>
      </c>
      <c r="I274" s="16" t="str">
        <f>IFERROR(IF([1]对账明细接口!$I$274=0,"",[1]对账明细接口!$I$274),"")</f>
        <v>筐</v>
      </c>
      <c r="J274" s="177">
        <f>IFERROR(IF([1]对账明细接口!$J$274=0,"",[1]对账明细接口!$J$274),"")</f>
        <v>1750</v>
      </c>
      <c r="K274" s="177">
        <f>IFERROR(IF([1]对账明细接口!$K$274=0,"",[1]对账明细接口!$K$274),"")</f>
      </c>
      <c r="L274" s="16">
        <f>IFERROR(IF([1]对账明细接口!$L$274=0,"",[1]对账明细接口!$L$274),"")</f>
      </c>
      <c r="M274" s="16">
        <f>IFERROR(IF([1]对账明细接口!$M$274=0,"",[1]对账明细接口!$M$274),"")</f>
      </c>
      <c r="N274" s="19">
        <f>IF($C274="",0,1)</f>
        <v>1</v>
      </c>
      <c r="O274" s="19">
        <f>N(O273)+$N274</f>
        <v>271</v>
      </c>
      <c r="S274" s="20" t="str">
        <f>IFERROR(IF([1]对账明细接口!$N274=0,"",[1]对账明细接口!$N274),"")</f>
        <v>公司一次性筐</v>
      </c>
      <c r="T274" s="212">
        <f>IFERROR(IF([1]对账明细接口!$O274=0,"",[1]对账明细接口!$O274),"")</f>
      </c>
      <c r="U274" s="212">
        <f>IFERROR(IF([1]对账明细接口!$P274=0,"",[1]对账明细接口!$P274),"")</f>
      </c>
      <c r="V274" s="212">
        <f>IFERROR(IF([1]对账明细接口!$Q274=0,"",[1]对账明细接口!$Q274),"")</f>
        <v>100</v>
      </c>
      <c r="W274" s="20" t="str">
        <f>IFERROR(IF([1]对账明细接口!$R274=0,"",[1]对账明细接口!$R274),"")</f>
        <v>新A*NZ020</v>
      </c>
      <c r="X274" s="20" t="str">
        <f>IFERROR(IF([1]对账明细接口!$S274=0,"",[1]对账明细接口!$S274),"")</f>
        <v>公司筐</v>
      </c>
      <c r="Y274" s="20">
        <f>IFERROR(IF([1]对账明细接口!$T274=0,"",[1]对账明细接口!$T274),"")</f>
      </c>
      <c r="Z274" s="213">
        <f>IFERROR(IF([1]对账明细接口!$U274=0,"",[1]对账明细接口!$U274),"")</f>
      </c>
      <c r="AA274" s="213">
        <f>IFERROR(IF([1]对账明细接口!$V274=0,"",[1]对账明细接口!$V274),"")</f>
      </c>
      <c r="AB274" s="20">
        <f>IFERROR(IF([1]对账明细接口!$W274=0,"",[1]对账明细接口!$W274),"")</f>
      </c>
      <c r="AC274" s="7">
        <f>IFERROR(IF([1]对账明细接口!$X274=0,"",[1]对账明细接口!$X274),"")</f>
      </c>
      <c r="AD274" s="7">
        <f>IFERROR(IF([1]对账明细接口!$Y274=0,"",[1]对账明细接口!$Y274),"")</f>
      </c>
      <c r="AE274" s="7">
        <f>IFERROR(IF([1]对账明细接口!$AA274=0,"",[1]对账明细接口!$AA274),"")</f>
      </c>
      <c r="AF274" s="7">
        <f>IFERROR(IF([1]对账明细接口!$AB274=0,"",[1]对账明细接口!$AB274),"")</f>
      </c>
      <c r="AG274" s="7">
        <f>IFERROR(IF([1]对账明细接口!$AC274=0,"",[1]对账明细接口!$AC274),"")</f>
      </c>
      <c r="AH274" s="7">
        <f>IFERROR(IF([1]对账明细接口!$AD274=0,"",[1]对账明细接口!$AD274),"")</f>
      </c>
      <c r="AI274" s="7">
        <f>IFERROR(IF([1]对账明细接口!$AE274=0,"",[1]对账明细接口!$AE274),"")</f>
      </c>
      <c r="AJ274" s="7">
        <f>IFERROR(IF([1]对账明细接口!$AF274=0,"",[1]对账明细接口!$AF274),"")</f>
      </c>
    </row>
    <row r="275" ht="14.25" customHeight="1" s="127">
      <c r="A275" s="14" t="n">
        <v>275</v>
      </c>
      <c r="B275" s="211">
        <f>IFERROR(IF([1]对账明细接口!$B$275=0,"",[1]对账明细接口!$B$275),"")</f>
        <v>46282.0</v>
      </c>
      <c r="C275" s="16" t="str">
        <f>IFERROR(IF([1]对账明细接口!$C$275=0,"",[1]对账明细接口!$C$275),"")</f>
        <v>吐尔逊</v>
      </c>
      <c r="D275" s="16" t="str">
        <f>IFERROR(IF([1]对账明细接口!$D$275=0,"",[1]对账明细接口!$D$275),"")</f>
        <v>原料入库</v>
      </c>
      <c r="E275" s="16" t="str">
        <f>IFERROR(IF([1]对账明细接口!$E$275=0,"",[1]对账明细接口!$E$275),"")</f>
        <v>NO:0000886</v>
      </c>
      <c r="F275" s="16" t="str">
        <f>IFERROR(IF([1]对账明细接口!$F$275=0,"",[1]对账明细接口!$F$275),"")</f>
        <v>香梨</v>
      </c>
      <c r="G275" s="16" t="str">
        <f>IFERROR(IF([1]对账明细接口!$G$275=0,"",[1]对账明细接口!$G$275),"")</f>
        <v>香梨二级</v>
      </c>
      <c r="H275" s="176">
        <f>IFERROR(IF([1]对账明细接口!$H$275=0,"",[1]对账明细接口!$H$275),"")</f>
        <v>100</v>
      </c>
      <c r="I275" s="16" t="str">
        <f>IFERROR(IF([1]对账明细接口!$I$275=0,"",[1]对账明细接口!$I$275),"")</f>
        <v>筐</v>
      </c>
      <c r="J275" s="177">
        <f>IFERROR(IF([1]对账明细接口!$J$275=0,"",[1]对账明细接口!$J$275),"")</f>
        <v>2450</v>
      </c>
      <c r="K275" s="177">
        <f>IFERROR(IF([1]对账明细接口!$K$275=0,"",[1]对账明细接口!$K$275),"")</f>
      </c>
      <c r="L275" s="16">
        <f>IFERROR(IF([1]对账明细接口!$L$275=0,"",[1]对账明细接口!$L$275),"")</f>
      </c>
      <c r="M275" s="16">
        <f>IFERROR(IF([1]对账明细接口!$M$275=0,"",[1]对账明细接口!$M$275),"")</f>
      </c>
      <c r="N275" s="19">
        <f>IF($C275="",0,1)</f>
        <v>1</v>
      </c>
      <c r="O275" s="19">
        <f>N(O274)+$N275</f>
        <v>272</v>
      </c>
      <c r="S275" s="20" t="str">
        <f>IFERROR(IF([1]对账明细接口!$N275=0,"",[1]对账明细接口!$N275),"")</f>
        <v>公司一次性筐</v>
      </c>
      <c r="T275" s="212">
        <f>IFERROR(IF([1]对账明细接口!$O275=0,"",[1]对账明细接口!$O275),"")</f>
      </c>
      <c r="U275" s="212">
        <f>IFERROR(IF([1]对账明细接口!$P275=0,"",[1]对账明细接口!$P275),"")</f>
      </c>
      <c r="V275" s="212">
        <f>IFERROR(IF([1]对账明细接口!$Q275=0,"",[1]对账明细接口!$Q275),"")</f>
        <v>100</v>
      </c>
      <c r="W275" s="20" t="str">
        <f>IFERROR(IF([1]对账明细接口!$R275=0,"",[1]对账明细接口!$R275),"")</f>
        <v>新A*NZ020</v>
      </c>
      <c r="X275" s="20" t="str">
        <f>IFERROR(IF([1]对账明细接口!$S275=0,"",[1]对账明细接口!$S275),"")</f>
        <v>公司筐</v>
      </c>
      <c r="Y275" s="20">
        <f>IFERROR(IF([1]对账明细接口!$T275=0,"",[1]对账明细接口!$T275),"")</f>
      </c>
      <c r="Z275" s="213">
        <f>IFERROR(IF([1]对账明细接口!$U275=0,"",[1]对账明细接口!$U275),"")</f>
      </c>
      <c r="AA275" s="213">
        <f>IFERROR(IF([1]对账明细接口!$V275=0,"",[1]对账明细接口!$V275),"")</f>
      </c>
      <c r="AB275" s="20">
        <f>IFERROR(IF([1]对账明细接口!$W275=0,"",[1]对账明细接口!$W275),"")</f>
      </c>
      <c r="AC275" s="7">
        <f>IFERROR(IF([1]对账明细接口!$X275=0,"",[1]对账明细接口!$X275),"")</f>
      </c>
      <c r="AD275" s="7">
        <f>IFERROR(IF([1]对账明细接口!$Y275=0,"",[1]对账明细接口!$Y275),"")</f>
      </c>
      <c r="AE275" s="7">
        <f>IFERROR(IF([1]对账明细接口!$AA275=0,"",[1]对账明细接口!$AA275),"")</f>
      </c>
      <c r="AF275" s="7">
        <f>IFERROR(IF([1]对账明细接口!$AB275=0,"",[1]对账明细接口!$AB275),"")</f>
      </c>
      <c r="AG275" s="7">
        <f>IFERROR(IF([1]对账明细接口!$AC275=0,"",[1]对账明细接口!$AC275),"")</f>
      </c>
      <c r="AH275" s="7">
        <f>IFERROR(IF([1]对账明细接口!$AD275=0,"",[1]对账明细接口!$AD275),"")</f>
      </c>
      <c r="AI275" s="7">
        <f>IFERROR(IF([1]对账明细接口!$AE275=0,"",[1]对账明细接口!$AE275),"")</f>
      </c>
      <c r="AJ275" s="7">
        <f>IFERROR(IF([1]对账明细接口!$AF275=0,"",[1]对账明细接口!$AF275),"")</f>
      </c>
    </row>
    <row r="276" ht="14.25" customHeight="1" s="127">
      <c r="A276" s="14" t="n">
        <v>276</v>
      </c>
      <c r="B276" s="211">
        <f>IFERROR(IF([1]对账明细接口!$B$276=0,"",[1]对账明细接口!$B$276),"")</f>
        <v>46282.0</v>
      </c>
      <c r="C276" s="16" t="str">
        <f>IFERROR(IF([1]对账明细接口!$C$276=0,"",[1]对账明细接口!$C$276),"")</f>
        <v>王照雪</v>
      </c>
      <c r="D276" s="16" t="str">
        <f>IFERROR(IF([1]对账明细接口!$D$276=0,"",[1]对账明细接口!$D$276),"")</f>
        <v>原料入库</v>
      </c>
      <c r="E276" s="16" t="str">
        <f>IFERROR(IF([1]对账明细接口!$E$276=0,"",[1]对账明细接口!$E$276),"")</f>
        <v>NO:0000888</v>
      </c>
      <c r="F276" s="16" t="str">
        <f>IFERROR(IF([1]对账明细接口!$F$276=0,"",[1]对账明细接口!$F$276),"")</f>
        <v>苹果</v>
      </c>
      <c r="G276" s="16" t="str">
        <f>IFERROR(IF([1]对账明细接口!$G$276=0,"",[1]对账明细接口!$G$276),"")</f>
        <v>新世纪一级</v>
      </c>
      <c r="H276" s="176">
        <f>IFERROR(IF([1]对账明细接口!$H$276=0,"",[1]对账明细接口!$H$276),"")</f>
        <v>125</v>
      </c>
      <c r="I276" s="16" t="str">
        <f>IFERROR(IF([1]对账明细接口!$I$276=0,"",[1]对账明细接口!$I$276),"")</f>
        <v>筐</v>
      </c>
      <c r="J276" s="177">
        <f>IFERROR(IF([1]对账明细接口!$J$276=0,"",[1]对账明细接口!$J$276),"")</f>
        <v>2162.5</v>
      </c>
      <c r="K276" s="177">
        <f>IFERROR(IF([1]对账明细接口!$K$276=0,"",[1]对账明细接口!$K$276),"")</f>
      </c>
      <c r="L276" s="16">
        <f>IFERROR(IF([1]对账明细接口!$L$276=0,"",[1]对账明细接口!$L$276),"")</f>
      </c>
      <c r="M276" s="16">
        <f>IFERROR(IF([1]对账明细接口!$M$276=0,"",[1]对账明细接口!$M$276),"")</f>
      </c>
      <c r="N276" s="19">
        <f>IF($C276="",0,1)</f>
        <v>1</v>
      </c>
      <c r="O276" s="19">
        <f>N(O275)+$N276</f>
        <v>273</v>
      </c>
      <c r="S276" s="20" t="str">
        <f>IFERROR(IF([1]对账明细接口!$N276=0,"",[1]对账明细接口!$N276),"")</f>
        <v>公司杂周转筐</v>
      </c>
      <c r="T276" s="212">
        <f>IFERROR(IF([1]对账明细接口!$O276=0,"",[1]对账明细接口!$O276),"")</f>
      </c>
      <c r="U276" s="212">
        <f>IFERROR(IF([1]对账明细接口!$P276=0,"",[1]对账明细接口!$P276),"")</f>
      </c>
      <c r="V276" s="212">
        <f>IFERROR(IF([1]对账明细接口!$Q276=0,"",[1]对账明细接口!$Q276),"")</f>
        <v>125</v>
      </c>
      <c r="W276" s="20" t="str">
        <f>IFERROR(IF([1]对账明细接口!$R276=0,"",[1]对账明细接口!$R276),"")</f>
        <v>豫L*88X19</v>
      </c>
      <c r="X276" s="20" t="str">
        <f>IFERROR(IF([1]对账明细接口!$S276=0,"",[1]对账明细接口!$S276),"")</f>
        <v>公司筐</v>
      </c>
      <c r="Y276" s="20">
        <f>IFERROR(IF([1]对账明细接口!$T276=0,"",[1]对账明细接口!$T276),"")</f>
      </c>
      <c r="Z276" s="213">
        <f>IFERROR(IF([1]对账明细接口!$U276=0,"",[1]对账明细接口!$U276),"")</f>
      </c>
      <c r="AA276" s="213">
        <f>IFERROR(IF([1]对账明细接口!$V276=0,"",[1]对账明细接口!$V276),"")</f>
      </c>
      <c r="AB276" s="20">
        <f>IFERROR(IF([1]对账明细接口!$W276=0,"",[1]对账明细接口!$W276),"")</f>
      </c>
      <c r="AC276" s="7">
        <f>IFERROR(IF([1]对账明细接口!$X276=0,"",[1]对账明细接口!$X276),"")</f>
      </c>
      <c r="AD276" s="7">
        <f>IFERROR(IF([1]对账明细接口!$Y276=0,"",[1]对账明细接口!$Y276),"")</f>
      </c>
      <c r="AE276" s="7">
        <f>IFERROR(IF([1]对账明细接口!$AA276=0,"",[1]对账明细接口!$AA276),"")</f>
      </c>
      <c r="AF276" s="7">
        <f>IFERROR(IF([1]对账明细接口!$AB276=0,"",[1]对账明细接口!$AB276),"")</f>
      </c>
      <c r="AG276" s="7">
        <f>IFERROR(IF([1]对账明细接口!$AC276=0,"",[1]对账明细接口!$AC276),"")</f>
      </c>
      <c r="AH276" s="7">
        <f>IFERROR(IF([1]对账明细接口!$AD276=0,"",[1]对账明细接口!$AD276),"")</f>
      </c>
      <c r="AI276" s="7">
        <f>IFERROR(IF([1]对账明细接口!$AE276=0,"",[1]对账明细接口!$AE276),"")</f>
      </c>
      <c r="AJ276" s="7">
        <f>IFERROR(IF([1]对账明细接口!$AF276=0,"",[1]对账明细接口!$AF276),"")</f>
      </c>
    </row>
    <row r="277" ht="14.25" customHeight="1" s="127">
      <c r="A277" s="14" t="n">
        <v>277</v>
      </c>
      <c r="B277" s="211">
        <f>IFERROR(IF([1]对账明细接口!$B$277=0,"",[1]对账明细接口!$B$277),"")</f>
        <v>46282.0</v>
      </c>
      <c r="C277" s="16" t="str">
        <f>IFERROR(IF([1]对账明细接口!$C$277=0,"",[1]对账明细接口!$C$277),"")</f>
        <v>王照雪</v>
      </c>
      <c r="D277" s="16" t="str">
        <f>IFERROR(IF([1]对账明细接口!$D$277=0,"",[1]对账明细接口!$D$277),"")</f>
        <v>原料入库</v>
      </c>
      <c r="E277" s="16" t="str">
        <f>IFERROR(IF([1]对账明细接口!$E$277=0,"",[1]对账明细接口!$E$277),"")</f>
        <v>NO:0000888</v>
      </c>
      <c r="F277" s="16" t="str">
        <f>IFERROR(IF([1]对账明细接口!$F$277=0,"",[1]对账明细接口!$F$277),"")</f>
        <v>苹果</v>
      </c>
      <c r="G277" s="16" t="str">
        <f>IFERROR(IF([1]对账明细接口!$G$277=0,"",[1]对账明细接口!$G$277),"")</f>
        <v>新世纪二级</v>
      </c>
      <c r="H277" s="176">
        <f>IFERROR(IF([1]对账明细接口!$H$277=0,"",[1]对账明细接口!$H$277),"")</f>
        <v>28</v>
      </c>
      <c r="I277" s="16" t="str">
        <f>IFERROR(IF([1]对账明细接口!$I$277=0,"",[1]对账明细接口!$I$277),"")</f>
        <v>筐</v>
      </c>
      <c r="J277" s="177">
        <f>IFERROR(IF([1]对账明细接口!$J$277=0,"",[1]对账明细接口!$J$277),"")</f>
        <v>568.4</v>
      </c>
      <c r="K277" s="177">
        <f>IFERROR(IF([1]对账明细接口!$K$277=0,"",[1]对账明细接口!$K$277),"")</f>
      </c>
      <c r="L277" s="16">
        <f>IFERROR(IF([1]对账明细接口!$L$277=0,"",[1]对账明细接口!$L$277),"")</f>
      </c>
      <c r="M277" s="16">
        <f>IFERROR(IF([1]对账明细接口!$M$277=0,"",[1]对账明细接口!$M$277),"")</f>
      </c>
      <c r="N277" s="19">
        <f>IF($C277="",0,1)</f>
        <v>1</v>
      </c>
      <c r="O277" s="19">
        <f>N(O276)+$N277</f>
        <v>274</v>
      </c>
      <c r="S277" s="20" t="str">
        <f>IFERROR(IF([1]对账明细接口!$N277=0,"",[1]对账明细接口!$N277),"")</f>
        <v>公司杂周转筐</v>
      </c>
      <c r="T277" s="212">
        <f>IFERROR(IF([1]对账明细接口!$O277=0,"",[1]对账明细接口!$O277),"")</f>
      </c>
      <c r="U277" s="212">
        <f>IFERROR(IF([1]对账明细接口!$P277=0,"",[1]对账明细接口!$P277),"")</f>
      </c>
      <c r="V277" s="212">
        <f>IFERROR(IF([1]对账明细接口!$Q277=0,"",[1]对账明细接口!$Q277),"")</f>
        <v>28</v>
      </c>
      <c r="W277" s="20" t="str">
        <f>IFERROR(IF([1]对账明细接口!$R277=0,"",[1]对账明细接口!$R277),"")</f>
        <v>豫L*88X19</v>
      </c>
      <c r="X277" s="20" t="str">
        <f>IFERROR(IF([1]对账明细接口!$S277=0,"",[1]对账明细接口!$S277),"")</f>
        <v>公司筐</v>
      </c>
      <c r="Y277" s="20">
        <f>IFERROR(IF([1]对账明细接口!$T277=0,"",[1]对账明细接口!$T277),"")</f>
      </c>
      <c r="Z277" s="213">
        <f>IFERROR(IF([1]对账明细接口!$U277=0,"",[1]对账明细接口!$U277),"")</f>
      </c>
      <c r="AA277" s="213">
        <f>IFERROR(IF([1]对账明细接口!$V277=0,"",[1]对账明细接口!$V277),"")</f>
      </c>
      <c r="AB277" s="20">
        <f>IFERROR(IF([1]对账明细接口!$W277=0,"",[1]对账明细接口!$W277),"")</f>
      </c>
      <c r="AC277" s="7">
        <f>IFERROR(IF([1]对账明细接口!$X277=0,"",[1]对账明细接口!$X277),"")</f>
      </c>
      <c r="AD277" s="7">
        <f>IFERROR(IF([1]对账明细接口!$Y277=0,"",[1]对账明细接口!$Y277),"")</f>
      </c>
      <c r="AE277" s="7">
        <f>IFERROR(IF([1]对账明细接口!$AA277=0,"",[1]对账明细接口!$AA277),"")</f>
      </c>
      <c r="AF277" s="7">
        <f>IFERROR(IF([1]对账明细接口!$AB277=0,"",[1]对账明细接口!$AB277),"")</f>
      </c>
      <c r="AG277" s="7">
        <f>IFERROR(IF([1]对账明细接口!$AC277=0,"",[1]对账明细接口!$AC277),"")</f>
      </c>
      <c r="AH277" s="7">
        <f>IFERROR(IF([1]对账明细接口!$AD277=0,"",[1]对账明细接口!$AD277),"")</f>
      </c>
      <c r="AI277" s="7">
        <f>IFERROR(IF([1]对账明细接口!$AE277=0,"",[1]对账明细接口!$AE277),"")</f>
      </c>
      <c r="AJ277" s="7">
        <f>IFERROR(IF([1]对账明细接口!$AF277=0,"",[1]对账明细接口!$AF277),"")</f>
      </c>
    </row>
    <row r="278" ht="14.25" customHeight="1" s="127">
      <c r="A278" s="14" t="n">
        <v>278</v>
      </c>
      <c r="B278" s="211">
        <f>IFERROR(IF([1]对账明细接口!$B$278=0,"",[1]对账明细接口!$B$278),"")</f>
        <v>46282.0</v>
      </c>
      <c r="C278" s="16" t="str">
        <f>IFERROR(IF([1]对账明细接口!$C$278=0,"",[1]对账明细接口!$C$278),"")</f>
        <v>王照雪</v>
      </c>
      <c r="D278" s="16" t="str">
        <f>IFERROR(IF([1]对账明细接口!$D$278=0,"",[1]对账明细接口!$D$278),"")</f>
        <v>原料入库</v>
      </c>
      <c r="E278" s="16" t="str">
        <f>IFERROR(IF([1]对账明细接口!$E$278=0,"",[1]对账明细接口!$E$278),"")</f>
        <v>NO:0000888</v>
      </c>
      <c r="F278" s="16" t="str">
        <f>IFERROR(IF([1]对账明细接口!$F$278=0,"",[1]对账明细接口!$F$278),"")</f>
        <v>苹果</v>
      </c>
      <c r="G278" s="16" t="str">
        <f>IFERROR(IF([1]对账明细接口!$G$278=0,"",[1]对账明细接口!$G$278),"")</f>
        <v>玫瑰红一级</v>
      </c>
      <c r="H278" s="176">
        <f>IFERROR(IF([1]对账明细接口!$H$278=0,"",[1]对账明细接口!$H$278),"")</f>
        <v>24</v>
      </c>
      <c r="I278" s="16" t="str">
        <f>IFERROR(IF([1]对账明细接口!$I$278=0,"",[1]对账明细接口!$I$278),"")</f>
        <v>筐</v>
      </c>
      <c r="J278" s="177">
        <f>IFERROR(IF([1]对账明细接口!$J$278=0,"",[1]对账明细接口!$J$278),"")</f>
        <v>415.2</v>
      </c>
      <c r="K278" s="177">
        <f>IFERROR(IF([1]对账明细接口!$K$278=0,"",[1]对账明细接口!$K$278),"")</f>
      </c>
      <c r="L278" s="16">
        <f>IFERROR(IF([1]对账明细接口!$L$278=0,"",[1]对账明细接口!$L$278),"")</f>
      </c>
      <c r="M278" s="16">
        <f>IFERROR(IF([1]对账明细接口!$M$278=0,"",[1]对账明细接口!$M$278),"")</f>
      </c>
      <c r="N278" s="19">
        <f>IF($C278="",0,1)</f>
        <v>1</v>
      </c>
      <c r="O278" s="19">
        <f>N(O277)+$N278</f>
        <v>275</v>
      </c>
      <c r="S278" s="20" t="str">
        <f>IFERROR(IF([1]对账明细接口!$N278=0,"",[1]对账明细接口!$N278),"")</f>
        <v>公司杂周转筐</v>
      </c>
      <c r="T278" s="212">
        <f>IFERROR(IF([1]对账明细接口!$O278=0,"",[1]对账明细接口!$O278),"")</f>
      </c>
      <c r="U278" s="212">
        <f>IFERROR(IF([1]对账明细接口!$P278=0,"",[1]对账明细接口!$P278),"")</f>
      </c>
      <c r="V278" s="212">
        <f>IFERROR(IF([1]对账明细接口!$Q278=0,"",[1]对账明细接口!$Q278),"")</f>
        <v>24</v>
      </c>
      <c r="W278" s="20" t="str">
        <f>IFERROR(IF([1]对账明细接口!$R278=0,"",[1]对账明细接口!$R278),"")</f>
        <v>豫L*88X19</v>
      </c>
      <c r="X278" s="20" t="str">
        <f>IFERROR(IF([1]对账明细接口!$S278=0,"",[1]对账明细接口!$S278),"")</f>
        <v>公司筐</v>
      </c>
      <c r="Y278" s="20">
        <f>IFERROR(IF([1]对账明细接口!$T278=0,"",[1]对账明细接口!$T278),"")</f>
      </c>
      <c r="Z278" s="213">
        <f>IFERROR(IF([1]对账明细接口!$U278=0,"",[1]对账明细接口!$U278),"")</f>
      </c>
      <c r="AA278" s="213">
        <f>IFERROR(IF([1]对账明细接口!$V278=0,"",[1]对账明细接口!$V278),"")</f>
      </c>
      <c r="AB278" s="20">
        <f>IFERROR(IF([1]对账明细接口!$W278=0,"",[1]对账明细接口!$W278),"")</f>
      </c>
      <c r="AC278" s="7">
        <f>IFERROR(IF([1]对账明细接口!$X278=0,"",[1]对账明细接口!$X278),"")</f>
      </c>
      <c r="AD278" s="7">
        <f>IFERROR(IF([1]对账明细接口!$Y278=0,"",[1]对账明细接口!$Y278),"")</f>
      </c>
      <c r="AE278" s="7">
        <f>IFERROR(IF([1]对账明细接口!$AA278=0,"",[1]对账明细接口!$AA278),"")</f>
      </c>
      <c r="AF278" s="7">
        <f>IFERROR(IF([1]对账明细接口!$AB278=0,"",[1]对账明细接口!$AB278),"")</f>
      </c>
      <c r="AG278" s="7">
        <f>IFERROR(IF([1]对账明细接口!$AC278=0,"",[1]对账明细接口!$AC278),"")</f>
      </c>
      <c r="AH278" s="7">
        <f>IFERROR(IF([1]对账明细接口!$AD278=0,"",[1]对账明细接口!$AD278),"")</f>
      </c>
      <c r="AI278" s="7">
        <f>IFERROR(IF([1]对账明细接口!$AE278=0,"",[1]对账明细接口!$AE278),"")</f>
      </c>
      <c r="AJ278" s="7">
        <f>IFERROR(IF([1]对账明细接口!$AF278=0,"",[1]对账明细接口!$AF278),"")</f>
      </c>
    </row>
    <row r="279" ht="14.25" customHeight="1" s="127">
      <c r="A279" s="14" t="n">
        <v>279</v>
      </c>
      <c r="B279" s="211">
        <f>IFERROR(IF([1]对账明细接口!$B$279=0,"",[1]对账明细接口!$B$279),"")</f>
        <v>46282.0</v>
      </c>
      <c r="C279" s="16" t="str">
        <f>IFERROR(IF([1]对账明细接口!$C$279=0,"",[1]对账明细接口!$C$279),"")</f>
        <v>阿布都</v>
      </c>
      <c r="D279" s="16" t="str">
        <f>IFERROR(IF([1]对账明细接口!$D$279=0,"",[1]对账明细接口!$D$279),"")</f>
        <v>原料入库</v>
      </c>
      <c r="E279" s="16" t="str">
        <f>IFERROR(IF([1]对账明细接口!$E$279=0,"",[1]对账明细接口!$E$279),"")</f>
        <v>NO:0000891</v>
      </c>
      <c r="F279" s="16" t="str">
        <f>IFERROR(IF([1]对账明细接口!$F$279=0,"",[1]对账明细接口!$F$279),"")</f>
        <v>香梨</v>
      </c>
      <c r="G279" s="16" t="str">
        <f>IFERROR(IF([1]对账明细接口!$G$279=0,"",[1]对账明细接口!$G$279),"")</f>
        <v>香梨特级</v>
      </c>
      <c r="H279" s="176">
        <f>IFERROR(IF([1]对账明细接口!$H$279=0,"",[1]对账明细接口!$H$279),"")</f>
        <v>118</v>
      </c>
      <c r="I279" s="16" t="str">
        <f>IFERROR(IF([1]对账明细接口!$I$279=0,"",[1]对账明细接口!$I$279),"")</f>
        <v>筐</v>
      </c>
      <c r="J279" s="177">
        <f>IFERROR(IF([1]对账明细接口!$J$279=0,"",[1]对账明细接口!$J$279),"")</f>
        <v>2159.4</v>
      </c>
      <c r="K279" s="177">
        <f>IFERROR(IF([1]对账明细接口!$K$279=0,"",[1]对账明细接口!$K$279),"")</f>
      </c>
      <c r="L279" s="16">
        <f>IFERROR(IF([1]对账明细接口!$L$279=0,"",[1]对账明细接口!$L$279),"")</f>
      </c>
      <c r="M279" s="16" t="str">
        <f>IFERROR(IF([1]对账明细接口!$M$279=0,"",[1]对账明细接口!$M$279),"")</f>
        <v>努尔敦</v>
      </c>
      <c r="N279" s="19">
        <f>IF($C279="",0,1)</f>
        <v>1</v>
      </c>
      <c r="O279" s="19">
        <f>N(O278)+$N279</f>
        <v>276</v>
      </c>
      <c r="S279" s="20" t="str">
        <f>IFERROR(IF([1]对账明细接口!$N279=0,"",[1]对账明细接口!$N279),"")</f>
        <v>公司红周转筐</v>
      </c>
      <c r="T279" s="212">
        <f>IFERROR(IF([1]对账明细接口!$O279=0,"",[1]对账明细接口!$O279),"")</f>
      </c>
      <c r="U279" s="212">
        <f>IFERROR(IF([1]对账明细接口!$P279=0,"",[1]对账明细接口!$P279),"")</f>
      </c>
      <c r="V279" s="212">
        <f>IFERROR(IF([1]对账明细接口!$Q279=0,"",[1]对账明细接口!$Q279),"")</f>
        <v>118</v>
      </c>
      <c r="W279" s="20" t="str">
        <f>IFERROR(IF([1]对账明细接口!$R279=0,"",[1]对账明细接口!$R279),"")</f>
        <v>新N*F0M01</v>
      </c>
      <c r="X279" s="20" t="str">
        <f>IFERROR(IF([1]对账明细接口!$S279=0,"",[1]对账明细接口!$S279),"")</f>
        <v>公司筐</v>
      </c>
      <c r="Y279" s="20">
        <f>IFERROR(IF([1]对账明细接口!$T279=0,"",[1]对账明细接口!$T279),"")</f>
      </c>
      <c r="Z279" s="213">
        <f>IFERROR(IF([1]对账明细接口!$U279=0,"",[1]对账明细接口!$U279),"")</f>
      </c>
      <c r="AA279" s="213">
        <f>IFERROR(IF([1]对账明细接口!$V279=0,"",[1]对账明细接口!$V279),"")</f>
      </c>
      <c r="AB279" s="20">
        <f>IFERROR(IF([1]对账明细接口!$W279=0,"",[1]对账明细接口!$W279),"")</f>
      </c>
      <c r="AC279" s="7">
        <f>IFERROR(IF([1]对账明细接口!$X279=0,"",[1]对账明细接口!$X279),"")</f>
      </c>
      <c r="AD279" s="7">
        <f>IFERROR(IF([1]对账明细接口!$Y279=0,"",[1]对账明细接口!$Y279),"")</f>
      </c>
      <c r="AE279" s="7">
        <f>IFERROR(IF([1]对账明细接口!$AA279=0,"",[1]对账明细接口!$AA279),"")</f>
      </c>
      <c r="AF279" s="7">
        <f>IFERROR(IF([1]对账明细接口!$AB279=0,"",[1]对账明细接口!$AB279),"")</f>
      </c>
      <c r="AG279" s="7">
        <f>IFERROR(IF([1]对账明细接口!$AC279=0,"",[1]对账明细接口!$AC279),"")</f>
      </c>
      <c r="AH279" s="7">
        <f>IFERROR(IF([1]对账明细接口!$AD279=0,"",[1]对账明细接口!$AD279),"")</f>
      </c>
      <c r="AI279" s="7">
        <f>IFERROR(IF([1]对账明细接口!$AE279=0,"",[1]对账明细接口!$AE279),"")</f>
      </c>
      <c r="AJ279" s="7">
        <f>IFERROR(IF([1]对账明细接口!$AF279=0,"",[1]对账明细接口!$AF279),"")</f>
      </c>
    </row>
    <row r="280" ht="14.25" customHeight="1" s="127">
      <c r="A280" s="14" t="n">
        <v>280</v>
      </c>
      <c r="B280" s="211">
        <f>IFERROR(IF([1]对账明细接口!$B$280=0,"",[1]对账明细接口!$B$280),"")</f>
        <v>46282.0</v>
      </c>
      <c r="C280" s="16" t="str">
        <f>IFERROR(IF([1]对账明细接口!$C$280=0,"",[1]对账明细接口!$C$280),"")</f>
        <v>阿布都</v>
      </c>
      <c r="D280" s="16" t="str">
        <f>IFERROR(IF([1]对账明细接口!$D$280=0,"",[1]对账明细接口!$D$280),"")</f>
        <v>原料入库</v>
      </c>
      <c r="E280" s="16" t="str">
        <f>IFERROR(IF([1]对账明细接口!$E$280=0,"",[1]对账明细接口!$E$280),"")</f>
        <v>NO:0000891</v>
      </c>
      <c r="F280" s="16" t="str">
        <f>IFERROR(IF([1]对账明细接口!$F$280=0,"",[1]对账明细接口!$F$280),"")</f>
        <v>香梨</v>
      </c>
      <c r="G280" s="16" t="str">
        <f>IFERROR(IF([1]对账明细接口!$G$280=0,"",[1]对账明细接口!$G$280),"")</f>
        <v>香梨一级</v>
      </c>
      <c r="H280" s="176">
        <f>IFERROR(IF([1]对账明细接口!$H$280=0,"",[1]对账明细接口!$H$280),"")</f>
        <v>43</v>
      </c>
      <c r="I280" s="16" t="str">
        <f>IFERROR(IF([1]对账明细接口!$I$280=0,"",[1]对账明细接口!$I$280),"")</f>
        <v>筐</v>
      </c>
      <c r="J280" s="177">
        <f>IFERROR(IF([1]对账明细接口!$J$280=0,"",[1]对账明细接口!$J$280),"")</f>
        <v>786.9</v>
      </c>
      <c r="K280" s="177">
        <f>IFERROR(IF([1]对账明细接口!$K$280=0,"",[1]对账明细接口!$K$280),"")</f>
      </c>
      <c r="L280" s="16">
        <f>IFERROR(IF([1]对账明细接口!$L$280=0,"",[1]对账明细接口!$L$280),"")</f>
      </c>
      <c r="M280" s="16" t="str">
        <f>IFERROR(IF([1]对账明细接口!$M$280=0,"",[1]对账明细接口!$M$280),"")</f>
        <v>努尔敦</v>
      </c>
      <c r="N280" s="19">
        <f>IF($C280="",0,1)</f>
        <v>1</v>
      </c>
      <c r="O280" s="19">
        <f>N(O279)+$N280</f>
        <v>277</v>
      </c>
      <c r="S280" s="20" t="str">
        <f>IFERROR(IF([1]对账明细接口!$N280=0,"",[1]对账明细接口!$N280),"")</f>
        <v>公司红周转筐</v>
      </c>
      <c r="T280" s="212">
        <f>IFERROR(IF([1]对账明细接口!$O280=0,"",[1]对账明细接口!$O280),"")</f>
      </c>
      <c r="U280" s="212">
        <f>IFERROR(IF([1]对账明细接口!$P280=0,"",[1]对账明细接口!$P280),"")</f>
      </c>
      <c r="V280" s="212">
        <f>IFERROR(IF([1]对账明细接口!$Q280=0,"",[1]对账明细接口!$Q280),"")</f>
        <v>43</v>
      </c>
      <c r="W280" s="20" t="str">
        <f>IFERROR(IF([1]对账明细接口!$R280=0,"",[1]对账明细接口!$R280),"")</f>
        <v>新N*F0M01</v>
      </c>
      <c r="X280" s="20" t="str">
        <f>IFERROR(IF([1]对账明细接口!$S280=0,"",[1]对账明细接口!$S280),"")</f>
        <v>公司筐</v>
      </c>
      <c r="Y280" s="20">
        <f>IFERROR(IF([1]对账明细接口!$T280=0,"",[1]对账明细接口!$T280),"")</f>
      </c>
      <c r="Z280" s="213">
        <f>IFERROR(IF([1]对账明细接口!$U280=0,"",[1]对账明细接口!$U280),"")</f>
      </c>
      <c r="AA280" s="213">
        <f>IFERROR(IF([1]对账明细接口!$V280=0,"",[1]对账明细接口!$V280),"")</f>
      </c>
      <c r="AB280" s="20">
        <f>IFERROR(IF([1]对账明细接口!$W280=0,"",[1]对账明细接口!$W280),"")</f>
      </c>
      <c r="AC280" s="7">
        <f>IFERROR(IF([1]对账明细接口!$X280=0,"",[1]对账明细接口!$X280),"")</f>
      </c>
      <c r="AD280" s="7">
        <f>IFERROR(IF([1]对账明细接口!$Y280=0,"",[1]对账明细接口!$Y280),"")</f>
      </c>
      <c r="AE280" s="7">
        <f>IFERROR(IF([1]对账明细接口!$AA280=0,"",[1]对账明细接口!$AA280),"")</f>
      </c>
      <c r="AF280" s="7">
        <f>IFERROR(IF([1]对账明细接口!$AB280=0,"",[1]对账明细接口!$AB280),"")</f>
      </c>
      <c r="AG280" s="7">
        <f>IFERROR(IF([1]对账明细接口!$AC280=0,"",[1]对账明细接口!$AC280),"")</f>
      </c>
      <c r="AH280" s="7">
        <f>IFERROR(IF([1]对账明细接口!$AD280=0,"",[1]对账明细接口!$AD280),"")</f>
      </c>
      <c r="AI280" s="7">
        <f>IFERROR(IF([1]对账明细接口!$AE280=0,"",[1]对账明细接口!$AE280),"")</f>
      </c>
      <c r="AJ280" s="7">
        <f>IFERROR(IF([1]对账明细接口!$AF280=0,"",[1]对账明细接口!$AF280),"")</f>
      </c>
    </row>
    <row r="281" ht="14.25" customHeight="1" s="127">
      <c r="A281" s="14" t="n">
        <v>281</v>
      </c>
      <c r="B281" s="211">
        <f>IFERROR(IF([1]对账明细接口!$B$281=0,"",[1]对账明细接口!$B$281),"")</f>
        <v>46282.0</v>
      </c>
      <c r="C281" s="16" t="str">
        <f>IFERROR(IF([1]对账明细接口!$C$281=0,"",[1]对账明细接口!$C$281),"")</f>
        <v>阿布都</v>
      </c>
      <c r="D281" s="16" t="str">
        <f>IFERROR(IF([1]对账明细接口!$D$281=0,"",[1]对账明细接口!$D$281),"")</f>
        <v>原料入库</v>
      </c>
      <c r="E281" s="16" t="str">
        <f>IFERROR(IF([1]对账明细接口!$E$281=0,"",[1]对账明细接口!$E$281),"")</f>
        <v>NO:0000891</v>
      </c>
      <c r="F281" s="16" t="str">
        <f>IFERROR(IF([1]对账明细接口!$F$281=0,"",[1]对账明细接口!$F$281),"")</f>
        <v>香梨</v>
      </c>
      <c r="G281" s="16" t="str">
        <f>IFERROR(IF([1]对账明细接口!$G$281=0,"",[1]对账明细接口!$G$281),"")</f>
        <v>香梨副特</v>
      </c>
      <c r="H281" s="176">
        <f>IFERROR(IF([1]对账明细接口!$H$281=0,"",[1]对账明细接口!$H$281),"")</f>
        <v>102</v>
      </c>
      <c r="I281" s="16" t="str">
        <f>IFERROR(IF([1]对账明细接口!$I$281=0,"",[1]对账明细接口!$I$281),"")</f>
        <v>筐</v>
      </c>
      <c r="J281" s="177">
        <f>IFERROR(IF([1]对账明细接口!$J$281=0,"",[1]对账明细接口!$J$281),"")</f>
        <v>1866.6</v>
      </c>
      <c r="K281" s="177">
        <f>IFERROR(IF([1]对账明细接口!$K$281=0,"",[1]对账明细接口!$K$281),"")</f>
      </c>
      <c r="L281" s="16">
        <f>IFERROR(IF([1]对账明细接口!$L$281=0,"",[1]对账明细接口!$L$281),"")</f>
      </c>
      <c r="M281" s="16" t="str">
        <f>IFERROR(IF([1]对账明细接口!$M$281=0,"",[1]对账明细接口!$M$281),"")</f>
        <v>努尔敦</v>
      </c>
      <c r="N281" s="19">
        <f>IF($C281="",0,1)</f>
        <v>1</v>
      </c>
      <c r="O281" s="19">
        <f>N(O280)+$N281</f>
        <v>278</v>
      </c>
      <c r="S281" s="20" t="str">
        <f>IFERROR(IF([1]对账明细接口!$N281=0,"",[1]对账明细接口!$N281),"")</f>
        <v>公司红周转筐</v>
      </c>
      <c r="T281" s="212">
        <f>IFERROR(IF([1]对账明细接口!$O281=0,"",[1]对账明细接口!$O281),"")</f>
      </c>
      <c r="U281" s="212">
        <f>IFERROR(IF([1]对账明细接口!$P281=0,"",[1]对账明细接口!$P281),"")</f>
      </c>
      <c r="V281" s="212">
        <f>IFERROR(IF([1]对账明细接口!$Q281=0,"",[1]对账明细接口!$Q281),"")</f>
        <v>102</v>
      </c>
      <c r="W281" s="20" t="str">
        <f>IFERROR(IF([1]对账明细接口!$R281=0,"",[1]对账明细接口!$R281),"")</f>
        <v>新N*F0M01</v>
      </c>
      <c r="X281" s="20" t="str">
        <f>IFERROR(IF([1]对账明细接口!$S281=0,"",[1]对账明细接口!$S281),"")</f>
        <v>公司筐</v>
      </c>
      <c r="Y281" s="20">
        <f>IFERROR(IF([1]对账明细接口!$T281=0,"",[1]对账明细接口!$T281),"")</f>
      </c>
      <c r="Z281" s="213">
        <f>IFERROR(IF([1]对账明细接口!$U281=0,"",[1]对账明细接口!$U281),"")</f>
      </c>
      <c r="AA281" s="213">
        <f>IFERROR(IF([1]对账明细接口!$V281=0,"",[1]对账明细接口!$V281),"")</f>
      </c>
      <c r="AB281" s="20">
        <f>IFERROR(IF([1]对账明细接口!$W281=0,"",[1]对账明细接口!$W281),"")</f>
      </c>
      <c r="AC281" s="7">
        <f>IFERROR(IF([1]对账明细接口!$X281=0,"",[1]对账明细接口!$X281),"")</f>
      </c>
      <c r="AD281" s="7">
        <f>IFERROR(IF([1]对账明细接口!$Y281=0,"",[1]对账明细接口!$Y281),"")</f>
      </c>
      <c r="AE281" s="7">
        <f>IFERROR(IF([1]对账明细接口!$AA281=0,"",[1]对账明细接口!$AA281),"")</f>
      </c>
      <c r="AF281" s="7">
        <f>IFERROR(IF([1]对账明细接口!$AB281=0,"",[1]对账明细接口!$AB281),"")</f>
      </c>
      <c r="AG281" s="7">
        <f>IFERROR(IF([1]对账明细接口!$AC281=0,"",[1]对账明细接口!$AC281),"")</f>
      </c>
      <c r="AH281" s="7">
        <f>IFERROR(IF([1]对账明细接口!$AD281=0,"",[1]对账明细接口!$AD281),"")</f>
      </c>
      <c r="AI281" s="7">
        <f>IFERROR(IF([1]对账明细接口!$AE281=0,"",[1]对账明细接口!$AE281),"")</f>
      </c>
      <c r="AJ281" s="7">
        <f>IFERROR(IF([1]对账明细接口!$AF281=0,"",[1]对账明细接口!$AF281),"")</f>
      </c>
    </row>
    <row r="282" ht="14.25" customHeight="1" s="127">
      <c r="A282" s="14" t="n">
        <v>282</v>
      </c>
      <c r="B282" s="211">
        <f>IFERROR(IF([1]对账明细接口!$B$282=0,"",[1]对账明细接口!$B$282),"")</f>
        <v>46282.0</v>
      </c>
      <c r="C282" s="16" t="str">
        <f>IFERROR(IF([1]对账明细接口!$C$282=0,"",[1]对账明细接口!$C$282),"")</f>
        <v>阿布都</v>
      </c>
      <c r="D282" s="16" t="str">
        <f>IFERROR(IF([1]对账明细接口!$D$282=0,"",[1]对账明细接口!$D$282),"")</f>
        <v>原料入库</v>
      </c>
      <c r="E282" s="16" t="str">
        <f>IFERROR(IF([1]对账明细接口!$E$282=0,"",[1]对账明细接口!$E$282),"")</f>
        <v>NO:0000891</v>
      </c>
      <c r="F282" s="16" t="str">
        <f>IFERROR(IF([1]对账明细接口!$F$282=0,"",[1]对账明细接口!$F$282),"")</f>
        <v>香梨</v>
      </c>
      <c r="G282" s="16" t="str">
        <f>IFERROR(IF([1]对账明细接口!$G$282=0,"",[1]对账明细接口!$G$282),"")</f>
        <v>香梨副特</v>
      </c>
      <c r="H282" s="176">
        <f>IFERROR(IF([1]对账明细接口!$H$282=0,"",[1]对账明细接口!$H$282),"")</f>
        <v>52</v>
      </c>
      <c r="I282" s="16" t="str">
        <f>IFERROR(IF([1]对账明细接口!$I$282=0,"",[1]对账明细接口!$I$282),"")</f>
        <v>筐</v>
      </c>
      <c r="J282" s="177">
        <f>IFERROR(IF([1]对账明细接口!$J$282=0,"",[1]对账明细接口!$J$282),"")</f>
        <v>1159.6</v>
      </c>
      <c r="K282" s="177">
        <f>IFERROR(IF([1]对账明细接口!$K$282=0,"",[1]对账明细接口!$K$282),"")</f>
      </c>
      <c r="L282" s="16">
        <f>IFERROR(IF([1]对账明细接口!$L$282=0,"",[1]对账明细接口!$L$282),"")</f>
      </c>
      <c r="M282" s="16" t="str">
        <f>IFERROR(IF([1]对账明细接口!$M$282=0,"",[1]对账明细接口!$M$282),"")</f>
        <v>努尔敦</v>
      </c>
      <c r="N282" s="19">
        <f>IF($C282="",0,1)</f>
        <v>1</v>
      </c>
      <c r="O282" s="19">
        <f>N(O281)+$N282</f>
        <v>279</v>
      </c>
      <c r="S282" s="20" t="str">
        <f>IFERROR(IF([1]对账明细接口!$N282=0,"",[1]对账明细接口!$N282),"")</f>
        <v>公司红周转筐</v>
      </c>
      <c r="T282" s="212">
        <f>IFERROR(IF([1]对账明细接口!$O282=0,"",[1]对账明细接口!$O282),"")</f>
      </c>
      <c r="U282" s="212">
        <f>IFERROR(IF([1]对账明细接口!$P282=0,"",[1]对账明细接口!$P282),"")</f>
      </c>
      <c r="V282" s="212">
        <f>IFERROR(IF([1]对账明细接口!$Q282=0,"",[1]对账明细接口!$Q282),"")</f>
        <v>52</v>
      </c>
      <c r="W282" s="20" t="str">
        <f>IFERROR(IF([1]对账明细接口!$R282=0,"",[1]对账明细接口!$R282),"")</f>
        <v>新N*F0M01</v>
      </c>
      <c r="X282" s="20" t="str">
        <f>IFERROR(IF([1]对账明细接口!$S282=0,"",[1]对账明细接口!$S282),"")</f>
        <v>公司筐</v>
      </c>
      <c r="Y282" s="20">
        <f>IFERROR(IF([1]对账明细接口!$T282=0,"",[1]对账明细接口!$T282),"")</f>
      </c>
      <c r="Z282" s="213">
        <f>IFERROR(IF([1]对账明细接口!$U282=0,"",[1]对账明细接口!$U282),"")</f>
      </c>
      <c r="AA282" s="213">
        <f>IFERROR(IF([1]对账明细接口!$V282=0,"",[1]对账明细接口!$V282),"")</f>
      </c>
      <c r="AB282" s="20">
        <f>IFERROR(IF([1]对账明细接口!$W282=0,"",[1]对账明细接口!$W282),"")</f>
      </c>
      <c r="AC282" s="7">
        <f>IFERROR(IF([1]对账明细接口!$X282=0,"",[1]对账明细接口!$X282),"")</f>
      </c>
      <c r="AD282" s="7">
        <f>IFERROR(IF([1]对账明细接口!$Y282=0,"",[1]对账明细接口!$Y282),"")</f>
      </c>
      <c r="AE282" s="7">
        <f>IFERROR(IF([1]对账明细接口!$AA282=0,"",[1]对账明细接口!$AA282),"")</f>
      </c>
      <c r="AF282" s="7">
        <f>IFERROR(IF([1]对账明细接口!$AB282=0,"",[1]对账明细接口!$AB282),"")</f>
      </c>
      <c r="AG282" s="7">
        <f>IFERROR(IF([1]对账明细接口!$AC282=0,"",[1]对账明细接口!$AC282),"")</f>
      </c>
      <c r="AH282" s="7">
        <f>IFERROR(IF([1]对账明细接口!$AD282=0,"",[1]对账明细接口!$AD282),"")</f>
      </c>
      <c r="AI282" s="7">
        <f>IFERROR(IF([1]对账明细接口!$AE282=0,"",[1]对账明细接口!$AE282),"")</f>
      </c>
      <c r="AJ282" s="7">
        <f>IFERROR(IF([1]对账明细接口!$AF282=0,"",[1]对账明细接口!$AF282),"")</f>
      </c>
    </row>
    <row r="283" ht="14.25" customHeight="1" s="127">
      <c r="A283" s="14" t="n">
        <v>283</v>
      </c>
      <c r="B283" s="211">
        <f>IFERROR(IF([1]对账明细接口!$B$283=0,"",[1]对账明细接口!$B$283),"")</f>
        <v>46282.0</v>
      </c>
      <c r="C283" s="16" t="str">
        <f>IFERROR(IF([1]对账明细接口!$C$283=0,"",[1]对账明细接口!$C$283),"")</f>
        <v>王灵云</v>
      </c>
      <c r="D283" s="16" t="str">
        <f>IFERROR(IF([1]对账明细接口!$D$283=0,"",[1]对账明细接口!$D$283),"")</f>
        <v>原料入库</v>
      </c>
      <c r="E283" s="16" t="str">
        <f>IFERROR(IF([1]对账明细接口!$E$283=0,"",[1]对账明细接口!$E$283),"")</f>
        <v>NO:0000892</v>
      </c>
      <c r="F283" s="16" t="str">
        <f>IFERROR(IF([1]对账明细接口!$F$283=0,"",[1]对账明细接口!$F$283),"")</f>
        <v>香梨</v>
      </c>
      <c r="G283" s="16" t="str">
        <f>IFERROR(IF([1]对账明细接口!$G$283=0,"",[1]对账明细接口!$G$283),"")</f>
        <v>香梨一级</v>
      </c>
      <c r="H283" s="176">
        <f>IFERROR(IF([1]对账明细接口!$H$283=0,"",[1]对账明细接口!$H$283),"")</f>
        <v>528</v>
      </c>
      <c r="I283" s="16" t="str">
        <f>IFERROR(IF([1]对账明细接口!$I$283=0,"",[1]对账明细接口!$I$283),"")</f>
        <v>筐</v>
      </c>
      <c r="J283" s="177">
        <f>IFERROR(IF([1]对账明细接口!$J$283=0,"",[1]对账明细接口!$J$283),"")</f>
        <v>9662.4</v>
      </c>
      <c r="K283" s="177">
        <f>IFERROR(IF([1]对账明细接口!$K$283=0,"",[1]对账明细接口!$K$283),"")</f>
      </c>
      <c r="L283" s="16">
        <f>IFERROR(IF([1]对账明细接口!$L$283=0,"",[1]对账明细接口!$L$283),"")</f>
      </c>
      <c r="M283" s="16" t="str">
        <f>IFERROR(IF([1]对账明细接口!$M$283=0,"",[1]对账明细接口!$M$283),"")</f>
        <v>左</v>
      </c>
      <c r="N283" s="19">
        <f>IF($C283="",0,1)</f>
        <v>1</v>
      </c>
      <c r="O283" s="19">
        <f>N(O282)+$N283</f>
        <v>280</v>
      </c>
      <c r="S283" s="20" t="str">
        <f>IFERROR(IF([1]对账明细接口!$N283=0,"",[1]对账明细接口!$N283),"")</f>
        <v>公司红周转筐</v>
      </c>
      <c r="T283" s="212">
        <f>IFERROR(IF([1]对账明细接口!$O283=0,"",[1]对账明细接口!$O283),"")</f>
      </c>
      <c r="U283" s="212">
        <f>IFERROR(IF([1]对账明细接口!$P283=0,"",[1]对账明细接口!$P283),"")</f>
      </c>
      <c r="V283" s="212">
        <f>IFERROR(IF([1]对账明细接口!$Q283=0,"",[1]对账明细接口!$Q283),"")</f>
        <v>528</v>
      </c>
      <c r="W283" s="20" t="str">
        <f>IFERROR(IF([1]对账明细接口!$R283=0,"",[1]对账明细接口!$R283),"")</f>
        <v>新N*49209</v>
      </c>
      <c r="X283" s="20" t="str">
        <f>IFERROR(IF([1]对账明细接口!$S283=0,"",[1]对账明细接口!$S283),"")</f>
        <v>公司筐</v>
      </c>
      <c r="Y283" s="20">
        <f>IFERROR(IF([1]对账明细接口!$T283=0,"",[1]对账明细接口!$T283),"")</f>
      </c>
      <c r="Z283" s="213">
        <f>IFERROR(IF([1]对账明细接口!$U283=0,"",[1]对账明细接口!$U283),"")</f>
      </c>
      <c r="AA283" s="213">
        <f>IFERROR(IF([1]对账明细接口!$V283=0,"",[1]对账明细接口!$V283),"")</f>
      </c>
      <c r="AB283" s="20">
        <f>IFERROR(IF([1]对账明细接口!$W283=0,"",[1]对账明细接口!$W283),"")</f>
      </c>
      <c r="AC283" s="7">
        <f>IFERROR(IF([1]对账明细接口!$X283=0,"",[1]对账明细接口!$X283),"")</f>
      </c>
      <c r="AD283" s="7">
        <f>IFERROR(IF([1]对账明细接口!$Y283=0,"",[1]对账明细接口!$Y283),"")</f>
      </c>
      <c r="AE283" s="7">
        <f>IFERROR(IF([1]对账明细接口!$AA283=0,"",[1]对账明细接口!$AA283),"")</f>
      </c>
      <c r="AF283" s="7">
        <f>IFERROR(IF([1]对账明细接口!$AB283=0,"",[1]对账明细接口!$AB283),"")</f>
      </c>
      <c r="AG283" s="7">
        <f>IFERROR(IF([1]对账明细接口!$AC283=0,"",[1]对账明细接口!$AC283),"")</f>
      </c>
      <c r="AH283" s="7">
        <f>IFERROR(IF([1]对账明细接口!$AD283=0,"",[1]对账明细接口!$AD283),"")</f>
      </c>
      <c r="AI283" s="7">
        <f>IFERROR(IF([1]对账明细接口!$AE283=0,"",[1]对账明细接口!$AE283),"")</f>
      </c>
      <c r="AJ283" s="7">
        <f>IFERROR(IF([1]对账明细接口!$AF283=0,"",[1]对账明细接口!$AF283),"")</f>
      </c>
    </row>
    <row r="284" ht="14.25" customHeight="1" s="127">
      <c r="A284" s="14" t="n">
        <v>284</v>
      </c>
      <c r="B284" s="211">
        <f>IFERROR(IF([1]对账明细接口!$B$284=0,"",[1]对账明细接口!$B$284),"")</f>
        <v>46282.0</v>
      </c>
      <c r="C284" s="16" t="str">
        <f>IFERROR(IF([1]对账明细接口!$C$284=0,"",[1]对账明细接口!$C$284),"")</f>
        <v>王灵云</v>
      </c>
      <c r="D284" s="16" t="str">
        <f>IFERROR(IF([1]对账明细接口!$D$284=0,"",[1]对账明细接口!$D$284),"")</f>
        <v>原料入库</v>
      </c>
      <c r="E284" s="16" t="str">
        <f>IFERROR(IF([1]对账明细接口!$E$284=0,"",[1]对账明细接口!$E$284),"")</f>
        <v>NO:0000892</v>
      </c>
      <c r="F284" s="16" t="str">
        <f>IFERROR(IF([1]对账明细接口!$F$284=0,"",[1]对账明细接口!$F$284),"")</f>
        <v>香梨</v>
      </c>
      <c r="G284" s="16" t="str">
        <f>IFERROR(IF([1]对账明细接口!$G$284=0,"",[1]对账明细接口!$G$284),"")</f>
        <v>香梨二级</v>
      </c>
      <c r="H284" s="176">
        <f>IFERROR(IF([1]对账明细接口!$H$284=0,"",[1]对账明细接口!$H$284),"")</f>
        <v>21</v>
      </c>
      <c r="I284" s="16" t="str">
        <f>IFERROR(IF([1]对账明细接口!$I$284=0,"",[1]对账明细接口!$I$284),"")</f>
        <v>筐</v>
      </c>
      <c r="J284" s="177">
        <f>IFERROR(IF([1]对账明细接口!$J$284=0,"",[1]对账明细接口!$J$284),"")</f>
        <v>489.3</v>
      </c>
      <c r="K284" s="177">
        <f>IFERROR(IF([1]对账明细接口!$K$284=0,"",[1]对账明细接口!$K$284),"")</f>
      </c>
      <c r="L284" s="16">
        <f>IFERROR(IF([1]对账明细接口!$L$284=0,"",[1]对账明细接口!$L$284),"")</f>
      </c>
      <c r="M284" s="16" t="str">
        <f>IFERROR(IF([1]对账明细接口!$M$284=0,"",[1]对账明细接口!$M$284),"")</f>
        <v>左</v>
      </c>
      <c r="N284" s="19">
        <f>IF($C284="",0,1)</f>
        <v>1</v>
      </c>
      <c r="O284" s="19">
        <f>N(O283)+$N284</f>
        <v>281</v>
      </c>
      <c r="S284" s="20" t="str">
        <f>IFERROR(IF([1]对账明细接口!$N284=0,"",[1]对账明细接口!$N284),"")</f>
        <v>公司红周转筐</v>
      </c>
      <c r="T284" s="212">
        <f>IFERROR(IF([1]对账明细接口!$O284=0,"",[1]对账明细接口!$O284),"")</f>
      </c>
      <c r="U284" s="212">
        <f>IFERROR(IF([1]对账明细接口!$P284=0,"",[1]对账明细接口!$P284),"")</f>
      </c>
      <c r="V284" s="212">
        <f>IFERROR(IF([1]对账明细接口!$Q284=0,"",[1]对账明细接口!$Q284),"")</f>
        <v>21</v>
      </c>
      <c r="W284" s="20" t="str">
        <f>IFERROR(IF([1]对账明细接口!$R284=0,"",[1]对账明细接口!$R284),"")</f>
        <v>新N*49209</v>
      </c>
      <c r="X284" s="20" t="str">
        <f>IFERROR(IF([1]对账明细接口!$S284=0,"",[1]对账明细接口!$S284),"")</f>
        <v>公司筐</v>
      </c>
      <c r="Y284" s="20">
        <f>IFERROR(IF([1]对账明细接口!$T284=0,"",[1]对账明细接口!$T284),"")</f>
      </c>
      <c r="Z284" s="213">
        <f>IFERROR(IF([1]对账明细接口!$U284=0,"",[1]对账明细接口!$U284),"")</f>
      </c>
      <c r="AA284" s="213">
        <f>IFERROR(IF([1]对账明细接口!$V284=0,"",[1]对账明细接口!$V284),"")</f>
      </c>
      <c r="AB284" s="20">
        <f>IFERROR(IF([1]对账明细接口!$W284=0,"",[1]对账明细接口!$W284),"")</f>
      </c>
      <c r="AC284" s="7">
        <f>IFERROR(IF([1]对账明细接口!$X284=0,"",[1]对账明细接口!$X284),"")</f>
      </c>
      <c r="AD284" s="7">
        <f>IFERROR(IF([1]对账明细接口!$Y284=0,"",[1]对账明细接口!$Y284),"")</f>
      </c>
      <c r="AE284" s="7">
        <f>IFERROR(IF([1]对账明细接口!$AA284=0,"",[1]对账明细接口!$AA284),"")</f>
      </c>
      <c r="AF284" s="7">
        <f>IFERROR(IF([1]对账明细接口!$AB284=0,"",[1]对账明细接口!$AB284),"")</f>
      </c>
      <c r="AG284" s="7">
        <f>IFERROR(IF([1]对账明细接口!$AC284=0,"",[1]对账明细接口!$AC284),"")</f>
      </c>
      <c r="AH284" s="7">
        <f>IFERROR(IF([1]对账明细接口!$AD284=0,"",[1]对账明细接口!$AD284),"")</f>
      </c>
      <c r="AI284" s="7">
        <f>IFERROR(IF([1]对账明细接口!$AE284=0,"",[1]对账明细接口!$AE284),"")</f>
      </c>
      <c r="AJ284" s="7">
        <f>IFERROR(IF([1]对账明细接口!$AF284=0,"",[1]对账明细接口!$AF284),"")</f>
      </c>
    </row>
    <row r="285" ht="14.25" customHeight="1" s="127">
      <c r="A285" s="14" t="n">
        <v>285</v>
      </c>
      <c r="B285" s="211">
        <f>IFERROR(IF([1]对账明细接口!$B$285=0,"",[1]对账明细接口!$B$285),"")</f>
        <v>46282.0</v>
      </c>
      <c r="C285" s="16" t="str">
        <f>IFERROR(IF([1]对账明细接口!$C$285=0,"",[1]对账明细接口!$C$285),"")</f>
        <v>王照雪</v>
      </c>
      <c r="D285" s="16" t="str">
        <f>IFERROR(IF([1]对账明细接口!$D$285=0,"",[1]对账明细接口!$D$285),"")</f>
        <v>原料入库</v>
      </c>
      <c r="E285" s="16" t="str">
        <f>IFERROR(IF([1]对账明细接口!$E$285=0,"",[1]对账明细接口!$E$285),"")</f>
        <v>NO:0000893</v>
      </c>
      <c r="F285" s="16" t="str">
        <f>IFERROR(IF([1]对账明细接口!$F$285=0,"",[1]对账明细接口!$F$285),"")</f>
        <v>香梨</v>
      </c>
      <c r="G285" s="16" t="str">
        <f>IFERROR(IF([1]对账明细接口!$G$285=0,"",[1]对账明细接口!$G$285),"")</f>
        <v>香梨一级</v>
      </c>
      <c r="H285" s="176">
        <f>IFERROR(IF([1]对账明细接口!$H$285=0,"",[1]对账明细接口!$H$285),"")</f>
        <v>119</v>
      </c>
      <c r="I285" s="16" t="str">
        <f>IFERROR(IF([1]对账明细接口!$I$285=0,"",[1]对账明细接口!$I$285),"")</f>
        <v>筐</v>
      </c>
      <c r="J285" s="177">
        <f>IFERROR(IF([1]对账明细接口!$J$285=0,"",[1]对账明细接口!$J$285),"")</f>
        <v>2320.5</v>
      </c>
      <c r="K285" s="177">
        <f>IFERROR(IF([1]对账明细接口!$K$285=0,"",[1]对账明细接口!$K$285),"")</f>
      </c>
      <c r="L285" s="16">
        <f>IFERROR(IF([1]对账明细接口!$L$285=0,"",[1]对账明细接口!$L$285),"")</f>
      </c>
      <c r="M285" s="16">
        <f>IFERROR(IF([1]对账明细接口!$M$285=0,"",[1]对账明细接口!$M$285),"")</f>
      </c>
      <c r="N285" s="19">
        <f>IF($C285="",0,1)</f>
        <v>1</v>
      </c>
      <c r="O285" s="19">
        <f>N(O284)+$N285</f>
        <v>282</v>
      </c>
      <c r="S285" s="20" t="str">
        <f>IFERROR(IF([1]对账明细接口!$N285=0,"",[1]对账明细接口!$N285),"")</f>
        <v>公司一次性筐</v>
      </c>
      <c r="T285" s="212">
        <f>IFERROR(IF([1]对账明细接口!$O285=0,"",[1]对账明细接口!$O285),"")</f>
      </c>
      <c r="U285" s="212">
        <f>IFERROR(IF([1]对账明细接口!$P285=0,"",[1]对账明细接口!$P285),"")</f>
      </c>
      <c r="V285" s="212">
        <f>IFERROR(IF([1]对账明细接口!$Q285=0,"",[1]对账明细接口!$Q285),"")</f>
        <v>119</v>
      </c>
      <c r="W285" s="20" t="str">
        <f>IFERROR(IF([1]对账明细接口!$R285=0,"",[1]对账明细接口!$R285),"")</f>
        <v>豫L*88X19</v>
      </c>
      <c r="X285" s="20" t="str">
        <f>IFERROR(IF([1]对账明细接口!$S285=0,"",[1]对账明细接口!$S285),"")</f>
        <v>公司筐</v>
      </c>
      <c r="Y285" s="20">
        <f>IFERROR(IF([1]对账明细接口!$T285=0,"",[1]对账明细接口!$T285),"")</f>
      </c>
      <c r="Z285" s="213">
        <f>IFERROR(IF([1]对账明细接口!$U285=0,"",[1]对账明细接口!$U285),"")</f>
      </c>
      <c r="AA285" s="213">
        <f>IFERROR(IF([1]对账明细接口!$V285=0,"",[1]对账明细接口!$V285),"")</f>
      </c>
      <c r="AB285" s="20">
        <f>IFERROR(IF([1]对账明细接口!$W285=0,"",[1]对账明细接口!$W285),"")</f>
      </c>
      <c r="AC285" s="7">
        <f>IFERROR(IF([1]对账明细接口!$X285=0,"",[1]对账明细接口!$X285),"")</f>
      </c>
      <c r="AD285" s="7">
        <f>IFERROR(IF([1]对账明细接口!$Y285=0,"",[1]对账明细接口!$Y285),"")</f>
      </c>
      <c r="AE285" s="7">
        <f>IFERROR(IF([1]对账明细接口!$AA285=0,"",[1]对账明细接口!$AA285),"")</f>
      </c>
      <c r="AF285" s="7">
        <f>IFERROR(IF([1]对账明细接口!$AB285=0,"",[1]对账明细接口!$AB285),"")</f>
      </c>
      <c r="AG285" s="7">
        <f>IFERROR(IF([1]对账明细接口!$AC285=0,"",[1]对账明细接口!$AC285),"")</f>
      </c>
      <c r="AH285" s="7">
        <f>IFERROR(IF([1]对账明细接口!$AD285=0,"",[1]对账明细接口!$AD285),"")</f>
      </c>
      <c r="AI285" s="7">
        <f>IFERROR(IF([1]对账明细接口!$AE285=0,"",[1]对账明细接口!$AE285),"")</f>
      </c>
      <c r="AJ285" s="7">
        <f>IFERROR(IF([1]对账明细接口!$AF285=0,"",[1]对账明细接口!$AF285),"")</f>
      </c>
    </row>
    <row r="286" ht="14.25" customHeight="1" s="127">
      <c r="A286" s="14" t="n">
        <v>286</v>
      </c>
      <c r="B286" s="211">
        <f>IFERROR(IF([1]对账明细接口!$B$286=0,"",[1]对账明细接口!$B$286),"")</f>
        <v>46282.0</v>
      </c>
      <c r="C286" s="16" t="str">
        <f>IFERROR(IF([1]对账明细接口!$C$286=0,"",[1]对账明细接口!$C$286),"")</f>
        <v>王照雪</v>
      </c>
      <c r="D286" s="16" t="str">
        <f>IFERROR(IF([1]对账明细接口!$D$286=0,"",[1]对账明细接口!$D$286),"")</f>
        <v>原料入库</v>
      </c>
      <c r="E286" s="16" t="str">
        <f>IFERROR(IF([1]对账明细接口!$E$286=0,"",[1]对账明细接口!$E$286),"")</f>
        <v>NO:0000893</v>
      </c>
      <c r="F286" s="16" t="str">
        <f>IFERROR(IF([1]对账明细接口!$F$286=0,"",[1]对账明细接口!$F$286),"")</f>
        <v>香梨</v>
      </c>
      <c r="G286" s="16" t="str">
        <f>IFERROR(IF([1]对账明细接口!$G$286=0,"",[1]对账明细接口!$G$286),"")</f>
        <v>香梨副特</v>
      </c>
      <c r="H286" s="176">
        <f>IFERROR(IF([1]对账明细接口!$H$286=0,"",[1]对账明细接口!$H$286),"")</f>
        <v>166</v>
      </c>
      <c r="I286" s="16" t="str">
        <f>IFERROR(IF([1]对账明细接口!$I$286=0,"",[1]对账明细接口!$I$286),"")</f>
        <v>筐</v>
      </c>
      <c r="J286" s="177">
        <f>IFERROR(IF([1]对账明细接口!$J$286=0,"",[1]对账明细接口!$J$286),"")</f>
        <v>3237</v>
      </c>
      <c r="K286" s="177">
        <f>IFERROR(IF([1]对账明细接口!$K$286=0,"",[1]对账明细接口!$K$286),"")</f>
      </c>
      <c r="L286" s="16">
        <f>IFERROR(IF([1]对账明细接口!$L$286=0,"",[1]对账明细接口!$L$286),"")</f>
      </c>
      <c r="M286" s="16">
        <f>IFERROR(IF([1]对账明细接口!$M$286=0,"",[1]对账明细接口!$M$286),"")</f>
      </c>
      <c r="N286" s="19">
        <f>IF($C286="",0,1)</f>
        <v>1</v>
      </c>
      <c r="O286" s="19">
        <f>N(O285)+$N286</f>
        <v>283</v>
      </c>
      <c r="S286" s="20" t="str">
        <f>IFERROR(IF([1]对账明细接口!$N286=0,"",[1]对账明细接口!$N286),"")</f>
        <v>公司一次性筐</v>
      </c>
      <c r="T286" s="212">
        <f>IFERROR(IF([1]对账明细接口!$O286=0,"",[1]对账明细接口!$O286),"")</f>
      </c>
      <c r="U286" s="212">
        <f>IFERROR(IF([1]对账明细接口!$P286=0,"",[1]对账明细接口!$P286),"")</f>
      </c>
      <c r="V286" s="212">
        <f>IFERROR(IF([1]对账明细接口!$Q286=0,"",[1]对账明细接口!$Q286),"")</f>
        <v>166</v>
      </c>
      <c r="W286" s="20" t="str">
        <f>IFERROR(IF([1]对账明细接口!$R286=0,"",[1]对账明细接口!$R286),"")</f>
        <v>豫L*88X19</v>
      </c>
      <c r="X286" s="20" t="str">
        <f>IFERROR(IF([1]对账明细接口!$S286=0,"",[1]对账明细接口!$S286),"")</f>
        <v>公司筐</v>
      </c>
      <c r="Y286" s="20">
        <f>IFERROR(IF([1]对账明细接口!$T286=0,"",[1]对账明细接口!$T286),"")</f>
      </c>
      <c r="Z286" s="213">
        <f>IFERROR(IF([1]对账明细接口!$U286=0,"",[1]对账明细接口!$U286),"")</f>
      </c>
      <c r="AA286" s="213">
        <f>IFERROR(IF([1]对账明细接口!$V286=0,"",[1]对账明细接口!$V286),"")</f>
      </c>
      <c r="AB286" s="20">
        <f>IFERROR(IF([1]对账明细接口!$W286=0,"",[1]对账明细接口!$W286),"")</f>
      </c>
      <c r="AC286" s="7">
        <f>IFERROR(IF([1]对账明细接口!$X286=0,"",[1]对账明细接口!$X286),"")</f>
      </c>
      <c r="AD286" s="7">
        <f>IFERROR(IF([1]对账明细接口!$Y286=0,"",[1]对账明细接口!$Y286),"")</f>
      </c>
      <c r="AE286" s="7">
        <f>IFERROR(IF([1]对账明细接口!$AA286=0,"",[1]对账明细接口!$AA286),"")</f>
      </c>
      <c r="AF286" s="7">
        <f>IFERROR(IF([1]对账明细接口!$AB286=0,"",[1]对账明细接口!$AB286),"")</f>
      </c>
      <c r="AG286" s="7">
        <f>IFERROR(IF([1]对账明细接口!$AC286=0,"",[1]对账明细接口!$AC286),"")</f>
      </c>
      <c r="AH286" s="7">
        <f>IFERROR(IF([1]对账明细接口!$AD286=0,"",[1]对账明细接口!$AD286),"")</f>
      </c>
      <c r="AI286" s="7">
        <f>IFERROR(IF([1]对账明细接口!$AE286=0,"",[1]对账明细接口!$AE286),"")</f>
      </c>
      <c r="AJ286" s="7">
        <f>IFERROR(IF([1]对账明细接口!$AF286=0,"",[1]对账明细接口!$AF286),"")</f>
      </c>
    </row>
    <row r="287" ht="14.25" customHeight="1" s="127">
      <c r="A287" s="14" t="n">
        <v>287</v>
      </c>
      <c r="B287" s="211">
        <f>IFERROR(IF([1]对账明细接口!$B$287=0,"",[1]对账明细接口!$B$287),"")</f>
        <v>46282.0</v>
      </c>
      <c r="C287" s="16" t="str">
        <f>IFERROR(IF([1]对账明细接口!$C$287=0,"",[1]对账明细接口!$C$287),"")</f>
        <v>王照雪</v>
      </c>
      <c r="D287" s="16" t="str">
        <f>IFERROR(IF([1]对账明细接口!$D$287=0,"",[1]对账明细接口!$D$287),"")</f>
        <v>原料入库</v>
      </c>
      <c r="E287" s="16" t="str">
        <f>IFERROR(IF([1]对账明细接口!$E$287=0,"",[1]对账明细接口!$E$287),"")</f>
        <v>NO:0000893</v>
      </c>
      <c r="F287" s="16" t="str">
        <f>IFERROR(IF([1]对账明细接口!$F$287=0,"",[1]对账明细接口!$F$287),"")</f>
        <v>香梨</v>
      </c>
      <c r="G287" s="16" t="str">
        <f>IFERROR(IF([1]对账明细接口!$G$287=0,"",[1]对账明细接口!$G$287),"")</f>
        <v>香梨二级</v>
      </c>
      <c r="H287" s="176">
        <f>IFERROR(IF([1]对账明细接口!$H$287=0,"",[1]对账明细接口!$H$287),"")</f>
        <v>24</v>
      </c>
      <c r="I287" s="16" t="str">
        <f>IFERROR(IF([1]对账明细接口!$I$287=0,"",[1]对账明细接口!$I$287),"")</f>
        <v>筐</v>
      </c>
      <c r="J287" s="177">
        <f>IFERROR(IF([1]对账明细接口!$J$287=0,"",[1]对账明细接口!$J$287),"")</f>
        <v>540</v>
      </c>
      <c r="K287" s="177">
        <f>IFERROR(IF([1]对账明细接口!$K$287=0,"",[1]对账明细接口!$K$287),"")</f>
      </c>
      <c r="L287" s="16">
        <f>IFERROR(IF([1]对账明细接口!$L$287=0,"",[1]对账明细接口!$L$287),"")</f>
      </c>
      <c r="M287" s="16">
        <f>IFERROR(IF([1]对账明细接口!$M$287=0,"",[1]对账明细接口!$M$287),"")</f>
      </c>
      <c r="N287" s="19">
        <f>IF($C287="",0,1)</f>
        <v>1</v>
      </c>
      <c r="O287" s="19">
        <f>N(O286)+$N287</f>
        <v>284</v>
      </c>
      <c r="S287" s="20" t="str">
        <f>IFERROR(IF([1]对账明细接口!$N287=0,"",[1]对账明细接口!$N287),"")</f>
        <v>公司一次性筐</v>
      </c>
      <c r="T287" s="212">
        <f>IFERROR(IF([1]对账明细接口!$O287=0,"",[1]对账明细接口!$O287),"")</f>
      </c>
      <c r="U287" s="212">
        <f>IFERROR(IF([1]对账明细接口!$P287=0,"",[1]对账明细接口!$P287),"")</f>
      </c>
      <c r="V287" s="212">
        <f>IFERROR(IF([1]对账明细接口!$Q287=0,"",[1]对账明细接口!$Q287),"")</f>
        <v>24</v>
      </c>
      <c r="W287" s="20" t="str">
        <f>IFERROR(IF([1]对账明细接口!$R287=0,"",[1]对账明细接口!$R287),"")</f>
        <v>豫L*88X19</v>
      </c>
      <c r="X287" s="20" t="str">
        <f>IFERROR(IF([1]对账明细接口!$S287=0,"",[1]对账明细接口!$S287),"")</f>
        <v>公司筐</v>
      </c>
      <c r="Y287" s="20">
        <f>IFERROR(IF([1]对账明细接口!$T287=0,"",[1]对账明细接口!$T287),"")</f>
      </c>
      <c r="Z287" s="213">
        <f>IFERROR(IF([1]对账明细接口!$U287=0,"",[1]对账明细接口!$U287),"")</f>
      </c>
      <c r="AA287" s="213">
        <f>IFERROR(IF([1]对账明细接口!$V287=0,"",[1]对账明细接口!$V287),"")</f>
      </c>
      <c r="AB287" s="20">
        <f>IFERROR(IF([1]对账明细接口!$W287=0,"",[1]对账明细接口!$W287),"")</f>
      </c>
      <c r="AC287" s="7">
        <f>IFERROR(IF([1]对账明细接口!$X287=0,"",[1]对账明细接口!$X287),"")</f>
      </c>
      <c r="AD287" s="7">
        <f>IFERROR(IF([1]对账明细接口!$Y287=0,"",[1]对账明细接口!$Y287),"")</f>
      </c>
      <c r="AE287" s="7">
        <f>IFERROR(IF([1]对账明细接口!$AA287=0,"",[1]对账明细接口!$AA287),"")</f>
      </c>
      <c r="AF287" s="7">
        <f>IFERROR(IF([1]对账明细接口!$AB287=0,"",[1]对账明细接口!$AB287),"")</f>
      </c>
      <c r="AG287" s="7">
        <f>IFERROR(IF([1]对账明细接口!$AC287=0,"",[1]对账明细接口!$AC287),"")</f>
      </c>
      <c r="AH287" s="7">
        <f>IFERROR(IF([1]对账明细接口!$AD287=0,"",[1]对账明细接口!$AD287),"")</f>
      </c>
      <c r="AI287" s="7">
        <f>IFERROR(IF([1]对账明细接口!$AE287=0,"",[1]对账明细接口!$AE287),"")</f>
      </c>
      <c r="AJ287" s="7">
        <f>IFERROR(IF([1]对账明细接口!$AF287=0,"",[1]对账明细接口!$AF287),"")</f>
      </c>
    </row>
    <row r="288" ht="14.25" customHeight="1" s="127">
      <c r="A288" s="14" t="n">
        <v>288</v>
      </c>
      <c r="B288" s="211">
        <f>IFERROR(IF([1]对账明细接口!$B$288=0,"",[1]对账明细接口!$B$288),"")</f>
        <v>46282.0</v>
      </c>
      <c r="C288" s="16" t="str">
        <f>IFERROR(IF([1]对账明细接口!$C$288=0,"",[1]对账明细接口!$C$288),"")</f>
        <v>努尔敦</v>
      </c>
      <c r="D288" s="16" t="str">
        <f>IFERROR(IF([1]对账明细接口!$D$288=0,"",[1]对账明细接口!$D$288),"")</f>
        <v>原料入库</v>
      </c>
      <c r="E288" s="16" t="str">
        <f>IFERROR(IF([1]对账明细接口!$E$288=0,"",[1]对账明细接口!$E$288),"")</f>
        <v>NO:0000896</v>
      </c>
      <c r="F288" s="16" t="str">
        <f>IFERROR(IF([1]对账明细接口!$F$288=0,"",[1]对账明细接口!$F$288),"")</f>
        <v>香梨</v>
      </c>
      <c r="G288" s="16" t="str">
        <f>IFERROR(IF([1]对账明细接口!$G$288=0,"",[1]对账明细接口!$G$288),"")</f>
        <v>香梨特级</v>
      </c>
      <c r="H288" s="176">
        <f>IFERROR(IF([1]对账明细接口!$H$288=0,"",[1]对账明细接口!$H$288),"")</f>
        <v>312</v>
      </c>
      <c r="I288" s="16" t="str">
        <f>IFERROR(IF([1]对账明细接口!$I$288=0,"",[1]对账明细接口!$I$288),"")</f>
        <v>筐</v>
      </c>
      <c r="J288" s="177">
        <f>IFERROR(IF([1]对账明细接口!$J$288=0,"",[1]对账明细接口!$J$288),"")</f>
        <v>5709.6</v>
      </c>
      <c r="K288" s="177">
        <f>IFERROR(IF([1]对账明细接口!$K$288=0,"",[1]对账明细接口!$K$288),"")</f>
      </c>
      <c r="L288" s="16">
        <f>IFERROR(IF([1]对账明细接口!$L$288=0,"",[1]对账明细接口!$L$288),"")</f>
      </c>
      <c r="M288" s="16">
        <f>IFERROR(IF([1]对账明细接口!$M$288=0,"",[1]对账明细接口!$M$288),"")</f>
      </c>
      <c r="N288" s="19">
        <f>IF($C288="",0,1)</f>
        <v>1</v>
      </c>
      <c r="O288" s="19">
        <f>N(O287)+$N288</f>
        <v>285</v>
      </c>
      <c r="S288" s="20" t="str">
        <f>IFERROR(IF([1]对账明细接口!$N288=0,"",[1]对账明细接口!$N288),"")</f>
        <v>公司红周转筐</v>
      </c>
      <c r="T288" s="212">
        <f>IFERROR(IF([1]对账明细接口!$O288=0,"",[1]对账明细接口!$O288),"")</f>
      </c>
      <c r="U288" s="212">
        <f>IFERROR(IF([1]对账明细接口!$P288=0,"",[1]对账明细接口!$P288),"")</f>
      </c>
      <c r="V288" s="212">
        <f>IFERROR(IF([1]对账明细接口!$Q288=0,"",[1]对账明细接口!$Q288),"")</f>
        <v>312</v>
      </c>
      <c r="W288" s="20" t="str">
        <f>IFERROR(IF([1]对账明细接口!$R288=0,"",[1]对账明细接口!$R288),"")</f>
        <v>新F*75240</v>
      </c>
      <c r="X288" s="20" t="str">
        <f>IFERROR(IF([1]对账明细接口!$S288=0,"",[1]对账明细接口!$S288),"")</f>
        <v>公司筐</v>
      </c>
      <c r="Y288" s="20">
        <f>IFERROR(IF([1]对账明细接口!$T288=0,"",[1]对账明细接口!$T288),"")</f>
      </c>
      <c r="Z288" s="213">
        <f>IFERROR(IF([1]对账明细接口!$U288=0,"",[1]对账明细接口!$U288),"")</f>
      </c>
      <c r="AA288" s="213">
        <f>IFERROR(IF([1]对账明细接口!$V288=0,"",[1]对账明细接口!$V288),"")</f>
      </c>
      <c r="AB288" s="20">
        <f>IFERROR(IF([1]对账明细接口!$W288=0,"",[1]对账明细接口!$W288),"")</f>
      </c>
      <c r="AC288" s="7">
        <f>IFERROR(IF([1]对账明细接口!$X288=0,"",[1]对账明细接口!$X288),"")</f>
      </c>
      <c r="AD288" s="7">
        <f>IFERROR(IF([1]对账明细接口!$Y288=0,"",[1]对账明细接口!$Y288),"")</f>
      </c>
      <c r="AE288" s="7">
        <f>IFERROR(IF([1]对账明细接口!$AA288=0,"",[1]对账明细接口!$AA288),"")</f>
      </c>
      <c r="AF288" s="7">
        <f>IFERROR(IF([1]对账明细接口!$AB288=0,"",[1]对账明细接口!$AB288),"")</f>
      </c>
      <c r="AG288" s="7">
        <f>IFERROR(IF([1]对账明细接口!$AC288=0,"",[1]对账明细接口!$AC288),"")</f>
      </c>
      <c r="AH288" s="7">
        <f>IFERROR(IF([1]对账明细接口!$AD288=0,"",[1]对账明细接口!$AD288),"")</f>
      </c>
      <c r="AI288" s="7">
        <f>IFERROR(IF([1]对账明细接口!$AE288=0,"",[1]对账明细接口!$AE288),"")</f>
      </c>
      <c r="AJ288" s="7">
        <f>IFERROR(IF([1]对账明细接口!$AF288=0,"",[1]对账明细接口!$AF288),"")</f>
      </c>
    </row>
    <row r="289" ht="14.25" customHeight="1" s="127">
      <c r="A289" s="14" t="n">
        <v>289</v>
      </c>
      <c r="B289" s="211">
        <f>IFERROR(IF([1]对账明细接口!$B$289=0,"",[1]对账明细接口!$B$289),"")</f>
        <v>46282.0</v>
      </c>
      <c r="C289" s="16" t="str">
        <f>IFERROR(IF([1]对账明细接口!$C$289=0,"",[1]对账明细接口!$C$289),"")</f>
        <v>努尔敦</v>
      </c>
      <c r="D289" s="16" t="str">
        <f>IFERROR(IF([1]对账明细接口!$D$289=0,"",[1]对账明细接口!$D$289),"")</f>
        <v>原料入库</v>
      </c>
      <c r="E289" s="16" t="str">
        <f>IFERROR(IF([1]对账明细接口!$E$289=0,"",[1]对账明细接口!$E$289),"")</f>
        <v>NO:0000896</v>
      </c>
      <c r="F289" s="16" t="str">
        <f>IFERROR(IF([1]对账明细接口!$F$289=0,"",[1]对账明细接口!$F$289),"")</f>
        <v>香梨</v>
      </c>
      <c r="G289" s="16" t="str">
        <f>IFERROR(IF([1]对账明细接口!$G$289=0,"",[1]对账明细接口!$G$289),"")</f>
        <v>香梨一级</v>
      </c>
      <c r="H289" s="176">
        <f>IFERROR(IF([1]对账明细接口!$H$289=0,"",[1]对账明细接口!$H$289),"")</f>
        <v>192</v>
      </c>
      <c r="I289" s="16" t="str">
        <f>IFERROR(IF([1]对账明细接口!$I$289=0,"",[1]对账明细接口!$I$289),"")</f>
        <v>筐</v>
      </c>
      <c r="J289" s="177">
        <f>IFERROR(IF([1]对账明细接口!$J$289=0,"",[1]对账明细接口!$J$289),"")</f>
        <v>3513.6</v>
      </c>
      <c r="K289" s="177">
        <f>IFERROR(IF([1]对账明细接口!$K$289=0,"",[1]对账明细接口!$K$289),"")</f>
      </c>
      <c r="L289" s="16">
        <f>IFERROR(IF([1]对账明细接口!$L$289=0,"",[1]对账明细接口!$L$289),"")</f>
      </c>
      <c r="M289" s="16">
        <f>IFERROR(IF([1]对账明细接口!$M$289=0,"",[1]对账明细接口!$M$289),"")</f>
      </c>
      <c r="N289" s="19">
        <f>IF($C289="",0,1)</f>
        <v>1</v>
      </c>
      <c r="O289" s="19">
        <f>N(O288)+$N289</f>
        <v>286</v>
      </c>
      <c r="S289" s="20" t="str">
        <f>IFERROR(IF([1]对账明细接口!$N289=0,"",[1]对账明细接口!$N289),"")</f>
        <v>公司红周转筐</v>
      </c>
      <c r="T289" s="212">
        <f>IFERROR(IF([1]对账明细接口!$O289=0,"",[1]对账明细接口!$O289),"")</f>
      </c>
      <c r="U289" s="212">
        <f>IFERROR(IF([1]对账明细接口!$P289=0,"",[1]对账明细接口!$P289),"")</f>
      </c>
      <c r="V289" s="212">
        <f>IFERROR(IF([1]对账明细接口!$Q289=0,"",[1]对账明细接口!$Q289),"")</f>
        <v>192</v>
      </c>
      <c r="W289" s="20" t="str">
        <f>IFERROR(IF([1]对账明细接口!$R289=0,"",[1]对账明细接口!$R289),"")</f>
        <v>新F*75240</v>
      </c>
      <c r="X289" s="20" t="str">
        <f>IFERROR(IF([1]对账明细接口!$S289=0,"",[1]对账明细接口!$S289),"")</f>
        <v>公司筐</v>
      </c>
      <c r="Y289" s="20">
        <f>IFERROR(IF([1]对账明细接口!$T289=0,"",[1]对账明细接口!$T289),"")</f>
      </c>
      <c r="Z289" s="213">
        <f>IFERROR(IF([1]对账明细接口!$U289=0,"",[1]对账明细接口!$U289),"")</f>
      </c>
      <c r="AA289" s="213">
        <f>IFERROR(IF([1]对账明细接口!$V289=0,"",[1]对账明细接口!$V289),"")</f>
      </c>
      <c r="AB289" s="20">
        <f>IFERROR(IF([1]对账明细接口!$W289=0,"",[1]对账明细接口!$W289),"")</f>
      </c>
      <c r="AC289" s="7">
        <f>IFERROR(IF([1]对账明细接口!$X289=0,"",[1]对账明细接口!$X289),"")</f>
      </c>
      <c r="AD289" s="7">
        <f>IFERROR(IF([1]对账明细接口!$Y289=0,"",[1]对账明细接口!$Y289),"")</f>
      </c>
      <c r="AE289" s="7">
        <f>IFERROR(IF([1]对账明细接口!$AA289=0,"",[1]对账明细接口!$AA289),"")</f>
      </c>
      <c r="AF289" s="7">
        <f>IFERROR(IF([1]对账明细接口!$AB289=0,"",[1]对账明细接口!$AB289),"")</f>
      </c>
      <c r="AG289" s="7">
        <f>IFERROR(IF([1]对账明细接口!$AC289=0,"",[1]对账明细接口!$AC289),"")</f>
      </c>
      <c r="AH289" s="7">
        <f>IFERROR(IF([1]对账明细接口!$AD289=0,"",[1]对账明细接口!$AD289),"")</f>
      </c>
      <c r="AI289" s="7">
        <f>IFERROR(IF([1]对账明细接口!$AE289=0,"",[1]对账明细接口!$AE289),"")</f>
      </c>
      <c r="AJ289" s="7">
        <f>IFERROR(IF([1]对账明细接口!$AF289=0,"",[1]对账明细接口!$AF289),"")</f>
      </c>
    </row>
    <row r="290" ht="14.25" customHeight="1" s="127">
      <c r="A290" s="14" t="n">
        <v>290</v>
      </c>
      <c r="B290" s="211">
        <f>IFERROR(IF([1]对账明细接口!$B$290=0,"",[1]对账明细接口!$B$290),"")</f>
        <v>46282.0</v>
      </c>
      <c r="C290" s="16" t="str">
        <f>IFERROR(IF([1]对账明细接口!$C$290=0,"",[1]对账明细接口!$C$290),"")</f>
        <v>努尔敦</v>
      </c>
      <c r="D290" s="16" t="str">
        <f>IFERROR(IF([1]对账明细接口!$D$290=0,"",[1]对账明细接口!$D$290),"")</f>
        <v>原料入库</v>
      </c>
      <c r="E290" s="16" t="str">
        <f>IFERROR(IF([1]对账明细接口!$E$290=0,"",[1]对账明细接口!$E$290),"")</f>
        <v>NO:0000896</v>
      </c>
      <c r="F290" s="16" t="str">
        <f>IFERROR(IF([1]对账明细接口!$F$290=0,"",[1]对账明细接口!$F$290),"")</f>
        <v>香梨</v>
      </c>
      <c r="G290" s="16" t="str">
        <f>IFERROR(IF([1]对账明细接口!$G$290=0,"",[1]对账明细接口!$G$290),"")</f>
        <v>香梨二级</v>
      </c>
      <c r="H290" s="176">
        <f>IFERROR(IF([1]对账明细接口!$H$290=0,"",[1]对账明细接口!$H$290),"")</f>
        <v>136</v>
      </c>
      <c r="I290" s="16" t="str">
        <f>IFERROR(IF([1]对账明细接口!$I$290=0,"",[1]对账明细接口!$I$290),"")</f>
        <v>筐</v>
      </c>
      <c r="J290" s="177">
        <f>IFERROR(IF([1]对账明细接口!$J$290=0,"",[1]对账明细接口!$J$290),"")</f>
        <v>3032.8</v>
      </c>
      <c r="K290" s="177">
        <f>IFERROR(IF([1]对账明细接口!$K$290=0,"",[1]对账明细接口!$K$290),"")</f>
      </c>
      <c r="L290" s="16">
        <f>IFERROR(IF([1]对账明细接口!$L$290=0,"",[1]对账明细接口!$L$290),"")</f>
      </c>
      <c r="M290" s="16">
        <f>IFERROR(IF([1]对账明细接口!$M$290=0,"",[1]对账明细接口!$M$290),"")</f>
      </c>
      <c r="N290" s="19">
        <f>IF($C290="",0,1)</f>
        <v>1</v>
      </c>
      <c r="O290" s="19">
        <f>N(O289)+$N290</f>
        <v>287</v>
      </c>
      <c r="S290" s="20" t="str">
        <f>IFERROR(IF([1]对账明细接口!$N290=0,"",[1]对账明细接口!$N290),"")</f>
        <v>公司红周转筐</v>
      </c>
      <c r="T290" s="212">
        <f>IFERROR(IF([1]对账明细接口!$O290=0,"",[1]对账明细接口!$O290),"")</f>
      </c>
      <c r="U290" s="212">
        <f>IFERROR(IF([1]对账明细接口!$P290=0,"",[1]对账明细接口!$P290),"")</f>
      </c>
      <c r="V290" s="212">
        <f>IFERROR(IF([1]对账明细接口!$Q290=0,"",[1]对账明细接口!$Q290),"")</f>
        <v>136</v>
      </c>
      <c r="W290" s="20" t="str">
        <f>IFERROR(IF([1]对账明细接口!$R290=0,"",[1]对账明细接口!$R290),"")</f>
        <v>新F*75240</v>
      </c>
      <c r="X290" s="20" t="str">
        <f>IFERROR(IF([1]对账明细接口!$S290=0,"",[1]对账明细接口!$S290),"")</f>
        <v>公司筐</v>
      </c>
      <c r="Y290" s="20">
        <f>IFERROR(IF([1]对账明细接口!$T290=0,"",[1]对账明细接口!$T290),"")</f>
      </c>
      <c r="Z290" s="213">
        <f>IFERROR(IF([1]对账明细接口!$U290=0,"",[1]对账明细接口!$U290),"")</f>
      </c>
      <c r="AA290" s="213">
        <f>IFERROR(IF([1]对账明细接口!$V290=0,"",[1]对账明细接口!$V290),"")</f>
      </c>
      <c r="AB290" s="20">
        <f>IFERROR(IF([1]对账明细接口!$W290=0,"",[1]对账明细接口!$W290),"")</f>
      </c>
      <c r="AC290" s="7">
        <f>IFERROR(IF([1]对账明细接口!$X290=0,"",[1]对账明细接口!$X290),"")</f>
      </c>
      <c r="AD290" s="7">
        <f>IFERROR(IF([1]对账明细接口!$Y290=0,"",[1]对账明细接口!$Y290),"")</f>
      </c>
      <c r="AE290" s="7">
        <f>IFERROR(IF([1]对账明细接口!$AA290=0,"",[1]对账明细接口!$AA290),"")</f>
      </c>
      <c r="AF290" s="7">
        <f>IFERROR(IF([1]对账明细接口!$AB290=0,"",[1]对账明细接口!$AB290),"")</f>
      </c>
      <c r="AG290" s="7">
        <f>IFERROR(IF([1]对账明细接口!$AC290=0,"",[1]对账明细接口!$AC290),"")</f>
      </c>
      <c r="AH290" s="7">
        <f>IFERROR(IF([1]对账明细接口!$AD290=0,"",[1]对账明细接口!$AD290),"")</f>
      </c>
      <c r="AI290" s="7">
        <f>IFERROR(IF([1]对账明细接口!$AE290=0,"",[1]对账明细接口!$AE290),"")</f>
      </c>
      <c r="AJ290" s="7">
        <f>IFERROR(IF([1]对账明细接口!$AF290=0,"",[1]对账明细接口!$AF290),"")</f>
      </c>
    </row>
    <row r="291" ht="14.25" customHeight="1" s="127">
      <c r="A291" s="14" t="n">
        <v>291</v>
      </c>
      <c r="B291" s="211">
        <f>IFERROR(IF([1]对账明细接口!$B$291=0,"",[1]对账明细接口!$B$291),"")</f>
        <v>46283.0</v>
      </c>
      <c r="C291" s="16" t="str">
        <f>IFERROR(IF([1]对账明细接口!$C$291=0,"",[1]对账明细接口!$C$291),"")</f>
        <v>吐尔洪</v>
      </c>
      <c r="D291" s="16" t="str">
        <f>IFERROR(IF([1]对账明细接口!$D$291=0,"",[1]对账明细接口!$D$291),"")</f>
        <v>原料入库</v>
      </c>
      <c r="E291" s="16" t="str">
        <f>IFERROR(IF([1]对账明细接口!$E$291=0,"",[1]对账明细接口!$E$291),"")</f>
        <v>NO:0000897</v>
      </c>
      <c r="F291" s="16" t="str">
        <f>IFERROR(IF([1]对账明细接口!$F$291=0,"",[1]对账明细接口!$F$291),"")</f>
        <v>香梨</v>
      </c>
      <c r="G291" s="16" t="str">
        <f>IFERROR(IF([1]对账明细接口!$G$291=0,"",[1]对账明细接口!$G$291),"")</f>
        <v>香梨特级</v>
      </c>
      <c r="H291" s="176">
        <f>IFERROR(IF([1]对账明细接口!$H$291=0,"",[1]对账明细接口!$H$291),"")</f>
        <v>114</v>
      </c>
      <c r="I291" s="16" t="str">
        <f>IFERROR(IF([1]对账明细接口!$I$291=0,"",[1]对账明细接口!$I$291),"")</f>
        <v>筐</v>
      </c>
      <c r="J291" s="177">
        <f>IFERROR(IF([1]对账明细接口!$J$291=0,"",[1]对账明细接口!$J$291),"")</f>
        <v>2086.2</v>
      </c>
      <c r="K291" s="177">
        <f>IFERROR(IF([1]对账明细接口!$K$291=0,"",[1]对账明细接口!$K$291),"")</f>
      </c>
      <c r="L291" s="16">
        <f>IFERROR(IF([1]对账明细接口!$L$291=0,"",[1]对账明细接口!$L$291),"")</f>
      </c>
      <c r="M291" s="16" t="str">
        <f>IFERROR(IF([1]对账明细接口!$M$291=0,"",[1]对账明细接口!$M$291),"")</f>
        <v>麦麦提</v>
      </c>
      <c r="N291" s="19">
        <f>IF($C291="",0,1)</f>
        <v>1</v>
      </c>
      <c r="O291" s="19">
        <f>N(O290)+$N291</f>
        <v>288</v>
      </c>
      <c r="S291" s="20" t="str">
        <f>IFERROR(IF([1]对账明细接口!$N291=0,"",[1]对账明细接口!$N291),"")</f>
        <v>公司红周转筐</v>
      </c>
      <c r="T291" s="212">
        <f>IFERROR(IF([1]对账明细接口!$O291=0,"",[1]对账明细接口!$O291),"")</f>
      </c>
      <c r="U291" s="212">
        <f>IFERROR(IF([1]对账明细接口!$P291=0,"",[1]对账明细接口!$P291),"")</f>
      </c>
      <c r="V291" s="212">
        <f>IFERROR(IF([1]对账明细接口!$Q291=0,"",[1]对账明细接口!$Q291),"")</f>
        <v>114</v>
      </c>
      <c r="W291" s="20" t="str">
        <f>IFERROR(IF([1]对账明细接口!$R291=0,"",[1]对账明细接口!$R291),"")</f>
        <v>新N*X8S48</v>
      </c>
      <c r="X291" s="20" t="str">
        <f>IFERROR(IF([1]对账明细接口!$S291=0,"",[1]对账明细接口!$S291),"")</f>
        <v>公司筐</v>
      </c>
      <c r="Y291" s="20">
        <f>IFERROR(IF([1]对账明细接口!$T291=0,"",[1]对账明细接口!$T291),"")</f>
      </c>
      <c r="Z291" s="213">
        <f>IFERROR(IF([1]对账明细接口!$U291=0,"",[1]对账明细接口!$U291),"")</f>
      </c>
      <c r="AA291" s="213">
        <f>IFERROR(IF([1]对账明细接口!$V291=0,"",[1]对账明细接口!$V291),"")</f>
      </c>
      <c r="AB291" s="20">
        <f>IFERROR(IF([1]对账明细接口!$W291=0,"",[1]对账明细接口!$W291),"")</f>
      </c>
      <c r="AC291" s="7">
        <f>IFERROR(IF([1]对账明细接口!$X291=0,"",[1]对账明细接口!$X291),"")</f>
      </c>
      <c r="AD291" s="7">
        <f>IFERROR(IF([1]对账明细接口!$Y291=0,"",[1]对账明细接口!$Y291),"")</f>
      </c>
      <c r="AE291" s="7">
        <f>IFERROR(IF([1]对账明细接口!$AA291=0,"",[1]对账明细接口!$AA291),"")</f>
      </c>
      <c r="AF291" s="7">
        <f>IFERROR(IF([1]对账明细接口!$AB291=0,"",[1]对账明细接口!$AB291),"")</f>
      </c>
      <c r="AG291" s="7">
        <f>IFERROR(IF([1]对账明细接口!$AC291=0,"",[1]对账明细接口!$AC291),"")</f>
      </c>
      <c r="AH291" s="7">
        <f>IFERROR(IF([1]对账明细接口!$AD291=0,"",[1]对账明细接口!$AD291),"")</f>
      </c>
      <c r="AI291" s="7">
        <f>IFERROR(IF([1]对账明细接口!$AE291=0,"",[1]对账明细接口!$AE291),"")</f>
      </c>
      <c r="AJ291" s="7">
        <f>IFERROR(IF([1]对账明细接口!$AF291=0,"",[1]对账明细接口!$AF291),"")</f>
      </c>
    </row>
    <row r="292" ht="14.25" customHeight="1" s="127">
      <c r="A292" s="14" t="n">
        <v>292</v>
      </c>
      <c r="B292" s="211">
        <f>IFERROR(IF([1]对账明细接口!$B$292=0,"",[1]对账明细接口!$B$292),"")</f>
        <v>46283.0</v>
      </c>
      <c r="C292" s="16" t="str">
        <f>IFERROR(IF([1]对账明细接口!$C$292=0,"",[1]对账明细接口!$C$292),"")</f>
        <v>吐尔洪</v>
      </c>
      <c r="D292" s="16" t="str">
        <f>IFERROR(IF([1]对账明细接口!$D$292=0,"",[1]对账明细接口!$D$292),"")</f>
        <v>原料入库</v>
      </c>
      <c r="E292" s="16" t="str">
        <f>IFERROR(IF([1]对账明细接口!$E$292=0,"",[1]对账明细接口!$E$292),"")</f>
        <v>NO:0000897</v>
      </c>
      <c r="F292" s="16" t="str">
        <f>IFERROR(IF([1]对账明细接口!$F$292=0,"",[1]对账明细接口!$F$292),"")</f>
        <v>香梨</v>
      </c>
      <c r="G292" s="16" t="str">
        <f>IFERROR(IF([1]对账明细接口!$G$292=0,"",[1]对账明细接口!$G$292),"")</f>
        <v>香梨一级</v>
      </c>
      <c r="H292" s="176">
        <f>IFERROR(IF([1]对账明细接口!$H$292=0,"",[1]对账明细接口!$H$292),"")</f>
        <v>9</v>
      </c>
      <c r="I292" s="16" t="str">
        <f>IFERROR(IF([1]对账明细接口!$I$292=0,"",[1]对账明细接口!$I$292),"")</f>
        <v>筐</v>
      </c>
      <c r="J292" s="177">
        <f>IFERROR(IF([1]对账明细接口!$J$292=0,"",[1]对账明细接口!$J$292),"")</f>
        <v>164.7</v>
      </c>
      <c r="K292" s="177">
        <f>IFERROR(IF([1]对账明细接口!$K$292=0,"",[1]对账明细接口!$K$292),"")</f>
      </c>
      <c r="L292" s="16">
        <f>IFERROR(IF([1]对账明细接口!$L$292=0,"",[1]对账明细接口!$L$292),"")</f>
      </c>
      <c r="M292" s="16" t="str">
        <f>IFERROR(IF([1]对账明细接口!$M$292=0,"",[1]对账明细接口!$M$292),"")</f>
        <v>麦麦提</v>
      </c>
      <c r="N292" s="19">
        <f>IF($C292="",0,1)</f>
        <v>1</v>
      </c>
      <c r="O292" s="19">
        <f>N(O291)+$N292</f>
        <v>289</v>
      </c>
      <c r="S292" s="20" t="str">
        <f>IFERROR(IF([1]对账明细接口!$N292=0,"",[1]对账明细接口!$N292),"")</f>
        <v>公司红周转筐</v>
      </c>
      <c r="T292" s="212">
        <f>IFERROR(IF([1]对账明细接口!$O292=0,"",[1]对账明细接口!$O292),"")</f>
      </c>
      <c r="U292" s="212">
        <f>IFERROR(IF([1]对账明细接口!$P292=0,"",[1]对账明细接口!$P292),"")</f>
      </c>
      <c r="V292" s="212">
        <f>IFERROR(IF([1]对账明细接口!$Q292=0,"",[1]对账明细接口!$Q292),"")</f>
        <v>9</v>
      </c>
      <c r="W292" s="20" t="str">
        <f>IFERROR(IF([1]对账明细接口!$R292=0,"",[1]对账明细接口!$R292),"")</f>
        <v>新N*X8S48</v>
      </c>
      <c r="X292" s="20" t="str">
        <f>IFERROR(IF([1]对账明细接口!$S292=0,"",[1]对账明细接口!$S292),"")</f>
        <v>公司筐</v>
      </c>
      <c r="Y292" s="20">
        <f>IFERROR(IF([1]对账明细接口!$T292=0,"",[1]对账明细接口!$T292),"")</f>
      </c>
      <c r="Z292" s="213">
        <f>IFERROR(IF([1]对账明细接口!$U292=0,"",[1]对账明细接口!$U292),"")</f>
      </c>
      <c r="AA292" s="213">
        <f>IFERROR(IF([1]对账明细接口!$V292=0,"",[1]对账明细接口!$V292),"")</f>
      </c>
      <c r="AB292" s="20">
        <f>IFERROR(IF([1]对账明细接口!$W292=0,"",[1]对账明细接口!$W292),"")</f>
      </c>
      <c r="AC292" s="7">
        <f>IFERROR(IF([1]对账明细接口!$X292=0,"",[1]对账明细接口!$X292),"")</f>
      </c>
      <c r="AD292" s="7">
        <f>IFERROR(IF([1]对账明细接口!$Y292=0,"",[1]对账明细接口!$Y292),"")</f>
      </c>
      <c r="AE292" s="7">
        <f>IFERROR(IF([1]对账明细接口!$AA292=0,"",[1]对账明细接口!$AA292),"")</f>
      </c>
      <c r="AF292" s="7">
        <f>IFERROR(IF([1]对账明细接口!$AB292=0,"",[1]对账明细接口!$AB292),"")</f>
      </c>
      <c r="AG292" s="7">
        <f>IFERROR(IF([1]对账明细接口!$AC292=0,"",[1]对账明细接口!$AC292),"")</f>
      </c>
      <c r="AH292" s="7">
        <f>IFERROR(IF([1]对账明细接口!$AD292=0,"",[1]对账明细接口!$AD292),"")</f>
      </c>
      <c r="AI292" s="7">
        <f>IFERROR(IF([1]对账明细接口!$AE292=0,"",[1]对账明细接口!$AE292),"")</f>
      </c>
      <c r="AJ292" s="7">
        <f>IFERROR(IF([1]对账明细接口!$AF292=0,"",[1]对账明细接口!$AF292),"")</f>
      </c>
    </row>
    <row r="293" ht="14.25" customHeight="1" s="127">
      <c r="A293" s="14" t="n">
        <v>293</v>
      </c>
      <c r="B293" s="211">
        <f>IFERROR(IF([1]对账明细接口!$B$293=0,"",[1]对账明细接口!$B$293),"")</f>
        <v>46283.0</v>
      </c>
      <c r="C293" s="16" t="str">
        <f>IFERROR(IF([1]对账明细接口!$C$293=0,"",[1]对账明细接口!$C$293),"")</f>
        <v>吐尔洪</v>
      </c>
      <c r="D293" s="16" t="str">
        <f>IFERROR(IF([1]对账明细接口!$D$293=0,"",[1]对账明细接口!$D$293),"")</f>
        <v>原料入库</v>
      </c>
      <c r="E293" s="16" t="str">
        <f>IFERROR(IF([1]对账明细接口!$E$293=0,"",[1]对账明细接口!$E$293),"")</f>
        <v>NO:0000897</v>
      </c>
      <c r="F293" s="16" t="str">
        <f>IFERROR(IF([1]对账明细接口!$F$293=0,"",[1]对账明细接口!$F$293),"")</f>
        <v>香梨</v>
      </c>
      <c r="G293" s="16" t="str">
        <f>IFERROR(IF([1]对账明细接口!$G$293=0,"",[1]对账明细接口!$G$293),"")</f>
        <v>香梨二级</v>
      </c>
      <c r="H293" s="176">
        <f>IFERROR(IF([1]对账明细接口!$H$293=0,"",[1]对账明细接口!$H$293),"")</f>
        <v>59</v>
      </c>
      <c r="I293" s="16" t="str">
        <f>IFERROR(IF([1]对账明细接口!$I$293=0,"",[1]对账明细接口!$I$293),"")</f>
        <v>筐</v>
      </c>
      <c r="J293" s="177">
        <f>IFERROR(IF([1]对账明细接口!$J$293=0,"",[1]对账明细接口!$J$293),"")</f>
        <v>1315.7</v>
      </c>
      <c r="K293" s="177">
        <f>IFERROR(IF([1]对账明细接口!$K$293=0,"",[1]对账明细接口!$K$293),"")</f>
      </c>
      <c r="L293" s="16">
        <f>IFERROR(IF([1]对账明细接口!$L$293=0,"",[1]对账明细接口!$L$293),"")</f>
      </c>
      <c r="M293" s="16" t="str">
        <f>IFERROR(IF([1]对账明细接口!$M$293=0,"",[1]对账明细接口!$M$293),"")</f>
        <v>麦麦提</v>
      </c>
      <c r="N293" s="19">
        <f>IF($C293="",0,1)</f>
        <v>1</v>
      </c>
      <c r="O293" s="19">
        <f>N(O292)+$N293</f>
        <v>290</v>
      </c>
      <c r="S293" s="20" t="str">
        <f>IFERROR(IF([1]对账明细接口!$N293=0,"",[1]对账明细接口!$N293),"")</f>
        <v>公司红周转筐</v>
      </c>
      <c r="T293" s="212">
        <f>IFERROR(IF([1]对账明细接口!$O293=0,"",[1]对账明细接口!$O293),"")</f>
      </c>
      <c r="U293" s="212">
        <f>IFERROR(IF([1]对账明细接口!$P293=0,"",[1]对账明细接口!$P293),"")</f>
      </c>
      <c r="V293" s="212">
        <f>IFERROR(IF([1]对账明细接口!$Q293=0,"",[1]对账明细接口!$Q293),"")</f>
        <v>59</v>
      </c>
      <c r="W293" s="20" t="str">
        <f>IFERROR(IF([1]对账明细接口!$R293=0,"",[1]对账明细接口!$R293),"")</f>
        <v>新N*X8S48</v>
      </c>
      <c r="X293" s="20" t="str">
        <f>IFERROR(IF([1]对账明细接口!$S293=0,"",[1]对账明细接口!$S293),"")</f>
        <v>公司筐</v>
      </c>
      <c r="Y293" s="20">
        <f>IFERROR(IF([1]对账明细接口!$T293=0,"",[1]对账明细接口!$T293),"")</f>
      </c>
      <c r="Z293" s="213">
        <f>IFERROR(IF([1]对账明细接口!$U293=0,"",[1]对账明细接口!$U293),"")</f>
      </c>
      <c r="AA293" s="213">
        <f>IFERROR(IF([1]对账明细接口!$V293=0,"",[1]对账明细接口!$V293),"")</f>
      </c>
      <c r="AB293" s="20">
        <f>IFERROR(IF([1]对账明细接口!$W293=0,"",[1]对账明细接口!$W293),"")</f>
      </c>
      <c r="AC293" s="7">
        <f>IFERROR(IF([1]对账明细接口!$X293=0,"",[1]对账明细接口!$X293),"")</f>
      </c>
      <c r="AD293" s="7">
        <f>IFERROR(IF([1]对账明细接口!$Y293=0,"",[1]对账明细接口!$Y293),"")</f>
      </c>
      <c r="AE293" s="7">
        <f>IFERROR(IF([1]对账明细接口!$AA293=0,"",[1]对账明细接口!$AA293),"")</f>
      </c>
      <c r="AF293" s="7">
        <f>IFERROR(IF([1]对账明细接口!$AB293=0,"",[1]对账明细接口!$AB293),"")</f>
      </c>
      <c r="AG293" s="7">
        <f>IFERROR(IF([1]对账明细接口!$AC293=0,"",[1]对账明细接口!$AC293),"")</f>
      </c>
      <c r="AH293" s="7">
        <f>IFERROR(IF([1]对账明细接口!$AD293=0,"",[1]对账明细接口!$AD293),"")</f>
      </c>
      <c r="AI293" s="7">
        <f>IFERROR(IF([1]对账明细接口!$AE293=0,"",[1]对账明细接口!$AE293),"")</f>
      </c>
      <c r="AJ293" s="7">
        <f>IFERROR(IF([1]对账明细接口!$AF293=0,"",[1]对账明细接口!$AF293),"")</f>
      </c>
    </row>
    <row r="294" ht="14.25" customHeight="1" s="127">
      <c r="A294" s="14" t="n">
        <v>294</v>
      </c>
      <c r="B294" s="211">
        <f>IFERROR(IF([1]对账明细接口!$B$294=0,"",[1]对账明细接口!$B$294),"")</f>
        <v>46283.0</v>
      </c>
      <c r="C294" s="16" t="str">
        <f>IFERROR(IF([1]对账明细接口!$C$294=0,"",[1]对账明细接口!$C$294),"")</f>
        <v>艾则孜</v>
      </c>
      <c r="D294" s="16" t="str">
        <f>IFERROR(IF([1]对账明细接口!$D$294=0,"",[1]对账明细接口!$D$294),"")</f>
        <v>原料入库</v>
      </c>
      <c r="E294" s="16" t="str">
        <f>IFERROR(IF([1]对账明细接口!$E$294=0,"",[1]对账明细接口!$E$294),"")</f>
        <v>NO:0000898</v>
      </c>
      <c r="F294" s="16" t="str">
        <f>IFERROR(IF([1]对账明细接口!$F$294=0,"",[1]对账明细接口!$F$294),"")</f>
        <v>香梨</v>
      </c>
      <c r="G294" s="16" t="str">
        <f>IFERROR(IF([1]对账明细接口!$G$294=0,"",[1]对账明细接口!$G$294),"")</f>
        <v>香梨一级</v>
      </c>
      <c r="H294" s="176">
        <f>IFERROR(IF([1]对账明细接口!$H$294=0,"",[1]对账明细接口!$H$294),"")</f>
        <v>280</v>
      </c>
      <c r="I294" s="16" t="str">
        <f>IFERROR(IF([1]对账明细接口!$I$294=0,"",[1]对账明细接口!$I$294),"")</f>
        <v>筐</v>
      </c>
      <c r="J294" s="177">
        <f>IFERROR(IF([1]对账明细接口!$J$294=0,"",[1]对账明细接口!$J$294),"")</f>
        <v>5404</v>
      </c>
      <c r="K294" s="177">
        <f>IFERROR(IF([1]对账明细接口!$K$294=0,"",[1]对账明细接口!$K$294),"")</f>
      </c>
      <c r="L294" s="16">
        <f>IFERROR(IF([1]对账明细接口!$L$294=0,"",[1]对账明细接口!$L$294),"")</f>
      </c>
      <c r="M294" s="16" t="str">
        <f>IFERROR(IF([1]对账明细接口!$M$294=0,"",[1]对账明细接口!$M$294),"")</f>
        <v>热合曼</v>
      </c>
      <c r="N294" s="19">
        <f>IF($C294="",0,1)</f>
        <v>1</v>
      </c>
      <c r="O294" s="19">
        <f>N(O293)+$N294</f>
        <v>291</v>
      </c>
      <c r="S294" s="20" t="str">
        <f>IFERROR(IF([1]对账明细接口!$N294=0,"",[1]对账明细接口!$N294),"")</f>
        <v>公司红周转筐</v>
      </c>
      <c r="T294" s="212">
        <f>IFERROR(IF([1]对账明细接口!$O294=0,"",[1]对账明细接口!$O294),"")</f>
      </c>
      <c r="U294" s="212">
        <f>IFERROR(IF([1]对账明细接口!$P294=0,"",[1]对账明细接口!$P294),"")</f>
      </c>
      <c r="V294" s="212">
        <f>IFERROR(IF([1]对账明细接口!$Q294=0,"",[1]对账明细接口!$Q294),"")</f>
        <v>280</v>
      </c>
      <c r="W294" s="20" t="str">
        <f>IFERROR(IF([1]对账明细接口!$R294=0,"",[1]对账明细接口!$R294),"")</f>
        <v>新A*G0554</v>
      </c>
      <c r="X294" s="20" t="str">
        <f>IFERROR(IF([1]对账明细接口!$S294=0,"",[1]对账明细接口!$S294),"")</f>
        <v>公司筐</v>
      </c>
      <c r="Y294" s="20">
        <f>IFERROR(IF([1]对账明细接口!$T294=0,"",[1]对账明细接口!$T294),"")</f>
      </c>
      <c r="Z294" s="213">
        <f>IFERROR(IF([1]对账明细接口!$U294=0,"",[1]对账明细接口!$U294),"")</f>
      </c>
      <c r="AA294" s="213">
        <f>IFERROR(IF([1]对账明细接口!$V294=0,"",[1]对账明细接口!$V294),"")</f>
      </c>
      <c r="AB294" s="20">
        <f>IFERROR(IF([1]对账明细接口!$W294=0,"",[1]对账明细接口!$W294),"")</f>
      </c>
      <c r="AC294" s="7">
        <f>IFERROR(IF([1]对账明细接口!$X294=0,"",[1]对账明细接口!$X294),"")</f>
      </c>
      <c r="AD294" s="7">
        <f>IFERROR(IF([1]对账明细接口!$Y294=0,"",[1]对账明细接口!$Y294),"")</f>
      </c>
      <c r="AE294" s="7">
        <f>IFERROR(IF([1]对账明细接口!$AA294=0,"",[1]对账明细接口!$AA294),"")</f>
      </c>
      <c r="AF294" s="7">
        <f>IFERROR(IF([1]对账明细接口!$AB294=0,"",[1]对账明细接口!$AB294),"")</f>
      </c>
      <c r="AG294" s="7">
        <f>IFERROR(IF([1]对账明细接口!$AC294=0,"",[1]对账明细接口!$AC294),"")</f>
      </c>
      <c r="AH294" s="7">
        <f>IFERROR(IF([1]对账明细接口!$AD294=0,"",[1]对账明细接口!$AD294),"")</f>
      </c>
      <c r="AI294" s="7">
        <f>IFERROR(IF([1]对账明细接口!$AE294=0,"",[1]对账明细接口!$AE294),"")</f>
      </c>
      <c r="AJ294" s="7">
        <f>IFERROR(IF([1]对账明细接口!$AF294=0,"",[1]对账明细接口!$AF294),"")</f>
      </c>
    </row>
    <row r="295" ht="14.25" customHeight="1" s="127">
      <c r="A295" s="14" t="n">
        <v>295</v>
      </c>
      <c r="B295" s="211">
        <f>IFERROR(IF([1]对账明细接口!$B$295=0,"",[1]对账明细接口!$B$295),"")</f>
        <v>46283.0</v>
      </c>
      <c r="C295" s="16" t="str">
        <f>IFERROR(IF([1]对账明细接口!$C$295=0,"",[1]对账明细接口!$C$295),"")</f>
        <v>艾则孜</v>
      </c>
      <c r="D295" s="16" t="str">
        <f>IFERROR(IF([1]对账明细接口!$D$295=0,"",[1]对账明细接口!$D$295),"")</f>
        <v>原料入库</v>
      </c>
      <c r="E295" s="16" t="str">
        <f>IFERROR(IF([1]对账明细接口!$E$295=0,"",[1]对账明细接口!$E$295),"")</f>
        <v>NO:0000898</v>
      </c>
      <c r="F295" s="16" t="str">
        <f>IFERROR(IF([1]对账明细接口!$F$295=0,"",[1]对账明细接口!$F$295),"")</f>
        <v>香梨</v>
      </c>
      <c r="G295" s="16" t="str">
        <f>IFERROR(IF([1]对账明细接口!$G$295=0,"",[1]对账明细接口!$G$295),"")</f>
        <v>香梨二级</v>
      </c>
      <c r="H295" s="176">
        <f>IFERROR(IF([1]对账明细接口!$H$295=0,"",[1]对账明细接口!$H$295),"")</f>
        <v>88</v>
      </c>
      <c r="I295" s="16" t="str">
        <f>IFERROR(IF([1]对账明细接口!$I$295=0,"",[1]对账明细接口!$I$295),"")</f>
        <v>筐</v>
      </c>
      <c r="J295" s="177">
        <f>IFERROR(IF([1]对账明细接口!$J$295=0,"",[1]对账明细接口!$J$295),"")</f>
        <v>1962.4</v>
      </c>
      <c r="K295" s="177">
        <f>IFERROR(IF([1]对账明细接口!$K$295=0,"",[1]对账明细接口!$K$295),"")</f>
      </c>
      <c r="L295" s="16">
        <f>IFERROR(IF([1]对账明细接口!$L$295=0,"",[1]对账明细接口!$L$295),"")</f>
      </c>
      <c r="M295" s="16" t="str">
        <f>IFERROR(IF([1]对账明细接口!$M$295=0,"",[1]对账明细接口!$M$295),"")</f>
        <v>热合曼</v>
      </c>
      <c r="N295" s="19">
        <f>IF($C295="",0,1)</f>
        <v>1</v>
      </c>
      <c r="O295" s="19">
        <f>N(O294)+$N295</f>
        <v>292</v>
      </c>
      <c r="S295" s="20" t="str">
        <f>IFERROR(IF([1]对账明细接口!$N295=0,"",[1]对账明细接口!$N295),"")</f>
        <v>公司红周转筐</v>
      </c>
      <c r="T295" s="212">
        <f>IFERROR(IF([1]对账明细接口!$O295=0,"",[1]对账明细接口!$O295),"")</f>
      </c>
      <c r="U295" s="212">
        <f>IFERROR(IF([1]对账明细接口!$P295=0,"",[1]对账明细接口!$P295),"")</f>
      </c>
      <c r="V295" s="212">
        <f>IFERROR(IF([1]对账明细接口!$Q295=0,"",[1]对账明细接口!$Q295),"")</f>
        <v>88</v>
      </c>
      <c r="W295" s="20" t="str">
        <f>IFERROR(IF([1]对账明细接口!$R295=0,"",[1]对账明细接口!$R295),"")</f>
        <v>新A*G0554</v>
      </c>
      <c r="X295" s="20" t="str">
        <f>IFERROR(IF([1]对账明细接口!$S295=0,"",[1]对账明细接口!$S295),"")</f>
        <v>公司筐</v>
      </c>
      <c r="Y295" s="20">
        <f>IFERROR(IF([1]对账明细接口!$T295=0,"",[1]对账明细接口!$T295),"")</f>
      </c>
      <c r="Z295" s="213">
        <f>IFERROR(IF([1]对账明细接口!$U295=0,"",[1]对账明细接口!$U295),"")</f>
      </c>
      <c r="AA295" s="213">
        <f>IFERROR(IF([1]对账明细接口!$V295=0,"",[1]对账明细接口!$V295),"")</f>
      </c>
      <c r="AB295" s="20">
        <f>IFERROR(IF([1]对账明细接口!$W295=0,"",[1]对账明细接口!$W295),"")</f>
      </c>
      <c r="AC295" s="7">
        <f>IFERROR(IF([1]对账明细接口!$X295=0,"",[1]对账明细接口!$X295),"")</f>
      </c>
      <c r="AD295" s="7">
        <f>IFERROR(IF([1]对账明细接口!$Y295=0,"",[1]对账明细接口!$Y295),"")</f>
      </c>
      <c r="AE295" s="7">
        <f>IFERROR(IF([1]对账明细接口!$AA295=0,"",[1]对账明细接口!$AA295),"")</f>
      </c>
      <c r="AF295" s="7">
        <f>IFERROR(IF([1]对账明细接口!$AB295=0,"",[1]对账明细接口!$AB295),"")</f>
      </c>
      <c r="AG295" s="7">
        <f>IFERROR(IF([1]对账明细接口!$AC295=0,"",[1]对账明细接口!$AC295),"")</f>
      </c>
      <c r="AH295" s="7">
        <f>IFERROR(IF([1]对账明细接口!$AD295=0,"",[1]对账明细接口!$AD295),"")</f>
      </c>
      <c r="AI295" s="7">
        <f>IFERROR(IF([1]对账明细接口!$AE295=0,"",[1]对账明细接口!$AE295),"")</f>
      </c>
      <c r="AJ295" s="7">
        <f>IFERROR(IF([1]对账明细接口!$AF295=0,"",[1]对账明细接口!$AF295),"")</f>
      </c>
    </row>
    <row r="296" ht="14.25" customHeight="1" s="127">
      <c r="A296" s="14" t="n">
        <v>296</v>
      </c>
      <c r="B296" s="211">
        <f>IFERROR(IF([1]对账明细接口!$B$296=0,"",[1]对账明细接口!$B$296),"")</f>
        <v>46283.0</v>
      </c>
      <c r="C296" s="16" t="str">
        <f>IFERROR(IF([1]对账明细接口!$C$296=0,"",[1]对账明细接口!$C$296),"")</f>
        <v>艾则孜</v>
      </c>
      <c r="D296" s="16" t="str">
        <f>IFERROR(IF([1]对账明细接口!$D$296=0,"",[1]对账明细接口!$D$296),"")</f>
        <v>原料入库</v>
      </c>
      <c r="E296" s="16" t="str">
        <f>IFERROR(IF([1]对账明细接口!$E$296=0,"",[1]对账明细接口!$E$296),"")</f>
        <v>NO:0000898</v>
      </c>
      <c r="F296" s="16" t="str">
        <f>IFERROR(IF([1]对账明细接口!$F$296=0,"",[1]对账明细接口!$F$296),"")</f>
        <v>香梨</v>
      </c>
      <c r="G296" s="16" t="str">
        <f>IFERROR(IF([1]对账明细接口!$G$296=0,"",[1]对账明细接口!$G$296),"")</f>
        <v>香梨副特</v>
      </c>
      <c r="H296" s="176">
        <f>IFERROR(IF([1]对账明细接口!$H$296=0,"",[1]对账明细接口!$H$296),"")</f>
        <v>170</v>
      </c>
      <c r="I296" s="16" t="str">
        <f>IFERROR(IF([1]对账明细接口!$I$296=0,"",[1]对账明细接口!$I$296),"")</f>
        <v>筐</v>
      </c>
      <c r="J296" s="177">
        <f>IFERROR(IF([1]对账明细接口!$J$296=0,"",[1]对账明细接口!$J$296),"")</f>
        <v>3281</v>
      </c>
      <c r="K296" s="177">
        <f>IFERROR(IF([1]对账明细接口!$K$296=0,"",[1]对账明细接口!$K$296),"")</f>
      </c>
      <c r="L296" s="16">
        <f>IFERROR(IF([1]对账明细接口!$L$296=0,"",[1]对账明细接口!$L$296),"")</f>
      </c>
      <c r="M296" s="16" t="str">
        <f>IFERROR(IF([1]对账明细接口!$M$296=0,"",[1]对账明细接口!$M$296),"")</f>
        <v>热合曼</v>
      </c>
      <c r="N296" s="19">
        <f>IF($C296="",0,1)</f>
        <v>1</v>
      </c>
      <c r="O296" s="19">
        <f>N(O295)+$N296</f>
        <v>293</v>
      </c>
      <c r="S296" s="20" t="str">
        <f>IFERROR(IF([1]对账明细接口!$N296=0,"",[1]对账明细接口!$N296),"")</f>
        <v>公司红周转筐</v>
      </c>
      <c r="T296" s="212">
        <f>IFERROR(IF([1]对账明细接口!$O296=0,"",[1]对账明细接口!$O296),"")</f>
      </c>
      <c r="U296" s="212">
        <f>IFERROR(IF([1]对账明细接口!$P296=0,"",[1]对账明细接口!$P296),"")</f>
      </c>
      <c r="V296" s="212">
        <f>IFERROR(IF([1]对账明细接口!$Q296=0,"",[1]对账明细接口!$Q296),"")</f>
        <v>170</v>
      </c>
      <c r="W296" s="20" t="str">
        <f>IFERROR(IF([1]对账明细接口!$R296=0,"",[1]对账明细接口!$R296),"")</f>
        <v>新A*G0554</v>
      </c>
      <c r="X296" s="20" t="str">
        <f>IFERROR(IF([1]对账明细接口!$S296=0,"",[1]对账明细接口!$S296),"")</f>
        <v>公司筐</v>
      </c>
      <c r="Y296" s="20">
        <f>IFERROR(IF([1]对账明细接口!$T296=0,"",[1]对账明细接口!$T296),"")</f>
      </c>
      <c r="Z296" s="213">
        <f>IFERROR(IF([1]对账明细接口!$U296=0,"",[1]对账明细接口!$U296),"")</f>
      </c>
      <c r="AA296" s="213">
        <f>IFERROR(IF([1]对账明细接口!$V296=0,"",[1]对账明细接口!$V296),"")</f>
      </c>
      <c r="AB296" s="20">
        <f>IFERROR(IF([1]对账明细接口!$W296=0,"",[1]对账明细接口!$W296),"")</f>
      </c>
      <c r="AC296" s="7">
        <f>IFERROR(IF([1]对账明细接口!$X296=0,"",[1]对账明细接口!$X296),"")</f>
      </c>
      <c r="AD296" s="7">
        <f>IFERROR(IF([1]对账明细接口!$Y296=0,"",[1]对账明细接口!$Y296),"")</f>
      </c>
      <c r="AE296" s="7">
        <f>IFERROR(IF([1]对账明细接口!$AA296=0,"",[1]对账明细接口!$AA296),"")</f>
      </c>
      <c r="AF296" s="7">
        <f>IFERROR(IF([1]对账明细接口!$AB296=0,"",[1]对账明细接口!$AB296),"")</f>
      </c>
      <c r="AG296" s="7">
        <f>IFERROR(IF([1]对账明细接口!$AC296=0,"",[1]对账明细接口!$AC296),"")</f>
      </c>
      <c r="AH296" s="7">
        <f>IFERROR(IF([1]对账明细接口!$AD296=0,"",[1]对账明细接口!$AD296),"")</f>
      </c>
      <c r="AI296" s="7">
        <f>IFERROR(IF([1]对账明细接口!$AE296=0,"",[1]对账明细接口!$AE296),"")</f>
      </c>
      <c r="AJ296" s="7">
        <f>IFERROR(IF([1]对账明细接口!$AF296=0,"",[1]对账明细接口!$AF296),"")</f>
      </c>
    </row>
    <row r="297" ht="14.25" customHeight="1" s="127">
      <c r="A297" s="14" t="n">
        <v>297</v>
      </c>
      <c r="B297" s="211">
        <f>IFERROR(IF([1]对账明细接口!$B$297=0,"",[1]对账明细接口!$B$297),"")</f>
        <v>46283.0</v>
      </c>
      <c r="C297" s="16" t="str">
        <f>IFERROR(IF([1]对账明细接口!$C$297=0,"",[1]对账明细接口!$C$297),"")</f>
        <v>王灵云</v>
      </c>
      <c r="D297" s="16" t="str">
        <f>IFERROR(IF([1]对账明细接口!$D$297=0,"",[1]对账明细接口!$D$297),"")</f>
        <v>原料入库</v>
      </c>
      <c r="E297" s="16" t="str">
        <f>IFERROR(IF([1]对账明细接口!$E$297=0,"",[1]对账明细接口!$E$297),"")</f>
        <v>NO:0000901</v>
      </c>
      <c r="F297" s="16" t="str">
        <f>IFERROR(IF([1]对账明细接口!$F$297=0,"",[1]对账明细接口!$F$297),"")</f>
        <v>香梨</v>
      </c>
      <c r="G297" s="16" t="str">
        <f>IFERROR(IF([1]对账明细接口!$G$297=0,"",[1]对账明细接口!$G$297),"")</f>
        <v>香梨一级</v>
      </c>
      <c r="H297" s="176">
        <f>IFERROR(IF([1]对账明细接口!$H$297=0,"",[1]对账明细接口!$H$297),"")</f>
        <v>525</v>
      </c>
      <c r="I297" s="16" t="str">
        <f>IFERROR(IF([1]对账明细接口!$I$297=0,"",[1]对账明细接口!$I$297),"")</f>
        <v>筐</v>
      </c>
      <c r="J297" s="177">
        <f>IFERROR(IF([1]对账明细接口!$J$297=0,"",[1]对账明细接口!$J$297),"")</f>
        <v>9607.5</v>
      </c>
      <c r="K297" s="177">
        <f>IFERROR(IF([1]对账明细接口!$K$297=0,"",[1]对账明细接口!$K$297),"")</f>
      </c>
      <c r="L297" s="16">
        <f>IFERROR(IF([1]对账明细接口!$L$297=0,"",[1]对账明细接口!$L$297),"")</f>
      </c>
      <c r="M297" s="16">
        <f>IFERROR(IF([1]对账明细接口!$M$297=0,"",[1]对账明细接口!$M$297),"")</f>
      </c>
      <c r="N297" s="19">
        <f>IF($C297="",0,1)</f>
        <v>1</v>
      </c>
      <c r="O297" s="19">
        <f>N(O296)+$N297</f>
        <v>294</v>
      </c>
      <c r="S297" s="20" t="str">
        <f>IFERROR(IF([1]对账明细接口!$N297=0,"",[1]对账明细接口!$N297),"")</f>
        <v>公司红周转筐</v>
      </c>
      <c r="T297" s="212">
        <f>IFERROR(IF([1]对账明细接口!$O297=0,"",[1]对账明细接口!$O297),"")</f>
      </c>
      <c r="U297" s="212">
        <f>IFERROR(IF([1]对账明细接口!$P297=0,"",[1]对账明细接口!$P297),"")</f>
      </c>
      <c r="V297" s="212">
        <f>IFERROR(IF([1]对账明细接口!$Q297=0,"",[1]对账明细接口!$Q297),"")</f>
        <v>525</v>
      </c>
      <c r="W297" s="20" t="str">
        <f>IFERROR(IF([1]对账明细接口!$R297=0,"",[1]对账明细接口!$R297),"")</f>
        <v>新N*49209</v>
      </c>
      <c r="X297" s="20" t="str">
        <f>IFERROR(IF([1]对账明细接口!$S297=0,"",[1]对账明细接口!$S297),"")</f>
        <v>公司筐</v>
      </c>
      <c r="Y297" s="20">
        <f>IFERROR(IF([1]对账明细接口!$T297=0,"",[1]对账明细接口!$T297),"")</f>
      </c>
      <c r="Z297" s="213">
        <f>IFERROR(IF([1]对账明细接口!$U297=0,"",[1]对账明细接口!$U297),"")</f>
      </c>
      <c r="AA297" s="213">
        <f>IFERROR(IF([1]对账明细接口!$V297=0,"",[1]对账明细接口!$V297),"")</f>
      </c>
      <c r="AB297" s="20">
        <f>IFERROR(IF([1]对账明细接口!$W297=0,"",[1]对账明细接口!$W297),"")</f>
      </c>
      <c r="AC297" s="7">
        <f>IFERROR(IF([1]对账明细接口!$X297=0,"",[1]对账明细接口!$X297),"")</f>
      </c>
      <c r="AD297" s="7">
        <f>IFERROR(IF([1]对账明细接口!$Y297=0,"",[1]对账明细接口!$Y297),"")</f>
      </c>
      <c r="AE297" s="7">
        <f>IFERROR(IF([1]对账明细接口!$AA297=0,"",[1]对账明细接口!$AA297),"")</f>
      </c>
      <c r="AF297" s="7">
        <f>IFERROR(IF([1]对账明细接口!$AB297=0,"",[1]对账明细接口!$AB297),"")</f>
      </c>
      <c r="AG297" s="7">
        <f>IFERROR(IF([1]对账明细接口!$AC297=0,"",[1]对账明细接口!$AC297),"")</f>
      </c>
      <c r="AH297" s="7">
        <f>IFERROR(IF([1]对账明细接口!$AD297=0,"",[1]对账明细接口!$AD297),"")</f>
      </c>
      <c r="AI297" s="7">
        <f>IFERROR(IF([1]对账明细接口!$AE297=0,"",[1]对账明细接口!$AE297),"")</f>
      </c>
      <c r="AJ297" s="7">
        <f>IFERROR(IF([1]对账明细接口!$AF297=0,"",[1]对账明细接口!$AF297),"")</f>
      </c>
    </row>
    <row r="298" ht="14.25" customHeight="1" s="127">
      <c r="A298" s="14" t="n">
        <v>298</v>
      </c>
      <c r="B298" s="211">
        <f>IFERROR(IF([1]对账明细接口!$B$298=0,"",[1]对账明细接口!$B$298),"")</f>
        <v>46283.0</v>
      </c>
      <c r="C298" s="16" t="str">
        <f>IFERROR(IF([1]对账明细接口!$C$298=0,"",[1]对账明细接口!$C$298),"")</f>
        <v>王灵云</v>
      </c>
      <c r="D298" s="16" t="str">
        <f>IFERROR(IF([1]对账明细接口!$D$298=0,"",[1]对账明细接口!$D$298),"")</f>
        <v>原料入库</v>
      </c>
      <c r="E298" s="16" t="str">
        <f>IFERROR(IF([1]对账明细接口!$E$298=0,"",[1]对账明细接口!$E$298),"")</f>
        <v>NO:0000901</v>
      </c>
      <c r="F298" s="16" t="str">
        <f>IFERROR(IF([1]对账明细接口!$F$298=0,"",[1]对账明细接口!$F$298),"")</f>
        <v>香梨</v>
      </c>
      <c r="G298" s="16" t="str">
        <f>IFERROR(IF([1]对账明细接口!$G$298=0,"",[1]对账明细接口!$G$298),"")</f>
        <v>香梨二级</v>
      </c>
      <c r="H298" s="176">
        <f>IFERROR(IF([1]对账明细接口!$H$298=0,"",[1]对账明细接口!$H$298),"")</f>
        <v>87</v>
      </c>
      <c r="I298" s="16" t="str">
        <f>IFERROR(IF([1]对账明细接口!$I$298=0,"",[1]对账明细接口!$I$298),"")</f>
        <v>筐</v>
      </c>
      <c r="J298" s="177">
        <f>IFERROR(IF([1]对账明细接口!$J$298=0,"",[1]对账明细接口!$J$298),"")</f>
        <v>2027.1</v>
      </c>
      <c r="K298" s="177">
        <f>IFERROR(IF([1]对账明细接口!$K$298=0,"",[1]对账明细接口!$K$298),"")</f>
      </c>
      <c r="L298" s="16">
        <f>IFERROR(IF([1]对账明细接口!$L$298=0,"",[1]对账明细接口!$L$298),"")</f>
      </c>
      <c r="M298" s="16">
        <f>IFERROR(IF([1]对账明细接口!$M$298=0,"",[1]对账明细接口!$M$298),"")</f>
      </c>
      <c r="N298" s="19">
        <f>IF($C298="",0,1)</f>
        <v>1</v>
      </c>
      <c r="O298" s="19">
        <f>N(O297)+$N298</f>
        <v>295</v>
      </c>
      <c r="S298" s="20" t="str">
        <f>IFERROR(IF([1]对账明细接口!$N298=0,"",[1]对账明细接口!$N298),"")</f>
        <v>公司红周转筐</v>
      </c>
      <c r="T298" s="212">
        <f>IFERROR(IF([1]对账明细接口!$O298=0,"",[1]对账明细接口!$O298),"")</f>
      </c>
      <c r="U298" s="212">
        <f>IFERROR(IF([1]对账明细接口!$P298=0,"",[1]对账明细接口!$P298),"")</f>
      </c>
      <c r="V298" s="212">
        <f>IFERROR(IF([1]对账明细接口!$Q298=0,"",[1]对账明细接口!$Q298),"")</f>
        <v>87</v>
      </c>
      <c r="W298" s="20" t="str">
        <f>IFERROR(IF([1]对账明细接口!$R298=0,"",[1]对账明细接口!$R298),"")</f>
        <v>新N*49209</v>
      </c>
      <c r="X298" s="20" t="str">
        <f>IFERROR(IF([1]对账明细接口!$S298=0,"",[1]对账明细接口!$S298),"")</f>
        <v>公司筐</v>
      </c>
      <c r="Y298" s="20">
        <f>IFERROR(IF([1]对账明细接口!$T298=0,"",[1]对账明细接口!$T298),"")</f>
      </c>
      <c r="Z298" s="213">
        <f>IFERROR(IF([1]对账明细接口!$U298=0,"",[1]对账明细接口!$U298),"")</f>
      </c>
      <c r="AA298" s="213">
        <f>IFERROR(IF([1]对账明细接口!$V298=0,"",[1]对账明细接口!$V298),"")</f>
      </c>
      <c r="AB298" s="20">
        <f>IFERROR(IF([1]对账明细接口!$W298=0,"",[1]对账明细接口!$W298),"")</f>
      </c>
      <c r="AC298" s="7">
        <f>IFERROR(IF([1]对账明细接口!$X298=0,"",[1]对账明细接口!$X298),"")</f>
      </c>
      <c r="AD298" s="7">
        <f>IFERROR(IF([1]对账明细接口!$Y298=0,"",[1]对账明细接口!$Y298),"")</f>
      </c>
      <c r="AE298" s="7">
        <f>IFERROR(IF([1]对账明细接口!$AA298=0,"",[1]对账明细接口!$AA298),"")</f>
      </c>
      <c r="AF298" s="7">
        <f>IFERROR(IF([1]对账明细接口!$AB298=0,"",[1]对账明细接口!$AB298),"")</f>
      </c>
      <c r="AG298" s="7">
        <f>IFERROR(IF([1]对账明细接口!$AC298=0,"",[1]对账明细接口!$AC298),"")</f>
      </c>
      <c r="AH298" s="7">
        <f>IFERROR(IF([1]对账明细接口!$AD298=0,"",[1]对账明细接口!$AD298),"")</f>
      </c>
      <c r="AI298" s="7">
        <f>IFERROR(IF([1]对账明细接口!$AE298=0,"",[1]对账明细接口!$AE298),"")</f>
      </c>
      <c r="AJ298" s="7">
        <f>IFERROR(IF([1]对账明细接口!$AF298=0,"",[1]对账明细接口!$AF298),"")</f>
      </c>
    </row>
    <row r="299" ht="14.25" customHeight="1" s="127">
      <c r="A299" s="14" t="n">
        <v>299</v>
      </c>
      <c r="B299" s="211">
        <f>IFERROR(IF([1]对账明细接口!$B$299=0,"",[1]对账明细接口!$B$299),"")</f>
        <v>46283.0</v>
      </c>
      <c r="C299" s="16" t="str">
        <f>IFERROR(IF([1]对账明细接口!$C$299=0,"",[1]对账明细接口!$C$299),"")</f>
        <v>王灵云</v>
      </c>
      <c r="D299" s="16" t="str">
        <f>IFERROR(IF([1]对账明细接口!$D$299=0,"",[1]对账明细接口!$D$299),"")</f>
        <v>原料入库</v>
      </c>
      <c r="E299" s="16" t="str">
        <f>IFERROR(IF([1]对账明细接口!$E$299=0,"",[1]对账明细接口!$E$299),"")</f>
        <v>NO:0000901</v>
      </c>
      <c r="F299" s="16" t="str">
        <f>IFERROR(IF([1]对账明细接口!$F$299=0,"",[1]对账明细接口!$F$299),"")</f>
        <v>香梨</v>
      </c>
      <c r="G299" s="16" t="str">
        <f>IFERROR(IF([1]对账明细接口!$G$299=0,"",[1]对账明细接口!$G$299),"")</f>
        <v>香梨副特</v>
      </c>
      <c r="H299" s="176">
        <f>IFERROR(IF([1]对账明细接口!$H$299=0,"",[1]对账明细接口!$H$299),"")</f>
        <v>77</v>
      </c>
      <c r="I299" s="16" t="str">
        <f>IFERROR(IF([1]对账明细接口!$I$299=0,"",[1]对账明细接口!$I$299),"")</f>
        <v>筐</v>
      </c>
      <c r="J299" s="177">
        <f>IFERROR(IF([1]对账明细接口!$J$299=0,"",[1]对账明细接口!$J$299),"")</f>
        <v>1409.1</v>
      </c>
      <c r="K299" s="177">
        <f>IFERROR(IF([1]对账明细接口!$K$299=0,"",[1]对账明细接口!$K$299),"")</f>
      </c>
      <c r="L299" s="16">
        <f>IFERROR(IF([1]对账明细接口!$L$299=0,"",[1]对账明细接口!$L$299),"")</f>
      </c>
      <c r="M299" s="16">
        <f>IFERROR(IF([1]对账明细接口!$M$299=0,"",[1]对账明细接口!$M$299),"")</f>
      </c>
      <c r="N299" s="19">
        <f>IF($C299="",0,1)</f>
        <v>1</v>
      </c>
      <c r="O299" s="19">
        <f>N(O298)+$N299</f>
        <v>296</v>
      </c>
      <c r="S299" s="20" t="str">
        <f>IFERROR(IF([1]对账明细接口!$N299=0,"",[1]对账明细接口!$N299),"")</f>
        <v>公司红周转筐</v>
      </c>
      <c r="T299" s="212">
        <f>IFERROR(IF([1]对账明细接口!$O299=0,"",[1]对账明细接口!$O299),"")</f>
      </c>
      <c r="U299" s="212">
        <f>IFERROR(IF([1]对账明细接口!$P299=0,"",[1]对账明细接口!$P299),"")</f>
      </c>
      <c r="V299" s="212">
        <f>IFERROR(IF([1]对账明细接口!$Q299=0,"",[1]对账明细接口!$Q299),"")</f>
        <v>77</v>
      </c>
      <c r="W299" s="20" t="str">
        <f>IFERROR(IF([1]对账明细接口!$R299=0,"",[1]对账明细接口!$R299),"")</f>
        <v>新N*49209</v>
      </c>
      <c r="X299" s="20" t="str">
        <f>IFERROR(IF([1]对账明细接口!$S299=0,"",[1]对账明细接口!$S299),"")</f>
        <v>公司筐</v>
      </c>
      <c r="Y299" s="20">
        <f>IFERROR(IF([1]对账明细接口!$T299=0,"",[1]对账明细接口!$T299),"")</f>
      </c>
      <c r="Z299" s="213">
        <f>IFERROR(IF([1]对账明细接口!$U299=0,"",[1]对账明细接口!$U299),"")</f>
      </c>
      <c r="AA299" s="213">
        <f>IFERROR(IF([1]对账明细接口!$V299=0,"",[1]对账明细接口!$V299),"")</f>
      </c>
      <c r="AB299" s="20">
        <f>IFERROR(IF([1]对账明细接口!$W299=0,"",[1]对账明细接口!$W299),"")</f>
      </c>
      <c r="AC299" s="7">
        <f>IFERROR(IF([1]对账明细接口!$X299=0,"",[1]对账明细接口!$X299),"")</f>
      </c>
      <c r="AD299" s="7">
        <f>IFERROR(IF([1]对账明细接口!$Y299=0,"",[1]对账明细接口!$Y299),"")</f>
      </c>
      <c r="AE299" s="7">
        <f>IFERROR(IF([1]对账明细接口!$AA299=0,"",[1]对账明细接口!$AA299),"")</f>
      </c>
      <c r="AF299" s="7">
        <f>IFERROR(IF([1]对账明细接口!$AB299=0,"",[1]对账明细接口!$AB299),"")</f>
      </c>
      <c r="AG299" s="7">
        <f>IFERROR(IF([1]对账明细接口!$AC299=0,"",[1]对账明细接口!$AC299),"")</f>
      </c>
      <c r="AH299" s="7">
        <f>IFERROR(IF([1]对账明细接口!$AD299=0,"",[1]对账明细接口!$AD299),"")</f>
      </c>
      <c r="AI299" s="7">
        <f>IFERROR(IF([1]对账明细接口!$AE299=0,"",[1]对账明细接口!$AE299),"")</f>
      </c>
      <c r="AJ299" s="7">
        <f>IFERROR(IF([1]对账明细接口!$AF299=0,"",[1]对账明细接口!$AF299),"")</f>
      </c>
    </row>
    <row r="300" ht="14.25" customHeight="1" s="127">
      <c r="A300" s="14" t="n">
        <v>300</v>
      </c>
      <c r="B300" s="211">
        <f>IFERROR(IF([1]对账明细接口!$B$300=0,"",[1]对账明细接口!$B$300),"")</f>
        <v>46283.0</v>
      </c>
      <c r="C300" s="16" t="str">
        <f>IFERROR(IF([1]对账明细接口!$C$300=0,"",[1]对账明细接口!$C$300),"")</f>
        <v>王照雪</v>
      </c>
      <c r="D300" s="16" t="str">
        <f>IFERROR(IF([1]对账明细接口!$D$300=0,"",[1]对账明细接口!$D$300),"")</f>
        <v>原料入库</v>
      </c>
      <c r="E300" s="16" t="str">
        <f>IFERROR(IF([1]对账明细接口!$E$300=0,"",[1]对账明细接口!$E$300),"")</f>
        <v>NO:0000902</v>
      </c>
      <c r="F300" s="16" t="str">
        <f>IFERROR(IF([1]对账明细接口!$F$300=0,"",[1]对账明细接口!$F$300),"")</f>
        <v>苹果</v>
      </c>
      <c r="G300" s="16" t="str">
        <f>IFERROR(IF([1]对账明细接口!$G$300=0,"",[1]对账明细接口!$G$300),"")</f>
        <v>新世纪一级</v>
      </c>
      <c r="H300" s="176">
        <f>IFERROR(IF([1]对账明细接口!$H$300=0,"",[1]对账明细接口!$H$300),"")</f>
        <v>182</v>
      </c>
      <c r="I300" s="16" t="str">
        <f>IFERROR(IF([1]对账明细接口!$I$300=0,"",[1]对账明细接口!$I$300),"")</f>
        <v>筐</v>
      </c>
      <c r="J300" s="177">
        <f>IFERROR(IF([1]对账明细接口!$J$300=0,"",[1]对账明细接口!$J$300),"")</f>
        <v>3148.6</v>
      </c>
      <c r="K300" s="177">
        <f>IFERROR(IF([1]对账明细接口!$K$300=0,"",[1]对账明细接口!$K$300),"")</f>
      </c>
      <c r="L300" s="16">
        <f>IFERROR(IF([1]对账明细接口!$L$300=0,"",[1]对账明细接口!$L$300),"")</f>
      </c>
      <c r="M300" s="16">
        <f>IFERROR(IF([1]对账明细接口!$M$300=0,"",[1]对账明细接口!$M$300),"")</f>
      </c>
      <c r="N300" s="19">
        <f>IF($C300="",0,1)</f>
        <v>1</v>
      </c>
      <c r="O300" s="19">
        <f>N(O299)+$N300</f>
        <v>297</v>
      </c>
      <c r="S300" s="20" t="str">
        <f>IFERROR(IF([1]对账明细接口!$N300=0,"",[1]对账明细接口!$N300),"")</f>
        <v>公司杂周转筐</v>
      </c>
      <c r="T300" s="212">
        <f>IFERROR(IF([1]对账明细接口!$O300=0,"",[1]对账明细接口!$O300),"")</f>
      </c>
      <c r="U300" s="212">
        <f>IFERROR(IF([1]对账明细接口!$P300=0,"",[1]对账明细接口!$P300),"")</f>
      </c>
      <c r="V300" s="212">
        <f>IFERROR(IF([1]对账明细接口!$Q300=0,"",[1]对账明细接口!$Q300),"")</f>
        <v>182</v>
      </c>
      <c r="W300" s="20" t="str">
        <f>IFERROR(IF([1]对账明细接口!$R300=0,"",[1]对账明细接口!$R300),"")</f>
        <v>豫L*88X19</v>
      </c>
      <c r="X300" s="20" t="str">
        <f>IFERROR(IF([1]对账明细接口!$S300=0,"",[1]对账明细接口!$S300),"")</f>
        <v>公司筐</v>
      </c>
      <c r="Y300" s="20">
        <f>IFERROR(IF([1]对账明细接口!$T300=0,"",[1]对账明细接口!$T300),"")</f>
      </c>
      <c r="Z300" s="213">
        <f>IFERROR(IF([1]对账明细接口!$U300=0,"",[1]对账明细接口!$U300),"")</f>
      </c>
      <c r="AA300" s="213">
        <f>IFERROR(IF([1]对账明细接口!$V300=0,"",[1]对账明细接口!$V300),"")</f>
      </c>
      <c r="AB300" s="20">
        <f>IFERROR(IF([1]对账明细接口!$W300=0,"",[1]对账明细接口!$W300),"")</f>
      </c>
      <c r="AC300" s="7">
        <f>IFERROR(IF([1]对账明细接口!$X300=0,"",[1]对账明细接口!$X300),"")</f>
      </c>
      <c r="AD300" s="7">
        <f>IFERROR(IF([1]对账明细接口!$Y300=0,"",[1]对账明细接口!$Y300),"")</f>
      </c>
      <c r="AE300" s="7">
        <f>IFERROR(IF([1]对账明细接口!$AA300=0,"",[1]对账明细接口!$AA300),"")</f>
      </c>
      <c r="AF300" s="7">
        <f>IFERROR(IF([1]对账明细接口!$AB300=0,"",[1]对账明细接口!$AB300),"")</f>
      </c>
      <c r="AG300" s="7">
        <f>IFERROR(IF([1]对账明细接口!$AC300=0,"",[1]对账明细接口!$AC300),"")</f>
      </c>
      <c r="AH300" s="7">
        <f>IFERROR(IF([1]对账明细接口!$AD300=0,"",[1]对账明细接口!$AD300),"")</f>
      </c>
      <c r="AI300" s="7">
        <f>IFERROR(IF([1]对账明细接口!$AE300=0,"",[1]对账明细接口!$AE300),"")</f>
      </c>
      <c r="AJ300" s="7">
        <f>IFERROR(IF([1]对账明细接口!$AF300=0,"",[1]对账明细接口!$AF300),"")</f>
      </c>
    </row>
    <row r="301" ht="14.25" customHeight="1" s="127">
      <c r="A301" s="14" t="n">
        <v>301</v>
      </c>
      <c r="B301" s="211">
        <f>IFERROR(IF([1]对账明细接口!$B$301=0,"",[1]对账明细接口!$B$301),"")</f>
        <v>46283.0</v>
      </c>
      <c r="C301" s="16" t="str">
        <f>IFERROR(IF([1]对账明细接口!$C$301=0,"",[1]对账明细接口!$C$301),"")</f>
        <v>王照雪</v>
      </c>
      <c r="D301" s="16" t="str">
        <f>IFERROR(IF([1]对账明细接口!$D$301=0,"",[1]对账明细接口!$D$301),"")</f>
        <v>原料入库</v>
      </c>
      <c r="E301" s="16" t="str">
        <f>IFERROR(IF([1]对账明细接口!$E$301=0,"",[1]对账明细接口!$E$301),"")</f>
        <v>NO:0000902</v>
      </c>
      <c r="F301" s="16" t="str">
        <f>IFERROR(IF([1]对账明细接口!$F$301=0,"",[1]对账明细接口!$F$301),"")</f>
        <v>苹果</v>
      </c>
      <c r="G301" s="16" t="str">
        <f>IFERROR(IF([1]对账明细接口!$G$301=0,"",[1]对账明细接口!$G$301),"")</f>
        <v>新世纪二级</v>
      </c>
      <c r="H301" s="176">
        <f>IFERROR(IF([1]对账明细接口!$H$301=0,"",[1]对账明细接口!$H$301),"")</f>
        <v>52</v>
      </c>
      <c r="I301" s="16" t="str">
        <f>IFERROR(IF([1]对账明细接口!$I$301=0,"",[1]对账明细接口!$I$301),"")</f>
        <v>筐</v>
      </c>
      <c r="J301" s="177">
        <f>IFERROR(IF([1]对账明细接口!$J$301=0,"",[1]对账明细接口!$J$301),"")</f>
        <v>1055.6</v>
      </c>
      <c r="K301" s="177">
        <f>IFERROR(IF([1]对账明细接口!$K$301=0,"",[1]对账明细接口!$K$301),"")</f>
      </c>
      <c r="L301" s="16">
        <f>IFERROR(IF([1]对账明细接口!$L$301=0,"",[1]对账明细接口!$L$301),"")</f>
      </c>
      <c r="M301" s="16">
        <f>IFERROR(IF([1]对账明细接口!$M$301=0,"",[1]对账明细接口!$M$301),"")</f>
      </c>
      <c r="N301" s="19">
        <f>IF($C301="",0,1)</f>
        <v>1</v>
      </c>
      <c r="O301" s="19">
        <f>N(O300)+$N301</f>
        <v>298</v>
      </c>
      <c r="S301" s="20" t="str">
        <f>IFERROR(IF([1]对账明细接口!$N301=0,"",[1]对账明细接口!$N301),"")</f>
        <v>公司杂周转筐</v>
      </c>
      <c r="T301" s="212">
        <f>IFERROR(IF([1]对账明细接口!$O301=0,"",[1]对账明细接口!$O301),"")</f>
      </c>
      <c r="U301" s="212">
        <f>IFERROR(IF([1]对账明细接口!$P301=0,"",[1]对账明细接口!$P301),"")</f>
      </c>
      <c r="V301" s="212">
        <f>IFERROR(IF([1]对账明细接口!$Q301=0,"",[1]对账明细接口!$Q301),"")</f>
        <v>52</v>
      </c>
      <c r="W301" s="20" t="str">
        <f>IFERROR(IF([1]对账明细接口!$R301=0,"",[1]对账明细接口!$R301),"")</f>
        <v>豫L*88X19</v>
      </c>
      <c r="X301" s="20" t="str">
        <f>IFERROR(IF([1]对账明细接口!$S301=0,"",[1]对账明细接口!$S301),"")</f>
        <v>公司筐</v>
      </c>
      <c r="Y301" s="20">
        <f>IFERROR(IF([1]对账明细接口!$T301=0,"",[1]对账明细接口!$T301),"")</f>
      </c>
      <c r="Z301" s="213">
        <f>IFERROR(IF([1]对账明细接口!$U301=0,"",[1]对账明细接口!$U301),"")</f>
      </c>
      <c r="AA301" s="213">
        <f>IFERROR(IF([1]对账明细接口!$V301=0,"",[1]对账明细接口!$V301),"")</f>
      </c>
      <c r="AB301" s="20">
        <f>IFERROR(IF([1]对账明细接口!$W301=0,"",[1]对账明细接口!$W301),"")</f>
      </c>
      <c r="AC301" s="7">
        <f>IFERROR(IF([1]对账明细接口!$X301=0,"",[1]对账明细接口!$X301),"")</f>
      </c>
      <c r="AD301" s="7">
        <f>IFERROR(IF([1]对账明细接口!$Y301=0,"",[1]对账明细接口!$Y301),"")</f>
      </c>
      <c r="AE301" s="7">
        <f>IFERROR(IF([1]对账明细接口!$AA301=0,"",[1]对账明细接口!$AA301),"")</f>
      </c>
      <c r="AF301" s="7">
        <f>IFERROR(IF([1]对账明细接口!$AB301=0,"",[1]对账明细接口!$AB301),"")</f>
      </c>
      <c r="AG301" s="7">
        <f>IFERROR(IF([1]对账明细接口!$AC301=0,"",[1]对账明细接口!$AC301),"")</f>
      </c>
      <c r="AH301" s="7">
        <f>IFERROR(IF([1]对账明细接口!$AD301=0,"",[1]对账明细接口!$AD301),"")</f>
      </c>
      <c r="AI301" s="7">
        <f>IFERROR(IF([1]对账明细接口!$AE301=0,"",[1]对账明细接口!$AE301),"")</f>
      </c>
      <c r="AJ301" s="7">
        <f>IFERROR(IF([1]对账明细接口!$AF301=0,"",[1]对账明细接口!$AF301),"")</f>
      </c>
    </row>
    <row r="302" ht="14.25" customHeight="1" s="127">
      <c r="A302" s="14" t="n">
        <v>302</v>
      </c>
      <c r="B302" s="211">
        <f>IFERROR(IF([1]对账明细接口!$B$302=0,"",[1]对账明细接口!$B$302),"")</f>
        <v>46283.0</v>
      </c>
      <c r="C302" s="16" t="str">
        <f>IFERROR(IF([1]对账明细接口!$C$302=0,"",[1]对账明细接口!$C$302),"")</f>
        <v>王浩</v>
      </c>
      <c r="D302" s="16" t="str">
        <f>IFERROR(IF([1]对账明细接口!$D$302=0,"",[1]对账明细接口!$D$302),"")</f>
        <v>原料入库</v>
      </c>
      <c r="E302" s="16" t="str">
        <f>IFERROR(IF([1]对账明细接口!$E$302=0,"",[1]对账明细接口!$E$302),"")</f>
        <v>NO:0000903</v>
      </c>
      <c r="F302" s="16" t="str">
        <f>IFERROR(IF([1]对账明细接口!$F$302=0,"",[1]对账明细接口!$F$302),"")</f>
        <v>香梨</v>
      </c>
      <c r="G302" s="16" t="str">
        <f>IFERROR(IF([1]对账明细接口!$G$302=0,"",[1]对账明细接口!$G$302),"")</f>
        <v>香梨一级</v>
      </c>
      <c r="H302" s="176">
        <f>IFERROR(IF([1]对账明细接口!$H$302=0,"",[1]对账明细接口!$H$302),"")</f>
        <v>871</v>
      </c>
      <c r="I302" s="16" t="str">
        <f>IFERROR(IF([1]对账明细接口!$I$302=0,"",[1]对账明细接口!$I$302),"")</f>
        <v>筐</v>
      </c>
      <c r="J302" s="177">
        <f>IFERROR(IF([1]对账明细接口!$J$302=0,"",[1]对账明细接口!$J$302),"")</f>
        <v>16113.5</v>
      </c>
      <c r="K302" s="177">
        <f>IFERROR(IF([1]对账明细接口!$K$302=0,"",[1]对账明细接口!$K$302),"")</f>
      </c>
      <c r="L302" s="16">
        <f>IFERROR(IF([1]对账明细接口!$L$302=0,"",[1]对账明细接口!$L$302),"")</f>
      </c>
      <c r="M302" s="16">
        <f>IFERROR(IF([1]对账明细接口!$M$302=0,"",[1]对账明细接口!$M$302),"")</f>
      </c>
      <c r="N302" s="19">
        <f>IF($C302="",0,1)</f>
        <v>1</v>
      </c>
      <c r="O302" s="19">
        <f>N(O301)+$N302</f>
        <v>299</v>
      </c>
      <c r="S302" s="20" t="str">
        <f>IFERROR(IF([1]对账明细接口!$N302=0,"",[1]对账明细接口!$N302),"")</f>
        <v>公司一次性筐</v>
      </c>
      <c r="T302" s="212">
        <f>IFERROR(IF([1]对账明细接口!$O302=0,"",[1]对账明细接口!$O302),"")</f>
      </c>
      <c r="U302" s="212">
        <f>IFERROR(IF([1]对账明细接口!$P302=0,"",[1]对账明细接口!$P302),"")</f>
      </c>
      <c r="V302" s="212">
        <f>IFERROR(IF([1]对账明细接口!$Q302=0,"",[1]对账明细接口!$Q302),"")</f>
        <v>871</v>
      </c>
      <c r="W302" s="20" t="str">
        <f>IFERROR(IF([1]对账明细接口!$R302=0,"",[1]对账明细接口!$R302),"")</f>
        <v>新A*H4431</v>
      </c>
      <c r="X302" s="20" t="str">
        <f>IFERROR(IF([1]对账明细接口!$S302=0,"",[1]对账明细接口!$S302),"")</f>
        <v>公司筐</v>
      </c>
      <c r="Y302" s="20">
        <f>IFERROR(IF([1]对账明细接口!$T302=0,"",[1]对账明细接口!$T302),"")</f>
      </c>
      <c r="Z302" s="213">
        <f>IFERROR(IF([1]对账明细接口!$U302=0,"",[1]对账明细接口!$U302),"")</f>
      </c>
      <c r="AA302" s="213">
        <f>IFERROR(IF([1]对账明细接口!$V302=0,"",[1]对账明细接口!$V302),"")</f>
      </c>
      <c r="AB302" s="20">
        <f>IFERROR(IF([1]对账明细接口!$W302=0,"",[1]对账明细接口!$W302),"")</f>
      </c>
      <c r="AC302" s="7">
        <f>IFERROR(IF([1]对账明细接口!$X302=0,"",[1]对账明细接口!$X302),"")</f>
      </c>
      <c r="AD302" s="7">
        <f>IFERROR(IF([1]对账明细接口!$Y302=0,"",[1]对账明细接口!$Y302),"")</f>
      </c>
      <c r="AE302" s="7">
        <f>IFERROR(IF([1]对账明细接口!$AA302=0,"",[1]对账明细接口!$AA302),"")</f>
      </c>
      <c r="AF302" s="7">
        <f>IFERROR(IF([1]对账明细接口!$AB302=0,"",[1]对账明细接口!$AB302),"")</f>
      </c>
      <c r="AG302" s="7">
        <f>IFERROR(IF([1]对账明细接口!$AC302=0,"",[1]对账明细接口!$AC302),"")</f>
      </c>
      <c r="AH302" s="7">
        <f>IFERROR(IF([1]对账明细接口!$AD302=0,"",[1]对账明细接口!$AD302),"")</f>
      </c>
      <c r="AI302" s="7">
        <f>IFERROR(IF([1]对账明细接口!$AE302=0,"",[1]对账明细接口!$AE302),"")</f>
      </c>
      <c r="AJ302" s="7">
        <f>IFERROR(IF([1]对账明细接口!$AF302=0,"",[1]对账明细接口!$AF302),"")</f>
      </c>
    </row>
    <row r="303" ht="14.25" customHeight="1" s="127">
      <c r="A303" s="14" t="n">
        <v>303</v>
      </c>
      <c r="B303" s="211">
        <f>IFERROR(IF([1]对账明细接口!$B$303=0,"",[1]对账明细接口!$B$303),"")</f>
        <v>46283.0</v>
      </c>
      <c r="C303" s="16" t="str">
        <f>IFERROR(IF([1]对账明细接口!$C$303=0,"",[1]对账明细接口!$C$303),"")</f>
        <v>王浩</v>
      </c>
      <c r="D303" s="16" t="str">
        <f>IFERROR(IF([1]对账明细接口!$D$303=0,"",[1]对账明细接口!$D$303),"")</f>
        <v>原料入库</v>
      </c>
      <c r="E303" s="16" t="str">
        <f>IFERROR(IF([1]对账明细接口!$E$303=0,"",[1]对账明细接口!$E$303),"")</f>
        <v>NO:0000903</v>
      </c>
      <c r="F303" s="16" t="str">
        <f>IFERROR(IF([1]对账明细接口!$F$303=0,"",[1]对账明细接口!$F$303),"")</f>
        <v>香梨</v>
      </c>
      <c r="G303" s="16" t="str">
        <f>IFERROR(IF([1]对账明细接口!$G$303=0,"",[1]对账明细接口!$G$303),"")</f>
        <v>香梨一级</v>
      </c>
      <c r="H303" s="176">
        <f>IFERROR(IF([1]对账明细接口!$H$303=0,"",[1]对账明细接口!$H$303),"")</f>
        <v>175</v>
      </c>
      <c r="I303" s="16" t="str">
        <f>IFERROR(IF([1]对账明细接口!$I$303=0,"",[1]对账明细接口!$I$303),"")</f>
        <v>筐</v>
      </c>
      <c r="J303" s="177">
        <f>IFERROR(IF([1]对账明细接口!$J$303=0,"",[1]对账明细接口!$J$303),"")</f>
        <v>3202.5</v>
      </c>
      <c r="K303" s="177">
        <f>IFERROR(IF([1]对账明细接口!$K$303=0,"",[1]对账明细接口!$K$303),"")</f>
      </c>
      <c r="L303" s="16">
        <f>IFERROR(IF([1]对账明细接口!$L$303=0,"",[1]对账明细接口!$L$303),"")</f>
      </c>
      <c r="M303" s="16" t="str">
        <f>IFERROR(IF([1]对账明细接口!$M$303=0,"",[1]对账明细接口!$M$303),"")</f>
        <v>自备白周转筐</v>
      </c>
      <c r="N303" s="19">
        <f>IF($C303="",0,1)</f>
        <v>1</v>
      </c>
      <c r="O303" s="19">
        <f>N(O302)+$N303</f>
        <v>300</v>
      </c>
      <c r="S303" s="20" t="str">
        <f>IFERROR(IF([1]对账明细接口!$N303=0,"",[1]对账明细接口!$N303),"")</f>
        <v>自备杂周转筐</v>
      </c>
      <c r="T303" s="212">
        <f>IFERROR(IF([1]对账明细接口!$O303=0,"",[1]对账明细接口!$O303),"")</f>
      </c>
      <c r="U303" s="212">
        <f>IFERROR(IF([1]对账明细接口!$P303=0,"",[1]对账明细接口!$P303),"")</f>
      </c>
      <c r="V303" s="212">
        <f>IFERROR(IF([1]对账明细接口!$Q303=0,"",[1]对账明细接口!$Q303),"")</f>
        <v>175</v>
      </c>
      <c r="W303" s="20" t="str">
        <f>IFERROR(IF([1]对账明细接口!$R303=0,"",[1]对账明细接口!$R303),"")</f>
        <v>新A*H4431</v>
      </c>
      <c r="X303" s="20" t="str">
        <f>IFERROR(IF([1]对账明细接口!$S303=0,"",[1]对账明细接口!$S303),"")</f>
        <v>自备筐</v>
      </c>
      <c r="Y303" s="20">
        <f>IFERROR(IF([1]对账明细接口!$T303=0,"",[1]对账明细接口!$T303),"")</f>
      </c>
      <c r="Z303" s="213">
        <f>IFERROR(IF([1]对账明细接口!$U303=0,"",[1]对账明细接口!$U303),"")</f>
      </c>
      <c r="AA303" s="213">
        <f>IFERROR(IF([1]对账明细接口!$V303=0,"",[1]对账明细接口!$V303),"")</f>
      </c>
      <c r="AB303" s="20">
        <f>IFERROR(IF([1]对账明细接口!$W303=0,"",[1]对账明细接口!$W303),"")</f>
      </c>
      <c r="AC303" s="7">
        <f>IFERROR(IF([1]对账明细接口!$X303=0,"",[1]对账明细接口!$X303),"")</f>
      </c>
      <c r="AD303" s="7">
        <f>IFERROR(IF([1]对账明细接口!$Y303=0,"",[1]对账明细接口!$Y303),"")</f>
      </c>
      <c r="AE303" s="7">
        <f>IFERROR(IF([1]对账明细接口!$AA303=0,"",[1]对账明细接口!$AA303),"")</f>
      </c>
      <c r="AF303" s="7">
        <f>IFERROR(IF([1]对账明细接口!$AB303=0,"",[1]对账明细接口!$AB303),"")</f>
      </c>
      <c r="AG303" s="7">
        <f>IFERROR(IF([1]对账明细接口!$AC303=0,"",[1]对账明细接口!$AC303),"")</f>
      </c>
      <c r="AH303" s="7">
        <f>IFERROR(IF([1]对账明细接口!$AD303=0,"",[1]对账明细接口!$AD303),"")</f>
      </c>
      <c r="AI303" s="7">
        <f>IFERROR(IF([1]对账明细接口!$AE303=0,"",[1]对账明细接口!$AE303),"")</f>
      </c>
      <c r="AJ303" s="7">
        <f>IFERROR(IF([1]对账明细接口!$AF303=0,"",[1]对账明细接口!$AF303),"")</f>
      </c>
    </row>
    <row r="304" ht="14.25" customHeight="1" s="127">
      <c r="A304" s="14" t="n">
        <v>304</v>
      </c>
      <c r="B304" s="211">
        <f>IFERROR(IF([1]对账明细接口!$B$304=0,"",[1]对账明细接口!$B$304),"")</f>
        <v>46283.0</v>
      </c>
      <c r="C304" s="16" t="str">
        <f>IFERROR(IF([1]对账明细接口!$C$304=0,"",[1]对账明细接口!$C$304),"")</f>
        <v>王照雪</v>
      </c>
      <c r="D304" s="16" t="str">
        <f>IFERROR(IF([1]对账明细接口!$D$304=0,"",[1]对账明细接口!$D$304),"")</f>
        <v>原料入库</v>
      </c>
      <c r="E304" s="16" t="str">
        <f>IFERROR(IF([1]对账明细接口!$E$304=0,"",[1]对账明细接口!$E$304),"")</f>
        <v>NO:0000905</v>
      </c>
      <c r="F304" s="16" t="str">
        <f>IFERROR(IF([1]对账明细接口!$F$304=0,"",[1]对账明细接口!$F$304),"")</f>
        <v>香梨</v>
      </c>
      <c r="G304" s="16" t="str">
        <f>IFERROR(IF([1]对账明细接口!$G$304=0,"",[1]对账明细接口!$G$304),"")</f>
        <v>香梨一级</v>
      </c>
      <c r="H304" s="176">
        <f>IFERROR(IF([1]对账明细接口!$H$304=0,"",[1]对账明细接口!$H$304),"")</f>
        <v>175</v>
      </c>
      <c r="I304" s="16" t="str">
        <f>IFERROR(IF([1]对账明细接口!$I$304=0,"",[1]对账明细接口!$I$304),"")</f>
        <v>筐</v>
      </c>
      <c r="J304" s="177">
        <f>IFERROR(IF([1]对账明细接口!$J$304=0,"",[1]对账明细接口!$J$304),"")</f>
        <v>3412.5</v>
      </c>
      <c r="K304" s="177">
        <f>IFERROR(IF([1]对账明细接口!$K$304=0,"",[1]对账明细接口!$K$304),"")</f>
      </c>
      <c r="L304" s="16">
        <f>IFERROR(IF([1]对账明细接口!$L$304=0,"",[1]对账明细接口!$L$304),"")</f>
      </c>
      <c r="M304" s="16">
        <f>IFERROR(IF([1]对账明细接口!$M$304=0,"",[1]对账明细接口!$M$304),"")</f>
      </c>
      <c r="N304" s="19">
        <f>IF($C304="",0,1)</f>
        <v>1</v>
      </c>
      <c r="O304" s="19">
        <f>N(O303)+$N304</f>
        <v>301</v>
      </c>
      <c r="S304" s="20" t="str">
        <f>IFERROR(IF([1]对账明细接口!$N304=0,"",[1]对账明细接口!$N304),"")</f>
        <v>公司一次性筐</v>
      </c>
      <c r="T304" s="212">
        <f>IFERROR(IF([1]对账明细接口!$O304=0,"",[1]对账明细接口!$O304),"")</f>
      </c>
      <c r="U304" s="212">
        <f>IFERROR(IF([1]对账明细接口!$P304=0,"",[1]对账明细接口!$P304),"")</f>
      </c>
      <c r="V304" s="212">
        <f>IFERROR(IF([1]对账明细接口!$Q304=0,"",[1]对账明细接口!$Q304),"")</f>
        <v>175</v>
      </c>
      <c r="W304" s="20" t="str">
        <f>IFERROR(IF([1]对账明细接口!$R304=0,"",[1]对账明细接口!$R304),"")</f>
        <v>豫L*88X19</v>
      </c>
      <c r="X304" s="20" t="str">
        <f>IFERROR(IF([1]对账明细接口!$S304=0,"",[1]对账明细接口!$S304),"")</f>
        <v>公司筐</v>
      </c>
      <c r="Y304" s="20">
        <f>IFERROR(IF([1]对账明细接口!$T304=0,"",[1]对账明细接口!$T304),"")</f>
      </c>
      <c r="Z304" s="213">
        <f>IFERROR(IF([1]对账明细接口!$U304=0,"",[1]对账明细接口!$U304),"")</f>
      </c>
      <c r="AA304" s="213">
        <f>IFERROR(IF([1]对账明细接口!$V304=0,"",[1]对账明细接口!$V304),"")</f>
      </c>
      <c r="AB304" s="20">
        <f>IFERROR(IF([1]对账明细接口!$W304=0,"",[1]对账明细接口!$W304),"")</f>
      </c>
      <c r="AC304" s="7">
        <f>IFERROR(IF([1]对账明细接口!$X304=0,"",[1]对账明细接口!$X304),"")</f>
      </c>
      <c r="AD304" s="7">
        <f>IFERROR(IF([1]对账明细接口!$Y304=0,"",[1]对账明细接口!$Y304),"")</f>
      </c>
      <c r="AE304" s="7">
        <f>IFERROR(IF([1]对账明细接口!$AA304=0,"",[1]对账明细接口!$AA304),"")</f>
      </c>
      <c r="AF304" s="7">
        <f>IFERROR(IF([1]对账明细接口!$AB304=0,"",[1]对账明细接口!$AB304),"")</f>
      </c>
      <c r="AG304" s="7">
        <f>IFERROR(IF([1]对账明细接口!$AC304=0,"",[1]对账明细接口!$AC304),"")</f>
      </c>
      <c r="AH304" s="7">
        <f>IFERROR(IF([1]对账明细接口!$AD304=0,"",[1]对账明细接口!$AD304),"")</f>
      </c>
      <c r="AI304" s="7">
        <f>IFERROR(IF([1]对账明细接口!$AE304=0,"",[1]对账明细接口!$AE304),"")</f>
      </c>
      <c r="AJ304" s="7">
        <f>IFERROR(IF([1]对账明细接口!$AF304=0,"",[1]对账明细接口!$AF304),"")</f>
      </c>
    </row>
    <row r="305" ht="14.25" customHeight="1" s="127">
      <c r="A305" s="14" t="n">
        <v>305</v>
      </c>
      <c r="B305" s="211">
        <f>IFERROR(IF([1]对账明细接口!$B$305=0,"",[1]对账明细接口!$B$305),"")</f>
        <v>46283.0</v>
      </c>
      <c r="C305" s="16" t="str">
        <f>IFERROR(IF([1]对账明细接口!$C$305=0,"",[1]对账明细接口!$C$305),"")</f>
        <v>王照雪</v>
      </c>
      <c r="D305" s="16" t="str">
        <f>IFERROR(IF([1]对账明细接口!$D$305=0,"",[1]对账明细接口!$D$305),"")</f>
        <v>原料入库</v>
      </c>
      <c r="E305" s="16" t="str">
        <f>IFERROR(IF([1]对账明细接口!$E$305=0,"",[1]对账明细接口!$E$305),"")</f>
        <v>NO:0000905</v>
      </c>
      <c r="F305" s="16" t="str">
        <f>IFERROR(IF([1]对账明细接口!$F$305=0,"",[1]对账明细接口!$F$305),"")</f>
        <v>香梨</v>
      </c>
      <c r="G305" s="16" t="str">
        <f>IFERROR(IF([1]对账明细接口!$G$305=0,"",[1]对账明细接口!$G$305),"")</f>
        <v>香梨二级</v>
      </c>
      <c r="H305" s="176">
        <f>IFERROR(IF([1]对账明细接口!$H$305=0,"",[1]对账明细接口!$H$305),"")</f>
        <v>22</v>
      </c>
      <c r="I305" s="16" t="str">
        <f>IFERROR(IF([1]对账明细接口!$I$305=0,"",[1]对账明细接口!$I$305),"")</f>
        <v>筐</v>
      </c>
      <c r="J305" s="177">
        <f>IFERROR(IF([1]对账明细接口!$J$305=0,"",[1]对账明细接口!$J$305),"")</f>
        <v>495</v>
      </c>
      <c r="K305" s="177">
        <f>IFERROR(IF([1]对账明细接口!$K$305=0,"",[1]对账明细接口!$K$305),"")</f>
      </c>
      <c r="L305" s="16">
        <f>IFERROR(IF([1]对账明细接口!$L$305=0,"",[1]对账明细接口!$L$305),"")</f>
      </c>
      <c r="M305" s="16">
        <f>IFERROR(IF([1]对账明细接口!$M$305=0,"",[1]对账明细接口!$M$305),"")</f>
      </c>
      <c r="N305" s="19">
        <f>IF($C305="",0,1)</f>
        <v>1</v>
      </c>
      <c r="O305" s="19">
        <f>N(O304)+$N305</f>
        <v>302</v>
      </c>
      <c r="S305" s="20" t="str">
        <f>IFERROR(IF([1]对账明细接口!$N305=0,"",[1]对账明细接口!$N305),"")</f>
        <v>公司一次性筐</v>
      </c>
      <c r="T305" s="212">
        <f>IFERROR(IF([1]对账明细接口!$O305=0,"",[1]对账明细接口!$O305),"")</f>
      </c>
      <c r="U305" s="212">
        <f>IFERROR(IF([1]对账明细接口!$P305=0,"",[1]对账明细接口!$P305),"")</f>
      </c>
      <c r="V305" s="212">
        <f>IFERROR(IF([1]对账明细接口!$Q305=0,"",[1]对账明细接口!$Q305),"")</f>
        <v>22</v>
      </c>
      <c r="W305" s="20" t="str">
        <f>IFERROR(IF([1]对账明细接口!$R305=0,"",[1]对账明细接口!$R305),"")</f>
        <v>豫L*88X19</v>
      </c>
      <c r="X305" s="20" t="str">
        <f>IFERROR(IF([1]对账明细接口!$S305=0,"",[1]对账明细接口!$S305),"")</f>
        <v>公司筐</v>
      </c>
      <c r="Y305" s="20">
        <f>IFERROR(IF([1]对账明细接口!$T305=0,"",[1]对账明细接口!$T305),"")</f>
      </c>
      <c r="Z305" s="213">
        <f>IFERROR(IF([1]对账明细接口!$U305=0,"",[1]对账明细接口!$U305),"")</f>
      </c>
      <c r="AA305" s="213">
        <f>IFERROR(IF([1]对账明细接口!$V305=0,"",[1]对账明细接口!$V305),"")</f>
      </c>
      <c r="AB305" s="20">
        <f>IFERROR(IF([1]对账明细接口!$W305=0,"",[1]对账明细接口!$W305),"")</f>
      </c>
      <c r="AC305" s="7">
        <f>IFERROR(IF([1]对账明细接口!$X305=0,"",[1]对账明细接口!$X305),"")</f>
      </c>
      <c r="AD305" s="7">
        <f>IFERROR(IF([1]对账明细接口!$Y305=0,"",[1]对账明细接口!$Y305),"")</f>
      </c>
      <c r="AE305" s="7">
        <f>IFERROR(IF([1]对账明细接口!$AA305=0,"",[1]对账明细接口!$AA305),"")</f>
      </c>
      <c r="AF305" s="7">
        <f>IFERROR(IF([1]对账明细接口!$AB305=0,"",[1]对账明细接口!$AB305),"")</f>
      </c>
      <c r="AG305" s="7">
        <f>IFERROR(IF([1]对账明细接口!$AC305=0,"",[1]对账明细接口!$AC305),"")</f>
      </c>
      <c r="AH305" s="7">
        <f>IFERROR(IF([1]对账明细接口!$AD305=0,"",[1]对账明细接口!$AD305),"")</f>
      </c>
      <c r="AI305" s="7">
        <f>IFERROR(IF([1]对账明细接口!$AE305=0,"",[1]对账明细接口!$AE305),"")</f>
      </c>
      <c r="AJ305" s="7">
        <f>IFERROR(IF([1]对账明细接口!$AF305=0,"",[1]对账明细接口!$AF305),"")</f>
      </c>
    </row>
    <row r="306" ht="14.25" customHeight="1" s="127">
      <c r="A306" s="14" t="n">
        <v>306</v>
      </c>
      <c r="B306" s="211">
        <f>IFERROR(IF([1]对账明细接口!$B$306=0,"",[1]对账明细接口!$B$306),"")</f>
        <v>46283.0</v>
      </c>
      <c r="C306" s="16" t="str">
        <f>IFERROR(IF([1]对账明细接口!$C$306=0,"",[1]对账明细接口!$C$306),"")</f>
        <v>王照雪</v>
      </c>
      <c r="D306" s="16" t="str">
        <f>IFERROR(IF([1]对账明细接口!$D$306=0,"",[1]对账明细接口!$D$306),"")</f>
        <v>原料入库</v>
      </c>
      <c r="E306" s="16" t="str">
        <f>IFERROR(IF([1]对账明细接口!$E$306=0,"",[1]对账明细接口!$E$306),"")</f>
        <v>NO:0000905</v>
      </c>
      <c r="F306" s="16" t="str">
        <f>IFERROR(IF([1]对账明细接口!$F$306=0,"",[1]对账明细接口!$F$306),"")</f>
        <v>香梨</v>
      </c>
      <c r="G306" s="16" t="str">
        <f>IFERROR(IF([1]对账明细接口!$G$306=0,"",[1]对账明细接口!$G$306),"")</f>
        <v>香梨副特</v>
      </c>
      <c r="H306" s="176">
        <f>IFERROR(IF([1]对账明细接口!$H$306=0,"",[1]对账明细接口!$H$306),"")</f>
        <v>121</v>
      </c>
      <c r="I306" s="16" t="str">
        <f>IFERROR(IF([1]对账明细接口!$I$306=0,"",[1]对账明细接口!$I$306),"")</f>
        <v>筐</v>
      </c>
      <c r="J306" s="177">
        <f>IFERROR(IF([1]对账明细接口!$J$306=0,"",[1]对账明细接口!$J$306),"")</f>
        <v>2359.5</v>
      </c>
      <c r="K306" s="177">
        <f>IFERROR(IF([1]对账明细接口!$K$306=0,"",[1]对账明细接口!$K$306),"")</f>
      </c>
      <c r="L306" s="16">
        <f>IFERROR(IF([1]对账明细接口!$L$306=0,"",[1]对账明细接口!$L$306),"")</f>
      </c>
      <c r="M306" s="16">
        <f>IFERROR(IF([1]对账明细接口!$M$306=0,"",[1]对账明细接口!$M$306),"")</f>
      </c>
      <c r="N306" s="19">
        <f>IF($C306="",0,1)</f>
        <v>1</v>
      </c>
      <c r="O306" s="19">
        <f>N(O305)+$N306</f>
        <v>303</v>
      </c>
      <c r="S306" s="20" t="str">
        <f>IFERROR(IF([1]对账明细接口!$N306=0,"",[1]对账明细接口!$N306),"")</f>
        <v>公司一次性筐</v>
      </c>
      <c r="T306" s="212">
        <f>IFERROR(IF([1]对账明细接口!$O306=0,"",[1]对账明细接口!$O306),"")</f>
      </c>
      <c r="U306" s="212">
        <f>IFERROR(IF([1]对账明细接口!$P306=0,"",[1]对账明细接口!$P306),"")</f>
      </c>
      <c r="V306" s="212">
        <f>IFERROR(IF([1]对账明细接口!$Q306=0,"",[1]对账明细接口!$Q306),"")</f>
        <v>121</v>
      </c>
      <c r="W306" s="20" t="str">
        <f>IFERROR(IF([1]对账明细接口!$R306=0,"",[1]对账明细接口!$R306),"")</f>
        <v>豫L*88X19</v>
      </c>
      <c r="X306" s="20" t="str">
        <f>IFERROR(IF([1]对账明细接口!$S306=0,"",[1]对账明细接口!$S306),"")</f>
        <v>公司筐</v>
      </c>
      <c r="Y306" s="20">
        <f>IFERROR(IF([1]对账明细接口!$T306=0,"",[1]对账明细接口!$T306),"")</f>
      </c>
      <c r="Z306" s="213">
        <f>IFERROR(IF([1]对账明细接口!$U306=0,"",[1]对账明细接口!$U306),"")</f>
      </c>
      <c r="AA306" s="213">
        <f>IFERROR(IF([1]对账明细接口!$V306=0,"",[1]对账明细接口!$V306),"")</f>
      </c>
      <c r="AB306" s="20">
        <f>IFERROR(IF([1]对账明细接口!$W306=0,"",[1]对账明细接口!$W306),"")</f>
      </c>
      <c r="AC306" s="7">
        <f>IFERROR(IF([1]对账明细接口!$X306=0,"",[1]对账明细接口!$X306),"")</f>
      </c>
      <c r="AD306" s="7">
        <f>IFERROR(IF([1]对账明细接口!$Y306=0,"",[1]对账明细接口!$Y306),"")</f>
      </c>
      <c r="AE306" s="7">
        <f>IFERROR(IF([1]对账明细接口!$AA306=0,"",[1]对账明细接口!$AA306),"")</f>
      </c>
      <c r="AF306" s="7">
        <f>IFERROR(IF([1]对账明细接口!$AB306=0,"",[1]对账明细接口!$AB306),"")</f>
      </c>
      <c r="AG306" s="7">
        <f>IFERROR(IF([1]对账明细接口!$AC306=0,"",[1]对账明细接口!$AC306),"")</f>
      </c>
      <c r="AH306" s="7">
        <f>IFERROR(IF([1]对账明细接口!$AD306=0,"",[1]对账明细接口!$AD306),"")</f>
      </c>
      <c r="AI306" s="7">
        <f>IFERROR(IF([1]对账明细接口!$AE306=0,"",[1]对账明细接口!$AE306),"")</f>
      </c>
      <c r="AJ306" s="7">
        <f>IFERROR(IF([1]对账明细接口!$AF306=0,"",[1]对账明细接口!$AF306),"")</f>
      </c>
    </row>
    <row r="307" ht="14.25" customHeight="1" s="127">
      <c r="A307" s="14" t="n">
        <v>307</v>
      </c>
      <c r="B307" s="211">
        <f>IFERROR(IF([1]对账明细接口!$B$307=0,"",[1]对账明细接口!$B$307),"")</f>
        <v>46284.0</v>
      </c>
      <c r="C307" s="16" t="str">
        <f>IFERROR(IF([1]对账明细接口!$C$307=0,"",[1]对账明细接口!$C$307),"")</f>
        <v>王照雪</v>
      </c>
      <c r="D307" s="16" t="str">
        <f>IFERROR(IF([1]对账明细接口!$D$307=0,"",[1]对账明细接口!$D$307),"")</f>
        <v>原料入库</v>
      </c>
      <c r="E307" s="16" t="str">
        <f>IFERROR(IF([1]对账明细接口!$E$307=0,"",[1]对账明细接口!$E$307),"")</f>
        <v>NO:0000909</v>
      </c>
      <c r="F307" s="16" t="str">
        <f>IFERROR(IF([1]对账明细接口!$F$307=0,"",[1]对账明细接口!$F$307),"")</f>
        <v>苹果</v>
      </c>
      <c r="G307" s="16" t="str">
        <f>IFERROR(IF([1]对账明细接口!$G$307=0,"",[1]对账明细接口!$G$307),"")</f>
        <v>早富士二级</v>
      </c>
      <c r="H307" s="176">
        <f>IFERROR(IF([1]对账明细接口!$H$307=0,"",[1]对账明细接口!$H$307),"")</f>
        <v>18</v>
      </c>
      <c r="I307" s="16" t="str">
        <f>IFERROR(IF([1]对账明细接口!$I$307=0,"",[1]对账明细接口!$I$307),"")</f>
        <v>筐</v>
      </c>
      <c r="J307" s="177">
        <f>IFERROR(IF([1]对账明细接口!$J$307=0,"",[1]对账明细接口!$J$307),"")</f>
        <v>401.4</v>
      </c>
      <c r="K307" s="177">
        <f>IFERROR(IF([1]对账明细接口!$K$307=0,"",[1]对账明细接口!$K$307),"")</f>
      </c>
      <c r="L307" s="16">
        <f>IFERROR(IF([1]对账明细接口!$L$307=0,"",[1]对账明细接口!$L$307),"")</f>
      </c>
      <c r="M307" s="16">
        <f>IFERROR(IF([1]对账明细接口!$M$307=0,"",[1]对账明细接口!$M$307),"")</f>
      </c>
      <c r="N307" s="19">
        <f>IF($C307="",0,1)</f>
        <v>1</v>
      </c>
      <c r="O307" s="19">
        <f>N(O306)+$N307</f>
        <v>304</v>
      </c>
      <c r="S307" s="20" t="str">
        <f>IFERROR(IF([1]对账明细接口!$N307=0,"",[1]对账明细接口!$N307),"")</f>
        <v>自备一次性筐</v>
      </c>
      <c r="T307" s="212">
        <f>IFERROR(IF([1]对账明细接口!$O307=0,"",[1]对账明细接口!$O307),"")</f>
      </c>
      <c r="U307" s="212">
        <f>IFERROR(IF([1]对账明细接口!$P307=0,"",[1]对账明细接口!$P307),"")</f>
      </c>
      <c r="V307" s="212">
        <f>IFERROR(IF([1]对账明细接口!$Q307=0,"",[1]对账明细接口!$Q307),"")</f>
        <v>18</v>
      </c>
      <c r="W307" s="20" t="str">
        <f>IFERROR(IF([1]对账明细接口!$R307=0,"",[1]对账明细接口!$R307),"")</f>
        <v>三轮车</v>
      </c>
      <c r="X307" s="20" t="str">
        <f>IFERROR(IF([1]对账明细接口!$S307=0,"",[1]对账明细接口!$S307),"")</f>
        <v>自备筐</v>
      </c>
      <c r="Y307" s="20">
        <f>IFERROR(IF([1]对账明细接口!$T307=0,"",[1]对账明细接口!$T307),"")</f>
      </c>
      <c r="Z307" s="213">
        <f>IFERROR(IF([1]对账明细接口!$U307=0,"",[1]对账明细接口!$U307),"")</f>
      </c>
      <c r="AA307" s="213">
        <f>IFERROR(IF([1]对账明细接口!$V307=0,"",[1]对账明细接口!$V307),"")</f>
      </c>
      <c r="AB307" s="20">
        <f>IFERROR(IF([1]对账明细接口!$W307=0,"",[1]对账明细接口!$W307),"")</f>
      </c>
      <c r="AC307" s="7">
        <f>IFERROR(IF([1]对账明细接口!$X307=0,"",[1]对账明细接口!$X307),"")</f>
      </c>
      <c r="AD307" s="7">
        <f>IFERROR(IF([1]对账明细接口!$Y307=0,"",[1]对账明细接口!$Y307),"")</f>
      </c>
      <c r="AE307" s="7">
        <f>IFERROR(IF([1]对账明细接口!$AA307=0,"",[1]对账明细接口!$AA307),"")</f>
      </c>
      <c r="AF307" s="7">
        <f>IFERROR(IF([1]对账明细接口!$AB307=0,"",[1]对账明细接口!$AB307),"")</f>
      </c>
      <c r="AG307" s="7">
        <f>IFERROR(IF([1]对账明细接口!$AC307=0,"",[1]对账明细接口!$AC307),"")</f>
      </c>
      <c r="AH307" s="7">
        <f>IFERROR(IF([1]对账明细接口!$AD307=0,"",[1]对账明细接口!$AD307),"")</f>
      </c>
      <c r="AI307" s="7">
        <f>IFERROR(IF([1]对账明细接口!$AE307=0,"",[1]对账明细接口!$AE307),"")</f>
      </c>
      <c r="AJ307" s="7">
        <f>IFERROR(IF([1]对账明细接口!$AF307=0,"",[1]对账明细接口!$AF307),"")</f>
      </c>
    </row>
    <row r="308" ht="14.25" customHeight="1" s="127">
      <c r="A308" s="14" t="n">
        <v>308</v>
      </c>
      <c r="B308" s="211">
        <f>IFERROR(IF([1]对账明细接口!$B$308=0,"",[1]对账明细接口!$B$308),"")</f>
        <v>46284.0</v>
      </c>
      <c r="C308" s="16" t="str">
        <f>IFERROR(IF([1]对账明细接口!$C$308=0,"",[1]对账明细接口!$C$308),"")</f>
        <v>麦麦提</v>
      </c>
      <c r="D308" s="16" t="str">
        <f>IFERROR(IF([1]对账明细接口!$D$308=0,"",[1]对账明细接口!$D$308),"")</f>
        <v>原料入库</v>
      </c>
      <c r="E308" s="16" t="str">
        <f>IFERROR(IF([1]对账明细接口!$E$308=0,"",[1]对账明细接口!$E$308),"")</f>
        <v>NO:0000910</v>
      </c>
      <c r="F308" s="16" t="str">
        <f>IFERROR(IF([1]对账明细接口!$F$308=0,"",[1]对账明细接口!$F$308),"")</f>
        <v>香梨</v>
      </c>
      <c r="G308" s="16" t="str">
        <f>IFERROR(IF([1]对账明细接口!$G$308=0,"",[1]对账明细接口!$G$308),"")</f>
        <v>香梨特级</v>
      </c>
      <c r="H308" s="176">
        <f>IFERROR(IF([1]对账明细接口!$H$308=0,"",[1]对账明细接口!$H$308),"")</f>
        <v>208</v>
      </c>
      <c r="I308" s="16" t="str">
        <f>IFERROR(IF([1]对账明细接口!$I$308=0,"",[1]对账明细接口!$I$308),"")</f>
        <v>筐</v>
      </c>
      <c r="J308" s="177">
        <f>IFERROR(IF([1]对账明细接口!$J$308=0,"",[1]对账明细接口!$J$308),"")</f>
        <v>3806.4</v>
      </c>
      <c r="K308" s="177">
        <f>IFERROR(IF([1]对账明细接口!$K$308=0,"",[1]对账明细接口!$K$308),"")</f>
      </c>
      <c r="L308" s="16">
        <f>IFERROR(IF([1]对账明细接口!$L$308=0,"",[1]对账明细接口!$L$308),"")</f>
      </c>
      <c r="M308" s="16">
        <f>IFERROR(IF([1]对账明细接口!$M$308=0,"",[1]对账明细接口!$M$308),"")</f>
      </c>
      <c r="N308" s="19">
        <f>IF($C308="",0,1)</f>
        <v>1</v>
      </c>
      <c r="O308" s="19">
        <f>N(O307)+$N308</f>
        <v>305</v>
      </c>
      <c r="S308" s="20" t="str">
        <f>IFERROR(IF([1]对账明细接口!$N308=0,"",[1]对账明细接口!$N308),"")</f>
        <v>公司红周转筐</v>
      </c>
      <c r="T308" s="212">
        <f>IFERROR(IF([1]对账明细接口!$O308=0,"",[1]对账明细接口!$O308),"")</f>
      </c>
      <c r="U308" s="212">
        <f>IFERROR(IF([1]对账明细接口!$P308=0,"",[1]对账明细接口!$P308),"")</f>
      </c>
      <c r="V308" s="212">
        <f>IFERROR(IF([1]对账明细接口!$Q308=0,"",[1]对账明细接口!$Q308),"")</f>
        <v>208</v>
      </c>
      <c r="W308" s="20" t="str">
        <f>IFERROR(IF([1]对账明细接口!$R308=0,"",[1]对账明细接口!$R308),"")</f>
        <v>新A*G0554</v>
      </c>
      <c r="X308" s="20" t="str">
        <f>IFERROR(IF([1]对账明细接口!$S308=0,"",[1]对账明细接口!$S308),"")</f>
        <v>公司筐</v>
      </c>
      <c r="Y308" s="20">
        <f>IFERROR(IF([1]对账明细接口!$T308=0,"",[1]对账明细接口!$T308),"")</f>
      </c>
      <c r="Z308" s="213">
        <f>IFERROR(IF([1]对账明细接口!$U308=0,"",[1]对账明细接口!$U308),"")</f>
      </c>
      <c r="AA308" s="213">
        <f>IFERROR(IF([1]对账明细接口!$V308=0,"",[1]对账明细接口!$V308),"")</f>
      </c>
      <c r="AB308" s="20">
        <f>IFERROR(IF([1]对账明细接口!$W308=0,"",[1]对账明细接口!$W308),"")</f>
      </c>
      <c r="AC308" s="7">
        <f>IFERROR(IF([1]对账明细接口!$X308=0,"",[1]对账明细接口!$X308),"")</f>
      </c>
      <c r="AD308" s="7">
        <f>IFERROR(IF([1]对账明细接口!$Y308=0,"",[1]对账明细接口!$Y308),"")</f>
      </c>
      <c r="AE308" s="7">
        <f>IFERROR(IF([1]对账明细接口!$AA308=0,"",[1]对账明细接口!$AA308),"")</f>
      </c>
      <c r="AF308" s="7">
        <f>IFERROR(IF([1]对账明细接口!$AB308=0,"",[1]对账明细接口!$AB308),"")</f>
      </c>
      <c r="AG308" s="7">
        <f>IFERROR(IF([1]对账明细接口!$AC308=0,"",[1]对账明细接口!$AC308),"")</f>
      </c>
      <c r="AH308" s="7">
        <f>IFERROR(IF([1]对账明细接口!$AD308=0,"",[1]对账明细接口!$AD308),"")</f>
      </c>
      <c r="AI308" s="7">
        <f>IFERROR(IF([1]对账明细接口!$AE308=0,"",[1]对账明细接口!$AE308),"")</f>
      </c>
      <c r="AJ308" s="7">
        <f>IFERROR(IF([1]对账明细接口!$AF308=0,"",[1]对账明细接口!$AF308),"")</f>
      </c>
    </row>
    <row r="309" ht="14.25" customHeight="1" s="127">
      <c r="A309" s="14" t="n">
        <v>309</v>
      </c>
      <c r="B309" s="211">
        <f>IFERROR(IF([1]对账明细接口!$B$309=0,"",[1]对账明细接口!$B$309),"")</f>
        <v>46284.0</v>
      </c>
      <c r="C309" s="16" t="str">
        <f>IFERROR(IF([1]对账明细接口!$C$309=0,"",[1]对账明细接口!$C$309),"")</f>
        <v>麦麦提</v>
      </c>
      <c r="D309" s="16" t="str">
        <f>IFERROR(IF([1]对账明细接口!$D$309=0,"",[1]对账明细接口!$D$309),"")</f>
        <v>原料入库</v>
      </c>
      <c r="E309" s="16" t="str">
        <f>IFERROR(IF([1]对账明细接口!$E$309=0,"",[1]对账明细接口!$E$309),"")</f>
        <v>NO:0000910</v>
      </c>
      <c r="F309" s="16" t="str">
        <f>IFERROR(IF([1]对账明细接口!$F$309=0,"",[1]对账明细接口!$F$309),"")</f>
        <v>香梨</v>
      </c>
      <c r="G309" s="16" t="str">
        <f>IFERROR(IF([1]对账明细接口!$G$309=0,"",[1]对账明细接口!$G$309),"")</f>
        <v>香梨一级</v>
      </c>
      <c r="H309" s="176">
        <f>IFERROR(IF([1]对账明细接口!$H$309=0,"",[1]对账明细接口!$H$309),"")</f>
        <v>248</v>
      </c>
      <c r="I309" s="16" t="str">
        <f>IFERROR(IF([1]对账明细接口!$I$309=0,"",[1]对账明细接口!$I$309),"")</f>
        <v>筐</v>
      </c>
      <c r="J309" s="177">
        <f>IFERROR(IF([1]对账明细接口!$J$309=0,"",[1]对账明细接口!$J$309),"")</f>
        <v>4538.4</v>
      </c>
      <c r="K309" s="177">
        <f>IFERROR(IF([1]对账明细接口!$K$309=0,"",[1]对账明细接口!$K$309),"")</f>
      </c>
      <c r="L309" s="16">
        <f>IFERROR(IF([1]对账明细接口!$L$309=0,"",[1]对账明细接口!$L$309),"")</f>
      </c>
      <c r="M309" s="16">
        <f>IFERROR(IF([1]对账明细接口!$M$309=0,"",[1]对账明细接口!$M$309),"")</f>
      </c>
      <c r="N309" s="19">
        <f>IF($C309="",0,1)</f>
        <v>1</v>
      </c>
      <c r="O309" s="19">
        <f>N(O308)+$N309</f>
        <v>306</v>
      </c>
      <c r="S309" s="20" t="str">
        <f>IFERROR(IF([1]对账明细接口!$N309=0,"",[1]对账明细接口!$N309),"")</f>
        <v>公司红周转筐</v>
      </c>
      <c r="T309" s="212">
        <f>IFERROR(IF([1]对账明细接口!$O309=0,"",[1]对账明细接口!$O309),"")</f>
      </c>
      <c r="U309" s="212">
        <f>IFERROR(IF([1]对账明细接口!$P309=0,"",[1]对账明细接口!$P309),"")</f>
      </c>
      <c r="V309" s="212">
        <f>IFERROR(IF([1]对账明细接口!$Q309=0,"",[1]对账明细接口!$Q309),"")</f>
        <v>248</v>
      </c>
      <c r="W309" s="20" t="str">
        <f>IFERROR(IF([1]对账明细接口!$R309=0,"",[1]对账明细接口!$R309),"")</f>
        <v>新A*G0554</v>
      </c>
      <c r="X309" s="20" t="str">
        <f>IFERROR(IF([1]对账明细接口!$S309=0,"",[1]对账明细接口!$S309),"")</f>
        <v>公司筐</v>
      </c>
      <c r="Y309" s="20">
        <f>IFERROR(IF([1]对账明细接口!$T309=0,"",[1]对账明细接口!$T309),"")</f>
      </c>
      <c r="Z309" s="213">
        <f>IFERROR(IF([1]对账明细接口!$U309=0,"",[1]对账明细接口!$U309),"")</f>
      </c>
      <c r="AA309" s="213">
        <f>IFERROR(IF([1]对账明细接口!$V309=0,"",[1]对账明细接口!$V309),"")</f>
      </c>
      <c r="AB309" s="20">
        <f>IFERROR(IF([1]对账明细接口!$W309=0,"",[1]对账明细接口!$W309),"")</f>
      </c>
      <c r="AC309" s="7">
        <f>IFERROR(IF([1]对账明细接口!$X309=0,"",[1]对账明细接口!$X309),"")</f>
      </c>
      <c r="AD309" s="7">
        <f>IFERROR(IF([1]对账明细接口!$Y309=0,"",[1]对账明细接口!$Y309),"")</f>
      </c>
      <c r="AE309" s="7">
        <f>IFERROR(IF([1]对账明细接口!$AA309=0,"",[1]对账明细接口!$AA309),"")</f>
      </c>
      <c r="AF309" s="7">
        <f>IFERROR(IF([1]对账明细接口!$AB309=0,"",[1]对账明细接口!$AB309),"")</f>
      </c>
      <c r="AG309" s="7">
        <f>IFERROR(IF([1]对账明细接口!$AC309=0,"",[1]对账明细接口!$AC309),"")</f>
      </c>
      <c r="AH309" s="7">
        <f>IFERROR(IF([1]对账明细接口!$AD309=0,"",[1]对账明细接口!$AD309),"")</f>
      </c>
      <c r="AI309" s="7">
        <f>IFERROR(IF([1]对账明细接口!$AE309=0,"",[1]对账明细接口!$AE309),"")</f>
      </c>
      <c r="AJ309" s="7">
        <f>IFERROR(IF([1]对账明细接口!$AF309=0,"",[1]对账明细接口!$AF309),"")</f>
      </c>
    </row>
    <row r="310" ht="14.25" customHeight="1" s="127">
      <c r="A310" s="14" t="n">
        <v>310</v>
      </c>
      <c r="B310" s="211">
        <f>IFERROR(IF([1]对账明细接口!$B$310=0,"",[1]对账明细接口!$B$310),"")</f>
        <v>46284.0</v>
      </c>
      <c r="C310" s="16" t="str">
        <f>IFERROR(IF([1]对账明细接口!$C$310=0,"",[1]对账明细接口!$C$310),"")</f>
        <v>麦麦提</v>
      </c>
      <c r="D310" s="16" t="str">
        <f>IFERROR(IF([1]对账明细接口!$D$310=0,"",[1]对账明细接口!$D$310),"")</f>
        <v>原料入库</v>
      </c>
      <c r="E310" s="16" t="str">
        <f>IFERROR(IF([1]对账明细接口!$E$310=0,"",[1]对账明细接口!$E$310),"")</f>
        <v>NO:0000910</v>
      </c>
      <c r="F310" s="16" t="str">
        <f>IFERROR(IF([1]对账明细接口!$F$310=0,"",[1]对账明细接口!$F$310),"")</f>
        <v>香梨</v>
      </c>
      <c r="G310" s="16" t="str">
        <f>IFERROR(IF([1]对账明细接口!$G$310=0,"",[1]对账明细接口!$G$310),"")</f>
        <v>香梨二级</v>
      </c>
      <c r="H310" s="176">
        <f>IFERROR(IF([1]对账明细接口!$H$310=0,"",[1]对账明细接口!$H$310),"")</f>
        <v>194</v>
      </c>
      <c r="I310" s="16" t="str">
        <f>IFERROR(IF([1]对账明细接口!$I$310=0,"",[1]对账明细接口!$I$310),"")</f>
        <v>筐</v>
      </c>
      <c r="J310" s="177">
        <f>IFERROR(IF([1]对账明细接口!$J$310=0,"",[1]对账明细接口!$J$310),"")</f>
        <v>4326.2</v>
      </c>
      <c r="K310" s="177">
        <f>IFERROR(IF([1]对账明细接口!$K$310=0,"",[1]对账明细接口!$K$310),"")</f>
      </c>
      <c r="L310" s="16">
        <f>IFERROR(IF([1]对账明细接口!$L$310=0,"",[1]对账明细接口!$L$310),"")</f>
      </c>
      <c r="M310" s="16">
        <f>IFERROR(IF([1]对账明细接口!$M$310=0,"",[1]对账明细接口!$M$310),"")</f>
      </c>
      <c r="N310" s="19">
        <f>IF($C310="",0,1)</f>
        <v>1</v>
      </c>
      <c r="O310" s="19">
        <f>N(O309)+$N310</f>
        <v>307</v>
      </c>
      <c r="S310" s="20" t="str">
        <f>IFERROR(IF([1]对账明细接口!$N310=0,"",[1]对账明细接口!$N310),"")</f>
        <v>公司红周转筐</v>
      </c>
      <c r="T310" s="212">
        <f>IFERROR(IF([1]对账明细接口!$O310=0,"",[1]对账明细接口!$O310),"")</f>
      </c>
      <c r="U310" s="212">
        <f>IFERROR(IF([1]对账明细接口!$P310=0,"",[1]对账明细接口!$P310),"")</f>
      </c>
      <c r="V310" s="212">
        <f>IFERROR(IF([1]对账明细接口!$Q310=0,"",[1]对账明细接口!$Q310),"")</f>
        <v>194</v>
      </c>
      <c r="W310" s="20" t="str">
        <f>IFERROR(IF([1]对账明细接口!$R310=0,"",[1]对账明细接口!$R310),"")</f>
        <v>新A*G0554</v>
      </c>
      <c r="X310" s="20" t="str">
        <f>IFERROR(IF([1]对账明细接口!$S310=0,"",[1]对账明细接口!$S310),"")</f>
        <v>公司筐</v>
      </c>
      <c r="Y310" s="20">
        <f>IFERROR(IF([1]对账明细接口!$T310=0,"",[1]对账明细接口!$T310),"")</f>
      </c>
      <c r="Z310" s="213">
        <f>IFERROR(IF([1]对账明细接口!$U310=0,"",[1]对账明细接口!$U310),"")</f>
      </c>
      <c r="AA310" s="213">
        <f>IFERROR(IF([1]对账明细接口!$V310=0,"",[1]对账明细接口!$V310),"")</f>
      </c>
      <c r="AB310" s="20">
        <f>IFERROR(IF([1]对账明细接口!$W310=0,"",[1]对账明细接口!$W310),"")</f>
      </c>
      <c r="AC310" s="7">
        <f>IFERROR(IF([1]对账明细接口!$X310=0,"",[1]对账明细接口!$X310),"")</f>
      </c>
      <c r="AD310" s="7">
        <f>IFERROR(IF([1]对账明细接口!$Y310=0,"",[1]对账明细接口!$Y310),"")</f>
      </c>
      <c r="AE310" s="7">
        <f>IFERROR(IF([1]对账明细接口!$AA310=0,"",[1]对账明细接口!$AA310),"")</f>
      </c>
      <c r="AF310" s="7">
        <f>IFERROR(IF([1]对账明细接口!$AB310=0,"",[1]对账明细接口!$AB310),"")</f>
      </c>
      <c r="AG310" s="7">
        <f>IFERROR(IF([1]对账明细接口!$AC310=0,"",[1]对账明细接口!$AC310),"")</f>
      </c>
      <c r="AH310" s="7">
        <f>IFERROR(IF([1]对账明细接口!$AD310=0,"",[1]对账明细接口!$AD310),"")</f>
      </c>
      <c r="AI310" s="7">
        <f>IFERROR(IF([1]对账明细接口!$AE310=0,"",[1]对账明细接口!$AE310),"")</f>
      </c>
      <c r="AJ310" s="7">
        <f>IFERROR(IF([1]对账明细接口!$AF310=0,"",[1]对账明细接口!$AF310),"")</f>
      </c>
    </row>
    <row r="311" ht="14.25" customHeight="1" s="127">
      <c r="A311" s="14" t="n">
        <v>311</v>
      </c>
      <c r="B311" s="211">
        <f>IFERROR(IF([1]对账明细接口!$B$311=0,"",[1]对账明细接口!$B$311),"")</f>
        <v>46284.0</v>
      </c>
      <c r="C311" s="16" t="str">
        <f>IFERROR(IF([1]对账明细接口!$C$311=0,"",[1]对账明细接口!$C$311),"")</f>
        <v>马锦祥</v>
      </c>
      <c r="D311" s="16" t="str">
        <f>IFERROR(IF([1]对账明细接口!$D$311=0,"",[1]对账明细接口!$D$311),"")</f>
        <v>原料入库</v>
      </c>
      <c r="E311" s="16" t="str">
        <f>IFERROR(IF([1]对账明细接口!$E$311=0,"",[1]对账明细接口!$E$311),"")</f>
        <v>NO:0000911</v>
      </c>
      <c r="F311" s="16" t="str">
        <f>IFERROR(IF([1]对账明细接口!$F$311=0,"",[1]对账明细接口!$F$311),"")</f>
        <v>香梨</v>
      </c>
      <c r="G311" s="16" t="str">
        <f>IFERROR(IF([1]对账明细接口!$G$311=0,"",[1]对账明细接口!$G$311),"")</f>
        <v>香梨一级</v>
      </c>
      <c r="H311" s="176">
        <f>IFERROR(IF([1]对账明细接口!$H$311=0,"",[1]对账明细接口!$H$311),"")</f>
        <v>148</v>
      </c>
      <c r="I311" s="16" t="str">
        <f>IFERROR(IF([1]对账明细接口!$I$311=0,"",[1]对账明细接口!$I$311),"")</f>
        <v>筐</v>
      </c>
      <c r="J311" s="177">
        <f>IFERROR(IF([1]对账明细接口!$J$311=0,"",[1]对账明细接口!$J$311),"")</f>
        <v>2708.4</v>
      </c>
      <c r="K311" s="177">
        <f>IFERROR(IF([1]对账明细接口!$K$311=0,"",[1]对账明细接口!$K$311),"")</f>
      </c>
      <c r="L311" s="16">
        <f>IFERROR(IF([1]对账明细接口!$L$311=0,"",[1]对账明细接口!$L$311),"")</f>
      </c>
      <c r="M311" s="16">
        <f>IFERROR(IF([1]对账明细接口!$M$311=0,"",[1]对账明细接口!$M$311),"")</f>
      </c>
      <c r="N311" s="19">
        <f>IF($C311="",0,1)</f>
        <v>1</v>
      </c>
      <c r="O311" s="19">
        <f>N(O310)+$N311</f>
        <v>308</v>
      </c>
      <c r="S311" s="20" t="str">
        <f>IFERROR(IF([1]对账明细接口!$N311=0,"",[1]对账明细接口!$N311),"")</f>
        <v>公司杂周转筐</v>
      </c>
      <c r="T311" s="212">
        <f>IFERROR(IF([1]对账明细接口!$O311=0,"",[1]对账明细接口!$O311),"")</f>
      </c>
      <c r="U311" s="212">
        <f>IFERROR(IF([1]对账明细接口!$P311=0,"",[1]对账明细接口!$P311),"")</f>
      </c>
      <c r="V311" s="212">
        <f>IFERROR(IF([1]对账明细接口!$Q311=0,"",[1]对账明细接口!$Q311),"")</f>
        <v>148</v>
      </c>
      <c r="W311" s="20" t="str">
        <f>IFERROR(IF([1]对账明细接口!$R311=0,"",[1]对账明细接口!$R311),"")</f>
        <v>新N*K7V85</v>
      </c>
      <c r="X311" s="20" t="str">
        <f>IFERROR(IF([1]对账明细接口!$S311=0,"",[1]对账明细接口!$S311),"")</f>
        <v>公司筐</v>
      </c>
      <c r="Y311" s="20">
        <f>IFERROR(IF([1]对账明细接口!$T311=0,"",[1]对账明细接口!$T311),"")</f>
      </c>
      <c r="Z311" s="213">
        <f>IFERROR(IF([1]对账明细接口!$U311=0,"",[1]对账明细接口!$U311),"")</f>
      </c>
      <c r="AA311" s="213">
        <f>IFERROR(IF([1]对账明细接口!$V311=0,"",[1]对账明细接口!$V311),"")</f>
      </c>
      <c r="AB311" s="20">
        <f>IFERROR(IF([1]对账明细接口!$W311=0,"",[1]对账明细接口!$W311),"")</f>
      </c>
      <c r="AC311" s="7">
        <f>IFERROR(IF([1]对账明细接口!$X311=0,"",[1]对账明细接口!$X311),"")</f>
      </c>
      <c r="AD311" s="7">
        <f>IFERROR(IF([1]对账明细接口!$Y311=0,"",[1]对账明细接口!$Y311),"")</f>
      </c>
      <c r="AE311" s="7">
        <f>IFERROR(IF([1]对账明细接口!$AA311=0,"",[1]对账明细接口!$AA311),"")</f>
      </c>
      <c r="AF311" s="7">
        <f>IFERROR(IF([1]对账明细接口!$AB311=0,"",[1]对账明细接口!$AB311),"")</f>
      </c>
      <c r="AG311" s="7">
        <f>IFERROR(IF([1]对账明细接口!$AC311=0,"",[1]对账明细接口!$AC311),"")</f>
      </c>
      <c r="AH311" s="7">
        <f>IFERROR(IF([1]对账明细接口!$AD311=0,"",[1]对账明细接口!$AD311),"")</f>
      </c>
      <c r="AI311" s="7">
        <f>IFERROR(IF([1]对账明细接口!$AE311=0,"",[1]对账明细接口!$AE311),"")</f>
      </c>
      <c r="AJ311" s="7">
        <f>IFERROR(IF([1]对账明细接口!$AF311=0,"",[1]对账明细接口!$AF311),"")</f>
      </c>
    </row>
    <row r="312" ht="14.25" customHeight="1" s="127">
      <c r="A312" s="14" t="n">
        <v>312</v>
      </c>
      <c r="B312" s="211">
        <f>IFERROR(IF([1]对账明细接口!$B$312=0,"",[1]对账明细接口!$B$312),"")</f>
        <v>46284.0</v>
      </c>
      <c r="C312" s="16" t="str">
        <f>IFERROR(IF([1]对账明细接口!$C$312=0,"",[1]对账明细接口!$C$312),"")</f>
        <v>马锦祥</v>
      </c>
      <c r="D312" s="16" t="str">
        <f>IFERROR(IF([1]对账明细接口!$D$312=0,"",[1]对账明细接口!$D$312),"")</f>
        <v>原料入库</v>
      </c>
      <c r="E312" s="16" t="str">
        <f>IFERROR(IF([1]对账明细接口!$E$312=0,"",[1]对账明细接口!$E$312),"")</f>
        <v>NO:0000911</v>
      </c>
      <c r="F312" s="16" t="str">
        <f>IFERROR(IF([1]对账明细接口!$F$312=0,"",[1]对账明细接口!$F$312),"")</f>
        <v>香梨</v>
      </c>
      <c r="G312" s="16" t="str">
        <f>IFERROR(IF([1]对账明细接口!$G$312=0,"",[1]对账明细接口!$G$312),"")</f>
        <v>香梨二级</v>
      </c>
      <c r="H312" s="176">
        <f>IFERROR(IF([1]对账明细接口!$H$312=0,"",[1]对账明细接口!$H$312),"")</f>
        <v>30</v>
      </c>
      <c r="I312" s="16" t="str">
        <f>IFERROR(IF([1]对账明细接口!$I$312=0,"",[1]对账明细接口!$I$312),"")</f>
        <v>筐</v>
      </c>
      <c r="J312" s="177">
        <f>IFERROR(IF([1]对账明细接口!$J$312=0,"",[1]对账明细接口!$J$312),"")</f>
        <v>669</v>
      </c>
      <c r="K312" s="177">
        <f>IFERROR(IF([1]对账明细接口!$K$312=0,"",[1]对账明细接口!$K$312),"")</f>
      </c>
      <c r="L312" s="16">
        <f>IFERROR(IF([1]对账明细接口!$L$312=0,"",[1]对账明细接口!$L$312),"")</f>
      </c>
      <c r="M312" s="16">
        <f>IFERROR(IF([1]对账明细接口!$M$312=0,"",[1]对账明细接口!$M$312),"")</f>
      </c>
      <c r="N312" s="19">
        <f>IF($C312="",0,1)</f>
        <v>1</v>
      </c>
      <c r="O312" s="19">
        <f>N(O311)+$N312</f>
        <v>309</v>
      </c>
      <c r="S312" s="20" t="str">
        <f>IFERROR(IF([1]对账明细接口!$N312=0,"",[1]对账明细接口!$N312),"")</f>
        <v>公司杂周转筐</v>
      </c>
      <c r="T312" s="212">
        <f>IFERROR(IF([1]对账明细接口!$O312=0,"",[1]对账明细接口!$O312),"")</f>
      </c>
      <c r="U312" s="212">
        <f>IFERROR(IF([1]对账明细接口!$P312=0,"",[1]对账明细接口!$P312),"")</f>
      </c>
      <c r="V312" s="212">
        <f>IFERROR(IF([1]对账明细接口!$Q312=0,"",[1]对账明细接口!$Q312),"")</f>
        <v>30</v>
      </c>
      <c r="W312" s="20" t="str">
        <f>IFERROR(IF([1]对账明细接口!$R312=0,"",[1]对账明细接口!$R312),"")</f>
        <v>新N*K7V85</v>
      </c>
      <c r="X312" s="20" t="str">
        <f>IFERROR(IF([1]对账明细接口!$S312=0,"",[1]对账明细接口!$S312),"")</f>
        <v>公司筐</v>
      </c>
      <c r="Y312" s="20">
        <f>IFERROR(IF([1]对账明细接口!$T312=0,"",[1]对账明细接口!$T312),"")</f>
      </c>
      <c r="Z312" s="213">
        <f>IFERROR(IF([1]对账明细接口!$U312=0,"",[1]对账明细接口!$U312),"")</f>
      </c>
      <c r="AA312" s="213">
        <f>IFERROR(IF([1]对账明细接口!$V312=0,"",[1]对账明细接口!$V312),"")</f>
      </c>
      <c r="AB312" s="20">
        <f>IFERROR(IF([1]对账明细接口!$W312=0,"",[1]对账明细接口!$W312),"")</f>
      </c>
      <c r="AC312" s="7">
        <f>IFERROR(IF([1]对账明细接口!$X312=0,"",[1]对账明细接口!$X312),"")</f>
      </c>
      <c r="AD312" s="7">
        <f>IFERROR(IF([1]对账明细接口!$Y312=0,"",[1]对账明细接口!$Y312),"")</f>
      </c>
      <c r="AE312" s="7">
        <f>IFERROR(IF([1]对账明细接口!$AA312=0,"",[1]对账明细接口!$AA312),"")</f>
      </c>
      <c r="AF312" s="7">
        <f>IFERROR(IF([1]对账明细接口!$AB312=0,"",[1]对账明细接口!$AB312),"")</f>
      </c>
      <c r="AG312" s="7">
        <f>IFERROR(IF([1]对账明细接口!$AC312=0,"",[1]对账明细接口!$AC312),"")</f>
      </c>
      <c r="AH312" s="7">
        <f>IFERROR(IF([1]对账明细接口!$AD312=0,"",[1]对账明细接口!$AD312),"")</f>
      </c>
      <c r="AI312" s="7">
        <f>IFERROR(IF([1]对账明细接口!$AE312=0,"",[1]对账明细接口!$AE312),"")</f>
      </c>
      <c r="AJ312" s="7">
        <f>IFERROR(IF([1]对账明细接口!$AF312=0,"",[1]对账明细接口!$AF312),"")</f>
      </c>
    </row>
    <row r="313" ht="14.25" customHeight="1" s="127">
      <c r="A313" s="14" t="n">
        <v>313</v>
      </c>
      <c r="B313" s="211">
        <f>IFERROR(IF([1]对账明细接口!$B$313=0,"",[1]对账明细接口!$B$313),"")</f>
        <v>46284.0</v>
      </c>
      <c r="C313" s="16" t="str">
        <f>IFERROR(IF([1]对账明细接口!$C$313=0,"",[1]对账明细接口!$C$313),"")</f>
        <v>马锦祥</v>
      </c>
      <c r="D313" s="16" t="str">
        <f>IFERROR(IF([1]对账明细接口!$D$313=0,"",[1]对账明细接口!$D$313),"")</f>
        <v>原料入库</v>
      </c>
      <c r="E313" s="16" t="str">
        <f>IFERROR(IF([1]对账明细接口!$E$313=0,"",[1]对账明细接口!$E$313),"")</f>
        <v>NO:0000911</v>
      </c>
      <c r="F313" s="16" t="str">
        <f>IFERROR(IF([1]对账明细接口!$F$313=0,"",[1]对账明细接口!$F$313),"")</f>
        <v>香梨</v>
      </c>
      <c r="G313" s="16" t="str">
        <f>IFERROR(IF([1]对账明细接口!$G$313=0,"",[1]对账明细接口!$G$313),"")</f>
        <v>香梨副特</v>
      </c>
      <c r="H313" s="176">
        <f>IFERROR(IF([1]对账明细接口!$H$313=0,"",[1]对账明细接口!$H$313),"")</f>
        <v>41</v>
      </c>
      <c r="I313" s="16" t="str">
        <f>IFERROR(IF([1]对账明细接口!$I$313=0,"",[1]对账明细接口!$I$313),"")</f>
        <v>筐</v>
      </c>
      <c r="J313" s="177">
        <f>IFERROR(IF([1]对账明细接口!$J$313=0,"",[1]对账明细接口!$J$313),"")</f>
        <v>750.3</v>
      </c>
      <c r="K313" s="177">
        <f>IFERROR(IF([1]对账明细接口!$K$313=0,"",[1]对账明细接口!$K$313),"")</f>
      </c>
      <c r="L313" s="16">
        <f>IFERROR(IF([1]对账明细接口!$L$313=0,"",[1]对账明细接口!$L$313),"")</f>
      </c>
      <c r="M313" s="16">
        <f>IFERROR(IF([1]对账明细接口!$M$313=0,"",[1]对账明细接口!$M$313),"")</f>
      </c>
      <c r="N313" s="19">
        <f>IF($C313="",0,1)</f>
        <v>1</v>
      </c>
      <c r="O313" s="19">
        <f>N(O312)+$N313</f>
        <v>310</v>
      </c>
      <c r="S313" s="20" t="str">
        <f>IFERROR(IF([1]对账明细接口!$N313=0,"",[1]对账明细接口!$N313),"")</f>
        <v>公司杂周转筐</v>
      </c>
      <c r="T313" s="212">
        <f>IFERROR(IF([1]对账明细接口!$O313=0,"",[1]对账明细接口!$O313),"")</f>
      </c>
      <c r="U313" s="212">
        <f>IFERROR(IF([1]对账明细接口!$P313=0,"",[1]对账明细接口!$P313),"")</f>
      </c>
      <c r="V313" s="212">
        <f>IFERROR(IF([1]对账明细接口!$Q313=0,"",[1]对账明细接口!$Q313),"")</f>
        <v>41</v>
      </c>
      <c r="W313" s="20" t="str">
        <f>IFERROR(IF([1]对账明细接口!$R313=0,"",[1]对账明细接口!$R313),"")</f>
        <v>新N*K7V85</v>
      </c>
      <c r="X313" s="20" t="str">
        <f>IFERROR(IF([1]对账明细接口!$S313=0,"",[1]对账明细接口!$S313),"")</f>
        <v>公司筐</v>
      </c>
      <c r="Y313" s="20">
        <f>IFERROR(IF([1]对账明细接口!$T313=0,"",[1]对账明细接口!$T313),"")</f>
      </c>
      <c r="Z313" s="213">
        <f>IFERROR(IF([1]对账明细接口!$U313=0,"",[1]对账明细接口!$U313),"")</f>
      </c>
      <c r="AA313" s="213">
        <f>IFERROR(IF([1]对账明细接口!$V313=0,"",[1]对账明细接口!$V313),"")</f>
      </c>
      <c r="AB313" s="20">
        <f>IFERROR(IF([1]对账明细接口!$W313=0,"",[1]对账明细接口!$W313),"")</f>
      </c>
      <c r="AC313" s="7">
        <f>IFERROR(IF([1]对账明细接口!$X313=0,"",[1]对账明细接口!$X313),"")</f>
      </c>
      <c r="AD313" s="7">
        <f>IFERROR(IF([1]对账明细接口!$Y313=0,"",[1]对账明细接口!$Y313),"")</f>
      </c>
      <c r="AE313" s="7">
        <f>IFERROR(IF([1]对账明细接口!$AA313=0,"",[1]对账明细接口!$AA313),"")</f>
      </c>
      <c r="AF313" s="7">
        <f>IFERROR(IF([1]对账明细接口!$AB313=0,"",[1]对账明细接口!$AB313),"")</f>
      </c>
      <c r="AG313" s="7">
        <f>IFERROR(IF([1]对账明细接口!$AC313=0,"",[1]对账明细接口!$AC313),"")</f>
      </c>
      <c r="AH313" s="7">
        <f>IFERROR(IF([1]对账明细接口!$AD313=0,"",[1]对账明细接口!$AD313),"")</f>
      </c>
      <c r="AI313" s="7">
        <f>IFERROR(IF([1]对账明细接口!$AE313=0,"",[1]对账明细接口!$AE313),"")</f>
      </c>
      <c r="AJ313" s="7">
        <f>IFERROR(IF([1]对账明细接口!$AF313=0,"",[1]对账明细接口!$AF313),"")</f>
      </c>
    </row>
    <row r="314" ht="14.25" customHeight="1" s="127">
      <c r="A314" s="14" t="n">
        <v>314</v>
      </c>
      <c r="B314" s="211">
        <f>IFERROR(IF([1]对账明细接口!$B$314=0,"",[1]对账明细接口!$B$314),"")</f>
        <v>46284.0</v>
      </c>
      <c r="C314" s="16" t="str">
        <f>IFERROR(IF([1]对账明细接口!$C$314=0,"",[1]对账明细接口!$C$314),"")</f>
        <v>王照雪</v>
      </c>
      <c r="D314" s="16" t="str">
        <f>IFERROR(IF([1]对账明细接口!$D$314=0,"",[1]对账明细接口!$D$314),"")</f>
        <v>原料入库</v>
      </c>
      <c r="E314" s="16" t="str">
        <f>IFERROR(IF([1]对账明细接口!$E$314=0,"",[1]对账明细接口!$E$314),"")</f>
        <v>NO:0000913</v>
      </c>
      <c r="F314" s="16" t="str">
        <f>IFERROR(IF([1]对账明细接口!$F$314=0,"",[1]对账明细接口!$F$314),"")</f>
        <v>苹果</v>
      </c>
      <c r="G314" s="16" t="str">
        <f>IFERROR(IF([1]对账明细接口!$G$314=0,"",[1]对账明细接口!$G$314),"")</f>
        <v>新世纪一级</v>
      </c>
      <c r="H314" s="176">
        <f>IFERROR(IF([1]对账明细接口!$H$314=0,"",[1]对账明细接口!$H$314),"")</f>
        <v>176</v>
      </c>
      <c r="I314" s="16" t="str">
        <f>IFERROR(IF([1]对账明细接口!$I$314=0,"",[1]对账明细接口!$I$314),"")</f>
        <v>筐</v>
      </c>
      <c r="J314" s="177">
        <f>IFERROR(IF([1]对账明细接口!$J$314=0,"",[1]对账明细接口!$J$314),"")</f>
        <v>2868.8</v>
      </c>
      <c r="K314" s="177">
        <f>IFERROR(IF([1]对账明细接口!$K$314=0,"",[1]对账明细接口!$K$314),"")</f>
      </c>
      <c r="L314" s="16">
        <f>IFERROR(IF([1]对账明细接口!$L$314=0,"",[1]对账明细接口!$L$314),"")</f>
      </c>
      <c r="M314" s="16">
        <f>IFERROR(IF([1]对账明细接口!$M$314=0,"",[1]对账明细接口!$M$314),"")</f>
      </c>
      <c r="N314" s="19">
        <f>IF($C314="",0,1)</f>
        <v>1</v>
      </c>
      <c r="O314" s="19">
        <f>N(O313)+$N314</f>
        <v>311</v>
      </c>
      <c r="S314" s="20" t="str">
        <f>IFERROR(IF([1]对账明细接口!$N314=0,"",[1]对账明细接口!$N314),"")</f>
        <v>公司杂周转筐</v>
      </c>
      <c r="T314" s="212">
        <f>IFERROR(IF([1]对账明细接口!$O314=0,"",[1]对账明细接口!$O314),"")</f>
      </c>
      <c r="U314" s="212">
        <f>IFERROR(IF([1]对账明细接口!$P314=0,"",[1]对账明细接口!$P314),"")</f>
      </c>
      <c r="V314" s="212">
        <f>IFERROR(IF([1]对账明细接口!$Q314=0,"",[1]对账明细接口!$Q314),"")</f>
        <v>176</v>
      </c>
      <c r="W314" s="20" t="str">
        <f>IFERROR(IF([1]对账明细接口!$R314=0,"",[1]对账明细接口!$R314),"")</f>
        <v>豫L*88X19</v>
      </c>
      <c r="X314" s="20" t="str">
        <f>IFERROR(IF([1]对账明细接口!$S314=0,"",[1]对账明细接口!$S314),"")</f>
        <v>公司筐</v>
      </c>
      <c r="Y314" s="20">
        <f>IFERROR(IF([1]对账明细接口!$T314=0,"",[1]对账明细接口!$T314),"")</f>
      </c>
      <c r="Z314" s="213">
        <f>IFERROR(IF([1]对账明细接口!$U314=0,"",[1]对账明细接口!$U314),"")</f>
      </c>
      <c r="AA314" s="213">
        <f>IFERROR(IF([1]对账明细接口!$V314=0,"",[1]对账明细接口!$V314),"")</f>
      </c>
      <c r="AB314" s="20">
        <f>IFERROR(IF([1]对账明细接口!$W314=0,"",[1]对账明细接口!$W314),"")</f>
      </c>
      <c r="AC314" s="7">
        <f>IFERROR(IF([1]对账明细接口!$X314=0,"",[1]对账明细接口!$X314),"")</f>
      </c>
      <c r="AD314" s="7">
        <f>IFERROR(IF([1]对账明细接口!$Y314=0,"",[1]对账明细接口!$Y314),"")</f>
      </c>
      <c r="AE314" s="7">
        <f>IFERROR(IF([1]对账明细接口!$AA314=0,"",[1]对账明细接口!$AA314),"")</f>
      </c>
      <c r="AF314" s="7">
        <f>IFERROR(IF([1]对账明细接口!$AB314=0,"",[1]对账明细接口!$AB314),"")</f>
      </c>
      <c r="AG314" s="7">
        <f>IFERROR(IF([1]对账明细接口!$AC314=0,"",[1]对账明细接口!$AC314),"")</f>
      </c>
      <c r="AH314" s="7">
        <f>IFERROR(IF([1]对账明细接口!$AD314=0,"",[1]对账明细接口!$AD314),"")</f>
      </c>
      <c r="AI314" s="7">
        <f>IFERROR(IF([1]对账明细接口!$AE314=0,"",[1]对账明细接口!$AE314),"")</f>
      </c>
      <c r="AJ314" s="7">
        <f>IFERROR(IF([1]对账明细接口!$AF314=0,"",[1]对账明细接口!$AF314),"")</f>
      </c>
    </row>
    <row r="315" ht="14.25" customHeight="1" s="127">
      <c r="A315" s="14" t="n">
        <v>315</v>
      </c>
      <c r="B315" s="211">
        <f>IFERROR(IF([1]对账明细接口!$B$315=0,"",[1]对账明细接口!$B$315),"")</f>
        <v>46284.0</v>
      </c>
      <c r="C315" s="16" t="str">
        <f>IFERROR(IF([1]对账明细接口!$C$315=0,"",[1]对账明细接口!$C$315),"")</f>
        <v>王照雪</v>
      </c>
      <c r="D315" s="16" t="str">
        <f>IFERROR(IF([1]对账明细接口!$D$315=0,"",[1]对账明细接口!$D$315),"")</f>
        <v>原料入库</v>
      </c>
      <c r="E315" s="16" t="str">
        <f>IFERROR(IF([1]对账明细接口!$E$315=0,"",[1]对账明细接口!$E$315),"")</f>
        <v>NO:0000913</v>
      </c>
      <c r="F315" s="16" t="str">
        <f>IFERROR(IF([1]对账明细接口!$F$315=0,"",[1]对账明细接口!$F$315),"")</f>
        <v>苹果</v>
      </c>
      <c r="G315" s="16" t="str">
        <f>IFERROR(IF([1]对账明细接口!$G$315=0,"",[1]对账明细接口!$G$315),"")</f>
        <v>新世纪一级</v>
      </c>
      <c r="H315" s="176">
        <f>IFERROR(IF([1]对账明细接口!$H$315=0,"",[1]对账明细接口!$H$315),"")</f>
        <v>76</v>
      </c>
      <c r="I315" s="16" t="str">
        <f>IFERROR(IF([1]对账明细接口!$I$315=0,"",[1]对账明细接口!$I$315),"")</f>
        <v>筐</v>
      </c>
      <c r="J315" s="177">
        <f>IFERROR(IF([1]对账明细接口!$J$315=0,"",[1]对账明细接口!$J$315),"")</f>
        <v>1314.8</v>
      </c>
      <c r="K315" s="177">
        <f>IFERROR(IF([1]对账明细接口!$K$315=0,"",[1]对账明细接口!$K$315),"")</f>
      </c>
      <c r="L315" s="16">
        <f>IFERROR(IF([1]对账明细接口!$L$315=0,"",[1]对账明细接口!$L$315),"")</f>
      </c>
      <c r="M315" s="16">
        <f>IFERROR(IF([1]对账明细接口!$M$315=0,"",[1]对账明细接口!$M$315),"")</f>
      </c>
      <c r="N315" s="19">
        <f>IF($C315="",0,1)</f>
        <v>1</v>
      </c>
      <c r="O315" s="19">
        <f>N(O314)+$N315</f>
        <v>312</v>
      </c>
      <c r="S315" s="20" t="str">
        <f>IFERROR(IF([1]对账明细接口!$N315=0,"",[1]对账明细接口!$N315),"")</f>
        <v>公司杂周转筐</v>
      </c>
      <c r="T315" s="212">
        <f>IFERROR(IF([1]对账明细接口!$O315=0,"",[1]对账明细接口!$O315),"")</f>
      </c>
      <c r="U315" s="212">
        <f>IFERROR(IF([1]对账明细接口!$P315=0,"",[1]对账明细接口!$P315),"")</f>
      </c>
      <c r="V315" s="212">
        <f>IFERROR(IF([1]对账明细接口!$Q315=0,"",[1]对账明细接口!$Q315),"")</f>
        <v>76</v>
      </c>
      <c r="W315" s="20" t="str">
        <f>IFERROR(IF([1]对账明细接口!$R315=0,"",[1]对账明细接口!$R315),"")</f>
        <v>豫L*88X19</v>
      </c>
      <c r="X315" s="20" t="str">
        <f>IFERROR(IF([1]对账明细接口!$S315=0,"",[1]对账明细接口!$S315),"")</f>
        <v>公司筐</v>
      </c>
      <c r="Y315" s="20">
        <f>IFERROR(IF([1]对账明细接口!$T315=0,"",[1]对账明细接口!$T315),"")</f>
      </c>
      <c r="Z315" s="213">
        <f>IFERROR(IF([1]对账明细接口!$U315=0,"",[1]对账明细接口!$U315),"")</f>
      </c>
      <c r="AA315" s="213">
        <f>IFERROR(IF([1]对账明细接口!$V315=0,"",[1]对账明细接口!$V315),"")</f>
      </c>
      <c r="AB315" s="20">
        <f>IFERROR(IF([1]对账明细接口!$W315=0,"",[1]对账明细接口!$W315),"")</f>
      </c>
      <c r="AC315" s="7">
        <f>IFERROR(IF([1]对账明细接口!$X315=0,"",[1]对账明细接口!$X315),"")</f>
      </c>
      <c r="AD315" s="7">
        <f>IFERROR(IF([1]对账明细接口!$Y315=0,"",[1]对账明细接口!$Y315),"")</f>
      </c>
      <c r="AE315" s="7">
        <f>IFERROR(IF([1]对账明细接口!$AA315=0,"",[1]对账明细接口!$AA315),"")</f>
      </c>
      <c r="AF315" s="7">
        <f>IFERROR(IF([1]对账明细接口!$AB315=0,"",[1]对账明细接口!$AB315),"")</f>
      </c>
      <c r="AG315" s="7">
        <f>IFERROR(IF([1]对账明细接口!$AC315=0,"",[1]对账明细接口!$AC315),"")</f>
      </c>
      <c r="AH315" s="7">
        <f>IFERROR(IF([1]对账明细接口!$AD315=0,"",[1]对账明细接口!$AD315),"")</f>
      </c>
      <c r="AI315" s="7">
        <f>IFERROR(IF([1]对账明细接口!$AE315=0,"",[1]对账明细接口!$AE315),"")</f>
      </c>
      <c r="AJ315" s="7">
        <f>IFERROR(IF([1]对账明细接口!$AF315=0,"",[1]对账明细接口!$AF315),"")</f>
      </c>
    </row>
    <row r="316" ht="14.25" customHeight="1" s="127">
      <c r="A316" s="14" t="n">
        <v>316</v>
      </c>
      <c r="B316" s="211">
        <f>IFERROR(IF([1]对账明细接口!$B$316=0,"",[1]对账明细接口!$B$316),"")</f>
        <v>46284.0</v>
      </c>
      <c r="C316" s="16" t="str">
        <f>IFERROR(IF([1]对账明细接口!$C$316=0,"",[1]对账明细接口!$C$316),"")</f>
        <v>王照雪</v>
      </c>
      <c r="D316" s="16" t="str">
        <f>IFERROR(IF([1]对账明细接口!$D$316=0,"",[1]对账明细接口!$D$316),"")</f>
        <v>原料入库</v>
      </c>
      <c r="E316" s="16" t="str">
        <f>IFERROR(IF([1]对账明细接口!$E$316=0,"",[1]对账明细接口!$E$316),"")</f>
        <v>NO:0000913</v>
      </c>
      <c r="F316" s="16" t="str">
        <f>IFERROR(IF([1]对账明细接口!$F$316=0,"",[1]对账明细接口!$F$316),"")</f>
        <v>苹果</v>
      </c>
      <c r="G316" s="16" t="str">
        <f>IFERROR(IF([1]对账明细接口!$G$316=0,"",[1]对账明细接口!$G$316),"")</f>
        <v>新世纪二级</v>
      </c>
      <c r="H316" s="176">
        <f>IFERROR(IF([1]对账明细接口!$H$316=0,"",[1]对账明细接口!$H$316),"")</f>
        <v>86</v>
      </c>
      <c r="I316" s="16" t="str">
        <f>IFERROR(IF([1]对账明细接口!$I$316=0,"",[1]对账明细接口!$I$316),"")</f>
        <v>筐</v>
      </c>
      <c r="J316" s="177">
        <f>IFERROR(IF([1]对账明细接口!$J$316=0,"",[1]对账明细接口!$J$316),"")</f>
        <v>1745.8</v>
      </c>
      <c r="K316" s="177">
        <f>IFERROR(IF([1]对账明细接口!$K$316=0,"",[1]对账明细接口!$K$316),"")</f>
      </c>
      <c r="L316" s="16">
        <f>IFERROR(IF([1]对账明细接口!$L$316=0,"",[1]对账明细接口!$L$316),"")</f>
      </c>
      <c r="M316" s="16">
        <f>IFERROR(IF([1]对账明细接口!$M$316=0,"",[1]对账明细接口!$M$316),"")</f>
      </c>
      <c r="N316" s="19">
        <f>IF($C316="",0,1)</f>
        <v>1</v>
      </c>
      <c r="O316" s="19">
        <f>N(O315)+$N316</f>
        <v>313</v>
      </c>
      <c r="S316" s="20" t="str">
        <f>IFERROR(IF([1]对账明细接口!$N316=0,"",[1]对账明细接口!$N316),"")</f>
        <v>公司杂周转筐</v>
      </c>
      <c r="T316" s="212">
        <f>IFERROR(IF([1]对账明细接口!$O316=0,"",[1]对账明细接口!$O316),"")</f>
      </c>
      <c r="U316" s="212">
        <f>IFERROR(IF([1]对账明细接口!$P316=0,"",[1]对账明细接口!$P316),"")</f>
      </c>
      <c r="V316" s="212">
        <f>IFERROR(IF([1]对账明细接口!$Q316=0,"",[1]对账明细接口!$Q316),"")</f>
        <v>86</v>
      </c>
      <c r="W316" s="20" t="str">
        <f>IFERROR(IF([1]对账明细接口!$R316=0,"",[1]对账明细接口!$R316),"")</f>
        <v>豫L*88X19</v>
      </c>
      <c r="X316" s="20" t="str">
        <f>IFERROR(IF([1]对账明细接口!$S316=0,"",[1]对账明细接口!$S316),"")</f>
        <v>公司筐</v>
      </c>
      <c r="Y316" s="20">
        <f>IFERROR(IF([1]对账明细接口!$T316=0,"",[1]对账明细接口!$T316),"")</f>
      </c>
      <c r="Z316" s="213">
        <f>IFERROR(IF([1]对账明细接口!$U316=0,"",[1]对账明细接口!$U316),"")</f>
      </c>
      <c r="AA316" s="213">
        <f>IFERROR(IF([1]对账明细接口!$V316=0,"",[1]对账明细接口!$V316),"")</f>
      </c>
      <c r="AB316" s="20">
        <f>IFERROR(IF([1]对账明细接口!$W316=0,"",[1]对账明细接口!$W316),"")</f>
      </c>
      <c r="AC316" s="7">
        <f>IFERROR(IF([1]对账明细接口!$X316=0,"",[1]对账明细接口!$X316),"")</f>
      </c>
      <c r="AD316" s="7">
        <f>IFERROR(IF([1]对账明细接口!$Y316=0,"",[1]对账明细接口!$Y316),"")</f>
      </c>
      <c r="AE316" s="7">
        <f>IFERROR(IF([1]对账明细接口!$AA316=0,"",[1]对账明细接口!$AA316),"")</f>
      </c>
      <c r="AF316" s="7">
        <f>IFERROR(IF([1]对账明细接口!$AB316=0,"",[1]对账明细接口!$AB316),"")</f>
      </c>
      <c r="AG316" s="7">
        <f>IFERROR(IF([1]对账明细接口!$AC316=0,"",[1]对账明细接口!$AC316),"")</f>
      </c>
      <c r="AH316" s="7">
        <f>IFERROR(IF([1]对账明细接口!$AD316=0,"",[1]对账明细接口!$AD316),"")</f>
      </c>
      <c r="AI316" s="7">
        <f>IFERROR(IF([1]对账明细接口!$AE316=0,"",[1]对账明细接口!$AE316),"")</f>
      </c>
      <c r="AJ316" s="7">
        <f>IFERROR(IF([1]对账明细接口!$AF316=0,"",[1]对账明细接口!$AF316),"")</f>
      </c>
    </row>
    <row r="317" ht="14.25" customHeight="1" s="127">
      <c r="A317" s="14" t="n">
        <v>317</v>
      </c>
      <c r="B317" s="211">
        <f>IFERROR(IF([1]对账明细接口!$B$317=0,"",[1]对账明细接口!$B$317),"")</f>
        <v>46284.0</v>
      </c>
      <c r="C317" s="16" t="str">
        <f>IFERROR(IF([1]对账明细接口!$C$317=0,"",[1]对账明细接口!$C$317),"")</f>
        <v>王照雪</v>
      </c>
      <c r="D317" s="16" t="str">
        <f>IFERROR(IF([1]对账明细接口!$D$317=0,"",[1]对账明细接口!$D$317),"")</f>
        <v>原料入库</v>
      </c>
      <c r="E317" s="16" t="str">
        <f>IFERROR(IF([1]对账明细接口!$E$317=0,"",[1]对账明细接口!$E$317),"")</f>
        <v>NO:0000913</v>
      </c>
      <c r="F317" s="16" t="str">
        <f>IFERROR(IF([1]对账明细接口!$F$317=0,"",[1]对账明细接口!$F$317),"")</f>
        <v>苹果</v>
      </c>
      <c r="G317" s="16" t="str">
        <f>IFERROR(IF([1]对账明细接口!$G$317=0,"",[1]对账明细接口!$G$317),"")</f>
        <v>新世纪二级</v>
      </c>
      <c r="H317" s="176">
        <f>IFERROR(IF([1]对账明细接口!$H$317=0,"",[1]对账明细接口!$H$317),"")</f>
        <v>5</v>
      </c>
      <c r="I317" s="16" t="str">
        <f>IFERROR(IF([1]对账明细接口!$I$317=0,"",[1]对账明细接口!$I$317),"")</f>
        <v>筐</v>
      </c>
      <c r="J317" s="177">
        <f>IFERROR(IF([1]对账明细接口!$J$317=0,"",[1]对账明细接口!$J$317),"")</f>
        <v>81.5</v>
      </c>
      <c r="K317" s="177">
        <f>IFERROR(IF([1]对账明细接口!$K$317=0,"",[1]对账明细接口!$K$317),"")</f>
      </c>
      <c r="L317" s="16">
        <f>IFERROR(IF([1]对账明细接口!$L$317=0,"",[1]对账明细接口!$L$317),"")</f>
      </c>
      <c r="M317" s="16">
        <f>IFERROR(IF([1]对账明细接口!$M$317=0,"",[1]对账明细接口!$M$317),"")</f>
      </c>
      <c r="N317" s="19">
        <f>IF($C317="",0,1)</f>
        <v>1</v>
      </c>
      <c r="O317" s="19">
        <f>N(O316)+$N317</f>
        <v>314</v>
      </c>
      <c r="S317" s="20" t="str">
        <f>IFERROR(IF([1]对账明细接口!$N317=0,"",[1]对账明细接口!$N317),"")</f>
        <v>公司杂周转筐</v>
      </c>
      <c r="T317" s="212">
        <f>IFERROR(IF([1]对账明细接口!$O317=0,"",[1]对账明细接口!$O317),"")</f>
      </c>
      <c r="U317" s="212">
        <f>IFERROR(IF([1]对账明细接口!$P317=0,"",[1]对账明细接口!$P317),"")</f>
      </c>
      <c r="V317" s="212">
        <f>IFERROR(IF([1]对账明细接口!$Q317=0,"",[1]对账明细接口!$Q317),"")</f>
        <v>5</v>
      </c>
      <c r="W317" s="20" t="str">
        <f>IFERROR(IF([1]对账明细接口!$R317=0,"",[1]对账明细接口!$R317),"")</f>
        <v>豫L*88X19</v>
      </c>
      <c r="X317" s="20" t="str">
        <f>IFERROR(IF([1]对账明细接口!$S317=0,"",[1]对账明细接口!$S317),"")</f>
        <v>公司筐</v>
      </c>
      <c r="Y317" s="20">
        <f>IFERROR(IF([1]对账明细接口!$T317=0,"",[1]对账明细接口!$T317),"")</f>
      </c>
      <c r="Z317" s="213">
        <f>IFERROR(IF([1]对账明细接口!$U317=0,"",[1]对账明细接口!$U317),"")</f>
      </c>
      <c r="AA317" s="213">
        <f>IFERROR(IF([1]对账明细接口!$V317=0,"",[1]对账明细接口!$V317),"")</f>
      </c>
      <c r="AB317" s="20">
        <f>IFERROR(IF([1]对账明细接口!$W317=0,"",[1]对账明细接口!$W317),"")</f>
      </c>
      <c r="AC317" s="7">
        <f>IFERROR(IF([1]对账明细接口!$X317=0,"",[1]对账明细接口!$X317),"")</f>
      </c>
      <c r="AD317" s="7">
        <f>IFERROR(IF([1]对账明细接口!$Y317=0,"",[1]对账明细接口!$Y317),"")</f>
      </c>
      <c r="AE317" s="7">
        <f>IFERROR(IF([1]对账明细接口!$AA317=0,"",[1]对账明细接口!$AA317),"")</f>
      </c>
      <c r="AF317" s="7">
        <f>IFERROR(IF([1]对账明细接口!$AB317=0,"",[1]对账明细接口!$AB317),"")</f>
      </c>
      <c r="AG317" s="7">
        <f>IFERROR(IF([1]对账明细接口!$AC317=0,"",[1]对账明细接口!$AC317),"")</f>
      </c>
      <c r="AH317" s="7">
        <f>IFERROR(IF([1]对账明细接口!$AD317=0,"",[1]对账明细接口!$AD317),"")</f>
      </c>
      <c r="AI317" s="7">
        <f>IFERROR(IF([1]对账明细接口!$AE317=0,"",[1]对账明细接口!$AE317),"")</f>
      </c>
      <c r="AJ317" s="7">
        <f>IFERROR(IF([1]对账明细接口!$AF317=0,"",[1]对账明细接口!$AF317),"")</f>
      </c>
    </row>
    <row r="318" ht="14.25" customHeight="1" s="127">
      <c r="A318" s="14" t="n">
        <v>318</v>
      </c>
      <c r="B318" s="211">
        <f>IFERROR(IF([1]对账明细接口!$B$318=0,"",[1]对账明细接口!$B$318),"")</f>
        <v>46284.0</v>
      </c>
      <c r="C318" s="16" t="str">
        <f>IFERROR(IF([1]对账明细接口!$C$318=0,"",[1]对账明细接口!$C$318),"")</f>
        <v>荆建君</v>
      </c>
      <c r="D318" s="16" t="str">
        <f>IFERROR(IF([1]对账明细接口!$D$318=0,"",[1]对账明细接口!$D$318),"")</f>
        <v>原料入库</v>
      </c>
      <c r="E318" s="16" t="str">
        <f>IFERROR(IF([1]对账明细接口!$E$318=0,"",[1]对账明细接口!$E$318),"")</f>
        <v>NO:0000915</v>
      </c>
      <c r="F318" s="16" t="str">
        <f>IFERROR(IF([1]对账明细接口!$F$318=0,"",[1]对账明细接口!$F$318),"")</f>
        <v>香梨</v>
      </c>
      <c r="G318" s="16" t="str">
        <f>IFERROR(IF([1]对账明细接口!$G$318=0,"",[1]对账明细接口!$G$318),"")</f>
        <v>香梨一级</v>
      </c>
      <c r="H318" s="176">
        <f>IFERROR(IF([1]对账明细接口!$H$318=0,"",[1]对账明细接口!$H$318),"")</f>
        <v>416</v>
      </c>
      <c r="I318" s="16" t="str">
        <f>IFERROR(IF([1]对账明细接口!$I$318=0,"",[1]对账明细接口!$I$318),"")</f>
        <v>筐</v>
      </c>
      <c r="J318" s="177">
        <f>IFERROR(IF([1]对账明细接口!$J$318=0,"",[1]对账明细接口!$J$318),"")</f>
        <v>7612.8</v>
      </c>
      <c r="K318" s="177">
        <f>IFERROR(IF([1]对账明细接口!$K$318=0,"",[1]对账明细接口!$K$318),"")</f>
      </c>
      <c r="L318" s="16">
        <f>IFERROR(IF([1]对账明细接口!$L$318=0,"",[1]对账明细接口!$L$318),"")</f>
      </c>
      <c r="M318" s="16">
        <f>IFERROR(IF([1]对账明细接口!$M$318=0,"",[1]对账明细接口!$M$318),"")</f>
      </c>
      <c r="N318" s="19">
        <f>IF($C318="",0,1)</f>
        <v>1</v>
      </c>
      <c r="O318" s="19">
        <f>N(O317)+$N318</f>
        <v>315</v>
      </c>
      <c r="S318" s="20" t="str">
        <f>IFERROR(IF([1]对账明细接口!$N318=0,"",[1]对账明细接口!$N318),"")</f>
        <v>公司红周转筐</v>
      </c>
      <c r="T318" s="212">
        <f>IFERROR(IF([1]对账明细接口!$O318=0,"",[1]对账明细接口!$O318),"")</f>
      </c>
      <c r="U318" s="212">
        <f>IFERROR(IF([1]对账明细接口!$P318=0,"",[1]对账明细接口!$P318),"")</f>
      </c>
      <c r="V318" s="212">
        <f>IFERROR(IF([1]对账明细接口!$Q318=0,"",[1]对账明细接口!$Q318),"")</f>
        <v>416</v>
      </c>
      <c r="W318" s="20" t="str">
        <f>IFERROR(IF([1]对账明细接口!$R318=0,"",[1]对账明细接口!$R318),"")</f>
        <v>豫A*2737K</v>
      </c>
      <c r="X318" s="20" t="str">
        <f>IFERROR(IF([1]对账明细接口!$S318=0,"",[1]对账明细接口!$S318),"")</f>
        <v>公司筐</v>
      </c>
      <c r="Y318" s="20">
        <f>IFERROR(IF([1]对账明细接口!$T318=0,"",[1]对账明细接口!$T318),"")</f>
      </c>
      <c r="Z318" s="213">
        <f>IFERROR(IF([1]对账明细接口!$U318=0,"",[1]对账明细接口!$U318),"")</f>
      </c>
      <c r="AA318" s="213">
        <f>IFERROR(IF([1]对账明细接口!$V318=0,"",[1]对账明细接口!$V318),"")</f>
      </c>
      <c r="AB318" s="20">
        <f>IFERROR(IF([1]对账明细接口!$W318=0,"",[1]对账明细接口!$W318),"")</f>
      </c>
      <c r="AC318" s="7">
        <f>IFERROR(IF([1]对账明细接口!$X318=0,"",[1]对账明细接口!$X318),"")</f>
      </c>
      <c r="AD318" s="7">
        <f>IFERROR(IF([1]对账明细接口!$Y318=0,"",[1]对账明细接口!$Y318),"")</f>
      </c>
      <c r="AE318" s="7">
        <f>IFERROR(IF([1]对账明细接口!$AA318=0,"",[1]对账明细接口!$AA318),"")</f>
      </c>
      <c r="AF318" s="7">
        <f>IFERROR(IF([1]对账明细接口!$AB318=0,"",[1]对账明细接口!$AB318),"")</f>
      </c>
      <c r="AG318" s="7">
        <f>IFERROR(IF([1]对账明细接口!$AC318=0,"",[1]对账明细接口!$AC318),"")</f>
      </c>
      <c r="AH318" s="7">
        <f>IFERROR(IF([1]对账明细接口!$AD318=0,"",[1]对账明细接口!$AD318),"")</f>
      </c>
      <c r="AI318" s="7">
        <f>IFERROR(IF([1]对账明细接口!$AE318=0,"",[1]对账明细接口!$AE318),"")</f>
      </c>
      <c r="AJ318" s="7">
        <f>IFERROR(IF([1]对账明细接口!$AF318=0,"",[1]对账明细接口!$AF318),"")</f>
      </c>
    </row>
    <row r="319" ht="14.25" customHeight="1" s="127">
      <c r="A319" s="14" t="n">
        <v>319</v>
      </c>
      <c r="B319" s="211">
        <f>IFERROR(IF([1]对账明细接口!$B$319=0,"",[1]对账明细接口!$B$319),"")</f>
        <v>46284.0</v>
      </c>
      <c r="C319" s="16" t="str">
        <f>IFERROR(IF([1]对账明细接口!$C$319=0,"",[1]对账明细接口!$C$319),"")</f>
        <v>荆建君</v>
      </c>
      <c r="D319" s="16" t="str">
        <f>IFERROR(IF([1]对账明细接口!$D$319=0,"",[1]对账明细接口!$D$319),"")</f>
        <v>原料入库</v>
      </c>
      <c r="E319" s="16" t="str">
        <f>IFERROR(IF([1]对账明细接口!$E$319=0,"",[1]对账明细接口!$E$319),"")</f>
        <v>NO:0000915</v>
      </c>
      <c r="F319" s="16" t="str">
        <f>IFERROR(IF([1]对账明细接口!$F$319=0,"",[1]对账明细接口!$F$319),"")</f>
        <v>香梨</v>
      </c>
      <c r="G319" s="16" t="str">
        <f>IFERROR(IF([1]对账明细接口!$G$319=0,"",[1]对账明细接口!$G$319),"")</f>
        <v>香梨二级</v>
      </c>
      <c r="H319" s="176">
        <f>IFERROR(IF([1]对账明细接口!$H$319=0,"",[1]对账明细接口!$H$319),"")</f>
        <v>233</v>
      </c>
      <c r="I319" s="16" t="str">
        <f>IFERROR(IF([1]对账明细接口!$I$319=0,"",[1]对账明细接口!$I$319),"")</f>
        <v>筐</v>
      </c>
      <c r="J319" s="177">
        <f>IFERROR(IF([1]对账明细接口!$J$319=0,"",[1]对账明细接口!$J$319),"")</f>
        <v>4263.9</v>
      </c>
      <c r="K319" s="177">
        <f>IFERROR(IF([1]对账明细接口!$K$319=0,"",[1]对账明细接口!$K$319),"")</f>
      </c>
      <c r="L319" s="16">
        <f>IFERROR(IF([1]对账明细接口!$L$319=0,"",[1]对账明细接口!$L$319),"")</f>
      </c>
      <c r="M319" s="16">
        <f>IFERROR(IF([1]对账明细接口!$M$319=0,"",[1]对账明细接口!$M$319),"")</f>
      </c>
      <c r="N319" s="19">
        <f>IF($C319="",0,1)</f>
        <v>1</v>
      </c>
      <c r="O319" s="19">
        <f>N(O318)+$N319</f>
        <v>316</v>
      </c>
      <c r="S319" s="20" t="str">
        <f>IFERROR(IF([1]对账明细接口!$N319=0,"",[1]对账明细接口!$N319),"")</f>
        <v>公司红周转筐</v>
      </c>
      <c r="T319" s="212">
        <f>IFERROR(IF([1]对账明细接口!$O319=0,"",[1]对账明细接口!$O319),"")</f>
      </c>
      <c r="U319" s="212">
        <f>IFERROR(IF([1]对账明细接口!$P319=0,"",[1]对账明细接口!$P319),"")</f>
      </c>
      <c r="V319" s="212">
        <f>IFERROR(IF([1]对账明细接口!$Q319=0,"",[1]对账明细接口!$Q319),"")</f>
        <v>233</v>
      </c>
      <c r="W319" s="20" t="str">
        <f>IFERROR(IF([1]对账明细接口!$R319=0,"",[1]对账明细接口!$R319),"")</f>
        <v>豫A*2737K</v>
      </c>
      <c r="X319" s="20" t="str">
        <f>IFERROR(IF([1]对账明细接口!$S319=0,"",[1]对账明细接口!$S319),"")</f>
        <v>公司筐</v>
      </c>
      <c r="Y319" s="20">
        <f>IFERROR(IF([1]对账明细接口!$T319=0,"",[1]对账明细接口!$T319),"")</f>
      </c>
      <c r="Z319" s="213">
        <f>IFERROR(IF([1]对账明细接口!$U319=0,"",[1]对账明细接口!$U319),"")</f>
      </c>
      <c r="AA319" s="213">
        <f>IFERROR(IF([1]对账明细接口!$V319=0,"",[1]对账明细接口!$V319),"")</f>
      </c>
      <c r="AB319" s="20">
        <f>IFERROR(IF([1]对账明细接口!$W319=0,"",[1]对账明细接口!$W319),"")</f>
      </c>
      <c r="AC319" s="7">
        <f>IFERROR(IF([1]对账明细接口!$X319=0,"",[1]对账明细接口!$X319),"")</f>
      </c>
      <c r="AD319" s="7">
        <f>IFERROR(IF([1]对账明细接口!$Y319=0,"",[1]对账明细接口!$Y319),"")</f>
      </c>
      <c r="AE319" s="7">
        <f>IFERROR(IF([1]对账明细接口!$AA319=0,"",[1]对账明细接口!$AA319),"")</f>
      </c>
      <c r="AF319" s="7">
        <f>IFERROR(IF([1]对账明细接口!$AB319=0,"",[1]对账明细接口!$AB319),"")</f>
      </c>
      <c r="AG319" s="7">
        <f>IFERROR(IF([1]对账明细接口!$AC319=0,"",[1]对账明细接口!$AC319),"")</f>
      </c>
      <c r="AH319" s="7">
        <f>IFERROR(IF([1]对账明细接口!$AD319=0,"",[1]对账明细接口!$AD319),"")</f>
      </c>
      <c r="AI319" s="7">
        <f>IFERROR(IF([1]对账明细接口!$AE319=0,"",[1]对账明细接口!$AE319),"")</f>
      </c>
      <c r="AJ319" s="7">
        <f>IFERROR(IF([1]对账明细接口!$AF319=0,"",[1]对账明细接口!$AF319),"")</f>
      </c>
    </row>
    <row r="320" ht="14.25" customHeight="1" s="127">
      <c r="A320" s="14" t="n">
        <v>320</v>
      </c>
      <c r="B320" s="211">
        <f>IFERROR(IF([1]对账明细接口!$B$320=0,"",[1]对账明细接口!$B$320),"")</f>
        <v>46284.0</v>
      </c>
      <c r="C320" s="16" t="str">
        <f>IFERROR(IF([1]对账明细接口!$C$320=0,"",[1]对账明细接口!$C$320),"")</f>
        <v>热合曼+艾则孜</v>
      </c>
      <c r="D320" s="16" t="str">
        <f>IFERROR(IF([1]对账明细接口!$D$320=0,"",[1]对账明细接口!$D$320),"")</f>
        <v>原料入库</v>
      </c>
      <c r="E320" s="16" t="str">
        <f>IFERROR(IF([1]对账明细接口!$E$320=0,"",[1]对账明细接口!$E$320),"")</f>
        <v>NO:0000916</v>
      </c>
      <c r="F320" s="16" t="str">
        <f>IFERROR(IF([1]对账明细接口!$F$320=0,"",[1]对账明细接口!$F$320),"")</f>
        <v>香梨</v>
      </c>
      <c r="G320" s="16" t="str">
        <f>IFERROR(IF([1]对账明细接口!$G$320=0,"",[1]对账明细接口!$G$320),"")</f>
        <v>香梨一级</v>
      </c>
      <c r="H320" s="176">
        <f>IFERROR(IF([1]对账明细接口!$H$320=0,"",[1]对账明细接口!$H$320),"")</f>
        <v>429</v>
      </c>
      <c r="I320" s="16" t="str">
        <f>IFERROR(IF([1]对账明细接口!$I$320=0,"",[1]对账明细接口!$I$320),"")</f>
        <v>筐</v>
      </c>
      <c r="J320" s="177">
        <f>IFERROR(IF([1]对账明细接口!$J$320=0,"",[1]对账明细接口!$J$320),"")</f>
        <v>7850.7</v>
      </c>
      <c r="K320" s="177">
        <f>IFERROR(IF([1]对账明细接口!$K$320=0,"",[1]对账明细接口!$K$320),"")</f>
      </c>
      <c r="L320" s="16">
        <f>IFERROR(IF([1]对账明细接口!$L$320=0,"",[1]对账明细接口!$L$320),"")</f>
      </c>
      <c r="M320" s="16" t="str">
        <f>IFERROR(IF([1]对账明细接口!$M$320=0,"",[1]对账明细接口!$M$320),"")</f>
        <v>热合曼合伙</v>
      </c>
      <c r="N320" s="19">
        <f>IF($C320="",0,1)</f>
        <v>1</v>
      </c>
      <c r="O320" s="19">
        <f>N(O319)+$N320</f>
        <v>317</v>
      </c>
      <c r="S320" s="20" t="str">
        <f>IFERROR(IF([1]对账明细接口!$N320=0,"",[1]对账明细接口!$N320),"")</f>
        <v>公司红周转筐</v>
      </c>
      <c r="T320" s="212">
        <f>IFERROR(IF([1]对账明细接口!$O320=0,"",[1]对账明细接口!$O320),"")</f>
      </c>
      <c r="U320" s="212">
        <f>IFERROR(IF([1]对账明细接口!$P320=0,"",[1]对账明细接口!$P320),"")</f>
      </c>
      <c r="V320" s="212">
        <f>IFERROR(IF([1]对账明细接口!$Q320=0,"",[1]对账明细接口!$Q320),"")</f>
        <v>429</v>
      </c>
      <c r="W320" s="20" t="str">
        <f>IFERROR(IF([1]对账明细接口!$R320=0,"",[1]对账明细接口!$R320),"")</f>
        <v>新R*37010</v>
      </c>
      <c r="X320" s="20" t="str">
        <f>IFERROR(IF([1]对账明细接口!$S320=0,"",[1]对账明细接口!$S320),"")</f>
        <v>公司筐</v>
      </c>
      <c r="Y320" s="20">
        <f>IFERROR(IF([1]对账明细接口!$T320=0,"",[1]对账明细接口!$T320),"")</f>
      </c>
      <c r="Z320" s="213">
        <f>IFERROR(IF([1]对账明细接口!$U320=0,"",[1]对账明细接口!$U320),"")</f>
      </c>
      <c r="AA320" s="213">
        <f>IFERROR(IF([1]对账明细接口!$V320=0,"",[1]对账明细接口!$V320),"")</f>
      </c>
      <c r="AB320" s="20">
        <f>IFERROR(IF([1]对账明细接口!$W320=0,"",[1]对账明细接口!$W320),"")</f>
      </c>
      <c r="AC320" s="7">
        <f>IFERROR(IF([1]对账明细接口!$X320=0,"",[1]对账明细接口!$X320),"")</f>
      </c>
      <c r="AD320" s="7">
        <f>IFERROR(IF([1]对账明细接口!$Y320=0,"",[1]对账明细接口!$Y320),"")</f>
      </c>
      <c r="AE320" s="7">
        <f>IFERROR(IF([1]对账明细接口!$AA320=0,"",[1]对账明细接口!$AA320),"")</f>
      </c>
      <c r="AF320" s="7">
        <f>IFERROR(IF([1]对账明细接口!$AB320=0,"",[1]对账明细接口!$AB320),"")</f>
      </c>
      <c r="AG320" s="7">
        <f>IFERROR(IF([1]对账明细接口!$AC320=0,"",[1]对账明细接口!$AC320),"")</f>
      </c>
      <c r="AH320" s="7">
        <f>IFERROR(IF([1]对账明细接口!$AD320=0,"",[1]对账明细接口!$AD320),"")</f>
      </c>
      <c r="AI320" s="7">
        <f>IFERROR(IF([1]对账明细接口!$AE320=0,"",[1]对账明细接口!$AE320),"")</f>
      </c>
      <c r="AJ320" s="7">
        <f>IFERROR(IF([1]对账明细接口!$AF320=0,"",[1]对账明细接口!$AF320),"")</f>
      </c>
    </row>
    <row r="321" ht="14.25" customHeight="1" s="127">
      <c r="A321" s="14" t="n">
        <v>321</v>
      </c>
      <c r="B321" s="211">
        <f>IFERROR(IF([1]对账明细接口!$B$321=0,"",[1]对账明细接口!$B$321),"")</f>
        <v>46284.0</v>
      </c>
      <c r="C321" s="16" t="str">
        <f>IFERROR(IF([1]对账明细接口!$C$321=0,"",[1]对账明细接口!$C$321),"")</f>
        <v>热合曼+艾则孜</v>
      </c>
      <c r="D321" s="16" t="str">
        <f>IFERROR(IF([1]对账明细接口!$D$321=0,"",[1]对账明细接口!$D$321),"")</f>
        <v>原料入库</v>
      </c>
      <c r="E321" s="16" t="str">
        <f>IFERROR(IF([1]对账明细接口!$E$321=0,"",[1]对账明细接口!$E$321),"")</f>
        <v>NO:0000916</v>
      </c>
      <c r="F321" s="16" t="str">
        <f>IFERROR(IF([1]对账明细接口!$F$321=0,"",[1]对账明细接口!$F$321),"")</f>
        <v>香梨</v>
      </c>
      <c r="G321" s="16" t="str">
        <f>IFERROR(IF([1]对账明细接口!$G$321=0,"",[1]对账明细接口!$G$321),"")</f>
        <v>香梨二级</v>
      </c>
      <c r="H321" s="176">
        <f>IFERROR(IF([1]对账明细接口!$H$321=0,"",[1]对账明细接口!$H$321),"")</f>
        <v>136</v>
      </c>
      <c r="I321" s="16" t="str">
        <f>IFERROR(IF([1]对账明细接口!$I$321=0,"",[1]对账明细接口!$I$321),"")</f>
        <v>筐</v>
      </c>
      <c r="J321" s="177">
        <f>IFERROR(IF([1]对账明细接口!$J$321=0,"",[1]对账明细接口!$J$321),"")</f>
        <v>3032.8</v>
      </c>
      <c r="K321" s="177">
        <f>IFERROR(IF([1]对账明细接口!$K$321=0,"",[1]对账明细接口!$K$321),"")</f>
      </c>
      <c r="L321" s="16">
        <f>IFERROR(IF([1]对账明细接口!$L$321=0,"",[1]对账明细接口!$L$321),"")</f>
      </c>
      <c r="M321" s="16" t="str">
        <f>IFERROR(IF([1]对账明细接口!$M$321=0,"",[1]对账明细接口!$M$321),"")</f>
        <v>热合曼合伙</v>
      </c>
      <c r="N321" s="19">
        <f>IF($C321="",0,1)</f>
        <v>1</v>
      </c>
      <c r="O321" s="19">
        <f>N(O320)+$N321</f>
        <v>318</v>
      </c>
      <c r="S321" s="20" t="str">
        <f>IFERROR(IF([1]对账明细接口!$N321=0,"",[1]对账明细接口!$N321),"")</f>
        <v>公司红周转筐</v>
      </c>
      <c r="T321" s="212">
        <f>IFERROR(IF([1]对账明细接口!$O321=0,"",[1]对账明细接口!$O321),"")</f>
      </c>
      <c r="U321" s="212">
        <f>IFERROR(IF([1]对账明细接口!$P321=0,"",[1]对账明细接口!$P321),"")</f>
      </c>
      <c r="V321" s="212">
        <f>IFERROR(IF([1]对账明细接口!$Q321=0,"",[1]对账明细接口!$Q321),"")</f>
        <v>136</v>
      </c>
      <c r="W321" s="20" t="str">
        <f>IFERROR(IF([1]对账明细接口!$R321=0,"",[1]对账明细接口!$R321),"")</f>
        <v>新R*37010</v>
      </c>
      <c r="X321" s="20" t="str">
        <f>IFERROR(IF([1]对账明细接口!$S321=0,"",[1]对账明细接口!$S321),"")</f>
        <v>公司筐</v>
      </c>
      <c r="Y321" s="20">
        <f>IFERROR(IF([1]对账明细接口!$T321=0,"",[1]对账明细接口!$T321),"")</f>
      </c>
      <c r="Z321" s="213">
        <f>IFERROR(IF([1]对账明细接口!$U321=0,"",[1]对账明细接口!$U321),"")</f>
      </c>
      <c r="AA321" s="213">
        <f>IFERROR(IF([1]对账明细接口!$V321=0,"",[1]对账明细接口!$V321),"")</f>
      </c>
      <c r="AB321" s="20">
        <f>IFERROR(IF([1]对账明细接口!$W321=0,"",[1]对账明细接口!$W321),"")</f>
      </c>
      <c r="AC321" s="7">
        <f>IFERROR(IF([1]对账明细接口!$X321=0,"",[1]对账明细接口!$X321),"")</f>
      </c>
      <c r="AD321" s="7">
        <f>IFERROR(IF([1]对账明细接口!$Y321=0,"",[1]对账明细接口!$Y321),"")</f>
      </c>
      <c r="AE321" s="7">
        <f>IFERROR(IF([1]对账明细接口!$AA321=0,"",[1]对账明细接口!$AA321),"")</f>
      </c>
      <c r="AF321" s="7">
        <f>IFERROR(IF([1]对账明细接口!$AB321=0,"",[1]对账明细接口!$AB321),"")</f>
      </c>
      <c r="AG321" s="7">
        <f>IFERROR(IF([1]对账明细接口!$AC321=0,"",[1]对账明细接口!$AC321),"")</f>
      </c>
      <c r="AH321" s="7">
        <f>IFERROR(IF([1]对账明细接口!$AD321=0,"",[1]对账明细接口!$AD321),"")</f>
      </c>
      <c r="AI321" s="7">
        <f>IFERROR(IF([1]对账明细接口!$AE321=0,"",[1]对账明细接口!$AE321),"")</f>
      </c>
      <c r="AJ321" s="7">
        <f>IFERROR(IF([1]对账明细接口!$AF321=0,"",[1]对账明细接口!$AF321),"")</f>
      </c>
    </row>
    <row r="322" ht="14.25" customHeight="1" s="127">
      <c r="A322" s="14" t="n">
        <v>322</v>
      </c>
      <c r="B322" s="211">
        <f>IFERROR(IF([1]对账明细接口!$B$322=0,"",[1]对账明细接口!$B$322),"")</f>
        <v>46284.0</v>
      </c>
      <c r="C322" s="16" t="str">
        <f>IFERROR(IF([1]对账明细接口!$C$322=0,"",[1]对账明细接口!$C$322),"")</f>
        <v>热合曼+艾则孜</v>
      </c>
      <c r="D322" s="16" t="str">
        <f>IFERROR(IF([1]对账明细接口!$D$322=0,"",[1]对账明细接口!$D$322),"")</f>
        <v>原料入库</v>
      </c>
      <c r="E322" s="16" t="str">
        <f>IFERROR(IF([1]对账明细接口!$E$322=0,"",[1]对账明细接口!$E$322),"")</f>
        <v>NO:0000916</v>
      </c>
      <c r="F322" s="16" t="str">
        <f>IFERROR(IF([1]对账明细接口!$F$322=0,"",[1]对账明细接口!$F$322),"")</f>
        <v>香梨</v>
      </c>
      <c r="G322" s="16" t="str">
        <f>IFERROR(IF([1]对账明细接口!$G$322=0,"",[1]对账明细接口!$G$322),"")</f>
        <v>香梨副特</v>
      </c>
      <c r="H322" s="176">
        <f>IFERROR(IF([1]对账明细接口!$H$322=0,"",[1]对账明细接口!$H$322),"")</f>
        <v>78</v>
      </c>
      <c r="I322" s="16" t="str">
        <f>IFERROR(IF([1]对账明细接口!$I$322=0,"",[1]对账明细接口!$I$322),"")</f>
        <v>筐</v>
      </c>
      <c r="J322" s="177">
        <f>IFERROR(IF([1]对账明细接口!$J$322=0,"",[1]对账明细接口!$J$322),"")</f>
        <v>1427.4</v>
      </c>
      <c r="K322" s="177">
        <f>IFERROR(IF([1]对账明细接口!$K$322=0,"",[1]对账明细接口!$K$322),"")</f>
      </c>
      <c r="L322" s="16">
        <f>IFERROR(IF([1]对账明细接口!$L$322=0,"",[1]对账明细接口!$L$322),"")</f>
      </c>
      <c r="M322" s="16" t="str">
        <f>IFERROR(IF([1]对账明细接口!$M$322=0,"",[1]对账明细接口!$M$322),"")</f>
        <v>热合曼合伙</v>
      </c>
      <c r="N322" s="19">
        <f>IF($C322="",0,1)</f>
        <v>1</v>
      </c>
      <c r="O322" s="19">
        <f>N(O321)+$N322</f>
        <v>319</v>
      </c>
      <c r="S322" s="20" t="str">
        <f>IFERROR(IF([1]对账明细接口!$N322=0,"",[1]对账明细接口!$N322),"")</f>
        <v>公司红周转筐</v>
      </c>
      <c r="T322" s="212">
        <f>IFERROR(IF([1]对账明细接口!$O322=0,"",[1]对账明细接口!$O322),"")</f>
      </c>
      <c r="U322" s="212">
        <f>IFERROR(IF([1]对账明细接口!$P322=0,"",[1]对账明细接口!$P322),"")</f>
      </c>
      <c r="V322" s="212">
        <f>IFERROR(IF([1]对账明细接口!$Q322=0,"",[1]对账明细接口!$Q322),"")</f>
        <v>78</v>
      </c>
      <c r="W322" s="20" t="str">
        <f>IFERROR(IF([1]对账明细接口!$R322=0,"",[1]对账明细接口!$R322),"")</f>
        <v>新R*37010</v>
      </c>
      <c r="X322" s="20" t="str">
        <f>IFERROR(IF([1]对账明细接口!$S322=0,"",[1]对账明细接口!$S322),"")</f>
        <v>公司筐</v>
      </c>
      <c r="Y322" s="20">
        <f>IFERROR(IF([1]对账明细接口!$T322=0,"",[1]对账明细接口!$T322),"")</f>
      </c>
      <c r="Z322" s="213">
        <f>IFERROR(IF([1]对账明细接口!$U322=0,"",[1]对账明细接口!$U322),"")</f>
      </c>
      <c r="AA322" s="213">
        <f>IFERROR(IF([1]对账明细接口!$V322=0,"",[1]对账明细接口!$V322),"")</f>
      </c>
      <c r="AB322" s="20">
        <f>IFERROR(IF([1]对账明细接口!$W322=0,"",[1]对账明细接口!$W322),"")</f>
      </c>
      <c r="AC322" s="7">
        <f>IFERROR(IF([1]对账明细接口!$X322=0,"",[1]对账明细接口!$X322),"")</f>
      </c>
      <c r="AD322" s="7">
        <f>IFERROR(IF([1]对账明细接口!$Y322=0,"",[1]对账明细接口!$Y322),"")</f>
      </c>
      <c r="AE322" s="7">
        <f>IFERROR(IF([1]对账明细接口!$AA322=0,"",[1]对账明细接口!$AA322),"")</f>
      </c>
      <c r="AF322" s="7">
        <f>IFERROR(IF([1]对账明细接口!$AB322=0,"",[1]对账明细接口!$AB322),"")</f>
      </c>
      <c r="AG322" s="7">
        <f>IFERROR(IF([1]对账明细接口!$AC322=0,"",[1]对账明细接口!$AC322),"")</f>
      </c>
      <c r="AH322" s="7">
        <f>IFERROR(IF([1]对账明细接口!$AD322=0,"",[1]对账明细接口!$AD322),"")</f>
      </c>
      <c r="AI322" s="7">
        <f>IFERROR(IF([1]对账明细接口!$AE322=0,"",[1]对账明细接口!$AE322),"")</f>
      </c>
      <c r="AJ322" s="7">
        <f>IFERROR(IF([1]对账明细接口!$AF322=0,"",[1]对账明细接口!$AF322),"")</f>
      </c>
    </row>
    <row r="323" ht="14.25" customHeight="1" s="127">
      <c r="A323" s="14" t="n">
        <v>323</v>
      </c>
      <c r="B323" s="211">
        <f>IFERROR(IF([1]对账明细接口!$B$323=0,"",[1]对账明细接口!$B$323),"")</f>
        <v>46284.0</v>
      </c>
      <c r="C323" s="16" t="str">
        <f>IFERROR(IF([1]对账明细接口!$C$323=0,"",[1]对账明细接口!$C$323),"")</f>
        <v>王照雪</v>
      </c>
      <c r="D323" s="16" t="str">
        <f>IFERROR(IF([1]对账明细接口!$D$323=0,"",[1]对账明细接口!$D$323),"")</f>
        <v>原料入库</v>
      </c>
      <c r="E323" s="16" t="str">
        <f>IFERROR(IF([1]对账明细接口!$E$323=0,"",[1]对账明细接口!$E$323),"")</f>
        <v>NO:0000918</v>
      </c>
      <c r="F323" s="16" t="str">
        <f>IFERROR(IF([1]对账明细接口!$F$323=0,"",[1]对账明细接口!$F$323),"")</f>
        <v>香梨</v>
      </c>
      <c r="G323" s="16" t="str">
        <f>IFERROR(IF([1]对账明细接口!$G$323=0,"",[1]对账明细接口!$G$323),"")</f>
        <v>香梨一级</v>
      </c>
      <c r="H323" s="176">
        <f>IFERROR(IF([1]对账明细接口!$H$323=0,"",[1]对账明细接口!$H$323),"")</f>
        <v>154</v>
      </c>
      <c r="I323" s="16" t="str">
        <f>IFERROR(IF([1]对账明细接口!$I$323=0,"",[1]对账明细接口!$I$323),"")</f>
        <v>筐</v>
      </c>
      <c r="J323" s="177">
        <f>IFERROR(IF([1]对账明细接口!$J$323=0,"",[1]对账明细接口!$J$323),"")</f>
        <v>3003</v>
      </c>
      <c r="K323" s="177">
        <f>IFERROR(IF([1]对账明细接口!$K$323=0,"",[1]对账明细接口!$K$323),"")</f>
      </c>
      <c r="L323" s="16">
        <f>IFERROR(IF([1]对账明细接口!$L$323=0,"",[1]对账明细接口!$L$323),"")</f>
      </c>
      <c r="M323" s="16">
        <f>IFERROR(IF([1]对账明细接口!$M$323=0,"",[1]对账明细接口!$M$323),"")</f>
      </c>
      <c r="N323" s="19">
        <f>IF($C323="",0,1)</f>
        <v>1</v>
      </c>
      <c r="O323" s="19">
        <f>N(O322)+$N323</f>
        <v>320</v>
      </c>
      <c r="S323" s="20" t="str">
        <f>IFERROR(IF([1]对账明细接口!$N323=0,"",[1]对账明细接口!$N323),"")</f>
        <v>公司一次性筐</v>
      </c>
      <c r="T323" s="212">
        <f>IFERROR(IF([1]对账明细接口!$O323=0,"",[1]对账明细接口!$O323),"")</f>
      </c>
      <c r="U323" s="212">
        <f>IFERROR(IF([1]对账明细接口!$P323=0,"",[1]对账明细接口!$P323),"")</f>
      </c>
      <c r="V323" s="212">
        <f>IFERROR(IF([1]对账明细接口!$Q323=0,"",[1]对账明细接口!$Q323),"")</f>
        <v>154</v>
      </c>
      <c r="W323" s="20" t="str">
        <f>IFERROR(IF([1]对账明细接口!$R323=0,"",[1]对账明细接口!$R323),"")</f>
        <v>豫L*88X19</v>
      </c>
      <c r="X323" s="20" t="str">
        <f>IFERROR(IF([1]对账明细接口!$S323=0,"",[1]对账明细接口!$S323),"")</f>
        <v>公司筐</v>
      </c>
      <c r="Y323" s="20">
        <f>IFERROR(IF([1]对账明细接口!$T323=0,"",[1]对账明细接口!$T323),"")</f>
      </c>
      <c r="Z323" s="213">
        <f>IFERROR(IF([1]对账明细接口!$U323=0,"",[1]对账明细接口!$U323),"")</f>
      </c>
      <c r="AA323" s="213">
        <f>IFERROR(IF([1]对账明细接口!$V323=0,"",[1]对账明细接口!$V323),"")</f>
      </c>
      <c r="AB323" s="20">
        <f>IFERROR(IF([1]对账明细接口!$W323=0,"",[1]对账明细接口!$W323),"")</f>
      </c>
      <c r="AC323" s="7">
        <f>IFERROR(IF([1]对账明细接口!$X323=0,"",[1]对账明细接口!$X323),"")</f>
      </c>
      <c r="AD323" s="7">
        <f>IFERROR(IF([1]对账明细接口!$Y323=0,"",[1]对账明细接口!$Y323),"")</f>
      </c>
      <c r="AE323" s="7">
        <f>IFERROR(IF([1]对账明细接口!$AA323=0,"",[1]对账明细接口!$AA323),"")</f>
      </c>
      <c r="AF323" s="7">
        <f>IFERROR(IF([1]对账明细接口!$AB323=0,"",[1]对账明细接口!$AB323),"")</f>
      </c>
      <c r="AG323" s="7">
        <f>IFERROR(IF([1]对账明细接口!$AC323=0,"",[1]对账明细接口!$AC323),"")</f>
      </c>
      <c r="AH323" s="7">
        <f>IFERROR(IF([1]对账明细接口!$AD323=0,"",[1]对账明细接口!$AD323),"")</f>
      </c>
      <c r="AI323" s="7">
        <f>IFERROR(IF([1]对账明细接口!$AE323=0,"",[1]对账明细接口!$AE323),"")</f>
      </c>
      <c r="AJ323" s="7">
        <f>IFERROR(IF([1]对账明细接口!$AF323=0,"",[1]对账明细接口!$AF323),"")</f>
      </c>
    </row>
    <row r="324" ht="14.25" customHeight="1" s="127">
      <c r="A324" s="14" t="n">
        <v>324</v>
      </c>
      <c r="B324" s="211">
        <f>IFERROR(IF([1]对账明细接口!$B$324=0,"",[1]对账明细接口!$B$324),"")</f>
        <v>46284.0</v>
      </c>
      <c r="C324" s="16" t="str">
        <f>IFERROR(IF([1]对账明细接口!$C$324=0,"",[1]对账明细接口!$C$324),"")</f>
        <v>王照雪</v>
      </c>
      <c r="D324" s="16" t="str">
        <f>IFERROR(IF([1]对账明细接口!$D$324=0,"",[1]对账明细接口!$D$324),"")</f>
        <v>原料入库</v>
      </c>
      <c r="E324" s="16" t="str">
        <f>IFERROR(IF([1]对账明细接口!$E$324=0,"",[1]对账明细接口!$E$324),"")</f>
        <v>NO:0000918</v>
      </c>
      <c r="F324" s="16" t="str">
        <f>IFERROR(IF([1]对账明细接口!$F$324=0,"",[1]对账明细接口!$F$324),"")</f>
        <v>香梨</v>
      </c>
      <c r="G324" s="16" t="str">
        <f>IFERROR(IF([1]对账明细接口!$G$324=0,"",[1]对账明细接口!$G$324),"")</f>
        <v>香梨二级</v>
      </c>
      <c r="H324" s="176">
        <f>IFERROR(IF([1]对账明细接口!$H$324=0,"",[1]对账明细接口!$H$324),"")</f>
        <v>49</v>
      </c>
      <c r="I324" s="16" t="str">
        <f>IFERROR(IF([1]对账明细接口!$I$324=0,"",[1]对账明细接口!$I$324),"")</f>
        <v>筐</v>
      </c>
      <c r="J324" s="177">
        <f>IFERROR(IF([1]对账明细接口!$J$324=0,"",[1]对账明细接口!$J$324),"")</f>
        <v>1102.5</v>
      </c>
      <c r="K324" s="177">
        <f>IFERROR(IF([1]对账明细接口!$K$324=0,"",[1]对账明细接口!$K$324),"")</f>
      </c>
      <c r="L324" s="16">
        <f>IFERROR(IF([1]对账明细接口!$L$324=0,"",[1]对账明细接口!$L$324),"")</f>
      </c>
      <c r="M324" s="16">
        <f>IFERROR(IF([1]对账明细接口!$M$324=0,"",[1]对账明细接口!$M$324),"")</f>
      </c>
      <c r="N324" s="19">
        <f>IF($C324="",0,1)</f>
        <v>1</v>
      </c>
      <c r="O324" s="19">
        <f>N(O323)+$N324</f>
        <v>321</v>
      </c>
      <c r="S324" s="20" t="str">
        <f>IFERROR(IF([1]对账明细接口!$N324=0,"",[1]对账明细接口!$N324),"")</f>
        <v>公司一次性筐</v>
      </c>
      <c r="T324" s="212">
        <f>IFERROR(IF([1]对账明细接口!$O324=0,"",[1]对账明细接口!$O324),"")</f>
      </c>
      <c r="U324" s="212">
        <f>IFERROR(IF([1]对账明细接口!$P324=0,"",[1]对账明细接口!$P324),"")</f>
      </c>
      <c r="V324" s="212">
        <f>IFERROR(IF([1]对账明细接口!$Q324=0,"",[1]对账明细接口!$Q324),"")</f>
        <v>49</v>
      </c>
      <c r="W324" s="20" t="str">
        <f>IFERROR(IF([1]对账明细接口!$R324=0,"",[1]对账明细接口!$R324),"")</f>
        <v>豫L*88X19</v>
      </c>
      <c r="X324" s="20" t="str">
        <f>IFERROR(IF([1]对账明细接口!$S324=0,"",[1]对账明细接口!$S324),"")</f>
        <v>公司筐</v>
      </c>
      <c r="Y324" s="20">
        <f>IFERROR(IF([1]对账明细接口!$T324=0,"",[1]对账明细接口!$T324),"")</f>
      </c>
      <c r="Z324" s="213">
        <f>IFERROR(IF([1]对账明细接口!$U324=0,"",[1]对账明细接口!$U324),"")</f>
      </c>
      <c r="AA324" s="213">
        <f>IFERROR(IF([1]对账明细接口!$V324=0,"",[1]对账明细接口!$V324),"")</f>
      </c>
      <c r="AB324" s="20">
        <f>IFERROR(IF([1]对账明细接口!$W324=0,"",[1]对账明细接口!$W324),"")</f>
      </c>
      <c r="AC324" s="7">
        <f>IFERROR(IF([1]对账明细接口!$X324=0,"",[1]对账明细接口!$X324),"")</f>
      </c>
      <c r="AD324" s="7">
        <f>IFERROR(IF([1]对账明细接口!$Y324=0,"",[1]对账明细接口!$Y324),"")</f>
      </c>
      <c r="AE324" s="7">
        <f>IFERROR(IF([1]对账明细接口!$AA324=0,"",[1]对账明细接口!$AA324),"")</f>
      </c>
      <c r="AF324" s="7">
        <f>IFERROR(IF([1]对账明细接口!$AB324=0,"",[1]对账明细接口!$AB324),"")</f>
      </c>
      <c r="AG324" s="7">
        <f>IFERROR(IF([1]对账明细接口!$AC324=0,"",[1]对账明细接口!$AC324),"")</f>
      </c>
      <c r="AH324" s="7">
        <f>IFERROR(IF([1]对账明细接口!$AD324=0,"",[1]对账明细接口!$AD324),"")</f>
      </c>
      <c r="AI324" s="7">
        <f>IFERROR(IF([1]对账明细接口!$AE324=0,"",[1]对账明细接口!$AE324),"")</f>
      </c>
      <c r="AJ324" s="7">
        <f>IFERROR(IF([1]对账明细接口!$AF324=0,"",[1]对账明细接口!$AF324),"")</f>
      </c>
    </row>
    <row r="325" ht="14.25" customHeight="1" s="127">
      <c r="A325" s="14" t="n">
        <v>325</v>
      </c>
      <c r="B325" s="211">
        <f>IFERROR(IF([1]对账明细接口!$B$325=0,"",[1]对账明细接口!$B$325),"")</f>
        <v>46284.0</v>
      </c>
      <c r="C325" s="16" t="str">
        <f>IFERROR(IF([1]对账明细接口!$C$325=0,"",[1]对账明细接口!$C$325),"")</f>
        <v>王照雪</v>
      </c>
      <c r="D325" s="16" t="str">
        <f>IFERROR(IF([1]对账明细接口!$D$325=0,"",[1]对账明细接口!$D$325),"")</f>
        <v>原料入库</v>
      </c>
      <c r="E325" s="16" t="str">
        <f>IFERROR(IF([1]对账明细接口!$E$325=0,"",[1]对账明细接口!$E$325),"")</f>
        <v>NO:0000918</v>
      </c>
      <c r="F325" s="16" t="str">
        <f>IFERROR(IF([1]对账明细接口!$F$325=0,"",[1]对账明细接口!$F$325),"")</f>
        <v>香梨</v>
      </c>
      <c r="G325" s="16" t="str">
        <f>IFERROR(IF([1]对账明细接口!$G$325=0,"",[1]对账明细接口!$G$325),"")</f>
        <v>香梨副特</v>
      </c>
      <c r="H325" s="176">
        <f>IFERROR(IF([1]对账明细接口!$H$325=0,"",[1]对账明细接口!$H$325),"")</f>
        <v>126</v>
      </c>
      <c r="I325" s="16" t="str">
        <f>IFERROR(IF([1]对账明细接口!$I$325=0,"",[1]对账明细接口!$I$325),"")</f>
        <v>筐</v>
      </c>
      <c r="J325" s="177">
        <f>IFERROR(IF([1]对账明细接口!$J$325=0,"",[1]对账明细接口!$J$325),"")</f>
        <v>2457</v>
      </c>
      <c r="K325" s="177">
        <f>IFERROR(IF([1]对账明细接口!$K$325=0,"",[1]对账明细接口!$K$325),"")</f>
      </c>
      <c r="L325" s="16">
        <f>IFERROR(IF([1]对账明细接口!$L$325=0,"",[1]对账明细接口!$L$325),"")</f>
      </c>
      <c r="M325" s="16">
        <f>IFERROR(IF([1]对账明细接口!$M$325=0,"",[1]对账明细接口!$M$325),"")</f>
      </c>
      <c r="N325" s="19">
        <f>IF($C325="",0,1)</f>
        <v>1</v>
      </c>
      <c r="O325" s="19">
        <f>N(O324)+$N325</f>
        <v>322</v>
      </c>
      <c r="S325" s="20" t="str">
        <f>IFERROR(IF([1]对账明细接口!$N325=0,"",[1]对账明细接口!$N325),"")</f>
        <v>公司一次性筐</v>
      </c>
      <c r="T325" s="212">
        <f>IFERROR(IF([1]对账明细接口!$O325=0,"",[1]对账明细接口!$O325),"")</f>
      </c>
      <c r="U325" s="212">
        <f>IFERROR(IF([1]对账明细接口!$P325=0,"",[1]对账明细接口!$P325),"")</f>
      </c>
      <c r="V325" s="212">
        <f>IFERROR(IF([1]对账明细接口!$Q325=0,"",[1]对账明细接口!$Q325),"")</f>
        <v>126</v>
      </c>
      <c r="W325" s="20" t="str">
        <f>IFERROR(IF([1]对账明细接口!$R325=0,"",[1]对账明细接口!$R325),"")</f>
        <v>豫L*88X19</v>
      </c>
      <c r="X325" s="20" t="str">
        <f>IFERROR(IF([1]对账明细接口!$S325=0,"",[1]对账明细接口!$S325),"")</f>
        <v>公司筐</v>
      </c>
      <c r="Y325" s="20">
        <f>IFERROR(IF([1]对账明细接口!$T325=0,"",[1]对账明细接口!$T325),"")</f>
      </c>
      <c r="Z325" s="213">
        <f>IFERROR(IF([1]对账明细接口!$U325=0,"",[1]对账明细接口!$U325),"")</f>
      </c>
      <c r="AA325" s="213">
        <f>IFERROR(IF([1]对账明细接口!$V325=0,"",[1]对账明细接口!$V325),"")</f>
      </c>
      <c r="AB325" s="20">
        <f>IFERROR(IF([1]对账明细接口!$W325=0,"",[1]对账明细接口!$W325),"")</f>
      </c>
      <c r="AC325" s="7">
        <f>IFERROR(IF([1]对账明细接口!$X325=0,"",[1]对账明细接口!$X325),"")</f>
      </c>
      <c r="AD325" s="7">
        <f>IFERROR(IF([1]对账明细接口!$Y325=0,"",[1]对账明细接口!$Y325),"")</f>
      </c>
      <c r="AE325" s="7">
        <f>IFERROR(IF([1]对账明细接口!$AA325=0,"",[1]对账明细接口!$AA325),"")</f>
      </c>
      <c r="AF325" s="7">
        <f>IFERROR(IF([1]对账明细接口!$AB325=0,"",[1]对账明细接口!$AB325),"")</f>
      </c>
      <c r="AG325" s="7">
        <f>IFERROR(IF([1]对账明细接口!$AC325=0,"",[1]对账明细接口!$AC325),"")</f>
      </c>
      <c r="AH325" s="7">
        <f>IFERROR(IF([1]对账明细接口!$AD325=0,"",[1]对账明细接口!$AD325),"")</f>
      </c>
      <c r="AI325" s="7">
        <f>IFERROR(IF([1]对账明细接口!$AE325=0,"",[1]对账明细接口!$AE325),"")</f>
      </c>
      <c r="AJ325" s="7">
        <f>IFERROR(IF([1]对账明细接口!$AF325=0,"",[1]对账明细接口!$AF325),"")</f>
      </c>
    </row>
    <row r="326" ht="14.25" customHeight="1" s="127">
      <c r="A326" s="14" t="n">
        <v>326</v>
      </c>
      <c r="B326" s="211">
        <f>IFERROR(IF([1]对账明细接口!$B$326=0,"",[1]对账明细接口!$B$326),"")</f>
        <v>46284.0</v>
      </c>
      <c r="C326" s="16" t="str">
        <f>IFERROR(IF([1]对账明细接口!$C$326=0,"",[1]对账明细接口!$C$326),"")</f>
        <v>王灵云</v>
      </c>
      <c r="D326" s="16" t="str">
        <f>IFERROR(IF([1]对账明细接口!$D$326=0,"",[1]对账明细接口!$D$326),"")</f>
        <v>原料入库</v>
      </c>
      <c r="E326" s="16" t="str">
        <f>IFERROR(IF([1]对账明细接口!$E$326=0,"",[1]对账明细接口!$E$326),"")</f>
        <v>NO:0000920</v>
      </c>
      <c r="F326" s="16" t="str">
        <f>IFERROR(IF([1]对账明细接口!$F$326=0,"",[1]对账明细接口!$F$326),"")</f>
        <v>香梨</v>
      </c>
      <c r="G326" s="16" t="str">
        <f>IFERROR(IF([1]对账明细接口!$G$326=0,"",[1]对账明细接口!$G$326),"")</f>
        <v>香梨一级</v>
      </c>
      <c r="H326" s="176">
        <f>IFERROR(IF([1]对账明细接口!$H$326=0,"",[1]对账明细接口!$H$326),"")</f>
        <v>653</v>
      </c>
      <c r="I326" s="16" t="str">
        <f>IFERROR(IF([1]对账明细接口!$I$326=0,"",[1]对账明细接口!$I$326),"")</f>
        <v>筐</v>
      </c>
      <c r="J326" s="177">
        <f>IFERROR(IF([1]对账明细接口!$J$326=0,"",[1]对账明细接口!$J$326),"")</f>
        <v>11949.9</v>
      </c>
      <c r="K326" s="177">
        <f>IFERROR(IF([1]对账明细接口!$K$326=0,"",[1]对账明细接口!$K$326),"")</f>
      </c>
      <c r="L326" s="16">
        <f>IFERROR(IF([1]对账明细接口!$L$326=0,"",[1]对账明细接口!$L$326),"")</f>
      </c>
      <c r="M326" s="16" t="str">
        <f>IFERROR(IF([1]对账明细接口!$M$326=0,"",[1]对账明细接口!$M$326),"")</f>
        <v>左</v>
      </c>
      <c r="N326" s="19">
        <f>IF($C326="",0,1)</f>
        <v>1</v>
      </c>
      <c r="O326" s="19">
        <f>N(O325)+$N326</f>
        <v>323</v>
      </c>
      <c r="S326" s="20" t="str">
        <f>IFERROR(IF([1]对账明细接口!$N326=0,"",[1]对账明细接口!$N326),"")</f>
        <v>公司红周转筐</v>
      </c>
      <c r="T326" s="212">
        <f>IFERROR(IF([1]对账明细接口!$O326=0,"",[1]对账明细接口!$O326),"")</f>
      </c>
      <c r="U326" s="212">
        <f>IFERROR(IF([1]对账明细接口!$P326=0,"",[1]对账明细接口!$P326),"")</f>
      </c>
      <c r="V326" s="212">
        <f>IFERROR(IF([1]对账明细接口!$Q326=0,"",[1]对账明细接口!$Q326),"")</f>
        <v>653</v>
      </c>
      <c r="W326" s="20" t="str">
        <f>IFERROR(IF([1]对账明细接口!$R326=0,"",[1]对账明细接口!$R326),"")</f>
        <v>新N*49209</v>
      </c>
      <c r="X326" s="20" t="str">
        <f>IFERROR(IF([1]对账明细接口!$S326=0,"",[1]对账明细接口!$S326),"")</f>
        <v>公司筐</v>
      </c>
      <c r="Y326" s="20">
        <f>IFERROR(IF([1]对账明细接口!$T326=0,"",[1]对账明细接口!$T326),"")</f>
      </c>
      <c r="Z326" s="213">
        <f>IFERROR(IF([1]对账明细接口!$U326=0,"",[1]对账明细接口!$U326),"")</f>
      </c>
      <c r="AA326" s="213">
        <f>IFERROR(IF([1]对账明细接口!$V326=0,"",[1]对账明细接口!$V326),"")</f>
      </c>
      <c r="AB326" s="20">
        <f>IFERROR(IF([1]对账明细接口!$W326=0,"",[1]对账明细接口!$W326),"")</f>
      </c>
      <c r="AC326" s="7">
        <f>IFERROR(IF([1]对账明细接口!$X326=0,"",[1]对账明细接口!$X326),"")</f>
      </c>
      <c r="AD326" s="7">
        <f>IFERROR(IF([1]对账明细接口!$Y326=0,"",[1]对账明细接口!$Y326),"")</f>
      </c>
      <c r="AE326" s="7">
        <f>IFERROR(IF([1]对账明细接口!$AA326=0,"",[1]对账明细接口!$AA326),"")</f>
      </c>
      <c r="AF326" s="7">
        <f>IFERROR(IF([1]对账明细接口!$AB326=0,"",[1]对账明细接口!$AB326),"")</f>
      </c>
      <c r="AG326" s="7">
        <f>IFERROR(IF([1]对账明细接口!$AC326=0,"",[1]对账明细接口!$AC326),"")</f>
      </c>
      <c r="AH326" s="7">
        <f>IFERROR(IF([1]对账明细接口!$AD326=0,"",[1]对账明细接口!$AD326),"")</f>
      </c>
      <c r="AI326" s="7">
        <f>IFERROR(IF([1]对账明细接口!$AE326=0,"",[1]对账明细接口!$AE326),"")</f>
      </c>
      <c r="AJ326" s="7">
        <f>IFERROR(IF([1]对账明细接口!$AF326=0,"",[1]对账明细接口!$AF326),"")</f>
      </c>
    </row>
    <row r="327" ht="14.25" customHeight="1" s="127">
      <c r="A327" s="14" t="n">
        <v>327</v>
      </c>
      <c r="B327" s="211">
        <f>IFERROR(IF([1]对账明细接口!$B$327=0,"",[1]对账明细接口!$B$327),"")</f>
        <v>46284.0</v>
      </c>
      <c r="C327" s="16" t="str">
        <f>IFERROR(IF([1]对账明细接口!$C$327=0,"",[1]对账明细接口!$C$327),"")</f>
        <v>王灵云</v>
      </c>
      <c r="D327" s="16" t="str">
        <f>IFERROR(IF([1]对账明细接口!$D$327=0,"",[1]对账明细接口!$D$327),"")</f>
        <v>原料入库</v>
      </c>
      <c r="E327" s="16" t="str">
        <f>IFERROR(IF([1]对账明细接口!$E$327=0,"",[1]对账明细接口!$E$327),"")</f>
        <v>NO:0000920</v>
      </c>
      <c r="F327" s="16" t="str">
        <f>IFERROR(IF([1]对账明细接口!$F$327=0,"",[1]对账明细接口!$F$327),"")</f>
        <v>香梨</v>
      </c>
      <c r="G327" s="16" t="str">
        <f>IFERROR(IF([1]对账明细接口!$G$327=0,"",[1]对账明细接口!$G$327),"")</f>
        <v>香梨二级</v>
      </c>
      <c r="H327" s="176">
        <f>IFERROR(IF([1]对账明细接口!$H$327=0,"",[1]对账明细接口!$H$327),"")</f>
        <v>33</v>
      </c>
      <c r="I327" s="16" t="str">
        <f>IFERROR(IF([1]对账明细接口!$I$327=0,"",[1]对账明细接口!$I$327),"")</f>
        <v>筐</v>
      </c>
      <c r="J327" s="177">
        <f>IFERROR(IF([1]对账明细接口!$J$327=0,"",[1]对账明细接口!$J$327),"")</f>
        <v>768.9</v>
      </c>
      <c r="K327" s="177">
        <f>IFERROR(IF([1]对账明细接口!$K$327=0,"",[1]对账明细接口!$K$327),"")</f>
      </c>
      <c r="L327" s="16">
        <f>IFERROR(IF([1]对账明细接口!$L$327=0,"",[1]对账明细接口!$L$327),"")</f>
      </c>
      <c r="M327" s="16" t="str">
        <f>IFERROR(IF([1]对账明细接口!$M$327=0,"",[1]对账明细接口!$M$327),"")</f>
        <v>左</v>
      </c>
      <c r="N327" s="19">
        <f>IF($C327="",0,1)</f>
        <v>1</v>
      </c>
      <c r="O327" s="19">
        <f>N(O326)+$N327</f>
        <v>324</v>
      </c>
      <c r="S327" s="20" t="str">
        <f>IFERROR(IF([1]对账明细接口!$N327=0,"",[1]对账明细接口!$N327),"")</f>
        <v>公司红周转筐</v>
      </c>
      <c r="T327" s="212">
        <f>IFERROR(IF([1]对账明细接口!$O327=0,"",[1]对账明细接口!$O327),"")</f>
      </c>
      <c r="U327" s="212">
        <f>IFERROR(IF([1]对账明细接口!$P327=0,"",[1]对账明细接口!$P327),"")</f>
      </c>
      <c r="V327" s="212">
        <f>IFERROR(IF([1]对账明细接口!$Q327=0,"",[1]对账明细接口!$Q327),"")</f>
        <v>33</v>
      </c>
      <c r="W327" s="20" t="str">
        <f>IFERROR(IF([1]对账明细接口!$R327=0,"",[1]对账明细接口!$R327),"")</f>
        <v>新N*49209</v>
      </c>
      <c r="X327" s="20" t="str">
        <f>IFERROR(IF([1]对账明细接口!$S327=0,"",[1]对账明细接口!$S327),"")</f>
        <v>公司筐</v>
      </c>
      <c r="Y327" s="20">
        <f>IFERROR(IF([1]对账明细接口!$T327=0,"",[1]对账明细接口!$T327),"")</f>
      </c>
      <c r="Z327" s="213">
        <f>IFERROR(IF([1]对账明细接口!$U327=0,"",[1]对账明细接口!$U327),"")</f>
      </c>
      <c r="AA327" s="213">
        <f>IFERROR(IF([1]对账明细接口!$V327=0,"",[1]对账明细接口!$V327),"")</f>
      </c>
      <c r="AB327" s="20">
        <f>IFERROR(IF([1]对账明细接口!$W327=0,"",[1]对账明细接口!$W327),"")</f>
      </c>
      <c r="AC327" s="7">
        <f>IFERROR(IF([1]对账明细接口!$X327=0,"",[1]对账明细接口!$X327),"")</f>
      </c>
      <c r="AD327" s="7">
        <f>IFERROR(IF([1]对账明细接口!$Y327=0,"",[1]对账明细接口!$Y327),"")</f>
      </c>
      <c r="AE327" s="7">
        <f>IFERROR(IF([1]对账明细接口!$AA327=0,"",[1]对账明细接口!$AA327),"")</f>
      </c>
      <c r="AF327" s="7">
        <f>IFERROR(IF([1]对账明细接口!$AB327=0,"",[1]对账明细接口!$AB327),"")</f>
      </c>
      <c r="AG327" s="7">
        <f>IFERROR(IF([1]对账明细接口!$AC327=0,"",[1]对账明细接口!$AC327),"")</f>
      </c>
      <c r="AH327" s="7">
        <f>IFERROR(IF([1]对账明细接口!$AD327=0,"",[1]对账明细接口!$AD327),"")</f>
      </c>
      <c r="AI327" s="7">
        <f>IFERROR(IF([1]对账明细接口!$AE327=0,"",[1]对账明细接口!$AE327),"")</f>
      </c>
      <c r="AJ327" s="7">
        <f>IFERROR(IF([1]对账明细接口!$AF327=0,"",[1]对账明细接口!$AF327),"")</f>
      </c>
    </row>
    <row r="328" ht="14.25" customHeight="1" s="127">
      <c r="A328" s="14" t="n">
        <v>328</v>
      </c>
      <c r="B328" s="211">
        <f>IFERROR(IF([1]对账明细接口!$B$328=0,"",[1]对账明细接口!$B$328),"")</f>
        <v>46284.0</v>
      </c>
      <c r="C328" s="16" t="str">
        <f>IFERROR(IF([1]对账明细接口!$C$328=0,"",[1]对账明细接口!$C$328),"")</f>
        <v>阿布都</v>
      </c>
      <c r="D328" s="16" t="str">
        <f>IFERROR(IF([1]对账明细接口!$D$328=0,"",[1]对账明细接口!$D$328),"")</f>
        <v>原料入库</v>
      </c>
      <c r="E328" s="16" t="str">
        <f>IFERROR(IF([1]对账明细接口!$E$328=0,"",[1]对账明细接口!$E$328),"")</f>
        <v>NO:0000922</v>
      </c>
      <c r="F328" s="16" t="str">
        <f>IFERROR(IF([1]对账明细接口!$F$328=0,"",[1]对账明细接口!$F$328),"")</f>
        <v>香梨</v>
      </c>
      <c r="G328" s="16" t="str">
        <f>IFERROR(IF([1]对账明细接口!$G$328=0,"",[1]对账明细接口!$G$328),"")</f>
        <v>香梨特级</v>
      </c>
      <c r="H328" s="176">
        <f>IFERROR(IF([1]对账明细接口!$H$328=0,"",[1]对账明细接口!$H$328),"")</f>
        <v>122</v>
      </c>
      <c r="I328" s="16" t="str">
        <f>IFERROR(IF([1]对账明细接口!$I$328=0,"",[1]对账明细接口!$I$328),"")</f>
        <v>筐</v>
      </c>
      <c r="J328" s="177">
        <f>IFERROR(IF([1]对账明细接口!$J$328=0,"",[1]对账明细接口!$J$328),"")</f>
        <v>2232.6</v>
      </c>
      <c r="K328" s="177">
        <f>IFERROR(IF([1]对账明细接口!$K$328=0,"",[1]对账明细接口!$K$328),"")</f>
      </c>
      <c r="L328" s="16">
        <f>IFERROR(IF([1]对账明细接口!$L$328=0,"",[1]对账明细接口!$L$328),"")</f>
      </c>
      <c r="M328" s="16" t="str">
        <f>IFERROR(IF([1]对账明细接口!$M$328=0,"",[1]对账明细接口!$M$328),"")</f>
        <v>努尔敦</v>
      </c>
      <c r="N328" s="19">
        <f>IF($C328="",0,1)</f>
        <v>1</v>
      </c>
      <c r="O328" s="19">
        <f>N(O327)+$N328</f>
        <v>325</v>
      </c>
      <c r="S328" s="20" t="str">
        <f>IFERROR(IF([1]对账明细接口!$N328=0,"",[1]对账明细接口!$N328),"")</f>
        <v>公司红周转筐</v>
      </c>
      <c r="T328" s="212">
        <f>IFERROR(IF([1]对账明细接口!$O328=0,"",[1]对账明细接口!$O328),"")</f>
      </c>
      <c r="U328" s="212">
        <f>IFERROR(IF([1]对账明细接口!$P328=0,"",[1]对账明细接口!$P328),"")</f>
      </c>
      <c r="V328" s="212">
        <f>IFERROR(IF([1]对账明细接口!$Q328=0,"",[1]对账明细接口!$Q328),"")</f>
        <v>122</v>
      </c>
      <c r="W328" s="20" t="str">
        <f>IFERROR(IF([1]对账明细接口!$R328=0,"",[1]对账明细接口!$R328),"")</f>
        <v>新N*F0M01</v>
      </c>
      <c r="X328" s="20" t="str">
        <f>IFERROR(IF([1]对账明细接口!$S328=0,"",[1]对账明细接口!$S328),"")</f>
        <v>公司筐</v>
      </c>
      <c r="Y328" s="20">
        <f>IFERROR(IF([1]对账明细接口!$T328=0,"",[1]对账明细接口!$T328),"")</f>
      </c>
      <c r="Z328" s="213">
        <f>IFERROR(IF([1]对账明细接口!$U328=0,"",[1]对账明细接口!$U328),"")</f>
      </c>
      <c r="AA328" s="213">
        <f>IFERROR(IF([1]对账明细接口!$V328=0,"",[1]对账明细接口!$V328),"")</f>
      </c>
      <c r="AB328" s="20">
        <f>IFERROR(IF([1]对账明细接口!$W328=0,"",[1]对账明细接口!$W328),"")</f>
      </c>
      <c r="AC328" s="7">
        <f>IFERROR(IF([1]对账明细接口!$X328=0,"",[1]对账明细接口!$X328),"")</f>
      </c>
      <c r="AD328" s="7">
        <f>IFERROR(IF([1]对账明细接口!$Y328=0,"",[1]对账明细接口!$Y328),"")</f>
      </c>
      <c r="AE328" s="7">
        <f>IFERROR(IF([1]对账明细接口!$AA328=0,"",[1]对账明细接口!$AA328),"")</f>
      </c>
      <c r="AF328" s="7">
        <f>IFERROR(IF([1]对账明细接口!$AB328=0,"",[1]对账明细接口!$AB328),"")</f>
      </c>
      <c r="AG328" s="7">
        <f>IFERROR(IF([1]对账明细接口!$AC328=0,"",[1]对账明细接口!$AC328),"")</f>
      </c>
      <c r="AH328" s="7">
        <f>IFERROR(IF([1]对账明细接口!$AD328=0,"",[1]对账明细接口!$AD328),"")</f>
      </c>
      <c r="AI328" s="7">
        <f>IFERROR(IF([1]对账明细接口!$AE328=0,"",[1]对账明细接口!$AE328),"")</f>
      </c>
      <c r="AJ328" s="7">
        <f>IFERROR(IF([1]对账明细接口!$AF328=0,"",[1]对账明细接口!$AF328),"")</f>
      </c>
    </row>
    <row r="329" ht="14.25" customHeight="1" s="127">
      <c r="A329" s="14" t="n">
        <v>329</v>
      </c>
      <c r="B329" s="211">
        <f>IFERROR(IF([1]对账明细接口!$B$329=0,"",[1]对账明细接口!$B$329),"")</f>
        <v>46284.0</v>
      </c>
      <c r="C329" s="16" t="str">
        <f>IFERROR(IF([1]对账明细接口!$C$329=0,"",[1]对账明细接口!$C$329),"")</f>
        <v>阿布都</v>
      </c>
      <c r="D329" s="16" t="str">
        <f>IFERROR(IF([1]对账明细接口!$D$329=0,"",[1]对账明细接口!$D$329),"")</f>
        <v>原料入库</v>
      </c>
      <c r="E329" s="16" t="str">
        <f>IFERROR(IF([1]对账明细接口!$E$329=0,"",[1]对账明细接口!$E$329),"")</f>
        <v>NO:0000922</v>
      </c>
      <c r="F329" s="16" t="str">
        <f>IFERROR(IF([1]对账明细接口!$F$329=0,"",[1]对账明细接口!$F$329),"")</f>
        <v>香梨</v>
      </c>
      <c r="G329" s="16" t="str">
        <f>IFERROR(IF([1]对账明细接口!$G$329=0,"",[1]对账明细接口!$G$329),"")</f>
        <v>香梨一级</v>
      </c>
      <c r="H329" s="176">
        <f>IFERROR(IF([1]对账明细接口!$H$329=0,"",[1]对账明细接口!$H$329),"")</f>
        <v>59</v>
      </c>
      <c r="I329" s="16" t="str">
        <f>IFERROR(IF([1]对账明细接口!$I$329=0,"",[1]对账明细接口!$I$329),"")</f>
        <v>筐</v>
      </c>
      <c r="J329" s="177">
        <f>IFERROR(IF([1]对账明细接口!$J$329=0,"",[1]对账明细接口!$J$329),"")</f>
        <v>1079.7</v>
      </c>
      <c r="K329" s="177">
        <f>IFERROR(IF([1]对账明细接口!$K$329=0,"",[1]对账明细接口!$K$329),"")</f>
      </c>
      <c r="L329" s="16">
        <f>IFERROR(IF([1]对账明细接口!$L$329=0,"",[1]对账明细接口!$L$329),"")</f>
      </c>
      <c r="M329" s="16" t="str">
        <f>IFERROR(IF([1]对账明细接口!$M$329=0,"",[1]对账明细接口!$M$329),"")</f>
        <v>努尔敦</v>
      </c>
      <c r="N329" s="19">
        <f>IF($C329="",0,1)</f>
        <v>1</v>
      </c>
      <c r="O329" s="19">
        <f>N(O328)+$N329</f>
        <v>326</v>
      </c>
      <c r="S329" s="20" t="str">
        <f>IFERROR(IF([1]对账明细接口!$N329=0,"",[1]对账明细接口!$N329),"")</f>
        <v>公司红周转筐</v>
      </c>
      <c r="T329" s="212">
        <f>IFERROR(IF([1]对账明细接口!$O329=0,"",[1]对账明细接口!$O329),"")</f>
      </c>
      <c r="U329" s="212">
        <f>IFERROR(IF([1]对账明细接口!$P329=0,"",[1]对账明细接口!$P329),"")</f>
      </c>
      <c r="V329" s="212">
        <f>IFERROR(IF([1]对账明细接口!$Q329=0,"",[1]对账明细接口!$Q329),"")</f>
        <v>59</v>
      </c>
      <c r="W329" s="20" t="str">
        <f>IFERROR(IF([1]对账明细接口!$R329=0,"",[1]对账明细接口!$R329),"")</f>
        <v>新N*F0M01</v>
      </c>
      <c r="X329" s="20" t="str">
        <f>IFERROR(IF([1]对账明细接口!$S329=0,"",[1]对账明细接口!$S329),"")</f>
        <v>公司筐</v>
      </c>
      <c r="Y329" s="20">
        <f>IFERROR(IF([1]对账明细接口!$T329=0,"",[1]对账明细接口!$T329),"")</f>
      </c>
      <c r="Z329" s="213">
        <f>IFERROR(IF([1]对账明细接口!$U329=0,"",[1]对账明细接口!$U329),"")</f>
      </c>
      <c r="AA329" s="213">
        <f>IFERROR(IF([1]对账明细接口!$V329=0,"",[1]对账明细接口!$V329),"")</f>
      </c>
      <c r="AB329" s="20">
        <f>IFERROR(IF([1]对账明细接口!$W329=0,"",[1]对账明细接口!$W329),"")</f>
      </c>
      <c r="AC329" s="7">
        <f>IFERROR(IF([1]对账明细接口!$X329=0,"",[1]对账明细接口!$X329),"")</f>
      </c>
      <c r="AD329" s="7">
        <f>IFERROR(IF([1]对账明细接口!$Y329=0,"",[1]对账明细接口!$Y329),"")</f>
      </c>
      <c r="AE329" s="7">
        <f>IFERROR(IF([1]对账明细接口!$AA329=0,"",[1]对账明细接口!$AA329),"")</f>
      </c>
      <c r="AF329" s="7">
        <f>IFERROR(IF([1]对账明细接口!$AB329=0,"",[1]对账明细接口!$AB329),"")</f>
      </c>
      <c r="AG329" s="7">
        <f>IFERROR(IF([1]对账明细接口!$AC329=0,"",[1]对账明细接口!$AC329),"")</f>
      </c>
      <c r="AH329" s="7">
        <f>IFERROR(IF([1]对账明细接口!$AD329=0,"",[1]对账明细接口!$AD329),"")</f>
      </c>
      <c r="AI329" s="7">
        <f>IFERROR(IF([1]对账明细接口!$AE329=0,"",[1]对账明细接口!$AE329),"")</f>
      </c>
      <c r="AJ329" s="7">
        <f>IFERROR(IF([1]对账明细接口!$AF329=0,"",[1]对账明细接口!$AF329),"")</f>
      </c>
    </row>
    <row r="330" ht="14.25" customHeight="1" s="127">
      <c r="A330" s="14" t="n">
        <v>330</v>
      </c>
      <c r="B330" s="211">
        <f>IFERROR(IF([1]对账明细接口!$B$330=0,"",[1]对账明细接口!$B$330),"")</f>
        <v>46284.0</v>
      </c>
      <c r="C330" s="16" t="str">
        <f>IFERROR(IF([1]对账明细接口!$C$330=0,"",[1]对账明细接口!$C$330),"")</f>
        <v>阿布都</v>
      </c>
      <c r="D330" s="16" t="str">
        <f>IFERROR(IF([1]对账明细接口!$D$330=0,"",[1]对账明细接口!$D$330),"")</f>
        <v>原料入库</v>
      </c>
      <c r="E330" s="16" t="str">
        <f>IFERROR(IF([1]对账明细接口!$E$330=0,"",[1]对账明细接口!$E$330),"")</f>
        <v>NO:0000922</v>
      </c>
      <c r="F330" s="16" t="str">
        <f>IFERROR(IF([1]对账明细接口!$F$330=0,"",[1]对账明细接口!$F$330),"")</f>
        <v>香梨</v>
      </c>
      <c r="G330" s="16" t="str">
        <f>IFERROR(IF([1]对账明细接口!$G$330=0,"",[1]对账明细接口!$G$330),"")</f>
        <v>香梨副特</v>
      </c>
      <c r="H330" s="176">
        <f>IFERROR(IF([1]对账明细接口!$H$330=0,"",[1]对账明细接口!$H$330),"")</f>
        <v>136</v>
      </c>
      <c r="I330" s="16" t="str">
        <f>IFERROR(IF([1]对账明细接口!$I$330=0,"",[1]对账明细接口!$I$330),"")</f>
        <v>筐</v>
      </c>
      <c r="J330" s="177">
        <f>IFERROR(IF([1]对账明细接口!$J$330=0,"",[1]对账明细接口!$J$330),"")</f>
        <v>2488.8</v>
      </c>
      <c r="K330" s="177">
        <f>IFERROR(IF([1]对账明细接口!$K$330=0,"",[1]对账明细接口!$K$330),"")</f>
      </c>
      <c r="L330" s="16">
        <f>IFERROR(IF([1]对账明细接口!$L$330=0,"",[1]对账明细接口!$L$330),"")</f>
      </c>
      <c r="M330" s="16" t="str">
        <f>IFERROR(IF([1]对账明细接口!$M$330=0,"",[1]对账明细接口!$M$330),"")</f>
        <v>努尔敦</v>
      </c>
      <c r="N330" s="19">
        <f>IF($C330="",0,1)</f>
        <v>1</v>
      </c>
      <c r="O330" s="19">
        <f>N(O329)+$N330</f>
        <v>327</v>
      </c>
      <c r="S330" s="20" t="str">
        <f>IFERROR(IF([1]对账明细接口!$N330=0,"",[1]对账明细接口!$N330),"")</f>
        <v>公司红周转筐</v>
      </c>
      <c r="T330" s="212">
        <f>IFERROR(IF([1]对账明细接口!$O330=0,"",[1]对账明细接口!$O330),"")</f>
      </c>
      <c r="U330" s="212">
        <f>IFERROR(IF([1]对账明细接口!$P330=0,"",[1]对账明细接口!$P330),"")</f>
      </c>
      <c r="V330" s="212">
        <f>IFERROR(IF([1]对账明细接口!$Q330=0,"",[1]对账明细接口!$Q330),"")</f>
        <v>136</v>
      </c>
      <c r="W330" s="20" t="str">
        <f>IFERROR(IF([1]对账明细接口!$R330=0,"",[1]对账明细接口!$R330),"")</f>
        <v>新N*F0M01</v>
      </c>
      <c r="X330" s="20" t="str">
        <f>IFERROR(IF([1]对账明细接口!$S330=0,"",[1]对账明细接口!$S330),"")</f>
        <v>公司筐</v>
      </c>
      <c r="Y330" s="20">
        <f>IFERROR(IF([1]对账明细接口!$T330=0,"",[1]对账明细接口!$T330),"")</f>
      </c>
      <c r="Z330" s="213">
        <f>IFERROR(IF([1]对账明细接口!$U330=0,"",[1]对账明细接口!$U330),"")</f>
      </c>
      <c r="AA330" s="213">
        <f>IFERROR(IF([1]对账明细接口!$V330=0,"",[1]对账明细接口!$V330),"")</f>
      </c>
      <c r="AB330" s="20">
        <f>IFERROR(IF([1]对账明细接口!$W330=0,"",[1]对账明细接口!$W330),"")</f>
      </c>
      <c r="AC330" s="7">
        <f>IFERROR(IF([1]对账明细接口!$X330=0,"",[1]对账明细接口!$X330),"")</f>
      </c>
      <c r="AD330" s="7">
        <f>IFERROR(IF([1]对账明细接口!$Y330=0,"",[1]对账明细接口!$Y330),"")</f>
      </c>
      <c r="AE330" s="7">
        <f>IFERROR(IF([1]对账明细接口!$AA330=0,"",[1]对账明细接口!$AA330),"")</f>
      </c>
      <c r="AF330" s="7">
        <f>IFERROR(IF([1]对账明细接口!$AB330=0,"",[1]对账明细接口!$AB330),"")</f>
      </c>
      <c r="AG330" s="7">
        <f>IFERROR(IF([1]对账明细接口!$AC330=0,"",[1]对账明细接口!$AC330),"")</f>
      </c>
      <c r="AH330" s="7">
        <f>IFERROR(IF([1]对账明细接口!$AD330=0,"",[1]对账明细接口!$AD330),"")</f>
      </c>
      <c r="AI330" s="7">
        <f>IFERROR(IF([1]对账明细接口!$AE330=0,"",[1]对账明细接口!$AE330),"")</f>
      </c>
      <c r="AJ330" s="7">
        <f>IFERROR(IF([1]对账明细接口!$AF330=0,"",[1]对账明细接口!$AF330),"")</f>
      </c>
    </row>
    <row r="331" ht="14.25" customHeight="1" s="127">
      <c r="A331" s="14" t="n">
        <v>331</v>
      </c>
      <c r="B331" s="211">
        <f>IFERROR(IF([1]对账明细接口!$B$331=0,"",[1]对账明细接口!$B$331),"")</f>
        <v>46285.0</v>
      </c>
      <c r="C331" s="16" t="str">
        <f>IFERROR(IF([1]对账明细接口!$C$331=0,"",[1]对账明细接口!$C$331),"")</f>
        <v>努尔敦</v>
      </c>
      <c r="D331" s="16" t="str">
        <f>IFERROR(IF([1]对账明细接口!$D$331=0,"",[1]对账明细接口!$D$331),"")</f>
        <v>原料入库</v>
      </c>
      <c r="E331" s="16" t="str">
        <f>IFERROR(IF([1]对账明细接口!$E$331=0,"",[1]对账明细接口!$E$331),"")</f>
        <v>NO:0000923</v>
      </c>
      <c r="F331" s="16" t="str">
        <f>IFERROR(IF([1]对账明细接口!$F$331=0,"",[1]对账明细接口!$F$331),"")</f>
        <v>香梨</v>
      </c>
      <c r="G331" s="16" t="str">
        <f>IFERROR(IF([1]对账明细接口!$G$331=0,"",[1]对账明细接口!$G$331),"")</f>
        <v>香梨特级</v>
      </c>
      <c r="H331" s="176">
        <f>IFERROR(IF([1]对账明细接口!$H$331=0,"",[1]对账明细接口!$H$331),"")</f>
        <v>370</v>
      </c>
      <c r="I331" s="16" t="str">
        <f>IFERROR(IF([1]对账明细接口!$I$331=0,"",[1]对账明细接口!$I$331),"")</f>
        <v>筐</v>
      </c>
      <c r="J331" s="177">
        <f>IFERROR(IF([1]对账明细接口!$J$331=0,"",[1]对账明细接口!$J$331),"")</f>
        <v>6771</v>
      </c>
      <c r="K331" s="177">
        <f>IFERROR(IF([1]对账明细接口!$K$331=0,"",[1]对账明细接口!$K$331),"")</f>
      </c>
      <c r="L331" s="16">
        <f>IFERROR(IF([1]对账明细接口!$L$331=0,"",[1]对账明细接口!$L$331),"")</f>
      </c>
      <c r="M331" s="16">
        <f>IFERROR(IF([1]对账明细接口!$M$331=0,"",[1]对账明细接口!$M$331),"")</f>
      </c>
      <c r="N331" s="19">
        <f>IF($C331="",0,1)</f>
        <v>1</v>
      </c>
      <c r="O331" s="19">
        <f>N(O330)+$N331</f>
        <v>328</v>
      </c>
      <c r="S331" s="20" t="str">
        <f>IFERROR(IF([1]对账明细接口!$N331=0,"",[1]对账明细接口!$N331),"")</f>
        <v>公司红周转筐</v>
      </c>
      <c r="T331" s="212">
        <f>IFERROR(IF([1]对账明细接口!$O331=0,"",[1]对账明细接口!$O331),"")</f>
      </c>
      <c r="U331" s="212">
        <f>IFERROR(IF([1]对账明细接口!$P331=0,"",[1]对账明细接口!$P331),"")</f>
      </c>
      <c r="V331" s="212">
        <f>IFERROR(IF([1]对账明细接口!$Q331=0,"",[1]对账明细接口!$Q331),"")</f>
        <v>370</v>
      </c>
      <c r="W331" s="20" t="str">
        <f>IFERROR(IF([1]对账明细接口!$R331=0,"",[1]对账明细接口!$R331),"")</f>
        <v>新F*75240</v>
      </c>
      <c r="X331" s="20" t="str">
        <f>IFERROR(IF([1]对账明细接口!$S331=0,"",[1]对账明细接口!$S331),"")</f>
        <v>公司筐</v>
      </c>
      <c r="Y331" s="20">
        <f>IFERROR(IF([1]对账明细接口!$T331=0,"",[1]对账明细接口!$T331),"")</f>
      </c>
      <c r="Z331" s="213">
        <f>IFERROR(IF([1]对账明细接口!$U331=0,"",[1]对账明细接口!$U331),"")</f>
      </c>
      <c r="AA331" s="213">
        <f>IFERROR(IF([1]对账明细接口!$V331=0,"",[1]对账明细接口!$V331),"")</f>
      </c>
      <c r="AB331" s="20">
        <f>IFERROR(IF([1]对账明细接口!$W331=0,"",[1]对账明细接口!$W331),"")</f>
      </c>
      <c r="AC331" s="7">
        <f>IFERROR(IF([1]对账明细接口!$X331=0,"",[1]对账明细接口!$X331),"")</f>
      </c>
      <c r="AD331" s="7">
        <f>IFERROR(IF([1]对账明细接口!$Y331=0,"",[1]对账明细接口!$Y331),"")</f>
      </c>
      <c r="AE331" s="7">
        <f>IFERROR(IF([1]对账明细接口!$AA331=0,"",[1]对账明细接口!$AA331),"")</f>
      </c>
      <c r="AF331" s="7">
        <f>IFERROR(IF([1]对账明细接口!$AB331=0,"",[1]对账明细接口!$AB331),"")</f>
      </c>
      <c r="AG331" s="7">
        <f>IFERROR(IF([1]对账明细接口!$AC331=0,"",[1]对账明细接口!$AC331),"")</f>
      </c>
      <c r="AH331" s="7">
        <f>IFERROR(IF([1]对账明细接口!$AD331=0,"",[1]对账明细接口!$AD331),"")</f>
      </c>
      <c r="AI331" s="7">
        <f>IFERROR(IF([1]对账明细接口!$AE331=0,"",[1]对账明细接口!$AE331),"")</f>
      </c>
      <c r="AJ331" s="7">
        <f>IFERROR(IF([1]对账明细接口!$AF331=0,"",[1]对账明细接口!$AF331),"")</f>
      </c>
    </row>
    <row r="332" ht="14.25" customHeight="1" s="127">
      <c r="A332" s="14" t="n">
        <v>332</v>
      </c>
      <c r="B332" s="211">
        <f>IFERROR(IF([1]对账明细接口!$B$332=0,"",[1]对账明细接口!$B$332),"")</f>
        <v>46285.0</v>
      </c>
      <c r="C332" s="16" t="str">
        <f>IFERROR(IF([1]对账明细接口!$C$332=0,"",[1]对账明细接口!$C$332),"")</f>
        <v>努尔敦</v>
      </c>
      <c r="D332" s="16" t="str">
        <f>IFERROR(IF([1]对账明细接口!$D$332=0,"",[1]对账明细接口!$D$332),"")</f>
        <v>原料入库</v>
      </c>
      <c r="E332" s="16" t="str">
        <f>IFERROR(IF([1]对账明细接口!$E$332=0,"",[1]对账明细接口!$E$332),"")</f>
        <v>NO:0000923</v>
      </c>
      <c r="F332" s="16" t="str">
        <f>IFERROR(IF([1]对账明细接口!$F$332=0,"",[1]对账明细接口!$F$332),"")</f>
        <v>香梨</v>
      </c>
      <c r="G332" s="16" t="str">
        <f>IFERROR(IF([1]对账明细接口!$G$332=0,"",[1]对账明细接口!$G$332),"")</f>
        <v>香梨一级</v>
      </c>
      <c r="H332" s="176">
        <f>IFERROR(IF([1]对账明细接口!$H$332=0,"",[1]对账明细接口!$H$332),"")</f>
        <v>168</v>
      </c>
      <c r="I332" s="16" t="str">
        <f>IFERROR(IF([1]对账明细接口!$I$332=0,"",[1]对账明细接口!$I$332),"")</f>
        <v>筐</v>
      </c>
      <c r="J332" s="177">
        <f>IFERROR(IF([1]对账明细接口!$J$332=0,"",[1]对账明细接口!$J$332),"")</f>
        <v>3074.4</v>
      </c>
      <c r="K332" s="177">
        <f>IFERROR(IF([1]对账明细接口!$K$332=0,"",[1]对账明细接口!$K$332),"")</f>
      </c>
      <c r="L332" s="16">
        <f>IFERROR(IF([1]对账明细接口!$L$332=0,"",[1]对账明细接口!$L$332),"")</f>
      </c>
      <c r="M332" s="16">
        <f>IFERROR(IF([1]对账明细接口!$M$332=0,"",[1]对账明细接口!$M$332),"")</f>
      </c>
      <c r="N332" s="19">
        <f>IF($C332="",0,1)</f>
        <v>1</v>
      </c>
      <c r="O332" s="19">
        <f>N(O331)+$N332</f>
        <v>329</v>
      </c>
      <c r="S332" s="20" t="str">
        <f>IFERROR(IF([1]对账明细接口!$N332=0,"",[1]对账明细接口!$N332),"")</f>
        <v>公司红周转筐</v>
      </c>
      <c r="T332" s="212">
        <f>IFERROR(IF([1]对账明细接口!$O332=0,"",[1]对账明细接口!$O332),"")</f>
      </c>
      <c r="U332" s="212">
        <f>IFERROR(IF([1]对账明细接口!$P332=0,"",[1]对账明细接口!$P332),"")</f>
      </c>
      <c r="V332" s="212">
        <f>IFERROR(IF([1]对账明细接口!$Q332=0,"",[1]对账明细接口!$Q332),"")</f>
        <v>168</v>
      </c>
      <c r="W332" s="20" t="str">
        <f>IFERROR(IF([1]对账明细接口!$R332=0,"",[1]对账明细接口!$R332),"")</f>
        <v>新F*75240</v>
      </c>
      <c r="X332" s="20" t="str">
        <f>IFERROR(IF([1]对账明细接口!$S332=0,"",[1]对账明细接口!$S332),"")</f>
        <v>公司筐</v>
      </c>
      <c r="Y332" s="20">
        <f>IFERROR(IF([1]对账明细接口!$T332=0,"",[1]对账明细接口!$T332),"")</f>
      </c>
      <c r="Z332" s="213">
        <f>IFERROR(IF([1]对账明细接口!$U332=0,"",[1]对账明细接口!$U332),"")</f>
      </c>
      <c r="AA332" s="213">
        <f>IFERROR(IF([1]对账明细接口!$V332=0,"",[1]对账明细接口!$V332),"")</f>
      </c>
      <c r="AB332" s="20">
        <f>IFERROR(IF([1]对账明细接口!$W332=0,"",[1]对账明细接口!$W332),"")</f>
      </c>
      <c r="AC332" s="7">
        <f>IFERROR(IF([1]对账明细接口!$X332=0,"",[1]对账明细接口!$X332),"")</f>
      </c>
      <c r="AD332" s="7">
        <f>IFERROR(IF([1]对账明细接口!$Y332=0,"",[1]对账明细接口!$Y332),"")</f>
      </c>
      <c r="AE332" s="7">
        <f>IFERROR(IF([1]对账明细接口!$AA332=0,"",[1]对账明细接口!$AA332),"")</f>
      </c>
      <c r="AF332" s="7">
        <f>IFERROR(IF([1]对账明细接口!$AB332=0,"",[1]对账明细接口!$AB332),"")</f>
      </c>
      <c r="AG332" s="7">
        <f>IFERROR(IF([1]对账明细接口!$AC332=0,"",[1]对账明细接口!$AC332),"")</f>
      </c>
      <c r="AH332" s="7">
        <f>IFERROR(IF([1]对账明细接口!$AD332=0,"",[1]对账明细接口!$AD332),"")</f>
      </c>
      <c r="AI332" s="7">
        <f>IFERROR(IF([1]对账明细接口!$AE332=0,"",[1]对账明细接口!$AE332),"")</f>
      </c>
      <c r="AJ332" s="7">
        <f>IFERROR(IF([1]对账明细接口!$AF332=0,"",[1]对账明细接口!$AF332),"")</f>
      </c>
    </row>
    <row r="333" ht="14.25" customHeight="1" s="127">
      <c r="A333" s="14" t="n">
        <v>333</v>
      </c>
      <c r="B333" s="211">
        <f>IFERROR(IF([1]对账明细接口!$B$333=0,"",[1]对账明细接口!$B$333),"")</f>
        <v>46285.0</v>
      </c>
      <c r="C333" s="16" t="str">
        <f>IFERROR(IF([1]对账明细接口!$C$333=0,"",[1]对账明细接口!$C$333),"")</f>
        <v>努尔敦</v>
      </c>
      <c r="D333" s="16" t="str">
        <f>IFERROR(IF([1]对账明细接口!$D$333=0,"",[1]对账明细接口!$D$333),"")</f>
        <v>原料入库</v>
      </c>
      <c r="E333" s="16" t="str">
        <f>IFERROR(IF([1]对账明细接口!$E$333=0,"",[1]对账明细接口!$E$333),"")</f>
        <v>NO:0000923</v>
      </c>
      <c r="F333" s="16" t="str">
        <f>IFERROR(IF([1]对账明细接口!$F$333=0,"",[1]对账明细接口!$F$333),"")</f>
        <v>香梨</v>
      </c>
      <c r="G333" s="16" t="str">
        <f>IFERROR(IF([1]对账明细接口!$G$333=0,"",[1]对账明细接口!$G$333),"")</f>
        <v>香梨二级</v>
      </c>
      <c r="H333" s="176">
        <f>IFERROR(IF([1]对账明细接口!$H$333=0,"",[1]对账明细接口!$H$333),"")</f>
        <v>104</v>
      </c>
      <c r="I333" s="16" t="str">
        <f>IFERROR(IF([1]对账明细接口!$I$333=0,"",[1]对账明细接口!$I$333),"")</f>
        <v>筐</v>
      </c>
      <c r="J333" s="177">
        <f>IFERROR(IF([1]对账明细接口!$J$333=0,"",[1]对账明细接口!$J$333),"")</f>
        <v>2319.2</v>
      </c>
      <c r="K333" s="177">
        <f>IFERROR(IF([1]对账明细接口!$K$333=0,"",[1]对账明细接口!$K$333),"")</f>
      </c>
      <c r="L333" s="16">
        <f>IFERROR(IF([1]对账明细接口!$L$333=0,"",[1]对账明细接口!$L$333),"")</f>
      </c>
      <c r="M333" s="16">
        <f>IFERROR(IF([1]对账明细接口!$M$333=0,"",[1]对账明细接口!$M$333),"")</f>
      </c>
      <c r="N333" s="19">
        <f>IF($C333="",0,1)</f>
        <v>1</v>
      </c>
      <c r="O333" s="19">
        <f>N(O332)+$N333</f>
        <v>330</v>
      </c>
      <c r="S333" s="20" t="str">
        <f>IFERROR(IF([1]对账明细接口!$N333=0,"",[1]对账明细接口!$N333),"")</f>
        <v>公司红周转筐</v>
      </c>
      <c r="T333" s="212">
        <f>IFERROR(IF([1]对账明细接口!$O333=0,"",[1]对账明细接口!$O333),"")</f>
      </c>
      <c r="U333" s="212">
        <f>IFERROR(IF([1]对账明细接口!$P333=0,"",[1]对账明细接口!$P333),"")</f>
      </c>
      <c r="V333" s="212">
        <f>IFERROR(IF([1]对账明细接口!$Q333=0,"",[1]对账明细接口!$Q333),"")</f>
        <v>104</v>
      </c>
      <c r="W333" s="20" t="str">
        <f>IFERROR(IF([1]对账明细接口!$R333=0,"",[1]对账明细接口!$R333),"")</f>
        <v>新F*75240</v>
      </c>
      <c r="X333" s="20" t="str">
        <f>IFERROR(IF([1]对账明细接口!$S333=0,"",[1]对账明细接口!$S333),"")</f>
        <v>公司筐</v>
      </c>
      <c r="Y333" s="20">
        <f>IFERROR(IF([1]对账明细接口!$T333=0,"",[1]对账明细接口!$T333),"")</f>
      </c>
      <c r="Z333" s="213">
        <f>IFERROR(IF([1]对账明细接口!$U333=0,"",[1]对账明细接口!$U333),"")</f>
      </c>
      <c r="AA333" s="213">
        <f>IFERROR(IF([1]对账明细接口!$V333=0,"",[1]对账明细接口!$V333),"")</f>
      </c>
      <c r="AB333" s="20">
        <f>IFERROR(IF([1]对账明细接口!$W333=0,"",[1]对账明细接口!$W333),"")</f>
      </c>
      <c r="AC333" s="7">
        <f>IFERROR(IF([1]对账明细接口!$X333=0,"",[1]对账明细接口!$X333),"")</f>
      </c>
      <c r="AD333" s="7">
        <f>IFERROR(IF([1]对账明细接口!$Y333=0,"",[1]对账明细接口!$Y333),"")</f>
      </c>
      <c r="AE333" s="7">
        <f>IFERROR(IF([1]对账明细接口!$AA333=0,"",[1]对账明细接口!$AA333),"")</f>
      </c>
      <c r="AF333" s="7">
        <f>IFERROR(IF([1]对账明细接口!$AB333=0,"",[1]对账明细接口!$AB333),"")</f>
      </c>
      <c r="AG333" s="7">
        <f>IFERROR(IF([1]对账明细接口!$AC333=0,"",[1]对账明细接口!$AC333),"")</f>
      </c>
      <c r="AH333" s="7">
        <f>IFERROR(IF([1]对账明细接口!$AD333=0,"",[1]对账明细接口!$AD333),"")</f>
      </c>
      <c r="AI333" s="7">
        <f>IFERROR(IF([1]对账明细接口!$AE333=0,"",[1]对账明细接口!$AE333),"")</f>
      </c>
      <c r="AJ333" s="7">
        <f>IFERROR(IF([1]对账明细接口!$AF333=0,"",[1]对账明细接口!$AF333),"")</f>
      </c>
    </row>
    <row r="334" ht="14.25" customHeight="1" s="127">
      <c r="A334" s="14" t="n">
        <v>334</v>
      </c>
      <c r="B334" s="211">
        <f>IFERROR(IF([1]对账明细接口!$B$334=0,"",[1]对账明细接口!$B$334),"")</f>
        <v>46285.0</v>
      </c>
      <c r="C334" s="16" t="str">
        <f>IFERROR(IF([1]对账明细接口!$C$334=0,"",[1]对账明细接口!$C$334),"")</f>
        <v>贾建国</v>
      </c>
      <c r="D334" s="16" t="str">
        <f>IFERROR(IF([1]对账明细接口!$D$334=0,"",[1]对账明细接口!$D$334),"")</f>
        <v>原料入库</v>
      </c>
      <c r="E334" s="16" t="str">
        <f>IFERROR(IF([1]对账明细接口!$E$334=0,"",[1]对账明细接口!$E$334),"")</f>
        <v>NO:0000924</v>
      </c>
      <c r="F334" s="16" t="str">
        <f>IFERROR(IF([1]对账明细接口!$F$334=0,"",[1]对账明细接口!$F$334),"")</f>
        <v>香梨</v>
      </c>
      <c r="G334" s="16" t="str">
        <f>IFERROR(IF([1]对账明细接口!$G$334=0,"",[1]对账明细接口!$G$334),"")</f>
        <v>香梨一级</v>
      </c>
      <c r="H334" s="176">
        <f>IFERROR(IF([1]对账明细接口!$H$334=0,"",[1]对账明细接口!$H$334),"")</f>
        <v>309</v>
      </c>
      <c r="I334" s="16" t="str">
        <f>IFERROR(IF([1]对账明细接口!$I$334=0,"",[1]对账明细接口!$I$334),"")</f>
        <v>筐</v>
      </c>
      <c r="J334" s="177">
        <f>IFERROR(IF([1]对账明细接口!$J$334=0,"",[1]对账明细接口!$J$334),"")</f>
        <v>5654.7</v>
      </c>
      <c r="K334" s="177">
        <f>IFERROR(IF([1]对账明细接口!$K$334=0,"",[1]对账明细接口!$K$334),"")</f>
      </c>
      <c r="L334" s="16">
        <f>IFERROR(IF([1]对账明细接口!$L$334=0,"",[1]对账明细接口!$L$334),"")</f>
      </c>
      <c r="M334" s="16" t="str">
        <f>IFERROR(IF([1]对账明细接口!$M$334=0,"",[1]对账明细接口!$M$334),"")</f>
        <v>刘辉</v>
      </c>
      <c r="N334" s="19">
        <f>IF($C334="",0,1)</f>
        <v>1</v>
      </c>
      <c r="O334" s="19">
        <f>N(O333)+$N334</f>
        <v>331</v>
      </c>
      <c r="S334" s="20" t="str">
        <f>IFERROR(IF([1]对账明细接口!$N334=0,"",[1]对账明细接口!$N334),"")</f>
        <v>自备一次性筐</v>
      </c>
      <c r="T334" s="212">
        <f>IFERROR(IF([1]对账明细接口!$O334=0,"",[1]对账明细接口!$O334),"")</f>
      </c>
      <c r="U334" s="212">
        <f>IFERROR(IF([1]对账明细接口!$P334=0,"",[1]对账明细接口!$P334),"")</f>
      </c>
      <c r="V334" s="212">
        <f>IFERROR(IF([1]对账明细接口!$Q334=0,"",[1]对账明细接口!$Q334),"")</f>
        <v>309</v>
      </c>
      <c r="W334" s="20" t="str">
        <f>IFERROR(IF([1]对账明细接口!$R334=0,"",[1]对账明细接口!$R334),"")</f>
        <v>新N*54567</v>
      </c>
      <c r="X334" s="20" t="str">
        <f>IFERROR(IF([1]对账明细接口!$S334=0,"",[1]对账明细接口!$S334),"")</f>
        <v>自备筐</v>
      </c>
      <c r="Y334" s="20">
        <f>IFERROR(IF([1]对账明细接口!$T334=0,"",[1]对账明细接口!$T334),"")</f>
      </c>
      <c r="Z334" s="213">
        <f>IFERROR(IF([1]对账明细接口!$U334=0,"",[1]对账明细接口!$U334),"")</f>
      </c>
      <c r="AA334" s="213">
        <f>IFERROR(IF([1]对账明细接口!$V334=0,"",[1]对账明细接口!$V334),"")</f>
      </c>
      <c r="AB334" s="20">
        <f>IFERROR(IF([1]对账明细接口!$W334=0,"",[1]对账明细接口!$W334),"")</f>
      </c>
      <c r="AC334" s="7">
        <f>IFERROR(IF([1]对账明细接口!$X334=0,"",[1]对账明细接口!$X334),"")</f>
      </c>
      <c r="AD334" s="7">
        <f>IFERROR(IF([1]对账明细接口!$Y334=0,"",[1]对账明细接口!$Y334),"")</f>
      </c>
      <c r="AE334" s="7">
        <f>IFERROR(IF([1]对账明细接口!$AA334=0,"",[1]对账明细接口!$AA334),"")</f>
      </c>
      <c r="AF334" s="7">
        <f>IFERROR(IF([1]对账明细接口!$AB334=0,"",[1]对账明细接口!$AB334),"")</f>
      </c>
      <c r="AG334" s="7">
        <f>IFERROR(IF([1]对账明细接口!$AC334=0,"",[1]对账明细接口!$AC334),"")</f>
      </c>
      <c r="AH334" s="7">
        <f>IFERROR(IF([1]对账明细接口!$AD334=0,"",[1]对账明细接口!$AD334),"")</f>
      </c>
      <c r="AI334" s="7">
        <f>IFERROR(IF([1]对账明细接口!$AE334=0,"",[1]对账明细接口!$AE334),"")</f>
      </c>
      <c r="AJ334" s="7">
        <f>IFERROR(IF([1]对账明细接口!$AF334=0,"",[1]对账明细接口!$AF334),"")</f>
      </c>
    </row>
    <row r="335" ht="14.25" customHeight="1" s="127">
      <c r="A335" s="14" t="n">
        <v>335</v>
      </c>
      <c r="B335" s="211">
        <f>IFERROR(IF([1]对账明细接口!$B$335=0,"",[1]对账明细接口!$B$335),"")</f>
        <v>46285.0</v>
      </c>
      <c r="C335" s="16" t="str">
        <f>IFERROR(IF([1]对账明细接口!$C$335=0,"",[1]对账明细接口!$C$335),"")</f>
        <v>贾建国</v>
      </c>
      <c r="D335" s="16" t="str">
        <f>IFERROR(IF([1]对账明细接口!$D$335=0,"",[1]对账明细接口!$D$335),"")</f>
        <v>原料入库</v>
      </c>
      <c r="E335" s="16" t="str">
        <f>IFERROR(IF([1]对账明细接口!$E$335=0,"",[1]对账明细接口!$E$335),"")</f>
        <v>NO:0000924</v>
      </c>
      <c r="F335" s="16" t="str">
        <f>IFERROR(IF([1]对账明细接口!$F$335=0,"",[1]对账明细接口!$F$335),"")</f>
        <v>香梨</v>
      </c>
      <c r="G335" s="16" t="str">
        <f>IFERROR(IF([1]对账明细接口!$G$335=0,"",[1]对账明细接口!$G$335),"")</f>
        <v>香梨二级</v>
      </c>
      <c r="H335" s="176">
        <f>IFERROR(IF([1]对账明细接口!$H$335=0,"",[1]对账明细接口!$H$335),"")</f>
        <v>38</v>
      </c>
      <c r="I335" s="16" t="str">
        <f>IFERROR(IF([1]对账明细接口!$I$335=0,"",[1]对账明细接口!$I$335),"")</f>
        <v>筐</v>
      </c>
      <c r="J335" s="177">
        <f>IFERROR(IF([1]对账明细接口!$J$335=0,"",[1]对账明细接口!$J$335),"")</f>
        <v>657.4</v>
      </c>
      <c r="K335" s="177">
        <f>IFERROR(IF([1]对账明细接口!$K$335=0,"",[1]对账明细接口!$K$335),"")</f>
      </c>
      <c r="L335" s="16">
        <f>IFERROR(IF([1]对账明细接口!$L$335=0,"",[1]对账明细接口!$L$335),"")</f>
      </c>
      <c r="M335" s="16" t="str">
        <f>IFERROR(IF([1]对账明细接口!$M$335=0,"",[1]对账明细接口!$M$335),"")</f>
        <v>刘辉</v>
      </c>
      <c r="N335" s="19">
        <f>IF($C335="",0,1)</f>
        <v>1</v>
      </c>
      <c r="O335" s="19">
        <f>N(O334)+$N335</f>
        <v>332</v>
      </c>
      <c r="S335" s="20" t="str">
        <f>IFERROR(IF([1]对账明细接口!$N335=0,"",[1]对账明细接口!$N335),"")</f>
        <v>自备一次性筐</v>
      </c>
      <c r="T335" s="212">
        <f>IFERROR(IF([1]对账明细接口!$O335=0,"",[1]对账明细接口!$O335),"")</f>
      </c>
      <c r="U335" s="212">
        <f>IFERROR(IF([1]对账明细接口!$P335=0,"",[1]对账明细接口!$P335),"")</f>
      </c>
      <c r="V335" s="212">
        <f>IFERROR(IF([1]对账明细接口!$Q335=0,"",[1]对账明细接口!$Q335),"")</f>
        <v>38</v>
      </c>
      <c r="W335" s="20" t="str">
        <f>IFERROR(IF([1]对账明细接口!$R335=0,"",[1]对账明细接口!$R335),"")</f>
        <v>新N*54567</v>
      </c>
      <c r="X335" s="20" t="str">
        <f>IFERROR(IF([1]对账明细接口!$S335=0,"",[1]对账明细接口!$S335),"")</f>
        <v>自备筐</v>
      </c>
      <c r="Y335" s="20">
        <f>IFERROR(IF([1]对账明细接口!$T335=0,"",[1]对账明细接口!$T335),"")</f>
      </c>
      <c r="Z335" s="213">
        <f>IFERROR(IF([1]对账明细接口!$U335=0,"",[1]对账明细接口!$U335),"")</f>
      </c>
      <c r="AA335" s="213">
        <f>IFERROR(IF([1]对账明细接口!$V335=0,"",[1]对账明细接口!$V335),"")</f>
      </c>
      <c r="AB335" s="20">
        <f>IFERROR(IF([1]对账明细接口!$W335=0,"",[1]对账明细接口!$W335),"")</f>
      </c>
      <c r="AC335" s="7">
        <f>IFERROR(IF([1]对账明细接口!$X335=0,"",[1]对账明细接口!$X335),"")</f>
      </c>
      <c r="AD335" s="7">
        <f>IFERROR(IF([1]对账明细接口!$Y335=0,"",[1]对账明细接口!$Y335),"")</f>
      </c>
      <c r="AE335" s="7">
        <f>IFERROR(IF([1]对账明细接口!$AA335=0,"",[1]对账明细接口!$AA335),"")</f>
      </c>
      <c r="AF335" s="7">
        <f>IFERROR(IF([1]对账明细接口!$AB335=0,"",[1]对账明细接口!$AB335),"")</f>
      </c>
      <c r="AG335" s="7">
        <f>IFERROR(IF([1]对账明细接口!$AC335=0,"",[1]对账明细接口!$AC335),"")</f>
      </c>
      <c r="AH335" s="7">
        <f>IFERROR(IF([1]对账明细接口!$AD335=0,"",[1]对账明细接口!$AD335),"")</f>
      </c>
      <c r="AI335" s="7">
        <f>IFERROR(IF([1]对账明细接口!$AE335=0,"",[1]对账明细接口!$AE335),"")</f>
      </c>
      <c r="AJ335" s="7">
        <f>IFERROR(IF([1]对账明细接口!$AF335=0,"",[1]对账明细接口!$AF335),"")</f>
      </c>
    </row>
    <row r="336" ht="14.25" customHeight="1" s="127">
      <c r="A336" s="14" t="n">
        <v>336</v>
      </c>
      <c r="B336" s="211">
        <f>IFERROR(IF([1]对账明细接口!$B$336=0,"",[1]对账明细接口!$B$336),"")</f>
        <v>46285.0</v>
      </c>
      <c r="C336" s="16" t="str">
        <f>IFERROR(IF([1]对账明细接口!$C$336=0,"",[1]对账明细接口!$C$336),"")</f>
        <v>贾建国</v>
      </c>
      <c r="D336" s="16" t="str">
        <f>IFERROR(IF([1]对账明细接口!$D$336=0,"",[1]对账明细接口!$D$336),"")</f>
        <v>原料入库</v>
      </c>
      <c r="E336" s="16" t="str">
        <f>IFERROR(IF([1]对账明细接口!$E$336=0,"",[1]对账明细接口!$E$336),"")</f>
        <v>NO:0000924</v>
      </c>
      <c r="F336" s="16" t="str">
        <f>IFERROR(IF([1]对账明细接口!$F$336=0,"",[1]对账明细接口!$F$336),"")</f>
        <v>香梨</v>
      </c>
      <c r="G336" s="16" t="str">
        <f>IFERROR(IF([1]对账明细接口!$G$336=0,"",[1]对账明细接口!$G$336),"")</f>
        <v>香梨副特</v>
      </c>
      <c r="H336" s="176">
        <f>IFERROR(IF([1]对账明细接口!$H$336=0,"",[1]对账明细接口!$H$336),"")</f>
        <v>335</v>
      </c>
      <c r="I336" s="16" t="str">
        <f>IFERROR(IF([1]对账明细接口!$I$336=0,"",[1]对账明细接口!$I$336),"")</f>
        <v>筐</v>
      </c>
      <c r="J336" s="177">
        <f>IFERROR(IF([1]对账明细接口!$J$336=0,"",[1]对账明细接口!$J$336),"")</f>
        <v>6465.5</v>
      </c>
      <c r="K336" s="177">
        <f>IFERROR(IF([1]对账明细接口!$K$336=0,"",[1]对账明细接口!$K$336),"")</f>
      </c>
      <c r="L336" s="16">
        <f>IFERROR(IF([1]对账明细接口!$L$336=0,"",[1]对账明细接口!$L$336),"")</f>
      </c>
      <c r="M336" s="16" t="str">
        <f>IFERROR(IF([1]对账明细接口!$M$336=0,"",[1]对账明细接口!$M$336),"")</f>
        <v>刘辉</v>
      </c>
      <c r="N336" s="19">
        <f>IF($C336="",0,1)</f>
        <v>1</v>
      </c>
      <c r="O336" s="19">
        <f>N(O335)+$N336</f>
        <v>333</v>
      </c>
      <c r="S336" s="20" t="str">
        <f>IFERROR(IF([1]对账明细接口!$N336=0,"",[1]对账明细接口!$N336),"")</f>
        <v>自备一次性筐</v>
      </c>
      <c r="T336" s="212">
        <f>IFERROR(IF([1]对账明细接口!$O336=0,"",[1]对账明细接口!$O336),"")</f>
      </c>
      <c r="U336" s="212">
        <f>IFERROR(IF([1]对账明细接口!$P336=0,"",[1]对账明细接口!$P336),"")</f>
      </c>
      <c r="V336" s="212">
        <f>IFERROR(IF([1]对账明细接口!$Q336=0,"",[1]对账明细接口!$Q336),"")</f>
        <v>335</v>
      </c>
      <c r="W336" s="20" t="str">
        <f>IFERROR(IF([1]对账明细接口!$R336=0,"",[1]对账明细接口!$R336),"")</f>
        <v>新N*54567</v>
      </c>
      <c r="X336" s="20" t="str">
        <f>IFERROR(IF([1]对账明细接口!$S336=0,"",[1]对账明细接口!$S336),"")</f>
        <v>自备筐</v>
      </c>
      <c r="Y336" s="20">
        <f>IFERROR(IF([1]对账明细接口!$T336=0,"",[1]对账明细接口!$T336),"")</f>
      </c>
      <c r="Z336" s="213">
        <f>IFERROR(IF([1]对账明细接口!$U336=0,"",[1]对账明细接口!$U336),"")</f>
      </c>
      <c r="AA336" s="213">
        <f>IFERROR(IF([1]对账明细接口!$V336=0,"",[1]对账明细接口!$V336),"")</f>
      </c>
      <c r="AB336" s="20">
        <f>IFERROR(IF([1]对账明细接口!$W336=0,"",[1]对账明细接口!$W336),"")</f>
      </c>
      <c r="AC336" s="7">
        <f>IFERROR(IF([1]对账明细接口!$X336=0,"",[1]对账明细接口!$X336),"")</f>
      </c>
      <c r="AD336" s="7">
        <f>IFERROR(IF([1]对账明细接口!$Y336=0,"",[1]对账明细接口!$Y336),"")</f>
      </c>
      <c r="AE336" s="7">
        <f>IFERROR(IF([1]对账明细接口!$AA336=0,"",[1]对账明细接口!$AA336),"")</f>
      </c>
      <c r="AF336" s="7">
        <f>IFERROR(IF([1]对账明细接口!$AB336=0,"",[1]对账明细接口!$AB336),"")</f>
      </c>
      <c r="AG336" s="7">
        <f>IFERROR(IF([1]对账明细接口!$AC336=0,"",[1]对账明细接口!$AC336),"")</f>
      </c>
      <c r="AH336" s="7">
        <f>IFERROR(IF([1]对账明细接口!$AD336=0,"",[1]对账明细接口!$AD336),"")</f>
      </c>
      <c r="AI336" s="7">
        <f>IFERROR(IF([1]对账明细接口!$AE336=0,"",[1]对账明细接口!$AE336),"")</f>
      </c>
      <c r="AJ336" s="7">
        <f>IFERROR(IF([1]对账明细接口!$AF336=0,"",[1]对账明细接口!$AF336),"")</f>
      </c>
    </row>
    <row r="337" ht="14.25" customHeight="1" s="127">
      <c r="A337" s="14" t="n">
        <v>337</v>
      </c>
      <c r="B337" s="211">
        <f>IFERROR(IF([1]对账明细接口!$B$337=0,"",[1]对账明细接口!$B$337),"")</f>
        <v>46285.0</v>
      </c>
      <c r="C337" s="16" t="str">
        <f>IFERROR(IF([1]对账明细接口!$C$337=0,"",[1]对账明细接口!$C$337),"")</f>
        <v>王灵云</v>
      </c>
      <c r="D337" s="16" t="str">
        <f>IFERROR(IF([1]对账明细接口!$D$337=0,"",[1]对账明细接口!$D$337),"")</f>
        <v>原料入库</v>
      </c>
      <c r="E337" s="16" t="str">
        <f>IFERROR(IF([1]对账明细接口!$E$337=0,"",[1]对账明细接口!$E$337),"")</f>
        <v>NO:0000926</v>
      </c>
      <c r="F337" s="16" t="str">
        <f>IFERROR(IF([1]对账明细接口!$F$337=0,"",[1]对账明细接口!$F$337),"")</f>
        <v>香梨</v>
      </c>
      <c r="G337" s="16" t="str">
        <f>IFERROR(IF([1]对账明细接口!$G$337=0,"",[1]对账明细接口!$G$337),"")</f>
        <v>香梨一级</v>
      </c>
      <c r="H337" s="176">
        <f>IFERROR(IF([1]对账明细接口!$H$337=0,"",[1]对账明细接口!$H$337),"")</f>
        <v>500</v>
      </c>
      <c r="I337" s="16" t="str">
        <f>IFERROR(IF([1]对账明细接口!$I$337=0,"",[1]对账明细接口!$I$337),"")</f>
        <v>筐</v>
      </c>
      <c r="J337" s="177">
        <f>IFERROR(IF([1]对账明细接口!$J$337=0,"",[1]对账明细接口!$J$337),"")</f>
        <v>9150</v>
      </c>
      <c r="K337" s="177">
        <f>IFERROR(IF([1]对账明细接口!$K$337=0,"",[1]对账明细接口!$K$337),"")</f>
      </c>
      <c r="L337" s="16">
        <f>IFERROR(IF([1]对账明细接口!$L$337=0,"",[1]对账明细接口!$L$337),"")</f>
      </c>
      <c r="M337" s="16">
        <f>IFERROR(IF([1]对账明细接口!$M$337=0,"",[1]对账明细接口!$M$337),"")</f>
      </c>
      <c r="N337" s="19">
        <f>IF($C337="",0,1)</f>
        <v>1</v>
      </c>
      <c r="O337" s="19">
        <f>N(O336)+$N337</f>
        <v>334</v>
      </c>
      <c r="S337" s="20" t="str">
        <f>IFERROR(IF([1]对账明细接口!$N337=0,"",[1]对账明细接口!$N337),"")</f>
        <v>公司红周转筐</v>
      </c>
      <c r="T337" s="212">
        <f>IFERROR(IF([1]对账明细接口!$O337=0,"",[1]对账明细接口!$O337),"")</f>
      </c>
      <c r="U337" s="212">
        <f>IFERROR(IF([1]对账明细接口!$P337=0,"",[1]对账明细接口!$P337),"")</f>
      </c>
      <c r="V337" s="212">
        <f>IFERROR(IF([1]对账明细接口!$Q337=0,"",[1]对账明细接口!$Q337),"")</f>
        <v>500</v>
      </c>
      <c r="W337" s="20" t="str">
        <f>IFERROR(IF([1]对账明细接口!$R337=0,"",[1]对账明细接口!$R337),"")</f>
        <v>新N*49209</v>
      </c>
      <c r="X337" s="20" t="str">
        <f>IFERROR(IF([1]对账明细接口!$S337=0,"",[1]对账明细接口!$S337),"")</f>
        <v>公司筐</v>
      </c>
      <c r="Y337" s="20">
        <f>IFERROR(IF([1]对账明细接口!$T337=0,"",[1]对账明细接口!$T337),"")</f>
      </c>
      <c r="Z337" s="213">
        <f>IFERROR(IF([1]对账明细接口!$U337=0,"",[1]对账明细接口!$U337),"")</f>
      </c>
      <c r="AA337" s="213">
        <f>IFERROR(IF([1]对账明细接口!$V337=0,"",[1]对账明细接口!$V337),"")</f>
      </c>
      <c r="AB337" s="20">
        <f>IFERROR(IF([1]对账明细接口!$W337=0,"",[1]对账明细接口!$W337),"")</f>
      </c>
      <c r="AC337" s="7">
        <f>IFERROR(IF([1]对账明细接口!$X337=0,"",[1]对账明细接口!$X337),"")</f>
      </c>
      <c r="AD337" s="7">
        <f>IFERROR(IF([1]对账明细接口!$Y337=0,"",[1]对账明细接口!$Y337),"")</f>
      </c>
      <c r="AE337" s="7">
        <f>IFERROR(IF([1]对账明细接口!$AA337=0,"",[1]对账明细接口!$AA337),"")</f>
      </c>
      <c r="AF337" s="7">
        <f>IFERROR(IF([1]对账明细接口!$AB337=0,"",[1]对账明细接口!$AB337),"")</f>
      </c>
      <c r="AG337" s="7">
        <f>IFERROR(IF([1]对账明细接口!$AC337=0,"",[1]对账明细接口!$AC337),"")</f>
      </c>
      <c r="AH337" s="7">
        <f>IFERROR(IF([1]对账明细接口!$AD337=0,"",[1]对账明细接口!$AD337),"")</f>
      </c>
      <c r="AI337" s="7">
        <f>IFERROR(IF([1]对账明细接口!$AE337=0,"",[1]对账明细接口!$AE337),"")</f>
      </c>
      <c r="AJ337" s="7">
        <f>IFERROR(IF([1]对账明细接口!$AF337=0,"",[1]对账明细接口!$AF337),"")</f>
      </c>
    </row>
    <row r="338" ht="14.25" customHeight="1" s="127">
      <c r="A338" s="14" t="n">
        <v>338</v>
      </c>
      <c r="B338" s="211">
        <f>IFERROR(IF([1]对账明细接口!$B$338=0,"",[1]对账明细接口!$B$338),"")</f>
        <v>46285.0</v>
      </c>
      <c r="C338" s="16" t="str">
        <f>IFERROR(IF([1]对账明细接口!$C$338=0,"",[1]对账明细接口!$C$338),"")</f>
        <v>王灵云</v>
      </c>
      <c r="D338" s="16" t="str">
        <f>IFERROR(IF([1]对账明细接口!$D$338=0,"",[1]对账明细接口!$D$338),"")</f>
        <v>原料入库</v>
      </c>
      <c r="E338" s="16" t="str">
        <f>IFERROR(IF([1]对账明细接口!$E$338=0,"",[1]对账明细接口!$E$338),"")</f>
        <v>NO:0000926</v>
      </c>
      <c r="F338" s="16" t="str">
        <f>IFERROR(IF([1]对账明细接口!$F$338=0,"",[1]对账明细接口!$F$338),"")</f>
        <v>香梨</v>
      </c>
      <c r="G338" s="16" t="str">
        <f>IFERROR(IF([1]对账明细接口!$G$338=0,"",[1]对账明细接口!$G$338),"")</f>
        <v>香梨二级</v>
      </c>
      <c r="H338" s="176">
        <f>IFERROR(IF([1]对账明细接口!$H$338=0,"",[1]对账明细接口!$H$338),"")</f>
        <v>112</v>
      </c>
      <c r="I338" s="16" t="str">
        <f>IFERROR(IF([1]对账明细接口!$I$338=0,"",[1]对账明细接口!$I$338),"")</f>
        <v>筐</v>
      </c>
      <c r="J338" s="177">
        <f>IFERROR(IF([1]对账明细接口!$J$338=0,"",[1]对账明细接口!$J$338),"")</f>
        <v>2609.6</v>
      </c>
      <c r="K338" s="177">
        <f>IFERROR(IF([1]对账明细接口!$K$338=0,"",[1]对账明细接口!$K$338),"")</f>
      </c>
      <c r="L338" s="16">
        <f>IFERROR(IF([1]对账明细接口!$L$338=0,"",[1]对账明细接口!$L$338),"")</f>
      </c>
      <c r="M338" s="16">
        <f>IFERROR(IF([1]对账明细接口!$M$338=0,"",[1]对账明细接口!$M$338),"")</f>
      </c>
      <c r="N338" s="19">
        <f>IF($C338="",0,1)</f>
        <v>1</v>
      </c>
      <c r="O338" s="19">
        <f>N(O337)+$N338</f>
        <v>335</v>
      </c>
      <c r="S338" s="20" t="str">
        <f>IFERROR(IF([1]对账明细接口!$N338=0,"",[1]对账明细接口!$N338),"")</f>
        <v>公司红周转筐</v>
      </c>
      <c r="T338" s="212">
        <f>IFERROR(IF([1]对账明细接口!$O338=0,"",[1]对账明细接口!$O338),"")</f>
      </c>
      <c r="U338" s="212">
        <f>IFERROR(IF([1]对账明细接口!$P338=0,"",[1]对账明细接口!$P338),"")</f>
      </c>
      <c r="V338" s="212">
        <f>IFERROR(IF([1]对账明细接口!$Q338=0,"",[1]对账明细接口!$Q338),"")</f>
        <v>112</v>
      </c>
      <c r="W338" s="20" t="str">
        <f>IFERROR(IF([1]对账明细接口!$R338=0,"",[1]对账明细接口!$R338),"")</f>
        <v>新N*49209</v>
      </c>
      <c r="X338" s="20" t="str">
        <f>IFERROR(IF([1]对账明细接口!$S338=0,"",[1]对账明细接口!$S338),"")</f>
        <v>公司筐</v>
      </c>
      <c r="Y338" s="20">
        <f>IFERROR(IF([1]对账明细接口!$T338=0,"",[1]对账明细接口!$T338),"")</f>
      </c>
      <c r="Z338" s="213">
        <f>IFERROR(IF([1]对账明细接口!$U338=0,"",[1]对账明细接口!$U338),"")</f>
      </c>
      <c r="AA338" s="213">
        <f>IFERROR(IF([1]对账明细接口!$V338=0,"",[1]对账明细接口!$V338),"")</f>
      </c>
      <c r="AB338" s="20">
        <f>IFERROR(IF([1]对账明细接口!$W338=0,"",[1]对账明细接口!$W338),"")</f>
      </c>
      <c r="AC338" s="7">
        <f>IFERROR(IF([1]对账明细接口!$X338=0,"",[1]对账明细接口!$X338),"")</f>
      </c>
      <c r="AD338" s="7">
        <f>IFERROR(IF([1]对账明细接口!$Y338=0,"",[1]对账明细接口!$Y338),"")</f>
      </c>
      <c r="AE338" s="7">
        <f>IFERROR(IF([1]对账明细接口!$AA338=0,"",[1]对账明细接口!$AA338),"")</f>
      </c>
      <c r="AF338" s="7">
        <f>IFERROR(IF([1]对账明细接口!$AB338=0,"",[1]对账明细接口!$AB338),"")</f>
      </c>
      <c r="AG338" s="7">
        <f>IFERROR(IF([1]对账明细接口!$AC338=0,"",[1]对账明细接口!$AC338),"")</f>
      </c>
      <c r="AH338" s="7">
        <f>IFERROR(IF([1]对账明细接口!$AD338=0,"",[1]对账明细接口!$AD338),"")</f>
      </c>
      <c r="AI338" s="7">
        <f>IFERROR(IF([1]对账明细接口!$AE338=0,"",[1]对账明细接口!$AE338),"")</f>
      </c>
      <c r="AJ338" s="7">
        <f>IFERROR(IF([1]对账明细接口!$AF338=0,"",[1]对账明细接口!$AF338),"")</f>
      </c>
    </row>
    <row r="339" ht="14.25" customHeight="1" s="127">
      <c r="A339" s="14" t="n">
        <v>339</v>
      </c>
      <c r="B339" s="211">
        <f>IFERROR(IF([1]对账明细接口!$B$339=0,"",[1]对账明细接口!$B$339),"")</f>
        <v>46285.0</v>
      </c>
      <c r="C339" s="16" t="str">
        <f>IFERROR(IF([1]对账明细接口!$C$339=0,"",[1]对账明细接口!$C$339),"")</f>
        <v>王灵云</v>
      </c>
      <c r="D339" s="16" t="str">
        <f>IFERROR(IF([1]对账明细接口!$D$339=0,"",[1]对账明细接口!$D$339),"")</f>
        <v>原料入库</v>
      </c>
      <c r="E339" s="16" t="str">
        <f>IFERROR(IF([1]对账明细接口!$E$339=0,"",[1]对账明细接口!$E$339),"")</f>
        <v>NO:0000926</v>
      </c>
      <c r="F339" s="16" t="str">
        <f>IFERROR(IF([1]对账明细接口!$F$339=0,"",[1]对账明细接口!$F$339),"")</f>
        <v>香梨</v>
      </c>
      <c r="G339" s="16" t="str">
        <f>IFERROR(IF([1]对账明细接口!$G$339=0,"",[1]对账明细接口!$G$339),"")</f>
        <v>香梨副特</v>
      </c>
      <c r="H339" s="176">
        <f>IFERROR(IF([1]对账明细接口!$H$339=0,"",[1]对账明细接口!$H$339),"")</f>
        <v>77</v>
      </c>
      <c r="I339" s="16" t="str">
        <f>IFERROR(IF([1]对账明细接口!$I$339=0,"",[1]对账明细接口!$I$339),"")</f>
        <v>筐</v>
      </c>
      <c r="J339" s="177">
        <f>IFERROR(IF([1]对账明细接口!$J$339=0,"",[1]对账明细接口!$J$339),"")</f>
        <v>1409.1</v>
      </c>
      <c r="K339" s="177">
        <f>IFERROR(IF([1]对账明细接口!$K$339=0,"",[1]对账明细接口!$K$339),"")</f>
      </c>
      <c r="L339" s="16">
        <f>IFERROR(IF([1]对账明细接口!$L$339=0,"",[1]对账明细接口!$L$339),"")</f>
      </c>
      <c r="M339" s="16">
        <f>IFERROR(IF([1]对账明细接口!$M$339=0,"",[1]对账明细接口!$M$339),"")</f>
      </c>
      <c r="N339" s="19">
        <f>IF($C339="",0,1)</f>
        <v>1</v>
      </c>
      <c r="O339" s="19">
        <f>N(O338)+$N339</f>
        <v>336</v>
      </c>
      <c r="S339" s="20" t="str">
        <f>IFERROR(IF([1]对账明细接口!$N339=0,"",[1]对账明细接口!$N339),"")</f>
        <v>公司红周转筐</v>
      </c>
      <c r="T339" s="212">
        <f>IFERROR(IF([1]对账明细接口!$O339=0,"",[1]对账明细接口!$O339),"")</f>
      </c>
      <c r="U339" s="212">
        <f>IFERROR(IF([1]对账明细接口!$P339=0,"",[1]对账明细接口!$P339),"")</f>
      </c>
      <c r="V339" s="212">
        <f>IFERROR(IF([1]对账明细接口!$Q339=0,"",[1]对账明细接口!$Q339),"")</f>
        <v>77</v>
      </c>
      <c r="W339" s="20" t="str">
        <f>IFERROR(IF([1]对账明细接口!$R339=0,"",[1]对账明细接口!$R339),"")</f>
        <v>新N*49209</v>
      </c>
      <c r="X339" s="20" t="str">
        <f>IFERROR(IF([1]对账明细接口!$S339=0,"",[1]对账明细接口!$S339),"")</f>
        <v>公司筐</v>
      </c>
      <c r="Y339" s="20">
        <f>IFERROR(IF([1]对账明细接口!$T339=0,"",[1]对账明细接口!$T339),"")</f>
      </c>
      <c r="Z339" s="213">
        <f>IFERROR(IF([1]对账明细接口!$U339=0,"",[1]对账明细接口!$U339),"")</f>
      </c>
      <c r="AA339" s="213">
        <f>IFERROR(IF([1]对账明细接口!$V339=0,"",[1]对账明细接口!$V339),"")</f>
      </c>
      <c r="AB339" s="20">
        <f>IFERROR(IF([1]对账明细接口!$W339=0,"",[1]对账明细接口!$W339),"")</f>
      </c>
      <c r="AC339" s="7">
        <f>IFERROR(IF([1]对账明细接口!$X339=0,"",[1]对账明细接口!$X339),"")</f>
      </c>
      <c r="AD339" s="7">
        <f>IFERROR(IF([1]对账明细接口!$Y339=0,"",[1]对账明细接口!$Y339),"")</f>
      </c>
      <c r="AE339" s="7">
        <f>IFERROR(IF([1]对账明细接口!$AA339=0,"",[1]对账明细接口!$AA339),"")</f>
      </c>
      <c r="AF339" s="7">
        <f>IFERROR(IF([1]对账明细接口!$AB339=0,"",[1]对账明细接口!$AB339),"")</f>
      </c>
      <c r="AG339" s="7">
        <f>IFERROR(IF([1]对账明细接口!$AC339=0,"",[1]对账明细接口!$AC339),"")</f>
      </c>
      <c r="AH339" s="7">
        <f>IFERROR(IF([1]对账明细接口!$AD339=0,"",[1]对账明细接口!$AD339),"")</f>
      </c>
      <c r="AI339" s="7">
        <f>IFERROR(IF([1]对账明细接口!$AE339=0,"",[1]对账明细接口!$AE339),"")</f>
      </c>
      <c r="AJ339" s="7">
        <f>IFERROR(IF([1]对账明细接口!$AF339=0,"",[1]对账明细接口!$AF339),"")</f>
      </c>
    </row>
    <row r="340" ht="14.25" customHeight="1" s="127">
      <c r="A340" s="14" t="n">
        <v>340</v>
      </c>
      <c r="B340" s="211">
        <f>IFERROR(IF([1]对账明细接口!$B$340=0,"",[1]对账明细接口!$B$340),"")</f>
        <v>46285.0</v>
      </c>
      <c r="C340" s="16" t="str">
        <f>IFERROR(IF([1]对账明细接口!$C$340=0,"",[1]对账明细接口!$C$340),"")</f>
        <v>王照雪</v>
      </c>
      <c r="D340" s="16" t="str">
        <f>IFERROR(IF([1]对账明细接口!$D$340=0,"",[1]对账明细接口!$D$340),"")</f>
        <v>原料入库</v>
      </c>
      <c r="E340" s="16" t="str">
        <f>IFERROR(IF([1]对账明细接口!$E$340=0,"",[1]对账明细接口!$E$340),"")</f>
        <v>NO:0000927</v>
      </c>
      <c r="F340" s="16" t="str">
        <f>IFERROR(IF([1]对账明细接口!$F$340=0,"",[1]对账明细接口!$F$340),"")</f>
        <v>苹果</v>
      </c>
      <c r="G340" s="16" t="str">
        <f>IFERROR(IF([1]对账明细接口!$G$340=0,"",[1]对账明细接口!$G$340),"")</f>
        <v>新世纪一级</v>
      </c>
      <c r="H340" s="176">
        <f>IFERROR(IF([1]对账明细接口!$H$340=0,"",[1]对账明细接口!$H$340),"")</f>
        <v>136</v>
      </c>
      <c r="I340" s="16" t="str">
        <f>IFERROR(IF([1]对账明细接口!$I$340=0,"",[1]对账明细接口!$I$340),"")</f>
        <v>筐</v>
      </c>
      <c r="J340" s="177">
        <f>IFERROR(IF([1]对账明细接口!$J$340=0,"",[1]对账明细接口!$J$340),"")</f>
        <v>2352.8</v>
      </c>
      <c r="K340" s="177">
        <f>IFERROR(IF([1]对账明细接口!$K$340=0,"",[1]对账明细接口!$K$340),"")</f>
      </c>
      <c r="L340" s="16">
        <f>IFERROR(IF([1]对账明细接口!$L$340=0,"",[1]对账明细接口!$L$340),"")</f>
      </c>
      <c r="M340" s="16">
        <f>IFERROR(IF([1]对账明细接口!$M$340=0,"",[1]对账明细接口!$M$340),"")</f>
      </c>
      <c r="N340" s="19">
        <f>IF($C340="",0,1)</f>
        <v>1</v>
      </c>
      <c r="O340" s="19">
        <f>N(O339)+$N340</f>
        <v>337</v>
      </c>
      <c r="S340" s="20" t="str">
        <f>IFERROR(IF([1]对账明细接口!$N340=0,"",[1]对账明细接口!$N340),"")</f>
        <v>公司杂周转筐</v>
      </c>
      <c r="T340" s="212">
        <f>IFERROR(IF([1]对账明细接口!$O340=0,"",[1]对账明细接口!$O340),"")</f>
      </c>
      <c r="U340" s="212">
        <f>IFERROR(IF([1]对账明细接口!$P340=0,"",[1]对账明细接口!$P340),"")</f>
      </c>
      <c r="V340" s="212">
        <f>IFERROR(IF([1]对账明细接口!$Q340=0,"",[1]对账明细接口!$Q340),"")</f>
        <v>136</v>
      </c>
      <c r="W340" s="20" t="str">
        <f>IFERROR(IF([1]对账明细接口!$R340=0,"",[1]对账明细接口!$R340),"")</f>
        <v>豫L*88X19</v>
      </c>
      <c r="X340" s="20" t="str">
        <f>IFERROR(IF([1]对账明细接口!$S340=0,"",[1]对账明细接口!$S340),"")</f>
        <v>公司筐</v>
      </c>
      <c r="Y340" s="20">
        <f>IFERROR(IF([1]对账明细接口!$T340=0,"",[1]对账明细接口!$T340),"")</f>
      </c>
      <c r="Z340" s="213">
        <f>IFERROR(IF([1]对账明细接口!$U340=0,"",[1]对账明细接口!$U340),"")</f>
      </c>
      <c r="AA340" s="213">
        <f>IFERROR(IF([1]对账明细接口!$V340=0,"",[1]对账明细接口!$V340),"")</f>
      </c>
      <c r="AB340" s="20">
        <f>IFERROR(IF([1]对账明细接口!$W340=0,"",[1]对账明细接口!$W340),"")</f>
      </c>
      <c r="AC340" s="7">
        <f>IFERROR(IF([1]对账明细接口!$X340=0,"",[1]对账明细接口!$X340),"")</f>
      </c>
      <c r="AD340" s="7">
        <f>IFERROR(IF([1]对账明细接口!$Y340=0,"",[1]对账明细接口!$Y340),"")</f>
      </c>
      <c r="AE340" s="7">
        <f>IFERROR(IF([1]对账明细接口!$AA340=0,"",[1]对账明细接口!$AA340),"")</f>
      </c>
      <c r="AF340" s="7">
        <f>IFERROR(IF([1]对账明细接口!$AB340=0,"",[1]对账明细接口!$AB340),"")</f>
      </c>
      <c r="AG340" s="7">
        <f>IFERROR(IF([1]对账明细接口!$AC340=0,"",[1]对账明细接口!$AC340),"")</f>
      </c>
      <c r="AH340" s="7">
        <f>IFERROR(IF([1]对账明细接口!$AD340=0,"",[1]对账明细接口!$AD340),"")</f>
      </c>
      <c r="AI340" s="7">
        <f>IFERROR(IF([1]对账明细接口!$AE340=0,"",[1]对账明细接口!$AE340),"")</f>
      </c>
      <c r="AJ340" s="7">
        <f>IFERROR(IF([1]对账明细接口!$AF340=0,"",[1]对账明细接口!$AF340),"")</f>
      </c>
    </row>
    <row r="341" ht="14.25" customHeight="1" s="127">
      <c r="A341" s="14" t="n">
        <v>341</v>
      </c>
      <c r="B341" s="211">
        <f>IFERROR(IF([1]对账明细接口!$B$341=0,"",[1]对账明细接口!$B$341),"")</f>
        <v>46285.0</v>
      </c>
      <c r="C341" s="16" t="str">
        <f>IFERROR(IF([1]对账明细接口!$C$341=0,"",[1]对账明细接口!$C$341),"")</f>
        <v>王照雪</v>
      </c>
      <c r="D341" s="16" t="str">
        <f>IFERROR(IF([1]对账明细接口!$D$341=0,"",[1]对账明细接口!$D$341),"")</f>
        <v>原料入库</v>
      </c>
      <c r="E341" s="16" t="str">
        <f>IFERROR(IF([1]对账明细接口!$E$341=0,"",[1]对账明细接口!$E$341),"")</f>
        <v>NO:0000927</v>
      </c>
      <c r="F341" s="16" t="str">
        <f>IFERROR(IF([1]对账明细接口!$F$341=0,"",[1]对账明细接口!$F$341),"")</f>
        <v>苹果</v>
      </c>
      <c r="G341" s="16" t="str">
        <f>IFERROR(IF([1]对账明细接口!$G$341=0,"",[1]对账明细接口!$G$341),"")</f>
        <v>新世纪二级</v>
      </c>
      <c r="H341" s="176">
        <f>IFERROR(IF([1]对账明细接口!$H$341=0,"",[1]对账明细接口!$H$341),"")</f>
        <v>98</v>
      </c>
      <c r="I341" s="16" t="str">
        <f>IFERROR(IF([1]对账明细接口!$I$341=0,"",[1]对账明细接口!$I$341),"")</f>
        <v>筐</v>
      </c>
      <c r="J341" s="177">
        <f>IFERROR(IF([1]对账明细接口!$J$341=0,"",[1]对账明细接口!$J$341),"")</f>
        <v>1597.4</v>
      </c>
      <c r="K341" s="177">
        <f>IFERROR(IF([1]对账明细接口!$K$341=0,"",[1]对账明细接口!$K$341),"")</f>
      </c>
      <c r="L341" s="16">
        <f>IFERROR(IF([1]对账明细接口!$L$341=0,"",[1]对账明细接口!$L$341),"")</f>
      </c>
      <c r="M341" s="16">
        <f>IFERROR(IF([1]对账明细接口!$M$341=0,"",[1]对账明细接口!$M$341),"")</f>
      </c>
      <c r="N341" s="19">
        <f>IF($C341="",0,1)</f>
        <v>1</v>
      </c>
      <c r="O341" s="19">
        <f>N(O340)+$N341</f>
        <v>338</v>
      </c>
      <c r="S341" s="20" t="str">
        <f>IFERROR(IF([1]对账明细接口!$N341=0,"",[1]对账明细接口!$N341),"")</f>
        <v>公司杂周转筐</v>
      </c>
      <c r="T341" s="212">
        <f>IFERROR(IF([1]对账明细接口!$O341=0,"",[1]对账明细接口!$O341),"")</f>
      </c>
      <c r="U341" s="212">
        <f>IFERROR(IF([1]对账明细接口!$P341=0,"",[1]对账明细接口!$P341),"")</f>
      </c>
      <c r="V341" s="212">
        <f>IFERROR(IF([1]对账明细接口!$Q341=0,"",[1]对账明细接口!$Q341),"")</f>
        <v>98</v>
      </c>
      <c r="W341" s="20" t="str">
        <f>IFERROR(IF([1]对账明细接口!$R341=0,"",[1]对账明细接口!$R341),"")</f>
        <v>豫L*88X19</v>
      </c>
      <c r="X341" s="20" t="str">
        <f>IFERROR(IF([1]对账明细接口!$S341=0,"",[1]对账明细接口!$S341),"")</f>
        <v>公司筐</v>
      </c>
      <c r="Y341" s="20">
        <f>IFERROR(IF([1]对账明细接口!$T341=0,"",[1]对账明细接口!$T341),"")</f>
      </c>
      <c r="Z341" s="213">
        <f>IFERROR(IF([1]对账明细接口!$U341=0,"",[1]对账明细接口!$U341),"")</f>
      </c>
      <c r="AA341" s="213">
        <f>IFERROR(IF([1]对账明细接口!$V341=0,"",[1]对账明细接口!$V341),"")</f>
      </c>
      <c r="AB341" s="20">
        <f>IFERROR(IF([1]对账明细接口!$W341=0,"",[1]对账明细接口!$W341),"")</f>
      </c>
      <c r="AC341" s="7">
        <f>IFERROR(IF([1]对账明细接口!$X341=0,"",[1]对账明细接口!$X341),"")</f>
      </c>
      <c r="AD341" s="7">
        <f>IFERROR(IF([1]对账明细接口!$Y341=0,"",[1]对账明细接口!$Y341),"")</f>
      </c>
      <c r="AE341" s="7">
        <f>IFERROR(IF([1]对账明细接口!$AA341=0,"",[1]对账明细接口!$AA341),"")</f>
      </c>
      <c r="AF341" s="7">
        <f>IFERROR(IF([1]对账明细接口!$AB341=0,"",[1]对账明细接口!$AB341),"")</f>
      </c>
      <c r="AG341" s="7">
        <f>IFERROR(IF([1]对账明细接口!$AC341=0,"",[1]对账明细接口!$AC341),"")</f>
      </c>
      <c r="AH341" s="7">
        <f>IFERROR(IF([1]对账明细接口!$AD341=0,"",[1]对账明细接口!$AD341),"")</f>
      </c>
      <c r="AI341" s="7">
        <f>IFERROR(IF([1]对账明细接口!$AE341=0,"",[1]对账明细接口!$AE341),"")</f>
      </c>
      <c r="AJ341" s="7">
        <f>IFERROR(IF([1]对账明细接口!$AF341=0,"",[1]对账明细接口!$AF341),"")</f>
      </c>
    </row>
    <row r="342" ht="14.25" customHeight="1" s="127">
      <c r="A342" s="14" t="n">
        <v>342</v>
      </c>
      <c r="B342" s="211">
        <f>IFERROR(IF([1]对账明细接口!$B$342=0,"",[1]对账明细接口!$B$342),"")</f>
        <v>46285.0</v>
      </c>
      <c r="C342" s="16" t="str">
        <f>IFERROR(IF([1]对账明细接口!$C$342=0,"",[1]对账明细接口!$C$342),"")</f>
        <v>王照雪</v>
      </c>
      <c r="D342" s="16" t="str">
        <f>IFERROR(IF([1]对账明细接口!$D$342=0,"",[1]对账明细接口!$D$342),"")</f>
        <v>原料入库</v>
      </c>
      <c r="E342" s="16" t="str">
        <f>IFERROR(IF([1]对账明细接口!$E$342=0,"",[1]对账明细接口!$E$342),"")</f>
        <v>NO:0000927</v>
      </c>
      <c r="F342" s="16" t="str">
        <f>IFERROR(IF([1]对账明细接口!$F$342=0,"",[1]对账明细接口!$F$342),"")</f>
        <v>苹果</v>
      </c>
      <c r="G342" s="16" t="str">
        <f>IFERROR(IF([1]对账明细接口!$G$342=0,"",[1]对账明细接口!$G$342),"")</f>
        <v>新世纪二级</v>
      </c>
      <c r="H342" s="176">
        <f>IFERROR(IF([1]对账明细接口!$H$342=0,"",[1]对账明细接口!$H$342),"")</f>
        <v>95</v>
      </c>
      <c r="I342" s="16" t="str">
        <f>IFERROR(IF([1]对账明细接口!$I$342=0,"",[1]对账明细接口!$I$342),"")</f>
        <v>筐</v>
      </c>
      <c r="J342" s="177">
        <f>IFERROR(IF([1]对账明细接口!$J$342=0,"",[1]对账明细接口!$J$342),"")</f>
        <v>1928.5</v>
      </c>
      <c r="K342" s="177">
        <f>IFERROR(IF([1]对账明细接口!$K$342=0,"",[1]对账明细接口!$K$342),"")</f>
      </c>
      <c r="L342" s="16">
        <f>IFERROR(IF([1]对账明细接口!$L$342=0,"",[1]对账明细接口!$L$342),"")</f>
      </c>
      <c r="M342" s="16">
        <f>IFERROR(IF([1]对账明细接口!$M$342=0,"",[1]对账明细接口!$M$342),"")</f>
      </c>
      <c r="N342" s="19">
        <f>IF($C342="",0,1)</f>
        <v>1</v>
      </c>
      <c r="O342" s="19">
        <f>N(O341)+$N342</f>
        <v>339</v>
      </c>
      <c r="S342" s="20" t="str">
        <f>IFERROR(IF([1]对账明细接口!$N342=0,"",[1]对账明细接口!$N342),"")</f>
        <v>公司杂周转筐</v>
      </c>
      <c r="T342" s="212">
        <f>IFERROR(IF([1]对账明细接口!$O342=0,"",[1]对账明细接口!$O342),"")</f>
      </c>
      <c r="U342" s="212">
        <f>IFERROR(IF([1]对账明细接口!$P342=0,"",[1]对账明细接口!$P342),"")</f>
      </c>
      <c r="V342" s="212">
        <f>IFERROR(IF([1]对账明细接口!$Q342=0,"",[1]对账明细接口!$Q342),"")</f>
        <v>95</v>
      </c>
      <c r="W342" s="20" t="str">
        <f>IFERROR(IF([1]对账明细接口!$R342=0,"",[1]对账明细接口!$R342),"")</f>
        <v>豫L*88X19</v>
      </c>
      <c r="X342" s="20" t="str">
        <f>IFERROR(IF([1]对账明细接口!$S342=0,"",[1]对账明细接口!$S342),"")</f>
        <v>公司筐</v>
      </c>
      <c r="Y342" s="20">
        <f>IFERROR(IF([1]对账明细接口!$T342=0,"",[1]对账明细接口!$T342),"")</f>
      </c>
      <c r="Z342" s="213">
        <f>IFERROR(IF([1]对账明细接口!$U342=0,"",[1]对账明细接口!$U342),"")</f>
      </c>
      <c r="AA342" s="213">
        <f>IFERROR(IF([1]对账明细接口!$V342=0,"",[1]对账明细接口!$V342),"")</f>
      </c>
      <c r="AB342" s="20">
        <f>IFERROR(IF([1]对账明细接口!$W342=0,"",[1]对账明细接口!$W342),"")</f>
      </c>
      <c r="AC342" s="7">
        <f>IFERROR(IF([1]对账明细接口!$X342=0,"",[1]对账明细接口!$X342),"")</f>
      </c>
      <c r="AD342" s="7">
        <f>IFERROR(IF([1]对账明细接口!$Y342=0,"",[1]对账明细接口!$Y342),"")</f>
      </c>
      <c r="AE342" s="7">
        <f>IFERROR(IF([1]对账明细接口!$AA342=0,"",[1]对账明细接口!$AA342),"")</f>
      </c>
      <c r="AF342" s="7">
        <f>IFERROR(IF([1]对账明细接口!$AB342=0,"",[1]对账明细接口!$AB342),"")</f>
      </c>
      <c r="AG342" s="7">
        <f>IFERROR(IF([1]对账明细接口!$AC342=0,"",[1]对账明细接口!$AC342),"")</f>
      </c>
      <c r="AH342" s="7">
        <f>IFERROR(IF([1]对账明细接口!$AD342=0,"",[1]对账明细接口!$AD342),"")</f>
      </c>
      <c r="AI342" s="7">
        <f>IFERROR(IF([1]对账明细接口!$AE342=0,"",[1]对账明细接口!$AE342),"")</f>
      </c>
      <c r="AJ342" s="7">
        <f>IFERROR(IF([1]对账明细接口!$AF342=0,"",[1]对账明细接口!$AF342),"")</f>
      </c>
    </row>
    <row r="343" ht="14.25" customHeight="1" s="127">
      <c r="A343" s="14" t="n">
        <v>343</v>
      </c>
      <c r="B343" s="211">
        <f>IFERROR(IF([1]对账明细接口!$B$343=0,"",[1]对账明细接口!$B$343),"")</f>
        <v>46285.0</v>
      </c>
      <c r="C343" s="16" t="str">
        <f>IFERROR(IF([1]对账明细接口!$C$343=0,"",[1]对账明细接口!$C$343),"")</f>
        <v>王照雪</v>
      </c>
      <c r="D343" s="16" t="str">
        <f>IFERROR(IF([1]对账明细接口!$D$343=0,"",[1]对账明细接口!$D$343),"")</f>
        <v>原料入库</v>
      </c>
      <c r="E343" s="16" t="str">
        <f>IFERROR(IF([1]对账明细接口!$E$343=0,"",[1]对账明细接口!$E$343),"")</f>
        <v>NO:0000928</v>
      </c>
      <c r="F343" s="16" t="str">
        <f>IFERROR(IF([1]对账明细接口!$F$343=0,"",[1]对账明细接口!$F$343),"")</f>
        <v>苹果</v>
      </c>
      <c r="G343" s="16" t="str">
        <f>IFERROR(IF([1]对账明细接口!$G$343=0,"",[1]对账明细接口!$G$343),"")</f>
        <v>王林一级</v>
      </c>
      <c r="H343" s="176">
        <f>IFERROR(IF([1]对账明细接口!$H$343=0,"",[1]对账明细接口!$H$343),"")</f>
        <v>13</v>
      </c>
      <c r="I343" s="16" t="str">
        <f>IFERROR(IF([1]对账明细接口!$I$343=0,"",[1]对账明细接口!$I$343),"")</f>
        <v>筐</v>
      </c>
      <c r="J343" s="177">
        <f>IFERROR(IF([1]对账明细接口!$J$343=0,"",[1]对账明细接口!$J$343),"")</f>
        <v>198.9</v>
      </c>
      <c r="K343" s="177">
        <f>IFERROR(IF([1]对账明细接口!$K$343=0,"",[1]对账明细接口!$K$343),"")</f>
      </c>
      <c r="L343" s="16">
        <f>IFERROR(IF([1]对账明细接口!$L$343=0,"",[1]对账明细接口!$L$343),"")</f>
      </c>
      <c r="M343" s="16" t="str">
        <f>IFERROR(IF([1]对账明细接口!$M$343=0,"",[1]对账明细接口!$M$343),"")</f>
        <v>篮子装货入库后换公司筐</v>
      </c>
      <c r="N343" s="19">
        <f>IF($C343="",0,1)</f>
        <v>1</v>
      </c>
      <c r="O343" s="19">
        <f>N(O342)+$N343</f>
        <v>340</v>
      </c>
      <c r="S343" s="20" t="str">
        <f>IFERROR(IF([1]对账明细接口!$N343=0,"",[1]对账明细接口!$N343),"")</f>
        <v>公司杂周转筐</v>
      </c>
      <c r="T343" s="212">
        <f>IFERROR(IF([1]对账明细接口!$O343=0,"",[1]对账明细接口!$O343),"")</f>
      </c>
      <c r="U343" s="212">
        <f>IFERROR(IF([1]对账明细接口!$P343=0,"",[1]对账明细接口!$P343),"")</f>
      </c>
      <c r="V343" s="212">
        <f>IFERROR(IF([1]对账明细接口!$Q343=0,"",[1]对账明细接口!$Q343),"")</f>
        <v>13</v>
      </c>
      <c r="W343" s="20" t="str">
        <f>IFERROR(IF([1]对账明细接口!$R343=0,"",[1]对账明细接口!$R343),"")</f>
        <v>三轮车</v>
      </c>
      <c r="X343" s="20" t="str">
        <f>IFERROR(IF([1]对账明细接口!$S343=0,"",[1]对账明细接口!$S343),"")</f>
        <v>公司筐</v>
      </c>
      <c r="Y343" s="20">
        <f>IFERROR(IF([1]对账明细接口!$T343=0,"",[1]对账明细接口!$T343),"")</f>
      </c>
      <c r="Z343" s="213">
        <f>IFERROR(IF([1]对账明细接口!$U343=0,"",[1]对账明细接口!$U343),"")</f>
      </c>
      <c r="AA343" s="213">
        <f>IFERROR(IF([1]对账明细接口!$V343=0,"",[1]对账明细接口!$V343),"")</f>
      </c>
      <c r="AB343" s="20">
        <f>IFERROR(IF([1]对账明细接口!$W343=0,"",[1]对账明细接口!$W343),"")</f>
      </c>
      <c r="AC343" s="7">
        <f>IFERROR(IF([1]对账明细接口!$X343=0,"",[1]对账明细接口!$X343),"")</f>
      </c>
      <c r="AD343" s="7">
        <f>IFERROR(IF([1]对账明细接口!$Y343=0,"",[1]对账明细接口!$Y343),"")</f>
      </c>
      <c r="AE343" s="7">
        <f>IFERROR(IF([1]对账明细接口!$AA343=0,"",[1]对账明细接口!$AA343),"")</f>
      </c>
      <c r="AF343" s="7">
        <f>IFERROR(IF([1]对账明细接口!$AB343=0,"",[1]对账明细接口!$AB343),"")</f>
      </c>
      <c r="AG343" s="7">
        <f>IFERROR(IF([1]对账明细接口!$AC343=0,"",[1]对账明细接口!$AC343),"")</f>
      </c>
      <c r="AH343" s="7">
        <f>IFERROR(IF([1]对账明细接口!$AD343=0,"",[1]对账明细接口!$AD343),"")</f>
      </c>
      <c r="AI343" s="7">
        <f>IFERROR(IF([1]对账明细接口!$AE343=0,"",[1]对账明细接口!$AE343),"")</f>
      </c>
      <c r="AJ343" s="7">
        <f>IFERROR(IF([1]对账明细接口!$AF343=0,"",[1]对账明细接口!$AF343),"")</f>
      </c>
    </row>
    <row r="344" ht="14.25" customHeight="1" s="127">
      <c r="A344" s="14" t="n">
        <v>344</v>
      </c>
      <c r="B344" s="211">
        <f>IFERROR(IF([1]对账明细接口!$B$344=0,"",[1]对账明细接口!$B$344),"")</f>
        <v>46285.0</v>
      </c>
      <c r="C344" s="16" t="str">
        <f>IFERROR(IF([1]对账明细接口!$C$344=0,"",[1]对账明细接口!$C$344),"")</f>
        <v>王照雪</v>
      </c>
      <c r="D344" s="16" t="str">
        <f>IFERROR(IF([1]对账明细接口!$D$344=0,"",[1]对账明细接口!$D$344),"")</f>
        <v>原料入库</v>
      </c>
      <c r="E344" s="16" t="str">
        <f>IFERROR(IF([1]对账明细接口!$E$344=0,"",[1]对账明细接口!$E$344),"")</f>
        <v>NO:0000928</v>
      </c>
      <c r="F344" s="16" t="str">
        <f>IFERROR(IF([1]对账明细接口!$F$344=0,"",[1]对账明细接口!$F$344),"")</f>
        <v>苹果</v>
      </c>
      <c r="G344" s="16" t="str">
        <f>IFERROR(IF([1]对账明细接口!$G$344=0,"",[1]对账明细接口!$G$344),"")</f>
        <v>早富士二级</v>
      </c>
      <c r="H344" s="176">
        <f>IFERROR(IF([1]对账明细接口!$H$344=0,"",[1]对账明细接口!$H$344),"")</f>
        <v>4</v>
      </c>
      <c r="I344" s="16" t="str">
        <f>IFERROR(IF([1]对账明细接口!$I$344=0,"",[1]对账明细接口!$I$344),"")</f>
        <v>筐</v>
      </c>
      <c r="J344" s="177">
        <f>IFERROR(IF([1]对账明细接口!$J$344=0,"",[1]对账明细接口!$J$344),"")</f>
        <v>89.2</v>
      </c>
      <c r="K344" s="177">
        <f>IFERROR(IF([1]对账明细接口!$K$344=0,"",[1]对账明细接口!$K$344),"")</f>
      </c>
      <c r="L344" s="16">
        <f>IFERROR(IF([1]对账明细接口!$L$344=0,"",[1]对账明细接口!$L$344),"")</f>
      </c>
      <c r="M344" s="16">
        <f>IFERROR(IF([1]对账明细接口!$M$344=0,"",[1]对账明细接口!$M$344),"")</f>
      </c>
      <c r="N344" s="19">
        <f>IF($C344="",0,1)</f>
        <v>1</v>
      </c>
      <c r="O344" s="19">
        <f>N(O343)+$N344</f>
        <v>341</v>
      </c>
      <c r="S344" s="20" t="str">
        <f>IFERROR(IF([1]对账明细接口!$N344=0,"",[1]对账明细接口!$N344),"")</f>
        <v>自备一次性筐</v>
      </c>
      <c r="T344" s="212">
        <f>IFERROR(IF([1]对账明细接口!$O344=0,"",[1]对账明细接口!$O344),"")</f>
      </c>
      <c r="U344" s="212">
        <f>IFERROR(IF([1]对账明细接口!$P344=0,"",[1]对账明细接口!$P344),"")</f>
      </c>
      <c r="V344" s="212">
        <f>IFERROR(IF([1]对账明细接口!$Q344=0,"",[1]对账明细接口!$Q344),"")</f>
        <v>4</v>
      </c>
      <c r="W344" s="20" t="str">
        <f>IFERROR(IF([1]对账明细接口!$R344=0,"",[1]对账明细接口!$R344),"")</f>
        <v>三轮车</v>
      </c>
      <c r="X344" s="20" t="str">
        <f>IFERROR(IF([1]对账明细接口!$S344=0,"",[1]对账明细接口!$S344),"")</f>
        <v>自备筐</v>
      </c>
      <c r="Y344" s="20">
        <f>IFERROR(IF([1]对账明细接口!$T344=0,"",[1]对账明细接口!$T344),"")</f>
      </c>
      <c r="Z344" s="213">
        <f>IFERROR(IF([1]对账明细接口!$U344=0,"",[1]对账明细接口!$U344),"")</f>
      </c>
      <c r="AA344" s="213">
        <f>IFERROR(IF([1]对账明细接口!$V344=0,"",[1]对账明细接口!$V344),"")</f>
      </c>
      <c r="AB344" s="20">
        <f>IFERROR(IF([1]对账明细接口!$W344=0,"",[1]对账明细接口!$W344),"")</f>
      </c>
      <c r="AC344" s="7">
        <f>IFERROR(IF([1]对账明细接口!$X344=0,"",[1]对账明细接口!$X344),"")</f>
      </c>
      <c r="AD344" s="7">
        <f>IFERROR(IF([1]对账明细接口!$Y344=0,"",[1]对账明细接口!$Y344),"")</f>
      </c>
      <c r="AE344" s="7">
        <f>IFERROR(IF([1]对账明细接口!$AA344=0,"",[1]对账明细接口!$AA344),"")</f>
      </c>
      <c r="AF344" s="7">
        <f>IFERROR(IF([1]对账明细接口!$AB344=0,"",[1]对账明细接口!$AB344),"")</f>
      </c>
      <c r="AG344" s="7">
        <f>IFERROR(IF([1]对账明细接口!$AC344=0,"",[1]对账明细接口!$AC344),"")</f>
      </c>
      <c r="AH344" s="7">
        <f>IFERROR(IF([1]对账明细接口!$AD344=0,"",[1]对账明细接口!$AD344),"")</f>
      </c>
      <c r="AI344" s="7">
        <f>IFERROR(IF([1]对账明细接口!$AE344=0,"",[1]对账明细接口!$AE344),"")</f>
      </c>
      <c r="AJ344" s="7">
        <f>IFERROR(IF([1]对账明细接口!$AF344=0,"",[1]对账明细接口!$AF344),"")</f>
      </c>
    </row>
    <row r="345" ht="14.25" customHeight="1" s="127">
      <c r="A345" s="14" t="n">
        <v>345</v>
      </c>
      <c r="B345" s="211">
        <f>IFERROR(IF([1]对账明细接口!$B$345=0,"",[1]对账明细接口!$B$345),"")</f>
        <v>46286.0</v>
      </c>
      <c r="C345" s="16" t="str">
        <f>IFERROR(IF([1]对账明细接口!$C$345=0,"",[1]对账明细接口!$C$345),"")</f>
        <v>吐尔逊</v>
      </c>
      <c r="D345" s="16" t="str">
        <f>IFERROR(IF([1]对账明细接口!$D$345=0,"",[1]对账明细接口!$D$345),"")</f>
        <v>原料入库</v>
      </c>
      <c r="E345" s="16" t="str">
        <f>IFERROR(IF([1]对账明细接口!$E$345=0,"",[1]对账明细接口!$E$345),"")</f>
        <v>NO:0000930</v>
      </c>
      <c r="F345" s="16" t="str">
        <f>IFERROR(IF([1]对账明细接口!$F$345=0,"",[1]对账明细接口!$F$345),"")</f>
        <v>香梨</v>
      </c>
      <c r="G345" s="16" t="str">
        <f>IFERROR(IF([1]对账明细接口!$G$345=0,"",[1]对账明细接口!$G$345),"")</f>
        <v>香梨一级</v>
      </c>
      <c r="H345" s="176">
        <f>IFERROR(IF([1]对账明细接口!$H$345=0,"",[1]对账明细接口!$H$345),"")</f>
        <v>105</v>
      </c>
      <c r="I345" s="16" t="str">
        <f>IFERROR(IF([1]对账明细接口!$I$345=0,"",[1]对账明细接口!$I$345),"")</f>
        <v>筐</v>
      </c>
      <c r="J345" s="177">
        <f>IFERROR(IF([1]对账明细接口!$J$345=0,"",[1]对账明细接口!$J$345),"")</f>
        <v>1837.5</v>
      </c>
      <c r="K345" s="177">
        <f>IFERROR(IF([1]对账明细接口!$K$345=0,"",[1]对账明细接口!$K$345),"")</f>
      </c>
      <c r="L345" s="16">
        <f>IFERROR(IF([1]对账明细接口!$L$345=0,"",[1]对账明细接口!$L$345),"")</f>
      </c>
      <c r="M345" s="16">
        <f>IFERROR(IF([1]对账明细接口!$M$345=0,"",[1]对账明细接口!$M$345),"")</f>
      </c>
      <c r="N345" s="19">
        <f>IF($C345="",0,1)</f>
        <v>1</v>
      </c>
      <c r="O345" s="19">
        <f>N(O344)+$N345</f>
        <v>342</v>
      </c>
      <c r="S345" s="20" t="str">
        <f>IFERROR(IF([1]对账明细接口!$N345=0,"",[1]对账明细接口!$N345),"")</f>
        <v>公司一次性筐</v>
      </c>
      <c r="T345" s="212">
        <f>IFERROR(IF([1]对账明细接口!$O345=0,"",[1]对账明细接口!$O345),"")</f>
      </c>
      <c r="U345" s="212">
        <f>IFERROR(IF([1]对账明细接口!$P345=0,"",[1]对账明细接口!$P345),"")</f>
      </c>
      <c r="V345" s="212">
        <f>IFERROR(IF([1]对账明细接口!$Q345=0,"",[1]对账明细接口!$Q345),"")</f>
        <v>105</v>
      </c>
      <c r="W345" s="20" t="str">
        <f>IFERROR(IF([1]对账明细接口!$R345=0,"",[1]对账明细接口!$R345),"")</f>
        <v>新A*NZ020</v>
      </c>
      <c r="X345" s="20" t="str">
        <f>IFERROR(IF([1]对账明细接口!$S345=0,"",[1]对账明细接口!$S345),"")</f>
        <v>公司筐</v>
      </c>
      <c r="Y345" s="20">
        <f>IFERROR(IF([1]对账明细接口!$T345=0,"",[1]对账明细接口!$T345),"")</f>
      </c>
      <c r="Z345" s="213">
        <f>IFERROR(IF([1]对账明细接口!$U345=0,"",[1]对账明细接口!$U345),"")</f>
      </c>
      <c r="AA345" s="213">
        <f>IFERROR(IF([1]对账明细接口!$V345=0,"",[1]对账明细接口!$V345),"")</f>
      </c>
      <c r="AB345" s="20">
        <f>IFERROR(IF([1]对账明细接口!$W345=0,"",[1]对账明细接口!$W345),"")</f>
      </c>
      <c r="AC345" s="7">
        <f>IFERROR(IF([1]对账明细接口!$X345=0,"",[1]对账明细接口!$X345),"")</f>
      </c>
      <c r="AD345" s="7">
        <f>IFERROR(IF([1]对账明细接口!$Y345=0,"",[1]对账明细接口!$Y345),"")</f>
      </c>
      <c r="AE345" s="7">
        <f>IFERROR(IF([1]对账明细接口!$AA345=0,"",[1]对账明细接口!$AA345),"")</f>
      </c>
      <c r="AF345" s="7">
        <f>IFERROR(IF([1]对账明细接口!$AB345=0,"",[1]对账明细接口!$AB345),"")</f>
      </c>
      <c r="AG345" s="7">
        <f>IFERROR(IF([1]对账明细接口!$AC345=0,"",[1]对账明细接口!$AC345),"")</f>
      </c>
      <c r="AH345" s="7">
        <f>IFERROR(IF([1]对账明细接口!$AD345=0,"",[1]对账明细接口!$AD345),"")</f>
      </c>
      <c r="AI345" s="7">
        <f>IFERROR(IF([1]对账明细接口!$AE345=0,"",[1]对账明细接口!$AE345),"")</f>
      </c>
      <c r="AJ345" s="7">
        <f>IFERROR(IF([1]对账明细接口!$AF345=0,"",[1]对账明细接口!$AF345),"")</f>
      </c>
    </row>
    <row r="346" ht="14.25" customHeight="1" s="127">
      <c r="A346" s="14" t="n">
        <v>346</v>
      </c>
      <c r="B346" s="211">
        <f>IFERROR(IF([1]对账明细接口!$B$346=0,"",[1]对账明细接口!$B$346),"")</f>
        <v>46286.0</v>
      </c>
      <c r="C346" s="16" t="str">
        <f>IFERROR(IF([1]对账明细接口!$C$346=0,"",[1]对账明细接口!$C$346),"")</f>
        <v>吐尔逊</v>
      </c>
      <c r="D346" s="16" t="str">
        <f>IFERROR(IF([1]对账明细接口!$D$346=0,"",[1]对账明细接口!$D$346),"")</f>
        <v>原料入库</v>
      </c>
      <c r="E346" s="16" t="str">
        <f>IFERROR(IF([1]对账明细接口!$E$346=0,"",[1]对账明细接口!$E$346),"")</f>
        <v>NO:0000930</v>
      </c>
      <c r="F346" s="16" t="str">
        <f>IFERROR(IF([1]对账明细接口!$F$346=0,"",[1]对账明细接口!$F$346),"")</f>
        <v>香梨</v>
      </c>
      <c r="G346" s="16" t="str">
        <f>IFERROR(IF([1]对账明细接口!$G$346=0,"",[1]对账明细接口!$G$346),"")</f>
        <v>香梨二级</v>
      </c>
      <c r="H346" s="176">
        <f>IFERROR(IF([1]对账明细接口!$H$346=0,"",[1]对账明细接口!$H$346),"")</f>
        <v>95</v>
      </c>
      <c r="I346" s="16" t="str">
        <f>IFERROR(IF([1]对账明细接口!$I$346=0,"",[1]对账明细接口!$I$346),"")</f>
        <v>筐</v>
      </c>
      <c r="J346" s="177">
        <f>IFERROR(IF([1]对账明细接口!$J$346=0,"",[1]对账明细接口!$J$346),"")</f>
        <v>2327.5</v>
      </c>
      <c r="K346" s="177">
        <f>IFERROR(IF([1]对账明细接口!$K$346=0,"",[1]对账明细接口!$K$346),"")</f>
      </c>
      <c r="L346" s="16">
        <f>IFERROR(IF([1]对账明细接口!$L$346=0,"",[1]对账明细接口!$L$346),"")</f>
      </c>
      <c r="M346" s="16">
        <f>IFERROR(IF([1]对账明细接口!$M$346=0,"",[1]对账明细接口!$M$346),"")</f>
      </c>
      <c r="N346" s="19">
        <f>IF($C346="",0,1)</f>
        <v>1</v>
      </c>
      <c r="O346" s="19">
        <f>N(O345)+$N346</f>
        <v>343</v>
      </c>
      <c r="S346" s="20" t="str">
        <f>IFERROR(IF([1]对账明细接口!$N346=0,"",[1]对账明细接口!$N346),"")</f>
        <v>公司一次性筐</v>
      </c>
      <c r="T346" s="212">
        <f>IFERROR(IF([1]对账明细接口!$O346=0,"",[1]对账明细接口!$O346),"")</f>
      </c>
      <c r="U346" s="212">
        <f>IFERROR(IF([1]对账明细接口!$P346=0,"",[1]对账明细接口!$P346),"")</f>
      </c>
      <c r="V346" s="212">
        <f>IFERROR(IF([1]对账明细接口!$Q346=0,"",[1]对账明细接口!$Q346),"")</f>
        <v>95</v>
      </c>
      <c r="W346" s="20" t="str">
        <f>IFERROR(IF([1]对账明细接口!$R346=0,"",[1]对账明细接口!$R346),"")</f>
        <v>新A*NZ020</v>
      </c>
      <c r="X346" s="20" t="str">
        <f>IFERROR(IF([1]对账明细接口!$S346=0,"",[1]对账明细接口!$S346),"")</f>
        <v>公司筐</v>
      </c>
      <c r="Y346" s="20">
        <f>IFERROR(IF([1]对账明细接口!$T346=0,"",[1]对账明细接口!$T346),"")</f>
      </c>
      <c r="Z346" s="213">
        <f>IFERROR(IF([1]对账明细接口!$U346=0,"",[1]对账明细接口!$U346),"")</f>
      </c>
      <c r="AA346" s="213">
        <f>IFERROR(IF([1]对账明细接口!$V346=0,"",[1]对账明细接口!$V346),"")</f>
      </c>
      <c r="AB346" s="20">
        <f>IFERROR(IF([1]对账明细接口!$W346=0,"",[1]对账明细接口!$W346),"")</f>
      </c>
      <c r="AC346" s="7">
        <f>IFERROR(IF([1]对账明细接口!$X346=0,"",[1]对账明细接口!$X346),"")</f>
      </c>
      <c r="AD346" s="7">
        <f>IFERROR(IF([1]对账明细接口!$Y346=0,"",[1]对账明细接口!$Y346),"")</f>
      </c>
      <c r="AE346" s="7">
        <f>IFERROR(IF([1]对账明细接口!$AA346=0,"",[1]对账明细接口!$AA346),"")</f>
      </c>
      <c r="AF346" s="7">
        <f>IFERROR(IF([1]对账明细接口!$AB346=0,"",[1]对账明细接口!$AB346),"")</f>
      </c>
      <c r="AG346" s="7">
        <f>IFERROR(IF([1]对账明细接口!$AC346=0,"",[1]对账明细接口!$AC346),"")</f>
      </c>
      <c r="AH346" s="7">
        <f>IFERROR(IF([1]对账明细接口!$AD346=0,"",[1]对账明细接口!$AD346),"")</f>
      </c>
      <c r="AI346" s="7">
        <f>IFERROR(IF([1]对账明细接口!$AE346=0,"",[1]对账明细接口!$AE346),"")</f>
      </c>
      <c r="AJ346" s="7">
        <f>IFERROR(IF([1]对账明细接口!$AF346=0,"",[1]对账明细接口!$AF346),"")</f>
      </c>
    </row>
    <row r="347" ht="14.25" customHeight="1" s="127">
      <c r="A347" s="14" t="n">
        <v>347</v>
      </c>
      <c r="B347" s="211">
        <f>IFERROR(IF([1]对账明细接口!$B$347=0,"",[1]对账明细接口!$B$347),"")</f>
        <v>46286.0</v>
      </c>
      <c r="C347" s="16" t="str">
        <f>IFERROR(IF([1]对账明细接口!$C$347=0,"",[1]对账明细接口!$C$347),"")</f>
        <v>努尔敦</v>
      </c>
      <c r="D347" s="16" t="str">
        <f>IFERROR(IF([1]对账明细接口!$D$347=0,"",[1]对账明细接口!$D$347),"")</f>
        <v>原料入库</v>
      </c>
      <c r="E347" s="16" t="str">
        <f>IFERROR(IF([1]对账明细接口!$E$347=0,"",[1]对账明细接口!$E$347),"")</f>
        <v>NO:0000931</v>
      </c>
      <c r="F347" s="16" t="str">
        <f>IFERROR(IF([1]对账明细接口!$F$347=0,"",[1]对账明细接口!$F$347),"")</f>
        <v>香梨</v>
      </c>
      <c r="G347" s="16" t="str">
        <f>IFERROR(IF([1]对账明细接口!$G$347=0,"",[1]对账明细接口!$G$347),"")</f>
        <v>香梨特级</v>
      </c>
      <c r="H347" s="176">
        <f>IFERROR(IF([1]对账明细接口!$H$347=0,"",[1]对账明细接口!$H$347),"")</f>
        <v>215</v>
      </c>
      <c r="I347" s="16" t="str">
        <f>IFERROR(IF([1]对账明细接口!$I$347=0,"",[1]对账明细接口!$I$347),"")</f>
        <v>筐</v>
      </c>
      <c r="J347" s="177">
        <f>IFERROR(IF([1]对账明细接口!$J$347=0,"",[1]对账明细接口!$J$347),"")</f>
        <v>3934.5</v>
      </c>
      <c r="K347" s="177">
        <f>IFERROR(IF([1]对账明细接口!$K$347=0,"",[1]对账明细接口!$K$347),"")</f>
      </c>
      <c r="L347" s="16">
        <f>IFERROR(IF([1]对账明细接口!$L$347=0,"",[1]对账明细接口!$L$347),"")</f>
      </c>
      <c r="M347" s="16">
        <f>IFERROR(IF([1]对账明细接口!$M$347=0,"",[1]对账明细接口!$M$347),"")</f>
      </c>
      <c r="N347" s="19">
        <f>IF($C347="",0,1)</f>
        <v>1</v>
      </c>
      <c r="O347" s="19">
        <f>N(O346)+$N347</f>
        <v>344</v>
      </c>
      <c r="S347" s="20" t="str">
        <f>IFERROR(IF([1]对账明细接口!$N347=0,"",[1]对账明细接口!$N347),"")</f>
        <v>公司红周转筐</v>
      </c>
      <c r="T347" s="212">
        <f>IFERROR(IF([1]对账明细接口!$O347=0,"",[1]对账明细接口!$O347),"")</f>
      </c>
      <c r="U347" s="212">
        <f>IFERROR(IF([1]对账明细接口!$P347=0,"",[1]对账明细接口!$P347),"")</f>
      </c>
      <c r="V347" s="212">
        <f>IFERROR(IF([1]对账明细接口!$Q347=0,"",[1]对账明细接口!$Q347),"")</f>
        <v>215</v>
      </c>
      <c r="W347" s="20" t="str">
        <f>IFERROR(IF([1]对账明细接口!$R347=0,"",[1]对账明细接口!$R347),"")</f>
        <v>新F*75240</v>
      </c>
      <c r="X347" s="20" t="str">
        <f>IFERROR(IF([1]对账明细接口!$S347=0,"",[1]对账明细接口!$S347),"")</f>
        <v>公司筐</v>
      </c>
      <c r="Y347" s="20">
        <f>IFERROR(IF([1]对账明细接口!$T347=0,"",[1]对账明细接口!$T347),"")</f>
      </c>
      <c r="Z347" s="213">
        <f>IFERROR(IF([1]对账明细接口!$U347=0,"",[1]对账明细接口!$U347),"")</f>
      </c>
      <c r="AA347" s="213">
        <f>IFERROR(IF([1]对账明细接口!$V347=0,"",[1]对账明细接口!$V347),"")</f>
      </c>
      <c r="AB347" s="20">
        <f>IFERROR(IF([1]对账明细接口!$W347=0,"",[1]对账明细接口!$W347),"")</f>
      </c>
      <c r="AC347" s="7">
        <f>IFERROR(IF([1]对账明细接口!$X347=0,"",[1]对账明细接口!$X347),"")</f>
      </c>
      <c r="AD347" s="7">
        <f>IFERROR(IF([1]对账明细接口!$Y347=0,"",[1]对账明细接口!$Y347),"")</f>
      </c>
      <c r="AE347" s="7">
        <f>IFERROR(IF([1]对账明细接口!$AA347=0,"",[1]对账明细接口!$AA347),"")</f>
      </c>
      <c r="AF347" s="7">
        <f>IFERROR(IF([1]对账明细接口!$AB347=0,"",[1]对账明细接口!$AB347),"")</f>
      </c>
      <c r="AG347" s="7">
        <f>IFERROR(IF([1]对账明细接口!$AC347=0,"",[1]对账明细接口!$AC347),"")</f>
      </c>
      <c r="AH347" s="7">
        <f>IFERROR(IF([1]对账明细接口!$AD347=0,"",[1]对账明细接口!$AD347),"")</f>
      </c>
      <c r="AI347" s="7">
        <f>IFERROR(IF([1]对账明细接口!$AE347=0,"",[1]对账明细接口!$AE347),"")</f>
      </c>
      <c r="AJ347" s="7">
        <f>IFERROR(IF([1]对账明细接口!$AF347=0,"",[1]对账明细接口!$AF347),"")</f>
      </c>
    </row>
    <row r="348" ht="14.25" customHeight="1" s="127">
      <c r="A348" s="14" t="n">
        <v>348</v>
      </c>
      <c r="B348" s="211">
        <f>IFERROR(IF([1]对账明细接口!$B$348=0,"",[1]对账明细接口!$B$348),"")</f>
        <v>46286.0</v>
      </c>
      <c r="C348" s="16" t="str">
        <f>IFERROR(IF([1]对账明细接口!$C$348=0,"",[1]对账明细接口!$C$348),"")</f>
        <v>努尔敦</v>
      </c>
      <c r="D348" s="16" t="str">
        <f>IFERROR(IF([1]对账明细接口!$D$348=0,"",[1]对账明细接口!$D$348),"")</f>
        <v>原料入库</v>
      </c>
      <c r="E348" s="16" t="str">
        <f>IFERROR(IF([1]对账明细接口!$E$348=0,"",[1]对账明细接口!$E$348),"")</f>
        <v>NO:0000931</v>
      </c>
      <c r="F348" s="16" t="str">
        <f>IFERROR(IF([1]对账明细接口!$F$348=0,"",[1]对账明细接口!$F$348),"")</f>
        <v>香梨</v>
      </c>
      <c r="G348" s="16" t="str">
        <f>IFERROR(IF([1]对账明细接口!$G$348=0,"",[1]对账明细接口!$G$348),"")</f>
        <v>香梨一级</v>
      </c>
      <c r="H348" s="176">
        <f>IFERROR(IF([1]对账明细接口!$H$348=0,"",[1]对账明细接口!$H$348),"")</f>
        <v>248</v>
      </c>
      <c r="I348" s="16" t="str">
        <f>IFERROR(IF([1]对账明细接口!$I$348=0,"",[1]对账明细接口!$I$348),"")</f>
        <v>筐</v>
      </c>
      <c r="J348" s="177">
        <f>IFERROR(IF([1]对账明细接口!$J$348=0,"",[1]对账明细接口!$J$348),"")</f>
        <v>4538.4</v>
      </c>
      <c r="K348" s="177">
        <f>IFERROR(IF([1]对账明细接口!$K$348=0,"",[1]对账明细接口!$K$348),"")</f>
      </c>
      <c r="L348" s="16">
        <f>IFERROR(IF([1]对账明细接口!$L$348=0,"",[1]对账明细接口!$L$348),"")</f>
      </c>
      <c r="M348" s="16">
        <f>IFERROR(IF([1]对账明细接口!$M$348=0,"",[1]对账明细接口!$M$348),"")</f>
      </c>
      <c r="N348" s="19">
        <f>IF($C348="",0,1)</f>
        <v>1</v>
      </c>
      <c r="O348" s="19">
        <f>N(O347)+$N348</f>
        <v>345</v>
      </c>
      <c r="S348" s="20" t="str">
        <f>IFERROR(IF([1]对账明细接口!$N348=0,"",[1]对账明细接口!$N348),"")</f>
        <v>公司红周转筐</v>
      </c>
      <c r="T348" s="212">
        <f>IFERROR(IF([1]对账明细接口!$O348=0,"",[1]对账明细接口!$O348),"")</f>
      </c>
      <c r="U348" s="212">
        <f>IFERROR(IF([1]对账明细接口!$P348=0,"",[1]对账明细接口!$P348),"")</f>
      </c>
      <c r="V348" s="212">
        <f>IFERROR(IF([1]对账明细接口!$Q348=0,"",[1]对账明细接口!$Q348),"")</f>
        <v>248</v>
      </c>
      <c r="W348" s="20" t="str">
        <f>IFERROR(IF([1]对账明细接口!$R348=0,"",[1]对账明细接口!$R348),"")</f>
        <v>新F*75240</v>
      </c>
      <c r="X348" s="20" t="str">
        <f>IFERROR(IF([1]对账明细接口!$S348=0,"",[1]对账明细接口!$S348),"")</f>
        <v>公司筐</v>
      </c>
      <c r="Y348" s="20">
        <f>IFERROR(IF([1]对账明细接口!$T348=0,"",[1]对账明细接口!$T348),"")</f>
      </c>
      <c r="Z348" s="213">
        <f>IFERROR(IF([1]对账明细接口!$U348=0,"",[1]对账明细接口!$U348),"")</f>
      </c>
      <c r="AA348" s="213">
        <f>IFERROR(IF([1]对账明细接口!$V348=0,"",[1]对账明细接口!$V348),"")</f>
      </c>
      <c r="AB348" s="20">
        <f>IFERROR(IF([1]对账明细接口!$W348=0,"",[1]对账明细接口!$W348),"")</f>
      </c>
      <c r="AC348" s="7">
        <f>IFERROR(IF([1]对账明细接口!$X348=0,"",[1]对账明细接口!$X348),"")</f>
      </c>
      <c r="AD348" s="7">
        <f>IFERROR(IF([1]对账明细接口!$Y348=0,"",[1]对账明细接口!$Y348),"")</f>
      </c>
      <c r="AE348" s="7">
        <f>IFERROR(IF([1]对账明细接口!$AA348=0,"",[1]对账明细接口!$AA348),"")</f>
      </c>
      <c r="AF348" s="7">
        <f>IFERROR(IF([1]对账明细接口!$AB348=0,"",[1]对账明细接口!$AB348),"")</f>
      </c>
      <c r="AG348" s="7">
        <f>IFERROR(IF([1]对账明细接口!$AC348=0,"",[1]对账明细接口!$AC348),"")</f>
      </c>
      <c r="AH348" s="7">
        <f>IFERROR(IF([1]对账明细接口!$AD348=0,"",[1]对账明细接口!$AD348),"")</f>
      </c>
      <c r="AI348" s="7">
        <f>IFERROR(IF([1]对账明细接口!$AE348=0,"",[1]对账明细接口!$AE348),"")</f>
      </c>
      <c r="AJ348" s="7">
        <f>IFERROR(IF([1]对账明细接口!$AF348=0,"",[1]对账明细接口!$AF348),"")</f>
      </c>
    </row>
    <row r="349" ht="14.25" customHeight="1" s="127">
      <c r="A349" s="14" t="n">
        <v>349</v>
      </c>
      <c r="B349" s="211">
        <f>IFERROR(IF([1]对账明细接口!$B$349=0,"",[1]对账明细接口!$B$349),"")</f>
        <v>46286.0</v>
      </c>
      <c r="C349" s="16" t="str">
        <f>IFERROR(IF([1]对账明细接口!$C$349=0,"",[1]对账明细接口!$C$349),"")</f>
        <v>努尔敦</v>
      </c>
      <c r="D349" s="16" t="str">
        <f>IFERROR(IF([1]对账明细接口!$D$349=0,"",[1]对账明细接口!$D$349),"")</f>
        <v>原料入库</v>
      </c>
      <c r="E349" s="16" t="str">
        <f>IFERROR(IF([1]对账明细接口!$E$349=0,"",[1]对账明细接口!$E$349),"")</f>
        <v>NO:0000931</v>
      </c>
      <c r="F349" s="16" t="str">
        <f>IFERROR(IF([1]对账明细接口!$F$349=0,"",[1]对账明细接口!$F$349),"")</f>
        <v>香梨</v>
      </c>
      <c r="G349" s="16" t="str">
        <f>IFERROR(IF([1]对账明细接口!$G$349=0,"",[1]对账明细接口!$G$349),"")</f>
        <v>香梨二级</v>
      </c>
      <c r="H349" s="176">
        <f>IFERROR(IF([1]对账明细接口!$H$349=0,"",[1]对账明细接口!$H$349),"")</f>
        <v>187</v>
      </c>
      <c r="I349" s="16" t="str">
        <f>IFERROR(IF([1]对账明细接口!$I$349=0,"",[1]对账明细接口!$I$349),"")</f>
        <v>筐</v>
      </c>
      <c r="J349" s="177">
        <f>IFERROR(IF([1]对账明细接口!$J$349=0,"",[1]对账明细接口!$J$349),"")</f>
        <v>4207.5</v>
      </c>
      <c r="K349" s="177">
        <f>IFERROR(IF([1]对账明细接口!$K$349=0,"",[1]对账明细接口!$K$349),"")</f>
      </c>
      <c r="L349" s="16">
        <f>IFERROR(IF([1]对账明细接口!$L$349=0,"",[1]对账明细接口!$L$349),"")</f>
      </c>
      <c r="M349" s="16">
        <f>IFERROR(IF([1]对账明细接口!$M$349=0,"",[1]对账明细接口!$M$349),"")</f>
      </c>
      <c r="N349" s="19">
        <f>IF($C349="",0,1)</f>
        <v>1</v>
      </c>
      <c r="O349" s="19">
        <f>N(O348)+$N349</f>
        <v>346</v>
      </c>
      <c r="S349" s="20" t="str">
        <f>IFERROR(IF([1]对账明细接口!$N349=0,"",[1]对账明细接口!$N349),"")</f>
        <v>公司红周转筐</v>
      </c>
      <c r="T349" s="212">
        <f>IFERROR(IF([1]对账明细接口!$O349=0,"",[1]对账明细接口!$O349),"")</f>
      </c>
      <c r="U349" s="212">
        <f>IFERROR(IF([1]对账明细接口!$P349=0,"",[1]对账明细接口!$P349),"")</f>
      </c>
      <c r="V349" s="212">
        <f>IFERROR(IF([1]对账明细接口!$Q349=0,"",[1]对账明细接口!$Q349),"")</f>
        <v>187</v>
      </c>
      <c r="W349" s="20" t="str">
        <f>IFERROR(IF([1]对账明细接口!$R349=0,"",[1]对账明细接口!$R349),"")</f>
        <v>新F*75240</v>
      </c>
      <c r="X349" s="20" t="str">
        <f>IFERROR(IF([1]对账明细接口!$S349=0,"",[1]对账明细接口!$S349),"")</f>
        <v>公司筐</v>
      </c>
      <c r="Y349" s="20">
        <f>IFERROR(IF([1]对账明细接口!$T349=0,"",[1]对账明细接口!$T349),"")</f>
      </c>
      <c r="Z349" s="213">
        <f>IFERROR(IF([1]对账明细接口!$U349=0,"",[1]对账明细接口!$U349),"")</f>
      </c>
      <c r="AA349" s="213">
        <f>IFERROR(IF([1]对账明细接口!$V349=0,"",[1]对账明细接口!$V349),"")</f>
      </c>
      <c r="AB349" s="20">
        <f>IFERROR(IF([1]对账明细接口!$W349=0,"",[1]对账明细接口!$W349),"")</f>
      </c>
      <c r="AC349" s="7">
        <f>IFERROR(IF([1]对账明细接口!$X349=0,"",[1]对账明细接口!$X349),"")</f>
      </c>
      <c r="AD349" s="7">
        <f>IFERROR(IF([1]对账明细接口!$Y349=0,"",[1]对账明细接口!$Y349),"")</f>
      </c>
      <c r="AE349" s="7">
        <f>IFERROR(IF([1]对账明细接口!$AA349=0,"",[1]对账明细接口!$AA349),"")</f>
      </c>
      <c r="AF349" s="7">
        <f>IFERROR(IF([1]对账明细接口!$AB349=0,"",[1]对账明细接口!$AB349),"")</f>
      </c>
      <c r="AG349" s="7">
        <f>IFERROR(IF([1]对账明细接口!$AC349=0,"",[1]对账明细接口!$AC349),"")</f>
      </c>
      <c r="AH349" s="7">
        <f>IFERROR(IF([1]对账明细接口!$AD349=0,"",[1]对账明细接口!$AD349),"")</f>
      </c>
      <c r="AI349" s="7">
        <f>IFERROR(IF([1]对账明细接口!$AE349=0,"",[1]对账明细接口!$AE349),"")</f>
      </c>
      <c r="AJ349" s="7">
        <f>IFERROR(IF([1]对账明细接口!$AF349=0,"",[1]对账明细接口!$AF349),"")</f>
      </c>
    </row>
    <row r="350" ht="14.25" customHeight="1" s="127">
      <c r="A350" s="14" t="n">
        <v>350</v>
      </c>
      <c r="B350" s="211">
        <f>IFERROR(IF([1]对账明细接口!$B$350=0,"",[1]对账明细接口!$B$350),"")</f>
        <v>46286.0</v>
      </c>
      <c r="C350" s="16" t="str">
        <f>IFERROR(IF([1]对账明细接口!$C$350=0,"",[1]对账明细接口!$C$350),"")</f>
        <v>艾则孜</v>
      </c>
      <c r="D350" s="16" t="str">
        <f>IFERROR(IF([1]对账明细接口!$D$350=0,"",[1]对账明细接口!$D$350),"")</f>
        <v>原料入库</v>
      </c>
      <c r="E350" s="16" t="str">
        <f>IFERROR(IF([1]对账明细接口!$E$350=0,"",[1]对账明细接口!$E$350),"")</f>
        <v>NO:0000934</v>
      </c>
      <c r="F350" s="16" t="str">
        <f>IFERROR(IF([1]对账明细接口!$F$350=0,"",[1]对账明细接口!$F$350),"")</f>
        <v>香梨</v>
      </c>
      <c r="G350" s="16" t="str">
        <f>IFERROR(IF([1]对账明细接口!$G$350=0,"",[1]对账明细接口!$G$350),"")</f>
        <v>香梨一级</v>
      </c>
      <c r="H350" s="176">
        <f>IFERROR(IF([1]对账明细接口!$H$350=0,"",[1]对账明细接口!$H$350),"")</f>
        <v>340</v>
      </c>
      <c r="I350" s="16" t="str">
        <f>IFERROR(IF([1]对账明细接口!$I$350=0,"",[1]对账明细接口!$I$350),"")</f>
        <v>筐</v>
      </c>
      <c r="J350" s="177">
        <f>IFERROR(IF([1]对账明细接口!$J$350=0,"",[1]对账明细接口!$J$350),"")</f>
        <v>6562</v>
      </c>
      <c r="K350" s="177">
        <f>IFERROR(IF([1]对账明细接口!$K$350=0,"",[1]对账明细接口!$K$350),"")</f>
      </c>
      <c r="L350" s="16">
        <f>IFERROR(IF([1]对账明细接口!$L$350=0,"",[1]对账明细接口!$L$350),"")</f>
      </c>
      <c r="M350" s="16" t="str">
        <f>IFERROR(IF([1]对账明细接口!$M$350=0,"",[1]对账明细接口!$M$350),"")</f>
        <v>热合曼</v>
      </c>
      <c r="N350" s="19">
        <f>IF($C350="",0,1)</f>
        <v>1</v>
      </c>
      <c r="O350" s="19">
        <f>N(O349)+$N350</f>
        <v>347</v>
      </c>
      <c r="S350" s="20" t="str">
        <f>IFERROR(IF([1]对账明细接口!$N350=0,"",[1]对账明细接口!$N350),"")</f>
        <v>公司红周转筐</v>
      </c>
      <c r="T350" s="212">
        <f>IFERROR(IF([1]对账明细接口!$O350=0,"",[1]对账明细接口!$O350),"")</f>
      </c>
      <c r="U350" s="212">
        <f>IFERROR(IF([1]对账明细接口!$P350=0,"",[1]对账明细接口!$P350),"")</f>
      </c>
      <c r="V350" s="212">
        <f>IFERROR(IF([1]对账明细接口!$Q350=0,"",[1]对账明细接口!$Q350),"")</f>
        <v>340</v>
      </c>
      <c r="W350" s="20" t="str">
        <f>IFERROR(IF([1]对账明细接口!$R350=0,"",[1]对账明细接口!$R350),"")</f>
        <v>新R*37010</v>
      </c>
      <c r="X350" s="20" t="str">
        <f>IFERROR(IF([1]对账明细接口!$S350=0,"",[1]对账明细接口!$S350),"")</f>
        <v>公司筐</v>
      </c>
      <c r="Y350" s="20">
        <f>IFERROR(IF([1]对账明细接口!$T350=0,"",[1]对账明细接口!$T350),"")</f>
      </c>
      <c r="Z350" s="213">
        <f>IFERROR(IF([1]对账明细接口!$U350=0,"",[1]对账明细接口!$U350),"")</f>
      </c>
      <c r="AA350" s="213">
        <f>IFERROR(IF([1]对账明细接口!$V350=0,"",[1]对账明细接口!$V350),"")</f>
      </c>
      <c r="AB350" s="20">
        <f>IFERROR(IF([1]对账明细接口!$W350=0,"",[1]对账明细接口!$W350),"")</f>
      </c>
      <c r="AC350" s="7">
        <f>IFERROR(IF([1]对账明细接口!$X350=0,"",[1]对账明细接口!$X350),"")</f>
      </c>
      <c r="AD350" s="7">
        <f>IFERROR(IF([1]对账明细接口!$Y350=0,"",[1]对账明细接口!$Y350),"")</f>
      </c>
      <c r="AE350" s="7">
        <f>IFERROR(IF([1]对账明细接口!$AA350=0,"",[1]对账明细接口!$AA350),"")</f>
      </c>
      <c r="AF350" s="7">
        <f>IFERROR(IF([1]对账明细接口!$AB350=0,"",[1]对账明细接口!$AB350),"")</f>
      </c>
      <c r="AG350" s="7">
        <f>IFERROR(IF([1]对账明细接口!$AC350=0,"",[1]对账明细接口!$AC350),"")</f>
      </c>
      <c r="AH350" s="7">
        <f>IFERROR(IF([1]对账明细接口!$AD350=0,"",[1]对账明细接口!$AD350),"")</f>
      </c>
      <c r="AI350" s="7">
        <f>IFERROR(IF([1]对账明细接口!$AE350=0,"",[1]对账明细接口!$AE350),"")</f>
      </c>
      <c r="AJ350" s="7">
        <f>IFERROR(IF([1]对账明细接口!$AF350=0,"",[1]对账明细接口!$AF350),"")</f>
      </c>
    </row>
    <row r="351" ht="14.25" customHeight="1" s="127">
      <c r="A351" s="14" t="n">
        <v>351</v>
      </c>
      <c r="B351" s="211">
        <f>IFERROR(IF([1]对账明细接口!$B$351=0,"",[1]对账明细接口!$B$351),"")</f>
        <v>46286.0</v>
      </c>
      <c r="C351" s="16" t="str">
        <f>IFERROR(IF([1]对账明细接口!$C$351=0,"",[1]对账明细接口!$C$351),"")</f>
        <v>艾则孜</v>
      </c>
      <c r="D351" s="16" t="str">
        <f>IFERROR(IF([1]对账明细接口!$D$351=0,"",[1]对账明细接口!$D$351),"")</f>
        <v>原料入库</v>
      </c>
      <c r="E351" s="16" t="str">
        <f>IFERROR(IF([1]对账明细接口!$E$351=0,"",[1]对账明细接口!$E$351),"")</f>
        <v>NO:0000934</v>
      </c>
      <c r="F351" s="16" t="str">
        <f>IFERROR(IF([1]对账明细接口!$F$351=0,"",[1]对账明细接口!$F$351),"")</f>
        <v>香梨</v>
      </c>
      <c r="G351" s="16" t="str">
        <f>IFERROR(IF([1]对账明细接口!$G$351=0,"",[1]对账明细接口!$G$351),"")</f>
        <v>香梨二级</v>
      </c>
      <c r="H351" s="176">
        <f>IFERROR(IF([1]对账明细接口!$H$351=0,"",[1]对账明细接口!$H$351),"")</f>
        <v>74</v>
      </c>
      <c r="I351" s="16" t="str">
        <f>IFERROR(IF([1]对账明细接口!$I$351=0,"",[1]对账明细接口!$I$351),"")</f>
        <v>筐</v>
      </c>
      <c r="J351" s="177">
        <f>IFERROR(IF([1]对账明细接口!$J$351=0,"",[1]对账明细接口!$J$351),"")</f>
        <v>1650.2</v>
      </c>
      <c r="K351" s="177">
        <f>IFERROR(IF([1]对账明细接口!$K$351=0,"",[1]对账明细接口!$K$351),"")</f>
      </c>
      <c r="L351" s="16">
        <f>IFERROR(IF([1]对账明细接口!$L$351=0,"",[1]对账明细接口!$L$351),"")</f>
      </c>
      <c r="M351" s="16" t="str">
        <f>IFERROR(IF([1]对账明细接口!$M$351=0,"",[1]对账明细接口!$M$351),"")</f>
        <v>热合曼</v>
      </c>
      <c r="N351" s="19">
        <f>IF($C351="",0,1)</f>
        <v>1</v>
      </c>
      <c r="O351" s="19">
        <f>N(O350)+$N351</f>
        <v>348</v>
      </c>
      <c r="S351" s="20" t="str">
        <f>IFERROR(IF([1]对账明细接口!$N351=0,"",[1]对账明细接口!$N351),"")</f>
        <v>公司红周转筐</v>
      </c>
      <c r="T351" s="212">
        <f>IFERROR(IF([1]对账明细接口!$O351=0,"",[1]对账明细接口!$O351),"")</f>
      </c>
      <c r="U351" s="212">
        <f>IFERROR(IF([1]对账明细接口!$P351=0,"",[1]对账明细接口!$P351),"")</f>
      </c>
      <c r="V351" s="212">
        <f>IFERROR(IF([1]对账明细接口!$Q351=0,"",[1]对账明细接口!$Q351),"")</f>
        <v>74</v>
      </c>
      <c r="W351" s="20" t="str">
        <f>IFERROR(IF([1]对账明细接口!$R351=0,"",[1]对账明细接口!$R351),"")</f>
        <v>新R*37010</v>
      </c>
      <c r="X351" s="20" t="str">
        <f>IFERROR(IF([1]对账明细接口!$S351=0,"",[1]对账明细接口!$S351),"")</f>
        <v>公司筐</v>
      </c>
      <c r="Y351" s="20">
        <f>IFERROR(IF([1]对账明细接口!$T351=0,"",[1]对账明细接口!$T351),"")</f>
      </c>
      <c r="Z351" s="213">
        <f>IFERROR(IF([1]对账明细接口!$U351=0,"",[1]对账明细接口!$U351),"")</f>
      </c>
      <c r="AA351" s="213">
        <f>IFERROR(IF([1]对账明细接口!$V351=0,"",[1]对账明细接口!$V351),"")</f>
      </c>
      <c r="AB351" s="20">
        <f>IFERROR(IF([1]对账明细接口!$W351=0,"",[1]对账明细接口!$W351),"")</f>
      </c>
      <c r="AC351" s="7">
        <f>IFERROR(IF([1]对账明细接口!$X351=0,"",[1]对账明细接口!$X351),"")</f>
      </c>
      <c r="AD351" s="7">
        <f>IFERROR(IF([1]对账明细接口!$Y351=0,"",[1]对账明细接口!$Y351),"")</f>
      </c>
      <c r="AE351" s="7">
        <f>IFERROR(IF([1]对账明细接口!$AA351=0,"",[1]对账明细接口!$AA351),"")</f>
      </c>
      <c r="AF351" s="7">
        <f>IFERROR(IF([1]对账明细接口!$AB351=0,"",[1]对账明细接口!$AB351),"")</f>
      </c>
      <c r="AG351" s="7">
        <f>IFERROR(IF([1]对账明细接口!$AC351=0,"",[1]对账明细接口!$AC351),"")</f>
      </c>
      <c r="AH351" s="7">
        <f>IFERROR(IF([1]对账明细接口!$AD351=0,"",[1]对账明细接口!$AD351),"")</f>
      </c>
      <c r="AI351" s="7">
        <f>IFERROR(IF([1]对账明细接口!$AE351=0,"",[1]对账明细接口!$AE351),"")</f>
      </c>
      <c r="AJ351" s="7">
        <f>IFERROR(IF([1]对账明细接口!$AF351=0,"",[1]对账明细接口!$AF351),"")</f>
      </c>
    </row>
    <row r="352" ht="14.25" customHeight="1" s="127">
      <c r="A352" s="14" t="n">
        <v>352</v>
      </c>
      <c r="B352" s="211">
        <f>IFERROR(IF([1]对账明细接口!$B$352=0,"",[1]对账明细接口!$B$352),"")</f>
        <v>46286.0</v>
      </c>
      <c r="C352" s="16" t="str">
        <f>IFERROR(IF([1]对账明细接口!$C$352=0,"",[1]对账明细接口!$C$352),"")</f>
        <v>艾则孜</v>
      </c>
      <c r="D352" s="16" t="str">
        <f>IFERROR(IF([1]对账明细接口!$D$352=0,"",[1]对账明细接口!$D$352),"")</f>
        <v>原料入库</v>
      </c>
      <c r="E352" s="16" t="str">
        <f>IFERROR(IF([1]对账明细接口!$E$352=0,"",[1]对账明细接口!$E$352),"")</f>
        <v>NO:0000934</v>
      </c>
      <c r="F352" s="16" t="str">
        <f>IFERROR(IF([1]对账明细接口!$F$352=0,"",[1]对账明细接口!$F$352),"")</f>
        <v>香梨</v>
      </c>
      <c r="G352" s="16" t="str">
        <f>IFERROR(IF([1]对账明细接口!$G$352=0,"",[1]对账明细接口!$G$352),"")</f>
        <v>香梨副特</v>
      </c>
      <c r="H352" s="176">
        <f>IFERROR(IF([1]对账明细接口!$H$352=0,"",[1]对账明细接口!$H$352),"")</f>
        <v>155</v>
      </c>
      <c r="I352" s="16" t="str">
        <f>IFERROR(IF([1]对账明细接口!$I$352=0,"",[1]对账明细接口!$I$352),"")</f>
        <v>筐</v>
      </c>
      <c r="J352" s="177">
        <f>IFERROR(IF([1]对账明细接口!$J$352=0,"",[1]对账明细接口!$J$352),"")</f>
        <v>2991.5</v>
      </c>
      <c r="K352" s="177">
        <f>IFERROR(IF([1]对账明细接口!$K$352=0,"",[1]对账明细接口!$K$352),"")</f>
      </c>
      <c r="L352" s="16">
        <f>IFERROR(IF([1]对账明细接口!$L$352=0,"",[1]对账明细接口!$L$352),"")</f>
      </c>
      <c r="M352" s="16" t="str">
        <f>IFERROR(IF([1]对账明细接口!$M$352=0,"",[1]对账明细接口!$M$352),"")</f>
        <v>热合曼</v>
      </c>
      <c r="N352" s="19">
        <f>IF($C352="",0,1)</f>
        <v>1</v>
      </c>
      <c r="O352" s="19">
        <f>N(O351)+$N352</f>
        <v>349</v>
      </c>
      <c r="S352" s="20" t="str">
        <f>IFERROR(IF([1]对账明细接口!$N352=0,"",[1]对账明细接口!$N352),"")</f>
        <v>公司红周转筐</v>
      </c>
      <c r="T352" s="212">
        <f>IFERROR(IF([1]对账明细接口!$O352=0,"",[1]对账明细接口!$O352),"")</f>
      </c>
      <c r="U352" s="212">
        <f>IFERROR(IF([1]对账明细接口!$P352=0,"",[1]对账明细接口!$P352),"")</f>
      </c>
      <c r="V352" s="212">
        <f>IFERROR(IF([1]对账明细接口!$Q352=0,"",[1]对账明细接口!$Q352),"")</f>
        <v>155</v>
      </c>
      <c r="W352" s="20" t="str">
        <f>IFERROR(IF([1]对账明细接口!$R352=0,"",[1]对账明细接口!$R352),"")</f>
        <v>新R*37010</v>
      </c>
      <c r="X352" s="20" t="str">
        <f>IFERROR(IF([1]对账明细接口!$S352=0,"",[1]对账明细接口!$S352),"")</f>
        <v>公司筐</v>
      </c>
      <c r="Y352" s="20">
        <f>IFERROR(IF([1]对账明细接口!$T352=0,"",[1]对账明细接口!$T352),"")</f>
      </c>
      <c r="Z352" s="213">
        <f>IFERROR(IF([1]对账明细接口!$U352=0,"",[1]对账明细接口!$U352),"")</f>
      </c>
      <c r="AA352" s="213">
        <f>IFERROR(IF([1]对账明细接口!$V352=0,"",[1]对账明细接口!$V352),"")</f>
      </c>
      <c r="AB352" s="20">
        <f>IFERROR(IF([1]对账明细接口!$W352=0,"",[1]对账明细接口!$W352),"")</f>
      </c>
      <c r="AC352" s="7">
        <f>IFERROR(IF([1]对账明细接口!$X352=0,"",[1]对账明细接口!$X352),"")</f>
      </c>
      <c r="AD352" s="7">
        <f>IFERROR(IF([1]对账明细接口!$Y352=0,"",[1]对账明细接口!$Y352),"")</f>
      </c>
      <c r="AE352" s="7">
        <f>IFERROR(IF([1]对账明细接口!$AA352=0,"",[1]对账明细接口!$AA352),"")</f>
      </c>
      <c r="AF352" s="7">
        <f>IFERROR(IF([1]对账明细接口!$AB352=0,"",[1]对账明细接口!$AB352),"")</f>
      </c>
      <c r="AG352" s="7">
        <f>IFERROR(IF([1]对账明细接口!$AC352=0,"",[1]对账明细接口!$AC352),"")</f>
      </c>
      <c r="AH352" s="7">
        <f>IFERROR(IF([1]对账明细接口!$AD352=0,"",[1]对账明细接口!$AD352),"")</f>
      </c>
      <c r="AI352" s="7">
        <f>IFERROR(IF([1]对账明细接口!$AE352=0,"",[1]对账明细接口!$AE352),"")</f>
      </c>
      <c r="AJ352" s="7">
        <f>IFERROR(IF([1]对账明细接口!$AF352=0,"",[1]对账明细接口!$AF352),"")</f>
      </c>
    </row>
    <row r="353" ht="14.25" customHeight="1" s="127">
      <c r="A353" s="14" t="n">
        <v>353</v>
      </c>
      <c r="B353" s="211">
        <f>IFERROR(IF([1]对账明细接口!$B$353=0,"",[1]对账明细接口!$B$353),"")</f>
        <v>46286.0</v>
      </c>
      <c r="C353" s="16" t="str">
        <f>IFERROR(IF([1]对账明细接口!$C$353=0,"",[1]对账明细接口!$C$353),"")</f>
        <v>王照雪</v>
      </c>
      <c r="D353" s="16" t="str">
        <f>IFERROR(IF([1]对账明细接口!$D$353=0,"",[1]对账明细接口!$D$353),"")</f>
        <v>原料入库</v>
      </c>
      <c r="E353" s="16" t="str">
        <f>IFERROR(IF([1]对账明细接口!$E$353=0,"",[1]对账明细接口!$E$353),"")</f>
        <v>NO:0000935</v>
      </c>
      <c r="F353" s="16" t="str">
        <f>IFERROR(IF([1]对账明细接口!$F$353=0,"",[1]对账明细接口!$F$353),"")</f>
        <v>香梨</v>
      </c>
      <c r="G353" s="16" t="str">
        <f>IFERROR(IF([1]对账明细接口!$G$353=0,"",[1]对账明细接口!$G$353),"")</f>
        <v>香梨一级</v>
      </c>
      <c r="H353" s="176">
        <f>IFERROR(IF([1]对账明细接口!$H$353=0,"",[1]对账明细接口!$H$353),"")</f>
        <v>175</v>
      </c>
      <c r="I353" s="16" t="str">
        <f>IFERROR(IF([1]对账明细接口!$I$353=0,"",[1]对账明细接口!$I$353),"")</f>
        <v>筐</v>
      </c>
      <c r="J353" s="177">
        <f>IFERROR(IF([1]对账明细接口!$J$353=0,"",[1]对账明细接口!$J$353),"")</f>
        <v>3412.5</v>
      </c>
      <c r="K353" s="177">
        <f>IFERROR(IF([1]对账明细接口!$K$353=0,"",[1]对账明细接口!$K$353),"")</f>
      </c>
      <c r="L353" s="16">
        <f>IFERROR(IF([1]对账明细接口!$L$353=0,"",[1]对账明细接口!$L$353),"")</f>
      </c>
      <c r="M353" s="16">
        <f>IFERROR(IF([1]对账明细接口!$M$353=0,"",[1]对账明细接口!$M$353),"")</f>
      </c>
      <c r="N353" s="19">
        <f>IF($C353="",0,1)</f>
        <v>1</v>
      </c>
      <c r="O353" s="19">
        <f>N(O352)+$N353</f>
        <v>350</v>
      </c>
      <c r="S353" s="20" t="str">
        <f>IFERROR(IF([1]对账明细接口!$N353=0,"",[1]对账明细接口!$N353),"")</f>
        <v>公司一次性筐</v>
      </c>
      <c r="T353" s="212">
        <f>IFERROR(IF([1]对账明细接口!$O353=0,"",[1]对账明细接口!$O353),"")</f>
      </c>
      <c r="U353" s="212">
        <f>IFERROR(IF([1]对账明细接口!$P353=0,"",[1]对账明细接口!$P353),"")</f>
      </c>
      <c r="V353" s="212">
        <f>IFERROR(IF([1]对账明细接口!$Q353=0,"",[1]对账明细接口!$Q353),"")</f>
        <v>175</v>
      </c>
      <c r="W353" s="20" t="str">
        <f>IFERROR(IF([1]对账明细接口!$R353=0,"",[1]对账明细接口!$R353),"")</f>
        <v>豫L*88X19</v>
      </c>
      <c r="X353" s="20" t="str">
        <f>IFERROR(IF([1]对账明细接口!$S353=0,"",[1]对账明细接口!$S353),"")</f>
        <v>公司筐</v>
      </c>
      <c r="Y353" s="20">
        <f>IFERROR(IF([1]对账明细接口!$T353=0,"",[1]对账明细接口!$T353),"")</f>
      </c>
      <c r="Z353" s="213">
        <f>IFERROR(IF([1]对账明细接口!$U353=0,"",[1]对账明细接口!$U353),"")</f>
      </c>
      <c r="AA353" s="213">
        <f>IFERROR(IF([1]对账明细接口!$V353=0,"",[1]对账明细接口!$V353),"")</f>
      </c>
      <c r="AB353" s="20">
        <f>IFERROR(IF([1]对账明细接口!$W353=0,"",[1]对账明细接口!$W353),"")</f>
      </c>
      <c r="AC353" s="7">
        <f>IFERROR(IF([1]对账明细接口!$X353=0,"",[1]对账明细接口!$X353),"")</f>
      </c>
      <c r="AD353" s="7">
        <f>IFERROR(IF([1]对账明细接口!$Y353=0,"",[1]对账明细接口!$Y353),"")</f>
      </c>
      <c r="AE353" s="7">
        <f>IFERROR(IF([1]对账明细接口!$AA353=0,"",[1]对账明细接口!$AA353),"")</f>
      </c>
      <c r="AF353" s="7">
        <f>IFERROR(IF([1]对账明细接口!$AB353=0,"",[1]对账明细接口!$AB353),"")</f>
      </c>
      <c r="AG353" s="7">
        <f>IFERROR(IF([1]对账明细接口!$AC353=0,"",[1]对账明细接口!$AC353),"")</f>
      </c>
      <c r="AH353" s="7">
        <f>IFERROR(IF([1]对账明细接口!$AD353=0,"",[1]对账明细接口!$AD353),"")</f>
      </c>
      <c r="AI353" s="7">
        <f>IFERROR(IF([1]对账明细接口!$AE353=0,"",[1]对账明细接口!$AE353),"")</f>
      </c>
      <c r="AJ353" s="7">
        <f>IFERROR(IF([1]对账明细接口!$AF353=0,"",[1]对账明细接口!$AF353),"")</f>
      </c>
    </row>
    <row r="354" ht="14.25" customHeight="1" s="127">
      <c r="A354" s="14" t="n">
        <v>354</v>
      </c>
      <c r="B354" s="211">
        <f>IFERROR(IF([1]对账明细接口!$B$354=0,"",[1]对账明细接口!$B$354),"")</f>
        <v>46286.0</v>
      </c>
      <c r="C354" s="16" t="str">
        <f>IFERROR(IF([1]对账明细接口!$C$354=0,"",[1]对账明细接口!$C$354),"")</f>
        <v>王照雪</v>
      </c>
      <c r="D354" s="16" t="str">
        <f>IFERROR(IF([1]对账明细接口!$D$354=0,"",[1]对账明细接口!$D$354),"")</f>
        <v>原料入库</v>
      </c>
      <c r="E354" s="16" t="str">
        <f>IFERROR(IF([1]对账明细接口!$E$354=0,"",[1]对账明细接口!$E$354),"")</f>
        <v>NO:0000935</v>
      </c>
      <c r="F354" s="16" t="str">
        <f>IFERROR(IF([1]对账明细接口!$F$354=0,"",[1]对账明细接口!$F$354),"")</f>
        <v>香梨</v>
      </c>
      <c r="G354" s="16" t="str">
        <f>IFERROR(IF([1]对账明细接口!$G$354=0,"",[1]对账明细接口!$G$354),"")</f>
        <v>香梨二级</v>
      </c>
      <c r="H354" s="176">
        <f>IFERROR(IF([1]对账明细接口!$H$354=0,"",[1]对账明细接口!$H$354),"")</f>
        <v>21</v>
      </c>
      <c r="I354" s="16" t="str">
        <f>IFERROR(IF([1]对账明细接口!$I$354=0,"",[1]对账明细接口!$I$354),"")</f>
        <v>筐</v>
      </c>
      <c r="J354" s="177">
        <f>IFERROR(IF([1]对账明细接口!$J$354=0,"",[1]对账明细接口!$J$354),"")</f>
        <v>472.5</v>
      </c>
      <c r="K354" s="177">
        <f>IFERROR(IF([1]对账明细接口!$K$354=0,"",[1]对账明细接口!$K$354),"")</f>
      </c>
      <c r="L354" s="16">
        <f>IFERROR(IF([1]对账明细接口!$L$354=0,"",[1]对账明细接口!$L$354),"")</f>
      </c>
      <c r="M354" s="16">
        <f>IFERROR(IF([1]对账明细接口!$M$354=0,"",[1]对账明细接口!$M$354),"")</f>
      </c>
      <c r="N354" s="19">
        <f>IF($C354="",0,1)</f>
        <v>1</v>
      </c>
      <c r="O354" s="19">
        <f>N(O353)+$N354</f>
        <v>351</v>
      </c>
      <c r="S354" s="20" t="str">
        <f>IFERROR(IF([1]对账明细接口!$N354=0,"",[1]对账明细接口!$N354),"")</f>
        <v>公司一次性筐</v>
      </c>
      <c r="T354" s="212">
        <f>IFERROR(IF([1]对账明细接口!$O354=0,"",[1]对账明细接口!$O354),"")</f>
      </c>
      <c r="U354" s="212">
        <f>IFERROR(IF([1]对账明细接口!$P354=0,"",[1]对账明细接口!$P354),"")</f>
      </c>
      <c r="V354" s="212">
        <f>IFERROR(IF([1]对账明细接口!$Q354=0,"",[1]对账明细接口!$Q354),"")</f>
        <v>21</v>
      </c>
      <c r="W354" s="20" t="str">
        <f>IFERROR(IF([1]对账明细接口!$R354=0,"",[1]对账明细接口!$R354),"")</f>
        <v>豫L*88X19</v>
      </c>
      <c r="X354" s="20" t="str">
        <f>IFERROR(IF([1]对账明细接口!$S354=0,"",[1]对账明细接口!$S354),"")</f>
        <v>公司筐</v>
      </c>
      <c r="Y354" s="20">
        <f>IFERROR(IF([1]对账明细接口!$T354=0,"",[1]对账明细接口!$T354),"")</f>
      </c>
      <c r="Z354" s="213">
        <f>IFERROR(IF([1]对账明细接口!$U354=0,"",[1]对账明细接口!$U354),"")</f>
      </c>
      <c r="AA354" s="213">
        <f>IFERROR(IF([1]对账明细接口!$V354=0,"",[1]对账明细接口!$V354),"")</f>
      </c>
      <c r="AB354" s="20">
        <f>IFERROR(IF([1]对账明细接口!$W354=0,"",[1]对账明细接口!$W354),"")</f>
      </c>
      <c r="AC354" s="7">
        <f>IFERROR(IF([1]对账明细接口!$X354=0,"",[1]对账明细接口!$X354),"")</f>
      </c>
      <c r="AD354" s="7">
        <f>IFERROR(IF([1]对账明细接口!$Y354=0,"",[1]对账明细接口!$Y354),"")</f>
      </c>
      <c r="AE354" s="7">
        <f>IFERROR(IF([1]对账明细接口!$AA354=0,"",[1]对账明细接口!$AA354),"")</f>
      </c>
      <c r="AF354" s="7">
        <f>IFERROR(IF([1]对账明细接口!$AB354=0,"",[1]对账明细接口!$AB354),"")</f>
      </c>
      <c r="AG354" s="7">
        <f>IFERROR(IF([1]对账明细接口!$AC354=0,"",[1]对账明细接口!$AC354),"")</f>
      </c>
      <c r="AH354" s="7">
        <f>IFERROR(IF([1]对账明细接口!$AD354=0,"",[1]对账明细接口!$AD354),"")</f>
      </c>
      <c r="AI354" s="7">
        <f>IFERROR(IF([1]对账明细接口!$AE354=0,"",[1]对账明细接口!$AE354),"")</f>
      </c>
      <c r="AJ354" s="7">
        <f>IFERROR(IF([1]对账明细接口!$AF354=0,"",[1]对账明细接口!$AF354),"")</f>
      </c>
    </row>
    <row r="355" ht="14.25" customHeight="1" s="127">
      <c r="A355" s="14" t="n">
        <v>355</v>
      </c>
      <c r="B355" s="211">
        <f>IFERROR(IF([1]对账明细接口!$B$355=0,"",[1]对账明细接口!$B$355),"")</f>
        <v>46286.0</v>
      </c>
      <c r="C355" s="16" t="str">
        <f>IFERROR(IF([1]对账明细接口!$C$355=0,"",[1]对账明细接口!$C$355),"")</f>
        <v>王照雪</v>
      </c>
      <c r="D355" s="16" t="str">
        <f>IFERROR(IF([1]对账明细接口!$D$355=0,"",[1]对账明细接口!$D$355),"")</f>
        <v>原料入库</v>
      </c>
      <c r="E355" s="16" t="str">
        <f>IFERROR(IF([1]对账明细接口!$E$355=0,"",[1]对账明细接口!$E$355),"")</f>
        <v>NO:0000935</v>
      </c>
      <c r="F355" s="16" t="str">
        <f>IFERROR(IF([1]对账明细接口!$F$355=0,"",[1]对账明细接口!$F$355),"")</f>
        <v>香梨</v>
      </c>
      <c r="G355" s="16" t="str">
        <f>IFERROR(IF([1]对账明细接口!$G$355=0,"",[1]对账明细接口!$G$355),"")</f>
        <v>香梨副特</v>
      </c>
      <c r="H355" s="176">
        <f>IFERROR(IF([1]对账明细接口!$H$355=0,"",[1]对账明细接口!$H$355),"")</f>
        <v>133</v>
      </c>
      <c r="I355" s="16" t="str">
        <f>IFERROR(IF([1]对账明细接口!$I$355=0,"",[1]对账明细接口!$I$355),"")</f>
        <v>筐</v>
      </c>
      <c r="J355" s="177">
        <f>IFERROR(IF([1]对账明细接口!$J$355=0,"",[1]对账明细接口!$J$355),"")</f>
        <v>2593.5</v>
      </c>
      <c r="K355" s="177">
        <f>IFERROR(IF([1]对账明细接口!$K$355=0,"",[1]对账明细接口!$K$355),"")</f>
      </c>
      <c r="L355" s="16">
        <f>IFERROR(IF([1]对账明细接口!$L$355=0,"",[1]对账明细接口!$L$355),"")</f>
      </c>
      <c r="M355" s="16">
        <f>IFERROR(IF([1]对账明细接口!$M$355=0,"",[1]对账明细接口!$M$355),"")</f>
      </c>
      <c r="N355" s="19">
        <f>IF($C355="",0,1)</f>
        <v>1</v>
      </c>
      <c r="O355" s="19">
        <f>N(O354)+$N355</f>
        <v>352</v>
      </c>
      <c r="S355" s="20" t="str">
        <f>IFERROR(IF([1]对账明细接口!$N355=0,"",[1]对账明细接口!$N355),"")</f>
        <v>公司一次性筐</v>
      </c>
      <c r="T355" s="212">
        <f>IFERROR(IF([1]对账明细接口!$O355=0,"",[1]对账明细接口!$O355),"")</f>
      </c>
      <c r="U355" s="212">
        <f>IFERROR(IF([1]对账明细接口!$P355=0,"",[1]对账明细接口!$P355),"")</f>
      </c>
      <c r="V355" s="212">
        <f>IFERROR(IF([1]对账明细接口!$Q355=0,"",[1]对账明细接口!$Q355),"")</f>
        <v>133</v>
      </c>
      <c r="W355" s="20" t="str">
        <f>IFERROR(IF([1]对账明细接口!$R355=0,"",[1]对账明细接口!$R355),"")</f>
        <v>豫L*88X19</v>
      </c>
      <c r="X355" s="20" t="str">
        <f>IFERROR(IF([1]对账明细接口!$S355=0,"",[1]对账明细接口!$S355),"")</f>
        <v>公司筐</v>
      </c>
      <c r="Y355" s="20">
        <f>IFERROR(IF([1]对账明细接口!$T355=0,"",[1]对账明细接口!$T355),"")</f>
      </c>
      <c r="Z355" s="213">
        <f>IFERROR(IF([1]对账明细接口!$U355=0,"",[1]对账明细接口!$U355),"")</f>
      </c>
      <c r="AA355" s="213">
        <f>IFERROR(IF([1]对账明细接口!$V355=0,"",[1]对账明细接口!$V355),"")</f>
      </c>
      <c r="AB355" s="20">
        <f>IFERROR(IF([1]对账明细接口!$W355=0,"",[1]对账明细接口!$W355),"")</f>
      </c>
      <c r="AC355" s="7">
        <f>IFERROR(IF([1]对账明细接口!$X355=0,"",[1]对账明细接口!$X355),"")</f>
      </c>
      <c r="AD355" s="7">
        <f>IFERROR(IF([1]对账明细接口!$Y355=0,"",[1]对账明细接口!$Y355),"")</f>
      </c>
      <c r="AE355" s="7">
        <f>IFERROR(IF([1]对账明细接口!$AA355=0,"",[1]对账明细接口!$AA355),"")</f>
      </c>
      <c r="AF355" s="7">
        <f>IFERROR(IF([1]对账明细接口!$AB355=0,"",[1]对账明细接口!$AB355),"")</f>
      </c>
      <c r="AG355" s="7">
        <f>IFERROR(IF([1]对账明细接口!$AC355=0,"",[1]对账明细接口!$AC355),"")</f>
      </c>
      <c r="AH355" s="7">
        <f>IFERROR(IF([1]对账明细接口!$AD355=0,"",[1]对账明细接口!$AD355),"")</f>
      </c>
      <c r="AI355" s="7">
        <f>IFERROR(IF([1]对账明细接口!$AE355=0,"",[1]对账明细接口!$AE355),"")</f>
      </c>
      <c r="AJ355" s="7">
        <f>IFERROR(IF([1]对账明细接口!$AF355=0,"",[1]对账明细接口!$AF355),"")</f>
      </c>
    </row>
    <row r="356" ht="14.25" customHeight="1" s="127">
      <c r="A356" s="14" t="n">
        <v>356</v>
      </c>
      <c r="B356" s="211">
        <f>IFERROR(IF([1]对账明细接口!$B$356=0,"",[1]对账明细接口!$B$356),"")</f>
        <v>46286.0</v>
      </c>
      <c r="C356" s="16" t="str">
        <f>IFERROR(IF([1]对账明细接口!$C$356=0,"",[1]对账明细接口!$C$356),"")</f>
        <v>马锦祥</v>
      </c>
      <c r="D356" s="16" t="str">
        <f>IFERROR(IF([1]对账明细接口!$D$356=0,"",[1]对账明细接口!$D$356),"")</f>
        <v>原料入库</v>
      </c>
      <c r="E356" s="16" t="str">
        <f>IFERROR(IF([1]对账明细接口!$E$356=0,"",[1]对账明细接口!$E$356),"")</f>
        <v>NO:0000936</v>
      </c>
      <c r="F356" s="16" t="str">
        <f>IFERROR(IF([1]对账明细接口!$F$356=0,"",[1]对账明细接口!$F$356),"")</f>
        <v>苹果</v>
      </c>
      <c r="G356" s="16" t="str">
        <f>IFERROR(IF([1]对账明细接口!$G$356=0,"",[1]对账明细接口!$G$356),"")</f>
        <v>早富士一级</v>
      </c>
      <c r="H356" s="176">
        <f>IFERROR(IF([1]对账明细接口!$H$356=0,"",[1]对账明细接口!$H$356),"")</f>
        <v>35</v>
      </c>
      <c r="I356" s="16" t="str">
        <f>IFERROR(IF([1]对账明细接口!$I$356=0,"",[1]对账明细接口!$I$356),"")</f>
        <v>筐</v>
      </c>
      <c r="J356" s="177">
        <f>IFERROR(IF([1]对账明细接口!$J$356=0,"",[1]对账明细接口!$J$356),"")</f>
        <v>605.5</v>
      </c>
      <c r="K356" s="177">
        <f>IFERROR(IF([1]对账明细接口!$K$356=0,"",[1]对账明细接口!$K$356),"")</f>
      </c>
      <c r="L356" s="16">
        <f>IFERROR(IF([1]对账明细接口!$L$356=0,"",[1]对账明细接口!$L$356),"")</f>
      </c>
      <c r="M356" s="16">
        <f>IFERROR(IF([1]对账明细接口!$M$356=0,"",[1]对账明细接口!$M$356),"")</f>
      </c>
      <c r="N356" s="19">
        <f>IF($C356="",0,1)</f>
        <v>1</v>
      </c>
      <c r="O356" s="19">
        <f>N(O355)+$N356</f>
        <v>353</v>
      </c>
      <c r="S356" s="20" t="str">
        <f>IFERROR(IF([1]对账明细接口!$N356=0,"",[1]对账明细接口!$N356),"")</f>
        <v>公司杂周转筐</v>
      </c>
      <c r="T356" s="212">
        <f>IFERROR(IF([1]对账明细接口!$O356=0,"",[1]对账明细接口!$O356),"")</f>
      </c>
      <c r="U356" s="212">
        <f>IFERROR(IF([1]对账明细接口!$P356=0,"",[1]对账明细接口!$P356),"")</f>
      </c>
      <c r="V356" s="212">
        <f>IFERROR(IF([1]对账明细接口!$Q356=0,"",[1]对账明细接口!$Q356),"")</f>
        <v>35</v>
      </c>
      <c r="W356" s="20" t="str">
        <f>IFERROR(IF([1]对账明细接口!$R356=0,"",[1]对账明细接口!$R356),"")</f>
        <v>新N*B6R39</v>
      </c>
      <c r="X356" s="20" t="str">
        <f>IFERROR(IF([1]对账明细接口!$S356=0,"",[1]对账明细接口!$S356),"")</f>
        <v>公司筐</v>
      </c>
      <c r="Y356" s="20">
        <f>IFERROR(IF([1]对账明细接口!$T356=0,"",[1]对账明细接口!$T356),"")</f>
      </c>
      <c r="Z356" s="213">
        <f>IFERROR(IF([1]对账明细接口!$U356=0,"",[1]对账明细接口!$U356),"")</f>
      </c>
      <c r="AA356" s="213">
        <f>IFERROR(IF([1]对账明细接口!$V356=0,"",[1]对账明细接口!$V356),"")</f>
      </c>
      <c r="AB356" s="20">
        <f>IFERROR(IF([1]对账明细接口!$W356=0,"",[1]对账明细接口!$W356),"")</f>
      </c>
      <c r="AC356" s="7">
        <f>IFERROR(IF([1]对账明细接口!$X356=0,"",[1]对账明细接口!$X356),"")</f>
      </c>
      <c r="AD356" s="7">
        <f>IFERROR(IF([1]对账明细接口!$Y356=0,"",[1]对账明细接口!$Y356),"")</f>
      </c>
      <c r="AE356" s="7">
        <f>IFERROR(IF([1]对账明细接口!$AA356=0,"",[1]对账明细接口!$AA356),"")</f>
      </c>
      <c r="AF356" s="7">
        <f>IFERROR(IF([1]对账明细接口!$AB356=0,"",[1]对账明细接口!$AB356),"")</f>
      </c>
      <c r="AG356" s="7">
        <f>IFERROR(IF([1]对账明细接口!$AC356=0,"",[1]对账明细接口!$AC356),"")</f>
      </c>
      <c r="AH356" s="7">
        <f>IFERROR(IF([1]对账明细接口!$AD356=0,"",[1]对账明细接口!$AD356),"")</f>
      </c>
      <c r="AI356" s="7">
        <f>IFERROR(IF([1]对账明细接口!$AE356=0,"",[1]对账明细接口!$AE356),"")</f>
      </c>
      <c r="AJ356" s="7">
        <f>IFERROR(IF([1]对账明细接口!$AF356=0,"",[1]对账明细接口!$AF356),"")</f>
      </c>
    </row>
    <row r="357" ht="14.25" customHeight="1" s="127">
      <c r="A357" s="14" t="n">
        <v>357</v>
      </c>
      <c r="B357" s="211">
        <f>IFERROR(IF([1]对账明细接口!$B$357=0,"",[1]对账明细接口!$B$357),"")</f>
        <v>46286.0</v>
      </c>
      <c r="C357" s="16" t="str">
        <f>IFERROR(IF([1]对账明细接口!$C$357=0,"",[1]对账明细接口!$C$357),"")</f>
        <v>马锦祥</v>
      </c>
      <c r="D357" s="16" t="str">
        <f>IFERROR(IF([1]对账明细接口!$D$357=0,"",[1]对账明细接口!$D$357),"")</f>
        <v>原料入库</v>
      </c>
      <c r="E357" s="16" t="str">
        <f>IFERROR(IF([1]对账明细接口!$E$357=0,"",[1]对账明细接口!$E$357),"")</f>
        <v>NO:0000936</v>
      </c>
      <c r="F357" s="16" t="str">
        <f>IFERROR(IF([1]对账明细接口!$F$357=0,"",[1]对账明细接口!$F$357),"")</f>
        <v>苹果</v>
      </c>
      <c r="G357" s="16" t="str">
        <f>IFERROR(IF([1]对账明细接口!$G$357=0,"",[1]对账明细接口!$G$357),"")</f>
        <v>早富士二级</v>
      </c>
      <c r="H357" s="176">
        <f>IFERROR(IF([1]对账明细接口!$H$357=0,"",[1]对账明细接口!$H$357),"")</f>
        <v>4</v>
      </c>
      <c r="I357" s="16" t="str">
        <f>IFERROR(IF([1]对账明细接口!$I$357=0,"",[1]对账明细接口!$I$357),"")</f>
        <v>筐</v>
      </c>
      <c r="J357" s="177">
        <f>IFERROR(IF([1]对账明细接口!$J$357=0,"",[1]对账明细接口!$J$357),"")</f>
        <v>69.2</v>
      </c>
      <c r="K357" s="177">
        <f>IFERROR(IF([1]对账明细接口!$K$357=0,"",[1]对账明细接口!$K$357),"")</f>
      </c>
      <c r="L357" s="16">
        <f>IFERROR(IF([1]对账明细接口!$L$357=0,"",[1]对账明细接口!$L$357),"")</f>
      </c>
      <c r="M357" s="16">
        <f>IFERROR(IF([1]对账明细接口!$M$357=0,"",[1]对账明细接口!$M$357),"")</f>
      </c>
      <c r="N357" s="19">
        <f>IF($C357="",0,1)</f>
        <v>1</v>
      </c>
      <c r="O357" s="19">
        <f>N(O356)+$N357</f>
        <v>354</v>
      </c>
      <c r="S357" s="20" t="str">
        <f>IFERROR(IF([1]对账明细接口!$N357=0,"",[1]对账明细接口!$N357),"")</f>
        <v>公司杂周转筐</v>
      </c>
      <c r="T357" s="212">
        <f>IFERROR(IF([1]对账明细接口!$O357=0,"",[1]对账明细接口!$O357),"")</f>
      </c>
      <c r="U357" s="212">
        <f>IFERROR(IF([1]对账明细接口!$P357=0,"",[1]对账明细接口!$P357),"")</f>
      </c>
      <c r="V357" s="212">
        <f>IFERROR(IF([1]对账明细接口!$Q357=0,"",[1]对账明细接口!$Q357),"")</f>
        <v>4</v>
      </c>
      <c r="W357" s="20" t="str">
        <f>IFERROR(IF([1]对账明细接口!$R357=0,"",[1]对账明细接口!$R357),"")</f>
        <v>新N*B6R39</v>
      </c>
      <c r="X357" s="20" t="str">
        <f>IFERROR(IF([1]对账明细接口!$S357=0,"",[1]对账明细接口!$S357),"")</f>
        <v>公司筐</v>
      </c>
      <c r="Y357" s="20">
        <f>IFERROR(IF([1]对账明细接口!$T357=0,"",[1]对账明细接口!$T357),"")</f>
      </c>
      <c r="Z357" s="213">
        <f>IFERROR(IF([1]对账明细接口!$U357=0,"",[1]对账明细接口!$U357),"")</f>
      </c>
      <c r="AA357" s="213">
        <f>IFERROR(IF([1]对账明细接口!$V357=0,"",[1]对账明细接口!$V357),"")</f>
      </c>
      <c r="AB357" s="20">
        <f>IFERROR(IF([1]对账明细接口!$W357=0,"",[1]对账明细接口!$W357),"")</f>
      </c>
      <c r="AC357" s="7">
        <f>IFERROR(IF([1]对账明细接口!$X357=0,"",[1]对账明细接口!$X357),"")</f>
      </c>
      <c r="AD357" s="7">
        <f>IFERROR(IF([1]对账明细接口!$Y357=0,"",[1]对账明细接口!$Y357),"")</f>
      </c>
      <c r="AE357" s="7">
        <f>IFERROR(IF([1]对账明细接口!$AA357=0,"",[1]对账明细接口!$AA357),"")</f>
      </c>
      <c r="AF357" s="7">
        <f>IFERROR(IF([1]对账明细接口!$AB357=0,"",[1]对账明细接口!$AB357),"")</f>
      </c>
      <c r="AG357" s="7">
        <f>IFERROR(IF([1]对账明细接口!$AC357=0,"",[1]对账明细接口!$AC357),"")</f>
      </c>
      <c r="AH357" s="7">
        <f>IFERROR(IF([1]对账明细接口!$AD357=0,"",[1]对账明细接口!$AD357),"")</f>
      </c>
      <c r="AI357" s="7">
        <f>IFERROR(IF([1]对账明细接口!$AE357=0,"",[1]对账明细接口!$AE357),"")</f>
      </c>
      <c r="AJ357" s="7">
        <f>IFERROR(IF([1]对账明细接口!$AF357=0,"",[1]对账明细接口!$AF357),"")</f>
      </c>
    </row>
    <row r="358" ht="14.25" customHeight="1" s="127">
      <c r="A358" s="14" t="n">
        <v>358</v>
      </c>
      <c r="B358" s="211">
        <f>IFERROR(IF([1]对账明细接口!$B$358=0,"",[1]对账明细接口!$B$358),"")</f>
        <v>46286.0</v>
      </c>
      <c r="C358" s="16" t="str">
        <f>IFERROR(IF([1]对账明细接口!$C$358=0,"",[1]对账明细接口!$C$358),"")</f>
        <v>热合曼+艾则孜</v>
      </c>
      <c r="D358" s="16" t="str">
        <f>IFERROR(IF([1]对账明细接口!$D$358=0,"",[1]对账明细接口!$D$358),"")</f>
        <v>原料入库</v>
      </c>
      <c r="E358" s="16" t="str">
        <f>IFERROR(IF([1]对账明细接口!$E$358=0,"",[1]对账明细接口!$E$358),"")</f>
        <v>NO:0000940</v>
      </c>
      <c r="F358" s="16" t="str">
        <f>IFERROR(IF([1]对账明细接口!$F$358=0,"",[1]对账明细接口!$F$358),"")</f>
        <v>香梨</v>
      </c>
      <c r="G358" s="16" t="str">
        <f>IFERROR(IF([1]对账明细接口!$G$358=0,"",[1]对账明细接口!$G$358),"")</f>
        <v>香梨一级</v>
      </c>
      <c r="H358" s="176">
        <f>IFERROR(IF([1]对账明细接口!$H$358=0,"",[1]对账明细接口!$H$358),"")</f>
        <v>318</v>
      </c>
      <c r="I358" s="16" t="str">
        <f>IFERROR(IF([1]对账明细接口!$I$358=0,"",[1]对账明细接口!$I$358),"")</f>
        <v>筐</v>
      </c>
      <c r="J358" s="177">
        <f>IFERROR(IF([1]对账明细接口!$J$358=0,"",[1]对账明细接口!$J$358),"")</f>
        <v>5819.4</v>
      </c>
      <c r="K358" s="177">
        <f>IFERROR(IF([1]对账明细接口!$K$358=0,"",[1]对账明细接口!$K$358),"")</f>
      </c>
      <c r="L358" s="16">
        <f>IFERROR(IF([1]对账明细接口!$L$358=0,"",[1]对账明细接口!$L$358),"")</f>
      </c>
      <c r="M358" s="16" t="str">
        <f>IFERROR(IF([1]对账明细接口!$M$358=0,"",[1]对账明细接口!$M$358),"")</f>
        <v>热合曼合伙</v>
      </c>
      <c r="N358" s="19">
        <f>IF($C358="",0,1)</f>
        <v>1</v>
      </c>
      <c r="O358" s="19">
        <f>N(O357)+$N358</f>
        <v>355</v>
      </c>
      <c r="S358" s="20" t="str">
        <f>IFERROR(IF([1]对账明细接口!$N358=0,"",[1]对账明细接口!$N358),"")</f>
        <v>公司红周转筐</v>
      </c>
      <c r="T358" s="212">
        <f>IFERROR(IF([1]对账明细接口!$O358=0,"",[1]对账明细接口!$O358),"")</f>
      </c>
      <c r="U358" s="212">
        <f>IFERROR(IF([1]对账明细接口!$P358=0,"",[1]对账明细接口!$P358),"")</f>
      </c>
      <c r="V358" s="212">
        <f>IFERROR(IF([1]对账明细接口!$Q358=0,"",[1]对账明细接口!$Q358),"")</f>
        <v>318</v>
      </c>
      <c r="W358" s="20" t="str">
        <f>IFERROR(IF([1]对账明细接口!$R358=0,"",[1]对账明细接口!$R358),"")</f>
        <v>新A*G0554</v>
      </c>
      <c r="X358" s="20" t="str">
        <f>IFERROR(IF([1]对账明细接口!$S358=0,"",[1]对账明细接口!$S358),"")</f>
        <v>公司筐</v>
      </c>
      <c r="Y358" s="20">
        <f>IFERROR(IF([1]对账明细接口!$T358=0,"",[1]对账明细接口!$T358),"")</f>
      </c>
      <c r="Z358" s="213">
        <f>IFERROR(IF([1]对账明细接口!$U358=0,"",[1]对账明细接口!$U358),"")</f>
      </c>
      <c r="AA358" s="213">
        <f>IFERROR(IF([1]对账明细接口!$V358=0,"",[1]对账明细接口!$V358),"")</f>
      </c>
      <c r="AB358" s="20">
        <f>IFERROR(IF([1]对账明细接口!$W358=0,"",[1]对账明细接口!$W358),"")</f>
      </c>
      <c r="AC358" s="7">
        <f>IFERROR(IF([1]对账明细接口!$X358=0,"",[1]对账明细接口!$X358),"")</f>
      </c>
      <c r="AD358" s="7">
        <f>IFERROR(IF([1]对账明细接口!$Y358=0,"",[1]对账明细接口!$Y358),"")</f>
      </c>
      <c r="AE358" s="7">
        <f>IFERROR(IF([1]对账明细接口!$AA358=0,"",[1]对账明细接口!$AA358),"")</f>
      </c>
      <c r="AF358" s="7">
        <f>IFERROR(IF([1]对账明细接口!$AB358=0,"",[1]对账明细接口!$AB358),"")</f>
      </c>
      <c r="AG358" s="7">
        <f>IFERROR(IF([1]对账明细接口!$AC358=0,"",[1]对账明细接口!$AC358),"")</f>
      </c>
      <c r="AH358" s="7">
        <f>IFERROR(IF([1]对账明细接口!$AD358=0,"",[1]对账明细接口!$AD358),"")</f>
      </c>
      <c r="AI358" s="7">
        <f>IFERROR(IF([1]对账明细接口!$AE358=0,"",[1]对账明细接口!$AE358),"")</f>
      </c>
      <c r="AJ358" s="7">
        <f>IFERROR(IF([1]对账明细接口!$AF358=0,"",[1]对账明细接口!$AF358),"")</f>
      </c>
    </row>
    <row r="359" ht="14.25" customHeight="1" s="127">
      <c r="A359" s="14" t="n">
        <v>359</v>
      </c>
      <c r="B359" s="211">
        <f>IFERROR(IF([1]对账明细接口!$B$359=0,"",[1]对账明细接口!$B$359),"")</f>
        <v>46286.0</v>
      </c>
      <c r="C359" s="16" t="str">
        <f>IFERROR(IF([1]对账明细接口!$C$359=0,"",[1]对账明细接口!$C$359),"")</f>
        <v>热合曼+艾则孜</v>
      </c>
      <c r="D359" s="16" t="str">
        <f>IFERROR(IF([1]对账明细接口!$D$359=0,"",[1]对账明细接口!$D$359),"")</f>
        <v>原料入库</v>
      </c>
      <c r="E359" s="16" t="str">
        <f>IFERROR(IF([1]对账明细接口!$E$359=0,"",[1]对账明细接口!$E$359),"")</f>
        <v>NO:0000940</v>
      </c>
      <c r="F359" s="16" t="str">
        <f>IFERROR(IF([1]对账明细接口!$F$359=0,"",[1]对账明细接口!$F$359),"")</f>
        <v>香梨</v>
      </c>
      <c r="G359" s="16" t="str">
        <f>IFERROR(IF([1]对账明细接口!$G$359=0,"",[1]对账明细接口!$G$359),"")</f>
        <v>香梨二级</v>
      </c>
      <c r="H359" s="176">
        <f>IFERROR(IF([1]对账明细接口!$H$359=0,"",[1]对账明细接口!$H$359),"")</f>
        <v>204</v>
      </c>
      <c r="I359" s="16" t="str">
        <f>IFERROR(IF([1]对账明细接口!$I$359=0,"",[1]对账明细接口!$I$359),"")</f>
        <v>筐</v>
      </c>
      <c r="J359" s="177">
        <f>IFERROR(IF([1]对账明细接口!$J$359=0,"",[1]对账明细接口!$J$359),"")</f>
        <v>4549.2</v>
      </c>
      <c r="K359" s="177">
        <f>IFERROR(IF([1]对账明细接口!$K$359=0,"",[1]对账明细接口!$K$359),"")</f>
      </c>
      <c r="L359" s="16">
        <f>IFERROR(IF([1]对账明细接口!$L$359=0,"",[1]对账明细接口!$L$359),"")</f>
      </c>
      <c r="M359" s="16" t="str">
        <f>IFERROR(IF([1]对账明细接口!$M$359=0,"",[1]对账明细接口!$M$359),"")</f>
        <v>热合曼合伙</v>
      </c>
      <c r="N359" s="19">
        <f>IF($C359="",0,1)</f>
        <v>1</v>
      </c>
      <c r="O359" s="19">
        <f>N(O358)+$N359</f>
        <v>356</v>
      </c>
      <c r="S359" s="20" t="str">
        <f>IFERROR(IF([1]对账明细接口!$N359=0,"",[1]对账明细接口!$N359),"")</f>
        <v>公司红周转筐</v>
      </c>
      <c r="T359" s="212">
        <f>IFERROR(IF([1]对账明细接口!$O359=0,"",[1]对账明细接口!$O359),"")</f>
      </c>
      <c r="U359" s="212">
        <f>IFERROR(IF([1]对账明细接口!$P359=0,"",[1]对账明细接口!$P359),"")</f>
      </c>
      <c r="V359" s="212">
        <f>IFERROR(IF([1]对账明细接口!$Q359=0,"",[1]对账明细接口!$Q359),"")</f>
        <v>204</v>
      </c>
      <c r="W359" s="20" t="str">
        <f>IFERROR(IF([1]对账明细接口!$R359=0,"",[1]对账明细接口!$R359),"")</f>
        <v>新A*G0554</v>
      </c>
      <c r="X359" s="20" t="str">
        <f>IFERROR(IF([1]对账明细接口!$S359=0,"",[1]对账明细接口!$S359),"")</f>
        <v>公司筐</v>
      </c>
      <c r="Y359" s="20">
        <f>IFERROR(IF([1]对账明细接口!$T359=0,"",[1]对账明细接口!$T359),"")</f>
      </c>
      <c r="Z359" s="213">
        <f>IFERROR(IF([1]对账明细接口!$U359=0,"",[1]对账明细接口!$U359),"")</f>
      </c>
      <c r="AA359" s="213">
        <f>IFERROR(IF([1]对账明细接口!$V359=0,"",[1]对账明细接口!$V359),"")</f>
      </c>
      <c r="AB359" s="20">
        <f>IFERROR(IF([1]对账明细接口!$W359=0,"",[1]对账明细接口!$W359),"")</f>
      </c>
      <c r="AC359" s="7">
        <f>IFERROR(IF([1]对账明细接口!$X359=0,"",[1]对账明细接口!$X359),"")</f>
      </c>
      <c r="AD359" s="7">
        <f>IFERROR(IF([1]对账明细接口!$Y359=0,"",[1]对账明细接口!$Y359),"")</f>
      </c>
      <c r="AE359" s="7">
        <f>IFERROR(IF([1]对账明细接口!$AA359=0,"",[1]对账明细接口!$AA359),"")</f>
      </c>
      <c r="AF359" s="7">
        <f>IFERROR(IF([1]对账明细接口!$AB359=0,"",[1]对账明细接口!$AB359),"")</f>
      </c>
      <c r="AG359" s="7">
        <f>IFERROR(IF([1]对账明细接口!$AC359=0,"",[1]对账明细接口!$AC359),"")</f>
      </c>
      <c r="AH359" s="7">
        <f>IFERROR(IF([1]对账明细接口!$AD359=0,"",[1]对账明细接口!$AD359),"")</f>
      </c>
      <c r="AI359" s="7">
        <f>IFERROR(IF([1]对账明细接口!$AE359=0,"",[1]对账明细接口!$AE359),"")</f>
      </c>
      <c r="AJ359" s="7">
        <f>IFERROR(IF([1]对账明细接口!$AF359=0,"",[1]对账明细接口!$AF359),"")</f>
      </c>
    </row>
    <row r="360" ht="14.25" customHeight="1" s="127">
      <c r="A360" s="14" t="n">
        <v>360</v>
      </c>
      <c r="B360" s="211">
        <f>IFERROR(IF([1]对账明细接口!$B$360=0,"",[1]对账明细接口!$B$360),"")</f>
        <v>46286.0</v>
      </c>
      <c r="C360" s="16" t="str">
        <f>IFERROR(IF([1]对账明细接口!$C$360=0,"",[1]对账明细接口!$C$360),"")</f>
        <v>热合曼+艾则孜</v>
      </c>
      <c r="D360" s="16" t="str">
        <f>IFERROR(IF([1]对账明细接口!$D$360=0,"",[1]对账明细接口!$D$360),"")</f>
        <v>原料入库</v>
      </c>
      <c r="E360" s="16" t="str">
        <f>IFERROR(IF([1]对账明细接口!$E$360=0,"",[1]对账明细接口!$E$360),"")</f>
        <v>NO:0000940</v>
      </c>
      <c r="F360" s="16" t="str">
        <f>IFERROR(IF([1]对账明细接口!$F$360=0,"",[1]对账明细接口!$F$360),"")</f>
        <v>香梨</v>
      </c>
      <c r="G360" s="16" t="str">
        <f>IFERROR(IF([1]对账明细接口!$G$360=0,"",[1]对账明细接口!$G$360),"")</f>
        <v>香梨副特</v>
      </c>
      <c r="H360" s="176">
        <f>IFERROR(IF([1]对账明细接口!$H$360=0,"",[1]对账明细接口!$H$360),"")</f>
        <v>120</v>
      </c>
      <c r="I360" s="16" t="str">
        <f>IFERROR(IF([1]对账明细接口!$I$360=0,"",[1]对账明细接口!$I$360),"")</f>
        <v>筐</v>
      </c>
      <c r="J360" s="177">
        <f>IFERROR(IF([1]对账明细接口!$J$360=0,"",[1]对账明细接口!$J$360),"")</f>
        <v>2196</v>
      </c>
      <c r="K360" s="177">
        <f>IFERROR(IF([1]对账明细接口!$K$360=0,"",[1]对账明细接口!$K$360),"")</f>
      </c>
      <c r="L360" s="16">
        <f>IFERROR(IF([1]对账明细接口!$L$360=0,"",[1]对账明细接口!$L$360),"")</f>
      </c>
      <c r="M360" s="16" t="str">
        <f>IFERROR(IF([1]对账明细接口!$M$360=0,"",[1]对账明细接口!$M$360),"")</f>
        <v>热合曼合伙</v>
      </c>
      <c r="N360" s="19">
        <f>IF($C360="",0,1)</f>
        <v>1</v>
      </c>
      <c r="O360" s="19">
        <f>N(O359)+$N360</f>
        <v>357</v>
      </c>
      <c r="S360" s="20" t="str">
        <f>IFERROR(IF([1]对账明细接口!$N360=0,"",[1]对账明细接口!$N360),"")</f>
        <v>公司红周转筐</v>
      </c>
      <c r="T360" s="212">
        <f>IFERROR(IF([1]对账明细接口!$O360=0,"",[1]对账明细接口!$O360),"")</f>
      </c>
      <c r="U360" s="212">
        <f>IFERROR(IF([1]对账明细接口!$P360=0,"",[1]对账明细接口!$P360),"")</f>
      </c>
      <c r="V360" s="212">
        <f>IFERROR(IF([1]对账明细接口!$Q360=0,"",[1]对账明细接口!$Q360),"")</f>
        <v>120</v>
      </c>
      <c r="W360" s="20" t="str">
        <f>IFERROR(IF([1]对账明细接口!$R360=0,"",[1]对账明细接口!$R360),"")</f>
        <v>新A*G0554</v>
      </c>
      <c r="X360" s="20" t="str">
        <f>IFERROR(IF([1]对账明细接口!$S360=0,"",[1]对账明细接口!$S360),"")</f>
        <v>公司筐</v>
      </c>
      <c r="Y360" s="20">
        <f>IFERROR(IF([1]对账明细接口!$T360=0,"",[1]对账明细接口!$T360),"")</f>
      </c>
      <c r="Z360" s="213">
        <f>IFERROR(IF([1]对账明细接口!$U360=0,"",[1]对账明细接口!$U360),"")</f>
      </c>
      <c r="AA360" s="213">
        <f>IFERROR(IF([1]对账明细接口!$V360=0,"",[1]对账明细接口!$V360),"")</f>
      </c>
      <c r="AB360" s="20">
        <f>IFERROR(IF([1]对账明细接口!$W360=0,"",[1]对账明细接口!$W360),"")</f>
      </c>
      <c r="AC360" s="7">
        <f>IFERROR(IF([1]对账明细接口!$X360=0,"",[1]对账明细接口!$X360),"")</f>
      </c>
      <c r="AD360" s="7">
        <f>IFERROR(IF([1]对账明细接口!$Y360=0,"",[1]对账明细接口!$Y360),"")</f>
      </c>
      <c r="AE360" s="7">
        <f>IFERROR(IF([1]对账明细接口!$AA360=0,"",[1]对账明细接口!$AA360),"")</f>
      </c>
      <c r="AF360" s="7">
        <f>IFERROR(IF([1]对账明细接口!$AB360=0,"",[1]对账明细接口!$AB360),"")</f>
      </c>
      <c r="AG360" s="7">
        <f>IFERROR(IF([1]对账明细接口!$AC360=0,"",[1]对账明细接口!$AC360),"")</f>
      </c>
      <c r="AH360" s="7">
        <f>IFERROR(IF([1]对账明细接口!$AD360=0,"",[1]对账明细接口!$AD360),"")</f>
      </c>
      <c r="AI360" s="7">
        <f>IFERROR(IF([1]对账明细接口!$AE360=0,"",[1]对账明细接口!$AE360),"")</f>
      </c>
      <c r="AJ360" s="7">
        <f>IFERROR(IF([1]对账明细接口!$AF360=0,"",[1]对账明细接口!$AF360),"")</f>
      </c>
    </row>
    <row r="361" ht="14.25" customHeight="1" s="127">
      <c r="A361" s="14" t="n">
        <v>361</v>
      </c>
      <c r="B361" s="211">
        <f>IFERROR(IF([1]对账明细接口!$B$361=0,"",[1]对账明细接口!$B$361),"")</f>
        <v>46286.0</v>
      </c>
      <c r="C361" s="16" t="str">
        <f>IFERROR(IF([1]对账明细接口!$C$361=0,"",[1]对账明细接口!$C$361),"")</f>
        <v>荆建君</v>
      </c>
      <c r="D361" s="16" t="str">
        <f>IFERROR(IF([1]对账明细接口!$D$361=0,"",[1]对账明细接口!$D$361),"")</f>
        <v>原料入库</v>
      </c>
      <c r="E361" s="16" t="str">
        <f>IFERROR(IF([1]对账明细接口!$E$361=0,"",[1]对账明细接口!$E$361),"")</f>
        <v>NO:0000942</v>
      </c>
      <c r="F361" s="16" t="str">
        <f>IFERROR(IF([1]对账明细接口!$F$361=0,"",[1]对账明细接口!$F$361),"")</f>
        <v>香梨</v>
      </c>
      <c r="G361" s="16" t="str">
        <f>IFERROR(IF([1]对账明细接口!$G$361=0,"",[1]对账明细接口!$G$361),"")</f>
        <v>香梨一级</v>
      </c>
      <c r="H361" s="176">
        <f>IFERROR(IF([1]对账明细接口!$H$361=0,"",[1]对账明细接口!$H$361),"")</f>
        <v>312</v>
      </c>
      <c r="I361" s="16" t="str">
        <f>IFERROR(IF([1]对账明细接口!$I$361=0,"",[1]对账明细接口!$I$361),"")</f>
        <v>筐</v>
      </c>
      <c r="J361" s="177">
        <f>IFERROR(IF([1]对账明细接口!$J$361=0,"",[1]对账明细接口!$J$361),"")</f>
        <v>5709.6</v>
      </c>
      <c r="K361" s="177">
        <f>IFERROR(IF([1]对账明细接口!$K$361=0,"",[1]对账明细接口!$K$361),"")</f>
      </c>
      <c r="L361" s="16">
        <f>IFERROR(IF([1]对账明细接口!$L$361=0,"",[1]对账明细接口!$L$361),"")</f>
      </c>
      <c r="M361" s="16">
        <f>IFERROR(IF([1]对账明细接口!$M$361=0,"",[1]对账明细接口!$M$361),"")</f>
      </c>
      <c r="N361" s="19">
        <f>IF($C361="",0,1)</f>
        <v>1</v>
      </c>
      <c r="O361" s="19">
        <f>N(O360)+$N361</f>
        <v>358</v>
      </c>
      <c r="S361" s="20" t="str">
        <f>IFERROR(IF([1]对账明细接口!$N361=0,"",[1]对账明细接口!$N361),"")</f>
        <v>公司红周转筐</v>
      </c>
      <c r="T361" s="212">
        <f>IFERROR(IF([1]对账明细接口!$O361=0,"",[1]对账明细接口!$O361),"")</f>
      </c>
      <c r="U361" s="212">
        <f>IFERROR(IF([1]对账明细接口!$P361=0,"",[1]对账明细接口!$P361),"")</f>
      </c>
      <c r="V361" s="212">
        <f>IFERROR(IF([1]对账明细接口!$Q361=0,"",[1]对账明细接口!$Q361),"")</f>
        <v>312</v>
      </c>
      <c r="W361" s="20" t="str">
        <f>IFERROR(IF([1]对账明细接口!$R361=0,"",[1]对账明细接口!$R361),"")</f>
        <v>豫A*2737K</v>
      </c>
      <c r="X361" s="20" t="str">
        <f>IFERROR(IF([1]对账明细接口!$S361=0,"",[1]对账明细接口!$S361),"")</f>
        <v>公司筐</v>
      </c>
      <c r="Y361" s="20">
        <f>IFERROR(IF([1]对账明细接口!$T361=0,"",[1]对账明细接口!$T361),"")</f>
      </c>
      <c r="Z361" s="213">
        <f>IFERROR(IF([1]对账明细接口!$U361=0,"",[1]对账明细接口!$U361),"")</f>
      </c>
      <c r="AA361" s="213">
        <f>IFERROR(IF([1]对账明细接口!$V361=0,"",[1]对账明细接口!$V361),"")</f>
      </c>
      <c r="AB361" s="20">
        <f>IFERROR(IF([1]对账明细接口!$W361=0,"",[1]对账明细接口!$W361),"")</f>
      </c>
      <c r="AC361" s="7">
        <f>IFERROR(IF([1]对账明细接口!$X361=0,"",[1]对账明细接口!$X361),"")</f>
      </c>
      <c r="AD361" s="7">
        <f>IFERROR(IF([1]对账明细接口!$Y361=0,"",[1]对账明细接口!$Y361),"")</f>
      </c>
      <c r="AE361" s="7">
        <f>IFERROR(IF([1]对账明细接口!$AA361=0,"",[1]对账明细接口!$AA361),"")</f>
      </c>
      <c r="AF361" s="7">
        <f>IFERROR(IF([1]对账明细接口!$AB361=0,"",[1]对账明细接口!$AB361),"")</f>
      </c>
      <c r="AG361" s="7">
        <f>IFERROR(IF([1]对账明细接口!$AC361=0,"",[1]对账明细接口!$AC361),"")</f>
      </c>
      <c r="AH361" s="7">
        <f>IFERROR(IF([1]对账明细接口!$AD361=0,"",[1]对账明细接口!$AD361),"")</f>
      </c>
      <c r="AI361" s="7">
        <f>IFERROR(IF([1]对账明细接口!$AE361=0,"",[1]对账明细接口!$AE361),"")</f>
      </c>
      <c r="AJ361" s="7">
        <f>IFERROR(IF([1]对账明细接口!$AF361=0,"",[1]对账明细接口!$AF361),"")</f>
      </c>
    </row>
    <row r="362" ht="14.25" customHeight="1" s="127">
      <c r="A362" s="14" t="n">
        <v>362</v>
      </c>
      <c r="B362" s="211">
        <f>IFERROR(IF([1]对账明细接口!$B$362=0,"",[1]对账明细接口!$B$362),"")</f>
        <v>46286.0</v>
      </c>
      <c r="C362" s="16" t="str">
        <f>IFERROR(IF([1]对账明细接口!$C$362=0,"",[1]对账明细接口!$C$362),"")</f>
        <v>荆建君</v>
      </c>
      <c r="D362" s="16" t="str">
        <f>IFERROR(IF([1]对账明细接口!$D$362=0,"",[1]对账明细接口!$D$362),"")</f>
        <v>原料入库</v>
      </c>
      <c r="E362" s="16" t="str">
        <f>IFERROR(IF([1]对账明细接口!$E$362=0,"",[1]对账明细接口!$E$362),"")</f>
        <v>NO:0000942</v>
      </c>
      <c r="F362" s="16" t="str">
        <f>IFERROR(IF([1]对账明细接口!$F$362=0,"",[1]对账明细接口!$F$362),"")</f>
        <v>香梨</v>
      </c>
      <c r="G362" s="16" t="str">
        <f>IFERROR(IF([1]对账明细接口!$G$362=0,"",[1]对账明细接口!$G$362),"")</f>
        <v>香梨二级</v>
      </c>
      <c r="H362" s="176">
        <f>IFERROR(IF([1]对账明细接口!$H$362=0,"",[1]对账明细接口!$H$362),"")</f>
        <v>336</v>
      </c>
      <c r="I362" s="16" t="str">
        <f>IFERROR(IF([1]对账明细接口!$I$362=0,"",[1]对账明细接口!$I$362),"")</f>
        <v>筐</v>
      </c>
      <c r="J362" s="177">
        <f>IFERROR(IF([1]对账明细接口!$J$362=0,"",[1]对账明细接口!$J$362),"")</f>
        <v>6148.8</v>
      </c>
      <c r="K362" s="177">
        <f>IFERROR(IF([1]对账明细接口!$K$362=0,"",[1]对账明细接口!$K$362),"")</f>
      </c>
      <c r="L362" s="16">
        <f>IFERROR(IF([1]对账明细接口!$L$362=0,"",[1]对账明细接口!$L$362),"")</f>
      </c>
      <c r="M362" s="16">
        <f>IFERROR(IF([1]对账明细接口!$M$362=0,"",[1]对账明细接口!$M$362),"")</f>
      </c>
      <c r="N362" s="19">
        <f>IF($C362="",0,1)</f>
        <v>1</v>
      </c>
      <c r="O362" s="19">
        <f>N(O361)+$N362</f>
        <v>359</v>
      </c>
      <c r="S362" s="20" t="str">
        <f>IFERROR(IF([1]对账明细接口!$N362=0,"",[1]对账明细接口!$N362),"")</f>
        <v>公司红周转筐</v>
      </c>
      <c r="T362" s="212">
        <f>IFERROR(IF([1]对账明细接口!$O362=0,"",[1]对账明细接口!$O362),"")</f>
      </c>
      <c r="U362" s="212">
        <f>IFERROR(IF([1]对账明细接口!$P362=0,"",[1]对账明细接口!$P362),"")</f>
      </c>
      <c r="V362" s="212">
        <f>IFERROR(IF([1]对账明细接口!$Q362=0,"",[1]对账明细接口!$Q362),"")</f>
        <v>336</v>
      </c>
      <c r="W362" s="20" t="str">
        <f>IFERROR(IF([1]对账明细接口!$R362=0,"",[1]对账明细接口!$R362),"")</f>
        <v>豫A*2737K</v>
      </c>
      <c r="X362" s="20" t="str">
        <f>IFERROR(IF([1]对账明细接口!$S362=0,"",[1]对账明细接口!$S362),"")</f>
        <v>公司筐</v>
      </c>
      <c r="Y362" s="20">
        <f>IFERROR(IF([1]对账明细接口!$T362=0,"",[1]对账明细接口!$T362),"")</f>
      </c>
      <c r="Z362" s="213">
        <f>IFERROR(IF([1]对账明细接口!$U362=0,"",[1]对账明细接口!$U362),"")</f>
      </c>
      <c r="AA362" s="213">
        <f>IFERROR(IF([1]对账明细接口!$V362=0,"",[1]对账明细接口!$V362),"")</f>
      </c>
      <c r="AB362" s="20">
        <f>IFERROR(IF([1]对账明细接口!$W362=0,"",[1]对账明细接口!$W362),"")</f>
      </c>
      <c r="AC362" s="7">
        <f>IFERROR(IF([1]对账明细接口!$X362=0,"",[1]对账明细接口!$X362),"")</f>
      </c>
      <c r="AD362" s="7">
        <f>IFERROR(IF([1]对账明细接口!$Y362=0,"",[1]对账明细接口!$Y362),"")</f>
      </c>
      <c r="AE362" s="7">
        <f>IFERROR(IF([1]对账明细接口!$AA362=0,"",[1]对账明细接口!$AA362),"")</f>
      </c>
      <c r="AF362" s="7">
        <f>IFERROR(IF([1]对账明细接口!$AB362=0,"",[1]对账明细接口!$AB362),"")</f>
      </c>
      <c r="AG362" s="7">
        <f>IFERROR(IF([1]对账明细接口!$AC362=0,"",[1]对账明细接口!$AC362),"")</f>
      </c>
      <c r="AH362" s="7">
        <f>IFERROR(IF([1]对账明细接口!$AD362=0,"",[1]对账明细接口!$AD362),"")</f>
      </c>
      <c r="AI362" s="7">
        <f>IFERROR(IF([1]对账明细接口!$AE362=0,"",[1]对账明细接口!$AE362),"")</f>
      </c>
      <c r="AJ362" s="7">
        <f>IFERROR(IF([1]对账明细接口!$AF362=0,"",[1]对账明细接口!$AF362),"")</f>
      </c>
    </row>
    <row r="363" ht="14.25" customHeight="1" s="127">
      <c r="A363" s="14" t="n">
        <v>363</v>
      </c>
      <c r="B363" s="211">
        <f>IFERROR(IF([1]对账明细接口!$B$363=0,"",[1]对账明细接口!$B$363),"")</f>
        <v>46286.0</v>
      </c>
      <c r="C363" s="16" t="str">
        <f>IFERROR(IF([1]对账明细接口!$C$363=0,"",[1]对账明细接口!$C$363),"")</f>
        <v>王灵云</v>
      </c>
      <c r="D363" s="16" t="str">
        <f>IFERROR(IF([1]对账明细接口!$D$363=0,"",[1]对账明细接口!$D$363),"")</f>
        <v>原料入库</v>
      </c>
      <c r="E363" s="16" t="str">
        <f>IFERROR(IF([1]对账明细接口!$E$363=0,"",[1]对账明细接口!$E$363),"")</f>
        <v>NO:0000943</v>
      </c>
      <c r="F363" s="16" t="str">
        <f>IFERROR(IF([1]对账明细接口!$F$363=0,"",[1]对账明细接口!$F$363),"")</f>
        <v>香梨</v>
      </c>
      <c r="G363" s="16" t="str">
        <f>IFERROR(IF([1]对账明细接口!$G$363=0,"",[1]对账明细接口!$G$363),"")</f>
        <v>香梨一级</v>
      </c>
      <c r="H363" s="176">
        <f>IFERROR(IF([1]对账明细接口!$H$363=0,"",[1]对账明细接口!$H$363),"")</f>
        <v>616</v>
      </c>
      <c r="I363" s="16" t="str">
        <f>IFERROR(IF([1]对账明细接口!$I$363=0,"",[1]对账明细接口!$I$363),"")</f>
        <v>筐</v>
      </c>
      <c r="J363" s="177">
        <f>IFERROR(IF([1]对账明细接口!$J$363=0,"",[1]对账明细接口!$J$363),"")</f>
        <v>11272.8</v>
      </c>
      <c r="K363" s="177">
        <f>IFERROR(IF([1]对账明细接口!$K$363=0,"",[1]对账明细接口!$K$363),"")</f>
      </c>
      <c r="L363" s="16">
        <f>IFERROR(IF([1]对账明细接口!$L$363=0,"",[1]对账明细接口!$L$363),"")</f>
      </c>
      <c r="M363" s="16" t="str">
        <f>IFERROR(IF([1]对账明细接口!$M$363=0,"",[1]对账明细接口!$M$363),"")</f>
        <v>左</v>
      </c>
      <c r="N363" s="19">
        <f>IF($C363="",0,1)</f>
        <v>1</v>
      </c>
      <c r="O363" s="19">
        <f>N(O362)+$N363</f>
        <v>360</v>
      </c>
      <c r="S363" s="20" t="str">
        <f>IFERROR(IF([1]对账明细接口!$N363=0,"",[1]对账明细接口!$N363),"")</f>
        <v>公司红周转筐</v>
      </c>
      <c r="T363" s="212">
        <f>IFERROR(IF([1]对账明细接口!$O363=0,"",[1]对账明细接口!$O363),"")</f>
      </c>
      <c r="U363" s="212">
        <f>IFERROR(IF([1]对账明细接口!$P363=0,"",[1]对账明细接口!$P363),"")</f>
      </c>
      <c r="V363" s="212">
        <f>IFERROR(IF([1]对账明细接口!$Q363=0,"",[1]对账明细接口!$Q363),"")</f>
        <v>616</v>
      </c>
      <c r="W363" s="20" t="str">
        <f>IFERROR(IF([1]对账明细接口!$R363=0,"",[1]对账明细接口!$R363),"")</f>
        <v>新N*49209</v>
      </c>
      <c r="X363" s="20" t="str">
        <f>IFERROR(IF([1]对账明细接口!$S363=0,"",[1]对账明细接口!$S363),"")</f>
        <v>公司筐</v>
      </c>
      <c r="Y363" s="20">
        <f>IFERROR(IF([1]对账明细接口!$T363=0,"",[1]对账明细接口!$T363),"")</f>
      </c>
      <c r="Z363" s="213">
        <f>IFERROR(IF([1]对账明细接口!$U363=0,"",[1]对账明细接口!$U363),"")</f>
      </c>
      <c r="AA363" s="213">
        <f>IFERROR(IF([1]对账明细接口!$V363=0,"",[1]对账明细接口!$V363),"")</f>
      </c>
      <c r="AB363" s="20">
        <f>IFERROR(IF([1]对账明细接口!$W363=0,"",[1]对账明细接口!$W363),"")</f>
      </c>
      <c r="AC363" s="7">
        <f>IFERROR(IF([1]对账明细接口!$X363=0,"",[1]对账明细接口!$X363),"")</f>
      </c>
      <c r="AD363" s="7">
        <f>IFERROR(IF([1]对账明细接口!$Y363=0,"",[1]对账明细接口!$Y363),"")</f>
      </c>
      <c r="AE363" s="7">
        <f>IFERROR(IF([1]对账明细接口!$AA363=0,"",[1]对账明细接口!$AA363),"")</f>
      </c>
      <c r="AF363" s="7">
        <f>IFERROR(IF([1]对账明细接口!$AB363=0,"",[1]对账明细接口!$AB363),"")</f>
      </c>
      <c r="AG363" s="7">
        <f>IFERROR(IF([1]对账明细接口!$AC363=0,"",[1]对账明细接口!$AC363),"")</f>
      </c>
      <c r="AH363" s="7">
        <f>IFERROR(IF([1]对账明细接口!$AD363=0,"",[1]对账明细接口!$AD363),"")</f>
      </c>
      <c r="AI363" s="7">
        <f>IFERROR(IF([1]对账明细接口!$AE363=0,"",[1]对账明细接口!$AE363),"")</f>
      </c>
      <c r="AJ363" s="7">
        <f>IFERROR(IF([1]对账明细接口!$AF363=0,"",[1]对账明细接口!$AF363),"")</f>
      </c>
    </row>
    <row r="364" ht="14.25" customHeight="1" s="127">
      <c r="A364" s="14" t="n">
        <v>364</v>
      </c>
      <c r="B364" s="211">
        <f>IFERROR(IF([1]对账明细接口!$B$364=0,"",[1]对账明细接口!$B$364),"")</f>
        <v>46286.0</v>
      </c>
      <c r="C364" s="16" t="str">
        <f>IFERROR(IF([1]对账明细接口!$C$364=0,"",[1]对账明细接口!$C$364),"")</f>
        <v>王灵云</v>
      </c>
      <c r="D364" s="16" t="str">
        <f>IFERROR(IF([1]对账明细接口!$D$364=0,"",[1]对账明细接口!$D$364),"")</f>
        <v>原料入库</v>
      </c>
      <c r="E364" s="16" t="str">
        <f>IFERROR(IF([1]对账明细接口!$E$364=0,"",[1]对账明细接口!$E$364),"")</f>
        <v>NO:0000943</v>
      </c>
      <c r="F364" s="16" t="str">
        <f>IFERROR(IF([1]对账明细接口!$F$364=0,"",[1]对账明细接口!$F$364),"")</f>
        <v>香梨</v>
      </c>
      <c r="G364" s="16" t="str">
        <f>IFERROR(IF([1]对账明细接口!$G$364=0,"",[1]对账明细接口!$G$364),"")</f>
        <v>香梨二级</v>
      </c>
      <c r="H364" s="176">
        <f>IFERROR(IF([1]对账明细接口!$H$364=0,"",[1]对账明细接口!$H$364),"")</f>
        <v>24</v>
      </c>
      <c r="I364" s="16" t="str">
        <f>IFERROR(IF([1]对账明细接口!$I$364=0,"",[1]对账明细接口!$I$364),"")</f>
        <v>筐</v>
      </c>
      <c r="J364" s="177">
        <f>IFERROR(IF([1]对账明细接口!$J$364=0,"",[1]对账明细接口!$J$364),"")</f>
        <v>559.2</v>
      </c>
      <c r="K364" s="177">
        <f>IFERROR(IF([1]对账明细接口!$K$364=0,"",[1]对账明细接口!$K$364),"")</f>
      </c>
      <c r="L364" s="16">
        <f>IFERROR(IF([1]对账明细接口!$L$364=0,"",[1]对账明细接口!$L$364),"")</f>
      </c>
      <c r="M364" s="16" t="str">
        <f>IFERROR(IF([1]对账明细接口!$M$364=0,"",[1]对账明细接口!$M$364),"")</f>
        <v>左</v>
      </c>
      <c r="N364" s="19">
        <f>IF($C364="",0,1)</f>
        <v>1</v>
      </c>
      <c r="O364" s="19">
        <f>N(O363)+$N364</f>
        <v>361</v>
      </c>
      <c r="S364" s="20" t="str">
        <f>IFERROR(IF([1]对账明细接口!$N364=0,"",[1]对账明细接口!$N364),"")</f>
        <v>公司红周转筐</v>
      </c>
      <c r="T364" s="212">
        <f>IFERROR(IF([1]对账明细接口!$O364=0,"",[1]对账明细接口!$O364),"")</f>
      </c>
      <c r="U364" s="212">
        <f>IFERROR(IF([1]对账明细接口!$P364=0,"",[1]对账明细接口!$P364),"")</f>
      </c>
      <c r="V364" s="212">
        <f>IFERROR(IF([1]对账明细接口!$Q364=0,"",[1]对账明细接口!$Q364),"")</f>
        <v>24</v>
      </c>
      <c r="W364" s="20" t="str">
        <f>IFERROR(IF([1]对账明细接口!$R364=0,"",[1]对账明细接口!$R364),"")</f>
        <v>新N*49209</v>
      </c>
      <c r="X364" s="20" t="str">
        <f>IFERROR(IF([1]对账明细接口!$S364=0,"",[1]对账明细接口!$S364),"")</f>
        <v>公司筐</v>
      </c>
      <c r="Y364" s="20">
        <f>IFERROR(IF([1]对账明细接口!$T364=0,"",[1]对账明细接口!$T364),"")</f>
      </c>
      <c r="Z364" s="213">
        <f>IFERROR(IF([1]对账明细接口!$U364=0,"",[1]对账明细接口!$U364),"")</f>
      </c>
      <c r="AA364" s="213">
        <f>IFERROR(IF([1]对账明细接口!$V364=0,"",[1]对账明细接口!$V364),"")</f>
      </c>
      <c r="AB364" s="20">
        <f>IFERROR(IF([1]对账明细接口!$W364=0,"",[1]对账明细接口!$W364),"")</f>
      </c>
      <c r="AC364" s="7">
        <f>IFERROR(IF([1]对账明细接口!$X364=0,"",[1]对账明细接口!$X364),"")</f>
      </c>
      <c r="AD364" s="7">
        <f>IFERROR(IF([1]对账明细接口!$Y364=0,"",[1]对账明细接口!$Y364),"")</f>
      </c>
      <c r="AE364" s="7">
        <f>IFERROR(IF([1]对账明细接口!$AA364=0,"",[1]对账明细接口!$AA364),"")</f>
      </c>
      <c r="AF364" s="7">
        <f>IFERROR(IF([1]对账明细接口!$AB364=0,"",[1]对账明细接口!$AB364),"")</f>
      </c>
      <c r="AG364" s="7">
        <f>IFERROR(IF([1]对账明细接口!$AC364=0,"",[1]对账明细接口!$AC364),"")</f>
      </c>
      <c r="AH364" s="7">
        <f>IFERROR(IF([1]对账明细接口!$AD364=0,"",[1]对账明细接口!$AD364),"")</f>
      </c>
      <c r="AI364" s="7">
        <f>IFERROR(IF([1]对账明细接口!$AE364=0,"",[1]对账明细接口!$AE364),"")</f>
      </c>
      <c r="AJ364" s="7">
        <f>IFERROR(IF([1]对账明细接口!$AF364=0,"",[1]对账明细接口!$AF364),"")</f>
      </c>
    </row>
    <row r="365" ht="14.25" customHeight="1" s="127">
      <c r="A365" s="14" t="n">
        <v>365</v>
      </c>
      <c r="B365" s="211">
        <f>IFERROR(IF([1]对账明细接口!$B$365=0,"",[1]对账明细接口!$B$365),"")</f>
        <v>46286.0</v>
      </c>
      <c r="C365" s="16" t="str">
        <f>IFERROR(IF([1]对账明细接口!$C$365=0,"",[1]对账明细接口!$C$365),"")</f>
        <v>阿布都</v>
      </c>
      <c r="D365" s="16" t="str">
        <f>IFERROR(IF([1]对账明细接口!$D$365=0,"",[1]对账明细接口!$D$365),"")</f>
        <v>原料入库</v>
      </c>
      <c r="E365" s="16" t="str">
        <f>IFERROR(IF([1]对账明细接口!$E$365=0,"",[1]对账明细接口!$E$365),"")</f>
        <v>NO:0000944</v>
      </c>
      <c r="F365" s="16" t="str">
        <f>IFERROR(IF([1]对账明细接口!$F$365=0,"",[1]对账明细接口!$F$365),"")</f>
        <v>香梨</v>
      </c>
      <c r="G365" s="16" t="str">
        <f>IFERROR(IF([1]对账明细接口!$G$365=0,"",[1]对账明细接口!$G$365),"")</f>
        <v>香梨特级</v>
      </c>
      <c r="H365" s="176">
        <f>IFERROR(IF([1]对账明细接口!$H$365=0,"",[1]对账明细接口!$H$365),"")</f>
        <v>139</v>
      </c>
      <c r="I365" s="16" t="str">
        <f>IFERROR(IF([1]对账明细接口!$I$365=0,"",[1]对账明细接口!$I$365),"")</f>
        <v>筐</v>
      </c>
      <c r="J365" s="177">
        <f>IFERROR(IF([1]对账明细接口!$J$365=0,"",[1]对账明细接口!$J$365),"")</f>
        <v>2543.7</v>
      </c>
      <c r="K365" s="177">
        <f>IFERROR(IF([1]对账明细接口!$K$365=0,"",[1]对账明细接口!$K$365),"")</f>
      </c>
      <c r="L365" s="16">
        <f>IFERROR(IF([1]对账明细接口!$L$365=0,"",[1]对账明细接口!$L$365),"")</f>
      </c>
      <c r="M365" s="16" t="str">
        <f>IFERROR(IF([1]对账明细接口!$M$365=0,"",[1]对账明细接口!$M$365),"")</f>
        <v>努尔敦</v>
      </c>
      <c r="N365" s="19">
        <f>IF($C365="",0,1)</f>
        <v>1</v>
      </c>
      <c r="O365" s="19">
        <f>N(O364)+$N365</f>
        <v>362</v>
      </c>
      <c r="S365" s="20" t="str">
        <f>IFERROR(IF([1]对账明细接口!$N365=0,"",[1]对账明细接口!$N365),"")</f>
        <v>公司红周转筐</v>
      </c>
      <c r="T365" s="212">
        <f>IFERROR(IF([1]对账明细接口!$O365=0,"",[1]对账明细接口!$O365),"")</f>
      </c>
      <c r="U365" s="212">
        <f>IFERROR(IF([1]对账明细接口!$P365=0,"",[1]对账明细接口!$P365),"")</f>
      </c>
      <c r="V365" s="212">
        <f>IFERROR(IF([1]对账明细接口!$Q365=0,"",[1]对账明细接口!$Q365),"")</f>
        <v>139</v>
      </c>
      <c r="W365" s="20" t="str">
        <f>IFERROR(IF([1]对账明细接口!$R365=0,"",[1]对账明细接口!$R365),"")</f>
        <v>新N*F0M01</v>
      </c>
      <c r="X365" s="20" t="str">
        <f>IFERROR(IF([1]对账明细接口!$S365=0,"",[1]对账明细接口!$S365),"")</f>
        <v>公司筐</v>
      </c>
      <c r="Y365" s="20">
        <f>IFERROR(IF([1]对账明细接口!$T365=0,"",[1]对账明细接口!$T365),"")</f>
      </c>
      <c r="Z365" s="213">
        <f>IFERROR(IF([1]对账明细接口!$U365=0,"",[1]对账明细接口!$U365),"")</f>
      </c>
      <c r="AA365" s="213">
        <f>IFERROR(IF([1]对账明细接口!$V365=0,"",[1]对账明细接口!$V365),"")</f>
      </c>
      <c r="AB365" s="20">
        <f>IFERROR(IF([1]对账明细接口!$W365=0,"",[1]对账明细接口!$W365),"")</f>
      </c>
      <c r="AC365" s="7">
        <f>IFERROR(IF([1]对账明细接口!$X365=0,"",[1]对账明细接口!$X365),"")</f>
      </c>
      <c r="AD365" s="7">
        <f>IFERROR(IF([1]对账明细接口!$Y365=0,"",[1]对账明细接口!$Y365),"")</f>
      </c>
      <c r="AE365" s="7">
        <f>IFERROR(IF([1]对账明细接口!$AA365=0,"",[1]对账明细接口!$AA365),"")</f>
      </c>
      <c r="AF365" s="7">
        <f>IFERROR(IF([1]对账明细接口!$AB365=0,"",[1]对账明细接口!$AB365),"")</f>
      </c>
      <c r="AG365" s="7">
        <f>IFERROR(IF([1]对账明细接口!$AC365=0,"",[1]对账明细接口!$AC365),"")</f>
      </c>
      <c r="AH365" s="7">
        <f>IFERROR(IF([1]对账明细接口!$AD365=0,"",[1]对账明细接口!$AD365),"")</f>
      </c>
      <c r="AI365" s="7">
        <f>IFERROR(IF([1]对账明细接口!$AE365=0,"",[1]对账明细接口!$AE365),"")</f>
      </c>
      <c r="AJ365" s="7">
        <f>IFERROR(IF([1]对账明细接口!$AF365=0,"",[1]对账明细接口!$AF365),"")</f>
      </c>
    </row>
    <row r="366" ht="14.25" customHeight="1" s="127">
      <c r="A366" s="14" t="n">
        <v>366</v>
      </c>
      <c r="B366" s="211">
        <f>IFERROR(IF([1]对账明细接口!$B$366=0,"",[1]对账明细接口!$B$366),"")</f>
        <v>46286.0</v>
      </c>
      <c r="C366" s="16" t="str">
        <f>IFERROR(IF([1]对账明细接口!$C$366=0,"",[1]对账明细接口!$C$366),"")</f>
        <v>阿布都</v>
      </c>
      <c r="D366" s="16" t="str">
        <f>IFERROR(IF([1]对账明细接口!$D$366=0,"",[1]对账明细接口!$D$366),"")</f>
        <v>原料入库</v>
      </c>
      <c r="E366" s="16" t="str">
        <f>IFERROR(IF([1]对账明细接口!$E$366=0,"",[1]对账明细接口!$E$366),"")</f>
        <v>NO:0000944</v>
      </c>
      <c r="F366" s="16" t="str">
        <f>IFERROR(IF([1]对账明细接口!$F$366=0,"",[1]对账明细接口!$F$366),"")</f>
        <v>香梨</v>
      </c>
      <c r="G366" s="16" t="str">
        <f>IFERROR(IF([1]对账明细接口!$G$366=0,"",[1]对账明细接口!$G$366),"")</f>
        <v>香梨一级</v>
      </c>
      <c r="H366" s="176">
        <f>IFERROR(IF([1]对账明细接口!$H$366=0,"",[1]对账明细接口!$H$366),"")</f>
        <v>56</v>
      </c>
      <c r="I366" s="16" t="str">
        <f>IFERROR(IF([1]对账明细接口!$I$366=0,"",[1]对账明细接口!$I$366),"")</f>
        <v>筐</v>
      </c>
      <c r="J366" s="177">
        <f>IFERROR(IF([1]对账明细接口!$J$366=0,"",[1]对账明细接口!$J$366),"")</f>
        <v>1024.8</v>
      </c>
      <c r="K366" s="177">
        <f>IFERROR(IF([1]对账明细接口!$K$366=0,"",[1]对账明细接口!$K$366),"")</f>
      </c>
      <c r="L366" s="16">
        <f>IFERROR(IF([1]对账明细接口!$L$366=0,"",[1]对账明细接口!$L$366),"")</f>
      </c>
      <c r="M366" s="16" t="str">
        <f>IFERROR(IF([1]对账明细接口!$M$366=0,"",[1]对账明细接口!$M$366),"")</f>
        <v>努尔敦</v>
      </c>
      <c r="N366" s="19">
        <f>IF($C366="",0,1)</f>
        <v>1</v>
      </c>
      <c r="O366" s="19">
        <f>N(O365)+$N366</f>
        <v>363</v>
      </c>
      <c r="S366" s="20" t="str">
        <f>IFERROR(IF([1]对账明细接口!$N366=0,"",[1]对账明细接口!$N366),"")</f>
        <v>公司红周转筐</v>
      </c>
      <c r="T366" s="212">
        <f>IFERROR(IF([1]对账明细接口!$O366=0,"",[1]对账明细接口!$O366),"")</f>
      </c>
      <c r="U366" s="212">
        <f>IFERROR(IF([1]对账明细接口!$P366=0,"",[1]对账明细接口!$P366),"")</f>
      </c>
      <c r="V366" s="212">
        <f>IFERROR(IF([1]对账明细接口!$Q366=0,"",[1]对账明细接口!$Q366),"")</f>
        <v>56</v>
      </c>
      <c r="W366" s="20" t="str">
        <f>IFERROR(IF([1]对账明细接口!$R366=0,"",[1]对账明细接口!$R366),"")</f>
        <v>新N*F0M01</v>
      </c>
      <c r="X366" s="20" t="str">
        <f>IFERROR(IF([1]对账明细接口!$S366=0,"",[1]对账明细接口!$S366),"")</f>
        <v>公司筐</v>
      </c>
      <c r="Y366" s="20">
        <f>IFERROR(IF([1]对账明细接口!$T366=0,"",[1]对账明细接口!$T366),"")</f>
      </c>
      <c r="Z366" s="213">
        <f>IFERROR(IF([1]对账明细接口!$U366=0,"",[1]对账明细接口!$U366),"")</f>
      </c>
      <c r="AA366" s="213">
        <f>IFERROR(IF([1]对账明细接口!$V366=0,"",[1]对账明细接口!$V366),"")</f>
      </c>
      <c r="AB366" s="20">
        <f>IFERROR(IF([1]对账明细接口!$W366=0,"",[1]对账明细接口!$W366),"")</f>
      </c>
      <c r="AC366" s="7">
        <f>IFERROR(IF([1]对账明细接口!$X366=0,"",[1]对账明细接口!$X366),"")</f>
      </c>
      <c r="AD366" s="7">
        <f>IFERROR(IF([1]对账明细接口!$Y366=0,"",[1]对账明细接口!$Y366),"")</f>
      </c>
      <c r="AE366" s="7">
        <f>IFERROR(IF([1]对账明细接口!$AA366=0,"",[1]对账明细接口!$AA366),"")</f>
      </c>
      <c r="AF366" s="7">
        <f>IFERROR(IF([1]对账明细接口!$AB366=0,"",[1]对账明细接口!$AB366),"")</f>
      </c>
      <c r="AG366" s="7">
        <f>IFERROR(IF([1]对账明细接口!$AC366=0,"",[1]对账明细接口!$AC366),"")</f>
      </c>
      <c r="AH366" s="7">
        <f>IFERROR(IF([1]对账明细接口!$AD366=0,"",[1]对账明细接口!$AD366),"")</f>
      </c>
      <c r="AI366" s="7">
        <f>IFERROR(IF([1]对账明细接口!$AE366=0,"",[1]对账明细接口!$AE366),"")</f>
      </c>
      <c r="AJ366" s="7">
        <f>IFERROR(IF([1]对账明细接口!$AF366=0,"",[1]对账明细接口!$AF366),"")</f>
      </c>
    </row>
    <row r="367" ht="14.25" customHeight="1" s="127">
      <c r="A367" s="14" t="n">
        <v>367</v>
      </c>
      <c r="B367" s="211">
        <f>IFERROR(IF([1]对账明细接口!$B$367=0,"",[1]对账明细接口!$B$367),"")</f>
        <v>46286.0</v>
      </c>
      <c r="C367" s="16" t="str">
        <f>IFERROR(IF([1]对账明细接口!$C$367=0,"",[1]对账明细接口!$C$367),"")</f>
        <v>阿布都</v>
      </c>
      <c r="D367" s="16" t="str">
        <f>IFERROR(IF([1]对账明细接口!$D$367=0,"",[1]对账明细接口!$D$367),"")</f>
        <v>原料入库</v>
      </c>
      <c r="E367" s="16" t="str">
        <f>IFERROR(IF([1]对账明细接口!$E$367=0,"",[1]对账明细接口!$E$367),"")</f>
        <v>NO:0000944</v>
      </c>
      <c r="F367" s="16" t="str">
        <f>IFERROR(IF([1]对账明细接口!$F$367=0,"",[1]对账明细接口!$F$367),"")</f>
        <v>香梨</v>
      </c>
      <c r="G367" s="16" t="str">
        <f>IFERROR(IF([1]对账明细接口!$G$367=0,"",[1]对账明细接口!$G$367),"")</f>
        <v>香梨副特</v>
      </c>
      <c r="H367" s="176">
        <f>IFERROR(IF([1]对账明细接口!$H$367=0,"",[1]对账明细接口!$H$367),"")</f>
        <v>122</v>
      </c>
      <c r="I367" s="16" t="str">
        <f>IFERROR(IF([1]对账明细接口!$I$367=0,"",[1]对账明细接口!$I$367),"")</f>
        <v>筐</v>
      </c>
      <c r="J367" s="177">
        <f>IFERROR(IF([1]对账明细接口!$J$367=0,"",[1]对账明细接口!$J$367),"")</f>
        <v>2232.6</v>
      </c>
      <c r="K367" s="177">
        <f>IFERROR(IF([1]对账明细接口!$K$367=0,"",[1]对账明细接口!$K$367),"")</f>
      </c>
      <c r="L367" s="16">
        <f>IFERROR(IF([1]对账明细接口!$L$367=0,"",[1]对账明细接口!$L$367),"")</f>
      </c>
      <c r="M367" s="16" t="str">
        <f>IFERROR(IF([1]对账明细接口!$M$367=0,"",[1]对账明细接口!$M$367),"")</f>
        <v>努尔敦</v>
      </c>
      <c r="N367" s="19">
        <f>IF($C367="",0,1)</f>
        <v>1</v>
      </c>
      <c r="O367" s="19">
        <f>N(O366)+$N367</f>
        <v>364</v>
      </c>
      <c r="S367" s="20" t="str">
        <f>IFERROR(IF([1]对账明细接口!$N367=0,"",[1]对账明细接口!$N367),"")</f>
        <v>公司红周转筐</v>
      </c>
      <c r="T367" s="212">
        <f>IFERROR(IF([1]对账明细接口!$O367=0,"",[1]对账明细接口!$O367),"")</f>
      </c>
      <c r="U367" s="212">
        <f>IFERROR(IF([1]对账明细接口!$P367=0,"",[1]对账明细接口!$P367),"")</f>
      </c>
      <c r="V367" s="212">
        <f>IFERROR(IF([1]对账明细接口!$Q367=0,"",[1]对账明细接口!$Q367),"")</f>
        <v>122</v>
      </c>
      <c r="W367" s="20" t="str">
        <f>IFERROR(IF([1]对账明细接口!$R367=0,"",[1]对账明细接口!$R367),"")</f>
        <v>新N*F0M01</v>
      </c>
      <c r="X367" s="20" t="str">
        <f>IFERROR(IF([1]对账明细接口!$S367=0,"",[1]对账明细接口!$S367),"")</f>
        <v>公司筐</v>
      </c>
      <c r="Y367" s="20">
        <f>IFERROR(IF([1]对账明细接口!$T367=0,"",[1]对账明细接口!$T367),"")</f>
      </c>
      <c r="Z367" s="213">
        <f>IFERROR(IF([1]对账明细接口!$U367=0,"",[1]对账明细接口!$U367),"")</f>
      </c>
      <c r="AA367" s="213">
        <f>IFERROR(IF([1]对账明细接口!$V367=0,"",[1]对账明细接口!$V367),"")</f>
      </c>
      <c r="AB367" s="20">
        <f>IFERROR(IF([1]对账明细接口!$W367=0,"",[1]对账明细接口!$W367),"")</f>
      </c>
      <c r="AC367" s="7">
        <f>IFERROR(IF([1]对账明细接口!$X367=0,"",[1]对账明细接口!$X367),"")</f>
      </c>
      <c r="AD367" s="7">
        <f>IFERROR(IF([1]对账明细接口!$Y367=0,"",[1]对账明细接口!$Y367),"")</f>
      </c>
      <c r="AE367" s="7">
        <f>IFERROR(IF([1]对账明细接口!$AA367=0,"",[1]对账明细接口!$AA367),"")</f>
      </c>
      <c r="AF367" s="7">
        <f>IFERROR(IF([1]对账明细接口!$AB367=0,"",[1]对账明细接口!$AB367),"")</f>
      </c>
      <c r="AG367" s="7">
        <f>IFERROR(IF([1]对账明细接口!$AC367=0,"",[1]对账明细接口!$AC367),"")</f>
      </c>
      <c r="AH367" s="7">
        <f>IFERROR(IF([1]对账明细接口!$AD367=0,"",[1]对账明细接口!$AD367),"")</f>
      </c>
      <c r="AI367" s="7">
        <f>IFERROR(IF([1]对账明细接口!$AE367=0,"",[1]对账明细接口!$AE367),"")</f>
      </c>
      <c r="AJ367" s="7">
        <f>IFERROR(IF([1]对账明细接口!$AF367=0,"",[1]对账明细接口!$AF367),"")</f>
      </c>
    </row>
    <row r="368" ht="14.25" customHeight="1" s="127">
      <c r="A368" s="14" t="n">
        <v>368</v>
      </c>
      <c r="B368" s="211">
        <f>IFERROR(IF([1]对账明细接口!$B$368=0,"",[1]对账明细接口!$B$368),"")</f>
        <v>46286.0</v>
      </c>
      <c r="C368" s="16" t="str">
        <f>IFERROR(IF([1]对账明细接口!$C$368=0,"",[1]对账明细接口!$C$368),"")</f>
        <v>王照雪</v>
      </c>
      <c r="D368" s="16" t="str">
        <f>IFERROR(IF([1]对账明细接口!$D$368=0,"",[1]对账明细接口!$D$368),"")</f>
        <v>原料入库</v>
      </c>
      <c r="E368" s="16" t="str">
        <f>IFERROR(IF([1]对账明细接口!$E$368=0,"",[1]对账明细接口!$E$368),"")</f>
        <v>NO:0000945</v>
      </c>
      <c r="F368" s="16" t="str">
        <f>IFERROR(IF([1]对账明细接口!$F$368=0,"",[1]对账明细接口!$F$368),"")</f>
        <v>苹果</v>
      </c>
      <c r="G368" s="16" t="str">
        <f>IFERROR(IF([1]对账明细接口!$G$368=0,"",[1]对账明细接口!$G$368),"")</f>
        <v>新世纪一级</v>
      </c>
      <c r="H368" s="176">
        <f>IFERROR(IF([1]对账明细接口!$H$368=0,"",[1]对账明细接口!$H$368),"")</f>
        <v>38</v>
      </c>
      <c r="I368" s="16" t="str">
        <f>IFERROR(IF([1]对账明细接口!$I$368=0,"",[1]对账明细接口!$I$368),"")</f>
        <v>筐</v>
      </c>
      <c r="J368" s="177">
        <f>IFERROR(IF([1]对账明细接口!$J$368=0,"",[1]对账明细接口!$J$368),"")</f>
        <v>657.4</v>
      </c>
      <c r="K368" s="177">
        <f>IFERROR(IF([1]对账明细接口!$K$368=0,"",[1]对账明细接口!$K$368),"")</f>
      </c>
      <c r="L368" s="16">
        <f>IFERROR(IF([1]对账明细接口!$L$368=0,"",[1]对账明细接口!$L$368),"")</f>
      </c>
      <c r="M368" s="16">
        <f>IFERROR(IF([1]对账明细接口!$M$368=0,"",[1]对账明细接口!$M$368),"")</f>
      </c>
      <c r="N368" s="19">
        <f>IF($C368="",0,1)</f>
        <v>1</v>
      </c>
      <c r="O368" s="19">
        <f>N(O367)+$N368</f>
        <v>365</v>
      </c>
      <c r="S368" s="20" t="str">
        <f>IFERROR(IF([1]对账明细接口!$N368=0,"",[1]对账明细接口!$N368),"")</f>
        <v>公司杂周转筐</v>
      </c>
      <c r="T368" s="212">
        <f>IFERROR(IF([1]对账明细接口!$O368=0,"",[1]对账明细接口!$O368),"")</f>
      </c>
      <c r="U368" s="212">
        <f>IFERROR(IF([1]对账明细接口!$P368=0,"",[1]对账明细接口!$P368),"")</f>
      </c>
      <c r="V368" s="212">
        <f>IFERROR(IF([1]对账明细接口!$Q368=0,"",[1]对账明细接口!$Q368),"")</f>
        <v>38</v>
      </c>
      <c r="W368" s="20" t="str">
        <f>IFERROR(IF([1]对账明细接口!$R368=0,"",[1]对账明细接口!$R368),"")</f>
        <v>豫L*88X19</v>
      </c>
      <c r="X368" s="20" t="str">
        <f>IFERROR(IF([1]对账明细接口!$S368=0,"",[1]对账明细接口!$S368),"")</f>
        <v>公司筐</v>
      </c>
      <c r="Y368" s="20">
        <f>IFERROR(IF([1]对账明细接口!$T368=0,"",[1]对账明细接口!$T368),"")</f>
      </c>
      <c r="Z368" s="213">
        <f>IFERROR(IF([1]对账明细接口!$U368=0,"",[1]对账明细接口!$U368),"")</f>
      </c>
      <c r="AA368" s="213">
        <f>IFERROR(IF([1]对账明细接口!$V368=0,"",[1]对账明细接口!$V368),"")</f>
      </c>
      <c r="AB368" s="20">
        <f>IFERROR(IF([1]对账明细接口!$W368=0,"",[1]对账明细接口!$W368),"")</f>
      </c>
      <c r="AC368" s="7">
        <f>IFERROR(IF([1]对账明细接口!$X368=0,"",[1]对账明细接口!$X368),"")</f>
      </c>
      <c r="AD368" s="7">
        <f>IFERROR(IF([1]对账明细接口!$Y368=0,"",[1]对账明细接口!$Y368),"")</f>
      </c>
      <c r="AE368" s="7">
        <f>IFERROR(IF([1]对账明细接口!$AA368=0,"",[1]对账明细接口!$AA368),"")</f>
      </c>
      <c r="AF368" s="7">
        <f>IFERROR(IF([1]对账明细接口!$AB368=0,"",[1]对账明细接口!$AB368),"")</f>
      </c>
      <c r="AG368" s="7">
        <f>IFERROR(IF([1]对账明细接口!$AC368=0,"",[1]对账明细接口!$AC368),"")</f>
      </c>
      <c r="AH368" s="7">
        <f>IFERROR(IF([1]对账明细接口!$AD368=0,"",[1]对账明细接口!$AD368),"")</f>
      </c>
      <c r="AI368" s="7">
        <f>IFERROR(IF([1]对账明细接口!$AE368=0,"",[1]对账明细接口!$AE368),"")</f>
      </c>
      <c r="AJ368" s="7">
        <f>IFERROR(IF([1]对账明细接口!$AF368=0,"",[1]对账明细接口!$AF368),"")</f>
      </c>
    </row>
    <row r="369" ht="14.25" customHeight="1" s="127">
      <c r="A369" s="14" t="n">
        <v>369</v>
      </c>
      <c r="B369" s="211">
        <f>IFERROR(IF([1]对账明细接口!$B$369=0,"",[1]对账明细接口!$B$369),"")</f>
        <v>46286.0</v>
      </c>
      <c r="C369" s="16" t="str">
        <f>IFERROR(IF([1]对账明细接口!$C$369=0,"",[1]对账明细接口!$C$369),"")</f>
        <v>王照雪</v>
      </c>
      <c r="D369" s="16" t="str">
        <f>IFERROR(IF([1]对账明细接口!$D$369=0,"",[1]对账明细接口!$D$369),"")</f>
        <v>原料入库</v>
      </c>
      <c r="E369" s="16" t="str">
        <f>IFERROR(IF([1]对账明细接口!$E$369=0,"",[1]对账明细接口!$E$369),"")</f>
        <v>NO:0000945</v>
      </c>
      <c r="F369" s="16" t="str">
        <f>IFERROR(IF([1]对账明细接口!$F$369=0,"",[1]对账明细接口!$F$369),"")</f>
        <v>苹果</v>
      </c>
      <c r="G369" s="16" t="str">
        <f>IFERROR(IF([1]对账明细接口!$G$369=0,"",[1]对账明细接口!$G$369),"")</f>
        <v>新世纪二级</v>
      </c>
      <c r="H369" s="176">
        <f>IFERROR(IF([1]对账明细接口!$H$369=0,"",[1]对账明细接口!$H$369),"")</f>
        <v>193</v>
      </c>
      <c r="I369" s="16" t="str">
        <f>IFERROR(IF([1]对账明细接口!$I$369=0,"",[1]对账明细接口!$I$369),"")</f>
        <v>筐</v>
      </c>
      <c r="J369" s="177">
        <f>IFERROR(IF([1]对账明细接口!$J$369=0,"",[1]对账明细接口!$J$369),"")</f>
        <v>3145.9</v>
      </c>
      <c r="K369" s="177">
        <f>IFERROR(IF([1]对账明细接口!$K$369=0,"",[1]对账明细接口!$K$369),"")</f>
      </c>
      <c r="L369" s="16">
        <f>IFERROR(IF([1]对账明细接口!$L$369=0,"",[1]对账明细接口!$L$369),"")</f>
      </c>
      <c r="M369" s="16">
        <f>IFERROR(IF([1]对账明细接口!$M$369=0,"",[1]对账明细接口!$M$369),"")</f>
      </c>
      <c r="N369" s="19">
        <f>IF($C369="",0,1)</f>
        <v>1</v>
      </c>
      <c r="O369" s="19">
        <f>N(O368)+$N369</f>
        <v>366</v>
      </c>
      <c r="S369" s="20" t="str">
        <f>IFERROR(IF([1]对账明细接口!$N369=0,"",[1]对账明细接口!$N369),"")</f>
        <v>公司杂周转筐</v>
      </c>
      <c r="T369" s="212">
        <f>IFERROR(IF([1]对账明细接口!$O369=0,"",[1]对账明细接口!$O369),"")</f>
      </c>
      <c r="U369" s="212">
        <f>IFERROR(IF([1]对账明细接口!$P369=0,"",[1]对账明细接口!$P369),"")</f>
      </c>
      <c r="V369" s="212">
        <f>IFERROR(IF([1]对账明细接口!$Q369=0,"",[1]对账明细接口!$Q369),"")</f>
        <v>193</v>
      </c>
      <c r="W369" s="20" t="str">
        <f>IFERROR(IF([1]对账明细接口!$R369=0,"",[1]对账明细接口!$R369),"")</f>
        <v>豫L*88X19</v>
      </c>
      <c r="X369" s="20" t="str">
        <f>IFERROR(IF([1]对账明细接口!$S369=0,"",[1]对账明细接口!$S369),"")</f>
        <v>公司筐</v>
      </c>
      <c r="Y369" s="20">
        <f>IFERROR(IF([1]对账明细接口!$T369=0,"",[1]对账明细接口!$T369),"")</f>
      </c>
      <c r="Z369" s="213">
        <f>IFERROR(IF([1]对账明细接口!$U369=0,"",[1]对账明细接口!$U369),"")</f>
      </c>
      <c r="AA369" s="213">
        <f>IFERROR(IF([1]对账明细接口!$V369=0,"",[1]对账明细接口!$V369),"")</f>
      </c>
      <c r="AB369" s="20">
        <f>IFERROR(IF([1]对账明细接口!$W369=0,"",[1]对账明细接口!$W369),"")</f>
      </c>
      <c r="AC369" s="7">
        <f>IFERROR(IF([1]对账明细接口!$X369=0,"",[1]对账明细接口!$X369),"")</f>
      </c>
      <c r="AD369" s="7">
        <f>IFERROR(IF([1]对账明细接口!$Y369=0,"",[1]对账明细接口!$Y369),"")</f>
      </c>
      <c r="AE369" s="7">
        <f>IFERROR(IF([1]对账明细接口!$AA369=0,"",[1]对账明细接口!$AA369),"")</f>
      </c>
      <c r="AF369" s="7">
        <f>IFERROR(IF([1]对账明细接口!$AB369=0,"",[1]对账明细接口!$AB369),"")</f>
      </c>
      <c r="AG369" s="7">
        <f>IFERROR(IF([1]对账明细接口!$AC369=0,"",[1]对账明细接口!$AC369),"")</f>
      </c>
      <c r="AH369" s="7">
        <f>IFERROR(IF([1]对账明细接口!$AD369=0,"",[1]对账明细接口!$AD369),"")</f>
      </c>
      <c r="AI369" s="7">
        <f>IFERROR(IF([1]对账明细接口!$AE369=0,"",[1]对账明细接口!$AE369),"")</f>
      </c>
      <c r="AJ369" s="7">
        <f>IFERROR(IF([1]对账明细接口!$AF369=0,"",[1]对账明细接口!$AF369),"")</f>
      </c>
    </row>
    <row r="370" ht="14.25" customHeight="1" s="127">
      <c r="A370" s="14" t="n">
        <v>370</v>
      </c>
      <c r="B370" s="211">
        <f>IFERROR(IF([1]对账明细接口!$B$370=0,"",[1]对账明细接口!$B$370),"")</f>
        <v>46286.0</v>
      </c>
      <c r="C370" s="16" t="str">
        <f>IFERROR(IF([1]对账明细接口!$C$370=0,"",[1]对账明细接口!$C$370),"")</f>
        <v>王照雪</v>
      </c>
      <c r="D370" s="16" t="str">
        <f>IFERROR(IF([1]对账明细接口!$D$370=0,"",[1]对账明细接口!$D$370),"")</f>
        <v>原料入库</v>
      </c>
      <c r="E370" s="16" t="str">
        <f>IFERROR(IF([1]对账明细接口!$E$370=0,"",[1]对账明细接口!$E$370),"")</f>
        <v>NO:0000945</v>
      </c>
      <c r="F370" s="16" t="str">
        <f>IFERROR(IF([1]对账明细接口!$F$370=0,"",[1]对账明细接口!$F$370),"")</f>
        <v>苹果</v>
      </c>
      <c r="G370" s="16" t="str">
        <f>IFERROR(IF([1]对账明细接口!$G$370=0,"",[1]对账明细接口!$G$370),"")</f>
        <v>新世纪二级</v>
      </c>
      <c r="H370" s="176">
        <f>IFERROR(IF([1]对账明细接口!$H$370=0,"",[1]对账明细接口!$H$370),"")</f>
        <v>105</v>
      </c>
      <c r="I370" s="16" t="str">
        <f>IFERROR(IF([1]对账明细接口!$I$370=0,"",[1]对账明细接口!$I$370),"")</f>
        <v>筐</v>
      </c>
      <c r="J370" s="177">
        <f>IFERROR(IF([1]对账明细接口!$J$370=0,"",[1]对账明细接口!$J$370),"")</f>
        <v>2131.5</v>
      </c>
      <c r="K370" s="177">
        <f>IFERROR(IF([1]对账明细接口!$K$370=0,"",[1]对账明细接口!$K$370),"")</f>
      </c>
      <c r="L370" s="16">
        <f>IFERROR(IF([1]对账明细接口!$L$370=0,"",[1]对账明细接口!$L$370),"")</f>
      </c>
      <c r="M370" s="16">
        <f>IFERROR(IF([1]对账明细接口!$M$370=0,"",[1]对账明细接口!$M$370),"")</f>
      </c>
      <c r="N370" s="19">
        <f>IF($C370="",0,1)</f>
        <v>1</v>
      </c>
      <c r="O370" s="19">
        <f>N(O369)+$N370</f>
        <v>367</v>
      </c>
      <c r="S370" s="20" t="str">
        <f>IFERROR(IF([1]对账明细接口!$N370=0,"",[1]对账明细接口!$N370),"")</f>
        <v>公司杂周转筐</v>
      </c>
      <c r="T370" s="212">
        <f>IFERROR(IF([1]对账明细接口!$O370=0,"",[1]对账明细接口!$O370),"")</f>
      </c>
      <c r="U370" s="212">
        <f>IFERROR(IF([1]对账明细接口!$P370=0,"",[1]对账明细接口!$P370),"")</f>
      </c>
      <c r="V370" s="212">
        <f>IFERROR(IF([1]对账明细接口!$Q370=0,"",[1]对账明细接口!$Q370),"")</f>
        <v>105</v>
      </c>
      <c r="W370" s="20" t="str">
        <f>IFERROR(IF([1]对账明细接口!$R370=0,"",[1]对账明细接口!$R370),"")</f>
        <v>豫L*88X19</v>
      </c>
      <c r="X370" s="20" t="str">
        <f>IFERROR(IF([1]对账明细接口!$S370=0,"",[1]对账明细接口!$S370),"")</f>
        <v>公司筐</v>
      </c>
      <c r="Y370" s="20">
        <f>IFERROR(IF([1]对账明细接口!$T370=0,"",[1]对账明细接口!$T370),"")</f>
      </c>
      <c r="Z370" s="213">
        <f>IFERROR(IF([1]对账明细接口!$U370=0,"",[1]对账明细接口!$U370),"")</f>
      </c>
      <c r="AA370" s="213">
        <f>IFERROR(IF([1]对账明细接口!$V370=0,"",[1]对账明细接口!$V370),"")</f>
      </c>
      <c r="AB370" s="20">
        <f>IFERROR(IF([1]对账明细接口!$W370=0,"",[1]对账明细接口!$W370),"")</f>
      </c>
      <c r="AC370" s="7">
        <f>IFERROR(IF([1]对账明细接口!$X370=0,"",[1]对账明细接口!$X370),"")</f>
      </c>
      <c r="AD370" s="7">
        <f>IFERROR(IF([1]对账明细接口!$Y370=0,"",[1]对账明细接口!$Y370),"")</f>
      </c>
      <c r="AE370" s="7">
        <f>IFERROR(IF([1]对账明细接口!$AA370=0,"",[1]对账明细接口!$AA370),"")</f>
      </c>
      <c r="AF370" s="7">
        <f>IFERROR(IF([1]对账明细接口!$AB370=0,"",[1]对账明细接口!$AB370),"")</f>
      </c>
      <c r="AG370" s="7">
        <f>IFERROR(IF([1]对账明细接口!$AC370=0,"",[1]对账明细接口!$AC370),"")</f>
      </c>
      <c r="AH370" s="7">
        <f>IFERROR(IF([1]对账明细接口!$AD370=0,"",[1]对账明细接口!$AD370),"")</f>
      </c>
      <c r="AI370" s="7">
        <f>IFERROR(IF([1]对账明细接口!$AE370=0,"",[1]对账明细接口!$AE370),"")</f>
      </c>
      <c r="AJ370" s="7">
        <f>IFERROR(IF([1]对账明细接口!$AF370=0,"",[1]对账明细接口!$AF370),"")</f>
      </c>
    </row>
    <row r="371" ht="14.25" customHeight="1" s="127">
      <c r="A371" s="14" t="n">
        <v>371</v>
      </c>
      <c r="B371" s="211">
        <f>IFERROR(IF([1]对账明细接口!$B$371=0,"",[1]对账明细接口!$B$371),"")</f>
        <v>46286.0</v>
      </c>
      <c r="C371" s="16" t="str">
        <f>IFERROR(IF([1]对账明细接口!$C$371=0,"",[1]对账明细接口!$C$371),"")</f>
        <v>田浩芝</v>
      </c>
      <c r="D371" s="16" t="str">
        <f>IFERROR(IF([1]对账明细接口!$D$371=0,"",[1]对账明细接口!$D$371),"")</f>
        <v>原料入库</v>
      </c>
      <c r="E371" s="16" t="str">
        <f>IFERROR(IF([1]对账明细接口!$E$371=0,"",[1]对账明细接口!$E$371),"")</f>
        <v>NO:0000945</v>
      </c>
      <c r="F371" s="16" t="str">
        <f>IFERROR(IF([1]对账明细接口!$F$371=0,"",[1]对账明细接口!$F$371),"")</f>
        <v>香梨</v>
      </c>
      <c r="G371" s="16" t="str">
        <f>IFERROR(IF([1]对账明细接口!$G$371=0,"",[1]对账明细接口!$G$371),"")</f>
        <v>香梨一级</v>
      </c>
      <c r="H371" s="176">
        <f>IFERROR(IF([1]对账明细接口!$H$371=0,"",[1]对账明细接口!$H$371),"")</f>
        <v>6</v>
      </c>
      <c r="I371" s="16" t="str">
        <f>IFERROR(IF([1]对账明细接口!$I$371=0,"",[1]对账明细接口!$I$371),"")</f>
        <v>筐</v>
      </c>
      <c r="J371" s="177">
        <f>IFERROR(IF([1]对账明细接口!$J$371=0,"",[1]对账明细接口!$J$371),"")</f>
        <v>109.8</v>
      </c>
      <c r="K371" s="177">
        <f>IFERROR(IF([1]对账明细接口!$K$371=0,"",[1]对账明细接口!$K$371),"")</f>
      </c>
      <c r="L371" s="16">
        <f>IFERROR(IF([1]对账明细接口!$L$371=0,"",[1]对账明细接口!$L$371),"")</f>
      </c>
      <c r="M371" s="16" t="str">
        <f>IFERROR(IF([1]对账明细接口!$M$371=0,"",[1]对账明细接口!$M$371),"")</f>
        <v>篮子装货入库后换公司筐</v>
      </c>
      <c r="N371" s="19">
        <f>IF($C371="",0,1)</f>
        <v>1</v>
      </c>
      <c r="O371" s="19">
        <f>N(O370)+$N371</f>
        <v>368</v>
      </c>
      <c r="S371" s="20" t="str">
        <f>IFERROR(IF([1]对账明细接口!$N371=0,"",[1]对账明细接口!$N371),"")</f>
        <v>公司一次性筐</v>
      </c>
      <c r="T371" s="212">
        <f>IFERROR(IF([1]对账明细接口!$O371=0,"",[1]对账明细接口!$O371),"")</f>
      </c>
      <c r="U371" s="212">
        <f>IFERROR(IF([1]对账明细接口!$P371=0,"",[1]对账明细接口!$P371),"")</f>
      </c>
      <c r="V371" s="212">
        <f>IFERROR(IF([1]对账明细接口!$Q371=0,"",[1]对账明细接口!$Q371),"")</f>
        <v>6</v>
      </c>
      <c r="W371" s="20" t="str">
        <f>IFERROR(IF([1]对账明细接口!$R371=0,"",[1]对账明细接口!$R371),"")</f>
        <v>豫L*88X19</v>
      </c>
      <c r="X371" s="20" t="str">
        <f>IFERROR(IF([1]对账明细接口!$S371=0,"",[1]对账明细接口!$S371),"")</f>
        <v>公司筐</v>
      </c>
      <c r="Y371" s="20">
        <f>IFERROR(IF([1]对账明细接口!$T371=0,"",[1]对账明细接口!$T371),"")</f>
      </c>
      <c r="Z371" s="213">
        <f>IFERROR(IF([1]对账明细接口!$U371=0,"",[1]对账明细接口!$U371),"")</f>
      </c>
      <c r="AA371" s="213">
        <f>IFERROR(IF([1]对账明细接口!$V371=0,"",[1]对账明细接口!$V371),"")</f>
      </c>
      <c r="AB371" s="20">
        <f>IFERROR(IF([1]对账明细接口!$W371=0,"",[1]对账明细接口!$W371),"")</f>
      </c>
      <c r="AC371" s="7">
        <f>IFERROR(IF([1]对账明细接口!$X371=0,"",[1]对账明细接口!$X371),"")</f>
      </c>
      <c r="AD371" s="7">
        <f>IFERROR(IF([1]对账明细接口!$Y371=0,"",[1]对账明细接口!$Y371),"")</f>
      </c>
      <c r="AE371" s="7">
        <f>IFERROR(IF([1]对账明细接口!$AA371=0,"",[1]对账明细接口!$AA371),"")</f>
      </c>
      <c r="AF371" s="7">
        <f>IFERROR(IF([1]对账明细接口!$AB371=0,"",[1]对账明细接口!$AB371),"")</f>
      </c>
      <c r="AG371" s="7">
        <f>IFERROR(IF([1]对账明细接口!$AC371=0,"",[1]对账明细接口!$AC371),"")</f>
      </c>
      <c r="AH371" s="7">
        <f>IFERROR(IF([1]对账明细接口!$AD371=0,"",[1]对账明细接口!$AD371),"")</f>
      </c>
      <c r="AI371" s="7">
        <f>IFERROR(IF([1]对账明细接口!$AE371=0,"",[1]对账明细接口!$AE371),"")</f>
      </c>
      <c r="AJ371" s="7">
        <f>IFERROR(IF([1]对账明细接口!$AF371=0,"",[1]对账明细接口!$AF371),"")</f>
      </c>
    </row>
    <row r="372" ht="14.25" customHeight="1" s="127">
      <c r="A372" s="14" t="n">
        <v>372</v>
      </c>
      <c r="B372" s="211">
        <f>IFERROR(IF([1]对账明细接口!$B$372=0,"",[1]对账明细接口!$B$372),"")</f>
        <v>46286.0</v>
      </c>
      <c r="C372" s="16" t="str">
        <f>IFERROR(IF([1]对账明细接口!$C$372=0,"",[1]对账明细接口!$C$372),"")</f>
        <v>麦麦提</v>
      </c>
      <c r="D372" s="16" t="str">
        <f>IFERROR(IF([1]对账明细接口!$D$372=0,"",[1]对账明细接口!$D$372),"")</f>
        <v>原料入库</v>
      </c>
      <c r="E372" s="16" t="str">
        <f>IFERROR(IF([1]对账明细接口!$E$372=0,"",[1]对账明细接口!$E$372),"")</f>
        <v>NO:0000946</v>
      </c>
      <c r="F372" s="16" t="str">
        <f>IFERROR(IF([1]对账明细接口!$F$372=0,"",[1]对账明细接口!$F$372),"")</f>
        <v>香梨</v>
      </c>
      <c r="G372" s="16" t="str">
        <f>IFERROR(IF([1]对账明细接口!$G$372=0,"",[1]对账明细接口!$G$372),"")</f>
        <v>香梨特级</v>
      </c>
      <c r="H372" s="176">
        <f>IFERROR(IF([1]对账明细接口!$H$372=0,"",[1]对账明细接口!$H$372),"")</f>
        <v>204</v>
      </c>
      <c r="I372" s="16" t="str">
        <f>IFERROR(IF([1]对账明细接口!$I$372=0,"",[1]对账明细接口!$I$372),"")</f>
        <v>筐</v>
      </c>
      <c r="J372" s="177">
        <f>IFERROR(IF([1]对账明细接口!$J$372=0,"",[1]对账明细接口!$J$372),"")</f>
        <v>3733.2</v>
      </c>
      <c r="K372" s="177">
        <f>IFERROR(IF([1]对账明细接口!$K$372=0,"",[1]对账明细接口!$K$372),"")</f>
      </c>
      <c r="L372" s="16">
        <f>IFERROR(IF([1]对账明细接口!$L$372=0,"",[1]对账明细接口!$L$372),"")</f>
      </c>
      <c r="M372" s="16">
        <f>IFERROR(IF([1]对账明细接口!$M$372=0,"",[1]对账明细接口!$M$372),"")</f>
      </c>
      <c r="N372" s="19">
        <f>IF($C372="",0,1)</f>
        <v>1</v>
      </c>
      <c r="O372" s="19">
        <f>N(O371)+$N372</f>
        <v>369</v>
      </c>
      <c r="S372" s="20" t="str">
        <f>IFERROR(IF([1]对账明细接口!$N372=0,"",[1]对账明细接口!$N372),"")</f>
        <v>公司红周转筐</v>
      </c>
      <c r="T372" s="212">
        <f>IFERROR(IF([1]对账明细接口!$O372=0,"",[1]对账明细接口!$O372),"")</f>
      </c>
      <c r="U372" s="212">
        <f>IFERROR(IF([1]对账明细接口!$P372=0,"",[1]对账明细接口!$P372),"")</f>
      </c>
      <c r="V372" s="212">
        <f>IFERROR(IF([1]对账明细接口!$Q372=0,"",[1]对账明细接口!$Q372),"")</f>
        <v>204</v>
      </c>
      <c r="W372" s="20" t="str">
        <f>IFERROR(IF([1]对账明细接口!$R372=0,"",[1]对账明细接口!$R372),"")</f>
        <v>新R*37010</v>
      </c>
      <c r="X372" s="20" t="str">
        <f>IFERROR(IF([1]对账明细接口!$S372=0,"",[1]对账明细接口!$S372),"")</f>
        <v>公司筐</v>
      </c>
      <c r="Y372" s="20">
        <f>IFERROR(IF([1]对账明细接口!$T372=0,"",[1]对账明细接口!$T372),"")</f>
      </c>
      <c r="Z372" s="213">
        <f>IFERROR(IF([1]对账明细接口!$U372=0,"",[1]对账明细接口!$U372),"")</f>
      </c>
      <c r="AA372" s="213">
        <f>IFERROR(IF([1]对账明细接口!$V372=0,"",[1]对账明细接口!$V372),"")</f>
      </c>
      <c r="AB372" s="20">
        <f>IFERROR(IF([1]对账明细接口!$W372=0,"",[1]对账明细接口!$W372),"")</f>
      </c>
      <c r="AC372" s="7">
        <f>IFERROR(IF([1]对账明细接口!$X372=0,"",[1]对账明细接口!$X372),"")</f>
      </c>
      <c r="AD372" s="7">
        <f>IFERROR(IF([1]对账明细接口!$Y372=0,"",[1]对账明细接口!$Y372),"")</f>
      </c>
      <c r="AE372" s="7">
        <f>IFERROR(IF([1]对账明细接口!$AA372=0,"",[1]对账明细接口!$AA372),"")</f>
      </c>
      <c r="AF372" s="7">
        <f>IFERROR(IF([1]对账明细接口!$AB372=0,"",[1]对账明细接口!$AB372),"")</f>
      </c>
      <c r="AG372" s="7">
        <f>IFERROR(IF([1]对账明细接口!$AC372=0,"",[1]对账明细接口!$AC372),"")</f>
      </c>
      <c r="AH372" s="7">
        <f>IFERROR(IF([1]对账明细接口!$AD372=0,"",[1]对账明细接口!$AD372),"")</f>
      </c>
      <c r="AI372" s="7">
        <f>IFERROR(IF([1]对账明细接口!$AE372=0,"",[1]对账明细接口!$AE372),"")</f>
      </c>
      <c r="AJ372" s="7">
        <f>IFERROR(IF([1]对账明细接口!$AF372=0,"",[1]对账明细接口!$AF372),"")</f>
      </c>
    </row>
    <row r="373" ht="14.25" customHeight="1" s="127">
      <c r="A373" s="14" t="n">
        <v>373</v>
      </c>
      <c r="B373" s="211">
        <f>IFERROR(IF([1]对账明细接口!$B$373=0,"",[1]对账明细接口!$B$373),"")</f>
        <v>46286.0</v>
      </c>
      <c r="C373" s="16" t="str">
        <f>IFERROR(IF([1]对账明细接口!$C$373=0,"",[1]对账明细接口!$C$373),"")</f>
        <v>麦麦提</v>
      </c>
      <c r="D373" s="16" t="str">
        <f>IFERROR(IF([1]对账明细接口!$D$373=0,"",[1]对账明细接口!$D$373),"")</f>
        <v>原料入库</v>
      </c>
      <c r="E373" s="16" t="str">
        <f>IFERROR(IF([1]对账明细接口!$E$373=0,"",[1]对账明细接口!$E$373),"")</f>
        <v>NO:0000946</v>
      </c>
      <c r="F373" s="16" t="str">
        <f>IFERROR(IF([1]对账明细接口!$F$373=0,"",[1]对账明细接口!$F$373),"")</f>
        <v>香梨</v>
      </c>
      <c r="G373" s="16" t="str">
        <f>IFERROR(IF([1]对账明细接口!$G$373=0,"",[1]对账明细接口!$G$373),"")</f>
        <v>香梨一级</v>
      </c>
      <c r="H373" s="176">
        <f>IFERROR(IF([1]对账明细接口!$H$373=0,"",[1]对账明细接口!$H$373),"")</f>
        <v>184</v>
      </c>
      <c r="I373" s="16" t="str">
        <f>IFERROR(IF([1]对账明细接口!$I$373=0,"",[1]对账明细接口!$I$373),"")</f>
        <v>筐</v>
      </c>
      <c r="J373" s="177">
        <f>IFERROR(IF([1]对账明细接口!$J$373=0,"",[1]对账明细接口!$J$373),"")</f>
        <v>3367.2</v>
      </c>
      <c r="K373" s="177">
        <f>IFERROR(IF([1]对账明细接口!$K$373=0,"",[1]对账明细接口!$K$373),"")</f>
      </c>
      <c r="L373" s="16">
        <f>IFERROR(IF([1]对账明细接口!$L$373=0,"",[1]对账明细接口!$L$373),"")</f>
      </c>
      <c r="M373" s="16">
        <f>IFERROR(IF([1]对账明细接口!$M$373=0,"",[1]对账明细接口!$M$373),"")</f>
      </c>
      <c r="N373" s="19">
        <f>IF($C373="",0,1)</f>
        <v>1</v>
      </c>
      <c r="O373" s="19">
        <f>N(O372)+$N373</f>
        <v>370</v>
      </c>
      <c r="S373" s="20" t="str">
        <f>IFERROR(IF([1]对账明细接口!$N373=0,"",[1]对账明细接口!$N373),"")</f>
        <v>公司红周转筐</v>
      </c>
      <c r="T373" s="212">
        <f>IFERROR(IF([1]对账明细接口!$O373=0,"",[1]对账明细接口!$O373),"")</f>
      </c>
      <c r="U373" s="212">
        <f>IFERROR(IF([1]对账明细接口!$P373=0,"",[1]对账明细接口!$P373),"")</f>
      </c>
      <c r="V373" s="212">
        <f>IFERROR(IF([1]对账明细接口!$Q373=0,"",[1]对账明细接口!$Q373),"")</f>
        <v>184</v>
      </c>
      <c r="W373" s="20" t="str">
        <f>IFERROR(IF([1]对账明细接口!$R373=0,"",[1]对账明细接口!$R373),"")</f>
        <v>新R*37010</v>
      </c>
      <c r="X373" s="20" t="str">
        <f>IFERROR(IF([1]对账明细接口!$S373=0,"",[1]对账明细接口!$S373),"")</f>
        <v>公司筐</v>
      </c>
      <c r="Y373" s="20">
        <f>IFERROR(IF([1]对账明细接口!$T373=0,"",[1]对账明细接口!$T373),"")</f>
      </c>
      <c r="Z373" s="213">
        <f>IFERROR(IF([1]对账明细接口!$U373=0,"",[1]对账明细接口!$U373),"")</f>
      </c>
      <c r="AA373" s="213">
        <f>IFERROR(IF([1]对账明细接口!$V373=0,"",[1]对账明细接口!$V373),"")</f>
      </c>
      <c r="AB373" s="20">
        <f>IFERROR(IF([1]对账明细接口!$W373=0,"",[1]对账明细接口!$W373),"")</f>
      </c>
      <c r="AC373" s="7">
        <f>IFERROR(IF([1]对账明细接口!$X373=0,"",[1]对账明细接口!$X373),"")</f>
      </c>
      <c r="AD373" s="7">
        <f>IFERROR(IF([1]对账明细接口!$Y373=0,"",[1]对账明细接口!$Y373),"")</f>
      </c>
      <c r="AE373" s="7">
        <f>IFERROR(IF([1]对账明细接口!$AA373=0,"",[1]对账明细接口!$AA373),"")</f>
      </c>
      <c r="AF373" s="7">
        <f>IFERROR(IF([1]对账明细接口!$AB373=0,"",[1]对账明细接口!$AB373),"")</f>
      </c>
      <c r="AG373" s="7">
        <f>IFERROR(IF([1]对账明细接口!$AC373=0,"",[1]对账明细接口!$AC373),"")</f>
      </c>
      <c r="AH373" s="7">
        <f>IFERROR(IF([1]对账明细接口!$AD373=0,"",[1]对账明细接口!$AD373),"")</f>
      </c>
      <c r="AI373" s="7">
        <f>IFERROR(IF([1]对账明细接口!$AE373=0,"",[1]对账明细接口!$AE373),"")</f>
      </c>
      <c r="AJ373" s="7">
        <f>IFERROR(IF([1]对账明细接口!$AF373=0,"",[1]对账明细接口!$AF373),"")</f>
      </c>
    </row>
    <row r="374" ht="14.25" customHeight="1" s="127">
      <c r="A374" s="14" t="n">
        <v>374</v>
      </c>
      <c r="B374" s="211">
        <f>IFERROR(IF([1]对账明细接口!$B$374=0,"",[1]对账明细接口!$B$374),"")</f>
        <v>46286.0</v>
      </c>
      <c r="C374" s="16" t="str">
        <f>IFERROR(IF([1]对账明细接口!$C$374=0,"",[1]对账明细接口!$C$374),"")</f>
        <v>麦麦提</v>
      </c>
      <c r="D374" s="16" t="str">
        <f>IFERROR(IF([1]对账明细接口!$D$374=0,"",[1]对账明细接口!$D$374),"")</f>
        <v>原料入库</v>
      </c>
      <c r="E374" s="16" t="str">
        <f>IFERROR(IF([1]对账明细接口!$E$374=0,"",[1]对账明细接口!$E$374),"")</f>
        <v>NO:0000946</v>
      </c>
      <c r="F374" s="16" t="str">
        <f>IFERROR(IF([1]对账明细接口!$F$374=0,"",[1]对账明细接口!$F$374),"")</f>
        <v>香梨</v>
      </c>
      <c r="G374" s="16" t="str">
        <f>IFERROR(IF([1]对账明细接口!$G$374=0,"",[1]对账明细接口!$G$374),"")</f>
        <v>香梨二级</v>
      </c>
      <c r="H374" s="176">
        <f>IFERROR(IF([1]对账明细接口!$H$374=0,"",[1]对账明细接口!$H$374),"")</f>
        <v>178</v>
      </c>
      <c r="I374" s="16" t="str">
        <f>IFERROR(IF([1]对账明细接口!$I$374=0,"",[1]对账明细接口!$I$374),"")</f>
        <v>筐</v>
      </c>
      <c r="J374" s="177">
        <f>IFERROR(IF([1]对账明细接口!$J$374=0,"",[1]对账明细接口!$J$374),"")</f>
        <v>3969.4</v>
      </c>
      <c r="K374" s="177">
        <f>IFERROR(IF([1]对账明细接口!$K$374=0,"",[1]对账明细接口!$K$374),"")</f>
      </c>
      <c r="L374" s="16">
        <f>IFERROR(IF([1]对账明细接口!$L$374=0,"",[1]对账明细接口!$L$374),"")</f>
      </c>
      <c r="M374" s="16">
        <f>IFERROR(IF([1]对账明细接口!$M$374=0,"",[1]对账明细接口!$M$374),"")</f>
      </c>
      <c r="N374" s="19">
        <f>IF($C374="",0,1)</f>
        <v>1</v>
      </c>
      <c r="O374" s="19">
        <f>N(O373)+$N374</f>
        <v>371</v>
      </c>
      <c r="S374" s="20" t="str">
        <f>IFERROR(IF([1]对账明细接口!$N374=0,"",[1]对账明细接口!$N374),"")</f>
        <v>公司红周转筐</v>
      </c>
      <c r="T374" s="212">
        <f>IFERROR(IF([1]对账明细接口!$O374=0,"",[1]对账明细接口!$O374),"")</f>
      </c>
      <c r="U374" s="212">
        <f>IFERROR(IF([1]对账明细接口!$P374=0,"",[1]对账明细接口!$P374),"")</f>
      </c>
      <c r="V374" s="212">
        <f>IFERROR(IF([1]对账明细接口!$Q374=0,"",[1]对账明细接口!$Q374),"")</f>
        <v>178</v>
      </c>
      <c r="W374" s="20" t="str">
        <f>IFERROR(IF([1]对账明细接口!$R374=0,"",[1]对账明细接口!$R374),"")</f>
        <v>新R*37010</v>
      </c>
      <c r="X374" s="20" t="str">
        <f>IFERROR(IF([1]对账明细接口!$S374=0,"",[1]对账明细接口!$S374),"")</f>
        <v>公司筐</v>
      </c>
      <c r="Y374" s="20">
        <f>IFERROR(IF([1]对账明细接口!$T374=0,"",[1]对账明细接口!$T374),"")</f>
      </c>
      <c r="Z374" s="213">
        <f>IFERROR(IF([1]对账明细接口!$U374=0,"",[1]对账明细接口!$U374),"")</f>
      </c>
      <c r="AA374" s="213">
        <f>IFERROR(IF([1]对账明细接口!$V374=0,"",[1]对账明细接口!$V374),"")</f>
      </c>
      <c r="AB374" s="20">
        <f>IFERROR(IF([1]对账明细接口!$W374=0,"",[1]对账明细接口!$W374),"")</f>
      </c>
      <c r="AC374" s="7">
        <f>IFERROR(IF([1]对账明细接口!$X374=0,"",[1]对账明细接口!$X374),"")</f>
      </c>
      <c r="AD374" s="7">
        <f>IFERROR(IF([1]对账明细接口!$Y374=0,"",[1]对账明细接口!$Y374),"")</f>
      </c>
      <c r="AE374" s="7">
        <f>IFERROR(IF([1]对账明细接口!$AA374=0,"",[1]对账明细接口!$AA374),"")</f>
      </c>
      <c r="AF374" s="7">
        <f>IFERROR(IF([1]对账明细接口!$AB374=0,"",[1]对账明细接口!$AB374),"")</f>
      </c>
      <c r="AG374" s="7">
        <f>IFERROR(IF([1]对账明细接口!$AC374=0,"",[1]对账明细接口!$AC374),"")</f>
      </c>
      <c r="AH374" s="7">
        <f>IFERROR(IF([1]对账明细接口!$AD374=0,"",[1]对账明细接口!$AD374),"")</f>
      </c>
      <c r="AI374" s="7">
        <f>IFERROR(IF([1]对账明细接口!$AE374=0,"",[1]对账明细接口!$AE374),"")</f>
      </c>
      <c r="AJ374" s="7">
        <f>IFERROR(IF([1]对账明细接口!$AF374=0,"",[1]对账明细接口!$AF374),"")</f>
      </c>
    </row>
    <row r="375" ht="14.25" customHeight="1" s="127">
      <c r="A375" s="14" t="n">
        <v>375</v>
      </c>
      <c r="B375" s="211">
        <f>IFERROR(IF([1]对账明细接口!$B$375=0,"",[1]对账明细接口!$B$375),"")</f>
        <v>46287.0</v>
      </c>
      <c r="C375" s="16" t="str">
        <f>IFERROR(IF([1]对账明细接口!$C$375=0,"",[1]对账明细接口!$C$375),"")</f>
        <v>努尔敦</v>
      </c>
      <c r="D375" s="16" t="str">
        <f>IFERROR(IF([1]对账明细接口!$D$375=0,"",[1]对账明细接口!$D$375),"")</f>
        <v>原料入库</v>
      </c>
      <c r="E375" s="16" t="str">
        <f>IFERROR(IF([1]对账明细接口!$E$375=0,"",[1]对账明细接口!$E$375),"")</f>
        <v>NO:0000947</v>
      </c>
      <c r="F375" s="16" t="str">
        <f>IFERROR(IF([1]对账明细接口!$F$375=0,"",[1]对账明细接口!$F$375),"")</f>
        <v>香梨</v>
      </c>
      <c r="G375" s="16" t="str">
        <f>IFERROR(IF([1]对账明细接口!$G$375=0,"",[1]对账明细接口!$G$375),"")</f>
        <v>香梨特级</v>
      </c>
      <c r="H375" s="176">
        <f>IFERROR(IF([1]对账明细接口!$H$375=0,"",[1]对账明细接口!$H$375),"")</f>
        <v>387</v>
      </c>
      <c r="I375" s="16" t="str">
        <f>IFERROR(IF([1]对账明细接口!$I$375=0,"",[1]对账明细接口!$I$375),"")</f>
        <v>筐</v>
      </c>
      <c r="J375" s="177">
        <f>IFERROR(IF([1]对账明细接口!$J$375=0,"",[1]对账明细接口!$J$375),"")</f>
        <v>7082.1</v>
      </c>
      <c r="K375" s="177">
        <f>IFERROR(IF([1]对账明细接口!$K$375=0,"",[1]对账明细接口!$K$375),"")</f>
      </c>
      <c r="L375" s="16">
        <f>IFERROR(IF([1]对账明细接口!$L$375=0,"",[1]对账明细接口!$L$375),"")</f>
      </c>
      <c r="M375" s="16">
        <f>IFERROR(IF([1]对账明细接口!$M$375=0,"",[1]对账明细接口!$M$375),"")</f>
      </c>
      <c r="N375" s="19">
        <f>IF($C375="",0,1)</f>
        <v>1</v>
      </c>
      <c r="O375" s="19">
        <f>N(O374)+$N375</f>
        <v>372</v>
      </c>
      <c r="S375" s="20" t="str">
        <f>IFERROR(IF([1]对账明细接口!$N375=0,"",[1]对账明细接口!$N375),"")</f>
        <v>公司红周转筐</v>
      </c>
      <c r="T375" s="212">
        <f>IFERROR(IF([1]对账明细接口!$O375=0,"",[1]对账明细接口!$O375),"")</f>
      </c>
      <c r="U375" s="212">
        <f>IFERROR(IF([1]对账明细接口!$P375=0,"",[1]对账明细接口!$P375),"")</f>
      </c>
      <c r="V375" s="212">
        <f>IFERROR(IF([1]对账明细接口!$Q375=0,"",[1]对账明细接口!$Q375),"")</f>
        <v>387</v>
      </c>
      <c r="W375" s="20" t="str">
        <f>IFERROR(IF([1]对账明细接口!$R375=0,"",[1]对账明细接口!$R375),"")</f>
        <v>新F*75240</v>
      </c>
      <c r="X375" s="20" t="str">
        <f>IFERROR(IF([1]对账明细接口!$S375=0,"",[1]对账明细接口!$S375),"")</f>
        <v>公司筐</v>
      </c>
      <c r="Y375" s="20">
        <f>IFERROR(IF([1]对账明细接口!$T375=0,"",[1]对账明细接口!$T375),"")</f>
      </c>
      <c r="Z375" s="213">
        <f>IFERROR(IF([1]对账明细接口!$U375=0,"",[1]对账明细接口!$U375),"")</f>
      </c>
      <c r="AA375" s="213">
        <f>IFERROR(IF([1]对账明细接口!$V375=0,"",[1]对账明细接口!$V375),"")</f>
      </c>
      <c r="AB375" s="20">
        <f>IFERROR(IF([1]对账明细接口!$W375=0,"",[1]对账明细接口!$W375),"")</f>
      </c>
      <c r="AC375" s="7">
        <f>IFERROR(IF([1]对账明细接口!$X375=0,"",[1]对账明细接口!$X375),"")</f>
      </c>
      <c r="AD375" s="7">
        <f>IFERROR(IF([1]对账明细接口!$Y375=0,"",[1]对账明细接口!$Y375),"")</f>
      </c>
      <c r="AE375" s="7">
        <f>IFERROR(IF([1]对账明细接口!$AA375=0,"",[1]对账明细接口!$AA375),"")</f>
      </c>
      <c r="AF375" s="7">
        <f>IFERROR(IF([1]对账明细接口!$AB375=0,"",[1]对账明细接口!$AB375),"")</f>
      </c>
      <c r="AG375" s="7">
        <f>IFERROR(IF([1]对账明细接口!$AC375=0,"",[1]对账明细接口!$AC375),"")</f>
      </c>
      <c r="AH375" s="7">
        <f>IFERROR(IF([1]对账明细接口!$AD375=0,"",[1]对账明细接口!$AD375),"")</f>
      </c>
      <c r="AI375" s="7">
        <f>IFERROR(IF([1]对账明细接口!$AE375=0,"",[1]对账明细接口!$AE375),"")</f>
      </c>
      <c r="AJ375" s="7">
        <f>IFERROR(IF([1]对账明细接口!$AF375=0,"",[1]对账明细接口!$AF375),"")</f>
      </c>
    </row>
    <row r="376" ht="14.25" customHeight="1" s="127">
      <c r="A376" s="14" t="n">
        <v>376</v>
      </c>
      <c r="B376" s="211">
        <f>IFERROR(IF([1]对账明细接口!$B$376=0,"",[1]对账明细接口!$B$376),"")</f>
        <v>46287.0</v>
      </c>
      <c r="C376" s="16" t="str">
        <f>IFERROR(IF([1]对账明细接口!$C$376=0,"",[1]对账明细接口!$C$376),"")</f>
        <v>努尔敦</v>
      </c>
      <c r="D376" s="16" t="str">
        <f>IFERROR(IF([1]对账明细接口!$D$376=0,"",[1]对账明细接口!$D$376),"")</f>
        <v>原料入库</v>
      </c>
      <c r="E376" s="16" t="str">
        <f>IFERROR(IF([1]对账明细接口!$E$376=0,"",[1]对账明细接口!$E$376),"")</f>
        <v>NO:0000947</v>
      </c>
      <c r="F376" s="16" t="str">
        <f>IFERROR(IF([1]对账明细接口!$F$376=0,"",[1]对账明细接口!$F$376),"")</f>
        <v>香梨</v>
      </c>
      <c r="G376" s="16" t="str">
        <f>IFERROR(IF([1]对账明细接口!$G$376=0,"",[1]对账明细接口!$G$376),"")</f>
        <v>香梨一级</v>
      </c>
      <c r="H376" s="176">
        <f>IFERROR(IF([1]对账明细接口!$H$376=0,"",[1]对账明细接口!$H$376),"")</f>
        <v>120</v>
      </c>
      <c r="I376" s="16" t="str">
        <f>IFERROR(IF([1]对账明细接口!$I$376=0,"",[1]对账明细接口!$I$376),"")</f>
        <v>筐</v>
      </c>
      <c r="J376" s="177">
        <f>IFERROR(IF([1]对账明细接口!$J$376=0,"",[1]对账明细接口!$J$376),"")</f>
        <v>2196</v>
      </c>
      <c r="K376" s="177">
        <f>IFERROR(IF([1]对账明细接口!$K$376=0,"",[1]对账明细接口!$K$376),"")</f>
      </c>
      <c r="L376" s="16">
        <f>IFERROR(IF([1]对账明细接口!$L$376=0,"",[1]对账明细接口!$L$376),"")</f>
      </c>
      <c r="M376" s="16">
        <f>IFERROR(IF([1]对账明细接口!$M$376=0,"",[1]对账明细接口!$M$376),"")</f>
      </c>
      <c r="N376" s="19">
        <f>IF($C376="",0,1)</f>
        <v>1</v>
      </c>
      <c r="O376" s="19">
        <f>N(O375)+$N376</f>
        <v>373</v>
      </c>
      <c r="S376" s="20" t="str">
        <f>IFERROR(IF([1]对账明细接口!$N376=0,"",[1]对账明细接口!$N376),"")</f>
        <v>公司红周转筐</v>
      </c>
      <c r="T376" s="212">
        <f>IFERROR(IF([1]对账明细接口!$O376=0,"",[1]对账明细接口!$O376),"")</f>
      </c>
      <c r="U376" s="212">
        <f>IFERROR(IF([1]对账明细接口!$P376=0,"",[1]对账明细接口!$P376),"")</f>
      </c>
      <c r="V376" s="212">
        <f>IFERROR(IF([1]对账明细接口!$Q376=0,"",[1]对账明细接口!$Q376),"")</f>
        <v>120</v>
      </c>
      <c r="W376" s="20" t="str">
        <f>IFERROR(IF([1]对账明细接口!$R376=0,"",[1]对账明细接口!$R376),"")</f>
        <v>新F*75240</v>
      </c>
      <c r="X376" s="20" t="str">
        <f>IFERROR(IF([1]对账明细接口!$S376=0,"",[1]对账明细接口!$S376),"")</f>
        <v>公司筐</v>
      </c>
      <c r="Y376" s="20">
        <f>IFERROR(IF([1]对账明细接口!$T376=0,"",[1]对账明细接口!$T376),"")</f>
      </c>
      <c r="Z376" s="213">
        <f>IFERROR(IF([1]对账明细接口!$U376=0,"",[1]对账明细接口!$U376),"")</f>
      </c>
      <c r="AA376" s="213">
        <f>IFERROR(IF([1]对账明细接口!$V376=0,"",[1]对账明细接口!$V376),"")</f>
      </c>
      <c r="AB376" s="20">
        <f>IFERROR(IF([1]对账明细接口!$W376=0,"",[1]对账明细接口!$W376),"")</f>
      </c>
      <c r="AC376" s="7">
        <f>IFERROR(IF([1]对账明细接口!$X376=0,"",[1]对账明细接口!$X376),"")</f>
      </c>
      <c r="AD376" s="7">
        <f>IFERROR(IF([1]对账明细接口!$Y376=0,"",[1]对账明细接口!$Y376),"")</f>
      </c>
      <c r="AE376" s="7">
        <f>IFERROR(IF([1]对账明细接口!$AA376=0,"",[1]对账明细接口!$AA376),"")</f>
      </c>
      <c r="AF376" s="7">
        <f>IFERROR(IF([1]对账明细接口!$AB376=0,"",[1]对账明细接口!$AB376),"")</f>
      </c>
      <c r="AG376" s="7">
        <f>IFERROR(IF([1]对账明细接口!$AC376=0,"",[1]对账明细接口!$AC376),"")</f>
      </c>
      <c r="AH376" s="7">
        <f>IFERROR(IF([1]对账明细接口!$AD376=0,"",[1]对账明细接口!$AD376),"")</f>
      </c>
      <c r="AI376" s="7">
        <f>IFERROR(IF([1]对账明细接口!$AE376=0,"",[1]对账明细接口!$AE376),"")</f>
      </c>
      <c r="AJ376" s="7">
        <f>IFERROR(IF([1]对账明细接口!$AF376=0,"",[1]对账明细接口!$AF376),"")</f>
      </c>
    </row>
    <row r="377" ht="14.25" customHeight="1" s="127">
      <c r="A377" s="14" t="n">
        <v>377</v>
      </c>
      <c r="B377" s="211">
        <f>IFERROR(IF([1]对账明细接口!$B$377=0,"",[1]对账明细接口!$B$377),"")</f>
        <v>46287.0</v>
      </c>
      <c r="C377" s="16" t="str">
        <f>IFERROR(IF([1]对账明细接口!$C$377=0,"",[1]对账明细接口!$C$377),"")</f>
        <v>努尔敦</v>
      </c>
      <c r="D377" s="16" t="str">
        <f>IFERROR(IF([1]对账明细接口!$D$377=0,"",[1]对账明细接口!$D$377),"")</f>
        <v>原料入库</v>
      </c>
      <c r="E377" s="16" t="str">
        <f>IFERROR(IF([1]对账明细接口!$E$377=0,"",[1]对账明细接口!$E$377),"")</f>
        <v>NO:0000947</v>
      </c>
      <c r="F377" s="16" t="str">
        <f>IFERROR(IF([1]对账明细接口!$F$377=0,"",[1]对账明细接口!$F$377),"")</f>
        <v>香梨</v>
      </c>
      <c r="G377" s="16" t="str">
        <f>IFERROR(IF([1]对账明细接口!$G$377=0,"",[1]对账明细接口!$G$377),"")</f>
        <v>香梨二级</v>
      </c>
      <c r="H377" s="176">
        <f>IFERROR(IF([1]对账明细接口!$H$377=0,"",[1]对账明细接口!$H$377),"")</f>
        <v>143</v>
      </c>
      <c r="I377" s="16" t="str">
        <f>IFERROR(IF([1]对账明细接口!$I$377=0,"",[1]对账明细接口!$I$377),"")</f>
        <v>筐</v>
      </c>
      <c r="J377" s="177">
        <f>IFERROR(IF([1]对账明细接口!$J$377=0,"",[1]对账明细接口!$J$377),"")</f>
        <v>3188.9</v>
      </c>
      <c r="K377" s="177">
        <f>IFERROR(IF([1]对账明细接口!$K$377=0,"",[1]对账明细接口!$K$377),"")</f>
      </c>
      <c r="L377" s="16">
        <f>IFERROR(IF([1]对账明细接口!$L$377=0,"",[1]对账明细接口!$L$377),"")</f>
      </c>
      <c r="M377" s="16">
        <f>IFERROR(IF([1]对账明细接口!$M$377=0,"",[1]对账明细接口!$M$377),"")</f>
      </c>
      <c r="N377" s="19">
        <f>IF($C377="",0,1)</f>
        <v>1</v>
      </c>
      <c r="O377" s="19">
        <f>N(O376)+$N377</f>
        <v>374</v>
      </c>
      <c r="S377" s="20" t="str">
        <f>IFERROR(IF([1]对账明细接口!$N377=0,"",[1]对账明细接口!$N377),"")</f>
        <v>公司红周转筐</v>
      </c>
      <c r="T377" s="212">
        <f>IFERROR(IF([1]对账明细接口!$O377=0,"",[1]对账明细接口!$O377),"")</f>
      </c>
      <c r="U377" s="212">
        <f>IFERROR(IF([1]对账明细接口!$P377=0,"",[1]对账明细接口!$P377),"")</f>
      </c>
      <c r="V377" s="212">
        <f>IFERROR(IF([1]对账明细接口!$Q377=0,"",[1]对账明细接口!$Q377),"")</f>
        <v>143</v>
      </c>
      <c r="W377" s="20" t="str">
        <f>IFERROR(IF([1]对账明细接口!$R377=0,"",[1]对账明细接口!$R377),"")</f>
        <v>新F*75240</v>
      </c>
      <c r="X377" s="20" t="str">
        <f>IFERROR(IF([1]对账明细接口!$S377=0,"",[1]对账明细接口!$S377),"")</f>
        <v>公司筐</v>
      </c>
      <c r="Y377" s="20">
        <f>IFERROR(IF([1]对账明细接口!$T377=0,"",[1]对账明细接口!$T377),"")</f>
      </c>
      <c r="Z377" s="213">
        <f>IFERROR(IF([1]对账明细接口!$U377=0,"",[1]对账明细接口!$U377),"")</f>
      </c>
      <c r="AA377" s="213">
        <f>IFERROR(IF([1]对账明细接口!$V377=0,"",[1]对账明细接口!$V377),"")</f>
      </c>
      <c r="AB377" s="20">
        <f>IFERROR(IF([1]对账明细接口!$W377=0,"",[1]对账明细接口!$W377),"")</f>
      </c>
      <c r="AC377" s="7">
        <f>IFERROR(IF([1]对账明细接口!$X377=0,"",[1]对账明细接口!$X377),"")</f>
      </c>
      <c r="AD377" s="7">
        <f>IFERROR(IF([1]对账明细接口!$Y377=0,"",[1]对账明细接口!$Y377),"")</f>
      </c>
      <c r="AE377" s="7">
        <f>IFERROR(IF([1]对账明细接口!$AA377=0,"",[1]对账明细接口!$AA377),"")</f>
      </c>
      <c r="AF377" s="7">
        <f>IFERROR(IF([1]对账明细接口!$AB377=0,"",[1]对账明细接口!$AB377),"")</f>
      </c>
      <c r="AG377" s="7">
        <f>IFERROR(IF([1]对账明细接口!$AC377=0,"",[1]对账明细接口!$AC377),"")</f>
      </c>
      <c r="AH377" s="7">
        <f>IFERROR(IF([1]对账明细接口!$AD377=0,"",[1]对账明细接口!$AD377),"")</f>
      </c>
      <c r="AI377" s="7">
        <f>IFERROR(IF([1]对账明细接口!$AE377=0,"",[1]对账明细接口!$AE377),"")</f>
      </c>
      <c r="AJ377" s="7">
        <f>IFERROR(IF([1]对账明细接口!$AF377=0,"",[1]对账明细接口!$AF377),"")</f>
      </c>
    </row>
    <row r="378" ht="14.25" customHeight="1" s="127">
      <c r="A378" s="14" t="n">
        <v>378</v>
      </c>
      <c r="B378" s="211">
        <f>IFERROR(IF([1]对账明细接口!$B$378=0,"",[1]对账明细接口!$B$378),"")</f>
        <v>46287.0</v>
      </c>
      <c r="C378" s="16" t="str">
        <f>IFERROR(IF([1]对账明细接口!$C$378=0,"",[1]对账明细接口!$C$378),"")</f>
        <v>王灵云</v>
      </c>
      <c r="D378" s="16" t="str">
        <f>IFERROR(IF([1]对账明细接口!$D$378=0,"",[1]对账明细接口!$D$378),"")</f>
        <v>原料入库</v>
      </c>
      <c r="E378" s="16" t="str">
        <f>IFERROR(IF([1]对账明细接口!$E$378=0,"",[1]对账明细接口!$E$378),"")</f>
        <v>NO:0000948</v>
      </c>
      <c r="F378" s="16" t="str">
        <f>IFERROR(IF([1]对账明细接口!$F$378=0,"",[1]对账明细接口!$F$378),"")</f>
        <v>香梨</v>
      </c>
      <c r="G378" s="16" t="str">
        <f>IFERROR(IF([1]对账明细接口!$G$378=0,"",[1]对账明细接口!$G$378),"")</f>
        <v>香梨一级</v>
      </c>
      <c r="H378" s="176">
        <f>IFERROR(IF([1]对账明细接口!$H$378=0,"",[1]对账明细接口!$H$378),"")</f>
        <v>612</v>
      </c>
      <c r="I378" s="16" t="str">
        <f>IFERROR(IF([1]对账明细接口!$I$378=0,"",[1]对账明细接口!$I$378),"")</f>
        <v>筐</v>
      </c>
      <c r="J378" s="177">
        <f>IFERROR(IF([1]对账明细接口!$J$378=0,"",[1]对账明细接口!$J$378),"")</f>
        <v>11199.6</v>
      </c>
      <c r="K378" s="177">
        <f>IFERROR(IF([1]对账明细接口!$K$378=0,"",[1]对账明细接口!$K$378),"")</f>
      </c>
      <c r="L378" s="16">
        <f>IFERROR(IF([1]对账明细接口!$L$378=0,"",[1]对账明细接口!$L$378),"")</f>
      </c>
      <c r="M378" s="16">
        <f>IFERROR(IF([1]对账明细接口!$M$378=0,"",[1]对账明细接口!$M$378),"")</f>
      </c>
      <c r="N378" s="19">
        <f>IF($C378="",0,1)</f>
        <v>1</v>
      </c>
      <c r="O378" s="19">
        <f>N(O377)+$N378</f>
        <v>375</v>
      </c>
      <c r="S378" s="20" t="str">
        <f>IFERROR(IF([1]对账明细接口!$N378=0,"",[1]对账明细接口!$N378),"")</f>
        <v>公司红周转筐</v>
      </c>
      <c r="T378" s="212">
        <f>IFERROR(IF([1]对账明细接口!$O378=0,"",[1]对账明细接口!$O378),"")</f>
      </c>
      <c r="U378" s="212">
        <f>IFERROR(IF([1]对账明细接口!$P378=0,"",[1]对账明细接口!$P378),"")</f>
      </c>
      <c r="V378" s="212">
        <f>IFERROR(IF([1]对账明细接口!$Q378=0,"",[1]对账明细接口!$Q378),"")</f>
        <v>612</v>
      </c>
      <c r="W378" s="20" t="str">
        <f>IFERROR(IF([1]对账明细接口!$R378=0,"",[1]对账明细接口!$R378),"")</f>
        <v>新N*49209</v>
      </c>
      <c r="X378" s="20" t="str">
        <f>IFERROR(IF([1]对账明细接口!$S378=0,"",[1]对账明细接口!$S378),"")</f>
        <v>公司筐</v>
      </c>
      <c r="Y378" s="20">
        <f>IFERROR(IF([1]对账明细接口!$T378=0,"",[1]对账明细接口!$T378),"")</f>
      </c>
      <c r="Z378" s="213">
        <f>IFERROR(IF([1]对账明细接口!$U378=0,"",[1]对账明细接口!$U378),"")</f>
      </c>
      <c r="AA378" s="213">
        <f>IFERROR(IF([1]对账明细接口!$V378=0,"",[1]对账明细接口!$V378),"")</f>
      </c>
      <c r="AB378" s="20">
        <f>IFERROR(IF([1]对账明细接口!$W378=0,"",[1]对账明细接口!$W378),"")</f>
      </c>
      <c r="AC378" s="7">
        <f>IFERROR(IF([1]对账明细接口!$X378=0,"",[1]对账明细接口!$X378),"")</f>
      </c>
      <c r="AD378" s="7">
        <f>IFERROR(IF([1]对账明细接口!$Y378=0,"",[1]对账明细接口!$Y378),"")</f>
      </c>
      <c r="AE378" s="7">
        <f>IFERROR(IF([1]对账明细接口!$AA378=0,"",[1]对账明细接口!$AA378),"")</f>
      </c>
      <c r="AF378" s="7">
        <f>IFERROR(IF([1]对账明细接口!$AB378=0,"",[1]对账明细接口!$AB378),"")</f>
      </c>
      <c r="AG378" s="7">
        <f>IFERROR(IF([1]对账明细接口!$AC378=0,"",[1]对账明细接口!$AC378),"")</f>
      </c>
      <c r="AH378" s="7">
        <f>IFERROR(IF([1]对账明细接口!$AD378=0,"",[1]对账明细接口!$AD378),"")</f>
      </c>
      <c r="AI378" s="7">
        <f>IFERROR(IF([1]对账明细接口!$AE378=0,"",[1]对账明细接口!$AE378),"")</f>
      </c>
      <c r="AJ378" s="7">
        <f>IFERROR(IF([1]对账明细接口!$AF378=0,"",[1]对账明细接口!$AF378),"")</f>
      </c>
    </row>
    <row r="379" ht="14.25" customHeight="1" s="127">
      <c r="A379" s="14" t="n">
        <v>379</v>
      </c>
      <c r="B379" s="211">
        <f>IFERROR(IF([1]对账明细接口!$B$379=0,"",[1]对账明细接口!$B$379),"")</f>
        <v>46287.0</v>
      </c>
      <c r="C379" s="16" t="str">
        <f>IFERROR(IF([1]对账明细接口!$C$379=0,"",[1]对账明细接口!$C$379),"")</f>
        <v>王灵云</v>
      </c>
      <c r="D379" s="16" t="str">
        <f>IFERROR(IF([1]对账明细接口!$D$379=0,"",[1]对账明细接口!$D$379),"")</f>
        <v>原料入库</v>
      </c>
      <c r="E379" s="16" t="str">
        <f>IFERROR(IF([1]对账明细接口!$E$379=0,"",[1]对账明细接口!$E$379),"")</f>
        <v>NO:0000948</v>
      </c>
      <c r="F379" s="16" t="str">
        <f>IFERROR(IF([1]对账明细接口!$F$379=0,"",[1]对账明细接口!$F$379),"")</f>
        <v>香梨</v>
      </c>
      <c r="G379" s="16" t="str">
        <f>IFERROR(IF([1]对账明细接口!$G$379=0,"",[1]对账明细接口!$G$379),"")</f>
        <v>香梨二级</v>
      </c>
      <c r="H379" s="176">
        <f>IFERROR(IF([1]对账明细接口!$H$379=0,"",[1]对账明细接口!$H$379),"")</f>
        <v>52</v>
      </c>
      <c r="I379" s="16" t="str">
        <f>IFERROR(IF([1]对账明细接口!$I$379=0,"",[1]对账明细接口!$I$379),"")</f>
        <v>筐</v>
      </c>
      <c r="J379" s="177">
        <f>IFERROR(IF([1]对账明细接口!$J$379=0,"",[1]对账明细接口!$J$379),"")</f>
        <v>1211.6</v>
      </c>
      <c r="K379" s="177">
        <f>IFERROR(IF([1]对账明细接口!$K$379=0,"",[1]对账明细接口!$K$379),"")</f>
      </c>
      <c r="L379" s="16">
        <f>IFERROR(IF([1]对账明细接口!$L$379=0,"",[1]对账明细接口!$L$379),"")</f>
      </c>
      <c r="M379" s="16">
        <f>IFERROR(IF([1]对账明细接口!$M$379=0,"",[1]对账明细接口!$M$379),"")</f>
      </c>
      <c r="N379" s="19">
        <f>IF($C379="",0,1)</f>
        <v>1</v>
      </c>
      <c r="O379" s="19">
        <f>N(O378)+$N379</f>
        <v>376</v>
      </c>
      <c r="S379" s="20" t="str">
        <f>IFERROR(IF([1]对账明细接口!$N379=0,"",[1]对账明细接口!$N379),"")</f>
        <v>公司红周转筐</v>
      </c>
      <c r="T379" s="212">
        <f>IFERROR(IF([1]对账明细接口!$O379=0,"",[1]对账明细接口!$O379),"")</f>
      </c>
      <c r="U379" s="212">
        <f>IFERROR(IF([1]对账明细接口!$P379=0,"",[1]对账明细接口!$P379),"")</f>
      </c>
      <c r="V379" s="212">
        <f>IFERROR(IF([1]对账明细接口!$Q379=0,"",[1]对账明细接口!$Q379),"")</f>
        <v>52</v>
      </c>
      <c r="W379" s="20" t="str">
        <f>IFERROR(IF([1]对账明细接口!$R379=0,"",[1]对账明细接口!$R379),"")</f>
        <v>新N*49209</v>
      </c>
      <c r="X379" s="20" t="str">
        <f>IFERROR(IF([1]对账明细接口!$S379=0,"",[1]对账明细接口!$S379),"")</f>
        <v>公司筐</v>
      </c>
      <c r="Y379" s="20">
        <f>IFERROR(IF([1]对账明细接口!$T379=0,"",[1]对账明细接口!$T379),"")</f>
      </c>
      <c r="Z379" s="213">
        <f>IFERROR(IF([1]对账明细接口!$U379=0,"",[1]对账明细接口!$U379),"")</f>
      </c>
      <c r="AA379" s="213">
        <f>IFERROR(IF([1]对账明细接口!$V379=0,"",[1]对账明细接口!$V379),"")</f>
      </c>
      <c r="AB379" s="20">
        <f>IFERROR(IF([1]对账明细接口!$W379=0,"",[1]对账明细接口!$W379),"")</f>
      </c>
      <c r="AC379" s="7">
        <f>IFERROR(IF([1]对账明细接口!$X379=0,"",[1]对账明细接口!$X379),"")</f>
      </c>
      <c r="AD379" s="7">
        <f>IFERROR(IF([1]对账明细接口!$Y379=0,"",[1]对账明细接口!$Y379),"")</f>
      </c>
      <c r="AE379" s="7">
        <f>IFERROR(IF([1]对账明细接口!$AA379=0,"",[1]对账明细接口!$AA379),"")</f>
      </c>
      <c r="AF379" s="7">
        <f>IFERROR(IF([1]对账明细接口!$AB379=0,"",[1]对账明细接口!$AB379),"")</f>
      </c>
      <c r="AG379" s="7">
        <f>IFERROR(IF([1]对账明细接口!$AC379=0,"",[1]对账明细接口!$AC379),"")</f>
      </c>
      <c r="AH379" s="7">
        <f>IFERROR(IF([1]对账明细接口!$AD379=0,"",[1]对账明细接口!$AD379),"")</f>
      </c>
      <c r="AI379" s="7">
        <f>IFERROR(IF([1]对账明细接口!$AE379=0,"",[1]对账明细接口!$AE379),"")</f>
      </c>
      <c r="AJ379" s="7">
        <f>IFERROR(IF([1]对账明细接口!$AF379=0,"",[1]对账明细接口!$AF379),"")</f>
      </c>
    </row>
    <row r="380" ht="14.25" customHeight="1" s="127">
      <c r="A380" s="14" t="n">
        <v>380</v>
      </c>
      <c r="B380" s="211">
        <f>IFERROR(IF([1]对账明细接口!$B$380=0,"",[1]对账明细接口!$B$380),"")</f>
        <v>46287.0</v>
      </c>
      <c r="C380" s="16" t="str">
        <f>IFERROR(IF([1]对账明细接口!$C$380=0,"",[1]对账明细接口!$C$380),"")</f>
        <v>王灵云</v>
      </c>
      <c r="D380" s="16" t="str">
        <f>IFERROR(IF([1]对账明细接口!$D$380=0,"",[1]对账明细接口!$D$380),"")</f>
        <v>原料入库</v>
      </c>
      <c r="E380" s="16" t="str">
        <f>IFERROR(IF([1]对账明细接口!$E$380=0,"",[1]对账明细接口!$E$380),"")</f>
        <v>NO:0000948</v>
      </c>
      <c r="F380" s="16" t="str">
        <f>IFERROR(IF([1]对账明细接口!$F$380=0,"",[1]对账明细接口!$F$380),"")</f>
        <v>香梨</v>
      </c>
      <c r="G380" s="16" t="str">
        <f>IFERROR(IF([1]对账明细接口!$G$380=0,"",[1]对账明细接口!$G$380),"")</f>
        <v>香梨副特</v>
      </c>
      <c r="H380" s="176">
        <f>IFERROR(IF([1]对账明细接口!$H$380=0,"",[1]对账明细接口!$H$380),"")</f>
        <v>25</v>
      </c>
      <c r="I380" s="16" t="str">
        <f>IFERROR(IF([1]对账明细接口!$I$380=0,"",[1]对账明细接口!$I$380),"")</f>
        <v>筐</v>
      </c>
      <c r="J380" s="177">
        <f>IFERROR(IF([1]对账明细接口!$J$380=0,"",[1]对账明细接口!$J$380),"")</f>
        <v>457.5</v>
      </c>
      <c r="K380" s="177">
        <f>IFERROR(IF([1]对账明细接口!$K$380=0,"",[1]对账明细接口!$K$380),"")</f>
      </c>
      <c r="L380" s="16">
        <f>IFERROR(IF([1]对账明细接口!$L$380=0,"",[1]对账明细接口!$L$380),"")</f>
      </c>
      <c r="M380" s="16">
        <f>IFERROR(IF([1]对账明细接口!$M$380=0,"",[1]对账明细接口!$M$380),"")</f>
      </c>
      <c r="N380" s="19">
        <f>IF($C380="",0,1)</f>
        <v>1</v>
      </c>
      <c r="O380" s="19">
        <f>N(O379)+$N380</f>
        <v>377</v>
      </c>
      <c r="S380" s="20" t="str">
        <f>IFERROR(IF([1]对账明细接口!$N380=0,"",[1]对账明细接口!$N380),"")</f>
        <v>公司红周转筐</v>
      </c>
      <c r="T380" s="212">
        <f>IFERROR(IF([1]对账明细接口!$O380=0,"",[1]对账明细接口!$O380),"")</f>
      </c>
      <c r="U380" s="212">
        <f>IFERROR(IF([1]对账明细接口!$P380=0,"",[1]对账明细接口!$P380),"")</f>
      </c>
      <c r="V380" s="212">
        <f>IFERROR(IF([1]对账明细接口!$Q380=0,"",[1]对账明细接口!$Q380),"")</f>
        <v>25</v>
      </c>
      <c r="W380" s="20" t="str">
        <f>IFERROR(IF([1]对账明细接口!$R380=0,"",[1]对账明细接口!$R380),"")</f>
        <v>新N*49209</v>
      </c>
      <c r="X380" s="20" t="str">
        <f>IFERROR(IF([1]对账明细接口!$S380=0,"",[1]对账明细接口!$S380),"")</f>
        <v>公司筐</v>
      </c>
      <c r="Y380" s="20">
        <f>IFERROR(IF([1]对账明细接口!$T380=0,"",[1]对账明细接口!$T380),"")</f>
      </c>
      <c r="Z380" s="213">
        <f>IFERROR(IF([1]对账明细接口!$U380=0,"",[1]对账明细接口!$U380),"")</f>
      </c>
      <c r="AA380" s="213">
        <f>IFERROR(IF([1]对账明细接口!$V380=0,"",[1]对账明细接口!$V380),"")</f>
      </c>
      <c r="AB380" s="20">
        <f>IFERROR(IF([1]对账明细接口!$W380=0,"",[1]对账明细接口!$W380),"")</f>
      </c>
      <c r="AC380" s="7">
        <f>IFERROR(IF([1]对账明细接口!$X380=0,"",[1]对账明细接口!$X380),"")</f>
      </c>
      <c r="AD380" s="7">
        <f>IFERROR(IF([1]对账明细接口!$Y380=0,"",[1]对账明细接口!$Y380),"")</f>
      </c>
      <c r="AE380" s="7">
        <f>IFERROR(IF([1]对账明细接口!$AA380=0,"",[1]对账明细接口!$AA380),"")</f>
      </c>
      <c r="AF380" s="7">
        <f>IFERROR(IF([1]对账明细接口!$AB380=0,"",[1]对账明细接口!$AB380),"")</f>
      </c>
      <c r="AG380" s="7">
        <f>IFERROR(IF([1]对账明细接口!$AC380=0,"",[1]对账明细接口!$AC380),"")</f>
      </c>
      <c r="AH380" s="7">
        <f>IFERROR(IF([1]对账明细接口!$AD380=0,"",[1]对账明细接口!$AD380),"")</f>
      </c>
      <c r="AI380" s="7">
        <f>IFERROR(IF([1]对账明细接口!$AE380=0,"",[1]对账明细接口!$AE380),"")</f>
      </c>
      <c r="AJ380" s="7">
        <f>IFERROR(IF([1]对账明细接口!$AF380=0,"",[1]对账明细接口!$AF380),"")</f>
      </c>
    </row>
    <row r="381" ht="14.25" customHeight="1" s="127">
      <c r="A381" s="14" t="n">
        <v>381</v>
      </c>
      <c r="B381" s="211">
        <f>IFERROR(IF([1]对账明细接口!$B$381=0,"",[1]对账明细接口!$B$381),"")</f>
        <v>46287.0</v>
      </c>
      <c r="C381" s="16" t="str">
        <f>IFERROR(IF([1]对账明细接口!$C$381=0,"",[1]对账明细接口!$C$381),"")</f>
        <v>王照雪</v>
      </c>
      <c r="D381" s="16" t="str">
        <f>IFERROR(IF([1]对账明细接口!$D$381=0,"",[1]对账明细接口!$D$381),"")</f>
        <v>原料入库</v>
      </c>
      <c r="E381" s="16" t="str">
        <f>IFERROR(IF([1]对账明细接口!$E$381=0,"",[1]对账明细接口!$E$381),"")</f>
        <v>NO:0000949</v>
      </c>
      <c r="F381" s="16" t="str">
        <f>IFERROR(IF([1]对账明细接口!$F$381=0,"",[1]对账明细接口!$F$381),"")</f>
        <v>香梨</v>
      </c>
      <c r="G381" s="16" t="str">
        <f>IFERROR(IF([1]对账明细接口!$G$381=0,"",[1]对账明细接口!$G$381),"")</f>
        <v>香梨一级</v>
      </c>
      <c r="H381" s="176">
        <f>IFERROR(IF([1]对账明细接口!$H$381=0,"",[1]对账明细接口!$H$381),"")</f>
        <v>130</v>
      </c>
      <c r="I381" s="16" t="str">
        <f>IFERROR(IF([1]对账明细接口!$I$381=0,"",[1]对账明细接口!$I$381),"")</f>
        <v>筐</v>
      </c>
      <c r="J381" s="177">
        <f>IFERROR(IF([1]对账明细接口!$J$381=0,"",[1]对账明细接口!$J$381),"")</f>
        <v>2535</v>
      </c>
      <c r="K381" s="177">
        <f>IFERROR(IF([1]对账明细接口!$K$381=0,"",[1]对账明细接口!$K$381),"")</f>
      </c>
      <c r="L381" s="16">
        <f>IFERROR(IF([1]对账明细接口!$L$381=0,"",[1]对账明细接口!$L$381),"")</f>
      </c>
      <c r="M381" s="16">
        <f>IFERROR(IF([1]对账明细接口!$M$381=0,"",[1]对账明细接口!$M$381),"")</f>
      </c>
      <c r="N381" s="19">
        <f>IF($C381="",0,1)</f>
        <v>1</v>
      </c>
      <c r="O381" s="19">
        <f>N(O380)+$N381</f>
        <v>378</v>
      </c>
      <c r="S381" s="20" t="str">
        <f>IFERROR(IF([1]对账明细接口!$N381=0,"",[1]对账明细接口!$N381),"")</f>
        <v>公司一次性筐</v>
      </c>
      <c r="T381" s="212">
        <f>IFERROR(IF([1]对账明细接口!$O381=0,"",[1]对账明细接口!$O381),"")</f>
      </c>
      <c r="U381" s="212">
        <f>IFERROR(IF([1]对账明细接口!$P381=0,"",[1]对账明细接口!$P381),"")</f>
      </c>
      <c r="V381" s="212">
        <f>IFERROR(IF([1]对账明细接口!$Q381=0,"",[1]对账明细接口!$Q381),"")</f>
        <v>130</v>
      </c>
      <c r="W381" s="20" t="str">
        <f>IFERROR(IF([1]对账明细接口!$R381=0,"",[1]对账明细接口!$R381),"")</f>
        <v>豫L*88X19</v>
      </c>
      <c r="X381" s="20" t="str">
        <f>IFERROR(IF([1]对账明细接口!$S381=0,"",[1]对账明细接口!$S381),"")</f>
        <v>公司筐</v>
      </c>
      <c r="Y381" s="20">
        <f>IFERROR(IF([1]对账明细接口!$T381=0,"",[1]对账明细接口!$T381),"")</f>
      </c>
      <c r="Z381" s="213">
        <f>IFERROR(IF([1]对账明细接口!$U381=0,"",[1]对账明细接口!$U381),"")</f>
      </c>
      <c r="AA381" s="213">
        <f>IFERROR(IF([1]对账明细接口!$V381=0,"",[1]对账明细接口!$V381),"")</f>
      </c>
      <c r="AB381" s="20">
        <f>IFERROR(IF([1]对账明细接口!$W381=0,"",[1]对账明细接口!$W381),"")</f>
      </c>
      <c r="AC381" s="7">
        <f>IFERROR(IF([1]对账明细接口!$X381=0,"",[1]对账明细接口!$X381),"")</f>
      </c>
      <c r="AD381" s="7">
        <f>IFERROR(IF([1]对账明细接口!$Y381=0,"",[1]对账明细接口!$Y381),"")</f>
      </c>
      <c r="AE381" s="7">
        <f>IFERROR(IF([1]对账明细接口!$AA381=0,"",[1]对账明细接口!$AA381),"")</f>
      </c>
      <c r="AF381" s="7">
        <f>IFERROR(IF([1]对账明细接口!$AB381=0,"",[1]对账明细接口!$AB381),"")</f>
      </c>
      <c r="AG381" s="7">
        <f>IFERROR(IF([1]对账明细接口!$AC381=0,"",[1]对账明细接口!$AC381),"")</f>
      </c>
      <c r="AH381" s="7">
        <f>IFERROR(IF([1]对账明细接口!$AD381=0,"",[1]对账明细接口!$AD381),"")</f>
      </c>
      <c r="AI381" s="7">
        <f>IFERROR(IF([1]对账明细接口!$AE381=0,"",[1]对账明细接口!$AE381),"")</f>
      </c>
      <c r="AJ381" s="7">
        <f>IFERROR(IF([1]对账明细接口!$AF381=0,"",[1]对账明细接口!$AF381),"")</f>
      </c>
    </row>
    <row r="382" ht="14.25" customHeight="1" s="127">
      <c r="A382" s="14" t="n">
        <v>382</v>
      </c>
      <c r="B382" s="211">
        <f>IFERROR(IF([1]对账明细接口!$B$382=0,"",[1]对账明细接口!$B$382),"")</f>
        <v>46287.0</v>
      </c>
      <c r="C382" s="16" t="str">
        <f>IFERROR(IF([1]对账明细接口!$C$382=0,"",[1]对账明细接口!$C$382),"")</f>
        <v>王照雪</v>
      </c>
      <c r="D382" s="16" t="str">
        <f>IFERROR(IF([1]对账明细接口!$D$382=0,"",[1]对账明细接口!$D$382),"")</f>
        <v>原料入库</v>
      </c>
      <c r="E382" s="16" t="str">
        <f>IFERROR(IF([1]对账明细接口!$E$382=0,"",[1]对账明细接口!$E$382),"")</f>
        <v>NO:0000949</v>
      </c>
      <c r="F382" s="16" t="str">
        <f>IFERROR(IF([1]对账明细接口!$F$382=0,"",[1]对账明细接口!$F$382),"")</f>
        <v>香梨</v>
      </c>
      <c r="G382" s="16" t="str">
        <f>IFERROR(IF([1]对账明细接口!$G$382=0,"",[1]对账明细接口!$G$382),"")</f>
        <v>香梨二级</v>
      </c>
      <c r="H382" s="176">
        <f>IFERROR(IF([1]对账明细接口!$H$382=0,"",[1]对账明细接口!$H$382),"")</f>
        <v>59</v>
      </c>
      <c r="I382" s="16" t="str">
        <f>IFERROR(IF([1]对账明细接口!$I$382=0,"",[1]对账明细接口!$I$382),"")</f>
        <v>筐</v>
      </c>
      <c r="J382" s="177">
        <f>IFERROR(IF([1]对账明细接口!$J$382=0,"",[1]对账明细接口!$J$382),"")</f>
        <v>1327.5</v>
      </c>
      <c r="K382" s="177">
        <f>IFERROR(IF([1]对账明细接口!$K$382=0,"",[1]对账明细接口!$K$382),"")</f>
      </c>
      <c r="L382" s="16">
        <f>IFERROR(IF([1]对账明细接口!$L$382=0,"",[1]对账明细接口!$L$382),"")</f>
      </c>
      <c r="M382" s="16">
        <f>IFERROR(IF([1]对账明细接口!$M$382=0,"",[1]对账明细接口!$M$382),"")</f>
      </c>
      <c r="N382" s="19">
        <f>IF($C382="",0,1)</f>
        <v>1</v>
      </c>
      <c r="O382" s="19">
        <f>N(O381)+$N382</f>
        <v>379</v>
      </c>
      <c r="S382" s="20" t="str">
        <f>IFERROR(IF([1]对账明细接口!$N382=0,"",[1]对账明细接口!$N382),"")</f>
        <v>公司一次性筐</v>
      </c>
      <c r="T382" s="212">
        <f>IFERROR(IF([1]对账明细接口!$O382=0,"",[1]对账明细接口!$O382),"")</f>
      </c>
      <c r="U382" s="212">
        <f>IFERROR(IF([1]对账明细接口!$P382=0,"",[1]对账明细接口!$P382),"")</f>
      </c>
      <c r="V382" s="212">
        <f>IFERROR(IF([1]对账明细接口!$Q382=0,"",[1]对账明细接口!$Q382),"")</f>
        <v>59</v>
      </c>
      <c r="W382" s="20" t="str">
        <f>IFERROR(IF([1]对账明细接口!$R382=0,"",[1]对账明细接口!$R382),"")</f>
        <v>豫L*88X19</v>
      </c>
      <c r="X382" s="20" t="str">
        <f>IFERROR(IF([1]对账明细接口!$S382=0,"",[1]对账明细接口!$S382),"")</f>
        <v>公司筐</v>
      </c>
      <c r="Y382" s="20">
        <f>IFERROR(IF([1]对账明细接口!$T382=0,"",[1]对账明细接口!$T382),"")</f>
      </c>
      <c r="Z382" s="213">
        <f>IFERROR(IF([1]对账明细接口!$U382=0,"",[1]对账明细接口!$U382),"")</f>
      </c>
      <c r="AA382" s="213">
        <f>IFERROR(IF([1]对账明细接口!$V382=0,"",[1]对账明细接口!$V382),"")</f>
      </c>
      <c r="AB382" s="20">
        <f>IFERROR(IF([1]对账明细接口!$W382=0,"",[1]对账明细接口!$W382),"")</f>
      </c>
      <c r="AC382" s="7">
        <f>IFERROR(IF([1]对账明细接口!$X382=0,"",[1]对账明细接口!$X382),"")</f>
      </c>
      <c r="AD382" s="7">
        <f>IFERROR(IF([1]对账明细接口!$Y382=0,"",[1]对账明细接口!$Y382),"")</f>
      </c>
      <c r="AE382" s="7">
        <f>IFERROR(IF([1]对账明细接口!$AA382=0,"",[1]对账明细接口!$AA382),"")</f>
      </c>
      <c r="AF382" s="7">
        <f>IFERROR(IF([1]对账明细接口!$AB382=0,"",[1]对账明细接口!$AB382),"")</f>
      </c>
      <c r="AG382" s="7">
        <f>IFERROR(IF([1]对账明细接口!$AC382=0,"",[1]对账明细接口!$AC382),"")</f>
      </c>
      <c r="AH382" s="7">
        <f>IFERROR(IF([1]对账明细接口!$AD382=0,"",[1]对账明细接口!$AD382),"")</f>
      </c>
      <c r="AI382" s="7">
        <f>IFERROR(IF([1]对账明细接口!$AE382=0,"",[1]对账明细接口!$AE382),"")</f>
      </c>
      <c r="AJ382" s="7">
        <f>IFERROR(IF([1]对账明细接口!$AF382=0,"",[1]对账明细接口!$AF382),"")</f>
      </c>
    </row>
    <row r="383" ht="14.25" customHeight="1" s="127">
      <c r="A383" s="14" t="n">
        <v>383</v>
      </c>
      <c r="B383" s="211">
        <f>IFERROR(IF([1]对账明细接口!$B$383=0,"",[1]对账明细接口!$B$383),"")</f>
        <v>46287.0</v>
      </c>
      <c r="C383" s="16" t="str">
        <f>IFERROR(IF([1]对账明细接口!$C$383=0,"",[1]对账明细接口!$C$383),"")</f>
        <v>王照雪</v>
      </c>
      <c r="D383" s="16" t="str">
        <f>IFERROR(IF([1]对账明细接口!$D$383=0,"",[1]对账明细接口!$D$383),"")</f>
        <v>原料入库</v>
      </c>
      <c r="E383" s="16" t="str">
        <f>IFERROR(IF([1]对账明细接口!$E$383=0,"",[1]对账明细接口!$E$383),"")</f>
        <v>NO:0000949</v>
      </c>
      <c r="F383" s="16" t="str">
        <f>IFERROR(IF([1]对账明细接口!$F$383=0,"",[1]对账明细接口!$F$383),"")</f>
        <v>香梨</v>
      </c>
      <c r="G383" s="16" t="str">
        <f>IFERROR(IF([1]对账明细接口!$G$383=0,"",[1]对账明细接口!$G$383),"")</f>
        <v>香梨副特</v>
      </c>
      <c r="H383" s="176">
        <f>IFERROR(IF([1]对账明细接口!$H$383=0,"",[1]对账明细接口!$H$383),"")</f>
        <v>148</v>
      </c>
      <c r="I383" s="16" t="str">
        <f>IFERROR(IF([1]对账明细接口!$I$383=0,"",[1]对账明细接口!$I$383),"")</f>
        <v>筐</v>
      </c>
      <c r="J383" s="177">
        <f>IFERROR(IF([1]对账明细接口!$J$383=0,"",[1]对账明细接口!$J$383),"")</f>
        <v>2886</v>
      </c>
      <c r="K383" s="177">
        <f>IFERROR(IF([1]对账明细接口!$K$383=0,"",[1]对账明细接口!$K$383),"")</f>
      </c>
      <c r="L383" s="16">
        <f>IFERROR(IF([1]对账明细接口!$L$383=0,"",[1]对账明细接口!$L$383),"")</f>
      </c>
      <c r="M383" s="16">
        <f>IFERROR(IF([1]对账明细接口!$M$383=0,"",[1]对账明细接口!$M$383),"")</f>
      </c>
      <c r="N383" s="19">
        <f>IF($C383="",0,1)</f>
        <v>1</v>
      </c>
      <c r="O383" s="19">
        <f>N(O382)+$N383</f>
        <v>380</v>
      </c>
      <c r="S383" s="20" t="str">
        <f>IFERROR(IF([1]对账明细接口!$N383=0,"",[1]对账明细接口!$N383),"")</f>
        <v>公司一次性筐</v>
      </c>
      <c r="T383" s="212">
        <f>IFERROR(IF([1]对账明细接口!$O383=0,"",[1]对账明细接口!$O383),"")</f>
      </c>
      <c r="U383" s="212">
        <f>IFERROR(IF([1]对账明细接口!$P383=0,"",[1]对账明细接口!$P383),"")</f>
      </c>
      <c r="V383" s="212">
        <f>IFERROR(IF([1]对账明细接口!$Q383=0,"",[1]对账明细接口!$Q383),"")</f>
        <v>148</v>
      </c>
      <c r="W383" s="20" t="str">
        <f>IFERROR(IF([1]对账明细接口!$R383=0,"",[1]对账明细接口!$R383),"")</f>
        <v>豫L*88X19</v>
      </c>
      <c r="X383" s="20" t="str">
        <f>IFERROR(IF([1]对账明细接口!$S383=0,"",[1]对账明细接口!$S383),"")</f>
        <v>公司筐</v>
      </c>
      <c r="Y383" s="20">
        <f>IFERROR(IF([1]对账明细接口!$T383=0,"",[1]对账明细接口!$T383),"")</f>
      </c>
      <c r="Z383" s="213">
        <f>IFERROR(IF([1]对账明细接口!$U383=0,"",[1]对账明细接口!$U383),"")</f>
      </c>
      <c r="AA383" s="213">
        <f>IFERROR(IF([1]对账明细接口!$V383=0,"",[1]对账明细接口!$V383),"")</f>
      </c>
      <c r="AB383" s="20">
        <f>IFERROR(IF([1]对账明细接口!$W383=0,"",[1]对账明细接口!$W383),"")</f>
      </c>
      <c r="AC383" s="7">
        <f>IFERROR(IF([1]对账明细接口!$X383=0,"",[1]对账明细接口!$X383),"")</f>
      </c>
      <c r="AD383" s="7">
        <f>IFERROR(IF([1]对账明细接口!$Y383=0,"",[1]对账明细接口!$Y383),"")</f>
      </c>
      <c r="AE383" s="7">
        <f>IFERROR(IF([1]对账明细接口!$AA383=0,"",[1]对账明细接口!$AA383),"")</f>
      </c>
      <c r="AF383" s="7">
        <f>IFERROR(IF([1]对账明细接口!$AB383=0,"",[1]对账明细接口!$AB383),"")</f>
      </c>
      <c r="AG383" s="7">
        <f>IFERROR(IF([1]对账明细接口!$AC383=0,"",[1]对账明细接口!$AC383),"")</f>
      </c>
      <c r="AH383" s="7">
        <f>IFERROR(IF([1]对账明细接口!$AD383=0,"",[1]对账明细接口!$AD383),"")</f>
      </c>
      <c r="AI383" s="7">
        <f>IFERROR(IF([1]对账明细接口!$AE383=0,"",[1]对账明细接口!$AE383),"")</f>
      </c>
      <c r="AJ383" s="7">
        <f>IFERROR(IF([1]对账明细接口!$AF383=0,"",[1]对账明细接口!$AF383),"")</f>
      </c>
    </row>
    <row r="384" ht="14.25" customHeight="1" s="127">
      <c r="A384" s="14" t="n">
        <v>384</v>
      </c>
      <c r="B384" s="211">
        <f>IFERROR(IF([1]对账明细接口!$B$384=0,"",[1]对账明细接口!$B$384),"")</f>
        <v>46287.0</v>
      </c>
      <c r="C384" s="16" t="str">
        <f>IFERROR(IF([1]对账明细接口!$C$384=0,"",[1]对账明细接口!$C$384),"")</f>
        <v>王浩</v>
      </c>
      <c r="D384" s="16" t="str">
        <f>IFERROR(IF([1]对账明细接口!$D$384=0,"",[1]对账明细接口!$D$384),"")</f>
        <v>原料入库</v>
      </c>
      <c r="E384" s="16" t="str">
        <f>IFERROR(IF([1]对账明细接口!$E$384=0,"",[1]对账明细接口!$E$384),"")</f>
        <v>NO:0000950</v>
      </c>
      <c r="F384" s="16" t="str">
        <f>IFERROR(IF([1]对账明细接口!$F$384=0,"",[1]对账明细接口!$F$384),"")</f>
        <v>香梨</v>
      </c>
      <c r="G384" s="16" t="str">
        <f>IFERROR(IF([1]对账明细接口!$G$384=0,"",[1]对账明细接口!$G$384),"")</f>
        <v>香梨一级</v>
      </c>
      <c r="H384" s="176">
        <f>IFERROR(IF([1]对账明细接口!$H$384=0,"",[1]对账明细接口!$H$384),"")</f>
        <v>407</v>
      </c>
      <c r="I384" s="16" t="str">
        <f>IFERROR(IF([1]对账明细接口!$I$384=0,"",[1]对账明细接口!$I$384),"")</f>
        <v>筐</v>
      </c>
      <c r="J384" s="177">
        <f>IFERROR(IF([1]对账明细接口!$J$384=0,"",[1]对账明细接口!$J$384),"")</f>
        <v>7448.1</v>
      </c>
      <c r="K384" s="177">
        <f>IFERROR(IF([1]对账明细接口!$K$384=0,"",[1]对账明细接口!$K$384),"")</f>
      </c>
      <c r="L384" s="16">
        <f>IFERROR(IF([1]对账明细接口!$L$384=0,"",[1]对账明细接口!$L$384),"")</f>
      </c>
      <c r="M384" s="16">
        <f>IFERROR(IF([1]对账明细接口!$M$384=0,"",[1]对账明细接口!$M$384),"")</f>
      </c>
      <c r="N384" s="19">
        <f>IF($C384="",0,1)</f>
        <v>1</v>
      </c>
      <c r="O384" s="19">
        <f>N(O383)+$N384</f>
        <v>381</v>
      </c>
      <c r="S384" s="20" t="str">
        <f>IFERROR(IF([1]对账明细接口!$N384=0,"",[1]对账明细接口!$N384),"")</f>
        <v>公司一次性筐</v>
      </c>
      <c r="T384" s="212">
        <f>IFERROR(IF([1]对账明细接口!$O384=0,"",[1]对账明细接口!$O384),"")</f>
      </c>
      <c r="U384" s="212">
        <f>IFERROR(IF([1]对账明细接口!$P384=0,"",[1]对账明细接口!$P384),"")</f>
      </c>
      <c r="V384" s="212">
        <f>IFERROR(IF([1]对账明细接口!$Q384=0,"",[1]对账明细接口!$Q384),"")</f>
        <v>407</v>
      </c>
      <c r="W384" s="20" t="str">
        <f>IFERROR(IF([1]对账明细接口!$R384=0,"",[1]对账明细接口!$R384),"")</f>
        <v>新A*G1620</v>
      </c>
      <c r="X384" s="20" t="str">
        <f>IFERROR(IF([1]对账明细接口!$S384=0,"",[1]对账明细接口!$S384),"")</f>
        <v>公司筐</v>
      </c>
      <c r="Y384" s="20">
        <f>IFERROR(IF([1]对账明细接口!$T384=0,"",[1]对账明细接口!$T384),"")</f>
      </c>
      <c r="Z384" s="213">
        <f>IFERROR(IF([1]对账明细接口!$U384=0,"",[1]对账明细接口!$U384),"")</f>
      </c>
      <c r="AA384" s="213">
        <f>IFERROR(IF([1]对账明细接口!$V384=0,"",[1]对账明细接口!$V384),"")</f>
      </c>
      <c r="AB384" s="20">
        <f>IFERROR(IF([1]对账明细接口!$W384=0,"",[1]对账明细接口!$W384),"")</f>
      </c>
      <c r="AC384" s="7">
        <f>IFERROR(IF([1]对账明细接口!$X384=0,"",[1]对账明细接口!$X384),"")</f>
      </c>
      <c r="AD384" s="7">
        <f>IFERROR(IF([1]对账明细接口!$Y384=0,"",[1]对账明细接口!$Y384),"")</f>
      </c>
      <c r="AE384" s="7">
        <f>IFERROR(IF([1]对账明细接口!$AA384=0,"",[1]对账明细接口!$AA384),"")</f>
      </c>
      <c r="AF384" s="7">
        <f>IFERROR(IF([1]对账明细接口!$AB384=0,"",[1]对账明细接口!$AB384),"")</f>
      </c>
      <c r="AG384" s="7">
        <f>IFERROR(IF([1]对账明细接口!$AC384=0,"",[1]对账明细接口!$AC384),"")</f>
      </c>
      <c r="AH384" s="7">
        <f>IFERROR(IF([1]对账明细接口!$AD384=0,"",[1]对账明细接口!$AD384),"")</f>
      </c>
      <c r="AI384" s="7">
        <f>IFERROR(IF([1]对账明细接口!$AE384=0,"",[1]对账明细接口!$AE384),"")</f>
      </c>
      <c r="AJ384" s="7">
        <f>IFERROR(IF([1]对账明细接口!$AF384=0,"",[1]对账明细接口!$AF384),"")</f>
      </c>
    </row>
    <row r="385" ht="14.25" customHeight="1" s="127">
      <c r="A385" s="14" t="n">
        <v>385</v>
      </c>
      <c r="B385" s="211">
        <f>IFERROR(IF([1]对账明细接口!$B$385=0,"",[1]对账明细接口!$B$385),"")</f>
        <v>46287.0</v>
      </c>
      <c r="C385" s="16" t="str">
        <f>IFERROR(IF([1]对账明细接口!$C$385=0,"",[1]对账明细接口!$C$385),"")</f>
        <v>王浩</v>
      </c>
      <c r="D385" s="16" t="str">
        <f>IFERROR(IF([1]对账明细接口!$D$385=0,"",[1]对账明细接口!$D$385),"")</f>
        <v>原料入库</v>
      </c>
      <c r="E385" s="16" t="str">
        <f>IFERROR(IF([1]对账明细接口!$E$385=0,"",[1]对账明细接口!$E$385),"")</f>
        <v>NO:0000950</v>
      </c>
      <c r="F385" s="16" t="str">
        <f>IFERROR(IF([1]对账明细接口!$F$385=0,"",[1]对账明细接口!$F$385),"")</f>
        <v>香梨</v>
      </c>
      <c r="G385" s="16" t="str">
        <f>IFERROR(IF([1]对账明细接口!$G$385=0,"",[1]对账明细接口!$G$385),"")</f>
        <v>香梨一级</v>
      </c>
      <c r="H385" s="176">
        <f>IFERROR(IF([1]对账明细接口!$H$385=0,"",[1]对账明细接口!$H$385),"")</f>
        <v>226</v>
      </c>
      <c r="I385" s="16" t="str">
        <f>IFERROR(IF([1]对账明细接口!$I$385=0,"",[1]对账明细接口!$I$385),"")</f>
        <v>筐</v>
      </c>
      <c r="J385" s="177">
        <f>IFERROR(IF([1]对账明细接口!$J$385=0,"",[1]对账明细接口!$J$385),"")</f>
        <v>4022.8</v>
      </c>
      <c r="K385" s="177">
        <f>IFERROR(IF([1]对账明细接口!$K$385=0,"",[1]对账明细接口!$K$385),"")</f>
      </c>
      <c r="L385" s="16">
        <f>IFERROR(IF([1]对账明细接口!$L$385=0,"",[1]对账明细接口!$L$385),"")</f>
      </c>
      <c r="M385" s="16" t="str">
        <f>IFERROR(IF([1]对账明细接口!$M$385=0,"",[1]对账明细接口!$M$385),"")</f>
        <v>自备白周转筐</v>
      </c>
      <c r="N385" s="19">
        <f>IF($C385="",0,1)</f>
        <v>1</v>
      </c>
      <c r="O385" s="19">
        <f>N(O384)+$N385</f>
        <v>382</v>
      </c>
      <c r="S385" s="20" t="str">
        <f>IFERROR(IF([1]对账明细接口!$N385=0,"",[1]对账明细接口!$N385),"")</f>
        <v>自备杂周转筐</v>
      </c>
      <c r="T385" s="212">
        <f>IFERROR(IF([1]对账明细接口!$O385=0,"",[1]对账明细接口!$O385),"")</f>
      </c>
      <c r="U385" s="212">
        <f>IFERROR(IF([1]对账明细接口!$P385=0,"",[1]对账明细接口!$P385),"")</f>
      </c>
      <c r="V385" s="212">
        <f>IFERROR(IF([1]对账明细接口!$Q385=0,"",[1]对账明细接口!$Q385),"")</f>
        <v>226</v>
      </c>
      <c r="W385" s="20" t="str">
        <f>IFERROR(IF([1]对账明细接口!$R385=0,"",[1]对账明细接口!$R385),"")</f>
        <v>新A*G1620</v>
      </c>
      <c r="X385" s="20" t="str">
        <f>IFERROR(IF([1]对账明细接口!$S385=0,"",[1]对账明细接口!$S385),"")</f>
        <v>自备筐</v>
      </c>
      <c r="Y385" s="20">
        <f>IFERROR(IF([1]对账明细接口!$T385=0,"",[1]对账明细接口!$T385),"")</f>
      </c>
      <c r="Z385" s="213">
        <f>IFERROR(IF([1]对账明细接口!$U385=0,"",[1]对账明细接口!$U385),"")</f>
      </c>
      <c r="AA385" s="213">
        <f>IFERROR(IF([1]对账明细接口!$V385=0,"",[1]对账明细接口!$V385),"")</f>
      </c>
      <c r="AB385" s="20">
        <f>IFERROR(IF([1]对账明细接口!$W385=0,"",[1]对账明细接口!$W385),"")</f>
      </c>
      <c r="AC385" s="7">
        <f>IFERROR(IF([1]对账明细接口!$X385=0,"",[1]对账明细接口!$X385),"")</f>
      </c>
      <c r="AD385" s="7">
        <f>IFERROR(IF([1]对账明细接口!$Y385=0,"",[1]对账明细接口!$Y385),"")</f>
      </c>
      <c r="AE385" s="7">
        <f>IFERROR(IF([1]对账明细接口!$AA385=0,"",[1]对账明细接口!$AA385),"")</f>
      </c>
      <c r="AF385" s="7">
        <f>IFERROR(IF([1]对账明细接口!$AB385=0,"",[1]对账明细接口!$AB385),"")</f>
      </c>
      <c r="AG385" s="7">
        <f>IFERROR(IF([1]对账明细接口!$AC385=0,"",[1]对账明细接口!$AC385),"")</f>
      </c>
      <c r="AH385" s="7">
        <f>IFERROR(IF([1]对账明细接口!$AD385=0,"",[1]对账明细接口!$AD385),"")</f>
      </c>
      <c r="AI385" s="7">
        <f>IFERROR(IF([1]对账明细接口!$AE385=0,"",[1]对账明细接口!$AE385),"")</f>
      </c>
      <c r="AJ385" s="7">
        <f>IFERROR(IF([1]对账明细接口!$AF385=0,"",[1]对账明细接口!$AF385),"")</f>
      </c>
    </row>
    <row r="386" ht="14.25" customHeight="1" s="127">
      <c r="A386" s="14" t="n">
        <v>386</v>
      </c>
      <c r="B386" s="211">
        <f>IFERROR(IF([1]对账明细接口!$B$386=0,"",[1]对账明细接口!$B$386),"")</f>
        <v>46287.0</v>
      </c>
      <c r="C386" s="16" t="str">
        <f>IFERROR(IF([1]对账明细接口!$C$386=0,"",[1]对账明细接口!$C$386),"")</f>
        <v>王灵云</v>
      </c>
      <c r="D386" s="16" t="str">
        <f>IFERROR(IF([1]对账明细接口!$D$386=0,"",[1]对账明细接口!$D$386),"")</f>
        <v>原料入库</v>
      </c>
      <c r="E386" s="16" t="str">
        <f>IFERROR(IF([1]对账明细接口!$E$386=0,"",[1]对账明细接口!$E$386),"")</f>
        <v>NO:0000953</v>
      </c>
      <c r="F386" s="16" t="str">
        <f>IFERROR(IF([1]对账明细接口!$F$386=0,"",[1]对账明细接口!$F$386),"")</f>
        <v>香梨</v>
      </c>
      <c r="G386" s="16" t="str">
        <f>IFERROR(IF([1]对账明细接口!$G$386=0,"",[1]对账明细接口!$G$386),"")</f>
        <v>香梨一级</v>
      </c>
      <c r="H386" s="176">
        <f>IFERROR(IF([1]对账明细接口!$H$386=0,"",[1]对账明细接口!$H$386),"")</f>
        <v>552</v>
      </c>
      <c r="I386" s="16" t="str">
        <f>IFERROR(IF([1]对账明细接口!$I$386=0,"",[1]对账明细接口!$I$386),"")</f>
        <v>筐</v>
      </c>
      <c r="J386" s="177">
        <f>IFERROR(IF([1]对账明细接口!$J$386=0,"",[1]对账明细接口!$J$386),"")</f>
        <v>10101.6</v>
      </c>
      <c r="K386" s="177">
        <f>IFERROR(IF([1]对账明细接口!$K$386=0,"",[1]对账明细接口!$K$386),"")</f>
      </c>
      <c r="L386" s="16">
        <f>IFERROR(IF([1]对账明细接口!$L$386=0,"",[1]对账明细接口!$L$386),"")</f>
      </c>
      <c r="M386" s="16">
        <f>IFERROR(IF([1]对账明细接口!$M$386=0,"",[1]对账明细接口!$M$386),"")</f>
      </c>
      <c r="N386" s="19">
        <f>IF($C386="",0,1)</f>
        <v>1</v>
      </c>
      <c r="O386" s="19">
        <f>N(O385)+$N386</f>
        <v>383</v>
      </c>
      <c r="S386" s="20" t="str">
        <f>IFERROR(IF([1]对账明细接口!$N386=0,"",[1]对账明细接口!$N386),"")</f>
        <v>公司红周转筐</v>
      </c>
      <c r="T386" s="212">
        <f>IFERROR(IF([1]对账明细接口!$O386=0,"",[1]对账明细接口!$O386),"")</f>
      </c>
      <c r="U386" s="212">
        <f>IFERROR(IF([1]对账明细接口!$P386=0,"",[1]对账明细接口!$P386),"")</f>
      </c>
      <c r="V386" s="212">
        <f>IFERROR(IF([1]对账明细接口!$Q386=0,"",[1]对账明细接口!$Q386),"")</f>
        <v>552</v>
      </c>
      <c r="W386" s="20" t="str">
        <f>IFERROR(IF([1]对账明细接口!$R386=0,"",[1]对账明细接口!$R386),"")</f>
        <v>新N*49209</v>
      </c>
      <c r="X386" s="20" t="str">
        <f>IFERROR(IF([1]对账明细接口!$S386=0,"",[1]对账明细接口!$S386),"")</f>
        <v>公司筐</v>
      </c>
      <c r="Y386" s="20">
        <f>IFERROR(IF([1]对账明细接口!$T386=0,"",[1]对账明细接口!$T386),"")</f>
      </c>
      <c r="Z386" s="213">
        <f>IFERROR(IF([1]对账明细接口!$U386=0,"",[1]对账明细接口!$U386),"")</f>
      </c>
      <c r="AA386" s="213">
        <f>IFERROR(IF([1]对账明细接口!$V386=0,"",[1]对账明细接口!$V386),"")</f>
      </c>
      <c r="AB386" s="20">
        <f>IFERROR(IF([1]对账明细接口!$W386=0,"",[1]对账明细接口!$W386),"")</f>
      </c>
      <c r="AC386" s="7">
        <f>IFERROR(IF([1]对账明细接口!$X386=0,"",[1]对账明细接口!$X386),"")</f>
      </c>
      <c r="AD386" s="7">
        <f>IFERROR(IF([1]对账明细接口!$Y386=0,"",[1]对账明细接口!$Y386),"")</f>
      </c>
      <c r="AE386" s="7">
        <f>IFERROR(IF([1]对账明细接口!$AA386=0,"",[1]对账明细接口!$AA386),"")</f>
      </c>
      <c r="AF386" s="7">
        <f>IFERROR(IF([1]对账明细接口!$AB386=0,"",[1]对账明细接口!$AB386),"")</f>
      </c>
      <c r="AG386" s="7">
        <f>IFERROR(IF([1]对账明细接口!$AC386=0,"",[1]对账明细接口!$AC386),"")</f>
      </c>
      <c r="AH386" s="7">
        <f>IFERROR(IF([1]对账明细接口!$AD386=0,"",[1]对账明细接口!$AD386),"")</f>
      </c>
      <c r="AI386" s="7">
        <f>IFERROR(IF([1]对账明细接口!$AE386=0,"",[1]对账明细接口!$AE386),"")</f>
      </c>
      <c r="AJ386" s="7">
        <f>IFERROR(IF([1]对账明细接口!$AF386=0,"",[1]对账明细接口!$AF386),"")</f>
      </c>
    </row>
    <row r="387" ht="14.25" customHeight="1" s="127">
      <c r="A387" s="14" t="n">
        <v>387</v>
      </c>
      <c r="B387" s="211">
        <f>IFERROR(IF([1]对账明细接口!$B$387=0,"",[1]对账明细接口!$B$387),"")</f>
        <v>46287.0</v>
      </c>
      <c r="C387" s="16" t="str">
        <f>IFERROR(IF([1]对账明细接口!$C$387=0,"",[1]对账明细接口!$C$387),"")</f>
        <v>王灵云</v>
      </c>
      <c r="D387" s="16" t="str">
        <f>IFERROR(IF([1]对账明细接口!$D$387=0,"",[1]对账明细接口!$D$387),"")</f>
        <v>原料入库</v>
      </c>
      <c r="E387" s="16" t="str">
        <f>IFERROR(IF([1]对账明细接口!$E$387=0,"",[1]对账明细接口!$E$387),"")</f>
        <v>NO:0000953</v>
      </c>
      <c r="F387" s="16" t="str">
        <f>IFERROR(IF([1]对账明细接口!$F$387=0,"",[1]对账明细接口!$F$387),"")</f>
        <v>香梨</v>
      </c>
      <c r="G387" s="16" t="str">
        <f>IFERROR(IF([1]对账明细接口!$G$387=0,"",[1]对账明细接口!$G$387),"")</f>
        <v>香梨二级</v>
      </c>
      <c r="H387" s="176">
        <f>IFERROR(IF([1]对账明细接口!$H$387=0,"",[1]对账明细接口!$H$387),"")</f>
        <v>85</v>
      </c>
      <c r="I387" s="16" t="str">
        <f>IFERROR(IF([1]对账明细接口!$I$387=0,"",[1]对账明细接口!$I$387),"")</f>
        <v>筐</v>
      </c>
      <c r="J387" s="177">
        <f>IFERROR(IF([1]对账明细接口!$J$387=0,"",[1]对账明细接口!$J$387),"")</f>
        <v>1980.5</v>
      </c>
      <c r="K387" s="177">
        <f>IFERROR(IF([1]对账明细接口!$K$387=0,"",[1]对账明细接口!$K$387),"")</f>
      </c>
      <c r="L387" s="16">
        <f>IFERROR(IF([1]对账明细接口!$L$387=0,"",[1]对账明细接口!$L$387),"")</f>
      </c>
      <c r="M387" s="16">
        <f>IFERROR(IF([1]对账明细接口!$M$387=0,"",[1]对账明细接口!$M$387),"")</f>
      </c>
      <c r="N387" s="19">
        <f>IF($C387="",0,1)</f>
        <v>1</v>
      </c>
      <c r="O387" s="19">
        <f>N(O386)+$N387</f>
        <v>384</v>
      </c>
      <c r="S387" s="20" t="str">
        <f>IFERROR(IF([1]对账明细接口!$N387=0,"",[1]对账明细接口!$N387),"")</f>
        <v>公司红周转筐</v>
      </c>
      <c r="T387" s="212">
        <f>IFERROR(IF([1]对账明细接口!$O387=0,"",[1]对账明细接口!$O387),"")</f>
      </c>
      <c r="U387" s="212">
        <f>IFERROR(IF([1]对账明细接口!$P387=0,"",[1]对账明细接口!$P387),"")</f>
      </c>
      <c r="V387" s="212">
        <f>IFERROR(IF([1]对账明细接口!$Q387=0,"",[1]对账明细接口!$Q387),"")</f>
        <v>85</v>
      </c>
      <c r="W387" s="20" t="str">
        <f>IFERROR(IF([1]对账明细接口!$R387=0,"",[1]对账明细接口!$R387),"")</f>
        <v>新N*49209</v>
      </c>
      <c r="X387" s="20" t="str">
        <f>IFERROR(IF([1]对账明细接口!$S387=0,"",[1]对账明细接口!$S387),"")</f>
        <v>公司筐</v>
      </c>
      <c r="Y387" s="20">
        <f>IFERROR(IF([1]对账明细接口!$T387=0,"",[1]对账明细接口!$T387),"")</f>
      </c>
      <c r="Z387" s="213">
        <f>IFERROR(IF([1]对账明细接口!$U387=0,"",[1]对账明细接口!$U387),"")</f>
      </c>
      <c r="AA387" s="213">
        <f>IFERROR(IF([1]对账明细接口!$V387=0,"",[1]对账明细接口!$V387),"")</f>
      </c>
      <c r="AB387" s="20">
        <f>IFERROR(IF([1]对账明细接口!$W387=0,"",[1]对账明细接口!$W387),"")</f>
      </c>
      <c r="AC387" s="7">
        <f>IFERROR(IF([1]对账明细接口!$X387=0,"",[1]对账明细接口!$X387),"")</f>
      </c>
      <c r="AD387" s="7">
        <f>IFERROR(IF([1]对账明细接口!$Y387=0,"",[1]对账明细接口!$Y387),"")</f>
      </c>
      <c r="AE387" s="7">
        <f>IFERROR(IF([1]对账明细接口!$AA387=0,"",[1]对账明细接口!$AA387),"")</f>
      </c>
      <c r="AF387" s="7">
        <f>IFERROR(IF([1]对账明细接口!$AB387=0,"",[1]对账明细接口!$AB387),"")</f>
      </c>
      <c r="AG387" s="7">
        <f>IFERROR(IF([1]对账明细接口!$AC387=0,"",[1]对账明细接口!$AC387),"")</f>
      </c>
      <c r="AH387" s="7">
        <f>IFERROR(IF([1]对账明细接口!$AD387=0,"",[1]对账明细接口!$AD387),"")</f>
      </c>
      <c r="AI387" s="7">
        <f>IFERROR(IF([1]对账明细接口!$AE387=0,"",[1]对账明细接口!$AE387),"")</f>
      </c>
      <c r="AJ387" s="7">
        <f>IFERROR(IF([1]对账明细接口!$AF387=0,"",[1]对账明细接口!$AF387),"")</f>
      </c>
    </row>
    <row r="388" ht="14.25" customHeight="1" s="127">
      <c r="A388" s="14" t="n">
        <v>388</v>
      </c>
      <c r="B388" s="211">
        <f>IFERROR(IF([1]对账明细接口!$B$388=0,"",[1]对账明细接口!$B$388),"")</f>
        <v>46287.0</v>
      </c>
      <c r="C388" s="16" t="str">
        <f>IFERROR(IF([1]对账明细接口!$C$388=0,"",[1]对账明细接口!$C$388),"")</f>
        <v>王灵云</v>
      </c>
      <c r="D388" s="16" t="str">
        <f>IFERROR(IF([1]对账明细接口!$D$388=0,"",[1]对账明细接口!$D$388),"")</f>
        <v>原料入库</v>
      </c>
      <c r="E388" s="16" t="str">
        <f>IFERROR(IF([1]对账明细接口!$E$388=0,"",[1]对账明细接口!$E$388),"")</f>
        <v>NO:0000953</v>
      </c>
      <c r="F388" s="16" t="str">
        <f>IFERROR(IF([1]对账明细接口!$F$388=0,"",[1]对账明细接口!$F$388),"")</f>
        <v>香梨</v>
      </c>
      <c r="G388" s="16" t="str">
        <f>IFERROR(IF([1]对账明细接口!$G$388=0,"",[1]对账明细接口!$G$388),"")</f>
        <v>香梨副特</v>
      </c>
      <c r="H388" s="176">
        <f>IFERROR(IF([1]对账明细接口!$H$388=0,"",[1]对账明细接口!$H$388),"")</f>
        <v>52</v>
      </c>
      <c r="I388" s="16" t="str">
        <f>IFERROR(IF([1]对账明细接口!$I$388=0,"",[1]对账明细接口!$I$388),"")</f>
        <v>筐</v>
      </c>
      <c r="J388" s="177">
        <f>IFERROR(IF([1]对账明细接口!$J$388=0,"",[1]对账明细接口!$J$388),"")</f>
        <v>951.6</v>
      </c>
      <c r="K388" s="177">
        <f>IFERROR(IF([1]对账明细接口!$K$388=0,"",[1]对账明细接口!$K$388),"")</f>
      </c>
      <c r="L388" s="16">
        <f>IFERROR(IF([1]对账明细接口!$L$388=0,"",[1]对账明细接口!$L$388),"")</f>
      </c>
      <c r="M388" s="16">
        <f>IFERROR(IF([1]对账明细接口!$M$388=0,"",[1]对账明细接口!$M$388),"")</f>
      </c>
      <c r="N388" s="19">
        <f>IF($C388="",0,1)</f>
        <v>1</v>
      </c>
      <c r="O388" s="19">
        <f>N(O387)+$N388</f>
        <v>385</v>
      </c>
      <c r="S388" s="20" t="str">
        <f>IFERROR(IF([1]对账明细接口!$N388=0,"",[1]对账明细接口!$N388),"")</f>
        <v>公司红周转筐</v>
      </c>
      <c r="T388" s="212">
        <f>IFERROR(IF([1]对账明细接口!$O388=0,"",[1]对账明细接口!$O388),"")</f>
      </c>
      <c r="U388" s="212">
        <f>IFERROR(IF([1]对账明细接口!$P388=0,"",[1]对账明细接口!$P388),"")</f>
      </c>
      <c r="V388" s="212">
        <f>IFERROR(IF([1]对账明细接口!$Q388=0,"",[1]对账明细接口!$Q388),"")</f>
        <v>52</v>
      </c>
      <c r="W388" s="20" t="str">
        <f>IFERROR(IF([1]对账明细接口!$R388=0,"",[1]对账明细接口!$R388),"")</f>
        <v>新N*49209</v>
      </c>
      <c r="X388" s="20" t="str">
        <f>IFERROR(IF([1]对账明细接口!$S388=0,"",[1]对账明细接口!$S388),"")</f>
        <v>公司筐</v>
      </c>
      <c r="Y388" s="20">
        <f>IFERROR(IF([1]对账明细接口!$T388=0,"",[1]对账明细接口!$T388),"")</f>
      </c>
      <c r="Z388" s="213">
        <f>IFERROR(IF([1]对账明细接口!$U388=0,"",[1]对账明细接口!$U388),"")</f>
      </c>
      <c r="AA388" s="213">
        <f>IFERROR(IF([1]对账明细接口!$V388=0,"",[1]对账明细接口!$V388),"")</f>
      </c>
      <c r="AB388" s="20">
        <f>IFERROR(IF([1]对账明细接口!$W388=0,"",[1]对账明细接口!$W388),"")</f>
      </c>
      <c r="AC388" s="7">
        <f>IFERROR(IF([1]对账明细接口!$X388=0,"",[1]对账明细接口!$X388),"")</f>
      </c>
      <c r="AD388" s="7">
        <f>IFERROR(IF([1]对账明细接口!$Y388=0,"",[1]对账明细接口!$Y388),"")</f>
      </c>
      <c r="AE388" s="7">
        <f>IFERROR(IF([1]对账明细接口!$AA388=0,"",[1]对账明细接口!$AA388),"")</f>
      </c>
      <c r="AF388" s="7">
        <f>IFERROR(IF([1]对账明细接口!$AB388=0,"",[1]对账明细接口!$AB388),"")</f>
      </c>
      <c r="AG388" s="7">
        <f>IFERROR(IF([1]对账明细接口!$AC388=0,"",[1]对账明细接口!$AC388),"")</f>
      </c>
      <c r="AH388" s="7">
        <f>IFERROR(IF([1]对账明细接口!$AD388=0,"",[1]对账明细接口!$AD388),"")</f>
      </c>
      <c r="AI388" s="7">
        <f>IFERROR(IF([1]对账明细接口!$AE388=0,"",[1]对账明细接口!$AE388),"")</f>
      </c>
      <c r="AJ388" s="7">
        <f>IFERROR(IF([1]对账明细接口!$AF388=0,"",[1]对账明细接口!$AF388),"")</f>
      </c>
    </row>
    <row r="389" ht="14.25" customHeight="1" s="127">
      <c r="A389" s="14" t="n">
        <v>389</v>
      </c>
      <c r="B389" s="211">
        <f>IFERROR(IF([1]对账明细接口!$B$389=0,"",[1]对账明细接口!$B$389),"")</f>
        <v>46288.0</v>
      </c>
      <c r="C389" s="16" t="str">
        <f>IFERROR(IF([1]对账明细接口!$C$389=0,"",[1]对账明细接口!$C$389),"")</f>
        <v>吐尔逊</v>
      </c>
      <c r="D389" s="16" t="str">
        <f>IFERROR(IF([1]对账明细接口!$D$389=0,"",[1]对账明细接口!$D$389),"")</f>
        <v>原料入库</v>
      </c>
      <c r="E389" s="16" t="str">
        <f>IFERROR(IF([1]对账明细接口!$E$389=0,"",[1]对账明细接口!$E$389),"")</f>
        <v>NO:0000954</v>
      </c>
      <c r="F389" s="16" t="str">
        <f>IFERROR(IF([1]对账明细接口!$F$389=0,"",[1]对账明细接口!$F$389),"")</f>
        <v>香梨</v>
      </c>
      <c r="G389" s="16" t="str">
        <f>IFERROR(IF([1]对账明细接口!$G$389=0,"",[1]对账明细接口!$G$389),"")</f>
        <v>香梨一级</v>
      </c>
      <c r="H389" s="176">
        <f>IFERROR(IF([1]对账明细接口!$H$389=0,"",[1]对账明细接口!$H$389),"")</f>
        <v>87</v>
      </c>
      <c r="I389" s="16" t="str">
        <f>IFERROR(IF([1]对账明细接口!$I$389=0,"",[1]对账明细接口!$I$389),"")</f>
        <v>筐</v>
      </c>
      <c r="J389" s="177">
        <f>IFERROR(IF([1]对账明细接口!$J$389=0,"",[1]对账明细接口!$J$389),"")</f>
        <v>1522.5</v>
      </c>
      <c r="K389" s="177">
        <f>IFERROR(IF([1]对账明细接口!$K$389=0,"",[1]对账明细接口!$K$389),"")</f>
      </c>
      <c r="L389" s="16">
        <f>IFERROR(IF([1]对账明细接口!$L$389=0,"",[1]对账明细接口!$L$389),"")</f>
      </c>
      <c r="M389" s="16">
        <f>IFERROR(IF([1]对账明细接口!$M$389=0,"",[1]对账明细接口!$M$389),"")</f>
      </c>
      <c r="N389" s="19">
        <f>IF($C389="",0,1)</f>
        <v>1</v>
      </c>
      <c r="O389" s="19">
        <f>N(O388)+$N389</f>
        <v>386</v>
      </c>
      <c r="S389" s="20" t="str">
        <f>IFERROR(IF([1]对账明细接口!$N389=0,"",[1]对账明细接口!$N389),"")</f>
        <v>公司一次性筐</v>
      </c>
      <c r="T389" s="212">
        <f>IFERROR(IF([1]对账明细接口!$O389=0,"",[1]对账明细接口!$O389),"")</f>
      </c>
      <c r="U389" s="212">
        <f>IFERROR(IF([1]对账明细接口!$P389=0,"",[1]对账明细接口!$P389),"")</f>
      </c>
      <c r="V389" s="212">
        <f>IFERROR(IF([1]对账明细接口!$Q389=0,"",[1]对账明细接口!$Q389),"")</f>
        <v>87</v>
      </c>
      <c r="W389" s="20" t="str">
        <f>IFERROR(IF([1]对账明细接口!$R389=0,"",[1]对账明细接口!$R389),"")</f>
        <v>新A*NZ020</v>
      </c>
      <c r="X389" s="20" t="str">
        <f>IFERROR(IF([1]对账明细接口!$S389=0,"",[1]对账明细接口!$S389),"")</f>
        <v>公司筐</v>
      </c>
      <c r="Y389" s="20">
        <f>IFERROR(IF([1]对账明细接口!$T389=0,"",[1]对账明细接口!$T389),"")</f>
      </c>
      <c r="Z389" s="213">
        <f>IFERROR(IF([1]对账明细接口!$U389=0,"",[1]对账明细接口!$U389),"")</f>
      </c>
      <c r="AA389" s="213">
        <f>IFERROR(IF([1]对账明细接口!$V389=0,"",[1]对账明细接口!$V389),"")</f>
      </c>
      <c r="AB389" s="20">
        <f>IFERROR(IF([1]对账明细接口!$W389=0,"",[1]对账明细接口!$W389),"")</f>
      </c>
      <c r="AC389" s="7">
        <f>IFERROR(IF([1]对账明细接口!$X389=0,"",[1]对账明细接口!$X389),"")</f>
      </c>
      <c r="AD389" s="7">
        <f>IFERROR(IF([1]对账明细接口!$Y389=0,"",[1]对账明细接口!$Y389),"")</f>
      </c>
      <c r="AE389" s="7">
        <f>IFERROR(IF([1]对账明细接口!$AA389=0,"",[1]对账明细接口!$AA389),"")</f>
      </c>
      <c r="AF389" s="7">
        <f>IFERROR(IF([1]对账明细接口!$AB389=0,"",[1]对账明细接口!$AB389),"")</f>
      </c>
      <c r="AG389" s="7">
        <f>IFERROR(IF([1]对账明细接口!$AC389=0,"",[1]对账明细接口!$AC389),"")</f>
      </c>
      <c r="AH389" s="7">
        <f>IFERROR(IF([1]对账明细接口!$AD389=0,"",[1]对账明细接口!$AD389),"")</f>
      </c>
      <c r="AI389" s="7">
        <f>IFERROR(IF([1]对账明细接口!$AE389=0,"",[1]对账明细接口!$AE389),"")</f>
      </c>
      <c r="AJ389" s="7">
        <f>IFERROR(IF([1]对账明细接口!$AF389=0,"",[1]对账明细接口!$AF389),"")</f>
      </c>
    </row>
    <row r="390" ht="14.25" customHeight="1" s="127">
      <c r="A390" s="14" t="n">
        <v>390</v>
      </c>
      <c r="B390" s="211">
        <f>IFERROR(IF([1]对账明细接口!$B$390=0,"",[1]对账明细接口!$B$390),"")</f>
        <v>46288.0</v>
      </c>
      <c r="C390" s="16" t="str">
        <f>IFERROR(IF([1]对账明细接口!$C$390=0,"",[1]对账明细接口!$C$390),"")</f>
        <v>吐尔逊</v>
      </c>
      <c r="D390" s="16" t="str">
        <f>IFERROR(IF([1]对账明细接口!$D$390=0,"",[1]对账明细接口!$D$390),"")</f>
        <v>原料入库</v>
      </c>
      <c r="E390" s="16" t="str">
        <f>IFERROR(IF([1]对账明细接口!$E$390=0,"",[1]对账明细接口!$E$390),"")</f>
        <v>NO:0000954</v>
      </c>
      <c r="F390" s="16" t="str">
        <f>IFERROR(IF([1]对账明细接口!$F$390=0,"",[1]对账明细接口!$F$390),"")</f>
        <v>香梨</v>
      </c>
      <c r="G390" s="16" t="str">
        <f>IFERROR(IF([1]对账明细接口!$G$390=0,"",[1]对账明细接口!$G$390),"")</f>
        <v>香梨二级</v>
      </c>
      <c r="H390" s="176">
        <f>IFERROR(IF([1]对账明细接口!$H$390=0,"",[1]对账明细接口!$H$390),"")</f>
        <v>73</v>
      </c>
      <c r="I390" s="16" t="str">
        <f>IFERROR(IF([1]对账明细接口!$I$390=0,"",[1]对账明细接口!$I$390),"")</f>
        <v>筐</v>
      </c>
      <c r="J390" s="177">
        <f>IFERROR(IF([1]对账明细接口!$J$390=0,"",[1]对账明细接口!$J$390),"")</f>
        <v>1788.5</v>
      </c>
      <c r="K390" s="177">
        <f>IFERROR(IF([1]对账明细接口!$K$390=0,"",[1]对账明细接口!$K$390),"")</f>
      </c>
      <c r="L390" s="16">
        <f>IFERROR(IF([1]对账明细接口!$L$390=0,"",[1]对账明细接口!$L$390),"")</f>
      </c>
      <c r="M390" s="16">
        <f>IFERROR(IF([1]对账明细接口!$M$390=0,"",[1]对账明细接口!$M$390),"")</f>
      </c>
      <c r="N390" s="19">
        <f>IF($C390="",0,1)</f>
        <v>1</v>
      </c>
      <c r="O390" s="19">
        <f>N(O389)+$N390</f>
        <v>387</v>
      </c>
      <c r="S390" s="20" t="str">
        <f>IFERROR(IF([1]对账明细接口!$N390=0,"",[1]对账明细接口!$N390),"")</f>
        <v>公司一次性筐</v>
      </c>
      <c r="T390" s="212">
        <f>IFERROR(IF([1]对账明细接口!$O390=0,"",[1]对账明细接口!$O390),"")</f>
      </c>
      <c r="U390" s="212">
        <f>IFERROR(IF([1]对账明细接口!$P390=0,"",[1]对账明细接口!$P390),"")</f>
      </c>
      <c r="V390" s="212">
        <f>IFERROR(IF([1]对账明细接口!$Q390=0,"",[1]对账明细接口!$Q390),"")</f>
        <v>73</v>
      </c>
      <c r="W390" s="20" t="str">
        <f>IFERROR(IF([1]对账明细接口!$R390=0,"",[1]对账明细接口!$R390),"")</f>
        <v>新A*NZ020</v>
      </c>
      <c r="X390" s="20" t="str">
        <f>IFERROR(IF([1]对账明细接口!$S390=0,"",[1]对账明细接口!$S390),"")</f>
        <v>公司筐</v>
      </c>
      <c r="Y390" s="20">
        <f>IFERROR(IF([1]对账明细接口!$T390=0,"",[1]对账明细接口!$T390),"")</f>
      </c>
      <c r="Z390" s="213">
        <f>IFERROR(IF([1]对账明细接口!$U390=0,"",[1]对账明细接口!$U390),"")</f>
      </c>
      <c r="AA390" s="213">
        <f>IFERROR(IF([1]对账明细接口!$V390=0,"",[1]对账明细接口!$V390),"")</f>
      </c>
      <c r="AB390" s="20">
        <f>IFERROR(IF([1]对账明细接口!$W390=0,"",[1]对账明细接口!$W390),"")</f>
      </c>
      <c r="AC390" s="7">
        <f>IFERROR(IF([1]对账明细接口!$X390=0,"",[1]对账明细接口!$X390),"")</f>
      </c>
      <c r="AD390" s="7">
        <f>IFERROR(IF([1]对账明细接口!$Y390=0,"",[1]对账明细接口!$Y390),"")</f>
      </c>
      <c r="AE390" s="7">
        <f>IFERROR(IF([1]对账明细接口!$AA390=0,"",[1]对账明细接口!$AA390),"")</f>
      </c>
      <c r="AF390" s="7">
        <f>IFERROR(IF([1]对账明细接口!$AB390=0,"",[1]对账明细接口!$AB390),"")</f>
      </c>
      <c r="AG390" s="7">
        <f>IFERROR(IF([1]对账明细接口!$AC390=0,"",[1]对账明细接口!$AC390),"")</f>
      </c>
      <c r="AH390" s="7">
        <f>IFERROR(IF([1]对账明细接口!$AD390=0,"",[1]对账明细接口!$AD390),"")</f>
      </c>
      <c r="AI390" s="7">
        <f>IFERROR(IF([1]对账明细接口!$AE390=0,"",[1]对账明细接口!$AE390),"")</f>
      </c>
      <c r="AJ390" s="7">
        <f>IFERROR(IF([1]对账明细接口!$AF390=0,"",[1]对账明细接口!$AF390),"")</f>
      </c>
    </row>
    <row r="391" ht="14.25" customHeight="1" s="127">
      <c r="A391" s="14" t="n">
        <v>391</v>
      </c>
      <c r="B391" s="211">
        <f>IFERROR(IF([1]对账明细接口!$B$391=0,"",[1]对账明细接口!$B$391),"")</f>
        <v>46288.0</v>
      </c>
      <c r="C391" s="16" t="str">
        <f>IFERROR(IF([1]对账明细接口!$C$391=0,"",[1]对账明细接口!$C$391),"")</f>
        <v>王照雪</v>
      </c>
      <c r="D391" s="16" t="str">
        <f>IFERROR(IF([1]对账明细接口!$D$391=0,"",[1]对账明细接口!$D$391),"")</f>
        <v>原料入库</v>
      </c>
      <c r="E391" s="16" t="str">
        <f>IFERROR(IF([1]对账明细接口!$E$391=0,"",[1]对账明细接口!$E$391),"")</f>
        <v>NO:0000956</v>
      </c>
      <c r="F391" s="16" t="str">
        <f>IFERROR(IF([1]对账明细接口!$F$391=0,"",[1]对账明细接口!$F$391),"")</f>
        <v>苹果</v>
      </c>
      <c r="G391" s="16" t="str">
        <f>IFERROR(IF([1]对账明细接口!$G$391=0,"",[1]对账明细接口!$G$391),"")</f>
        <v>新世纪一级</v>
      </c>
      <c r="H391" s="176">
        <f>IFERROR(IF([1]对账明细接口!$H$391=0,"",[1]对账明细接口!$H$391),"")</f>
        <v>111</v>
      </c>
      <c r="I391" s="16" t="str">
        <f>IFERROR(IF([1]对账明细接口!$I$391=0,"",[1]对账明细接口!$I$391),"")</f>
        <v>筐</v>
      </c>
      <c r="J391" s="177">
        <f>IFERROR(IF([1]对账明细接口!$J$391=0,"",[1]对账明细接口!$J$391),"")</f>
        <v>1920.3</v>
      </c>
      <c r="K391" s="177">
        <f>IFERROR(IF([1]对账明细接口!$K$391=0,"",[1]对账明细接口!$K$391),"")</f>
      </c>
      <c r="L391" s="16">
        <f>IFERROR(IF([1]对账明细接口!$L$391=0,"",[1]对账明细接口!$L$391),"")</f>
      </c>
      <c r="M391" s="16">
        <f>IFERROR(IF([1]对账明细接口!$M$391=0,"",[1]对账明细接口!$M$391),"")</f>
      </c>
      <c r="N391" s="19">
        <f>IF($C391="",0,1)</f>
        <v>1</v>
      </c>
      <c r="O391" s="19">
        <f>N(O390)+$N391</f>
        <v>388</v>
      </c>
      <c r="S391" s="20" t="str">
        <f>IFERROR(IF([1]对账明细接口!$N391=0,"",[1]对账明细接口!$N391),"")</f>
        <v>公司杂周转筐</v>
      </c>
      <c r="T391" s="212">
        <f>IFERROR(IF([1]对账明细接口!$O391=0,"",[1]对账明细接口!$O391),"")</f>
      </c>
      <c r="U391" s="212">
        <f>IFERROR(IF([1]对账明细接口!$P391=0,"",[1]对账明细接口!$P391),"")</f>
      </c>
      <c r="V391" s="212">
        <f>IFERROR(IF([1]对账明细接口!$Q391=0,"",[1]对账明细接口!$Q391),"")</f>
        <v>111</v>
      </c>
      <c r="W391" s="20" t="str">
        <f>IFERROR(IF([1]对账明细接口!$R391=0,"",[1]对账明细接口!$R391),"")</f>
        <v>豫L*88X19</v>
      </c>
      <c r="X391" s="20" t="str">
        <f>IFERROR(IF([1]对账明细接口!$S391=0,"",[1]对账明细接口!$S391),"")</f>
        <v>公司筐</v>
      </c>
      <c r="Y391" s="20">
        <f>IFERROR(IF([1]对账明细接口!$T391=0,"",[1]对账明细接口!$T391),"")</f>
      </c>
      <c r="Z391" s="213">
        <f>IFERROR(IF([1]对账明细接口!$U391=0,"",[1]对账明细接口!$U391),"")</f>
      </c>
      <c r="AA391" s="213">
        <f>IFERROR(IF([1]对账明细接口!$V391=0,"",[1]对账明细接口!$V391),"")</f>
      </c>
      <c r="AB391" s="20">
        <f>IFERROR(IF([1]对账明细接口!$W391=0,"",[1]对账明细接口!$W391),"")</f>
      </c>
      <c r="AC391" s="7">
        <f>IFERROR(IF([1]对账明细接口!$X391=0,"",[1]对账明细接口!$X391),"")</f>
      </c>
      <c r="AD391" s="7">
        <f>IFERROR(IF([1]对账明细接口!$Y391=0,"",[1]对账明细接口!$Y391),"")</f>
      </c>
      <c r="AE391" s="7">
        <f>IFERROR(IF([1]对账明细接口!$AA391=0,"",[1]对账明细接口!$AA391),"")</f>
      </c>
      <c r="AF391" s="7">
        <f>IFERROR(IF([1]对账明细接口!$AB391=0,"",[1]对账明细接口!$AB391),"")</f>
      </c>
      <c r="AG391" s="7">
        <f>IFERROR(IF([1]对账明细接口!$AC391=0,"",[1]对账明细接口!$AC391),"")</f>
      </c>
      <c r="AH391" s="7">
        <f>IFERROR(IF([1]对账明细接口!$AD391=0,"",[1]对账明细接口!$AD391),"")</f>
      </c>
      <c r="AI391" s="7">
        <f>IFERROR(IF([1]对账明细接口!$AE391=0,"",[1]对账明细接口!$AE391),"")</f>
      </c>
      <c r="AJ391" s="7">
        <f>IFERROR(IF([1]对账明细接口!$AF391=0,"",[1]对账明细接口!$AF391),"")</f>
      </c>
    </row>
    <row r="392" ht="14.25" customHeight="1" s="127">
      <c r="A392" s="14" t="n">
        <v>392</v>
      </c>
      <c r="B392" s="211">
        <f>IFERROR(IF([1]对账明细接口!$B$392=0,"",[1]对账明细接口!$B$392),"")</f>
        <v>46288.0</v>
      </c>
      <c r="C392" s="16" t="str">
        <f>IFERROR(IF([1]对账明细接口!$C$392=0,"",[1]对账明细接口!$C$392),"")</f>
        <v>王照雪</v>
      </c>
      <c r="D392" s="16" t="str">
        <f>IFERROR(IF([1]对账明细接口!$D$392=0,"",[1]对账明细接口!$D$392),"")</f>
        <v>原料入库</v>
      </c>
      <c r="E392" s="16" t="str">
        <f>IFERROR(IF([1]对账明细接口!$E$392=0,"",[1]对账明细接口!$E$392),"")</f>
        <v>NO:0000956</v>
      </c>
      <c r="F392" s="16" t="str">
        <f>IFERROR(IF([1]对账明细接口!$F$392=0,"",[1]对账明细接口!$F$392),"")</f>
        <v>苹果</v>
      </c>
      <c r="G392" s="16" t="str">
        <f>IFERROR(IF([1]对账明细接口!$G$392=0,"",[1]对账明细接口!$G$392),"")</f>
        <v>新世纪二级</v>
      </c>
      <c r="H392" s="176">
        <f>IFERROR(IF([1]对账明细接口!$H$392=0,"",[1]对账明细接口!$H$392),"")</f>
        <v>6</v>
      </c>
      <c r="I392" s="16" t="str">
        <f>IFERROR(IF([1]对账明细接口!$I$392=0,"",[1]对账明细接口!$I$392),"")</f>
        <v>筐</v>
      </c>
      <c r="J392" s="177">
        <f>IFERROR(IF([1]对账明细接口!$J$392=0,"",[1]对账明细接口!$J$392),"")</f>
        <v>97.8</v>
      </c>
      <c r="K392" s="177">
        <f>IFERROR(IF([1]对账明细接口!$K$392=0,"",[1]对账明细接口!$K$392),"")</f>
      </c>
      <c r="L392" s="16">
        <f>IFERROR(IF([1]对账明细接口!$L$392=0,"",[1]对账明细接口!$L$392),"")</f>
      </c>
      <c r="M392" s="16">
        <f>IFERROR(IF([1]对账明细接口!$M$392=0,"",[1]对账明细接口!$M$392),"")</f>
      </c>
      <c r="N392" s="19">
        <f>IF($C392="",0,1)</f>
        <v>1</v>
      </c>
      <c r="O392" s="19">
        <f>N(O391)+$N392</f>
        <v>389</v>
      </c>
      <c r="S392" s="20" t="str">
        <f>IFERROR(IF([1]对账明细接口!$N392=0,"",[1]对账明细接口!$N392),"")</f>
        <v>公司杂周转筐</v>
      </c>
      <c r="T392" s="212">
        <f>IFERROR(IF([1]对账明细接口!$O392=0,"",[1]对账明细接口!$O392),"")</f>
      </c>
      <c r="U392" s="212">
        <f>IFERROR(IF([1]对账明细接口!$P392=0,"",[1]对账明细接口!$P392),"")</f>
      </c>
      <c r="V392" s="212">
        <f>IFERROR(IF([1]对账明细接口!$Q392=0,"",[1]对账明细接口!$Q392),"")</f>
        <v>6</v>
      </c>
      <c r="W392" s="20" t="str">
        <f>IFERROR(IF([1]对账明细接口!$R392=0,"",[1]对账明细接口!$R392),"")</f>
        <v>豫L*88X19</v>
      </c>
      <c r="X392" s="20" t="str">
        <f>IFERROR(IF([1]对账明细接口!$S392=0,"",[1]对账明细接口!$S392),"")</f>
        <v>公司筐</v>
      </c>
      <c r="Y392" s="20">
        <f>IFERROR(IF([1]对账明细接口!$T392=0,"",[1]对账明细接口!$T392),"")</f>
      </c>
      <c r="Z392" s="213">
        <f>IFERROR(IF([1]对账明细接口!$U392=0,"",[1]对账明细接口!$U392),"")</f>
      </c>
      <c r="AA392" s="213">
        <f>IFERROR(IF([1]对账明细接口!$V392=0,"",[1]对账明细接口!$V392),"")</f>
      </c>
      <c r="AB392" s="20">
        <f>IFERROR(IF([1]对账明细接口!$W392=0,"",[1]对账明细接口!$W392),"")</f>
      </c>
      <c r="AC392" s="7">
        <f>IFERROR(IF([1]对账明细接口!$X392=0,"",[1]对账明细接口!$X392),"")</f>
      </c>
      <c r="AD392" s="7">
        <f>IFERROR(IF([1]对账明细接口!$Y392=0,"",[1]对账明细接口!$Y392),"")</f>
      </c>
      <c r="AE392" s="7">
        <f>IFERROR(IF([1]对账明细接口!$AA392=0,"",[1]对账明细接口!$AA392),"")</f>
      </c>
      <c r="AF392" s="7">
        <f>IFERROR(IF([1]对账明细接口!$AB392=0,"",[1]对账明细接口!$AB392),"")</f>
      </c>
      <c r="AG392" s="7">
        <f>IFERROR(IF([1]对账明细接口!$AC392=0,"",[1]对账明细接口!$AC392),"")</f>
      </c>
      <c r="AH392" s="7">
        <f>IFERROR(IF([1]对账明细接口!$AD392=0,"",[1]对账明细接口!$AD392),"")</f>
      </c>
      <c r="AI392" s="7">
        <f>IFERROR(IF([1]对账明细接口!$AE392=0,"",[1]对账明细接口!$AE392),"")</f>
      </c>
      <c r="AJ392" s="7">
        <f>IFERROR(IF([1]对账明细接口!$AF392=0,"",[1]对账明细接口!$AF392),"")</f>
      </c>
    </row>
    <row r="393" ht="14.25" customHeight="1" s="127">
      <c r="A393" s="14" t="n">
        <v>393</v>
      </c>
      <c r="B393" s="211">
        <f>IFERROR(IF([1]对账明细接口!$B$393=0,"",[1]对账明细接口!$B$393),"")</f>
        <v>46288.0</v>
      </c>
      <c r="C393" s="16" t="str">
        <f>IFERROR(IF([1]对账明细接口!$C$393=0,"",[1]对账明细接口!$C$393),"")</f>
        <v>王照雪</v>
      </c>
      <c r="D393" s="16" t="str">
        <f>IFERROR(IF([1]对账明细接口!$D$393=0,"",[1]对账明细接口!$D$393),"")</f>
        <v>原料入库</v>
      </c>
      <c r="E393" s="16" t="str">
        <f>IFERROR(IF([1]对账明细接口!$E$393=0,"",[1]对账明细接口!$E$393),"")</f>
        <v>NO:0000956</v>
      </c>
      <c r="F393" s="16" t="str">
        <f>IFERROR(IF([1]对账明细接口!$F$393=0,"",[1]对账明细接口!$F$393),"")</f>
        <v>苹果</v>
      </c>
      <c r="G393" s="16" t="str">
        <f>IFERROR(IF([1]对账明细接口!$G$393=0,"",[1]对账明细接口!$G$393),"")</f>
        <v>新世纪二级</v>
      </c>
      <c r="H393" s="176">
        <f>IFERROR(IF([1]对账明细接口!$H$393=0,"",[1]对账明细接口!$H$393),"")</f>
        <v>35</v>
      </c>
      <c r="I393" s="16" t="str">
        <f>IFERROR(IF([1]对账明细接口!$I$393=0,"",[1]对账明细接口!$I$393),"")</f>
        <v>筐</v>
      </c>
      <c r="J393" s="177">
        <f>IFERROR(IF([1]对账明细接口!$J$393=0,"",[1]对账明细接口!$J$393),"")</f>
        <v>710.5</v>
      </c>
      <c r="K393" s="177">
        <f>IFERROR(IF([1]对账明细接口!$K$393=0,"",[1]对账明细接口!$K$393),"")</f>
      </c>
      <c r="L393" s="16">
        <f>IFERROR(IF([1]对账明细接口!$L$393=0,"",[1]对账明细接口!$L$393),"")</f>
      </c>
      <c r="M393" s="16">
        <f>IFERROR(IF([1]对账明细接口!$M$393=0,"",[1]对账明细接口!$M$393),"")</f>
      </c>
      <c r="N393" s="19">
        <f>IF($C393="",0,1)</f>
        <v>1</v>
      </c>
      <c r="O393" s="19">
        <f>N(O392)+$N393</f>
        <v>390</v>
      </c>
      <c r="S393" s="20" t="str">
        <f>IFERROR(IF([1]对账明细接口!$N393=0,"",[1]对账明细接口!$N393),"")</f>
        <v>公司杂周转筐</v>
      </c>
      <c r="T393" s="212">
        <f>IFERROR(IF([1]对账明细接口!$O393=0,"",[1]对账明细接口!$O393),"")</f>
      </c>
      <c r="U393" s="212">
        <f>IFERROR(IF([1]对账明细接口!$P393=0,"",[1]对账明细接口!$P393),"")</f>
      </c>
      <c r="V393" s="212">
        <f>IFERROR(IF([1]对账明细接口!$Q393=0,"",[1]对账明细接口!$Q393),"")</f>
        <v>35</v>
      </c>
      <c r="W393" s="20" t="str">
        <f>IFERROR(IF([1]对账明细接口!$R393=0,"",[1]对账明细接口!$R393),"")</f>
        <v>豫L*88X19</v>
      </c>
      <c r="X393" s="20" t="str">
        <f>IFERROR(IF([1]对账明细接口!$S393=0,"",[1]对账明细接口!$S393),"")</f>
        <v>公司筐</v>
      </c>
      <c r="Y393" s="20">
        <f>IFERROR(IF([1]对账明细接口!$T393=0,"",[1]对账明细接口!$T393),"")</f>
      </c>
      <c r="Z393" s="213">
        <f>IFERROR(IF([1]对账明细接口!$U393=0,"",[1]对账明细接口!$U393),"")</f>
      </c>
      <c r="AA393" s="213">
        <f>IFERROR(IF([1]对账明细接口!$V393=0,"",[1]对账明细接口!$V393),"")</f>
      </c>
      <c r="AB393" s="20">
        <f>IFERROR(IF([1]对账明细接口!$W393=0,"",[1]对账明细接口!$W393),"")</f>
      </c>
      <c r="AC393" s="7">
        <f>IFERROR(IF([1]对账明细接口!$X393=0,"",[1]对账明细接口!$X393),"")</f>
      </c>
      <c r="AD393" s="7">
        <f>IFERROR(IF([1]对账明细接口!$Y393=0,"",[1]对账明细接口!$Y393),"")</f>
      </c>
      <c r="AE393" s="7">
        <f>IFERROR(IF([1]对账明细接口!$AA393=0,"",[1]对账明细接口!$AA393),"")</f>
      </c>
      <c r="AF393" s="7">
        <f>IFERROR(IF([1]对账明细接口!$AB393=0,"",[1]对账明细接口!$AB393),"")</f>
      </c>
      <c r="AG393" s="7">
        <f>IFERROR(IF([1]对账明细接口!$AC393=0,"",[1]对账明细接口!$AC393),"")</f>
      </c>
      <c r="AH393" s="7">
        <f>IFERROR(IF([1]对账明细接口!$AD393=0,"",[1]对账明细接口!$AD393),"")</f>
      </c>
      <c r="AI393" s="7">
        <f>IFERROR(IF([1]对账明细接口!$AE393=0,"",[1]对账明细接口!$AE393),"")</f>
      </c>
      <c r="AJ393" s="7">
        <f>IFERROR(IF([1]对账明细接口!$AF393=0,"",[1]对账明细接口!$AF393),"")</f>
      </c>
    </row>
    <row r="394" ht="14.25" customHeight="1" s="127">
      <c r="A394" s="14" t="n">
        <v>394</v>
      </c>
      <c r="B394" s="211">
        <f>IFERROR(IF([1]对账明细接口!$B$394=0,"",[1]对账明细接口!$B$394),"")</f>
        <v>46288.0</v>
      </c>
      <c r="C394" s="16" t="str">
        <f>IFERROR(IF([1]对账明细接口!$C$394=0,"",[1]对账明细接口!$C$394),"")</f>
        <v>艾海提</v>
      </c>
      <c r="D394" s="16" t="str">
        <f>IFERROR(IF([1]对账明细接口!$D$394=0,"",[1]对账明细接口!$D$394),"")</f>
        <v>原料入库</v>
      </c>
      <c r="E394" s="16" t="str">
        <f>IFERROR(IF([1]对账明细接口!$E$394=0,"",[1]对账明细接口!$E$394),"")</f>
        <v>NO:0000957</v>
      </c>
      <c r="F394" s="16" t="str">
        <f>IFERROR(IF([1]对账明细接口!$F$394=0,"",[1]对账明细接口!$F$394),"")</f>
        <v>香梨</v>
      </c>
      <c r="G394" s="16" t="str">
        <f>IFERROR(IF([1]对账明细接口!$G$394=0,"",[1]对账明细接口!$G$394),"")</f>
        <v>香梨一级</v>
      </c>
      <c r="H394" s="176">
        <f>IFERROR(IF([1]对账明细接口!$H$394=0,"",[1]对账明细接口!$H$394),"")</f>
        <v>114</v>
      </c>
      <c r="I394" s="16" t="str">
        <f>IFERROR(IF([1]对账明细接口!$I$394=0,"",[1]对账明细接口!$I$394),"")</f>
        <v>筐</v>
      </c>
      <c r="J394" s="177">
        <f>IFERROR(IF([1]对账明细接口!$J$394=0,"",[1]对账明细接口!$J$394),"")</f>
        <v>2188.8</v>
      </c>
      <c r="K394" s="177">
        <f>IFERROR(IF([1]对账明细接口!$K$394=0,"",[1]对账明细接口!$K$394),"")</f>
      </c>
      <c r="L394" s="16">
        <f>IFERROR(IF([1]对账明细接口!$L$394=0,"",[1]对账明细接口!$L$394),"")</f>
      </c>
      <c r="M394" s="16">
        <f>IFERROR(IF([1]对账明细接口!$M$394=0,"",[1]对账明细接口!$M$394),"")</f>
      </c>
      <c r="N394" s="19">
        <f>IF($C394="",0,1)</f>
        <v>1</v>
      </c>
      <c r="O394" s="19">
        <f>N(O393)+$N394</f>
        <v>391</v>
      </c>
      <c r="S394" s="20" t="str">
        <f>IFERROR(IF([1]对账明细接口!$N394=0,"",[1]对账明细接口!$N394),"")</f>
        <v>公司红周转筐</v>
      </c>
      <c r="T394" s="212">
        <f>IFERROR(IF([1]对账明细接口!$O394=0,"",[1]对账明细接口!$O394),"")</f>
      </c>
      <c r="U394" s="212">
        <f>IFERROR(IF([1]对账明细接口!$P394=0,"",[1]对账明细接口!$P394),"")</f>
      </c>
      <c r="V394" s="212">
        <f>IFERROR(IF([1]对账明细接口!$Q394=0,"",[1]对账明细接口!$Q394),"")</f>
        <v>114</v>
      </c>
      <c r="W394" s="20" t="str">
        <f>IFERROR(IF([1]对账明细接口!$R394=0,"",[1]对账明细接口!$R394),"")</f>
        <v>新N*WX586</v>
      </c>
      <c r="X394" s="20" t="str">
        <f>IFERROR(IF([1]对账明细接口!$S394=0,"",[1]对账明细接口!$S394),"")</f>
        <v>公司筐</v>
      </c>
      <c r="Y394" s="20">
        <f>IFERROR(IF([1]对账明细接口!$T394=0,"",[1]对账明细接口!$T394),"")</f>
      </c>
      <c r="Z394" s="213">
        <f>IFERROR(IF([1]对账明细接口!$U394=0,"",[1]对账明细接口!$U394),"")</f>
      </c>
      <c r="AA394" s="213">
        <f>IFERROR(IF([1]对账明细接口!$V394=0,"",[1]对账明细接口!$V394),"")</f>
      </c>
      <c r="AB394" s="20">
        <f>IFERROR(IF([1]对账明细接口!$W394=0,"",[1]对账明细接口!$W394),"")</f>
      </c>
      <c r="AC394" s="7">
        <f>IFERROR(IF([1]对账明细接口!$X394=0,"",[1]对账明细接口!$X394),"")</f>
      </c>
      <c r="AD394" s="7">
        <f>IFERROR(IF([1]对账明细接口!$Y394=0,"",[1]对账明细接口!$Y394),"")</f>
      </c>
      <c r="AE394" s="7">
        <f>IFERROR(IF([1]对账明细接口!$AA394=0,"",[1]对账明细接口!$AA394),"")</f>
      </c>
      <c r="AF394" s="7">
        <f>IFERROR(IF([1]对账明细接口!$AB394=0,"",[1]对账明细接口!$AB394),"")</f>
      </c>
      <c r="AG394" s="7">
        <f>IFERROR(IF([1]对账明细接口!$AC394=0,"",[1]对账明细接口!$AC394),"")</f>
      </c>
      <c r="AH394" s="7">
        <f>IFERROR(IF([1]对账明细接口!$AD394=0,"",[1]对账明细接口!$AD394),"")</f>
      </c>
      <c r="AI394" s="7">
        <f>IFERROR(IF([1]对账明细接口!$AE394=0,"",[1]对账明细接口!$AE394),"")</f>
      </c>
      <c r="AJ394" s="7">
        <f>IFERROR(IF([1]对账明细接口!$AF394=0,"",[1]对账明细接口!$AF394),"")</f>
      </c>
    </row>
    <row r="395" ht="14.25" customHeight="1" s="127">
      <c r="A395" s="14" t="n">
        <v>395</v>
      </c>
      <c r="B395" s="211">
        <f>IFERROR(IF([1]对账明细接口!$B$395=0,"",[1]对账明细接口!$B$395),"")</f>
        <v>46288.0</v>
      </c>
      <c r="C395" s="16" t="str">
        <f>IFERROR(IF([1]对账明细接口!$C$395=0,"",[1]对账明细接口!$C$395),"")</f>
        <v>艾海提</v>
      </c>
      <c r="D395" s="16" t="str">
        <f>IFERROR(IF([1]对账明细接口!$D$395=0,"",[1]对账明细接口!$D$395),"")</f>
        <v>原料入库</v>
      </c>
      <c r="E395" s="16" t="str">
        <f>IFERROR(IF([1]对账明细接口!$E$395=0,"",[1]对账明细接口!$E$395),"")</f>
        <v>NO:0000957</v>
      </c>
      <c r="F395" s="16" t="str">
        <f>IFERROR(IF([1]对账明细接口!$F$395=0,"",[1]对账明细接口!$F$395),"")</f>
        <v>香梨</v>
      </c>
      <c r="G395" s="16" t="str">
        <f>IFERROR(IF([1]对账明细接口!$G$395=0,"",[1]对账明细接口!$G$395),"")</f>
        <v>香梨副特</v>
      </c>
      <c r="H395" s="176">
        <f>IFERROR(IF([1]对账明细接口!$H$395=0,"",[1]对账明细接口!$H$395),"")</f>
        <v>53</v>
      </c>
      <c r="I395" s="16" t="str">
        <f>IFERROR(IF([1]对账明细接口!$I$395=0,"",[1]对账明细接口!$I$395),"")</f>
        <v>筐</v>
      </c>
      <c r="J395" s="177">
        <f>IFERROR(IF([1]对账明细接口!$J$395=0,"",[1]对账明细接口!$J$395),"")</f>
        <v>1017.6</v>
      </c>
      <c r="K395" s="177">
        <f>IFERROR(IF([1]对账明细接口!$K$395=0,"",[1]对账明细接口!$K$395),"")</f>
      </c>
      <c r="L395" s="16">
        <f>IFERROR(IF([1]对账明细接口!$L$395=0,"",[1]对账明细接口!$L$395),"")</f>
      </c>
      <c r="M395" s="16">
        <f>IFERROR(IF([1]对账明细接口!$M$395=0,"",[1]对账明细接口!$M$395),"")</f>
      </c>
      <c r="N395" s="19">
        <f>IF($C395="",0,1)</f>
        <v>1</v>
      </c>
      <c r="O395" s="19">
        <f>N(O394)+$N395</f>
        <v>392</v>
      </c>
      <c r="S395" s="20" t="str">
        <f>IFERROR(IF([1]对账明细接口!$N395=0,"",[1]对账明细接口!$N395),"")</f>
        <v>公司红周转筐</v>
      </c>
      <c r="T395" s="212">
        <f>IFERROR(IF([1]对账明细接口!$O395=0,"",[1]对账明细接口!$O395),"")</f>
      </c>
      <c r="U395" s="212">
        <f>IFERROR(IF([1]对账明细接口!$P395=0,"",[1]对账明细接口!$P395),"")</f>
      </c>
      <c r="V395" s="212">
        <f>IFERROR(IF([1]对账明细接口!$Q395=0,"",[1]对账明细接口!$Q395),"")</f>
        <v>53</v>
      </c>
      <c r="W395" s="20" t="str">
        <f>IFERROR(IF([1]对账明细接口!$R395=0,"",[1]对账明细接口!$R395),"")</f>
        <v>新N*WX586</v>
      </c>
      <c r="X395" s="20" t="str">
        <f>IFERROR(IF([1]对账明细接口!$S395=0,"",[1]对账明细接口!$S395),"")</f>
        <v>公司筐</v>
      </c>
      <c r="Y395" s="20">
        <f>IFERROR(IF([1]对账明细接口!$T395=0,"",[1]对账明细接口!$T395),"")</f>
      </c>
      <c r="Z395" s="213">
        <f>IFERROR(IF([1]对账明细接口!$U395=0,"",[1]对账明细接口!$U395),"")</f>
      </c>
      <c r="AA395" s="213">
        <f>IFERROR(IF([1]对账明细接口!$V395=0,"",[1]对账明细接口!$V395),"")</f>
      </c>
      <c r="AB395" s="20">
        <f>IFERROR(IF([1]对账明细接口!$W395=0,"",[1]对账明细接口!$W395),"")</f>
      </c>
      <c r="AC395" s="7">
        <f>IFERROR(IF([1]对账明细接口!$X395=0,"",[1]对账明细接口!$X395),"")</f>
      </c>
      <c r="AD395" s="7">
        <f>IFERROR(IF([1]对账明细接口!$Y395=0,"",[1]对账明细接口!$Y395),"")</f>
      </c>
      <c r="AE395" s="7">
        <f>IFERROR(IF([1]对账明细接口!$AA395=0,"",[1]对账明细接口!$AA395),"")</f>
      </c>
      <c r="AF395" s="7">
        <f>IFERROR(IF([1]对账明细接口!$AB395=0,"",[1]对账明细接口!$AB395),"")</f>
      </c>
      <c r="AG395" s="7">
        <f>IFERROR(IF([1]对账明细接口!$AC395=0,"",[1]对账明细接口!$AC395),"")</f>
      </c>
      <c r="AH395" s="7">
        <f>IFERROR(IF([1]对账明细接口!$AD395=0,"",[1]对账明细接口!$AD395),"")</f>
      </c>
      <c r="AI395" s="7">
        <f>IFERROR(IF([1]对账明细接口!$AE395=0,"",[1]对账明细接口!$AE395),"")</f>
      </c>
      <c r="AJ395" s="7">
        <f>IFERROR(IF([1]对账明细接口!$AF395=0,"",[1]对账明细接口!$AF395),"")</f>
      </c>
    </row>
    <row r="396" ht="14.25" customHeight="1" s="127">
      <c r="A396" s="14" t="n">
        <v>396</v>
      </c>
      <c r="B396" s="211">
        <f>IFERROR(IF([1]对账明细接口!$B$396=0,"",[1]对账明细接口!$B$396),"")</f>
        <v>46288.0</v>
      </c>
      <c r="C396" s="16" t="str">
        <f>IFERROR(IF([1]对账明细接口!$C$396=0,"",[1]对账明细接口!$C$396),"")</f>
        <v>王灵云</v>
      </c>
      <c r="D396" s="16" t="str">
        <f>IFERROR(IF([1]对账明细接口!$D$396=0,"",[1]对账明细接口!$D$396),"")</f>
        <v>原料入库</v>
      </c>
      <c r="E396" s="16" t="str">
        <f>IFERROR(IF([1]对账明细接口!$E$396=0,"",[1]对账明细接口!$E$396),"")</f>
        <v>NO:0000958</v>
      </c>
      <c r="F396" s="16" t="str">
        <f>IFERROR(IF([1]对账明细接口!$F$396=0,"",[1]对账明细接口!$F$396),"")</f>
        <v>香梨</v>
      </c>
      <c r="G396" s="16" t="str">
        <f>IFERROR(IF([1]对账明细接口!$G$396=0,"",[1]对账明细接口!$G$396),"")</f>
        <v>香梨一级</v>
      </c>
      <c r="H396" s="176">
        <f>IFERROR(IF([1]对账明细接口!$H$396=0,"",[1]对账明细接口!$H$396),"")</f>
        <v>592</v>
      </c>
      <c r="I396" s="16" t="str">
        <f>IFERROR(IF([1]对账明细接口!$I$396=0,"",[1]对账明细接口!$I$396),"")</f>
        <v>筐</v>
      </c>
      <c r="J396" s="177">
        <f>IFERROR(IF([1]对账明细接口!$J$396=0,"",[1]对账明细接口!$J$396),"")</f>
        <v>10656</v>
      </c>
      <c r="K396" s="177">
        <f>IFERROR(IF([1]对账明细接口!$K$396=0,"",[1]对账明细接口!$K$396),"")</f>
      </c>
      <c r="L396" s="16">
        <f>IFERROR(IF([1]对账明细接口!$L$396=0,"",[1]对账明细接口!$L$396),"")</f>
      </c>
      <c r="M396" s="16" t="str">
        <f>IFERROR(IF([1]对账明细接口!$M$396=0,"",[1]对账明细接口!$M$396),"")</f>
        <v>左</v>
      </c>
      <c r="N396" s="19">
        <f>IF($C396="",0,1)</f>
        <v>1</v>
      </c>
      <c r="O396" s="19">
        <f>N(O395)+$N396</f>
        <v>393</v>
      </c>
      <c r="S396" s="20" t="str">
        <f>IFERROR(IF([1]对账明细接口!$N396=0,"",[1]对账明细接口!$N396),"")</f>
        <v>公司红周转筐</v>
      </c>
      <c r="T396" s="212">
        <f>IFERROR(IF([1]对账明细接口!$O396=0,"",[1]对账明细接口!$O396),"")</f>
      </c>
      <c r="U396" s="212">
        <f>IFERROR(IF([1]对账明细接口!$P396=0,"",[1]对账明细接口!$P396),"")</f>
      </c>
      <c r="V396" s="212">
        <f>IFERROR(IF([1]对账明细接口!$Q396=0,"",[1]对账明细接口!$Q396),"")</f>
        <v>592</v>
      </c>
      <c r="W396" s="20" t="str">
        <f>IFERROR(IF([1]对账明细接口!$R396=0,"",[1]对账明细接口!$R396),"")</f>
        <v>新N*49209</v>
      </c>
      <c r="X396" s="20" t="str">
        <f>IFERROR(IF([1]对账明细接口!$S396=0,"",[1]对账明细接口!$S396),"")</f>
        <v>公司筐</v>
      </c>
      <c r="Y396" s="20">
        <f>IFERROR(IF([1]对账明细接口!$T396=0,"",[1]对账明细接口!$T396),"")</f>
      </c>
      <c r="Z396" s="213">
        <f>IFERROR(IF([1]对账明细接口!$U396=0,"",[1]对账明细接口!$U396),"")</f>
      </c>
      <c r="AA396" s="213">
        <f>IFERROR(IF([1]对账明细接口!$V396=0,"",[1]对账明细接口!$V396),"")</f>
      </c>
      <c r="AB396" s="20">
        <f>IFERROR(IF([1]对账明细接口!$W396=0,"",[1]对账明细接口!$W396),"")</f>
      </c>
      <c r="AC396" s="7">
        <f>IFERROR(IF([1]对账明细接口!$X396=0,"",[1]对账明细接口!$X396),"")</f>
      </c>
      <c r="AD396" s="7">
        <f>IFERROR(IF([1]对账明细接口!$Y396=0,"",[1]对账明细接口!$Y396),"")</f>
      </c>
      <c r="AE396" s="7">
        <f>IFERROR(IF([1]对账明细接口!$AA396=0,"",[1]对账明细接口!$AA396),"")</f>
      </c>
      <c r="AF396" s="7">
        <f>IFERROR(IF([1]对账明细接口!$AB396=0,"",[1]对账明细接口!$AB396),"")</f>
      </c>
      <c r="AG396" s="7">
        <f>IFERROR(IF([1]对账明细接口!$AC396=0,"",[1]对账明细接口!$AC396),"")</f>
      </c>
      <c r="AH396" s="7">
        <f>IFERROR(IF([1]对账明细接口!$AD396=0,"",[1]对账明细接口!$AD396),"")</f>
      </c>
      <c r="AI396" s="7">
        <f>IFERROR(IF([1]对账明细接口!$AE396=0,"",[1]对账明细接口!$AE396),"")</f>
      </c>
      <c r="AJ396" s="7">
        <f>IFERROR(IF([1]对账明细接口!$AF396=0,"",[1]对账明细接口!$AF396),"")</f>
      </c>
    </row>
    <row r="397" ht="14.25" customHeight="1" s="127">
      <c r="A397" s="14" t="n">
        <v>397</v>
      </c>
      <c r="B397" s="211">
        <f>IFERROR(IF([1]对账明细接口!$B$397=0,"",[1]对账明细接口!$B$397),"")</f>
        <v>46288.0</v>
      </c>
      <c r="C397" s="16" t="str">
        <f>IFERROR(IF([1]对账明细接口!$C$397=0,"",[1]对账明细接口!$C$397),"")</f>
        <v>王灵云</v>
      </c>
      <c r="D397" s="16" t="str">
        <f>IFERROR(IF([1]对账明细接口!$D$397=0,"",[1]对账明细接口!$D$397),"")</f>
        <v>原料入库</v>
      </c>
      <c r="E397" s="16" t="str">
        <f>IFERROR(IF([1]对账明细接口!$E$397=0,"",[1]对账明细接口!$E$397),"")</f>
        <v>NO:0000958</v>
      </c>
      <c r="F397" s="16" t="str">
        <f>IFERROR(IF([1]对账明细接口!$F$397=0,"",[1]对账明细接口!$F$397),"")</f>
        <v>香梨</v>
      </c>
      <c r="G397" s="16" t="str">
        <f>IFERROR(IF([1]对账明细接口!$G$397=0,"",[1]对账明细接口!$G$397),"")</f>
        <v>香梨二级</v>
      </c>
      <c r="H397" s="176">
        <f>IFERROR(IF([1]对账明细接口!$H$397=0,"",[1]对账明细接口!$H$397),"")</f>
        <v>48</v>
      </c>
      <c r="I397" s="16" t="str">
        <f>IFERROR(IF([1]对账明细接口!$I$397=0,"",[1]对账明细接口!$I$397),"")</f>
        <v>筐</v>
      </c>
      <c r="J397" s="177">
        <f>IFERROR(IF([1]对账明细接口!$J$397=0,"",[1]对账明细接口!$J$397),"")</f>
        <v>1056</v>
      </c>
      <c r="K397" s="177">
        <f>IFERROR(IF([1]对账明细接口!$K$397=0,"",[1]对账明细接口!$K$397),"")</f>
      </c>
      <c r="L397" s="16">
        <f>IFERROR(IF([1]对账明细接口!$L$397=0,"",[1]对账明细接口!$L$397),"")</f>
      </c>
      <c r="M397" s="16" t="str">
        <f>IFERROR(IF([1]对账明细接口!$M$397=0,"",[1]对账明细接口!$M$397),"")</f>
        <v>左</v>
      </c>
      <c r="N397" s="19">
        <f>IF($C397="",0,1)</f>
        <v>1</v>
      </c>
      <c r="O397" s="19">
        <f>N(O396)+$N397</f>
        <v>394</v>
      </c>
      <c r="S397" s="20" t="str">
        <f>IFERROR(IF([1]对账明细接口!$N397=0,"",[1]对账明细接口!$N397),"")</f>
        <v>公司红周转筐</v>
      </c>
      <c r="T397" s="212">
        <f>IFERROR(IF([1]对账明细接口!$O397=0,"",[1]对账明细接口!$O397),"")</f>
      </c>
      <c r="U397" s="212">
        <f>IFERROR(IF([1]对账明细接口!$P397=0,"",[1]对账明细接口!$P397),"")</f>
      </c>
      <c r="V397" s="212">
        <f>IFERROR(IF([1]对账明细接口!$Q397=0,"",[1]对账明细接口!$Q397),"")</f>
        <v>48</v>
      </c>
      <c r="W397" s="20" t="str">
        <f>IFERROR(IF([1]对账明细接口!$R397=0,"",[1]对账明细接口!$R397),"")</f>
        <v>新N*49209</v>
      </c>
      <c r="X397" s="20" t="str">
        <f>IFERROR(IF([1]对账明细接口!$S397=0,"",[1]对账明细接口!$S397),"")</f>
        <v>公司筐</v>
      </c>
      <c r="Y397" s="20">
        <f>IFERROR(IF([1]对账明细接口!$T397=0,"",[1]对账明细接口!$T397),"")</f>
      </c>
      <c r="Z397" s="213">
        <f>IFERROR(IF([1]对账明细接口!$U397=0,"",[1]对账明细接口!$U397),"")</f>
      </c>
      <c r="AA397" s="213">
        <f>IFERROR(IF([1]对账明细接口!$V397=0,"",[1]对账明细接口!$V397),"")</f>
      </c>
      <c r="AB397" s="20">
        <f>IFERROR(IF([1]对账明细接口!$W397=0,"",[1]对账明细接口!$W397),"")</f>
      </c>
      <c r="AC397" s="7">
        <f>IFERROR(IF([1]对账明细接口!$X397=0,"",[1]对账明细接口!$X397),"")</f>
      </c>
      <c r="AD397" s="7">
        <f>IFERROR(IF([1]对账明细接口!$Y397=0,"",[1]对账明细接口!$Y397),"")</f>
      </c>
      <c r="AE397" s="7">
        <f>IFERROR(IF([1]对账明细接口!$AA397=0,"",[1]对账明细接口!$AA397),"")</f>
      </c>
      <c r="AF397" s="7">
        <f>IFERROR(IF([1]对账明细接口!$AB397=0,"",[1]对账明细接口!$AB397),"")</f>
      </c>
      <c r="AG397" s="7">
        <f>IFERROR(IF([1]对账明细接口!$AC397=0,"",[1]对账明细接口!$AC397),"")</f>
      </c>
      <c r="AH397" s="7">
        <f>IFERROR(IF([1]对账明细接口!$AD397=0,"",[1]对账明细接口!$AD397),"")</f>
      </c>
      <c r="AI397" s="7">
        <f>IFERROR(IF([1]对账明细接口!$AE397=0,"",[1]对账明细接口!$AE397),"")</f>
      </c>
      <c r="AJ397" s="7">
        <f>IFERROR(IF([1]对账明细接口!$AF397=0,"",[1]对账明细接口!$AF397),"")</f>
      </c>
    </row>
    <row r="398" ht="14.25" customHeight="1" s="127">
      <c r="A398" s="14" t="n">
        <v>398</v>
      </c>
      <c r="B398" s="211">
        <f>IFERROR(IF([1]对账明细接口!$B$398=0,"",[1]对账明细接口!$B$398),"")</f>
        <v>46288.0</v>
      </c>
      <c r="C398" s="16" t="str">
        <f>IFERROR(IF([1]对账明细接口!$C$398=0,"",[1]对账明细接口!$C$398),"")</f>
        <v>艾则孜</v>
      </c>
      <c r="D398" s="16" t="str">
        <f>IFERROR(IF([1]对账明细接口!$D$398=0,"",[1]对账明细接口!$D$398),"")</f>
        <v>原料入库</v>
      </c>
      <c r="E398" s="16" t="str">
        <f>IFERROR(IF([1]对账明细接口!$E$398=0,"",[1]对账明细接口!$E$398),"")</f>
        <v>NO:0000959</v>
      </c>
      <c r="F398" s="16" t="str">
        <f>IFERROR(IF([1]对账明细接口!$F$398=0,"",[1]对账明细接口!$F$398),"")</f>
        <v>香梨</v>
      </c>
      <c r="G398" s="16" t="str">
        <f>IFERROR(IF([1]对账明细接口!$G$398=0,"",[1]对账明细接口!$G$398),"")</f>
        <v>香梨一级</v>
      </c>
      <c r="H398" s="176">
        <f>IFERROR(IF([1]对账明细接口!$H$398=0,"",[1]对账明细接口!$H$398),"")</f>
        <v>286</v>
      </c>
      <c r="I398" s="16" t="str">
        <f>IFERROR(IF([1]对账明细接口!$I$398=0,"",[1]对账明细接口!$I$398),"")</f>
        <v>筐</v>
      </c>
      <c r="J398" s="177">
        <f>IFERROR(IF([1]对账明细接口!$J$398=0,"",[1]对账明细接口!$J$398),"")</f>
        <v>5519.8</v>
      </c>
      <c r="K398" s="177">
        <f>IFERROR(IF([1]对账明细接口!$K$398=0,"",[1]对账明细接口!$K$398),"")</f>
      </c>
      <c r="L398" s="16">
        <f>IFERROR(IF([1]对账明细接口!$L$398=0,"",[1]对账明细接口!$L$398),"")</f>
      </c>
      <c r="M398" s="16" t="str">
        <f>IFERROR(IF([1]对账明细接口!$M$398=0,"",[1]对账明细接口!$M$398),"")</f>
        <v>热合曼</v>
      </c>
      <c r="N398" s="19">
        <f>IF($C398="",0,1)</f>
        <v>1</v>
      </c>
      <c r="O398" s="19">
        <f>N(O397)+$N398</f>
        <v>395</v>
      </c>
      <c r="S398" s="20" t="str">
        <f>IFERROR(IF([1]对账明细接口!$N398=0,"",[1]对账明细接口!$N398),"")</f>
        <v>公司红周转筐</v>
      </c>
      <c r="T398" s="212">
        <f>IFERROR(IF([1]对账明细接口!$O398=0,"",[1]对账明细接口!$O398),"")</f>
      </c>
      <c r="U398" s="212">
        <f>IFERROR(IF([1]对账明细接口!$P398=0,"",[1]对账明细接口!$P398),"")</f>
      </c>
      <c r="V398" s="212">
        <f>IFERROR(IF([1]对账明细接口!$Q398=0,"",[1]对账明细接口!$Q398),"")</f>
        <v>286</v>
      </c>
      <c r="W398" s="20" t="str">
        <f>IFERROR(IF([1]对账明细接口!$R398=0,"",[1]对账明细接口!$R398),"")</f>
        <v>新R*37010</v>
      </c>
      <c r="X398" s="20" t="str">
        <f>IFERROR(IF([1]对账明细接口!$S398=0,"",[1]对账明细接口!$S398),"")</f>
        <v>公司筐</v>
      </c>
      <c r="Y398" s="20">
        <f>IFERROR(IF([1]对账明细接口!$T398=0,"",[1]对账明细接口!$T398),"")</f>
      </c>
      <c r="Z398" s="213">
        <f>IFERROR(IF([1]对账明细接口!$U398=0,"",[1]对账明细接口!$U398),"")</f>
      </c>
      <c r="AA398" s="213">
        <f>IFERROR(IF([1]对账明细接口!$V398=0,"",[1]对账明细接口!$V398),"")</f>
      </c>
      <c r="AB398" s="20">
        <f>IFERROR(IF([1]对账明细接口!$W398=0,"",[1]对账明细接口!$W398),"")</f>
      </c>
      <c r="AC398" s="7">
        <f>IFERROR(IF([1]对账明细接口!$X398=0,"",[1]对账明细接口!$X398),"")</f>
      </c>
      <c r="AD398" s="7">
        <f>IFERROR(IF([1]对账明细接口!$Y398=0,"",[1]对账明细接口!$Y398),"")</f>
      </c>
      <c r="AE398" s="7">
        <f>IFERROR(IF([1]对账明细接口!$AA398=0,"",[1]对账明细接口!$AA398),"")</f>
      </c>
      <c r="AF398" s="7">
        <f>IFERROR(IF([1]对账明细接口!$AB398=0,"",[1]对账明细接口!$AB398),"")</f>
      </c>
      <c r="AG398" s="7">
        <f>IFERROR(IF([1]对账明细接口!$AC398=0,"",[1]对账明细接口!$AC398),"")</f>
      </c>
      <c r="AH398" s="7">
        <f>IFERROR(IF([1]对账明细接口!$AD398=0,"",[1]对账明细接口!$AD398),"")</f>
      </c>
      <c r="AI398" s="7">
        <f>IFERROR(IF([1]对账明细接口!$AE398=0,"",[1]对账明细接口!$AE398),"")</f>
      </c>
      <c r="AJ398" s="7">
        <f>IFERROR(IF([1]对账明细接口!$AF398=0,"",[1]对账明细接口!$AF398),"")</f>
      </c>
    </row>
    <row r="399" ht="14.25" customHeight="1" s="127">
      <c r="A399" s="14" t="n">
        <v>399</v>
      </c>
      <c r="B399" s="211">
        <f>IFERROR(IF([1]对账明细接口!$B$399=0,"",[1]对账明细接口!$B$399),"")</f>
        <v>46288.0</v>
      </c>
      <c r="C399" s="16" t="str">
        <f>IFERROR(IF([1]对账明细接口!$C$399=0,"",[1]对账明细接口!$C$399),"")</f>
        <v>艾则孜</v>
      </c>
      <c r="D399" s="16" t="str">
        <f>IFERROR(IF([1]对账明细接口!$D$399=0,"",[1]对账明细接口!$D$399),"")</f>
        <v>原料入库</v>
      </c>
      <c r="E399" s="16" t="str">
        <f>IFERROR(IF([1]对账明细接口!$E$399=0,"",[1]对账明细接口!$E$399),"")</f>
        <v>NO:0000959</v>
      </c>
      <c r="F399" s="16" t="str">
        <f>IFERROR(IF([1]对账明细接口!$F$399=0,"",[1]对账明细接口!$F$399),"")</f>
        <v>香梨</v>
      </c>
      <c r="G399" s="16" t="str">
        <f>IFERROR(IF([1]对账明细接口!$G$399=0,"",[1]对账明细接口!$G$399),"")</f>
        <v>香梨二级</v>
      </c>
      <c r="H399" s="176">
        <f>IFERROR(IF([1]对账明细接口!$H$399=0,"",[1]对账明细接口!$H$399),"")</f>
        <v>47</v>
      </c>
      <c r="I399" s="16" t="str">
        <f>IFERROR(IF([1]对账明细接口!$I$399=0,"",[1]对账明细接口!$I$399),"")</f>
        <v>筐</v>
      </c>
      <c r="J399" s="177">
        <f>IFERROR(IF([1]对账明细接口!$J$399=0,"",[1]对账明细接口!$J$399),"")</f>
        <v>1048.1</v>
      </c>
      <c r="K399" s="177">
        <f>IFERROR(IF([1]对账明细接口!$K$399=0,"",[1]对账明细接口!$K$399),"")</f>
      </c>
      <c r="L399" s="16">
        <f>IFERROR(IF([1]对账明细接口!$L$399=0,"",[1]对账明细接口!$L$399),"")</f>
      </c>
      <c r="M399" s="16" t="str">
        <f>IFERROR(IF([1]对账明细接口!$M$399=0,"",[1]对账明细接口!$M$399),"")</f>
        <v>热合曼</v>
      </c>
      <c r="N399" s="19">
        <f>IF($C399="",0,1)</f>
        <v>1</v>
      </c>
      <c r="O399" s="19">
        <f>N(O398)+$N399</f>
        <v>396</v>
      </c>
      <c r="S399" s="20" t="str">
        <f>IFERROR(IF([1]对账明细接口!$N399=0,"",[1]对账明细接口!$N399),"")</f>
        <v>公司红周转筐</v>
      </c>
      <c r="T399" s="212">
        <f>IFERROR(IF([1]对账明细接口!$O399=0,"",[1]对账明细接口!$O399),"")</f>
      </c>
      <c r="U399" s="212">
        <f>IFERROR(IF([1]对账明细接口!$P399=0,"",[1]对账明细接口!$P399),"")</f>
      </c>
      <c r="V399" s="212">
        <f>IFERROR(IF([1]对账明细接口!$Q399=0,"",[1]对账明细接口!$Q399),"")</f>
        <v>47</v>
      </c>
      <c r="W399" s="20" t="str">
        <f>IFERROR(IF([1]对账明细接口!$R399=0,"",[1]对账明细接口!$R399),"")</f>
        <v>新R*37010</v>
      </c>
      <c r="X399" s="20" t="str">
        <f>IFERROR(IF([1]对账明细接口!$S399=0,"",[1]对账明细接口!$S399),"")</f>
        <v>公司筐</v>
      </c>
      <c r="Y399" s="20">
        <f>IFERROR(IF([1]对账明细接口!$T399=0,"",[1]对账明细接口!$T399),"")</f>
      </c>
      <c r="Z399" s="213">
        <f>IFERROR(IF([1]对账明细接口!$U399=0,"",[1]对账明细接口!$U399),"")</f>
      </c>
      <c r="AA399" s="213">
        <f>IFERROR(IF([1]对账明细接口!$V399=0,"",[1]对账明细接口!$V399),"")</f>
      </c>
      <c r="AB399" s="20">
        <f>IFERROR(IF([1]对账明细接口!$W399=0,"",[1]对账明细接口!$W399),"")</f>
      </c>
      <c r="AC399" s="7">
        <f>IFERROR(IF([1]对账明细接口!$X399=0,"",[1]对账明细接口!$X399),"")</f>
      </c>
      <c r="AD399" s="7">
        <f>IFERROR(IF([1]对账明细接口!$Y399=0,"",[1]对账明细接口!$Y399),"")</f>
      </c>
      <c r="AE399" s="7">
        <f>IFERROR(IF([1]对账明细接口!$AA399=0,"",[1]对账明细接口!$AA399),"")</f>
      </c>
      <c r="AF399" s="7">
        <f>IFERROR(IF([1]对账明细接口!$AB399=0,"",[1]对账明细接口!$AB399),"")</f>
      </c>
      <c r="AG399" s="7">
        <f>IFERROR(IF([1]对账明细接口!$AC399=0,"",[1]对账明细接口!$AC399),"")</f>
      </c>
      <c r="AH399" s="7">
        <f>IFERROR(IF([1]对账明细接口!$AD399=0,"",[1]对账明细接口!$AD399),"")</f>
      </c>
      <c r="AI399" s="7">
        <f>IFERROR(IF([1]对账明细接口!$AE399=0,"",[1]对账明细接口!$AE399),"")</f>
      </c>
      <c r="AJ399" s="7">
        <f>IFERROR(IF([1]对账明细接口!$AF399=0,"",[1]对账明细接口!$AF399),"")</f>
      </c>
    </row>
    <row r="400" ht="14.25" customHeight="1" s="127">
      <c r="A400" s="14" t="n">
        <v>400</v>
      </c>
      <c r="B400" s="211">
        <f>IFERROR(IF([1]对账明细接口!$B$400=0,"",[1]对账明细接口!$B$400),"")</f>
        <v>46288.0</v>
      </c>
      <c r="C400" s="16" t="str">
        <f>IFERROR(IF([1]对账明细接口!$C$400=0,"",[1]对账明细接口!$C$400),"")</f>
        <v>艾则孜</v>
      </c>
      <c r="D400" s="16" t="str">
        <f>IFERROR(IF([1]对账明细接口!$D$400=0,"",[1]对账明细接口!$D$400),"")</f>
        <v>原料入库</v>
      </c>
      <c r="E400" s="16" t="str">
        <f>IFERROR(IF([1]对账明细接口!$E$400=0,"",[1]对账明细接口!$E$400),"")</f>
        <v>NO:0000959</v>
      </c>
      <c r="F400" s="16" t="str">
        <f>IFERROR(IF([1]对账明细接口!$F$400=0,"",[1]对账明细接口!$F$400),"")</f>
        <v>香梨</v>
      </c>
      <c r="G400" s="16" t="str">
        <f>IFERROR(IF([1]对账明细接口!$G$400=0,"",[1]对账明细接口!$G$400),"")</f>
        <v>香梨副特</v>
      </c>
      <c r="H400" s="176">
        <f>IFERROR(IF([1]对账明细接口!$H$400=0,"",[1]对账明细接口!$H$400),"")</f>
        <v>253</v>
      </c>
      <c r="I400" s="16" t="str">
        <f>IFERROR(IF([1]对账明细接口!$I$400=0,"",[1]对账明细接口!$I$400),"")</f>
        <v>筐</v>
      </c>
      <c r="J400" s="177">
        <f>IFERROR(IF([1]对账明细接口!$J$400=0,"",[1]对账明细接口!$J$400),"")</f>
        <v>4882.9</v>
      </c>
      <c r="K400" s="177">
        <f>IFERROR(IF([1]对账明细接口!$K$400=0,"",[1]对账明细接口!$K$400),"")</f>
      </c>
      <c r="L400" s="16">
        <f>IFERROR(IF([1]对账明细接口!$L$400=0,"",[1]对账明细接口!$L$400),"")</f>
      </c>
      <c r="M400" s="16" t="str">
        <f>IFERROR(IF([1]对账明细接口!$M$400=0,"",[1]对账明细接口!$M$400),"")</f>
        <v>热合曼</v>
      </c>
      <c r="N400" s="19">
        <f>IF($C400="",0,1)</f>
        <v>1</v>
      </c>
      <c r="O400" s="19">
        <f>N(O399)+$N400</f>
        <v>397</v>
      </c>
      <c r="S400" s="20" t="str">
        <f>IFERROR(IF([1]对账明细接口!$N400=0,"",[1]对账明细接口!$N400),"")</f>
        <v>公司红周转筐</v>
      </c>
      <c r="T400" s="212">
        <f>IFERROR(IF([1]对账明细接口!$O400=0,"",[1]对账明细接口!$O400),"")</f>
      </c>
      <c r="U400" s="212">
        <f>IFERROR(IF([1]对账明细接口!$P400=0,"",[1]对账明细接口!$P400),"")</f>
      </c>
      <c r="V400" s="212">
        <f>IFERROR(IF([1]对账明细接口!$Q400=0,"",[1]对账明细接口!$Q400),"")</f>
        <v>253</v>
      </c>
      <c r="W400" s="20" t="str">
        <f>IFERROR(IF([1]对账明细接口!$R400=0,"",[1]对账明细接口!$R400),"")</f>
        <v>新R*37010</v>
      </c>
      <c r="X400" s="20" t="str">
        <f>IFERROR(IF([1]对账明细接口!$S400=0,"",[1]对账明细接口!$S400),"")</f>
        <v>公司筐</v>
      </c>
      <c r="Y400" s="20">
        <f>IFERROR(IF([1]对账明细接口!$T400=0,"",[1]对账明细接口!$T400),"")</f>
      </c>
      <c r="Z400" s="213">
        <f>IFERROR(IF([1]对账明细接口!$U400=0,"",[1]对账明细接口!$U400),"")</f>
      </c>
      <c r="AA400" s="213">
        <f>IFERROR(IF([1]对账明细接口!$V400=0,"",[1]对账明细接口!$V400),"")</f>
      </c>
      <c r="AB400" s="20">
        <f>IFERROR(IF([1]对账明细接口!$W400=0,"",[1]对账明细接口!$W400),"")</f>
      </c>
      <c r="AC400" s="7">
        <f>IFERROR(IF([1]对账明细接口!$X400=0,"",[1]对账明细接口!$X400),"")</f>
      </c>
      <c r="AD400" s="7">
        <f>IFERROR(IF([1]对账明细接口!$Y400=0,"",[1]对账明细接口!$Y400),"")</f>
      </c>
      <c r="AE400" s="7">
        <f>IFERROR(IF([1]对账明细接口!$AA400=0,"",[1]对账明细接口!$AA400),"")</f>
      </c>
      <c r="AF400" s="7">
        <f>IFERROR(IF([1]对账明细接口!$AB400=0,"",[1]对账明细接口!$AB400),"")</f>
      </c>
      <c r="AG400" s="7">
        <f>IFERROR(IF([1]对账明细接口!$AC400=0,"",[1]对账明细接口!$AC400),"")</f>
      </c>
      <c r="AH400" s="7">
        <f>IFERROR(IF([1]对账明细接口!$AD400=0,"",[1]对账明细接口!$AD400),"")</f>
      </c>
      <c r="AI400" s="7">
        <f>IFERROR(IF([1]对账明细接口!$AE400=0,"",[1]对账明细接口!$AE400),"")</f>
      </c>
      <c r="AJ400" s="7">
        <f>IFERROR(IF([1]对账明细接口!$AF400=0,"",[1]对账明细接口!$AF400),"")</f>
      </c>
    </row>
    <row r="401" ht="14.25" customHeight="1" s="127">
      <c r="A401" s="14" t="n">
        <v>401</v>
      </c>
      <c r="B401" s="211">
        <f>IFERROR(IF([1]对账明细接口!$B$401=0,"",[1]对账明细接口!$B$401),"")</f>
        <v>46288.0</v>
      </c>
      <c r="C401" s="16" t="str">
        <f>IFERROR(IF([1]对账明细接口!$C$401=0,"",[1]对账明细接口!$C$401),"")</f>
        <v>荆建君</v>
      </c>
      <c r="D401" s="16" t="str">
        <f>IFERROR(IF([1]对账明细接口!$D$401=0,"",[1]对账明细接口!$D$401),"")</f>
        <v>原料入库</v>
      </c>
      <c r="E401" s="16" t="str">
        <f>IFERROR(IF([1]对账明细接口!$E$401=0,"",[1]对账明细接口!$E$401),"")</f>
        <v>NO:0000960</v>
      </c>
      <c r="F401" s="16" t="str">
        <f>IFERROR(IF([1]对账明细接口!$F$401=0,"",[1]对账明细接口!$F$401),"")</f>
        <v>香梨</v>
      </c>
      <c r="G401" s="16" t="str">
        <f>IFERROR(IF([1]对账明细接口!$G$401=0,"",[1]对账明细接口!$G$401),"")</f>
        <v>香梨一级</v>
      </c>
      <c r="H401" s="176">
        <f>IFERROR(IF([1]对账明细接口!$H$401=0,"",[1]对账明细接口!$H$401),"")</f>
        <v>336</v>
      </c>
      <c r="I401" s="16" t="str">
        <f>IFERROR(IF([1]对账明细接口!$I$401=0,"",[1]对账明细接口!$I$401),"")</f>
        <v>筐</v>
      </c>
      <c r="J401" s="177">
        <f>IFERROR(IF([1]对账明细接口!$J$401=0,"",[1]对账明细接口!$J$401),"")</f>
        <v>6148.8</v>
      </c>
      <c r="K401" s="177">
        <f>IFERROR(IF([1]对账明细接口!$K$401=0,"",[1]对账明细接口!$K$401),"")</f>
      </c>
      <c r="L401" s="16">
        <f>IFERROR(IF([1]对账明细接口!$L$401=0,"",[1]对账明细接口!$L$401),"")</f>
      </c>
      <c r="M401" s="16">
        <f>IFERROR(IF([1]对账明细接口!$M$401=0,"",[1]对账明细接口!$M$401),"")</f>
      </c>
      <c r="N401" s="19">
        <f>IF($C401="",0,1)</f>
        <v>1</v>
      </c>
      <c r="O401" s="19">
        <f>N(O400)+$N401</f>
        <v>398</v>
      </c>
      <c r="S401" s="20" t="str">
        <f>IFERROR(IF([1]对账明细接口!$N401=0,"",[1]对账明细接口!$N401),"")</f>
        <v>公司红周转筐</v>
      </c>
      <c r="T401" s="212">
        <f>IFERROR(IF([1]对账明细接口!$O401=0,"",[1]对账明细接口!$O401),"")</f>
      </c>
      <c r="U401" s="212">
        <f>IFERROR(IF([1]对账明细接口!$P401=0,"",[1]对账明细接口!$P401),"")</f>
      </c>
      <c r="V401" s="212">
        <f>IFERROR(IF([1]对账明细接口!$Q401=0,"",[1]对账明细接口!$Q401),"")</f>
        <v>336</v>
      </c>
      <c r="W401" s="20" t="str">
        <f>IFERROR(IF([1]对账明细接口!$R401=0,"",[1]对账明细接口!$R401),"")</f>
        <v>豫A*2737K</v>
      </c>
      <c r="X401" s="20" t="str">
        <f>IFERROR(IF([1]对账明细接口!$S401=0,"",[1]对账明细接口!$S401),"")</f>
        <v>公司筐</v>
      </c>
      <c r="Y401" s="20">
        <f>IFERROR(IF([1]对账明细接口!$T401=0,"",[1]对账明细接口!$T401),"")</f>
      </c>
      <c r="Z401" s="213">
        <f>IFERROR(IF([1]对账明细接口!$U401=0,"",[1]对账明细接口!$U401),"")</f>
      </c>
      <c r="AA401" s="213">
        <f>IFERROR(IF([1]对账明细接口!$V401=0,"",[1]对账明细接口!$V401),"")</f>
      </c>
      <c r="AB401" s="20">
        <f>IFERROR(IF([1]对账明细接口!$W401=0,"",[1]对账明细接口!$W401),"")</f>
      </c>
      <c r="AC401" s="7">
        <f>IFERROR(IF([1]对账明细接口!$X401=0,"",[1]对账明细接口!$X401),"")</f>
      </c>
      <c r="AD401" s="7">
        <f>IFERROR(IF([1]对账明细接口!$Y401=0,"",[1]对账明细接口!$Y401),"")</f>
      </c>
      <c r="AE401" s="7">
        <f>IFERROR(IF([1]对账明细接口!$AA401=0,"",[1]对账明细接口!$AA401),"")</f>
      </c>
      <c r="AF401" s="7">
        <f>IFERROR(IF([1]对账明细接口!$AB401=0,"",[1]对账明细接口!$AB401),"")</f>
      </c>
      <c r="AG401" s="7">
        <f>IFERROR(IF([1]对账明细接口!$AC401=0,"",[1]对账明细接口!$AC401),"")</f>
      </c>
      <c r="AH401" s="7">
        <f>IFERROR(IF([1]对账明细接口!$AD401=0,"",[1]对账明细接口!$AD401),"")</f>
      </c>
      <c r="AI401" s="7">
        <f>IFERROR(IF([1]对账明细接口!$AE401=0,"",[1]对账明细接口!$AE401),"")</f>
      </c>
      <c r="AJ401" s="7">
        <f>IFERROR(IF([1]对账明细接口!$AF401=0,"",[1]对账明细接口!$AF401),"")</f>
      </c>
    </row>
    <row r="402" ht="14.25" customHeight="1" s="127">
      <c r="A402" s="14" t="n">
        <v>402</v>
      </c>
      <c r="B402" s="211">
        <f>IFERROR(IF([1]对账明细接口!$B$402=0,"",[1]对账明细接口!$B$402),"")</f>
        <v>46288.0</v>
      </c>
      <c r="C402" s="16" t="str">
        <f>IFERROR(IF([1]对账明细接口!$C$402=0,"",[1]对账明细接口!$C$402),"")</f>
        <v>荆建君</v>
      </c>
      <c r="D402" s="16" t="str">
        <f>IFERROR(IF([1]对账明细接口!$D$402=0,"",[1]对账明细接口!$D$402),"")</f>
        <v>原料入库</v>
      </c>
      <c r="E402" s="16" t="str">
        <f>IFERROR(IF([1]对账明细接口!$E$402=0,"",[1]对账明细接口!$E$402),"")</f>
        <v>NO:0000960</v>
      </c>
      <c r="F402" s="16" t="str">
        <f>IFERROR(IF([1]对账明细接口!$F$402=0,"",[1]对账明细接口!$F$402),"")</f>
        <v>香梨</v>
      </c>
      <c r="G402" s="16" t="str">
        <f>IFERROR(IF([1]对账明细接口!$G$402=0,"",[1]对账明细接口!$G$402),"")</f>
        <v>香梨二级</v>
      </c>
      <c r="H402" s="176">
        <f>IFERROR(IF([1]对账明细接口!$H$402=0,"",[1]对账明细接口!$H$402),"")</f>
        <v>312</v>
      </c>
      <c r="I402" s="16" t="str">
        <f>IFERROR(IF([1]对账明细接口!$I$402=0,"",[1]对账明细接口!$I$402),"")</f>
        <v>筐</v>
      </c>
      <c r="J402" s="177">
        <f>IFERROR(IF([1]对账明细接口!$J$402=0,"",[1]对账明细接口!$J$402),"")</f>
        <v>5709.6</v>
      </c>
      <c r="K402" s="177">
        <f>IFERROR(IF([1]对账明细接口!$K$402=0,"",[1]对账明细接口!$K$402),"")</f>
      </c>
      <c r="L402" s="16">
        <f>IFERROR(IF([1]对账明细接口!$L$402=0,"",[1]对账明细接口!$L$402),"")</f>
      </c>
      <c r="M402" s="16">
        <f>IFERROR(IF([1]对账明细接口!$M$402=0,"",[1]对账明细接口!$M$402),"")</f>
      </c>
      <c r="N402" s="19">
        <f>IF($C402="",0,1)</f>
        <v>1</v>
      </c>
      <c r="O402" s="19">
        <f>N(O401)+$N402</f>
        <v>399</v>
      </c>
      <c r="S402" s="20" t="str">
        <f>IFERROR(IF([1]对账明细接口!$N402=0,"",[1]对账明细接口!$N402),"")</f>
        <v>公司红周转筐</v>
      </c>
      <c r="T402" s="212">
        <f>IFERROR(IF([1]对账明细接口!$O402=0,"",[1]对账明细接口!$O402),"")</f>
      </c>
      <c r="U402" s="212">
        <f>IFERROR(IF([1]对账明细接口!$P402=0,"",[1]对账明细接口!$P402),"")</f>
      </c>
      <c r="V402" s="212">
        <f>IFERROR(IF([1]对账明细接口!$Q402=0,"",[1]对账明细接口!$Q402),"")</f>
        <v>312</v>
      </c>
      <c r="W402" s="20" t="str">
        <f>IFERROR(IF([1]对账明细接口!$R402=0,"",[1]对账明细接口!$R402),"")</f>
        <v>豫A*2737K</v>
      </c>
      <c r="X402" s="20" t="str">
        <f>IFERROR(IF([1]对账明细接口!$S402=0,"",[1]对账明细接口!$S402),"")</f>
        <v>公司筐</v>
      </c>
      <c r="Y402" s="20">
        <f>IFERROR(IF([1]对账明细接口!$T402=0,"",[1]对账明细接口!$T402),"")</f>
      </c>
      <c r="Z402" s="213">
        <f>IFERROR(IF([1]对账明细接口!$U402=0,"",[1]对账明细接口!$U402),"")</f>
      </c>
      <c r="AA402" s="213">
        <f>IFERROR(IF([1]对账明细接口!$V402=0,"",[1]对账明细接口!$V402),"")</f>
      </c>
      <c r="AB402" s="20">
        <f>IFERROR(IF([1]对账明细接口!$W402=0,"",[1]对账明细接口!$W402),"")</f>
      </c>
      <c r="AC402" s="7">
        <f>IFERROR(IF([1]对账明细接口!$X402=0,"",[1]对账明细接口!$X402),"")</f>
      </c>
      <c r="AD402" s="7">
        <f>IFERROR(IF([1]对账明细接口!$Y402=0,"",[1]对账明细接口!$Y402),"")</f>
      </c>
      <c r="AE402" s="7">
        <f>IFERROR(IF([1]对账明细接口!$AA402=0,"",[1]对账明细接口!$AA402),"")</f>
      </c>
      <c r="AF402" s="7">
        <f>IFERROR(IF([1]对账明细接口!$AB402=0,"",[1]对账明细接口!$AB402),"")</f>
      </c>
      <c r="AG402" s="7">
        <f>IFERROR(IF([1]对账明细接口!$AC402=0,"",[1]对账明细接口!$AC402),"")</f>
      </c>
      <c r="AH402" s="7">
        <f>IFERROR(IF([1]对账明细接口!$AD402=0,"",[1]对账明细接口!$AD402),"")</f>
      </c>
      <c r="AI402" s="7">
        <f>IFERROR(IF([1]对账明细接口!$AE402=0,"",[1]对账明细接口!$AE402),"")</f>
      </c>
      <c r="AJ402" s="7">
        <f>IFERROR(IF([1]对账明细接口!$AF402=0,"",[1]对账明细接口!$AF402),"")</f>
      </c>
    </row>
    <row r="403" ht="14.25" customHeight="1" s="127">
      <c r="A403" s="14" t="n">
        <v>403</v>
      </c>
      <c r="B403" s="211">
        <f>IFERROR(IF([1]对账明细接口!$B$403=0,"",[1]对账明细接口!$B$403),"")</f>
        <v>46288.0</v>
      </c>
      <c r="C403" s="16" t="str">
        <f>IFERROR(IF([1]对账明细接口!$C$403=0,"",[1]对账明细接口!$C$403),"")</f>
        <v>李现东</v>
      </c>
      <c r="D403" s="16" t="str">
        <f>IFERROR(IF([1]对账明细接口!$D$403=0,"",[1]对账明细接口!$D$403),"")</f>
        <v>原料入库</v>
      </c>
      <c r="E403" s="16" t="str">
        <f>IFERROR(IF([1]对账明细接口!$E$403=0,"",[1]对账明细接口!$E$403),"")</f>
        <v>NO:0000961</v>
      </c>
      <c r="F403" s="16" t="str">
        <f>IFERROR(IF([1]对账明细接口!$F$403=0,"",[1]对账明细接口!$F$403),"")</f>
        <v>香梨</v>
      </c>
      <c r="G403" s="16" t="str">
        <f>IFERROR(IF([1]对账明细接口!$G$403=0,"",[1]对账明细接口!$G$403),"")</f>
        <v>香梨一级</v>
      </c>
      <c r="H403" s="176">
        <f>IFERROR(IF([1]对账明细接口!$H$403=0,"",[1]对账明细接口!$H$403),"")</f>
        <v>326</v>
      </c>
      <c r="I403" s="16" t="str">
        <f>IFERROR(IF([1]对账明细接口!$I$403=0,"",[1]对账明细接口!$I$403),"")</f>
        <v>筐</v>
      </c>
      <c r="J403" s="177">
        <f>IFERROR(IF([1]对账明细接口!$J$403=0,"",[1]对账明细接口!$J$403),"")</f>
        <v>5965.8</v>
      </c>
      <c r="K403" s="177">
        <f>IFERROR(IF([1]对账明细接口!$K$403=0,"",[1]对账明细接口!$K$403),"")</f>
      </c>
      <c r="L403" s="16">
        <f>IFERROR(IF([1]对账明细接口!$L$403=0,"",[1]对账明细接口!$L$403),"")</f>
      </c>
      <c r="M403" s="16" t="str">
        <f>IFERROR(IF([1]对账明细接口!$M$403=0,"",[1]对账明细接口!$M$403),"")</f>
        <v>王照雪</v>
      </c>
      <c r="N403" s="19">
        <f>IF($C403="",0,1)</f>
        <v>1</v>
      </c>
      <c r="O403" s="19">
        <f>N(O402)+$N403</f>
        <v>400</v>
      </c>
      <c r="S403" s="20" t="str">
        <f>IFERROR(IF([1]对账明细接口!$N403=0,"",[1]对账明细接口!$N403),"")</f>
        <v>公司杂周转筐</v>
      </c>
      <c r="T403" s="212">
        <f>IFERROR(IF([1]对账明细接口!$O403=0,"",[1]对账明细接口!$O403),"")</f>
      </c>
      <c r="U403" s="212">
        <f>IFERROR(IF([1]对账明细接口!$P403=0,"",[1]对账明细接口!$P403),"")</f>
      </c>
      <c r="V403" s="212">
        <f>IFERROR(IF([1]对账明细接口!$Q403=0,"",[1]对账明细接口!$Q403),"")</f>
        <v>326</v>
      </c>
      <c r="W403" s="20" t="str">
        <f>IFERROR(IF([1]对账明细接口!$R403=0,"",[1]对账明细接口!$R403),"")</f>
        <v>新N*53045</v>
      </c>
      <c r="X403" s="20" t="str">
        <f>IFERROR(IF([1]对账明细接口!$S403=0,"",[1]对账明细接口!$S403),"")</f>
        <v>公司筐</v>
      </c>
      <c r="Y403" s="20">
        <f>IFERROR(IF([1]对账明细接口!$T403=0,"",[1]对账明细接口!$T403),"")</f>
      </c>
      <c r="Z403" s="213">
        <f>IFERROR(IF([1]对账明细接口!$U403=0,"",[1]对账明细接口!$U403),"")</f>
      </c>
      <c r="AA403" s="213">
        <f>IFERROR(IF([1]对账明细接口!$V403=0,"",[1]对账明细接口!$V403),"")</f>
      </c>
      <c r="AB403" s="20">
        <f>IFERROR(IF([1]对账明细接口!$W403=0,"",[1]对账明细接口!$W403),"")</f>
      </c>
      <c r="AC403" s="7">
        <f>IFERROR(IF([1]对账明细接口!$X403=0,"",[1]对账明细接口!$X403),"")</f>
      </c>
      <c r="AD403" s="7">
        <f>IFERROR(IF([1]对账明细接口!$Y403=0,"",[1]对账明细接口!$Y403),"")</f>
      </c>
      <c r="AE403" s="7">
        <f>IFERROR(IF([1]对账明细接口!$AA403=0,"",[1]对账明细接口!$AA403),"")</f>
      </c>
      <c r="AF403" s="7">
        <f>IFERROR(IF([1]对账明细接口!$AB403=0,"",[1]对账明细接口!$AB403),"")</f>
      </c>
      <c r="AG403" s="7">
        <f>IFERROR(IF([1]对账明细接口!$AC403=0,"",[1]对账明细接口!$AC403),"")</f>
      </c>
      <c r="AH403" s="7">
        <f>IFERROR(IF([1]对账明细接口!$AD403=0,"",[1]对账明细接口!$AD403),"")</f>
      </c>
      <c r="AI403" s="7">
        <f>IFERROR(IF([1]对账明细接口!$AE403=0,"",[1]对账明细接口!$AE403),"")</f>
      </c>
      <c r="AJ403" s="7">
        <f>IFERROR(IF([1]对账明细接口!$AF403=0,"",[1]对账明细接口!$AF403),"")</f>
      </c>
    </row>
    <row r="404" ht="14.25" customHeight="1" s="127">
      <c r="A404" s="14" t="n">
        <v>404</v>
      </c>
      <c r="B404" s="211">
        <f>IFERROR(IF([1]对账明细接口!$B$404=0,"",[1]对账明细接口!$B$404),"")</f>
        <v>46288.0</v>
      </c>
      <c r="C404" s="16" t="str">
        <f>IFERROR(IF([1]对账明细接口!$C$404=0,"",[1]对账明细接口!$C$404),"")</f>
        <v>李现东</v>
      </c>
      <c r="D404" s="16" t="str">
        <f>IFERROR(IF([1]对账明细接口!$D$404=0,"",[1]对账明细接口!$D$404),"")</f>
        <v>原料入库</v>
      </c>
      <c r="E404" s="16" t="str">
        <f>IFERROR(IF([1]对账明细接口!$E$404=0,"",[1]对账明细接口!$E$404),"")</f>
        <v>NO:0000961</v>
      </c>
      <c r="F404" s="16" t="str">
        <f>IFERROR(IF([1]对账明细接口!$F$404=0,"",[1]对账明细接口!$F$404),"")</f>
        <v>香梨</v>
      </c>
      <c r="G404" s="16" t="str">
        <f>IFERROR(IF([1]对账明细接口!$G$404=0,"",[1]对账明细接口!$G$404),"")</f>
        <v>香梨二级</v>
      </c>
      <c r="H404" s="176">
        <f>IFERROR(IF([1]对账明细接口!$H$404=0,"",[1]对账明细接口!$H$404),"")</f>
        <v>90</v>
      </c>
      <c r="I404" s="16" t="str">
        <f>IFERROR(IF([1]对账明细接口!$I$404=0,"",[1]对账明细接口!$I$404),"")</f>
        <v>筐</v>
      </c>
      <c r="J404" s="177">
        <f>IFERROR(IF([1]对账明细接口!$J$404=0,"",[1]对账明细接口!$J$404),"")</f>
        <v>2007</v>
      </c>
      <c r="K404" s="177">
        <f>IFERROR(IF([1]对账明细接口!$K$404=0,"",[1]对账明细接口!$K$404),"")</f>
      </c>
      <c r="L404" s="16">
        <f>IFERROR(IF([1]对账明细接口!$L$404=0,"",[1]对账明细接口!$L$404),"")</f>
      </c>
      <c r="M404" s="16" t="str">
        <f>IFERROR(IF([1]对账明细接口!$M$404=0,"",[1]对账明细接口!$M$404),"")</f>
        <v>王照雪</v>
      </c>
      <c r="N404" s="19">
        <f>IF($C404="",0,1)</f>
        <v>1</v>
      </c>
      <c r="O404" s="19">
        <f>N(O403)+$N404</f>
        <v>401</v>
      </c>
      <c r="S404" s="20" t="str">
        <f>IFERROR(IF([1]对账明细接口!$N404=0,"",[1]对账明细接口!$N404),"")</f>
        <v>公司杂周转筐</v>
      </c>
      <c r="T404" s="212">
        <f>IFERROR(IF([1]对账明细接口!$O404=0,"",[1]对账明细接口!$O404),"")</f>
      </c>
      <c r="U404" s="212">
        <f>IFERROR(IF([1]对账明细接口!$P404=0,"",[1]对账明细接口!$P404),"")</f>
      </c>
      <c r="V404" s="212">
        <f>IFERROR(IF([1]对账明细接口!$Q404=0,"",[1]对账明细接口!$Q404),"")</f>
        <v>90</v>
      </c>
      <c r="W404" s="20" t="str">
        <f>IFERROR(IF([1]对账明细接口!$R404=0,"",[1]对账明细接口!$R404),"")</f>
        <v>新N*53045</v>
      </c>
      <c r="X404" s="20" t="str">
        <f>IFERROR(IF([1]对账明细接口!$S404=0,"",[1]对账明细接口!$S404),"")</f>
        <v>公司筐</v>
      </c>
      <c r="Y404" s="20">
        <f>IFERROR(IF([1]对账明细接口!$T404=0,"",[1]对账明细接口!$T404),"")</f>
      </c>
      <c r="Z404" s="213">
        <f>IFERROR(IF([1]对账明细接口!$U404=0,"",[1]对账明细接口!$U404),"")</f>
      </c>
      <c r="AA404" s="213">
        <f>IFERROR(IF([1]对账明细接口!$V404=0,"",[1]对账明细接口!$V404),"")</f>
      </c>
      <c r="AB404" s="20">
        <f>IFERROR(IF([1]对账明细接口!$W404=0,"",[1]对账明细接口!$W404),"")</f>
      </c>
      <c r="AC404" s="7">
        <f>IFERROR(IF([1]对账明细接口!$X404=0,"",[1]对账明细接口!$X404),"")</f>
      </c>
      <c r="AD404" s="7">
        <f>IFERROR(IF([1]对账明细接口!$Y404=0,"",[1]对账明细接口!$Y404),"")</f>
      </c>
      <c r="AE404" s="7">
        <f>IFERROR(IF([1]对账明细接口!$AA404=0,"",[1]对账明细接口!$AA404),"")</f>
      </c>
      <c r="AF404" s="7">
        <f>IFERROR(IF([1]对账明细接口!$AB404=0,"",[1]对账明细接口!$AB404),"")</f>
      </c>
      <c r="AG404" s="7">
        <f>IFERROR(IF([1]对账明细接口!$AC404=0,"",[1]对账明细接口!$AC404),"")</f>
      </c>
      <c r="AH404" s="7">
        <f>IFERROR(IF([1]对账明细接口!$AD404=0,"",[1]对账明细接口!$AD404),"")</f>
      </c>
      <c r="AI404" s="7">
        <f>IFERROR(IF([1]对账明细接口!$AE404=0,"",[1]对账明细接口!$AE404),"")</f>
      </c>
      <c r="AJ404" s="7">
        <f>IFERROR(IF([1]对账明细接口!$AF404=0,"",[1]对账明细接口!$AF404),"")</f>
      </c>
    </row>
    <row r="405" ht="14.25" customHeight="1" s="127">
      <c r="A405" s="14" t="n">
        <v>405</v>
      </c>
      <c r="B405" s="211">
        <f>IFERROR(IF([1]对账明细接口!$B$405=0,"",[1]对账明细接口!$B$405),"")</f>
        <v>46288.0</v>
      </c>
      <c r="C405" s="16" t="str">
        <f>IFERROR(IF([1]对账明细接口!$C$405=0,"",[1]对账明细接口!$C$405),"")</f>
        <v>李现东</v>
      </c>
      <c r="D405" s="16" t="str">
        <f>IFERROR(IF([1]对账明细接口!$D$405=0,"",[1]对账明细接口!$D$405),"")</f>
        <v>原料入库</v>
      </c>
      <c r="E405" s="16" t="str">
        <f>IFERROR(IF([1]对账明细接口!$E$405=0,"",[1]对账明细接口!$E$405),"")</f>
        <v>NO:0000961</v>
      </c>
      <c r="F405" s="16" t="str">
        <f>IFERROR(IF([1]对账明细接口!$F$405=0,"",[1]对账明细接口!$F$405),"")</f>
        <v>香梨</v>
      </c>
      <c r="G405" s="16" t="str">
        <f>IFERROR(IF([1]对账明细接口!$G$405=0,"",[1]对账明细接口!$G$405),"")</f>
        <v>香梨副特</v>
      </c>
      <c r="H405" s="176">
        <f>IFERROR(IF([1]对账明细接口!$H$405=0,"",[1]对账明细接口!$H$405),"")</f>
        <v>73</v>
      </c>
      <c r="I405" s="16" t="str">
        <f>IFERROR(IF([1]对账明细接口!$I$405=0,"",[1]对账明细接口!$I$405),"")</f>
        <v>筐</v>
      </c>
      <c r="J405" s="177">
        <f>IFERROR(IF([1]对账明细接口!$J$405=0,"",[1]对账明细接口!$J$405),"")</f>
        <v>1335.9</v>
      </c>
      <c r="K405" s="177">
        <f>IFERROR(IF([1]对账明细接口!$K$405=0,"",[1]对账明细接口!$K$405),"")</f>
      </c>
      <c r="L405" s="16">
        <f>IFERROR(IF([1]对账明细接口!$L$405=0,"",[1]对账明细接口!$L$405),"")</f>
      </c>
      <c r="M405" s="16" t="str">
        <f>IFERROR(IF([1]对账明细接口!$M$405=0,"",[1]对账明细接口!$M$405),"")</f>
        <v>王照雪</v>
      </c>
      <c r="N405" s="19">
        <f>IF($C405="",0,1)</f>
        <v>1</v>
      </c>
      <c r="O405" s="19">
        <f>N(O404)+$N405</f>
        <v>402</v>
      </c>
      <c r="S405" s="20" t="str">
        <f>IFERROR(IF([1]对账明细接口!$N405=0,"",[1]对账明细接口!$N405),"")</f>
        <v>公司杂周转筐</v>
      </c>
      <c r="T405" s="212">
        <f>IFERROR(IF([1]对账明细接口!$O405=0,"",[1]对账明细接口!$O405),"")</f>
      </c>
      <c r="U405" s="212">
        <f>IFERROR(IF([1]对账明细接口!$P405=0,"",[1]对账明细接口!$P405),"")</f>
      </c>
      <c r="V405" s="212">
        <f>IFERROR(IF([1]对账明细接口!$Q405=0,"",[1]对账明细接口!$Q405),"")</f>
        <v>73</v>
      </c>
      <c r="W405" s="20" t="str">
        <f>IFERROR(IF([1]对账明细接口!$R405=0,"",[1]对账明细接口!$R405),"")</f>
        <v>新N*53045</v>
      </c>
      <c r="X405" s="20" t="str">
        <f>IFERROR(IF([1]对账明细接口!$S405=0,"",[1]对账明细接口!$S405),"")</f>
        <v>公司筐</v>
      </c>
      <c r="Y405" s="20">
        <f>IFERROR(IF([1]对账明细接口!$T405=0,"",[1]对账明细接口!$T405),"")</f>
      </c>
      <c r="Z405" s="213">
        <f>IFERROR(IF([1]对账明细接口!$U405=0,"",[1]对账明细接口!$U405),"")</f>
      </c>
      <c r="AA405" s="213">
        <f>IFERROR(IF([1]对账明细接口!$V405=0,"",[1]对账明细接口!$V405),"")</f>
      </c>
      <c r="AB405" s="20">
        <f>IFERROR(IF([1]对账明细接口!$W405=0,"",[1]对账明细接口!$W405),"")</f>
      </c>
      <c r="AC405" s="7">
        <f>IFERROR(IF([1]对账明细接口!$X405=0,"",[1]对账明细接口!$X405),"")</f>
      </c>
      <c r="AD405" s="7">
        <f>IFERROR(IF([1]对账明细接口!$Y405=0,"",[1]对账明细接口!$Y405),"")</f>
      </c>
      <c r="AE405" s="7">
        <f>IFERROR(IF([1]对账明细接口!$AA405=0,"",[1]对账明细接口!$AA405),"")</f>
      </c>
      <c r="AF405" s="7">
        <f>IFERROR(IF([1]对账明细接口!$AB405=0,"",[1]对账明细接口!$AB405),"")</f>
      </c>
      <c r="AG405" s="7">
        <f>IFERROR(IF([1]对账明细接口!$AC405=0,"",[1]对账明细接口!$AC405),"")</f>
      </c>
      <c r="AH405" s="7">
        <f>IFERROR(IF([1]对账明细接口!$AD405=0,"",[1]对账明细接口!$AD405),"")</f>
      </c>
      <c r="AI405" s="7">
        <f>IFERROR(IF([1]对账明细接口!$AE405=0,"",[1]对账明细接口!$AE405),"")</f>
      </c>
      <c r="AJ405" s="7">
        <f>IFERROR(IF([1]对账明细接口!$AF405=0,"",[1]对账明细接口!$AF405),"")</f>
      </c>
    </row>
    <row r="406" ht="14.25" customHeight="1" s="127">
      <c r="A406" s="14" t="n">
        <v>406</v>
      </c>
      <c r="B406" s="211">
        <f>IFERROR(IF([1]对账明细接口!$B$406=0,"",[1]对账明细接口!$B$406),"")</f>
        <v>46288.0</v>
      </c>
      <c r="C406" s="16" t="str">
        <f>IFERROR(IF([1]对账明细接口!$C$406=0,"",[1]对账明细接口!$C$406),"")</f>
        <v>金龙</v>
      </c>
      <c r="D406" s="16" t="str">
        <f>IFERROR(IF([1]对账明细接口!$D$406=0,"",[1]对账明细接口!$D$406),"")</f>
        <v>原料入库</v>
      </c>
      <c r="E406" s="16" t="str">
        <f>IFERROR(IF([1]对账明细接口!$E$406=0,"",[1]对账明细接口!$E$406),"")</f>
        <v>NO:0000963</v>
      </c>
      <c r="F406" s="16" t="str">
        <f>IFERROR(IF([1]对账明细接口!$F$406=0,"",[1]对账明细接口!$F$406),"")</f>
        <v>香梨</v>
      </c>
      <c r="G406" s="16" t="str">
        <f>IFERROR(IF([1]对账明细接口!$G$406=0,"",[1]对账明细接口!$G$406),"")</f>
        <v>香梨一级</v>
      </c>
      <c r="H406" s="176">
        <f>IFERROR(IF([1]对账明细接口!$H$406=0,"",[1]对账明细接口!$H$406),"")</f>
        <v>168</v>
      </c>
      <c r="I406" s="16" t="str">
        <f>IFERROR(IF([1]对账明细接口!$I$406=0,"",[1]对账明细接口!$I$406),"")</f>
        <v>筐</v>
      </c>
      <c r="J406" s="177">
        <f>IFERROR(IF([1]对账明细接口!$J$406=0,"",[1]对账明细接口!$J$406),"")</f>
        <v>3108</v>
      </c>
      <c r="K406" s="177">
        <f>IFERROR(IF([1]对账明细接口!$K$406=0,"",[1]对账明细接口!$K$406),"")</f>
      </c>
      <c r="L406" s="16">
        <f>IFERROR(IF([1]对账明细接口!$L$406=0,"",[1]对账明细接口!$L$406),"")</f>
      </c>
      <c r="M406" s="16">
        <f>IFERROR(IF([1]对账明细接口!$M$406=0,"",[1]对账明细接口!$M$406),"")</f>
      </c>
      <c r="N406" s="19">
        <f>IF($C406="",0,1)</f>
        <v>1</v>
      </c>
      <c r="O406" s="19">
        <f>N(O405)+$N406</f>
        <v>403</v>
      </c>
      <c r="S406" s="20" t="str">
        <f>IFERROR(IF([1]对账明细接口!$N406=0,"",[1]对账明细接口!$N406),"")</f>
        <v>自备一次性筐</v>
      </c>
      <c r="T406" s="212">
        <f>IFERROR(IF([1]对账明细接口!$O406=0,"",[1]对账明细接口!$O406),"")</f>
      </c>
      <c r="U406" s="212">
        <f>IFERROR(IF([1]对账明细接口!$P406=0,"",[1]对账明细接口!$P406),"")</f>
      </c>
      <c r="V406" s="212">
        <f>IFERROR(IF([1]对账明细接口!$Q406=0,"",[1]对账明细接口!$Q406),"")</f>
        <v>168</v>
      </c>
      <c r="W406" s="20" t="str">
        <f>IFERROR(IF([1]对账明细接口!$R406=0,"",[1]对账明细接口!$R406),"")</f>
        <v>新N*F8C39</v>
      </c>
      <c r="X406" s="20" t="str">
        <f>IFERROR(IF([1]对账明细接口!$S406=0,"",[1]对账明细接口!$S406),"")</f>
        <v>自备筐</v>
      </c>
      <c r="Y406" s="20">
        <f>IFERROR(IF([1]对账明细接口!$T406=0,"",[1]对账明细接口!$T406),"")</f>
      </c>
      <c r="Z406" s="213">
        <f>IFERROR(IF([1]对账明细接口!$U406=0,"",[1]对账明细接口!$U406),"")</f>
      </c>
      <c r="AA406" s="213">
        <f>IFERROR(IF([1]对账明细接口!$V406=0,"",[1]对账明细接口!$V406),"")</f>
      </c>
      <c r="AB406" s="20">
        <f>IFERROR(IF([1]对账明细接口!$W406=0,"",[1]对账明细接口!$W406),"")</f>
      </c>
      <c r="AC406" s="7">
        <f>IFERROR(IF([1]对账明细接口!$X406=0,"",[1]对账明细接口!$X406),"")</f>
      </c>
      <c r="AD406" s="7">
        <f>IFERROR(IF([1]对账明细接口!$Y406=0,"",[1]对账明细接口!$Y406),"")</f>
      </c>
      <c r="AE406" s="7">
        <f>IFERROR(IF([1]对账明细接口!$AA406=0,"",[1]对账明细接口!$AA406),"")</f>
      </c>
      <c r="AF406" s="7">
        <f>IFERROR(IF([1]对账明细接口!$AB406=0,"",[1]对账明细接口!$AB406),"")</f>
      </c>
      <c r="AG406" s="7">
        <f>IFERROR(IF([1]对账明细接口!$AC406=0,"",[1]对账明细接口!$AC406),"")</f>
      </c>
      <c r="AH406" s="7">
        <f>IFERROR(IF([1]对账明细接口!$AD406=0,"",[1]对账明细接口!$AD406),"")</f>
      </c>
      <c r="AI406" s="7">
        <f>IFERROR(IF([1]对账明细接口!$AE406=0,"",[1]对账明细接口!$AE406),"")</f>
      </c>
      <c r="AJ406" s="7">
        <f>IFERROR(IF([1]对账明细接口!$AF406=0,"",[1]对账明细接口!$AF406),"")</f>
      </c>
    </row>
    <row r="407" ht="14.25" customHeight="1" s="127">
      <c r="A407" s="14" t="n">
        <v>407</v>
      </c>
      <c r="B407" s="211">
        <f>IFERROR(IF([1]对账明细接口!$B$407=0,"",[1]对账明细接口!$B$407),"")</f>
        <v>46288.0</v>
      </c>
      <c r="C407" s="16" t="str">
        <f>IFERROR(IF([1]对账明细接口!$C$407=0,"",[1]对账明细接口!$C$407),"")</f>
        <v>金龙</v>
      </c>
      <c r="D407" s="16" t="str">
        <f>IFERROR(IF([1]对账明细接口!$D$407=0,"",[1]对账明细接口!$D$407),"")</f>
        <v>原料入库</v>
      </c>
      <c r="E407" s="16" t="str">
        <f>IFERROR(IF([1]对账明细接口!$E$407=0,"",[1]对账明细接口!$E$407),"")</f>
        <v>NO:0000964</v>
      </c>
      <c r="F407" s="16" t="str">
        <f>IFERROR(IF([1]对账明细接口!$F$407=0,"",[1]对账明细接口!$F$407),"")</f>
        <v>香梨</v>
      </c>
      <c r="G407" s="16" t="str">
        <f>IFERROR(IF([1]对账明细接口!$G$407=0,"",[1]对账明细接口!$G$407),"")</f>
        <v>香梨一级</v>
      </c>
      <c r="H407" s="176">
        <f>IFERROR(IF([1]对账明细接口!$H$407=0,"",[1]对账明细接口!$H$407),"")</f>
        <v>257</v>
      </c>
      <c r="I407" s="16" t="str">
        <f>IFERROR(IF([1]对账明细接口!$I$407=0,"",[1]对账明细接口!$I$407),"")</f>
        <v>筐</v>
      </c>
      <c r="J407" s="177">
        <f>IFERROR(IF([1]对账明细接口!$J$407=0,"",[1]对账明细接口!$J$407),"")</f>
        <v>4754.5</v>
      </c>
      <c r="K407" s="177">
        <f>IFERROR(IF([1]对账明细接口!$K$407=0,"",[1]对账明细接口!$K$407),"")</f>
      </c>
      <c r="L407" s="16">
        <f>IFERROR(IF([1]对账明细接口!$L$407=0,"",[1]对账明细接口!$L$407),"")</f>
      </c>
      <c r="M407" s="16">
        <f>IFERROR(IF([1]对账明细接口!$M$407=0,"",[1]对账明细接口!$M$407),"")</f>
      </c>
      <c r="N407" s="19">
        <f>IF($C407="",0,1)</f>
        <v>1</v>
      </c>
      <c r="O407" s="19">
        <f>N(O406)+$N407</f>
        <v>404</v>
      </c>
      <c r="S407" s="20" t="str">
        <f>IFERROR(IF([1]对账明细接口!$N407=0,"",[1]对账明细接口!$N407),"")</f>
        <v>自备一次性筐</v>
      </c>
      <c r="T407" s="212">
        <f>IFERROR(IF([1]对账明细接口!$O407=0,"",[1]对账明细接口!$O407),"")</f>
      </c>
      <c r="U407" s="212">
        <f>IFERROR(IF([1]对账明细接口!$P407=0,"",[1]对账明细接口!$P407),"")</f>
      </c>
      <c r="V407" s="212">
        <f>IFERROR(IF([1]对账明细接口!$Q407=0,"",[1]对账明细接口!$Q407),"")</f>
        <v>257</v>
      </c>
      <c r="W407" s="20" t="str">
        <f>IFERROR(IF([1]对账明细接口!$R407=0,"",[1]对账明细接口!$R407),"")</f>
        <v>新N*X4V68</v>
      </c>
      <c r="X407" s="20" t="str">
        <f>IFERROR(IF([1]对账明细接口!$S407=0,"",[1]对账明细接口!$S407),"")</f>
        <v>自备筐</v>
      </c>
      <c r="Y407" s="20">
        <f>IFERROR(IF([1]对账明细接口!$T407=0,"",[1]对账明细接口!$T407),"")</f>
      </c>
      <c r="Z407" s="213">
        <f>IFERROR(IF([1]对账明细接口!$U407=0,"",[1]对账明细接口!$U407),"")</f>
      </c>
      <c r="AA407" s="213">
        <f>IFERROR(IF([1]对账明细接口!$V407=0,"",[1]对账明细接口!$V407),"")</f>
      </c>
      <c r="AB407" s="20">
        <f>IFERROR(IF([1]对账明细接口!$W407=0,"",[1]对账明细接口!$W407),"")</f>
      </c>
      <c r="AC407" s="7">
        <f>IFERROR(IF([1]对账明细接口!$X407=0,"",[1]对账明细接口!$X407),"")</f>
      </c>
      <c r="AD407" s="7">
        <f>IFERROR(IF([1]对账明细接口!$Y407=0,"",[1]对账明细接口!$Y407),"")</f>
      </c>
      <c r="AE407" s="7">
        <f>IFERROR(IF([1]对账明细接口!$AA407=0,"",[1]对账明细接口!$AA407),"")</f>
      </c>
      <c r="AF407" s="7">
        <f>IFERROR(IF([1]对账明细接口!$AB407=0,"",[1]对账明细接口!$AB407),"")</f>
      </c>
      <c r="AG407" s="7">
        <f>IFERROR(IF([1]对账明细接口!$AC407=0,"",[1]对账明细接口!$AC407),"")</f>
      </c>
      <c r="AH407" s="7">
        <f>IFERROR(IF([1]对账明细接口!$AD407=0,"",[1]对账明细接口!$AD407),"")</f>
      </c>
      <c r="AI407" s="7">
        <f>IFERROR(IF([1]对账明细接口!$AE407=0,"",[1]对账明细接口!$AE407),"")</f>
      </c>
      <c r="AJ407" s="7">
        <f>IFERROR(IF([1]对账明细接口!$AF407=0,"",[1]对账明细接口!$AF407),"")</f>
      </c>
    </row>
    <row r="408" ht="14.25" customHeight="1" s="127">
      <c r="A408" s="14" t="n">
        <v>408</v>
      </c>
      <c r="B408" s="211">
        <f>IFERROR(IF([1]对账明细接口!$B$408=0,"",[1]对账明细接口!$B$408),"")</f>
        <v>46288.0</v>
      </c>
      <c r="C408" s="16" t="str">
        <f>IFERROR(IF([1]对账明细接口!$C$408=0,"",[1]对账明细接口!$C$408),"")</f>
        <v>艾海提</v>
      </c>
      <c r="D408" s="16" t="str">
        <f>IFERROR(IF([1]对账明细接口!$D$408=0,"",[1]对账明细接口!$D$408),"")</f>
        <v>原料入库</v>
      </c>
      <c r="E408" s="16" t="str">
        <f>IFERROR(IF([1]对账明细接口!$E$408=0,"",[1]对账明细接口!$E$408),"")</f>
        <v>NO:0000965</v>
      </c>
      <c r="F408" s="16" t="str">
        <f>IFERROR(IF([1]对账明细接口!$F$408=0,"",[1]对账明细接口!$F$408),"")</f>
        <v>香梨</v>
      </c>
      <c r="G408" s="16" t="str">
        <f>IFERROR(IF([1]对账明细接口!$G$408=0,"",[1]对账明细接口!$G$408),"")</f>
        <v>香梨一级</v>
      </c>
      <c r="H408" s="176">
        <f>IFERROR(IF([1]对账明细接口!$H$408=0,"",[1]对账明细接口!$H$408),"")</f>
        <v>118</v>
      </c>
      <c r="I408" s="16" t="str">
        <f>IFERROR(IF([1]对账明细接口!$I$408=0,"",[1]对账明细接口!$I$408),"")</f>
        <v>筐</v>
      </c>
      <c r="J408" s="177">
        <f>IFERROR(IF([1]对账明细接口!$J$408=0,"",[1]对账明细接口!$J$408),"")</f>
        <v>2265.6</v>
      </c>
      <c r="K408" s="177">
        <f>IFERROR(IF([1]对账明细接口!$K$408=0,"",[1]对账明细接口!$K$408),"")</f>
      </c>
      <c r="L408" s="16">
        <f>IFERROR(IF([1]对账明细接口!$L$408=0,"",[1]对账明细接口!$L$408),"")</f>
      </c>
      <c r="M408" s="16">
        <f>IFERROR(IF([1]对账明细接口!$M$408=0,"",[1]对账明细接口!$M$408),"")</f>
      </c>
      <c r="N408" s="19">
        <f>IF($C408="",0,1)</f>
        <v>1</v>
      </c>
      <c r="O408" s="19">
        <f>N(O407)+$N408</f>
        <v>405</v>
      </c>
      <c r="S408" s="20" t="str">
        <f>IFERROR(IF([1]对账明细接口!$N408=0,"",[1]对账明细接口!$N408),"")</f>
        <v>公司红周转筐</v>
      </c>
      <c r="T408" s="212">
        <f>IFERROR(IF([1]对账明细接口!$O408=0,"",[1]对账明细接口!$O408),"")</f>
      </c>
      <c r="U408" s="212">
        <f>IFERROR(IF([1]对账明细接口!$P408=0,"",[1]对账明细接口!$P408),"")</f>
      </c>
      <c r="V408" s="212">
        <f>IFERROR(IF([1]对账明细接口!$Q408=0,"",[1]对账明细接口!$Q408),"")</f>
        <v>118</v>
      </c>
      <c r="W408" s="20" t="str">
        <f>IFERROR(IF([1]对账明细接口!$R408=0,"",[1]对账明细接口!$R408),"")</f>
        <v>新N*WX586</v>
      </c>
      <c r="X408" s="20" t="str">
        <f>IFERROR(IF([1]对账明细接口!$S408=0,"",[1]对账明细接口!$S408),"")</f>
        <v>公司筐</v>
      </c>
      <c r="Y408" s="20">
        <f>IFERROR(IF([1]对账明细接口!$T408=0,"",[1]对账明细接口!$T408),"")</f>
      </c>
      <c r="Z408" s="213">
        <f>IFERROR(IF([1]对账明细接口!$U408=0,"",[1]对账明细接口!$U408),"")</f>
      </c>
      <c r="AA408" s="213">
        <f>IFERROR(IF([1]对账明细接口!$V408=0,"",[1]对账明细接口!$V408),"")</f>
      </c>
      <c r="AB408" s="20">
        <f>IFERROR(IF([1]对账明细接口!$W408=0,"",[1]对账明细接口!$W408),"")</f>
      </c>
      <c r="AC408" s="7">
        <f>IFERROR(IF([1]对账明细接口!$X408=0,"",[1]对账明细接口!$X408),"")</f>
      </c>
      <c r="AD408" s="7">
        <f>IFERROR(IF([1]对账明细接口!$Y408=0,"",[1]对账明细接口!$Y408),"")</f>
      </c>
      <c r="AE408" s="7">
        <f>IFERROR(IF([1]对账明细接口!$AA408=0,"",[1]对账明细接口!$AA408),"")</f>
      </c>
      <c r="AF408" s="7">
        <f>IFERROR(IF([1]对账明细接口!$AB408=0,"",[1]对账明细接口!$AB408),"")</f>
      </c>
      <c r="AG408" s="7">
        <f>IFERROR(IF([1]对账明细接口!$AC408=0,"",[1]对账明细接口!$AC408),"")</f>
      </c>
      <c r="AH408" s="7">
        <f>IFERROR(IF([1]对账明细接口!$AD408=0,"",[1]对账明细接口!$AD408),"")</f>
      </c>
      <c r="AI408" s="7">
        <f>IFERROR(IF([1]对账明细接口!$AE408=0,"",[1]对账明细接口!$AE408),"")</f>
      </c>
      <c r="AJ408" s="7">
        <f>IFERROR(IF([1]对账明细接口!$AF408=0,"",[1]对账明细接口!$AF408),"")</f>
      </c>
    </row>
    <row r="409" ht="14.25" customHeight="1" s="127">
      <c r="A409" s="14" t="n">
        <v>409</v>
      </c>
      <c r="B409" s="211">
        <f>IFERROR(IF([1]对账明细接口!$B$409=0,"",[1]对账明细接口!$B$409),"")</f>
        <v>46288.0</v>
      </c>
      <c r="C409" s="16" t="str">
        <f>IFERROR(IF([1]对账明细接口!$C$409=0,"",[1]对账明细接口!$C$409),"")</f>
        <v>艾海提</v>
      </c>
      <c r="D409" s="16" t="str">
        <f>IFERROR(IF([1]对账明细接口!$D$409=0,"",[1]对账明细接口!$D$409),"")</f>
        <v>原料入库</v>
      </c>
      <c r="E409" s="16" t="str">
        <f>IFERROR(IF([1]对账明细接口!$E$409=0,"",[1]对账明细接口!$E$409),"")</f>
        <v>NO:0000965</v>
      </c>
      <c r="F409" s="16" t="str">
        <f>IFERROR(IF([1]对账明细接口!$F$409=0,"",[1]对账明细接口!$F$409),"")</f>
        <v>香梨</v>
      </c>
      <c r="G409" s="16" t="str">
        <f>IFERROR(IF([1]对账明细接口!$G$409=0,"",[1]对账明细接口!$G$409),"")</f>
        <v>香梨副特</v>
      </c>
      <c r="H409" s="176">
        <f>IFERROR(IF([1]对账明细接口!$H$409=0,"",[1]对账明细接口!$H$409),"")</f>
        <v>60</v>
      </c>
      <c r="I409" s="16" t="str">
        <f>IFERROR(IF([1]对账明细接口!$I$409=0,"",[1]对账明细接口!$I$409),"")</f>
        <v>筐</v>
      </c>
      <c r="J409" s="177">
        <f>IFERROR(IF([1]对账明细接口!$J$409=0,"",[1]对账明细接口!$J$409),"")</f>
        <v>1152</v>
      </c>
      <c r="K409" s="177">
        <f>IFERROR(IF([1]对账明细接口!$K$409=0,"",[1]对账明细接口!$K$409),"")</f>
      </c>
      <c r="L409" s="16">
        <f>IFERROR(IF([1]对账明细接口!$L$409=0,"",[1]对账明细接口!$L$409),"")</f>
      </c>
      <c r="M409" s="16">
        <f>IFERROR(IF([1]对账明细接口!$M$409=0,"",[1]对账明细接口!$M$409),"")</f>
      </c>
      <c r="N409" s="19">
        <f>IF($C409="",0,1)</f>
        <v>1</v>
      </c>
      <c r="O409" s="19">
        <f>N(O408)+$N409</f>
        <v>406</v>
      </c>
      <c r="S409" s="20" t="str">
        <f>IFERROR(IF([1]对账明细接口!$N409=0,"",[1]对账明细接口!$N409),"")</f>
        <v>公司红周转筐</v>
      </c>
      <c r="T409" s="212">
        <f>IFERROR(IF([1]对账明细接口!$O409=0,"",[1]对账明细接口!$O409),"")</f>
      </c>
      <c r="U409" s="212">
        <f>IFERROR(IF([1]对账明细接口!$P409=0,"",[1]对账明细接口!$P409),"")</f>
      </c>
      <c r="V409" s="212">
        <f>IFERROR(IF([1]对账明细接口!$Q409=0,"",[1]对账明细接口!$Q409),"")</f>
        <v>60</v>
      </c>
      <c r="W409" s="20" t="str">
        <f>IFERROR(IF([1]对账明细接口!$R409=0,"",[1]对账明细接口!$R409),"")</f>
        <v>新N*WX586</v>
      </c>
      <c r="X409" s="20" t="str">
        <f>IFERROR(IF([1]对账明细接口!$S409=0,"",[1]对账明细接口!$S409),"")</f>
        <v>公司筐</v>
      </c>
      <c r="Y409" s="20">
        <f>IFERROR(IF([1]对账明细接口!$T409=0,"",[1]对账明细接口!$T409),"")</f>
      </c>
      <c r="Z409" s="213">
        <f>IFERROR(IF([1]对账明细接口!$U409=0,"",[1]对账明细接口!$U409),"")</f>
      </c>
      <c r="AA409" s="213">
        <f>IFERROR(IF([1]对账明细接口!$V409=0,"",[1]对账明细接口!$V409),"")</f>
      </c>
      <c r="AB409" s="20">
        <f>IFERROR(IF([1]对账明细接口!$W409=0,"",[1]对账明细接口!$W409),"")</f>
      </c>
      <c r="AC409" s="7">
        <f>IFERROR(IF([1]对账明细接口!$X409=0,"",[1]对账明细接口!$X409),"")</f>
      </c>
      <c r="AD409" s="7">
        <f>IFERROR(IF([1]对账明细接口!$Y409=0,"",[1]对账明细接口!$Y409),"")</f>
      </c>
      <c r="AE409" s="7">
        <f>IFERROR(IF([1]对账明细接口!$AA409=0,"",[1]对账明细接口!$AA409),"")</f>
      </c>
      <c r="AF409" s="7">
        <f>IFERROR(IF([1]对账明细接口!$AB409=0,"",[1]对账明细接口!$AB409),"")</f>
      </c>
      <c r="AG409" s="7">
        <f>IFERROR(IF([1]对账明细接口!$AC409=0,"",[1]对账明细接口!$AC409),"")</f>
      </c>
      <c r="AH409" s="7">
        <f>IFERROR(IF([1]对账明细接口!$AD409=0,"",[1]对账明细接口!$AD409),"")</f>
      </c>
      <c r="AI409" s="7">
        <f>IFERROR(IF([1]对账明细接口!$AE409=0,"",[1]对账明细接口!$AE409),"")</f>
      </c>
      <c r="AJ409" s="7">
        <f>IFERROR(IF([1]对账明细接口!$AF409=0,"",[1]对账明细接口!$AF409),"")</f>
      </c>
    </row>
    <row r="410" ht="14.25" customHeight="1" s="127">
      <c r="A410" s="14" t="n">
        <v>410</v>
      </c>
      <c r="B410" s="211">
        <f>IFERROR(IF([1]对账明细接口!$B$410=0,"",[1]对账明细接口!$B$410),"")</f>
        <v>46288.0</v>
      </c>
      <c r="C410" s="16" t="str">
        <f>IFERROR(IF([1]对账明细接口!$C$410=0,"",[1]对账明细接口!$C$410),"")</f>
        <v>艾海提</v>
      </c>
      <c r="D410" s="16" t="str">
        <f>IFERROR(IF([1]对账明细接口!$D$410=0,"",[1]对账明细接口!$D$410),"")</f>
        <v>原料入库</v>
      </c>
      <c r="E410" s="16" t="str">
        <f>IFERROR(IF([1]对账明细接口!$E$410=0,"",[1]对账明细接口!$E$410),"")</f>
        <v>NO:0000965</v>
      </c>
      <c r="F410" s="16" t="str">
        <f>IFERROR(IF([1]对账明细接口!$F$410=0,"",[1]对账明细接口!$F$410),"")</f>
        <v>香梨</v>
      </c>
      <c r="G410" s="16" t="str">
        <f>IFERROR(IF([1]对账明细接口!$G$410=0,"",[1]对账明细接口!$G$410),"")</f>
        <v>香梨二级</v>
      </c>
      <c r="H410" s="176">
        <f>IFERROR(IF([1]对账明细接口!$H$410=0,"",[1]对账明细接口!$H$410),"")</f>
        <v>15</v>
      </c>
      <c r="I410" s="16" t="str">
        <f>IFERROR(IF([1]对账明细接口!$I$410=0,"",[1]对账明细接口!$I$410),"")</f>
        <v>筐</v>
      </c>
      <c r="J410" s="177">
        <f>IFERROR(IF([1]对账明细接口!$J$410=0,"",[1]对账明细接口!$J$410),"")</f>
        <v>333</v>
      </c>
      <c r="K410" s="177">
        <f>IFERROR(IF([1]对账明细接口!$K$410=0,"",[1]对账明细接口!$K$410),"")</f>
      </c>
      <c r="L410" s="16">
        <f>IFERROR(IF([1]对账明细接口!$L$410=0,"",[1]对账明细接口!$L$410),"")</f>
      </c>
      <c r="M410" s="16">
        <f>IFERROR(IF([1]对账明细接口!$M$410=0,"",[1]对账明细接口!$M$410),"")</f>
      </c>
      <c r="N410" s="19">
        <f>IF($C410="",0,1)</f>
        <v>1</v>
      </c>
      <c r="O410" s="19">
        <f>N(O409)+$N410</f>
        <v>407</v>
      </c>
      <c r="S410" s="20" t="str">
        <f>IFERROR(IF([1]对账明细接口!$N410=0,"",[1]对账明细接口!$N410),"")</f>
        <v>公司红周转筐</v>
      </c>
      <c r="T410" s="212">
        <f>IFERROR(IF([1]对账明细接口!$O410=0,"",[1]对账明细接口!$O410),"")</f>
      </c>
      <c r="U410" s="212">
        <f>IFERROR(IF([1]对账明细接口!$P410=0,"",[1]对账明细接口!$P410),"")</f>
      </c>
      <c r="V410" s="212">
        <f>IFERROR(IF([1]对账明细接口!$Q410=0,"",[1]对账明细接口!$Q410),"")</f>
        <v>15</v>
      </c>
      <c r="W410" s="20" t="str">
        <f>IFERROR(IF([1]对账明细接口!$R410=0,"",[1]对账明细接口!$R410),"")</f>
        <v>新N*WX586</v>
      </c>
      <c r="X410" s="20" t="str">
        <f>IFERROR(IF([1]对账明细接口!$S410=0,"",[1]对账明细接口!$S410),"")</f>
        <v>公司筐</v>
      </c>
      <c r="Y410" s="20">
        <f>IFERROR(IF([1]对账明细接口!$T410=0,"",[1]对账明细接口!$T410),"")</f>
      </c>
      <c r="Z410" s="213">
        <f>IFERROR(IF([1]对账明细接口!$U410=0,"",[1]对账明细接口!$U410),"")</f>
      </c>
      <c r="AA410" s="213">
        <f>IFERROR(IF([1]对账明细接口!$V410=0,"",[1]对账明细接口!$V410),"")</f>
      </c>
      <c r="AB410" s="20">
        <f>IFERROR(IF([1]对账明细接口!$W410=0,"",[1]对账明细接口!$W410),"")</f>
      </c>
      <c r="AC410" s="7">
        <f>IFERROR(IF([1]对账明细接口!$X410=0,"",[1]对账明细接口!$X410),"")</f>
      </c>
      <c r="AD410" s="7">
        <f>IFERROR(IF([1]对账明细接口!$Y410=0,"",[1]对账明细接口!$Y410),"")</f>
      </c>
      <c r="AE410" s="7">
        <f>IFERROR(IF([1]对账明细接口!$AA410=0,"",[1]对账明细接口!$AA410),"")</f>
      </c>
      <c r="AF410" s="7">
        <f>IFERROR(IF([1]对账明细接口!$AB410=0,"",[1]对账明细接口!$AB410),"")</f>
      </c>
      <c r="AG410" s="7">
        <f>IFERROR(IF([1]对账明细接口!$AC410=0,"",[1]对账明细接口!$AC410),"")</f>
      </c>
      <c r="AH410" s="7">
        <f>IFERROR(IF([1]对账明细接口!$AD410=0,"",[1]对账明细接口!$AD410),"")</f>
      </c>
      <c r="AI410" s="7">
        <f>IFERROR(IF([1]对账明细接口!$AE410=0,"",[1]对账明细接口!$AE410),"")</f>
      </c>
      <c r="AJ410" s="7">
        <f>IFERROR(IF([1]对账明细接口!$AF410=0,"",[1]对账明细接口!$AF410),"")</f>
      </c>
    </row>
    <row r="411" ht="14.25" customHeight="1" s="127">
      <c r="A411" s="14" t="n">
        <v>411</v>
      </c>
      <c r="B411" s="211">
        <f>IFERROR(IF([1]对账明细接口!$B$411=0,"",[1]对账明细接口!$B$411),"")</f>
        <v>46289.0</v>
      </c>
      <c r="C411" s="16" t="str">
        <f>IFERROR(IF([1]对账明细接口!$C$411=0,"",[1]对账明细接口!$C$411),"")</f>
        <v>阿布都</v>
      </c>
      <c r="D411" s="16" t="str">
        <f>IFERROR(IF([1]对账明细接口!$D$411=0,"",[1]对账明细接口!$D$411),"")</f>
        <v>原料入库</v>
      </c>
      <c r="E411" s="16" t="str">
        <f>IFERROR(IF([1]对账明细接口!$E$411=0,"",[1]对账明细接口!$E$411),"")</f>
        <v>NO:0000966</v>
      </c>
      <c r="F411" s="16" t="str">
        <f>IFERROR(IF([1]对账明细接口!$F$411=0,"",[1]对账明细接口!$F$411),"")</f>
        <v>香梨</v>
      </c>
      <c r="G411" s="16" t="str">
        <f>IFERROR(IF([1]对账明细接口!$G$411=0,"",[1]对账明细接口!$G$411),"")</f>
        <v>香梨特级</v>
      </c>
      <c r="H411" s="176">
        <f>IFERROR(IF([1]对账明细接口!$H$411=0,"",[1]对账明细接口!$H$411),"")</f>
        <v>116</v>
      </c>
      <c r="I411" s="16" t="str">
        <f>IFERROR(IF([1]对账明细接口!$I$411=0,"",[1]对账明细接口!$I$411),"")</f>
        <v>筐</v>
      </c>
      <c r="J411" s="177">
        <f>IFERROR(IF([1]对账明细接口!$J$411=0,"",[1]对账明细接口!$J$411),"")</f>
        <v>2122.8</v>
      </c>
      <c r="K411" s="177">
        <f>IFERROR(IF([1]对账明细接口!$K$411=0,"",[1]对账明细接口!$K$411),"")</f>
      </c>
      <c r="L411" s="16">
        <f>IFERROR(IF([1]对账明细接口!$L$411=0,"",[1]对账明细接口!$L$411),"")</f>
      </c>
      <c r="M411" s="16" t="str">
        <f>IFERROR(IF([1]对账明细接口!$M$411=0,"",[1]对账明细接口!$M$411),"")</f>
        <v>努尔敦/二黄</v>
      </c>
      <c r="N411" s="19">
        <f>IF($C411="",0,1)</f>
        <v>1</v>
      </c>
      <c r="O411" s="19">
        <f>N(O410)+$N411</f>
        <v>408</v>
      </c>
      <c r="S411" s="20" t="str">
        <f>IFERROR(IF([1]对账明细接口!$N411=0,"",[1]对账明细接口!$N411),"")</f>
        <v>公司红周转筐</v>
      </c>
      <c r="T411" s="212">
        <f>IFERROR(IF([1]对账明细接口!$O411=0,"",[1]对账明细接口!$O411),"")</f>
      </c>
      <c r="U411" s="212">
        <f>IFERROR(IF([1]对账明细接口!$P411=0,"",[1]对账明细接口!$P411),"")</f>
      </c>
      <c r="V411" s="212">
        <f>IFERROR(IF([1]对账明细接口!$Q411=0,"",[1]对账明细接口!$Q411),"")</f>
        <v>116</v>
      </c>
      <c r="W411" s="20" t="str">
        <f>IFERROR(IF([1]对账明细接口!$R411=0,"",[1]对账明细接口!$R411),"")</f>
        <v>新N*F0M01</v>
      </c>
      <c r="X411" s="20" t="str">
        <f>IFERROR(IF([1]对账明细接口!$S411=0,"",[1]对账明细接口!$S411),"")</f>
        <v>公司筐</v>
      </c>
      <c r="Y411" s="20">
        <f>IFERROR(IF([1]对账明细接口!$T411=0,"",[1]对账明细接口!$T411),"")</f>
      </c>
      <c r="Z411" s="213">
        <f>IFERROR(IF([1]对账明细接口!$U411=0,"",[1]对账明细接口!$U411),"")</f>
      </c>
      <c r="AA411" s="213">
        <f>IFERROR(IF([1]对账明细接口!$V411=0,"",[1]对账明细接口!$V411),"")</f>
      </c>
      <c r="AB411" s="20">
        <f>IFERROR(IF([1]对账明细接口!$W411=0,"",[1]对账明细接口!$W411),"")</f>
      </c>
      <c r="AC411" s="7">
        <f>IFERROR(IF([1]对账明细接口!$X411=0,"",[1]对账明细接口!$X411),"")</f>
      </c>
      <c r="AD411" s="7">
        <f>IFERROR(IF([1]对账明细接口!$Y411=0,"",[1]对账明细接口!$Y411),"")</f>
      </c>
      <c r="AE411" s="7">
        <f>IFERROR(IF([1]对账明细接口!$AA411=0,"",[1]对账明细接口!$AA411),"")</f>
      </c>
      <c r="AF411" s="7">
        <f>IFERROR(IF([1]对账明细接口!$AB411=0,"",[1]对账明细接口!$AB411),"")</f>
      </c>
      <c r="AG411" s="7">
        <f>IFERROR(IF([1]对账明细接口!$AC411=0,"",[1]对账明细接口!$AC411),"")</f>
      </c>
      <c r="AH411" s="7">
        <f>IFERROR(IF([1]对账明细接口!$AD411=0,"",[1]对账明细接口!$AD411),"")</f>
      </c>
      <c r="AI411" s="7">
        <f>IFERROR(IF([1]对账明细接口!$AE411=0,"",[1]对账明细接口!$AE411),"")</f>
      </c>
      <c r="AJ411" s="7">
        <f>IFERROR(IF([1]对账明细接口!$AF411=0,"",[1]对账明细接口!$AF411),"")</f>
      </c>
    </row>
    <row r="412" ht="14.25" customHeight="1" s="127">
      <c r="A412" s="14" t="n">
        <v>412</v>
      </c>
      <c r="B412" s="211">
        <f>IFERROR(IF([1]对账明细接口!$B$412=0,"",[1]对账明细接口!$B$412),"")</f>
        <v>46289.0</v>
      </c>
      <c r="C412" s="16" t="str">
        <f>IFERROR(IF([1]对账明细接口!$C$412=0,"",[1]对账明细接口!$C$412),"")</f>
        <v>阿布都</v>
      </c>
      <c r="D412" s="16" t="str">
        <f>IFERROR(IF([1]对账明细接口!$D$412=0,"",[1]对账明细接口!$D$412),"")</f>
        <v>原料入库</v>
      </c>
      <c r="E412" s="16" t="str">
        <f>IFERROR(IF([1]对账明细接口!$E$412=0,"",[1]对账明细接口!$E$412),"")</f>
        <v>NO:0000966</v>
      </c>
      <c r="F412" s="16" t="str">
        <f>IFERROR(IF([1]对账明细接口!$F$412=0,"",[1]对账明细接口!$F$412),"")</f>
        <v>香梨</v>
      </c>
      <c r="G412" s="16" t="str">
        <f>IFERROR(IF([1]对账明细接口!$G$412=0,"",[1]对账明细接口!$G$412),"")</f>
        <v>香梨一级</v>
      </c>
      <c r="H412" s="176">
        <f>IFERROR(IF([1]对账明细接口!$H$412=0,"",[1]对账明细接口!$H$412),"")</f>
        <v>61</v>
      </c>
      <c r="I412" s="16" t="str">
        <f>IFERROR(IF([1]对账明细接口!$I$412=0,"",[1]对账明细接口!$I$412),"")</f>
        <v>筐</v>
      </c>
      <c r="J412" s="177">
        <f>IFERROR(IF([1]对账明细接口!$J$412=0,"",[1]对账明细接口!$J$412),"")</f>
        <v>1116.3</v>
      </c>
      <c r="K412" s="177">
        <f>IFERROR(IF([1]对账明细接口!$K$412=0,"",[1]对账明细接口!$K$412),"")</f>
      </c>
      <c r="L412" s="16">
        <f>IFERROR(IF([1]对账明细接口!$L$412=0,"",[1]对账明细接口!$L$412),"")</f>
      </c>
      <c r="M412" s="16" t="str">
        <f>IFERROR(IF([1]对账明细接口!$M$412=0,"",[1]对账明细接口!$M$412),"")</f>
        <v>努尔敦/二黄</v>
      </c>
      <c r="N412" s="19">
        <f>IF($C412="",0,1)</f>
        <v>1</v>
      </c>
      <c r="O412" s="19">
        <f>N(O411)+$N412</f>
        <v>409</v>
      </c>
      <c r="S412" s="20" t="str">
        <f>IFERROR(IF([1]对账明细接口!$N412=0,"",[1]对账明细接口!$N412),"")</f>
        <v>公司红周转筐</v>
      </c>
      <c r="T412" s="212">
        <f>IFERROR(IF([1]对账明细接口!$O412=0,"",[1]对账明细接口!$O412),"")</f>
      </c>
      <c r="U412" s="212">
        <f>IFERROR(IF([1]对账明细接口!$P412=0,"",[1]对账明细接口!$P412),"")</f>
      </c>
      <c r="V412" s="212">
        <f>IFERROR(IF([1]对账明细接口!$Q412=0,"",[1]对账明细接口!$Q412),"")</f>
        <v>61</v>
      </c>
      <c r="W412" s="20" t="str">
        <f>IFERROR(IF([1]对账明细接口!$R412=0,"",[1]对账明细接口!$R412),"")</f>
        <v>新N*F0M01</v>
      </c>
      <c r="X412" s="20" t="str">
        <f>IFERROR(IF([1]对账明细接口!$S412=0,"",[1]对账明细接口!$S412),"")</f>
        <v>公司筐</v>
      </c>
      <c r="Y412" s="20">
        <f>IFERROR(IF([1]对账明细接口!$T412=0,"",[1]对账明细接口!$T412),"")</f>
      </c>
      <c r="Z412" s="213">
        <f>IFERROR(IF([1]对账明细接口!$U412=0,"",[1]对账明细接口!$U412),"")</f>
      </c>
      <c r="AA412" s="213">
        <f>IFERROR(IF([1]对账明细接口!$V412=0,"",[1]对账明细接口!$V412),"")</f>
      </c>
      <c r="AB412" s="20">
        <f>IFERROR(IF([1]对账明细接口!$W412=0,"",[1]对账明细接口!$W412),"")</f>
      </c>
      <c r="AC412" s="7">
        <f>IFERROR(IF([1]对账明细接口!$X412=0,"",[1]对账明细接口!$X412),"")</f>
      </c>
      <c r="AD412" s="7">
        <f>IFERROR(IF([1]对账明细接口!$Y412=0,"",[1]对账明细接口!$Y412),"")</f>
      </c>
      <c r="AE412" s="7">
        <f>IFERROR(IF([1]对账明细接口!$AA412=0,"",[1]对账明细接口!$AA412),"")</f>
      </c>
      <c r="AF412" s="7">
        <f>IFERROR(IF([1]对账明细接口!$AB412=0,"",[1]对账明细接口!$AB412),"")</f>
      </c>
      <c r="AG412" s="7">
        <f>IFERROR(IF([1]对账明细接口!$AC412=0,"",[1]对账明细接口!$AC412),"")</f>
      </c>
      <c r="AH412" s="7">
        <f>IFERROR(IF([1]对账明细接口!$AD412=0,"",[1]对账明细接口!$AD412),"")</f>
      </c>
      <c r="AI412" s="7">
        <f>IFERROR(IF([1]对账明细接口!$AE412=0,"",[1]对账明细接口!$AE412),"")</f>
      </c>
      <c r="AJ412" s="7">
        <f>IFERROR(IF([1]对账明细接口!$AF412=0,"",[1]对账明细接口!$AF412),"")</f>
      </c>
    </row>
    <row r="413" ht="14.25" customHeight="1" s="127">
      <c r="A413" s="14" t="n">
        <v>413</v>
      </c>
      <c r="B413" s="211">
        <f>IFERROR(IF([1]对账明细接口!$B$413=0,"",[1]对账明细接口!$B$413),"")</f>
        <v>46289.0</v>
      </c>
      <c r="C413" s="16" t="str">
        <f>IFERROR(IF([1]对账明细接口!$C$413=0,"",[1]对账明细接口!$C$413),"")</f>
        <v>阿布都</v>
      </c>
      <c r="D413" s="16" t="str">
        <f>IFERROR(IF([1]对账明细接口!$D$413=0,"",[1]对账明细接口!$D$413),"")</f>
        <v>原料入库</v>
      </c>
      <c r="E413" s="16" t="str">
        <f>IFERROR(IF([1]对账明细接口!$E$413=0,"",[1]对账明细接口!$E$413),"")</f>
        <v>NO:0000966</v>
      </c>
      <c r="F413" s="16" t="str">
        <f>IFERROR(IF([1]对账明细接口!$F$413=0,"",[1]对账明细接口!$F$413),"")</f>
        <v>香梨</v>
      </c>
      <c r="G413" s="16" t="str">
        <f>IFERROR(IF([1]对账明细接口!$G$413=0,"",[1]对账明细接口!$G$413),"")</f>
        <v>香梨副特</v>
      </c>
      <c r="H413" s="176">
        <f>IFERROR(IF([1]对账明细接口!$H$413=0,"",[1]对账明细接口!$H$413),"")</f>
        <v>140</v>
      </c>
      <c r="I413" s="16" t="str">
        <f>IFERROR(IF([1]对账明细接口!$I$413=0,"",[1]对账明细接口!$I$413),"")</f>
        <v>筐</v>
      </c>
      <c r="J413" s="177">
        <f>IFERROR(IF([1]对账明细接口!$J$413=0,"",[1]对账明细接口!$J$413),"")</f>
        <v>2562</v>
      </c>
      <c r="K413" s="177">
        <f>IFERROR(IF([1]对账明细接口!$K$413=0,"",[1]对账明细接口!$K$413),"")</f>
      </c>
      <c r="L413" s="16">
        <f>IFERROR(IF([1]对账明细接口!$L$413=0,"",[1]对账明细接口!$L$413),"")</f>
      </c>
      <c r="M413" s="16" t="str">
        <f>IFERROR(IF([1]对账明细接口!$M$413=0,"",[1]对账明细接口!$M$413),"")</f>
        <v>努尔敦/二黄</v>
      </c>
      <c r="N413" s="19">
        <f>IF($C413="",0,1)</f>
        <v>1</v>
      </c>
      <c r="O413" s="19">
        <f>N(O412)+$N413</f>
        <v>410</v>
      </c>
      <c r="S413" s="20" t="str">
        <f>IFERROR(IF([1]对账明细接口!$N413=0,"",[1]对账明细接口!$N413),"")</f>
        <v>公司红周转筐</v>
      </c>
      <c r="T413" s="212">
        <f>IFERROR(IF([1]对账明细接口!$O413=0,"",[1]对账明细接口!$O413),"")</f>
      </c>
      <c r="U413" s="212">
        <f>IFERROR(IF([1]对账明细接口!$P413=0,"",[1]对账明细接口!$P413),"")</f>
      </c>
      <c r="V413" s="212">
        <f>IFERROR(IF([1]对账明细接口!$Q413=0,"",[1]对账明细接口!$Q413),"")</f>
        <v>140</v>
      </c>
      <c r="W413" s="20" t="str">
        <f>IFERROR(IF([1]对账明细接口!$R413=0,"",[1]对账明细接口!$R413),"")</f>
        <v>新N*F0M01</v>
      </c>
      <c r="X413" s="20" t="str">
        <f>IFERROR(IF([1]对账明细接口!$S413=0,"",[1]对账明细接口!$S413),"")</f>
        <v>公司筐</v>
      </c>
      <c r="Y413" s="20">
        <f>IFERROR(IF([1]对账明细接口!$T413=0,"",[1]对账明细接口!$T413),"")</f>
      </c>
      <c r="Z413" s="213">
        <f>IFERROR(IF([1]对账明细接口!$U413=0,"",[1]对账明细接口!$U413),"")</f>
      </c>
      <c r="AA413" s="213">
        <f>IFERROR(IF([1]对账明细接口!$V413=0,"",[1]对账明细接口!$V413),"")</f>
      </c>
      <c r="AB413" s="20">
        <f>IFERROR(IF([1]对账明细接口!$W413=0,"",[1]对账明细接口!$W413),"")</f>
      </c>
      <c r="AC413" s="7">
        <f>IFERROR(IF([1]对账明细接口!$X413=0,"",[1]对账明细接口!$X413),"")</f>
      </c>
      <c r="AD413" s="7">
        <f>IFERROR(IF([1]对账明细接口!$Y413=0,"",[1]对账明细接口!$Y413),"")</f>
      </c>
      <c r="AE413" s="7">
        <f>IFERROR(IF([1]对账明细接口!$AA413=0,"",[1]对账明细接口!$AA413),"")</f>
      </c>
      <c r="AF413" s="7">
        <f>IFERROR(IF([1]对账明细接口!$AB413=0,"",[1]对账明细接口!$AB413),"")</f>
      </c>
      <c r="AG413" s="7">
        <f>IFERROR(IF([1]对账明细接口!$AC413=0,"",[1]对账明细接口!$AC413),"")</f>
      </c>
      <c r="AH413" s="7">
        <f>IFERROR(IF([1]对账明细接口!$AD413=0,"",[1]对账明细接口!$AD413),"")</f>
      </c>
      <c r="AI413" s="7">
        <f>IFERROR(IF([1]对账明细接口!$AE413=0,"",[1]对账明细接口!$AE413),"")</f>
      </c>
      <c r="AJ413" s="7">
        <f>IFERROR(IF([1]对账明细接口!$AF413=0,"",[1]对账明细接口!$AF413),"")</f>
      </c>
    </row>
    <row r="414" ht="14.25" customHeight="1" s="127">
      <c r="A414" s="14" t="n">
        <v>414</v>
      </c>
      <c r="B414" s="211">
        <f>IFERROR(IF([1]对账明细接口!$B$414=0,"",[1]对账明细接口!$B$414),"")</f>
        <v>46289.0</v>
      </c>
      <c r="C414" s="16" t="str">
        <f>IFERROR(IF([1]对账明细接口!$C$414=0,"",[1]对账明细接口!$C$414),"")</f>
        <v>努尔敦</v>
      </c>
      <c r="D414" s="16" t="str">
        <f>IFERROR(IF([1]对账明细接口!$D$414=0,"",[1]对账明细接口!$D$414),"")</f>
        <v>原料入库</v>
      </c>
      <c r="E414" s="16" t="str">
        <f>IFERROR(IF([1]对账明细接口!$E$414=0,"",[1]对账明细接口!$E$414),"")</f>
        <v>NO:0000967</v>
      </c>
      <c r="F414" s="16" t="str">
        <f>IFERROR(IF([1]对账明细接口!$F$414=0,"",[1]对账明细接口!$F$414),"")</f>
        <v>香梨</v>
      </c>
      <c r="G414" s="16" t="str">
        <f>IFERROR(IF([1]对账明细接口!$G$414=0,"",[1]对账明细接口!$G$414),"")</f>
        <v>香梨特级</v>
      </c>
      <c r="H414" s="176">
        <f>IFERROR(IF([1]对账明细接口!$H$414=0,"",[1]对账明细接口!$H$414),"")</f>
        <v>491</v>
      </c>
      <c r="I414" s="16" t="str">
        <f>IFERROR(IF([1]对账明细接口!$I$414=0,"",[1]对账明细接口!$I$414),"")</f>
        <v>筐</v>
      </c>
      <c r="J414" s="177">
        <f>IFERROR(IF([1]对账明细接口!$J$414=0,"",[1]对账明细接口!$J$414),"")</f>
        <v>8985.3</v>
      </c>
      <c r="K414" s="177">
        <f>IFERROR(IF([1]对账明细接口!$K$414=0,"",[1]对账明细接口!$K$414),"")</f>
      </c>
      <c r="L414" s="16">
        <f>IFERROR(IF([1]对账明细接口!$L$414=0,"",[1]对账明细接口!$L$414),"")</f>
      </c>
      <c r="M414" s="16">
        <f>IFERROR(IF([1]对账明细接口!$M$414=0,"",[1]对账明细接口!$M$414),"")</f>
      </c>
      <c r="N414" s="19">
        <f>IF($C414="",0,1)</f>
        <v>1</v>
      </c>
      <c r="O414" s="19">
        <f>N(O413)+$N414</f>
        <v>411</v>
      </c>
      <c r="S414" s="20" t="str">
        <f>IFERROR(IF([1]对账明细接口!$N414=0,"",[1]对账明细接口!$N414),"")</f>
        <v>公司红周转筐</v>
      </c>
      <c r="T414" s="212">
        <f>IFERROR(IF([1]对账明细接口!$O414=0,"",[1]对账明细接口!$O414),"")</f>
      </c>
      <c r="U414" s="212">
        <f>IFERROR(IF([1]对账明细接口!$P414=0,"",[1]对账明细接口!$P414),"")</f>
      </c>
      <c r="V414" s="212">
        <f>IFERROR(IF([1]对账明细接口!$Q414=0,"",[1]对账明细接口!$Q414),"")</f>
        <v>491</v>
      </c>
      <c r="W414" s="20" t="str">
        <f>IFERROR(IF([1]对账明细接口!$R414=0,"",[1]对账明细接口!$R414),"")</f>
        <v>新F*75240</v>
      </c>
      <c r="X414" s="20" t="str">
        <f>IFERROR(IF([1]对账明细接口!$S414=0,"",[1]对账明细接口!$S414),"")</f>
        <v>公司筐</v>
      </c>
      <c r="Y414" s="20">
        <f>IFERROR(IF([1]对账明细接口!$T414=0,"",[1]对账明细接口!$T414),"")</f>
      </c>
      <c r="Z414" s="213">
        <f>IFERROR(IF([1]对账明细接口!$U414=0,"",[1]对账明细接口!$U414),"")</f>
      </c>
      <c r="AA414" s="213">
        <f>IFERROR(IF([1]对账明细接口!$V414=0,"",[1]对账明细接口!$V414),"")</f>
      </c>
      <c r="AB414" s="20">
        <f>IFERROR(IF([1]对账明细接口!$W414=0,"",[1]对账明细接口!$W414),"")</f>
      </c>
      <c r="AC414" s="7">
        <f>IFERROR(IF([1]对账明细接口!$X414=0,"",[1]对账明细接口!$X414),"")</f>
      </c>
      <c r="AD414" s="7">
        <f>IFERROR(IF([1]对账明细接口!$Y414=0,"",[1]对账明细接口!$Y414),"")</f>
      </c>
      <c r="AE414" s="7">
        <f>IFERROR(IF([1]对账明细接口!$AA414=0,"",[1]对账明细接口!$AA414),"")</f>
      </c>
      <c r="AF414" s="7">
        <f>IFERROR(IF([1]对账明细接口!$AB414=0,"",[1]对账明细接口!$AB414),"")</f>
      </c>
      <c r="AG414" s="7">
        <f>IFERROR(IF([1]对账明细接口!$AC414=0,"",[1]对账明细接口!$AC414),"")</f>
      </c>
      <c r="AH414" s="7">
        <f>IFERROR(IF([1]对账明细接口!$AD414=0,"",[1]对账明细接口!$AD414),"")</f>
      </c>
      <c r="AI414" s="7">
        <f>IFERROR(IF([1]对账明细接口!$AE414=0,"",[1]对账明细接口!$AE414),"")</f>
      </c>
      <c r="AJ414" s="7">
        <f>IFERROR(IF([1]对账明细接口!$AF414=0,"",[1]对账明细接口!$AF414),"")</f>
      </c>
    </row>
    <row r="415" ht="14.25" customHeight="1" s="127">
      <c r="A415" s="14" t="n">
        <v>415</v>
      </c>
      <c r="B415" s="211">
        <f>IFERROR(IF([1]对账明细接口!$B$415=0,"",[1]对账明细接口!$B$415),"")</f>
        <v>46289.0</v>
      </c>
      <c r="C415" s="16" t="str">
        <f>IFERROR(IF([1]对账明细接口!$C$415=0,"",[1]对账明细接口!$C$415),"")</f>
        <v>努尔敦</v>
      </c>
      <c r="D415" s="16" t="str">
        <f>IFERROR(IF([1]对账明细接口!$D$415=0,"",[1]对账明细接口!$D$415),"")</f>
        <v>原料入库</v>
      </c>
      <c r="E415" s="16" t="str">
        <f>IFERROR(IF([1]对账明细接口!$E$415=0,"",[1]对账明细接口!$E$415),"")</f>
        <v>NO:0000967</v>
      </c>
      <c r="F415" s="16" t="str">
        <f>IFERROR(IF([1]对账明细接口!$F$415=0,"",[1]对账明细接口!$F$415),"")</f>
        <v>香梨</v>
      </c>
      <c r="G415" s="16" t="str">
        <f>IFERROR(IF([1]对账明细接口!$G$415=0,"",[1]对账明细接口!$G$415),"")</f>
        <v>香梨二级</v>
      </c>
      <c r="H415" s="176">
        <f>IFERROR(IF([1]对账明细接口!$H$415=0,"",[1]对账明细接口!$H$415),"")</f>
        <v>152</v>
      </c>
      <c r="I415" s="16" t="str">
        <f>IFERROR(IF([1]对账明细接口!$I$415=0,"",[1]对账明细接口!$I$415),"")</f>
        <v>筐</v>
      </c>
      <c r="J415" s="177">
        <f>IFERROR(IF([1]对账明细接口!$J$415=0,"",[1]对账明细接口!$J$415),"")</f>
        <v>3389.6</v>
      </c>
      <c r="K415" s="177">
        <f>IFERROR(IF([1]对账明细接口!$K$415=0,"",[1]对账明细接口!$K$415),"")</f>
      </c>
      <c r="L415" s="16">
        <f>IFERROR(IF([1]对账明细接口!$L$415=0,"",[1]对账明细接口!$L$415),"")</f>
      </c>
      <c r="M415" s="16">
        <f>IFERROR(IF([1]对账明细接口!$M$415=0,"",[1]对账明细接口!$M$415),"")</f>
      </c>
      <c r="N415" s="19">
        <f>IF($C415="",0,1)</f>
        <v>1</v>
      </c>
      <c r="O415" s="19">
        <f>N(O414)+$N415</f>
        <v>412</v>
      </c>
      <c r="S415" s="20" t="str">
        <f>IFERROR(IF([1]对账明细接口!$N415=0,"",[1]对账明细接口!$N415),"")</f>
        <v>公司红周转筐</v>
      </c>
      <c r="T415" s="212">
        <f>IFERROR(IF([1]对账明细接口!$O415=0,"",[1]对账明细接口!$O415),"")</f>
      </c>
      <c r="U415" s="212">
        <f>IFERROR(IF([1]对账明细接口!$P415=0,"",[1]对账明细接口!$P415),"")</f>
      </c>
      <c r="V415" s="212">
        <f>IFERROR(IF([1]对账明细接口!$Q415=0,"",[1]对账明细接口!$Q415),"")</f>
        <v>152</v>
      </c>
      <c r="W415" s="20" t="str">
        <f>IFERROR(IF([1]对账明细接口!$R415=0,"",[1]对账明细接口!$R415),"")</f>
        <v>新F*75240</v>
      </c>
      <c r="X415" s="20" t="str">
        <f>IFERROR(IF([1]对账明细接口!$S415=0,"",[1]对账明细接口!$S415),"")</f>
        <v>公司筐</v>
      </c>
      <c r="Y415" s="20">
        <f>IFERROR(IF([1]对账明细接口!$T415=0,"",[1]对账明细接口!$T415),"")</f>
      </c>
      <c r="Z415" s="213">
        <f>IFERROR(IF([1]对账明细接口!$U415=0,"",[1]对账明细接口!$U415),"")</f>
      </c>
      <c r="AA415" s="213">
        <f>IFERROR(IF([1]对账明细接口!$V415=0,"",[1]对账明细接口!$V415),"")</f>
      </c>
      <c r="AB415" s="20">
        <f>IFERROR(IF([1]对账明细接口!$W415=0,"",[1]对账明细接口!$W415),"")</f>
      </c>
      <c r="AC415" s="7">
        <f>IFERROR(IF([1]对账明细接口!$X415=0,"",[1]对账明细接口!$X415),"")</f>
      </c>
      <c r="AD415" s="7">
        <f>IFERROR(IF([1]对账明细接口!$Y415=0,"",[1]对账明细接口!$Y415),"")</f>
      </c>
      <c r="AE415" s="7">
        <f>IFERROR(IF([1]对账明细接口!$AA415=0,"",[1]对账明细接口!$AA415),"")</f>
      </c>
      <c r="AF415" s="7">
        <f>IFERROR(IF([1]对账明细接口!$AB415=0,"",[1]对账明细接口!$AB415),"")</f>
      </c>
      <c r="AG415" s="7">
        <f>IFERROR(IF([1]对账明细接口!$AC415=0,"",[1]对账明细接口!$AC415),"")</f>
      </c>
      <c r="AH415" s="7">
        <f>IFERROR(IF([1]对账明细接口!$AD415=0,"",[1]对账明细接口!$AD415),"")</f>
      </c>
      <c r="AI415" s="7">
        <f>IFERROR(IF([1]对账明细接口!$AE415=0,"",[1]对账明细接口!$AE415),"")</f>
      </c>
      <c r="AJ415" s="7">
        <f>IFERROR(IF([1]对账明细接口!$AF415=0,"",[1]对账明细接口!$AF415),"")</f>
      </c>
    </row>
    <row r="416" ht="14.25" customHeight="1" s="127">
      <c r="A416" s="14" t="n">
        <v>416</v>
      </c>
      <c r="B416" s="211">
        <f>IFERROR(IF([1]对账明细接口!$B$416=0,"",[1]对账明细接口!$B$416),"")</f>
        <v>46289.0</v>
      </c>
      <c r="C416" s="16" t="str">
        <f>IFERROR(IF([1]对账明细接口!$C$416=0,"",[1]对账明细接口!$C$416),"")</f>
        <v>努尔敦</v>
      </c>
      <c r="D416" s="16" t="str">
        <f>IFERROR(IF([1]对账明细接口!$D$416=0,"",[1]对账明细接口!$D$416),"")</f>
        <v>原料入库</v>
      </c>
      <c r="E416" s="16" t="str">
        <f>IFERROR(IF([1]对账明细接口!$E$416=0,"",[1]对账明细接口!$E$416),"")</f>
        <v>NO:0000970</v>
      </c>
      <c r="F416" s="16" t="str">
        <f>IFERROR(IF([1]对账明细接口!$F$416=0,"",[1]对账明细接口!$F$416),"")</f>
        <v>香梨</v>
      </c>
      <c r="G416" s="16" t="str">
        <f>IFERROR(IF([1]对账明细接口!$G$416=0,"",[1]对账明细接口!$G$416),"")</f>
        <v>香梨特级</v>
      </c>
      <c r="H416" s="176">
        <f>IFERROR(IF([1]对账明细接口!$H$416=0,"",[1]对账明细接口!$H$416),"")</f>
        <v>136</v>
      </c>
      <c r="I416" s="16" t="str">
        <f>IFERROR(IF([1]对账明细接口!$I$416=0,"",[1]对账明细接口!$I$416),"")</f>
        <v>筐</v>
      </c>
      <c r="J416" s="177">
        <f>IFERROR(IF([1]对账明细接口!$J$416=0,"",[1]对账明细接口!$J$416),"")</f>
        <v>2488.8</v>
      </c>
      <c r="K416" s="177">
        <f>IFERROR(IF([1]对账明细接口!$K$416=0,"",[1]对账明细接口!$K$416),"")</f>
      </c>
      <c r="L416" s="16">
        <f>IFERROR(IF([1]对账明细接口!$L$416=0,"",[1]对账明细接口!$L$416),"")</f>
      </c>
      <c r="M416" s="16" t="str">
        <f>IFERROR(IF([1]对账明细接口!$M$416=0,"",[1]对账明细接口!$M$416),"")</f>
        <v>二黄</v>
      </c>
      <c r="N416" s="19">
        <f>IF($C416="",0,1)</f>
        <v>1</v>
      </c>
      <c r="O416" s="19">
        <f>N(O415)+$N416</f>
        <v>413</v>
      </c>
      <c r="S416" s="20" t="str">
        <f>IFERROR(IF([1]对账明细接口!$N416=0,"",[1]对账明细接口!$N416),"")</f>
        <v>公司红周转筐</v>
      </c>
      <c r="T416" s="212">
        <f>IFERROR(IF([1]对账明细接口!$O416=0,"",[1]对账明细接口!$O416),"")</f>
      </c>
      <c r="U416" s="212">
        <f>IFERROR(IF([1]对账明细接口!$P416=0,"",[1]对账明细接口!$P416),"")</f>
      </c>
      <c r="V416" s="212">
        <f>IFERROR(IF([1]对账明细接口!$Q416=0,"",[1]对账明细接口!$Q416),"")</f>
        <v>136</v>
      </c>
      <c r="W416" s="20" t="str">
        <f>IFERROR(IF([1]对账明细接口!$R416=0,"",[1]对账明细接口!$R416),"")</f>
        <v>新F*75240</v>
      </c>
      <c r="X416" s="20" t="str">
        <f>IFERROR(IF([1]对账明细接口!$S416=0,"",[1]对账明细接口!$S416),"")</f>
        <v>公司筐</v>
      </c>
      <c r="Y416" s="20">
        <f>IFERROR(IF([1]对账明细接口!$T416=0,"",[1]对账明细接口!$T416),"")</f>
      </c>
      <c r="Z416" s="213">
        <f>IFERROR(IF([1]对账明细接口!$U416=0,"",[1]对账明细接口!$U416),"")</f>
      </c>
      <c r="AA416" s="213">
        <f>IFERROR(IF([1]对账明细接口!$V416=0,"",[1]对账明细接口!$V416),"")</f>
      </c>
      <c r="AB416" s="20">
        <f>IFERROR(IF([1]对账明细接口!$W416=0,"",[1]对账明细接口!$W416),"")</f>
      </c>
      <c r="AC416" s="7">
        <f>IFERROR(IF([1]对账明细接口!$X416=0,"",[1]对账明细接口!$X416),"")</f>
      </c>
      <c r="AD416" s="7">
        <f>IFERROR(IF([1]对账明细接口!$Y416=0,"",[1]对账明细接口!$Y416),"")</f>
      </c>
      <c r="AE416" s="7">
        <f>IFERROR(IF([1]对账明细接口!$AA416=0,"",[1]对账明细接口!$AA416),"")</f>
      </c>
      <c r="AF416" s="7">
        <f>IFERROR(IF([1]对账明细接口!$AB416=0,"",[1]对账明细接口!$AB416),"")</f>
      </c>
      <c r="AG416" s="7">
        <f>IFERROR(IF([1]对账明细接口!$AC416=0,"",[1]对账明细接口!$AC416),"")</f>
      </c>
      <c r="AH416" s="7">
        <f>IFERROR(IF([1]对账明细接口!$AD416=0,"",[1]对账明细接口!$AD416),"")</f>
      </c>
      <c r="AI416" s="7">
        <f>IFERROR(IF([1]对账明细接口!$AE416=0,"",[1]对账明细接口!$AE416),"")</f>
      </c>
      <c r="AJ416" s="7">
        <f>IFERROR(IF([1]对账明细接口!$AF416=0,"",[1]对账明细接口!$AF416),"")</f>
      </c>
    </row>
    <row r="417" ht="14.25" customHeight="1" s="127">
      <c r="A417" s="14" t="n">
        <v>417</v>
      </c>
      <c r="B417" s="211">
        <f>IFERROR(IF([1]对账明细接口!$B$417=0,"",[1]对账明细接口!$B$417),"")</f>
        <v>46289.0</v>
      </c>
      <c r="C417" s="16" t="str">
        <f>IFERROR(IF([1]对账明细接口!$C$417=0,"",[1]对账明细接口!$C$417),"")</f>
        <v>努尔敦</v>
      </c>
      <c r="D417" s="16" t="str">
        <f>IFERROR(IF([1]对账明细接口!$D$417=0,"",[1]对账明细接口!$D$417),"")</f>
        <v>原料入库</v>
      </c>
      <c r="E417" s="16" t="str">
        <f>IFERROR(IF([1]对账明细接口!$E$417=0,"",[1]对账明细接口!$E$417),"")</f>
        <v>NO:0000970</v>
      </c>
      <c r="F417" s="16" t="str">
        <f>IFERROR(IF([1]对账明细接口!$F$417=0,"",[1]对账明细接口!$F$417),"")</f>
        <v>香梨</v>
      </c>
      <c r="G417" s="16" t="str">
        <f>IFERROR(IF([1]对账明细接口!$G$417=0,"",[1]对账明细接口!$G$417),"")</f>
        <v>香梨一级</v>
      </c>
      <c r="H417" s="176">
        <f>IFERROR(IF([1]对账明细接口!$H$417=0,"",[1]对账明细接口!$H$417),"")</f>
        <v>405</v>
      </c>
      <c r="I417" s="16" t="str">
        <f>IFERROR(IF([1]对账明细接口!$I$417=0,"",[1]对账明细接口!$I$417),"")</f>
        <v>筐</v>
      </c>
      <c r="J417" s="177">
        <f>IFERROR(IF([1]对账明细接口!$J$417=0,"",[1]对账明细接口!$J$417),"")</f>
        <v>7411.5</v>
      </c>
      <c r="K417" s="177">
        <f>IFERROR(IF([1]对账明细接口!$K$417=0,"",[1]对账明细接口!$K$417),"")</f>
      </c>
      <c r="L417" s="16">
        <f>IFERROR(IF([1]对账明细接口!$L$417=0,"",[1]对账明细接口!$L$417),"")</f>
      </c>
      <c r="M417" s="16" t="str">
        <f>IFERROR(IF([1]对账明细接口!$M$417=0,"",[1]对账明细接口!$M$417),"")</f>
        <v>二黄</v>
      </c>
      <c r="N417" s="19">
        <f>IF($C417="",0,1)</f>
        <v>1</v>
      </c>
      <c r="O417" s="19">
        <f>N(O416)+$N417</f>
        <v>414</v>
      </c>
      <c r="S417" s="20" t="str">
        <f>IFERROR(IF([1]对账明细接口!$N417=0,"",[1]对账明细接口!$N417),"")</f>
        <v>公司红周转筐</v>
      </c>
      <c r="T417" s="212">
        <f>IFERROR(IF([1]对账明细接口!$O417=0,"",[1]对账明细接口!$O417),"")</f>
      </c>
      <c r="U417" s="212">
        <f>IFERROR(IF([1]对账明细接口!$P417=0,"",[1]对账明细接口!$P417),"")</f>
      </c>
      <c r="V417" s="212">
        <f>IFERROR(IF([1]对账明细接口!$Q417=0,"",[1]对账明细接口!$Q417),"")</f>
        <v>405</v>
      </c>
      <c r="W417" s="20" t="str">
        <f>IFERROR(IF([1]对账明细接口!$R417=0,"",[1]对账明细接口!$R417),"")</f>
        <v>新F*75240</v>
      </c>
      <c r="X417" s="20" t="str">
        <f>IFERROR(IF([1]对账明细接口!$S417=0,"",[1]对账明细接口!$S417),"")</f>
        <v>公司筐</v>
      </c>
      <c r="Y417" s="20">
        <f>IFERROR(IF([1]对账明细接口!$T417=0,"",[1]对账明细接口!$T417),"")</f>
      </c>
      <c r="Z417" s="213">
        <f>IFERROR(IF([1]对账明细接口!$U417=0,"",[1]对账明细接口!$U417),"")</f>
      </c>
      <c r="AA417" s="213">
        <f>IFERROR(IF([1]对账明细接口!$V417=0,"",[1]对账明细接口!$V417),"")</f>
      </c>
      <c r="AB417" s="20">
        <f>IFERROR(IF([1]对账明细接口!$W417=0,"",[1]对账明细接口!$W417),"")</f>
      </c>
      <c r="AC417" s="7">
        <f>IFERROR(IF([1]对账明细接口!$X417=0,"",[1]对账明细接口!$X417),"")</f>
      </c>
      <c r="AD417" s="7">
        <f>IFERROR(IF([1]对账明细接口!$Y417=0,"",[1]对账明细接口!$Y417),"")</f>
      </c>
      <c r="AE417" s="7">
        <f>IFERROR(IF([1]对账明细接口!$AA417=0,"",[1]对账明细接口!$AA417),"")</f>
      </c>
      <c r="AF417" s="7">
        <f>IFERROR(IF([1]对账明细接口!$AB417=0,"",[1]对账明细接口!$AB417),"")</f>
      </c>
      <c r="AG417" s="7">
        <f>IFERROR(IF([1]对账明细接口!$AC417=0,"",[1]对账明细接口!$AC417),"")</f>
      </c>
      <c r="AH417" s="7">
        <f>IFERROR(IF([1]对账明细接口!$AD417=0,"",[1]对账明细接口!$AD417),"")</f>
      </c>
      <c r="AI417" s="7">
        <f>IFERROR(IF([1]对账明细接口!$AE417=0,"",[1]对账明细接口!$AE417),"")</f>
      </c>
      <c r="AJ417" s="7">
        <f>IFERROR(IF([1]对账明细接口!$AF417=0,"",[1]对账明细接口!$AF417),"")</f>
      </c>
    </row>
    <row r="418" ht="14.25" customHeight="1" s="127">
      <c r="A418" s="14" t="n">
        <v>418</v>
      </c>
      <c r="B418" s="211">
        <f>IFERROR(IF([1]对账明细接口!$B$418=0,"",[1]对账明细接口!$B$418),"")</f>
        <v>46289.0</v>
      </c>
      <c r="C418" s="16" t="str">
        <f>IFERROR(IF([1]对账明细接口!$C$418=0,"",[1]对账明细接口!$C$418),"")</f>
        <v>努尔敦</v>
      </c>
      <c r="D418" s="16" t="str">
        <f>IFERROR(IF([1]对账明细接口!$D$418=0,"",[1]对账明细接口!$D$418),"")</f>
        <v>原料入库</v>
      </c>
      <c r="E418" s="16" t="str">
        <f>IFERROR(IF([1]对账明细接口!$E$418=0,"",[1]对账明细接口!$E$418),"")</f>
        <v>NO:0000970</v>
      </c>
      <c r="F418" s="16" t="str">
        <f>IFERROR(IF([1]对账明细接口!$F$418=0,"",[1]对账明细接口!$F$418),"")</f>
        <v>香梨</v>
      </c>
      <c r="G418" s="16" t="str">
        <f>IFERROR(IF([1]对账明细接口!$G$418=0,"",[1]对账明细接口!$G$418),"")</f>
        <v>香梨二级</v>
      </c>
      <c r="H418" s="176">
        <f>IFERROR(IF([1]对账明细接口!$H$418=0,"",[1]对账明细接口!$H$418),"")</f>
        <v>109</v>
      </c>
      <c r="I418" s="16" t="str">
        <f>IFERROR(IF([1]对账明细接口!$I$418=0,"",[1]对账明细接口!$I$418),"")</f>
        <v>筐</v>
      </c>
      <c r="J418" s="177">
        <f>IFERROR(IF([1]对账明细接口!$J$418=0,"",[1]对账明细接口!$J$418),"")</f>
        <v>2430.7</v>
      </c>
      <c r="K418" s="177">
        <f>IFERROR(IF([1]对账明细接口!$K$418=0,"",[1]对账明细接口!$K$418),"")</f>
      </c>
      <c r="L418" s="16">
        <f>IFERROR(IF([1]对账明细接口!$L$418=0,"",[1]对账明细接口!$L$418),"")</f>
      </c>
      <c r="M418" s="16" t="str">
        <f>IFERROR(IF([1]对账明细接口!$M$418=0,"",[1]对账明细接口!$M$418),"")</f>
        <v>二黄</v>
      </c>
      <c r="N418" s="19">
        <f>IF($C418="",0,1)</f>
        <v>1</v>
      </c>
      <c r="O418" s="19">
        <f>N(O417)+$N418</f>
        <v>415</v>
      </c>
      <c r="S418" s="20" t="str">
        <f>IFERROR(IF([1]对账明细接口!$N418=0,"",[1]对账明细接口!$N418),"")</f>
        <v>公司红周转筐</v>
      </c>
      <c r="T418" s="212">
        <f>IFERROR(IF([1]对账明细接口!$O418=0,"",[1]对账明细接口!$O418),"")</f>
      </c>
      <c r="U418" s="212">
        <f>IFERROR(IF([1]对账明细接口!$P418=0,"",[1]对账明细接口!$P418),"")</f>
      </c>
      <c r="V418" s="212">
        <f>IFERROR(IF([1]对账明细接口!$Q418=0,"",[1]对账明细接口!$Q418),"")</f>
        <v>109</v>
      </c>
      <c r="W418" s="20" t="str">
        <f>IFERROR(IF([1]对账明细接口!$R418=0,"",[1]对账明细接口!$R418),"")</f>
        <v>新F*75240</v>
      </c>
      <c r="X418" s="20" t="str">
        <f>IFERROR(IF([1]对账明细接口!$S418=0,"",[1]对账明细接口!$S418),"")</f>
        <v>公司筐</v>
      </c>
      <c r="Y418" s="20">
        <f>IFERROR(IF([1]对账明细接口!$T418=0,"",[1]对账明细接口!$T418),"")</f>
      </c>
      <c r="Z418" s="213">
        <f>IFERROR(IF([1]对账明细接口!$U418=0,"",[1]对账明细接口!$U418),"")</f>
      </c>
      <c r="AA418" s="213">
        <f>IFERROR(IF([1]对账明细接口!$V418=0,"",[1]对账明细接口!$V418),"")</f>
      </c>
      <c r="AB418" s="20">
        <f>IFERROR(IF([1]对账明细接口!$W418=0,"",[1]对账明细接口!$W418),"")</f>
      </c>
      <c r="AC418" s="7">
        <f>IFERROR(IF([1]对账明细接口!$X418=0,"",[1]对账明细接口!$X418),"")</f>
      </c>
      <c r="AD418" s="7">
        <f>IFERROR(IF([1]对账明细接口!$Y418=0,"",[1]对账明细接口!$Y418),"")</f>
      </c>
      <c r="AE418" s="7">
        <f>IFERROR(IF([1]对账明细接口!$AA418=0,"",[1]对账明细接口!$AA418),"")</f>
      </c>
      <c r="AF418" s="7">
        <f>IFERROR(IF([1]对账明细接口!$AB418=0,"",[1]对账明细接口!$AB418),"")</f>
      </c>
      <c r="AG418" s="7">
        <f>IFERROR(IF([1]对账明细接口!$AC418=0,"",[1]对账明细接口!$AC418),"")</f>
      </c>
      <c r="AH418" s="7">
        <f>IFERROR(IF([1]对账明细接口!$AD418=0,"",[1]对账明细接口!$AD418),"")</f>
      </c>
      <c r="AI418" s="7">
        <f>IFERROR(IF([1]对账明细接口!$AE418=0,"",[1]对账明细接口!$AE418),"")</f>
      </c>
      <c r="AJ418" s="7">
        <f>IFERROR(IF([1]对账明细接口!$AF418=0,"",[1]对账明细接口!$AF418),"")</f>
      </c>
    </row>
    <row r="419" ht="14.25" customHeight="1" s="127">
      <c r="A419" s="14" t="n">
        <v>419</v>
      </c>
      <c r="B419" s="211">
        <f>IFERROR(IF([1]对账明细接口!$B$419=0,"",[1]对账明细接口!$B$419),"")</f>
        <v>46289.0</v>
      </c>
      <c r="C419" s="16" t="str">
        <f>IFERROR(IF([1]对账明细接口!$C$419=0,"",[1]对账明细接口!$C$419),"")</f>
        <v>王灵云</v>
      </c>
      <c r="D419" s="16" t="str">
        <f>IFERROR(IF([1]对账明细接口!$D$419=0,"",[1]对账明细接口!$D$419),"")</f>
        <v>原料入库</v>
      </c>
      <c r="E419" s="16" t="str">
        <f>IFERROR(IF([1]对账明细接口!$E$419=0,"",[1]对账明细接口!$E$419),"")</f>
        <v>NO:0000971</v>
      </c>
      <c r="F419" s="16" t="str">
        <f>IFERROR(IF([1]对账明细接口!$F$419=0,"",[1]对账明细接口!$F$419),"")</f>
        <v>香梨</v>
      </c>
      <c r="G419" s="16" t="str">
        <f>IFERROR(IF([1]对账明细接口!$G$419=0,"",[1]对账明细接口!$G$419),"")</f>
        <v>香梨一级</v>
      </c>
      <c r="H419" s="176">
        <f>IFERROR(IF([1]对账明细接口!$H$419=0,"",[1]对账明细接口!$H$419),"")</f>
        <v>449</v>
      </c>
      <c r="I419" s="16" t="str">
        <f>IFERROR(IF([1]对账明细接口!$I$419=0,"",[1]对账明细接口!$I$419),"")</f>
        <v>筐</v>
      </c>
      <c r="J419" s="177">
        <f>IFERROR(IF([1]对账明细接口!$J$419=0,"",[1]对账明细接口!$J$419),"")</f>
        <v>8082</v>
      </c>
      <c r="K419" s="177">
        <f>IFERROR(IF([1]对账明细接口!$K$419=0,"",[1]对账明细接口!$K$419),"")</f>
      </c>
      <c r="L419" s="16">
        <f>IFERROR(IF([1]对账明细接口!$L$419=0,"",[1]对账明细接口!$L$419),"")</f>
      </c>
      <c r="M419" s="16" t="str">
        <f>IFERROR(IF([1]对账明细接口!$M$419=0,"",[1]对账明细接口!$M$419),"")</f>
        <v>二黄</v>
      </c>
      <c r="N419" s="19">
        <f>IF($C419="",0,1)</f>
        <v>1</v>
      </c>
      <c r="O419" s="19">
        <f>N(O418)+$N419</f>
        <v>416</v>
      </c>
      <c r="S419" s="20" t="str">
        <f>IFERROR(IF([1]对账明细接口!$N419=0,"",[1]对账明细接口!$N419),"")</f>
        <v>公司红周转筐</v>
      </c>
      <c r="T419" s="212">
        <f>IFERROR(IF([1]对账明细接口!$O419=0,"",[1]对账明细接口!$O419),"")</f>
      </c>
      <c r="U419" s="212">
        <f>IFERROR(IF([1]对账明细接口!$P419=0,"",[1]对账明细接口!$P419),"")</f>
      </c>
      <c r="V419" s="212">
        <f>IFERROR(IF([1]对账明细接口!$Q419=0,"",[1]对账明细接口!$Q419),"")</f>
        <v>449</v>
      </c>
      <c r="W419" s="20" t="str">
        <f>IFERROR(IF([1]对账明细接口!$R419=0,"",[1]对账明细接口!$R419),"")</f>
        <v>新N*49209</v>
      </c>
      <c r="X419" s="20" t="str">
        <f>IFERROR(IF([1]对账明细接口!$S419=0,"",[1]对账明细接口!$S419),"")</f>
        <v>公司筐</v>
      </c>
      <c r="Y419" s="20">
        <f>IFERROR(IF([1]对账明细接口!$T419=0,"",[1]对账明细接口!$T419),"")</f>
      </c>
      <c r="Z419" s="213">
        <f>IFERROR(IF([1]对账明细接口!$U419=0,"",[1]对账明细接口!$U419),"")</f>
      </c>
      <c r="AA419" s="213">
        <f>IFERROR(IF([1]对账明细接口!$V419=0,"",[1]对账明细接口!$V419),"")</f>
      </c>
      <c r="AB419" s="20">
        <f>IFERROR(IF([1]对账明细接口!$W419=0,"",[1]对账明细接口!$W419),"")</f>
      </c>
      <c r="AC419" s="7">
        <f>IFERROR(IF([1]对账明细接口!$X419=0,"",[1]对账明细接口!$X419),"")</f>
      </c>
      <c r="AD419" s="7">
        <f>IFERROR(IF([1]对账明细接口!$Y419=0,"",[1]对账明细接口!$Y419),"")</f>
      </c>
      <c r="AE419" s="7">
        <f>IFERROR(IF([1]对账明细接口!$AA419=0,"",[1]对账明细接口!$AA419),"")</f>
      </c>
      <c r="AF419" s="7">
        <f>IFERROR(IF([1]对账明细接口!$AB419=0,"",[1]对账明细接口!$AB419),"")</f>
      </c>
      <c r="AG419" s="7">
        <f>IFERROR(IF([1]对账明细接口!$AC419=0,"",[1]对账明细接口!$AC419),"")</f>
      </c>
      <c r="AH419" s="7">
        <f>IFERROR(IF([1]对账明细接口!$AD419=0,"",[1]对账明细接口!$AD419),"")</f>
      </c>
      <c r="AI419" s="7">
        <f>IFERROR(IF([1]对账明细接口!$AE419=0,"",[1]对账明细接口!$AE419),"")</f>
      </c>
      <c r="AJ419" s="7">
        <f>IFERROR(IF([1]对账明细接口!$AF419=0,"",[1]对账明细接口!$AF419),"")</f>
      </c>
    </row>
    <row r="420" ht="14.25" customHeight="1" s="127">
      <c r="A420" s="14" t="n">
        <v>420</v>
      </c>
      <c r="B420" s="211">
        <f>IFERROR(IF([1]对账明细接口!$B$420=0,"",[1]对账明细接口!$B$420),"")</f>
        <v>46289.0</v>
      </c>
      <c r="C420" s="16" t="str">
        <f>IFERROR(IF([1]对账明细接口!$C$420=0,"",[1]对账明细接口!$C$420),"")</f>
        <v>王灵云</v>
      </c>
      <c r="D420" s="16" t="str">
        <f>IFERROR(IF([1]对账明细接口!$D$420=0,"",[1]对账明细接口!$D$420),"")</f>
        <v>原料入库</v>
      </c>
      <c r="E420" s="16" t="str">
        <f>IFERROR(IF([1]对账明细接口!$E$420=0,"",[1]对账明细接口!$E$420),"")</f>
        <v>NO:0000971</v>
      </c>
      <c r="F420" s="16" t="str">
        <f>IFERROR(IF([1]对账明细接口!$F$420=0,"",[1]对账明细接口!$F$420),"")</f>
        <v>香梨</v>
      </c>
      <c r="G420" s="16" t="str">
        <f>IFERROR(IF([1]对账明细接口!$G$420=0,"",[1]对账明细接口!$G$420),"")</f>
        <v>香梨二级</v>
      </c>
      <c r="H420" s="176">
        <f>IFERROR(IF([1]对账明细接口!$H$420=0,"",[1]对账明细接口!$H$420),"")</f>
        <v>68</v>
      </c>
      <c r="I420" s="16" t="str">
        <f>IFERROR(IF([1]对账明细接口!$I$420=0,"",[1]对账明细接口!$I$420),"")</f>
        <v>筐</v>
      </c>
      <c r="J420" s="177">
        <f>IFERROR(IF([1]对账明细接口!$J$420=0,"",[1]对账明细接口!$J$420),"")</f>
        <v>1564</v>
      </c>
      <c r="K420" s="177">
        <f>IFERROR(IF([1]对账明细接口!$K$420=0,"",[1]对账明细接口!$K$420),"")</f>
      </c>
      <c r="L420" s="16">
        <f>IFERROR(IF([1]对账明细接口!$L$420=0,"",[1]对账明细接口!$L$420),"")</f>
      </c>
      <c r="M420" s="16" t="str">
        <f>IFERROR(IF([1]对账明细接口!$M$420=0,"",[1]对账明细接口!$M$420),"")</f>
        <v>二黄</v>
      </c>
      <c r="N420" s="19">
        <f>IF($C420="",0,1)</f>
        <v>1</v>
      </c>
      <c r="O420" s="19">
        <f>N(O419)+$N420</f>
        <v>417</v>
      </c>
      <c r="S420" s="20" t="str">
        <f>IFERROR(IF([1]对账明细接口!$N420=0,"",[1]对账明细接口!$N420),"")</f>
        <v>公司红周转筐</v>
      </c>
      <c r="T420" s="212">
        <f>IFERROR(IF([1]对账明细接口!$O420=0,"",[1]对账明细接口!$O420),"")</f>
      </c>
      <c r="U420" s="212">
        <f>IFERROR(IF([1]对账明细接口!$P420=0,"",[1]对账明细接口!$P420),"")</f>
      </c>
      <c r="V420" s="212">
        <f>IFERROR(IF([1]对账明细接口!$Q420=0,"",[1]对账明细接口!$Q420),"")</f>
        <v>68</v>
      </c>
      <c r="W420" s="20" t="str">
        <f>IFERROR(IF([1]对账明细接口!$R420=0,"",[1]对账明细接口!$R420),"")</f>
        <v>新N*49209</v>
      </c>
      <c r="X420" s="20" t="str">
        <f>IFERROR(IF([1]对账明细接口!$S420=0,"",[1]对账明细接口!$S420),"")</f>
        <v>公司筐</v>
      </c>
      <c r="Y420" s="20">
        <f>IFERROR(IF([1]对账明细接口!$T420=0,"",[1]对账明细接口!$T420),"")</f>
      </c>
      <c r="Z420" s="213">
        <f>IFERROR(IF([1]对账明细接口!$U420=0,"",[1]对账明细接口!$U420),"")</f>
      </c>
      <c r="AA420" s="213">
        <f>IFERROR(IF([1]对账明细接口!$V420=0,"",[1]对账明细接口!$V420),"")</f>
      </c>
      <c r="AB420" s="20">
        <f>IFERROR(IF([1]对账明细接口!$W420=0,"",[1]对账明细接口!$W420),"")</f>
      </c>
      <c r="AC420" s="7">
        <f>IFERROR(IF([1]对账明细接口!$X420=0,"",[1]对账明细接口!$X420),"")</f>
      </c>
      <c r="AD420" s="7">
        <f>IFERROR(IF([1]对账明细接口!$Y420=0,"",[1]对账明细接口!$Y420),"")</f>
      </c>
      <c r="AE420" s="7">
        <f>IFERROR(IF([1]对账明细接口!$AA420=0,"",[1]对账明细接口!$AA420),"")</f>
      </c>
      <c r="AF420" s="7">
        <f>IFERROR(IF([1]对账明细接口!$AB420=0,"",[1]对账明细接口!$AB420),"")</f>
      </c>
      <c r="AG420" s="7">
        <f>IFERROR(IF([1]对账明细接口!$AC420=0,"",[1]对账明细接口!$AC420),"")</f>
      </c>
      <c r="AH420" s="7">
        <f>IFERROR(IF([1]对账明细接口!$AD420=0,"",[1]对账明细接口!$AD420),"")</f>
      </c>
      <c r="AI420" s="7">
        <f>IFERROR(IF([1]对账明细接口!$AE420=0,"",[1]对账明细接口!$AE420),"")</f>
      </c>
      <c r="AJ420" s="7">
        <f>IFERROR(IF([1]对账明细接口!$AF420=0,"",[1]对账明细接口!$AF420),"")</f>
      </c>
    </row>
    <row r="421" ht="14.25" customHeight="1" s="127">
      <c r="A421" s="14" t="n">
        <v>421</v>
      </c>
      <c r="B421" s="211">
        <f>IFERROR(IF([1]对账明细接口!$B$421=0,"",[1]对账明细接口!$B$421),"")</f>
        <v>46289.0</v>
      </c>
      <c r="C421" s="16" t="str">
        <f>IFERROR(IF([1]对账明细接口!$C$421=0,"",[1]对账明细接口!$C$421),"")</f>
        <v>王灵云</v>
      </c>
      <c r="D421" s="16" t="str">
        <f>IFERROR(IF([1]对账明细接口!$D$421=0,"",[1]对账明细接口!$D$421),"")</f>
        <v>原料入库</v>
      </c>
      <c r="E421" s="16" t="str">
        <f>IFERROR(IF([1]对账明细接口!$E$421=0,"",[1]对账明细接口!$E$421),"")</f>
        <v>NO:0000971</v>
      </c>
      <c r="F421" s="16" t="str">
        <f>IFERROR(IF([1]对账明细接口!$F$421=0,"",[1]对账明细接口!$F$421),"")</f>
        <v>香梨</v>
      </c>
      <c r="G421" s="16" t="str">
        <f>IFERROR(IF([1]对账明细接口!$G$421=0,"",[1]对账明细接口!$G$421),"")</f>
        <v>香梨副特</v>
      </c>
      <c r="H421" s="176">
        <f>IFERROR(IF([1]对账明细接口!$H$421=0,"",[1]对账明细接口!$H$421),"")</f>
        <v>172</v>
      </c>
      <c r="I421" s="16" t="str">
        <f>IFERROR(IF([1]对账明细接口!$I$421=0,"",[1]对账明细接口!$I$421),"")</f>
        <v>筐</v>
      </c>
      <c r="J421" s="177">
        <f>IFERROR(IF([1]对账明细接口!$J$421=0,"",[1]对账明细接口!$J$421),"")</f>
        <v>3096</v>
      </c>
      <c r="K421" s="177">
        <f>IFERROR(IF([1]对账明细接口!$K$421=0,"",[1]对账明细接口!$K$421),"")</f>
      </c>
      <c r="L421" s="16">
        <f>IFERROR(IF([1]对账明细接口!$L$421=0,"",[1]对账明细接口!$L$421),"")</f>
      </c>
      <c r="M421" s="16" t="str">
        <f>IFERROR(IF([1]对账明细接口!$M$421=0,"",[1]对账明细接口!$M$421),"")</f>
        <v>二黄</v>
      </c>
      <c r="N421" s="19">
        <f>IF($C421="",0,1)</f>
        <v>1</v>
      </c>
      <c r="O421" s="19">
        <f>N(O420)+$N421</f>
        <v>418</v>
      </c>
      <c r="S421" s="20" t="str">
        <f>IFERROR(IF([1]对账明细接口!$N421=0,"",[1]对账明细接口!$N421),"")</f>
        <v>公司红周转筐</v>
      </c>
      <c r="T421" s="212">
        <f>IFERROR(IF([1]对账明细接口!$O421=0,"",[1]对账明细接口!$O421),"")</f>
      </c>
      <c r="U421" s="212">
        <f>IFERROR(IF([1]对账明细接口!$P421=0,"",[1]对账明细接口!$P421),"")</f>
      </c>
      <c r="V421" s="212">
        <f>IFERROR(IF([1]对账明细接口!$Q421=0,"",[1]对账明细接口!$Q421),"")</f>
        <v>172</v>
      </c>
      <c r="W421" s="20" t="str">
        <f>IFERROR(IF([1]对账明细接口!$R421=0,"",[1]对账明细接口!$R421),"")</f>
        <v>新N*49209</v>
      </c>
      <c r="X421" s="20" t="str">
        <f>IFERROR(IF([1]对账明细接口!$S421=0,"",[1]对账明细接口!$S421),"")</f>
        <v>公司筐</v>
      </c>
      <c r="Y421" s="20">
        <f>IFERROR(IF([1]对账明细接口!$T421=0,"",[1]对账明细接口!$T421),"")</f>
      </c>
      <c r="Z421" s="213">
        <f>IFERROR(IF([1]对账明细接口!$U421=0,"",[1]对账明细接口!$U421),"")</f>
      </c>
      <c r="AA421" s="213">
        <f>IFERROR(IF([1]对账明细接口!$V421=0,"",[1]对账明细接口!$V421),"")</f>
      </c>
      <c r="AB421" s="20">
        <f>IFERROR(IF([1]对账明细接口!$W421=0,"",[1]对账明细接口!$W421),"")</f>
      </c>
      <c r="AC421" s="7">
        <f>IFERROR(IF([1]对账明细接口!$X421=0,"",[1]对账明细接口!$X421),"")</f>
      </c>
      <c r="AD421" s="7">
        <f>IFERROR(IF([1]对账明细接口!$Y421=0,"",[1]对账明细接口!$Y421),"")</f>
      </c>
      <c r="AE421" s="7">
        <f>IFERROR(IF([1]对账明细接口!$AA421=0,"",[1]对账明细接口!$AA421),"")</f>
      </c>
      <c r="AF421" s="7">
        <f>IFERROR(IF([1]对账明细接口!$AB421=0,"",[1]对账明细接口!$AB421),"")</f>
      </c>
      <c r="AG421" s="7">
        <f>IFERROR(IF([1]对账明细接口!$AC421=0,"",[1]对账明细接口!$AC421),"")</f>
      </c>
      <c r="AH421" s="7">
        <f>IFERROR(IF([1]对账明细接口!$AD421=0,"",[1]对账明细接口!$AD421),"")</f>
      </c>
      <c r="AI421" s="7">
        <f>IFERROR(IF([1]对账明细接口!$AE421=0,"",[1]对账明细接口!$AE421),"")</f>
      </c>
      <c r="AJ421" s="7">
        <f>IFERROR(IF([1]对账明细接口!$AF421=0,"",[1]对账明细接口!$AF421),"")</f>
      </c>
    </row>
    <row r="422" ht="14.25" customHeight="1" s="127">
      <c r="A422" s="14" t="n">
        <v>422</v>
      </c>
      <c r="B422" s="211">
        <f>IFERROR(IF([1]对账明细接口!$B$422=0,"",[1]对账明细接口!$B$422),"")</f>
        <v>46289.0</v>
      </c>
      <c r="C422" s="16" t="str">
        <f>IFERROR(IF([1]对账明细接口!$C$422=0,"",[1]对账明细接口!$C$422),"")</f>
        <v>王灵云</v>
      </c>
      <c r="D422" s="16" t="str">
        <f>IFERROR(IF([1]对账明细接口!$D$422=0,"",[1]对账明细接口!$D$422),"")</f>
        <v>原料入库</v>
      </c>
      <c r="E422" s="16" t="str">
        <f>IFERROR(IF([1]对账明细接口!$E$422=0,"",[1]对账明细接口!$E$422),"")</f>
        <v>NO:0000973</v>
      </c>
      <c r="F422" s="16" t="str">
        <f>IFERROR(IF([1]对账明细接口!$F$422=0,"",[1]对账明细接口!$F$422),"")</f>
        <v>香梨</v>
      </c>
      <c r="G422" s="16" t="str">
        <f>IFERROR(IF([1]对账明细接口!$G$422=0,"",[1]对账明细接口!$G$422),"")</f>
        <v>香梨一级</v>
      </c>
      <c r="H422" s="176">
        <f>IFERROR(IF([1]对账明细接口!$H$422=0,"",[1]对账明细接口!$H$422),"")</f>
        <v>616</v>
      </c>
      <c r="I422" s="16" t="str">
        <f>IFERROR(IF([1]对账明细接口!$I$422=0,"",[1]对账明细接口!$I$422),"")</f>
        <v>筐</v>
      </c>
      <c r="J422" s="177">
        <f>IFERROR(IF([1]对账明细接口!$J$422=0,"",[1]对账明细接口!$J$422),"")</f>
        <v>11088</v>
      </c>
      <c r="K422" s="177">
        <f>IFERROR(IF([1]对账明细接口!$K$422=0,"",[1]对账明细接口!$K$422),"")</f>
      </c>
      <c r="L422" s="16">
        <f>IFERROR(IF([1]对账明细接口!$L$422=0,"",[1]对账明细接口!$L$422),"")</f>
      </c>
      <c r="M422" s="16" t="str">
        <f>IFERROR(IF([1]对账明细接口!$M$422=0,"",[1]对账明细接口!$M$422),"")</f>
        <v>左/二黄</v>
      </c>
      <c r="N422" s="19">
        <f>IF($C422="",0,1)</f>
        <v>1</v>
      </c>
      <c r="O422" s="19">
        <f>N(O421)+$N422</f>
        <v>419</v>
      </c>
      <c r="S422" s="20" t="str">
        <f>IFERROR(IF([1]对账明细接口!$N422=0,"",[1]对账明细接口!$N422),"")</f>
        <v>公司红周转筐</v>
      </c>
      <c r="T422" s="212">
        <f>IFERROR(IF([1]对账明细接口!$O422=0,"",[1]对账明细接口!$O422),"")</f>
      </c>
      <c r="U422" s="212">
        <f>IFERROR(IF([1]对账明细接口!$P422=0,"",[1]对账明细接口!$P422),"")</f>
      </c>
      <c r="V422" s="212">
        <f>IFERROR(IF([1]对账明细接口!$Q422=0,"",[1]对账明细接口!$Q422),"")</f>
        <v>616</v>
      </c>
      <c r="W422" s="20" t="str">
        <f>IFERROR(IF([1]对账明细接口!$R422=0,"",[1]对账明细接口!$R422),"")</f>
        <v>新N*49209</v>
      </c>
      <c r="X422" s="20" t="str">
        <f>IFERROR(IF([1]对账明细接口!$S422=0,"",[1]对账明细接口!$S422),"")</f>
        <v>公司筐</v>
      </c>
      <c r="Y422" s="20">
        <f>IFERROR(IF([1]对账明细接口!$T422=0,"",[1]对账明细接口!$T422),"")</f>
      </c>
      <c r="Z422" s="213">
        <f>IFERROR(IF([1]对账明细接口!$U422=0,"",[1]对账明细接口!$U422),"")</f>
      </c>
      <c r="AA422" s="213">
        <f>IFERROR(IF([1]对账明细接口!$V422=0,"",[1]对账明细接口!$V422),"")</f>
      </c>
      <c r="AB422" s="20">
        <f>IFERROR(IF([1]对账明细接口!$W422=0,"",[1]对账明细接口!$W422),"")</f>
      </c>
      <c r="AC422" s="7">
        <f>IFERROR(IF([1]对账明细接口!$X422=0,"",[1]对账明细接口!$X422),"")</f>
      </c>
      <c r="AD422" s="7">
        <f>IFERROR(IF([1]对账明细接口!$Y422=0,"",[1]对账明细接口!$Y422),"")</f>
      </c>
      <c r="AE422" s="7">
        <f>IFERROR(IF([1]对账明细接口!$AA422=0,"",[1]对账明细接口!$AA422),"")</f>
      </c>
      <c r="AF422" s="7">
        <f>IFERROR(IF([1]对账明细接口!$AB422=0,"",[1]对账明细接口!$AB422),"")</f>
      </c>
      <c r="AG422" s="7">
        <f>IFERROR(IF([1]对账明细接口!$AC422=0,"",[1]对账明细接口!$AC422),"")</f>
      </c>
      <c r="AH422" s="7">
        <f>IFERROR(IF([1]对账明细接口!$AD422=0,"",[1]对账明细接口!$AD422),"")</f>
      </c>
      <c r="AI422" s="7">
        <f>IFERROR(IF([1]对账明细接口!$AE422=0,"",[1]对账明细接口!$AE422),"")</f>
      </c>
      <c r="AJ422" s="7">
        <f>IFERROR(IF([1]对账明细接口!$AF422=0,"",[1]对账明细接口!$AF422),"")</f>
      </c>
    </row>
    <row r="423" ht="14.25" customHeight="1" s="127">
      <c r="A423" s="14" t="n">
        <v>423</v>
      </c>
      <c r="B423" s="211">
        <f>IFERROR(IF([1]对账明细接口!$B$423=0,"",[1]对账明细接口!$B$423),"")</f>
        <v>46289.0</v>
      </c>
      <c r="C423" s="16" t="str">
        <f>IFERROR(IF([1]对账明细接口!$C$423=0,"",[1]对账明细接口!$C$423),"")</f>
        <v>王灵云</v>
      </c>
      <c r="D423" s="16" t="str">
        <f>IFERROR(IF([1]对账明细接口!$D$423=0,"",[1]对账明细接口!$D$423),"")</f>
        <v>原料入库</v>
      </c>
      <c r="E423" s="16" t="str">
        <f>IFERROR(IF([1]对账明细接口!$E$423=0,"",[1]对账明细接口!$E$423),"")</f>
        <v>NO:0000973</v>
      </c>
      <c r="F423" s="16" t="str">
        <f>IFERROR(IF([1]对账明细接口!$F$423=0,"",[1]对账明细接口!$F$423),"")</f>
        <v>香梨</v>
      </c>
      <c r="G423" s="16" t="str">
        <f>IFERROR(IF([1]对账明细接口!$G$423=0,"",[1]对账明细接口!$G$423),"")</f>
        <v>香梨二级</v>
      </c>
      <c r="H423" s="176">
        <f>IFERROR(IF([1]对账明细接口!$H$423=0,"",[1]对账明细接口!$H$423),"")</f>
        <v>24</v>
      </c>
      <c r="I423" s="16" t="str">
        <f>IFERROR(IF([1]对账明细接口!$I$423=0,"",[1]对账明细接口!$I$423),"")</f>
        <v>筐</v>
      </c>
      <c r="J423" s="177">
        <f>IFERROR(IF([1]对账明细接口!$J$423=0,"",[1]对账明细接口!$J$423),"")</f>
        <v>528</v>
      </c>
      <c r="K423" s="177">
        <f>IFERROR(IF([1]对账明细接口!$K$423=0,"",[1]对账明细接口!$K$423),"")</f>
      </c>
      <c r="L423" s="16">
        <f>IFERROR(IF([1]对账明细接口!$L$423=0,"",[1]对账明细接口!$L$423),"")</f>
      </c>
      <c r="M423" s="16" t="str">
        <f>IFERROR(IF([1]对账明细接口!$M$423=0,"",[1]对账明细接口!$M$423),"")</f>
        <v>左/二黄</v>
      </c>
      <c r="N423" s="19">
        <f>IF($C423="",0,1)</f>
        <v>1</v>
      </c>
      <c r="O423" s="19">
        <f>N(O422)+$N423</f>
        <v>420</v>
      </c>
      <c r="S423" s="20" t="str">
        <f>IFERROR(IF([1]对账明细接口!$N423=0,"",[1]对账明细接口!$N423),"")</f>
        <v>公司红周转筐</v>
      </c>
      <c r="T423" s="212">
        <f>IFERROR(IF([1]对账明细接口!$O423=0,"",[1]对账明细接口!$O423),"")</f>
      </c>
      <c r="U423" s="212">
        <f>IFERROR(IF([1]对账明细接口!$P423=0,"",[1]对账明细接口!$P423),"")</f>
      </c>
      <c r="V423" s="212">
        <f>IFERROR(IF([1]对账明细接口!$Q423=0,"",[1]对账明细接口!$Q423),"")</f>
        <v>24</v>
      </c>
      <c r="W423" s="20" t="str">
        <f>IFERROR(IF([1]对账明细接口!$R423=0,"",[1]对账明细接口!$R423),"")</f>
        <v>新N*49209</v>
      </c>
      <c r="X423" s="20" t="str">
        <f>IFERROR(IF([1]对账明细接口!$S423=0,"",[1]对账明细接口!$S423),"")</f>
        <v>公司筐</v>
      </c>
      <c r="Y423" s="20">
        <f>IFERROR(IF([1]对账明细接口!$T423=0,"",[1]对账明细接口!$T423),"")</f>
      </c>
      <c r="Z423" s="213">
        <f>IFERROR(IF([1]对账明细接口!$U423=0,"",[1]对账明细接口!$U423),"")</f>
      </c>
      <c r="AA423" s="213">
        <f>IFERROR(IF([1]对账明细接口!$V423=0,"",[1]对账明细接口!$V423),"")</f>
      </c>
      <c r="AB423" s="20">
        <f>IFERROR(IF([1]对账明细接口!$W423=0,"",[1]对账明细接口!$W423),"")</f>
      </c>
      <c r="AC423" s="7">
        <f>IFERROR(IF([1]对账明细接口!$X423=0,"",[1]对账明细接口!$X423),"")</f>
      </c>
      <c r="AD423" s="7">
        <f>IFERROR(IF([1]对账明细接口!$Y423=0,"",[1]对账明细接口!$Y423),"")</f>
      </c>
      <c r="AE423" s="7">
        <f>IFERROR(IF([1]对账明细接口!$AA423=0,"",[1]对账明细接口!$AA423),"")</f>
      </c>
      <c r="AF423" s="7">
        <f>IFERROR(IF([1]对账明细接口!$AB423=0,"",[1]对账明细接口!$AB423),"")</f>
      </c>
      <c r="AG423" s="7">
        <f>IFERROR(IF([1]对账明细接口!$AC423=0,"",[1]对账明细接口!$AC423),"")</f>
      </c>
      <c r="AH423" s="7">
        <f>IFERROR(IF([1]对账明细接口!$AD423=0,"",[1]对账明细接口!$AD423),"")</f>
      </c>
      <c r="AI423" s="7">
        <f>IFERROR(IF([1]对账明细接口!$AE423=0,"",[1]对账明细接口!$AE423),"")</f>
      </c>
      <c r="AJ423" s="7">
        <f>IFERROR(IF([1]对账明细接口!$AF423=0,"",[1]对账明细接口!$AF423),"")</f>
      </c>
    </row>
    <row r="424" ht="14.25" customHeight="1" s="127">
      <c r="A424" s="14" t="n">
        <v>424</v>
      </c>
      <c r="B424" s="211">
        <f>IFERROR(IF([1]对账明细接口!$B$424=0,"",[1]对账明细接口!$B$424),"")</f>
        <v>46289.0</v>
      </c>
      <c r="C424" s="16" t="str">
        <f>IFERROR(IF([1]对账明细接口!$C$424=0,"",[1]对账明细接口!$C$424),"")</f>
        <v>阿布都</v>
      </c>
      <c r="D424" s="16" t="str">
        <f>IFERROR(IF([1]对账明细接口!$D$424=0,"",[1]对账明细接口!$D$424),"")</f>
        <v>原料入库</v>
      </c>
      <c r="E424" s="16" t="str">
        <f>IFERROR(IF([1]对账明细接口!$E$424=0,"",[1]对账明细接口!$E$424),"")</f>
        <v>NO:0000974</v>
      </c>
      <c r="F424" s="16" t="str">
        <f>IFERROR(IF([1]对账明细接口!$F$424=0,"",[1]对账明细接口!$F$424),"")</f>
        <v>香梨</v>
      </c>
      <c r="G424" s="16" t="str">
        <f>IFERROR(IF([1]对账明细接口!$G$424=0,"",[1]对账明细接口!$G$424),"")</f>
        <v>香梨特级</v>
      </c>
      <c r="H424" s="176">
        <f>IFERROR(IF([1]对账明细接口!$H$424=0,"",[1]对账明细接口!$H$424),"")</f>
        <v>151</v>
      </c>
      <c r="I424" s="16" t="str">
        <f>IFERROR(IF([1]对账明细接口!$I$424=0,"",[1]对账明细接口!$I$424),"")</f>
        <v>筐</v>
      </c>
      <c r="J424" s="177">
        <f>IFERROR(IF([1]对账明细接口!$J$424=0,"",[1]对账明细接口!$J$424),"")</f>
        <v>2763.3</v>
      </c>
      <c r="K424" s="177">
        <f>IFERROR(IF([1]对账明细接口!$K$424=0,"",[1]对账明细接口!$K$424),"")</f>
      </c>
      <c r="L424" s="16">
        <f>IFERROR(IF([1]对账明细接口!$L$424=0,"",[1]对账明细接口!$L$424),"")</f>
      </c>
      <c r="M424" s="16" t="str">
        <f>IFERROR(IF([1]对账明细接口!$M$424=0,"",[1]对账明细接口!$M$424),"")</f>
        <v>努尔敦/二黄</v>
      </c>
      <c r="N424" s="19">
        <f>IF($C424="",0,1)</f>
        <v>1</v>
      </c>
      <c r="O424" s="19">
        <f>N(O423)+$N424</f>
        <v>421</v>
      </c>
      <c r="S424" s="20" t="str">
        <f>IFERROR(IF([1]对账明细接口!$N424=0,"",[1]对账明细接口!$N424),"")</f>
        <v>公司红周转筐</v>
      </c>
      <c r="T424" s="212">
        <f>IFERROR(IF([1]对账明细接口!$O424=0,"",[1]对账明细接口!$O424),"")</f>
      </c>
      <c r="U424" s="212">
        <f>IFERROR(IF([1]对账明细接口!$P424=0,"",[1]对账明细接口!$P424),"")</f>
      </c>
      <c r="V424" s="212">
        <f>IFERROR(IF([1]对账明细接口!$Q424=0,"",[1]对账明细接口!$Q424),"")</f>
        <v>151</v>
      </c>
      <c r="W424" s="20" t="str">
        <f>IFERROR(IF([1]对账明细接口!$R424=0,"",[1]对账明细接口!$R424),"")</f>
        <v>新N*F0M01</v>
      </c>
      <c r="X424" s="20" t="str">
        <f>IFERROR(IF([1]对账明细接口!$S424=0,"",[1]对账明细接口!$S424),"")</f>
        <v>公司筐</v>
      </c>
      <c r="Y424" s="20">
        <f>IFERROR(IF([1]对账明细接口!$T424=0,"",[1]对账明细接口!$T424),"")</f>
      </c>
      <c r="Z424" s="213">
        <f>IFERROR(IF([1]对账明细接口!$U424=0,"",[1]对账明细接口!$U424),"")</f>
      </c>
      <c r="AA424" s="213">
        <f>IFERROR(IF([1]对账明细接口!$V424=0,"",[1]对账明细接口!$V424),"")</f>
      </c>
      <c r="AB424" s="20">
        <f>IFERROR(IF([1]对账明细接口!$W424=0,"",[1]对账明细接口!$W424),"")</f>
      </c>
      <c r="AC424" s="7">
        <f>IFERROR(IF([1]对账明细接口!$X424=0,"",[1]对账明细接口!$X424),"")</f>
      </c>
      <c r="AD424" s="7">
        <f>IFERROR(IF([1]对账明细接口!$Y424=0,"",[1]对账明细接口!$Y424),"")</f>
      </c>
      <c r="AE424" s="7">
        <f>IFERROR(IF([1]对账明细接口!$AA424=0,"",[1]对账明细接口!$AA424),"")</f>
      </c>
      <c r="AF424" s="7">
        <f>IFERROR(IF([1]对账明细接口!$AB424=0,"",[1]对账明细接口!$AB424),"")</f>
      </c>
      <c r="AG424" s="7">
        <f>IFERROR(IF([1]对账明细接口!$AC424=0,"",[1]对账明细接口!$AC424),"")</f>
      </c>
      <c r="AH424" s="7">
        <f>IFERROR(IF([1]对账明细接口!$AD424=0,"",[1]对账明细接口!$AD424),"")</f>
      </c>
      <c r="AI424" s="7">
        <f>IFERROR(IF([1]对账明细接口!$AE424=0,"",[1]对账明细接口!$AE424),"")</f>
      </c>
      <c r="AJ424" s="7">
        <f>IFERROR(IF([1]对账明细接口!$AF424=0,"",[1]对账明细接口!$AF424),"")</f>
      </c>
    </row>
    <row r="425" ht="14.25" customHeight="1" s="127">
      <c r="A425" s="14" t="n">
        <v>425</v>
      </c>
      <c r="B425" s="211">
        <f>IFERROR(IF([1]对账明细接口!$B$425=0,"",[1]对账明细接口!$B$425),"")</f>
        <v>46289.0</v>
      </c>
      <c r="C425" s="16" t="str">
        <f>IFERROR(IF([1]对账明细接口!$C$425=0,"",[1]对账明细接口!$C$425),"")</f>
        <v>阿布都</v>
      </c>
      <c r="D425" s="16" t="str">
        <f>IFERROR(IF([1]对账明细接口!$D$425=0,"",[1]对账明细接口!$D$425),"")</f>
        <v>原料入库</v>
      </c>
      <c r="E425" s="16" t="str">
        <f>IFERROR(IF([1]对账明细接口!$E$425=0,"",[1]对账明细接口!$E$425),"")</f>
        <v>NO:0000974</v>
      </c>
      <c r="F425" s="16" t="str">
        <f>IFERROR(IF([1]对账明细接口!$F$425=0,"",[1]对账明细接口!$F$425),"")</f>
        <v>香梨</v>
      </c>
      <c r="G425" s="16" t="str">
        <f>IFERROR(IF([1]对账明细接口!$G$425=0,"",[1]对账明细接口!$G$425),"")</f>
        <v>香梨一级</v>
      </c>
      <c r="H425" s="176">
        <f>IFERROR(IF([1]对账明细接口!$H$425=0,"",[1]对账明细接口!$H$425),"")</f>
        <v>40</v>
      </c>
      <c r="I425" s="16" t="str">
        <f>IFERROR(IF([1]对账明细接口!$I$425=0,"",[1]对账明细接口!$I$425),"")</f>
        <v>筐</v>
      </c>
      <c r="J425" s="177">
        <f>IFERROR(IF([1]对账明细接口!$J$425=0,"",[1]对账明细接口!$J$425),"")</f>
        <v>732</v>
      </c>
      <c r="K425" s="177">
        <f>IFERROR(IF([1]对账明细接口!$K$425=0,"",[1]对账明细接口!$K$425),"")</f>
      </c>
      <c r="L425" s="16">
        <f>IFERROR(IF([1]对账明细接口!$L$425=0,"",[1]对账明细接口!$L$425),"")</f>
      </c>
      <c r="M425" s="16" t="str">
        <f>IFERROR(IF([1]对账明细接口!$M$425=0,"",[1]对账明细接口!$M$425),"")</f>
        <v>努尔敦/二黄</v>
      </c>
      <c r="N425" s="19">
        <f>IF($C425="",0,1)</f>
        <v>1</v>
      </c>
      <c r="O425" s="19">
        <f>N(O424)+$N425</f>
        <v>422</v>
      </c>
      <c r="S425" s="20" t="str">
        <f>IFERROR(IF([1]对账明细接口!$N425=0,"",[1]对账明细接口!$N425),"")</f>
        <v>公司红周转筐</v>
      </c>
      <c r="T425" s="212">
        <f>IFERROR(IF([1]对账明细接口!$O425=0,"",[1]对账明细接口!$O425),"")</f>
      </c>
      <c r="U425" s="212">
        <f>IFERROR(IF([1]对账明细接口!$P425=0,"",[1]对账明细接口!$P425),"")</f>
      </c>
      <c r="V425" s="212">
        <f>IFERROR(IF([1]对账明细接口!$Q425=0,"",[1]对账明细接口!$Q425),"")</f>
        <v>40</v>
      </c>
      <c r="W425" s="20" t="str">
        <f>IFERROR(IF([1]对账明细接口!$R425=0,"",[1]对账明细接口!$R425),"")</f>
        <v>新N*F0M01</v>
      </c>
      <c r="X425" s="20" t="str">
        <f>IFERROR(IF([1]对账明细接口!$S425=0,"",[1]对账明细接口!$S425),"")</f>
        <v>公司筐</v>
      </c>
      <c r="Y425" s="20">
        <f>IFERROR(IF([1]对账明细接口!$T425=0,"",[1]对账明细接口!$T425),"")</f>
      </c>
      <c r="Z425" s="213">
        <f>IFERROR(IF([1]对账明细接口!$U425=0,"",[1]对账明细接口!$U425),"")</f>
      </c>
      <c r="AA425" s="213">
        <f>IFERROR(IF([1]对账明细接口!$V425=0,"",[1]对账明细接口!$V425),"")</f>
      </c>
      <c r="AB425" s="20">
        <f>IFERROR(IF([1]对账明细接口!$W425=0,"",[1]对账明细接口!$W425),"")</f>
      </c>
      <c r="AC425" s="7">
        <f>IFERROR(IF([1]对账明细接口!$X425=0,"",[1]对账明细接口!$X425),"")</f>
      </c>
      <c r="AD425" s="7">
        <f>IFERROR(IF([1]对账明细接口!$Y425=0,"",[1]对账明细接口!$Y425),"")</f>
      </c>
      <c r="AE425" s="7">
        <f>IFERROR(IF([1]对账明细接口!$AA425=0,"",[1]对账明细接口!$AA425),"")</f>
      </c>
      <c r="AF425" s="7">
        <f>IFERROR(IF([1]对账明细接口!$AB425=0,"",[1]对账明细接口!$AB425),"")</f>
      </c>
      <c r="AG425" s="7">
        <f>IFERROR(IF([1]对账明细接口!$AC425=0,"",[1]对账明细接口!$AC425),"")</f>
      </c>
      <c r="AH425" s="7">
        <f>IFERROR(IF([1]对账明细接口!$AD425=0,"",[1]对账明细接口!$AD425),"")</f>
      </c>
      <c r="AI425" s="7">
        <f>IFERROR(IF([1]对账明细接口!$AE425=0,"",[1]对账明细接口!$AE425),"")</f>
      </c>
      <c r="AJ425" s="7">
        <f>IFERROR(IF([1]对账明细接口!$AF425=0,"",[1]对账明细接口!$AF425),"")</f>
      </c>
    </row>
    <row r="426" ht="14.25" customHeight="1" s="127">
      <c r="A426" s="14" t="n">
        <v>426</v>
      </c>
      <c r="B426" s="211">
        <f>IFERROR(IF([1]对账明细接口!$B$426=0,"",[1]对账明细接口!$B$426),"")</f>
        <v>46289.0</v>
      </c>
      <c r="C426" s="16" t="str">
        <f>IFERROR(IF([1]对账明细接口!$C$426=0,"",[1]对账明细接口!$C$426),"")</f>
        <v>阿布都</v>
      </c>
      <c r="D426" s="16" t="str">
        <f>IFERROR(IF([1]对账明细接口!$D$426=0,"",[1]对账明细接口!$D$426),"")</f>
        <v>原料入库</v>
      </c>
      <c r="E426" s="16" t="str">
        <f>IFERROR(IF([1]对账明细接口!$E$426=0,"",[1]对账明细接口!$E$426),"")</f>
        <v>NO:0000974</v>
      </c>
      <c r="F426" s="16" t="str">
        <f>IFERROR(IF([1]对账明细接口!$F$426=0,"",[1]对账明细接口!$F$426),"")</f>
        <v>香梨</v>
      </c>
      <c r="G426" s="16" t="str">
        <f>IFERROR(IF([1]对账明细接口!$G$426=0,"",[1]对账明细接口!$G$426),"")</f>
        <v>香梨副特</v>
      </c>
      <c r="H426" s="176">
        <f>IFERROR(IF([1]对账明细接口!$H$426=0,"",[1]对账明细接口!$H$426),"")</f>
        <v>117</v>
      </c>
      <c r="I426" s="16" t="str">
        <f>IFERROR(IF([1]对账明细接口!$I$426=0,"",[1]对账明细接口!$I$426),"")</f>
        <v>筐</v>
      </c>
      <c r="J426" s="177">
        <f>IFERROR(IF([1]对账明细接口!$J$426=0,"",[1]对账明细接口!$J$426),"")</f>
        <v>2141.1</v>
      </c>
      <c r="K426" s="177">
        <f>IFERROR(IF([1]对账明细接口!$K$426=0,"",[1]对账明细接口!$K$426),"")</f>
      </c>
      <c r="L426" s="16">
        <f>IFERROR(IF([1]对账明细接口!$L$426=0,"",[1]对账明细接口!$L$426),"")</f>
      </c>
      <c r="M426" s="16" t="str">
        <f>IFERROR(IF([1]对账明细接口!$M$426=0,"",[1]对账明细接口!$M$426),"")</f>
        <v>努尔敦/二黄</v>
      </c>
      <c r="N426" s="19">
        <f>IF($C426="",0,1)</f>
        <v>1</v>
      </c>
      <c r="O426" s="19">
        <f>N(O425)+$N426</f>
        <v>423</v>
      </c>
      <c r="S426" s="20" t="str">
        <f>IFERROR(IF([1]对账明细接口!$N426=0,"",[1]对账明细接口!$N426),"")</f>
        <v>公司红周转筐</v>
      </c>
      <c r="T426" s="212">
        <f>IFERROR(IF([1]对账明细接口!$O426=0,"",[1]对账明细接口!$O426),"")</f>
      </c>
      <c r="U426" s="212">
        <f>IFERROR(IF([1]对账明细接口!$P426=0,"",[1]对账明细接口!$P426),"")</f>
      </c>
      <c r="V426" s="212">
        <f>IFERROR(IF([1]对账明细接口!$Q426=0,"",[1]对账明细接口!$Q426),"")</f>
        <v>117</v>
      </c>
      <c r="W426" s="20" t="str">
        <f>IFERROR(IF([1]对账明细接口!$R426=0,"",[1]对账明细接口!$R426),"")</f>
        <v>新N*F0M01</v>
      </c>
      <c r="X426" s="20" t="str">
        <f>IFERROR(IF([1]对账明细接口!$S426=0,"",[1]对账明细接口!$S426),"")</f>
        <v>公司筐</v>
      </c>
      <c r="Y426" s="20">
        <f>IFERROR(IF([1]对账明细接口!$T426=0,"",[1]对账明细接口!$T426),"")</f>
      </c>
      <c r="Z426" s="213">
        <f>IFERROR(IF([1]对账明细接口!$U426=0,"",[1]对账明细接口!$U426),"")</f>
      </c>
      <c r="AA426" s="213">
        <f>IFERROR(IF([1]对账明细接口!$V426=0,"",[1]对账明细接口!$V426),"")</f>
      </c>
      <c r="AB426" s="20">
        <f>IFERROR(IF([1]对账明细接口!$W426=0,"",[1]对账明细接口!$W426),"")</f>
      </c>
      <c r="AC426" s="7">
        <f>IFERROR(IF([1]对账明细接口!$X426=0,"",[1]对账明细接口!$X426),"")</f>
      </c>
      <c r="AD426" s="7">
        <f>IFERROR(IF([1]对账明细接口!$Y426=0,"",[1]对账明细接口!$Y426),"")</f>
      </c>
      <c r="AE426" s="7">
        <f>IFERROR(IF([1]对账明细接口!$AA426=0,"",[1]对账明细接口!$AA426),"")</f>
      </c>
      <c r="AF426" s="7">
        <f>IFERROR(IF([1]对账明细接口!$AB426=0,"",[1]对账明细接口!$AB426),"")</f>
      </c>
      <c r="AG426" s="7">
        <f>IFERROR(IF([1]对账明细接口!$AC426=0,"",[1]对账明细接口!$AC426),"")</f>
      </c>
      <c r="AH426" s="7">
        <f>IFERROR(IF([1]对账明细接口!$AD426=0,"",[1]对账明细接口!$AD426),"")</f>
      </c>
      <c r="AI426" s="7">
        <f>IFERROR(IF([1]对账明细接口!$AE426=0,"",[1]对账明细接口!$AE426),"")</f>
      </c>
      <c r="AJ426" s="7">
        <f>IFERROR(IF([1]对账明细接口!$AF426=0,"",[1]对账明细接口!$AF426),"")</f>
      </c>
    </row>
    <row r="427" ht="14.25" customHeight="1" s="127">
      <c r="A427" s="14" t="n">
        <v>427</v>
      </c>
      <c r="B427" s="211">
        <f>IFERROR(IF([1]对账明细接口!$B$427=0,"",[1]对账明细接口!$B$427),"")</f>
        <v>46289.0</v>
      </c>
      <c r="C427" s="16" t="str">
        <f>IFERROR(IF([1]对账明细接口!$C$427=0,"",[1]对账明细接口!$C$427),"")</f>
        <v>热合曼+艾则孜</v>
      </c>
      <c r="D427" s="16" t="str">
        <f>IFERROR(IF([1]对账明细接口!$D$427=0,"",[1]对账明细接口!$D$427),"")</f>
        <v>原料入库</v>
      </c>
      <c r="E427" s="16" t="str">
        <f>IFERROR(IF([1]对账明细接口!$E$427=0,"",[1]对账明细接口!$E$427),"")</f>
        <v>NO:0000975</v>
      </c>
      <c r="F427" s="16" t="str">
        <f>IFERROR(IF([1]对账明细接口!$F$427=0,"",[1]对账明细接口!$F$427),"")</f>
        <v>香梨</v>
      </c>
      <c r="G427" s="16" t="str">
        <f>IFERROR(IF([1]对账明细接口!$G$427=0,"",[1]对账明细接口!$G$427),"")</f>
        <v>香梨一级</v>
      </c>
      <c r="H427" s="176">
        <f>IFERROR(IF([1]对账明细接口!$H$427=0,"",[1]对账明细接口!$H$427),"")</f>
        <v>425</v>
      </c>
      <c r="I427" s="16" t="str">
        <f>IFERROR(IF([1]对账明细接口!$I$427=0,"",[1]对账明细接口!$I$427),"")</f>
        <v>筐</v>
      </c>
      <c r="J427" s="177">
        <f>IFERROR(IF([1]对账明细接口!$J$427=0,"",[1]对账明细接口!$J$427),"")</f>
        <v>7777.5</v>
      </c>
      <c r="K427" s="177">
        <f>IFERROR(IF([1]对账明细接口!$K$427=0,"",[1]对账明细接口!$K$427),"")</f>
      </c>
      <c r="L427" s="16">
        <f>IFERROR(IF([1]对账明细接口!$L$427=0,"",[1]对账明细接口!$L$427),"")</f>
      </c>
      <c r="M427" s="16" t="str">
        <f>IFERROR(IF([1]对账明细接口!$M$427=0,"",[1]对账明细接口!$M$427),"")</f>
        <v>热合曼合伙/二黄</v>
      </c>
      <c r="N427" s="19">
        <f>IF($C427="",0,1)</f>
        <v>1</v>
      </c>
      <c r="O427" s="19">
        <f>N(O426)+$N427</f>
        <v>424</v>
      </c>
      <c r="S427" s="20" t="str">
        <f>IFERROR(IF([1]对账明细接口!$N427=0,"",[1]对账明细接口!$N427),"")</f>
        <v>公司红周转筐</v>
      </c>
      <c r="T427" s="212">
        <f>IFERROR(IF([1]对账明细接口!$O427=0,"",[1]对账明细接口!$O427),"")</f>
      </c>
      <c r="U427" s="212">
        <f>IFERROR(IF([1]对账明细接口!$P427=0,"",[1]对账明细接口!$P427),"")</f>
      </c>
      <c r="V427" s="212">
        <f>IFERROR(IF([1]对账明细接口!$Q427=0,"",[1]对账明细接口!$Q427),"")</f>
        <v>425</v>
      </c>
      <c r="W427" s="20" t="str">
        <f>IFERROR(IF([1]对账明细接口!$R427=0,"",[1]对账明细接口!$R427),"")</f>
        <v>新R*37010</v>
      </c>
      <c r="X427" s="20" t="str">
        <f>IFERROR(IF([1]对账明细接口!$S427=0,"",[1]对账明细接口!$S427),"")</f>
        <v>公司筐</v>
      </c>
      <c r="Y427" s="20">
        <f>IFERROR(IF([1]对账明细接口!$T427=0,"",[1]对账明细接口!$T427),"")</f>
      </c>
      <c r="Z427" s="213">
        <f>IFERROR(IF([1]对账明细接口!$U427=0,"",[1]对账明细接口!$U427),"")</f>
      </c>
      <c r="AA427" s="213">
        <f>IFERROR(IF([1]对账明细接口!$V427=0,"",[1]对账明细接口!$V427),"")</f>
      </c>
      <c r="AB427" s="20">
        <f>IFERROR(IF([1]对账明细接口!$W427=0,"",[1]对账明细接口!$W427),"")</f>
      </c>
      <c r="AC427" s="7">
        <f>IFERROR(IF([1]对账明细接口!$X427=0,"",[1]对账明细接口!$X427),"")</f>
      </c>
      <c r="AD427" s="7">
        <f>IFERROR(IF([1]对账明细接口!$Y427=0,"",[1]对账明细接口!$Y427),"")</f>
      </c>
      <c r="AE427" s="7">
        <f>IFERROR(IF([1]对账明细接口!$AA427=0,"",[1]对账明细接口!$AA427),"")</f>
      </c>
      <c r="AF427" s="7">
        <f>IFERROR(IF([1]对账明细接口!$AB427=0,"",[1]对账明细接口!$AB427),"")</f>
      </c>
      <c r="AG427" s="7">
        <f>IFERROR(IF([1]对账明细接口!$AC427=0,"",[1]对账明细接口!$AC427),"")</f>
      </c>
      <c r="AH427" s="7">
        <f>IFERROR(IF([1]对账明细接口!$AD427=0,"",[1]对账明细接口!$AD427),"")</f>
      </c>
      <c r="AI427" s="7">
        <f>IFERROR(IF([1]对账明细接口!$AE427=0,"",[1]对账明细接口!$AE427),"")</f>
      </c>
      <c r="AJ427" s="7">
        <f>IFERROR(IF([1]对账明细接口!$AF427=0,"",[1]对账明细接口!$AF427),"")</f>
      </c>
    </row>
    <row r="428" ht="14.25" customHeight="1" s="127">
      <c r="A428" s="14" t="n">
        <v>428</v>
      </c>
      <c r="B428" s="211">
        <f>IFERROR(IF([1]对账明细接口!$B$428=0,"",[1]对账明细接口!$B$428),"")</f>
        <v>46289.0</v>
      </c>
      <c r="C428" s="16" t="str">
        <f>IFERROR(IF([1]对账明细接口!$C$428=0,"",[1]对账明细接口!$C$428),"")</f>
        <v>热合曼+艾则孜</v>
      </c>
      <c r="D428" s="16" t="str">
        <f>IFERROR(IF([1]对账明细接口!$D$428=0,"",[1]对账明细接口!$D$428),"")</f>
        <v>原料入库</v>
      </c>
      <c r="E428" s="16" t="str">
        <f>IFERROR(IF([1]对账明细接口!$E$428=0,"",[1]对账明细接口!$E$428),"")</f>
        <v>NO:0000975</v>
      </c>
      <c r="F428" s="16" t="str">
        <f>IFERROR(IF([1]对账明细接口!$F$428=0,"",[1]对账明细接口!$F$428),"")</f>
        <v>香梨</v>
      </c>
      <c r="G428" s="16" t="str">
        <f>IFERROR(IF([1]对账明细接口!$G$428=0,"",[1]对账明细接口!$G$428),"")</f>
        <v>香梨二级</v>
      </c>
      <c r="H428" s="176">
        <f>IFERROR(IF([1]对账明细接口!$H$428=0,"",[1]对账明细接口!$H$428),"")</f>
        <v>197</v>
      </c>
      <c r="I428" s="16" t="str">
        <f>IFERROR(IF([1]对账明细接口!$I$428=0,"",[1]对账明细接口!$I$428),"")</f>
        <v>筐</v>
      </c>
      <c r="J428" s="177">
        <f>IFERROR(IF([1]对账明细接口!$J$428=0,"",[1]对账明细接口!$J$428),"")</f>
        <v>4393.1</v>
      </c>
      <c r="K428" s="177">
        <f>IFERROR(IF([1]对账明细接口!$K$428=0,"",[1]对账明细接口!$K$428),"")</f>
      </c>
      <c r="L428" s="16">
        <f>IFERROR(IF([1]对账明细接口!$L$428=0,"",[1]对账明细接口!$L$428),"")</f>
      </c>
      <c r="M428" s="16" t="str">
        <f>IFERROR(IF([1]对账明细接口!$M$428=0,"",[1]对账明细接口!$M$428),"")</f>
        <v>热合曼合伙/二黄</v>
      </c>
      <c r="N428" s="19">
        <f>IF($C428="",0,1)</f>
        <v>1</v>
      </c>
      <c r="O428" s="19">
        <f>N(O427)+$N428</f>
        <v>425</v>
      </c>
      <c r="S428" s="20" t="str">
        <f>IFERROR(IF([1]对账明细接口!$N428=0,"",[1]对账明细接口!$N428),"")</f>
        <v>公司红周转筐</v>
      </c>
      <c r="T428" s="212">
        <f>IFERROR(IF([1]对账明细接口!$O428=0,"",[1]对账明细接口!$O428),"")</f>
      </c>
      <c r="U428" s="212">
        <f>IFERROR(IF([1]对账明细接口!$P428=0,"",[1]对账明细接口!$P428),"")</f>
      </c>
      <c r="V428" s="212">
        <f>IFERROR(IF([1]对账明细接口!$Q428=0,"",[1]对账明细接口!$Q428),"")</f>
        <v>197</v>
      </c>
      <c r="W428" s="20" t="str">
        <f>IFERROR(IF([1]对账明细接口!$R428=0,"",[1]对账明细接口!$R428),"")</f>
        <v>新R*37010</v>
      </c>
      <c r="X428" s="20" t="str">
        <f>IFERROR(IF([1]对账明细接口!$S428=0,"",[1]对账明细接口!$S428),"")</f>
        <v>公司筐</v>
      </c>
      <c r="Y428" s="20">
        <f>IFERROR(IF([1]对账明细接口!$T428=0,"",[1]对账明细接口!$T428),"")</f>
      </c>
      <c r="Z428" s="213">
        <f>IFERROR(IF([1]对账明细接口!$U428=0,"",[1]对账明细接口!$U428),"")</f>
      </c>
      <c r="AA428" s="213">
        <f>IFERROR(IF([1]对账明细接口!$V428=0,"",[1]对账明细接口!$V428),"")</f>
      </c>
      <c r="AB428" s="20">
        <f>IFERROR(IF([1]对账明细接口!$W428=0,"",[1]对账明细接口!$W428),"")</f>
      </c>
      <c r="AC428" s="7">
        <f>IFERROR(IF([1]对账明细接口!$X428=0,"",[1]对账明细接口!$X428),"")</f>
      </c>
      <c r="AD428" s="7">
        <f>IFERROR(IF([1]对账明细接口!$Y428=0,"",[1]对账明细接口!$Y428),"")</f>
      </c>
      <c r="AE428" s="7">
        <f>IFERROR(IF([1]对账明细接口!$AA428=0,"",[1]对账明细接口!$AA428),"")</f>
      </c>
      <c r="AF428" s="7">
        <f>IFERROR(IF([1]对账明细接口!$AB428=0,"",[1]对账明细接口!$AB428),"")</f>
      </c>
      <c r="AG428" s="7">
        <f>IFERROR(IF([1]对账明细接口!$AC428=0,"",[1]对账明细接口!$AC428),"")</f>
      </c>
      <c r="AH428" s="7">
        <f>IFERROR(IF([1]对账明细接口!$AD428=0,"",[1]对账明细接口!$AD428),"")</f>
      </c>
      <c r="AI428" s="7">
        <f>IFERROR(IF([1]对账明细接口!$AE428=0,"",[1]对账明细接口!$AE428),"")</f>
      </c>
      <c r="AJ428" s="7">
        <f>IFERROR(IF([1]对账明细接口!$AF428=0,"",[1]对账明细接口!$AF428),"")</f>
      </c>
    </row>
    <row r="429" ht="14.25" customHeight="1" s="127">
      <c r="A429" s="14" t="n">
        <v>429</v>
      </c>
      <c r="B429" s="211">
        <f>IFERROR(IF([1]对账明细接口!$B$429=0,"",[1]对账明细接口!$B$429),"")</f>
        <v>46289.0</v>
      </c>
      <c r="C429" s="16" t="str">
        <f>IFERROR(IF([1]对账明细接口!$C$429=0,"",[1]对账明细接口!$C$429),"")</f>
        <v>热合曼+艾则孜</v>
      </c>
      <c r="D429" s="16" t="str">
        <f>IFERROR(IF([1]对账明细接口!$D$429=0,"",[1]对账明细接口!$D$429),"")</f>
        <v>原料入库</v>
      </c>
      <c r="E429" s="16" t="str">
        <f>IFERROR(IF([1]对账明细接口!$E$429=0,"",[1]对账明细接口!$E$429),"")</f>
        <v>NO:0000975</v>
      </c>
      <c r="F429" s="16" t="str">
        <f>IFERROR(IF([1]对账明细接口!$F$429=0,"",[1]对账明细接口!$F$429),"")</f>
        <v>香梨</v>
      </c>
      <c r="G429" s="16" t="str">
        <f>IFERROR(IF([1]对账明细接口!$G$429=0,"",[1]对账明细接口!$G$429),"")</f>
        <v>香梨副特</v>
      </c>
      <c r="H429" s="176">
        <f>IFERROR(IF([1]对账明细接口!$H$429=0,"",[1]对账明细接口!$H$429),"")</f>
        <v>32</v>
      </c>
      <c r="I429" s="16" t="str">
        <f>IFERROR(IF([1]对账明细接口!$I$429=0,"",[1]对账明细接口!$I$429),"")</f>
        <v>筐</v>
      </c>
      <c r="J429" s="177">
        <f>IFERROR(IF([1]对账明细接口!$J$429=0,"",[1]对账明细接口!$J$429),"")</f>
        <v>585.6</v>
      </c>
      <c r="K429" s="177">
        <f>IFERROR(IF([1]对账明细接口!$K$429=0,"",[1]对账明细接口!$K$429),"")</f>
      </c>
      <c r="L429" s="16">
        <f>IFERROR(IF([1]对账明细接口!$L$429=0,"",[1]对账明细接口!$L$429),"")</f>
      </c>
      <c r="M429" s="16" t="str">
        <f>IFERROR(IF([1]对账明细接口!$M$429=0,"",[1]对账明细接口!$M$429),"")</f>
        <v>热合曼合伙/二黄</v>
      </c>
      <c r="N429" s="19">
        <f>IF($C429="",0,1)</f>
        <v>1</v>
      </c>
      <c r="O429" s="19">
        <f>N(O428)+$N429</f>
        <v>426</v>
      </c>
      <c r="S429" s="20" t="str">
        <f>IFERROR(IF([1]对账明细接口!$N429=0,"",[1]对账明细接口!$N429),"")</f>
        <v>公司红周转筐</v>
      </c>
      <c r="T429" s="212">
        <f>IFERROR(IF([1]对账明细接口!$O429=0,"",[1]对账明细接口!$O429),"")</f>
      </c>
      <c r="U429" s="212">
        <f>IFERROR(IF([1]对账明细接口!$P429=0,"",[1]对账明细接口!$P429),"")</f>
      </c>
      <c r="V429" s="212">
        <f>IFERROR(IF([1]对账明细接口!$Q429=0,"",[1]对账明细接口!$Q429),"")</f>
        <v>32</v>
      </c>
      <c r="W429" s="20" t="str">
        <f>IFERROR(IF([1]对账明细接口!$R429=0,"",[1]对账明细接口!$R429),"")</f>
        <v>新R*37010</v>
      </c>
      <c r="X429" s="20" t="str">
        <f>IFERROR(IF([1]对账明细接口!$S429=0,"",[1]对账明细接口!$S429),"")</f>
        <v>公司筐</v>
      </c>
      <c r="Y429" s="20">
        <f>IFERROR(IF([1]对账明细接口!$T429=0,"",[1]对账明细接口!$T429),"")</f>
      </c>
      <c r="Z429" s="213">
        <f>IFERROR(IF([1]对账明细接口!$U429=0,"",[1]对账明细接口!$U429),"")</f>
      </c>
      <c r="AA429" s="213">
        <f>IFERROR(IF([1]对账明细接口!$V429=0,"",[1]对账明细接口!$V429),"")</f>
      </c>
      <c r="AB429" s="20">
        <f>IFERROR(IF([1]对账明细接口!$W429=0,"",[1]对账明细接口!$W429),"")</f>
      </c>
      <c r="AC429" s="7">
        <f>IFERROR(IF([1]对账明细接口!$X429=0,"",[1]对账明细接口!$X429),"")</f>
      </c>
      <c r="AD429" s="7">
        <f>IFERROR(IF([1]对账明细接口!$Y429=0,"",[1]对账明细接口!$Y429),"")</f>
      </c>
      <c r="AE429" s="7">
        <f>IFERROR(IF([1]对账明细接口!$AA429=0,"",[1]对账明细接口!$AA429),"")</f>
      </c>
      <c r="AF429" s="7">
        <f>IFERROR(IF([1]对账明细接口!$AB429=0,"",[1]对账明细接口!$AB429),"")</f>
      </c>
      <c r="AG429" s="7">
        <f>IFERROR(IF([1]对账明细接口!$AC429=0,"",[1]对账明细接口!$AC429),"")</f>
      </c>
      <c r="AH429" s="7">
        <f>IFERROR(IF([1]对账明细接口!$AD429=0,"",[1]对账明细接口!$AD429),"")</f>
      </c>
      <c r="AI429" s="7">
        <f>IFERROR(IF([1]对账明细接口!$AE429=0,"",[1]对账明细接口!$AE429),"")</f>
      </c>
      <c r="AJ429" s="7">
        <f>IFERROR(IF([1]对账明细接口!$AF429=0,"",[1]对账明细接口!$AF429),"")</f>
      </c>
    </row>
    <row r="430" ht="14.25" customHeight="1" s="127">
      <c r="A430" s="14" t="n">
        <v>430</v>
      </c>
      <c r="B430" s="211">
        <f>IFERROR(IF([1]对账明细接口!$B$430=0,"",[1]对账明细接口!$B$430),"")</f>
        <v>46290.0</v>
      </c>
      <c r="C430" s="16" t="str">
        <f>IFERROR(IF([1]对账明细接口!$C$430=0,"",[1]对账明细接口!$C$430),"")</f>
        <v>艾海提</v>
      </c>
      <c r="D430" s="16" t="str">
        <f>IFERROR(IF([1]对账明细接口!$D$430=0,"",[1]对账明细接口!$D$430),"")</f>
        <v>原料入库</v>
      </c>
      <c r="E430" s="16" t="str">
        <f>IFERROR(IF([1]对账明细接口!$E$430=0,"",[1]对账明细接口!$E$430),"")</f>
        <v>NO:0000978</v>
      </c>
      <c r="F430" s="16" t="str">
        <f>IFERROR(IF([1]对账明细接口!$F$430=0,"",[1]对账明细接口!$F$430),"")</f>
        <v>香梨</v>
      </c>
      <c r="G430" s="16" t="str">
        <f>IFERROR(IF([1]对账明细接口!$G$430=0,"",[1]对账明细接口!$G$430),"")</f>
        <v>香梨一级</v>
      </c>
      <c r="H430" s="176">
        <f>IFERROR(IF([1]对账明细接口!$H$430=0,"",[1]对账明细接口!$H$430),"")</f>
        <v>88</v>
      </c>
      <c r="I430" s="16" t="str">
        <f>IFERROR(IF([1]对账明细接口!$I$430=0,"",[1]对账明细接口!$I$430),"")</f>
        <v>筐</v>
      </c>
      <c r="J430" s="177">
        <f>IFERROR(IF([1]对账明细接口!$J$430=0,"",[1]对账明细接口!$J$430),"")</f>
        <v>1689.6</v>
      </c>
      <c r="K430" s="177">
        <f>IFERROR(IF([1]对账明细接口!$K$430=0,"",[1]对账明细接口!$K$430),"")</f>
      </c>
      <c r="L430" s="16">
        <f>IFERROR(IF([1]对账明细接口!$L$430=0,"",[1]对账明细接口!$L$430),"")</f>
      </c>
      <c r="M430" s="16">
        <f>IFERROR(IF([1]对账明细接口!$M$430=0,"",[1]对账明细接口!$M$430),"")</f>
      </c>
      <c r="N430" s="19">
        <f>IF($C430="",0,1)</f>
        <v>1</v>
      </c>
      <c r="O430" s="19">
        <f>N(O429)+$N430</f>
        <v>427</v>
      </c>
      <c r="S430" s="20" t="str">
        <f>IFERROR(IF([1]对账明细接口!$N430=0,"",[1]对账明细接口!$N430),"")</f>
        <v>公司红周转筐</v>
      </c>
      <c r="T430" s="212">
        <f>IFERROR(IF([1]对账明细接口!$O430=0,"",[1]对账明细接口!$O430),"")</f>
      </c>
      <c r="U430" s="212">
        <f>IFERROR(IF([1]对账明细接口!$P430=0,"",[1]对账明细接口!$P430),"")</f>
      </c>
      <c r="V430" s="212">
        <f>IFERROR(IF([1]对账明细接口!$Q430=0,"",[1]对账明细接口!$Q430),"")</f>
        <v>88</v>
      </c>
      <c r="W430" s="20" t="str">
        <f>IFERROR(IF([1]对账明细接口!$R430=0,"",[1]对账明细接口!$R430),"")</f>
        <v>新N*WX586</v>
      </c>
      <c r="X430" s="20" t="str">
        <f>IFERROR(IF([1]对账明细接口!$S430=0,"",[1]对账明细接口!$S430),"")</f>
        <v>公司筐</v>
      </c>
      <c r="Y430" s="20">
        <f>IFERROR(IF([1]对账明细接口!$T430=0,"",[1]对账明细接口!$T430),"")</f>
      </c>
      <c r="Z430" s="213">
        <f>IFERROR(IF([1]对账明细接口!$U430=0,"",[1]对账明细接口!$U430),"")</f>
      </c>
      <c r="AA430" s="213">
        <f>IFERROR(IF([1]对账明细接口!$V430=0,"",[1]对账明细接口!$V430),"")</f>
      </c>
      <c r="AB430" s="20">
        <f>IFERROR(IF([1]对账明细接口!$W430=0,"",[1]对账明细接口!$W430),"")</f>
      </c>
      <c r="AC430" s="7">
        <f>IFERROR(IF([1]对账明细接口!$X430=0,"",[1]对账明细接口!$X430),"")</f>
      </c>
      <c r="AD430" s="7">
        <f>IFERROR(IF([1]对账明细接口!$Y430=0,"",[1]对账明细接口!$Y430),"")</f>
      </c>
      <c r="AE430" s="7">
        <f>IFERROR(IF([1]对账明细接口!$AA430=0,"",[1]对账明细接口!$AA430),"")</f>
      </c>
      <c r="AF430" s="7">
        <f>IFERROR(IF([1]对账明细接口!$AB430=0,"",[1]对账明细接口!$AB430),"")</f>
      </c>
      <c r="AG430" s="7">
        <f>IFERROR(IF([1]对账明细接口!$AC430=0,"",[1]对账明细接口!$AC430),"")</f>
      </c>
      <c r="AH430" s="7">
        <f>IFERROR(IF([1]对账明细接口!$AD430=0,"",[1]对账明细接口!$AD430),"")</f>
      </c>
      <c r="AI430" s="7">
        <f>IFERROR(IF([1]对账明细接口!$AE430=0,"",[1]对账明细接口!$AE430),"")</f>
      </c>
      <c r="AJ430" s="7">
        <f>IFERROR(IF([1]对账明细接口!$AF430=0,"",[1]对账明细接口!$AF430),"")</f>
      </c>
    </row>
    <row r="431" ht="14.25" customHeight="1" s="127">
      <c r="A431" s="14" t="n">
        <v>431</v>
      </c>
      <c r="B431" s="211">
        <f>IFERROR(IF([1]对账明细接口!$B$431=0,"",[1]对账明细接口!$B$431),"")</f>
        <v>46290.0</v>
      </c>
      <c r="C431" s="16" t="str">
        <f>IFERROR(IF([1]对账明细接口!$C$431=0,"",[1]对账明细接口!$C$431),"")</f>
        <v>艾海提</v>
      </c>
      <c r="D431" s="16" t="str">
        <f>IFERROR(IF([1]对账明细接口!$D$431=0,"",[1]对账明细接口!$D$431),"")</f>
        <v>原料入库</v>
      </c>
      <c r="E431" s="16" t="str">
        <f>IFERROR(IF([1]对账明细接口!$E$431=0,"",[1]对账明细接口!$E$431),"")</f>
        <v>NO:0000978</v>
      </c>
      <c r="F431" s="16" t="str">
        <f>IFERROR(IF([1]对账明细接口!$F$431=0,"",[1]对账明细接口!$F$431),"")</f>
        <v>香梨</v>
      </c>
      <c r="G431" s="16" t="str">
        <f>IFERROR(IF([1]对账明细接口!$G$431=0,"",[1]对账明细接口!$G$431),"")</f>
        <v>香梨二级</v>
      </c>
      <c r="H431" s="176">
        <f>IFERROR(IF([1]对账明细接口!$H$431=0,"",[1]对账明细接口!$H$431),"")</f>
        <v>2</v>
      </c>
      <c r="I431" s="16" t="str">
        <f>IFERROR(IF([1]对账明细接口!$I$431=0,"",[1]对账明细接口!$I$431),"")</f>
        <v>筐</v>
      </c>
      <c r="J431" s="177">
        <f>IFERROR(IF([1]对账明细接口!$J$431=0,"",[1]对账明细接口!$J$431),"")</f>
        <v>44.4</v>
      </c>
      <c r="K431" s="177">
        <f>IFERROR(IF([1]对账明细接口!$K$431=0,"",[1]对账明细接口!$K$431),"")</f>
      </c>
      <c r="L431" s="16">
        <f>IFERROR(IF([1]对账明细接口!$L$431=0,"",[1]对账明细接口!$L$431),"")</f>
      </c>
      <c r="M431" s="16">
        <f>IFERROR(IF([1]对账明细接口!$M$431=0,"",[1]对账明细接口!$M$431),"")</f>
      </c>
      <c r="N431" s="19">
        <f>IF($C431="",0,1)</f>
        <v>1</v>
      </c>
      <c r="O431" s="19">
        <f>N(O430)+$N431</f>
        <v>428</v>
      </c>
      <c r="S431" s="20" t="str">
        <f>IFERROR(IF([1]对账明细接口!$N431=0,"",[1]对账明细接口!$N431),"")</f>
        <v>公司红周转筐</v>
      </c>
      <c r="T431" s="212">
        <f>IFERROR(IF([1]对账明细接口!$O431=0,"",[1]对账明细接口!$O431),"")</f>
      </c>
      <c r="U431" s="212">
        <f>IFERROR(IF([1]对账明细接口!$P431=0,"",[1]对账明细接口!$P431),"")</f>
      </c>
      <c r="V431" s="212">
        <f>IFERROR(IF([1]对账明细接口!$Q431=0,"",[1]对账明细接口!$Q431),"")</f>
        <v>2</v>
      </c>
      <c r="W431" s="20" t="str">
        <f>IFERROR(IF([1]对账明细接口!$R431=0,"",[1]对账明细接口!$R431),"")</f>
        <v>新N*WX586</v>
      </c>
      <c r="X431" s="20" t="str">
        <f>IFERROR(IF([1]对账明细接口!$S431=0,"",[1]对账明细接口!$S431),"")</f>
        <v>公司筐</v>
      </c>
      <c r="Y431" s="20">
        <f>IFERROR(IF([1]对账明细接口!$T431=0,"",[1]对账明细接口!$T431),"")</f>
      </c>
      <c r="Z431" s="213">
        <f>IFERROR(IF([1]对账明细接口!$U431=0,"",[1]对账明细接口!$U431),"")</f>
      </c>
      <c r="AA431" s="213">
        <f>IFERROR(IF([1]对账明细接口!$V431=0,"",[1]对账明细接口!$V431),"")</f>
      </c>
      <c r="AB431" s="20">
        <f>IFERROR(IF([1]对账明细接口!$W431=0,"",[1]对账明细接口!$W431),"")</f>
      </c>
      <c r="AC431" s="7">
        <f>IFERROR(IF([1]对账明细接口!$X431=0,"",[1]对账明细接口!$X431),"")</f>
      </c>
      <c r="AD431" s="7">
        <f>IFERROR(IF([1]对账明细接口!$Y431=0,"",[1]对账明细接口!$Y431),"")</f>
      </c>
      <c r="AE431" s="7">
        <f>IFERROR(IF([1]对账明细接口!$AA431=0,"",[1]对账明细接口!$AA431),"")</f>
      </c>
      <c r="AF431" s="7">
        <f>IFERROR(IF([1]对账明细接口!$AB431=0,"",[1]对账明细接口!$AB431),"")</f>
      </c>
      <c r="AG431" s="7">
        <f>IFERROR(IF([1]对账明细接口!$AC431=0,"",[1]对账明细接口!$AC431),"")</f>
      </c>
      <c r="AH431" s="7">
        <f>IFERROR(IF([1]对账明细接口!$AD431=0,"",[1]对账明细接口!$AD431),"")</f>
      </c>
      <c r="AI431" s="7">
        <f>IFERROR(IF([1]对账明细接口!$AE431=0,"",[1]对账明细接口!$AE431),"")</f>
      </c>
      <c r="AJ431" s="7">
        <f>IFERROR(IF([1]对账明细接口!$AF431=0,"",[1]对账明细接口!$AF431),"")</f>
      </c>
    </row>
    <row r="432" ht="14.25" customHeight="1" s="127">
      <c r="A432" s="14" t="n">
        <v>432</v>
      </c>
      <c r="B432" s="211">
        <f>IFERROR(IF([1]对账明细接口!$B$432=0,"",[1]对账明细接口!$B$432),"")</f>
        <v>46290.0</v>
      </c>
      <c r="C432" s="16" t="str">
        <f>IFERROR(IF([1]对账明细接口!$C$432=0,"",[1]对账明细接口!$C$432),"")</f>
        <v>艾海提</v>
      </c>
      <c r="D432" s="16" t="str">
        <f>IFERROR(IF([1]对账明细接口!$D$432=0,"",[1]对账明细接口!$D$432),"")</f>
        <v>原料入库</v>
      </c>
      <c r="E432" s="16" t="str">
        <f>IFERROR(IF([1]对账明细接口!$E$432=0,"",[1]对账明细接口!$E$432),"")</f>
        <v>NO:0000978</v>
      </c>
      <c r="F432" s="16" t="str">
        <f>IFERROR(IF([1]对账明细接口!$F$432=0,"",[1]对账明细接口!$F$432),"")</f>
        <v>香梨</v>
      </c>
      <c r="G432" s="16" t="str">
        <f>IFERROR(IF([1]对账明细接口!$G$432=0,"",[1]对账明细接口!$G$432),"")</f>
        <v>香梨副特</v>
      </c>
      <c r="H432" s="176">
        <f>IFERROR(IF([1]对账明细接口!$H$432=0,"",[1]对账明细接口!$H$432),"")</f>
        <v>88</v>
      </c>
      <c r="I432" s="16" t="str">
        <f>IFERROR(IF([1]对账明细接口!$I$432=0,"",[1]对账明细接口!$I$432),"")</f>
        <v>筐</v>
      </c>
      <c r="J432" s="177">
        <f>IFERROR(IF([1]对账明细接口!$J$432=0,"",[1]对账明细接口!$J$432),"")</f>
        <v>1689.6</v>
      </c>
      <c r="K432" s="177">
        <f>IFERROR(IF([1]对账明细接口!$K$432=0,"",[1]对账明细接口!$K$432),"")</f>
      </c>
      <c r="L432" s="16">
        <f>IFERROR(IF([1]对账明细接口!$L$432=0,"",[1]对账明细接口!$L$432),"")</f>
      </c>
      <c r="M432" s="16" t="str">
        <f>IFERROR(IF([1]对账明细接口!$M$432=0,"",[1]对账明细接口!$M$432),"")</f>
        <v>用了热合曼315-96=219个筐子</v>
      </c>
      <c r="N432" s="19">
        <f>IF($C432="",0,1)</f>
        <v>1</v>
      </c>
      <c r="O432" s="19">
        <f>N(O431)+$N432</f>
        <v>429</v>
      </c>
      <c r="S432" s="20" t="str">
        <f>IFERROR(IF([1]对账明细接口!$N432=0,"",[1]对账明细接口!$N432),"")</f>
        <v>公司红周转筐</v>
      </c>
      <c r="T432" s="212">
        <f>IFERROR(IF([1]对账明细接口!$O432=0,"",[1]对账明细接口!$O432),"")</f>
      </c>
      <c r="U432" s="212">
        <f>IFERROR(IF([1]对账明细接口!$P432=0,"",[1]对账明细接口!$P432),"")</f>
      </c>
      <c r="V432" s="212">
        <f>IFERROR(IF([1]对账明细接口!$Q432=0,"",[1]对账明细接口!$Q432),"")</f>
        <v>88</v>
      </c>
      <c r="W432" s="20" t="str">
        <f>IFERROR(IF([1]对账明细接口!$R432=0,"",[1]对账明细接口!$R432),"")</f>
        <v>新N*WX586</v>
      </c>
      <c r="X432" s="20" t="str">
        <f>IFERROR(IF([1]对账明细接口!$S432=0,"",[1]对账明细接口!$S432),"")</f>
        <v>公司筐</v>
      </c>
      <c r="Y432" s="20">
        <f>IFERROR(IF([1]对账明细接口!$T432=0,"",[1]对账明细接口!$T432),"")</f>
      </c>
      <c r="Z432" s="213">
        <f>IFERROR(IF([1]对账明细接口!$U432=0,"",[1]对账明细接口!$U432),"")</f>
      </c>
      <c r="AA432" s="213">
        <f>IFERROR(IF([1]对账明细接口!$V432=0,"",[1]对账明细接口!$V432),"")</f>
      </c>
      <c r="AB432" s="20">
        <f>IFERROR(IF([1]对账明细接口!$W432=0,"",[1]对账明细接口!$W432),"")</f>
      </c>
      <c r="AC432" s="7">
        <f>IFERROR(IF([1]对账明细接口!$X432=0,"",[1]对账明细接口!$X432),"")</f>
      </c>
      <c r="AD432" s="7">
        <f>IFERROR(IF([1]对账明细接口!$Y432=0,"",[1]对账明细接口!$Y432),"")</f>
      </c>
      <c r="AE432" s="7">
        <f>IFERROR(IF([1]对账明细接口!$AA432=0,"",[1]对账明细接口!$AA432),"")</f>
      </c>
      <c r="AF432" s="7">
        <f>IFERROR(IF([1]对账明细接口!$AB432=0,"",[1]对账明细接口!$AB432),"")</f>
      </c>
      <c r="AG432" s="7">
        <f>IFERROR(IF([1]对账明细接口!$AC432=0,"",[1]对账明细接口!$AC432),"")</f>
      </c>
      <c r="AH432" s="7">
        <f>IFERROR(IF([1]对账明细接口!$AD432=0,"",[1]对账明细接口!$AD432),"")</f>
      </c>
      <c r="AI432" s="7">
        <f>IFERROR(IF([1]对账明细接口!$AE432=0,"",[1]对账明细接口!$AE432),"")</f>
      </c>
      <c r="AJ432" s="7">
        <f>IFERROR(IF([1]对账明细接口!$AF432=0,"",[1]对账明细接口!$AF432),"")</f>
      </c>
    </row>
    <row r="433" ht="14.25" customHeight="1" s="127">
      <c r="A433" s="14" t="n">
        <v>433</v>
      </c>
      <c r="B433" s="211">
        <f>IFERROR(IF([1]对账明细接口!$B$433=0,"",[1]对账明细接口!$B$433),"")</f>
        <v>46290.0</v>
      </c>
      <c r="C433" s="16" t="str">
        <f>IFERROR(IF([1]对账明细接口!$C$433=0,"",[1]对账明细接口!$C$433),"")</f>
        <v>金龙</v>
      </c>
      <c r="D433" s="16" t="str">
        <f>IFERROR(IF([1]对账明细接口!$D$433=0,"",[1]对账明细接口!$D$433),"")</f>
        <v>原料入库</v>
      </c>
      <c r="E433" s="16" t="str">
        <f>IFERROR(IF([1]对账明细接口!$E$433=0,"",[1]对账明细接口!$E$433),"")</f>
        <v>NO:0000981</v>
      </c>
      <c r="F433" s="16" t="str">
        <f>IFERROR(IF([1]对账明细接口!$F$433=0,"",[1]对账明细接口!$F$433),"")</f>
        <v>香梨</v>
      </c>
      <c r="G433" s="16" t="str">
        <f>IFERROR(IF([1]对账明细接口!$G$433=0,"",[1]对账明细接口!$G$433),"")</f>
        <v>香梨一级</v>
      </c>
      <c r="H433" s="176">
        <f>IFERROR(IF([1]对账明细接口!$H$433=0,"",[1]对账明细接口!$H$433),"")</f>
        <v>562</v>
      </c>
      <c r="I433" s="16" t="str">
        <f>IFERROR(IF([1]对账明细接口!$I$433=0,"",[1]对账明细接口!$I$433),"")</f>
        <v>筐</v>
      </c>
      <c r="J433" s="177">
        <f>IFERROR(IF([1]对账明细接口!$J$433=0,"",[1]对账明细接口!$J$433),"")</f>
        <v>10397</v>
      </c>
      <c r="K433" s="177">
        <f>IFERROR(IF([1]对账明细接口!$K$433=0,"",[1]对账明细接口!$K$433),"")</f>
      </c>
      <c r="L433" s="16">
        <f>IFERROR(IF([1]对账明细接口!$L$433=0,"",[1]对账明细接口!$L$433),"")</f>
      </c>
      <c r="M433" s="16" t="str">
        <f>IFERROR(IF([1]对账明细接口!$M$433=0,"",[1]对账明细接口!$M$433),"")</f>
        <v>运输途中损耗39筐</v>
      </c>
      <c r="N433" s="19">
        <f>IF($C433="",0,1)</f>
        <v>1</v>
      </c>
      <c r="O433" s="19">
        <f>N(O432)+$N433</f>
        <v>430</v>
      </c>
      <c r="S433" s="20" t="str">
        <f>IFERROR(IF([1]对账明细接口!$N433=0,"",[1]对账明细接口!$N433),"")</f>
        <v>自备一次性筐</v>
      </c>
      <c r="T433" s="212">
        <f>IFERROR(IF([1]对账明细接口!$O433=0,"",[1]对账明细接口!$O433),"")</f>
      </c>
      <c r="U433" s="212">
        <f>IFERROR(IF([1]对账明细接口!$P433=0,"",[1]对账明细接口!$P433),"")</f>
      </c>
      <c r="V433" s="212">
        <f>IFERROR(IF([1]对账明细接口!$Q433=0,"",[1]对账明细接口!$Q433),"")</f>
        <v>562</v>
      </c>
      <c r="W433" s="20" t="str">
        <f>IFERROR(IF([1]对账明细接口!$R433=0,"",[1]对账明细接口!$R433),"")</f>
        <v>新A*F1545</v>
      </c>
      <c r="X433" s="20" t="str">
        <f>IFERROR(IF([1]对账明细接口!$S433=0,"",[1]对账明细接口!$S433),"")</f>
        <v>自备筐</v>
      </c>
      <c r="Y433" s="20">
        <f>IFERROR(IF([1]对账明细接口!$T433=0,"",[1]对账明细接口!$T433),"")</f>
      </c>
      <c r="Z433" s="213">
        <f>IFERROR(IF([1]对账明细接口!$U433=0,"",[1]对账明细接口!$U433),"")</f>
      </c>
      <c r="AA433" s="213">
        <f>IFERROR(IF([1]对账明细接口!$V433=0,"",[1]对账明细接口!$V433),"")</f>
      </c>
      <c r="AB433" s="20">
        <f>IFERROR(IF([1]对账明细接口!$W433=0,"",[1]对账明细接口!$W433),"")</f>
      </c>
      <c r="AC433" s="7">
        <f>IFERROR(IF([1]对账明细接口!$X433=0,"",[1]对账明细接口!$X433),"")</f>
      </c>
      <c r="AD433" s="7">
        <f>IFERROR(IF([1]对账明细接口!$Y433=0,"",[1]对账明细接口!$Y433),"")</f>
      </c>
      <c r="AE433" s="7">
        <f>IFERROR(IF([1]对账明细接口!$AA433=0,"",[1]对账明细接口!$AA433),"")</f>
      </c>
      <c r="AF433" s="7">
        <f>IFERROR(IF([1]对账明细接口!$AB433=0,"",[1]对账明细接口!$AB433),"")</f>
      </c>
      <c r="AG433" s="7">
        <f>IFERROR(IF([1]对账明细接口!$AC433=0,"",[1]对账明细接口!$AC433),"")</f>
      </c>
      <c r="AH433" s="7">
        <f>IFERROR(IF([1]对账明细接口!$AD433=0,"",[1]对账明细接口!$AD433),"")</f>
      </c>
      <c r="AI433" s="7">
        <f>IFERROR(IF([1]对账明细接口!$AE433=0,"",[1]对账明细接口!$AE433),"")</f>
      </c>
      <c r="AJ433" s="7">
        <f>IFERROR(IF([1]对账明细接口!$AF433=0,"",[1]对账明细接口!$AF433),"")</f>
      </c>
    </row>
    <row r="434" ht="14.25" customHeight="1" s="127">
      <c r="A434" s="14" t="n">
        <v>434</v>
      </c>
      <c r="B434" s="211">
        <f>IFERROR(IF([1]对账明细接口!$B$434=0,"",[1]对账明细接口!$B$434),"")</f>
        <v>46290.0</v>
      </c>
      <c r="C434" s="16" t="str">
        <f>IFERROR(IF([1]对账明细接口!$C$434=0,"",[1]对账明细接口!$C$434),"")</f>
        <v>王灵云</v>
      </c>
      <c r="D434" s="16" t="str">
        <f>IFERROR(IF([1]对账明细接口!$D$434=0,"",[1]对账明细接口!$D$434),"")</f>
        <v>原料入库</v>
      </c>
      <c r="E434" s="16" t="str">
        <f>IFERROR(IF([1]对账明细接口!$E$434=0,"",[1]对账明细接口!$E$434),"")</f>
        <v>NO:0000982</v>
      </c>
      <c r="F434" s="16" t="str">
        <f>IFERROR(IF([1]对账明细接口!$F$434=0,"",[1]对账明细接口!$F$434),"")</f>
        <v>香梨</v>
      </c>
      <c r="G434" s="16" t="str">
        <f>IFERROR(IF([1]对账明细接口!$G$434=0,"",[1]对账明细接口!$G$434),"")</f>
        <v>香梨一级</v>
      </c>
      <c r="H434" s="176">
        <f>IFERROR(IF([1]对账明细接口!$H$434=0,"",[1]对账明细接口!$H$434),"")</f>
        <v>523</v>
      </c>
      <c r="I434" s="16" t="str">
        <f>IFERROR(IF([1]对账明细接口!$I$434=0,"",[1]对账明细接口!$I$434),"")</f>
        <v>筐</v>
      </c>
      <c r="J434" s="177">
        <f>IFERROR(IF([1]对账明细接口!$J$434=0,"",[1]对账明细接口!$J$434),"")</f>
        <v>9414</v>
      </c>
      <c r="K434" s="177">
        <f>IFERROR(IF([1]对账明细接口!$K$434=0,"",[1]对账明细接口!$K$434),"")</f>
      </c>
      <c r="L434" s="16">
        <f>IFERROR(IF([1]对账明细接口!$L$434=0,"",[1]对账明细接口!$L$434),"")</f>
      </c>
      <c r="M434" s="16" t="str">
        <f>IFERROR(IF([1]对账明细接口!$M$434=0,"",[1]对账明细接口!$M$434),"")</f>
        <v>左</v>
      </c>
      <c r="N434" s="19">
        <f>IF($C434="",0,1)</f>
        <v>1</v>
      </c>
      <c r="O434" s="19">
        <f>N(O433)+$N434</f>
        <v>431</v>
      </c>
      <c r="S434" s="20" t="str">
        <f>IFERROR(IF([1]对账明细接口!$N434=0,"",[1]对账明细接口!$N434),"")</f>
        <v>公司红周转筐</v>
      </c>
      <c r="T434" s="212">
        <f>IFERROR(IF([1]对账明细接口!$O434=0,"",[1]对账明细接口!$O434),"")</f>
      </c>
      <c r="U434" s="212">
        <f>IFERROR(IF([1]对账明细接口!$P434=0,"",[1]对账明细接口!$P434),"")</f>
      </c>
      <c r="V434" s="212">
        <f>IFERROR(IF([1]对账明细接口!$Q434=0,"",[1]对账明细接口!$Q434),"")</f>
        <v>523</v>
      </c>
      <c r="W434" s="20" t="str">
        <f>IFERROR(IF([1]对账明细接口!$R434=0,"",[1]对账明细接口!$R434),"")</f>
        <v>新N*49209</v>
      </c>
      <c r="X434" s="20" t="str">
        <f>IFERROR(IF([1]对账明细接口!$S434=0,"",[1]对账明细接口!$S434),"")</f>
        <v>公司筐</v>
      </c>
      <c r="Y434" s="20">
        <f>IFERROR(IF([1]对账明细接口!$T434=0,"",[1]对账明细接口!$T434),"")</f>
      </c>
      <c r="Z434" s="213">
        <f>IFERROR(IF([1]对账明细接口!$U434=0,"",[1]对账明细接口!$U434),"")</f>
      </c>
      <c r="AA434" s="213">
        <f>IFERROR(IF([1]对账明细接口!$V434=0,"",[1]对账明细接口!$V434),"")</f>
      </c>
      <c r="AB434" s="20">
        <f>IFERROR(IF([1]对账明细接口!$W434=0,"",[1]对账明细接口!$W434),"")</f>
      </c>
      <c r="AC434" s="7">
        <f>IFERROR(IF([1]对账明细接口!$X434=0,"",[1]对账明细接口!$X434),"")</f>
      </c>
      <c r="AD434" s="7">
        <f>IFERROR(IF([1]对账明细接口!$Y434=0,"",[1]对账明细接口!$Y434),"")</f>
      </c>
      <c r="AE434" s="7">
        <f>IFERROR(IF([1]对账明细接口!$AA434=0,"",[1]对账明细接口!$AA434),"")</f>
      </c>
      <c r="AF434" s="7">
        <f>IFERROR(IF([1]对账明细接口!$AB434=0,"",[1]对账明细接口!$AB434),"")</f>
      </c>
      <c r="AG434" s="7">
        <f>IFERROR(IF([1]对账明细接口!$AC434=0,"",[1]对账明细接口!$AC434),"")</f>
      </c>
      <c r="AH434" s="7">
        <f>IFERROR(IF([1]对账明细接口!$AD434=0,"",[1]对账明细接口!$AD434),"")</f>
      </c>
      <c r="AI434" s="7">
        <f>IFERROR(IF([1]对账明细接口!$AE434=0,"",[1]对账明细接口!$AE434),"")</f>
      </c>
      <c r="AJ434" s="7">
        <f>IFERROR(IF([1]对账明细接口!$AF434=0,"",[1]对账明细接口!$AF434),"")</f>
      </c>
    </row>
    <row r="435" ht="14.25" customHeight="1" s="127">
      <c r="A435" s="14" t="n">
        <v>435</v>
      </c>
      <c r="B435" s="211">
        <f>IFERROR(IF([1]对账明细接口!$B$435=0,"",[1]对账明细接口!$B$435),"")</f>
        <v>46290.0</v>
      </c>
      <c r="C435" s="16" t="str">
        <f>IFERROR(IF([1]对账明细接口!$C$435=0,"",[1]对账明细接口!$C$435),"")</f>
        <v>王灵云</v>
      </c>
      <c r="D435" s="16" t="str">
        <f>IFERROR(IF([1]对账明细接口!$D$435=0,"",[1]对账明细接口!$D$435),"")</f>
        <v>原料入库</v>
      </c>
      <c r="E435" s="16" t="str">
        <f>IFERROR(IF([1]对账明细接口!$E$435=0,"",[1]对账明细接口!$E$435),"")</f>
        <v>NO:0000982</v>
      </c>
      <c r="F435" s="16" t="str">
        <f>IFERROR(IF([1]对账明细接口!$F$435=0,"",[1]对账明细接口!$F$435),"")</f>
        <v>香梨</v>
      </c>
      <c r="G435" s="16" t="str">
        <f>IFERROR(IF([1]对账明细接口!$G$435=0,"",[1]对账明细接口!$G$435),"")</f>
        <v>香梨二级</v>
      </c>
      <c r="H435" s="176">
        <f>IFERROR(IF([1]对账明细接口!$H$435=0,"",[1]对账明细接口!$H$435),"")</f>
        <v>74</v>
      </c>
      <c r="I435" s="16" t="str">
        <f>IFERROR(IF([1]对账明细接口!$I$435=0,"",[1]对账明细接口!$I$435),"")</f>
        <v>筐</v>
      </c>
      <c r="J435" s="177">
        <f>IFERROR(IF([1]对账明细接口!$J$435=0,"",[1]对账明细接口!$J$435),"")</f>
        <v>1628</v>
      </c>
      <c r="K435" s="177">
        <f>IFERROR(IF([1]对账明细接口!$K$435=0,"",[1]对账明细接口!$K$435),"")</f>
      </c>
      <c r="L435" s="16">
        <f>IFERROR(IF([1]对账明细接口!$L$435=0,"",[1]对账明细接口!$L$435),"")</f>
      </c>
      <c r="M435" s="16" t="str">
        <f>IFERROR(IF([1]对账明细接口!$M$435=0,"",[1]对账明细接口!$M$435),"")</f>
        <v>左</v>
      </c>
      <c r="N435" s="19">
        <f>IF($C435="",0,1)</f>
        <v>1</v>
      </c>
      <c r="O435" s="19">
        <f>N(O434)+$N435</f>
        <v>432</v>
      </c>
      <c r="S435" s="20" t="str">
        <f>IFERROR(IF([1]对账明细接口!$N435=0,"",[1]对账明细接口!$N435),"")</f>
        <v>公司红周转筐</v>
      </c>
      <c r="T435" s="212">
        <f>IFERROR(IF([1]对账明细接口!$O435=0,"",[1]对账明细接口!$O435),"")</f>
      </c>
      <c r="U435" s="212">
        <f>IFERROR(IF([1]对账明细接口!$P435=0,"",[1]对账明细接口!$P435),"")</f>
      </c>
      <c r="V435" s="212">
        <f>IFERROR(IF([1]对账明细接口!$Q435=0,"",[1]对账明细接口!$Q435),"")</f>
        <v>74</v>
      </c>
      <c r="W435" s="20" t="str">
        <f>IFERROR(IF([1]对账明细接口!$R435=0,"",[1]对账明细接口!$R435),"")</f>
        <v>新N*49209</v>
      </c>
      <c r="X435" s="20" t="str">
        <f>IFERROR(IF([1]对账明细接口!$S435=0,"",[1]对账明细接口!$S435),"")</f>
        <v>公司筐</v>
      </c>
      <c r="Y435" s="20">
        <f>IFERROR(IF([1]对账明细接口!$T435=0,"",[1]对账明细接口!$T435),"")</f>
      </c>
      <c r="Z435" s="213">
        <f>IFERROR(IF([1]对账明细接口!$U435=0,"",[1]对账明细接口!$U435),"")</f>
      </c>
      <c r="AA435" s="213">
        <f>IFERROR(IF([1]对账明细接口!$V435=0,"",[1]对账明细接口!$V435),"")</f>
      </c>
      <c r="AB435" s="20">
        <f>IFERROR(IF([1]对账明细接口!$W435=0,"",[1]对账明细接口!$W435),"")</f>
      </c>
      <c r="AC435" s="7">
        <f>IFERROR(IF([1]对账明细接口!$X435=0,"",[1]对账明细接口!$X435),"")</f>
      </c>
      <c r="AD435" s="7">
        <f>IFERROR(IF([1]对账明细接口!$Y435=0,"",[1]对账明细接口!$Y435),"")</f>
      </c>
      <c r="AE435" s="7">
        <f>IFERROR(IF([1]对账明细接口!$AA435=0,"",[1]对账明细接口!$AA435),"")</f>
      </c>
      <c r="AF435" s="7">
        <f>IFERROR(IF([1]对账明细接口!$AB435=0,"",[1]对账明细接口!$AB435),"")</f>
      </c>
      <c r="AG435" s="7">
        <f>IFERROR(IF([1]对账明细接口!$AC435=0,"",[1]对账明细接口!$AC435),"")</f>
      </c>
      <c r="AH435" s="7">
        <f>IFERROR(IF([1]对账明细接口!$AD435=0,"",[1]对账明细接口!$AD435),"")</f>
      </c>
      <c r="AI435" s="7">
        <f>IFERROR(IF([1]对账明细接口!$AE435=0,"",[1]对账明细接口!$AE435),"")</f>
      </c>
      <c r="AJ435" s="7">
        <f>IFERROR(IF([1]对账明细接口!$AF435=0,"",[1]对账明细接口!$AF435),"")</f>
      </c>
    </row>
    <row r="436" ht="14.25" customHeight="1" s="127">
      <c r="A436" s="14" t="n">
        <v>436</v>
      </c>
      <c r="B436" s="211">
        <f>IFERROR(IF([1]对账明细接口!$B$436=0,"",[1]对账明细接口!$B$436),"")</f>
        <v>46290.0</v>
      </c>
      <c r="C436" s="16" t="str">
        <f>IFERROR(IF([1]对账明细接口!$C$436=0,"",[1]对账明细接口!$C$436),"")</f>
        <v>努尔敦</v>
      </c>
      <c r="D436" s="16" t="str">
        <f>IFERROR(IF([1]对账明细接口!$D$436=0,"",[1]对账明细接口!$D$436),"")</f>
        <v>原料入库</v>
      </c>
      <c r="E436" s="16" t="str">
        <f>IFERROR(IF([1]对账明细接口!$E$436=0,"",[1]对账明细接口!$E$436),"")</f>
        <v>NO:0000983</v>
      </c>
      <c r="F436" s="16" t="str">
        <f>IFERROR(IF([1]对账明细接口!$F$436=0,"",[1]对账明细接口!$F$436),"")</f>
        <v>香梨</v>
      </c>
      <c r="G436" s="16" t="str">
        <f>IFERROR(IF([1]对账明细接口!$G$436=0,"",[1]对账明细接口!$G$436),"")</f>
        <v>香梨特级</v>
      </c>
      <c r="H436" s="176">
        <f>IFERROR(IF([1]对账明细接口!$H$436=0,"",[1]对账明细接口!$H$436),"")</f>
        <v>592</v>
      </c>
      <c r="I436" s="16" t="str">
        <f>IFERROR(IF([1]对账明细接口!$I$436=0,"",[1]对账明细接口!$I$436),"")</f>
        <v>筐</v>
      </c>
      <c r="J436" s="177">
        <f>IFERROR(IF([1]对账明细接口!$J$436=0,"",[1]对账明细接口!$J$436),"")</f>
        <v>10833.6</v>
      </c>
      <c r="K436" s="177">
        <f>IFERROR(IF([1]对账明细接口!$K$436=0,"",[1]对账明细接口!$K$436),"")</f>
      </c>
      <c r="L436" s="16">
        <f>IFERROR(IF([1]对账明细接口!$L$436=0,"",[1]对账明细接口!$L$436),"")</f>
      </c>
      <c r="M436" s="16" t="str">
        <f>IFERROR(IF([1]对账明细接口!$M$436=0,"",[1]对账明细接口!$M$436),"")</f>
        <v>二黄</v>
      </c>
      <c r="N436" s="19">
        <f>IF($C436="",0,1)</f>
        <v>1</v>
      </c>
      <c r="O436" s="19">
        <f>N(O435)+$N436</f>
        <v>433</v>
      </c>
      <c r="S436" s="20" t="str">
        <f>IFERROR(IF([1]对账明细接口!$N436=0,"",[1]对账明细接口!$N436),"")</f>
        <v>公司红周转筐</v>
      </c>
      <c r="T436" s="212">
        <f>IFERROR(IF([1]对账明细接口!$O436=0,"",[1]对账明细接口!$O436),"")</f>
      </c>
      <c r="U436" s="212">
        <f>IFERROR(IF([1]对账明细接口!$P436=0,"",[1]对账明细接口!$P436),"")</f>
      </c>
      <c r="V436" s="212">
        <f>IFERROR(IF([1]对账明细接口!$Q436=0,"",[1]对账明细接口!$Q436),"")</f>
        <v>592</v>
      </c>
      <c r="W436" s="20" t="str">
        <f>IFERROR(IF([1]对账明细接口!$R436=0,"",[1]对账明细接口!$R436),"")</f>
        <v>新F*75240</v>
      </c>
      <c r="X436" s="20" t="str">
        <f>IFERROR(IF([1]对账明细接口!$S436=0,"",[1]对账明细接口!$S436),"")</f>
        <v>公司筐</v>
      </c>
      <c r="Y436" s="20">
        <f>IFERROR(IF([1]对账明细接口!$T436=0,"",[1]对账明细接口!$T436),"")</f>
      </c>
      <c r="Z436" s="213">
        <f>IFERROR(IF([1]对账明细接口!$U436=0,"",[1]对账明细接口!$U436),"")</f>
      </c>
      <c r="AA436" s="213">
        <f>IFERROR(IF([1]对账明细接口!$V436=0,"",[1]对账明细接口!$V436),"")</f>
      </c>
      <c r="AB436" s="20">
        <f>IFERROR(IF([1]对账明细接口!$W436=0,"",[1]对账明细接口!$W436),"")</f>
      </c>
      <c r="AC436" s="7">
        <f>IFERROR(IF([1]对账明细接口!$X436=0,"",[1]对账明细接口!$X436),"")</f>
      </c>
      <c r="AD436" s="7">
        <f>IFERROR(IF([1]对账明细接口!$Y436=0,"",[1]对账明细接口!$Y436),"")</f>
      </c>
      <c r="AE436" s="7">
        <f>IFERROR(IF([1]对账明细接口!$AA436=0,"",[1]对账明细接口!$AA436),"")</f>
      </c>
      <c r="AF436" s="7">
        <f>IFERROR(IF([1]对账明细接口!$AB436=0,"",[1]对账明细接口!$AB436),"")</f>
      </c>
      <c r="AG436" s="7">
        <f>IFERROR(IF([1]对账明细接口!$AC436=0,"",[1]对账明细接口!$AC436),"")</f>
      </c>
      <c r="AH436" s="7">
        <f>IFERROR(IF([1]对账明细接口!$AD436=0,"",[1]对账明细接口!$AD436),"")</f>
      </c>
      <c r="AI436" s="7">
        <f>IFERROR(IF([1]对账明细接口!$AE436=0,"",[1]对账明细接口!$AE436),"")</f>
      </c>
      <c r="AJ436" s="7">
        <f>IFERROR(IF([1]对账明细接口!$AF436=0,"",[1]对账明细接口!$AF436),"")</f>
      </c>
    </row>
    <row r="437" ht="14.25" customHeight="1" s="127">
      <c r="A437" s="14" t="n">
        <v>437</v>
      </c>
      <c r="B437" s="211">
        <f>IFERROR(IF([1]对账明细接口!$B$437=0,"",[1]对账明细接口!$B$437),"")</f>
        <v>46290.0</v>
      </c>
      <c r="C437" s="16" t="str">
        <f>IFERROR(IF([1]对账明细接口!$C$437=0,"",[1]对账明细接口!$C$437),"")</f>
        <v>努尔敦</v>
      </c>
      <c r="D437" s="16" t="str">
        <f>IFERROR(IF([1]对账明细接口!$D$437=0,"",[1]对账明细接口!$D$437),"")</f>
        <v>原料入库</v>
      </c>
      <c r="E437" s="16" t="str">
        <f>IFERROR(IF([1]对账明细接口!$E$437=0,"",[1]对账明细接口!$E$437),"")</f>
        <v>NO:0000983</v>
      </c>
      <c r="F437" s="16" t="str">
        <f>IFERROR(IF([1]对账明细接口!$F$437=0,"",[1]对账明细接口!$F$437),"")</f>
        <v>香梨</v>
      </c>
      <c r="G437" s="16" t="str">
        <f>IFERROR(IF([1]对账明细接口!$G$437=0,"",[1]对账明细接口!$G$437),"")</f>
        <v>香梨二级</v>
      </c>
      <c r="H437" s="176">
        <f>IFERROR(IF([1]对账明细接口!$H$437=0,"",[1]对账明细接口!$H$437),"")</f>
        <v>48</v>
      </c>
      <c r="I437" s="16" t="str">
        <f>IFERROR(IF([1]对账明细接口!$I$437=0,"",[1]对账明细接口!$I$437),"")</f>
        <v>筐</v>
      </c>
      <c r="J437" s="177">
        <f>IFERROR(IF([1]对账明细接口!$J$437=0,"",[1]对账明细接口!$J$437),"")</f>
        <v>1070.4</v>
      </c>
      <c r="K437" s="177">
        <f>IFERROR(IF([1]对账明细接口!$K$437=0,"",[1]对账明细接口!$K$437),"")</f>
      </c>
      <c r="L437" s="16">
        <f>IFERROR(IF([1]对账明细接口!$L$437=0,"",[1]对账明细接口!$L$437),"")</f>
      </c>
      <c r="M437" s="16" t="str">
        <f>IFERROR(IF([1]对账明细接口!$M$437=0,"",[1]对账明细接口!$M$437),"")</f>
        <v>二黄</v>
      </c>
      <c r="N437" s="19">
        <f>IF($C437="",0,1)</f>
        <v>1</v>
      </c>
      <c r="O437" s="19">
        <f>N(O436)+$N437</f>
        <v>434</v>
      </c>
      <c r="S437" s="20" t="str">
        <f>IFERROR(IF([1]对账明细接口!$N437=0,"",[1]对账明细接口!$N437),"")</f>
        <v>公司红周转筐</v>
      </c>
      <c r="T437" s="212">
        <f>IFERROR(IF([1]对账明细接口!$O437=0,"",[1]对账明细接口!$O437),"")</f>
      </c>
      <c r="U437" s="212">
        <f>IFERROR(IF([1]对账明细接口!$P437=0,"",[1]对账明细接口!$P437),"")</f>
      </c>
      <c r="V437" s="212">
        <f>IFERROR(IF([1]对账明细接口!$Q437=0,"",[1]对账明细接口!$Q437),"")</f>
        <v>48</v>
      </c>
      <c r="W437" s="20" t="str">
        <f>IFERROR(IF([1]对账明细接口!$R437=0,"",[1]对账明细接口!$R437),"")</f>
        <v>新F*75240</v>
      </c>
      <c r="X437" s="20" t="str">
        <f>IFERROR(IF([1]对账明细接口!$S437=0,"",[1]对账明细接口!$S437),"")</f>
        <v>公司筐</v>
      </c>
      <c r="Y437" s="20">
        <f>IFERROR(IF([1]对账明细接口!$T437=0,"",[1]对账明细接口!$T437),"")</f>
      </c>
      <c r="Z437" s="213">
        <f>IFERROR(IF([1]对账明细接口!$U437=0,"",[1]对账明细接口!$U437),"")</f>
      </c>
      <c r="AA437" s="213">
        <f>IFERROR(IF([1]对账明细接口!$V437=0,"",[1]对账明细接口!$V437),"")</f>
      </c>
      <c r="AB437" s="20">
        <f>IFERROR(IF([1]对账明细接口!$W437=0,"",[1]对账明细接口!$W437),"")</f>
      </c>
      <c r="AC437" s="7">
        <f>IFERROR(IF([1]对账明细接口!$X437=0,"",[1]对账明细接口!$X437),"")</f>
      </c>
      <c r="AD437" s="7">
        <f>IFERROR(IF([1]对账明细接口!$Y437=0,"",[1]对账明细接口!$Y437),"")</f>
      </c>
      <c r="AE437" s="7">
        <f>IFERROR(IF([1]对账明细接口!$AA437=0,"",[1]对账明细接口!$AA437),"")</f>
      </c>
      <c r="AF437" s="7">
        <f>IFERROR(IF([1]对账明细接口!$AB437=0,"",[1]对账明细接口!$AB437),"")</f>
      </c>
      <c r="AG437" s="7">
        <f>IFERROR(IF([1]对账明细接口!$AC437=0,"",[1]对账明细接口!$AC437),"")</f>
      </c>
      <c r="AH437" s="7">
        <f>IFERROR(IF([1]对账明细接口!$AD437=0,"",[1]对账明细接口!$AD437),"")</f>
      </c>
      <c r="AI437" s="7">
        <f>IFERROR(IF([1]对账明细接口!$AE437=0,"",[1]对账明细接口!$AE437),"")</f>
      </c>
      <c r="AJ437" s="7">
        <f>IFERROR(IF([1]对账明细接口!$AF437=0,"",[1]对账明细接口!$AF437),"")</f>
      </c>
    </row>
    <row r="438" ht="14.25" customHeight="1" s="127">
      <c r="A438" s="14" t="n">
        <v>438</v>
      </c>
      <c r="B438" s="211">
        <f>IFERROR(IF([1]对账明细接口!$B$438=0,"",[1]对账明细接口!$B$438),"")</f>
        <v>46290.0</v>
      </c>
      <c r="C438" s="16" t="str">
        <f>IFERROR(IF([1]对账明细接口!$C$438=0,"",[1]对账明细接口!$C$438),"")</f>
        <v>麦麦提</v>
      </c>
      <c r="D438" s="16" t="str">
        <f>IFERROR(IF([1]对账明细接口!$D$438=0,"",[1]对账明细接口!$D$438),"")</f>
        <v>原料入库</v>
      </c>
      <c r="E438" s="16" t="str">
        <f>IFERROR(IF([1]对账明细接口!$E$438=0,"",[1]对账明细接口!$E$438),"")</f>
        <v>NO:0000984</v>
      </c>
      <c r="F438" s="16" t="str">
        <f>IFERROR(IF([1]对账明细接口!$F$438=0,"",[1]对账明细接口!$F$438),"")</f>
        <v>香梨</v>
      </c>
      <c r="G438" s="16" t="str">
        <f>IFERROR(IF([1]对账明细接口!$G$438=0,"",[1]对账明细接口!$G$438),"")</f>
        <v>香梨特级</v>
      </c>
      <c r="H438" s="176">
        <f>IFERROR(IF([1]对账明细接口!$H$438=0,"",[1]对账明细接口!$H$438),"")</f>
        <v>266</v>
      </c>
      <c r="I438" s="16" t="str">
        <f>IFERROR(IF([1]对账明细接口!$I$438=0,"",[1]对账明细接口!$I$438),"")</f>
        <v>筐</v>
      </c>
      <c r="J438" s="177">
        <f>IFERROR(IF([1]对账明细接口!$J$438=0,"",[1]对账明细接口!$J$438),"")</f>
        <v>4867.8</v>
      </c>
      <c r="K438" s="177">
        <f>IFERROR(IF([1]对账明细接口!$K$438=0,"",[1]对账明细接口!$K$438),"")</f>
      </c>
      <c r="L438" s="16">
        <f>IFERROR(IF([1]对账明细接口!$L$438=0,"",[1]对账明细接口!$L$438),"")</f>
      </c>
      <c r="M438" s="16" t="str">
        <f>IFERROR(IF([1]对账明细接口!$M$438=0,"",[1]对账明细接口!$M$438),"")</f>
        <v>二黄</v>
      </c>
      <c r="N438" s="19">
        <f>IF($C438="",0,1)</f>
        <v>1</v>
      </c>
      <c r="O438" s="19">
        <f>N(O437)+$N438</f>
        <v>435</v>
      </c>
      <c r="S438" s="20" t="str">
        <f>IFERROR(IF([1]对账明细接口!$N438=0,"",[1]对账明细接口!$N438),"")</f>
        <v>公司红周转筐</v>
      </c>
      <c r="T438" s="212">
        <f>IFERROR(IF([1]对账明细接口!$O438=0,"",[1]对账明细接口!$O438),"")</f>
      </c>
      <c r="U438" s="212">
        <f>IFERROR(IF([1]对账明细接口!$P438=0,"",[1]对账明细接口!$P438),"")</f>
      </c>
      <c r="V438" s="212">
        <f>IFERROR(IF([1]对账明细接口!$Q438=0,"",[1]对账明细接口!$Q438),"")</f>
        <v>266</v>
      </c>
      <c r="W438" s="20" t="str">
        <f>IFERROR(IF([1]对账明细接口!$R438=0,"",[1]对账明细接口!$R438),"")</f>
        <v>新R*37010</v>
      </c>
      <c r="X438" s="20" t="str">
        <f>IFERROR(IF([1]对账明细接口!$S438=0,"",[1]对账明细接口!$S438),"")</f>
        <v>公司筐</v>
      </c>
      <c r="Y438" s="20">
        <f>IFERROR(IF([1]对账明细接口!$T438=0,"",[1]对账明细接口!$T438),"")</f>
      </c>
      <c r="Z438" s="213">
        <f>IFERROR(IF([1]对账明细接口!$U438=0,"",[1]对账明细接口!$U438),"")</f>
      </c>
      <c r="AA438" s="213">
        <f>IFERROR(IF([1]对账明细接口!$V438=0,"",[1]对账明细接口!$V438),"")</f>
      </c>
      <c r="AB438" s="20">
        <f>IFERROR(IF([1]对账明细接口!$W438=0,"",[1]对账明细接口!$W438),"")</f>
      </c>
      <c r="AC438" s="7">
        <f>IFERROR(IF([1]对账明细接口!$X438=0,"",[1]对账明细接口!$X438),"")</f>
      </c>
      <c r="AD438" s="7">
        <f>IFERROR(IF([1]对账明细接口!$Y438=0,"",[1]对账明细接口!$Y438),"")</f>
      </c>
      <c r="AE438" s="7">
        <f>IFERROR(IF([1]对账明细接口!$AA438=0,"",[1]对账明细接口!$AA438),"")</f>
      </c>
      <c r="AF438" s="7">
        <f>IFERROR(IF([1]对账明细接口!$AB438=0,"",[1]对账明细接口!$AB438),"")</f>
      </c>
      <c r="AG438" s="7">
        <f>IFERROR(IF([1]对账明细接口!$AC438=0,"",[1]对账明细接口!$AC438),"")</f>
      </c>
      <c r="AH438" s="7">
        <f>IFERROR(IF([1]对账明细接口!$AD438=0,"",[1]对账明细接口!$AD438),"")</f>
      </c>
      <c r="AI438" s="7">
        <f>IFERROR(IF([1]对账明细接口!$AE438=0,"",[1]对账明细接口!$AE438),"")</f>
      </c>
      <c r="AJ438" s="7">
        <f>IFERROR(IF([1]对账明细接口!$AF438=0,"",[1]对账明细接口!$AF438),"")</f>
      </c>
    </row>
    <row r="439" ht="14.25" customHeight="1" s="127">
      <c r="A439" s="14" t="n">
        <v>439</v>
      </c>
      <c r="B439" s="211">
        <f>IFERROR(IF([1]对账明细接口!$B$439=0,"",[1]对账明细接口!$B$439),"")</f>
        <v>46290.0</v>
      </c>
      <c r="C439" s="16" t="str">
        <f>IFERROR(IF([1]对账明细接口!$C$439=0,"",[1]对账明细接口!$C$439),"")</f>
        <v>麦麦提</v>
      </c>
      <c r="D439" s="16" t="str">
        <f>IFERROR(IF([1]对账明细接口!$D$439=0,"",[1]对账明细接口!$D$439),"")</f>
        <v>原料入库</v>
      </c>
      <c r="E439" s="16" t="str">
        <f>IFERROR(IF([1]对账明细接口!$E$439=0,"",[1]对账明细接口!$E$439),"")</f>
        <v>NO:0000984</v>
      </c>
      <c r="F439" s="16" t="str">
        <f>IFERROR(IF([1]对账明细接口!$F$439=0,"",[1]对账明细接口!$F$439),"")</f>
        <v>香梨</v>
      </c>
      <c r="G439" s="16" t="str">
        <f>IFERROR(IF([1]对账明细接口!$G$439=0,"",[1]对账明细接口!$G$439),"")</f>
        <v>香梨一级</v>
      </c>
      <c r="H439" s="176">
        <f>IFERROR(IF([1]对账明细接口!$H$439=0,"",[1]对账明细接口!$H$439),"")</f>
        <v>200</v>
      </c>
      <c r="I439" s="16" t="str">
        <f>IFERROR(IF([1]对账明细接口!$I$439=0,"",[1]对账明细接口!$I$439),"")</f>
        <v>筐</v>
      </c>
      <c r="J439" s="177">
        <f>IFERROR(IF([1]对账明细接口!$J$439=0,"",[1]对账明细接口!$J$439),"")</f>
        <v>3660</v>
      </c>
      <c r="K439" s="177">
        <f>IFERROR(IF([1]对账明细接口!$K$439=0,"",[1]对账明细接口!$K$439),"")</f>
      </c>
      <c r="L439" s="16">
        <f>IFERROR(IF([1]对账明细接口!$L$439=0,"",[1]对账明细接口!$L$439),"")</f>
      </c>
      <c r="M439" s="16" t="str">
        <f>IFERROR(IF([1]对账明细接口!$M$439=0,"",[1]对账明细接口!$M$439),"")</f>
        <v>二黄</v>
      </c>
      <c r="N439" s="19">
        <f>IF($C439="",0,1)</f>
        <v>1</v>
      </c>
      <c r="O439" s="19">
        <f>N(O438)+$N439</f>
        <v>436</v>
      </c>
      <c r="S439" s="20" t="str">
        <f>IFERROR(IF([1]对账明细接口!$N439=0,"",[1]对账明细接口!$N439),"")</f>
        <v>公司红周转筐</v>
      </c>
      <c r="T439" s="212">
        <f>IFERROR(IF([1]对账明细接口!$O439=0,"",[1]对账明细接口!$O439),"")</f>
      </c>
      <c r="U439" s="212">
        <f>IFERROR(IF([1]对账明细接口!$P439=0,"",[1]对账明细接口!$P439),"")</f>
      </c>
      <c r="V439" s="212">
        <f>IFERROR(IF([1]对账明细接口!$Q439=0,"",[1]对账明细接口!$Q439),"")</f>
        <v>200</v>
      </c>
      <c r="W439" s="20" t="str">
        <f>IFERROR(IF([1]对账明细接口!$R439=0,"",[1]对账明细接口!$R439),"")</f>
        <v>新R*37010</v>
      </c>
      <c r="X439" s="20" t="str">
        <f>IFERROR(IF([1]对账明细接口!$S439=0,"",[1]对账明细接口!$S439),"")</f>
        <v>公司筐</v>
      </c>
      <c r="Y439" s="20">
        <f>IFERROR(IF([1]对账明细接口!$T439=0,"",[1]对账明细接口!$T439),"")</f>
      </c>
      <c r="Z439" s="213">
        <f>IFERROR(IF([1]对账明细接口!$U439=0,"",[1]对账明细接口!$U439),"")</f>
      </c>
      <c r="AA439" s="213">
        <f>IFERROR(IF([1]对账明细接口!$V439=0,"",[1]对账明细接口!$V439),"")</f>
      </c>
      <c r="AB439" s="20">
        <f>IFERROR(IF([1]对账明细接口!$W439=0,"",[1]对账明细接口!$W439),"")</f>
      </c>
      <c r="AC439" s="7">
        <f>IFERROR(IF([1]对账明细接口!$X439=0,"",[1]对账明细接口!$X439),"")</f>
      </c>
      <c r="AD439" s="7">
        <f>IFERROR(IF([1]对账明细接口!$Y439=0,"",[1]对账明细接口!$Y439),"")</f>
      </c>
      <c r="AE439" s="7">
        <f>IFERROR(IF([1]对账明细接口!$AA439=0,"",[1]对账明细接口!$AA439),"")</f>
      </c>
      <c r="AF439" s="7">
        <f>IFERROR(IF([1]对账明细接口!$AB439=0,"",[1]对账明细接口!$AB439),"")</f>
      </c>
      <c r="AG439" s="7">
        <f>IFERROR(IF([1]对账明细接口!$AC439=0,"",[1]对账明细接口!$AC439),"")</f>
      </c>
      <c r="AH439" s="7">
        <f>IFERROR(IF([1]对账明细接口!$AD439=0,"",[1]对账明细接口!$AD439),"")</f>
      </c>
      <c r="AI439" s="7">
        <f>IFERROR(IF([1]对账明细接口!$AE439=0,"",[1]对账明细接口!$AE439),"")</f>
      </c>
      <c r="AJ439" s="7">
        <f>IFERROR(IF([1]对账明细接口!$AF439=0,"",[1]对账明细接口!$AF439),"")</f>
      </c>
    </row>
    <row r="440" ht="14.25" customHeight="1" s="127">
      <c r="A440" s="14" t="n">
        <v>440</v>
      </c>
      <c r="B440" s="211">
        <f>IFERROR(IF([1]对账明细接口!$B$440=0,"",[1]对账明细接口!$B$440),"")</f>
        <v>46290.0</v>
      </c>
      <c r="C440" s="16" t="str">
        <f>IFERROR(IF([1]对账明细接口!$C$440=0,"",[1]对账明细接口!$C$440),"")</f>
        <v>麦麦提</v>
      </c>
      <c r="D440" s="16" t="str">
        <f>IFERROR(IF([1]对账明细接口!$D$440=0,"",[1]对账明细接口!$D$440),"")</f>
        <v>原料入库</v>
      </c>
      <c r="E440" s="16" t="str">
        <f>IFERROR(IF([1]对账明细接口!$E$440=0,"",[1]对账明细接口!$E$440),"")</f>
        <v>NO:0000984</v>
      </c>
      <c r="F440" s="16" t="str">
        <f>IFERROR(IF([1]对账明细接口!$F$440=0,"",[1]对账明细接口!$F$440),"")</f>
        <v>香梨</v>
      </c>
      <c r="G440" s="16" t="str">
        <f>IFERROR(IF([1]对账明细接口!$G$440=0,"",[1]对账明细接口!$G$440),"")</f>
        <v>香梨二级</v>
      </c>
      <c r="H440" s="176">
        <f>IFERROR(IF([1]对账明细接口!$H$440=0,"",[1]对账明细接口!$H$440),"")</f>
        <v>173</v>
      </c>
      <c r="I440" s="16" t="str">
        <f>IFERROR(IF([1]对账明细接口!$I$440=0,"",[1]对账明细接口!$I$440),"")</f>
        <v>筐</v>
      </c>
      <c r="J440" s="177">
        <f>IFERROR(IF([1]对账明细接口!$J$440=0,"",[1]对账明细接口!$J$440),"")</f>
        <v>3857.9</v>
      </c>
      <c r="K440" s="177">
        <f>IFERROR(IF([1]对账明细接口!$K$440=0,"",[1]对账明细接口!$K$440),"")</f>
      </c>
      <c r="L440" s="16">
        <f>IFERROR(IF([1]对账明细接口!$L$440=0,"",[1]对账明细接口!$L$440),"")</f>
      </c>
      <c r="M440" s="16" t="str">
        <f>IFERROR(IF([1]对账明细接口!$M$440=0,"",[1]对账明细接口!$M$440),"")</f>
        <v>二黄</v>
      </c>
      <c r="N440" s="19">
        <f>IF($C440="",0,1)</f>
        <v>1</v>
      </c>
      <c r="O440" s="19">
        <f>N(O439)+$N440</f>
        <v>437</v>
      </c>
      <c r="S440" s="20" t="str">
        <f>IFERROR(IF([1]对账明细接口!$N440=0,"",[1]对账明细接口!$N440),"")</f>
        <v>公司红周转筐</v>
      </c>
      <c r="T440" s="212">
        <f>IFERROR(IF([1]对账明细接口!$O440=0,"",[1]对账明细接口!$O440),"")</f>
      </c>
      <c r="U440" s="212">
        <f>IFERROR(IF([1]对账明细接口!$P440=0,"",[1]对账明细接口!$P440),"")</f>
      </c>
      <c r="V440" s="212">
        <f>IFERROR(IF([1]对账明细接口!$Q440=0,"",[1]对账明细接口!$Q440),"")</f>
        <v>173</v>
      </c>
      <c r="W440" s="20" t="str">
        <f>IFERROR(IF([1]对账明细接口!$R440=0,"",[1]对账明细接口!$R440),"")</f>
        <v>新R*37010</v>
      </c>
      <c r="X440" s="20" t="str">
        <f>IFERROR(IF([1]对账明细接口!$S440=0,"",[1]对账明细接口!$S440),"")</f>
        <v>公司筐</v>
      </c>
      <c r="Y440" s="20">
        <f>IFERROR(IF([1]对账明细接口!$T440=0,"",[1]对账明细接口!$T440),"")</f>
      </c>
      <c r="Z440" s="213">
        <f>IFERROR(IF([1]对账明细接口!$U440=0,"",[1]对账明细接口!$U440),"")</f>
      </c>
      <c r="AA440" s="213">
        <f>IFERROR(IF([1]对账明细接口!$V440=0,"",[1]对账明细接口!$V440),"")</f>
      </c>
      <c r="AB440" s="20">
        <f>IFERROR(IF([1]对账明细接口!$W440=0,"",[1]对账明细接口!$W440),"")</f>
      </c>
      <c r="AC440" s="7">
        <f>IFERROR(IF([1]对账明细接口!$X440=0,"",[1]对账明细接口!$X440),"")</f>
      </c>
      <c r="AD440" s="7">
        <f>IFERROR(IF([1]对账明细接口!$Y440=0,"",[1]对账明细接口!$Y440),"")</f>
      </c>
      <c r="AE440" s="7">
        <f>IFERROR(IF([1]对账明细接口!$AA440=0,"",[1]对账明细接口!$AA440),"")</f>
      </c>
      <c r="AF440" s="7">
        <f>IFERROR(IF([1]对账明细接口!$AB440=0,"",[1]对账明细接口!$AB440),"")</f>
      </c>
      <c r="AG440" s="7">
        <f>IFERROR(IF([1]对账明细接口!$AC440=0,"",[1]对账明细接口!$AC440),"")</f>
      </c>
      <c r="AH440" s="7">
        <f>IFERROR(IF([1]对账明细接口!$AD440=0,"",[1]对账明细接口!$AD440),"")</f>
      </c>
      <c r="AI440" s="7">
        <f>IFERROR(IF([1]对账明细接口!$AE440=0,"",[1]对账明细接口!$AE440),"")</f>
      </c>
      <c r="AJ440" s="7">
        <f>IFERROR(IF([1]对账明细接口!$AF440=0,"",[1]对账明细接口!$AF440),"")</f>
      </c>
    </row>
    <row r="441" ht="14.25" customHeight="1" s="127">
      <c r="A441" s="14" t="n">
        <v>441</v>
      </c>
      <c r="B441" s="211">
        <f>IFERROR(IF([1]对账明细接口!$B$441=0,"",[1]对账明细接口!$B$441),"")</f>
        <v>46291.0</v>
      </c>
      <c r="C441" s="16" t="str">
        <f>IFERROR(IF([1]对账明细接口!$C$441=0,"",[1]对账明细接口!$C$441),"")</f>
        <v>王照雪</v>
      </c>
      <c r="D441" s="16" t="str">
        <f>IFERROR(IF([1]对账明细接口!$D$441=0,"",[1]对账明细接口!$D$441),"")</f>
        <v>原料入库</v>
      </c>
      <c r="E441" s="16" t="str">
        <f>IFERROR(IF([1]对账明细接口!$E$441=0,"",[1]对账明细接口!$E$441),"")</f>
        <v>NO:0000985</v>
      </c>
      <c r="F441" s="16" t="str">
        <f>IFERROR(IF([1]对账明细接口!$F$441=0,"",[1]对账明细接口!$F$441),"")</f>
        <v>苹果</v>
      </c>
      <c r="G441" s="16" t="str">
        <f>IFERROR(IF([1]对账明细接口!$G$441=0,"",[1]对账明细接口!$G$441),"")</f>
        <v>新世纪二级</v>
      </c>
      <c r="H441" s="176">
        <f>IFERROR(IF([1]对账明细接口!$H$441=0,"",[1]对账明细接口!$H$441),"")</f>
        <v>158</v>
      </c>
      <c r="I441" s="16" t="str">
        <f>IFERROR(IF([1]对账明细接口!$I$441=0,"",[1]对账明细接口!$I$441),"")</f>
        <v>筐</v>
      </c>
      <c r="J441" s="177">
        <f>IFERROR(IF([1]对账明细接口!$J$441=0,"",[1]对账明细接口!$J$441),"")</f>
        <v>3207.4</v>
      </c>
      <c r="K441" s="177">
        <f>IFERROR(IF([1]对账明细接口!$K$441=0,"",[1]对账明细接口!$K$441),"")</f>
      </c>
      <c r="L441" s="16">
        <f>IFERROR(IF([1]对账明细接口!$L$441=0,"",[1]对账明细接口!$L$441),"")</f>
      </c>
      <c r="M441" s="16">
        <f>IFERROR(IF([1]对账明细接口!$M$441=0,"",[1]对账明细接口!$M$441),"")</f>
      </c>
      <c r="N441" s="19">
        <f>IF($C441="",0,1)</f>
        <v>1</v>
      </c>
      <c r="O441" s="19">
        <f>N(O440)+$N441</f>
        <v>438</v>
      </c>
      <c r="S441" s="20" t="str">
        <f>IFERROR(IF([1]对账明细接口!$N441=0,"",[1]对账明细接口!$N441),"")</f>
        <v>公司杂周转筐</v>
      </c>
      <c r="T441" s="212">
        <f>IFERROR(IF([1]对账明细接口!$O441=0,"",[1]对账明细接口!$O441),"")</f>
      </c>
      <c r="U441" s="212">
        <f>IFERROR(IF([1]对账明细接口!$P441=0,"",[1]对账明细接口!$P441),"")</f>
      </c>
      <c r="V441" s="212">
        <f>IFERROR(IF([1]对账明细接口!$Q441=0,"",[1]对账明细接口!$Q441),"")</f>
        <v>158</v>
      </c>
      <c r="W441" s="20" t="str">
        <f>IFERROR(IF([1]对账明细接口!$R441=0,"",[1]对账明细接口!$R441),"")</f>
        <v>豫L*88X19</v>
      </c>
      <c r="X441" s="20" t="str">
        <f>IFERROR(IF([1]对账明细接口!$S441=0,"",[1]对账明细接口!$S441),"")</f>
        <v>公司筐</v>
      </c>
      <c r="Y441" s="20">
        <f>IFERROR(IF([1]对账明细接口!$T441=0,"",[1]对账明细接口!$T441),"")</f>
      </c>
      <c r="Z441" s="213">
        <f>IFERROR(IF([1]对账明细接口!$U441=0,"",[1]对账明细接口!$U441),"")</f>
      </c>
      <c r="AA441" s="213">
        <f>IFERROR(IF([1]对账明细接口!$V441=0,"",[1]对账明细接口!$V441),"")</f>
      </c>
      <c r="AB441" s="20">
        <f>IFERROR(IF([1]对账明细接口!$W441=0,"",[1]对账明细接口!$W441),"")</f>
      </c>
      <c r="AC441" s="7">
        <f>IFERROR(IF([1]对账明细接口!$X441=0,"",[1]对账明细接口!$X441),"")</f>
      </c>
      <c r="AD441" s="7">
        <f>IFERROR(IF([1]对账明细接口!$Y441=0,"",[1]对账明细接口!$Y441),"")</f>
      </c>
      <c r="AE441" s="7">
        <f>IFERROR(IF([1]对账明细接口!$AA441=0,"",[1]对账明细接口!$AA441),"")</f>
      </c>
      <c r="AF441" s="7">
        <f>IFERROR(IF([1]对账明细接口!$AB441=0,"",[1]对账明细接口!$AB441),"")</f>
      </c>
      <c r="AG441" s="7">
        <f>IFERROR(IF([1]对账明细接口!$AC441=0,"",[1]对账明细接口!$AC441),"")</f>
      </c>
      <c r="AH441" s="7">
        <f>IFERROR(IF([1]对账明细接口!$AD441=0,"",[1]对账明细接口!$AD441),"")</f>
      </c>
      <c r="AI441" s="7">
        <f>IFERROR(IF([1]对账明细接口!$AE441=0,"",[1]对账明细接口!$AE441),"")</f>
      </c>
      <c r="AJ441" s="7">
        <f>IFERROR(IF([1]对账明细接口!$AF441=0,"",[1]对账明细接口!$AF441),"")</f>
      </c>
    </row>
    <row r="442" ht="14.25" customHeight="1" s="127">
      <c r="A442" s="14" t="n">
        <v>442</v>
      </c>
      <c r="B442" s="211">
        <f>IFERROR(IF([1]对账明细接口!$B$442=0,"",[1]对账明细接口!$B$442),"")</f>
        <v>46291.0</v>
      </c>
      <c r="C442" s="16" t="str">
        <f>IFERROR(IF([1]对账明细接口!$C$442=0,"",[1]对账明细接口!$C$442),"")</f>
        <v>李现东</v>
      </c>
      <c r="D442" s="16" t="str">
        <f>IFERROR(IF([1]对账明细接口!$D$442=0,"",[1]对账明细接口!$D$442),"")</f>
        <v>原料入库</v>
      </c>
      <c r="E442" s="16" t="str">
        <f>IFERROR(IF([1]对账明细接口!$E$442=0,"",[1]对账明细接口!$E$442),"")</f>
        <v>NO:0000986</v>
      </c>
      <c r="F442" s="16" t="str">
        <f>IFERROR(IF([1]对账明细接口!$F$442=0,"",[1]对账明细接口!$F$442),"")</f>
        <v>香梨</v>
      </c>
      <c r="G442" s="16" t="str">
        <f>IFERROR(IF([1]对账明细接口!$G$442=0,"",[1]对账明细接口!$G$442),"")</f>
        <v>香梨一级</v>
      </c>
      <c r="H442" s="176">
        <f>IFERROR(IF([1]对账明细接口!$H$442=0,"",[1]对账明细接口!$H$442),"")</f>
        <v>297</v>
      </c>
      <c r="I442" s="16" t="str">
        <f>IFERROR(IF([1]对账明细接口!$I$442=0,"",[1]对账明细接口!$I$442),"")</f>
        <v>筐</v>
      </c>
      <c r="J442" s="177">
        <f>IFERROR(IF([1]对账明细接口!$J$442=0,"",[1]对账明细接口!$J$442),"")</f>
        <v>5435.1</v>
      </c>
      <c r="K442" s="177">
        <f>IFERROR(IF([1]对账明细接口!$K$442=0,"",[1]对账明细接口!$K$442),"")</f>
      </c>
      <c r="L442" s="16">
        <f>IFERROR(IF([1]对账明细接口!$L$442=0,"",[1]对账明细接口!$L$442),"")</f>
      </c>
      <c r="M442" s="16" t="str">
        <f>IFERROR(IF([1]对账明细接口!$M$442=0,"",[1]对账明细接口!$M$442),"")</f>
        <v>二黄</v>
      </c>
      <c r="N442" s="19">
        <f>IF($C442="",0,1)</f>
        <v>1</v>
      </c>
      <c r="O442" s="19">
        <f>N(O441)+$N442</f>
        <v>439</v>
      </c>
      <c r="S442" s="20" t="str">
        <f>IFERROR(IF([1]对账明细接口!$N442=0,"",[1]对账明细接口!$N442),"")</f>
        <v>公司杂周转筐</v>
      </c>
      <c r="T442" s="212">
        <f>IFERROR(IF([1]对账明细接口!$O442=0,"",[1]对账明细接口!$O442),"")</f>
      </c>
      <c r="U442" s="212">
        <f>IFERROR(IF([1]对账明细接口!$P442=0,"",[1]对账明细接口!$P442),"")</f>
      </c>
      <c r="V442" s="212">
        <f>IFERROR(IF([1]对账明细接口!$Q442=0,"",[1]对账明细接口!$Q442),"")</f>
        <v>297</v>
      </c>
      <c r="W442" s="20" t="str">
        <f>IFERROR(IF([1]对账明细接口!$R442=0,"",[1]对账明细接口!$R442),"")</f>
        <v>新N*53045</v>
      </c>
      <c r="X442" s="20" t="str">
        <f>IFERROR(IF([1]对账明细接口!$S442=0,"",[1]对账明细接口!$S442),"")</f>
        <v>公司筐</v>
      </c>
      <c r="Y442" s="20">
        <f>IFERROR(IF([1]对账明细接口!$T442=0,"",[1]对账明细接口!$T442),"")</f>
      </c>
      <c r="Z442" s="213">
        <f>IFERROR(IF([1]对账明细接口!$U442=0,"",[1]对账明细接口!$U442),"")</f>
      </c>
      <c r="AA442" s="213">
        <f>IFERROR(IF([1]对账明细接口!$V442=0,"",[1]对账明细接口!$V442),"")</f>
      </c>
      <c r="AB442" s="20">
        <f>IFERROR(IF([1]对账明细接口!$W442=0,"",[1]对账明细接口!$W442),"")</f>
      </c>
      <c r="AC442" s="7">
        <f>IFERROR(IF([1]对账明细接口!$X442=0,"",[1]对账明细接口!$X442),"")</f>
      </c>
      <c r="AD442" s="7">
        <f>IFERROR(IF([1]对账明细接口!$Y442=0,"",[1]对账明细接口!$Y442),"")</f>
      </c>
      <c r="AE442" s="7">
        <f>IFERROR(IF([1]对账明细接口!$AA442=0,"",[1]对账明细接口!$AA442),"")</f>
      </c>
      <c r="AF442" s="7">
        <f>IFERROR(IF([1]对账明细接口!$AB442=0,"",[1]对账明细接口!$AB442),"")</f>
      </c>
      <c r="AG442" s="7">
        <f>IFERROR(IF([1]对账明细接口!$AC442=0,"",[1]对账明细接口!$AC442),"")</f>
      </c>
      <c r="AH442" s="7">
        <f>IFERROR(IF([1]对账明细接口!$AD442=0,"",[1]对账明细接口!$AD442),"")</f>
      </c>
      <c r="AI442" s="7">
        <f>IFERROR(IF([1]对账明细接口!$AE442=0,"",[1]对账明细接口!$AE442),"")</f>
      </c>
      <c r="AJ442" s="7">
        <f>IFERROR(IF([1]对账明细接口!$AF442=0,"",[1]对账明细接口!$AF442),"")</f>
      </c>
    </row>
    <row r="443" ht="14.25" customHeight="1" s="127">
      <c r="A443" s="14" t="n">
        <v>443</v>
      </c>
      <c r="B443" s="211">
        <f>IFERROR(IF([1]对账明细接口!$B$443=0,"",[1]对账明细接口!$B$443),"")</f>
        <v>46291.0</v>
      </c>
      <c r="C443" s="16" t="str">
        <f>IFERROR(IF([1]对账明细接口!$C$443=0,"",[1]对账明细接口!$C$443),"")</f>
        <v>李现东</v>
      </c>
      <c r="D443" s="16" t="str">
        <f>IFERROR(IF([1]对账明细接口!$D$443=0,"",[1]对账明细接口!$D$443),"")</f>
        <v>原料入库</v>
      </c>
      <c r="E443" s="16" t="str">
        <f>IFERROR(IF([1]对账明细接口!$E$443=0,"",[1]对账明细接口!$E$443),"")</f>
        <v>NO:0000986</v>
      </c>
      <c r="F443" s="16" t="str">
        <f>IFERROR(IF([1]对账明细接口!$F$443=0,"",[1]对账明细接口!$F$443),"")</f>
        <v>香梨</v>
      </c>
      <c r="G443" s="16" t="str">
        <f>IFERROR(IF([1]对账明细接口!$G$443=0,"",[1]对账明细接口!$G$443),"")</f>
        <v>香梨二级</v>
      </c>
      <c r="H443" s="176">
        <f>IFERROR(IF([1]对账明细接口!$H$443=0,"",[1]对账明细接口!$H$443),"")</f>
        <v>54</v>
      </c>
      <c r="I443" s="16" t="str">
        <f>IFERROR(IF([1]对账明细接口!$I$443=0,"",[1]对账明细接口!$I$443),"")</f>
        <v>筐</v>
      </c>
      <c r="J443" s="177">
        <f>IFERROR(IF([1]对账明细接口!$J$443=0,"",[1]对账明细接口!$J$443),"")</f>
        <v>1204.2</v>
      </c>
      <c r="K443" s="177">
        <f>IFERROR(IF([1]对账明细接口!$K$443=0,"",[1]对账明细接口!$K$443),"")</f>
      </c>
      <c r="L443" s="16">
        <f>IFERROR(IF([1]对账明细接口!$L$443=0,"",[1]对账明细接口!$L$443),"")</f>
      </c>
      <c r="M443" s="16" t="str">
        <f>IFERROR(IF([1]对账明细接口!$M$443=0,"",[1]对账明细接口!$M$443),"")</f>
        <v>二黄</v>
      </c>
      <c r="N443" s="19">
        <f>IF($C443="",0,1)</f>
        <v>1</v>
      </c>
      <c r="O443" s="19">
        <f>N(O442)+$N443</f>
        <v>440</v>
      </c>
      <c r="S443" s="20" t="str">
        <f>IFERROR(IF([1]对账明细接口!$N443=0,"",[1]对账明细接口!$N443),"")</f>
        <v>公司杂周转筐</v>
      </c>
      <c r="T443" s="212">
        <f>IFERROR(IF([1]对账明细接口!$O443=0,"",[1]对账明细接口!$O443),"")</f>
      </c>
      <c r="U443" s="212">
        <f>IFERROR(IF([1]对账明细接口!$P443=0,"",[1]对账明细接口!$P443),"")</f>
      </c>
      <c r="V443" s="212">
        <f>IFERROR(IF([1]对账明细接口!$Q443=0,"",[1]对账明细接口!$Q443),"")</f>
        <v>54</v>
      </c>
      <c r="W443" s="20" t="str">
        <f>IFERROR(IF([1]对账明细接口!$R443=0,"",[1]对账明细接口!$R443),"")</f>
        <v>新N*53045</v>
      </c>
      <c r="X443" s="20" t="str">
        <f>IFERROR(IF([1]对账明细接口!$S443=0,"",[1]对账明细接口!$S443),"")</f>
        <v>公司筐</v>
      </c>
      <c r="Y443" s="20">
        <f>IFERROR(IF([1]对账明细接口!$T443=0,"",[1]对账明细接口!$T443),"")</f>
      </c>
      <c r="Z443" s="213">
        <f>IFERROR(IF([1]对账明细接口!$U443=0,"",[1]对账明细接口!$U443),"")</f>
      </c>
      <c r="AA443" s="213">
        <f>IFERROR(IF([1]对账明细接口!$V443=0,"",[1]对账明细接口!$V443),"")</f>
      </c>
      <c r="AB443" s="20">
        <f>IFERROR(IF([1]对账明细接口!$W443=0,"",[1]对账明细接口!$W443),"")</f>
      </c>
      <c r="AC443" s="7">
        <f>IFERROR(IF([1]对账明细接口!$X443=0,"",[1]对账明细接口!$X443),"")</f>
      </c>
      <c r="AD443" s="7">
        <f>IFERROR(IF([1]对账明细接口!$Y443=0,"",[1]对账明细接口!$Y443),"")</f>
      </c>
      <c r="AE443" s="7">
        <f>IFERROR(IF([1]对账明细接口!$AA443=0,"",[1]对账明细接口!$AA443),"")</f>
      </c>
      <c r="AF443" s="7">
        <f>IFERROR(IF([1]对账明细接口!$AB443=0,"",[1]对账明细接口!$AB443),"")</f>
      </c>
      <c r="AG443" s="7">
        <f>IFERROR(IF([1]对账明细接口!$AC443=0,"",[1]对账明细接口!$AC443),"")</f>
      </c>
      <c r="AH443" s="7">
        <f>IFERROR(IF([1]对账明细接口!$AD443=0,"",[1]对账明细接口!$AD443),"")</f>
      </c>
      <c r="AI443" s="7">
        <f>IFERROR(IF([1]对账明细接口!$AE443=0,"",[1]对账明细接口!$AE443),"")</f>
      </c>
      <c r="AJ443" s="7">
        <f>IFERROR(IF([1]对账明细接口!$AF443=0,"",[1]对账明细接口!$AF443),"")</f>
      </c>
    </row>
    <row r="444" ht="14.25" customHeight="1" s="127">
      <c r="A444" s="14" t="n">
        <v>444</v>
      </c>
      <c r="B444" s="211">
        <f>IFERROR(IF([1]对账明细接口!$B$444=0,"",[1]对账明细接口!$B$444),"")</f>
        <v>46291.0</v>
      </c>
      <c r="C444" s="16" t="str">
        <f>IFERROR(IF([1]对账明细接口!$C$444=0,"",[1]对账明细接口!$C$444),"")</f>
        <v>李现东</v>
      </c>
      <c r="D444" s="16" t="str">
        <f>IFERROR(IF([1]对账明细接口!$D$444=0,"",[1]对账明细接口!$D$444),"")</f>
        <v>原料入库</v>
      </c>
      <c r="E444" s="16" t="str">
        <f>IFERROR(IF([1]对账明细接口!$E$444=0,"",[1]对账明细接口!$E$444),"")</f>
        <v>NO:0000986</v>
      </c>
      <c r="F444" s="16" t="str">
        <f>IFERROR(IF([1]对账明细接口!$F$444=0,"",[1]对账明细接口!$F$444),"")</f>
        <v>香梨</v>
      </c>
      <c r="G444" s="16" t="str">
        <f>IFERROR(IF([1]对账明细接口!$G$444=0,"",[1]对账明细接口!$G$444),"")</f>
        <v>香梨副特</v>
      </c>
      <c r="H444" s="176">
        <f>IFERROR(IF([1]对账明细接口!$H$444=0,"",[1]对账明细接口!$H$444),"")</f>
        <v>30</v>
      </c>
      <c r="I444" s="16" t="str">
        <f>IFERROR(IF([1]对账明细接口!$I$444=0,"",[1]对账明细接口!$I$444),"")</f>
        <v>筐</v>
      </c>
      <c r="J444" s="177">
        <f>IFERROR(IF([1]对账明细接口!$J$444=0,"",[1]对账明细接口!$J$444),"")</f>
        <v>549</v>
      </c>
      <c r="K444" s="177">
        <f>IFERROR(IF([1]对账明细接口!$K$444=0,"",[1]对账明细接口!$K$444),"")</f>
      </c>
      <c r="L444" s="16">
        <f>IFERROR(IF([1]对账明细接口!$L$444=0,"",[1]对账明细接口!$L$444),"")</f>
      </c>
      <c r="M444" s="16" t="str">
        <f>IFERROR(IF([1]对账明细接口!$M$444=0,"",[1]对账明细接口!$M$444),"")</f>
        <v>二黄</v>
      </c>
      <c r="N444" s="19">
        <f>IF($C444="",0,1)</f>
        <v>1</v>
      </c>
      <c r="O444" s="19">
        <f>N(O443)+$N444</f>
        <v>441</v>
      </c>
      <c r="S444" s="20" t="str">
        <f>IFERROR(IF([1]对账明细接口!$N444=0,"",[1]对账明细接口!$N444),"")</f>
        <v>公司杂周转筐</v>
      </c>
      <c r="T444" s="212">
        <f>IFERROR(IF([1]对账明细接口!$O444=0,"",[1]对账明细接口!$O444),"")</f>
      </c>
      <c r="U444" s="212">
        <f>IFERROR(IF([1]对账明细接口!$P444=0,"",[1]对账明细接口!$P444),"")</f>
      </c>
      <c r="V444" s="212">
        <f>IFERROR(IF([1]对账明细接口!$Q444=0,"",[1]对账明细接口!$Q444),"")</f>
        <v>30</v>
      </c>
      <c r="W444" s="20" t="str">
        <f>IFERROR(IF([1]对账明细接口!$R444=0,"",[1]对账明细接口!$R444),"")</f>
        <v>新N*53045</v>
      </c>
      <c r="X444" s="20" t="str">
        <f>IFERROR(IF([1]对账明细接口!$S444=0,"",[1]对账明细接口!$S444),"")</f>
        <v>公司筐</v>
      </c>
      <c r="Y444" s="20">
        <f>IFERROR(IF([1]对账明细接口!$T444=0,"",[1]对账明细接口!$T444),"")</f>
      </c>
      <c r="Z444" s="213">
        <f>IFERROR(IF([1]对账明细接口!$U444=0,"",[1]对账明细接口!$U444),"")</f>
      </c>
      <c r="AA444" s="213">
        <f>IFERROR(IF([1]对账明细接口!$V444=0,"",[1]对账明细接口!$V444),"")</f>
      </c>
      <c r="AB444" s="20">
        <f>IFERROR(IF([1]对账明细接口!$W444=0,"",[1]对账明细接口!$W444),"")</f>
      </c>
      <c r="AC444" s="7">
        <f>IFERROR(IF([1]对账明细接口!$X444=0,"",[1]对账明细接口!$X444),"")</f>
      </c>
      <c r="AD444" s="7">
        <f>IFERROR(IF([1]对账明细接口!$Y444=0,"",[1]对账明细接口!$Y444),"")</f>
      </c>
      <c r="AE444" s="7">
        <f>IFERROR(IF([1]对账明细接口!$AA444=0,"",[1]对账明细接口!$AA444),"")</f>
      </c>
      <c r="AF444" s="7">
        <f>IFERROR(IF([1]对账明细接口!$AB444=0,"",[1]对账明细接口!$AB444),"")</f>
      </c>
      <c r="AG444" s="7">
        <f>IFERROR(IF([1]对账明细接口!$AC444=0,"",[1]对账明细接口!$AC444),"")</f>
      </c>
      <c r="AH444" s="7">
        <f>IFERROR(IF([1]对账明细接口!$AD444=0,"",[1]对账明细接口!$AD444),"")</f>
      </c>
      <c r="AI444" s="7">
        <f>IFERROR(IF([1]对账明细接口!$AE444=0,"",[1]对账明细接口!$AE444),"")</f>
      </c>
      <c r="AJ444" s="7">
        <f>IFERROR(IF([1]对账明细接口!$AF444=0,"",[1]对账明细接口!$AF444),"")</f>
      </c>
    </row>
    <row r="445" ht="14.25" customHeight="1" s="127">
      <c r="A445" s="14" t="n">
        <v>445</v>
      </c>
      <c r="B445" s="211">
        <f>IFERROR(IF([1]对账明细接口!$B$445=0,"",[1]对账明细接口!$B$445),"")</f>
        <v>46291.0</v>
      </c>
      <c r="C445" s="16" t="str">
        <f>IFERROR(IF([1]对账明细接口!$C$445=0,"",[1]对账明细接口!$C$445),"")</f>
        <v>荆建君</v>
      </c>
      <c r="D445" s="16" t="str">
        <f>IFERROR(IF([1]对账明细接口!$D$445=0,"",[1]对账明细接口!$D$445),"")</f>
        <v>原料入库</v>
      </c>
      <c r="E445" s="16" t="str">
        <f>IFERROR(IF([1]对账明细接口!$E$445=0,"",[1]对账明细接口!$E$445),"")</f>
        <v>NO:0000988</v>
      </c>
      <c r="F445" s="16" t="str">
        <f>IFERROR(IF([1]对账明细接口!$F$445=0,"",[1]对账明细接口!$F$445),"")</f>
        <v>香梨</v>
      </c>
      <c r="G445" s="16" t="str">
        <f>IFERROR(IF([1]对账明细接口!$G$445=0,"",[1]对账明细接口!$G$445),"")</f>
        <v>香梨一级</v>
      </c>
      <c r="H445" s="176">
        <f>IFERROR(IF([1]对账明细接口!$H$445=0,"",[1]对账明细接口!$H$445),"")</f>
        <v>416</v>
      </c>
      <c r="I445" s="16" t="str">
        <f>IFERROR(IF([1]对账明细接口!$I$445=0,"",[1]对账明细接口!$I$445),"")</f>
        <v>筐</v>
      </c>
      <c r="J445" s="177">
        <f>IFERROR(IF([1]对账明细接口!$J$445=0,"",[1]对账明细接口!$J$445),"")</f>
        <v>7612.8</v>
      </c>
      <c r="K445" s="177">
        <f>IFERROR(IF([1]对账明细接口!$K$445=0,"",[1]对账明细接口!$K$445),"")</f>
      </c>
      <c r="L445" s="16">
        <f>IFERROR(IF([1]对账明细接口!$L$445=0,"",[1]对账明细接口!$L$445),"")</f>
      </c>
      <c r="M445" s="16" t="str">
        <f>IFERROR(IF([1]对账明细接口!$M$445=0,"",[1]对账明细接口!$M$445),"")</f>
        <v>二黄</v>
      </c>
      <c r="N445" s="19">
        <f>IF($C445="",0,1)</f>
        <v>1</v>
      </c>
      <c r="O445" s="19">
        <f>N(O444)+$N445</f>
        <v>442</v>
      </c>
      <c r="S445" s="20" t="str">
        <f>IFERROR(IF([1]对账明细接口!$N445=0,"",[1]对账明细接口!$N445),"")</f>
        <v>公司红周转筐</v>
      </c>
      <c r="T445" s="212">
        <f>IFERROR(IF([1]对账明细接口!$O445=0,"",[1]对账明细接口!$O445),"")</f>
      </c>
      <c r="U445" s="212">
        <f>IFERROR(IF([1]对账明细接口!$P445=0,"",[1]对账明细接口!$P445),"")</f>
      </c>
      <c r="V445" s="212">
        <f>IFERROR(IF([1]对账明细接口!$Q445=0,"",[1]对账明细接口!$Q445),"")</f>
        <v>416</v>
      </c>
      <c r="W445" s="20" t="str">
        <f>IFERROR(IF([1]对账明细接口!$R445=0,"",[1]对账明细接口!$R445),"")</f>
        <v>豫A*2737K</v>
      </c>
      <c r="X445" s="20" t="str">
        <f>IFERROR(IF([1]对账明细接口!$S445=0,"",[1]对账明细接口!$S445),"")</f>
        <v>公司筐</v>
      </c>
      <c r="Y445" s="20">
        <f>IFERROR(IF([1]对账明细接口!$T445=0,"",[1]对账明细接口!$T445),"")</f>
      </c>
      <c r="Z445" s="213">
        <f>IFERROR(IF([1]对账明细接口!$U445=0,"",[1]对账明细接口!$U445),"")</f>
      </c>
      <c r="AA445" s="213">
        <f>IFERROR(IF([1]对账明细接口!$V445=0,"",[1]对账明细接口!$V445),"")</f>
      </c>
      <c r="AB445" s="20">
        <f>IFERROR(IF([1]对账明细接口!$W445=0,"",[1]对账明细接口!$W445),"")</f>
      </c>
      <c r="AC445" s="7">
        <f>IFERROR(IF([1]对账明细接口!$X445=0,"",[1]对账明细接口!$X445),"")</f>
      </c>
      <c r="AD445" s="7">
        <f>IFERROR(IF([1]对账明细接口!$Y445=0,"",[1]对账明细接口!$Y445),"")</f>
      </c>
      <c r="AE445" s="7">
        <f>IFERROR(IF([1]对账明细接口!$AA445=0,"",[1]对账明细接口!$AA445),"")</f>
      </c>
      <c r="AF445" s="7">
        <f>IFERROR(IF([1]对账明细接口!$AB445=0,"",[1]对账明细接口!$AB445),"")</f>
      </c>
      <c r="AG445" s="7">
        <f>IFERROR(IF([1]对账明细接口!$AC445=0,"",[1]对账明细接口!$AC445),"")</f>
      </c>
      <c r="AH445" s="7">
        <f>IFERROR(IF([1]对账明细接口!$AD445=0,"",[1]对账明细接口!$AD445),"")</f>
      </c>
      <c r="AI445" s="7">
        <f>IFERROR(IF([1]对账明细接口!$AE445=0,"",[1]对账明细接口!$AE445),"")</f>
      </c>
      <c r="AJ445" s="7">
        <f>IFERROR(IF([1]对账明细接口!$AF445=0,"",[1]对账明细接口!$AF445),"")</f>
      </c>
    </row>
    <row r="446" ht="14.25" customHeight="1" s="127">
      <c r="A446" s="14" t="n">
        <v>446</v>
      </c>
      <c r="B446" s="211">
        <f>IFERROR(IF([1]对账明细接口!$B$446=0,"",[1]对账明细接口!$B$446),"")</f>
        <v>46291.0</v>
      </c>
      <c r="C446" s="16" t="str">
        <f>IFERROR(IF([1]对账明细接口!$C$446=0,"",[1]对账明细接口!$C$446),"")</f>
        <v>荆建君</v>
      </c>
      <c r="D446" s="16" t="str">
        <f>IFERROR(IF([1]对账明细接口!$D$446=0,"",[1]对账明细接口!$D$446),"")</f>
        <v>原料入库</v>
      </c>
      <c r="E446" s="16" t="str">
        <f>IFERROR(IF([1]对账明细接口!$E$446=0,"",[1]对账明细接口!$E$446),"")</f>
        <v>NO:0000988</v>
      </c>
      <c r="F446" s="16" t="str">
        <f>IFERROR(IF([1]对账明细接口!$F$446=0,"",[1]对账明细接口!$F$446),"")</f>
        <v>香梨</v>
      </c>
      <c r="G446" s="16" t="str">
        <f>IFERROR(IF([1]对账明细接口!$G$446=0,"",[1]对账明细接口!$G$446),"")</f>
        <v>香梨二级</v>
      </c>
      <c r="H446" s="176">
        <f>IFERROR(IF([1]对账明细接口!$H$446=0,"",[1]对账明细接口!$H$446),"")</f>
        <v>232</v>
      </c>
      <c r="I446" s="16" t="str">
        <f>IFERROR(IF([1]对账明细接口!$I$446=0,"",[1]对账明细接口!$I$446),"")</f>
        <v>筐</v>
      </c>
      <c r="J446" s="177">
        <f>IFERROR(IF([1]对账明细接口!$J$446=0,"",[1]对账明细接口!$J$446),"")</f>
        <v>4245.6</v>
      </c>
      <c r="K446" s="177">
        <f>IFERROR(IF([1]对账明细接口!$K$446=0,"",[1]对账明细接口!$K$446),"")</f>
      </c>
      <c r="L446" s="16">
        <f>IFERROR(IF([1]对账明细接口!$L$446=0,"",[1]对账明细接口!$L$446),"")</f>
      </c>
      <c r="M446" s="16" t="str">
        <f>IFERROR(IF([1]对账明细接口!$M$446=0,"",[1]对账明细接口!$M$446),"")</f>
        <v>二黄</v>
      </c>
      <c r="N446" s="19">
        <f>IF($C446="",0,1)</f>
        <v>1</v>
      </c>
      <c r="O446" s="19">
        <f>N(O445)+$N446</f>
        <v>443</v>
      </c>
      <c r="S446" s="20" t="str">
        <f>IFERROR(IF([1]对账明细接口!$N446=0,"",[1]对账明细接口!$N446),"")</f>
        <v>公司红周转筐</v>
      </c>
      <c r="T446" s="212">
        <f>IFERROR(IF([1]对账明细接口!$O446=0,"",[1]对账明细接口!$O446),"")</f>
      </c>
      <c r="U446" s="212">
        <f>IFERROR(IF([1]对账明细接口!$P446=0,"",[1]对账明细接口!$P446),"")</f>
      </c>
      <c r="V446" s="212">
        <f>IFERROR(IF([1]对账明细接口!$Q446=0,"",[1]对账明细接口!$Q446),"")</f>
        <v>232</v>
      </c>
      <c r="W446" s="20" t="str">
        <f>IFERROR(IF([1]对账明细接口!$R446=0,"",[1]对账明细接口!$R446),"")</f>
        <v>豫A*2737K</v>
      </c>
      <c r="X446" s="20" t="str">
        <f>IFERROR(IF([1]对账明细接口!$S446=0,"",[1]对账明细接口!$S446),"")</f>
        <v>公司筐</v>
      </c>
      <c r="Y446" s="20">
        <f>IFERROR(IF([1]对账明细接口!$T446=0,"",[1]对账明细接口!$T446),"")</f>
      </c>
      <c r="Z446" s="213">
        <f>IFERROR(IF([1]对账明细接口!$U446=0,"",[1]对账明细接口!$U446),"")</f>
      </c>
      <c r="AA446" s="213">
        <f>IFERROR(IF([1]对账明细接口!$V446=0,"",[1]对账明细接口!$V446),"")</f>
      </c>
      <c r="AB446" s="20">
        <f>IFERROR(IF([1]对账明细接口!$W446=0,"",[1]对账明细接口!$W446),"")</f>
      </c>
      <c r="AC446" s="7">
        <f>IFERROR(IF([1]对账明细接口!$X446=0,"",[1]对账明细接口!$X446),"")</f>
      </c>
      <c r="AD446" s="7">
        <f>IFERROR(IF([1]对账明细接口!$Y446=0,"",[1]对账明细接口!$Y446),"")</f>
      </c>
      <c r="AE446" s="7">
        <f>IFERROR(IF([1]对账明细接口!$AA446=0,"",[1]对账明细接口!$AA446),"")</f>
      </c>
      <c r="AF446" s="7">
        <f>IFERROR(IF([1]对账明细接口!$AB446=0,"",[1]对账明细接口!$AB446),"")</f>
      </c>
      <c r="AG446" s="7">
        <f>IFERROR(IF([1]对账明细接口!$AC446=0,"",[1]对账明细接口!$AC446),"")</f>
      </c>
      <c r="AH446" s="7">
        <f>IFERROR(IF([1]对账明细接口!$AD446=0,"",[1]对账明细接口!$AD446),"")</f>
      </c>
      <c r="AI446" s="7">
        <f>IFERROR(IF([1]对账明细接口!$AE446=0,"",[1]对账明细接口!$AE446),"")</f>
      </c>
      <c r="AJ446" s="7">
        <f>IFERROR(IF([1]对账明细接口!$AF446=0,"",[1]对账明细接口!$AF446),"")</f>
      </c>
    </row>
    <row r="447" ht="14.25" customHeight="1" s="127">
      <c r="A447" s="14" t="n">
        <v>447</v>
      </c>
      <c r="B447" s="211">
        <f>IFERROR(IF([1]对账明细接口!$B$447=0,"",[1]对账明细接口!$B$447),"")</f>
        <v>46291.0</v>
      </c>
      <c r="C447" s="16" t="str">
        <f>IFERROR(IF([1]对账明细接口!$C$447=0,"",[1]对账明细接口!$C$447),"")</f>
        <v>努尔敦</v>
      </c>
      <c r="D447" s="16" t="str">
        <f>IFERROR(IF([1]对账明细接口!$D$447=0,"",[1]对账明细接口!$D$447),"")</f>
        <v>原料入库</v>
      </c>
      <c r="E447" s="16" t="str">
        <f>IFERROR(IF([1]对账明细接口!$E$447=0,"",[1]对账明细接口!$E$447),"")</f>
        <v>NO:0000990</v>
      </c>
      <c r="F447" s="16" t="str">
        <f>IFERROR(IF([1]对账明细接口!$F$447=0,"",[1]对账明细接口!$F$447),"")</f>
        <v>香梨</v>
      </c>
      <c r="G447" s="16" t="str">
        <f>IFERROR(IF([1]对账明细接口!$G$447=0,"",[1]对账明细接口!$G$447),"")</f>
        <v>香梨特级</v>
      </c>
      <c r="H447" s="176">
        <f>IFERROR(IF([1]对账明细接口!$H$447=0,"",[1]对账明细接口!$H$447),"")</f>
        <v>257</v>
      </c>
      <c r="I447" s="16" t="str">
        <f>IFERROR(IF([1]对账明细接口!$I$447=0,"",[1]对账明细接口!$I$447),"")</f>
        <v>筐</v>
      </c>
      <c r="J447" s="177">
        <f>IFERROR(IF([1]对账明细接口!$J$447=0,"",[1]对账明细接口!$J$447),"")</f>
        <v>4703.1</v>
      </c>
      <c r="K447" s="177">
        <f>IFERROR(IF([1]对账明细接口!$K$447=0,"",[1]对账明细接口!$K$447),"")</f>
      </c>
      <c r="L447" s="16">
        <f>IFERROR(IF([1]对账明细接口!$L$447=0,"",[1]对账明细接口!$L$447),"")</f>
      </c>
      <c r="M447" s="16">
        <f>IFERROR(IF([1]对账明细接口!$M$447=0,"",[1]对账明细接口!$M$447),"")</f>
      </c>
      <c r="N447" s="19">
        <f>IF($C447="",0,1)</f>
        <v>1</v>
      </c>
      <c r="O447" s="19">
        <f>N(O446)+$N447</f>
        <v>444</v>
      </c>
      <c r="S447" s="20" t="str">
        <f>IFERROR(IF([1]对账明细接口!$N447=0,"",[1]对账明细接口!$N447),"")</f>
        <v>公司红周转筐</v>
      </c>
      <c r="T447" s="212">
        <f>IFERROR(IF([1]对账明细接口!$O447=0,"",[1]对账明细接口!$O447),"")</f>
      </c>
      <c r="U447" s="212">
        <f>IFERROR(IF([1]对账明细接口!$P447=0,"",[1]对账明细接口!$P447),"")</f>
      </c>
      <c r="V447" s="212">
        <f>IFERROR(IF([1]对账明细接口!$Q447=0,"",[1]对账明细接口!$Q447),"")</f>
        <v>257</v>
      </c>
      <c r="W447" s="20" t="str">
        <f>IFERROR(IF([1]对账明细接口!$R447=0,"",[1]对账明细接口!$R447),"")</f>
        <v>新F*75240</v>
      </c>
      <c r="X447" s="20" t="str">
        <f>IFERROR(IF([1]对账明细接口!$S447=0,"",[1]对账明细接口!$S447),"")</f>
        <v>公司筐</v>
      </c>
      <c r="Y447" s="20">
        <f>IFERROR(IF([1]对账明细接口!$T447=0,"",[1]对账明细接口!$T447),"")</f>
      </c>
      <c r="Z447" s="213">
        <f>IFERROR(IF([1]对账明细接口!$U447=0,"",[1]对账明细接口!$U447),"")</f>
      </c>
      <c r="AA447" s="213">
        <f>IFERROR(IF([1]对账明细接口!$V447=0,"",[1]对账明细接口!$V447),"")</f>
      </c>
      <c r="AB447" s="20">
        <f>IFERROR(IF([1]对账明细接口!$W447=0,"",[1]对账明细接口!$W447),"")</f>
      </c>
      <c r="AC447" s="7">
        <f>IFERROR(IF([1]对账明细接口!$X447=0,"",[1]对账明细接口!$X447),"")</f>
      </c>
      <c r="AD447" s="7">
        <f>IFERROR(IF([1]对账明细接口!$Y447=0,"",[1]对账明细接口!$Y447),"")</f>
      </c>
      <c r="AE447" s="7">
        <f>IFERROR(IF([1]对账明细接口!$AA447=0,"",[1]对账明细接口!$AA447),"")</f>
      </c>
      <c r="AF447" s="7">
        <f>IFERROR(IF([1]对账明细接口!$AB447=0,"",[1]对账明细接口!$AB447),"")</f>
      </c>
      <c r="AG447" s="7">
        <f>IFERROR(IF([1]对账明细接口!$AC447=0,"",[1]对账明细接口!$AC447),"")</f>
      </c>
      <c r="AH447" s="7">
        <f>IFERROR(IF([1]对账明细接口!$AD447=0,"",[1]对账明细接口!$AD447),"")</f>
      </c>
      <c r="AI447" s="7">
        <f>IFERROR(IF([1]对账明细接口!$AE447=0,"",[1]对账明细接口!$AE447),"")</f>
      </c>
      <c r="AJ447" s="7">
        <f>IFERROR(IF([1]对账明细接口!$AF447=0,"",[1]对账明细接口!$AF447),"")</f>
      </c>
    </row>
    <row r="448" ht="14.25" customHeight="1" s="127">
      <c r="A448" s="14" t="n">
        <v>448</v>
      </c>
      <c r="B448" s="211">
        <f>IFERROR(IF([1]对账明细接口!$B$448=0,"",[1]对账明细接口!$B$448),"")</f>
        <v>46291.0</v>
      </c>
      <c r="C448" s="16" t="str">
        <f>IFERROR(IF([1]对账明细接口!$C$448=0,"",[1]对账明细接口!$C$448),"")</f>
        <v>努尔敦</v>
      </c>
      <c r="D448" s="16" t="str">
        <f>IFERROR(IF([1]对账明细接口!$D$448=0,"",[1]对账明细接口!$D$448),"")</f>
        <v>原料入库</v>
      </c>
      <c r="E448" s="16" t="str">
        <f>IFERROR(IF([1]对账明细接口!$E$448=0,"",[1]对账明细接口!$E$448),"")</f>
        <v>NO:0000990</v>
      </c>
      <c r="F448" s="16" t="str">
        <f>IFERROR(IF([1]对账明细接口!$F$448=0,"",[1]对账明细接口!$F$448),"")</f>
        <v>香梨</v>
      </c>
      <c r="G448" s="16" t="str">
        <f>IFERROR(IF([1]对账明细接口!$G$448=0,"",[1]对账明细接口!$G$448),"")</f>
        <v>香梨一级</v>
      </c>
      <c r="H448" s="176">
        <f>IFERROR(IF([1]对账明细接口!$H$448=0,"",[1]对账明细接口!$H$448),"")</f>
        <v>232</v>
      </c>
      <c r="I448" s="16" t="str">
        <f>IFERROR(IF([1]对账明细接口!$I$448=0,"",[1]对账明细接口!$I$448),"")</f>
        <v>筐</v>
      </c>
      <c r="J448" s="177">
        <f>IFERROR(IF([1]对账明细接口!$J$448=0,"",[1]对账明细接口!$J$448),"")</f>
        <v>4245.6</v>
      </c>
      <c r="K448" s="177">
        <f>IFERROR(IF([1]对账明细接口!$K$448=0,"",[1]对账明细接口!$K$448),"")</f>
      </c>
      <c r="L448" s="16">
        <f>IFERROR(IF([1]对账明细接口!$L$448=0,"",[1]对账明细接口!$L$448),"")</f>
      </c>
      <c r="M448" s="16">
        <f>IFERROR(IF([1]对账明细接口!$M$448=0,"",[1]对账明细接口!$M$448),"")</f>
      </c>
      <c r="N448" s="19">
        <f>IF($C448="",0,1)</f>
        <v>1</v>
      </c>
      <c r="O448" s="19">
        <f>N(O447)+$N448</f>
        <v>445</v>
      </c>
      <c r="S448" s="20" t="str">
        <f>IFERROR(IF([1]对账明细接口!$N448=0,"",[1]对账明细接口!$N448),"")</f>
        <v>公司红周转筐</v>
      </c>
      <c r="T448" s="212">
        <f>IFERROR(IF([1]对账明细接口!$O448=0,"",[1]对账明细接口!$O448),"")</f>
      </c>
      <c r="U448" s="212">
        <f>IFERROR(IF([1]对账明细接口!$P448=0,"",[1]对账明细接口!$P448),"")</f>
      </c>
      <c r="V448" s="212">
        <f>IFERROR(IF([1]对账明细接口!$Q448=0,"",[1]对账明细接口!$Q448),"")</f>
        <v>232</v>
      </c>
      <c r="W448" s="20" t="str">
        <f>IFERROR(IF([1]对账明细接口!$R448=0,"",[1]对账明细接口!$R448),"")</f>
        <v>新F*75240</v>
      </c>
      <c r="X448" s="20" t="str">
        <f>IFERROR(IF([1]对账明细接口!$S448=0,"",[1]对账明细接口!$S448),"")</f>
        <v>公司筐</v>
      </c>
      <c r="Y448" s="20">
        <f>IFERROR(IF([1]对账明细接口!$T448=0,"",[1]对账明细接口!$T448),"")</f>
      </c>
      <c r="Z448" s="213">
        <f>IFERROR(IF([1]对账明细接口!$U448=0,"",[1]对账明细接口!$U448),"")</f>
      </c>
      <c r="AA448" s="213">
        <f>IFERROR(IF([1]对账明细接口!$V448=0,"",[1]对账明细接口!$V448),"")</f>
      </c>
      <c r="AB448" s="20">
        <f>IFERROR(IF([1]对账明细接口!$W448=0,"",[1]对账明细接口!$W448),"")</f>
      </c>
      <c r="AC448" s="7">
        <f>IFERROR(IF([1]对账明细接口!$X448=0,"",[1]对账明细接口!$X448),"")</f>
      </c>
      <c r="AD448" s="7">
        <f>IFERROR(IF([1]对账明细接口!$Y448=0,"",[1]对账明细接口!$Y448),"")</f>
      </c>
      <c r="AE448" s="7">
        <f>IFERROR(IF([1]对账明细接口!$AA448=0,"",[1]对账明细接口!$AA448),"")</f>
      </c>
      <c r="AF448" s="7">
        <f>IFERROR(IF([1]对账明细接口!$AB448=0,"",[1]对账明细接口!$AB448),"")</f>
      </c>
      <c r="AG448" s="7">
        <f>IFERROR(IF([1]对账明细接口!$AC448=0,"",[1]对账明细接口!$AC448),"")</f>
      </c>
      <c r="AH448" s="7">
        <f>IFERROR(IF([1]对账明细接口!$AD448=0,"",[1]对账明细接口!$AD448),"")</f>
      </c>
      <c r="AI448" s="7">
        <f>IFERROR(IF([1]对账明细接口!$AE448=0,"",[1]对账明细接口!$AE448),"")</f>
      </c>
      <c r="AJ448" s="7">
        <f>IFERROR(IF([1]对账明细接口!$AF448=0,"",[1]对账明细接口!$AF448),"")</f>
      </c>
    </row>
    <row r="449" ht="14.25" customHeight="1" s="127">
      <c r="A449" s="14" t="n">
        <v>449</v>
      </c>
      <c r="B449" s="211">
        <f>IFERROR(IF([1]对账明细接口!$B$449=0,"",[1]对账明细接口!$B$449),"")</f>
        <v>46291.0</v>
      </c>
      <c r="C449" s="16" t="str">
        <f>IFERROR(IF([1]对账明细接口!$C$449=0,"",[1]对账明细接口!$C$449),"")</f>
        <v>努尔敦</v>
      </c>
      <c r="D449" s="16" t="str">
        <f>IFERROR(IF([1]对账明细接口!$D$449=0,"",[1]对账明细接口!$D$449),"")</f>
        <v>原料入库</v>
      </c>
      <c r="E449" s="16" t="str">
        <f>IFERROR(IF([1]对账明细接口!$E$449=0,"",[1]对账明细接口!$E$449),"")</f>
        <v>NO:0000990</v>
      </c>
      <c r="F449" s="16" t="str">
        <f>IFERROR(IF([1]对账明细接口!$F$449=0,"",[1]对账明细接口!$F$449),"")</f>
        <v>香梨</v>
      </c>
      <c r="G449" s="16" t="str">
        <f>IFERROR(IF([1]对账明细接口!$G$449=0,"",[1]对账明细接口!$G$449),"")</f>
        <v>香梨二级</v>
      </c>
      <c r="H449" s="176">
        <f>IFERROR(IF([1]对账明细接口!$H$449=0,"",[1]对账明细接口!$H$449),"")</f>
        <v>152</v>
      </c>
      <c r="I449" s="16" t="str">
        <f>IFERROR(IF([1]对账明细接口!$I$449=0,"",[1]对账明细接口!$I$449),"")</f>
        <v>筐</v>
      </c>
      <c r="J449" s="177">
        <f>IFERROR(IF([1]对账明细接口!$J$449=0,"",[1]对账明细接口!$J$449),"")</f>
        <v>3389.6</v>
      </c>
      <c r="K449" s="177">
        <f>IFERROR(IF([1]对账明细接口!$K$449=0,"",[1]对账明细接口!$K$449),"")</f>
      </c>
      <c r="L449" s="16">
        <f>IFERROR(IF([1]对账明细接口!$L$449=0,"",[1]对账明细接口!$L$449),"")</f>
      </c>
      <c r="M449" s="16">
        <f>IFERROR(IF([1]对账明细接口!$M$449=0,"",[1]对账明细接口!$M$449),"")</f>
      </c>
      <c r="N449" s="19">
        <f>IF($C449="",0,1)</f>
        <v>1</v>
      </c>
      <c r="O449" s="19">
        <f>N(O448)+$N449</f>
        <v>446</v>
      </c>
      <c r="S449" s="20" t="str">
        <f>IFERROR(IF([1]对账明细接口!$N449=0,"",[1]对账明细接口!$N449),"")</f>
        <v>公司红周转筐</v>
      </c>
      <c r="T449" s="212">
        <f>IFERROR(IF([1]对账明细接口!$O449=0,"",[1]对账明细接口!$O449),"")</f>
      </c>
      <c r="U449" s="212">
        <f>IFERROR(IF([1]对账明细接口!$P449=0,"",[1]对账明细接口!$P449),"")</f>
      </c>
      <c r="V449" s="212">
        <f>IFERROR(IF([1]对账明细接口!$Q449=0,"",[1]对账明细接口!$Q449),"")</f>
        <v>152</v>
      </c>
      <c r="W449" s="20" t="str">
        <f>IFERROR(IF([1]对账明细接口!$R449=0,"",[1]对账明细接口!$R449),"")</f>
        <v>新F*75240</v>
      </c>
      <c r="X449" s="20" t="str">
        <f>IFERROR(IF([1]对账明细接口!$S449=0,"",[1]对账明细接口!$S449),"")</f>
        <v>公司筐</v>
      </c>
      <c r="Y449" s="20">
        <f>IFERROR(IF([1]对账明细接口!$T449=0,"",[1]对账明细接口!$T449),"")</f>
      </c>
      <c r="Z449" s="213">
        <f>IFERROR(IF([1]对账明细接口!$U449=0,"",[1]对账明细接口!$U449),"")</f>
      </c>
      <c r="AA449" s="213">
        <f>IFERROR(IF([1]对账明细接口!$V449=0,"",[1]对账明细接口!$V449),"")</f>
      </c>
      <c r="AB449" s="20">
        <f>IFERROR(IF([1]对账明细接口!$W449=0,"",[1]对账明细接口!$W449),"")</f>
      </c>
      <c r="AC449" s="7">
        <f>IFERROR(IF([1]对账明细接口!$X449=0,"",[1]对账明细接口!$X449),"")</f>
      </c>
      <c r="AD449" s="7">
        <f>IFERROR(IF([1]对账明细接口!$Y449=0,"",[1]对账明细接口!$Y449),"")</f>
      </c>
      <c r="AE449" s="7">
        <f>IFERROR(IF([1]对账明细接口!$AA449=0,"",[1]对账明细接口!$AA449),"")</f>
      </c>
      <c r="AF449" s="7">
        <f>IFERROR(IF([1]对账明细接口!$AB449=0,"",[1]对账明细接口!$AB449),"")</f>
      </c>
      <c r="AG449" s="7">
        <f>IFERROR(IF([1]对账明细接口!$AC449=0,"",[1]对账明细接口!$AC449),"")</f>
      </c>
      <c r="AH449" s="7">
        <f>IFERROR(IF([1]对账明细接口!$AD449=0,"",[1]对账明细接口!$AD449),"")</f>
      </c>
      <c r="AI449" s="7">
        <f>IFERROR(IF([1]对账明细接口!$AE449=0,"",[1]对账明细接口!$AE449),"")</f>
      </c>
      <c r="AJ449" s="7">
        <f>IFERROR(IF([1]对账明细接口!$AF449=0,"",[1]对账明细接口!$AF449),"")</f>
      </c>
    </row>
    <row r="450" ht="14.25" customHeight="1" s="127">
      <c r="A450" s="14" t="n">
        <v>450</v>
      </c>
      <c r="B450" s="211">
        <f>IFERROR(IF([1]对账明细接口!$B$450=0,"",[1]对账明细接口!$B$450),"")</f>
        <v>46291.0</v>
      </c>
      <c r="C450" s="16" t="str">
        <f>IFERROR(IF([1]对账明细接口!$C$450=0,"",[1]对账明细接口!$C$450),"")</f>
        <v>王灵云</v>
      </c>
      <c r="D450" s="16" t="str">
        <f>IFERROR(IF([1]对账明细接口!$D$450=0,"",[1]对账明细接口!$D$450),"")</f>
        <v>原料入库</v>
      </c>
      <c r="E450" s="16" t="str">
        <f>IFERROR(IF([1]对账明细接口!$E$450=0,"",[1]对账明细接口!$E$450),"")</f>
        <v>NO:0000991</v>
      </c>
      <c r="F450" s="16" t="str">
        <f>IFERROR(IF([1]对账明细接口!$F$450=0,"",[1]对账明细接口!$F$450),"")</f>
        <v>香梨</v>
      </c>
      <c r="G450" s="16" t="str">
        <f>IFERROR(IF([1]对账明细接口!$G$450=0,"",[1]对账明细接口!$G$450),"")</f>
        <v>香梨一级</v>
      </c>
      <c r="H450" s="176">
        <f>IFERROR(IF([1]对账明细接口!$H$450=0,"",[1]对账明细接口!$H$450),"")</f>
        <v>399</v>
      </c>
      <c r="I450" s="16" t="str">
        <f>IFERROR(IF([1]对账明细接口!$I$450=0,"",[1]对账明细接口!$I$450),"")</f>
        <v>筐</v>
      </c>
      <c r="J450" s="177">
        <f>IFERROR(IF([1]对账明细接口!$J$450=0,"",[1]对账明细接口!$J$450),"")</f>
        <v>7182</v>
      </c>
      <c r="K450" s="177">
        <f>IFERROR(IF([1]对账明细接口!$K$450=0,"",[1]对账明细接口!$K$450),"")</f>
      </c>
      <c r="L450" s="16">
        <f>IFERROR(IF([1]对账明细接口!$L$450=0,"",[1]对账明细接口!$L$450),"")</f>
      </c>
      <c r="M450" s="16" t="str">
        <f>IFERROR(IF([1]对账明细接口!$M$450=0,"",[1]对账明细接口!$M$450),"")</f>
        <v>左/二黄</v>
      </c>
      <c r="N450" s="19">
        <f>IF($C450="",0,1)</f>
        <v>1</v>
      </c>
      <c r="O450" s="19">
        <f>N(O449)+$N450</f>
        <v>447</v>
      </c>
      <c r="S450" s="20" t="str">
        <f>IFERROR(IF([1]对账明细接口!$N450=0,"",[1]对账明细接口!$N450),"")</f>
        <v>公司红周转筐</v>
      </c>
      <c r="T450" s="212">
        <f>IFERROR(IF([1]对账明细接口!$O450=0,"",[1]对账明细接口!$O450),"")</f>
      </c>
      <c r="U450" s="212">
        <f>IFERROR(IF([1]对账明细接口!$P450=0,"",[1]对账明细接口!$P450),"")</f>
      </c>
      <c r="V450" s="212">
        <f>IFERROR(IF([1]对账明细接口!$Q450=0,"",[1]对账明细接口!$Q450),"")</f>
        <v>399</v>
      </c>
      <c r="W450" s="20" t="str">
        <f>IFERROR(IF([1]对账明细接口!$R450=0,"",[1]对账明细接口!$R450),"")</f>
        <v>新N*49209</v>
      </c>
      <c r="X450" s="20" t="str">
        <f>IFERROR(IF([1]对账明细接口!$S450=0,"",[1]对账明细接口!$S450),"")</f>
        <v>公司筐</v>
      </c>
      <c r="Y450" s="20">
        <f>IFERROR(IF([1]对账明细接口!$T450=0,"",[1]对账明细接口!$T450),"")</f>
      </c>
      <c r="Z450" s="213">
        <f>IFERROR(IF([1]对账明细接口!$U450=0,"",[1]对账明细接口!$U450),"")</f>
      </c>
      <c r="AA450" s="213">
        <f>IFERROR(IF([1]对账明细接口!$V450=0,"",[1]对账明细接口!$V450),"")</f>
      </c>
      <c r="AB450" s="20">
        <f>IFERROR(IF([1]对账明细接口!$W450=0,"",[1]对账明细接口!$W450),"")</f>
      </c>
      <c r="AC450" s="7">
        <f>IFERROR(IF([1]对账明细接口!$X450=0,"",[1]对账明细接口!$X450),"")</f>
      </c>
      <c r="AD450" s="7">
        <f>IFERROR(IF([1]对账明细接口!$Y450=0,"",[1]对账明细接口!$Y450),"")</f>
      </c>
      <c r="AE450" s="7">
        <f>IFERROR(IF([1]对账明细接口!$AA450=0,"",[1]对账明细接口!$AA450),"")</f>
      </c>
      <c r="AF450" s="7">
        <f>IFERROR(IF([1]对账明细接口!$AB450=0,"",[1]对账明细接口!$AB450),"")</f>
      </c>
      <c r="AG450" s="7">
        <f>IFERROR(IF([1]对账明细接口!$AC450=0,"",[1]对账明细接口!$AC450),"")</f>
      </c>
      <c r="AH450" s="7">
        <f>IFERROR(IF([1]对账明细接口!$AD450=0,"",[1]对账明细接口!$AD450),"")</f>
      </c>
      <c r="AI450" s="7">
        <f>IFERROR(IF([1]对账明细接口!$AE450=0,"",[1]对账明细接口!$AE450),"")</f>
      </c>
      <c r="AJ450" s="7">
        <f>IFERROR(IF([1]对账明细接口!$AF450=0,"",[1]对账明细接口!$AF450),"")</f>
      </c>
    </row>
    <row r="451" ht="14.25" customHeight="1" s="127">
      <c r="A451" s="14" t="n">
        <v>451</v>
      </c>
      <c r="B451" s="211">
        <f>IFERROR(IF([1]对账明细接口!$B$451=0,"",[1]对账明细接口!$B$451),"")</f>
        <v>46291.0</v>
      </c>
      <c r="C451" s="16" t="str">
        <f>IFERROR(IF([1]对账明细接口!$C$451=0,"",[1]对账明细接口!$C$451),"")</f>
        <v>王灵云</v>
      </c>
      <c r="D451" s="16" t="str">
        <f>IFERROR(IF([1]对账明细接口!$D$451=0,"",[1]对账明细接口!$D$451),"")</f>
        <v>原料入库</v>
      </c>
      <c r="E451" s="16" t="str">
        <f>IFERROR(IF([1]对账明细接口!$E$451=0,"",[1]对账明细接口!$E$451),"")</f>
        <v>NO:0000991</v>
      </c>
      <c r="F451" s="16" t="str">
        <f>IFERROR(IF([1]对账明细接口!$F$451=0,"",[1]对账明细接口!$F$451),"")</f>
        <v>香梨</v>
      </c>
      <c r="G451" s="16" t="str">
        <f>IFERROR(IF([1]对账明细接口!$G$451=0,"",[1]对账明细接口!$G$451),"")</f>
        <v>香梨二级</v>
      </c>
      <c r="H451" s="176">
        <f>IFERROR(IF([1]对账明细接口!$H$451=0,"",[1]对账明细接口!$H$451),"")</f>
        <v>28</v>
      </c>
      <c r="I451" s="16" t="str">
        <f>IFERROR(IF([1]对账明细接口!$I$451=0,"",[1]对账明细接口!$I$451),"")</f>
        <v>筐</v>
      </c>
      <c r="J451" s="177">
        <f>IFERROR(IF([1]对账明细接口!$J$451=0,"",[1]对账明细接口!$J$451),"")</f>
        <v>616</v>
      </c>
      <c r="K451" s="177">
        <f>IFERROR(IF([1]对账明细接口!$K$451=0,"",[1]对账明细接口!$K$451),"")</f>
      </c>
      <c r="L451" s="16">
        <f>IFERROR(IF([1]对账明细接口!$L$451=0,"",[1]对账明细接口!$L$451),"")</f>
      </c>
      <c r="M451" s="16" t="str">
        <f>IFERROR(IF([1]对账明细接口!$M$451=0,"",[1]对账明细接口!$M$451),"")</f>
        <v>左/二黄</v>
      </c>
      <c r="N451" s="19">
        <f>IF($C451="",0,1)</f>
        <v>1</v>
      </c>
      <c r="O451" s="19">
        <f>N(O450)+$N451</f>
        <v>448</v>
      </c>
      <c r="S451" s="20" t="str">
        <f>IFERROR(IF([1]对账明细接口!$N451=0,"",[1]对账明细接口!$N451),"")</f>
        <v>公司红周转筐</v>
      </c>
      <c r="T451" s="212">
        <f>IFERROR(IF([1]对账明细接口!$O451=0,"",[1]对账明细接口!$O451),"")</f>
      </c>
      <c r="U451" s="212">
        <f>IFERROR(IF([1]对账明细接口!$P451=0,"",[1]对账明细接口!$P451),"")</f>
      </c>
      <c r="V451" s="212">
        <f>IFERROR(IF([1]对账明细接口!$Q451=0,"",[1]对账明细接口!$Q451),"")</f>
        <v>28</v>
      </c>
      <c r="W451" s="20" t="str">
        <f>IFERROR(IF([1]对账明细接口!$R451=0,"",[1]对账明细接口!$R451),"")</f>
        <v>新N*49209</v>
      </c>
      <c r="X451" s="20" t="str">
        <f>IFERROR(IF([1]对账明细接口!$S451=0,"",[1]对账明细接口!$S451),"")</f>
        <v>公司筐</v>
      </c>
      <c r="Y451" s="20">
        <f>IFERROR(IF([1]对账明细接口!$T451=0,"",[1]对账明细接口!$T451),"")</f>
      </c>
      <c r="Z451" s="213">
        <f>IFERROR(IF([1]对账明细接口!$U451=0,"",[1]对账明细接口!$U451),"")</f>
      </c>
      <c r="AA451" s="213">
        <f>IFERROR(IF([1]对账明细接口!$V451=0,"",[1]对账明细接口!$V451),"")</f>
      </c>
      <c r="AB451" s="20">
        <f>IFERROR(IF([1]对账明细接口!$W451=0,"",[1]对账明细接口!$W451),"")</f>
      </c>
      <c r="AC451" s="7">
        <f>IFERROR(IF([1]对账明细接口!$X451=0,"",[1]对账明细接口!$X451),"")</f>
      </c>
      <c r="AD451" s="7">
        <f>IFERROR(IF([1]对账明细接口!$Y451=0,"",[1]对账明细接口!$Y451),"")</f>
      </c>
      <c r="AE451" s="7">
        <f>IFERROR(IF([1]对账明细接口!$AA451=0,"",[1]对账明细接口!$AA451),"")</f>
      </c>
      <c r="AF451" s="7">
        <f>IFERROR(IF([1]对账明细接口!$AB451=0,"",[1]对账明细接口!$AB451),"")</f>
      </c>
      <c r="AG451" s="7">
        <f>IFERROR(IF([1]对账明细接口!$AC451=0,"",[1]对账明细接口!$AC451),"")</f>
      </c>
      <c r="AH451" s="7">
        <f>IFERROR(IF([1]对账明细接口!$AD451=0,"",[1]对账明细接口!$AD451),"")</f>
      </c>
      <c r="AI451" s="7">
        <f>IFERROR(IF([1]对账明细接口!$AE451=0,"",[1]对账明细接口!$AE451),"")</f>
      </c>
      <c r="AJ451" s="7">
        <f>IFERROR(IF([1]对账明细接口!$AF451=0,"",[1]对账明细接口!$AF451),"")</f>
      </c>
    </row>
    <row r="452" ht="14.25" customHeight="1" s="127">
      <c r="A452" s="14" t="n">
        <v>452</v>
      </c>
      <c r="B452" s="211">
        <f>IFERROR(IF([1]对账明细接口!$B$452=0,"",[1]对账明细接口!$B$452),"")</f>
        <v>46291.0</v>
      </c>
      <c r="C452" s="16" t="str">
        <f>IFERROR(IF([1]对账明细接口!$C$452=0,"",[1]对账明细接口!$C$452),"")</f>
        <v>吐尔地</v>
      </c>
      <c r="D452" s="16" t="str">
        <f>IFERROR(IF([1]对账明细接口!$D$452=0,"",[1]对账明细接口!$D$452),"")</f>
        <v>原料入库</v>
      </c>
      <c r="E452" s="16" t="str">
        <f>IFERROR(IF([1]对账明细接口!$E$452=0,"",[1]对账明细接口!$E$452),"")</f>
        <v>NO:0000992</v>
      </c>
      <c r="F452" s="16" t="str">
        <f>IFERROR(IF([1]对账明细接口!$F$452=0,"",[1]对账明细接口!$F$452),"")</f>
        <v>香梨</v>
      </c>
      <c r="G452" s="16" t="str">
        <f>IFERROR(IF([1]对账明细接口!$G$452=0,"",[1]对账明细接口!$G$452),"")</f>
        <v>香梨一级</v>
      </c>
      <c r="H452" s="176">
        <f>IFERROR(IF([1]对账明细接口!$H$452=0,"",[1]对账明细接口!$H$452),"")</f>
        <v>102</v>
      </c>
      <c r="I452" s="16" t="str">
        <f>IFERROR(IF([1]对账明细接口!$I$452=0,"",[1]对账明细接口!$I$452),"")</f>
        <v>筐</v>
      </c>
      <c r="J452" s="177">
        <f>IFERROR(IF([1]对账明细接口!$J$452=0,"",[1]对账明细接口!$J$452),"")</f>
        <v>1866.6</v>
      </c>
      <c r="K452" s="177">
        <f>IFERROR(IF([1]对账明细接口!$K$452=0,"",[1]对账明细接口!$K$452),"")</f>
      </c>
      <c r="L452" s="16">
        <f>IFERROR(IF([1]对账明细接口!$L$452=0,"",[1]对账明细接口!$L$452),"")</f>
      </c>
      <c r="M452" s="16" t="str">
        <f>IFERROR(IF([1]对账明细接口!$M$452=0,"",[1]对账明细接口!$M$452),"")</f>
        <v>二黄</v>
      </c>
      <c r="N452" s="19">
        <f>IF($C452="",0,1)</f>
        <v>1</v>
      </c>
      <c r="O452" s="19">
        <f>N(O451)+$N452</f>
        <v>449</v>
      </c>
      <c r="S452" s="20" t="str">
        <f>IFERROR(IF([1]对账明细接口!$N452=0,"",[1]对账明细接口!$N452),"")</f>
        <v>公司红周转筐</v>
      </c>
      <c r="T452" s="212">
        <f>IFERROR(IF([1]对账明细接口!$O452=0,"",[1]对账明细接口!$O452),"")</f>
      </c>
      <c r="U452" s="212">
        <f>IFERROR(IF([1]对账明细接口!$P452=0,"",[1]对账明细接口!$P452),"")</f>
      </c>
      <c r="V452" s="212">
        <f>IFERROR(IF([1]对账明细接口!$Q452=0,"",[1]对账明细接口!$Q452),"")</f>
        <v>102</v>
      </c>
      <c r="W452" s="20" t="str">
        <f>IFERROR(IF([1]对账明细接口!$R452=0,"",[1]对账明细接口!$R452),"")</f>
        <v>新N*X8S48</v>
      </c>
      <c r="X452" s="20" t="str">
        <f>IFERROR(IF([1]对账明细接口!$S452=0,"",[1]对账明细接口!$S452),"")</f>
        <v>公司筐</v>
      </c>
      <c r="Y452" s="20">
        <f>IFERROR(IF([1]对账明细接口!$T452=0,"",[1]对账明细接口!$T452),"")</f>
      </c>
      <c r="Z452" s="213">
        <f>IFERROR(IF([1]对账明细接口!$U452=0,"",[1]对账明细接口!$U452),"")</f>
      </c>
      <c r="AA452" s="213">
        <f>IFERROR(IF([1]对账明细接口!$V452=0,"",[1]对账明细接口!$V452),"")</f>
      </c>
      <c r="AB452" s="20">
        <f>IFERROR(IF([1]对账明细接口!$W452=0,"",[1]对账明细接口!$W452),"")</f>
      </c>
      <c r="AC452" s="7">
        <f>IFERROR(IF([1]对账明细接口!$X452=0,"",[1]对账明细接口!$X452),"")</f>
      </c>
      <c r="AD452" s="7">
        <f>IFERROR(IF([1]对账明细接口!$Y452=0,"",[1]对账明细接口!$Y452),"")</f>
      </c>
      <c r="AE452" s="7">
        <f>IFERROR(IF([1]对账明细接口!$AA452=0,"",[1]对账明细接口!$AA452),"")</f>
      </c>
      <c r="AF452" s="7">
        <f>IFERROR(IF([1]对账明细接口!$AB452=0,"",[1]对账明细接口!$AB452),"")</f>
      </c>
      <c r="AG452" s="7">
        <f>IFERROR(IF([1]对账明细接口!$AC452=0,"",[1]对账明细接口!$AC452),"")</f>
      </c>
      <c r="AH452" s="7">
        <f>IFERROR(IF([1]对账明细接口!$AD452=0,"",[1]对账明细接口!$AD452),"")</f>
      </c>
      <c r="AI452" s="7">
        <f>IFERROR(IF([1]对账明细接口!$AE452=0,"",[1]对账明细接口!$AE452),"")</f>
      </c>
      <c r="AJ452" s="7">
        <f>IFERROR(IF([1]对账明细接口!$AF452=0,"",[1]对账明细接口!$AF452),"")</f>
      </c>
    </row>
    <row r="453" ht="14.25" customHeight="1" s="127">
      <c r="A453" s="14" t="n">
        <v>453</v>
      </c>
      <c r="B453" s="211">
        <f>IFERROR(IF([1]对账明细接口!$B$453=0,"",[1]对账明细接口!$B$453),"")</f>
        <v>46291.0</v>
      </c>
      <c r="C453" s="16" t="str">
        <f>IFERROR(IF([1]对账明细接口!$C$453=0,"",[1]对账明细接口!$C$453),"")</f>
        <v>吐尔地</v>
      </c>
      <c r="D453" s="16" t="str">
        <f>IFERROR(IF([1]对账明细接口!$D$453=0,"",[1]对账明细接口!$D$453),"")</f>
        <v>原料入库</v>
      </c>
      <c r="E453" s="16" t="str">
        <f>IFERROR(IF([1]对账明细接口!$E$453=0,"",[1]对账明细接口!$E$453),"")</f>
        <v>NO:0000992</v>
      </c>
      <c r="F453" s="16" t="str">
        <f>IFERROR(IF([1]对账明细接口!$F$453=0,"",[1]对账明细接口!$F$453),"")</f>
        <v>香梨</v>
      </c>
      <c r="G453" s="16" t="str">
        <f>IFERROR(IF([1]对账明细接口!$G$453=0,"",[1]对账明细接口!$G$453),"")</f>
        <v>香梨二级</v>
      </c>
      <c r="H453" s="176">
        <f>IFERROR(IF([1]对账明细接口!$H$453=0,"",[1]对账明细接口!$H$453),"")</f>
        <v>61</v>
      </c>
      <c r="I453" s="16" t="str">
        <f>IFERROR(IF([1]对账明细接口!$I$453=0,"",[1]对账明细接口!$I$453),"")</f>
        <v>筐</v>
      </c>
      <c r="J453" s="177">
        <f>IFERROR(IF([1]对账明细接口!$J$453=0,"",[1]对账明细接口!$J$453),"")</f>
        <v>1360.3</v>
      </c>
      <c r="K453" s="177">
        <f>IFERROR(IF([1]对账明细接口!$K$453=0,"",[1]对账明细接口!$K$453),"")</f>
      </c>
      <c r="L453" s="16">
        <f>IFERROR(IF([1]对账明细接口!$L$453=0,"",[1]对账明细接口!$L$453),"")</f>
      </c>
      <c r="M453" s="16" t="str">
        <f>IFERROR(IF([1]对账明细接口!$M$453=0,"",[1]对账明细接口!$M$453),"")</f>
        <v>二黄</v>
      </c>
      <c r="N453" s="19">
        <f>IF($C453="",0,1)</f>
        <v>1</v>
      </c>
      <c r="O453" s="19">
        <f>N(O452)+$N453</f>
        <v>450</v>
      </c>
      <c r="S453" s="20" t="str">
        <f>IFERROR(IF([1]对账明细接口!$N453=0,"",[1]对账明细接口!$N453),"")</f>
        <v>公司红周转筐</v>
      </c>
      <c r="T453" s="212">
        <f>IFERROR(IF([1]对账明细接口!$O453=0,"",[1]对账明细接口!$O453),"")</f>
      </c>
      <c r="U453" s="212">
        <f>IFERROR(IF([1]对账明细接口!$P453=0,"",[1]对账明细接口!$P453),"")</f>
      </c>
      <c r="V453" s="212">
        <f>IFERROR(IF([1]对账明细接口!$Q453=0,"",[1]对账明细接口!$Q453),"")</f>
        <v>61</v>
      </c>
      <c r="W453" s="20" t="str">
        <f>IFERROR(IF([1]对账明细接口!$R453=0,"",[1]对账明细接口!$R453),"")</f>
        <v>新N*X8S48</v>
      </c>
      <c r="X453" s="20" t="str">
        <f>IFERROR(IF([1]对账明细接口!$S453=0,"",[1]对账明细接口!$S453),"")</f>
        <v>公司筐</v>
      </c>
      <c r="Y453" s="20">
        <f>IFERROR(IF([1]对账明细接口!$T453=0,"",[1]对账明细接口!$T453),"")</f>
      </c>
      <c r="Z453" s="213">
        <f>IFERROR(IF([1]对账明细接口!$U453=0,"",[1]对账明细接口!$U453),"")</f>
      </c>
      <c r="AA453" s="213">
        <f>IFERROR(IF([1]对账明细接口!$V453=0,"",[1]对账明细接口!$V453),"")</f>
      </c>
      <c r="AB453" s="20">
        <f>IFERROR(IF([1]对账明细接口!$W453=0,"",[1]对账明细接口!$W453),"")</f>
      </c>
      <c r="AC453" s="7">
        <f>IFERROR(IF([1]对账明细接口!$X453=0,"",[1]对账明细接口!$X453),"")</f>
      </c>
      <c r="AD453" s="7">
        <f>IFERROR(IF([1]对账明细接口!$Y453=0,"",[1]对账明细接口!$Y453),"")</f>
      </c>
      <c r="AE453" s="7">
        <f>IFERROR(IF([1]对账明细接口!$AA453=0,"",[1]对账明细接口!$AA453),"")</f>
      </c>
      <c r="AF453" s="7">
        <f>IFERROR(IF([1]对账明细接口!$AB453=0,"",[1]对账明细接口!$AB453),"")</f>
      </c>
      <c r="AG453" s="7">
        <f>IFERROR(IF([1]对账明细接口!$AC453=0,"",[1]对账明细接口!$AC453),"")</f>
      </c>
      <c r="AH453" s="7">
        <f>IFERROR(IF([1]对账明细接口!$AD453=0,"",[1]对账明细接口!$AD453),"")</f>
      </c>
      <c r="AI453" s="7">
        <f>IFERROR(IF([1]对账明细接口!$AE453=0,"",[1]对账明细接口!$AE453),"")</f>
      </c>
      <c r="AJ453" s="7">
        <f>IFERROR(IF([1]对账明细接口!$AF453=0,"",[1]对账明细接口!$AF453),"")</f>
      </c>
    </row>
    <row r="454" ht="14.25" customHeight="1" s="127">
      <c r="A454" s="14" t="n">
        <v>454</v>
      </c>
      <c r="B454" s="211">
        <f>IFERROR(IF([1]对账明细接口!$B$454=0,"",[1]对账明细接口!$B$454),"")</f>
        <v>46291.0</v>
      </c>
      <c r="C454" s="16" t="str">
        <f>IFERROR(IF([1]对账明细接口!$C$454=0,"",[1]对账明细接口!$C$454),"")</f>
        <v>吐尔地</v>
      </c>
      <c r="D454" s="16" t="str">
        <f>IFERROR(IF([1]对账明细接口!$D$454=0,"",[1]对账明细接口!$D$454),"")</f>
        <v>原料入库</v>
      </c>
      <c r="E454" s="16" t="str">
        <f>IFERROR(IF([1]对账明细接口!$E$454=0,"",[1]对账明细接口!$E$454),"")</f>
        <v>NO:0000992</v>
      </c>
      <c r="F454" s="16" t="str">
        <f>IFERROR(IF([1]对账明细接口!$F$454=0,"",[1]对账明细接口!$F$454),"")</f>
        <v>香梨</v>
      </c>
      <c r="G454" s="16" t="str">
        <f>IFERROR(IF([1]对账明细接口!$G$454=0,"",[1]对账明细接口!$G$454),"")</f>
        <v>香梨副特</v>
      </c>
      <c r="H454" s="176">
        <f>IFERROR(IF([1]对账明细接口!$H$454=0,"",[1]对账明细接口!$H$454),"")</f>
        <v>40</v>
      </c>
      <c r="I454" s="16" t="str">
        <f>IFERROR(IF([1]对账明细接口!$I$454=0,"",[1]对账明细接口!$I$454),"")</f>
        <v>筐</v>
      </c>
      <c r="J454" s="177">
        <f>IFERROR(IF([1]对账明细接口!$J$454=0,"",[1]对账明细接口!$J$454),"")</f>
        <v>732</v>
      </c>
      <c r="K454" s="177">
        <f>IFERROR(IF([1]对账明细接口!$K$454=0,"",[1]对账明细接口!$K$454),"")</f>
      </c>
      <c r="L454" s="16">
        <f>IFERROR(IF([1]对账明细接口!$L$454=0,"",[1]对账明细接口!$L$454),"")</f>
      </c>
      <c r="M454" s="16" t="str">
        <f>IFERROR(IF([1]对账明细接口!$M$454=0,"",[1]对账明细接口!$M$454),"")</f>
        <v>二黄</v>
      </c>
      <c r="N454" s="19">
        <f>IF($C454="",0,1)</f>
        <v>1</v>
      </c>
      <c r="O454" s="19">
        <f>N(O453)+$N454</f>
        <v>451</v>
      </c>
      <c r="S454" s="20" t="str">
        <f>IFERROR(IF([1]对账明细接口!$N454=0,"",[1]对账明细接口!$N454),"")</f>
        <v>公司红周转筐</v>
      </c>
      <c r="T454" s="212">
        <f>IFERROR(IF([1]对账明细接口!$O454=0,"",[1]对账明细接口!$O454),"")</f>
      </c>
      <c r="U454" s="212">
        <f>IFERROR(IF([1]对账明细接口!$P454=0,"",[1]对账明细接口!$P454),"")</f>
      </c>
      <c r="V454" s="212">
        <f>IFERROR(IF([1]对账明细接口!$Q454=0,"",[1]对账明细接口!$Q454),"")</f>
        <v>40</v>
      </c>
      <c r="W454" s="20" t="str">
        <f>IFERROR(IF([1]对账明细接口!$R454=0,"",[1]对账明细接口!$R454),"")</f>
        <v>新N*X8S48</v>
      </c>
      <c r="X454" s="20" t="str">
        <f>IFERROR(IF([1]对账明细接口!$S454=0,"",[1]对账明细接口!$S454),"")</f>
        <v>公司筐</v>
      </c>
      <c r="Y454" s="20">
        <f>IFERROR(IF([1]对账明细接口!$T454=0,"",[1]对账明细接口!$T454),"")</f>
      </c>
      <c r="Z454" s="213">
        <f>IFERROR(IF([1]对账明细接口!$U454=0,"",[1]对账明细接口!$U454),"")</f>
      </c>
      <c r="AA454" s="213">
        <f>IFERROR(IF([1]对账明细接口!$V454=0,"",[1]对账明细接口!$V454),"")</f>
      </c>
      <c r="AB454" s="20">
        <f>IFERROR(IF([1]对账明细接口!$W454=0,"",[1]对账明细接口!$W454),"")</f>
      </c>
      <c r="AC454" s="7">
        <f>IFERROR(IF([1]对账明细接口!$X454=0,"",[1]对账明细接口!$X454),"")</f>
      </c>
      <c r="AD454" s="7">
        <f>IFERROR(IF([1]对账明细接口!$Y454=0,"",[1]对账明细接口!$Y454),"")</f>
      </c>
      <c r="AE454" s="7">
        <f>IFERROR(IF([1]对账明细接口!$AA454=0,"",[1]对账明细接口!$AA454),"")</f>
      </c>
      <c r="AF454" s="7">
        <f>IFERROR(IF([1]对账明细接口!$AB454=0,"",[1]对账明细接口!$AB454),"")</f>
      </c>
      <c r="AG454" s="7">
        <f>IFERROR(IF([1]对账明细接口!$AC454=0,"",[1]对账明细接口!$AC454),"")</f>
      </c>
      <c r="AH454" s="7">
        <f>IFERROR(IF([1]对账明细接口!$AD454=0,"",[1]对账明细接口!$AD454),"")</f>
      </c>
      <c r="AI454" s="7">
        <f>IFERROR(IF([1]对账明细接口!$AE454=0,"",[1]对账明细接口!$AE454),"")</f>
      </c>
      <c r="AJ454" s="7">
        <f>IFERROR(IF([1]对账明细接口!$AF454=0,"",[1]对账明细接口!$AF454),"")</f>
      </c>
    </row>
    <row r="455" ht="14.25" customHeight="1" s="127">
      <c r="A455" s="14" t="n">
        <v>455</v>
      </c>
      <c r="B455" s="211">
        <f>IFERROR(IF([1]对账明细接口!$B$455=0,"",[1]对账明细接口!$B$455),"")</f>
        <v>46291.0</v>
      </c>
      <c r="C455" s="16" t="str">
        <f>IFERROR(IF([1]对账明细接口!$C$455=0,"",[1]对账明细接口!$C$455),"")</f>
        <v>吐尔地</v>
      </c>
      <c r="D455" s="16" t="str">
        <f>IFERROR(IF([1]对账明细接口!$D$455=0,"",[1]对账明细接口!$D$455),"")</f>
        <v>原料入库</v>
      </c>
      <c r="E455" s="16" t="str">
        <f>IFERROR(IF([1]对账明细接口!$E$455=0,"",[1]对账明细接口!$E$455),"")</f>
        <v>NO:0000992</v>
      </c>
      <c r="F455" s="16" t="str">
        <f>IFERROR(IF([1]对账明细接口!$F$455=0,"",[1]对账明细接口!$F$455),"")</f>
        <v>香梨</v>
      </c>
      <c r="G455" s="16" t="str">
        <f>IFERROR(IF([1]对账明细接口!$G$455=0,"",[1]对账明细接口!$G$455),"")</f>
        <v>香梨副特</v>
      </c>
      <c r="H455" s="176">
        <f>IFERROR(IF([1]对账明细接口!$H$455=0,"",[1]对账明细接口!$H$455),"")</f>
        <v>63</v>
      </c>
      <c r="I455" s="16" t="str">
        <f>IFERROR(IF([1]对账明细接口!$I$455=0,"",[1]对账明细接口!$I$455),"")</f>
        <v>筐</v>
      </c>
      <c r="J455" s="177">
        <f>IFERROR(IF([1]对账明细接口!$J$455=0,"",[1]对账明细接口!$J$455),"")</f>
        <v>1152.9</v>
      </c>
      <c r="K455" s="177">
        <f>IFERROR(IF([1]对账明细接口!$K$455=0,"",[1]对账明细接口!$K$455),"")</f>
      </c>
      <c r="L455" s="16">
        <f>IFERROR(IF([1]对账明细接口!$L$455=0,"",[1]对账明细接口!$L$455),"")</f>
      </c>
      <c r="M455" s="16" t="str">
        <f>IFERROR(IF([1]对账明细接口!$M$455=0,"",[1]对账明细接口!$M$455),"")</f>
        <v>二黄</v>
      </c>
      <c r="N455" s="19">
        <f>IF($C455="",0,1)</f>
        <v>1</v>
      </c>
      <c r="O455" s="19">
        <f>N(O454)+$N455</f>
        <v>452</v>
      </c>
      <c r="S455" s="20" t="str">
        <f>IFERROR(IF([1]对账明细接口!$N455=0,"",[1]对账明细接口!$N455),"")</f>
        <v>自备杂周转筐</v>
      </c>
      <c r="T455" s="212">
        <f>IFERROR(IF([1]对账明细接口!$O455=0,"",[1]对账明细接口!$O455),"")</f>
      </c>
      <c r="U455" s="212">
        <f>IFERROR(IF([1]对账明细接口!$P455=0,"",[1]对账明细接口!$P455),"")</f>
      </c>
      <c r="V455" s="212">
        <f>IFERROR(IF([1]对账明细接口!$Q455=0,"",[1]对账明细接口!$Q455),"")</f>
        <v>63</v>
      </c>
      <c r="W455" s="20" t="str">
        <f>IFERROR(IF([1]对账明细接口!$R455=0,"",[1]对账明细接口!$R455),"")</f>
        <v>新N*X8S48</v>
      </c>
      <c r="X455" s="20" t="str">
        <f>IFERROR(IF([1]对账明细接口!$S455=0,"",[1]对账明细接口!$S455),"")</f>
        <v>自备筐</v>
      </c>
      <c r="Y455" s="20">
        <f>IFERROR(IF([1]对账明细接口!$T455=0,"",[1]对账明细接口!$T455),"")</f>
      </c>
      <c r="Z455" s="213">
        <f>IFERROR(IF([1]对账明细接口!$U455=0,"",[1]对账明细接口!$U455),"")</f>
      </c>
      <c r="AA455" s="213">
        <f>IFERROR(IF([1]对账明细接口!$V455=0,"",[1]对账明细接口!$V455),"")</f>
      </c>
      <c r="AB455" s="20">
        <f>IFERROR(IF([1]对账明细接口!$W455=0,"",[1]对账明细接口!$W455),"")</f>
      </c>
      <c r="AC455" s="7">
        <f>IFERROR(IF([1]对账明细接口!$X455=0,"",[1]对账明细接口!$X455),"")</f>
      </c>
      <c r="AD455" s="7">
        <f>IFERROR(IF([1]对账明细接口!$Y455=0,"",[1]对账明细接口!$Y455),"")</f>
      </c>
      <c r="AE455" s="7">
        <f>IFERROR(IF([1]对账明细接口!$AA455=0,"",[1]对账明细接口!$AA455),"")</f>
      </c>
      <c r="AF455" s="7">
        <f>IFERROR(IF([1]对账明细接口!$AB455=0,"",[1]对账明细接口!$AB455),"")</f>
      </c>
      <c r="AG455" s="7">
        <f>IFERROR(IF([1]对账明细接口!$AC455=0,"",[1]对账明细接口!$AC455),"")</f>
      </c>
      <c r="AH455" s="7">
        <f>IFERROR(IF([1]对账明细接口!$AD455=0,"",[1]对账明细接口!$AD455),"")</f>
      </c>
      <c r="AI455" s="7">
        <f>IFERROR(IF([1]对账明细接口!$AE455=0,"",[1]对账明细接口!$AE455),"")</f>
      </c>
      <c r="AJ455" s="7">
        <f>IFERROR(IF([1]对账明细接口!$AF455=0,"",[1]对账明细接口!$AF455),"")</f>
      </c>
    </row>
    <row r="456" ht="14.25" customHeight="1" s="127">
      <c r="A456" s="14" t="n">
        <v>456</v>
      </c>
      <c r="B456" s="211">
        <f>IFERROR(IF([1]对账明细接口!$B$456=0,"",[1]对账明细接口!$B$456),"")</f>
        <v>46291.0</v>
      </c>
      <c r="C456" s="16" t="str">
        <f>IFERROR(IF([1]对账明细接口!$C$456=0,"",[1]对账明细接口!$C$456),"")</f>
        <v>阿布都</v>
      </c>
      <c r="D456" s="16" t="str">
        <f>IFERROR(IF([1]对账明细接口!$D$456=0,"",[1]对账明细接口!$D$456),"")</f>
        <v>原料入库</v>
      </c>
      <c r="E456" s="16" t="str">
        <f>IFERROR(IF([1]对账明细接口!$E$456=0,"",[1]对账明细接口!$E$456),"")</f>
        <v>NO:0000993</v>
      </c>
      <c r="F456" s="16" t="str">
        <f>IFERROR(IF([1]对账明细接口!$F$456=0,"",[1]对账明细接口!$F$456),"")</f>
        <v>香梨</v>
      </c>
      <c r="G456" s="16" t="str">
        <f>IFERROR(IF([1]对账明细接口!$G$456=0,"",[1]对账明细接口!$G$456),"")</f>
        <v>香梨特级</v>
      </c>
      <c r="H456" s="176">
        <f>IFERROR(IF([1]对账明细接口!$H$456=0,"",[1]对账明细接口!$H$456),"")</f>
        <v>165</v>
      </c>
      <c r="I456" s="16" t="str">
        <f>IFERROR(IF([1]对账明细接口!$I$456=0,"",[1]对账明细接口!$I$456),"")</f>
        <v>筐</v>
      </c>
      <c r="J456" s="177">
        <f>IFERROR(IF([1]对账明细接口!$J$456=0,"",[1]对账明细接口!$J$456),"")</f>
        <v>3019.5</v>
      </c>
      <c r="K456" s="177">
        <f>IFERROR(IF([1]对账明细接口!$K$456=0,"",[1]对账明细接口!$K$456),"")</f>
      </c>
      <c r="L456" s="16">
        <f>IFERROR(IF([1]对账明细接口!$L$456=0,"",[1]对账明细接口!$L$456),"")</f>
      </c>
      <c r="M456" s="16" t="str">
        <f>IFERROR(IF([1]对账明细接口!$M$456=0,"",[1]对账明细接口!$M$456),"")</f>
        <v>努尔敦/二黄</v>
      </c>
      <c r="N456" s="19">
        <f>IF($C456="",0,1)</f>
        <v>1</v>
      </c>
      <c r="O456" s="19">
        <f>N(O455)+$N456</f>
        <v>453</v>
      </c>
      <c r="S456" s="20" t="str">
        <f>IFERROR(IF([1]对账明细接口!$N456=0,"",[1]对账明细接口!$N456),"")</f>
        <v>公司红周转筐</v>
      </c>
      <c r="T456" s="212">
        <f>IFERROR(IF([1]对账明细接口!$O456=0,"",[1]对账明细接口!$O456),"")</f>
      </c>
      <c r="U456" s="212">
        <f>IFERROR(IF([1]对账明细接口!$P456=0,"",[1]对账明细接口!$P456),"")</f>
      </c>
      <c r="V456" s="212">
        <f>IFERROR(IF([1]对账明细接口!$Q456=0,"",[1]对账明细接口!$Q456),"")</f>
        <v>165</v>
      </c>
      <c r="W456" s="20" t="str">
        <f>IFERROR(IF([1]对账明细接口!$R456=0,"",[1]对账明细接口!$R456),"")</f>
        <v>新N*F0M01</v>
      </c>
      <c r="X456" s="20" t="str">
        <f>IFERROR(IF([1]对账明细接口!$S456=0,"",[1]对账明细接口!$S456),"")</f>
        <v>公司筐</v>
      </c>
      <c r="Y456" s="20">
        <f>IFERROR(IF([1]对账明细接口!$T456=0,"",[1]对账明细接口!$T456),"")</f>
      </c>
      <c r="Z456" s="213">
        <f>IFERROR(IF([1]对账明细接口!$U456=0,"",[1]对账明细接口!$U456),"")</f>
      </c>
      <c r="AA456" s="213">
        <f>IFERROR(IF([1]对账明细接口!$V456=0,"",[1]对账明细接口!$V456),"")</f>
      </c>
      <c r="AB456" s="20">
        <f>IFERROR(IF([1]对账明细接口!$W456=0,"",[1]对账明细接口!$W456),"")</f>
      </c>
      <c r="AC456" s="7">
        <f>IFERROR(IF([1]对账明细接口!$X456=0,"",[1]对账明细接口!$X456),"")</f>
      </c>
      <c r="AD456" s="7">
        <f>IFERROR(IF([1]对账明细接口!$Y456=0,"",[1]对账明细接口!$Y456),"")</f>
      </c>
      <c r="AE456" s="7">
        <f>IFERROR(IF([1]对账明细接口!$AA456=0,"",[1]对账明细接口!$AA456),"")</f>
      </c>
      <c r="AF456" s="7">
        <f>IFERROR(IF([1]对账明细接口!$AB456=0,"",[1]对账明细接口!$AB456),"")</f>
      </c>
      <c r="AG456" s="7">
        <f>IFERROR(IF([1]对账明细接口!$AC456=0,"",[1]对账明细接口!$AC456),"")</f>
      </c>
      <c r="AH456" s="7">
        <f>IFERROR(IF([1]对账明细接口!$AD456=0,"",[1]对账明细接口!$AD456),"")</f>
      </c>
      <c r="AI456" s="7">
        <f>IFERROR(IF([1]对账明细接口!$AE456=0,"",[1]对账明细接口!$AE456),"")</f>
      </c>
      <c r="AJ456" s="7">
        <f>IFERROR(IF([1]对账明细接口!$AF456=0,"",[1]对账明细接口!$AF456),"")</f>
      </c>
    </row>
    <row r="457" ht="14.25" customHeight="1" s="127">
      <c r="A457" s="14" t="n">
        <v>457</v>
      </c>
      <c r="B457" s="211">
        <f>IFERROR(IF([1]对账明细接口!$B$457=0,"",[1]对账明细接口!$B$457),"")</f>
        <v>46291.0</v>
      </c>
      <c r="C457" s="16" t="str">
        <f>IFERROR(IF([1]对账明细接口!$C$457=0,"",[1]对账明细接口!$C$457),"")</f>
        <v>阿布都</v>
      </c>
      <c r="D457" s="16" t="str">
        <f>IFERROR(IF([1]对账明细接口!$D$457=0,"",[1]对账明细接口!$D$457),"")</f>
        <v>原料入库</v>
      </c>
      <c r="E457" s="16" t="str">
        <f>IFERROR(IF([1]对账明细接口!$E$457=0,"",[1]对账明细接口!$E$457),"")</f>
        <v>NO:0000993</v>
      </c>
      <c r="F457" s="16" t="str">
        <f>IFERROR(IF([1]对账明细接口!$F$457=0,"",[1]对账明细接口!$F$457),"")</f>
        <v>香梨</v>
      </c>
      <c r="G457" s="16" t="str">
        <f>IFERROR(IF([1]对账明细接口!$G$457=0,"",[1]对账明细接口!$G$457),"")</f>
        <v>香梨一级</v>
      </c>
      <c r="H457" s="176">
        <f>IFERROR(IF([1]对账明细接口!$H$457=0,"",[1]对账明细接口!$H$457),"")</f>
        <v>27</v>
      </c>
      <c r="I457" s="16" t="str">
        <f>IFERROR(IF([1]对账明细接口!$I$457=0,"",[1]对账明细接口!$I$457),"")</f>
        <v>筐</v>
      </c>
      <c r="J457" s="177">
        <f>IFERROR(IF([1]对账明细接口!$J$457=0,"",[1]对账明细接口!$J$457),"")</f>
        <v>494.1</v>
      </c>
      <c r="K457" s="177">
        <f>IFERROR(IF([1]对账明细接口!$K$457=0,"",[1]对账明细接口!$K$457),"")</f>
      </c>
      <c r="L457" s="16">
        <f>IFERROR(IF([1]对账明细接口!$L$457=0,"",[1]对账明细接口!$L$457),"")</f>
      </c>
      <c r="M457" s="16" t="str">
        <f>IFERROR(IF([1]对账明细接口!$M$457=0,"",[1]对账明细接口!$M$457),"")</f>
        <v>努尔敦/二黄</v>
      </c>
      <c r="N457" s="19">
        <f>IF($C457="",0,1)</f>
        <v>1</v>
      </c>
      <c r="O457" s="19">
        <f>N(O456)+$N457</f>
        <v>454</v>
      </c>
      <c r="S457" s="20" t="str">
        <f>IFERROR(IF([1]对账明细接口!$N457=0,"",[1]对账明细接口!$N457),"")</f>
        <v>公司红周转筐</v>
      </c>
      <c r="T457" s="212">
        <f>IFERROR(IF([1]对账明细接口!$O457=0,"",[1]对账明细接口!$O457),"")</f>
      </c>
      <c r="U457" s="212">
        <f>IFERROR(IF([1]对账明细接口!$P457=0,"",[1]对账明细接口!$P457),"")</f>
      </c>
      <c r="V457" s="212">
        <f>IFERROR(IF([1]对账明细接口!$Q457=0,"",[1]对账明细接口!$Q457),"")</f>
        <v>27</v>
      </c>
      <c r="W457" s="20" t="str">
        <f>IFERROR(IF([1]对账明细接口!$R457=0,"",[1]对账明细接口!$R457),"")</f>
        <v>新N*F0M01</v>
      </c>
      <c r="X457" s="20" t="str">
        <f>IFERROR(IF([1]对账明细接口!$S457=0,"",[1]对账明细接口!$S457),"")</f>
        <v>公司筐</v>
      </c>
      <c r="Y457" s="20">
        <f>IFERROR(IF([1]对账明细接口!$T457=0,"",[1]对账明细接口!$T457),"")</f>
      </c>
      <c r="Z457" s="213">
        <f>IFERROR(IF([1]对账明细接口!$U457=0,"",[1]对账明细接口!$U457),"")</f>
      </c>
      <c r="AA457" s="213">
        <f>IFERROR(IF([1]对账明细接口!$V457=0,"",[1]对账明细接口!$V457),"")</f>
      </c>
      <c r="AB457" s="20">
        <f>IFERROR(IF([1]对账明细接口!$W457=0,"",[1]对账明细接口!$W457),"")</f>
      </c>
      <c r="AC457" s="7">
        <f>IFERROR(IF([1]对账明细接口!$X457=0,"",[1]对账明细接口!$X457),"")</f>
      </c>
      <c r="AD457" s="7">
        <f>IFERROR(IF([1]对账明细接口!$Y457=0,"",[1]对账明细接口!$Y457),"")</f>
      </c>
      <c r="AE457" s="7">
        <f>IFERROR(IF([1]对账明细接口!$AA457=0,"",[1]对账明细接口!$AA457),"")</f>
      </c>
      <c r="AF457" s="7">
        <f>IFERROR(IF([1]对账明细接口!$AB457=0,"",[1]对账明细接口!$AB457),"")</f>
      </c>
      <c r="AG457" s="7">
        <f>IFERROR(IF([1]对账明细接口!$AC457=0,"",[1]对账明细接口!$AC457),"")</f>
      </c>
      <c r="AH457" s="7">
        <f>IFERROR(IF([1]对账明细接口!$AD457=0,"",[1]对账明细接口!$AD457),"")</f>
      </c>
      <c r="AI457" s="7">
        <f>IFERROR(IF([1]对账明细接口!$AE457=0,"",[1]对账明细接口!$AE457),"")</f>
      </c>
      <c r="AJ457" s="7">
        <f>IFERROR(IF([1]对账明细接口!$AF457=0,"",[1]对账明细接口!$AF457),"")</f>
      </c>
    </row>
    <row r="458" ht="14.25" customHeight="1" s="127">
      <c r="A458" s="14" t="n">
        <v>458</v>
      </c>
      <c r="B458" s="211">
        <f>IFERROR(IF([1]对账明细接口!$B$458=0,"",[1]对账明细接口!$B$458),"")</f>
        <v>46291.0</v>
      </c>
      <c r="C458" s="16" t="str">
        <f>IFERROR(IF([1]对账明细接口!$C$458=0,"",[1]对账明细接口!$C$458),"")</f>
        <v>阿布都</v>
      </c>
      <c r="D458" s="16" t="str">
        <f>IFERROR(IF([1]对账明细接口!$D$458=0,"",[1]对账明细接口!$D$458),"")</f>
        <v>原料入库</v>
      </c>
      <c r="E458" s="16" t="str">
        <f>IFERROR(IF([1]对账明细接口!$E$458=0,"",[1]对账明细接口!$E$458),"")</f>
        <v>NO:0000993</v>
      </c>
      <c r="F458" s="16" t="str">
        <f>IFERROR(IF([1]对账明细接口!$F$458=0,"",[1]对账明细接口!$F$458),"")</f>
        <v>香梨</v>
      </c>
      <c r="G458" s="16" t="str">
        <f>IFERROR(IF([1]对账明细接口!$G$458=0,"",[1]对账明细接口!$G$458),"")</f>
        <v>香梨副特</v>
      </c>
      <c r="H458" s="176">
        <f>IFERROR(IF([1]对账明细接口!$H$458=0,"",[1]对账明细接口!$H$458),"")</f>
        <v>102</v>
      </c>
      <c r="I458" s="16" t="str">
        <f>IFERROR(IF([1]对账明细接口!$I$458=0,"",[1]对账明细接口!$I$458),"")</f>
        <v>筐</v>
      </c>
      <c r="J458" s="177">
        <f>IFERROR(IF([1]对账明细接口!$J$458=0,"",[1]对账明细接口!$J$458),"")</f>
        <v>1866.6</v>
      </c>
      <c r="K458" s="177">
        <f>IFERROR(IF([1]对账明细接口!$K$458=0,"",[1]对账明细接口!$K$458),"")</f>
      </c>
      <c r="L458" s="16">
        <f>IFERROR(IF([1]对账明细接口!$L$458=0,"",[1]对账明细接口!$L$458),"")</f>
      </c>
      <c r="M458" s="16" t="str">
        <f>IFERROR(IF([1]对账明细接口!$M$458=0,"",[1]对账明细接口!$M$458),"")</f>
        <v>努尔敦/二黄</v>
      </c>
      <c r="N458" s="19">
        <f>IF($C458="",0,1)</f>
        <v>1</v>
      </c>
      <c r="O458" s="19">
        <f>N(O457)+$N458</f>
        <v>455</v>
      </c>
      <c r="S458" s="20" t="str">
        <f>IFERROR(IF([1]对账明细接口!$N458=0,"",[1]对账明细接口!$N458),"")</f>
        <v>公司红周转筐</v>
      </c>
      <c r="T458" s="212">
        <f>IFERROR(IF([1]对账明细接口!$O458=0,"",[1]对账明细接口!$O458),"")</f>
      </c>
      <c r="U458" s="212">
        <f>IFERROR(IF([1]对账明细接口!$P458=0,"",[1]对账明细接口!$P458),"")</f>
      </c>
      <c r="V458" s="212">
        <f>IFERROR(IF([1]对账明细接口!$Q458=0,"",[1]对账明细接口!$Q458),"")</f>
        <v>102</v>
      </c>
      <c r="W458" s="20" t="str">
        <f>IFERROR(IF([1]对账明细接口!$R458=0,"",[1]对账明细接口!$R458),"")</f>
        <v>新N*F0M01</v>
      </c>
      <c r="X458" s="20" t="str">
        <f>IFERROR(IF([1]对账明细接口!$S458=0,"",[1]对账明细接口!$S458),"")</f>
        <v>公司筐</v>
      </c>
      <c r="Y458" s="20">
        <f>IFERROR(IF([1]对账明细接口!$T458=0,"",[1]对账明细接口!$T458),"")</f>
      </c>
      <c r="Z458" s="213">
        <f>IFERROR(IF([1]对账明细接口!$U458=0,"",[1]对账明细接口!$U458),"")</f>
      </c>
      <c r="AA458" s="213">
        <f>IFERROR(IF([1]对账明细接口!$V458=0,"",[1]对账明细接口!$V458),"")</f>
      </c>
      <c r="AB458" s="20">
        <f>IFERROR(IF([1]对账明细接口!$W458=0,"",[1]对账明细接口!$W458),"")</f>
      </c>
      <c r="AC458" s="7">
        <f>IFERROR(IF([1]对账明细接口!$X458=0,"",[1]对账明细接口!$X458),"")</f>
      </c>
      <c r="AD458" s="7">
        <f>IFERROR(IF([1]对账明细接口!$Y458=0,"",[1]对账明细接口!$Y458),"")</f>
      </c>
      <c r="AE458" s="7">
        <f>IFERROR(IF([1]对账明细接口!$AA458=0,"",[1]对账明细接口!$AA458),"")</f>
      </c>
      <c r="AF458" s="7">
        <f>IFERROR(IF([1]对账明细接口!$AB458=0,"",[1]对账明细接口!$AB458),"")</f>
      </c>
      <c r="AG458" s="7">
        <f>IFERROR(IF([1]对账明细接口!$AC458=0,"",[1]对账明细接口!$AC458),"")</f>
      </c>
      <c r="AH458" s="7">
        <f>IFERROR(IF([1]对账明细接口!$AD458=0,"",[1]对账明细接口!$AD458),"")</f>
      </c>
      <c r="AI458" s="7">
        <f>IFERROR(IF([1]对账明细接口!$AE458=0,"",[1]对账明细接口!$AE458),"")</f>
      </c>
      <c r="AJ458" s="7">
        <f>IFERROR(IF([1]对账明细接口!$AF458=0,"",[1]对账明细接口!$AF458),"")</f>
      </c>
    </row>
    <row r="459" ht="14.25" customHeight="1" s="127">
      <c r="A459" s="14" t="n">
        <v>459</v>
      </c>
      <c r="B459" s="211">
        <f>IFERROR(IF([1]对账明细接口!$B$459=0,"",[1]对账明细接口!$B$459),"")</f>
        <v>46291.0</v>
      </c>
      <c r="C459" s="16" t="str">
        <f>IFERROR(IF([1]对账明细接口!$C$459=0,"",[1]对账明细接口!$C$459),"")</f>
        <v>荆建君</v>
      </c>
      <c r="D459" s="16" t="str">
        <f>IFERROR(IF([1]对账明细接口!$D$459=0,"",[1]对账明细接口!$D$459),"")</f>
        <v>原料入库</v>
      </c>
      <c r="E459" s="16" t="str">
        <f>IFERROR(IF([1]对账明细接口!$E$459=0,"",[1]对账明细接口!$E$459),"")</f>
        <v>NO:0000994</v>
      </c>
      <c r="F459" s="16" t="str">
        <f>IFERROR(IF([1]对账明细接口!$F$459=0,"",[1]对账明细接口!$F$459),"")</f>
        <v>香梨</v>
      </c>
      <c r="G459" s="16" t="str">
        <f>IFERROR(IF([1]对账明细接口!$G$459=0,"",[1]对账明细接口!$G$459),"")</f>
        <v>香梨一级</v>
      </c>
      <c r="H459" s="176">
        <f>IFERROR(IF([1]对账明细接口!$H$459=0,"",[1]对账明细接口!$H$459),"")</f>
        <v>382</v>
      </c>
      <c r="I459" s="16" t="str">
        <f>IFERROR(IF([1]对账明细接口!$I$459=0,"",[1]对账明细接口!$I$459),"")</f>
        <v>筐</v>
      </c>
      <c r="J459" s="177">
        <f>IFERROR(IF([1]对账明细接口!$J$459=0,"",[1]对账明细接口!$J$459),"")</f>
        <v>6990.6</v>
      </c>
      <c r="K459" s="177">
        <f>IFERROR(IF([1]对账明细接口!$K$459=0,"",[1]对账明细接口!$K$459),"")</f>
      </c>
      <c r="L459" s="16">
        <f>IFERROR(IF([1]对账明细接口!$L$459=0,"",[1]对账明细接口!$L$459),"")</f>
      </c>
      <c r="M459" s="16" t="str">
        <f>IFERROR(IF([1]对账明细接口!$M$459=0,"",[1]对账明细接口!$M$459),"")</f>
        <v>二黄</v>
      </c>
      <c r="N459" s="19">
        <f>IF($C459="",0,1)</f>
        <v>1</v>
      </c>
      <c r="O459" s="19">
        <f>N(O458)+$N459</f>
        <v>456</v>
      </c>
      <c r="S459" s="20" t="str">
        <f>IFERROR(IF([1]对账明细接口!$N459=0,"",[1]对账明细接口!$N459),"")</f>
        <v>公司红周转筐</v>
      </c>
      <c r="T459" s="212">
        <f>IFERROR(IF([1]对账明细接口!$O459=0,"",[1]对账明细接口!$O459),"")</f>
      </c>
      <c r="U459" s="212">
        <f>IFERROR(IF([1]对账明细接口!$P459=0,"",[1]对账明细接口!$P459),"")</f>
      </c>
      <c r="V459" s="212">
        <f>IFERROR(IF([1]对账明细接口!$Q459=0,"",[1]对账明细接口!$Q459),"")</f>
        <v>382</v>
      </c>
      <c r="W459" s="20" t="str">
        <f>IFERROR(IF([1]对账明细接口!$R459=0,"",[1]对账明细接口!$R459),"")</f>
        <v>豫A*2737K</v>
      </c>
      <c r="X459" s="20" t="str">
        <f>IFERROR(IF([1]对账明细接口!$S459=0,"",[1]对账明细接口!$S459),"")</f>
        <v>公司筐</v>
      </c>
      <c r="Y459" s="20">
        <f>IFERROR(IF([1]对账明细接口!$T459=0,"",[1]对账明细接口!$T459),"")</f>
      </c>
      <c r="Z459" s="213">
        <f>IFERROR(IF([1]对账明细接口!$U459=0,"",[1]对账明细接口!$U459),"")</f>
      </c>
      <c r="AA459" s="213">
        <f>IFERROR(IF([1]对账明细接口!$V459=0,"",[1]对账明细接口!$V459),"")</f>
      </c>
      <c r="AB459" s="20">
        <f>IFERROR(IF([1]对账明细接口!$W459=0,"",[1]对账明细接口!$W459),"")</f>
      </c>
      <c r="AC459" s="7">
        <f>IFERROR(IF([1]对账明细接口!$X459=0,"",[1]对账明细接口!$X459),"")</f>
      </c>
      <c r="AD459" s="7">
        <f>IFERROR(IF([1]对账明细接口!$Y459=0,"",[1]对账明细接口!$Y459),"")</f>
      </c>
      <c r="AE459" s="7">
        <f>IFERROR(IF([1]对账明细接口!$AA459=0,"",[1]对账明细接口!$AA459),"")</f>
      </c>
      <c r="AF459" s="7">
        <f>IFERROR(IF([1]对账明细接口!$AB459=0,"",[1]对账明细接口!$AB459),"")</f>
      </c>
      <c r="AG459" s="7">
        <f>IFERROR(IF([1]对账明细接口!$AC459=0,"",[1]对账明细接口!$AC459),"")</f>
      </c>
      <c r="AH459" s="7">
        <f>IFERROR(IF([1]对账明细接口!$AD459=0,"",[1]对账明细接口!$AD459),"")</f>
      </c>
      <c r="AI459" s="7">
        <f>IFERROR(IF([1]对账明细接口!$AE459=0,"",[1]对账明细接口!$AE459),"")</f>
      </c>
      <c r="AJ459" s="7">
        <f>IFERROR(IF([1]对账明细接口!$AF459=0,"",[1]对账明细接口!$AF459),"")</f>
      </c>
    </row>
    <row r="460" ht="14.25" customHeight="1" s="127">
      <c r="A460" s="14" t="n">
        <v>460</v>
      </c>
      <c r="B460" s="211">
        <f>IFERROR(IF([1]对账明细接口!$B$460=0,"",[1]对账明细接口!$B$460),"")</f>
        <v>46291.0</v>
      </c>
      <c r="C460" s="16" t="str">
        <f>IFERROR(IF([1]对账明细接口!$C$460=0,"",[1]对账明细接口!$C$460),"")</f>
        <v>荆建君</v>
      </c>
      <c r="D460" s="16" t="str">
        <f>IFERROR(IF([1]对账明细接口!$D$460=0,"",[1]对账明细接口!$D$460),"")</f>
        <v>原料入库</v>
      </c>
      <c r="E460" s="16" t="str">
        <f>IFERROR(IF([1]对账明细接口!$E$460=0,"",[1]对账明细接口!$E$460),"")</f>
        <v>NO:0000994</v>
      </c>
      <c r="F460" s="16" t="str">
        <f>IFERROR(IF([1]对账明细接口!$F$460=0,"",[1]对账明细接口!$F$460),"")</f>
        <v>香梨</v>
      </c>
      <c r="G460" s="16" t="str">
        <f>IFERROR(IF([1]对账明细接口!$G$460=0,"",[1]对账明细接口!$G$460),"")</f>
        <v>香梨二级</v>
      </c>
      <c r="H460" s="176">
        <f>IFERROR(IF([1]对账明细接口!$H$460=0,"",[1]对账明细接口!$H$460),"")</f>
        <v>264</v>
      </c>
      <c r="I460" s="16" t="str">
        <f>IFERROR(IF([1]对账明细接口!$I$460=0,"",[1]对账明细接口!$I$460),"")</f>
        <v>筐</v>
      </c>
      <c r="J460" s="177">
        <f>IFERROR(IF([1]对账明细接口!$J$460=0,"",[1]对账明细接口!$J$460),"")</f>
        <v>4831.2</v>
      </c>
      <c r="K460" s="177">
        <f>IFERROR(IF([1]对账明细接口!$K$460=0,"",[1]对账明细接口!$K$460),"")</f>
      </c>
      <c r="L460" s="16">
        <f>IFERROR(IF([1]对账明细接口!$L$460=0,"",[1]对账明细接口!$L$460),"")</f>
      </c>
      <c r="M460" s="16" t="str">
        <f>IFERROR(IF([1]对账明细接口!$M$460=0,"",[1]对账明细接口!$M$460),"")</f>
        <v>二黄</v>
      </c>
      <c r="N460" s="19">
        <f>IF($C460="",0,1)</f>
        <v>1</v>
      </c>
      <c r="O460" s="19">
        <f>N(O459)+$N460</f>
        <v>457</v>
      </c>
      <c r="S460" s="20" t="str">
        <f>IFERROR(IF([1]对账明细接口!$N460=0,"",[1]对账明细接口!$N460),"")</f>
        <v>公司红周转筐</v>
      </c>
      <c r="T460" s="212">
        <f>IFERROR(IF([1]对账明细接口!$O460=0,"",[1]对账明细接口!$O460),"")</f>
      </c>
      <c r="U460" s="212">
        <f>IFERROR(IF([1]对账明细接口!$P460=0,"",[1]对账明细接口!$P460),"")</f>
      </c>
      <c r="V460" s="212">
        <f>IFERROR(IF([1]对账明细接口!$Q460=0,"",[1]对账明细接口!$Q460),"")</f>
        <v>264</v>
      </c>
      <c r="W460" s="20" t="str">
        <f>IFERROR(IF([1]对账明细接口!$R460=0,"",[1]对账明细接口!$R460),"")</f>
        <v>豫A*2737K</v>
      </c>
      <c r="X460" s="20" t="str">
        <f>IFERROR(IF([1]对账明细接口!$S460=0,"",[1]对账明细接口!$S460),"")</f>
        <v>公司筐</v>
      </c>
      <c r="Y460" s="20">
        <f>IFERROR(IF([1]对账明细接口!$T460=0,"",[1]对账明细接口!$T460),"")</f>
      </c>
      <c r="Z460" s="213">
        <f>IFERROR(IF([1]对账明细接口!$U460=0,"",[1]对账明细接口!$U460),"")</f>
      </c>
      <c r="AA460" s="213">
        <f>IFERROR(IF([1]对账明细接口!$V460=0,"",[1]对账明细接口!$V460),"")</f>
      </c>
      <c r="AB460" s="20">
        <f>IFERROR(IF([1]对账明细接口!$W460=0,"",[1]对账明细接口!$W460),"")</f>
      </c>
      <c r="AC460" s="7">
        <f>IFERROR(IF([1]对账明细接口!$X460=0,"",[1]对账明细接口!$X460),"")</f>
      </c>
      <c r="AD460" s="7">
        <f>IFERROR(IF([1]对账明细接口!$Y460=0,"",[1]对账明细接口!$Y460),"")</f>
      </c>
      <c r="AE460" s="7">
        <f>IFERROR(IF([1]对账明细接口!$AA460=0,"",[1]对账明细接口!$AA460),"")</f>
      </c>
      <c r="AF460" s="7">
        <f>IFERROR(IF([1]对账明细接口!$AB460=0,"",[1]对账明细接口!$AB460),"")</f>
      </c>
      <c r="AG460" s="7">
        <f>IFERROR(IF([1]对账明细接口!$AC460=0,"",[1]对账明细接口!$AC460),"")</f>
      </c>
      <c r="AH460" s="7">
        <f>IFERROR(IF([1]对账明细接口!$AD460=0,"",[1]对账明细接口!$AD460),"")</f>
      </c>
      <c r="AI460" s="7">
        <f>IFERROR(IF([1]对账明细接口!$AE460=0,"",[1]对账明细接口!$AE460),"")</f>
      </c>
      <c r="AJ460" s="7">
        <f>IFERROR(IF([1]对账明细接口!$AF460=0,"",[1]对账明细接口!$AF460),"")</f>
      </c>
    </row>
    <row r="461" ht="14.25" customHeight="1" s="127">
      <c r="A461" s="14" t="n">
        <v>461</v>
      </c>
      <c r="B461" s="211">
        <f>IFERROR(IF([1]对账明细接口!$B$461=0,"",[1]对账明细接口!$B$461),"")</f>
        <v>46291.0</v>
      </c>
      <c r="C461" s="16" t="str">
        <f>IFERROR(IF([1]对账明细接口!$C$461=0,"",[1]对账明细接口!$C$461),"")</f>
        <v>王灵云</v>
      </c>
      <c r="D461" s="16" t="str">
        <f>IFERROR(IF([1]对账明细接口!$D$461=0,"",[1]对账明细接口!$D$461),"")</f>
        <v>原料入库</v>
      </c>
      <c r="E461" s="16" t="str">
        <f>IFERROR(IF([1]对账明细接口!$E$461=0,"",[1]对账明细接口!$E$461),"")</f>
        <v>NO:0000995</v>
      </c>
      <c r="F461" s="16" t="str">
        <f>IFERROR(IF([1]对账明细接口!$F$461=0,"",[1]对账明细接口!$F$461),"")</f>
        <v>香梨</v>
      </c>
      <c r="G461" s="16" t="str">
        <f>IFERROR(IF([1]对账明细接口!$G$461=0,"",[1]对账明细接口!$G$461),"")</f>
        <v>香梨一级</v>
      </c>
      <c r="H461" s="176">
        <f>IFERROR(IF([1]对账明细接口!$H$461=0,"",[1]对账明细接口!$H$461),"")</f>
        <v>640</v>
      </c>
      <c r="I461" s="16" t="str">
        <f>IFERROR(IF([1]对账明细接口!$I$461=0,"",[1]对账明细接口!$I$461),"")</f>
        <v>筐</v>
      </c>
      <c r="J461" s="177">
        <f>IFERROR(IF([1]对账明细接口!$J$461=0,"",[1]对账明细接口!$J$461),"")</f>
        <v>11712</v>
      </c>
      <c r="K461" s="177">
        <f>IFERROR(IF([1]对账明细接口!$K$461=0,"",[1]对账明细接口!$K$461),"")</f>
      </c>
      <c r="L461" s="16">
        <f>IFERROR(IF([1]对账明细接口!$L$461=0,"",[1]对账明细接口!$L$461),"")</f>
      </c>
      <c r="M461" s="16" t="str">
        <f>IFERROR(IF([1]对账明细接口!$M$461=0,"",[1]对账明细接口!$M$461),"")</f>
        <v>二黄</v>
      </c>
      <c r="N461" s="19">
        <f>IF($C461="",0,1)</f>
        <v>1</v>
      </c>
      <c r="O461" s="19">
        <f>N(O460)+$N461</f>
        <v>458</v>
      </c>
      <c r="S461" s="20" t="str">
        <f>IFERROR(IF([1]对账明细接口!$N461=0,"",[1]对账明细接口!$N461),"")</f>
        <v>公司红周转筐</v>
      </c>
      <c r="T461" s="212">
        <f>IFERROR(IF([1]对账明细接口!$O461=0,"",[1]对账明细接口!$O461),"")</f>
      </c>
      <c r="U461" s="212">
        <f>IFERROR(IF([1]对账明细接口!$P461=0,"",[1]对账明细接口!$P461),"")</f>
      </c>
      <c r="V461" s="212">
        <f>IFERROR(IF([1]对账明细接口!$Q461=0,"",[1]对账明细接口!$Q461),"")</f>
        <v>640</v>
      </c>
      <c r="W461" s="20" t="str">
        <f>IFERROR(IF([1]对账明细接口!$R461=0,"",[1]对账明细接口!$R461),"")</f>
        <v>新N*49209</v>
      </c>
      <c r="X461" s="20" t="str">
        <f>IFERROR(IF([1]对账明细接口!$S461=0,"",[1]对账明细接口!$S461),"")</f>
        <v>公司筐</v>
      </c>
      <c r="Y461" s="20">
        <f>IFERROR(IF([1]对账明细接口!$T461=0,"",[1]对账明细接口!$T461),"")</f>
      </c>
      <c r="Z461" s="213">
        <f>IFERROR(IF([1]对账明细接口!$U461=0,"",[1]对账明细接口!$U461),"")</f>
      </c>
      <c r="AA461" s="213">
        <f>IFERROR(IF([1]对账明细接口!$V461=0,"",[1]对账明细接口!$V461),"")</f>
      </c>
      <c r="AB461" s="20">
        <f>IFERROR(IF([1]对账明细接口!$W461=0,"",[1]对账明细接口!$W461),"")</f>
      </c>
      <c r="AC461" s="7">
        <f>IFERROR(IF([1]对账明细接口!$X461=0,"",[1]对账明细接口!$X461),"")</f>
      </c>
      <c r="AD461" s="7">
        <f>IFERROR(IF([1]对账明细接口!$Y461=0,"",[1]对账明细接口!$Y461),"")</f>
      </c>
      <c r="AE461" s="7">
        <f>IFERROR(IF([1]对账明细接口!$AA461=0,"",[1]对账明细接口!$AA461),"")</f>
      </c>
      <c r="AF461" s="7">
        <f>IFERROR(IF([1]对账明细接口!$AB461=0,"",[1]对账明细接口!$AB461),"")</f>
      </c>
      <c r="AG461" s="7">
        <f>IFERROR(IF([1]对账明细接口!$AC461=0,"",[1]对账明细接口!$AC461),"")</f>
      </c>
      <c r="AH461" s="7">
        <f>IFERROR(IF([1]对账明细接口!$AD461=0,"",[1]对账明细接口!$AD461),"")</f>
      </c>
      <c r="AI461" s="7">
        <f>IFERROR(IF([1]对账明细接口!$AE461=0,"",[1]对账明细接口!$AE461),"")</f>
      </c>
      <c r="AJ461" s="7">
        <f>IFERROR(IF([1]对账明细接口!$AF461=0,"",[1]对账明细接口!$AF461),"")</f>
      </c>
    </row>
    <row r="462" ht="14.25" customHeight="1" s="127">
      <c r="A462" s="14" t="n">
        <v>462</v>
      </c>
      <c r="B462" s="211">
        <f>IFERROR(IF([1]对账明细接口!$B$462=0,"",[1]对账明细接口!$B$462),"")</f>
        <v>46292.0</v>
      </c>
      <c r="C462" s="16" t="str">
        <f>IFERROR(IF([1]对账明细接口!$C$462=0,"",[1]对账明细接口!$C$462),"")</f>
        <v>热合曼</v>
      </c>
      <c r="D462" s="16" t="str">
        <f>IFERROR(IF([1]对账明细接口!$D$462=0,"",[1]对账明细接口!$D$462),"")</f>
        <v>原料入库</v>
      </c>
      <c r="E462" s="16" t="str">
        <f>IFERROR(IF([1]对账明细接口!$E$462=0,"",[1]对账明细接口!$E$462),"")</f>
        <v>NO:0000997</v>
      </c>
      <c r="F462" s="16" t="str">
        <f>IFERROR(IF([1]对账明细接口!$F$462=0,"",[1]对账明细接口!$F$462),"")</f>
        <v>香梨</v>
      </c>
      <c r="G462" s="16" t="str">
        <f>IFERROR(IF([1]对账明细接口!$G$462=0,"",[1]对账明细接口!$G$462),"")</f>
        <v>香梨一级</v>
      </c>
      <c r="H462" s="176">
        <f>IFERROR(IF([1]对账明细接口!$H$462=0,"",[1]对账明细接口!$H$462),"")</f>
        <v>282</v>
      </c>
      <c r="I462" s="16" t="str">
        <f>IFERROR(IF([1]对账明细接口!$I$462=0,"",[1]对账明细接口!$I$462),"")</f>
        <v>筐</v>
      </c>
      <c r="J462" s="177">
        <f>IFERROR(IF([1]对账明细接口!$J$462=0,"",[1]对账明细接口!$J$462),"")</f>
        <v>5160.6</v>
      </c>
      <c r="K462" s="177">
        <f>IFERROR(IF([1]对账明细接口!$K$462=0,"",[1]对账明细接口!$K$462),"")</f>
      </c>
      <c r="L462" s="16">
        <f>IFERROR(IF([1]对账明细接口!$L$462=0,"",[1]对账明细接口!$L$462),"")</f>
      </c>
      <c r="M462" s="16" t="str">
        <f>IFERROR(IF([1]对账明细接口!$M$462=0,"",[1]对账明细接口!$M$462),"")</f>
        <v>二黄</v>
      </c>
      <c r="N462" s="19">
        <f>IF($C462="",0,1)</f>
        <v>1</v>
      </c>
      <c r="O462" s="19">
        <f>N(O461)+$N462</f>
        <v>459</v>
      </c>
      <c r="S462" s="20" t="str">
        <f>IFERROR(IF([1]对账明细接口!$N462=0,"",[1]对账明细接口!$N462),"")</f>
        <v>公司红周转筐</v>
      </c>
      <c r="T462" s="212">
        <f>IFERROR(IF([1]对账明细接口!$O462=0,"",[1]对账明细接口!$O462),"")</f>
      </c>
      <c r="U462" s="212">
        <f>IFERROR(IF([1]对账明细接口!$P462=0,"",[1]对账明细接口!$P462),"")</f>
      </c>
      <c r="V462" s="212">
        <f>IFERROR(IF([1]对账明细接口!$Q462=0,"",[1]对账明细接口!$Q462),"")</f>
        <v>282</v>
      </c>
      <c r="W462" s="20" t="str">
        <f>IFERROR(IF([1]对账明细接口!$R462=0,"",[1]对账明细接口!$R462),"")</f>
        <v>新R*37010</v>
      </c>
      <c r="X462" s="20" t="str">
        <f>IFERROR(IF([1]对账明细接口!$S462=0,"",[1]对账明细接口!$S462),"")</f>
        <v>公司筐</v>
      </c>
      <c r="Y462" s="20">
        <f>IFERROR(IF([1]对账明细接口!$T462=0,"",[1]对账明细接口!$T462),"")</f>
      </c>
      <c r="Z462" s="213">
        <f>IFERROR(IF([1]对账明细接口!$U462=0,"",[1]对账明细接口!$U462),"")</f>
      </c>
      <c r="AA462" s="213">
        <f>IFERROR(IF([1]对账明细接口!$V462=0,"",[1]对账明细接口!$V462),"")</f>
      </c>
      <c r="AB462" s="20">
        <f>IFERROR(IF([1]对账明细接口!$W462=0,"",[1]对账明细接口!$W462),"")</f>
      </c>
      <c r="AC462" s="7">
        <f>IFERROR(IF([1]对账明细接口!$X462=0,"",[1]对账明细接口!$X462),"")</f>
      </c>
      <c r="AD462" s="7">
        <f>IFERROR(IF([1]对账明细接口!$Y462=0,"",[1]对账明细接口!$Y462),"")</f>
      </c>
      <c r="AE462" s="7">
        <f>IFERROR(IF([1]对账明细接口!$AA462=0,"",[1]对账明细接口!$AA462),"")</f>
      </c>
      <c r="AF462" s="7">
        <f>IFERROR(IF([1]对账明细接口!$AB462=0,"",[1]对账明细接口!$AB462),"")</f>
      </c>
      <c r="AG462" s="7">
        <f>IFERROR(IF([1]对账明细接口!$AC462=0,"",[1]对账明细接口!$AC462),"")</f>
      </c>
      <c r="AH462" s="7">
        <f>IFERROR(IF([1]对账明细接口!$AD462=0,"",[1]对账明细接口!$AD462),"")</f>
      </c>
      <c r="AI462" s="7">
        <f>IFERROR(IF([1]对账明细接口!$AE462=0,"",[1]对账明细接口!$AE462),"")</f>
      </c>
      <c r="AJ462" s="7">
        <f>IFERROR(IF([1]对账明细接口!$AF462=0,"",[1]对账明细接口!$AF462),"")</f>
      </c>
    </row>
    <row r="463" ht="14.25" customHeight="1" s="127">
      <c r="A463" s="14" t="n">
        <v>463</v>
      </c>
      <c r="B463" s="211">
        <f>IFERROR(IF([1]对账明细接口!$B$463=0,"",[1]对账明细接口!$B$463),"")</f>
        <v>46292.0</v>
      </c>
      <c r="C463" s="16" t="str">
        <f>IFERROR(IF([1]对账明细接口!$C$463=0,"",[1]对账明细接口!$C$463),"")</f>
        <v>热合曼</v>
      </c>
      <c r="D463" s="16" t="str">
        <f>IFERROR(IF([1]对账明细接口!$D$463=0,"",[1]对账明细接口!$D$463),"")</f>
        <v>原料入库</v>
      </c>
      <c r="E463" s="16" t="str">
        <f>IFERROR(IF([1]对账明细接口!$E$463=0,"",[1]对账明细接口!$E$463),"")</f>
        <v>NO:0000997</v>
      </c>
      <c r="F463" s="16" t="str">
        <f>IFERROR(IF([1]对账明细接口!$F$463=0,"",[1]对账明细接口!$F$463),"")</f>
        <v>香梨</v>
      </c>
      <c r="G463" s="16" t="str">
        <f>IFERROR(IF([1]对账明细接口!$G$463=0,"",[1]对账明细接口!$G$463),"")</f>
        <v>香梨二级</v>
      </c>
      <c r="H463" s="176">
        <f>IFERROR(IF([1]对账明细接口!$H$463=0,"",[1]对账明细接口!$H$463),"")</f>
        <v>139</v>
      </c>
      <c r="I463" s="16" t="str">
        <f>IFERROR(IF([1]对账明细接口!$I$463=0,"",[1]对账明细接口!$I$463),"")</f>
        <v>筐</v>
      </c>
      <c r="J463" s="177">
        <f>IFERROR(IF([1]对账明细接口!$J$463=0,"",[1]对账明细接口!$J$463),"")</f>
        <v>3099.7</v>
      </c>
      <c r="K463" s="177">
        <f>IFERROR(IF([1]对账明细接口!$K$463=0,"",[1]对账明细接口!$K$463),"")</f>
      </c>
      <c r="L463" s="16">
        <f>IFERROR(IF([1]对账明细接口!$L$463=0,"",[1]对账明细接口!$L$463),"")</f>
      </c>
      <c r="M463" s="16" t="str">
        <f>IFERROR(IF([1]对账明细接口!$M$463=0,"",[1]对账明细接口!$M$463),"")</f>
        <v>二黄</v>
      </c>
      <c r="N463" s="19">
        <f>IF($C463="",0,1)</f>
        <v>1</v>
      </c>
      <c r="O463" s="19">
        <f>N(O462)+$N463</f>
        <v>460</v>
      </c>
      <c r="S463" s="20" t="str">
        <f>IFERROR(IF([1]对账明细接口!$N463=0,"",[1]对账明细接口!$N463),"")</f>
        <v>公司红周转筐</v>
      </c>
      <c r="T463" s="212">
        <f>IFERROR(IF([1]对账明细接口!$O463=0,"",[1]对账明细接口!$O463),"")</f>
      </c>
      <c r="U463" s="212">
        <f>IFERROR(IF([1]对账明细接口!$P463=0,"",[1]对账明细接口!$P463),"")</f>
      </c>
      <c r="V463" s="212">
        <f>IFERROR(IF([1]对账明细接口!$Q463=0,"",[1]对账明细接口!$Q463),"")</f>
        <v>139</v>
      </c>
      <c r="W463" s="20" t="str">
        <f>IFERROR(IF([1]对账明细接口!$R463=0,"",[1]对账明细接口!$R463),"")</f>
        <v>新R*37010</v>
      </c>
      <c r="X463" s="20" t="str">
        <f>IFERROR(IF([1]对账明细接口!$S463=0,"",[1]对账明细接口!$S463),"")</f>
        <v>公司筐</v>
      </c>
      <c r="Y463" s="20">
        <f>IFERROR(IF([1]对账明细接口!$T463=0,"",[1]对账明细接口!$T463),"")</f>
      </c>
      <c r="Z463" s="213">
        <f>IFERROR(IF([1]对账明细接口!$U463=0,"",[1]对账明细接口!$U463),"")</f>
      </c>
      <c r="AA463" s="213">
        <f>IFERROR(IF([1]对账明细接口!$V463=0,"",[1]对账明细接口!$V463),"")</f>
      </c>
      <c r="AB463" s="20">
        <f>IFERROR(IF([1]对账明细接口!$W463=0,"",[1]对账明细接口!$W463),"")</f>
      </c>
      <c r="AC463" s="7">
        <f>IFERROR(IF([1]对账明细接口!$X463=0,"",[1]对账明细接口!$X463),"")</f>
      </c>
      <c r="AD463" s="7">
        <f>IFERROR(IF([1]对账明细接口!$Y463=0,"",[1]对账明细接口!$Y463),"")</f>
      </c>
      <c r="AE463" s="7">
        <f>IFERROR(IF([1]对账明细接口!$AA463=0,"",[1]对账明细接口!$AA463),"")</f>
      </c>
      <c r="AF463" s="7">
        <f>IFERROR(IF([1]对账明细接口!$AB463=0,"",[1]对账明细接口!$AB463),"")</f>
      </c>
      <c r="AG463" s="7">
        <f>IFERROR(IF([1]对账明细接口!$AC463=0,"",[1]对账明细接口!$AC463),"")</f>
      </c>
      <c r="AH463" s="7">
        <f>IFERROR(IF([1]对账明细接口!$AD463=0,"",[1]对账明细接口!$AD463),"")</f>
      </c>
      <c r="AI463" s="7">
        <f>IFERROR(IF([1]对账明细接口!$AE463=0,"",[1]对账明细接口!$AE463),"")</f>
      </c>
      <c r="AJ463" s="7">
        <f>IFERROR(IF([1]对账明细接口!$AF463=0,"",[1]对账明细接口!$AF463),"")</f>
      </c>
    </row>
    <row r="464" ht="14.25" customHeight="1" s="127">
      <c r="A464" s="14" t="n">
        <v>464</v>
      </c>
      <c r="B464" s="211">
        <f>IFERROR(IF([1]对账明细接口!$B$464=0,"",[1]对账明细接口!$B$464),"")</f>
        <v>46292.0</v>
      </c>
      <c r="C464" s="16" t="str">
        <f>IFERROR(IF([1]对账明细接口!$C$464=0,"",[1]对账明细接口!$C$464),"")</f>
        <v>热合曼</v>
      </c>
      <c r="D464" s="16" t="str">
        <f>IFERROR(IF([1]对账明细接口!$D$464=0,"",[1]对账明细接口!$D$464),"")</f>
        <v>原料入库</v>
      </c>
      <c r="E464" s="16" t="str">
        <f>IFERROR(IF([1]对账明细接口!$E$464=0,"",[1]对账明细接口!$E$464),"")</f>
        <v>NO:0000997</v>
      </c>
      <c r="F464" s="16" t="str">
        <f>IFERROR(IF([1]对账明细接口!$F$464=0,"",[1]对账明细接口!$F$464),"")</f>
        <v>香梨</v>
      </c>
      <c r="G464" s="16" t="str">
        <f>IFERROR(IF([1]对账明细接口!$G$464=0,"",[1]对账明细接口!$G$464),"")</f>
        <v>香梨副特</v>
      </c>
      <c r="H464" s="176">
        <f>IFERROR(IF([1]对账明细接口!$H$464=0,"",[1]对账明细接口!$H$464),"")</f>
        <v>296</v>
      </c>
      <c r="I464" s="16" t="str">
        <f>IFERROR(IF([1]对账明细接口!$I$464=0,"",[1]对账明细接口!$I$464),"")</f>
        <v>筐</v>
      </c>
      <c r="J464" s="177">
        <f>IFERROR(IF([1]对账明细接口!$J$464=0,"",[1]对账明细接口!$J$464),"")</f>
        <v>5416.8</v>
      </c>
      <c r="K464" s="177">
        <f>IFERROR(IF([1]对账明细接口!$K$464=0,"",[1]对账明细接口!$K$464),"")</f>
      </c>
      <c r="L464" s="16">
        <f>IFERROR(IF([1]对账明细接口!$L$464=0,"",[1]对账明细接口!$L$464),"")</f>
      </c>
      <c r="M464" s="16" t="str">
        <f>IFERROR(IF([1]对账明细接口!$M$464=0,"",[1]对账明细接口!$M$464),"")</f>
        <v>二黄</v>
      </c>
      <c r="N464" s="19">
        <f>IF($C464="",0,1)</f>
        <v>1</v>
      </c>
      <c r="O464" s="19">
        <f>N(O463)+$N464</f>
        <v>461</v>
      </c>
      <c r="S464" s="20" t="str">
        <f>IFERROR(IF([1]对账明细接口!$N464=0,"",[1]对账明细接口!$N464),"")</f>
        <v>公司红周转筐</v>
      </c>
      <c r="T464" s="212">
        <f>IFERROR(IF([1]对账明细接口!$O464=0,"",[1]对账明细接口!$O464),"")</f>
      </c>
      <c r="U464" s="212">
        <f>IFERROR(IF([1]对账明细接口!$P464=0,"",[1]对账明细接口!$P464),"")</f>
      </c>
      <c r="V464" s="212">
        <f>IFERROR(IF([1]对账明细接口!$Q464=0,"",[1]对账明细接口!$Q464),"")</f>
        <v>296</v>
      </c>
      <c r="W464" s="20" t="str">
        <f>IFERROR(IF([1]对账明细接口!$R464=0,"",[1]对账明细接口!$R464),"")</f>
        <v>新R*37010</v>
      </c>
      <c r="X464" s="20" t="str">
        <f>IFERROR(IF([1]对账明细接口!$S464=0,"",[1]对账明细接口!$S464),"")</f>
        <v>公司筐</v>
      </c>
      <c r="Y464" s="20">
        <f>IFERROR(IF([1]对账明细接口!$T464=0,"",[1]对账明细接口!$T464),"")</f>
      </c>
      <c r="Z464" s="213">
        <f>IFERROR(IF([1]对账明细接口!$U464=0,"",[1]对账明细接口!$U464),"")</f>
      </c>
      <c r="AA464" s="213">
        <f>IFERROR(IF([1]对账明细接口!$V464=0,"",[1]对账明细接口!$V464),"")</f>
      </c>
      <c r="AB464" s="20">
        <f>IFERROR(IF([1]对账明细接口!$W464=0,"",[1]对账明细接口!$W464),"")</f>
      </c>
      <c r="AC464" s="7">
        <f>IFERROR(IF([1]对账明细接口!$X464=0,"",[1]对账明细接口!$X464),"")</f>
      </c>
      <c r="AD464" s="7">
        <f>IFERROR(IF([1]对账明细接口!$Y464=0,"",[1]对账明细接口!$Y464),"")</f>
      </c>
      <c r="AE464" s="7">
        <f>IFERROR(IF([1]对账明细接口!$AA464=0,"",[1]对账明细接口!$AA464),"")</f>
      </c>
      <c r="AF464" s="7">
        <f>IFERROR(IF([1]对账明细接口!$AB464=0,"",[1]对账明细接口!$AB464),"")</f>
      </c>
      <c r="AG464" s="7">
        <f>IFERROR(IF([1]对账明细接口!$AC464=0,"",[1]对账明细接口!$AC464),"")</f>
      </c>
      <c r="AH464" s="7">
        <f>IFERROR(IF([1]对账明细接口!$AD464=0,"",[1]对账明细接口!$AD464),"")</f>
      </c>
      <c r="AI464" s="7">
        <f>IFERROR(IF([1]对账明细接口!$AE464=0,"",[1]对账明细接口!$AE464),"")</f>
      </c>
      <c r="AJ464" s="7">
        <f>IFERROR(IF([1]对账明细接口!$AF464=0,"",[1]对账明细接口!$AF464),"")</f>
      </c>
    </row>
    <row r="465" ht="14.25" customHeight="1" s="127">
      <c r="A465" s="14" t="n">
        <v>465</v>
      </c>
      <c r="B465" s="211">
        <f>IFERROR(IF([1]对账明细接口!$B$465=0,"",[1]对账明细接口!$B$465),"")</f>
        <v>46292.0</v>
      </c>
      <c r="C465" s="16" t="str">
        <f>IFERROR(IF([1]对账明细接口!$C$465=0,"",[1]对账明细接口!$C$465),"")</f>
        <v>努尔敦</v>
      </c>
      <c r="D465" s="16" t="str">
        <f>IFERROR(IF([1]对账明细接口!$D$465=0,"",[1]对账明细接口!$D$465),"")</f>
        <v>原料入库</v>
      </c>
      <c r="E465" s="16" t="str">
        <f>IFERROR(IF([1]对账明细接口!$E$465=0,"",[1]对账明细接口!$E$465),"")</f>
        <v>NO:0000999</v>
      </c>
      <c r="F465" s="16" t="str">
        <f>IFERROR(IF([1]对账明细接口!$F$465=0,"",[1]对账明细接口!$F$465),"")</f>
        <v>香梨</v>
      </c>
      <c r="G465" s="16" t="str">
        <f>IFERROR(IF([1]对账明细接口!$G$465=0,"",[1]对账明细接口!$G$465),"")</f>
        <v>香梨特级</v>
      </c>
      <c r="H465" s="176">
        <f>IFERROR(IF([1]对账明细接口!$H$465=0,"",[1]对账明细接口!$H$465),"")</f>
        <v>336</v>
      </c>
      <c r="I465" s="16" t="str">
        <f>IFERROR(IF([1]对账明细接口!$I$465=0,"",[1]对账明细接口!$I$465),"")</f>
        <v>筐</v>
      </c>
      <c r="J465" s="177">
        <f>IFERROR(IF([1]对账明细接口!$J$465=0,"",[1]对账明细接口!$J$465),"")</f>
        <v>6148.8</v>
      </c>
      <c r="K465" s="177">
        <f>IFERROR(IF([1]对账明细接口!$K$465=0,"",[1]对账明细接口!$K$465),"")</f>
      </c>
      <c r="L465" s="16">
        <f>IFERROR(IF([1]对账明细接口!$L$465=0,"",[1]对账明细接口!$L$465),"")</f>
      </c>
      <c r="M465" s="16" t="str">
        <f>IFERROR(IF([1]对账明细接口!$M$465=0,"",[1]对账明细接口!$M$465),"")</f>
        <v>二黄</v>
      </c>
      <c r="N465" s="19">
        <f>IF($C465="",0,1)</f>
        <v>1</v>
      </c>
      <c r="O465" s="19">
        <f>N(O464)+$N465</f>
        <v>462</v>
      </c>
      <c r="S465" s="20" t="str">
        <f>IFERROR(IF([1]对账明细接口!$N465=0,"",[1]对账明细接口!$N465),"")</f>
        <v>公司红周转筐</v>
      </c>
      <c r="T465" s="212">
        <f>IFERROR(IF([1]对账明细接口!$O465=0,"",[1]对账明细接口!$O465),"")</f>
      </c>
      <c r="U465" s="212">
        <f>IFERROR(IF([1]对账明细接口!$P465=0,"",[1]对账明细接口!$P465),"")</f>
      </c>
      <c r="V465" s="212">
        <f>IFERROR(IF([1]对账明细接口!$Q465=0,"",[1]对账明细接口!$Q465),"")</f>
        <v>336</v>
      </c>
      <c r="W465" s="20" t="str">
        <f>IFERROR(IF([1]对账明细接口!$R465=0,"",[1]对账明细接口!$R465),"")</f>
        <v>新F*75240</v>
      </c>
      <c r="X465" s="20" t="str">
        <f>IFERROR(IF([1]对账明细接口!$S465=0,"",[1]对账明细接口!$S465),"")</f>
        <v>公司筐</v>
      </c>
      <c r="Y465" s="20">
        <f>IFERROR(IF([1]对账明细接口!$T465=0,"",[1]对账明细接口!$T465),"")</f>
      </c>
      <c r="Z465" s="213">
        <f>IFERROR(IF([1]对账明细接口!$U465=0,"",[1]对账明细接口!$U465),"")</f>
      </c>
      <c r="AA465" s="213">
        <f>IFERROR(IF([1]对账明细接口!$V465=0,"",[1]对账明细接口!$V465),"")</f>
      </c>
      <c r="AB465" s="20">
        <f>IFERROR(IF([1]对账明细接口!$W465=0,"",[1]对账明细接口!$W465),"")</f>
      </c>
      <c r="AC465" s="7">
        <f>IFERROR(IF([1]对账明细接口!$X465=0,"",[1]对账明细接口!$X465),"")</f>
      </c>
      <c r="AD465" s="7">
        <f>IFERROR(IF([1]对账明细接口!$Y465=0,"",[1]对账明细接口!$Y465),"")</f>
      </c>
      <c r="AE465" s="7">
        <f>IFERROR(IF([1]对账明细接口!$AA465=0,"",[1]对账明细接口!$AA465),"")</f>
      </c>
      <c r="AF465" s="7">
        <f>IFERROR(IF([1]对账明细接口!$AB465=0,"",[1]对账明细接口!$AB465),"")</f>
      </c>
      <c r="AG465" s="7">
        <f>IFERROR(IF([1]对账明细接口!$AC465=0,"",[1]对账明细接口!$AC465),"")</f>
      </c>
      <c r="AH465" s="7">
        <f>IFERROR(IF([1]对账明细接口!$AD465=0,"",[1]对账明细接口!$AD465),"")</f>
      </c>
      <c r="AI465" s="7">
        <f>IFERROR(IF([1]对账明细接口!$AE465=0,"",[1]对账明细接口!$AE465),"")</f>
      </c>
      <c r="AJ465" s="7">
        <f>IFERROR(IF([1]对账明细接口!$AF465=0,"",[1]对账明细接口!$AF465),"")</f>
      </c>
    </row>
    <row r="466" ht="14.25" customHeight="1" s="127">
      <c r="A466" s="14" t="n">
        <v>466</v>
      </c>
      <c r="B466" s="211">
        <f>IFERROR(IF([1]对账明细接口!$B$466=0,"",[1]对账明细接口!$B$466),"")</f>
        <v>46292.0</v>
      </c>
      <c r="C466" s="16" t="str">
        <f>IFERROR(IF([1]对账明细接口!$C$466=0,"",[1]对账明细接口!$C$466),"")</f>
        <v>努尔敦</v>
      </c>
      <c r="D466" s="16" t="str">
        <f>IFERROR(IF([1]对账明细接口!$D$466=0,"",[1]对账明细接口!$D$466),"")</f>
        <v>原料入库</v>
      </c>
      <c r="E466" s="16" t="str">
        <f>IFERROR(IF([1]对账明细接口!$E$466=0,"",[1]对账明细接口!$E$466),"")</f>
        <v>NO:0000999</v>
      </c>
      <c r="F466" s="16" t="str">
        <f>IFERROR(IF([1]对账明细接口!$F$466=0,"",[1]对账明细接口!$F$466),"")</f>
        <v>香梨</v>
      </c>
      <c r="G466" s="16" t="str">
        <f>IFERROR(IF([1]对账明细接口!$G$466=0,"",[1]对账明细接口!$G$466),"")</f>
        <v>香梨一级</v>
      </c>
      <c r="H466" s="176">
        <f>IFERROR(IF([1]对账明细接口!$H$466=0,"",[1]对账明细接口!$H$466),"")</f>
        <v>208</v>
      </c>
      <c r="I466" s="16" t="str">
        <f>IFERROR(IF([1]对账明细接口!$I$466=0,"",[1]对账明细接口!$I$466),"")</f>
        <v>筐</v>
      </c>
      <c r="J466" s="177">
        <f>IFERROR(IF([1]对账明细接口!$J$466=0,"",[1]对账明细接口!$J$466),"")</f>
        <v>3806.4</v>
      </c>
      <c r="K466" s="177">
        <f>IFERROR(IF([1]对账明细接口!$K$466=0,"",[1]对账明细接口!$K$466),"")</f>
      </c>
      <c r="L466" s="16">
        <f>IFERROR(IF([1]对账明细接口!$L$466=0,"",[1]对账明细接口!$L$466),"")</f>
      </c>
      <c r="M466" s="16" t="str">
        <f>IFERROR(IF([1]对账明细接口!$M$466=0,"",[1]对账明细接口!$M$466),"")</f>
        <v>二黄</v>
      </c>
      <c r="N466" s="19">
        <f>IF($C466="",0,1)</f>
        <v>1</v>
      </c>
      <c r="O466" s="19">
        <f>N(O465)+$N466</f>
        <v>463</v>
      </c>
      <c r="S466" s="20" t="str">
        <f>IFERROR(IF([1]对账明细接口!$N466=0,"",[1]对账明细接口!$N466),"")</f>
        <v>公司红周转筐</v>
      </c>
      <c r="T466" s="212">
        <f>IFERROR(IF([1]对账明细接口!$O466=0,"",[1]对账明细接口!$O466),"")</f>
      </c>
      <c r="U466" s="212">
        <f>IFERROR(IF([1]对账明细接口!$P466=0,"",[1]对账明细接口!$P466),"")</f>
      </c>
      <c r="V466" s="212">
        <f>IFERROR(IF([1]对账明细接口!$Q466=0,"",[1]对账明细接口!$Q466),"")</f>
        <v>208</v>
      </c>
      <c r="W466" s="20" t="str">
        <f>IFERROR(IF([1]对账明细接口!$R466=0,"",[1]对账明细接口!$R466),"")</f>
        <v>新F*75240</v>
      </c>
      <c r="X466" s="20" t="str">
        <f>IFERROR(IF([1]对账明细接口!$S466=0,"",[1]对账明细接口!$S466),"")</f>
        <v>公司筐</v>
      </c>
      <c r="Y466" s="20">
        <f>IFERROR(IF([1]对账明细接口!$T466=0,"",[1]对账明细接口!$T466),"")</f>
      </c>
      <c r="Z466" s="213">
        <f>IFERROR(IF([1]对账明细接口!$U466=0,"",[1]对账明细接口!$U466),"")</f>
      </c>
      <c r="AA466" s="213">
        <f>IFERROR(IF([1]对账明细接口!$V466=0,"",[1]对账明细接口!$V466),"")</f>
      </c>
      <c r="AB466" s="20">
        <f>IFERROR(IF([1]对账明细接口!$W466=0,"",[1]对账明细接口!$W466),"")</f>
      </c>
      <c r="AC466" s="7">
        <f>IFERROR(IF([1]对账明细接口!$X466=0,"",[1]对账明细接口!$X466),"")</f>
      </c>
      <c r="AD466" s="7">
        <f>IFERROR(IF([1]对账明细接口!$Y466=0,"",[1]对账明细接口!$Y466),"")</f>
      </c>
      <c r="AE466" s="7">
        <f>IFERROR(IF([1]对账明细接口!$AA466=0,"",[1]对账明细接口!$AA466),"")</f>
      </c>
      <c r="AF466" s="7">
        <f>IFERROR(IF([1]对账明细接口!$AB466=0,"",[1]对账明细接口!$AB466),"")</f>
      </c>
      <c r="AG466" s="7">
        <f>IFERROR(IF([1]对账明细接口!$AC466=0,"",[1]对账明细接口!$AC466),"")</f>
      </c>
      <c r="AH466" s="7">
        <f>IFERROR(IF([1]对账明细接口!$AD466=0,"",[1]对账明细接口!$AD466),"")</f>
      </c>
      <c r="AI466" s="7">
        <f>IFERROR(IF([1]对账明细接口!$AE466=0,"",[1]对账明细接口!$AE466),"")</f>
      </c>
      <c r="AJ466" s="7">
        <f>IFERROR(IF([1]对账明细接口!$AF466=0,"",[1]对账明细接口!$AF466),"")</f>
      </c>
    </row>
    <row r="467" ht="14.25" customHeight="1" s="127">
      <c r="A467" s="14" t="n">
        <v>467</v>
      </c>
      <c r="B467" s="211">
        <f>IFERROR(IF([1]对账明细接口!$B$467=0,"",[1]对账明细接口!$B$467),"")</f>
        <v>46292.0</v>
      </c>
      <c r="C467" s="16" t="str">
        <f>IFERROR(IF([1]对账明细接口!$C$467=0,"",[1]对账明细接口!$C$467),"")</f>
        <v>努尔敦</v>
      </c>
      <c r="D467" s="16" t="str">
        <f>IFERROR(IF([1]对账明细接口!$D$467=0,"",[1]对账明细接口!$D$467),"")</f>
        <v>原料入库</v>
      </c>
      <c r="E467" s="16" t="str">
        <f>IFERROR(IF([1]对账明细接口!$E$467=0,"",[1]对账明细接口!$E$467),"")</f>
        <v>NO:0000999</v>
      </c>
      <c r="F467" s="16" t="str">
        <f>IFERROR(IF([1]对账明细接口!$F$467=0,"",[1]对账明细接口!$F$467),"")</f>
        <v>香梨</v>
      </c>
      <c r="G467" s="16" t="str">
        <f>IFERROR(IF([1]对账明细接口!$G$467=0,"",[1]对账明细接口!$G$467),"")</f>
        <v>香梨二级</v>
      </c>
      <c r="H467" s="176">
        <f>IFERROR(IF([1]对账明细接口!$H$467=0,"",[1]对账明细接口!$H$467),"")</f>
        <v>100</v>
      </c>
      <c r="I467" s="16" t="str">
        <f>IFERROR(IF([1]对账明细接口!$I$467=0,"",[1]对账明细接口!$I$467),"")</f>
        <v>筐</v>
      </c>
      <c r="J467" s="177">
        <f>IFERROR(IF([1]对账明细接口!$J$467=0,"",[1]对账明细接口!$J$467),"")</f>
        <v>2230</v>
      </c>
      <c r="K467" s="177">
        <f>IFERROR(IF([1]对账明细接口!$K$467=0,"",[1]对账明细接口!$K$467),"")</f>
      </c>
      <c r="L467" s="16">
        <f>IFERROR(IF([1]对账明细接口!$L$467=0,"",[1]对账明细接口!$L$467),"")</f>
      </c>
      <c r="M467" s="16" t="str">
        <f>IFERROR(IF([1]对账明细接口!$M$467=0,"",[1]对账明细接口!$M$467),"")</f>
        <v>二黄</v>
      </c>
      <c r="N467" s="19">
        <f>IF($C467="",0,1)</f>
        <v>1</v>
      </c>
      <c r="O467" s="19">
        <f>N(O466)+$N467</f>
        <v>464</v>
      </c>
      <c r="S467" s="20" t="str">
        <f>IFERROR(IF([1]对账明细接口!$N467=0,"",[1]对账明细接口!$N467),"")</f>
        <v>公司红周转筐</v>
      </c>
      <c r="T467" s="212">
        <f>IFERROR(IF([1]对账明细接口!$O467=0,"",[1]对账明细接口!$O467),"")</f>
      </c>
      <c r="U467" s="212">
        <f>IFERROR(IF([1]对账明细接口!$P467=0,"",[1]对账明细接口!$P467),"")</f>
      </c>
      <c r="V467" s="212">
        <f>IFERROR(IF([1]对账明细接口!$Q467=0,"",[1]对账明细接口!$Q467),"")</f>
        <v>100</v>
      </c>
      <c r="W467" s="20" t="str">
        <f>IFERROR(IF([1]对账明细接口!$R467=0,"",[1]对账明细接口!$R467),"")</f>
        <v>新F*75240</v>
      </c>
      <c r="X467" s="20" t="str">
        <f>IFERROR(IF([1]对账明细接口!$S467=0,"",[1]对账明细接口!$S467),"")</f>
        <v>公司筐</v>
      </c>
      <c r="Y467" s="20">
        <f>IFERROR(IF([1]对账明细接口!$T467=0,"",[1]对账明细接口!$T467),"")</f>
      </c>
      <c r="Z467" s="213">
        <f>IFERROR(IF([1]对账明细接口!$U467=0,"",[1]对账明细接口!$U467),"")</f>
      </c>
      <c r="AA467" s="213">
        <f>IFERROR(IF([1]对账明细接口!$V467=0,"",[1]对账明细接口!$V467),"")</f>
      </c>
      <c r="AB467" s="20">
        <f>IFERROR(IF([1]对账明细接口!$W467=0,"",[1]对账明细接口!$W467),"")</f>
      </c>
      <c r="AC467" s="7">
        <f>IFERROR(IF([1]对账明细接口!$X467=0,"",[1]对账明细接口!$X467),"")</f>
      </c>
      <c r="AD467" s="7">
        <f>IFERROR(IF([1]对账明细接口!$Y467=0,"",[1]对账明细接口!$Y467),"")</f>
      </c>
      <c r="AE467" s="7">
        <f>IFERROR(IF([1]对账明细接口!$AA467=0,"",[1]对账明细接口!$AA467),"")</f>
      </c>
      <c r="AF467" s="7">
        <f>IFERROR(IF([1]对账明细接口!$AB467=0,"",[1]对账明细接口!$AB467),"")</f>
      </c>
      <c r="AG467" s="7">
        <f>IFERROR(IF([1]对账明细接口!$AC467=0,"",[1]对账明细接口!$AC467),"")</f>
      </c>
      <c r="AH467" s="7">
        <f>IFERROR(IF([1]对账明细接口!$AD467=0,"",[1]对账明细接口!$AD467),"")</f>
      </c>
      <c r="AI467" s="7">
        <f>IFERROR(IF([1]对账明细接口!$AE467=0,"",[1]对账明细接口!$AE467),"")</f>
      </c>
      <c r="AJ467" s="7">
        <f>IFERROR(IF([1]对账明细接口!$AF467=0,"",[1]对账明细接口!$AF467),"")</f>
      </c>
    </row>
    <row r="468" ht="14.25" customHeight="1" s="127">
      <c r="A468" s="14" t="n">
        <v>468</v>
      </c>
      <c r="B468" s="211">
        <f>IFERROR(IF([1]对账明细接口!$B$468=0,"",[1]对账明细接口!$B$468),"")</f>
        <v>46292.0</v>
      </c>
      <c r="C468" s="16" t="str">
        <f>IFERROR(IF([1]对账明细接口!$C$468=0,"",[1]对账明细接口!$C$468),"")</f>
        <v>王灵云</v>
      </c>
      <c r="D468" s="16" t="str">
        <f>IFERROR(IF([1]对账明细接口!$D$468=0,"",[1]对账明细接口!$D$468),"")</f>
        <v>原料入库</v>
      </c>
      <c r="E468" s="16" t="str">
        <f>IFERROR(IF([1]对账明细接口!$E$468=0,"",[1]对账明细接口!$E$468),"")</f>
        <v>NO:0001000</v>
      </c>
      <c r="F468" s="16" t="str">
        <f>IFERROR(IF([1]对账明细接口!$F$468=0,"",[1]对账明细接口!$F$468),"")</f>
        <v>香梨</v>
      </c>
      <c r="G468" s="16" t="str">
        <f>IFERROR(IF([1]对账明细接口!$G$468=0,"",[1]对账明细接口!$G$468),"")</f>
        <v>香梨一级</v>
      </c>
      <c r="H468" s="176">
        <f>IFERROR(IF([1]对账明细接口!$H$468=0,"",[1]对账明细接口!$H$468),"")</f>
        <v>133</v>
      </c>
      <c r="I468" s="16" t="str">
        <f>IFERROR(IF([1]对账明细接口!$I$468=0,"",[1]对账明细接口!$I$468),"")</f>
        <v>筐</v>
      </c>
      <c r="J468" s="177">
        <f>IFERROR(IF([1]对账明细接口!$J$468=0,"",[1]对账明细接口!$J$468),"")</f>
        <v>2433.9</v>
      </c>
      <c r="K468" s="177">
        <f>IFERROR(IF([1]对账明细接口!$K$468=0,"",[1]对账明细接口!$K$468),"")</f>
      </c>
      <c r="L468" s="16">
        <f>IFERROR(IF([1]对账明细接口!$L$468=0,"",[1]对账明细接口!$L$468),"")</f>
      </c>
      <c r="M468" s="16" t="str">
        <f>IFERROR(IF([1]对账明细接口!$M$468=0,"",[1]对账明细接口!$M$468),"")</f>
        <v>二黄</v>
      </c>
      <c r="N468" s="19">
        <f>IF($C468="",0,1)</f>
        <v>1</v>
      </c>
      <c r="O468" s="19">
        <f>N(O467)+$N468</f>
        <v>465</v>
      </c>
      <c r="S468" s="20" t="str">
        <f>IFERROR(IF([1]对账明细接口!$N468=0,"",[1]对账明细接口!$N468),"")</f>
        <v>公司红周转筐</v>
      </c>
      <c r="T468" s="212">
        <f>IFERROR(IF([1]对账明细接口!$O468=0,"",[1]对账明细接口!$O468),"")</f>
      </c>
      <c r="U468" s="212">
        <f>IFERROR(IF([1]对账明细接口!$P468=0,"",[1]对账明细接口!$P468),"")</f>
      </c>
      <c r="V468" s="212">
        <f>IFERROR(IF([1]对账明细接口!$Q468=0,"",[1]对账明细接口!$Q468),"")</f>
        <v>133</v>
      </c>
      <c r="W468" s="20" t="str">
        <f>IFERROR(IF([1]对账明细接口!$R468=0,"",[1]对账明细接口!$R468),"")</f>
        <v>新N*49209</v>
      </c>
      <c r="X468" s="20" t="str">
        <f>IFERROR(IF([1]对账明细接口!$S468=0,"",[1]对账明细接口!$S468),"")</f>
        <v>公司筐</v>
      </c>
      <c r="Y468" s="20">
        <f>IFERROR(IF([1]对账明细接口!$T468=0,"",[1]对账明细接口!$T468),"")</f>
      </c>
      <c r="Z468" s="213">
        <f>IFERROR(IF([1]对账明细接口!$U468=0,"",[1]对账明细接口!$U468),"")</f>
      </c>
      <c r="AA468" s="213">
        <f>IFERROR(IF([1]对账明细接口!$V468=0,"",[1]对账明细接口!$V468),"")</f>
      </c>
      <c r="AB468" s="20">
        <f>IFERROR(IF([1]对账明细接口!$W468=0,"",[1]对账明细接口!$W468),"")</f>
      </c>
      <c r="AC468" s="7">
        <f>IFERROR(IF([1]对账明细接口!$X468=0,"",[1]对账明细接口!$X468),"")</f>
      </c>
      <c r="AD468" s="7">
        <f>IFERROR(IF([1]对账明细接口!$Y468=0,"",[1]对账明细接口!$Y468),"")</f>
      </c>
      <c r="AE468" s="7">
        <f>IFERROR(IF([1]对账明细接口!$AA468=0,"",[1]对账明细接口!$AA468),"")</f>
      </c>
      <c r="AF468" s="7">
        <f>IFERROR(IF([1]对账明细接口!$AB468=0,"",[1]对账明细接口!$AB468),"")</f>
      </c>
      <c r="AG468" s="7">
        <f>IFERROR(IF([1]对账明细接口!$AC468=0,"",[1]对账明细接口!$AC468),"")</f>
      </c>
      <c r="AH468" s="7">
        <f>IFERROR(IF([1]对账明细接口!$AD468=0,"",[1]对账明细接口!$AD468),"")</f>
      </c>
      <c r="AI468" s="7">
        <f>IFERROR(IF([1]对账明细接口!$AE468=0,"",[1]对账明细接口!$AE468),"")</f>
      </c>
      <c r="AJ468" s="7">
        <f>IFERROR(IF([1]对账明细接口!$AF468=0,"",[1]对账明细接口!$AF468),"")</f>
      </c>
    </row>
    <row r="469" ht="14.25" customHeight="1" s="127">
      <c r="A469" s="14" t="n">
        <v>469</v>
      </c>
      <c r="B469" s="211">
        <f>IFERROR(IF([1]对账明细接口!$B$469=0,"",[1]对账明细接口!$B$469),"")</f>
        <v>46292.0</v>
      </c>
      <c r="C469" s="16" t="str">
        <f>IFERROR(IF([1]对账明细接口!$C$469=0,"",[1]对账明细接口!$C$469),"")</f>
        <v>王灵云</v>
      </c>
      <c r="D469" s="16" t="str">
        <f>IFERROR(IF([1]对账明细接口!$D$469=0,"",[1]对账明细接口!$D$469),"")</f>
        <v>原料入库</v>
      </c>
      <c r="E469" s="16" t="str">
        <f>IFERROR(IF([1]对账明细接口!$E$469=0,"",[1]对账明细接口!$E$469),"")</f>
        <v>NO:0001000</v>
      </c>
      <c r="F469" s="16" t="str">
        <f>IFERROR(IF([1]对账明细接口!$F$469=0,"",[1]对账明细接口!$F$469),"")</f>
        <v>香梨</v>
      </c>
      <c r="G469" s="16" t="str">
        <f>IFERROR(IF([1]对账明细接口!$G$469=0,"",[1]对账明细接口!$G$469),"")</f>
        <v>香梨二级</v>
      </c>
      <c r="H469" s="176">
        <f>IFERROR(IF([1]对账明细接口!$H$469=0,"",[1]对账明细接口!$H$469),"")</f>
        <v>105</v>
      </c>
      <c r="I469" s="16" t="str">
        <f>IFERROR(IF([1]对账明细接口!$I$469=0,"",[1]对账明细接口!$I$469),"")</f>
        <v>筐</v>
      </c>
      <c r="J469" s="177">
        <f>IFERROR(IF([1]对账明细接口!$J$469=0,"",[1]对账明细接口!$J$469),"")</f>
        <v>2446.5</v>
      </c>
      <c r="K469" s="177">
        <f>IFERROR(IF([1]对账明细接口!$K$469=0,"",[1]对账明细接口!$K$469),"")</f>
      </c>
      <c r="L469" s="16">
        <f>IFERROR(IF([1]对账明细接口!$L$469=0,"",[1]对账明细接口!$L$469),"")</f>
      </c>
      <c r="M469" s="16" t="str">
        <f>IFERROR(IF([1]对账明细接口!$M$469=0,"",[1]对账明细接口!$M$469),"")</f>
        <v>二黄</v>
      </c>
      <c r="N469" s="19">
        <f>IF($C469="",0,1)</f>
        <v>1</v>
      </c>
      <c r="O469" s="19">
        <f>N(O468)+$N469</f>
        <v>466</v>
      </c>
      <c r="S469" s="20" t="str">
        <f>IFERROR(IF([1]对账明细接口!$N469=0,"",[1]对账明细接口!$N469),"")</f>
        <v>公司红周转筐</v>
      </c>
      <c r="T469" s="212">
        <f>IFERROR(IF([1]对账明细接口!$O469=0,"",[1]对账明细接口!$O469),"")</f>
      </c>
      <c r="U469" s="212">
        <f>IFERROR(IF([1]对账明细接口!$P469=0,"",[1]对账明细接口!$P469),"")</f>
      </c>
      <c r="V469" s="212">
        <f>IFERROR(IF([1]对账明细接口!$Q469=0,"",[1]对账明细接口!$Q469),"")</f>
        <v>105</v>
      </c>
      <c r="W469" s="20" t="str">
        <f>IFERROR(IF([1]对账明细接口!$R469=0,"",[1]对账明细接口!$R469),"")</f>
        <v>新N*49209</v>
      </c>
      <c r="X469" s="20" t="str">
        <f>IFERROR(IF([1]对账明细接口!$S469=0,"",[1]对账明细接口!$S469),"")</f>
        <v>公司筐</v>
      </c>
      <c r="Y469" s="20">
        <f>IFERROR(IF([1]对账明细接口!$T469=0,"",[1]对账明细接口!$T469),"")</f>
      </c>
      <c r="Z469" s="213">
        <f>IFERROR(IF([1]对账明细接口!$U469=0,"",[1]对账明细接口!$U469),"")</f>
      </c>
      <c r="AA469" s="213">
        <f>IFERROR(IF([1]对账明细接口!$V469=0,"",[1]对账明细接口!$V469),"")</f>
      </c>
      <c r="AB469" s="20">
        <f>IFERROR(IF([1]对账明细接口!$W469=0,"",[1]对账明细接口!$W469),"")</f>
      </c>
      <c r="AC469" s="7">
        <f>IFERROR(IF([1]对账明细接口!$X469=0,"",[1]对账明细接口!$X469),"")</f>
      </c>
      <c r="AD469" s="7">
        <f>IFERROR(IF([1]对账明细接口!$Y469=0,"",[1]对账明细接口!$Y469),"")</f>
      </c>
      <c r="AE469" s="7">
        <f>IFERROR(IF([1]对账明细接口!$AA469=0,"",[1]对账明细接口!$AA469),"")</f>
      </c>
      <c r="AF469" s="7">
        <f>IFERROR(IF([1]对账明细接口!$AB469=0,"",[1]对账明细接口!$AB469),"")</f>
      </c>
      <c r="AG469" s="7">
        <f>IFERROR(IF([1]对账明细接口!$AC469=0,"",[1]对账明细接口!$AC469),"")</f>
      </c>
      <c r="AH469" s="7">
        <f>IFERROR(IF([1]对账明细接口!$AD469=0,"",[1]对账明细接口!$AD469),"")</f>
      </c>
      <c r="AI469" s="7">
        <f>IFERROR(IF([1]对账明细接口!$AE469=0,"",[1]对账明细接口!$AE469),"")</f>
      </c>
      <c r="AJ469" s="7">
        <f>IFERROR(IF([1]对账明细接口!$AF469=0,"",[1]对账明细接口!$AF469),"")</f>
      </c>
    </row>
    <row r="470" ht="14.25" customHeight="1" s="127">
      <c r="A470" s="14" t="n">
        <v>470</v>
      </c>
      <c r="B470" s="211">
        <f>IFERROR(IF([1]对账明细接口!$B$470=0,"",[1]对账明细接口!$B$470),"")</f>
        <v>46292.0</v>
      </c>
      <c r="C470" s="16" t="str">
        <f>IFERROR(IF([1]对账明细接口!$C$470=0,"",[1]对账明细接口!$C$470),"")</f>
        <v>王灵云</v>
      </c>
      <c r="D470" s="16" t="str">
        <f>IFERROR(IF([1]对账明细接口!$D$470=0,"",[1]对账明细接口!$D$470),"")</f>
        <v>原料入库</v>
      </c>
      <c r="E470" s="16" t="str">
        <f>IFERROR(IF([1]对账明细接口!$E$470=0,"",[1]对账明细接口!$E$470),"")</f>
        <v>NO:0001000</v>
      </c>
      <c r="F470" s="16" t="str">
        <f>IFERROR(IF([1]对账明细接口!$F$470=0,"",[1]对账明细接口!$F$470),"")</f>
        <v>香梨</v>
      </c>
      <c r="G470" s="16" t="str">
        <f>IFERROR(IF([1]对账明细接口!$G$470=0,"",[1]对账明细接口!$G$470),"")</f>
        <v>香梨副特</v>
      </c>
      <c r="H470" s="176">
        <f>IFERROR(IF([1]对账明细接口!$H$470=0,"",[1]对账明细接口!$H$470),"")</f>
        <v>226</v>
      </c>
      <c r="I470" s="16" t="str">
        <f>IFERROR(IF([1]对账明细接口!$I$470=0,"",[1]对账明细接口!$I$470),"")</f>
        <v>筐</v>
      </c>
      <c r="J470" s="177">
        <f>IFERROR(IF([1]对账明细接口!$J$470=0,"",[1]对账明细接口!$J$470),"")</f>
        <v>4135.8</v>
      </c>
      <c r="K470" s="177">
        <f>IFERROR(IF([1]对账明细接口!$K$470=0,"",[1]对账明细接口!$K$470),"")</f>
      </c>
      <c r="L470" s="16">
        <f>IFERROR(IF([1]对账明细接口!$L$470=0,"",[1]对账明细接口!$L$470),"")</f>
      </c>
      <c r="M470" s="16" t="str">
        <f>IFERROR(IF([1]对账明细接口!$M$470=0,"",[1]对账明细接口!$M$470),"")</f>
        <v>二黄</v>
      </c>
      <c r="N470" s="19">
        <f>IF($C470="",0,1)</f>
        <v>1</v>
      </c>
      <c r="O470" s="19">
        <f>N(O469)+$N470</f>
        <v>467</v>
      </c>
      <c r="S470" s="20" t="str">
        <f>IFERROR(IF([1]对账明细接口!$N470=0,"",[1]对账明细接口!$N470),"")</f>
        <v>公司红周转筐</v>
      </c>
      <c r="T470" s="212">
        <f>IFERROR(IF([1]对账明细接口!$O470=0,"",[1]对账明细接口!$O470),"")</f>
      </c>
      <c r="U470" s="212">
        <f>IFERROR(IF([1]对账明细接口!$P470=0,"",[1]对账明细接口!$P470),"")</f>
      </c>
      <c r="V470" s="212">
        <f>IFERROR(IF([1]对账明细接口!$Q470=0,"",[1]对账明细接口!$Q470),"")</f>
        <v>226</v>
      </c>
      <c r="W470" s="20" t="str">
        <f>IFERROR(IF([1]对账明细接口!$R470=0,"",[1]对账明细接口!$R470),"")</f>
        <v>新N*49209</v>
      </c>
      <c r="X470" s="20" t="str">
        <f>IFERROR(IF([1]对账明细接口!$S470=0,"",[1]对账明细接口!$S470),"")</f>
        <v>公司筐</v>
      </c>
      <c r="Y470" s="20">
        <f>IFERROR(IF([1]对账明细接口!$T470=0,"",[1]对账明细接口!$T470),"")</f>
      </c>
      <c r="Z470" s="213">
        <f>IFERROR(IF([1]对账明细接口!$U470=0,"",[1]对账明细接口!$U470),"")</f>
      </c>
      <c r="AA470" s="213">
        <f>IFERROR(IF([1]对账明细接口!$V470=0,"",[1]对账明细接口!$V470),"")</f>
      </c>
      <c r="AB470" s="20">
        <f>IFERROR(IF([1]对账明细接口!$W470=0,"",[1]对账明细接口!$W470),"")</f>
      </c>
      <c r="AC470" s="7">
        <f>IFERROR(IF([1]对账明细接口!$X470=0,"",[1]对账明细接口!$X470),"")</f>
      </c>
      <c r="AD470" s="7">
        <f>IFERROR(IF([1]对账明细接口!$Y470=0,"",[1]对账明细接口!$Y470),"")</f>
      </c>
      <c r="AE470" s="7">
        <f>IFERROR(IF([1]对账明细接口!$AA470=0,"",[1]对账明细接口!$AA470),"")</f>
      </c>
      <c r="AF470" s="7">
        <f>IFERROR(IF([1]对账明细接口!$AB470=0,"",[1]对账明细接口!$AB470),"")</f>
      </c>
      <c r="AG470" s="7">
        <f>IFERROR(IF([1]对账明细接口!$AC470=0,"",[1]对账明细接口!$AC470),"")</f>
      </c>
      <c r="AH470" s="7">
        <f>IFERROR(IF([1]对账明细接口!$AD470=0,"",[1]对账明细接口!$AD470),"")</f>
      </c>
      <c r="AI470" s="7">
        <f>IFERROR(IF([1]对账明细接口!$AE470=0,"",[1]对账明细接口!$AE470),"")</f>
      </c>
      <c r="AJ470" s="7">
        <f>IFERROR(IF([1]对账明细接口!$AF470=0,"",[1]对账明细接口!$AF470),"")</f>
      </c>
    </row>
    <row r="471" ht="14.25" customHeight="1" s="127">
      <c r="A471" s="14" t="n">
        <v>471</v>
      </c>
      <c r="B471" s="211">
        <f>IFERROR(IF([1]对账明细接口!$B$471=0,"",[1]对账明细接口!$B$471),"")</f>
        <v>46292.0</v>
      </c>
      <c r="C471" s="16" t="str">
        <f>IFERROR(IF([1]对账明细接口!$C$471=0,"",[1]对账明细接口!$C$471),"")</f>
        <v>荆建君</v>
      </c>
      <c r="D471" s="16" t="str">
        <f>IFERROR(IF([1]对账明细接口!$D$471=0,"",[1]对账明细接口!$D$471),"")</f>
        <v>原料入库</v>
      </c>
      <c r="E471" s="16" t="str">
        <f>IFERROR(IF([1]对账明细接口!$E$471=0,"",[1]对账明细接口!$E$471),"")</f>
        <v>NO:0001001</v>
      </c>
      <c r="F471" s="16" t="str">
        <f>IFERROR(IF([1]对账明细接口!$F$471=0,"",[1]对账明细接口!$F$471),"")</f>
        <v>香梨</v>
      </c>
      <c r="G471" s="16" t="str">
        <f>IFERROR(IF([1]对账明细接口!$G$471=0,"",[1]对账明细接口!$G$471),"")</f>
        <v>香梨一级</v>
      </c>
      <c r="H471" s="176">
        <f>IFERROR(IF([1]对账明细接口!$H$471=0,"",[1]对账明细接口!$H$471),"")</f>
        <v>279</v>
      </c>
      <c r="I471" s="16" t="str">
        <f>IFERROR(IF([1]对账明细接口!$I$471=0,"",[1]对账明细接口!$I$471),"")</f>
        <v>筐</v>
      </c>
      <c r="J471" s="177">
        <f>IFERROR(IF([1]对账明细接口!$J$471=0,"",[1]对账明细接口!$J$471),"")</f>
        <v>5105.7</v>
      </c>
      <c r="K471" s="177">
        <f>IFERROR(IF([1]对账明细接口!$K$471=0,"",[1]对账明细接口!$K$471),"")</f>
      </c>
      <c r="L471" s="16">
        <f>IFERROR(IF([1]对账明细接口!$L$471=0,"",[1]对账明细接口!$L$471),"")</f>
      </c>
      <c r="M471" s="16" t="str">
        <f>IFERROR(IF([1]对账明细接口!$M$471=0,"",[1]对账明细接口!$M$471),"")</f>
        <v>二黄</v>
      </c>
      <c r="N471" s="19">
        <f>IF($C471="",0,1)</f>
        <v>1</v>
      </c>
      <c r="O471" s="19">
        <f>N(O470)+$N471</f>
        <v>468</v>
      </c>
      <c r="S471" s="20" t="str">
        <f>IFERROR(IF([1]对账明细接口!$N471=0,"",[1]对账明细接口!$N471),"")</f>
        <v>公司红周转筐</v>
      </c>
      <c r="T471" s="212">
        <f>IFERROR(IF([1]对账明细接口!$O471=0,"",[1]对账明细接口!$O471),"")</f>
      </c>
      <c r="U471" s="212">
        <f>IFERROR(IF([1]对账明细接口!$P471=0,"",[1]对账明细接口!$P471),"")</f>
      </c>
      <c r="V471" s="212">
        <f>IFERROR(IF([1]对账明细接口!$Q471=0,"",[1]对账明细接口!$Q471),"")</f>
        <v>279</v>
      </c>
      <c r="W471" s="20" t="str">
        <f>IFERROR(IF([1]对账明细接口!$R471=0,"",[1]对账明细接口!$R471),"")</f>
        <v>豫A*2737K</v>
      </c>
      <c r="X471" s="20" t="str">
        <f>IFERROR(IF([1]对账明细接口!$S471=0,"",[1]对账明细接口!$S471),"")</f>
        <v>公司筐</v>
      </c>
      <c r="Y471" s="20">
        <f>IFERROR(IF([1]对账明细接口!$T471=0,"",[1]对账明细接口!$T471),"")</f>
      </c>
      <c r="Z471" s="213">
        <f>IFERROR(IF([1]对账明细接口!$U471=0,"",[1]对账明细接口!$U471),"")</f>
      </c>
      <c r="AA471" s="213">
        <f>IFERROR(IF([1]对账明细接口!$V471=0,"",[1]对账明细接口!$V471),"")</f>
      </c>
      <c r="AB471" s="20">
        <f>IFERROR(IF([1]对账明细接口!$W471=0,"",[1]对账明细接口!$W471),"")</f>
      </c>
      <c r="AC471" s="7">
        <f>IFERROR(IF([1]对账明细接口!$X471=0,"",[1]对账明细接口!$X471),"")</f>
      </c>
      <c r="AD471" s="7">
        <f>IFERROR(IF([1]对账明细接口!$Y471=0,"",[1]对账明细接口!$Y471),"")</f>
      </c>
      <c r="AE471" s="7">
        <f>IFERROR(IF([1]对账明细接口!$AA471=0,"",[1]对账明细接口!$AA471),"")</f>
      </c>
      <c r="AF471" s="7">
        <f>IFERROR(IF([1]对账明细接口!$AB471=0,"",[1]对账明细接口!$AB471),"")</f>
      </c>
      <c r="AG471" s="7">
        <f>IFERROR(IF([1]对账明细接口!$AC471=0,"",[1]对账明细接口!$AC471),"")</f>
      </c>
      <c r="AH471" s="7">
        <f>IFERROR(IF([1]对账明细接口!$AD471=0,"",[1]对账明细接口!$AD471),"")</f>
      </c>
      <c r="AI471" s="7">
        <f>IFERROR(IF([1]对账明细接口!$AE471=0,"",[1]对账明细接口!$AE471),"")</f>
      </c>
      <c r="AJ471" s="7">
        <f>IFERROR(IF([1]对账明细接口!$AF471=0,"",[1]对账明细接口!$AF471),"")</f>
      </c>
    </row>
    <row r="472" ht="14.25" customHeight="1" s="127">
      <c r="A472" s="14" t="n">
        <v>472</v>
      </c>
      <c r="B472" s="211">
        <f>IFERROR(IF([1]对账明细接口!$B$472=0,"",[1]对账明细接口!$B$472),"")</f>
        <v>46292.0</v>
      </c>
      <c r="C472" s="16" t="str">
        <f>IFERROR(IF([1]对账明细接口!$C$472=0,"",[1]对账明细接口!$C$472),"")</f>
        <v>荆建君</v>
      </c>
      <c r="D472" s="16" t="str">
        <f>IFERROR(IF([1]对账明细接口!$D$472=0,"",[1]对账明细接口!$D$472),"")</f>
        <v>原料入库</v>
      </c>
      <c r="E472" s="16" t="str">
        <f>IFERROR(IF([1]对账明细接口!$E$472=0,"",[1]对账明细接口!$E$472),"")</f>
        <v>NO:0001001</v>
      </c>
      <c r="F472" s="16" t="str">
        <f>IFERROR(IF([1]对账明细接口!$F$472=0,"",[1]对账明细接口!$F$472),"")</f>
        <v>香梨</v>
      </c>
      <c r="G472" s="16" t="str">
        <f>IFERROR(IF([1]对账明细接口!$G$472=0,"",[1]对账明细接口!$G$472),"")</f>
        <v>香梨二级</v>
      </c>
      <c r="H472" s="176">
        <f>IFERROR(IF([1]对账明细接口!$H$472=0,"",[1]对账明细接口!$H$472),"")</f>
        <v>222</v>
      </c>
      <c r="I472" s="16" t="str">
        <f>IFERROR(IF([1]对账明细接口!$I$472=0,"",[1]对账明细接口!$I$472),"")</f>
        <v>筐</v>
      </c>
      <c r="J472" s="177">
        <f>IFERROR(IF([1]对账明细接口!$J$472=0,"",[1]对账明细接口!$J$472),"")</f>
        <v>4062.6</v>
      </c>
      <c r="K472" s="177">
        <f>IFERROR(IF([1]对账明细接口!$K$472=0,"",[1]对账明细接口!$K$472),"")</f>
      </c>
      <c r="L472" s="16">
        <f>IFERROR(IF([1]对账明细接口!$L$472=0,"",[1]对账明细接口!$L$472),"")</f>
      </c>
      <c r="M472" s="16" t="str">
        <f>IFERROR(IF([1]对账明细接口!$M$472=0,"",[1]对账明细接口!$M$472),"")</f>
        <v>二黄</v>
      </c>
      <c r="N472" s="19">
        <f>IF($C472="",0,1)</f>
        <v>1</v>
      </c>
      <c r="O472" s="19">
        <f>N(O471)+$N472</f>
        <v>469</v>
      </c>
      <c r="S472" s="20" t="str">
        <f>IFERROR(IF([1]对账明细接口!$N472=0,"",[1]对账明细接口!$N472),"")</f>
        <v>公司红周转筐</v>
      </c>
      <c r="T472" s="212">
        <f>IFERROR(IF([1]对账明细接口!$O472=0,"",[1]对账明细接口!$O472),"")</f>
      </c>
      <c r="U472" s="212">
        <f>IFERROR(IF([1]对账明细接口!$P472=0,"",[1]对账明细接口!$P472),"")</f>
      </c>
      <c r="V472" s="212">
        <f>IFERROR(IF([1]对账明细接口!$Q472=0,"",[1]对账明细接口!$Q472),"")</f>
        <v>222</v>
      </c>
      <c r="W472" s="20" t="str">
        <f>IFERROR(IF([1]对账明细接口!$R472=0,"",[1]对账明细接口!$R472),"")</f>
        <v>豫A*2737K</v>
      </c>
      <c r="X472" s="20" t="str">
        <f>IFERROR(IF([1]对账明细接口!$S472=0,"",[1]对账明细接口!$S472),"")</f>
        <v>公司筐</v>
      </c>
      <c r="Y472" s="20">
        <f>IFERROR(IF([1]对账明细接口!$T472=0,"",[1]对账明细接口!$T472),"")</f>
      </c>
      <c r="Z472" s="213">
        <f>IFERROR(IF([1]对账明细接口!$U472=0,"",[1]对账明细接口!$U472),"")</f>
      </c>
      <c r="AA472" s="213">
        <f>IFERROR(IF([1]对账明细接口!$V472=0,"",[1]对账明细接口!$V472),"")</f>
      </c>
      <c r="AB472" s="20">
        <f>IFERROR(IF([1]对账明细接口!$W472=0,"",[1]对账明细接口!$W472),"")</f>
      </c>
      <c r="AC472" s="7">
        <f>IFERROR(IF([1]对账明细接口!$X472=0,"",[1]对账明细接口!$X472),"")</f>
      </c>
      <c r="AD472" s="7">
        <f>IFERROR(IF([1]对账明细接口!$Y472=0,"",[1]对账明细接口!$Y472),"")</f>
      </c>
      <c r="AE472" s="7">
        <f>IFERROR(IF([1]对账明细接口!$AA472=0,"",[1]对账明细接口!$AA472),"")</f>
      </c>
      <c r="AF472" s="7">
        <f>IFERROR(IF([1]对账明细接口!$AB472=0,"",[1]对账明细接口!$AB472),"")</f>
      </c>
      <c r="AG472" s="7">
        <f>IFERROR(IF([1]对账明细接口!$AC472=0,"",[1]对账明细接口!$AC472),"")</f>
      </c>
      <c r="AH472" s="7">
        <f>IFERROR(IF([1]对账明细接口!$AD472=0,"",[1]对账明细接口!$AD472),"")</f>
      </c>
      <c r="AI472" s="7">
        <f>IFERROR(IF([1]对账明细接口!$AE472=0,"",[1]对账明细接口!$AE472),"")</f>
      </c>
      <c r="AJ472" s="7">
        <f>IFERROR(IF([1]对账明细接口!$AF472=0,"",[1]对账明细接口!$AF472),"")</f>
      </c>
    </row>
    <row r="473" ht="14.25" customHeight="1" s="127">
      <c r="A473" s="14" t="n">
        <v>473</v>
      </c>
      <c r="B473" s="211">
        <f>IFERROR(IF([1]对账明细接口!$B$473=0,"",[1]对账明细接口!$B$473),"")</f>
        <v>46292.0</v>
      </c>
      <c r="C473" s="16" t="str">
        <f>IFERROR(IF([1]对账明细接口!$C$473=0,"",[1]对账明细接口!$C$473),"")</f>
        <v>麦麦提</v>
      </c>
      <c r="D473" s="16" t="str">
        <f>IFERROR(IF([1]对账明细接口!$D$473=0,"",[1]对账明细接口!$D$473),"")</f>
        <v>原料入库</v>
      </c>
      <c r="E473" s="16" t="str">
        <f>IFERROR(IF([1]对账明细接口!$E$473=0,"",[1]对账明细接口!$E$473),"")</f>
        <v>NO:0001004</v>
      </c>
      <c r="F473" s="16" t="str">
        <f>IFERROR(IF([1]对账明细接口!$F$473=0,"",[1]对账明细接口!$F$473),"")</f>
        <v>香梨</v>
      </c>
      <c r="G473" s="16" t="str">
        <f>IFERROR(IF([1]对账明细接口!$G$473=0,"",[1]对账明细接口!$G$473),"")</f>
        <v>香梨特级</v>
      </c>
      <c r="H473" s="176">
        <f>IFERROR(IF([1]对账明细接口!$H$473=0,"",[1]对账明细接口!$H$473),"")</f>
        <v>266</v>
      </c>
      <c r="I473" s="16" t="str">
        <f>IFERROR(IF([1]对账明细接口!$I$473=0,"",[1]对账明细接口!$I$473),"")</f>
        <v>筐</v>
      </c>
      <c r="J473" s="177">
        <f>IFERROR(IF([1]对账明细接口!$J$473=0,"",[1]对账明细接口!$J$473),"")</f>
        <v>5133.8</v>
      </c>
      <c r="K473" s="177">
        <f>IFERROR(IF([1]对账明细接口!$K$473=0,"",[1]对账明细接口!$K$473),"")</f>
      </c>
      <c r="L473" s="16">
        <f>IFERROR(IF([1]对账明细接口!$L$473=0,"",[1]对账明细接口!$L$473),"")</f>
      </c>
      <c r="M473" s="16" t="str">
        <f>IFERROR(IF([1]对账明细接口!$M$473=0,"",[1]对账明细接口!$M$473),"")</f>
        <v>二黄</v>
      </c>
      <c r="N473" s="19">
        <f>IF($C473="",0,1)</f>
        <v>1</v>
      </c>
      <c r="O473" s="19">
        <f>N(O472)+$N473</f>
        <v>470</v>
      </c>
      <c r="S473" s="20" t="str">
        <f>IFERROR(IF([1]对账明细接口!$N473=0,"",[1]对账明细接口!$N473),"")</f>
        <v>公司红周转筐</v>
      </c>
      <c r="T473" s="212">
        <f>IFERROR(IF([1]对账明细接口!$O473=0,"",[1]对账明细接口!$O473),"")</f>
      </c>
      <c r="U473" s="212">
        <f>IFERROR(IF([1]对账明细接口!$P473=0,"",[1]对账明细接口!$P473),"")</f>
      </c>
      <c r="V473" s="212">
        <f>IFERROR(IF([1]对账明细接口!$Q473=0,"",[1]对账明细接口!$Q473),"")</f>
        <v>266</v>
      </c>
      <c r="W473" s="20" t="str">
        <f>IFERROR(IF([1]对账明细接口!$R473=0,"",[1]对账明细接口!$R473),"")</f>
        <v>新R*37010</v>
      </c>
      <c r="X473" s="20" t="str">
        <f>IFERROR(IF([1]对账明细接口!$S473=0,"",[1]对账明细接口!$S473),"")</f>
        <v>公司筐</v>
      </c>
      <c r="Y473" s="20">
        <f>IFERROR(IF([1]对账明细接口!$T473=0,"",[1]对账明细接口!$T473),"")</f>
      </c>
      <c r="Z473" s="213">
        <f>IFERROR(IF([1]对账明细接口!$U473=0,"",[1]对账明细接口!$U473),"")</f>
      </c>
      <c r="AA473" s="213">
        <f>IFERROR(IF([1]对账明细接口!$V473=0,"",[1]对账明细接口!$V473),"")</f>
      </c>
      <c r="AB473" s="20">
        <f>IFERROR(IF([1]对账明细接口!$W473=0,"",[1]对账明细接口!$W473),"")</f>
      </c>
      <c r="AC473" s="7">
        <f>IFERROR(IF([1]对账明细接口!$X473=0,"",[1]对账明细接口!$X473),"")</f>
      </c>
      <c r="AD473" s="7">
        <f>IFERROR(IF([1]对账明细接口!$Y473=0,"",[1]对账明细接口!$Y473),"")</f>
      </c>
      <c r="AE473" s="7">
        <f>IFERROR(IF([1]对账明细接口!$AA473=0,"",[1]对账明细接口!$AA473),"")</f>
      </c>
      <c r="AF473" s="7">
        <f>IFERROR(IF([1]对账明细接口!$AB473=0,"",[1]对账明细接口!$AB473),"")</f>
      </c>
      <c r="AG473" s="7">
        <f>IFERROR(IF([1]对账明细接口!$AC473=0,"",[1]对账明细接口!$AC473),"")</f>
      </c>
      <c r="AH473" s="7">
        <f>IFERROR(IF([1]对账明细接口!$AD473=0,"",[1]对账明细接口!$AD473),"")</f>
      </c>
      <c r="AI473" s="7">
        <f>IFERROR(IF([1]对账明细接口!$AE473=0,"",[1]对账明细接口!$AE473),"")</f>
      </c>
      <c r="AJ473" s="7">
        <f>IFERROR(IF([1]对账明细接口!$AF473=0,"",[1]对账明细接口!$AF473),"")</f>
      </c>
    </row>
    <row r="474" ht="14.25" customHeight="1" s="127">
      <c r="A474" s="14" t="n">
        <v>474</v>
      </c>
      <c r="B474" s="211">
        <f>IFERROR(IF([1]对账明细接口!$B$474=0,"",[1]对账明细接口!$B$474),"")</f>
        <v>46292.0</v>
      </c>
      <c r="C474" s="16" t="str">
        <f>IFERROR(IF([1]对账明细接口!$C$474=0,"",[1]对账明细接口!$C$474),"")</f>
        <v>麦麦提</v>
      </c>
      <c r="D474" s="16" t="str">
        <f>IFERROR(IF([1]对账明细接口!$D$474=0,"",[1]对账明细接口!$D$474),"")</f>
        <v>原料入库</v>
      </c>
      <c r="E474" s="16" t="str">
        <f>IFERROR(IF([1]对账明细接口!$E$474=0,"",[1]对账明细接口!$E$474),"")</f>
        <v>NO:0001004</v>
      </c>
      <c r="F474" s="16" t="str">
        <f>IFERROR(IF([1]对账明细接口!$F$474=0,"",[1]对账明细接口!$F$474),"")</f>
        <v>香梨</v>
      </c>
      <c r="G474" s="16" t="str">
        <f>IFERROR(IF([1]对账明细接口!$G$474=0,"",[1]对账明细接口!$G$474),"")</f>
        <v>香梨一级</v>
      </c>
      <c r="H474" s="176">
        <f>IFERROR(IF([1]对账明细接口!$H$474=0,"",[1]对账明细接口!$H$474),"")</f>
        <v>200</v>
      </c>
      <c r="I474" s="16" t="str">
        <f>IFERROR(IF([1]对账明细接口!$I$474=0,"",[1]对账明细接口!$I$474),"")</f>
        <v>筐</v>
      </c>
      <c r="J474" s="177">
        <f>IFERROR(IF([1]对账明细接口!$J$474=0,"",[1]对账明细接口!$J$474),"")</f>
        <v>3460</v>
      </c>
      <c r="K474" s="177">
        <f>IFERROR(IF([1]对账明细接口!$K$474=0,"",[1]对账明细接口!$K$474),"")</f>
      </c>
      <c r="L474" s="16">
        <f>IFERROR(IF([1]对账明细接口!$L$474=0,"",[1]对账明细接口!$L$474),"")</f>
      </c>
      <c r="M474" s="16" t="str">
        <f>IFERROR(IF([1]对账明细接口!$M$474=0,"",[1]对账明细接口!$M$474),"")</f>
        <v>二黄</v>
      </c>
      <c r="N474" s="19">
        <f>IF($C474="",0,1)</f>
        <v>1</v>
      </c>
      <c r="O474" s="19">
        <f>N(O473)+$N474</f>
        <v>471</v>
      </c>
      <c r="S474" s="20" t="str">
        <f>IFERROR(IF([1]对账明细接口!$N474=0,"",[1]对账明细接口!$N474),"")</f>
        <v>公司红周转筐</v>
      </c>
      <c r="T474" s="212">
        <f>IFERROR(IF([1]对账明细接口!$O474=0,"",[1]对账明细接口!$O474),"")</f>
      </c>
      <c r="U474" s="212">
        <f>IFERROR(IF([1]对账明细接口!$P474=0,"",[1]对账明细接口!$P474),"")</f>
      </c>
      <c r="V474" s="212">
        <f>IFERROR(IF([1]对账明细接口!$Q474=0,"",[1]对账明细接口!$Q474),"")</f>
        <v>200</v>
      </c>
      <c r="W474" s="20" t="str">
        <f>IFERROR(IF([1]对账明细接口!$R474=0,"",[1]对账明细接口!$R474),"")</f>
        <v>新R*37010</v>
      </c>
      <c r="X474" s="20" t="str">
        <f>IFERROR(IF([1]对账明细接口!$S474=0,"",[1]对账明细接口!$S474),"")</f>
        <v>公司筐</v>
      </c>
      <c r="Y474" s="20">
        <f>IFERROR(IF([1]对账明细接口!$T474=0,"",[1]对账明细接口!$T474),"")</f>
      </c>
      <c r="Z474" s="213">
        <f>IFERROR(IF([1]对账明细接口!$U474=0,"",[1]对账明细接口!$U474),"")</f>
      </c>
      <c r="AA474" s="213">
        <f>IFERROR(IF([1]对账明细接口!$V474=0,"",[1]对账明细接口!$V474),"")</f>
      </c>
      <c r="AB474" s="20">
        <f>IFERROR(IF([1]对账明细接口!$W474=0,"",[1]对账明细接口!$W474),"")</f>
      </c>
      <c r="AC474" s="7">
        <f>IFERROR(IF([1]对账明细接口!$X474=0,"",[1]对账明细接口!$X474),"")</f>
      </c>
      <c r="AD474" s="7">
        <f>IFERROR(IF([1]对账明细接口!$Y474=0,"",[1]对账明细接口!$Y474),"")</f>
      </c>
      <c r="AE474" s="7">
        <f>IFERROR(IF([1]对账明细接口!$AA474=0,"",[1]对账明细接口!$AA474),"")</f>
      </c>
      <c r="AF474" s="7">
        <f>IFERROR(IF([1]对账明细接口!$AB474=0,"",[1]对账明细接口!$AB474),"")</f>
      </c>
      <c r="AG474" s="7">
        <f>IFERROR(IF([1]对账明细接口!$AC474=0,"",[1]对账明细接口!$AC474),"")</f>
      </c>
      <c r="AH474" s="7">
        <f>IFERROR(IF([1]对账明细接口!$AD474=0,"",[1]对账明细接口!$AD474),"")</f>
      </c>
      <c r="AI474" s="7">
        <f>IFERROR(IF([1]对账明细接口!$AE474=0,"",[1]对账明细接口!$AE474),"")</f>
      </c>
      <c r="AJ474" s="7">
        <f>IFERROR(IF([1]对账明细接口!$AF474=0,"",[1]对账明细接口!$AF474),"")</f>
      </c>
    </row>
    <row r="475" ht="14.25" customHeight="1" s="127">
      <c r="A475" s="14" t="n">
        <v>475</v>
      </c>
      <c r="B475" s="211">
        <f>IFERROR(IF([1]对账明细接口!$B$475=0,"",[1]对账明细接口!$B$475),"")</f>
        <v>46292.0</v>
      </c>
      <c r="C475" s="16" t="str">
        <f>IFERROR(IF([1]对账明细接口!$C$475=0,"",[1]对账明细接口!$C$475),"")</f>
        <v>麦麦提</v>
      </c>
      <c r="D475" s="16" t="str">
        <f>IFERROR(IF([1]对账明细接口!$D$475=0,"",[1]对账明细接口!$D$475),"")</f>
        <v>原料入库</v>
      </c>
      <c r="E475" s="16" t="str">
        <f>IFERROR(IF([1]对账明细接口!$E$475=0,"",[1]对账明细接口!$E$475),"")</f>
        <v>NO:0001004</v>
      </c>
      <c r="F475" s="16" t="str">
        <f>IFERROR(IF([1]对账明细接口!$F$475=0,"",[1]对账明细接口!$F$475),"")</f>
        <v>香梨</v>
      </c>
      <c r="G475" s="16" t="str">
        <f>IFERROR(IF([1]对账明细接口!$G$475=0,"",[1]对账明细接口!$G$475),"")</f>
        <v>香梨二级</v>
      </c>
      <c r="H475" s="176">
        <f>IFERROR(IF([1]对账明细接口!$H$475=0,"",[1]对账明细接口!$H$475),"")</f>
        <v>192</v>
      </c>
      <c r="I475" s="16" t="str">
        <f>IFERROR(IF([1]对账明细接口!$I$475=0,"",[1]对账明细接口!$I$475),"")</f>
        <v>筐</v>
      </c>
      <c r="J475" s="177">
        <f>IFERROR(IF([1]对账明细接口!$J$475=0,"",[1]对账明细接口!$J$475),"")</f>
        <v>4281.6</v>
      </c>
      <c r="K475" s="177">
        <f>IFERROR(IF([1]对账明细接口!$K$475=0,"",[1]对账明细接口!$K$475),"")</f>
      </c>
      <c r="L475" s="16">
        <f>IFERROR(IF([1]对账明细接口!$L$475=0,"",[1]对账明细接口!$L$475),"")</f>
      </c>
      <c r="M475" s="16" t="str">
        <f>IFERROR(IF([1]对账明细接口!$M$475=0,"",[1]对账明细接口!$M$475),"")</f>
        <v>二黄</v>
      </c>
      <c r="N475" s="19">
        <f>IF($C475="",0,1)</f>
        <v>1</v>
      </c>
      <c r="O475" s="19">
        <f>N(O474)+$N475</f>
        <v>472</v>
      </c>
      <c r="S475" s="20" t="str">
        <f>IFERROR(IF([1]对账明细接口!$N475=0,"",[1]对账明细接口!$N475),"")</f>
        <v>公司红周转筐</v>
      </c>
      <c r="T475" s="212">
        <f>IFERROR(IF([1]对账明细接口!$O475=0,"",[1]对账明细接口!$O475),"")</f>
      </c>
      <c r="U475" s="212">
        <f>IFERROR(IF([1]对账明细接口!$P475=0,"",[1]对账明细接口!$P475),"")</f>
      </c>
      <c r="V475" s="212">
        <f>IFERROR(IF([1]对账明细接口!$Q475=0,"",[1]对账明细接口!$Q475),"")</f>
        <v>192</v>
      </c>
      <c r="W475" s="20" t="str">
        <f>IFERROR(IF([1]对账明细接口!$R475=0,"",[1]对账明细接口!$R475),"")</f>
        <v>新R*37010</v>
      </c>
      <c r="X475" s="20" t="str">
        <f>IFERROR(IF([1]对账明细接口!$S475=0,"",[1]对账明细接口!$S475),"")</f>
        <v>公司筐</v>
      </c>
      <c r="Y475" s="20">
        <f>IFERROR(IF([1]对账明细接口!$T475=0,"",[1]对账明细接口!$T475),"")</f>
      </c>
      <c r="Z475" s="213">
        <f>IFERROR(IF([1]对账明细接口!$U475=0,"",[1]对账明细接口!$U475),"")</f>
      </c>
      <c r="AA475" s="213">
        <f>IFERROR(IF([1]对账明细接口!$V475=0,"",[1]对账明细接口!$V475),"")</f>
      </c>
      <c r="AB475" s="20">
        <f>IFERROR(IF([1]对账明细接口!$W475=0,"",[1]对账明细接口!$W475),"")</f>
      </c>
      <c r="AC475" s="7">
        <f>IFERROR(IF([1]对账明细接口!$X475=0,"",[1]对账明细接口!$X475),"")</f>
      </c>
      <c r="AD475" s="7">
        <f>IFERROR(IF([1]对账明细接口!$Y475=0,"",[1]对账明细接口!$Y475),"")</f>
      </c>
      <c r="AE475" s="7">
        <f>IFERROR(IF([1]对账明细接口!$AA475=0,"",[1]对账明细接口!$AA475),"")</f>
      </c>
      <c r="AF475" s="7">
        <f>IFERROR(IF([1]对账明细接口!$AB475=0,"",[1]对账明细接口!$AB475),"")</f>
      </c>
      <c r="AG475" s="7">
        <f>IFERROR(IF([1]对账明细接口!$AC475=0,"",[1]对账明细接口!$AC475),"")</f>
      </c>
      <c r="AH475" s="7">
        <f>IFERROR(IF([1]对账明细接口!$AD475=0,"",[1]对账明细接口!$AD475),"")</f>
      </c>
      <c r="AI475" s="7">
        <f>IFERROR(IF([1]对账明细接口!$AE475=0,"",[1]对账明细接口!$AE475),"")</f>
      </c>
      <c r="AJ475" s="7">
        <f>IFERROR(IF([1]对账明细接口!$AF475=0,"",[1]对账明细接口!$AF475),"")</f>
      </c>
    </row>
    <row r="476" ht="14.25" customHeight="1" s="127">
      <c r="A476" s="14" t="n">
        <v>476</v>
      </c>
      <c r="B476" s="211">
        <f>IFERROR(IF([1]对账明细接口!$B$476=0,"",[1]对账明细接口!$B$476),"")</f>
        <v>46293.0</v>
      </c>
      <c r="C476" s="16" t="str">
        <f>IFERROR(IF([1]对账明细接口!$C$476=0,"",[1]对账明细接口!$C$476),"")</f>
        <v>吐尔地</v>
      </c>
      <c r="D476" s="16" t="str">
        <f>IFERROR(IF([1]对账明细接口!$D$476=0,"",[1]对账明细接口!$D$476),"")</f>
        <v>原料入库</v>
      </c>
      <c r="E476" s="16" t="str">
        <f>IFERROR(IF([1]对账明细接口!$E$476=0,"",[1]对账明细接口!$E$476),"")</f>
        <v>NO:0001005</v>
      </c>
      <c r="F476" s="16" t="str">
        <f>IFERROR(IF([1]对账明细接口!$F$476=0,"",[1]对账明细接口!$F$476),"")</f>
        <v>香梨</v>
      </c>
      <c r="G476" s="16" t="str">
        <f>IFERROR(IF([1]对账明细接口!$G$476=0,"",[1]对账明细接口!$G$476),"")</f>
        <v>香梨一级</v>
      </c>
      <c r="H476" s="176">
        <f>IFERROR(IF([1]对账明细接口!$H$476=0,"",[1]对账明细接口!$H$476),"")</f>
        <v>73</v>
      </c>
      <c r="I476" s="16" t="str">
        <f>IFERROR(IF([1]对账明细接口!$I$476=0,"",[1]对账明细接口!$I$476),"")</f>
        <v>筐</v>
      </c>
      <c r="J476" s="177">
        <f>IFERROR(IF([1]对账明细接口!$J$476=0,"",[1]对账明细接口!$J$476),"")</f>
        <v>1335.9</v>
      </c>
      <c r="K476" s="177">
        <f>IFERROR(IF([1]对账明细接口!$K$476=0,"",[1]对账明细接口!$K$476),"")</f>
      </c>
      <c r="L476" s="16">
        <f>IFERROR(IF([1]对账明细接口!$L$476=0,"",[1]对账明细接口!$L$476),"")</f>
      </c>
      <c r="M476" s="16" t="str">
        <f>IFERROR(IF([1]对账明细接口!$M$476=0,"",[1]对账明细接口!$M$476),"")</f>
        <v>二黄</v>
      </c>
      <c r="N476" s="19">
        <f>IF($C476="",0,1)</f>
        <v>1</v>
      </c>
      <c r="O476" s="19">
        <f>N(O475)+$N476</f>
        <v>473</v>
      </c>
      <c r="S476" s="20" t="str">
        <f>IFERROR(IF([1]对账明细接口!$N476=0,"",[1]对账明细接口!$N476),"")</f>
        <v>公司红周转筐</v>
      </c>
      <c r="T476" s="212">
        <f>IFERROR(IF([1]对账明细接口!$O476=0,"",[1]对账明细接口!$O476),"")</f>
      </c>
      <c r="U476" s="212">
        <f>IFERROR(IF([1]对账明细接口!$P476=0,"",[1]对账明细接口!$P476),"")</f>
      </c>
      <c r="V476" s="212">
        <f>IFERROR(IF([1]对账明细接口!$Q476=0,"",[1]对账明细接口!$Q476),"")</f>
        <v>73</v>
      </c>
      <c r="W476" s="20" t="str">
        <f>IFERROR(IF([1]对账明细接口!$R476=0,"",[1]对账明细接口!$R476),"")</f>
        <v>新N*X8S48</v>
      </c>
      <c r="X476" s="20" t="str">
        <f>IFERROR(IF([1]对账明细接口!$S476=0,"",[1]对账明细接口!$S476),"")</f>
        <v>公司筐</v>
      </c>
      <c r="Y476" s="20">
        <f>IFERROR(IF([1]对账明细接口!$T476=0,"",[1]对账明细接口!$T476),"")</f>
      </c>
      <c r="Z476" s="213">
        <f>IFERROR(IF([1]对账明细接口!$U476=0,"",[1]对账明细接口!$U476),"")</f>
      </c>
      <c r="AA476" s="213">
        <f>IFERROR(IF([1]对账明细接口!$V476=0,"",[1]对账明细接口!$V476),"")</f>
      </c>
      <c r="AB476" s="20">
        <f>IFERROR(IF([1]对账明细接口!$W476=0,"",[1]对账明细接口!$W476),"")</f>
      </c>
      <c r="AC476" s="7">
        <f>IFERROR(IF([1]对账明细接口!$X476=0,"",[1]对账明细接口!$X476),"")</f>
      </c>
      <c r="AD476" s="7">
        <f>IFERROR(IF([1]对账明细接口!$Y476=0,"",[1]对账明细接口!$Y476),"")</f>
      </c>
      <c r="AE476" s="7">
        <f>IFERROR(IF([1]对账明细接口!$AA476=0,"",[1]对账明细接口!$AA476),"")</f>
      </c>
      <c r="AF476" s="7">
        <f>IFERROR(IF([1]对账明细接口!$AB476=0,"",[1]对账明细接口!$AB476),"")</f>
      </c>
      <c r="AG476" s="7">
        <f>IFERROR(IF([1]对账明细接口!$AC476=0,"",[1]对账明细接口!$AC476),"")</f>
      </c>
      <c r="AH476" s="7">
        <f>IFERROR(IF([1]对账明细接口!$AD476=0,"",[1]对账明细接口!$AD476),"")</f>
      </c>
      <c r="AI476" s="7">
        <f>IFERROR(IF([1]对账明细接口!$AE476=0,"",[1]对账明细接口!$AE476),"")</f>
      </c>
      <c r="AJ476" s="7">
        <f>IFERROR(IF([1]对账明细接口!$AF476=0,"",[1]对账明细接口!$AF476),"")</f>
      </c>
    </row>
    <row r="477" ht="14.25" customHeight="1" s="127">
      <c r="A477" s="14" t="n">
        <v>477</v>
      </c>
      <c r="B477" s="211">
        <f>IFERROR(IF([1]对账明细接口!$B$477=0,"",[1]对账明细接口!$B$477),"")</f>
        <v>46293.0</v>
      </c>
      <c r="C477" s="16" t="str">
        <f>IFERROR(IF([1]对账明细接口!$C$477=0,"",[1]对账明细接口!$C$477),"")</f>
        <v>吐尔地</v>
      </c>
      <c r="D477" s="16" t="str">
        <f>IFERROR(IF([1]对账明细接口!$D$477=0,"",[1]对账明细接口!$D$477),"")</f>
        <v>原料入库</v>
      </c>
      <c r="E477" s="16" t="str">
        <f>IFERROR(IF([1]对账明细接口!$E$477=0,"",[1]对账明细接口!$E$477),"")</f>
        <v>NO:0001005</v>
      </c>
      <c r="F477" s="16" t="str">
        <f>IFERROR(IF([1]对账明细接口!$F$477=0,"",[1]对账明细接口!$F$477),"")</f>
        <v>香梨</v>
      </c>
      <c r="G477" s="16" t="str">
        <f>IFERROR(IF([1]对账明细接口!$G$477=0,"",[1]对账明细接口!$G$477),"")</f>
        <v>香梨二级</v>
      </c>
      <c r="H477" s="176">
        <f>IFERROR(IF([1]对账明细接口!$H$477=0,"",[1]对账明细接口!$H$477),"")</f>
        <v>47</v>
      </c>
      <c r="I477" s="16" t="str">
        <f>IFERROR(IF([1]对账明细接口!$I$477=0,"",[1]对账明细接口!$I$477),"")</f>
        <v>筐</v>
      </c>
      <c r="J477" s="177">
        <f>IFERROR(IF([1]对账明细接口!$J$477=0,"",[1]对账明细接口!$J$477),"")</f>
        <v>1048.1</v>
      </c>
      <c r="K477" s="177">
        <f>IFERROR(IF([1]对账明细接口!$K$477=0,"",[1]对账明细接口!$K$477),"")</f>
      </c>
      <c r="L477" s="16">
        <f>IFERROR(IF([1]对账明细接口!$L$477=0,"",[1]对账明细接口!$L$477),"")</f>
      </c>
      <c r="M477" s="16" t="str">
        <f>IFERROR(IF([1]对账明细接口!$M$477=0,"",[1]对账明细接口!$M$477),"")</f>
        <v>二黄</v>
      </c>
      <c r="N477" s="19">
        <f>IF($C477="",0,1)</f>
        <v>1</v>
      </c>
      <c r="O477" s="19">
        <f>N(O476)+$N477</f>
        <v>474</v>
      </c>
      <c r="S477" s="20" t="str">
        <f>IFERROR(IF([1]对账明细接口!$N477=0,"",[1]对账明细接口!$N477),"")</f>
        <v>公司红周转筐</v>
      </c>
      <c r="T477" s="212">
        <f>IFERROR(IF([1]对账明细接口!$O477=0,"",[1]对账明细接口!$O477),"")</f>
      </c>
      <c r="U477" s="212">
        <f>IFERROR(IF([1]对账明细接口!$P477=0,"",[1]对账明细接口!$P477),"")</f>
      </c>
      <c r="V477" s="212">
        <f>IFERROR(IF([1]对账明细接口!$Q477=0,"",[1]对账明细接口!$Q477),"")</f>
        <v>47</v>
      </c>
      <c r="W477" s="20" t="str">
        <f>IFERROR(IF([1]对账明细接口!$R477=0,"",[1]对账明细接口!$R477),"")</f>
        <v>新N*X8S48</v>
      </c>
      <c r="X477" s="20" t="str">
        <f>IFERROR(IF([1]对账明细接口!$S477=0,"",[1]对账明细接口!$S477),"")</f>
        <v>公司筐</v>
      </c>
      <c r="Y477" s="20">
        <f>IFERROR(IF([1]对账明细接口!$T477=0,"",[1]对账明细接口!$T477),"")</f>
      </c>
      <c r="Z477" s="213">
        <f>IFERROR(IF([1]对账明细接口!$U477=0,"",[1]对账明细接口!$U477),"")</f>
      </c>
      <c r="AA477" s="213">
        <f>IFERROR(IF([1]对账明细接口!$V477=0,"",[1]对账明细接口!$V477),"")</f>
      </c>
      <c r="AB477" s="20">
        <f>IFERROR(IF([1]对账明细接口!$W477=0,"",[1]对账明细接口!$W477),"")</f>
      </c>
      <c r="AC477" s="7">
        <f>IFERROR(IF([1]对账明细接口!$X477=0,"",[1]对账明细接口!$X477),"")</f>
      </c>
      <c r="AD477" s="7">
        <f>IFERROR(IF([1]对账明细接口!$Y477=0,"",[1]对账明细接口!$Y477),"")</f>
      </c>
      <c r="AE477" s="7">
        <f>IFERROR(IF([1]对账明细接口!$AA477=0,"",[1]对账明细接口!$AA477),"")</f>
      </c>
      <c r="AF477" s="7">
        <f>IFERROR(IF([1]对账明细接口!$AB477=0,"",[1]对账明细接口!$AB477),"")</f>
      </c>
      <c r="AG477" s="7">
        <f>IFERROR(IF([1]对账明细接口!$AC477=0,"",[1]对账明细接口!$AC477),"")</f>
      </c>
      <c r="AH477" s="7">
        <f>IFERROR(IF([1]对账明细接口!$AD477=0,"",[1]对账明细接口!$AD477),"")</f>
      </c>
      <c r="AI477" s="7">
        <f>IFERROR(IF([1]对账明细接口!$AE477=0,"",[1]对账明细接口!$AE477),"")</f>
      </c>
      <c r="AJ477" s="7">
        <f>IFERROR(IF([1]对账明细接口!$AF477=0,"",[1]对账明细接口!$AF477),"")</f>
      </c>
    </row>
    <row r="478" ht="14.25" customHeight="1" s="127">
      <c r="A478" s="14" t="n">
        <v>478</v>
      </c>
      <c r="B478" s="211">
        <f>IFERROR(IF([1]对账明细接口!$B$478=0,"",[1]对账明细接口!$B$478),"")</f>
        <v>46293.0</v>
      </c>
      <c r="C478" s="16" t="str">
        <f>IFERROR(IF([1]对账明细接口!$C$478=0,"",[1]对账明细接口!$C$478),"")</f>
        <v>吐尔地</v>
      </c>
      <c r="D478" s="16" t="str">
        <f>IFERROR(IF([1]对账明细接口!$D$478=0,"",[1]对账明细接口!$D$478),"")</f>
        <v>原料入库</v>
      </c>
      <c r="E478" s="16" t="str">
        <f>IFERROR(IF([1]对账明细接口!$E$478=0,"",[1]对账明细接口!$E$478),"")</f>
        <v>NO:0001005</v>
      </c>
      <c r="F478" s="16" t="str">
        <f>IFERROR(IF([1]对账明细接口!$F$478=0,"",[1]对账明细接口!$F$478),"")</f>
        <v>香梨</v>
      </c>
      <c r="G478" s="16" t="str">
        <f>IFERROR(IF([1]对账明细接口!$G$478=0,"",[1]对账明细接口!$G$478),"")</f>
        <v>香梨副特</v>
      </c>
      <c r="H478" s="176">
        <f>IFERROR(IF([1]对账明细接口!$H$478=0,"",[1]对账明细接口!$H$478),"")</f>
        <v>112</v>
      </c>
      <c r="I478" s="16" t="str">
        <f>IFERROR(IF([1]对账明细接口!$I$478=0,"",[1]对账明细接口!$I$478),"")</f>
        <v>筐</v>
      </c>
      <c r="J478" s="177">
        <f>IFERROR(IF([1]对账明细接口!$J$478=0,"",[1]对账明细接口!$J$478),"")</f>
        <v>2049.6</v>
      </c>
      <c r="K478" s="177">
        <f>IFERROR(IF([1]对账明细接口!$K$478=0,"",[1]对账明细接口!$K$478),"")</f>
      </c>
      <c r="L478" s="16">
        <f>IFERROR(IF([1]对账明细接口!$L$478=0,"",[1]对账明细接口!$L$478),"")</f>
      </c>
      <c r="M478" s="16" t="str">
        <f>IFERROR(IF([1]对账明细接口!$M$478=0,"",[1]对账明细接口!$M$478),"")</f>
        <v>二黄</v>
      </c>
      <c r="N478" s="19">
        <f>IF($C478="",0,1)</f>
        <v>1</v>
      </c>
      <c r="O478" s="19">
        <f>N(O477)+$N478</f>
        <v>475</v>
      </c>
      <c r="S478" s="20" t="str">
        <f>IFERROR(IF([1]对账明细接口!$N478=0,"",[1]对账明细接口!$N478),"")</f>
        <v>公司红周转筐</v>
      </c>
      <c r="T478" s="212">
        <f>IFERROR(IF([1]对账明细接口!$O478=0,"",[1]对账明细接口!$O478),"")</f>
      </c>
      <c r="U478" s="212">
        <f>IFERROR(IF([1]对账明细接口!$P478=0,"",[1]对账明细接口!$P478),"")</f>
      </c>
      <c r="V478" s="212">
        <f>IFERROR(IF([1]对账明细接口!$Q478=0,"",[1]对账明细接口!$Q478),"")</f>
        <v>112</v>
      </c>
      <c r="W478" s="20" t="str">
        <f>IFERROR(IF([1]对账明细接口!$R478=0,"",[1]对账明细接口!$R478),"")</f>
        <v>新N*X8S48</v>
      </c>
      <c r="X478" s="20" t="str">
        <f>IFERROR(IF([1]对账明细接口!$S478=0,"",[1]对账明细接口!$S478),"")</f>
        <v>公司筐</v>
      </c>
      <c r="Y478" s="20">
        <f>IFERROR(IF([1]对账明细接口!$T478=0,"",[1]对账明细接口!$T478),"")</f>
      </c>
      <c r="Z478" s="213">
        <f>IFERROR(IF([1]对账明细接口!$U478=0,"",[1]对账明细接口!$U478),"")</f>
      </c>
      <c r="AA478" s="213">
        <f>IFERROR(IF([1]对账明细接口!$V478=0,"",[1]对账明细接口!$V478),"")</f>
      </c>
      <c r="AB478" s="20">
        <f>IFERROR(IF([1]对账明细接口!$W478=0,"",[1]对账明细接口!$W478),"")</f>
      </c>
      <c r="AC478" s="7">
        <f>IFERROR(IF([1]对账明细接口!$X478=0,"",[1]对账明细接口!$X478),"")</f>
      </c>
      <c r="AD478" s="7">
        <f>IFERROR(IF([1]对账明细接口!$Y478=0,"",[1]对账明细接口!$Y478),"")</f>
      </c>
      <c r="AE478" s="7">
        <f>IFERROR(IF([1]对账明细接口!$AA478=0,"",[1]对账明细接口!$AA478),"")</f>
      </c>
      <c r="AF478" s="7">
        <f>IFERROR(IF([1]对账明细接口!$AB478=0,"",[1]对账明细接口!$AB478),"")</f>
      </c>
      <c r="AG478" s="7">
        <f>IFERROR(IF([1]对账明细接口!$AC478=0,"",[1]对账明细接口!$AC478),"")</f>
      </c>
      <c r="AH478" s="7">
        <f>IFERROR(IF([1]对账明细接口!$AD478=0,"",[1]对账明细接口!$AD478),"")</f>
      </c>
      <c r="AI478" s="7">
        <f>IFERROR(IF([1]对账明细接口!$AE478=0,"",[1]对账明细接口!$AE478),"")</f>
      </c>
      <c r="AJ478" s="7">
        <f>IFERROR(IF([1]对账明细接口!$AF478=0,"",[1]对账明细接口!$AF478),"")</f>
      </c>
    </row>
    <row r="479" ht="14.25" customHeight="1" s="127">
      <c r="A479" s="14" t="n">
        <v>479</v>
      </c>
      <c r="B479" s="211">
        <f>IFERROR(IF([1]对账明细接口!$B$479=0,"",[1]对账明细接口!$B$479),"")</f>
        <v>46250.0</v>
      </c>
      <c r="C479" s="16" t="str">
        <f>IFERROR(IF([1]对账明细接口!$C$479=0,"",[1]对账明细接口!$C$479),"")</f>
        <v>王照雪</v>
      </c>
      <c r="D479" s="16" t="str">
        <f>IFERROR(IF([1]对账明细接口!$D$479=0,"",[1]对账明细接口!$D$479),"")</f>
        <v>原料出库－原筐出库</v>
      </c>
      <c r="E479" s="16" t="str">
        <f>IFERROR(IF([1]对账明细接口!$E$479=0,"",[1]对账明细接口!$E$479),"")</f>
        <v>NO:0001018</v>
      </c>
      <c r="F479" s="16" t="str">
        <f>IFERROR(IF([1]对账明细接口!$F$479=0,"",[1]对账明细接口!$F$479),"")</f>
        <v>李子</v>
      </c>
      <c r="G479" s="16" t="str">
        <f>IFERROR(IF([1]对账明细接口!$G$479=0,"",[1]对账明细接口!$G$479),"")</f>
        <v>樱桃李</v>
      </c>
      <c r="H479" s="176">
        <f>IFERROR(IF([1]对账明细接口!$H$479=0,"",[1]对账明细接口!$H$479),"")</f>
        <v>402</v>
      </c>
      <c r="I479" s="16" t="str">
        <f>IFERROR(IF([1]对账明细接口!$I$479=0,"",[1]对账明细接口!$I$479),"")</f>
        <v>筐</v>
      </c>
      <c r="J479" s="177">
        <f>IFERROR(IF([1]对账明细接口!$J$479=0,"",[1]对账明细接口!$J$479),"")</f>
        <v>6552.6</v>
      </c>
      <c r="K479" s="177">
        <f>IFERROR(IF([1]对账明细接口!$K$479=0,"",[1]对账明细接口!$K$479),"")</f>
      </c>
      <c r="L479" s="16">
        <f>IFERROR(IF([1]对账明细接口!$L$479=0,"",[1]对账明细接口!$L$479),"")</f>
      </c>
      <c r="M479" s="16">
        <f>IFERROR(IF([1]对账明细接口!$M$479=0,"",[1]对账明细接口!$M$479),"")</f>
      </c>
      <c r="N479" s="19">
        <f>IF($C479="",0,1)</f>
        <v>1</v>
      </c>
      <c r="O479" s="19">
        <f>N(O478)+$N479</f>
        <v>476</v>
      </c>
      <c r="S479" s="20" t="str">
        <f>IFERROR(IF([1]对账明细接口!$N479=0,"",[1]对账明细接口!$N479),"")</f>
        <v>自备一次性筐</v>
      </c>
      <c r="T479" s="212">
        <f>IFERROR(IF([1]对账明细接口!$O479=0,"",[1]对账明细接口!$O479),"")</f>
        <v>402</v>
      </c>
      <c r="U479" s="212">
        <f>IFERROR(IF([1]对账明细接口!$P479=0,"",[1]对账明细接口!$P479),"")</f>
      </c>
      <c r="V479" s="212">
        <f>IFERROR(IF([1]对账明细接口!$Q479=0,"",[1]对账明细接口!$Q479),"")</f>
      </c>
      <c r="W479" s="20" t="str">
        <f>IFERROR(IF([1]对账明细接口!$R479=0,"",[1]对账明细接口!$R479),"")</f>
        <v>苏C*HB310</v>
      </c>
      <c r="X479" s="20" t="str">
        <f>IFERROR(IF([1]对账明细接口!$S479=0,"",[1]对账明细接口!$S479),"")</f>
        <v>自备筐</v>
      </c>
      <c r="Y479" s="20">
        <f>IFERROR(IF([1]对账明细接口!$T479=0,"",[1]对账明细接口!$T479),"")</f>
      </c>
      <c r="Z479" s="213">
        <f>IFERROR(IF([1]对账明细接口!$U479=0,"",[1]对账明细接口!$U479),"")</f>
      </c>
      <c r="AA479" s="213">
        <f>IFERROR(IF([1]对账明细接口!$V479=0,"",[1]对账明细接口!$V479),"")</f>
      </c>
      <c r="AB479" s="20">
        <f>IFERROR(IF([1]对账明细接口!$W479=0,"",[1]对账明细接口!$W479),"")</f>
      </c>
      <c r="AC479" s="7">
        <f>IFERROR(IF([1]对账明细接口!$X479=0,"",[1]对账明细接口!$X479),"")</f>
      </c>
      <c r="AD479" s="7">
        <f>IFERROR(IF([1]对账明细接口!$Y479=0,"",[1]对账明细接口!$Y479),"")</f>
      </c>
      <c r="AE479" s="7">
        <f>IFERROR(IF([1]对账明细接口!$AA479=0,"",[1]对账明细接口!$AA479),"")</f>
      </c>
      <c r="AF479" s="7">
        <f>IFERROR(IF([1]对账明细接口!$AB479=0,"",[1]对账明细接口!$AB479),"")</f>
      </c>
      <c r="AG479" s="7">
        <f>IFERROR(IF([1]对账明细接口!$AC479=0,"",[1]对账明细接口!$AC479),"")</f>
      </c>
      <c r="AH479" s="7">
        <f>IFERROR(IF([1]对账明细接口!$AD479=0,"",[1]对账明细接口!$AD479),"")</f>
      </c>
      <c r="AI479" s="7">
        <f>IFERROR(IF([1]对账明细接口!$AE479=0,"",[1]对账明细接口!$AE479),"")</f>
      </c>
      <c r="AJ479" s="7">
        <f>IFERROR(IF([1]对账明细接口!$AF479=0,"",[1]对账明细接口!$AF479),"")</f>
      </c>
    </row>
    <row r="480" ht="14.25" customHeight="1" s="127">
      <c r="A480" s="14" t="n">
        <v>480</v>
      </c>
      <c r="B480" s="211">
        <f>IFERROR(IF([1]对账明细接口!$B$480=0,"",[1]对账明细接口!$B$480),"")</f>
        <v>46251.0</v>
      </c>
      <c r="C480" s="16" t="str">
        <f>IFERROR(IF([1]对账明细接口!$C$480=0,"",[1]对账明细接口!$C$480),"")</f>
        <v>王照雪</v>
      </c>
      <c r="D480" s="16" t="str">
        <f>IFERROR(IF([1]对账明细接口!$D$480=0,"",[1]对账明细接口!$D$480),"")</f>
        <v>原料出库－公司购买</v>
      </c>
      <c r="E480" s="16" t="str">
        <f>IFERROR(IF([1]对账明细接口!$E$480=0,"",[1]对账明细接口!$E$480),"")</f>
        <v>NO:0000140</v>
      </c>
      <c r="F480" s="16" t="str">
        <f>IFERROR(IF([1]对账明细接口!$F$480=0,"",[1]对账明细接口!$F$480),"")</f>
        <v>李子</v>
      </c>
      <c r="G480" s="16" t="str">
        <f>IFERROR(IF([1]对账明细接口!$G$480=0,"",[1]对账明细接口!$G$480),"")</f>
        <v>樱桃李</v>
      </c>
      <c r="H480" s="176">
        <f>IFERROR(IF([1]对账明细接口!$H$480=0,"",[1]对账明细接口!$H$480),"")</f>
        <v>1</v>
      </c>
      <c r="I480" s="16" t="str">
        <f>IFERROR(IF([1]对账明细接口!$I$480=0,"",[1]对账明细接口!$I$480),"")</f>
        <v>筐</v>
      </c>
      <c r="J480" s="177">
        <f>IFERROR(IF([1]对账明细接口!$J$480=0,"",[1]对账明细接口!$J$480),"")</f>
        <v>16.3</v>
      </c>
      <c r="K480" s="177">
        <f>IFERROR(IF([1]对账明细接口!$K$480=0,"",[1]对账明细接口!$K$480),"")</f>
      </c>
      <c r="L480" s="16">
        <f>IFERROR(IF([1]对账明细接口!$L$480=0,"",[1]对账明细接口!$L$480),"")</f>
      </c>
      <c r="M480" s="16">
        <f>IFERROR(IF([1]对账明细接口!$M$480=0,"",[1]对账明细接口!$M$480),"")</f>
      </c>
      <c r="N480" s="19">
        <f>IF($C480="",0,1)</f>
        <v>1</v>
      </c>
      <c r="O480" s="19">
        <f>N(O479)+$N480</f>
        <v>477</v>
      </c>
      <c r="S480" s="20" t="str">
        <f>IFERROR(IF([1]对账明细接口!$N480=0,"",[1]对账明细接口!$N480),"")</f>
        <v>自备一次性筐</v>
      </c>
      <c r="T480" s="212">
        <f>IFERROR(IF([1]对账明细接口!$O480=0,"",[1]对账明细接口!$O480),"")</f>
        <v>1</v>
      </c>
      <c r="U480" s="212">
        <f>IFERROR(IF([1]对账明细接口!$P480=0,"",[1]对账明细接口!$P480),"")</f>
      </c>
      <c r="V480" s="212">
        <f>IFERROR(IF([1]对账明细接口!$Q480=0,"",[1]对账明细接口!$Q480),"")</f>
      </c>
      <c r="W480" s="20">
        <f>IFERROR(IF([1]对账明细接口!$R480=0,"",[1]对账明细接口!$R480),"")</f>
      </c>
      <c r="X480" s="20" t="str">
        <f>IFERROR(IF([1]对账明细接口!$S480=0,"",[1]对账明细接口!$S480),"")</f>
        <v>自备筐</v>
      </c>
      <c r="Y480" s="20">
        <f>IFERROR(IF([1]对账明细接口!$T480=0,"",[1]对账明细接口!$T480),"")</f>
      </c>
      <c r="Z480" s="213">
        <f>IFERROR(IF([1]对账明细接口!$U480=0,"",[1]对账明细接口!$U480),"")</f>
      </c>
      <c r="AA480" s="213">
        <f>IFERROR(IF([1]对账明细接口!$V480=0,"",[1]对账明细接口!$V480),"")</f>
      </c>
      <c r="AB480" s="20">
        <f>IFERROR(IF([1]对账明细接口!$W480=0,"",[1]对账明细接口!$W480),"")</f>
      </c>
      <c r="AC480" s="7">
        <f>IFERROR(IF([1]对账明细接口!$X480=0,"",[1]对账明细接口!$X480),"")</f>
      </c>
      <c r="AD480" s="7">
        <f>IFERROR(IF([1]对账明细接口!$Y480=0,"",[1]对账明细接口!$Y480),"")</f>
      </c>
      <c r="AE480" s="7">
        <f>IFERROR(IF([1]对账明细接口!$AA480=0,"",[1]对账明细接口!$AA480),"")</f>
      </c>
      <c r="AF480" s="7">
        <f>IFERROR(IF([1]对账明细接口!$AB480=0,"",[1]对账明细接口!$AB480),"")</f>
      </c>
      <c r="AG480" s="7">
        <f>IFERROR(IF([1]对账明细接口!$AC480=0,"",[1]对账明细接口!$AC480),"")</f>
      </c>
      <c r="AH480" s="7">
        <f>IFERROR(IF([1]对账明细接口!$AD480=0,"",[1]对账明细接口!$AD480),"")</f>
      </c>
      <c r="AI480" s="7">
        <f>IFERROR(IF([1]对账明细接口!$AE480=0,"",[1]对账明细接口!$AE480),"")</f>
      </c>
      <c r="AJ480" s="7">
        <f>IFERROR(IF([1]对账明细接口!$AF480=0,"",[1]对账明细接口!$AF480),"")</f>
      </c>
    </row>
    <row r="481" ht="14.25" customHeight="1" s="127">
      <c r="A481" s="14" t="n">
        <v>481</v>
      </c>
      <c r="B481" s="211">
        <f>IFERROR(IF([1]对账明细接口!$B$481=0,"",[1]对账明细接口!$B$481),"")</f>
        <v>46255.0</v>
      </c>
      <c r="C481" s="16" t="str">
        <f>IFERROR(IF([1]对账明细接口!$C$481=0,"",[1]对账明细接口!$C$481),"")</f>
        <v>伍元虎</v>
      </c>
      <c r="D481" s="16" t="str">
        <f>IFERROR(IF([1]对账明细接口!$D$481=0,"",[1]对账明细接口!$D$481),"")</f>
        <v>原料出库－原筐出库</v>
      </c>
      <c r="E481" s="16" t="str">
        <f>IFERROR(IF([1]对账明细接口!$E$481=0,"",[1]对账明细接口!$E$481),"")</f>
        <v>NO:0001021</v>
      </c>
      <c r="F481" s="16" t="str">
        <f>IFERROR(IF([1]对账明细接口!$F$481=0,"",[1]对账明细接口!$F$481),"")</f>
        <v>苹果</v>
      </c>
      <c r="G481" s="16" t="str">
        <f>IFERROR(IF([1]对账明细接口!$G$481=0,"",[1]对账明细接口!$G$481),"")</f>
        <v>海棠果</v>
      </c>
      <c r="H481" s="176">
        <f>IFERROR(IF([1]对账明细接口!$H$481=0,"",[1]对账明细接口!$H$481),"")</f>
        <v>87</v>
      </c>
      <c r="I481" s="16" t="str">
        <f>IFERROR(IF([1]对账明细接口!$I$481=0,"",[1]对账明细接口!$I$481),"")</f>
        <v>筐</v>
      </c>
      <c r="J481" s="177">
        <f>IFERROR(IF([1]对账明细接口!$J$481=0,"",[1]对账明细接口!$J$481),"")</f>
        <v>1957.5</v>
      </c>
      <c r="K481" s="177">
        <f>IFERROR(IF([1]对账明细接口!$K$481=0,"",[1]对账明细接口!$K$481),"")</f>
      </c>
      <c r="L481" s="16">
        <f>IFERROR(IF([1]对账明细接口!$L$481=0,"",[1]对账明细接口!$L$481),"")</f>
      </c>
      <c r="M481" s="16" t="str">
        <f>IFERROR(IF([1]对账明细接口!$M$481=0,"",[1]对账明细接口!$M$481),"")</f>
        <v>出库完毕</v>
      </c>
      <c r="N481" s="19">
        <f>IF($C481="",0,1)</f>
        <v>1</v>
      </c>
      <c r="O481" s="19">
        <f>N(O480)+$N481</f>
        <v>478</v>
      </c>
      <c r="S481" s="20" t="str">
        <f>IFERROR(IF([1]对账明细接口!$N481=0,"",[1]对账明细接口!$N481),"")</f>
        <v>自备一次性筐</v>
      </c>
      <c r="T481" s="212">
        <f>IFERROR(IF([1]对账明细接口!$O481=0,"",[1]对账明细接口!$O481),"")</f>
        <v>87</v>
      </c>
      <c r="U481" s="212">
        <f>IFERROR(IF([1]对账明细接口!$P481=0,"",[1]对账明细接口!$P481),"")</f>
      </c>
      <c r="V481" s="212">
        <f>IFERROR(IF([1]对账明细接口!$Q481=0,"",[1]对账明细接口!$Q481),"")</f>
      </c>
      <c r="W481" s="20" t="str">
        <f>IFERROR(IF([1]对账明细接口!$R481=0,"",[1]对账明细接口!$R481),"")</f>
        <v>新N*4377B</v>
      </c>
      <c r="X481" s="20" t="str">
        <f>IFERROR(IF([1]对账明细接口!$S481=0,"",[1]对账明细接口!$S481),"")</f>
        <v>自备筐</v>
      </c>
      <c r="Y481" s="20">
        <f>IFERROR(IF([1]对账明细接口!$T481=0,"",[1]对账明细接口!$T481),"")</f>
      </c>
      <c r="Z481" s="213">
        <f>IFERROR(IF([1]对账明细接口!$U481=0,"",[1]对账明细接口!$U481),"")</f>
      </c>
      <c r="AA481" s="213">
        <f>IFERROR(IF([1]对账明细接口!$V481=0,"",[1]对账明细接口!$V481),"")</f>
      </c>
      <c r="AB481" s="20">
        <f>IFERROR(IF([1]对账明细接口!$W481=0,"",[1]对账明细接口!$W481),"")</f>
      </c>
      <c r="AC481" s="7">
        <f>IFERROR(IF([1]对账明细接口!$X481=0,"",[1]对账明细接口!$X481),"")</f>
      </c>
      <c r="AD481" s="7">
        <f>IFERROR(IF([1]对账明细接口!$Y481=0,"",[1]对账明细接口!$Y481),"")</f>
      </c>
      <c r="AE481" s="7">
        <f>IFERROR(IF([1]对账明细接口!$AA481=0,"",[1]对账明细接口!$AA481),"")</f>
      </c>
      <c r="AF481" s="7">
        <f>IFERROR(IF([1]对账明细接口!$AB481=0,"",[1]对账明细接口!$AB481),"")</f>
      </c>
      <c r="AG481" s="7">
        <f>IFERROR(IF([1]对账明细接口!$AC481=0,"",[1]对账明细接口!$AC481),"")</f>
      </c>
      <c r="AH481" s="7">
        <f>IFERROR(IF([1]对账明细接口!$AD481=0,"",[1]对账明细接口!$AD481),"")</f>
      </c>
      <c r="AI481" s="7">
        <f>IFERROR(IF([1]对账明细接口!$AE481=0,"",[1]对账明细接口!$AE481),"")</f>
      </c>
      <c r="AJ481" s="7">
        <f>IFERROR(IF([1]对账明细接口!$AF481=0,"",[1]对账明细接口!$AF481),"")</f>
      </c>
    </row>
    <row r="482" ht="14.25" customHeight="1" s="127">
      <c r="A482" s="14" t="n">
        <v>482</v>
      </c>
      <c r="B482" s="211">
        <f>IFERROR(IF([1]对账明细接口!$B$482=0,"",[1]对账明细接口!$B$482),"")</f>
        <v>46255.0</v>
      </c>
      <c r="C482" s="16" t="str">
        <f>IFERROR(IF([1]对账明细接口!$C$482=0,"",[1]对账明细接口!$C$482),"")</f>
        <v>聂新平</v>
      </c>
      <c r="D482" s="16" t="str">
        <f>IFERROR(IF([1]对账明细接口!$D$482=0,"",[1]对账明细接口!$D$482),"")</f>
        <v>原料出库－原筐出库</v>
      </c>
      <c r="E482" s="16" t="str">
        <f>IFERROR(IF([1]对账明细接口!$E$482=0,"",[1]对账明细接口!$E$482),"")</f>
        <v>NO:0001024</v>
      </c>
      <c r="F482" s="16" t="str">
        <f>IFERROR(IF([1]对账明细接口!$F$482=0,"",[1]对账明细接口!$F$482),"")</f>
        <v>苹果</v>
      </c>
      <c r="G482" s="16" t="str">
        <f>IFERROR(IF([1]对账明细接口!$G$482=0,"",[1]对账明细接口!$G$482),"")</f>
        <v>嘎啦85#</v>
      </c>
      <c r="H482" s="176">
        <f>IFERROR(IF([1]对账明细接口!$H$482=0,"",[1]对账明细接口!$H$482),"")</f>
        <v>212</v>
      </c>
      <c r="I482" s="16" t="str">
        <f>IFERROR(IF([1]对账明细接口!$I$482=0,"",[1]对账明细接口!$I$482),"")</f>
        <v>筐</v>
      </c>
      <c r="J482" s="177">
        <f>IFERROR(IF([1]对账明细接口!$J$482=0,"",[1]对账明细接口!$J$482),"")</f>
        <v>4621.6</v>
      </c>
      <c r="K482" s="177">
        <f>IFERROR(IF([1]对账明细接口!$K$482=0,"",[1]对账明细接口!$K$482),"")</f>
      </c>
      <c r="L482" s="16">
        <f>IFERROR(IF([1]对账明细接口!$L$482=0,"",[1]对账明细接口!$L$482),"")</f>
      </c>
      <c r="M482" s="16">
        <f>IFERROR(IF([1]对账明细接口!$M$482=0,"",[1]对账明细接口!$M$482),"")</f>
      </c>
      <c r="N482" s="19">
        <f>IF($C482="",0,1)</f>
        <v>1</v>
      </c>
      <c r="O482" s="19">
        <f>N(O481)+$N482</f>
        <v>479</v>
      </c>
      <c r="S482" s="20" t="str">
        <f>IFERROR(IF([1]对账明细接口!$N482=0,"",[1]对账明细接口!$N482),"")</f>
        <v>自备一次性筐</v>
      </c>
      <c r="T482" s="212">
        <f>IFERROR(IF([1]对账明细接口!$O482=0,"",[1]对账明细接口!$O482),"")</f>
        <v>212</v>
      </c>
      <c r="U482" s="212">
        <f>IFERROR(IF([1]对账明细接口!$P482=0,"",[1]对账明细接口!$P482),"")</f>
      </c>
      <c r="V482" s="212">
        <f>IFERROR(IF([1]对账明细接口!$Q482=0,"",[1]对账明细接口!$Q482),"")</f>
      </c>
      <c r="W482" s="20" t="str">
        <f>IFERROR(IF([1]对账明细接口!$R482=0,"",[1]对账明细接口!$R482),"")</f>
        <v>晋M*H8582</v>
      </c>
      <c r="X482" s="20" t="str">
        <f>IFERROR(IF([1]对账明细接口!$S482=0,"",[1]对账明细接口!$S482),"")</f>
        <v>自备筐</v>
      </c>
      <c r="Y482" s="20">
        <f>IFERROR(IF([1]对账明细接口!$T482=0,"",[1]对账明细接口!$T482),"")</f>
      </c>
      <c r="Z482" s="213">
        <f>IFERROR(IF([1]对账明细接口!$U482=0,"",[1]对账明细接口!$U482),"")</f>
      </c>
      <c r="AA482" s="213">
        <f>IFERROR(IF([1]对账明细接口!$V482=0,"",[1]对账明细接口!$V482),"")</f>
      </c>
      <c r="AB482" s="20">
        <f>IFERROR(IF([1]对账明细接口!$W482=0,"",[1]对账明细接口!$W482),"")</f>
      </c>
      <c r="AC482" s="7">
        <f>IFERROR(IF([1]对账明细接口!$X482=0,"",[1]对账明细接口!$X482),"")</f>
      </c>
      <c r="AD482" s="7">
        <f>IFERROR(IF([1]对账明细接口!$Y482=0,"",[1]对账明细接口!$Y482),"")</f>
      </c>
      <c r="AE482" s="7">
        <f>IFERROR(IF([1]对账明细接口!$AA482=0,"",[1]对账明细接口!$AA482),"")</f>
      </c>
      <c r="AF482" s="7">
        <f>IFERROR(IF([1]对账明细接口!$AB482=0,"",[1]对账明细接口!$AB482),"")</f>
      </c>
      <c r="AG482" s="7">
        <f>IFERROR(IF([1]对账明细接口!$AC482=0,"",[1]对账明细接口!$AC482),"")</f>
      </c>
      <c r="AH482" s="7">
        <f>IFERROR(IF([1]对账明细接口!$AD482=0,"",[1]对账明细接口!$AD482),"")</f>
      </c>
      <c r="AI482" s="7">
        <f>IFERROR(IF([1]对账明细接口!$AE482=0,"",[1]对账明细接口!$AE482),"")</f>
      </c>
      <c r="AJ482" s="7">
        <f>IFERROR(IF([1]对账明细接口!$AF482=0,"",[1]对账明细接口!$AF482),"")</f>
      </c>
    </row>
    <row r="483" ht="14.25" customHeight="1" s="127">
      <c r="A483" s="14" t="n">
        <v>483</v>
      </c>
      <c r="B483" s="211">
        <f>IFERROR(IF([1]对账明细接口!$B$483=0,"",[1]对账明细接口!$B$483),"")</f>
        <v>46255.0</v>
      </c>
      <c r="C483" s="16" t="str">
        <f>IFERROR(IF([1]对账明细接口!$C$483=0,"",[1]对账明细接口!$C$483),"")</f>
        <v>聂新平</v>
      </c>
      <c r="D483" s="16" t="str">
        <f>IFERROR(IF([1]对账明细接口!$D$483=0,"",[1]对账明细接口!$D$483),"")</f>
        <v>原料出库－原筐出库</v>
      </c>
      <c r="E483" s="16" t="str">
        <f>IFERROR(IF([1]对账明细接口!$E$483=0,"",[1]对账明细接口!$E$483),"")</f>
        <v>NO:0001024</v>
      </c>
      <c r="F483" s="16" t="str">
        <f>IFERROR(IF([1]对账明细接口!$F$483=0,"",[1]对账明细接口!$F$483),"")</f>
        <v>苹果</v>
      </c>
      <c r="G483" s="16" t="str">
        <f>IFERROR(IF([1]对账明细接口!$G$483=0,"",[1]对账明细接口!$G$483),"")</f>
        <v>嘎啦100#</v>
      </c>
      <c r="H483" s="176">
        <f>IFERROR(IF([1]对账明细接口!$H$483=0,"",[1]对账明细接口!$H$483),"")</f>
        <v>240</v>
      </c>
      <c r="I483" s="16" t="str">
        <f>IFERROR(IF([1]对账明细接口!$I$483=0,"",[1]对账明细接口!$I$483),"")</f>
        <v>筐</v>
      </c>
      <c r="J483" s="177">
        <f>IFERROR(IF([1]对账明细接口!$J$483=0,"",[1]对账明细接口!$J$483),"")</f>
        <v>5232</v>
      </c>
      <c r="K483" s="177">
        <f>IFERROR(IF([1]对账明细接口!$K$483=0,"",[1]对账明细接口!$K$483),"")</f>
      </c>
      <c r="L483" s="16">
        <f>IFERROR(IF([1]对账明细接口!$L$483=0,"",[1]对账明细接口!$L$483),"")</f>
      </c>
      <c r="M483" s="16">
        <f>IFERROR(IF([1]对账明细接口!$M$483=0,"",[1]对账明细接口!$M$483),"")</f>
      </c>
      <c r="N483" s="19">
        <f>IF($C483="",0,1)</f>
        <v>1</v>
      </c>
      <c r="O483" s="19">
        <f>N(O482)+$N483</f>
        <v>480</v>
      </c>
      <c r="S483" s="20" t="str">
        <f>IFERROR(IF([1]对账明细接口!$N483=0,"",[1]对账明细接口!$N483),"")</f>
        <v>自备一次性筐</v>
      </c>
      <c r="T483" s="212">
        <f>IFERROR(IF([1]对账明细接口!$O483=0,"",[1]对账明细接口!$O483),"")</f>
        <v>240</v>
      </c>
      <c r="U483" s="212">
        <f>IFERROR(IF([1]对账明细接口!$P483=0,"",[1]对账明细接口!$P483),"")</f>
      </c>
      <c r="V483" s="212">
        <f>IFERROR(IF([1]对账明细接口!$Q483=0,"",[1]对账明细接口!$Q483),"")</f>
      </c>
      <c r="W483" s="20" t="str">
        <f>IFERROR(IF([1]对账明细接口!$R483=0,"",[1]对账明细接口!$R483),"")</f>
        <v>晋M*H8582</v>
      </c>
      <c r="X483" s="20" t="str">
        <f>IFERROR(IF([1]对账明细接口!$S483=0,"",[1]对账明细接口!$S483),"")</f>
        <v>自备筐</v>
      </c>
      <c r="Y483" s="20">
        <f>IFERROR(IF([1]对账明细接口!$T483=0,"",[1]对账明细接口!$T483),"")</f>
      </c>
      <c r="Z483" s="213">
        <f>IFERROR(IF([1]对账明细接口!$U483=0,"",[1]对账明细接口!$U483),"")</f>
      </c>
      <c r="AA483" s="213">
        <f>IFERROR(IF([1]对账明细接口!$V483=0,"",[1]对账明细接口!$V483),"")</f>
      </c>
      <c r="AB483" s="20">
        <f>IFERROR(IF([1]对账明细接口!$W483=0,"",[1]对账明细接口!$W483),"")</f>
      </c>
      <c r="AC483" s="7">
        <f>IFERROR(IF([1]对账明细接口!$X483=0,"",[1]对账明细接口!$X483),"")</f>
      </c>
      <c r="AD483" s="7">
        <f>IFERROR(IF([1]对账明细接口!$Y483=0,"",[1]对账明细接口!$Y483),"")</f>
      </c>
      <c r="AE483" s="7">
        <f>IFERROR(IF([1]对账明细接口!$AA483=0,"",[1]对账明细接口!$AA483),"")</f>
      </c>
      <c r="AF483" s="7">
        <f>IFERROR(IF([1]对账明细接口!$AB483=0,"",[1]对账明细接口!$AB483),"")</f>
      </c>
      <c r="AG483" s="7">
        <f>IFERROR(IF([1]对账明细接口!$AC483=0,"",[1]对账明细接口!$AC483),"")</f>
      </c>
      <c r="AH483" s="7">
        <f>IFERROR(IF([1]对账明细接口!$AD483=0,"",[1]对账明细接口!$AD483),"")</f>
      </c>
      <c r="AI483" s="7">
        <f>IFERROR(IF([1]对账明细接口!$AE483=0,"",[1]对账明细接口!$AE483),"")</f>
      </c>
      <c r="AJ483" s="7">
        <f>IFERROR(IF([1]对账明细接口!$AF483=0,"",[1]对账明细接口!$AF483),"")</f>
      </c>
    </row>
    <row r="484" ht="14.25" customHeight="1" s="127">
      <c r="A484" s="14" t="n">
        <v>484</v>
      </c>
      <c r="B484" s="211">
        <f>IFERROR(IF([1]对账明细接口!$B$484=0,"",[1]对账明细接口!$B$484),"")</f>
        <v>46258.0</v>
      </c>
      <c r="C484" s="16" t="str">
        <f>IFERROR(IF([1]对账明细接口!$C$484=0,"",[1]对账明细接口!$C$484),"")</f>
        <v>王照雪</v>
      </c>
      <c r="D484" s="16" t="str">
        <f>IFERROR(IF([1]对账明细接口!$D$484=0,"",[1]对账明细接口!$D$484),"")</f>
        <v>原料出库－原筐出库</v>
      </c>
      <c r="E484" s="16" t="str">
        <f>IFERROR(IF([1]对账明细接口!$E$484=0,"",[1]对账明细接口!$E$484),"")</f>
        <v>NO:0001032</v>
      </c>
      <c r="F484" s="16" t="str">
        <f>IFERROR(IF([1]对账明细接口!$F$484=0,"",[1]对账明细接口!$F$484),"")</f>
        <v>苹果</v>
      </c>
      <c r="G484" s="16" t="str">
        <f>IFERROR(IF([1]对账明细接口!$G$484=0,"",[1]对账明细接口!$G$484),"")</f>
        <v>华硕高次</v>
      </c>
      <c r="H484" s="176">
        <f>IFERROR(IF([1]对账明细接口!$H$484=0,"",[1]对账明细接口!$H$484),"")</f>
        <v>1</v>
      </c>
      <c r="I484" s="16" t="str">
        <f>IFERROR(IF([1]对账明细接口!$I$484=0,"",[1]对账明细接口!$I$484),"")</f>
        <v>筐</v>
      </c>
      <c r="J484" s="177">
        <f>IFERROR(IF([1]对账明细接口!$J$484=0,"",[1]对账明细接口!$J$484),"")</f>
        <v>17.3</v>
      </c>
      <c r="K484" s="177">
        <f>IFERROR(IF([1]对账明细接口!$K$484=0,"",[1]对账明细接口!$K$484),"")</f>
      </c>
      <c r="L484" s="16">
        <f>IFERROR(IF([1]对账明细接口!$L$484=0,"",[1]对账明细接口!$L$484),"")</f>
      </c>
      <c r="M484" s="16" t="str">
        <f>IFERROR(IF([1]对账明细接口!$M$484=0,"",[1]对账明细接口!$M$484),"")</f>
        <v>主播拿走</v>
      </c>
      <c r="N484" s="19">
        <f>IF($C484="",0,1)</f>
        <v>1</v>
      </c>
      <c r="O484" s="19">
        <f>N(O483)+$N484</f>
        <v>481</v>
      </c>
      <c r="S484" s="20" t="str">
        <f>IFERROR(IF([1]对账明细接口!$N484=0,"",[1]对账明细接口!$N484),"")</f>
        <v>公司杂周转筐</v>
      </c>
      <c r="T484" s="212">
        <f>IFERROR(IF([1]对账明细接口!$O484=0,"",[1]对账明细接口!$O484),"")</f>
        <v>1</v>
      </c>
      <c r="U484" s="212">
        <f>IFERROR(IF([1]对账明细接口!$P484=0,"",[1]对账明细接口!$P484),"")</f>
      </c>
      <c r="V484" s="212">
        <f>IFERROR(IF([1]对账明细接口!$Q484=0,"",[1]对账明细接口!$Q484),"")</f>
      </c>
      <c r="W484" s="20">
        <f>IFERROR(IF([1]对账明细接口!$R484=0,"",[1]对账明细接口!$R484),"")</f>
      </c>
      <c r="X484" s="20" t="str">
        <f>IFERROR(IF([1]对账明细接口!$S484=0,"",[1]对账明细接口!$S484),"")</f>
        <v>公司筐</v>
      </c>
      <c r="Y484" s="20">
        <f>IFERROR(IF([1]对账明细接口!$T484=0,"",[1]对账明细接口!$T484),"")</f>
      </c>
      <c r="Z484" s="213">
        <f>IFERROR(IF([1]对账明细接口!$U484=0,"",[1]对账明细接口!$U484),"")</f>
      </c>
      <c r="AA484" s="213">
        <f>IFERROR(IF([1]对账明细接口!$V484=0,"",[1]对账明细接口!$V484),"")</f>
      </c>
      <c r="AB484" s="20">
        <f>IFERROR(IF([1]对账明细接口!$W484=0,"",[1]对账明细接口!$W484),"")</f>
      </c>
      <c r="AC484" s="7">
        <f>IFERROR(IF([1]对账明细接口!$X484=0,"",[1]对账明细接口!$X484),"")</f>
      </c>
      <c r="AD484" s="7">
        <f>IFERROR(IF([1]对账明细接口!$Y484=0,"",[1]对账明细接口!$Y484),"")</f>
      </c>
      <c r="AE484" s="7">
        <f>IFERROR(IF([1]对账明细接口!$AA484=0,"",[1]对账明细接口!$AA484),"")</f>
      </c>
      <c r="AF484" s="7">
        <f>IFERROR(IF([1]对账明细接口!$AB484=0,"",[1]对账明细接口!$AB484),"")</f>
      </c>
      <c r="AG484" s="7">
        <f>IFERROR(IF([1]对账明细接口!$AC484=0,"",[1]对账明细接口!$AC484),"")</f>
      </c>
      <c r="AH484" s="7">
        <f>IFERROR(IF([1]对账明细接口!$AD484=0,"",[1]对账明细接口!$AD484),"")</f>
      </c>
      <c r="AI484" s="7">
        <f>IFERROR(IF([1]对账明细接口!$AE484=0,"",[1]对账明细接口!$AE484),"")</f>
      </c>
      <c r="AJ484" s="7">
        <f>IFERROR(IF([1]对账明细接口!$AF484=0,"",[1]对账明细接口!$AF484),"")</f>
      </c>
    </row>
    <row r="485" ht="14.25" customHeight="1" s="127">
      <c r="A485" s="14" t="n">
        <v>485</v>
      </c>
      <c r="B485" s="211">
        <f>IFERROR(IF([1]对账明细接口!$B$485=0,"",[1]对账明细接口!$B$485),"")</f>
        <v>46259.0</v>
      </c>
      <c r="C485" s="16" t="str">
        <f>IFERROR(IF([1]对账明细接口!$C$485=0,"",[1]对账明细接口!$C$485),"")</f>
        <v>王照雪</v>
      </c>
      <c r="D485" s="16" t="str">
        <f>IFERROR(IF([1]对账明细接口!$D$485=0,"",[1]对账明细接口!$D$485),"")</f>
        <v>原料出库－出库加工</v>
      </c>
      <c r="E485" s="16" t="str">
        <f>IFERROR(IF([1]对账明细接口!$E$485=0,"",[1]对账明细接口!$E$485),"")</f>
        <v>NO:0001034</v>
      </c>
      <c r="F485" s="16" t="str">
        <f>IFERROR(IF([1]对账明细接口!$F$485=0,"",[1]对账明细接口!$F$485),"")</f>
        <v>苹果</v>
      </c>
      <c r="G485" s="16" t="str">
        <f>IFERROR(IF([1]对账明细接口!$G$485=0,"",[1]对账明细接口!$G$485),"")</f>
        <v>华硕一级</v>
      </c>
      <c r="H485" s="176">
        <f>IFERROR(IF([1]对账明细接口!$H$485=0,"",[1]对账明细接口!$H$485),"")</f>
        <v>44</v>
      </c>
      <c r="I485" s="16" t="str">
        <f>IFERROR(IF([1]对账明细接口!$I$485=0,"",[1]对账明细接口!$I$485),"")</f>
        <v>筐</v>
      </c>
      <c r="J485" s="177">
        <f>IFERROR(IF([1]对账明细接口!$J$485=0,"",[1]对账明细接口!$J$485),"")</f>
      </c>
      <c r="K485" s="177">
        <f>IFERROR(IF([1]对账明细接口!$K$485=0,"",[1]对账明细接口!$K$485),"")</f>
      </c>
      <c r="L485" s="16">
        <f>IFERROR(IF([1]对账明细接口!$L$485=0,"",[1]对账明细接口!$L$485),"")</f>
      </c>
      <c r="M485" s="16">
        <f>IFERROR(IF([1]对账明细接口!$M$485=0,"",[1]对账明细接口!$M$485),"")</f>
      </c>
      <c r="N485" s="19">
        <f>IF($C485="",0,1)</f>
        <v>1</v>
      </c>
      <c r="O485" s="19">
        <f>N(O484)+$N485</f>
        <v>482</v>
      </c>
      <c r="S485" s="20">
        <f>IFERROR(IF([1]对账明细接口!$N485=0,"",[1]对账明细接口!$N485),"")</f>
      </c>
      <c r="T485" s="212">
        <f>IFERROR(IF([1]对账明细接口!$O485=0,"",[1]对账明细接口!$O485),"")</f>
      </c>
      <c r="U485" s="212">
        <f>IFERROR(IF([1]对账明细接口!$P485=0,"",[1]对账明细接口!$P485),"")</f>
      </c>
      <c r="V485" s="212">
        <f>IFERROR(IF([1]对账明细接口!$Q485=0,"",[1]对账明细接口!$Q485),"")</f>
      </c>
      <c r="W485" s="20">
        <f>IFERROR(IF([1]对账明细接口!$R485=0,"",[1]对账明细接口!$R485),"")</f>
      </c>
      <c r="X485" s="20">
        <f>IFERROR(IF([1]对账明细接口!$S485=0,"",[1]对账明细接口!$S485),"")</f>
      </c>
      <c r="Y485" s="20">
        <f>IFERROR(IF([1]对账明细接口!$T485=0,"",[1]对账明细接口!$T485),"")</f>
      </c>
      <c r="Z485" s="213">
        <f>IFERROR(IF([1]对账明细接口!$U485=0,"",[1]对账明细接口!$U485),"")</f>
      </c>
      <c r="AA485" s="213">
        <f>IFERROR(IF([1]对账明细接口!$V485=0,"",[1]对账明细接口!$V485),"")</f>
      </c>
      <c r="AB485" s="20">
        <f>IFERROR(IF([1]对账明细接口!$W485=0,"",[1]对账明细接口!$W485),"")</f>
      </c>
      <c r="AC485" s="7">
        <f>IFERROR(IF([1]对账明细接口!$X485=0,"",[1]对账明细接口!$X485),"")</f>
      </c>
      <c r="AD485" s="7">
        <f>IFERROR(IF([1]对账明细接口!$Y485=0,"",[1]对账明细接口!$Y485),"")</f>
      </c>
      <c r="AE485" s="7">
        <f>IFERROR(IF([1]对账明细接口!$AA485=0,"",[1]对账明细接口!$AA485),"")</f>
      </c>
      <c r="AF485" s="7">
        <f>IFERROR(IF([1]对账明细接口!$AB485=0,"",[1]对账明细接口!$AB485),"")</f>
      </c>
      <c r="AG485" s="7">
        <f>IFERROR(IF([1]对账明细接口!$AC485=0,"",[1]对账明细接口!$AC485),"")</f>
      </c>
      <c r="AH485" s="7">
        <f>IFERROR(IF([1]对账明细接口!$AD485=0,"",[1]对账明细接口!$AD485),"")</f>
      </c>
      <c r="AI485" s="7">
        <f>IFERROR(IF([1]对账明细接口!$AE485=0,"",[1]对账明细接口!$AE485),"")</f>
      </c>
      <c r="AJ485" s="7">
        <f>IFERROR(IF([1]对账明细接口!$AF485=0,"",[1]对账明细接口!$AF485),"")</f>
      </c>
    </row>
    <row r="486" ht="14.25" customHeight="1" s="127">
      <c r="A486" s="14" t="n">
        <v>486</v>
      </c>
      <c r="B486" s="211">
        <f>IFERROR(IF([1]对账明细接口!$B$486=0,"",[1]对账明细接口!$B$486),"")</f>
        <v>46261.0</v>
      </c>
      <c r="C486" s="16" t="str">
        <f>IFERROR(IF([1]对账明细接口!$C$486=0,"",[1]对账明细接口!$C$486),"")</f>
        <v>王照雪</v>
      </c>
      <c r="D486" s="16" t="str">
        <f>IFERROR(IF([1]对账明细接口!$D$486=0,"",[1]对账明细接口!$D$486),"")</f>
        <v>原料出库－出库加工</v>
      </c>
      <c r="E486" s="16" t="str">
        <f>IFERROR(IF([1]对账明细接口!$E$486=0,"",[1]对账明细接口!$E$486),"")</f>
        <v>NO:0001038</v>
      </c>
      <c r="F486" s="16" t="str">
        <f>IFERROR(IF([1]对账明细接口!$F$486=0,"",[1]对账明细接口!$F$486),"")</f>
        <v>苹果</v>
      </c>
      <c r="G486" s="16" t="str">
        <f>IFERROR(IF([1]对账明细接口!$G$486=0,"",[1]对账明细接口!$G$486),"")</f>
        <v>华硕一级</v>
      </c>
      <c r="H486" s="176">
        <f>IFERROR(IF([1]对账明细接口!$H$486=0,"",[1]对账明细接口!$H$486),"")</f>
        <v>78</v>
      </c>
      <c r="I486" s="16" t="str">
        <f>IFERROR(IF([1]对账明细接口!$I$486=0,"",[1]对账明细接口!$I$486),"")</f>
        <v>筐</v>
      </c>
      <c r="J486" s="177">
        <f>IFERROR(IF([1]对账明细接口!$J$486=0,"",[1]对账明细接口!$J$486),"")</f>
      </c>
      <c r="K486" s="177">
        <f>IFERROR(IF([1]对账明细接口!$K$486=0,"",[1]对账明细接口!$K$486),"")</f>
      </c>
      <c r="L486" s="16">
        <f>IFERROR(IF([1]对账明细接口!$L$486=0,"",[1]对账明细接口!$L$486),"")</f>
      </c>
      <c r="M486" s="16">
        <f>IFERROR(IF([1]对账明细接口!$M$486=0,"",[1]对账明细接口!$M$486),"")</f>
      </c>
      <c r="N486" s="19">
        <f>IF($C486="",0,1)</f>
        <v>1</v>
      </c>
      <c r="O486" s="19">
        <f>N(O485)+$N486</f>
        <v>483</v>
      </c>
      <c r="S486" s="20">
        <f>IFERROR(IF([1]对账明细接口!$N486=0,"",[1]对账明细接口!$N486),"")</f>
      </c>
      <c r="T486" s="212">
        <f>IFERROR(IF([1]对账明细接口!$O486=0,"",[1]对账明细接口!$O486),"")</f>
      </c>
      <c r="U486" s="212">
        <f>IFERROR(IF([1]对账明细接口!$P486=0,"",[1]对账明细接口!$P486),"")</f>
      </c>
      <c r="V486" s="212">
        <f>IFERROR(IF([1]对账明细接口!$Q486=0,"",[1]对账明细接口!$Q486),"")</f>
      </c>
      <c r="W486" s="20">
        <f>IFERROR(IF([1]对账明细接口!$R486=0,"",[1]对账明细接口!$R486),"")</f>
      </c>
      <c r="X486" s="20">
        <f>IFERROR(IF([1]对账明细接口!$S486=0,"",[1]对账明细接口!$S486),"")</f>
      </c>
      <c r="Y486" s="20">
        <f>IFERROR(IF([1]对账明细接口!$T486=0,"",[1]对账明细接口!$T486),"")</f>
      </c>
      <c r="Z486" s="213">
        <f>IFERROR(IF([1]对账明细接口!$U486=0,"",[1]对账明细接口!$U486),"")</f>
      </c>
      <c r="AA486" s="213">
        <f>IFERROR(IF([1]对账明细接口!$V486=0,"",[1]对账明细接口!$V486),"")</f>
      </c>
      <c r="AB486" s="20">
        <f>IFERROR(IF([1]对账明细接口!$W486=0,"",[1]对账明细接口!$W486),"")</f>
      </c>
      <c r="AC486" s="7">
        <f>IFERROR(IF([1]对账明细接口!$X486=0,"",[1]对账明细接口!$X486),"")</f>
      </c>
      <c r="AD486" s="7">
        <f>IFERROR(IF([1]对账明细接口!$Y486=0,"",[1]对账明细接口!$Y486),"")</f>
      </c>
      <c r="AE486" s="7">
        <f>IFERROR(IF([1]对账明细接口!$AA486=0,"",[1]对账明细接口!$AA486),"")</f>
      </c>
      <c r="AF486" s="7">
        <f>IFERROR(IF([1]对账明细接口!$AB486=0,"",[1]对账明细接口!$AB486),"")</f>
      </c>
      <c r="AG486" s="7">
        <f>IFERROR(IF([1]对账明细接口!$AC486=0,"",[1]对账明细接口!$AC486),"")</f>
      </c>
      <c r="AH486" s="7">
        <f>IFERROR(IF([1]对账明细接口!$AD486=0,"",[1]对账明细接口!$AD486),"")</f>
      </c>
      <c r="AI486" s="7">
        <f>IFERROR(IF([1]对账明细接口!$AE486=0,"",[1]对账明细接口!$AE486),"")</f>
      </c>
      <c r="AJ486" s="7">
        <f>IFERROR(IF([1]对账明细接口!$AF486=0,"",[1]对账明细接口!$AF486),"")</f>
      </c>
    </row>
    <row r="487" ht="14.25" customHeight="1" s="127">
      <c r="A487" s="14" t="n">
        <v>487</v>
      </c>
      <c r="B487" s="211">
        <f>IFERROR(IF([1]对账明细接口!$B$487=0,"",[1]对账明细接口!$B$487),"")</f>
        <v>46261.0</v>
      </c>
      <c r="C487" s="16" t="str">
        <f>IFERROR(IF([1]对账明细接口!$C$487=0,"",[1]对账明细接口!$C$487),"")</f>
        <v>王照雪</v>
      </c>
      <c r="D487" s="16" t="str">
        <f>IFERROR(IF([1]对账明细接口!$D$487=0,"",[1]对账明细接口!$D$487),"")</f>
        <v>原料出库－出库加工</v>
      </c>
      <c r="E487" s="16" t="str">
        <f>IFERROR(IF([1]对账明细接口!$E$487=0,"",[1]对账明细接口!$E$487),"")</f>
        <v>NO:0001038</v>
      </c>
      <c r="F487" s="16" t="str">
        <f>IFERROR(IF([1]对账明细接口!$F$487=0,"",[1]对账明细接口!$F$487),"")</f>
        <v>苹果</v>
      </c>
      <c r="G487" s="16" t="str">
        <f>IFERROR(IF([1]对账明细接口!$G$487=0,"",[1]对账明细接口!$G$487),"")</f>
        <v>华硕高次</v>
      </c>
      <c r="H487" s="176">
        <f>IFERROR(IF([1]对账明细接口!$H$487=0,"",[1]对账明细接口!$H$487),"")</f>
        <v>44</v>
      </c>
      <c r="I487" s="16" t="str">
        <f>IFERROR(IF([1]对账明细接口!$I$487=0,"",[1]对账明细接口!$I$487),"")</f>
        <v>筐</v>
      </c>
      <c r="J487" s="177">
        <f>IFERROR(IF([1]对账明细接口!$J$487=0,"",[1]对账明细接口!$J$487),"")</f>
      </c>
      <c r="K487" s="177">
        <f>IFERROR(IF([1]对账明细接口!$K$487=0,"",[1]对账明细接口!$K$487),"")</f>
      </c>
      <c r="L487" s="16">
        <f>IFERROR(IF([1]对账明细接口!$L$487=0,"",[1]对账明细接口!$L$487),"")</f>
      </c>
      <c r="M487" s="16">
        <f>IFERROR(IF([1]对账明细接口!$M$487=0,"",[1]对账明细接口!$M$487),"")</f>
      </c>
      <c r="N487" s="19">
        <f>IF($C487="",0,1)</f>
        <v>1</v>
      </c>
      <c r="O487" s="19">
        <f>N(O486)+$N487</f>
        <v>484</v>
      </c>
      <c r="S487" s="20">
        <f>IFERROR(IF([1]对账明细接口!$N487=0,"",[1]对账明细接口!$N487),"")</f>
      </c>
      <c r="T487" s="212">
        <f>IFERROR(IF([1]对账明细接口!$O487=0,"",[1]对账明细接口!$O487),"")</f>
      </c>
      <c r="U487" s="212">
        <f>IFERROR(IF([1]对账明细接口!$P487=0,"",[1]对账明细接口!$P487),"")</f>
      </c>
      <c r="V487" s="212">
        <f>IFERROR(IF([1]对账明细接口!$Q487=0,"",[1]对账明细接口!$Q487),"")</f>
      </c>
      <c r="W487" s="20">
        <f>IFERROR(IF([1]对账明细接口!$R487=0,"",[1]对账明细接口!$R487),"")</f>
      </c>
      <c r="X487" s="20">
        <f>IFERROR(IF([1]对账明细接口!$S487=0,"",[1]对账明细接口!$S487),"")</f>
      </c>
      <c r="Y487" s="20">
        <f>IFERROR(IF([1]对账明细接口!$T487=0,"",[1]对账明细接口!$T487),"")</f>
      </c>
      <c r="Z487" s="213">
        <f>IFERROR(IF([1]对账明细接口!$U487=0,"",[1]对账明细接口!$U487),"")</f>
      </c>
      <c r="AA487" s="213">
        <f>IFERROR(IF([1]对账明细接口!$V487=0,"",[1]对账明细接口!$V487),"")</f>
      </c>
      <c r="AB487" s="20">
        <f>IFERROR(IF([1]对账明细接口!$W487=0,"",[1]对账明细接口!$W487),"")</f>
      </c>
      <c r="AC487" s="7">
        <f>IFERROR(IF([1]对账明细接口!$X487=0,"",[1]对账明细接口!$X487),"")</f>
      </c>
      <c r="AD487" s="7">
        <f>IFERROR(IF([1]对账明细接口!$Y487=0,"",[1]对账明细接口!$Y487),"")</f>
      </c>
      <c r="AE487" s="7">
        <f>IFERROR(IF([1]对账明细接口!$AA487=0,"",[1]对账明细接口!$AA487),"")</f>
      </c>
      <c r="AF487" s="7">
        <f>IFERROR(IF([1]对账明细接口!$AB487=0,"",[1]对账明细接口!$AB487),"")</f>
      </c>
      <c r="AG487" s="7">
        <f>IFERROR(IF([1]对账明细接口!$AC487=0,"",[1]对账明细接口!$AC487),"")</f>
      </c>
      <c r="AH487" s="7">
        <f>IFERROR(IF([1]对账明细接口!$AD487=0,"",[1]对账明细接口!$AD487),"")</f>
      </c>
      <c r="AI487" s="7">
        <f>IFERROR(IF([1]对账明细接口!$AE487=0,"",[1]对账明细接口!$AE487),"")</f>
      </c>
      <c r="AJ487" s="7">
        <f>IFERROR(IF([1]对账明细接口!$AF487=0,"",[1]对账明细接口!$AF487),"")</f>
      </c>
    </row>
    <row r="488" ht="14.25" customHeight="1" s="127">
      <c r="A488" s="14" t="n">
        <v>488</v>
      </c>
      <c r="B488" s="211">
        <f>IFERROR(IF([1]对账明细接口!$B$488=0,"",[1]对账明细接口!$B$488),"")</f>
        <v>46262.0</v>
      </c>
      <c r="C488" s="16" t="str">
        <f>IFERROR(IF([1]对账明细接口!$C$488=0,"",[1]对账明细接口!$C$488),"")</f>
        <v>马锦祥</v>
      </c>
      <c r="D488" s="16" t="str">
        <f>IFERROR(IF([1]对账明细接口!$D$488=0,"",[1]对账明细接口!$D$488),"")</f>
        <v>原料出库－原筐出库</v>
      </c>
      <c r="E488" s="16" t="str">
        <f>IFERROR(IF([1]对账明细接口!$E$488=0,"",[1]对账明细接口!$E$488),"")</f>
        <v>NO:0001042</v>
      </c>
      <c r="F488" s="16" t="str">
        <f>IFERROR(IF([1]对账明细接口!$F$488=0,"",[1]对账明细接口!$F$488),"")</f>
        <v>苹果</v>
      </c>
      <c r="G488" s="16" t="str">
        <f>IFERROR(IF([1]对账明细接口!$G$488=0,"",[1]对账明细接口!$G$488),"")</f>
        <v>海棠果</v>
      </c>
      <c r="H488" s="176">
        <f>IFERROR(IF([1]对账明细接口!$H$488=0,"",[1]对账明细接口!$H$488),"")</f>
        <v>4</v>
      </c>
      <c r="I488" s="16" t="str">
        <f>IFERROR(IF([1]对账明细接口!$I$488=0,"",[1]对账明细接口!$I$488),"")</f>
        <v>筐</v>
      </c>
      <c r="J488" s="177">
        <f>IFERROR(IF([1]对账明细接口!$J$488=0,"",[1]对账明细接口!$J$488),"")</f>
        <v>12</v>
      </c>
      <c r="K488" s="177">
        <f>IFERROR(IF([1]对账明细接口!$K$488=0,"",[1]对账明细接口!$K$488),"")</f>
      </c>
      <c r="L488" s="16">
        <f>IFERROR(IF([1]对账明细接口!$L$488=0,"",[1]对账明细接口!$L$488),"")</f>
      </c>
      <c r="M488" s="16" t="str">
        <f>IFERROR(IF([1]对账明细接口!$M$488=0,"",[1]对账明细接口!$M$488),"")</f>
        <v>司机老王拿2/任斌拿2</v>
      </c>
      <c r="N488" s="19">
        <f>IF($C488="",0,1)</f>
        <v>1</v>
      </c>
      <c r="O488" s="19">
        <f>N(O487)+$N488</f>
        <v>485</v>
      </c>
      <c r="S488" s="20" t="str">
        <f>IFERROR(IF([1]对账明细接口!$N488=0,"",[1]对账明细接口!$N488),"")</f>
        <v>自备一次性筐</v>
      </c>
      <c r="T488" s="212">
        <f>IFERROR(IF([1]对账明细接口!$O488=0,"",[1]对账明细接口!$O488),"")</f>
        <v>2</v>
      </c>
      <c r="U488" s="212">
        <f>IFERROR(IF([1]对账明细接口!$P488=0,"",[1]对账明细接口!$P488),"")</f>
      </c>
      <c r="V488" s="212">
        <f>IFERROR(IF([1]对账明细接口!$Q488=0,"",[1]对账明细接口!$Q488),"")</f>
      </c>
      <c r="W488" s="20">
        <f>IFERROR(IF([1]对账明细接口!$R488=0,"",[1]对账明细接口!$R488),"")</f>
      </c>
      <c r="X488" s="20" t="str">
        <f>IFERROR(IF([1]对账明细接口!$S488=0,"",[1]对账明细接口!$S488),"")</f>
        <v>自备筐</v>
      </c>
      <c r="Y488" s="20">
        <f>IFERROR(IF([1]对账明细接口!$T488=0,"",[1]对账明细接口!$T488),"")</f>
      </c>
      <c r="Z488" s="213">
        <f>IFERROR(IF([1]对账明细接口!$U488=0,"",[1]对账明细接口!$U488),"")</f>
      </c>
      <c r="AA488" s="213">
        <f>IFERROR(IF([1]对账明细接口!$V488=0,"",[1]对账明细接口!$V488),"")</f>
      </c>
      <c r="AB488" s="20">
        <f>IFERROR(IF([1]对账明细接口!$W488=0,"",[1]对账明细接口!$W488),"")</f>
      </c>
      <c r="AC488" s="7">
        <f>IFERROR(IF([1]对账明细接口!$X488=0,"",[1]对账明细接口!$X488),"")</f>
      </c>
      <c r="AD488" s="7">
        <f>IFERROR(IF([1]对账明细接口!$Y488=0,"",[1]对账明细接口!$Y488),"")</f>
      </c>
      <c r="AE488" s="7">
        <f>IFERROR(IF([1]对账明细接口!$AA488=0,"",[1]对账明细接口!$AA488),"")</f>
      </c>
      <c r="AF488" s="7">
        <f>IFERROR(IF([1]对账明细接口!$AB488=0,"",[1]对账明细接口!$AB488),"")</f>
      </c>
      <c r="AG488" s="7">
        <f>IFERROR(IF([1]对账明细接口!$AC488=0,"",[1]对账明细接口!$AC488),"")</f>
      </c>
      <c r="AH488" s="7">
        <f>IFERROR(IF([1]对账明细接口!$AD488=0,"",[1]对账明细接口!$AD488),"")</f>
      </c>
      <c r="AI488" s="7">
        <f>IFERROR(IF([1]对账明细接口!$AE488=0,"",[1]对账明细接口!$AE488),"")</f>
      </c>
      <c r="AJ488" s="7">
        <f>IFERROR(IF([1]对账明细接口!$AF488=0,"",[1]对账明细接口!$AF488),"")</f>
      </c>
    </row>
    <row r="489" ht="14.25" customHeight="1" s="127">
      <c r="A489" s="14" t="n">
        <v>489</v>
      </c>
      <c r="B489" s="211">
        <f>IFERROR(IF([1]对账明细接口!$B$489=0,"",[1]对账明细接口!$B$489),"")</f>
        <v>46263.0</v>
      </c>
      <c r="C489" s="16" t="str">
        <f>IFERROR(IF([1]对账明细接口!$C$489=0,"",[1]对账明细接口!$C$489),"")</f>
        <v>聂新平</v>
      </c>
      <c r="D489" s="16" t="str">
        <f>IFERROR(IF([1]对账明细接口!$D$489=0,"",[1]对账明细接口!$D$489),"")</f>
        <v>原料出库－出库加工</v>
      </c>
      <c r="E489" s="16" t="str">
        <f>IFERROR(IF([1]对账明细接口!$E$489=0,"",[1]对账明细接口!$E$489),"")</f>
        <v>NO:0001044</v>
      </c>
      <c r="F489" s="16" t="str">
        <f>IFERROR(IF([1]对账明细接口!$F$489=0,"",[1]对账明细接口!$F$489),"")</f>
        <v>苹果</v>
      </c>
      <c r="G489" s="16" t="str">
        <f>IFERROR(IF([1]对账明细接口!$G$489=0,"",[1]对账明细接口!$G$489),"")</f>
        <v>嘎啦100#</v>
      </c>
      <c r="H489" s="176">
        <f>IFERROR(IF([1]对账明细接口!$H$489=0,"",[1]对账明细接口!$H$489),"")</f>
        <v>80</v>
      </c>
      <c r="I489" s="16" t="str">
        <f>IFERROR(IF([1]对账明细接口!$I$489=0,"",[1]对账明细接口!$I$489),"")</f>
        <v>筐</v>
      </c>
      <c r="J489" s="177">
        <f>IFERROR(IF([1]对账明细接口!$J$489=0,"",[1]对账明细接口!$J$489),"")</f>
      </c>
      <c r="K489" s="177">
        <f>IFERROR(IF([1]对账明细接口!$K$489=0,"",[1]对账明细接口!$K$489),"")</f>
      </c>
      <c r="L489" s="16">
        <f>IFERROR(IF([1]对账明细接口!$L$489=0,"",[1]对账明细接口!$L$489),"")</f>
      </c>
      <c r="M489" s="16">
        <f>IFERROR(IF([1]对账明细接口!$M$489=0,"",[1]对账明细接口!$M$489),"")</f>
      </c>
      <c r="N489" s="19">
        <f>IF($C489="",0,1)</f>
        <v>1</v>
      </c>
      <c r="O489" s="19">
        <f>N(O488)+$N489</f>
        <v>486</v>
      </c>
      <c r="S489" s="20">
        <f>IFERROR(IF([1]对账明细接口!$N489=0,"",[1]对账明细接口!$N489),"")</f>
      </c>
      <c r="T489" s="212">
        <f>IFERROR(IF([1]对账明细接口!$O489=0,"",[1]对账明细接口!$O489),"")</f>
      </c>
      <c r="U489" s="212">
        <f>IFERROR(IF([1]对账明细接口!$P489=0,"",[1]对账明细接口!$P489),"")</f>
      </c>
      <c r="V489" s="212">
        <f>IFERROR(IF([1]对账明细接口!$Q489=0,"",[1]对账明细接口!$Q489),"")</f>
      </c>
      <c r="W489" s="20">
        <f>IFERROR(IF([1]对账明细接口!$R489=0,"",[1]对账明细接口!$R489),"")</f>
      </c>
      <c r="X489" s="20">
        <f>IFERROR(IF([1]对账明细接口!$S489=0,"",[1]对账明细接口!$S489),"")</f>
      </c>
      <c r="Y489" s="20">
        <f>IFERROR(IF([1]对账明细接口!$T489=0,"",[1]对账明细接口!$T489),"")</f>
      </c>
      <c r="Z489" s="213">
        <f>IFERROR(IF([1]对账明细接口!$U489=0,"",[1]对账明细接口!$U489),"")</f>
      </c>
      <c r="AA489" s="213">
        <f>IFERROR(IF([1]对账明细接口!$V489=0,"",[1]对账明细接口!$V489),"")</f>
      </c>
      <c r="AB489" s="20">
        <f>IFERROR(IF([1]对账明细接口!$W489=0,"",[1]对账明细接口!$W489),"")</f>
      </c>
      <c r="AC489" s="7">
        <f>IFERROR(IF([1]对账明细接口!$X489=0,"",[1]对账明细接口!$X489),"")</f>
      </c>
      <c r="AD489" s="7">
        <f>IFERROR(IF([1]对账明细接口!$Y489=0,"",[1]对账明细接口!$Y489),"")</f>
      </c>
      <c r="AE489" s="7">
        <f>IFERROR(IF([1]对账明细接口!$AA489=0,"",[1]对账明细接口!$AA489),"")</f>
      </c>
      <c r="AF489" s="7">
        <f>IFERROR(IF([1]对账明细接口!$AB489=0,"",[1]对账明细接口!$AB489),"")</f>
      </c>
      <c r="AG489" s="7">
        <f>IFERROR(IF([1]对账明细接口!$AC489=0,"",[1]对账明细接口!$AC489),"")</f>
      </c>
      <c r="AH489" s="7">
        <f>IFERROR(IF([1]对账明细接口!$AD489=0,"",[1]对账明细接口!$AD489),"")</f>
      </c>
      <c r="AI489" s="7">
        <f>IFERROR(IF([1]对账明细接口!$AE489=0,"",[1]对账明细接口!$AE489),"")</f>
      </c>
      <c r="AJ489" s="7">
        <f>IFERROR(IF([1]对账明细接口!$AF489=0,"",[1]对账明细接口!$AF489),"")</f>
      </c>
    </row>
    <row r="490" ht="14.25" customHeight="1" s="127">
      <c r="A490" s="14" t="n">
        <v>490</v>
      </c>
      <c r="B490" s="211">
        <f>IFERROR(IF([1]对账明细接口!$B$490=0,"",[1]对账明细接口!$B$490),"")</f>
        <v>46263.0</v>
      </c>
      <c r="C490" s="16" t="str">
        <f>IFERROR(IF([1]对账明细接口!$C$490=0,"",[1]对账明细接口!$C$490),"")</f>
        <v>王照雪</v>
      </c>
      <c r="D490" s="16" t="str">
        <f>IFERROR(IF([1]对账明细接口!$D$490=0,"",[1]对账明细接口!$D$490),"")</f>
        <v>原料出库－出库加工</v>
      </c>
      <c r="E490" s="16" t="str">
        <f>IFERROR(IF([1]对账明细接口!$E$490=0,"",[1]对账明细接口!$E$490),"")</f>
        <v>NO:0001045</v>
      </c>
      <c r="F490" s="16" t="str">
        <f>IFERROR(IF([1]对账明细接口!$F$490=0,"",[1]对账明细接口!$F$490),"")</f>
        <v>苹果</v>
      </c>
      <c r="G490" s="16" t="str">
        <f>IFERROR(IF([1]对账明细接口!$G$490=0,"",[1]对账明细接口!$G$490),"")</f>
        <v>华硕一级</v>
      </c>
      <c r="H490" s="176">
        <f>IFERROR(IF([1]对账明细接口!$H$490=0,"",[1]对账明细接口!$H$490),"")</f>
        <v>240</v>
      </c>
      <c r="I490" s="16" t="str">
        <f>IFERROR(IF([1]对账明细接口!$I$490=0,"",[1]对账明细接口!$I$490),"")</f>
        <v>筐</v>
      </c>
      <c r="J490" s="177">
        <f>IFERROR(IF([1]对账明细接口!$J$490=0,"",[1]对账明细接口!$J$490),"")</f>
      </c>
      <c r="K490" s="177">
        <f>IFERROR(IF([1]对账明细接口!$K$490=0,"",[1]对账明细接口!$K$490),"")</f>
      </c>
      <c r="L490" s="16">
        <f>IFERROR(IF([1]对账明细接口!$L$490=0,"",[1]对账明细接口!$L$490),"")</f>
      </c>
      <c r="M490" s="16">
        <f>IFERROR(IF([1]对账明细接口!$M$490=0,"",[1]对账明细接口!$M$490),"")</f>
      </c>
      <c r="N490" s="19">
        <f>IF($C490="",0,1)</f>
        <v>1</v>
      </c>
      <c r="O490" s="19">
        <f>N(O489)+$N490</f>
        <v>487</v>
      </c>
      <c r="S490" s="20">
        <f>IFERROR(IF([1]对账明细接口!$N490=0,"",[1]对账明细接口!$N490),"")</f>
      </c>
      <c r="T490" s="212">
        <f>IFERROR(IF([1]对账明细接口!$O490=0,"",[1]对账明细接口!$O490),"")</f>
      </c>
      <c r="U490" s="212">
        <f>IFERROR(IF([1]对账明细接口!$P490=0,"",[1]对账明细接口!$P490),"")</f>
      </c>
      <c r="V490" s="212">
        <f>IFERROR(IF([1]对账明细接口!$Q490=0,"",[1]对账明细接口!$Q490),"")</f>
      </c>
      <c r="W490" s="20">
        <f>IFERROR(IF([1]对账明细接口!$R490=0,"",[1]对账明细接口!$R490),"")</f>
      </c>
      <c r="X490" s="20">
        <f>IFERROR(IF([1]对账明细接口!$S490=0,"",[1]对账明细接口!$S490),"")</f>
      </c>
      <c r="Y490" s="20">
        <f>IFERROR(IF([1]对账明细接口!$T490=0,"",[1]对账明细接口!$T490),"")</f>
      </c>
      <c r="Z490" s="213">
        <f>IFERROR(IF([1]对账明细接口!$U490=0,"",[1]对账明细接口!$U490),"")</f>
      </c>
      <c r="AA490" s="213">
        <f>IFERROR(IF([1]对账明细接口!$V490=0,"",[1]对账明细接口!$V490),"")</f>
      </c>
      <c r="AB490" s="20">
        <f>IFERROR(IF([1]对账明细接口!$W490=0,"",[1]对账明细接口!$W490),"")</f>
      </c>
      <c r="AC490" s="7">
        <f>IFERROR(IF([1]对账明细接口!$X490=0,"",[1]对账明细接口!$X490),"")</f>
      </c>
      <c r="AD490" s="7">
        <f>IFERROR(IF([1]对账明细接口!$Y490=0,"",[1]对账明细接口!$Y490),"")</f>
      </c>
      <c r="AE490" s="7">
        <f>IFERROR(IF([1]对账明细接口!$AA490=0,"",[1]对账明细接口!$AA490),"")</f>
      </c>
      <c r="AF490" s="7">
        <f>IFERROR(IF([1]对账明细接口!$AB490=0,"",[1]对账明细接口!$AB490),"")</f>
      </c>
      <c r="AG490" s="7">
        <f>IFERROR(IF([1]对账明细接口!$AC490=0,"",[1]对账明细接口!$AC490),"")</f>
      </c>
      <c r="AH490" s="7">
        <f>IFERROR(IF([1]对账明细接口!$AD490=0,"",[1]对账明细接口!$AD490),"")</f>
      </c>
      <c r="AI490" s="7">
        <f>IFERROR(IF([1]对账明细接口!$AE490=0,"",[1]对账明细接口!$AE490),"")</f>
      </c>
      <c r="AJ490" s="7">
        <f>IFERROR(IF([1]对账明细接口!$AF490=0,"",[1]对账明细接口!$AF490),"")</f>
      </c>
    </row>
    <row r="491" ht="14.25" customHeight="1" s="127">
      <c r="A491" s="14" t="n">
        <v>491</v>
      </c>
      <c r="B491" s="211">
        <f>IFERROR(IF([1]对账明细接口!$B$491=0,"",[1]对账明细接口!$B$491),"")</f>
        <v>46263.0</v>
      </c>
      <c r="C491" s="16" t="str">
        <f>IFERROR(IF([1]对账明细接口!$C$491=0,"",[1]对账明细接口!$C$491),"")</f>
        <v>聂新平</v>
      </c>
      <c r="D491" s="16" t="str">
        <f>IFERROR(IF([1]对账明细接口!$D$491=0,"",[1]对账明细接口!$D$491),"")</f>
        <v>原料出库－出库加工</v>
      </c>
      <c r="E491" s="16" t="str">
        <f>IFERROR(IF([1]对账明细接口!$E$491=0,"",[1]对账明细接口!$E$491),"")</f>
        <v>NO:0001047</v>
      </c>
      <c r="F491" s="16" t="str">
        <f>IFERROR(IF([1]对账明细接口!$F$491=0,"",[1]对账明细接口!$F$491),"")</f>
        <v>苹果</v>
      </c>
      <c r="G491" s="16" t="str">
        <f>IFERROR(IF([1]对账明细接口!$G$491=0,"",[1]对账明细接口!$G$491),"")</f>
        <v>嘎啦100#</v>
      </c>
      <c r="H491" s="176">
        <f>IFERROR(IF([1]对账明细接口!$H$491=0,"",[1]对账明细接口!$H$491),"")</f>
        <v>240</v>
      </c>
      <c r="I491" s="16" t="str">
        <f>IFERROR(IF([1]对账明细接口!$I$491=0,"",[1]对账明细接口!$I$491),"")</f>
        <v>筐</v>
      </c>
      <c r="J491" s="177">
        <f>IFERROR(IF([1]对账明细接口!$J$491=0,"",[1]对账明细接口!$J$491),"")</f>
      </c>
      <c r="K491" s="177">
        <f>IFERROR(IF([1]对账明细接口!$K$491=0,"",[1]对账明细接口!$K$491),"")</f>
      </c>
      <c r="L491" s="16">
        <f>IFERROR(IF([1]对账明细接口!$L$491=0,"",[1]对账明细接口!$L$491),"")</f>
      </c>
      <c r="M491" s="16">
        <f>IFERROR(IF([1]对账明细接口!$M$491=0,"",[1]对账明细接口!$M$491),"")</f>
      </c>
      <c r="N491" s="19">
        <f>IF($C491="",0,1)</f>
        <v>1</v>
      </c>
      <c r="O491" s="19">
        <f>N(O490)+$N491</f>
        <v>488</v>
      </c>
      <c r="S491" s="20">
        <f>IFERROR(IF([1]对账明细接口!$N491=0,"",[1]对账明细接口!$N491),"")</f>
      </c>
      <c r="T491" s="212">
        <f>IFERROR(IF([1]对账明细接口!$O491=0,"",[1]对账明细接口!$O491),"")</f>
      </c>
      <c r="U491" s="212">
        <f>IFERROR(IF([1]对账明细接口!$P491=0,"",[1]对账明细接口!$P491),"")</f>
      </c>
      <c r="V491" s="212">
        <f>IFERROR(IF([1]对账明细接口!$Q491=0,"",[1]对账明细接口!$Q491),"")</f>
      </c>
      <c r="W491" s="20">
        <f>IFERROR(IF([1]对账明细接口!$R491=0,"",[1]对账明细接口!$R491),"")</f>
      </c>
      <c r="X491" s="20">
        <f>IFERROR(IF([1]对账明细接口!$S491=0,"",[1]对账明细接口!$S491),"")</f>
      </c>
      <c r="Y491" s="20">
        <f>IFERROR(IF([1]对账明细接口!$T491=0,"",[1]对账明细接口!$T491),"")</f>
      </c>
      <c r="Z491" s="213">
        <f>IFERROR(IF([1]对账明细接口!$U491=0,"",[1]对账明细接口!$U491),"")</f>
      </c>
      <c r="AA491" s="213">
        <f>IFERROR(IF([1]对账明细接口!$V491=0,"",[1]对账明细接口!$V491),"")</f>
      </c>
      <c r="AB491" s="20">
        <f>IFERROR(IF([1]对账明细接口!$W491=0,"",[1]对账明细接口!$W491),"")</f>
      </c>
      <c r="AC491" s="7">
        <f>IFERROR(IF([1]对账明细接口!$X491=0,"",[1]对账明细接口!$X491),"")</f>
      </c>
      <c r="AD491" s="7">
        <f>IFERROR(IF([1]对账明细接口!$Y491=0,"",[1]对账明细接口!$Y491),"")</f>
      </c>
      <c r="AE491" s="7">
        <f>IFERROR(IF([1]对账明细接口!$AA491=0,"",[1]对账明细接口!$AA491),"")</f>
      </c>
      <c r="AF491" s="7">
        <f>IFERROR(IF([1]对账明细接口!$AB491=0,"",[1]对账明细接口!$AB491),"")</f>
      </c>
      <c r="AG491" s="7">
        <f>IFERROR(IF([1]对账明细接口!$AC491=0,"",[1]对账明细接口!$AC491),"")</f>
      </c>
      <c r="AH491" s="7">
        <f>IFERROR(IF([1]对账明细接口!$AD491=0,"",[1]对账明细接口!$AD491),"")</f>
      </c>
      <c r="AI491" s="7">
        <f>IFERROR(IF([1]对账明细接口!$AE491=0,"",[1]对账明细接口!$AE491),"")</f>
      </c>
      <c r="AJ491" s="7">
        <f>IFERROR(IF([1]对账明细接口!$AF491=0,"",[1]对账明细接口!$AF491),"")</f>
      </c>
    </row>
    <row r="492" ht="14.25" customHeight="1" s="127">
      <c r="A492" s="14" t="n">
        <v>492</v>
      </c>
      <c r="B492" s="211">
        <f>IFERROR(IF([1]对账明细接口!$B$492=0,"",[1]对账明细接口!$B$492),"")</f>
        <v>46264.0</v>
      </c>
      <c r="C492" s="16" t="str">
        <f>IFERROR(IF([1]对账明细接口!$C$492=0,"",[1]对账明细接口!$C$492),"")</f>
        <v>王照雪</v>
      </c>
      <c r="D492" s="16" t="str">
        <f>IFERROR(IF([1]对账明细接口!$D$492=0,"",[1]对账明细接口!$D$492),"")</f>
        <v>原料出库－出库加工</v>
      </c>
      <c r="E492" s="16" t="str">
        <f>IFERROR(IF([1]对账明细接口!$E$492=0,"",[1]对账明细接口!$E$492),"")</f>
        <v>NO:0001050</v>
      </c>
      <c r="F492" s="16" t="str">
        <f>IFERROR(IF([1]对账明细接口!$F$492=0,"",[1]对账明细接口!$F$492),"")</f>
        <v>苹果</v>
      </c>
      <c r="G492" s="16" t="str">
        <f>IFERROR(IF([1]对账明细接口!$G$492=0,"",[1]对账明细接口!$G$492),"")</f>
        <v>华硕二级</v>
      </c>
      <c r="H492" s="176">
        <f>IFERROR(IF([1]对账明细接口!$H$492=0,"",[1]对账明细接口!$H$492),"")</f>
        <v>302</v>
      </c>
      <c r="I492" s="16" t="str">
        <f>IFERROR(IF([1]对账明细接口!$I$492=0,"",[1]对账明细接口!$I$492),"")</f>
        <v>筐</v>
      </c>
      <c r="J492" s="177">
        <f>IFERROR(IF([1]对账明细接口!$J$492=0,"",[1]对账明细接口!$J$492),"")</f>
      </c>
      <c r="K492" s="177">
        <f>IFERROR(IF([1]对账明细接口!$K$492=0,"",[1]对账明细接口!$K$492),"")</f>
      </c>
      <c r="L492" s="16">
        <f>IFERROR(IF([1]对账明细接口!$L$492=0,"",[1]对账明细接口!$L$492),"")</f>
      </c>
      <c r="M492" s="16">
        <f>IFERROR(IF([1]对账明细接口!$M$492=0,"",[1]对账明细接口!$M$492),"")</f>
      </c>
      <c r="N492" s="19">
        <f>IF($C492="",0,1)</f>
        <v>1</v>
      </c>
      <c r="O492" s="19">
        <f>N(O491)+$N492</f>
        <v>489</v>
      </c>
      <c r="S492" s="20">
        <f>IFERROR(IF([1]对账明细接口!$N492=0,"",[1]对账明细接口!$N492),"")</f>
      </c>
      <c r="T492" s="212">
        <f>IFERROR(IF([1]对账明细接口!$O492=0,"",[1]对账明细接口!$O492),"")</f>
      </c>
      <c r="U492" s="212">
        <f>IFERROR(IF([1]对账明细接口!$P492=0,"",[1]对账明细接口!$P492),"")</f>
      </c>
      <c r="V492" s="212">
        <f>IFERROR(IF([1]对账明细接口!$Q492=0,"",[1]对账明细接口!$Q492),"")</f>
      </c>
      <c r="W492" s="20">
        <f>IFERROR(IF([1]对账明细接口!$R492=0,"",[1]对账明细接口!$R492),"")</f>
      </c>
      <c r="X492" s="20">
        <f>IFERROR(IF([1]对账明细接口!$S492=0,"",[1]对账明细接口!$S492),"")</f>
      </c>
      <c r="Y492" s="20">
        <f>IFERROR(IF([1]对账明细接口!$T492=0,"",[1]对账明细接口!$T492),"")</f>
      </c>
      <c r="Z492" s="213">
        <f>IFERROR(IF([1]对账明细接口!$U492=0,"",[1]对账明细接口!$U492),"")</f>
      </c>
      <c r="AA492" s="213">
        <f>IFERROR(IF([1]对账明细接口!$V492=0,"",[1]对账明细接口!$V492),"")</f>
      </c>
      <c r="AB492" s="20">
        <f>IFERROR(IF([1]对账明细接口!$W492=0,"",[1]对账明细接口!$W492),"")</f>
      </c>
      <c r="AC492" s="7">
        <f>IFERROR(IF([1]对账明细接口!$X492=0,"",[1]对账明细接口!$X492),"")</f>
      </c>
      <c r="AD492" s="7">
        <f>IFERROR(IF([1]对账明细接口!$Y492=0,"",[1]对账明细接口!$Y492),"")</f>
      </c>
      <c r="AE492" s="7">
        <f>IFERROR(IF([1]对账明细接口!$AA492=0,"",[1]对账明细接口!$AA492),"")</f>
      </c>
      <c r="AF492" s="7">
        <f>IFERROR(IF([1]对账明细接口!$AB492=0,"",[1]对账明细接口!$AB492),"")</f>
      </c>
      <c r="AG492" s="7">
        <f>IFERROR(IF([1]对账明细接口!$AC492=0,"",[1]对账明细接口!$AC492),"")</f>
      </c>
      <c r="AH492" s="7">
        <f>IFERROR(IF([1]对账明细接口!$AD492=0,"",[1]对账明细接口!$AD492),"")</f>
      </c>
      <c r="AI492" s="7">
        <f>IFERROR(IF([1]对账明细接口!$AE492=0,"",[1]对账明细接口!$AE492),"")</f>
      </c>
      <c r="AJ492" s="7">
        <f>IFERROR(IF([1]对账明细接口!$AF492=0,"",[1]对账明细接口!$AF492),"")</f>
      </c>
    </row>
    <row r="493" ht="14.25" customHeight="1" s="127">
      <c r="A493" s="14" t="n">
        <v>493</v>
      </c>
      <c r="B493" s="211">
        <f>IFERROR(IF([1]对账明细接口!$B$493=0,"",[1]对账明细接口!$B$493),"")</f>
        <v>46264.0</v>
      </c>
      <c r="C493" s="16" t="str">
        <f>IFERROR(IF([1]对账明细接口!$C$493=0,"",[1]对账明细接口!$C$493),"")</f>
        <v>王照雪</v>
      </c>
      <c r="D493" s="16" t="str">
        <f>IFERROR(IF([1]对账明细接口!$D$493=0,"",[1]对账明细接口!$D$493),"")</f>
        <v>原料出库－出库加工</v>
      </c>
      <c r="E493" s="16" t="str">
        <f>IFERROR(IF([1]对账明细接口!$E$493=0,"",[1]对账明细接口!$E$493),"")</f>
        <v>NO:0001050</v>
      </c>
      <c r="F493" s="16" t="str">
        <f>IFERROR(IF([1]对账明细接口!$F$493=0,"",[1]对账明细接口!$F$493),"")</f>
        <v>苹果</v>
      </c>
      <c r="G493" s="16" t="str">
        <f>IFERROR(IF([1]对账明细接口!$G$493=0,"",[1]对账明细接口!$G$493),"")</f>
        <v>华硕一级</v>
      </c>
      <c r="H493" s="176">
        <f>IFERROR(IF([1]对账明细接口!$H$493=0,"",[1]对账明细接口!$H$493),"")</f>
        <v>27</v>
      </c>
      <c r="I493" s="16" t="str">
        <f>IFERROR(IF([1]对账明细接口!$I$493=0,"",[1]对账明细接口!$I$493),"")</f>
        <v>筐</v>
      </c>
      <c r="J493" s="177">
        <f>IFERROR(IF([1]对账明细接口!$J$493=0,"",[1]对账明细接口!$J$493),"")</f>
      </c>
      <c r="K493" s="177">
        <f>IFERROR(IF([1]对账明细接口!$K$493=0,"",[1]对账明细接口!$K$493),"")</f>
      </c>
      <c r="L493" s="16">
        <f>IFERROR(IF([1]对账明细接口!$L$493=0,"",[1]对账明细接口!$L$493),"")</f>
      </c>
      <c r="M493" s="16">
        <f>IFERROR(IF([1]对账明细接口!$M$493=0,"",[1]对账明细接口!$M$493),"")</f>
      </c>
      <c r="N493" s="19">
        <f>IF($C493="",0,1)</f>
        <v>1</v>
      </c>
      <c r="O493" s="19">
        <f>N(O492)+$N493</f>
        <v>490</v>
      </c>
      <c r="S493" s="20">
        <f>IFERROR(IF([1]对账明细接口!$N493=0,"",[1]对账明细接口!$N493),"")</f>
      </c>
      <c r="T493" s="212">
        <f>IFERROR(IF([1]对账明细接口!$O493=0,"",[1]对账明细接口!$O493),"")</f>
      </c>
      <c r="U493" s="212">
        <f>IFERROR(IF([1]对账明细接口!$P493=0,"",[1]对账明细接口!$P493),"")</f>
      </c>
      <c r="V493" s="212">
        <f>IFERROR(IF([1]对账明细接口!$Q493=0,"",[1]对账明细接口!$Q493),"")</f>
      </c>
      <c r="W493" s="20">
        <f>IFERROR(IF([1]对账明细接口!$R493=0,"",[1]对账明细接口!$R493),"")</f>
      </c>
      <c r="X493" s="20">
        <f>IFERROR(IF([1]对账明细接口!$S493=0,"",[1]对账明细接口!$S493),"")</f>
      </c>
      <c r="Y493" s="20">
        <f>IFERROR(IF([1]对账明细接口!$T493=0,"",[1]对账明细接口!$T493),"")</f>
      </c>
      <c r="Z493" s="213">
        <f>IFERROR(IF([1]对账明细接口!$U493=0,"",[1]对账明细接口!$U493),"")</f>
      </c>
      <c r="AA493" s="213">
        <f>IFERROR(IF([1]对账明细接口!$V493=0,"",[1]对账明细接口!$V493),"")</f>
      </c>
      <c r="AB493" s="20">
        <f>IFERROR(IF([1]对账明细接口!$W493=0,"",[1]对账明细接口!$W493),"")</f>
      </c>
      <c r="AC493" s="7">
        <f>IFERROR(IF([1]对账明细接口!$X493=0,"",[1]对账明细接口!$X493),"")</f>
      </c>
      <c r="AD493" s="7">
        <f>IFERROR(IF([1]对账明细接口!$Y493=0,"",[1]对账明细接口!$Y493),"")</f>
      </c>
      <c r="AE493" s="7">
        <f>IFERROR(IF([1]对账明细接口!$AA493=0,"",[1]对账明细接口!$AA493),"")</f>
      </c>
      <c r="AF493" s="7">
        <f>IFERROR(IF([1]对账明细接口!$AB493=0,"",[1]对账明细接口!$AB493),"")</f>
      </c>
      <c r="AG493" s="7">
        <f>IFERROR(IF([1]对账明细接口!$AC493=0,"",[1]对账明细接口!$AC493),"")</f>
      </c>
      <c r="AH493" s="7">
        <f>IFERROR(IF([1]对账明细接口!$AD493=0,"",[1]对账明细接口!$AD493),"")</f>
      </c>
      <c r="AI493" s="7">
        <f>IFERROR(IF([1]对账明细接口!$AE493=0,"",[1]对账明细接口!$AE493),"")</f>
      </c>
      <c r="AJ493" s="7">
        <f>IFERROR(IF([1]对账明细接口!$AF493=0,"",[1]对账明细接口!$AF493),"")</f>
      </c>
    </row>
    <row r="494" ht="14.25" customHeight="1" s="127">
      <c r="A494" s="14" t="n">
        <v>494</v>
      </c>
      <c r="B494" s="211">
        <f>IFERROR(IF([1]对账明细接口!$B$494=0,"",[1]对账明细接口!$B$494),"")</f>
        <v>46264.0</v>
      </c>
      <c r="C494" s="16" t="str">
        <f>IFERROR(IF([1]对账明细接口!$C$494=0,"",[1]对账明细接口!$C$494),"")</f>
        <v>聂新平</v>
      </c>
      <c r="D494" s="16" t="str">
        <f>IFERROR(IF([1]对账明细接口!$D$494=0,"",[1]对账明细接口!$D$494),"")</f>
        <v>原料出库－出库加工</v>
      </c>
      <c r="E494" s="16" t="str">
        <f>IFERROR(IF([1]对账明细接口!$E$494=0,"",[1]对账明细接口!$E$494),"")</f>
        <v>NO:0001051</v>
      </c>
      <c r="F494" s="16" t="str">
        <f>IFERROR(IF([1]对账明细接口!$F$494=0,"",[1]对账明细接口!$F$494),"")</f>
        <v>苹果</v>
      </c>
      <c r="G494" s="16" t="str">
        <f>IFERROR(IF([1]对账明细接口!$G$494=0,"",[1]对账明细接口!$G$494),"")</f>
        <v>嘎啦100#</v>
      </c>
      <c r="H494" s="176">
        <f>IFERROR(IF([1]对账明细接口!$H$494=0,"",[1]对账明细接口!$H$494),"")</f>
        <v>336</v>
      </c>
      <c r="I494" s="16" t="str">
        <f>IFERROR(IF([1]对账明细接口!$I$494=0,"",[1]对账明细接口!$I$494),"")</f>
        <v>筐</v>
      </c>
      <c r="J494" s="177">
        <f>IFERROR(IF([1]对账明细接口!$J$494=0,"",[1]对账明细接口!$J$494),"")</f>
      </c>
      <c r="K494" s="177">
        <f>IFERROR(IF([1]对账明细接口!$K$494=0,"",[1]对账明细接口!$K$494),"")</f>
      </c>
      <c r="L494" s="16">
        <f>IFERROR(IF([1]对账明细接口!$L$494=0,"",[1]对账明细接口!$L$494),"")</f>
      </c>
      <c r="M494" s="16">
        <f>IFERROR(IF([1]对账明细接口!$M$494=0,"",[1]对账明细接口!$M$494),"")</f>
      </c>
      <c r="N494" s="19">
        <f>IF($C494="",0,1)</f>
        <v>1</v>
      </c>
      <c r="O494" s="19">
        <f>N(O493)+$N494</f>
        <v>491</v>
      </c>
      <c r="S494" s="20">
        <f>IFERROR(IF([1]对账明细接口!$N494=0,"",[1]对账明细接口!$N494),"")</f>
      </c>
      <c r="T494" s="212">
        <f>IFERROR(IF([1]对账明细接口!$O494=0,"",[1]对账明细接口!$O494),"")</f>
      </c>
      <c r="U494" s="212">
        <f>IFERROR(IF([1]对账明细接口!$P494=0,"",[1]对账明细接口!$P494),"")</f>
      </c>
      <c r="V494" s="212">
        <f>IFERROR(IF([1]对账明细接口!$Q494=0,"",[1]对账明细接口!$Q494),"")</f>
      </c>
      <c r="W494" s="20">
        <f>IFERROR(IF([1]对账明细接口!$R494=0,"",[1]对账明细接口!$R494),"")</f>
      </c>
      <c r="X494" s="20">
        <f>IFERROR(IF([1]对账明细接口!$S494=0,"",[1]对账明细接口!$S494),"")</f>
      </c>
      <c r="Y494" s="20">
        <f>IFERROR(IF([1]对账明细接口!$T494=0,"",[1]对账明细接口!$T494),"")</f>
      </c>
      <c r="Z494" s="213">
        <f>IFERROR(IF([1]对账明细接口!$U494=0,"",[1]对账明细接口!$U494),"")</f>
      </c>
      <c r="AA494" s="213">
        <f>IFERROR(IF([1]对账明细接口!$V494=0,"",[1]对账明细接口!$V494),"")</f>
      </c>
      <c r="AB494" s="20">
        <f>IFERROR(IF([1]对账明细接口!$W494=0,"",[1]对账明细接口!$W494),"")</f>
      </c>
      <c r="AC494" s="7">
        <f>IFERROR(IF([1]对账明细接口!$X494=0,"",[1]对账明细接口!$X494),"")</f>
      </c>
      <c r="AD494" s="7">
        <f>IFERROR(IF([1]对账明细接口!$Y494=0,"",[1]对账明细接口!$Y494),"")</f>
      </c>
      <c r="AE494" s="7">
        <f>IFERROR(IF([1]对账明细接口!$AA494=0,"",[1]对账明细接口!$AA494),"")</f>
      </c>
      <c r="AF494" s="7">
        <f>IFERROR(IF([1]对账明细接口!$AB494=0,"",[1]对账明细接口!$AB494),"")</f>
      </c>
      <c r="AG494" s="7">
        <f>IFERROR(IF([1]对账明细接口!$AC494=0,"",[1]对账明细接口!$AC494),"")</f>
      </c>
      <c r="AH494" s="7">
        <f>IFERROR(IF([1]对账明细接口!$AD494=0,"",[1]对账明细接口!$AD494),"")</f>
      </c>
      <c r="AI494" s="7">
        <f>IFERROR(IF([1]对账明细接口!$AE494=0,"",[1]对账明细接口!$AE494),"")</f>
      </c>
      <c r="AJ494" s="7">
        <f>IFERROR(IF([1]对账明细接口!$AF494=0,"",[1]对账明细接口!$AF494),"")</f>
      </c>
    </row>
    <row r="495" ht="14.25" customHeight="1" s="127">
      <c r="A495" s="14" t="n">
        <v>495</v>
      </c>
      <c r="B495" s="211">
        <f>IFERROR(IF([1]对账明细接口!$B$495=0,"",[1]对账明细接口!$B$495),"")</f>
        <v>46265.0</v>
      </c>
      <c r="C495" s="16" t="str">
        <f>IFERROR(IF([1]对账明细接口!$C$495=0,"",[1]对账明细接口!$C$495),"")</f>
        <v>王照雪</v>
      </c>
      <c r="D495" s="16" t="str">
        <f>IFERROR(IF([1]对账明细接口!$D$495=0,"",[1]对账明细接口!$D$495),"")</f>
        <v>原料出库－出库加工</v>
      </c>
      <c r="E495" s="16" t="str">
        <f>IFERROR(IF([1]对账明细接口!$E$495=0,"",[1]对账明细接口!$E$495),"")</f>
        <v>NO:0001054</v>
      </c>
      <c r="F495" s="16" t="str">
        <f>IFERROR(IF([1]对账明细接口!$F$495=0,"",[1]对账明细接口!$F$495),"")</f>
        <v>苹果</v>
      </c>
      <c r="G495" s="16" t="str">
        <f>IFERROR(IF([1]对账明细接口!$G$495=0,"",[1]对账明细接口!$G$495),"")</f>
        <v>华硕一级</v>
      </c>
      <c r="H495" s="176">
        <f>IFERROR(IF([1]对账明细接口!$H$495=0,"",[1]对账明细接口!$H$495),"")</f>
        <v>117</v>
      </c>
      <c r="I495" s="16" t="str">
        <f>IFERROR(IF([1]对账明细接口!$I$495=0,"",[1]对账明细接口!$I$495),"")</f>
        <v>筐</v>
      </c>
      <c r="J495" s="177">
        <f>IFERROR(IF([1]对账明细接口!$J$495=0,"",[1]对账明细接口!$J$495),"")</f>
      </c>
      <c r="K495" s="177">
        <f>IFERROR(IF([1]对账明细接口!$K$495=0,"",[1]对账明细接口!$K$495),"")</f>
      </c>
      <c r="L495" s="16">
        <f>IFERROR(IF([1]对账明细接口!$L$495=0,"",[1]对账明细接口!$L$495),"")</f>
      </c>
      <c r="M495" s="16">
        <f>IFERROR(IF([1]对账明细接口!$M$495=0,"",[1]对账明细接口!$M$495),"")</f>
      </c>
      <c r="N495" s="19">
        <f>IF($C495="",0,1)</f>
        <v>1</v>
      </c>
      <c r="O495" s="19">
        <f>N(O494)+$N495</f>
        <v>492</v>
      </c>
      <c r="S495" s="20">
        <f>IFERROR(IF([1]对账明细接口!$N495=0,"",[1]对账明细接口!$N495),"")</f>
      </c>
      <c r="T495" s="212">
        <f>IFERROR(IF([1]对账明细接口!$O495=0,"",[1]对账明细接口!$O495),"")</f>
      </c>
      <c r="U495" s="212">
        <f>IFERROR(IF([1]对账明细接口!$P495=0,"",[1]对账明细接口!$P495),"")</f>
      </c>
      <c r="V495" s="212">
        <f>IFERROR(IF([1]对账明细接口!$Q495=0,"",[1]对账明细接口!$Q495),"")</f>
      </c>
      <c r="W495" s="20">
        <f>IFERROR(IF([1]对账明细接口!$R495=0,"",[1]对账明细接口!$R495),"")</f>
      </c>
      <c r="X495" s="20">
        <f>IFERROR(IF([1]对账明细接口!$S495=0,"",[1]对账明细接口!$S495),"")</f>
      </c>
      <c r="Y495" s="20">
        <f>IFERROR(IF([1]对账明细接口!$T495=0,"",[1]对账明细接口!$T495),"")</f>
      </c>
      <c r="Z495" s="213">
        <f>IFERROR(IF([1]对账明细接口!$U495=0,"",[1]对账明细接口!$U495),"")</f>
      </c>
      <c r="AA495" s="213">
        <f>IFERROR(IF([1]对账明细接口!$V495=0,"",[1]对账明细接口!$V495),"")</f>
      </c>
      <c r="AB495" s="20">
        <f>IFERROR(IF([1]对账明细接口!$W495=0,"",[1]对账明细接口!$W495),"")</f>
      </c>
      <c r="AC495" s="7">
        <f>IFERROR(IF([1]对账明细接口!$X495=0,"",[1]对账明细接口!$X495),"")</f>
      </c>
      <c r="AD495" s="7">
        <f>IFERROR(IF([1]对账明细接口!$Y495=0,"",[1]对账明细接口!$Y495),"")</f>
      </c>
      <c r="AE495" s="7">
        <f>IFERROR(IF([1]对账明细接口!$AA495=0,"",[1]对账明细接口!$AA495),"")</f>
      </c>
      <c r="AF495" s="7">
        <f>IFERROR(IF([1]对账明细接口!$AB495=0,"",[1]对账明细接口!$AB495),"")</f>
      </c>
      <c r="AG495" s="7">
        <f>IFERROR(IF([1]对账明细接口!$AC495=0,"",[1]对账明细接口!$AC495),"")</f>
      </c>
      <c r="AH495" s="7">
        <f>IFERROR(IF([1]对账明细接口!$AD495=0,"",[1]对账明细接口!$AD495),"")</f>
      </c>
      <c r="AI495" s="7">
        <f>IFERROR(IF([1]对账明细接口!$AE495=0,"",[1]对账明细接口!$AE495),"")</f>
      </c>
      <c r="AJ495" s="7">
        <f>IFERROR(IF([1]对账明细接口!$AF495=0,"",[1]对账明细接口!$AF495),"")</f>
      </c>
    </row>
    <row r="496" ht="14.25" customHeight="1" s="127">
      <c r="A496" s="14" t="n">
        <v>496</v>
      </c>
      <c r="B496" s="211">
        <f>IFERROR(IF([1]对账明细接口!$B$496=0,"",[1]对账明细接口!$B$496),"")</f>
        <v>46265.0</v>
      </c>
      <c r="C496" s="16" t="str">
        <f>IFERROR(IF([1]对账明细接口!$C$496=0,"",[1]对账明细接口!$C$496),"")</f>
        <v>聂新平</v>
      </c>
      <c r="D496" s="16" t="str">
        <f>IFERROR(IF([1]对账明细接口!$D$496=0,"",[1]对账明细接口!$D$496),"")</f>
        <v>原料出库－出库加工</v>
      </c>
      <c r="E496" s="16" t="str">
        <f>IFERROR(IF([1]对账明细接口!$E$496=0,"",[1]对账明细接口!$E$496),"")</f>
        <v>NO:0001056</v>
      </c>
      <c r="F496" s="16" t="str">
        <f>IFERROR(IF([1]对账明细接口!$F$496=0,"",[1]对账明细接口!$F$496),"")</f>
        <v>苹果</v>
      </c>
      <c r="G496" s="16" t="str">
        <f>IFERROR(IF([1]对账明细接口!$G$496=0,"",[1]对账明细接口!$G$496),"")</f>
        <v>嘎啦100#</v>
      </c>
      <c r="H496" s="176">
        <f>IFERROR(IF([1]对账明细接口!$H$496=0,"",[1]对账明细接口!$H$496),"")</f>
        <v>201</v>
      </c>
      <c r="I496" s="16" t="str">
        <f>IFERROR(IF([1]对账明细接口!$I$496=0,"",[1]对账明细接口!$I$496),"")</f>
        <v>筐</v>
      </c>
      <c r="J496" s="177">
        <f>IFERROR(IF([1]对账明细接口!$J$496=0,"",[1]对账明细接口!$J$496),"")</f>
      </c>
      <c r="K496" s="177">
        <f>IFERROR(IF([1]对账明细接口!$K$496=0,"",[1]对账明细接口!$K$496),"")</f>
      </c>
      <c r="L496" s="16">
        <f>IFERROR(IF([1]对账明细接口!$L$496=0,"",[1]对账明细接口!$L$496),"")</f>
      </c>
      <c r="M496" s="16">
        <f>IFERROR(IF([1]对账明细接口!$M$496=0,"",[1]对账明细接口!$M$496),"")</f>
      </c>
      <c r="N496" s="19">
        <f>IF($C496="",0,1)</f>
        <v>1</v>
      </c>
      <c r="O496" s="19">
        <f>N(O495)+$N496</f>
        <v>493</v>
      </c>
      <c r="S496" s="20">
        <f>IFERROR(IF([1]对账明细接口!$N496=0,"",[1]对账明细接口!$N496),"")</f>
      </c>
      <c r="T496" s="212">
        <f>IFERROR(IF([1]对账明细接口!$O496=0,"",[1]对账明细接口!$O496),"")</f>
      </c>
      <c r="U496" s="212">
        <f>IFERROR(IF([1]对账明细接口!$P496=0,"",[1]对账明细接口!$P496),"")</f>
      </c>
      <c r="V496" s="212">
        <f>IFERROR(IF([1]对账明细接口!$Q496=0,"",[1]对账明细接口!$Q496),"")</f>
      </c>
      <c r="W496" s="20">
        <f>IFERROR(IF([1]对账明细接口!$R496=0,"",[1]对账明细接口!$R496),"")</f>
      </c>
      <c r="X496" s="20">
        <f>IFERROR(IF([1]对账明细接口!$S496=0,"",[1]对账明细接口!$S496),"")</f>
      </c>
      <c r="Y496" s="20">
        <f>IFERROR(IF([1]对账明细接口!$T496=0,"",[1]对账明细接口!$T496),"")</f>
      </c>
      <c r="Z496" s="213">
        <f>IFERROR(IF([1]对账明细接口!$U496=0,"",[1]对账明细接口!$U496),"")</f>
      </c>
      <c r="AA496" s="213">
        <f>IFERROR(IF([1]对账明细接口!$V496=0,"",[1]对账明细接口!$V496),"")</f>
      </c>
      <c r="AB496" s="20">
        <f>IFERROR(IF([1]对账明细接口!$W496=0,"",[1]对账明细接口!$W496),"")</f>
      </c>
      <c r="AC496" s="7">
        <f>IFERROR(IF([1]对账明细接口!$X496=0,"",[1]对账明细接口!$X496),"")</f>
      </c>
      <c r="AD496" s="7">
        <f>IFERROR(IF([1]对账明细接口!$Y496=0,"",[1]对账明细接口!$Y496),"")</f>
      </c>
      <c r="AE496" s="7">
        <f>IFERROR(IF([1]对账明细接口!$AA496=0,"",[1]对账明细接口!$AA496),"")</f>
      </c>
      <c r="AF496" s="7">
        <f>IFERROR(IF([1]对账明细接口!$AB496=0,"",[1]对账明细接口!$AB496),"")</f>
      </c>
      <c r="AG496" s="7">
        <f>IFERROR(IF([1]对账明细接口!$AC496=0,"",[1]对账明细接口!$AC496),"")</f>
      </c>
      <c r="AH496" s="7">
        <f>IFERROR(IF([1]对账明细接口!$AD496=0,"",[1]对账明细接口!$AD496),"")</f>
      </c>
      <c r="AI496" s="7">
        <f>IFERROR(IF([1]对账明细接口!$AE496=0,"",[1]对账明细接口!$AE496),"")</f>
      </c>
      <c r="AJ496" s="7">
        <f>IFERROR(IF([1]对账明细接口!$AF496=0,"",[1]对账明细接口!$AF496),"")</f>
      </c>
    </row>
    <row r="497" ht="14.25" customHeight="1" s="127">
      <c r="A497" s="14" t="n">
        <v>497</v>
      </c>
      <c r="B497" s="211">
        <f>IFERROR(IF([1]对账明细接口!$B$497=0,"",[1]对账明细接口!$B$497),"")</f>
        <v>46265.0</v>
      </c>
      <c r="C497" s="16" t="str">
        <f>IFERROR(IF([1]对账明细接口!$C$497=0,"",[1]对账明细接口!$C$497),"")</f>
        <v>聂新平</v>
      </c>
      <c r="D497" s="16" t="str">
        <f>IFERROR(IF([1]对账明细接口!$D$497=0,"",[1]对账明细接口!$D$497),"")</f>
        <v>原料出库－出库加工</v>
      </c>
      <c r="E497" s="16" t="str">
        <f>IFERROR(IF([1]对账明细接口!$E$497=0,"",[1]对账明细接口!$E$497),"")</f>
        <v>NO:0001056</v>
      </c>
      <c r="F497" s="16" t="str">
        <f>IFERROR(IF([1]对账明细接口!$F$497=0,"",[1]对账明细接口!$F$497),"")</f>
        <v>苹果</v>
      </c>
      <c r="G497" s="16" t="str">
        <f>IFERROR(IF([1]对账明细接口!$G$497=0,"",[1]对账明细接口!$G$497),"")</f>
        <v>嘎啦85#</v>
      </c>
      <c r="H497" s="176">
        <f>IFERROR(IF([1]对账明细接口!$H$497=0,"",[1]对账明细接口!$H$497),"")</f>
        <v>166</v>
      </c>
      <c r="I497" s="16" t="str">
        <f>IFERROR(IF([1]对账明细接口!$I$497=0,"",[1]对账明细接口!$I$497),"")</f>
        <v>筐</v>
      </c>
      <c r="J497" s="177">
        <f>IFERROR(IF([1]对账明细接口!$J$497=0,"",[1]对账明细接口!$J$497),"")</f>
      </c>
      <c r="K497" s="177">
        <f>IFERROR(IF([1]对账明细接口!$K$497=0,"",[1]对账明细接口!$K$497),"")</f>
      </c>
      <c r="L497" s="16">
        <f>IFERROR(IF([1]对账明细接口!$L$497=0,"",[1]对账明细接口!$L$497),"")</f>
      </c>
      <c r="M497" s="16">
        <f>IFERROR(IF([1]对账明细接口!$M$497=0,"",[1]对账明细接口!$M$497),"")</f>
      </c>
      <c r="N497" s="19">
        <f>IF($C497="",0,1)</f>
        <v>1</v>
      </c>
      <c r="O497" s="19">
        <f>N(O496)+$N497</f>
        <v>494</v>
      </c>
      <c r="S497" s="20">
        <f>IFERROR(IF([1]对账明细接口!$N497=0,"",[1]对账明细接口!$N497),"")</f>
      </c>
      <c r="T497" s="212">
        <f>IFERROR(IF([1]对账明细接口!$O497=0,"",[1]对账明细接口!$O497),"")</f>
      </c>
      <c r="U497" s="212">
        <f>IFERROR(IF([1]对账明细接口!$P497=0,"",[1]对账明细接口!$P497),"")</f>
      </c>
      <c r="V497" s="212">
        <f>IFERROR(IF([1]对账明细接口!$Q497=0,"",[1]对账明细接口!$Q497),"")</f>
      </c>
      <c r="W497" s="20">
        <f>IFERROR(IF([1]对账明细接口!$R497=0,"",[1]对账明细接口!$R497),"")</f>
      </c>
      <c r="X497" s="20">
        <f>IFERROR(IF([1]对账明细接口!$S497=0,"",[1]对账明细接口!$S497),"")</f>
      </c>
      <c r="Y497" s="20">
        <f>IFERROR(IF([1]对账明细接口!$T497=0,"",[1]对账明细接口!$T497),"")</f>
      </c>
      <c r="Z497" s="213">
        <f>IFERROR(IF([1]对账明细接口!$U497=0,"",[1]对账明细接口!$U497),"")</f>
      </c>
      <c r="AA497" s="213">
        <f>IFERROR(IF([1]对账明细接口!$V497=0,"",[1]对账明细接口!$V497),"")</f>
      </c>
      <c r="AB497" s="20">
        <f>IFERROR(IF([1]对账明细接口!$W497=0,"",[1]对账明细接口!$W497),"")</f>
      </c>
      <c r="AC497" s="7">
        <f>IFERROR(IF([1]对账明细接口!$X497=0,"",[1]对账明细接口!$X497),"")</f>
      </c>
      <c r="AD497" s="7">
        <f>IFERROR(IF([1]对账明细接口!$Y497=0,"",[1]对账明细接口!$Y497),"")</f>
      </c>
      <c r="AE497" s="7">
        <f>IFERROR(IF([1]对账明细接口!$AA497=0,"",[1]对账明细接口!$AA497),"")</f>
      </c>
      <c r="AF497" s="7">
        <f>IFERROR(IF([1]对账明细接口!$AB497=0,"",[1]对账明细接口!$AB497),"")</f>
      </c>
      <c r="AG497" s="7">
        <f>IFERROR(IF([1]对账明细接口!$AC497=0,"",[1]对账明细接口!$AC497),"")</f>
      </c>
      <c r="AH497" s="7">
        <f>IFERROR(IF([1]对账明细接口!$AD497=0,"",[1]对账明细接口!$AD497),"")</f>
      </c>
      <c r="AI497" s="7">
        <f>IFERROR(IF([1]对账明细接口!$AE497=0,"",[1]对账明细接口!$AE497),"")</f>
      </c>
      <c r="AJ497" s="7">
        <f>IFERROR(IF([1]对账明细接口!$AF497=0,"",[1]对账明细接口!$AF497),"")</f>
      </c>
    </row>
    <row r="498" ht="14.25" customHeight="1" s="127">
      <c r="A498" s="14" t="n">
        <v>498</v>
      </c>
      <c r="B498" s="211">
        <f>IFERROR(IF([1]对账明细接口!$B$498=0,"",[1]对账明细接口!$B$498),"")</f>
        <v>46266.0</v>
      </c>
      <c r="C498" s="16" t="str">
        <f>IFERROR(IF([1]对账明细接口!$C$498=0,"",[1]对账明细接口!$C$498),"")</f>
        <v>聂新平</v>
      </c>
      <c r="D498" s="16" t="str">
        <f>IFERROR(IF([1]对账明细接口!$D$498=0,"",[1]对账明细接口!$D$498),"")</f>
        <v>原料出库－出库加工</v>
      </c>
      <c r="E498" s="16" t="str">
        <f>IFERROR(IF([1]对账明细接口!$E$498=0,"",[1]对账明细接口!$E$498),"")</f>
        <v>NO:0001059</v>
      </c>
      <c r="F498" s="16" t="str">
        <f>IFERROR(IF([1]对账明细接口!$F$498=0,"",[1]对账明细接口!$F$498),"")</f>
        <v>苹果</v>
      </c>
      <c r="G498" s="16" t="str">
        <f>IFERROR(IF([1]对账明细接口!$G$498=0,"",[1]对账明细接口!$G$498),"")</f>
        <v>嘎啦85#</v>
      </c>
      <c r="H498" s="176">
        <f>IFERROR(IF([1]对账明细接口!$H$498=0,"",[1]对账明细接口!$H$498),"")</f>
        <v>254</v>
      </c>
      <c r="I498" s="16" t="str">
        <f>IFERROR(IF([1]对账明细接口!$I$498=0,"",[1]对账明细接口!$I$498),"")</f>
        <v>筐</v>
      </c>
      <c r="J498" s="177">
        <f>IFERROR(IF([1]对账明细接口!$J$498=0,"",[1]对账明细接口!$J$498),"")</f>
      </c>
      <c r="K498" s="177">
        <f>IFERROR(IF([1]对账明细接口!$K$498=0,"",[1]对账明细接口!$K$498),"")</f>
      </c>
      <c r="L498" s="16">
        <f>IFERROR(IF([1]对账明细接口!$L$498=0,"",[1]对账明细接口!$L$498),"")</f>
      </c>
      <c r="M498" s="16" t="str">
        <f>IFERROR(IF([1]对账明细接口!$M$498=0,"",[1]对账明细接口!$M$498),"")</f>
        <v>嘎啦原料全部出库</v>
      </c>
      <c r="N498" s="19">
        <f>IF($C498="",0,1)</f>
        <v>1</v>
      </c>
      <c r="O498" s="19">
        <f>N(O497)+$N498</f>
        <v>495</v>
      </c>
      <c r="S498" s="20">
        <f>IFERROR(IF([1]对账明细接口!$N498=0,"",[1]对账明细接口!$N498),"")</f>
      </c>
      <c r="T498" s="212">
        <f>IFERROR(IF([1]对账明细接口!$O498=0,"",[1]对账明细接口!$O498),"")</f>
      </c>
      <c r="U498" s="212">
        <f>IFERROR(IF([1]对账明细接口!$P498=0,"",[1]对账明细接口!$P498),"")</f>
      </c>
      <c r="V498" s="212">
        <f>IFERROR(IF([1]对账明细接口!$Q498=0,"",[1]对账明细接口!$Q498),"")</f>
      </c>
      <c r="W498" s="20">
        <f>IFERROR(IF([1]对账明细接口!$R498=0,"",[1]对账明细接口!$R498),"")</f>
      </c>
      <c r="X498" s="20">
        <f>IFERROR(IF([1]对账明细接口!$S498=0,"",[1]对账明细接口!$S498),"")</f>
      </c>
      <c r="Y498" s="20">
        <f>IFERROR(IF([1]对账明细接口!$T498=0,"",[1]对账明细接口!$T498),"")</f>
      </c>
      <c r="Z498" s="213">
        <f>IFERROR(IF([1]对账明细接口!$U498=0,"",[1]对账明细接口!$U498),"")</f>
      </c>
      <c r="AA498" s="213">
        <f>IFERROR(IF([1]对账明细接口!$V498=0,"",[1]对账明细接口!$V498),"")</f>
      </c>
      <c r="AB498" s="20">
        <f>IFERROR(IF([1]对账明细接口!$W498=0,"",[1]对账明细接口!$W498),"")</f>
      </c>
      <c r="AC498" s="7">
        <f>IFERROR(IF([1]对账明细接口!$X498=0,"",[1]对账明细接口!$X498),"")</f>
      </c>
      <c r="AD498" s="7">
        <f>IFERROR(IF([1]对账明细接口!$Y498=0,"",[1]对账明细接口!$Y498),"")</f>
      </c>
      <c r="AE498" s="7">
        <f>IFERROR(IF([1]对账明细接口!$AA498=0,"",[1]对账明细接口!$AA498),"")</f>
      </c>
      <c r="AF498" s="7">
        <f>IFERROR(IF([1]对账明细接口!$AB498=0,"",[1]对账明细接口!$AB498),"")</f>
      </c>
      <c r="AG498" s="7">
        <f>IFERROR(IF([1]对账明细接口!$AC498=0,"",[1]对账明细接口!$AC498),"")</f>
      </c>
      <c r="AH498" s="7">
        <f>IFERROR(IF([1]对账明细接口!$AD498=0,"",[1]对账明细接口!$AD498),"")</f>
      </c>
      <c r="AI498" s="7">
        <f>IFERROR(IF([1]对账明细接口!$AE498=0,"",[1]对账明细接口!$AE498),"")</f>
      </c>
      <c r="AJ498" s="7">
        <f>IFERROR(IF([1]对账明细接口!$AF498=0,"",[1]对账明细接口!$AF498),"")</f>
      </c>
    </row>
    <row r="499" ht="14.25" customHeight="1" s="127">
      <c r="A499" s="14" t="n">
        <v>499</v>
      </c>
      <c r="B499" s="211">
        <f>IFERROR(IF([1]对账明细接口!$B$499=0,"",[1]对账明细接口!$B$499),"")</f>
        <v>46266.0</v>
      </c>
      <c r="C499" s="16" t="str">
        <f>IFERROR(IF([1]对账明细接口!$C$499=0,"",[1]对账明细接口!$C$499),"")</f>
        <v>王照雪</v>
      </c>
      <c r="D499" s="16" t="str">
        <f>IFERROR(IF([1]对账明细接口!$D$499=0,"",[1]对账明细接口!$D$499),"")</f>
        <v>原料出库－出库加工</v>
      </c>
      <c r="E499" s="16" t="str">
        <f>IFERROR(IF([1]对账明细接口!$E$499=0,"",[1]对账明细接口!$E$499),"")</f>
        <v>NO:0001060</v>
      </c>
      <c r="F499" s="16" t="str">
        <f>IFERROR(IF([1]对账明细接口!$F$499=0,"",[1]对账明细接口!$F$499),"")</f>
        <v>苹果</v>
      </c>
      <c r="G499" s="16" t="str">
        <f>IFERROR(IF([1]对账明细接口!$G$499=0,"",[1]对账明细接口!$G$499),"")</f>
        <v>华硕一级</v>
      </c>
      <c r="H499" s="176">
        <f>IFERROR(IF([1]对账明细接口!$H$499=0,"",[1]对账明细接口!$H$499),"")</f>
        <v>164</v>
      </c>
      <c r="I499" s="16" t="str">
        <f>IFERROR(IF([1]对账明细接口!$I$499=0,"",[1]对账明细接口!$I$499),"")</f>
        <v>筐</v>
      </c>
      <c r="J499" s="177">
        <f>IFERROR(IF([1]对账明细接口!$J$499=0,"",[1]对账明细接口!$J$499),"")</f>
      </c>
      <c r="K499" s="177">
        <f>IFERROR(IF([1]对账明细接口!$K$499=0,"",[1]对账明细接口!$K$499),"")</f>
      </c>
      <c r="L499" s="16">
        <f>IFERROR(IF([1]对账明细接口!$L$499=0,"",[1]对账明细接口!$L$499),"")</f>
      </c>
      <c r="M499" s="16">
        <f>IFERROR(IF([1]对账明细接口!$M$499=0,"",[1]对账明细接口!$M$499),"")</f>
      </c>
      <c r="N499" s="19">
        <f>IF($C499="",0,1)</f>
        <v>1</v>
      </c>
      <c r="O499" s="19">
        <f>N(O498)+$N499</f>
        <v>496</v>
      </c>
      <c r="S499" s="20">
        <f>IFERROR(IF([1]对账明细接口!$N499=0,"",[1]对账明细接口!$N499),"")</f>
      </c>
      <c r="T499" s="212">
        <f>IFERROR(IF([1]对账明细接口!$O499=0,"",[1]对账明细接口!$O499),"")</f>
      </c>
      <c r="U499" s="212">
        <f>IFERROR(IF([1]对账明细接口!$P499=0,"",[1]对账明细接口!$P499),"")</f>
      </c>
      <c r="V499" s="212">
        <f>IFERROR(IF([1]对账明细接口!$Q499=0,"",[1]对账明细接口!$Q499),"")</f>
      </c>
      <c r="W499" s="20">
        <f>IFERROR(IF([1]对账明细接口!$R499=0,"",[1]对账明细接口!$R499),"")</f>
      </c>
      <c r="X499" s="20">
        <f>IFERROR(IF([1]对账明细接口!$S499=0,"",[1]对账明细接口!$S499),"")</f>
      </c>
      <c r="Y499" s="20">
        <f>IFERROR(IF([1]对账明细接口!$T499=0,"",[1]对账明细接口!$T499),"")</f>
      </c>
      <c r="Z499" s="213">
        <f>IFERROR(IF([1]对账明细接口!$U499=0,"",[1]对账明细接口!$U499),"")</f>
      </c>
      <c r="AA499" s="213">
        <f>IFERROR(IF([1]对账明细接口!$V499=0,"",[1]对账明细接口!$V499),"")</f>
      </c>
      <c r="AB499" s="20">
        <f>IFERROR(IF([1]对账明细接口!$W499=0,"",[1]对账明细接口!$W499),"")</f>
      </c>
      <c r="AC499" s="7">
        <f>IFERROR(IF([1]对账明细接口!$X499=0,"",[1]对账明细接口!$X499),"")</f>
      </c>
      <c r="AD499" s="7">
        <f>IFERROR(IF([1]对账明细接口!$Y499=0,"",[1]对账明细接口!$Y499),"")</f>
      </c>
      <c r="AE499" s="7">
        <f>IFERROR(IF([1]对账明细接口!$AA499=0,"",[1]对账明细接口!$AA499),"")</f>
      </c>
      <c r="AF499" s="7">
        <f>IFERROR(IF([1]对账明细接口!$AB499=0,"",[1]对账明细接口!$AB499),"")</f>
      </c>
      <c r="AG499" s="7">
        <f>IFERROR(IF([1]对账明细接口!$AC499=0,"",[1]对账明细接口!$AC499),"")</f>
      </c>
      <c r="AH499" s="7">
        <f>IFERROR(IF([1]对账明细接口!$AD499=0,"",[1]对账明细接口!$AD499),"")</f>
      </c>
      <c r="AI499" s="7">
        <f>IFERROR(IF([1]对账明细接口!$AE499=0,"",[1]对账明细接口!$AE499),"")</f>
      </c>
      <c r="AJ499" s="7">
        <f>IFERROR(IF([1]对账明细接口!$AF499=0,"",[1]对账明细接口!$AF499),"")</f>
      </c>
    </row>
    <row r="500" ht="14.25" customHeight="1" s="127">
      <c r="A500" s="14" t="n">
        <v>500</v>
      </c>
      <c r="B500" s="211">
        <f>IFERROR(IF([1]对账明细接口!$B$500=0,"",[1]对账明细接口!$B$500),"")</f>
        <v>46266.0</v>
      </c>
      <c r="C500" s="16" t="str">
        <f>IFERROR(IF([1]对账明细接口!$C$500=0,"",[1]对账明细接口!$C$500),"")</f>
        <v>王照雪</v>
      </c>
      <c r="D500" s="16" t="str">
        <f>IFERROR(IF([1]对账明细接口!$D$500=0,"",[1]对账明细接口!$D$500),"")</f>
        <v>原料出库－出库加工</v>
      </c>
      <c r="E500" s="16" t="str">
        <f>IFERROR(IF([1]对账明细接口!$E$500=0,"",[1]对账明细接口!$E$500),"")</f>
        <v>NO:0001060</v>
      </c>
      <c r="F500" s="16" t="str">
        <f>IFERROR(IF([1]对账明细接口!$F$500=0,"",[1]对账明细接口!$F$500),"")</f>
        <v>苹果</v>
      </c>
      <c r="G500" s="16" t="str">
        <f>IFERROR(IF([1]对账明细接口!$G$500=0,"",[1]对账明细接口!$G$500),"")</f>
        <v>华硕二级</v>
      </c>
      <c r="H500" s="176">
        <f>IFERROR(IF([1]对账明细接口!$H$500=0,"",[1]对账明细接口!$H$500),"")</f>
        <v>27</v>
      </c>
      <c r="I500" s="16" t="str">
        <f>IFERROR(IF([1]对账明细接口!$I$500=0,"",[1]对账明细接口!$I$500),"")</f>
        <v>筐</v>
      </c>
      <c r="J500" s="177">
        <f>IFERROR(IF([1]对账明细接口!$J$500=0,"",[1]对账明细接口!$J$500),"")</f>
      </c>
      <c r="K500" s="177">
        <f>IFERROR(IF([1]对账明细接口!$K$500=0,"",[1]对账明细接口!$K$500),"")</f>
      </c>
      <c r="L500" s="16">
        <f>IFERROR(IF([1]对账明细接口!$L$500=0,"",[1]对账明细接口!$L$500),"")</f>
      </c>
      <c r="M500" s="16">
        <f>IFERROR(IF([1]对账明细接口!$M$500=0,"",[1]对账明细接口!$M$500),"")</f>
      </c>
      <c r="N500" s="19">
        <f>IF($C500="",0,1)</f>
        <v>1</v>
      </c>
      <c r="O500" s="19">
        <f>N(O499)+$N500</f>
        <v>497</v>
      </c>
      <c r="S500" s="20">
        <f>IFERROR(IF([1]对账明细接口!$N500=0,"",[1]对账明细接口!$N500),"")</f>
      </c>
      <c r="T500" s="212">
        <f>IFERROR(IF([1]对账明细接口!$O500=0,"",[1]对账明细接口!$O500),"")</f>
      </c>
      <c r="U500" s="212">
        <f>IFERROR(IF([1]对账明细接口!$P500=0,"",[1]对账明细接口!$P500),"")</f>
      </c>
      <c r="V500" s="212">
        <f>IFERROR(IF([1]对账明细接口!$Q500=0,"",[1]对账明细接口!$Q500),"")</f>
      </c>
      <c r="W500" s="20">
        <f>IFERROR(IF([1]对账明细接口!$R500=0,"",[1]对账明细接口!$R500),"")</f>
      </c>
      <c r="X500" s="20">
        <f>IFERROR(IF([1]对账明细接口!$S500=0,"",[1]对账明细接口!$S500),"")</f>
      </c>
      <c r="Y500" s="20">
        <f>IFERROR(IF([1]对账明细接口!$T500=0,"",[1]对账明细接口!$T500),"")</f>
      </c>
      <c r="Z500" s="213">
        <f>IFERROR(IF([1]对账明细接口!$U500=0,"",[1]对账明细接口!$U500),"")</f>
      </c>
      <c r="AA500" s="213">
        <f>IFERROR(IF([1]对账明细接口!$V500=0,"",[1]对账明细接口!$V500),"")</f>
      </c>
      <c r="AB500" s="20">
        <f>IFERROR(IF([1]对账明细接口!$W500=0,"",[1]对账明细接口!$W500),"")</f>
      </c>
      <c r="AC500" s="7">
        <f>IFERROR(IF([1]对账明细接口!$X500=0,"",[1]对账明细接口!$X500),"")</f>
      </c>
      <c r="AD500" s="7">
        <f>IFERROR(IF([1]对账明细接口!$Y500=0,"",[1]对账明细接口!$Y500),"")</f>
      </c>
      <c r="AE500" s="7">
        <f>IFERROR(IF([1]对账明细接口!$AA500=0,"",[1]对账明细接口!$AA500),"")</f>
      </c>
      <c r="AF500" s="7">
        <f>IFERROR(IF([1]对账明细接口!$AB500=0,"",[1]对账明细接口!$AB500),"")</f>
      </c>
      <c r="AG500" s="7">
        <f>IFERROR(IF([1]对账明细接口!$AC500=0,"",[1]对账明细接口!$AC500),"")</f>
      </c>
      <c r="AH500" s="7">
        <f>IFERROR(IF([1]对账明细接口!$AD500=0,"",[1]对账明细接口!$AD500),"")</f>
      </c>
      <c r="AI500" s="7">
        <f>IFERROR(IF([1]对账明细接口!$AE500=0,"",[1]对账明细接口!$AE500),"")</f>
      </c>
      <c r="AJ500" s="7">
        <f>IFERROR(IF([1]对账明细接口!$AF500=0,"",[1]对账明细接口!$AF500),"")</f>
      </c>
    </row>
    <row r="501" ht="14.25" customHeight="1" s="127">
      <c r="A501" s="14" t="n">
        <v>501</v>
      </c>
      <c r="B501" s="211">
        <f>IFERROR(IF([1]对账明细接口!$B$501=0,"",[1]对账明细接口!$B$501),"")</f>
        <v>46255.0</v>
      </c>
      <c r="C501" s="16" t="str">
        <f>IFERROR(IF([1]对账明细接口!$C$501=0,"",[1]对账明细接口!$C$501),"")</f>
        <v>聂新平</v>
      </c>
      <c r="D501" s="16" t="str">
        <f>IFERROR(IF([1]对账明细接口!$D$501=0,"",[1]对账明细接口!$D$501),"")</f>
        <v>原料出库－原筐出库</v>
      </c>
      <c r="E501" s="16" t="str">
        <f>IFERROR(IF([1]对账明细接口!$E$501=0,"",[1]对账明细接口!$E$501),"")</f>
        <v>NO:0001023</v>
      </c>
      <c r="F501" s="16" t="str">
        <f>IFERROR(IF([1]对账明细接口!$F$501=0,"",[1]对账明细接口!$F$501),"")</f>
        <v>西梅</v>
      </c>
      <c r="G501" s="16" t="str">
        <f>IFERROR(IF([1]对账明细接口!$G$501=0,"",[1]对账明细接口!$G$501),"")</f>
        <v>西梅三级</v>
      </c>
      <c r="H501" s="176">
        <f>IFERROR(IF([1]对账明细接口!$H$501=0,"",[1]对账明细接口!$H$501),"")</f>
        <v>784</v>
      </c>
      <c r="I501" s="16" t="str">
        <f>IFERROR(IF([1]对账明细接口!$I$501=0,"",[1]对账明细接口!$I$501),"")</f>
        <v>筐</v>
      </c>
      <c r="J501" s="177">
        <f>IFERROR(IF([1]对账明细接口!$J$501=0,"",[1]对账明细接口!$J$501),"")</f>
        <v>1568</v>
      </c>
      <c r="K501" s="177">
        <f>IFERROR(IF([1]对账明细接口!$K$501=0,"",[1]对账明细接口!$K$501),"")</f>
      </c>
      <c r="L501" s="16">
        <f>IFERROR(IF([1]对账明细接口!$L$501=0,"",[1]对账明细接口!$L$501),"")</f>
      </c>
      <c r="M501" s="16">
        <f>IFERROR(IF([1]对账明细接口!$M$501=0,"",[1]对账明细接口!$M$501),"")</f>
      </c>
      <c r="N501" s="19">
        <f>IF($C501="",0,1)</f>
        <v>1</v>
      </c>
      <c r="O501" s="19">
        <f>N(O500)+$N501</f>
        <v>498</v>
      </c>
      <c r="S501" s="20" t="str">
        <f>IFERROR(IF([1]对账明细接口!$N501=0,"",[1]对账明细接口!$N501),"")</f>
        <v>自备一次性筐</v>
      </c>
      <c r="T501" s="212">
        <f>IFERROR(IF([1]对账明细接口!$O501=0,"",[1]对账明细接口!$O501),"")</f>
        <v>784</v>
      </c>
      <c r="U501" s="212">
        <f>IFERROR(IF([1]对账明细接口!$P501=0,"",[1]对账明细接口!$P501),"")</f>
      </c>
      <c r="V501" s="212">
        <f>IFERROR(IF([1]对账明细接口!$Q501=0,"",[1]对账明细接口!$Q501),"")</f>
      </c>
      <c r="W501" s="20" t="str">
        <f>IFERROR(IF([1]对账明细接口!$R501=0,"",[1]对账明细接口!$R501),"")</f>
        <v>晋M*H8582</v>
      </c>
      <c r="X501" s="20" t="str">
        <f>IFERROR(IF([1]对账明细接口!$S501=0,"",[1]对账明细接口!$S501),"")</f>
        <v>自备筐</v>
      </c>
      <c r="Y501" s="20">
        <f>IFERROR(IF([1]对账明细接口!$T501=0,"",[1]对账明细接口!$T501),"")</f>
      </c>
      <c r="Z501" s="213">
        <f>IFERROR(IF([1]对账明细接口!$U501=0,"",[1]对账明细接口!$U501),"")</f>
      </c>
      <c r="AA501" s="213">
        <f>IFERROR(IF([1]对账明细接口!$V501=0,"",[1]对账明细接口!$V501),"")</f>
      </c>
      <c r="AB501" s="20">
        <f>IFERROR(IF([1]对账明细接口!$W501=0,"",[1]对账明细接口!$W501),"")</f>
      </c>
      <c r="AC501" s="7">
        <f>IFERROR(IF([1]对账明细接口!$X501=0,"",[1]对账明细接口!$X501),"")</f>
      </c>
      <c r="AD501" s="7">
        <f>IFERROR(IF([1]对账明细接口!$Y501=0,"",[1]对账明细接口!$Y501),"")</f>
      </c>
      <c r="AE501" s="7">
        <f>IFERROR(IF([1]对账明细接口!$AA501=0,"",[1]对账明细接口!$AA501),"")</f>
      </c>
      <c r="AF501" s="7">
        <f>IFERROR(IF([1]对账明细接口!$AB501=0,"",[1]对账明细接口!$AB501),"")</f>
      </c>
      <c r="AG501" s="7">
        <f>IFERROR(IF([1]对账明细接口!$AC501=0,"",[1]对账明细接口!$AC501),"")</f>
      </c>
      <c r="AH501" s="7">
        <f>IFERROR(IF([1]对账明细接口!$AD501=0,"",[1]对账明细接口!$AD501),"")</f>
      </c>
      <c r="AI501" s="7">
        <f>IFERROR(IF([1]对账明细接口!$AE501=0,"",[1]对账明细接口!$AE501),"")</f>
      </c>
      <c r="AJ501" s="7">
        <f>IFERROR(IF([1]对账明细接口!$AF501=0,"",[1]对账明细接口!$AF501),"")</f>
      </c>
    </row>
    <row r="502" ht="14.25" customHeight="1" s="127">
      <c r="A502" s="14" t="n">
        <v>502</v>
      </c>
      <c r="B502" s="211">
        <f>IFERROR(IF([1]对账明细接口!$B$502=0,"",[1]对账明细接口!$B$502),"")</f>
        <v>46255.0</v>
      </c>
      <c r="C502" s="16" t="str">
        <f>IFERROR(IF([1]对账明细接口!$C$502=0,"",[1]对账明细接口!$C$502),"")</f>
        <v>聂新平</v>
      </c>
      <c r="D502" s="16" t="str">
        <f>IFERROR(IF([1]对账明细接口!$D$502=0,"",[1]对账明细接口!$D$502),"")</f>
        <v>原料出库－原筐出库</v>
      </c>
      <c r="E502" s="16" t="str">
        <f>IFERROR(IF([1]对账明细接口!$E$502=0,"",[1]对账明细接口!$E$502),"")</f>
        <v>NO:0001023</v>
      </c>
      <c r="F502" s="16" t="str">
        <f>IFERROR(IF([1]对账明细接口!$F$502=0,"",[1]对账明细接口!$F$502),"")</f>
        <v>西梅</v>
      </c>
      <c r="G502" s="16" t="str">
        <f>IFERROR(IF([1]对账明细接口!$G$502=0,"",[1]对账明细接口!$G$502),"")</f>
        <v>西梅二级</v>
      </c>
      <c r="H502" s="176">
        <f>IFERROR(IF([1]对账明细接口!$H$502=0,"",[1]对账明细接口!$H$502),"")</f>
        <v>1759</v>
      </c>
      <c r="I502" s="16" t="str">
        <f>IFERROR(IF([1]对账明细接口!$I$502=0,"",[1]对账明细接口!$I$502),"")</f>
        <v>筐</v>
      </c>
      <c r="J502" s="177">
        <f>IFERROR(IF([1]对账明细接口!$J$502=0,"",[1]对账明细接口!$J$502),"")</f>
        <v>3518</v>
      </c>
      <c r="K502" s="177">
        <f>IFERROR(IF([1]对账明细接口!$K$502=0,"",[1]对账明细接口!$K$502),"")</f>
      </c>
      <c r="L502" s="16">
        <f>IFERROR(IF([1]对账明细接口!$L$502=0,"",[1]对账明细接口!$L$502),"")</f>
      </c>
      <c r="M502" s="16">
        <f>IFERROR(IF([1]对账明细接口!$M$502=0,"",[1]对账明细接口!$M$502),"")</f>
      </c>
      <c r="N502" s="19">
        <f>IF($C502="",0,1)</f>
        <v>1</v>
      </c>
      <c r="O502" s="19">
        <f>N(O501)+$N502</f>
        <v>499</v>
      </c>
      <c r="S502" s="20" t="str">
        <f>IFERROR(IF([1]对账明细接口!$N502=0,"",[1]对账明细接口!$N502),"")</f>
        <v>自备一次性筐</v>
      </c>
      <c r="T502" s="212">
        <f>IFERROR(IF([1]对账明细接口!$O502=0,"",[1]对账明细接口!$O502),"")</f>
        <v>1759</v>
      </c>
      <c r="U502" s="212">
        <f>IFERROR(IF([1]对账明细接口!$P502=0,"",[1]对账明细接口!$P502),"")</f>
      </c>
      <c r="V502" s="212">
        <f>IFERROR(IF([1]对账明细接口!$Q502=0,"",[1]对账明细接口!$Q502),"")</f>
      </c>
      <c r="W502" s="20" t="str">
        <f>IFERROR(IF([1]对账明细接口!$R502=0,"",[1]对账明细接口!$R502),"")</f>
        <v>晋M*H8582</v>
      </c>
      <c r="X502" s="20" t="str">
        <f>IFERROR(IF([1]对账明细接口!$S502=0,"",[1]对账明细接口!$S502),"")</f>
        <v>自备筐</v>
      </c>
      <c r="Y502" s="20">
        <f>IFERROR(IF([1]对账明细接口!$T502=0,"",[1]对账明细接口!$T502),"")</f>
      </c>
      <c r="Z502" s="213">
        <f>IFERROR(IF([1]对账明细接口!$U502=0,"",[1]对账明细接口!$U502),"")</f>
      </c>
      <c r="AA502" s="213">
        <f>IFERROR(IF([1]对账明细接口!$V502=0,"",[1]对账明细接口!$V502),"")</f>
      </c>
      <c r="AB502" s="20">
        <f>IFERROR(IF([1]对账明细接口!$W502=0,"",[1]对账明细接口!$W502),"")</f>
      </c>
      <c r="AC502" s="7">
        <f>IFERROR(IF([1]对账明细接口!$X502=0,"",[1]对账明细接口!$X502),"")</f>
      </c>
      <c r="AD502" s="7">
        <f>IFERROR(IF([1]对账明细接口!$Y502=0,"",[1]对账明细接口!$Y502),"")</f>
      </c>
      <c r="AE502" s="7">
        <f>IFERROR(IF([1]对账明细接口!$AA502=0,"",[1]对账明细接口!$AA502),"")</f>
      </c>
      <c r="AF502" s="7">
        <f>IFERROR(IF([1]对账明细接口!$AB502=0,"",[1]对账明细接口!$AB502),"")</f>
      </c>
      <c r="AG502" s="7">
        <f>IFERROR(IF([1]对账明细接口!$AC502=0,"",[1]对账明细接口!$AC502),"")</f>
      </c>
      <c r="AH502" s="7">
        <f>IFERROR(IF([1]对账明细接口!$AD502=0,"",[1]对账明细接口!$AD502),"")</f>
      </c>
      <c r="AI502" s="7">
        <f>IFERROR(IF([1]对账明细接口!$AE502=0,"",[1]对账明细接口!$AE502),"")</f>
      </c>
      <c r="AJ502" s="7">
        <f>IFERROR(IF([1]对账明细接口!$AF502=0,"",[1]对账明细接口!$AF502),"")</f>
      </c>
    </row>
    <row r="503" ht="14.25" customHeight="1" s="127">
      <c r="A503" s="14" t="n">
        <v>503</v>
      </c>
      <c r="B503" s="211">
        <f>IFERROR(IF([1]对账明细接口!$B$503=0,"",[1]对账明细接口!$B$503),"")</f>
        <v>46255.0</v>
      </c>
      <c r="C503" s="16" t="str">
        <f>IFERROR(IF([1]对账明细接口!$C$503=0,"",[1]对账明细接口!$C$503),"")</f>
        <v>聂新平</v>
      </c>
      <c r="D503" s="16" t="str">
        <f>IFERROR(IF([1]对账明细接口!$D$503=0,"",[1]对账明细接口!$D$503),"")</f>
        <v>原料出库－原筐出库</v>
      </c>
      <c r="E503" s="16" t="str">
        <f>IFERROR(IF([1]对账明细接口!$E$503=0,"",[1]对账明细接口!$E$503),"")</f>
        <v>NO:0001023</v>
      </c>
      <c r="F503" s="16" t="str">
        <f>IFERROR(IF([1]对账明细接口!$F$503=0,"",[1]对账明细接口!$F$503),"")</f>
        <v>西梅</v>
      </c>
      <c r="G503" s="16" t="str">
        <f>IFERROR(IF([1]对账明细接口!$G$503=0,"",[1]对账明细接口!$G$503),"")</f>
        <v>西梅一级</v>
      </c>
      <c r="H503" s="176">
        <f>IFERROR(IF([1]对账明细接口!$H$503=0,"",[1]对账明细接口!$H$503),"")</f>
        <v>216</v>
      </c>
      <c r="I503" s="16" t="str">
        <f>IFERROR(IF([1]对账明细接口!$I$503=0,"",[1]对账明细接口!$I$503),"")</f>
        <v>筐</v>
      </c>
      <c r="J503" s="177">
        <f>IFERROR(IF([1]对账明细接口!$J$503=0,"",[1]对账明细接口!$J$503),"")</f>
        <v>1512</v>
      </c>
      <c r="K503" s="177">
        <f>IFERROR(IF([1]对账明细接口!$K$503=0,"",[1]对账明细接口!$K$503),"")</f>
      </c>
      <c r="L503" s="16">
        <f>IFERROR(IF([1]对账明细接口!$L$503=0,"",[1]对账明细接口!$L$503),"")</f>
      </c>
      <c r="M503" s="16">
        <f>IFERROR(IF([1]对账明细接口!$M$503=0,"",[1]对账明细接口!$M$503),"")</f>
      </c>
      <c r="N503" s="19">
        <f>IF($C503="",0,1)</f>
        <v>1</v>
      </c>
      <c r="O503" s="19">
        <f>N(O502)+$N503</f>
        <v>500</v>
      </c>
      <c r="S503" s="20" t="str">
        <f>IFERROR(IF([1]对账明细接口!$N503=0,"",[1]对账明细接口!$N503),"")</f>
        <v>自备一次性筐</v>
      </c>
      <c r="T503" s="212">
        <f>IFERROR(IF([1]对账明细接口!$O503=0,"",[1]对账明细接口!$O503),"")</f>
        <v>216</v>
      </c>
      <c r="U503" s="212">
        <f>IFERROR(IF([1]对账明细接口!$P503=0,"",[1]对账明细接口!$P503),"")</f>
      </c>
      <c r="V503" s="212">
        <f>IFERROR(IF([1]对账明细接口!$Q503=0,"",[1]对账明细接口!$Q503),"")</f>
      </c>
      <c r="W503" s="20" t="str">
        <f>IFERROR(IF([1]对账明细接口!$R503=0,"",[1]对账明细接口!$R503),"")</f>
        <v>晋M*H8582</v>
      </c>
      <c r="X503" s="20" t="str">
        <f>IFERROR(IF([1]对账明细接口!$S503=0,"",[1]对账明细接口!$S503),"")</f>
        <v>自备筐</v>
      </c>
      <c r="Y503" s="20">
        <f>IFERROR(IF([1]对账明细接口!$T503=0,"",[1]对账明细接口!$T503),"")</f>
      </c>
      <c r="Z503" s="213">
        <f>IFERROR(IF([1]对账明细接口!$U503=0,"",[1]对账明细接口!$U503),"")</f>
      </c>
      <c r="AA503" s="213">
        <f>IFERROR(IF([1]对账明细接口!$V503=0,"",[1]对账明细接口!$V503),"")</f>
      </c>
      <c r="AB503" s="20">
        <f>IFERROR(IF([1]对账明细接口!$W503=0,"",[1]对账明细接口!$W503),"")</f>
      </c>
      <c r="AC503" s="7">
        <f>IFERROR(IF([1]对账明细接口!$X503=0,"",[1]对账明细接口!$X503),"")</f>
      </c>
      <c r="AD503" s="7">
        <f>IFERROR(IF([1]对账明细接口!$Y503=0,"",[1]对账明细接口!$Y503),"")</f>
      </c>
      <c r="AE503" s="7">
        <f>IFERROR(IF([1]对账明细接口!$AA503=0,"",[1]对账明细接口!$AA503),"")</f>
      </c>
      <c r="AF503" s="7">
        <f>IFERROR(IF([1]对账明细接口!$AB503=0,"",[1]对账明细接口!$AB503),"")</f>
      </c>
      <c r="AG503" s="7">
        <f>IFERROR(IF([1]对账明细接口!$AC503=0,"",[1]对账明细接口!$AC503),"")</f>
      </c>
      <c r="AH503" s="7">
        <f>IFERROR(IF([1]对账明细接口!$AD503=0,"",[1]对账明细接口!$AD503),"")</f>
      </c>
      <c r="AI503" s="7">
        <f>IFERROR(IF([1]对账明细接口!$AE503=0,"",[1]对账明细接口!$AE503),"")</f>
      </c>
      <c r="AJ503" s="7">
        <f>IFERROR(IF([1]对账明细接口!$AF503=0,"",[1]对账明细接口!$AF503),"")</f>
      </c>
    </row>
    <row r="504" ht="14.25" customHeight="1" s="127">
      <c r="A504" s="14" t="n">
        <v>504</v>
      </c>
      <c r="B504" s="211">
        <f>IFERROR(IF([1]对账明细接口!$B$504=0,"",[1]对账明细接口!$B$504),"")</f>
        <v>46255.0</v>
      </c>
      <c r="C504" s="16" t="str">
        <f>IFERROR(IF([1]对账明细接口!$C$504=0,"",[1]对账明细接口!$C$504),"")</f>
        <v>聂新平</v>
      </c>
      <c r="D504" s="16" t="str">
        <f>IFERROR(IF([1]对账明细接口!$D$504=0,"",[1]对账明细接口!$D$504),"")</f>
        <v>原料出库－原筐出库</v>
      </c>
      <c r="E504" s="16" t="str">
        <f>IFERROR(IF([1]对账明细接口!$E$504=0,"",[1]对账明细接口!$E$504),"")</f>
        <v>NO:0001023</v>
      </c>
      <c r="F504" s="16" t="str">
        <f>IFERROR(IF([1]对账明细接口!$F$504=0,"",[1]对账明细接口!$F$504),"")</f>
        <v>西梅</v>
      </c>
      <c r="G504" s="16" t="str">
        <f>IFERROR(IF([1]对账明细接口!$G$504=0,"",[1]对账明细接口!$G$504),"")</f>
        <v>西梅二级</v>
      </c>
      <c r="H504" s="176">
        <f>IFERROR(IF([1]对账明细接口!$H$504=0,"",[1]对账明细接口!$H$504),"")</f>
        <v>132</v>
      </c>
      <c r="I504" s="16" t="str">
        <f>IFERROR(IF([1]对账明细接口!$I$504=0,"",[1]对账明细接口!$I$504),"")</f>
        <v>筐</v>
      </c>
      <c r="J504" s="177">
        <f>IFERROR(IF([1]对账明细接口!$J$504=0,"",[1]对账明细接口!$J$504),"")</f>
        <v>1188</v>
      </c>
      <c r="K504" s="177">
        <f>IFERROR(IF([1]对账明细接口!$K$504=0,"",[1]对账明细接口!$K$504),"")</f>
      </c>
      <c r="L504" s="16">
        <f>IFERROR(IF([1]对账明细接口!$L$504=0,"",[1]对账明细接口!$L$504),"")</f>
      </c>
      <c r="M504" s="16">
        <f>IFERROR(IF([1]对账明细接口!$M$504=0,"",[1]对账明细接口!$M$504),"")</f>
      </c>
      <c r="N504" s="19">
        <f>IF($C504="",0,1)</f>
        <v>1</v>
      </c>
      <c r="O504" s="19">
        <f>N(O503)+$N504</f>
        <v>501</v>
      </c>
      <c r="S504" s="20" t="str">
        <f>IFERROR(IF([1]对账明细接口!$N504=0,"",[1]对账明细接口!$N504),"")</f>
        <v>自备一次性筐</v>
      </c>
      <c r="T504" s="212">
        <f>IFERROR(IF([1]对账明细接口!$O504=0,"",[1]对账明细接口!$O504),"")</f>
        <v>132</v>
      </c>
      <c r="U504" s="212">
        <f>IFERROR(IF([1]对账明细接口!$P504=0,"",[1]对账明细接口!$P504),"")</f>
      </c>
      <c r="V504" s="212">
        <f>IFERROR(IF([1]对账明细接口!$Q504=0,"",[1]对账明细接口!$Q504),"")</f>
      </c>
      <c r="W504" s="20" t="str">
        <f>IFERROR(IF([1]对账明细接口!$R504=0,"",[1]对账明细接口!$R504),"")</f>
        <v>晋M*H8582</v>
      </c>
      <c r="X504" s="20" t="str">
        <f>IFERROR(IF([1]对账明细接口!$S504=0,"",[1]对账明细接口!$S504),"")</f>
        <v>自备筐</v>
      </c>
      <c r="Y504" s="20">
        <f>IFERROR(IF([1]对账明细接口!$T504=0,"",[1]对账明细接口!$T504),"")</f>
      </c>
      <c r="Z504" s="213">
        <f>IFERROR(IF([1]对账明细接口!$U504=0,"",[1]对账明细接口!$U504),"")</f>
      </c>
      <c r="AA504" s="213">
        <f>IFERROR(IF([1]对账明细接口!$V504=0,"",[1]对账明细接口!$V504),"")</f>
      </c>
      <c r="AB504" s="20">
        <f>IFERROR(IF([1]对账明细接口!$W504=0,"",[1]对账明细接口!$W504),"")</f>
      </c>
      <c r="AC504" s="7">
        <f>IFERROR(IF([1]对账明细接口!$X504=0,"",[1]对账明细接口!$X504),"")</f>
      </c>
      <c r="AD504" s="7">
        <f>IFERROR(IF([1]对账明细接口!$Y504=0,"",[1]对账明细接口!$Y504),"")</f>
      </c>
      <c r="AE504" s="7">
        <f>IFERROR(IF([1]对账明细接口!$AA504=0,"",[1]对账明细接口!$AA504),"")</f>
      </c>
      <c r="AF504" s="7">
        <f>IFERROR(IF([1]对账明细接口!$AB504=0,"",[1]对账明细接口!$AB504),"")</f>
      </c>
      <c r="AG504" s="7">
        <f>IFERROR(IF([1]对账明细接口!$AC504=0,"",[1]对账明细接口!$AC504),"")</f>
      </c>
      <c r="AH504" s="7">
        <f>IFERROR(IF([1]对账明细接口!$AD504=0,"",[1]对账明细接口!$AD504),"")</f>
      </c>
      <c r="AI504" s="7">
        <f>IFERROR(IF([1]对账明细接口!$AE504=0,"",[1]对账明细接口!$AE504),"")</f>
      </c>
      <c r="AJ504" s="7">
        <f>IFERROR(IF([1]对账明细接口!$AF504=0,"",[1]对账明细接口!$AF504),"")</f>
      </c>
    </row>
    <row r="505" ht="14.25" customHeight="1" s="127">
      <c r="A505" s="14" t="n">
        <v>505</v>
      </c>
      <c r="B505" s="211">
        <f>IFERROR(IF([1]对账明细接口!$B$505=0,"",[1]对账明细接口!$B$505),"")</f>
        <v>46263.0</v>
      </c>
      <c r="C505" s="16" t="str">
        <f>IFERROR(IF([1]对账明细接口!$C$505=0,"",[1]对账明细接口!$C$505),"")</f>
        <v>聂新平</v>
      </c>
      <c r="D505" s="16" t="str">
        <f>IFERROR(IF([1]对账明细接口!$D$505=0,"",[1]对账明细接口!$D$505),"")</f>
        <v>原料出库－原筐出库</v>
      </c>
      <c r="E505" s="16" t="str">
        <f>IFERROR(IF([1]对账明细接口!$E$505=0,"",[1]对账明细接口!$E$505),"")</f>
        <v>NO:0001049</v>
      </c>
      <c r="F505" s="16" t="str">
        <f>IFERROR(IF([1]对账明细接口!$F$505=0,"",[1]对账明细接口!$F$505),"")</f>
        <v>西梅</v>
      </c>
      <c r="G505" s="16" t="str">
        <f>IFERROR(IF([1]对账明细接口!$G$505=0,"",[1]对账明细接口!$G$505),"")</f>
        <v>西梅一级</v>
      </c>
      <c r="H505" s="176">
        <f>IFERROR(IF([1]对账明细接口!$H$505=0,"",[1]对账明细接口!$H$505),"")</f>
        <v>773</v>
      </c>
      <c r="I505" s="16" t="str">
        <f>IFERROR(IF([1]对账明细接口!$I$505=0,"",[1]对账明细接口!$I$505),"")</f>
        <v>筐</v>
      </c>
      <c r="J505" s="177">
        <f>IFERROR(IF([1]对账明细接口!$J$505=0,"",[1]对账明细接口!$J$505),"")</f>
        <v>5411</v>
      </c>
      <c r="K505" s="177">
        <f>IFERROR(IF([1]对账明细接口!$K$505=0,"",[1]对账明细接口!$K$505),"")</f>
      </c>
      <c r="L505" s="16">
        <f>IFERROR(IF([1]对账明细接口!$L$505=0,"",[1]对账明细接口!$L$505),"")</f>
      </c>
      <c r="M505" s="16">
        <f>IFERROR(IF([1]对账明细接口!$M$505=0,"",[1]对账明细接口!$M$505),"")</f>
      </c>
      <c r="N505" s="19">
        <f>IF($C505="",0,1)</f>
        <v>1</v>
      </c>
      <c r="O505" s="19">
        <f>N(O504)+$N505</f>
        <v>502</v>
      </c>
      <c r="S505" s="20" t="str">
        <f>IFERROR(IF([1]对账明细接口!$N505=0,"",[1]对账明细接口!$N505),"")</f>
        <v>自备一次性筐</v>
      </c>
      <c r="T505" s="212">
        <f>IFERROR(IF([1]对账明细接口!$O505=0,"",[1]对账明细接口!$O505),"")</f>
        <v>773</v>
      </c>
      <c r="U505" s="212">
        <f>IFERROR(IF([1]对账明细接口!$P505=0,"",[1]对账明细接口!$P505),"")</f>
      </c>
      <c r="V505" s="212">
        <f>IFERROR(IF([1]对账明细接口!$Q505=0,"",[1]对账明细接口!$Q505),"")</f>
      </c>
      <c r="W505" s="20" t="str">
        <f>IFERROR(IF([1]对账明细接口!$R505=0,"",[1]对账明细接口!$R505),"")</f>
        <v>鲁G*BJ206</v>
      </c>
      <c r="X505" s="20" t="str">
        <f>IFERROR(IF([1]对账明细接口!$S505=0,"",[1]对账明细接口!$S505),"")</f>
        <v>自备筐</v>
      </c>
      <c r="Y505" s="20">
        <f>IFERROR(IF([1]对账明细接口!$T505=0,"",[1]对账明细接口!$T505),"")</f>
      </c>
      <c r="Z505" s="213">
        <f>IFERROR(IF([1]对账明细接口!$U505=0,"",[1]对账明细接口!$U505),"")</f>
      </c>
      <c r="AA505" s="213">
        <f>IFERROR(IF([1]对账明细接口!$V505=0,"",[1]对账明细接口!$V505),"")</f>
      </c>
      <c r="AB505" s="20">
        <f>IFERROR(IF([1]对账明细接口!$W505=0,"",[1]对账明细接口!$W505),"")</f>
      </c>
      <c r="AC505" s="7">
        <f>IFERROR(IF([1]对账明细接口!$X505=0,"",[1]对账明细接口!$X505),"")</f>
      </c>
      <c r="AD505" s="7">
        <f>IFERROR(IF([1]对账明细接口!$Y505=0,"",[1]对账明细接口!$Y505),"")</f>
      </c>
      <c r="AE505" s="7">
        <f>IFERROR(IF([1]对账明细接口!$AA505=0,"",[1]对账明细接口!$AA505),"")</f>
      </c>
      <c r="AF505" s="7">
        <f>IFERROR(IF([1]对账明细接口!$AB505=0,"",[1]对账明细接口!$AB505),"")</f>
      </c>
      <c r="AG505" s="7">
        <f>IFERROR(IF([1]对账明细接口!$AC505=0,"",[1]对账明细接口!$AC505),"")</f>
      </c>
      <c r="AH505" s="7">
        <f>IFERROR(IF([1]对账明细接口!$AD505=0,"",[1]对账明细接口!$AD505),"")</f>
      </c>
      <c r="AI505" s="7">
        <f>IFERROR(IF([1]对账明细接口!$AE505=0,"",[1]对账明细接口!$AE505),"")</f>
      </c>
      <c r="AJ505" s="7">
        <f>IFERROR(IF([1]对账明细接口!$AF505=0,"",[1]对账明细接口!$AF505),"")</f>
      </c>
    </row>
    <row r="506" ht="14.25" customHeight="1" s="127">
      <c r="A506" s="14" t="n">
        <v>506</v>
      </c>
      <c r="B506" s="211">
        <f>IFERROR(IF([1]对账明细接口!$B$506=0,"",[1]对账明细接口!$B$506),"")</f>
        <v>46263.0</v>
      </c>
      <c r="C506" s="16" t="str">
        <f>IFERROR(IF([1]对账明细接口!$C$506=0,"",[1]对账明细接口!$C$506),"")</f>
        <v>聂新平</v>
      </c>
      <c r="D506" s="16" t="str">
        <f>IFERROR(IF([1]对账明细接口!$D$506=0,"",[1]对账明细接口!$D$506),"")</f>
        <v>原料出库－原筐出库</v>
      </c>
      <c r="E506" s="16" t="str">
        <f>IFERROR(IF([1]对账明细接口!$E$506=0,"",[1]对账明细接口!$E$506),"")</f>
        <v>NO:0001049</v>
      </c>
      <c r="F506" s="16" t="str">
        <f>IFERROR(IF([1]对账明细接口!$F$506=0,"",[1]对账明细接口!$F$506),"")</f>
        <v>西梅</v>
      </c>
      <c r="G506" s="16" t="str">
        <f>IFERROR(IF([1]对账明细接口!$G$506=0,"",[1]对账明细接口!$G$506),"")</f>
        <v>西梅二级</v>
      </c>
      <c r="H506" s="176">
        <f>IFERROR(IF([1]对账明细接口!$H$506=0,"",[1]对账明细接口!$H$506),"")</f>
        <v>423</v>
      </c>
      <c r="I506" s="16" t="str">
        <f>IFERROR(IF([1]对账明细接口!$I$506=0,"",[1]对账明细接口!$I$506),"")</f>
        <v>筐</v>
      </c>
      <c r="J506" s="177">
        <f>IFERROR(IF([1]对账明细接口!$J$506=0,"",[1]对账明细接口!$J$506),"")</f>
        <v>5076</v>
      </c>
      <c r="K506" s="177">
        <f>IFERROR(IF([1]对账明细接口!$K$506=0,"",[1]对账明细接口!$K$506),"")</f>
      </c>
      <c r="L506" s="16">
        <f>IFERROR(IF([1]对账明细接口!$L$506=0,"",[1]对账明细接口!$L$506),"")</f>
      </c>
      <c r="M506" s="16">
        <f>IFERROR(IF([1]对账明细接口!$M$506=0,"",[1]对账明细接口!$M$506),"")</f>
      </c>
      <c r="N506" s="19">
        <f>IF($C506="",0,1)</f>
        <v>1</v>
      </c>
      <c r="O506" s="19">
        <f>N(O505)+$N506</f>
        <v>503</v>
      </c>
      <c r="S506" s="20" t="str">
        <f>IFERROR(IF([1]对账明细接口!$N506=0,"",[1]对账明细接口!$N506),"")</f>
        <v>自备一次性筐</v>
      </c>
      <c r="T506" s="212">
        <f>IFERROR(IF([1]对账明细接口!$O506=0,"",[1]对账明细接口!$O506),"")</f>
        <v>423</v>
      </c>
      <c r="U506" s="212">
        <f>IFERROR(IF([1]对账明细接口!$P506=0,"",[1]对账明细接口!$P506),"")</f>
      </c>
      <c r="V506" s="212">
        <f>IFERROR(IF([1]对账明细接口!$Q506=0,"",[1]对账明细接口!$Q506),"")</f>
      </c>
      <c r="W506" s="20" t="str">
        <f>IFERROR(IF([1]对账明细接口!$R506=0,"",[1]对账明细接口!$R506),"")</f>
        <v>鲁G*BJ206</v>
      </c>
      <c r="X506" s="20" t="str">
        <f>IFERROR(IF([1]对账明细接口!$S506=0,"",[1]对账明细接口!$S506),"")</f>
        <v>自备筐</v>
      </c>
      <c r="Y506" s="20">
        <f>IFERROR(IF([1]对账明细接口!$T506=0,"",[1]对账明细接口!$T506),"")</f>
      </c>
      <c r="Z506" s="213">
        <f>IFERROR(IF([1]对账明细接口!$U506=0,"",[1]对账明细接口!$U506),"")</f>
      </c>
      <c r="AA506" s="213">
        <f>IFERROR(IF([1]对账明细接口!$V506=0,"",[1]对账明细接口!$V506),"")</f>
      </c>
      <c r="AB506" s="20">
        <f>IFERROR(IF([1]对账明细接口!$W506=0,"",[1]对账明细接口!$W506),"")</f>
      </c>
      <c r="AC506" s="7">
        <f>IFERROR(IF([1]对账明细接口!$X506=0,"",[1]对账明细接口!$X506),"")</f>
      </c>
      <c r="AD506" s="7">
        <f>IFERROR(IF([1]对账明细接口!$Y506=0,"",[1]对账明细接口!$Y506),"")</f>
      </c>
      <c r="AE506" s="7">
        <f>IFERROR(IF([1]对账明细接口!$AA506=0,"",[1]对账明细接口!$AA506),"")</f>
      </c>
      <c r="AF506" s="7">
        <f>IFERROR(IF([1]对账明细接口!$AB506=0,"",[1]对账明细接口!$AB506),"")</f>
      </c>
      <c r="AG506" s="7">
        <f>IFERROR(IF([1]对账明细接口!$AC506=0,"",[1]对账明细接口!$AC506),"")</f>
      </c>
      <c r="AH506" s="7">
        <f>IFERROR(IF([1]对账明细接口!$AD506=0,"",[1]对账明细接口!$AD506),"")</f>
      </c>
      <c r="AI506" s="7">
        <f>IFERROR(IF([1]对账明细接口!$AE506=0,"",[1]对账明细接口!$AE506),"")</f>
      </c>
      <c r="AJ506" s="7">
        <f>IFERROR(IF([1]对账明细接口!$AF506=0,"",[1]对账明细接口!$AF506),"")</f>
      </c>
    </row>
    <row r="507" ht="14.25" customHeight="1" s="127">
      <c r="A507" s="14" t="n">
        <v>507</v>
      </c>
      <c r="B507" s="211">
        <f>IFERROR(IF([1]对账明细接口!$B$507=0,"",[1]对账明细接口!$B$507),"")</f>
        <v>46272.0</v>
      </c>
      <c r="C507" s="16" t="str">
        <f>IFERROR(IF([1]对账明细接口!$C$507=0,"",[1]对账明细接口!$C$507),"")</f>
        <v>王照雪</v>
      </c>
      <c r="D507" s="16" t="str">
        <f>IFERROR(IF([1]对账明细接口!$D$507=0,"",[1]对账明细接口!$D$507),"")</f>
        <v>原料出库－原筐出库</v>
      </c>
      <c r="E507" s="16" t="str">
        <f>IFERROR(IF([1]对账明细接口!$E$507=0,"",[1]对账明细接口!$E$507),"")</f>
        <v>NO:0001091</v>
      </c>
      <c r="F507" s="16" t="str">
        <f>IFERROR(IF([1]对账明细接口!$F$507=0,"",[1]对账明细接口!$F$507),"")</f>
        <v>李子</v>
      </c>
      <c r="G507" s="16" t="str">
        <f>IFERROR(IF([1]对账明细接口!$G$507=0,"",[1]对账明细接口!$G$507),"")</f>
        <v>樱桃李</v>
      </c>
      <c r="H507" s="176">
        <f>IFERROR(IF([1]对账明细接口!$H$507=0,"",[1]对账明细接口!$H$507),"")</f>
        <v>19</v>
      </c>
      <c r="I507" s="16" t="str">
        <f>IFERROR(IF([1]对账明细接口!$I$507=0,"",[1]对账明细接口!$I$507),"")</f>
        <v>筐</v>
      </c>
      <c r="J507" s="177">
        <f>IFERROR(IF([1]对账明细接口!$J$507=0,"",[1]对账明细接口!$J$507),"")</f>
        <v>309.7</v>
      </c>
      <c r="K507" s="177">
        <f>IFERROR(IF([1]对账明细接口!$K$507=0,"",[1]对账明细接口!$K$507),"")</f>
      </c>
      <c r="L507" s="16">
        <f>IFERROR(IF([1]对账明细接口!$L$507=0,"",[1]对账明细接口!$L$507),"")</f>
      </c>
      <c r="M507" s="16" t="str">
        <f>IFERROR(IF([1]对账明细接口!$M$507=0,"",[1]对账明细接口!$M$507),"")</f>
        <v>樱桃李全部出库</v>
      </c>
      <c r="N507" s="19">
        <f>IF($C507="",0,1)</f>
        <v>1</v>
      </c>
      <c r="O507" s="19">
        <f>N(O506)+$N507</f>
        <v>504</v>
      </c>
      <c r="S507" s="20" t="str">
        <f>IFERROR(IF([1]对账明细接口!$N507=0,"",[1]对账明细接口!$N507),"")</f>
        <v>自备一次性筐</v>
      </c>
      <c r="T507" s="212">
        <f>IFERROR(IF([1]对账明细接口!$O507=0,"",[1]对账明细接口!$O507),"")</f>
        <v>19</v>
      </c>
      <c r="U507" s="212">
        <f>IFERROR(IF([1]对账明细接口!$P507=0,"",[1]对账明细接口!$P507),"")</f>
      </c>
      <c r="V507" s="212">
        <f>IFERROR(IF([1]对账明细接口!$Q507=0,"",[1]对账明细接口!$Q507),"")</f>
      </c>
      <c r="W507" s="20" t="str">
        <f>IFERROR(IF([1]对账明细接口!$R507=0,"",[1]对账明细接口!$R507),"")</f>
        <v>自提</v>
      </c>
      <c r="X507" s="20" t="str">
        <f>IFERROR(IF([1]对账明细接口!$S507=0,"",[1]对账明细接口!$S507),"")</f>
        <v>自备筐</v>
      </c>
      <c r="Y507" s="20">
        <f>IFERROR(IF([1]对账明细接口!$T507=0,"",[1]对账明细接口!$T507),"")</f>
      </c>
      <c r="Z507" s="213">
        <f>IFERROR(IF([1]对账明细接口!$U507=0,"",[1]对账明细接口!$U507),"")</f>
      </c>
      <c r="AA507" s="213">
        <f>IFERROR(IF([1]对账明细接口!$V507=0,"",[1]对账明细接口!$V507),"")</f>
      </c>
      <c r="AB507" s="20">
        <f>IFERROR(IF([1]对账明细接口!$W507=0,"",[1]对账明细接口!$W507),"")</f>
      </c>
      <c r="AC507" s="7">
        <f>IFERROR(IF([1]对账明细接口!$X507=0,"",[1]对账明细接口!$X507),"")</f>
      </c>
      <c r="AD507" s="7">
        <f>IFERROR(IF([1]对账明细接口!$Y507=0,"",[1]对账明细接口!$Y507),"")</f>
      </c>
      <c r="AE507" s="7">
        <f>IFERROR(IF([1]对账明细接口!$AA507=0,"",[1]对账明细接口!$AA507),"")</f>
      </c>
      <c r="AF507" s="7">
        <f>IFERROR(IF([1]对账明细接口!$AB507=0,"",[1]对账明细接口!$AB507),"")</f>
      </c>
      <c r="AG507" s="7">
        <f>IFERROR(IF([1]对账明细接口!$AC507=0,"",[1]对账明细接口!$AC507),"")</f>
      </c>
      <c r="AH507" s="7">
        <f>IFERROR(IF([1]对账明细接口!$AD507=0,"",[1]对账明细接口!$AD507),"")</f>
      </c>
      <c r="AI507" s="7">
        <f>IFERROR(IF([1]对账明细接口!$AE507=0,"",[1]对账明细接口!$AE507),"")</f>
      </c>
      <c r="AJ507" s="7">
        <f>IFERROR(IF([1]对账明细接口!$AF507=0,"",[1]对账明细接口!$AF507),"")</f>
      </c>
    </row>
    <row r="508" ht="14.25" customHeight="1" s="127">
      <c r="A508" s="14" t="n">
        <v>508</v>
      </c>
      <c r="B508" s="211">
        <f>IFERROR(IF([1]对账明细接口!$B$508=0,"",[1]对账明细接口!$B$508),"")</f>
        <v>46273.0</v>
      </c>
      <c r="C508" s="16" t="str">
        <f>IFERROR(IF([1]对账明细接口!$C$508=0,"",[1]对账明细接口!$C$508),"")</f>
        <v>聂新平</v>
      </c>
      <c r="D508" s="16" t="str">
        <f>IFERROR(IF([1]对账明细接口!$D$508=0,"",[1]对账明细接口!$D$508),"")</f>
        <v>原料出库－原筐出库</v>
      </c>
      <c r="E508" s="16" t="str">
        <f>IFERROR(IF([1]对账明细接口!$E$508=0,"",[1]对账明细接口!$E$508),"")</f>
        <v>NO:0001096</v>
      </c>
      <c r="F508" s="16" t="str">
        <f>IFERROR(IF([1]对账明细接口!$F$508=0,"",[1]对账明细接口!$F$508),"")</f>
        <v>西梅</v>
      </c>
      <c r="G508" s="16" t="str">
        <f>IFERROR(IF([1]对账明细接口!$G$508=0,"",[1]对账明细接口!$G$508),"")</f>
        <v>西梅二级</v>
      </c>
      <c r="H508" s="176">
        <f>IFERROR(IF([1]对账明细接口!$H$508=0,"",[1]对账明细接口!$H$508),"")</f>
        <v>64</v>
      </c>
      <c r="I508" s="16" t="str">
        <f>IFERROR(IF([1]对账明细接口!$I$508=0,"",[1]对账明细接口!$I$508),"")</f>
        <v>筐</v>
      </c>
      <c r="J508" s="177">
        <f>IFERROR(IF([1]对账明细接口!$J$508=0,"",[1]对账明细接口!$J$508),"")</f>
        <v>576</v>
      </c>
      <c r="K508" s="177">
        <f>IFERROR(IF([1]对账明细接口!$K$508=0,"",[1]对账明细接口!$K$508),"")</f>
      </c>
      <c r="L508" s="16">
        <f>IFERROR(IF([1]对账明细接口!$L$508=0,"",[1]对账明细接口!$L$508),"")</f>
      </c>
      <c r="M508" s="16">
        <f>IFERROR(IF([1]对账明细接口!$M$508=0,"",[1]对账明细接口!$M$508),"")</f>
      </c>
      <c r="N508" s="19">
        <f>IF($C508="",0,1)</f>
        <v>1</v>
      </c>
      <c r="O508" s="19">
        <f>N(O507)+$N508</f>
        <v>505</v>
      </c>
      <c r="S508" s="20" t="str">
        <f>IFERROR(IF([1]对账明细接口!$N508=0,"",[1]对账明细接口!$N508),"")</f>
        <v>自备一次性筐</v>
      </c>
      <c r="T508" s="212">
        <f>IFERROR(IF([1]对账明细接口!$O508=0,"",[1]对账明细接口!$O508),"")</f>
        <v>64</v>
      </c>
      <c r="U508" s="212">
        <f>IFERROR(IF([1]对账明细接口!$P508=0,"",[1]对账明细接口!$P508),"")</f>
      </c>
      <c r="V508" s="212">
        <f>IFERROR(IF([1]对账明细接口!$Q508=0,"",[1]对账明细接口!$Q508),"")</f>
      </c>
      <c r="W508" s="20" t="str">
        <f>IFERROR(IF([1]对账明细接口!$R508=0,"",[1]对账明细接口!$R508),"")</f>
        <v>吉A*ZM856</v>
      </c>
      <c r="X508" s="20" t="str">
        <f>IFERROR(IF([1]对账明细接口!$S508=0,"",[1]对账明细接口!$S508),"")</f>
        <v>自备筐</v>
      </c>
      <c r="Y508" s="20">
        <f>IFERROR(IF([1]对账明细接口!$T508=0,"",[1]对账明细接口!$T508),"")</f>
      </c>
      <c r="Z508" s="213">
        <f>IFERROR(IF([1]对账明细接口!$U508=0,"",[1]对账明细接口!$U508),"")</f>
      </c>
      <c r="AA508" s="213">
        <f>IFERROR(IF([1]对账明细接口!$V508=0,"",[1]对账明细接口!$V508),"")</f>
      </c>
      <c r="AB508" s="20">
        <f>IFERROR(IF([1]对账明细接口!$W508=0,"",[1]对账明细接口!$W508),"")</f>
      </c>
      <c r="AC508" s="7">
        <f>IFERROR(IF([1]对账明细接口!$X508=0,"",[1]对账明细接口!$X508),"")</f>
      </c>
      <c r="AD508" s="7">
        <f>IFERROR(IF([1]对账明细接口!$Y508=0,"",[1]对账明细接口!$Y508),"")</f>
      </c>
      <c r="AE508" s="7">
        <f>IFERROR(IF([1]对账明细接口!$AA508=0,"",[1]对账明细接口!$AA508),"")</f>
      </c>
      <c r="AF508" s="7">
        <f>IFERROR(IF([1]对账明细接口!$AB508=0,"",[1]对账明细接口!$AB508),"")</f>
      </c>
      <c r="AG508" s="7">
        <f>IFERROR(IF([1]对账明细接口!$AC508=0,"",[1]对账明细接口!$AC508),"")</f>
      </c>
      <c r="AH508" s="7">
        <f>IFERROR(IF([1]对账明细接口!$AD508=0,"",[1]对账明细接口!$AD508),"")</f>
      </c>
      <c r="AI508" s="7">
        <f>IFERROR(IF([1]对账明细接口!$AE508=0,"",[1]对账明细接口!$AE508),"")</f>
      </c>
      <c r="AJ508" s="7">
        <f>IFERROR(IF([1]对账明细接口!$AF508=0,"",[1]对账明细接口!$AF508),"")</f>
      </c>
    </row>
    <row r="509" ht="14.25" customHeight="1" s="127">
      <c r="A509" s="14" t="n">
        <v>509</v>
      </c>
      <c r="B509" s="211">
        <f>IFERROR(IF([1]对账明细接口!$B$509=0,"",[1]对账明细接口!$B$509),"")</f>
        <v>46273.0</v>
      </c>
      <c r="C509" s="16" t="str">
        <f>IFERROR(IF([1]对账明细接口!$C$509=0,"",[1]对账明细接口!$C$509),"")</f>
        <v>聂新平</v>
      </c>
      <c r="D509" s="16" t="str">
        <f>IFERROR(IF([1]对账明细接口!$D$509=0,"",[1]对账明细接口!$D$509),"")</f>
        <v>原料出库－原筐出库</v>
      </c>
      <c r="E509" s="16" t="str">
        <f>IFERROR(IF([1]对账明细接口!$E$509=0,"",[1]对账明细接口!$E$509),"")</f>
        <v>NO:0001096</v>
      </c>
      <c r="F509" s="16" t="str">
        <f>IFERROR(IF([1]对账明细接口!$F$509=0,"",[1]对账明细接口!$F$509),"")</f>
        <v>西梅</v>
      </c>
      <c r="G509" s="16" t="str">
        <f>IFERROR(IF([1]对账明细接口!$G$509=0,"",[1]对账明细接口!$G$509),"")</f>
        <v>西梅一级</v>
      </c>
      <c r="H509" s="176">
        <f>IFERROR(IF([1]对账明细接口!$H$509=0,"",[1]对账明细接口!$H$509),"")</f>
        <v>421</v>
      </c>
      <c r="I509" s="16" t="str">
        <f>IFERROR(IF([1]对账明细接口!$I$509=0,"",[1]对账明细接口!$I$509),"")</f>
        <v>筐</v>
      </c>
      <c r="J509" s="177">
        <f>IFERROR(IF([1]对账明细接口!$J$509=0,"",[1]对账明细接口!$J$509),"")</f>
        <v>2947</v>
      </c>
      <c r="K509" s="177">
        <f>IFERROR(IF([1]对账明细接口!$K$509=0,"",[1]对账明细接口!$K$509),"")</f>
      </c>
      <c r="L509" s="16">
        <f>IFERROR(IF([1]对账明细接口!$L$509=0,"",[1]对账明细接口!$L$509),"")</f>
      </c>
      <c r="M509" s="16">
        <f>IFERROR(IF([1]对账明细接口!$M$509=0,"",[1]对账明细接口!$M$509),"")</f>
      </c>
      <c r="N509" s="19">
        <f>IF($C509="",0,1)</f>
        <v>1</v>
      </c>
      <c r="O509" s="19">
        <f>N(O508)+$N509</f>
        <v>506</v>
      </c>
      <c r="S509" s="20" t="str">
        <f>IFERROR(IF([1]对账明细接口!$N509=0,"",[1]对账明细接口!$N509),"")</f>
        <v>自备一次性筐</v>
      </c>
      <c r="T509" s="212">
        <f>IFERROR(IF([1]对账明细接口!$O509=0,"",[1]对账明细接口!$O509),"")</f>
        <v>421</v>
      </c>
      <c r="U509" s="212">
        <f>IFERROR(IF([1]对账明细接口!$P509=0,"",[1]对账明细接口!$P509),"")</f>
      </c>
      <c r="V509" s="212">
        <f>IFERROR(IF([1]对账明细接口!$Q509=0,"",[1]对账明细接口!$Q509),"")</f>
      </c>
      <c r="W509" s="20" t="str">
        <f>IFERROR(IF([1]对账明细接口!$R509=0,"",[1]对账明细接口!$R509),"")</f>
        <v>吉A*ZM856</v>
      </c>
      <c r="X509" s="20" t="str">
        <f>IFERROR(IF([1]对账明细接口!$S509=0,"",[1]对账明细接口!$S509),"")</f>
        <v>自备筐</v>
      </c>
      <c r="Y509" s="20">
        <f>IFERROR(IF([1]对账明细接口!$T509=0,"",[1]对账明细接口!$T509),"")</f>
      </c>
      <c r="Z509" s="213">
        <f>IFERROR(IF([1]对账明细接口!$U509=0,"",[1]对账明细接口!$U509),"")</f>
      </c>
      <c r="AA509" s="213">
        <f>IFERROR(IF([1]对账明细接口!$V509=0,"",[1]对账明细接口!$V509),"")</f>
      </c>
      <c r="AB509" s="20">
        <f>IFERROR(IF([1]对账明细接口!$W509=0,"",[1]对账明细接口!$W509),"")</f>
      </c>
      <c r="AC509" s="7">
        <f>IFERROR(IF([1]对账明细接口!$X509=0,"",[1]对账明细接口!$X509),"")</f>
      </c>
      <c r="AD509" s="7">
        <f>IFERROR(IF([1]对账明细接口!$Y509=0,"",[1]对账明细接口!$Y509),"")</f>
      </c>
      <c r="AE509" s="7">
        <f>IFERROR(IF([1]对账明细接口!$AA509=0,"",[1]对账明细接口!$AA509),"")</f>
      </c>
      <c r="AF509" s="7">
        <f>IFERROR(IF([1]对账明细接口!$AB509=0,"",[1]对账明细接口!$AB509),"")</f>
      </c>
      <c r="AG509" s="7">
        <f>IFERROR(IF([1]对账明细接口!$AC509=0,"",[1]对账明细接口!$AC509),"")</f>
      </c>
      <c r="AH509" s="7">
        <f>IFERROR(IF([1]对账明细接口!$AD509=0,"",[1]对账明细接口!$AD509),"")</f>
      </c>
      <c r="AI509" s="7">
        <f>IFERROR(IF([1]对账明细接口!$AE509=0,"",[1]对账明细接口!$AE509),"")</f>
      </c>
      <c r="AJ509" s="7">
        <f>IFERROR(IF([1]对账明细接口!$AF509=0,"",[1]对账明细接口!$AF509),"")</f>
      </c>
    </row>
    <row r="510" ht="14.25" customHeight="1" s="127">
      <c r="A510" s="14" t="n">
        <v>510</v>
      </c>
      <c r="B510" s="211">
        <f>IFERROR(IF([1]对账明细接口!$B$510=0,"",[1]对账明细接口!$B$510),"")</f>
        <v>46273.0</v>
      </c>
      <c r="C510" s="16" t="str">
        <f>IFERROR(IF([1]对账明细接口!$C$510=0,"",[1]对账明细接口!$C$510),"")</f>
        <v>聂新平</v>
      </c>
      <c r="D510" s="16" t="str">
        <f>IFERROR(IF([1]对账明细接口!$D$510=0,"",[1]对账明细接口!$D$510),"")</f>
        <v>原料出库－原筐出库</v>
      </c>
      <c r="E510" s="16" t="str">
        <f>IFERROR(IF([1]对账明细接口!$E$510=0,"",[1]对账明细接口!$E$510),"")</f>
        <v>NO:0001096</v>
      </c>
      <c r="F510" s="16" t="str">
        <f>IFERROR(IF([1]对账明细接口!$F$510=0,"",[1]对账明细接口!$F$510),"")</f>
        <v>西梅</v>
      </c>
      <c r="G510" s="16" t="str">
        <f>IFERROR(IF([1]对账明细接口!$G$510=0,"",[1]对账明细接口!$G$510),"")</f>
        <v>西梅二级</v>
      </c>
      <c r="H510" s="176">
        <f>IFERROR(IF([1]对账明细接口!$H$510=0,"",[1]对账明细接口!$H$510),"")</f>
        <v>330</v>
      </c>
      <c r="I510" s="16" t="str">
        <f>IFERROR(IF([1]对账明细接口!$I$510=0,"",[1]对账明细接口!$I$510),"")</f>
        <v>筐</v>
      </c>
      <c r="J510" s="177">
        <f>IFERROR(IF([1]对账明细接口!$J$510=0,"",[1]对账明细接口!$J$510),"")</f>
        <v>3960</v>
      </c>
      <c r="K510" s="177">
        <f>IFERROR(IF([1]对账明细接口!$K$510=0,"",[1]对账明细接口!$K$510),"")</f>
      </c>
      <c r="L510" s="16">
        <f>IFERROR(IF([1]对账明细接口!$L$510=0,"",[1]对账明细接口!$L$510),"")</f>
      </c>
      <c r="M510" s="16">
        <f>IFERROR(IF([1]对账明细接口!$M$510=0,"",[1]对账明细接口!$M$510),"")</f>
      </c>
      <c r="N510" s="19">
        <f>IF($C510="",0,1)</f>
        <v>1</v>
      </c>
      <c r="O510" s="19">
        <f>N(O509)+$N510</f>
        <v>507</v>
      </c>
      <c r="S510" s="20" t="str">
        <f>IFERROR(IF([1]对账明细接口!$N510=0,"",[1]对账明细接口!$N510),"")</f>
        <v>自备一次性筐</v>
      </c>
      <c r="T510" s="212">
        <f>IFERROR(IF([1]对账明细接口!$O510=0,"",[1]对账明细接口!$O510),"")</f>
        <v>330</v>
      </c>
      <c r="U510" s="212">
        <f>IFERROR(IF([1]对账明细接口!$P510=0,"",[1]对账明细接口!$P510),"")</f>
      </c>
      <c r="V510" s="212">
        <f>IFERROR(IF([1]对账明细接口!$Q510=0,"",[1]对账明细接口!$Q510),"")</f>
      </c>
      <c r="W510" s="20" t="str">
        <f>IFERROR(IF([1]对账明细接口!$R510=0,"",[1]对账明细接口!$R510),"")</f>
        <v>吉A*ZM856</v>
      </c>
      <c r="X510" s="20" t="str">
        <f>IFERROR(IF([1]对账明细接口!$S510=0,"",[1]对账明细接口!$S510),"")</f>
        <v>自备筐</v>
      </c>
      <c r="Y510" s="20">
        <f>IFERROR(IF([1]对账明细接口!$T510=0,"",[1]对账明细接口!$T510),"")</f>
      </c>
      <c r="Z510" s="213">
        <f>IFERROR(IF([1]对账明细接口!$U510=0,"",[1]对账明细接口!$U510),"")</f>
      </c>
      <c r="AA510" s="213">
        <f>IFERROR(IF([1]对账明细接口!$V510=0,"",[1]对账明细接口!$V510),"")</f>
      </c>
      <c r="AB510" s="20">
        <f>IFERROR(IF([1]对账明细接口!$W510=0,"",[1]对账明细接口!$W510),"")</f>
      </c>
      <c r="AC510" s="7">
        <f>IFERROR(IF([1]对账明细接口!$X510=0,"",[1]对账明细接口!$X510),"")</f>
      </c>
      <c r="AD510" s="7">
        <f>IFERROR(IF([1]对账明细接口!$Y510=0,"",[1]对账明细接口!$Y510),"")</f>
      </c>
      <c r="AE510" s="7">
        <f>IFERROR(IF([1]对账明细接口!$AA510=0,"",[1]对账明细接口!$AA510),"")</f>
      </c>
      <c r="AF510" s="7">
        <f>IFERROR(IF([1]对账明细接口!$AB510=0,"",[1]对账明细接口!$AB510),"")</f>
      </c>
      <c r="AG510" s="7">
        <f>IFERROR(IF([1]对账明细接口!$AC510=0,"",[1]对账明细接口!$AC510),"")</f>
      </c>
      <c r="AH510" s="7">
        <f>IFERROR(IF([1]对账明细接口!$AD510=0,"",[1]对账明细接口!$AD510),"")</f>
      </c>
      <c r="AI510" s="7">
        <f>IFERROR(IF([1]对账明细接口!$AE510=0,"",[1]对账明细接口!$AE510),"")</f>
      </c>
      <c r="AJ510" s="7">
        <f>IFERROR(IF([1]对账明细接口!$AF510=0,"",[1]对账明细接口!$AF510),"")</f>
      </c>
    </row>
    <row r="511" ht="14.25" customHeight="1" s="127">
      <c r="A511" s="14" t="n">
        <v>511</v>
      </c>
      <c r="B511" s="211">
        <f>IFERROR(IF([1]对账明细接口!$B$511=0,"",[1]对账明细接口!$B$511),"")</f>
        <v>46273.0</v>
      </c>
      <c r="C511" s="16" t="str">
        <f>IFERROR(IF([1]对账明细接口!$C$511=0,"",[1]对账明细接口!$C$511),"")</f>
        <v>聂新平</v>
      </c>
      <c r="D511" s="16" t="str">
        <f>IFERROR(IF([1]对账明细接口!$D$511=0,"",[1]对账明细接口!$D$511),"")</f>
        <v>原料出库－原筐出库</v>
      </c>
      <c r="E511" s="16" t="str">
        <f>IFERROR(IF([1]对账明细接口!$E$511=0,"",[1]对账明细接口!$E$511),"")</f>
        <v>NO:0001096</v>
      </c>
      <c r="F511" s="16" t="str">
        <f>IFERROR(IF([1]对账明细接口!$F$511=0,"",[1]对账明细接口!$F$511),"")</f>
        <v>西梅</v>
      </c>
      <c r="G511" s="16" t="str">
        <f>IFERROR(IF([1]对账明细接口!$G$511=0,"",[1]对账明细接口!$G$511),"")</f>
        <v>西梅二级</v>
      </c>
      <c r="H511" s="176">
        <f>IFERROR(IF([1]对账明细接口!$H$511=0,"",[1]对账明细接口!$H$511),"")</f>
        <v>2538</v>
      </c>
      <c r="I511" s="16" t="str">
        <f>IFERROR(IF([1]对账明细接口!$I$511=0,"",[1]对账明细接口!$I$511),"")</f>
        <v>筐</v>
      </c>
      <c r="J511" s="177">
        <f>IFERROR(IF([1]对账明细接口!$J$511=0,"",[1]对账明细接口!$J$511),"")</f>
        <v>5076</v>
      </c>
      <c r="K511" s="177">
        <f>IFERROR(IF([1]对账明细接口!$K$511=0,"",[1]对账明细接口!$K$511),"")</f>
      </c>
      <c r="L511" s="16">
        <f>IFERROR(IF([1]对账明细接口!$L$511=0,"",[1]对账明细接口!$L$511),"")</f>
      </c>
      <c r="M511" s="16">
        <f>IFERROR(IF([1]对账明细接口!$M$511=0,"",[1]对账明细接口!$M$511),"")</f>
      </c>
      <c r="N511" s="19">
        <f>IF($C511="",0,1)</f>
        <v>1</v>
      </c>
      <c r="O511" s="19">
        <f>N(O510)+$N511</f>
        <v>508</v>
      </c>
      <c r="S511" s="20" t="str">
        <f>IFERROR(IF([1]对账明细接口!$N511=0,"",[1]对账明细接口!$N511),"")</f>
        <v>自备一次性筐</v>
      </c>
      <c r="T511" s="212">
        <f>IFERROR(IF([1]对账明细接口!$O511=0,"",[1]对账明细接口!$O511),"")</f>
        <v>2538</v>
      </c>
      <c r="U511" s="212">
        <f>IFERROR(IF([1]对账明细接口!$P511=0,"",[1]对账明细接口!$P511),"")</f>
      </c>
      <c r="V511" s="212">
        <f>IFERROR(IF([1]对账明细接口!$Q511=0,"",[1]对账明细接口!$Q511),"")</f>
      </c>
      <c r="W511" s="20" t="str">
        <f>IFERROR(IF([1]对账明细接口!$R511=0,"",[1]对账明细接口!$R511),"")</f>
        <v>吉A*ZM856</v>
      </c>
      <c r="X511" s="20" t="str">
        <f>IFERROR(IF([1]对账明细接口!$S511=0,"",[1]对账明细接口!$S511),"")</f>
        <v>自备筐</v>
      </c>
      <c r="Y511" s="20">
        <f>IFERROR(IF([1]对账明细接口!$T511=0,"",[1]对账明细接口!$T511),"")</f>
      </c>
      <c r="Z511" s="213">
        <f>IFERROR(IF([1]对账明细接口!$U511=0,"",[1]对账明细接口!$U511),"")</f>
      </c>
      <c r="AA511" s="213">
        <f>IFERROR(IF([1]对账明细接口!$V511=0,"",[1]对账明细接口!$V511),"")</f>
      </c>
      <c r="AB511" s="20">
        <f>IFERROR(IF([1]对账明细接口!$W511=0,"",[1]对账明细接口!$W511),"")</f>
      </c>
      <c r="AC511" s="7">
        <f>IFERROR(IF([1]对账明细接口!$X511=0,"",[1]对账明细接口!$X511),"")</f>
      </c>
      <c r="AD511" s="7">
        <f>IFERROR(IF([1]对账明细接口!$Y511=0,"",[1]对账明细接口!$Y511),"")</f>
      </c>
      <c r="AE511" s="7">
        <f>IFERROR(IF([1]对账明细接口!$AA511=0,"",[1]对账明细接口!$AA511),"")</f>
      </c>
      <c r="AF511" s="7">
        <f>IFERROR(IF([1]对账明细接口!$AB511=0,"",[1]对账明细接口!$AB511),"")</f>
      </c>
      <c r="AG511" s="7">
        <f>IFERROR(IF([1]对账明细接口!$AC511=0,"",[1]对账明细接口!$AC511),"")</f>
      </c>
      <c r="AH511" s="7">
        <f>IFERROR(IF([1]对账明细接口!$AD511=0,"",[1]对账明细接口!$AD511),"")</f>
      </c>
      <c r="AI511" s="7">
        <f>IFERROR(IF([1]对账明细接口!$AE511=0,"",[1]对账明细接口!$AE511),"")</f>
      </c>
      <c r="AJ511" s="7">
        <f>IFERROR(IF([1]对账明细接口!$AF511=0,"",[1]对账明细接口!$AF511),"")</f>
      </c>
    </row>
    <row r="512" ht="14.25" customHeight="1" s="127">
      <c r="A512" s="14" t="n">
        <v>512</v>
      </c>
      <c r="B512" s="211">
        <f>IFERROR(IF([1]对账明细接口!$B$512=0,"",[1]对账明细接口!$B$512),"")</f>
        <v>46273.0</v>
      </c>
      <c r="C512" s="16" t="str">
        <f>IFERROR(IF([1]对账明细接口!$C$512=0,"",[1]对账明细接口!$C$512),"")</f>
        <v>聂新平</v>
      </c>
      <c r="D512" s="16" t="str">
        <f>IFERROR(IF([1]对账明细接口!$D$512=0,"",[1]对账明细接口!$D$512),"")</f>
        <v>原料出库－原筐出库</v>
      </c>
      <c r="E512" s="16" t="str">
        <f>IFERROR(IF([1]对账明细接口!$E$512=0,"",[1]对账明细接口!$E$512),"")</f>
        <v>NO:0001096</v>
      </c>
      <c r="F512" s="16" t="str">
        <f>IFERROR(IF([1]对账明细接口!$F$512=0,"",[1]对账明细接口!$F$512),"")</f>
        <v>西梅</v>
      </c>
      <c r="G512" s="16" t="str">
        <f>IFERROR(IF([1]对账明细接口!$G$512=0,"",[1]对账明细接口!$G$512),"")</f>
        <v>西梅三级</v>
      </c>
      <c r="H512" s="176">
        <f>IFERROR(IF([1]对账明细接口!$H$512=0,"",[1]对账明细接口!$H$512),"")</f>
        <v>1238</v>
      </c>
      <c r="I512" s="16" t="str">
        <f>IFERROR(IF([1]对账明细接口!$I$512=0,"",[1]对账明细接口!$I$512),"")</f>
        <v>筐</v>
      </c>
      <c r="J512" s="177">
        <f>IFERROR(IF([1]对账明细接口!$J$512=0,"",[1]对账明细接口!$J$512),"")</f>
        <v>2476</v>
      </c>
      <c r="K512" s="177">
        <f>IFERROR(IF([1]对账明细接口!$K$512=0,"",[1]对账明细接口!$K$512),"")</f>
      </c>
      <c r="L512" s="16">
        <f>IFERROR(IF([1]对账明细接口!$L$512=0,"",[1]对账明细接口!$L$512),"")</f>
      </c>
      <c r="M512" s="16">
        <f>IFERROR(IF([1]对账明细接口!$M$512=0,"",[1]对账明细接口!$M$512),"")</f>
      </c>
      <c r="N512" s="19">
        <f>IF($C512="",0,1)</f>
        <v>1</v>
      </c>
      <c r="O512" s="19">
        <f>N(O511)+$N512</f>
        <v>509</v>
      </c>
      <c r="S512" s="20" t="str">
        <f>IFERROR(IF([1]对账明细接口!$N512=0,"",[1]对账明细接口!$N512),"")</f>
        <v>自备一次性筐</v>
      </c>
      <c r="T512" s="212">
        <f>IFERROR(IF([1]对账明细接口!$O512=0,"",[1]对账明细接口!$O512),"")</f>
        <v>1238</v>
      </c>
      <c r="U512" s="212">
        <f>IFERROR(IF([1]对账明细接口!$P512=0,"",[1]对账明细接口!$P512),"")</f>
      </c>
      <c r="V512" s="212">
        <f>IFERROR(IF([1]对账明细接口!$Q512=0,"",[1]对账明细接口!$Q512),"")</f>
      </c>
      <c r="W512" s="20" t="str">
        <f>IFERROR(IF([1]对账明细接口!$R512=0,"",[1]对账明细接口!$R512),"")</f>
        <v>吉A*ZM856</v>
      </c>
      <c r="X512" s="20" t="str">
        <f>IFERROR(IF([1]对账明细接口!$S512=0,"",[1]对账明细接口!$S512),"")</f>
        <v>自备筐</v>
      </c>
      <c r="Y512" s="20">
        <f>IFERROR(IF([1]对账明细接口!$T512=0,"",[1]对账明细接口!$T512),"")</f>
      </c>
      <c r="Z512" s="213">
        <f>IFERROR(IF([1]对账明细接口!$U512=0,"",[1]对账明细接口!$U512),"")</f>
      </c>
      <c r="AA512" s="213">
        <f>IFERROR(IF([1]对账明细接口!$V512=0,"",[1]对账明细接口!$V512),"")</f>
      </c>
      <c r="AB512" s="20">
        <f>IFERROR(IF([1]对账明细接口!$W512=0,"",[1]对账明细接口!$W512),"")</f>
      </c>
      <c r="AC512" s="7">
        <f>IFERROR(IF([1]对账明细接口!$X512=0,"",[1]对账明细接口!$X512),"")</f>
      </c>
      <c r="AD512" s="7">
        <f>IFERROR(IF([1]对账明细接口!$Y512=0,"",[1]对账明细接口!$Y512),"")</f>
      </c>
      <c r="AE512" s="7">
        <f>IFERROR(IF([1]对账明细接口!$AA512=0,"",[1]对账明细接口!$AA512),"")</f>
      </c>
      <c r="AF512" s="7">
        <f>IFERROR(IF([1]对账明细接口!$AB512=0,"",[1]对账明细接口!$AB512),"")</f>
      </c>
      <c r="AG512" s="7">
        <f>IFERROR(IF([1]对账明细接口!$AC512=0,"",[1]对账明细接口!$AC512),"")</f>
      </c>
      <c r="AH512" s="7">
        <f>IFERROR(IF([1]对账明细接口!$AD512=0,"",[1]对账明细接口!$AD512),"")</f>
      </c>
      <c r="AI512" s="7">
        <f>IFERROR(IF([1]对账明细接口!$AE512=0,"",[1]对账明细接口!$AE512),"")</f>
      </c>
      <c r="AJ512" s="7">
        <f>IFERROR(IF([1]对账明细接口!$AF512=0,"",[1]对账明细接口!$AF512),"")</f>
      </c>
    </row>
    <row r="513" ht="14.25" customHeight="1" s="127">
      <c r="A513" s="14" t="n">
        <v>513</v>
      </c>
      <c r="B513" s="211">
        <f>IFERROR(IF([1]对账明细接口!$B$513=0,"",[1]对账明细接口!$B$513),"")</f>
        <v>46274.0</v>
      </c>
      <c r="C513" s="16" t="str">
        <f>IFERROR(IF([1]对账明细接口!$C$513=0,"",[1]对账明细接口!$C$513),"")</f>
        <v>王照雪</v>
      </c>
      <c r="D513" s="16" t="str">
        <f>IFERROR(IF([1]对账明细接口!$D$513=0,"",[1]对账明细接口!$D$513),"")</f>
        <v>原料出库－出库加工</v>
      </c>
      <c r="E513" s="16" t="str">
        <f>IFERROR(IF([1]对账明细接口!$E$513=0,"",[1]对账明细接口!$E$513),"")</f>
        <v>NO:0001101</v>
      </c>
      <c r="F513" s="16" t="str">
        <f>IFERROR(IF([1]对账明细接口!$F$513=0,"",[1]对账明细接口!$F$513),"")</f>
        <v>苹果</v>
      </c>
      <c r="G513" s="16" t="str">
        <f>IFERROR(IF([1]对账明细接口!$G$513=0,"",[1]对账明细接口!$G$513),"")</f>
        <v>华硕高次</v>
      </c>
      <c r="H513" s="176">
        <f>IFERROR(IF([1]对账明细接口!$H$513=0,"",[1]对账明细接口!$H$513),"")</f>
        <v>129</v>
      </c>
      <c r="I513" s="16" t="str">
        <f>IFERROR(IF([1]对账明细接口!$I$513=0,"",[1]对账明细接口!$I$513),"")</f>
        <v>筐</v>
      </c>
      <c r="J513" s="177">
        <f>IFERROR(IF([1]对账明细接口!$J$513=0,"",[1]对账明细接口!$J$513),"")</f>
      </c>
      <c r="K513" s="177">
        <f>IFERROR(IF([1]对账明细接口!$K$513=0,"",[1]对账明细接口!$K$513),"")</f>
      </c>
      <c r="L513" s="16">
        <f>IFERROR(IF([1]对账明细接口!$L$513=0,"",[1]对账明细接口!$L$513),"")</f>
      </c>
      <c r="M513" s="16" t="str">
        <f>IFERROR(IF([1]对账明细接口!$M$513=0,"",[1]对账明细接口!$M$513),"")</f>
        <v>华硕原料全部出库</v>
      </c>
      <c r="N513" s="19">
        <f>IF($C513="",0,1)</f>
        <v>1</v>
      </c>
      <c r="O513" s="19">
        <f>N(O512)+$N513</f>
        <v>510</v>
      </c>
      <c r="S513" s="20">
        <f>IFERROR(IF([1]对账明细接口!$N513=0,"",[1]对账明细接口!$N513),"")</f>
      </c>
      <c r="T513" s="212">
        <f>IFERROR(IF([1]对账明细接口!$O513=0,"",[1]对账明细接口!$O513),"")</f>
      </c>
      <c r="U513" s="212">
        <f>IFERROR(IF([1]对账明细接口!$P513=0,"",[1]对账明细接口!$P513),"")</f>
      </c>
      <c r="V513" s="212">
        <f>IFERROR(IF([1]对账明细接口!$Q513=0,"",[1]对账明细接口!$Q513),"")</f>
      </c>
      <c r="W513" s="20">
        <f>IFERROR(IF([1]对账明细接口!$R513=0,"",[1]对账明细接口!$R513),"")</f>
      </c>
      <c r="X513" s="20">
        <f>IFERROR(IF([1]对账明细接口!$S513=0,"",[1]对账明细接口!$S513),"")</f>
      </c>
      <c r="Y513" s="20">
        <f>IFERROR(IF([1]对账明细接口!$T513=0,"",[1]对账明细接口!$T513),"")</f>
      </c>
      <c r="Z513" s="213">
        <f>IFERROR(IF([1]对账明细接口!$U513=0,"",[1]对账明细接口!$U513),"")</f>
      </c>
      <c r="AA513" s="213">
        <f>IFERROR(IF([1]对账明细接口!$V513=0,"",[1]对账明细接口!$V513),"")</f>
      </c>
      <c r="AB513" s="20">
        <f>IFERROR(IF([1]对账明细接口!$W513=0,"",[1]对账明细接口!$W513),"")</f>
      </c>
      <c r="AC513" s="7">
        <f>IFERROR(IF([1]对账明细接口!$X513=0,"",[1]对账明细接口!$X513),"")</f>
      </c>
      <c r="AD513" s="7">
        <f>IFERROR(IF([1]对账明细接口!$Y513=0,"",[1]对账明细接口!$Y513),"")</f>
      </c>
      <c r="AE513" s="7">
        <f>IFERROR(IF([1]对账明细接口!$AA513=0,"",[1]对账明细接口!$AA513),"")</f>
      </c>
      <c r="AF513" s="7">
        <f>IFERROR(IF([1]对账明细接口!$AB513=0,"",[1]对账明细接口!$AB513),"")</f>
      </c>
      <c r="AG513" s="7">
        <f>IFERROR(IF([1]对账明细接口!$AC513=0,"",[1]对账明细接口!$AC513),"")</f>
      </c>
      <c r="AH513" s="7">
        <f>IFERROR(IF([1]对账明细接口!$AD513=0,"",[1]对账明细接口!$AD513),"")</f>
      </c>
      <c r="AI513" s="7">
        <f>IFERROR(IF([1]对账明细接口!$AE513=0,"",[1]对账明细接口!$AE513),"")</f>
      </c>
      <c r="AJ513" s="7">
        <f>IFERROR(IF([1]对账明细接口!$AF513=0,"",[1]对账明细接口!$AF513),"")</f>
      </c>
    </row>
    <row r="514" ht="14.25" customHeight="1" s="127">
      <c r="A514" s="14" t="n">
        <v>514</v>
      </c>
      <c r="B514" s="211">
        <f>IFERROR(IF([1]对账明细接口!$B$514=0,"",[1]对账明细接口!$B$514),"")</f>
        <v>46274.0</v>
      </c>
      <c r="C514" s="16" t="str">
        <f>IFERROR(IF([1]对账明细接口!$C$514=0,"",[1]对账明细接口!$C$514),"")</f>
        <v>麦麦提</v>
      </c>
      <c r="D514" s="16" t="str">
        <f>IFERROR(IF([1]对账明细接口!$D$514=0,"",[1]对账明细接口!$D$514),"")</f>
        <v>原料出库－公司购买</v>
      </c>
      <c r="E514" s="16" t="str">
        <f>IFERROR(IF([1]对账明细接口!$E$514=0,"",[1]对账明细接口!$E$514),"")</f>
        <v>NO:0001103</v>
      </c>
      <c r="F514" s="16" t="str">
        <f>IFERROR(IF([1]对账明细接口!$F$514=0,"",[1]对账明细接口!$F$514),"")</f>
        <v>香梨</v>
      </c>
      <c r="G514" s="16" t="str">
        <f>IFERROR(IF([1]对账明细接口!$G$514=0,"",[1]对账明细接口!$G$514),"")</f>
        <v>香梨特级</v>
      </c>
      <c r="H514" s="176">
        <f>IFERROR(IF([1]对账明细接口!$H$514=0,"",[1]对账明细接口!$H$514),"")</f>
        <v>2</v>
      </c>
      <c r="I514" s="16" t="str">
        <f>IFERROR(IF([1]对账明细接口!$I$514=0,"",[1]对账明细接口!$I$514),"")</f>
        <v>筐</v>
      </c>
      <c r="J514" s="177">
        <f>IFERROR(IF([1]对账明细接口!$J$514=0,"",[1]对账明细接口!$J$514),"")</f>
      </c>
      <c r="K514" s="177">
        <f>IFERROR(IF([1]对账明细接口!$K$514=0,"",[1]对账明细接口!$K$514),"")</f>
      </c>
      <c r="L514" s="16">
        <f>IFERROR(IF([1]对账明细接口!$L$514=0,"",[1]对账明细接口!$L$514),"")</f>
      </c>
      <c r="M514" s="16">
        <f>IFERROR(IF([1]对账明细接口!$M$514=0,"",[1]对账明细接口!$M$514),"")</f>
      </c>
      <c r="N514" s="19">
        <f>IF($C514="",0,1)</f>
        <v>1</v>
      </c>
      <c r="O514" s="19">
        <f>N(O513)+$N514</f>
        <v>511</v>
      </c>
      <c r="S514" s="20">
        <f>IFERROR(IF([1]对账明细接口!$N514=0,"",[1]对账明细接口!$N514),"")</f>
      </c>
      <c r="T514" s="212">
        <f>IFERROR(IF([1]对账明细接口!$O514=0,"",[1]对账明细接口!$O514),"")</f>
      </c>
      <c r="U514" s="212">
        <f>IFERROR(IF([1]对账明细接口!$P514=0,"",[1]对账明细接口!$P514),"")</f>
      </c>
      <c r="V514" s="212">
        <f>IFERROR(IF([1]对账明细接口!$Q514=0,"",[1]对账明细接口!$Q514),"")</f>
      </c>
      <c r="W514" s="20">
        <f>IFERROR(IF([1]对账明细接口!$R514=0,"",[1]对账明细接口!$R514),"")</f>
      </c>
      <c r="X514" s="20">
        <f>IFERROR(IF([1]对账明细接口!$S514=0,"",[1]对账明细接口!$S514),"")</f>
      </c>
      <c r="Y514" s="20">
        <f>IFERROR(IF([1]对账明细接口!$T514=0,"",[1]对账明细接口!$T514),"")</f>
      </c>
      <c r="Z514" s="213">
        <f>IFERROR(IF([1]对账明细接口!$U514=0,"",[1]对账明细接口!$U514),"")</f>
      </c>
      <c r="AA514" s="213">
        <f>IFERROR(IF([1]对账明细接口!$V514=0,"",[1]对账明细接口!$V514),"")</f>
      </c>
      <c r="AB514" s="20">
        <f>IFERROR(IF([1]对账明细接口!$W514=0,"",[1]对账明细接口!$W514),"")</f>
      </c>
      <c r="AC514" s="7">
        <f>IFERROR(IF([1]对账明细接口!$X514=0,"",[1]对账明细接口!$X514),"")</f>
      </c>
      <c r="AD514" s="7">
        <f>IFERROR(IF([1]对账明细接口!$Y514=0,"",[1]对账明细接口!$Y514),"")</f>
      </c>
      <c r="AE514" s="7">
        <f>IFERROR(IF([1]对账明细接口!$AA514=0,"",[1]对账明细接口!$AA514),"")</f>
      </c>
      <c r="AF514" s="7">
        <f>IFERROR(IF([1]对账明细接口!$AB514=0,"",[1]对账明细接口!$AB514),"")</f>
      </c>
      <c r="AG514" s="7">
        <f>IFERROR(IF([1]对账明细接口!$AC514=0,"",[1]对账明细接口!$AC514),"")</f>
      </c>
      <c r="AH514" s="7">
        <f>IFERROR(IF([1]对账明细接口!$AD514=0,"",[1]对账明细接口!$AD514),"")</f>
      </c>
      <c r="AI514" s="7">
        <f>IFERROR(IF([1]对账明细接口!$AE514=0,"",[1]对账明细接口!$AE514),"")</f>
      </c>
      <c r="AJ514" s="7">
        <f>IFERROR(IF([1]对账明细接口!$AF514=0,"",[1]对账明细接口!$AF514),"")</f>
      </c>
    </row>
    <row r="515" ht="14.25" customHeight="1" s="127">
      <c r="A515" s="14" t="n">
        <v>515</v>
      </c>
      <c r="B515" s="211">
        <f>IFERROR(IF([1]对账明细接口!$B$515=0,"",[1]对账明细接口!$B$515),"")</f>
        <v>46275.0</v>
      </c>
      <c r="C515" s="16" t="str">
        <f>IFERROR(IF([1]对账明细接口!$C$515=0,"",[1]对账明细接口!$C$515),"")</f>
        <v>聂新平</v>
      </c>
      <c r="D515" s="16" t="str">
        <f>IFERROR(IF([1]对账明细接口!$D$515=0,"",[1]对账明细接口!$D$515),"")</f>
        <v>原料出库－原筐出库</v>
      </c>
      <c r="E515" s="16" t="str">
        <f>IFERROR(IF([1]对账明细接口!$E$515=0,"",[1]对账明细接口!$E$515),"")</f>
        <v>NO:0001112</v>
      </c>
      <c r="F515" s="16" t="str">
        <f>IFERROR(IF([1]对账明细接口!$F$515=0,"",[1]对账明细接口!$F$515),"")</f>
        <v>西梅</v>
      </c>
      <c r="G515" s="16" t="str">
        <f>IFERROR(IF([1]对账明细接口!$G$515=0,"",[1]对账明细接口!$G$515),"")</f>
        <v>西梅三级</v>
      </c>
      <c r="H515" s="176">
        <f>IFERROR(IF([1]对账明细接口!$H$515=0,"",[1]对账明细接口!$H$515),"")</f>
        <v>1013</v>
      </c>
      <c r="I515" s="16" t="str">
        <f>IFERROR(IF([1]对账明细接口!$I$515=0,"",[1]对账明细接口!$I$515),"")</f>
        <v>筐</v>
      </c>
      <c r="J515" s="177">
        <f>IFERROR(IF([1]对账明细接口!$J$515=0,"",[1]对账明细接口!$J$515),"")</f>
        <v>2026</v>
      </c>
      <c r="K515" s="177">
        <f>IFERROR(IF([1]对账明细接口!$K$515=0,"",[1]对账明细接口!$K$515),"")</f>
      </c>
      <c r="L515" s="16">
        <f>IFERROR(IF([1]对账明细接口!$L$515=0,"",[1]对账明细接口!$L$515),"")</f>
      </c>
      <c r="M515" s="16" t="str">
        <f>IFERROR(IF([1]对账明细接口!$M$515=0,"",[1]对账明细接口!$M$515),"")</f>
        <v>西梅出库完毕</v>
      </c>
      <c r="N515" s="19">
        <f>IF($C515="",0,1)</f>
        <v>1</v>
      </c>
      <c r="O515" s="19">
        <f>N(O514)+$N515</f>
        <v>512</v>
      </c>
      <c r="S515" s="20" t="str">
        <f>IFERROR(IF([1]对账明细接口!$N515=0,"",[1]对账明细接口!$N515),"")</f>
        <v>自备一次性筐</v>
      </c>
      <c r="T515" s="212">
        <f>IFERROR(IF([1]对账明细接口!$O515=0,"",[1]对账明细接口!$O515),"")</f>
        <v>1013</v>
      </c>
      <c r="U515" s="212">
        <f>IFERROR(IF([1]对账明细接口!$P515=0,"",[1]对账明细接口!$P515),"")</f>
      </c>
      <c r="V515" s="212">
        <f>IFERROR(IF([1]对账明细接口!$Q515=0,"",[1]对账明细接口!$Q515),"")</f>
      </c>
      <c r="W515" s="20" t="str">
        <f>IFERROR(IF([1]对账明细接口!$R515=0,"",[1]对账明细接口!$R515),"")</f>
        <v>新A*H0050</v>
      </c>
      <c r="X515" s="20" t="str">
        <f>IFERROR(IF([1]对账明细接口!$S515=0,"",[1]对账明细接口!$S515),"")</f>
        <v>自备筐</v>
      </c>
      <c r="Y515" s="20">
        <f>IFERROR(IF([1]对账明细接口!$T515=0,"",[1]对账明细接口!$T515),"")</f>
      </c>
      <c r="Z515" s="213">
        <f>IFERROR(IF([1]对账明细接口!$U515=0,"",[1]对账明细接口!$U515),"")</f>
      </c>
      <c r="AA515" s="213">
        <f>IFERROR(IF([1]对账明细接口!$V515=0,"",[1]对账明细接口!$V515),"")</f>
      </c>
      <c r="AB515" s="20">
        <f>IFERROR(IF([1]对账明细接口!$W515=0,"",[1]对账明细接口!$W515),"")</f>
      </c>
      <c r="AC515" s="7">
        <f>IFERROR(IF([1]对账明细接口!$X515=0,"",[1]对账明细接口!$X515),"")</f>
      </c>
      <c r="AD515" s="7">
        <f>IFERROR(IF([1]对账明细接口!$Y515=0,"",[1]对账明细接口!$Y515),"")</f>
      </c>
      <c r="AE515" s="7">
        <f>IFERROR(IF([1]对账明细接口!$AA515=0,"",[1]对账明细接口!$AA515),"")</f>
      </c>
      <c r="AF515" s="7">
        <f>IFERROR(IF([1]对账明细接口!$AB515=0,"",[1]对账明细接口!$AB515),"")</f>
      </c>
      <c r="AG515" s="7">
        <f>IFERROR(IF([1]对账明细接口!$AC515=0,"",[1]对账明细接口!$AC515),"")</f>
      </c>
      <c r="AH515" s="7">
        <f>IFERROR(IF([1]对账明细接口!$AD515=0,"",[1]对账明细接口!$AD515),"")</f>
      </c>
      <c r="AI515" s="7">
        <f>IFERROR(IF([1]对账明细接口!$AE515=0,"",[1]对账明细接口!$AE515),"")</f>
      </c>
      <c r="AJ515" s="7">
        <f>IFERROR(IF([1]对账明细接口!$AF515=0,"",[1]对账明细接口!$AF515),"")</f>
      </c>
    </row>
    <row r="516" ht="14.25" customHeight="1" s="127">
      <c r="A516" s="14" t="n">
        <v>516</v>
      </c>
      <c r="B516" s="211">
        <f>IFERROR(IF([1]对账明细接口!$B$516=0,"",[1]对账明细接口!$B$516),"")</f>
        <v>46277.0</v>
      </c>
      <c r="C516" s="16" t="str">
        <f>IFERROR(IF([1]对账明细接口!$C$516=0,"",[1]对账明细接口!$C$516),"")</f>
        <v>王照雪</v>
      </c>
      <c r="D516" s="16" t="str">
        <f>IFERROR(IF([1]对账明细接口!$D$516=0,"",[1]对账明细接口!$D$516),"")</f>
        <v>原料出库－出库加工</v>
      </c>
      <c r="E516" s="16" t="str">
        <f>IFERROR(IF([1]对账明细接口!$E$516=0,"",[1]对账明细接口!$E$516),"")</f>
        <v>NO:0001123</v>
      </c>
      <c r="F516" s="16" t="str">
        <f>IFERROR(IF([1]对账明细接口!$F$516=0,"",[1]对账明细接口!$F$516),"")</f>
        <v>香梨</v>
      </c>
      <c r="G516" s="16" t="str">
        <f>IFERROR(IF([1]对账明细接口!$G$516=0,"",[1]对账明细接口!$G$516),"")</f>
        <v>香梨一级</v>
      </c>
      <c r="H516" s="176">
        <f>IFERROR(IF([1]对账明细接口!$H$516=0,"",[1]对账明细接口!$H$516),"")</f>
        <v>2</v>
      </c>
      <c r="I516" s="16" t="str">
        <f>IFERROR(IF([1]对账明细接口!$I$516=0,"",[1]对账明细接口!$I$516),"")</f>
        <v>筐</v>
      </c>
      <c r="J516" s="177">
        <f>IFERROR(IF([1]对账明细接口!$J$516=0,"",[1]对账明细接口!$J$516),"")</f>
      </c>
      <c r="K516" s="177">
        <f>IFERROR(IF([1]对账明细接口!$K$516=0,"",[1]对账明细接口!$K$516),"")</f>
      </c>
      <c r="L516" s="16">
        <f>IFERROR(IF([1]对账明细接口!$L$516=0,"",[1]对账明细接口!$L$516),"")</f>
      </c>
      <c r="M516" s="16">
        <f>IFERROR(IF([1]对账明细接口!$M$516=0,"",[1]对账明细接口!$M$516),"")</f>
      </c>
      <c r="N516" s="19">
        <f>IF($C516="",0,1)</f>
        <v>1</v>
      </c>
      <c r="O516" s="19">
        <f>N(O515)+$N516</f>
        <v>513</v>
      </c>
      <c r="S516" s="20">
        <f>IFERROR(IF([1]对账明细接口!$N516=0,"",[1]对账明细接口!$N516),"")</f>
      </c>
      <c r="T516" s="212">
        <f>IFERROR(IF([1]对账明细接口!$O516=0,"",[1]对账明细接口!$O516),"")</f>
      </c>
      <c r="U516" s="212">
        <f>IFERROR(IF([1]对账明细接口!$P516=0,"",[1]对账明细接口!$P516),"")</f>
      </c>
      <c r="V516" s="212">
        <f>IFERROR(IF([1]对账明细接口!$Q516=0,"",[1]对账明细接口!$Q516),"")</f>
      </c>
      <c r="W516" s="20">
        <f>IFERROR(IF([1]对账明细接口!$R516=0,"",[1]对账明细接口!$R516),"")</f>
      </c>
      <c r="X516" s="20">
        <f>IFERROR(IF([1]对账明细接口!$S516=0,"",[1]对账明细接口!$S516),"")</f>
      </c>
      <c r="Y516" s="20">
        <f>IFERROR(IF([1]对账明细接口!$T516=0,"",[1]对账明细接口!$T516),"")</f>
      </c>
      <c r="Z516" s="213">
        <f>IFERROR(IF([1]对账明细接口!$U516=0,"",[1]对账明细接口!$U516),"")</f>
      </c>
      <c r="AA516" s="213">
        <f>IFERROR(IF([1]对账明细接口!$V516=0,"",[1]对账明细接口!$V516),"")</f>
      </c>
      <c r="AB516" s="20">
        <f>IFERROR(IF([1]对账明细接口!$W516=0,"",[1]对账明细接口!$W516),"")</f>
      </c>
      <c r="AC516" s="7">
        <f>IFERROR(IF([1]对账明细接口!$X516=0,"",[1]对账明细接口!$X516),"")</f>
      </c>
      <c r="AD516" s="7">
        <f>IFERROR(IF([1]对账明细接口!$Y516=0,"",[1]对账明细接口!$Y516),"")</f>
      </c>
      <c r="AE516" s="7">
        <f>IFERROR(IF([1]对账明细接口!$AA516=0,"",[1]对账明细接口!$AA516),"")</f>
      </c>
      <c r="AF516" s="7">
        <f>IFERROR(IF([1]对账明细接口!$AB516=0,"",[1]对账明细接口!$AB516),"")</f>
      </c>
      <c r="AG516" s="7">
        <f>IFERROR(IF([1]对账明细接口!$AC516=0,"",[1]对账明细接口!$AC516),"")</f>
      </c>
      <c r="AH516" s="7">
        <f>IFERROR(IF([1]对账明细接口!$AD516=0,"",[1]对账明细接口!$AD516),"")</f>
      </c>
      <c r="AI516" s="7">
        <f>IFERROR(IF([1]对账明细接口!$AE516=0,"",[1]对账明细接口!$AE516),"")</f>
      </c>
      <c r="AJ516" s="7">
        <f>IFERROR(IF([1]对账明细接口!$AF516=0,"",[1]对账明细接口!$AF516),"")</f>
      </c>
    </row>
    <row r="517" ht="14.25" customHeight="1" s="127">
      <c r="A517" s="14" t="n">
        <v>517</v>
      </c>
      <c r="B517" s="211">
        <f>IFERROR(IF([1]对账明细接口!$B$517=0,"",[1]对账明细接口!$B$517),"")</f>
        <v>46278.0</v>
      </c>
      <c r="C517" s="16" t="str">
        <f>IFERROR(IF([1]对账明细接口!$C$517=0,"",[1]对账明细接口!$C$517),"")</f>
        <v>王照雪</v>
      </c>
      <c r="D517" s="16" t="str">
        <f>IFERROR(IF([1]对账明细接口!$D$517=0,"",[1]对账明细接口!$D$517),"")</f>
        <v>原料出库－出库加工</v>
      </c>
      <c r="E517" s="16" t="str">
        <f>IFERROR(IF([1]对账明细接口!$E$517=0,"",[1]对账明细接口!$E$517),"")</f>
        <v>NO:0001127</v>
      </c>
      <c r="F517" s="16" t="str">
        <f>IFERROR(IF([1]对账明细接口!$F$517=0,"",[1]对账明细接口!$F$517),"")</f>
        <v>苹果</v>
      </c>
      <c r="G517" s="16" t="str">
        <f>IFERROR(IF([1]对账明细接口!$G$517=0,"",[1]对账明细接口!$G$517),"")</f>
        <v>新世纪一级</v>
      </c>
      <c r="H517" s="176">
        <f>IFERROR(IF([1]对账明细接口!$H$517=0,"",[1]对账明细接口!$H$517),"")</f>
        <v>110</v>
      </c>
      <c r="I517" s="16" t="str">
        <f>IFERROR(IF([1]对账明细接口!$I$517=0,"",[1]对账明细接口!$I$517),"")</f>
        <v>筐</v>
      </c>
      <c r="J517" s="177">
        <f>IFERROR(IF([1]对账明细接口!$J$517=0,"",[1]对账明细接口!$J$517),"")</f>
      </c>
      <c r="K517" s="177">
        <f>IFERROR(IF([1]对账明细接口!$K$517=0,"",[1]对账明细接口!$K$517),"")</f>
      </c>
      <c r="L517" s="16">
        <f>IFERROR(IF([1]对账明细接口!$L$517=0,"",[1]对账明细接口!$L$517),"")</f>
      </c>
      <c r="M517" s="16">
        <f>IFERROR(IF([1]对账明细接口!$M$517=0,"",[1]对账明细接口!$M$517),"")</f>
      </c>
      <c r="N517" s="19">
        <f>IF($C517="",0,1)</f>
        <v>1</v>
      </c>
      <c r="O517" s="19">
        <f>N(O516)+$N517</f>
        <v>514</v>
      </c>
      <c r="S517" s="20">
        <f>IFERROR(IF([1]对账明细接口!$N517=0,"",[1]对账明细接口!$N517),"")</f>
      </c>
      <c r="T517" s="212">
        <f>IFERROR(IF([1]对账明细接口!$O517=0,"",[1]对账明细接口!$O517),"")</f>
      </c>
      <c r="U517" s="212">
        <f>IFERROR(IF([1]对账明细接口!$P517=0,"",[1]对账明细接口!$P517),"")</f>
      </c>
      <c r="V517" s="212">
        <f>IFERROR(IF([1]对账明细接口!$Q517=0,"",[1]对账明细接口!$Q517),"")</f>
      </c>
      <c r="W517" s="20">
        <f>IFERROR(IF([1]对账明细接口!$R517=0,"",[1]对账明细接口!$R517),"")</f>
      </c>
      <c r="X517" s="20">
        <f>IFERROR(IF([1]对账明细接口!$S517=0,"",[1]对账明细接口!$S517),"")</f>
      </c>
      <c r="Y517" s="20">
        <f>IFERROR(IF([1]对账明细接口!$T517=0,"",[1]对账明细接口!$T517),"")</f>
      </c>
      <c r="Z517" s="213">
        <f>IFERROR(IF([1]对账明细接口!$U517=0,"",[1]对账明细接口!$U517),"")</f>
      </c>
      <c r="AA517" s="213">
        <f>IFERROR(IF([1]对账明细接口!$V517=0,"",[1]对账明细接口!$V517),"")</f>
      </c>
      <c r="AB517" s="20">
        <f>IFERROR(IF([1]对账明细接口!$W517=0,"",[1]对账明细接口!$W517),"")</f>
      </c>
      <c r="AC517" s="7">
        <f>IFERROR(IF([1]对账明细接口!$X517=0,"",[1]对账明细接口!$X517),"")</f>
      </c>
      <c r="AD517" s="7">
        <f>IFERROR(IF([1]对账明细接口!$Y517=0,"",[1]对账明细接口!$Y517),"")</f>
      </c>
      <c r="AE517" s="7">
        <f>IFERROR(IF([1]对账明细接口!$AA517=0,"",[1]对账明细接口!$AA517),"")</f>
      </c>
      <c r="AF517" s="7">
        <f>IFERROR(IF([1]对账明细接口!$AB517=0,"",[1]对账明细接口!$AB517),"")</f>
      </c>
      <c r="AG517" s="7">
        <f>IFERROR(IF([1]对账明细接口!$AC517=0,"",[1]对账明细接口!$AC517),"")</f>
      </c>
      <c r="AH517" s="7">
        <f>IFERROR(IF([1]对账明细接口!$AD517=0,"",[1]对账明细接口!$AD517),"")</f>
      </c>
      <c r="AI517" s="7">
        <f>IFERROR(IF([1]对账明细接口!$AE517=0,"",[1]对账明细接口!$AE517),"")</f>
      </c>
      <c r="AJ517" s="7">
        <f>IFERROR(IF([1]对账明细接口!$AF517=0,"",[1]对账明细接口!$AF517),"")</f>
      </c>
    </row>
    <row r="518" ht="14.25" customHeight="1" s="127">
      <c r="A518" s="14" t="n">
        <v>518</v>
      </c>
      <c r="B518" s="211">
        <f>IFERROR(IF([1]对账明细接口!$B$518=0,"",[1]对账明细接口!$B$518),"")</f>
        <v>46279.0</v>
      </c>
      <c r="C518" s="16" t="str">
        <f>IFERROR(IF([1]对账明细接口!$C$518=0,"",[1]对账明细接口!$C$518),"")</f>
        <v>王照雪</v>
      </c>
      <c r="D518" s="16" t="str">
        <f>IFERROR(IF([1]对账明细接口!$D$518=0,"",[1]对账明细接口!$D$518),"")</f>
        <v>原料出库－出库加工</v>
      </c>
      <c r="E518" s="16" t="str">
        <f>IFERROR(IF([1]对账明细接口!$E$518=0,"",[1]对账明细接口!$E$518),"")</f>
        <v>NO:0001139</v>
      </c>
      <c r="F518" s="16" t="str">
        <f>IFERROR(IF([1]对账明细接口!$F$518=0,"",[1]对账明细接口!$F$518),"")</f>
        <v>苹果</v>
      </c>
      <c r="G518" s="16" t="str">
        <f>IFERROR(IF([1]对账明细接口!$G$518=0,"",[1]对账明细接口!$G$518),"")</f>
        <v>新世纪特级</v>
      </c>
      <c r="H518" s="176">
        <f>IFERROR(IF([1]对账明细接口!$H$518=0,"",[1]对账明细接口!$H$518),"")</f>
        <v>73</v>
      </c>
      <c r="I518" s="16" t="str">
        <f>IFERROR(IF([1]对账明细接口!$I$518=0,"",[1]对账明细接口!$I$518),"")</f>
        <v>筐</v>
      </c>
      <c r="J518" s="177">
        <f>IFERROR(IF([1]对账明细接口!$J$518=0,"",[1]对账明细接口!$J$518),"")</f>
      </c>
      <c r="K518" s="177">
        <f>IFERROR(IF([1]对账明细接口!$K$518=0,"",[1]对账明细接口!$K$518),"")</f>
      </c>
      <c r="L518" s="16">
        <f>IFERROR(IF([1]对账明细接口!$L$518=0,"",[1]对账明细接口!$L$518),"")</f>
      </c>
      <c r="M518" s="16">
        <f>IFERROR(IF([1]对账明细接口!$M$518=0,"",[1]对账明细接口!$M$518),"")</f>
      </c>
      <c r="N518" s="19">
        <f>IF($C518="",0,1)</f>
        <v>1</v>
      </c>
      <c r="O518" s="19">
        <f>N(O517)+$N518</f>
        <v>515</v>
      </c>
      <c r="S518" s="20">
        <f>IFERROR(IF([1]对账明细接口!$N518=0,"",[1]对账明细接口!$N518),"")</f>
      </c>
      <c r="T518" s="212">
        <f>IFERROR(IF([1]对账明细接口!$O518=0,"",[1]对账明细接口!$O518),"")</f>
      </c>
      <c r="U518" s="212">
        <f>IFERROR(IF([1]对账明细接口!$P518=0,"",[1]对账明细接口!$P518),"")</f>
      </c>
      <c r="V518" s="212">
        <f>IFERROR(IF([1]对账明细接口!$Q518=0,"",[1]对账明细接口!$Q518),"")</f>
      </c>
      <c r="W518" s="20">
        <f>IFERROR(IF([1]对账明细接口!$R518=0,"",[1]对账明细接口!$R518),"")</f>
      </c>
      <c r="X518" s="20">
        <f>IFERROR(IF([1]对账明细接口!$S518=0,"",[1]对账明细接口!$S518),"")</f>
      </c>
      <c r="Y518" s="20">
        <f>IFERROR(IF([1]对账明细接口!$T518=0,"",[1]对账明细接口!$T518),"")</f>
      </c>
      <c r="Z518" s="213">
        <f>IFERROR(IF([1]对账明细接口!$U518=0,"",[1]对账明细接口!$U518),"")</f>
      </c>
      <c r="AA518" s="213">
        <f>IFERROR(IF([1]对账明细接口!$V518=0,"",[1]对账明细接口!$V518),"")</f>
      </c>
      <c r="AB518" s="20">
        <f>IFERROR(IF([1]对账明细接口!$W518=0,"",[1]对账明细接口!$W518),"")</f>
      </c>
      <c r="AC518" s="7">
        <f>IFERROR(IF([1]对账明细接口!$X518=0,"",[1]对账明细接口!$X518),"")</f>
      </c>
      <c r="AD518" s="7">
        <f>IFERROR(IF([1]对账明细接口!$Y518=0,"",[1]对账明细接口!$Y518),"")</f>
      </c>
      <c r="AE518" s="7">
        <f>IFERROR(IF([1]对账明细接口!$AA518=0,"",[1]对账明细接口!$AA518),"")</f>
      </c>
      <c r="AF518" s="7">
        <f>IFERROR(IF([1]对账明细接口!$AB518=0,"",[1]对账明细接口!$AB518),"")</f>
      </c>
      <c r="AG518" s="7">
        <f>IFERROR(IF([1]对账明细接口!$AC518=0,"",[1]对账明细接口!$AC518),"")</f>
      </c>
      <c r="AH518" s="7">
        <f>IFERROR(IF([1]对账明细接口!$AD518=0,"",[1]对账明细接口!$AD518),"")</f>
      </c>
      <c r="AI518" s="7">
        <f>IFERROR(IF([1]对账明细接口!$AE518=0,"",[1]对账明细接口!$AE518),"")</f>
      </c>
      <c r="AJ518" s="7">
        <f>IFERROR(IF([1]对账明细接口!$AF518=0,"",[1]对账明细接口!$AF518),"")</f>
      </c>
    </row>
    <row r="519" ht="14.25" customHeight="1" s="127">
      <c r="A519" s="14" t="n">
        <v>519</v>
      </c>
      <c r="B519" s="211">
        <f>IFERROR(IF([1]对账明细接口!$B$519=0,"",[1]对账明细接口!$B$519),"")</f>
        <v>46279.0</v>
      </c>
      <c r="C519" s="16" t="str">
        <f>IFERROR(IF([1]对账明细接口!$C$519=0,"",[1]对账明细接口!$C$519),"")</f>
        <v>王照雪</v>
      </c>
      <c r="D519" s="16" t="str">
        <f>IFERROR(IF([1]对账明细接口!$D$519=0,"",[1]对账明细接口!$D$519),"")</f>
        <v>原料出库－出库加工</v>
      </c>
      <c r="E519" s="16" t="str">
        <f>IFERROR(IF([1]对账明细接口!$E$519=0,"",[1]对账明细接口!$E$519),"")</f>
        <v>NO:0001139</v>
      </c>
      <c r="F519" s="16" t="str">
        <f>IFERROR(IF([1]对账明细接口!$F$519=0,"",[1]对账明细接口!$F$519),"")</f>
        <v>苹果</v>
      </c>
      <c r="G519" s="16" t="str">
        <f>IFERROR(IF([1]对账明细接口!$G$519=0,"",[1]对账明细接口!$G$519),"")</f>
        <v>新世纪一级</v>
      </c>
      <c r="H519" s="176">
        <f>IFERROR(IF([1]对账明细接口!$H$519=0,"",[1]对账明细接口!$H$519),"")</f>
        <v>86</v>
      </c>
      <c r="I519" s="16" t="str">
        <f>IFERROR(IF([1]对账明细接口!$I$519=0,"",[1]对账明细接口!$I$519),"")</f>
        <v>筐</v>
      </c>
      <c r="J519" s="177">
        <f>IFERROR(IF([1]对账明细接口!$J$519=0,"",[1]对账明细接口!$J$519),"")</f>
      </c>
      <c r="K519" s="177">
        <f>IFERROR(IF([1]对账明细接口!$K$519=0,"",[1]对账明细接口!$K$519),"")</f>
      </c>
      <c r="L519" s="16">
        <f>IFERROR(IF([1]对账明细接口!$L$519=0,"",[1]对账明细接口!$L$519),"")</f>
      </c>
      <c r="M519" s="16">
        <f>IFERROR(IF([1]对账明细接口!$M$519=0,"",[1]对账明细接口!$M$519),"")</f>
      </c>
      <c r="N519" s="19">
        <f>IF($C519="",0,1)</f>
        <v>1</v>
      </c>
      <c r="O519" s="19">
        <f>N(O518)+$N519</f>
        <v>516</v>
      </c>
      <c r="S519" s="20">
        <f>IFERROR(IF([1]对账明细接口!$N519=0,"",[1]对账明细接口!$N519),"")</f>
      </c>
      <c r="T519" s="212">
        <f>IFERROR(IF([1]对账明细接口!$O519=0,"",[1]对账明细接口!$O519),"")</f>
      </c>
      <c r="U519" s="212">
        <f>IFERROR(IF([1]对账明细接口!$P519=0,"",[1]对账明细接口!$P519),"")</f>
      </c>
      <c r="V519" s="212">
        <f>IFERROR(IF([1]对账明细接口!$Q519=0,"",[1]对账明细接口!$Q519),"")</f>
      </c>
      <c r="W519" s="20">
        <f>IFERROR(IF([1]对账明细接口!$R519=0,"",[1]对账明细接口!$R519),"")</f>
      </c>
      <c r="X519" s="20">
        <f>IFERROR(IF([1]对账明细接口!$S519=0,"",[1]对账明细接口!$S519),"")</f>
      </c>
      <c r="Y519" s="20">
        <f>IFERROR(IF([1]对账明细接口!$T519=0,"",[1]对账明细接口!$T519),"")</f>
      </c>
      <c r="Z519" s="213">
        <f>IFERROR(IF([1]对账明细接口!$U519=0,"",[1]对账明细接口!$U519),"")</f>
      </c>
      <c r="AA519" s="213">
        <f>IFERROR(IF([1]对账明细接口!$V519=0,"",[1]对账明细接口!$V519),"")</f>
      </c>
      <c r="AB519" s="20">
        <f>IFERROR(IF([1]对账明细接口!$W519=0,"",[1]对账明细接口!$W519),"")</f>
      </c>
      <c r="AC519" s="7">
        <f>IFERROR(IF([1]对账明细接口!$X519=0,"",[1]对账明细接口!$X519),"")</f>
      </c>
      <c r="AD519" s="7">
        <f>IFERROR(IF([1]对账明细接口!$Y519=0,"",[1]对账明细接口!$Y519),"")</f>
      </c>
      <c r="AE519" s="7">
        <f>IFERROR(IF([1]对账明细接口!$AA519=0,"",[1]对账明细接口!$AA519),"")</f>
      </c>
      <c r="AF519" s="7">
        <f>IFERROR(IF([1]对账明细接口!$AB519=0,"",[1]对账明细接口!$AB519),"")</f>
      </c>
      <c r="AG519" s="7">
        <f>IFERROR(IF([1]对账明细接口!$AC519=0,"",[1]对账明细接口!$AC519),"")</f>
      </c>
      <c r="AH519" s="7">
        <f>IFERROR(IF([1]对账明细接口!$AD519=0,"",[1]对账明细接口!$AD519),"")</f>
      </c>
      <c r="AI519" s="7">
        <f>IFERROR(IF([1]对账明细接口!$AE519=0,"",[1]对账明细接口!$AE519),"")</f>
      </c>
      <c r="AJ519" s="7">
        <f>IFERROR(IF([1]对账明细接口!$AF519=0,"",[1]对账明细接口!$AF519),"")</f>
      </c>
    </row>
    <row r="520" ht="14.25" customHeight="1" s="127">
      <c r="A520" s="14" t="n">
        <v>520</v>
      </c>
      <c r="B520" s="211">
        <f>IFERROR(IF([1]对账明细接口!$B$520=0,"",[1]对账明细接口!$B$520),"")</f>
        <v>46279.0</v>
      </c>
      <c r="C520" s="16" t="str">
        <f>IFERROR(IF([1]对账明细接口!$C$520=0,"",[1]对账明细接口!$C$520),"")</f>
        <v>王照雪</v>
      </c>
      <c r="D520" s="16" t="str">
        <f>IFERROR(IF([1]对账明细接口!$D$520=0,"",[1]对账明细接口!$D$520),"")</f>
        <v>原料出库－出库加工</v>
      </c>
      <c r="E520" s="16" t="str">
        <f>IFERROR(IF([1]对账明细接口!$E$520=0,"",[1]对账明细接口!$E$520),"")</f>
        <v>NO:0001139</v>
      </c>
      <c r="F520" s="16" t="str">
        <f>IFERROR(IF([1]对账明细接口!$F$520=0,"",[1]对账明细接口!$F$520),"")</f>
        <v>香梨</v>
      </c>
      <c r="G520" s="16" t="str">
        <f>IFERROR(IF([1]对账明细接口!$G$520=0,"",[1]对账明细接口!$G$520),"")</f>
        <v>香梨一级</v>
      </c>
      <c r="H520" s="176">
        <f>IFERROR(IF([1]对账明细接口!$H$520=0,"",[1]对账明细接口!$H$520),"")</f>
        <v>1</v>
      </c>
      <c r="I520" s="16" t="str">
        <f>IFERROR(IF([1]对账明细接口!$I$520=0,"",[1]对账明细接口!$I$520),"")</f>
        <v>筐</v>
      </c>
      <c r="J520" s="177">
        <f>IFERROR(IF([1]对账明细接口!$J$520=0,"",[1]对账明细接口!$J$520),"")</f>
      </c>
      <c r="K520" s="177">
        <f>IFERROR(IF([1]对账明细接口!$K$520=0,"",[1]对账明细接口!$K$520),"")</f>
      </c>
      <c r="L520" s="16">
        <f>IFERROR(IF([1]对账明细接口!$L$520=0,"",[1]对账明细接口!$L$520),"")</f>
      </c>
      <c r="M520" s="16">
        <f>IFERROR(IF([1]对账明细接口!$M$520=0,"",[1]对账明细接口!$M$520),"")</f>
      </c>
      <c r="N520" s="19">
        <f>IF($C520="",0,1)</f>
        <v>1</v>
      </c>
      <c r="O520" s="19">
        <f>N(O519)+$N520</f>
        <v>517</v>
      </c>
      <c r="S520" s="20">
        <f>IFERROR(IF([1]对账明细接口!$N520=0,"",[1]对账明细接口!$N520),"")</f>
      </c>
      <c r="T520" s="212">
        <f>IFERROR(IF([1]对账明细接口!$O520=0,"",[1]对账明细接口!$O520),"")</f>
      </c>
      <c r="U520" s="212">
        <f>IFERROR(IF([1]对账明细接口!$P520=0,"",[1]对账明细接口!$P520),"")</f>
      </c>
      <c r="V520" s="212">
        <f>IFERROR(IF([1]对账明细接口!$Q520=0,"",[1]对账明细接口!$Q520),"")</f>
      </c>
      <c r="W520" s="20">
        <f>IFERROR(IF([1]对账明细接口!$R520=0,"",[1]对账明细接口!$R520),"")</f>
      </c>
      <c r="X520" s="20">
        <f>IFERROR(IF([1]对账明细接口!$S520=0,"",[1]对账明细接口!$S520),"")</f>
      </c>
      <c r="Y520" s="20">
        <f>IFERROR(IF([1]对账明细接口!$T520=0,"",[1]对账明细接口!$T520),"")</f>
      </c>
      <c r="Z520" s="213">
        <f>IFERROR(IF([1]对账明细接口!$U520=0,"",[1]对账明细接口!$U520),"")</f>
      </c>
      <c r="AA520" s="213">
        <f>IFERROR(IF([1]对账明细接口!$V520=0,"",[1]对账明细接口!$V520),"")</f>
      </c>
      <c r="AB520" s="20">
        <f>IFERROR(IF([1]对账明细接口!$W520=0,"",[1]对账明细接口!$W520),"")</f>
      </c>
      <c r="AC520" s="7">
        <f>IFERROR(IF([1]对账明细接口!$X520=0,"",[1]对账明细接口!$X520),"")</f>
      </c>
      <c r="AD520" s="7">
        <f>IFERROR(IF([1]对账明细接口!$Y520=0,"",[1]对账明细接口!$Y520),"")</f>
      </c>
      <c r="AE520" s="7">
        <f>IFERROR(IF([1]对账明细接口!$AA520=0,"",[1]对账明细接口!$AA520),"")</f>
      </c>
      <c r="AF520" s="7">
        <f>IFERROR(IF([1]对账明细接口!$AB520=0,"",[1]对账明细接口!$AB520),"")</f>
      </c>
      <c r="AG520" s="7">
        <f>IFERROR(IF([1]对账明细接口!$AC520=0,"",[1]对账明细接口!$AC520),"")</f>
      </c>
      <c r="AH520" s="7">
        <f>IFERROR(IF([1]对账明细接口!$AD520=0,"",[1]对账明细接口!$AD520),"")</f>
      </c>
      <c r="AI520" s="7">
        <f>IFERROR(IF([1]对账明细接口!$AE520=0,"",[1]对账明细接口!$AE520),"")</f>
      </c>
      <c r="AJ520" s="7">
        <f>IFERROR(IF([1]对账明细接口!$AF520=0,"",[1]对账明细接口!$AF520),"")</f>
      </c>
    </row>
    <row r="521" ht="14.25" customHeight="1" s="127">
      <c r="A521" s="14" t="n">
        <v>521</v>
      </c>
      <c r="B521" s="211">
        <f>IFERROR(IF([1]对账明细接口!$B$521=0,"",[1]对账明细接口!$B$521),"")</f>
        <v>46280.0</v>
      </c>
      <c r="C521" s="16" t="str">
        <f>IFERROR(IF([1]对账明细接口!$C$521=0,"",[1]对账明细接口!$C$521),"")</f>
        <v>王照雪</v>
      </c>
      <c r="D521" s="16" t="str">
        <f>IFERROR(IF([1]对账明细接口!$D$521=0,"",[1]对账明细接口!$D$521),"")</f>
        <v>原料出库－出库加工</v>
      </c>
      <c r="E521" s="16" t="str">
        <f>IFERROR(IF([1]对账明细接口!$E$521=0,"",[1]对账明细接口!$E$521),"")</f>
        <v>NO:0001144</v>
      </c>
      <c r="F521" s="16" t="str">
        <f>IFERROR(IF([1]对账明细接口!$F$521=0,"",[1]对账明细接口!$F$521),"")</f>
        <v>苹果</v>
      </c>
      <c r="G521" s="16" t="str">
        <f>IFERROR(IF([1]对账明细接口!$G$521=0,"",[1]对账明细接口!$G$521),"")</f>
        <v>新世纪一级</v>
      </c>
      <c r="H521" s="176">
        <f>IFERROR(IF([1]对账明细接口!$H$521=0,"",[1]对账明细接口!$H$521),"")</f>
        <v>96</v>
      </c>
      <c r="I521" s="16" t="str">
        <f>IFERROR(IF([1]对账明细接口!$I$521=0,"",[1]对账明细接口!$I$521),"")</f>
        <v>筐</v>
      </c>
      <c r="J521" s="177">
        <f>IFERROR(IF([1]对账明细接口!$J$521=0,"",[1]对账明细接口!$J$521),"")</f>
      </c>
      <c r="K521" s="177">
        <f>IFERROR(IF([1]对账明细接口!$K$521=0,"",[1]对账明细接口!$K$521),"")</f>
      </c>
      <c r="L521" s="16">
        <f>IFERROR(IF([1]对账明细接口!$L$521=0,"",[1]对账明细接口!$L$521),"")</f>
      </c>
      <c r="M521" s="16" t="str">
        <f>IFERROR(IF([1]对账明细接口!$M$521=0,"",[1]对账明细接口!$M$521),"")</f>
        <v>光果</v>
      </c>
      <c r="N521" s="19">
        <f>IF($C521="",0,1)</f>
        <v>1</v>
      </c>
      <c r="O521" s="19">
        <f>N(O520)+$N521</f>
        <v>518</v>
      </c>
      <c r="S521" s="20">
        <f>IFERROR(IF([1]对账明细接口!$N521=0,"",[1]对账明细接口!$N521),"")</f>
      </c>
      <c r="T521" s="212">
        <f>IFERROR(IF([1]对账明细接口!$O521=0,"",[1]对账明细接口!$O521),"")</f>
      </c>
      <c r="U521" s="212">
        <f>IFERROR(IF([1]对账明细接口!$P521=0,"",[1]对账明细接口!$P521),"")</f>
      </c>
      <c r="V521" s="212">
        <f>IFERROR(IF([1]对账明细接口!$Q521=0,"",[1]对账明细接口!$Q521),"")</f>
      </c>
      <c r="W521" s="20">
        <f>IFERROR(IF([1]对账明细接口!$R521=0,"",[1]对账明细接口!$R521),"")</f>
      </c>
      <c r="X521" s="20">
        <f>IFERROR(IF([1]对账明细接口!$S521=0,"",[1]对账明细接口!$S521),"")</f>
      </c>
      <c r="Y521" s="20">
        <f>IFERROR(IF([1]对账明细接口!$T521=0,"",[1]对账明细接口!$T521),"")</f>
      </c>
      <c r="Z521" s="213">
        <f>IFERROR(IF([1]对账明细接口!$U521=0,"",[1]对账明细接口!$U521),"")</f>
      </c>
      <c r="AA521" s="213">
        <f>IFERROR(IF([1]对账明细接口!$V521=0,"",[1]对账明细接口!$V521),"")</f>
      </c>
      <c r="AB521" s="20">
        <f>IFERROR(IF([1]对账明细接口!$W521=0,"",[1]对账明细接口!$W521),"")</f>
      </c>
      <c r="AC521" s="7">
        <f>IFERROR(IF([1]对账明细接口!$X521=0,"",[1]对账明细接口!$X521),"")</f>
      </c>
      <c r="AD521" s="7">
        <f>IFERROR(IF([1]对账明细接口!$Y521=0,"",[1]对账明细接口!$Y521),"")</f>
      </c>
      <c r="AE521" s="7">
        <f>IFERROR(IF([1]对账明细接口!$AA521=0,"",[1]对账明细接口!$AA521),"")</f>
      </c>
      <c r="AF521" s="7">
        <f>IFERROR(IF([1]对账明细接口!$AB521=0,"",[1]对账明细接口!$AB521),"")</f>
      </c>
      <c r="AG521" s="7">
        <f>IFERROR(IF([1]对账明细接口!$AC521=0,"",[1]对账明细接口!$AC521),"")</f>
      </c>
      <c r="AH521" s="7">
        <f>IFERROR(IF([1]对账明细接口!$AD521=0,"",[1]对账明细接口!$AD521),"")</f>
      </c>
      <c r="AI521" s="7">
        <f>IFERROR(IF([1]对账明细接口!$AE521=0,"",[1]对账明细接口!$AE521),"")</f>
      </c>
      <c r="AJ521" s="7">
        <f>IFERROR(IF([1]对账明细接口!$AF521=0,"",[1]对账明细接口!$AF521),"")</f>
      </c>
    </row>
    <row r="522" ht="14.25" customHeight="1" s="127">
      <c r="A522" s="14" t="n">
        <v>522</v>
      </c>
      <c r="B522" s="211">
        <f>IFERROR(IF([1]对账明细接口!$B$522=0,"",[1]对账明细接口!$B$522),"")</f>
        <v>46280.0</v>
      </c>
      <c r="C522" s="16" t="str">
        <f>IFERROR(IF([1]对账明细接口!$C$522=0,"",[1]对账明细接口!$C$522),"")</f>
        <v>王照雪</v>
      </c>
      <c r="D522" s="16" t="str">
        <f>IFERROR(IF([1]对账明细接口!$D$522=0,"",[1]对账明细接口!$D$522),"")</f>
        <v>原料出库－出库加工</v>
      </c>
      <c r="E522" s="16" t="str">
        <f>IFERROR(IF([1]对账明细接口!$E$522=0,"",[1]对账明细接口!$E$522),"")</f>
        <v>NO:0001144</v>
      </c>
      <c r="F522" s="16" t="str">
        <f>IFERROR(IF([1]对账明细接口!$F$522=0,"",[1]对账明细接口!$F$522),"")</f>
        <v>苹果</v>
      </c>
      <c r="G522" s="16" t="str">
        <f>IFERROR(IF([1]对账明细接口!$G$522=0,"",[1]对账明细接口!$G$522),"")</f>
        <v>新世纪二级</v>
      </c>
      <c r="H522" s="176">
        <f>IFERROR(IF([1]对账明细接口!$H$522=0,"",[1]对账明细接口!$H$522),"")</f>
        <v>58</v>
      </c>
      <c r="I522" s="16" t="str">
        <f>IFERROR(IF([1]对账明细接口!$I$522=0,"",[1]对账明细接口!$I$522),"")</f>
        <v>筐</v>
      </c>
      <c r="J522" s="177">
        <f>IFERROR(IF([1]对账明细接口!$J$522=0,"",[1]对账明细接口!$J$522),"")</f>
      </c>
      <c r="K522" s="177">
        <f>IFERROR(IF([1]对账明细接口!$K$522=0,"",[1]对账明细接口!$K$522),"")</f>
      </c>
      <c r="L522" s="16">
        <f>IFERROR(IF([1]对账明细接口!$L$522=0,"",[1]对账明细接口!$L$522),"")</f>
      </c>
      <c r="M522" s="16" t="str">
        <f>IFERROR(IF([1]对账明细接口!$M$522=0,"",[1]对账明细接口!$M$522),"")</f>
        <v>光果</v>
      </c>
      <c r="N522" s="19">
        <f>IF($C522="",0,1)</f>
        <v>1</v>
      </c>
      <c r="O522" s="19">
        <f>N(O521)+$N522</f>
        <v>519</v>
      </c>
      <c r="S522" s="20">
        <f>IFERROR(IF([1]对账明细接口!$N522=0,"",[1]对账明细接口!$N522),"")</f>
      </c>
      <c r="T522" s="212">
        <f>IFERROR(IF([1]对账明细接口!$O522=0,"",[1]对账明细接口!$O522),"")</f>
      </c>
      <c r="U522" s="212">
        <f>IFERROR(IF([1]对账明细接口!$P522=0,"",[1]对账明细接口!$P522),"")</f>
      </c>
      <c r="V522" s="212">
        <f>IFERROR(IF([1]对账明细接口!$Q522=0,"",[1]对账明细接口!$Q522),"")</f>
      </c>
      <c r="W522" s="20">
        <f>IFERROR(IF([1]对账明细接口!$R522=0,"",[1]对账明细接口!$R522),"")</f>
      </c>
      <c r="X522" s="20">
        <f>IFERROR(IF([1]对账明细接口!$S522=0,"",[1]对账明细接口!$S522),"")</f>
      </c>
      <c r="Y522" s="20">
        <f>IFERROR(IF([1]对账明细接口!$T522=0,"",[1]对账明细接口!$T522),"")</f>
      </c>
      <c r="Z522" s="213">
        <f>IFERROR(IF([1]对账明细接口!$U522=0,"",[1]对账明细接口!$U522),"")</f>
      </c>
      <c r="AA522" s="213">
        <f>IFERROR(IF([1]对账明细接口!$V522=0,"",[1]对账明细接口!$V522),"")</f>
      </c>
      <c r="AB522" s="20">
        <f>IFERROR(IF([1]对账明细接口!$W522=0,"",[1]对账明细接口!$W522),"")</f>
      </c>
      <c r="AC522" s="7">
        <f>IFERROR(IF([1]对账明细接口!$X522=0,"",[1]对账明细接口!$X522),"")</f>
      </c>
      <c r="AD522" s="7">
        <f>IFERROR(IF([1]对账明细接口!$Y522=0,"",[1]对账明细接口!$Y522),"")</f>
      </c>
      <c r="AE522" s="7">
        <f>IFERROR(IF([1]对账明细接口!$AA522=0,"",[1]对账明细接口!$AA522),"")</f>
      </c>
      <c r="AF522" s="7">
        <f>IFERROR(IF([1]对账明细接口!$AB522=0,"",[1]对账明细接口!$AB522),"")</f>
      </c>
      <c r="AG522" s="7">
        <f>IFERROR(IF([1]对账明细接口!$AC522=0,"",[1]对账明细接口!$AC522),"")</f>
      </c>
      <c r="AH522" s="7">
        <f>IFERROR(IF([1]对账明细接口!$AD522=0,"",[1]对账明细接口!$AD522),"")</f>
      </c>
      <c r="AI522" s="7">
        <f>IFERROR(IF([1]对账明细接口!$AE522=0,"",[1]对账明细接口!$AE522),"")</f>
      </c>
      <c r="AJ522" s="7">
        <f>IFERROR(IF([1]对账明细接口!$AF522=0,"",[1]对账明细接口!$AF522),"")</f>
      </c>
    </row>
    <row r="523" ht="14.25" customHeight="1" s="127">
      <c r="A523" s="14" t="n">
        <v>523</v>
      </c>
      <c r="B523" s="211">
        <f>IFERROR(IF([1]对账明细接口!$B$523=0,"",[1]对账明细接口!$B$523),"")</f>
        <v>46281.0</v>
      </c>
      <c r="C523" s="16" t="str">
        <f>IFERROR(IF([1]对账明细接口!$C$523=0,"",[1]对账明细接口!$C$523),"")</f>
        <v>王照雪</v>
      </c>
      <c r="D523" s="16" t="str">
        <f>IFERROR(IF([1]对账明细接口!$D$523=0,"",[1]对账明细接口!$D$523),"")</f>
        <v>原料出库－出库加工</v>
      </c>
      <c r="E523" s="16" t="str">
        <f>IFERROR(IF([1]对账明细接口!$E$523=0,"",[1]对账明细接口!$E$523),"")</f>
        <v>NO:0001150</v>
      </c>
      <c r="F523" s="16" t="str">
        <f>IFERROR(IF([1]对账明细接口!$F$523=0,"",[1]对账明细接口!$F$523),"")</f>
        <v>苹果</v>
      </c>
      <c r="G523" s="16" t="str">
        <f>IFERROR(IF([1]对账明细接口!$G$523=0,"",[1]对账明细接口!$G$523),"")</f>
        <v>新世纪一级</v>
      </c>
      <c r="H523" s="176">
        <f>IFERROR(IF([1]对账明细接口!$H$523=0,"",[1]对账明细接口!$H$523),"")</f>
        <v>174</v>
      </c>
      <c r="I523" s="16" t="str">
        <f>IFERROR(IF([1]对账明细接口!$I$523=0,"",[1]对账明细接口!$I$523),"")</f>
        <v>筐</v>
      </c>
      <c r="J523" s="177">
        <f>IFERROR(IF([1]对账明细接口!$J$523=0,"",[1]对账明细接口!$J$523),"")</f>
      </c>
      <c r="K523" s="177">
        <f>IFERROR(IF([1]对账明细接口!$K$523=0,"",[1]对账明细接口!$K$523),"")</f>
      </c>
      <c r="L523" s="16">
        <f>IFERROR(IF([1]对账明细接口!$L$523=0,"",[1]对账明细接口!$L$523),"")</f>
      </c>
      <c r="M523" s="16" t="str">
        <f>IFERROR(IF([1]对账明细接口!$M$523=0,"",[1]对账明细接口!$M$523),"")</f>
        <v>套袋</v>
      </c>
      <c r="N523" s="19">
        <f>IF($C523="",0,1)</f>
        <v>1</v>
      </c>
      <c r="O523" s="19">
        <f>N(O522)+$N523</f>
        <v>520</v>
      </c>
      <c r="S523" s="20">
        <f>IFERROR(IF([1]对账明细接口!$N523=0,"",[1]对账明细接口!$N523),"")</f>
      </c>
      <c r="T523" s="212">
        <f>IFERROR(IF([1]对账明细接口!$O523=0,"",[1]对账明细接口!$O523),"")</f>
      </c>
      <c r="U523" s="212">
        <f>IFERROR(IF([1]对账明细接口!$P523=0,"",[1]对账明细接口!$P523),"")</f>
      </c>
      <c r="V523" s="212">
        <f>IFERROR(IF([1]对账明细接口!$Q523=0,"",[1]对账明细接口!$Q523),"")</f>
      </c>
      <c r="W523" s="20">
        <f>IFERROR(IF([1]对账明细接口!$R523=0,"",[1]对账明细接口!$R523),"")</f>
      </c>
      <c r="X523" s="20">
        <f>IFERROR(IF([1]对账明细接口!$S523=0,"",[1]对账明细接口!$S523),"")</f>
      </c>
      <c r="Y523" s="20">
        <f>IFERROR(IF([1]对账明细接口!$T523=0,"",[1]对账明细接口!$T523),"")</f>
      </c>
      <c r="Z523" s="213">
        <f>IFERROR(IF([1]对账明细接口!$U523=0,"",[1]对账明细接口!$U523),"")</f>
      </c>
      <c r="AA523" s="213">
        <f>IFERROR(IF([1]对账明细接口!$V523=0,"",[1]对账明细接口!$V523),"")</f>
      </c>
      <c r="AB523" s="20">
        <f>IFERROR(IF([1]对账明细接口!$W523=0,"",[1]对账明细接口!$W523),"")</f>
      </c>
      <c r="AC523" s="7">
        <f>IFERROR(IF([1]对账明细接口!$X523=0,"",[1]对账明细接口!$X523),"")</f>
      </c>
      <c r="AD523" s="7">
        <f>IFERROR(IF([1]对账明细接口!$Y523=0,"",[1]对账明细接口!$Y523),"")</f>
      </c>
      <c r="AE523" s="7">
        <f>IFERROR(IF([1]对账明细接口!$AA523=0,"",[1]对账明细接口!$AA523),"")</f>
      </c>
      <c r="AF523" s="7">
        <f>IFERROR(IF([1]对账明细接口!$AB523=0,"",[1]对账明细接口!$AB523),"")</f>
      </c>
      <c r="AG523" s="7">
        <f>IFERROR(IF([1]对账明细接口!$AC523=0,"",[1]对账明细接口!$AC523),"")</f>
      </c>
      <c r="AH523" s="7">
        <f>IFERROR(IF([1]对账明细接口!$AD523=0,"",[1]对账明细接口!$AD523),"")</f>
      </c>
      <c r="AI523" s="7">
        <f>IFERROR(IF([1]对账明细接口!$AE523=0,"",[1]对账明细接口!$AE523),"")</f>
      </c>
      <c r="AJ523" s="7">
        <f>IFERROR(IF([1]对账明细接口!$AF523=0,"",[1]对账明细接口!$AF523),"")</f>
      </c>
    </row>
    <row r="524" ht="14.25" customHeight="1" s="127">
      <c r="A524" s="14" t="n">
        <v>524</v>
      </c>
      <c r="B524" s="211">
        <f>IFERROR(IF([1]对账明细接口!$B$524=0,"",[1]对账明细接口!$B$524),"")</f>
        <v>46281.0</v>
      </c>
      <c r="C524" s="16" t="str">
        <f>IFERROR(IF([1]对账明细接口!$C$524=0,"",[1]对账明细接口!$C$524),"")</f>
        <v>王照雪</v>
      </c>
      <c r="D524" s="16" t="str">
        <f>IFERROR(IF([1]对账明细接口!$D$524=0,"",[1]对账明细接口!$D$524),"")</f>
        <v>原料出库－出库加工</v>
      </c>
      <c r="E524" s="16" t="str">
        <f>IFERROR(IF([1]对账明细接口!$E$524=0,"",[1]对账明细接口!$E$524),"")</f>
        <v>NO:0001150</v>
      </c>
      <c r="F524" s="16" t="str">
        <f>IFERROR(IF([1]对账明细接口!$F$524=0,"",[1]对账明细接口!$F$524),"")</f>
        <v>香梨</v>
      </c>
      <c r="G524" s="16" t="str">
        <f>IFERROR(IF([1]对账明细接口!$G$524=0,"",[1]对账明细接口!$G$524),"")</f>
        <v>香梨一级</v>
      </c>
      <c r="H524" s="176">
        <f>IFERROR(IF([1]对账明细接口!$H$524=0,"",[1]对账明细接口!$H$524),"")</f>
        <v>1</v>
      </c>
      <c r="I524" s="16" t="str">
        <f>IFERROR(IF([1]对账明细接口!$I$524=0,"",[1]对账明细接口!$I$524),"")</f>
        <v>筐</v>
      </c>
      <c r="J524" s="177">
        <f>IFERROR(IF([1]对账明细接口!$J$524=0,"",[1]对账明细接口!$J$524),"")</f>
      </c>
      <c r="K524" s="177">
        <f>IFERROR(IF([1]对账明细接口!$K$524=0,"",[1]对账明细接口!$K$524),"")</f>
      </c>
      <c r="L524" s="16">
        <f>IFERROR(IF([1]对账明细接口!$L$524=0,"",[1]对账明细接口!$L$524),"")</f>
      </c>
      <c r="M524" s="16">
        <f>IFERROR(IF([1]对账明细接口!$M$524=0,"",[1]对账明细接口!$M$524),"")</f>
      </c>
      <c r="N524" s="19">
        <f>IF($C524="",0,1)</f>
        <v>1</v>
      </c>
      <c r="O524" s="19">
        <f>N(O523)+$N524</f>
        <v>521</v>
      </c>
      <c r="S524" s="20">
        <f>IFERROR(IF([1]对账明细接口!$N524=0,"",[1]对账明细接口!$N524),"")</f>
      </c>
      <c r="T524" s="212">
        <f>IFERROR(IF([1]对账明细接口!$O524=0,"",[1]对账明细接口!$O524),"")</f>
      </c>
      <c r="U524" s="212">
        <f>IFERROR(IF([1]对账明细接口!$P524=0,"",[1]对账明细接口!$P524),"")</f>
      </c>
      <c r="V524" s="212">
        <f>IFERROR(IF([1]对账明细接口!$Q524=0,"",[1]对账明细接口!$Q524),"")</f>
      </c>
      <c r="W524" s="20">
        <f>IFERROR(IF([1]对账明细接口!$R524=0,"",[1]对账明细接口!$R524),"")</f>
      </c>
      <c r="X524" s="20">
        <f>IFERROR(IF([1]对账明细接口!$S524=0,"",[1]对账明细接口!$S524),"")</f>
      </c>
      <c r="Y524" s="20">
        <f>IFERROR(IF([1]对账明细接口!$T524=0,"",[1]对账明细接口!$T524),"")</f>
      </c>
      <c r="Z524" s="213">
        <f>IFERROR(IF([1]对账明细接口!$U524=0,"",[1]对账明细接口!$U524),"")</f>
      </c>
      <c r="AA524" s="213">
        <f>IFERROR(IF([1]对账明细接口!$V524=0,"",[1]对账明细接口!$V524),"")</f>
      </c>
      <c r="AB524" s="20">
        <f>IFERROR(IF([1]对账明细接口!$W524=0,"",[1]对账明细接口!$W524),"")</f>
      </c>
      <c r="AC524" s="7">
        <f>IFERROR(IF([1]对账明细接口!$X524=0,"",[1]对账明细接口!$X524),"")</f>
      </c>
      <c r="AD524" s="7">
        <f>IFERROR(IF([1]对账明细接口!$Y524=0,"",[1]对账明细接口!$Y524),"")</f>
      </c>
      <c r="AE524" s="7">
        <f>IFERROR(IF([1]对账明细接口!$AA524=0,"",[1]对账明细接口!$AA524),"")</f>
      </c>
      <c r="AF524" s="7">
        <f>IFERROR(IF([1]对账明细接口!$AB524=0,"",[1]对账明细接口!$AB524),"")</f>
      </c>
      <c r="AG524" s="7">
        <f>IFERROR(IF([1]对账明细接口!$AC524=0,"",[1]对账明细接口!$AC524),"")</f>
      </c>
      <c r="AH524" s="7">
        <f>IFERROR(IF([1]对账明细接口!$AD524=0,"",[1]对账明细接口!$AD524),"")</f>
      </c>
      <c r="AI524" s="7">
        <f>IFERROR(IF([1]对账明细接口!$AE524=0,"",[1]对账明细接口!$AE524),"")</f>
      </c>
      <c r="AJ524" s="7">
        <f>IFERROR(IF([1]对账明细接口!$AF524=0,"",[1]对账明细接口!$AF524),"")</f>
      </c>
    </row>
    <row r="525" ht="14.25" customHeight="1" s="127">
      <c r="A525" s="14" t="n">
        <v>525</v>
      </c>
      <c r="B525" s="211">
        <f>IFERROR(IF([1]对账明细接口!$B$525=0,"",[1]对账明细接口!$B$525),"")</f>
        <v>46281.0</v>
      </c>
      <c r="C525" s="16" t="str">
        <f>IFERROR(IF([1]对账明细接口!$C$525=0,"",[1]对账明细接口!$C$525),"")</f>
        <v>麦麦提</v>
      </c>
      <c r="D525" s="16" t="str">
        <f>IFERROR(IF([1]对账明细接口!$D$525=0,"",[1]对账明细接口!$D$525),"")</f>
        <v>原料出库－出库加工</v>
      </c>
      <c r="E525" s="16" t="str">
        <f>IFERROR(IF([1]对账明细接口!$E$525=0,"",[1]对账明细接口!$E$525),"")</f>
        <v>NO:0001151</v>
      </c>
      <c r="F525" s="16" t="str">
        <f>IFERROR(IF([1]对账明细接口!$F$525=0,"",[1]对账明细接口!$F$525),"")</f>
        <v>香梨</v>
      </c>
      <c r="G525" s="16" t="str">
        <f>IFERROR(IF([1]对账明细接口!$G$525=0,"",[1]对账明细接口!$G$525),"")</f>
        <v>香梨一级</v>
      </c>
      <c r="H525" s="176">
        <f>IFERROR(IF([1]对账明细接口!$H$525=0,"",[1]对账明细接口!$H$525),"")</f>
        <v>280</v>
      </c>
      <c r="I525" s="16" t="str">
        <f>IFERROR(IF([1]对账明细接口!$I$525=0,"",[1]对账明细接口!$I$525),"")</f>
        <v>筐</v>
      </c>
      <c r="J525" s="177">
        <f>IFERROR(IF([1]对账明细接口!$J$525=0,"",[1]对账明细接口!$J$525),"")</f>
      </c>
      <c r="K525" s="177">
        <f>IFERROR(IF([1]对账明细接口!$K$525=0,"",[1]对账明细接口!$K$525),"")</f>
      </c>
      <c r="L525" s="16">
        <f>IFERROR(IF([1]对账明细接口!$L$525=0,"",[1]对账明细接口!$L$525),"")</f>
      </c>
      <c r="M525" s="16">
        <f>IFERROR(IF([1]对账明细接口!$M$525=0,"",[1]对账明细接口!$M$525),"")</f>
      </c>
      <c r="N525" s="19">
        <f>IF($C525="",0,1)</f>
        <v>1</v>
      </c>
      <c r="O525" s="19">
        <f>N(O524)+$N525</f>
        <v>522</v>
      </c>
      <c r="S525" s="20">
        <f>IFERROR(IF([1]对账明细接口!$N525=0,"",[1]对账明细接口!$N525),"")</f>
      </c>
      <c r="T525" s="212">
        <f>IFERROR(IF([1]对账明细接口!$O525=0,"",[1]对账明细接口!$O525),"")</f>
      </c>
      <c r="U525" s="212">
        <f>IFERROR(IF([1]对账明细接口!$P525=0,"",[1]对账明细接口!$P525),"")</f>
      </c>
      <c r="V525" s="212">
        <f>IFERROR(IF([1]对账明细接口!$Q525=0,"",[1]对账明细接口!$Q525),"")</f>
      </c>
      <c r="W525" s="20">
        <f>IFERROR(IF([1]对账明细接口!$R525=0,"",[1]对账明细接口!$R525),"")</f>
      </c>
      <c r="X525" s="20">
        <f>IFERROR(IF([1]对账明细接口!$S525=0,"",[1]对账明细接口!$S525),"")</f>
      </c>
      <c r="Y525" s="20">
        <f>IFERROR(IF([1]对账明细接口!$T525=0,"",[1]对账明细接口!$T525),"")</f>
      </c>
      <c r="Z525" s="213">
        <f>IFERROR(IF([1]对账明细接口!$U525=0,"",[1]对账明细接口!$U525),"")</f>
      </c>
      <c r="AA525" s="213">
        <f>IFERROR(IF([1]对账明细接口!$V525=0,"",[1]对账明细接口!$V525),"")</f>
      </c>
      <c r="AB525" s="20">
        <f>IFERROR(IF([1]对账明细接口!$W525=0,"",[1]对账明细接口!$W525),"")</f>
      </c>
      <c r="AC525" s="7">
        <f>IFERROR(IF([1]对账明细接口!$X525=0,"",[1]对账明细接口!$X525),"")</f>
      </c>
      <c r="AD525" s="7">
        <f>IFERROR(IF([1]对账明细接口!$Y525=0,"",[1]对账明细接口!$Y525),"")</f>
      </c>
      <c r="AE525" s="7">
        <f>IFERROR(IF([1]对账明细接口!$AA525=0,"",[1]对账明细接口!$AA525),"")</f>
      </c>
      <c r="AF525" s="7">
        <f>IFERROR(IF([1]对账明细接口!$AB525=0,"",[1]对账明细接口!$AB525),"")</f>
      </c>
      <c r="AG525" s="7">
        <f>IFERROR(IF([1]对账明细接口!$AC525=0,"",[1]对账明细接口!$AC525),"")</f>
      </c>
      <c r="AH525" s="7">
        <f>IFERROR(IF([1]对账明细接口!$AD525=0,"",[1]对账明细接口!$AD525),"")</f>
      </c>
      <c r="AI525" s="7">
        <f>IFERROR(IF([1]对账明细接口!$AE525=0,"",[1]对账明细接口!$AE525),"")</f>
      </c>
      <c r="AJ525" s="7">
        <f>IFERROR(IF([1]对账明细接口!$AF525=0,"",[1]对账明细接口!$AF525),"")</f>
      </c>
    </row>
    <row r="526" ht="14.25" customHeight="1" s="127">
      <c r="A526" s="14" t="n">
        <v>526</v>
      </c>
      <c r="B526" s="211">
        <f>IFERROR(IF([1]对账明细接口!$B$526=0,"",[1]对账明细接口!$B$526),"")</f>
        <v>46281.0</v>
      </c>
      <c r="C526" s="16" t="str">
        <f>IFERROR(IF([1]对账明细接口!$C$526=0,"",[1]对账明细接口!$C$526),"")</f>
        <v>王浩</v>
      </c>
      <c r="D526" s="16" t="str">
        <f>IFERROR(IF([1]对账明细接口!$D$526=0,"",[1]对账明细接口!$D$526),"")</f>
        <v>原料出库－公司购买</v>
      </c>
      <c r="E526" s="16" t="str">
        <f>IFERROR(IF([1]对账明细接口!$E$526=0,"",[1]对账明细接口!$E$526),"")</f>
        <v>NO:0001152</v>
      </c>
      <c r="F526" s="16" t="str">
        <f>IFERROR(IF([1]对账明细接口!$F$526=0,"",[1]对账明细接口!$F$526),"")</f>
        <v>香梨</v>
      </c>
      <c r="G526" s="16" t="str">
        <f>IFERROR(IF([1]对账明细接口!$G$526=0,"",[1]对账明细接口!$G$526),"")</f>
        <v>香梨一级</v>
      </c>
      <c r="H526" s="176">
        <f>IFERROR(IF([1]对账明细接口!$H$526=0,"",[1]对账明细接口!$H$526),"")</f>
        <v>2</v>
      </c>
      <c r="I526" s="16" t="str">
        <f>IFERROR(IF([1]对账明细接口!$I$526=0,"",[1]对账明细接口!$I$526),"")</f>
        <v>筐</v>
      </c>
      <c r="J526" s="177">
        <f>IFERROR(IF([1]对账明细接口!$J$526=0,"",[1]对账明细接口!$J$526),"")</f>
      </c>
      <c r="K526" s="177">
        <f>IFERROR(IF([1]对账明细接口!$K$526=0,"",[1]对账明细接口!$K$526),"")</f>
      </c>
      <c r="L526" s="16">
        <f>IFERROR(IF([1]对账明细接口!$L$526=0,"",[1]对账明细接口!$L$526),"")</f>
      </c>
      <c r="M526" s="16">
        <f>IFERROR(IF([1]对账明细接口!$M$526=0,"",[1]对账明细接口!$M$526),"")</f>
      </c>
      <c r="N526" s="19">
        <f>IF($C526="",0,1)</f>
        <v>1</v>
      </c>
      <c r="O526" s="19">
        <f>N(O525)+$N526</f>
        <v>523</v>
      </c>
      <c r="S526" s="20">
        <f>IFERROR(IF([1]对账明细接口!$N526=0,"",[1]对账明细接口!$N526),"")</f>
      </c>
      <c r="T526" s="212">
        <f>IFERROR(IF([1]对账明细接口!$O526=0,"",[1]对账明细接口!$O526),"")</f>
      </c>
      <c r="U526" s="212">
        <f>IFERROR(IF([1]对账明细接口!$P526=0,"",[1]对账明细接口!$P526),"")</f>
      </c>
      <c r="V526" s="212">
        <f>IFERROR(IF([1]对账明细接口!$Q526=0,"",[1]对账明细接口!$Q526),"")</f>
      </c>
      <c r="W526" s="20">
        <f>IFERROR(IF([1]对账明细接口!$R526=0,"",[1]对账明细接口!$R526),"")</f>
      </c>
      <c r="X526" s="20">
        <f>IFERROR(IF([1]对账明细接口!$S526=0,"",[1]对账明细接口!$S526),"")</f>
      </c>
      <c r="Y526" s="20">
        <f>IFERROR(IF([1]对账明细接口!$T526=0,"",[1]对账明细接口!$T526),"")</f>
      </c>
      <c r="Z526" s="213">
        <f>IFERROR(IF([1]对账明细接口!$U526=0,"",[1]对账明细接口!$U526),"")</f>
      </c>
      <c r="AA526" s="213">
        <f>IFERROR(IF([1]对账明细接口!$V526=0,"",[1]对账明细接口!$V526),"")</f>
      </c>
      <c r="AB526" s="20">
        <f>IFERROR(IF([1]对账明细接口!$W526=0,"",[1]对账明细接口!$W526),"")</f>
      </c>
      <c r="AC526" s="7">
        <f>IFERROR(IF([1]对账明细接口!$X526=0,"",[1]对账明细接口!$X526),"")</f>
      </c>
      <c r="AD526" s="7">
        <f>IFERROR(IF([1]对账明细接口!$Y526=0,"",[1]对账明细接口!$Y526),"")</f>
      </c>
      <c r="AE526" s="7">
        <f>IFERROR(IF([1]对账明细接口!$AA526=0,"",[1]对账明细接口!$AA526),"")</f>
      </c>
      <c r="AF526" s="7">
        <f>IFERROR(IF([1]对账明细接口!$AB526=0,"",[1]对账明细接口!$AB526),"")</f>
      </c>
      <c r="AG526" s="7">
        <f>IFERROR(IF([1]对账明细接口!$AC526=0,"",[1]对账明细接口!$AC526),"")</f>
      </c>
      <c r="AH526" s="7">
        <f>IFERROR(IF([1]对账明细接口!$AD526=0,"",[1]对账明细接口!$AD526),"")</f>
      </c>
      <c r="AI526" s="7">
        <f>IFERROR(IF([1]对账明细接口!$AE526=0,"",[1]对账明细接口!$AE526),"")</f>
      </c>
      <c r="AJ526" s="7">
        <f>IFERROR(IF([1]对账明细接口!$AF526=0,"",[1]对账明细接口!$AF526),"")</f>
      </c>
    </row>
    <row r="527" ht="14.25" customHeight="1" s="127">
      <c r="A527" s="14" t="n">
        <v>527</v>
      </c>
      <c r="B527" s="211">
        <f>IFERROR(IF([1]对账明细接口!$B$527=0,"",[1]对账明细接口!$B$527),"")</f>
        <v>46282.0</v>
      </c>
      <c r="C527" s="16" t="str">
        <f>IFERROR(IF([1]对账明细接口!$C$527=0,"",[1]对账明细接口!$C$527),"")</f>
        <v>麦麦提</v>
      </c>
      <c r="D527" s="16" t="str">
        <f>IFERROR(IF([1]对账明细接口!$D$527=0,"",[1]对账明细接口!$D$527),"")</f>
        <v>原料出库－出库加工</v>
      </c>
      <c r="E527" s="16" t="str">
        <f>IFERROR(IF([1]对账明细接口!$E$527=0,"",[1]对账明细接口!$E$527),"")</f>
        <v>NO:0001158</v>
      </c>
      <c r="F527" s="16" t="str">
        <f>IFERROR(IF([1]对账明细接口!$F$527=0,"",[1]对账明细接口!$F$527),"")</f>
        <v>香梨</v>
      </c>
      <c r="G527" s="16" t="str">
        <f>IFERROR(IF([1]对账明细接口!$G$527=0,"",[1]对账明细接口!$G$527),"")</f>
        <v>香梨一级</v>
      </c>
      <c r="H527" s="176">
        <f>IFERROR(IF([1]对账明细接口!$H$527=0,"",[1]对账明细接口!$H$527),"")</f>
        <v>168</v>
      </c>
      <c r="I527" s="16" t="str">
        <f>IFERROR(IF([1]对账明细接口!$I$527=0,"",[1]对账明细接口!$I$527),"")</f>
        <v>筐</v>
      </c>
      <c r="J527" s="177">
        <f>IFERROR(IF([1]对账明细接口!$J$527=0,"",[1]对账明细接口!$J$527),"")</f>
      </c>
      <c r="K527" s="177">
        <f>IFERROR(IF([1]对账明细接口!$K$527=0,"",[1]对账明细接口!$K$527),"")</f>
      </c>
      <c r="L527" s="16">
        <f>IFERROR(IF([1]对账明细接口!$L$527=0,"",[1]对账明细接口!$L$527),"")</f>
      </c>
      <c r="M527" s="16">
        <f>IFERROR(IF([1]对账明细接口!$M$527=0,"",[1]对账明细接口!$M$527),"")</f>
      </c>
      <c r="N527" s="19">
        <f>IF($C527="",0,1)</f>
        <v>1</v>
      </c>
      <c r="O527" s="19">
        <f>N(O526)+$N527</f>
        <v>524</v>
      </c>
      <c r="S527" s="20">
        <f>IFERROR(IF([1]对账明细接口!$N527=0,"",[1]对账明细接口!$N527),"")</f>
      </c>
      <c r="T527" s="212">
        <f>IFERROR(IF([1]对账明细接口!$O527=0,"",[1]对账明细接口!$O527),"")</f>
      </c>
      <c r="U527" s="212">
        <f>IFERROR(IF([1]对账明细接口!$P527=0,"",[1]对账明细接口!$P527),"")</f>
      </c>
      <c r="V527" s="212">
        <f>IFERROR(IF([1]对账明细接口!$Q527=0,"",[1]对账明细接口!$Q527),"")</f>
      </c>
      <c r="W527" s="20">
        <f>IFERROR(IF([1]对账明细接口!$R527=0,"",[1]对账明细接口!$R527),"")</f>
      </c>
      <c r="X527" s="20">
        <f>IFERROR(IF([1]对账明细接口!$S527=0,"",[1]对账明细接口!$S527),"")</f>
      </c>
      <c r="Y527" s="20">
        <f>IFERROR(IF([1]对账明细接口!$T527=0,"",[1]对账明细接口!$T527),"")</f>
      </c>
      <c r="Z527" s="213">
        <f>IFERROR(IF([1]对账明细接口!$U527=0,"",[1]对账明细接口!$U527),"")</f>
      </c>
      <c r="AA527" s="213">
        <f>IFERROR(IF([1]对账明细接口!$V527=0,"",[1]对账明细接口!$V527),"")</f>
      </c>
      <c r="AB527" s="20">
        <f>IFERROR(IF([1]对账明细接口!$W527=0,"",[1]对账明细接口!$W527),"")</f>
      </c>
      <c r="AC527" s="7">
        <f>IFERROR(IF([1]对账明细接口!$X527=0,"",[1]对账明细接口!$X527),"")</f>
      </c>
      <c r="AD527" s="7">
        <f>IFERROR(IF([1]对账明细接口!$Y527=0,"",[1]对账明细接口!$Y527),"")</f>
      </c>
      <c r="AE527" s="7">
        <f>IFERROR(IF([1]对账明细接口!$AA527=0,"",[1]对账明细接口!$AA527),"")</f>
      </c>
      <c r="AF527" s="7">
        <f>IFERROR(IF([1]对账明细接口!$AB527=0,"",[1]对账明细接口!$AB527),"")</f>
      </c>
      <c r="AG527" s="7">
        <f>IFERROR(IF([1]对账明细接口!$AC527=0,"",[1]对账明细接口!$AC527),"")</f>
      </c>
      <c r="AH527" s="7">
        <f>IFERROR(IF([1]对账明细接口!$AD527=0,"",[1]对账明细接口!$AD527),"")</f>
      </c>
      <c r="AI527" s="7">
        <f>IFERROR(IF([1]对账明细接口!$AE527=0,"",[1]对账明细接口!$AE527),"")</f>
      </c>
      <c r="AJ527" s="7">
        <f>IFERROR(IF([1]对账明细接口!$AF527=0,"",[1]对账明细接口!$AF527),"")</f>
      </c>
    </row>
    <row r="528" ht="14.25" customHeight="1" s="127">
      <c r="A528" s="14" t="n">
        <v>528</v>
      </c>
      <c r="B528" s="211">
        <f>IFERROR(IF([1]对账明细接口!$B$528=0,"",[1]对账明细接口!$B$528),"")</f>
        <v>46282.0</v>
      </c>
      <c r="C528" s="16" t="str">
        <f>IFERROR(IF([1]对账明细接口!$C$528=0,"",[1]对账明细接口!$C$528),"")</f>
        <v>王照雪</v>
      </c>
      <c r="D528" s="16" t="str">
        <f>IFERROR(IF([1]对账明细接口!$D$528=0,"",[1]对账明细接口!$D$528),"")</f>
        <v>原料出库－出库加工</v>
      </c>
      <c r="E528" s="16" t="str">
        <f>IFERROR(IF([1]对账明细接口!$E$528=0,"",[1]对账明细接口!$E$528),"")</f>
        <v>NO:0001159</v>
      </c>
      <c r="F528" s="16" t="str">
        <f>IFERROR(IF([1]对账明细接口!$F$528=0,"",[1]对账明细接口!$F$528),"")</f>
        <v>苹果</v>
      </c>
      <c r="G528" s="16" t="str">
        <f>IFERROR(IF([1]对账明细接口!$G$528=0,"",[1]对账明细接口!$G$528),"")</f>
        <v>新世纪一级</v>
      </c>
      <c r="H528" s="176">
        <f>IFERROR(IF([1]对账明细接口!$H$528=0,"",[1]对账明细接口!$H$528),"")</f>
        <v>48</v>
      </c>
      <c r="I528" s="16" t="str">
        <f>IFERROR(IF([1]对账明细接口!$I$528=0,"",[1]对账明细接口!$I$528),"")</f>
        <v>筐</v>
      </c>
      <c r="J528" s="177">
        <f>IFERROR(IF([1]对账明细接口!$J$528=0,"",[1]对账明细接口!$J$528),"")</f>
      </c>
      <c r="K528" s="177">
        <f>IFERROR(IF([1]对账明细接口!$K$528=0,"",[1]对账明细接口!$K$528),"")</f>
      </c>
      <c r="L528" s="16">
        <f>IFERROR(IF([1]对账明细接口!$L$528=0,"",[1]对账明细接口!$L$528),"")</f>
      </c>
      <c r="M528" s="16" t="str">
        <f>IFERROR(IF([1]对账明细接口!$M$528=0,"",[1]对账明细接口!$M$528),"")</f>
        <v>套袋</v>
      </c>
      <c r="N528" s="19">
        <f>IF($C528="",0,1)</f>
        <v>1</v>
      </c>
      <c r="O528" s="19">
        <f>N(O527)+$N528</f>
        <v>525</v>
      </c>
      <c r="S528" s="20">
        <f>IFERROR(IF([1]对账明细接口!$N528=0,"",[1]对账明细接口!$N528),"")</f>
      </c>
      <c r="T528" s="212">
        <f>IFERROR(IF([1]对账明细接口!$O528=0,"",[1]对账明细接口!$O528),"")</f>
      </c>
      <c r="U528" s="212">
        <f>IFERROR(IF([1]对账明细接口!$P528=0,"",[1]对账明细接口!$P528),"")</f>
      </c>
      <c r="V528" s="212">
        <f>IFERROR(IF([1]对账明细接口!$Q528=0,"",[1]对账明细接口!$Q528),"")</f>
      </c>
      <c r="W528" s="20">
        <f>IFERROR(IF([1]对账明细接口!$R528=0,"",[1]对账明细接口!$R528),"")</f>
      </c>
      <c r="X528" s="20">
        <f>IFERROR(IF([1]对账明细接口!$S528=0,"",[1]对账明细接口!$S528),"")</f>
      </c>
      <c r="Y528" s="20">
        <f>IFERROR(IF([1]对账明细接口!$T528=0,"",[1]对账明细接口!$T528),"")</f>
      </c>
      <c r="Z528" s="213">
        <f>IFERROR(IF([1]对账明细接口!$U528=0,"",[1]对账明细接口!$U528),"")</f>
      </c>
      <c r="AA528" s="213">
        <f>IFERROR(IF([1]对账明细接口!$V528=0,"",[1]对账明细接口!$V528),"")</f>
      </c>
      <c r="AB528" s="20">
        <f>IFERROR(IF([1]对账明细接口!$W528=0,"",[1]对账明细接口!$W528),"")</f>
      </c>
      <c r="AC528" s="7">
        <f>IFERROR(IF([1]对账明细接口!$X528=0,"",[1]对账明细接口!$X528),"")</f>
      </c>
      <c r="AD528" s="7">
        <f>IFERROR(IF([1]对账明细接口!$Y528=0,"",[1]对账明细接口!$Y528),"")</f>
      </c>
      <c r="AE528" s="7">
        <f>IFERROR(IF([1]对账明细接口!$AA528=0,"",[1]对账明细接口!$AA528),"")</f>
      </c>
      <c r="AF528" s="7">
        <f>IFERROR(IF([1]对账明细接口!$AB528=0,"",[1]对账明细接口!$AB528),"")</f>
      </c>
      <c r="AG528" s="7">
        <f>IFERROR(IF([1]对账明细接口!$AC528=0,"",[1]对账明细接口!$AC528),"")</f>
      </c>
      <c r="AH528" s="7">
        <f>IFERROR(IF([1]对账明细接口!$AD528=0,"",[1]对账明细接口!$AD528),"")</f>
      </c>
      <c r="AI528" s="7">
        <f>IFERROR(IF([1]对账明细接口!$AE528=0,"",[1]对账明细接口!$AE528),"")</f>
      </c>
      <c r="AJ528" s="7">
        <f>IFERROR(IF([1]对账明细接口!$AF528=0,"",[1]对账明细接口!$AF528),"")</f>
      </c>
    </row>
    <row r="529" ht="14.25" customHeight="1" s="127">
      <c r="A529" s="14" t="n">
        <v>529</v>
      </c>
      <c r="B529" s="211">
        <f>IFERROR(IF([1]对账明细接口!$B$529=0,"",[1]对账明细接口!$B$529),"")</f>
        <v>46282.0</v>
      </c>
      <c r="C529" s="16" t="str">
        <f>IFERROR(IF([1]对账明细接口!$C$529=0,"",[1]对账明细接口!$C$529),"")</f>
        <v>王照雪</v>
      </c>
      <c r="D529" s="16" t="str">
        <f>IFERROR(IF([1]对账明细接口!$D$529=0,"",[1]对账明细接口!$D$529),"")</f>
        <v>原料出库－出库加工</v>
      </c>
      <c r="E529" s="16" t="str">
        <f>IFERROR(IF([1]对账明细接口!$E$529=0,"",[1]对账明细接口!$E$529),"")</f>
        <v>NO:0001159</v>
      </c>
      <c r="F529" s="16" t="str">
        <f>IFERROR(IF([1]对账明细接口!$F$529=0,"",[1]对账明细接口!$F$529),"")</f>
        <v>苹果</v>
      </c>
      <c r="G529" s="16" t="str">
        <f>IFERROR(IF([1]对账明细接口!$G$529=0,"",[1]对账明细接口!$G$529),"")</f>
        <v>新世纪一级</v>
      </c>
      <c r="H529" s="176">
        <f>IFERROR(IF([1]对账明细接口!$H$529=0,"",[1]对账明细接口!$H$529),"")</f>
        <v>52</v>
      </c>
      <c r="I529" s="16" t="str">
        <f>IFERROR(IF([1]对账明细接口!$I$529=0,"",[1]对账明细接口!$I$529),"")</f>
        <v>筐</v>
      </c>
      <c r="J529" s="177">
        <f>IFERROR(IF([1]对账明细接口!$J$529=0,"",[1]对账明细接口!$J$529),"")</f>
      </c>
      <c r="K529" s="177">
        <f>IFERROR(IF([1]对账明细接口!$K$529=0,"",[1]对账明细接口!$K$529),"")</f>
      </c>
      <c r="L529" s="16">
        <f>IFERROR(IF([1]对账明细接口!$L$529=0,"",[1]对账明细接口!$L$529),"")</f>
      </c>
      <c r="M529" s="16" t="str">
        <f>IFERROR(IF([1]对账明细接口!$M$529=0,"",[1]对账明细接口!$M$529),"")</f>
        <v>光果</v>
      </c>
      <c r="N529" s="19">
        <f>IF($C529="",0,1)</f>
        <v>1</v>
      </c>
      <c r="O529" s="19">
        <f>N(O528)+$N529</f>
        <v>526</v>
      </c>
      <c r="S529" s="20">
        <f>IFERROR(IF([1]对账明细接口!$N529=0,"",[1]对账明细接口!$N529),"")</f>
      </c>
      <c r="T529" s="212">
        <f>IFERROR(IF([1]对账明细接口!$O529=0,"",[1]对账明细接口!$O529),"")</f>
      </c>
      <c r="U529" s="212">
        <f>IFERROR(IF([1]对账明细接口!$P529=0,"",[1]对账明细接口!$P529),"")</f>
      </c>
      <c r="V529" s="212">
        <f>IFERROR(IF([1]对账明细接口!$Q529=0,"",[1]对账明细接口!$Q529),"")</f>
      </c>
      <c r="W529" s="20">
        <f>IFERROR(IF([1]对账明细接口!$R529=0,"",[1]对账明细接口!$R529),"")</f>
      </c>
      <c r="X529" s="20">
        <f>IFERROR(IF([1]对账明细接口!$S529=0,"",[1]对账明细接口!$S529),"")</f>
      </c>
      <c r="Y529" s="20">
        <f>IFERROR(IF([1]对账明细接口!$T529=0,"",[1]对账明细接口!$T529),"")</f>
      </c>
      <c r="Z529" s="213">
        <f>IFERROR(IF([1]对账明细接口!$U529=0,"",[1]对账明细接口!$U529),"")</f>
      </c>
      <c r="AA529" s="213">
        <f>IFERROR(IF([1]对账明细接口!$V529=0,"",[1]对账明细接口!$V529),"")</f>
      </c>
      <c r="AB529" s="20">
        <f>IFERROR(IF([1]对账明细接口!$W529=0,"",[1]对账明细接口!$W529),"")</f>
      </c>
      <c r="AC529" s="7">
        <f>IFERROR(IF([1]对账明细接口!$X529=0,"",[1]对账明细接口!$X529),"")</f>
      </c>
      <c r="AD529" s="7">
        <f>IFERROR(IF([1]对账明细接口!$Y529=0,"",[1]对账明细接口!$Y529),"")</f>
      </c>
      <c r="AE529" s="7">
        <f>IFERROR(IF([1]对账明细接口!$AA529=0,"",[1]对账明细接口!$AA529),"")</f>
      </c>
      <c r="AF529" s="7">
        <f>IFERROR(IF([1]对账明细接口!$AB529=0,"",[1]对账明细接口!$AB529),"")</f>
      </c>
      <c r="AG529" s="7">
        <f>IFERROR(IF([1]对账明细接口!$AC529=0,"",[1]对账明细接口!$AC529),"")</f>
      </c>
      <c r="AH529" s="7">
        <f>IFERROR(IF([1]对账明细接口!$AD529=0,"",[1]对账明细接口!$AD529),"")</f>
      </c>
      <c r="AI529" s="7">
        <f>IFERROR(IF([1]对账明细接口!$AE529=0,"",[1]对账明细接口!$AE529),"")</f>
      </c>
      <c r="AJ529" s="7">
        <f>IFERROR(IF([1]对账明细接口!$AF529=0,"",[1]对账明细接口!$AF529),"")</f>
      </c>
    </row>
    <row r="530" ht="14.25" customHeight="1" s="127">
      <c r="A530" s="14" t="n">
        <v>530</v>
      </c>
      <c r="B530" s="211">
        <f>IFERROR(IF([1]对账明细接口!$B$530=0,"",[1]对账明细接口!$B$530),"")</f>
        <v>46282.0</v>
      </c>
      <c r="C530" s="16" t="str">
        <f>IFERROR(IF([1]对账明细接口!$C$530=0,"",[1]对账明细接口!$C$530),"")</f>
        <v>王照雪</v>
      </c>
      <c r="D530" s="16" t="str">
        <f>IFERROR(IF([1]对账明细接口!$D$530=0,"",[1]对账明细接口!$D$530),"")</f>
        <v>原料出库－出库加工</v>
      </c>
      <c r="E530" s="16" t="str">
        <f>IFERROR(IF([1]对账明细接口!$E$530=0,"",[1]对账明细接口!$E$530),"")</f>
        <v>NO:0001159</v>
      </c>
      <c r="F530" s="16" t="str">
        <f>IFERROR(IF([1]对账明细接口!$F$530=0,"",[1]对账明细接口!$F$530),"")</f>
        <v>苹果</v>
      </c>
      <c r="G530" s="16" t="str">
        <f>IFERROR(IF([1]对账明细接口!$G$530=0,"",[1]对账明细接口!$G$530),"")</f>
        <v>新世纪二级</v>
      </c>
      <c r="H530" s="176">
        <f>IFERROR(IF([1]对账明细接口!$H$530=0,"",[1]对账明细接口!$H$530),"")</f>
        <v>104</v>
      </c>
      <c r="I530" s="16" t="str">
        <f>IFERROR(IF([1]对账明细接口!$I$530=0,"",[1]对账明细接口!$I$530),"")</f>
        <v>筐</v>
      </c>
      <c r="J530" s="177">
        <f>IFERROR(IF([1]对账明细接口!$J$530=0,"",[1]对账明细接口!$J$530),"")</f>
      </c>
      <c r="K530" s="177">
        <f>IFERROR(IF([1]对账明细接口!$K$530=0,"",[1]对账明细接口!$K$530),"")</f>
      </c>
      <c r="L530" s="16">
        <f>IFERROR(IF([1]对账明细接口!$L$530=0,"",[1]对账明细接口!$L$530),"")</f>
      </c>
      <c r="M530" s="16" t="str">
        <f>IFERROR(IF([1]对账明细接口!$M$530=0,"",[1]对账明细接口!$M$530),"")</f>
        <v>光果</v>
      </c>
      <c r="N530" s="19">
        <f>IF($C530="",0,1)</f>
        <v>1</v>
      </c>
      <c r="O530" s="19">
        <f>N(O529)+$N530</f>
        <v>527</v>
      </c>
      <c r="S530" s="20">
        <f>IFERROR(IF([1]对账明细接口!$N530=0,"",[1]对账明细接口!$N530),"")</f>
      </c>
      <c r="T530" s="212">
        <f>IFERROR(IF([1]对账明细接口!$O530=0,"",[1]对账明细接口!$O530),"")</f>
      </c>
      <c r="U530" s="212">
        <f>IFERROR(IF([1]对账明细接口!$P530=0,"",[1]对账明细接口!$P530),"")</f>
      </c>
      <c r="V530" s="212">
        <f>IFERROR(IF([1]对账明细接口!$Q530=0,"",[1]对账明细接口!$Q530),"")</f>
      </c>
      <c r="W530" s="20">
        <f>IFERROR(IF([1]对账明细接口!$R530=0,"",[1]对账明细接口!$R530),"")</f>
      </c>
      <c r="X530" s="20">
        <f>IFERROR(IF([1]对账明细接口!$S530=0,"",[1]对账明细接口!$S530),"")</f>
      </c>
      <c r="Y530" s="20">
        <f>IFERROR(IF([1]对账明细接口!$T530=0,"",[1]对账明细接口!$T530),"")</f>
      </c>
      <c r="Z530" s="213">
        <f>IFERROR(IF([1]对账明细接口!$U530=0,"",[1]对账明细接口!$U530),"")</f>
      </c>
      <c r="AA530" s="213">
        <f>IFERROR(IF([1]对账明细接口!$V530=0,"",[1]对账明细接口!$V530),"")</f>
      </c>
      <c r="AB530" s="20">
        <f>IFERROR(IF([1]对账明细接口!$W530=0,"",[1]对账明细接口!$W530),"")</f>
      </c>
      <c r="AC530" s="7">
        <f>IFERROR(IF([1]对账明细接口!$X530=0,"",[1]对账明细接口!$X530),"")</f>
      </c>
      <c r="AD530" s="7">
        <f>IFERROR(IF([1]对账明细接口!$Y530=0,"",[1]对账明细接口!$Y530),"")</f>
      </c>
      <c r="AE530" s="7">
        <f>IFERROR(IF([1]对账明细接口!$AA530=0,"",[1]对账明细接口!$AA530),"")</f>
      </c>
      <c r="AF530" s="7">
        <f>IFERROR(IF([1]对账明细接口!$AB530=0,"",[1]对账明细接口!$AB530),"")</f>
      </c>
      <c r="AG530" s="7">
        <f>IFERROR(IF([1]对账明细接口!$AC530=0,"",[1]对账明细接口!$AC530),"")</f>
      </c>
      <c r="AH530" s="7">
        <f>IFERROR(IF([1]对账明细接口!$AD530=0,"",[1]对账明细接口!$AD530),"")</f>
      </c>
      <c r="AI530" s="7">
        <f>IFERROR(IF([1]对账明细接口!$AE530=0,"",[1]对账明细接口!$AE530),"")</f>
      </c>
      <c r="AJ530" s="7">
        <f>IFERROR(IF([1]对账明细接口!$AF530=0,"",[1]对账明细接口!$AF530),"")</f>
      </c>
    </row>
    <row r="531" ht="14.25" customHeight="1" s="127">
      <c r="A531" s="14" t="n">
        <v>531</v>
      </c>
      <c r="B531" s="211">
        <f>IFERROR(IF([1]对账明细接口!$B$531=0,"",[1]对账明细接口!$B$531),"")</f>
        <v>46282.0</v>
      </c>
      <c r="C531" s="16" t="str">
        <f>IFERROR(IF([1]对账明细接口!$C$531=0,"",[1]对账明细接口!$C$531),"")</f>
        <v>王照雪</v>
      </c>
      <c r="D531" s="16" t="str">
        <f>IFERROR(IF([1]对账明细接口!$D$531=0,"",[1]对账明细接口!$D$531),"")</f>
        <v>原料出库－出库加工</v>
      </c>
      <c r="E531" s="16" t="str">
        <f>IFERROR(IF([1]对账明细接口!$E$531=0,"",[1]对账明细接口!$E$531),"")</f>
        <v>NO:0001161</v>
      </c>
      <c r="F531" s="16" t="str">
        <f>IFERROR(IF([1]对账明细接口!$F$531=0,"",[1]对账明细接口!$F$531),"")</f>
        <v>香梨</v>
      </c>
      <c r="G531" s="16" t="str">
        <f>IFERROR(IF([1]对账明细接口!$G$531=0,"",[1]对账明细接口!$G$531),"")</f>
        <v>香梨一级</v>
      </c>
      <c r="H531" s="176">
        <f>IFERROR(IF([1]对账明细接口!$H$531=0,"",[1]对账明细接口!$H$531),"")</f>
        <v>9</v>
      </c>
      <c r="I531" s="16" t="str">
        <f>IFERROR(IF([1]对账明细接口!$I$531=0,"",[1]对账明细接口!$I$531),"")</f>
        <v>筐</v>
      </c>
      <c r="J531" s="177">
        <f>IFERROR(IF([1]对账明细接口!$J$531=0,"",[1]对账明细接口!$J$531),"")</f>
      </c>
      <c r="K531" s="177">
        <f>IFERROR(IF([1]对账明细接口!$K$531=0,"",[1]对账明细接口!$K$531),"")</f>
      </c>
      <c r="L531" s="16">
        <f>IFERROR(IF([1]对账明细接口!$L$531=0,"",[1]对账明细接口!$L$531),"")</f>
      </c>
      <c r="M531" s="16">
        <f>IFERROR(IF([1]对账明细接口!$M$531=0,"",[1]对账明细接口!$M$531),"")</f>
      </c>
      <c r="N531" s="19">
        <f>IF($C531="",0,1)</f>
        <v>1</v>
      </c>
      <c r="O531" s="19">
        <f>N(O530)+$N531</f>
        <v>528</v>
      </c>
      <c r="S531" s="20">
        <f>IFERROR(IF([1]对账明细接口!$N531=0,"",[1]对账明细接口!$N531),"")</f>
      </c>
      <c r="T531" s="212">
        <f>IFERROR(IF([1]对账明细接口!$O531=0,"",[1]对账明细接口!$O531),"")</f>
      </c>
      <c r="U531" s="212">
        <f>IFERROR(IF([1]对账明细接口!$P531=0,"",[1]对账明细接口!$P531),"")</f>
      </c>
      <c r="V531" s="212">
        <f>IFERROR(IF([1]对账明细接口!$Q531=0,"",[1]对账明细接口!$Q531),"")</f>
      </c>
      <c r="W531" s="20">
        <f>IFERROR(IF([1]对账明细接口!$R531=0,"",[1]对账明细接口!$R531),"")</f>
      </c>
      <c r="X531" s="20">
        <f>IFERROR(IF([1]对账明细接口!$S531=0,"",[1]对账明细接口!$S531),"")</f>
      </c>
      <c r="Y531" s="20">
        <f>IFERROR(IF([1]对账明细接口!$T531=0,"",[1]对账明细接口!$T531),"")</f>
      </c>
      <c r="Z531" s="213">
        <f>IFERROR(IF([1]对账明细接口!$U531=0,"",[1]对账明细接口!$U531),"")</f>
      </c>
      <c r="AA531" s="213">
        <f>IFERROR(IF([1]对账明细接口!$V531=0,"",[1]对账明细接口!$V531),"")</f>
      </c>
      <c r="AB531" s="20">
        <f>IFERROR(IF([1]对账明细接口!$W531=0,"",[1]对账明细接口!$W531),"")</f>
      </c>
      <c r="AC531" s="7">
        <f>IFERROR(IF([1]对账明细接口!$X531=0,"",[1]对账明细接口!$X531),"")</f>
      </c>
      <c r="AD531" s="7">
        <f>IFERROR(IF([1]对账明细接口!$Y531=0,"",[1]对账明细接口!$Y531),"")</f>
      </c>
      <c r="AE531" s="7">
        <f>IFERROR(IF([1]对账明细接口!$AA531=0,"",[1]对账明细接口!$AA531),"")</f>
      </c>
      <c r="AF531" s="7">
        <f>IFERROR(IF([1]对账明细接口!$AB531=0,"",[1]对账明细接口!$AB531),"")</f>
      </c>
      <c r="AG531" s="7">
        <f>IFERROR(IF([1]对账明细接口!$AC531=0,"",[1]对账明细接口!$AC531),"")</f>
      </c>
      <c r="AH531" s="7">
        <f>IFERROR(IF([1]对账明细接口!$AD531=0,"",[1]对账明细接口!$AD531),"")</f>
      </c>
      <c r="AI531" s="7">
        <f>IFERROR(IF([1]对账明细接口!$AE531=0,"",[1]对账明细接口!$AE531),"")</f>
      </c>
      <c r="AJ531" s="7">
        <f>IFERROR(IF([1]对账明细接口!$AF531=0,"",[1]对账明细接口!$AF531),"")</f>
      </c>
    </row>
    <row r="532" ht="14.25" customHeight="1" s="127">
      <c r="A532" s="14" t="n">
        <v>532</v>
      </c>
      <c r="B532" s="211">
        <f>IFERROR(IF([1]对账明细接口!$B$532=0,"",[1]对账明细接口!$B$532),"")</f>
        <v>46282.0</v>
      </c>
      <c r="C532" s="16" t="str">
        <f>IFERROR(IF([1]对账明细接口!$C$532=0,"",[1]对账明细接口!$C$532),"")</f>
        <v>王浩</v>
      </c>
      <c r="D532" s="16" t="str">
        <f>IFERROR(IF([1]对账明细接口!$D$532=0,"",[1]对账明细接口!$D$532),"")</f>
        <v>原料出库－公司购买</v>
      </c>
      <c r="E532" s="16" t="str">
        <f>IFERROR(IF([1]对账明细接口!$E$532=0,"",[1]对账明细接口!$E$532),"")</f>
        <v>NO:0001162</v>
      </c>
      <c r="F532" s="16" t="str">
        <f>IFERROR(IF([1]对账明细接口!$F$532=0,"",[1]对账明细接口!$F$532),"")</f>
        <v>香梨</v>
      </c>
      <c r="G532" s="16" t="str">
        <f>IFERROR(IF([1]对账明细接口!$G$532=0,"",[1]对账明细接口!$G$532),"")</f>
        <v>香梨一级</v>
      </c>
      <c r="H532" s="176">
        <f>IFERROR(IF([1]对账明细接口!$H$532=0,"",[1]对账明细接口!$H$532),"")</f>
        <v>2</v>
      </c>
      <c r="I532" s="16" t="str">
        <f>IFERROR(IF([1]对账明细接口!$I$532=0,"",[1]对账明细接口!$I$532),"")</f>
        <v>筐</v>
      </c>
      <c r="J532" s="177">
        <f>IFERROR(IF([1]对账明细接口!$J$532=0,"",[1]对账明细接口!$J$532),"")</f>
      </c>
      <c r="K532" s="177">
        <f>IFERROR(IF([1]对账明细接口!$K$532=0,"",[1]对账明细接口!$K$532),"")</f>
      </c>
      <c r="L532" s="16">
        <f>IFERROR(IF([1]对账明细接口!$L$532=0,"",[1]对账明细接口!$L$532),"")</f>
      </c>
      <c r="M532" s="16" t="str">
        <f>IFERROR(IF([1]对账明细接口!$M$532=0,"",[1]对账明细接口!$M$532),"")</f>
        <v>送礼-桂疆朱总(2筐)</v>
      </c>
      <c r="N532" s="19">
        <f>IF($C532="",0,1)</f>
        <v>1</v>
      </c>
      <c r="O532" s="19">
        <f>N(O531)+$N532</f>
        <v>529</v>
      </c>
      <c r="S532" s="20">
        <f>IFERROR(IF([1]对账明细接口!$N532=0,"",[1]对账明细接口!$N532),"")</f>
      </c>
      <c r="T532" s="212">
        <f>IFERROR(IF([1]对账明细接口!$O532=0,"",[1]对账明细接口!$O532),"")</f>
      </c>
      <c r="U532" s="212">
        <f>IFERROR(IF([1]对账明细接口!$P532=0,"",[1]对账明细接口!$P532),"")</f>
      </c>
      <c r="V532" s="212">
        <f>IFERROR(IF([1]对账明细接口!$Q532=0,"",[1]对账明细接口!$Q532),"")</f>
      </c>
      <c r="W532" s="20">
        <f>IFERROR(IF([1]对账明细接口!$R532=0,"",[1]对账明细接口!$R532),"")</f>
      </c>
      <c r="X532" s="20">
        <f>IFERROR(IF([1]对账明细接口!$S532=0,"",[1]对账明细接口!$S532),"")</f>
      </c>
      <c r="Y532" s="20">
        <f>IFERROR(IF([1]对账明细接口!$T532=0,"",[1]对账明细接口!$T532),"")</f>
      </c>
      <c r="Z532" s="213">
        <f>IFERROR(IF([1]对账明细接口!$U532=0,"",[1]对账明细接口!$U532),"")</f>
      </c>
      <c r="AA532" s="213">
        <f>IFERROR(IF([1]对账明细接口!$V532=0,"",[1]对账明细接口!$V532),"")</f>
      </c>
      <c r="AB532" s="20">
        <f>IFERROR(IF([1]对账明细接口!$W532=0,"",[1]对账明细接口!$W532),"")</f>
      </c>
      <c r="AC532" s="7">
        <f>IFERROR(IF([1]对账明细接口!$X532=0,"",[1]对账明细接口!$X532),"")</f>
      </c>
      <c r="AD532" s="7">
        <f>IFERROR(IF([1]对账明细接口!$Y532=0,"",[1]对账明细接口!$Y532),"")</f>
      </c>
      <c r="AE532" s="7">
        <f>IFERROR(IF([1]对账明细接口!$AA532=0,"",[1]对账明细接口!$AA532),"")</f>
      </c>
      <c r="AF532" s="7">
        <f>IFERROR(IF([1]对账明细接口!$AB532=0,"",[1]对账明细接口!$AB532),"")</f>
      </c>
      <c r="AG532" s="7">
        <f>IFERROR(IF([1]对账明细接口!$AC532=0,"",[1]对账明细接口!$AC532),"")</f>
      </c>
      <c r="AH532" s="7">
        <f>IFERROR(IF([1]对账明细接口!$AD532=0,"",[1]对账明细接口!$AD532),"")</f>
      </c>
      <c r="AI532" s="7">
        <f>IFERROR(IF([1]对账明细接口!$AE532=0,"",[1]对账明细接口!$AE532),"")</f>
      </c>
      <c r="AJ532" s="7">
        <f>IFERROR(IF([1]对账明细接口!$AF532=0,"",[1]对账明细接口!$AF532),"")</f>
      </c>
    </row>
    <row r="533" ht="14.25" customHeight="1" s="127">
      <c r="A533" s="14" t="n">
        <v>533</v>
      </c>
      <c r="B533" s="211">
        <f>IFERROR(IF([1]对账明细接口!$B$533=0,"",[1]对账明细接口!$B$533),"")</f>
        <v>46282.0</v>
      </c>
      <c r="C533" s="16" t="str">
        <f>IFERROR(IF([1]对账明细接口!$C$533=0,"",[1]对账明细接口!$C$533),"")</f>
        <v>王浩</v>
      </c>
      <c r="D533" s="16" t="str">
        <f>IFERROR(IF([1]对账明细接口!$D$533=0,"",[1]对账明细接口!$D$533),"")</f>
        <v>原料出库－公司购买</v>
      </c>
      <c r="E533" s="16" t="str">
        <f>IFERROR(IF([1]对账明细接口!$E$533=0,"",[1]对账明细接口!$E$533),"")</f>
        <v>NO:0001162</v>
      </c>
      <c r="F533" s="16" t="str">
        <f>IFERROR(IF([1]对账明细接口!$F$533=0,"",[1]对账明细接口!$F$533),"")</f>
        <v>香梨</v>
      </c>
      <c r="G533" s="16" t="str">
        <f>IFERROR(IF([1]对账明细接口!$G$533=0,"",[1]对账明细接口!$G$533),"")</f>
        <v>香梨一级</v>
      </c>
      <c r="H533" s="176">
        <f>IFERROR(IF([1]对账明细接口!$H$533=0,"",[1]对账明细接口!$H$533),"")</f>
        <v>3</v>
      </c>
      <c r="I533" s="16" t="str">
        <f>IFERROR(IF([1]对账明细接口!$I$533=0,"",[1]对账明细接口!$I$533),"")</f>
        <v>筐</v>
      </c>
      <c r="J533" s="177">
        <f>IFERROR(IF([1]对账明细接口!$J$533=0,"",[1]对账明细接口!$J$533),"")</f>
      </c>
      <c r="K533" s="177">
        <f>IFERROR(IF([1]对账明细接口!$K$533=0,"",[1]对账明细接口!$K$533),"")</f>
      </c>
      <c r="L533" s="16">
        <f>IFERROR(IF([1]对账明细接口!$L$533=0,"",[1]对账明细接口!$L$533),"")</f>
      </c>
      <c r="M533" s="16" t="str">
        <f>IFERROR(IF([1]对账明细接口!$M$533=0,"",[1]对账明细接口!$M$533),"")</f>
        <v>大汪总拿(特级成品8箱)</v>
      </c>
      <c r="N533" s="19">
        <f>IF($C533="",0,1)</f>
        <v>1</v>
      </c>
      <c r="O533" s="19">
        <f>N(O532)+$N533</f>
        <v>530</v>
      </c>
      <c r="S533" s="20">
        <f>IFERROR(IF([1]对账明细接口!$N533=0,"",[1]对账明细接口!$N533),"")</f>
      </c>
      <c r="T533" s="212">
        <f>IFERROR(IF([1]对账明细接口!$O533=0,"",[1]对账明细接口!$O533),"")</f>
      </c>
      <c r="U533" s="212">
        <f>IFERROR(IF([1]对账明细接口!$P533=0,"",[1]对账明细接口!$P533),"")</f>
      </c>
      <c r="V533" s="212">
        <f>IFERROR(IF([1]对账明细接口!$Q533=0,"",[1]对账明细接口!$Q533),"")</f>
      </c>
      <c r="W533" s="20">
        <f>IFERROR(IF([1]对账明细接口!$R533=0,"",[1]对账明细接口!$R533),"")</f>
      </c>
      <c r="X533" s="20">
        <f>IFERROR(IF([1]对账明细接口!$S533=0,"",[1]对账明细接口!$S533),"")</f>
      </c>
      <c r="Y533" s="20">
        <f>IFERROR(IF([1]对账明细接口!$T533=0,"",[1]对账明细接口!$T533),"")</f>
      </c>
      <c r="Z533" s="213">
        <f>IFERROR(IF([1]对账明细接口!$U533=0,"",[1]对账明细接口!$U533),"")</f>
      </c>
      <c r="AA533" s="213">
        <f>IFERROR(IF([1]对账明细接口!$V533=0,"",[1]对账明细接口!$V533),"")</f>
      </c>
      <c r="AB533" s="20">
        <f>IFERROR(IF([1]对账明细接口!$W533=0,"",[1]对账明细接口!$W533),"")</f>
      </c>
      <c r="AC533" s="7">
        <f>IFERROR(IF([1]对账明细接口!$X533=0,"",[1]对账明细接口!$X533),"")</f>
      </c>
      <c r="AD533" s="7">
        <f>IFERROR(IF([1]对账明细接口!$Y533=0,"",[1]对账明细接口!$Y533),"")</f>
      </c>
      <c r="AE533" s="7">
        <f>IFERROR(IF([1]对账明细接口!$AA533=0,"",[1]对账明细接口!$AA533),"")</f>
      </c>
      <c r="AF533" s="7">
        <f>IFERROR(IF([1]对账明细接口!$AB533=0,"",[1]对账明细接口!$AB533),"")</f>
      </c>
      <c r="AG533" s="7">
        <f>IFERROR(IF([1]对账明细接口!$AC533=0,"",[1]对账明细接口!$AC533),"")</f>
      </c>
      <c r="AH533" s="7">
        <f>IFERROR(IF([1]对账明细接口!$AD533=0,"",[1]对账明细接口!$AD533),"")</f>
      </c>
      <c r="AI533" s="7">
        <f>IFERROR(IF([1]对账明细接口!$AE533=0,"",[1]对账明细接口!$AE533),"")</f>
      </c>
      <c r="AJ533" s="7">
        <f>IFERROR(IF([1]对账明细接口!$AF533=0,"",[1]对账明细接口!$AF533),"")</f>
      </c>
    </row>
    <row r="534" ht="14.25" customHeight="1" s="127">
      <c r="A534" s="14" t="n">
        <v>534</v>
      </c>
      <c r="B534" s="211">
        <f>IFERROR(IF([1]对账明细接口!$B$534=0,"",[1]对账明细接口!$B$534),"")</f>
        <v>46282.0</v>
      </c>
      <c r="C534" s="16" t="str">
        <f>IFERROR(IF([1]对账明细接口!$C$534=0,"",[1]对账明细接口!$C$534),"")</f>
        <v>王照雪</v>
      </c>
      <c r="D534" s="16" t="str">
        <f>IFERROR(IF([1]对账明细接口!$D$534=0,"",[1]对账明细接口!$D$534),"")</f>
        <v>原料出库－出库加工</v>
      </c>
      <c r="E534" s="16" t="str">
        <f>IFERROR(IF([1]对账明细接口!$E$534=0,"",[1]对账明细接口!$E$534),"")</f>
        <v>NO:0001165</v>
      </c>
      <c r="F534" s="16" t="str">
        <f>IFERROR(IF([1]对账明细接口!$F$534=0,"",[1]对账明细接口!$F$534),"")</f>
        <v>苹果</v>
      </c>
      <c r="G534" s="16" t="str">
        <f>IFERROR(IF([1]对账明细接口!$G$534=0,"",[1]对账明细接口!$G$534),"")</f>
        <v>新世纪一级</v>
      </c>
      <c r="H534" s="176">
        <f>IFERROR(IF([1]对账明细接口!$H$534=0,"",[1]对账明细接口!$H$534),"")</f>
        <v>125</v>
      </c>
      <c r="I534" s="16" t="str">
        <f>IFERROR(IF([1]对账明细接口!$I$534=0,"",[1]对账明细接口!$I$534),"")</f>
        <v>筐</v>
      </c>
      <c r="J534" s="177">
        <f>IFERROR(IF([1]对账明细接口!$J$534=0,"",[1]对账明细接口!$J$534),"")</f>
      </c>
      <c r="K534" s="177">
        <f>IFERROR(IF([1]对账明细接口!$K$534=0,"",[1]对账明细接口!$K$534),"")</f>
      </c>
      <c r="L534" s="16">
        <f>IFERROR(IF([1]对账明细接口!$L$534=0,"",[1]对账明细接口!$L$534),"")</f>
      </c>
      <c r="M534" s="16">
        <f>IFERROR(IF([1]对账明细接口!$M$534=0,"",[1]对账明细接口!$M$534),"")</f>
      </c>
      <c r="N534" s="19">
        <f>IF($C534="",0,1)</f>
        <v>1</v>
      </c>
      <c r="O534" s="19">
        <f>N(O533)+$N534</f>
        <v>531</v>
      </c>
      <c r="S534" s="20">
        <f>IFERROR(IF([1]对账明细接口!$N534=0,"",[1]对账明细接口!$N534),"")</f>
      </c>
      <c r="T534" s="212">
        <f>IFERROR(IF([1]对账明细接口!$O534=0,"",[1]对账明细接口!$O534),"")</f>
      </c>
      <c r="U534" s="212">
        <f>IFERROR(IF([1]对账明细接口!$P534=0,"",[1]对账明细接口!$P534),"")</f>
      </c>
      <c r="V534" s="212">
        <f>IFERROR(IF([1]对账明细接口!$Q534=0,"",[1]对账明细接口!$Q534),"")</f>
      </c>
      <c r="W534" s="20">
        <f>IFERROR(IF([1]对账明细接口!$R534=0,"",[1]对账明细接口!$R534),"")</f>
      </c>
      <c r="X534" s="20">
        <f>IFERROR(IF([1]对账明细接口!$S534=0,"",[1]对账明细接口!$S534),"")</f>
      </c>
      <c r="Y534" s="20">
        <f>IFERROR(IF([1]对账明细接口!$T534=0,"",[1]对账明细接口!$T534),"")</f>
      </c>
      <c r="Z534" s="213">
        <f>IFERROR(IF([1]对账明细接口!$U534=0,"",[1]对账明细接口!$U534),"")</f>
      </c>
      <c r="AA534" s="213">
        <f>IFERROR(IF([1]对账明细接口!$V534=0,"",[1]对账明细接口!$V534),"")</f>
      </c>
      <c r="AB534" s="20">
        <f>IFERROR(IF([1]对账明细接口!$W534=0,"",[1]对账明细接口!$W534),"")</f>
      </c>
      <c r="AC534" s="7">
        <f>IFERROR(IF([1]对账明细接口!$X534=0,"",[1]对账明细接口!$X534),"")</f>
      </c>
      <c r="AD534" s="7">
        <f>IFERROR(IF([1]对账明细接口!$Y534=0,"",[1]对账明细接口!$Y534),"")</f>
      </c>
      <c r="AE534" s="7">
        <f>IFERROR(IF([1]对账明细接口!$AA534=0,"",[1]对账明细接口!$AA534),"")</f>
      </c>
      <c r="AF534" s="7">
        <f>IFERROR(IF([1]对账明细接口!$AB534=0,"",[1]对账明细接口!$AB534),"")</f>
      </c>
      <c r="AG534" s="7">
        <f>IFERROR(IF([1]对账明细接口!$AC534=0,"",[1]对账明细接口!$AC534),"")</f>
      </c>
      <c r="AH534" s="7">
        <f>IFERROR(IF([1]对账明细接口!$AD534=0,"",[1]对账明细接口!$AD534),"")</f>
      </c>
      <c r="AI534" s="7">
        <f>IFERROR(IF([1]对账明细接口!$AE534=0,"",[1]对账明细接口!$AE534),"")</f>
      </c>
      <c r="AJ534" s="7">
        <f>IFERROR(IF([1]对账明细接口!$AF534=0,"",[1]对账明细接口!$AF534),"")</f>
      </c>
    </row>
    <row r="535" ht="14.25" customHeight="1" s="127">
      <c r="A535" s="14" t="n">
        <v>535</v>
      </c>
      <c r="B535" s="211">
        <f>IFERROR(IF([1]对账明细接口!$B$535=0,"",[1]对账明细接口!$B$535),"")</f>
        <v>46282.0</v>
      </c>
      <c r="C535" s="16" t="str">
        <f>IFERROR(IF([1]对账明细接口!$C$535=0,"",[1]对账明细接口!$C$535),"")</f>
        <v>王照雪</v>
      </c>
      <c r="D535" s="16" t="str">
        <f>IFERROR(IF([1]对账明细接口!$D$535=0,"",[1]对账明细接口!$D$535),"")</f>
        <v>原料出库－出库加工</v>
      </c>
      <c r="E535" s="16" t="str">
        <f>IFERROR(IF([1]对账明细接口!$E$535=0,"",[1]对账明细接口!$E$535),"")</f>
        <v>NO:0001165</v>
      </c>
      <c r="F535" s="16" t="str">
        <f>IFERROR(IF([1]对账明细接口!$F$535=0,"",[1]对账明细接口!$F$535),"")</f>
        <v>苹果</v>
      </c>
      <c r="G535" s="16" t="str">
        <f>IFERROR(IF([1]对账明细接口!$G$535=0,"",[1]对账明细接口!$G$535),"")</f>
        <v>新世纪二级</v>
      </c>
      <c r="H535" s="176">
        <f>IFERROR(IF([1]对账明细接口!$H$535=0,"",[1]对账明细接口!$H$535),"")</f>
        <v>28</v>
      </c>
      <c r="I535" s="16" t="str">
        <f>IFERROR(IF([1]对账明细接口!$I$535=0,"",[1]对账明细接口!$I$535),"")</f>
        <v>筐</v>
      </c>
      <c r="J535" s="177">
        <f>IFERROR(IF([1]对账明细接口!$J$535=0,"",[1]对账明细接口!$J$535),"")</f>
      </c>
      <c r="K535" s="177">
        <f>IFERROR(IF([1]对账明细接口!$K$535=0,"",[1]对账明细接口!$K$535),"")</f>
      </c>
      <c r="L535" s="16">
        <f>IFERROR(IF([1]对账明细接口!$L$535=0,"",[1]对账明细接口!$L$535),"")</f>
      </c>
      <c r="M535" s="16">
        <f>IFERROR(IF([1]对账明细接口!$M$535=0,"",[1]对账明细接口!$M$535),"")</f>
      </c>
      <c r="N535" s="19">
        <f>IF($C535="",0,1)</f>
        <v>1</v>
      </c>
      <c r="O535" s="19">
        <f>N(O534)+$N535</f>
        <v>532</v>
      </c>
      <c r="S535" s="20">
        <f>IFERROR(IF([1]对账明细接口!$N535=0,"",[1]对账明细接口!$N535),"")</f>
      </c>
      <c r="T535" s="212">
        <f>IFERROR(IF([1]对账明细接口!$O535=0,"",[1]对账明细接口!$O535),"")</f>
      </c>
      <c r="U535" s="212">
        <f>IFERROR(IF([1]对账明细接口!$P535=0,"",[1]对账明细接口!$P535),"")</f>
      </c>
      <c r="V535" s="212">
        <f>IFERROR(IF([1]对账明细接口!$Q535=0,"",[1]对账明细接口!$Q535),"")</f>
      </c>
      <c r="W535" s="20">
        <f>IFERROR(IF([1]对账明细接口!$R535=0,"",[1]对账明细接口!$R535),"")</f>
      </c>
      <c r="X535" s="20">
        <f>IFERROR(IF([1]对账明细接口!$S535=0,"",[1]对账明细接口!$S535),"")</f>
      </c>
      <c r="Y535" s="20">
        <f>IFERROR(IF([1]对账明细接口!$T535=0,"",[1]对账明细接口!$T535),"")</f>
      </c>
      <c r="Z535" s="213">
        <f>IFERROR(IF([1]对账明细接口!$U535=0,"",[1]对账明细接口!$U535),"")</f>
      </c>
      <c r="AA535" s="213">
        <f>IFERROR(IF([1]对账明细接口!$V535=0,"",[1]对账明细接口!$V535),"")</f>
      </c>
      <c r="AB535" s="20">
        <f>IFERROR(IF([1]对账明细接口!$W535=0,"",[1]对账明细接口!$W535),"")</f>
      </c>
      <c r="AC535" s="7">
        <f>IFERROR(IF([1]对账明细接口!$X535=0,"",[1]对账明细接口!$X535),"")</f>
      </c>
      <c r="AD535" s="7">
        <f>IFERROR(IF([1]对账明细接口!$Y535=0,"",[1]对账明细接口!$Y535),"")</f>
      </c>
      <c r="AE535" s="7">
        <f>IFERROR(IF([1]对账明细接口!$AA535=0,"",[1]对账明细接口!$AA535),"")</f>
      </c>
      <c r="AF535" s="7">
        <f>IFERROR(IF([1]对账明细接口!$AB535=0,"",[1]对账明细接口!$AB535),"")</f>
      </c>
      <c r="AG535" s="7">
        <f>IFERROR(IF([1]对账明细接口!$AC535=0,"",[1]对账明细接口!$AC535),"")</f>
      </c>
      <c r="AH535" s="7">
        <f>IFERROR(IF([1]对账明细接口!$AD535=0,"",[1]对账明细接口!$AD535),"")</f>
      </c>
      <c r="AI535" s="7">
        <f>IFERROR(IF([1]对账明细接口!$AE535=0,"",[1]对账明细接口!$AE535),"")</f>
      </c>
      <c r="AJ535" s="7">
        <f>IFERROR(IF([1]对账明细接口!$AF535=0,"",[1]对账明细接口!$AF535),"")</f>
      </c>
    </row>
    <row r="536" ht="14.25" customHeight="1" s="127">
      <c r="A536" s="14" t="n">
        <v>536</v>
      </c>
      <c r="B536" s="211">
        <f>IFERROR(IF([1]对账明细接口!$B$536=0,"",[1]对账明细接口!$B$536),"")</f>
        <v>46282.0</v>
      </c>
      <c r="C536" s="16" t="str">
        <f>IFERROR(IF([1]对账明细接口!$C$536=0,"",[1]对账明细接口!$C$536),"")</f>
        <v>王照雪</v>
      </c>
      <c r="D536" s="16" t="str">
        <f>IFERROR(IF([1]对账明细接口!$D$536=0,"",[1]对账明细接口!$D$536),"")</f>
        <v>原料出库－出库加工</v>
      </c>
      <c r="E536" s="16" t="str">
        <f>IFERROR(IF([1]对账明细接口!$E$536=0,"",[1]对账明细接口!$E$536),"")</f>
        <v>NO:0001165</v>
      </c>
      <c r="F536" s="16" t="str">
        <f>IFERROR(IF([1]对账明细接口!$F$536=0,"",[1]对账明细接口!$F$536),"")</f>
        <v>苹果</v>
      </c>
      <c r="G536" s="16" t="str">
        <f>IFERROR(IF([1]对账明细接口!$G$536=0,"",[1]对账明细接口!$G$536),"")</f>
        <v>玫瑰红一级</v>
      </c>
      <c r="H536" s="176">
        <f>IFERROR(IF([1]对账明细接口!$H$536=0,"",[1]对账明细接口!$H$536),"")</f>
        <v>24</v>
      </c>
      <c r="I536" s="16" t="str">
        <f>IFERROR(IF([1]对账明细接口!$I$536=0,"",[1]对账明细接口!$I$536),"")</f>
        <v>筐</v>
      </c>
      <c r="J536" s="177">
        <f>IFERROR(IF([1]对账明细接口!$J$536=0,"",[1]对账明细接口!$J$536),"")</f>
      </c>
      <c r="K536" s="177">
        <f>IFERROR(IF([1]对账明细接口!$K$536=0,"",[1]对账明细接口!$K$536),"")</f>
      </c>
      <c r="L536" s="16">
        <f>IFERROR(IF([1]对账明细接口!$L$536=0,"",[1]对账明细接口!$L$536),"")</f>
      </c>
      <c r="M536" s="16">
        <f>IFERROR(IF([1]对账明细接口!$M$536=0,"",[1]对账明细接口!$M$536),"")</f>
      </c>
      <c r="N536" s="19">
        <f>IF($C536="",0,1)</f>
        <v>1</v>
      </c>
      <c r="O536" s="19">
        <f>N(O535)+$N536</f>
        <v>533</v>
      </c>
      <c r="S536" s="20">
        <f>IFERROR(IF([1]对账明细接口!$N536=0,"",[1]对账明细接口!$N536),"")</f>
      </c>
      <c r="T536" s="212">
        <f>IFERROR(IF([1]对账明细接口!$O536=0,"",[1]对账明细接口!$O536),"")</f>
      </c>
      <c r="U536" s="212">
        <f>IFERROR(IF([1]对账明细接口!$P536=0,"",[1]对账明细接口!$P536),"")</f>
      </c>
      <c r="V536" s="212">
        <f>IFERROR(IF([1]对账明细接口!$Q536=0,"",[1]对账明细接口!$Q536),"")</f>
      </c>
      <c r="W536" s="20">
        <f>IFERROR(IF([1]对账明细接口!$R536=0,"",[1]对账明细接口!$R536),"")</f>
      </c>
      <c r="X536" s="20">
        <f>IFERROR(IF([1]对账明细接口!$S536=0,"",[1]对账明细接口!$S536),"")</f>
      </c>
      <c r="Y536" s="20">
        <f>IFERROR(IF([1]对账明细接口!$T536=0,"",[1]对账明细接口!$T536),"")</f>
      </c>
      <c r="Z536" s="213">
        <f>IFERROR(IF([1]对账明细接口!$U536=0,"",[1]对账明细接口!$U536),"")</f>
      </c>
      <c r="AA536" s="213">
        <f>IFERROR(IF([1]对账明细接口!$V536=0,"",[1]对账明细接口!$V536),"")</f>
      </c>
      <c r="AB536" s="20">
        <f>IFERROR(IF([1]对账明细接口!$W536=0,"",[1]对账明细接口!$W536),"")</f>
      </c>
      <c r="AC536" s="7">
        <f>IFERROR(IF([1]对账明细接口!$X536=0,"",[1]对账明细接口!$X536),"")</f>
      </c>
      <c r="AD536" s="7">
        <f>IFERROR(IF([1]对账明细接口!$Y536=0,"",[1]对账明细接口!$Y536),"")</f>
      </c>
      <c r="AE536" s="7">
        <f>IFERROR(IF([1]对账明细接口!$AA536=0,"",[1]对账明细接口!$AA536),"")</f>
      </c>
      <c r="AF536" s="7">
        <f>IFERROR(IF([1]对账明细接口!$AB536=0,"",[1]对账明细接口!$AB536),"")</f>
      </c>
      <c r="AG536" s="7">
        <f>IFERROR(IF([1]对账明细接口!$AC536=0,"",[1]对账明细接口!$AC536),"")</f>
      </c>
      <c r="AH536" s="7">
        <f>IFERROR(IF([1]对账明细接口!$AD536=0,"",[1]对账明细接口!$AD536),"")</f>
      </c>
      <c r="AI536" s="7">
        <f>IFERROR(IF([1]对账明细接口!$AE536=0,"",[1]对账明细接口!$AE536),"")</f>
      </c>
      <c r="AJ536" s="7">
        <f>IFERROR(IF([1]对账明细接口!$AF536=0,"",[1]对账明细接口!$AF536),"")</f>
      </c>
    </row>
    <row r="537" ht="14.25" customHeight="1" s="127">
      <c r="A537" s="14" t="n">
        <v>537</v>
      </c>
      <c r="B537" s="211">
        <f>IFERROR(IF([1]对账明细接口!$B$537=0,"",[1]对账明细接口!$B$537),"")</f>
        <v>46283.0</v>
      </c>
      <c r="C537" s="16" t="str">
        <f>IFERROR(IF([1]对账明细接口!$C$537=0,"",[1]对账明细接口!$C$537),"")</f>
        <v>麦麦提</v>
      </c>
      <c r="D537" s="16" t="str">
        <f>IFERROR(IF([1]对账明细接口!$D$537=0,"",[1]对账明细接口!$D$537),"")</f>
        <v>原料出库－出库加工</v>
      </c>
      <c r="E537" s="16" t="str">
        <f>IFERROR(IF([1]对账明细接口!$E$537=0,"",[1]对账明细接口!$E$537),"")</f>
        <v>NO:0001172</v>
      </c>
      <c r="F537" s="16" t="str">
        <f>IFERROR(IF([1]对账明细接口!$F$537=0,"",[1]对账明细接口!$F$537),"")</f>
        <v>香梨</v>
      </c>
      <c r="G537" s="16" t="str">
        <f>IFERROR(IF([1]对账明细接口!$G$537=0,"",[1]对账明细接口!$G$537),"")</f>
        <v>香梨一级</v>
      </c>
      <c r="H537" s="176">
        <f>IFERROR(IF([1]对账明细接口!$H$537=0,"",[1]对账明细接口!$H$537),"")</f>
        <v>160</v>
      </c>
      <c r="I537" s="16" t="str">
        <f>IFERROR(IF([1]对账明细接口!$I$537=0,"",[1]对账明细接口!$I$537),"")</f>
        <v>筐</v>
      </c>
      <c r="J537" s="177">
        <f>IFERROR(IF([1]对账明细接口!$J$537=0,"",[1]对账明细接口!$J$537),"")</f>
      </c>
      <c r="K537" s="177">
        <f>IFERROR(IF([1]对账明细接口!$K$537=0,"",[1]对账明细接口!$K$537),"")</f>
      </c>
      <c r="L537" s="16">
        <f>IFERROR(IF([1]对账明细接口!$L$537=0,"",[1]对账明细接口!$L$537),"")</f>
      </c>
      <c r="M537" s="16">
        <f>IFERROR(IF([1]对账明细接口!$M$537=0,"",[1]对账明细接口!$M$537),"")</f>
      </c>
      <c r="N537" s="19">
        <f>IF($C537="",0,1)</f>
        <v>1</v>
      </c>
      <c r="O537" s="19">
        <f>N(O536)+$N537</f>
        <v>534</v>
      </c>
      <c r="S537" s="20">
        <f>IFERROR(IF([1]对账明细接口!$N537=0,"",[1]对账明细接口!$N537),"")</f>
      </c>
      <c r="T537" s="212">
        <f>IFERROR(IF([1]对账明细接口!$O537=0,"",[1]对账明细接口!$O537),"")</f>
      </c>
      <c r="U537" s="212">
        <f>IFERROR(IF([1]对账明细接口!$P537=0,"",[1]对账明细接口!$P537),"")</f>
      </c>
      <c r="V537" s="212">
        <f>IFERROR(IF([1]对账明细接口!$Q537=0,"",[1]对账明细接口!$Q537),"")</f>
      </c>
      <c r="W537" s="20">
        <f>IFERROR(IF([1]对账明细接口!$R537=0,"",[1]对账明细接口!$R537),"")</f>
      </c>
      <c r="X537" s="20">
        <f>IFERROR(IF([1]对账明细接口!$S537=0,"",[1]对账明细接口!$S537),"")</f>
      </c>
      <c r="Y537" s="20">
        <f>IFERROR(IF([1]对账明细接口!$T537=0,"",[1]对账明细接口!$T537),"")</f>
      </c>
      <c r="Z537" s="213">
        <f>IFERROR(IF([1]对账明细接口!$U537=0,"",[1]对账明细接口!$U537),"")</f>
      </c>
      <c r="AA537" s="213">
        <f>IFERROR(IF([1]对账明细接口!$V537=0,"",[1]对账明细接口!$V537),"")</f>
      </c>
      <c r="AB537" s="20">
        <f>IFERROR(IF([1]对账明细接口!$W537=0,"",[1]对账明细接口!$W537),"")</f>
      </c>
      <c r="AC537" s="7">
        <f>IFERROR(IF([1]对账明细接口!$X537=0,"",[1]对账明细接口!$X537),"")</f>
      </c>
      <c r="AD537" s="7">
        <f>IFERROR(IF([1]对账明细接口!$Y537=0,"",[1]对账明细接口!$Y537),"")</f>
      </c>
      <c r="AE537" s="7">
        <f>IFERROR(IF([1]对账明细接口!$AA537=0,"",[1]对账明细接口!$AA537),"")</f>
      </c>
      <c r="AF537" s="7">
        <f>IFERROR(IF([1]对账明细接口!$AB537=0,"",[1]对账明细接口!$AB537),"")</f>
      </c>
      <c r="AG537" s="7">
        <f>IFERROR(IF([1]对账明细接口!$AC537=0,"",[1]对账明细接口!$AC537),"")</f>
      </c>
      <c r="AH537" s="7">
        <f>IFERROR(IF([1]对账明细接口!$AD537=0,"",[1]对账明细接口!$AD537),"")</f>
      </c>
      <c r="AI537" s="7">
        <f>IFERROR(IF([1]对账明细接口!$AE537=0,"",[1]对账明细接口!$AE537),"")</f>
      </c>
      <c r="AJ537" s="7">
        <f>IFERROR(IF([1]对账明细接口!$AF537=0,"",[1]对账明细接口!$AF537),"")</f>
      </c>
    </row>
    <row r="538" ht="14.25" customHeight="1" s="127">
      <c r="A538" s="14" t="n">
        <v>538</v>
      </c>
      <c r="B538" s="211">
        <f>IFERROR(IF([1]对账明细接口!$B$538=0,"",[1]对账明细接口!$B$538),"")</f>
        <v>46283.0</v>
      </c>
      <c r="C538" s="16" t="str">
        <f>IFERROR(IF([1]对账明细接口!$C$538=0,"",[1]对账明细接口!$C$538),"")</f>
        <v>王灵云</v>
      </c>
      <c r="D538" s="16" t="str">
        <f>IFERROR(IF([1]对账明细接口!$D$538=0,"",[1]对账明细接口!$D$538),"")</f>
        <v>原料出库－出库加工</v>
      </c>
      <c r="E538" s="16" t="str">
        <f>IFERROR(IF([1]对账明细接口!$E$538=0,"",[1]对账明细接口!$E$538),"")</f>
        <v>NO:0001173</v>
      </c>
      <c r="F538" s="16" t="str">
        <f>IFERROR(IF([1]对账明细接口!$F$538=0,"",[1]对账明细接口!$F$538),"")</f>
        <v>香梨</v>
      </c>
      <c r="G538" s="16" t="str">
        <f>IFERROR(IF([1]对账明细接口!$G$538=0,"",[1]对账明细接口!$G$538),"")</f>
        <v>香梨一级</v>
      </c>
      <c r="H538" s="176">
        <f>IFERROR(IF([1]对账明细接口!$H$538=0,"",[1]对账明细接口!$H$538),"")</f>
        <v>384</v>
      </c>
      <c r="I538" s="16" t="str">
        <f>IFERROR(IF([1]对账明细接口!$I$538=0,"",[1]对账明细接口!$I$538),"")</f>
        <v>筐</v>
      </c>
      <c r="J538" s="177">
        <f>IFERROR(IF([1]对账明细接口!$J$538=0,"",[1]对账明细接口!$J$538),"")</f>
      </c>
      <c r="K538" s="177">
        <f>IFERROR(IF([1]对账明细接口!$K$538=0,"",[1]对账明细接口!$K$538),"")</f>
      </c>
      <c r="L538" s="16">
        <f>IFERROR(IF([1]对账明细接口!$L$538=0,"",[1]对账明细接口!$L$538),"")</f>
      </c>
      <c r="M538" s="16">
        <f>IFERROR(IF([1]对账明细接口!$M$538=0,"",[1]对账明细接口!$M$538),"")</f>
      </c>
      <c r="N538" s="19">
        <f>IF($C538="",0,1)</f>
        <v>1</v>
      </c>
      <c r="O538" s="19">
        <f>N(O537)+$N538</f>
        <v>535</v>
      </c>
      <c r="S538" s="20">
        <f>IFERROR(IF([1]对账明细接口!$N538=0,"",[1]对账明细接口!$N538),"")</f>
      </c>
      <c r="T538" s="212">
        <f>IFERROR(IF([1]对账明细接口!$O538=0,"",[1]对账明细接口!$O538),"")</f>
      </c>
      <c r="U538" s="212">
        <f>IFERROR(IF([1]对账明细接口!$P538=0,"",[1]对账明细接口!$P538),"")</f>
      </c>
      <c r="V538" s="212">
        <f>IFERROR(IF([1]对账明细接口!$Q538=0,"",[1]对账明细接口!$Q538),"")</f>
      </c>
      <c r="W538" s="20">
        <f>IFERROR(IF([1]对账明细接口!$R538=0,"",[1]对账明细接口!$R538),"")</f>
      </c>
      <c r="X538" s="20">
        <f>IFERROR(IF([1]对账明细接口!$S538=0,"",[1]对账明细接口!$S538),"")</f>
      </c>
      <c r="Y538" s="20">
        <f>IFERROR(IF([1]对账明细接口!$T538=0,"",[1]对账明细接口!$T538),"")</f>
      </c>
      <c r="Z538" s="213">
        <f>IFERROR(IF([1]对账明细接口!$U538=0,"",[1]对账明细接口!$U538),"")</f>
      </c>
      <c r="AA538" s="213">
        <f>IFERROR(IF([1]对账明细接口!$V538=0,"",[1]对账明细接口!$V538),"")</f>
      </c>
      <c r="AB538" s="20">
        <f>IFERROR(IF([1]对账明细接口!$W538=0,"",[1]对账明细接口!$W538),"")</f>
      </c>
      <c r="AC538" s="7">
        <f>IFERROR(IF([1]对账明细接口!$X538=0,"",[1]对账明细接口!$X538),"")</f>
      </c>
      <c r="AD538" s="7">
        <f>IFERROR(IF([1]对账明细接口!$Y538=0,"",[1]对账明细接口!$Y538),"")</f>
      </c>
      <c r="AE538" s="7">
        <f>IFERROR(IF([1]对账明细接口!$AA538=0,"",[1]对账明细接口!$AA538),"")</f>
      </c>
      <c r="AF538" s="7">
        <f>IFERROR(IF([1]对账明细接口!$AB538=0,"",[1]对账明细接口!$AB538),"")</f>
      </c>
      <c r="AG538" s="7">
        <f>IFERROR(IF([1]对账明细接口!$AC538=0,"",[1]对账明细接口!$AC538),"")</f>
      </c>
      <c r="AH538" s="7">
        <f>IFERROR(IF([1]对账明细接口!$AD538=0,"",[1]对账明细接口!$AD538),"")</f>
      </c>
      <c r="AI538" s="7">
        <f>IFERROR(IF([1]对账明细接口!$AE538=0,"",[1]对账明细接口!$AE538),"")</f>
      </c>
      <c r="AJ538" s="7">
        <f>IFERROR(IF([1]对账明细接口!$AF538=0,"",[1]对账明细接口!$AF538),"")</f>
      </c>
    </row>
    <row r="539" ht="14.25" customHeight="1" s="127">
      <c r="A539" s="14" t="n">
        <v>539</v>
      </c>
      <c r="B539" s="211">
        <f>IFERROR(IF([1]对账明细接口!$B$539=0,"",[1]对账明细接口!$B$539),"")</f>
        <v>46283.0</v>
      </c>
      <c r="C539" s="16" t="str">
        <f>IFERROR(IF([1]对账明细接口!$C$539=0,"",[1]对账明细接口!$C$539),"")</f>
        <v>王灵云</v>
      </c>
      <c r="D539" s="16" t="str">
        <f>IFERROR(IF([1]对账明细接口!$D$539=0,"",[1]对账明细接口!$D$539),"")</f>
        <v>原料出库－出库加工</v>
      </c>
      <c r="E539" s="16" t="str">
        <f>IFERROR(IF([1]对账明细接口!$E$539=0,"",[1]对账明细接口!$E$539),"")</f>
        <v>NO:0001173</v>
      </c>
      <c r="F539" s="16" t="str">
        <f>IFERROR(IF([1]对账明细接口!$F$539=0,"",[1]对账明细接口!$F$539),"")</f>
        <v>香梨</v>
      </c>
      <c r="G539" s="16" t="str">
        <f>IFERROR(IF([1]对账明细接口!$G$539=0,"",[1]对账明细接口!$G$539),"")</f>
        <v>香梨副特</v>
      </c>
      <c r="H539" s="176">
        <f>IFERROR(IF([1]对账明细接口!$H$539=0,"",[1]对账明细接口!$H$539),"")</f>
        <v>48</v>
      </c>
      <c r="I539" s="16" t="str">
        <f>IFERROR(IF([1]对账明细接口!$I$539=0,"",[1]对账明细接口!$I$539),"")</f>
        <v>筐</v>
      </c>
      <c r="J539" s="177">
        <f>IFERROR(IF([1]对账明细接口!$J$539=0,"",[1]对账明细接口!$J$539),"")</f>
      </c>
      <c r="K539" s="177">
        <f>IFERROR(IF([1]对账明细接口!$K$539=0,"",[1]对账明细接口!$K$539),"")</f>
      </c>
      <c r="L539" s="16">
        <f>IFERROR(IF([1]对账明细接口!$L$539=0,"",[1]对账明细接口!$L$539),"")</f>
      </c>
      <c r="M539" s="16">
        <f>IFERROR(IF([1]对账明细接口!$M$539=0,"",[1]对账明细接口!$M$539),"")</f>
      </c>
      <c r="N539" s="19">
        <f>IF($C539="",0,1)</f>
        <v>1</v>
      </c>
      <c r="O539" s="19">
        <f>N(O538)+$N539</f>
        <v>536</v>
      </c>
      <c r="S539" s="20">
        <f>IFERROR(IF([1]对账明细接口!$N539=0,"",[1]对账明细接口!$N539),"")</f>
      </c>
      <c r="T539" s="212">
        <f>IFERROR(IF([1]对账明细接口!$O539=0,"",[1]对账明细接口!$O539),"")</f>
      </c>
      <c r="U539" s="212">
        <f>IFERROR(IF([1]对账明细接口!$P539=0,"",[1]对账明细接口!$P539),"")</f>
      </c>
      <c r="V539" s="212">
        <f>IFERROR(IF([1]对账明细接口!$Q539=0,"",[1]对账明细接口!$Q539),"")</f>
      </c>
      <c r="W539" s="20">
        <f>IFERROR(IF([1]对账明细接口!$R539=0,"",[1]对账明细接口!$R539),"")</f>
      </c>
      <c r="X539" s="20">
        <f>IFERROR(IF([1]对账明细接口!$S539=0,"",[1]对账明细接口!$S539),"")</f>
      </c>
      <c r="Y539" s="20">
        <f>IFERROR(IF([1]对账明细接口!$T539=0,"",[1]对账明细接口!$T539),"")</f>
      </c>
      <c r="Z539" s="213">
        <f>IFERROR(IF([1]对账明细接口!$U539=0,"",[1]对账明细接口!$U539),"")</f>
      </c>
      <c r="AA539" s="213">
        <f>IFERROR(IF([1]对账明细接口!$V539=0,"",[1]对账明细接口!$V539),"")</f>
      </c>
      <c r="AB539" s="20">
        <f>IFERROR(IF([1]对账明细接口!$W539=0,"",[1]对账明细接口!$W539),"")</f>
      </c>
      <c r="AC539" s="7">
        <f>IFERROR(IF([1]对账明细接口!$X539=0,"",[1]对账明细接口!$X539),"")</f>
      </c>
      <c r="AD539" s="7">
        <f>IFERROR(IF([1]对账明细接口!$Y539=0,"",[1]对账明细接口!$Y539),"")</f>
      </c>
      <c r="AE539" s="7">
        <f>IFERROR(IF([1]对账明细接口!$AA539=0,"",[1]对账明细接口!$AA539),"")</f>
      </c>
      <c r="AF539" s="7">
        <f>IFERROR(IF([1]对账明细接口!$AB539=0,"",[1]对账明细接口!$AB539),"")</f>
      </c>
      <c r="AG539" s="7">
        <f>IFERROR(IF([1]对账明细接口!$AC539=0,"",[1]对账明细接口!$AC539),"")</f>
      </c>
      <c r="AH539" s="7">
        <f>IFERROR(IF([1]对账明细接口!$AD539=0,"",[1]对账明细接口!$AD539),"")</f>
      </c>
      <c r="AI539" s="7">
        <f>IFERROR(IF([1]对账明细接口!$AE539=0,"",[1]对账明细接口!$AE539),"")</f>
      </c>
      <c r="AJ539" s="7">
        <f>IFERROR(IF([1]对账明细接口!$AF539=0,"",[1]对账明细接口!$AF539),"")</f>
      </c>
    </row>
    <row r="540" ht="14.25" customHeight="1" s="127">
      <c r="A540" s="14" t="n">
        <v>540</v>
      </c>
      <c r="B540" s="211">
        <f>IFERROR(IF([1]对账明细接口!$B$540=0,"",[1]对账明细接口!$B$540),"")</f>
        <v>46284.0</v>
      </c>
      <c r="C540" s="16" t="str">
        <f>IFERROR(IF([1]对账明细接口!$C$540=0,"",[1]对账明细接口!$C$540),"")</f>
        <v>王灵云</v>
      </c>
      <c r="D540" s="16" t="str">
        <f>IFERROR(IF([1]对账明细接口!$D$540=0,"",[1]对账明细接口!$D$540),"")</f>
        <v>原料出库－出库加工</v>
      </c>
      <c r="E540" s="16" t="str">
        <f>IFERROR(IF([1]对账明细接口!$E$540=0,"",[1]对账明细接口!$E$540),"")</f>
        <v>NO:0001179</v>
      </c>
      <c r="F540" s="16" t="str">
        <f>IFERROR(IF([1]对账明细接口!$F$540=0,"",[1]对账明细接口!$F$540),"")</f>
        <v>香梨</v>
      </c>
      <c r="G540" s="16" t="str">
        <f>IFERROR(IF([1]对账明细接口!$G$540=0,"",[1]对账明细接口!$G$540),"")</f>
        <v>香梨一级</v>
      </c>
      <c r="H540" s="176">
        <f>IFERROR(IF([1]对账明细接口!$H$540=0,"",[1]对账明细接口!$H$540),"")</f>
        <v>288</v>
      </c>
      <c r="I540" s="16" t="str">
        <f>IFERROR(IF([1]对账明细接口!$I$540=0,"",[1]对账明细接口!$I$540),"")</f>
        <v>筐</v>
      </c>
      <c r="J540" s="177">
        <f>IFERROR(IF([1]对账明细接口!$J$540=0,"",[1]对账明细接口!$J$540),"")</f>
      </c>
      <c r="K540" s="177">
        <f>IFERROR(IF([1]对账明细接口!$K$540=0,"",[1]对账明细接口!$K$540),"")</f>
      </c>
      <c r="L540" s="16">
        <f>IFERROR(IF([1]对账明细接口!$L$540=0,"",[1]对账明细接口!$L$540),"")</f>
      </c>
      <c r="M540" s="16">
        <f>IFERROR(IF([1]对账明细接口!$M$540=0,"",[1]对账明细接口!$M$540),"")</f>
      </c>
      <c r="N540" s="19">
        <f>IF($C540="",0,1)</f>
        <v>1</v>
      </c>
      <c r="O540" s="19">
        <f>N(O539)+$N540</f>
        <v>537</v>
      </c>
      <c r="S540" s="20">
        <f>IFERROR(IF([1]对账明细接口!$N540=0,"",[1]对账明细接口!$N540),"")</f>
      </c>
      <c r="T540" s="212">
        <f>IFERROR(IF([1]对账明细接口!$O540=0,"",[1]对账明细接口!$O540),"")</f>
      </c>
      <c r="U540" s="212">
        <f>IFERROR(IF([1]对账明细接口!$P540=0,"",[1]对账明细接口!$P540),"")</f>
      </c>
      <c r="V540" s="212">
        <f>IFERROR(IF([1]对账明细接口!$Q540=0,"",[1]对账明细接口!$Q540),"")</f>
      </c>
      <c r="W540" s="20">
        <f>IFERROR(IF([1]对账明细接口!$R540=0,"",[1]对账明细接口!$R540),"")</f>
      </c>
      <c r="X540" s="20">
        <f>IFERROR(IF([1]对账明细接口!$S540=0,"",[1]对账明细接口!$S540),"")</f>
      </c>
      <c r="Y540" s="20">
        <f>IFERROR(IF([1]对账明细接口!$T540=0,"",[1]对账明细接口!$T540),"")</f>
      </c>
      <c r="Z540" s="213">
        <f>IFERROR(IF([1]对账明细接口!$U540=0,"",[1]对账明细接口!$U540),"")</f>
      </c>
      <c r="AA540" s="213">
        <f>IFERROR(IF([1]对账明细接口!$V540=0,"",[1]对账明细接口!$V540),"")</f>
      </c>
      <c r="AB540" s="20">
        <f>IFERROR(IF([1]对账明细接口!$W540=0,"",[1]对账明细接口!$W540),"")</f>
      </c>
      <c r="AC540" s="7">
        <f>IFERROR(IF([1]对账明细接口!$X540=0,"",[1]对账明细接口!$X540),"")</f>
      </c>
      <c r="AD540" s="7">
        <f>IFERROR(IF([1]对账明细接口!$Y540=0,"",[1]对账明细接口!$Y540),"")</f>
      </c>
      <c r="AE540" s="7">
        <f>IFERROR(IF([1]对账明细接口!$AA540=0,"",[1]对账明细接口!$AA540),"")</f>
      </c>
      <c r="AF540" s="7">
        <f>IFERROR(IF([1]对账明细接口!$AB540=0,"",[1]对账明细接口!$AB540),"")</f>
      </c>
      <c r="AG540" s="7">
        <f>IFERROR(IF([1]对账明细接口!$AC540=0,"",[1]对账明细接口!$AC540),"")</f>
      </c>
      <c r="AH540" s="7">
        <f>IFERROR(IF([1]对账明细接口!$AD540=0,"",[1]对账明细接口!$AD540),"")</f>
      </c>
      <c r="AI540" s="7">
        <f>IFERROR(IF([1]对账明细接口!$AE540=0,"",[1]对账明细接口!$AE540),"")</f>
      </c>
      <c r="AJ540" s="7">
        <f>IFERROR(IF([1]对账明细接口!$AF540=0,"",[1]对账明细接口!$AF540),"")</f>
      </c>
    </row>
    <row r="541" ht="14.25" customHeight="1" s="127">
      <c r="A541" s="14" t="n">
        <v>541</v>
      </c>
      <c r="B541" s="211">
        <f>IFERROR(IF([1]对账明细接口!$B$541=0,"",[1]对账明细接口!$B$541),"")</f>
        <v>46284.0</v>
      </c>
      <c r="C541" s="16" t="str">
        <f>IFERROR(IF([1]对账明细接口!$C$541=0,"",[1]对账明细接口!$C$541),"")</f>
        <v>麦麦提</v>
      </c>
      <c r="D541" s="16" t="str">
        <f>IFERROR(IF([1]对账明细接口!$D$541=0,"",[1]对账明细接口!$D$541),"")</f>
        <v>原料出库－出库加工</v>
      </c>
      <c r="E541" s="16" t="str">
        <f>IFERROR(IF([1]对账明细接口!$E$541=0,"",[1]对账明细接口!$E$541),"")</f>
        <v>NO:0001180</v>
      </c>
      <c r="F541" s="16" t="str">
        <f>IFERROR(IF([1]对账明细接口!$F$541=0,"",[1]对账明细接口!$F$541),"")</f>
        <v>香梨</v>
      </c>
      <c r="G541" s="16" t="str">
        <f>IFERROR(IF([1]对账明细接口!$G$541=0,"",[1]对账明细接口!$G$541),"")</f>
        <v>香梨一级</v>
      </c>
      <c r="H541" s="176">
        <f>IFERROR(IF([1]对账明细接口!$H$541=0,"",[1]对账明细接口!$H$541),"")</f>
        <v>208</v>
      </c>
      <c r="I541" s="16" t="str">
        <f>IFERROR(IF([1]对账明细接口!$I$541=0,"",[1]对账明细接口!$I$541),"")</f>
        <v>筐</v>
      </c>
      <c r="J541" s="177">
        <f>IFERROR(IF([1]对账明细接口!$J$541=0,"",[1]对账明细接口!$J$541),"")</f>
      </c>
      <c r="K541" s="177">
        <f>IFERROR(IF([1]对账明细接口!$K$541=0,"",[1]对账明细接口!$K$541),"")</f>
      </c>
      <c r="L541" s="16">
        <f>IFERROR(IF([1]对账明细接口!$L$541=0,"",[1]对账明细接口!$L$541),"")</f>
      </c>
      <c r="M541" s="16">
        <f>IFERROR(IF([1]对账明细接口!$M$541=0,"",[1]对账明细接口!$M$541),"")</f>
      </c>
      <c r="N541" s="19">
        <f>IF($C541="",0,1)</f>
        <v>1</v>
      </c>
      <c r="O541" s="19">
        <f>N(O540)+$N541</f>
        <v>538</v>
      </c>
      <c r="S541" s="20">
        <f>IFERROR(IF([1]对账明细接口!$N541=0,"",[1]对账明细接口!$N541),"")</f>
      </c>
      <c r="T541" s="212">
        <f>IFERROR(IF([1]对账明细接口!$O541=0,"",[1]对账明细接口!$O541),"")</f>
      </c>
      <c r="U541" s="212">
        <f>IFERROR(IF([1]对账明细接口!$P541=0,"",[1]对账明细接口!$P541),"")</f>
      </c>
      <c r="V541" s="212">
        <f>IFERROR(IF([1]对账明细接口!$Q541=0,"",[1]对账明细接口!$Q541),"")</f>
      </c>
      <c r="W541" s="20">
        <f>IFERROR(IF([1]对账明细接口!$R541=0,"",[1]对账明细接口!$R541),"")</f>
      </c>
      <c r="X541" s="20">
        <f>IFERROR(IF([1]对账明细接口!$S541=0,"",[1]对账明细接口!$S541),"")</f>
      </c>
      <c r="Y541" s="20">
        <f>IFERROR(IF([1]对账明细接口!$T541=0,"",[1]对账明细接口!$T541),"")</f>
      </c>
      <c r="Z541" s="213">
        <f>IFERROR(IF([1]对账明细接口!$U541=0,"",[1]对账明细接口!$U541),"")</f>
      </c>
      <c r="AA541" s="213">
        <f>IFERROR(IF([1]对账明细接口!$V541=0,"",[1]对账明细接口!$V541),"")</f>
      </c>
      <c r="AB541" s="20">
        <f>IFERROR(IF([1]对账明细接口!$W541=0,"",[1]对账明细接口!$W541),"")</f>
      </c>
      <c r="AC541" s="7">
        <f>IFERROR(IF([1]对账明细接口!$X541=0,"",[1]对账明细接口!$X541),"")</f>
      </c>
      <c r="AD541" s="7">
        <f>IFERROR(IF([1]对账明细接口!$Y541=0,"",[1]对账明细接口!$Y541),"")</f>
      </c>
      <c r="AE541" s="7">
        <f>IFERROR(IF([1]对账明细接口!$AA541=0,"",[1]对账明细接口!$AA541),"")</f>
      </c>
      <c r="AF541" s="7">
        <f>IFERROR(IF([1]对账明细接口!$AB541=0,"",[1]对账明细接口!$AB541),"")</f>
      </c>
      <c r="AG541" s="7">
        <f>IFERROR(IF([1]对账明细接口!$AC541=0,"",[1]对账明细接口!$AC541),"")</f>
      </c>
      <c r="AH541" s="7">
        <f>IFERROR(IF([1]对账明细接口!$AD541=0,"",[1]对账明细接口!$AD541),"")</f>
      </c>
      <c r="AI541" s="7">
        <f>IFERROR(IF([1]对账明细接口!$AE541=0,"",[1]对账明细接口!$AE541),"")</f>
      </c>
      <c r="AJ541" s="7">
        <f>IFERROR(IF([1]对账明细接口!$AF541=0,"",[1]对账明细接口!$AF541),"")</f>
      </c>
    </row>
    <row r="542" ht="14.25" customHeight="1" s="127">
      <c r="A542" s="14" t="n">
        <v>542</v>
      </c>
      <c r="B542" s="211">
        <f>IFERROR(IF([1]对账明细接口!$B$542=0,"",[1]对账明细接口!$B$542),"")</f>
        <v>46284.0</v>
      </c>
      <c r="C542" s="16" t="str">
        <f>IFERROR(IF([1]对账明细接口!$C$542=0,"",[1]对账明细接口!$C$542),"")</f>
        <v>王照雪</v>
      </c>
      <c r="D542" s="16" t="str">
        <f>IFERROR(IF([1]对账明细接口!$D$542=0,"",[1]对账明细接口!$D$542),"")</f>
        <v>原料出库－出库加工</v>
      </c>
      <c r="E542" s="16" t="str">
        <f>IFERROR(IF([1]对账明细接口!$E$542=0,"",[1]对账明细接口!$E$542),"")</f>
        <v>NO:0001187</v>
      </c>
      <c r="F542" s="16" t="str">
        <f>IFERROR(IF([1]对账明细接口!$F$542=0,"",[1]对账明细接口!$F$542),"")</f>
        <v>苹果</v>
      </c>
      <c r="G542" s="16" t="str">
        <f>IFERROR(IF([1]对账明细接口!$G$542=0,"",[1]对账明细接口!$G$542),"")</f>
        <v>新世纪一级</v>
      </c>
      <c r="H542" s="176">
        <f>IFERROR(IF([1]对账明细接口!$H$542=0,"",[1]对账明细接口!$H$542),"")</f>
        <v>94</v>
      </c>
      <c r="I542" s="16" t="str">
        <f>IFERROR(IF([1]对账明细接口!$I$542=0,"",[1]对账明细接口!$I$542),"")</f>
        <v>筐</v>
      </c>
      <c r="J542" s="177">
        <f>IFERROR(IF([1]对账明细接口!$J$542=0,"",[1]对账明细接口!$J$542),"")</f>
      </c>
      <c r="K542" s="177">
        <f>IFERROR(IF([1]对账明细接口!$K$542=0,"",[1]对账明细接口!$K$542),"")</f>
      </c>
      <c r="L542" s="16">
        <f>IFERROR(IF([1]对账明细接口!$L$542=0,"",[1]对账明细接口!$L$542),"")</f>
      </c>
      <c r="M542" s="16">
        <f>IFERROR(IF([1]对账明细接口!$M$542=0,"",[1]对账明细接口!$M$542),"")</f>
      </c>
      <c r="N542" s="19">
        <f>IF($C542="",0,1)</f>
        <v>1</v>
      </c>
      <c r="O542" s="19">
        <f>N(O541)+$N542</f>
        <v>539</v>
      </c>
      <c r="S542" s="20">
        <f>IFERROR(IF([1]对账明细接口!$N542=0,"",[1]对账明细接口!$N542),"")</f>
      </c>
      <c r="T542" s="212">
        <f>IFERROR(IF([1]对账明细接口!$O542=0,"",[1]对账明细接口!$O542),"")</f>
      </c>
      <c r="U542" s="212">
        <f>IFERROR(IF([1]对账明细接口!$P542=0,"",[1]对账明细接口!$P542),"")</f>
      </c>
      <c r="V542" s="212">
        <f>IFERROR(IF([1]对账明细接口!$Q542=0,"",[1]对账明细接口!$Q542),"")</f>
      </c>
      <c r="W542" s="20">
        <f>IFERROR(IF([1]对账明细接口!$R542=0,"",[1]对账明细接口!$R542),"")</f>
      </c>
      <c r="X542" s="20">
        <f>IFERROR(IF([1]对账明细接口!$S542=0,"",[1]对账明细接口!$S542),"")</f>
      </c>
      <c r="Y542" s="20">
        <f>IFERROR(IF([1]对账明细接口!$T542=0,"",[1]对账明细接口!$T542),"")</f>
      </c>
      <c r="Z542" s="213">
        <f>IFERROR(IF([1]对账明细接口!$U542=0,"",[1]对账明细接口!$U542),"")</f>
      </c>
      <c r="AA542" s="213">
        <f>IFERROR(IF([1]对账明细接口!$V542=0,"",[1]对账明细接口!$V542),"")</f>
      </c>
      <c r="AB542" s="20">
        <f>IFERROR(IF([1]对账明细接口!$W542=0,"",[1]对账明细接口!$W542),"")</f>
      </c>
      <c r="AC542" s="7">
        <f>IFERROR(IF([1]对账明细接口!$X542=0,"",[1]对账明细接口!$X542),"")</f>
      </c>
      <c r="AD542" s="7">
        <f>IFERROR(IF([1]对账明细接口!$Y542=0,"",[1]对账明细接口!$Y542),"")</f>
      </c>
      <c r="AE542" s="7">
        <f>IFERROR(IF([1]对账明细接口!$AA542=0,"",[1]对账明细接口!$AA542),"")</f>
      </c>
      <c r="AF542" s="7">
        <f>IFERROR(IF([1]对账明细接口!$AB542=0,"",[1]对账明细接口!$AB542),"")</f>
      </c>
      <c r="AG542" s="7">
        <f>IFERROR(IF([1]对账明细接口!$AC542=0,"",[1]对账明细接口!$AC542),"")</f>
      </c>
      <c r="AH542" s="7">
        <f>IFERROR(IF([1]对账明细接口!$AD542=0,"",[1]对账明细接口!$AD542),"")</f>
      </c>
      <c r="AI542" s="7">
        <f>IFERROR(IF([1]对账明细接口!$AE542=0,"",[1]对账明细接口!$AE542),"")</f>
      </c>
      <c r="AJ542" s="7">
        <f>IFERROR(IF([1]对账明细接口!$AF542=0,"",[1]对账明细接口!$AF542),"")</f>
      </c>
    </row>
    <row r="543" ht="14.25" customHeight="1" s="127">
      <c r="A543" s="14" t="n">
        <v>543</v>
      </c>
      <c r="B543" s="211">
        <f>IFERROR(IF([1]对账明细接口!$B$543=0,"",[1]对账明细接口!$B$543),"")</f>
        <v>46284.0</v>
      </c>
      <c r="C543" s="16" t="str">
        <f>IFERROR(IF([1]对账明细接口!$C$543=0,"",[1]对账明细接口!$C$543),"")</f>
        <v>王照雪</v>
      </c>
      <c r="D543" s="16" t="str">
        <f>IFERROR(IF([1]对账明细接口!$D$543=0,"",[1]对账明细接口!$D$543),"")</f>
        <v>原料出库－出库加工</v>
      </c>
      <c r="E543" s="16" t="str">
        <f>IFERROR(IF([1]对账明细接口!$E$543=0,"",[1]对账明细接口!$E$543),"")</f>
        <v>NO:0001187</v>
      </c>
      <c r="F543" s="16" t="str">
        <f>IFERROR(IF([1]对账明细接口!$F$543=0,"",[1]对账明细接口!$F$543),"")</f>
        <v>苹果</v>
      </c>
      <c r="G543" s="16" t="str">
        <f>IFERROR(IF([1]对账明细接口!$G$543=0,"",[1]对账明细接口!$G$543),"")</f>
        <v>新世纪二级</v>
      </c>
      <c r="H543" s="176">
        <f>IFERROR(IF([1]对账明细接口!$H$543=0,"",[1]对账明细接口!$H$543),"")</f>
        <v>143</v>
      </c>
      <c r="I543" s="16" t="str">
        <f>IFERROR(IF([1]对账明细接口!$I$543=0,"",[1]对账明细接口!$I$543),"")</f>
        <v>筐</v>
      </c>
      <c r="J543" s="177">
        <f>IFERROR(IF([1]对账明细接口!$J$543=0,"",[1]对账明细接口!$J$543),"")</f>
      </c>
      <c r="K543" s="177">
        <f>IFERROR(IF([1]对账明细接口!$K$543=0,"",[1]对账明细接口!$K$543),"")</f>
      </c>
      <c r="L543" s="16">
        <f>IFERROR(IF([1]对账明细接口!$L$543=0,"",[1]对账明细接口!$L$543),"")</f>
      </c>
      <c r="M543" s="16">
        <f>IFERROR(IF([1]对账明细接口!$M$543=0,"",[1]对账明细接口!$M$543),"")</f>
      </c>
      <c r="N543" s="19">
        <f>IF($C543="",0,1)</f>
        <v>1</v>
      </c>
      <c r="O543" s="19">
        <f>N(O542)+$N543</f>
        <v>540</v>
      </c>
      <c r="S543" s="20">
        <f>IFERROR(IF([1]对账明细接口!$N543=0,"",[1]对账明细接口!$N543),"")</f>
      </c>
      <c r="T543" s="212">
        <f>IFERROR(IF([1]对账明细接口!$O543=0,"",[1]对账明细接口!$O543),"")</f>
      </c>
      <c r="U543" s="212">
        <f>IFERROR(IF([1]对账明细接口!$P543=0,"",[1]对账明细接口!$P543),"")</f>
      </c>
      <c r="V543" s="212">
        <f>IFERROR(IF([1]对账明细接口!$Q543=0,"",[1]对账明细接口!$Q543),"")</f>
      </c>
      <c r="W543" s="20">
        <f>IFERROR(IF([1]对账明细接口!$R543=0,"",[1]对账明细接口!$R543),"")</f>
      </c>
      <c r="X543" s="20">
        <f>IFERROR(IF([1]对账明细接口!$S543=0,"",[1]对账明细接口!$S543),"")</f>
      </c>
      <c r="Y543" s="20">
        <f>IFERROR(IF([1]对账明细接口!$T543=0,"",[1]对账明细接口!$T543),"")</f>
      </c>
      <c r="Z543" s="213">
        <f>IFERROR(IF([1]对账明细接口!$U543=0,"",[1]对账明细接口!$U543),"")</f>
      </c>
      <c r="AA543" s="213">
        <f>IFERROR(IF([1]对账明细接口!$V543=0,"",[1]对账明细接口!$V543),"")</f>
      </c>
      <c r="AB543" s="20">
        <f>IFERROR(IF([1]对账明细接口!$W543=0,"",[1]对账明细接口!$W543),"")</f>
      </c>
      <c r="AC543" s="7">
        <f>IFERROR(IF([1]对账明细接口!$X543=0,"",[1]对账明细接口!$X543),"")</f>
      </c>
      <c r="AD543" s="7">
        <f>IFERROR(IF([1]对账明细接口!$Y543=0,"",[1]对账明细接口!$Y543),"")</f>
      </c>
      <c r="AE543" s="7">
        <f>IFERROR(IF([1]对账明细接口!$AA543=0,"",[1]对账明细接口!$AA543),"")</f>
      </c>
      <c r="AF543" s="7">
        <f>IFERROR(IF([1]对账明细接口!$AB543=0,"",[1]对账明细接口!$AB543),"")</f>
      </c>
      <c r="AG543" s="7">
        <f>IFERROR(IF([1]对账明细接口!$AC543=0,"",[1]对账明细接口!$AC543),"")</f>
      </c>
      <c r="AH543" s="7">
        <f>IFERROR(IF([1]对账明细接口!$AD543=0,"",[1]对账明细接口!$AD543),"")</f>
      </c>
      <c r="AI543" s="7">
        <f>IFERROR(IF([1]对账明细接口!$AE543=0,"",[1]对账明细接口!$AE543),"")</f>
      </c>
      <c r="AJ543" s="7">
        <f>IFERROR(IF([1]对账明细接口!$AF543=0,"",[1]对账明细接口!$AF543),"")</f>
      </c>
    </row>
    <row r="544" ht="14.25" customHeight="1" s="127">
      <c r="A544" s="14" t="n">
        <v>544</v>
      </c>
      <c r="B544" s="211">
        <f>IFERROR(IF([1]对账明细接口!$B$544=0,"",[1]对账明细接口!$B$544),"")</f>
        <v>46284.0</v>
      </c>
      <c r="C544" s="16" t="str">
        <f>IFERROR(IF([1]对账明细接口!$C$544=0,"",[1]对账明细接口!$C$544),"")</f>
        <v>麦麦提</v>
      </c>
      <c r="D544" s="16" t="str">
        <f>IFERROR(IF([1]对账明细接口!$D$544=0,"",[1]对账明细接口!$D$544),"")</f>
        <v>原料出库－出库加工</v>
      </c>
      <c r="E544" s="16" t="str">
        <f>IFERROR(IF([1]对账明细接口!$E$544=0,"",[1]对账明细接口!$E$544),"")</f>
        <v>NO:0001188</v>
      </c>
      <c r="F544" s="16" t="str">
        <f>IFERROR(IF([1]对账明细接口!$F$544=0,"",[1]对账明细接口!$F$544),"")</f>
        <v>香梨</v>
      </c>
      <c r="G544" s="16" t="str">
        <f>IFERROR(IF([1]对账明细接口!$G$544=0,"",[1]对账明细接口!$G$544),"")</f>
        <v>香梨一级</v>
      </c>
      <c r="H544" s="176">
        <f>IFERROR(IF([1]对账明细接口!$H$544=0,"",[1]对账明细接口!$H$544),"")</f>
        <v>56</v>
      </c>
      <c r="I544" s="16" t="str">
        <f>IFERROR(IF([1]对账明细接口!$I$544=0,"",[1]对账明细接口!$I$544),"")</f>
        <v>筐</v>
      </c>
      <c r="J544" s="177">
        <f>IFERROR(IF([1]对账明细接口!$J$544=0,"",[1]对账明细接口!$J$544),"")</f>
      </c>
      <c r="K544" s="177">
        <f>IFERROR(IF([1]对账明细接口!$K$544=0,"",[1]对账明细接口!$K$544),"")</f>
      </c>
      <c r="L544" s="16">
        <f>IFERROR(IF([1]对账明细接口!$L$544=0,"",[1]对账明细接口!$L$544),"")</f>
      </c>
      <c r="M544" s="16">
        <f>IFERROR(IF([1]对账明细接口!$M$544=0,"",[1]对账明细接口!$M$544),"")</f>
      </c>
      <c r="N544" s="19">
        <f>IF($C544="",0,1)</f>
        <v>1</v>
      </c>
      <c r="O544" s="19">
        <f>N(O543)+$N544</f>
        <v>541</v>
      </c>
      <c r="S544" s="20">
        <f>IFERROR(IF([1]对账明细接口!$N544=0,"",[1]对账明细接口!$N544),"")</f>
      </c>
      <c r="T544" s="212">
        <f>IFERROR(IF([1]对账明细接口!$O544=0,"",[1]对账明细接口!$O544),"")</f>
      </c>
      <c r="U544" s="212">
        <f>IFERROR(IF([1]对账明细接口!$P544=0,"",[1]对账明细接口!$P544),"")</f>
      </c>
      <c r="V544" s="212">
        <f>IFERROR(IF([1]对账明细接口!$Q544=0,"",[1]对账明细接口!$Q544),"")</f>
      </c>
      <c r="W544" s="20">
        <f>IFERROR(IF([1]对账明细接口!$R544=0,"",[1]对账明细接口!$R544),"")</f>
      </c>
      <c r="X544" s="20">
        <f>IFERROR(IF([1]对账明细接口!$S544=0,"",[1]对账明细接口!$S544),"")</f>
      </c>
      <c r="Y544" s="20">
        <f>IFERROR(IF([1]对账明细接口!$T544=0,"",[1]对账明细接口!$T544),"")</f>
      </c>
      <c r="Z544" s="213">
        <f>IFERROR(IF([1]对账明细接口!$U544=0,"",[1]对账明细接口!$U544),"")</f>
      </c>
      <c r="AA544" s="213">
        <f>IFERROR(IF([1]对账明细接口!$V544=0,"",[1]对账明细接口!$V544),"")</f>
      </c>
      <c r="AB544" s="20">
        <f>IFERROR(IF([1]对账明细接口!$W544=0,"",[1]对账明细接口!$W544),"")</f>
      </c>
      <c r="AC544" s="7">
        <f>IFERROR(IF([1]对账明细接口!$X544=0,"",[1]对账明细接口!$X544),"")</f>
      </c>
      <c r="AD544" s="7">
        <f>IFERROR(IF([1]对账明细接口!$Y544=0,"",[1]对账明细接口!$Y544),"")</f>
      </c>
      <c r="AE544" s="7">
        <f>IFERROR(IF([1]对账明细接口!$AA544=0,"",[1]对账明细接口!$AA544),"")</f>
      </c>
      <c r="AF544" s="7">
        <f>IFERROR(IF([1]对账明细接口!$AB544=0,"",[1]对账明细接口!$AB544),"")</f>
      </c>
      <c r="AG544" s="7">
        <f>IFERROR(IF([1]对账明细接口!$AC544=0,"",[1]对账明细接口!$AC544),"")</f>
      </c>
      <c r="AH544" s="7">
        <f>IFERROR(IF([1]对账明细接口!$AD544=0,"",[1]对账明细接口!$AD544),"")</f>
      </c>
      <c r="AI544" s="7">
        <f>IFERROR(IF([1]对账明细接口!$AE544=0,"",[1]对账明细接口!$AE544),"")</f>
      </c>
      <c r="AJ544" s="7">
        <f>IFERROR(IF([1]对账明细接口!$AF544=0,"",[1]对账明细接口!$AF544),"")</f>
      </c>
    </row>
    <row r="545" ht="14.25" customHeight="1" s="127">
      <c r="A545" s="14" t="n">
        <v>545</v>
      </c>
      <c r="B545" s="211">
        <f>IFERROR(IF([1]对账明细接口!$B$545=0,"",[1]对账明细接口!$B$545),"")</f>
        <v>46285.0</v>
      </c>
      <c r="C545" s="16" t="str">
        <f>IFERROR(IF([1]对账明细接口!$C$545=0,"",[1]对账明细接口!$C$545),"")</f>
        <v>王灵云</v>
      </c>
      <c r="D545" s="16" t="str">
        <f>IFERROR(IF([1]对账明细接口!$D$545=0,"",[1]对账明细接口!$D$545),"")</f>
        <v>原料出库－出库加工</v>
      </c>
      <c r="E545" s="16" t="str">
        <f>IFERROR(IF([1]对账明细接口!$E$545=0,"",[1]对账明细接口!$E$545),"")</f>
        <v>NO:0001196</v>
      </c>
      <c r="F545" s="16" t="str">
        <f>IFERROR(IF([1]对账明细接口!$F$545=0,"",[1]对账明细接口!$F$545),"")</f>
        <v>香梨</v>
      </c>
      <c r="G545" s="16" t="str">
        <f>IFERROR(IF([1]对账明细接口!$G$545=0,"",[1]对账明细接口!$G$545),"")</f>
        <v>香梨一级</v>
      </c>
      <c r="H545" s="176">
        <f>IFERROR(IF([1]对账明细接口!$H$545=0,"",[1]对账明细接口!$H$545),"")</f>
        <v>288</v>
      </c>
      <c r="I545" s="16" t="str">
        <f>IFERROR(IF([1]对账明细接口!$I$545=0,"",[1]对账明细接口!$I$545),"")</f>
        <v>筐</v>
      </c>
      <c r="J545" s="177">
        <f>IFERROR(IF([1]对账明细接口!$J$545=0,"",[1]对账明细接口!$J$545),"")</f>
      </c>
      <c r="K545" s="177">
        <f>IFERROR(IF([1]对账明细接口!$K$545=0,"",[1]对账明细接口!$K$545),"")</f>
      </c>
      <c r="L545" s="16">
        <f>IFERROR(IF([1]对账明细接口!$L$545=0,"",[1]对账明细接口!$L$545),"")</f>
      </c>
      <c r="M545" s="16">
        <f>IFERROR(IF([1]对账明细接口!$M$545=0,"",[1]对账明细接口!$M$545),"")</f>
      </c>
      <c r="N545" s="19">
        <f>IF($C545="",0,1)</f>
        <v>1</v>
      </c>
      <c r="O545" s="19">
        <f>N(O544)+$N545</f>
        <v>542</v>
      </c>
      <c r="S545" s="20">
        <f>IFERROR(IF([1]对账明细接口!$N545=0,"",[1]对账明细接口!$N545),"")</f>
      </c>
      <c r="T545" s="212">
        <f>IFERROR(IF([1]对账明细接口!$O545=0,"",[1]对账明细接口!$O545),"")</f>
      </c>
      <c r="U545" s="212">
        <f>IFERROR(IF([1]对账明细接口!$P545=0,"",[1]对账明细接口!$P545),"")</f>
      </c>
      <c r="V545" s="212">
        <f>IFERROR(IF([1]对账明细接口!$Q545=0,"",[1]对账明细接口!$Q545),"")</f>
      </c>
      <c r="W545" s="20">
        <f>IFERROR(IF([1]对账明细接口!$R545=0,"",[1]对账明细接口!$R545),"")</f>
      </c>
      <c r="X545" s="20">
        <f>IFERROR(IF([1]对账明细接口!$S545=0,"",[1]对账明细接口!$S545),"")</f>
      </c>
      <c r="Y545" s="20">
        <f>IFERROR(IF([1]对账明细接口!$T545=0,"",[1]对账明细接口!$T545),"")</f>
      </c>
      <c r="Z545" s="213">
        <f>IFERROR(IF([1]对账明细接口!$U545=0,"",[1]对账明细接口!$U545),"")</f>
      </c>
      <c r="AA545" s="213">
        <f>IFERROR(IF([1]对账明细接口!$V545=0,"",[1]对账明细接口!$V545),"")</f>
      </c>
      <c r="AB545" s="20">
        <f>IFERROR(IF([1]对账明细接口!$W545=0,"",[1]对账明细接口!$W545),"")</f>
      </c>
      <c r="AC545" s="7">
        <f>IFERROR(IF([1]对账明细接口!$X545=0,"",[1]对账明细接口!$X545),"")</f>
      </c>
      <c r="AD545" s="7">
        <f>IFERROR(IF([1]对账明细接口!$Y545=0,"",[1]对账明细接口!$Y545),"")</f>
      </c>
      <c r="AE545" s="7">
        <f>IFERROR(IF([1]对账明细接口!$AA545=0,"",[1]对账明细接口!$AA545),"")</f>
      </c>
      <c r="AF545" s="7">
        <f>IFERROR(IF([1]对账明细接口!$AB545=0,"",[1]对账明细接口!$AB545),"")</f>
      </c>
      <c r="AG545" s="7">
        <f>IFERROR(IF([1]对账明细接口!$AC545=0,"",[1]对账明细接口!$AC545),"")</f>
      </c>
      <c r="AH545" s="7">
        <f>IFERROR(IF([1]对账明细接口!$AD545=0,"",[1]对账明细接口!$AD545),"")</f>
      </c>
      <c r="AI545" s="7">
        <f>IFERROR(IF([1]对账明细接口!$AE545=0,"",[1]对账明细接口!$AE545),"")</f>
      </c>
      <c r="AJ545" s="7">
        <f>IFERROR(IF([1]对账明细接口!$AF545=0,"",[1]对账明细接口!$AF545),"")</f>
      </c>
    </row>
    <row r="546" ht="14.25" customHeight="1" s="127">
      <c r="A546" s="14" t="n">
        <v>546</v>
      </c>
      <c r="B546" s="211">
        <f>IFERROR(IF([1]对账明细接口!$B$546=0,"",[1]对账明细接口!$B$546),"")</f>
        <v>46285.0</v>
      </c>
      <c r="C546" s="16" t="str">
        <f>IFERROR(IF([1]对账明细接口!$C$546=0,"",[1]对账明细接口!$C$546),"")</f>
        <v>麦麦提</v>
      </c>
      <c r="D546" s="16" t="str">
        <f>IFERROR(IF([1]对账明细接口!$D$546=0,"",[1]对账明细接口!$D$546),"")</f>
        <v>原料出库－出库加工</v>
      </c>
      <c r="E546" s="16" t="str">
        <f>IFERROR(IF([1]对账明细接口!$E$546=0,"",[1]对账明细接口!$E$546),"")</f>
        <v>NO:0001197</v>
      </c>
      <c r="F546" s="16" t="str">
        <f>IFERROR(IF([1]对账明细接口!$F$546=0,"",[1]对账明细接口!$F$546),"")</f>
        <v>香梨</v>
      </c>
      <c r="G546" s="16" t="str">
        <f>IFERROR(IF([1]对账明细接口!$G$546=0,"",[1]对账明细接口!$G$546),"")</f>
        <v>香梨特级</v>
      </c>
      <c r="H546" s="176">
        <f>IFERROR(IF([1]对账明细接口!$H$546=0,"",[1]对账明细接口!$H$546),"")</f>
        <v>536</v>
      </c>
      <c r="I546" s="16" t="str">
        <f>IFERROR(IF([1]对账明细接口!$I$546=0,"",[1]对账明细接口!$I$546),"")</f>
        <v>筐</v>
      </c>
      <c r="J546" s="177">
        <f>IFERROR(IF([1]对账明细接口!$J$546=0,"",[1]对账明细接口!$J$546),"")</f>
      </c>
      <c r="K546" s="177">
        <f>IFERROR(IF([1]对账明细接口!$K$546=0,"",[1]对账明细接口!$K$546),"")</f>
      </c>
      <c r="L546" s="16">
        <f>IFERROR(IF([1]对账明细接口!$L$546=0,"",[1]对账明细接口!$L$546),"")</f>
      </c>
      <c r="M546" s="16">
        <f>IFERROR(IF([1]对账明细接口!$M$546=0,"",[1]对账明细接口!$M$546),"")</f>
      </c>
      <c r="N546" s="19">
        <f>IF($C546="",0,1)</f>
        <v>1</v>
      </c>
      <c r="O546" s="19">
        <f>N(O545)+$N546</f>
        <v>543</v>
      </c>
      <c r="S546" s="20">
        <f>IFERROR(IF([1]对账明细接口!$N546=0,"",[1]对账明细接口!$N546),"")</f>
      </c>
      <c r="T546" s="212">
        <f>IFERROR(IF([1]对账明细接口!$O546=0,"",[1]对账明细接口!$O546),"")</f>
      </c>
      <c r="U546" s="212">
        <f>IFERROR(IF([1]对账明细接口!$P546=0,"",[1]对账明细接口!$P546),"")</f>
      </c>
      <c r="V546" s="212">
        <f>IFERROR(IF([1]对账明细接口!$Q546=0,"",[1]对账明细接口!$Q546),"")</f>
      </c>
      <c r="W546" s="20">
        <f>IFERROR(IF([1]对账明细接口!$R546=0,"",[1]对账明细接口!$R546),"")</f>
      </c>
      <c r="X546" s="20">
        <f>IFERROR(IF([1]对账明细接口!$S546=0,"",[1]对账明细接口!$S546),"")</f>
      </c>
      <c r="Y546" s="20">
        <f>IFERROR(IF([1]对账明细接口!$T546=0,"",[1]对账明细接口!$T546),"")</f>
      </c>
      <c r="Z546" s="213">
        <f>IFERROR(IF([1]对账明细接口!$U546=0,"",[1]对账明细接口!$U546),"")</f>
      </c>
      <c r="AA546" s="213">
        <f>IFERROR(IF([1]对账明细接口!$V546=0,"",[1]对账明细接口!$V546),"")</f>
      </c>
      <c r="AB546" s="20">
        <f>IFERROR(IF([1]对账明细接口!$W546=0,"",[1]对账明细接口!$W546),"")</f>
      </c>
      <c r="AC546" s="7">
        <f>IFERROR(IF([1]对账明细接口!$X546=0,"",[1]对账明细接口!$X546),"")</f>
      </c>
      <c r="AD546" s="7">
        <f>IFERROR(IF([1]对账明细接口!$Y546=0,"",[1]对账明细接口!$Y546),"")</f>
      </c>
      <c r="AE546" s="7">
        <f>IFERROR(IF([1]对账明细接口!$AA546=0,"",[1]对账明细接口!$AA546),"")</f>
      </c>
      <c r="AF546" s="7">
        <f>IFERROR(IF([1]对账明细接口!$AB546=0,"",[1]对账明细接口!$AB546),"")</f>
      </c>
      <c r="AG546" s="7">
        <f>IFERROR(IF([1]对账明细接口!$AC546=0,"",[1]对账明细接口!$AC546),"")</f>
      </c>
      <c r="AH546" s="7">
        <f>IFERROR(IF([1]对账明细接口!$AD546=0,"",[1]对账明细接口!$AD546),"")</f>
      </c>
      <c r="AI546" s="7">
        <f>IFERROR(IF([1]对账明细接口!$AE546=0,"",[1]对账明细接口!$AE546),"")</f>
      </c>
      <c r="AJ546" s="7">
        <f>IFERROR(IF([1]对账明细接口!$AF546=0,"",[1]对账明细接口!$AF546),"")</f>
      </c>
    </row>
    <row r="547" ht="14.25" customHeight="1" s="127">
      <c r="A547" s="14" t="n">
        <v>547</v>
      </c>
      <c r="B547" s="211">
        <f>IFERROR(IF([1]对账明细接口!$B$547=0,"",[1]对账明细接口!$B$547),"")</f>
        <v>46285.0</v>
      </c>
      <c r="C547" s="16" t="str">
        <f>IFERROR(IF([1]对账明细接口!$C$547=0,"",[1]对账明细接口!$C$547),"")</f>
        <v>马锦祥</v>
      </c>
      <c r="D547" s="16" t="str">
        <f>IFERROR(IF([1]对账明细接口!$D$547=0,"",[1]对账明细接口!$D$547),"")</f>
        <v>原料出库－原筐出库</v>
      </c>
      <c r="E547" s="16" t="str">
        <f>IFERROR(IF([1]对账明细接口!$E$547=0,"",[1]对账明细接口!$E$547),"")</f>
        <v>NO:0001199</v>
      </c>
      <c r="F547" s="16" t="str">
        <f>IFERROR(IF([1]对账明细接口!$F$547=0,"",[1]对账明细接口!$F$547),"")</f>
        <v>苹果</v>
      </c>
      <c r="G547" s="16" t="str">
        <f>IFERROR(IF([1]对账明细接口!$G$547=0,"",[1]对账明细接口!$G$547),"")</f>
        <v>海棠果</v>
      </c>
      <c r="H547" s="176">
        <f>IFERROR(IF([1]对账明细接口!$H$547=0,"",[1]对账明细接口!$H$547),"")</f>
        <v>60</v>
      </c>
      <c r="I547" s="16" t="str">
        <f>IFERROR(IF([1]对账明细接口!$I$547=0,"",[1]对账明细接口!$I$547),"")</f>
        <v>筐</v>
      </c>
      <c r="J547" s="177">
        <f>IFERROR(IF([1]对账明细接口!$J$547=0,"",[1]对账明细接口!$J$547),"")</f>
        <v>180</v>
      </c>
      <c r="K547" s="177">
        <f>IFERROR(IF([1]对账明细接口!$K$547=0,"",[1]对账明细接口!$K$547),"")</f>
      </c>
      <c r="L547" s="16">
        <f>IFERROR(IF([1]对账明细接口!$L$547=0,"",[1]对账明细接口!$L$547),"")</f>
      </c>
      <c r="M547" s="16">
        <f>IFERROR(IF([1]对账明细接口!$M$547=0,"",[1]对账明细接口!$M$547),"")</f>
      </c>
      <c r="N547" s="19">
        <f>IF($C547="",0,1)</f>
        <v>1</v>
      </c>
      <c r="O547" s="19">
        <f>N(O546)+$N547</f>
        <v>544</v>
      </c>
      <c r="S547" s="20" t="str">
        <f>IFERROR(IF([1]对账明细接口!$N547=0,"",[1]对账明细接口!$N547),"")</f>
        <v>自备一次性筐</v>
      </c>
      <c r="T547" s="212">
        <f>IFERROR(IF([1]对账明细接口!$O547=0,"",[1]对账明细接口!$O547),"")</f>
        <v>60</v>
      </c>
      <c r="U547" s="212">
        <f>IFERROR(IF([1]对账明细接口!$P547=0,"",[1]对账明细接口!$P547),"")</f>
      </c>
      <c r="V547" s="212">
        <f>IFERROR(IF([1]对账明细接口!$Q547=0,"",[1]对账明细接口!$Q547),"")</f>
      </c>
      <c r="W547" s="20" t="str">
        <f>IFERROR(IF([1]对账明细接口!$R547=0,"",[1]对账明细接口!$R547),"")</f>
        <v>新N*B6R39</v>
      </c>
      <c r="X547" s="20" t="str">
        <f>IFERROR(IF([1]对账明细接口!$S547=0,"",[1]对账明细接口!$S547),"")</f>
        <v>自备筐</v>
      </c>
      <c r="Y547" s="20">
        <f>IFERROR(IF([1]对账明细接口!$T547=0,"",[1]对账明细接口!$T547),"")</f>
      </c>
      <c r="Z547" s="213">
        <f>IFERROR(IF([1]对账明细接口!$U547=0,"",[1]对账明细接口!$U547),"")</f>
      </c>
      <c r="AA547" s="213">
        <f>IFERROR(IF([1]对账明细接口!$V547=0,"",[1]对账明细接口!$V547),"")</f>
      </c>
      <c r="AB547" s="20">
        <f>IFERROR(IF([1]对账明细接口!$W547=0,"",[1]对账明细接口!$W547),"")</f>
      </c>
      <c r="AC547" s="7">
        <f>IFERROR(IF([1]对账明细接口!$X547=0,"",[1]对账明细接口!$X547),"")</f>
      </c>
      <c r="AD547" s="7">
        <f>IFERROR(IF([1]对账明细接口!$Y547=0,"",[1]对账明细接口!$Y547),"")</f>
      </c>
      <c r="AE547" s="7">
        <f>IFERROR(IF([1]对账明细接口!$AA547=0,"",[1]对账明细接口!$AA547),"")</f>
      </c>
      <c r="AF547" s="7">
        <f>IFERROR(IF([1]对账明细接口!$AB547=0,"",[1]对账明细接口!$AB547),"")</f>
      </c>
      <c r="AG547" s="7">
        <f>IFERROR(IF([1]对账明细接口!$AC547=0,"",[1]对账明细接口!$AC547),"")</f>
      </c>
      <c r="AH547" s="7">
        <f>IFERROR(IF([1]对账明细接口!$AD547=0,"",[1]对账明细接口!$AD547),"")</f>
      </c>
      <c r="AI547" s="7">
        <f>IFERROR(IF([1]对账明细接口!$AE547=0,"",[1]对账明细接口!$AE547),"")</f>
      </c>
      <c r="AJ547" s="7">
        <f>IFERROR(IF([1]对账明细接口!$AF547=0,"",[1]对账明细接口!$AF547),"")</f>
      </c>
    </row>
    <row r="548" ht="14.25" customHeight="1" s="127">
      <c r="A548" s="14" t="n">
        <v>548</v>
      </c>
      <c r="B548" s="211">
        <f>IFERROR(IF([1]对账明细接口!$B$548=0,"",[1]对账明细接口!$B$548),"")</f>
        <v>46285.0</v>
      </c>
      <c r="C548" s="16" t="str">
        <f>IFERROR(IF([1]对账明细接口!$C$548=0,"",[1]对账明细接口!$C$548),"")</f>
        <v>王照雪</v>
      </c>
      <c r="D548" s="16" t="str">
        <f>IFERROR(IF([1]对账明细接口!$D$548=0,"",[1]对账明细接口!$D$548),"")</f>
        <v>原料出库－出库加工</v>
      </c>
      <c r="E548" s="16" t="str">
        <f>IFERROR(IF([1]对账明细接口!$E$548=0,"",[1]对账明细接口!$E$548),"")</f>
        <v>NO:0001202</v>
      </c>
      <c r="F548" s="16" t="str">
        <f>IFERROR(IF([1]对账明细接口!$F$548=0,"",[1]对账明细接口!$F$548),"")</f>
        <v>苹果</v>
      </c>
      <c r="G548" s="16" t="str">
        <f>IFERROR(IF([1]对账明细接口!$G$548=0,"",[1]对账明细接口!$G$548),"")</f>
        <v>新世纪二级</v>
      </c>
      <c r="H548" s="176">
        <f>IFERROR(IF([1]对账明细接口!$H$548=0,"",[1]对账明细接口!$H$548),"")</f>
        <v>193</v>
      </c>
      <c r="I548" s="16" t="str">
        <f>IFERROR(IF([1]对账明细接口!$I$548=0,"",[1]对账明细接口!$I$548),"")</f>
        <v>筐</v>
      </c>
      <c r="J548" s="177">
        <f>IFERROR(IF([1]对账明细接口!$J$548=0,"",[1]对账明细接口!$J$548),"")</f>
      </c>
      <c r="K548" s="177">
        <f>IFERROR(IF([1]对账明细接口!$K$548=0,"",[1]对账明细接口!$K$548),"")</f>
      </c>
      <c r="L548" s="16">
        <f>IFERROR(IF([1]对账明细接口!$L$548=0,"",[1]对账明细接口!$L$548),"")</f>
      </c>
      <c r="M548" s="16">
        <f>IFERROR(IF([1]对账明细接口!$M$548=0,"",[1]对账明细接口!$M$548),"")</f>
      </c>
      <c r="N548" s="19">
        <f>IF($C548="",0,1)</f>
        <v>1</v>
      </c>
      <c r="O548" s="19">
        <f>N(O547)+$N548</f>
        <v>545</v>
      </c>
      <c r="S548" s="20">
        <f>IFERROR(IF([1]对账明细接口!$N548=0,"",[1]对账明细接口!$N548),"")</f>
      </c>
      <c r="T548" s="212">
        <f>IFERROR(IF([1]对账明细接口!$O548=0,"",[1]对账明细接口!$O548),"")</f>
      </c>
      <c r="U548" s="212">
        <f>IFERROR(IF([1]对账明细接口!$P548=0,"",[1]对账明细接口!$P548),"")</f>
      </c>
      <c r="V548" s="212">
        <f>IFERROR(IF([1]对账明细接口!$Q548=0,"",[1]对账明细接口!$Q548),"")</f>
      </c>
      <c r="W548" s="20">
        <f>IFERROR(IF([1]对账明细接口!$R548=0,"",[1]对账明细接口!$R548),"")</f>
      </c>
      <c r="X548" s="20">
        <f>IFERROR(IF([1]对账明细接口!$S548=0,"",[1]对账明细接口!$S548),"")</f>
      </c>
      <c r="Y548" s="20">
        <f>IFERROR(IF([1]对账明细接口!$T548=0,"",[1]对账明细接口!$T548),"")</f>
      </c>
      <c r="Z548" s="213">
        <f>IFERROR(IF([1]对账明细接口!$U548=0,"",[1]对账明细接口!$U548),"")</f>
      </c>
      <c r="AA548" s="213">
        <f>IFERROR(IF([1]对账明细接口!$V548=0,"",[1]对账明细接口!$V548),"")</f>
      </c>
      <c r="AB548" s="20">
        <f>IFERROR(IF([1]对账明细接口!$W548=0,"",[1]对账明细接口!$W548),"")</f>
      </c>
      <c r="AC548" s="7">
        <f>IFERROR(IF([1]对账明细接口!$X548=0,"",[1]对账明细接口!$X548),"")</f>
      </c>
      <c r="AD548" s="7">
        <f>IFERROR(IF([1]对账明细接口!$Y548=0,"",[1]对账明细接口!$Y548),"")</f>
      </c>
      <c r="AE548" s="7">
        <f>IFERROR(IF([1]对账明细接口!$AA548=0,"",[1]对账明细接口!$AA548),"")</f>
      </c>
      <c r="AF548" s="7">
        <f>IFERROR(IF([1]对账明细接口!$AB548=0,"",[1]对账明细接口!$AB548),"")</f>
      </c>
      <c r="AG548" s="7">
        <f>IFERROR(IF([1]对账明细接口!$AC548=0,"",[1]对账明细接口!$AC548),"")</f>
      </c>
      <c r="AH548" s="7">
        <f>IFERROR(IF([1]对账明细接口!$AD548=0,"",[1]对账明细接口!$AD548),"")</f>
      </c>
      <c r="AI548" s="7">
        <f>IFERROR(IF([1]对账明细接口!$AE548=0,"",[1]对账明细接口!$AE548),"")</f>
      </c>
      <c r="AJ548" s="7">
        <f>IFERROR(IF([1]对账明细接口!$AF548=0,"",[1]对账明细接口!$AF548),"")</f>
      </c>
    </row>
    <row r="549" ht="14.25" customHeight="1" s="127">
      <c r="A549" s="14" t="n">
        <v>549</v>
      </c>
      <c r="B549" s="211">
        <f>IFERROR(IF([1]对账明细接口!$B$549=0,"",[1]对账明细接口!$B$549),"")</f>
        <v>46286.0</v>
      </c>
      <c r="C549" s="16" t="str">
        <f>IFERROR(IF([1]对账明细接口!$C$549=0,"",[1]对账明细接口!$C$549),"")</f>
        <v>王灵云</v>
      </c>
      <c r="D549" s="16" t="str">
        <f>IFERROR(IF([1]对账明细接口!$D$549=0,"",[1]对账明细接口!$D$549),"")</f>
        <v>原料出库－出库加工</v>
      </c>
      <c r="E549" s="16" t="str">
        <f>IFERROR(IF([1]对账明细接口!$E$549=0,"",[1]对账明细接口!$E$549),"")</f>
        <v>NO:0001205</v>
      </c>
      <c r="F549" s="16" t="str">
        <f>IFERROR(IF([1]对账明细接口!$F$549=0,"",[1]对账明细接口!$F$549),"")</f>
        <v>香梨</v>
      </c>
      <c r="G549" s="16" t="str">
        <f>IFERROR(IF([1]对账明细接口!$G$549=0,"",[1]对账明细接口!$G$549),"")</f>
        <v>香梨一级</v>
      </c>
      <c r="H549" s="176">
        <f>IFERROR(IF([1]对账明细接口!$H$549=0,"",[1]对账明细接口!$H$549),"")</f>
        <v>384</v>
      </c>
      <c r="I549" s="16" t="str">
        <f>IFERROR(IF([1]对账明细接口!$I$549=0,"",[1]对账明细接口!$I$549),"")</f>
        <v>筐</v>
      </c>
      <c r="J549" s="177">
        <f>IFERROR(IF([1]对账明细接口!$J$549=0,"",[1]对账明细接口!$J$549),"")</f>
      </c>
      <c r="K549" s="177">
        <f>IFERROR(IF([1]对账明细接口!$K$549=0,"",[1]对账明细接口!$K$549),"")</f>
      </c>
      <c r="L549" s="16">
        <f>IFERROR(IF([1]对账明细接口!$L$549=0,"",[1]对账明细接口!$L$549),"")</f>
      </c>
      <c r="M549" s="16">
        <f>IFERROR(IF([1]对账明细接口!$M$549=0,"",[1]对账明细接口!$M$549),"")</f>
      </c>
      <c r="N549" s="19">
        <f>IF($C549="",0,1)</f>
        <v>1</v>
      </c>
      <c r="O549" s="19">
        <f>N(O548)+$N549</f>
        <v>546</v>
      </c>
      <c r="S549" s="20">
        <f>IFERROR(IF([1]对账明细接口!$N549=0,"",[1]对账明细接口!$N549),"")</f>
      </c>
      <c r="T549" s="212">
        <f>IFERROR(IF([1]对账明细接口!$O549=0,"",[1]对账明细接口!$O549),"")</f>
      </c>
      <c r="U549" s="212">
        <f>IFERROR(IF([1]对账明细接口!$P549=0,"",[1]对账明细接口!$P549),"")</f>
      </c>
      <c r="V549" s="212">
        <f>IFERROR(IF([1]对账明细接口!$Q549=0,"",[1]对账明细接口!$Q549),"")</f>
      </c>
      <c r="W549" s="20">
        <f>IFERROR(IF([1]对账明细接口!$R549=0,"",[1]对账明细接口!$R549),"")</f>
      </c>
      <c r="X549" s="20">
        <f>IFERROR(IF([1]对账明细接口!$S549=0,"",[1]对账明细接口!$S549),"")</f>
      </c>
      <c r="Y549" s="20">
        <f>IFERROR(IF([1]对账明细接口!$T549=0,"",[1]对账明细接口!$T549),"")</f>
      </c>
      <c r="Z549" s="213">
        <f>IFERROR(IF([1]对账明细接口!$U549=0,"",[1]对账明细接口!$U549),"")</f>
      </c>
      <c r="AA549" s="213">
        <f>IFERROR(IF([1]对账明细接口!$V549=0,"",[1]对账明细接口!$V549),"")</f>
      </c>
      <c r="AB549" s="20">
        <f>IFERROR(IF([1]对账明细接口!$W549=0,"",[1]对账明细接口!$W549),"")</f>
      </c>
      <c r="AC549" s="7">
        <f>IFERROR(IF([1]对账明细接口!$X549=0,"",[1]对账明细接口!$X549),"")</f>
      </c>
      <c r="AD549" s="7">
        <f>IFERROR(IF([1]对账明细接口!$Y549=0,"",[1]对账明细接口!$Y549),"")</f>
      </c>
      <c r="AE549" s="7">
        <f>IFERROR(IF([1]对账明细接口!$AA549=0,"",[1]对账明细接口!$AA549),"")</f>
      </c>
      <c r="AF549" s="7">
        <f>IFERROR(IF([1]对账明细接口!$AB549=0,"",[1]对账明细接口!$AB549),"")</f>
      </c>
      <c r="AG549" s="7">
        <f>IFERROR(IF([1]对账明细接口!$AC549=0,"",[1]对账明细接口!$AC549),"")</f>
      </c>
      <c r="AH549" s="7">
        <f>IFERROR(IF([1]对账明细接口!$AD549=0,"",[1]对账明细接口!$AD549),"")</f>
      </c>
      <c r="AI549" s="7">
        <f>IFERROR(IF([1]对账明细接口!$AE549=0,"",[1]对账明细接口!$AE549),"")</f>
      </c>
      <c r="AJ549" s="7">
        <f>IFERROR(IF([1]对账明细接口!$AF549=0,"",[1]对账明细接口!$AF549),"")</f>
      </c>
    </row>
    <row r="550" ht="14.25" customHeight="1" s="127">
      <c r="A550" s="14" t="n">
        <v>550</v>
      </c>
      <c r="B550" s="211">
        <f>IFERROR(IF([1]对账明细接口!$B$550=0,"",[1]对账明细接口!$B$550),"")</f>
        <v>46286.0</v>
      </c>
      <c r="C550" s="16" t="str">
        <f>IFERROR(IF([1]对账明细接口!$C$550=0,"",[1]对账明细接口!$C$550),"")</f>
        <v>王照雪</v>
      </c>
      <c r="D550" s="16" t="str">
        <f>IFERROR(IF([1]对账明细接口!$D$550=0,"",[1]对账明细接口!$D$550),"")</f>
        <v>原料出库－原筐出库</v>
      </c>
      <c r="E550" s="16" t="str">
        <f>IFERROR(IF([1]对账明细接口!$E$550=0,"",[1]对账明细接口!$E$550),"")</f>
        <v>NO:0001211</v>
      </c>
      <c r="F550" s="16" t="str">
        <f>IFERROR(IF([1]对账明细接口!$F$550=0,"",[1]对账明细接口!$F$550),"")</f>
        <v>苹果</v>
      </c>
      <c r="G550" s="16" t="str">
        <f>IFERROR(IF([1]对账明细接口!$G$550=0,"",[1]对账明细接口!$G$550),"")</f>
        <v>早富士二级</v>
      </c>
      <c r="H550" s="176">
        <f>IFERROR(IF([1]对账明细接口!$H$550=0,"",[1]对账明细接口!$H$550),"")</f>
        <v>22</v>
      </c>
      <c r="I550" s="16" t="str">
        <f>IFERROR(IF([1]对账明细接口!$I$550=0,"",[1]对账明细接口!$I$550),"")</f>
        <v>筐</v>
      </c>
      <c r="J550" s="177">
        <f>IFERROR(IF([1]对账明细接口!$J$550=0,"",[1]对账明细接口!$J$550),"")</f>
        <v>490.6</v>
      </c>
      <c r="K550" s="177">
        <f>IFERROR(IF([1]对账明细接口!$K$550=0,"",[1]对账明细接口!$K$550),"")</f>
      </c>
      <c r="L550" s="16">
        <f>IFERROR(IF([1]对账明细接口!$L$550=0,"",[1]对账明细接口!$L$550),"")</f>
      </c>
      <c r="M550" s="16">
        <f>IFERROR(IF([1]对账明细接口!$M$550=0,"",[1]对账明细接口!$M$550),"")</f>
      </c>
      <c r="N550" s="19">
        <f>IF($C550="",0,1)</f>
        <v>1</v>
      </c>
      <c r="O550" s="19">
        <f>N(O549)+$N550</f>
        <v>547</v>
      </c>
      <c r="S550" s="20" t="str">
        <f>IFERROR(IF([1]对账明细接口!$N550=0,"",[1]对账明细接口!$N550),"")</f>
        <v>自备一次性筐</v>
      </c>
      <c r="T550" s="212">
        <f>IFERROR(IF([1]对账明细接口!$O550=0,"",[1]对账明细接口!$O550),"")</f>
        <v>22</v>
      </c>
      <c r="U550" s="212">
        <f>IFERROR(IF([1]对账明细接口!$P550=0,"",[1]对账明细接口!$P550),"")</f>
      </c>
      <c r="V550" s="212">
        <f>IFERROR(IF([1]对账明细接口!$Q550=0,"",[1]对账明细接口!$Q550),"")</f>
      </c>
      <c r="W550" s="20" t="str">
        <f>IFERROR(IF([1]对账明细接口!$R550=0,"",[1]对账明细接口!$R550),"")</f>
        <v>新A*G9383</v>
      </c>
      <c r="X550" s="20" t="str">
        <f>IFERROR(IF([1]对账明细接口!$S550=0,"",[1]对账明细接口!$S550),"")</f>
        <v>自备筐</v>
      </c>
      <c r="Y550" s="20">
        <f>IFERROR(IF([1]对账明细接口!$T550=0,"",[1]对账明细接口!$T550),"")</f>
      </c>
      <c r="Z550" s="213">
        <f>IFERROR(IF([1]对账明细接口!$U550=0,"",[1]对账明细接口!$U550),"")</f>
      </c>
      <c r="AA550" s="213">
        <f>IFERROR(IF([1]对账明细接口!$V550=0,"",[1]对账明细接口!$V550),"")</f>
      </c>
      <c r="AB550" s="20">
        <f>IFERROR(IF([1]对账明细接口!$W550=0,"",[1]对账明细接口!$W550),"")</f>
      </c>
      <c r="AC550" s="7">
        <f>IFERROR(IF([1]对账明细接口!$X550=0,"",[1]对账明细接口!$X550),"")</f>
      </c>
      <c r="AD550" s="7">
        <f>IFERROR(IF([1]对账明细接口!$Y550=0,"",[1]对账明细接口!$Y550),"")</f>
      </c>
      <c r="AE550" s="7">
        <f>IFERROR(IF([1]对账明细接口!$AA550=0,"",[1]对账明细接口!$AA550),"")</f>
      </c>
      <c r="AF550" s="7">
        <f>IFERROR(IF([1]对账明细接口!$AB550=0,"",[1]对账明细接口!$AB550),"")</f>
      </c>
      <c r="AG550" s="7">
        <f>IFERROR(IF([1]对账明细接口!$AC550=0,"",[1]对账明细接口!$AC550),"")</f>
      </c>
      <c r="AH550" s="7">
        <f>IFERROR(IF([1]对账明细接口!$AD550=0,"",[1]对账明细接口!$AD550),"")</f>
      </c>
      <c r="AI550" s="7">
        <f>IFERROR(IF([1]对账明细接口!$AE550=0,"",[1]对账明细接口!$AE550),"")</f>
      </c>
      <c r="AJ550" s="7">
        <f>IFERROR(IF([1]对账明细接口!$AF550=0,"",[1]对账明细接口!$AF550),"")</f>
      </c>
    </row>
    <row r="551" ht="14.25" customHeight="1" s="127">
      <c r="A551" s="14" t="n">
        <v>551</v>
      </c>
      <c r="B551" s="211">
        <f>IFERROR(IF([1]对账明细接口!$B$551=0,"",[1]对账明细接口!$B$551),"")</f>
        <v>46286.0</v>
      </c>
      <c r="C551" s="16" t="str">
        <f>IFERROR(IF([1]对账明细接口!$C$551=0,"",[1]对账明细接口!$C$551),"")</f>
        <v>王照雪</v>
      </c>
      <c r="D551" s="16" t="str">
        <f>IFERROR(IF([1]对账明细接口!$D$551=0,"",[1]对账明细接口!$D$551),"")</f>
        <v>原料出库－出库加工</v>
      </c>
      <c r="E551" s="16" t="str">
        <f>IFERROR(IF([1]对账明细接口!$E$551=0,"",[1]对账明细接口!$E$551),"")</f>
        <v>NO:0001212</v>
      </c>
      <c r="F551" s="16" t="str">
        <f>IFERROR(IF([1]对账明细接口!$F$551=0,"",[1]对账明细接口!$F$551),"")</f>
        <v>苹果</v>
      </c>
      <c r="G551" s="16" t="str">
        <f>IFERROR(IF([1]对账明细接口!$G$551=0,"",[1]对账明细接口!$G$551),"")</f>
        <v>新世纪一级</v>
      </c>
      <c r="H551" s="176">
        <f>IFERROR(IF([1]对账明细接口!$H$551=0,"",[1]对账明细接口!$H$551),"")</f>
        <v>42</v>
      </c>
      <c r="I551" s="16" t="str">
        <f>IFERROR(IF([1]对账明细接口!$I$551=0,"",[1]对账明细接口!$I$551),"")</f>
        <v>筐</v>
      </c>
      <c r="J551" s="177">
        <f>IFERROR(IF([1]对账明细接口!$J$551=0,"",[1]对账明细接口!$J$551),"")</f>
      </c>
      <c r="K551" s="177">
        <f>IFERROR(IF([1]对账明细接口!$K$551=0,"",[1]对账明细接口!$K$551),"")</f>
      </c>
      <c r="L551" s="16">
        <f>IFERROR(IF([1]对账明细接口!$L$551=0,"",[1]对账明细接口!$L$551),"")</f>
      </c>
      <c r="M551" s="16">
        <f>IFERROR(IF([1]对账明细接口!$M$551=0,"",[1]对账明细接口!$M$551),"")</f>
      </c>
      <c r="N551" s="19">
        <f>IF($C551="",0,1)</f>
        <v>1</v>
      </c>
      <c r="O551" s="19">
        <f>N(O550)+$N551</f>
        <v>548</v>
      </c>
      <c r="S551" s="20">
        <f>IFERROR(IF([1]对账明细接口!$N551=0,"",[1]对账明细接口!$N551),"")</f>
      </c>
      <c r="T551" s="212">
        <f>IFERROR(IF([1]对账明细接口!$O551=0,"",[1]对账明细接口!$O551),"")</f>
      </c>
      <c r="U551" s="212">
        <f>IFERROR(IF([1]对账明细接口!$P551=0,"",[1]对账明细接口!$P551),"")</f>
      </c>
      <c r="V551" s="212">
        <f>IFERROR(IF([1]对账明细接口!$Q551=0,"",[1]对账明细接口!$Q551),"")</f>
      </c>
      <c r="W551" s="20">
        <f>IFERROR(IF([1]对账明细接口!$R551=0,"",[1]对账明细接口!$R551),"")</f>
      </c>
      <c r="X551" s="20">
        <f>IFERROR(IF([1]对账明细接口!$S551=0,"",[1]对账明细接口!$S551),"")</f>
      </c>
      <c r="Y551" s="20">
        <f>IFERROR(IF([1]对账明细接口!$T551=0,"",[1]对账明细接口!$T551),"")</f>
      </c>
      <c r="Z551" s="213">
        <f>IFERROR(IF([1]对账明细接口!$U551=0,"",[1]对账明细接口!$U551),"")</f>
      </c>
      <c r="AA551" s="213">
        <f>IFERROR(IF([1]对账明细接口!$V551=0,"",[1]对账明细接口!$V551),"")</f>
      </c>
      <c r="AB551" s="20">
        <f>IFERROR(IF([1]对账明细接口!$W551=0,"",[1]对账明细接口!$W551),"")</f>
      </c>
      <c r="AC551" s="7">
        <f>IFERROR(IF([1]对账明细接口!$X551=0,"",[1]对账明细接口!$X551),"")</f>
      </c>
      <c r="AD551" s="7">
        <f>IFERROR(IF([1]对账明细接口!$Y551=0,"",[1]对账明细接口!$Y551),"")</f>
      </c>
      <c r="AE551" s="7">
        <f>IFERROR(IF([1]对账明细接口!$AA551=0,"",[1]对账明细接口!$AA551),"")</f>
      </c>
      <c r="AF551" s="7">
        <f>IFERROR(IF([1]对账明细接口!$AB551=0,"",[1]对账明细接口!$AB551),"")</f>
      </c>
      <c r="AG551" s="7">
        <f>IFERROR(IF([1]对账明细接口!$AC551=0,"",[1]对账明细接口!$AC551),"")</f>
      </c>
      <c r="AH551" s="7">
        <f>IFERROR(IF([1]对账明细接口!$AD551=0,"",[1]对账明细接口!$AD551),"")</f>
      </c>
      <c r="AI551" s="7">
        <f>IFERROR(IF([1]对账明细接口!$AE551=0,"",[1]对账明细接口!$AE551),"")</f>
      </c>
      <c r="AJ551" s="7">
        <f>IFERROR(IF([1]对账明细接口!$AF551=0,"",[1]对账明细接口!$AF551),"")</f>
      </c>
    </row>
    <row r="552" ht="14.25" customHeight="1" s="127">
      <c r="A552" s="14" t="n">
        <v>552</v>
      </c>
      <c r="B552" s="211">
        <f>IFERROR(IF([1]对账明细接口!$B$552=0,"",[1]对账明细接口!$B$552),"")</f>
        <v>46287.0</v>
      </c>
      <c r="C552" s="16" t="str">
        <f>IFERROR(IF([1]对账明细接口!$C$552=0,"",[1]对账明细接口!$C$552),"")</f>
        <v>王灵云</v>
      </c>
      <c r="D552" s="16" t="str">
        <f>IFERROR(IF([1]对账明细接口!$D$552=0,"",[1]对账明细接口!$D$552),"")</f>
        <v>原料出库－出库加工</v>
      </c>
      <c r="E552" s="16" t="str">
        <f>IFERROR(IF([1]对账明细接口!$E$552=0,"",[1]对账明细接口!$E$552),"")</f>
        <v>NO:0001214</v>
      </c>
      <c r="F552" s="16" t="str">
        <f>IFERROR(IF([1]对账明细接口!$F$552=0,"",[1]对账明细接口!$F$552),"")</f>
        <v>香梨</v>
      </c>
      <c r="G552" s="16" t="str">
        <f>IFERROR(IF([1]对账明细接口!$G$552=0,"",[1]对账明细接口!$G$552),"")</f>
        <v>香梨一级</v>
      </c>
      <c r="H552" s="176">
        <f>IFERROR(IF([1]对账明细接口!$H$552=0,"",[1]对账明细接口!$H$552),"")</f>
        <v>523</v>
      </c>
      <c r="I552" s="16" t="str">
        <f>IFERROR(IF([1]对账明细接口!$I$552=0,"",[1]对账明细接口!$I$552),"")</f>
        <v>筐</v>
      </c>
      <c r="J552" s="177">
        <f>IFERROR(IF([1]对账明细接口!$J$552=0,"",[1]对账明细接口!$J$552),"")</f>
      </c>
      <c r="K552" s="177">
        <f>IFERROR(IF([1]对账明细接口!$K$552=0,"",[1]对账明细接口!$K$552),"")</f>
      </c>
      <c r="L552" s="16">
        <f>IFERROR(IF([1]对账明细接口!$L$552=0,"",[1]对账明细接口!$L$552),"")</f>
      </c>
      <c r="M552" s="16">
        <f>IFERROR(IF([1]对账明细接口!$M$552=0,"",[1]对账明细接口!$M$552),"")</f>
      </c>
      <c r="N552" s="19">
        <f>IF($C552="",0,1)</f>
        <v>1</v>
      </c>
      <c r="O552" s="19">
        <f>N(O551)+$N552</f>
        <v>549</v>
      </c>
      <c r="S552" s="20">
        <f>IFERROR(IF([1]对账明细接口!$N552=0,"",[1]对账明细接口!$N552),"")</f>
      </c>
      <c r="T552" s="212">
        <f>IFERROR(IF([1]对账明细接口!$O552=0,"",[1]对账明细接口!$O552),"")</f>
      </c>
      <c r="U552" s="212">
        <f>IFERROR(IF([1]对账明细接口!$P552=0,"",[1]对账明细接口!$P552),"")</f>
      </c>
      <c r="V552" s="212">
        <f>IFERROR(IF([1]对账明细接口!$Q552=0,"",[1]对账明细接口!$Q552),"")</f>
      </c>
      <c r="W552" s="20">
        <f>IFERROR(IF([1]对账明细接口!$R552=0,"",[1]对账明细接口!$R552),"")</f>
      </c>
      <c r="X552" s="20">
        <f>IFERROR(IF([1]对账明细接口!$S552=0,"",[1]对账明细接口!$S552),"")</f>
      </c>
      <c r="Y552" s="20">
        <f>IFERROR(IF([1]对账明细接口!$T552=0,"",[1]对账明细接口!$T552),"")</f>
      </c>
      <c r="Z552" s="213">
        <f>IFERROR(IF([1]对账明细接口!$U552=0,"",[1]对账明细接口!$U552),"")</f>
      </c>
      <c r="AA552" s="213">
        <f>IFERROR(IF([1]对账明细接口!$V552=0,"",[1]对账明细接口!$V552),"")</f>
      </c>
      <c r="AB552" s="20">
        <f>IFERROR(IF([1]对账明细接口!$W552=0,"",[1]对账明细接口!$W552),"")</f>
      </c>
      <c r="AC552" s="7">
        <f>IFERROR(IF([1]对账明细接口!$X552=0,"",[1]对账明细接口!$X552),"")</f>
      </c>
      <c r="AD552" s="7">
        <f>IFERROR(IF([1]对账明细接口!$Y552=0,"",[1]对账明细接口!$Y552),"")</f>
      </c>
      <c r="AE552" s="7">
        <f>IFERROR(IF([1]对账明细接口!$AA552=0,"",[1]对账明细接口!$AA552),"")</f>
      </c>
      <c r="AF552" s="7">
        <f>IFERROR(IF([1]对账明细接口!$AB552=0,"",[1]对账明细接口!$AB552),"")</f>
      </c>
      <c r="AG552" s="7">
        <f>IFERROR(IF([1]对账明细接口!$AC552=0,"",[1]对账明细接口!$AC552),"")</f>
      </c>
      <c r="AH552" s="7">
        <f>IFERROR(IF([1]对账明细接口!$AD552=0,"",[1]对账明细接口!$AD552),"")</f>
      </c>
      <c r="AI552" s="7">
        <f>IFERROR(IF([1]对账明细接口!$AE552=0,"",[1]对账明细接口!$AE552),"")</f>
      </c>
      <c r="AJ552" s="7">
        <f>IFERROR(IF([1]对账明细接口!$AF552=0,"",[1]对账明细接口!$AF552),"")</f>
      </c>
    </row>
    <row r="553" ht="14.25" customHeight="1" s="127">
      <c r="A553" s="14" t="n">
        <v>553</v>
      </c>
      <c r="B553" s="211">
        <f>IFERROR(IF([1]对账明细接口!$B$553=0,"",[1]对账明细接口!$B$553),"")</f>
        <v>46288.0</v>
      </c>
      <c r="C553" s="16" t="str">
        <f>IFERROR(IF([1]对账明细接口!$C$553=0,"",[1]对账明细接口!$C$553),"")</f>
        <v>麦麦提</v>
      </c>
      <c r="D553" s="16" t="str">
        <f>IFERROR(IF([1]对账明细接口!$D$553=0,"",[1]对账明细接口!$D$553),"")</f>
        <v>原料出库－出库加工</v>
      </c>
      <c r="E553" s="16" t="str">
        <f>IFERROR(IF([1]对账明细接口!$E$553=0,"",[1]对账明细接口!$E$553),"")</f>
        <v>NO:0001220</v>
      </c>
      <c r="F553" s="16" t="str">
        <f>IFERROR(IF([1]对账明细接口!$F$553=0,"",[1]对账明细接口!$F$553),"")</f>
        <v>香梨</v>
      </c>
      <c r="G553" s="16" t="str">
        <f>IFERROR(IF([1]对账明细接口!$G$553=0,"",[1]对账明细接口!$G$553),"")</f>
        <v>香梨特级</v>
      </c>
      <c r="H553" s="176">
        <f>IFERROR(IF([1]对账明细接口!$H$553=0,"",[1]对账明细接口!$H$553),"")</f>
        <v>112</v>
      </c>
      <c r="I553" s="16" t="str">
        <f>IFERROR(IF([1]对账明细接口!$I$553=0,"",[1]对账明细接口!$I$553),"")</f>
        <v>筐</v>
      </c>
      <c r="J553" s="177">
        <f>IFERROR(IF([1]对账明细接口!$J$553=0,"",[1]对账明细接口!$J$553),"")</f>
      </c>
      <c r="K553" s="177">
        <f>IFERROR(IF([1]对账明细接口!$K$553=0,"",[1]对账明细接口!$K$553),"")</f>
      </c>
      <c r="L553" s="16">
        <f>IFERROR(IF([1]对账明细接口!$L$553=0,"",[1]对账明细接口!$L$553),"")</f>
      </c>
      <c r="M553" s="16">
        <f>IFERROR(IF([1]对账明细接口!$M$553=0,"",[1]对账明细接口!$M$553),"")</f>
      </c>
      <c r="N553" s="19">
        <f>IF($C553="",0,1)</f>
        <v>1</v>
      </c>
      <c r="O553" s="19">
        <f>N(O552)+$N553</f>
        <v>550</v>
      </c>
      <c r="S553" s="20">
        <f>IFERROR(IF([1]对账明细接口!$N553=0,"",[1]对账明细接口!$N553),"")</f>
      </c>
      <c r="T553" s="212">
        <f>IFERROR(IF([1]对账明细接口!$O553=0,"",[1]对账明细接口!$O553),"")</f>
      </c>
      <c r="U553" s="212">
        <f>IFERROR(IF([1]对账明细接口!$P553=0,"",[1]对账明细接口!$P553),"")</f>
      </c>
      <c r="V553" s="212">
        <f>IFERROR(IF([1]对账明细接口!$Q553=0,"",[1]对账明细接口!$Q553),"")</f>
      </c>
      <c r="W553" s="20">
        <f>IFERROR(IF([1]对账明细接口!$R553=0,"",[1]对账明细接口!$R553),"")</f>
      </c>
      <c r="X553" s="20">
        <f>IFERROR(IF([1]对账明细接口!$S553=0,"",[1]对账明细接口!$S553),"")</f>
      </c>
      <c r="Y553" s="20">
        <f>IFERROR(IF([1]对账明细接口!$T553=0,"",[1]对账明细接口!$T553),"")</f>
      </c>
      <c r="Z553" s="213">
        <f>IFERROR(IF([1]对账明细接口!$U553=0,"",[1]对账明细接口!$U553),"")</f>
      </c>
      <c r="AA553" s="213">
        <f>IFERROR(IF([1]对账明细接口!$V553=0,"",[1]对账明细接口!$V553),"")</f>
      </c>
      <c r="AB553" s="20">
        <f>IFERROR(IF([1]对账明细接口!$W553=0,"",[1]对账明细接口!$W553),"")</f>
      </c>
      <c r="AC553" s="7">
        <f>IFERROR(IF([1]对账明细接口!$X553=0,"",[1]对账明细接口!$X553),"")</f>
      </c>
      <c r="AD553" s="7">
        <f>IFERROR(IF([1]对账明细接口!$Y553=0,"",[1]对账明细接口!$Y553),"")</f>
      </c>
      <c r="AE553" s="7">
        <f>IFERROR(IF([1]对账明细接口!$AA553=0,"",[1]对账明细接口!$AA553),"")</f>
      </c>
      <c r="AF553" s="7">
        <f>IFERROR(IF([1]对账明细接口!$AB553=0,"",[1]对账明细接口!$AB553),"")</f>
      </c>
      <c r="AG553" s="7">
        <f>IFERROR(IF([1]对账明细接口!$AC553=0,"",[1]对账明细接口!$AC553),"")</f>
      </c>
      <c r="AH553" s="7">
        <f>IFERROR(IF([1]对账明细接口!$AD553=0,"",[1]对账明细接口!$AD553),"")</f>
      </c>
      <c r="AI553" s="7">
        <f>IFERROR(IF([1]对账明细接口!$AE553=0,"",[1]对账明细接口!$AE553),"")</f>
      </c>
      <c r="AJ553" s="7">
        <f>IFERROR(IF([1]对账明细接口!$AF553=0,"",[1]对账明细接口!$AF553),"")</f>
      </c>
    </row>
    <row r="554" ht="14.25" customHeight="1" s="127">
      <c r="A554" s="14" t="n">
        <v>554</v>
      </c>
      <c r="B554" s="211">
        <f>IFERROR(IF([1]对账明细接口!$B$554=0,"",[1]对账明细接口!$B$554),"")</f>
        <v>46288.0</v>
      </c>
      <c r="C554" s="16" t="str">
        <f>IFERROR(IF([1]对账明细接口!$C$554=0,"",[1]对账明细接口!$C$554),"")</f>
        <v>王灵云</v>
      </c>
      <c r="D554" s="16" t="str">
        <f>IFERROR(IF([1]对账明细接口!$D$554=0,"",[1]对账明细接口!$D$554),"")</f>
        <v>原料出库－出库加工</v>
      </c>
      <c r="E554" s="16" t="str">
        <f>IFERROR(IF([1]对账明细接口!$E$554=0,"",[1]对账明细接口!$E$554),"")</f>
        <v>NO:0001221</v>
      </c>
      <c r="F554" s="16" t="str">
        <f>IFERROR(IF([1]对账明细接口!$F$554=0,"",[1]对账明细接口!$F$554),"")</f>
        <v>香梨</v>
      </c>
      <c r="G554" s="16" t="str">
        <f>IFERROR(IF([1]对账明细接口!$G$554=0,"",[1]对账明细接口!$G$554),"")</f>
        <v>香梨一级</v>
      </c>
      <c r="H554" s="176">
        <f>IFERROR(IF([1]对账明细接口!$H$554=0,"",[1]对账明细接口!$H$554),"")</f>
        <v>336</v>
      </c>
      <c r="I554" s="16" t="str">
        <f>IFERROR(IF([1]对账明细接口!$I$554=0,"",[1]对账明细接口!$I$554),"")</f>
        <v>筐</v>
      </c>
      <c r="J554" s="177">
        <f>IFERROR(IF([1]对账明细接口!$J$554=0,"",[1]对账明细接口!$J$554),"")</f>
      </c>
      <c r="K554" s="177">
        <f>IFERROR(IF([1]对账明细接口!$K$554=0,"",[1]对账明细接口!$K$554),"")</f>
      </c>
      <c r="L554" s="16">
        <f>IFERROR(IF([1]对账明细接口!$L$554=0,"",[1]对账明细接口!$L$554),"")</f>
      </c>
      <c r="M554" s="16">
        <f>IFERROR(IF([1]对账明细接口!$M$554=0,"",[1]对账明细接口!$M$554),"")</f>
      </c>
      <c r="N554" s="19">
        <f>IF($C554="",0,1)</f>
        <v>1</v>
      </c>
      <c r="O554" s="19">
        <f>N(O553)+$N554</f>
        <v>551</v>
      </c>
      <c r="S554" s="20">
        <f>IFERROR(IF([1]对账明细接口!$N554=0,"",[1]对账明细接口!$N554),"")</f>
      </c>
      <c r="T554" s="212">
        <f>IFERROR(IF([1]对账明细接口!$O554=0,"",[1]对账明细接口!$O554),"")</f>
      </c>
      <c r="U554" s="212">
        <f>IFERROR(IF([1]对账明细接口!$P554=0,"",[1]对账明细接口!$P554),"")</f>
      </c>
      <c r="V554" s="212">
        <f>IFERROR(IF([1]对账明细接口!$Q554=0,"",[1]对账明细接口!$Q554),"")</f>
      </c>
      <c r="W554" s="20">
        <f>IFERROR(IF([1]对账明细接口!$R554=0,"",[1]对账明细接口!$R554),"")</f>
      </c>
      <c r="X554" s="20">
        <f>IFERROR(IF([1]对账明细接口!$S554=0,"",[1]对账明细接口!$S554),"")</f>
      </c>
      <c r="Y554" s="20">
        <f>IFERROR(IF([1]对账明细接口!$T554=0,"",[1]对账明细接口!$T554),"")</f>
      </c>
      <c r="Z554" s="213">
        <f>IFERROR(IF([1]对账明细接口!$U554=0,"",[1]对账明细接口!$U554),"")</f>
      </c>
      <c r="AA554" s="213">
        <f>IFERROR(IF([1]对账明细接口!$V554=0,"",[1]对账明细接口!$V554),"")</f>
      </c>
      <c r="AB554" s="20">
        <f>IFERROR(IF([1]对账明细接口!$W554=0,"",[1]对账明细接口!$W554),"")</f>
      </c>
      <c r="AC554" s="7">
        <f>IFERROR(IF([1]对账明细接口!$X554=0,"",[1]对账明细接口!$X554),"")</f>
      </c>
      <c r="AD554" s="7">
        <f>IFERROR(IF([1]对账明细接口!$Y554=0,"",[1]对账明细接口!$Y554),"")</f>
      </c>
      <c r="AE554" s="7">
        <f>IFERROR(IF([1]对账明细接口!$AA554=0,"",[1]对账明细接口!$AA554),"")</f>
      </c>
      <c r="AF554" s="7">
        <f>IFERROR(IF([1]对账明细接口!$AB554=0,"",[1]对账明细接口!$AB554),"")</f>
      </c>
      <c r="AG554" s="7">
        <f>IFERROR(IF([1]对账明细接口!$AC554=0,"",[1]对账明细接口!$AC554),"")</f>
      </c>
      <c r="AH554" s="7">
        <f>IFERROR(IF([1]对账明细接口!$AD554=0,"",[1]对账明细接口!$AD554),"")</f>
      </c>
      <c r="AI554" s="7">
        <f>IFERROR(IF([1]对账明细接口!$AE554=0,"",[1]对账明细接口!$AE554),"")</f>
      </c>
      <c r="AJ554" s="7">
        <f>IFERROR(IF([1]对账明细接口!$AF554=0,"",[1]对账明细接口!$AF554),"")</f>
      </c>
    </row>
    <row r="555" ht="14.25" customHeight="1" s="127">
      <c r="A555" s="14" t="n">
        <v>555</v>
      </c>
      <c r="B555" s="211">
        <f>IFERROR(IF([1]对账明细接口!$B$555=0,"",[1]对账明细接口!$B$555),"")</f>
        <v>46288.0</v>
      </c>
      <c r="C555" s="16" t="str">
        <f>IFERROR(IF([1]对账明细接口!$C$555=0,"",[1]对账明细接口!$C$555),"")</f>
        <v>王照雪</v>
      </c>
      <c r="D555" s="16" t="str">
        <f>IFERROR(IF([1]对账明细接口!$D$555=0,"",[1]对账明细接口!$D$555),"")</f>
        <v>原料出库－出库加工</v>
      </c>
      <c r="E555" s="16" t="str">
        <f>IFERROR(IF([1]对账明细接口!$E$555=0,"",[1]对账明细接口!$E$555),"")</f>
        <v>NO:0001225</v>
      </c>
      <c r="F555" s="16" t="str">
        <f>IFERROR(IF([1]对账明细接口!$F$555=0,"",[1]对账明细接口!$F$555),"")</f>
        <v>苹果</v>
      </c>
      <c r="G555" s="16" t="str">
        <f>IFERROR(IF([1]对账明细接口!$G$555=0,"",[1]对账明细接口!$G$555),"")</f>
        <v>新世纪二级</v>
      </c>
      <c r="H555" s="176">
        <f>IFERROR(IF([1]对账明细接口!$H$555=0,"",[1]对账明细接口!$H$555),"")</f>
        <v>339</v>
      </c>
      <c r="I555" s="16" t="str">
        <f>IFERROR(IF([1]对账明细接口!$I$555=0,"",[1]对账明细接口!$I$555),"")</f>
        <v>筐</v>
      </c>
      <c r="J555" s="177">
        <f>IFERROR(IF([1]对账明细接口!$J$555=0,"",[1]对账明细接口!$J$555),"")</f>
      </c>
      <c r="K555" s="177">
        <f>IFERROR(IF([1]对账明细接口!$K$555=0,"",[1]对账明细接口!$K$555),"")</f>
      </c>
      <c r="L555" s="16">
        <f>IFERROR(IF([1]对账明细接口!$L$555=0,"",[1]对账明细接口!$L$555),"")</f>
      </c>
      <c r="M555" s="16">
        <f>IFERROR(IF([1]对账明细接口!$M$555=0,"",[1]对账明细接口!$M$555),"")</f>
      </c>
      <c r="N555" s="19">
        <f>IF($C555="",0,1)</f>
        <v>1</v>
      </c>
      <c r="O555" s="19">
        <f>N(O554)+$N555</f>
        <v>552</v>
      </c>
      <c r="S555" s="20">
        <f>IFERROR(IF([1]对账明细接口!$N555=0,"",[1]对账明细接口!$N555),"")</f>
      </c>
      <c r="T555" s="212">
        <f>IFERROR(IF([1]对账明细接口!$O555=0,"",[1]对账明细接口!$O555),"")</f>
      </c>
      <c r="U555" s="212">
        <f>IFERROR(IF([1]对账明细接口!$P555=0,"",[1]对账明细接口!$P555),"")</f>
      </c>
      <c r="V555" s="212">
        <f>IFERROR(IF([1]对账明细接口!$Q555=0,"",[1]对账明细接口!$Q555),"")</f>
      </c>
      <c r="W555" s="20">
        <f>IFERROR(IF([1]对账明细接口!$R555=0,"",[1]对账明细接口!$R555),"")</f>
      </c>
      <c r="X555" s="20">
        <f>IFERROR(IF([1]对账明细接口!$S555=0,"",[1]对账明细接口!$S555),"")</f>
      </c>
      <c r="Y555" s="20">
        <f>IFERROR(IF([1]对账明细接口!$T555=0,"",[1]对账明细接口!$T555),"")</f>
      </c>
      <c r="Z555" s="213">
        <f>IFERROR(IF([1]对账明细接口!$U555=0,"",[1]对账明细接口!$U555),"")</f>
      </c>
      <c r="AA555" s="213">
        <f>IFERROR(IF([1]对账明细接口!$V555=0,"",[1]对账明细接口!$V555),"")</f>
      </c>
      <c r="AB555" s="20">
        <f>IFERROR(IF([1]对账明细接口!$W555=0,"",[1]对账明细接口!$W555),"")</f>
      </c>
      <c r="AC555" s="7">
        <f>IFERROR(IF([1]对账明细接口!$X555=0,"",[1]对账明细接口!$X555),"")</f>
      </c>
      <c r="AD555" s="7">
        <f>IFERROR(IF([1]对账明细接口!$Y555=0,"",[1]对账明细接口!$Y555),"")</f>
      </c>
      <c r="AE555" s="7">
        <f>IFERROR(IF([1]对账明细接口!$AA555=0,"",[1]对账明细接口!$AA555),"")</f>
      </c>
      <c r="AF555" s="7">
        <f>IFERROR(IF([1]对账明细接口!$AB555=0,"",[1]对账明细接口!$AB555),"")</f>
      </c>
      <c r="AG555" s="7">
        <f>IFERROR(IF([1]对账明细接口!$AC555=0,"",[1]对账明细接口!$AC555),"")</f>
      </c>
      <c r="AH555" s="7">
        <f>IFERROR(IF([1]对账明细接口!$AD555=0,"",[1]对账明细接口!$AD555),"")</f>
      </c>
      <c r="AI555" s="7">
        <f>IFERROR(IF([1]对账明细接口!$AE555=0,"",[1]对账明细接口!$AE555),"")</f>
      </c>
      <c r="AJ555" s="7">
        <f>IFERROR(IF([1]对账明细接口!$AF555=0,"",[1]对账明细接口!$AF555),"")</f>
      </c>
    </row>
    <row r="556" ht="14.25" customHeight="1" s="127">
      <c r="A556" s="14" t="n">
        <v>556</v>
      </c>
      <c r="B556" s="211">
        <f>IFERROR(IF([1]对账明细接口!$B$556=0,"",[1]对账明细接口!$B$556),"")</f>
        <v>46289.0</v>
      </c>
      <c r="C556" s="16" t="str">
        <f>IFERROR(IF([1]对账明细接口!$C$556=0,"",[1]对账明细接口!$C$556),"")</f>
        <v>王灵云</v>
      </c>
      <c r="D556" s="16" t="str">
        <f>IFERROR(IF([1]对账明细接口!$D$556=0,"",[1]对账明细接口!$D$556),"")</f>
        <v>原料出库－出库加工</v>
      </c>
      <c r="E556" s="16" t="str">
        <f>IFERROR(IF([1]对账明细接口!$E$556=0,"",[1]对账明细接口!$E$556),"")</f>
        <v>NO:0001228</v>
      </c>
      <c r="F556" s="16" t="str">
        <f>IFERROR(IF([1]对账明细接口!$F$556=0,"",[1]对账明细接口!$F$556),"")</f>
        <v>香梨</v>
      </c>
      <c r="G556" s="16" t="str">
        <f>IFERROR(IF([1]对账明细接口!$G$556=0,"",[1]对账明细接口!$G$556),"")</f>
        <v>香梨一级</v>
      </c>
      <c r="H556" s="176">
        <f>IFERROR(IF([1]对账明细接口!$H$556=0,"",[1]对账明细接口!$H$556),"")</f>
        <v>480</v>
      </c>
      <c r="I556" s="16" t="str">
        <f>IFERROR(IF([1]对账明细接口!$I$556=0,"",[1]对账明细接口!$I$556),"")</f>
        <v>筐</v>
      </c>
      <c r="J556" s="177">
        <f>IFERROR(IF([1]对账明细接口!$J$556=0,"",[1]对账明细接口!$J$556),"")</f>
      </c>
      <c r="K556" s="177">
        <f>IFERROR(IF([1]对账明细接口!$K$556=0,"",[1]对账明细接口!$K$556),"")</f>
      </c>
      <c r="L556" s="16">
        <f>IFERROR(IF([1]对账明细接口!$L$556=0,"",[1]对账明细接口!$L$556),"")</f>
      </c>
      <c r="M556" s="16">
        <f>IFERROR(IF([1]对账明细接口!$M$556=0,"",[1]对账明细接口!$M$556),"")</f>
      </c>
      <c r="N556" s="19">
        <f>IF($C556="",0,1)</f>
        <v>1</v>
      </c>
      <c r="O556" s="19">
        <f>N(O555)+$N556</f>
        <v>553</v>
      </c>
      <c r="S556" s="20">
        <f>IFERROR(IF([1]对账明细接口!$N556=0,"",[1]对账明细接口!$N556),"")</f>
      </c>
      <c r="T556" s="212">
        <f>IFERROR(IF([1]对账明细接口!$O556=0,"",[1]对账明细接口!$O556),"")</f>
      </c>
      <c r="U556" s="212">
        <f>IFERROR(IF([1]对账明细接口!$P556=0,"",[1]对账明细接口!$P556),"")</f>
      </c>
      <c r="V556" s="212">
        <f>IFERROR(IF([1]对账明细接口!$Q556=0,"",[1]对账明细接口!$Q556),"")</f>
      </c>
      <c r="W556" s="20">
        <f>IFERROR(IF([1]对账明细接口!$R556=0,"",[1]对账明细接口!$R556),"")</f>
      </c>
      <c r="X556" s="20">
        <f>IFERROR(IF([1]对账明细接口!$S556=0,"",[1]对账明细接口!$S556),"")</f>
      </c>
      <c r="Y556" s="20">
        <f>IFERROR(IF([1]对账明细接口!$T556=0,"",[1]对账明细接口!$T556),"")</f>
      </c>
      <c r="Z556" s="213">
        <f>IFERROR(IF([1]对账明细接口!$U556=0,"",[1]对账明细接口!$U556),"")</f>
      </c>
      <c r="AA556" s="213">
        <f>IFERROR(IF([1]对账明细接口!$V556=0,"",[1]对账明细接口!$V556),"")</f>
      </c>
      <c r="AB556" s="20">
        <f>IFERROR(IF([1]对账明细接口!$W556=0,"",[1]对账明细接口!$W556),"")</f>
      </c>
      <c r="AC556" s="7">
        <f>IFERROR(IF([1]对账明细接口!$X556=0,"",[1]对账明细接口!$X556),"")</f>
      </c>
      <c r="AD556" s="7">
        <f>IFERROR(IF([1]对账明细接口!$Y556=0,"",[1]对账明细接口!$Y556),"")</f>
      </c>
      <c r="AE556" s="7">
        <f>IFERROR(IF([1]对账明细接口!$AA556=0,"",[1]对账明细接口!$AA556),"")</f>
      </c>
      <c r="AF556" s="7">
        <f>IFERROR(IF([1]对账明细接口!$AB556=0,"",[1]对账明细接口!$AB556),"")</f>
      </c>
      <c r="AG556" s="7">
        <f>IFERROR(IF([1]对账明细接口!$AC556=0,"",[1]对账明细接口!$AC556),"")</f>
      </c>
      <c r="AH556" s="7">
        <f>IFERROR(IF([1]对账明细接口!$AD556=0,"",[1]对账明细接口!$AD556),"")</f>
      </c>
      <c r="AI556" s="7">
        <f>IFERROR(IF([1]对账明细接口!$AE556=0,"",[1]对账明细接口!$AE556),"")</f>
      </c>
      <c r="AJ556" s="7">
        <f>IFERROR(IF([1]对账明细接口!$AF556=0,"",[1]对账明细接口!$AF556),"")</f>
      </c>
    </row>
    <row r="557" ht="14.25" customHeight="1" s="127">
      <c r="A557" s="14" t="n">
        <v>557</v>
      </c>
      <c r="B557" s="211">
        <f>IFERROR(IF([1]对账明细接口!$B$557=0,"",[1]对账明细接口!$B$557),"")</f>
        <v>46289.0</v>
      </c>
      <c r="C557" s="16" t="str">
        <f>IFERROR(IF([1]对账明细接口!$C$557=0,"",[1]对账明细接口!$C$557),"")</f>
        <v>王照雪</v>
      </c>
      <c r="D557" s="16" t="str">
        <f>IFERROR(IF([1]对账明细接口!$D$557=0,"",[1]对账明细接口!$D$557),"")</f>
        <v>原料出库－公司购买</v>
      </c>
      <c r="E557" s="16" t="str">
        <f>IFERROR(IF([1]对账明细接口!$E$557=0,"",[1]对账明细接口!$E$557),"")</f>
        <v>NO:0001233</v>
      </c>
      <c r="F557" s="16" t="str">
        <f>IFERROR(IF([1]对账明细接口!$F$557=0,"",[1]对账明细接口!$F$557),"")</f>
        <v>苹果</v>
      </c>
      <c r="G557" s="16" t="str">
        <f>IFERROR(IF([1]对账明细接口!$G$557=0,"",[1]对账明细接口!$G$557),"")</f>
        <v>新世纪一级</v>
      </c>
      <c r="H557" s="176">
        <f>IFERROR(IF([1]对账明细接口!$H$557=0,"",[1]对账明细接口!$H$557),"")</f>
        <v>2</v>
      </c>
      <c r="I557" s="16" t="str">
        <f>IFERROR(IF([1]对账明细接口!$I$557=0,"",[1]对账明细接口!$I$557),"")</f>
        <v>筐</v>
      </c>
      <c r="J557" s="177">
        <f>IFERROR(IF([1]对账明细接口!$J$557=0,"",[1]对账明细接口!$J$557),"")</f>
      </c>
      <c r="K557" s="177">
        <f>IFERROR(IF([1]对账明细接口!$K$557=0,"",[1]对账明细接口!$K$557),"")</f>
      </c>
      <c r="L557" s="16">
        <f>IFERROR(IF([1]对账明细接口!$L$557=0,"",[1]对账明细接口!$L$557),"")</f>
      </c>
      <c r="M557" s="16">
        <f>IFERROR(IF([1]对账明细接口!$M$557=0,"",[1]对账明细接口!$M$557),"")</f>
      </c>
      <c r="N557" s="19">
        <f>IF($C557="",0,1)</f>
        <v>1</v>
      </c>
      <c r="O557" s="19">
        <f>N(O556)+$N557</f>
        <v>554</v>
      </c>
      <c r="S557" s="20">
        <f>IFERROR(IF([1]对账明细接口!$N557=0,"",[1]对账明细接口!$N557),"")</f>
      </c>
      <c r="T557" s="212">
        <f>IFERROR(IF([1]对账明细接口!$O557=0,"",[1]对账明细接口!$O557),"")</f>
      </c>
      <c r="U557" s="212">
        <f>IFERROR(IF([1]对账明细接口!$P557=0,"",[1]对账明细接口!$P557),"")</f>
      </c>
      <c r="V557" s="212">
        <f>IFERROR(IF([1]对账明细接口!$Q557=0,"",[1]对账明细接口!$Q557),"")</f>
      </c>
      <c r="W557" s="20">
        <f>IFERROR(IF([1]对账明细接口!$R557=0,"",[1]对账明细接口!$R557),"")</f>
      </c>
      <c r="X557" s="20">
        <f>IFERROR(IF([1]对账明细接口!$S557=0,"",[1]对账明细接口!$S557),"")</f>
      </c>
      <c r="Y557" s="20">
        <f>IFERROR(IF([1]对账明细接口!$T557=0,"",[1]对账明细接口!$T557),"")</f>
      </c>
      <c r="Z557" s="213">
        <f>IFERROR(IF([1]对账明细接口!$U557=0,"",[1]对账明细接口!$U557),"")</f>
      </c>
      <c r="AA557" s="213">
        <f>IFERROR(IF([1]对账明细接口!$V557=0,"",[1]对账明细接口!$V557),"")</f>
      </c>
      <c r="AB557" s="20">
        <f>IFERROR(IF([1]对账明细接口!$W557=0,"",[1]对账明细接口!$W557),"")</f>
      </c>
      <c r="AC557" s="7">
        <f>IFERROR(IF([1]对账明细接口!$X557=0,"",[1]对账明细接口!$X557),"")</f>
      </c>
      <c r="AD557" s="7">
        <f>IFERROR(IF([1]对账明细接口!$Y557=0,"",[1]对账明细接口!$Y557),"")</f>
      </c>
      <c r="AE557" s="7">
        <f>IFERROR(IF([1]对账明细接口!$AA557=0,"",[1]对账明细接口!$AA557),"")</f>
      </c>
      <c r="AF557" s="7">
        <f>IFERROR(IF([1]对账明细接口!$AB557=0,"",[1]对账明细接口!$AB557),"")</f>
      </c>
      <c r="AG557" s="7">
        <f>IFERROR(IF([1]对账明细接口!$AC557=0,"",[1]对账明细接口!$AC557),"")</f>
      </c>
      <c r="AH557" s="7">
        <f>IFERROR(IF([1]对账明细接口!$AD557=0,"",[1]对账明细接口!$AD557),"")</f>
      </c>
      <c r="AI557" s="7">
        <f>IFERROR(IF([1]对账明细接口!$AE557=0,"",[1]对账明细接口!$AE557),"")</f>
      </c>
      <c r="AJ557" s="7">
        <f>IFERROR(IF([1]对账明细接口!$AF557=0,"",[1]对账明细接口!$AF557),"")</f>
      </c>
    </row>
    <row r="558" ht="14.25" customHeight="1" s="127">
      <c r="A558" s="14" t="n">
        <v>558</v>
      </c>
      <c r="B558" s="211">
        <f>IFERROR(IF([1]对账明细接口!$B$558=0,"",[1]对账明细接口!$B$558),"")</f>
        <v>46289.0</v>
      </c>
      <c r="C558" s="16" t="str">
        <f>IFERROR(IF([1]对账明细接口!$C$558=0,"",[1]对账明细接口!$C$558),"")</f>
        <v>王浩</v>
      </c>
      <c r="D558" s="16" t="str">
        <f>IFERROR(IF([1]对账明细接口!$D$558=0,"",[1]对账明细接口!$D$558),"")</f>
        <v>原料出库－公司购买</v>
      </c>
      <c r="E558" s="16" t="str">
        <f>IFERROR(IF([1]对账明细接口!$E$558=0,"",[1]对账明细接口!$E$558),"")</f>
        <v>NO:0001233</v>
      </c>
      <c r="F558" s="16" t="str">
        <f>IFERROR(IF([1]对账明细接口!$F$558=0,"",[1]对账明细接口!$F$558),"")</f>
        <v>香梨</v>
      </c>
      <c r="G558" s="16" t="str">
        <f>IFERROR(IF([1]对账明细接口!$G$558=0,"",[1]对账明细接口!$G$558),"")</f>
        <v>香梨一级</v>
      </c>
      <c r="H558" s="176">
        <f>IFERROR(IF([1]对账明细接口!$H$558=0,"",[1]对账明细接口!$H$558),"")</f>
        <v>3</v>
      </c>
      <c r="I558" s="16" t="str">
        <f>IFERROR(IF([1]对账明细接口!$I$558=0,"",[1]对账明细接口!$I$558),"")</f>
        <v>筐</v>
      </c>
      <c r="J558" s="177">
        <f>IFERROR(IF([1]对账明细接口!$J$558=0,"",[1]对账明细接口!$J$558),"")</f>
      </c>
      <c r="K558" s="177">
        <f>IFERROR(IF([1]对账明细接口!$K$558=0,"",[1]对账明细接口!$K$558),"")</f>
      </c>
      <c r="L558" s="16">
        <f>IFERROR(IF([1]对账明细接口!$L$558=0,"",[1]对账明细接口!$L$558),"")</f>
      </c>
      <c r="M558" s="16">
        <f>IFERROR(IF([1]对账明细接口!$M$558=0,"",[1]对账明细接口!$M$558),"")</f>
      </c>
      <c r="N558" s="19">
        <f>IF($C558="",0,1)</f>
        <v>1</v>
      </c>
      <c r="O558" s="19">
        <f>N(O557)+$N558</f>
        <v>555</v>
      </c>
      <c r="S558" s="20">
        <f>IFERROR(IF([1]对账明细接口!$N558=0,"",[1]对账明细接口!$N558),"")</f>
      </c>
      <c r="T558" s="212">
        <f>IFERROR(IF([1]对账明细接口!$O558=0,"",[1]对账明细接口!$O558),"")</f>
      </c>
      <c r="U558" s="212">
        <f>IFERROR(IF([1]对账明细接口!$P558=0,"",[1]对账明细接口!$P558),"")</f>
      </c>
      <c r="V558" s="212">
        <f>IFERROR(IF([1]对账明细接口!$Q558=0,"",[1]对账明细接口!$Q558),"")</f>
      </c>
      <c r="W558" s="20">
        <f>IFERROR(IF([1]对账明细接口!$R558=0,"",[1]对账明细接口!$R558),"")</f>
      </c>
      <c r="X558" s="20">
        <f>IFERROR(IF([1]对账明细接口!$S558=0,"",[1]对账明细接口!$S558),"")</f>
      </c>
      <c r="Y558" s="20">
        <f>IFERROR(IF([1]对账明细接口!$T558=0,"",[1]对账明细接口!$T558),"")</f>
      </c>
      <c r="Z558" s="213">
        <f>IFERROR(IF([1]对账明细接口!$U558=0,"",[1]对账明细接口!$U558),"")</f>
      </c>
      <c r="AA558" s="213">
        <f>IFERROR(IF([1]对账明细接口!$V558=0,"",[1]对账明细接口!$V558),"")</f>
      </c>
      <c r="AB558" s="20">
        <f>IFERROR(IF([1]对账明细接口!$W558=0,"",[1]对账明细接口!$W558),"")</f>
      </c>
      <c r="AC558" s="7">
        <f>IFERROR(IF([1]对账明细接口!$X558=0,"",[1]对账明细接口!$X558),"")</f>
      </c>
      <c r="AD558" s="7">
        <f>IFERROR(IF([1]对账明细接口!$Y558=0,"",[1]对账明细接口!$Y558),"")</f>
      </c>
      <c r="AE558" s="7">
        <f>IFERROR(IF([1]对账明细接口!$AA558=0,"",[1]对账明细接口!$AA558),"")</f>
      </c>
      <c r="AF558" s="7">
        <f>IFERROR(IF([1]对账明细接口!$AB558=0,"",[1]对账明细接口!$AB558),"")</f>
      </c>
      <c r="AG558" s="7">
        <f>IFERROR(IF([1]对账明细接口!$AC558=0,"",[1]对账明细接口!$AC558),"")</f>
      </c>
      <c r="AH558" s="7">
        <f>IFERROR(IF([1]对账明细接口!$AD558=0,"",[1]对账明细接口!$AD558),"")</f>
      </c>
      <c r="AI558" s="7">
        <f>IFERROR(IF([1]对账明细接口!$AE558=0,"",[1]对账明细接口!$AE558),"")</f>
      </c>
      <c r="AJ558" s="7">
        <f>IFERROR(IF([1]对账明细接口!$AF558=0,"",[1]对账明细接口!$AF558),"")</f>
      </c>
    </row>
    <row r="559" ht="14.25" customHeight="1" s="127">
      <c r="A559" s="14" t="n">
        <v>559</v>
      </c>
      <c r="B559" s="211">
        <f>IFERROR(IF([1]对账明细接口!$B$559=0,"",[1]对账明细接口!$B$559),"")</f>
        <v>46290.0</v>
      </c>
      <c r="C559" s="16" t="str">
        <f>IFERROR(IF([1]对账明细接口!$C$559=0,"",[1]对账明细接口!$C$559),"")</f>
        <v>王浩</v>
      </c>
      <c r="D559" s="16" t="str">
        <f>IFERROR(IF([1]对账明细接口!$D$559=0,"",[1]对账明细接口!$D$559),"")</f>
        <v>原料出库－公司购买</v>
      </c>
      <c r="E559" s="16" t="str">
        <f>IFERROR(IF([1]对账明细接口!$E$559=0,"",[1]对账明细接口!$E$559),"")</f>
        <v>NO:0001237</v>
      </c>
      <c r="F559" s="16" t="str">
        <f>IFERROR(IF([1]对账明细接口!$F$559=0,"",[1]对账明细接口!$F$559),"")</f>
        <v>香梨</v>
      </c>
      <c r="G559" s="16" t="str">
        <f>IFERROR(IF([1]对账明细接口!$G$559=0,"",[1]对账明细接口!$G$559),"")</f>
        <v>香梨一级</v>
      </c>
      <c r="H559" s="176">
        <f>IFERROR(IF([1]对账明细接口!$H$559=0,"",[1]对账明细接口!$H$559),"")</f>
        <v>1</v>
      </c>
      <c r="I559" s="16" t="str">
        <f>IFERROR(IF([1]对账明细接口!$I$559=0,"",[1]对账明细接口!$I$559),"")</f>
        <v>筐</v>
      </c>
      <c r="J559" s="177">
        <f>IFERROR(IF([1]对账明细接口!$J$559=0,"",[1]对账明细接口!$J$559),"")</f>
      </c>
      <c r="K559" s="177">
        <f>IFERROR(IF([1]对账明细接口!$K$559=0,"",[1]对账明细接口!$K$559),"")</f>
      </c>
      <c r="L559" s="16">
        <f>IFERROR(IF([1]对账明细接口!$L$559=0,"",[1]对账明细接口!$L$559),"")</f>
      </c>
      <c r="M559" s="16">
        <f>IFERROR(IF([1]对账明细接口!$M$559=0,"",[1]对账明细接口!$M$559),"")</f>
      </c>
      <c r="N559" s="19">
        <f>IF($C559="",0,1)</f>
        <v>1</v>
      </c>
      <c r="O559" s="19">
        <f>N(O558)+$N559</f>
        <v>556</v>
      </c>
      <c r="S559" s="20">
        <f>IFERROR(IF([1]对账明细接口!$N559=0,"",[1]对账明细接口!$N559),"")</f>
      </c>
      <c r="T559" s="212">
        <f>IFERROR(IF([1]对账明细接口!$O559=0,"",[1]对账明细接口!$O559),"")</f>
      </c>
      <c r="U559" s="212">
        <f>IFERROR(IF([1]对账明细接口!$P559=0,"",[1]对账明细接口!$P559),"")</f>
      </c>
      <c r="V559" s="212">
        <f>IFERROR(IF([1]对账明细接口!$Q559=0,"",[1]对账明细接口!$Q559),"")</f>
      </c>
      <c r="W559" s="20">
        <f>IFERROR(IF([1]对账明细接口!$R559=0,"",[1]对账明细接口!$R559),"")</f>
      </c>
      <c r="X559" s="20">
        <f>IFERROR(IF([1]对账明细接口!$S559=0,"",[1]对账明细接口!$S559),"")</f>
      </c>
      <c r="Y559" s="20">
        <f>IFERROR(IF([1]对账明细接口!$T559=0,"",[1]对账明细接口!$T559),"")</f>
      </c>
      <c r="Z559" s="213">
        <f>IFERROR(IF([1]对账明细接口!$U559=0,"",[1]对账明细接口!$U559),"")</f>
      </c>
      <c r="AA559" s="213">
        <f>IFERROR(IF([1]对账明细接口!$V559=0,"",[1]对账明细接口!$V559),"")</f>
      </c>
      <c r="AB559" s="20">
        <f>IFERROR(IF([1]对账明细接口!$W559=0,"",[1]对账明细接口!$W559),"")</f>
      </c>
      <c r="AC559" s="7">
        <f>IFERROR(IF([1]对账明细接口!$X559=0,"",[1]对账明细接口!$X559),"")</f>
      </c>
      <c r="AD559" s="7">
        <f>IFERROR(IF([1]对账明细接口!$Y559=0,"",[1]对账明细接口!$Y559),"")</f>
      </c>
      <c r="AE559" s="7">
        <f>IFERROR(IF([1]对账明细接口!$AA559=0,"",[1]对账明细接口!$AA559),"")</f>
      </c>
      <c r="AF559" s="7">
        <f>IFERROR(IF([1]对账明细接口!$AB559=0,"",[1]对账明细接口!$AB559),"")</f>
      </c>
      <c r="AG559" s="7">
        <f>IFERROR(IF([1]对账明细接口!$AC559=0,"",[1]对账明细接口!$AC559),"")</f>
      </c>
      <c r="AH559" s="7">
        <f>IFERROR(IF([1]对账明细接口!$AD559=0,"",[1]对账明细接口!$AD559),"")</f>
      </c>
      <c r="AI559" s="7">
        <f>IFERROR(IF([1]对账明细接口!$AE559=0,"",[1]对账明细接口!$AE559),"")</f>
      </c>
      <c r="AJ559" s="7">
        <f>IFERROR(IF([1]对账明细接口!$AF559=0,"",[1]对账明细接口!$AF559),"")</f>
      </c>
    </row>
    <row r="560" ht="14.25" customHeight="1" s="127">
      <c r="A560" s="14" t="n">
        <v>560</v>
      </c>
      <c r="B560" s="211">
        <f>IFERROR(IF([1]对账明细接口!$B$560=0,"",[1]对账明细接口!$B$560),"")</f>
        <v>46291.0</v>
      </c>
      <c r="C560" s="16" t="str">
        <f>IFERROR(IF([1]对账明细接口!$C$560=0,"",[1]对账明细接口!$C$560),"")</f>
        <v>王灵云</v>
      </c>
      <c r="D560" s="16" t="str">
        <f>IFERROR(IF([1]对账明细接口!$D$560=0,"",[1]对账明细接口!$D$560),"")</f>
        <v>原料出库－出库加工</v>
      </c>
      <c r="E560" s="16" t="str">
        <f>IFERROR(IF([1]对账明细接口!$E$560=0,"",[1]对账明细接口!$E$560),"")</f>
        <v>NO:0001240</v>
      </c>
      <c r="F560" s="16" t="str">
        <f>IFERROR(IF([1]对账明细接口!$F$560=0,"",[1]对账明细接口!$F$560),"")</f>
        <v>香梨</v>
      </c>
      <c r="G560" s="16" t="str">
        <f>IFERROR(IF([1]对账明细接口!$G$560=0,"",[1]对账明细接口!$G$560),"")</f>
        <v>香梨二级</v>
      </c>
      <c r="H560" s="176">
        <f>IFERROR(IF([1]对账明细接口!$H$560=0,"",[1]对账明细接口!$H$560),"")</f>
        <v>288</v>
      </c>
      <c r="I560" s="16" t="str">
        <f>IFERROR(IF([1]对账明细接口!$I$560=0,"",[1]对账明细接口!$I$560),"")</f>
        <v>筐</v>
      </c>
      <c r="J560" s="177">
        <f>IFERROR(IF([1]对账明细接口!$J$560=0,"",[1]对账明细接口!$J$560),"")</f>
      </c>
      <c r="K560" s="177">
        <f>IFERROR(IF([1]对账明细接口!$K$560=0,"",[1]对账明细接口!$K$560),"")</f>
      </c>
      <c r="L560" s="16">
        <f>IFERROR(IF([1]对账明细接口!$L$560=0,"",[1]对账明细接口!$L$560),"")</f>
      </c>
      <c r="M560" s="16">
        <f>IFERROR(IF([1]对账明细接口!$M$560=0,"",[1]对账明细接口!$M$560),"")</f>
      </c>
      <c r="N560" s="19">
        <f>IF($C560="",0,1)</f>
        <v>1</v>
      </c>
      <c r="O560" s="19">
        <f>N(O559)+$N560</f>
        <v>557</v>
      </c>
      <c r="S560" s="20">
        <f>IFERROR(IF([1]对账明细接口!$N560=0,"",[1]对账明细接口!$N560),"")</f>
      </c>
      <c r="T560" s="212">
        <f>IFERROR(IF([1]对账明细接口!$O560=0,"",[1]对账明细接口!$O560),"")</f>
      </c>
      <c r="U560" s="212">
        <f>IFERROR(IF([1]对账明细接口!$P560=0,"",[1]对账明细接口!$P560),"")</f>
      </c>
      <c r="V560" s="212">
        <f>IFERROR(IF([1]对账明细接口!$Q560=0,"",[1]对账明细接口!$Q560),"")</f>
      </c>
      <c r="W560" s="20">
        <f>IFERROR(IF([1]对账明细接口!$R560=0,"",[1]对账明细接口!$R560),"")</f>
      </c>
      <c r="X560" s="20">
        <f>IFERROR(IF([1]对账明细接口!$S560=0,"",[1]对账明细接口!$S560),"")</f>
      </c>
      <c r="Y560" s="20">
        <f>IFERROR(IF([1]对账明细接口!$T560=0,"",[1]对账明细接口!$T560),"")</f>
      </c>
      <c r="Z560" s="213">
        <f>IFERROR(IF([1]对账明细接口!$U560=0,"",[1]对账明细接口!$U560),"")</f>
      </c>
      <c r="AA560" s="213">
        <f>IFERROR(IF([1]对账明细接口!$V560=0,"",[1]对账明细接口!$V560),"")</f>
      </c>
      <c r="AB560" s="20">
        <f>IFERROR(IF([1]对账明细接口!$W560=0,"",[1]对账明细接口!$W560),"")</f>
      </c>
      <c r="AC560" s="7">
        <f>IFERROR(IF([1]对账明细接口!$X560=0,"",[1]对账明细接口!$X560),"")</f>
      </c>
      <c r="AD560" s="7">
        <f>IFERROR(IF([1]对账明细接口!$Y560=0,"",[1]对账明细接口!$Y560),"")</f>
      </c>
      <c r="AE560" s="7">
        <f>IFERROR(IF([1]对账明细接口!$AA560=0,"",[1]对账明细接口!$AA560),"")</f>
      </c>
      <c r="AF560" s="7">
        <f>IFERROR(IF([1]对账明细接口!$AB560=0,"",[1]对账明细接口!$AB560),"")</f>
      </c>
      <c r="AG560" s="7">
        <f>IFERROR(IF([1]对账明细接口!$AC560=0,"",[1]对账明细接口!$AC560),"")</f>
      </c>
      <c r="AH560" s="7">
        <f>IFERROR(IF([1]对账明细接口!$AD560=0,"",[1]对账明细接口!$AD560),"")</f>
      </c>
      <c r="AI560" s="7">
        <f>IFERROR(IF([1]对账明细接口!$AE560=0,"",[1]对账明细接口!$AE560),"")</f>
      </c>
      <c r="AJ560" s="7">
        <f>IFERROR(IF([1]对账明细接口!$AF560=0,"",[1]对账明细接口!$AF560),"")</f>
      </c>
    </row>
    <row r="561" ht="14.25" customHeight="1" s="127">
      <c r="A561" s="14" t="n">
        <v>561</v>
      </c>
      <c r="B561" s="211">
        <f>IFERROR(IF([1]对账明细接口!$B$561=0,"",[1]对账明细接口!$B$561),"")</f>
        <v>46291.0</v>
      </c>
      <c r="C561" s="16" t="str">
        <f>IFERROR(IF([1]对账明细接口!$C$561=0,"",[1]对账明细接口!$C$561),"")</f>
        <v>王照雪</v>
      </c>
      <c r="D561" s="16" t="str">
        <f>IFERROR(IF([1]对账明细接口!$D$561=0,"",[1]对账明细接口!$D$561),"")</f>
        <v>原料出库－出库加工</v>
      </c>
      <c r="E561" s="16" t="str">
        <f>IFERROR(IF([1]对账明细接口!$E$561=0,"",[1]对账明细接口!$E$561),"")</f>
        <v>NO:0001241</v>
      </c>
      <c r="F561" s="16" t="str">
        <f>IFERROR(IF([1]对账明细接口!$F$561=0,"",[1]对账明细接口!$F$561),"")</f>
        <v>苹果</v>
      </c>
      <c r="G561" s="16" t="str">
        <f>IFERROR(IF([1]对账明细接口!$G$561=0,"",[1]对账明细接口!$G$561),"")</f>
        <v>新世纪二级</v>
      </c>
      <c r="H561" s="176">
        <f>IFERROR(IF([1]对账明细接口!$H$561=0,"",[1]对账明细接口!$H$561),"")</f>
        <v>158</v>
      </c>
      <c r="I561" s="16" t="str">
        <f>IFERROR(IF([1]对账明细接口!$I$561=0,"",[1]对账明细接口!$I$561),"")</f>
        <v>筐</v>
      </c>
      <c r="J561" s="177">
        <f>IFERROR(IF([1]对账明细接口!$J$561=0,"",[1]对账明细接口!$J$561),"")</f>
      </c>
      <c r="K561" s="177">
        <f>IFERROR(IF([1]对账明细接口!$K$561=0,"",[1]对账明细接口!$K$561),"")</f>
      </c>
      <c r="L561" s="16">
        <f>IFERROR(IF([1]对账明细接口!$L$561=0,"",[1]对账明细接口!$L$561),"")</f>
      </c>
      <c r="M561" s="16">
        <f>IFERROR(IF([1]对账明细接口!$M$561=0,"",[1]对账明细接口!$M$561),"")</f>
      </c>
      <c r="N561" s="19">
        <f>IF($C561="",0,1)</f>
        <v>1</v>
      </c>
      <c r="O561" s="19">
        <f>N(O560)+$N561</f>
        <v>558</v>
      </c>
      <c r="S561" s="20">
        <f>IFERROR(IF([1]对账明细接口!$N561=0,"",[1]对账明细接口!$N561),"")</f>
      </c>
      <c r="T561" s="212">
        <f>IFERROR(IF([1]对账明细接口!$O561=0,"",[1]对账明细接口!$O561),"")</f>
      </c>
      <c r="U561" s="212">
        <f>IFERROR(IF([1]对账明细接口!$P561=0,"",[1]对账明细接口!$P561),"")</f>
      </c>
      <c r="V561" s="212">
        <f>IFERROR(IF([1]对账明细接口!$Q561=0,"",[1]对账明细接口!$Q561),"")</f>
      </c>
      <c r="W561" s="20">
        <f>IFERROR(IF([1]对账明细接口!$R561=0,"",[1]对账明细接口!$R561),"")</f>
      </c>
      <c r="X561" s="20">
        <f>IFERROR(IF([1]对账明细接口!$S561=0,"",[1]对账明细接口!$S561),"")</f>
      </c>
      <c r="Y561" s="20">
        <f>IFERROR(IF([1]对账明细接口!$T561=0,"",[1]对账明细接口!$T561),"")</f>
      </c>
      <c r="Z561" s="213">
        <f>IFERROR(IF([1]对账明细接口!$U561=0,"",[1]对账明细接口!$U561),"")</f>
      </c>
      <c r="AA561" s="213">
        <f>IFERROR(IF([1]对账明细接口!$V561=0,"",[1]对账明细接口!$V561),"")</f>
      </c>
      <c r="AB561" s="20">
        <f>IFERROR(IF([1]对账明细接口!$W561=0,"",[1]对账明细接口!$W561),"")</f>
      </c>
      <c r="AC561" s="7">
        <f>IFERROR(IF([1]对账明细接口!$X561=0,"",[1]对账明细接口!$X561),"")</f>
      </c>
      <c r="AD561" s="7">
        <f>IFERROR(IF([1]对账明细接口!$Y561=0,"",[1]对账明细接口!$Y561),"")</f>
      </c>
      <c r="AE561" s="7">
        <f>IFERROR(IF([1]对账明细接口!$AA561=0,"",[1]对账明细接口!$AA561),"")</f>
      </c>
      <c r="AF561" s="7">
        <f>IFERROR(IF([1]对账明细接口!$AB561=0,"",[1]对账明细接口!$AB561),"")</f>
      </c>
      <c r="AG561" s="7">
        <f>IFERROR(IF([1]对账明细接口!$AC561=0,"",[1]对账明细接口!$AC561),"")</f>
      </c>
      <c r="AH561" s="7">
        <f>IFERROR(IF([1]对账明细接口!$AD561=0,"",[1]对账明细接口!$AD561),"")</f>
      </c>
      <c r="AI561" s="7">
        <f>IFERROR(IF([1]对账明细接口!$AE561=0,"",[1]对账明细接口!$AE561),"")</f>
      </c>
      <c r="AJ561" s="7">
        <f>IFERROR(IF([1]对账明细接口!$AF561=0,"",[1]对账明细接口!$AF561),"")</f>
      </c>
    </row>
    <row r="562" ht="14.25" customHeight="1" s="127">
      <c r="A562" s="14" t="n">
        <v>562</v>
      </c>
      <c r="B562" s="211">
        <f>IFERROR(IF([1]对账明细接口!$B$562=0,"",[1]对账明细接口!$B$562),"")</f>
        <v>46292.0</v>
      </c>
      <c r="C562" s="16" t="str">
        <f>IFERROR(IF([1]对账明细接口!$C$562=0,"",[1]对账明细接口!$C$562),"")</f>
        <v>王灵云</v>
      </c>
      <c r="D562" s="16" t="str">
        <f>IFERROR(IF([1]对账明细接口!$D$562=0,"",[1]对账明细接口!$D$562),"")</f>
        <v>原料出库－出库加工</v>
      </c>
      <c r="E562" s="16" t="str">
        <f>IFERROR(IF([1]对账明细接口!$E$562=0,"",[1]对账明细接口!$E$562),"")</f>
        <v>NO:0001244</v>
      </c>
      <c r="F562" s="16" t="str">
        <f>IFERROR(IF([1]对账明细接口!$F$562=0,"",[1]对账明细接口!$F$562),"")</f>
        <v>香梨</v>
      </c>
      <c r="G562" s="16" t="str">
        <f>IFERROR(IF([1]对账明细接口!$G$562=0,"",[1]对账明细接口!$G$562),"")</f>
        <v>香梨一级</v>
      </c>
      <c r="H562" s="176">
        <f>IFERROR(IF([1]对账明细接口!$H$562=0,"",[1]对账明细接口!$H$562),"")</f>
        <v>669</v>
      </c>
      <c r="I562" s="16" t="str">
        <f>IFERROR(IF([1]对账明细接口!$I$562=0,"",[1]对账明细接口!$I$562),"")</f>
        <v>筐</v>
      </c>
      <c r="J562" s="177">
        <f>IFERROR(IF([1]对账明细接口!$J$562=0,"",[1]对账明细接口!$J$562),"")</f>
      </c>
      <c r="K562" s="177">
        <f>IFERROR(IF([1]对账明细接口!$K$562=0,"",[1]对账明细接口!$K$562),"")</f>
      </c>
      <c r="L562" s="16">
        <f>IFERROR(IF([1]对账明细接口!$L$562=0,"",[1]对账明细接口!$L$562),"")</f>
      </c>
      <c r="M562" s="16">
        <f>IFERROR(IF([1]对账明细接口!$M$562=0,"",[1]对账明细接口!$M$562),"")</f>
      </c>
      <c r="N562" s="19">
        <f>IF($C562="",0,1)</f>
        <v>1</v>
      </c>
      <c r="O562" s="19">
        <f>N(O561)+$N562</f>
        <v>559</v>
      </c>
      <c r="S562" s="20">
        <f>IFERROR(IF([1]对账明细接口!$N562=0,"",[1]对账明细接口!$N562),"")</f>
      </c>
      <c r="T562" s="212">
        <f>IFERROR(IF([1]对账明细接口!$O562=0,"",[1]对账明细接口!$O562),"")</f>
      </c>
      <c r="U562" s="212">
        <f>IFERROR(IF([1]对账明细接口!$P562=0,"",[1]对账明细接口!$P562),"")</f>
      </c>
      <c r="V562" s="212">
        <f>IFERROR(IF([1]对账明细接口!$Q562=0,"",[1]对账明细接口!$Q562),"")</f>
      </c>
      <c r="W562" s="20">
        <f>IFERROR(IF([1]对账明细接口!$R562=0,"",[1]对账明细接口!$R562),"")</f>
      </c>
      <c r="X562" s="20">
        <f>IFERROR(IF([1]对账明细接口!$S562=0,"",[1]对账明细接口!$S562),"")</f>
      </c>
      <c r="Y562" s="20">
        <f>IFERROR(IF([1]对账明细接口!$T562=0,"",[1]对账明细接口!$T562),"")</f>
      </c>
      <c r="Z562" s="213">
        <f>IFERROR(IF([1]对账明细接口!$U562=0,"",[1]对账明细接口!$U562),"")</f>
      </c>
      <c r="AA562" s="213">
        <f>IFERROR(IF([1]对账明细接口!$V562=0,"",[1]对账明细接口!$V562),"")</f>
      </c>
      <c r="AB562" s="20">
        <f>IFERROR(IF([1]对账明细接口!$W562=0,"",[1]对账明细接口!$W562),"")</f>
      </c>
      <c r="AC562" s="7">
        <f>IFERROR(IF([1]对账明细接口!$X562=0,"",[1]对账明细接口!$X562),"")</f>
      </c>
      <c r="AD562" s="7">
        <f>IFERROR(IF([1]对账明细接口!$Y562=0,"",[1]对账明细接口!$Y562),"")</f>
      </c>
      <c r="AE562" s="7">
        <f>IFERROR(IF([1]对账明细接口!$AA562=0,"",[1]对账明细接口!$AA562),"")</f>
      </c>
      <c r="AF562" s="7">
        <f>IFERROR(IF([1]对账明细接口!$AB562=0,"",[1]对账明细接口!$AB562),"")</f>
      </c>
      <c r="AG562" s="7">
        <f>IFERROR(IF([1]对账明细接口!$AC562=0,"",[1]对账明细接口!$AC562),"")</f>
      </c>
      <c r="AH562" s="7">
        <f>IFERROR(IF([1]对账明细接口!$AD562=0,"",[1]对账明细接口!$AD562),"")</f>
      </c>
      <c r="AI562" s="7">
        <f>IFERROR(IF([1]对账明细接口!$AE562=0,"",[1]对账明细接口!$AE562),"")</f>
      </c>
      <c r="AJ562" s="7">
        <f>IFERROR(IF([1]对账明细接口!$AF562=0,"",[1]对账明细接口!$AF562),"")</f>
      </c>
    </row>
    <row r="563" ht="14.25" customHeight="1" s="127">
      <c r="A563" s="14" t="n">
        <v>563</v>
      </c>
      <c r="B563" s="211">
        <f>IFERROR(IF([1]对账明细接口!$B$563=0,"",[1]对账明细接口!$B$563),"")</f>
        <v>46293.0</v>
      </c>
      <c r="C563" s="16" t="str">
        <f>IFERROR(IF([1]对账明细接口!$C$563=0,"",[1]对账明细接口!$C$563),"")</f>
        <v>王灵云</v>
      </c>
      <c r="D563" s="16" t="str">
        <f>IFERROR(IF([1]对账明细接口!$D$563=0,"",[1]对账明细接口!$D$563),"")</f>
        <v>原料出库－出库加工</v>
      </c>
      <c r="E563" s="16" t="str">
        <f>IFERROR(IF([1]对账明细接口!$E$563=0,"",[1]对账明细接口!$E$563),"")</f>
        <v>NO:0001249</v>
      </c>
      <c r="F563" s="16" t="str">
        <f>IFERROR(IF([1]对账明细接口!$F$563=0,"",[1]对账明细接口!$F$563),"")</f>
        <v>香梨</v>
      </c>
      <c r="G563" s="16" t="str">
        <f>IFERROR(IF([1]对账明细接口!$G$563=0,"",[1]对账明细接口!$G$563),"")</f>
        <v>香梨一级</v>
      </c>
      <c r="H563" s="176">
        <f>IFERROR(IF([1]对账明细接口!$H$563=0,"",[1]对账明细接口!$H$563),"")</f>
        <v>709</v>
      </c>
      <c r="I563" s="16" t="str">
        <f>IFERROR(IF([1]对账明细接口!$I$563=0,"",[1]对账明细接口!$I$563),"")</f>
        <v>筐</v>
      </c>
      <c r="J563" s="177">
        <f>IFERROR(IF([1]对账明细接口!$J$563=0,"",[1]对账明细接口!$J$563),"")</f>
      </c>
      <c r="K563" s="177">
        <f>IFERROR(IF([1]对账明细接口!$K$563=0,"",[1]对账明细接口!$K$563),"")</f>
      </c>
      <c r="L563" s="16">
        <f>IFERROR(IF([1]对账明细接口!$L$563=0,"",[1]对账明细接口!$L$563),"")</f>
      </c>
      <c r="M563" s="16">
        <f>IFERROR(IF([1]对账明细接口!$M$563=0,"",[1]对账明细接口!$M$563),"")</f>
      </c>
      <c r="N563" s="19">
        <f>IF($C563="",0,1)</f>
        <v>1</v>
      </c>
      <c r="O563" s="19">
        <f>N(O562)+$N563</f>
        <v>560</v>
      </c>
      <c r="S563" s="20">
        <f>IFERROR(IF([1]对账明细接口!$N563=0,"",[1]对账明细接口!$N563),"")</f>
      </c>
      <c r="T563" s="212">
        <f>IFERROR(IF([1]对账明细接口!$O563=0,"",[1]对账明细接口!$O563),"")</f>
      </c>
      <c r="U563" s="212">
        <f>IFERROR(IF([1]对账明细接口!$P563=0,"",[1]对账明细接口!$P563),"")</f>
      </c>
      <c r="V563" s="212">
        <f>IFERROR(IF([1]对账明细接口!$Q563=0,"",[1]对账明细接口!$Q563),"")</f>
      </c>
      <c r="W563" s="20">
        <f>IFERROR(IF([1]对账明细接口!$R563=0,"",[1]对账明细接口!$R563),"")</f>
      </c>
      <c r="X563" s="20">
        <f>IFERROR(IF([1]对账明细接口!$S563=0,"",[1]对账明细接口!$S563),"")</f>
      </c>
      <c r="Y563" s="20">
        <f>IFERROR(IF([1]对账明细接口!$T563=0,"",[1]对账明细接口!$T563),"")</f>
      </c>
      <c r="Z563" s="213">
        <f>IFERROR(IF([1]对账明细接口!$U563=0,"",[1]对账明细接口!$U563),"")</f>
      </c>
      <c r="AA563" s="213">
        <f>IFERROR(IF([1]对账明细接口!$V563=0,"",[1]对账明细接口!$V563),"")</f>
      </c>
      <c r="AB563" s="20">
        <f>IFERROR(IF([1]对账明细接口!$W563=0,"",[1]对账明细接口!$W563),"")</f>
      </c>
      <c r="AC563" s="7">
        <f>IFERROR(IF([1]对账明细接口!$X563=0,"",[1]对账明细接口!$X563),"")</f>
      </c>
      <c r="AD563" s="7">
        <f>IFERROR(IF([1]对账明细接口!$Y563=0,"",[1]对账明细接口!$Y563),"")</f>
      </c>
      <c r="AE563" s="7">
        <f>IFERROR(IF([1]对账明细接口!$AA563=0,"",[1]对账明细接口!$AA563),"")</f>
      </c>
      <c r="AF563" s="7">
        <f>IFERROR(IF([1]对账明细接口!$AB563=0,"",[1]对账明细接口!$AB563),"")</f>
      </c>
      <c r="AG563" s="7">
        <f>IFERROR(IF([1]对账明细接口!$AC563=0,"",[1]对账明细接口!$AC563),"")</f>
      </c>
      <c r="AH563" s="7">
        <f>IFERROR(IF([1]对账明细接口!$AD563=0,"",[1]对账明细接口!$AD563),"")</f>
      </c>
      <c r="AI563" s="7">
        <f>IFERROR(IF([1]对账明细接口!$AE563=0,"",[1]对账明细接口!$AE563),"")</f>
      </c>
      <c r="AJ563" s="7">
        <f>IFERROR(IF([1]对账明细接口!$AF563=0,"",[1]对账明细接口!$AF563),"")</f>
      </c>
    </row>
    <row r="564" ht="14.25" customHeight="1" s="127">
      <c r="A564" s="14" t="n">
        <v>564</v>
      </c>
      <c r="B564" s="211">
        <f>IFERROR(IF([1]对账明细接口!$B$564=0,"",[1]对账明细接口!$B$564),"")</f>
        <v>46259.0</v>
      </c>
      <c r="C564" s="16" t="str">
        <f>IFERROR(IF([1]对账明细接口!$C$564=0,"",[1]对账明细接口!$C$564),"")</f>
        <v>王照雪</v>
      </c>
      <c r="D564" s="16" t="str">
        <f>IFERROR(IF([1]对账明细接口!$D$564=0,"",[1]对账明细接口!$D$564),"")</f>
        <v>成品出库－成品出库</v>
      </c>
      <c r="E564" s="16" t="str">
        <f>IFERROR(IF([1]对账明细接口!$E$564=0,"",[1]对账明细接口!$E$564),"")</f>
        <v>NO:0001035</v>
      </c>
      <c r="F564" s="16" t="str">
        <f>IFERROR(IF([1]对账明细接口!$F$564=0,"",[1]对账明细接口!$F$564),"")</f>
        <v>苹果</v>
      </c>
      <c r="G564" s="16" t="str">
        <f>IFERROR(IF([1]对账明细接口!$G$564=0,"",[1]对账明细接口!$G$564),"")</f>
        <v>华硕一级</v>
      </c>
      <c r="H564" s="176">
        <f>IFERROR(IF([1]对账明细接口!$H$564=0,"",[1]对账明细接口!$H$564),"")</f>
        <v>74</v>
      </c>
      <c r="I564" s="16" t="str">
        <f>IFERROR(IF([1]对账明细接口!$I$564=0,"",[1]对账明细接口!$I$564),"")</f>
        <v>箱</v>
      </c>
      <c r="J564" s="177">
        <f>IFERROR(IF([1]对账明细接口!$J$564=0,"",[1]对账明细接口!$J$564),"")</f>
        <v>370</v>
      </c>
      <c r="K564" s="177">
        <f>IFERROR(IF([1]对账明细接口!$K$564=0,"",[1]对账明细接口!$K$564),"")</f>
      </c>
      <c r="L564" s="16">
        <f>IFERROR(IF([1]对账明细接口!$L$564=0,"",[1]对账明细接口!$L$564),"")</f>
      </c>
      <c r="M564" s="16">
        <f>IFERROR(IF([1]对账明细接口!$M$564=0,"",[1]对账明细接口!$M$564),"")</f>
      </c>
      <c r="N564" s="19">
        <f>IF($C564="",0,1)</f>
        <v>1</v>
      </c>
      <c r="O564" s="19">
        <f>N(O563)+$N564</f>
        <v>561</v>
      </c>
      <c r="S564" s="20" t="str">
        <f>IFERROR(IF([1]对账明细接口!$N564=0,"",[1]对账明细接口!$N564),"")</f>
        <v>纸箱</v>
      </c>
      <c r="T564" s="212">
        <f>IFERROR(IF([1]对账明细接口!$O564=0,"",[1]对账明细接口!$O564),"")</f>
      </c>
      <c r="U564" s="212">
        <f>IFERROR(IF([1]对账明细接口!$P564=0,"",[1]对账明细接口!$P564),"")</f>
      </c>
      <c r="V564" s="212">
        <f>IFERROR(IF([1]对账明细接口!$Q564=0,"",[1]对账明细接口!$Q564),"")</f>
      </c>
      <c r="W564" s="20" t="str">
        <f>IFERROR(IF([1]对账明细接口!$R564=0,"",[1]对账明细接口!$R564),"")</f>
        <v>新N*622UR</v>
      </c>
      <c r="X564" s="20" t="str">
        <f>IFERROR(IF([1]对账明细接口!$S564=0,"",[1]对账明细接口!$S564),"")</f>
        <v>公司筐</v>
      </c>
      <c r="Y564" s="20" t="str">
        <f>IFERROR(IF([1]对账明细接口!$T564=0,"",[1]对账明细接口!$T564),"")</f>
        <v>王照雪</v>
      </c>
      <c r="Z564" s="213">
        <f>IFERROR(IF([1]对账明细接口!$U564=0,"",[1]对账明细接口!$U564),"")</f>
      </c>
      <c r="AA564" s="213">
        <f>IFERROR(IF([1]对账明细接口!$V564=0,"",[1]对账明细接口!$V564),"")</f>
      </c>
      <c r="AB564" s="20">
        <f>IFERROR(IF([1]对账明细接口!$W564=0,"",[1]对账明细接口!$W564),"")</f>
      </c>
      <c r="AC564" s="7" t="str">
        <f>IFERROR(IF([1]对账明细接口!$X564=0,"",[1]对账明细接口!$X564),"")</f>
        <v>电商/主播</v>
      </c>
      <c r="AD564" s="7">
        <f>IFERROR(IF([1]对账明细接口!$Y564=0,"",[1]对账明细接口!$Y564),"")</f>
      </c>
      <c r="AE564" s="7">
        <f>IFERROR(IF([1]对账明细接口!$AA564=0,"",[1]对账明细接口!$AA564),"")</f>
      </c>
      <c r="AF564" s="7">
        <f>IFERROR(IF([1]对账明细接口!$AB564=0,"",[1]对账明细接口!$AB564),"")</f>
      </c>
      <c r="AG564" s="7">
        <f>IFERROR(IF([1]对账明细接口!$AC564=0,"",[1]对账明细接口!$AC564),"")</f>
      </c>
      <c r="AH564" s="7" t="str">
        <f>IFERROR(IF([1]对账明细接口!$AD564=0,"",[1]对账明细接口!$AD564),"")</f>
        <v>成品出库</v>
      </c>
      <c r="AI564" s="7">
        <f>IFERROR(IF([1]对账明细接口!$AE564=0,"",[1]对账明细接口!$AE564),"")</f>
      </c>
      <c r="AJ564" s="7">
        <f>IFERROR(IF([1]对账明细接口!$AF564=0,"",[1]对账明细接口!$AF564),"")</f>
      </c>
    </row>
    <row r="565" ht="14.25" customHeight="1" s="127">
      <c r="A565" s="14" t="n">
        <v>565</v>
      </c>
      <c r="B565" s="211">
        <f>IFERROR(IF([1]对账明细接口!$B$565=0,"",[1]对账明细接口!$B$565),"")</f>
        <v>46259.0</v>
      </c>
      <c r="C565" s="16" t="str">
        <f>IFERROR(IF([1]对账明细接口!$C$565=0,"",[1]对账明细接口!$C$565),"")</f>
        <v>王照雪</v>
      </c>
      <c r="D565" s="16" t="str">
        <f>IFERROR(IF([1]对账明细接口!$D$565=0,"",[1]对账明细接口!$D$565),"")</f>
        <v>成品出库－成品出库</v>
      </c>
      <c r="E565" s="16" t="str">
        <f>IFERROR(IF([1]对账明细接口!$E$565=0,"",[1]对账明细接口!$E$565),"")</f>
        <v>NO:0001035</v>
      </c>
      <c r="F565" s="16" t="str">
        <f>IFERROR(IF([1]对账明细接口!$F$565=0,"",[1]对账明细接口!$F$565),"")</f>
        <v>苹果</v>
      </c>
      <c r="G565" s="16" t="str">
        <f>IFERROR(IF([1]对账明细接口!$G$565=0,"",[1]对账明细接口!$G$565),"")</f>
        <v>华硕一级</v>
      </c>
      <c r="H565" s="176">
        <f>IFERROR(IF([1]对账明细接口!$H$565=0,"",[1]对账明细接口!$H$565),"")</f>
        <v>13</v>
      </c>
      <c r="I565" s="16" t="str">
        <f>IFERROR(IF([1]对账明细接口!$I$565=0,"",[1]对账明细接口!$I$565),"")</f>
        <v>箱</v>
      </c>
      <c r="J565" s="177">
        <f>IFERROR(IF([1]对账明细接口!$J$565=0,"",[1]对账明细接口!$J$565),"")</f>
        <v>32.5</v>
      </c>
      <c r="K565" s="177">
        <f>IFERROR(IF([1]对账明细接口!$K$565=0,"",[1]对账明细接口!$K$565),"")</f>
      </c>
      <c r="L565" s="16">
        <f>IFERROR(IF([1]对账明细接口!$L$565=0,"",[1]对账明细接口!$L$565),"")</f>
      </c>
      <c r="M565" s="16">
        <f>IFERROR(IF([1]对账明细接口!$M$565=0,"",[1]对账明细接口!$M$565),"")</f>
      </c>
      <c r="N565" s="19">
        <f>IF($C565="",0,1)</f>
        <v>1</v>
      </c>
      <c r="O565" s="19">
        <f>N(O564)+$N565</f>
        <v>562</v>
      </c>
      <c r="S565" s="20" t="str">
        <f>IFERROR(IF([1]对账明细接口!$N565=0,"",[1]对账明细接口!$N565),"")</f>
        <v>纸箱</v>
      </c>
      <c r="T565" s="212">
        <f>IFERROR(IF([1]对账明细接口!$O565=0,"",[1]对账明细接口!$O565),"")</f>
      </c>
      <c r="U565" s="212">
        <f>IFERROR(IF([1]对账明细接口!$P565=0,"",[1]对账明细接口!$P565),"")</f>
      </c>
      <c r="V565" s="212">
        <f>IFERROR(IF([1]对账明细接口!$Q565=0,"",[1]对账明细接口!$Q565),"")</f>
      </c>
      <c r="W565" s="20" t="str">
        <f>IFERROR(IF([1]对账明细接口!$R565=0,"",[1]对账明细接口!$R565),"")</f>
        <v>新N*622UR</v>
      </c>
      <c r="X565" s="20" t="str">
        <f>IFERROR(IF([1]对账明细接口!$S565=0,"",[1]对账明细接口!$S565),"")</f>
        <v>公司筐</v>
      </c>
      <c r="Y565" s="20" t="str">
        <f>IFERROR(IF([1]对账明细接口!$T565=0,"",[1]对账明细接口!$T565),"")</f>
        <v>王照雪</v>
      </c>
      <c r="Z565" s="213">
        <f>IFERROR(IF([1]对账明细接口!$U565=0,"",[1]对账明细接口!$U565),"")</f>
      </c>
      <c r="AA565" s="213">
        <f>IFERROR(IF([1]对账明细接口!$V565=0,"",[1]对账明细接口!$V565),"")</f>
      </c>
      <c r="AB565" s="20">
        <f>IFERROR(IF([1]对账明细接口!$W565=0,"",[1]对账明细接口!$W565),"")</f>
      </c>
      <c r="AC565" s="7" t="str">
        <f>IFERROR(IF([1]对账明细接口!$X565=0,"",[1]对账明细接口!$X565),"")</f>
        <v>电商/主播</v>
      </c>
      <c r="AD565" s="7">
        <f>IFERROR(IF([1]对账明细接口!$Y565=0,"",[1]对账明细接口!$Y565),"")</f>
      </c>
      <c r="AE565" s="7">
        <f>IFERROR(IF([1]对账明细接口!$AA565=0,"",[1]对账明细接口!$AA565),"")</f>
      </c>
      <c r="AF565" s="7">
        <f>IFERROR(IF([1]对账明细接口!$AB565=0,"",[1]对账明细接口!$AB565),"")</f>
      </c>
      <c r="AG565" s="7">
        <f>IFERROR(IF([1]对账明细接口!$AC565=0,"",[1]对账明细接口!$AC565),"")</f>
      </c>
      <c r="AH565" s="7" t="str">
        <f>IFERROR(IF([1]对账明细接口!$AD565=0,"",[1]对账明细接口!$AD565),"")</f>
        <v>成品出库</v>
      </c>
      <c r="AI565" s="7">
        <f>IFERROR(IF([1]对账明细接口!$AE565=0,"",[1]对账明细接口!$AE565),"")</f>
      </c>
      <c r="AJ565" s="7">
        <f>IFERROR(IF([1]对账明细接口!$AF565=0,"",[1]对账明细接口!$AF565),"")</f>
      </c>
    </row>
    <row r="566" ht="14.25" customHeight="1" s="127">
      <c r="A566" s="14" t="n">
        <v>566</v>
      </c>
      <c r="B566" s="211">
        <f>IFERROR(IF([1]对账明细接口!$B$566=0,"",[1]对账明细接口!$B$566),"")</f>
        <v>46261.0</v>
      </c>
      <c r="C566" s="16" t="str">
        <f>IFERROR(IF([1]对账明细接口!$C$566=0,"",[1]对账明细接口!$C$566),"")</f>
        <v>王照雪</v>
      </c>
      <c r="D566" s="16" t="str">
        <f>IFERROR(IF([1]对账明细接口!$D$566=0,"",[1]对账明细接口!$D$566),"")</f>
        <v>成品出库－成品出库</v>
      </c>
      <c r="E566" s="16" t="str">
        <f>IFERROR(IF([1]对账明细接口!$E$566=0,"",[1]对账明细接口!$E$566),"")</f>
        <v>NO:0001040</v>
      </c>
      <c r="F566" s="16" t="str">
        <f>IFERROR(IF([1]对账明细接口!$F$566=0,"",[1]对账明细接口!$F$566),"")</f>
        <v>苹果</v>
      </c>
      <c r="G566" s="16" t="str">
        <f>IFERROR(IF([1]对账明细接口!$G$566=0,"",[1]对账明细接口!$G$566),"")</f>
        <v>华硕一级</v>
      </c>
      <c r="H566" s="176">
        <f>IFERROR(IF([1]对账明细接口!$H$566=0,"",[1]对账明细接口!$H$566),"")</f>
        <v>63</v>
      </c>
      <c r="I566" s="16" t="str">
        <f>IFERROR(IF([1]对账明细接口!$I$566=0,"",[1]对账明细接口!$I$566),"")</f>
        <v>箱</v>
      </c>
      <c r="J566" s="177">
        <f>IFERROR(IF([1]对账明细接口!$J$566=0,"",[1]对账明细接口!$J$566),"")</f>
        <v>321.3</v>
      </c>
      <c r="K566" s="177">
        <f>IFERROR(IF([1]对账明细接口!$K$566=0,"",[1]对账明细接口!$K$566),"")</f>
      </c>
      <c r="L566" s="16">
        <f>IFERROR(IF([1]对账明细接口!$L$566=0,"",[1]对账明细接口!$L$566),"")</f>
      </c>
      <c r="M566" s="16">
        <f>IFERROR(IF([1]对账明细接口!$M$566=0,"",[1]对账明细接口!$M$566),"")</f>
      </c>
      <c r="N566" s="19">
        <f>IF($C566="",0,1)</f>
        <v>1</v>
      </c>
      <c r="O566" s="19">
        <f>N(O565)+$N566</f>
        <v>563</v>
      </c>
      <c r="S566" s="20" t="str">
        <f>IFERROR(IF([1]对账明细接口!$N566=0,"",[1]对账明细接口!$N566),"")</f>
        <v>纸箱</v>
      </c>
      <c r="T566" s="212">
        <f>IFERROR(IF([1]对账明细接口!$O566=0,"",[1]对账明细接口!$O566),"")</f>
      </c>
      <c r="U566" s="212">
        <f>IFERROR(IF([1]对账明细接口!$P566=0,"",[1]对账明细接口!$P566),"")</f>
      </c>
      <c r="V566" s="212">
        <f>IFERROR(IF([1]对账明细接口!$Q566=0,"",[1]对账明细接口!$Q566),"")</f>
      </c>
      <c r="W566" s="20" t="str">
        <f>IFERROR(IF([1]对账明细接口!$R566=0,"",[1]对账明细接口!$R566),"")</f>
        <v>豫N*P269J</v>
      </c>
      <c r="X566" s="20" t="str">
        <f>IFERROR(IF([1]对账明细接口!$S566=0,"",[1]对账明细接口!$S566),"")</f>
        <v>公司筐</v>
      </c>
      <c r="Y566" s="20" t="str">
        <f>IFERROR(IF([1]对账明细接口!$T566=0,"",[1]对账明细接口!$T566),"")</f>
        <v>王照雪</v>
      </c>
      <c r="Z566" s="213">
        <f>IFERROR(IF([1]对账明细接口!$U566=0,"",[1]对账明细接口!$U566),"")</f>
      </c>
      <c r="AA566" s="213">
        <f>IFERROR(IF([1]对账明细接口!$V566=0,"",[1]对账明细接口!$V566),"")</f>
      </c>
      <c r="AB566" s="20">
        <f>IFERROR(IF([1]对账明细接口!$W566=0,"",[1]对账明细接口!$W566),"")</f>
      </c>
      <c r="AC566" s="7" t="str">
        <f>IFERROR(IF([1]对账明细接口!$X566=0,"",[1]对账明细接口!$X566),"")</f>
        <v>电商/主播</v>
      </c>
      <c r="AD566" s="7">
        <f>IFERROR(IF([1]对账明细接口!$Y566=0,"",[1]对账明细接口!$Y566),"")</f>
      </c>
      <c r="AE566" s="7">
        <f>IFERROR(IF([1]对账明细接口!$AA566=0,"",[1]对账明细接口!$AA566),"")</f>
      </c>
      <c r="AF566" s="7">
        <f>IFERROR(IF([1]对账明细接口!$AB566=0,"",[1]对账明细接口!$AB566),"")</f>
      </c>
      <c r="AG566" s="7">
        <f>IFERROR(IF([1]对账明细接口!$AC566=0,"",[1]对账明细接口!$AC566),"")</f>
      </c>
      <c r="AH566" s="7" t="str">
        <f>IFERROR(IF([1]对账明细接口!$AD566=0,"",[1]对账明细接口!$AD566),"")</f>
        <v>成品出库</v>
      </c>
      <c r="AI566" s="7">
        <f>IFERROR(IF([1]对账明细接口!$AE566=0,"",[1]对账明细接口!$AE566),"")</f>
      </c>
      <c r="AJ566" s="7">
        <f>IFERROR(IF([1]对账明细接口!$AF566=0,"",[1]对账明细接口!$AF566),"")</f>
      </c>
    </row>
    <row r="567" ht="14.25" customHeight="1" s="127">
      <c r="A567" s="14" t="n">
        <v>567</v>
      </c>
      <c r="B567" s="211">
        <f>IFERROR(IF([1]对账明细接口!$B$567=0,"",[1]对账明细接口!$B$567),"")</f>
        <v>46261.0</v>
      </c>
      <c r="C567" s="16" t="str">
        <f>IFERROR(IF([1]对账明细接口!$C$567=0,"",[1]对账明细接口!$C$567),"")</f>
        <v>王照雪</v>
      </c>
      <c r="D567" s="16" t="str">
        <f>IFERROR(IF([1]对账明细接口!$D$567=0,"",[1]对账明细接口!$D$567),"")</f>
        <v>成品出库－成品出库</v>
      </c>
      <c r="E567" s="16" t="str">
        <f>IFERROR(IF([1]对账明细接口!$E$567=0,"",[1]对账明细接口!$E$567),"")</f>
        <v>NO:0001040</v>
      </c>
      <c r="F567" s="16" t="str">
        <f>IFERROR(IF([1]对账明细接口!$F$567=0,"",[1]对账明细接口!$F$567),"")</f>
        <v>苹果</v>
      </c>
      <c r="G567" s="16" t="str">
        <f>IFERROR(IF([1]对账明细接口!$G$567=0,"",[1]对账明细接口!$G$567),"")</f>
        <v>华硕一级</v>
      </c>
      <c r="H567" s="176">
        <f>IFERROR(IF([1]对账明细接口!$H$567=0,"",[1]对账明细接口!$H$567),"")</f>
        <v>26</v>
      </c>
      <c r="I567" s="16" t="str">
        <f>IFERROR(IF([1]对账明细接口!$I$567=0,"",[1]对账明细接口!$I$567),"")</f>
        <v>箱</v>
      </c>
      <c r="J567" s="177">
        <f>IFERROR(IF([1]对账明细接口!$J$567=0,"",[1]对账明细接口!$J$567),"")</f>
        <v>67.6</v>
      </c>
      <c r="K567" s="177">
        <f>IFERROR(IF([1]对账明细接口!$K$567=0,"",[1]对账明细接口!$K$567),"")</f>
      </c>
      <c r="L567" s="16">
        <f>IFERROR(IF([1]对账明细接口!$L$567=0,"",[1]对账明细接口!$L$567),"")</f>
      </c>
      <c r="M567" s="16">
        <f>IFERROR(IF([1]对账明细接口!$M$567=0,"",[1]对账明细接口!$M$567),"")</f>
      </c>
      <c r="N567" s="19">
        <f>IF($C567="",0,1)</f>
        <v>1</v>
      </c>
      <c r="O567" s="19">
        <f>N(O566)+$N567</f>
        <v>564</v>
      </c>
      <c r="S567" s="20" t="str">
        <f>IFERROR(IF([1]对账明细接口!$N567=0,"",[1]对账明细接口!$N567),"")</f>
        <v>纸箱</v>
      </c>
      <c r="T567" s="212">
        <f>IFERROR(IF([1]对账明细接口!$O567=0,"",[1]对账明细接口!$O567),"")</f>
      </c>
      <c r="U567" s="212">
        <f>IFERROR(IF([1]对账明细接口!$P567=0,"",[1]对账明细接口!$P567),"")</f>
      </c>
      <c r="V567" s="212">
        <f>IFERROR(IF([1]对账明细接口!$Q567=0,"",[1]对账明细接口!$Q567),"")</f>
      </c>
      <c r="W567" s="20" t="str">
        <f>IFERROR(IF([1]对账明细接口!$R567=0,"",[1]对账明细接口!$R567),"")</f>
        <v>豫N*P269J</v>
      </c>
      <c r="X567" s="20" t="str">
        <f>IFERROR(IF([1]对账明细接口!$S567=0,"",[1]对账明细接口!$S567),"")</f>
        <v>公司筐</v>
      </c>
      <c r="Y567" s="20" t="str">
        <f>IFERROR(IF([1]对账明细接口!$T567=0,"",[1]对账明细接口!$T567),"")</f>
        <v>王照雪</v>
      </c>
      <c r="Z567" s="213">
        <f>IFERROR(IF([1]对账明细接口!$U567=0,"",[1]对账明细接口!$U567),"")</f>
      </c>
      <c r="AA567" s="213">
        <f>IFERROR(IF([1]对账明细接口!$V567=0,"",[1]对账明细接口!$V567),"")</f>
      </c>
      <c r="AB567" s="20">
        <f>IFERROR(IF([1]对账明细接口!$W567=0,"",[1]对账明细接口!$W567),"")</f>
      </c>
      <c r="AC567" s="7" t="str">
        <f>IFERROR(IF([1]对账明细接口!$X567=0,"",[1]对账明细接口!$X567),"")</f>
        <v>电商/主播</v>
      </c>
      <c r="AD567" s="7">
        <f>IFERROR(IF([1]对账明细接口!$Y567=0,"",[1]对账明细接口!$Y567),"")</f>
      </c>
      <c r="AE567" s="7">
        <f>IFERROR(IF([1]对账明细接口!$AA567=0,"",[1]对账明细接口!$AA567),"")</f>
      </c>
      <c r="AF567" s="7">
        <f>IFERROR(IF([1]对账明细接口!$AB567=0,"",[1]对账明细接口!$AB567),"")</f>
      </c>
      <c r="AG567" s="7">
        <f>IFERROR(IF([1]对账明细接口!$AC567=0,"",[1]对账明细接口!$AC567),"")</f>
      </c>
      <c r="AH567" s="7" t="str">
        <f>IFERROR(IF([1]对账明细接口!$AD567=0,"",[1]对账明细接口!$AD567),"")</f>
        <v>成品出库</v>
      </c>
      <c r="AI567" s="7">
        <f>IFERROR(IF([1]对账明细接口!$AE567=0,"",[1]对账明细接口!$AE567),"")</f>
      </c>
      <c r="AJ567" s="7">
        <f>IFERROR(IF([1]对账明细接口!$AF567=0,"",[1]对账明细接口!$AF567),"")</f>
      </c>
    </row>
    <row r="568" ht="14.25" customHeight="1" s="127">
      <c r="A568" s="14" t="n">
        <v>568</v>
      </c>
      <c r="B568" s="211">
        <f>IFERROR(IF([1]对账明细接口!$B$568=0,"",[1]对账明细接口!$B$568),"")</f>
        <v>46262.0</v>
      </c>
      <c r="C568" s="16" t="str">
        <f>IFERROR(IF([1]对账明细接口!$C$568=0,"",[1]对账明细接口!$C$568),"")</f>
        <v>王照雪</v>
      </c>
      <c r="D568" s="16" t="str">
        <f>IFERROR(IF([1]对账明细接口!$D$568=0,"",[1]对账明细接口!$D$568),"")</f>
        <v>成品出库－成品出库</v>
      </c>
      <c r="E568" s="16" t="str">
        <f>IFERROR(IF([1]对账明细接口!$E$568=0,"",[1]对账明细接口!$E$568),"")</f>
        <v>NO:0001043</v>
      </c>
      <c r="F568" s="16" t="str">
        <f>IFERROR(IF([1]对账明细接口!$F$568=0,"",[1]对账明细接口!$F$568),"")</f>
        <v>苹果</v>
      </c>
      <c r="G568" s="16" t="str">
        <f>IFERROR(IF([1]对账明细接口!$G$568=0,"",[1]对账明细接口!$G$568),"")</f>
        <v>华硕一级</v>
      </c>
      <c r="H568" s="176">
        <f>IFERROR(IF([1]对账明细接口!$H$568=0,"",[1]对账明细接口!$H$568),"")</f>
        <v>29</v>
      </c>
      <c r="I568" s="16" t="str">
        <f>IFERROR(IF([1]对账明细接口!$I$568=0,"",[1]对账明细接口!$I$568),"")</f>
        <v>箱</v>
      </c>
      <c r="J568" s="177">
        <f>IFERROR(IF([1]对账明细接口!$J$568=0,"",[1]对账明细接口!$J$568),"")</f>
        <v>147.9</v>
      </c>
      <c r="K568" s="177">
        <f>IFERROR(IF([1]对账明细接口!$K$568=0,"",[1]对账明细接口!$K$568),"")</f>
      </c>
      <c r="L568" s="16">
        <f>IFERROR(IF([1]对账明细接口!$L$568=0,"",[1]对账明细接口!$L$568),"")</f>
      </c>
      <c r="M568" s="16">
        <f>IFERROR(IF([1]对账明细接口!$M$568=0,"",[1]对账明细接口!$M$568),"")</f>
      </c>
      <c r="N568" s="19">
        <f>IF($C568="",0,1)</f>
        <v>1</v>
      </c>
      <c r="O568" s="19">
        <f>N(O567)+$N568</f>
        <v>565</v>
      </c>
      <c r="S568" s="20" t="str">
        <f>IFERROR(IF([1]对账明细接口!$N568=0,"",[1]对账明细接口!$N568),"")</f>
        <v>纸箱</v>
      </c>
      <c r="T568" s="212">
        <f>IFERROR(IF([1]对账明细接口!$O568=0,"",[1]对账明细接口!$O568),"")</f>
      </c>
      <c r="U568" s="212">
        <f>IFERROR(IF([1]对账明细接口!$P568=0,"",[1]对账明细接口!$P568),"")</f>
      </c>
      <c r="V568" s="212">
        <f>IFERROR(IF([1]对账明细接口!$Q568=0,"",[1]对账明细接口!$Q568),"")</f>
      </c>
      <c r="W568" s="20" t="str">
        <f>IFERROR(IF([1]对账明细接口!$R568=0,"",[1]对账明细接口!$R568),"")</f>
        <v>豫N*P269J</v>
      </c>
      <c r="X568" s="20" t="str">
        <f>IFERROR(IF([1]对账明细接口!$S568=0,"",[1]对账明细接口!$S568),"")</f>
        <v>公司筐</v>
      </c>
      <c r="Y568" s="20" t="str">
        <f>IFERROR(IF([1]对账明细接口!$T568=0,"",[1]对账明细接口!$T568),"")</f>
        <v>王照雪</v>
      </c>
      <c r="Z568" s="213">
        <f>IFERROR(IF([1]对账明细接口!$U568=0,"",[1]对账明细接口!$U568),"")</f>
      </c>
      <c r="AA568" s="213">
        <f>IFERROR(IF([1]对账明细接口!$V568=0,"",[1]对账明细接口!$V568),"")</f>
      </c>
      <c r="AB568" s="20">
        <f>IFERROR(IF([1]对账明细接口!$W568=0,"",[1]对账明细接口!$W568),"")</f>
      </c>
      <c r="AC568" s="7" t="str">
        <f>IFERROR(IF([1]对账明细接口!$X568=0,"",[1]对账明细接口!$X568),"")</f>
        <v>电商/主播</v>
      </c>
      <c r="AD568" s="7">
        <f>IFERROR(IF([1]对账明细接口!$Y568=0,"",[1]对账明细接口!$Y568),"")</f>
      </c>
      <c r="AE568" s="7">
        <f>IFERROR(IF([1]对账明细接口!$AA568=0,"",[1]对账明细接口!$AA568),"")</f>
      </c>
      <c r="AF568" s="7">
        <f>IFERROR(IF([1]对账明细接口!$AB568=0,"",[1]对账明细接口!$AB568),"")</f>
      </c>
      <c r="AG568" s="7">
        <f>IFERROR(IF([1]对账明细接口!$AC568=0,"",[1]对账明细接口!$AC568),"")</f>
      </c>
      <c r="AH568" s="7" t="str">
        <f>IFERROR(IF([1]对账明细接口!$AD568=0,"",[1]对账明细接口!$AD568),"")</f>
        <v>成品出库</v>
      </c>
      <c r="AI568" s="7">
        <f>IFERROR(IF([1]对账明细接口!$AE568=0,"",[1]对账明细接口!$AE568),"")</f>
      </c>
      <c r="AJ568" s="7">
        <f>IFERROR(IF([1]对账明细接口!$AF568=0,"",[1]对账明细接口!$AF568),"")</f>
      </c>
    </row>
    <row r="569" ht="14.25" customHeight="1" s="127">
      <c r="A569" s="14" t="n">
        <v>569</v>
      </c>
      <c r="B569" s="211">
        <f>IFERROR(IF([1]对账明细接口!$B$569=0,"",[1]对账明细接口!$B$569),"")</f>
        <v>46262.0</v>
      </c>
      <c r="C569" s="16" t="str">
        <f>IFERROR(IF([1]对账明细接口!$C$569=0,"",[1]对账明细接口!$C$569),"")</f>
        <v>王照雪</v>
      </c>
      <c r="D569" s="16" t="str">
        <f>IFERROR(IF([1]对账明细接口!$D$569=0,"",[1]对账明细接口!$D$569),"")</f>
        <v>成品出库－成品出库</v>
      </c>
      <c r="E569" s="16" t="str">
        <f>IFERROR(IF([1]对账明细接口!$E$569=0,"",[1]对账明细接口!$E$569),"")</f>
        <v>NO:0001043</v>
      </c>
      <c r="F569" s="16" t="str">
        <f>IFERROR(IF([1]对账明细接口!$F$569=0,"",[1]对账明细接口!$F$569),"")</f>
        <v>苹果</v>
      </c>
      <c r="G569" s="16" t="str">
        <f>IFERROR(IF([1]对账明细接口!$G$569=0,"",[1]对账明细接口!$G$569),"")</f>
        <v>华硕一级</v>
      </c>
      <c r="H569" s="176">
        <f>IFERROR(IF([1]对账明细接口!$H$569=0,"",[1]对账明细接口!$H$569),"")</f>
        <v>12</v>
      </c>
      <c r="I569" s="16" t="str">
        <f>IFERROR(IF([1]对账明细接口!$I$569=0,"",[1]对账明细接口!$I$569),"")</f>
        <v>箱</v>
      </c>
      <c r="J569" s="177">
        <f>IFERROR(IF([1]对账明细接口!$J$569=0,"",[1]对账明细接口!$J$569),"")</f>
        <v>31.2</v>
      </c>
      <c r="K569" s="177">
        <f>IFERROR(IF([1]对账明细接口!$K$569=0,"",[1]对账明细接口!$K$569),"")</f>
      </c>
      <c r="L569" s="16">
        <f>IFERROR(IF([1]对账明细接口!$L$569=0,"",[1]对账明细接口!$L$569),"")</f>
      </c>
      <c r="M569" s="16">
        <f>IFERROR(IF([1]对账明细接口!$M$569=0,"",[1]对账明细接口!$M$569),"")</f>
      </c>
      <c r="N569" s="19">
        <f>IF($C569="",0,1)</f>
        <v>1</v>
      </c>
      <c r="O569" s="19">
        <f>N(O568)+$N569</f>
        <v>566</v>
      </c>
      <c r="S569" s="20" t="str">
        <f>IFERROR(IF([1]对账明细接口!$N569=0,"",[1]对账明细接口!$N569),"")</f>
        <v>纸箱</v>
      </c>
      <c r="T569" s="212">
        <f>IFERROR(IF([1]对账明细接口!$O569=0,"",[1]对账明细接口!$O569),"")</f>
      </c>
      <c r="U569" s="212">
        <f>IFERROR(IF([1]对账明细接口!$P569=0,"",[1]对账明细接口!$P569),"")</f>
      </c>
      <c r="V569" s="212">
        <f>IFERROR(IF([1]对账明细接口!$Q569=0,"",[1]对账明细接口!$Q569),"")</f>
      </c>
      <c r="W569" s="20" t="str">
        <f>IFERROR(IF([1]对账明细接口!$R569=0,"",[1]对账明细接口!$R569),"")</f>
        <v>豫N*P269J</v>
      </c>
      <c r="X569" s="20" t="str">
        <f>IFERROR(IF([1]对账明细接口!$S569=0,"",[1]对账明细接口!$S569),"")</f>
        <v>公司筐</v>
      </c>
      <c r="Y569" s="20" t="str">
        <f>IFERROR(IF([1]对账明细接口!$T569=0,"",[1]对账明细接口!$T569),"")</f>
        <v>王照雪</v>
      </c>
      <c r="Z569" s="213">
        <f>IFERROR(IF([1]对账明细接口!$U569=0,"",[1]对账明细接口!$U569),"")</f>
      </c>
      <c r="AA569" s="213">
        <f>IFERROR(IF([1]对账明细接口!$V569=0,"",[1]对账明细接口!$V569),"")</f>
      </c>
      <c r="AB569" s="20">
        <f>IFERROR(IF([1]对账明细接口!$W569=0,"",[1]对账明细接口!$W569),"")</f>
      </c>
      <c r="AC569" s="7" t="str">
        <f>IFERROR(IF([1]对账明细接口!$X569=0,"",[1]对账明细接口!$X569),"")</f>
        <v>电商/主播</v>
      </c>
      <c r="AD569" s="7">
        <f>IFERROR(IF([1]对账明细接口!$Y569=0,"",[1]对账明细接口!$Y569),"")</f>
      </c>
      <c r="AE569" s="7">
        <f>IFERROR(IF([1]对账明细接口!$AA569=0,"",[1]对账明细接口!$AA569),"")</f>
      </c>
      <c r="AF569" s="7">
        <f>IFERROR(IF([1]对账明细接口!$AB569=0,"",[1]对账明细接口!$AB569),"")</f>
      </c>
      <c r="AG569" s="7">
        <f>IFERROR(IF([1]对账明细接口!$AC569=0,"",[1]对账明细接口!$AC569),"")</f>
      </c>
      <c r="AH569" s="7" t="str">
        <f>IFERROR(IF([1]对账明细接口!$AD569=0,"",[1]对账明细接口!$AD569),"")</f>
        <v>成品出库</v>
      </c>
      <c r="AI569" s="7">
        <f>IFERROR(IF([1]对账明细接口!$AE569=0,"",[1]对账明细接口!$AE569),"")</f>
      </c>
      <c r="AJ569" s="7">
        <f>IFERROR(IF([1]对账明细接口!$AF569=0,"",[1]对账明细接口!$AF569),"")</f>
      </c>
    </row>
    <row r="570" ht="14.25" customHeight="1" s="127">
      <c r="A570" s="14" t="n">
        <v>570</v>
      </c>
      <c r="B570" s="211">
        <f>IFERROR(IF([1]对账明细接口!$B$570=0,"",[1]对账明细接口!$B$570),"")</f>
        <v>46263.0</v>
      </c>
      <c r="C570" s="16" t="str">
        <f>IFERROR(IF([1]对账明细接口!$C$570=0,"",[1]对账明细接口!$C$570),"")</f>
        <v>王照雪</v>
      </c>
      <c r="D570" s="16" t="str">
        <f>IFERROR(IF([1]对账明细接口!$D$570=0,"",[1]对账明细接口!$D$570),"")</f>
        <v>成品出库－成品出库</v>
      </c>
      <c r="E570" s="16" t="str">
        <f>IFERROR(IF([1]对账明细接口!$E$570=0,"",[1]对账明细接口!$E$570),"")</f>
        <v>NO:0001048</v>
      </c>
      <c r="F570" s="16" t="str">
        <f>IFERROR(IF([1]对账明细接口!$F$570=0,"",[1]对账明细接口!$F$570),"")</f>
        <v>苹果</v>
      </c>
      <c r="G570" s="16" t="str">
        <f>IFERROR(IF([1]对账明细接口!$G$570=0,"",[1]对账明细接口!$G$570),"")</f>
        <v>华硕一级</v>
      </c>
      <c r="H570" s="176">
        <f>IFERROR(IF([1]对账明细接口!$H$570=0,"",[1]对账明细接口!$H$570),"")</f>
        <v>68</v>
      </c>
      <c r="I570" s="16" t="str">
        <f>IFERROR(IF([1]对账明细接口!$I$570=0,"",[1]对账明细接口!$I$570),"")</f>
        <v>箱</v>
      </c>
      <c r="J570" s="177">
        <f>IFERROR(IF([1]对账明细接口!$J$570=0,"",[1]对账明细接口!$J$570),"")</f>
        <v>346.8</v>
      </c>
      <c r="K570" s="177">
        <f>IFERROR(IF([1]对账明细接口!$K$570=0,"",[1]对账明细接口!$K$570),"")</f>
      </c>
      <c r="L570" s="16">
        <f>IFERROR(IF([1]对账明细接口!$L$570=0,"",[1]对账明细接口!$L$570),"")</f>
      </c>
      <c r="M570" s="16">
        <f>IFERROR(IF([1]对账明细接口!$M$570=0,"",[1]对账明细接口!$M$570),"")</f>
      </c>
      <c r="N570" s="19">
        <f>IF($C570="",0,1)</f>
        <v>1</v>
      </c>
      <c r="O570" s="19">
        <f>N(O569)+$N570</f>
        <v>567</v>
      </c>
      <c r="S570" s="20" t="str">
        <f>IFERROR(IF([1]对账明细接口!$N570=0,"",[1]对账明细接口!$N570),"")</f>
        <v>纸箱</v>
      </c>
      <c r="T570" s="212">
        <f>IFERROR(IF([1]对账明细接口!$O570=0,"",[1]对账明细接口!$O570),"")</f>
      </c>
      <c r="U570" s="212">
        <f>IFERROR(IF([1]对账明细接口!$P570=0,"",[1]对账明细接口!$P570),"")</f>
      </c>
      <c r="V570" s="212">
        <f>IFERROR(IF([1]对账明细接口!$Q570=0,"",[1]对账明细接口!$Q570),"")</f>
      </c>
      <c r="W570" s="20" t="str">
        <f>IFERROR(IF([1]对账明细接口!$R570=0,"",[1]对账明细接口!$R570),"")</f>
        <v>豫N*P269J</v>
      </c>
      <c r="X570" s="20" t="str">
        <f>IFERROR(IF([1]对账明细接口!$S570=0,"",[1]对账明细接口!$S570),"")</f>
        <v>公司筐</v>
      </c>
      <c r="Y570" s="20" t="str">
        <f>IFERROR(IF([1]对账明细接口!$T570=0,"",[1]对账明细接口!$T570),"")</f>
        <v>王照雪</v>
      </c>
      <c r="Z570" s="213">
        <f>IFERROR(IF([1]对账明细接口!$U570=0,"",[1]对账明细接口!$U570),"")</f>
      </c>
      <c r="AA570" s="213">
        <f>IFERROR(IF([1]对账明细接口!$V570=0,"",[1]对账明细接口!$V570),"")</f>
      </c>
      <c r="AB570" s="20">
        <f>IFERROR(IF([1]对账明细接口!$W570=0,"",[1]对账明细接口!$W570),"")</f>
      </c>
      <c r="AC570" s="7" t="str">
        <f>IFERROR(IF([1]对账明细接口!$X570=0,"",[1]对账明细接口!$X570),"")</f>
        <v>电商/主播</v>
      </c>
      <c r="AD570" s="7">
        <f>IFERROR(IF([1]对账明细接口!$Y570=0,"",[1]对账明细接口!$Y570),"")</f>
      </c>
      <c r="AE570" s="7">
        <f>IFERROR(IF([1]对账明细接口!$AA570=0,"",[1]对账明细接口!$AA570),"")</f>
      </c>
      <c r="AF570" s="7">
        <f>IFERROR(IF([1]对账明细接口!$AB570=0,"",[1]对账明细接口!$AB570),"")</f>
      </c>
      <c r="AG570" s="7">
        <f>IFERROR(IF([1]对账明细接口!$AC570=0,"",[1]对账明细接口!$AC570),"")</f>
      </c>
      <c r="AH570" s="7" t="str">
        <f>IFERROR(IF([1]对账明细接口!$AD570=0,"",[1]对账明细接口!$AD570),"")</f>
        <v>成品出库</v>
      </c>
      <c r="AI570" s="7">
        <f>IFERROR(IF([1]对账明细接口!$AE570=0,"",[1]对账明细接口!$AE570),"")</f>
      </c>
      <c r="AJ570" s="7">
        <f>IFERROR(IF([1]对账明细接口!$AF570=0,"",[1]对账明细接口!$AF570),"")</f>
      </c>
    </row>
    <row r="571" ht="14.25" customHeight="1" s="127">
      <c r="A571" s="14" t="n">
        <v>571</v>
      </c>
      <c r="B571" s="211">
        <f>IFERROR(IF([1]对账明细接口!$B$571=0,"",[1]对账明细接口!$B$571),"")</f>
        <v>46263.0</v>
      </c>
      <c r="C571" s="16" t="str">
        <f>IFERROR(IF([1]对账明细接口!$C$571=0,"",[1]对账明细接口!$C$571),"")</f>
        <v>王照雪</v>
      </c>
      <c r="D571" s="16" t="str">
        <f>IFERROR(IF([1]对账明细接口!$D$571=0,"",[1]对账明细接口!$D$571),"")</f>
        <v>成品出库－成品出库</v>
      </c>
      <c r="E571" s="16" t="str">
        <f>IFERROR(IF([1]对账明细接口!$E$571=0,"",[1]对账明细接口!$E$571),"")</f>
        <v>NO:0001048</v>
      </c>
      <c r="F571" s="16" t="str">
        <f>IFERROR(IF([1]对账明细接口!$F$571=0,"",[1]对账明细接口!$F$571),"")</f>
        <v>苹果</v>
      </c>
      <c r="G571" s="16" t="str">
        <f>IFERROR(IF([1]对账明细接口!$G$571=0,"",[1]对账明细接口!$G$571),"")</f>
        <v>华硕一级</v>
      </c>
      <c r="H571" s="176">
        <f>IFERROR(IF([1]对账明细接口!$H$571=0,"",[1]对账明细接口!$H$571),"")</f>
        <v>22</v>
      </c>
      <c r="I571" s="16" t="str">
        <f>IFERROR(IF([1]对账明细接口!$I$571=0,"",[1]对账明细接口!$I$571),"")</f>
        <v>箱</v>
      </c>
      <c r="J571" s="177">
        <f>IFERROR(IF([1]对账明细接口!$J$571=0,"",[1]对账明细接口!$J$571),"")</f>
        <v>57.2</v>
      </c>
      <c r="K571" s="177">
        <f>IFERROR(IF([1]对账明细接口!$K$571=0,"",[1]对账明细接口!$K$571),"")</f>
      </c>
      <c r="L571" s="16">
        <f>IFERROR(IF([1]对账明细接口!$L$571=0,"",[1]对账明细接口!$L$571),"")</f>
      </c>
      <c r="M571" s="16">
        <f>IFERROR(IF([1]对账明细接口!$M$571=0,"",[1]对账明细接口!$M$571),"")</f>
      </c>
      <c r="N571" s="19">
        <f>IF($C571="",0,1)</f>
        <v>1</v>
      </c>
      <c r="O571" s="19">
        <f>N(O570)+$N571</f>
        <v>568</v>
      </c>
      <c r="S571" s="20" t="str">
        <f>IFERROR(IF([1]对账明细接口!$N571=0,"",[1]对账明细接口!$N571),"")</f>
        <v>纸箱</v>
      </c>
      <c r="T571" s="212">
        <f>IFERROR(IF([1]对账明细接口!$O571=0,"",[1]对账明细接口!$O571),"")</f>
      </c>
      <c r="U571" s="212">
        <f>IFERROR(IF([1]对账明细接口!$P571=0,"",[1]对账明细接口!$P571),"")</f>
      </c>
      <c r="V571" s="212">
        <f>IFERROR(IF([1]对账明细接口!$Q571=0,"",[1]对账明细接口!$Q571),"")</f>
      </c>
      <c r="W571" s="20" t="str">
        <f>IFERROR(IF([1]对账明细接口!$R571=0,"",[1]对账明细接口!$R571),"")</f>
        <v>豫N*P269J</v>
      </c>
      <c r="X571" s="20" t="str">
        <f>IFERROR(IF([1]对账明细接口!$S571=0,"",[1]对账明细接口!$S571),"")</f>
        <v>公司筐</v>
      </c>
      <c r="Y571" s="20" t="str">
        <f>IFERROR(IF([1]对账明细接口!$T571=0,"",[1]对账明细接口!$T571),"")</f>
        <v>王照雪</v>
      </c>
      <c r="Z571" s="213">
        <f>IFERROR(IF([1]对账明细接口!$U571=0,"",[1]对账明细接口!$U571),"")</f>
      </c>
      <c r="AA571" s="213">
        <f>IFERROR(IF([1]对账明细接口!$V571=0,"",[1]对账明细接口!$V571),"")</f>
      </c>
      <c r="AB571" s="20">
        <f>IFERROR(IF([1]对账明细接口!$W571=0,"",[1]对账明细接口!$W571),"")</f>
      </c>
      <c r="AC571" s="7" t="str">
        <f>IFERROR(IF([1]对账明细接口!$X571=0,"",[1]对账明细接口!$X571),"")</f>
        <v>电商/主播</v>
      </c>
      <c r="AD571" s="7">
        <f>IFERROR(IF([1]对账明细接口!$Y571=0,"",[1]对账明细接口!$Y571),"")</f>
      </c>
      <c r="AE571" s="7">
        <f>IFERROR(IF([1]对账明细接口!$AA571=0,"",[1]对账明细接口!$AA571),"")</f>
      </c>
      <c r="AF571" s="7">
        <f>IFERROR(IF([1]对账明细接口!$AB571=0,"",[1]对账明细接口!$AB571),"")</f>
      </c>
      <c r="AG571" s="7">
        <f>IFERROR(IF([1]对账明细接口!$AC571=0,"",[1]对账明细接口!$AC571),"")</f>
      </c>
      <c r="AH571" s="7" t="str">
        <f>IFERROR(IF([1]对账明细接口!$AD571=0,"",[1]对账明细接口!$AD571),"")</f>
        <v>成品出库</v>
      </c>
      <c r="AI571" s="7">
        <f>IFERROR(IF([1]对账明细接口!$AE571=0,"",[1]对账明细接口!$AE571),"")</f>
      </c>
      <c r="AJ571" s="7">
        <f>IFERROR(IF([1]对账明细接口!$AF571=0,"",[1]对账明细接口!$AF571),"")</f>
      </c>
    </row>
    <row r="572" ht="14.25" customHeight="1" s="127">
      <c r="A572" s="14" t="n">
        <v>572</v>
      </c>
      <c r="B572" s="211">
        <f>IFERROR(IF([1]对账明细接口!$B$572=0,"",[1]对账明细接口!$B$572),"")</f>
        <v>46264.0</v>
      </c>
      <c r="C572" s="16" t="str">
        <f>IFERROR(IF([1]对账明细接口!$C$572=0,"",[1]对账明细接口!$C$572),"")</f>
        <v>王照雪</v>
      </c>
      <c r="D572" s="16" t="str">
        <f>IFERROR(IF([1]对账明细接口!$D$572=0,"",[1]对账明细接口!$D$572),"")</f>
        <v>成品出库－成品出库</v>
      </c>
      <c r="E572" s="16" t="str">
        <f>IFERROR(IF([1]对账明细接口!$E$572=0,"",[1]对账明细接口!$E$572),"")</f>
        <v>NO:0001052</v>
      </c>
      <c r="F572" s="16" t="str">
        <f>IFERROR(IF([1]对账明细接口!$F$572=0,"",[1]对账明细接口!$F$572),"")</f>
        <v>苹果</v>
      </c>
      <c r="G572" s="16" t="str">
        <f>IFERROR(IF([1]对账明细接口!$G$572=0,"",[1]对账明细接口!$G$572),"")</f>
        <v>华硕一级</v>
      </c>
      <c r="H572" s="176">
        <f>IFERROR(IF([1]对账明细接口!$H$572=0,"",[1]对账明细接口!$H$572),"")</f>
        <v>484</v>
      </c>
      <c r="I572" s="16" t="str">
        <f>IFERROR(IF([1]对账明细接口!$I$572=0,"",[1]对账明细接口!$I$572),"")</f>
        <v>箱</v>
      </c>
      <c r="J572" s="177">
        <f>IFERROR(IF([1]对账明细接口!$J$572=0,"",[1]对账明细接口!$J$572),"")</f>
        <v>2468.4</v>
      </c>
      <c r="K572" s="177">
        <f>IFERROR(IF([1]对账明细接口!$K$572=0,"",[1]对账明细接口!$K$572),"")</f>
      </c>
      <c r="L572" s="16">
        <f>IFERROR(IF([1]对账明细接口!$L$572=0,"",[1]对账明细接口!$L$572),"")</f>
      </c>
      <c r="M572" s="16">
        <f>IFERROR(IF([1]对账明细接口!$M$572=0,"",[1]对账明细接口!$M$572),"")</f>
      </c>
      <c r="N572" s="19">
        <f>IF($C572="",0,1)</f>
        <v>1</v>
      </c>
      <c r="O572" s="19">
        <f>N(O571)+$N572</f>
        <v>569</v>
      </c>
      <c r="S572" s="20" t="str">
        <f>IFERROR(IF([1]对账明细接口!$N572=0,"",[1]对账明细接口!$N572),"")</f>
        <v>纸箱</v>
      </c>
      <c r="T572" s="212">
        <f>IFERROR(IF([1]对账明细接口!$O572=0,"",[1]对账明细接口!$O572),"")</f>
      </c>
      <c r="U572" s="212">
        <f>IFERROR(IF([1]对账明细接口!$P572=0,"",[1]对账明细接口!$P572),"")</f>
      </c>
      <c r="V572" s="212">
        <f>IFERROR(IF([1]对账明细接口!$Q572=0,"",[1]对账明细接口!$Q572),"")</f>
      </c>
      <c r="W572" s="20" t="str">
        <f>IFERROR(IF([1]对账明细接口!$R572=0,"",[1]对账明细接口!$R572),"")</f>
        <v>豫N*P269J</v>
      </c>
      <c r="X572" s="20" t="str">
        <f>IFERROR(IF([1]对账明细接口!$S572=0,"",[1]对账明细接口!$S572),"")</f>
        <v>公司筐</v>
      </c>
      <c r="Y572" s="20" t="str">
        <f>IFERROR(IF([1]对账明细接口!$T572=0,"",[1]对账明细接口!$T572),"")</f>
        <v>王照雪</v>
      </c>
      <c r="Z572" s="213">
        <f>IFERROR(IF([1]对账明细接口!$U572=0,"",[1]对账明细接口!$U572),"")</f>
      </c>
      <c r="AA572" s="213">
        <f>IFERROR(IF([1]对账明细接口!$V572=0,"",[1]对账明细接口!$V572),"")</f>
      </c>
      <c r="AB572" s="20">
        <f>IFERROR(IF([1]对账明细接口!$W572=0,"",[1]对账明细接口!$W572),"")</f>
      </c>
      <c r="AC572" s="7" t="str">
        <f>IFERROR(IF([1]对账明细接口!$X572=0,"",[1]对账明细接口!$X572),"")</f>
        <v>电商/主播</v>
      </c>
      <c r="AD572" s="7">
        <f>IFERROR(IF([1]对账明细接口!$Y572=0,"",[1]对账明细接口!$Y572),"")</f>
      </c>
      <c r="AE572" s="7">
        <f>IFERROR(IF([1]对账明细接口!$AA572=0,"",[1]对账明细接口!$AA572),"")</f>
      </c>
      <c r="AF572" s="7">
        <f>IFERROR(IF([1]对账明细接口!$AB572=0,"",[1]对账明细接口!$AB572),"")</f>
      </c>
      <c r="AG572" s="7">
        <f>IFERROR(IF([1]对账明细接口!$AC572=0,"",[1]对账明细接口!$AC572),"")</f>
      </c>
      <c r="AH572" s="7" t="str">
        <f>IFERROR(IF([1]对账明细接口!$AD572=0,"",[1]对账明细接口!$AD572),"")</f>
        <v>成品出库</v>
      </c>
      <c r="AI572" s="7">
        <f>IFERROR(IF([1]对账明细接口!$AE572=0,"",[1]对账明细接口!$AE572),"")</f>
      </c>
      <c r="AJ572" s="7">
        <f>IFERROR(IF([1]对账明细接口!$AF572=0,"",[1]对账明细接口!$AF572),"")</f>
      </c>
    </row>
    <row r="573" ht="14.25" customHeight="1" s="127">
      <c r="A573" s="14" t="n">
        <v>573</v>
      </c>
      <c r="B573" s="211">
        <f>IFERROR(IF([1]对账明细接口!$B$573=0,"",[1]对账明细接口!$B$573),"")</f>
        <v>46264.0</v>
      </c>
      <c r="C573" s="16" t="str">
        <f>IFERROR(IF([1]对账明细接口!$C$573=0,"",[1]对账明细接口!$C$573),"")</f>
        <v>王照雪</v>
      </c>
      <c r="D573" s="16" t="str">
        <f>IFERROR(IF([1]对账明细接口!$D$573=0,"",[1]对账明细接口!$D$573),"")</f>
        <v>成品出库－成品出库</v>
      </c>
      <c r="E573" s="16" t="str">
        <f>IFERROR(IF([1]对账明细接口!$E$573=0,"",[1]对账明细接口!$E$573),"")</f>
        <v>NO:0001053</v>
      </c>
      <c r="F573" s="16" t="str">
        <f>IFERROR(IF([1]对账明细接口!$F$573=0,"",[1]对账明细接口!$F$573),"")</f>
        <v>苹果</v>
      </c>
      <c r="G573" s="16" t="str">
        <f>IFERROR(IF([1]对账明细接口!$G$573=0,"",[1]对账明细接口!$G$573),"")</f>
        <v>华硕一级</v>
      </c>
      <c r="H573" s="176">
        <f>IFERROR(IF([1]对账明细接口!$H$573=0,"",[1]对账明细接口!$H$573),"")</f>
        <v>320</v>
      </c>
      <c r="I573" s="16" t="str">
        <f>IFERROR(IF([1]对账明细接口!$I$573=0,"",[1]对账明细接口!$I$573),"")</f>
        <v>箱</v>
      </c>
      <c r="J573" s="177">
        <f>IFERROR(IF([1]对账明细接口!$J$573=0,"",[1]对账明细接口!$J$573),"")</f>
        <v>1632</v>
      </c>
      <c r="K573" s="177">
        <f>IFERROR(IF([1]对账明细接口!$K$573=0,"",[1]对账明细接口!$K$573),"")</f>
      </c>
      <c r="L573" s="16">
        <f>IFERROR(IF([1]对账明细接口!$L$573=0,"",[1]对账明细接口!$L$573),"")</f>
      </c>
      <c r="M573" s="16">
        <f>IFERROR(IF([1]对账明细接口!$M$573=0,"",[1]对账明细接口!$M$573),"")</f>
      </c>
      <c r="N573" s="19">
        <f>IF($C573="",0,1)</f>
        <v>1</v>
      </c>
      <c r="O573" s="19">
        <f>N(O572)+$N573</f>
        <v>570</v>
      </c>
      <c r="S573" s="20" t="str">
        <f>IFERROR(IF([1]对账明细接口!$N573=0,"",[1]对账明细接口!$N573),"")</f>
        <v>纸箱</v>
      </c>
      <c r="T573" s="212">
        <f>IFERROR(IF([1]对账明细接口!$O573=0,"",[1]对账明细接口!$O573),"")</f>
      </c>
      <c r="U573" s="212">
        <f>IFERROR(IF([1]对账明细接口!$P573=0,"",[1]对账明细接口!$P573),"")</f>
      </c>
      <c r="V573" s="212">
        <f>IFERROR(IF([1]对账明细接口!$Q573=0,"",[1]对账明细接口!$Q573),"")</f>
      </c>
      <c r="W573" s="20" t="str">
        <f>IFERROR(IF([1]对账明细接口!$R573=0,"",[1]对账明细接口!$R573),"")</f>
        <v>豫N*P269J</v>
      </c>
      <c r="X573" s="20" t="str">
        <f>IFERROR(IF([1]对账明细接口!$S573=0,"",[1]对账明细接口!$S573),"")</f>
        <v>公司筐</v>
      </c>
      <c r="Y573" s="20" t="str">
        <f>IFERROR(IF([1]对账明细接口!$T573=0,"",[1]对账明细接口!$T573),"")</f>
        <v>王照雪</v>
      </c>
      <c r="Z573" s="213">
        <f>IFERROR(IF([1]对账明细接口!$U573=0,"",[1]对账明细接口!$U573),"")</f>
      </c>
      <c r="AA573" s="213">
        <f>IFERROR(IF([1]对账明细接口!$V573=0,"",[1]对账明细接口!$V573),"")</f>
      </c>
      <c r="AB573" s="20">
        <f>IFERROR(IF([1]对账明细接口!$W573=0,"",[1]对账明细接口!$W573),"")</f>
      </c>
      <c r="AC573" s="7" t="str">
        <f>IFERROR(IF([1]对账明细接口!$X573=0,"",[1]对账明细接口!$X573),"")</f>
        <v>电商/主播</v>
      </c>
      <c r="AD573" s="7">
        <f>IFERROR(IF([1]对账明细接口!$Y573=0,"",[1]对账明细接口!$Y573),"")</f>
      </c>
      <c r="AE573" s="7">
        <f>IFERROR(IF([1]对账明细接口!$AA573=0,"",[1]对账明细接口!$AA573),"")</f>
      </c>
      <c r="AF573" s="7">
        <f>IFERROR(IF([1]对账明细接口!$AB573=0,"",[1]对账明细接口!$AB573),"")</f>
      </c>
      <c r="AG573" s="7">
        <f>IFERROR(IF([1]对账明细接口!$AC573=0,"",[1]对账明细接口!$AC573),"")</f>
      </c>
      <c r="AH573" s="7" t="str">
        <f>IFERROR(IF([1]对账明细接口!$AD573=0,"",[1]对账明细接口!$AD573),"")</f>
        <v>成品出库</v>
      </c>
      <c r="AI573" s="7">
        <f>IFERROR(IF([1]对账明细接口!$AE573=0,"",[1]对账明细接口!$AE573),"")</f>
      </c>
      <c r="AJ573" s="7">
        <f>IFERROR(IF([1]对账明细接口!$AF573=0,"",[1]对账明细接口!$AF573),"")</f>
      </c>
    </row>
    <row r="574" ht="14.25" customHeight="1" s="127">
      <c r="A574" s="14" t="n">
        <v>574</v>
      </c>
      <c r="B574" s="211">
        <f>IFERROR(IF([1]对账明细接口!$B$574=0,"",[1]对账明细接口!$B$574),"")</f>
        <v>46265.0</v>
      </c>
      <c r="C574" s="16" t="str">
        <f>IFERROR(IF([1]对账明细接口!$C$574=0,"",[1]对账明细接口!$C$574),"")</f>
        <v>王照雪</v>
      </c>
      <c r="D574" s="16" t="str">
        <f>IFERROR(IF([1]对账明细接口!$D$574=0,"",[1]对账明细接口!$D$574),"")</f>
        <v>成品出库－成品出库</v>
      </c>
      <c r="E574" s="16" t="str">
        <f>IFERROR(IF([1]对账明细接口!$E$574=0,"",[1]对账明细接口!$E$574),"")</f>
        <v>NO:0001058</v>
      </c>
      <c r="F574" s="16" t="str">
        <f>IFERROR(IF([1]对账明细接口!$F$574=0,"",[1]对账明细接口!$F$574),"")</f>
        <v>苹果</v>
      </c>
      <c r="G574" s="16" t="str">
        <f>IFERROR(IF([1]对账明细接口!$G$574=0,"",[1]对账明细接口!$G$574),"")</f>
        <v>华硕一级</v>
      </c>
      <c r="H574" s="176">
        <f>IFERROR(IF([1]对账明细接口!$H$574=0,"",[1]对账明细接口!$H$574),"")</f>
        <v>307</v>
      </c>
      <c r="I574" s="16" t="str">
        <f>IFERROR(IF([1]对账明细接口!$I$574=0,"",[1]对账明细接口!$I$574),"")</f>
        <v>箱</v>
      </c>
      <c r="J574" s="177">
        <f>IFERROR(IF([1]对账明细接口!$J$574=0,"",[1]对账明细接口!$J$574),"")</f>
        <v>1565.7</v>
      </c>
      <c r="K574" s="177">
        <f>IFERROR(IF([1]对账明细接口!$K$574=0,"",[1]对账明细接口!$K$574),"")</f>
      </c>
      <c r="L574" s="16">
        <f>IFERROR(IF([1]对账明细接口!$L$574=0,"",[1]对账明细接口!$L$574),"")</f>
      </c>
      <c r="M574" s="16">
        <f>IFERROR(IF([1]对账明细接口!$M$574=0,"",[1]对账明细接口!$M$574),"")</f>
      </c>
      <c r="N574" s="19">
        <f>IF($C574="",0,1)</f>
        <v>1</v>
      </c>
      <c r="O574" s="19">
        <f>N(O573)+$N574</f>
        <v>571</v>
      </c>
      <c r="S574" s="20" t="str">
        <f>IFERROR(IF([1]对账明细接口!$N574=0,"",[1]对账明细接口!$N574),"")</f>
        <v>纸箱</v>
      </c>
      <c r="T574" s="212">
        <f>IFERROR(IF([1]对账明细接口!$O574=0,"",[1]对账明细接口!$O574),"")</f>
      </c>
      <c r="U574" s="212">
        <f>IFERROR(IF([1]对账明细接口!$P574=0,"",[1]对账明细接口!$P574),"")</f>
      </c>
      <c r="V574" s="212">
        <f>IFERROR(IF([1]对账明细接口!$Q574=0,"",[1]对账明细接口!$Q574),"")</f>
      </c>
      <c r="W574" s="20" t="str">
        <f>IFERROR(IF([1]对账明细接口!$R574=0,"",[1]对账明细接口!$R574),"")</f>
        <v>豫N*P269J</v>
      </c>
      <c r="X574" s="20" t="str">
        <f>IFERROR(IF([1]对账明细接口!$S574=0,"",[1]对账明细接口!$S574),"")</f>
        <v>公司筐</v>
      </c>
      <c r="Y574" s="20" t="str">
        <f>IFERROR(IF([1]对账明细接口!$T574=0,"",[1]对账明细接口!$T574),"")</f>
        <v>王照雪</v>
      </c>
      <c r="Z574" s="213">
        <f>IFERROR(IF([1]对账明细接口!$U574=0,"",[1]对账明细接口!$U574),"")</f>
      </c>
      <c r="AA574" s="213">
        <f>IFERROR(IF([1]对账明细接口!$V574=0,"",[1]对账明细接口!$V574),"")</f>
      </c>
      <c r="AB574" s="20">
        <f>IFERROR(IF([1]对账明细接口!$W574=0,"",[1]对账明细接口!$W574),"")</f>
      </c>
      <c r="AC574" s="7" t="str">
        <f>IFERROR(IF([1]对账明细接口!$X574=0,"",[1]对账明细接口!$X574),"")</f>
        <v>电商/主播</v>
      </c>
      <c r="AD574" s="7">
        <f>IFERROR(IF([1]对账明细接口!$Y574=0,"",[1]对账明细接口!$Y574),"")</f>
      </c>
      <c r="AE574" s="7">
        <f>IFERROR(IF([1]对账明细接口!$AA574=0,"",[1]对账明细接口!$AA574),"")</f>
      </c>
      <c r="AF574" s="7">
        <f>IFERROR(IF([1]对账明细接口!$AB574=0,"",[1]对账明细接口!$AB574),"")</f>
      </c>
      <c r="AG574" s="7">
        <f>IFERROR(IF([1]对账明细接口!$AC574=0,"",[1]对账明细接口!$AC574),"")</f>
      </c>
      <c r="AH574" s="7" t="str">
        <f>IFERROR(IF([1]对账明细接口!$AD574=0,"",[1]对账明细接口!$AD574),"")</f>
        <v>成品出库</v>
      </c>
      <c r="AI574" s="7">
        <f>IFERROR(IF([1]对账明细接口!$AE574=0,"",[1]对账明细接口!$AE574),"")</f>
      </c>
      <c r="AJ574" s="7">
        <f>IFERROR(IF([1]对账明细接口!$AF574=0,"",[1]对账明细接口!$AF574),"")</f>
      </c>
    </row>
    <row r="575" ht="14.25" customHeight="1" s="127">
      <c r="A575" s="14" t="n">
        <v>575</v>
      </c>
      <c r="B575" s="211">
        <f>IFERROR(IF([1]对账明细接口!$B$575=0,"",[1]对账明细接口!$B$575),"")</f>
        <v>46265.0</v>
      </c>
      <c r="C575" s="16" t="str">
        <f>IFERROR(IF([1]对账明细接口!$C$575=0,"",[1]对账明细接口!$C$575),"")</f>
        <v>王照雪</v>
      </c>
      <c r="D575" s="16" t="str">
        <f>IFERROR(IF([1]对账明细接口!$D$575=0,"",[1]对账明细接口!$D$575),"")</f>
        <v>成品出库－成品出库</v>
      </c>
      <c r="E575" s="16" t="str">
        <f>IFERROR(IF([1]对账明细接口!$E$575=0,"",[1]对账明细接口!$E$575),"")</f>
        <v>NO:0001058</v>
      </c>
      <c r="F575" s="16" t="str">
        <f>IFERROR(IF([1]对账明细接口!$F$575=0,"",[1]对账明细接口!$F$575),"")</f>
        <v>苹果</v>
      </c>
      <c r="G575" s="16" t="str">
        <f>IFERROR(IF([1]对账明细接口!$G$575=0,"",[1]对账明细接口!$G$575),"")</f>
        <v>华硕一级</v>
      </c>
      <c r="H575" s="176">
        <f>IFERROR(IF([1]对账明细接口!$H$575=0,"",[1]对账明细接口!$H$575),"")</f>
        <v>1</v>
      </c>
      <c r="I575" s="16" t="str">
        <f>IFERROR(IF([1]对账明细接口!$I$575=0,"",[1]对账明细接口!$I$575),"")</f>
        <v>箱</v>
      </c>
      <c r="J575" s="177">
        <f>IFERROR(IF([1]对账明细接口!$J$575=0,"",[1]对账明细接口!$J$575),"")</f>
        <v>2.6</v>
      </c>
      <c r="K575" s="177">
        <f>IFERROR(IF([1]对账明细接口!$K$575=0,"",[1]对账明细接口!$K$575),"")</f>
      </c>
      <c r="L575" s="16">
        <f>IFERROR(IF([1]对账明细接口!$L$575=0,"",[1]对账明细接口!$L$575),"")</f>
      </c>
      <c r="M575" s="16">
        <f>IFERROR(IF([1]对账明细接口!$M$575=0,"",[1]对账明细接口!$M$575),"")</f>
      </c>
      <c r="N575" s="19">
        <f>IF($C575="",0,1)</f>
        <v>1</v>
      </c>
      <c r="O575" s="19">
        <f>N(O574)+$N575</f>
        <v>572</v>
      </c>
      <c r="S575" s="20" t="str">
        <f>IFERROR(IF([1]对账明细接口!$N575=0,"",[1]对账明细接口!$N575),"")</f>
        <v>纸箱</v>
      </c>
      <c r="T575" s="212">
        <f>IFERROR(IF([1]对账明细接口!$O575=0,"",[1]对账明细接口!$O575),"")</f>
      </c>
      <c r="U575" s="212">
        <f>IFERROR(IF([1]对账明细接口!$P575=0,"",[1]对账明细接口!$P575),"")</f>
      </c>
      <c r="V575" s="212">
        <f>IFERROR(IF([1]对账明细接口!$Q575=0,"",[1]对账明细接口!$Q575),"")</f>
      </c>
      <c r="W575" s="20" t="str">
        <f>IFERROR(IF([1]对账明细接口!$R575=0,"",[1]对账明细接口!$R575),"")</f>
        <v>豫N*P269J</v>
      </c>
      <c r="X575" s="20" t="str">
        <f>IFERROR(IF([1]对账明细接口!$S575=0,"",[1]对账明细接口!$S575),"")</f>
        <v>公司筐</v>
      </c>
      <c r="Y575" s="20" t="str">
        <f>IFERROR(IF([1]对账明细接口!$T575=0,"",[1]对账明细接口!$T575),"")</f>
        <v>王照雪</v>
      </c>
      <c r="Z575" s="213">
        <f>IFERROR(IF([1]对账明细接口!$U575=0,"",[1]对账明细接口!$U575),"")</f>
      </c>
      <c r="AA575" s="213">
        <f>IFERROR(IF([1]对账明细接口!$V575=0,"",[1]对账明细接口!$V575),"")</f>
      </c>
      <c r="AB575" s="20">
        <f>IFERROR(IF([1]对账明细接口!$W575=0,"",[1]对账明细接口!$W575),"")</f>
      </c>
      <c r="AC575" s="7" t="str">
        <f>IFERROR(IF([1]对账明细接口!$X575=0,"",[1]对账明细接口!$X575),"")</f>
        <v>电商/主播</v>
      </c>
      <c r="AD575" s="7">
        <f>IFERROR(IF([1]对账明细接口!$Y575=0,"",[1]对账明细接口!$Y575),"")</f>
      </c>
      <c r="AE575" s="7">
        <f>IFERROR(IF([1]对账明细接口!$AA575=0,"",[1]对账明细接口!$AA575),"")</f>
      </c>
      <c r="AF575" s="7">
        <f>IFERROR(IF([1]对账明细接口!$AB575=0,"",[1]对账明细接口!$AB575),"")</f>
      </c>
      <c r="AG575" s="7">
        <f>IFERROR(IF([1]对账明细接口!$AC575=0,"",[1]对账明细接口!$AC575),"")</f>
      </c>
      <c r="AH575" s="7" t="str">
        <f>IFERROR(IF([1]对账明细接口!$AD575=0,"",[1]对账明细接口!$AD575),"")</f>
        <v>成品出库</v>
      </c>
      <c r="AI575" s="7">
        <f>IFERROR(IF([1]对账明细接口!$AE575=0,"",[1]对账明细接口!$AE575),"")</f>
      </c>
      <c r="AJ575" s="7">
        <f>IFERROR(IF([1]对账明细接口!$AF575=0,"",[1]对账明细接口!$AF575),"")</f>
      </c>
    </row>
    <row r="576" ht="14.25" customHeight="1" s="127">
      <c r="A576" s="14" t="n">
        <v>576</v>
      </c>
      <c r="B576" s="211">
        <f>IFERROR(IF([1]对账明细接口!$B$576=0,"",[1]对账明细接口!$B$576),"")</f>
        <v>46266.0</v>
      </c>
      <c r="C576" s="16" t="str">
        <f>IFERROR(IF([1]对账明细接口!$C$576=0,"",[1]对账明细接口!$C$576),"")</f>
        <v>王照雪</v>
      </c>
      <c r="D576" s="16" t="str">
        <f>IFERROR(IF([1]对账明细接口!$D$576=0,"",[1]对账明细接口!$D$576),"")</f>
        <v>成品出库－成品出库</v>
      </c>
      <c r="E576" s="16" t="str">
        <f>IFERROR(IF([1]对账明细接口!$E$576=0,"",[1]对账明细接口!$E$576),"")</f>
        <v>NO:0001062</v>
      </c>
      <c r="F576" s="16" t="str">
        <f>IFERROR(IF([1]对账明细接口!$F$576=0,"",[1]对账明细接口!$F$576),"")</f>
        <v>苹果</v>
      </c>
      <c r="G576" s="16" t="str">
        <f>IFERROR(IF([1]对账明细接口!$G$576=0,"",[1]对账明细接口!$G$576),"")</f>
        <v>华硕一级</v>
      </c>
      <c r="H576" s="176">
        <f>IFERROR(IF([1]对账明细接口!$H$576=0,"",[1]对账明细接口!$H$576),"")</f>
        <v>346</v>
      </c>
      <c r="I576" s="16" t="str">
        <f>IFERROR(IF([1]对账明细接口!$I$576=0,"",[1]对账明细接口!$I$576),"")</f>
        <v>箱</v>
      </c>
      <c r="J576" s="177">
        <f>IFERROR(IF([1]对账明细接口!$J$576=0,"",[1]对账明细接口!$J$576),"")</f>
        <v>1764.6</v>
      </c>
      <c r="K576" s="177">
        <f>IFERROR(IF([1]对账明细接口!$K$576=0,"",[1]对账明细接口!$K$576),"")</f>
      </c>
      <c r="L576" s="16">
        <f>IFERROR(IF([1]对账明细接口!$L$576=0,"",[1]对账明细接口!$L$576),"")</f>
      </c>
      <c r="M576" s="16">
        <f>IFERROR(IF([1]对账明细接口!$M$576=0,"",[1]对账明细接口!$M$576),"")</f>
      </c>
      <c r="N576" s="19">
        <f>IF($C576="",0,1)</f>
        <v>1</v>
      </c>
      <c r="O576" s="19">
        <f>N(O575)+$N576</f>
        <v>573</v>
      </c>
      <c r="S576" s="20" t="str">
        <f>IFERROR(IF([1]对账明细接口!$N576=0,"",[1]对账明细接口!$N576),"")</f>
        <v>纸箱</v>
      </c>
      <c r="T576" s="212">
        <f>IFERROR(IF([1]对账明细接口!$O576=0,"",[1]对账明细接口!$O576),"")</f>
      </c>
      <c r="U576" s="212">
        <f>IFERROR(IF([1]对账明细接口!$P576=0,"",[1]对账明细接口!$P576),"")</f>
      </c>
      <c r="V576" s="212">
        <f>IFERROR(IF([1]对账明细接口!$Q576=0,"",[1]对账明细接口!$Q576),"")</f>
      </c>
      <c r="W576" s="20" t="str">
        <f>IFERROR(IF([1]对账明细接口!$R576=0,"",[1]对账明细接口!$R576),"")</f>
        <v>豫N*P269J</v>
      </c>
      <c r="X576" s="20" t="str">
        <f>IFERROR(IF([1]对账明细接口!$S576=0,"",[1]对账明细接口!$S576),"")</f>
        <v>公司筐</v>
      </c>
      <c r="Y576" s="20" t="str">
        <f>IFERROR(IF([1]对账明细接口!$T576=0,"",[1]对账明细接口!$T576),"")</f>
        <v>王照雪</v>
      </c>
      <c r="Z576" s="213">
        <f>IFERROR(IF([1]对账明细接口!$U576=0,"",[1]对账明细接口!$U576),"")</f>
      </c>
      <c r="AA576" s="213">
        <f>IFERROR(IF([1]对账明细接口!$V576=0,"",[1]对账明细接口!$V576),"")</f>
      </c>
      <c r="AB576" s="20">
        <f>IFERROR(IF([1]对账明细接口!$W576=0,"",[1]对账明细接口!$W576),"")</f>
      </c>
      <c r="AC576" s="7" t="str">
        <f>IFERROR(IF([1]对账明细接口!$X576=0,"",[1]对账明细接口!$X576),"")</f>
        <v>电商/主播</v>
      </c>
      <c r="AD576" s="7">
        <f>IFERROR(IF([1]对账明细接口!$Y576=0,"",[1]对账明细接口!$Y576),"")</f>
      </c>
      <c r="AE576" s="7">
        <f>IFERROR(IF([1]对账明细接口!$AA576=0,"",[1]对账明细接口!$AA576),"")</f>
      </c>
      <c r="AF576" s="7">
        <f>IFERROR(IF([1]对账明细接口!$AB576=0,"",[1]对账明细接口!$AB576),"")</f>
      </c>
      <c r="AG576" s="7">
        <f>IFERROR(IF([1]对账明细接口!$AC576=0,"",[1]对账明细接口!$AC576),"")</f>
      </c>
      <c r="AH576" s="7" t="str">
        <f>IFERROR(IF([1]对账明细接口!$AD576=0,"",[1]对账明细接口!$AD576),"")</f>
        <v>成品出库</v>
      </c>
      <c r="AI576" s="7">
        <f>IFERROR(IF([1]对账明细接口!$AE576=0,"",[1]对账明细接口!$AE576),"")</f>
      </c>
      <c r="AJ576" s="7">
        <f>IFERROR(IF([1]对账明细接口!$AF576=0,"",[1]对账明细接口!$AF576),"")</f>
      </c>
    </row>
    <row r="577" ht="14.25" customHeight="1" s="127">
      <c r="A577" s="14" t="n">
        <v>577</v>
      </c>
      <c r="B577" s="211">
        <f>IFERROR(IF([1]对账明细接口!$B$577=0,"",[1]对账明细接口!$B$577),"")</f>
        <v>46267.0</v>
      </c>
      <c r="C577" s="16" t="str">
        <f>IFERROR(IF([1]对账明细接口!$C$577=0,"",[1]对账明细接口!$C$577),"")</f>
        <v>王照雪</v>
      </c>
      <c r="D577" s="16" t="str">
        <f>IFERROR(IF([1]对账明细接口!$D$577=0,"",[1]对账明细接口!$D$577),"")</f>
        <v>成品出库－成品出库</v>
      </c>
      <c r="E577" s="16" t="str">
        <f>IFERROR(IF([1]对账明细接口!$E$577=0,"",[1]对账明细接口!$E$577),"")</f>
        <v>NO:0001063</v>
      </c>
      <c r="F577" s="16" t="str">
        <f>IFERROR(IF([1]对账明细接口!$F$577=0,"",[1]对账明细接口!$F$577),"")</f>
        <v>苹果</v>
      </c>
      <c r="G577" s="16" t="str">
        <f>IFERROR(IF([1]对账明细接口!$G$577=0,"",[1]对账明细接口!$G$577),"")</f>
        <v>苹果扎伤</v>
      </c>
      <c r="H577" s="176">
        <f>IFERROR(IF([1]对账明细接口!$H$577=0,"",[1]对账明细接口!$H$577),"")</f>
        <v>1</v>
      </c>
      <c r="I577" s="16" t="str">
        <f>IFERROR(IF([1]对账明细接口!$I$577=0,"",[1]对账明细接口!$I$577),"")</f>
        <v>筐</v>
      </c>
      <c r="J577" s="177">
        <f>IFERROR(IF([1]对账明细接口!$J$577=0,"",[1]对账明细接口!$J$577),"")</f>
        <v>17.3</v>
      </c>
      <c r="K577" s="177">
        <f>IFERROR(IF([1]对账明细接口!$K$577=0,"",[1]对账明细接口!$K$577),"")</f>
      </c>
      <c r="L577" s="16">
        <f>IFERROR(IF([1]对账明细接口!$L$577=0,"",[1]对账明细接口!$L$577),"")</f>
      </c>
      <c r="M577" s="16">
        <f>IFERROR(IF([1]对账明细接口!$M$577=0,"",[1]对账明细接口!$M$577),"")</f>
      </c>
      <c r="N577" s="19">
        <f>IF($C577="",0,1)</f>
        <v>1</v>
      </c>
      <c r="O577" s="19">
        <f>N(O576)+$N577</f>
        <v>574</v>
      </c>
      <c r="S577" s="20" t="str">
        <f>IFERROR(IF([1]对账明细接口!$N577=0,"",[1]对账明细接口!$N577),"")</f>
        <v>公司杂周转筐</v>
      </c>
      <c r="T577" s="212">
        <f>IFERROR(IF([1]对账明细接口!$O577=0,"",[1]对账明细接口!$O577),"")</f>
        <v>1</v>
      </c>
      <c r="U577" s="212">
        <f>IFERROR(IF([1]对账明细接口!$P577=0,"",[1]对账明细接口!$P577),"")</f>
      </c>
      <c r="V577" s="212">
        <f>IFERROR(IF([1]对账明细接口!$Q577=0,"",[1]对账明细接口!$Q577),"")</f>
      </c>
      <c r="W577" s="20" t="str">
        <f>IFERROR(IF([1]对账明细接口!$R577=0,"",[1]对账明细接口!$R577),"")</f>
        <v>自提</v>
      </c>
      <c r="X577" s="20" t="str">
        <f>IFERROR(IF([1]对账明细接口!$S577=0,"",[1]对账明细接口!$S577),"")</f>
        <v>公司筐</v>
      </c>
      <c r="Y577" s="20" t="str">
        <f>IFERROR(IF([1]对账明细接口!$T577=0,"",[1]对账明细接口!$T577),"")</f>
        <v>王照雪</v>
      </c>
      <c r="Z577" s="213">
        <f>IFERROR(IF([1]对账明细接口!$U577=0,"",[1]对账明细接口!$U577),"")</f>
      </c>
      <c r="AA577" s="213">
        <f>IFERROR(IF([1]对账明细接口!$V577=0,"",[1]对账明细接口!$V577),"")</f>
      </c>
      <c r="AB577" s="20">
        <f>IFERROR(IF([1]对账明细接口!$W577=0,"",[1]对账明细接口!$W577),"")</f>
      </c>
      <c r="AC577" s="7" t="str">
        <f>IFERROR(IF([1]对账明细接口!$X577=0,"",[1]对账明细接口!$X577),"")</f>
        <v>王照雪</v>
      </c>
      <c r="AD577" s="7">
        <f>IFERROR(IF([1]对账明细接口!$Y577=0,"",[1]对账明细接口!$Y577),"")</f>
      </c>
      <c r="AE577" s="7">
        <f>IFERROR(IF([1]对账明细接口!$AA577=0,"",[1]对账明细接口!$AA577),"")</f>
      </c>
      <c r="AF577" s="7">
        <f>IFERROR(IF([1]对账明细接口!$AB577=0,"",[1]对账明细接口!$AB577),"")</f>
      </c>
      <c r="AG577" s="7">
        <f>IFERROR(IF([1]对账明细接口!$AC577=0,"",[1]对账明细接口!$AC577),"")</f>
      </c>
      <c r="AH577" s="7" t="str">
        <f>IFERROR(IF([1]对账明细接口!$AD577=0,"",[1]对账明细接口!$AD577),"")</f>
        <v>成品出库</v>
      </c>
      <c r="AI577" s="7">
        <f>IFERROR(IF([1]对账明细接口!$AE577=0,"",[1]对账明细接口!$AE577),"")</f>
      </c>
      <c r="AJ577" s="7">
        <f>IFERROR(IF([1]对账明细接口!$AF577=0,"",[1]对账明细接口!$AF577),"")</f>
      </c>
    </row>
    <row r="578" ht="14.25" customHeight="1" s="127">
      <c r="A578" s="14" t="n">
        <v>578</v>
      </c>
      <c r="B578" s="211">
        <f>IFERROR(IF([1]对账明细接口!$B$578=0,"",[1]对账明细接口!$B$578),"")</f>
        <v>46267.0</v>
      </c>
      <c r="C578" s="16" t="str">
        <f>IFERROR(IF([1]对账明细接口!$C$578=0,"",[1]对账明细接口!$C$578),"")</f>
        <v>王照雪</v>
      </c>
      <c r="D578" s="16" t="str">
        <f>IFERROR(IF([1]对账明细接口!$D$578=0,"",[1]对账明细接口!$D$578),"")</f>
        <v>成品出库－成品出库</v>
      </c>
      <c r="E578" s="16" t="str">
        <f>IFERROR(IF([1]对账明细接口!$E$578=0,"",[1]对账明细接口!$E$578),"")</f>
        <v>NO:0001065</v>
      </c>
      <c r="F578" s="16" t="str">
        <f>IFERROR(IF([1]对账明细接口!$F$578=0,"",[1]对账明细接口!$F$578),"")</f>
        <v>苹果</v>
      </c>
      <c r="G578" s="16" t="str">
        <f>IFERROR(IF([1]对账明细接口!$G$578=0,"",[1]对账明细接口!$G$578),"")</f>
        <v>华硕一级</v>
      </c>
      <c r="H578" s="176">
        <f>IFERROR(IF([1]对账明细接口!$H$578=0,"",[1]对账明细接口!$H$578),"")</f>
        <v>242</v>
      </c>
      <c r="I578" s="16" t="str">
        <f>IFERROR(IF([1]对账明细接口!$I$578=0,"",[1]对账明细接口!$I$578),"")</f>
        <v>箱</v>
      </c>
      <c r="J578" s="177">
        <f>IFERROR(IF([1]对账明细接口!$J$578=0,"",[1]对账明细接口!$J$578),"")</f>
        <v>1234.2</v>
      </c>
      <c r="K578" s="177">
        <f>IFERROR(IF([1]对账明细接口!$K$578=0,"",[1]对账明细接口!$K$578),"")</f>
      </c>
      <c r="L578" s="16">
        <f>IFERROR(IF([1]对账明细接口!$L$578=0,"",[1]对账明细接口!$L$578),"")</f>
      </c>
      <c r="M578" s="16">
        <f>IFERROR(IF([1]对账明细接口!$M$578=0,"",[1]对账明细接口!$M$578),"")</f>
      </c>
      <c r="N578" s="19">
        <f>IF($C578="",0,1)</f>
        <v>1</v>
      </c>
      <c r="O578" s="19">
        <f>N(O577)+$N578</f>
        <v>575</v>
      </c>
      <c r="S578" s="20" t="str">
        <f>IFERROR(IF([1]对账明细接口!$N578=0,"",[1]对账明细接口!$N578),"")</f>
        <v>纸箱</v>
      </c>
      <c r="T578" s="212">
        <f>IFERROR(IF([1]对账明细接口!$O578=0,"",[1]对账明细接口!$O578),"")</f>
      </c>
      <c r="U578" s="212">
        <f>IFERROR(IF([1]对账明细接口!$P578=0,"",[1]对账明细接口!$P578),"")</f>
      </c>
      <c r="V578" s="212">
        <f>IFERROR(IF([1]对账明细接口!$Q578=0,"",[1]对账明细接口!$Q578),"")</f>
      </c>
      <c r="W578" s="20" t="str">
        <f>IFERROR(IF([1]对账明细接口!$R578=0,"",[1]对账明细接口!$R578),"")</f>
        <v>豫N*P269J</v>
      </c>
      <c r="X578" s="20" t="str">
        <f>IFERROR(IF([1]对账明细接口!$S578=0,"",[1]对账明细接口!$S578),"")</f>
        <v>公司筐</v>
      </c>
      <c r="Y578" s="20" t="str">
        <f>IFERROR(IF([1]对账明细接口!$T578=0,"",[1]对账明细接口!$T578),"")</f>
        <v>王照雪</v>
      </c>
      <c r="Z578" s="213">
        <f>IFERROR(IF([1]对账明细接口!$U578=0,"",[1]对账明细接口!$U578),"")</f>
      </c>
      <c r="AA578" s="213">
        <f>IFERROR(IF([1]对账明细接口!$V578=0,"",[1]对账明细接口!$V578),"")</f>
      </c>
      <c r="AB578" s="20">
        <f>IFERROR(IF([1]对账明细接口!$W578=0,"",[1]对账明细接口!$W578),"")</f>
      </c>
      <c r="AC578" s="7" t="str">
        <f>IFERROR(IF([1]对账明细接口!$X578=0,"",[1]对账明细接口!$X578),"")</f>
        <v>电商/主播</v>
      </c>
      <c r="AD578" s="7">
        <f>IFERROR(IF([1]对账明细接口!$Y578=0,"",[1]对账明细接口!$Y578),"")</f>
      </c>
      <c r="AE578" s="7">
        <f>IFERROR(IF([1]对账明细接口!$AA578=0,"",[1]对账明细接口!$AA578),"")</f>
      </c>
      <c r="AF578" s="7">
        <f>IFERROR(IF([1]对账明细接口!$AB578=0,"",[1]对账明细接口!$AB578),"")</f>
      </c>
      <c r="AG578" s="7">
        <f>IFERROR(IF([1]对账明细接口!$AC578=0,"",[1]对账明细接口!$AC578),"")</f>
      </c>
      <c r="AH578" s="7" t="str">
        <f>IFERROR(IF([1]对账明细接口!$AD578=0,"",[1]对账明细接口!$AD578),"")</f>
        <v>成品出库</v>
      </c>
      <c r="AI578" s="7">
        <f>IFERROR(IF([1]对账明细接口!$AE578=0,"",[1]对账明细接口!$AE578),"")</f>
      </c>
      <c r="AJ578" s="7">
        <f>IFERROR(IF([1]对账明细接口!$AF578=0,"",[1]对账明细接口!$AF578),"")</f>
      </c>
    </row>
    <row r="579" ht="14.25" customHeight="1" s="127">
      <c r="A579" s="14" t="n">
        <v>579</v>
      </c>
      <c r="B579" s="211">
        <f>IFERROR(IF([1]对账明细接口!$B$579=0,"",[1]对账明细接口!$B$579),"")</f>
        <v>46267.0</v>
      </c>
      <c r="C579" s="16" t="str">
        <f>IFERROR(IF([1]对账明细接口!$C$579=0,"",[1]对账明细接口!$C$579),"")</f>
        <v>王照雪</v>
      </c>
      <c r="D579" s="16" t="str">
        <f>IFERROR(IF([1]对账明细接口!$D$579=0,"",[1]对账明细接口!$D$579),"")</f>
        <v>成品出库－成品出库</v>
      </c>
      <c r="E579" s="16" t="str">
        <f>IFERROR(IF([1]对账明细接口!$E$579=0,"",[1]对账明细接口!$E$579),"")</f>
        <v>NO:0001065</v>
      </c>
      <c r="F579" s="16" t="str">
        <f>IFERROR(IF([1]对账明细接口!$F$579=0,"",[1]对账明细接口!$F$579),"")</f>
        <v>苹果</v>
      </c>
      <c r="G579" s="16" t="str">
        <f>IFERROR(IF([1]对账明细接口!$G$579=0,"",[1]对账明细接口!$G$579),"")</f>
        <v>华硕一级</v>
      </c>
      <c r="H579" s="176">
        <f>IFERROR(IF([1]对账明细接口!$H$579=0,"",[1]对账明细接口!$H$579),"")</f>
        <v>28</v>
      </c>
      <c r="I579" s="16" t="str">
        <f>IFERROR(IF([1]对账明细接口!$I$579=0,"",[1]对账明细接口!$I$579),"")</f>
        <v>箱</v>
      </c>
      <c r="J579" s="177">
        <f>IFERROR(IF([1]对账明细接口!$J$579=0,"",[1]对账明细接口!$J$579),"")</f>
        <v>72.8</v>
      </c>
      <c r="K579" s="177">
        <f>IFERROR(IF([1]对账明细接口!$K$579=0,"",[1]对账明细接口!$K$579),"")</f>
      </c>
      <c r="L579" s="16">
        <f>IFERROR(IF([1]对账明细接口!$L$579=0,"",[1]对账明细接口!$L$579),"")</f>
      </c>
      <c r="M579" s="16">
        <f>IFERROR(IF([1]对账明细接口!$M$579=0,"",[1]对账明细接口!$M$579),"")</f>
      </c>
      <c r="N579" s="19">
        <f>IF($C579="",0,1)</f>
        <v>1</v>
      </c>
      <c r="O579" s="19">
        <f>N(O578)+$N579</f>
        <v>576</v>
      </c>
      <c r="S579" s="20" t="str">
        <f>IFERROR(IF([1]对账明细接口!$N579=0,"",[1]对账明细接口!$N579),"")</f>
        <v>纸箱</v>
      </c>
      <c r="T579" s="212">
        <f>IFERROR(IF([1]对账明细接口!$O579=0,"",[1]对账明细接口!$O579),"")</f>
      </c>
      <c r="U579" s="212">
        <f>IFERROR(IF([1]对账明细接口!$P579=0,"",[1]对账明细接口!$P579),"")</f>
      </c>
      <c r="V579" s="212">
        <f>IFERROR(IF([1]对账明细接口!$Q579=0,"",[1]对账明细接口!$Q579),"")</f>
      </c>
      <c r="W579" s="20" t="str">
        <f>IFERROR(IF([1]对账明细接口!$R579=0,"",[1]对账明细接口!$R579),"")</f>
        <v>豫N*P269J</v>
      </c>
      <c r="X579" s="20" t="str">
        <f>IFERROR(IF([1]对账明细接口!$S579=0,"",[1]对账明细接口!$S579),"")</f>
        <v>公司筐</v>
      </c>
      <c r="Y579" s="20" t="str">
        <f>IFERROR(IF([1]对账明细接口!$T579=0,"",[1]对账明细接口!$T579),"")</f>
        <v>王照雪</v>
      </c>
      <c r="Z579" s="213">
        <f>IFERROR(IF([1]对账明细接口!$U579=0,"",[1]对账明细接口!$U579),"")</f>
      </c>
      <c r="AA579" s="213">
        <f>IFERROR(IF([1]对账明细接口!$V579=0,"",[1]对账明细接口!$V579),"")</f>
      </c>
      <c r="AB579" s="20">
        <f>IFERROR(IF([1]对账明细接口!$W579=0,"",[1]对账明细接口!$W579),"")</f>
      </c>
      <c r="AC579" s="7" t="str">
        <f>IFERROR(IF([1]对账明细接口!$X579=0,"",[1]对账明细接口!$X579),"")</f>
        <v>电商/主播</v>
      </c>
      <c r="AD579" s="7">
        <f>IFERROR(IF([1]对账明细接口!$Y579=0,"",[1]对账明细接口!$Y579),"")</f>
      </c>
      <c r="AE579" s="7">
        <f>IFERROR(IF([1]对账明细接口!$AA579=0,"",[1]对账明细接口!$AA579),"")</f>
      </c>
      <c r="AF579" s="7">
        <f>IFERROR(IF([1]对账明细接口!$AB579=0,"",[1]对账明细接口!$AB579),"")</f>
      </c>
      <c r="AG579" s="7">
        <f>IFERROR(IF([1]对账明细接口!$AC579=0,"",[1]对账明细接口!$AC579),"")</f>
      </c>
      <c r="AH579" s="7" t="str">
        <f>IFERROR(IF([1]对账明细接口!$AD579=0,"",[1]对账明细接口!$AD579),"")</f>
        <v>成品出库</v>
      </c>
      <c r="AI579" s="7">
        <f>IFERROR(IF([1]对账明细接口!$AE579=0,"",[1]对账明细接口!$AE579),"")</f>
      </c>
      <c r="AJ579" s="7">
        <f>IFERROR(IF([1]对账明细接口!$AF579=0,"",[1]对账明细接口!$AF579),"")</f>
      </c>
    </row>
    <row r="580" ht="14.25" customHeight="1" s="127">
      <c r="A580" s="14" t="n">
        <v>580</v>
      </c>
      <c r="B580" s="211">
        <f>IFERROR(IF([1]对账明细接口!$B$580=0,"",[1]对账明细接口!$B$580),"")</f>
        <v>46269.0</v>
      </c>
      <c r="C580" s="16" t="str">
        <f>IFERROR(IF([1]对账明细接口!$C$580=0,"",[1]对账明细接口!$C$580),"")</f>
        <v>聂新平</v>
      </c>
      <c r="D580" s="16" t="str">
        <f>IFERROR(IF([1]对账明细接口!$D$580=0,"",[1]对账明细接口!$D$580),"")</f>
        <v>成品出库－成品出库</v>
      </c>
      <c r="E580" s="16" t="str">
        <f>IFERROR(IF([1]对账明细接口!$E$580=0,"",[1]对账明细接口!$E$580),"")</f>
        <v>NO:0001081</v>
      </c>
      <c r="F580" s="16" t="str">
        <f>IFERROR(IF([1]对账明细接口!$F$580=0,"",[1]对账明细接口!$F$580),"")</f>
        <v>苹果</v>
      </c>
      <c r="G580" s="16" t="str">
        <f>IFERROR(IF([1]对账明细接口!$G$580=0,"",[1]对账明细接口!$G$580),"")</f>
        <v>苹果扎伤</v>
      </c>
      <c r="H580" s="176">
        <f>IFERROR(IF([1]对账明细接口!$H$580=0,"",[1]对账明细接口!$H$580),"")</f>
        <v>113</v>
      </c>
      <c r="I580" s="16" t="str">
        <f>IFERROR(IF([1]对账明细接口!$I$580=0,"",[1]对账明细接口!$I$580),"")</f>
        <v>筐</v>
      </c>
      <c r="J580" s="177">
        <f>IFERROR(IF([1]对账明细接口!$J$580=0,"",[1]对账明细接口!$J$580),"")</f>
        <v>2440.8</v>
      </c>
      <c r="K580" s="177">
        <f>IFERROR(IF([1]对账明细接口!$K$580=0,"",[1]对账明细接口!$K$580),"")</f>
      </c>
      <c r="L580" s="16">
        <f>IFERROR(IF([1]对账明细接口!$L$580=0,"",[1]对账明细接口!$L$580),"")</f>
      </c>
      <c r="M580" s="16">
        <f>IFERROR(IF([1]对账明细接口!$M$580=0,"",[1]对账明细接口!$M$580),"")</f>
      </c>
      <c r="N580" s="19">
        <f>IF($C580="",0,1)</f>
        <v>1</v>
      </c>
      <c r="O580" s="19">
        <f>N(O579)+$N580</f>
        <v>577</v>
      </c>
      <c r="S580" s="20" t="str">
        <f>IFERROR(IF([1]对账明细接口!$N580=0,"",[1]对账明细接口!$N580),"")</f>
        <v>公司一次性筐</v>
      </c>
      <c r="T580" s="212">
        <f>IFERROR(IF([1]对账明细接口!$O580=0,"",[1]对账明细接口!$O580),"")</f>
        <v>113</v>
      </c>
      <c r="U580" s="212">
        <f>IFERROR(IF([1]对账明细接口!$P580=0,"",[1]对账明细接口!$P580),"")</f>
      </c>
      <c r="V580" s="212">
        <f>IFERROR(IF([1]对账明细接口!$Q580=0,"",[1]对账明细接口!$Q580),"")</f>
      </c>
      <c r="W580" s="20" t="str">
        <f>IFERROR(IF([1]对账明细接口!$R580=0,"",[1]对账明细接口!$R580),"")</f>
        <v>新Q*61781</v>
      </c>
      <c r="X580" s="20" t="str">
        <f>IFERROR(IF([1]对账明细接口!$S580=0,"",[1]对账明细接口!$S580),"")</f>
        <v>公司筐</v>
      </c>
      <c r="Y580" s="20" t="str">
        <f>IFERROR(IF([1]对账明细接口!$T580=0,"",[1]对账明细接口!$T580),"")</f>
        <v>聂新平</v>
      </c>
      <c r="Z580" s="213">
        <f>IFERROR(IF([1]对账明细接口!$U580=0,"",[1]对账明细接口!$U580),"")</f>
      </c>
      <c r="AA580" s="213">
        <f>IFERROR(IF([1]对账明细接口!$V580=0,"",[1]对账明细接口!$V580),"")</f>
      </c>
      <c r="AB580" s="20">
        <f>IFERROR(IF([1]对账明细接口!$W580=0,"",[1]对账明细接口!$W580),"")</f>
      </c>
      <c r="AC580" s="7" t="str">
        <f>IFERROR(IF([1]对账明细接口!$X580=0,"",[1]对账明细接口!$X580),"")</f>
        <v>伍元虎</v>
      </c>
      <c r="AD580" s="7">
        <f>IFERROR(IF([1]对账明细接口!$Y580=0,"",[1]对账明细接口!$Y580),"")</f>
      </c>
      <c r="AE580" s="7">
        <f>IFERROR(IF([1]对账明细接口!$AA580=0,"",[1]对账明细接口!$AA580),"")</f>
      </c>
      <c r="AF580" s="7">
        <f>IFERROR(IF([1]对账明细接口!$AB580=0,"",[1]对账明细接口!$AB580),"")</f>
      </c>
      <c r="AG580" s="7">
        <f>IFERROR(IF([1]对账明细接口!$AC580=0,"",[1]对账明细接口!$AC580),"")</f>
      </c>
      <c r="AH580" s="7" t="str">
        <f>IFERROR(IF([1]对账明细接口!$AD580=0,"",[1]对账明细接口!$AD580),"")</f>
        <v>成品出库</v>
      </c>
      <c r="AI580" s="7">
        <f>IFERROR(IF([1]对账明细接口!$AE580=0,"",[1]对账明细接口!$AE580),"")</f>
      </c>
      <c r="AJ580" s="7">
        <f>IFERROR(IF([1]对账明细接口!$AF580=0,"",[1]对账明细接口!$AF580),"")</f>
      </c>
    </row>
    <row r="581" ht="14.25" customHeight="1" s="127">
      <c r="A581" s="14" t="n">
        <v>581</v>
      </c>
      <c r="B581" s="211">
        <f>IFERROR(IF([1]对账明细接口!$B$581=0,"",[1]对账明细接口!$B$581),"")</f>
        <v>46269.0</v>
      </c>
      <c r="C581" s="16" t="str">
        <f>IFERROR(IF([1]对账明细接口!$C$581=0,"",[1]对账明细接口!$C$581),"")</f>
        <v>王照雪</v>
      </c>
      <c r="D581" s="16" t="str">
        <f>IFERROR(IF([1]对账明细接口!$D$581=0,"",[1]对账明细接口!$D$581),"")</f>
        <v>成品出库－成品出库</v>
      </c>
      <c r="E581" s="16" t="str">
        <f>IFERROR(IF([1]对账明细接口!$E$581=0,"",[1]对账明细接口!$E$581),"")</f>
        <v>NO:0001082</v>
      </c>
      <c r="F581" s="16" t="str">
        <f>IFERROR(IF([1]对账明细接口!$F$581=0,"",[1]对账明细接口!$F$581),"")</f>
        <v>苹果</v>
      </c>
      <c r="G581" s="16" t="str">
        <f>IFERROR(IF([1]对账明细接口!$G$581=0,"",[1]对账明细接口!$G$581),"")</f>
        <v>苹果扎伤</v>
      </c>
      <c r="H581" s="176">
        <f>IFERROR(IF([1]对账明细接口!$H$581=0,"",[1]对账明细接口!$H$581),"")</f>
        <v>81</v>
      </c>
      <c r="I581" s="16" t="str">
        <f>IFERROR(IF([1]对账明细接口!$I$581=0,"",[1]对账明细接口!$I$581),"")</f>
        <v>箱</v>
      </c>
      <c r="J581" s="177">
        <f>IFERROR(IF([1]对账明细接口!$J$581=0,"",[1]对账明细接口!$J$581),"")</f>
        <v>599.4</v>
      </c>
      <c r="K581" s="177">
        <f>IFERROR(IF([1]对账明细接口!$K$581=0,"",[1]对账明细接口!$K$581),"")</f>
      </c>
      <c r="L581" s="16">
        <f>IFERROR(IF([1]对账明细接口!$L$581=0,"",[1]对账明细接口!$L$581),"")</f>
      </c>
      <c r="M581" s="16">
        <f>IFERROR(IF([1]对账明细接口!$M$581=0,"",[1]对账明细接口!$M$581),"")</f>
      </c>
      <c r="N581" s="19">
        <f>IF($C581="",0,1)</f>
        <v>1</v>
      </c>
      <c r="O581" s="19">
        <f>N(O580)+$N581</f>
        <v>578</v>
      </c>
      <c r="S581" s="20" t="str">
        <f>IFERROR(IF([1]对账明细接口!$N581=0,"",[1]对账明细接口!$N581),"")</f>
        <v>纸箱</v>
      </c>
      <c r="T581" s="212">
        <f>IFERROR(IF([1]对账明细接口!$O581=0,"",[1]对账明细接口!$O581),"")</f>
      </c>
      <c r="U581" s="212">
        <f>IFERROR(IF([1]对账明细接口!$P581=0,"",[1]对账明细接口!$P581),"")</f>
      </c>
      <c r="V581" s="212">
        <f>IFERROR(IF([1]对账明细接口!$Q581=0,"",[1]对账明细接口!$Q581),"")</f>
      </c>
      <c r="W581" s="20" t="str">
        <f>IFERROR(IF([1]对账明细接口!$R581=0,"",[1]对账明细接口!$R581),"")</f>
        <v>新Q*61781</v>
      </c>
      <c r="X581" s="20" t="str">
        <f>IFERROR(IF([1]对账明细接口!$S581=0,"",[1]对账明细接口!$S581),"")</f>
        <v>公司筐</v>
      </c>
      <c r="Y581" s="20" t="str">
        <f>IFERROR(IF([1]对账明细接口!$T581=0,"",[1]对账明细接口!$T581),"")</f>
        <v>王照雪</v>
      </c>
      <c r="Z581" s="213">
        <f>IFERROR(IF([1]对账明细接口!$U581=0,"",[1]对账明细接口!$U581),"")</f>
      </c>
      <c r="AA581" s="213">
        <f>IFERROR(IF([1]对账明细接口!$V581=0,"",[1]对账明细接口!$V581),"")</f>
      </c>
      <c r="AB581" s="20">
        <f>IFERROR(IF([1]对账明细接口!$W581=0,"",[1]对账明细接口!$W581),"")</f>
      </c>
      <c r="AC581" s="7" t="str">
        <f>IFERROR(IF([1]对账明细接口!$X581=0,"",[1]对账明细接口!$X581),"")</f>
        <v>王照雪</v>
      </c>
      <c r="AD581" s="7">
        <f>IFERROR(IF([1]对账明细接口!$Y581=0,"",[1]对账明细接口!$Y581),"")</f>
      </c>
      <c r="AE581" s="7">
        <f>IFERROR(IF([1]对账明细接口!$AA581=0,"",[1]对账明细接口!$AA581),"")</f>
      </c>
      <c r="AF581" s="7">
        <f>IFERROR(IF([1]对账明细接口!$AB581=0,"",[1]对账明细接口!$AB581),"")</f>
      </c>
      <c r="AG581" s="7">
        <f>IFERROR(IF([1]对账明细接口!$AC581=0,"",[1]对账明细接口!$AC581),"")</f>
      </c>
      <c r="AH581" s="7" t="str">
        <f>IFERROR(IF([1]对账明细接口!$AD581=0,"",[1]对账明细接口!$AD581),"")</f>
        <v>成品出库</v>
      </c>
      <c r="AI581" s="7">
        <f>IFERROR(IF([1]对账明细接口!$AE581=0,"",[1]对账明细接口!$AE581),"")</f>
      </c>
      <c r="AJ581" s="7">
        <f>IFERROR(IF([1]对账明细接口!$AF581=0,"",[1]对账明细接口!$AF581),"")</f>
      </c>
    </row>
    <row r="582" ht="14.25" customHeight="1" s="127">
      <c r="A582" s="14" t="n">
        <v>582</v>
      </c>
      <c r="B582" s="211">
        <f>IFERROR(IF([1]对账明细接口!$B$582=0,"",[1]对账明细接口!$B$582),"")</f>
        <v>46269.0</v>
      </c>
      <c r="C582" s="16" t="str">
        <f>IFERROR(IF([1]对账明细接口!$C$582=0,"",[1]对账明细接口!$C$582),"")</f>
        <v>王照雪</v>
      </c>
      <c r="D582" s="16" t="str">
        <f>IFERROR(IF([1]对账明细接口!$D$582=0,"",[1]对账明细接口!$D$582),"")</f>
        <v>成品出库－成品出库</v>
      </c>
      <c r="E582" s="16" t="str">
        <f>IFERROR(IF([1]对账明细接口!$E$582=0,"",[1]对账明细接口!$E$582),"")</f>
        <v>NO:0001083</v>
      </c>
      <c r="F582" s="16" t="str">
        <f>IFERROR(IF([1]对账明细接口!$F$582=0,"",[1]对账明细接口!$F$582),"")</f>
        <v>苹果</v>
      </c>
      <c r="G582" s="16" t="str">
        <f>IFERROR(IF([1]对账明细接口!$G$582=0,"",[1]对账明细接口!$G$582),"")</f>
        <v>华硕一级</v>
      </c>
      <c r="H582" s="176">
        <f>IFERROR(IF([1]对账明细接口!$H$582=0,"",[1]对账明细接口!$H$582),"")</f>
        <v>9</v>
      </c>
      <c r="I582" s="16" t="str">
        <f>IFERROR(IF([1]对账明细接口!$I$582=0,"",[1]对账明细接口!$I$582),"")</f>
        <v>箱</v>
      </c>
      <c r="J582" s="177">
        <f>IFERROR(IF([1]对账明细接口!$J$582=0,"",[1]对账明细接口!$J$582),"")</f>
        <v>45.9</v>
      </c>
      <c r="K582" s="177">
        <f>IFERROR(IF([1]对账明细接口!$K$582=0,"",[1]对账明细接口!$K$582),"")</f>
      </c>
      <c r="L582" s="16">
        <f>IFERROR(IF([1]对账明细接口!$L$582=0,"",[1]对账明细接口!$L$582),"")</f>
      </c>
      <c r="M582" s="16">
        <f>IFERROR(IF([1]对账明细接口!$M$582=0,"",[1]对账明细接口!$M$582),"")</f>
      </c>
      <c r="N582" s="19">
        <f>IF($C582="",0,1)</f>
        <v>1</v>
      </c>
      <c r="O582" s="19">
        <f>N(O581)+$N582</f>
        <v>579</v>
      </c>
      <c r="S582" s="20" t="str">
        <f>IFERROR(IF([1]对账明细接口!$N582=0,"",[1]对账明细接口!$N582),"")</f>
        <v>纸箱</v>
      </c>
      <c r="T582" s="212">
        <f>IFERROR(IF([1]对账明细接口!$O582=0,"",[1]对账明细接口!$O582),"")</f>
      </c>
      <c r="U582" s="212">
        <f>IFERROR(IF([1]对账明细接口!$P582=0,"",[1]对账明细接口!$P582),"")</f>
      </c>
      <c r="V582" s="212">
        <f>IFERROR(IF([1]对账明细接口!$Q582=0,"",[1]对账明细接口!$Q582),"")</f>
      </c>
      <c r="W582" s="20" t="str">
        <f>IFERROR(IF([1]对账明细接口!$R582=0,"",[1]对账明细接口!$R582),"")</f>
        <v>豫N*P269J</v>
      </c>
      <c r="X582" s="20" t="str">
        <f>IFERROR(IF([1]对账明细接口!$S582=0,"",[1]对账明细接口!$S582),"")</f>
        <v>公司筐</v>
      </c>
      <c r="Y582" s="20" t="str">
        <f>IFERROR(IF([1]对账明细接口!$T582=0,"",[1]对账明细接口!$T582),"")</f>
        <v>王照雪</v>
      </c>
      <c r="Z582" s="213">
        <f>IFERROR(IF([1]对账明细接口!$U582=0,"",[1]对账明细接口!$U582),"")</f>
      </c>
      <c r="AA582" s="213">
        <f>IFERROR(IF([1]对账明细接口!$V582=0,"",[1]对账明细接口!$V582),"")</f>
      </c>
      <c r="AB582" s="20">
        <f>IFERROR(IF([1]对账明细接口!$W582=0,"",[1]对账明细接口!$W582),"")</f>
      </c>
      <c r="AC582" s="7" t="str">
        <f>IFERROR(IF([1]对账明细接口!$X582=0,"",[1]对账明细接口!$X582),"")</f>
        <v>电商/主播</v>
      </c>
      <c r="AD582" s="7">
        <f>IFERROR(IF([1]对账明细接口!$Y582=0,"",[1]对账明细接口!$Y582),"")</f>
      </c>
      <c r="AE582" s="7">
        <f>IFERROR(IF([1]对账明细接口!$AA582=0,"",[1]对账明细接口!$AA582),"")</f>
      </c>
      <c r="AF582" s="7">
        <f>IFERROR(IF([1]对账明细接口!$AB582=0,"",[1]对账明细接口!$AB582),"")</f>
      </c>
      <c r="AG582" s="7">
        <f>IFERROR(IF([1]对账明细接口!$AC582=0,"",[1]对账明细接口!$AC582),"")</f>
      </c>
      <c r="AH582" s="7" t="str">
        <f>IFERROR(IF([1]对账明细接口!$AD582=0,"",[1]对账明细接口!$AD582),"")</f>
        <v>成品出库</v>
      </c>
      <c r="AI582" s="7">
        <f>IFERROR(IF([1]对账明细接口!$AE582=0,"",[1]对账明细接口!$AE582),"")</f>
      </c>
      <c r="AJ582" s="7">
        <f>IFERROR(IF([1]对账明细接口!$AF582=0,"",[1]对账明细接口!$AF582),"")</f>
      </c>
    </row>
    <row r="583" ht="14.25" customHeight="1" s="127">
      <c r="A583" s="14" t="n">
        <v>583</v>
      </c>
      <c r="B583" s="211">
        <f>IFERROR(IF([1]对账明细接口!$B$583=0,"",[1]对账明细接口!$B$583),"")</f>
        <v>46269.0</v>
      </c>
      <c r="C583" s="16" t="str">
        <f>IFERROR(IF([1]对账明细接口!$C$583=0,"",[1]对账明细接口!$C$583),"")</f>
        <v>王照雪</v>
      </c>
      <c r="D583" s="16" t="str">
        <f>IFERROR(IF([1]对账明细接口!$D$583=0,"",[1]对账明细接口!$D$583),"")</f>
        <v>成品出库－成品出库</v>
      </c>
      <c r="E583" s="16" t="str">
        <f>IFERROR(IF([1]对账明细接口!$E$583=0,"",[1]对账明细接口!$E$583),"")</f>
        <v>NO:0001083</v>
      </c>
      <c r="F583" s="16" t="str">
        <f>IFERROR(IF([1]对账明细接口!$F$583=0,"",[1]对账明细接口!$F$583),"")</f>
        <v>苹果</v>
      </c>
      <c r="G583" s="16" t="str">
        <f>IFERROR(IF([1]对账明细接口!$G$583=0,"",[1]对账明细接口!$G$583),"")</f>
        <v>华硕一级</v>
      </c>
      <c r="H583" s="176">
        <f>IFERROR(IF([1]对账明细接口!$H$583=0,"",[1]对账明细接口!$H$583),"")</f>
        <v>4</v>
      </c>
      <c r="I583" s="16" t="str">
        <f>IFERROR(IF([1]对账明细接口!$I$583=0,"",[1]对账明细接口!$I$583),"")</f>
        <v>箱</v>
      </c>
      <c r="J583" s="177">
        <f>IFERROR(IF([1]对账明细接口!$J$583=0,"",[1]对账明细接口!$J$583),"")</f>
        <v>10.4</v>
      </c>
      <c r="K583" s="177">
        <f>IFERROR(IF([1]对账明细接口!$K$583=0,"",[1]对账明细接口!$K$583),"")</f>
      </c>
      <c r="L583" s="16">
        <f>IFERROR(IF([1]对账明细接口!$L$583=0,"",[1]对账明细接口!$L$583),"")</f>
      </c>
      <c r="M583" s="16">
        <f>IFERROR(IF([1]对账明细接口!$M$583=0,"",[1]对账明细接口!$M$583),"")</f>
      </c>
      <c r="N583" s="19">
        <f>IF($C583="",0,1)</f>
        <v>1</v>
      </c>
      <c r="O583" s="19">
        <f>N(O582)+$N583</f>
        <v>580</v>
      </c>
      <c r="S583" s="20" t="str">
        <f>IFERROR(IF([1]对账明细接口!$N583=0,"",[1]对账明细接口!$N583),"")</f>
        <v>纸箱</v>
      </c>
      <c r="T583" s="212">
        <f>IFERROR(IF([1]对账明细接口!$O583=0,"",[1]对账明细接口!$O583),"")</f>
      </c>
      <c r="U583" s="212">
        <f>IFERROR(IF([1]对账明细接口!$P583=0,"",[1]对账明细接口!$P583),"")</f>
      </c>
      <c r="V583" s="212">
        <f>IFERROR(IF([1]对账明细接口!$Q583=0,"",[1]对账明细接口!$Q583),"")</f>
      </c>
      <c r="W583" s="20" t="str">
        <f>IFERROR(IF([1]对账明细接口!$R583=0,"",[1]对账明细接口!$R583),"")</f>
        <v>豫N*P269J</v>
      </c>
      <c r="X583" s="20" t="str">
        <f>IFERROR(IF([1]对账明细接口!$S583=0,"",[1]对账明细接口!$S583),"")</f>
        <v>公司筐</v>
      </c>
      <c r="Y583" s="20" t="str">
        <f>IFERROR(IF([1]对账明细接口!$T583=0,"",[1]对账明细接口!$T583),"")</f>
        <v>王照雪</v>
      </c>
      <c r="Z583" s="213">
        <f>IFERROR(IF([1]对账明细接口!$U583=0,"",[1]对账明细接口!$U583),"")</f>
      </c>
      <c r="AA583" s="213">
        <f>IFERROR(IF([1]对账明细接口!$V583=0,"",[1]对账明细接口!$V583),"")</f>
      </c>
      <c r="AB583" s="20">
        <f>IFERROR(IF([1]对账明细接口!$W583=0,"",[1]对账明细接口!$W583),"")</f>
      </c>
      <c r="AC583" s="7" t="str">
        <f>IFERROR(IF([1]对账明细接口!$X583=0,"",[1]对账明细接口!$X583),"")</f>
        <v>电商/主播</v>
      </c>
      <c r="AD583" s="7">
        <f>IFERROR(IF([1]对账明细接口!$Y583=0,"",[1]对账明细接口!$Y583),"")</f>
      </c>
      <c r="AE583" s="7">
        <f>IFERROR(IF([1]对账明细接口!$AA583=0,"",[1]对账明细接口!$AA583),"")</f>
      </c>
      <c r="AF583" s="7">
        <f>IFERROR(IF([1]对账明细接口!$AB583=0,"",[1]对账明细接口!$AB583),"")</f>
      </c>
      <c r="AG583" s="7">
        <f>IFERROR(IF([1]对账明细接口!$AC583=0,"",[1]对账明细接口!$AC583),"")</f>
      </c>
      <c r="AH583" s="7" t="str">
        <f>IFERROR(IF([1]对账明细接口!$AD583=0,"",[1]对账明细接口!$AD583),"")</f>
        <v>成品出库</v>
      </c>
      <c r="AI583" s="7">
        <f>IFERROR(IF([1]对账明细接口!$AE583=0,"",[1]对账明细接口!$AE583),"")</f>
      </c>
      <c r="AJ583" s="7">
        <f>IFERROR(IF([1]对账明细接口!$AF583=0,"",[1]对账明细接口!$AF583),"")</f>
      </c>
    </row>
    <row r="584" ht="14.25" customHeight="1" s="127">
      <c r="A584" s="14" t="n">
        <v>584</v>
      </c>
      <c r="B584" s="211">
        <f>IFERROR(IF([1]对账明细接口!$B$584=0,"",[1]对账明细接口!$B$584),"")</f>
        <v>46269.0</v>
      </c>
      <c r="C584" s="16" t="str">
        <f>IFERROR(IF([1]对账明细接口!$C$584=0,"",[1]对账明细接口!$C$584),"")</f>
        <v>王照雪</v>
      </c>
      <c r="D584" s="16" t="str">
        <f>IFERROR(IF([1]对账明细接口!$D$584=0,"",[1]对账明细接口!$D$584),"")</f>
        <v>成品出库－成品出库</v>
      </c>
      <c r="E584" s="16" t="str">
        <f>IFERROR(IF([1]对账明细接口!$E$584=0,"",[1]对账明细接口!$E$584),"")</f>
        <v>NO:0001083</v>
      </c>
      <c r="F584" s="16" t="str">
        <f>IFERROR(IF([1]对账明细接口!$F$584=0,"",[1]对账明细接口!$F$584),"")</f>
        <v>苹果</v>
      </c>
      <c r="G584" s="16" t="str">
        <f>IFERROR(IF([1]对账明细接口!$G$584=0,"",[1]对账明细接口!$G$584),"")</f>
        <v>苹果扎伤</v>
      </c>
      <c r="H584" s="176">
        <f>IFERROR(IF([1]对账明细接口!$H$584=0,"",[1]对账明细接口!$H$584),"")</f>
        <v>3</v>
      </c>
      <c r="I584" s="16" t="str">
        <f>IFERROR(IF([1]对账明细接口!$I$584=0,"",[1]对账明细接口!$I$584),"")</f>
        <v>筐</v>
      </c>
      <c r="J584" s="177">
        <f>IFERROR(IF([1]对账明细接口!$J$584=0,"",[1]对账明细接口!$J$584),"")</f>
        <v>51.9</v>
      </c>
      <c r="K584" s="177">
        <f>IFERROR(IF([1]对账明细接口!$K$584=0,"",[1]对账明细接口!$K$584),"")</f>
      </c>
      <c r="L584" s="16">
        <f>IFERROR(IF([1]对账明细接口!$L$584=0,"",[1]对账明细接口!$L$584),"")</f>
      </c>
      <c r="M584" s="16">
        <f>IFERROR(IF([1]对账明细接口!$M$584=0,"",[1]对账明细接口!$M$584),"")</f>
      </c>
      <c r="N584" s="19">
        <f>IF($C584="",0,1)</f>
        <v>1</v>
      </c>
      <c r="O584" s="19">
        <f>N(O583)+$N584</f>
        <v>581</v>
      </c>
      <c r="S584" s="20" t="str">
        <f>IFERROR(IF([1]对账明细接口!$N584=0,"",[1]对账明细接口!$N584),"")</f>
        <v>公司杂周转筐</v>
      </c>
      <c r="T584" s="212">
        <f>IFERROR(IF([1]对账明细接口!$O584=0,"",[1]对账明细接口!$O584),"")</f>
        <v>3</v>
      </c>
      <c r="U584" s="212">
        <f>IFERROR(IF([1]对账明细接口!$P584=0,"",[1]对账明细接口!$P584),"")</f>
      </c>
      <c r="V584" s="212">
        <f>IFERROR(IF([1]对账明细接口!$Q584=0,"",[1]对账明细接口!$Q584),"")</f>
      </c>
      <c r="W584" s="20" t="str">
        <f>IFERROR(IF([1]对账明细接口!$R584=0,"",[1]对账明细接口!$R584),"")</f>
        <v>豫N*P269J</v>
      </c>
      <c r="X584" s="20" t="str">
        <f>IFERROR(IF([1]对账明细接口!$S584=0,"",[1]对账明细接口!$S584),"")</f>
        <v>公司筐</v>
      </c>
      <c r="Y584" s="20" t="str">
        <f>IFERROR(IF([1]对账明细接口!$T584=0,"",[1]对账明细接口!$T584),"")</f>
        <v>王照雪</v>
      </c>
      <c r="Z584" s="213">
        <f>IFERROR(IF([1]对账明细接口!$U584=0,"",[1]对账明细接口!$U584),"")</f>
      </c>
      <c r="AA584" s="213">
        <f>IFERROR(IF([1]对账明细接口!$V584=0,"",[1]对账明细接口!$V584),"")</f>
      </c>
      <c r="AB584" s="20">
        <f>IFERROR(IF([1]对账明细接口!$W584=0,"",[1]对账明细接口!$W584),"")</f>
      </c>
      <c r="AC584" s="7" t="str">
        <f>IFERROR(IF([1]对账明细接口!$X584=0,"",[1]对账明细接口!$X584),"")</f>
        <v>王照雪</v>
      </c>
      <c r="AD584" s="7">
        <f>IFERROR(IF([1]对账明细接口!$Y584=0,"",[1]对账明细接口!$Y584),"")</f>
      </c>
      <c r="AE584" s="7">
        <f>IFERROR(IF([1]对账明细接口!$AA584=0,"",[1]对账明细接口!$AA584),"")</f>
      </c>
      <c r="AF584" s="7">
        <f>IFERROR(IF([1]对账明细接口!$AB584=0,"",[1]对账明细接口!$AB584),"")</f>
      </c>
      <c r="AG584" s="7">
        <f>IFERROR(IF([1]对账明细接口!$AC584=0,"",[1]对账明细接口!$AC584),"")</f>
      </c>
      <c r="AH584" s="7" t="str">
        <f>IFERROR(IF([1]对账明细接口!$AD584=0,"",[1]对账明细接口!$AD584),"")</f>
        <v>成品出库</v>
      </c>
      <c r="AI584" s="7">
        <f>IFERROR(IF([1]对账明细接口!$AE584=0,"",[1]对账明细接口!$AE584),"")</f>
      </c>
      <c r="AJ584" s="7">
        <f>IFERROR(IF([1]对账明细接口!$AF584=0,"",[1]对账明细接口!$AF584),"")</f>
      </c>
    </row>
    <row r="585" ht="14.25" customHeight="1" s="127">
      <c r="A585" s="14" t="n">
        <v>585</v>
      </c>
      <c r="B585" s="211">
        <f>IFERROR(IF([1]对账明细接口!$B$585=0,"",[1]对账明细接口!$B$585),"")</f>
        <v>46269.0</v>
      </c>
      <c r="C585" s="16" t="str">
        <f>IFERROR(IF([1]对账明细接口!$C$585=0,"",[1]对账明细接口!$C$585),"")</f>
        <v>王照雪</v>
      </c>
      <c r="D585" s="16" t="str">
        <f>IFERROR(IF([1]对账明细接口!$D$585=0,"",[1]对账明细接口!$D$585),"")</f>
        <v>成品出库－成品出库</v>
      </c>
      <c r="E585" s="16" t="str">
        <f>IFERROR(IF([1]对账明细接口!$E$585=0,"",[1]对账明细接口!$E$585),"")</f>
        <v>NO:0001085</v>
      </c>
      <c r="F585" s="16" t="str">
        <f>IFERROR(IF([1]对账明细接口!$F$585=0,"",[1]对账明细接口!$F$585),"")</f>
        <v>苹果</v>
      </c>
      <c r="G585" s="16" t="str">
        <f>IFERROR(IF([1]对账明细接口!$G$585=0,"",[1]对账明细接口!$G$585),"")</f>
        <v>华硕一级</v>
      </c>
      <c r="H585" s="176">
        <f>IFERROR(IF([1]对账明细接口!$H$585=0,"",[1]对账明细接口!$H$585),"")</f>
        <v>93</v>
      </c>
      <c r="I585" s="16" t="str">
        <f>IFERROR(IF([1]对账明细接口!$I$585=0,"",[1]对账明细接口!$I$585),"")</f>
        <v>箱</v>
      </c>
      <c r="J585" s="177">
        <f>IFERROR(IF([1]对账明细接口!$J$585=0,"",[1]对账明细接口!$J$585),"")</f>
        <v>474.3</v>
      </c>
      <c r="K585" s="177">
        <f>IFERROR(IF([1]对账明细接口!$K$585=0,"",[1]对账明细接口!$K$585),"")</f>
      </c>
      <c r="L585" s="16">
        <f>IFERROR(IF([1]对账明细接口!$L$585=0,"",[1]对账明细接口!$L$585),"")</f>
      </c>
      <c r="M585" s="16">
        <f>IFERROR(IF([1]对账明细接口!$M$585=0,"",[1]对账明细接口!$M$585),"")</f>
      </c>
      <c r="N585" s="19">
        <f>IF($C585="",0,1)</f>
        <v>1</v>
      </c>
      <c r="O585" s="19">
        <f>N(O584)+$N585</f>
        <v>582</v>
      </c>
      <c r="S585" s="20" t="str">
        <f>IFERROR(IF([1]对账明细接口!$N585=0,"",[1]对账明细接口!$N585),"")</f>
        <v>纸箱</v>
      </c>
      <c r="T585" s="212">
        <f>IFERROR(IF([1]对账明细接口!$O585=0,"",[1]对账明细接口!$O585),"")</f>
      </c>
      <c r="U585" s="212">
        <f>IFERROR(IF([1]对账明细接口!$P585=0,"",[1]对账明细接口!$P585),"")</f>
      </c>
      <c r="V585" s="212">
        <f>IFERROR(IF([1]对账明细接口!$Q585=0,"",[1]对账明细接口!$Q585),"")</f>
      </c>
      <c r="W585" s="20" t="str">
        <f>IFERROR(IF([1]对账明细接口!$R585=0,"",[1]对账明细接口!$R585),"")</f>
        <v>豫N*P269J</v>
      </c>
      <c r="X585" s="20" t="str">
        <f>IFERROR(IF([1]对账明细接口!$S585=0,"",[1]对账明细接口!$S585),"")</f>
        <v>公司筐</v>
      </c>
      <c r="Y585" s="20" t="str">
        <f>IFERROR(IF([1]对账明细接口!$T585=0,"",[1]对账明细接口!$T585),"")</f>
        <v>王照雪</v>
      </c>
      <c r="Z585" s="213">
        <f>IFERROR(IF([1]对账明细接口!$U585=0,"",[1]对账明细接口!$U585),"")</f>
      </c>
      <c r="AA585" s="213">
        <f>IFERROR(IF([1]对账明细接口!$V585=0,"",[1]对账明细接口!$V585),"")</f>
      </c>
      <c r="AB585" s="20">
        <f>IFERROR(IF([1]对账明细接口!$W585=0,"",[1]对账明细接口!$W585),"")</f>
      </c>
      <c r="AC585" s="7" t="str">
        <f>IFERROR(IF([1]对账明细接口!$X585=0,"",[1]对账明细接口!$X585),"")</f>
        <v>电商/主播</v>
      </c>
      <c r="AD585" s="7">
        <f>IFERROR(IF([1]对账明细接口!$Y585=0,"",[1]对账明细接口!$Y585),"")</f>
      </c>
      <c r="AE585" s="7">
        <f>IFERROR(IF([1]对账明细接口!$AA585=0,"",[1]对账明细接口!$AA585),"")</f>
      </c>
      <c r="AF585" s="7">
        <f>IFERROR(IF([1]对账明细接口!$AB585=0,"",[1]对账明细接口!$AB585),"")</f>
      </c>
      <c r="AG585" s="7">
        <f>IFERROR(IF([1]对账明细接口!$AC585=0,"",[1]对账明细接口!$AC585),"")</f>
      </c>
      <c r="AH585" s="7" t="str">
        <f>IFERROR(IF([1]对账明细接口!$AD585=0,"",[1]对账明细接口!$AD585),"")</f>
        <v>成品出库</v>
      </c>
      <c r="AI585" s="7">
        <f>IFERROR(IF([1]对账明细接口!$AE585=0,"",[1]对账明细接口!$AE585),"")</f>
      </c>
      <c r="AJ585" s="7">
        <f>IFERROR(IF([1]对账明细接口!$AF585=0,"",[1]对账明细接口!$AF585),"")</f>
      </c>
    </row>
    <row r="586" ht="14.25" customHeight="1" s="127">
      <c r="A586" s="14" t="n">
        <v>586</v>
      </c>
      <c r="B586" s="211">
        <f>IFERROR(IF([1]对账明细接口!$B$586=0,"",[1]对账明细接口!$B$586),"")</f>
        <v>46270.0</v>
      </c>
      <c r="C586" s="16" t="str">
        <f>IFERROR(IF([1]对账明细接口!$C$586=0,"",[1]对账明细接口!$C$586),"")</f>
        <v>王照雪</v>
      </c>
      <c r="D586" s="16" t="str">
        <f>IFERROR(IF([1]对账明细接口!$D$586=0,"",[1]对账明细接口!$D$586),"")</f>
        <v>成品出库－成品出库</v>
      </c>
      <c r="E586" s="16" t="str">
        <f>IFERROR(IF([1]对账明细接口!$E$586=0,"",[1]对账明细接口!$E$586),"")</f>
        <v>NO:0001085</v>
      </c>
      <c r="F586" s="16" t="str">
        <f>IFERROR(IF([1]对账明细接口!$F$586=0,"",[1]对账明细接口!$F$586),"")</f>
        <v>苹果</v>
      </c>
      <c r="G586" s="16" t="str">
        <f>IFERROR(IF([1]对账明细接口!$G$586=0,"",[1]对账明细接口!$G$586),"")</f>
        <v>华硕一级</v>
      </c>
      <c r="H586" s="176">
        <f>IFERROR(IF([1]对账明细接口!$H$586=0,"",[1]对账明细接口!$H$586),"")</f>
        <v>3</v>
      </c>
      <c r="I586" s="16" t="str">
        <f>IFERROR(IF([1]对账明细接口!$I$586=0,"",[1]对账明细接口!$I$586),"")</f>
        <v>箱</v>
      </c>
      <c r="J586" s="177">
        <f>IFERROR(IF([1]对账明细接口!$J$586=0,"",[1]对账明细接口!$J$586),"")</f>
        <v>7.8</v>
      </c>
      <c r="K586" s="177">
        <f>IFERROR(IF([1]对账明细接口!$K$586=0,"",[1]对账明细接口!$K$586),"")</f>
      </c>
      <c r="L586" s="16">
        <f>IFERROR(IF([1]对账明细接口!$L$586=0,"",[1]对账明细接口!$L$586),"")</f>
      </c>
      <c r="M586" s="16">
        <f>IFERROR(IF([1]对账明细接口!$M$586=0,"",[1]对账明细接口!$M$586),"")</f>
      </c>
      <c r="N586" s="19">
        <f>IF($C586="",0,1)</f>
        <v>1</v>
      </c>
      <c r="O586" s="19">
        <f>N(O585)+$N586</f>
        <v>583</v>
      </c>
      <c r="S586" s="20" t="str">
        <f>IFERROR(IF([1]对账明细接口!$N586=0,"",[1]对账明细接口!$N586),"")</f>
        <v>纸箱</v>
      </c>
      <c r="T586" s="212">
        <f>IFERROR(IF([1]对账明细接口!$O586=0,"",[1]对账明细接口!$O586),"")</f>
      </c>
      <c r="U586" s="212">
        <f>IFERROR(IF([1]对账明细接口!$P586=0,"",[1]对账明细接口!$P586),"")</f>
      </c>
      <c r="V586" s="212">
        <f>IFERROR(IF([1]对账明细接口!$Q586=0,"",[1]对账明细接口!$Q586),"")</f>
      </c>
      <c r="W586" s="20" t="str">
        <f>IFERROR(IF([1]对账明细接口!$R586=0,"",[1]对账明细接口!$R586),"")</f>
        <v>豫N*P269J</v>
      </c>
      <c r="X586" s="20" t="str">
        <f>IFERROR(IF([1]对账明细接口!$S586=0,"",[1]对账明细接口!$S586),"")</f>
        <v>公司筐</v>
      </c>
      <c r="Y586" s="20" t="str">
        <f>IFERROR(IF([1]对账明细接口!$T586=0,"",[1]对账明细接口!$T586),"")</f>
        <v>王照雪</v>
      </c>
      <c r="Z586" s="213">
        <f>IFERROR(IF([1]对账明细接口!$U586=0,"",[1]对账明细接口!$U586),"")</f>
      </c>
      <c r="AA586" s="213">
        <f>IFERROR(IF([1]对账明细接口!$V586=0,"",[1]对账明细接口!$V586),"")</f>
      </c>
      <c r="AB586" s="20">
        <f>IFERROR(IF([1]对账明细接口!$W586=0,"",[1]对账明细接口!$W586),"")</f>
      </c>
      <c r="AC586" s="7" t="str">
        <f>IFERROR(IF([1]对账明细接口!$X586=0,"",[1]对账明细接口!$X586),"")</f>
        <v>电商/主播</v>
      </c>
      <c r="AD586" s="7">
        <f>IFERROR(IF([1]对账明细接口!$Y586=0,"",[1]对账明细接口!$Y586),"")</f>
      </c>
      <c r="AE586" s="7">
        <f>IFERROR(IF([1]对账明细接口!$AA586=0,"",[1]对账明细接口!$AA586),"")</f>
      </c>
      <c r="AF586" s="7">
        <f>IFERROR(IF([1]对账明细接口!$AB586=0,"",[1]对账明细接口!$AB586),"")</f>
      </c>
      <c r="AG586" s="7">
        <f>IFERROR(IF([1]对账明细接口!$AC586=0,"",[1]对账明细接口!$AC586),"")</f>
      </c>
      <c r="AH586" s="7" t="str">
        <f>IFERROR(IF([1]对账明细接口!$AD586=0,"",[1]对账明细接口!$AD586),"")</f>
        <v>成品出库</v>
      </c>
      <c r="AI586" s="7">
        <f>IFERROR(IF([1]对账明细接口!$AE586=0,"",[1]对账明细接口!$AE586),"")</f>
      </c>
      <c r="AJ586" s="7">
        <f>IFERROR(IF([1]对账明细接口!$AF586=0,"",[1]对账明细接口!$AF586),"")</f>
      </c>
    </row>
    <row r="587" ht="14.25" customHeight="1" s="127">
      <c r="A587" s="14" t="n">
        <v>587</v>
      </c>
      <c r="B587" s="211">
        <f>IFERROR(IF([1]对账明细接口!$B$587=0,"",[1]对账明细接口!$B$587),"")</f>
        <v>46271.0</v>
      </c>
      <c r="C587" s="16" t="str">
        <f>IFERROR(IF([1]对账明细接口!$C$587=0,"",[1]对账明细接口!$C$587),"")</f>
        <v>王照雪</v>
      </c>
      <c r="D587" s="16" t="str">
        <f>IFERROR(IF([1]对账明细接口!$D$587=0,"",[1]对账明细接口!$D$587),"")</f>
        <v>成品出库－成品出库</v>
      </c>
      <c r="E587" s="16" t="str">
        <f>IFERROR(IF([1]对账明细接口!$E$587=0,"",[1]对账明细接口!$E$587),"")</f>
        <v>NO:0001088</v>
      </c>
      <c r="F587" s="16" t="str">
        <f>IFERROR(IF([1]对账明细接口!$F$587=0,"",[1]对账明细接口!$F$587),"")</f>
        <v>苹果</v>
      </c>
      <c r="G587" s="16" t="str">
        <f>IFERROR(IF([1]对账明细接口!$G$587=0,"",[1]对账明细接口!$G$587),"")</f>
        <v>华硕一级</v>
      </c>
      <c r="H587" s="176">
        <f>IFERROR(IF([1]对账明细接口!$H$587=0,"",[1]对账明细接口!$H$587),"")</f>
        <v>105</v>
      </c>
      <c r="I587" s="16" t="str">
        <f>IFERROR(IF([1]对账明细接口!$I$587=0,"",[1]对账明细接口!$I$587),"")</f>
        <v>箱</v>
      </c>
      <c r="J587" s="177">
        <f>IFERROR(IF([1]对账明细接口!$J$587=0,"",[1]对账明细接口!$J$587),"")</f>
        <v>535.5</v>
      </c>
      <c r="K587" s="177">
        <f>IFERROR(IF([1]对账明细接口!$K$587=0,"",[1]对账明细接口!$K$587),"")</f>
      </c>
      <c r="L587" s="16">
        <f>IFERROR(IF([1]对账明细接口!$L$587=0,"",[1]对账明细接口!$L$587),"")</f>
      </c>
      <c r="M587" s="16">
        <f>IFERROR(IF([1]对账明细接口!$M$587=0,"",[1]对账明细接口!$M$587),"")</f>
      </c>
      <c r="N587" s="19">
        <f>IF($C587="",0,1)</f>
        <v>1</v>
      </c>
      <c r="O587" s="19">
        <f>N(O586)+$N587</f>
        <v>584</v>
      </c>
      <c r="S587" s="20" t="str">
        <f>IFERROR(IF([1]对账明细接口!$N587=0,"",[1]对账明细接口!$N587),"")</f>
        <v>纸箱</v>
      </c>
      <c r="T587" s="212">
        <f>IFERROR(IF([1]对账明细接口!$O587=0,"",[1]对账明细接口!$O587),"")</f>
      </c>
      <c r="U587" s="212">
        <f>IFERROR(IF([1]对账明细接口!$P587=0,"",[1]对账明细接口!$P587),"")</f>
      </c>
      <c r="V587" s="212">
        <f>IFERROR(IF([1]对账明细接口!$Q587=0,"",[1]对账明细接口!$Q587),"")</f>
      </c>
      <c r="W587" s="20" t="str">
        <f>IFERROR(IF([1]对账明细接口!$R587=0,"",[1]对账明细接口!$R587),"")</f>
        <v>豫N*P269J</v>
      </c>
      <c r="X587" s="20" t="str">
        <f>IFERROR(IF([1]对账明细接口!$S587=0,"",[1]对账明细接口!$S587),"")</f>
        <v>公司筐</v>
      </c>
      <c r="Y587" s="20" t="str">
        <f>IFERROR(IF([1]对账明细接口!$T587=0,"",[1]对账明细接口!$T587),"")</f>
        <v>王照雪</v>
      </c>
      <c r="Z587" s="213">
        <f>IFERROR(IF([1]对账明细接口!$U587=0,"",[1]对账明细接口!$U587),"")</f>
      </c>
      <c r="AA587" s="213">
        <f>IFERROR(IF([1]对账明细接口!$V587=0,"",[1]对账明细接口!$V587),"")</f>
      </c>
      <c r="AB587" s="20">
        <f>IFERROR(IF([1]对账明细接口!$W587=0,"",[1]对账明细接口!$W587),"")</f>
      </c>
      <c r="AC587" s="7" t="str">
        <f>IFERROR(IF([1]对账明细接口!$X587=0,"",[1]对账明细接口!$X587),"")</f>
        <v>电商/主播</v>
      </c>
      <c r="AD587" s="7">
        <f>IFERROR(IF([1]对账明细接口!$Y587=0,"",[1]对账明细接口!$Y587),"")</f>
      </c>
      <c r="AE587" s="7">
        <f>IFERROR(IF([1]对账明细接口!$AA587=0,"",[1]对账明细接口!$AA587),"")</f>
      </c>
      <c r="AF587" s="7">
        <f>IFERROR(IF([1]对账明细接口!$AB587=0,"",[1]对账明细接口!$AB587),"")</f>
      </c>
      <c r="AG587" s="7">
        <f>IFERROR(IF([1]对账明细接口!$AC587=0,"",[1]对账明细接口!$AC587),"")</f>
      </c>
      <c r="AH587" s="7" t="str">
        <f>IFERROR(IF([1]对账明细接口!$AD587=0,"",[1]对账明细接口!$AD587),"")</f>
        <v>成品出库</v>
      </c>
      <c r="AI587" s="7">
        <f>IFERROR(IF([1]对账明细接口!$AE587=0,"",[1]对账明细接口!$AE587),"")</f>
      </c>
      <c r="AJ587" s="7">
        <f>IFERROR(IF([1]对账明细接口!$AF587=0,"",[1]对账明细接口!$AF587),"")</f>
      </c>
    </row>
    <row r="588" ht="14.25" customHeight="1" s="127">
      <c r="A588" s="14" t="n">
        <v>588</v>
      </c>
      <c r="B588" s="211">
        <f>IFERROR(IF([1]对账明细接口!$B$588=0,"",[1]对账明细接口!$B$588),"")</f>
        <v>46272.0</v>
      </c>
      <c r="C588" s="16" t="str">
        <f>IFERROR(IF([1]对账明细接口!$C$588=0,"",[1]对账明细接口!$C$588),"")</f>
        <v>王照雪</v>
      </c>
      <c r="D588" s="16" t="str">
        <f>IFERROR(IF([1]对账明细接口!$D$588=0,"",[1]对账明细接口!$D$588),"")</f>
        <v>成品出库－成品出库</v>
      </c>
      <c r="E588" s="16" t="str">
        <f>IFERROR(IF([1]对账明细接口!$E$588=0,"",[1]对账明细接口!$E$588),"")</f>
        <v>NO:0001093</v>
      </c>
      <c r="F588" s="16" t="str">
        <f>IFERROR(IF([1]对账明细接口!$F$588=0,"",[1]对账明细接口!$F$588),"")</f>
        <v>苹果</v>
      </c>
      <c r="G588" s="16" t="str">
        <f>IFERROR(IF([1]对账明细接口!$G$588=0,"",[1]对账明细接口!$G$588),"")</f>
        <v>华硕一级</v>
      </c>
      <c r="H588" s="176">
        <f>IFERROR(IF([1]对账明细接口!$H$588=0,"",[1]对账明细接口!$H$588),"")</f>
        <v>150</v>
      </c>
      <c r="I588" s="16" t="str">
        <f>IFERROR(IF([1]对账明细接口!$I$588=0,"",[1]对账明细接口!$I$588),"")</f>
        <v>箱</v>
      </c>
      <c r="J588" s="177">
        <f>IFERROR(IF([1]对账明细接口!$J$588=0,"",[1]对账明细接口!$J$588),"")</f>
        <v>765</v>
      </c>
      <c r="K588" s="177">
        <f>IFERROR(IF([1]对账明细接口!$K$588=0,"",[1]对账明细接口!$K$588),"")</f>
      </c>
      <c r="L588" s="16">
        <f>IFERROR(IF([1]对账明细接口!$L$588=0,"",[1]对账明细接口!$L$588),"")</f>
      </c>
      <c r="M588" s="16">
        <f>IFERROR(IF([1]对账明细接口!$M$588=0,"",[1]对账明细接口!$M$588),"")</f>
      </c>
      <c r="N588" s="19">
        <f>IF($C588="",0,1)</f>
        <v>1</v>
      </c>
      <c r="O588" s="19">
        <f>N(O587)+$N588</f>
        <v>585</v>
      </c>
      <c r="S588" s="20" t="str">
        <f>IFERROR(IF([1]对账明细接口!$N588=0,"",[1]对账明细接口!$N588),"")</f>
        <v>纸箱</v>
      </c>
      <c r="T588" s="212">
        <f>IFERROR(IF([1]对账明细接口!$O588=0,"",[1]对账明细接口!$O588),"")</f>
      </c>
      <c r="U588" s="212">
        <f>IFERROR(IF([1]对账明细接口!$P588=0,"",[1]对账明细接口!$P588),"")</f>
      </c>
      <c r="V588" s="212">
        <f>IFERROR(IF([1]对账明细接口!$Q588=0,"",[1]对账明细接口!$Q588),"")</f>
      </c>
      <c r="W588" s="20" t="str">
        <f>IFERROR(IF([1]对账明细接口!$R588=0,"",[1]对账明细接口!$R588),"")</f>
        <v>豫N*P269J</v>
      </c>
      <c r="X588" s="20" t="str">
        <f>IFERROR(IF([1]对账明细接口!$S588=0,"",[1]对账明细接口!$S588),"")</f>
        <v>公司筐</v>
      </c>
      <c r="Y588" s="20" t="str">
        <f>IFERROR(IF([1]对账明细接口!$T588=0,"",[1]对账明细接口!$T588),"")</f>
        <v>王照雪</v>
      </c>
      <c r="Z588" s="213">
        <f>IFERROR(IF([1]对账明细接口!$U588=0,"",[1]对账明细接口!$U588),"")</f>
      </c>
      <c r="AA588" s="213">
        <f>IFERROR(IF([1]对账明细接口!$V588=0,"",[1]对账明细接口!$V588),"")</f>
      </c>
      <c r="AB588" s="20">
        <f>IFERROR(IF([1]对账明细接口!$W588=0,"",[1]对账明细接口!$W588),"")</f>
      </c>
      <c r="AC588" s="7" t="str">
        <f>IFERROR(IF([1]对账明细接口!$X588=0,"",[1]对账明细接口!$X588),"")</f>
        <v>电商/主播</v>
      </c>
      <c r="AD588" s="7">
        <f>IFERROR(IF([1]对账明细接口!$Y588=0,"",[1]对账明细接口!$Y588),"")</f>
      </c>
      <c r="AE588" s="7">
        <f>IFERROR(IF([1]对账明细接口!$AA588=0,"",[1]对账明细接口!$AA588),"")</f>
      </c>
      <c r="AF588" s="7">
        <f>IFERROR(IF([1]对账明细接口!$AB588=0,"",[1]对账明细接口!$AB588),"")</f>
      </c>
      <c r="AG588" s="7">
        <f>IFERROR(IF([1]对账明细接口!$AC588=0,"",[1]对账明细接口!$AC588),"")</f>
      </c>
      <c r="AH588" s="7" t="str">
        <f>IFERROR(IF([1]对账明细接口!$AD588=0,"",[1]对账明细接口!$AD588),"")</f>
        <v>成品出库</v>
      </c>
      <c r="AI588" s="7">
        <f>IFERROR(IF([1]对账明细接口!$AE588=0,"",[1]对账明细接口!$AE588),"")</f>
      </c>
      <c r="AJ588" s="7">
        <f>IFERROR(IF([1]对账明细接口!$AF588=0,"",[1]对账明细接口!$AF588),"")</f>
      </c>
    </row>
    <row r="589" ht="14.25" customHeight="1" s="127">
      <c r="A589" s="14" t="n">
        <v>589</v>
      </c>
      <c r="B589" s="211">
        <f>IFERROR(IF([1]对账明细接口!$B$589=0,"",[1]对账明细接口!$B$589),"")</f>
        <v>46273.0</v>
      </c>
      <c r="C589" s="16" t="str">
        <f>IFERROR(IF([1]对账明细接口!$C$589=0,"",[1]对账明细接口!$C$589),"")</f>
        <v>王照雪</v>
      </c>
      <c r="D589" s="16" t="str">
        <f>IFERROR(IF([1]对账明细接口!$D$589=0,"",[1]对账明细接口!$D$589),"")</f>
        <v>成品出库－成品出库</v>
      </c>
      <c r="E589" s="16" t="str">
        <f>IFERROR(IF([1]对账明细接口!$E$589=0,"",[1]对账明细接口!$E$589),"")</f>
        <v>NO:0001095</v>
      </c>
      <c r="F589" s="16" t="str">
        <f>IFERROR(IF([1]对账明细接口!$F$589=0,"",[1]对账明细接口!$F$589),"")</f>
        <v>苹果</v>
      </c>
      <c r="G589" s="16" t="str">
        <f>IFERROR(IF([1]对账明细接口!$G$589=0,"",[1]对账明细接口!$G$589),"")</f>
        <v>华硕一级</v>
      </c>
      <c r="H589" s="176">
        <f>IFERROR(IF([1]对账明细接口!$H$589=0,"",[1]对账明细接口!$H$589),"")</f>
        <v>296</v>
      </c>
      <c r="I589" s="16" t="str">
        <f>IFERROR(IF([1]对账明细接口!$I$589=0,"",[1]对账明细接口!$I$589),"")</f>
        <v>箱</v>
      </c>
      <c r="J589" s="177">
        <f>IFERROR(IF([1]对账明细接口!$J$589=0,"",[1]对账明细接口!$J$589),"")</f>
        <v>1509.6</v>
      </c>
      <c r="K589" s="177">
        <f>IFERROR(IF([1]对账明细接口!$K$589=0,"",[1]对账明细接口!$K$589),"")</f>
      </c>
      <c r="L589" s="16">
        <f>IFERROR(IF([1]对账明细接口!$L$589=0,"",[1]对账明细接口!$L$589),"")</f>
      </c>
      <c r="M589" s="16">
        <f>IFERROR(IF([1]对账明细接口!$M$589=0,"",[1]对账明细接口!$M$589),"")</f>
      </c>
      <c r="N589" s="19">
        <f>IF($C589="",0,1)</f>
        <v>1</v>
      </c>
      <c r="O589" s="19">
        <f>N(O588)+$N589</f>
        <v>586</v>
      </c>
      <c r="S589" s="20" t="str">
        <f>IFERROR(IF([1]对账明细接口!$N589=0,"",[1]对账明细接口!$N589),"")</f>
        <v>纸箱</v>
      </c>
      <c r="T589" s="212">
        <f>IFERROR(IF([1]对账明细接口!$O589=0,"",[1]对账明细接口!$O589),"")</f>
      </c>
      <c r="U589" s="212">
        <f>IFERROR(IF([1]对账明细接口!$P589=0,"",[1]对账明细接口!$P589),"")</f>
      </c>
      <c r="V589" s="212">
        <f>IFERROR(IF([1]对账明细接口!$Q589=0,"",[1]对账明细接口!$Q589),"")</f>
      </c>
      <c r="W589" s="20" t="str">
        <f>IFERROR(IF([1]对账明细接口!$R589=0,"",[1]对账明细接口!$R589),"")</f>
        <v>豫N*P269J</v>
      </c>
      <c r="X589" s="20" t="str">
        <f>IFERROR(IF([1]对账明细接口!$S589=0,"",[1]对账明细接口!$S589),"")</f>
        <v>公司筐</v>
      </c>
      <c r="Y589" s="20" t="str">
        <f>IFERROR(IF([1]对账明细接口!$T589=0,"",[1]对账明细接口!$T589),"")</f>
        <v>王照雪</v>
      </c>
      <c r="Z589" s="213">
        <f>IFERROR(IF([1]对账明细接口!$U589=0,"",[1]对账明细接口!$U589),"")</f>
      </c>
      <c r="AA589" s="213">
        <f>IFERROR(IF([1]对账明细接口!$V589=0,"",[1]对账明细接口!$V589),"")</f>
      </c>
      <c r="AB589" s="20">
        <f>IFERROR(IF([1]对账明细接口!$W589=0,"",[1]对账明细接口!$W589),"")</f>
      </c>
      <c r="AC589" s="7" t="str">
        <f>IFERROR(IF([1]对账明细接口!$X589=0,"",[1]对账明细接口!$X589),"")</f>
        <v>电商/主播</v>
      </c>
      <c r="AD589" s="7">
        <f>IFERROR(IF([1]对账明细接口!$Y589=0,"",[1]对账明细接口!$Y589),"")</f>
      </c>
      <c r="AE589" s="7">
        <f>IFERROR(IF([1]对账明细接口!$AA589=0,"",[1]对账明细接口!$AA589),"")</f>
      </c>
      <c r="AF589" s="7">
        <f>IFERROR(IF([1]对账明细接口!$AB589=0,"",[1]对账明细接口!$AB589),"")</f>
      </c>
      <c r="AG589" s="7">
        <f>IFERROR(IF([1]对账明细接口!$AC589=0,"",[1]对账明细接口!$AC589),"")</f>
      </c>
      <c r="AH589" s="7" t="str">
        <f>IFERROR(IF([1]对账明细接口!$AD589=0,"",[1]对账明细接口!$AD589),"")</f>
        <v>成品出库</v>
      </c>
      <c r="AI589" s="7">
        <f>IFERROR(IF([1]对账明细接口!$AE589=0,"",[1]对账明细接口!$AE589),"")</f>
      </c>
      <c r="AJ589" s="7">
        <f>IFERROR(IF([1]对账明细接口!$AF589=0,"",[1]对账明细接口!$AF589),"")</f>
      </c>
    </row>
    <row r="590" ht="14.25" customHeight="1" s="127">
      <c r="A590" s="14" t="n">
        <v>590</v>
      </c>
      <c r="B590" s="211">
        <f>IFERROR(IF([1]对账明细接口!$B$590=0,"",[1]对账明细接口!$B$590),"")</f>
        <v>46273.0</v>
      </c>
      <c r="C590" s="16" t="str">
        <f>IFERROR(IF([1]对账明细接口!$C$590=0,"",[1]对账明细接口!$C$590),"")</f>
        <v>王照雪</v>
      </c>
      <c r="D590" s="16" t="str">
        <f>IFERROR(IF([1]对账明细接口!$D$590=0,"",[1]对账明细接口!$D$590),"")</f>
        <v>成品出库－成品出库</v>
      </c>
      <c r="E590" s="16" t="str">
        <f>IFERROR(IF([1]对账明细接口!$E$590=0,"",[1]对账明细接口!$E$590),"")</f>
        <v>NO:0001095</v>
      </c>
      <c r="F590" s="16" t="str">
        <f>IFERROR(IF([1]对账明细接口!$F$590=0,"",[1]对账明细接口!$F$590),"")</f>
        <v>苹果</v>
      </c>
      <c r="G590" s="16" t="str">
        <f>IFERROR(IF([1]对账明细接口!$G$590=0,"",[1]对账明细接口!$G$590),"")</f>
        <v>华硕一级</v>
      </c>
      <c r="H590" s="176">
        <f>IFERROR(IF([1]对账明细接口!$H$590=0,"",[1]对账明细接口!$H$590),"")</f>
        <v>16</v>
      </c>
      <c r="I590" s="16" t="str">
        <f>IFERROR(IF([1]对账明细接口!$I$590=0,"",[1]对账明细接口!$I$590),"")</f>
        <v>箱</v>
      </c>
      <c r="J590" s="177">
        <f>IFERROR(IF([1]对账明细接口!$J$590=0,"",[1]对账明细接口!$J$590),"")</f>
        <v>41.6</v>
      </c>
      <c r="K590" s="177">
        <f>IFERROR(IF([1]对账明细接口!$K$590=0,"",[1]对账明细接口!$K$590),"")</f>
      </c>
      <c r="L590" s="16">
        <f>IFERROR(IF([1]对账明细接口!$L$590=0,"",[1]对账明细接口!$L$590),"")</f>
      </c>
      <c r="M590" s="16">
        <f>IFERROR(IF([1]对账明细接口!$M$590=0,"",[1]对账明细接口!$M$590),"")</f>
      </c>
      <c r="N590" s="19">
        <f>IF($C590="",0,1)</f>
        <v>1</v>
      </c>
      <c r="O590" s="19">
        <f>N(O589)+$N590</f>
        <v>587</v>
      </c>
      <c r="S590" s="20" t="str">
        <f>IFERROR(IF([1]对账明细接口!$N590=0,"",[1]对账明细接口!$N590),"")</f>
        <v>纸箱</v>
      </c>
      <c r="T590" s="212">
        <f>IFERROR(IF([1]对账明细接口!$O590=0,"",[1]对账明细接口!$O590),"")</f>
      </c>
      <c r="U590" s="212">
        <f>IFERROR(IF([1]对账明细接口!$P590=0,"",[1]对账明细接口!$P590),"")</f>
      </c>
      <c r="V590" s="212">
        <f>IFERROR(IF([1]对账明细接口!$Q590=0,"",[1]对账明细接口!$Q590),"")</f>
      </c>
      <c r="W590" s="20" t="str">
        <f>IFERROR(IF([1]对账明细接口!$R590=0,"",[1]对账明细接口!$R590),"")</f>
        <v>豫N*P269J</v>
      </c>
      <c r="X590" s="20" t="str">
        <f>IFERROR(IF([1]对账明细接口!$S590=0,"",[1]对账明细接口!$S590),"")</f>
        <v>公司筐</v>
      </c>
      <c r="Y590" s="20" t="str">
        <f>IFERROR(IF([1]对账明细接口!$T590=0,"",[1]对账明细接口!$T590),"")</f>
        <v>王照雪</v>
      </c>
      <c r="Z590" s="213">
        <f>IFERROR(IF([1]对账明细接口!$U590=0,"",[1]对账明细接口!$U590),"")</f>
      </c>
      <c r="AA590" s="213">
        <f>IFERROR(IF([1]对账明细接口!$V590=0,"",[1]对账明细接口!$V590),"")</f>
      </c>
      <c r="AB590" s="20">
        <f>IFERROR(IF([1]对账明细接口!$W590=0,"",[1]对账明细接口!$W590),"")</f>
      </c>
      <c r="AC590" s="7" t="str">
        <f>IFERROR(IF([1]对账明细接口!$X590=0,"",[1]对账明细接口!$X590),"")</f>
        <v>电商/主播</v>
      </c>
      <c r="AD590" s="7">
        <f>IFERROR(IF([1]对账明细接口!$Y590=0,"",[1]对账明细接口!$Y590),"")</f>
      </c>
      <c r="AE590" s="7">
        <f>IFERROR(IF([1]对账明细接口!$AA590=0,"",[1]对账明细接口!$AA590),"")</f>
      </c>
      <c r="AF590" s="7">
        <f>IFERROR(IF([1]对账明细接口!$AB590=0,"",[1]对账明细接口!$AB590),"")</f>
      </c>
      <c r="AG590" s="7">
        <f>IFERROR(IF([1]对账明细接口!$AC590=0,"",[1]对账明细接口!$AC590),"")</f>
      </c>
      <c r="AH590" s="7" t="str">
        <f>IFERROR(IF([1]对账明细接口!$AD590=0,"",[1]对账明细接口!$AD590),"")</f>
        <v>成品出库</v>
      </c>
      <c r="AI590" s="7">
        <f>IFERROR(IF([1]对账明细接口!$AE590=0,"",[1]对账明细接口!$AE590),"")</f>
      </c>
      <c r="AJ590" s="7">
        <f>IFERROR(IF([1]对账明细接口!$AF590=0,"",[1]对账明细接口!$AF590),"")</f>
      </c>
    </row>
    <row r="591" ht="14.25" customHeight="1" s="127">
      <c r="A591" s="14" t="n">
        <v>591</v>
      </c>
      <c r="B591" s="211">
        <f>IFERROR(IF([1]对账明细接口!$B$591=0,"",[1]对账明细接口!$B$591),"")</f>
        <v>46273.0</v>
      </c>
      <c r="C591" s="16" t="str">
        <f>IFERROR(IF([1]对账明细接口!$C$591=0,"",[1]对账明细接口!$C$591),"")</f>
        <v>聂新平</v>
      </c>
      <c r="D591" s="16" t="str">
        <f>IFERROR(IF([1]对账明细接口!$D$591=0,"",[1]对账明细接口!$D$591),"")</f>
        <v>成品出库－成品出库</v>
      </c>
      <c r="E591" s="16" t="str">
        <f>IFERROR(IF([1]对账明细接口!$E$591=0,"",[1]对账明细接口!$E$591),"")</f>
        <v>NO:0001097</v>
      </c>
      <c r="F591" s="16" t="str">
        <f>IFERROR(IF([1]对账明细接口!$F$591=0,"",[1]对账明细接口!$F$591),"")</f>
        <v>苹果</v>
      </c>
      <c r="G591" s="16" t="str">
        <f>IFERROR(IF([1]对账明细接口!$G$591=0,"",[1]对账明细接口!$G$591),"")</f>
        <v>嘎啦100#</v>
      </c>
      <c r="H591" s="176">
        <f>IFERROR(IF([1]对账明细接口!$H$591=0,"",[1]对账明细接口!$H$591),"")</f>
        <v>90</v>
      </c>
      <c r="I591" s="16" t="str">
        <f>IFERROR(IF([1]对账明细接口!$I$591=0,"",[1]对账明细接口!$I$591),"")</f>
        <v>筐</v>
      </c>
      <c r="J591" s="177">
        <f>IFERROR(IF([1]对账明细接口!$J$591=0,"",[1]对账明细接口!$J$591),"")</f>
        <v>1800</v>
      </c>
      <c r="K591" s="177">
        <f>IFERROR(IF([1]对账明细接口!$K$591=0,"",[1]对账明细接口!$K$591),"")</f>
      </c>
      <c r="L591" s="16">
        <f>IFERROR(IF([1]对账明细接口!$L$591=0,"",[1]对账明细接口!$L$591),"")</f>
      </c>
      <c r="M591" s="16">
        <f>IFERROR(IF([1]对账明细接口!$M$591=0,"",[1]对账明细接口!$M$591),"")</f>
      </c>
      <c r="N591" s="19">
        <f>IF($C591="",0,1)</f>
        <v>1</v>
      </c>
      <c r="O591" s="19">
        <f>N(O590)+$N591</f>
        <v>588</v>
      </c>
      <c r="S591" s="20" t="str">
        <f>IFERROR(IF([1]对账明细接口!$N591=0,"",[1]对账明细接口!$N591),"")</f>
        <v>自备一次性筐</v>
      </c>
      <c r="T591" s="212">
        <f>IFERROR(IF([1]对账明细接口!$O591=0,"",[1]对账明细接口!$O591),"")</f>
        <v>90</v>
      </c>
      <c r="U591" s="212">
        <f>IFERROR(IF([1]对账明细接口!$P591=0,"",[1]对账明细接口!$P591),"")</f>
      </c>
      <c r="V591" s="212">
        <f>IFERROR(IF([1]对账明细接口!$Q591=0,"",[1]对账明细接口!$Q591),"")</f>
      </c>
      <c r="W591" s="20" t="str">
        <f>IFERROR(IF([1]对账明细接口!$R591=0,"",[1]对账明细接口!$R591),"")</f>
        <v>吉A*ZM856</v>
      </c>
      <c r="X591" s="20" t="str">
        <f>IFERROR(IF([1]对账明细接口!$S591=0,"",[1]对账明细接口!$S591),"")</f>
        <v>自备筐</v>
      </c>
      <c r="Y591" s="20" t="str">
        <f>IFERROR(IF([1]对账明细接口!$T591=0,"",[1]对账明细接口!$T591),"")</f>
        <v>聂新平</v>
      </c>
      <c r="Z591" s="213">
        <f>IFERROR(IF([1]对账明细接口!$U591=0,"",[1]对账明细接口!$U591),"")</f>
      </c>
      <c r="AA591" s="213">
        <f>IFERROR(IF([1]对账明细接口!$V591=0,"",[1]对账明细接口!$V591),"")</f>
      </c>
      <c r="AB591" s="20">
        <f>IFERROR(IF([1]对账明细接口!$W591=0,"",[1]对账明细接口!$W591),"")</f>
      </c>
      <c r="AC591" s="7" t="str">
        <f>IFERROR(IF([1]对账明细接口!$X591=0,"",[1]对账明细接口!$X591),"")</f>
        <v>聂新平</v>
      </c>
      <c r="AD591" s="7">
        <f>IFERROR(IF([1]对账明细接口!$Y591=0,"",[1]对账明细接口!$Y591),"")</f>
      </c>
      <c r="AE591" s="7">
        <f>IFERROR(IF([1]对账明细接口!$AA591=0,"",[1]对账明细接口!$AA591),"")</f>
      </c>
      <c r="AF591" s="7">
        <f>IFERROR(IF([1]对账明细接口!$AB591=0,"",[1]对账明细接口!$AB591),"")</f>
      </c>
      <c r="AG591" s="7">
        <f>IFERROR(IF([1]对账明细接口!$AC591=0,"",[1]对账明细接口!$AC591),"")</f>
      </c>
      <c r="AH591" s="7" t="str">
        <f>IFERROR(IF([1]对账明细接口!$AD591=0,"",[1]对账明细接口!$AD591),"")</f>
        <v>成品出库</v>
      </c>
      <c r="AI591" s="7">
        <f>IFERROR(IF([1]对账明细接口!$AE591=0,"",[1]对账明细接口!$AE591),"")</f>
      </c>
      <c r="AJ591" s="7">
        <f>IFERROR(IF([1]对账明细接口!$AF591=0,"",[1]对账明细接口!$AF591),"")</f>
      </c>
    </row>
    <row r="592" ht="14.25" customHeight="1" s="127">
      <c r="A592" s="14" t="n">
        <v>592</v>
      </c>
      <c r="B592" s="211">
        <f>IFERROR(IF([1]对账明细接口!$B$592=0,"",[1]对账明细接口!$B$592),"")</f>
        <v>46274.0</v>
      </c>
      <c r="C592" s="16" t="str">
        <f>IFERROR(IF([1]对账明细接口!$C$592=0,"",[1]对账明细接口!$C$592),"")</f>
        <v>王照雪</v>
      </c>
      <c r="D592" s="16" t="str">
        <f>IFERROR(IF([1]对账明细接口!$D$592=0,"",[1]对账明细接口!$D$592),"")</f>
        <v>成品出库－成品出库</v>
      </c>
      <c r="E592" s="16" t="str">
        <f>IFERROR(IF([1]对账明细接口!$E$592=0,"",[1]对账明细接口!$E$592),"")</f>
        <v>NO:0001104</v>
      </c>
      <c r="F592" s="16" t="str">
        <f>IFERROR(IF([1]对账明细接口!$F$592=0,"",[1]对账明细接口!$F$592),"")</f>
        <v>苹果</v>
      </c>
      <c r="G592" s="16" t="str">
        <f>IFERROR(IF([1]对账明细接口!$G$592=0,"",[1]对账明细接口!$G$592),"")</f>
        <v>华硕一级</v>
      </c>
      <c r="H592" s="176">
        <f>IFERROR(IF([1]对账明细接口!$H$592=0,"",[1]对账明细接口!$H$592),"")</f>
        <v>27</v>
      </c>
      <c r="I592" s="16" t="str">
        <f>IFERROR(IF([1]对账明细接口!$I$592=0,"",[1]对账明细接口!$I$592),"")</f>
        <v>箱</v>
      </c>
      <c r="J592" s="177">
        <f>IFERROR(IF([1]对账明细接口!$J$592=0,"",[1]对账明细接口!$J$592),"")</f>
        <v>137.7</v>
      </c>
      <c r="K592" s="177">
        <f>IFERROR(IF([1]对账明细接口!$K$592=0,"",[1]对账明细接口!$K$592),"")</f>
      </c>
      <c r="L592" s="16">
        <f>IFERROR(IF([1]对账明细接口!$L$592=0,"",[1]对账明细接口!$L$592),"")</f>
      </c>
      <c r="M592" s="16">
        <f>IFERROR(IF([1]对账明细接口!$M$592=0,"",[1]对账明细接口!$M$592),"")</f>
      </c>
      <c r="N592" s="19">
        <f>IF($C592="",0,1)</f>
        <v>1</v>
      </c>
      <c r="O592" s="19">
        <f>N(O591)+$N592</f>
        <v>589</v>
      </c>
      <c r="S592" s="20" t="str">
        <f>IFERROR(IF([1]对账明细接口!$N592=0,"",[1]对账明细接口!$N592),"")</f>
        <v>纸箱</v>
      </c>
      <c r="T592" s="212">
        <f>IFERROR(IF([1]对账明细接口!$O592=0,"",[1]对账明细接口!$O592),"")</f>
      </c>
      <c r="U592" s="212">
        <f>IFERROR(IF([1]对账明细接口!$P592=0,"",[1]对账明细接口!$P592),"")</f>
      </c>
      <c r="V592" s="212">
        <f>IFERROR(IF([1]对账明细接口!$Q592=0,"",[1]对账明细接口!$Q592),"")</f>
      </c>
      <c r="W592" s="20" t="str">
        <f>IFERROR(IF([1]对账明细接口!$R592=0,"",[1]对账明细接口!$R592),"")</f>
        <v>豫N*P269J</v>
      </c>
      <c r="X592" s="20" t="str">
        <f>IFERROR(IF([1]对账明细接口!$S592=0,"",[1]对账明细接口!$S592),"")</f>
        <v>公司筐</v>
      </c>
      <c r="Y592" s="20" t="str">
        <f>IFERROR(IF([1]对账明细接口!$T592=0,"",[1]对账明细接口!$T592),"")</f>
        <v>王照雪</v>
      </c>
      <c r="Z592" s="213">
        <f>IFERROR(IF([1]对账明细接口!$U592=0,"",[1]对账明细接口!$U592),"")</f>
      </c>
      <c r="AA592" s="213">
        <f>IFERROR(IF([1]对账明细接口!$V592=0,"",[1]对账明细接口!$V592),"")</f>
      </c>
      <c r="AB592" s="20">
        <f>IFERROR(IF([1]对账明细接口!$W592=0,"",[1]对账明细接口!$W592),"")</f>
      </c>
      <c r="AC592" s="7" t="str">
        <f>IFERROR(IF([1]对账明细接口!$X592=0,"",[1]对账明细接口!$X592),"")</f>
        <v>电商/主播</v>
      </c>
      <c r="AD592" s="7">
        <f>IFERROR(IF([1]对账明细接口!$Y592=0,"",[1]对账明细接口!$Y592),"")</f>
      </c>
      <c r="AE592" s="7">
        <f>IFERROR(IF([1]对账明细接口!$AA592=0,"",[1]对账明细接口!$AA592),"")</f>
      </c>
      <c r="AF592" s="7">
        <f>IFERROR(IF([1]对账明细接口!$AB592=0,"",[1]对账明细接口!$AB592),"")</f>
      </c>
      <c r="AG592" s="7">
        <f>IFERROR(IF([1]对账明细接口!$AC592=0,"",[1]对账明细接口!$AC592),"")</f>
      </c>
      <c r="AH592" s="7" t="str">
        <f>IFERROR(IF([1]对账明细接口!$AD592=0,"",[1]对账明细接口!$AD592),"")</f>
        <v>成品出库</v>
      </c>
      <c r="AI592" s="7">
        <f>IFERROR(IF([1]对账明细接口!$AE592=0,"",[1]对账明细接口!$AE592),"")</f>
      </c>
      <c r="AJ592" s="7">
        <f>IFERROR(IF([1]对账明细接口!$AF592=0,"",[1]对账明细接口!$AF592),"")</f>
      </c>
    </row>
    <row r="593" ht="14.25" customHeight="1" s="127">
      <c r="A593" s="14" t="n">
        <v>593</v>
      </c>
      <c r="B593" s="211">
        <f>IFERROR(IF([1]对账明细接口!$B$593=0,"",[1]对账明细接口!$B$593),"")</f>
        <v>46275.0</v>
      </c>
      <c r="C593" s="16" t="str">
        <f>IFERROR(IF([1]对账明细接口!$C$593=0,"",[1]对账明细接口!$C$593),"")</f>
        <v>王照雪</v>
      </c>
      <c r="D593" s="16" t="str">
        <f>IFERROR(IF([1]对账明细接口!$D$593=0,"",[1]对账明细接口!$D$593),"")</f>
        <v>成品出库－成品出库</v>
      </c>
      <c r="E593" s="16" t="str">
        <f>IFERROR(IF([1]对账明细接口!$E$593=0,"",[1]对账明细接口!$E$593),"")</f>
        <v>NO:0001109</v>
      </c>
      <c r="F593" s="16" t="str">
        <f>IFERROR(IF([1]对账明细接口!$F$593=0,"",[1]对账明细接口!$F$593),"")</f>
        <v>苹果</v>
      </c>
      <c r="G593" s="16" t="str">
        <f>IFERROR(IF([1]对账明细接口!$G$593=0,"",[1]对账明细接口!$G$593),"")</f>
        <v>华硕一级</v>
      </c>
      <c r="H593" s="176">
        <f>IFERROR(IF([1]对账明细接口!$H$593=0,"",[1]对账明细接口!$H$593),"")</f>
        <v>132</v>
      </c>
      <c r="I593" s="16" t="str">
        <f>IFERROR(IF([1]对账明细接口!$I$593=0,"",[1]对账明细接口!$I$593),"")</f>
        <v>箱</v>
      </c>
      <c r="J593" s="177">
        <f>IFERROR(IF([1]对账明细接口!$J$593=0,"",[1]对账明细接口!$J$593),"")</f>
        <v>673.2</v>
      </c>
      <c r="K593" s="177">
        <f>IFERROR(IF([1]对账明细接口!$K$593=0,"",[1]对账明细接口!$K$593),"")</f>
      </c>
      <c r="L593" s="16">
        <f>IFERROR(IF([1]对账明细接口!$L$593=0,"",[1]对账明细接口!$L$593),"")</f>
      </c>
      <c r="M593" s="16">
        <f>IFERROR(IF([1]对账明细接口!$M$593=0,"",[1]对账明细接口!$M$593),"")</f>
      </c>
      <c r="N593" s="19">
        <f>IF($C593="",0,1)</f>
        <v>1</v>
      </c>
      <c r="O593" s="19">
        <f>N(O592)+$N593</f>
        <v>590</v>
      </c>
      <c r="S593" s="20" t="str">
        <f>IFERROR(IF([1]对账明细接口!$N593=0,"",[1]对账明细接口!$N593),"")</f>
        <v>纸箱</v>
      </c>
      <c r="T593" s="212">
        <f>IFERROR(IF([1]对账明细接口!$O593=0,"",[1]对账明细接口!$O593),"")</f>
      </c>
      <c r="U593" s="212">
        <f>IFERROR(IF([1]对账明细接口!$P593=0,"",[1]对账明细接口!$P593),"")</f>
      </c>
      <c r="V593" s="212">
        <f>IFERROR(IF([1]对账明细接口!$Q593=0,"",[1]对账明细接口!$Q593),"")</f>
      </c>
      <c r="W593" s="20" t="str">
        <f>IFERROR(IF([1]对账明细接口!$R593=0,"",[1]对账明细接口!$R593),"")</f>
        <v>新N*2865J</v>
      </c>
      <c r="X593" s="20" t="str">
        <f>IFERROR(IF([1]对账明细接口!$S593=0,"",[1]对账明细接口!$S593),"")</f>
        <v>公司筐</v>
      </c>
      <c r="Y593" s="20" t="str">
        <f>IFERROR(IF([1]对账明细接口!$T593=0,"",[1]对账明细接口!$T593),"")</f>
        <v>王照雪</v>
      </c>
      <c r="Z593" s="213">
        <f>IFERROR(IF([1]对账明细接口!$U593=0,"",[1]对账明细接口!$U593),"")</f>
      </c>
      <c r="AA593" s="213">
        <f>IFERROR(IF([1]对账明细接口!$V593=0,"",[1]对账明细接口!$V593),"")</f>
      </c>
      <c r="AB593" s="20">
        <f>IFERROR(IF([1]对账明细接口!$W593=0,"",[1]对账明细接口!$W593),"")</f>
      </c>
      <c r="AC593" s="7" t="str">
        <f>IFERROR(IF([1]对账明细接口!$X593=0,"",[1]对账明细接口!$X593),"")</f>
        <v>电商/主播</v>
      </c>
      <c r="AD593" s="7">
        <f>IFERROR(IF([1]对账明细接口!$Y593=0,"",[1]对账明细接口!$Y593),"")</f>
      </c>
      <c r="AE593" s="7">
        <f>IFERROR(IF([1]对账明细接口!$AA593=0,"",[1]对账明细接口!$AA593),"")</f>
      </c>
      <c r="AF593" s="7">
        <f>IFERROR(IF([1]对账明细接口!$AB593=0,"",[1]对账明细接口!$AB593),"")</f>
      </c>
      <c r="AG593" s="7">
        <f>IFERROR(IF([1]对账明细接口!$AC593=0,"",[1]对账明细接口!$AC593),"")</f>
      </c>
      <c r="AH593" s="7" t="str">
        <f>IFERROR(IF([1]对账明细接口!$AD593=0,"",[1]对账明细接口!$AD593),"")</f>
        <v>成品出库</v>
      </c>
      <c r="AI593" s="7">
        <f>IFERROR(IF([1]对账明细接口!$AE593=0,"",[1]对账明细接口!$AE593),"")</f>
      </c>
      <c r="AJ593" s="7">
        <f>IFERROR(IF([1]对账明细接口!$AF593=0,"",[1]对账明细接口!$AF593),"")</f>
      </c>
    </row>
    <row r="594" ht="14.25" customHeight="1" s="127">
      <c r="A594" s="14" t="n">
        <v>594</v>
      </c>
      <c r="B594" s="211">
        <f>IFERROR(IF([1]对账明细接口!$B$594=0,"",[1]对账明细接口!$B$594),"")</f>
        <v>46275.0</v>
      </c>
      <c r="C594" s="16" t="str">
        <f>IFERROR(IF([1]对账明细接口!$C$594=0,"",[1]对账明细接口!$C$594),"")</f>
        <v>王照雪</v>
      </c>
      <c r="D594" s="16" t="str">
        <f>IFERROR(IF([1]对账明细接口!$D$594=0,"",[1]对账明细接口!$D$594),"")</f>
        <v>成品出库－成品出库</v>
      </c>
      <c r="E594" s="16" t="str">
        <f>IFERROR(IF([1]对账明细接口!$E$594=0,"",[1]对账明细接口!$E$594),"")</f>
        <v>NO:0001109</v>
      </c>
      <c r="F594" s="16" t="str">
        <f>IFERROR(IF([1]对账明细接口!$F$594=0,"",[1]对账明细接口!$F$594),"")</f>
        <v>苹果</v>
      </c>
      <c r="G594" s="16" t="str">
        <f>IFERROR(IF([1]对账明细接口!$G$594=0,"",[1]对账明细接口!$G$594),"")</f>
        <v>华硕一级</v>
      </c>
      <c r="H594" s="176">
        <f>IFERROR(IF([1]对账明细接口!$H$594=0,"",[1]对账明细接口!$H$594),"")</f>
        <v>17</v>
      </c>
      <c r="I594" s="16" t="str">
        <f>IFERROR(IF([1]对账明细接口!$I$594=0,"",[1]对账明细接口!$I$594),"")</f>
        <v>箱</v>
      </c>
      <c r="J594" s="177">
        <f>IFERROR(IF([1]对账明细接口!$J$594=0,"",[1]对账明细接口!$J$594),"")</f>
        <v>44.2</v>
      </c>
      <c r="K594" s="177">
        <f>IFERROR(IF([1]对账明细接口!$K$594=0,"",[1]对账明细接口!$K$594),"")</f>
      </c>
      <c r="L594" s="16">
        <f>IFERROR(IF([1]对账明细接口!$L$594=0,"",[1]对账明细接口!$L$594),"")</f>
      </c>
      <c r="M594" s="16">
        <f>IFERROR(IF([1]对账明细接口!$M$594=0,"",[1]对账明细接口!$M$594),"")</f>
      </c>
      <c r="N594" s="19">
        <f>IF($C594="",0,1)</f>
        <v>1</v>
      </c>
      <c r="O594" s="19">
        <f>N(O593)+$N594</f>
        <v>591</v>
      </c>
      <c r="S594" s="20" t="str">
        <f>IFERROR(IF([1]对账明细接口!$N594=0,"",[1]对账明细接口!$N594),"")</f>
        <v>纸箱</v>
      </c>
      <c r="T594" s="212">
        <f>IFERROR(IF([1]对账明细接口!$O594=0,"",[1]对账明细接口!$O594),"")</f>
      </c>
      <c r="U594" s="212">
        <f>IFERROR(IF([1]对账明细接口!$P594=0,"",[1]对账明细接口!$P594),"")</f>
      </c>
      <c r="V594" s="212">
        <f>IFERROR(IF([1]对账明细接口!$Q594=0,"",[1]对账明细接口!$Q594),"")</f>
      </c>
      <c r="W594" s="20" t="str">
        <f>IFERROR(IF([1]对账明细接口!$R594=0,"",[1]对账明细接口!$R594),"")</f>
        <v>新N*2865J</v>
      </c>
      <c r="X594" s="20" t="str">
        <f>IFERROR(IF([1]对账明细接口!$S594=0,"",[1]对账明细接口!$S594),"")</f>
        <v>公司筐</v>
      </c>
      <c r="Y594" s="20" t="str">
        <f>IFERROR(IF([1]对账明细接口!$T594=0,"",[1]对账明细接口!$T594),"")</f>
        <v>王照雪</v>
      </c>
      <c r="Z594" s="213">
        <f>IFERROR(IF([1]对账明细接口!$U594=0,"",[1]对账明细接口!$U594),"")</f>
      </c>
      <c r="AA594" s="213">
        <f>IFERROR(IF([1]对账明细接口!$V594=0,"",[1]对账明细接口!$V594),"")</f>
      </c>
      <c r="AB594" s="20">
        <f>IFERROR(IF([1]对账明细接口!$W594=0,"",[1]对账明细接口!$W594),"")</f>
      </c>
      <c r="AC594" s="7" t="str">
        <f>IFERROR(IF([1]对账明细接口!$X594=0,"",[1]对账明细接口!$X594),"")</f>
        <v>电商/主播</v>
      </c>
      <c r="AD594" s="7">
        <f>IFERROR(IF([1]对账明细接口!$Y594=0,"",[1]对账明细接口!$Y594),"")</f>
      </c>
      <c r="AE594" s="7">
        <f>IFERROR(IF([1]对账明细接口!$AA594=0,"",[1]对账明细接口!$AA594),"")</f>
      </c>
      <c r="AF594" s="7">
        <f>IFERROR(IF([1]对账明细接口!$AB594=0,"",[1]对账明细接口!$AB594),"")</f>
      </c>
      <c r="AG594" s="7">
        <f>IFERROR(IF([1]对账明细接口!$AC594=0,"",[1]对账明细接口!$AC594),"")</f>
      </c>
      <c r="AH594" s="7" t="str">
        <f>IFERROR(IF([1]对账明细接口!$AD594=0,"",[1]对账明细接口!$AD594),"")</f>
        <v>成品出库</v>
      </c>
      <c r="AI594" s="7">
        <f>IFERROR(IF([1]对账明细接口!$AE594=0,"",[1]对账明细接口!$AE594),"")</f>
      </c>
      <c r="AJ594" s="7">
        <f>IFERROR(IF([1]对账明细接口!$AF594=0,"",[1]对账明细接口!$AF594),"")</f>
      </c>
    </row>
    <row r="595" ht="14.25" customHeight="1" s="127">
      <c r="A595" s="14" t="n">
        <v>595</v>
      </c>
      <c r="B595" s="211">
        <f>IFERROR(IF([1]对账明细接口!$B$595=0,"",[1]对账明细接口!$B$595),"")</f>
        <v>46275.0</v>
      </c>
      <c r="C595" s="16" t="str">
        <f>IFERROR(IF([1]对账明细接口!$C$595=0,"",[1]对账明细接口!$C$595),"")</f>
        <v>聂新平</v>
      </c>
      <c r="D595" s="16" t="str">
        <f>IFERROR(IF([1]对账明细接口!$D$595=0,"",[1]对账明细接口!$D$595),"")</f>
        <v>成品出库－成品出库</v>
      </c>
      <c r="E595" s="16" t="str">
        <f>IFERROR(IF([1]对账明细接口!$E$595=0,"",[1]对账明细接口!$E$595),"")</f>
        <v>NO:0001112</v>
      </c>
      <c r="F595" s="16" t="str">
        <f>IFERROR(IF([1]对账明细接口!$F$595=0,"",[1]对账明细接口!$F$595),"")</f>
        <v>苹果</v>
      </c>
      <c r="G595" s="16" t="str">
        <f>IFERROR(IF([1]对账明细接口!$G$595=0,"",[1]对账明细接口!$G$595),"")</f>
        <v>嘎啦85#</v>
      </c>
      <c r="H595" s="176">
        <f>IFERROR(IF([1]对账明细接口!$H$595=0,"",[1]对账明细接口!$H$595),"")</f>
        <v>736</v>
      </c>
      <c r="I595" s="16" t="str">
        <f>IFERROR(IF([1]对账明细接口!$I$595=0,"",[1]对账明细接口!$I$595),"")</f>
        <v>筐</v>
      </c>
      <c r="J595" s="177">
        <f>IFERROR(IF([1]对账明细接口!$J$595=0,"",[1]对账明细接口!$J$595),"")</f>
        <v>14720</v>
      </c>
      <c r="K595" s="177">
        <f>IFERROR(IF([1]对账明细接口!$K$595=0,"",[1]对账明细接口!$K$595),"")</f>
      </c>
      <c r="L595" s="16">
        <f>IFERROR(IF([1]对账明细接口!$L$595=0,"",[1]对账明细接口!$L$595),"")</f>
      </c>
      <c r="M595" s="16">
        <f>IFERROR(IF([1]对账明细接口!$M$595=0,"",[1]对账明细接口!$M$595),"")</f>
      </c>
      <c r="N595" s="19">
        <f>IF($C595="",0,1)</f>
        <v>1</v>
      </c>
      <c r="O595" s="19">
        <f>N(O594)+$N595</f>
        <v>592</v>
      </c>
      <c r="S595" s="20" t="str">
        <f>IFERROR(IF([1]对账明细接口!$N595=0,"",[1]对账明细接口!$N595),"")</f>
        <v>自备一次性筐</v>
      </c>
      <c r="T595" s="212">
        <f>IFERROR(IF([1]对账明细接口!$O595=0,"",[1]对账明细接口!$O595),"")</f>
        <v>736</v>
      </c>
      <c r="U595" s="212">
        <f>IFERROR(IF([1]对账明细接口!$P595=0,"",[1]对账明细接口!$P595),"")</f>
      </c>
      <c r="V595" s="212">
        <f>IFERROR(IF([1]对账明细接口!$Q595=0,"",[1]对账明细接口!$Q595),"")</f>
      </c>
      <c r="W595" s="20" t="str">
        <f>IFERROR(IF([1]对账明细接口!$R595=0,"",[1]对账明细接口!$R595),"")</f>
        <v>新A*H0050</v>
      </c>
      <c r="X595" s="20" t="str">
        <f>IFERROR(IF([1]对账明细接口!$S595=0,"",[1]对账明细接口!$S595),"")</f>
        <v>自备筐</v>
      </c>
      <c r="Y595" s="20" t="str">
        <f>IFERROR(IF([1]对账明细接口!$T595=0,"",[1]对账明细接口!$T595),"")</f>
        <v>聂新平</v>
      </c>
      <c r="Z595" s="213">
        <f>IFERROR(IF([1]对账明细接口!$U595=0,"",[1]对账明细接口!$U595),"")</f>
      </c>
      <c r="AA595" s="213">
        <f>IFERROR(IF([1]对账明细接口!$V595=0,"",[1]对账明细接口!$V595),"")</f>
      </c>
      <c r="AB595" s="20">
        <f>IFERROR(IF([1]对账明细接口!$W595=0,"",[1]对账明细接口!$W595),"")</f>
      </c>
      <c r="AC595" s="7" t="str">
        <f>IFERROR(IF([1]对账明细接口!$X595=0,"",[1]对账明细接口!$X595),"")</f>
        <v>聂新平</v>
      </c>
      <c r="AD595" s="7">
        <f>IFERROR(IF([1]对账明细接口!$Y595=0,"",[1]对账明细接口!$Y595),"")</f>
      </c>
      <c r="AE595" s="7">
        <f>IFERROR(IF([1]对账明细接口!$AA595=0,"",[1]对账明细接口!$AA595),"")</f>
      </c>
      <c r="AF595" s="7">
        <f>IFERROR(IF([1]对账明细接口!$AB595=0,"",[1]对账明细接口!$AB595),"")</f>
      </c>
      <c r="AG595" s="7">
        <f>IFERROR(IF([1]对账明细接口!$AC595=0,"",[1]对账明细接口!$AC595),"")</f>
      </c>
      <c r="AH595" s="7" t="str">
        <f>IFERROR(IF([1]对账明细接口!$AD595=0,"",[1]对账明细接口!$AD595),"")</f>
        <v>成品出库</v>
      </c>
      <c r="AI595" s="7">
        <f>IFERROR(IF([1]对账明细接口!$AE595=0,"",[1]对账明细接口!$AE595),"")</f>
      </c>
      <c r="AJ595" s="7">
        <f>IFERROR(IF([1]对账明细接口!$AF595=0,"",[1]对账明细接口!$AF595),"")</f>
      </c>
    </row>
    <row r="596" ht="14.25" customHeight="1" s="127">
      <c r="A596" s="14" t="n">
        <v>596</v>
      </c>
      <c r="B596" s="211">
        <f>IFERROR(IF([1]对账明细接口!$B$596=0,"",[1]对账明细接口!$B$596),"")</f>
        <v>46275.0</v>
      </c>
      <c r="C596" s="16" t="str">
        <f>IFERROR(IF([1]对账明细接口!$C$596=0,"",[1]对账明细接口!$C$596),"")</f>
        <v>聂新平</v>
      </c>
      <c r="D596" s="16" t="str">
        <f>IFERROR(IF([1]对账明细接口!$D$596=0,"",[1]对账明细接口!$D$596),"")</f>
        <v>成品出库－成品出库</v>
      </c>
      <c r="E596" s="16" t="str">
        <f>IFERROR(IF([1]对账明细接口!$E$596=0,"",[1]对账明细接口!$E$596),"")</f>
        <v>NO:0001112</v>
      </c>
      <c r="F596" s="16" t="str">
        <f>IFERROR(IF([1]对账明细接口!$F$596=0,"",[1]对账明细接口!$F$596),"")</f>
        <v>苹果</v>
      </c>
      <c r="G596" s="16" t="str">
        <f>IFERROR(IF([1]对账明细接口!$G$596=0,"",[1]对账明细接口!$G$596),"")</f>
        <v>嘎啦100#</v>
      </c>
      <c r="H596" s="176">
        <f>IFERROR(IF([1]对账明细接口!$H$596=0,"",[1]对账明细接口!$H$596),"")</f>
        <v>434</v>
      </c>
      <c r="I596" s="16" t="str">
        <f>IFERROR(IF([1]对账明细接口!$I$596=0,"",[1]对账明细接口!$I$596),"")</f>
        <v>筐</v>
      </c>
      <c r="J596" s="177">
        <f>IFERROR(IF([1]对账明细接口!$J$596=0,"",[1]对账明细接口!$J$596),"")</f>
        <v>8680</v>
      </c>
      <c r="K596" s="177">
        <f>IFERROR(IF([1]对账明细接口!$K$596=0,"",[1]对账明细接口!$K$596),"")</f>
      </c>
      <c r="L596" s="16">
        <f>IFERROR(IF([1]对账明细接口!$L$596=0,"",[1]对账明细接口!$L$596),"")</f>
      </c>
      <c r="M596" s="16">
        <f>IFERROR(IF([1]对账明细接口!$M$596=0,"",[1]对账明细接口!$M$596),"")</f>
      </c>
      <c r="N596" s="19">
        <f>IF($C596="",0,1)</f>
        <v>1</v>
      </c>
      <c r="O596" s="19">
        <f>N(O595)+$N596</f>
        <v>593</v>
      </c>
      <c r="S596" s="20" t="str">
        <f>IFERROR(IF([1]对账明细接口!$N596=0,"",[1]对账明细接口!$N596),"")</f>
        <v>自备一次性筐</v>
      </c>
      <c r="T596" s="212">
        <f>IFERROR(IF([1]对账明细接口!$O596=0,"",[1]对账明细接口!$O596),"")</f>
        <v>434</v>
      </c>
      <c r="U596" s="212">
        <f>IFERROR(IF([1]对账明细接口!$P596=0,"",[1]对账明细接口!$P596),"")</f>
      </c>
      <c r="V596" s="212">
        <f>IFERROR(IF([1]对账明细接口!$Q596=0,"",[1]对账明细接口!$Q596),"")</f>
      </c>
      <c r="W596" s="20" t="str">
        <f>IFERROR(IF([1]对账明细接口!$R596=0,"",[1]对账明细接口!$R596),"")</f>
        <v>新A*H0050</v>
      </c>
      <c r="X596" s="20" t="str">
        <f>IFERROR(IF([1]对账明细接口!$S596=0,"",[1]对账明细接口!$S596),"")</f>
        <v>自备筐</v>
      </c>
      <c r="Y596" s="20" t="str">
        <f>IFERROR(IF([1]对账明细接口!$T596=0,"",[1]对账明细接口!$T596),"")</f>
        <v>聂新平</v>
      </c>
      <c r="Z596" s="213">
        <f>IFERROR(IF([1]对账明细接口!$U596=0,"",[1]对账明细接口!$U596),"")</f>
      </c>
      <c r="AA596" s="213">
        <f>IFERROR(IF([1]对账明细接口!$V596=0,"",[1]对账明细接口!$V596),"")</f>
      </c>
      <c r="AB596" s="20">
        <f>IFERROR(IF([1]对账明细接口!$W596=0,"",[1]对账明细接口!$W596),"")</f>
      </c>
      <c r="AC596" s="7" t="str">
        <f>IFERROR(IF([1]对账明细接口!$X596=0,"",[1]对账明细接口!$X596),"")</f>
        <v>聂新平</v>
      </c>
      <c r="AD596" s="7">
        <f>IFERROR(IF([1]对账明细接口!$Y596=0,"",[1]对账明细接口!$Y596),"")</f>
      </c>
      <c r="AE596" s="7">
        <f>IFERROR(IF([1]对账明细接口!$AA596=0,"",[1]对账明细接口!$AA596),"")</f>
      </c>
      <c r="AF596" s="7">
        <f>IFERROR(IF([1]对账明细接口!$AB596=0,"",[1]对账明细接口!$AB596),"")</f>
      </c>
      <c r="AG596" s="7">
        <f>IFERROR(IF([1]对账明细接口!$AC596=0,"",[1]对账明细接口!$AC596),"")</f>
      </c>
      <c r="AH596" s="7" t="str">
        <f>IFERROR(IF([1]对账明细接口!$AD596=0,"",[1]对账明细接口!$AD596),"")</f>
        <v>成品出库</v>
      </c>
      <c r="AI596" s="7">
        <f>IFERROR(IF([1]对账明细接口!$AE596=0,"",[1]对账明细接口!$AE596),"")</f>
      </c>
      <c r="AJ596" s="7">
        <f>IFERROR(IF([1]对账明细接口!$AF596=0,"",[1]对账明细接口!$AF596),"")</f>
      </c>
    </row>
    <row r="597" ht="14.25" customHeight="1" s="127">
      <c r="A597" s="14" t="n">
        <v>597</v>
      </c>
      <c r="B597" s="211">
        <f>IFERROR(IF([1]对账明细接口!$B$597=0,"",[1]对账明细接口!$B$597),"")</f>
        <v>46276.0</v>
      </c>
      <c r="C597" s="16" t="str">
        <f>IFERROR(IF([1]对账明细接口!$C$597=0,"",[1]对账明细接口!$C$597),"")</f>
        <v>王照雪</v>
      </c>
      <c r="D597" s="16" t="str">
        <f>IFERROR(IF([1]对账明细接口!$D$597=0,"",[1]对账明细接口!$D$597),"")</f>
        <v>成品出库－成品出库</v>
      </c>
      <c r="E597" s="16" t="str">
        <f>IFERROR(IF([1]对账明细接口!$E$597=0,"",[1]对账明细接口!$E$597),"")</f>
        <v>NO:0001119</v>
      </c>
      <c r="F597" s="16" t="str">
        <f>IFERROR(IF([1]对账明细接口!$F$597=0,"",[1]对账明细接口!$F$597),"")</f>
        <v>苹果</v>
      </c>
      <c r="G597" s="16" t="str">
        <f>IFERROR(IF([1]对账明细接口!$G$597=0,"",[1]对账明细接口!$G$597),"")</f>
        <v>华硕一级</v>
      </c>
      <c r="H597" s="176">
        <f>IFERROR(IF([1]对账明细接口!$H$597=0,"",[1]对账明细接口!$H$597),"")</f>
        <v>228</v>
      </c>
      <c r="I597" s="16" t="str">
        <f>IFERROR(IF([1]对账明细接口!$I$597=0,"",[1]对账明细接口!$I$597),"")</f>
        <v>箱</v>
      </c>
      <c r="J597" s="177">
        <f>IFERROR(IF([1]对账明细接口!$J$597=0,"",[1]对账明细接口!$J$597),"")</f>
        <v>1162.8</v>
      </c>
      <c r="K597" s="177">
        <f>IFERROR(IF([1]对账明细接口!$K$597=0,"",[1]对账明细接口!$K$597),"")</f>
      </c>
      <c r="L597" s="16">
        <f>IFERROR(IF([1]对账明细接口!$L$597=0,"",[1]对账明细接口!$L$597),"")</f>
      </c>
      <c r="M597" s="16">
        <f>IFERROR(IF([1]对账明细接口!$M$597=0,"",[1]对账明细接口!$M$597),"")</f>
      </c>
      <c r="N597" s="19">
        <f>IF($C597="",0,1)</f>
        <v>1</v>
      </c>
      <c r="O597" s="19">
        <f>N(O596)+$N597</f>
        <v>594</v>
      </c>
      <c r="S597" s="20" t="str">
        <f>IFERROR(IF([1]对账明细接口!$N597=0,"",[1]对账明细接口!$N597),"")</f>
        <v>纸箱</v>
      </c>
      <c r="T597" s="212">
        <f>IFERROR(IF([1]对账明细接口!$O597=0,"",[1]对账明细接口!$O597),"")</f>
      </c>
      <c r="U597" s="212">
        <f>IFERROR(IF([1]对账明细接口!$P597=0,"",[1]对账明细接口!$P597),"")</f>
      </c>
      <c r="V597" s="212">
        <f>IFERROR(IF([1]对账明细接口!$Q597=0,"",[1]对账明细接口!$Q597),"")</f>
      </c>
      <c r="W597" s="20" t="str">
        <f>IFERROR(IF([1]对账明细接口!$R597=0,"",[1]对账明细接口!$R597),"")</f>
        <v>豫N*P269J</v>
      </c>
      <c r="X597" s="20" t="str">
        <f>IFERROR(IF([1]对账明细接口!$S597=0,"",[1]对账明细接口!$S597),"")</f>
        <v>公司筐</v>
      </c>
      <c r="Y597" s="20" t="str">
        <f>IFERROR(IF([1]对账明细接口!$T597=0,"",[1]对账明细接口!$T597),"")</f>
        <v>王照雪</v>
      </c>
      <c r="Z597" s="213">
        <f>IFERROR(IF([1]对账明细接口!$U597=0,"",[1]对账明细接口!$U597),"")</f>
      </c>
      <c r="AA597" s="213">
        <f>IFERROR(IF([1]对账明细接口!$V597=0,"",[1]对账明细接口!$V597),"")</f>
      </c>
      <c r="AB597" s="20">
        <f>IFERROR(IF([1]对账明细接口!$W597=0,"",[1]对账明细接口!$W597),"")</f>
      </c>
      <c r="AC597" s="7" t="str">
        <f>IFERROR(IF([1]对账明细接口!$X597=0,"",[1]对账明细接口!$X597),"")</f>
        <v>电商/主播</v>
      </c>
      <c r="AD597" s="7">
        <f>IFERROR(IF([1]对账明细接口!$Y597=0,"",[1]对账明细接口!$Y597),"")</f>
      </c>
      <c r="AE597" s="7">
        <f>IFERROR(IF([1]对账明细接口!$AA597=0,"",[1]对账明细接口!$AA597),"")</f>
      </c>
      <c r="AF597" s="7">
        <f>IFERROR(IF([1]对账明细接口!$AB597=0,"",[1]对账明细接口!$AB597),"")</f>
      </c>
      <c r="AG597" s="7">
        <f>IFERROR(IF([1]对账明细接口!$AC597=0,"",[1]对账明细接口!$AC597),"")</f>
      </c>
      <c r="AH597" s="7" t="str">
        <f>IFERROR(IF([1]对账明细接口!$AD597=0,"",[1]对账明细接口!$AD597),"")</f>
        <v>成品出库</v>
      </c>
      <c r="AI597" s="7">
        <f>IFERROR(IF([1]对账明细接口!$AE597=0,"",[1]对账明细接口!$AE597),"")</f>
      </c>
      <c r="AJ597" s="7">
        <f>IFERROR(IF([1]对账明细接口!$AF597=0,"",[1]对账明细接口!$AF597),"")</f>
      </c>
    </row>
    <row r="598" ht="14.25" customHeight="1" s="127">
      <c r="A598" s="14" t="n">
        <v>598</v>
      </c>
      <c r="B598" s="211">
        <f>IFERROR(IF([1]对账明细接口!$B$598=0,"",[1]对账明细接口!$B$598),"")</f>
        <v>46276.0</v>
      </c>
      <c r="C598" s="16" t="str">
        <f>IFERROR(IF([1]对账明细接口!$C$598=0,"",[1]对账明细接口!$C$598),"")</f>
        <v>王照雪</v>
      </c>
      <c r="D598" s="16" t="str">
        <f>IFERROR(IF([1]对账明细接口!$D$598=0,"",[1]对账明细接口!$D$598),"")</f>
        <v>成品出库－成品出库</v>
      </c>
      <c r="E598" s="16" t="str">
        <f>IFERROR(IF([1]对账明细接口!$E$598=0,"",[1]对账明细接口!$E$598),"")</f>
        <v>NO:0001119</v>
      </c>
      <c r="F598" s="16" t="str">
        <f>IFERROR(IF([1]对账明细接口!$F$598=0,"",[1]对账明细接口!$F$598),"")</f>
        <v>苹果</v>
      </c>
      <c r="G598" s="16" t="str">
        <f>IFERROR(IF([1]对账明细接口!$G$598=0,"",[1]对账明细接口!$G$598),"")</f>
        <v>华硕一级</v>
      </c>
      <c r="H598" s="176">
        <f>IFERROR(IF([1]对账明细接口!$H$598=0,"",[1]对账明细接口!$H$598),"")</f>
        <v>6</v>
      </c>
      <c r="I598" s="16" t="str">
        <f>IFERROR(IF([1]对账明细接口!$I$598=0,"",[1]对账明细接口!$I$598),"")</f>
        <v>箱</v>
      </c>
      <c r="J598" s="177">
        <f>IFERROR(IF([1]对账明细接口!$J$598=0,"",[1]对账明细接口!$J$598),"")</f>
        <v>15.6</v>
      </c>
      <c r="K598" s="177">
        <f>IFERROR(IF([1]对账明细接口!$K$598=0,"",[1]对账明细接口!$K$598),"")</f>
      </c>
      <c r="L598" s="16">
        <f>IFERROR(IF([1]对账明细接口!$L$598=0,"",[1]对账明细接口!$L$598),"")</f>
      </c>
      <c r="M598" s="16">
        <f>IFERROR(IF([1]对账明细接口!$M$598=0,"",[1]对账明细接口!$M$598),"")</f>
      </c>
      <c r="N598" s="19">
        <f>IF($C598="",0,1)</f>
        <v>1</v>
      </c>
      <c r="O598" s="19">
        <f>N(O597)+$N598</f>
        <v>595</v>
      </c>
      <c r="S598" s="20" t="str">
        <f>IFERROR(IF([1]对账明细接口!$N598=0,"",[1]对账明细接口!$N598),"")</f>
        <v>纸箱</v>
      </c>
      <c r="T598" s="212">
        <f>IFERROR(IF([1]对账明细接口!$O598=0,"",[1]对账明细接口!$O598),"")</f>
      </c>
      <c r="U598" s="212">
        <f>IFERROR(IF([1]对账明细接口!$P598=0,"",[1]对账明细接口!$P598),"")</f>
      </c>
      <c r="V598" s="212">
        <f>IFERROR(IF([1]对账明细接口!$Q598=0,"",[1]对账明细接口!$Q598),"")</f>
      </c>
      <c r="W598" s="20" t="str">
        <f>IFERROR(IF([1]对账明细接口!$R598=0,"",[1]对账明细接口!$R598),"")</f>
        <v>豫N*P269J</v>
      </c>
      <c r="X598" s="20" t="str">
        <f>IFERROR(IF([1]对账明细接口!$S598=0,"",[1]对账明细接口!$S598),"")</f>
        <v>公司筐</v>
      </c>
      <c r="Y598" s="20" t="str">
        <f>IFERROR(IF([1]对账明细接口!$T598=0,"",[1]对账明细接口!$T598),"")</f>
        <v>王照雪</v>
      </c>
      <c r="Z598" s="213">
        <f>IFERROR(IF([1]对账明细接口!$U598=0,"",[1]对账明细接口!$U598),"")</f>
      </c>
      <c r="AA598" s="213">
        <f>IFERROR(IF([1]对账明细接口!$V598=0,"",[1]对账明细接口!$V598),"")</f>
      </c>
      <c r="AB598" s="20">
        <f>IFERROR(IF([1]对账明细接口!$W598=0,"",[1]对账明细接口!$W598),"")</f>
      </c>
      <c r="AC598" s="7" t="str">
        <f>IFERROR(IF([1]对账明细接口!$X598=0,"",[1]对账明细接口!$X598),"")</f>
        <v>电商/主播</v>
      </c>
      <c r="AD598" s="7">
        <f>IFERROR(IF([1]对账明细接口!$Y598=0,"",[1]对账明细接口!$Y598),"")</f>
      </c>
      <c r="AE598" s="7">
        <f>IFERROR(IF([1]对账明细接口!$AA598=0,"",[1]对账明细接口!$AA598),"")</f>
      </c>
      <c r="AF598" s="7">
        <f>IFERROR(IF([1]对账明细接口!$AB598=0,"",[1]对账明细接口!$AB598),"")</f>
      </c>
      <c r="AG598" s="7">
        <f>IFERROR(IF([1]对账明细接口!$AC598=0,"",[1]对账明细接口!$AC598),"")</f>
      </c>
      <c r="AH598" s="7" t="str">
        <f>IFERROR(IF([1]对账明细接口!$AD598=0,"",[1]对账明细接口!$AD598),"")</f>
        <v>成品出库</v>
      </c>
      <c r="AI598" s="7">
        <f>IFERROR(IF([1]对账明细接口!$AE598=0,"",[1]对账明细接口!$AE598),"")</f>
      </c>
      <c r="AJ598" s="7">
        <f>IFERROR(IF([1]对账明细接口!$AF598=0,"",[1]对账明细接口!$AF598),"")</f>
      </c>
    </row>
    <row r="599" ht="14.25" customHeight="1" s="127">
      <c r="A599" s="14" t="n">
        <v>599</v>
      </c>
      <c r="B599" s="211">
        <f>IFERROR(IF([1]对账明细接口!$B$599=0,"",[1]对账明细接口!$B$599),"")</f>
        <v>46277.0</v>
      </c>
      <c r="C599" s="16" t="str">
        <f>IFERROR(IF([1]对账明细接口!$C$599=0,"",[1]对账明细接口!$C$599),"")</f>
        <v>王照雪</v>
      </c>
      <c r="D599" s="16" t="str">
        <f>IFERROR(IF([1]对账明细接口!$D$599=0,"",[1]对账明细接口!$D$599),"")</f>
        <v>成品出库－成品出库</v>
      </c>
      <c r="E599" s="16" t="str">
        <f>IFERROR(IF([1]对账明细接口!$E$599=0,"",[1]对账明细接口!$E$599),"")</f>
        <v>NO:0001124</v>
      </c>
      <c r="F599" s="16" t="str">
        <f>IFERROR(IF([1]对账明细接口!$F$599=0,"",[1]对账明细接口!$F$599),"")</f>
        <v>苹果</v>
      </c>
      <c r="G599" s="16" t="str">
        <f>IFERROR(IF([1]对账明细接口!$G$599=0,"",[1]对账明细接口!$G$599),"")</f>
        <v>华硕一级</v>
      </c>
      <c r="H599" s="176">
        <f>IFERROR(IF([1]对账明细接口!$H$599=0,"",[1]对账明细接口!$H$599),"")</f>
        <v>220</v>
      </c>
      <c r="I599" s="16" t="str">
        <f>IFERROR(IF([1]对账明细接口!$I$599=0,"",[1]对账明细接口!$I$599),"")</f>
        <v>箱</v>
      </c>
      <c r="J599" s="177">
        <f>IFERROR(IF([1]对账明细接口!$J$599=0,"",[1]对账明细接口!$J$599),"")</f>
        <v>1122</v>
      </c>
      <c r="K599" s="177">
        <f>IFERROR(IF([1]对账明细接口!$K$599=0,"",[1]对账明细接口!$K$599),"")</f>
      </c>
      <c r="L599" s="16">
        <f>IFERROR(IF([1]对账明细接口!$L$599=0,"",[1]对账明细接口!$L$599),"")</f>
      </c>
      <c r="M599" s="16">
        <f>IFERROR(IF([1]对账明细接口!$M$599=0,"",[1]对账明细接口!$M$599),"")</f>
      </c>
      <c r="N599" s="19">
        <f>IF($C599="",0,1)</f>
        <v>1</v>
      </c>
      <c r="O599" s="19">
        <f>N(O598)+$N599</f>
        <v>596</v>
      </c>
      <c r="S599" s="20" t="str">
        <f>IFERROR(IF([1]对账明细接口!$N599=0,"",[1]对账明细接口!$N599),"")</f>
        <v>纸箱</v>
      </c>
      <c r="T599" s="212">
        <f>IFERROR(IF([1]对账明细接口!$O599=0,"",[1]对账明细接口!$O599),"")</f>
      </c>
      <c r="U599" s="212">
        <f>IFERROR(IF([1]对账明细接口!$P599=0,"",[1]对账明细接口!$P599),"")</f>
      </c>
      <c r="V599" s="212">
        <f>IFERROR(IF([1]对账明细接口!$Q599=0,"",[1]对账明细接口!$Q599),"")</f>
      </c>
      <c r="W599" s="20" t="str">
        <f>IFERROR(IF([1]对账明细接口!$R599=0,"",[1]对账明细接口!$R599),"")</f>
        <v>豫N*P269J</v>
      </c>
      <c r="X599" s="20" t="str">
        <f>IFERROR(IF([1]对账明细接口!$S599=0,"",[1]对账明细接口!$S599),"")</f>
        <v>公司筐</v>
      </c>
      <c r="Y599" s="20" t="str">
        <f>IFERROR(IF([1]对账明细接口!$T599=0,"",[1]对账明细接口!$T599),"")</f>
        <v>王照雪</v>
      </c>
      <c r="Z599" s="213">
        <f>IFERROR(IF([1]对账明细接口!$U599=0,"",[1]对账明细接口!$U599),"")</f>
      </c>
      <c r="AA599" s="213">
        <f>IFERROR(IF([1]对账明细接口!$V599=0,"",[1]对账明细接口!$V599),"")</f>
      </c>
      <c r="AB599" s="20">
        <f>IFERROR(IF([1]对账明细接口!$W599=0,"",[1]对账明细接口!$W599),"")</f>
      </c>
      <c r="AC599" s="7" t="str">
        <f>IFERROR(IF([1]对账明细接口!$X599=0,"",[1]对账明细接口!$X599),"")</f>
        <v>电商/主播</v>
      </c>
      <c r="AD599" s="7">
        <f>IFERROR(IF([1]对账明细接口!$Y599=0,"",[1]对账明细接口!$Y599),"")</f>
      </c>
      <c r="AE599" s="7">
        <f>IFERROR(IF([1]对账明细接口!$AA599=0,"",[1]对账明细接口!$AA599),"")</f>
      </c>
      <c r="AF599" s="7">
        <f>IFERROR(IF([1]对账明细接口!$AB599=0,"",[1]对账明细接口!$AB599),"")</f>
      </c>
      <c r="AG599" s="7">
        <f>IFERROR(IF([1]对账明细接口!$AC599=0,"",[1]对账明细接口!$AC599),"")</f>
      </c>
      <c r="AH599" s="7" t="str">
        <f>IFERROR(IF([1]对账明细接口!$AD599=0,"",[1]对账明细接口!$AD599),"")</f>
        <v>成品出库</v>
      </c>
      <c r="AI599" s="7">
        <f>IFERROR(IF([1]对账明细接口!$AE599=0,"",[1]对账明细接口!$AE599),"")</f>
      </c>
      <c r="AJ599" s="7">
        <f>IFERROR(IF([1]对账明细接口!$AF599=0,"",[1]对账明细接口!$AF599),"")</f>
      </c>
    </row>
    <row r="600" ht="14.25" customHeight="1" s="127">
      <c r="A600" s="14" t="n">
        <v>600</v>
      </c>
      <c r="B600" s="211">
        <f>IFERROR(IF([1]对账明细接口!$B$600=0,"",[1]对账明细接口!$B$600),"")</f>
        <v>46277.0</v>
      </c>
      <c r="C600" s="16" t="str">
        <f>IFERROR(IF([1]对账明细接口!$C$600=0,"",[1]对账明细接口!$C$600),"")</f>
        <v>王照雪</v>
      </c>
      <c r="D600" s="16" t="str">
        <f>IFERROR(IF([1]对账明细接口!$D$600=0,"",[1]对账明细接口!$D$600),"")</f>
        <v>成品出库－成品出库</v>
      </c>
      <c r="E600" s="16" t="str">
        <f>IFERROR(IF([1]对账明细接口!$E$600=0,"",[1]对账明细接口!$E$600),"")</f>
        <v>NO:0001124</v>
      </c>
      <c r="F600" s="16" t="str">
        <f>IFERROR(IF([1]对账明细接口!$F$600=0,"",[1]对账明细接口!$F$600),"")</f>
        <v>苹果</v>
      </c>
      <c r="G600" s="16" t="str">
        <f>IFERROR(IF([1]对账明细接口!$G$600=0,"",[1]对账明细接口!$G$600),"")</f>
        <v>华硕一级</v>
      </c>
      <c r="H600" s="176">
        <f>IFERROR(IF([1]对账明细接口!$H$600=0,"",[1]对账明细接口!$H$600),"")</f>
        <v>3</v>
      </c>
      <c r="I600" s="16" t="str">
        <f>IFERROR(IF([1]对账明细接口!$I$600=0,"",[1]对账明细接口!$I$600),"")</f>
        <v>箱</v>
      </c>
      <c r="J600" s="177">
        <f>IFERROR(IF([1]对账明细接口!$J$600=0,"",[1]对账明细接口!$J$600),"")</f>
        <v>7.8</v>
      </c>
      <c r="K600" s="177">
        <f>IFERROR(IF([1]对账明细接口!$K$600=0,"",[1]对账明细接口!$K$600),"")</f>
      </c>
      <c r="L600" s="16">
        <f>IFERROR(IF([1]对账明细接口!$L$600=0,"",[1]对账明细接口!$L$600),"")</f>
      </c>
      <c r="M600" s="16">
        <f>IFERROR(IF([1]对账明细接口!$M$600=0,"",[1]对账明细接口!$M$600),"")</f>
      </c>
      <c r="N600" s="19">
        <f>IF($C600="",0,1)</f>
        <v>1</v>
      </c>
      <c r="O600" s="19">
        <f>N(O599)+$N600</f>
        <v>597</v>
      </c>
      <c r="S600" s="20" t="str">
        <f>IFERROR(IF([1]对账明细接口!$N600=0,"",[1]对账明细接口!$N600),"")</f>
        <v>纸箱</v>
      </c>
      <c r="T600" s="212">
        <f>IFERROR(IF([1]对账明细接口!$O600=0,"",[1]对账明细接口!$O600),"")</f>
      </c>
      <c r="U600" s="212">
        <f>IFERROR(IF([1]对账明细接口!$P600=0,"",[1]对账明细接口!$P600),"")</f>
      </c>
      <c r="V600" s="212">
        <f>IFERROR(IF([1]对账明细接口!$Q600=0,"",[1]对账明细接口!$Q600),"")</f>
      </c>
      <c r="W600" s="20" t="str">
        <f>IFERROR(IF([1]对账明细接口!$R600=0,"",[1]对账明细接口!$R600),"")</f>
        <v>豫N*P269J</v>
      </c>
      <c r="X600" s="20" t="str">
        <f>IFERROR(IF([1]对账明细接口!$S600=0,"",[1]对账明细接口!$S600),"")</f>
        <v>公司筐</v>
      </c>
      <c r="Y600" s="20" t="str">
        <f>IFERROR(IF([1]对账明细接口!$T600=0,"",[1]对账明细接口!$T600),"")</f>
        <v>王照雪</v>
      </c>
      <c r="Z600" s="213">
        <f>IFERROR(IF([1]对账明细接口!$U600=0,"",[1]对账明细接口!$U600),"")</f>
      </c>
      <c r="AA600" s="213">
        <f>IFERROR(IF([1]对账明细接口!$V600=0,"",[1]对账明细接口!$V600),"")</f>
      </c>
      <c r="AB600" s="20">
        <f>IFERROR(IF([1]对账明细接口!$W600=0,"",[1]对账明细接口!$W600),"")</f>
      </c>
      <c r="AC600" s="7" t="str">
        <f>IFERROR(IF([1]对账明细接口!$X600=0,"",[1]对账明细接口!$X600),"")</f>
        <v>电商/主播</v>
      </c>
      <c r="AD600" s="7">
        <f>IFERROR(IF([1]对账明细接口!$Y600=0,"",[1]对账明细接口!$Y600),"")</f>
      </c>
      <c r="AE600" s="7">
        <f>IFERROR(IF([1]对账明细接口!$AA600=0,"",[1]对账明细接口!$AA600),"")</f>
      </c>
      <c r="AF600" s="7">
        <f>IFERROR(IF([1]对账明细接口!$AB600=0,"",[1]对账明细接口!$AB600),"")</f>
      </c>
      <c r="AG600" s="7">
        <f>IFERROR(IF([1]对账明细接口!$AC600=0,"",[1]对账明细接口!$AC600),"")</f>
      </c>
      <c r="AH600" s="7" t="str">
        <f>IFERROR(IF([1]对账明细接口!$AD600=0,"",[1]对账明细接口!$AD600),"")</f>
        <v>成品出库</v>
      </c>
      <c r="AI600" s="7">
        <f>IFERROR(IF([1]对账明细接口!$AE600=0,"",[1]对账明细接口!$AE600),"")</f>
      </c>
      <c r="AJ600" s="7">
        <f>IFERROR(IF([1]对账明细接口!$AF600=0,"",[1]对账明细接口!$AF600),"")</f>
      </c>
    </row>
    <row r="601" ht="14.25" customHeight="1" s="127">
      <c r="A601" s="14" t="n">
        <v>601</v>
      </c>
      <c r="B601" s="211">
        <f>IFERROR(IF([1]对账明细接口!$B$601=0,"",[1]对账明细接口!$B$601),"")</f>
        <v>46277.0</v>
      </c>
      <c r="C601" s="16" t="str">
        <f>IFERROR(IF([1]对账明细接口!$C$601=0,"",[1]对账明细接口!$C$601),"")</f>
        <v>王照雪</v>
      </c>
      <c r="D601" s="16" t="str">
        <f>IFERROR(IF([1]对账明细接口!$D$601=0,"",[1]对账明细接口!$D$601),"")</f>
        <v>成品出库－成品出库</v>
      </c>
      <c r="E601" s="16" t="str">
        <f>IFERROR(IF([1]对账明细接口!$E$601=0,"",[1]对账明细接口!$E$601),"")</f>
        <v>NO:0001124</v>
      </c>
      <c r="F601" s="16" t="str">
        <f>IFERROR(IF([1]对账明细接口!$F$601=0,"",[1]对账明细接口!$F$601),"")</f>
        <v>香梨</v>
      </c>
      <c r="G601" s="16" t="str">
        <f>IFERROR(IF([1]对账明细接口!$G$601=0,"",[1]对账明细接口!$G$601),"")</f>
        <v>香梨一级</v>
      </c>
      <c r="H601" s="176">
        <f>IFERROR(IF([1]对账明细接口!$H$601=0,"",[1]对账明细接口!$H$601),"")</f>
        <v>7</v>
      </c>
      <c r="I601" s="16" t="str">
        <f>IFERROR(IF([1]对账明细接口!$I$601=0,"",[1]对账明细接口!$I$601),"")</f>
        <v>箱</v>
      </c>
      <c r="J601" s="177">
        <f>IFERROR(IF([1]对账明细接口!$J$601=0,"",[1]对账明细接口!$J$601),"")</f>
        <v>35.7</v>
      </c>
      <c r="K601" s="177">
        <f>IFERROR(IF([1]对账明细接口!$K$601=0,"",[1]对账明细接口!$K$601),"")</f>
      </c>
      <c r="L601" s="16">
        <f>IFERROR(IF([1]对账明细接口!$L$601=0,"",[1]对账明细接口!$L$601),"")</f>
      </c>
      <c r="M601" s="16">
        <f>IFERROR(IF([1]对账明细接口!$M$601=0,"",[1]对账明细接口!$M$601),"")</f>
      </c>
      <c r="N601" s="19">
        <f>IF($C601="",0,1)</f>
        <v>1</v>
      </c>
      <c r="O601" s="19">
        <f>N(O600)+$N601</f>
        <v>598</v>
      </c>
      <c r="S601" s="20" t="str">
        <f>IFERROR(IF([1]对账明细接口!$N601=0,"",[1]对账明细接口!$N601),"")</f>
        <v>纸箱</v>
      </c>
      <c r="T601" s="212">
        <f>IFERROR(IF([1]对账明细接口!$O601=0,"",[1]对账明细接口!$O601),"")</f>
      </c>
      <c r="U601" s="212">
        <f>IFERROR(IF([1]对账明细接口!$P601=0,"",[1]对账明细接口!$P601),"")</f>
      </c>
      <c r="V601" s="212">
        <f>IFERROR(IF([1]对账明细接口!$Q601=0,"",[1]对账明细接口!$Q601),"")</f>
      </c>
      <c r="W601" s="20" t="str">
        <f>IFERROR(IF([1]对账明细接口!$R601=0,"",[1]对账明细接口!$R601),"")</f>
        <v>豫N*P269J</v>
      </c>
      <c r="X601" s="20" t="str">
        <f>IFERROR(IF([1]对账明细接口!$S601=0,"",[1]对账明细接口!$S601),"")</f>
        <v>公司筐</v>
      </c>
      <c r="Y601" s="20" t="str">
        <f>IFERROR(IF([1]对账明细接口!$T601=0,"",[1]对账明细接口!$T601),"")</f>
        <v>王照雪</v>
      </c>
      <c r="Z601" s="213">
        <f>IFERROR(IF([1]对账明细接口!$U601=0,"",[1]对账明细接口!$U601),"")</f>
      </c>
      <c r="AA601" s="213">
        <f>IFERROR(IF([1]对账明细接口!$V601=0,"",[1]对账明细接口!$V601),"")</f>
      </c>
      <c r="AB601" s="20">
        <f>IFERROR(IF([1]对账明细接口!$W601=0,"",[1]对账明细接口!$W601),"")</f>
      </c>
      <c r="AC601" s="7" t="str">
        <f>IFERROR(IF([1]对账明细接口!$X601=0,"",[1]对账明细接口!$X601),"")</f>
        <v>电商/主播</v>
      </c>
      <c r="AD601" s="7">
        <f>IFERROR(IF([1]对账明细接口!$Y601=0,"",[1]对账明细接口!$Y601),"")</f>
      </c>
      <c r="AE601" s="7">
        <f>IFERROR(IF([1]对账明细接口!$AA601=0,"",[1]对账明细接口!$AA601),"")</f>
      </c>
      <c r="AF601" s="7">
        <f>IFERROR(IF([1]对账明细接口!$AB601=0,"",[1]对账明细接口!$AB601),"")</f>
      </c>
      <c r="AG601" s="7">
        <f>IFERROR(IF([1]对账明细接口!$AC601=0,"",[1]对账明细接口!$AC601),"")</f>
      </c>
      <c r="AH601" s="7" t="str">
        <f>IFERROR(IF([1]对账明细接口!$AD601=0,"",[1]对账明细接口!$AD601),"")</f>
        <v>成品出库</v>
      </c>
      <c r="AI601" s="7">
        <f>IFERROR(IF([1]对账明细接口!$AE601=0,"",[1]对账明细接口!$AE601),"")</f>
      </c>
      <c r="AJ601" s="7">
        <f>IFERROR(IF([1]对账明细接口!$AF601=0,"",[1]对账明细接口!$AF601),"")</f>
      </c>
    </row>
    <row r="602" ht="14.25" customHeight="1" s="127">
      <c r="A602" s="14" t="n">
        <v>602</v>
      </c>
      <c r="B602" s="211">
        <f>IFERROR(IF([1]对账明细接口!$B$602=0,"",[1]对账明细接口!$B$602),"")</f>
        <v>46278.0</v>
      </c>
      <c r="C602" s="16" t="str">
        <f>IFERROR(IF([1]对账明细接口!$C$602=0,"",[1]对账明细接口!$C$602),"")</f>
        <v>王照雪</v>
      </c>
      <c r="D602" s="16" t="str">
        <f>IFERROR(IF([1]对账明细接口!$D$602=0,"",[1]对账明细接口!$D$602),"")</f>
        <v>成品出库－成品出库</v>
      </c>
      <c r="E602" s="16" t="str">
        <f>IFERROR(IF([1]对账明细接口!$E$602=0,"",[1]对账明细接口!$E$602),"")</f>
        <v>NO:0001134</v>
      </c>
      <c r="F602" s="16" t="str">
        <f>IFERROR(IF([1]对账明细接口!$F$602=0,"",[1]对账明细接口!$F$602),"")</f>
        <v>苹果</v>
      </c>
      <c r="G602" s="16" t="str">
        <f>IFERROR(IF([1]对账明细接口!$G$602=0,"",[1]对账明细接口!$G$602),"")</f>
        <v>苹果扎伤</v>
      </c>
      <c r="H602" s="176">
        <f>IFERROR(IF([1]对账明细接口!$H$602=0,"",[1]对账明细接口!$H$602),"")</f>
        <v>60</v>
      </c>
      <c r="I602" s="16" t="str">
        <f>IFERROR(IF([1]对账明细接口!$I$602=0,"",[1]对账明细接口!$I$602),"")</f>
        <v>箱</v>
      </c>
      <c r="J602" s="177">
        <f>IFERROR(IF([1]对账明细接口!$J$602=0,"",[1]对账明细接口!$J$602),"")</f>
        <v>979.8</v>
      </c>
      <c r="K602" s="177">
        <f>IFERROR(IF([1]对账明细接口!$K$602=0,"",[1]对账明细接口!$K$602),"")</f>
      </c>
      <c r="L602" s="16">
        <f>IFERROR(IF([1]对账明细接口!$L$602=0,"",[1]对账明细接口!$L$602),"")</f>
      </c>
      <c r="M602" s="16">
        <f>IFERROR(IF([1]对账明细接口!$M$602=0,"",[1]对账明细接口!$M$602),"")</f>
      </c>
      <c r="N602" s="19">
        <f>IF($C602="",0,1)</f>
        <v>1</v>
      </c>
      <c r="O602" s="19">
        <f>N(O601)+$N602</f>
        <v>599</v>
      </c>
      <c r="S602" s="20" t="str">
        <f>IFERROR(IF([1]对账明细接口!$N602=0,"",[1]对账明细接口!$N602),"")</f>
        <v>纸箱</v>
      </c>
      <c r="T602" s="212">
        <f>IFERROR(IF([1]对账明细接口!$O602=0,"",[1]对账明细接口!$O602),"")</f>
      </c>
      <c r="U602" s="212">
        <f>IFERROR(IF([1]对账明细接口!$P602=0,"",[1]对账明细接口!$P602),"")</f>
      </c>
      <c r="V602" s="212">
        <f>IFERROR(IF([1]对账明细接口!$Q602=0,"",[1]对账明细接口!$Q602),"")</f>
      </c>
      <c r="W602" s="20" t="str">
        <f>IFERROR(IF([1]对账明细接口!$R602=0,"",[1]对账明细接口!$R602),"")</f>
        <v>新R*45654</v>
      </c>
      <c r="X602" s="20" t="str">
        <f>IFERROR(IF([1]对账明细接口!$S602=0,"",[1]对账明细接口!$S602),"")</f>
        <v>公司筐</v>
      </c>
      <c r="Y602" s="20" t="str">
        <f>IFERROR(IF([1]对账明细接口!$T602=0,"",[1]对账明细接口!$T602),"")</f>
        <v>王照雪</v>
      </c>
      <c r="Z602" s="213">
        <f>IFERROR(IF([1]对账明细接口!$U602=0,"",[1]对账明细接口!$U602),"")</f>
      </c>
      <c r="AA602" s="213">
        <f>IFERROR(IF([1]对账明细接口!$V602=0,"",[1]对账明细接口!$V602),"")</f>
      </c>
      <c r="AB602" s="20">
        <f>IFERROR(IF([1]对账明细接口!$W602=0,"",[1]对账明细接口!$W602),"")</f>
      </c>
      <c r="AC602" s="7" t="str">
        <f>IFERROR(IF([1]对账明细接口!$X602=0,"",[1]对账明细接口!$X602),"")</f>
        <v>王照雪</v>
      </c>
      <c r="AD602" s="7">
        <f>IFERROR(IF([1]对账明细接口!$Y602=0,"",[1]对账明细接口!$Y602),"")</f>
      </c>
      <c r="AE602" s="7">
        <f>IFERROR(IF([1]对账明细接口!$AA602=0,"",[1]对账明细接口!$AA602),"")</f>
      </c>
      <c r="AF602" s="7">
        <f>IFERROR(IF([1]对账明细接口!$AB602=0,"",[1]对账明细接口!$AB602),"")</f>
      </c>
      <c r="AG602" s="7">
        <f>IFERROR(IF([1]对账明细接口!$AC602=0,"",[1]对账明细接口!$AC602),"")</f>
      </c>
      <c r="AH602" s="7" t="str">
        <f>IFERROR(IF([1]对账明细接口!$AD602=0,"",[1]对账明细接口!$AD602),"")</f>
        <v>成品出库</v>
      </c>
      <c r="AI602" s="7">
        <f>IFERROR(IF([1]对账明细接口!$AE602=0,"",[1]对账明细接口!$AE602),"")</f>
      </c>
      <c r="AJ602" s="7">
        <f>IFERROR(IF([1]对账明细接口!$AF602=0,"",[1]对账明细接口!$AF602),"")</f>
      </c>
    </row>
    <row r="603" ht="14.25" customHeight="1" s="127">
      <c r="A603" s="14" t="n">
        <v>603</v>
      </c>
      <c r="B603" s="211">
        <f>IFERROR(IF([1]对账明细接口!$B$603=0,"",[1]对账明细接口!$B$603),"")</f>
        <v>46278.0</v>
      </c>
      <c r="C603" s="16" t="str">
        <f>IFERROR(IF([1]对账明细接口!$C$603=0,"",[1]对账明细接口!$C$603),"")</f>
        <v>王照雪</v>
      </c>
      <c r="D603" s="16" t="str">
        <f>IFERROR(IF([1]对账明细接口!$D$603=0,"",[1]对账明细接口!$D$603),"")</f>
        <v>成品出库－成品出库</v>
      </c>
      <c r="E603" s="16" t="str">
        <f>IFERROR(IF([1]对账明细接口!$E$603=0,"",[1]对账明细接口!$E$603),"")</f>
        <v>NO:0001136</v>
      </c>
      <c r="F603" s="16" t="str">
        <f>IFERROR(IF([1]对账明细接口!$F$603=0,"",[1]对账明细接口!$F$603),"")</f>
        <v>苹果</v>
      </c>
      <c r="G603" s="16" t="str">
        <f>IFERROR(IF([1]对账明细接口!$G$603=0,"",[1]对账明细接口!$G$603),"")</f>
        <v>华硕一级</v>
      </c>
      <c r="H603" s="176">
        <f>IFERROR(IF([1]对账明细接口!$H$603=0,"",[1]对账明细接口!$H$603),"")</f>
        <v>151</v>
      </c>
      <c r="I603" s="16" t="str">
        <f>IFERROR(IF([1]对账明细接口!$I$603=0,"",[1]对账明细接口!$I$603),"")</f>
        <v>箱</v>
      </c>
      <c r="J603" s="177">
        <f>IFERROR(IF([1]对账明细接口!$J$603=0,"",[1]对账明细接口!$J$603),"")</f>
        <v>770.1</v>
      </c>
      <c r="K603" s="177">
        <f>IFERROR(IF([1]对账明细接口!$K$603=0,"",[1]对账明细接口!$K$603),"")</f>
      </c>
      <c r="L603" s="16">
        <f>IFERROR(IF([1]对账明细接口!$L$603=0,"",[1]对账明细接口!$L$603),"")</f>
      </c>
      <c r="M603" s="16">
        <f>IFERROR(IF([1]对账明细接口!$M$603=0,"",[1]对账明细接口!$M$603),"")</f>
      </c>
      <c r="N603" s="19">
        <f>IF($C603="",0,1)</f>
        <v>1</v>
      </c>
      <c r="O603" s="19">
        <f>N(O602)+$N603</f>
        <v>600</v>
      </c>
      <c r="S603" s="20" t="str">
        <f>IFERROR(IF([1]对账明细接口!$N603=0,"",[1]对账明细接口!$N603),"")</f>
        <v>纸箱</v>
      </c>
      <c r="T603" s="212">
        <f>IFERROR(IF([1]对账明细接口!$O603=0,"",[1]对账明细接口!$O603),"")</f>
      </c>
      <c r="U603" s="212">
        <f>IFERROR(IF([1]对账明细接口!$P603=0,"",[1]对账明细接口!$P603),"")</f>
      </c>
      <c r="V603" s="212">
        <f>IFERROR(IF([1]对账明细接口!$Q603=0,"",[1]对账明细接口!$Q603),"")</f>
      </c>
      <c r="W603" s="20" t="str">
        <f>IFERROR(IF([1]对账明细接口!$R603=0,"",[1]对账明细接口!$R603),"")</f>
        <v>豫N*P269J</v>
      </c>
      <c r="X603" s="20" t="str">
        <f>IFERROR(IF([1]对账明细接口!$S603=0,"",[1]对账明细接口!$S603),"")</f>
        <v>公司筐</v>
      </c>
      <c r="Y603" s="20" t="str">
        <f>IFERROR(IF([1]对账明细接口!$T603=0,"",[1]对账明细接口!$T603),"")</f>
        <v>王照雪</v>
      </c>
      <c r="Z603" s="213">
        <f>IFERROR(IF([1]对账明细接口!$U603=0,"",[1]对账明细接口!$U603),"")</f>
      </c>
      <c r="AA603" s="213">
        <f>IFERROR(IF([1]对账明细接口!$V603=0,"",[1]对账明细接口!$V603),"")</f>
      </c>
      <c r="AB603" s="20">
        <f>IFERROR(IF([1]对账明细接口!$W603=0,"",[1]对账明细接口!$W603),"")</f>
      </c>
      <c r="AC603" s="7" t="str">
        <f>IFERROR(IF([1]对账明细接口!$X603=0,"",[1]对账明细接口!$X603),"")</f>
        <v>电商/主播</v>
      </c>
      <c r="AD603" s="7">
        <f>IFERROR(IF([1]对账明细接口!$Y603=0,"",[1]对账明细接口!$Y603),"")</f>
      </c>
      <c r="AE603" s="7">
        <f>IFERROR(IF([1]对账明细接口!$AA603=0,"",[1]对账明细接口!$AA603),"")</f>
      </c>
      <c r="AF603" s="7">
        <f>IFERROR(IF([1]对账明细接口!$AB603=0,"",[1]对账明细接口!$AB603),"")</f>
      </c>
      <c r="AG603" s="7">
        <f>IFERROR(IF([1]对账明细接口!$AC603=0,"",[1]对账明细接口!$AC603),"")</f>
      </c>
      <c r="AH603" s="7" t="str">
        <f>IFERROR(IF([1]对账明细接口!$AD603=0,"",[1]对账明细接口!$AD603),"")</f>
        <v>成品出库</v>
      </c>
      <c r="AI603" s="7">
        <f>IFERROR(IF([1]对账明细接口!$AE603=0,"",[1]对账明细接口!$AE603),"")</f>
      </c>
      <c r="AJ603" s="7">
        <f>IFERROR(IF([1]对账明细接口!$AF603=0,"",[1]对账明细接口!$AF603),"")</f>
      </c>
    </row>
    <row r="604" ht="14.25" customHeight="1" s="127">
      <c r="A604" s="14" t="n">
        <v>604</v>
      </c>
      <c r="B604" s="211">
        <f>IFERROR(IF([1]对账明细接口!$B$604=0,"",[1]对账明细接口!$B$604),"")</f>
        <v>46278.0</v>
      </c>
      <c r="C604" s="16" t="str">
        <f>IFERROR(IF([1]对账明细接口!$C$604=0,"",[1]对账明细接口!$C$604),"")</f>
        <v>王照雪</v>
      </c>
      <c r="D604" s="16" t="str">
        <f>IFERROR(IF([1]对账明细接口!$D$604=0,"",[1]对账明细接口!$D$604),"")</f>
        <v>成品出库－成品出库</v>
      </c>
      <c r="E604" s="16" t="str">
        <f>IFERROR(IF([1]对账明细接口!$E$604=0,"",[1]对账明细接口!$E$604),"")</f>
        <v>NO:0001136</v>
      </c>
      <c r="F604" s="16" t="str">
        <f>IFERROR(IF([1]对账明细接口!$F$604=0,"",[1]对账明细接口!$F$604),"")</f>
        <v>苹果</v>
      </c>
      <c r="G604" s="16" t="str">
        <f>IFERROR(IF([1]对账明细接口!$G$604=0,"",[1]对账明细接口!$G$604),"")</f>
        <v>华硕一级</v>
      </c>
      <c r="H604" s="176">
        <f>IFERROR(IF([1]对账明细接口!$H$604=0,"",[1]对账明细接口!$H$604),"")</f>
        <v>11</v>
      </c>
      <c r="I604" s="16" t="str">
        <f>IFERROR(IF([1]对账明细接口!$I$604=0,"",[1]对账明细接口!$I$604),"")</f>
        <v>箱</v>
      </c>
      <c r="J604" s="177">
        <f>IFERROR(IF([1]对账明细接口!$J$604=0,"",[1]对账明细接口!$J$604),"")</f>
        <v>28.6</v>
      </c>
      <c r="K604" s="177">
        <f>IFERROR(IF([1]对账明细接口!$K$604=0,"",[1]对账明细接口!$K$604),"")</f>
      </c>
      <c r="L604" s="16">
        <f>IFERROR(IF([1]对账明细接口!$L$604=0,"",[1]对账明细接口!$L$604),"")</f>
      </c>
      <c r="M604" s="16">
        <f>IFERROR(IF([1]对账明细接口!$M$604=0,"",[1]对账明细接口!$M$604),"")</f>
      </c>
      <c r="N604" s="19">
        <f>IF($C604="",0,1)</f>
        <v>1</v>
      </c>
      <c r="O604" s="19">
        <f>N(O603)+$N604</f>
        <v>601</v>
      </c>
      <c r="S604" s="20" t="str">
        <f>IFERROR(IF([1]对账明细接口!$N604=0,"",[1]对账明细接口!$N604),"")</f>
        <v>纸箱</v>
      </c>
      <c r="T604" s="212">
        <f>IFERROR(IF([1]对账明细接口!$O604=0,"",[1]对账明细接口!$O604),"")</f>
      </c>
      <c r="U604" s="212">
        <f>IFERROR(IF([1]对账明细接口!$P604=0,"",[1]对账明细接口!$P604),"")</f>
      </c>
      <c r="V604" s="212">
        <f>IFERROR(IF([1]对账明细接口!$Q604=0,"",[1]对账明细接口!$Q604),"")</f>
      </c>
      <c r="W604" s="20" t="str">
        <f>IFERROR(IF([1]对账明细接口!$R604=0,"",[1]对账明细接口!$R604),"")</f>
        <v>豫N*P269J</v>
      </c>
      <c r="X604" s="20" t="str">
        <f>IFERROR(IF([1]对账明细接口!$S604=0,"",[1]对账明细接口!$S604),"")</f>
        <v>公司筐</v>
      </c>
      <c r="Y604" s="20" t="str">
        <f>IFERROR(IF([1]对账明细接口!$T604=0,"",[1]对账明细接口!$T604),"")</f>
        <v>王照雪</v>
      </c>
      <c r="Z604" s="213">
        <f>IFERROR(IF([1]对账明细接口!$U604=0,"",[1]对账明细接口!$U604),"")</f>
      </c>
      <c r="AA604" s="213">
        <f>IFERROR(IF([1]对账明细接口!$V604=0,"",[1]对账明细接口!$V604),"")</f>
      </c>
      <c r="AB604" s="20">
        <f>IFERROR(IF([1]对账明细接口!$W604=0,"",[1]对账明细接口!$W604),"")</f>
      </c>
      <c r="AC604" s="7" t="str">
        <f>IFERROR(IF([1]对账明细接口!$X604=0,"",[1]对账明细接口!$X604),"")</f>
        <v>电商/主播</v>
      </c>
      <c r="AD604" s="7">
        <f>IFERROR(IF([1]对账明细接口!$Y604=0,"",[1]对账明细接口!$Y604),"")</f>
      </c>
      <c r="AE604" s="7">
        <f>IFERROR(IF([1]对账明细接口!$AA604=0,"",[1]对账明细接口!$AA604),"")</f>
      </c>
      <c r="AF604" s="7">
        <f>IFERROR(IF([1]对账明细接口!$AB604=0,"",[1]对账明细接口!$AB604),"")</f>
      </c>
      <c r="AG604" s="7">
        <f>IFERROR(IF([1]对账明细接口!$AC604=0,"",[1]对账明细接口!$AC604),"")</f>
      </c>
      <c r="AH604" s="7" t="str">
        <f>IFERROR(IF([1]对账明细接口!$AD604=0,"",[1]对账明细接口!$AD604),"")</f>
        <v>成品出库</v>
      </c>
      <c r="AI604" s="7">
        <f>IFERROR(IF([1]对账明细接口!$AE604=0,"",[1]对账明细接口!$AE604),"")</f>
      </c>
      <c r="AJ604" s="7">
        <f>IFERROR(IF([1]对账明细接口!$AF604=0,"",[1]对账明细接口!$AF604),"")</f>
      </c>
    </row>
    <row r="605" ht="14.25" customHeight="1" s="127">
      <c r="A605" s="14" t="n">
        <v>605</v>
      </c>
      <c r="B605" s="211">
        <f>IFERROR(IF([1]对账明细接口!$B$605=0,"",[1]对账明细接口!$B$605),"")</f>
        <v>46278.0</v>
      </c>
      <c r="C605" s="16" t="str">
        <f>IFERROR(IF([1]对账明细接口!$C$605=0,"",[1]对账明细接口!$C$605),"")</f>
        <v>王照雪</v>
      </c>
      <c r="D605" s="16" t="str">
        <f>IFERROR(IF([1]对账明细接口!$D$605=0,"",[1]对账明细接口!$D$605),"")</f>
        <v>成品出库－成品出库</v>
      </c>
      <c r="E605" s="16" t="str">
        <f>IFERROR(IF([1]对账明细接口!$E$605=0,"",[1]对账明细接口!$E$605),"")</f>
        <v>NO:0001136</v>
      </c>
      <c r="F605" s="16" t="str">
        <f>IFERROR(IF([1]对账明细接口!$F$605=0,"",[1]对账明细接口!$F$605),"")</f>
        <v>香梨</v>
      </c>
      <c r="G605" s="16" t="str">
        <f>IFERROR(IF([1]对账明细接口!$G$605=0,"",[1]对账明细接口!$G$605),"")</f>
        <v>香梨一级</v>
      </c>
      <c r="H605" s="176">
        <f>IFERROR(IF([1]对账明细接口!$H$605=0,"",[1]对账明细接口!$H$605),"")</f>
        <v>3</v>
      </c>
      <c r="I605" s="16" t="str">
        <f>IFERROR(IF([1]对账明细接口!$I$605=0,"",[1]对账明细接口!$I$605),"")</f>
        <v>箱</v>
      </c>
      <c r="J605" s="177">
        <f>IFERROR(IF([1]对账明细接口!$J$605=0,"",[1]对账明细接口!$J$605),"")</f>
        <v>15.3</v>
      </c>
      <c r="K605" s="177">
        <f>IFERROR(IF([1]对账明细接口!$K$605=0,"",[1]对账明细接口!$K$605),"")</f>
      </c>
      <c r="L605" s="16">
        <f>IFERROR(IF([1]对账明细接口!$L$605=0,"",[1]对账明细接口!$L$605),"")</f>
      </c>
      <c r="M605" s="16">
        <f>IFERROR(IF([1]对账明细接口!$M$605=0,"",[1]对账明细接口!$M$605),"")</f>
      </c>
      <c r="N605" s="19">
        <f>IF($C605="",0,1)</f>
        <v>1</v>
      </c>
      <c r="O605" s="19">
        <f>N(O604)+$N605</f>
        <v>602</v>
      </c>
      <c r="S605" s="20" t="str">
        <f>IFERROR(IF([1]对账明细接口!$N605=0,"",[1]对账明细接口!$N605),"")</f>
        <v>纸箱</v>
      </c>
      <c r="T605" s="212">
        <f>IFERROR(IF([1]对账明细接口!$O605=0,"",[1]对账明细接口!$O605),"")</f>
      </c>
      <c r="U605" s="212">
        <f>IFERROR(IF([1]对账明细接口!$P605=0,"",[1]对账明细接口!$P605),"")</f>
      </c>
      <c r="V605" s="212">
        <f>IFERROR(IF([1]对账明细接口!$Q605=0,"",[1]对账明细接口!$Q605),"")</f>
      </c>
      <c r="W605" s="20" t="str">
        <f>IFERROR(IF([1]对账明细接口!$R605=0,"",[1]对账明细接口!$R605),"")</f>
        <v>豫N*P269J</v>
      </c>
      <c r="X605" s="20" t="str">
        <f>IFERROR(IF([1]对账明细接口!$S605=0,"",[1]对账明细接口!$S605),"")</f>
        <v>公司筐</v>
      </c>
      <c r="Y605" s="20" t="str">
        <f>IFERROR(IF([1]对账明细接口!$T605=0,"",[1]对账明细接口!$T605),"")</f>
        <v>王照雪</v>
      </c>
      <c r="Z605" s="213">
        <f>IFERROR(IF([1]对账明细接口!$U605=0,"",[1]对账明细接口!$U605),"")</f>
      </c>
      <c r="AA605" s="213">
        <f>IFERROR(IF([1]对账明细接口!$V605=0,"",[1]对账明细接口!$V605),"")</f>
      </c>
      <c r="AB605" s="20">
        <f>IFERROR(IF([1]对账明细接口!$W605=0,"",[1]对账明细接口!$W605),"")</f>
      </c>
      <c r="AC605" s="7" t="str">
        <f>IFERROR(IF([1]对账明细接口!$X605=0,"",[1]对账明细接口!$X605),"")</f>
        <v>电商/主播</v>
      </c>
      <c r="AD605" s="7">
        <f>IFERROR(IF([1]对账明细接口!$Y605=0,"",[1]对账明细接口!$Y605),"")</f>
      </c>
      <c r="AE605" s="7">
        <f>IFERROR(IF([1]对账明细接口!$AA605=0,"",[1]对账明细接口!$AA605),"")</f>
      </c>
      <c r="AF605" s="7">
        <f>IFERROR(IF([1]对账明细接口!$AB605=0,"",[1]对账明细接口!$AB605),"")</f>
      </c>
      <c r="AG605" s="7">
        <f>IFERROR(IF([1]对账明细接口!$AC605=0,"",[1]对账明细接口!$AC605),"")</f>
      </c>
      <c r="AH605" s="7" t="str">
        <f>IFERROR(IF([1]对账明细接口!$AD605=0,"",[1]对账明细接口!$AD605),"")</f>
        <v>成品出库</v>
      </c>
      <c r="AI605" s="7">
        <f>IFERROR(IF([1]对账明细接口!$AE605=0,"",[1]对账明细接口!$AE605),"")</f>
      </c>
      <c r="AJ605" s="7">
        <f>IFERROR(IF([1]对账明细接口!$AF605=0,"",[1]对账明细接口!$AF605),"")</f>
      </c>
    </row>
    <row r="606" ht="14.25" customHeight="1" s="127">
      <c r="A606" s="14" t="n">
        <v>606</v>
      </c>
      <c r="B606" s="211">
        <f>IFERROR(IF([1]对账明细接口!$B$606=0,"",[1]对账明细接口!$B$606),"")</f>
        <v>46279.0</v>
      </c>
      <c r="C606" s="16" t="str">
        <f>IFERROR(IF([1]对账明细接口!$C$606=0,"",[1]对账明细接口!$C$606),"")</f>
        <v>王照雪</v>
      </c>
      <c r="D606" s="16" t="str">
        <f>IFERROR(IF([1]对账明细接口!$D$606=0,"",[1]对账明细接口!$D$606),"")</f>
        <v>成品出库－成品出库</v>
      </c>
      <c r="E606" s="16" t="str">
        <f>IFERROR(IF([1]对账明细接口!$E$606=0,"",[1]对账明细接口!$E$606),"")</f>
        <v>NO:0001142</v>
      </c>
      <c r="F606" s="16" t="str">
        <f>IFERROR(IF([1]对账明细接口!$F$606=0,"",[1]对账明细接口!$F$606),"")</f>
        <v>苹果</v>
      </c>
      <c r="G606" s="16" t="str">
        <f>IFERROR(IF([1]对账明细接口!$G$606=0,"",[1]对账明细接口!$G$606),"")</f>
        <v>华硕一级</v>
      </c>
      <c r="H606" s="176">
        <f>IFERROR(IF([1]对账明细接口!$H$606=0,"",[1]对账明细接口!$H$606),"")</f>
        <v>42</v>
      </c>
      <c r="I606" s="16" t="str">
        <f>IFERROR(IF([1]对账明细接口!$I$606=0,"",[1]对账明细接口!$I$606),"")</f>
        <v>箱</v>
      </c>
      <c r="J606" s="177">
        <f>IFERROR(IF([1]对账明细接口!$J$606=0,"",[1]对账明细接口!$J$606),"")</f>
        <v>214.2</v>
      </c>
      <c r="K606" s="177">
        <f>IFERROR(IF([1]对账明细接口!$K$606=0,"",[1]对账明细接口!$K$606),"")</f>
      </c>
      <c r="L606" s="16">
        <f>IFERROR(IF([1]对账明细接口!$L$606=0,"",[1]对账明细接口!$L$606),"")</f>
      </c>
      <c r="M606" s="16">
        <f>IFERROR(IF([1]对账明细接口!$M$606=0,"",[1]对账明细接口!$M$606),"")</f>
      </c>
      <c r="N606" s="19">
        <f>IF($C606="",0,1)</f>
        <v>1</v>
      </c>
      <c r="O606" s="19">
        <f>N(O605)+$N606</f>
        <v>603</v>
      </c>
      <c r="S606" s="20" t="str">
        <f>IFERROR(IF([1]对账明细接口!$N606=0,"",[1]对账明细接口!$N606),"")</f>
        <v>纸箱</v>
      </c>
      <c r="T606" s="212">
        <f>IFERROR(IF([1]对账明细接口!$O606=0,"",[1]对账明细接口!$O606),"")</f>
      </c>
      <c r="U606" s="212">
        <f>IFERROR(IF([1]对账明细接口!$P606=0,"",[1]对账明细接口!$P606),"")</f>
      </c>
      <c r="V606" s="212">
        <f>IFERROR(IF([1]对账明细接口!$Q606=0,"",[1]对账明细接口!$Q606),"")</f>
      </c>
      <c r="W606" s="20" t="str">
        <f>IFERROR(IF([1]对账明细接口!$R606=0,"",[1]对账明细接口!$R606),"")</f>
        <v>豫N*P269J</v>
      </c>
      <c r="X606" s="20" t="str">
        <f>IFERROR(IF([1]对账明细接口!$S606=0,"",[1]对账明细接口!$S606),"")</f>
        <v>公司筐</v>
      </c>
      <c r="Y606" s="20" t="str">
        <f>IFERROR(IF([1]对账明细接口!$T606=0,"",[1]对账明细接口!$T606),"")</f>
        <v>王照雪</v>
      </c>
      <c r="Z606" s="213">
        <f>IFERROR(IF([1]对账明细接口!$U606=0,"",[1]对账明细接口!$U606),"")</f>
      </c>
      <c r="AA606" s="213">
        <f>IFERROR(IF([1]对账明细接口!$V606=0,"",[1]对账明细接口!$V606),"")</f>
      </c>
      <c r="AB606" s="20">
        <f>IFERROR(IF([1]对账明细接口!$W606=0,"",[1]对账明细接口!$W606),"")</f>
      </c>
      <c r="AC606" s="7" t="str">
        <f>IFERROR(IF([1]对账明细接口!$X606=0,"",[1]对账明细接口!$X606),"")</f>
        <v>电商/主播</v>
      </c>
      <c r="AD606" s="7">
        <f>IFERROR(IF([1]对账明细接口!$Y606=0,"",[1]对账明细接口!$Y606),"")</f>
      </c>
      <c r="AE606" s="7">
        <f>IFERROR(IF([1]对账明细接口!$AA606=0,"",[1]对账明细接口!$AA606),"")</f>
      </c>
      <c r="AF606" s="7">
        <f>IFERROR(IF([1]对账明细接口!$AB606=0,"",[1]对账明细接口!$AB606),"")</f>
      </c>
      <c r="AG606" s="7">
        <f>IFERROR(IF([1]对账明细接口!$AC606=0,"",[1]对账明细接口!$AC606),"")</f>
      </c>
      <c r="AH606" s="7" t="str">
        <f>IFERROR(IF([1]对账明细接口!$AD606=0,"",[1]对账明细接口!$AD606),"")</f>
        <v>成品出库</v>
      </c>
      <c r="AI606" s="7">
        <f>IFERROR(IF([1]对账明细接口!$AE606=0,"",[1]对账明细接口!$AE606),"")</f>
      </c>
      <c r="AJ606" s="7">
        <f>IFERROR(IF([1]对账明细接口!$AF606=0,"",[1]对账明细接口!$AF606),"")</f>
      </c>
    </row>
    <row r="607" ht="14.25" customHeight="1" s="127">
      <c r="A607" s="14" t="n">
        <v>607</v>
      </c>
      <c r="B607" s="211">
        <f>IFERROR(IF([1]对账明细接口!$B$607=0,"",[1]对账明细接口!$B$607),"")</f>
        <v>46279.0</v>
      </c>
      <c r="C607" s="16" t="str">
        <f>IFERROR(IF([1]对账明细接口!$C$607=0,"",[1]对账明细接口!$C$607),"")</f>
        <v>王照雪</v>
      </c>
      <c r="D607" s="16" t="str">
        <f>IFERROR(IF([1]对账明细接口!$D$607=0,"",[1]对账明细接口!$D$607),"")</f>
        <v>成品出库－成品出库</v>
      </c>
      <c r="E607" s="16" t="str">
        <f>IFERROR(IF([1]对账明细接口!$E$607=0,"",[1]对账明细接口!$E$607),"")</f>
        <v>NO:0001142</v>
      </c>
      <c r="F607" s="16" t="str">
        <f>IFERROR(IF([1]对账明细接口!$F$607=0,"",[1]对账明细接口!$F$607),"")</f>
        <v>苹果</v>
      </c>
      <c r="G607" s="16" t="str">
        <f>IFERROR(IF([1]对账明细接口!$G$607=0,"",[1]对账明细接口!$G$607),"")</f>
        <v>华硕一级</v>
      </c>
      <c r="H607" s="176">
        <f>IFERROR(IF([1]对账明细接口!$H$607=0,"",[1]对账明细接口!$H$607),"")</f>
        <v>6</v>
      </c>
      <c r="I607" s="16" t="str">
        <f>IFERROR(IF([1]对账明细接口!$I$607=0,"",[1]对账明细接口!$I$607),"")</f>
        <v>箱</v>
      </c>
      <c r="J607" s="177">
        <f>IFERROR(IF([1]对账明细接口!$J$607=0,"",[1]对账明细接口!$J$607),"")</f>
        <v>15.6</v>
      </c>
      <c r="K607" s="177">
        <f>IFERROR(IF([1]对账明细接口!$K$607=0,"",[1]对账明细接口!$K$607),"")</f>
      </c>
      <c r="L607" s="16">
        <f>IFERROR(IF([1]对账明细接口!$L$607=0,"",[1]对账明细接口!$L$607),"")</f>
      </c>
      <c r="M607" s="16">
        <f>IFERROR(IF([1]对账明细接口!$M$607=0,"",[1]对账明细接口!$M$607),"")</f>
      </c>
      <c r="N607" s="19">
        <f>IF($C607="",0,1)</f>
        <v>1</v>
      </c>
      <c r="O607" s="19">
        <f>N(O606)+$N607</f>
        <v>604</v>
      </c>
      <c r="S607" s="20" t="str">
        <f>IFERROR(IF([1]对账明细接口!$N607=0,"",[1]对账明细接口!$N607),"")</f>
        <v>纸箱</v>
      </c>
      <c r="T607" s="212">
        <f>IFERROR(IF([1]对账明细接口!$O607=0,"",[1]对账明细接口!$O607),"")</f>
      </c>
      <c r="U607" s="212">
        <f>IFERROR(IF([1]对账明细接口!$P607=0,"",[1]对账明细接口!$P607),"")</f>
      </c>
      <c r="V607" s="212">
        <f>IFERROR(IF([1]对账明细接口!$Q607=0,"",[1]对账明细接口!$Q607),"")</f>
      </c>
      <c r="W607" s="20" t="str">
        <f>IFERROR(IF([1]对账明细接口!$R607=0,"",[1]对账明细接口!$R607),"")</f>
        <v>豫N*P269J</v>
      </c>
      <c r="X607" s="20" t="str">
        <f>IFERROR(IF([1]对账明细接口!$S607=0,"",[1]对账明细接口!$S607),"")</f>
        <v>公司筐</v>
      </c>
      <c r="Y607" s="20" t="str">
        <f>IFERROR(IF([1]对账明细接口!$T607=0,"",[1]对账明细接口!$T607),"")</f>
        <v>王照雪</v>
      </c>
      <c r="Z607" s="213">
        <f>IFERROR(IF([1]对账明细接口!$U607=0,"",[1]对账明细接口!$U607),"")</f>
      </c>
      <c r="AA607" s="213">
        <f>IFERROR(IF([1]对账明细接口!$V607=0,"",[1]对账明细接口!$V607),"")</f>
      </c>
      <c r="AB607" s="20">
        <f>IFERROR(IF([1]对账明细接口!$W607=0,"",[1]对账明细接口!$W607),"")</f>
      </c>
      <c r="AC607" s="7" t="str">
        <f>IFERROR(IF([1]对账明细接口!$X607=0,"",[1]对账明细接口!$X607),"")</f>
        <v>电商/主播</v>
      </c>
      <c r="AD607" s="7">
        <f>IFERROR(IF([1]对账明细接口!$Y607=0,"",[1]对账明细接口!$Y607),"")</f>
      </c>
      <c r="AE607" s="7">
        <f>IFERROR(IF([1]对账明细接口!$AA607=0,"",[1]对账明细接口!$AA607),"")</f>
      </c>
      <c r="AF607" s="7">
        <f>IFERROR(IF([1]对账明细接口!$AB607=0,"",[1]对账明细接口!$AB607),"")</f>
      </c>
      <c r="AG607" s="7">
        <f>IFERROR(IF([1]对账明细接口!$AC607=0,"",[1]对账明细接口!$AC607),"")</f>
      </c>
      <c r="AH607" s="7" t="str">
        <f>IFERROR(IF([1]对账明细接口!$AD607=0,"",[1]对账明细接口!$AD607),"")</f>
        <v>成品出库</v>
      </c>
      <c r="AI607" s="7">
        <f>IFERROR(IF([1]对账明细接口!$AE607=0,"",[1]对账明细接口!$AE607),"")</f>
      </c>
      <c r="AJ607" s="7">
        <f>IFERROR(IF([1]对账明细接口!$AF607=0,"",[1]对账明细接口!$AF607),"")</f>
      </c>
    </row>
    <row r="608" ht="14.25" customHeight="1" s="127">
      <c r="A608" s="14" t="n">
        <v>608</v>
      </c>
      <c r="B608" s="211">
        <f>IFERROR(IF([1]对账明细接口!$B$608=0,"",[1]对账明细接口!$B$608),"")</f>
        <v>46279.0</v>
      </c>
      <c r="C608" s="16" t="str">
        <f>IFERROR(IF([1]对账明细接口!$C$608=0,"",[1]对账明细接口!$C$608),"")</f>
        <v>王照雪</v>
      </c>
      <c r="D608" s="16" t="str">
        <f>IFERROR(IF([1]对账明细接口!$D$608=0,"",[1]对账明细接口!$D$608),"")</f>
        <v>成品出库－成品出库</v>
      </c>
      <c r="E608" s="16" t="str">
        <f>IFERROR(IF([1]对账明细接口!$E$608=0,"",[1]对账明细接口!$E$608),"")</f>
        <v>NO:0001142</v>
      </c>
      <c r="F608" s="16" t="str">
        <f>IFERROR(IF([1]对账明细接口!$F$608=0,"",[1]对账明细接口!$F$608),"")</f>
        <v>香梨</v>
      </c>
      <c r="G608" s="16" t="str">
        <f>IFERROR(IF([1]对账明细接口!$G$608=0,"",[1]对账明细接口!$G$608),"")</f>
        <v>香梨一级</v>
      </c>
      <c r="H608" s="176">
        <f>IFERROR(IF([1]对账明细接口!$H$608=0,"",[1]对账明细接口!$H$608),"")</f>
        <v>2</v>
      </c>
      <c r="I608" s="16" t="str">
        <f>IFERROR(IF([1]对账明细接口!$I$608=0,"",[1]对账明细接口!$I$608),"")</f>
        <v>箱</v>
      </c>
      <c r="J608" s="177">
        <f>IFERROR(IF([1]对账明细接口!$J$608=0,"",[1]对账明细接口!$J$608),"")</f>
        <v>10.2</v>
      </c>
      <c r="K608" s="177">
        <f>IFERROR(IF([1]对账明细接口!$K$608=0,"",[1]对账明细接口!$K$608),"")</f>
      </c>
      <c r="L608" s="16">
        <f>IFERROR(IF([1]对账明细接口!$L$608=0,"",[1]对账明细接口!$L$608),"")</f>
      </c>
      <c r="M608" s="16">
        <f>IFERROR(IF([1]对账明细接口!$M$608=0,"",[1]对账明细接口!$M$608),"")</f>
      </c>
      <c r="N608" s="19">
        <f>IF($C608="",0,1)</f>
        <v>1</v>
      </c>
      <c r="O608" s="19">
        <f>N(O607)+$N608</f>
        <v>605</v>
      </c>
      <c r="S608" s="20" t="str">
        <f>IFERROR(IF([1]对账明细接口!$N608=0,"",[1]对账明细接口!$N608),"")</f>
        <v>纸箱</v>
      </c>
      <c r="T608" s="212">
        <f>IFERROR(IF([1]对账明细接口!$O608=0,"",[1]对账明细接口!$O608),"")</f>
      </c>
      <c r="U608" s="212">
        <f>IFERROR(IF([1]对账明细接口!$P608=0,"",[1]对账明细接口!$P608),"")</f>
      </c>
      <c r="V608" s="212">
        <f>IFERROR(IF([1]对账明细接口!$Q608=0,"",[1]对账明细接口!$Q608),"")</f>
      </c>
      <c r="W608" s="20" t="str">
        <f>IFERROR(IF([1]对账明细接口!$R608=0,"",[1]对账明细接口!$R608),"")</f>
        <v>豫N*P269J</v>
      </c>
      <c r="X608" s="20" t="str">
        <f>IFERROR(IF([1]对账明细接口!$S608=0,"",[1]对账明细接口!$S608),"")</f>
        <v>公司筐</v>
      </c>
      <c r="Y608" s="20" t="str">
        <f>IFERROR(IF([1]对账明细接口!$T608=0,"",[1]对账明细接口!$T608),"")</f>
        <v>王照雪</v>
      </c>
      <c r="Z608" s="213">
        <f>IFERROR(IF([1]对账明细接口!$U608=0,"",[1]对账明细接口!$U608),"")</f>
      </c>
      <c r="AA608" s="213">
        <f>IFERROR(IF([1]对账明细接口!$V608=0,"",[1]对账明细接口!$V608),"")</f>
      </c>
      <c r="AB608" s="20">
        <f>IFERROR(IF([1]对账明细接口!$W608=0,"",[1]对账明细接口!$W608),"")</f>
      </c>
      <c r="AC608" s="7" t="str">
        <f>IFERROR(IF([1]对账明细接口!$X608=0,"",[1]对账明细接口!$X608),"")</f>
        <v>电商/主播</v>
      </c>
      <c r="AD608" s="7">
        <f>IFERROR(IF([1]对账明细接口!$Y608=0,"",[1]对账明细接口!$Y608),"")</f>
      </c>
      <c r="AE608" s="7">
        <f>IFERROR(IF([1]对账明细接口!$AA608=0,"",[1]对账明细接口!$AA608),"")</f>
      </c>
      <c r="AF608" s="7">
        <f>IFERROR(IF([1]对账明细接口!$AB608=0,"",[1]对账明细接口!$AB608),"")</f>
      </c>
      <c r="AG608" s="7">
        <f>IFERROR(IF([1]对账明细接口!$AC608=0,"",[1]对账明细接口!$AC608),"")</f>
      </c>
      <c r="AH608" s="7" t="str">
        <f>IFERROR(IF([1]对账明细接口!$AD608=0,"",[1]对账明细接口!$AD608),"")</f>
        <v>成品出库</v>
      </c>
      <c r="AI608" s="7">
        <f>IFERROR(IF([1]对账明细接口!$AE608=0,"",[1]对账明细接口!$AE608),"")</f>
      </c>
      <c r="AJ608" s="7">
        <f>IFERROR(IF([1]对账明细接口!$AF608=0,"",[1]对账明细接口!$AF608),"")</f>
      </c>
    </row>
    <row r="609" ht="14.25" customHeight="1" s="127">
      <c r="A609" s="14" t="n">
        <v>609</v>
      </c>
      <c r="B609" s="211">
        <f>IFERROR(IF([1]对账明细接口!$B$609=0,"",[1]对账明细接口!$B$609),"")</f>
        <v>46280.0</v>
      </c>
      <c r="C609" s="16" t="str">
        <f>IFERROR(IF([1]对账明细接口!$C$609=0,"",[1]对账明细接口!$C$609),"")</f>
        <v>王照雪</v>
      </c>
      <c r="D609" s="16" t="str">
        <f>IFERROR(IF([1]对账明细接口!$D$609=0,"",[1]对账明细接口!$D$609),"")</f>
        <v>成品出库－成品出库</v>
      </c>
      <c r="E609" s="16" t="str">
        <f>IFERROR(IF([1]对账明细接口!$E$609=0,"",[1]对账明细接口!$E$609),"")</f>
        <v>NO:0001147</v>
      </c>
      <c r="F609" s="16" t="str">
        <f>IFERROR(IF([1]对账明细接口!$F$609=0,"",[1]对账明细接口!$F$609),"")</f>
        <v>苹果</v>
      </c>
      <c r="G609" s="16" t="str">
        <f>IFERROR(IF([1]对账明细接口!$G$609=0,"",[1]对账明细接口!$G$609),"")</f>
        <v>新世纪一级</v>
      </c>
      <c r="H609" s="176">
        <f>IFERROR(IF([1]对账明细接口!$H$609=0,"",[1]对账明细接口!$H$609),"")</f>
        <v>195</v>
      </c>
      <c r="I609" s="16" t="str">
        <f>IFERROR(IF([1]对账明细接口!$I$609=0,"",[1]对账明细接口!$I$609),"")</f>
        <v>箱</v>
      </c>
      <c r="J609" s="177">
        <f>IFERROR(IF([1]对账明细接口!$J$609=0,"",[1]对账明细接口!$J$609),"")</f>
        <v>994.5</v>
      </c>
      <c r="K609" s="177">
        <f>IFERROR(IF([1]对账明细接口!$K$609=0,"",[1]对账明细接口!$K$609),"")</f>
      </c>
      <c r="L609" s="16">
        <f>IFERROR(IF([1]对账明细接口!$L$609=0,"",[1]对账明细接口!$L$609),"")</f>
      </c>
      <c r="M609" s="16">
        <f>IFERROR(IF([1]对账明细接口!$M$609=0,"",[1]对账明细接口!$M$609),"")</f>
      </c>
      <c r="N609" s="19">
        <f>IF($C609="",0,1)</f>
        <v>1</v>
      </c>
      <c r="O609" s="19">
        <f>N(O608)+$N609</f>
        <v>606</v>
      </c>
      <c r="S609" s="20" t="str">
        <f>IFERROR(IF([1]对账明细接口!$N609=0,"",[1]对账明细接口!$N609),"")</f>
        <v>纸箱</v>
      </c>
      <c r="T609" s="212">
        <f>IFERROR(IF([1]对账明细接口!$O609=0,"",[1]对账明细接口!$O609),"")</f>
      </c>
      <c r="U609" s="212">
        <f>IFERROR(IF([1]对账明细接口!$P609=0,"",[1]对账明细接口!$P609),"")</f>
      </c>
      <c r="V609" s="212">
        <f>IFERROR(IF([1]对账明细接口!$Q609=0,"",[1]对账明细接口!$Q609),"")</f>
      </c>
      <c r="W609" s="20" t="str">
        <f>IFERROR(IF([1]对账明细接口!$R609=0,"",[1]对账明细接口!$R609),"")</f>
        <v>新N*V5L92</v>
      </c>
      <c r="X609" s="20" t="str">
        <f>IFERROR(IF([1]对账明细接口!$S609=0,"",[1]对账明细接口!$S609),"")</f>
        <v>公司筐</v>
      </c>
      <c r="Y609" s="20" t="str">
        <f>IFERROR(IF([1]对账明细接口!$T609=0,"",[1]对账明细接口!$T609),"")</f>
        <v>王照雪</v>
      </c>
      <c r="Z609" s="213">
        <f>IFERROR(IF([1]对账明细接口!$U609=0,"",[1]对账明细接口!$U609),"")</f>
      </c>
      <c r="AA609" s="213">
        <f>IFERROR(IF([1]对账明细接口!$V609=0,"",[1]对账明细接口!$V609),"")</f>
      </c>
      <c r="AB609" s="20">
        <f>IFERROR(IF([1]对账明细接口!$W609=0,"",[1]对账明细接口!$W609),"")</f>
      </c>
      <c r="AC609" s="7" t="str">
        <f>IFERROR(IF([1]对账明细接口!$X609=0,"",[1]对账明细接口!$X609),"")</f>
        <v>电商/主播</v>
      </c>
      <c r="AD609" s="7">
        <f>IFERROR(IF([1]对账明细接口!$Y609=0,"",[1]对账明细接口!$Y609),"")</f>
      </c>
      <c r="AE609" s="7">
        <f>IFERROR(IF([1]对账明细接口!$AA609=0,"",[1]对账明细接口!$AA609),"")</f>
      </c>
      <c r="AF609" s="7">
        <f>IFERROR(IF([1]对账明细接口!$AB609=0,"",[1]对账明细接口!$AB609),"")</f>
      </c>
      <c r="AG609" s="7">
        <f>IFERROR(IF([1]对账明细接口!$AC609=0,"",[1]对账明细接口!$AC609),"")</f>
      </c>
      <c r="AH609" s="7" t="str">
        <f>IFERROR(IF([1]对账明细接口!$AD609=0,"",[1]对账明细接口!$AD609),"")</f>
        <v>成品出库</v>
      </c>
      <c r="AI609" s="7">
        <f>IFERROR(IF([1]对账明细接口!$AE609=0,"",[1]对账明细接口!$AE609),"")</f>
      </c>
      <c r="AJ609" s="7">
        <f>IFERROR(IF([1]对账明细接口!$AF609=0,"",[1]对账明细接口!$AF609),"")</f>
      </c>
    </row>
    <row r="610" ht="14.25" customHeight="1" s="127">
      <c r="A610" s="14" t="n">
        <v>610</v>
      </c>
      <c r="B610" s="211">
        <f>IFERROR(IF([1]对账明细接口!$B$610=0,"",[1]对账明细接口!$B$610),"")</f>
        <v>46280.0</v>
      </c>
      <c r="C610" s="16" t="str">
        <f>IFERROR(IF([1]对账明细接口!$C$610=0,"",[1]对账明细接口!$C$610),"")</f>
        <v>王照雪</v>
      </c>
      <c r="D610" s="16" t="str">
        <f>IFERROR(IF([1]对账明细接口!$D$610=0,"",[1]对账明细接口!$D$610),"")</f>
        <v>成品出库－成品出库</v>
      </c>
      <c r="E610" s="16" t="str">
        <f>IFERROR(IF([1]对账明细接口!$E$610=0,"",[1]对账明细接口!$E$610),"")</f>
        <v>NO:0001147</v>
      </c>
      <c r="F610" s="16" t="str">
        <f>IFERROR(IF([1]对账明细接口!$F$610=0,"",[1]对账明细接口!$F$610),"")</f>
        <v>苹果</v>
      </c>
      <c r="G610" s="16" t="str">
        <f>IFERROR(IF([1]对账明细接口!$G$610=0,"",[1]对账明细接口!$G$610),"")</f>
        <v>新世纪一级</v>
      </c>
      <c r="H610" s="176">
        <f>IFERROR(IF([1]对账明细接口!$H$610=0,"",[1]对账明细接口!$H$610),"")</f>
        <v>1</v>
      </c>
      <c r="I610" s="16" t="str">
        <f>IFERROR(IF([1]对账明细接口!$I$610=0,"",[1]对账明细接口!$I$610),"")</f>
        <v>箱</v>
      </c>
      <c r="J610" s="177">
        <f>IFERROR(IF([1]对账明细接口!$J$610=0,"",[1]对账明细接口!$J$610),"")</f>
        <v>2.6</v>
      </c>
      <c r="K610" s="177">
        <f>IFERROR(IF([1]对账明细接口!$K$610=0,"",[1]对账明细接口!$K$610),"")</f>
      </c>
      <c r="L610" s="16">
        <f>IFERROR(IF([1]对账明细接口!$L$610=0,"",[1]对账明细接口!$L$610),"")</f>
      </c>
      <c r="M610" s="16">
        <f>IFERROR(IF([1]对账明细接口!$M$610=0,"",[1]对账明细接口!$M$610),"")</f>
      </c>
      <c r="N610" s="19">
        <f>IF($C610="",0,1)</f>
        <v>1</v>
      </c>
      <c r="O610" s="19">
        <f>N(O609)+$N610</f>
        <v>607</v>
      </c>
      <c r="S610" s="20" t="str">
        <f>IFERROR(IF([1]对账明细接口!$N610=0,"",[1]对账明细接口!$N610),"")</f>
        <v>纸箱</v>
      </c>
      <c r="T610" s="212">
        <f>IFERROR(IF([1]对账明细接口!$O610=0,"",[1]对账明细接口!$O610),"")</f>
      </c>
      <c r="U610" s="212">
        <f>IFERROR(IF([1]对账明细接口!$P610=0,"",[1]对账明细接口!$P610),"")</f>
      </c>
      <c r="V610" s="212">
        <f>IFERROR(IF([1]对账明细接口!$Q610=0,"",[1]对账明细接口!$Q610),"")</f>
      </c>
      <c r="W610" s="20" t="str">
        <f>IFERROR(IF([1]对账明细接口!$R610=0,"",[1]对账明细接口!$R610),"")</f>
        <v>新N*V5L92</v>
      </c>
      <c r="X610" s="20" t="str">
        <f>IFERROR(IF([1]对账明细接口!$S610=0,"",[1]对账明细接口!$S610),"")</f>
        <v>公司筐</v>
      </c>
      <c r="Y610" s="20" t="str">
        <f>IFERROR(IF([1]对账明细接口!$T610=0,"",[1]对账明细接口!$T610),"")</f>
        <v>王照雪</v>
      </c>
      <c r="Z610" s="213">
        <f>IFERROR(IF([1]对账明细接口!$U610=0,"",[1]对账明细接口!$U610),"")</f>
      </c>
      <c r="AA610" s="213">
        <f>IFERROR(IF([1]对账明细接口!$V610=0,"",[1]对账明细接口!$V610),"")</f>
      </c>
      <c r="AB610" s="20">
        <f>IFERROR(IF([1]对账明细接口!$W610=0,"",[1]对账明细接口!$W610),"")</f>
      </c>
      <c r="AC610" s="7" t="str">
        <f>IFERROR(IF([1]对账明细接口!$X610=0,"",[1]对账明细接口!$X610),"")</f>
        <v>电商/主播</v>
      </c>
      <c r="AD610" s="7">
        <f>IFERROR(IF([1]对账明细接口!$Y610=0,"",[1]对账明细接口!$Y610),"")</f>
      </c>
      <c r="AE610" s="7">
        <f>IFERROR(IF([1]对账明细接口!$AA610=0,"",[1]对账明细接口!$AA610),"")</f>
      </c>
      <c r="AF610" s="7">
        <f>IFERROR(IF([1]对账明细接口!$AB610=0,"",[1]对账明细接口!$AB610),"")</f>
      </c>
      <c r="AG610" s="7">
        <f>IFERROR(IF([1]对账明细接口!$AC610=0,"",[1]对账明细接口!$AC610),"")</f>
      </c>
      <c r="AH610" s="7" t="str">
        <f>IFERROR(IF([1]对账明细接口!$AD610=0,"",[1]对账明细接口!$AD610),"")</f>
        <v>成品出库</v>
      </c>
      <c r="AI610" s="7">
        <f>IFERROR(IF([1]对账明细接口!$AE610=0,"",[1]对账明细接口!$AE610),"")</f>
      </c>
      <c r="AJ610" s="7">
        <f>IFERROR(IF([1]对账明细接口!$AF610=0,"",[1]对账明细接口!$AF610),"")</f>
      </c>
    </row>
    <row r="611" ht="14.25" customHeight="1" s="127">
      <c r="A611" s="14" t="n">
        <v>611</v>
      </c>
      <c r="B611" s="211">
        <f>IFERROR(IF([1]对账明细接口!$B$611=0,"",[1]对账明细接口!$B$611),"")</f>
        <v>46281.0</v>
      </c>
      <c r="C611" s="16" t="str">
        <f>IFERROR(IF([1]对账明细接口!$C$611=0,"",[1]对账明细接口!$C$611),"")</f>
        <v>王照雪</v>
      </c>
      <c r="D611" s="16" t="str">
        <f>IFERROR(IF([1]对账明细接口!$D$611=0,"",[1]对账明细接口!$D$611),"")</f>
        <v>成品出库－成品出库</v>
      </c>
      <c r="E611" s="16" t="str">
        <f>IFERROR(IF([1]对账明细接口!$E$611=0,"",[1]对账明细接口!$E$611),"")</f>
        <v>NO:0001154</v>
      </c>
      <c r="F611" s="16" t="str">
        <f>IFERROR(IF([1]对账明细接口!$F$611=0,"",[1]对账明细接口!$F$611),"")</f>
        <v>苹果</v>
      </c>
      <c r="G611" s="16" t="str">
        <f>IFERROR(IF([1]对账明细接口!$G$611=0,"",[1]对账明细接口!$G$611),"")</f>
        <v>新世纪一级</v>
      </c>
      <c r="H611" s="176">
        <f>IFERROR(IF([1]对账明细接口!$H$611=0,"",[1]对账明细接口!$H$611),"")</f>
        <v>29</v>
      </c>
      <c r="I611" s="16" t="str">
        <f>IFERROR(IF([1]对账明细接口!$I$611=0,"",[1]对账明细接口!$I$611),"")</f>
        <v>箱</v>
      </c>
      <c r="J611" s="177">
        <f>IFERROR(IF([1]对账明细接口!$J$611=0,"",[1]对账明细接口!$J$611),"")</f>
        <v>147.9</v>
      </c>
      <c r="K611" s="177">
        <f>IFERROR(IF([1]对账明细接口!$K$611=0,"",[1]对账明细接口!$K$611),"")</f>
      </c>
      <c r="L611" s="16">
        <f>IFERROR(IF([1]对账明细接口!$L$611=0,"",[1]对账明细接口!$L$611),"")</f>
      </c>
      <c r="M611" s="16">
        <f>IFERROR(IF([1]对账明细接口!$M$611=0,"",[1]对账明细接口!$M$611),"")</f>
      </c>
      <c r="N611" s="19">
        <f>IF($C611="",0,1)</f>
        <v>1</v>
      </c>
      <c r="O611" s="19">
        <f>N(O610)+$N611</f>
        <v>608</v>
      </c>
      <c r="S611" s="20" t="str">
        <f>IFERROR(IF([1]对账明细接口!$N611=0,"",[1]对账明细接口!$N611),"")</f>
        <v>纸箱</v>
      </c>
      <c r="T611" s="212">
        <f>IFERROR(IF([1]对账明细接口!$O611=0,"",[1]对账明细接口!$O611),"")</f>
      </c>
      <c r="U611" s="212">
        <f>IFERROR(IF([1]对账明细接口!$P611=0,"",[1]对账明细接口!$P611),"")</f>
      </c>
      <c r="V611" s="212">
        <f>IFERROR(IF([1]对账明细接口!$Q611=0,"",[1]对账明细接口!$Q611),"")</f>
      </c>
      <c r="W611" s="20" t="str">
        <f>IFERROR(IF([1]对账明细接口!$R611=0,"",[1]对账明细接口!$R611),"")</f>
        <v>豫N*P269J</v>
      </c>
      <c r="X611" s="20" t="str">
        <f>IFERROR(IF([1]对账明细接口!$S611=0,"",[1]对账明细接口!$S611),"")</f>
        <v>公司筐</v>
      </c>
      <c r="Y611" s="20" t="str">
        <f>IFERROR(IF([1]对账明细接口!$T611=0,"",[1]对账明细接口!$T611),"")</f>
        <v>王照雪</v>
      </c>
      <c r="Z611" s="213">
        <f>IFERROR(IF([1]对账明细接口!$U611=0,"",[1]对账明细接口!$U611),"")</f>
      </c>
      <c r="AA611" s="213">
        <f>IFERROR(IF([1]对账明细接口!$V611=0,"",[1]对账明细接口!$V611),"")</f>
      </c>
      <c r="AB611" s="20">
        <f>IFERROR(IF([1]对账明细接口!$W611=0,"",[1]对账明细接口!$W611),"")</f>
      </c>
      <c r="AC611" s="7" t="str">
        <f>IFERROR(IF([1]对账明细接口!$X611=0,"",[1]对账明细接口!$X611),"")</f>
        <v>电商/主播</v>
      </c>
      <c r="AD611" s="7">
        <f>IFERROR(IF([1]对账明细接口!$Y611=0,"",[1]对账明细接口!$Y611),"")</f>
      </c>
      <c r="AE611" s="7">
        <f>IFERROR(IF([1]对账明细接口!$AA611=0,"",[1]对账明细接口!$AA611),"")</f>
      </c>
      <c r="AF611" s="7">
        <f>IFERROR(IF([1]对账明细接口!$AB611=0,"",[1]对账明细接口!$AB611),"")</f>
      </c>
      <c r="AG611" s="7">
        <f>IFERROR(IF([1]对账明细接口!$AC611=0,"",[1]对账明细接口!$AC611),"")</f>
      </c>
      <c r="AH611" s="7" t="str">
        <f>IFERROR(IF([1]对账明细接口!$AD611=0,"",[1]对账明细接口!$AD611),"")</f>
        <v>成品出库</v>
      </c>
      <c r="AI611" s="7">
        <f>IFERROR(IF([1]对账明细接口!$AE611=0,"",[1]对账明细接口!$AE611),"")</f>
      </c>
      <c r="AJ611" s="7">
        <f>IFERROR(IF([1]对账明细接口!$AF611=0,"",[1]对账明细接口!$AF611),"")</f>
      </c>
    </row>
    <row r="612" ht="14.25" customHeight="1" s="127">
      <c r="A612" s="14" t="n">
        <v>612</v>
      </c>
      <c r="B612" s="211">
        <f>IFERROR(IF([1]对账明细接口!$B$612=0,"",[1]对账明细接口!$B$612),"")</f>
        <v>46281.0</v>
      </c>
      <c r="C612" s="16" t="str">
        <f>IFERROR(IF([1]对账明细接口!$C$612=0,"",[1]对账明细接口!$C$612),"")</f>
        <v>王照雪</v>
      </c>
      <c r="D612" s="16" t="str">
        <f>IFERROR(IF([1]对账明细接口!$D$612=0,"",[1]对账明细接口!$D$612),"")</f>
        <v>成品出库－成品出库</v>
      </c>
      <c r="E612" s="16" t="str">
        <f>IFERROR(IF([1]对账明细接口!$E$612=0,"",[1]对账明细接口!$E$612),"")</f>
        <v>NO:0001154</v>
      </c>
      <c r="F612" s="16" t="str">
        <f>IFERROR(IF([1]对账明细接口!$F$612=0,"",[1]对账明细接口!$F$612),"")</f>
        <v>苹果</v>
      </c>
      <c r="G612" s="16" t="str">
        <f>IFERROR(IF([1]对账明细接口!$G$612=0,"",[1]对账明细接口!$G$612),"")</f>
        <v>新世纪一级</v>
      </c>
      <c r="H612" s="176">
        <f>IFERROR(IF([1]对账明细接口!$H$612=0,"",[1]对账明细接口!$H$612),"")</f>
        <v>1</v>
      </c>
      <c r="I612" s="16" t="str">
        <f>IFERROR(IF([1]对账明细接口!$I$612=0,"",[1]对账明细接口!$I$612),"")</f>
        <v>箱</v>
      </c>
      <c r="J612" s="177">
        <f>IFERROR(IF([1]对账明细接口!$J$612=0,"",[1]对账明细接口!$J$612),"")</f>
        <v>2.6</v>
      </c>
      <c r="K612" s="177">
        <f>IFERROR(IF([1]对账明细接口!$K$612=0,"",[1]对账明细接口!$K$612),"")</f>
      </c>
      <c r="L612" s="16">
        <f>IFERROR(IF([1]对账明细接口!$L$612=0,"",[1]对账明细接口!$L$612),"")</f>
      </c>
      <c r="M612" s="16">
        <f>IFERROR(IF([1]对账明细接口!$M$612=0,"",[1]对账明细接口!$M$612),"")</f>
      </c>
      <c r="N612" s="19">
        <f>IF($C612="",0,1)</f>
        <v>1</v>
      </c>
      <c r="O612" s="19">
        <f>N(O611)+$N612</f>
        <v>609</v>
      </c>
      <c r="S612" s="20" t="str">
        <f>IFERROR(IF([1]对账明细接口!$N612=0,"",[1]对账明细接口!$N612),"")</f>
        <v>纸箱</v>
      </c>
      <c r="T612" s="212">
        <f>IFERROR(IF([1]对账明细接口!$O612=0,"",[1]对账明细接口!$O612),"")</f>
      </c>
      <c r="U612" s="212">
        <f>IFERROR(IF([1]对账明细接口!$P612=0,"",[1]对账明细接口!$P612),"")</f>
      </c>
      <c r="V612" s="212">
        <f>IFERROR(IF([1]对账明细接口!$Q612=0,"",[1]对账明细接口!$Q612),"")</f>
      </c>
      <c r="W612" s="20" t="str">
        <f>IFERROR(IF([1]对账明细接口!$R612=0,"",[1]对账明细接口!$R612),"")</f>
        <v>豫N*P269J</v>
      </c>
      <c r="X612" s="20" t="str">
        <f>IFERROR(IF([1]对账明细接口!$S612=0,"",[1]对账明细接口!$S612),"")</f>
        <v>公司筐</v>
      </c>
      <c r="Y612" s="20" t="str">
        <f>IFERROR(IF([1]对账明细接口!$T612=0,"",[1]对账明细接口!$T612),"")</f>
        <v>王照雪</v>
      </c>
      <c r="Z612" s="213">
        <f>IFERROR(IF([1]对账明细接口!$U612=0,"",[1]对账明细接口!$U612),"")</f>
      </c>
      <c r="AA612" s="213">
        <f>IFERROR(IF([1]对账明细接口!$V612=0,"",[1]对账明细接口!$V612),"")</f>
      </c>
      <c r="AB612" s="20">
        <f>IFERROR(IF([1]对账明细接口!$W612=0,"",[1]对账明细接口!$W612),"")</f>
      </c>
      <c r="AC612" s="7" t="str">
        <f>IFERROR(IF([1]对账明细接口!$X612=0,"",[1]对账明细接口!$X612),"")</f>
        <v>电商/主播</v>
      </c>
      <c r="AD612" s="7">
        <f>IFERROR(IF([1]对账明细接口!$Y612=0,"",[1]对账明细接口!$Y612),"")</f>
      </c>
      <c r="AE612" s="7">
        <f>IFERROR(IF([1]对账明细接口!$AA612=0,"",[1]对账明细接口!$AA612),"")</f>
      </c>
      <c r="AF612" s="7">
        <f>IFERROR(IF([1]对账明细接口!$AB612=0,"",[1]对账明细接口!$AB612),"")</f>
      </c>
      <c r="AG612" s="7">
        <f>IFERROR(IF([1]对账明细接口!$AC612=0,"",[1]对账明细接口!$AC612),"")</f>
      </c>
      <c r="AH612" s="7" t="str">
        <f>IFERROR(IF([1]对账明细接口!$AD612=0,"",[1]对账明细接口!$AD612),"")</f>
        <v>成品出库</v>
      </c>
      <c r="AI612" s="7">
        <f>IFERROR(IF([1]对账明细接口!$AE612=0,"",[1]对账明细接口!$AE612),"")</f>
      </c>
      <c r="AJ612" s="7">
        <f>IFERROR(IF([1]对账明细接口!$AF612=0,"",[1]对账明细接口!$AF612),"")</f>
      </c>
    </row>
    <row r="613" ht="14.25" customHeight="1" s="127">
      <c r="A613" s="14" t="n">
        <v>613</v>
      </c>
      <c r="B613" s="211">
        <f>IFERROR(IF([1]对账明细接口!$B$613=0,"",[1]对账明细接口!$B$613),"")</f>
        <v>46281.0</v>
      </c>
      <c r="C613" s="16" t="str">
        <f>IFERROR(IF([1]对账明细接口!$C$613=0,"",[1]对账明细接口!$C$613),"")</f>
        <v>王照雪</v>
      </c>
      <c r="D613" s="16" t="str">
        <f>IFERROR(IF([1]对账明细接口!$D$613=0,"",[1]对账明细接口!$D$613),"")</f>
        <v>成品出库－成品出库</v>
      </c>
      <c r="E613" s="16" t="str">
        <f>IFERROR(IF([1]对账明细接口!$E$613=0,"",[1]对账明细接口!$E$613),"")</f>
        <v>NO:0001154</v>
      </c>
      <c r="F613" s="16" t="str">
        <f>IFERROR(IF([1]对账明细接口!$F$613=0,"",[1]对账明细接口!$F$613),"")</f>
        <v>香梨</v>
      </c>
      <c r="G613" s="16" t="str">
        <f>IFERROR(IF([1]对账明细接口!$G$613=0,"",[1]对账明细接口!$G$613),"")</f>
        <v>香梨一级</v>
      </c>
      <c r="H613" s="176">
        <f>IFERROR(IF([1]对账明细接口!$H$613=0,"",[1]对账明细接口!$H$613),"")</f>
        <v>3</v>
      </c>
      <c r="I613" s="16" t="str">
        <f>IFERROR(IF([1]对账明细接口!$I$613=0,"",[1]对账明细接口!$I$613),"")</f>
        <v>箱</v>
      </c>
      <c r="J613" s="177">
        <f>IFERROR(IF([1]对账明细接口!$J$613=0,"",[1]对账明细接口!$J$613),"")</f>
        <v>15</v>
      </c>
      <c r="K613" s="177">
        <f>IFERROR(IF([1]对账明细接口!$K$613=0,"",[1]对账明细接口!$K$613),"")</f>
      </c>
      <c r="L613" s="16">
        <f>IFERROR(IF([1]对账明细接口!$L$613=0,"",[1]对账明细接口!$L$613),"")</f>
      </c>
      <c r="M613" s="16">
        <f>IFERROR(IF([1]对账明细接口!$M$613=0,"",[1]对账明细接口!$M$613),"")</f>
      </c>
      <c r="N613" s="19">
        <f>IF($C613="",0,1)</f>
        <v>1</v>
      </c>
      <c r="O613" s="19">
        <f>N(O612)+$N613</f>
        <v>610</v>
      </c>
      <c r="S613" s="20" t="str">
        <f>IFERROR(IF([1]对账明细接口!$N613=0,"",[1]对账明细接口!$N613),"")</f>
        <v>纸箱</v>
      </c>
      <c r="T613" s="212">
        <f>IFERROR(IF([1]对账明细接口!$O613=0,"",[1]对账明细接口!$O613),"")</f>
      </c>
      <c r="U613" s="212">
        <f>IFERROR(IF([1]对账明细接口!$P613=0,"",[1]对账明细接口!$P613),"")</f>
      </c>
      <c r="V613" s="212">
        <f>IFERROR(IF([1]对账明细接口!$Q613=0,"",[1]对账明细接口!$Q613),"")</f>
      </c>
      <c r="W613" s="20" t="str">
        <f>IFERROR(IF([1]对账明细接口!$R613=0,"",[1]对账明细接口!$R613),"")</f>
        <v>豫N*P269J</v>
      </c>
      <c r="X613" s="20" t="str">
        <f>IFERROR(IF([1]对账明细接口!$S613=0,"",[1]对账明细接口!$S613),"")</f>
        <v>公司筐</v>
      </c>
      <c r="Y613" s="20" t="str">
        <f>IFERROR(IF([1]对账明细接口!$T613=0,"",[1]对账明细接口!$T613),"")</f>
        <v>王照雪</v>
      </c>
      <c r="Z613" s="213">
        <f>IFERROR(IF([1]对账明细接口!$U613=0,"",[1]对账明细接口!$U613),"")</f>
      </c>
      <c r="AA613" s="213">
        <f>IFERROR(IF([1]对账明细接口!$V613=0,"",[1]对账明细接口!$V613),"")</f>
      </c>
      <c r="AB613" s="20">
        <f>IFERROR(IF([1]对账明细接口!$W613=0,"",[1]对账明细接口!$W613),"")</f>
      </c>
      <c r="AC613" s="7" t="str">
        <f>IFERROR(IF([1]对账明细接口!$X613=0,"",[1]对账明细接口!$X613),"")</f>
        <v>电商/主播</v>
      </c>
      <c r="AD613" s="7">
        <f>IFERROR(IF([1]对账明细接口!$Y613=0,"",[1]对账明细接口!$Y613),"")</f>
      </c>
      <c r="AE613" s="7">
        <f>IFERROR(IF([1]对账明细接口!$AA613=0,"",[1]对账明细接口!$AA613),"")</f>
      </c>
      <c r="AF613" s="7">
        <f>IFERROR(IF([1]对账明细接口!$AB613=0,"",[1]对账明细接口!$AB613),"")</f>
      </c>
      <c r="AG613" s="7">
        <f>IFERROR(IF([1]对账明细接口!$AC613=0,"",[1]对账明细接口!$AC613),"")</f>
      </c>
      <c r="AH613" s="7" t="str">
        <f>IFERROR(IF([1]对账明细接口!$AD613=0,"",[1]对账明细接口!$AD613),"")</f>
        <v>成品出库</v>
      </c>
      <c r="AI613" s="7">
        <f>IFERROR(IF([1]对账明细接口!$AE613=0,"",[1]对账明细接口!$AE613),"")</f>
      </c>
      <c r="AJ613" s="7">
        <f>IFERROR(IF([1]对账明细接口!$AF613=0,"",[1]对账明细接口!$AF613),"")</f>
      </c>
    </row>
    <row r="614" ht="14.25" customHeight="1" s="127">
      <c r="A614" s="14" t="n">
        <v>614</v>
      </c>
      <c r="B614" s="211">
        <f>IFERROR(IF([1]对账明细接口!$B$614=0,"",[1]对账明细接口!$B$614),"")</f>
        <v>46282.0</v>
      </c>
      <c r="C614" s="16" t="str">
        <f>IFERROR(IF([1]对账明细接口!$C$614=0,"",[1]对账明细接口!$C$614),"")</f>
        <v>王照雪</v>
      </c>
      <c r="D614" s="16" t="str">
        <f>IFERROR(IF([1]对账明细接口!$D$614=0,"",[1]对账明细接口!$D$614),"")</f>
        <v>成品出库－成品出库</v>
      </c>
      <c r="E614" s="16" t="str">
        <f>IFERROR(IF([1]对账明细接口!$E$614=0,"",[1]对账明细接口!$E$614),"")</f>
        <v>NO:0001166</v>
      </c>
      <c r="F614" s="16" t="str">
        <f>IFERROR(IF([1]对账明细接口!$F$614=0,"",[1]对账明细接口!$F$614),"")</f>
        <v>苹果</v>
      </c>
      <c r="G614" s="16" t="str">
        <f>IFERROR(IF([1]对账明细接口!$G$614=0,"",[1]对账明细接口!$G$614),"")</f>
        <v>苹果扎伤</v>
      </c>
      <c r="H614" s="176">
        <f>IFERROR(IF([1]对账明细接口!$H$614=0,"",[1]对账明细接口!$H$614),"")</f>
        <v>25</v>
      </c>
      <c r="I614" s="16" t="str">
        <f>IFERROR(IF([1]对账明细接口!$I$614=0,"",[1]对账明细接口!$I$614),"")</f>
        <v>筐</v>
      </c>
      <c r="J614" s="177">
        <f>IFERROR(IF([1]对账明细接口!$J$614=0,"",[1]对账明细接口!$J$614),"")</f>
        <v>440</v>
      </c>
      <c r="K614" s="177">
        <f>IFERROR(IF([1]对账明细接口!$K$614=0,"",[1]对账明细接口!$K$614),"")</f>
      </c>
      <c r="L614" s="16">
        <f>IFERROR(IF([1]对账明细接口!$L$614=0,"",[1]对账明细接口!$L$614),"")</f>
      </c>
      <c r="M614" s="16">
        <f>IFERROR(IF([1]对账明细接口!$M$614=0,"",[1]对账明细接口!$M$614),"")</f>
      </c>
      <c r="N614" s="19">
        <f>IF($C614="",0,1)</f>
        <v>1</v>
      </c>
      <c r="O614" s="19">
        <f>N(O613)+$N614</f>
        <v>611</v>
      </c>
      <c r="S614" s="20" t="str">
        <f>IFERROR(IF([1]对账明细接口!$N614=0,"",[1]对账明细接口!$N614),"")</f>
        <v>公司杂周转筐</v>
      </c>
      <c r="T614" s="212">
        <f>IFERROR(IF([1]对账明细接口!$O614=0,"",[1]对账明细接口!$O614),"")</f>
        <v>25</v>
      </c>
      <c r="U614" s="212">
        <f>IFERROR(IF([1]对账明细接口!$P614=0,"",[1]对账明细接口!$P614),"")</f>
      </c>
      <c r="V614" s="212">
        <f>IFERROR(IF([1]对账明细接口!$Q614=0,"",[1]对账明细接口!$Q614),"")</f>
      </c>
      <c r="W614" s="20" t="str">
        <f>IFERROR(IF([1]对账明细接口!$R614=0,"",[1]对账明细接口!$R614),"")</f>
        <v>新N*GG901</v>
      </c>
      <c r="X614" s="20" t="str">
        <f>IFERROR(IF([1]对账明细接口!$S614=0,"",[1]对账明细接口!$S614),"")</f>
        <v>公司筐</v>
      </c>
      <c r="Y614" s="20" t="str">
        <f>IFERROR(IF([1]对账明细接口!$T614=0,"",[1]对账明细接口!$T614),"")</f>
        <v>王照雪</v>
      </c>
      <c r="Z614" s="213">
        <f>IFERROR(IF([1]对账明细接口!$U614=0,"",[1]对账明细接口!$U614),"")</f>
      </c>
      <c r="AA614" s="213">
        <f>IFERROR(IF([1]对账明细接口!$V614=0,"",[1]对账明细接口!$V614),"")</f>
      </c>
      <c r="AB614" s="20">
        <f>IFERROR(IF([1]对账明细接口!$W614=0,"",[1]对账明细接口!$W614),"")</f>
      </c>
      <c r="AC614" s="7" t="str">
        <f>IFERROR(IF([1]对账明细接口!$X614=0,"",[1]对账明细接口!$X614),"")</f>
        <v>王照雪</v>
      </c>
      <c r="AD614" s="7">
        <f>IFERROR(IF([1]对账明细接口!$Y614=0,"",[1]对账明细接口!$Y614),"")</f>
      </c>
      <c r="AE614" s="7">
        <f>IFERROR(IF([1]对账明细接口!$AA614=0,"",[1]对账明细接口!$AA614),"")</f>
      </c>
      <c r="AF614" s="7">
        <f>IFERROR(IF([1]对账明细接口!$AB614=0,"",[1]对账明细接口!$AB614),"")</f>
      </c>
      <c r="AG614" s="7">
        <f>IFERROR(IF([1]对账明细接口!$AC614=0,"",[1]对账明细接口!$AC614),"")</f>
      </c>
      <c r="AH614" s="7" t="str">
        <f>IFERROR(IF([1]对账明细接口!$AD614=0,"",[1]对账明细接口!$AD614),"")</f>
        <v>成品出库</v>
      </c>
      <c r="AI614" s="7">
        <f>IFERROR(IF([1]对账明细接口!$AE614=0,"",[1]对账明细接口!$AE614),"")</f>
      </c>
      <c r="AJ614" s="7">
        <f>IFERROR(IF([1]对账明细接口!$AF614=0,"",[1]对账明细接口!$AF614),"")</f>
      </c>
    </row>
    <row r="615" ht="14.25" customHeight="1" s="127">
      <c r="A615" s="14" t="n">
        <v>615</v>
      </c>
      <c r="B615" s="211">
        <f>IFERROR(IF([1]对账明细接口!$B$615=0,"",[1]对账明细接口!$B$615),"")</f>
        <v>46282.0</v>
      </c>
      <c r="C615" s="16" t="str">
        <f>IFERROR(IF([1]对账明细接口!$C$615=0,"",[1]对账明细接口!$C$615),"")</f>
        <v>王照雪</v>
      </c>
      <c r="D615" s="16" t="str">
        <f>IFERROR(IF([1]对账明细接口!$D$615=0,"",[1]对账明细接口!$D$615),"")</f>
        <v>成品出库－成品出库</v>
      </c>
      <c r="E615" s="16" t="str">
        <f>IFERROR(IF([1]对账明细接口!$E$615=0,"",[1]对账明细接口!$E$615),"")</f>
        <v>NO:0001168</v>
      </c>
      <c r="F615" s="16" t="str">
        <f>IFERROR(IF([1]对账明细接口!$F$615=0,"",[1]对账明细接口!$F$615),"")</f>
        <v>苹果</v>
      </c>
      <c r="G615" s="16" t="str">
        <f>IFERROR(IF([1]对账明细接口!$G$615=0,"",[1]对账明细接口!$G$615),"")</f>
        <v>新世纪一级</v>
      </c>
      <c r="H615" s="176">
        <f>IFERROR(IF([1]对账明细接口!$H$615=0,"",[1]对账明细接口!$H$615),"")</f>
        <v>27</v>
      </c>
      <c r="I615" s="16" t="str">
        <f>IFERROR(IF([1]对账明细接口!$I$615=0,"",[1]对账明细接口!$I$615),"")</f>
        <v>箱</v>
      </c>
      <c r="J615" s="177">
        <f>IFERROR(IF([1]对账明细接口!$J$615=0,"",[1]对账明细接口!$J$615),"")</f>
        <v>137.7</v>
      </c>
      <c r="K615" s="177">
        <f>IFERROR(IF([1]对账明细接口!$K$615=0,"",[1]对账明细接口!$K$615),"")</f>
      </c>
      <c r="L615" s="16">
        <f>IFERROR(IF([1]对账明细接口!$L$615=0,"",[1]对账明细接口!$L$615),"")</f>
      </c>
      <c r="M615" s="16">
        <f>IFERROR(IF([1]对账明细接口!$M$615=0,"",[1]对账明细接口!$M$615),"")</f>
      </c>
      <c r="N615" s="19">
        <f>IF($C615="",0,1)</f>
        <v>1</v>
      </c>
      <c r="O615" s="19">
        <f>N(O614)+$N615</f>
        <v>612</v>
      </c>
      <c r="S615" s="20" t="str">
        <f>IFERROR(IF([1]对账明细接口!$N615=0,"",[1]对账明细接口!$N615),"")</f>
        <v>纸箱</v>
      </c>
      <c r="T615" s="212">
        <f>IFERROR(IF([1]对账明细接口!$O615=0,"",[1]对账明细接口!$O615),"")</f>
      </c>
      <c r="U615" s="212">
        <f>IFERROR(IF([1]对账明细接口!$P615=0,"",[1]对账明细接口!$P615),"")</f>
      </c>
      <c r="V615" s="212">
        <f>IFERROR(IF([1]对账明细接口!$Q615=0,"",[1]对账明细接口!$Q615),"")</f>
      </c>
      <c r="W615" s="20" t="str">
        <f>IFERROR(IF([1]对账明细接口!$R615=0,"",[1]对账明细接口!$R615),"")</f>
        <v>新N*V5L92</v>
      </c>
      <c r="X615" s="20" t="str">
        <f>IFERROR(IF([1]对账明细接口!$S615=0,"",[1]对账明细接口!$S615),"")</f>
        <v>公司筐</v>
      </c>
      <c r="Y615" s="20" t="str">
        <f>IFERROR(IF([1]对账明细接口!$T615=0,"",[1]对账明细接口!$T615),"")</f>
        <v>王照雪</v>
      </c>
      <c r="Z615" s="213">
        <f>IFERROR(IF([1]对账明细接口!$U615=0,"",[1]对账明细接口!$U615),"")</f>
      </c>
      <c r="AA615" s="213">
        <f>IFERROR(IF([1]对账明细接口!$V615=0,"",[1]对账明细接口!$V615),"")</f>
      </c>
      <c r="AB615" s="20">
        <f>IFERROR(IF([1]对账明细接口!$W615=0,"",[1]对账明细接口!$W615),"")</f>
      </c>
      <c r="AC615" s="7" t="str">
        <f>IFERROR(IF([1]对账明细接口!$X615=0,"",[1]对账明细接口!$X615),"")</f>
        <v>电商/主播</v>
      </c>
      <c r="AD615" s="7">
        <f>IFERROR(IF([1]对账明细接口!$Y615=0,"",[1]对账明细接口!$Y615),"")</f>
      </c>
      <c r="AE615" s="7">
        <f>IFERROR(IF([1]对账明细接口!$AA615=0,"",[1]对账明细接口!$AA615),"")</f>
      </c>
      <c r="AF615" s="7">
        <f>IFERROR(IF([1]对账明细接口!$AB615=0,"",[1]对账明细接口!$AB615),"")</f>
      </c>
      <c r="AG615" s="7">
        <f>IFERROR(IF([1]对账明细接口!$AC615=0,"",[1]对账明细接口!$AC615),"")</f>
      </c>
      <c r="AH615" s="7" t="str">
        <f>IFERROR(IF([1]对账明细接口!$AD615=0,"",[1]对账明细接口!$AD615),"")</f>
        <v>成品出库</v>
      </c>
      <c r="AI615" s="7">
        <f>IFERROR(IF([1]对账明细接口!$AE615=0,"",[1]对账明细接口!$AE615),"")</f>
      </c>
      <c r="AJ615" s="7">
        <f>IFERROR(IF([1]对账明细接口!$AF615=0,"",[1]对账明细接口!$AF615),"")</f>
      </c>
    </row>
    <row r="616" ht="14.25" customHeight="1" s="127">
      <c r="A616" s="14" t="n">
        <v>616</v>
      </c>
      <c r="B616" s="211">
        <f>IFERROR(IF([1]对账明细接口!$B$616=0,"",[1]对账明细接口!$B$616),"")</f>
        <v>46282.0</v>
      </c>
      <c r="C616" s="16" t="str">
        <f>IFERROR(IF([1]对账明细接口!$C$616=0,"",[1]对账明细接口!$C$616),"")</f>
        <v>王照雪</v>
      </c>
      <c r="D616" s="16" t="str">
        <f>IFERROR(IF([1]对账明细接口!$D$616=0,"",[1]对账明细接口!$D$616),"")</f>
        <v>成品出库－成品出库</v>
      </c>
      <c r="E616" s="16" t="str">
        <f>IFERROR(IF([1]对账明细接口!$E$616=0,"",[1]对账明细接口!$E$616),"")</f>
        <v>NO:0001168</v>
      </c>
      <c r="F616" s="16" t="str">
        <f>IFERROR(IF([1]对账明细接口!$F$616=0,"",[1]对账明细接口!$F$616),"")</f>
        <v>香梨</v>
      </c>
      <c r="G616" s="16" t="str">
        <f>IFERROR(IF([1]对账明细接口!$G$616=0,"",[1]对账明细接口!$G$616),"")</f>
        <v>香梨一级</v>
      </c>
      <c r="H616" s="176">
        <f>IFERROR(IF([1]对账明细接口!$H$616=0,"",[1]对账明细接口!$H$616),"")</f>
        <v>24</v>
      </c>
      <c r="I616" s="16" t="str">
        <f>IFERROR(IF([1]对账明细接口!$I$616=0,"",[1]对账明细接口!$I$616),"")</f>
        <v>箱</v>
      </c>
      <c r="J616" s="177">
        <f>IFERROR(IF([1]对账明细接口!$J$616=0,"",[1]对账明细接口!$J$616),"")</f>
        <v>120</v>
      </c>
      <c r="K616" s="177">
        <f>IFERROR(IF([1]对账明细接口!$K$616=0,"",[1]对账明细接口!$K$616),"")</f>
      </c>
      <c r="L616" s="16">
        <f>IFERROR(IF([1]对账明细接口!$L$616=0,"",[1]对账明细接口!$L$616),"")</f>
      </c>
      <c r="M616" s="16">
        <f>IFERROR(IF([1]对账明细接口!$M$616=0,"",[1]对账明细接口!$M$616),"")</f>
      </c>
      <c r="N616" s="19">
        <f>IF($C616="",0,1)</f>
        <v>1</v>
      </c>
      <c r="O616" s="19">
        <f>N(O615)+$N616</f>
        <v>613</v>
      </c>
      <c r="S616" s="20" t="str">
        <f>IFERROR(IF([1]对账明细接口!$N616=0,"",[1]对账明细接口!$N616),"")</f>
        <v>纸箱</v>
      </c>
      <c r="T616" s="212">
        <f>IFERROR(IF([1]对账明细接口!$O616=0,"",[1]对账明细接口!$O616),"")</f>
      </c>
      <c r="U616" s="212">
        <f>IFERROR(IF([1]对账明细接口!$P616=0,"",[1]对账明细接口!$P616),"")</f>
      </c>
      <c r="V616" s="212">
        <f>IFERROR(IF([1]对账明细接口!$Q616=0,"",[1]对账明细接口!$Q616),"")</f>
      </c>
      <c r="W616" s="20" t="str">
        <f>IFERROR(IF([1]对账明细接口!$R616=0,"",[1]对账明细接口!$R616),"")</f>
        <v>新N*V5L92</v>
      </c>
      <c r="X616" s="20" t="str">
        <f>IFERROR(IF([1]对账明细接口!$S616=0,"",[1]对账明细接口!$S616),"")</f>
        <v>公司筐</v>
      </c>
      <c r="Y616" s="20" t="str">
        <f>IFERROR(IF([1]对账明细接口!$T616=0,"",[1]对账明细接口!$T616),"")</f>
        <v>王照雪</v>
      </c>
      <c r="Z616" s="213">
        <f>IFERROR(IF([1]对账明细接口!$U616=0,"",[1]对账明细接口!$U616),"")</f>
      </c>
      <c r="AA616" s="213">
        <f>IFERROR(IF([1]对账明细接口!$V616=0,"",[1]对账明细接口!$V616),"")</f>
      </c>
      <c r="AB616" s="20">
        <f>IFERROR(IF([1]对账明细接口!$W616=0,"",[1]对账明细接口!$W616),"")</f>
      </c>
      <c r="AC616" s="7" t="str">
        <f>IFERROR(IF([1]对账明细接口!$X616=0,"",[1]对账明细接口!$X616),"")</f>
        <v>电商/主播</v>
      </c>
      <c r="AD616" s="7">
        <f>IFERROR(IF([1]对账明细接口!$Y616=0,"",[1]对账明细接口!$Y616),"")</f>
      </c>
      <c r="AE616" s="7">
        <f>IFERROR(IF([1]对账明细接口!$AA616=0,"",[1]对账明细接口!$AA616),"")</f>
      </c>
      <c r="AF616" s="7">
        <f>IFERROR(IF([1]对账明细接口!$AB616=0,"",[1]对账明细接口!$AB616),"")</f>
      </c>
      <c r="AG616" s="7">
        <f>IFERROR(IF([1]对账明细接口!$AC616=0,"",[1]对账明细接口!$AC616),"")</f>
      </c>
      <c r="AH616" s="7" t="str">
        <f>IFERROR(IF([1]对账明细接口!$AD616=0,"",[1]对账明细接口!$AD616),"")</f>
        <v>成品出库</v>
      </c>
      <c r="AI616" s="7">
        <f>IFERROR(IF([1]对账明细接口!$AE616=0,"",[1]对账明细接口!$AE616),"")</f>
      </c>
      <c r="AJ616" s="7">
        <f>IFERROR(IF([1]对账明细接口!$AF616=0,"",[1]对账明细接口!$AF616),"")</f>
      </c>
    </row>
    <row r="617" ht="14.25" customHeight="1" s="127">
      <c r="A617" s="14" t="n">
        <v>617</v>
      </c>
      <c r="B617" s="211">
        <f>IFERROR(IF([1]对账明细接口!$B$617=0,"",[1]对账明细接口!$B$617),"")</f>
        <v>46283.0</v>
      </c>
      <c r="C617" s="16" t="str">
        <f>IFERROR(IF([1]对账明细接口!$C$617=0,"",[1]对账明细接口!$C$617),"")</f>
        <v>王照雪</v>
      </c>
      <c r="D617" s="16" t="str">
        <f>IFERROR(IF([1]对账明细接口!$D$617=0,"",[1]对账明细接口!$D$617),"")</f>
        <v>成品出库－成品出库</v>
      </c>
      <c r="E617" s="16" t="str">
        <f>IFERROR(IF([1]对账明细接口!$E$617=0,"",[1]对账明细接口!$E$617),"")</f>
        <v>NO:0001175</v>
      </c>
      <c r="F617" s="16" t="str">
        <f>IFERROR(IF([1]对账明细接口!$F$617=0,"",[1]对账明细接口!$F$617),"")</f>
        <v>苹果</v>
      </c>
      <c r="G617" s="16" t="str">
        <f>IFERROR(IF([1]对账明细接口!$G$617=0,"",[1]对账明细接口!$G$617),"")</f>
        <v>新世纪一级</v>
      </c>
      <c r="H617" s="176">
        <f>IFERROR(IF([1]对账明细接口!$H$617=0,"",[1]对账明细接口!$H$617),"")</f>
        <v>486</v>
      </c>
      <c r="I617" s="16" t="str">
        <f>IFERROR(IF([1]对账明细接口!$I$617=0,"",[1]对账明细接口!$I$617),"")</f>
        <v>筐</v>
      </c>
      <c r="J617" s="177">
        <f>IFERROR(IF([1]对账明细接口!$J$617=0,"",[1]对账明细接口!$J$617),"")</f>
        <v>8748</v>
      </c>
      <c r="K617" s="177">
        <f>IFERROR(IF([1]对账明细接口!$K$617=0,"",[1]对账明细接口!$K$617),"")</f>
      </c>
      <c r="L617" s="16">
        <f>IFERROR(IF([1]对账明细接口!$L$617=0,"",[1]对账明细接口!$L$617),"")</f>
      </c>
      <c r="M617" s="16">
        <f>IFERROR(IF([1]对账明细接口!$M$617=0,"",[1]对账明细接口!$M$617),"")</f>
      </c>
      <c r="N617" s="19">
        <f>IF($C617="",0,1)</f>
        <v>1</v>
      </c>
      <c r="O617" s="19">
        <f>N(O616)+$N617</f>
        <v>614</v>
      </c>
      <c r="S617" s="20" t="str">
        <f>IFERROR(IF([1]对账明细接口!$N617=0,"",[1]对账明细接口!$N617),"")</f>
        <v>自备一次性筐</v>
      </c>
      <c r="T617" s="212">
        <f>IFERROR(IF([1]对账明细接口!$O617=0,"",[1]对账明细接口!$O617),"")</f>
        <v>486</v>
      </c>
      <c r="U617" s="212">
        <f>IFERROR(IF([1]对账明细接口!$P617=0,"",[1]对账明细接口!$P617),"")</f>
      </c>
      <c r="V617" s="212">
        <f>IFERROR(IF([1]对账明细接口!$Q617=0,"",[1]对账明细接口!$Q617),"")</f>
      </c>
      <c r="W617" s="20" t="str">
        <f>IFERROR(IF([1]对账明细接口!$R617=0,"",[1]对账明细接口!$R617),"")</f>
        <v>冀B*6E205</v>
      </c>
      <c r="X617" s="20" t="str">
        <f>IFERROR(IF([1]对账明细接口!$S617=0,"",[1]对账明细接口!$S617),"")</f>
        <v>自备筐</v>
      </c>
      <c r="Y617" s="20" t="str">
        <f>IFERROR(IF([1]对账明细接口!$T617=0,"",[1]对账明细接口!$T617),"")</f>
        <v>王照雪</v>
      </c>
      <c r="Z617" s="213">
        <f>IFERROR(IF([1]对账明细接口!$U617=0,"",[1]对账明细接口!$U617),"")</f>
      </c>
      <c r="AA617" s="213">
        <f>IFERROR(IF([1]对账明细接口!$V617=0,"",[1]对账明细接口!$V617),"")</f>
      </c>
      <c r="AB617" s="20">
        <f>IFERROR(IF([1]对账明细接口!$W617=0,"",[1]对账明细接口!$W617),"")</f>
      </c>
      <c r="AC617" s="7" t="str">
        <f>IFERROR(IF([1]对账明细接口!$X617=0,"",[1]对账明细接口!$X617),"")</f>
        <v>王照雪</v>
      </c>
      <c r="AD617" s="7">
        <f>IFERROR(IF([1]对账明细接口!$Y617=0,"",[1]对账明细接口!$Y617),"")</f>
      </c>
      <c r="AE617" s="7">
        <f>IFERROR(IF([1]对账明细接口!$AA617=0,"",[1]对账明细接口!$AA617),"")</f>
      </c>
      <c r="AF617" s="7">
        <f>IFERROR(IF([1]对账明细接口!$AB617=0,"",[1]对账明细接口!$AB617),"")</f>
      </c>
      <c r="AG617" s="7">
        <f>IFERROR(IF([1]对账明细接口!$AC617=0,"",[1]对账明细接口!$AC617),"")</f>
      </c>
      <c r="AH617" s="7" t="str">
        <f>IFERROR(IF([1]对账明细接口!$AD617=0,"",[1]对账明细接口!$AD617),"")</f>
        <v>成品出库</v>
      </c>
      <c r="AI617" s="7">
        <f>IFERROR(IF([1]对账明细接口!$AE617=0,"",[1]对账明细接口!$AE617),"")</f>
      </c>
      <c r="AJ617" s="7">
        <f>IFERROR(IF([1]对账明细接口!$AF617=0,"",[1]对账明细接口!$AF617),"")</f>
      </c>
    </row>
    <row r="618" ht="14.25" customHeight="1" s="127">
      <c r="A618" s="14" t="n">
        <v>618</v>
      </c>
      <c r="B618" s="211">
        <f>IFERROR(IF([1]对账明细接口!$B$618=0,"",[1]对账明细接口!$B$618),"")</f>
        <v>46283.0</v>
      </c>
      <c r="C618" s="16" t="str">
        <f>IFERROR(IF([1]对账明细接口!$C$618=0,"",[1]对账明细接口!$C$618),"")</f>
        <v>王照雪</v>
      </c>
      <c r="D618" s="16" t="str">
        <f>IFERROR(IF([1]对账明细接口!$D$618=0,"",[1]对账明细接口!$D$618),"")</f>
        <v>成品出库－成品出库</v>
      </c>
      <c r="E618" s="16" t="str">
        <f>IFERROR(IF([1]对账明细接口!$E$618=0,"",[1]对账明细接口!$E$618),"")</f>
        <v>NO:0001175</v>
      </c>
      <c r="F618" s="16" t="str">
        <f>IFERROR(IF([1]对账明细接口!$F$618=0,"",[1]对账明细接口!$F$618),"")</f>
        <v>苹果</v>
      </c>
      <c r="G618" s="16" t="str">
        <f>IFERROR(IF([1]对账明细接口!$G$618=0,"",[1]对账明细接口!$G$618),"")</f>
        <v>新世纪一级</v>
      </c>
      <c r="H618" s="176">
        <f>IFERROR(IF([1]对账明细接口!$H$618=0,"",[1]对账明细接口!$H$618),"")</f>
        <v>1152</v>
      </c>
      <c r="I618" s="16" t="str">
        <f>IFERROR(IF([1]对账明细接口!$I$618=0,"",[1]对账明细接口!$I$618),"")</f>
        <v>箱</v>
      </c>
      <c r="J618" s="177">
        <f>IFERROR(IF([1]对账明细接口!$J$618=0,"",[1]对账明细接口!$J$618),"")</f>
        <v>5529.6</v>
      </c>
      <c r="K618" s="177">
        <f>IFERROR(IF([1]对账明细接口!$K$618=0,"",[1]对账明细接口!$K$618),"")</f>
      </c>
      <c r="L618" s="16">
        <f>IFERROR(IF([1]对账明细接口!$L$618=0,"",[1]对账明细接口!$L$618),"")</f>
      </c>
      <c r="M618" s="16">
        <f>IFERROR(IF([1]对账明细接口!$M$618=0,"",[1]对账明细接口!$M$618),"")</f>
      </c>
      <c r="N618" s="19">
        <f>IF($C618="",0,1)</f>
        <v>1</v>
      </c>
      <c r="O618" s="19">
        <f>N(O617)+$N618</f>
        <v>615</v>
      </c>
      <c r="S618" s="20" t="str">
        <f>IFERROR(IF([1]对账明细接口!$N618=0,"",[1]对账明细接口!$N618),"")</f>
        <v>纸箱</v>
      </c>
      <c r="T618" s="212">
        <f>IFERROR(IF([1]对账明细接口!$O618=0,"",[1]对账明细接口!$O618),"")</f>
      </c>
      <c r="U618" s="212">
        <f>IFERROR(IF([1]对账明细接口!$P618=0,"",[1]对账明细接口!$P618),"")</f>
      </c>
      <c r="V618" s="212">
        <f>IFERROR(IF([1]对账明细接口!$Q618=0,"",[1]对账明细接口!$Q618),"")</f>
      </c>
      <c r="W618" s="20" t="str">
        <f>IFERROR(IF([1]对账明细接口!$R618=0,"",[1]对账明细接口!$R618),"")</f>
        <v>冀B*6E205</v>
      </c>
      <c r="X618" s="20" t="str">
        <f>IFERROR(IF([1]对账明细接口!$S618=0,"",[1]对账明细接口!$S618),"")</f>
        <v>公司筐</v>
      </c>
      <c r="Y618" s="20" t="str">
        <f>IFERROR(IF([1]对账明细接口!$T618=0,"",[1]对账明细接口!$T618),"")</f>
        <v>王照雪</v>
      </c>
      <c r="Z618" s="213">
        <f>IFERROR(IF([1]对账明细接口!$U618=0,"",[1]对账明细接口!$U618),"")</f>
      </c>
      <c r="AA618" s="213">
        <f>IFERROR(IF([1]对账明细接口!$V618=0,"",[1]对账明细接口!$V618),"")</f>
      </c>
      <c r="AB618" s="20">
        <f>IFERROR(IF([1]对账明细接口!$W618=0,"",[1]对账明细接口!$W618),"")</f>
      </c>
      <c r="AC618" s="7" t="str">
        <f>IFERROR(IF([1]对账明细接口!$X618=0,"",[1]对账明细接口!$X618),"")</f>
        <v>王照雪</v>
      </c>
      <c r="AD618" s="7">
        <f>IFERROR(IF([1]对账明细接口!$Y618=0,"",[1]对账明细接口!$Y618),"")</f>
      </c>
      <c r="AE618" s="7">
        <f>IFERROR(IF([1]对账明细接口!$AA618=0,"",[1]对账明细接口!$AA618),"")</f>
      </c>
      <c r="AF618" s="7">
        <f>IFERROR(IF([1]对账明细接口!$AB618=0,"",[1]对账明细接口!$AB618),"")</f>
      </c>
      <c r="AG618" s="7">
        <f>IFERROR(IF([1]对账明细接口!$AC618=0,"",[1]对账明细接口!$AC618),"")</f>
      </c>
      <c r="AH618" s="7" t="str">
        <f>IFERROR(IF([1]对账明细接口!$AD618=0,"",[1]对账明细接口!$AD618),"")</f>
        <v>成品出库</v>
      </c>
      <c r="AI618" s="7">
        <f>IFERROR(IF([1]对账明细接口!$AE618=0,"",[1]对账明细接口!$AE618),"")</f>
      </c>
      <c r="AJ618" s="7">
        <f>IFERROR(IF([1]对账明细接口!$AF618=0,"",[1]对账明细接口!$AF618),"")</f>
      </c>
    </row>
    <row r="619" ht="14.25" customHeight="1" s="127">
      <c r="A619" s="14" t="n">
        <v>619</v>
      </c>
      <c r="B619" s="211">
        <f>IFERROR(IF([1]对账明细接口!$B$619=0,"",[1]对账明细接口!$B$619),"")</f>
        <v>46283.0</v>
      </c>
      <c r="C619" s="16" t="str">
        <f>IFERROR(IF([1]对账明细接口!$C$619=0,"",[1]对账明细接口!$C$619),"")</f>
        <v>王照雪</v>
      </c>
      <c r="D619" s="16" t="str">
        <f>IFERROR(IF([1]对账明细接口!$D$619=0,"",[1]对账明细接口!$D$619),"")</f>
        <v>成品出库－成品出库</v>
      </c>
      <c r="E619" s="16" t="str">
        <f>IFERROR(IF([1]对账明细接口!$E$619=0,"",[1]对账明细接口!$E$619),"")</f>
        <v>NO:0001177</v>
      </c>
      <c r="F619" s="16" t="str">
        <f>IFERROR(IF([1]对账明细接口!$F$619=0,"",[1]对账明细接口!$F$619),"")</f>
        <v>苹果</v>
      </c>
      <c r="G619" s="16" t="str">
        <f>IFERROR(IF([1]对账明细接口!$G$619=0,"",[1]对账明细接口!$G$619),"")</f>
        <v>新世纪一级</v>
      </c>
      <c r="H619" s="176">
        <f>IFERROR(IF([1]对账明细接口!$H$619=0,"",[1]对账明细接口!$H$619),"")</f>
        <v>26</v>
      </c>
      <c r="I619" s="16" t="str">
        <f>IFERROR(IF([1]对账明细接口!$I$619=0,"",[1]对账明细接口!$I$619),"")</f>
        <v>箱</v>
      </c>
      <c r="J619" s="177">
        <f>IFERROR(IF([1]对账明细接口!$J$619=0,"",[1]对账明细接口!$J$619),"")</f>
        <v>132.6</v>
      </c>
      <c r="K619" s="177">
        <f>IFERROR(IF([1]对账明细接口!$K$619=0,"",[1]对账明细接口!$K$619),"")</f>
      </c>
      <c r="L619" s="16">
        <f>IFERROR(IF([1]对账明细接口!$L$619=0,"",[1]对账明细接口!$L$619),"")</f>
      </c>
      <c r="M619" s="16">
        <f>IFERROR(IF([1]对账明细接口!$M$619=0,"",[1]对账明细接口!$M$619),"")</f>
      </c>
      <c r="N619" s="19">
        <f>IF($C619="",0,1)</f>
        <v>1</v>
      </c>
      <c r="O619" s="19">
        <f>N(O618)+$N619</f>
        <v>616</v>
      </c>
      <c r="S619" s="20" t="str">
        <f>IFERROR(IF([1]对账明细接口!$N619=0,"",[1]对账明细接口!$N619),"")</f>
        <v>纸箱</v>
      </c>
      <c r="T619" s="212">
        <f>IFERROR(IF([1]对账明细接口!$O619=0,"",[1]对账明细接口!$O619),"")</f>
      </c>
      <c r="U619" s="212">
        <f>IFERROR(IF([1]对账明细接口!$P619=0,"",[1]对账明细接口!$P619),"")</f>
      </c>
      <c r="V619" s="212">
        <f>IFERROR(IF([1]对账明细接口!$Q619=0,"",[1]对账明细接口!$Q619),"")</f>
      </c>
      <c r="W619" s="20" t="str">
        <f>IFERROR(IF([1]对账明细接口!$R619=0,"",[1]对账明细接口!$R619),"")</f>
        <v>豫N*P269J</v>
      </c>
      <c r="X619" s="20" t="str">
        <f>IFERROR(IF([1]对账明细接口!$S619=0,"",[1]对账明细接口!$S619),"")</f>
        <v>公司筐</v>
      </c>
      <c r="Y619" s="20" t="str">
        <f>IFERROR(IF([1]对账明细接口!$T619=0,"",[1]对账明细接口!$T619),"")</f>
        <v>王照雪</v>
      </c>
      <c r="Z619" s="213">
        <f>IFERROR(IF([1]对账明细接口!$U619=0,"",[1]对账明细接口!$U619),"")</f>
      </c>
      <c r="AA619" s="213">
        <f>IFERROR(IF([1]对账明细接口!$V619=0,"",[1]对账明细接口!$V619),"")</f>
      </c>
      <c r="AB619" s="20">
        <f>IFERROR(IF([1]对账明细接口!$W619=0,"",[1]对账明细接口!$W619),"")</f>
      </c>
      <c r="AC619" s="7" t="str">
        <f>IFERROR(IF([1]对账明细接口!$X619=0,"",[1]对账明细接口!$X619),"")</f>
        <v>电商/主播</v>
      </c>
      <c r="AD619" s="7">
        <f>IFERROR(IF([1]对账明细接口!$Y619=0,"",[1]对账明细接口!$Y619),"")</f>
      </c>
      <c r="AE619" s="7">
        <f>IFERROR(IF([1]对账明细接口!$AA619=0,"",[1]对账明细接口!$AA619),"")</f>
      </c>
      <c r="AF619" s="7">
        <f>IFERROR(IF([1]对账明细接口!$AB619=0,"",[1]对账明细接口!$AB619),"")</f>
      </c>
      <c r="AG619" s="7">
        <f>IFERROR(IF([1]对账明细接口!$AC619=0,"",[1]对账明细接口!$AC619),"")</f>
      </c>
      <c r="AH619" s="7" t="str">
        <f>IFERROR(IF([1]对账明细接口!$AD619=0,"",[1]对账明细接口!$AD619),"")</f>
        <v>成品出库</v>
      </c>
      <c r="AI619" s="7">
        <f>IFERROR(IF([1]对账明细接口!$AE619=0,"",[1]对账明细接口!$AE619),"")</f>
      </c>
      <c r="AJ619" s="7">
        <f>IFERROR(IF([1]对账明细接口!$AF619=0,"",[1]对账明细接口!$AF619),"")</f>
      </c>
    </row>
    <row r="620" ht="14.25" customHeight="1" s="127">
      <c r="A620" s="14" t="n">
        <v>620</v>
      </c>
      <c r="B620" s="211">
        <f>IFERROR(IF([1]对账明细接口!$B$620=0,"",[1]对账明细接口!$B$620),"")</f>
        <v>46283.0</v>
      </c>
      <c r="C620" s="16" t="str">
        <f>IFERROR(IF([1]对账明细接口!$C$620=0,"",[1]对账明细接口!$C$620),"")</f>
        <v>王照雪</v>
      </c>
      <c r="D620" s="16" t="str">
        <f>IFERROR(IF([1]对账明细接口!$D$620=0,"",[1]对账明细接口!$D$620),"")</f>
        <v>成品出库－成品出库</v>
      </c>
      <c r="E620" s="16" t="str">
        <f>IFERROR(IF([1]对账明细接口!$E$620=0,"",[1]对账明细接口!$E$620),"")</f>
        <v>NO:0001177</v>
      </c>
      <c r="F620" s="16" t="str">
        <f>IFERROR(IF([1]对账明细接口!$F$620=0,"",[1]对账明细接口!$F$620),"")</f>
        <v>苹果</v>
      </c>
      <c r="G620" s="16" t="str">
        <f>IFERROR(IF([1]对账明细接口!$G$620=0,"",[1]对账明细接口!$G$620),"")</f>
        <v>新世纪一级</v>
      </c>
      <c r="H620" s="176">
        <f>IFERROR(IF([1]对账明细接口!$H$620=0,"",[1]对账明细接口!$H$620),"")</f>
        <v>10</v>
      </c>
      <c r="I620" s="16" t="str">
        <f>IFERROR(IF([1]对账明细接口!$I$620=0,"",[1]对账明细接口!$I$620),"")</f>
        <v>箱</v>
      </c>
      <c r="J620" s="177">
        <f>IFERROR(IF([1]对账明细接口!$J$620=0,"",[1]对账明细接口!$J$620),"")</f>
        <v>50</v>
      </c>
      <c r="K620" s="177">
        <f>IFERROR(IF([1]对账明细接口!$K$620=0,"",[1]对账明细接口!$K$620),"")</f>
      </c>
      <c r="L620" s="16">
        <f>IFERROR(IF([1]对账明细接口!$L$620=0,"",[1]对账明细接口!$L$620),"")</f>
      </c>
      <c r="M620" s="16">
        <f>IFERROR(IF([1]对账明细接口!$M$620=0,"",[1]对账明细接口!$M$620),"")</f>
      </c>
      <c r="N620" s="19">
        <f>IF($C620="",0,1)</f>
        <v>1</v>
      </c>
      <c r="O620" s="19">
        <f>N(O619)+$N620</f>
        <v>617</v>
      </c>
      <c r="S620" s="20" t="str">
        <f>IFERROR(IF([1]对账明细接口!$N620=0,"",[1]对账明细接口!$N620),"")</f>
        <v>纸箱</v>
      </c>
      <c r="T620" s="212">
        <f>IFERROR(IF([1]对账明细接口!$O620=0,"",[1]对账明细接口!$O620),"")</f>
      </c>
      <c r="U620" s="212">
        <f>IFERROR(IF([1]对账明细接口!$P620=0,"",[1]对账明细接口!$P620),"")</f>
      </c>
      <c r="V620" s="212">
        <f>IFERROR(IF([1]对账明细接口!$Q620=0,"",[1]对账明细接口!$Q620),"")</f>
      </c>
      <c r="W620" s="20" t="str">
        <f>IFERROR(IF([1]对账明细接口!$R620=0,"",[1]对账明细接口!$R620),"")</f>
        <v>冀B*6E205</v>
      </c>
      <c r="X620" s="20" t="str">
        <f>IFERROR(IF([1]对账明细接口!$S620=0,"",[1]对账明细接口!$S620),"")</f>
        <v>公司筐</v>
      </c>
      <c r="Y620" s="20" t="str">
        <f>IFERROR(IF([1]对账明细接口!$T620=0,"",[1]对账明细接口!$T620),"")</f>
        <v>王照雪</v>
      </c>
      <c r="Z620" s="213">
        <f>IFERROR(IF([1]对账明细接口!$U620=0,"",[1]对账明细接口!$U620),"")</f>
      </c>
      <c r="AA620" s="213">
        <f>IFERROR(IF([1]对账明细接口!$V620=0,"",[1]对账明细接口!$V620),"")</f>
      </c>
      <c r="AB620" s="20">
        <f>IFERROR(IF([1]对账明细接口!$W620=0,"",[1]对账明细接口!$W620),"")</f>
      </c>
      <c r="AC620" s="7" t="str">
        <f>IFERROR(IF([1]对账明细接口!$X620=0,"",[1]对账明细接口!$X620),"")</f>
        <v>王照雪</v>
      </c>
      <c r="AD620" s="7">
        <f>IFERROR(IF([1]对账明细接口!$Y620=0,"",[1]对账明细接口!$Y620),"")</f>
      </c>
      <c r="AE620" s="7">
        <f>IFERROR(IF([1]对账明细接口!$AA620=0,"",[1]对账明细接口!$AA620),"")</f>
      </c>
      <c r="AF620" s="7">
        <f>IFERROR(IF([1]对账明细接口!$AB620=0,"",[1]对账明细接口!$AB620),"")</f>
      </c>
      <c r="AG620" s="7">
        <f>IFERROR(IF([1]对账明细接口!$AC620=0,"",[1]对账明细接口!$AC620),"")</f>
      </c>
      <c r="AH620" s="7" t="str">
        <f>IFERROR(IF([1]对账明细接口!$AD620=0,"",[1]对账明细接口!$AD620),"")</f>
        <v>成品出库</v>
      </c>
      <c r="AI620" s="7">
        <f>IFERROR(IF([1]对账明细接口!$AE620=0,"",[1]对账明细接口!$AE620),"")</f>
      </c>
      <c r="AJ620" s="7">
        <f>IFERROR(IF([1]对账明细接口!$AF620=0,"",[1]对账明细接口!$AF620),"")</f>
      </c>
    </row>
    <row r="621" ht="14.25" customHeight="1" s="127">
      <c r="A621" s="14" t="n">
        <v>621</v>
      </c>
      <c r="B621" s="211">
        <f>IFERROR(IF([1]对账明细接口!$B$621=0,"",[1]对账明细接口!$B$621),"")</f>
        <v>46284.0</v>
      </c>
      <c r="C621" s="16" t="str">
        <f>IFERROR(IF([1]对账明细接口!$C$621=0,"",[1]对账明细接口!$C$621),"")</f>
        <v>王照雪</v>
      </c>
      <c r="D621" s="16" t="str">
        <f>IFERROR(IF([1]对账明细接口!$D$621=0,"",[1]对账明细接口!$D$621),"")</f>
        <v>成品出库－成品出库</v>
      </c>
      <c r="E621" s="16" t="str">
        <f>IFERROR(IF([1]对账明细接口!$E$621=0,"",[1]对账明细接口!$E$621),"")</f>
        <v>NO:0001182</v>
      </c>
      <c r="F621" s="16" t="str">
        <f>IFERROR(IF([1]对账明细接口!$F$621=0,"",[1]对账明细接口!$F$621),"")</f>
        <v>苹果</v>
      </c>
      <c r="G621" s="16" t="str">
        <f>IFERROR(IF([1]对账明细接口!$G$621=0,"",[1]对账明细接口!$G$621),"")</f>
        <v>新世纪一级</v>
      </c>
      <c r="H621" s="176">
        <f>IFERROR(IF([1]对账明细接口!$H$621=0,"",[1]对账明细接口!$H$621),"")</f>
        <v>16</v>
      </c>
      <c r="I621" s="16" t="str">
        <f>IFERROR(IF([1]对账明细接口!$I$621=0,"",[1]对账明细接口!$I$621),"")</f>
        <v>箱</v>
      </c>
      <c r="J621" s="177">
        <f>IFERROR(IF([1]对账明细接口!$J$621=0,"",[1]对账明细接口!$J$621),"")</f>
        <v>80</v>
      </c>
      <c r="K621" s="177">
        <f>IFERROR(IF([1]对账明细接口!$K$621=0,"",[1]对账明细接口!$K$621),"")</f>
      </c>
      <c r="L621" s="16">
        <f>IFERROR(IF([1]对账明细接口!$L$621=0,"",[1]对账明细接口!$L$621),"")</f>
      </c>
      <c r="M621" s="16">
        <f>IFERROR(IF([1]对账明细接口!$M$621=0,"",[1]对账明细接口!$M$621),"")</f>
      </c>
      <c r="N621" s="19">
        <f>IF($C621="",0,1)</f>
        <v>1</v>
      </c>
      <c r="O621" s="19">
        <f>N(O620)+$N621</f>
        <v>618</v>
      </c>
      <c r="S621" s="20" t="str">
        <f>IFERROR(IF([1]对账明细接口!$N621=0,"",[1]对账明细接口!$N621),"")</f>
        <v>纸箱</v>
      </c>
      <c r="T621" s="212">
        <f>IFERROR(IF([1]对账明细接口!$O621=0,"",[1]对账明细接口!$O621),"")</f>
      </c>
      <c r="U621" s="212">
        <f>IFERROR(IF([1]对账明细接口!$P621=0,"",[1]对账明细接口!$P621),"")</f>
      </c>
      <c r="V621" s="212">
        <f>IFERROR(IF([1]对账明细接口!$Q621=0,"",[1]对账明细接口!$Q621),"")</f>
      </c>
      <c r="W621" s="20" t="str">
        <f>IFERROR(IF([1]对账明细接口!$R621=0,"",[1]对账明细接口!$R621),"")</f>
        <v>自提</v>
      </c>
      <c r="X621" s="20" t="str">
        <f>IFERROR(IF([1]对账明细接口!$S621=0,"",[1]对账明细接口!$S621),"")</f>
        <v>公司筐</v>
      </c>
      <c r="Y621" s="20" t="str">
        <f>IFERROR(IF([1]对账明细接口!$T621=0,"",[1]对账明细接口!$T621),"")</f>
        <v>王照雪</v>
      </c>
      <c r="Z621" s="213">
        <f>IFERROR(IF([1]对账明细接口!$U621=0,"",[1]对账明细接口!$U621),"")</f>
      </c>
      <c r="AA621" s="213">
        <f>IFERROR(IF([1]对账明细接口!$V621=0,"",[1]对账明细接口!$V621),"")</f>
      </c>
      <c r="AB621" s="20">
        <f>IFERROR(IF([1]对账明细接口!$W621=0,"",[1]对账明细接口!$W621),"")</f>
      </c>
      <c r="AC621" s="7" t="str">
        <f>IFERROR(IF([1]对账明细接口!$X621=0,"",[1]对账明细接口!$X621),"")</f>
        <v>四连书记</v>
      </c>
      <c r="AD621" s="7">
        <f>IFERROR(IF([1]对账明细接口!$Y621=0,"",[1]对账明细接口!$Y621),"")</f>
      </c>
      <c r="AE621" s="7">
        <f>IFERROR(IF([1]对账明细接口!$AA621=0,"",[1]对账明细接口!$AA621),"")</f>
      </c>
      <c r="AF621" s="7">
        <f>IFERROR(IF([1]对账明细接口!$AB621=0,"",[1]对账明细接口!$AB621),"")</f>
      </c>
      <c r="AG621" s="7">
        <f>IFERROR(IF([1]对账明细接口!$AC621=0,"",[1]对账明细接口!$AC621),"")</f>
      </c>
      <c r="AH621" s="7" t="str">
        <f>IFERROR(IF([1]对账明细接口!$AD621=0,"",[1]对账明细接口!$AD621),"")</f>
        <v>成品出库</v>
      </c>
      <c r="AI621" s="7">
        <f>IFERROR(IF([1]对账明细接口!$AE621=0,"",[1]对账明细接口!$AE621),"")</f>
      </c>
      <c r="AJ621" s="7">
        <f>IFERROR(IF([1]对账明细接口!$AF621=0,"",[1]对账明细接口!$AF621),"")</f>
      </c>
    </row>
    <row r="622" ht="14.25" customHeight="1" s="127">
      <c r="A622" s="14" t="n">
        <v>622</v>
      </c>
      <c r="B622" s="211">
        <f>IFERROR(IF([1]对账明细接口!$B$622=0,"",[1]对账明细接口!$B$622),"")</f>
        <v>46284.0</v>
      </c>
      <c r="C622" s="16" t="str">
        <f>IFERROR(IF([1]对账明细接口!$C$622=0,"",[1]对账明细接口!$C$622),"")</f>
        <v>王照雪</v>
      </c>
      <c r="D622" s="16" t="str">
        <f>IFERROR(IF([1]对账明细接口!$D$622=0,"",[1]对账明细接口!$D$622),"")</f>
        <v>成品出库－成品出库</v>
      </c>
      <c r="E622" s="16" t="str">
        <f>IFERROR(IF([1]对账明细接口!$E$622=0,"",[1]对账明细接口!$E$622),"")</f>
        <v>NO:0001185</v>
      </c>
      <c r="F622" s="16" t="str">
        <f>IFERROR(IF([1]对账明细接口!$F$622=0,"",[1]对账明细接口!$F$622),"")</f>
        <v>苹果</v>
      </c>
      <c r="G622" s="16" t="str">
        <f>IFERROR(IF([1]对账明细接口!$G$622=0,"",[1]对账明细接口!$G$622),"")</f>
        <v>新世纪一级</v>
      </c>
      <c r="H622" s="176">
        <f>IFERROR(IF([1]对账明细接口!$H$622=0,"",[1]对账明细接口!$H$622),"")</f>
        <v>3</v>
      </c>
      <c r="I622" s="16" t="str">
        <f>IFERROR(IF([1]对账明细接口!$I$622=0,"",[1]对账明细接口!$I$622),"")</f>
        <v>箱</v>
      </c>
      <c r="J622" s="177">
        <f>IFERROR(IF([1]对账明细接口!$J$622=0,"",[1]对账明细接口!$J$622),"")</f>
        <v>15.3</v>
      </c>
      <c r="K622" s="177">
        <f>IFERROR(IF([1]对账明细接口!$K$622=0,"",[1]对账明细接口!$K$622),"")</f>
      </c>
      <c r="L622" s="16">
        <f>IFERROR(IF([1]对账明细接口!$L$622=0,"",[1]对账明细接口!$L$622),"")</f>
      </c>
      <c r="M622" s="16">
        <f>IFERROR(IF([1]对账明细接口!$M$622=0,"",[1]对账明细接口!$M$622),"")</f>
      </c>
      <c r="N622" s="19">
        <f>IF($C622="",0,1)</f>
        <v>1</v>
      </c>
      <c r="O622" s="19">
        <f>N(O621)+$N622</f>
        <v>619</v>
      </c>
      <c r="S622" s="20" t="str">
        <f>IFERROR(IF([1]对账明细接口!$N622=0,"",[1]对账明细接口!$N622),"")</f>
        <v>纸箱</v>
      </c>
      <c r="T622" s="212">
        <f>IFERROR(IF([1]对账明细接口!$O622=0,"",[1]对账明细接口!$O622),"")</f>
      </c>
      <c r="U622" s="212">
        <f>IFERROR(IF([1]对账明细接口!$P622=0,"",[1]对账明细接口!$P622),"")</f>
      </c>
      <c r="V622" s="212">
        <f>IFERROR(IF([1]对账明细接口!$Q622=0,"",[1]对账明细接口!$Q622),"")</f>
      </c>
      <c r="W622" s="20" t="str">
        <f>IFERROR(IF([1]对账明细接口!$R622=0,"",[1]对账明细接口!$R622),"")</f>
        <v>豫N*P269J</v>
      </c>
      <c r="X622" s="20" t="str">
        <f>IFERROR(IF([1]对账明细接口!$S622=0,"",[1]对账明细接口!$S622),"")</f>
        <v>公司筐</v>
      </c>
      <c r="Y622" s="20" t="str">
        <f>IFERROR(IF([1]对账明细接口!$T622=0,"",[1]对账明细接口!$T622),"")</f>
        <v>王照雪</v>
      </c>
      <c r="Z622" s="213">
        <f>IFERROR(IF([1]对账明细接口!$U622=0,"",[1]对账明细接口!$U622),"")</f>
      </c>
      <c r="AA622" s="213">
        <f>IFERROR(IF([1]对账明细接口!$V622=0,"",[1]对账明细接口!$V622),"")</f>
      </c>
      <c r="AB622" s="20">
        <f>IFERROR(IF([1]对账明细接口!$W622=0,"",[1]对账明细接口!$W622),"")</f>
      </c>
      <c r="AC622" s="7" t="str">
        <f>IFERROR(IF([1]对账明细接口!$X622=0,"",[1]对账明细接口!$X622),"")</f>
        <v>电商/主播</v>
      </c>
      <c r="AD622" s="7">
        <f>IFERROR(IF([1]对账明细接口!$Y622=0,"",[1]对账明细接口!$Y622),"")</f>
      </c>
      <c r="AE622" s="7">
        <f>IFERROR(IF([1]对账明细接口!$AA622=0,"",[1]对账明细接口!$AA622),"")</f>
      </c>
      <c r="AF622" s="7">
        <f>IFERROR(IF([1]对账明细接口!$AB622=0,"",[1]对账明细接口!$AB622),"")</f>
      </c>
      <c r="AG622" s="7">
        <f>IFERROR(IF([1]对账明细接口!$AC622=0,"",[1]对账明细接口!$AC622),"")</f>
      </c>
      <c r="AH622" s="7" t="str">
        <f>IFERROR(IF([1]对账明细接口!$AD622=0,"",[1]对账明细接口!$AD622),"")</f>
        <v>成品出库</v>
      </c>
      <c r="AI622" s="7">
        <f>IFERROR(IF([1]对账明细接口!$AE622=0,"",[1]对账明细接口!$AE622),"")</f>
      </c>
      <c r="AJ622" s="7">
        <f>IFERROR(IF([1]对账明细接口!$AF622=0,"",[1]对账明细接口!$AF622),"")</f>
      </c>
    </row>
    <row r="623" ht="14.25" customHeight="1" s="127">
      <c r="A623" s="14" t="n">
        <v>623</v>
      </c>
      <c r="B623" s="211">
        <f>IFERROR(IF([1]对账明细接口!$B$623=0,"",[1]对账明细接口!$B$623),"")</f>
        <v>46286.0</v>
      </c>
      <c r="C623" s="16" t="str">
        <f>IFERROR(IF([1]对账明细接口!$C$623=0,"",[1]对账明细接口!$C$623),"")</f>
        <v>王照雪</v>
      </c>
      <c r="D623" s="16" t="str">
        <f>IFERROR(IF([1]对账明细接口!$D$623=0,"",[1]对账明细接口!$D$623),"")</f>
        <v>成品出库－成品出库</v>
      </c>
      <c r="E623" s="16" t="str">
        <f>IFERROR(IF([1]对账明细接口!$E$623=0,"",[1]对账明细接口!$E$623),"")</f>
        <v>NO:0001211</v>
      </c>
      <c r="F623" s="16" t="str">
        <f>IFERROR(IF([1]对账明细接口!$F$623=0,"",[1]对账明细接口!$F$623),"")</f>
        <v>苹果</v>
      </c>
      <c r="G623" s="16" t="str">
        <f>IFERROR(IF([1]对账明细接口!$G$623=0,"",[1]对账明细接口!$G$623),"")</f>
        <v>新世纪二级</v>
      </c>
      <c r="H623" s="176">
        <f>IFERROR(IF([1]对账明细接口!$H$623=0,"",[1]对账明细接口!$H$623),"")</f>
        <v>250</v>
      </c>
      <c r="I623" s="16" t="str">
        <f>IFERROR(IF([1]对账明细接口!$I$623=0,"",[1]对账明细接口!$I$623),"")</f>
        <v>筐</v>
      </c>
      <c r="J623" s="177">
        <f>IFERROR(IF([1]对账明细接口!$J$623=0,"",[1]对账明细接口!$J$623),"")</f>
        <v>5575</v>
      </c>
      <c r="K623" s="177">
        <f>IFERROR(IF([1]对账明细接口!$K$623=0,"",[1]对账明细接口!$K$623),"")</f>
      </c>
      <c r="L623" s="16">
        <f>IFERROR(IF([1]对账明细接口!$L$623=0,"",[1]对账明细接口!$L$623),"")</f>
      </c>
      <c r="M623" s="16">
        <f>IFERROR(IF([1]对账明细接口!$M$623=0,"",[1]对账明细接口!$M$623),"")</f>
      </c>
      <c r="N623" s="19">
        <f>IF($C623="",0,1)</f>
        <v>1</v>
      </c>
      <c r="O623" s="19">
        <f>N(O622)+$N623</f>
        <v>620</v>
      </c>
      <c r="S623" s="20" t="str">
        <f>IFERROR(IF([1]对账明细接口!$N623=0,"",[1]对账明细接口!$N623),"")</f>
        <v>自备一次性筐</v>
      </c>
      <c r="T623" s="212">
        <f>IFERROR(IF([1]对账明细接口!$O623=0,"",[1]对账明细接口!$O623),"")</f>
        <v>250</v>
      </c>
      <c r="U623" s="212">
        <f>IFERROR(IF([1]对账明细接口!$P623=0,"",[1]对账明细接口!$P623),"")</f>
      </c>
      <c r="V623" s="212">
        <f>IFERROR(IF([1]对账明细接口!$Q623=0,"",[1]对账明细接口!$Q623),"")</f>
      </c>
      <c r="W623" s="20" t="str">
        <f>IFERROR(IF([1]对账明细接口!$R623=0,"",[1]对账明细接口!$R623),"")</f>
        <v>新A*G9383</v>
      </c>
      <c r="X623" s="20" t="str">
        <f>IFERROR(IF([1]对账明细接口!$S623=0,"",[1]对账明细接口!$S623),"")</f>
        <v>自备筐</v>
      </c>
      <c r="Y623" s="20" t="str">
        <f>IFERROR(IF([1]对账明细接口!$T623=0,"",[1]对账明细接口!$T623),"")</f>
        <v>王照雪</v>
      </c>
      <c r="Z623" s="213">
        <f>IFERROR(IF([1]对账明细接口!$U623=0,"",[1]对账明细接口!$U623),"")</f>
      </c>
      <c r="AA623" s="213">
        <f>IFERROR(IF([1]对账明细接口!$V623=0,"",[1]对账明细接口!$V623),"")</f>
      </c>
      <c r="AB623" s="20">
        <f>IFERROR(IF([1]对账明细接口!$W623=0,"",[1]对账明细接口!$W623),"")</f>
      </c>
      <c r="AC623" s="7" t="str">
        <f>IFERROR(IF([1]对账明细接口!$X623=0,"",[1]对账明细接口!$X623),"")</f>
        <v>王照雪</v>
      </c>
      <c r="AD623" s="7">
        <f>IFERROR(IF([1]对账明细接口!$Y623=0,"",[1]对账明细接口!$Y623),"")</f>
      </c>
      <c r="AE623" s="7">
        <f>IFERROR(IF([1]对账明细接口!$AA623=0,"",[1]对账明细接口!$AA623),"")</f>
      </c>
      <c r="AF623" s="7">
        <f>IFERROR(IF([1]对账明细接口!$AB623=0,"",[1]对账明细接口!$AB623),"")</f>
      </c>
      <c r="AG623" s="7">
        <f>IFERROR(IF([1]对账明细接口!$AC623=0,"",[1]对账明细接口!$AC623),"")</f>
      </c>
      <c r="AH623" s="7" t="str">
        <f>IFERROR(IF([1]对账明细接口!$AD623=0,"",[1]对账明细接口!$AD623),"")</f>
        <v>成品出库</v>
      </c>
      <c r="AI623" s="7">
        <f>IFERROR(IF([1]对账明细接口!$AE623=0,"",[1]对账明细接口!$AE623),"")</f>
      </c>
      <c r="AJ623" s="7">
        <f>IFERROR(IF([1]对账明细接口!$AF623=0,"",[1]对账明细接口!$AF623),"")</f>
      </c>
    </row>
    <row r="624" ht="14.25" customHeight="1" s="127">
      <c r="A624" s="14" t="n">
        <v>624</v>
      </c>
      <c r="B624" s="211">
        <f>IFERROR(IF([1]对账明细接口!$B$624=0,"",[1]对账明细接口!$B$624),"")</f>
        <v>46286.0</v>
      </c>
      <c r="C624" s="16" t="str">
        <f>IFERROR(IF([1]对账明细接口!$C$624=0,"",[1]对账明细接口!$C$624),"")</f>
        <v>王照雪</v>
      </c>
      <c r="D624" s="16" t="str">
        <f>IFERROR(IF([1]对账明细接口!$D$624=0,"",[1]对账明细接口!$D$624),"")</f>
        <v>成品出库－成品出库</v>
      </c>
      <c r="E624" s="16" t="str">
        <f>IFERROR(IF([1]对账明细接口!$E$624=0,"",[1]对账明细接口!$E$624),"")</f>
        <v>NO:0001211</v>
      </c>
      <c r="F624" s="16" t="str">
        <f>IFERROR(IF([1]对账明细接口!$F$624=0,"",[1]对账明细接口!$F$624),"")</f>
        <v>苹果</v>
      </c>
      <c r="G624" s="16" t="str">
        <f>IFERROR(IF([1]对账明细接口!$G$624=0,"",[1]对账明细接口!$G$624),"")</f>
        <v>新世纪一级</v>
      </c>
      <c r="H624" s="176">
        <f>IFERROR(IF([1]对账明细接口!$H$624=0,"",[1]对账明细接口!$H$624),"")</f>
        <v>226</v>
      </c>
      <c r="I624" s="16" t="str">
        <f>IFERROR(IF([1]对账明细接口!$I$624=0,"",[1]对账明细接口!$I$624),"")</f>
        <v>筐</v>
      </c>
      <c r="J624" s="177">
        <f>IFERROR(IF([1]对账明细接口!$J$624=0,"",[1]对账明细接口!$J$624),"")</f>
        <v>4135.8</v>
      </c>
      <c r="K624" s="177">
        <f>IFERROR(IF([1]对账明细接口!$K$624=0,"",[1]对账明细接口!$K$624),"")</f>
      </c>
      <c r="L624" s="16">
        <f>IFERROR(IF([1]对账明细接口!$L$624=0,"",[1]对账明细接口!$L$624),"")</f>
      </c>
      <c r="M624" s="16">
        <f>IFERROR(IF([1]对账明细接口!$M$624=0,"",[1]对账明细接口!$M$624),"")</f>
      </c>
      <c r="N624" s="19">
        <f>IF($C624="",0,1)</f>
        <v>1</v>
      </c>
      <c r="O624" s="19">
        <f>N(O623)+$N624</f>
        <v>621</v>
      </c>
      <c r="S624" s="20" t="str">
        <f>IFERROR(IF([1]对账明细接口!$N624=0,"",[1]对账明细接口!$N624),"")</f>
        <v>自备一次性筐</v>
      </c>
      <c r="T624" s="212">
        <f>IFERROR(IF([1]对账明细接口!$O624=0,"",[1]对账明细接口!$O624),"")</f>
        <v>226</v>
      </c>
      <c r="U624" s="212">
        <f>IFERROR(IF([1]对账明细接口!$P624=0,"",[1]对账明细接口!$P624),"")</f>
      </c>
      <c r="V624" s="212">
        <f>IFERROR(IF([1]对账明细接口!$Q624=0,"",[1]对账明细接口!$Q624),"")</f>
      </c>
      <c r="W624" s="20" t="str">
        <f>IFERROR(IF([1]对账明细接口!$R624=0,"",[1]对账明细接口!$R624),"")</f>
        <v>新A*G9383</v>
      </c>
      <c r="X624" s="20" t="str">
        <f>IFERROR(IF([1]对账明细接口!$S624=0,"",[1]对账明细接口!$S624),"")</f>
        <v>自备筐</v>
      </c>
      <c r="Y624" s="20" t="str">
        <f>IFERROR(IF([1]对账明细接口!$T624=0,"",[1]对账明细接口!$T624),"")</f>
        <v>王照雪</v>
      </c>
      <c r="Z624" s="213">
        <f>IFERROR(IF([1]对账明细接口!$U624=0,"",[1]对账明细接口!$U624),"")</f>
      </c>
      <c r="AA624" s="213">
        <f>IFERROR(IF([1]对账明细接口!$V624=0,"",[1]对账明细接口!$V624),"")</f>
      </c>
      <c r="AB624" s="20">
        <f>IFERROR(IF([1]对账明细接口!$W624=0,"",[1]对账明细接口!$W624),"")</f>
      </c>
      <c r="AC624" s="7" t="str">
        <f>IFERROR(IF([1]对账明细接口!$X624=0,"",[1]对账明细接口!$X624),"")</f>
        <v>王照雪</v>
      </c>
      <c r="AD624" s="7">
        <f>IFERROR(IF([1]对账明细接口!$Y624=0,"",[1]对账明细接口!$Y624),"")</f>
      </c>
      <c r="AE624" s="7">
        <f>IFERROR(IF([1]对账明细接口!$AA624=0,"",[1]对账明细接口!$AA624),"")</f>
      </c>
      <c r="AF624" s="7">
        <f>IFERROR(IF([1]对账明细接口!$AB624=0,"",[1]对账明细接口!$AB624),"")</f>
      </c>
      <c r="AG624" s="7">
        <f>IFERROR(IF([1]对账明细接口!$AC624=0,"",[1]对账明细接口!$AC624),"")</f>
      </c>
      <c r="AH624" s="7" t="str">
        <f>IFERROR(IF([1]对账明细接口!$AD624=0,"",[1]对账明细接口!$AD624),"")</f>
        <v>成品出库</v>
      </c>
      <c r="AI624" s="7">
        <f>IFERROR(IF([1]对账明细接口!$AE624=0,"",[1]对账明细接口!$AE624),"")</f>
      </c>
      <c r="AJ624" s="7">
        <f>IFERROR(IF([1]对账明细接口!$AF624=0,"",[1]对账明细接口!$AF624),"")</f>
      </c>
    </row>
    <row r="625" ht="14.25" customHeight="1" s="127">
      <c r="A625" s="14" t="n">
        <v>625</v>
      </c>
      <c r="B625" s="211">
        <f>IFERROR(IF([1]对账明细接口!$B$625=0,"",[1]对账明细接口!$B$625),"")</f>
        <v>46287.0</v>
      </c>
      <c r="C625" s="16" t="str">
        <f>IFERROR(IF([1]对账明细接口!$C$625=0,"",[1]对账明细接口!$C$625),"")</f>
        <v>王灵云</v>
      </c>
      <c r="D625" s="16" t="str">
        <f>IFERROR(IF([1]对账明细接口!$D$625=0,"",[1]对账明细接口!$D$625),"")</f>
        <v>成品出库－成品出库</v>
      </c>
      <c r="E625" s="16" t="str">
        <f>IFERROR(IF([1]对账明细接口!$E$625=0,"",[1]对账明细接口!$E$625),"")</f>
        <v>NO:0001218</v>
      </c>
      <c r="F625" s="16" t="str">
        <f>IFERROR(IF([1]对账明细接口!$F$625=0,"",[1]对账明细接口!$F$625),"")</f>
        <v>香梨</v>
      </c>
      <c r="G625" s="16" t="str">
        <f>IFERROR(IF([1]对账明细接口!$G$625=0,"",[1]对账明细接口!$G$625),"")</f>
        <v>香梨一级</v>
      </c>
      <c r="H625" s="176">
        <f>IFERROR(IF([1]对账明细接口!$H$625=0,"",[1]对账明细接口!$H$625),"")</f>
        <v>1283</v>
      </c>
      <c r="I625" s="16" t="str">
        <f>IFERROR(IF([1]对账明细接口!$I$625=0,"",[1]对账明细接口!$I$625),"")</f>
        <v>筐</v>
      </c>
      <c r="J625" s="177">
        <f>IFERROR(IF([1]对账明细接口!$J$625=0,"",[1]对账明细接口!$J$625),"")</f>
        <v>23735.5</v>
      </c>
      <c r="K625" s="177">
        <f>IFERROR(IF([1]对账明细接口!$K$625=0,"",[1]对账明细接口!$K$625),"")</f>
      </c>
      <c r="L625" s="16">
        <f>IFERROR(IF([1]对账明细接口!$L$625=0,"",[1]对账明细接口!$L$625),"")</f>
      </c>
      <c r="M625" s="16">
        <f>IFERROR(IF([1]对账明细接口!$M$625=0,"",[1]对账明细接口!$M$625),"")</f>
      </c>
      <c r="N625" s="19">
        <f>IF($C625="",0,1)</f>
        <v>1</v>
      </c>
      <c r="O625" s="19">
        <f>N(O624)+$N625</f>
        <v>622</v>
      </c>
      <c r="S625" s="20" t="str">
        <f>IFERROR(IF([1]对账明细接口!$N625=0,"",[1]对账明细接口!$N625),"")</f>
        <v>自备一次性筐</v>
      </c>
      <c r="T625" s="212">
        <f>IFERROR(IF([1]对账明细接口!$O625=0,"",[1]对账明细接口!$O625),"")</f>
        <v>1283</v>
      </c>
      <c r="U625" s="212">
        <f>IFERROR(IF([1]对账明细接口!$P625=0,"",[1]对账明细接口!$P625),"")</f>
      </c>
      <c r="V625" s="212">
        <f>IFERROR(IF([1]对账明细接口!$Q625=0,"",[1]对账明细接口!$Q625),"")</f>
      </c>
      <c r="W625" s="20" t="str">
        <f>IFERROR(IF([1]对账明细接口!$R625=0,"",[1]对账明细接口!$R625),"")</f>
        <v>陕A*DW123</v>
      </c>
      <c r="X625" s="20" t="str">
        <f>IFERROR(IF([1]对账明细接口!$S625=0,"",[1]对账明细接口!$S625),"")</f>
        <v>自备筐</v>
      </c>
      <c r="Y625" s="20" t="str">
        <f>IFERROR(IF([1]对账明细接口!$T625=0,"",[1]对账明细接口!$T625),"")</f>
        <v>王灵云</v>
      </c>
      <c r="Z625" s="213">
        <f>IFERROR(IF([1]对账明细接口!$U625=0,"",[1]对账明细接口!$U625),"")</f>
      </c>
      <c r="AA625" s="213">
        <f>IFERROR(IF([1]对账明细接口!$V625=0,"",[1]对账明细接口!$V625),"")</f>
      </c>
      <c r="AB625" s="20">
        <f>IFERROR(IF([1]对账明细接口!$W625=0,"",[1]对账明细接口!$W625),"")</f>
      </c>
      <c r="AC625" s="7" t="str">
        <f>IFERROR(IF([1]对账明细接口!$X625=0,"",[1]对账明细接口!$X625),"")</f>
        <v>王灵云</v>
      </c>
      <c r="AD625" s="7">
        <f>IFERROR(IF([1]对账明细接口!$Y625=0,"",[1]对账明细接口!$Y625),"")</f>
      </c>
      <c r="AE625" s="7">
        <f>IFERROR(IF([1]对账明细接口!$AA625=0,"",[1]对账明细接口!$AA625),"")</f>
      </c>
      <c r="AF625" s="7">
        <f>IFERROR(IF([1]对账明细接口!$AB625=0,"",[1]对账明细接口!$AB625),"")</f>
      </c>
      <c r="AG625" s="7">
        <f>IFERROR(IF([1]对账明细接口!$AC625=0,"",[1]对账明细接口!$AC625),"")</f>
      </c>
      <c r="AH625" s="7" t="str">
        <f>IFERROR(IF([1]对账明细接口!$AD625=0,"",[1]对账明细接口!$AD625),"")</f>
        <v>成品出库</v>
      </c>
      <c r="AI625" s="7">
        <f>IFERROR(IF([1]对账明细接口!$AE625=0,"",[1]对账明细接口!$AE625),"")</f>
      </c>
      <c r="AJ625" s="7">
        <f>IFERROR(IF([1]对账明细接口!$AF625=0,"",[1]对账明细接口!$AF625),"")</f>
      </c>
    </row>
    <row r="626" ht="14.25" customHeight="1" s="127">
      <c r="A626" s="14" t="n">
        <v>626</v>
      </c>
      <c r="B626" s="211">
        <f>IFERROR(IF([1]对账明细接口!$B$626=0,"",[1]对账明细接口!$B$626),"")</f>
        <v>46288.0</v>
      </c>
      <c r="C626" s="16" t="str">
        <f>IFERROR(IF([1]对账明细接口!$C$626=0,"",[1]对账明细接口!$C$626),"")</f>
        <v>麦麦提</v>
      </c>
      <c r="D626" s="16" t="str">
        <f>IFERROR(IF([1]对账明细接口!$D$626=0,"",[1]对账明细接口!$D$626),"")</f>
        <v>成品出库－成品出库</v>
      </c>
      <c r="E626" s="16" t="str">
        <f>IFERROR(IF([1]对账明细接口!$E$626=0,"",[1]对账明细接口!$E$626),"")</f>
        <v>NO:0001226</v>
      </c>
      <c r="F626" s="16" t="str">
        <f>IFERROR(IF([1]对账明细接口!$F$626=0,"",[1]对账明细接口!$F$626),"")</f>
        <v>香梨</v>
      </c>
      <c r="G626" s="16" t="str">
        <f>IFERROR(IF([1]对账明细接口!$G$626=0,"",[1]对账明细接口!$G$626),"")</f>
        <v>香梨一级</v>
      </c>
      <c r="H626" s="176">
        <f>IFERROR(IF([1]对账明细接口!$H$626=0,"",[1]对账明细接口!$H$626),"")</f>
        <v>936</v>
      </c>
      <c r="I626" s="16" t="str">
        <f>IFERROR(IF([1]对账明细接口!$I$626=0,"",[1]对账明细接口!$I$626),"")</f>
        <v>筐</v>
      </c>
      <c r="J626" s="177">
        <f>IFERROR(IF([1]对账明细接口!$J$626=0,"",[1]对账明细接口!$J$626),"")</f>
        <v>14040</v>
      </c>
      <c r="K626" s="177">
        <f>IFERROR(IF([1]对账明细接口!$K$626=0,"",[1]对账明细接口!$K$626),"")</f>
      </c>
      <c r="L626" s="16">
        <f>IFERROR(IF([1]对账明细接口!$L$626=0,"",[1]对账明细接口!$L$626),"")</f>
      </c>
      <c r="M626" s="16">
        <f>IFERROR(IF([1]对账明细接口!$M$626=0,"",[1]对账明细接口!$M$626),"")</f>
      </c>
      <c r="N626" s="19">
        <f>IF($C626="",0,1)</f>
        <v>1</v>
      </c>
      <c r="O626" s="19">
        <f>N(O625)+$N626</f>
        <v>623</v>
      </c>
      <c r="S626" s="20" t="str">
        <f>IFERROR(IF([1]对账明细接口!$N626=0,"",[1]对账明细接口!$N626),"")</f>
        <v>自备一次性筐</v>
      </c>
      <c r="T626" s="212">
        <f>IFERROR(IF([1]对账明细接口!$O626=0,"",[1]对账明细接口!$O626),"")</f>
        <v>936</v>
      </c>
      <c r="U626" s="212">
        <f>IFERROR(IF([1]对账明细接口!$P626=0,"",[1]对账明细接口!$P626),"")</f>
      </c>
      <c r="V626" s="212">
        <f>IFERROR(IF([1]对账明细接口!$Q626=0,"",[1]对账明细接口!$Q626),"")</f>
      </c>
      <c r="W626" s="20" t="str">
        <f>IFERROR(IF([1]对账明细接口!$R626=0,"",[1]对账明细接口!$R626),"")</f>
        <v>鲁Q*039NX</v>
      </c>
      <c r="X626" s="20" t="str">
        <f>IFERROR(IF([1]对账明细接口!$S626=0,"",[1]对账明细接口!$S626),"")</f>
        <v>自备筐</v>
      </c>
      <c r="Y626" s="20" t="str">
        <f>IFERROR(IF([1]对账明细接口!$T626=0,"",[1]对账明细接口!$T626),"")</f>
        <v>麦麦提</v>
      </c>
      <c r="Z626" s="213">
        <f>IFERROR(IF([1]对账明细接口!$U626=0,"",[1]对账明细接口!$U626),"")</f>
      </c>
      <c r="AA626" s="213">
        <f>IFERROR(IF([1]对账明细接口!$V626=0,"",[1]对账明细接口!$V626),"")</f>
      </c>
      <c r="AB626" s="20">
        <f>IFERROR(IF([1]对账明细接口!$W626=0,"",[1]对账明细接口!$W626),"")</f>
      </c>
      <c r="AC626" s="7" t="str">
        <f>IFERROR(IF([1]对账明细接口!$X626=0,"",[1]对账明细接口!$X626),"")</f>
        <v>麦麦提</v>
      </c>
      <c r="AD626" s="7">
        <f>IFERROR(IF([1]对账明细接口!$Y626=0,"",[1]对账明细接口!$Y626),"")</f>
      </c>
      <c r="AE626" s="7">
        <f>IFERROR(IF([1]对账明细接口!$AA626=0,"",[1]对账明细接口!$AA626),"")</f>
      </c>
      <c r="AF626" s="7">
        <f>IFERROR(IF([1]对账明细接口!$AB626=0,"",[1]对账明细接口!$AB626),"")</f>
      </c>
      <c r="AG626" s="7">
        <f>IFERROR(IF([1]对账明细接口!$AC626=0,"",[1]对账明细接口!$AC626),"")</f>
      </c>
      <c r="AH626" s="7" t="str">
        <f>IFERROR(IF([1]对账明细接口!$AD626=0,"",[1]对账明细接口!$AD626),"")</f>
        <v>成品出库</v>
      </c>
      <c r="AI626" s="7">
        <f>IFERROR(IF([1]对账明细接口!$AE626=0,"",[1]对账明细接口!$AE626),"")</f>
      </c>
      <c r="AJ626" s="7">
        <f>IFERROR(IF([1]对账明细接口!$AF626=0,"",[1]对账明细接口!$AF626),"")</f>
      </c>
    </row>
    <row r="627" ht="14.25" customHeight="1" s="127">
      <c r="A627" s="14" t="n">
        <v>627</v>
      </c>
      <c r="B627" s="211">
        <f>IFERROR(IF([1]对账明细接口!$B$627=0,"",[1]对账明细接口!$B$627),"")</f>
        <v>46288.0</v>
      </c>
      <c r="C627" s="16" t="str">
        <f>IFERROR(IF([1]对账明细接口!$C$627=0,"",[1]对账明细接口!$C$627),"")</f>
        <v>麦麦提</v>
      </c>
      <c r="D627" s="16" t="str">
        <f>IFERROR(IF([1]对账明细接口!$D$627=0,"",[1]对账明细接口!$D$627),"")</f>
        <v>成品出库－成品出库</v>
      </c>
      <c r="E627" s="16" t="str">
        <f>IFERROR(IF([1]对账明细接口!$E$627=0,"",[1]对账明细接口!$E$627),"")</f>
        <v>NO:0001226</v>
      </c>
      <c r="F627" s="16" t="str">
        <f>IFERROR(IF([1]对账明细接口!$F$627=0,"",[1]对账明细接口!$F$627),"")</f>
        <v>香梨</v>
      </c>
      <c r="G627" s="16" t="str">
        <f>IFERROR(IF([1]对账明细接口!$G$627=0,"",[1]对账明细接口!$G$627),"")</f>
        <v>香梨特级</v>
      </c>
      <c r="H627" s="176">
        <f>IFERROR(IF([1]对账明细接口!$H$627=0,"",[1]对账明细接口!$H$627),"")</f>
        <v>376</v>
      </c>
      <c r="I627" s="16" t="str">
        <f>IFERROR(IF([1]对账明细接口!$I$627=0,"",[1]对账明细接口!$I$627),"")</f>
        <v>筐</v>
      </c>
      <c r="J627" s="177">
        <f>IFERROR(IF([1]对账明细接口!$J$627=0,"",[1]对账明细接口!$J$627),"")</f>
        <v>6016</v>
      </c>
      <c r="K627" s="177">
        <f>IFERROR(IF([1]对账明细接口!$K$627=0,"",[1]对账明细接口!$K$627),"")</f>
      </c>
      <c r="L627" s="16">
        <f>IFERROR(IF([1]对账明细接口!$L$627=0,"",[1]对账明细接口!$L$627),"")</f>
      </c>
      <c r="M627" s="16">
        <f>IFERROR(IF([1]对账明细接口!$M$627=0,"",[1]对账明细接口!$M$627),"")</f>
      </c>
      <c r="N627" s="19">
        <f>IF($C627="",0,1)</f>
        <v>1</v>
      </c>
      <c r="O627" s="19">
        <f>N(O626)+$N627</f>
        <v>624</v>
      </c>
      <c r="S627" s="20" t="str">
        <f>IFERROR(IF([1]对账明细接口!$N627=0,"",[1]对账明细接口!$N627),"")</f>
        <v>自备一次性筐</v>
      </c>
      <c r="T627" s="212">
        <f>IFERROR(IF([1]对账明细接口!$O627=0,"",[1]对账明细接口!$O627),"")</f>
        <v>376</v>
      </c>
      <c r="U627" s="212">
        <f>IFERROR(IF([1]对账明细接口!$P627=0,"",[1]对账明细接口!$P627),"")</f>
      </c>
      <c r="V627" s="212">
        <f>IFERROR(IF([1]对账明细接口!$Q627=0,"",[1]对账明细接口!$Q627),"")</f>
      </c>
      <c r="W627" s="20" t="str">
        <f>IFERROR(IF([1]对账明细接口!$R627=0,"",[1]对账明细接口!$R627),"")</f>
        <v>鲁Q*039NX</v>
      </c>
      <c r="X627" s="20" t="str">
        <f>IFERROR(IF([1]对账明细接口!$S627=0,"",[1]对账明细接口!$S627),"")</f>
        <v>自备筐</v>
      </c>
      <c r="Y627" s="20" t="str">
        <f>IFERROR(IF([1]对账明细接口!$T627=0,"",[1]对账明细接口!$T627),"")</f>
        <v>麦麦提</v>
      </c>
      <c r="Z627" s="213">
        <f>IFERROR(IF([1]对账明细接口!$U627=0,"",[1]对账明细接口!$U627),"")</f>
      </c>
      <c r="AA627" s="213">
        <f>IFERROR(IF([1]对账明细接口!$V627=0,"",[1]对账明细接口!$V627),"")</f>
      </c>
      <c r="AB627" s="20">
        <f>IFERROR(IF([1]对账明细接口!$W627=0,"",[1]对账明细接口!$W627),"")</f>
      </c>
      <c r="AC627" s="7" t="str">
        <f>IFERROR(IF([1]对账明细接口!$X627=0,"",[1]对账明细接口!$X627),"")</f>
        <v>麦麦提</v>
      </c>
      <c r="AD627" s="7">
        <f>IFERROR(IF([1]对账明细接口!$Y627=0,"",[1]对账明细接口!$Y627),"")</f>
      </c>
      <c r="AE627" s="7">
        <f>IFERROR(IF([1]对账明细接口!$AA627=0,"",[1]对账明细接口!$AA627),"")</f>
      </c>
      <c r="AF627" s="7">
        <f>IFERROR(IF([1]对账明细接口!$AB627=0,"",[1]对账明细接口!$AB627),"")</f>
      </c>
      <c r="AG627" s="7">
        <f>IFERROR(IF([1]对账明细接口!$AC627=0,"",[1]对账明细接口!$AC627),"")</f>
      </c>
      <c r="AH627" s="7" t="str">
        <f>IFERROR(IF([1]对账明细接口!$AD627=0,"",[1]对账明细接口!$AD627),"")</f>
        <v>成品出库</v>
      </c>
      <c r="AI627" s="7">
        <f>IFERROR(IF([1]对账明细接口!$AE627=0,"",[1]对账明细接口!$AE627),"")</f>
      </c>
      <c r="AJ627" s="7">
        <f>IFERROR(IF([1]对账明细接口!$AF627=0,"",[1]对账明细接口!$AF627),"")</f>
      </c>
    </row>
    <row r="628" ht="14.25" customHeight="1" s="127">
      <c r="A628" s="14" t="n">
        <v>628</v>
      </c>
      <c r="B628" s="211">
        <f>IFERROR(IF([1]对账明细接口!$B$628=0,"",[1]对账明细接口!$B$628),"")</f>
        <v>46292.0</v>
      </c>
      <c r="C628" s="16" t="str">
        <f>IFERROR(IF([1]对账明细接口!$C$628=0,"",[1]对账明细接口!$C$628),"")</f>
        <v>王灵云</v>
      </c>
      <c r="D628" s="16" t="str">
        <f>IFERROR(IF([1]对账明细接口!$D$628=0,"",[1]对账明细接口!$D$628),"")</f>
        <v>成品出库－成品出库</v>
      </c>
      <c r="E628" s="16" t="str">
        <f>IFERROR(IF([1]对账明细接口!$E$628=0,"",[1]对账明细接口!$E$628),"")</f>
        <v>NO:0001245</v>
      </c>
      <c r="F628" s="16" t="str">
        <f>IFERROR(IF([1]对账明细接口!$F$628=0,"",[1]对账明细接口!$F$628),"")</f>
        <v>香梨</v>
      </c>
      <c r="G628" s="16" t="str">
        <f>IFERROR(IF([1]对账明细接口!$G$628=0,"",[1]对账明细接口!$G$628),"")</f>
        <v>香梨一级</v>
      </c>
      <c r="H628" s="176">
        <f>IFERROR(IF([1]对账明细接口!$H$628=0,"",[1]对账明细接口!$H$628),"")</f>
        <v>1194</v>
      </c>
      <c r="I628" s="16" t="str">
        <f>IFERROR(IF([1]对账明细接口!$I$628=0,"",[1]对账明细接口!$I$628),"")</f>
        <v>筐</v>
      </c>
      <c r="J628" s="177">
        <f>IFERROR(IF([1]对账明细接口!$J$628=0,"",[1]对账明细接口!$J$628),"")</f>
        <v>22089</v>
      </c>
      <c r="K628" s="177">
        <f>IFERROR(IF([1]对账明细接口!$K$628=0,"",[1]对账明细接口!$K$628),"")</f>
      </c>
      <c r="L628" s="16">
        <f>IFERROR(IF([1]对账明细接口!$L$628=0,"",[1]对账明细接口!$L$628),"")</f>
      </c>
      <c r="M628" s="16">
        <f>IFERROR(IF([1]对账明细接口!$M$628=0,"",[1]对账明细接口!$M$628),"")</f>
      </c>
      <c r="N628" s="19">
        <f>IF($C628="",0,1)</f>
        <v>1</v>
      </c>
      <c r="O628" s="19">
        <f>N(O627)+$N628</f>
        <v>625</v>
      </c>
      <c r="S628" s="20" t="str">
        <f>IFERROR(IF([1]对账明细接口!$N628=0,"",[1]对账明细接口!$N628),"")</f>
        <v>自备一次性筐</v>
      </c>
      <c r="T628" s="212">
        <f>IFERROR(IF([1]对账明细接口!$O628=0,"",[1]对账明细接口!$O628),"")</f>
        <v>1194</v>
      </c>
      <c r="U628" s="212">
        <f>IFERROR(IF([1]对账明细接口!$P628=0,"",[1]对账明细接口!$P628),"")</f>
      </c>
      <c r="V628" s="212">
        <f>IFERROR(IF([1]对账明细接口!$Q628=0,"",[1]对账明细接口!$Q628),"")</f>
      </c>
      <c r="W628" s="20" t="str">
        <f>IFERROR(IF([1]对账明细接口!$R628=0,"",[1]对账明细接口!$R628),"")</f>
        <v>辽P*D6006</v>
      </c>
      <c r="X628" s="20" t="str">
        <f>IFERROR(IF([1]对账明细接口!$S628=0,"",[1]对账明细接口!$S628),"")</f>
        <v>自备筐</v>
      </c>
      <c r="Y628" s="20" t="str">
        <f>IFERROR(IF([1]对账明细接口!$T628=0,"",[1]对账明细接口!$T628),"")</f>
        <v>王灵云</v>
      </c>
      <c r="Z628" s="213">
        <f>IFERROR(IF([1]对账明细接口!$U628=0,"",[1]对账明细接口!$U628),"")</f>
      </c>
      <c r="AA628" s="213">
        <f>IFERROR(IF([1]对账明细接口!$V628=0,"",[1]对账明细接口!$V628),"")</f>
      </c>
      <c r="AB628" s="20">
        <f>IFERROR(IF([1]对账明细接口!$W628=0,"",[1]对账明细接口!$W628),"")</f>
      </c>
      <c r="AC628" s="7" t="str">
        <f>IFERROR(IF([1]对账明细接口!$X628=0,"",[1]对账明细接口!$X628),"")</f>
        <v>王灵云</v>
      </c>
      <c r="AD628" s="7">
        <f>IFERROR(IF([1]对账明细接口!$Y628=0,"",[1]对账明细接口!$Y628),"")</f>
      </c>
      <c r="AE628" s="7">
        <f>IFERROR(IF([1]对账明细接口!$AA628=0,"",[1]对账明细接口!$AA628),"")</f>
      </c>
      <c r="AF628" s="7">
        <f>IFERROR(IF([1]对账明细接口!$AB628=0,"",[1]对账明细接口!$AB628),"")</f>
      </c>
      <c r="AG628" s="7">
        <f>IFERROR(IF([1]对账明细接口!$AC628=0,"",[1]对账明细接口!$AC628),"")</f>
      </c>
      <c r="AH628" s="7" t="str">
        <f>IFERROR(IF([1]对账明细接口!$AD628=0,"",[1]对账明细接口!$AD628),"")</f>
        <v>成品出库</v>
      </c>
      <c r="AI628" s="7">
        <f>IFERROR(IF([1]对账明细接口!$AE628=0,"",[1]对账明细接口!$AE628),"")</f>
      </c>
      <c r="AJ628" s="7">
        <f>IFERROR(IF([1]对账明细接口!$AF628=0,"",[1]对账明细接口!$AF628),"")</f>
      </c>
    </row>
    <row r="629" ht="14.25" customHeight="1" s="127">
      <c r="A629" s="14" t="n">
        <v>629</v>
      </c>
      <c r="B629" s="211">
        <f>IFERROR(IF([1]对账明细接口!$B$629=0,"",[1]对账明细接口!$B$629),"")</f>
        <v>46292.0</v>
      </c>
      <c r="C629" s="16" t="str">
        <f>IFERROR(IF([1]对账明细接口!$C$629=0,"",[1]对账明细接口!$C$629),"")</f>
        <v>王灵云</v>
      </c>
      <c r="D629" s="16" t="str">
        <f>IFERROR(IF([1]对账明细接口!$D$629=0,"",[1]对账明细接口!$D$629),"")</f>
        <v>成品出库－成品出库</v>
      </c>
      <c r="E629" s="16" t="str">
        <f>IFERROR(IF([1]对账明细接口!$E$629=0,"",[1]对账明细接口!$E$629),"")</f>
        <v>NO:0001245</v>
      </c>
      <c r="F629" s="16" t="str">
        <f>IFERROR(IF([1]对账明细接口!$F$629=0,"",[1]对账明细接口!$F$629),"")</f>
        <v>香梨</v>
      </c>
      <c r="G629" s="16" t="str">
        <f>IFERROR(IF([1]对账明细接口!$G$629=0,"",[1]对账明细接口!$G$629),"")</f>
        <v>香梨二级</v>
      </c>
      <c r="H629" s="176">
        <f>IFERROR(IF([1]对账明细接口!$H$629=0,"",[1]对账明细接口!$H$629),"")</f>
        <v>288</v>
      </c>
      <c r="I629" s="16" t="str">
        <f>IFERROR(IF([1]对账明细接口!$I$629=0,"",[1]对账明细接口!$I$629),"")</f>
        <v>箱</v>
      </c>
      <c r="J629" s="177">
        <f>IFERROR(IF([1]对账明细接口!$J$629=0,"",[1]对账明细接口!$J$629),"")</f>
        <v>1440</v>
      </c>
      <c r="K629" s="177">
        <f>IFERROR(IF([1]对账明细接口!$K$629=0,"",[1]对账明细接口!$K$629),"")</f>
      </c>
      <c r="L629" s="16">
        <f>IFERROR(IF([1]对账明细接口!$L$629=0,"",[1]对账明细接口!$L$629),"")</f>
      </c>
      <c r="M629" s="16">
        <f>IFERROR(IF([1]对账明细接口!$M$629=0,"",[1]对账明细接口!$M$629),"")</f>
      </c>
      <c r="N629" s="19">
        <f>IF($C629="",0,1)</f>
        <v>1</v>
      </c>
      <c r="O629" s="19">
        <f>N(O628)+$N629</f>
        <v>626</v>
      </c>
      <c r="S629" s="20" t="str">
        <f>IFERROR(IF([1]对账明细接口!$N629=0,"",[1]对账明细接口!$N629),"")</f>
        <v>纸箱</v>
      </c>
      <c r="T629" s="212">
        <f>IFERROR(IF([1]对账明细接口!$O629=0,"",[1]对账明细接口!$O629),"")</f>
      </c>
      <c r="U629" s="212">
        <f>IFERROR(IF([1]对账明细接口!$P629=0,"",[1]对账明细接口!$P629),"")</f>
      </c>
      <c r="V629" s="212">
        <f>IFERROR(IF([1]对账明细接口!$Q629=0,"",[1]对账明细接口!$Q629),"")</f>
      </c>
      <c r="W629" s="20" t="str">
        <f>IFERROR(IF([1]对账明细接口!$R629=0,"",[1]对账明细接口!$R629),"")</f>
        <v>辽P*D6006</v>
      </c>
      <c r="X629" s="20" t="str">
        <f>IFERROR(IF([1]对账明细接口!$S629=0,"",[1]对账明细接口!$S629),"")</f>
        <v>公司筐</v>
      </c>
      <c r="Y629" s="20" t="str">
        <f>IFERROR(IF([1]对账明细接口!$T629=0,"",[1]对账明细接口!$T629),"")</f>
        <v>王灵云</v>
      </c>
      <c r="Z629" s="213">
        <f>IFERROR(IF([1]对账明细接口!$U629=0,"",[1]对账明细接口!$U629),"")</f>
      </c>
      <c r="AA629" s="213">
        <f>IFERROR(IF([1]对账明细接口!$V629=0,"",[1]对账明细接口!$V629),"")</f>
      </c>
      <c r="AB629" s="20">
        <f>IFERROR(IF([1]对账明细接口!$W629=0,"",[1]对账明细接口!$W629),"")</f>
      </c>
      <c r="AC629" s="7" t="str">
        <f>IFERROR(IF([1]对账明细接口!$X629=0,"",[1]对账明细接口!$X629),"")</f>
        <v>王灵云</v>
      </c>
      <c r="AD629" s="7">
        <f>IFERROR(IF([1]对账明细接口!$Y629=0,"",[1]对账明细接口!$Y629),"")</f>
      </c>
      <c r="AE629" s="7">
        <f>IFERROR(IF([1]对账明细接口!$AA629=0,"",[1]对账明细接口!$AA629),"")</f>
      </c>
      <c r="AF629" s="7">
        <f>IFERROR(IF([1]对账明细接口!$AB629=0,"",[1]对账明细接口!$AB629),"")</f>
      </c>
      <c r="AG629" s="7">
        <f>IFERROR(IF([1]对账明细接口!$AC629=0,"",[1]对账明细接口!$AC629),"")</f>
      </c>
      <c r="AH629" s="7" t="str">
        <f>IFERROR(IF([1]对账明细接口!$AD629=0,"",[1]对账明细接口!$AD629),"")</f>
        <v>成品出库</v>
      </c>
      <c r="AI629" s="7">
        <f>IFERROR(IF([1]对账明细接口!$AE629=0,"",[1]对账明细接口!$AE629),"")</f>
      </c>
      <c r="AJ629" s="7">
        <f>IFERROR(IF([1]对账明细接口!$AF629=0,"",[1]对账明细接口!$AF629),"")</f>
      </c>
    </row>
    <row r="630" ht="14.25" customHeight="1" s="127">
      <c r="A630" s="14" t="n">
        <v>630</v>
      </c>
      <c r="B630" s="211">
        <f>IFERROR(IF([1]对账明细接口!$B$630=0,"",[1]对账明细接口!$B$630),"")</f>
        <v>46274.0</v>
      </c>
      <c r="C630" s="16" t="str">
        <f>IFERROR(IF([1]对账明细接口!$C$630=0,"",[1]对账明细接口!$C$630),"")</f>
        <v>麦麦提</v>
      </c>
      <c r="D630" s="16" t="str">
        <f>IFERROR(IF([1]对账明细接口!$D$630=0,"",[1]对账明细接口!$D$630),"")</f>
        <v>成品出库－果然鲜送礼</v>
      </c>
      <c r="E630" s="16" t="str">
        <f>IFERROR(IF([1]对账明细接口!$E$630=0,"",[1]对账明细接口!$E$630),"")</f>
        <v>NO:0000141</v>
      </c>
      <c r="F630" s="16" t="str">
        <f>IFERROR(IF([1]对账明细接口!$F$630=0,"",[1]对账明细接口!$F$630),"")</f>
        <v>香梨</v>
      </c>
      <c r="G630" s="16" t="str">
        <f>IFERROR(IF([1]对账明细接口!$G$630=0,"",[1]对账明细接口!$G$630),"")</f>
        <v>香梨特级</v>
      </c>
      <c r="H630" s="176">
        <f>IFERROR(IF([1]对账明细接口!$H$630=0,"",[1]对账明细接口!$H$630),"")</f>
        <v>4</v>
      </c>
      <c r="I630" s="16" t="str">
        <f>IFERROR(IF([1]对账明细接口!$I$630=0,"",[1]对账明细接口!$I$630),"")</f>
        <v>箱</v>
      </c>
      <c r="J630" s="177">
        <f>IFERROR(IF([1]对账明细接口!$J$630=0,"",[1]对账明细接口!$J$630),"")</f>
        <v>20</v>
      </c>
      <c r="K630" s="177">
        <f>IFERROR(IF([1]对账明细接口!$K$630=0,"",[1]对账明细接口!$K$630),"")</f>
      </c>
      <c r="L630" s="16">
        <f>IFERROR(IF([1]对账明细接口!$L$630=0,"",[1]对账明细接口!$L$630),"")</f>
      </c>
      <c r="M630" s="16">
        <f>IFERROR(IF([1]对账明细接口!$M$630=0,"",[1]对账明细接口!$M$630),"")</f>
      </c>
      <c r="N630" s="19">
        <f>IF($C630="",0,1)</f>
        <v>1</v>
      </c>
      <c r="O630" s="19">
        <f>N(O629)+$N630</f>
        <v>627</v>
      </c>
      <c r="S630" s="20" t="str">
        <f>IFERROR(IF([1]对账明细接口!$N630=0,"",[1]对账明细接口!$N630),"")</f>
        <v>纸箱</v>
      </c>
      <c r="T630" s="212">
        <f>IFERROR(IF([1]对账明细接口!$O630=0,"",[1]对账明细接口!$O630),"")</f>
      </c>
      <c r="U630" s="212">
        <f>IFERROR(IF([1]对账明细接口!$P630=0,"",[1]对账明细接口!$P630),"")</f>
      </c>
      <c r="V630" s="212">
        <f>IFERROR(IF([1]对账明细接口!$Q630=0,"",[1]对账明细接口!$Q630),"")</f>
      </c>
      <c r="W630" s="20">
        <f>IFERROR(IF([1]对账明细接口!$R630=0,"",[1]对账明细接口!$R630),"")</f>
      </c>
      <c r="X630" s="20" t="str">
        <f>IFERROR(IF([1]对账明细接口!$S630=0,"",[1]对账明细接口!$S630),"")</f>
        <v>公司筐</v>
      </c>
      <c r="Y630" s="20" t="str">
        <f>IFERROR(IF([1]对账明细接口!$T630=0,"",[1]对账明细接口!$T630),"")</f>
        <v>麦麦提</v>
      </c>
      <c r="Z630" s="213">
        <f>IFERROR(IF([1]对账明细接口!$U630=0,"",[1]对账明细接口!$U630),"")</f>
      </c>
      <c r="AA630" s="213">
        <f>IFERROR(IF([1]对账明细接口!$V630=0,"",[1]对账明细接口!$V630),"")</f>
      </c>
      <c r="AB630" s="20">
        <f>IFERROR(IF([1]对账明细接口!$W630=0,"",[1]对账明细接口!$W630),"")</f>
      </c>
      <c r="AC630" s="7" t="str">
        <f>IFERROR(IF([1]对账明细接口!$X630=0,"",[1]对账明细接口!$X630),"")</f>
        <v>汇金纸箱厂</v>
      </c>
      <c r="AD630" s="7">
        <f>IFERROR(IF([1]对账明细接口!$Y630=0,"",[1]对账明细接口!$Y630),"")</f>
      </c>
      <c r="AE630" s="7">
        <f>IFERROR(IF([1]对账明细接口!$AA630=0,"",[1]对账明细接口!$AA630),"")</f>
      </c>
      <c r="AF630" s="7">
        <f>IFERROR(IF([1]对账明细接口!$AB630=0,"",[1]对账明细接口!$AB630),"")</f>
      </c>
      <c r="AG630" s="7">
        <f>IFERROR(IF([1]对账明细接口!$AC630=0,"",[1]对账明细接口!$AC630),"")</f>
      </c>
      <c r="AH630" s="7" t="str">
        <f>IFERROR(IF([1]对账明细接口!$AD630=0,"",[1]对账明细接口!$AD630),"")</f>
        <v>果然鲜送礼</v>
      </c>
      <c r="AI630" s="7">
        <f>IFERROR(IF([1]对账明细接口!$AE630=0,"",[1]对账明细接口!$AE630),"")</f>
      </c>
      <c r="AJ630" s="7">
        <f>IFERROR(IF([1]对账明细接口!$AF630=0,"",[1]对账明细接口!$AF630),"")</f>
      </c>
    </row>
    <row r="631" ht="14.25" customHeight="1" s="127">
      <c r="A631" s="14" t="n">
        <v>631</v>
      </c>
      <c r="B631" s="211">
        <f>IFERROR(IF([1]对账明细接口!$B$631=0,"",[1]对账明细接口!$B$631),"")</f>
        <v>46281.0</v>
      </c>
      <c r="C631" s="16" t="str">
        <f>IFERROR(IF([1]对账明细接口!$C$631=0,"",[1]对账明细接口!$C$631),"")</f>
        <v>王照雪</v>
      </c>
      <c r="D631" s="16" t="str">
        <f>IFERROR(IF([1]对账明细接口!$D$631=0,"",[1]对账明细接口!$D$631),"")</f>
        <v>成品出库－果然鲜送礼</v>
      </c>
      <c r="E631" s="16" t="str">
        <f>IFERROR(IF([1]对账明细接口!$E$631=0,"",[1]对账明细接口!$E$631),"")</f>
        <v>NO:0000142</v>
      </c>
      <c r="F631" s="16" t="str">
        <f>IFERROR(IF([1]对账明细接口!$F$631=0,"",[1]对账明细接口!$F$631),"")</f>
        <v>苹果</v>
      </c>
      <c r="G631" s="16" t="str">
        <f>IFERROR(IF([1]对账明细接口!$G$631=0,"",[1]对账明细接口!$G$631),"")</f>
        <v>新世纪一级</v>
      </c>
      <c r="H631" s="176">
        <f>IFERROR(IF([1]对账明细接口!$H$631=0,"",[1]对账明细接口!$H$631),"")</f>
        <v>2</v>
      </c>
      <c r="I631" s="16" t="str">
        <f>IFERROR(IF([1]对账明细接口!$I$631=0,"",[1]对账明细接口!$I$631),"")</f>
        <v>箱</v>
      </c>
      <c r="J631" s="177">
        <f>IFERROR(IF([1]对账明细接口!$J$631=0,"",[1]对账明细接口!$J$631),"")</f>
        <v>10</v>
      </c>
      <c r="K631" s="177">
        <f>IFERROR(IF([1]对账明细接口!$K$631=0,"",[1]对账明细接口!$K$631),"")</f>
      </c>
      <c r="L631" s="16">
        <f>IFERROR(IF([1]对账明细接口!$L$631=0,"",[1]对账明细接口!$L$631),"")</f>
      </c>
      <c r="M631" s="16">
        <f>IFERROR(IF([1]对账明细接口!$M$631=0,"",[1]对账明细接口!$M$631),"")</f>
      </c>
      <c r="N631" s="19">
        <f>IF($C631="",0,1)</f>
        <v>1</v>
      </c>
      <c r="O631" s="19">
        <f>N(O630)+$N631</f>
        <v>628</v>
      </c>
      <c r="S631" s="20" t="str">
        <f>IFERROR(IF([1]对账明细接口!$N631=0,"",[1]对账明细接口!$N631),"")</f>
        <v>纸箱</v>
      </c>
      <c r="T631" s="212">
        <f>IFERROR(IF([1]对账明细接口!$O631=0,"",[1]对账明细接口!$O631),"")</f>
      </c>
      <c r="U631" s="212">
        <f>IFERROR(IF([1]对账明细接口!$P631=0,"",[1]对账明细接口!$P631),"")</f>
      </c>
      <c r="V631" s="212">
        <f>IFERROR(IF([1]对账明细接口!$Q631=0,"",[1]对账明细接口!$Q631),"")</f>
      </c>
      <c r="W631" s="20">
        <f>IFERROR(IF([1]对账明细接口!$R631=0,"",[1]对账明细接口!$R631),"")</f>
      </c>
      <c r="X631" s="20" t="str">
        <f>IFERROR(IF([1]对账明细接口!$S631=0,"",[1]对账明细接口!$S631),"")</f>
        <v>公司筐</v>
      </c>
      <c r="Y631" s="20" t="str">
        <f>IFERROR(IF([1]对账明细接口!$T631=0,"",[1]对账明细接口!$T631),"")</f>
        <v>王照雪</v>
      </c>
      <c r="Z631" s="213">
        <f>IFERROR(IF([1]对账明细接口!$U631=0,"",[1]对账明细接口!$U631),"")</f>
      </c>
      <c r="AA631" s="213">
        <f>IFERROR(IF([1]对账明细接口!$V631=0,"",[1]对账明细接口!$V631),"")</f>
      </c>
      <c r="AB631" s="20">
        <f>IFERROR(IF([1]对账明细接口!$W631=0,"",[1]对账明细接口!$W631),"")</f>
      </c>
      <c r="AC631" s="7" t="str">
        <f>IFERROR(IF([1]对账明细接口!$X631=0,"",[1]对账明细接口!$X631),"")</f>
        <v>顾宝民</v>
      </c>
      <c r="AD631" s="7">
        <f>IFERROR(IF([1]对账明细接口!$Y631=0,"",[1]对账明细接口!$Y631),"")</f>
      </c>
      <c r="AE631" s="7">
        <f>IFERROR(IF([1]对账明细接口!$AA631=0,"",[1]对账明细接口!$AA631),"")</f>
      </c>
      <c r="AF631" s="7">
        <f>IFERROR(IF([1]对账明细接口!$AB631=0,"",[1]对账明细接口!$AB631),"")</f>
      </c>
      <c r="AG631" s="7">
        <f>IFERROR(IF([1]对账明细接口!$AC631=0,"",[1]对账明细接口!$AC631),"")</f>
      </c>
      <c r="AH631" s="7" t="str">
        <f>IFERROR(IF([1]对账明细接口!$AD631=0,"",[1]对账明细接口!$AD631),"")</f>
        <v>果然鲜送礼</v>
      </c>
      <c r="AI631" s="7">
        <f>IFERROR(IF([1]对账明细接口!$AE631=0,"",[1]对账明细接口!$AE631),"")</f>
      </c>
      <c r="AJ631" s="7">
        <f>IFERROR(IF([1]对账明细接口!$AF631=0,"",[1]对账明细接口!$AF631),"")</f>
      </c>
    </row>
    <row r="632" ht="14.25" customHeight="1" s="127">
      <c r="A632" s="14" t="n">
        <v>632</v>
      </c>
      <c r="B632" s="211">
        <f>IFERROR(IF([1]对账明细接口!$B$632=0,"",[1]对账明细接口!$B$632),"")</f>
        <v>46281.0</v>
      </c>
      <c r="C632" s="16" t="str">
        <f>IFERROR(IF([1]对账明细接口!$C$632=0,"",[1]对账明细接口!$C$632),"")</f>
        <v>王浩</v>
      </c>
      <c r="D632" s="16" t="str">
        <f>IFERROR(IF([1]对账明细接口!$D$632=0,"",[1]对账明细接口!$D$632),"")</f>
        <v>成品出库－果然鲜销售</v>
      </c>
      <c r="E632" s="16" t="str">
        <f>IFERROR(IF([1]对账明细接口!$E$632=0,"",[1]对账明细接口!$E$632),"")</f>
        <v>NO:0000142</v>
      </c>
      <c r="F632" s="16" t="str">
        <f>IFERROR(IF([1]对账明细接口!$F$632=0,"",[1]对账明细接口!$F$632),"")</f>
        <v>香梨</v>
      </c>
      <c r="G632" s="16" t="str">
        <f>IFERROR(IF([1]对账明细接口!$G$632=0,"",[1]对账明细接口!$G$632),"")</f>
        <v>香梨一级</v>
      </c>
      <c r="H632" s="176">
        <f>IFERROR(IF([1]对账明细接口!$H$632=0,"",[1]对账明细接口!$H$632),"")</f>
        <v>4</v>
      </c>
      <c r="I632" s="16" t="str">
        <f>IFERROR(IF([1]对账明细接口!$I$632=0,"",[1]对账明细接口!$I$632),"")</f>
        <v>箱</v>
      </c>
      <c r="J632" s="177">
        <f>IFERROR(IF([1]对账明细接口!$J$632=0,"",[1]对账明细接口!$J$632),"")</f>
        <v>20</v>
      </c>
      <c r="K632" s="177">
        <f>IFERROR(IF([1]对账明细接口!$K$632=0,"",[1]对账明细接口!$K$632),"")</f>
        <v>210</v>
      </c>
      <c r="L632" s="16" t="str">
        <f>IFERROR(IF([1]对账明细接口!$L$632=0,"",[1]对账明细接口!$L$632),"")</f>
        <v>已收讫</v>
      </c>
      <c r="M632" s="16">
        <f>IFERROR(IF([1]对账明细接口!$M$632=0,"",[1]对账明细接口!$M$632),"")</f>
      </c>
      <c r="N632" s="19">
        <f>IF($C632="",0,1)</f>
        <v>1</v>
      </c>
      <c r="O632" s="19">
        <f>N(O631)+$N632</f>
        <v>629</v>
      </c>
      <c r="S632" s="20" t="str">
        <f>IFERROR(IF([1]对账明细接口!$N632=0,"",[1]对账明细接口!$N632),"")</f>
        <v>纸箱</v>
      </c>
      <c r="T632" s="212">
        <f>IFERROR(IF([1]对账明细接口!$O632=0,"",[1]对账明细接口!$O632),"")</f>
      </c>
      <c r="U632" s="212">
        <f>IFERROR(IF([1]对账明细接口!$P632=0,"",[1]对账明细接口!$P632),"")</f>
      </c>
      <c r="V632" s="212">
        <f>IFERROR(IF([1]对账明细接口!$Q632=0,"",[1]对账明细接口!$Q632),"")</f>
      </c>
      <c r="W632" s="20">
        <f>IFERROR(IF([1]对账明细接口!$R632=0,"",[1]对账明细接口!$R632),"")</f>
      </c>
      <c r="X632" s="20" t="str">
        <f>IFERROR(IF([1]对账明细接口!$S632=0,"",[1]对账明细接口!$S632),"")</f>
        <v>公司筐</v>
      </c>
      <c r="Y632" s="20" t="str">
        <f>IFERROR(IF([1]对账明细接口!$T632=0,"",[1]对账明细接口!$T632),"")</f>
        <v>王浩</v>
      </c>
      <c r="Z632" s="213">
        <f>IFERROR(IF([1]对账明细接口!$U632=0,"",[1]对账明细接口!$U632),"")</f>
        <v>40</v>
      </c>
      <c r="AA632" s="213">
        <f>IFERROR(IF([1]对账明细接口!$V632=0,"",[1]对账明细接口!$V632),"")</f>
        <v>160</v>
      </c>
      <c r="AB632" s="20" t="str">
        <f>IFERROR(IF([1]对账明细接口!$W632=0,"",[1]对账明细接口!$W632),"")</f>
        <v>已付清</v>
      </c>
      <c r="AC632" s="7" t="str">
        <f>IFERROR(IF([1]对账明细接口!$X632=0,"",[1]对账明细接口!$X632),"")</f>
        <v>大汪总</v>
      </c>
      <c r="AD632" s="7">
        <f>IFERROR(IF([1]对账明细接口!$Y632=0,"",[1]对账明细接口!$Y632),"")</f>
        <v>50</v>
      </c>
      <c r="AE632" s="7">
        <f>IFERROR(IF([1]对账明细接口!$AA632=0,"",[1]对账明细接口!$AA632),"")</f>
        <v>10</v>
      </c>
      <c r="AF632" s="7">
        <f>IFERROR(IF([1]对账明细接口!$AB632=0,"",[1]对账明细接口!$AB632),"")</f>
      </c>
      <c r="AG632" s="7">
        <f>IFERROR(IF([1]对账明细接口!$AC632=0,"",[1]对账明细接口!$AC632),"")</f>
      </c>
      <c r="AH632" s="7" t="str">
        <f>IFERROR(IF([1]对账明细接口!$AD632=0,"",[1]对账明细接口!$AD632),"")</f>
        <v>果然鲜销售</v>
      </c>
      <c r="AI632" s="7">
        <f>IFERROR(IF([1]对账明细接口!$AE632=0,"",[1]对账明细接口!$AE632),"")</f>
        <v>200</v>
      </c>
      <c r="AJ632" s="7">
        <f>IFERROR(IF([1]对账明细接口!$AF632=0,"",[1]对账明细接口!$AF632),"")</f>
        <v>160</v>
      </c>
    </row>
    <row r="633" ht="14.25" customHeight="1" s="127">
      <c r="A633" s="14" t="n">
        <v>633</v>
      </c>
      <c r="B633" s="211">
        <f>IFERROR(IF([1]对账明细接口!$B$633=0,"",[1]对账明细接口!$B$633),"")</f>
        <v>46281.0</v>
      </c>
      <c r="C633" s="16" t="str">
        <f>IFERROR(IF([1]对账明细接口!$C$633=0,"",[1]对账明细接口!$C$633),"")</f>
        <v>王浩</v>
      </c>
      <c r="D633" s="16" t="str">
        <f>IFERROR(IF([1]对账明细接口!$D$633=0,"",[1]对账明细接口!$D$633),"")</f>
        <v>成品出库－果然鲜销售</v>
      </c>
      <c r="E633" s="16" t="str">
        <f>IFERROR(IF([1]对账明细接口!$E$633=0,"",[1]对账明细接口!$E$633),"")</f>
        <v>NO:0000142</v>
      </c>
      <c r="F633" s="16" t="str">
        <f>IFERROR(IF([1]对账明细接口!$F$633=0,"",[1]对账明细接口!$F$633),"")</f>
        <v>香梨</v>
      </c>
      <c r="G633" s="16" t="str">
        <f>IFERROR(IF([1]对账明细接口!$G$633=0,"",[1]对账明细接口!$G$633),"")</f>
        <v>香梨特级</v>
      </c>
      <c r="H633" s="176">
        <f>IFERROR(IF([1]对账明细接口!$H$633=0,"",[1]对账明细接口!$H$633),"")</f>
        <v>8</v>
      </c>
      <c r="I633" s="16" t="str">
        <f>IFERROR(IF([1]对账明细接口!$I$633=0,"",[1]对账明细接口!$I$633),"")</f>
        <v>箱</v>
      </c>
      <c r="J633" s="177">
        <f>IFERROR(IF([1]对账明细接口!$J$633=0,"",[1]对账明细接口!$J$633),"")</f>
        <v>40</v>
      </c>
      <c r="K633" s="177">
        <f>IFERROR(IF([1]对账明细接口!$K$633=0,"",[1]对账明细接口!$K$633),"")</f>
        <v>400</v>
      </c>
      <c r="L633" s="16" t="str">
        <f>IFERROR(IF([1]对账明细接口!$L$633=0,"",[1]对账明细接口!$L$633),"")</f>
        <v>未收款</v>
      </c>
      <c r="M633" s="16">
        <f>IFERROR(IF([1]对账明细接口!$M$633=0,"",[1]对账明细接口!$M$633),"")</f>
      </c>
      <c r="N633" s="19">
        <f>IF($C633="",0,1)</f>
        <v>1</v>
      </c>
      <c r="O633" s="19">
        <f>N(O632)+$N633</f>
        <v>630</v>
      </c>
      <c r="S633" s="20" t="str">
        <f>IFERROR(IF([1]对账明细接口!$N633=0,"",[1]对账明细接口!$N633),"")</f>
        <v>纸箱</v>
      </c>
      <c r="T633" s="212">
        <f>IFERROR(IF([1]对账明细接口!$O633=0,"",[1]对账明细接口!$O633),"")</f>
      </c>
      <c r="U633" s="212">
        <f>IFERROR(IF([1]对账明细接口!$P633=0,"",[1]对账明细接口!$P633),"")</f>
      </c>
      <c r="V633" s="212">
        <f>IFERROR(IF([1]对账明细接口!$Q633=0,"",[1]对账明细接口!$Q633),"")</f>
      </c>
      <c r="W633" s="20">
        <f>IFERROR(IF([1]对账明细接口!$R633=0,"",[1]对账明细接口!$R633),"")</f>
      </c>
      <c r="X633" s="20" t="str">
        <f>IFERROR(IF([1]对账明细接口!$S633=0,"",[1]对账明细接口!$S633),"")</f>
        <v>公司筐</v>
      </c>
      <c r="Y633" s="20" t="str">
        <f>IFERROR(IF([1]对账明细接口!$T633=0,"",[1]对账明细接口!$T633),"")</f>
        <v>王浩</v>
      </c>
      <c r="Z633" s="213">
        <f>IFERROR(IF([1]对账明细接口!$U633=0,"",[1]对账明细接口!$U633),"")</f>
        <v>40</v>
      </c>
      <c r="AA633" s="213">
        <f>IFERROR(IF([1]对账明细接口!$V633=0,"",[1]对账明细接口!$V633),"")</f>
        <v>320</v>
      </c>
      <c r="AB633" s="20" t="str">
        <f>IFERROR(IF([1]对账明细接口!$W633=0,"",[1]对账明细接口!$W633),"")</f>
        <v>未付款</v>
      </c>
      <c r="AC633" s="7" t="str">
        <f>IFERROR(IF([1]对账明细接口!$X633=0,"",[1]对账明细接口!$X633),"")</f>
        <v>大汪总</v>
      </c>
      <c r="AD633" s="7">
        <f>IFERROR(IF([1]对账明细接口!$Y633=0,"",[1]对账明细接口!$Y633),"")</f>
        <v>50</v>
      </c>
      <c r="AE633" s="7">
        <f>IFERROR(IF([1]对账明细接口!$AA633=0,"",[1]对账明细接口!$AA633),"")</f>
      </c>
      <c r="AF633" s="7">
        <f>IFERROR(IF([1]对账明细接口!$AB633=0,"",[1]对账明细接口!$AB633),"")</f>
      </c>
      <c r="AG633" s="7">
        <f>IFERROR(IF([1]对账明细接口!$AC633=0,"",[1]对账明细接口!$AC633),"")</f>
        <v>10</v>
      </c>
      <c r="AH633" s="7" t="str">
        <f>IFERROR(IF([1]对账明细接口!$AD633=0,"",[1]对账明细接口!$AD633),"")</f>
        <v>果然鲜销售</v>
      </c>
      <c r="AI633" s="7">
        <f>IFERROR(IF([1]对账明细接口!$AE633=0,"",[1]对账明细接口!$AE633),"")</f>
        <v>400</v>
      </c>
      <c r="AJ633" s="7">
        <f>IFERROR(IF([1]对账明细接口!$AF633=0,"",[1]对账明细接口!$AF633),"")</f>
        <v>330</v>
      </c>
    </row>
    <row r="634" ht="14.25" customHeight="1" s="127">
      <c r="A634" s="14" t="n">
        <v>634</v>
      </c>
      <c r="B634" s="211">
        <f>IFERROR(IF([1]对账明细接口!$B$634=0,"",[1]对账明细接口!$B$634),"")</f>
        <v>46287.0</v>
      </c>
      <c r="C634" s="16" t="str">
        <f>IFERROR(IF([1]对账明细接口!$C$634=0,"",[1]对账明细接口!$C$634),"")</f>
        <v>王照雪</v>
      </c>
      <c r="D634" s="16" t="str">
        <f>IFERROR(IF([1]对账明细接口!$D$634=0,"",[1]对账明细接口!$D$634),"")</f>
        <v>成品出库－果然鲜送礼</v>
      </c>
      <c r="E634" s="16" t="str">
        <f>IFERROR(IF([1]对账明细接口!$E$634=0,"",[1]对账明细接口!$E$634),"")</f>
        <v>NO:0000143</v>
      </c>
      <c r="F634" s="16" t="str">
        <f>IFERROR(IF([1]对账明细接口!$F$634=0,"",[1]对账明细接口!$F$634),"")</f>
        <v>苹果</v>
      </c>
      <c r="G634" s="16" t="str">
        <f>IFERROR(IF([1]对账明细接口!$G$634=0,"",[1]对账明细接口!$G$634),"")</f>
        <v>新世纪一级</v>
      </c>
      <c r="H634" s="176">
        <f>IFERROR(IF([1]对账明细接口!$H$634=0,"",[1]对账明细接口!$H$634),"")</f>
        <v>1</v>
      </c>
      <c r="I634" s="16" t="str">
        <f>IFERROR(IF([1]对账明细接口!$I$634=0,"",[1]对账明细接口!$I$634),"")</f>
        <v>箱</v>
      </c>
      <c r="J634" s="177">
        <f>IFERROR(IF([1]对账明细接口!$J$634=0,"",[1]对账明细接口!$J$634),"")</f>
        <v>5</v>
      </c>
      <c r="K634" s="177">
        <f>IFERROR(IF([1]对账明细接口!$K$634=0,"",[1]对账明细接口!$K$634),"")</f>
      </c>
      <c r="L634" s="16">
        <f>IFERROR(IF([1]对账明细接口!$L$634=0,"",[1]对账明细接口!$L$634),"")</f>
      </c>
      <c r="M634" s="16">
        <f>IFERROR(IF([1]对账明细接口!$M$634=0,"",[1]对账明细接口!$M$634),"")</f>
      </c>
      <c r="N634" s="19">
        <f>IF($C634="",0,1)</f>
        <v>1</v>
      </c>
      <c r="O634" s="19">
        <f>N(O633)+$N634</f>
        <v>631</v>
      </c>
      <c r="S634" s="20" t="str">
        <f>IFERROR(IF([1]对账明细接口!$N634=0,"",[1]对账明细接口!$N634),"")</f>
        <v>纸箱</v>
      </c>
      <c r="T634" s="212">
        <f>IFERROR(IF([1]对账明细接口!$O634=0,"",[1]对账明细接口!$O634),"")</f>
      </c>
      <c r="U634" s="212">
        <f>IFERROR(IF([1]对账明细接口!$P634=0,"",[1]对账明细接口!$P634),"")</f>
      </c>
      <c r="V634" s="212">
        <f>IFERROR(IF([1]对账明细接口!$Q634=0,"",[1]对账明细接口!$Q634),"")</f>
      </c>
      <c r="W634" s="20">
        <f>IFERROR(IF([1]对账明细接口!$R634=0,"",[1]对账明细接口!$R634),"")</f>
      </c>
      <c r="X634" s="20" t="str">
        <f>IFERROR(IF([1]对账明细接口!$S634=0,"",[1]对账明细接口!$S634),"")</f>
        <v>公司筐</v>
      </c>
      <c r="Y634" s="20" t="str">
        <f>IFERROR(IF([1]对账明细接口!$T634=0,"",[1]对账明细接口!$T634),"")</f>
        <v>王照雪</v>
      </c>
      <c r="Z634" s="213">
        <f>IFERROR(IF([1]对账明细接口!$U634=0,"",[1]对账明细接口!$U634),"")</f>
      </c>
      <c r="AA634" s="213">
        <f>IFERROR(IF([1]对账明细接口!$V634=0,"",[1]对账明细接口!$V634),"")</f>
      </c>
      <c r="AB634" s="20">
        <f>IFERROR(IF([1]对账明细接口!$W634=0,"",[1]对账明细接口!$W634),"")</f>
      </c>
      <c r="AC634" s="7" t="str">
        <f>IFERROR(IF([1]对账明细接口!$X634=0,"",[1]对账明细接口!$X634),"")</f>
        <v>松鼠</v>
      </c>
      <c r="AD634" s="7">
        <f>IFERROR(IF([1]对账明细接口!$Y634=0,"",[1]对账明细接口!$Y634),"")</f>
      </c>
      <c r="AE634" s="7">
        <f>IFERROR(IF([1]对账明细接口!$AA634=0,"",[1]对账明细接口!$AA634),"")</f>
      </c>
      <c r="AF634" s="7">
        <f>IFERROR(IF([1]对账明细接口!$AB634=0,"",[1]对账明细接口!$AB634),"")</f>
      </c>
      <c r="AG634" s="7">
        <f>IFERROR(IF([1]对账明细接口!$AC634=0,"",[1]对账明细接口!$AC634),"")</f>
      </c>
      <c r="AH634" s="7" t="str">
        <f>IFERROR(IF([1]对账明细接口!$AD634=0,"",[1]对账明细接口!$AD634),"")</f>
        <v>果然鲜送礼</v>
      </c>
      <c r="AI634" s="7">
        <f>IFERROR(IF([1]对账明细接口!$AE634=0,"",[1]对账明细接口!$AE634),"")</f>
      </c>
      <c r="AJ634" s="7">
        <f>IFERROR(IF([1]对账明细接口!$AF634=0,"",[1]对账明细接口!$AF634),"")</f>
      </c>
    </row>
    <row r="635" ht="14.25" customHeight="1" s="127">
      <c r="A635" s="14" t="n">
        <v>635</v>
      </c>
      <c r="B635" s="211">
        <f>IFERROR(IF([1]对账明细接口!$B$635=0,"",[1]对账明细接口!$B$635),"")</f>
        <v>46287.0</v>
      </c>
      <c r="C635" s="16" t="str">
        <f>IFERROR(IF([1]对账明细接口!$C$635=0,"",[1]对账明细接口!$C$635),"")</f>
        <v>王照雪</v>
      </c>
      <c r="D635" s="16" t="str">
        <f>IFERROR(IF([1]对账明细接口!$D$635=0,"",[1]对账明细接口!$D$635),"")</f>
        <v>成品出库－果然鲜送礼</v>
      </c>
      <c r="E635" s="16" t="str">
        <f>IFERROR(IF([1]对账明细接口!$E$635=0,"",[1]对账明细接口!$E$635),"")</f>
        <v>NO:0000143</v>
      </c>
      <c r="F635" s="16" t="str">
        <f>IFERROR(IF([1]对账明细接口!$F$635=0,"",[1]对账明细接口!$F$635),"")</f>
        <v>香梨</v>
      </c>
      <c r="G635" s="16" t="str">
        <f>IFERROR(IF([1]对账明细接口!$G$635=0,"",[1]对账明细接口!$G$635),"")</f>
        <v>香梨一级</v>
      </c>
      <c r="H635" s="176">
        <f>IFERROR(IF([1]对账明细接口!$H$635=0,"",[1]对账明细接口!$H$635),"")</f>
        <v>1</v>
      </c>
      <c r="I635" s="16" t="str">
        <f>IFERROR(IF([1]对账明细接口!$I$635=0,"",[1]对账明细接口!$I$635),"")</f>
        <v>箱</v>
      </c>
      <c r="J635" s="177">
        <f>IFERROR(IF([1]对账明细接口!$J$635=0,"",[1]对账明细接口!$J$635),"")</f>
        <v>5</v>
      </c>
      <c r="K635" s="177">
        <f>IFERROR(IF([1]对账明细接口!$K$635=0,"",[1]对账明细接口!$K$635),"")</f>
      </c>
      <c r="L635" s="16">
        <f>IFERROR(IF([1]对账明细接口!$L$635=0,"",[1]对账明细接口!$L$635),"")</f>
      </c>
      <c r="M635" s="16">
        <f>IFERROR(IF([1]对账明细接口!$M$635=0,"",[1]对账明细接口!$M$635),"")</f>
      </c>
      <c r="N635" s="19">
        <f>IF($C635="",0,1)</f>
        <v>1</v>
      </c>
      <c r="O635" s="19">
        <f>N(O634)+$N635</f>
        <v>632</v>
      </c>
      <c r="S635" s="20" t="str">
        <f>IFERROR(IF([1]对账明细接口!$N635=0,"",[1]对账明细接口!$N635),"")</f>
        <v>纸箱</v>
      </c>
      <c r="T635" s="212">
        <f>IFERROR(IF([1]对账明细接口!$O635=0,"",[1]对账明细接口!$O635),"")</f>
      </c>
      <c r="U635" s="212">
        <f>IFERROR(IF([1]对账明细接口!$P635=0,"",[1]对账明细接口!$P635),"")</f>
      </c>
      <c r="V635" s="212">
        <f>IFERROR(IF([1]对账明细接口!$Q635=0,"",[1]对账明细接口!$Q635),"")</f>
      </c>
      <c r="W635" s="20">
        <f>IFERROR(IF([1]对账明细接口!$R635=0,"",[1]对账明细接口!$R635),"")</f>
      </c>
      <c r="X635" s="20" t="str">
        <f>IFERROR(IF([1]对账明细接口!$S635=0,"",[1]对账明细接口!$S635),"")</f>
        <v>公司筐</v>
      </c>
      <c r="Y635" s="20" t="str">
        <f>IFERROR(IF([1]对账明细接口!$T635=0,"",[1]对账明细接口!$T635),"")</f>
        <v>王照雪</v>
      </c>
      <c r="Z635" s="213">
        <f>IFERROR(IF([1]对账明细接口!$U635=0,"",[1]对账明细接口!$U635),"")</f>
      </c>
      <c r="AA635" s="213">
        <f>IFERROR(IF([1]对账明细接口!$V635=0,"",[1]对账明细接口!$V635),"")</f>
      </c>
      <c r="AB635" s="20">
        <f>IFERROR(IF([1]对账明细接口!$W635=0,"",[1]对账明细接口!$W635),"")</f>
      </c>
      <c r="AC635" s="7" t="str">
        <f>IFERROR(IF([1]对账明细接口!$X635=0,"",[1]对账明细接口!$X635),"")</f>
        <v>松鼠</v>
      </c>
      <c r="AD635" s="7">
        <f>IFERROR(IF([1]对账明细接口!$Y635=0,"",[1]对账明细接口!$Y635),"")</f>
      </c>
      <c r="AE635" s="7">
        <f>IFERROR(IF([1]对账明细接口!$AA635=0,"",[1]对账明细接口!$AA635),"")</f>
      </c>
      <c r="AF635" s="7">
        <f>IFERROR(IF([1]对账明细接口!$AB635=0,"",[1]对账明细接口!$AB635),"")</f>
      </c>
      <c r="AG635" s="7">
        <f>IFERROR(IF([1]对账明细接口!$AC635=0,"",[1]对账明细接口!$AC635),"")</f>
      </c>
      <c r="AH635" s="7" t="str">
        <f>IFERROR(IF([1]对账明细接口!$AD635=0,"",[1]对账明细接口!$AD635),"")</f>
        <v>果然鲜送礼</v>
      </c>
      <c r="AI635" s="7">
        <f>IFERROR(IF([1]对账明细接口!$AE635=0,"",[1]对账明细接口!$AE635),"")</f>
      </c>
      <c r="AJ635" s="7">
        <f>IFERROR(IF([1]对账明细接口!$AF635=0,"",[1]对账明细接口!$AF635),"")</f>
      </c>
    </row>
    <row r="636" ht="14.25" customHeight="1" s="127">
      <c r="A636" s="14" t="n">
        <v>636</v>
      </c>
      <c r="B636" s="211">
        <f>IFERROR(IF([1]对账明细接口!$B$636=0,"",[1]对账明细接口!$B$636),"")</f>
        <v>46289.0</v>
      </c>
      <c r="C636" s="16" t="str">
        <f>IFERROR(IF([1]对账明细接口!$C$636=0,"",[1]对账明细接口!$C$636),"")</f>
        <v>王照雪</v>
      </c>
      <c r="D636" s="16" t="str">
        <f>IFERROR(IF([1]对账明细接口!$D$636=0,"",[1]对账明细接口!$D$636),"")</f>
        <v>成品出库－果然鲜销售</v>
      </c>
      <c r="E636" s="16" t="str">
        <f>IFERROR(IF([1]对账明细接口!$E$636=0,"",[1]对账明细接口!$E$636),"")</f>
        <v>NO:0000144</v>
      </c>
      <c r="F636" s="16" t="str">
        <f>IFERROR(IF([1]对账明细接口!$F$636=0,"",[1]对账明细接口!$F$636),"")</f>
        <v>苹果</v>
      </c>
      <c r="G636" s="16" t="str">
        <f>IFERROR(IF([1]对账明细接口!$G$636=0,"",[1]对账明细接口!$G$636),"")</f>
        <v>新世纪一级</v>
      </c>
      <c r="H636" s="176">
        <f>IFERROR(IF([1]对账明细接口!$H$636=0,"",[1]对账明细接口!$H$636),"")</f>
        <v>4</v>
      </c>
      <c r="I636" s="16" t="str">
        <f>IFERROR(IF([1]对账明细接口!$I$636=0,"",[1]对账明细接口!$I$636),"")</f>
        <v>箱</v>
      </c>
      <c r="J636" s="177">
        <f>IFERROR(IF([1]对账明细接口!$J$636=0,"",[1]对账明细接口!$J$636),"")</f>
        <v>20</v>
      </c>
      <c r="K636" s="177">
        <f>IFERROR(IF([1]对账明细接口!$K$636=0,"",[1]对账明细接口!$K$636),"")</f>
        <v>200</v>
      </c>
      <c r="L636" s="16" t="str">
        <f>IFERROR(IF([1]对账明细接口!$L$636=0,"",[1]对账明细接口!$L$636),"")</f>
        <v>未收款</v>
      </c>
      <c r="M636" s="16">
        <f>IFERROR(IF([1]对账明细接口!$M$636=0,"",[1]对账明细接口!$M$636),"")</f>
      </c>
      <c r="N636" s="19">
        <f>IF($C636="",0,1)</f>
        <v>1</v>
      </c>
      <c r="O636" s="19">
        <f>N(O635)+$N636</f>
        <v>633</v>
      </c>
      <c r="S636" s="20" t="str">
        <f>IFERROR(IF([1]对账明细接口!$N636=0,"",[1]对账明细接口!$N636),"")</f>
        <v>纸箱</v>
      </c>
      <c r="T636" s="212">
        <f>IFERROR(IF([1]对账明细接口!$O636=0,"",[1]对账明细接口!$O636),"")</f>
      </c>
      <c r="U636" s="212">
        <f>IFERROR(IF([1]对账明细接口!$P636=0,"",[1]对账明细接口!$P636),"")</f>
      </c>
      <c r="V636" s="212">
        <f>IFERROR(IF([1]对账明细接口!$Q636=0,"",[1]对账明细接口!$Q636),"")</f>
      </c>
      <c r="W636" s="20">
        <f>IFERROR(IF([1]对账明细接口!$R636=0,"",[1]对账明细接口!$R636),"")</f>
      </c>
      <c r="X636" s="20" t="str">
        <f>IFERROR(IF([1]对账明细接口!$S636=0,"",[1]对账明细接口!$S636),"")</f>
        <v>公司筐</v>
      </c>
      <c r="Y636" s="20" t="str">
        <f>IFERROR(IF([1]对账明细接口!$T636=0,"",[1]对账明细接口!$T636),"")</f>
        <v>王照雪</v>
      </c>
      <c r="Z636" s="213">
        <f>IFERROR(IF([1]对账明细接口!$U636=0,"",[1]对账明细接口!$U636),"")</f>
        <v>40</v>
      </c>
      <c r="AA636" s="213">
        <f>IFERROR(IF([1]对账明细接口!$V636=0,"",[1]对账明细接口!$V636),"")</f>
        <v>160</v>
      </c>
      <c r="AB636" s="20" t="str">
        <f>IFERROR(IF([1]对账明细接口!$W636=0,"",[1]对账明细接口!$W636),"")</f>
        <v>未付款</v>
      </c>
      <c r="AC636" s="7" t="str">
        <f>IFERROR(IF([1]对账明细接口!$X636=0,"",[1]对账明细接口!$X636),"")</f>
        <v>大汪总</v>
      </c>
      <c r="AD636" s="7">
        <f>IFERROR(IF([1]对账明细接口!$Y636=0,"",[1]对账明细接口!$Y636),"")</f>
        <v>50</v>
      </c>
      <c r="AE636" s="7">
        <f>IFERROR(IF([1]对账明细接口!$AA636=0,"",[1]对账明细接口!$AA636),"")</f>
      </c>
      <c r="AF636" s="7">
        <f>IFERROR(IF([1]对账明细接口!$AB636=0,"",[1]对账明细接口!$AB636),"")</f>
      </c>
      <c r="AG636" s="7">
        <f>IFERROR(IF([1]对账明细接口!$AC636=0,"",[1]对账明细接口!$AC636),"")</f>
      </c>
      <c r="AH636" s="7" t="str">
        <f>IFERROR(IF([1]对账明细接口!$AD636=0,"",[1]对账明细接口!$AD636),"")</f>
        <v>果然鲜销售</v>
      </c>
      <c r="AI636" s="7">
        <f>IFERROR(IF([1]对账明细接口!$AE636=0,"",[1]对账明细接口!$AE636),"")</f>
        <v>200</v>
      </c>
      <c r="AJ636" s="7">
        <f>IFERROR(IF([1]对账明细接口!$AF636=0,"",[1]对账明细接口!$AF636),"")</f>
        <v>160</v>
      </c>
    </row>
    <row r="637" ht="14.25" customHeight="1" s="127">
      <c r="A637" s="14" t="n">
        <v>637</v>
      </c>
      <c r="B637" s="211">
        <f>IFERROR(IF([1]对账明细接口!$B$637=0,"",[1]对账明细接口!$B$637),"")</f>
        <v>46289.0</v>
      </c>
      <c r="C637" s="16" t="str">
        <f>IFERROR(IF([1]对账明细接口!$C$637=0,"",[1]对账明细接口!$C$637),"")</f>
        <v>王照雪</v>
      </c>
      <c r="D637" s="16" t="str">
        <f>IFERROR(IF([1]对账明细接口!$D$637=0,"",[1]对账明细接口!$D$637),"")</f>
        <v>成品出库－果然鲜销售</v>
      </c>
      <c r="E637" s="16" t="str">
        <f>IFERROR(IF([1]对账明细接口!$E$637=0,"",[1]对账明细接口!$E$637),"")</f>
        <v>NO:0000144</v>
      </c>
      <c r="F637" s="16" t="str">
        <f>IFERROR(IF([1]对账明细接口!$F$637=0,"",[1]对账明细接口!$F$637),"")</f>
        <v>香梨</v>
      </c>
      <c r="G637" s="16" t="str">
        <f>IFERROR(IF([1]对账明细接口!$G$637=0,"",[1]对账明细接口!$G$637),"")</f>
        <v>香梨一级</v>
      </c>
      <c r="H637" s="176">
        <f>IFERROR(IF([1]对账明细接口!$H$637=0,"",[1]对账明细接口!$H$637),"")</f>
        <v>4</v>
      </c>
      <c r="I637" s="16" t="str">
        <f>IFERROR(IF([1]对账明细接口!$I$637=0,"",[1]对账明细接口!$I$637),"")</f>
        <v>箱</v>
      </c>
      <c r="J637" s="177">
        <f>IFERROR(IF([1]对账明细接口!$J$637=0,"",[1]对账明细接口!$J$637),"")</f>
        <v>20</v>
      </c>
      <c r="K637" s="177">
        <f>IFERROR(IF([1]对账明细接口!$K$637=0,"",[1]对账明细接口!$K$637),"")</f>
        <v>200</v>
      </c>
      <c r="L637" s="16" t="str">
        <f>IFERROR(IF([1]对账明细接口!$L$637=0,"",[1]对账明细接口!$L$637),"")</f>
        <v>未收款</v>
      </c>
      <c r="M637" s="16">
        <f>IFERROR(IF([1]对账明细接口!$M$637=0,"",[1]对账明细接口!$M$637),"")</f>
      </c>
      <c r="N637" s="19">
        <f>IF($C637="",0,1)</f>
        <v>1</v>
      </c>
      <c r="O637" s="19">
        <f>N(O636)+$N637</f>
        <v>634</v>
      </c>
      <c r="S637" s="20" t="str">
        <f>IFERROR(IF([1]对账明细接口!$N637=0,"",[1]对账明细接口!$N637),"")</f>
        <v>纸箱</v>
      </c>
      <c r="T637" s="212">
        <f>IFERROR(IF([1]对账明细接口!$O637=0,"",[1]对账明细接口!$O637),"")</f>
      </c>
      <c r="U637" s="212">
        <f>IFERROR(IF([1]对账明细接口!$P637=0,"",[1]对账明细接口!$P637),"")</f>
      </c>
      <c r="V637" s="212">
        <f>IFERROR(IF([1]对账明细接口!$Q637=0,"",[1]对账明细接口!$Q637),"")</f>
      </c>
      <c r="W637" s="20">
        <f>IFERROR(IF([1]对账明细接口!$R637=0,"",[1]对账明细接口!$R637),"")</f>
      </c>
      <c r="X637" s="20" t="str">
        <f>IFERROR(IF([1]对账明细接口!$S637=0,"",[1]对账明细接口!$S637),"")</f>
        <v>公司筐</v>
      </c>
      <c r="Y637" s="20" t="str">
        <f>IFERROR(IF([1]对账明细接口!$T637=0,"",[1]对账明细接口!$T637),"")</f>
        <v>王照雪</v>
      </c>
      <c r="Z637" s="213">
        <f>IFERROR(IF([1]对账明细接口!$U637=0,"",[1]对账明细接口!$U637),"")</f>
        <v>40</v>
      </c>
      <c r="AA637" s="213">
        <f>IFERROR(IF([1]对账明细接口!$V637=0,"",[1]对账明细接口!$V637),"")</f>
        <v>160</v>
      </c>
      <c r="AB637" s="20" t="str">
        <f>IFERROR(IF([1]对账明细接口!$W637=0,"",[1]对账明细接口!$W637),"")</f>
        <v>未付款</v>
      </c>
      <c r="AC637" s="7" t="str">
        <f>IFERROR(IF([1]对账明细接口!$X637=0,"",[1]对账明细接口!$X637),"")</f>
        <v>大汪总</v>
      </c>
      <c r="AD637" s="7">
        <f>IFERROR(IF([1]对账明细接口!$Y637=0,"",[1]对账明细接口!$Y637),"")</f>
        <v>50</v>
      </c>
      <c r="AE637" s="7">
        <f>IFERROR(IF([1]对账明细接口!$AA637=0,"",[1]对账明细接口!$AA637),"")</f>
      </c>
      <c r="AF637" s="7">
        <f>IFERROR(IF([1]对账明细接口!$AB637=0,"",[1]对账明细接口!$AB637),"")</f>
      </c>
      <c r="AG637" s="7">
        <f>IFERROR(IF([1]对账明细接口!$AC637=0,"",[1]对账明细接口!$AC637),"")</f>
      </c>
      <c r="AH637" s="7" t="str">
        <f>IFERROR(IF([1]对账明细接口!$AD637=0,"",[1]对账明细接口!$AD637),"")</f>
        <v>果然鲜销售</v>
      </c>
      <c r="AI637" s="7">
        <f>IFERROR(IF([1]对账明细接口!$AE637=0,"",[1]对账明细接口!$AE637),"")</f>
        <v>200</v>
      </c>
      <c r="AJ637" s="7">
        <f>IFERROR(IF([1]对账明细接口!$AF637=0,"",[1]对账明细接口!$AF637),"")</f>
        <v>160</v>
      </c>
    </row>
    <row r="638" ht="14.25" customHeight="1" s="127">
      <c r="A638" s="14" t="n">
        <v>638</v>
      </c>
      <c r="B638" s="211">
        <f>IFERROR(IF([1]对账明细接口!$B$638=0,"",[1]对账明细接口!$B$638),"")</f>
        <v>46289.0</v>
      </c>
      <c r="C638" s="16" t="str">
        <f>IFERROR(IF([1]对账明细接口!$C$638=0,"",[1]对账明细接口!$C$638),"")</f>
        <v>王浩</v>
      </c>
      <c r="D638" s="16" t="str">
        <f>IFERROR(IF([1]对账明细接口!$D$638=0,"",[1]对账明细接口!$D$638),"")</f>
        <v>成品出库－果然鲜销售</v>
      </c>
      <c r="E638" s="16" t="str">
        <f>IFERROR(IF([1]对账明细接口!$E$638=0,"",[1]对账明细接口!$E$638),"")</f>
        <v>NO:0000145</v>
      </c>
      <c r="F638" s="16" t="str">
        <f>IFERROR(IF([1]对账明细接口!$F$638=0,"",[1]对账明细接口!$F$638),"")</f>
        <v>香梨</v>
      </c>
      <c r="G638" s="16" t="str">
        <f>IFERROR(IF([1]对账明细接口!$G$638=0,"",[1]对账明细接口!$G$638),"")</f>
        <v>香梨一级</v>
      </c>
      <c r="H638" s="176">
        <f>IFERROR(IF([1]对账明细接口!$H$638=0,"",[1]对账明细接口!$H$638),"")</f>
        <v>2</v>
      </c>
      <c r="I638" s="16" t="str">
        <f>IFERROR(IF([1]对账明细接口!$I$638=0,"",[1]对账明细接口!$I$638),"")</f>
        <v>箱</v>
      </c>
      <c r="J638" s="177">
        <f>IFERROR(IF([1]对账明细接口!$J$638=0,"",[1]对账明细接口!$J$638),"")</f>
        <v>10</v>
      </c>
      <c r="K638" s="177">
        <f>IFERROR(IF([1]对账明细接口!$K$638=0,"",[1]对账明细接口!$K$638),"")</f>
        <v>100</v>
      </c>
      <c r="L638" s="16" t="str">
        <f>IFERROR(IF([1]对账明细接口!$L$638=0,"",[1]对账明细接口!$L$638),"")</f>
        <v>未收款</v>
      </c>
      <c r="M638" s="16">
        <f>IFERROR(IF([1]对账明细接口!$M$638=0,"",[1]对账明细接口!$M$638),"")</f>
      </c>
      <c r="N638" s="19">
        <f>IF($C638="",0,1)</f>
        <v>1</v>
      </c>
      <c r="O638" s="19">
        <f>N(O637)+$N638</f>
        <v>635</v>
      </c>
      <c r="S638" s="20" t="str">
        <f>IFERROR(IF([1]对账明细接口!$N638=0,"",[1]对账明细接口!$N638),"")</f>
        <v>纸箱</v>
      </c>
      <c r="T638" s="212">
        <f>IFERROR(IF([1]对账明细接口!$O638=0,"",[1]对账明细接口!$O638),"")</f>
      </c>
      <c r="U638" s="212">
        <f>IFERROR(IF([1]对账明细接口!$P638=0,"",[1]对账明细接口!$P638),"")</f>
      </c>
      <c r="V638" s="212">
        <f>IFERROR(IF([1]对账明细接口!$Q638=0,"",[1]对账明细接口!$Q638),"")</f>
      </c>
      <c r="W638" s="20">
        <f>IFERROR(IF([1]对账明细接口!$R638=0,"",[1]对账明细接口!$R638),"")</f>
      </c>
      <c r="X638" s="20" t="str">
        <f>IFERROR(IF([1]对账明细接口!$S638=0,"",[1]对账明细接口!$S638),"")</f>
        <v>公司筐</v>
      </c>
      <c r="Y638" s="20" t="str">
        <f>IFERROR(IF([1]对账明细接口!$T638=0,"",[1]对账明细接口!$T638),"")</f>
        <v>王浩</v>
      </c>
      <c r="Z638" s="213">
        <f>IFERROR(IF([1]对账明细接口!$U638=0,"",[1]对账明细接口!$U638),"")</f>
        <v>40</v>
      </c>
      <c r="AA638" s="213">
        <f>IFERROR(IF([1]对账明细接口!$V638=0,"",[1]对账明细接口!$V638),"")</f>
        <v>80</v>
      </c>
      <c r="AB638" s="20" t="str">
        <f>IFERROR(IF([1]对账明细接口!$W638=0,"",[1]对账明细接口!$W638),"")</f>
        <v>未付款</v>
      </c>
      <c r="AC638" s="7" t="str">
        <f>IFERROR(IF([1]对账明细接口!$X638=0,"",[1]对账明细接口!$X638),"")</f>
        <v>大汪总</v>
      </c>
      <c r="AD638" s="7">
        <f>IFERROR(IF([1]对账明细接口!$Y638=0,"",[1]对账明细接口!$Y638),"")</f>
        <v>50</v>
      </c>
      <c r="AE638" s="7">
        <f>IFERROR(IF([1]对账明细接口!$AA638=0,"",[1]对账明细接口!$AA638),"")</f>
      </c>
      <c r="AF638" s="7">
        <f>IFERROR(IF([1]对账明细接口!$AB638=0,"",[1]对账明细接口!$AB638),"")</f>
      </c>
      <c r="AG638" s="7">
        <f>IFERROR(IF([1]对账明细接口!$AC638=0,"",[1]对账明细接口!$AC638),"")</f>
      </c>
      <c r="AH638" s="7" t="str">
        <f>IFERROR(IF([1]对账明细接口!$AD638=0,"",[1]对账明细接口!$AD638),"")</f>
        <v>果然鲜销售</v>
      </c>
      <c r="AI638" s="7">
        <f>IFERROR(IF([1]对账明细接口!$AE638=0,"",[1]对账明细接口!$AE638),"")</f>
        <v>100</v>
      </c>
      <c r="AJ638" s="7">
        <f>IFERROR(IF([1]对账明细接口!$AF638=0,"",[1]对账明细接口!$AF638),"")</f>
        <v>80</v>
      </c>
    </row>
    <row r="639" ht="14.25" customHeight="1" s="127">
      <c r="A639" s="14" t="n">
        <v>639</v>
      </c>
      <c r="B639" s="211">
        <f>IFERROR(IF([1]对账明细接口!$B$639=0,"",[1]对账明细接口!$B$639),"")</f>
        <v>46289.0</v>
      </c>
      <c r="C639" s="16" t="str">
        <f>IFERROR(IF([1]对账明细接口!$C$639=0,"",[1]对账明细接口!$C$639),"")</f>
        <v>王浩</v>
      </c>
      <c r="D639" s="16" t="str">
        <f>IFERROR(IF([1]对账明细接口!$D$639=0,"",[1]对账明细接口!$D$639),"")</f>
        <v>成品出库－果然鲜销售</v>
      </c>
      <c r="E639" s="16" t="str">
        <f>IFERROR(IF([1]对账明细接口!$E$639=0,"",[1]对账明细接口!$E$639),"")</f>
        <v>NO:0000145</v>
      </c>
      <c r="F639" s="16" t="str">
        <f>IFERROR(IF([1]对账明细接口!$F$639=0,"",[1]对账明细接口!$F$639),"")</f>
        <v>香梨</v>
      </c>
      <c r="G639" s="16" t="str">
        <f>IFERROR(IF([1]对账明细接口!$G$639=0,"",[1]对账明细接口!$G$639),"")</f>
        <v>香梨一级</v>
      </c>
      <c r="H639" s="176">
        <f>IFERROR(IF([1]对账明细接口!$H$639=0,"",[1]对账明细接口!$H$639),"")</f>
        <v>1</v>
      </c>
      <c r="I639" s="16" t="str">
        <f>IFERROR(IF([1]对账明细接口!$I$639=0,"",[1]对账明细接口!$I$639),"")</f>
        <v>箱</v>
      </c>
      <c r="J639" s="177">
        <f>IFERROR(IF([1]对账明细接口!$J$639=0,"",[1]对账明细接口!$J$639),"")</f>
        <v>5</v>
      </c>
      <c r="K639" s="177">
        <f>IFERROR(IF([1]对账明细接口!$K$639=0,"",[1]对账明细接口!$K$639),"")</f>
        <v>60</v>
      </c>
      <c r="L639" s="16" t="str">
        <f>IFERROR(IF([1]对账明细接口!$L$639=0,"",[1]对账明细接口!$L$639),"")</f>
        <v>未收款</v>
      </c>
      <c r="M639" s="16">
        <f>IFERROR(IF([1]对账明细接口!$M$639=0,"",[1]对账明细接口!$M$639),"")</f>
      </c>
      <c r="N639" s="19">
        <f>IF($C639="",0,1)</f>
        <v>1</v>
      </c>
      <c r="O639" s="19">
        <f>N(O638)+$N639</f>
        <v>636</v>
      </c>
      <c r="S639" s="20" t="str">
        <f>IFERROR(IF([1]对账明细接口!$N639=0,"",[1]对账明细接口!$N639),"")</f>
        <v>纸箱</v>
      </c>
      <c r="T639" s="212">
        <f>IFERROR(IF([1]对账明细接口!$O639=0,"",[1]对账明细接口!$O639),"")</f>
      </c>
      <c r="U639" s="212">
        <f>IFERROR(IF([1]对账明细接口!$P639=0,"",[1]对账明细接口!$P639),"")</f>
      </c>
      <c r="V639" s="212">
        <f>IFERROR(IF([1]对账明细接口!$Q639=0,"",[1]对账明细接口!$Q639),"")</f>
      </c>
      <c r="W639" s="20">
        <f>IFERROR(IF([1]对账明细接口!$R639=0,"",[1]对账明细接口!$R639),"")</f>
      </c>
      <c r="X639" s="20" t="str">
        <f>IFERROR(IF([1]对账明细接口!$S639=0,"",[1]对账明细接口!$S639),"")</f>
        <v>公司筐</v>
      </c>
      <c r="Y639" s="20" t="str">
        <f>IFERROR(IF([1]对账明细接口!$T639=0,"",[1]对账明细接口!$T639),"")</f>
        <v>王浩</v>
      </c>
      <c r="Z639" s="213">
        <f>IFERROR(IF([1]对账明细接口!$U639=0,"",[1]对账明细接口!$U639),"")</f>
        <v>40</v>
      </c>
      <c r="AA639" s="213">
        <f>IFERROR(IF([1]对账明细接口!$V639=0,"",[1]对账明细接口!$V639),"")</f>
        <v>40</v>
      </c>
      <c r="AB639" s="20" t="str">
        <f>IFERROR(IF([1]对账明细接口!$W639=0,"",[1]对账明细接口!$W639),"")</f>
        <v>未付款</v>
      </c>
      <c r="AC639" s="7" t="str">
        <f>IFERROR(IF([1]对账明细接口!$X639=0,"",[1]对账明细接口!$X639),"")</f>
        <v>谢老大</v>
      </c>
      <c r="AD639" s="7">
        <f>IFERROR(IF([1]对账明细接口!$Y639=0,"",[1]对账明细接口!$Y639),"")</f>
        <v>50</v>
      </c>
      <c r="AE639" s="7">
        <f>IFERROR(IF([1]对账明细接口!$AA639=0,"",[1]对账明细接口!$AA639),"")</f>
      </c>
      <c r="AF639" s="7">
        <f>IFERROR(IF([1]对账明细接口!$AB639=0,"",[1]对账明细接口!$AB639),"")</f>
        <v>10</v>
      </c>
      <c r="AG639" s="7">
        <f>IFERROR(IF([1]对账明细接口!$AC639=0,"",[1]对账明细接口!$AC639),"")</f>
      </c>
      <c r="AH639" s="7" t="str">
        <f>IFERROR(IF([1]对账明细接口!$AD639=0,"",[1]对账明细接口!$AD639),"")</f>
        <v>果然鲜销售</v>
      </c>
      <c r="AI639" s="7">
        <f>IFERROR(IF([1]对账明细接口!$AE639=0,"",[1]对账明细接口!$AE639),"")</f>
        <v>50</v>
      </c>
      <c r="AJ639" s="7">
        <f>IFERROR(IF([1]对账明细接口!$AF639=0,"",[1]对账明细接口!$AF639),"")</f>
        <v>40</v>
      </c>
    </row>
    <row r="640" ht="14.25" customHeight="1" s="127">
      <c r="A640" s="14" t="n">
        <v>640</v>
      </c>
      <c r="B640" s="211">
        <f>IFERROR(IF([1]对账明细接口!$B$640=0,"",[1]对账明细接口!$B$640),"")</f>
        <v>46290.0</v>
      </c>
      <c r="C640" s="16" t="str">
        <f>IFERROR(IF([1]对账明细接口!$C$640=0,"",[1]对账明细接口!$C$640),"")</f>
        <v>王浩</v>
      </c>
      <c r="D640" s="16" t="str">
        <f>IFERROR(IF([1]对账明细接口!$D$640=0,"",[1]对账明细接口!$D$640),"")</f>
        <v>成品出库－果然鲜送礼</v>
      </c>
      <c r="E640" s="16" t="str">
        <f>IFERROR(IF([1]对账明细接口!$E$640=0,"",[1]对账明细接口!$E$640),"")</f>
        <v>NO:0000146</v>
      </c>
      <c r="F640" s="16" t="str">
        <f>IFERROR(IF([1]对账明细接口!$F$640=0,"",[1]对账明细接口!$F$640),"")</f>
        <v>香梨</v>
      </c>
      <c r="G640" s="16" t="str">
        <f>IFERROR(IF([1]对账明细接口!$G$640=0,"",[1]对账明细接口!$G$640),"")</f>
        <v>香梨一级</v>
      </c>
      <c r="H640" s="176">
        <f>IFERROR(IF([1]对账明细接口!$H$640=0,"",[1]对账明细接口!$H$640),"")</f>
        <v>1</v>
      </c>
      <c r="I640" s="16" t="str">
        <f>IFERROR(IF([1]对账明细接口!$I$640=0,"",[1]对账明细接口!$I$640),"")</f>
        <v>箱</v>
      </c>
      <c r="J640" s="177">
        <f>IFERROR(IF([1]对账明细接口!$J$640=0,"",[1]对账明细接口!$J$640),"")</f>
        <v>5</v>
      </c>
      <c r="K640" s="177">
        <f>IFERROR(IF([1]对账明细接口!$K$640=0,"",[1]对账明细接口!$K$640),"")</f>
      </c>
      <c r="L640" s="16">
        <f>IFERROR(IF([1]对账明细接口!$L$640=0,"",[1]对账明细接口!$L$640),"")</f>
      </c>
      <c r="M640" s="16">
        <f>IFERROR(IF([1]对账明细接口!$M$640=0,"",[1]对账明细接口!$M$640),"")</f>
      </c>
      <c r="N640" s="19">
        <f>IF($C640="",0,1)</f>
        <v>1</v>
      </c>
      <c r="O640" s="19">
        <f>N(O639)+$N640</f>
        <v>637</v>
      </c>
      <c r="S640" s="20" t="str">
        <f>IFERROR(IF([1]对账明细接口!$N640=0,"",[1]对账明细接口!$N640),"")</f>
        <v>纸箱</v>
      </c>
      <c r="T640" s="212">
        <f>IFERROR(IF([1]对账明细接口!$O640=0,"",[1]对账明细接口!$O640),"")</f>
      </c>
      <c r="U640" s="212">
        <f>IFERROR(IF([1]对账明细接口!$P640=0,"",[1]对账明细接口!$P640),"")</f>
      </c>
      <c r="V640" s="212">
        <f>IFERROR(IF([1]对账明细接口!$Q640=0,"",[1]对账明细接口!$Q640),"")</f>
      </c>
      <c r="W640" s="20">
        <f>IFERROR(IF([1]对账明细接口!$R640=0,"",[1]对账明细接口!$R640),"")</f>
      </c>
      <c r="X640" s="20" t="str">
        <f>IFERROR(IF([1]对账明细接口!$S640=0,"",[1]对账明细接口!$S640),"")</f>
        <v>公司筐</v>
      </c>
      <c r="Y640" s="20" t="str">
        <f>IFERROR(IF([1]对账明细接口!$T640=0,"",[1]对账明细接口!$T640),"")</f>
        <v>王浩</v>
      </c>
      <c r="Z640" s="213">
        <f>IFERROR(IF([1]对账明细接口!$U640=0,"",[1]对账明细接口!$U640),"")</f>
      </c>
      <c r="AA640" s="213">
        <f>IFERROR(IF([1]对账明细接口!$V640=0,"",[1]对账明细接口!$V640),"")</f>
      </c>
      <c r="AB640" s="20">
        <f>IFERROR(IF([1]对账明细接口!$W640=0,"",[1]对账明细接口!$W640),"")</f>
      </c>
      <c r="AC640" s="7" t="str">
        <f>IFERROR(IF([1]对账明细接口!$X640=0,"",[1]对账明细接口!$X640),"")</f>
        <v>老师</v>
      </c>
      <c r="AD640" s="7">
        <f>IFERROR(IF([1]对账明细接口!$Y640=0,"",[1]对账明细接口!$Y640),"")</f>
      </c>
      <c r="AE640" s="7">
        <f>IFERROR(IF([1]对账明细接口!$AA640=0,"",[1]对账明细接口!$AA640),"")</f>
      </c>
      <c r="AF640" s="7">
        <f>IFERROR(IF([1]对账明细接口!$AB640=0,"",[1]对账明细接口!$AB640),"")</f>
      </c>
      <c r="AG640" s="7">
        <f>IFERROR(IF([1]对账明细接口!$AC640=0,"",[1]对账明细接口!$AC640),"")</f>
      </c>
      <c r="AH640" s="7" t="str">
        <f>IFERROR(IF([1]对账明细接口!$AD640=0,"",[1]对账明细接口!$AD640),"")</f>
        <v>果然鲜送礼</v>
      </c>
      <c r="AI640" s="7">
        <f>IFERROR(IF([1]对账明细接口!$AE640=0,"",[1]对账明细接口!$AE640),"")</f>
      </c>
      <c r="AJ640" s="7">
        <f>IFERROR(IF([1]对账明细接口!$AF640=0,"",[1]对账明细接口!$AF640),"")</f>
      </c>
    </row>
    <row r="641" ht="14.25" customHeight="1" s="127">
      <c r="A641" s="14" t="n">
        <v>641</v>
      </c>
      <c r="B641" s="211">
        <f>IFERROR(IF([1]对账明细接口!$B$641=0,"",[1]对账明细接口!$B$641),"")</f>
      </c>
      <c r="C641" s="16">
        <f>IFERROR(IF([1]对账明细接口!$C$641=0,"",[1]对账明细接口!$C$641),"")</f>
      </c>
      <c r="D641" s="16">
        <f>IFERROR(IF([1]对账明细接口!$D$641=0,"",[1]对账明细接口!$D$641),"")</f>
      </c>
      <c r="E641" s="16">
        <f>IFERROR(IF([1]对账明细接口!$E$641=0,"",[1]对账明细接口!$E$641),"")</f>
      </c>
      <c r="F641" s="16">
        <f>IFERROR(IF([1]对账明细接口!$F$641=0,"",[1]对账明细接口!$F$641),"")</f>
      </c>
      <c r="G641" s="16">
        <f>IFERROR(IF([1]对账明细接口!$G$641=0,"",[1]对账明细接口!$G$641),"")</f>
      </c>
      <c r="H641" s="176">
        <f>IFERROR(IF([1]对账明细接口!$H$641=0,"",[1]对账明细接口!$H$641),"")</f>
      </c>
      <c r="I641" s="16">
        <f>IFERROR(IF([1]对账明细接口!$I$641=0,"",[1]对账明细接口!$I$641),"")</f>
      </c>
      <c r="J641" s="177">
        <f>IFERROR(IF([1]对账明细接口!$J$641=0,"",[1]对账明细接口!$J$641),"")</f>
      </c>
      <c r="K641" s="177">
        <f>IFERROR(IF([1]对账明细接口!$K$641=0,"",[1]对账明细接口!$K$641),"")</f>
      </c>
      <c r="L641" s="16">
        <f>IFERROR(IF([1]对账明细接口!$L$641=0,"",[1]对账明细接口!$L$641),"")</f>
      </c>
      <c r="M641" s="16">
        <f>IFERROR(IF([1]对账明细接口!$M$641=0,"",[1]对账明细接口!$M$641),"")</f>
      </c>
      <c r="N641" s="19">
        <f>IF($C641="",0,1)</f>
        <v>0</v>
      </c>
      <c r="O641" s="19">
        <f>N(O640)+$N641</f>
        <v>637</v>
      </c>
      <c r="S641" s="20">
        <f>IFERROR(IF([1]对账明细接口!$N641=0,"",[1]对账明细接口!$N641),"")</f>
      </c>
      <c r="T641" s="212">
        <f>IFERROR(IF([1]对账明细接口!$O641=0,"",[1]对账明细接口!$O641),"")</f>
      </c>
      <c r="U641" s="212">
        <f>IFERROR(IF([1]对账明细接口!$P641=0,"",[1]对账明细接口!$P641),"")</f>
      </c>
      <c r="V641" s="212">
        <f>IFERROR(IF([1]对账明细接口!$Q641=0,"",[1]对账明细接口!$Q641),"")</f>
      </c>
      <c r="W641" s="20">
        <f>IFERROR(IF([1]对账明细接口!$R641=0,"",[1]对账明细接口!$R641),"")</f>
      </c>
      <c r="X641" s="20">
        <f>IFERROR(IF([1]对账明细接口!$S641=0,"",[1]对账明细接口!$S641),"")</f>
      </c>
      <c r="Y641" s="20">
        <f>IFERROR(IF([1]对账明细接口!$T641=0,"",[1]对账明细接口!$T641),"")</f>
      </c>
      <c r="Z641" s="213">
        <f>IFERROR(IF([1]对账明细接口!$U641=0,"",[1]对账明细接口!$U641),"")</f>
      </c>
      <c r="AA641" s="213">
        <f>IFERROR(IF([1]对账明细接口!$V641=0,"",[1]对账明细接口!$V641),"")</f>
      </c>
      <c r="AB641" s="20">
        <f>IFERROR(IF([1]对账明细接口!$W641=0,"",[1]对账明细接口!$W641),"")</f>
      </c>
      <c r="AC641" s="7">
        <f>IFERROR(IF([1]对账明细接口!$X641=0,"",[1]对账明细接口!$X641),"")</f>
      </c>
      <c r="AD641" s="7">
        <f>IFERROR(IF([1]对账明细接口!$Y641=0,"",[1]对账明细接口!$Y641),"")</f>
      </c>
      <c r="AE641" s="7">
        <f>IFERROR(IF([1]对账明细接口!$AA641=0,"",[1]对账明细接口!$AA641),"")</f>
      </c>
      <c r="AF641" s="7">
        <f>IFERROR(IF([1]对账明细接口!$AB641=0,"",[1]对账明细接口!$AB641),"")</f>
      </c>
      <c r="AG641" s="7">
        <f>IFERROR(IF([1]对账明细接口!$AC641=0,"",[1]对账明细接口!$AC641),"")</f>
      </c>
      <c r="AH641" s="7">
        <f>IFERROR(IF([1]对账明细接口!$AD641=0,"",[1]对账明细接口!$AD641),"")</f>
      </c>
      <c r="AI641" s="7">
        <f>IFERROR(IF([1]对账明细接口!$AE641=0,"",[1]对账明细接口!$AE641),"")</f>
      </c>
      <c r="AJ641" s="7">
        <f>IFERROR(IF([1]对账明细接口!$AF641=0,"",[1]对账明细接口!$AF641),"")</f>
      </c>
    </row>
    <row r="642" ht="14.25" customHeight="1" s="127">
      <c r="A642" s="14" t="n">
        <v>642</v>
      </c>
      <c r="B642" s="211">
        <f>IFERROR(IF([1]对账明细接口!$B$642=0,"",[1]对账明细接口!$B$642),"")</f>
      </c>
      <c r="C642" s="16">
        <f>IFERROR(IF([1]对账明细接口!$C$642=0,"",[1]对账明细接口!$C$642),"")</f>
      </c>
      <c r="D642" s="16">
        <f>IFERROR(IF([1]对账明细接口!$D$642=0,"",[1]对账明细接口!$D$642),"")</f>
      </c>
      <c r="E642" s="16">
        <f>IFERROR(IF([1]对账明细接口!$E$642=0,"",[1]对账明细接口!$E$642),"")</f>
      </c>
      <c r="F642" s="16">
        <f>IFERROR(IF([1]对账明细接口!$F$642=0,"",[1]对账明细接口!$F$642),"")</f>
      </c>
      <c r="G642" s="16">
        <f>IFERROR(IF([1]对账明细接口!$G$642=0,"",[1]对账明细接口!$G$642),"")</f>
      </c>
      <c r="H642" s="176">
        <f>IFERROR(IF([1]对账明细接口!$H$642=0,"",[1]对账明细接口!$H$642),"")</f>
      </c>
      <c r="I642" s="16">
        <f>IFERROR(IF([1]对账明细接口!$I$642=0,"",[1]对账明细接口!$I$642),"")</f>
      </c>
      <c r="J642" s="177">
        <f>IFERROR(IF([1]对账明细接口!$J$642=0,"",[1]对账明细接口!$J$642),"")</f>
      </c>
      <c r="K642" s="177">
        <f>IFERROR(IF([1]对账明细接口!$K$642=0,"",[1]对账明细接口!$K$642),"")</f>
      </c>
      <c r="L642" s="16">
        <f>IFERROR(IF([1]对账明细接口!$L$642=0,"",[1]对账明细接口!$L$642),"")</f>
      </c>
      <c r="M642" s="16">
        <f>IFERROR(IF([1]对账明细接口!$M$642=0,"",[1]对账明细接口!$M$642),"")</f>
      </c>
      <c r="N642" s="19">
        <f>IF($C642="",0,1)</f>
        <v>0</v>
      </c>
      <c r="O642" s="19">
        <f>N(O641)+$N642</f>
        <v>637</v>
      </c>
      <c r="S642" s="20">
        <f>IFERROR(IF([1]对账明细接口!$N642=0,"",[1]对账明细接口!$N642),"")</f>
      </c>
      <c r="T642" s="212">
        <f>IFERROR(IF([1]对账明细接口!$O642=0,"",[1]对账明细接口!$O642),"")</f>
      </c>
      <c r="U642" s="212">
        <f>IFERROR(IF([1]对账明细接口!$P642=0,"",[1]对账明细接口!$P642),"")</f>
      </c>
      <c r="V642" s="212">
        <f>IFERROR(IF([1]对账明细接口!$Q642=0,"",[1]对账明细接口!$Q642),"")</f>
      </c>
      <c r="W642" s="20">
        <f>IFERROR(IF([1]对账明细接口!$R642=0,"",[1]对账明细接口!$R642),"")</f>
      </c>
      <c r="X642" s="20">
        <f>IFERROR(IF([1]对账明细接口!$S642=0,"",[1]对账明细接口!$S642),"")</f>
      </c>
      <c r="Y642" s="20">
        <f>IFERROR(IF([1]对账明细接口!$T642=0,"",[1]对账明细接口!$T642),"")</f>
      </c>
      <c r="Z642" s="213">
        <f>IFERROR(IF([1]对账明细接口!$U642=0,"",[1]对账明细接口!$U642),"")</f>
      </c>
      <c r="AA642" s="213">
        <f>IFERROR(IF([1]对账明细接口!$V642=0,"",[1]对账明细接口!$V642),"")</f>
      </c>
      <c r="AB642" s="20">
        <f>IFERROR(IF([1]对账明细接口!$W642=0,"",[1]对账明细接口!$W642),"")</f>
      </c>
      <c r="AC642" s="7">
        <f>IFERROR(IF([1]对账明细接口!$X642=0,"",[1]对账明细接口!$X642),"")</f>
      </c>
      <c r="AD642" s="7">
        <f>IFERROR(IF([1]对账明细接口!$Y642=0,"",[1]对账明细接口!$Y642),"")</f>
      </c>
      <c r="AE642" s="7">
        <f>IFERROR(IF([1]对账明细接口!$AA642=0,"",[1]对账明细接口!$AA642),"")</f>
      </c>
      <c r="AF642" s="7">
        <f>IFERROR(IF([1]对账明细接口!$AB642=0,"",[1]对账明细接口!$AB642),"")</f>
      </c>
      <c r="AG642" s="7">
        <f>IFERROR(IF([1]对账明细接口!$AC642=0,"",[1]对账明细接口!$AC642),"")</f>
      </c>
      <c r="AH642" s="7">
        <f>IFERROR(IF([1]对账明细接口!$AD642=0,"",[1]对账明细接口!$AD642),"")</f>
      </c>
      <c r="AI642" s="7">
        <f>IFERROR(IF([1]对账明细接口!$AE642=0,"",[1]对账明细接口!$AE642),"")</f>
      </c>
      <c r="AJ642" s="7">
        <f>IFERROR(IF([1]对账明细接口!$AF642=0,"",[1]对账明细接口!$AF642),"")</f>
      </c>
    </row>
    <row r="643" ht="14.25" customHeight="1" s="127">
      <c r="A643" s="14" t="n">
        <v>643</v>
      </c>
      <c r="B643" s="211">
        <f>IFERROR(IF([1]对账明细接口!$B$643=0,"",[1]对账明细接口!$B$643),"")</f>
      </c>
      <c r="C643" s="16">
        <f>IFERROR(IF([1]对账明细接口!$C$643=0,"",[1]对账明细接口!$C$643),"")</f>
      </c>
      <c r="D643" s="16">
        <f>IFERROR(IF([1]对账明细接口!$D$643=0,"",[1]对账明细接口!$D$643),"")</f>
      </c>
      <c r="E643" s="16">
        <f>IFERROR(IF([1]对账明细接口!$E$643=0,"",[1]对账明细接口!$E$643),"")</f>
      </c>
      <c r="F643" s="16">
        <f>IFERROR(IF([1]对账明细接口!$F$643=0,"",[1]对账明细接口!$F$643),"")</f>
      </c>
      <c r="G643" s="16">
        <f>IFERROR(IF([1]对账明细接口!$G$643=0,"",[1]对账明细接口!$G$643),"")</f>
      </c>
      <c r="H643" s="176">
        <f>IFERROR(IF([1]对账明细接口!$H$643=0,"",[1]对账明细接口!$H$643),"")</f>
      </c>
      <c r="I643" s="16">
        <f>IFERROR(IF([1]对账明细接口!$I$643=0,"",[1]对账明细接口!$I$643),"")</f>
      </c>
      <c r="J643" s="177">
        <f>IFERROR(IF([1]对账明细接口!$J$643=0,"",[1]对账明细接口!$J$643),"")</f>
      </c>
      <c r="K643" s="177">
        <f>IFERROR(IF([1]对账明细接口!$K$643=0,"",[1]对账明细接口!$K$643),"")</f>
      </c>
      <c r="L643" s="16">
        <f>IFERROR(IF([1]对账明细接口!$L$643=0,"",[1]对账明细接口!$L$643),"")</f>
      </c>
      <c r="M643" s="16">
        <f>IFERROR(IF([1]对账明细接口!$M$643=0,"",[1]对账明细接口!$M$643),"")</f>
      </c>
      <c r="N643" s="19">
        <f>IF($C643="",0,1)</f>
        <v>0</v>
      </c>
      <c r="O643" s="19">
        <f>N(O642)+$N643</f>
        <v>637</v>
      </c>
      <c r="S643" s="20">
        <f>IFERROR(IF([1]对账明细接口!$N643=0,"",[1]对账明细接口!$N643),"")</f>
      </c>
      <c r="T643" s="212">
        <f>IFERROR(IF([1]对账明细接口!$O643=0,"",[1]对账明细接口!$O643),"")</f>
      </c>
      <c r="U643" s="212">
        <f>IFERROR(IF([1]对账明细接口!$P643=0,"",[1]对账明细接口!$P643),"")</f>
      </c>
      <c r="V643" s="212">
        <f>IFERROR(IF([1]对账明细接口!$Q643=0,"",[1]对账明细接口!$Q643),"")</f>
      </c>
      <c r="W643" s="20">
        <f>IFERROR(IF([1]对账明细接口!$R643=0,"",[1]对账明细接口!$R643),"")</f>
      </c>
      <c r="X643" s="20">
        <f>IFERROR(IF([1]对账明细接口!$S643=0,"",[1]对账明细接口!$S643),"")</f>
      </c>
      <c r="Y643" s="20">
        <f>IFERROR(IF([1]对账明细接口!$T643=0,"",[1]对账明细接口!$T643),"")</f>
      </c>
      <c r="Z643" s="213">
        <f>IFERROR(IF([1]对账明细接口!$U643=0,"",[1]对账明细接口!$U643),"")</f>
      </c>
      <c r="AA643" s="213">
        <f>IFERROR(IF([1]对账明细接口!$V643=0,"",[1]对账明细接口!$V643),"")</f>
      </c>
      <c r="AB643" s="20">
        <f>IFERROR(IF([1]对账明细接口!$W643=0,"",[1]对账明细接口!$W643),"")</f>
      </c>
      <c r="AC643" s="7">
        <f>IFERROR(IF([1]对账明细接口!$X643=0,"",[1]对账明细接口!$X643),"")</f>
      </c>
      <c r="AD643" s="7">
        <f>IFERROR(IF([1]对账明细接口!$Y643=0,"",[1]对账明细接口!$Y643),"")</f>
      </c>
      <c r="AE643" s="7">
        <f>IFERROR(IF([1]对账明细接口!$AA643=0,"",[1]对账明细接口!$AA643),"")</f>
      </c>
      <c r="AF643" s="7">
        <f>IFERROR(IF([1]对账明细接口!$AB643=0,"",[1]对账明细接口!$AB643),"")</f>
      </c>
      <c r="AG643" s="7">
        <f>IFERROR(IF([1]对账明细接口!$AC643=0,"",[1]对账明细接口!$AC643),"")</f>
      </c>
      <c r="AH643" s="7">
        <f>IFERROR(IF([1]对账明细接口!$AD643=0,"",[1]对账明细接口!$AD643),"")</f>
      </c>
      <c r="AI643" s="7">
        <f>IFERROR(IF([1]对账明细接口!$AE643=0,"",[1]对账明细接口!$AE643),"")</f>
      </c>
      <c r="AJ643" s="7">
        <f>IFERROR(IF([1]对账明细接口!$AF643=0,"",[1]对账明细接口!$AF643),"")</f>
      </c>
    </row>
    <row r="644" ht="14.25" customHeight="1" s="127">
      <c r="A644" s="14" t="n">
        <v>644</v>
      </c>
      <c r="B644" s="211">
        <f>IFERROR(IF([1]对账明细接口!$B$644=0,"",[1]对账明细接口!$B$644),"")</f>
      </c>
      <c r="C644" s="16">
        <f>IFERROR(IF([1]对账明细接口!$C$644=0,"",[1]对账明细接口!$C$644),"")</f>
      </c>
      <c r="D644" s="16">
        <f>IFERROR(IF([1]对账明细接口!$D$644=0,"",[1]对账明细接口!$D$644),"")</f>
      </c>
      <c r="E644" s="16">
        <f>IFERROR(IF([1]对账明细接口!$E$644=0,"",[1]对账明细接口!$E$644),"")</f>
      </c>
      <c r="F644" s="16">
        <f>IFERROR(IF([1]对账明细接口!$F$644=0,"",[1]对账明细接口!$F$644),"")</f>
      </c>
      <c r="G644" s="16">
        <f>IFERROR(IF([1]对账明细接口!$G$644=0,"",[1]对账明细接口!$G$644),"")</f>
      </c>
      <c r="H644" s="176">
        <f>IFERROR(IF([1]对账明细接口!$H$644=0,"",[1]对账明细接口!$H$644),"")</f>
      </c>
      <c r="I644" s="16">
        <f>IFERROR(IF([1]对账明细接口!$I$644=0,"",[1]对账明细接口!$I$644),"")</f>
      </c>
      <c r="J644" s="177">
        <f>IFERROR(IF([1]对账明细接口!$J$644=0,"",[1]对账明细接口!$J$644),"")</f>
      </c>
      <c r="K644" s="177">
        <f>IFERROR(IF([1]对账明细接口!$K$644=0,"",[1]对账明细接口!$K$644),"")</f>
      </c>
      <c r="L644" s="16">
        <f>IFERROR(IF([1]对账明细接口!$L$644=0,"",[1]对账明细接口!$L$644),"")</f>
      </c>
      <c r="M644" s="16">
        <f>IFERROR(IF([1]对账明细接口!$M$644=0,"",[1]对账明细接口!$M$644),"")</f>
      </c>
      <c r="N644" s="19">
        <f>IF($C644="",0,1)</f>
        <v>0</v>
      </c>
      <c r="O644" s="19">
        <f>N(O643)+$N644</f>
        <v>637</v>
      </c>
      <c r="S644" s="20">
        <f>IFERROR(IF([1]对账明细接口!$N644=0,"",[1]对账明细接口!$N644),"")</f>
      </c>
      <c r="T644" s="212">
        <f>IFERROR(IF([1]对账明细接口!$O644=0,"",[1]对账明细接口!$O644),"")</f>
      </c>
      <c r="U644" s="212">
        <f>IFERROR(IF([1]对账明细接口!$P644=0,"",[1]对账明细接口!$P644),"")</f>
      </c>
      <c r="V644" s="212">
        <f>IFERROR(IF([1]对账明细接口!$Q644=0,"",[1]对账明细接口!$Q644),"")</f>
      </c>
      <c r="W644" s="20">
        <f>IFERROR(IF([1]对账明细接口!$R644=0,"",[1]对账明细接口!$R644),"")</f>
      </c>
      <c r="X644" s="20">
        <f>IFERROR(IF([1]对账明细接口!$S644=0,"",[1]对账明细接口!$S644),"")</f>
      </c>
      <c r="Y644" s="20">
        <f>IFERROR(IF([1]对账明细接口!$T644=0,"",[1]对账明细接口!$T644),"")</f>
      </c>
      <c r="Z644" s="213">
        <f>IFERROR(IF([1]对账明细接口!$U644=0,"",[1]对账明细接口!$U644),"")</f>
      </c>
      <c r="AA644" s="213">
        <f>IFERROR(IF([1]对账明细接口!$V644=0,"",[1]对账明细接口!$V644),"")</f>
      </c>
      <c r="AB644" s="20">
        <f>IFERROR(IF([1]对账明细接口!$W644=0,"",[1]对账明细接口!$W644),"")</f>
      </c>
      <c r="AC644" s="7">
        <f>IFERROR(IF([1]对账明细接口!$X644=0,"",[1]对账明细接口!$X644),"")</f>
      </c>
      <c r="AD644" s="7">
        <f>IFERROR(IF([1]对账明细接口!$Y644=0,"",[1]对账明细接口!$Y644),"")</f>
      </c>
      <c r="AE644" s="7">
        <f>IFERROR(IF([1]对账明细接口!$AA644=0,"",[1]对账明细接口!$AA644),"")</f>
      </c>
      <c r="AF644" s="7">
        <f>IFERROR(IF([1]对账明细接口!$AB644=0,"",[1]对账明细接口!$AB644),"")</f>
      </c>
      <c r="AG644" s="7">
        <f>IFERROR(IF([1]对账明细接口!$AC644=0,"",[1]对账明细接口!$AC644),"")</f>
      </c>
      <c r="AH644" s="7">
        <f>IFERROR(IF([1]对账明细接口!$AD644=0,"",[1]对账明细接口!$AD644),"")</f>
      </c>
      <c r="AI644" s="7">
        <f>IFERROR(IF([1]对账明细接口!$AE644=0,"",[1]对账明细接口!$AE644),"")</f>
      </c>
      <c r="AJ644" s="7">
        <f>IFERROR(IF([1]对账明细接口!$AF644=0,"",[1]对账明细接口!$AF644),"")</f>
      </c>
    </row>
    <row r="645" ht="14.25" customHeight="1" s="127">
      <c r="A645" s="14" t="n">
        <v>645</v>
      </c>
      <c r="B645" s="211">
        <f>IFERROR(IF([1]对账明细接口!$B$645=0,"",[1]对账明细接口!$B$645),"")</f>
      </c>
      <c r="C645" s="16">
        <f>IFERROR(IF([1]对账明细接口!$C$645=0,"",[1]对账明细接口!$C$645),"")</f>
      </c>
      <c r="D645" s="16">
        <f>IFERROR(IF([1]对账明细接口!$D$645=0,"",[1]对账明细接口!$D$645),"")</f>
      </c>
      <c r="E645" s="16">
        <f>IFERROR(IF([1]对账明细接口!$E$645=0,"",[1]对账明细接口!$E$645),"")</f>
      </c>
      <c r="F645" s="16">
        <f>IFERROR(IF([1]对账明细接口!$F$645=0,"",[1]对账明细接口!$F$645),"")</f>
      </c>
      <c r="G645" s="16">
        <f>IFERROR(IF([1]对账明细接口!$G$645=0,"",[1]对账明细接口!$G$645),"")</f>
      </c>
      <c r="H645" s="176">
        <f>IFERROR(IF([1]对账明细接口!$H$645=0,"",[1]对账明细接口!$H$645),"")</f>
      </c>
      <c r="I645" s="16">
        <f>IFERROR(IF([1]对账明细接口!$I$645=0,"",[1]对账明细接口!$I$645),"")</f>
      </c>
      <c r="J645" s="177">
        <f>IFERROR(IF([1]对账明细接口!$J$645=0,"",[1]对账明细接口!$J$645),"")</f>
      </c>
      <c r="K645" s="177">
        <f>IFERROR(IF([1]对账明细接口!$K$645=0,"",[1]对账明细接口!$K$645),"")</f>
      </c>
      <c r="L645" s="16">
        <f>IFERROR(IF([1]对账明细接口!$L$645=0,"",[1]对账明细接口!$L$645),"")</f>
      </c>
      <c r="M645" s="16">
        <f>IFERROR(IF([1]对账明细接口!$M$645=0,"",[1]对账明细接口!$M$645),"")</f>
      </c>
      <c r="N645" s="19">
        <f>IF($C645="",0,1)</f>
        <v>0</v>
      </c>
      <c r="O645" s="19">
        <f>N(O644)+$N645</f>
        <v>637</v>
      </c>
      <c r="S645" s="20">
        <f>IFERROR(IF([1]对账明细接口!$N645=0,"",[1]对账明细接口!$N645),"")</f>
      </c>
      <c r="T645" s="212">
        <f>IFERROR(IF([1]对账明细接口!$O645=0,"",[1]对账明细接口!$O645),"")</f>
      </c>
      <c r="U645" s="212">
        <f>IFERROR(IF([1]对账明细接口!$P645=0,"",[1]对账明细接口!$P645),"")</f>
      </c>
      <c r="V645" s="212">
        <f>IFERROR(IF([1]对账明细接口!$Q645=0,"",[1]对账明细接口!$Q645),"")</f>
      </c>
      <c r="W645" s="20">
        <f>IFERROR(IF([1]对账明细接口!$R645=0,"",[1]对账明细接口!$R645),"")</f>
      </c>
      <c r="X645" s="20">
        <f>IFERROR(IF([1]对账明细接口!$S645=0,"",[1]对账明细接口!$S645),"")</f>
      </c>
      <c r="Y645" s="20">
        <f>IFERROR(IF([1]对账明细接口!$T645=0,"",[1]对账明细接口!$T645),"")</f>
      </c>
      <c r="Z645" s="213">
        <f>IFERROR(IF([1]对账明细接口!$U645=0,"",[1]对账明细接口!$U645),"")</f>
      </c>
      <c r="AA645" s="213">
        <f>IFERROR(IF([1]对账明细接口!$V645=0,"",[1]对账明细接口!$V645),"")</f>
      </c>
      <c r="AB645" s="20">
        <f>IFERROR(IF([1]对账明细接口!$W645=0,"",[1]对账明细接口!$W645),"")</f>
      </c>
      <c r="AC645" s="7">
        <f>IFERROR(IF([1]对账明细接口!$X645=0,"",[1]对账明细接口!$X645),"")</f>
      </c>
      <c r="AD645" s="7">
        <f>IFERROR(IF([1]对账明细接口!$Y645=0,"",[1]对账明细接口!$Y645),"")</f>
      </c>
      <c r="AE645" s="7">
        <f>IFERROR(IF([1]对账明细接口!$AA645=0,"",[1]对账明细接口!$AA645),"")</f>
      </c>
      <c r="AF645" s="7">
        <f>IFERROR(IF([1]对账明细接口!$AB645=0,"",[1]对账明细接口!$AB645),"")</f>
      </c>
      <c r="AG645" s="7">
        <f>IFERROR(IF([1]对账明细接口!$AC645=0,"",[1]对账明细接口!$AC645),"")</f>
      </c>
      <c r="AH645" s="7">
        <f>IFERROR(IF([1]对账明细接口!$AD645=0,"",[1]对账明细接口!$AD645),"")</f>
      </c>
      <c r="AI645" s="7">
        <f>IFERROR(IF([1]对账明细接口!$AE645=0,"",[1]对账明细接口!$AE645),"")</f>
      </c>
      <c r="AJ645" s="7">
        <f>IFERROR(IF([1]对账明细接口!$AF645=0,"",[1]对账明细接口!$AF645),"")</f>
      </c>
    </row>
    <row r="646" ht="14.25" customHeight="1" s="127">
      <c r="A646" s="14" t="n">
        <v>646</v>
      </c>
      <c r="B646" s="211">
        <f>IFERROR(IF([1]对账明细接口!$B$646=0,"",[1]对账明细接口!$B$646),"")</f>
      </c>
      <c r="C646" s="16">
        <f>IFERROR(IF([1]对账明细接口!$C$646=0,"",[1]对账明细接口!$C$646),"")</f>
      </c>
      <c r="D646" s="16">
        <f>IFERROR(IF([1]对账明细接口!$D$646=0,"",[1]对账明细接口!$D$646),"")</f>
      </c>
      <c r="E646" s="16">
        <f>IFERROR(IF([1]对账明细接口!$E$646=0,"",[1]对账明细接口!$E$646),"")</f>
      </c>
      <c r="F646" s="16">
        <f>IFERROR(IF([1]对账明细接口!$F$646=0,"",[1]对账明细接口!$F$646),"")</f>
      </c>
      <c r="G646" s="16">
        <f>IFERROR(IF([1]对账明细接口!$G$646=0,"",[1]对账明细接口!$G$646),"")</f>
      </c>
      <c r="H646" s="176">
        <f>IFERROR(IF([1]对账明细接口!$H$646=0,"",[1]对账明细接口!$H$646),"")</f>
      </c>
      <c r="I646" s="16">
        <f>IFERROR(IF([1]对账明细接口!$I$646=0,"",[1]对账明细接口!$I$646),"")</f>
      </c>
      <c r="J646" s="177">
        <f>IFERROR(IF([1]对账明细接口!$J$646=0,"",[1]对账明细接口!$J$646),"")</f>
      </c>
      <c r="K646" s="177">
        <f>IFERROR(IF([1]对账明细接口!$K$646=0,"",[1]对账明细接口!$K$646),"")</f>
      </c>
      <c r="L646" s="16">
        <f>IFERROR(IF([1]对账明细接口!$L$646=0,"",[1]对账明细接口!$L$646),"")</f>
      </c>
      <c r="M646" s="16">
        <f>IFERROR(IF([1]对账明细接口!$M$646=0,"",[1]对账明细接口!$M$646),"")</f>
      </c>
      <c r="N646" s="19">
        <f>IF($C646="",0,1)</f>
        <v>0</v>
      </c>
      <c r="O646" s="19">
        <f>N(O645)+$N646</f>
        <v>637</v>
      </c>
      <c r="S646" s="20">
        <f>IFERROR(IF([1]对账明细接口!$N646=0,"",[1]对账明细接口!$N646),"")</f>
      </c>
      <c r="T646" s="212">
        <f>IFERROR(IF([1]对账明细接口!$O646=0,"",[1]对账明细接口!$O646),"")</f>
      </c>
      <c r="U646" s="212">
        <f>IFERROR(IF([1]对账明细接口!$P646=0,"",[1]对账明细接口!$P646),"")</f>
      </c>
      <c r="V646" s="212">
        <f>IFERROR(IF([1]对账明细接口!$Q646=0,"",[1]对账明细接口!$Q646),"")</f>
      </c>
      <c r="W646" s="20">
        <f>IFERROR(IF([1]对账明细接口!$R646=0,"",[1]对账明细接口!$R646),"")</f>
      </c>
      <c r="X646" s="20">
        <f>IFERROR(IF([1]对账明细接口!$S646=0,"",[1]对账明细接口!$S646),"")</f>
      </c>
      <c r="Y646" s="20">
        <f>IFERROR(IF([1]对账明细接口!$T646=0,"",[1]对账明细接口!$T646),"")</f>
      </c>
      <c r="Z646" s="213">
        <f>IFERROR(IF([1]对账明细接口!$U646=0,"",[1]对账明细接口!$U646),"")</f>
      </c>
      <c r="AA646" s="213">
        <f>IFERROR(IF([1]对账明细接口!$V646=0,"",[1]对账明细接口!$V646),"")</f>
      </c>
      <c r="AB646" s="20">
        <f>IFERROR(IF([1]对账明细接口!$W646=0,"",[1]对账明细接口!$W646),"")</f>
      </c>
      <c r="AC646" s="7">
        <f>IFERROR(IF([1]对账明细接口!$X646=0,"",[1]对账明细接口!$X646),"")</f>
      </c>
      <c r="AD646" s="7">
        <f>IFERROR(IF([1]对账明细接口!$Y646=0,"",[1]对账明细接口!$Y646),"")</f>
      </c>
      <c r="AE646" s="7">
        <f>IFERROR(IF([1]对账明细接口!$AA646=0,"",[1]对账明细接口!$AA646),"")</f>
      </c>
      <c r="AF646" s="7">
        <f>IFERROR(IF([1]对账明细接口!$AB646=0,"",[1]对账明细接口!$AB646),"")</f>
      </c>
      <c r="AG646" s="7">
        <f>IFERROR(IF([1]对账明细接口!$AC646=0,"",[1]对账明细接口!$AC646),"")</f>
      </c>
      <c r="AH646" s="7">
        <f>IFERROR(IF([1]对账明细接口!$AD646=0,"",[1]对账明细接口!$AD646),"")</f>
      </c>
      <c r="AI646" s="7">
        <f>IFERROR(IF([1]对账明细接口!$AE646=0,"",[1]对账明细接口!$AE646),"")</f>
      </c>
      <c r="AJ646" s="7">
        <f>IFERROR(IF([1]对账明细接口!$AF646=0,"",[1]对账明细接口!$AF646),"")</f>
      </c>
    </row>
    <row r="647" ht="14.25" customHeight="1" s="127">
      <c r="A647" s="14" t="n">
        <v>647</v>
      </c>
      <c r="B647" s="211">
        <f>IFERROR(IF([1]对账明细接口!$B$647=0,"",[1]对账明细接口!$B$647),"")</f>
      </c>
      <c r="C647" s="16">
        <f>IFERROR(IF([1]对账明细接口!$C$647=0,"",[1]对账明细接口!$C$647),"")</f>
      </c>
      <c r="D647" s="16">
        <f>IFERROR(IF([1]对账明细接口!$D$647=0,"",[1]对账明细接口!$D$647),"")</f>
      </c>
      <c r="E647" s="16">
        <f>IFERROR(IF([1]对账明细接口!$E$647=0,"",[1]对账明细接口!$E$647),"")</f>
      </c>
      <c r="F647" s="16">
        <f>IFERROR(IF([1]对账明细接口!$F$647=0,"",[1]对账明细接口!$F$647),"")</f>
      </c>
      <c r="G647" s="16">
        <f>IFERROR(IF([1]对账明细接口!$G$647=0,"",[1]对账明细接口!$G$647),"")</f>
      </c>
      <c r="H647" s="176">
        <f>IFERROR(IF([1]对账明细接口!$H$647=0,"",[1]对账明细接口!$H$647),"")</f>
      </c>
      <c r="I647" s="16">
        <f>IFERROR(IF([1]对账明细接口!$I$647=0,"",[1]对账明细接口!$I$647),"")</f>
      </c>
      <c r="J647" s="177">
        <f>IFERROR(IF([1]对账明细接口!$J$647=0,"",[1]对账明细接口!$J$647),"")</f>
      </c>
      <c r="K647" s="177">
        <f>IFERROR(IF([1]对账明细接口!$K$647=0,"",[1]对账明细接口!$K$647),"")</f>
      </c>
      <c r="L647" s="16">
        <f>IFERROR(IF([1]对账明细接口!$L$647=0,"",[1]对账明细接口!$L$647),"")</f>
      </c>
      <c r="M647" s="16">
        <f>IFERROR(IF([1]对账明细接口!$M$647=0,"",[1]对账明细接口!$M$647),"")</f>
      </c>
      <c r="N647" s="19">
        <f>IF($C647="",0,1)</f>
        <v>0</v>
      </c>
      <c r="O647" s="19">
        <f>N(O646)+$N647</f>
        <v>637</v>
      </c>
      <c r="S647" s="20">
        <f>IFERROR(IF([1]对账明细接口!$N647=0,"",[1]对账明细接口!$N647),"")</f>
      </c>
      <c r="T647" s="212">
        <f>IFERROR(IF([1]对账明细接口!$O647=0,"",[1]对账明细接口!$O647),"")</f>
      </c>
      <c r="U647" s="212">
        <f>IFERROR(IF([1]对账明细接口!$P647=0,"",[1]对账明细接口!$P647),"")</f>
      </c>
      <c r="V647" s="212">
        <f>IFERROR(IF([1]对账明细接口!$Q647=0,"",[1]对账明细接口!$Q647),"")</f>
      </c>
      <c r="W647" s="20">
        <f>IFERROR(IF([1]对账明细接口!$R647=0,"",[1]对账明细接口!$R647),"")</f>
      </c>
      <c r="X647" s="20">
        <f>IFERROR(IF([1]对账明细接口!$S647=0,"",[1]对账明细接口!$S647),"")</f>
      </c>
      <c r="Y647" s="20">
        <f>IFERROR(IF([1]对账明细接口!$T647=0,"",[1]对账明细接口!$T647),"")</f>
      </c>
      <c r="Z647" s="213">
        <f>IFERROR(IF([1]对账明细接口!$U647=0,"",[1]对账明细接口!$U647),"")</f>
      </c>
      <c r="AA647" s="213">
        <f>IFERROR(IF([1]对账明细接口!$V647=0,"",[1]对账明细接口!$V647),"")</f>
      </c>
      <c r="AB647" s="20">
        <f>IFERROR(IF([1]对账明细接口!$W647=0,"",[1]对账明细接口!$W647),"")</f>
      </c>
      <c r="AC647" s="7">
        <f>IFERROR(IF([1]对账明细接口!$X647=0,"",[1]对账明细接口!$X647),"")</f>
      </c>
      <c r="AD647" s="7">
        <f>IFERROR(IF([1]对账明细接口!$Y647=0,"",[1]对账明细接口!$Y647),"")</f>
      </c>
      <c r="AE647" s="7">
        <f>IFERROR(IF([1]对账明细接口!$AA647=0,"",[1]对账明细接口!$AA647),"")</f>
      </c>
      <c r="AF647" s="7">
        <f>IFERROR(IF([1]对账明细接口!$AB647=0,"",[1]对账明细接口!$AB647),"")</f>
      </c>
      <c r="AG647" s="7">
        <f>IFERROR(IF([1]对账明细接口!$AC647=0,"",[1]对账明细接口!$AC647),"")</f>
      </c>
      <c r="AH647" s="7">
        <f>IFERROR(IF([1]对账明细接口!$AD647=0,"",[1]对账明细接口!$AD647),"")</f>
      </c>
      <c r="AI647" s="7">
        <f>IFERROR(IF([1]对账明细接口!$AE647=0,"",[1]对账明细接口!$AE647),"")</f>
      </c>
      <c r="AJ647" s="7">
        <f>IFERROR(IF([1]对账明细接口!$AF647=0,"",[1]对账明细接口!$AF647),"")</f>
      </c>
    </row>
    <row r="648" ht="14.25" customHeight="1" s="127">
      <c r="A648" s="14" t="n">
        <v>648</v>
      </c>
      <c r="B648" s="211">
        <f>IFERROR(IF([1]对账明细接口!$B$648=0,"",[1]对账明细接口!$B$648),"")</f>
      </c>
      <c r="C648" s="16">
        <f>IFERROR(IF([1]对账明细接口!$C$648=0,"",[1]对账明细接口!$C$648),"")</f>
      </c>
      <c r="D648" s="16">
        <f>IFERROR(IF([1]对账明细接口!$D$648=0,"",[1]对账明细接口!$D$648),"")</f>
      </c>
      <c r="E648" s="16">
        <f>IFERROR(IF([1]对账明细接口!$E$648=0,"",[1]对账明细接口!$E$648),"")</f>
      </c>
      <c r="F648" s="16">
        <f>IFERROR(IF([1]对账明细接口!$F$648=0,"",[1]对账明细接口!$F$648),"")</f>
      </c>
      <c r="G648" s="16">
        <f>IFERROR(IF([1]对账明细接口!$G$648=0,"",[1]对账明细接口!$G$648),"")</f>
      </c>
      <c r="H648" s="176">
        <f>IFERROR(IF([1]对账明细接口!$H$648=0,"",[1]对账明细接口!$H$648),"")</f>
      </c>
      <c r="I648" s="16">
        <f>IFERROR(IF([1]对账明细接口!$I$648=0,"",[1]对账明细接口!$I$648),"")</f>
      </c>
      <c r="J648" s="177">
        <f>IFERROR(IF([1]对账明细接口!$J$648=0,"",[1]对账明细接口!$J$648),"")</f>
      </c>
      <c r="K648" s="177">
        <f>IFERROR(IF([1]对账明细接口!$K$648=0,"",[1]对账明细接口!$K$648),"")</f>
      </c>
      <c r="L648" s="16">
        <f>IFERROR(IF([1]对账明细接口!$L$648=0,"",[1]对账明细接口!$L$648),"")</f>
      </c>
      <c r="M648" s="16">
        <f>IFERROR(IF([1]对账明细接口!$M$648=0,"",[1]对账明细接口!$M$648),"")</f>
      </c>
      <c r="N648" s="19">
        <f>IF($C648="",0,1)</f>
        <v>0</v>
      </c>
      <c r="O648" s="19">
        <f>N(O647)+$N648</f>
        <v>637</v>
      </c>
      <c r="S648" s="20">
        <f>IFERROR(IF([1]对账明细接口!$N648=0,"",[1]对账明细接口!$N648),"")</f>
      </c>
      <c r="T648" s="212">
        <f>IFERROR(IF([1]对账明细接口!$O648=0,"",[1]对账明细接口!$O648),"")</f>
      </c>
      <c r="U648" s="212">
        <f>IFERROR(IF([1]对账明细接口!$P648=0,"",[1]对账明细接口!$P648),"")</f>
      </c>
      <c r="V648" s="212">
        <f>IFERROR(IF([1]对账明细接口!$Q648=0,"",[1]对账明细接口!$Q648),"")</f>
      </c>
      <c r="W648" s="20">
        <f>IFERROR(IF([1]对账明细接口!$R648=0,"",[1]对账明细接口!$R648),"")</f>
      </c>
      <c r="X648" s="20">
        <f>IFERROR(IF([1]对账明细接口!$S648=0,"",[1]对账明细接口!$S648),"")</f>
      </c>
      <c r="Y648" s="20">
        <f>IFERROR(IF([1]对账明细接口!$T648=0,"",[1]对账明细接口!$T648),"")</f>
      </c>
      <c r="Z648" s="213">
        <f>IFERROR(IF([1]对账明细接口!$U648=0,"",[1]对账明细接口!$U648),"")</f>
      </c>
      <c r="AA648" s="213">
        <f>IFERROR(IF([1]对账明细接口!$V648=0,"",[1]对账明细接口!$V648),"")</f>
      </c>
      <c r="AB648" s="20">
        <f>IFERROR(IF([1]对账明细接口!$W648=0,"",[1]对账明细接口!$W648),"")</f>
      </c>
      <c r="AC648" s="7">
        <f>IFERROR(IF([1]对账明细接口!$X648=0,"",[1]对账明细接口!$X648),"")</f>
      </c>
      <c r="AD648" s="7">
        <f>IFERROR(IF([1]对账明细接口!$Y648=0,"",[1]对账明细接口!$Y648),"")</f>
      </c>
      <c r="AE648" s="7">
        <f>IFERROR(IF([1]对账明细接口!$AA648=0,"",[1]对账明细接口!$AA648),"")</f>
      </c>
      <c r="AF648" s="7">
        <f>IFERROR(IF([1]对账明细接口!$AB648=0,"",[1]对账明细接口!$AB648),"")</f>
      </c>
      <c r="AG648" s="7">
        <f>IFERROR(IF([1]对账明细接口!$AC648=0,"",[1]对账明细接口!$AC648),"")</f>
      </c>
      <c r="AH648" s="7">
        <f>IFERROR(IF([1]对账明细接口!$AD648=0,"",[1]对账明细接口!$AD648),"")</f>
      </c>
      <c r="AI648" s="7">
        <f>IFERROR(IF([1]对账明细接口!$AE648=0,"",[1]对账明细接口!$AE648),"")</f>
      </c>
      <c r="AJ648" s="7">
        <f>IFERROR(IF([1]对账明细接口!$AF648=0,"",[1]对账明细接口!$AF648),"")</f>
      </c>
    </row>
    <row r="649" ht="14.25" customHeight="1" s="127">
      <c r="A649" s="14" t="n">
        <v>649</v>
      </c>
      <c r="B649" s="211">
        <f>IFERROR(IF([1]对账明细接口!$B$649=0,"",[1]对账明细接口!$B$649),"")</f>
      </c>
      <c r="C649" s="16">
        <f>IFERROR(IF([1]对账明细接口!$C$649=0,"",[1]对账明细接口!$C$649),"")</f>
      </c>
      <c r="D649" s="16">
        <f>IFERROR(IF([1]对账明细接口!$D$649=0,"",[1]对账明细接口!$D$649),"")</f>
      </c>
      <c r="E649" s="16">
        <f>IFERROR(IF([1]对账明细接口!$E$649=0,"",[1]对账明细接口!$E$649),"")</f>
      </c>
      <c r="F649" s="16">
        <f>IFERROR(IF([1]对账明细接口!$F$649=0,"",[1]对账明细接口!$F$649),"")</f>
      </c>
      <c r="G649" s="16">
        <f>IFERROR(IF([1]对账明细接口!$G$649=0,"",[1]对账明细接口!$G$649),"")</f>
      </c>
      <c r="H649" s="176">
        <f>IFERROR(IF([1]对账明细接口!$H$649=0,"",[1]对账明细接口!$H$649),"")</f>
      </c>
      <c r="I649" s="16">
        <f>IFERROR(IF([1]对账明细接口!$I$649=0,"",[1]对账明细接口!$I$649),"")</f>
      </c>
      <c r="J649" s="177">
        <f>IFERROR(IF([1]对账明细接口!$J$649=0,"",[1]对账明细接口!$J$649),"")</f>
      </c>
      <c r="K649" s="177">
        <f>IFERROR(IF([1]对账明细接口!$K$649=0,"",[1]对账明细接口!$K$649),"")</f>
      </c>
      <c r="L649" s="16">
        <f>IFERROR(IF([1]对账明细接口!$L$649=0,"",[1]对账明细接口!$L$649),"")</f>
      </c>
      <c r="M649" s="16">
        <f>IFERROR(IF([1]对账明细接口!$M$649=0,"",[1]对账明细接口!$M$649),"")</f>
      </c>
      <c r="N649" s="19">
        <f>IF($C649="",0,1)</f>
        <v>0</v>
      </c>
      <c r="O649" s="19">
        <f>N(O648)+$N649</f>
        <v>637</v>
      </c>
      <c r="S649" s="20">
        <f>IFERROR(IF([1]对账明细接口!$N649=0,"",[1]对账明细接口!$N649),"")</f>
      </c>
      <c r="T649" s="212">
        <f>IFERROR(IF([1]对账明细接口!$O649=0,"",[1]对账明细接口!$O649),"")</f>
      </c>
      <c r="U649" s="212">
        <f>IFERROR(IF([1]对账明细接口!$P649=0,"",[1]对账明细接口!$P649),"")</f>
      </c>
      <c r="V649" s="212">
        <f>IFERROR(IF([1]对账明细接口!$Q649=0,"",[1]对账明细接口!$Q649),"")</f>
      </c>
      <c r="W649" s="20">
        <f>IFERROR(IF([1]对账明细接口!$R649=0,"",[1]对账明细接口!$R649),"")</f>
      </c>
      <c r="X649" s="20">
        <f>IFERROR(IF([1]对账明细接口!$S649=0,"",[1]对账明细接口!$S649),"")</f>
      </c>
      <c r="Y649" s="20">
        <f>IFERROR(IF([1]对账明细接口!$T649=0,"",[1]对账明细接口!$T649),"")</f>
      </c>
      <c r="Z649" s="213">
        <f>IFERROR(IF([1]对账明细接口!$U649=0,"",[1]对账明细接口!$U649),"")</f>
      </c>
      <c r="AA649" s="213">
        <f>IFERROR(IF([1]对账明细接口!$V649=0,"",[1]对账明细接口!$V649),"")</f>
      </c>
      <c r="AB649" s="20">
        <f>IFERROR(IF([1]对账明细接口!$W649=0,"",[1]对账明细接口!$W649),"")</f>
      </c>
      <c r="AC649" s="7">
        <f>IFERROR(IF([1]对账明细接口!$X649=0,"",[1]对账明细接口!$X649),"")</f>
      </c>
      <c r="AD649" s="7">
        <f>IFERROR(IF([1]对账明细接口!$Y649=0,"",[1]对账明细接口!$Y649),"")</f>
      </c>
      <c r="AE649" s="7">
        <f>IFERROR(IF([1]对账明细接口!$AA649=0,"",[1]对账明细接口!$AA649),"")</f>
      </c>
      <c r="AF649" s="7">
        <f>IFERROR(IF([1]对账明细接口!$AB649=0,"",[1]对账明细接口!$AB649),"")</f>
      </c>
      <c r="AG649" s="7">
        <f>IFERROR(IF([1]对账明细接口!$AC649=0,"",[1]对账明细接口!$AC649),"")</f>
      </c>
      <c r="AH649" s="7">
        <f>IFERROR(IF([1]对账明细接口!$AD649=0,"",[1]对账明细接口!$AD649),"")</f>
      </c>
      <c r="AI649" s="7">
        <f>IFERROR(IF([1]对账明细接口!$AE649=0,"",[1]对账明细接口!$AE649),"")</f>
      </c>
      <c r="AJ649" s="7">
        <f>IFERROR(IF([1]对账明细接口!$AF649=0,"",[1]对账明细接口!$AF649),"")</f>
      </c>
    </row>
    <row r="650" ht="14.25" customHeight="1" s="127">
      <c r="A650" s="14" t="n">
        <v>650</v>
      </c>
      <c r="B650" s="211">
        <f>IFERROR(IF([1]对账明细接口!$B$650=0,"",[1]对账明细接口!$B$650),"")</f>
      </c>
      <c r="C650" s="16">
        <f>IFERROR(IF([1]对账明细接口!$C$650=0,"",[1]对账明细接口!$C$650),"")</f>
      </c>
      <c r="D650" s="16">
        <f>IFERROR(IF([1]对账明细接口!$D$650=0,"",[1]对账明细接口!$D$650),"")</f>
      </c>
      <c r="E650" s="16">
        <f>IFERROR(IF([1]对账明细接口!$E$650=0,"",[1]对账明细接口!$E$650),"")</f>
      </c>
      <c r="F650" s="16">
        <f>IFERROR(IF([1]对账明细接口!$F$650=0,"",[1]对账明细接口!$F$650),"")</f>
      </c>
      <c r="G650" s="16">
        <f>IFERROR(IF([1]对账明细接口!$G$650=0,"",[1]对账明细接口!$G$650),"")</f>
      </c>
      <c r="H650" s="176">
        <f>IFERROR(IF([1]对账明细接口!$H$650=0,"",[1]对账明细接口!$H$650),"")</f>
      </c>
      <c r="I650" s="16">
        <f>IFERROR(IF([1]对账明细接口!$I$650=0,"",[1]对账明细接口!$I$650),"")</f>
      </c>
      <c r="J650" s="177">
        <f>IFERROR(IF([1]对账明细接口!$J$650=0,"",[1]对账明细接口!$J$650),"")</f>
      </c>
      <c r="K650" s="177">
        <f>IFERROR(IF([1]对账明细接口!$K$650=0,"",[1]对账明细接口!$K$650),"")</f>
      </c>
      <c r="L650" s="16">
        <f>IFERROR(IF([1]对账明细接口!$L$650=0,"",[1]对账明细接口!$L$650),"")</f>
      </c>
      <c r="M650" s="16">
        <f>IFERROR(IF([1]对账明细接口!$M$650=0,"",[1]对账明细接口!$M$650),"")</f>
      </c>
      <c r="N650" s="19">
        <f>IF($C650="",0,1)</f>
        <v>0</v>
      </c>
      <c r="O650" s="19">
        <f>N(O649)+$N650</f>
        <v>637</v>
      </c>
      <c r="S650" s="20">
        <f>IFERROR(IF([1]对账明细接口!$N650=0,"",[1]对账明细接口!$N650),"")</f>
      </c>
      <c r="T650" s="212">
        <f>IFERROR(IF([1]对账明细接口!$O650=0,"",[1]对账明细接口!$O650),"")</f>
      </c>
      <c r="U650" s="212">
        <f>IFERROR(IF([1]对账明细接口!$P650=0,"",[1]对账明细接口!$P650),"")</f>
      </c>
      <c r="V650" s="212">
        <f>IFERROR(IF([1]对账明细接口!$Q650=0,"",[1]对账明细接口!$Q650),"")</f>
      </c>
      <c r="W650" s="20">
        <f>IFERROR(IF([1]对账明细接口!$R650=0,"",[1]对账明细接口!$R650),"")</f>
      </c>
      <c r="X650" s="20">
        <f>IFERROR(IF([1]对账明细接口!$S650=0,"",[1]对账明细接口!$S650),"")</f>
      </c>
      <c r="Y650" s="20">
        <f>IFERROR(IF([1]对账明细接口!$T650=0,"",[1]对账明细接口!$T650),"")</f>
      </c>
      <c r="Z650" s="213">
        <f>IFERROR(IF([1]对账明细接口!$U650=0,"",[1]对账明细接口!$U650),"")</f>
      </c>
      <c r="AA650" s="213">
        <f>IFERROR(IF([1]对账明细接口!$V650=0,"",[1]对账明细接口!$V650),"")</f>
      </c>
      <c r="AB650" s="20">
        <f>IFERROR(IF([1]对账明细接口!$W650=0,"",[1]对账明细接口!$W650),"")</f>
      </c>
      <c r="AC650" s="7">
        <f>IFERROR(IF([1]对账明细接口!$X650=0,"",[1]对账明细接口!$X650),"")</f>
      </c>
      <c r="AD650" s="7">
        <f>IFERROR(IF([1]对账明细接口!$Y650=0,"",[1]对账明细接口!$Y650),"")</f>
      </c>
      <c r="AE650" s="7">
        <f>IFERROR(IF([1]对账明细接口!$AA650=0,"",[1]对账明细接口!$AA650),"")</f>
      </c>
      <c r="AF650" s="7">
        <f>IFERROR(IF([1]对账明细接口!$AB650=0,"",[1]对账明细接口!$AB650),"")</f>
      </c>
      <c r="AG650" s="7">
        <f>IFERROR(IF([1]对账明细接口!$AC650=0,"",[1]对账明细接口!$AC650),"")</f>
      </c>
      <c r="AH650" s="7">
        <f>IFERROR(IF([1]对账明细接口!$AD650=0,"",[1]对账明细接口!$AD650),"")</f>
      </c>
      <c r="AI650" s="7">
        <f>IFERROR(IF([1]对账明细接口!$AE650=0,"",[1]对账明细接口!$AE650),"")</f>
      </c>
      <c r="AJ650" s="7">
        <f>IFERROR(IF([1]对账明细接口!$AF650=0,"",[1]对账明细接口!$AF650),"")</f>
      </c>
    </row>
    <row r="651" ht="14.25" customHeight="1" s="127">
      <c r="A651" s="14" t="n">
        <v>651</v>
      </c>
      <c r="B651" s="211">
        <f>IFERROR(IF([1]对账明细接口!$B$651=0,"",[1]对账明细接口!$B$651),"")</f>
      </c>
      <c r="C651" s="16">
        <f>IFERROR(IF([1]对账明细接口!$C$651=0,"",[1]对账明细接口!$C$651),"")</f>
      </c>
      <c r="D651" s="16">
        <f>IFERROR(IF([1]对账明细接口!$D$651=0,"",[1]对账明细接口!$D$651),"")</f>
      </c>
      <c r="E651" s="16">
        <f>IFERROR(IF([1]对账明细接口!$E$651=0,"",[1]对账明细接口!$E$651),"")</f>
      </c>
      <c r="F651" s="16">
        <f>IFERROR(IF([1]对账明细接口!$F$651=0,"",[1]对账明细接口!$F$651),"")</f>
      </c>
      <c r="G651" s="16">
        <f>IFERROR(IF([1]对账明细接口!$G$651=0,"",[1]对账明细接口!$G$651),"")</f>
      </c>
      <c r="H651" s="176">
        <f>IFERROR(IF([1]对账明细接口!$H$651=0,"",[1]对账明细接口!$H$651),"")</f>
      </c>
      <c r="I651" s="16">
        <f>IFERROR(IF([1]对账明细接口!$I$651=0,"",[1]对账明细接口!$I$651),"")</f>
      </c>
      <c r="J651" s="177">
        <f>IFERROR(IF([1]对账明细接口!$J$651=0,"",[1]对账明细接口!$J$651),"")</f>
      </c>
      <c r="K651" s="177">
        <f>IFERROR(IF([1]对账明细接口!$K$651=0,"",[1]对账明细接口!$K$651),"")</f>
      </c>
      <c r="L651" s="16">
        <f>IFERROR(IF([1]对账明细接口!$L$651=0,"",[1]对账明细接口!$L$651),"")</f>
      </c>
      <c r="M651" s="16">
        <f>IFERROR(IF([1]对账明细接口!$M$651=0,"",[1]对账明细接口!$M$651),"")</f>
      </c>
      <c r="N651" s="19">
        <f>IF($C651="",0,1)</f>
        <v>0</v>
      </c>
      <c r="O651" s="19">
        <f>N(O650)+$N651</f>
        <v>637</v>
      </c>
      <c r="S651" s="20">
        <f>IFERROR(IF([1]对账明细接口!$N651=0,"",[1]对账明细接口!$N651),"")</f>
      </c>
      <c r="T651" s="212">
        <f>IFERROR(IF([1]对账明细接口!$O651=0,"",[1]对账明细接口!$O651),"")</f>
      </c>
      <c r="U651" s="212">
        <f>IFERROR(IF([1]对账明细接口!$P651=0,"",[1]对账明细接口!$P651),"")</f>
      </c>
      <c r="V651" s="212">
        <f>IFERROR(IF([1]对账明细接口!$Q651=0,"",[1]对账明细接口!$Q651),"")</f>
      </c>
      <c r="W651" s="20">
        <f>IFERROR(IF([1]对账明细接口!$R651=0,"",[1]对账明细接口!$R651),"")</f>
      </c>
      <c r="X651" s="20">
        <f>IFERROR(IF([1]对账明细接口!$S651=0,"",[1]对账明细接口!$S651),"")</f>
      </c>
      <c r="Y651" s="20">
        <f>IFERROR(IF([1]对账明细接口!$T651=0,"",[1]对账明细接口!$T651),"")</f>
      </c>
      <c r="Z651" s="213">
        <f>IFERROR(IF([1]对账明细接口!$U651=0,"",[1]对账明细接口!$U651),"")</f>
      </c>
      <c r="AA651" s="213">
        <f>IFERROR(IF([1]对账明细接口!$V651=0,"",[1]对账明细接口!$V651),"")</f>
      </c>
      <c r="AB651" s="20">
        <f>IFERROR(IF([1]对账明细接口!$W651=0,"",[1]对账明细接口!$W651),"")</f>
      </c>
      <c r="AC651" s="7">
        <f>IFERROR(IF([1]对账明细接口!$X651=0,"",[1]对账明细接口!$X651),"")</f>
      </c>
      <c r="AD651" s="7">
        <f>IFERROR(IF([1]对账明细接口!$Y651=0,"",[1]对账明细接口!$Y651),"")</f>
      </c>
      <c r="AE651" s="7">
        <f>IFERROR(IF([1]对账明细接口!$AA651=0,"",[1]对账明细接口!$AA651),"")</f>
      </c>
      <c r="AF651" s="7">
        <f>IFERROR(IF([1]对账明细接口!$AB651=0,"",[1]对账明细接口!$AB651),"")</f>
      </c>
      <c r="AG651" s="7">
        <f>IFERROR(IF([1]对账明细接口!$AC651=0,"",[1]对账明细接口!$AC651),"")</f>
      </c>
      <c r="AH651" s="7">
        <f>IFERROR(IF([1]对账明细接口!$AD651=0,"",[1]对账明细接口!$AD651),"")</f>
      </c>
      <c r="AI651" s="7">
        <f>IFERROR(IF([1]对账明细接口!$AE651=0,"",[1]对账明细接口!$AE651),"")</f>
      </c>
      <c r="AJ651" s="7">
        <f>IFERROR(IF([1]对账明细接口!$AF651=0,"",[1]对账明细接口!$AF651),"")</f>
      </c>
    </row>
    <row r="652" ht="14.25" customHeight="1" s="127">
      <c r="A652" s="14" t="n">
        <v>652</v>
      </c>
      <c r="B652" s="211">
        <f>IFERROR(IF([1]对账明细接口!$B$652=0,"",[1]对账明细接口!$B$652),"")</f>
      </c>
      <c r="C652" s="16">
        <f>IFERROR(IF([1]对账明细接口!$C$652=0,"",[1]对账明细接口!$C$652),"")</f>
      </c>
      <c r="D652" s="16">
        <f>IFERROR(IF([1]对账明细接口!$D$652=0,"",[1]对账明细接口!$D$652),"")</f>
      </c>
      <c r="E652" s="16">
        <f>IFERROR(IF([1]对账明细接口!$E$652=0,"",[1]对账明细接口!$E$652),"")</f>
      </c>
      <c r="F652" s="16">
        <f>IFERROR(IF([1]对账明细接口!$F$652=0,"",[1]对账明细接口!$F$652),"")</f>
      </c>
      <c r="G652" s="16">
        <f>IFERROR(IF([1]对账明细接口!$G$652=0,"",[1]对账明细接口!$G$652),"")</f>
      </c>
      <c r="H652" s="176">
        <f>IFERROR(IF([1]对账明细接口!$H$652=0,"",[1]对账明细接口!$H$652),"")</f>
      </c>
      <c r="I652" s="16">
        <f>IFERROR(IF([1]对账明细接口!$I$652=0,"",[1]对账明细接口!$I$652),"")</f>
      </c>
      <c r="J652" s="177">
        <f>IFERROR(IF([1]对账明细接口!$J$652=0,"",[1]对账明细接口!$J$652),"")</f>
      </c>
      <c r="K652" s="177">
        <f>IFERROR(IF([1]对账明细接口!$K$652=0,"",[1]对账明细接口!$K$652),"")</f>
      </c>
      <c r="L652" s="16">
        <f>IFERROR(IF([1]对账明细接口!$L$652=0,"",[1]对账明细接口!$L$652),"")</f>
      </c>
      <c r="M652" s="16">
        <f>IFERROR(IF([1]对账明细接口!$M$652=0,"",[1]对账明细接口!$M$652),"")</f>
      </c>
      <c r="N652" s="19">
        <f>IF($C652="",0,1)</f>
        <v>0</v>
      </c>
      <c r="O652" s="19">
        <f>N(O651)+$N652</f>
        <v>637</v>
      </c>
      <c r="S652" s="20">
        <f>IFERROR(IF([1]对账明细接口!$N652=0,"",[1]对账明细接口!$N652),"")</f>
      </c>
      <c r="T652" s="212">
        <f>IFERROR(IF([1]对账明细接口!$O652=0,"",[1]对账明细接口!$O652),"")</f>
      </c>
      <c r="U652" s="212">
        <f>IFERROR(IF([1]对账明细接口!$P652=0,"",[1]对账明细接口!$P652),"")</f>
      </c>
      <c r="V652" s="212">
        <f>IFERROR(IF([1]对账明细接口!$Q652=0,"",[1]对账明细接口!$Q652),"")</f>
      </c>
      <c r="W652" s="20">
        <f>IFERROR(IF([1]对账明细接口!$R652=0,"",[1]对账明细接口!$R652),"")</f>
      </c>
      <c r="X652" s="20">
        <f>IFERROR(IF([1]对账明细接口!$S652=0,"",[1]对账明细接口!$S652),"")</f>
      </c>
      <c r="Y652" s="20">
        <f>IFERROR(IF([1]对账明细接口!$T652=0,"",[1]对账明细接口!$T652),"")</f>
      </c>
      <c r="Z652" s="213">
        <f>IFERROR(IF([1]对账明细接口!$U652=0,"",[1]对账明细接口!$U652),"")</f>
      </c>
      <c r="AA652" s="213">
        <f>IFERROR(IF([1]对账明细接口!$V652=0,"",[1]对账明细接口!$V652),"")</f>
      </c>
      <c r="AB652" s="20">
        <f>IFERROR(IF([1]对账明细接口!$W652=0,"",[1]对账明细接口!$W652),"")</f>
      </c>
      <c r="AC652" s="7">
        <f>IFERROR(IF([1]对账明细接口!$X652=0,"",[1]对账明细接口!$X652),"")</f>
      </c>
      <c r="AD652" s="7">
        <f>IFERROR(IF([1]对账明细接口!$Y652=0,"",[1]对账明细接口!$Y652),"")</f>
      </c>
      <c r="AE652" s="7">
        <f>IFERROR(IF([1]对账明细接口!$AA652=0,"",[1]对账明细接口!$AA652),"")</f>
      </c>
      <c r="AF652" s="7">
        <f>IFERROR(IF([1]对账明细接口!$AB652=0,"",[1]对账明细接口!$AB652),"")</f>
      </c>
      <c r="AG652" s="7">
        <f>IFERROR(IF([1]对账明细接口!$AC652=0,"",[1]对账明细接口!$AC652),"")</f>
      </c>
      <c r="AH652" s="7">
        <f>IFERROR(IF([1]对账明细接口!$AD652=0,"",[1]对账明细接口!$AD652),"")</f>
      </c>
      <c r="AI652" s="7">
        <f>IFERROR(IF([1]对账明细接口!$AE652=0,"",[1]对账明细接口!$AE652),"")</f>
      </c>
      <c r="AJ652" s="7">
        <f>IFERROR(IF([1]对账明细接口!$AF652=0,"",[1]对账明细接口!$AF652),"")</f>
      </c>
    </row>
    <row r="653" ht="14.25" customHeight="1" s="127">
      <c r="A653" s="14" t="n">
        <v>653</v>
      </c>
      <c r="B653" s="211">
        <f>IFERROR(IF([1]对账明细接口!$B$653=0,"",[1]对账明细接口!$B$653),"")</f>
      </c>
      <c r="C653" s="16">
        <f>IFERROR(IF([1]对账明细接口!$C$653=0,"",[1]对账明细接口!$C$653),"")</f>
      </c>
      <c r="D653" s="16">
        <f>IFERROR(IF([1]对账明细接口!$D$653=0,"",[1]对账明细接口!$D$653),"")</f>
      </c>
      <c r="E653" s="16">
        <f>IFERROR(IF([1]对账明细接口!$E$653=0,"",[1]对账明细接口!$E$653),"")</f>
      </c>
      <c r="F653" s="16">
        <f>IFERROR(IF([1]对账明细接口!$F$653=0,"",[1]对账明细接口!$F$653),"")</f>
      </c>
      <c r="G653" s="16">
        <f>IFERROR(IF([1]对账明细接口!$G$653=0,"",[1]对账明细接口!$G$653),"")</f>
      </c>
      <c r="H653" s="176">
        <f>IFERROR(IF([1]对账明细接口!$H$653=0,"",[1]对账明细接口!$H$653),"")</f>
      </c>
      <c r="I653" s="16">
        <f>IFERROR(IF([1]对账明细接口!$I$653=0,"",[1]对账明细接口!$I$653),"")</f>
      </c>
      <c r="J653" s="177">
        <f>IFERROR(IF([1]对账明细接口!$J$653=0,"",[1]对账明细接口!$J$653),"")</f>
      </c>
      <c r="K653" s="177">
        <f>IFERROR(IF([1]对账明细接口!$K$653=0,"",[1]对账明细接口!$K$653),"")</f>
      </c>
      <c r="L653" s="16">
        <f>IFERROR(IF([1]对账明细接口!$L$653=0,"",[1]对账明细接口!$L$653),"")</f>
      </c>
      <c r="M653" s="16">
        <f>IFERROR(IF([1]对账明细接口!$M$653=0,"",[1]对账明细接口!$M$653),"")</f>
      </c>
      <c r="N653" s="19">
        <f>IF($C653="",0,1)</f>
        <v>0</v>
      </c>
      <c r="O653" s="19">
        <f>N(O652)+$N653</f>
        <v>637</v>
      </c>
      <c r="S653" s="20">
        <f>IFERROR(IF([1]对账明细接口!$N653=0,"",[1]对账明细接口!$N653),"")</f>
      </c>
      <c r="T653" s="212">
        <f>IFERROR(IF([1]对账明细接口!$O653=0,"",[1]对账明细接口!$O653),"")</f>
      </c>
      <c r="U653" s="212">
        <f>IFERROR(IF([1]对账明细接口!$P653=0,"",[1]对账明细接口!$P653),"")</f>
      </c>
      <c r="V653" s="212">
        <f>IFERROR(IF([1]对账明细接口!$Q653=0,"",[1]对账明细接口!$Q653),"")</f>
      </c>
      <c r="W653" s="20">
        <f>IFERROR(IF([1]对账明细接口!$R653=0,"",[1]对账明细接口!$R653),"")</f>
      </c>
      <c r="X653" s="20">
        <f>IFERROR(IF([1]对账明细接口!$S653=0,"",[1]对账明细接口!$S653),"")</f>
      </c>
      <c r="Y653" s="20">
        <f>IFERROR(IF([1]对账明细接口!$T653=0,"",[1]对账明细接口!$T653),"")</f>
      </c>
      <c r="Z653" s="213">
        <f>IFERROR(IF([1]对账明细接口!$U653=0,"",[1]对账明细接口!$U653),"")</f>
      </c>
      <c r="AA653" s="213">
        <f>IFERROR(IF([1]对账明细接口!$V653=0,"",[1]对账明细接口!$V653),"")</f>
      </c>
      <c r="AB653" s="20">
        <f>IFERROR(IF([1]对账明细接口!$W653=0,"",[1]对账明细接口!$W653),"")</f>
      </c>
      <c r="AC653" s="7">
        <f>IFERROR(IF([1]对账明细接口!$X653=0,"",[1]对账明细接口!$X653),"")</f>
      </c>
      <c r="AD653" s="7">
        <f>IFERROR(IF([1]对账明细接口!$Y653=0,"",[1]对账明细接口!$Y653),"")</f>
      </c>
      <c r="AE653" s="7">
        <f>IFERROR(IF([1]对账明细接口!$AA653=0,"",[1]对账明细接口!$AA653),"")</f>
      </c>
      <c r="AF653" s="7">
        <f>IFERROR(IF([1]对账明细接口!$AB653=0,"",[1]对账明细接口!$AB653),"")</f>
      </c>
      <c r="AG653" s="7">
        <f>IFERROR(IF([1]对账明细接口!$AC653=0,"",[1]对账明细接口!$AC653),"")</f>
      </c>
      <c r="AH653" s="7">
        <f>IFERROR(IF([1]对账明细接口!$AD653=0,"",[1]对账明细接口!$AD653),"")</f>
      </c>
      <c r="AI653" s="7">
        <f>IFERROR(IF([1]对账明细接口!$AE653=0,"",[1]对账明细接口!$AE653),"")</f>
      </c>
      <c r="AJ653" s="7">
        <f>IFERROR(IF([1]对账明细接口!$AF653=0,"",[1]对账明细接口!$AF653),"")</f>
      </c>
    </row>
    <row r="654" ht="14.25" customHeight="1" s="127">
      <c r="A654" s="14" t="n">
        <v>654</v>
      </c>
      <c r="B654" s="211">
        <f>IFERROR(IF([1]对账明细接口!$B$654=0,"",[1]对账明细接口!$B$654),"")</f>
      </c>
      <c r="C654" s="16">
        <f>IFERROR(IF([1]对账明细接口!$C$654=0,"",[1]对账明细接口!$C$654),"")</f>
      </c>
      <c r="D654" s="16">
        <f>IFERROR(IF([1]对账明细接口!$D$654=0,"",[1]对账明细接口!$D$654),"")</f>
      </c>
      <c r="E654" s="16">
        <f>IFERROR(IF([1]对账明细接口!$E$654=0,"",[1]对账明细接口!$E$654),"")</f>
      </c>
      <c r="F654" s="16">
        <f>IFERROR(IF([1]对账明细接口!$F$654=0,"",[1]对账明细接口!$F$654),"")</f>
      </c>
      <c r="G654" s="16">
        <f>IFERROR(IF([1]对账明细接口!$G$654=0,"",[1]对账明细接口!$G$654),"")</f>
      </c>
      <c r="H654" s="176">
        <f>IFERROR(IF([1]对账明细接口!$H$654=0,"",[1]对账明细接口!$H$654),"")</f>
      </c>
      <c r="I654" s="16">
        <f>IFERROR(IF([1]对账明细接口!$I$654=0,"",[1]对账明细接口!$I$654),"")</f>
      </c>
      <c r="J654" s="177">
        <f>IFERROR(IF([1]对账明细接口!$J$654=0,"",[1]对账明细接口!$J$654),"")</f>
      </c>
      <c r="K654" s="177">
        <f>IFERROR(IF([1]对账明细接口!$K$654=0,"",[1]对账明细接口!$K$654),"")</f>
      </c>
      <c r="L654" s="16">
        <f>IFERROR(IF([1]对账明细接口!$L$654=0,"",[1]对账明细接口!$L$654),"")</f>
      </c>
      <c r="M654" s="16">
        <f>IFERROR(IF([1]对账明细接口!$M$654=0,"",[1]对账明细接口!$M$654),"")</f>
      </c>
      <c r="N654" s="19">
        <f>IF($C654="",0,1)</f>
        <v>0</v>
      </c>
      <c r="O654" s="19">
        <f>N(O653)+$N654</f>
        <v>637</v>
      </c>
      <c r="S654" s="20">
        <f>IFERROR(IF([1]对账明细接口!$N654=0,"",[1]对账明细接口!$N654),"")</f>
      </c>
      <c r="T654" s="212">
        <f>IFERROR(IF([1]对账明细接口!$O654=0,"",[1]对账明细接口!$O654),"")</f>
      </c>
      <c r="U654" s="212">
        <f>IFERROR(IF([1]对账明细接口!$P654=0,"",[1]对账明细接口!$P654),"")</f>
      </c>
      <c r="V654" s="212">
        <f>IFERROR(IF([1]对账明细接口!$Q654=0,"",[1]对账明细接口!$Q654),"")</f>
      </c>
      <c r="W654" s="20">
        <f>IFERROR(IF([1]对账明细接口!$R654=0,"",[1]对账明细接口!$R654),"")</f>
      </c>
      <c r="X654" s="20">
        <f>IFERROR(IF([1]对账明细接口!$S654=0,"",[1]对账明细接口!$S654),"")</f>
      </c>
      <c r="Y654" s="20">
        <f>IFERROR(IF([1]对账明细接口!$T654=0,"",[1]对账明细接口!$T654),"")</f>
      </c>
      <c r="Z654" s="213">
        <f>IFERROR(IF([1]对账明细接口!$U654=0,"",[1]对账明细接口!$U654),"")</f>
      </c>
      <c r="AA654" s="213">
        <f>IFERROR(IF([1]对账明细接口!$V654=0,"",[1]对账明细接口!$V654),"")</f>
      </c>
      <c r="AB654" s="20">
        <f>IFERROR(IF([1]对账明细接口!$W654=0,"",[1]对账明细接口!$W654),"")</f>
      </c>
      <c r="AC654" s="7">
        <f>IFERROR(IF([1]对账明细接口!$X654=0,"",[1]对账明细接口!$X654),"")</f>
      </c>
      <c r="AD654" s="7">
        <f>IFERROR(IF([1]对账明细接口!$Y654=0,"",[1]对账明细接口!$Y654),"")</f>
      </c>
      <c r="AE654" s="7">
        <f>IFERROR(IF([1]对账明细接口!$AA654=0,"",[1]对账明细接口!$AA654),"")</f>
      </c>
      <c r="AF654" s="7">
        <f>IFERROR(IF([1]对账明细接口!$AB654=0,"",[1]对账明细接口!$AB654),"")</f>
      </c>
      <c r="AG654" s="7">
        <f>IFERROR(IF([1]对账明细接口!$AC654=0,"",[1]对账明细接口!$AC654),"")</f>
      </c>
      <c r="AH654" s="7">
        <f>IFERROR(IF([1]对账明细接口!$AD654=0,"",[1]对账明细接口!$AD654),"")</f>
      </c>
      <c r="AI654" s="7">
        <f>IFERROR(IF([1]对账明细接口!$AE654=0,"",[1]对账明细接口!$AE654),"")</f>
      </c>
      <c r="AJ654" s="7">
        <f>IFERROR(IF([1]对账明细接口!$AF654=0,"",[1]对账明细接口!$AF654),"")</f>
      </c>
    </row>
    <row r="655" ht="14.25" customHeight="1" s="127">
      <c r="A655" s="14" t="n">
        <v>655</v>
      </c>
      <c r="B655" s="211">
        <f>IFERROR(IF([1]对账明细接口!$B$655=0,"",[1]对账明细接口!$B$655),"")</f>
      </c>
      <c r="C655" s="16">
        <f>IFERROR(IF([1]对账明细接口!$C$655=0,"",[1]对账明细接口!$C$655),"")</f>
      </c>
      <c r="D655" s="16">
        <f>IFERROR(IF([1]对账明细接口!$D$655=0,"",[1]对账明细接口!$D$655),"")</f>
      </c>
      <c r="E655" s="16">
        <f>IFERROR(IF([1]对账明细接口!$E$655=0,"",[1]对账明细接口!$E$655),"")</f>
      </c>
      <c r="F655" s="16">
        <f>IFERROR(IF([1]对账明细接口!$F$655=0,"",[1]对账明细接口!$F$655),"")</f>
      </c>
      <c r="G655" s="16">
        <f>IFERROR(IF([1]对账明细接口!$G$655=0,"",[1]对账明细接口!$G$655),"")</f>
      </c>
      <c r="H655" s="176">
        <f>IFERROR(IF([1]对账明细接口!$H$655=0,"",[1]对账明细接口!$H$655),"")</f>
      </c>
      <c r="I655" s="16">
        <f>IFERROR(IF([1]对账明细接口!$I$655=0,"",[1]对账明细接口!$I$655),"")</f>
      </c>
      <c r="J655" s="177">
        <f>IFERROR(IF([1]对账明细接口!$J$655=0,"",[1]对账明细接口!$J$655),"")</f>
      </c>
      <c r="K655" s="177">
        <f>IFERROR(IF([1]对账明细接口!$K$655=0,"",[1]对账明细接口!$K$655),"")</f>
      </c>
      <c r="L655" s="16">
        <f>IFERROR(IF([1]对账明细接口!$L$655=0,"",[1]对账明细接口!$L$655),"")</f>
      </c>
      <c r="M655" s="16">
        <f>IFERROR(IF([1]对账明细接口!$M$655=0,"",[1]对账明细接口!$M$655),"")</f>
      </c>
      <c r="N655" s="19">
        <f>IF($C655="",0,1)</f>
        <v>0</v>
      </c>
      <c r="O655" s="19">
        <f>N(O654)+$N655</f>
        <v>637</v>
      </c>
      <c r="S655" s="20">
        <f>IFERROR(IF([1]对账明细接口!$N655=0,"",[1]对账明细接口!$N655),"")</f>
      </c>
      <c r="T655" s="212">
        <f>IFERROR(IF([1]对账明细接口!$O655=0,"",[1]对账明细接口!$O655),"")</f>
      </c>
      <c r="U655" s="212">
        <f>IFERROR(IF([1]对账明细接口!$P655=0,"",[1]对账明细接口!$P655),"")</f>
      </c>
      <c r="V655" s="212">
        <f>IFERROR(IF([1]对账明细接口!$Q655=0,"",[1]对账明细接口!$Q655),"")</f>
      </c>
      <c r="W655" s="20">
        <f>IFERROR(IF([1]对账明细接口!$R655=0,"",[1]对账明细接口!$R655),"")</f>
      </c>
      <c r="X655" s="20">
        <f>IFERROR(IF([1]对账明细接口!$S655=0,"",[1]对账明细接口!$S655),"")</f>
      </c>
      <c r="Y655" s="20">
        <f>IFERROR(IF([1]对账明细接口!$T655=0,"",[1]对账明细接口!$T655),"")</f>
      </c>
      <c r="Z655" s="213">
        <f>IFERROR(IF([1]对账明细接口!$U655=0,"",[1]对账明细接口!$U655),"")</f>
      </c>
      <c r="AA655" s="213">
        <f>IFERROR(IF([1]对账明细接口!$V655=0,"",[1]对账明细接口!$V655),"")</f>
      </c>
      <c r="AB655" s="20">
        <f>IFERROR(IF([1]对账明细接口!$W655=0,"",[1]对账明细接口!$W655),"")</f>
      </c>
      <c r="AC655" s="7">
        <f>IFERROR(IF([1]对账明细接口!$X655=0,"",[1]对账明细接口!$X655),"")</f>
      </c>
      <c r="AD655" s="7">
        <f>IFERROR(IF([1]对账明细接口!$Y655=0,"",[1]对账明细接口!$Y655),"")</f>
      </c>
      <c r="AE655" s="7">
        <f>IFERROR(IF([1]对账明细接口!$AA655=0,"",[1]对账明细接口!$AA655),"")</f>
      </c>
      <c r="AF655" s="7">
        <f>IFERROR(IF([1]对账明细接口!$AB655=0,"",[1]对账明细接口!$AB655),"")</f>
      </c>
      <c r="AG655" s="7">
        <f>IFERROR(IF([1]对账明细接口!$AC655=0,"",[1]对账明细接口!$AC655),"")</f>
      </c>
      <c r="AH655" s="7">
        <f>IFERROR(IF([1]对账明细接口!$AD655=0,"",[1]对账明细接口!$AD655),"")</f>
      </c>
      <c r="AI655" s="7">
        <f>IFERROR(IF([1]对账明细接口!$AE655=0,"",[1]对账明细接口!$AE655),"")</f>
      </c>
      <c r="AJ655" s="7">
        <f>IFERROR(IF([1]对账明细接口!$AF655=0,"",[1]对账明细接口!$AF655),"")</f>
      </c>
    </row>
    <row r="656" ht="14.25" customHeight="1" s="127">
      <c r="A656" s="14" t="n">
        <v>656</v>
      </c>
      <c r="B656" s="211">
        <f>IFERROR(IF([1]对账明细接口!$B$656=0,"",[1]对账明细接口!$B$656),"")</f>
      </c>
      <c r="C656" s="16">
        <f>IFERROR(IF([1]对账明细接口!$C$656=0,"",[1]对账明细接口!$C$656),"")</f>
      </c>
      <c r="D656" s="16">
        <f>IFERROR(IF([1]对账明细接口!$D$656=0,"",[1]对账明细接口!$D$656),"")</f>
      </c>
      <c r="E656" s="16">
        <f>IFERROR(IF([1]对账明细接口!$E$656=0,"",[1]对账明细接口!$E$656),"")</f>
      </c>
      <c r="F656" s="16">
        <f>IFERROR(IF([1]对账明细接口!$F$656=0,"",[1]对账明细接口!$F$656),"")</f>
      </c>
      <c r="G656" s="16">
        <f>IFERROR(IF([1]对账明细接口!$G$656=0,"",[1]对账明细接口!$G$656),"")</f>
      </c>
      <c r="H656" s="176">
        <f>IFERROR(IF([1]对账明细接口!$H$656=0,"",[1]对账明细接口!$H$656),"")</f>
      </c>
      <c r="I656" s="16">
        <f>IFERROR(IF([1]对账明细接口!$I$656=0,"",[1]对账明细接口!$I$656),"")</f>
      </c>
      <c r="J656" s="177">
        <f>IFERROR(IF([1]对账明细接口!$J$656=0,"",[1]对账明细接口!$J$656),"")</f>
      </c>
      <c r="K656" s="177">
        <f>IFERROR(IF([1]对账明细接口!$K$656=0,"",[1]对账明细接口!$K$656),"")</f>
      </c>
      <c r="L656" s="16">
        <f>IFERROR(IF([1]对账明细接口!$L$656=0,"",[1]对账明细接口!$L$656),"")</f>
      </c>
      <c r="M656" s="16">
        <f>IFERROR(IF([1]对账明细接口!$M$656=0,"",[1]对账明细接口!$M$656),"")</f>
      </c>
      <c r="N656" s="19">
        <f>IF($C656="",0,1)</f>
        <v>0</v>
      </c>
      <c r="O656" s="19">
        <f>N(O655)+$N656</f>
        <v>637</v>
      </c>
      <c r="S656" s="20">
        <f>IFERROR(IF([1]对账明细接口!$N656=0,"",[1]对账明细接口!$N656),"")</f>
      </c>
      <c r="T656" s="212">
        <f>IFERROR(IF([1]对账明细接口!$O656=0,"",[1]对账明细接口!$O656),"")</f>
      </c>
      <c r="U656" s="212">
        <f>IFERROR(IF([1]对账明细接口!$P656=0,"",[1]对账明细接口!$P656),"")</f>
      </c>
      <c r="V656" s="212">
        <f>IFERROR(IF([1]对账明细接口!$Q656=0,"",[1]对账明细接口!$Q656),"")</f>
      </c>
      <c r="W656" s="20">
        <f>IFERROR(IF([1]对账明细接口!$R656=0,"",[1]对账明细接口!$R656),"")</f>
      </c>
      <c r="X656" s="20">
        <f>IFERROR(IF([1]对账明细接口!$S656=0,"",[1]对账明细接口!$S656),"")</f>
      </c>
      <c r="Y656" s="20">
        <f>IFERROR(IF([1]对账明细接口!$T656=0,"",[1]对账明细接口!$T656),"")</f>
      </c>
      <c r="Z656" s="213">
        <f>IFERROR(IF([1]对账明细接口!$U656=0,"",[1]对账明细接口!$U656),"")</f>
      </c>
      <c r="AA656" s="213">
        <f>IFERROR(IF([1]对账明细接口!$V656=0,"",[1]对账明细接口!$V656),"")</f>
      </c>
      <c r="AB656" s="20">
        <f>IFERROR(IF([1]对账明细接口!$W656=0,"",[1]对账明细接口!$W656),"")</f>
      </c>
      <c r="AC656" s="7">
        <f>IFERROR(IF([1]对账明细接口!$X656=0,"",[1]对账明细接口!$X656),"")</f>
      </c>
      <c r="AD656" s="7">
        <f>IFERROR(IF([1]对账明细接口!$Y656=0,"",[1]对账明细接口!$Y656),"")</f>
      </c>
      <c r="AE656" s="7">
        <f>IFERROR(IF([1]对账明细接口!$AA656=0,"",[1]对账明细接口!$AA656),"")</f>
      </c>
      <c r="AF656" s="7">
        <f>IFERROR(IF([1]对账明细接口!$AB656=0,"",[1]对账明细接口!$AB656),"")</f>
      </c>
      <c r="AG656" s="7">
        <f>IFERROR(IF([1]对账明细接口!$AC656=0,"",[1]对账明细接口!$AC656),"")</f>
      </c>
      <c r="AH656" s="7">
        <f>IFERROR(IF([1]对账明细接口!$AD656=0,"",[1]对账明细接口!$AD656),"")</f>
      </c>
      <c r="AI656" s="7">
        <f>IFERROR(IF([1]对账明细接口!$AE656=0,"",[1]对账明细接口!$AE656),"")</f>
      </c>
      <c r="AJ656" s="7">
        <f>IFERROR(IF([1]对账明细接口!$AF656=0,"",[1]对账明细接口!$AF656),"")</f>
      </c>
    </row>
    <row r="657" ht="14.25" customHeight="1" s="127">
      <c r="A657" s="14" t="n">
        <v>657</v>
      </c>
      <c r="B657" s="211">
        <f>IFERROR(IF([1]对账明细接口!$B$657=0,"",[1]对账明细接口!$B$657),"")</f>
      </c>
      <c r="C657" s="16">
        <f>IFERROR(IF([1]对账明细接口!$C$657=0,"",[1]对账明细接口!$C$657),"")</f>
      </c>
      <c r="D657" s="16">
        <f>IFERROR(IF([1]对账明细接口!$D$657=0,"",[1]对账明细接口!$D$657),"")</f>
      </c>
      <c r="E657" s="16">
        <f>IFERROR(IF([1]对账明细接口!$E$657=0,"",[1]对账明细接口!$E$657),"")</f>
      </c>
      <c r="F657" s="16">
        <f>IFERROR(IF([1]对账明细接口!$F$657=0,"",[1]对账明细接口!$F$657),"")</f>
      </c>
      <c r="G657" s="16">
        <f>IFERROR(IF([1]对账明细接口!$G$657=0,"",[1]对账明细接口!$G$657),"")</f>
      </c>
      <c r="H657" s="176">
        <f>IFERROR(IF([1]对账明细接口!$H$657=0,"",[1]对账明细接口!$H$657),"")</f>
      </c>
      <c r="I657" s="16">
        <f>IFERROR(IF([1]对账明细接口!$I$657=0,"",[1]对账明细接口!$I$657),"")</f>
      </c>
      <c r="J657" s="177">
        <f>IFERROR(IF([1]对账明细接口!$J$657=0,"",[1]对账明细接口!$J$657),"")</f>
      </c>
      <c r="K657" s="177">
        <f>IFERROR(IF([1]对账明细接口!$K$657=0,"",[1]对账明细接口!$K$657),"")</f>
      </c>
      <c r="L657" s="16">
        <f>IFERROR(IF([1]对账明细接口!$L$657=0,"",[1]对账明细接口!$L$657),"")</f>
      </c>
      <c r="M657" s="16">
        <f>IFERROR(IF([1]对账明细接口!$M$657=0,"",[1]对账明细接口!$M$657),"")</f>
      </c>
      <c r="N657" s="19">
        <f>IF($C657="",0,1)</f>
        <v>0</v>
      </c>
      <c r="O657" s="19">
        <f>N(O656)+$N657</f>
        <v>637</v>
      </c>
      <c r="S657" s="20">
        <f>IFERROR(IF([1]对账明细接口!$N657=0,"",[1]对账明细接口!$N657),"")</f>
      </c>
      <c r="T657" s="212">
        <f>IFERROR(IF([1]对账明细接口!$O657=0,"",[1]对账明细接口!$O657),"")</f>
      </c>
      <c r="U657" s="212">
        <f>IFERROR(IF([1]对账明细接口!$P657=0,"",[1]对账明细接口!$P657),"")</f>
      </c>
      <c r="V657" s="212">
        <f>IFERROR(IF([1]对账明细接口!$Q657=0,"",[1]对账明细接口!$Q657),"")</f>
      </c>
      <c r="W657" s="20">
        <f>IFERROR(IF([1]对账明细接口!$R657=0,"",[1]对账明细接口!$R657),"")</f>
      </c>
      <c r="X657" s="20">
        <f>IFERROR(IF([1]对账明细接口!$S657=0,"",[1]对账明细接口!$S657),"")</f>
      </c>
      <c r="Y657" s="20">
        <f>IFERROR(IF([1]对账明细接口!$T657=0,"",[1]对账明细接口!$T657),"")</f>
      </c>
      <c r="Z657" s="213">
        <f>IFERROR(IF([1]对账明细接口!$U657=0,"",[1]对账明细接口!$U657),"")</f>
      </c>
      <c r="AA657" s="213">
        <f>IFERROR(IF([1]对账明细接口!$V657=0,"",[1]对账明细接口!$V657),"")</f>
      </c>
      <c r="AB657" s="20">
        <f>IFERROR(IF([1]对账明细接口!$W657=0,"",[1]对账明细接口!$W657),"")</f>
      </c>
      <c r="AC657" s="7">
        <f>IFERROR(IF([1]对账明细接口!$X657=0,"",[1]对账明细接口!$X657),"")</f>
      </c>
      <c r="AD657" s="7">
        <f>IFERROR(IF([1]对账明细接口!$Y657=0,"",[1]对账明细接口!$Y657),"")</f>
      </c>
      <c r="AE657" s="7">
        <f>IFERROR(IF([1]对账明细接口!$AA657=0,"",[1]对账明细接口!$AA657),"")</f>
      </c>
      <c r="AF657" s="7">
        <f>IFERROR(IF([1]对账明细接口!$AB657=0,"",[1]对账明细接口!$AB657),"")</f>
      </c>
      <c r="AG657" s="7">
        <f>IFERROR(IF([1]对账明细接口!$AC657=0,"",[1]对账明细接口!$AC657),"")</f>
      </c>
      <c r="AH657" s="7">
        <f>IFERROR(IF([1]对账明细接口!$AD657=0,"",[1]对账明细接口!$AD657),"")</f>
      </c>
      <c r="AI657" s="7">
        <f>IFERROR(IF([1]对账明细接口!$AE657=0,"",[1]对账明细接口!$AE657),"")</f>
      </c>
      <c r="AJ657" s="7">
        <f>IFERROR(IF([1]对账明细接口!$AF657=0,"",[1]对账明细接口!$AF657),"")</f>
      </c>
    </row>
    <row r="658" ht="14.25" customHeight="1" s="127">
      <c r="A658" s="14" t="n">
        <v>658</v>
      </c>
      <c r="B658" s="211">
        <f>IFERROR(IF([1]对账明细接口!$B$658=0,"",[1]对账明细接口!$B$658),"")</f>
      </c>
      <c r="C658" s="16">
        <f>IFERROR(IF([1]对账明细接口!$C$658=0,"",[1]对账明细接口!$C$658),"")</f>
      </c>
      <c r="D658" s="16">
        <f>IFERROR(IF([1]对账明细接口!$D$658=0,"",[1]对账明细接口!$D$658),"")</f>
      </c>
      <c r="E658" s="16">
        <f>IFERROR(IF([1]对账明细接口!$E$658=0,"",[1]对账明细接口!$E$658),"")</f>
      </c>
      <c r="F658" s="16">
        <f>IFERROR(IF([1]对账明细接口!$F$658=0,"",[1]对账明细接口!$F$658),"")</f>
      </c>
      <c r="G658" s="16">
        <f>IFERROR(IF([1]对账明细接口!$G$658=0,"",[1]对账明细接口!$G$658),"")</f>
      </c>
      <c r="H658" s="176">
        <f>IFERROR(IF([1]对账明细接口!$H$658=0,"",[1]对账明细接口!$H$658),"")</f>
      </c>
      <c r="I658" s="16">
        <f>IFERROR(IF([1]对账明细接口!$I$658=0,"",[1]对账明细接口!$I$658),"")</f>
      </c>
      <c r="J658" s="177">
        <f>IFERROR(IF([1]对账明细接口!$J$658=0,"",[1]对账明细接口!$J$658),"")</f>
      </c>
      <c r="K658" s="177">
        <f>IFERROR(IF([1]对账明细接口!$K$658=0,"",[1]对账明细接口!$K$658),"")</f>
      </c>
      <c r="L658" s="16">
        <f>IFERROR(IF([1]对账明细接口!$L$658=0,"",[1]对账明细接口!$L$658),"")</f>
      </c>
      <c r="M658" s="16">
        <f>IFERROR(IF([1]对账明细接口!$M$658=0,"",[1]对账明细接口!$M$658),"")</f>
      </c>
      <c r="N658" s="19">
        <f>IF($C658="",0,1)</f>
        <v>0</v>
      </c>
      <c r="O658" s="19">
        <f>N(O657)+$N658</f>
        <v>637</v>
      </c>
      <c r="S658" s="20">
        <f>IFERROR(IF([1]对账明细接口!$N658=0,"",[1]对账明细接口!$N658),"")</f>
      </c>
      <c r="T658" s="212">
        <f>IFERROR(IF([1]对账明细接口!$O658=0,"",[1]对账明细接口!$O658),"")</f>
      </c>
      <c r="U658" s="212">
        <f>IFERROR(IF([1]对账明细接口!$P658=0,"",[1]对账明细接口!$P658),"")</f>
      </c>
      <c r="V658" s="212">
        <f>IFERROR(IF([1]对账明细接口!$Q658=0,"",[1]对账明细接口!$Q658),"")</f>
      </c>
      <c r="W658" s="20">
        <f>IFERROR(IF([1]对账明细接口!$R658=0,"",[1]对账明细接口!$R658),"")</f>
      </c>
      <c r="X658" s="20">
        <f>IFERROR(IF([1]对账明细接口!$S658=0,"",[1]对账明细接口!$S658),"")</f>
      </c>
      <c r="Y658" s="20">
        <f>IFERROR(IF([1]对账明细接口!$T658=0,"",[1]对账明细接口!$T658),"")</f>
      </c>
      <c r="Z658" s="213">
        <f>IFERROR(IF([1]对账明细接口!$U658=0,"",[1]对账明细接口!$U658),"")</f>
      </c>
      <c r="AA658" s="213">
        <f>IFERROR(IF([1]对账明细接口!$V658=0,"",[1]对账明细接口!$V658),"")</f>
      </c>
      <c r="AB658" s="20">
        <f>IFERROR(IF([1]对账明细接口!$W658=0,"",[1]对账明细接口!$W658),"")</f>
      </c>
      <c r="AC658" s="7">
        <f>IFERROR(IF([1]对账明细接口!$X658=0,"",[1]对账明细接口!$X658),"")</f>
      </c>
      <c r="AD658" s="7">
        <f>IFERROR(IF([1]对账明细接口!$Y658=0,"",[1]对账明细接口!$Y658),"")</f>
      </c>
      <c r="AE658" s="7">
        <f>IFERROR(IF([1]对账明细接口!$AA658=0,"",[1]对账明细接口!$AA658),"")</f>
      </c>
      <c r="AF658" s="7">
        <f>IFERROR(IF([1]对账明细接口!$AB658=0,"",[1]对账明细接口!$AB658),"")</f>
      </c>
      <c r="AG658" s="7">
        <f>IFERROR(IF([1]对账明细接口!$AC658=0,"",[1]对账明细接口!$AC658),"")</f>
      </c>
      <c r="AH658" s="7">
        <f>IFERROR(IF([1]对账明细接口!$AD658=0,"",[1]对账明细接口!$AD658),"")</f>
      </c>
      <c r="AI658" s="7">
        <f>IFERROR(IF([1]对账明细接口!$AE658=0,"",[1]对账明细接口!$AE658),"")</f>
      </c>
      <c r="AJ658" s="7">
        <f>IFERROR(IF([1]对账明细接口!$AF658=0,"",[1]对账明细接口!$AF658),"")</f>
      </c>
    </row>
    <row r="659" ht="14.25" customHeight="1" s="127">
      <c r="A659" s="14" t="n">
        <v>659</v>
      </c>
      <c r="B659" s="211">
        <f>IFERROR(IF([1]对账明细接口!$B$659=0,"",[1]对账明细接口!$B$659),"")</f>
      </c>
      <c r="C659" s="16">
        <f>IFERROR(IF([1]对账明细接口!$C$659=0,"",[1]对账明细接口!$C$659),"")</f>
      </c>
      <c r="D659" s="16">
        <f>IFERROR(IF([1]对账明细接口!$D$659=0,"",[1]对账明细接口!$D$659),"")</f>
      </c>
      <c r="E659" s="16">
        <f>IFERROR(IF([1]对账明细接口!$E$659=0,"",[1]对账明细接口!$E$659),"")</f>
      </c>
      <c r="F659" s="16">
        <f>IFERROR(IF([1]对账明细接口!$F$659=0,"",[1]对账明细接口!$F$659),"")</f>
      </c>
      <c r="G659" s="16">
        <f>IFERROR(IF([1]对账明细接口!$G$659=0,"",[1]对账明细接口!$G$659),"")</f>
      </c>
      <c r="H659" s="176">
        <f>IFERROR(IF([1]对账明细接口!$H$659=0,"",[1]对账明细接口!$H$659),"")</f>
      </c>
      <c r="I659" s="16">
        <f>IFERROR(IF([1]对账明细接口!$I$659=0,"",[1]对账明细接口!$I$659),"")</f>
      </c>
      <c r="J659" s="177">
        <f>IFERROR(IF([1]对账明细接口!$J$659=0,"",[1]对账明细接口!$J$659),"")</f>
      </c>
      <c r="K659" s="177">
        <f>IFERROR(IF([1]对账明细接口!$K$659=0,"",[1]对账明细接口!$K$659),"")</f>
      </c>
      <c r="L659" s="16">
        <f>IFERROR(IF([1]对账明细接口!$L$659=0,"",[1]对账明细接口!$L$659),"")</f>
      </c>
      <c r="M659" s="16">
        <f>IFERROR(IF([1]对账明细接口!$M$659=0,"",[1]对账明细接口!$M$659),"")</f>
      </c>
      <c r="N659" s="19">
        <f>IF($C659="",0,1)</f>
        <v>0</v>
      </c>
      <c r="O659" s="19">
        <f>N(O658)+$N659</f>
        <v>637</v>
      </c>
      <c r="S659" s="20">
        <f>IFERROR(IF([1]对账明细接口!$N659=0,"",[1]对账明细接口!$N659),"")</f>
      </c>
      <c r="T659" s="212">
        <f>IFERROR(IF([1]对账明细接口!$O659=0,"",[1]对账明细接口!$O659),"")</f>
      </c>
      <c r="U659" s="212">
        <f>IFERROR(IF([1]对账明细接口!$P659=0,"",[1]对账明细接口!$P659),"")</f>
      </c>
      <c r="V659" s="212">
        <f>IFERROR(IF([1]对账明细接口!$Q659=0,"",[1]对账明细接口!$Q659),"")</f>
      </c>
      <c r="W659" s="20">
        <f>IFERROR(IF([1]对账明细接口!$R659=0,"",[1]对账明细接口!$R659),"")</f>
      </c>
      <c r="X659" s="20">
        <f>IFERROR(IF([1]对账明细接口!$S659=0,"",[1]对账明细接口!$S659),"")</f>
      </c>
      <c r="Y659" s="20">
        <f>IFERROR(IF([1]对账明细接口!$T659=0,"",[1]对账明细接口!$T659),"")</f>
      </c>
      <c r="Z659" s="213">
        <f>IFERROR(IF([1]对账明细接口!$U659=0,"",[1]对账明细接口!$U659),"")</f>
      </c>
      <c r="AA659" s="213">
        <f>IFERROR(IF([1]对账明细接口!$V659=0,"",[1]对账明细接口!$V659),"")</f>
      </c>
      <c r="AB659" s="20">
        <f>IFERROR(IF([1]对账明细接口!$W659=0,"",[1]对账明细接口!$W659),"")</f>
      </c>
      <c r="AC659" s="7">
        <f>IFERROR(IF([1]对账明细接口!$X659=0,"",[1]对账明细接口!$X659),"")</f>
      </c>
      <c r="AD659" s="7">
        <f>IFERROR(IF([1]对账明细接口!$Y659=0,"",[1]对账明细接口!$Y659),"")</f>
      </c>
      <c r="AE659" s="7">
        <f>IFERROR(IF([1]对账明细接口!$AA659=0,"",[1]对账明细接口!$AA659),"")</f>
      </c>
      <c r="AF659" s="7">
        <f>IFERROR(IF([1]对账明细接口!$AB659=0,"",[1]对账明细接口!$AB659),"")</f>
      </c>
      <c r="AG659" s="7">
        <f>IFERROR(IF([1]对账明细接口!$AC659=0,"",[1]对账明细接口!$AC659),"")</f>
      </c>
      <c r="AH659" s="7">
        <f>IFERROR(IF([1]对账明细接口!$AD659=0,"",[1]对账明细接口!$AD659),"")</f>
      </c>
      <c r="AI659" s="7">
        <f>IFERROR(IF([1]对账明细接口!$AE659=0,"",[1]对账明细接口!$AE659),"")</f>
      </c>
      <c r="AJ659" s="7">
        <f>IFERROR(IF([1]对账明细接口!$AF659=0,"",[1]对账明细接口!$AF659),"")</f>
      </c>
    </row>
    <row r="660" ht="14.25" customHeight="1" s="127">
      <c r="A660" s="14" t="n">
        <v>660</v>
      </c>
      <c r="B660" s="211">
        <f>IFERROR(IF([1]对账明细接口!$B$660=0,"",[1]对账明细接口!$B$660),"")</f>
      </c>
      <c r="C660" s="16">
        <f>IFERROR(IF([1]对账明细接口!$C$660=0,"",[1]对账明细接口!$C$660),"")</f>
      </c>
      <c r="D660" s="16">
        <f>IFERROR(IF([1]对账明细接口!$D$660=0,"",[1]对账明细接口!$D$660),"")</f>
      </c>
      <c r="E660" s="16">
        <f>IFERROR(IF([1]对账明细接口!$E$660=0,"",[1]对账明细接口!$E$660),"")</f>
      </c>
      <c r="F660" s="16">
        <f>IFERROR(IF([1]对账明细接口!$F$660=0,"",[1]对账明细接口!$F$660),"")</f>
      </c>
      <c r="G660" s="16">
        <f>IFERROR(IF([1]对账明细接口!$G$660=0,"",[1]对账明细接口!$G$660),"")</f>
      </c>
      <c r="H660" s="176">
        <f>IFERROR(IF([1]对账明细接口!$H$660=0,"",[1]对账明细接口!$H$660),"")</f>
      </c>
      <c r="I660" s="16">
        <f>IFERROR(IF([1]对账明细接口!$I$660=0,"",[1]对账明细接口!$I$660),"")</f>
      </c>
      <c r="J660" s="177">
        <f>IFERROR(IF([1]对账明细接口!$J$660=0,"",[1]对账明细接口!$J$660),"")</f>
      </c>
      <c r="K660" s="177">
        <f>IFERROR(IF([1]对账明细接口!$K$660=0,"",[1]对账明细接口!$K$660),"")</f>
      </c>
      <c r="L660" s="16">
        <f>IFERROR(IF([1]对账明细接口!$L$660=0,"",[1]对账明细接口!$L$660),"")</f>
      </c>
      <c r="M660" s="16">
        <f>IFERROR(IF([1]对账明细接口!$M$660=0,"",[1]对账明细接口!$M$660),"")</f>
      </c>
      <c r="N660" s="19">
        <f>IF($C660="",0,1)</f>
        <v>0</v>
      </c>
      <c r="O660" s="19">
        <f>N(O659)+$N660</f>
        <v>637</v>
      </c>
      <c r="S660" s="20">
        <f>IFERROR(IF([1]对账明细接口!$N660=0,"",[1]对账明细接口!$N660),"")</f>
      </c>
      <c r="T660" s="212">
        <f>IFERROR(IF([1]对账明细接口!$O660=0,"",[1]对账明细接口!$O660),"")</f>
      </c>
      <c r="U660" s="212">
        <f>IFERROR(IF([1]对账明细接口!$P660=0,"",[1]对账明细接口!$P660),"")</f>
      </c>
      <c r="V660" s="212">
        <f>IFERROR(IF([1]对账明细接口!$Q660=0,"",[1]对账明细接口!$Q660),"")</f>
      </c>
      <c r="W660" s="20">
        <f>IFERROR(IF([1]对账明细接口!$R660=0,"",[1]对账明细接口!$R660),"")</f>
      </c>
      <c r="X660" s="20">
        <f>IFERROR(IF([1]对账明细接口!$S660=0,"",[1]对账明细接口!$S660),"")</f>
      </c>
      <c r="Y660" s="20">
        <f>IFERROR(IF([1]对账明细接口!$T660=0,"",[1]对账明细接口!$T660),"")</f>
      </c>
      <c r="Z660" s="213">
        <f>IFERROR(IF([1]对账明细接口!$U660=0,"",[1]对账明细接口!$U660),"")</f>
      </c>
      <c r="AA660" s="213">
        <f>IFERROR(IF([1]对账明细接口!$V660=0,"",[1]对账明细接口!$V660),"")</f>
      </c>
      <c r="AB660" s="20">
        <f>IFERROR(IF([1]对账明细接口!$W660=0,"",[1]对账明细接口!$W660),"")</f>
      </c>
      <c r="AC660" s="7">
        <f>IFERROR(IF([1]对账明细接口!$X660=0,"",[1]对账明细接口!$X660),"")</f>
      </c>
      <c r="AD660" s="7">
        <f>IFERROR(IF([1]对账明细接口!$Y660=0,"",[1]对账明细接口!$Y660),"")</f>
      </c>
      <c r="AE660" s="7">
        <f>IFERROR(IF([1]对账明细接口!$AA660=0,"",[1]对账明细接口!$AA660),"")</f>
      </c>
      <c r="AF660" s="7">
        <f>IFERROR(IF([1]对账明细接口!$AB660=0,"",[1]对账明细接口!$AB660),"")</f>
      </c>
      <c r="AG660" s="7">
        <f>IFERROR(IF([1]对账明细接口!$AC660=0,"",[1]对账明细接口!$AC660),"")</f>
      </c>
      <c r="AH660" s="7">
        <f>IFERROR(IF([1]对账明细接口!$AD660=0,"",[1]对账明细接口!$AD660),"")</f>
      </c>
      <c r="AI660" s="7">
        <f>IFERROR(IF([1]对账明细接口!$AE660=0,"",[1]对账明细接口!$AE660),"")</f>
      </c>
      <c r="AJ660" s="7">
        <f>IFERROR(IF([1]对账明细接口!$AF660=0,"",[1]对账明细接口!$AF660),"")</f>
      </c>
    </row>
    <row r="661" ht="14.25" customHeight="1" s="127">
      <c r="A661" s="14" t="n">
        <v>661</v>
      </c>
      <c r="B661" s="211">
        <f>IFERROR(IF([1]对账明细接口!$B$661=0,"",[1]对账明细接口!$B$661),"")</f>
      </c>
      <c r="C661" s="16">
        <f>IFERROR(IF([1]对账明细接口!$C$661=0,"",[1]对账明细接口!$C$661),"")</f>
      </c>
      <c r="D661" s="16">
        <f>IFERROR(IF([1]对账明细接口!$D$661=0,"",[1]对账明细接口!$D$661),"")</f>
      </c>
      <c r="E661" s="16">
        <f>IFERROR(IF([1]对账明细接口!$E$661=0,"",[1]对账明细接口!$E$661),"")</f>
      </c>
      <c r="F661" s="16">
        <f>IFERROR(IF([1]对账明细接口!$F$661=0,"",[1]对账明细接口!$F$661),"")</f>
      </c>
      <c r="G661" s="16">
        <f>IFERROR(IF([1]对账明细接口!$G$661=0,"",[1]对账明细接口!$G$661),"")</f>
      </c>
      <c r="H661" s="176">
        <f>IFERROR(IF([1]对账明细接口!$H$661=0,"",[1]对账明细接口!$H$661),"")</f>
      </c>
      <c r="I661" s="16">
        <f>IFERROR(IF([1]对账明细接口!$I$661=0,"",[1]对账明细接口!$I$661),"")</f>
      </c>
      <c r="J661" s="177">
        <f>IFERROR(IF([1]对账明细接口!$J$661=0,"",[1]对账明细接口!$J$661),"")</f>
      </c>
      <c r="K661" s="177">
        <f>IFERROR(IF([1]对账明细接口!$K$661=0,"",[1]对账明细接口!$K$661),"")</f>
      </c>
      <c r="L661" s="16">
        <f>IFERROR(IF([1]对账明细接口!$L$661=0,"",[1]对账明细接口!$L$661),"")</f>
      </c>
      <c r="M661" s="16">
        <f>IFERROR(IF([1]对账明细接口!$M$661=0,"",[1]对账明细接口!$M$661),"")</f>
      </c>
      <c r="N661" s="19">
        <f>IF($C661="",0,1)</f>
        <v>0</v>
      </c>
      <c r="O661" s="19">
        <f>N(O660)+$N661</f>
        <v>637</v>
      </c>
      <c r="S661" s="20">
        <f>IFERROR(IF([1]对账明细接口!$N661=0,"",[1]对账明细接口!$N661),"")</f>
      </c>
      <c r="T661" s="212">
        <f>IFERROR(IF([1]对账明细接口!$O661=0,"",[1]对账明细接口!$O661),"")</f>
      </c>
      <c r="U661" s="212">
        <f>IFERROR(IF([1]对账明细接口!$P661=0,"",[1]对账明细接口!$P661),"")</f>
      </c>
      <c r="V661" s="212">
        <f>IFERROR(IF([1]对账明细接口!$Q661=0,"",[1]对账明细接口!$Q661),"")</f>
      </c>
      <c r="W661" s="20">
        <f>IFERROR(IF([1]对账明细接口!$R661=0,"",[1]对账明细接口!$R661),"")</f>
      </c>
      <c r="X661" s="20">
        <f>IFERROR(IF([1]对账明细接口!$S661=0,"",[1]对账明细接口!$S661),"")</f>
      </c>
      <c r="Y661" s="20">
        <f>IFERROR(IF([1]对账明细接口!$T661=0,"",[1]对账明细接口!$T661),"")</f>
      </c>
      <c r="Z661" s="213">
        <f>IFERROR(IF([1]对账明细接口!$U661=0,"",[1]对账明细接口!$U661),"")</f>
      </c>
      <c r="AA661" s="213">
        <f>IFERROR(IF([1]对账明细接口!$V661=0,"",[1]对账明细接口!$V661),"")</f>
      </c>
      <c r="AB661" s="20">
        <f>IFERROR(IF([1]对账明细接口!$W661=0,"",[1]对账明细接口!$W661),"")</f>
      </c>
      <c r="AC661" s="7">
        <f>IFERROR(IF([1]对账明细接口!$X661=0,"",[1]对账明细接口!$X661),"")</f>
      </c>
      <c r="AD661" s="7">
        <f>IFERROR(IF([1]对账明细接口!$Y661=0,"",[1]对账明细接口!$Y661),"")</f>
      </c>
      <c r="AE661" s="7">
        <f>IFERROR(IF([1]对账明细接口!$AA661=0,"",[1]对账明细接口!$AA661),"")</f>
      </c>
      <c r="AF661" s="7">
        <f>IFERROR(IF([1]对账明细接口!$AB661=0,"",[1]对账明细接口!$AB661),"")</f>
      </c>
      <c r="AG661" s="7">
        <f>IFERROR(IF([1]对账明细接口!$AC661=0,"",[1]对账明细接口!$AC661),"")</f>
      </c>
      <c r="AH661" s="7">
        <f>IFERROR(IF([1]对账明细接口!$AD661=0,"",[1]对账明细接口!$AD661),"")</f>
      </c>
      <c r="AI661" s="7">
        <f>IFERROR(IF([1]对账明细接口!$AE661=0,"",[1]对账明细接口!$AE661),"")</f>
      </c>
      <c r="AJ661" s="7">
        <f>IFERROR(IF([1]对账明细接口!$AF661=0,"",[1]对账明细接口!$AF661),"")</f>
      </c>
    </row>
    <row r="662" ht="14.25" customHeight="1" s="127">
      <c r="A662" s="14" t="n">
        <v>662</v>
      </c>
      <c r="B662" s="211">
        <f>IFERROR(IF([1]对账明细接口!$B$662=0,"",[1]对账明细接口!$B$662),"")</f>
      </c>
      <c r="C662" s="16">
        <f>IFERROR(IF([1]对账明细接口!$C$662=0,"",[1]对账明细接口!$C$662),"")</f>
      </c>
      <c r="D662" s="16">
        <f>IFERROR(IF([1]对账明细接口!$D$662=0,"",[1]对账明细接口!$D$662),"")</f>
      </c>
      <c r="E662" s="16">
        <f>IFERROR(IF([1]对账明细接口!$E$662=0,"",[1]对账明细接口!$E$662),"")</f>
      </c>
      <c r="F662" s="16">
        <f>IFERROR(IF([1]对账明细接口!$F$662=0,"",[1]对账明细接口!$F$662),"")</f>
      </c>
      <c r="G662" s="16">
        <f>IFERROR(IF([1]对账明细接口!$G$662=0,"",[1]对账明细接口!$G$662),"")</f>
      </c>
      <c r="H662" s="176">
        <f>IFERROR(IF([1]对账明细接口!$H$662=0,"",[1]对账明细接口!$H$662),"")</f>
      </c>
      <c r="I662" s="16">
        <f>IFERROR(IF([1]对账明细接口!$I$662=0,"",[1]对账明细接口!$I$662),"")</f>
      </c>
      <c r="J662" s="177">
        <f>IFERROR(IF([1]对账明细接口!$J$662=0,"",[1]对账明细接口!$J$662),"")</f>
      </c>
      <c r="K662" s="177">
        <f>IFERROR(IF([1]对账明细接口!$K$662=0,"",[1]对账明细接口!$K$662),"")</f>
      </c>
      <c r="L662" s="16">
        <f>IFERROR(IF([1]对账明细接口!$L$662=0,"",[1]对账明细接口!$L$662),"")</f>
      </c>
      <c r="M662" s="16">
        <f>IFERROR(IF([1]对账明细接口!$M$662=0,"",[1]对账明细接口!$M$662),"")</f>
      </c>
      <c r="N662" s="19">
        <f>IF($C662="",0,1)</f>
        <v>0</v>
      </c>
      <c r="O662" s="19">
        <f>N(O661)+$N662</f>
        <v>637</v>
      </c>
      <c r="S662" s="20">
        <f>IFERROR(IF([1]对账明细接口!$N662=0,"",[1]对账明细接口!$N662),"")</f>
      </c>
      <c r="T662" s="212">
        <f>IFERROR(IF([1]对账明细接口!$O662=0,"",[1]对账明细接口!$O662),"")</f>
      </c>
      <c r="U662" s="212">
        <f>IFERROR(IF([1]对账明细接口!$P662=0,"",[1]对账明细接口!$P662),"")</f>
      </c>
      <c r="V662" s="212">
        <f>IFERROR(IF([1]对账明细接口!$Q662=0,"",[1]对账明细接口!$Q662),"")</f>
      </c>
      <c r="W662" s="20">
        <f>IFERROR(IF([1]对账明细接口!$R662=0,"",[1]对账明细接口!$R662),"")</f>
      </c>
      <c r="X662" s="20">
        <f>IFERROR(IF([1]对账明细接口!$S662=0,"",[1]对账明细接口!$S662),"")</f>
      </c>
      <c r="Y662" s="20">
        <f>IFERROR(IF([1]对账明细接口!$T662=0,"",[1]对账明细接口!$T662),"")</f>
      </c>
      <c r="Z662" s="213">
        <f>IFERROR(IF([1]对账明细接口!$U662=0,"",[1]对账明细接口!$U662),"")</f>
      </c>
      <c r="AA662" s="213">
        <f>IFERROR(IF([1]对账明细接口!$V662=0,"",[1]对账明细接口!$V662),"")</f>
      </c>
      <c r="AB662" s="20">
        <f>IFERROR(IF([1]对账明细接口!$W662=0,"",[1]对账明细接口!$W662),"")</f>
      </c>
      <c r="AC662" s="7">
        <f>IFERROR(IF([1]对账明细接口!$X662=0,"",[1]对账明细接口!$X662),"")</f>
      </c>
      <c r="AD662" s="7">
        <f>IFERROR(IF([1]对账明细接口!$Y662=0,"",[1]对账明细接口!$Y662),"")</f>
      </c>
      <c r="AE662" s="7">
        <f>IFERROR(IF([1]对账明细接口!$AA662=0,"",[1]对账明细接口!$AA662),"")</f>
      </c>
      <c r="AF662" s="7">
        <f>IFERROR(IF([1]对账明细接口!$AB662=0,"",[1]对账明细接口!$AB662),"")</f>
      </c>
      <c r="AG662" s="7">
        <f>IFERROR(IF([1]对账明细接口!$AC662=0,"",[1]对账明细接口!$AC662),"")</f>
      </c>
      <c r="AH662" s="7">
        <f>IFERROR(IF([1]对账明细接口!$AD662=0,"",[1]对账明细接口!$AD662),"")</f>
      </c>
      <c r="AI662" s="7">
        <f>IFERROR(IF([1]对账明细接口!$AE662=0,"",[1]对账明细接口!$AE662),"")</f>
      </c>
      <c r="AJ662" s="7">
        <f>IFERROR(IF([1]对账明细接口!$AF662=0,"",[1]对账明细接口!$AF662),"")</f>
      </c>
    </row>
    <row r="663" ht="14.25" customHeight="1" s="127">
      <c r="A663" s="14" t="n">
        <v>663</v>
      </c>
      <c r="B663" s="211">
        <f>IFERROR(IF([1]对账明细接口!$B$663=0,"",[1]对账明细接口!$B$663),"")</f>
      </c>
      <c r="C663" s="16">
        <f>IFERROR(IF([1]对账明细接口!$C$663=0,"",[1]对账明细接口!$C$663),"")</f>
      </c>
      <c r="D663" s="16">
        <f>IFERROR(IF([1]对账明细接口!$D$663=0,"",[1]对账明细接口!$D$663),"")</f>
      </c>
      <c r="E663" s="16">
        <f>IFERROR(IF([1]对账明细接口!$E$663=0,"",[1]对账明细接口!$E$663),"")</f>
      </c>
      <c r="F663" s="16">
        <f>IFERROR(IF([1]对账明细接口!$F$663=0,"",[1]对账明细接口!$F$663),"")</f>
      </c>
      <c r="G663" s="16">
        <f>IFERROR(IF([1]对账明细接口!$G$663=0,"",[1]对账明细接口!$G$663),"")</f>
      </c>
      <c r="H663" s="176">
        <f>IFERROR(IF([1]对账明细接口!$H$663=0,"",[1]对账明细接口!$H$663),"")</f>
      </c>
      <c r="I663" s="16">
        <f>IFERROR(IF([1]对账明细接口!$I$663=0,"",[1]对账明细接口!$I$663),"")</f>
      </c>
      <c r="J663" s="177">
        <f>IFERROR(IF([1]对账明细接口!$J$663=0,"",[1]对账明细接口!$J$663),"")</f>
      </c>
      <c r="K663" s="177">
        <f>IFERROR(IF([1]对账明细接口!$K$663=0,"",[1]对账明细接口!$K$663),"")</f>
      </c>
      <c r="L663" s="16">
        <f>IFERROR(IF([1]对账明细接口!$L$663=0,"",[1]对账明细接口!$L$663),"")</f>
      </c>
      <c r="M663" s="16">
        <f>IFERROR(IF([1]对账明细接口!$M$663=0,"",[1]对账明细接口!$M$663),"")</f>
      </c>
      <c r="N663" s="19">
        <f>IF($C663="",0,1)</f>
        <v>0</v>
      </c>
      <c r="O663" s="19">
        <f>N(O662)+$N663</f>
        <v>637</v>
      </c>
      <c r="S663" s="20">
        <f>IFERROR(IF([1]对账明细接口!$N663=0,"",[1]对账明细接口!$N663),"")</f>
      </c>
      <c r="T663" s="212">
        <f>IFERROR(IF([1]对账明细接口!$O663=0,"",[1]对账明细接口!$O663),"")</f>
      </c>
      <c r="U663" s="212">
        <f>IFERROR(IF([1]对账明细接口!$P663=0,"",[1]对账明细接口!$P663),"")</f>
      </c>
      <c r="V663" s="212">
        <f>IFERROR(IF([1]对账明细接口!$Q663=0,"",[1]对账明细接口!$Q663),"")</f>
      </c>
      <c r="W663" s="20">
        <f>IFERROR(IF([1]对账明细接口!$R663=0,"",[1]对账明细接口!$R663),"")</f>
      </c>
      <c r="X663" s="20">
        <f>IFERROR(IF([1]对账明细接口!$S663=0,"",[1]对账明细接口!$S663),"")</f>
      </c>
      <c r="Y663" s="20">
        <f>IFERROR(IF([1]对账明细接口!$T663=0,"",[1]对账明细接口!$T663),"")</f>
      </c>
      <c r="Z663" s="213">
        <f>IFERROR(IF([1]对账明细接口!$U663=0,"",[1]对账明细接口!$U663),"")</f>
      </c>
      <c r="AA663" s="213">
        <f>IFERROR(IF([1]对账明细接口!$V663=0,"",[1]对账明细接口!$V663),"")</f>
      </c>
      <c r="AB663" s="20">
        <f>IFERROR(IF([1]对账明细接口!$W663=0,"",[1]对账明细接口!$W663),"")</f>
      </c>
      <c r="AC663" s="7">
        <f>IFERROR(IF([1]对账明细接口!$X663=0,"",[1]对账明细接口!$X663),"")</f>
      </c>
      <c r="AD663" s="7">
        <f>IFERROR(IF([1]对账明细接口!$Y663=0,"",[1]对账明细接口!$Y663),"")</f>
      </c>
      <c r="AE663" s="7">
        <f>IFERROR(IF([1]对账明细接口!$AA663=0,"",[1]对账明细接口!$AA663),"")</f>
      </c>
      <c r="AF663" s="7">
        <f>IFERROR(IF([1]对账明细接口!$AB663=0,"",[1]对账明细接口!$AB663),"")</f>
      </c>
      <c r="AG663" s="7">
        <f>IFERROR(IF([1]对账明细接口!$AC663=0,"",[1]对账明细接口!$AC663),"")</f>
      </c>
      <c r="AH663" s="7">
        <f>IFERROR(IF([1]对账明细接口!$AD663=0,"",[1]对账明细接口!$AD663),"")</f>
      </c>
      <c r="AI663" s="7">
        <f>IFERROR(IF([1]对账明细接口!$AE663=0,"",[1]对账明细接口!$AE663),"")</f>
      </c>
      <c r="AJ663" s="7">
        <f>IFERROR(IF([1]对账明细接口!$AF663=0,"",[1]对账明细接口!$AF663),"")</f>
      </c>
    </row>
    <row r="664" ht="14.25" customHeight="1" s="127">
      <c r="A664" s="14" t="n">
        <v>664</v>
      </c>
      <c r="B664" s="211">
        <f>IFERROR(IF([1]对账明细接口!$B$664=0,"",[1]对账明细接口!$B$664),"")</f>
      </c>
      <c r="C664" s="16">
        <f>IFERROR(IF([1]对账明细接口!$C$664=0,"",[1]对账明细接口!$C$664),"")</f>
      </c>
      <c r="D664" s="16">
        <f>IFERROR(IF([1]对账明细接口!$D$664=0,"",[1]对账明细接口!$D$664),"")</f>
      </c>
      <c r="E664" s="16">
        <f>IFERROR(IF([1]对账明细接口!$E$664=0,"",[1]对账明细接口!$E$664),"")</f>
      </c>
      <c r="F664" s="16">
        <f>IFERROR(IF([1]对账明细接口!$F$664=0,"",[1]对账明细接口!$F$664),"")</f>
      </c>
      <c r="G664" s="16">
        <f>IFERROR(IF([1]对账明细接口!$G$664=0,"",[1]对账明细接口!$G$664),"")</f>
      </c>
      <c r="H664" s="176">
        <f>IFERROR(IF([1]对账明细接口!$H$664=0,"",[1]对账明细接口!$H$664),"")</f>
      </c>
      <c r="I664" s="16">
        <f>IFERROR(IF([1]对账明细接口!$I$664=0,"",[1]对账明细接口!$I$664),"")</f>
      </c>
      <c r="J664" s="177">
        <f>IFERROR(IF([1]对账明细接口!$J$664=0,"",[1]对账明细接口!$J$664),"")</f>
      </c>
      <c r="K664" s="177">
        <f>IFERROR(IF([1]对账明细接口!$K$664=0,"",[1]对账明细接口!$K$664),"")</f>
      </c>
      <c r="L664" s="16">
        <f>IFERROR(IF([1]对账明细接口!$L$664=0,"",[1]对账明细接口!$L$664),"")</f>
      </c>
      <c r="M664" s="16">
        <f>IFERROR(IF([1]对账明细接口!$M$664=0,"",[1]对账明细接口!$M$664),"")</f>
      </c>
      <c r="N664" s="19">
        <f>IF($C664="",0,1)</f>
        <v>0</v>
      </c>
      <c r="O664" s="19">
        <f>N(O663)+$N664</f>
        <v>637</v>
      </c>
      <c r="S664" s="20">
        <f>IFERROR(IF([1]对账明细接口!$N664=0,"",[1]对账明细接口!$N664),"")</f>
      </c>
      <c r="T664" s="212">
        <f>IFERROR(IF([1]对账明细接口!$O664=0,"",[1]对账明细接口!$O664),"")</f>
      </c>
      <c r="U664" s="212">
        <f>IFERROR(IF([1]对账明细接口!$P664=0,"",[1]对账明细接口!$P664),"")</f>
      </c>
      <c r="V664" s="212">
        <f>IFERROR(IF([1]对账明细接口!$Q664=0,"",[1]对账明细接口!$Q664),"")</f>
      </c>
      <c r="W664" s="20">
        <f>IFERROR(IF([1]对账明细接口!$R664=0,"",[1]对账明细接口!$R664),"")</f>
      </c>
      <c r="X664" s="20">
        <f>IFERROR(IF([1]对账明细接口!$S664=0,"",[1]对账明细接口!$S664),"")</f>
      </c>
      <c r="Y664" s="20">
        <f>IFERROR(IF([1]对账明细接口!$T664=0,"",[1]对账明细接口!$T664),"")</f>
      </c>
      <c r="Z664" s="213">
        <f>IFERROR(IF([1]对账明细接口!$U664=0,"",[1]对账明细接口!$U664),"")</f>
      </c>
      <c r="AA664" s="213">
        <f>IFERROR(IF([1]对账明细接口!$V664=0,"",[1]对账明细接口!$V664),"")</f>
      </c>
      <c r="AB664" s="20">
        <f>IFERROR(IF([1]对账明细接口!$W664=0,"",[1]对账明细接口!$W664),"")</f>
      </c>
      <c r="AC664" s="7">
        <f>IFERROR(IF([1]对账明细接口!$X664=0,"",[1]对账明细接口!$X664),"")</f>
      </c>
      <c r="AD664" s="7">
        <f>IFERROR(IF([1]对账明细接口!$Y664=0,"",[1]对账明细接口!$Y664),"")</f>
      </c>
      <c r="AE664" s="7">
        <f>IFERROR(IF([1]对账明细接口!$AA664=0,"",[1]对账明细接口!$AA664),"")</f>
      </c>
      <c r="AF664" s="7">
        <f>IFERROR(IF([1]对账明细接口!$AB664=0,"",[1]对账明细接口!$AB664),"")</f>
      </c>
      <c r="AG664" s="7">
        <f>IFERROR(IF([1]对账明细接口!$AC664=0,"",[1]对账明细接口!$AC664),"")</f>
      </c>
      <c r="AH664" s="7">
        <f>IFERROR(IF([1]对账明细接口!$AD664=0,"",[1]对账明细接口!$AD664),"")</f>
      </c>
      <c r="AI664" s="7">
        <f>IFERROR(IF([1]对账明细接口!$AE664=0,"",[1]对账明细接口!$AE664),"")</f>
      </c>
      <c r="AJ664" s="7">
        <f>IFERROR(IF([1]对账明细接口!$AF664=0,"",[1]对账明细接口!$AF664),"")</f>
      </c>
    </row>
    <row r="665" ht="14.25" customHeight="1" s="127">
      <c r="A665" s="14" t="n">
        <v>665</v>
      </c>
      <c r="B665" s="211">
        <f>IFERROR(IF([1]对账明细接口!$B$665=0,"",[1]对账明细接口!$B$665),"")</f>
      </c>
      <c r="C665" s="16">
        <f>IFERROR(IF([1]对账明细接口!$C$665=0,"",[1]对账明细接口!$C$665),"")</f>
      </c>
      <c r="D665" s="16">
        <f>IFERROR(IF([1]对账明细接口!$D$665=0,"",[1]对账明细接口!$D$665),"")</f>
      </c>
      <c r="E665" s="16">
        <f>IFERROR(IF([1]对账明细接口!$E$665=0,"",[1]对账明细接口!$E$665),"")</f>
      </c>
      <c r="F665" s="16">
        <f>IFERROR(IF([1]对账明细接口!$F$665=0,"",[1]对账明细接口!$F$665),"")</f>
      </c>
      <c r="G665" s="16">
        <f>IFERROR(IF([1]对账明细接口!$G$665=0,"",[1]对账明细接口!$G$665),"")</f>
      </c>
      <c r="H665" s="176">
        <f>IFERROR(IF([1]对账明细接口!$H$665=0,"",[1]对账明细接口!$H$665),"")</f>
      </c>
      <c r="I665" s="16">
        <f>IFERROR(IF([1]对账明细接口!$I$665=0,"",[1]对账明细接口!$I$665),"")</f>
      </c>
      <c r="J665" s="177">
        <f>IFERROR(IF([1]对账明细接口!$J$665=0,"",[1]对账明细接口!$J$665),"")</f>
      </c>
      <c r="K665" s="177">
        <f>IFERROR(IF([1]对账明细接口!$K$665=0,"",[1]对账明细接口!$K$665),"")</f>
      </c>
      <c r="L665" s="16">
        <f>IFERROR(IF([1]对账明细接口!$L$665=0,"",[1]对账明细接口!$L$665),"")</f>
      </c>
      <c r="M665" s="16">
        <f>IFERROR(IF([1]对账明细接口!$M$665=0,"",[1]对账明细接口!$M$665),"")</f>
      </c>
      <c r="N665" s="19">
        <f>IF($C665="",0,1)</f>
        <v>0</v>
      </c>
      <c r="O665" s="19">
        <f>N(O664)+$N665</f>
        <v>637</v>
      </c>
      <c r="S665" s="20">
        <f>IFERROR(IF([1]对账明细接口!$N665=0,"",[1]对账明细接口!$N665),"")</f>
      </c>
      <c r="T665" s="212">
        <f>IFERROR(IF([1]对账明细接口!$O665=0,"",[1]对账明细接口!$O665),"")</f>
      </c>
      <c r="U665" s="212">
        <f>IFERROR(IF([1]对账明细接口!$P665=0,"",[1]对账明细接口!$P665),"")</f>
      </c>
      <c r="V665" s="212">
        <f>IFERROR(IF([1]对账明细接口!$Q665=0,"",[1]对账明细接口!$Q665),"")</f>
      </c>
      <c r="W665" s="20">
        <f>IFERROR(IF([1]对账明细接口!$R665=0,"",[1]对账明细接口!$R665),"")</f>
      </c>
      <c r="X665" s="20">
        <f>IFERROR(IF([1]对账明细接口!$S665=0,"",[1]对账明细接口!$S665),"")</f>
      </c>
      <c r="Y665" s="20">
        <f>IFERROR(IF([1]对账明细接口!$T665=0,"",[1]对账明细接口!$T665),"")</f>
      </c>
      <c r="Z665" s="213">
        <f>IFERROR(IF([1]对账明细接口!$U665=0,"",[1]对账明细接口!$U665),"")</f>
      </c>
      <c r="AA665" s="213">
        <f>IFERROR(IF([1]对账明细接口!$V665=0,"",[1]对账明细接口!$V665),"")</f>
      </c>
      <c r="AB665" s="20">
        <f>IFERROR(IF([1]对账明细接口!$W665=0,"",[1]对账明细接口!$W665),"")</f>
      </c>
      <c r="AC665" s="7">
        <f>IFERROR(IF([1]对账明细接口!$X665=0,"",[1]对账明细接口!$X665),"")</f>
      </c>
      <c r="AD665" s="7">
        <f>IFERROR(IF([1]对账明细接口!$Y665=0,"",[1]对账明细接口!$Y665),"")</f>
      </c>
      <c r="AE665" s="7">
        <f>IFERROR(IF([1]对账明细接口!$AA665=0,"",[1]对账明细接口!$AA665),"")</f>
      </c>
      <c r="AF665" s="7">
        <f>IFERROR(IF([1]对账明细接口!$AB665=0,"",[1]对账明细接口!$AB665),"")</f>
      </c>
      <c r="AG665" s="7">
        <f>IFERROR(IF([1]对账明细接口!$AC665=0,"",[1]对账明细接口!$AC665),"")</f>
      </c>
      <c r="AH665" s="7">
        <f>IFERROR(IF([1]对账明细接口!$AD665=0,"",[1]对账明细接口!$AD665),"")</f>
      </c>
      <c r="AI665" s="7">
        <f>IFERROR(IF([1]对账明细接口!$AE665=0,"",[1]对账明细接口!$AE665),"")</f>
      </c>
      <c r="AJ665" s="7">
        <f>IFERROR(IF([1]对账明细接口!$AF665=0,"",[1]对账明细接口!$AF665),"")</f>
      </c>
    </row>
    <row r="666" ht="14.25" customHeight="1" s="127">
      <c r="A666" s="14" t="n">
        <v>666</v>
      </c>
      <c r="B666" s="211">
        <f>IFERROR(IF([1]对账明细接口!$B$666=0,"",[1]对账明细接口!$B$666),"")</f>
      </c>
      <c r="C666" s="16">
        <f>IFERROR(IF([1]对账明细接口!$C$666=0,"",[1]对账明细接口!$C$666),"")</f>
      </c>
      <c r="D666" s="16">
        <f>IFERROR(IF([1]对账明细接口!$D$666=0,"",[1]对账明细接口!$D$666),"")</f>
      </c>
      <c r="E666" s="16">
        <f>IFERROR(IF([1]对账明细接口!$E$666=0,"",[1]对账明细接口!$E$666),"")</f>
      </c>
      <c r="F666" s="16">
        <f>IFERROR(IF([1]对账明细接口!$F$666=0,"",[1]对账明细接口!$F$666),"")</f>
      </c>
      <c r="G666" s="16">
        <f>IFERROR(IF([1]对账明细接口!$G$666=0,"",[1]对账明细接口!$G$666),"")</f>
      </c>
      <c r="H666" s="176">
        <f>IFERROR(IF([1]对账明细接口!$H$666=0,"",[1]对账明细接口!$H$666),"")</f>
      </c>
      <c r="I666" s="16">
        <f>IFERROR(IF([1]对账明细接口!$I$666=0,"",[1]对账明细接口!$I$666),"")</f>
      </c>
      <c r="J666" s="177">
        <f>IFERROR(IF([1]对账明细接口!$J$666=0,"",[1]对账明细接口!$J$666),"")</f>
      </c>
      <c r="K666" s="177">
        <f>IFERROR(IF([1]对账明细接口!$K$666=0,"",[1]对账明细接口!$K$666),"")</f>
      </c>
      <c r="L666" s="16">
        <f>IFERROR(IF([1]对账明细接口!$L$666=0,"",[1]对账明细接口!$L$666),"")</f>
      </c>
      <c r="M666" s="16">
        <f>IFERROR(IF([1]对账明细接口!$M$666=0,"",[1]对账明细接口!$M$666),"")</f>
      </c>
      <c r="N666" s="19">
        <f>IF($C666="",0,1)</f>
        <v>0</v>
      </c>
      <c r="O666" s="19">
        <f>N(O665)+$N666</f>
        <v>637</v>
      </c>
      <c r="S666" s="20">
        <f>IFERROR(IF([1]对账明细接口!$N666=0,"",[1]对账明细接口!$N666),"")</f>
      </c>
      <c r="T666" s="212">
        <f>IFERROR(IF([1]对账明细接口!$O666=0,"",[1]对账明细接口!$O666),"")</f>
      </c>
      <c r="U666" s="212">
        <f>IFERROR(IF([1]对账明细接口!$P666=0,"",[1]对账明细接口!$P666),"")</f>
      </c>
      <c r="V666" s="212">
        <f>IFERROR(IF([1]对账明细接口!$Q666=0,"",[1]对账明细接口!$Q666),"")</f>
      </c>
      <c r="W666" s="20">
        <f>IFERROR(IF([1]对账明细接口!$R666=0,"",[1]对账明细接口!$R666),"")</f>
      </c>
      <c r="X666" s="20">
        <f>IFERROR(IF([1]对账明细接口!$S666=0,"",[1]对账明细接口!$S666),"")</f>
      </c>
      <c r="Y666" s="20">
        <f>IFERROR(IF([1]对账明细接口!$T666=0,"",[1]对账明细接口!$T666),"")</f>
      </c>
      <c r="Z666" s="213">
        <f>IFERROR(IF([1]对账明细接口!$U666=0,"",[1]对账明细接口!$U666),"")</f>
      </c>
      <c r="AA666" s="213">
        <f>IFERROR(IF([1]对账明细接口!$V666=0,"",[1]对账明细接口!$V666),"")</f>
      </c>
      <c r="AB666" s="20">
        <f>IFERROR(IF([1]对账明细接口!$W666=0,"",[1]对账明细接口!$W666),"")</f>
      </c>
      <c r="AC666" s="7">
        <f>IFERROR(IF([1]对账明细接口!$X666=0,"",[1]对账明细接口!$X666),"")</f>
      </c>
      <c r="AD666" s="7">
        <f>IFERROR(IF([1]对账明细接口!$Y666=0,"",[1]对账明细接口!$Y666),"")</f>
      </c>
      <c r="AE666" s="7">
        <f>IFERROR(IF([1]对账明细接口!$AA666=0,"",[1]对账明细接口!$AA666),"")</f>
      </c>
      <c r="AF666" s="7">
        <f>IFERROR(IF([1]对账明细接口!$AB666=0,"",[1]对账明细接口!$AB666),"")</f>
      </c>
      <c r="AG666" s="7">
        <f>IFERROR(IF([1]对账明细接口!$AC666=0,"",[1]对账明细接口!$AC666),"")</f>
      </c>
      <c r="AH666" s="7">
        <f>IFERROR(IF([1]对账明细接口!$AD666=0,"",[1]对账明细接口!$AD666),"")</f>
      </c>
      <c r="AI666" s="7">
        <f>IFERROR(IF([1]对账明细接口!$AE666=0,"",[1]对账明细接口!$AE666),"")</f>
      </c>
      <c r="AJ666" s="7">
        <f>IFERROR(IF([1]对账明细接口!$AF666=0,"",[1]对账明细接口!$AF666),"")</f>
      </c>
    </row>
    <row r="667" ht="14.25" customHeight="1" s="127">
      <c r="A667" s="14" t="n">
        <v>667</v>
      </c>
      <c r="B667" s="211">
        <f>IFERROR(IF([1]对账明细接口!$B$667=0,"",[1]对账明细接口!$B$667),"")</f>
      </c>
      <c r="C667" s="16">
        <f>IFERROR(IF([1]对账明细接口!$C$667=0,"",[1]对账明细接口!$C$667),"")</f>
      </c>
      <c r="D667" s="16">
        <f>IFERROR(IF([1]对账明细接口!$D$667=0,"",[1]对账明细接口!$D$667),"")</f>
      </c>
      <c r="E667" s="16">
        <f>IFERROR(IF([1]对账明细接口!$E$667=0,"",[1]对账明细接口!$E$667),"")</f>
      </c>
      <c r="F667" s="16">
        <f>IFERROR(IF([1]对账明细接口!$F$667=0,"",[1]对账明细接口!$F$667),"")</f>
      </c>
      <c r="G667" s="16">
        <f>IFERROR(IF([1]对账明细接口!$G$667=0,"",[1]对账明细接口!$G$667),"")</f>
      </c>
      <c r="H667" s="176">
        <f>IFERROR(IF([1]对账明细接口!$H$667=0,"",[1]对账明细接口!$H$667),"")</f>
      </c>
      <c r="I667" s="16">
        <f>IFERROR(IF([1]对账明细接口!$I$667=0,"",[1]对账明细接口!$I$667),"")</f>
      </c>
      <c r="J667" s="177">
        <f>IFERROR(IF([1]对账明细接口!$J$667=0,"",[1]对账明细接口!$J$667),"")</f>
      </c>
      <c r="K667" s="177">
        <f>IFERROR(IF([1]对账明细接口!$K$667=0,"",[1]对账明细接口!$K$667),"")</f>
      </c>
      <c r="L667" s="16">
        <f>IFERROR(IF([1]对账明细接口!$L$667=0,"",[1]对账明细接口!$L$667),"")</f>
      </c>
      <c r="M667" s="16">
        <f>IFERROR(IF([1]对账明细接口!$M$667=0,"",[1]对账明细接口!$M$667),"")</f>
      </c>
      <c r="N667" s="19">
        <f>IF($C667="",0,1)</f>
        <v>0</v>
      </c>
      <c r="O667" s="19">
        <f>N(O666)+$N667</f>
        <v>637</v>
      </c>
      <c r="S667" s="20">
        <f>IFERROR(IF([1]对账明细接口!$N667=0,"",[1]对账明细接口!$N667),"")</f>
      </c>
      <c r="T667" s="212">
        <f>IFERROR(IF([1]对账明细接口!$O667=0,"",[1]对账明细接口!$O667),"")</f>
      </c>
      <c r="U667" s="212">
        <f>IFERROR(IF([1]对账明细接口!$P667=0,"",[1]对账明细接口!$P667),"")</f>
      </c>
      <c r="V667" s="212">
        <f>IFERROR(IF([1]对账明细接口!$Q667=0,"",[1]对账明细接口!$Q667),"")</f>
      </c>
      <c r="W667" s="20">
        <f>IFERROR(IF([1]对账明细接口!$R667=0,"",[1]对账明细接口!$R667),"")</f>
      </c>
      <c r="X667" s="20">
        <f>IFERROR(IF([1]对账明细接口!$S667=0,"",[1]对账明细接口!$S667),"")</f>
      </c>
      <c r="Y667" s="20">
        <f>IFERROR(IF([1]对账明细接口!$T667=0,"",[1]对账明细接口!$T667),"")</f>
      </c>
      <c r="Z667" s="213">
        <f>IFERROR(IF([1]对账明细接口!$U667=0,"",[1]对账明细接口!$U667),"")</f>
      </c>
      <c r="AA667" s="213">
        <f>IFERROR(IF([1]对账明细接口!$V667=0,"",[1]对账明细接口!$V667),"")</f>
      </c>
      <c r="AB667" s="20">
        <f>IFERROR(IF([1]对账明细接口!$W667=0,"",[1]对账明细接口!$W667),"")</f>
      </c>
      <c r="AC667" s="7">
        <f>IFERROR(IF([1]对账明细接口!$X667=0,"",[1]对账明细接口!$X667),"")</f>
      </c>
      <c r="AD667" s="7">
        <f>IFERROR(IF([1]对账明细接口!$Y667=0,"",[1]对账明细接口!$Y667),"")</f>
      </c>
      <c r="AE667" s="7">
        <f>IFERROR(IF([1]对账明细接口!$AA667=0,"",[1]对账明细接口!$AA667),"")</f>
      </c>
      <c r="AF667" s="7">
        <f>IFERROR(IF([1]对账明细接口!$AB667=0,"",[1]对账明细接口!$AB667),"")</f>
      </c>
      <c r="AG667" s="7">
        <f>IFERROR(IF([1]对账明细接口!$AC667=0,"",[1]对账明细接口!$AC667),"")</f>
      </c>
      <c r="AH667" s="7">
        <f>IFERROR(IF([1]对账明细接口!$AD667=0,"",[1]对账明细接口!$AD667),"")</f>
      </c>
      <c r="AI667" s="7">
        <f>IFERROR(IF([1]对账明细接口!$AE667=0,"",[1]对账明细接口!$AE667),"")</f>
      </c>
      <c r="AJ667" s="7">
        <f>IFERROR(IF([1]对账明细接口!$AF667=0,"",[1]对账明细接口!$AF667),"")</f>
      </c>
    </row>
    <row r="668" ht="14.25" customHeight="1" s="127">
      <c r="A668" s="14" t="n">
        <v>668</v>
      </c>
      <c r="B668" s="211">
        <f>IFERROR(IF([1]对账明细接口!$B$668=0,"",[1]对账明细接口!$B$668),"")</f>
      </c>
      <c r="C668" s="16">
        <f>IFERROR(IF([1]对账明细接口!$C$668=0,"",[1]对账明细接口!$C$668),"")</f>
      </c>
      <c r="D668" s="16">
        <f>IFERROR(IF([1]对账明细接口!$D$668=0,"",[1]对账明细接口!$D$668),"")</f>
      </c>
      <c r="E668" s="16">
        <f>IFERROR(IF([1]对账明细接口!$E$668=0,"",[1]对账明细接口!$E$668),"")</f>
      </c>
      <c r="F668" s="16">
        <f>IFERROR(IF([1]对账明细接口!$F$668=0,"",[1]对账明细接口!$F$668),"")</f>
      </c>
      <c r="G668" s="16">
        <f>IFERROR(IF([1]对账明细接口!$G$668=0,"",[1]对账明细接口!$G$668),"")</f>
      </c>
      <c r="H668" s="176">
        <f>IFERROR(IF([1]对账明细接口!$H$668=0,"",[1]对账明细接口!$H$668),"")</f>
      </c>
      <c r="I668" s="16">
        <f>IFERROR(IF([1]对账明细接口!$I$668=0,"",[1]对账明细接口!$I$668),"")</f>
      </c>
      <c r="J668" s="177">
        <f>IFERROR(IF([1]对账明细接口!$J$668=0,"",[1]对账明细接口!$J$668),"")</f>
      </c>
      <c r="K668" s="177">
        <f>IFERROR(IF([1]对账明细接口!$K$668=0,"",[1]对账明细接口!$K$668),"")</f>
      </c>
      <c r="L668" s="16">
        <f>IFERROR(IF([1]对账明细接口!$L$668=0,"",[1]对账明细接口!$L$668),"")</f>
      </c>
      <c r="M668" s="16">
        <f>IFERROR(IF([1]对账明细接口!$M$668=0,"",[1]对账明细接口!$M$668),"")</f>
      </c>
      <c r="N668" s="19">
        <f>IF($C668="",0,1)</f>
        <v>0</v>
      </c>
      <c r="O668" s="19">
        <f>N(O667)+$N668</f>
        <v>637</v>
      </c>
      <c r="S668" s="20">
        <f>IFERROR(IF([1]对账明细接口!$N668=0,"",[1]对账明细接口!$N668),"")</f>
      </c>
      <c r="T668" s="212">
        <f>IFERROR(IF([1]对账明细接口!$O668=0,"",[1]对账明细接口!$O668),"")</f>
      </c>
      <c r="U668" s="212">
        <f>IFERROR(IF([1]对账明细接口!$P668=0,"",[1]对账明细接口!$P668),"")</f>
      </c>
      <c r="V668" s="212">
        <f>IFERROR(IF([1]对账明细接口!$Q668=0,"",[1]对账明细接口!$Q668),"")</f>
      </c>
      <c r="W668" s="20">
        <f>IFERROR(IF([1]对账明细接口!$R668=0,"",[1]对账明细接口!$R668),"")</f>
      </c>
      <c r="X668" s="20">
        <f>IFERROR(IF([1]对账明细接口!$S668=0,"",[1]对账明细接口!$S668),"")</f>
      </c>
      <c r="Y668" s="20">
        <f>IFERROR(IF([1]对账明细接口!$T668=0,"",[1]对账明细接口!$T668),"")</f>
      </c>
      <c r="Z668" s="213">
        <f>IFERROR(IF([1]对账明细接口!$U668=0,"",[1]对账明细接口!$U668),"")</f>
      </c>
      <c r="AA668" s="213">
        <f>IFERROR(IF([1]对账明细接口!$V668=0,"",[1]对账明细接口!$V668),"")</f>
      </c>
      <c r="AB668" s="20">
        <f>IFERROR(IF([1]对账明细接口!$W668=0,"",[1]对账明细接口!$W668),"")</f>
      </c>
      <c r="AC668" s="7">
        <f>IFERROR(IF([1]对账明细接口!$X668=0,"",[1]对账明细接口!$X668),"")</f>
      </c>
      <c r="AD668" s="7">
        <f>IFERROR(IF([1]对账明细接口!$Y668=0,"",[1]对账明细接口!$Y668),"")</f>
      </c>
      <c r="AE668" s="7">
        <f>IFERROR(IF([1]对账明细接口!$AA668=0,"",[1]对账明细接口!$AA668),"")</f>
      </c>
      <c r="AF668" s="7">
        <f>IFERROR(IF([1]对账明细接口!$AB668=0,"",[1]对账明细接口!$AB668),"")</f>
      </c>
      <c r="AG668" s="7">
        <f>IFERROR(IF([1]对账明细接口!$AC668=0,"",[1]对账明细接口!$AC668),"")</f>
      </c>
      <c r="AH668" s="7">
        <f>IFERROR(IF([1]对账明细接口!$AD668=0,"",[1]对账明细接口!$AD668),"")</f>
      </c>
      <c r="AI668" s="7">
        <f>IFERROR(IF([1]对账明细接口!$AE668=0,"",[1]对账明细接口!$AE668),"")</f>
      </c>
      <c r="AJ668" s="7">
        <f>IFERROR(IF([1]对账明细接口!$AF668=0,"",[1]对账明细接口!$AF668),"")</f>
      </c>
    </row>
    <row r="669" ht="14.25" customHeight="1" s="127">
      <c r="A669" s="14" t="n">
        <v>669</v>
      </c>
      <c r="B669" s="211">
        <f>IFERROR(IF([1]对账明细接口!$B$669=0,"",[1]对账明细接口!$B$669),"")</f>
      </c>
      <c r="C669" s="16">
        <f>IFERROR(IF([1]对账明细接口!$C$669=0,"",[1]对账明细接口!$C$669),"")</f>
      </c>
      <c r="D669" s="16">
        <f>IFERROR(IF([1]对账明细接口!$D$669=0,"",[1]对账明细接口!$D$669),"")</f>
      </c>
      <c r="E669" s="16">
        <f>IFERROR(IF([1]对账明细接口!$E$669=0,"",[1]对账明细接口!$E$669),"")</f>
      </c>
      <c r="F669" s="16">
        <f>IFERROR(IF([1]对账明细接口!$F$669=0,"",[1]对账明细接口!$F$669),"")</f>
      </c>
      <c r="G669" s="16">
        <f>IFERROR(IF([1]对账明细接口!$G$669=0,"",[1]对账明细接口!$G$669),"")</f>
      </c>
      <c r="H669" s="176">
        <f>IFERROR(IF([1]对账明细接口!$H$669=0,"",[1]对账明细接口!$H$669),"")</f>
      </c>
      <c r="I669" s="16">
        <f>IFERROR(IF([1]对账明细接口!$I$669=0,"",[1]对账明细接口!$I$669),"")</f>
      </c>
      <c r="J669" s="177">
        <f>IFERROR(IF([1]对账明细接口!$J$669=0,"",[1]对账明细接口!$J$669),"")</f>
      </c>
      <c r="K669" s="177">
        <f>IFERROR(IF([1]对账明细接口!$K$669=0,"",[1]对账明细接口!$K$669),"")</f>
      </c>
      <c r="L669" s="16">
        <f>IFERROR(IF([1]对账明细接口!$L$669=0,"",[1]对账明细接口!$L$669),"")</f>
      </c>
      <c r="M669" s="16">
        <f>IFERROR(IF([1]对账明细接口!$M$669=0,"",[1]对账明细接口!$M$669),"")</f>
      </c>
      <c r="N669" s="19">
        <f>IF($C669="",0,1)</f>
        <v>0</v>
      </c>
      <c r="O669" s="19">
        <f>N(O668)+$N669</f>
        <v>637</v>
      </c>
      <c r="S669" s="20">
        <f>IFERROR(IF([1]对账明细接口!$N669=0,"",[1]对账明细接口!$N669),"")</f>
      </c>
      <c r="T669" s="212">
        <f>IFERROR(IF([1]对账明细接口!$O669=0,"",[1]对账明细接口!$O669),"")</f>
      </c>
      <c r="U669" s="212">
        <f>IFERROR(IF([1]对账明细接口!$P669=0,"",[1]对账明细接口!$P669),"")</f>
      </c>
      <c r="V669" s="212">
        <f>IFERROR(IF([1]对账明细接口!$Q669=0,"",[1]对账明细接口!$Q669),"")</f>
      </c>
      <c r="W669" s="20">
        <f>IFERROR(IF([1]对账明细接口!$R669=0,"",[1]对账明细接口!$R669),"")</f>
      </c>
      <c r="X669" s="20">
        <f>IFERROR(IF([1]对账明细接口!$S669=0,"",[1]对账明细接口!$S669),"")</f>
      </c>
      <c r="Y669" s="20">
        <f>IFERROR(IF([1]对账明细接口!$T669=0,"",[1]对账明细接口!$T669),"")</f>
      </c>
      <c r="Z669" s="213">
        <f>IFERROR(IF([1]对账明细接口!$U669=0,"",[1]对账明细接口!$U669),"")</f>
      </c>
      <c r="AA669" s="213">
        <f>IFERROR(IF([1]对账明细接口!$V669=0,"",[1]对账明细接口!$V669),"")</f>
      </c>
      <c r="AB669" s="20">
        <f>IFERROR(IF([1]对账明细接口!$W669=0,"",[1]对账明细接口!$W669),"")</f>
      </c>
      <c r="AC669" s="7">
        <f>IFERROR(IF([1]对账明细接口!$X669=0,"",[1]对账明细接口!$X669),"")</f>
      </c>
      <c r="AD669" s="7">
        <f>IFERROR(IF([1]对账明细接口!$Y669=0,"",[1]对账明细接口!$Y669),"")</f>
      </c>
      <c r="AE669" s="7">
        <f>IFERROR(IF([1]对账明细接口!$AA669=0,"",[1]对账明细接口!$AA669),"")</f>
      </c>
      <c r="AF669" s="7">
        <f>IFERROR(IF([1]对账明细接口!$AB669=0,"",[1]对账明细接口!$AB669),"")</f>
      </c>
      <c r="AG669" s="7">
        <f>IFERROR(IF([1]对账明细接口!$AC669=0,"",[1]对账明细接口!$AC669),"")</f>
      </c>
      <c r="AH669" s="7">
        <f>IFERROR(IF([1]对账明细接口!$AD669=0,"",[1]对账明细接口!$AD669),"")</f>
      </c>
      <c r="AI669" s="7">
        <f>IFERROR(IF([1]对账明细接口!$AE669=0,"",[1]对账明细接口!$AE669),"")</f>
      </c>
      <c r="AJ669" s="7">
        <f>IFERROR(IF([1]对账明细接口!$AF669=0,"",[1]对账明细接口!$AF669),"")</f>
      </c>
    </row>
    <row r="670" ht="14.25" customHeight="1" s="127">
      <c r="A670" s="14" t="n">
        <v>670</v>
      </c>
      <c r="B670" s="211">
        <f>IFERROR(IF([1]对账明细接口!$B$670=0,"",[1]对账明细接口!$B$670),"")</f>
      </c>
      <c r="C670" s="16">
        <f>IFERROR(IF([1]对账明细接口!$C$670=0,"",[1]对账明细接口!$C$670),"")</f>
      </c>
      <c r="D670" s="16">
        <f>IFERROR(IF([1]对账明细接口!$D$670=0,"",[1]对账明细接口!$D$670),"")</f>
      </c>
      <c r="E670" s="16">
        <f>IFERROR(IF([1]对账明细接口!$E$670=0,"",[1]对账明细接口!$E$670),"")</f>
      </c>
      <c r="F670" s="16">
        <f>IFERROR(IF([1]对账明细接口!$F$670=0,"",[1]对账明细接口!$F$670),"")</f>
      </c>
      <c r="G670" s="16">
        <f>IFERROR(IF([1]对账明细接口!$G$670=0,"",[1]对账明细接口!$G$670),"")</f>
      </c>
      <c r="H670" s="176">
        <f>IFERROR(IF([1]对账明细接口!$H$670=0,"",[1]对账明细接口!$H$670),"")</f>
      </c>
      <c r="I670" s="16">
        <f>IFERROR(IF([1]对账明细接口!$I$670=0,"",[1]对账明细接口!$I$670),"")</f>
      </c>
      <c r="J670" s="177">
        <f>IFERROR(IF([1]对账明细接口!$J$670=0,"",[1]对账明细接口!$J$670),"")</f>
      </c>
      <c r="K670" s="177">
        <f>IFERROR(IF([1]对账明细接口!$K$670=0,"",[1]对账明细接口!$K$670),"")</f>
      </c>
      <c r="L670" s="16">
        <f>IFERROR(IF([1]对账明细接口!$L$670=0,"",[1]对账明细接口!$L$670),"")</f>
      </c>
      <c r="M670" s="16">
        <f>IFERROR(IF([1]对账明细接口!$M$670=0,"",[1]对账明细接口!$M$670),"")</f>
      </c>
      <c r="N670" s="19">
        <f>IF($C670="",0,1)</f>
        <v>0</v>
      </c>
      <c r="O670" s="19">
        <f>N(O669)+$N670</f>
        <v>637</v>
      </c>
      <c r="S670" s="20">
        <f>IFERROR(IF([1]对账明细接口!$N670=0,"",[1]对账明细接口!$N670),"")</f>
      </c>
      <c r="T670" s="212">
        <f>IFERROR(IF([1]对账明细接口!$O670=0,"",[1]对账明细接口!$O670),"")</f>
      </c>
      <c r="U670" s="212">
        <f>IFERROR(IF([1]对账明细接口!$P670=0,"",[1]对账明细接口!$P670),"")</f>
      </c>
      <c r="V670" s="212">
        <f>IFERROR(IF([1]对账明细接口!$Q670=0,"",[1]对账明细接口!$Q670),"")</f>
      </c>
      <c r="W670" s="20">
        <f>IFERROR(IF([1]对账明细接口!$R670=0,"",[1]对账明细接口!$R670),"")</f>
      </c>
      <c r="X670" s="20">
        <f>IFERROR(IF([1]对账明细接口!$S670=0,"",[1]对账明细接口!$S670),"")</f>
      </c>
      <c r="Y670" s="20">
        <f>IFERROR(IF([1]对账明细接口!$T670=0,"",[1]对账明细接口!$T670),"")</f>
      </c>
      <c r="Z670" s="213">
        <f>IFERROR(IF([1]对账明细接口!$U670=0,"",[1]对账明细接口!$U670),"")</f>
      </c>
      <c r="AA670" s="213">
        <f>IFERROR(IF([1]对账明细接口!$V670=0,"",[1]对账明细接口!$V670),"")</f>
      </c>
      <c r="AB670" s="20">
        <f>IFERROR(IF([1]对账明细接口!$W670=0,"",[1]对账明细接口!$W670),"")</f>
      </c>
      <c r="AC670" s="7">
        <f>IFERROR(IF([1]对账明细接口!$X670=0,"",[1]对账明细接口!$X670),"")</f>
      </c>
      <c r="AD670" s="7">
        <f>IFERROR(IF([1]对账明细接口!$Y670=0,"",[1]对账明细接口!$Y670),"")</f>
      </c>
      <c r="AE670" s="7">
        <f>IFERROR(IF([1]对账明细接口!$AA670=0,"",[1]对账明细接口!$AA670),"")</f>
      </c>
      <c r="AF670" s="7">
        <f>IFERROR(IF([1]对账明细接口!$AB670=0,"",[1]对账明细接口!$AB670),"")</f>
      </c>
      <c r="AG670" s="7">
        <f>IFERROR(IF([1]对账明细接口!$AC670=0,"",[1]对账明细接口!$AC670),"")</f>
      </c>
      <c r="AH670" s="7">
        <f>IFERROR(IF([1]对账明细接口!$AD670=0,"",[1]对账明细接口!$AD670),"")</f>
      </c>
      <c r="AI670" s="7">
        <f>IFERROR(IF([1]对账明细接口!$AE670=0,"",[1]对账明细接口!$AE670),"")</f>
      </c>
      <c r="AJ670" s="7">
        <f>IFERROR(IF([1]对账明细接口!$AF670=0,"",[1]对账明细接口!$AF670),"")</f>
      </c>
    </row>
    <row r="671" ht="14.25" customHeight="1" s="127">
      <c r="A671" s="14" t="n">
        <v>671</v>
      </c>
      <c r="B671" s="211">
        <f>IFERROR(IF([1]对账明细接口!$B$671=0,"",[1]对账明细接口!$B$671),"")</f>
      </c>
      <c r="C671" s="16">
        <f>IFERROR(IF([1]对账明细接口!$C$671=0,"",[1]对账明细接口!$C$671),"")</f>
      </c>
      <c r="D671" s="16">
        <f>IFERROR(IF([1]对账明细接口!$D$671=0,"",[1]对账明细接口!$D$671),"")</f>
      </c>
      <c r="E671" s="16">
        <f>IFERROR(IF([1]对账明细接口!$E$671=0,"",[1]对账明细接口!$E$671),"")</f>
      </c>
      <c r="F671" s="16">
        <f>IFERROR(IF([1]对账明细接口!$F$671=0,"",[1]对账明细接口!$F$671),"")</f>
      </c>
      <c r="G671" s="16">
        <f>IFERROR(IF([1]对账明细接口!$G$671=0,"",[1]对账明细接口!$G$671),"")</f>
      </c>
      <c r="H671" s="176">
        <f>IFERROR(IF([1]对账明细接口!$H$671=0,"",[1]对账明细接口!$H$671),"")</f>
      </c>
      <c r="I671" s="16">
        <f>IFERROR(IF([1]对账明细接口!$I$671=0,"",[1]对账明细接口!$I$671),"")</f>
      </c>
      <c r="J671" s="177">
        <f>IFERROR(IF([1]对账明细接口!$J$671=0,"",[1]对账明细接口!$J$671),"")</f>
      </c>
      <c r="K671" s="177">
        <f>IFERROR(IF([1]对账明细接口!$K$671=0,"",[1]对账明细接口!$K$671),"")</f>
      </c>
      <c r="L671" s="16">
        <f>IFERROR(IF([1]对账明细接口!$L$671=0,"",[1]对账明细接口!$L$671),"")</f>
      </c>
      <c r="M671" s="16">
        <f>IFERROR(IF([1]对账明细接口!$M$671=0,"",[1]对账明细接口!$M$671),"")</f>
      </c>
      <c r="N671" s="19">
        <f>IF($C671="",0,1)</f>
        <v>0</v>
      </c>
      <c r="O671" s="19">
        <f>N(O670)+$N671</f>
        <v>637</v>
      </c>
      <c r="S671" s="20">
        <f>IFERROR(IF([1]对账明细接口!$N671=0,"",[1]对账明细接口!$N671),"")</f>
      </c>
      <c r="T671" s="212">
        <f>IFERROR(IF([1]对账明细接口!$O671=0,"",[1]对账明细接口!$O671),"")</f>
      </c>
      <c r="U671" s="212">
        <f>IFERROR(IF([1]对账明细接口!$P671=0,"",[1]对账明细接口!$P671),"")</f>
      </c>
      <c r="V671" s="212">
        <f>IFERROR(IF([1]对账明细接口!$Q671=0,"",[1]对账明细接口!$Q671),"")</f>
      </c>
      <c r="W671" s="20">
        <f>IFERROR(IF([1]对账明细接口!$R671=0,"",[1]对账明细接口!$R671),"")</f>
      </c>
      <c r="X671" s="20">
        <f>IFERROR(IF([1]对账明细接口!$S671=0,"",[1]对账明细接口!$S671),"")</f>
      </c>
      <c r="Y671" s="20">
        <f>IFERROR(IF([1]对账明细接口!$T671=0,"",[1]对账明细接口!$T671),"")</f>
      </c>
      <c r="Z671" s="213">
        <f>IFERROR(IF([1]对账明细接口!$U671=0,"",[1]对账明细接口!$U671),"")</f>
      </c>
      <c r="AA671" s="213">
        <f>IFERROR(IF([1]对账明细接口!$V671=0,"",[1]对账明细接口!$V671),"")</f>
      </c>
      <c r="AB671" s="20">
        <f>IFERROR(IF([1]对账明细接口!$W671=0,"",[1]对账明细接口!$W671),"")</f>
      </c>
      <c r="AC671" s="7">
        <f>IFERROR(IF([1]对账明细接口!$X671=0,"",[1]对账明细接口!$X671),"")</f>
      </c>
      <c r="AD671" s="7">
        <f>IFERROR(IF([1]对账明细接口!$Y671=0,"",[1]对账明细接口!$Y671),"")</f>
      </c>
      <c r="AE671" s="7">
        <f>IFERROR(IF([1]对账明细接口!$AA671=0,"",[1]对账明细接口!$AA671),"")</f>
      </c>
      <c r="AF671" s="7">
        <f>IFERROR(IF([1]对账明细接口!$AB671=0,"",[1]对账明细接口!$AB671),"")</f>
      </c>
      <c r="AG671" s="7">
        <f>IFERROR(IF([1]对账明细接口!$AC671=0,"",[1]对账明细接口!$AC671),"")</f>
      </c>
      <c r="AH671" s="7">
        <f>IFERROR(IF([1]对账明细接口!$AD671=0,"",[1]对账明细接口!$AD671),"")</f>
      </c>
      <c r="AI671" s="7">
        <f>IFERROR(IF([1]对账明细接口!$AE671=0,"",[1]对账明细接口!$AE671),"")</f>
      </c>
      <c r="AJ671" s="7">
        <f>IFERROR(IF([1]对账明细接口!$AF671=0,"",[1]对账明细接口!$AF671),"")</f>
      </c>
    </row>
    <row r="672" ht="14.25" customHeight="1" s="127">
      <c r="A672" s="14" t="n">
        <v>672</v>
      </c>
      <c r="B672" s="211">
        <f>IFERROR(IF([1]对账明细接口!$B$672=0,"",[1]对账明细接口!$B$672),"")</f>
      </c>
      <c r="C672" s="16">
        <f>IFERROR(IF([1]对账明细接口!$C$672=0,"",[1]对账明细接口!$C$672),"")</f>
      </c>
      <c r="D672" s="16">
        <f>IFERROR(IF([1]对账明细接口!$D$672=0,"",[1]对账明细接口!$D$672),"")</f>
      </c>
      <c r="E672" s="16">
        <f>IFERROR(IF([1]对账明细接口!$E$672=0,"",[1]对账明细接口!$E$672),"")</f>
      </c>
      <c r="F672" s="16">
        <f>IFERROR(IF([1]对账明细接口!$F$672=0,"",[1]对账明细接口!$F$672),"")</f>
      </c>
      <c r="G672" s="16">
        <f>IFERROR(IF([1]对账明细接口!$G$672=0,"",[1]对账明细接口!$G$672),"")</f>
      </c>
      <c r="H672" s="176">
        <f>IFERROR(IF([1]对账明细接口!$H$672=0,"",[1]对账明细接口!$H$672),"")</f>
      </c>
      <c r="I672" s="16">
        <f>IFERROR(IF([1]对账明细接口!$I$672=0,"",[1]对账明细接口!$I$672),"")</f>
      </c>
      <c r="J672" s="177">
        <f>IFERROR(IF([1]对账明细接口!$J$672=0,"",[1]对账明细接口!$J$672),"")</f>
      </c>
      <c r="K672" s="177">
        <f>IFERROR(IF([1]对账明细接口!$K$672=0,"",[1]对账明细接口!$K$672),"")</f>
      </c>
      <c r="L672" s="16">
        <f>IFERROR(IF([1]对账明细接口!$L$672=0,"",[1]对账明细接口!$L$672),"")</f>
      </c>
      <c r="M672" s="16">
        <f>IFERROR(IF([1]对账明细接口!$M$672=0,"",[1]对账明细接口!$M$672),"")</f>
      </c>
      <c r="N672" s="19">
        <f>IF($C672="",0,1)</f>
        <v>0</v>
      </c>
      <c r="O672" s="19">
        <f>N(O671)+$N672</f>
        <v>637</v>
      </c>
      <c r="S672" s="20">
        <f>IFERROR(IF([1]对账明细接口!$N672=0,"",[1]对账明细接口!$N672),"")</f>
      </c>
      <c r="T672" s="212">
        <f>IFERROR(IF([1]对账明细接口!$O672=0,"",[1]对账明细接口!$O672),"")</f>
      </c>
      <c r="U672" s="212">
        <f>IFERROR(IF([1]对账明细接口!$P672=0,"",[1]对账明细接口!$P672),"")</f>
      </c>
      <c r="V672" s="212">
        <f>IFERROR(IF([1]对账明细接口!$Q672=0,"",[1]对账明细接口!$Q672),"")</f>
      </c>
      <c r="W672" s="20">
        <f>IFERROR(IF([1]对账明细接口!$R672=0,"",[1]对账明细接口!$R672),"")</f>
      </c>
      <c r="X672" s="20">
        <f>IFERROR(IF([1]对账明细接口!$S672=0,"",[1]对账明细接口!$S672),"")</f>
      </c>
      <c r="Y672" s="20">
        <f>IFERROR(IF([1]对账明细接口!$T672=0,"",[1]对账明细接口!$T672),"")</f>
      </c>
      <c r="Z672" s="213">
        <f>IFERROR(IF([1]对账明细接口!$U672=0,"",[1]对账明细接口!$U672),"")</f>
      </c>
      <c r="AA672" s="213">
        <f>IFERROR(IF([1]对账明细接口!$V672=0,"",[1]对账明细接口!$V672),"")</f>
      </c>
      <c r="AB672" s="20">
        <f>IFERROR(IF([1]对账明细接口!$W672=0,"",[1]对账明细接口!$W672),"")</f>
      </c>
      <c r="AC672" s="7">
        <f>IFERROR(IF([1]对账明细接口!$X672=0,"",[1]对账明细接口!$X672),"")</f>
      </c>
      <c r="AD672" s="7">
        <f>IFERROR(IF([1]对账明细接口!$Y672=0,"",[1]对账明细接口!$Y672),"")</f>
      </c>
      <c r="AE672" s="7">
        <f>IFERROR(IF([1]对账明细接口!$AA672=0,"",[1]对账明细接口!$AA672),"")</f>
      </c>
      <c r="AF672" s="7">
        <f>IFERROR(IF([1]对账明细接口!$AB672=0,"",[1]对账明细接口!$AB672),"")</f>
      </c>
      <c r="AG672" s="7">
        <f>IFERROR(IF([1]对账明细接口!$AC672=0,"",[1]对账明细接口!$AC672),"")</f>
      </c>
      <c r="AH672" s="7">
        <f>IFERROR(IF([1]对账明细接口!$AD672=0,"",[1]对账明细接口!$AD672),"")</f>
      </c>
      <c r="AI672" s="7">
        <f>IFERROR(IF([1]对账明细接口!$AE672=0,"",[1]对账明细接口!$AE672),"")</f>
      </c>
      <c r="AJ672" s="7">
        <f>IFERROR(IF([1]对账明细接口!$AF672=0,"",[1]对账明细接口!$AF672),"")</f>
      </c>
    </row>
    <row r="673" ht="14.25" customHeight="1" s="127">
      <c r="A673" s="14" t="n">
        <v>673</v>
      </c>
      <c r="B673" s="211">
        <f>IFERROR(IF([1]对账明细接口!$B$673=0,"",[1]对账明细接口!$B$673),"")</f>
      </c>
      <c r="C673" s="16">
        <f>IFERROR(IF([1]对账明细接口!$C$673=0,"",[1]对账明细接口!$C$673),"")</f>
      </c>
      <c r="D673" s="16">
        <f>IFERROR(IF([1]对账明细接口!$D$673=0,"",[1]对账明细接口!$D$673),"")</f>
      </c>
      <c r="E673" s="16">
        <f>IFERROR(IF([1]对账明细接口!$E$673=0,"",[1]对账明细接口!$E$673),"")</f>
      </c>
      <c r="F673" s="16">
        <f>IFERROR(IF([1]对账明细接口!$F$673=0,"",[1]对账明细接口!$F$673),"")</f>
      </c>
      <c r="G673" s="16">
        <f>IFERROR(IF([1]对账明细接口!$G$673=0,"",[1]对账明细接口!$G$673),"")</f>
      </c>
      <c r="H673" s="176">
        <f>IFERROR(IF([1]对账明细接口!$H$673=0,"",[1]对账明细接口!$H$673),"")</f>
      </c>
      <c r="I673" s="16">
        <f>IFERROR(IF([1]对账明细接口!$I$673=0,"",[1]对账明细接口!$I$673),"")</f>
      </c>
      <c r="J673" s="177">
        <f>IFERROR(IF([1]对账明细接口!$J$673=0,"",[1]对账明细接口!$J$673),"")</f>
      </c>
      <c r="K673" s="177">
        <f>IFERROR(IF([1]对账明细接口!$K$673=0,"",[1]对账明细接口!$K$673),"")</f>
      </c>
      <c r="L673" s="16">
        <f>IFERROR(IF([1]对账明细接口!$L$673=0,"",[1]对账明细接口!$L$673),"")</f>
      </c>
      <c r="M673" s="16">
        <f>IFERROR(IF([1]对账明细接口!$M$673=0,"",[1]对账明细接口!$M$673),"")</f>
      </c>
      <c r="N673" s="19">
        <f>IF($C673="",0,1)</f>
        <v>0</v>
      </c>
      <c r="O673" s="19">
        <f>N(O672)+$N673</f>
        <v>637</v>
      </c>
      <c r="S673" s="20">
        <f>IFERROR(IF([1]对账明细接口!$N673=0,"",[1]对账明细接口!$N673),"")</f>
      </c>
      <c r="T673" s="212">
        <f>IFERROR(IF([1]对账明细接口!$O673=0,"",[1]对账明细接口!$O673),"")</f>
      </c>
      <c r="U673" s="212">
        <f>IFERROR(IF([1]对账明细接口!$P673=0,"",[1]对账明细接口!$P673),"")</f>
      </c>
      <c r="V673" s="212">
        <f>IFERROR(IF([1]对账明细接口!$Q673=0,"",[1]对账明细接口!$Q673),"")</f>
      </c>
      <c r="W673" s="20">
        <f>IFERROR(IF([1]对账明细接口!$R673=0,"",[1]对账明细接口!$R673),"")</f>
      </c>
      <c r="X673" s="20">
        <f>IFERROR(IF([1]对账明细接口!$S673=0,"",[1]对账明细接口!$S673),"")</f>
      </c>
      <c r="Y673" s="20">
        <f>IFERROR(IF([1]对账明细接口!$T673=0,"",[1]对账明细接口!$T673),"")</f>
      </c>
      <c r="Z673" s="213">
        <f>IFERROR(IF([1]对账明细接口!$U673=0,"",[1]对账明细接口!$U673),"")</f>
      </c>
      <c r="AA673" s="213">
        <f>IFERROR(IF([1]对账明细接口!$V673=0,"",[1]对账明细接口!$V673),"")</f>
      </c>
      <c r="AB673" s="20">
        <f>IFERROR(IF([1]对账明细接口!$W673=0,"",[1]对账明细接口!$W673),"")</f>
      </c>
      <c r="AC673" s="7">
        <f>IFERROR(IF([1]对账明细接口!$X673=0,"",[1]对账明细接口!$X673),"")</f>
      </c>
      <c r="AD673" s="7">
        <f>IFERROR(IF([1]对账明细接口!$Y673=0,"",[1]对账明细接口!$Y673),"")</f>
      </c>
      <c r="AE673" s="7">
        <f>IFERROR(IF([1]对账明细接口!$AA673=0,"",[1]对账明细接口!$AA673),"")</f>
      </c>
      <c r="AF673" s="7">
        <f>IFERROR(IF([1]对账明细接口!$AB673=0,"",[1]对账明细接口!$AB673),"")</f>
      </c>
      <c r="AG673" s="7">
        <f>IFERROR(IF([1]对账明细接口!$AC673=0,"",[1]对账明细接口!$AC673),"")</f>
      </c>
      <c r="AH673" s="7">
        <f>IFERROR(IF([1]对账明细接口!$AD673=0,"",[1]对账明细接口!$AD673),"")</f>
      </c>
      <c r="AI673" s="7">
        <f>IFERROR(IF([1]对账明细接口!$AE673=0,"",[1]对账明细接口!$AE673),"")</f>
      </c>
      <c r="AJ673" s="7">
        <f>IFERROR(IF([1]对账明细接口!$AF673=0,"",[1]对账明细接口!$AF673),"")</f>
      </c>
    </row>
    <row r="674" ht="14.25" customHeight="1" s="127">
      <c r="A674" s="14" t="n">
        <v>674</v>
      </c>
      <c r="B674" s="211">
        <f>IFERROR(IF([1]对账明细接口!$B$674=0,"",[1]对账明细接口!$B$674),"")</f>
      </c>
      <c r="C674" s="16">
        <f>IFERROR(IF([1]对账明细接口!$C$674=0,"",[1]对账明细接口!$C$674),"")</f>
      </c>
      <c r="D674" s="16">
        <f>IFERROR(IF([1]对账明细接口!$D$674=0,"",[1]对账明细接口!$D$674),"")</f>
      </c>
      <c r="E674" s="16">
        <f>IFERROR(IF([1]对账明细接口!$E$674=0,"",[1]对账明细接口!$E$674),"")</f>
      </c>
      <c r="F674" s="16">
        <f>IFERROR(IF([1]对账明细接口!$F$674=0,"",[1]对账明细接口!$F$674),"")</f>
      </c>
      <c r="G674" s="16">
        <f>IFERROR(IF([1]对账明细接口!$G$674=0,"",[1]对账明细接口!$G$674),"")</f>
      </c>
      <c r="H674" s="176">
        <f>IFERROR(IF([1]对账明细接口!$H$674=0,"",[1]对账明细接口!$H$674),"")</f>
      </c>
      <c r="I674" s="16">
        <f>IFERROR(IF([1]对账明细接口!$I$674=0,"",[1]对账明细接口!$I$674),"")</f>
      </c>
      <c r="J674" s="177">
        <f>IFERROR(IF([1]对账明细接口!$J$674=0,"",[1]对账明细接口!$J$674),"")</f>
      </c>
      <c r="K674" s="177">
        <f>IFERROR(IF([1]对账明细接口!$K$674=0,"",[1]对账明细接口!$K$674),"")</f>
      </c>
      <c r="L674" s="16">
        <f>IFERROR(IF([1]对账明细接口!$L$674=0,"",[1]对账明细接口!$L$674),"")</f>
      </c>
      <c r="M674" s="16">
        <f>IFERROR(IF([1]对账明细接口!$M$674=0,"",[1]对账明细接口!$M$674),"")</f>
      </c>
      <c r="N674" s="19">
        <f>IF($C674="",0,1)</f>
        <v>0</v>
      </c>
      <c r="O674" s="19">
        <f>N(O673)+$N674</f>
        <v>637</v>
      </c>
      <c r="S674" s="20">
        <f>IFERROR(IF([1]对账明细接口!$N674=0,"",[1]对账明细接口!$N674),"")</f>
      </c>
      <c r="T674" s="212">
        <f>IFERROR(IF([1]对账明细接口!$O674=0,"",[1]对账明细接口!$O674),"")</f>
      </c>
      <c r="U674" s="212">
        <f>IFERROR(IF([1]对账明细接口!$P674=0,"",[1]对账明细接口!$P674),"")</f>
      </c>
      <c r="V674" s="212">
        <f>IFERROR(IF([1]对账明细接口!$Q674=0,"",[1]对账明细接口!$Q674),"")</f>
      </c>
      <c r="W674" s="20">
        <f>IFERROR(IF([1]对账明细接口!$R674=0,"",[1]对账明细接口!$R674),"")</f>
      </c>
      <c r="X674" s="20">
        <f>IFERROR(IF([1]对账明细接口!$S674=0,"",[1]对账明细接口!$S674),"")</f>
      </c>
      <c r="Y674" s="20">
        <f>IFERROR(IF([1]对账明细接口!$T674=0,"",[1]对账明细接口!$T674),"")</f>
      </c>
      <c r="Z674" s="213">
        <f>IFERROR(IF([1]对账明细接口!$U674=0,"",[1]对账明细接口!$U674),"")</f>
      </c>
      <c r="AA674" s="213">
        <f>IFERROR(IF([1]对账明细接口!$V674=0,"",[1]对账明细接口!$V674),"")</f>
      </c>
      <c r="AB674" s="20">
        <f>IFERROR(IF([1]对账明细接口!$W674=0,"",[1]对账明细接口!$W674),"")</f>
      </c>
      <c r="AC674" s="7">
        <f>IFERROR(IF([1]对账明细接口!$X674=0,"",[1]对账明细接口!$X674),"")</f>
      </c>
      <c r="AD674" s="7">
        <f>IFERROR(IF([1]对账明细接口!$Y674=0,"",[1]对账明细接口!$Y674),"")</f>
      </c>
      <c r="AE674" s="7">
        <f>IFERROR(IF([1]对账明细接口!$AA674=0,"",[1]对账明细接口!$AA674),"")</f>
      </c>
      <c r="AF674" s="7">
        <f>IFERROR(IF([1]对账明细接口!$AB674=0,"",[1]对账明细接口!$AB674),"")</f>
      </c>
      <c r="AG674" s="7">
        <f>IFERROR(IF([1]对账明细接口!$AC674=0,"",[1]对账明细接口!$AC674),"")</f>
      </c>
      <c r="AH674" s="7">
        <f>IFERROR(IF([1]对账明细接口!$AD674=0,"",[1]对账明细接口!$AD674),"")</f>
      </c>
      <c r="AI674" s="7">
        <f>IFERROR(IF([1]对账明细接口!$AE674=0,"",[1]对账明细接口!$AE674),"")</f>
      </c>
      <c r="AJ674" s="7">
        <f>IFERROR(IF([1]对账明细接口!$AF674=0,"",[1]对账明细接口!$AF674),"")</f>
      </c>
    </row>
    <row r="675" ht="14.25" customHeight="1" s="127">
      <c r="A675" s="14" t="n">
        <v>675</v>
      </c>
      <c r="B675" s="211">
        <f>IFERROR(IF([1]对账明细接口!$B$675=0,"",[1]对账明细接口!$B$675),"")</f>
      </c>
      <c r="C675" s="16">
        <f>IFERROR(IF([1]对账明细接口!$C$675=0,"",[1]对账明细接口!$C$675),"")</f>
      </c>
      <c r="D675" s="16">
        <f>IFERROR(IF([1]对账明细接口!$D$675=0,"",[1]对账明细接口!$D$675),"")</f>
      </c>
      <c r="E675" s="16">
        <f>IFERROR(IF([1]对账明细接口!$E$675=0,"",[1]对账明细接口!$E$675),"")</f>
      </c>
      <c r="F675" s="16">
        <f>IFERROR(IF([1]对账明细接口!$F$675=0,"",[1]对账明细接口!$F$675),"")</f>
      </c>
      <c r="G675" s="16">
        <f>IFERROR(IF([1]对账明细接口!$G$675=0,"",[1]对账明细接口!$G$675),"")</f>
      </c>
      <c r="H675" s="176">
        <f>IFERROR(IF([1]对账明细接口!$H$675=0,"",[1]对账明细接口!$H$675),"")</f>
      </c>
      <c r="I675" s="16">
        <f>IFERROR(IF([1]对账明细接口!$I$675=0,"",[1]对账明细接口!$I$675),"")</f>
      </c>
      <c r="J675" s="177">
        <f>IFERROR(IF([1]对账明细接口!$J$675=0,"",[1]对账明细接口!$J$675),"")</f>
      </c>
      <c r="K675" s="177">
        <f>IFERROR(IF([1]对账明细接口!$K$675=0,"",[1]对账明细接口!$K$675),"")</f>
      </c>
      <c r="L675" s="16">
        <f>IFERROR(IF([1]对账明细接口!$L$675=0,"",[1]对账明细接口!$L$675),"")</f>
      </c>
      <c r="M675" s="16">
        <f>IFERROR(IF([1]对账明细接口!$M$675=0,"",[1]对账明细接口!$M$675),"")</f>
      </c>
      <c r="N675" s="19">
        <f>IF($C675="",0,1)</f>
        <v>0</v>
      </c>
      <c r="O675" s="19">
        <f>N(O674)+$N675</f>
        <v>637</v>
      </c>
      <c r="S675" s="20">
        <f>IFERROR(IF([1]对账明细接口!$N675=0,"",[1]对账明细接口!$N675),"")</f>
      </c>
      <c r="T675" s="212">
        <f>IFERROR(IF([1]对账明细接口!$O675=0,"",[1]对账明细接口!$O675),"")</f>
      </c>
      <c r="U675" s="212">
        <f>IFERROR(IF([1]对账明细接口!$P675=0,"",[1]对账明细接口!$P675),"")</f>
      </c>
      <c r="V675" s="212">
        <f>IFERROR(IF([1]对账明细接口!$Q675=0,"",[1]对账明细接口!$Q675),"")</f>
      </c>
      <c r="W675" s="20">
        <f>IFERROR(IF([1]对账明细接口!$R675=0,"",[1]对账明细接口!$R675),"")</f>
      </c>
      <c r="X675" s="20">
        <f>IFERROR(IF([1]对账明细接口!$S675=0,"",[1]对账明细接口!$S675),"")</f>
      </c>
      <c r="Y675" s="20">
        <f>IFERROR(IF([1]对账明细接口!$T675=0,"",[1]对账明细接口!$T675),"")</f>
      </c>
      <c r="Z675" s="213">
        <f>IFERROR(IF([1]对账明细接口!$U675=0,"",[1]对账明细接口!$U675),"")</f>
      </c>
      <c r="AA675" s="213">
        <f>IFERROR(IF([1]对账明细接口!$V675=0,"",[1]对账明细接口!$V675),"")</f>
      </c>
      <c r="AB675" s="20">
        <f>IFERROR(IF([1]对账明细接口!$W675=0,"",[1]对账明细接口!$W675),"")</f>
      </c>
      <c r="AC675" s="7">
        <f>IFERROR(IF([1]对账明细接口!$X675=0,"",[1]对账明细接口!$X675),"")</f>
      </c>
      <c r="AD675" s="7">
        <f>IFERROR(IF([1]对账明细接口!$Y675=0,"",[1]对账明细接口!$Y675),"")</f>
      </c>
      <c r="AE675" s="7">
        <f>IFERROR(IF([1]对账明细接口!$AA675=0,"",[1]对账明细接口!$AA675),"")</f>
      </c>
      <c r="AF675" s="7">
        <f>IFERROR(IF([1]对账明细接口!$AB675=0,"",[1]对账明细接口!$AB675),"")</f>
      </c>
      <c r="AG675" s="7">
        <f>IFERROR(IF([1]对账明细接口!$AC675=0,"",[1]对账明细接口!$AC675),"")</f>
      </c>
      <c r="AH675" s="7">
        <f>IFERROR(IF([1]对账明细接口!$AD675=0,"",[1]对账明细接口!$AD675),"")</f>
      </c>
      <c r="AI675" s="7">
        <f>IFERROR(IF([1]对账明细接口!$AE675=0,"",[1]对账明细接口!$AE675),"")</f>
      </c>
      <c r="AJ675" s="7">
        <f>IFERROR(IF([1]对账明细接口!$AF675=0,"",[1]对账明细接口!$AF675),"")</f>
      </c>
    </row>
    <row r="676" ht="14.25" customHeight="1" s="127">
      <c r="A676" s="14" t="n">
        <v>676</v>
      </c>
      <c r="B676" s="211">
        <f>IFERROR(IF([1]对账明细接口!$B$676=0,"",[1]对账明细接口!$B$676),"")</f>
      </c>
      <c r="C676" s="16">
        <f>IFERROR(IF([1]对账明细接口!$C$676=0,"",[1]对账明细接口!$C$676),"")</f>
      </c>
      <c r="D676" s="16">
        <f>IFERROR(IF([1]对账明细接口!$D$676=0,"",[1]对账明细接口!$D$676),"")</f>
      </c>
      <c r="E676" s="16">
        <f>IFERROR(IF([1]对账明细接口!$E$676=0,"",[1]对账明细接口!$E$676),"")</f>
      </c>
      <c r="F676" s="16">
        <f>IFERROR(IF([1]对账明细接口!$F$676=0,"",[1]对账明细接口!$F$676),"")</f>
      </c>
      <c r="G676" s="16">
        <f>IFERROR(IF([1]对账明细接口!$G$676=0,"",[1]对账明细接口!$G$676),"")</f>
      </c>
      <c r="H676" s="176">
        <f>IFERROR(IF([1]对账明细接口!$H$676=0,"",[1]对账明细接口!$H$676),"")</f>
      </c>
      <c r="I676" s="16">
        <f>IFERROR(IF([1]对账明细接口!$I$676=0,"",[1]对账明细接口!$I$676),"")</f>
      </c>
      <c r="J676" s="177">
        <f>IFERROR(IF([1]对账明细接口!$J$676=0,"",[1]对账明细接口!$J$676),"")</f>
      </c>
      <c r="K676" s="177">
        <f>IFERROR(IF([1]对账明细接口!$K$676=0,"",[1]对账明细接口!$K$676),"")</f>
      </c>
      <c r="L676" s="16">
        <f>IFERROR(IF([1]对账明细接口!$L$676=0,"",[1]对账明细接口!$L$676),"")</f>
      </c>
      <c r="M676" s="16">
        <f>IFERROR(IF([1]对账明细接口!$M$676=0,"",[1]对账明细接口!$M$676),"")</f>
      </c>
      <c r="N676" s="19">
        <f>IF($C676="",0,1)</f>
        <v>0</v>
      </c>
      <c r="O676" s="19">
        <f>N(O675)+$N676</f>
        <v>637</v>
      </c>
      <c r="S676" s="20">
        <f>IFERROR(IF([1]对账明细接口!$N676=0,"",[1]对账明细接口!$N676),"")</f>
      </c>
      <c r="T676" s="212">
        <f>IFERROR(IF([1]对账明细接口!$O676=0,"",[1]对账明细接口!$O676),"")</f>
      </c>
      <c r="U676" s="212">
        <f>IFERROR(IF([1]对账明细接口!$P676=0,"",[1]对账明细接口!$P676),"")</f>
      </c>
      <c r="V676" s="212">
        <f>IFERROR(IF([1]对账明细接口!$Q676=0,"",[1]对账明细接口!$Q676),"")</f>
      </c>
      <c r="W676" s="20">
        <f>IFERROR(IF([1]对账明细接口!$R676=0,"",[1]对账明细接口!$R676),"")</f>
      </c>
      <c r="X676" s="20">
        <f>IFERROR(IF([1]对账明细接口!$S676=0,"",[1]对账明细接口!$S676),"")</f>
      </c>
      <c r="Y676" s="20">
        <f>IFERROR(IF([1]对账明细接口!$T676=0,"",[1]对账明细接口!$T676),"")</f>
      </c>
      <c r="Z676" s="213">
        <f>IFERROR(IF([1]对账明细接口!$U676=0,"",[1]对账明细接口!$U676),"")</f>
      </c>
      <c r="AA676" s="213">
        <f>IFERROR(IF([1]对账明细接口!$V676=0,"",[1]对账明细接口!$V676),"")</f>
      </c>
      <c r="AB676" s="20">
        <f>IFERROR(IF([1]对账明细接口!$W676=0,"",[1]对账明细接口!$W676),"")</f>
      </c>
      <c r="AC676" s="7">
        <f>IFERROR(IF([1]对账明细接口!$X676=0,"",[1]对账明细接口!$X676),"")</f>
      </c>
      <c r="AD676" s="7">
        <f>IFERROR(IF([1]对账明细接口!$Y676=0,"",[1]对账明细接口!$Y676),"")</f>
      </c>
      <c r="AE676" s="7">
        <f>IFERROR(IF([1]对账明细接口!$AA676=0,"",[1]对账明细接口!$AA676),"")</f>
      </c>
      <c r="AF676" s="7">
        <f>IFERROR(IF([1]对账明细接口!$AB676=0,"",[1]对账明细接口!$AB676),"")</f>
      </c>
      <c r="AG676" s="7">
        <f>IFERROR(IF([1]对账明细接口!$AC676=0,"",[1]对账明细接口!$AC676),"")</f>
      </c>
      <c r="AH676" s="7">
        <f>IFERROR(IF([1]对账明细接口!$AD676=0,"",[1]对账明细接口!$AD676),"")</f>
      </c>
      <c r="AI676" s="7">
        <f>IFERROR(IF([1]对账明细接口!$AE676=0,"",[1]对账明细接口!$AE676),"")</f>
      </c>
      <c r="AJ676" s="7">
        <f>IFERROR(IF([1]对账明细接口!$AF676=0,"",[1]对账明细接口!$AF676),"")</f>
      </c>
    </row>
    <row r="677" ht="14.25" customHeight="1" s="127">
      <c r="A677" s="14" t="n">
        <v>677</v>
      </c>
      <c r="B677" s="211">
        <f>IFERROR(IF([1]对账明细接口!$B$677=0,"",[1]对账明细接口!$B$677),"")</f>
      </c>
      <c r="C677" s="16">
        <f>IFERROR(IF([1]对账明细接口!$C$677=0,"",[1]对账明细接口!$C$677),"")</f>
      </c>
      <c r="D677" s="16">
        <f>IFERROR(IF([1]对账明细接口!$D$677=0,"",[1]对账明细接口!$D$677),"")</f>
      </c>
      <c r="E677" s="16">
        <f>IFERROR(IF([1]对账明细接口!$E$677=0,"",[1]对账明细接口!$E$677),"")</f>
      </c>
      <c r="F677" s="16">
        <f>IFERROR(IF([1]对账明细接口!$F$677=0,"",[1]对账明细接口!$F$677),"")</f>
      </c>
      <c r="G677" s="16">
        <f>IFERROR(IF([1]对账明细接口!$G$677=0,"",[1]对账明细接口!$G$677),"")</f>
      </c>
      <c r="H677" s="176">
        <f>IFERROR(IF([1]对账明细接口!$H$677=0,"",[1]对账明细接口!$H$677),"")</f>
      </c>
      <c r="I677" s="16">
        <f>IFERROR(IF([1]对账明细接口!$I$677=0,"",[1]对账明细接口!$I$677),"")</f>
      </c>
      <c r="J677" s="177">
        <f>IFERROR(IF([1]对账明细接口!$J$677=0,"",[1]对账明细接口!$J$677),"")</f>
      </c>
      <c r="K677" s="177">
        <f>IFERROR(IF([1]对账明细接口!$K$677=0,"",[1]对账明细接口!$K$677),"")</f>
      </c>
      <c r="L677" s="16">
        <f>IFERROR(IF([1]对账明细接口!$L$677=0,"",[1]对账明细接口!$L$677),"")</f>
      </c>
      <c r="M677" s="16">
        <f>IFERROR(IF([1]对账明细接口!$M$677=0,"",[1]对账明细接口!$M$677),"")</f>
      </c>
      <c r="N677" s="19">
        <f>IF($C677="",0,1)</f>
        <v>0</v>
      </c>
      <c r="O677" s="19">
        <f>N(O676)+$N677</f>
        <v>637</v>
      </c>
      <c r="S677" s="20">
        <f>IFERROR(IF([1]对账明细接口!$N677=0,"",[1]对账明细接口!$N677),"")</f>
      </c>
      <c r="T677" s="212">
        <f>IFERROR(IF([1]对账明细接口!$O677=0,"",[1]对账明细接口!$O677),"")</f>
      </c>
      <c r="U677" s="212">
        <f>IFERROR(IF([1]对账明细接口!$P677=0,"",[1]对账明细接口!$P677),"")</f>
      </c>
      <c r="V677" s="212">
        <f>IFERROR(IF([1]对账明细接口!$Q677=0,"",[1]对账明细接口!$Q677),"")</f>
      </c>
      <c r="W677" s="20">
        <f>IFERROR(IF([1]对账明细接口!$R677=0,"",[1]对账明细接口!$R677),"")</f>
      </c>
      <c r="X677" s="20">
        <f>IFERROR(IF([1]对账明细接口!$S677=0,"",[1]对账明细接口!$S677),"")</f>
      </c>
      <c r="Y677" s="20">
        <f>IFERROR(IF([1]对账明细接口!$T677=0,"",[1]对账明细接口!$T677),"")</f>
      </c>
      <c r="Z677" s="213">
        <f>IFERROR(IF([1]对账明细接口!$U677=0,"",[1]对账明细接口!$U677),"")</f>
      </c>
      <c r="AA677" s="213">
        <f>IFERROR(IF([1]对账明细接口!$V677=0,"",[1]对账明细接口!$V677),"")</f>
      </c>
      <c r="AB677" s="20">
        <f>IFERROR(IF([1]对账明细接口!$W677=0,"",[1]对账明细接口!$W677),"")</f>
      </c>
      <c r="AC677" s="7">
        <f>IFERROR(IF([1]对账明细接口!$X677=0,"",[1]对账明细接口!$X677),"")</f>
      </c>
      <c r="AD677" s="7">
        <f>IFERROR(IF([1]对账明细接口!$Y677=0,"",[1]对账明细接口!$Y677),"")</f>
      </c>
      <c r="AE677" s="7">
        <f>IFERROR(IF([1]对账明细接口!$AA677=0,"",[1]对账明细接口!$AA677),"")</f>
      </c>
      <c r="AF677" s="7">
        <f>IFERROR(IF([1]对账明细接口!$AB677=0,"",[1]对账明细接口!$AB677),"")</f>
      </c>
      <c r="AG677" s="7">
        <f>IFERROR(IF([1]对账明细接口!$AC677=0,"",[1]对账明细接口!$AC677),"")</f>
      </c>
      <c r="AH677" s="7">
        <f>IFERROR(IF([1]对账明细接口!$AD677=0,"",[1]对账明细接口!$AD677),"")</f>
      </c>
      <c r="AI677" s="7">
        <f>IFERROR(IF([1]对账明细接口!$AE677=0,"",[1]对账明细接口!$AE677),"")</f>
      </c>
      <c r="AJ677" s="7">
        <f>IFERROR(IF([1]对账明细接口!$AF677=0,"",[1]对账明细接口!$AF677),"")</f>
      </c>
    </row>
    <row r="678" ht="14.25" customHeight="1" s="127">
      <c r="A678" s="14" t="n">
        <v>678</v>
      </c>
      <c r="B678" s="211">
        <f>IFERROR(IF([1]对账明细接口!$B$678=0,"",[1]对账明细接口!$B$678),"")</f>
      </c>
      <c r="C678" s="16">
        <f>IFERROR(IF([1]对账明细接口!$C$678=0,"",[1]对账明细接口!$C$678),"")</f>
      </c>
      <c r="D678" s="16">
        <f>IFERROR(IF([1]对账明细接口!$D$678=0,"",[1]对账明细接口!$D$678),"")</f>
      </c>
      <c r="E678" s="16">
        <f>IFERROR(IF([1]对账明细接口!$E$678=0,"",[1]对账明细接口!$E$678),"")</f>
      </c>
      <c r="F678" s="16">
        <f>IFERROR(IF([1]对账明细接口!$F$678=0,"",[1]对账明细接口!$F$678),"")</f>
      </c>
      <c r="G678" s="16">
        <f>IFERROR(IF([1]对账明细接口!$G$678=0,"",[1]对账明细接口!$G$678),"")</f>
      </c>
      <c r="H678" s="176">
        <f>IFERROR(IF([1]对账明细接口!$H$678=0,"",[1]对账明细接口!$H$678),"")</f>
      </c>
      <c r="I678" s="16">
        <f>IFERROR(IF([1]对账明细接口!$I$678=0,"",[1]对账明细接口!$I$678),"")</f>
      </c>
      <c r="J678" s="177">
        <f>IFERROR(IF([1]对账明细接口!$J$678=0,"",[1]对账明细接口!$J$678),"")</f>
      </c>
      <c r="K678" s="177">
        <f>IFERROR(IF([1]对账明细接口!$K$678=0,"",[1]对账明细接口!$K$678),"")</f>
      </c>
      <c r="L678" s="16">
        <f>IFERROR(IF([1]对账明细接口!$L$678=0,"",[1]对账明细接口!$L$678),"")</f>
      </c>
      <c r="M678" s="16">
        <f>IFERROR(IF([1]对账明细接口!$M$678=0,"",[1]对账明细接口!$M$678),"")</f>
      </c>
      <c r="N678" s="19">
        <f>IF($C678="",0,1)</f>
        <v>0</v>
      </c>
      <c r="O678" s="19">
        <f>N(O677)+$N678</f>
        <v>637</v>
      </c>
      <c r="S678" s="20">
        <f>IFERROR(IF([1]对账明细接口!$N678=0,"",[1]对账明细接口!$N678),"")</f>
      </c>
      <c r="T678" s="212">
        <f>IFERROR(IF([1]对账明细接口!$O678=0,"",[1]对账明细接口!$O678),"")</f>
      </c>
      <c r="U678" s="212">
        <f>IFERROR(IF([1]对账明细接口!$P678=0,"",[1]对账明细接口!$P678),"")</f>
      </c>
      <c r="V678" s="212">
        <f>IFERROR(IF([1]对账明细接口!$Q678=0,"",[1]对账明细接口!$Q678),"")</f>
      </c>
      <c r="W678" s="20">
        <f>IFERROR(IF([1]对账明细接口!$R678=0,"",[1]对账明细接口!$R678),"")</f>
      </c>
      <c r="X678" s="20">
        <f>IFERROR(IF([1]对账明细接口!$S678=0,"",[1]对账明细接口!$S678),"")</f>
      </c>
      <c r="Y678" s="20">
        <f>IFERROR(IF([1]对账明细接口!$T678=0,"",[1]对账明细接口!$T678),"")</f>
      </c>
      <c r="Z678" s="213">
        <f>IFERROR(IF([1]对账明细接口!$U678=0,"",[1]对账明细接口!$U678),"")</f>
      </c>
      <c r="AA678" s="213">
        <f>IFERROR(IF([1]对账明细接口!$V678=0,"",[1]对账明细接口!$V678),"")</f>
      </c>
      <c r="AB678" s="20">
        <f>IFERROR(IF([1]对账明细接口!$W678=0,"",[1]对账明细接口!$W678),"")</f>
      </c>
      <c r="AC678" s="7">
        <f>IFERROR(IF([1]对账明细接口!$X678=0,"",[1]对账明细接口!$X678),"")</f>
      </c>
      <c r="AD678" s="7">
        <f>IFERROR(IF([1]对账明细接口!$Y678=0,"",[1]对账明细接口!$Y678),"")</f>
      </c>
      <c r="AE678" s="7">
        <f>IFERROR(IF([1]对账明细接口!$AA678=0,"",[1]对账明细接口!$AA678),"")</f>
      </c>
      <c r="AF678" s="7">
        <f>IFERROR(IF([1]对账明细接口!$AB678=0,"",[1]对账明细接口!$AB678),"")</f>
      </c>
      <c r="AG678" s="7">
        <f>IFERROR(IF([1]对账明细接口!$AC678=0,"",[1]对账明细接口!$AC678),"")</f>
      </c>
      <c r="AH678" s="7">
        <f>IFERROR(IF([1]对账明细接口!$AD678=0,"",[1]对账明细接口!$AD678),"")</f>
      </c>
      <c r="AI678" s="7">
        <f>IFERROR(IF([1]对账明细接口!$AE678=0,"",[1]对账明细接口!$AE678),"")</f>
      </c>
      <c r="AJ678" s="7">
        <f>IFERROR(IF([1]对账明细接口!$AF678=0,"",[1]对账明细接口!$AF678),"")</f>
      </c>
    </row>
    <row r="679" ht="14.25" customHeight="1" s="127">
      <c r="A679" s="14" t="n">
        <v>679</v>
      </c>
      <c r="B679" s="211">
        <f>IFERROR(IF([1]对账明细接口!$B$679=0,"",[1]对账明细接口!$B$679),"")</f>
      </c>
      <c r="C679" s="16">
        <f>IFERROR(IF([1]对账明细接口!$C$679=0,"",[1]对账明细接口!$C$679),"")</f>
      </c>
      <c r="D679" s="16">
        <f>IFERROR(IF([1]对账明细接口!$D$679=0,"",[1]对账明细接口!$D$679),"")</f>
      </c>
      <c r="E679" s="16">
        <f>IFERROR(IF([1]对账明细接口!$E$679=0,"",[1]对账明细接口!$E$679),"")</f>
      </c>
      <c r="F679" s="16">
        <f>IFERROR(IF([1]对账明细接口!$F$679=0,"",[1]对账明细接口!$F$679),"")</f>
      </c>
      <c r="G679" s="16">
        <f>IFERROR(IF([1]对账明细接口!$G$679=0,"",[1]对账明细接口!$G$679),"")</f>
      </c>
      <c r="H679" s="176">
        <f>IFERROR(IF([1]对账明细接口!$H$679=0,"",[1]对账明细接口!$H$679),"")</f>
      </c>
      <c r="I679" s="16">
        <f>IFERROR(IF([1]对账明细接口!$I$679=0,"",[1]对账明细接口!$I$679),"")</f>
      </c>
      <c r="J679" s="177">
        <f>IFERROR(IF([1]对账明细接口!$J$679=0,"",[1]对账明细接口!$J$679),"")</f>
      </c>
      <c r="K679" s="177">
        <f>IFERROR(IF([1]对账明细接口!$K$679=0,"",[1]对账明细接口!$K$679),"")</f>
      </c>
      <c r="L679" s="16">
        <f>IFERROR(IF([1]对账明细接口!$L$679=0,"",[1]对账明细接口!$L$679),"")</f>
      </c>
      <c r="M679" s="16">
        <f>IFERROR(IF([1]对账明细接口!$M$679=0,"",[1]对账明细接口!$M$679),"")</f>
      </c>
      <c r="N679" s="19">
        <f>IF($C679="",0,1)</f>
        <v>0</v>
      </c>
      <c r="O679" s="19">
        <f>N(O678)+$N679</f>
        <v>637</v>
      </c>
      <c r="S679" s="20">
        <f>IFERROR(IF([1]对账明细接口!$N679=0,"",[1]对账明细接口!$N679),"")</f>
      </c>
      <c r="T679" s="212">
        <f>IFERROR(IF([1]对账明细接口!$O679=0,"",[1]对账明细接口!$O679),"")</f>
      </c>
      <c r="U679" s="212">
        <f>IFERROR(IF([1]对账明细接口!$P679=0,"",[1]对账明细接口!$P679),"")</f>
      </c>
      <c r="V679" s="212">
        <f>IFERROR(IF([1]对账明细接口!$Q679=0,"",[1]对账明细接口!$Q679),"")</f>
      </c>
      <c r="W679" s="20">
        <f>IFERROR(IF([1]对账明细接口!$R679=0,"",[1]对账明细接口!$R679),"")</f>
      </c>
      <c r="X679" s="20">
        <f>IFERROR(IF([1]对账明细接口!$S679=0,"",[1]对账明细接口!$S679),"")</f>
      </c>
      <c r="Y679" s="20">
        <f>IFERROR(IF([1]对账明细接口!$T679=0,"",[1]对账明细接口!$T679),"")</f>
      </c>
      <c r="Z679" s="213">
        <f>IFERROR(IF([1]对账明细接口!$U679=0,"",[1]对账明细接口!$U679),"")</f>
      </c>
      <c r="AA679" s="213">
        <f>IFERROR(IF([1]对账明细接口!$V679=0,"",[1]对账明细接口!$V679),"")</f>
      </c>
      <c r="AB679" s="20">
        <f>IFERROR(IF([1]对账明细接口!$W679=0,"",[1]对账明细接口!$W679),"")</f>
      </c>
      <c r="AC679" s="7">
        <f>IFERROR(IF([1]对账明细接口!$X679=0,"",[1]对账明细接口!$X679),"")</f>
      </c>
      <c r="AD679" s="7">
        <f>IFERROR(IF([1]对账明细接口!$Y679=0,"",[1]对账明细接口!$Y679),"")</f>
      </c>
      <c r="AE679" s="7">
        <f>IFERROR(IF([1]对账明细接口!$AA679=0,"",[1]对账明细接口!$AA679),"")</f>
      </c>
      <c r="AF679" s="7">
        <f>IFERROR(IF([1]对账明细接口!$AB679=0,"",[1]对账明细接口!$AB679),"")</f>
      </c>
      <c r="AG679" s="7">
        <f>IFERROR(IF([1]对账明细接口!$AC679=0,"",[1]对账明细接口!$AC679),"")</f>
      </c>
      <c r="AH679" s="7">
        <f>IFERROR(IF([1]对账明细接口!$AD679=0,"",[1]对账明细接口!$AD679),"")</f>
      </c>
      <c r="AI679" s="7">
        <f>IFERROR(IF([1]对账明细接口!$AE679=0,"",[1]对账明细接口!$AE679),"")</f>
      </c>
      <c r="AJ679" s="7">
        <f>IFERROR(IF([1]对账明细接口!$AF679=0,"",[1]对账明细接口!$AF679),"")</f>
      </c>
    </row>
    <row r="680" ht="14.25" customHeight="1" s="127">
      <c r="A680" s="14" t="n">
        <v>680</v>
      </c>
      <c r="B680" s="211">
        <f>IFERROR(IF([1]对账明细接口!$B$680=0,"",[1]对账明细接口!$B$680),"")</f>
      </c>
      <c r="C680" s="16">
        <f>IFERROR(IF([1]对账明细接口!$C$680=0,"",[1]对账明细接口!$C$680),"")</f>
      </c>
      <c r="D680" s="16">
        <f>IFERROR(IF([1]对账明细接口!$D$680=0,"",[1]对账明细接口!$D$680),"")</f>
      </c>
      <c r="E680" s="16">
        <f>IFERROR(IF([1]对账明细接口!$E$680=0,"",[1]对账明细接口!$E$680),"")</f>
      </c>
      <c r="F680" s="16">
        <f>IFERROR(IF([1]对账明细接口!$F$680=0,"",[1]对账明细接口!$F$680),"")</f>
      </c>
      <c r="G680" s="16">
        <f>IFERROR(IF([1]对账明细接口!$G$680=0,"",[1]对账明细接口!$G$680),"")</f>
      </c>
      <c r="H680" s="176">
        <f>IFERROR(IF([1]对账明细接口!$H$680=0,"",[1]对账明细接口!$H$680),"")</f>
      </c>
      <c r="I680" s="16">
        <f>IFERROR(IF([1]对账明细接口!$I$680=0,"",[1]对账明细接口!$I$680),"")</f>
      </c>
      <c r="J680" s="177">
        <f>IFERROR(IF([1]对账明细接口!$J$680=0,"",[1]对账明细接口!$J$680),"")</f>
      </c>
      <c r="K680" s="177">
        <f>IFERROR(IF([1]对账明细接口!$K$680=0,"",[1]对账明细接口!$K$680),"")</f>
      </c>
      <c r="L680" s="16">
        <f>IFERROR(IF([1]对账明细接口!$L$680=0,"",[1]对账明细接口!$L$680),"")</f>
      </c>
      <c r="M680" s="16">
        <f>IFERROR(IF([1]对账明细接口!$M$680=0,"",[1]对账明细接口!$M$680),"")</f>
      </c>
      <c r="N680" s="19">
        <f>IF($C680="",0,1)</f>
        <v>0</v>
      </c>
      <c r="O680" s="19">
        <f>N(O679)+$N680</f>
        <v>637</v>
      </c>
      <c r="S680" s="20">
        <f>IFERROR(IF([1]对账明细接口!$N680=0,"",[1]对账明细接口!$N680),"")</f>
      </c>
      <c r="T680" s="212">
        <f>IFERROR(IF([1]对账明细接口!$O680=0,"",[1]对账明细接口!$O680),"")</f>
      </c>
      <c r="U680" s="212">
        <f>IFERROR(IF([1]对账明细接口!$P680=0,"",[1]对账明细接口!$P680),"")</f>
      </c>
      <c r="V680" s="212">
        <f>IFERROR(IF([1]对账明细接口!$Q680=0,"",[1]对账明细接口!$Q680),"")</f>
      </c>
      <c r="W680" s="20">
        <f>IFERROR(IF([1]对账明细接口!$R680=0,"",[1]对账明细接口!$R680),"")</f>
      </c>
      <c r="X680" s="20">
        <f>IFERROR(IF([1]对账明细接口!$S680=0,"",[1]对账明细接口!$S680),"")</f>
      </c>
      <c r="Y680" s="20">
        <f>IFERROR(IF([1]对账明细接口!$T680=0,"",[1]对账明细接口!$T680),"")</f>
      </c>
      <c r="Z680" s="213">
        <f>IFERROR(IF([1]对账明细接口!$U680=0,"",[1]对账明细接口!$U680),"")</f>
      </c>
      <c r="AA680" s="213">
        <f>IFERROR(IF([1]对账明细接口!$V680=0,"",[1]对账明细接口!$V680),"")</f>
      </c>
      <c r="AB680" s="20">
        <f>IFERROR(IF([1]对账明细接口!$W680=0,"",[1]对账明细接口!$W680),"")</f>
      </c>
      <c r="AC680" s="7">
        <f>IFERROR(IF([1]对账明细接口!$X680=0,"",[1]对账明细接口!$X680),"")</f>
      </c>
      <c r="AD680" s="7">
        <f>IFERROR(IF([1]对账明细接口!$Y680=0,"",[1]对账明细接口!$Y680),"")</f>
      </c>
      <c r="AE680" s="7">
        <f>IFERROR(IF([1]对账明细接口!$AA680=0,"",[1]对账明细接口!$AA680),"")</f>
      </c>
      <c r="AF680" s="7">
        <f>IFERROR(IF([1]对账明细接口!$AB680=0,"",[1]对账明细接口!$AB680),"")</f>
      </c>
      <c r="AG680" s="7">
        <f>IFERROR(IF([1]对账明细接口!$AC680=0,"",[1]对账明细接口!$AC680),"")</f>
      </c>
      <c r="AH680" s="7">
        <f>IFERROR(IF([1]对账明细接口!$AD680=0,"",[1]对账明细接口!$AD680),"")</f>
      </c>
      <c r="AI680" s="7">
        <f>IFERROR(IF([1]对账明细接口!$AE680=0,"",[1]对账明细接口!$AE680),"")</f>
      </c>
      <c r="AJ680" s="7">
        <f>IFERROR(IF([1]对账明细接口!$AF680=0,"",[1]对账明细接口!$AF680),"")</f>
      </c>
    </row>
    <row r="681" ht="14.25" customHeight="1" s="127">
      <c r="A681" s="14" t="n">
        <v>681</v>
      </c>
      <c r="B681" s="211">
        <f>IFERROR(IF([1]对账明细接口!$B$681=0,"",[1]对账明细接口!$B$681),"")</f>
      </c>
      <c r="C681" s="16">
        <f>IFERROR(IF([1]对账明细接口!$C$681=0,"",[1]对账明细接口!$C$681),"")</f>
      </c>
      <c r="D681" s="16">
        <f>IFERROR(IF([1]对账明细接口!$D$681=0,"",[1]对账明细接口!$D$681),"")</f>
      </c>
      <c r="E681" s="16">
        <f>IFERROR(IF([1]对账明细接口!$E$681=0,"",[1]对账明细接口!$E$681),"")</f>
      </c>
      <c r="F681" s="16">
        <f>IFERROR(IF([1]对账明细接口!$F$681=0,"",[1]对账明细接口!$F$681),"")</f>
      </c>
      <c r="G681" s="16">
        <f>IFERROR(IF([1]对账明细接口!$G$681=0,"",[1]对账明细接口!$G$681),"")</f>
      </c>
      <c r="H681" s="176">
        <f>IFERROR(IF([1]对账明细接口!$H$681=0,"",[1]对账明细接口!$H$681),"")</f>
      </c>
      <c r="I681" s="16">
        <f>IFERROR(IF([1]对账明细接口!$I$681=0,"",[1]对账明细接口!$I$681),"")</f>
      </c>
      <c r="J681" s="177">
        <f>IFERROR(IF([1]对账明细接口!$J$681=0,"",[1]对账明细接口!$J$681),"")</f>
      </c>
      <c r="K681" s="177">
        <f>IFERROR(IF([1]对账明细接口!$K$681=0,"",[1]对账明细接口!$K$681),"")</f>
      </c>
      <c r="L681" s="16">
        <f>IFERROR(IF([1]对账明细接口!$L$681=0,"",[1]对账明细接口!$L$681),"")</f>
      </c>
      <c r="M681" s="16">
        <f>IFERROR(IF([1]对账明细接口!$M$681=0,"",[1]对账明细接口!$M$681),"")</f>
      </c>
      <c r="N681" s="19">
        <f>IF($C681="",0,1)</f>
        <v>0</v>
      </c>
      <c r="O681" s="19">
        <f>N(O680)+$N681</f>
        <v>637</v>
      </c>
      <c r="S681" s="20">
        <f>IFERROR(IF([1]对账明细接口!$N681=0,"",[1]对账明细接口!$N681),"")</f>
      </c>
      <c r="T681" s="212">
        <f>IFERROR(IF([1]对账明细接口!$O681=0,"",[1]对账明细接口!$O681),"")</f>
      </c>
      <c r="U681" s="212">
        <f>IFERROR(IF([1]对账明细接口!$P681=0,"",[1]对账明细接口!$P681),"")</f>
      </c>
      <c r="V681" s="212">
        <f>IFERROR(IF([1]对账明细接口!$Q681=0,"",[1]对账明细接口!$Q681),"")</f>
      </c>
      <c r="W681" s="20">
        <f>IFERROR(IF([1]对账明细接口!$R681=0,"",[1]对账明细接口!$R681),"")</f>
      </c>
      <c r="X681" s="20">
        <f>IFERROR(IF([1]对账明细接口!$S681=0,"",[1]对账明细接口!$S681),"")</f>
      </c>
      <c r="Y681" s="20">
        <f>IFERROR(IF([1]对账明细接口!$T681=0,"",[1]对账明细接口!$T681),"")</f>
      </c>
      <c r="Z681" s="213">
        <f>IFERROR(IF([1]对账明细接口!$U681=0,"",[1]对账明细接口!$U681),"")</f>
      </c>
      <c r="AA681" s="213">
        <f>IFERROR(IF([1]对账明细接口!$V681=0,"",[1]对账明细接口!$V681),"")</f>
      </c>
      <c r="AB681" s="20">
        <f>IFERROR(IF([1]对账明细接口!$W681=0,"",[1]对账明细接口!$W681),"")</f>
      </c>
      <c r="AC681" s="7">
        <f>IFERROR(IF([1]对账明细接口!$X681=0,"",[1]对账明细接口!$X681),"")</f>
      </c>
      <c r="AD681" s="7">
        <f>IFERROR(IF([1]对账明细接口!$Y681=0,"",[1]对账明细接口!$Y681),"")</f>
      </c>
      <c r="AE681" s="7">
        <f>IFERROR(IF([1]对账明细接口!$AA681=0,"",[1]对账明细接口!$AA681),"")</f>
      </c>
      <c r="AF681" s="7">
        <f>IFERROR(IF([1]对账明细接口!$AB681=0,"",[1]对账明细接口!$AB681),"")</f>
      </c>
      <c r="AG681" s="7">
        <f>IFERROR(IF([1]对账明细接口!$AC681=0,"",[1]对账明细接口!$AC681),"")</f>
      </c>
      <c r="AH681" s="7">
        <f>IFERROR(IF([1]对账明细接口!$AD681=0,"",[1]对账明细接口!$AD681),"")</f>
      </c>
      <c r="AI681" s="7">
        <f>IFERROR(IF([1]对账明细接口!$AE681=0,"",[1]对账明细接口!$AE681),"")</f>
      </c>
      <c r="AJ681" s="7">
        <f>IFERROR(IF([1]对账明细接口!$AF681=0,"",[1]对账明细接口!$AF681),"")</f>
      </c>
    </row>
    <row r="682" ht="14.25" customHeight="1" s="127">
      <c r="A682" s="14" t="n">
        <v>682</v>
      </c>
      <c r="B682" s="211">
        <f>IFERROR(IF([1]对账明细接口!$B$682=0,"",[1]对账明细接口!$B$682),"")</f>
      </c>
      <c r="C682" s="16">
        <f>IFERROR(IF([1]对账明细接口!$C$682=0,"",[1]对账明细接口!$C$682),"")</f>
      </c>
      <c r="D682" s="16">
        <f>IFERROR(IF([1]对账明细接口!$D$682=0,"",[1]对账明细接口!$D$682),"")</f>
      </c>
      <c r="E682" s="16">
        <f>IFERROR(IF([1]对账明细接口!$E$682=0,"",[1]对账明细接口!$E$682),"")</f>
      </c>
      <c r="F682" s="16">
        <f>IFERROR(IF([1]对账明细接口!$F$682=0,"",[1]对账明细接口!$F$682),"")</f>
      </c>
      <c r="G682" s="16">
        <f>IFERROR(IF([1]对账明细接口!$G$682=0,"",[1]对账明细接口!$G$682),"")</f>
      </c>
      <c r="H682" s="176">
        <f>IFERROR(IF([1]对账明细接口!$H$682=0,"",[1]对账明细接口!$H$682),"")</f>
      </c>
      <c r="I682" s="16">
        <f>IFERROR(IF([1]对账明细接口!$I$682=0,"",[1]对账明细接口!$I$682),"")</f>
      </c>
      <c r="J682" s="177">
        <f>IFERROR(IF([1]对账明细接口!$J$682=0,"",[1]对账明细接口!$J$682),"")</f>
      </c>
      <c r="K682" s="177">
        <f>IFERROR(IF([1]对账明细接口!$K$682=0,"",[1]对账明细接口!$K$682),"")</f>
      </c>
      <c r="L682" s="16">
        <f>IFERROR(IF([1]对账明细接口!$L$682=0,"",[1]对账明细接口!$L$682),"")</f>
      </c>
      <c r="M682" s="16">
        <f>IFERROR(IF([1]对账明细接口!$M$682=0,"",[1]对账明细接口!$M$682),"")</f>
      </c>
      <c r="N682" s="19">
        <f>IF($C682="",0,1)</f>
        <v>0</v>
      </c>
      <c r="O682" s="19">
        <f>N(O681)+$N682</f>
        <v>637</v>
      </c>
      <c r="S682" s="20">
        <f>IFERROR(IF([1]对账明细接口!$N682=0,"",[1]对账明细接口!$N682),"")</f>
      </c>
      <c r="T682" s="212">
        <f>IFERROR(IF([1]对账明细接口!$O682=0,"",[1]对账明细接口!$O682),"")</f>
      </c>
      <c r="U682" s="212">
        <f>IFERROR(IF([1]对账明细接口!$P682=0,"",[1]对账明细接口!$P682),"")</f>
      </c>
      <c r="V682" s="212">
        <f>IFERROR(IF([1]对账明细接口!$Q682=0,"",[1]对账明细接口!$Q682),"")</f>
      </c>
      <c r="W682" s="20">
        <f>IFERROR(IF([1]对账明细接口!$R682=0,"",[1]对账明细接口!$R682),"")</f>
      </c>
      <c r="X682" s="20">
        <f>IFERROR(IF([1]对账明细接口!$S682=0,"",[1]对账明细接口!$S682),"")</f>
      </c>
      <c r="Y682" s="20">
        <f>IFERROR(IF([1]对账明细接口!$T682=0,"",[1]对账明细接口!$T682),"")</f>
      </c>
      <c r="Z682" s="213">
        <f>IFERROR(IF([1]对账明细接口!$U682=0,"",[1]对账明细接口!$U682),"")</f>
      </c>
      <c r="AA682" s="213">
        <f>IFERROR(IF([1]对账明细接口!$V682=0,"",[1]对账明细接口!$V682),"")</f>
      </c>
      <c r="AB682" s="20">
        <f>IFERROR(IF([1]对账明细接口!$W682=0,"",[1]对账明细接口!$W682),"")</f>
      </c>
      <c r="AC682" s="7">
        <f>IFERROR(IF([1]对账明细接口!$X682=0,"",[1]对账明细接口!$X682),"")</f>
      </c>
      <c r="AD682" s="7">
        <f>IFERROR(IF([1]对账明细接口!$Y682=0,"",[1]对账明细接口!$Y682),"")</f>
      </c>
      <c r="AE682" s="7">
        <f>IFERROR(IF([1]对账明细接口!$AA682=0,"",[1]对账明细接口!$AA682),"")</f>
      </c>
      <c r="AF682" s="7">
        <f>IFERROR(IF([1]对账明细接口!$AB682=0,"",[1]对账明细接口!$AB682),"")</f>
      </c>
      <c r="AG682" s="7">
        <f>IFERROR(IF([1]对账明细接口!$AC682=0,"",[1]对账明细接口!$AC682),"")</f>
      </c>
      <c r="AH682" s="7">
        <f>IFERROR(IF([1]对账明细接口!$AD682=0,"",[1]对账明细接口!$AD682),"")</f>
      </c>
      <c r="AI682" s="7">
        <f>IFERROR(IF([1]对账明细接口!$AE682=0,"",[1]对账明细接口!$AE682),"")</f>
      </c>
      <c r="AJ682" s="7">
        <f>IFERROR(IF([1]对账明细接口!$AF682=0,"",[1]对账明细接口!$AF682),"")</f>
      </c>
    </row>
    <row r="683" ht="14.25" customHeight="1" s="127">
      <c r="A683" s="14" t="n">
        <v>683</v>
      </c>
      <c r="B683" s="211">
        <f>IFERROR(IF([1]对账明细接口!$B$683=0,"",[1]对账明细接口!$B$683),"")</f>
      </c>
      <c r="C683" s="16">
        <f>IFERROR(IF([1]对账明细接口!$C$683=0,"",[1]对账明细接口!$C$683),"")</f>
      </c>
      <c r="D683" s="16">
        <f>IFERROR(IF([1]对账明细接口!$D$683=0,"",[1]对账明细接口!$D$683),"")</f>
      </c>
      <c r="E683" s="16">
        <f>IFERROR(IF([1]对账明细接口!$E$683=0,"",[1]对账明细接口!$E$683),"")</f>
      </c>
      <c r="F683" s="16">
        <f>IFERROR(IF([1]对账明细接口!$F$683=0,"",[1]对账明细接口!$F$683),"")</f>
      </c>
      <c r="G683" s="16">
        <f>IFERROR(IF([1]对账明细接口!$G$683=0,"",[1]对账明细接口!$G$683),"")</f>
      </c>
      <c r="H683" s="176">
        <f>IFERROR(IF([1]对账明细接口!$H$683=0,"",[1]对账明细接口!$H$683),"")</f>
      </c>
      <c r="I683" s="16">
        <f>IFERROR(IF([1]对账明细接口!$I$683=0,"",[1]对账明细接口!$I$683),"")</f>
      </c>
      <c r="J683" s="177">
        <f>IFERROR(IF([1]对账明细接口!$J$683=0,"",[1]对账明细接口!$J$683),"")</f>
      </c>
      <c r="K683" s="177">
        <f>IFERROR(IF([1]对账明细接口!$K$683=0,"",[1]对账明细接口!$K$683),"")</f>
      </c>
      <c r="L683" s="16">
        <f>IFERROR(IF([1]对账明细接口!$L$683=0,"",[1]对账明细接口!$L$683),"")</f>
      </c>
      <c r="M683" s="16">
        <f>IFERROR(IF([1]对账明细接口!$M$683=0,"",[1]对账明细接口!$M$683),"")</f>
      </c>
      <c r="N683" s="19">
        <f>IF($C683="",0,1)</f>
        <v>0</v>
      </c>
      <c r="O683" s="19">
        <f>N(O682)+$N683</f>
        <v>637</v>
      </c>
      <c r="S683" s="20">
        <f>IFERROR(IF([1]对账明细接口!$N683=0,"",[1]对账明细接口!$N683),"")</f>
      </c>
      <c r="T683" s="212">
        <f>IFERROR(IF([1]对账明细接口!$O683=0,"",[1]对账明细接口!$O683),"")</f>
      </c>
      <c r="U683" s="212">
        <f>IFERROR(IF([1]对账明细接口!$P683=0,"",[1]对账明细接口!$P683),"")</f>
      </c>
      <c r="V683" s="212">
        <f>IFERROR(IF([1]对账明细接口!$Q683=0,"",[1]对账明细接口!$Q683),"")</f>
      </c>
      <c r="W683" s="20">
        <f>IFERROR(IF([1]对账明细接口!$R683=0,"",[1]对账明细接口!$R683),"")</f>
      </c>
      <c r="X683" s="20">
        <f>IFERROR(IF([1]对账明细接口!$S683=0,"",[1]对账明细接口!$S683),"")</f>
      </c>
      <c r="Y683" s="20">
        <f>IFERROR(IF([1]对账明细接口!$T683=0,"",[1]对账明细接口!$T683),"")</f>
      </c>
      <c r="Z683" s="213">
        <f>IFERROR(IF([1]对账明细接口!$U683=0,"",[1]对账明细接口!$U683),"")</f>
      </c>
      <c r="AA683" s="213">
        <f>IFERROR(IF([1]对账明细接口!$V683=0,"",[1]对账明细接口!$V683),"")</f>
      </c>
      <c r="AB683" s="20">
        <f>IFERROR(IF([1]对账明细接口!$W683=0,"",[1]对账明细接口!$W683),"")</f>
      </c>
      <c r="AC683" s="7">
        <f>IFERROR(IF([1]对账明细接口!$X683=0,"",[1]对账明细接口!$X683),"")</f>
      </c>
      <c r="AD683" s="7">
        <f>IFERROR(IF([1]对账明细接口!$Y683=0,"",[1]对账明细接口!$Y683),"")</f>
      </c>
      <c r="AE683" s="7">
        <f>IFERROR(IF([1]对账明细接口!$AA683=0,"",[1]对账明细接口!$AA683),"")</f>
      </c>
      <c r="AF683" s="7">
        <f>IFERROR(IF([1]对账明细接口!$AB683=0,"",[1]对账明细接口!$AB683),"")</f>
      </c>
      <c r="AG683" s="7">
        <f>IFERROR(IF([1]对账明细接口!$AC683=0,"",[1]对账明细接口!$AC683),"")</f>
      </c>
      <c r="AH683" s="7">
        <f>IFERROR(IF([1]对账明细接口!$AD683=0,"",[1]对账明细接口!$AD683),"")</f>
      </c>
      <c r="AI683" s="7">
        <f>IFERROR(IF([1]对账明细接口!$AE683=0,"",[1]对账明细接口!$AE683),"")</f>
      </c>
      <c r="AJ683" s="7">
        <f>IFERROR(IF([1]对账明细接口!$AF683=0,"",[1]对账明细接口!$AF683),"")</f>
      </c>
    </row>
    <row r="684" ht="14.25" customHeight="1" s="127">
      <c r="A684" s="14" t="n">
        <v>684</v>
      </c>
      <c r="B684" s="211">
        <f>IFERROR(IF([1]对账明细接口!$B$684=0,"",[1]对账明细接口!$B$684),"")</f>
      </c>
      <c r="C684" s="16">
        <f>IFERROR(IF([1]对账明细接口!$C$684=0,"",[1]对账明细接口!$C$684),"")</f>
      </c>
      <c r="D684" s="16">
        <f>IFERROR(IF([1]对账明细接口!$D$684=0,"",[1]对账明细接口!$D$684),"")</f>
      </c>
      <c r="E684" s="16">
        <f>IFERROR(IF([1]对账明细接口!$E$684=0,"",[1]对账明细接口!$E$684),"")</f>
      </c>
      <c r="F684" s="16">
        <f>IFERROR(IF([1]对账明细接口!$F$684=0,"",[1]对账明细接口!$F$684),"")</f>
      </c>
      <c r="G684" s="16">
        <f>IFERROR(IF([1]对账明细接口!$G$684=0,"",[1]对账明细接口!$G$684),"")</f>
      </c>
      <c r="H684" s="176">
        <f>IFERROR(IF([1]对账明细接口!$H$684=0,"",[1]对账明细接口!$H$684),"")</f>
      </c>
      <c r="I684" s="16">
        <f>IFERROR(IF([1]对账明细接口!$I$684=0,"",[1]对账明细接口!$I$684),"")</f>
      </c>
      <c r="J684" s="177">
        <f>IFERROR(IF([1]对账明细接口!$J$684=0,"",[1]对账明细接口!$J$684),"")</f>
      </c>
      <c r="K684" s="177">
        <f>IFERROR(IF([1]对账明细接口!$K$684=0,"",[1]对账明细接口!$K$684),"")</f>
      </c>
      <c r="L684" s="16">
        <f>IFERROR(IF([1]对账明细接口!$L$684=0,"",[1]对账明细接口!$L$684),"")</f>
      </c>
      <c r="M684" s="16">
        <f>IFERROR(IF([1]对账明细接口!$M$684=0,"",[1]对账明细接口!$M$684),"")</f>
      </c>
      <c r="N684" s="19">
        <f>IF($C684="",0,1)</f>
        <v>0</v>
      </c>
      <c r="O684" s="19">
        <f>N(O683)+$N684</f>
        <v>637</v>
      </c>
      <c r="S684" s="20">
        <f>IFERROR(IF([1]对账明细接口!$N684=0,"",[1]对账明细接口!$N684),"")</f>
      </c>
      <c r="T684" s="212">
        <f>IFERROR(IF([1]对账明细接口!$O684=0,"",[1]对账明细接口!$O684),"")</f>
      </c>
      <c r="U684" s="212">
        <f>IFERROR(IF([1]对账明细接口!$P684=0,"",[1]对账明细接口!$P684),"")</f>
      </c>
      <c r="V684" s="212">
        <f>IFERROR(IF([1]对账明细接口!$Q684=0,"",[1]对账明细接口!$Q684),"")</f>
      </c>
      <c r="W684" s="20">
        <f>IFERROR(IF([1]对账明细接口!$R684=0,"",[1]对账明细接口!$R684),"")</f>
      </c>
      <c r="X684" s="20">
        <f>IFERROR(IF([1]对账明细接口!$S684=0,"",[1]对账明细接口!$S684),"")</f>
      </c>
      <c r="Y684" s="20">
        <f>IFERROR(IF([1]对账明细接口!$T684=0,"",[1]对账明细接口!$T684),"")</f>
      </c>
      <c r="Z684" s="213">
        <f>IFERROR(IF([1]对账明细接口!$U684=0,"",[1]对账明细接口!$U684),"")</f>
      </c>
      <c r="AA684" s="213">
        <f>IFERROR(IF([1]对账明细接口!$V684=0,"",[1]对账明细接口!$V684),"")</f>
      </c>
      <c r="AB684" s="20">
        <f>IFERROR(IF([1]对账明细接口!$W684=0,"",[1]对账明细接口!$W684),"")</f>
      </c>
      <c r="AC684" s="7">
        <f>IFERROR(IF([1]对账明细接口!$X684=0,"",[1]对账明细接口!$X684),"")</f>
      </c>
      <c r="AD684" s="7">
        <f>IFERROR(IF([1]对账明细接口!$Y684=0,"",[1]对账明细接口!$Y684),"")</f>
      </c>
      <c r="AE684" s="7">
        <f>IFERROR(IF([1]对账明细接口!$AA684=0,"",[1]对账明细接口!$AA684),"")</f>
      </c>
      <c r="AF684" s="7">
        <f>IFERROR(IF([1]对账明细接口!$AB684=0,"",[1]对账明细接口!$AB684),"")</f>
      </c>
      <c r="AG684" s="7">
        <f>IFERROR(IF([1]对账明细接口!$AC684=0,"",[1]对账明细接口!$AC684),"")</f>
      </c>
      <c r="AH684" s="7">
        <f>IFERROR(IF([1]对账明细接口!$AD684=0,"",[1]对账明细接口!$AD684),"")</f>
      </c>
      <c r="AI684" s="7">
        <f>IFERROR(IF([1]对账明细接口!$AE684=0,"",[1]对账明细接口!$AE684),"")</f>
      </c>
      <c r="AJ684" s="7">
        <f>IFERROR(IF([1]对账明细接口!$AF684=0,"",[1]对账明细接口!$AF684),"")</f>
      </c>
    </row>
    <row r="685" ht="14.25" customHeight="1" s="127">
      <c r="A685" s="14" t="n">
        <v>685</v>
      </c>
      <c r="B685" s="211">
        <f>IFERROR(IF([1]对账明细接口!$B$685=0,"",[1]对账明细接口!$B$685),"")</f>
      </c>
      <c r="C685" s="16">
        <f>IFERROR(IF([1]对账明细接口!$C$685=0,"",[1]对账明细接口!$C$685),"")</f>
      </c>
      <c r="D685" s="16">
        <f>IFERROR(IF([1]对账明细接口!$D$685=0,"",[1]对账明细接口!$D$685),"")</f>
      </c>
      <c r="E685" s="16">
        <f>IFERROR(IF([1]对账明细接口!$E$685=0,"",[1]对账明细接口!$E$685),"")</f>
      </c>
      <c r="F685" s="16">
        <f>IFERROR(IF([1]对账明细接口!$F$685=0,"",[1]对账明细接口!$F$685),"")</f>
      </c>
      <c r="G685" s="16">
        <f>IFERROR(IF([1]对账明细接口!$G$685=0,"",[1]对账明细接口!$G$685),"")</f>
      </c>
      <c r="H685" s="176">
        <f>IFERROR(IF([1]对账明细接口!$H$685=0,"",[1]对账明细接口!$H$685),"")</f>
      </c>
      <c r="I685" s="16">
        <f>IFERROR(IF([1]对账明细接口!$I$685=0,"",[1]对账明细接口!$I$685),"")</f>
      </c>
      <c r="J685" s="177">
        <f>IFERROR(IF([1]对账明细接口!$J$685=0,"",[1]对账明细接口!$J$685),"")</f>
      </c>
      <c r="K685" s="177">
        <f>IFERROR(IF([1]对账明细接口!$K$685=0,"",[1]对账明细接口!$K$685),"")</f>
      </c>
      <c r="L685" s="16">
        <f>IFERROR(IF([1]对账明细接口!$L$685=0,"",[1]对账明细接口!$L$685),"")</f>
      </c>
      <c r="M685" s="16">
        <f>IFERROR(IF([1]对账明细接口!$M$685=0,"",[1]对账明细接口!$M$685),"")</f>
      </c>
      <c r="N685" s="19">
        <f>IF($C685="",0,1)</f>
        <v>0</v>
      </c>
      <c r="O685" s="19">
        <f>N(O684)+$N685</f>
        <v>637</v>
      </c>
      <c r="S685" s="20">
        <f>IFERROR(IF([1]对账明细接口!$N685=0,"",[1]对账明细接口!$N685),"")</f>
      </c>
      <c r="T685" s="212">
        <f>IFERROR(IF([1]对账明细接口!$O685=0,"",[1]对账明细接口!$O685),"")</f>
      </c>
      <c r="U685" s="212">
        <f>IFERROR(IF([1]对账明细接口!$P685=0,"",[1]对账明细接口!$P685),"")</f>
      </c>
      <c r="V685" s="212">
        <f>IFERROR(IF([1]对账明细接口!$Q685=0,"",[1]对账明细接口!$Q685),"")</f>
      </c>
      <c r="W685" s="20">
        <f>IFERROR(IF([1]对账明细接口!$R685=0,"",[1]对账明细接口!$R685),"")</f>
      </c>
      <c r="X685" s="20">
        <f>IFERROR(IF([1]对账明细接口!$S685=0,"",[1]对账明细接口!$S685),"")</f>
      </c>
      <c r="Y685" s="20">
        <f>IFERROR(IF([1]对账明细接口!$T685=0,"",[1]对账明细接口!$T685),"")</f>
      </c>
      <c r="Z685" s="213">
        <f>IFERROR(IF([1]对账明细接口!$U685=0,"",[1]对账明细接口!$U685),"")</f>
      </c>
      <c r="AA685" s="213">
        <f>IFERROR(IF([1]对账明细接口!$V685=0,"",[1]对账明细接口!$V685),"")</f>
      </c>
      <c r="AB685" s="20">
        <f>IFERROR(IF([1]对账明细接口!$W685=0,"",[1]对账明细接口!$W685),"")</f>
      </c>
      <c r="AC685" s="7">
        <f>IFERROR(IF([1]对账明细接口!$X685=0,"",[1]对账明细接口!$X685),"")</f>
      </c>
      <c r="AD685" s="7">
        <f>IFERROR(IF([1]对账明细接口!$Y685=0,"",[1]对账明细接口!$Y685),"")</f>
      </c>
      <c r="AE685" s="7">
        <f>IFERROR(IF([1]对账明细接口!$AA685=0,"",[1]对账明细接口!$AA685),"")</f>
      </c>
      <c r="AF685" s="7">
        <f>IFERROR(IF([1]对账明细接口!$AB685=0,"",[1]对账明细接口!$AB685),"")</f>
      </c>
      <c r="AG685" s="7">
        <f>IFERROR(IF([1]对账明细接口!$AC685=0,"",[1]对账明细接口!$AC685),"")</f>
      </c>
      <c r="AH685" s="7">
        <f>IFERROR(IF([1]对账明细接口!$AD685=0,"",[1]对账明细接口!$AD685),"")</f>
      </c>
      <c r="AI685" s="7">
        <f>IFERROR(IF([1]对账明细接口!$AE685=0,"",[1]对账明细接口!$AE685),"")</f>
      </c>
      <c r="AJ685" s="7">
        <f>IFERROR(IF([1]对账明细接口!$AF685=0,"",[1]对账明细接口!$AF685),"")</f>
      </c>
    </row>
    <row r="686" ht="14.25" customHeight="1" s="127">
      <c r="A686" s="14" t="n">
        <v>686</v>
      </c>
      <c r="B686" s="211">
        <f>IFERROR(IF([1]对账明细接口!$B$686=0,"",[1]对账明细接口!$B$686),"")</f>
      </c>
      <c r="C686" s="16">
        <f>IFERROR(IF([1]对账明细接口!$C$686=0,"",[1]对账明细接口!$C$686),"")</f>
      </c>
      <c r="D686" s="16">
        <f>IFERROR(IF([1]对账明细接口!$D$686=0,"",[1]对账明细接口!$D$686),"")</f>
      </c>
      <c r="E686" s="16">
        <f>IFERROR(IF([1]对账明细接口!$E$686=0,"",[1]对账明细接口!$E$686),"")</f>
      </c>
      <c r="F686" s="16">
        <f>IFERROR(IF([1]对账明细接口!$F$686=0,"",[1]对账明细接口!$F$686),"")</f>
      </c>
      <c r="G686" s="16">
        <f>IFERROR(IF([1]对账明细接口!$G$686=0,"",[1]对账明细接口!$G$686),"")</f>
      </c>
      <c r="H686" s="176">
        <f>IFERROR(IF([1]对账明细接口!$H$686=0,"",[1]对账明细接口!$H$686),"")</f>
      </c>
      <c r="I686" s="16">
        <f>IFERROR(IF([1]对账明细接口!$I$686=0,"",[1]对账明细接口!$I$686),"")</f>
      </c>
      <c r="J686" s="177">
        <f>IFERROR(IF([1]对账明细接口!$J$686=0,"",[1]对账明细接口!$J$686),"")</f>
      </c>
      <c r="K686" s="177">
        <f>IFERROR(IF([1]对账明细接口!$K$686=0,"",[1]对账明细接口!$K$686),"")</f>
      </c>
      <c r="L686" s="16">
        <f>IFERROR(IF([1]对账明细接口!$L$686=0,"",[1]对账明细接口!$L$686),"")</f>
      </c>
      <c r="M686" s="16">
        <f>IFERROR(IF([1]对账明细接口!$M$686=0,"",[1]对账明细接口!$M$686),"")</f>
      </c>
      <c r="N686" s="19">
        <f>IF($C686="",0,1)</f>
        <v>0</v>
      </c>
      <c r="O686" s="19">
        <f>N(O685)+$N686</f>
        <v>637</v>
      </c>
      <c r="S686" s="20">
        <f>IFERROR(IF([1]对账明细接口!$N686=0,"",[1]对账明细接口!$N686),"")</f>
      </c>
      <c r="T686" s="212">
        <f>IFERROR(IF([1]对账明细接口!$O686=0,"",[1]对账明细接口!$O686),"")</f>
      </c>
      <c r="U686" s="212">
        <f>IFERROR(IF([1]对账明细接口!$P686=0,"",[1]对账明细接口!$P686),"")</f>
      </c>
      <c r="V686" s="212">
        <f>IFERROR(IF([1]对账明细接口!$Q686=0,"",[1]对账明细接口!$Q686),"")</f>
      </c>
      <c r="W686" s="20">
        <f>IFERROR(IF([1]对账明细接口!$R686=0,"",[1]对账明细接口!$R686),"")</f>
      </c>
      <c r="X686" s="20">
        <f>IFERROR(IF([1]对账明细接口!$S686=0,"",[1]对账明细接口!$S686),"")</f>
      </c>
      <c r="Y686" s="20">
        <f>IFERROR(IF([1]对账明细接口!$T686=0,"",[1]对账明细接口!$T686),"")</f>
      </c>
      <c r="Z686" s="213">
        <f>IFERROR(IF([1]对账明细接口!$U686=0,"",[1]对账明细接口!$U686),"")</f>
      </c>
      <c r="AA686" s="213">
        <f>IFERROR(IF([1]对账明细接口!$V686=0,"",[1]对账明细接口!$V686),"")</f>
      </c>
      <c r="AB686" s="20">
        <f>IFERROR(IF([1]对账明细接口!$W686=0,"",[1]对账明细接口!$W686),"")</f>
      </c>
      <c r="AC686" s="7">
        <f>IFERROR(IF([1]对账明细接口!$X686=0,"",[1]对账明细接口!$X686),"")</f>
      </c>
      <c r="AD686" s="7">
        <f>IFERROR(IF([1]对账明细接口!$Y686=0,"",[1]对账明细接口!$Y686),"")</f>
      </c>
      <c r="AE686" s="7">
        <f>IFERROR(IF([1]对账明细接口!$AA686=0,"",[1]对账明细接口!$AA686),"")</f>
      </c>
      <c r="AF686" s="7">
        <f>IFERROR(IF([1]对账明细接口!$AB686=0,"",[1]对账明细接口!$AB686),"")</f>
      </c>
      <c r="AG686" s="7">
        <f>IFERROR(IF([1]对账明细接口!$AC686=0,"",[1]对账明细接口!$AC686),"")</f>
      </c>
      <c r="AH686" s="7">
        <f>IFERROR(IF([1]对账明细接口!$AD686=0,"",[1]对账明细接口!$AD686),"")</f>
      </c>
      <c r="AI686" s="7">
        <f>IFERROR(IF([1]对账明细接口!$AE686=0,"",[1]对账明细接口!$AE686),"")</f>
      </c>
      <c r="AJ686" s="7">
        <f>IFERROR(IF([1]对账明细接口!$AF686=0,"",[1]对账明细接口!$AF686),"")</f>
      </c>
    </row>
    <row r="687" ht="14.25" customHeight="1" s="127">
      <c r="A687" s="14" t="n">
        <v>687</v>
      </c>
      <c r="B687" s="211">
        <f>IFERROR(IF([1]对账明细接口!$B$687=0,"",[1]对账明细接口!$B$687),"")</f>
      </c>
      <c r="C687" s="16">
        <f>IFERROR(IF([1]对账明细接口!$C$687=0,"",[1]对账明细接口!$C$687),"")</f>
      </c>
      <c r="D687" s="16">
        <f>IFERROR(IF([1]对账明细接口!$D$687=0,"",[1]对账明细接口!$D$687),"")</f>
      </c>
      <c r="E687" s="16">
        <f>IFERROR(IF([1]对账明细接口!$E$687=0,"",[1]对账明细接口!$E$687),"")</f>
      </c>
      <c r="F687" s="16">
        <f>IFERROR(IF([1]对账明细接口!$F$687=0,"",[1]对账明细接口!$F$687),"")</f>
      </c>
      <c r="G687" s="16">
        <f>IFERROR(IF([1]对账明细接口!$G$687=0,"",[1]对账明细接口!$G$687),"")</f>
      </c>
      <c r="H687" s="176">
        <f>IFERROR(IF([1]对账明细接口!$H$687=0,"",[1]对账明细接口!$H$687),"")</f>
      </c>
      <c r="I687" s="16">
        <f>IFERROR(IF([1]对账明细接口!$I$687=0,"",[1]对账明细接口!$I$687),"")</f>
      </c>
      <c r="J687" s="177">
        <f>IFERROR(IF([1]对账明细接口!$J$687=0,"",[1]对账明细接口!$J$687),"")</f>
      </c>
      <c r="K687" s="177">
        <f>IFERROR(IF([1]对账明细接口!$K$687=0,"",[1]对账明细接口!$K$687),"")</f>
      </c>
      <c r="L687" s="16">
        <f>IFERROR(IF([1]对账明细接口!$L$687=0,"",[1]对账明细接口!$L$687),"")</f>
      </c>
      <c r="M687" s="16">
        <f>IFERROR(IF([1]对账明细接口!$M$687=0,"",[1]对账明细接口!$M$687),"")</f>
      </c>
      <c r="N687" s="19">
        <f>IF($C687="",0,1)</f>
        <v>0</v>
      </c>
      <c r="O687" s="19">
        <f>N(O686)+$N687</f>
        <v>637</v>
      </c>
      <c r="S687" s="20">
        <f>IFERROR(IF([1]对账明细接口!$N687=0,"",[1]对账明细接口!$N687),"")</f>
      </c>
      <c r="T687" s="212">
        <f>IFERROR(IF([1]对账明细接口!$O687=0,"",[1]对账明细接口!$O687),"")</f>
      </c>
      <c r="U687" s="212">
        <f>IFERROR(IF([1]对账明细接口!$P687=0,"",[1]对账明细接口!$P687),"")</f>
      </c>
      <c r="V687" s="212">
        <f>IFERROR(IF([1]对账明细接口!$Q687=0,"",[1]对账明细接口!$Q687),"")</f>
      </c>
      <c r="W687" s="20">
        <f>IFERROR(IF([1]对账明细接口!$R687=0,"",[1]对账明细接口!$R687),"")</f>
      </c>
      <c r="X687" s="20">
        <f>IFERROR(IF([1]对账明细接口!$S687=0,"",[1]对账明细接口!$S687),"")</f>
      </c>
      <c r="Y687" s="20">
        <f>IFERROR(IF([1]对账明细接口!$T687=0,"",[1]对账明细接口!$T687),"")</f>
      </c>
      <c r="Z687" s="213">
        <f>IFERROR(IF([1]对账明细接口!$U687=0,"",[1]对账明细接口!$U687),"")</f>
      </c>
      <c r="AA687" s="213">
        <f>IFERROR(IF([1]对账明细接口!$V687=0,"",[1]对账明细接口!$V687),"")</f>
      </c>
      <c r="AB687" s="20">
        <f>IFERROR(IF([1]对账明细接口!$W687=0,"",[1]对账明细接口!$W687),"")</f>
      </c>
      <c r="AC687" s="7">
        <f>IFERROR(IF([1]对账明细接口!$X687=0,"",[1]对账明细接口!$X687),"")</f>
      </c>
      <c r="AD687" s="7">
        <f>IFERROR(IF([1]对账明细接口!$Y687=0,"",[1]对账明细接口!$Y687),"")</f>
      </c>
      <c r="AE687" s="7">
        <f>IFERROR(IF([1]对账明细接口!$AA687=0,"",[1]对账明细接口!$AA687),"")</f>
      </c>
      <c r="AF687" s="7">
        <f>IFERROR(IF([1]对账明细接口!$AB687=0,"",[1]对账明细接口!$AB687),"")</f>
      </c>
      <c r="AG687" s="7">
        <f>IFERROR(IF([1]对账明细接口!$AC687=0,"",[1]对账明细接口!$AC687),"")</f>
      </c>
      <c r="AH687" s="7">
        <f>IFERROR(IF([1]对账明细接口!$AD687=0,"",[1]对账明细接口!$AD687),"")</f>
      </c>
      <c r="AI687" s="7">
        <f>IFERROR(IF([1]对账明细接口!$AE687=0,"",[1]对账明细接口!$AE687),"")</f>
      </c>
      <c r="AJ687" s="7">
        <f>IFERROR(IF([1]对账明细接口!$AF687=0,"",[1]对账明细接口!$AF687),"")</f>
      </c>
    </row>
    <row r="688" ht="14.25" customHeight="1" s="127">
      <c r="A688" s="14" t="n">
        <v>688</v>
      </c>
      <c r="B688" s="211">
        <f>IFERROR(IF([1]对账明细接口!$B$688=0,"",[1]对账明细接口!$B$688),"")</f>
      </c>
      <c r="C688" s="16">
        <f>IFERROR(IF([1]对账明细接口!$C$688=0,"",[1]对账明细接口!$C$688),"")</f>
      </c>
      <c r="D688" s="16">
        <f>IFERROR(IF([1]对账明细接口!$D$688=0,"",[1]对账明细接口!$D$688),"")</f>
      </c>
      <c r="E688" s="16">
        <f>IFERROR(IF([1]对账明细接口!$E$688=0,"",[1]对账明细接口!$E$688),"")</f>
      </c>
      <c r="F688" s="16">
        <f>IFERROR(IF([1]对账明细接口!$F$688=0,"",[1]对账明细接口!$F$688),"")</f>
      </c>
      <c r="G688" s="16">
        <f>IFERROR(IF([1]对账明细接口!$G$688=0,"",[1]对账明细接口!$G$688),"")</f>
      </c>
      <c r="H688" s="176">
        <f>IFERROR(IF([1]对账明细接口!$H$688=0,"",[1]对账明细接口!$H$688),"")</f>
      </c>
      <c r="I688" s="16">
        <f>IFERROR(IF([1]对账明细接口!$I$688=0,"",[1]对账明细接口!$I$688),"")</f>
      </c>
      <c r="J688" s="177">
        <f>IFERROR(IF([1]对账明细接口!$J$688=0,"",[1]对账明细接口!$J$688),"")</f>
      </c>
      <c r="K688" s="177">
        <f>IFERROR(IF([1]对账明细接口!$K$688=0,"",[1]对账明细接口!$K$688),"")</f>
      </c>
      <c r="L688" s="16">
        <f>IFERROR(IF([1]对账明细接口!$L$688=0,"",[1]对账明细接口!$L$688),"")</f>
      </c>
      <c r="M688" s="16">
        <f>IFERROR(IF([1]对账明细接口!$M$688=0,"",[1]对账明细接口!$M$688),"")</f>
      </c>
      <c r="N688" s="19">
        <f>IF($C688="",0,1)</f>
        <v>0</v>
      </c>
      <c r="O688" s="19">
        <f>N(O687)+$N688</f>
        <v>637</v>
      </c>
      <c r="S688" s="20">
        <f>IFERROR(IF([1]对账明细接口!$N688=0,"",[1]对账明细接口!$N688),"")</f>
      </c>
      <c r="T688" s="212">
        <f>IFERROR(IF([1]对账明细接口!$O688=0,"",[1]对账明细接口!$O688),"")</f>
      </c>
      <c r="U688" s="212">
        <f>IFERROR(IF([1]对账明细接口!$P688=0,"",[1]对账明细接口!$P688),"")</f>
      </c>
      <c r="V688" s="212">
        <f>IFERROR(IF([1]对账明细接口!$Q688=0,"",[1]对账明细接口!$Q688),"")</f>
      </c>
      <c r="W688" s="20">
        <f>IFERROR(IF([1]对账明细接口!$R688=0,"",[1]对账明细接口!$R688),"")</f>
      </c>
      <c r="X688" s="20">
        <f>IFERROR(IF([1]对账明细接口!$S688=0,"",[1]对账明细接口!$S688),"")</f>
      </c>
      <c r="Y688" s="20">
        <f>IFERROR(IF([1]对账明细接口!$T688=0,"",[1]对账明细接口!$T688),"")</f>
      </c>
      <c r="Z688" s="213">
        <f>IFERROR(IF([1]对账明细接口!$U688=0,"",[1]对账明细接口!$U688),"")</f>
      </c>
      <c r="AA688" s="213">
        <f>IFERROR(IF([1]对账明细接口!$V688=0,"",[1]对账明细接口!$V688),"")</f>
      </c>
      <c r="AB688" s="20">
        <f>IFERROR(IF([1]对账明细接口!$W688=0,"",[1]对账明细接口!$W688),"")</f>
      </c>
      <c r="AC688" s="7">
        <f>IFERROR(IF([1]对账明细接口!$X688=0,"",[1]对账明细接口!$X688),"")</f>
      </c>
      <c r="AD688" s="7">
        <f>IFERROR(IF([1]对账明细接口!$Y688=0,"",[1]对账明细接口!$Y688),"")</f>
      </c>
      <c r="AE688" s="7">
        <f>IFERROR(IF([1]对账明细接口!$AA688=0,"",[1]对账明细接口!$AA688),"")</f>
      </c>
      <c r="AF688" s="7">
        <f>IFERROR(IF([1]对账明细接口!$AB688=0,"",[1]对账明细接口!$AB688),"")</f>
      </c>
      <c r="AG688" s="7">
        <f>IFERROR(IF([1]对账明细接口!$AC688=0,"",[1]对账明细接口!$AC688),"")</f>
      </c>
      <c r="AH688" s="7">
        <f>IFERROR(IF([1]对账明细接口!$AD688=0,"",[1]对账明细接口!$AD688),"")</f>
      </c>
      <c r="AI688" s="7">
        <f>IFERROR(IF([1]对账明细接口!$AE688=0,"",[1]对账明细接口!$AE688),"")</f>
      </c>
      <c r="AJ688" s="7">
        <f>IFERROR(IF([1]对账明细接口!$AF688=0,"",[1]对账明细接口!$AF688),"")</f>
      </c>
    </row>
    <row r="689" ht="14.25" customHeight="1" s="127">
      <c r="A689" s="14" t="n">
        <v>689</v>
      </c>
      <c r="B689" s="211">
        <f>IFERROR(IF([1]对账明细接口!$B$689=0,"",[1]对账明细接口!$B$689),"")</f>
      </c>
      <c r="C689" s="16">
        <f>IFERROR(IF([1]对账明细接口!$C$689=0,"",[1]对账明细接口!$C$689),"")</f>
      </c>
      <c r="D689" s="16">
        <f>IFERROR(IF([1]对账明细接口!$D$689=0,"",[1]对账明细接口!$D$689),"")</f>
      </c>
      <c r="E689" s="16">
        <f>IFERROR(IF([1]对账明细接口!$E$689=0,"",[1]对账明细接口!$E$689),"")</f>
      </c>
      <c r="F689" s="16">
        <f>IFERROR(IF([1]对账明细接口!$F$689=0,"",[1]对账明细接口!$F$689),"")</f>
      </c>
      <c r="G689" s="16">
        <f>IFERROR(IF([1]对账明细接口!$G$689=0,"",[1]对账明细接口!$G$689),"")</f>
      </c>
      <c r="H689" s="176">
        <f>IFERROR(IF([1]对账明细接口!$H$689=0,"",[1]对账明细接口!$H$689),"")</f>
      </c>
      <c r="I689" s="16">
        <f>IFERROR(IF([1]对账明细接口!$I$689=0,"",[1]对账明细接口!$I$689),"")</f>
      </c>
      <c r="J689" s="177">
        <f>IFERROR(IF([1]对账明细接口!$J$689=0,"",[1]对账明细接口!$J$689),"")</f>
      </c>
      <c r="K689" s="177">
        <f>IFERROR(IF([1]对账明细接口!$K$689=0,"",[1]对账明细接口!$K$689),"")</f>
      </c>
      <c r="L689" s="16">
        <f>IFERROR(IF([1]对账明细接口!$L$689=0,"",[1]对账明细接口!$L$689),"")</f>
      </c>
      <c r="M689" s="16">
        <f>IFERROR(IF([1]对账明细接口!$M$689=0,"",[1]对账明细接口!$M$689),"")</f>
      </c>
      <c r="N689" s="19">
        <f>IF($C689="",0,1)</f>
        <v>0</v>
      </c>
      <c r="O689" s="19">
        <f>N(O688)+$N689</f>
        <v>637</v>
      </c>
      <c r="S689" s="20">
        <f>IFERROR(IF([1]对账明细接口!$N689=0,"",[1]对账明细接口!$N689),"")</f>
      </c>
      <c r="T689" s="212">
        <f>IFERROR(IF([1]对账明细接口!$O689=0,"",[1]对账明细接口!$O689),"")</f>
      </c>
      <c r="U689" s="212">
        <f>IFERROR(IF([1]对账明细接口!$P689=0,"",[1]对账明细接口!$P689),"")</f>
      </c>
      <c r="V689" s="212">
        <f>IFERROR(IF([1]对账明细接口!$Q689=0,"",[1]对账明细接口!$Q689),"")</f>
      </c>
      <c r="W689" s="20">
        <f>IFERROR(IF([1]对账明细接口!$R689=0,"",[1]对账明细接口!$R689),"")</f>
      </c>
      <c r="X689" s="20">
        <f>IFERROR(IF([1]对账明细接口!$S689=0,"",[1]对账明细接口!$S689),"")</f>
      </c>
      <c r="Y689" s="20">
        <f>IFERROR(IF([1]对账明细接口!$T689=0,"",[1]对账明细接口!$T689),"")</f>
      </c>
      <c r="Z689" s="213">
        <f>IFERROR(IF([1]对账明细接口!$U689=0,"",[1]对账明细接口!$U689),"")</f>
      </c>
      <c r="AA689" s="213">
        <f>IFERROR(IF([1]对账明细接口!$V689=0,"",[1]对账明细接口!$V689),"")</f>
      </c>
      <c r="AB689" s="20">
        <f>IFERROR(IF([1]对账明细接口!$W689=0,"",[1]对账明细接口!$W689),"")</f>
      </c>
      <c r="AC689" s="7">
        <f>IFERROR(IF([1]对账明细接口!$X689=0,"",[1]对账明细接口!$X689),"")</f>
      </c>
      <c r="AD689" s="7">
        <f>IFERROR(IF([1]对账明细接口!$Y689=0,"",[1]对账明细接口!$Y689),"")</f>
      </c>
      <c r="AE689" s="7">
        <f>IFERROR(IF([1]对账明细接口!$AA689=0,"",[1]对账明细接口!$AA689),"")</f>
      </c>
      <c r="AF689" s="7">
        <f>IFERROR(IF([1]对账明细接口!$AB689=0,"",[1]对账明细接口!$AB689),"")</f>
      </c>
      <c r="AG689" s="7">
        <f>IFERROR(IF([1]对账明细接口!$AC689=0,"",[1]对账明细接口!$AC689),"")</f>
      </c>
      <c r="AH689" s="7">
        <f>IFERROR(IF([1]对账明细接口!$AD689=0,"",[1]对账明细接口!$AD689),"")</f>
      </c>
      <c r="AI689" s="7">
        <f>IFERROR(IF([1]对账明细接口!$AE689=0,"",[1]对账明细接口!$AE689),"")</f>
      </c>
      <c r="AJ689" s="7">
        <f>IFERROR(IF([1]对账明细接口!$AF689=0,"",[1]对账明细接口!$AF689),"")</f>
      </c>
    </row>
    <row r="690" ht="14.25" customHeight="1" s="127">
      <c r="A690" s="14" t="n">
        <v>690</v>
      </c>
      <c r="B690" s="211">
        <f>IFERROR(IF([1]对账明细接口!$B$690=0,"",[1]对账明细接口!$B$690),"")</f>
      </c>
      <c r="C690" s="16">
        <f>IFERROR(IF([1]对账明细接口!$C$690=0,"",[1]对账明细接口!$C$690),"")</f>
      </c>
      <c r="D690" s="16">
        <f>IFERROR(IF([1]对账明细接口!$D$690=0,"",[1]对账明细接口!$D$690),"")</f>
      </c>
      <c r="E690" s="16">
        <f>IFERROR(IF([1]对账明细接口!$E$690=0,"",[1]对账明细接口!$E$690),"")</f>
      </c>
      <c r="F690" s="16">
        <f>IFERROR(IF([1]对账明细接口!$F$690=0,"",[1]对账明细接口!$F$690),"")</f>
      </c>
      <c r="G690" s="16">
        <f>IFERROR(IF([1]对账明细接口!$G$690=0,"",[1]对账明细接口!$G$690),"")</f>
      </c>
      <c r="H690" s="176">
        <f>IFERROR(IF([1]对账明细接口!$H$690=0,"",[1]对账明细接口!$H$690),"")</f>
      </c>
      <c r="I690" s="16">
        <f>IFERROR(IF([1]对账明细接口!$I$690=0,"",[1]对账明细接口!$I$690),"")</f>
      </c>
      <c r="J690" s="177">
        <f>IFERROR(IF([1]对账明细接口!$J$690=0,"",[1]对账明细接口!$J$690),"")</f>
      </c>
      <c r="K690" s="177">
        <f>IFERROR(IF([1]对账明细接口!$K$690=0,"",[1]对账明细接口!$K$690),"")</f>
      </c>
      <c r="L690" s="16">
        <f>IFERROR(IF([1]对账明细接口!$L$690=0,"",[1]对账明细接口!$L$690),"")</f>
      </c>
      <c r="M690" s="16">
        <f>IFERROR(IF([1]对账明细接口!$M$690=0,"",[1]对账明细接口!$M$690),"")</f>
      </c>
      <c r="N690" s="19">
        <f>IF($C690="",0,1)</f>
        <v>0</v>
      </c>
      <c r="O690" s="19">
        <f>N(O689)+$N690</f>
        <v>637</v>
      </c>
      <c r="S690" s="20">
        <f>IFERROR(IF([1]对账明细接口!$N690=0,"",[1]对账明细接口!$N690),"")</f>
      </c>
      <c r="T690" s="212">
        <f>IFERROR(IF([1]对账明细接口!$O690=0,"",[1]对账明细接口!$O690),"")</f>
      </c>
      <c r="U690" s="212">
        <f>IFERROR(IF([1]对账明细接口!$P690=0,"",[1]对账明细接口!$P690),"")</f>
      </c>
      <c r="V690" s="212">
        <f>IFERROR(IF([1]对账明细接口!$Q690=0,"",[1]对账明细接口!$Q690),"")</f>
      </c>
      <c r="W690" s="20">
        <f>IFERROR(IF([1]对账明细接口!$R690=0,"",[1]对账明细接口!$R690),"")</f>
      </c>
      <c r="X690" s="20">
        <f>IFERROR(IF([1]对账明细接口!$S690=0,"",[1]对账明细接口!$S690),"")</f>
      </c>
      <c r="Y690" s="20">
        <f>IFERROR(IF([1]对账明细接口!$T690=0,"",[1]对账明细接口!$T690),"")</f>
      </c>
      <c r="Z690" s="213">
        <f>IFERROR(IF([1]对账明细接口!$U690=0,"",[1]对账明细接口!$U690),"")</f>
      </c>
      <c r="AA690" s="213">
        <f>IFERROR(IF([1]对账明细接口!$V690=0,"",[1]对账明细接口!$V690),"")</f>
      </c>
      <c r="AB690" s="20">
        <f>IFERROR(IF([1]对账明细接口!$W690=0,"",[1]对账明细接口!$W690),"")</f>
      </c>
      <c r="AC690" s="7">
        <f>IFERROR(IF([1]对账明细接口!$X690=0,"",[1]对账明细接口!$X690),"")</f>
      </c>
      <c r="AD690" s="7">
        <f>IFERROR(IF([1]对账明细接口!$Y690=0,"",[1]对账明细接口!$Y690),"")</f>
      </c>
      <c r="AE690" s="7">
        <f>IFERROR(IF([1]对账明细接口!$AA690=0,"",[1]对账明细接口!$AA690),"")</f>
      </c>
      <c r="AF690" s="7">
        <f>IFERROR(IF([1]对账明细接口!$AB690=0,"",[1]对账明细接口!$AB690),"")</f>
      </c>
      <c r="AG690" s="7">
        <f>IFERROR(IF([1]对账明细接口!$AC690=0,"",[1]对账明细接口!$AC690),"")</f>
      </c>
      <c r="AH690" s="7">
        <f>IFERROR(IF([1]对账明细接口!$AD690=0,"",[1]对账明细接口!$AD690),"")</f>
      </c>
      <c r="AI690" s="7">
        <f>IFERROR(IF([1]对账明细接口!$AE690=0,"",[1]对账明细接口!$AE690),"")</f>
      </c>
      <c r="AJ690" s="7">
        <f>IFERROR(IF([1]对账明细接口!$AF690=0,"",[1]对账明细接口!$AF690),"")</f>
      </c>
    </row>
    <row r="691" ht="14.25" customHeight="1" s="127">
      <c r="A691" s="14" t="n">
        <v>691</v>
      </c>
      <c r="B691" s="211">
        <f>IFERROR(IF([1]对账明细接口!$B$691=0,"",[1]对账明细接口!$B$691),"")</f>
      </c>
      <c r="C691" s="16">
        <f>IFERROR(IF([1]对账明细接口!$C$691=0,"",[1]对账明细接口!$C$691),"")</f>
      </c>
      <c r="D691" s="16">
        <f>IFERROR(IF([1]对账明细接口!$D$691=0,"",[1]对账明细接口!$D$691),"")</f>
      </c>
      <c r="E691" s="16">
        <f>IFERROR(IF([1]对账明细接口!$E$691=0,"",[1]对账明细接口!$E$691),"")</f>
      </c>
      <c r="F691" s="16">
        <f>IFERROR(IF([1]对账明细接口!$F$691=0,"",[1]对账明细接口!$F$691),"")</f>
      </c>
      <c r="G691" s="16">
        <f>IFERROR(IF([1]对账明细接口!$G$691=0,"",[1]对账明细接口!$G$691),"")</f>
      </c>
      <c r="H691" s="176">
        <f>IFERROR(IF([1]对账明细接口!$H$691=0,"",[1]对账明细接口!$H$691),"")</f>
      </c>
      <c r="I691" s="16">
        <f>IFERROR(IF([1]对账明细接口!$I$691=0,"",[1]对账明细接口!$I$691),"")</f>
      </c>
      <c r="J691" s="177">
        <f>IFERROR(IF([1]对账明细接口!$J$691=0,"",[1]对账明细接口!$J$691),"")</f>
      </c>
      <c r="K691" s="177">
        <f>IFERROR(IF([1]对账明细接口!$K$691=0,"",[1]对账明细接口!$K$691),"")</f>
      </c>
      <c r="L691" s="16">
        <f>IFERROR(IF([1]对账明细接口!$L$691=0,"",[1]对账明细接口!$L$691),"")</f>
      </c>
      <c r="M691" s="16">
        <f>IFERROR(IF([1]对账明细接口!$M$691=0,"",[1]对账明细接口!$M$691),"")</f>
      </c>
      <c r="N691" s="19">
        <f>IF($C691="",0,1)</f>
        <v>0</v>
      </c>
      <c r="O691" s="19">
        <f>N(O690)+$N691</f>
        <v>637</v>
      </c>
      <c r="S691" s="20">
        <f>IFERROR(IF([1]对账明细接口!$N691=0,"",[1]对账明细接口!$N691),"")</f>
      </c>
      <c r="T691" s="212">
        <f>IFERROR(IF([1]对账明细接口!$O691=0,"",[1]对账明细接口!$O691),"")</f>
      </c>
      <c r="U691" s="212">
        <f>IFERROR(IF([1]对账明细接口!$P691=0,"",[1]对账明细接口!$P691),"")</f>
      </c>
      <c r="V691" s="212">
        <f>IFERROR(IF([1]对账明细接口!$Q691=0,"",[1]对账明细接口!$Q691),"")</f>
      </c>
      <c r="W691" s="20">
        <f>IFERROR(IF([1]对账明细接口!$R691=0,"",[1]对账明细接口!$R691),"")</f>
      </c>
      <c r="X691" s="20">
        <f>IFERROR(IF([1]对账明细接口!$S691=0,"",[1]对账明细接口!$S691),"")</f>
      </c>
      <c r="Y691" s="20">
        <f>IFERROR(IF([1]对账明细接口!$T691=0,"",[1]对账明细接口!$T691),"")</f>
      </c>
      <c r="Z691" s="213">
        <f>IFERROR(IF([1]对账明细接口!$U691=0,"",[1]对账明细接口!$U691),"")</f>
      </c>
      <c r="AA691" s="213">
        <f>IFERROR(IF([1]对账明细接口!$V691=0,"",[1]对账明细接口!$V691),"")</f>
      </c>
      <c r="AB691" s="20">
        <f>IFERROR(IF([1]对账明细接口!$W691=0,"",[1]对账明细接口!$W691),"")</f>
      </c>
      <c r="AC691" s="7">
        <f>IFERROR(IF([1]对账明细接口!$X691=0,"",[1]对账明细接口!$X691),"")</f>
      </c>
      <c r="AD691" s="7">
        <f>IFERROR(IF([1]对账明细接口!$Y691=0,"",[1]对账明细接口!$Y691),"")</f>
      </c>
      <c r="AE691" s="7">
        <f>IFERROR(IF([1]对账明细接口!$AA691=0,"",[1]对账明细接口!$AA691),"")</f>
      </c>
      <c r="AF691" s="7">
        <f>IFERROR(IF([1]对账明细接口!$AB691=0,"",[1]对账明细接口!$AB691),"")</f>
      </c>
      <c r="AG691" s="7">
        <f>IFERROR(IF([1]对账明细接口!$AC691=0,"",[1]对账明细接口!$AC691),"")</f>
      </c>
      <c r="AH691" s="7">
        <f>IFERROR(IF([1]对账明细接口!$AD691=0,"",[1]对账明细接口!$AD691),"")</f>
      </c>
      <c r="AI691" s="7">
        <f>IFERROR(IF([1]对账明细接口!$AE691=0,"",[1]对账明细接口!$AE691),"")</f>
      </c>
      <c r="AJ691" s="7">
        <f>IFERROR(IF([1]对账明细接口!$AF691=0,"",[1]对账明细接口!$AF691),"")</f>
      </c>
    </row>
    <row r="692" ht="14.25" customHeight="1" s="127">
      <c r="A692" s="14" t="n">
        <v>692</v>
      </c>
      <c r="B692" s="211">
        <f>IFERROR(IF([1]对账明细接口!$B$692=0,"",[1]对账明细接口!$B$692),"")</f>
      </c>
      <c r="C692" s="16">
        <f>IFERROR(IF([1]对账明细接口!$C$692=0,"",[1]对账明细接口!$C$692),"")</f>
      </c>
      <c r="D692" s="16">
        <f>IFERROR(IF([1]对账明细接口!$D$692=0,"",[1]对账明细接口!$D$692),"")</f>
      </c>
      <c r="E692" s="16">
        <f>IFERROR(IF([1]对账明细接口!$E$692=0,"",[1]对账明细接口!$E$692),"")</f>
      </c>
      <c r="F692" s="16">
        <f>IFERROR(IF([1]对账明细接口!$F$692=0,"",[1]对账明细接口!$F$692),"")</f>
      </c>
      <c r="G692" s="16">
        <f>IFERROR(IF([1]对账明细接口!$G$692=0,"",[1]对账明细接口!$G$692),"")</f>
      </c>
      <c r="H692" s="176">
        <f>IFERROR(IF([1]对账明细接口!$H$692=0,"",[1]对账明细接口!$H$692),"")</f>
      </c>
      <c r="I692" s="16">
        <f>IFERROR(IF([1]对账明细接口!$I$692=0,"",[1]对账明细接口!$I$692),"")</f>
      </c>
      <c r="J692" s="177">
        <f>IFERROR(IF([1]对账明细接口!$J$692=0,"",[1]对账明细接口!$J$692),"")</f>
      </c>
      <c r="K692" s="177">
        <f>IFERROR(IF([1]对账明细接口!$K$692=0,"",[1]对账明细接口!$K$692),"")</f>
      </c>
      <c r="L692" s="16">
        <f>IFERROR(IF([1]对账明细接口!$L$692=0,"",[1]对账明细接口!$L$692),"")</f>
      </c>
      <c r="M692" s="16">
        <f>IFERROR(IF([1]对账明细接口!$M$692=0,"",[1]对账明细接口!$M$692),"")</f>
      </c>
      <c r="N692" s="19">
        <f>IF($C692="",0,1)</f>
        <v>0</v>
      </c>
      <c r="O692" s="19">
        <f>N(O691)+$N692</f>
        <v>637</v>
      </c>
      <c r="S692" s="20">
        <f>IFERROR(IF([1]对账明细接口!$N692=0,"",[1]对账明细接口!$N692),"")</f>
      </c>
      <c r="T692" s="212">
        <f>IFERROR(IF([1]对账明细接口!$O692=0,"",[1]对账明细接口!$O692),"")</f>
      </c>
      <c r="U692" s="212">
        <f>IFERROR(IF([1]对账明细接口!$P692=0,"",[1]对账明细接口!$P692),"")</f>
      </c>
      <c r="V692" s="212">
        <f>IFERROR(IF([1]对账明细接口!$Q692=0,"",[1]对账明细接口!$Q692),"")</f>
      </c>
      <c r="W692" s="20">
        <f>IFERROR(IF([1]对账明细接口!$R692=0,"",[1]对账明细接口!$R692),"")</f>
      </c>
      <c r="X692" s="20">
        <f>IFERROR(IF([1]对账明细接口!$S692=0,"",[1]对账明细接口!$S692),"")</f>
      </c>
      <c r="Y692" s="20">
        <f>IFERROR(IF([1]对账明细接口!$T692=0,"",[1]对账明细接口!$T692),"")</f>
      </c>
      <c r="Z692" s="213">
        <f>IFERROR(IF([1]对账明细接口!$U692=0,"",[1]对账明细接口!$U692),"")</f>
      </c>
      <c r="AA692" s="213">
        <f>IFERROR(IF([1]对账明细接口!$V692=0,"",[1]对账明细接口!$V692),"")</f>
      </c>
      <c r="AB692" s="20">
        <f>IFERROR(IF([1]对账明细接口!$W692=0,"",[1]对账明细接口!$W692),"")</f>
      </c>
      <c r="AC692" s="7">
        <f>IFERROR(IF([1]对账明细接口!$X692=0,"",[1]对账明细接口!$X692),"")</f>
      </c>
      <c r="AD692" s="7">
        <f>IFERROR(IF([1]对账明细接口!$Y692=0,"",[1]对账明细接口!$Y692),"")</f>
      </c>
      <c r="AE692" s="7">
        <f>IFERROR(IF([1]对账明细接口!$AA692=0,"",[1]对账明细接口!$AA692),"")</f>
      </c>
      <c r="AF692" s="7">
        <f>IFERROR(IF([1]对账明细接口!$AB692=0,"",[1]对账明细接口!$AB692),"")</f>
      </c>
      <c r="AG692" s="7">
        <f>IFERROR(IF([1]对账明细接口!$AC692=0,"",[1]对账明细接口!$AC692),"")</f>
      </c>
      <c r="AH692" s="7">
        <f>IFERROR(IF([1]对账明细接口!$AD692=0,"",[1]对账明细接口!$AD692),"")</f>
      </c>
      <c r="AI692" s="7">
        <f>IFERROR(IF([1]对账明细接口!$AE692=0,"",[1]对账明细接口!$AE692),"")</f>
      </c>
      <c r="AJ692" s="7">
        <f>IFERROR(IF([1]对账明细接口!$AF692=0,"",[1]对账明细接口!$AF692),"")</f>
      </c>
    </row>
    <row r="693" ht="14.25" customHeight="1" s="127">
      <c r="A693" s="14" t="n">
        <v>693</v>
      </c>
      <c r="B693" s="211">
        <f>IFERROR(IF([1]对账明细接口!$B$693=0,"",[1]对账明细接口!$B$693),"")</f>
      </c>
      <c r="C693" s="16">
        <f>IFERROR(IF([1]对账明细接口!$C$693=0,"",[1]对账明细接口!$C$693),"")</f>
      </c>
      <c r="D693" s="16">
        <f>IFERROR(IF([1]对账明细接口!$D$693=0,"",[1]对账明细接口!$D$693),"")</f>
      </c>
      <c r="E693" s="16">
        <f>IFERROR(IF([1]对账明细接口!$E$693=0,"",[1]对账明细接口!$E$693),"")</f>
      </c>
      <c r="F693" s="16">
        <f>IFERROR(IF([1]对账明细接口!$F$693=0,"",[1]对账明细接口!$F$693),"")</f>
      </c>
      <c r="G693" s="16">
        <f>IFERROR(IF([1]对账明细接口!$G$693=0,"",[1]对账明细接口!$G$693),"")</f>
      </c>
      <c r="H693" s="176">
        <f>IFERROR(IF([1]对账明细接口!$H$693=0,"",[1]对账明细接口!$H$693),"")</f>
      </c>
      <c r="I693" s="16">
        <f>IFERROR(IF([1]对账明细接口!$I$693=0,"",[1]对账明细接口!$I$693),"")</f>
      </c>
      <c r="J693" s="177">
        <f>IFERROR(IF([1]对账明细接口!$J$693=0,"",[1]对账明细接口!$J$693),"")</f>
      </c>
      <c r="K693" s="177">
        <f>IFERROR(IF([1]对账明细接口!$K$693=0,"",[1]对账明细接口!$K$693),"")</f>
      </c>
      <c r="L693" s="16">
        <f>IFERROR(IF([1]对账明细接口!$L$693=0,"",[1]对账明细接口!$L$693),"")</f>
      </c>
      <c r="M693" s="16">
        <f>IFERROR(IF([1]对账明细接口!$M$693=0,"",[1]对账明细接口!$M$693),"")</f>
      </c>
      <c r="N693" s="19">
        <f>IF($C693="",0,1)</f>
        <v>0</v>
      </c>
      <c r="O693" s="19">
        <f>N(O692)+$N693</f>
        <v>637</v>
      </c>
      <c r="S693" s="20">
        <f>IFERROR(IF([1]对账明细接口!$N693=0,"",[1]对账明细接口!$N693),"")</f>
      </c>
      <c r="T693" s="212">
        <f>IFERROR(IF([1]对账明细接口!$O693=0,"",[1]对账明细接口!$O693),"")</f>
      </c>
      <c r="U693" s="212">
        <f>IFERROR(IF([1]对账明细接口!$P693=0,"",[1]对账明细接口!$P693),"")</f>
      </c>
      <c r="V693" s="212">
        <f>IFERROR(IF([1]对账明细接口!$Q693=0,"",[1]对账明细接口!$Q693),"")</f>
      </c>
      <c r="W693" s="20">
        <f>IFERROR(IF([1]对账明细接口!$R693=0,"",[1]对账明细接口!$R693),"")</f>
      </c>
      <c r="X693" s="20">
        <f>IFERROR(IF([1]对账明细接口!$S693=0,"",[1]对账明细接口!$S693),"")</f>
      </c>
      <c r="Y693" s="20">
        <f>IFERROR(IF([1]对账明细接口!$T693=0,"",[1]对账明细接口!$T693),"")</f>
      </c>
      <c r="Z693" s="213">
        <f>IFERROR(IF([1]对账明细接口!$U693=0,"",[1]对账明细接口!$U693),"")</f>
      </c>
      <c r="AA693" s="213">
        <f>IFERROR(IF([1]对账明细接口!$V693=0,"",[1]对账明细接口!$V693),"")</f>
      </c>
      <c r="AB693" s="20">
        <f>IFERROR(IF([1]对账明细接口!$W693=0,"",[1]对账明细接口!$W693),"")</f>
      </c>
      <c r="AC693" s="7">
        <f>IFERROR(IF([1]对账明细接口!$X693=0,"",[1]对账明细接口!$X693),"")</f>
      </c>
      <c r="AD693" s="7">
        <f>IFERROR(IF([1]对账明细接口!$Y693=0,"",[1]对账明细接口!$Y693),"")</f>
      </c>
      <c r="AE693" s="7">
        <f>IFERROR(IF([1]对账明细接口!$AA693=0,"",[1]对账明细接口!$AA693),"")</f>
      </c>
      <c r="AF693" s="7">
        <f>IFERROR(IF([1]对账明细接口!$AB693=0,"",[1]对账明细接口!$AB693),"")</f>
      </c>
      <c r="AG693" s="7">
        <f>IFERROR(IF([1]对账明细接口!$AC693=0,"",[1]对账明细接口!$AC693),"")</f>
      </c>
      <c r="AH693" s="7">
        <f>IFERROR(IF([1]对账明细接口!$AD693=0,"",[1]对账明细接口!$AD693),"")</f>
      </c>
      <c r="AI693" s="7">
        <f>IFERROR(IF([1]对账明细接口!$AE693=0,"",[1]对账明细接口!$AE693),"")</f>
      </c>
      <c r="AJ693" s="7">
        <f>IFERROR(IF([1]对账明细接口!$AF693=0,"",[1]对账明细接口!$AF693),"")</f>
      </c>
    </row>
    <row r="694" ht="14.25" customHeight="1" s="127">
      <c r="A694" s="14" t="n">
        <v>694</v>
      </c>
      <c r="B694" s="211">
        <f>IFERROR(IF([1]对账明细接口!$B$694=0,"",[1]对账明细接口!$B$694),"")</f>
      </c>
      <c r="C694" s="16">
        <f>IFERROR(IF([1]对账明细接口!$C$694=0,"",[1]对账明细接口!$C$694),"")</f>
      </c>
      <c r="D694" s="16">
        <f>IFERROR(IF([1]对账明细接口!$D$694=0,"",[1]对账明细接口!$D$694),"")</f>
      </c>
      <c r="E694" s="16">
        <f>IFERROR(IF([1]对账明细接口!$E$694=0,"",[1]对账明细接口!$E$694),"")</f>
      </c>
      <c r="F694" s="16">
        <f>IFERROR(IF([1]对账明细接口!$F$694=0,"",[1]对账明细接口!$F$694),"")</f>
      </c>
      <c r="G694" s="16">
        <f>IFERROR(IF([1]对账明细接口!$G$694=0,"",[1]对账明细接口!$G$694),"")</f>
      </c>
      <c r="H694" s="176">
        <f>IFERROR(IF([1]对账明细接口!$H$694=0,"",[1]对账明细接口!$H$694),"")</f>
      </c>
      <c r="I694" s="16">
        <f>IFERROR(IF([1]对账明细接口!$I$694=0,"",[1]对账明细接口!$I$694),"")</f>
      </c>
      <c r="J694" s="177">
        <f>IFERROR(IF([1]对账明细接口!$J$694=0,"",[1]对账明细接口!$J$694),"")</f>
      </c>
      <c r="K694" s="177">
        <f>IFERROR(IF([1]对账明细接口!$K$694=0,"",[1]对账明细接口!$K$694),"")</f>
      </c>
      <c r="L694" s="16">
        <f>IFERROR(IF([1]对账明细接口!$L$694=0,"",[1]对账明细接口!$L$694),"")</f>
      </c>
      <c r="M694" s="16">
        <f>IFERROR(IF([1]对账明细接口!$M$694=0,"",[1]对账明细接口!$M$694),"")</f>
      </c>
      <c r="N694" s="19">
        <f>IF($C694="",0,1)</f>
        <v>0</v>
      </c>
      <c r="O694" s="19">
        <f>N(O693)+$N694</f>
        <v>637</v>
      </c>
      <c r="S694" s="20">
        <f>IFERROR(IF([1]对账明细接口!$N694=0,"",[1]对账明细接口!$N694),"")</f>
      </c>
      <c r="T694" s="212">
        <f>IFERROR(IF([1]对账明细接口!$O694=0,"",[1]对账明细接口!$O694),"")</f>
      </c>
      <c r="U694" s="212">
        <f>IFERROR(IF([1]对账明细接口!$P694=0,"",[1]对账明细接口!$P694),"")</f>
      </c>
      <c r="V694" s="212">
        <f>IFERROR(IF([1]对账明细接口!$Q694=0,"",[1]对账明细接口!$Q694),"")</f>
      </c>
      <c r="W694" s="20">
        <f>IFERROR(IF([1]对账明细接口!$R694=0,"",[1]对账明细接口!$R694),"")</f>
      </c>
      <c r="X694" s="20">
        <f>IFERROR(IF([1]对账明细接口!$S694=0,"",[1]对账明细接口!$S694),"")</f>
      </c>
      <c r="Y694" s="20">
        <f>IFERROR(IF([1]对账明细接口!$T694=0,"",[1]对账明细接口!$T694),"")</f>
      </c>
      <c r="Z694" s="213">
        <f>IFERROR(IF([1]对账明细接口!$U694=0,"",[1]对账明细接口!$U694),"")</f>
      </c>
      <c r="AA694" s="213">
        <f>IFERROR(IF([1]对账明细接口!$V694=0,"",[1]对账明细接口!$V694),"")</f>
      </c>
      <c r="AB694" s="20">
        <f>IFERROR(IF([1]对账明细接口!$W694=0,"",[1]对账明细接口!$W694),"")</f>
      </c>
      <c r="AC694" s="7">
        <f>IFERROR(IF([1]对账明细接口!$X694=0,"",[1]对账明细接口!$X694),"")</f>
      </c>
      <c r="AD694" s="7">
        <f>IFERROR(IF([1]对账明细接口!$Y694=0,"",[1]对账明细接口!$Y694),"")</f>
      </c>
      <c r="AE694" s="7">
        <f>IFERROR(IF([1]对账明细接口!$AA694=0,"",[1]对账明细接口!$AA694),"")</f>
      </c>
      <c r="AF694" s="7">
        <f>IFERROR(IF([1]对账明细接口!$AB694=0,"",[1]对账明细接口!$AB694),"")</f>
      </c>
      <c r="AG694" s="7">
        <f>IFERROR(IF([1]对账明细接口!$AC694=0,"",[1]对账明细接口!$AC694),"")</f>
      </c>
      <c r="AH694" s="7">
        <f>IFERROR(IF([1]对账明细接口!$AD694=0,"",[1]对账明细接口!$AD694),"")</f>
      </c>
      <c r="AI694" s="7">
        <f>IFERROR(IF([1]对账明细接口!$AE694=0,"",[1]对账明细接口!$AE694),"")</f>
      </c>
      <c r="AJ694" s="7">
        <f>IFERROR(IF([1]对账明细接口!$AF694=0,"",[1]对账明细接口!$AF694),"")</f>
      </c>
    </row>
    <row r="695" ht="14.25" customHeight="1" s="127">
      <c r="A695" s="14" t="n">
        <v>695</v>
      </c>
      <c r="B695" s="211">
        <f>IFERROR(IF([1]对账明细接口!$B$695=0,"",[1]对账明细接口!$B$695),"")</f>
      </c>
      <c r="C695" s="16">
        <f>IFERROR(IF([1]对账明细接口!$C$695=0,"",[1]对账明细接口!$C$695),"")</f>
      </c>
      <c r="D695" s="16">
        <f>IFERROR(IF([1]对账明细接口!$D$695=0,"",[1]对账明细接口!$D$695),"")</f>
      </c>
      <c r="E695" s="16">
        <f>IFERROR(IF([1]对账明细接口!$E$695=0,"",[1]对账明细接口!$E$695),"")</f>
      </c>
      <c r="F695" s="16">
        <f>IFERROR(IF([1]对账明细接口!$F$695=0,"",[1]对账明细接口!$F$695),"")</f>
      </c>
      <c r="G695" s="16">
        <f>IFERROR(IF([1]对账明细接口!$G$695=0,"",[1]对账明细接口!$G$695),"")</f>
      </c>
      <c r="H695" s="176">
        <f>IFERROR(IF([1]对账明细接口!$H$695=0,"",[1]对账明细接口!$H$695),"")</f>
      </c>
      <c r="I695" s="16">
        <f>IFERROR(IF([1]对账明细接口!$I$695=0,"",[1]对账明细接口!$I$695),"")</f>
      </c>
      <c r="J695" s="177">
        <f>IFERROR(IF([1]对账明细接口!$J$695=0,"",[1]对账明细接口!$J$695),"")</f>
      </c>
      <c r="K695" s="177">
        <f>IFERROR(IF([1]对账明细接口!$K$695=0,"",[1]对账明细接口!$K$695),"")</f>
      </c>
      <c r="L695" s="16">
        <f>IFERROR(IF([1]对账明细接口!$L$695=0,"",[1]对账明细接口!$L$695),"")</f>
      </c>
      <c r="M695" s="16">
        <f>IFERROR(IF([1]对账明细接口!$M$695=0,"",[1]对账明细接口!$M$695),"")</f>
      </c>
      <c r="N695" s="19">
        <f>IF($C695="",0,1)</f>
        <v>0</v>
      </c>
      <c r="O695" s="19">
        <f>N(O694)+$N695</f>
        <v>637</v>
      </c>
      <c r="S695" s="20">
        <f>IFERROR(IF([1]对账明细接口!$N695=0,"",[1]对账明细接口!$N695),"")</f>
      </c>
      <c r="T695" s="212">
        <f>IFERROR(IF([1]对账明细接口!$O695=0,"",[1]对账明细接口!$O695),"")</f>
      </c>
      <c r="U695" s="212">
        <f>IFERROR(IF([1]对账明细接口!$P695=0,"",[1]对账明细接口!$P695),"")</f>
      </c>
      <c r="V695" s="212">
        <f>IFERROR(IF([1]对账明细接口!$Q695=0,"",[1]对账明细接口!$Q695),"")</f>
      </c>
      <c r="W695" s="20">
        <f>IFERROR(IF([1]对账明细接口!$R695=0,"",[1]对账明细接口!$R695),"")</f>
      </c>
      <c r="X695" s="20">
        <f>IFERROR(IF([1]对账明细接口!$S695=0,"",[1]对账明细接口!$S695),"")</f>
      </c>
      <c r="Y695" s="20">
        <f>IFERROR(IF([1]对账明细接口!$T695=0,"",[1]对账明细接口!$T695),"")</f>
      </c>
      <c r="Z695" s="213">
        <f>IFERROR(IF([1]对账明细接口!$U695=0,"",[1]对账明细接口!$U695),"")</f>
      </c>
      <c r="AA695" s="213">
        <f>IFERROR(IF([1]对账明细接口!$V695=0,"",[1]对账明细接口!$V695),"")</f>
      </c>
      <c r="AB695" s="20">
        <f>IFERROR(IF([1]对账明细接口!$W695=0,"",[1]对账明细接口!$W695),"")</f>
      </c>
      <c r="AC695" s="7">
        <f>IFERROR(IF([1]对账明细接口!$X695=0,"",[1]对账明细接口!$X695),"")</f>
      </c>
      <c r="AD695" s="7">
        <f>IFERROR(IF([1]对账明细接口!$Y695=0,"",[1]对账明细接口!$Y695),"")</f>
      </c>
      <c r="AE695" s="7">
        <f>IFERROR(IF([1]对账明细接口!$AA695=0,"",[1]对账明细接口!$AA695),"")</f>
      </c>
      <c r="AF695" s="7">
        <f>IFERROR(IF([1]对账明细接口!$AB695=0,"",[1]对账明细接口!$AB695),"")</f>
      </c>
      <c r="AG695" s="7">
        <f>IFERROR(IF([1]对账明细接口!$AC695=0,"",[1]对账明细接口!$AC695),"")</f>
      </c>
      <c r="AH695" s="7">
        <f>IFERROR(IF([1]对账明细接口!$AD695=0,"",[1]对账明细接口!$AD695),"")</f>
      </c>
      <c r="AI695" s="7">
        <f>IFERROR(IF([1]对账明细接口!$AE695=0,"",[1]对账明细接口!$AE695),"")</f>
      </c>
      <c r="AJ695" s="7">
        <f>IFERROR(IF([1]对账明细接口!$AF695=0,"",[1]对账明细接口!$AF695),"")</f>
      </c>
    </row>
    <row r="696" ht="14.25" customHeight="1" s="127">
      <c r="A696" s="14" t="n">
        <v>696</v>
      </c>
      <c r="B696" s="211">
        <f>IFERROR(IF([1]对账明细接口!$B$696=0,"",[1]对账明细接口!$B$696),"")</f>
      </c>
      <c r="C696" s="16">
        <f>IFERROR(IF([1]对账明细接口!$C$696=0,"",[1]对账明细接口!$C$696),"")</f>
      </c>
      <c r="D696" s="16">
        <f>IFERROR(IF([1]对账明细接口!$D$696=0,"",[1]对账明细接口!$D$696),"")</f>
      </c>
      <c r="E696" s="16">
        <f>IFERROR(IF([1]对账明细接口!$E$696=0,"",[1]对账明细接口!$E$696),"")</f>
      </c>
      <c r="F696" s="16">
        <f>IFERROR(IF([1]对账明细接口!$F$696=0,"",[1]对账明细接口!$F$696),"")</f>
      </c>
      <c r="G696" s="16">
        <f>IFERROR(IF([1]对账明细接口!$G$696=0,"",[1]对账明细接口!$G$696),"")</f>
      </c>
      <c r="H696" s="176">
        <f>IFERROR(IF([1]对账明细接口!$H$696=0,"",[1]对账明细接口!$H$696),"")</f>
      </c>
      <c r="I696" s="16">
        <f>IFERROR(IF([1]对账明细接口!$I$696=0,"",[1]对账明细接口!$I$696),"")</f>
      </c>
      <c r="J696" s="177">
        <f>IFERROR(IF([1]对账明细接口!$J$696=0,"",[1]对账明细接口!$J$696),"")</f>
      </c>
      <c r="K696" s="177">
        <f>IFERROR(IF([1]对账明细接口!$K$696=0,"",[1]对账明细接口!$K$696),"")</f>
      </c>
      <c r="L696" s="16">
        <f>IFERROR(IF([1]对账明细接口!$L$696=0,"",[1]对账明细接口!$L$696),"")</f>
      </c>
      <c r="M696" s="16">
        <f>IFERROR(IF([1]对账明细接口!$M$696=0,"",[1]对账明细接口!$M$696),"")</f>
      </c>
      <c r="N696" s="19">
        <f>IF($C696="",0,1)</f>
        <v>0</v>
      </c>
      <c r="O696" s="19">
        <f>N(O695)+$N696</f>
        <v>637</v>
      </c>
      <c r="S696" s="20">
        <f>IFERROR(IF([1]对账明细接口!$N696=0,"",[1]对账明细接口!$N696),"")</f>
      </c>
      <c r="T696" s="212">
        <f>IFERROR(IF([1]对账明细接口!$O696=0,"",[1]对账明细接口!$O696),"")</f>
      </c>
      <c r="U696" s="212">
        <f>IFERROR(IF([1]对账明细接口!$P696=0,"",[1]对账明细接口!$P696),"")</f>
      </c>
      <c r="V696" s="212">
        <f>IFERROR(IF([1]对账明细接口!$Q696=0,"",[1]对账明细接口!$Q696),"")</f>
      </c>
      <c r="W696" s="20">
        <f>IFERROR(IF([1]对账明细接口!$R696=0,"",[1]对账明细接口!$R696),"")</f>
      </c>
      <c r="X696" s="20">
        <f>IFERROR(IF([1]对账明细接口!$S696=0,"",[1]对账明细接口!$S696),"")</f>
      </c>
      <c r="Y696" s="20">
        <f>IFERROR(IF([1]对账明细接口!$T696=0,"",[1]对账明细接口!$T696),"")</f>
      </c>
      <c r="Z696" s="213">
        <f>IFERROR(IF([1]对账明细接口!$U696=0,"",[1]对账明细接口!$U696),"")</f>
      </c>
      <c r="AA696" s="213">
        <f>IFERROR(IF([1]对账明细接口!$V696=0,"",[1]对账明细接口!$V696),"")</f>
      </c>
      <c r="AB696" s="20">
        <f>IFERROR(IF([1]对账明细接口!$W696=0,"",[1]对账明细接口!$W696),"")</f>
      </c>
      <c r="AC696" s="7">
        <f>IFERROR(IF([1]对账明细接口!$X696=0,"",[1]对账明细接口!$X696),"")</f>
      </c>
      <c r="AD696" s="7">
        <f>IFERROR(IF([1]对账明细接口!$Y696=0,"",[1]对账明细接口!$Y696),"")</f>
      </c>
      <c r="AE696" s="7">
        <f>IFERROR(IF([1]对账明细接口!$AA696=0,"",[1]对账明细接口!$AA696),"")</f>
      </c>
      <c r="AF696" s="7">
        <f>IFERROR(IF([1]对账明细接口!$AB696=0,"",[1]对账明细接口!$AB696),"")</f>
      </c>
      <c r="AG696" s="7">
        <f>IFERROR(IF([1]对账明细接口!$AC696=0,"",[1]对账明细接口!$AC696),"")</f>
      </c>
      <c r="AH696" s="7">
        <f>IFERROR(IF([1]对账明细接口!$AD696=0,"",[1]对账明细接口!$AD696),"")</f>
      </c>
      <c r="AI696" s="7">
        <f>IFERROR(IF([1]对账明细接口!$AE696=0,"",[1]对账明细接口!$AE696),"")</f>
      </c>
      <c r="AJ696" s="7">
        <f>IFERROR(IF([1]对账明细接口!$AF696=0,"",[1]对账明细接口!$AF696),"")</f>
      </c>
    </row>
    <row r="697" ht="14.25" customHeight="1" s="127">
      <c r="A697" s="14" t="n">
        <v>697</v>
      </c>
      <c r="B697" s="211">
        <f>IFERROR(IF([1]对账明细接口!$B$697=0,"",[1]对账明细接口!$B$697),"")</f>
      </c>
      <c r="C697" s="16">
        <f>IFERROR(IF([1]对账明细接口!$C$697=0,"",[1]对账明细接口!$C$697),"")</f>
      </c>
      <c r="D697" s="16">
        <f>IFERROR(IF([1]对账明细接口!$D$697=0,"",[1]对账明细接口!$D$697),"")</f>
      </c>
      <c r="E697" s="16">
        <f>IFERROR(IF([1]对账明细接口!$E$697=0,"",[1]对账明细接口!$E$697),"")</f>
      </c>
      <c r="F697" s="16">
        <f>IFERROR(IF([1]对账明细接口!$F$697=0,"",[1]对账明细接口!$F$697),"")</f>
      </c>
      <c r="G697" s="16">
        <f>IFERROR(IF([1]对账明细接口!$G$697=0,"",[1]对账明细接口!$G$697),"")</f>
      </c>
      <c r="H697" s="176">
        <f>IFERROR(IF([1]对账明细接口!$H$697=0,"",[1]对账明细接口!$H$697),"")</f>
      </c>
      <c r="I697" s="16">
        <f>IFERROR(IF([1]对账明细接口!$I$697=0,"",[1]对账明细接口!$I$697),"")</f>
      </c>
      <c r="J697" s="177">
        <f>IFERROR(IF([1]对账明细接口!$J$697=0,"",[1]对账明细接口!$J$697),"")</f>
      </c>
      <c r="K697" s="177">
        <f>IFERROR(IF([1]对账明细接口!$K$697=0,"",[1]对账明细接口!$K$697),"")</f>
      </c>
      <c r="L697" s="16">
        <f>IFERROR(IF([1]对账明细接口!$L$697=0,"",[1]对账明细接口!$L$697),"")</f>
      </c>
      <c r="M697" s="16">
        <f>IFERROR(IF([1]对账明细接口!$M$697=0,"",[1]对账明细接口!$M$697),"")</f>
      </c>
      <c r="N697" s="19">
        <f>IF($C697="",0,1)</f>
        <v>0</v>
      </c>
      <c r="O697" s="19">
        <f>N(O696)+$N697</f>
        <v>637</v>
      </c>
      <c r="S697" s="20">
        <f>IFERROR(IF([1]对账明细接口!$N697=0,"",[1]对账明细接口!$N697),"")</f>
      </c>
      <c r="T697" s="212">
        <f>IFERROR(IF([1]对账明细接口!$O697=0,"",[1]对账明细接口!$O697),"")</f>
      </c>
      <c r="U697" s="212">
        <f>IFERROR(IF([1]对账明细接口!$P697=0,"",[1]对账明细接口!$P697),"")</f>
      </c>
      <c r="V697" s="212">
        <f>IFERROR(IF([1]对账明细接口!$Q697=0,"",[1]对账明细接口!$Q697),"")</f>
      </c>
      <c r="W697" s="20">
        <f>IFERROR(IF([1]对账明细接口!$R697=0,"",[1]对账明细接口!$R697),"")</f>
      </c>
      <c r="X697" s="20">
        <f>IFERROR(IF([1]对账明细接口!$S697=0,"",[1]对账明细接口!$S697),"")</f>
      </c>
      <c r="Y697" s="20">
        <f>IFERROR(IF([1]对账明细接口!$T697=0,"",[1]对账明细接口!$T697),"")</f>
      </c>
      <c r="Z697" s="213">
        <f>IFERROR(IF([1]对账明细接口!$U697=0,"",[1]对账明细接口!$U697),"")</f>
      </c>
      <c r="AA697" s="213">
        <f>IFERROR(IF([1]对账明细接口!$V697=0,"",[1]对账明细接口!$V697),"")</f>
      </c>
      <c r="AB697" s="20">
        <f>IFERROR(IF([1]对账明细接口!$W697=0,"",[1]对账明细接口!$W697),"")</f>
      </c>
      <c r="AC697" s="7">
        <f>IFERROR(IF([1]对账明细接口!$X697=0,"",[1]对账明细接口!$X697),"")</f>
      </c>
      <c r="AD697" s="7">
        <f>IFERROR(IF([1]对账明细接口!$Y697=0,"",[1]对账明细接口!$Y697),"")</f>
      </c>
      <c r="AE697" s="7">
        <f>IFERROR(IF([1]对账明细接口!$AA697=0,"",[1]对账明细接口!$AA697),"")</f>
      </c>
      <c r="AF697" s="7">
        <f>IFERROR(IF([1]对账明细接口!$AB697=0,"",[1]对账明细接口!$AB697),"")</f>
      </c>
      <c r="AG697" s="7">
        <f>IFERROR(IF([1]对账明细接口!$AC697=0,"",[1]对账明细接口!$AC697),"")</f>
      </c>
      <c r="AH697" s="7">
        <f>IFERROR(IF([1]对账明细接口!$AD697=0,"",[1]对账明细接口!$AD697),"")</f>
      </c>
      <c r="AI697" s="7">
        <f>IFERROR(IF([1]对账明细接口!$AE697=0,"",[1]对账明细接口!$AE697),"")</f>
      </c>
      <c r="AJ697" s="7">
        <f>IFERROR(IF([1]对账明细接口!$AF697=0,"",[1]对账明细接口!$AF697),"")</f>
      </c>
    </row>
    <row r="698" ht="14.25" customHeight="1" s="127">
      <c r="A698" s="14" t="n">
        <v>698</v>
      </c>
      <c r="B698" s="211">
        <f>IFERROR(IF([1]对账明细接口!$B$698=0,"",[1]对账明细接口!$B$698),"")</f>
      </c>
      <c r="C698" s="16">
        <f>IFERROR(IF([1]对账明细接口!$C$698=0,"",[1]对账明细接口!$C$698),"")</f>
      </c>
      <c r="D698" s="16">
        <f>IFERROR(IF([1]对账明细接口!$D$698=0,"",[1]对账明细接口!$D$698),"")</f>
      </c>
      <c r="E698" s="16">
        <f>IFERROR(IF([1]对账明细接口!$E$698=0,"",[1]对账明细接口!$E$698),"")</f>
      </c>
      <c r="F698" s="16">
        <f>IFERROR(IF([1]对账明细接口!$F$698=0,"",[1]对账明细接口!$F$698),"")</f>
      </c>
      <c r="G698" s="16">
        <f>IFERROR(IF([1]对账明细接口!$G$698=0,"",[1]对账明细接口!$G$698),"")</f>
      </c>
      <c r="H698" s="176">
        <f>IFERROR(IF([1]对账明细接口!$H$698=0,"",[1]对账明细接口!$H$698),"")</f>
      </c>
      <c r="I698" s="16">
        <f>IFERROR(IF([1]对账明细接口!$I$698=0,"",[1]对账明细接口!$I$698),"")</f>
      </c>
      <c r="J698" s="177">
        <f>IFERROR(IF([1]对账明细接口!$J$698=0,"",[1]对账明细接口!$J$698),"")</f>
      </c>
      <c r="K698" s="177">
        <f>IFERROR(IF([1]对账明细接口!$K$698=0,"",[1]对账明细接口!$K$698),"")</f>
      </c>
      <c r="L698" s="16">
        <f>IFERROR(IF([1]对账明细接口!$L$698=0,"",[1]对账明细接口!$L$698),"")</f>
      </c>
      <c r="M698" s="16">
        <f>IFERROR(IF([1]对账明细接口!$M$698=0,"",[1]对账明细接口!$M$698),"")</f>
      </c>
      <c r="N698" s="19">
        <f>IF($C698="",0,1)</f>
        <v>0</v>
      </c>
      <c r="O698" s="19">
        <f>N(O697)+$N698</f>
        <v>637</v>
      </c>
      <c r="S698" s="20">
        <f>IFERROR(IF([1]对账明细接口!$N698=0,"",[1]对账明细接口!$N698),"")</f>
      </c>
      <c r="T698" s="212">
        <f>IFERROR(IF([1]对账明细接口!$O698=0,"",[1]对账明细接口!$O698),"")</f>
      </c>
      <c r="U698" s="212">
        <f>IFERROR(IF([1]对账明细接口!$P698=0,"",[1]对账明细接口!$P698),"")</f>
      </c>
      <c r="V698" s="212">
        <f>IFERROR(IF([1]对账明细接口!$Q698=0,"",[1]对账明细接口!$Q698),"")</f>
      </c>
      <c r="W698" s="20">
        <f>IFERROR(IF([1]对账明细接口!$R698=0,"",[1]对账明细接口!$R698),"")</f>
      </c>
      <c r="X698" s="20">
        <f>IFERROR(IF([1]对账明细接口!$S698=0,"",[1]对账明细接口!$S698),"")</f>
      </c>
      <c r="Y698" s="20">
        <f>IFERROR(IF([1]对账明细接口!$T698=0,"",[1]对账明细接口!$T698),"")</f>
      </c>
      <c r="Z698" s="213">
        <f>IFERROR(IF([1]对账明细接口!$U698=0,"",[1]对账明细接口!$U698),"")</f>
      </c>
      <c r="AA698" s="213">
        <f>IFERROR(IF([1]对账明细接口!$V698=0,"",[1]对账明细接口!$V698),"")</f>
      </c>
      <c r="AB698" s="20">
        <f>IFERROR(IF([1]对账明细接口!$W698=0,"",[1]对账明细接口!$W698),"")</f>
      </c>
      <c r="AC698" s="7">
        <f>IFERROR(IF([1]对账明细接口!$X698=0,"",[1]对账明细接口!$X698),"")</f>
      </c>
      <c r="AD698" s="7">
        <f>IFERROR(IF([1]对账明细接口!$Y698=0,"",[1]对账明细接口!$Y698),"")</f>
      </c>
      <c r="AE698" s="7">
        <f>IFERROR(IF([1]对账明细接口!$AA698=0,"",[1]对账明细接口!$AA698),"")</f>
      </c>
      <c r="AF698" s="7">
        <f>IFERROR(IF([1]对账明细接口!$AB698=0,"",[1]对账明细接口!$AB698),"")</f>
      </c>
      <c r="AG698" s="7">
        <f>IFERROR(IF([1]对账明细接口!$AC698=0,"",[1]对账明细接口!$AC698),"")</f>
      </c>
      <c r="AH698" s="7">
        <f>IFERROR(IF([1]对账明细接口!$AD698=0,"",[1]对账明细接口!$AD698),"")</f>
      </c>
      <c r="AI698" s="7">
        <f>IFERROR(IF([1]对账明细接口!$AE698=0,"",[1]对账明细接口!$AE698),"")</f>
      </c>
      <c r="AJ698" s="7">
        <f>IFERROR(IF([1]对账明细接口!$AF698=0,"",[1]对账明细接口!$AF698),"")</f>
      </c>
    </row>
    <row r="699" ht="14.25" customHeight="1" s="127">
      <c r="A699" s="14" t="n">
        <v>699</v>
      </c>
      <c r="B699" s="211">
        <f>IFERROR(IF([1]对账明细接口!$B$699=0,"",[1]对账明细接口!$B$699),"")</f>
      </c>
      <c r="C699" s="16">
        <f>IFERROR(IF([1]对账明细接口!$C$699=0,"",[1]对账明细接口!$C$699),"")</f>
      </c>
      <c r="D699" s="16">
        <f>IFERROR(IF([1]对账明细接口!$D$699=0,"",[1]对账明细接口!$D$699),"")</f>
      </c>
      <c r="E699" s="16">
        <f>IFERROR(IF([1]对账明细接口!$E$699=0,"",[1]对账明细接口!$E$699),"")</f>
      </c>
      <c r="F699" s="16">
        <f>IFERROR(IF([1]对账明细接口!$F$699=0,"",[1]对账明细接口!$F$699),"")</f>
      </c>
      <c r="G699" s="16">
        <f>IFERROR(IF([1]对账明细接口!$G$699=0,"",[1]对账明细接口!$G$699),"")</f>
      </c>
      <c r="H699" s="176">
        <f>IFERROR(IF([1]对账明细接口!$H$699=0,"",[1]对账明细接口!$H$699),"")</f>
      </c>
      <c r="I699" s="16">
        <f>IFERROR(IF([1]对账明细接口!$I$699=0,"",[1]对账明细接口!$I$699),"")</f>
      </c>
      <c r="J699" s="177">
        <f>IFERROR(IF([1]对账明细接口!$J$699=0,"",[1]对账明细接口!$J$699),"")</f>
      </c>
      <c r="K699" s="177">
        <f>IFERROR(IF([1]对账明细接口!$K$699=0,"",[1]对账明细接口!$K$699),"")</f>
      </c>
      <c r="L699" s="16">
        <f>IFERROR(IF([1]对账明细接口!$L$699=0,"",[1]对账明细接口!$L$699),"")</f>
      </c>
      <c r="M699" s="16">
        <f>IFERROR(IF([1]对账明细接口!$M$699=0,"",[1]对账明细接口!$M$699),"")</f>
      </c>
      <c r="N699" s="19">
        <f>IF($C699="",0,1)</f>
        <v>0</v>
      </c>
      <c r="O699" s="19">
        <f>N(O698)+$N699</f>
        <v>637</v>
      </c>
      <c r="S699" s="20">
        <f>IFERROR(IF([1]对账明细接口!$N699=0,"",[1]对账明细接口!$N699),"")</f>
      </c>
      <c r="T699" s="212">
        <f>IFERROR(IF([1]对账明细接口!$O699=0,"",[1]对账明细接口!$O699),"")</f>
      </c>
      <c r="U699" s="212">
        <f>IFERROR(IF([1]对账明细接口!$P699=0,"",[1]对账明细接口!$P699),"")</f>
      </c>
      <c r="V699" s="212">
        <f>IFERROR(IF([1]对账明细接口!$Q699=0,"",[1]对账明细接口!$Q699),"")</f>
      </c>
      <c r="W699" s="20">
        <f>IFERROR(IF([1]对账明细接口!$R699=0,"",[1]对账明细接口!$R699),"")</f>
      </c>
      <c r="X699" s="20">
        <f>IFERROR(IF([1]对账明细接口!$S699=0,"",[1]对账明细接口!$S699),"")</f>
      </c>
      <c r="Y699" s="20">
        <f>IFERROR(IF([1]对账明细接口!$T699=0,"",[1]对账明细接口!$T699),"")</f>
      </c>
      <c r="Z699" s="213">
        <f>IFERROR(IF([1]对账明细接口!$U699=0,"",[1]对账明细接口!$U699),"")</f>
      </c>
      <c r="AA699" s="213">
        <f>IFERROR(IF([1]对账明细接口!$V699=0,"",[1]对账明细接口!$V699),"")</f>
      </c>
      <c r="AB699" s="20">
        <f>IFERROR(IF([1]对账明细接口!$W699=0,"",[1]对账明细接口!$W699),"")</f>
      </c>
      <c r="AC699" s="7">
        <f>IFERROR(IF([1]对账明细接口!$X699=0,"",[1]对账明细接口!$X699),"")</f>
      </c>
      <c r="AD699" s="7">
        <f>IFERROR(IF([1]对账明细接口!$Y699=0,"",[1]对账明细接口!$Y699),"")</f>
      </c>
      <c r="AE699" s="7">
        <f>IFERROR(IF([1]对账明细接口!$AA699=0,"",[1]对账明细接口!$AA699),"")</f>
      </c>
      <c r="AF699" s="7">
        <f>IFERROR(IF([1]对账明细接口!$AB699=0,"",[1]对账明细接口!$AB699),"")</f>
      </c>
      <c r="AG699" s="7">
        <f>IFERROR(IF([1]对账明细接口!$AC699=0,"",[1]对账明细接口!$AC699),"")</f>
      </c>
      <c r="AH699" s="7">
        <f>IFERROR(IF([1]对账明细接口!$AD699=0,"",[1]对账明细接口!$AD699),"")</f>
      </c>
      <c r="AI699" s="7">
        <f>IFERROR(IF([1]对账明细接口!$AE699=0,"",[1]对账明细接口!$AE699),"")</f>
      </c>
      <c r="AJ699" s="7">
        <f>IFERROR(IF([1]对账明细接口!$AF699=0,"",[1]对账明细接口!$AF699),"")</f>
      </c>
    </row>
    <row r="700" ht="14.25" customHeight="1" s="127">
      <c r="A700" s="14" t="n">
        <v>700</v>
      </c>
      <c r="B700" s="211">
        <f>IFERROR(IF([1]对账明细接口!$B$700=0,"",[1]对账明细接口!$B$700),"")</f>
      </c>
      <c r="C700" s="16">
        <f>IFERROR(IF([1]对账明细接口!$C$700=0,"",[1]对账明细接口!$C$700),"")</f>
      </c>
      <c r="D700" s="16">
        <f>IFERROR(IF([1]对账明细接口!$D$700=0,"",[1]对账明细接口!$D$700),"")</f>
      </c>
      <c r="E700" s="16">
        <f>IFERROR(IF([1]对账明细接口!$E$700=0,"",[1]对账明细接口!$E$700),"")</f>
      </c>
      <c r="F700" s="16">
        <f>IFERROR(IF([1]对账明细接口!$F$700=0,"",[1]对账明细接口!$F$700),"")</f>
      </c>
      <c r="G700" s="16">
        <f>IFERROR(IF([1]对账明细接口!$G$700=0,"",[1]对账明细接口!$G$700),"")</f>
      </c>
      <c r="H700" s="176">
        <f>IFERROR(IF([1]对账明细接口!$H$700=0,"",[1]对账明细接口!$H$700),"")</f>
      </c>
      <c r="I700" s="16">
        <f>IFERROR(IF([1]对账明细接口!$I$700=0,"",[1]对账明细接口!$I$700),"")</f>
      </c>
      <c r="J700" s="177">
        <f>IFERROR(IF([1]对账明细接口!$J$700=0,"",[1]对账明细接口!$J$700),"")</f>
      </c>
      <c r="K700" s="177">
        <f>IFERROR(IF([1]对账明细接口!$K$700=0,"",[1]对账明细接口!$K$700),"")</f>
      </c>
      <c r="L700" s="16">
        <f>IFERROR(IF([1]对账明细接口!$L$700=0,"",[1]对账明细接口!$L$700),"")</f>
      </c>
      <c r="M700" s="16">
        <f>IFERROR(IF([1]对账明细接口!$M$700=0,"",[1]对账明细接口!$M$700),"")</f>
      </c>
      <c r="N700" s="19">
        <f>IF($C700="",0,1)</f>
        <v>0</v>
      </c>
      <c r="O700" s="19">
        <f>N(O699)+$N700</f>
        <v>637</v>
      </c>
      <c r="S700" s="20">
        <f>IFERROR(IF([1]对账明细接口!$N700=0,"",[1]对账明细接口!$N700),"")</f>
      </c>
      <c r="T700" s="212">
        <f>IFERROR(IF([1]对账明细接口!$O700=0,"",[1]对账明细接口!$O700),"")</f>
      </c>
      <c r="U700" s="212">
        <f>IFERROR(IF([1]对账明细接口!$P700=0,"",[1]对账明细接口!$P700),"")</f>
      </c>
      <c r="V700" s="212">
        <f>IFERROR(IF([1]对账明细接口!$Q700=0,"",[1]对账明细接口!$Q700),"")</f>
      </c>
      <c r="W700" s="20">
        <f>IFERROR(IF([1]对账明细接口!$R700=0,"",[1]对账明细接口!$R700),"")</f>
      </c>
      <c r="X700" s="20">
        <f>IFERROR(IF([1]对账明细接口!$S700=0,"",[1]对账明细接口!$S700),"")</f>
      </c>
      <c r="Y700" s="20">
        <f>IFERROR(IF([1]对账明细接口!$T700=0,"",[1]对账明细接口!$T700),"")</f>
      </c>
      <c r="Z700" s="213">
        <f>IFERROR(IF([1]对账明细接口!$U700=0,"",[1]对账明细接口!$U700),"")</f>
      </c>
      <c r="AA700" s="213">
        <f>IFERROR(IF([1]对账明细接口!$V700=0,"",[1]对账明细接口!$V700),"")</f>
      </c>
      <c r="AB700" s="20">
        <f>IFERROR(IF([1]对账明细接口!$W700=0,"",[1]对账明细接口!$W700),"")</f>
      </c>
      <c r="AC700" s="7">
        <f>IFERROR(IF([1]对账明细接口!$X700=0,"",[1]对账明细接口!$X700),"")</f>
      </c>
      <c r="AD700" s="7">
        <f>IFERROR(IF([1]对账明细接口!$Y700=0,"",[1]对账明细接口!$Y700),"")</f>
      </c>
      <c r="AE700" s="7">
        <f>IFERROR(IF([1]对账明细接口!$AA700=0,"",[1]对账明细接口!$AA700),"")</f>
      </c>
      <c r="AF700" s="7">
        <f>IFERROR(IF([1]对账明细接口!$AB700=0,"",[1]对账明细接口!$AB700),"")</f>
      </c>
      <c r="AG700" s="7">
        <f>IFERROR(IF([1]对账明细接口!$AC700=0,"",[1]对账明细接口!$AC700),"")</f>
      </c>
      <c r="AH700" s="7">
        <f>IFERROR(IF([1]对账明细接口!$AD700=0,"",[1]对账明细接口!$AD700),"")</f>
      </c>
      <c r="AI700" s="7">
        <f>IFERROR(IF([1]对账明细接口!$AE700=0,"",[1]对账明细接口!$AE700),"")</f>
      </c>
      <c r="AJ700" s="7">
        <f>IFERROR(IF([1]对账明细接口!$AF700=0,"",[1]对账明细接口!$AF700),"")</f>
      </c>
    </row>
    <row r="701" ht="14.25" customHeight="1" s="127">
      <c r="A701" s="14" t="n">
        <v>701</v>
      </c>
      <c r="B701" s="211">
        <f>IFERROR(IF([1]对账明细接口!$B$701=0,"",[1]对账明细接口!$B$701),"")</f>
      </c>
      <c r="C701" s="16">
        <f>IFERROR(IF([1]对账明细接口!$C$701=0,"",[1]对账明细接口!$C$701),"")</f>
      </c>
      <c r="D701" s="16">
        <f>IFERROR(IF([1]对账明细接口!$D$701=0,"",[1]对账明细接口!$D$701),"")</f>
      </c>
      <c r="E701" s="16">
        <f>IFERROR(IF([1]对账明细接口!$E$701=0,"",[1]对账明细接口!$E$701),"")</f>
      </c>
      <c r="F701" s="16">
        <f>IFERROR(IF([1]对账明细接口!$F$701=0,"",[1]对账明细接口!$F$701),"")</f>
      </c>
      <c r="G701" s="16">
        <f>IFERROR(IF([1]对账明细接口!$G$701=0,"",[1]对账明细接口!$G$701),"")</f>
      </c>
      <c r="H701" s="176">
        <f>IFERROR(IF([1]对账明细接口!$H$701=0,"",[1]对账明细接口!$H$701),"")</f>
      </c>
      <c r="I701" s="16">
        <f>IFERROR(IF([1]对账明细接口!$I$701=0,"",[1]对账明细接口!$I$701),"")</f>
      </c>
      <c r="J701" s="177">
        <f>IFERROR(IF([1]对账明细接口!$J$701=0,"",[1]对账明细接口!$J$701),"")</f>
      </c>
      <c r="K701" s="177">
        <f>IFERROR(IF([1]对账明细接口!$K$701=0,"",[1]对账明细接口!$K$701),"")</f>
      </c>
      <c r="L701" s="16">
        <f>IFERROR(IF([1]对账明细接口!$L$701=0,"",[1]对账明细接口!$L$701),"")</f>
      </c>
      <c r="M701" s="16">
        <f>IFERROR(IF([1]对账明细接口!$M$701=0,"",[1]对账明细接口!$M$701),"")</f>
      </c>
      <c r="N701" s="19">
        <f>IF($C701="",0,1)</f>
        <v>0</v>
      </c>
      <c r="O701" s="19">
        <f>N(O700)+$N701</f>
        <v>637</v>
      </c>
      <c r="S701" s="20">
        <f>IFERROR(IF([1]对账明细接口!$N701=0,"",[1]对账明细接口!$N701),"")</f>
      </c>
      <c r="T701" s="212">
        <f>IFERROR(IF([1]对账明细接口!$O701=0,"",[1]对账明细接口!$O701),"")</f>
      </c>
      <c r="U701" s="212">
        <f>IFERROR(IF([1]对账明细接口!$P701=0,"",[1]对账明细接口!$P701),"")</f>
      </c>
      <c r="V701" s="212">
        <f>IFERROR(IF([1]对账明细接口!$Q701=0,"",[1]对账明细接口!$Q701),"")</f>
      </c>
      <c r="W701" s="20">
        <f>IFERROR(IF([1]对账明细接口!$R701=0,"",[1]对账明细接口!$R701),"")</f>
      </c>
      <c r="X701" s="20">
        <f>IFERROR(IF([1]对账明细接口!$S701=0,"",[1]对账明细接口!$S701),"")</f>
      </c>
      <c r="Y701" s="20">
        <f>IFERROR(IF([1]对账明细接口!$T701=0,"",[1]对账明细接口!$T701),"")</f>
      </c>
      <c r="Z701" s="213">
        <f>IFERROR(IF([1]对账明细接口!$U701=0,"",[1]对账明细接口!$U701),"")</f>
      </c>
      <c r="AA701" s="213">
        <f>IFERROR(IF([1]对账明细接口!$V701=0,"",[1]对账明细接口!$V701),"")</f>
      </c>
      <c r="AB701" s="20">
        <f>IFERROR(IF([1]对账明细接口!$W701=0,"",[1]对账明细接口!$W701),"")</f>
      </c>
      <c r="AC701" s="7">
        <f>IFERROR(IF([1]对账明细接口!$X701=0,"",[1]对账明细接口!$X701),"")</f>
      </c>
      <c r="AD701" s="7">
        <f>IFERROR(IF([1]对账明细接口!$Y701=0,"",[1]对账明细接口!$Y701),"")</f>
      </c>
      <c r="AE701" s="7">
        <f>IFERROR(IF([1]对账明细接口!$AA701=0,"",[1]对账明细接口!$AA701),"")</f>
      </c>
      <c r="AF701" s="7">
        <f>IFERROR(IF([1]对账明细接口!$AB701=0,"",[1]对账明细接口!$AB701),"")</f>
      </c>
      <c r="AG701" s="7">
        <f>IFERROR(IF([1]对账明细接口!$AC701=0,"",[1]对账明细接口!$AC701),"")</f>
      </c>
      <c r="AH701" s="7">
        <f>IFERROR(IF([1]对账明细接口!$AD701=0,"",[1]对账明细接口!$AD701),"")</f>
      </c>
      <c r="AI701" s="7">
        <f>IFERROR(IF([1]对账明细接口!$AE701=0,"",[1]对账明细接口!$AE701),"")</f>
      </c>
      <c r="AJ701" s="7">
        <f>IFERROR(IF([1]对账明细接口!$AF701=0,"",[1]对账明细接口!$AF701),"")</f>
      </c>
    </row>
    <row r="702" ht="14.25" customHeight="1" s="127">
      <c r="A702" s="14" t="n">
        <v>702</v>
      </c>
      <c r="B702" s="211">
        <f>IFERROR(IF([1]对账明细接口!$B$702=0,"",[1]对账明细接口!$B$702),"")</f>
      </c>
      <c r="C702" s="16">
        <f>IFERROR(IF([1]对账明细接口!$C$702=0,"",[1]对账明细接口!$C$702),"")</f>
      </c>
      <c r="D702" s="16">
        <f>IFERROR(IF([1]对账明细接口!$D$702=0,"",[1]对账明细接口!$D$702),"")</f>
      </c>
      <c r="E702" s="16">
        <f>IFERROR(IF([1]对账明细接口!$E$702=0,"",[1]对账明细接口!$E$702),"")</f>
      </c>
      <c r="F702" s="16">
        <f>IFERROR(IF([1]对账明细接口!$F$702=0,"",[1]对账明细接口!$F$702),"")</f>
      </c>
      <c r="G702" s="16">
        <f>IFERROR(IF([1]对账明细接口!$G$702=0,"",[1]对账明细接口!$G$702),"")</f>
      </c>
      <c r="H702" s="176">
        <f>IFERROR(IF([1]对账明细接口!$H$702=0,"",[1]对账明细接口!$H$702),"")</f>
      </c>
      <c r="I702" s="16">
        <f>IFERROR(IF([1]对账明细接口!$I$702=0,"",[1]对账明细接口!$I$702),"")</f>
      </c>
      <c r="J702" s="177">
        <f>IFERROR(IF([1]对账明细接口!$J$702=0,"",[1]对账明细接口!$J$702),"")</f>
      </c>
      <c r="K702" s="177">
        <f>IFERROR(IF([1]对账明细接口!$K$702=0,"",[1]对账明细接口!$K$702),"")</f>
      </c>
      <c r="L702" s="16">
        <f>IFERROR(IF([1]对账明细接口!$L$702=0,"",[1]对账明细接口!$L$702),"")</f>
      </c>
      <c r="M702" s="16">
        <f>IFERROR(IF([1]对账明细接口!$M$702=0,"",[1]对账明细接口!$M$702),"")</f>
      </c>
      <c r="N702" s="19">
        <f>IF($C702="",0,1)</f>
        <v>0</v>
      </c>
      <c r="O702" s="19">
        <f>N(O701)+$N702</f>
        <v>637</v>
      </c>
      <c r="S702" s="20">
        <f>IFERROR(IF([1]对账明细接口!$N702=0,"",[1]对账明细接口!$N702),"")</f>
      </c>
      <c r="T702" s="212">
        <f>IFERROR(IF([1]对账明细接口!$O702=0,"",[1]对账明细接口!$O702),"")</f>
      </c>
      <c r="U702" s="212">
        <f>IFERROR(IF([1]对账明细接口!$P702=0,"",[1]对账明细接口!$P702),"")</f>
      </c>
      <c r="V702" s="212">
        <f>IFERROR(IF([1]对账明细接口!$Q702=0,"",[1]对账明细接口!$Q702),"")</f>
      </c>
      <c r="W702" s="20">
        <f>IFERROR(IF([1]对账明细接口!$R702=0,"",[1]对账明细接口!$R702),"")</f>
      </c>
      <c r="X702" s="20">
        <f>IFERROR(IF([1]对账明细接口!$S702=0,"",[1]对账明细接口!$S702),"")</f>
      </c>
      <c r="Y702" s="20">
        <f>IFERROR(IF([1]对账明细接口!$T702=0,"",[1]对账明细接口!$T702),"")</f>
      </c>
      <c r="Z702" s="213">
        <f>IFERROR(IF([1]对账明细接口!$U702=0,"",[1]对账明细接口!$U702),"")</f>
      </c>
      <c r="AA702" s="213">
        <f>IFERROR(IF([1]对账明细接口!$V702=0,"",[1]对账明细接口!$V702),"")</f>
      </c>
      <c r="AB702" s="20">
        <f>IFERROR(IF([1]对账明细接口!$W702=0,"",[1]对账明细接口!$W702),"")</f>
      </c>
      <c r="AC702" s="7">
        <f>IFERROR(IF([1]对账明细接口!$X702=0,"",[1]对账明细接口!$X702),"")</f>
      </c>
      <c r="AD702" s="7">
        <f>IFERROR(IF([1]对账明细接口!$Y702=0,"",[1]对账明细接口!$Y702),"")</f>
      </c>
      <c r="AE702" s="7">
        <f>IFERROR(IF([1]对账明细接口!$AA702=0,"",[1]对账明细接口!$AA702),"")</f>
      </c>
      <c r="AF702" s="7">
        <f>IFERROR(IF([1]对账明细接口!$AB702=0,"",[1]对账明细接口!$AB702),"")</f>
      </c>
      <c r="AG702" s="7">
        <f>IFERROR(IF([1]对账明细接口!$AC702=0,"",[1]对账明细接口!$AC702),"")</f>
      </c>
      <c r="AH702" s="7">
        <f>IFERROR(IF([1]对账明细接口!$AD702=0,"",[1]对账明细接口!$AD702),"")</f>
      </c>
      <c r="AI702" s="7">
        <f>IFERROR(IF([1]对账明细接口!$AE702=0,"",[1]对账明细接口!$AE702),"")</f>
      </c>
      <c r="AJ702" s="7">
        <f>IFERROR(IF([1]对账明细接口!$AF702=0,"",[1]对账明细接口!$AF702),"")</f>
      </c>
    </row>
    <row r="703" ht="14.25" customHeight="1" s="127">
      <c r="A703" s="14" t="n">
        <v>703</v>
      </c>
      <c r="B703" s="211">
        <f>IFERROR(IF([1]对账明细接口!$B$703=0,"",[1]对账明细接口!$B$703),"")</f>
      </c>
      <c r="C703" s="16">
        <f>IFERROR(IF([1]对账明细接口!$C$703=0,"",[1]对账明细接口!$C$703),"")</f>
      </c>
      <c r="D703" s="16">
        <f>IFERROR(IF([1]对账明细接口!$D$703=0,"",[1]对账明细接口!$D$703),"")</f>
      </c>
      <c r="E703" s="16">
        <f>IFERROR(IF([1]对账明细接口!$E$703=0,"",[1]对账明细接口!$E$703),"")</f>
      </c>
      <c r="F703" s="16">
        <f>IFERROR(IF([1]对账明细接口!$F$703=0,"",[1]对账明细接口!$F$703),"")</f>
      </c>
      <c r="G703" s="16">
        <f>IFERROR(IF([1]对账明细接口!$G$703=0,"",[1]对账明细接口!$G$703),"")</f>
      </c>
      <c r="H703" s="176">
        <f>IFERROR(IF([1]对账明细接口!$H$703=0,"",[1]对账明细接口!$H$703),"")</f>
      </c>
      <c r="I703" s="16">
        <f>IFERROR(IF([1]对账明细接口!$I$703=0,"",[1]对账明细接口!$I$703),"")</f>
      </c>
      <c r="J703" s="177">
        <f>IFERROR(IF([1]对账明细接口!$J$703=0,"",[1]对账明细接口!$J$703),"")</f>
      </c>
      <c r="K703" s="177">
        <f>IFERROR(IF([1]对账明细接口!$K$703=0,"",[1]对账明细接口!$K$703),"")</f>
      </c>
      <c r="L703" s="16">
        <f>IFERROR(IF([1]对账明细接口!$L$703=0,"",[1]对账明细接口!$L$703),"")</f>
      </c>
      <c r="M703" s="16">
        <f>IFERROR(IF([1]对账明细接口!$M$703=0,"",[1]对账明细接口!$M$703),"")</f>
      </c>
      <c r="N703" s="19">
        <f>IF($C703="",0,1)</f>
        <v>0</v>
      </c>
      <c r="O703" s="19">
        <f>N(O702)+$N703</f>
        <v>637</v>
      </c>
      <c r="S703" s="20">
        <f>IFERROR(IF([1]对账明细接口!$N703=0,"",[1]对账明细接口!$N703),"")</f>
      </c>
      <c r="T703" s="212">
        <f>IFERROR(IF([1]对账明细接口!$O703=0,"",[1]对账明细接口!$O703),"")</f>
      </c>
      <c r="U703" s="212">
        <f>IFERROR(IF([1]对账明细接口!$P703=0,"",[1]对账明细接口!$P703),"")</f>
      </c>
      <c r="V703" s="212">
        <f>IFERROR(IF([1]对账明细接口!$Q703=0,"",[1]对账明细接口!$Q703),"")</f>
      </c>
      <c r="W703" s="20">
        <f>IFERROR(IF([1]对账明细接口!$R703=0,"",[1]对账明细接口!$R703),"")</f>
      </c>
      <c r="X703" s="20">
        <f>IFERROR(IF([1]对账明细接口!$S703=0,"",[1]对账明细接口!$S703),"")</f>
      </c>
      <c r="Y703" s="20">
        <f>IFERROR(IF([1]对账明细接口!$T703=0,"",[1]对账明细接口!$T703),"")</f>
      </c>
      <c r="Z703" s="213">
        <f>IFERROR(IF([1]对账明细接口!$U703=0,"",[1]对账明细接口!$U703),"")</f>
      </c>
      <c r="AA703" s="213">
        <f>IFERROR(IF([1]对账明细接口!$V703=0,"",[1]对账明细接口!$V703),"")</f>
      </c>
      <c r="AB703" s="20">
        <f>IFERROR(IF([1]对账明细接口!$W703=0,"",[1]对账明细接口!$W703),"")</f>
      </c>
      <c r="AC703" s="7">
        <f>IFERROR(IF([1]对账明细接口!$X703=0,"",[1]对账明细接口!$X703),"")</f>
      </c>
      <c r="AD703" s="7">
        <f>IFERROR(IF([1]对账明细接口!$Y703=0,"",[1]对账明细接口!$Y703),"")</f>
      </c>
      <c r="AE703" s="7">
        <f>IFERROR(IF([1]对账明细接口!$AA703=0,"",[1]对账明细接口!$AA703),"")</f>
      </c>
      <c r="AF703" s="7">
        <f>IFERROR(IF([1]对账明细接口!$AB703=0,"",[1]对账明细接口!$AB703),"")</f>
      </c>
      <c r="AG703" s="7">
        <f>IFERROR(IF([1]对账明细接口!$AC703=0,"",[1]对账明细接口!$AC703),"")</f>
      </c>
      <c r="AH703" s="7">
        <f>IFERROR(IF([1]对账明细接口!$AD703=0,"",[1]对账明细接口!$AD703),"")</f>
      </c>
      <c r="AI703" s="7">
        <f>IFERROR(IF([1]对账明细接口!$AE703=0,"",[1]对账明细接口!$AE703),"")</f>
      </c>
      <c r="AJ703" s="7">
        <f>IFERROR(IF([1]对账明细接口!$AF703=0,"",[1]对账明细接口!$AF703),"")</f>
      </c>
    </row>
    <row r="704" ht="14.25" customHeight="1" s="127">
      <c r="A704" s="14" t="n">
        <v>704</v>
      </c>
      <c r="B704" s="211">
        <f>IFERROR(IF([1]对账明细接口!$B$704=0,"",[1]对账明细接口!$B$704),"")</f>
      </c>
      <c r="C704" s="16">
        <f>IFERROR(IF([1]对账明细接口!$C$704=0,"",[1]对账明细接口!$C$704),"")</f>
      </c>
      <c r="D704" s="16">
        <f>IFERROR(IF([1]对账明细接口!$D$704=0,"",[1]对账明细接口!$D$704),"")</f>
      </c>
      <c r="E704" s="16">
        <f>IFERROR(IF([1]对账明细接口!$E$704=0,"",[1]对账明细接口!$E$704),"")</f>
      </c>
      <c r="F704" s="16">
        <f>IFERROR(IF([1]对账明细接口!$F$704=0,"",[1]对账明细接口!$F$704),"")</f>
      </c>
      <c r="G704" s="16">
        <f>IFERROR(IF([1]对账明细接口!$G$704=0,"",[1]对账明细接口!$G$704),"")</f>
      </c>
      <c r="H704" s="176">
        <f>IFERROR(IF([1]对账明细接口!$H$704=0,"",[1]对账明细接口!$H$704),"")</f>
      </c>
      <c r="I704" s="16">
        <f>IFERROR(IF([1]对账明细接口!$I$704=0,"",[1]对账明细接口!$I$704),"")</f>
      </c>
      <c r="J704" s="177">
        <f>IFERROR(IF([1]对账明细接口!$J$704=0,"",[1]对账明细接口!$J$704),"")</f>
      </c>
      <c r="K704" s="177">
        <f>IFERROR(IF([1]对账明细接口!$K$704=0,"",[1]对账明细接口!$K$704),"")</f>
      </c>
      <c r="L704" s="16">
        <f>IFERROR(IF([1]对账明细接口!$L$704=0,"",[1]对账明细接口!$L$704),"")</f>
      </c>
      <c r="M704" s="16">
        <f>IFERROR(IF([1]对账明细接口!$M$704=0,"",[1]对账明细接口!$M$704),"")</f>
      </c>
      <c r="N704" s="19">
        <f>IF($C704="",0,1)</f>
        <v>0</v>
      </c>
      <c r="O704" s="19">
        <f>N(O703)+$N704</f>
        <v>637</v>
      </c>
      <c r="S704" s="20">
        <f>IFERROR(IF([1]对账明细接口!$N704=0,"",[1]对账明细接口!$N704),"")</f>
      </c>
      <c r="T704" s="212">
        <f>IFERROR(IF([1]对账明细接口!$O704=0,"",[1]对账明细接口!$O704),"")</f>
      </c>
      <c r="U704" s="212">
        <f>IFERROR(IF([1]对账明细接口!$P704=0,"",[1]对账明细接口!$P704),"")</f>
      </c>
      <c r="V704" s="212">
        <f>IFERROR(IF([1]对账明细接口!$Q704=0,"",[1]对账明细接口!$Q704),"")</f>
      </c>
      <c r="W704" s="20">
        <f>IFERROR(IF([1]对账明细接口!$R704=0,"",[1]对账明细接口!$R704),"")</f>
      </c>
      <c r="X704" s="20">
        <f>IFERROR(IF([1]对账明细接口!$S704=0,"",[1]对账明细接口!$S704),"")</f>
      </c>
      <c r="Y704" s="20">
        <f>IFERROR(IF([1]对账明细接口!$T704=0,"",[1]对账明细接口!$T704),"")</f>
      </c>
      <c r="Z704" s="213">
        <f>IFERROR(IF([1]对账明细接口!$U704=0,"",[1]对账明细接口!$U704),"")</f>
      </c>
      <c r="AA704" s="213">
        <f>IFERROR(IF([1]对账明细接口!$V704=0,"",[1]对账明细接口!$V704),"")</f>
      </c>
      <c r="AB704" s="20">
        <f>IFERROR(IF([1]对账明细接口!$W704=0,"",[1]对账明细接口!$W704),"")</f>
      </c>
      <c r="AC704" s="7">
        <f>IFERROR(IF([1]对账明细接口!$X704=0,"",[1]对账明细接口!$X704),"")</f>
      </c>
      <c r="AD704" s="7">
        <f>IFERROR(IF([1]对账明细接口!$Y704=0,"",[1]对账明细接口!$Y704),"")</f>
      </c>
      <c r="AE704" s="7">
        <f>IFERROR(IF([1]对账明细接口!$AA704=0,"",[1]对账明细接口!$AA704),"")</f>
      </c>
      <c r="AF704" s="7">
        <f>IFERROR(IF([1]对账明细接口!$AB704=0,"",[1]对账明细接口!$AB704),"")</f>
      </c>
      <c r="AG704" s="7">
        <f>IFERROR(IF([1]对账明细接口!$AC704=0,"",[1]对账明细接口!$AC704),"")</f>
      </c>
      <c r="AH704" s="7">
        <f>IFERROR(IF([1]对账明细接口!$AD704=0,"",[1]对账明细接口!$AD704),"")</f>
      </c>
      <c r="AI704" s="7">
        <f>IFERROR(IF([1]对账明细接口!$AE704=0,"",[1]对账明细接口!$AE704),"")</f>
      </c>
      <c r="AJ704" s="7">
        <f>IFERROR(IF([1]对账明细接口!$AF704=0,"",[1]对账明细接口!$AF704),"")</f>
      </c>
    </row>
    <row r="705" ht="14.25" customHeight="1" s="127">
      <c r="A705" s="14" t="n">
        <v>705</v>
      </c>
      <c r="B705" s="211">
        <f>IFERROR(IF([1]对账明细接口!$B$705=0,"",[1]对账明细接口!$B$705),"")</f>
      </c>
      <c r="C705" s="16">
        <f>IFERROR(IF([1]对账明细接口!$C$705=0,"",[1]对账明细接口!$C$705),"")</f>
      </c>
      <c r="D705" s="16">
        <f>IFERROR(IF([1]对账明细接口!$D$705=0,"",[1]对账明细接口!$D$705),"")</f>
      </c>
      <c r="E705" s="16">
        <f>IFERROR(IF([1]对账明细接口!$E$705=0,"",[1]对账明细接口!$E$705),"")</f>
      </c>
      <c r="F705" s="16">
        <f>IFERROR(IF([1]对账明细接口!$F$705=0,"",[1]对账明细接口!$F$705),"")</f>
      </c>
      <c r="G705" s="16">
        <f>IFERROR(IF([1]对账明细接口!$G$705=0,"",[1]对账明细接口!$G$705),"")</f>
      </c>
      <c r="H705" s="176">
        <f>IFERROR(IF([1]对账明细接口!$H$705=0,"",[1]对账明细接口!$H$705),"")</f>
      </c>
      <c r="I705" s="16">
        <f>IFERROR(IF([1]对账明细接口!$I$705=0,"",[1]对账明细接口!$I$705),"")</f>
      </c>
      <c r="J705" s="177">
        <f>IFERROR(IF([1]对账明细接口!$J$705=0,"",[1]对账明细接口!$J$705),"")</f>
      </c>
      <c r="K705" s="177">
        <f>IFERROR(IF([1]对账明细接口!$K$705=0,"",[1]对账明细接口!$K$705),"")</f>
      </c>
      <c r="L705" s="16">
        <f>IFERROR(IF([1]对账明细接口!$L$705=0,"",[1]对账明细接口!$L$705),"")</f>
      </c>
      <c r="M705" s="16">
        <f>IFERROR(IF([1]对账明细接口!$M$705=0,"",[1]对账明细接口!$M$705),"")</f>
      </c>
      <c r="N705" s="19">
        <f>IF($C705="",0,1)</f>
        <v>0</v>
      </c>
      <c r="O705" s="19">
        <f>N(O704)+$N705</f>
        <v>637</v>
      </c>
      <c r="S705" s="20">
        <f>IFERROR(IF([1]对账明细接口!$N705=0,"",[1]对账明细接口!$N705),"")</f>
      </c>
      <c r="T705" s="212">
        <f>IFERROR(IF([1]对账明细接口!$O705=0,"",[1]对账明细接口!$O705),"")</f>
      </c>
      <c r="U705" s="212">
        <f>IFERROR(IF([1]对账明细接口!$P705=0,"",[1]对账明细接口!$P705),"")</f>
      </c>
      <c r="V705" s="212">
        <f>IFERROR(IF([1]对账明细接口!$Q705=0,"",[1]对账明细接口!$Q705),"")</f>
      </c>
      <c r="W705" s="20">
        <f>IFERROR(IF([1]对账明细接口!$R705=0,"",[1]对账明细接口!$R705),"")</f>
      </c>
      <c r="X705" s="20">
        <f>IFERROR(IF([1]对账明细接口!$S705=0,"",[1]对账明细接口!$S705),"")</f>
      </c>
      <c r="Y705" s="20">
        <f>IFERROR(IF([1]对账明细接口!$T705=0,"",[1]对账明细接口!$T705),"")</f>
      </c>
      <c r="Z705" s="213">
        <f>IFERROR(IF([1]对账明细接口!$U705=0,"",[1]对账明细接口!$U705),"")</f>
      </c>
      <c r="AA705" s="213">
        <f>IFERROR(IF([1]对账明细接口!$V705=0,"",[1]对账明细接口!$V705),"")</f>
      </c>
      <c r="AB705" s="20">
        <f>IFERROR(IF([1]对账明细接口!$W705=0,"",[1]对账明细接口!$W705),"")</f>
      </c>
      <c r="AC705" s="7">
        <f>IFERROR(IF([1]对账明细接口!$X705=0,"",[1]对账明细接口!$X705),"")</f>
      </c>
      <c r="AD705" s="7">
        <f>IFERROR(IF([1]对账明细接口!$Y705=0,"",[1]对账明细接口!$Y705),"")</f>
      </c>
      <c r="AE705" s="7">
        <f>IFERROR(IF([1]对账明细接口!$AA705=0,"",[1]对账明细接口!$AA705),"")</f>
      </c>
      <c r="AF705" s="7">
        <f>IFERROR(IF([1]对账明细接口!$AB705=0,"",[1]对账明细接口!$AB705),"")</f>
      </c>
      <c r="AG705" s="7">
        <f>IFERROR(IF([1]对账明细接口!$AC705=0,"",[1]对账明细接口!$AC705),"")</f>
      </c>
      <c r="AH705" s="7">
        <f>IFERROR(IF([1]对账明细接口!$AD705=0,"",[1]对账明细接口!$AD705),"")</f>
      </c>
      <c r="AI705" s="7">
        <f>IFERROR(IF([1]对账明细接口!$AE705=0,"",[1]对账明细接口!$AE705),"")</f>
      </c>
      <c r="AJ705" s="7">
        <f>IFERROR(IF([1]对账明细接口!$AF705=0,"",[1]对账明细接口!$AF705),"")</f>
      </c>
    </row>
    <row r="706" ht="14.25" customHeight="1" s="127">
      <c r="A706" s="14" t="n">
        <v>706</v>
      </c>
      <c r="B706" s="211">
        <f>IFERROR(IF([1]对账明细接口!$B$706=0,"",[1]对账明细接口!$B$706),"")</f>
      </c>
      <c r="C706" s="16">
        <f>IFERROR(IF([1]对账明细接口!$C$706=0,"",[1]对账明细接口!$C$706),"")</f>
      </c>
      <c r="D706" s="16">
        <f>IFERROR(IF([1]对账明细接口!$D$706=0,"",[1]对账明细接口!$D$706),"")</f>
      </c>
      <c r="E706" s="16">
        <f>IFERROR(IF([1]对账明细接口!$E$706=0,"",[1]对账明细接口!$E$706),"")</f>
      </c>
      <c r="F706" s="16">
        <f>IFERROR(IF([1]对账明细接口!$F$706=0,"",[1]对账明细接口!$F$706),"")</f>
      </c>
      <c r="G706" s="16">
        <f>IFERROR(IF([1]对账明细接口!$G$706=0,"",[1]对账明细接口!$G$706),"")</f>
      </c>
      <c r="H706" s="176">
        <f>IFERROR(IF([1]对账明细接口!$H$706=0,"",[1]对账明细接口!$H$706),"")</f>
      </c>
      <c r="I706" s="16">
        <f>IFERROR(IF([1]对账明细接口!$I$706=0,"",[1]对账明细接口!$I$706),"")</f>
      </c>
      <c r="J706" s="177">
        <f>IFERROR(IF([1]对账明细接口!$J$706=0,"",[1]对账明细接口!$J$706),"")</f>
      </c>
      <c r="K706" s="177">
        <f>IFERROR(IF([1]对账明细接口!$K$706=0,"",[1]对账明细接口!$K$706),"")</f>
      </c>
      <c r="L706" s="16">
        <f>IFERROR(IF([1]对账明细接口!$L$706=0,"",[1]对账明细接口!$L$706),"")</f>
      </c>
      <c r="M706" s="16">
        <f>IFERROR(IF([1]对账明细接口!$M$706=0,"",[1]对账明细接口!$M$706),"")</f>
      </c>
      <c r="N706" s="19">
        <f>IF($C706="",0,1)</f>
        <v>0</v>
      </c>
      <c r="O706" s="19">
        <f>N(O705)+$N706</f>
        <v>637</v>
      </c>
      <c r="S706" s="20">
        <f>IFERROR(IF([1]对账明细接口!$N706=0,"",[1]对账明细接口!$N706),"")</f>
      </c>
      <c r="T706" s="212">
        <f>IFERROR(IF([1]对账明细接口!$O706=0,"",[1]对账明细接口!$O706),"")</f>
      </c>
      <c r="U706" s="212">
        <f>IFERROR(IF([1]对账明细接口!$P706=0,"",[1]对账明细接口!$P706),"")</f>
      </c>
      <c r="V706" s="212">
        <f>IFERROR(IF([1]对账明细接口!$Q706=0,"",[1]对账明细接口!$Q706),"")</f>
      </c>
      <c r="W706" s="20">
        <f>IFERROR(IF([1]对账明细接口!$R706=0,"",[1]对账明细接口!$R706),"")</f>
      </c>
      <c r="X706" s="20">
        <f>IFERROR(IF([1]对账明细接口!$S706=0,"",[1]对账明细接口!$S706),"")</f>
      </c>
      <c r="Y706" s="20">
        <f>IFERROR(IF([1]对账明细接口!$T706=0,"",[1]对账明细接口!$T706),"")</f>
      </c>
      <c r="Z706" s="213">
        <f>IFERROR(IF([1]对账明细接口!$U706=0,"",[1]对账明细接口!$U706),"")</f>
      </c>
      <c r="AA706" s="213">
        <f>IFERROR(IF([1]对账明细接口!$V706=0,"",[1]对账明细接口!$V706),"")</f>
      </c>
      <c r="AB706" s="20">
        <f>IFERROR(IF([1]对账明细接口!$W706=0,"",[1]对账明细接口!$W706),"")</f>
      </c>
      <c r="AC706" s="7">
        <f>IFERROR(IF([1]对账明细接口!$X706=0,"",[1]对账明细接口!$X706),"")</f>
      </c>
      <c r="AD706" s="7">
        <f>IFERROR(IF([1]对账明细接口!$Y706=0,"",[1]对账明细接口!$Y706),"")</f>
      </c>
      <c r="AE706" s="7">
        <f>IFERROR(IF([1]对账明细接口!$AA706=0,"",[1]对账明细接口!$AA706),"")</f>
      </c>
      <c r="AF706" s="7">
        <f>IFERROR(IF([1]对账明细接口!$AB706=0,"",[1]对账明细接口!$AB706),"")</f>
      </c>
      <c r="AG706" s="7">
        <f>IFERROR(IF([1]对账明细接口!$AC706=0,"",[1]对账明细接口!$AC706),"")</f>
      </c>
      <c r="AH706" s="7">
        <f>IFERROR(IF([1]对账明细接口!$AD706=0,"",[1]对账明细接口!$AD706),"")</f>
      </c>
      <c r="AI706" s="7">
        <f>IFERROR(IF([1]对账明细接口!$AE706=0,"",[1]对账明细接口!$AE706),"")</f>
      </c>
      <c r="AJ706" s="7">
        <f>IFERROR(IF([1]对账明细接口!$AF706=0,"",[1]对账明细接口!$AF706),"")</f>
      </c>
    </row>
    <row r="707" ht="14.25" customHeight="1" s="127">
      <c r="A707" s="14" t="n">
        <v>707</v>
      </c>
      <c r="B707" s="211">
        <f>IFERROR(IF([1]对账明细接口!$B$707=0,"",[1]对账明细接口!$B$707),"")</f>
      </c>
      <c r="C707" s="16">
        <f>IFERROR(IF([1]对账明细接口!$C$707=0,"",[1]对账明细接口!$C$707),"")</f>
      </c>
      <c r="D707" s="16">
        <f>IFERROR(IF([1]对账明细接口!$D$707=0,"",[1]对账明细接口!$D$707),"")</f>
      </c>
      <c r="E707" s="16">
        <f>IFERROR(IF([1]对账明细接口!$E$707=0,"",[1]对账明细接口!$E$707),"")</f>
      </c>
      <c r="F707" s="16">
        <f>IFERROR(IF([1]对账明细接口!$F$707=0,"",[1]对账明细接口!$F$707),"")</f>
      </c>
      <c r="G707" s="16">
        <f>IFERROR(IF([1]对账明细接口!$G$707=0,"",[1]对账明细接口!$G$707),"")</f>
      </c>
      <c r="H707" s="176">
        <f>IFERROR(IF([1]对账明细接口!$H$707=0,"",[1]对账明细接口!$H$707),"")</f>
      </c>
      <c r="I707" s="16">
        <f>IFERROR(IF([1]对账明细接口!$I$707=0,"",[1]对账明细接口!$I$707),"")</f>
      </c>
      <c r="J707" s="177">
        <f>IFERROR(IF([1]对账明细接口!$J$707=0,"",[1]对账明细接口!$J$707),"")</f>
      </c>
      <c r="K707" s="177">
        <f>IFERROR(IF([1]对账明细接口!$K$707=0,"",[1]对账明细接口!$K$707),"")</f>
      </c>
      <c r="L707" s="16">
        <f>IFERROR(IF([1]对账明细接口!$L$707=0,"",[1]对账明细接口!$L$707),"")</f>
      </c>
      <c r="M707" s="16">
        <f>IFERROR(IF([1]对账明细接口!$M$707=0,"",[1]对账明细接口!$M$707),"")</f>
      </c>
      <c r="N707" s="19">
        <f>IF($C707="",0,1)</f>
        <v>0</v>
      </c>
      <c r="O707" s="19">
        <f>N(O706)+$N707</f>
        <v>637</v>
      </c>
      <c r="S707" s="20">
        <f>IFERROR(IF([1]对账明细接口!$N707=0,"",[1]对账明细接口!$N707),"")</f>
      </c>
      <c r="T707" s="212">
        <f>IFERROR(IF([1]对账明细接口!$O707=0,"",[1]对账明细接口!$O707),"")</f>
      </c>
      <c r="U707" s="212">
        <f>IFERROR(IF([1]对账明细接口!$P707=0,"",[1]对账明细接口!$P707),"")</f>
      </c>
      <c r="V707" s="212">
        <f>IFERROR(IF([1]对账明细接口!$Q707=0,"",[1]对账明细接口!$Q707),"")</f>
      </c>
      <c r="W707" s="20">
        <f>IFERROR(IF([1]对账明细接口!$R707=0,"",[1]对账明细接口!$R707),"")</f>
      </c>
      <c r="X707" s="20">
        <f>IFERROR(IF([1]对账明细接口!$S707=0,"",[1]对账明细接口!$S707),"")</f>
      </c>
      <c r="Y707" s="20">
        <f>IFERROR(IF([1]对账明细接口!$T707=0,"",[1]对账明细接口!$T707),"")</f>
      </c>
      <c r="Z707" s="213">
        <f>IFERROR(IF([1]对账明细接口!$U707=0,"",[1]对账明细接口!$U707),"")</f>
      </c>
      <c r="AA707" s="213">
        <f>IFERROR(IF([1]对账明细接口!$V707=0,"",[1]对账明细接口!$V707),"")</f>
      </c>
      <c r="AB707" s="20">
        <f>IFERROR(IF([1]对账明细接口!$W707=0,"",[1]对账明细接口!$W707),"")</f>
      </c>
      <c r="AC707" s="7">
        <f>IFERROR(IF([1]对账明细接口!$X707=0,"",[1]对账明细接口!$X707),"")</f>
      </c>
      <c r="AD707" s="7">
        <f>IFERROR(IF([1]对账明细接口!$Y707=0,"",[1]对账明细接口!$Y707),"")</f>
      </c>
      <c r="AE707" s="7">
        <f>IFERROR(IF([1]对账明细接口!$AA707=0,"",[1]对账明细接口!$AA707),"")</f>
      </c>
      <c r="AF707" s="7">
        <f>IFERROR(IF([1]对账明细接口!$AB707=0,"",[1]对账明细接口!$AB707),"")</f>
      </c>
      <c r="AG707" s="7">
        <f>IFERROR(IF([1]对账明细接口!$AC707=0,"",[1]对账明细接口!$AC707),"")</f>
      </c>
      <c r="AH707" s="7">
        <f>IFERROR(IF([1]对账明细接口!$AD707=0,"",[1]对账明细接口!$AD707),"")</f>
      </c>
      <c r="AI707" s="7">
        <f>IFERROR(IF([1]对账明细接口!$AE707=0,"",[1]对账明细接口!$AE707),"")</f>
      </c>
      <c r="AJ707" s="7">
        <f>IFERROR(IF([1]对账明细接口!$AF707=0,"",[1]对账明细接口!$AF707),"")</f>
      </c>
    </row>
    <row r="708" ht="14.25" customHeight="1" s="127">
      <c r="A708" s="14" t="n">
        <v>708</v>
      </c>
      <c r="B708" s="211">
        <f>IFERROR(IF([1]对账明细接口!$B$708=0,"",[1]对账明细接口!$B$708),"")</f>
      </c>
      <c r="C708" s="16">
        <f>IFERROR(IF([1]对账明细接口!$C$708=0,"",[1]对账明细接口!$C$708),"")</f>
      </c>
      <c r="D708" s="16">
        <f>IFERROR(IF([1]对账明细接口!$D$708=0,"",[1]对账明细接口!$D$708),"")</f>
      </c>
      <c r="E708" s="16">
        <f>IFERROR(IF([1]对账明细接口!$E$708=0,"",[1]对账明细接口!$E$708),"")</f>
      </c>
      <c r="F708" s="16">
        <f>IFERROR(IF([1]对账明细接口!$F$708=0,"",[1]对账明细接口!$F$708),"")</f>
      </c>
      <c r="G708" s="16">
        <f>IFERROR(IF([1]对账明细接口!$G$708=0,"",[1]对账明细接口!$G$708),"")</f>
      </c>
      <c r="H708" s="176">
        <f>IFERROR(IF([1]对账明细接口!$H$708=0,"",[1]对账明细接口!$H$708),"")</f>
      </c>
      <c r="I708" s="16">
        <f>IFERROR(IF([1]对账明细接口!$I$708=0,"",[1]对账明细接口!$I$708),"")</f>
      </c>
      <c r="J708" s="177">
        <f>IFERROR(IF([1]对账明细接口!$J$708=0,"",[1]对账明细接口!$J$708),"")</f>
      </c>
      <c r="K708" s="177">
        <f>IFERROR(IF([1]对账明细接口!$K$708=0,"",[1]对账明细接口!$K$708),"")</f>
      </c>
      <c r="L708" s="16">
        <f>IFERROR(IF([1]对账明细接口!$L$708=0,"",[1]对账明细接口!$L$708),"")</f>
      </c>
      <c r="M708" s="16">
        <f>IFERROR(IF([1]对账明细接口!$M$708=0,"",[1]对账明细接口!$M$708),"")</f>
      </c>
      <c r="N708" s="19">
        <f>IF($C708="",0,1)</f>
        <v>0</v>
      </c>
      <c r="O708" s="19">
        <f>N(O707)+$N708</f>
        <v>637</v>
      </c>
      <c r="S708" s="20">
        <f>IFERROR(IF([1]对账明细接口!$N708=0,"",[1]对账明细接口!$N708),"")</f>
      </c>
      <c r="T708" s="212">
        <f>IFERROR(IF([1]对账明细接口!$O708=0,"",[1]对账明细接口!$O708),"")</f>
      </c>
      <c r="U708" s="212">
        <f>IFERROR(IF([1]对账明细接口!$P708=0,"",[1]对账明细接口!$P708),"")</f>
      </c>
      <c r="V708" s="212">
        <f>IFERROR(IF([1]对账明细接口!$Q708=0,"",[1]对账明细接口!$Q708),"")</f>
      </c>
      <c r="W708" s="20">
        <f>IFERROR(IF([1]对账明细接口!$R708=0,"",[1]对账明细接口!$R708),"")</f>
      </c>
      <c r="X708" s="20">
        <f>IFERROR(IF([1]对账明细接口!$S708=0,"",[1]对账明细接口!$S708),"")</f>
      </c>
      <c r="Y708" s="20">
        <f>IFERROR(IF([1]对账明细接口!$T708=0,"",[1]对账明细接口!$T708),"")</f>
      </c>
      <c r="Z708" s="213">
        <f>IFERROR(IF([1]对账明细接口!$U708=0,"",[1]对账明细接口!$U708),"")</f>
      </c>
      <c r="AA708" s="213">
        <f>IFERROR(IF([1]对账明细接口!$V708=0,"",[1]对账明细接口!$V708),"")</f>
      </c>
      <c r="AB708" s="20">
        <f>IFERROR(IF([1]对账明细接口!$W708=0,"",[1]对账明细接口!$W708),"")</f>
      </c>
      <c r="AC708" s="7">
        <f>IFERROR(IF([1]对账明细接口!$X708=0,"",[1]对账明细接口!$X708),"")</f>
      </c>
      <c r="AD708" s="7">
        <f>IFERROR(IF([1]对账明细接口!$Y708=0,"",[1]对账明细接口!$Y708),"")</f>
      </c>
      <c r="AE708" s="7">
        <f>IFERROR(IF([1]对账明细接口!$AA708=0,"",[1]对账明细接口!$AA708),"")</f>
      </c>
      <c r="AF708" s="7">
        <f>IFERROR(IF([1]对账明细接口!$AB708=0,"",[1]对账明细接口!$AB708),"")</f>
      </c>
      <c r="AG708" s="7">
        <f>IFERROR(IF([1]对账明细接口!$AC708=0,"",[1]对账明细接口!$AC708),"")</f>
      </c>
      <c r="AH708" s="7">
        <f>IFERROR(IF([1]对账明细接口!$AD708=0,"",[1]对账明细接口!$AD708),"")</f>
      </c>
      <c r="AI708" s="7">
        <f>IFERROR(IF([1]对账明细接口!$AE708=0,"",[1]对账明细接口!$AE708),"")</f>
      </c>
      <c r="AJ708" s="7">
        <f>IFERROR(IF([1]对账明细接口!$AF708=0,"",[1]对账明细接口!$AF708),"")</f>
      </c>
    </row>
    <row r="709" ht="14.25" customHeight="1" s="127">
      <c r="A709" s="14" t="n">
        <v>709</v>
      </c>
      <c r="B709" s="211">
        <f>IFERROR(IF([1]对账明细接口!$B$709=0,"",[1]对账明细接口!$B$709),"")</f>
      </c>
      <c r="C709" s="16">
        <f>IFERROR(IF([1]对账明细接口!$C$709=0,"",[1]对账明细接口!$C$709),"")</f>
      </c>
      <c r="D709" s="16">
        <f>IFERROR(IF([1]对账明细接口!$D$709=0,"",[1]对账明细接口!$D$709),"")</f>
      </c>
      <c r="E709" s="16">
        <f>IFERROR(IF([1]对账明细接口!$E$709=0,"",[1]对账明细接口!$E$709),"")</f>
      </c>
      <c r="F709" s="16">
        <f>IFERROR(IF([1]对账明细接口!$F$709=0,"",[1]对账明细接口!$F$709),"")</f>
      </c>
      <c r="G709" s="16">
        <f>IFERROR(IF([1]对账明细接口!$G$709=0,"",[1]对账明细接口!$G$709),"")</f>
      </c>
      <c r="H709" s="176">
        <f>IFERROR(IF([1]对账明细接口!$H$709=0,"",[1]对账明细接口!$H$709),"")</f>
      </c>
      <c r="I709" s="16">
        <f>IFERROR(IF([1]对账明细接口!$I$709=0,"",[1]对账明细接口!$I$709),"")</f>
      </c>
      <c r="J709" s="177">
        <f>IFERROR(IF([1]对账明细接口!$J$709=0,"",[1]对账明细接口!$J$709),"")</f>
      </c>
      <c r="K709" s="177">
        <f>IFERROR(IF([1]对账明细接口!$K$709=0,"",[1]对账明细接口!$K$709),"")</f>
      </c>
      <c r="L709" s="16">
        <f>IFERROR(IF([1]对账明细接口!$L$709=0,"",[1]对账明细接口!$L$709),"")</f>
      </c>
      <c r="M709" s="16">
        <f>IFERROR(IF([1]对账明细接口!$M$709=0,"",[1]对账明细接口!$M$709),"")</f>
      </c>
      <c r="N709" s="19">
        <f>IF($C709="",0,1)</f>
        <v>0</v>
      </c>
      <c r="O709" s="19">
        <f>N(O708)+$N709</f>
        <v>637</v>
      </c>
      <c r="S709" s="20">
        <f>IFERROR(IF([1]对账明细接口!$N709=0,"",[1]对账明细接口!$N709),"")</f>
      </c>
      <c r="T709" s="212">
        <f>IFERROR(IF([1]对账明细接口!$O709=0,"",[1]对账明细接口!$O709),"")</f>
      </c>
      <c r="U709" s="212">
        <f>IFERROR(IF([1]对账明细接口!$P709=0,"",[1]对账明细接口!$P709),"")</f>
      </c>
      <c r="V709" s="212">
        <f>IFERROR(IF([1]对账明细接口!$Q709=0,"",[1]对账明细接口!$Q709),"")</f>
      </c>
      <c r="W709" s="20">
        <f>IFERROR(IF([1]对账明细接口!$R709=0,"",[1]对账明细接口!$R709),"")</f>
      </c>
      <c r="X709" s="20">
        <f>IFERROR(IF([1]对账明细接口!$S709=0,"",[1]对账明细接口!$S709),"")</f>
      </c>
      <c r="Y709" s="20">
        <f>IFERROR(IF([1]对账明细接口!$T709=0,"",[1]对账明细接口!$T709),"")</f>
      </c>
      <c r="Z709" s="213">
        <f>IFERROR(IF([1]对账明细接口!$U709=0,"",[1]对账明细接口!$U709),"")</f>
      </c>
      <c r="AA709" s="213">
        <f>IFERROR(IF([1]对账明细接口!$V709=0,"",[1]对账明细接口!$V709),"")</f>
      </c>
      <c r="AB709" s="20">
        <f>IFERROR(IF([1]对账明细接口!$W709=0,"",[1]对账明细接口!$W709),"")</f>
      </c>
      <c r="AC709" s="7">
        <f>IFERROR(IF([1]对账明细接口!$X709=0,"",[1]对账明细接口!$X709),"")</f>
      </c>
      <c r="AD709" s="7">
        <f>IFERROR(IF([1]对账明细接口!$Y709=0,"",[1]对账明细接口!$Y709),"")</f>
      </c>
      <c r="AE709" s="7">
        <f>IFERROR(IF([1]对账明细接口!$AA709=0,"",[1]对账明细接口!$AA709),"")</f>
      </c>
      <c r="AF709" s="7">
        <f>IFERROR(IF([1]对账明细接口!$AB709=0,"",[1]对账明细接口!$AB709),"")</f>
      </c>
      <c r="AG709" s="7">
        <f>IFERROR(IF([1]对账明细接口!$AC709=0,"",[1]对账明细接口!$AC709),"")</f>
      </c>
      <c r="AH709" s="7">
        <f>IFERROR(IF([1]对账明细接口!$AD709=0,"",[1]对账明细接口!$AD709),"")</f>
      </c>
      <c r="AI709" s="7">
        <f>IFERROR(IF([1]对账明细接口!$AE709=0,"",[1]对账明细接口!$AE709),"")</f>
      </c>
      <c r="AJ709" s="7">
        <f>IFERROR(IF([1]对账明细接口!$AF709=0,"",[1]对账明细接口!$AF709),"")</f>
      </c>
    </row>
    <row r="710" ht="14.25" customHeight="1" s="127">
      <c r="A710" s="14" t="n">
        <v>710</v>
      </c>
      <c r="B710" s="211">
        <f>IFERROR(IF([1]对账明细接口!$B$710=0,"",[1]对账明细接口!$B$710),"")</f>
      </c>
      <c r="C710" s="16">
        <f>IFERROR(IF([1]对账明细接口!$C$710=0,"",[1]对账明细接口!$C$710),"")</f>
      </c>
      <c r="D710" s="16">
        <f>IFERROR(IF([1]对账明细接口!$D$710=0,"",[1]对账明细接口!$D$710),"")</f>
      </c>
      <c r="E710" s="16">
        <f>IFERROR(IF([1]对账明细接口!$E$710=0,"",[1]对账明细接口!$E$710),"")</f>
      </c>
      <c r="F710" s="16">
        <f>IFERROR(IF([1]对账明细接口!$F$710=0,"",[1]对账明细接口!$F$710),"")</f>
      </c>
      <c r="G710" s="16">
        <f>IFERROR(IF([1]对账明细接口!$G$710=0,"",[1]对账明细接口!$G$710),"")</f>
      </c>
      <c r="H710" s="176">
        <f>IFERROR(IF([1]对账明细接口!$H$710=0,"",[1]对账明细接口!$H$710),"")</f>
      </c>
      <c r="I710" s="16">
        <f>IFERROR(IF([1]对账明细接口!$I$710=0,"",[1]对账明细接口!$I$710),"")</f>
      </c>
      <c r="J710" s="177">
        <f>IFERROR(IF([1]对账明细接口!$J$710=0,"",[1]对账明细接口!$J$710),"")</f>
      </c>
      <c r="K710" s="177">
        <f>IFERROR(IF([1]对账明细接口!$K$710=0,"",[1]对账明细接口!$K$710),"")</f>
      </c>
      <c r="L710" s="16">
        <f>IFERROR(IF([1]对账明细接口!$L$710=0,"",[1]对账明细接口!$L$710),"")</f>
      </c>
      <c r="M710" s="16">
        <f>IFERROR(IF([1]对账明细接口!$M$710=0,"",[1]对账明细接口!$M$710),"")</f>
      </c>
      <c r="N710" s="19">
        <f>IF($C710="",0,1)</f>
        <v>0</v>
      </c>
      <c r="O710" s="19">
        <f>N(O709)+$N710</f>
        <v>637</v>
      </c>
      <c r="S710" s="20">
        <f>IFERROR(IF([1]对账明细接口!$N710=0,"",[1]对账明细接口!$N710),"")</f>
      </c>
      <c r="T710" s="212">
        <f>IFERROR(IF([1]对账明细接口!$O710=0,"",[1]对账明细接口!$O710),"")</f>
      </c>
      <c r="U710" s="212">
        <f>IFERROR(IF([1]对账明细接口!$P710=0,"",[1]对账明细接口!$P710),"")</f>
      </c>
      <c r="V710" s="212">
        <f>IFERROR(IF([1]对账明细接口!$Q710=0,"",[1]对账明细接口!$Q710),"")</f>
      </c>
      <c r="W710" s="20">
        <f>IFERROR(IF([1]对账明细接口!$R710=0,"",[1]对账明细接口!$R710),"")</f>
      </c>
      <c r="X710" s="20">
        <f>IFERROR(IF([1]对账明细接口!$S710=0,"",[1]对账明细接口!$S710),"")</f>
      </c>
      <c r="Y710" s="20">
        <f>IFERROR(IF([1]对账明细接口!$T710=0,"",[1]对账明细接口!$T710),"")</f>
      </c>
      <c r="Z710" s="213">
        <f>IFERROR(IF([1]对账明细接口!$U710=0,"",[1]对账明细接口!$U710),"")</f>
      </c>
      <c r="AA710" s="213">
        <f>IFERROR(IF([1]对账明细接口!$V710=0,"",[1]对账明细接口!$V710),"")</f>
      </c>
      <c r="AB710" s="20">
        <f>IFERROR(IF([1]对账明细接口!$W710=0,"",[1]对账明细接口!$W710),"")</f>
      </c>
      <c r="AC710" s="7">
        <f>IFERROR(IF([1]对账明细接口!$X710=0,"",[1]对账明细接口!$X710),"")</f>
      </c>
      <c r="AD710" s="7">
        <f>IFERROR(IF([1]对账明细接口!$Y710=0,"",[1]对账明细接口!$Y710),"")</f>
      </c>
      <c r="AE710" s="7">
        <f>IFERROR(IF([1]对账明细接口!$AA710=0,"",[1]对账明细接口!$AA710),"")</f>
      </c>
      <c r="AF710" s="7">
        <f>IFERROR(IF([1]对账明细接口!$AB710=0,"",[1]对账明细接口!$AB710),"")</f>
      </c>
      <c r="AG710" s="7">
        <f>IFERROR(IF([1]对账明细接口!$AC710=0,"",[1]对账明细接口!$AC710),"")</f>
      </c>
      <c r="AH710" s="7">
        <f>IFERROR(IF([1]对账明细接口!$AD710=0,"",[1]对账明细接口!$AD710),"")</f>
      </c>
      <c r="AI710" s="7">
        <f>IFERROR(IF([1]对账明细接口!$AE710=0,"",[1]对账明细接口!$AE710),"")</f>
      </c>
      <c r="AJ710" s="7">
        <f>IFERROR(IF([1]对账明细接口!$AF710=0,"",[1]对账明细接口!$AF710),"")</f>
      </c>
    </row>
    <row r="711" ht="14.25" customHeight="1" s="127">
      <c r="A711" s="14" t="n">
        <v>711</v>
      </c>
      <c r="B711" s="211">
        <f>IFERROR(IF([1]对账明细接口!$B$711=0,"",[1]对账明细接口!$B$711),"")</f>
      </c>
      <c r="C711" s="16">
        <f>IFERROR(IF([1]对账明细接口!$C$711=0,"",[1]对账明细接口!$C$711),"")</f>
      </c>
      <c r="D711" s="16">
        <f>IFERROR(IF([1]对账明细接口!$D$711=0,"",[1]对账明细接口!$D$711),"")</f>
      </c>
      <c r="E711" s="16">
        <f>IFERROR(IF([1]对账明细接口!$E$711=0,"",[1]对账明细接口!$E$711),"")</f>
      </c>
      <c r="F711" s="16">
        <f>IFERROR(IF([1]对账明细接口!$F$711=0,"",[1]对账明细接口!$F$711),"")</f>
      </c>
      <c r="G711" s="16">
        <f>IFERROR(IF([1]对账明细接口!$G$711=0,"",[1]对账明细接口!$G$711),"")</f>
      </c>
      <c r="H711" s="176">
        <f>IFERROR(IF([1]对账明细接口!$H$711=0,"",[1]对账明细接口!$H$711),"")</f>
      </c>
      <c r="I711" s="16">
        <f>IFERROR(IF([1]对账明细接口!$I$711=0,"",[1]对账明细接口!$I$711),"")</f>
      </c>
      <c r="J711" s="177">
        <f>IFERROR(IF([1]对账明细接口!$J$711=0,"",[1]对账明细接口!$J$711),"")</f>
      </c>
      <c r="K711" s="177">
        <f>IFERROR(IF([1]对账明细接口!$K$711=0,"",[1]对账明细接口!$K$711),"")</f>
      </c>
      <c r="L711" s="16">
        <f>IFERROR(IF([1]对账明细接口!$L$711=0,"",[1]对账明细接口!$L$711),"")</f>
      </c>
      <c r="M711" s="16">
        <f>IFERROR(IF([1]对账明细接口!$M$711=0,"",[1]对账明细接口!$M$711),"")</f>
      </c>
      <c r="N711" s="19">
        <f>IF($C711="",0,1)</f>
        <v>0</v>
      </c>
      <c r="O711" s="19">
        <f>N(O710)+$N711</f>
        <v>637</v>
      </c>
      <c r="S711" s="20">
        <f>IFERROR(IF([1]对账明细接口!$N711=0,"",[1]对账明细接口!$N711),"")</f>
      </c>
      <c r="T711" s="212">
        <f>IFERROR(IF([1]对账明细接口!$O711=0,"",[1]对账明细接口!$O711),"")</f>
      </c>
      <c r="U711" s="212">
        <f>IFERROR(IF([1]对账明细接口!$P711=0,"",[1]对账明细接口!$P711),"")</f>
      </c>
      <c r="V711" s="212">
        <f>IFERROR(IF([1]对账明细接口!$Q711=0,"",[1]对账明细接口!$Q711),"")</f>
      </c>
      <c r="W711" s="20">
        <f>IFERROR(IF([1]对账明细接口!$R711=0,"",[1]对账明细接口!$R711),"")</f>
      </c>
      <c r="X711" s="20">
        <f>IFERROR(IF([1]对账明细接口!$S711=0,"",[1]对账明细接口!$S711),"")</f>
      </c>
      <c r="Y711" s="20">
        <f>IFERROR(IF([1]对账明细接口!$T711=0,"",[1]对账明细接口!$T711),"")</f>
      </c>
      <c r="Z711" s="213">
        <f>IFERROR(IF([1]对账明细接口!$U711=0,"",[1]对账明细接口!$U711),"")</f>
      </c>
      <c r="AA711" s="213">
        <f>IFERROR(IF([1]对账明细接口!$V711=0,"",[1]对账明细接口!$V711),"")</f>
      </c>
      <c r="AB711" s="20">
        <f>IFERROR(IF([1]对账明细接口!$W711=0,"",[1]对账明细接口!$W711),"")</f>
      </c>
      <c r="AC711" s="7">
        <f>IFERROR(IF([1]对账明细接口!$X711=0,"",[1]对账明细接口!$X711),"")</f>
      </c>
      <c r="AD711" s="7">
        <f>IFERROR(IF([1]对账明细接口!$Y711=0,"",[1]对账明细接口!$Y711),"")</f>
      </c>
      <c r="AE711" s="7">
        <f>IFERROR(IF([1]对账明细接口!$AA711=0,"",[1]对账明细接口!$AA711),"")</f>
      </c>
      <c r="AF711" s="7">
        <f>IFERROR(IF([1]对账明细接口!$AB711=0,"",[1]对账明细接口!$AB711),"")</f>
      </c>
      <c r="AG711" s="7">
        <f>IFERROR(IF([1]对账明细接口!$AC711=0,"",[1]对账明细接口!$AC711),"")</f>
      </c>
      <c r="AH711" s="7">
        <f>IFERROR(IF([1]对账明细接口!$AD711=0,"",[1]对账明细接口!$AD711),"")</f>
      </c>
      <c r="AI711" s="7">
        <f>IFERROR(IF([1]对账明细接口!$AE711=0,"",[1]对账明细接口!$AE711),"")</f>
      </c>
      <c r="AJ711" s="7">
        <f>IFERROR(IF([1]对账明细接口!$AF711=0,"",[1]对账明细接口!$AF711),"")</f>
      </c>
    </row>
    <row r="712" ht="14.25" customHeight="1" s="127">
      <c r="A712" s="14" t="n">
        <v>712</v>
      </c>
      <c r="B712" s="211">
        <f>IFERROR(IF([1]对账明细接口!$B$712=0,"",[1]对账明细接口!$B$712),"")</f>
      </c>
      <c r="C712" s="16">
        <f>IFERROR(IF([1]对账明细接口!$C$712=0,"",[1]对账明细接口!$C$712),"")</f>
      </c>
      <c r="D712" s="16">
        <f>IFERROR(IF([1]对账明细接口!$D$712=0,"",[1]对账明细接口!$D$712),"")</f>
      </c>
      <c r="E712" s="16">
        <f>IFERROR(IF([1]对账明细接口!$E$712=0,"",[1]对账明细接口!$E$712),"")</f>
      </c>
      <c r="F712" s="16">
        <f>IFERROR(IF([1]对账明细接口!$F$712=0,"",[1]对账明细接口!$F$712),"")</f>
      </c>
      <c r="G712" s="16">
        <f>IFERROR(IF([1]对账明细接口!$G$712=0,"",[1]对账明细接口!$G$712),"")</f>
      </c>
      <c r="H712" s="176">
        <f>IFERROR(IF([1]对账明细接口!$H$712=0,"",[1]对账明细接口!$H$712),"")</f>
      </c>
      <c r="I712" s="16">
        <f>IFERROR(IF([1]对账明细接口!$I$712=0,"",[1]对账明细接口!$I$712),"")</f>
      </c>
      <c r="J712" s="177">
        <f>IFERROR(IF([1]对账明细接口!$J$712=0,"",[1]对账明细接口!$J$712),"")</f>
      </c>
      <c r="K712" s="177">
        <f>IFERROR(IF([1]对账明细接口!$K$712=0,"",[1]对账明细接口!$K$712),"")</f>
      </c>
      <c r="L712" s="16">
        <f>IFERROR(IF([1]对账明细接口!$L$712=0,"",[1]对账明细接口!$L$712),"")</f>
      </c>
      <c r="M712" s="16">
        <f>IFERROR(IF([1]对账明细接口!$M$712=0,"",[1]对账明细接口!$M$712),"")</f>
      </c>
      <c r="N712" s="19">
        <f>IF($C712="",0,1)</f>
        <v>0</v>
      </c>
      <c r="O712" s="19">
        <f>N(O711)+$N712</f>
        <v>637</v>
      </c>
      <c r="S712" s="20">
        <f>IFERROR(IF([1]对账明细接口!$N712=0,"",[1]对账明细接口!$N712),"")</f>
      </c>
      <c r="T712" s="212">
        <f>IFERROR(IF([1]对账明细接口!$O712=0,"",[1]对账明细接口!$O712),"")</f>
      </c>
      <c r="U712" s="212">
        <f>IFERROR(IF([1]对账明细接口!$P712=0,"",[1]对账明细接口!$P712),"")</f>
      </c>
      <c r="V712" s="212">
        <f>IFERROR(IF([1]对账明细接口!$Q712=0,"",[1]对账明细接口!$Q712),"")</f>
      </c>
      <c r="W712" s="20">
        <f>IFERROR(IF([1]对账明细接口!$R712=0,"",[1]对账明细接口!$R712),"")</f>
      </c>
      <c r="X712" s="20">
        <f>IFERROR(IF([1]对账明细接口!$S712=0,"",[1]对账明细接口!$S712),"")</f>
      </c>
      <c r="Y712" s="20">
        <f>IFERROR(IF([1]对账明细接口!$T712=0,"",[1]对账明细接口!$T712),"")</f>
      </c>
      <c r="Z712" s="213">
        <f>IFERROR(IF([1]对账明细接口!$U712=0,"",[1]对账明细接口!$U712),"")</f>
      </c>
      <c r="AA712" s="213">
        <f>IFERROR(IF([1]对账明细接口!$V712=0,"",[1]对账明细接口!$V712),"")</f>
      </c>
      <c r="AB712" s="20">
        <f>IFERROR(IF([1]对账明细接口!$W712=0,"",[1]对账明细接口!$W712),"")</f>
      </c>
      <c r="AC712" s="7">
        <f>IFERROR(IF([1]对账明细接口!$X712=0,"",[1]对账明细接口!$X712),"")</f>
      </c>
      <c r="AD712" s="7">
        <f>IFERROR(IF([1]对账明细接口!$Y712=0,"",[1]对账明细接口!$Y712),"")</f>
      </c>
      <c r="AE712" s="7">
        <f>IFERROR(IF([1]对账明细接口!$AA712=0,"",[1]对账明细接口!$AA712),"")</f>
      </c>
      <c r="AF712" s="7">
        <f>IFERROR(IF([1]对账明细接口!$AB712=0,"",[1]对账明细接口!$AB712),"")</f>
      </c>
      <c r="AG712" s="7">
        <f>IFERROR(IF([1]对账明细接口!$AC712=0,"",[1]对账明细接口!$AC712),"")</f>
      </c>
      <c r="AH712" s="7">
        <f>IFERROR(IF([1]对账明细接口!$AD712=0,"",[1]对账明细接口!$AD712),"")</f>
      </c>
      <c r="AI712" s="7">
        <f>IFERROR(IF([1]对账明细接口!$AE712=0,"",[1]对账明细接口!$AE712),"")</f>
      </c>
      <c r="AJ712" s="7">
        <f>IFERROR(IF([1]对账明细接口!$AF712=0,"",[1]对账明细接口!$AF712),"")</f>
      </c>
    </row>
    <row r="713" ht="14.25" customHeight="1" s="127">
      <c r="A713" s="14" t="n">
        <v>713</v>
      </c>
      <c r="B713" s="211">
        <f>IFERROR(IF([1]对账明细接口!$B$713=0,"",[1]对账明细接口!$B$713),"")</f>
      </c>
      <c r="C713" s="16">
        <f>IFERROR(IF([1]对账明细接口!$C$713=0,"",[1]对账明细接口!$C$713),"")</f>
      </c>
      <c r="D713" s="16">
        <f>IFERROR(IF([1]对账明细接口!$D$713=0,"",[1]对账明细接口!$D$713),"")</f>
      </c>
      <c r="E713" s="16">
        <f>IFERROR(IF([1]对账明细接口!$E$713=0,"",[1]对账明细接口!$E$713),"")</f>
      </c>
      <c r="F713" s="16">
        <f>IFERROR(IF([1]对账明细接口!$F$713=0,"",[1]对账明细接口!$F$713),"")</f>
      </c>
      <c r="G713" s="16">
        <f>IFERROR(IF([1]对账明细接口!$G$713=0,"",[1]对账明细接口!$G$713),"")</f>
      </c>
      <c r="H713" s="176">
        <f>IFERROR(IF([1]对账明细接口!$H$713=0,"",[1]对账明细接口!$H$713),"")</f>
      </c>
      <c r="I713" s="16">
        <f>IFERROR(IF([1]对账明细接口!$I$713=0,"",[1]对账明细接口!$I$713),"")</f>
      </c>
      <c r="J713" s="177">
        <f>IFERROR(IF([1]对账明细接口!$J$713=0,"",[1]对账明细接口!$J$713),"")</f>
      </c>
      <c r="K713" s="177">
        <f>IFERROR(IF([1]对账明细接口!$K$713=0,"",[1]对账明细接口!$K$713),"")</f>
      </c>
      <c r="L713" s="16">
        <f>IFERROR(IF([1]对账明细接口!$L$713=0,"",[1]对账明细接口!$L$713),"")</f>
      </c>
      <c r="M713" s="16">
        <f>IFERROR(IF([1]对账明细接口!$M$713=0,"",[1]对账明细接口!$M$713),"")</f>
      </c>
      <c r="N713" s="19">
        <f>IF($C713="",0,1)</f>
        <v>0</v>
      </c>
      <c r="O713" s="19">
        <f>N(O712)+$N713</f>
        <v>637</v>
      </c>
      <c r="S713" s="20">
        <f>IFERROR(IF([1]对账明细接口!$N713=0,"",[1]对账明细接口!$N713),"")</f>
      </c>
      <c r="T713" s="212">
        <f>IFERROR(IF([1]对账明细接口!$O713=0,"",[1]对账明细接口!$O713),"")</f>
      </c>
      <c r="U713" s="212">
        <f>IFERROR(IF([1]对账明细接口!$P713=0,"",[1]对账明细接口!$P713),"")</f>
      </c>
      <c r="V713" s="212">
        <f>IFERROR(IF([1]对账明细接口!$Q713=0,"",[1]对账明细接口!$Q713),"")</f>
      </c>
      <c r="W713" s="20">
        <f>IFERROR(IF([1]对账明细接口!$R713=0,"",[1]对账明细接口!$R713),"")</f>
      </c>
      <c r="X713" s="20">
        <f>IFERROR(IF([1]对账明细接口!$S713=0,"",[1]对账明细接口!$S713),"")</f>
      </c>
      <c r="Y713" s="20">
        <f>IFERROR(IF([1]对账明细接口!$T713=0,"",[1]对账明细接口!$T713),"")</f>
      </c>
      <c r="Z713" s="213">
        <f>IFERROR(IF([1]对账明细接口!$U713=0,"",[1]对账明细接口!$U713),"")</f>
      </c>
      <c r="AA713" s="213">
        <f>IFERROR(IF([1]对账明细接口!$V713=0,"",[1]对账明细接口!$V713),"")</f>
      </c>
      <c r="AB713" s="20">
        <f>IFERROR(IF([1]对账明细接口!$W713=0,"",[1]对账明细接口!$W713),"")</f>
      </c>
      <c r="AC713" s="7">
        <f>IFERROR(IF([1]对账明细接口!$X713=0,"",[1]对账明细接口!$X713),"")</f>
      </c>
      <c r="AD713" s="7">
        <f>IFERROR(IF([1]对账明细接口!$Y713=0,"",[1]对账明细接口!$Y713),"")</f>
      </c>
      <c r="AE713" s="7">
        <f>IFERROR(IF([1]对账明细接口!$AA713=0,"",[1]对账明细接口!$AA713),"")</f>
      </c>
      <c r="AF713" s="7">
        <f>IFERROR(IF([1]对账明细接口!$AB713=0,"",[1]对账明细接口!$AB713),"")</f>
      </c>
      <c r="AG713" s="7">
        <f>IFERROR(IF([1]对账明细接口!$AC713=0,"",[1]对账明细接口!$AC713),"")</f>
      </c>
      <c r="AH713" s="7">
        <f>IFERROR(IF([1]对账明细接口!$AD713=0,"",[1]对账明细接口!$AD713),"")</f>
      </c>
      <c r="AI713" s="7">
        <f>IFERROR(IF([1]对账明细接口!$AE713=0,"",[1]对账明细接口!$AE713),"")</f>
      </c>
      <c r="AJ713" s="7">
        <f>IFERROR(IF([1]对账明细接口!$AF713=0,"",[1]对账明细接口!$AF713),"")</f>
      </c>
    </row>
    <row r="714" ht="14.25" customHeight="1" s="127">
      <c r="A714" s="14" t="n">
        <v>714</v>
      </c>
      <c r="B714" s="211">
        <f>IFERROR(IF([1]对账明细接口!$B$714=0,"",[1]对账明细接口!$B$714),"")</f>
      </c>
      <c r="C714" s="16">
        <f>IFERROR(IF([1]对账明细接口!$C$714=0,"",[1]对账明细接口!$C$714),"")</f>
      </c>
      <c r="D714" s="16">
        <f>IFERROR(IF([1]对账明细接口!$D$714=0,"",[1]对账明细接口!$D$714),"")</f>
      </c>
      <c r="E714" s="16">
        <f>IFERROR(IF([1]对账明细接口!$E$714=0,"",[1]对账明细接口!$E$714),"")</f>
      </c>
      <c r="F714" s="16">
        <f>IFERROR(IF([1]对账明细接口!$F$714=0,"",[1]对账明细接口!$F$714),"")</f>
      </c>
      <c r="G714" s="16">
        <f>IFERROR(IF([1]对账明细接口!$G$714=0,"",[1]对账明细接口!$G$714),"")</f>
      </c>
      <c r="H714" s="176">
        <f>IFERROR(IF([1]对账明细接口!$H$714=0,"",[1]对账明细接口!$H$714),"")</f>
      </c>
      <c r="I714" s="16">
        <f>IFERROR(IF([1]对账明细接口!$I$714=0,"",[1]对账明细接口!$I$714),"")</f>
      </c>
      <c r="J714" s="177">
        <f>IFERROR(IF([1]对账明细接口!$J$714=0,"",[1]对账明细接口!$J$714),"")</f>
      </c>
      <c r="K714" s="177">
        <f>IFERROR(IF([1]对账明细接口!$K$714=0,"",[1]对账明细接口!$K$714),"")</f>
      </c>
      <c r="L714" s="16">
        <f>IFERROR(IF([1]对账明细接口!$L$714=0,"",[1]对账明细接口!$L$714),"")</f>
      </c>
      <c r="M714" s="16">
        <f>IFERROR(IF([1]对账明细接口!$M$714=0,"",[1]对账明细接口!$M$714),"")</f>
      </c>
      <c r="N714" s="19">
        <f>IF($C714="",0,1)</f>
        <v>0</v>
      </c>
      <c r="O714" s="19">
        <f>N(O713)+$N714</f>
        <v>637</v>
      </c>
      <c r="S714" s="20">
        <f>IFERROR(IF([1]对账明细接口!$N714=0,"",[1]对账明细接口!$N714),"")</f>
      </c>
      <c r="T714" s="212">
        <f>IFERROR(IF([1]对账明细接口!$O714=0,"",[1]对账明细接口!$O714),"")</f>
      </c>
      <c r="U714" s="212">
        <f>IFERROR(IF([1]对账明细接口!$P714=0,"",[1]对账明细接口!$P714),"")</f>
      </c>
      <c r="V714" s="212">
        <f>IFERROR(IF([1]对账明细接口!$Q714=0,"",[1]对账明细接口!$Q714),"")</f>
      </c>
      <c r="W714" s="20">
        <f>IFERROR(IF([1]对账明细接口!$R714=0,"",[1]对账明细接口!$R714),"")</f>
      </c>
      <c r="X714" s="20">
        <f>IFERROR(IF([1]对账明细接口!$S714=0,"",[1]对账明细接口!$S714),"")</f>
      </c>
      <c r="Y714" s="20">
        <f>IFERROR(IF([1]对账明细接口!$T714=0,"",[1]对账明细接口!$T714),"")</f>
      </c>
      <c r="Z714" s="213">
        <f>IFERROR(IF([1]对账明细接口!$U714=0,"",[1]对账明细接口!$U714),"")</f>
      </c>
      <c r="AA714" s="213">
        <f>IFERROR(IF([1]对账明细接口!$V714=0,"",[1]对账明细接口!$V714),"")</f>
      </c>
      <c r="AB714" s="20">
        <f>IFERROR(IF([1]对账明细接口!$W714=0,"",[1]对账明细接口!$W714),"")</f>
      </c>
      <c r="AC714" s="7">
        <f>IFERROR(IF([1]对账明细接口!$X714=0,"",[1]对账明细接口!$X714),"")</f>
      </c>
      <c r="AD714" s="7">
        <f>IFERROR(IF([1]对账明细接口!$Y714=0,"",[1]对账明细接口!$Y714),"")</f>
      </c>
      <c r="AE714" s="7">
        <f>IFERROR(IF([1]对账明细接口!$AA714=0,"",[1]对账明细接口!$AA714),"")</f>
      </c>
      <c r="AF714" s="7">
        <f>IFERROR(IF([1]对账明细接口!$AB714=0,"",[1]对账明细接口!$AB714),"")</f>
      </c>
      <c r="AG714" s="7">
        <f>IFERROR(IF([1]对账明细接口!$AC714=0,"",[1]对账明细接口!$AC714),"")</f>
      </c>
      <c r="AH714" s="7">
        <f>IFERROR(IF([1]对账明细接口!$AD714=0,"",[1]对账明细接口!$AD714),"")</f>
      </c>
      <c r="AI714" s="7">
        <f>IFERROR(IF([1]对账明细接口!$AE714=0,"",[1]对账明细接口!$AE714),"")</f>
      </c>
      <c r="AJ714" s="7">
        <f>IFERROR(IF([1]对账明细接口!$AF714=0,"",[1]对账明细接口!$AF714),"")</f>
      </c>
    </row>
    <row r="715" ht="14.25" customHeight="1" s="127">
      <c r="A715" s="14" t="n">
        <v>715</v>
      </c>
      <c r="B715" s="211">
        <f>IFERROR(IF([1]对账明细接口!$B$715=0,"",[1]对账明细接口!$B$715),"")</f>
      </c>
      <c r="C715" s="16">
        <f>IFERROR(IF([1]对账明细接口!$C$715=0,"",[1]对账明细接口!$C$715),"")</f>
      </c>
      <c r="D715" s="16">
        <f>IFERROR(IF([1]对账明细接口!$D$715=0,"",[1]对账明细接口!$D$715),"")</f>
      </c>
      <c r="E715" s="16">
        <f>IFERROR(IF([1]对账明细接口!$E$715=0,"",[1]对账明细接口!$E$715),"")</f>
      </c>
      <c r="F715" s="16">
        <f>IFERROR(IF([1]对账明细接口!$F$715=0,"",[1]对账明细接口!$F$715),"")</f>
      </c>
      <c r="G715" s="16">
        <f>IFERROR(IF([1]对账明细接口!$G$715=0,"",[1]对账明细接口!$G$715),"")</f>
      </c>
      <c r="H715" s="176">
        <f>IFERROR(IF([1]对账明细接口!$H$715=0,"",[1]对账明细接口!$H$715),"")</f>
      </c>
      <c r="I715" s="16">
        <f>IFERROR(IF([1]对账明细接口!$I$715=0,"",[1]对账明细接口!$I$715),"")</f>
      </c>
      <c r="J715" s="177">
        <f>IFERROR(IF([1]对账明细接口!$J$715=0,"",[1]对账明细接口!$J$715),"")</f>
      </c>
      <c r="K715" s="177">
        <f>IFERROR(IF([1]对账明细接口!$K$715=0,"",[1]对账明细接口!$K$715),"")</f>
      </c>
      <c r="L715" s="16">
        <f>IFERROR(IF([1]对账明细接口!$L$715=0,"",[1]对账明细接口!$L$715),"")</f>
      </c>
      <c r="M715" s="16">
        <f>IFERROR(IF([1]对账明细接口!$M$715=0,"",[1]对账明细接口!$M$715),"")</f>
      </c>
      <c r="N715" s="19">
        <f>IF($C715="",0,1)</f>
        <v>0</v>
      </c>
      <c r="O715" s="19">
        <f>N(O714)+$N715</f>
        <v>637</v>
      </c>
      <c r="S715" s="20">
        <f>IFERROR(IF([1]对账明细接口!$N715=0,"",[1]对账明细接口!$N715),"")</f>
      </c>
      <c r="T715" s="212">
        <f>IFERROR(IF([1]对账明细接口!$O715=0,"",[1]对账明细接口!$O715),"")</f>
      </c>
      <c r="U715" s="212">
        <f>IFERROR(IF([1]对账明细接口!$P715=0,"",[1]对账明细接口!$P715),"")</f>
      </c>
      <c r="V715" s="212">
        <f>IFERROR(IF([1]对账明细接口!$Q715=0,"",[1]对账明细接口!$Q715),"")</f>
      </c>
      <c r="W715" s="20">
        <f>IFERROR(IF([1]对账明细接口!$R715=0,"",[1]对账明细接口!$R715),"")</f>
      </c>
      <c r="X715" s="20">
        <f>IFERROR(IF([1]对账明细接口!$S715=0,"",[1]对账明细接口!$S715),"")</f>
      </c>
      <c r="Y715" s="20">
        <f>IFERROR(IF([1]对账明细接口!$T715=0,"",[1]对账明细接口!$T715),"")</f>
      </c>
      <c r="Z715" s="213">
        <f>IFERROR(IF([1]对账明细接口!$U715=0,"",[1]对账明细接口!$U715),"")</f>
      </c>
      <c r="AA715" s="213">
        <f>IFERROR(IF([1]对账明细接口!$V715=0,"",[1]对账明细接口!$V715),"")</f>
      </c>
      <c r="AB715" s="20">
        <f>IFERROR(IF([1]对账明细接口!$W715=0,"",[1]对账明细接口!$W715),"")</f>
      </c>
      <c r="AC715" s="7">
        <f>IFERROR(IF([1]对账明细接口!$X715=0,"",[1]对账明细接口!$X715),"")</f>
      </c>
      <c r="AD715" s="7">
        <f>IFERROR(IF([1]对账明细接口!$Y715=0,"",[1]对账明细接口!$Y715),"")</f>
      </c>
      <c r="AE715" s="7">
        <f>IFERROR(IF([1]对账明细接口!$AA715=0,"",[1]对账明细接口!$AA715),"")</f>
      </c>
      <c r="AF715" s="7">
        <f>IFERROR(IF([1]对账明细接口!$AB715=0,"",[1]对账明细接口!$AB715),"")</f>
      </c>
      <c r="AG715" s="7">
        <f>IFERROR(IF([1]对账明细接口!$AC715=0,"",[1]对账明细接口!$AC715),"")</f>
      </c>
      <c r="AH715" s="7">
        <f>IFERROR(IF([1]对账明细接口!$AD715=0,"",[1]对账明细接口!$AD715),"")</f>
      </c>
      <c r="AI715" s="7">
        <f>IFERROR(IF([1]对账明细接口!$AE715=0,"",[1]对账明细接口!$AE715),"")</f>
      </c>
      <c r="AJ715" s="7">
        <f>IFERROR(IF([1]对账明细接口!$AF715=0,"",[1]对账明细接口!$AF715),"")</f>
      </c>
    </row>
    <row r="716" ht="14.25" customHeight="1" s="127">
      <c r="A716" s="14" t="n">
        <v>716</v>
      </c>
      <c r="B716" s="211">
        <f>IFERROR(IF([1]对账明细接口!$B$716=0,"",[1]对账明细接口!$B$716),"")</f>
      </c>
      <c r="C716" s="16">
        <f>IFERROR(IF([1]对账明细接口!$C$716=0,"",[1]对账明细接口!$C$716),"")</f>
      </c>
      <c r="D716" s="16">
        <f>IFERROR(IF([1]对账明细接口!$D$716=0,"",[1]对账明细接口!$D$716),"")</f>
      </c>
      <c r="E716" s="16">
        <f>IFERROR(IF([1]对账明细接口!$E$716=0,"",[1]对账明细接口!$E$716),"")</f>
      </c>
      <c r="F716" s="16">
        <f>IFERROR(IF([1]对账明细接口!$F$716=0,"",[1]对账明细接口!$F$716),"")</f>
      </c>
      <c r="G716" s="16">
        <f>IFERROR(IF([1]对账明细接口!$G$716=0,"",[1]对账明细接口!$G$716),"")</f>
      </c>
      <c r="H716" s="176">
        <f>IFERROR(IF([1]对账明细接口!$H$716=0,"",[1]对账明细接口!$H$716),"")</f>
      </c>
      <c r="I716" s="16">
        <f>IFERROR(IF([1]对账明细接口!$I$716=0,"",[1]对账明细接口!$I$716),"")</f>
      </c>
      <c r="J716" s="177">
        <f>IFERROR(IF([1]对账明细接口!$J$716=0,"",[1]对账明细接口!$J$716),"")</f>
      </c>
      <c r="K716" s="177">
        <f>IFERROR(IF([1]对账明细接口!$K$716=0,"",[1]对账明细接口!$K$716),"")</f>
      </c>
      <c r="L716" s="16">
        <f>IFERROR(IF([1]对账明细接口!$L$716=0,"",[1]对账明细接口!$L$716),"")</f>
      </c>
      <c r="M716" s="16">
        <f>IFERROR(IF([1]对账明细接口!$M$716=0,"",[1]对账明细接口!$M$716),"")</f>
      </c>
      <c r="N716" s="19">
        <f>IF($C716="",0,1)</f>
        <v>0</v>
      </c>
      <c r="O716" s="19">
        <f>N(O715)+$N716</f>
        <v>637</v>
      </c>
      <c r="S716" s="20">
        <f>IFERROR(IF([1]对账明细接口!$N716=0,"",[1]对账明细接口!$N716),"")</f>
      </c>
      <c r="T716" s="212">
        <f>IFERROR(IF([1]对账明细接口!$O716=0,"",[1]对账明细接口!$O716),"")</f>
      </c>
      <c r="U716" s="212">
        <f>IFERROR(IF([1]对账明细接口!$P716=0,"",[1]对账明细接口!$P716),"")</f>
      </c>
      <c r="V716" s="212">
        <f>IFERROR(IF([1]对账明细接口!$Q716=0,"",[1]对账明细接口!$Q716),"")</f>
      </c>
      <c r="W716" s="20">
        <f>IFERROR(IF([1]对账明细接口!$R716=0,"",[1]对账明细接口!$R716),"")</f>
      </c>
      <c r="X716" s="20">
        <f>IFERROR(IF([1]对账明细接口!$S716=0,"",[1]对账明细接口!$S716),"")</f>
      </c>
      <c r="Y716" s="20">
        <f>IFERROR(IF([1]对账明细接口!$T716=0,"",[1]对账明细接口!$T716),"")</f>
      </c>
      <c r="Z716" s="213">
        <f>IFERROR(IF([1]对账明细接口!$U716=0,"",[1]对账明细接口!$U716),"")</f>
      </c>
      <c r="AA716" s="213">
        <f>IFERROR(IF([1]对账明细接口!$V716=0,"",[1]对账明细接口!$V716),"")</f>
      </c>
      <c r="AB716" s="20">
        <f>IFERROR(IF([1]对账明细接口!$W716=0,"",[1]对账明细接口!$W716),"")</f>
      </c>
      <c r="AC716" s="7">
        <f>IFERROR(IF([1]对账明细接口!$X716=0,"",[1]对账明细接口!$X716),"")</f>
      </c>
      <c r="AD716" s="7">
        <f>IFERROR(IF([1]对账明细接口!$Y716=0,"",[1]对账明细接口!$Y716),"")</f>
      </c>
      <c r="AE716" s="7">
        <f>IFERROR(IF([1]对账明细接口!$AA716=0,"",[1]对账明细接口!$AA716),"")</f>
      </c>
      <c r="AF716" s="7">
        <f>IFERROR(IF([1]对账明细接口!$AB716=0,"",[1]对账明细接口!$AB716),"")</f>
      </c>
      <c r="AG716" s="7">
        <f>IFERROR(IF([1]对账明细接口!$AC716=0,"",[1]对账明细接口!$AC716),"")</f>
      </c>
      <c r="AH716" s="7">
        <f>IFERROR(IF([1]对账明细接口!$AD716=0,"",[1]对账明细接口!$AD716),"")</f>
      </c>
      <c r="AI716" s="7">
        <f>IFERROR(IF([1]对账明细接口!$AE716=0,"",[1]对账明细接口!$AE716),"")</f>
      </c>
      <c r="AJ716" s="7">
        <f>IFERROR(IF([1]对账明细接口!$AF716=0,"",[1]对账明细接口!$AF716),"")</f>
      </c>
    </row>
    <row r="717" ht="14.25" customHeight="1" s="127">
      <c r="A717" s="14" t="n">
        <v>717</v>
      </c>
      <c r="B717" s="211">
        <f>IFERROR(IF([1]对账明细接口!$B$717=0,"",[1]对账明细接口!$B$717),"")</f>
      </c>
      <c r="C717" s="16">
        <f>IFERROR(IF([1]对账明细接口!$C$717=0,"",[1]对账明细接口!$C$717),"")</f>
      </c>
      <c r="D717" s="16">
        <f>IFERROR(IF([1]对账明细接口!$D$717=0,"",[1]对账明细接口!$D$717),"")</f>
      </c>
      <c r="E717" s="16">
        <f>IFERROR(IF([1]对账明细接口!$E$717=0,"",[1]对账明细接口!$E$717),"")</f>
      </c>
      <c r="F717" s="16">
        <f>IFERROR(IF([1]对账明细接口!$F$717=0,"",[1]对账明细接口!$F$717),"")</f>
      </c>
      <c r="G717" s="16">
        <f>IFERROR(IF([1]对账明细接口!$G$717=0,"",[1]对账明细接口!$G$717),"")</f>
      </c>
      <c r="H717" s="176">
        <f>IFERROR(IF([1]对账明细接口!$H$717=0,"",[1]对账明细接口!$H$717),"")</f>
      </c>
      <c r="I717" s="16">
        <f>IFERROR(IF([1]对账明细接口!$I$717=0,"",[1]对账明细接口!$I$717),"")</f>
      </c>
      <c r="J717" s="177">
        <f>IFERROR(IF([1]对账明细接口!$J$717=0,"",[1]对账明细接口!$J$717),"")</f>
      </c>
      <c r="K717" s="177">
        <f>IFERROR(IF([1]对账明细接口!$K$717=0,"",[1]对账明细接口!$K$717),"")</f>
      </c>
      <c r="L717" s="16">
        <f>IFERROR(IF([1]对账明细接口!$L$717=0,"",[1]对账明细接口!$L$717),"")</f>
      </c>
      <c r="M717" s="16">
        <f>IFERROR(IF([1]对账明细接口!$M$717=0,"",[1]对账明细接口!$M$717),"")</f>
      </c>
      <c r="N717" s="19">
        <f>IF($C717="",0,1)</f>
        <v>0</v>
      </c>
      <c r="O717" s="19">
        <f>N(O716)+$N717</f>
        <v>637</v>
      </c>
      <c r="S717" s="20">
        <f>IFERROR(IF([1]对账明细接口!$N717=0,"",[1]对账明细接口!$N717),"")</f>
      </c>
      <c r="T717" s="212">
        <f>IFERROR(IF([1]对账明细接口!$O717=0,"",[1]对账明细接口!$O717),"")</f>
      </c>
      <c r="U717" s="212">
        <f>IFERROR(IF([1]对账明细接口!$P717=0,"",[1]对账明细接口!$P717),"")</f>
      </c>
      <c r="V717" s="212">
        <f>IFERROR(IF([1]对账明细接口!$Q717=0,"",[1]对账明细接口!$Q717),"")</f>
      </c>
      <c r="W717" s="20">
        <f>IFERROR(IF([1]对账明细接口!$R717=0,"",[1]对账明细接口!$R717),"")</f>
      </c>
      <c r="X717" s="20">
        <f>IFERROR(IF([1]对账明细接口!$S717=0,"",[1]对账明细接口!$S717),"")</f>
      </c>
      <c r="Y717" s="20">
        <f>IFERROR(IF([1]对账明细接口!$T717=0,"",[1]对账明细接口!$T717),"")</f>
      </c>
      <c r="Z717" s="213">
        <f>IFERROR(IF([1]对账明细接口!$U717=0,"",[1]对账明细接口!$U717),"")</f>
      </c>
      <c r="AA717" s="213">
        <f>IFERROR(IF([1]对账明细接口!$V717=0,"",[1]对账明细接口!$V717),"")</f>
      </c>
      <c r="AB717" s="20">
        <f>IFERROR(IF([1]对账明细接口!$W717=0,"",[1]对账明细接口!$W717),"")</f>
      </c>
      <c r="AC717" s="7">
        <f>IFERROR(IF([1]对账明细接口!$X717=0,"",[1]对账明细接口!$X717),"")</f>
      </c>
      <c r="AD717" s="7">
        <f>IFERROR(IF([1]对账明细接口!$Y717=0,"",[1]对账明细接口!$Y717),"")</f>
      </c>
      <c r="AE717" s="7">
        <f>IFERROR(IF([1]对账明细接口!$AA717=0,"",[1]对账明细接口!$AA717),"")</f>
      </c>
      <c r="AF717" s="7">
        <f>IFERROR(IF([1]对账明细接口!$AB717=0,"",[1]对账明细接口!$AB717),"")</f>
      </c>
      <c r="AG717" s="7">
        <f>IFERROR(IF([1]对账明细接口!$AC717=0,"",[1]对账明细接口!$AC717),"")</f>
      </c>
      <c r="AH717" s="7">
        <f>IFERROR(IF([1]对账明细接口!$AD717=0,"",[1]对账明细接口!$AD717),"")</f>
      </c>
      <c r="AI717" s="7">
        <f>IFERROR(IF([1]对账明细接口!$AE717=0,"",[1]对账明细接口!$AE717),"")</f>
      </c>
      <c r="AJ717" s="7">
        <f>IFERROR(IF([1]对账明细接口!$AF717=0,"",[1]对账明细接口!$AF717),"")</f>
      </c>
    </row>
    <row r="718" ht="14.25" customHeight="1" s="127">
      <c r="A718" s="14" t="n">
        <v>718</v>
      </c>
      <c r="B718" s="211">
        <f>IFERROR(IF([1]对账明细接口!$B$718=0,"",[1]对账明细接口!$B$718),"")</f>
      </c>
      <c r="C718" s="16">
        <f>IFERROR(IF([1]对账明细接口!$C$718=0,"",[1]对账明细接口!$C$718),"")</f>
      </c>
      <c r="D718" s="16">
        <f>IFERROR(IF([1]对账明细接口!$D$718=0,"",[1]对账明细接口!$D$718),"")</f>
      </c>
      <c r="E718" s="16">
        <f>IFERROR(IF([1]对账明细接口!$E$718=0,"",[1]对账明细接口!$E$718),"")</f>
      </c>
      <c r="F718" s="16">
        <f>IFERROR(IF([1]对账明细接口!$F$718=0,"",[1]对账明细接口!$F$718),"")</f>
      </c>
      <c r="G718" s="16">
        <f>IFERROR(IF([1]对账明细接口!$G$718=0,"",[1]对账明细接口!$G$718),"")</f>
      </c>
      <c r="H718" s="176">
        <f>IFERROR(IF([1]对账明细接口!$H$718=0,"",[1]对账明细接口!$H$718),"")</f>
      </c>
      <c r="I718" s="16">
        <f>IFERROR(IF([1]对账明细接口!$I$718=0,"",[1]对账明细接口!$I$718),"")</f>
      </c>
      <c r="J718" s="177">
        <f>IFERROR(IF([1]对账明细接口!$J$718=0,"",[1]对账明细接口!$J$718),"")</f>
      </c>
      <c r="K718" s="177">
        <f>IFERROR(IF([1]对账明细接口!$K$718=0,"",[1]对账明细接口!$K$718),"")</f>
      </c>
      <c r="L718" s="16">
        <f>IFERROR(IF([1]对账明细接口!$L$718=0,"",[1]对账明细接口!$L$718),"")</f>
      </c>
      <c r="M718" s="16">
        <f>IFERROR(IF([1]对账明细接口!$M$718=0,"",[1]对账明细接口!$M$718),"")</f>
      </c>
      <c r="N718" s="19">
        <f>IF($C718="",0,1)</f>
        <v>0</v>
      </c>
      <c r="O718" s="19">
        <f>N(O717)+$N718</f>
        <v>637</v>
      </c>
      <c r="S718" s="20">
        <f>IFERROR(IF([1]对账明细接口!$N718=0,"",[1]对账明细接口!$N718),"")</f>
      </c>
      <c r="T718" s="212">
        <f>IFERROR(IF([1]对账明细接口!$O718=0,"",[1]对账明细接口!$O718),"")</f>
      </c>
      <c r="U718" s="212">
        <f>IFERROR(IF([1]对账明细接口!$P718=0,"",[1]对账明细接口!$P718),"")</f>
      </c>
      <c r="V718" s="212">
        <f>IFERROR(IF([1]对账明细接口!$Q718=0,"",[1]对账明细接口!$Q718),"")</f>
      </c>
      <c r="W718" s="20">
        <f>IFERROR(IF([1]对账明细接口!$R718=0,"",[1]对账明细接口!$R718),"")</f>
      </c>
      <c r="X718" s="20">
        <f>IFERROR(IF([1]对账明细接口!$S718=0,"",[1]对账明细接口!$S718),"")</f>
      </c>
      <c r="Y718" s="20">
        <f>IFERROR(IF([1]对账明细接口!$T718=0,"",[1]对账明细接口!$T718),"")</f>
      </c>
      <c r="Z718" s="213">
        <f>IFERROR(IF([1]对账明细接口!$U718=0,"",[1]对账明细接口!$U718),"")</f>
      </c>
      <c r="AA718" s="213">
        <f>IFERROR(IF([1]对账明细接口!$V718=0,"",[1]对账明细接口!$V718),"")</f>
      </c>
      <c r="AB718" s="20">
        <f>IFERROR(IF([1]对账明细接口!$W718=0,"",[1]对账明细接口!$W718),"")</f>
      </c>
      <c r="AC718" s="7">
        <f>IFERROR(IF([1]对账明细接口!$X718=0,"",[1]对账明细接口!$X718),"")</f>
      </c>
      <c r="AD718" s="7">
        <f>IFERROR(IF([1]对账明细接口!$Y718=0,"",[1]对账明细接口!$Y718),"")</f>
      </c>
      <c r="AE718" s="7">
        <f>IFERROR(IF([1]对账明细接口!$AA718=0,"",[1]对账明细接口!$AA718),"")</f>
      </c>
      <c r="AF718" s="7">
        <f>IFERROR(IF([1]对账明细接口!$AB718=0,"",[1]对账明细接口!$AB718),"")</f>
      </c>
      <c r="AG718" s="7">
        <f>IFERROR(IF([1]对账明细接口!$AC718=0,"",[1]对账明细接口!$AC718),"")</f>
      </c>
      <c r="AH718" s="7">
        <f>IFERROR(IF([1]对账明细接口!$AD718=0,"",[1]对账明细接口!$AD718),"")</f>
      </c>
      <c r="AI718" s="7">
        <f>IFERROR(IF([1]对账明细接口!$AE718=0,"",[1]对账明细接口!$AE718),"")</f>
      </c>
      <c r="AJ718" s="7">
        <f>IFERROR(IF([1]对账明细接口!$AF718=0,"",[1]对账明细接口!$AF718),"")</f>
      </c>
    </row>
    <row r="719" ht="14.25" customHeight="1" s="127">
      <c r="A719" s="14" t="n">
        <v>719</v>
      </c>
      <c r="B719" s="211">
        <f>IFERROR(IF([1]对账明细接口!$B$719=0,"",[1]对账明细接口!$B$719),"")</f>
      </c>
      <c r="C719" s="16">
        <f>IFERROR(IF([1]对账明细接口!$C$719=0,"",[1]对账明细接口!$C$719),"")</f>
      </c>
      <c r="D719" s="16">
        <f>IFERROR(IF([1]对账明细接口!$D$719=0,"",[1]对账明细接口!$D$719),"")</f>
      </c>
      <c r="E719" s="16">
        <f>IFERROR(IF([1]对账明细接口!$E$719=0,"",[1]对账明细接口!$E$719),"")</f>
      </c>
      <c r="F719" s="16">
        <f>IFERROR(IF([1]对账明细接口!$F$719=0,"",[1]对账明细接口!$F$719),"")</f>
      </c>
      <c r="G719" s="16">
        <f>IFERROR(IF([1]对账明细接口!$G$719=0,"",[1]对账明细接口!$G$719),"")</f>
      </c>
      <c r="H719" s="176">
        <f>IFERROR(IF([1]对账明细接口!$H$719=0,"",[1]对账明细接口!$H$719),"")</f>
      </c>
      <c r="I719" s="16">
        <f>IFERROR(IF([1]对账明细接口!$I$719=0,"",[1]对账明细接口!$I$719),"")</f>
      </c>
      <c r="J719" s="177">
        <f>IFERROR(IF([1]对账明细接口!$J$719=0,"",[1]对账明细接口!$J$719),"")</f>
      </c>
      <c r="K719" s="177">
        <f>IFERROR(IF([1]对账明细接口!$K$719=0,"",[1]对账明细接口!$K$719),"")</f>
      </c>
      <c r="L719" s="16">
        <f>IFERROR(IF([1]对账明细接口!$L$719=0,"",[1]对账明细接口!$L$719),"")</f>
      </c>
      <c r="M719" s="16">
        <f>IFERROR(IF([1]对账明细接口!$M$719=0,"",[1]对账明细接口!$M$719),"")</f>
      </c>
      <c r="N719" s="19">
        <f>IF($C719="",0,1)</f>
        <v>0</v>
      </c>
      <c r="O719" s="19">
        <f>N(O718)+$N719</f>
        <v>637</v>
      </c>
      <c r="S719" s="20">
        <f>IFERROR(IF([1]对账明细接口!$N719=0,"",[1]对账明细接口!$N719),"")</f>
      </c>
      <c r="T719" s="212">
        <f>IFERROR(IF([1]对账明细接口!$O719=0,"",[1]对账明细接口!$O719),"")</f>
      </c>
      <c r="U719" s="212">
        <f>IFERROR(IF([1]对账明细接口!$P719=0,"",[1]对账明细接口!$P719),"")</f>
      </c>
      <c r="V719" s="212">
        <f>IFERROR(IF([1]对账明细接口!$Q719=0,"",[1]对账明细接口!$Q719),"")</f>
      </c>
      <c r="W719" s="20">
        <f>IFERROR(IF([1]对账明细接口!$R719=0,"",[1]对账明细接口!$R719),"")</f>
      </c>
      <c r="X719" s="20">
        <f>IFERROR(IF([1]对账明细接口!$S719=0,"",[1]对账明细接口!$S719),"")</f>
      </c>
      <c r="Y719" s="20">
        <f>IFERROR(IF([1]对账明细接口!$T719=0,"",[1]对账明细接口!$T719),"")</f>
      </c>
      <c r="Z719" s="213">
        <f>IFERROR(IF([1]对账明细接口!$U719=0,"",[1]对账明细接口!$U719),"")</f>
      </c>
      <c r="AA719" s="213">
        <f>IFERROR(IF([1]对账明细接口!$V719=0,"",[1]对账明细接口!$V719),"")</f>
      </c>
      <c r="AB719" s="20">
        <f>IFERROR(IF([1]对账明细接口!$W719=0,"",[1]对账明细接口!$W719),"")</f>
      </c>
      <c r="AC719" s="7">
        <f>IFERROR(IF([1]对账明细接口!$X719=0,"",[1]对账明细接口!$X719),"")</f>
      </c>
      <c r="AD719" s="7">
        <f>IFERROR(IF([1]对账明细接口!$Y719=0,"",[1]对账明细接口!$Y719),"")</f>
      </c>
      <c r="AE719" s="7">
        <f>IFERROR(IF([1]对账明细接口!$AA719=0,"",[1]对账明细接口!$AA719),"")</f>
      </c>
      <c r="AF719" s="7">
        <f>IFERROR(IF([1]对账明细接口!$AB719=0,"",[1]对账明细接口!$AB719),"")</f>
      </c>
      <c r="AG719" s="7">
        <f>IFERROR(IF([1]对账明细接口!$AC719=0,"",[1]对账明细接口!$AC719),"")</f>
      </c>
      <c r="AH719" s="7">
        <f>IFERROR(IF([1]对账明细接口!$AD719=0,"",[1]对账明细接口!$AD719),"")</f>
      </c>
      <c r="AI719" s="7">
        <f>IFERROR(IF([1]对账明细接口!$AE719=0,"",[1]对账明细接口!$AE719),"")</f>
      </c>
      <c r="AJ719" s="7">
        <f>IFERROR(IF([1]对账明细接口!$AF719=0,"",[1]对账明细接口!$AF719),"")</f>
      </c>
    </row>
    <row r="720" ht="14.25" customHeight="1" s="127">
      <c r="A720" s="14" t="n">
        <v>720</v>
      </c>
      <c r="B720" s="211">
        <f>IFERROR(IF([1]对账明细接口!$B$720=0,"",[1]对账明细接口!$B$720),"")</f>
      </c>
      <c r="C720" s="16">
        <f>IFERROR(IF([1]对账明细接口!$C$720=0,"",[1]对账明细接口!$C$720),"")</f>
      </c>
      <c r="D720" s="16">
        <f>IFERROR(IF([1]对账明细接口!$D$720=0,"",[1]对账明细接口!$D$720),"")</f>
      </c>
      <c r="E720" s="16">
        <f>IFERROR(IF([1]对账明细接口!$E$720=0,"",[1]对账明细接口!$E$720),"")</f>
      </c>
      <c r="F720" s="16">
        <f>IFERROR(IF([1]对账明细接口!$F$720=0,"",[1]对账明细接口!$F$720),"")</f>
      </c>
      <c r="G720" s="16">
        <f>IFERROR(IF([1]对账明细接口!$G$720=0,"",[1]对账明细接口!$G$720),"")</f>
      </c>
      <c r="H720" s="176">
        <f>IFERROR(IF([1]对账明细接口!$H$720=0,"",[1]对账明细接口!$H$720),"")</f>
      </c>
      <c r="I720" s="16">
        <f>IFERROR(IF([1]对账明细接口!$I$720=0,"",[1]对账明细接口!$I$720),"")</f>
      </c>
      <c r="J720" s="177">
        <f>IFERROR(IF([1]对账明细接口!$J$720=0,"",[1]对账明细接口!$J$720),"")</f>
      </c>
      <c r="K720" s="177">
        <f>IFERROR(IF([1]对账明细接口!$K$720=0,"",[1]对账明细接口!$K$720),"")</f>
      </c>
      <c r="L720" s="16">
        <f>IFERROR(IF([1]对账明细接口!$L$720=0,"",[1]对账明细接口!$L$720),"")</f>
      </c>
      <c r="M720" s="16">
        <f>IFERROR(IF([1]对账明细接口!$M$720=0,"",[1]对账明细接口!$M$720),"")</f>
      </c>
      <c r="N720" s="19">
        <f>IF($C720="",0,1)</f>
        <v>0</v>
      </c>
      <c r="O720" s="19">
        <f>N(O719)+$N720</f>
        <v>637</v>
      </c>
      <c r="S720" s="20">
        <f>IFERROR(IF([1]对账明细接口!$N720=0,"",[1]对账明细接口!$N720),"")</f>
      </c>
      <c r="T720" s="212">
        <f>IFERROR(IF([1]对账明细接口!$O720=0,"",[1]对账明细接口!$O720),"")</f>
      </c>
      <c r="U720" s="212">
        <f>IFERROR(IF([1]对账明细接口!$P720=0,"",[1]对账明细接口!$P720),"")</f>
      </c>
      <c r="V720" s="212">
        <f>IFERROR(IF([1]对账明细接口!$Q720=0,"",[1]对账明细接口!$Q720),"")</f>
      </c>
      <c r="W720" s="20">
        <f>IFERROR(IF([1]对账明细接口!$R720=0,"",[1]对账明细接口!$R720),"")</f>
      </c>
      <c r="X720" s="20">
        <f>IFERROR(IF([1]对账明细接口!$S720=0,"",[1]对账明细接口!$S720),"")</f>
      </c>
      <c r="Y720" s="20">
        <f>IFERROR(IF([1]对账明细接口!$T720=0,"",[1]对账明细接口!$T720),"")</f>
      </c>
      <c r="Z720" s="213">
        <f>IFERROR(IF([1]对账明细接口!$U720=0,"",[1]对账明细接口!$U720),"")</f>
      </c>
      <c r="AA720" s="213">
        <f>IFERROR(IF([1]对账明细接口!$V720=0,"",[1]对账明细接口!$V720),"")</f>
      </c>
      <c r="AB720" s="20">
        <f>IFERROR(IF([1]对账明细接口!$W720=0,"",[1]对账明细接口!$W720),"")</f>
      </c>
      <c r="AC720" s="7">
        <f>IFERROR(IF([1]对账明细接口!$X720=0,"",[1]对账明细接口!$X720),"")</f>
      </c>
      <c r="AD720" s="7">
        <f>IFERROR(IF([1]对账明细接口!$Y720=0,"",[1]对账明细接口!$Y720),"")</f>
      </c>
      <c r="AE720" s="7">
        <f>IFERROR(IF([1]对账明细接口!$AA720=0,"",[1]对账明细接口!$AA720),"")</f>
      </c>
      <c r="AF720" s="7">
        <f>IFERROR(IF([1]对账明细接口!$AB720=0,"",[1]对账明细接口!$AB720),"")</f>
      </c>
      <c r="AG720" s="7">
        <f>IFERROR(IF([1]对账明细接口!$AC720=0,"",[1]对账明细接口!$AC720),"")</f>
      </c>
      <c r="AH720" s="7">
        <f>IFERROR(IF([1]对账明细接口!$AD720=0,"",[1]对账明细接口!$AD720),"")</f>
      </c>
      <c r="AI720" s="7">
        <f>IFERROR(IF([1]对账明细接口!$AE720=0,"",[1]对账明细接口!$AE720),"")</f>
      </c>
      <c r="AJ720" s="7">
        <f>IFERROR(IF([1]对账明细接口!$AF720=0,"",[1]对账明细接口!$AF720),"")</f>
      </c>
    </row>
    <row r="721" ht="14.25" customHeight="1" s="127">
      <c r="A721" s="14" t="n">
        <v>721</v>
      </c>
      <c r="B721" s="211">
        <f>IFERROR(IF([1]对账明细接口!$B$721=0,"",[1]对账明细接口!$B$721),"")</f>
      </c>
      <c r="C721" s="16">
        <f>IFERROR(IF([1]对账明细接口!$C$721=0,"",[1]对账明细接口!$C$721),"")</f>
      </c>
      <c r="D721" s="16">
        <f>IFERROR(IF([1]对账明细接口!$D$721=0,"",[1]对账明细接口!$D$721),"")</f>
      </c>
      <c r="E721" s="16">
        <f>IFERROR(IF([1]对账明细接口!$E$721=0,"",[1]对账明细接口!$E$721),"")</f>
      </c>
      <c r="F721" s="16">
        <f>IFERROR(IF([1]对账明细接口!$F$721=0,"",[1]对账明细接口!$F$721),"")</f>
      </c>
      <c r="G721" s="16">
        <f>IFERROR(IF([1]对账明细接口!$G$721=0,"",[1]对账明细接口!$G$721),"")</f>
      </c>
      <c r="H721" s="176">
        <f>IFERROR(IF([1]对账明细接口!$H$721=0,"",[1]对账明细接口!$H$721),"")</f>
      </c>
      <c r="I721" s="16">
        <f>IFERROR(IF([1]对账明细接口!$I$721=0,"",[1]对账明细接口!$I$721),"")</f>
      </c>
      <c r="J721" s="177">
        <f>IFERROR(IF([1]对账明细接口!$J$721=0,"",[1]对账明细接口!$J$721),"")</f>
      </c>
      <c r="K721" s="177">
        <f>IFERROR(IF([1]对账明细接口!$K$721=0,"",[1]对账明细接口!$K$721),"")</f>
      </c>
      <c r="L721" s="16">
        <f>IFERROR(IF([1]对账明细接口!$L$721=0,"",[1]对账明细接口!$L$721),"")</f>
      </c>
      <c r="M721" s="16">
        <f>IFERROR(IF([1]对账明细接口!$M$721=0,"",[1]对账明细接口!$M$721),"")</f>
      </c>
      <c r="N721" s="19">
        <f>IF($C721="",0,1)</f>
        <v>0</v>
      </c>
      <c r="O721" s="19">
        <f>N(O720)+$N721</f>
        <v>637</v>
      </c>
      <c r="S721" s="20">
        <f>IFERROR(IF([1]对账明细接口!$N721=0,"",[1]对账明细接口!$N721),"")</f>
      </c>
      <c r="T721" s="212">
        <f>IFERROR(IF([1]对账明细接口!$O721=0,"",[1]对账明细接口!$O721),"")</f>
      </c>
      <c r="U721" s="212">
        <f>IFERROR(IF([1]对账明细接口!$P721=0,"",[1]对账明细接口!$P721),"")</f>
      </c>
      <c r="V721" s="212">
        <f>IFERROR(IF([1]对账明细接口!$Q721=0,"",[1]对账明细接口!$Q721),"")</f>
      </c>
      <c r="W721" s="20">
        <f>IFERROR(IF([1]对账明细接口!$R721=0,"",[1]对账明细接口!$R721),"")</f>
      </c>
      <c r="X721" s="20">
        <f>IFERROR(IF([1]对账明细接口!$S721=0,"",[1]对账明细接口!$S721),"")</f>
      </c>
      <c r="Y721" s="20">
        <f>IFERROR(IF([1]对账明细接口!$T721=0,"",[1]对账明细接口!$T721),"")</f>
      </c>
      <c r="Z721" s="213">
        <f>IFERROR(IF([1]对账明细接口!$U721=0,"",[1]对账明细接口!$U721),"")</f>
      </c>
      <c r="AA721" s="213">
        <f>IFERROR(IF([1]对账明细接口!$V721=0,"",[1]对账明细接口!$V721),"")</f>
      </c>
      <c r="AB721" s="20">
        <f>IFERROR(IF([1]对账明细接口!$W721=0,"",[1]对账明细接口!$W721),"")</f>
      </c>
      <c r="AC721" s="7">
        <f>IFERROR(IF([1]对账明细接口!$X721=0,"",[1]对账明细接口!$X721),"")</f>
      </c>
      <c r="AD721" s="7">
        <f>IFERROR(IF([1]对账明细接口!$Y721=0,"",[1]对账明细接口!$Y721),"")</f>
      </c>
      <c r="AE721" s="7">
        <f>IFERROR(IF([1]对账明细接口!$AA721=0,"",[1]对账明细接口!$AA721),"")</f>
      </c>
      <c r="AF721" s="7">
        <f>IFERROR(IF([1]对账明细接口!$AB721=0,"",[1]对账明细接口!$AB721),"")</f>
      </c>
      <c r="AG721" s="7">
        <f>IFERROR(IF([1]对账明细接口!$AC721=0,"",[1]对账明细接口!$AC721),"")</f>
      </c>
      <c r="AH721" s="7">
        <f>IFERROR(IF([1]对账明细接口!$AD721=0,"",[1]对账明细接口!$AD721),"")</f>
      </c>
      <c r="AI721" s="7">
        <f>IFERROR(IF([1]对账明细接口!$AE721=0,"",[1]对账明细接口!$AE721),"")</f>
      </c>
      <c r="AJ721" s="7">
        <f>IFERROR(IF([1]对账明细接口!$AF721=0,"",[1]对账明细接口!$AF721),"")</f>
      </c>
    </row>
    <row r="722" ht="14.25" customHeight="1" s="127">
      <c r="A722" s="14" t="n">
        <v>722</v>
      </c>
      <c r="B722" s="211">
        <f>IFERROR(IF([1]对账明细接口!$B$722=0,"",[1]对账明细接口!$B$722),"")</f>
      </c>
      <c r="C722" s="16">
        <f>IFERROR(IF([1]对账明细接口!$C$722=0,"",[1]对账明细接口!$C$722),"")</f>
      </c>
      <c r="D722" s="16">
        <f>IFERROR(IF([1]对账明细接口!$D$722=0,"",[1]对账明细接口!$D$722),"")</f>
      </c>
      <c r="E722" s="16">
        <f>IFERROR(IF([1]对账明细接口!$E$722=0,"",[1]对账明细接口!$E$722),"")</f>
      </c>
      <c r="F722" s="16">
        <f>IFERROR(IF([1]对账明细接口!$F$722=0,"",[1]对账明细接口!$F$722),"")</f>
      </c>
      <c r="G722" s="16">
        <f>IFERROR(IF([1]对账明细接口!$G$722=0,"",[1]对账明细接口!$G$722),"")</f>
      </c>
      <c r="H722" s="176">
        <f>IFERROR(IF([1]对账明细接口!$H$722=0,"",[1]对账明细接口!$H$722),"")</f>
      </c>
      <c r="I722" s="16">
        <f>IFERROR(IF([1]对账明细接口!$I$722=0,"",[1]对账明细接口!$I$722),"")</f>
      </c>
      <c r="J722" s="177">
        <f>IFERROR(IF([1]对账明细接口!$J$722=0,"",[1]对账明细接口!$J$722),"")</f>
      </c>
      <c r="K722" s="177">
        <f>IFERROR(IF([1]对账明细接口!$K$722=0,"",[1]对账明细接口!$K$722),"")</f>
      </c>
      <c r="L722" s="16">
        <f>IFERROR(IF([1]对账明细接口!$L$722=0,"",[1]对账明细接口!$L$722),"")</f>
      </c>
      <c r="M722" s="16">
        <f>IFERROR(IF([1]对账明细接口!$M$722=0,"",[1]对账明细接口!$M$722),"")</f>
      </c>
      <c r="N722" s="19">
        <f>IF($C722="",0,1)</f>
        <v>0</v>
      </c>
      <c r="O722" s="19">
        <f>N(O721)+$N722</f>
        <v>637</v>
      </c>
      <c r="S722" s="20">
        <f>IFERROR(IF([1]对账明细接口!$N722=0,"",[1]对账明细接口!$N722),"")</f>
      </c>
      <c r="T722" s="212">
        <f>IFERROR(IF([1]对账明细接口!$O722=0,"",[1]对账明细接口!$O722),"")</f>
      </c>
      <c r="U722" s="212">
        <f>IFERROR(IF([1]对账明细接口!$P722=0,"",[1]对账明细接口!$P722),"")</f>
      </c>
      <c r="V722" s="212">
        <f>IFERROR(IF([1]对账明细接口!$Q722=0,"",[1]对账明细接口!$Q722),"")</f>
      </c>
      <c r="W722" s="20">
        <f>IFERROR(IF([1]对账明细接口!$R722=0,"",[1]对账明细接口!$R722),"")</f>
      </c>
      <c r="X722" s="20">
        <f>IFERROR(IF([1]对账明细接口!$S722=0,"",[1]对账明细接口!$S722),"")</f>
      </c>
      <c r="Y722" s="20">
        <f>IFERROR(IF([1]对账明细接口!$T722=0,"",[1]对账明细接口!$T722),"")</f>
      </c>
      <c r="Z722" s="213">
        <f>IFERROR(IF([1]对账明细接口!$U722=0,"",[1]对账明细接口!$U722),"")</f>
      </c>
      <c r="AA722" s="213">
        <f>IFERROR(IF([1]对账明细接口!$V722=0,"",[1]对账明细接口!$V722),"")</f>
      </c>
      <c r="AB722" s="20">
        <f>IFERROR(IF([1]对账明细接口!$W722=0,"",[1]对账明细接口!$W722),"")</f>
      </c>
      <c r="AC722" s="7">
        <f>IFERROR(IF([1]对账明细接口!$X722=0,"",[1]对账明细接口!$X722),"")</f>
      </c>
      <c r="AD722" s="7">
        <f>IFERROR(IF([1]对账明细接口!$Y722=0,"",[1]对账明细接口!$Y722),"")</f>
      </c>
      <c r="AE722" s="7">
        <f>IFERROR(IF([1]对账明细接口!$AA722=0,"",[1]对账明细接口!$AA722),"")</f>
      </c>
      <c r="AF722" s="7">
        <f>IFERROR(IF([1]对账明细接口!$AB722=0,"",[1]对账明细接口!$AB722),"")</f>
      </c>
      <c r="AG722" s="7">
        <f>IFERROR(IF([1]对账明细接口!$AC722=0,"",[1]对账明细接口!$AC722),"")</f>
      </c>
      <c r="AH722" s="7">
        <f>IFERROR(IF([1]对账明细接口!$AD722=0,"",[1]对账明细接口!$AD722),"")</f>
      </c>
      <c r="AI722" s="7">
        <f>IFERROR(IF([1]对账明细接口!$AE722=0,"",[1]对账明细接口!$AE722),"")</f>
      </c>
      <c r="AJ722" s="7">
        <f>IFERROR(IF([1]对账明细接口!$AF722=0,"",[1]对账明细接口!$AF722),"")</f>
      </c>
    </row>
    <row r="723" ht="14.25" customHeight="1" s="127">
      <c r="A723" s="14" t="n">
        <v>723</v>
      </c>
      <c r="B723" s="211">
        <f>IFERROR(IF([1]对账明细接口!$B$723=0,"",[1]对账明细接口!$B$723),"")</f>
      </c>
      <c r="C723" s="16">
        <f>IFERROR(IF([1]对账明细接口!$C$723=0,"",[1]对账明细接口!$C$723),"")</f>
      </c>
      <c r="D723" s="16">
        <f>IFERROR(IF([1]对账明细接口!$D$723=0,"",[1]对账明细接口!$D$723),"")</f>
      </c>
      <c r="E723" s="16">
        <f>IFERROR(IF([1]对账明细接口!$E$723=0,"",[1]对账明细接口!$E$723),"")</f>
      </c>
      <c r="F723" s="16">
        <f>IFERROR(IF([1]对账明细接口!$F$723=0,"",[1]对账明细接口!$F$723),"")</f>
      </c>
      <c r="G723" s="16">
        <f>IFERROR(IF([1]对账明细接口!$G$723=0,"",[1]对账明细接口!$G$723),"")</f>
      </c>
      <c r="H723" s="176">
        <f>IFERROR(IF([1]对账明细接口!$H$723=0,"",[1]对账明细接口!$H$723),"")</f>
      </c>
      <c r="I723" s="16">
        <f>IFERROR(IF([1]对账明细接口!$I$723=0,"",[1]对账明细接口!$I$723),"")</f>
      </c>
      <c r="J723" s="177">
        <f>IFERROR(IF([1]对账明细接口!$J$723=0,"",[1]对账明细接口!$J$723),"")</f>
      </c>
      <c r="K723" s="177">
        <f>IFERROR(IF([1]对账明细接口!$K$723=0,"",[1]对账明细接口!$K$723),"")</f>
      </c>
      <c r="L723" s="16">
        <f>IFERROR(IF([1]对账明细接口!$L$723=0,"",[1]对账明细接口!$L$723),"")</f>
      </c>
      <c r="M723" s="16">
        <f>IFERROR(IF([1]对账明细接口!$M$723=0,"",[1]对账明细接口!$M$723),"")</f>
      </c>
      <c r="N723" s="19">
        <f>IF($C723="",0,1)</f>
        <v>0</v>
      </c>
      <c r="O723" s="19">
        <f>N(O722)+$N723</f>
        <v>637</v>
      </c>
      <c r="S723" s="20">
        <f>IFERROR(IF([1]对账明细接口!$N723=0,"",[1]对账明细接口!$N723),"")</f>
      </c>
      <c r="T723" s="212">
        <f>IFERROR(IF([1]对账明细接口!$O723=0,"",[1]对账明细接口!$O723),"")</f>
      </c>
      <c r="U723" s="212">
        <f>IFERROR(IF([1]对账明细接口!$P723=0,"",[1]对账明细接口!$P723),"")</f>
      </c>
      <c r="V723" s="212">
        <f>IFERROR(IF([1]对账明细接口!$Q723=0,"",[1]对账明细接口!$Q723),"")</f>
      </c>
      <c r="W723" s="20">
        <f>IFERROR(IF([1]对账明细接口!$R723=0,"",[1]对账明细接口!$R723),"")</f>
      </c>
      <c r="X723" s="20">
        <f>IFERROR(IF([1]对账明细接口!$S723=0,"",[1]对账明细接口!$S723),"")</f>
      </c>
      <c r="Y723" s="20">
        <f>IFERROR(IF([1]对账明细接口!$T723=0,"",[1]对账明细接口!$T723),"")</f>
      </c>
      <c r="Z723" s="213">
        <f>IFERROR(IF([1]对账明细接口!$U723=0,"",[1]对账明细接口!$U723),"")</f>
      </c>
      <c r="AA723" s="213">
        <f>IFERROR(IF([1]对账明细接口!$V723=0,"",[1]对账明细接口!$V723),"")</f>
      </c>
      <c r="AB723" s="20">
        <f>IFERROR(IF([1]对账明细接口!$W723=0,"",[1]对账明细接口!$W723),"")</f>
      </c>
      <c r="AC723" s="7">
        <f>IFERROR(IF([1]对账明细接口!$X723=0,"",[1]对账明细接口!$X723),"")</f>
      </c>
      <c r="AD723" s="7">
        <f>IFERROR(IF([1]对账明细接口!$Y723=0,"",[1]对账明细接口!$Y723),"")</f>
      </c>
      <c r="AE723" s="7">
        <f>IFERROR(IF([1]对账明细接口!$AA723=0,"",[1]对账明细接口!$AA723),"")</f>
      </c>
      <c r="AF723" s="7">
        <f>IFERROR(IF([1]对账明细接口!$AB723=0,"",[1]对账明细接口!$AB723),"")</f>
      </c>
      <c r="AG723" s="7">
        <f>IFERROR(IF([1]对账明细接口!$AC723=0,"",[1]对账明细接口!$AC723),"")</f>
      </c>
      <c r="AH723" s="7">
        <f>IFERROR(IF([1]对账明细接口!$AD723=0,"",[1]对账明细接口!$AD723),"")</f>
      </c>
      <c r="AI723" s="7">
        <f>IFERROR(IF([1]对账明细接口!$AE723=0,"",[1]对账明细接口!$AE723),"")</f>
      </c>
      <c r="AJ723" s="7">
        <f>IFERROR(IF([1]对账明细接口!$AF723=0,"",[1]对账明细接口!$AF723),"")</f>
      </c>
    </row>
    <row r="724" ht="14.25" customHeight="1" s="127">
      <c r="A724" s="14" t="n">
        <v>724</v>
      </c>
      <c r="B724" s="211">
        <f>IFERROR(IF([1]对账明细接口!$B$724=0,"",[1]对账明细接口!$B$724),"")</f>
      </c>
      <c r="C724" s="16">
        <f>IFERROR(IF([1]对账明细接口!$C$724=0,"",[1]对账明细接口!$C$724),"")</f>
      </c>
      <c r="D724" s="16">
        <f>IFERROR(IF([1]对账明细接口!$D$724=0,"",[1]对账明细接口!$D$724),"")</f>
      </c>
      <c r="E724" s="16">
        <f>IFERROR(IF([1]对账明细接口!$E$724=0,"",[1]对账明细接口!$E$724),"")</f>
      </c>
      <c r="F724" s="16">
        <f>IFERROR(IF([1]对账明细接口!$F$724=0,"",[1]对账明细接口!$F$724),"")</f>
      </c>
      <c r="G724" s="16">
        <f>IFERROR(IF([1]对账明细接口!$G$724=0,"",[1]对账明细接口!$G$724),"")</f>
      </c>
      <c r="H724" s="176">
        <f>IFERROR(IF([1]对账明细接口!$H$724=0,"",[1]对账明细接口!$H$724),"")</f>
      </c>
      <c r="I724" s="16">
        <f>IFERROR(IF([1]对账明细接口!$I$724=0,"",[1]对账明细接口!$I$724),"")</f>
      </c>
      <c r="J724" s="177">
        <f>IFERROR(IF([1]对账明细接口!$J$724=0,"",[1]对账明细接口!$J$724),"")</f>
      </c>
      <c r="K724" s="177">
        <f>IFERROR(IF([1]对账明细接口!$K$724=0,"",[1]对账明细接口!$K$724),"")</f>
      </c>
      <c r="L724" s="16">
        <f>IFERROR(IF([1]对账明细接口!$L$724=0,"",[1]对账明细接口!$L$724),"")</f>
      </c>
      <c r="M724" s="16">
        <f>IFERROR(IF([1]对账明细接口!$M$724=0,"",[1]对账明细接口!$M$724),"")</f>
      </c>
      <c r="N724" s="19">
        <f>IF($C724="",0,1)</f>
        <v>0</v>
      </c>
      <c r="O724" s="19">
        <f>N(O723)+$N724</f>
        <v>637</v>
      </c>
      <c r="S724" s="20">
        <f>IFERROR(IF([1]对账明细接口!$N724=0,"",[1]对账明细接口!$N724),"")</f>
      </c>
      <c r="T724" s="212">
        <f>IFERROR(IF([1]对账明细接口!$O724=0,"",[1]对账明细接口!$O724),"")</f>
      </c>
      <c r="U724" s="212">
        <f>IFERROR(IF([1]对账明细接口!$P724=0,"",[1]对账明细接口!$P724),"")</f>
      </c>
      <c r="V724" s="212">
        <f>IFERROR(IF([1]对账明细接口!$Q724=0,"",[1]对账明细接口!$Q724),"")</f>
      </c>
      <c r="W724" s="20">
        <f>IFERROR(IF([1]对账明细接口!$R724=0,"",[1]对账明细接口!$R724),"")</f>
      </c>
      <c r="X724" s="20">
        <f>IFERROR(IF([1]对账明细接口!$S724=0,"",[1]对账明细接口!$S724),"")</f>
      </c>
      <c r="Y724" s="20">
        <f>IFERROR(IF([1]对账明细接口!$T724=0,"",[1]对账明细接口!$T724),"")</f>
      </c>
      <c r="Z724" s="213">
        <f>IFERROR(IF([1]对账明细接口!$U724=0,"",[1]对账明细接口!$U724),"")</f>
      </c>
      <c r="AA724" s="213">
        <f>IFERROR(IF([1]对账明细接口!$V724=0,"",[1]对账明细接口!$V724),"")</f>
      </c>
      <c r="AB724" s="20">
        <f>IFERROR(IF([1]对账明细接口!$W724=0,"",[1]对账明细接口!$W724),"")</f>
      </c>
      <c r="AC724" s="7">
        <f>IFERROR(IF([1]对账明细接口!$X724=0,"",[1]对账明细接口!$X724),"")</f>
      </c>
      <c r="AD724" s="7">
        <f>IFERROR(IF([1]对账明细接口!$Y724=0,"",[1]对账明细接口!$Y724),"")</f>
      </c>
      <c r="AE724" s="7">
        <f>IFERROR(IF([1]对账明细接口!$AA724=0,"",[1]对账明细接口!$AA724),"")</f>
      </c>
      <c r="AF724" s="7">
        <f>IFERROR(IF([1]对账明细接口!$AB724=0,"",[1]对账明细接口!$AB724),"")</f>
      </c>
      <c r="AG724" s="7">
        <f>IFERROR(IF([1]对账明细接口!$AC724=0,"",[1]对账明细接口!$AC724),"")</f>
      </c>
      <c r="AH724" s="7">
        <f>IFERROR(IF([1]对账明细接口!$AD724=0,"",[1]对账明细接口!$AD724),"")</f>
      </c>
      <c r="AI724" s="7">
        <f>IFERROR(IF([1]对账明细接口!$AE724=0,"",[1]对账明细接口!$AE724),"")</f>
      </c>
      <c r="AJ724" s="7">
        <f>IFERROR(IF([1]对账明细接口!$AF724=0,"",[1]对账明细接口!$AF724),"")</f>
      </c>
    </row>
    <row r="725" ht="14.25" customHeight="1" s="127">
      <c r="A725" s="14" t="n">
        <v>725</v>
      </c>
      <c r="B725" s="211">
        <f>IFERROR(IF([1]对账明细接口!$B$725=0,"",[1]对账明细接口!$B$725),"")</f>
      </c>
      <c r="C725" s="16">
        <f>IFERROR(IF([1]对账明细接口!$C$725=0,"",[1]对账明细接口!$C$725),"")</f>
      </c>
      <c r="D725" s="16">
        <f>IFERROR(IF([1]对账明细接口!$D$725=0,"",[1]对账明细接口!$D$725),"")</f>
      </c>
      <c r="E725" s="16">
        <f>IFERROR(IF([1]对账明细接口!$E$725=0,"",[1]对账明细接口!$E$725),"")</f>
      </c>
      <c r="F725" s="16">
        <f>IFERROR(IF([1]对账明细接口!$F$725=0,"",[1]对账明细接口!$F$725),"")</f>
      </c>
      <c r="G725" s="16">
        <f>IFERROR(IF([1]对账明细接口!$G$725=0,"",[1]对账明细接口!$G$725),"")</f>
      </c>
      <c r="H725" s="176">
        <f>IFERROR(IF([1]对账明细接口!$H$725=0,"",[1]对账明细接口!$H$725),"")</f>
      </c>
      <c r="I725" s="16">
        <f>IFERROR(IF([1]对账明细接口!$I$725=0,"",[1]对账明细接口!$I$725),"")</f>
      </c>
      <c r="J725" s="177">
        <f>IFERROR(IF([1]对账明细接口!$J$725=0,"",[1]对账明细接口!$J$725),"")</f>
      </c>
      <c r="K725" s="177">
        <f>IFERROR(IF([1]对账明细接口!$K$725=0,"",[1]对账明细接口!$K$725),"")</f>
      </c>
      <c r="L725" s="16">
        <f>IFERROR(IF([1]对账明细接口!$L$725=0,"",[1]对账明细接口!$L$725),"")</f>
      </c>
      <c r="M725" s="16">
        <f>IFERROR(IF([1]对账明细接口!$M$725=0,"",[1]对账明细接口!$M$725),"")</f>
      </c>
      <c r="N725" s="19">
        <f>IF($C725="",0,1)</f>
        <v>0</v>
      </c>
      <c r="O725" s="19">
        <f>N(O724)+$N725</f>
        <v>637</v>
      </c>
      <c r="S725" s="20">
        <f>IFERROR(IF([1]对账明细接口!$N725=0,"",[1]对账明细接口!$N725),"")</f>
      </c>
      <c r="T725" s="212">
        <f>IFERROR(IF([1]对账明细接口!$O725=0,"",[1]对账明细接口!$O725),"")</f>
      </c>
      <c r="U725" s="212">
        <f>IFERROR(IF([1]对账明细接口!$P725=0,"",[1]对账明细接口!$P725),"")</f>
      </c>
      <c r="V725" s="212">
        <f>IFERROR(IF([1]对账明细接口!$Q725=0,"",[1]对账明细接口!$Q725),"")</f>
      </c>
      <c r="W725" s="20">
        <f>IFERROR(IF([1]对账明细接口!$R725=0,"",[1]对账明细接口!$R725),"")</f>
      </c>
      <c r="X725" s="20">
        <f>IFERROR(IF([1]对账明细接口!$S725=0,"",[1]对账明细接口!$S725),"")</f>
      </c>
      <c r="Y725" s="20">
        <f>IFERROR(IF([1]对账明细接口!$T725=0,"",[1]对账明细接口!$T725),"")</f>
      </c>
      <c r="Z725" s="213">
        <f>IFERROR(IF([1]对账明细接口!$U725=0,"",[1]对账明细接口!$U725),"")</f>
      </c>
      <c r="AA725" s="213">
        <f>IFERROR(IF([1]对账明细接口!$V725=0,"",[1]对账明细接口!$V725),"")</f>
      </c>
      <c r="AB725" s="20">
        <f>IFERROR(IF([1]对账明细接口!$W725=0,"",[1]对账明细接口!$W725),"")</f>
      </c>
      <c r="AC725" s="7">
        <f>IFERROR(IF([1]对账明细接口!$X725=0,"",[1]对账明细接口!$X725),"")</f>
      </c>
      <c r="AD725" s="7">
        <f>IFERROR(IF([1]对账明细接口!$Y725=0,"",[1]对账明细接口!$Y725),"")</f>
      </c>
      <c r="AE725" s="7">
        <f>IFERROR(IF([1]对账明细接口!$AA725=0,"",[1]对账明细接口!$AA725),"")</f>
      </c>
      <c r="AF725" s="7">
        <f>IFERROR(IF([1]对账明细接口!$AB725=0,"",[1]对账明细接口!$AB725),"")</f>
      </c>
      <c r="AG725" s="7">
        <f>IFERROR(IF([1]对账明细接口!$AC725=0,"",[1]对账明细接口!$AC725),"")</f>
      </c>
      <c r="AH725" s="7">
        <f>IFERROR(IF([1]对账明细接口!$AD725=0,"",[1]对账明细接口!$AD725),"")</f>
      </c>
      <c r="AI725" s="7">
        <f>IFERROR(IF([1]对账明细接口!$AE725=0,"",[1]对账明细接口!$AE725),"")</f>
      </c>
      <c r="AJ725" s="7">
        <f>IFERROR(IF([1]对账明细接口!$AF725=0,"",[1]对账明细接口!$AF725),"")</f>
      </c>
    </row>
    <row r="726" ht="14.25" customHeight="1" s="127">
      <c r="A726" s="14" t="n">
        <v>726</v>
      </c>
      <c r="B726" s="211">
        <f>IFERROR(IF([1]对账明细接口!$B$726=0,"",[1]对账明细接口!$B$726),"")</f>
      </c>
      <c r="C726" s="16">
        <f>IFERROR(IF([1]对账明细接口!$C$726=0,"",[1]对账明细接口!$C$726),"")</f>
      </c>
      <c r="D726" s="16">
        <f>IFERROR(IF([1]对账明细接口!$D$726=0,"",[1]对账明细接口!$D$726),"")</f>
      </c>
      <c r="E726" s="16">
        <f>IFERROR(IF([1]对账明细接口!$E$726=0,"",[1]对账明细接口!$E$726),"")</f>
      </c>
      <c r="F726" s="16">
        <f>IFERROR(IF([1]对账明细接口!$F$726=0,"",[1]对账明细接口!$F$726),"")</f>
      </c>
      <c r="G726" s="16">
        <f>IFERROR(IF([1]对账明细接口!$G$726=0,"",[1]对账明细接口!$G$726),"")</f>
      </c>
      <c r="H726" s="176">
        <f>IFERROR(IF([1]对账明细接口!$H$726=0,"",[1]对账明细接口!$H$726),"")</f>
      </c>
      <c r="I726" s="16">
        <f>IFERROR(IF([1]对账明细接口!$I$726=0,"",[1]对账明细接口!$I$726),"")</f>
      </c>
      <c r="J726" s="177">
        <f>IFERROR(IF([1]对账明细接口!$J$726=0,"",[1]对账明细接口!$J$726),"")</f>
      </c>
      <c r="K726" s="177">
        <f>IFERROR(IF([1]对账明细接口!$K$726=0,"",[1]对账明细接口!$K$726),"")</f>
      </c>
      <c r="L726" s="16">
        <f>IFERROR(IF([1]对账明细接口!$L$726=0,"",[1]对账明细接口!$L$726),"")</f>
      </c>
      <c r="M726" s="16">
        <f>IFERROR(IF([1]对账明细接口!$M$726=0,"",[1]对账明细接口!$M$726),"")</f>
      </c>
      <c r="N726" s="19">
        <f>IF($C726="",0,1)</f>
        <v>0</v>
      </c>
      <c r="O726" s="19">
        <f>N(O725)+$N726</f>
        <v>637</v>
      </c>
      <c r="S726" s="20">
        <f>IFERROR(IF([1]对账明细接口!$N726=0,"",[1]对账明细接口!$N726),"")</f>
      </c>
      <c r="T726" s="212">
        <f>IFERROR(IF([1]对账明细接口!$O726=0,"",[1]对账明细接口!$O726),"")</f>
      </c>
      <c r="U726" s="212">
        <f>IFERROR(IF([1]对账明细接口!$P726=0,"",[1]对账明细接口!$P726),"")</f>
      </c>
      <c r="V726" s="212">
        <f>IFERROR(IF([1]对账明细接口!$Q726=0,"",[1]对账明细接口!$Q726),"")</f>
      </c>
      <c r="W726" s="20">
        <f>IFERROR(IF([1]对账明细接口!$R726=0,"",[1]对账明细接口!$R726),"")</f>
      </c>
      <c r="X726" s="20">
        <f>IFERROR(IF([1]对账明细接口!$S726=0,"",[1]对账明细接口!$S726),"")</f>
      </c>
      <c r="Y726" s="20">
        <f>IFERROR(IF([1]对账明细接口!$T726=0,"",[1]对账明细接口!$T726),"")</f>
      </c>
      <c r="Z726" s="213">
        <f>IFERROR(IF([1]对账明细接口!$U726=0,"",[1]对账明细接口!$U726),"")</f>
      </c>
      <c r="AA726" s="213">
        <f>IFERROR(IF([1]对账明细接口!$V726=0,"",[1]对账明细接口!$V726),"")</f>
      </c>
      <c r="AB726" s="20">
        <f>IFERROR(IF([1]对账明细接口!$W726=0,"",[1]对账明细接口!$W726),"")</f>
      </c>
      <c r="AC726" s="7">
        <f>IFERROR(IF([1]对账明细接口!$X726=0,"",[1]对账明细接口!$X726),"")</f>
      </c>
      <c r="AD726" s="7">
        <f>IFERROR(IF([1]对账明细接口!$Y726=0,"",[1]对账明细接口!$Y726),"")</f>
      </c>
      <c r="AE726" s="7">
        <f>IFERROR(IF([1]对账明细接口!$AA726=0,"",[1]对账明细接口!$AA726),"")</f>
      </c>
      <c r="AF726" s="7">
        <f>IFERROR(IF([1]对账明细接口!$AB726=0,"",[1]对账明细接口!$AB726),"")</f>
      </c>
      <c r="AG726" s="7">
        <f>IFERROR(IF([1]对账明细接口!$AC726=0,"",[1]对账明细接口!$AC726),"")</f>
      </c>
      <c r="AH726" s="7">
        <f>IFERROR(IF([1]对账明细接口!$AD726=0,"",[1]对账明细接口!$AD726),"")</f>
      </c>
      <c r="AI726" s="7">
        <f>IFERROR(IF([1]对账明细接口!$AE726=0,"",[1]对账明细接口!$AE726),"")</f>
      </c>
      <c r="AJ726" s="7">
        <f>IFERROR(IF([1]对账明细接口!$AF726=0,"",[1]对账明细接口!$AF726),"")</f>
      </c>
    </row>
    <row r="727" ht="14.25" customHeight="1" s="127">
      <c r="A727" s="14" t="n">
        <v>727</v>
      </c>
      <c r="B727" s="211">
        <f>IFERROR(IF([1]对账明细接口!$B$727=0,"",[1]对账明细接口!$B$727),"")</f>
      </c>
      <c r="C727" s="16">
        <f>IFERROR(IF([1]对账明细接口!$C$727=0,"",[1]对账明细接口!$C$727),"")</f>
      </c>
      <c r="D727" s="16">
        <f>IFERROR(IF([1]对账明细接口!$D$727=0,"",[1]对账明细接口!$D$727),"")</f>
      </c>
      <c r="E727" s="16">
        <f>IFERROR(IF([1]对账明细接口!$E$727=0,"",[1]对账明细接口!$E$727),"")</f>
      </c>
      <c r="F727" s="16">
        <f>IFERROR(IF([1]对账明细接口!$F$727=0,"",[1]对账明细接口!$F$727),"")</f>
      </c>
      <c r="G727" s="16">
        <f>IFERROR(IF([1]对账明细接口!$G$727=0,"",[1]对账明细接口!$G$727),"")</f>
      </c>
      <c r="H727" s="176">
        <f>IFERROR(IF([1]对账明细接口!$H$727=0,"",[1]对账明细接口!$H$727),"")</f>
      </c>
      <c r="I727" s="16">
        <f>IFERROR(IF([1]对账明细接口!$I$727=0,"",[1]对账明细接口!$I$727),"")</f>
      </c>
      <c r="J727" s="177">
        <f>IFERROR(IF([1]对账明细接口!$J$727=0,"",[1]对账明细接口!$J$727),"")</f>
      </c>
      <c r="K727" s="177">
        <f>IFERROR(IF([1]对账明细接口!$K$727=0,"",[1]对账明细接口!$K$727),"")</f>
      </c>
      <c r="L727" s="16">
        <f>IFERROR(IF([1]对账明细接口!$L$727=0,"",[1]对账明细接口!$L$727),"")</f>
      </c>
      <c r="M727" s="16">
        <f>IFERROR(IF([1]对账明细接口!$M$727=0,"",[1]对账明细接口!$M$727),"")</f>
      </c>
      <c r="N727" s="19">
        <f>IF($C727="",0,1)</f>
        <v>0</v>
      </c>
      <c r="O727" s="19">
        <f>N(O726)+$N727</f>
        <v>637</v>
      </c>
      <c r="S727" s="20">
        <f>IFERROR(IF([1]对账明细接口!$N727=0,"",[1]对账明细接口!$N727),"")</f>
      </c>
      <c r="T727" s="212">
        <f>IFERROR(IF([1]对账明细接口!$O727=0,"",[1]对账明细接口!$O727),"")</f>
      </c>
      <c r="U727" s="212">
        <f>IFERROR(IF([1]对账明细接口!$P727=0,"",[1]对账明细接口!$P727),"")</f>
      </c>
      <c r="V727" s="212">
        <f>IFERROR(IF([1]对账明细接口!$Q727=0,"",[1]对账明细接口!$Q727),"")</f>
      </c>
      <c r="W727" s="20">
        <f>IFERROR(IF([1]对账明细接口!$R727=0,"",[1]对账明细接口!$R727),"")</f>
      </c>
      <c r="X727" s="20">
        <f>IFERROR(IF([1]对账明细接口!$S727=0,"",[1]对账明细接口!$S727),"")</f>
      </c>
      <c r="Y727" s="20">
        <f>IFERROR(IF([1]对账明细接口!$T727=0,"",[1]对账明细接口!$T727),"")</f>
      </c>
      <c r="Z727" s="213">
        <f>IFERROR(IF([1]对账明细接口!$U727=0,"",[1]对账明细接口!$U727),"")</f>
      </c>
      <c r="AA727" s="213">
        <f>IFERROR(IF([1]对账明细接口!$V727=0,"",[1]对账明细接口!$V727),"")</f>
      </c>
      <c r="AB727" s="20">
        <f>IFERROR(IF([1]对账明细接口!$W727=0,"",[1]对账明细接口!$W727),"")</f>
      </c>
      <c r="AC727" s="7">
        <f>IFERROR(IF([1]对账明细接口!$X727=0,"",[1]对账明细接口!$X727),"")</f>
      </c>
      <c r="AD727" s="7">
        <f>IFERROR(IF([1]对账明细接口!$Y727=0,"",[1]对账明细接口!$Y727),"")</f>
      </c>
      <c r="AE727" s="7">
        <f>IFERROR(IF([1]对账明细接口!$AA727=0,"",[1]对账明细接口!$AA727),"")</f>
      </c>
      <c r="AF727" s="7">
        <f>IFERROR(IF([1]对账明细接口!$AB727=0,"",[1]对账明细接口!$AB727),"")</f>
      </c>
      <c r="AG727" s="7">
        <f>IFERROR(IF([1]对账明细接口!$AC727=0,"",[1]对账明细接口!$AC727),"")</f>
      </c>
      <c r="AH727" s="7">
        <f>IFERROR(IF([1]对账明细接口!$AD727=0,"",[1]对账明细接口!$AD727),"")</f>
      </c>
      <c r="AI727" s="7">
        <f>IFERROR(IF([1]对账明细接口!$AE727=0,"",[1]对账明细接口!$AE727),"")</f>
      </c>
      <c r="AJ727" s="7">
        <f>IFERROR(IF([1]对账明细接口!$AF727=0,"",[1]对账明细接口!$AF727),"")</f>
      </c>
    </row>
    <row r="728" ht="14.25" customHeight="1" s="127">
      <c r="A728" s="14" t="n">
        <v>728</v>
      </c>
      <c r="B728" s="211">
        <f>IFERROR(IF([1]对账明细接口!$B$728=0,"",[1]对账明细接口!$B$728),"")</f>
      </c>
      <c r="C728" s="16">
        <f>IFERROR(IF([1]对账明细接口!$C$728=0,"",[1]对账明细接口!$C$728),"")</f>
      </c>
      <c r="D728" s="16">
        <f>IFERROR(IF([1]对账明细接口!$D$728=0,"",[1]对账明细接口!$D$728),"")</f>
      </c>
      <c r="E728" s="16">
        <f>IFERROR(IF([1]对账明细接口!$E$728=0,"",[1]对账明细接口!$E$728),"")</f>
      </c>
      <c r="F728" s="16">
        <f>IFERROR(IF([1]对账明细接口!$F$728=0,"",[1]对账明细接口!$F$728),"")</f>
      </c>
      <c r="G728" s="16">
        <f>IFERROR(IF([1]对账明细接口!$G$728=0,"",[1]对账明细接口!$G$728),"")</f>
      </c>
      <c r="H728" s="176">
        <f>IFERROR(IF([1]对账明细接口!$H$728=0,"",[1]对账明细接口!$H$728),"")</f>
      </c>
      <c r="I728" s="16">
        <f>IFERROR(IF([1]对账明细接口!$I$728=0,"",[1]对账明细接口!$I$728),"")</f>
      </c>
      <c r="J728" s="177">
        <f>IFERROR(IF([1]对账明细接口!$J$728=0,"",[1]对账明细接口!$J$728),"")</f>
      </c>
      <c r="K728" s="177">
        <f>IFERROR(IF([1]对账明细接口!$K$728=0,"",[1]对账明细接口!$K$728),"")</f>
      </c>
      <c r="L728" s="16">
        <f>IFERROR(IF([1]对账明细接口!$L$728=0,"",[1]对账明细接口!$L$728),"")</f>
      </c>
      <c r="M728" s="16">
        <f>IFERROR(IF([1]对账明细接口!$M$728=0,"",[1]对账明细接口!$M$728),"")</f>
      </c>
      <c r="N728" s="19">
        <f>IF($C728="",0,1)</f>
        <v>0</v>
      </c>
      <c r="O728" s="19">
        <f>N(O727)+$N728</f>
        <v>637</v>
      </c>
      <c r="S728" s="20">
        <f>IFERROR(IF([1]对账明细接口!$N728=0,"",[1]对账明细接口!$N728),"")</f>
      </c>
      <c r="T728" s="212">
        <f>IFERROR(IF([1]对账明细接口!$O728=0,"",[1]对账明细接口!$O728),"")</f>
      </c>
      <c r="U728" s="212">
        <f>IFERROR(IF([1]对账明细接口!$P728=0,"",[1]对账明细接口!$P728),"")</f>
      </c>
      <c r="V728" s="212">
        <f>IFERROR(IF([1]对账明细接口!$Q728=0,"",[1]对账明细接口!$Q728),"")</f>
      </c>
      <c r="W728" s="20">
        <f>IFERROR(IF([1]对账明细接口!$R728=0,"",[1]对账明细接口!$R728),"")</f>
      </c>
      <c r="X728" s="20">
        <f>IFERROR(IF([1]对账明细接口!$S728=0,"",[1]对账明细接口!$S728),"")</f>
      </c>
      <c r="Y728" s="20">
        <f>IFERROR(IF([1]对账明细接口!$T728=0,"",[1]对账明细接口!$T728),"")</f>
      </c>
      <c r="Z728" s="213">
        <f>IFERROR(IF([1]对账明细接口!$U728=0,"",[1]对账明细接口!$U728),"")</f>
      </c>
      <c r="AA728" s="213">
        <f>IFERROR(IF([1]对账明细接口!$V728=0,"",[1]对账明细接口!$V728),"")</f>
      </c>
      <c r="AB728" s="20">
        <f>IFERROR(IF([1]对账明细接口!$W728=0,"",[1]对账明细接口!$W728),"")</f>
      </c>
      <c r="AC728" s="7">
        <f>IFERROR(IF([1]对账明细接口!$X728=0,"",[1]对账明细接口!$X728),"")</f>
      </c>
      <c r="AD728" s="7">
        <f>IFERROR(IF([1]对账明细接口!$Y728=0,"",[1]对账明细接口!$Y728),"")</f>
      </c>
      <c r="AE728" s="7">
        <f>IFERROR(IF([1]对账明细接口!$AA728=0,"",[1]对账明细接口!$AA728),"")</f>
      </c>
      <c r="AF728" s="7">
        <f>IFERROR(IF([1]对账明细接口!$AB728=0,"",[1]对账明细接口!$AB728),"")</f>
      </c>
      <c r="AG728" s="7">
        <f>IFERROR(IF([1]对账明细接口!$AC728=0,"",[1]对账明细接口!$AC728),"")</f>
      </c>
      <c r="AH728" s="7">
        <f>IFERROR(IF([1]对账明细接口!$AD728=0,"",[1]对账明细接口!$AD728),"")</f>
      </c>
      <c r="AI728" s="7">
        <f>IFERROR(IF([1]对账明细接口!$AE728=0,"",[1]对账明细接口!$AE728),"")</f>
      </c>
      <c r="AJ728" s="7">
        <f>IFERROR(IF([1]对账明细接口!$AF728=0,"",[1]对账明细接口!$AF728),"")</f>
      </c>
    </row>
    <row r="729" ht="14.25" customHeight="1" s="127">
      <c r="A729" s="14" t="n">
        <v>729</v>
      </c>
      <c r="B729" s="211">
        <f>IFERROR(IF([1]对账明细接口!$B$729=0,"",[1]对账明细接口!$B$729),"")</f>
      </c>
      <c r="C729" s="16">
        <f>IFERROR(IF([1]对账明细接口!$C$729=0,"",[1]对账明细接口!$C$729),"")</f>
      </c>
      <c r="D729" s="16">
        <f>IFERROR(IF([1]对账明细接口!$D$729=0,"",[1]对账明细接口!$D$729),"")</f>
      </c>
      <c r="E729" s="16">
        <f>IFERROR(IF([1]对账明细接口!$E$729=0,"",[1]对账明细接口!$E$729),"")</f>
      </c>
      <c r="F729" s="16">
        <f>IFERROR(IF([1]对账明细接口!$F$729=0,"",[1]对账明细接口!$F$729),"")</f>
      </c>
      <c r="G729" s="16">
        <f>IFERROR(IF([1]对账明细接口!$G$729=0,"",[1]对账明细接口!$G$729),"")</f>
      </c>
      <c r="H729" s="176">
        <f>IFERROR(IF([1]对账明细接口!$H$729=0,"",[1]对账明细接口!$H$729),"")</f>
      </c>
      <c r="I729" s="16">
        <f>IFERROR(IF([1]对账明细接口!$I$729=0,"",[1]对账明细接口!$I$729),"")</f>
      </c>
      <c r="J729" s="177">
        <f>IFERROR(IF([1]对账明细接口!$J$729=0,"",[1]对账明细接口!$J$729),"")</f>
      </c>
      <c r="K729" s="177">
        <f>IFERROR(IF([1]对账明细接口!$K$729=0,"",[1]对账明细接口!$K$729),"")</f>
      </c>
      <c r="L729" s="16">
        <f>IFERROR(IF([1]对账明细接口!$L$729=0,"",[1]对账明细接口!$L$729),"")</f>
      </c>
      <c r="M729" s="16">
        <f>IFERROR(IF([1]对账明细接口!$M$729=0,"",[1]对账明细接口!$M$729),"")</f>
      </c>
      <c r="N729" s="19">
        <f>IF($C729="",0,1)</f>
        <v>0</v>
      </c>
      <c r="O729" s="19">
        <f>N(O728)+$N729</f>
        <v>637</v>
      </c>
      <c r="S729" s="20">
        <f>IFERROR(IF([1]对账明细接口!$N729=0,"",[1]对账明细接口!$N729),"")</f>
      </c>
      <c r="T729" s="212">
        <f>IFERROR(IF([1]对账明细接口!$O729=0,"",[1]对账明细接口!$O729),"")</f>
      </c>
      <c r="U729" s="212">
        <f>IFERROR(IF([1]对账明细接口!$P729=0,"",[1]对账明细接口!$P729),"")</f>
      </c>
      <c r="V729" s="212">
        <f>IFERROR(IF([1]对账明细接口!$Q729=0,"",[1]对账明细接口!$Q729),"")</f>
      </c>
      <c r="W729" s="20">
        <f>IFERROR(IF([1]对账明细接口!$R729=0,"",[1]对账明细接口!$R729),"")</f>
      </c>
      <c r="X729" s="20">
        <f>IFERROR(IF([1]对账明细接口!$S729=0,"",[1]对账明细接口!$S729),"")</f>
      </c>
      <c r="Y729" s="20">
        <f>IFERROR(IF([1]对账明细接口!$T729=0,"",[1]对账明细接口!$T729),"")</f>
      </c>
      <c r="Z729" s="213">
        <f>IFERROR(IF([1]对账明细接口!$U729=0,"",[1]对账明细接口!$U729),"")</f>
      </c>
      <c r="AA729" s="213">
        <f>IFERROR(IF([1]对账明细接口!$V729=0,"",[1]对账明细接口!$V729),"")</f>
      </c>
      <c r="AB729" s="20">
        <f>IFERROR(IF([1]对账明细接口!$W729=0,"",[1]对账明细接口!$W729),"")</f>
      </c>
      <c r="AC729" s="7">
        <f>IFERROR(IF([1]对账明细接口!$X729=0,"",[1]对账明细接口!$X729),"")</f>
      </c>
      <c r="AD729" s="7">
        <f>IFERROR(IF([1]对账明细接口!$Y729=0,"",[1]对账明细接口!$Y729),"")</f>
      </c>
      <c r="AE729" s="7">
        <f>IFERROR(IF([1]对账明细接口!$AA729=0,"",[1]对账明细接口!$AA729),"")</f>
      </c>
      <c r="AF729" s="7">
        <f>IFERROR(IF([1]对账明细接口!$AB729=0,"",[1]对账明细接口!$AB729),"")</f>
      </c>
      <c r="AG729" s="7">
        <f>IFERROR(IF([1]对账明细接口!$AC729=0,"",[1]对账明细接口!$AC729),"")</f>
      </c>
      <c r="AH729" s="7">
        <f>IFERROR(IF([1]对账明细接口!$AD729=0,"",[1]对账明细接口!$AD729),"")</f>
      </c>
      <c r="AI729" s="7">
        <f>IFERROR(IF([1]对账明细接口!$AE729=0,"",[1]对账明细接口!$AE729),"")</f>
      </c>
      <c r="AJ729" s="7">
        <f>IFERROR(IF([1]对账明细接口!$AF729=0,"",[1]对账明细接口!$AF729),"")</f>
      </c>
    </row>
    <row r="730" ht="14.25" customHeight="1" s="127">
      <c r="A730" s="14" t="n">
        <v>730</v>
      </c>
      <c r="B730" s="211">
        <f>IFERROR(IF([1]对账明细接口!$B$730=0,"",[1]对账明细接口!$B$730),"")</f>
      </c>
      <c r="C730" s="16">
        <f>IFERROR(IF([1]对账明细接口!$C$730=0,"",[1]对账明细接口!$C$730),"")</f>
      </c>
      <c r="D730" s="16">
        <f>IFERROR(IF([1]对账明细接口!$D$730=0,"",[1]对账明细接口!$D$730),"")</f>
      </c>
      <c r="E730" s="16">
        <f>IFERROR(IF([1]对账明细接口!$E$730=0,"",[1]对账明细接口!$E$730),"")</f>
      </c>
      <c r="F730" s="16">
        <f>IFERROR(IF([1]对账明细接口!$F$730=0,"",[1]对账明细接口!$F$730),"")</f>
      </c>
      <c r="G730" s="16">
        <f>IFERROR(IF([1]对账明细接口!$G$730=0,"",[1]对账明细接口!$G$730),"")</f>
      </c>
      <c r="H730" s="176">
        <f>IFERROR(IF([1]对账明细接口!$H$730=0,"",[1]对账明细接口!$H$730),"")</f>
      </c>
      <c r="I730" s="16">
        <f>IFERROR(IF([1]对账明细接口!$I$730=0,"",[1]对账明细接口!$I$730),"")</f>
      </c>
      <c r="J730" s="177">
        <f>IFERROR(IF([1]对账明细接口!$J$730=0,"",[1]对账明细接口!$J$730),"")</f>
      </c>
      <c r="K730" s="177">
        <f>IFERROR(IF([1]对账明细接口!$K$730=0,"",[1]对账明细接口!$K$730),"")</f>
      </c>
      <c r="L730" s="16">
        <f>IFERROR(IF([1]对账明细接口!$L$730=0,"",[1]对账明细接口!$L$730),"")</f>
      </c>
      <c r="M730" s="16">
        <f>IFERROR(IF([1]对账明细接口!$M$730=0,"",[1]对账明细接口!$M$730),"")</f>
      </c>
      <c r="N730" s="19">
        <f>IF($C730="",0,1)</f>
        <v>0</v>
      </c>
      <c r="O730" s="19">
        <f>N(O729)+$N730</f>
        <v>637</v>
      </c>
      <c r="S730" s="20">
        <f>IFERROR(IF([1]对账明细接口!$N730=0,"",[1]对账明细接口!$N730),"")</f>
      </c>
      <c r="T730" s="212">
        <f>IFERROR(IF([1]对账明细接口!$O730=0,"",[1]对账明细接口!$O730),"")</f>
      </c>
      <c r="U730" s="212">
        <f>IFERROR(IF([1]对账明细接口!$P730=0,"",[1]对账明细接口!$P730),"")</f>
      </c>
      <c r="V730" s="212">
        <f>IFERROR(IF([1]对账明细接口!$Q730=0,"",[1]对账明细接口!$Q730),"")</f>
      </c>
      <c r="W730" s="20">
        <f>IFERROR(IF([1]对账明细接口!$R730=0,"",[1]对账明细接口!$R730),"")</f>
      </c>
      <c r="X730" s="20">
        <f>IFERROR(IF([1]对账明细接口!$S730=0,"",[1]对账明细接口!$S730),"")</f>
      </c>
      <c r="Y730" s="20">
        <f>IFERROR(IF([1]对账明细接口!$T730=0,"",[1]对账明细接口!$T730),"")</f>
      </c>
      <c r="Z730" s="213">
        <f>IFERROR(IF([1]对账明细接口!$U730=0,"",[1]对账明细接口!$U730),"")</f>
      </c>
      <c r="AA730" s="213">
        <f>IFERROR(IF([1]对账明细接口!$V730=0,"",[1]对账明细接口!$V730),"")</f>
      </c>
      <c r="AB730" s="20">
        <f>IFERROR(IF([1]对账明细接口!$W730=0,"",[1]对账明细接口!$W730),"")</f>
      </c>
      <c r="AC730" s="7">
        <f>IFERROR(IF([1]对账明细接口!$X730=0,"",[1]对账明细接口!$X730),"")</f>
      </c>
      <c r="AD730" s="7">
        <f>IFERROR(IF([1]对账明细接口!$Y730=0,"",[1]对账明细接口!$Y730),"")</f>
      </c>
      <c r="AE730" s="7">
        <f>IFERROR(IF([1]对账明细接口!$AA730=0,"",[1]对账明细接口!$AA730),"")</f>
      </c>
      <c r="AF730" s="7">
        <f>IFERROR(IF([1]对账明细接口!$AB730=0,"",[1]对账明细接口!$AB730),"")</f>
      </c>
      <c r="AG730" s="7">
        <f>IFERROR(IF([1]对账明细接口!$AC730=0,"",[1]对账明细接口!$AC730),"")</f>
      </c>
      <c r="AH730" s="7">
        <f>IFERROR(IF([1]对账明细接口!$AD730=0,"",[1]对账明细接口!$AD730),"")</f>
      </c>
      <c r="AI730" s="7">
        <f>IFERROR(IF([1]对账明细接口!$AE730=0,"",[1]对账明细接口!$AE730),"")</f>
      </c>
      <c r="AJ730" s="7">
        <f>IFERROR(IF([1]对账明细接口!$AF730=0,"",[1]对账明细接口!$AF730),"")</f>
      </c>
    </row>
    <row r="731" ht="14.25" customHeight="1" s="127">
      <c r="A731" s="14" t="n">
        <v>731</v>
      </c>
      <c r="B731" s="211">
        <f>IFERROR(IF([1]对账明细接口!$B$731=0,"",[1]对账明细接口!$B$731),"")</f>
      </c>
      <c r="C731" s="16">
        <f>IFERROR(IF([1]对账明细接口!$C$731=0,"",[1]对账明细接口!$C$731),"")</f>
      </c>
      <c r="D731" s="16">
        <f>IFERROR(IF([1]对账明细接口!$D$731=0,"",[1]对账明细接口!$D$731),"")</f>
      </c>
      <c r="E731" s="16">
        <f>IFERROR(IF([1]对账明细接口!$E$731=0,"",[1]对账明细接口!$E$731),"")</f>
      </c>
      <c r="F731" s="16">
        <f>IFERROR(IF([1]对账明细接口!$F$731=0,"",[1]对账明细接口!$F$731),"")</f>
      </c>
      <c r="G731" s="16">
        <f>IFERROR(IF([1]对账明细接口!$G$731=0,"",[1]对账明细接口!$G$731),"")</f>
      </c>
      <c r="H731" s="176">
        <f>IFERROR(IF([1]对账明细接口!$H$731=0,"",[1]对账明细接口!$H$731),"")</f>
      </c>
      <c r="I731" s="16">
        <f>IFERROR(IF([1]对账明细接口!$I$731=0,"",[1]对账明细接口!$I$731),"")</f>
      </c>
      <c r="J731" s="177">
        <f>IFERROR(IF([1]对账明细接口!$J$731=0,"",[1]对账明细接口!$J$731),"")</f>
      </c>
      <c r="K731" s="177">
        <f>IFERROR(IF([1]对账明细接口!$K$731=0,"",[1]对账明细接口!$K$731),"")</f>
      </c>
      <c r="L731" s="16">
        <f>IFERROR(IF([1]对账明细接口!$L$731=0,"",[1]对账明细接口!$L$731),"")</f>
      </c>
      <c r="M731" s="16">
        <f>IFERROR(IF([1]对账明细接口!$M$731=0,"",[1]对账明细接口!$M$731),"")</f>
      </c>
      <c r="N731" s="19">
        <f>IF($C731="",0,1)</f>
        <v>0</v>
      </c>
      <c r="O731" s="19">
        <f>N(O730)+$N731</f>
        <v>637</v>
      </c>
      <c r="S731" s="20">
        <f>IFERROR(IF([1]对账明细接口!$N731=0,"",[1]对账明细接口!$N731),"")</f>
      </c>
      <c r="T731" s="212">
        <f>IFERROR(IF([1]对账明细接口!$O731=0,"",[1]对账明细接口!$O731),"")</f>
      </c>
      <c r="U731" s="212">
        <f>IFERROR(IF([1]对账明细接口!$P731=0,"",[1]对账明细接口!$P731),"")</f>
      </c>
      <c r="V731" s="212">
        <f>IFERROR(IF([1]对账明细接口!$Q731=0,"",[1]对账明细接口!$Q731),"")</f>
      </c>
      <c r="W731" s="20">
        <f>IFERROR(IF([1]对账明细接口!$R731=0,"",[1]对账明细接口!$R731),"")</f>
      </c>
      <c r="X731" s="20">
        <f>IFERROR(IF([1]对账明细接口!$S731=0,"",[1]对账明细接口!$S731),"")</f>
      </c>
      <c r="Y731" s="20">
        <f>IFERROR(IF([1]对账明细接口!$T731=0,"",[1]对账明细接口!$T731),"")</f>
      </c>
      <c r="Z731" s="213">
        <f>IFERROR(IF([1]对账明细接口!$U731=0,"",[1]对账明细接口!$U731),"")</f>
      </c>
      <c r="AA731" s="213">
        <f>IFERROR(IF([1]对账明细接口!$V731=0,"",[1]对账明细接口!$V731),"")</f>
      </c>
      <c r="AB731" s="20">
        <f>IFERROR(IF([1]对账明细接口!$W731=0,"",[1]对账明细接口!$W731),"")</f>
      </c>
      <c r="AC731" s="7">
        <f>IFERROR(IF([1]对账明细接口!$X731=0,"",[1]对账明细接口!$X731),"")</f>
      </c>
      <c r="AD731" s="7">
        <f>IFERROR(IF([1]对账明细接口!$Y731=0,"",[1]对账明细接口!$Y731),"")</f>
      </c>
      <c r="AE731" s="7">
        <f>IFERROR(IF([1]对账明细接口!$AA731=0,"",[1]对账明细接口!$AA731),"")</f>
      </c>
      <c r="AF731" s="7">
        <f>IFERROR(IF([1]对账明细接口!$AB731=0,"",[1]对账明细接口!$AB731),"")</f>
      </c>
      <c r="AG731" s="7">
        <f>IFERROR(IF([1]对账明细接口!$AC731=0,"",[1]对账明细接口!$AC731),"")</f>
      </c>
      <c r="AH731" s="7">
        <f>IFERROR(IF([1]对账明细接口!$AD731=0,"",[1]对账明细接口!$AD731),"")</f>
      </c>
      <c r="AI731" s="7">
        <f>IFERROR(IF([1]对账明细接口!$AE731=0,"",[1]对账明细接口!$AE731),"")</f>
      </c>
      <c r="AJ731" s="7">
        <f>IFERROR(IF([1]对账明细接口!$AF731=0,"",[1]对账明细接口!$AF731),"")</f>
      </c>
    </row>
    <row r="732" ht="14.25" customHeight="1" s="127">
      <c r="A732" s="14" t="n">
        <v>732</v>
      </c>
      <c r="B732" s="211">
        <f>IFERROR(IF([1]对账明细接口!$B$732=0,"",[1]对账明细接口!$B$732),"")</f>
      </c>
      <c r="C732" s="16">
        <f>IFERROR(IF([1]对账明细接口!$C$732=0,"",[1]对账明细接口!$C$732),"")</f>
      </c>
      <c r="D732" s="16">
        <f>IFERROR(IF([1]对账明细接口!$D$732=0,"",[1]对账明细接口!$D$732),"")</f>
      </c>
      <c r="E732" s="16">
        <f>IFERROR(IF([1]对账明细接口!$E$732=0,"",[1]对账明细接口!$E$732),"")</f>
      </c>
      <c r="F732" s="16">
        <f>IFERROR(IF([1]对账明细接口!$F$732=0,"",[1]对账明细接口!$F$732),"")</f>
      </c>
      <c r="G732" s="16">
        <f>IFERROR(IF([1]对账明细接口!$G$732=0,"",[1]对账明细接口!$G$732),"")</f>
      </c>
      <c r="H732" s="176">
        <f>IFERROR(IF([1]对账明细接口!$H$732=0,"",[1]对账明细接口!$H$732),"")</f>
      </c>
      <c r="I732" s="16">
        <f>IFERROR(IF([1]对账明细接口!$I$732=0,"",[1]对账明细接口!$I$732),"")</f>
      </c>
      <c r="J732" s="177">
        <f>IFERROR(IF([1]对账明细接口!$J$732=0,"",[1]对账明细接口!$J$732),"")</f>
      </c>
      <c r="K732" s="177">
        <f>IFERROR(IF([1]对账明细接口!$K$732=0,"",[1]对账明细接口!$K$732),"")</f>
      </c>
      <c r="L732" s="16">
        <f>IFERROR(IF([1]对账明细接口!$L$732=0,"",[1]对账明细接口!$L$732),"")</f>
      </c>
      <c r="M732" s="16">
        <f>IFERROR(IF([1]对账明细接口!$M$732=0,"",[1]对账明细接口!$M$732),"")</f>
      </c>
      <c r="N732" s="19">
        <f>IF($C732="",0,1)</f>
        <v>0</v>
      </c>
      <c r="O732" s="19">
        <f>N(O731)+$N732</f>
        <v>637</v>
      </c>
      <c r="S732" s="20">
        <f>IFERROR(IF([1]对账明细接口!$N732=0,"",[1]对账明细接口!$N732),"")</f>
      </c>
      <c r="T732" s="212">
        <f>IFERROR(IF([1]对账明细接口!$O732=0,"",[1]对账明细接口!$O732),"")</f>
      </c>
      <c r="U732" s="212">
        <f>IFERROR(IF([1]对账明细接口!$P732=0,"",[1]对账明细接口!$P732),"")</f>
      </c>
      <c r="V732" s="212">
        <f>IFERROR(IF([1]对账明细接口!$Q732=0,"",[1]对账明细接口!$Q732),"")</f>
      </c>
      <c r="W732" s="20">
        <f>IFERROR(IF([1]对账明细接口!$R732=0,"",[1]对账明细接口!$R732),"")</f>
      </c>
      <c r="X732" s="20">
        <f>IFERROR(IF([1]对账明细接口!$S732=0,"",[1]对账明细接口!$S732),"")</f>
      </c>
      <c r="Y732" s="20">
        <f>IFERROR(IF([1]对账明细接口!$T732=0,"",[1]对账明细接口!$T732),"")</f>
      </c>
      <c r="Z732" s="213">
        <f>IFERROR(IF([1]对账明细接口!$U732=0,"",[1]对账明细接口!$U732),"")</f>
      </c>
      <c r="AA732" s="213">
        <f>IFERROR(IF([1]对账明细接口!$V732=0,"",[1]对账明细接口!$V732),"")</f>
      </c>
      <c r="AB732" s="20">
        <f>IFERROR(IF([1]对账明细接口!$W732=0,"",[1]对账明细接口!$W732),"")</f>
      </c>
      <c r="AC732" s="7">
        <f>IFERROR(IF([1]对账明细接口!$X732=0,"",[1]对账明细接口!$X732),"")</f>
      </c>
      <c r="AD732" s="7">
        <f>IFERROR(IF([1]对账明细接口!$Y732=0,"",[1]对账明细接口!$Y732),"")</f>
      </c>
      <c r="AE732" s="7">
        <f>IFERROR(IF([1]对账明细接口!$AA732=0,"",[1]对账明细接口!$AA732),"")</f>
      </c>
      <c r="AF732" s="7">
        <f>IFERROR(IF([1]对账明细接口!$AB732=0,"",[1]对账明细接口!$AB732),"")</f>
      </c>
      <c r="AG732" s="7">
        <f>IFERROR(IF([1]对账明细接口!$AC732=0,"",[1]对账明细接口!$AC732),"")</f>
      </c>
      <c r="AH732" s="7">
        <f>IFERROR(IF([1]对账明细接口!$AD732=0,"",[1]对账明细接口!$AD732),"")</f>
      </c>
      <c r="AI732" s="7">
        <f>IFERROR(IF([1]对账明细接口!$AE732=0,"",[1]对账明细接口!$AE732),"")</f>
      </c>
      <c r="AJ732" s="7">
        <f>IFERROR(IF([1]对账明细接口!$AF732=0,"",[1]对账明细接口!$AF732),"")</f>
      </c>
    </row>
    <row r="733" ht="14.25" customHeight="1" s="127">
      <c r="A733" s="14" t="n">
        <v>733</v>
      </c>
      <c r="B733" s="211">
        <f>IFERROR(IF([1]对账明细接口!$B$733=0,"",[1]对账明细接口!$B$733),"")</f>
      </c>
      <c r="C733" s="16">
        <f>IFERROR(IF([1]对账明细接口!$C$733=0,"",[1]对账明细接口!$C$733),"")</f>
      </c>
      <c r="D733" s="16">
        <f>IFERROR(IF([1]对账明细接口!$D$733=0,"",[1]对账明细接口!$D$733),"")</f>
      </c>
      <c r="E733" s="16">
        <f>IFERROR(IF([1]对账明细接口!$E$733=0,"",[1]对账明细接口!$E$733),"")</f>
      </c>
      <c r="F733" s="16">
        <f>IFERROR(IF([1]对账明细接口!$F$733=0,"",[1]对账明细接口!$F$733),"")</f>
      </c>
      <c r="G733" s="16">
        <f>IFERROR(IF([1]对账明细接口!$G$733=0,"",[1]对账明细接口!$G$733),"")</f>
      </c>
      <c r="H733" s="176">
        <f>IFERROR(IF([1]对账明细接口!$H$733=0,"",[1]对账明细接口!$H$733),"")</f>
      </c>
      <c r="I733" s="16">
        <f>IFERROR(IF([1]对账明细接口!$I$733=0,"",[1]对账明细接口!$I$733),"")</f>
      </c>
      <c r="J733" s="177">
        <f>IFERROR(IF([1]对账明细接口!$J$733=0,"",[1]对账明细接口!$J$733),"")</f>
      </c>
      <c r="K733" s="177">
        <f>IFERROR(IF([1]对账明细接口!$K$733=0,"",[1]对账明细接口!$K$733),"")</f>
      </c>
      <c r="L733" s="16">
        <f>IFERROR(IF([1]对账明细接口!$L$733=0,"",[1]对账明细接口!$L$733),"")</f>
      </c>
      <c r="M733" s="16">
        <f>IFERROR(IF([1]对账明细接口!$M$733=0,"",[1]对账明细接口!$M$733),"")</f>
      </c>
      <c r="N733" s="19">
        <f>IF($C733="",0,1)</f>
        <v>0</v>
      </c>
      <c r="O733" s="19">
        <f>N(O732)+$N733</f>
        <v>637</v>
      </c>
      <c r="S733" s="20">
        <f>IFERROR(IF([1]对账明细接口!$N733=0,"",[1]对账明细接口!$N733),"")</f>
      </c>
      <c r="T733" s="212">
        <f>IFERROR(IF([1]对账明细接口!$O733=0,"",[1]对账明细接口!$O733),"")</f>
      </c>
      <c r="U733" s="212">
        <f>IFERROR(IF([1]对账明细接口!$P733=0,"",[1]对账明细接口!$P733),"")</f>
      </c>
      <c r="V733" s="212">
        <f>IFERROR(IF([1]对账明细接口!$Q733=0,"",[1]对账明细接口!$Q733),"")</f>
      </c>
      <c r="W733" s="20">
        <f>IFERROR(IF([1]对账明细接口!$R733=0,"",[1]对账明细接口!$R733),"")</f>
      </c>
      <c r="X733" s="20">
        <f>IFERROR(IF([1]对账明细接口!$S733=0,"",[1]对账明细接口!$S733),"")</f>
      </c>
      <c r="Y733" s="20">
        <f>IFERROR(IF([1]对账明细接口!$T733=0,"",[1]对账明细接口!$T733),"")</f>
      </c>
      <c r="Z733" s="213">
        <f>IFERROR(IF([1]对账明细接口!$U733=0,"",[1]对账明细接口!$U733),"")</f>
      </c>
      <c r="AA733" s="213">
        <f>IFERROR(IF([1]对账明细接口!$V733=0,"",[1]对账明细接口!$V733),"")</f>
      </c>
      <c r="AB733" s="20">
        <f>IFERROR(IF([1]对账明细接口!$W733=0,"",[1]对账明细接口!$W733),"")</f>
      </c>
      <c r="AC733" s="7">
        <f>IFERROR(IF([1]对账明细接口!$X733=0,"",[1]对账明细接口!$X733),"")</f>
      </c>
      <c r="AD733" s="7">
        <f>IFERROR(IF([1]对账明细接口!$Y733=0,"",[1]对账明细接口!$Y733),"")</f>
      </c>
      <c r="AE733" s="7">
        <f>IFERROR(IF([1]对账明细接口!$AA733=0,"",[1]对账明细接口!$AA733),"")</f>
      </c>
      <c r="AF733" s="7">
        <f>IFERROR(IF([1]对账明细接口!$AB733=0,"",[1]对账明细接口!$AB733),"")</f>
      </c>
      <c r="AG733" s="7">
        <f>IFERROR(IF([1]对账明细接口!$AC733=0,"",[1]对账明细接口!$AC733),"")</f>
      </c>
      <c r="AH733" s="7">
        <f>IFERROR(IF([1]对账明细接口!$AD733=0,"",[1]对账明细接口!$AD733),"")</f>
      </c>
      <c r="AI733" s="7">
        <f>IFERROR(IF([1]对账明细接口!$AE733=0,"",[1]对账明细接口!$AE733),"")</f>
      </c>
      <c r="AJ733" s="7">
        <f>IFERROR(IF([1]对账明细接口!$AF733=0,"",[1]对账明细接口!$AF733),"")</f>
      </c>
    </row>
    <row r="734" ht="14.25" customHeight="1" s="127">
      <c r="A734" s="14" t="n">
        <v>734</v>
      </c>
      <c r="B734" s="211">
        <f>IFERROR(IF([1]对账明细接口!$B$734=0,"",[1]对账明细接口!$B$734),"")</f>
      </c>
      <c r="C734" s="16">
        <f>IFERROR(IF([1]对账明细接口!$C$734=0,"",[1]对账明细接口!$C$734),"")</f>
      </c>
      <c r="D734" s="16">
        <f>IFERROR(IF([1]对账明细接口!$D$734=0,"",[1]对账明细接口!$D$734),"")</f>
      </c>
      <c r="E734" s="16">
        <f>IFERROR(IF([1]对账明细接口!$E$734=0,"",[1]对账明细接口!$E$734),"")</f>
      </c>
      <c r="F734" s="16">
        <f>IFERROR(IF([1]对账明细接口!$F$734=0,"",[1]对账明细接口!$F$734),"")</f>
      </c>
      <c r="G734" s="16">
        <f>IFERROR(IF([1]对账明细接口!$G$734=0,"",[1]对账明细接口!$G$734),"")</f>
      </c>
      <c r="H734" s="176">
        <f>IFERROR(IF([1]对账明细接口!$H$734=0,"",[1]对账明细接口!$H$734),"")</f>
      </c>
      <c r="I734" s="16">
        <f>IFERROR(IF([1]对账明细接口!$I$734=0,"",[1]对账明细接口!$I$734),"")</f>
      </c>
      <c r="J734" s="177">
        <f>IFERROR(IF([1]对账明细接口!$J$734=0,"",[1]对账明细接口!$J$734),"")</f>
      </c>
      <c r="K734" s="177">
        <f>IFERROR(IF([1]对账明细接口!$K$734=0,"",[1]对账明细接口!$K$734),"")</f>
      </c>
      <c r="L734" s="16">
        <f>IFERROR(IF([1]对账明细接口!$L$734=0,"",[1]对账明细接口!$L$734),"")</f>
      </c>
      <c r="M734" s="16">
        <f>IFERROR(IF([1]对账明细接口!$M$734=0,"",[1]对账明细接口!$M$734),"")</f>
      </c>
      <c r="N734" s="19">
        <f>IF($C734="",0,1)</f>
        <v>0</v>
      </c>
      <c r="O734" s="19">
        <f>N(O733)+$N734</f>
        <v>637</v>
      </c>
      <c r="S734" s="20">
        <f>IFERROR(IF([1]对账明细接口!$N734=0,"",[1]对账明细接口!$N734),"")</f>
      </c>
      <c r="T734" s="212">
        <f>IFERROR(IF([1]对账明细接口!$O734=0,"",[1]对账明细接口!$O734),"")</f>
      </c>
      <c r="U734" s="212">
        <f>IFERROR(IF([1]对账明细接口!$P734=0,"",[1]对账明细接口!$P734),"")</f>
      </c>
      <c r="V734" s="212">
        <f>IFERROR(IF([1]对账明细接口!$Q734=0,"",[1]对账明细接口!$Q734),"")</f>
      </c>
      <c r="W734" s="20">
        <f>IFERROR(IF([1]对账明细接口!$R734=0,"",[1]对账明细接口!$R734),"")</f>
      </c>
      <c r="X734" s="20">
        <f>IFERROR(IF([1]对账明细接口!$S734=0,"",[1]对账明细接口!$S734),"")</f>
      </c>
      <c r="Y734" s="20">
        <f>IFERROR(IF([1]对账明细接口!$T734=0,"",[1]对账明细接口!$T734),"")</f>
      </c>
      <c r="Z734" s="213">
        <f>IFERROR(IF([1]对账明细接口!$U734=0,"",[1]对账明细接口!$U734),"")</f>
      </c>
      <c r="AA734" s="213">
        <f>IFERROR(IF([1]对账明细接口!$V734=0,"",[1]对账明细接口!$V734),"")</f>
      </c>
      <c r="AB734" s="20">
        <f>IFERROR(IF([1]对账明细接口!$W734=0,"",[1]对账明细接口!$W734),"")</f>
      </c>
      <c r="AC734" s="7">
        <f>IFERROR(IF([1]对账明细接口!$X734=0,"",[1]对账明细接口!$X734),"")</f>
      </c>
      <c r="AD734" s="7">
        <f>IFERROR(IF([1]对账明细接口!$Y734=0,"",[1]对账明细接口!$Y734),"")</f>
      </c>
      <c r="AE734" s="7">
        <f>IFERROR(IF([1]对账明细接口!$AA734=0,"",[1]对账明细接口!$AA734),"")</f>
      </c>
      <c r="AF734" s="7">
        <f>IFERROR(IF([1]对账明细接口!$AB734=0,"",[1]对账明细接口!$AB734),"")</f>
      </c>
      <c r="AG734" s="7">
        <f>IFERROR(IF([1]对账明细接口!$AC734=0,"",[1]对账明细接口!$AC734),"")</f>
      </c>
      <c r="AH734" s="7">
        <f>IFERROR(IF([1]对账明细接口!$AD734=0,"",[1]对账明细接口!$AD734),"")</f>
      </c>
      <c r="AI734" s="7">
        <f>IFERROR(IF([1]对账明细接口!$AE734=0,"",[1]对账明细接口!$AE734),"")</f>
      </c>
      <c r="AJ734" s="7">
        <f>IFERROR(IF([1]对账明细接口!$AF734=0,"",[1]对账明细接口!$AF734),"")</f>
      </c>
    </row>
    <row r="735" ht="14.25" customHeight="1" s="127">
      <c r="A735" s="14" t="n">
        <v>735</v>
      </c>
      <c r="B735" s="211">
        <f>IFERROR(IF([1]对账明细接口!$B$735=0,"",[1]对账明细接口!$B$735),"")</f>
      </c>
      <c r="C735" s="16">
        <f>IFERROR(IF([1]对账明细接口!$C$735=0,"",[1]对账明细接口!$C$735),"")</f>
      </c>
      <c r="D735" s="16">
        <f>IFERROR(IF([1]对账明细接口!$D$735=0,"",[1]对账明细接口!$D$735),"")</f>
      </c>
      <c r="E735" s="16">
        <f>IFERROR(IF([1]对账明细接口!$E$735=0,"",[1]对账明细接口!$E$735),"")</f>
      </c>
      <c r="F735" s="16">
        <f>IFERROR(IF([1]对账明细接口!$F$735=0,"",[1]对账明细接口!$F$735),"")</f>
      </c>
      <c r="G735" s="16">
        <f>IFERROR(IF([1]对账明细接口!$G$735=0,"",[1]对账明细接口!$G$735),"")</f>
      </c>
      <c r="H735" s="176">
        <f>IFERROR(IF([1]对账明细接口!$H$735=0,"",[1]对账明细接口!$H$735),"")</f>
      </c>
      <c r="I735" s="16">
        <f>IFERROR(IF([1]对账明细接口!$I$735=0,"",[1]对账明细接口!$I$735),"")</f>
      </c>
      <c r="J735" s="177">
        <f>IFERROR(IF([1]对账明细接口!$J$735=0,"",[1]对账明细接口!$J$735),"")</f>
      </c>
      <c r="K735" s="177">
        <f>IFERROR(IF([1]对账明细接口!$K$735=0,"",[1]对账明细接口!$K$735),"")</f>
      </c>
      <c r="L735" s="16">
        <f>IFERROR(IF([1]对账明细接口!$L$735=0,"",[1]对账明细接口!$L$735),"")</f>
      </c>
      <c r="M735" s="16">
        <f>IFERROR(IF([1]对账明细接口!$M$735=0,"",[1]对账明细接口!$M$735),"")</f>
      </c>
      <c r="N735" s="19">
        <f>IF($C735="",0,1)</f>
        <v>0</v>
      </c>
      <c r="O735" s="19">
        <f>N(O734)+$N735</f>
        <v>637</v>
      </c>
      <c r="S735" s="20">
        <f>IFERROR(IF([1]对账明细接口!$N735=0,"",[1]对账明细接口!$N735),"")</f>
      </c>
      <c r="T735" s="212">
        <f>IFERROR(IF([1]对账明细接口!$O735=0,"",[1]对账明细接口!$O735),"")</f>
      </c>
      <c r="U735" s="212">
        <f>IFERROR(IF([1]对账明细接口!$P735=0,"",[1]对账明细接口!$P735),"")</f>
      </c>
      <c r="V735" s="212">
        <f>IFERROR(IF([1]对账明细接口!$Q735=0,"",[1]对账明细接口!$Q735),"")</f>
      </c>
      <c r="W735" s="20">
        <f>IFERROR(IF([1]对账明细接口!$R735=0,"",[1]对账明细接口!$R735),"")</f>
      </c>
      <c r="X735" s="20">
        <f>IFERROR(IF([1]对账明细接口!$S735=0,"",[1]对账明细接口!$S735),"")</f>
      </c>
      <c r="Y735" s="20">
        <f>IFERROR(IF([1]对账明细接口!$T735=0,"",[1]对账明细接口!$T735),"")</f>
      </c>
      <c r="Z735" s="213">
        <f>IFERROR(IF([1]对账明细接口!$U735=0,"",[1]对账明细接口!$U735),"")</f>
      </c>
      <c r="AA735" s="213">
        <f>IFERROR(IF([1]对账明细接口!$V735=0,"",[1]对账明细接口!$V735),"")</f>
      </c>
      <c r="AB735" s="20">
        <f>IFERROR(IF([1]对账明细接口!$W735=0,"",[1]对账明细接口!$W735),"")</f>
      </c>
      <c r="AC735" s="7">
        <f>IFERROR(IF([1]对账明细接口!$X735=0,"",[1]对账明细接口!$X735),"")</f>
      </c>
      <c r="AD735" s="7">
        <f>IFERROR(IF([1]对账明细接口!$Y735=0,"",[1]对账明细接口!$Y735),"")</f>
      </c>
      <c r="AE735" s="7">
        <f>IFERROR(IF([1]对账明细接口!$AA735=0,"",[1]对账明细接口!$AA735),"")</f>
      </c>
      <c r="AF735" s="7">
        <f>IFERROR(IF([1]对账明细接口!$AB735=0,"",[1]对账明细接口!$AB735),"")</f>
      </c>
      <c r="AG735" s="7">
        <f>IFERROR(IF([1]对账明细接口!$AC735=0,"",[1]对账明细接口!$AC735),"")</f>
      </c>
      <c r="AH735" s="7">
        <f>IFERROR(IF([1]对账明细接口!$AD735=0,"",[1]对账明细接口!$AD735),"")</f>
      </c>
      <c r="AI735" s="7">
        <f>IFERROR(IF([1]对账明细接口!$AE735=0,"",[1]对账明细接口!$AE735),"")</f>
      </c>
      <c r="AJ735" s="7">
        <f>IFERROR(IF([1]对账明细接口!$AF735=0,"",[1]对账明细接口!$AF735),"")</f>
      </c>
    </row>
    <row r="736" ht="14.25" customHeight="1" s="127">
      <c r="A736" s="14" t="n">
        <v>736</v>
      </c>
      <c r="B736" s="211">
        <f>IFERROR(IF([1]对账明细接口!$B$736=0,"",[1]对账明细接口!$B$736),"")</f>
      </c>
      <c r="C736" s="16">
        <f>IFERROR(IF([1]对账明细接口!$C$736=0,"",[1]对账明细接口!$C$736),"")</f>
      </c>
      <c r="D736" s="16">
        <f>IFERROR(IF([1]对账明细接口!$D$736=0,"",[1]对账明细接口!$D$736),"")</f>
      </c>
      <c r="E736" s="16">
        <f>IFERROR(IF([1]对账明细接口!$E$736=0,"",[1]对账明细接口!$E$736),"")</f>
      </c>
      <c r="F736" s="16">
        <f>IFERROR(IF([1]对账明细接口!$F$736=0,"",[1]对账明细接口!$F$736),"")</f>
      </c>
      <c r="G736" s="16">
        <f>IFERROR(IF([1]对账明细接口!$G$736=0,"",[1]对账明细接口!$G$736),"")</f>
      </c>
      <c r="H736" s="176">
        <f>IFERROR(IF([1]对账明细接口!$H$736=0,"",[1]对账明细接口!$H$736),"")</f>
      </c>
      <c r="I736" s="16">
        <f>IFERROR(IF([1]对账明细接口!$I$736=0,"",[1]对账明细接口!$I$736),"")</f>
      </c>
      <c r="J736" s="177">
        <f>IFERROR(IF([1]对账明细接口!$J$736=0,"",[1]对账明细接口!$J$736),"")</f>
      </c>
      <c r="K736" s="177">
        <f>IFERROR(IF([1]对账明细接口!$K$736=0,"",[1]对账明细接口!$K$736),"")</f>
      </c>
      <c r="L736" s="16">
        <f>IFERROR(IF([1]对账明细接口!$L$736=0,"",[1]对账明细接口!$L$736),"")</f>
      </c>
      <c r="M736" s="16">
        <f>IFERROR(IF([1]对账明细接口!$M$736=0,"",[1]对账明细接口!$M$736),"")</f>
      </c>
      <c r="N736" s="19">
        <f>IF($C736="",0,1)</f>
        <v>0</v>
      </c>
      <c r="O736" s="19">
        <f>N(O735)+$N736</f>
        <v>637</v>
      </c>
      <c r="S736" s="20">
        <f>IFERROR(IF([1]对账明细接口!$N736=0,"",[1]对账明细接口!$N736),"")</f>
      </c>
      <c r="T736" s="212">
        <f>IFERROR(IF([1]对账明细接口!$O736=0,"",[1]对账明细接口!$O736),"")</f>
      </c>
      <c r="U736" s="212">
        <f>IFERROR(IF([1]对账明细接口!$P736=0,"",[1]对账明细接口!$P736),"")</f>
      </c>
      <c r="V736" s="212">
        <f>IFERROR(IF([1]对账明细接口!$Q736=0,"",[1]对账明细接口!$Q736),"")</f>
      </c>
      <c r="W736" s="20">
        <f>IFERROR(IF([1]对账明细接口!$R736=0,"",[1]对账明细接口!$R736),"")</f>
      </c>
      <c r="X736" s="20">
        <f>IFERROR(IF([1]对账明细接口!$S736=0,"",[1]对账明细接口!$S736),"")</f>
      </c>
      <c r="Y736" s="20">
        <f>IFERROR(IF([1]对账明细接口!$T736=0,"",[1]对账明细接口!$T736),"")</f>
      </c>
      <c r="Z736" s="213">
        <f>IFERROR(IF([1]对账明细接口!$U736=0,"",[1]对账明细接口!$U736),"")</f>
      </c>
      <c r="AA736" s="213">
        <f>IFERROR(IF([1]对账明细接口!$V736=0,"",[1]对账明细接口!$V736),"")</f>
      </c>
      <c r="AB736" s="20">
        <f>IFERROR(IF([1]对账明细接口!$W736=0,"",[1]对账明细接口!$W736),"")</f>
      </c>
      <c r="AC736" s="7">
        <f>IFERROR(IF([1]对账明细接口!$X736=0,"",[1]对账明细接口!$X736),"")</f>
      </c>
      <c r="AD736" s="7">
        <f>IFERROR(IF([1]对账明细接口!$Y736=0,"",[1]对账明细接口!$Y736),"")</f>
      </c>
      <c r="AE736" s="7">
        <f>IFERROR(IF([1]对账明细接口!$AA736=0,"",[1]对账明细接口!$AA736),"")</f>
      </c>
      <c r="AF736" s="7">
        <f>IFERROR(IF([1]对账明细接口!$AB736=0,"",[1]对账明细接口!$AB736),"")</f>
      </c>
      <c r="AG736" s="7">
        <f>IFERROR(IF([1]对账明细接口!$AC736=0,"",[1]对账明细接口!$AC736),"")</f>
      </c>
      <c r="AH736" s="7">
        <f>IFERROR(IF([1]对账明细接口!$AD736=0,"",[1]对账明细接口!$AD736),"")</f>
      </c>
      <c r="AI736" s="7">
        <f>IFERROR(IF([1]对账明细接口!$AE736=0,"",[1]对账明细接口!$AE736),"")</f>
      </c>
      <c r="AJ736" s="7">
        <f>IFERROR(IF([1]对账明细接口!$AF736=0,"",[1]对账明细接口!$AF736),"")</f>
      </c>
    </row>
    <row r="737" ht="14.25" customHeight="1" s="127">
      <c r="A737" s="14" t="n">
        <v>737</v>
      </c>
      <c r="B737" s="211">
        <f>IFERROR(IF([1]对账明细接口!$B$737=0,"",[1]对账明细接口!$B$737),"")</f>
      </c>
      <c r="C737" s="16">
        <f>IFERROR(IF([1]对账明细接口!$C$737=0,"",[1]对账明细接口!$C$737),"")</f>
      </c>
      <c r="D737" s="16">
        <f>IFERROR(IF([1]对账明细接口!$D$737=0,"",[1]对账明细接口!$D$737),"")</f>
      </c>
      <c r="E737" s="16">
        <f>IFERROR(IF([1]对账明细接口!$E$737=0,"",[1]对账明细接口!$E$737),"")</f>
      </c>
      <c r="F737" s="16">
        <f>IFERROR(IF([1]对账明细接口!$F$737=0,"",[1]对账明细接口!$F$737),"")</f>
      </c>
      <c r="G737" s="16">
        <f>IFERROR(IF([1]对账明细接口!$G$737=0,"",[1]对账明细接口!$G$737),"")</f>
      </c>
      <c r="H737" s="176">
        <f>IFERROR(IF([1]对账明细接口!$H$737=0,"",[1]对账明细接口!$H$737),"")</f>
      </c>
      <c r="I737" s="16">
        <f>IFERROR(IF([1]对账明细接口!$I$737=0,"",[1]对账明细接口!$I$737),"")</f>
      </c>
      <c r="J737" s="177">
        <f>IFERROR(IF([1]对账明细接口!$J$737=0,"",[1]对账明细接口!$J$737),"")</f>
      </c>
      <c r="K737" s="177">
        <f>IFERROR(IF([1]对账明细接口!$K$737=0,"",[1]对账明细接口!$K$737),"")</f>
      </c>
      <c r="L737" s="16">
        <f>IFERROR(IF([1]对账明细接口!$L$737=0,"",[1]对账明细接口!$L$737),"")</f>
      </c>
      <c r="M737" s="16">
        <f>IFERROR(IF([1]对账明细接口!$M$737=0,"",[1]对账明细接口!$M$737),"")</f>
      </c>
      <c r="N737" s="19">
        <f>IF($C737="",0,1)</f>
        <v>0</v>
      </c>
      <c r="O737" s="19">
        <f>N(O736)+$N737</f>
        <v>637</v>
      </c>
      <c r="S737" s="20">
        <f>IFERROR(IF([1]对账明细接口!$N737=0,"",[1]对账明细接口!$N737),"")</f>
      </c>
      <c r="T737" s="212">
        <f>IFERROR(IF([1]对账明细接口!$O737=0,"",[1]对账明细接口!$O737),"")</f>
      </c>
      <c r="U737" s="212">
        <f>IFERROR(IF([1]对账明细接口!$P737=0,"",[1]对账明细接口!$P737),"")</f>
      </c>
      <c r="V737" s="212">
        <f>IFERROR(IF([1]对账明细接口!$Q737=0,"",[1]对账明细接口!$Q737),"")</f>
      </c>
      <c r="W737" s="20">
        <f>IFERROR(IF([1]对账明细接口!$R737=0,"",[1]对账明细接口!$R737),"")</f>
      </c>
      <c r="X737" s="20">
        <f>IFERROR(IF([1]对账明细接口!$S737=0,"",[1]对账明细接口!$S737),"")</f>
      </c>
      <c r="Y737" s="20">
        <f>IFERROR(IF([1]对账明细接口!$T737=0,"",[1]对账明细接口!$T737),"")</f>
      </c>
      <c r="Z737" s="213">
        <f>IFERROR(IF([1]对账明细接口!$U737=0,"",[1]对账明细接口!$U737),"")</f>
      </c>
      <c r="AA737" s="213">
        <f>IFERROR(IF([1]对账明细接口!$V737=0,"",[1]对账明细接口!$V737),"")</f>
      </c>
      <c r="AB737" s="20">
        <f>IFERROR(IF([1]对账明细接口!$W737=0,"",[1]对账明细接口!$W737),"")</f>
      </c>
      <c r="AC737" s="7">
        <f>IFERROR(IF([1]对账明细接口!$X737=0,"",[1]对账明细接口!$X737),"")</f>
      </c>
      <c r="AD737" s="7">
        <f>IFERROR(IF([1]对账明细接口!$Y737=0,"",[1]对账明细接口!$Y737),"")</f>
      </c>
      <c r="AE737" s="7">
        <f>IFERROR(IF([1]对账明细接口!$AA737=0,"",[1]对账明细接口!$AA737),"")</f>
      </c>
      <c r="AF737" s="7">
        <f>IFERROR(IF([1]对账明细接口!$AB737=0,"",[1]对账明细接口!$AB737),"")</f>
      </c>
      <c r="AG737" s="7">
        <f>IFERROR(IF([1]对账明细接口!$AC737=0,"",[1]对账明细接口!$AC737),"")</f>
      </c>
      <c r="AH737" s="7">
        <f>IFERROR(IF([1]对账明细接口!$AD737=0,"",[1]对账明细接口!$AD737),"")</f>
      </c>
      <c r="AI737" s="7">
        <f>IFERROR(IF([1]对账明细接口!$AE737=0,"",[1]对账明细接口!$AE737),"")</f>
      </c>
      <c r="AJ737" s="7">
        <f>IFERROR(IF([1]对账明细接口!$AF737=0,"",[1]对账明细接口!$AF737),"")</f>
      </c>
    </row>
    <row r="738" ht="14.25" customHeight="1" s="127">
      <c r="A738" s="14" t="n">
        <v>738</v>
      </c>
      <c r="B738" s="211">
        <f>IFERROR(IF([1]对账明细接口!$B$738=0,"",[1]对账明细接口!$B$738),"")</f>
      </c>
      <c r="C738" s="16">
        <f>IFERROR(IF([1]对账明细接口!$C$738=0,"",[1]对账明细接口!$C$738),"")</f>
      </c>
      <c r="D738" s="16">
        <f>IFERROR(IF([1]对账明细接口!$D$738=0,"",[1]对账明细接口!$D$738),"")</f>
      </c>
      <c r="E738" s="16">
        <f>IFERROR(IF([1]对账明细接口!$E$738=0,"",[1]对账明细接口!$E$738),"")</f>
      </c>
      <c r="F738" s="16">
        <f>IFERROR(IF([1]对账明细接口!$F$738=0,"",[1]对账明细接口!$F$738),"")</f>
      </c>
      <c r="G738" s="16">
        <f>IFERROR(IF([1]对账明细接口!$G$738=0,"",[1]对账明细接口!$G$738),"")</f>
      </c>
      <c r="H738" s="176">
        <f>IFERROR(IF([1]对账明细接口!$H$738=0,"",[1]对账明细接口!$H$738),"")</f>
      </c>
      <c r="I738" s="16">
        <f>IFERROR(IF([1]对账明细接口!$I$738=0,"",[1]对账明细接口!$I$738),"")</f>
      </c>
      <c r="J738" s="177">
        <f>IFERROR(IF([1]对账明细接口!$J$738=0,"",[1]对账明细接口!$J$738),"")</f>
      </c>
      <c r="K738" s="177">
        <f>IFERROR(IF([1]对账明细接口!$K$738=0,"",[1]对账明细接口!$K$738),"")</f>
      </c>
      <c r="L738" s="16">
        <f>IFERROR(IF([1]对账明细接口!$L$738=0,"",[1]对账明细接口!$L$738),"")</f>
      </c>
      <c r="M738" s="16">
        <f>IFERROR(IF([1]对账明细接口!$M$738=0,"",[1]对账明细接口!$M$738),"")</f>
      </c>
      <c r="N738" s="19">
        <f>IF($C738="",0,1)</f>
        <v>0</v>
      </c>
      <c r="O738" s="19">
        <f>N(O737)+$N738</f>
        <v>637</v>
      </c>
      <c r="S738" s="20">
        <f>IFERROR(IF([1]对账明细接口!$N738=0,"",[1]对账明细接口!$N738),"")</f>
      </c>
      <c r="T738" s="212">
        <f>IFERROR(IF([1]对账明细接口!$O738=0,"",[1]对账明细接口!$O738),"")</f>
      </c>
      <c r="U738" s="212">
        <f>IFERROR(IF([1]对账明细接口!$P738=0,"",[1]对账明细接口!$P738),"")</f>
      </c>
      <c r="V738" s="212">
        <f>IFERROR(IF([1]对账明细接口!$Q738=0,"",[1]对账明细接口!$Q738),"")</f>
      </c>
      <c r="W738" s="20">
        <f>IFERROR(IF([1]对账明细接口!$R738=0,"",[1]对账明细接口!$R738),"")</f>
      </c>
      <c r="X738" s="20">
        <f>IFERROR(IF([1]对账明细接口!$S738=0,"",[1]对账明细接口!$S738),"")</f>
      </c>
      <c r="Y738" s="20">
        <f>IFERROR(IF([1]对账明细接口!$T738=0,"",[1]对账明细接口!$T738),"")</f>
      </c>
      <c r="Z738" s="213">
        <f>IFERROR(IF([1]对账明细接口!$U738=0,"",[1]对账明细接口!$U738),"")</f>
      </c>
      <c r="AA738" s="213">
        <f>IFERROR(IF([1]对账明细接口!$V738=0,"",[1]对账明细接口!$V738),"")</f>
      </c>
      <c r="AB738" s="20">
        <f>IFERROR(IF([1]对账明细接口!$W738=0,"",[1]对账明细接口!$W738),"")</f>
      </c>
      <c r="AC738" s="7">
        <f>IFERROR(IF([1]对账明细接口!$X738=0,"",[1]对账明细接口!$X738),"")</f>
      </c>
      <c r="AD738" s="7">
        <f>IFERROR(IF([1]对账明细接口!$Y738=0,"",[1]对账明细接口!$Y738),"")</f>
      </c>
      <c r="AE738" s="7">
        <f>IFERROR(IF([1]对账明细接口!$AA738=0,"",[1]对账明细接口!$AA738),"")</f>
      </c>
      <c r="AF738" s="7">
        <f>IFERROR(IF([1]对账明细接口!$AB738=0,"",[1]对账明细接口!$AB738),"")</f>
      </c>
      <c r="AG738" s="7">
        <f>IFERROR(IF([1]对账明细接口!$AC738=0,"",[1]对账明细接口!$AC738),"")</f>
      </c>
      <c r="AH738" s="7">
        <f>IFERROR(IF([1]对账明细接口!$AD738=0,"",[1]对账明细接口!$AD738),"")</f>
      </c>
      <c r="AI738" s="7">
        <f>IFERROR(IF([1]对账明细接口!$AE738=0,"",[1]对账明细接口!$AE738),"")</f>
      </c>
      <c r="AJ738" s="7">
        <f>IFERROR(IF([1]对账明细接口!$AF738=0,"",[1]对账明细接口!$AF738),"")</f>
      </c>
    </row>
    <row r="739" ht="14.25" customHeight="1" s="127">
      <c r="A739" s="14" t="n">
        <v>739</v>
      </c>
      <c r="B739" s="211">
        <f>IFERROR(IF([1]对账明细接口!$B$739=0,"",[1]对账明细接口!$B$739),"")</f>
      </c>
      <c r="C739" s="16">
        <f>IFERROR(IF([1]对账明细接口!$C$739=0,"",[1]对账明细接口!$C$739),"")</f>
      </c>
      <c r="D739" s="16">
        <f>IFERROR(IF([1]对账明细接口!$D$739=0,"",[1]对账明细接口!$D$739),"")</f>
      </c>
      <c r="E739" s="16">
        <f>IFERROR(IF([1]对账明细接口!$E$739=0,"",[1]对账明细接口!$E$739),"")</f>
      </c>
      <c r="F739" s="16">
        <f>IFERROR(IF([1]对账明细接口!$F$739=0,"",[1]对账明细接口!$F$739),"")</f>
      </c>
      <c r="G739" s="16">
        <f>IFERROR(IF([1]对账明细接口!$G$739=0,"",[1]对账明细接口!$G$739),"")</f>
      </c>
      <c r="H739" s="176">
        <f>IFERROR(IF([1]对账明细接口!$H$739=0,"",[1]对账明细接口!$H$739),"")</f>
      </c>
      <c r="I739" s="16">
        <f>IFERROR(IF([1]对账明细接口!$I$739=0,"",[1]对账明细接口!$I$739),"")</f>
      </c>
      <c r="J739" s="177">
        <f>IFERROR(IF([1]对账明细接口!$J$739=0,"",[1]对账明细接口!$J$739),"")</f>
      </c>
      <c r="K739" s="177">
        <f>IFERROR(IF([1]对账明细接口!$K$739=0,"",[1]对账明细接口!$K$739),"")</f>
      </c>
      <c r="L739" s="16">
        <f>IFERROR(IF([1]对账明细接口!$L$739=0,"",[1]对账明细接口!$L$739),"")</f>
      </c>
      <c r="M739" s="16">
        <f>IFERROR(IF([1]对账明细接口!$M$739=0,"",[1]对账明细接口!$M$739),"")</f>
      </c>
      <c r="N739" s="19">
        <f>IF($C739="",0,1)</f>
        <v>0</v>
      </c>
      <c r="O739" s="19">
        <f>N(O738)+$N739</f>
        <v>637</v>
      </c>
      <c r="S739" s="20">
        <f>IFERROR(IF([1]对账明细接口!$N739=0,"",[1]对账明细接口!$N739),"")</f>
      </c>
      <c r="T739" s="212">
        <f>IFERROR(IF([1]对账明细接口!$O739=0,"",[1]对账明细接口!$O739),"")</f>
      </c>
      <c r="U739" s="212">
        <f>IFERROR(IF([1]对账明细接口!$P739=0,"",[1]对账明细接口!$P739),"")</f>
      </c>
      <c r="V739" s="212">
        <f>IFERROR(IF([1]对账明细接口!$Q739=0,"",[1]对账明细接口!$Q739),"")</f>
      </c>
      <c r="W739" s="20">
        <f>IFERROR(IF([1]对账明细接口!$R739=0,"",[1]对账明细接口!$R739),"")</f>
      </c>
      <c r="X739" s="20">
        <f>IFERROR(IF([1]对账明细接口!$S739=0,"",[1]对账明细接口!$S739),"")</f>
      </c>
      <c r="Y739" s="20">
        <f>IFERROR(IF([1]对账明细接口!$T739=0,"",[1]对账明细接口!$T739),"")</f>
      </c>
      <c r="Z739" s="213">
        <f>IFERROR(IF([1]对账明细接口!$U739=0,"",[1]对账明细接口!$U739),"")</f>
      </c>
      <c r="AA739" s="213">
        <f>IFERROR(IF([1]对账明细接口!$V739=0,"",[1]对账明细接口!$V739),"")</f>
      </c>
      <c r="AB739" s="20">
        <f>IFERROR(IF([1]对账明细接口!$W739=0,"",[1]对账明细接口!$W739),"")</f>
      </c>
      <c r="AC739" s="7">
        <f>IFERROR(IF([1]对账明细接口!$X739=0,"",[1]对账明细接口!$X739),"")</f>
      </c>
      <c r="AD739" s="7">
        <f>IFERROR(IF([1]对账明细接口!$Y739=0,"",[1]对账明细接口!$Y739),"")</f>
      </c>
      <c r="AE739" s="7">
        <f>IFERROR(IF([1]对账明细接口!$AA739=0,"",[1]对账明细接口!$AA739),"")</f>
      </c>
      <c r="AF739" s="7">
        <f>IFERROR(IF([1]对账明细接口!$AB739=0,"",[1]对账明细接口!$AB739),"")</f>
      </c>
      <c r="AG739" s="7">
        <f>IFERROR(IF([1]对账明细接口!$AC739=0,"",[1]对账明细接口!$AC739),"")</f>
      </c>
      <c r="AH739" s="7">
        <f>IFERROR(IF([1]对账明细接口!$AD739=0,"",[1]对账明细接口!$AD739),"")</f>
      </c>
      <c r="AI739" s="7">
        <f>IFERROR(IF([1]对账明细接口!$AE739=0,"",[1]对账明细接口!$AE739),"")</f>
      </c>
      <c r="AJ739" s="7">
        <f>IFERROR(IF([1]对账明细接口!$AF739=0,"",[1]对账明细接口!$AF739),"")</f>
      </c>
    </row>
    <row r="740" ht="14.25" customHeight="1" s="127">
      <c r="A740" s="14" t="n">
        <v>740</v>
      </c>
      <c r="B740" s="211">
        <f>IFERROR(IF([1]对账明细接口!$B$740=0,"",[1]对账明细接口!$B$740),"")</f>
      </c>
      <c r="C740" s="16">
        <f>IFERROR(IF([1]对账明细接口!$C$740=0,"",[1]对账明细接口!$C$740),"")</f>
      </c>
      <c r="D740" s="16">
        <f>IFERROR(IF([1]对账明细接口!$D$740=0,"",[1]对账明细接口!$D$740),"")</f>
      </c>
      <c r="E740" s="16">
        <f>IFERROR(IF([1]对账明细接口!$E$740=0,"",[1]对账明细接口!$E$740),"")</f>
      </c>
      <c r="F740" s="16">
        <f>IFERROR(IF([1]对账明细接口!$F$740=0,"",[1]对账明细接口!$F$740),"")</f>
      </c>
      <c r="G740" s="16">
        <f>IFERROR(IF([1]对账明细接口!$G$740=0,"",[1]对账明细接口!$G$740),"")</f>
      </c>
      <c r="H740" s="176">
        <f>IFERROR(IF([1]对账明细接口!$H$740=0,"",[1]对账明细接口!$H$740),"")</f>
      </c>
      <c r="I740" s="16">
        <f>IFERROR(IF([1]对账明细接口!$I$740=0,"",[1]对账明细接口!$I$740),"")</f>
      </c>
      <c r="J740" s="177">
        <f>IFERROR(IF([1]对账明细接口!$J$740=0,"",[1]对账明细接口!$J$740),"")</f>
      </c>
      <c r="K740" s="177">
        <f>IFERROR(IF([1]对账明细接口!$K$740=0,"",[1]对账明细接口!$K$740),"")</f>
      </c>
      <c r="L740" s="16">
        <f>IFERROR(IF([1]对账明细接口!$L$740=0,"",[1]对账明细接口!$L$740),"")</f>
      </c>
      <c r="M740" s="16">
        <f>IFERROR(IF([1]对账明细接口!$M$740=0,"",[1]对账明细接口!$M$740),"")</f>
      </c>
      <c r="N740" s="19">
        <f>IF($C740="",0,1)</f>
        <v>0</v>
      </c>
      <c r="O740" s="19">
        <f>N(O739)+$N740</f>
        <v>637</v>
      </c>
      <c r="S740" s="20">
        <f>IFERROR(IF([1]对账明细接口!$N740=0,"",[1]对账明细接口!$N740),"")</f>
      </c>
      <c r="T740" s="212">
        <f>IFERROR(IF([1]对账明细接口!$O740=0,"",[1]对账明细接口!$O740),"")</f>
      </c>
      <c r="U740" s="212">
        <f>IFERROR(IF([1]对账明细接口!$P740=0,"",[1]对账明细接口!$P740),"")</f>
      </c>
      <c r="V740" s="212">
        <f>IFERROR(IF([1]对账明细接口!$Q740=0,"",[1]对账明细接口!$Q740),"")</f>
      </c>
      <c r="W740" s="20">
        <f>IFERROR(IF([1]对账明细接口!$R740=0,"",[1]对账明细接口!$R740),"")</f>
      </c>
      <c r="X740" s="20">
        <f>IFERROR(IF([1]对账明细接口!$S740=0,"",[1]对账明细接口!$S740),"")</f>
      </c>
      <c r="Y740" s="20">
        <f>IFERROR(IF([1]对账明细接口!$T740=0,"",[1]对账明细接口!$T740),"")</f>
      </c>
      <c r="Z740" s="213">
        <f>IFERROR(IF([1]对账明细接口!$U740=0,"",[1]对账明细接口!$U740),"")</f>
      </c>
      <c r="AA740" s="213">
        <f>IFERROR(IF([1]对账明细接口!$V740=0,"",[1]对账明细接口!$V740),"")</f>
      </c>
      <c r="AB740" s="20">
        <f>IFERROR(IF([1]对账明细接口!$W740=0,"",[1]对账明细接口!$W740),"")</f>
      </c>
      <c r="AC740" s="7">
        <f>IFERROR(IF([1]对账明细接口!$X740=0,"",[1]对账明细接口!$X740),"")</f>
      </c>
      <c r="AD740" s="7">
        <f>IFERROR(IF([1]对账明细接口!$Y740=0,"",[1]对账明细接口!$Y740),"")</f>
      </c>
      <c r="AE740" s="7">
        <f>IFERROR(IF([1]对账明细接口!$AA740=0,"",[1]对账明细接口!$AA740),"")</f>
      </c>
      <c r="AF740" s="7">
        <f>IFERROR(IF([1]对账明细接口!$AB740=0,"",[1]对账明细接口!$AB740),"")</f>
      </c>
      <c r="AG740" s="7">
        <f>IFERROR(IF([1]对账明细接口!$AC740=0,"",[1]对账明细接口!$AC740),"")</f>
      </c>
      <c r="AH740" s="7">
        <f>IFERROR(IF([1]对账明细接口!$AD740=0,"",[1]对账明细接口!$AD740),"")</f>
      </c>
      <c r="AI740" s="7">
        <f>IFERROR(IF([1]对账明细接口!$AE740=0,"",[1]对账明细接口!$AE740),"")</f>
      </c>
      <c r="AJ740" s="7">
        <f>IFERROR(IF([1]对账明细接口!$AF740=0,"",[1]对账明细接口!$AF740),"")</f>
      </c>
    </row>
    <row r="741" ht="14.25" customHeight="1" s="127">
      <c r="A741" s="14" t="n">
        <v>741</v>
      </c>
      <c r="B741" s="211">
        <f>IFERROR(IF([1]对账明细接口!$B$741=0,"",[1]对账明细接口!$B$741),"")</f>
      </c>
      <c r="C741" s="16">
        <f>IFERROR(IF([1]对账明细接口!$C$741=0,"",[1]对账明细接口!$C$741),"")</f>
      </c>
      <c r="D741" s="16">
        <f>IFERROR(IF([1]对账明细接口!$D$741=0,"",[1]对账明细接口!$D$741),"")</f>
      </c>
      <c r="E741" s="16">
        <f>IFERROR(IF([1]对账明细接口!$E$741=0,"",[1]对账明细接口!$E$741),"")</f>
      </c>
      <c r="F741" s="16">
        <f>IFERROR(IF([1]对账明细接口!$F$741=0,"",[1]对账明细接口!$F$741),"")</f>
      </c>
      <c r="G741" s="16">
        <f>IFERROR(IF([1]对账明细接口!$G$741=0,"",[1]对账明细接口!$G$741),"")</f>
      </c>
      <c r="H741" s="176">
        <f>IFERROR(IF([1]对账明细接口!$H$741=0,"",[1]对账明细接口!$H$741),"")</f>
      </c>
      <c r="I741" s="16">
        <f>IFERROR(IF([1]对账明细接口!$I$741=0,"",[1]对账明细接口!$I$741),"")</f>
      </c>
      <c r="J741" s="177">
        <f>IFERROR(IF([1]对账明细接口!$J$741=0,"",[1]对账明细接口!$J$741),"")</f>
      </c>
      <c r="K741" s="177">
        <f>IFERROR(IF([1]对账明细接口!$K$741=0,"",[1]对账明细接口!$K$741),"")</f>
      </c>
      <c r="L741" s="16">
        <f>IFERROR(IF([1]对账明细接口!$L$741=0,"",[1]对账明细接口!$L$741),"")</f>
      </c>
      <c r="M741" s="16">
        <f>IFERROR(IF([1]对账明细接口!$M$741=0,"",[1]对账明细接口!$M$741),"")</f>
      </c>
      <c r="N741" s="19">
        <f>IF($C741="",0,1)</f>
        <v>0</v>
      </c>
      <c r="O741" s="19">
        <f>N(O740)+$N741</f>
        <v>637</v>
      </c>
      <c r="S741" s="20">
        <f>IFERROR(IF([1]对账明细接口!$N741=0,"",[1]对账明细接口!$N741),"")</f>
      </c>
      <c r="T741" s="212">
        <f>IFERROR(IF([1]对账明细接口!$O741=0,"",[1]对账明细接口!$O741),"")</f>
      </c>
      <c r="U741" s="212">
        <f>IFERROR(IF([1]对账明细接口!$P741=0,"",[1]对账明细接口!$P741),"")</f>
      </c>
      <c r="V741" s="212">
        <f>IFERROR(IF([1]对账明细接口!$Q741=0,"",[1]对账明细接口!$Q741),"")</f>
      </c>
      <c r="W741" s="20">
        <f>IFERROR(IF([1]对账明细接口!$R741=0,"",[1]对账明细接口!$R741),"")</f>
      </c>
      <c r="X741" s="20">
        <f>IFERROR(IF([1]对账明细接口!$S741=0,"",[1]对账明细接口!$S741),"")</f>
      </c>
      <c r="Y741" s="20">
        <f>IFERROR(IF([1]对账明细接口!$T741=0,"",[1]对账明细接口!$T741),"")</f>
      </c>
      <c r="Z741" s="213">
        <f>IFERROR(IF([1]对账明细接口!$U741=0,"",[1]对账明细接口!$U741),"")</f>
      </c>
      <c r="AA741" s="213">
        <f>IFERROR(IF([1]对账明细接口!$V741=0,"",[1]对账明细接口!$V741),"")</f>
      </c>
      <c r="AB741" s="20">
        <f>IFERROR(IF([1]对账明细接口!$W741=0,"",[1]对账明细接口!$W741),"")</f>
      </c>
      <c r="AC741" s="7">
        <f>IFERROR(IF([1]对账明细接口!$X741=0,"",[1]对账明细接口!$X741),"")</f>
      </c>
      <c r="AD741" s="7">
        <f>IFERROR(IF([1]对账明细接口!$Y741=0,"",[1]对账明细接口!$Y741),"")</f>
      </c>
      <c r="AE741" s="7">
        <f>IFERROR(IF([1]对账明细接口!$AA741=0,"",[1]对账明细接口!$AA741),"")</f>
      </c>
      <c r="AF741" s="7">
        <f>IFERROR(IF([1]对账明细接口!$AB741=0,"",[1]对账明细接口!$AB741),"")</f>
      </c>
      <c r="AG741" s="7">
        <f>IFERROR(IF([1]对账明细接口!$AC741=0,"",[1]对账明细接口!$AC741),"")</f>
      </c>
      <c r="AH741" s="7">
        <f>IFERROR(IF([1]对账明细接口!$AD741=0,"",[1]对账明细接口!$AD741),"")</f>
      </c>
      <c r="AI741" s="7">
        <f>IFERROR(IF([1]对账明细接口!$AE741=0,"",[1]对账明细接口!$AE741),"")</f>
      </c>
      <c r="AJ741" s="7">
        <f>IFERROR(IF([1]对账明细接口!$AF741=0,"",[1]对账明细接口!$AF741),"")</f>
      </c>
    </row>
    <row r="742" ht="14.25" customHeight="1" s="127">
      <c r="A742" s="14" t="n">
        <v>742</v>
      </c>
      <c r="B742" s="211">
        <f>IFERROR(IF([1]对账明细接口!$B$742=0,"",[1]对账明细接口!$B$742),"")</f>
      </c>
      <c r="C742" s="16">
        <f>IFERROR(IF([1]对账明细接口!$C$742=0,"",[1]对账明细接口!$C$742),"")</f>
      </c>
      <c r="D742" s="16">
        <f>IFERROR(IF([1]对账明细接口!$D$742=0,"",[1]对账明细接口!$D$742),"")</f>
      </c>
      <c r="E742" s="16">
        <f>IFERROR(IF([1]对账明细接口!$E$742=0,"",[1]对账明细接口!$E$742),"")</f>
      </c>
      <c r="F742" s="16">
        <f>IFERROR(IF([1]对账明细接口!$F$742=0,"",[1]对账明细接口!$F$742),"")</f>
      </c>
      <c r="G742" s="16">
        <f>IFERROR(IF([1]对账明细接口!$G$742=0,"",[1]对账明细接口!$G$742),"")</f>
      </c>
      <c r="H742" s="176">
        <f>IFERROR(IF([1]对账明细接口!$H$742=0,"",[1]对账明细接口!$H$742),"")</f>
      </c>
      <c r="I742" s="16">
        <f>IFERROR(IF([1]对账明细接口!$I$742=0,"",[1]对账明细接口!$I$742),"")</f>
      </c>
      <c r="J742" s="177">
        <f>IFERROR(IF([1]对账明细接口!$J$742=0,"",[1]对账明细接口!$J$742),"")</f>
      </c>
      <c r="K742" s="177">
        <f>IFERROR(IF([1]对账明细接口!$K$742=0,"",[1]对账明细接口!$K$742),"")</f>
      </c>
      <c r="L742" s="16">
        <f>IFERROR(IF([1]对账明细接口!$L$742=0,"",[1]对账明细接口!$L$742),"")</f>
      </c>
      <c r="M742" s="16">
        <f>IFERROR(IF([1]对账明细接口!$M$742=0,"",[1]对账明细接口!$M$742),"")</f>
      </c>
      <c r="N742" s="19">
        <f>IF($C742="",0,1)</f>
        <v>0</v>
      </c>
      <c r="O742" s="19">
        <f>N(O741)+$N742</f>
        <v>637</v>
      </c>
      <c r="S742" s="20">
        <f>IFERROR(IF([1]对账明细接口!$N742=0,"",[1]对账明细接口!$N742),"")</f>
      </c>
      <c r="T742" s="212">
        <f>IFERROR(IF([1]对账明细接口!$O742=0,"",[1]对账明细接口!$O742),"")</f>
      </c>
      <c r="U742" s="212">
        <f>IFERROR(IF([1]对账明细接口!$P742=0,"",[1]对账明细接口!$P742),"")</f>
      </c>
      <c r="V742" s="212">
        <f>IFERROR(IF([1]对账明细接口!$Q742=0,"",[1]对账明细接口!$Q742),"")</f>
      </c>
      <c r="W742" s="20">
        <f>IFERROR(IF([1]对账明细接口!$R742=0,"",[1]对账明细接口!$R742),"")</f>
      </c>
      <c r="X742" s="20">
        <f>IFERROR(IF([1]对账明细接口!$S742=0,"",[1]对账明细接口!$S742),"")</f>
      </c>
      <c r="Y742" s="20">
        <f>IFERROR(IF([1]对账明细接口!$T742=0,"",[1]对账明细接口!$T742),"")</f>
      </c>
      <c r="Z742" s="213">
        <f>IFERROR(IF([1]对账明细接口!$U742=0,"",[1]对账明细接口!$U742),"")</f>
      </c>
      <c r="AA742" s="213">
        <f>IFERROR(IF([1]对账明细接口!$V742=0,"",[1]对账明细接口!$V742),"")</f>
      </c>
      <c r="AB742" s="20">
        <f>IFERROR(IF([1]对账明细接口!$W742=0,"",[1]对账明细接口!$W742),"")</f>
      </c>
      <c r="AC742" s="7">
        <f>IFERROR(IF([1]对账明细接口!$X742=0,"",[1]对账明细接口!$X742),"")</f>
      </c>
      <c r="AD742" s="7">
        <f>IFERROR(IF([1]对账明细接口!$Y742=0,"",[1]对账明细接口!$Y742),"")</f>
      </c>
      <c r="AE742" s="7">
        <f>IFERROR(IF([1]对账明细接口!$AA742=0,"",[1]对账明细接口!$AA742),"")</f>
      </c>
      <c r="AF742" s="7">
        <f>IFERROR(IF([1]对账明细接口!$AB742=0,"",[1]对账明细接口!$AB742),"")</f>
      </c>
      <c r="AG742" s="7">
        <f>IFERROR(IF([1]对账明细接口!$AC742=0,"",[1]对账明细接口!$AC742),"")</f>
      </c>
      <c r="AH742" s="7">
        <f>IFERROR(IF([1]对账明细接口!$AD742=0,"",[1]对账明细接口!$AD742),"")</f>
      </c>
      <c r="AI742" s="7">
        <f>IFERROR(IF([1]对账明细接口!$AE742=0,"",[1]对账明细接口!$AE742),"")</f>
      </c>
      <c r="AJ742" s="7">
        <f>IFERROR(IF([1]对账明细接口!$AF742=0,"",[1]对账明细接口!$AF742),"")</f>
      </c>
    </row>
    <row r="743" ht="14.25" customHeight="1" s="127">
      <c r="A743" s="14" t="n">
        <v>743</v>
      </c>
      <c r="B743" s="211">
        <f>IFERROR(IF([1]对账明细接口!$B$743=0,"",[1]对账明细接口!$B$743),"")</f>
      </c>
      <c r="C743" s="16">
        <f>IFERROR(IF([1]对账明细接口!$C$743=0,"",[1]对账明细接口!$C$743),"")</f>
      </c>
      <c r="D743" s="16">
        <f>IFERROR(IF([1]对账明细接口!$D$743=0,"",[1]对账明细接口!$D$743),"")</f>
      </c>
      <c r="E743" s="16">
        <f>IFERROR(IF([1]对账明细接口!$E$743=0,"",[1]对账明细接口!$E$743),"")</f>
      </c>
      <c r="F743" s="16">
        <f>IFERROR(IF([1]对账明细接口!$F$743=0,"",[1]对账明细接口!$F$743),"")</f>
      </c>
      <c r="G743" s="16">
        <f>IFERROR(IF([1]对账明细接口!$G$743=0,"",[1]对账明细接口!$G$743),"")</f>
      </c>
      <c r="H743" s="176">
        <f>IFERROR(IF([1]对账明细接口!$H$743=0,"",[1]对账明细接口!$H$743),"")</f>
      </c>
      <c r="I743" s="16">
        <f>IFERROR(IF([1]对账明细接口!$I$743=0,"",[1]对账明细接口!$I$743),"")</f>
      </c>
      <c r="J743" s="177">
        <f>IFERROR(IF([1]对账明细接口!$J$743=0,"",[1]对账明细接口!$J$743),"")</f>
      </c>
      <c r="K743" s="177">
        <f>IFERROR(IF([1]对账明细接口!$K$743=0,"",[1]对账明细接口!$K$743),"")</f>
      </c>
      <c r="L743" s="16">
        <f>IFERROR(IF([1]对账明细接口!$L$743=0,"",[1]对账明细接口!$L$743),"")</f>
      </c>
      <c r="M743" s="16">
        <f>IFERROR(IF([1]对账明细接口!$M$743=0,"",[1]对账明细接口!$M$743),"")</f>
      </c>
      <c r="N743" s="19">
        <f>IF($C743="",0,1)</f>
        <v>0</v>
      </c>
      <c r="O743" s="19">
        <f>N(O742)+$N743</f>
        <v>637</v>
      </c>
      <c r="S743" s="20">
        <f>IFERROR(IF([1]对账明细接口!$N743=0,"",[1]对账明细接口!$N743),"")</f>
      </c>
      <c r="T743" s="212">
        <f>IFERROR(IF([1]对账明细接口!$O743=0,"",[1]对账明细接口!$O743),"")</f>
      </c>
      <c r="U743" s="212">
        <f>IFERROR(IF([1]对账明细接口!$P743=0,"",[1]对账明细接口!$P743),"")</f>
      </c>
      <c r="V743" s="212">
        <f>IFERROR(IF([1]对账明细接口!$Q743=0,"",[1]对账明细接口!$Q743),"")</f>
      </c>
      <c r="W743" s="20">
        <f>IFERROR(IF([1]对账明细接口!$R743=0,"",[1]对账明细接口!$R743),"")</f>
      </c>
      <c r="X743" s="20">
        <f>IFERROR(IF([1]对账明细接口!$S743=0,"",[1]对账明细接口!$S743),"")</f>
      </c>
      <c r="Y743" s="20">
        <f>IFERROR(IF([1]对账明细接口!$T743=0,"",[1]对账明细接口!$T743),"")</f>
      </c>
      <c r="Z743" s="213">
        <f>IFERROR(IF([1]对账明细接口!$U743=0,"",[1]对账明细接口!$U743),"")</f>
      </c>
      <c r="AA743" s="213">
        <f>IFERROR(IF([1]对账明细接口!$V743=0,"",[1]对账明细接口!$V743),"")</f>
      </c>
      <c r="AB743" s="20">
        <f>IFERROR(IF([1]对账明细接口!$W743=0,"",[1]对账明细接口!$W743),"")</f>
      </c>
      <c r="AC743" s="7">
        <f>IFERROR(IF([1]对账明细接口!$X743=0,"",[1]对账明细接口!$X743),"")</f>
      </c>
      <c r="AD743" s="7">
        <f>IFERROR(IF([1]对账明细接口!$Y743=0,"",[1]对账明细接口!$Y743),"")</f>
      </c>
      <c r="AE743" s="7">
        <f>IFERROR(IF([1]对账明细接口!$AA743=0,"",[1]对账明细接口!$AA743),"")</f>
      </c>
      <c r="AF743" s="7">
        <f>IFERROR(IF([1]对账明细接口!$AB743=0,"",[1]对账明细接口!$AB743),"")</f>
      </c>
      <c r="AG743" s="7">
        <f>IFERROR(IF([1]对账明细接口!$AC743=0,"",[1]对账明细接口!$AC743),"")</f>
      </c>
      <c r="AH743" s="7">
        <f>IFERROR(IF([1]对账明细接口!$AD743=0,"",[1]对账明细接口!$AD743),"")</f>
      </c>
      <c r="AI743" s="7">
        <f>IFERROR(IF([1]对账明细接口!$AE743=0,"",[1]对账明细接口!$AE743),"")</f>
      </c>
      <c r="AJ743" s="7">
        <f>IFERROR(IF([1]对账明细接口!$AF743=0,"",[1]对账明细接口!$AF743),"")</f>
      </c>
    </row>
    <row r="744" ht="14.25" customHeight="1" s="127">
      <c r="A744" s="14" t="n">
        <v>744</v>
      </c>
      <c r="B744" s="211">
        <f>IFERROR(IF([1]对账明细接口!$B$744=0,"",[1]对账明细接口!$B$744),"")</f>
      </c>
      <c r="C744" s="16">
        <f>IFERROR(IF([1]对账明细接口!$C$744=0,"",[1]对账明细接口!$C$744),"")</f>
      </c>
      <c r="D744" s="16">
        <f>IFERROR(IF([1]对账明细接口!$D$744=0,"",[1]对账明细接口!$D$744),"")</f>
      </c>
      <c r="E744" s="16">
        <f>IFERROR(IF([1]对账明细接口!$E$744=0,"",[1]对账明细接口!$E$744),"")</f>
      </c>
      <c r="F744" s="16">
        <f>IFERROR(IF([1]对账明细接口!$F$744=0,"",[1]对账明细接口!$F$744),"")</f>
      </c>
      <c r="G744" s="16">
        <f>IFERROR(IF([1]对账明细接口!$G$744=0,"",[1]对账明细接口!$G$744),"")</f>
      </c>
      <c r="H744" s="176">
        <f>IFERROR(IF([1]对账明细接口!$H$744=0,"",[1]对账明细接口!$H$744),"")</f>
      </c>
      <c r="I744" s="16">
        <f>IFERROR(IF([1]对账明细接口!$I$744=0,"",[1]对账明细接口!$I$744),"")</f>
      </c>
      <c r="J744" s="177">
        <f>IFERROR(IF([1]对账明细接口!$J$744=0,"",[1]对账明细接口!$J$744),"")</f>
      </c>
      <c r="K744" s="177">
        <f>IFERROR(IF([1]对账明细接口!$K$744=0,"",[1]对账明细接口!$K$744),"")</f>
      </c>
      <c r="L744" s="16">
        <f>IFERROR(IF([1]对账明细接口!$L$744=0,"",[1]对账明细接口!$L$744),"")</f>
      </c>
      <c r="M744" s="16">
        <f>IFERROR(IF([1]对账明细接口!$M$744=0,"",[1]对账明细接口!$M$744),"")</f>
      </c>
      <c r="N744" s="19">
        <f>IF($C744="",0,1)</f>
        <v>0</v>
      </c>
      <c r="O744" s="19">
        <f>N(O743)+$N744</f>
        <v>637</v>
      </c>
      <c r="S744" s="20">
        <f>IFERROR(IF([1]对账明细接口!$N744=0,"",[1]对账明细接口!$N744),"")</f>
      </c>
      <c r="T744" s="212">
        <f>IFERROR(IF([1]对账明细接口!$O744=0,"",[1]对账明细接口!$O744),"")</f>
      </c>
      <c r="U744" s="212">
        <f>IFERROR(IF([1]对账明细接口!$P744=0,"",[1]对账明细接口!$P744),"")</f>
      </c>
      <c r="V744" s="212">
        <f>IFERROR(IF([1]对账明细接口!$Q744=0,"",[1]对账明细接口!$Q744),"")</f>
      </c>
      <c r="W744" s="20">
        <f>IFERROR(IF([1]对账明细接口!$R744=0,"",[1]对账明细接口!$R744),"")</f>
      </c>
      <c r="X744" s="20">
        <f>IFERROR(IF([1]对账明细接口!$S744=0,"",[1]对账明细接口!$S744),"")</f>
      </c>
      <c r="Y744" s="20">
        <f>IFERROR(IF([1]对账明细接口!$T744=0,"",[1]对账明细接口!$T744),"")</f>
      </c>
      <c r="Z744" s="213">
        <f>IFERROR(IF([1]对账明细接口!$U744=0,"",[1]对账明细接口!$U744),"")</f>
      </c>
      <c r="AA744" s="213">
        <f>IFERROR(IF([1]对账明细接口!$V744=0,"",[1]对账明细接口!$V744),"")</f>
      </c>
      <c r="AB744" s="20">
        <f>IFERROR(IF([1]对账明细接口!$W744=0,"",[1]对账明细接口!$W744),"")</f>
      </c>
      <c r="AC744" s="7">
        <f>IFERROR(IF([1]对账明细接口!$X744=0,"",[1]对账明细接口!$X744),"")</f>
      </c>
      <c r="AD744" s="7">
        <f>IFERROR(IF([1]对账明细接口!$Y744=0,"",[1]对账明细接口!$Y744),"")</f>
      </c>
      <c r="AE744" s="7">
        <f>IFERROR(IF([1]对账明细接口!$AA744=0,"",[1]对账明细接口!$AA744),"")</f>
      </c>
      <c r="AF744" s="7">
        <f>IFERROR(IF([1]对账明细接口!$AB744=0,"",[1]对账明细接口!$AB744),"")</f>
      </c>
      <c r="AG744" s="7">
        <f>IFERROR(IF([1]对账明细接口!$AC744=0,"",[1]对账明细接口!$AC744),"")</f>
      </c>
      <c r="AH744" s="7">
        <f>IFERROR(IF([1]对账明细接口!$AD744=0,"",[1]对账明细接口!$AD744),"")</f>
      </c>
      <c r="AI744" s="7">
        <f>IFERROR(IF([1]对账明细接口!$AE744=0,"",[1]对账明细接口!$AE744),"")</f>
      </c>
      <c r="AJ744" s="7">
        <f>IFERROR(IF([1]对账明细接口!$AF744=0,"",[1]对账明细接口!$AF744),"")</f>
      </c>
    </row>
    <row r="745" ht="14.25" customHeight="1" s="127">
      <c r="A745" s="14" t="n">
        <v>745</v>
      </c>
      <c r="B745" s="211">
        <f>IFERROR(IF([1]对账明细接口!$B$745=0,"",[1]对账明细接口!$B$745),"")</f>
      </c>
      <c r="C745" s="16">
        <f>IFERROR(IF([1]对账明细接口!$C$745=0,"",[1]对账明细接口!$C$745),"")</f>
      </c>
      <c r="D745" s="16">
        <f>IFERROR(IF([1]对账明细接口!$D$745=0,"",[1]对账明细接口!$D$745),"")</f>
      </c>
      <c r="E745" s="16">
        <f>IFERROR(IF([1]对账明细接口!$E$745=0,"",[1]对账明细接口!$E$745),"")</f>
      </c>
      <c r="F745" s="16">
        <f>IFERROR(IF([1]对账明细接口!$F$745=0,"",[1]对账明细接口!$F$745),"")</f>
      </c>
      <c r="G745" s="16">
        <f>IFERROR(IF([1]对账明细接口!$G$745=0,"",[1]对账明细接口!$G$745),"")</f>
      </c>
      <c r="H745" s="176">
        <f>IFERROR(IF([1]对账明细接口!$H$745=0,"",[1]对账明细接口!$H$745),"")</f>
      </c>
      <c r="I745" s="16">
        <f>IFERROR(IF([1]对账明细接口!$I$745=0,"",[1]对账明细接口!$I$745),"")</f>
      </c>
      <c r="J745" s="177">
        <f>IFERROR(IF([1]对账明细接口!$J$745=0,"",[1]对账明细接口!$J$745),"")</f>
      </c>
      <c r="K745" s="177">
        <f>IFERROR(IF([1]对账明细接口!$K$745=0,"",[1]对账明细接口!$K$745),"")</f>
      </c>
      <c r="L745" s="16">
        <f>IFERROR(IF([1]对账明细接口!$L$745=0,"",[1]对账明细接口!$L$745),"")</f>
      </c>
      <c r="M745" s="16">
        <f>IFERROR(IF([1]对账明细接口!$M$745=0,"",[1]对账明细接口!$M$745),"")</f>
      </c>
      <c r="N745" s="19">
        <f>IF($C745="",0,1)</f>
        <v>0</v>
      </c>
      <c r="O745" s="19">
        <f>N(O744)+$N745</f>
        <v>637</v>
      </c>
      <c r="S745" s="20">
        <f>IFERROR(IF([1]对账明细接口!$N745=0,"",[1]对账明细接口!$N745),"")</f>
      </c>
      <c r="T745" s="212">
        <f>IFERROR(IF([1]对账明细接口!$O745=0,"",[1]对账明细接口!$O745),"")</f>
      </c>
      <c r="U745" s="212">
        <f>IFERROR(IF([1]对账明细接口!$P745=0,"",[1]对账明细接口!$P745),"")</f>
      </c>
      <c r="V745" s="212">
        <f>IFERROR(IF([1]对账明细接口!$Q745=0,"",[1]对账明细接口!$Q745),"")</f>
      </c>
      <c r="W745" s="20">
        <f>IFERROR(IF([1]对账明细接口!$R745=0,"",[1]对账明细接口!$R745),"")</f>
      </c>
      <c r="X745" s="20">
        <f>IFERROR(IF([1]对账明细接口!$S745=0,"",[1]对账明细接口!$S745),"")</f>
      </c>
      <c r="Y745" s="20">
        <f>IFERROR(IF([1]对账明细接口!$T745=0,"",[1]对账明细接口!$T745),"")</f>
      </c>
      <c r="Z745" s="213">
        <f>IFERROR(IF([1]对账明细接口!$U745=0,"",[1]对账明细接口!$U745),"")</f>
      </c>
      <c r="AA745" s="213">
        <f>IFERROR(IF([1]对账明细接口!$V745=0,"",[1]对账明细接口!$V745),"")</f>
      </c>
      <c r="AB745" s="20">
        <f>IFERROR(IF([1]对账明细接口!$W745=0,"",[1]对账明细接口!$W745),"")</f>
      </c>
      <c r="AC745" s="7">
        <f>IFERROR(IF([1]对账明细接口!$X745=0,"",[1]对账明细接口!$X745),"")</f>
      </c>
      <c r="AD745" s="7">
        <f>IFERROR(IF([1]对账明细接口!$Y745=0,"",[1]对账明细接口!$Y745),"")</f>
      </c>
      <c r="AE745" s="7">
        <f>IFERROR(IF([1]对账明细接口!$AA745=0,"",[1]对账明细接口!$AA745),"")</f>
      </c>
      <c r="AF745" s="7">
        <f>IFERROR(IF([1]对账明细接口!$AB745=0,"",[1]对账明细接口!$AB745),"")</f>
      </c>
      <c r="AG745" s="7">
        <f>IFERROR(IF([1]对账明细接口!$AC745=0,"",[1]对账明细接口!$AC745),"")</f>
      </c>
      <c r="AH745" s="7">
        <f>IFERROR(IF([1]对账明细接口!$AD745=0,"",[1]对账明细接口!$AD745),"")</f>
      </c>
      <c r="AI745" s="7">
        <f>IFERROR(IF([1]对账明细接口!$AE745=0,"",[1]对账明细接口!$AE745),"")</f>
      </c>
      <c r="AJ745" s="7">
        <f>IFERROR(IF([1]对账明细接口!$AF745=0,"",[1]对账明细接口!$AF745),"")</f>
      </c>
    </row>
    <row r="746" ht="14.25" customHeight="1" s="127">
      <c r="A746" s="14" t="n">
        <v>746</v>
      </c>
      <c r="B746" s="211">
        <f>IFERROR(IF([1]对账明细接口!$B$746=0,"",[1]对账明细接口!$B$746),"")</f>
      </c>
      <c r="C746" s="16">
        <f>IFERROR(IF([1]对账明细接口!$C$746=0,"",[1]对账明细接口!$C$746),"")</f>
      </c>
      <c r="D746" s="16">
        <f>IFERROR(IF([1]对账明细接口!$D$746=0,"",[1]对账明细接口!$D$746),"")</f>
      </c>
      <c r="E746" s="16">
        <f>IFERROR(IF([1]对账明细接口!$E$746=0,"",[1]对账明细接口!$E$746),"")</f>
      </c>
      <c r="F746" s="16">
        <f>IFERROR(IF([1]对账明细接口!$F$746=0,"",[1]对账明细接口!$F$746),"")</f>
      </c>
      <c r="G746" s="16">
        <f>IFERROR(IF([1]对账明细接口!$G$746=0,"",[1]对账明细接口!$G$746),"")</f>
      </c>
      <c r="H746" s="176">
        <f>IFERROR(IF([1]对账明细接口!$H$746=0,"",[1]对账明细接口!$H$746),"")</f>
      </c>
      <c r="I746" s="16">
        <f>IFERROR(IF([1]对账明细接口!$I$746=0,"",[1]对账明细接口!$I$746),"")</f>
      </c>
      <c r="J746" s="177">
        <f>IFERROR(IF([1]对账明细接口!$J$746=0,"",[1]对账明细接口!$J$746),"")</f>
      </c>
      <c r="K746" s="177">
        <f>IFERROR(IF([1]对账明细接口!$K$746=0,"",[1]对账明细接口!$K$746),"")</f>
      </c>
      <c r="L746" s="16">
        <f>IFERROR(IF([1]对账明细接口!$L$746=0,"",[1]对账明细接口!$L$746),"")</f>
      </c>
      <c r="M746" s="16">
        <f>IFERROR(IF([1]对账明细接口!$M$746=0,"",[1]对账明细接口!$M$746),"")</f>
      </c>
      <c r="N746" s="19">
        <f>IF($C746="",0,1)</f>
        <v>0</v>
      </c>
      <c r="O746" s="19">
        <f>N(O745)+$N746</f>
        <v>637</v>
      </c>
      <c r="S746" s="20">
        <f>IFERROR(IF([1]对账明细接口!$N746=0,"",[1]对账明细接口!$N746),"")</f>
      </c>
      <c r="T746" s="212">
        <f>IFERROR(IF([1]对账明细接口!$O746=0,"",[1]对账明细接口!$O746),"")</f>
      </c>
      <c r="U746" s="212">
        <f>IFERROR(IF([1]对账明细接口!$P746=0,"",[1]对账明细接口!$P746),"")</f>
      </c>
      <c r="V746" s="212">
        <f>IFERROR(IF([1]对账明细接口!$Q746=0,"",[1]对账明细接口!$Q746),"")</f>
      </c>
      <c r="W746" s="20">
        <f>IFERROR(IF([1]对账明细接口!$R746=0,"",[1]对账明细接口!$R746),"")</f>
      </c>
      <c r="X746" s="20">
        <f>IFERROR(IF([1]对账明细接口!$S746=0,"",[1]对账明细接口!$S746),"")</f>
      </c>
      <c r="Y746" s="20">
        <f>IFERROR(IF([1]对账明细接口!$T746=0,"",[1]对账明细接口!$T746),"")</f>
      </c>
      <c r="Z746" s="213">
        <f>IFERROR(IF([1]对账明细接口!$U746=0,"",[1]对账明细接口!$U746),"")</f>
      </c>
      <c r="AA746" s="213">
        <f>IFERROR(IF([1]对账明细接口!$V746=0,"",[1]对账明细接口!$V746),"")</f>
      </c>
      <c r="AB746" s="20">
        <f>IFERROR(IF([1]对账明细接口!$W746=0,"",[1]对账明细接口!$W746),"")</f>
      </c>
      <c r="AC746" s="7">
        <f>IFERROR(IF([1]对账明细接口!$X746=0,"",[1]对账明细接口!$X746),"")</f>
      </c>
      <c r="AD746" s="7">
        <f>IFERROR(IF([1]对账明细接口!$Y746=0,"",[1]对账明细接口!$Y746),"")</f>
      </c>
      <c r="AE746" s="7">
        <f>IFERROR(IF([1]对账明细接口!$AA746=0,"",[1]对账明细接口!$AA746),"")</f>
      </c>
      <c r="AF746" s="7">
        <f>IFERROR(IF([1]对账明细接口!$AB746=0,"",[1]对账明细接口!$AB746),"")</f>
      </c>
      <c r="AG746" s="7">
        <f>IFERROR(IF([1]对账明细接口!$AC746=0,"",[1]对账明细接口!$AC746),"")</f>
      </c>
      <c r="AH746" s="7">
        <f>IFERROR(IF([1]对账明细接口!$AD746=0,"",[1]对账明细接口!$AD746),"")</f>
      </c>
      <c r="AI746" s="7">
        <f>IFERROR(IF([1]对账明细接口!$AE746=0,"",[1]对账明细接口!$AE746),"")</f>
      </c>
      <c r="AJ746" s="7">
        <f>IFERROR(IF([1]对账明细接口!$AF746=0,"",[1]对账明细接口!$AF746),"")</f>
      </c>
    </row>
    <row r="747" ht="14.25" customHeight="1" s="127">
      <c r="A747" s="14" t="n">
        <v>747</v>
      </c>
      <c r="B747" s="211">
        <f>IFERROR(IF([1]对账明细接口!$B$747=0,"",[1]对账明细接口!$B$747),"")</f>
      </c>
      <c r="C747" s="16">
        <f>IFERROR(IF([1]对账明细接口!$C$747=0,"",[1]对账明细接口!$C$747),"")</f>
      </c>
      <c r="D747" s="16">
        <f>IFERROR(IF([1]对账明细接口!$D$747=0,"",[1]对账明细接口!$D$747),"")</f>
      </c>
      <c r="E747" s="16">
        <f>IFERROR(IF([1]对账明细接口!$E$747=0,"",[1]对账明细接口!$E$747),"")</f>
      </c>
      <c r="F747" s="16">
        <f>IFERROR(IF([1]对账明细接口!$F$747=0,"",[1]对账明细接口!$F$747),"")</f>
      </c>
      <c r="G747" s="16">
        <f>IFERROR(IF([1]对账明细接口!$G$747=0,"",[1]对账明细接口!$G$747),"")</f>
      </c>
      <c r="H747" s="176">
        <f>IFERROR(IF([1]对账明细接口!$H$747=0,"",[1]对账明细接口!$H$747),"")</f>
      </c>
      <c r="I747" s="16">
        <f>IFERROR(IF([1]对账明细接口!$I$747=0,"",[1]对账明细接口!$I$747),"")</f>
      </c>
      <c r="J747" s="177">
        <f>IFERROR(IF([1]对账明细接口!$J$747=0,"",[1]对账明细接口!$J$747),"")</f>
      </c>
      <c r="K747" s="177">
        <f>IFERROR(IF([1]对账明细接口!$K$747=0,"",[1]对账明细接口!$K$747),"")</f>
      </c>
      <c r="L747" s="16">
        <f>IFERROR(IF([1]对账明细接口!$L$747=0,"",[1]对账明细接口!$L$747),"")</f>
      </c>
      <c r="M747" s="16">
        <f>IFERROR(IF([1]对账明细接口!$M$747=0,"",[1]对账明细接口!$M$747),"")</f>
      </c>
      <c r="N747" s="19">
        <f>IF($C747="",0,1)</f>
        <v>0</v>
      </c>
      <c r="O747" s="19">
        <f>N(O746)+$N747</f>
        <v>637</v>
      </c>
      <c r="S747" s="20">
        <f>IFERROR(IF([1]对账明细接口!$N747=0,"",[1]对账明细接口!$N747),"")</f>
      </c>
      <c r="T747" s="212">
        <f>IFERROR(IF([1]对账明细接口!$O747=0,"",[1]对账明细接口!$O747),"")</f>
      </c>
      <c r="U747" s="212">
        <f>IFERROR(IF([1]对账明细接口!$P747=0,"",[1]对账明细接口!$P747),"")</f>
      </c>
      <c r="V747" s="212">
        <f>IFERROR(IF([1]对账明细接口!$Q747=0,"",[1]对账明细接口!$Q747),"")</f>
      </c>
      <c r="W747" s="20">
        <f>IFERROR(IF([1]对账明细接口!$R747=0,"",[1]对账明细接口!$R747),"")</f>
      </c>
      <c r="X747" s="20">
        <f>IFERROR(IF([1]对账明细接口!$S747=0,"",[1]对账明细接口!$S747),"")</f>
      </c>
      <c r="Y747" s="20">
        <f>IFERROR(IF([1]对账明细接口!$T747=0,"",[1]对账明细接口!$T747),"")</f>
      </c>
      <c r="Z747" s="213">
        <f>IFERROR(IF([1]对账明细接口!$U747=0,"",[1]对账明细接口!$U747),"")</f>
      </c>
      <c r="AA747" s="213">
        <f>IFERROR(IF([1]对账明细接口!$V747=0,"",[1]对账明细接口!$V747),"")</f>
      </c>
      <c r="AB747" s="20">
        <f>IFERROR(IF([1]对账明细接口!$W747=0,"",[1]对账明细接口!$W747),"")</f>
      </c>
      <c r="AC747" s="7">
        <f>IFERROR(IF([1]对账明细接口!$X747=0,"",[1]对账明细接口!$X747),"")</f>
      </c>
      <c r="AD747" s="7">
        <f>IFERROR(IF([1]对账明细接口!$Y747=0,"",[1]对账明细接口!$Y747),"")</f>
      </c>
      <c r="AE747" s="7">
        <f>IFERROR(IF([1]对账明细接口!$AA747=0,"",[1]对账明细接口!$AA747),"")</f>
      </c>
      <c r="AF747" s="7">
        <f>IFERROR(IF([1]对账明细接口!$AB747=0,"",[1]对账明细接口!$AB747),"")</f>
      </c>
      <c r="AG747" s="7">
        <f>IFERROR(IF([1]对账明细接口!$AC747=0,"",[1]对账明细接口!$AC747),"")</f>
      </c>
      <c r="AH747" s="7">
        <f>IFERROR(IF([1]对账明细接口!$AD747=0,"",[1]对账明细接口!$AD747),"")</f>
      </c>
      <c r="AI747" s="7">
        <f>IFERROR(IF([1]对账明细接口!$AE747=0,"",[1]对账明细接口!$AE747),"")</f>
      </c>
      <c r="AJ747" s="7">
        <f>IFERROR(IF([1]对账明细接口!$AF747=0,"",[1]对账明细接口!$AF747),"")</f>
      </c>
    </row>
    <row r="748" ht="14.25" customHeight="1" s="127">
      <c r="A748" s="14" t="n">
        <v>748</v>
      </c>
      <c r="B748" s="211">
        <f>IFERROR(IF([1]对账明细接口!$B$748=0,"",[1]对账明细接口!$B$748),"")</f>
      </c>
      <c r="C748" s="16">
        <f>IFERROR(IF([1]对账明细接口!$C$748=0,"",[1]对账明细接口!$C$748),"")</f>
      </c>
      <c r="D748" s="16">
        <f>IFERROR(IF([1]对账明细接口!$D$748=0,"",[1]对账明细接口!$D$748),"")</f>
      </c>
      <c r="E748" s="16">
        <f>IFERROR(IF([1]对账明细接口!$E$748=0,"",[1]对账明细接口!$E$748),"")</f>
      </c>
      <c r="F748" s="16">
        <f>IFERROR(IF([1]对账明细接口!$F$748=0,"",[1]对账明细接口!$F$748),"")</f>
      </c>
      <c r="G748" s="16">
        <f>IFERROR(IF([1]对账明细接口!$G$748=0,"",[1]对账明细接口!$G$748),"")</f>
      </c>
      <c r="H748" s="176">
        <f>IFERROR(IF([1]对账明细接口!$H$748=0,"",[1]对账明细接口!$H$748),"")</f>
      </c>
      <c r="I748" s="16">
        <f>IFERROR(IF([1]对账明细接口!$I$748=0,"",[1]对账明细接口!$I$748),"")</f>
      </c>
      <c r="J748" s="177">
        <f>IFERROR(IF([1]对账明细接口!$J$748=0,"",[1]对账明细接口!$J$748),"")</f>
      </c>
      <c r="K748" s="177">
        <f>IFERROR(IF([1]对账明细接口!$K$748=0,"",[1]对账明细接口!$K$748),"")</f>
      </c>
      <c r="L748" s="16">
        <f>IFERROR(IF([1]对账明细接口!$L$748=0,"",[1]对账明细接口!$L$748),"")</f>
      </c>
      <c r="M748" s="16">
        <f>IFERROR(IF([1]对账明细接口!$M$748=0,"",[1]对账明细接口!$M$748),"")</f>
      </c>
      <c r="N748" s="19">
        <f>IF($C748="",0,1)</f>
        <v>0</v>
      </c>
      <c r="O748" s="19">
        <f>N(O747)+$N748</f>
        <v>637</v>
      </c>
      <c r="S748" s="20">
        <f>IFERROR(IF([1]对账明细接口!$N748=0,"",[1]对账明细接口!$N748),"")</f>
      </c>
      <c r="T748" s="212">
        <f>IFERROR(IF([1]对账明细接口!$O748=0,"",[1]对账明细接口!$O748),"")</f>
      </c>
      <c r="U748" s="212">
        <f>IFERROR(IF([1]对账明细接口!$P748=0,"",[1]对账明细接口!$P748),"")</f>
      </c>
      <c r="V748" s="212">
        <f>IFERROR(IF([1]对账明细接口!$Q748=0,"",[1]对账明细接口!$Q748),"")</f>
      </c>
      <c r="W748" s="20">
        <f>IFERROR(IF([1]对账明细接口!$R748=0,"",[1]对账明细接口!$R748),"")</f>
      </c>
      <c r="X748" s="20">
        <f>IFERROR(IF([1]对账明细接口!$S748=0,"",[1]对账明细接口!$S748),"")</f>
      </c>
      <c r="Y748" s="20">
        <f>IFERROR(IF([1]对账明细接口!$T748=0,"",[1]对账明细接口!$T748),"")</f>
      </c>
      <c r="Z748" s="213">
        <f>IFERROR(IF([1]对账明细接口!$U748=0,"",[1]对账明细接口!$U748),"")</f>
      </c>
      <c r="AA748" s="213">
        <f>IFERROR(IF([1]对账明细接口!$V748=0,"",[1]对账明细接口!$V748),"")</f>
      </c>
      <c r="AB748" s="20">
        <f>IFERROR(IF([1]对账明细接口!$W748=0,"",[1]对账明细接口!$W748),"")</f>
      </c>
      <c r="AC748" s="7">
        <f>IFERROR(IF([1]对账明细接口!$X748=0,"",[1]对账明细接口!$X748),"")</f>
      </c>
      <c r="AD748" s="7">
        <f>IFERROR(IF([1]对账明细接口!$Y748=0,"",[1]对账明细接口!$Y748),"")</f>
      </c>
      <c r="AE748" s="7">
        <f>IFERROR(IF([1]对账明细接口!$AA748=0,"",[1]对账明细接口!$AA748),"")</f>
      </c>
      <c r="AF748" s="7">
        <f>IFERROR(IF([1]对账明细接口!$AB748=0,"",[1]对账明细接口!$AB748),"")</f>
      </c>
      <c r="AG748" s="7">
        <f>IFERROR(IF([1]对账明细接口!$AC748=0,"",[1]对账明细接口!$AC748),"")</f>
      </c>
      <c r="AH748" s="7">
        <f>IFERROR(IF([1]对账明细接口!$AD748=0,"",[1]对账明细接口!$AD748),"")</f>
      </c>
      <c r="AI748" s="7">
        <f>IFERROR(IF([1]对账明细接口!$AE748=0,"",[1]对账明细接口!$AE748),"")</f>
      </c>
      <c r="AJ748" s="7">
        <f>IFERROR(IF([1]对账明细接口!$AF748=0,"",[1]对账明细接口!$AF748),"")</f>
      </c>
    </row>
    <row r="749" ht="14.25" customHeight="1" s="127">
      <c r="A749" s="14" t="n">
        <v>749</v>
      </c>
      <c r="B749" s="211">
        <f>IFERROR(IF([1]对账明细接口!$B$749=0,"",[1]对账明细接口!$B$749),"")</f>
      </c>
      <c r="C749" s="16">
        <f>IFERROR(IF([1]对账明细接口!$C$749=0,"",[1]对账明细接口!$C$749),"")</f>
      </c>
      <c r="D749" s="16">
        <f>IFERROR(IF([1]对账明细接口!$D$749=0,"",[1]对账明细接口!$D$749),"")</f>
      </c>
      <c r="E749" s="16">
        <f>IFERROR(IF([1]对账明细接口!$E$749=0,"",[1]对账明细接口!$E$749),"")</f>
      </c>
      <c r="F749" s="16">
        <f>IFERROR(IF([1]对账明细接口!$F$749=0,"",[1]对账明细接口!$F$749),"")</f>
      </c>
      <c r="G749" s="16">
        <f>IFERROR(IF([1]对账明细接口!$G$749=0,"",[1]对账明细接口!$G$749),"")</f>
      </c>
      <c r="H749" s="176">
        <f>IFERROR(IF([1]对账明细接口!$H$749=0,"",[1]对账明细接口!$H$749),"")</f>
      </c>
      <c r="I749" s="16">
        <f>IFERROR(IF([1]对账明细接口!$I$749=0,"",[1]对账明细接口!$I$749),"")</f>
      </c>
      <c r="J749" s="177">
        <f>IFERROR(IF([1]对账明细接口!$J$749=0,"",[1]对账明细接口!$J$749),"")</f>
      </c>
      <c r="K749" s="177">
        <f>IFERROR(IF([1]对账明细接口!$K$749=0,"",[1]对账明细接口!$K$749),"")</f>
      </c>
      <c r="L749" s="16">
        <f>IFERROR(IF([1]对账明细接口!$L$749=0,"",[1]对账明细接口!$L$749),"")</f>
      </c>
      <c r="M749" s="16">
        <f>IFERROR(IF([1]对账明细接口!$M$749=0,"",[1]对账明细接口!$M$749),"")</f>
      </c>
      <c r="N749" s="19">
        <f>IF($C749="",0,1)</f>
        <v>0</v>
      </c>
      <c r="O749" s="19">
        <f>N(O748)+$N749</f>
        <v>637</v>
      </c>
      <c r="S749" s="20">
        <f>IFERROR(IF([1]对账明细接口!$N749=0,"",[1]对账明细接口!$N749),"")</f>
      </c>
      <c r="T749" s="212">
        <f>IFERROR(IF([1]对账明细接口!$O749=0,"",[1]对账明细接口!$O749),"")</f>
      </c>
      <c r="U749" s="212">
        <f>IFERROR(IF([1]对账明细接口!$P749=0,"",[1]对账明细接口!$P749),"")</f>
      </c>
      <c r="V749" s="212">
        <f>IFERROR(IF([1]对账明细接口!$Q749=0,"",[1]对账明细接口!$Q749),"")</f>
      </c>
      <c r="W749" s="20">
        <f>IFERROR(IF([1]对账明细接口!$R749=0,"",[1]对账明细接口!$R749),"")</f>
      </c>
      <c r="X749" s="20">
        <f>IFERROR(IF([1]对账明细接口!$S749=0,"",[1]对账明细接口!$S749),"")</f>
      </c>
      <c r="Y749" s="20">
        <f>IFERROR(IF([1]对账明细接口!$T749=0,"",[1]对账明细接口!$T749),"")</f>
      </c>
      <c r="Z749" s="213">
        <f>IFERROR(IF([1]对账明细接口!$U749=0,"",[1]对账明细接口!$U749),"")</f>
      </c>
      <c r="AA749" s="213">
        <f>IFERROR(IF([1]对账明细接口!$V749=0,"",[1]对账明细接口!$V749),"")</f>
      </c>
      <c r="AB749" s="20">
        <f>IFERROR(IF([1]对账明细接口!$W749=0,"",[1]对账明细接口!$W749),"")</f>
      </c>
      <c r="AC749" s="7">
        <f>IFERROR(IF([1]对账明细接口!$X749=0,"",[1]对账明细接口!$X749),"")</f>
      </c>
      <c r="AD749" s="7">
        <f>IFERROR(IF([1]对账明细接口!$Y749=0,"",[1]对账明细接口!$Y749),"")</f>
      </c>
      <c r="AE749" s="7">
        <f>IFERROR(IF([1]对账明细接口!$AA749=0,"",[1]对账明细接口!$AA749),"")</f>
      </c>
      <c r="AF749" s="7">
        <f>IFERROR(IF([1]对账明细接口!$AB749=0,"",[1]对账明细接口!$AB749),"")</f>
      </c>
      <c r="AG749" s="7">
        <f>IFERROR(IF([1]对账明细接口!$AC749=0,"",[1]对账明细接口!$AC749),"")</f>
      </c>
      <c r="AH749" s="7">
        <f>IFERROR(IF([1]对账明细接口!$AD749=0,"",[1]对账明细接口!$AD749),"")</f>
      </c>
      <c r="AI749" s="7">
        <f>IFERROR(IF([1]对账明细接口!$AE749=0,"",[1]对账明细接口!$AE749),"")</f>
      </c>
      <c r="AJ749" s="7">
        <f>IFERROR(IF([1]对账明细接口!$AF749=0,"",[1]对账明细接口!$AF749),"")</f>
      </c>
    </row>
    <row r="750" ht="14.25" customHeight="1" s="127">
      <c r="A750" s="14" t="n">
        <v>750</v>
      </c>
      <c r="B750" s="211">
        <f>IFERROR(IF([1]对账明细接口!$B$750=0,"",[1]对账明细接口!$B$750),"")</f>
      </c>
      <c r="C750" s="16">
        <f>IFERROR(IF([1]对账明细接口!$C$750=0,"",[1]对账明细接口!$C$750),"")</f>
      </c>
      <c r="D750" s="16">
        <f>IFERROR(IF([1]对账明细接口!$D$750=0,"",[1]对账明细接口!$D$750),"")</f>
      </c>
      <c r="E750" s="16">
        <f>IFERROR(IF([1]对账明细接口!$E$750=0,"",[1]对账明细接口!$E$750),"")</f>
      </c>
      <c r="F750" s="16">
        <f>IFERROR(IF([1]对账明细接口!$F$750=0,"",[1]对账明细接口!$F$750),"")</f>
      </c>
      <c r="G750" s="16">
        <f>IFERROR(IF([1]对账明细接口!$G$750=0,"",[1]对账明细接口!$G$750),"")</f>
      </c>
      <c r="H750" s="176">
        <f>IFERROR(IF([1]对账明细接口!$H$750=0,"",[1]对账明细接口!$H$750),"")</f>
      </c>
      <c r="I750" s="16">
        <f>IFERROR(IF([1]对账明细接口!$I$750=0,"",[1]对账明细接口!$I$750),"")</f>
      </c>
      <c r="J750" s="177">
        <f>IFERROR(IF([1]对账明细接口!$J$750=0,"",[1]对账明细接口!$J$750),"")</f>
      </c>
      <c r="K750" s="177">
        <f>IFERROR(IF([1]对账明细接口!$K$750=0,"",[1]对账明细接口!$K$750),"")</f>
      </c>
      <c r="L750" s="16">
        <f>IFERROR(IF([1]对账明细接口!$L$750=0,"",[1]对账明细接口!$L$750),"")</f>
      </c>
      <c r="M750" s="16">
        <f>IFERROR(IF([1]对账明细接口!$M$750=0,"",[1]对账明细接口!$M$750),"")</f>
      </c>
      <c r="N750" s="19">
        <f>IF($C750="",0,1)</f>
        <v>0</v>
      </c>
      <c r="O750" s="19">
        <f>N(O749)+$N750</f>
        <v>637</v>
      </c>
      <c r="S750" s="20">
        <f>IFERROR(IF([1]对账明细接口!$N750=0,"",[1]对账明细接口!$N750),"")</f>
      </c>
      <c r="T750" s="212">
        <f>IFERROR(IF([1]对账明细接口!$O750=0,"",[1]对账明细接口!$O750),"")</f>
      </c>
      <c r="U750" s="212">
        <f>IFERROR(IF([1]对账明细接口!$P750=0,"",[1]对账明细接口!$P750),"")</f>
      </c>
      <c r="V750" s="212">
        <f>IFERROR(IF([1]对账明细接口!$Q750=0,"",[1]对账明细接口!$Q750),"")</f>
      </c>
      <c r="W750" s="20">
        <f>IFERROR(IF([1]对账明细接口!$R750=0,"",[1]对账明细接口!$R750),"")</f>
      </c>
      <c r="X750" s="20">
        <f>IFERROR(IF([1]对账明细接口!$S750=0,"",[1]对账明细接口!$S750),"")</f>
      </c>
      <c r="Y750" s="20">
        <f>IFERROR(IF([1]对账明细接口!$T750=0,"",[1]对账明细接口!$T750),"")</f>
      </c>
      <c r="Z750" s="213">
        <f>IFERROR(IF([1]对账明细接口!$U750=0,"",[1]对账明细接口!$U750),"")</f>
      </c>
      <c r="AA750" s="213">
        <f>IFERROR(IF([1]对账明细接口!$V750=0,"",[1]对账明细接口!$V750),"")</f>
      </c>
      <c r="AB750" s="20">
        <f>IFERROR(IF([1]对账明细接口!$W750=0,"",[1]对账明细接口!$W750),"")</f>
      </c>
      <c r="AC750" s="7">
        <f>IFERROR(IF([1]对账明细接口!$X750=0,"",[1]对账明细接口!$X750),"")</f>
      </c>
      <c r="AD750" s="7">
        <f>IFERROR(IF([1]对账明细接口!$Y750=0,"",[1]对账明细接口!$Y750),"")</f>
      </c>
      <c r="AE750" s="7">
        <f>IFERROR(IF([1]对账明细接口!$AA750=0,"",[1]对账明细接口!$AA750),"")</f>
      </c>
      <c r="AF750" s="7">
        <f>IFERROR(IF([1]对账明细接口!$AB750=0,"",[1]对账明细接口!$AB750),"")</f>
      </c>
      <c r="AG750" s="7">
        <f>IFERROR(IF([1]对账明细接口!$AC750=0,"",[1]对账明细接口!$AC750),"")</f>
      </c>
      <c r="AH750" s="7">
        <f>IFERROR(IF([1]对账明细接口!$AD750=0,"",[1]对账明细接口!$AD750),"")</f>
      </c>
      <c r="AI750" s="7">
        <f>IFERROR(IF([1]对账明细接口!$AE750=0,"",[1]对账明细接口!$AE750),"")</f>
      </c>
      <c r="AJ750" s="7">
        <f>IFERROR(IF([1]对账明细接口!$AF750=0,"",[1]对账明细接口!$AF750),"")</f>
      </c>
    </row>
    <row r="751" ht="14.25" customHeight="1" s="127">
      <c r="A751" s="14" t="n">
        <v>751</v>
      </c>
      <c r="B751" s="211">
        <f>IFERROR(IF([1]对账明细接口!$B$751=0,"",[1]对账明细接口!$B$751),"")</f>
      </c>
      <c r="C751" s="16">
        <f>IFERROR(IF([1]对账明细接口!$C$751=0,"",[1]对账明细接口!$C$751),"")</f>
      </c>
      <c r="D751" s="16">
        <f>IFERROR(IF([1]对账明细接口!$D$751=0,"",[1]对账明细接口!$D$751),"")</f>
      </c>
      <c r="E751" s="16">
        <f>IFERROR(IF([1]对账明细接口!$E$751=0,"",[1]对账明细接口!$E$751),"")</f>
      </c>
      <c r="F751" s="16">
        <f>IFERROR(IF([1]对账明细接口!$F$751=0,"",[1]对账明细接口!$F$751),"")</f>
      </c>
      <c r="G751" s="16">
        <f>IFERROR(IF([1]对账明细接口!$G$751=0,"",[1]对账明细接口!$G$751),"")</f>
      </c>
      <c r="H751" s="176">
        <f>IFERROR(IF([1]对账明细接口!$H$751=0,"",[1]对账明细接口!$H$751),"")</f>
      </c>
      <c r="I751" s="16">
        <f>IFERROR(IF([1]对账明细接口!$I$751=0,"",[1]对账明细接口!$I$751),"")</f>
      </c>
      <c r="J751" s="177">
        <f>IFERROR(IF([1]对账明细接口!$J$751=0,"",[1]对账明细接口!$J$751),"")</f>
      </c>
      <c r="K751" s="177">
        <f>IFERROR(IF([1]对账明细接口!$K$751=0,"",[1]对账明细接口!$K$751),"")</f>
      </c>
      <c r="L751" s="16">
        <f>IFERROR(IF([1]对账明细接口!$L$751=0,"",[1]对账明细接口!$L$751),"")</f>
      </c>
      <c r="M751" s="16">
        <f>IFERROR(IF([1]对账明细接口!$M$751=0,"",[1]对账明细接口!$M$751),"")</f>
      </c>
      <c r="N751" s="19">
        <f>IF($C751="",0,1)</f>
        <v>0</v>
      </c>
      <c r="O751" s="19">
        <f>N(O750)+$N751</f>
        <v>637</v>
      </c>
      <c r="S751" s="20">
        <f>IFERROR(IF([1]对账明细接口!$N751=0,"",[1]对账明细接口!$N751),"")</f>
      </c>
      <c r="T751" s="212">
        <f>IFERROR(IF([1]对账明细接口!$O751=0,"",[1]对账明细接口!$O751),"")</f>
      </c>
      <c r="U751" s="212">
        <f>IFERROR(IF([1]对账明细接口!$P751=0,"",[1]对账明细接口!$P751),"")</f>
      </c>
      <c r="V751" s="212">
        <f>IFERROR(IF([1]对账明细接口!$Q751=0,"",[1]对账明细接口!$Q751),"")</f>
      </c>
      <c r="W751" s="20">
        <f>IFERROR(IF([1]对账明细接口!$R751=0,"",[1]对账明细接口!$R751),"")</f>
      </c>
      <c r="X751" s="20">
        <f>IFERROR(IF([1]对账明细接口!$S751=0,"",[1]对账明细接口!$S751),"")</f>
      </c>
      <c r="Y751" s="20">
        <f>IFERROR(IF([1]对账明细接口!$T751=0,"",[1]对账明细接口!$T751),"")</f>
      </c>
      <c r="Z751" s="213">
        <f>IFERROR(IF([1]对账明细接口!$U751=0,"",[1]对账明细接口!$U751),"")</f>
      </c>
      <c r="AA751" s="213">
        <f>IFERROR(IF([1]对账明细接口!$V751=0,"",[1]对账明细接口!$V751),"")</f>
      </c>
      <c r="AB751" s="20">
        <f>IFERROR(IF([1]对账明细接口!$W751=0,"",[1]对账明细接口!$W751),"")</f>
      </c>
      <c r="AC751" s="7">
        <f>IFERROR(IF([1]对账明细接口!$X751=0,"",[1]对账明细接口!$X751),"")</f>
      </c>
      <c r="AD751" s="7">
        <f>IFERROR(IF([1]对账明细接口!$Y751=0,"",[1]对账明细接口!$Y751),"")</f>
      </c>
      <c r="AE751" s="7">
        <f>IFERROR(IF([1]对账明细接口!$AA751=0,"",[1]对账明细接口!$AA751),"")</f>
      </c>
      <c r="AF751" s="7">
        <f>IFERROR(IF([1]对账明细接口!$AB751=0,"",[1]对账明细接口!$AB751),"")</f>
      </c>
      <c r="AG751" s="7">
        <f>IFERROR(IF([1]对账明细接口!$AC751=0,"",[1]对账明细接口!$AC751),"")</f>
      </c>
      <c r="AH751" s="7">
        <f>IFERROR(IF([1]对账明细接口!$AD751=0,"",[1]对账明细接口!$AD751),"")</f>
      </c>
      <c r="AI751" s="7">
        <f>IFERROR(IF([1]对账明细接口!$AE751=0,"",[1]对账明细接口!$AE751),"")</f>
      </c>
      <c r="AJ751" s="7">
        <f>IFERROR(IF([1]对账明细接口!$AF751=0,"",[1]对账明细接口!$AF751),"")</f>
      </c>
    </row>
    <row r="752" ht="14.25" customHeight="1" s="127">
      <c r="A752" s="14" t="n">
        <v>752</v>
      </c>
      <c r="B752" s="211">
        <f>IFERROR(IF([1]对账明细接口!$B$752=0,"",[1]对账明细接口!$B$752),"")</f>
      </c>
      <c r="C752" s="16">
        <f>IFERROR(IF([1]对账明细接口!$C$752=0,"",[1]对账明细接口!$C$752),"")</f>
      </c>
      <c r="D752" s="16">
        <f>IFERROR(IF([1]对账明细接口!$D$752=0,"",[1]对账明细接口!$D$752),"")</f>
      </c>
      <c r="E752" s="16">
        <f>IFERROR(IF([1]对账明细接口!$E$752=0,"",[1]对账明细接口!$E$752),"")</f>
      </c>
      <c r="F752" s="16">
        <f>IFERROR(IF([1]对账明细接口!$F$752=0,"",[1]对账明细接口!$F$752),"")</f>
      </c>
      <c r="G752" s="16">
        <f>IFERROR(IF([1]对账明细接口!$G$752=0,"",[1]对账明细接口!$G$752),"")</f>
      </c>
      <c r="H752" s="176">
        <f>IFERROR(IF([1]对账明细接口!$H$752=0,"",[1]对账明细接口!$H$752),"")</f>
      </c>
      <c r="I752" s="16">
        <f>IFERROR(IF([1]对账明细接口!$I$752=0,"",[1]对账明细接口!$I$752),"")</f>
      </c>
      <c r="J752" s="177">
        <f>IFERROR(IF([1]对账明细接口!$J$752=0,"",[1]对账明细接口!$J$752),"")</f>
      </c>
      <c r="K752" s="177">
        <f>IFERROR(IF([1]对账明细接口!$K$752=0,"",[1]对账明细接口!$K$752),"")</f>
      </c>
      <c r="L752" s="16">
        <f>IFERROR(IF([1]对账明细接口!$L$752=0,"",[1]对账明细接口!$L$752),"")</f>
      </c>
      <c r="M752" s="16">
        <f>IFERROR(IF([1]对账明细接口!$M$752=0,"",[1]对账明细接口!$M$752),"")</f>
      </c>
      <c r="N752" s="19">
        <f>IF($C752="",0,1)</f>
        <v>0</v>
      </c>
      <c r="O752" s="19">
        <f>N(O751)+$N752</f>
        <v>637</v>
      </c>
      <c r="S752" s="20">
        <f>IFERROR(IF([1]对账明细接口!$N752=0,"",[1]对账明细接口!$N752),"")</f>
      </c>
      <c r="T752" s="212">
        <f>IFERROR(IF([1]对账明细接口!$O752=0,"",[1]对账明细接口!$O752),"")</f>
      </c>
      <c r="U752" s="212">
        <f>IFERROR(IF([1]对账明细接口!$P752=0,"",[1]对账明细接口!$P752),"")</f>
      </c>
      <c r="V752" s="212">
        <f>IFERROR(IF([1]对账明细接口!$Q752=0,"",[1]对账明细接口!$Q752),"")</f>
      </c>
      <c r="W752" s="20">
        <f>IFERROR(IF([1]对账明细接口!$R752=0,"",[1]对账明细接口!$R752),"")</f>
      </c>
      <c r="X752" s="20">
        <f>IFERROR(IF([1]对账明细接口!$S752=0,"",[1]对账明细接口!$S752),"")</f>
      </c>
      <c r="Y752" s="20">
        <f>IFERROR(IF([1]对账明细接口!$T752=0,"",[1]对账明细接口!$T752),"")</f>
      </c>
      <c r="Z752" s="213">
        <f>IFERROR(IF([1]对账明细接口!$U752=0,"",[1]对账明细接口!$U752),"")</f>
      </c>
      <c r="AA752" s="213">
        <f>IFERROR(IF([1]对账明细接口!$V752=0,"",[1]对账明细接口!$V752),"")</f>
      </c>
      <c r="AB752" s="20">
        <f>IFERROR(IF([1]对账明细接口!$W752=0,"",[1]对账明细接口!$W752),"")</f>
      </c>
      <c r="AC752" s="7">
        <f>IFERROR(IF([1]对账明细接口!$X752=0,"",[1]对账明细接口!$X752),"")</f>
      </c>
      <c r="AD752" s="7">
        <f>IFERROR(IF([1]对账明细接口!$Y752=0,"",[1]对账明细接口!$Y752),"")</f>
      </c>
      <c r="AE752" s="7">
        <f>IFERROR(IF([1]对账明细接口!$AA752=0,"",[1]对账明细接口!$AA752),"")</f>
      </c>
      <c r="AF752" s="7">
        <f>IFERROR(IF([1]对账明细接口!$AB752=0,"",[1]对账明细接口!$AB752),"")</f>
      </c>
      <c r="AG752" s="7">
        <f>IFERROR(IF([1]对账明细接口!$AC752=0,"",[1]对账明细接口!$AC752),"")</f>
      </c>
      <c r="AH752" s="7">
        <f>IFERROR(IF([1]对账明细接口!$AD752=0,"",[1]对账明细接口!$AD752),"")</f>
      </c>
      <c r="AI752" s="7">
        <f>IFERROR(IF([1]对账明细接口!$AE752=0,"",[1]对账明细接口!$AE752),"")</f>
      </c>
      <c r="AJ752" s="7">
        <f>IFERROR(IF([1]对账明细接口!$AF752=0,"",[1]对账明细接口!$AF752),"")</f>
      </c>
    </row>
    <row r="753" ht="14.25" customHeight="1" s="127">
      <c r="A753" s="14" t="n">
        <v>753</v>
      </c>
      <c r="B753" s="211">
        <f>IFERROR(IF([1]对账明细接口!$B$753=0,"",[1]对账明细接口!$B$753),"")</f>
      </c>
      <c r="C753" s="16">
        <f>IFERROR(IF([1]对账明细接口!$C$753=0,"",[1]对账明细接口!$C$753),"")</f>
      </c>
      <c r="D753" s="16">
        <f>IFERROR(IF([1]对账明细接口!$D$753=0,"",[1]对账明细接口!$D$753),"")</f>
      </c>
      <c r="E753" s="16">
        <f>IFERROR(IF([1]对账明细接口!$E$753=0,"",[1]对账明细接口!$E$753),"")</f>
      </c>
      <c r="F753" s="16">
        <f>IFERROR(IF([1]对账明细接口!$F$753=0,"",[1]对账明细接口!$F$753),"")</f>
      </c>
      <c r="G753" s="16">
        <f>IFERROR(IF([1]对账明细接口!$G$753=0,"",[1]对账明细接口!$G$753),"")</f>
      </c>
      <c r="H753" s="176">
        <f>IFERROR(IF([1]对账明细接口!$H$753=0,"",[1]对账明细接口!$H$753),"")</f>
      </c>
      <c r="I753" s="16">
        <f>IFERROR(IF([1]对账明细接口!$I$753=0,"",[1]对账明细接口!$I$753),"")</f>
      </c>
      <c r="J753" s="177">
        <f>IFERROR(IF([1]对账明细接口!$J$753=0,"",[1]对账明细接口!$J$753),"")</f>
      </c>
      <c r="K753" s="177">
        <f>IFERROR(IF([1]对账明细接口!$K$753=0,"",[1]对账明细接口!$K$753),"")</f>
      </c>
      <c r="L753" s="16">
        <f>IFERROR(IF([1]对账明细接口!$L$753=0,"",[1]对账明细接口!$L$753),"")</f>
      </c>
      <c r="M753" s="16">
        <f>IFERROR(IF([1]对账明细接口!$M$753=0,"",[1]对账明细接口!$M$753),"")</f>
      </c>
      <c r="N753" s="19">
        <f>IF($C753="",0,1)</f>
        <v>0</v>
      </c>
      <c r="O753" s="19">
        <f>N(O752)+$N753</f>
        <v>637</v>
      </c>
      <c r="S753" s="20">
        <f>IFERROR(IF([1]对账明细接口!$N753=0,"",[1]对账明细接口!$N753),"")</f>
      </c>
      <c r="T753" s="212">
        <f>IFERROR(IF([1]对账明细接口!$O753=0,"",[1]对账明细接口!$O753),"")</f>
      </c>
      <c r="U753" s="212">
        <f>IFERROR(IF([1]对账明细接口!$P753=0,"",[1]对账明细接口!$P753),"")</f>
      </c>
      <c r="V753" s="212">
        <f>IFERROR(IF([1]对账明细接口!$Q753=0,"",[1]对账明细接口!$Q753),"")</f>
      </c>
      <c r="W753" s="20">
        <f>IFERROR(IF([1]对账明细接口!$R753=0,"",[1]对账明细接口!$R753),"")</f>
      </c>
      <c r="X753" s="20">
        <f>IFERROR(IF([1]对账明细接口!$S753=0,"",[1]对账明细接口!$S753),"")</f>
      </c>
      <c r="Y753" s="20">
        <f>IFERROR(IF([1]对账明细接口!$T753=0,"",[1]对账明细接口!$T753),"")</f>
      </c>
      <c r="Z753" s="213">
        <f>IFERROR(IF([1]对账明细接口!$U753=0,"",[1]对账明细接口!$U753),"")</f>
      </c>
      <c r="AA753" s="213">
        <f>IFERROR(IF([1]对账明细接口!$V753=0,"",[1]对账明细接口!$V753),"")</f>
      </c>
      <c r="AB753" s="20">
        <f>IFERROR(IF([1]对账明细接口!$W753=0,"",[1]对账明细接口!$W753),"")</f>
      </c>
      <c r="AC753" s="7">
        <f>IFERROR(IF([1]对账明细接口!$X753=0,"",[1]对账明细接口!$X753),"")</f>
      </c>
      <c r="AD753" s="7">
        <f>IFERROR(IF([1]对账明细接口!$Y753=0,"",[1]对账明细接口!$Y753),"")</f>
      </c>
      <c r="AE753" s="7">
        <f>IFERROR(IF([1]对账明细接口!$AA753=0,"",[1]对账明细接口!$AA753),"")</f>
      </c>
      <c r="AF753" s="7">
        <f>IFERROR(IF([1]对账明细接口!$AB753=0,"",[1]对账明细接口!$AB753),"")</f>
      </c>
      <c r="AG753" s="7">
        <f>IFERROR(IF([1]对账明细接口!$AC753=0,"",[1]对账明细接口!$AC753),"")</f>
      </c>
      <c r="AH753" s="7">
        <f>IFERROR(IF([1]对账明细接口!$AD753=0,"",[1]对账明细接口!$AD753),"")</f>
      </c>
      <c r="AI753" s="7">
        <f>IFERROR(IF([1]对账明细接口!$AE753=0,"",[1]对账明细接口!$AE753),"")</f>
      </c>
      <c r="AJ753" s="7">
        <f>IFERROR(IF([1]对账明细接口!$AF753=0,"",[1]对账明细接口!$AF753),"")</f>
      </c>
    </row>
    <row r="754" ht="14.25" customHeight="1" s="127">
      <c r="A754" s="14" t="n">
        <v>754</v>
      </c>
      <c r="B754" s="211">
        <f>IFERROR(IF([1]对账明细接口!$B$754=0,"",[1]对账明细接口!$B$754),"")</f>
      </c>
      <c r="C754" s="16">
        <f>IFERROR(IF([1]对账明细接口!$C$754=0,"",[1]对账明细接口!$C$754),"")</f>
      </c>
      <c r="D754" s="16">
        <f>IFERROR(IF([1]对账明细接口!$D$754=0,"",[1]对账明细接口!$D$754),"")</f>
      </c>
      <c r="E754" s="16">
        <f>IFERROR(IF([1]对账明细接口!$E$754=0,"",[1]对账明细接口!$E$754),"")</f>
      </c>
      <c r="F754" s="16">
        <f>IFERROR(IF([1]对账明细接口!$F$754=0,"",[1]对账明细接口!$F$754),"")</f>
      </c>
      <c r="G754" s="16">
        <f>IFERROR(IF([1]对账明细接口!$G$754=0,"",[1]对账明细接口!$G$754),"")</f>
      </c>
      <c r="H754" s="176">
        <f>IFERROR(IF([1]对账明细接口!$H$754=0,"",[1]对账明细接口!$H$754),"")</f>
      </c>
      <c r="I754" s="16">
        <f>IFERROR(IF([1]对账明细接口!$I$754=0,"",[1]对账明细接口!$I$754),"")</f>
      </c>
      <c r="J754" s="177">
        <f>IFERROR(IF([1]对账明细接口!$J$754=0,"",[1]对账明细接口!$J$754),"")</f>
      </c>
      <c r="K754" s="177">
        <f>IFERROR(IF([1]对账明细接口!$K$754=0,"",[1]对账明细接口!$K$754),"")</f>
      </c>
      <c r="L754" s="16">
        <f>IFERROR(IF([1]对账明细接口!$L$754=0,"",[1]对账明细接口!$L$754),"")</f>
      </c>
      <c r="M754" s="16">
        <f>IFERROR(IF([1]对账明细接口!$M$754=0,"",[1]对账明细接口!$M$754),"")</f>
      </c>
      <c r="N754" s="19">
        <f>IF($C754="",0,1)</f>
        <v>0</v>
      </c>
      <c r="O754" s="19">
        <f>N(O753)+$N754</f>
        <v>637</v>
      </c>
      <c r="S754" s="20">
        <f>IFERROR(IF([1]对账明细接口!$N754=0,"",[1]对账明细接口!$N754),"")</f>
      </c>
      <c r="T754" s="212">
        <f>IFERROR(IF([1]对账明细接口!$O754=0,"",[1]对账明细接口!$O754),"")</f>
      </c>
      <c r="U754" s="212">
        <f>IFERROR(IF([1]对账明细接口!$P754=0,"",[1]对账明细接口!$P754),"")</f>
      </c>
      <c r="V754" s="212">
        <f>IFERROR(IF([1]对账明细接口!$Q754=0,"",[1]对账明细接口!$Q754),"")</f>
      </c>
      <c r="W754" s="20">
        <f>IFERROR(IF([1]对账明细接口!$R754=0,"",[1]对账明细接口!$R754),"")</f>
      </c>
      <c r="X754" s="20">
        <f>IFERROR(IF([1]对账明细接口!$S754=0,"",[1]对账明细接口!$S754),"")</f>
      </c>
      <c r="Y754" s="20">
        <f>IFERROR(IF([1]对账明细接口!$T754=0,"",[1]对账明细接口!$T754),"")</f>
      </c>
      <c r="Z754" s="213">
        <f>IFERROR(IF([1]对账明细接口!$U754=0,"",[1]对账明细接口!$U754),"")</f>
      </c>
      <c r="AA754" s="213">
        <f>IFERROR(IF([1]对账明细接口!$V754=0,"",[1]对账明细接口!$V754),"")</f>
      </c>
      <c r="AB754" s="20">
        <f>IFERROR(IF([1]对账明细接口!$W754=0,"",[1]对账明细接口!$W754),"")</f>
      </c>
      <c r="AC754" s="7">
        <f>IFERROR(IF([1]对账明细接口!$X754=0,"",[1]对账明细接口!$X754),"")</f>
      </c>
      <c r="AD754" s="7">
        <f>IFERROR(IF([1]对账明细接口!$Y754=0,"",[1]对账明细接口!$Y754),"")</f>
      </c>
      <c r="AE754" s="7">
        <f>IFERROR(IF([1]对账明细接口!$AA754=0,"",[1]对账明细接口!$AA754),"")</f>
      </c>
      <c r="AF754" s="7">
        <f>IFERROR(IF([1]对账明细接口!$AB754=0,"",[1]对账明细接口!$AB754),"")</f>
      </c>
      <c r="AG754" s="7">
        <f>IFERROR(IF([1]对账明细接口!$AC754=0,"",[1]对账明细接口!$AC754),"")</f>
      </c>
      <c r="AH754" s="7">
        <f>IFERROR(IF([1]对账明细接口!$AD754=0,"",[1]对账明细接口!$AD754),"")</f>
      </c>
      <c r="AI754" s="7">
        <f>IFERROR(IF([1]对账明细接口!$AE754=0,"",[1]对账明细接口!$AE754),"")</f>
      </c>
      <c r="AJ754" s="7">
        <f>IFERROR(IF([1]对账明细接口!$AF754=0,"",[1]对账明细接口!$AF754),"")</f>
      </c>
    </row>
    <row r="755" ht="14.25" customHeight="1" s="127">
      <c r="A755" s="14" t="n">
        <v>755</v>
      </c>
      <c r="B755" s="211">
        <f>IFERROR(IF([1]对账明细接口!$B$755=0,"",[1]对账明细接口!$B$755),"")</f>
      </c>
      <c r="C755" s="16">
        <f>IFERROR(IF([1]对账明细接口!$C$755=0,"",[1]对账明细接口!$C$755),"")</f>
      </c>
      <c r="D755" s="16">
        <f>IFERROR(IF([1]对账明细接口!$D$755=0,"",[1]对账明细接口!$D$755),"")</f>
      </c>
      <c r="E755" s="16">
        <f>IFERROR(IF([1]对账明细接口!$E$755=0,"",[1]对账明细接口!$E$755),"")</f>
      </c>
      <c r="F755" s="16">
        <f>IFERROR(IF([1]对账明细接口!$F$755=0,"",[1]对账明细接口!$F$755),"")</f>
      </c>
      <c r="G755" s="16">
        <f>IFERROR(IF([1]对账明细接口!$G$755=0,"",[1]对账明细接口!$G$755),"")</f>
      </c>
      <c r="H755" s="176">
        <f>IFERROR(IF([1]对账明细接口!$H$755=0,"",[1]对账明细接口!$H$755),"")</f>
      </c>
      <c r="I755" s="16">
        <f>IFERROR(IF([1]对账明细接口!$I$755=0,"",[1]对账明细接口!$I$755),"")</f>
      </c>
      <c r="J755" s="177">
        <f>IFERROR(IF([1]对账明细接口!$J$755=0,"",[1]对账明细接口!$J$755),"")</f>
      </c>
      <c r="K755" s="177">
        <f>IFERROR(IF([1]对账明细接口!$K$755=0,"",[1]对账明细接口!$K$755),"")</f>
      </c>
      <c r="L755" s="16">
        <f>IFERROR(IF([1]对账明细接口!$L$755=0,"",[1]对账明细接口!$L$755),"")</f>
      </c>
      <c r="M755" s="16">
        <f>IFERROR(IF([1]对账明细接口!$M$755=0,"",[1]对账明细接口!$M$755),"")</f>
      </c>
      <c r="N755" s="19">
        <f>IF($C755="",0,1)</f>
        <v>0</v>
      </c>
      <c r="O755" s="19">
        <f>N(O754)+$N755</f>
        <v>637</v>
      </c>
      <c r="S755" s="20">
        <f>IFERROR(IF([1]对账明细接口!$N755=0,"",[1]对账明细接口!$N755),"")</f>
      </c>
      <c r="T755" s="212">
        <f>IFERROR(IF([1]对账明细接口!$O755=0,"",[1]对账明细接口!$O755),"")</f>
      </c>
      <c r="U755" s="212">
        <f>IFERROR(IF([1]对账明细接口!$P755=0,"",[1]对账明细接口!$P755),"")</f>
      </c>
      <c r="V755" s="212">
        <f>IFERROR(IF([1]对账明细接口!$Q755=0,"",[1]对账明细接口!$Q755),"")</f>
      </c>
      <c r="W755" s="20">
        <f>IFERROR(IF([1]对账明细接口!$R755=0,"",[1]对账明细接口!$R755),"")</f>
      </c>
      <c r="X755" s="20">
        <f>IFERROR(IF([1]对账明细接口!$S755=0,"",[1]对账明细接口!$S755),"")</f>
      </c>
      <c r="Y755" s="20">
        <f>IFERROR(IF([1]对账明细接口!$T755=0,"",[1]对账明细接口!$T755),"")</f>
      </c>
      <c r="Z755" s="213">
        <f>IFERROR(IF([1]对账明细接口!$U755=0,"",[1]对账明细接口!$U755),"")</f>
      </c>
      <c r="AA755" s="213">
        <f>IFERROR(IF([1]对账明细接口!$V755=0,"",[1]对账明细接口!$V755),"")</f>
      </c>
      <c r="AB755" s="20">
        <f>IFERROR(IF([1]对账明细接口!$W755=0,"",[1]对账明细接口!$W755),"")</f>
      </c>
      <c r="AC755" s="7">
        <f>IFERROR(IF([1]对账明细接口!$X755=0,"",[1]对账明细接口!$X755),"")</f>
      </c>
      <c r="AD755" s="7">
        <f>IFERROR(IF([1]对账明细接口!$Y755=0,"",[1]对账明细接口!$Y755),"")</f>
      </c>
      <c r="AE755" s="7">
        <f>IFERROR(IF([1]对账明细接口!$AA755=0,"",[1]对账明细接口!$AA755),"")</f>
      </c>
      <c r="AF755" s="7">
        <f>IFERROR(IF([1]对账明细接口!$AB755=0,"",[1]对账明细接口!$AB755),"")</f>
      </c>
      <c r="AG755" s="7">
        <f>IFERROR(IF([1]对账明细接口!$AC755=0,"",[1]对账明细接口!$AC755),"")</f>
      </c>
      <c r="AH755" s="7">
        <f>IFERROR(IF([1]对账明细接口!$AD755=0,"",[1]对账明细接口!$AD755),"")</f>
      </c>
      <c r="AI755" s="7">
        <f>IFERROR(IF([1]对账明细接口!$AE755=0,"",[1]对账明细接口!$AE755),"")</f>
      </c>
      <c r="AJ755" s="7">
        <f>IFERROR(IF([1]对账明细接口!$AF755=0,"",[1]对账明细接口!$AF755),"")</f>
      </c>
    </row>
    <row r="756" ht="14.25" customHeight="1" s="127">
      <c r="A756" s="14" t="n">
        <v>756</v>
      </c>
      <c r="B756" s="211">
        <f>IFERROR(IF([1]对账明细接口!$B$756=0,"",[1]对账明细接口!$B$756),"")</f>
      </c>
      <c r="C756" s="16">
        <f>IFERROR(IF([1]对账明细接口!$C$756=0,"",[1]对账明细接口!$C$756),"")</f>
      </c>
      <c r="D756" s="16">
        <f>IFERROR(IF([1]对账明细接口!$D$756=0,"",[1]对账明细接口!$D$756),"")</f>
      </c>
      <c r="E756" s="16">
        <f>IFERROR(IF([1]对账明细接口!$E$756=0,"",[1]对账明细接口!$E$756),"")</f>
      </c>
      <c r="F756" s="16">
        <f>IFERROR(IF([1]对账明细接口!$F$756=0,"",[1]对账明细接口!$F$756),"")</f>
      </c>
      <c r="G756" s="16">
        <f>IFERROR(IF([1]对账明细接口!$G$756=0,"",[1]对账明细接口!$G$756),"")</f>
      </c>
      <c r="H756" s="176">
        <f>IFERROR(IF([1]对账明细接口!$H$756=0,"",[1]对账明细接口!$H$756),"")</f>
      </c>
      <c r="I756" s="16">
        <f>IFERROR(IF([1]对账明细接口!$I$756=0,"",[1]对账明细接口!$I$756),"")</f>
      </c>
      <c r="J756" s="177">
        <f>IFERROR(IF([1]对账明细接口!$J$756=0,"",[1]对账明细接口!$J$756),"")</f>
      </c>
      <c r="K756" s="177">
        <f>IFERROR(IF([1]对账明细接口!$K$756=0,"",[1]对账明细接口!$K$756),"")</f>
      </c>
      <c r="L756" s="16">
        <f>IFERROR(IF([1]对账明细接口!$L$756=0,"",[1]对账明细接口!$L$756),"")</f>
      </c>
      <c r="M756" s="16">
        <f>IFERROR(IF([1]对账明细接口!$M$756=0,"",[1]对账明细接口!$M$756),"")</f>
      </c>
      <c r="N756" s="19">
        <f>IF($C756="",0,1)</f>
        <v>0</v>
      </c>
      <c r="O756" s="19">
        <f>N(O755)+$N756</f>
        <v>637</v>
      </c>
      <c r="S756" s="20">
        <f>IFERROR(IF([1]对账明细接口!$N756=0,"",[1]对账明细接口!$N756),"")</f>
      </c>
      <c r="T756" s="212">
        <f>IFERROR(IF([1]对账明细接口!$O756=0,"",[1]对账明细接口!$O756),"")</f>
      </c>
      <c r="U756" s="212">
        <f>IFERROR(IF([1]对账明细接口!$P756=0,"",[1]对账明细接口!$P756),"")</f>
      </c>
      <c r="V756" s="212">
        <f>IFERROR(IF([1]对账明细接口!$Q756=0,"",[1]对账明细接口!$Q756),"")</f>
      </c>
      <c r="W756" s="20">
        <f>IFERROR(IF([1]对账明细接口!$R756=0,"",[1]对账明细接口!$R756),"")</f>
      </c>
      <c r="X756" s="20">
        <f>IFERROR(IF([1]对账明细接口!$S756=0,"",[1]对账明细接口!$S756),"")</f>
      </c>
      <c r="Y756" s="20">
        <f>IFERROR(IF([1]对账明细接口!$T756=0,"",[1]对账明细接口!$T756),"")</f>
      </c>
      <c r="Z756" s="213">
        <f>IFERROR(IF([1]对账明细接口!$U756=0,"",[1]对账明细接口!$U756),"")</f>
      </c>
      <c r="AA756" s="213">
        <f>IFERROR(IF([1]对账明细接口!$V756=0,"",[1]对账明细接口!$V756),"")</f>
      </c>
      <c r="AB756" s="20">
        <f>IFERROR(IF([1]对账明细接口!$W756=0,"",[1]对账明细接口!$W756),"")</f>
      </c>
      <c r="AC756" s="7">
        <f>IFERROR(IF([1]对账明细接口!$X756=0,"",[1]对账明细接口!$X756),"")</f>
      </c>
      <c r="AD756" s="7">
        <f>IFERROR(IF([1]对账明细接口!$Y756=0,"",[1]对账明细接口!$Y756),"")</f>
      </c>
      <c r="AE756" s="7">
        <f>IFERROR(IF([1]对账明细接口!$AA756=0,"",[1]对账明细接口!$AA756),"")</f>
      </c>
      <c r="AF756" s="7">
        <f>IFERROR(IF([1]对账明细接口!$AB756=0,"",[1]对账明细接口!$AB756),"")</f>
      </c>
      <c r="AG756" s="7">
        <f>IFERROR(IF([1]对账明细接口!$AC756=0,"",[1]对账明细接口!$AC756),"")</f>
      </c>
      <c r="AH756" s="7">
        <f>IFERROR(IF([1]对账明细接口!$AD756=0,"",[1]对账明细接口!$AD756),"")</f>
      </c>
      <c r="AI756" s="7">
        <f>IFERROR(IF([1]对账明细接口!$AE756=0,"",[1]对账明细接口!$AE756),"")</f>
      </c>
      <c r="AJ756" s="7">
        <f>IFERROR(IF([1]对账明细接口!$AF756=0,"",[1]对账明细接口!$AF756),"")</f>
      </c>
    </row>
    <row r="757" ht="14.25" customHeight="1" s="127">
      <c r="A757" s="14" t="n">
        <v>757</v>
      </c>
      <c r="B757" s="211">
        <f>IFERROR(IF([1]对账明细接口!$B$757=0,"",[1]对账明细接口!$B$757),"")</f>
      </c>
      <c r="C757" s="16">
        <f>IFERROR(IF([1]对账明细接口!$C$757=0,"",[1]对账明细接口!$C$757),"")</f>
      </c>
      <c r="D757" s="16">
        <f>IFERROR(IF([1]对账明细接口!$D$757=0,"",[1]对账明细接口!$D$757),"")</f>
      </c>
      <c r="E757" s="16">
        <f>IFERROR(IF([1]对账明细接口!$E$757=0,"",[1]对账明细接口!$E$757),"")</f>
      </c>
      <c r="F757" s="16">
        <f>IFERROR(IF([1]对账明细接口!$F$757=0,"",[1]对账明细接口!$F$757),"")</f>
      </c>
      <c r="G757" s="16">
        <f>IFERROR(IF([1]对账明细接口!$G$757=0,"",[1]对账明细接口!$G$757),"")</f>
      </c>
      <c r="H757" s="176">
        <f>IFERROR(IF([1]对账明细接口!$H$757=0,"",[1]对账明细接口!$H$757),"")</f>
      </c>
      <c r="I757" s="16">
        <f>IFERROR(IF([1]对账明细接口!$I$757=0,"",[1]对账明细接口!$I$757),"")</f>
      </c>
      <c r="J757" s="177">
        <f>IFERROR(IF([1]对账明细接口!$J$757=0,"",[1]对账明细接口!$J$757),"")</f>
      </c>
      <c r="K757" s="177">
        <f>IFERROR(IF([1]对账明细接口!$K$757=0,"",[1]对账明细接口!$K$757),"")</f>
      </c>
      <c r="L757" s="16">
        <f>IFERROR(IF([1]对账明细接口!$L$757=0,"",[1]对账明细接口!$L$757),"")</f>
      </c>
      <c r="M757" s="16">
        <f>IFERROR(IF([1]对账明细接口!$M$757=0,"",[1]对账明细接口!$M$757),"")</f>
      </c>
      <c r="N757" s="19">
        <f>IF($C757="",0,1)</f>
        <v>0</v>
      </c>
      <c r="O757" s="19">
        <f>N(O756)+$N757</f>
        <v>637</v>
      </c>
      <c r="S757" s="20">
        <f>IFERROR(IF([1]对账明细接口!$N757=0,"",[1]对账明细接口!$N757),"")</f>
      </c>
      <c r="T757" s="212">
        <f>IFERROR(IF([1]对账明细接口!$O757=0,"",[1]对账明细接口!$O757),"")</f>
      </c>
      <c r="U757" s="212">
        <f>IFERROR(IF([1]对账明细接口!$P757=0,"",[1]对账明细接口!$P757),"")</f>
      </c>
      <c r="V757" s="212">
        <f>IFERROR(IF([1]对账明细接口!$Q757=0,"",[1]对账明细接口!$Q757),"")</f>
      </c>
      <c r="W757" s="20">
        <f>IFERROR(IF([1]对账明细接口!$R757=0,"",[1]对账明细接口!$R757),"")</f>
      </c>
      <c r="X757" s="20">
        <f>IFERROR(IF([1]对账明细接口!$S757=0,"",[1]对账明细接口!$S757),"")</f>
      </c>
      <c r="Y757" s="20">
        <f>IFERROR(IF([1]对账明细接口!$T757=0,"",[1]对账明细接口!$T757),"")</f>
      </c>
      <c r="Z757" s="213">
        <f>IFERROR(IF([1]对账明细接口!$U757=0,"",[1]对账明细接口!$U757),"")</f>
      </c>
      <c r="AA757" s="213">
        <f>IFERROR(IF([1]对账明细接口!$V757=0,"",[1]对账明细接口!$V757),"")</f>
      </c>
      <c r="AB757" s="20">
        <f>IFERROR(IF([1]对账明细接口!$W757=0,"",[1]对账明细接口!$W757),"")</f>
      </c>
      <c r="AC757" s="7">
        <f>IFERROR(IF([1]对账明细接口!$X757=0,"",[1]对账明细接口!$X757),"")</f>
      </c>
      <c r="AD757" s="7">
        <f>IFERROR(IF([1]对账明细接口!$Y757=0,"",[1]对账明细接口!$Y757),"")</f>
      </c>
      <c r="AE757" s="7">
        <f>IFERROR(IF([1]对账明细接口!$AA757=0,"",[1]对账明细接口!$AA757),"")</f>
      </c>
      <c r="AF757" s="7">
        <f>IFERROR(IF([1]对账明细接口!$AB757=0,"",[1]对账明细接口!$AB757),"")</f>
      </c>
      <c r="AG757" s="7">
        <f>IFERROR(IF([1]对账明细接口!$AC757=0,"",[1]对账明细接口!$AC757),"")</f>
      </c>
      <c r="AH757" s="7">
        <f>IFERROR(IF([1]对账明细接口!$AD757=0,"",[1]对账明细接口!$AD757),"")</f>
      </c>
      <c r="AI757" s="7">
        <f>IFERROR(IF([1]对账明细接口!$AE757=0,"",[1]对账明细接口!$AE757),"")</f>
      </c>
      <c r="AJ757" s="7">
        <f>IFERROR(IF([1]对账明细接口!$AF757=0,"",[1]对账明细接口!$AF757),"")</f>
      </c>
    </row>
    <row r="758" ht="14.25" customHeight="1" s="127">
      <c r="A758" s="14" t="n">
        <v>758</v>
      </c>
      <c r="B758" s="211">
        <f>IFERROR(IF([1]对账明细接口!$B$758=0,"",[1]对账明细接口!$B$758),"")</f>
      </c>
      <c r="C758" s="16">
        <f>IFERROR(IF([1]对账明细接口!$C$758=0,"",[1]对账明细接口!$C$758),"")</f>
      </c>
      <c r="D758" s="16">
        <f>IFERROR(IF([1]对账明细接口!$D$758=0,"",[1]对账明细接口!$D$758),"")</f>
      </c>
      <c r="E758" s="16">
        <f>IFERROR(IF([1]对账明细接口!$E$758=0,"",[1]对账明细接口!$E$758),"")</f>
      </c>
      <c r="F758" s="16">
        <f>IFERROR(IF([1]对账明细接口!$F$758=0,"",[1]对账明细接口!$F$758),"")</f>
      </c>
      <c r="G758" s="16">
        <f>IFERROR(IF([1]对账明细接口!$G$758=0,"",[1]对账明细接口!$G$758),"")</f>
      </c>
      <c r="H758" s="176">
        <f>IFERROR(IF([1]对账明细接口!$H$758=0,"",[1]对账明细接口!$H$758),"")</f>
      </c>
      <c r="I758" s="16">
        <f>IFERROR(IF([1]对账明细接口!$I$758=0,"",[1]对账明细接口!$I$758),"")</f>
      </c>
      <c r="J758" s="177">
        <f>IFERROR(IF([1]对账明细接口!$J$758=0,"",[1]对账明细接口!$J$758),"")</f>
      </c>
      <c r="K758" s="177">
        <f>IFERROR(IF([1]对账明细接口!$K$758=0,"",[1]对账明细接口!$K$758),"")</f>
      </c>
      <c r="L758" s="16">
        <f>IFERROR(IF([1]对账明细接口!$L$758=0,"",[1]对账明细接口!$L$758),"")</f>
      </c>
      <c r="M758" s="16">
        <f>IFERROR(IF([1]对账明细接口!$M$758=0,"",[1]对账明细接口!$M$758),"")</f>
      </c>
      <c r="N758" s="19">
        <f>IF($C758="",0,1)</f>
        <v>0</v>
      </c>
      <c r="O758" s="19">
        <f>N(O757)+$N758</f>
        <v>637</v>
      </c>
      <c r="S758" s="20">
        <f>IFERROR(IF([1]对账明细接口!$N758=0,"",[1]对账明细接口!$N758),"")</f>
      </c>
      <c r="T758" s="212">
        <f>IFERROR(IF([1]对账明细接口!$O758=0,"",[1]对账明细接口!$O758),"")</f>
      </c>
      <c r="U758" s="212">
        <f>IFERROR(IF([1]对账明细接口!$P758=0,"",[1]对账明细接口!$P758),"")</f>
      </c>
      <c r="V758" s="212">
        <f>IFERROR(IF([1]对账明细接口!$Q758=0,"",[1]对账明细接口!$Q758),"")</f>
      </c>
      <c r="W758" s="20">
        <f>IFERROR(IF([1]对账明细接口!$R758=0,"",[1]对账明细接口!$R758),"")</f>
      </c>
      <c r="X758" s="20">
        <f>IFERROR(IF([1]对账明细接口!$S758=0,"",[1]对账明细接口!$S758),"")</f>
      </c>
      <c r="Y758" s="20">
        <f>IFERROR(IF([1]对账明细接口!$T758=0,"",[1]对账明细接口!$T758),"")</f>
      </c>
      <c r="Z758" s="213">
        <f>IFERROR(IF([1]对账明细接口!$U758=0,"",[1]对账明细接口!$U758),"")</f>
      </c>
      <c r="AA758" s="213">
        <f>IFERROR(IF([1]对账明细接口!$V758=0,"",[1]对账明细接口!$V758),"")</f>
      </c>
      <c r="AB758" s="20">
        <f>IFERROR(IF([1]对账明细接口!$W758=0,"",[1]对账明细接口!$W758),"")</f>
      </c>
      <c r="AC758" s="7">
        <f>IFERROR(IF([1]对账明细接口!$X758=0,"",[1]对账明细接口!$X758),"")</f>
      </c>
      <c r="AD758" s="7">
        <f>IFERROR(IF([1]对账明细接口!$Y758=0,"",[1]对账明细接口!$Y758),"")</f>
      </c>
      <c r="AE758" s="7">
        <f>IFERROR(IF([1]对账明细接口!$AA758=0,"",[1]对账明细接口!$AA758),"")</f>
      </c>
      <c r="AF758" s="7">
        <f>IFERROR(IF([1]对账明细接口!$AB758=0,"",[1]对账明细接口!$AB758),"")</f>
      </c>
      <c r="AG758" s="7">
        <f>IFERROR(IF([1]对账明细接口!$AC758=0,"",[1]对账明细接口!$AC758),"")</f>
      </c>
      <c r="AH758" s="7">
        <f>IFERROR(IF([1]对账明细接口!$AD758=0,"",[1]对账明细接口!$AD758),"")</f>
      </c>
      <c r="AI758" s="7">
        <f>IFERROR(IF([1]对账明细接口!$AE758=0,"",[1]对账明细接口!$AE758),"")</f>
      </c>
      <c r="AJ758" s="7">
        <f>IFERROR(IF([1]对账明细接口!$AF758=0,"",[1]对账明细接口!$AF758),"")</f>
      </c>
    </row>
    <row r="759" ht="14.25" customHeight="1" s="127">
      <c r="A759" s="14" t="n">
        <v>759</v>
      </c>
      <c r="B759" s="211">
        <f>IFERROR(IF([1]对账明细接口!$B$759=0,"",[1]对账明细接口!$B$759),"")</f>
      </c>
      <c r="C759" s="16">
        <f>IFERROR(IF([1]对账明细接口!$C$759=0,"",[1]对账明细接口!$C$759),"")</f>
      </c>
      <c r="D759" s="16">
        <f>IFERROR(IF([1]对账明细接口!$D$759=0,"",[1]对账明细接口!$D$759),"")</f>
      </c>
      <c r="E759" s="16">
        <f>IFERROR(IF([1]对账明细接口!$E$759=0,"",[1]对账明细接口!$E$759),"")</f>
      </c>
      <c r="F759" s="16">
        <f>IFERROR(IF([1]对账明细接口!$F$759=0,"",[1]对账明细接口!$F$759),"")</f>
      </c>
      <c r="G759" s="16">
        <f>IFERROR(IF([1]对账明细接口!$G$759=0,"",[1]对账明细接口!$G$759),"")</f>
      </c>
      <c r="H759" s="176">
        <f>IFERROR(IF([1]对账明细接口!$H$759=0,"",[1]对账明细接口!$H$759),"")</f>
      </c>
      <c r="I759" s="16">
        <f>IFERROR(IF([1]对账明细接口!$I$759=0,"",[1]对账明细接口!$I$759),"")</f>
      </c>
      <c r="J759" s="177">
        <f>IFERROR(IF([1]对账明细接口!$J$759=0,"",[1]对账明细接口!$J$759),"")</f>
      </c>
      <c r="K759" s="177">
        <f>IFERROR(IF([1]对账明细接口!$K$759=0,"",[1]对账明细接口!$K$759),"")</f>
      </c>
      <c r="L759" s="16">
        <f>IFERROR(IF([1]对账明细接口!$L$759=0,"",[1]对账明细接口!$L$759),"")</f>
      </c>
      <c r="M759" s="16">
        <f>IFERROR(IF([1]对账明细接口!$M$759=0,"",[1]对账明细接口!$M$759),"")</f>
      </c>
      <c r="N759" s="19">
        <f>IF($C759="",0,1)</f>
        <v>0</v>
      </c>
      <c r="O759" s="19">
        <f>N(O758)+$N759</f>
        <v>637</v>
      </c>
      <c r="S759" s="20">
        <f>IFERROR(IF([1]对账明细接口!$N759=0,"",[1]对账明细接口!$N759),"")</f>
      </c>
      <c r="T759" s="212">
        <f>IFERROR(IF([1]对账明细接口!$O759=0,"",[1]对账明细接口!$O759),"")</f>
      </c>
      <c r="U759" s="212">
        <f>IFERROR(IF([1]对账明细接口!$P759=0,"",[1]对账明细接口!$P759),"")</f>
      </c>
      <c r="V759" s="212">
        <f>IFERROR(IF([1]对账明细接口!$Q759=0,"",[1]对账明细接口!$Q759),"")</f>
      </c>
      <c r="W759" s="20">
        <f>IFERROR(IF([1]对账明细接口!$R759=0,"",[1]对账明细接口!$R759),"")</f>
      </c>
      <c r="X759" s="20">
        <f>IFERROR(IF([1]对账明细接口!$S759=0,"",[1]对账明细接口!$S759),"")</f>
      </c>
      <c r="Y759" s="20">
        <f>IFERROR(IF([1]对账明细接口!$T759=0,"",[1]对账明细接口!$T759),"")</f>
      </c>
      <c r="Z759" s="213">
        <f>IFERROR(IF([1]对账明细接口!$U759=0,"",[1]对账明细接口!$U759),"")</f>
      </c>
      <c r="AA759" s="213">
        <f>IFERROR(IF([1]对账明细接口!$V759=0,"",[1]对账明细接口!$V759),"")</f>
      </c>
      <c r="AB759" s="20">
        <f>IFERROR(IF([1]对账明细接口!$W759=0,"",[1]对账明细接口!$W759),"")</f>
      </c>
      <c r="AC759" s="7">
        <f>IFERROR(IF([1]对账明细接口!$X759=0,"",[1]对账明细接口!$X759),"")</f>
      </c>
      <c r="AD759" s="7">
        <f>IFERROR(IF([1]对账明细接口!$Y759=0,"",[1]对账明细接口!$Y759),"")</f>
      </c>
      <c r="AE759" s="7">
        <f>IFERROR(IF([1]对账明细接口!$AA759=0,"",[1]对账明细接口!$AA759),"")</f>
      </c>
      <c r="AF759" s="7">
        <f>IFERROR(IF([1]对账明细接口!$AB759=0,"",[1]对账明细接口!$AB759),"")</f>
      </c>
      <c r="AG759" s="7">
        <f>IFERROR(IF([1]对账明细接口!$AC759=0,"",[1]对账明细接口!$AC759),"")</f>
      </c>
      <c r="AH759" s="7">
        <f>IFERROR(IF([1]对账明细接口!$AD759=0,"",[1]对账明细接口!$AD759),"")</f>
      </c>
      <c r="AI759" s="7">
        <f>IFERROR(IF([1]对账明细接口!$AE759=0,"",[1]对账明细接口!$AE759),"")</f>
      </c>
      <c r="AJ759" s="7">
        <f>IFERROR(IF([1]对账明细接口!$AF759=0,"",[1]对账明细接口!$AF759),"")</f>
      </c>
    </row>
    <row r="760" ht="14.25" customHeight="1" s="127">
      <c r="A760" s="14" t="n">
        <v>760</v>
      </c>
      <c r="B760" s="211">
        <f>IFERROR(IF([1]对账明细接口!$B$760=0,"",[1]对账明细接口!$B$760),"")</f>
      </c>
      <c r="C760" s="16">
        <f>IFERROR(IF([1]对账明细接口!$C$760=0,"",[1]对账明细接口!$C$760),"")</f>
      </c>
      <c r="D760" s="16">
        <f>IFERROR(IF([1]对账明细接口!$D$760=0,"",[1]对账明细接口!$D$760),"")</f>
      </c>
      <c r="E760" s="16">
        <f>IFERROR(IF([1]对账明细接口!$E$760=0,"",[1]对账明细接口!$E$760),"")</f>
      </c>
      <c r="F760" s="16">
        <f>IFERROR(IF([1]对账明细接口!$F$760=0,"",[1]对账明细接口!$F$760),"")</f>
      </c>
      <c r="G760" s="16">
        <f>IFERROR(IF([1]对账明细接口!$G$760=0,"",[1]对账明细接口!$G$760),"")</f>
      </c>
      <c r="H760" s="176">
        <f>IFERROR(IF([1]对账明细接口!$H$760=0,"",[1]对账明细接口!$H$760),"")</f>
      </c>
      <c r="I760" s="16">
        <f>IFERROR(IF([1]对账明细接口!$I$760=0,"",[1]对账明细接口!$I$760),"")</f>
      </c>
      <c r="J760" s="177">
        <f>IFERROR(IF([1]对账明细接口!$J$760=0,"",[1]对账明细接口!$J$760),"")</f>
      </c>
      <c r="K760" s="177">
        <f>IFERROR(IF([1]对账明细接口!$K$760=0,"",[1]对账明细接口!$K$760),"")</f>
      </c>
      <c r="L760" s="16">
        <f>IFERROR(IF([1]对账明细接口!$L$760=0,"",[1]对账明细接口!$L$760),"")</f>
      </c>
      <c r="M760" s="16">
        <f>IFERROR(IF([1]对账明细接口!$M$760=0,"",[1]对账明细接口!$M$760),"")</f>
      </c>
      <c r="N760" s="19">
        <f>IF($C760="",0,1)</f>
        <v>0</v>
      </c>
      <c r="O760" s="19">
        <f>N(O759)+$N760</f>
        <v>637</v>
      </c>
      <c r="S760" s="20">
        <f>IFERROR(IF([1]对账明细接口!$N760=0,"",[1]对账明细接口!$N760),"")</f>
      </c>
      <c r="T760" s="212">
        <f>IFERROR(IF([1]对账明细接口!$O760=0,"",[1]对账明细接口!$O760),"")</f>
      </c>
      <c r="U760" s="212">
        <f>IFERROR(IF([1]对账明细接口!$P760=0,"",[1]对账明细接口!$P760),"")</f>
      </c>
      <c r="V760" s="212">
        <f>IFERROR(IF([1]对账明细接口!$Q760=0,"",[1]对账明细接口!$Q760),"")</f>
      </c>
      <c r="W760" s="20">
        <f>IFERROR(IF([1]对账明细接口!$R760=0,"",[1]对账明细接口!$R760),"")</f>
      </c>
      <c r="X760" s="20">
        <f>IFERROR(IF([1]对账明细接口!$S760=0,"",[1]对账明细接口!$S760),"")</f>
      </c>
      <c r="Y760" s="20">
        <f>IFERROR(IF([1]对账明细接口!$T760=0,"",[1]对账明细接口!$T760),"")</f>
      </c>
      <c r="Z760" s="213">
        <f>IFERROR(IF([1]对账明细接口!$U760=0,"",[1]对账明细接口!$U760),"")</f>
      </c>
      <c r="AA760" s="213">
        <f>IFERROR(IF([1]对账明细接口!$V760=0,"",[1]对账明细接口!$V760),"")</f>
      </c>
      <c r="AB760" s="20">
        <f>IFERROR(IF([1]对账明细接口!$W760=0,"",[1]对账明细接口!$W760),"")</f>
      </c>
      <c r="AC760" s="7">
        <f>IFERROR(IF([1]对账明细接口!$X760=0,"",[1]对账明细接口!$X760),"")</f>
      </c>
      <c r="AD760" s="7">
        <f>IFERROR(IF([1]对账明细接口!$Y760=0,"",[1]对账明细接口!$Y760),"")</f>
      </c>
      <c r="AE760" s="7">
        <f>IFERROR(IF([1]对账明细接口!$AA760=0,"",[1]对账明细接口!$AA760),"")</f>
      </c>
      <c r="AF760" s="7">
        <f>IFERROR(IF([1]对账明细接口!$AB760=0,"",[1]对账明细接口!$AB760),"")</f>
      </c>
      <c r="AG760" s="7">
        <f>IFERROR(IF([1]对账明细接口!$AC760=0,"",[1]对账明细接口!$AC760),"")</f>
      </c>
      <c r="AH760" s="7">
        <f>IFERROR(IF([1]对账明细接口!$AD760=0,"",[1]对账明细接口!$AD760),"")</f>
      </c>
      <c r="AI760" s="7">
        <f>IFERROR(IF([1]对账明细接口!$AE760=0,"",[1]对账明细接口!$AE760),"")</f>
      </c>
      <c r="AJ760" s="7">
        <f>IFERROR(IF([1]对账明细接口!$AF760=0,"",[1]对账明细接口!$AF760),"")</f>
      </c>
    </row>
    <row r="761" ht="14.25" customHeight="1" s="127">
      <c r="A761" s="14" t="n">
        <v>761</v>
      </c>
      <c r="B761" s="211">
        <f>IFERROR(IF([1]对账明细接口!$B$761=0,"",[1]对账明细接口!$B$761),"")</f>
      </c>
      <c r="C761" s="16">
        <f>IFERROR(IF([1]对账明细接口!$C$761=0,"",[1]对账明细接口!$C$761),"")</f>
      </c>
      <c r="D761" s="16">
        <f>IFERROR(IF([1]对账明细接口!$D$761=0,"",[1]对账明细接口!$D$761),"")</f>
      </c>
      <c r="E761" s="16">
        <f>IFERROR(IF([1]对账明细接口!$E$761=0,"",[1]对账明细接口!$E$761),"")</f>
      </c>
      <c r="F761" s="16">
        <f>IFERROR(IF([1]对账明细接口!$F$761=0,"",[1]对账明细接口!$F$761),"")</f>
      </c>
      <c r="G761" s="16">
        <f>IFERROR(IF([1]对账明细接口!$G$761=0,"",[1]对账明细接口!$G$761),"")</f>
      </c>
      <c r="H761" s="176">
        <f>IFERROR(IF([1]对账明细接口!$H$761=0,"",[1]对账明细接口!$H$761),"")</f>
      </c>
      <c r="I761" s="16">
        <f>IFERROR(IF([1]对账明细接口!$I$761=0,"",[1]对账明细接口!$I$761),"")</f>
      </c>
      <c r="J761" s="177">
        <f>IFERROR(IF([1]对账明细接口!$J$761=0,"",[1]对账明细接口!$J$761),"")</f>
      </c>
      <c r="K761" s="177">
        <f>IFERROR(IF([1]对账明细接口!$K$761=0,"",[1]对账明细接口!$K$761),"")</f>
      </c>
      <c r="L761" s="16">
        <f>IFERROR(IF([1]对账明细接口!$L$761=0,"",[1]对账明细接口!$L$761),"")</f>
      </c>
      <c r="M761" s="16">
        <f>IFERROR(IF([1]对账明细接口!$M$761=0,"",[1]对账明细接口!$M$761),"")</f>
      </c>
      <c r="N761" s="19">
        <f>IF($C761="",0,1)</f>
        <v>0</v>
      </c>
      <c r="O761" s="19">
        <f>N(O760)+$N761</f>
        <v>637</v>
      </c>
      <c r="S761" s="20">
        <f>IFERROR(IF([1]对账明细接口!$N761=0,"",[1]对账明细接口!$N761),"")</f>
      </c>
      <c r="T761" s="212">
        <f>IFERROR(IF([1]对账明细接口!$O761=0,"",[1]对账明细接口!$O761),"")</f>
      </c>
      <c r="U761" s="212">
        <f>IFERROR(IF([1]对账明细接口!$P761=0,"",[1]对账明细接口!$P761),"")</f>
      </c>
      <c r="V761" s="212">
        <f>IFERROR(IF([1]对账明细接口!$Q761=0,"",[1]对账明细接口!$Q761),"")</f>
      </c>
      <c r="W761" s="20">
        <f>IFERROR(IF([1]对账明细接口!$R761=0,"",[1]对账明细接口!$R761),"")</f>
      </c>
      <c r="X761" s="20">
        <f>IFERROR(IF([1]对账明细接口!$S761=0,"",[1]对账明细接口!$S761),"")</f>
      </c>
      <c r="Y761" s="20">
        <f>IFERROR(IF([1]对账明细接口!$T761=0,"",[1]对账明细接口!$T761),"")</f>
      </c>
      <c r="Z761" s="213">
        <f>IFERROR(IF([1]对账明细接口!$U761=0,"",[1]对账明细接口!$U761),"")</f>
      </c>
      <c r="AA761" s="213">
        <f>IFERROR(IF([1]对账明细接口!$V761=0,"",[1]对账明细接口!$V761),"")</f>
      </c>
      <c r="AB761" s="20">
        <f>IFERROR(IF([1]对账明细接口!$W761=0,"",[1]对账明细接口!$W761),"")</f>
      </c>
      <c r="AC761" s="7">
        <f>IFERROR(IF([1]对账明细接口!$X761=0,"",[1]对账明细接口!$X761),"")</f>
      </c>
      <c r="AD761" s="7">
        <f>IFERROR(IF([1]对账明细接口!$Y761=0,"",[1]对账明细接口!$Y761),"")</f>
      </c>
      <c r="AE761" s="7">
        <f>IFERROR(IF([1]对账明细接口!$AA761=0,"",[1]对账明细接口!$AA761),"")</f>
      </c>
      <c r="AF761" s="7">
        <f>IFERROR(IF([1]对账明细接口!$AB761=0,"",[1]对账明细接口!$AB761),"")</f>
      </c>
      <c r="AG761" s="7">
        <f>IFERROR(IF([1]对账明细接口!$AC761=0,"",[1]对账明细接口!$AC761),"")</f>
      </c>
      <c r="AH761" s="7">
        <f>IFERROR(IF([1]对账明细接口!$AD761=0,"",[1]对账明细接口!$AD761),"")</f>
      </c>
      <c r="AI761" s="7">
        <f>IFERROR(IF([1]对账明细接口!$AE761=0,"",[1]对账明细接口!$AE761),"")</f>
      </c>
      <c r="AJ761" s="7">
        <f>IFERROR(IF([1]对账明细接口!$AF761=0,"",[1]对账明细接口!$AF761),"")</f>
      </c>
    </row>
    <row r="762" ht="14.25" customHeight="1" s="127">
      <c r="A762" s="14" t="n">
        <v>762</v>
      </c>
      <c r="B762" s="211">
        <f>IFERROR(IF([1]对账明细接口!$B$762=0,"",[1]对账明细接口!$B$762),"")</f>
      </c>
      <c r="C762" s="16">
        <f>IFERROR(IF([1]对账明细接口!$C$762=0,"",[1]对账明细接口!$C$762),"")</f>
      </c>
      <c r="D762" s="16">
        <f>IFERROR(IF([1]对账明细接口!$D$762=0,"",[1]对账明细接口!$D$762),"")</f>
      </c>
      <c r="E762" s="16">
        <f>IFERROR(IF([1]对账明细接口!$E$762=0,"",[1]对账明细接口!$E$762),"")</f>
      </c>
      <c r="F762" s="16">
        <f>IFERROR(IF([1]对账明细接口!$F$762=0,"",[1]对账明细接口!$F$762),"")</f>
      </c>
      <c r="G762" s="16">
        <f>IFERROR(IF([1]对账明细接口!$G$762=0,"",[1]对账明细接口!$G$762),"")</f>
      </c>
      <c r="H762" s="176">
        <f>IFERROR(IF([1]对账明细接口!$H$762=0,"",[1]对账明细接口!$H$762),"")</f>
      </c>
      <c r="I762" s="16">
        <f>IFERROR(IF([1]对账明细接口!$I$762=0,"",[1]对账明细接口!$I$762),"")</f>
      </c>
      <c r="J762" s="177">
        <f>IFERROR(IF([1]对账明细接口!$J$762=0,"",[1]对账明细接口!$J$762),"")</f>
      </c>
      <c r="K762" s="177">
        <f>IFERROR(IF([1]对账明细接口!$K$762=0,"",[1]对账明细接口!$K$762),"")</f>
      </c>
      <c r="L762" s="16">
        <f>IFERROR(IF([1]对账明细接口!$L$762=0,"",[1]对账明细接口!$L$762),"")</f>
      </c>
      <c r="M762" s="16">
        <f>IFERROR(IF([1]对账明细接口!$M$762=0,"",[1]对账明细接口!$M$762),"")</f>
      </c>
      <c r="N762" s="19">
        <f>IF($C762="",0,1)</f>
        <v>0</v>
      </c>
      <c r="O762" s="19">
        <f>N(O761)+$N762</f>
        <v>637</v>
      </c>
      <c r="S762" s="20">
        <f>IFERROR(IF([1]对账明细接口!$N762=0,"",[1]对账明细接口!$N762),"")</f>
      </c>
      <c r="T762" s="212">
        <f>IFERROR(IF([1]对账明细接口!$O762=0,"",[1]对账明细接口!$O762),"")</f>
      </c>
      <c r="U762" s="212">
        <f>IFERROR(IF([1]对账明细接口!$P762=0,"",[1]对账明细接口!$P762),"")</f>
      </c>
      <c r="V762" s="212">
        <f>IFERROR(IF([1]对账明细接口!$Q762=0,"",[1]对账明细接口!$Q762),"")</f>
      </c>
      <c r="W762" s="20">
        <f>IFERROR(IF([1]对账明细接口!$R762=0,"",[1]对账明细接口!$R762),"")</f>
      </c>
      <c r="X762" s="20">
        <f>IFERROR(IF([1]对账明细接口!$S762=0,"",[1]对账明细接口!$S762),"")</f>
      </c>
      <c r="Y762" s="20">
        <f>IFERROR(IF([1]对账明细接口!$T762=0,"",[1]对账明细接口!$T762),"")</f>
      </c>
      <c r="Z762" s="213">
        <f>IFERROR(IF([1]对账明细接口!$U762=0,"",[1]对账明细接口!$U762),"")</f>
      </c>
      <c r="AA762" s="213">
        <f>IFERROR(IF([1]对账明细接口!$V762=0,"",[1]对账明细接口!$V762),"")</f>
      </c>
      <c r="AB762" s="20">
        <f>IFERROR(IF([1]对账明细接口!$W762=0,"",[1]对账明细接口!$W762),"")</f>
      </c>
      <c r="AC762" s="7">
        <f>IFERROR(IF([1]对账明细接口!$X762=0,"",[1]对账明细接口!$X762),"")</f>
      </c>
      <c r="AD762" s="7">
        <f>IFERROR(IF([1]对账明细接口!$Y762=0,"",[1]对账明细接口!$Y762),"")</f>
      </c>
      <c r="AE762" s="7">
        <f>IFERROR(IF([1]对账明细接口!$AA762=0,"",[1]对账明细接口!$AA762),"")</f>
      </c>
      <c r="AF762" s="7">
        <f>IFERROR(IF([1]对账明细接口!$AB762=0,"",[1]对账明细接口!$AB762),"")</f>
      </c>
      <c r="AG762" s="7">
        <f>IFERROR(IF([1]对账明细接口!$AC762=0,"",[1]对账明细接口!$AC762),"")</f>
      </c>
      <c r="AH762" s="7">
        <f>IFERROR(IF([1]对账明细接口!$AD762=0,"",[1]对账明细接口!$AD762),"")</f>
      </c>
      <c r="AI762" s="7">
        <f>IFERROR(IF([1]对账明细接口!$AE762=0,"",[1]对账明细接口!$AE762),"")</f>
      </c>
      <c r="AJ762" s="7">
        <f>IFERROR(IF([1]对账明细接口!$AF762=0,"",[1]对账明细接口!$AF762),"")</f>
      </c>
    </row>
    <row r="763" ht="14.25" customHeight="1" s="127">
      <c r="A763" s="14" t="n">
        <v>763</v>
      </c>
      <c r="B763" s="211">
        <f>IFERROR(IF([1]对账明细接口!$B$763=0,"",[1]对账明细接口!$B$763),"")</f>
      </c>
      <c r="C763" s="16">
        <f>IFERROR(IF([1]对账明细接口!$C$763=0,"",[1]对账明细接口!$C$763),"")</f>
      </c>
      <c r="D763" s="16">
        <f>IFERROR(IF([1]对账明细接口!$D$763=0,"",[1]对账明细接口!$D$763),"")</f>
      </c>
      <c r="E763" s="16">
        <f>IFERROR(IF([1]对账明细接口!$E$763=0,"",[1]对账明细接口!$E$763),"")</f>
      </c>
      <c r="F763" s="16">
        <f>IFERROR(IF([1]对账明细接口!$F$763=0,"",[1]对账明细接口!$F$763),"")</f>
      </c>
      <c r="G763" s="16">
        <f>IFERROR(IF([1]对账明细接口!$G$763=0,"",[1]对账明细接口!$G$763),"")</f>
      </c>
      <c r="H763" s="176">
        <f>IFERROR(IF([1]对账明细接口!$H$763=0,"",[1]对账明细接口!$H$763),"")</f>
      </c>
      <c r="I763" s="16">
        <f>IFERROR(IF([1]对账明细接口!$I$763=0,"",[1]对账明细接口!$I$763),"")</f>
      </c>
      <c r="J763" s="177">
        <f>IFERROR(IF([1]对账明细接口!$J$763=0,"",[1]对账明细接口!$J$763),"")</f>
      </c>
      <c r="K763" s="177">
        <f>IFERROR(IF([1]对账明细接口!$K$763=0,"",[1]对账明细接口!$K$763),"")</f>
      </c>
      <c r="L763" s="16">
        <f>IFERROR(IF([1]对账明细接口!$L$763=0,"",[1]对账明细接口!$L$763),"")</f>
      </c>
      <c r="M763" s="16">
        <f>IFERROR(IF([1]对账明细接口!$M$763=0,"",[1]对账明细接口!$M$763),"")</f>
      </c>
      <c r="N763" s="19">
        <f>IF($C763="",0,1)</f>
        <v>0</v>
      </c>
      <c r="O763" s="19">
        <f>N(O762)+$N763</f>
        <v>637</v>
      </c>
      <c r="S763" s="20">
        <f>IFERROR(IF([1]对账明细接口!$N763=0,"",[1]对账明细接口!$N763),"")</f>
      </c>
      <c r="T763" s="212">
        <f>IFERROR(IF([1]对账明细接口!$O763=0,"",[1]对账明细接口!$O763),"")</f>
      </c>
      <c r="U763" s="212">
        <f>IFERROR(IF([1]对账明细接口!$P763=0,"",[1]对账明细接口!$P763),"")</f>
      </c>
      <c r="V763" s="212">
        <f>IFERROR(IF([1]对账明细接口!$Q763=0,"",[1]对账明细接口!$Q763),"")</f>
      </c>
      <c r="W763" s="20">
        <f>IFERROR(IF([1]对账明细接口!$R763=0,"",[1]对账明细接口!$R763),"")</f>
      </c>
      <c r="X763" s="20">
        <f>IFERROR(IF([1]对账明细接口!$S763=0,"",[1]对账明细接口!$S763),"")</f>
      </c>
      <c r="Y763" s="20">
        <f>IFERROR(IF([1]对账明细接口!$T763=0,"",[1]对账明细接口!$T763),"")</f>
      </c>
      <c r="Z763" s="213">
        <f>IFERROR(IF([1]对账明细接口!$U763=0,"",[1]对账明细接口!$U763),"")</f>
      </c>
      <c r="AA763" s="213">
        <f>IFERROR(IF([1]对账明细接口!$V763=0,"",[1]对账明细接口!$V763),"")</f>
      </c>
      <c r="AB763" s="20">
        <f>IFERROR(IF([1]对账明细接口!$W763=0,"",[1]对账明细接口!$W763),"")</f>
      </c>
      <c r="AC763" s="7">
        <f>IFERROR(IF([1]对账明细接口!$X763=0,"",[1]对账明细接口!$X763),"")</f>
      </c>
      <c r="AD763" s="7">
        <f>IFERROR(IF([1]对账明细接口!$Y763=0,"",[1]对账明细接口!$Y763),"")</f>
      </c>
      <c r="AE763" s="7">
        <f>IFERROR(IF([1]对账明细接口!$AA763=0,"",[1]对账明细接口!$AA763),"")</f>
      </c>
      <c r="AF763" s="7">
        <f>IFERROR(IF([1]对账明细接口!$AB763=0,"",[1]对账明细接口!$AB763),"")</f>
      </c>
      <c r="AG763" s="7">
        <f>IFERROR(IF([1]对账明细接口!$AC763=0,"",[1]对账明细接口!$AC763),"")</f>
      </c>
      <c r="AH763" s="7">
        <f>IFERROR(IF([1]对账明细接口!$AD763=0,"",[1]对账明细接口!$AD763),"")</f>
      </c>
      <c r="AI763" s="7">
        <f>IFERROR(IF([1]对账明细接口!$AE763=0,"",[1]对账明细接口!$AE763),"")</f>
      </c>
      <c r="AJ763" s="7">
        <f>IFERROR(IF([1]对账明细接口!$AF763=0,"",[1]对账明细接口!$AF763),"")</f>
      </c>
    </row>
    <row r="764" ht="14.25" customHeight="1" s="127">
      <c r="A764" s="14" t="n">
        <v>764</v>
      </c>
      <c r="B764" s="211">
        <f>IFERROR(IF([1]对账明细接口!$B$764=0,"",[1]对账明细接口!$B$764),"")</f>
      </c>
      <c r="C764" s="16">
        <f>IFERROR(IF([1]对账明细接口!$C$764=0,"",[1]对账明细接口!$C$764),"")</f>
      </c>
      <c r="D764" s="16">
        <f>IFERROR(IF([1]对账明细接口!$D$764=0,"",[1]对账明细接口!$D$764),"")</f>
      </c>
      <c r="E764" s="16">
        <f>IFERROR(IF([1]对账明细接口!$E$764=0,"",[1]对账明细接口!$E$764),"")</f>
      </c>
      <c r="F764" s="16">
        <f>IFERROR(IF([1]对账明细接口!$F$764=0,"",[1]对账明细接口!$F$764),"")</f>
      </c>
      <c r="G764" s="16">
        <f>IFERROR(IF([1]对账明细接口!$G$764=0,"",[1]对账明细接口!$G$764),"")</f>
      </c>
      <c r="H764" s="176">
        <f>IFERROR(IF([1]对账明细接口!$H$764=0,"",[1]对账明细接口!$H$764),"")</f>
      </c>
      <c r="I764" s="16">
        <f>IFERROR(IF([1]对账明细接口!$I$764=0,"",[1]对账明细接口!$I$764),"")</f>
      </c>
      <c r="J764" s="177">
        <f>IFERROR(IF([1]对账明细接口!$J$764=0,"",[1]对账明细接口!$J$764),"")</f>
      </c>
      <c r="K764" s="177">
        <f>IFERROR(IF([1]对账明细接口!$K$764=0,"",[1]对账明细接口!$K$764),"")</f>
      </c>
      <c r="L764" s="16">
        <f>IFERROR(IF([1]对账明细接口!$L$764=0,"",[1]对账明细接口!$L$764),"")</f>
      </c>
      <c r="M764" s="16">
        <f>IFERROR(IF([1]对账明细接口!$M$764=0,"",[1]对账明细接口!$M$764),"")</f>
      </c>
      <c r="N764" s="19">
        <f>IF($C764="",0,1)</f>
        <v>0</v>
      </c>
      <c r="O764" s="19">
        <f>N(O763)+$N764</f>
        <v>637</v>
      </c>
      <c r="S764" s="20">
        <f>IFERROR(IF([1]对账明细接口!$N764=0,"",[1]对账明细接口!$N764),"")</f>
      </c>
      <c r="T764" s="212">
        <f>IFERROR(IF([1]对账明细接口!$O764=0,"",[1]对账明细接口!$O764),"")</f>
      </c>
      <c r="U764" s="212">
        <f>IFERROR(IF([1]对账明细接口!$P764=0,"",[1]对账明细接口!$P764),"")</f>
      </c>
      <c r="V764" s="212">
        <f>IFERROR(IF([1]对账明细接口!$Q764=0,"",[1]对账明细接口!$Q764),"")</f>
      </c>
      <c r="W764" s="20">
        <f>IFERROR(IF([1]对账明细接口!$R764=0,"",[1]对账明细接口!$R764),"")</f>
      </c>
      <c r="X764" s="20">
        <f>IFERROR(IF([1]对账明细接口!$S764=0,"",[1]对账明细接口!$S764),"")</f>
      </c>
      <c r="Y764" s="20">
        <f>IFERROR(IF([1]对账明细接口!$T764=0,"",[1]对账明细接口!$T764),"")</f>
      </c>
      <c r="Z764" s="213">
        <f>IFERROR(IF([1]对账明细接口!$U764=0,"",[1]对账明细接口!$U764),"")</f>
      </c>
      <c r="AA764" s="213">
        <f>IFERROR(IF([1]对账明细接口!$V764=0,"",[1]对账明细接口!$V764),"")</f>
      </c>
      <c r="AB764" s="20">
        <f>IFERROR(IF([1]对账明细接口!$W764=0,"",[1]对账明细接口!$W764),"")</f>
      </c>
      <c r="AC764" s="7">
        <f>IFERROR(IF([1]对账明细接口!$X764=0,"",[1]对账明细接口!$X764),"")</f>
      </c>
      <c r="AD764" s="7">
        <f>IFERROR(IF([1]对账明细接口!$Y764=0,"",[1]对账明细接口!$Y764),"")</f>
      </c>
      <c r="AE764" s="7">
        <f>IFERROR(IF([1]对账明细接口!$AA764=0,"",[1]对账明细接口!$AA764),"")</f>
      </c>
      <c r="AF764" s="7">
        <f>IFERROR(IF([1]对账明细接口!$AB764=0,"",[1]对账明细接口!$AB764),"")</f>
      </c>
      <c r="AG764" s="7">
        <f>IFERROR(IF([1]对账明细接口!$AC764=0,"",[1]对账明细接口!$AC764),"")</f>
      </c>
      <c r="AH764" s="7">
        <f>IFERROR(IF([1]对账明细接口!$AD764=0,"",[1]对账明细接口!$AD764),"")</f>
      </c>
      <c r="AI764" s="7">
        <f>IFERROR(IF([1]对账明细接口!$AE764=0,"",[1]对账明细接口!$AE764),"")</f>
      </c>
      <c r="AJ764" s="7">
        <f>IFERROR(IF([1]对账明细接口!$AF764=0,"",[1]对账明细接口!$AF764),"")</f>
      </c>
    </row>
    <row r="765" ht="14.25" customHeight="1" s="127">
      <c r="A765" s="14" t="n">
        <v>765</v>
      </c>
      <c r="B765" s="211">
        <f>IFERROR(IF([1]对账明细接口!$B$765=0,"",[1]对账明细接口!$B$765),"")</f>
      </c>
      <c r="C765" s="16">
        <f>IFERROR(IF([1]对账明细接口!$C$765=0,"",[1]对账明细接口!$C$765),"")</f>
      </c>
      <c r="D765" s="16">
        <f>IFERROR(IF([1]对账明细接口!$D$765=0,"",[1]对账明细接口!$D$765),"")</f>
      </c>
      <c r="E765" s="16">
        <f>IFERROR(IF([1]对账明细接口!$E$765=0,"",[1]对账明细接口!$E$765),"")</f>
      </c>
      <c r="F765" s="16">
        <f>IFERROR(IF([1]对账明细接口!$F$765=0,"",[1]对账明细接口!$F$765),"")</f>
      </c>
      <c r="G765" s="16">
        <f>IFERROR(IF([1]对账明细接口!$G$765=0,"",[1]对账明细接口!$G$765),"")</f>
      </c>
      <c r="H765" s="176">
        <f>IFERROR(IF([1]对账明细接口!$H$765=0,"",[1]对账明细接口!$H$765),"")</f>
      </c>
      <c r="I765" s="16">
        <f>IFERROR(IF([1]对账明细接口!$I$765=0,"",[1]对账明细接口!$I$765),"")</f>
      </c>
      <c r="J765" s="177">
        <f>IFERROR(IF([1]对账明细接口!$J$765=0,"",[1]对账明细接口!$J$765),"")</f>
      </c>
      <c r="K765" s="177">
        <f>IFERROR(IF([1]对账明细接口!$K$765=0,"",[1]对账明细接口!$K$765),"")</f>
      </c>
      <c r="L765" s="16">
        <f>IFERROR(IF([1]对账明细接口!$L$765=0,"",[1]对账明细接口!$L$765),"")</f>
      </c>
      <c r="M765" s="16">
        <f>IFERROR(IF([1]对账明细接口!$M$765=0,"",[1]对账明细接口!$M$765),"")</f>
      </c>
      <c r="N765" s="19">
        <f>IF($C765="",0,1)</f>
        <v>0</v>
      </c>
      <c r="O765" s="19">
        <f>N(O764)+$N765</f>
        <v>637</v>
      </c>
      <c r="S765" s="20">
        <f>IFERROR(IF([1]对账明细接口!$N765=0,"",[1]对账明细接口!$N765),"")</f>
      </c>
      <c r="T765" s="212">
        <f>IFERROR(IF([1]对账明细接口!$O765=0,"",[1]对账明细接口!$O765),"")</f>
      </c>
      <c r="U765" s="212">
        <f>IFERROR(IF([1]对账明细接口!$P765=0,"",[1]对账明细接口!$P765),"")</f>
      </c>
      <c r="V765" s="212">
        <f>IFERROR(IF([1]对账明细接口!$Q765=0,"",[1]对账明细接口!$Q765),"")</f>
      </c>
      <c r="W765" s="20">
        <f>IFERROR(IF([1]对账明细接口!$R765=0,"",[1]对账明细接口!$R765),"")</f>
      </c>
      <c r="X765" s="20">
        <f>IFERROR(IF([1]对账明细接口!$S765=0,"",[1]对账明细接口!$S765),"")</f>
      </c>
      <c r="Y765" s="20">
        <f>IFERROR(IF([1]对账明细接口!$T765=0,"",[1]对账明细接口!$T765),"")</f>
      </c>
      <c r="Z765" s="213">
        <f>IFERROR(IF([1]对账明细接口!$U765=0,"",[1]对账明细接口!$U765),"")</f>
      </c>
      <c r="AA765" s="213">
        <f>IFERROR(IF([1]对账明细接口!$V765=0,"",[1]对账明细接口!$V765),"")</f>
      </c>
      <c r="AB765" s="20">
        <f>IFERROR(IF([1]对账明细接口!$W765=0,"",[1]对账明细接口!$W765),"")</f>
      </c>
      <c r="AC765" s="7">
        <f>IFERROR(IF([1]对账明细接口!$X765=0,"",[1]对账明细接口!$X765),"")</f>
      </c>
      <c r="AD765" s="7">
        <f>IFERROR(IF([1]对账明细接口!$Y765=0,"",[1]对账明细接口!$Y765),"")</f>
      </c>
      <c r="AE765" s="7">
        <f>IFERROR(IF([1]对账明细接口!$AA765=0,"",[1]对账明细接口!$AA765),"")</f>
      </c>
      <c r="AF765" s="7">
        <f>IFERROR(IF([1]对账明细接口!$AB765=0,"",[1]对账明细接口!$AB765),"")</f>
      </c>
      <c r="AG765" s="7">
        <f>IFERROR(IF([1]对账明细接口!$AC765=0,"",[1]对账明细接口!$AC765),"")</f>
      </c>
      <c r="AH765" s="7">
        <f>IFERROR(IF([1]对账明细接口!$AD765=0,"",[1]对账明细接口!$AD765),"")</f>
      </c>
      <c r="AI765" s="7">
        <f>IFERROR(IF([1]对账明细接口!$AE765=0,"",[1]对账明细接口!$AE765),"")</f>
      </c>
      <c r="AJ765" s="7">
        <f>IFERROR(IF([1]对账明细接口!$AF765=0,"",[1]对账明细接口!$AF765),"")</f>
      </c>
    </row>
    <row r="766" ht="14.25" customHeight="1" s="127">
      <c r="A766" s="14" t="n">
        <v>766</v>
      </c>
      <c r="B766" s="211">
        <f>IFERROR(IF([1]对账明细接口!$B$766=0,"",[1]对账明细接口!$B$766),"")</f>
      </c>
      <c r="C766" s="16">
        <f>IFERROR(IF([1]对账明细接口!$C$766=0,"",[1]对账明细接口!$C$766),"")</f>
      </c>
      <c r="D766" s="16">
        <f>IFERROR(IF([1]对账明细接口!$D$766=0,"",[1]对账明细接口!$D$766),"")</f>
      </c>
      <c r="E766" s="16">
        <f>IFERROR(IF([1]对账明细接口!$E$766=0,"",[1]对账明细接口!$E$766),"")</f>
      </c>
      <c r="F766" s="16">
        <f>IFERROR(IF([1]对账明细接口!$F$766=0,"",[1]对账明细接口!$F$766),"")</f>
      </c>
      <c r="G766" s="16">
        <f>IFERROR(IF([1]对账明细接口!$G$766=0,"",[1]对账明细接口!$G$766),"")</f>
      </c>
      <c r="H766" s="176">
        <f>IFERROR(IF([1]对账明细接口!$H$766=0,"",[1]对账明细接口!$H$766),"")</f>
      </c>
      <c r="I766" s="16">
        <f>IFERROR(IF([1]对账明细接口!$I$766=0,"",[1]对账明细接口!$I$766),"")</f>
      </c>
      <c r="J766" s="177">
        <f>IFERROR(IF([1]对账明细接口!$J$766=0,"",[1]对账明细接口!$J$766),"")</f>
      </c>
      <c r="K766" s="177">
        <f>IFERROR(IF([1]对账明细接口!$K$766=0,"",[1]对账明细接口!$K$766),"")</f>
      </c>
      <c r="L766" s="16">
        <f>IFERROR(IF([1]对账明细接口!$L$766=0,"",[1]对账明细接口!$L$766),"")</f>
      </c>
      <c r="M766" s="16">
        <f>IFERROR(IF([1]对账明细接口!$M$766=0,"",[1]对账明细接口!$M$766),"")</f>
      </c>
      <c r="N766" s="19">
        <f>IF($C766="",0,1)</f>
        <v>0</v>
      </c>
      <c r="O766" s="19">
        <f>N(O765)+$N766</f>
        <v>637</v>
      </c>
      <c r="S766" s="20">
        <f>IFERROR(IF([1]对账明细接口!$N766=0,"",[1]对账明细接口!$N766),"")</f>
      </c>
      <c r="T766" s="212">
        <f>IFERROR(IF([1]对账明细接口!$O766=0,"",[1]对账明细接口!$O766),"")</f>
      </c>
      <c r="U766" s="212">
        <f>IFERROR(IF([1]对账明细接口!$P766=0,"",[1]对账明细接口!$P766),"")</f>
      </c>
      <c r="V766" s="212">
        <f>IFERROR(IF([1]对账明细接口!$Q766=0,"",[1]对账明细接口!$Q766),"")</f>
      </c>
      <c r="W766" s="20">
        <f>IFERROR(IF([1]对账明细接口!$R766=0,"",[1]对账明细接口!$R766),"")</f>
      </c>
      <c r="X766" s="20">
        <f>IFERROR(IF([1]对账明细接口!$S766=0,"",[1]对账明细接口!$S766),"")</f>
      </c>
      <c r="Y766" s="20">
        <f>IFERROR(IF([1]对账明细接口!$T766=0,"",[1]对账明细接口!$T766),"")</f>
      </c>
      <c r="Z766" s="213">
        <f>IFERROR(IF([1]对账明细接口!$U766=0,"",[1]对账明细接口!$U766),"")</f>
      </c>
      <c r="AA766" s="213">
        <f>IFERROR(IF([1]对账明细接口!$V766=0,"",[1]对账明细接口!$V766),"")</f>
      </c>
      <c r="AB766" s="20">
        <f>IFERROR(IF([1]对账明细接口!$W766=0,"",[1]对账明细接口!$W766),"")</f>
      </c>
      <c r="AC766" s="7">
        <f>IFERROR(IF([1]对账明细接口!$X766=0,"",[1]对账明细接口!$X766),"")</f>
      </c>
      <c r="AD766" s="7">
        <f>IFERROR(IF([1]对账明细接口!$Y766=0,"",[1]对账明细接口!$Y766),"")</f>
      </c>
      <c r="AE766" s="7">
        <f>IFERROR(IF([1]对账明细接口!$AA766=0,"",[1]对账明细接口!$AA766),"")</f>
      </c>
      <c r="AF766" s="7">
        <f>IFERROR(IF([1]对账明细接口!$AB766=0,"",[1]对账明细接口!$AB766),"")</f>
      </c>
      <c r="AG766" s="7">
        <f>IFERROR(IF([1]对账明细接口!$AC766=0,"",[1]对账明细接口!$AC766),"")</f>
      </c>
      <c r="AH766" s="7">
        <f>IFERROR(IF([1]对账明细接口!$AD766=0,"",[1]对账明细接口!$AD766),"")</f>
      </c>
      <c r="AI766" s="7">
        <f>IFERROR(IF([1]对账明细接口!$AE766=0,"",[1]对账明细接口!$AE766),"")</f>
      </c>
      <c r="AJ766" s="7">
        <f>IFERROR(IF([1]对账明细接口!$AF766=0,"",[1]对账明细接口!$AF766),"")</f>
      </c>
    </row>
    <row r="767" ht="14.25" customHeight="1" s="127">
      <c r="A767" s="14" t="n">
        <v>767</v>
      </c>
      <c r="B767" s="211">
        <f>IFERROR(IF([1]对账明细接口!$B$767=0,"",[1]对账明细接口!$B$767),"")</f>
      </c>
      <c r="C767" s="16">
        <f>IFERROR(IF([1]对账明细接口!$C$767=0,"",[1]对账明细接口!$C$767),"")</f>
      </c>
      <c r="D767" s="16">
        <f>IFERROR(IF([1]对账明细接口!$D$767=0,"",[1]对账明细接口!$D$767),"")</f>
      </c>
      <c r="E767" s="16">
        <f>IFERROR(IF([1]对账明细接口!$E$767=0,"",[1]对账明细接口!$E$767),"")</f>
      </c>
      <c r="F767" s="16">
        <f>IFERROR(IF([1]对账明细接口!$F$767=0,"",[1]对账明细接口!$F$767),"")</f>
      </c>
      <c r="G767" s="16">
        <f>IFERROR(IF([1]对账明细接口!$G$767=0,"",[1]对账明细接口!$G$767),"")</f>
      </c>
      <c r="H767" s="176">
        <f>IFERROR(IF([1]对账明细接口!$H$767=0,"",[1]对账明细接口!$H$767),"")</f>
      </c>
      <c r="I767" s="16">
        <f>IFERROR(IF([1]对账明细接口!$I$767=0,"",[1]对账明细接口!$I$767),"")</f>
      </c>
      <c r="J767" s="177">
        <f>IFERROR(IF([1]对账明细接口!$J$767=0,"",[1]对账明细接口!$J$767),"")</f>
      </c>
      <c r="K767" s="177">
        <f>IFERROR(IF([1]对账明细接口!$K$767=0,"",[1]对账明细接口!$K$767),"")</f>
      </c>
      <c r="L767" s="16">
        <f>IFERROR(IF([1]对账明细接口!$L$767=0,"",[1]对账明细接口!$L$767),"")</f>
      </c>
      <c r="M767" s="16">
        <f>IFERROR(IF([1]对账明细接口!$M$767=0,"",[1]对账明细接口!$M$767),"")</f>
      </c>
      <c r="N767" s="19">
        <f>IF($C767="",0,1)</f>
        <v>0</v>
      </c>
      <c r="O767" s="19">
        <f>N(O766)+$N767</f>
        <v>637</v>
      </c>
      <c r="S767" s="20">
        <f>IFERROR(IF([1]对账明细接口!$N767=0,"",[1]对账明细接口!$N767),"")</f>
      </c>
      <c r="T767" s="212">
        <f>IFERROR(IF([1]对账明细接口!$O767=0,"",[1]对账明细接口!$O767),"")</f>
      </c>
      <c r="U767" s="212">
        <f>IFERROR(IF([1]对账明细接口!$P767=0,"",[1]对账明细接口!$P767),"")</f>
      </c>
      <c r="V767" s="212">
        <f>IFERROR(IF([1]对账明细接口!$Q767=0,"",[1]对账明细接口!$Q767),"")</f>
      </c>
      <c r="W767" s="20">
        <f>IFERROR(IF([1]对账明细接口!$R767=0,"",[1]对账明细接口!$R767),"")</f>
      </c>
      <c r="X767" s="20">
        <f>IFERROR(IF([1]对账明细接口!$S767=0,"",[1]对账明细接口!$S767),"")</f>
      </c>
      <c r="Y767" s="20">
        <f>IFERROR(IF([1]对账明细接口!$T767=0,"",[1]对账明细接口!$T767),"")</f>
      </c>
      <c r="Z767" s="213">
        <f>IFERROR(IF([1]对账明细接口!$U767=0,"",[1]对账明细接口!$U767),"")</f>
      </c>
      <c r="AA767" s="213">
        <f>IFERROR(IF([1]对账明细接口!$V767=0,"",[1]对账明细接口!$V767),"")</f>
      </c>
      <c r="AB767" s="20">
        <f>IFERROR(IF([1]对账明细接口!$W767=0,"",[1]对账明细接口!$W767),"")</f>
      </c>
      <c r="AC767" s="7">
        <f>IFERROR(IF([1]对账明细接口!$X767=0,"",[1]对账明细接口!$X767),"")</f>
      </c>
      <c r="AD767" s="7">
        <f>IFERROR(IF([1]对账明细接口!$Y767=0,"",[1]对账明细接口!$Y767),"")</f>
      </c>
      <c r="AE767" s="7">
        <f>IFERROR(IF([1]对账明细接口!$AA767=0,"",[1]对账明细接口!$AA767),"")</f>
      </c>
      <c r="AF767" s="7">
        <f>IFERROR(IF([1]对账明细接口!$AB767=0,"",[1]对账明细接口!$AB767),"")</f>
      </c>
      <c r="AG767" s="7">
        <f>IFERROR(IF([1]对账明细接口!$AC767=0,"",[1]对账明细接口!$AC767),"")</f>
      </c>
      <c r="AH767" s="7">
        <f>IFERROR(IF([1]对账明细接口!$AD767=0,"",[1]对账明细接口!$AD767),"")</f>
      </c>
      <c r="AI767" s="7">
        <f>IFERROR(IF([1]对账明细接口!$AE767=0,"",[1]对账明细接口!$AE767),"")</f>
      </c>
      <c r="AJ767" s="7">
        <f>IFERROR(IF([1]对账明细接口!$AF767=0,"",[1]对账明细接口!$AF767),"")</f>
      </c>
    </row>
    <row r="768" ht="14.25" customHeight="1" s="127">
      <c r="A768" s="14" t="n">
        <v>768</v>
      </c>
      <c r="B768" s="211">
        <f>IFERROR(IF([1]对账明细接口!$B$768=0,"",[1]对账明细接口!$B$768),"")</f>
      </c>
      <c r="C768" s="16">
        <f>IFERROR(IF([1]对账明细接口!$C$768=0,"",[1]对账明细接口!$C$768),"")</f>
      </c>
      <c r="D768" s="16">
        <f>IFERROR(IF([1]对账明细接口!$D$768=0,"",[1]对账明细接口!$D$768),"")</f>
      </c>
      <c r="E768" s="16">
        <f>IFERROR(IF([1]对账明细接口!$E$768=0,"",[1]对账明细接口!$E$768),"")</f>
      </c>
      <c r="F768" s="16">
        <f>IFERROR(IF([1]对账明细接口!$F$768=0,"",[1]对账明细接口!$F$768),"")</f>
      </c>
      <c r="G768" s="16">
        <f>IFERROR(IF([1]对账明细接口!$G$768=0,"",[1]对账明细接口!$G$768),"")</f>
      </c>
      <c r="H768" s="176">
        <f>IFERROR(IF([1]对账明细接口!$H$768=0,"",[1]对账明细接口!$H$768),"")</f>
      </c>
      <c r="I768" s="16">
        <f>IFERROR(IF([1]对账明细接口!$I$768=0,"",[1]对账明细接口!$I$768),"")</f>
      </c>
      <c r="J768" s="177">
        <f>IFERROR(IF([1]对账明细接口!$J$768=0,"",[1]对账明细接口!$J$768),"")</f>
      </c>
      <c r="K768" s="177">
        <f>IFERROR(IF([1]对账明细接口!$K$768=0,"",[1]对账明细接口!$K$768),"")</f>
      </c>
      <c r="L768" s="16">
        <f>IFERROR(IF([1]对账明细接口!$L$768=0,"",[1]对账明细接口!$L$768),"")</f>
      </c>
      <c r="M768" s="16">
        <f>IFERROR(IF([1]对账明细接口!$M$768=0,"",[1]对账明细接口!$M$768),"")</f>
      </c>
      <c r="N768" s="19">
        <f>IF($C768="",0,1)</f>
        <v>0</v>
      </c>
      <c r="O768" s="19">
        <f>N(O767)+$N768</f>
        <v>637</v>
      </c>
      <c r="S768" s="20">
        <f>IFERROR(IF([1]对账明细接口!$N768=0,"",[1]对账明细接口!$N768),"")</f>
      </c>
      <c r="T768" s="212">
        <f>IFERROR(IF([1]对账明细接口!$O768=0,"",[1]对账明细接口!$O768),"")</f>
      </c>
      <c r="U768" s="212">
        <f>IFERROR(IF([1]对账明细接口!$P768=0,"",[1]对账明细接口!$P768),"")</f>
      </c>
      <c r="V768" s="212">
        <f>IFERROR(IF([1]对账明细接口!$Q768=0,"",[1]对账明细接口!$Q768),"")</f>
      </c>
      <c r="W768" s="20">
        <f>IFERROR(IF([1]对账明细接口!$R768=0,"",[1]对账明细接口!$R768),"")</f>
      </c>
      <c r="X768" s="20">
        <f>IFERROR(IF([1]对账明细接口!$S768=0,"",[1]对账明细接口!$S768),"")</f>
      </c>
      <c r="Y768" s="20">
        <f>IFERROR(IF([1]对账明细接口!$T768=0,"",[1]对账明细接口!$T768),"")</f>
      </c>
      <c r="Z768" s="213">
        <f>IFERROR(IF([1]对账明细接口!$U768=0,"",[1]对账明细接口!$U768),"")</f>
      </c>
      <c r="AA768" s="213">
        <f>IFERROR(IF([1]对账明细接口!$V768=0,"",[1]对账明细接口!$V768),"")</f>
      </c>
      <c r="AB768" s="20">
        <f>IFERROR(IF([1]对账明细接口!$W768=0,"",[1]对账明细接口!$W768),"")</f>
      </c>
      <c r="AC768" s="7">
        <f>IFERROR(IF([1]对账明细接口!$X768=0,"",[1]对账明细接口!$X768),"")</f>
      </c>
      <c r="AD768" s="7">
        <f>IFERROR(IF([1]对账明细接口!$Y768=0,"",[1]对账明细接口!$Y768),"")</f>
      </c>
      <c r="AE768" s="7">
        <f>IFERROR(IF([1]对账明细接口!$AA768=0,"",[1]对账明细接口!$AA768),"")</f>
      </c>
      <c r="AF768" s="7">
        <f>IFERROR(IF([1]对账明细接口!$AB768=0,"",[1]对账明细接口!$AB768),"")</f>
      </c>
      <c r="AG768" s="7">
        <f>IFERROR(IF([1]对账明细接口!$AC768=0,"",[1]对账明细接口!$AC768),"")</f>
      </c>
      <c r="AH768" s="7">
        <f>IFERROR(IF([1]对账明细接口!$AD768=0,"",[1]对账明细接口!$AD768),"")</f>
      </c>
      <c r="AI768" s="7">
        <f>IFERROR(IF([1]对账明细接口!$AE768=0,"",[1]对账明细接口!$AE768),"")</f>
      </c>
      <c r="AJ768" s="7">
        <f>IFERROR(IF([1]对账明细接口!$AF768=0,"",[1]对账明细接口!$AF768),"")</f>
      </c>
    </row>
    <row r="769" ht="14.25" customHeight="1" s="127">
      <c r="A769" s="14" t="n">
        <v>769</v>
      </c>
      <c r="B769" s="211">
        <f>IFERROR(IF([1]对账明细接口!$B$769=0,"",[1]对账明细接口!$B$769),"")</f>
      </c>
      <c r="C769" s="16">
        <f>IFERROR(IF([1]对账明细接口!$C$769=0,"",[1]对账明细接口!$C$769),"")</f>
      </c>
      <c r="D769" s="16">
        <f>IFERROR(IF([1]对账明细接口!$D$769=0,"",[1]对账明细接口!$D$769),"")</f>
      </c>
      <c r="E769" s="16">
        <f>IFERROR(IF([1]对账明细接口!$E$769=0,"",[1]对账明细接口!$E$769),"")</f>
      </c>
      <c r="F769" s="16">
        <f>IFERROR(IF([1]对账明细接口!$F$769=0,"",[1]对账明细接口!$F$769),"")</f>
      </c>
      <c r="G769" s="16">
        <f>IFERROR(IF([1]对账明细接口!$G$769=0,"",[1]对账明细接口!$G$769),"")</f>
      </c>
      <c r="H769" s="176">
        <f>IFERROR(IF([1]对账明细接口!$H$769=0,"",[1]对账明细接口!$H$769),"")</f>
      </c>
      <c r="I769" s="16">
        <f>IFERROR(IF([1]对账明细接口!$I$769=0,"",[1]对账明细接口!$I$769),"")</f>
      </c>
      <c r="J769" s="177">
        <f>IFERROR(IF([1]对账明细接口!$J$769=0,"",[1]对账明细接口!$J$769),"")</f>
      </c>
      <c r="K769" s="177">
        <f>IFERROR(IF([1]对账明细接口!$K$769=0,"",[1]对账明细接口!$K$769),"")</f>
      </c>
      <c r="L769" s="16">
        <f>IFERROR(IF([1]对账明细接口!$L$769=0,"",[1]对账明细接口!$L$769),"")</f>
      </c>
      <c r="M769" s="16">
        <f>IFERROR(IF([1]对账明细接口!$M$769=0,"",[1]对账明细接口!$M$769),"")</f>
      </c>
      <c r="N769" s="19">
        <f>IF($C769="",0,1)</f>
        <v>0</v>
      </c>
      <c r="O769" s="19">
        <f>N(O768)+$N769</f>
        <v>637</v>
      </c>
      <c r="S769" s="20">
        <f>IFERROR(IF([1]对账明细接口!$N769=0,"",[1]对账明细接口!$N769),"")</f>
      </c>
      <c r="T769" s="212">
        <f>IFERROR(IF([1]对账明细接口!$O769=0,"",[1]对账明细接口!$O769),"")</f>
      </c>
      <c r="U769" s="212">
        <f>IFERROR(IF([1]对账明细接口!$P769=0,"",[1]对账明细接口!$P769),"")</f>
      </c>
      <c r="V769" s="212">
        <f>IFERROR(IF([1]对账明细接口!$Q769=0,"",[1]对账明细接口!$Q769),"")</f>
      </c>
      <c r="W769" s="20">
        <f>IFERROR(IF([1]对账明细接口!$R769=0,"",[1]对账明细接口!$R769),"")</f>
      </c>
      <c r="X769" s="20">
        <f>IFERROR(IF([1]对账明细接口!$S769=0,"",[1]对账明细接口!$S769),"")</f>
      </c>
      <c r="Y769" s="20">
        <f>IFERROR(IF([1]对账明细接口!$T769=0,"",[1]对账明细接口!$T769),"")</f>
      </c>
      <c r="Z769" s="213">
        <f>IFERROR(IF([1]对账明细接口!$U769=0,"",[1]对账明细接口!$U769),"")</f>
      </c>
      <c r="AA769" s="213">
        <f>IFERROR(IF([1]对账明细接口!$V769=0,"",[1]对账明细接口!$V769),"")</f>
      </c>
      <c r="AB769" s="20">
        <f>IFERROR(IF([1]对账明细接口!$W769=0,"",[1]对账明细接口!$W769),"")</f>
      </c>
      <c r="AC769" s="7">
        <f>IFERROR(IF([1]对账明细接口!$X769=0,"",[1]对账明细接口!$X769),"")</f>
      </c>
      <c r="AD769" s="7">
        <f>IFERROR(IF([1]对账明细接口!$Y769=0,"",[1]对账明细接口!$Y769),"")</f>
      </c>
      <c r="AE769" s="7">
        <f>IFERROR(IF([1]对账明细接口!$AA769=0,"",[1]对账明细接口!$AA769),"")</f>
      </c>
      <c r="AF769" s="7">
        <f>IFERROR(IF([1]对账明细接口!$AB769=0,"",[1]对账明细接口!$AB769),"")</f>
      </c>
      <c r="AG769" s="7">
        <f>IFERROR(IF([1]对账明细接口!$AC769=0,"",[1]对账明细接口!$AC769),"")</f>
      </c>
      <c r="AH769" s="7">
        <f>IFERROR(IF([1]对账明细接口!$AD769=0,"",[1]对账明细接口!$AD769),"")</f>
      </c>
      <c r="AI769" s="7">
        <f>IFERROR(IF([1]对账明细接口!$AE769=0,"",[1]对账明细接口!$AE769),"")</f>
      </c>
      <c r="AJ769" s="7">
        <f>IFERROR(IF([1]对账明细接口!$AF769=0,"",[1]对账明细接口!$AF769),"")</f>
      </c>
    </row>
    <row r="770" ht="14.25" customHeight="1" s="127">
      <c r="A770" s="14" t="n">
        <v>770</v>
      </c>
      <c r="B770" s="211">
        <f>IFERROR(IF([1]对账明细接口!$B$770=0,"",[1]对账明细接口!$B$770),"")</f>
      </c>
      <c r="C770" s="16">
        <f>IFERROR(IF([1]对账明细接口!$C$770=0,"",[1]对账明细接口!$C$770),"")</f>
      </c>
      <c r="D770" s="16">
        <f>IFERROR(IF([1]对账明细接口!$D$770=0,"",[1]对账明细接口!$D$770),"")</f>
      </c>
      <c r="E770" s="16">
        <f>IFERROR(IF([1]对账明细接口!$E$770=0,"",[1]对账明细接口!$E$770),"")</f>
      </c>
      <c r="F770" s="16">
        <f>IFERROR(IF([1]对账明细接口!$F$770=0,"",[1]对账明细接口!$F$770),"")</f>
      </c>
      <c r="G770" s="16">
        <f>IFERROR(IF([1]对账明细接口!$G$770=0,"",[1]对账明细接口!$G$770),"")</f>
      </c>
      <c r="H770" s="176">
        <f>IFERROR(IF([1]对账明细接口!$H$770=0,"",[1]对账明细接口!$H$770),"")</f>
      </c>
      <c r="I770" s="16">
        <f>IFERROR(IF([1]对账明细接口!$I$770=0,"",[1]对账明细接口!$I$770),"")</f>
      </c>
      <c r="J770" s="177">
        <f>IFERROR(IF([1]对账明细接口!$J$770=0,"",[1]对账明细接口!$J$770),"")</f>
      </c>
      <c r="K770" s="177">
        <f>IFERROR(IF([1]对账明细接口!$K$770=0,"",[1]对账明细接口!$K$770),"")</f>
      </c>
      <c r="L770" s="16">
        <f>IFERROR(IF([1]对账明细接口!$L$770=0,"",[1]对账明细接口!$L$770),"")</f>
      </c>
      <c r="M770" s="16">
        <f>IFERROR(IF([1]对账明细接口!$M$770=0,"",[1]对账明细接口!$M$770),"")</f>
      </c>
      <c r="N770" s="19">
        <f>IF($C770="",0,1)</f>
        <v>0</v>
      </c>
      <c r="O770" s="19">
        <f>N(O769)+$N770</f>
        <v>637</v>
      </c>
      <c r="S770" s="20">
        <f>IFERROR(IF([1]对账明细接口!$N770=0,"",[1]对账明细接口!$N770),"")</f>
      </c>
      <c r="T770" s="212">
        <f>IFERROR(IF([1]对账明细接口!$O770=0,"",[1]对账明细接口!$O770),"")</f>
      </c>
      <c r="U770" s="212">
        <f>IFERROR(IF([1]对账明细接口!$P770=0,"",[1]对账明细接口!$P770),"")</f>
      </c>
      <c r="V770" s="212">
        <f>IFERROR(IF([1]对账明细接口!$Q770=0,"",[1]对账明细接口!$Q770),"")</f>
      </c>
      <c r="W770" s="20">
        <f>IFERROR(IF([1]对账明细接口!$R770=0,"",[1]对账明细接口!$R770),"")</f>
      </c>
      <c r="X770" s="20">
        <f>IFERROR(IF([1]对账明细接口!$S770=0,"",[1]对账明细接口!$S770),"")</f>
      </c>
      <c r="Y770" s="20">
        <f>IFERROR(IF([1]对账明细接口!$T770=0,"",[1]对账明细接口!$T770),"")</f>
      </c>
      <c r="Z770" s="213">
        <f>IFERROR(IF([1]对账明细接口!$U770=0,"",[1]对账明细接口!$U770),"")</f>
      </c>
      <c r="AA770" s="213">
        <f>IFERROR(IF([1]对账明细接口!$V770=0,"",[1]对账明细接口!$V770),"")</f>
      </c>
      <c r="AB770" s="20">
        <f>IFERROR(IF([1]对账明细接口!$W770=0,"",[1]对账明细接口!$W770),"")</f>
      </c>
      <c r="AC770" s="7">
        <f>IFERROR(IF([1]对账明细接口!$X770=0,"",[1]对账明细接口!$X770),"")</f>
      </c>
      <c r="AD770" s="7">
        <f>IFERROR(IF([1]对账明细接口!$Y770=0,"",[1]对账明细接口!$Y770),"")</f>
      </c>
      <c r="AE770" s="7">
        <f>IFERROR(IF([1]对账明细接口!$AA770=0,"",[1]对账明细接口!$AA770),"")</f>
      </c>
      <c r="AF770" s="7">
        <f>IFERROR(IF([1]对账明细接口!$AB770=0,"",[1]对账明细接口!$AB770),"")</f>
      </c>
      <c r="AG770" s="7">
        <f>IFERROR(IF([1]对账明细接口!$AC770=0,"",[1]对账明细接口!$AC770),"")</f>
      </c>
      <c r="AH770" s="7">
        <f>IFERROR(IF([1]对账明细接口!$AD770=0,"",[1]对账明细接口!$AD770),"")</f>
      </c>
      <c r="AI770" s="7">
        <f>IFERROR(IF([1]对账明细接口!$AE770=0,"",[1]对账明细接口!$AE770),"")</f>
      </c>
      <c r="AJ770" s="7">
        <f>IFERROR(IF([1]对账明细接口!$AF770=0,"",[1]对账明细接口!$AF770),"")</f>
      </c>
    </row>
    <row r="771" ht="14.25" customHeight="1" s="127">
      <c r="A771" s="14" t="n">
        <v>771</v>
      </c>
      <c r="B771" s="211">
        <f>IFERROR(IF([1]对账明细接口!$B$771=0,"",[1]对账明细接口!$B$771),"")</f>
      </c>
      <c r="C771" s="16">
        <f>IFERROR(IF([1]对账明细接口!$C$771=0,"",[1]对账明细接口!$C$771),"")</f>
      </c>
      <c r="D771" s="16">
        <f>IFERROR(IF([1]对账明细接口!$D$771=0,"",[1]对账明细接口!$D$771),"")</f>
      </c>
      <c r="E771" s="16">
        <f>IFERROR(IF([1]对账明细接口!$E$771=0,"",[1]对账明细接口!$E$771),"")</f>
      </c>
      <c r="F771" s="16">
        <f>IFERROR(IF([1]对账明细接口!$F$771=0,"",[1]对账明细接口!$F$771),"")</f>
      </c>
      <c r="G771" s="16">
        <f>IFERROR(IF([1]对账明细接口!$G$771=0,"",[1]对账明细接口!$G$771),"")</f>
      </c>
      <c r="H771" s="176">
        <f>IFERROR(IF([1]对账明细接口!$H$771=0,"",[1]对账明细接口!$H$771),"")</f>
      </c>
      <c r="I771" s="16">
        <f>IFERROR(IF([1]对账明细接口!$I$771=0,"",[1]对账明细接口!$I$771),"")</f>
      </c>
      <c r="J771" s="177">
        <f>IFERROR(IF([1]对账明细接口!$J$771=0,"",[1]对账明细接口!$J$771),"")</f>
      </c>
      <c r="K771" s="177">
        <f>IFERROR(IF([1]对账明细接口!$K$771=0,"",[1]对账明细接口!$K$771),"")</f>
      </c>
      <c r="L771" s="16">
        <f>IFERROR(IF([1]对账明细接口!$L$771=0,"",[1]对账明细接口!$L$771),"")</f>
      </c>
      <c r="M771" s="16">
        <f>IFERROR(IF([1]对账明细接口!$M$771=0,"",[1]对账明细接口!$M$771),"")</f>
      </c>
      <c r="N771" s="19">
        <f>IF($C771="",0,1)</f>
        <v>0</v>
      </c>
      <c r="O771" s="19">
        <f>N(O770)+$N771</f>
        <v>637</v>
      </c>
      <c r="S771" s="20">
        <f>IFERROR(IF([1]对账明细接口!$N771=0,"",[1]对账明细接口!$N771),"")</f>
      </c>
      <c r="T771" s="212">
        <f>IFERROR(IF([1]对账明细接口!$O771=0,"",[1]对账明细接口!$O771),"")</f>
      </c>
      <c r="U771" s="212">
        <f>IFERROR(IF([1]对账明细接口!$P771=0,"",[1]对账明细接口!$P771),"")</f>
      </c>
      <c r="V771" s="212">
        <f>IFERROR(IF([1]对账明细接口!$Q771=0,"",[1]对账明细接口!$Q771),"")</f>
      </c>
      <c r="W771" s="20">
        <f>IFERROR(IF([1]对账明细接口!$R771=0,"",[1]对账明细接口!$R771),"")</f>
      </c>
      <c r="X771" s="20">
        <f>IFERROR(IF([1]对账明细接口!$S771=0,"",[1]对账明细接口!$S771),"")</f>
      </c>
      <c r="Y771" s="20">
        <f>IFERROR(IF([1]对账明细接口!$T771=0,"",[1]对账明细接口!$T771),"")</f>
      </c>
      <c r="Z771" s="213">
        <f>IFERROR(IF([1]对账明细接口!$U771=0,"",[1]对账明细接口!$U771),"")</f>
      </c>
      <c r="AA771" s="213">
        <f>IFERROR(IF([1]对账明细接口!$V771=0,"",[1]对账明细接口!$V771),"")</f>
      </c>
      <c r="AB771" s="20">
        <f>IFERROR(IF([1]对账明细接口!$W771=0,"",[1]对账明细接口!$W771),"")</f>
      </c>
      <c r="AC771" s="7">
        <f>IFERROR(IF([1]对账明细接口!$X771=0,"",[1]对账明细接口!$X771),"")</f>
      </c>
      <c r="AD771" s="7">
        <f>IFERROR(IF([1]对账明细接口!$Y771=0,"",[1]对账明细接口!$Y771),"")</f>
      </c>
      <c r="AE771" s="7">
        <f>IFERROR(IF([1]对账明细接口!$AA771=0,"",[1]对账明细接口!$AA771),"")</f>
      </c>
      <c r="AF771" s="7">
        <f>IFERROR(IF([1]对账明细接口!$AB771=0,"",[1]对账明细接口!$AB771),"")</f>
      </c>
      <c r="AG771" s="7">
        <f>IFERROR(IF([1]对账明细接口!$AC771=0,"",[1]对账明细接口!$AC771),"")</f>
      </c>
      <c r="AH771" s="7">
        <f>IFERROR(IF([1]对账明细接口!$AD771=0,"",[1]对账明细接口!$AD771),"")</f>
      </c>
      <c r="AI771" s="7">
        <f>IFERROR(IF([1]对账明细接口!$AE771=0,"",[1]对账明细接口!$AE771),"")</f>
      </c>
      <c r="AJ771" s="7">
        <f>IFERROR(IF([1]对账明细接口!$AF771=0,"",[1]对账明细接口!$AF771),"")</f>
      </c>
    </row>
    <row r="772" ht="14.25" customHeight="1" s="127">
      <c r="A772" s="14" t="n">
        <v>772</v>
      </c>
      <c r="B772" s="211">
        <f>IFERROR(IF([1]对账明细接口!$B$772=0,"",[1]对账明细接口!$B$772),"")</f>
      </c>
      <c r="C772" s="16">
        <f>IFERROR(IF([1]对账明细接口!$C$772=0,"",[1]对账明细接口!$C$772),"")</f>
      </c>
      <c r="D772" s="16">
        <f>IFERROR(IF([1]对账明细接口!$D$772=0,"",[1]对账明细接口!$D$772),"")</f>
      </c>
      <c r="E772" s="16">
        <f>IFERROR(IF([1]对账明细接口!$E$772=0,"",[1]对账明细接口!$E$772),"")</f>
      </c>
      <c r="F772" s="16">
        <f>IFERROR(IF([1]对账明细接口!$F$772=0,"",[1]对账明细接口!$F$772),"")</f>
      </c>
      <c r="G772" s="16">
        <f>IFERROR(IF([1]对账明细接口!$G$772=0,"",[1]对账明细接口!$G$772),"")</f>
      </c>
      <c r="H772" s="176">
        <f>IFERROR(IF([1]对账明细接口!$H$772=0,"",[1]对账明细接口!$H$772),"")</f>
      </c>
      <c r="I772" s="16">
        <f>IFERROR(IF([1]对账明细接口!$I$772=0,"",[1]对账明细接口!$I$772),"")</f>
      </c>
      <c r="J772" s="177">
        <f>IFERROR(IF([1]对账明细接口!$J$772=0,"",[1]对账明细接口!$J$772),"")</f>
      </c>
      <c r="K772" s="177">
        <f>IFERROR(IF([1]对账明细接口!$K$772=0,"",[1]对账明细接口!$K$772),"")</f>
      </c>
      <c r="L772" s="16">
        <f>IFERROR(IF([1]对账明细接口!$L$772=0,"",[1]对账明细接口!$L$772),"")</f>
      </c>
      <c r="M772" s="16">
        <f>IFERROR(IF([1]对账明细接口!$M$772=0,"",[1]对账明细接口!$M$772),"")</f>
      </c>
      <c r="N772" s="19">
        <f>IF($C772="",0,1)</f>
        <v>0</v>
      </c>
      <c r="O772" s="19">
        <f>N(O771)+$N772</f>
        <v>637</v>
      </c>
      <c r="S772" s="20">
        <f>IFERROR(IF([1]对账明细接口!$N772=0,"",[1]对账明细接口!$N772),"")</f>
      </c>
      <c r="T772" s="212">
        <f>IFERROR(IF([1]对账明细接口!$O772=0,"",[1]对账明细接口!$O772),"")</f>
      </c>
      <c r="U772" s="212">
        <f>IFERROR(IF([1]对账明细接口!$P772=0,"",[1]对账明细接口!$P772),"")</f>
      </c>
      <c r="V772" s="212">
        <f>IFERROR(IF([1]对账明细接口!$Q772=0,"",[1]对账明细接口!$Q772),"")</f>
      </c>
      <c r="W772" s="20">
        <f>IFERROR(IF([1]对账明细接口!$R772=0,"",[1]对账明细接口!$R772),"")</f>
      </c>
      <c r="X772" s="20">
        <f>IFERROR(IF([1]对账明细接口!$S772=0,"",[1]对账明细接口!$S772),"")</f>
      </c>
      <c r="Y772" s="20">
        <f>IFERROR(IF([1]对账明细接口!$T772=0,"",[1]对账明细接口!$T772),"")</f>
      </c>
      <c r="Z772" s="213">
        <f>IFERROR(IF([1]对账明细接口!$U772=0,"",[1]对账明细接口!$U772),"")</f>
      </c>
      <c r="AA772" s="213">
        <f>IFERROR(IF([1]对账明细接口!$V772=0,"",[1]对账明细接口!$V772),"")</f>
      </c>
      <c r="AB772" s="20">
        <f>IFERROR(IF([1]对账明细接口!$W772=0,"",[1]对账明细接口!$W772),"")</f>
      </c>
      <c r="AC772" s="7">
        <f>IFERROR(IF([1]对账明细接口!$X772=0,"",[1]对账明细接口!$X772),"")</f>
      </c>
      <c r="AD772" s="7">
        <f>IFERROR(IF([1]对账明细接口!$Y772=0,"",[1]对账明细接口!$Y772),"")</f>
      </c>
      <c r="AE772" s="7">
        <f>IFERROR(IF([1]对账明细接口!$AA772=0,"",[1]对账明细接口!$AA772),"")</f>
      </c>
      <c r="AF772" s="7">
        <f>IFERROR(IF([1]对账明细接口!$AB772=0,"",[1]对账明细接口!$AB772),"")</f>
      </c>
      <c r="AG772" s="7">
        <f>IFERROR(IF([1]对账明细接口!$AC772=0,"",[1]对账明细接口!$AC772),"")</f>
      </c>
      <c r="AH772" s="7">
        <f>IFERROR(IF([1]对账明细接口!$AD772=0,"",[1]对账明细接口!$AD772),"")</f>
      </c>
      <c r="AI772" s="7">
        <f>IFERROR(IF([1]对账明细接口!$AE772=0,"",[1]对账明细接口!$AE772),"")</f>
      </c>
      <c r="AJ772" s="7">
        <f>IFERROR(IF([1]对账明细接口!$AF772=0,"",[1]对账明细接口!$AF772),"")</f>
      </c>
    </row>
    <row r="773" ht="14.25" customHeight="1" s="127">
      <c r="A773" s="14" t="n">
        <v>773</v>
      </c>
      <c r="B773" s="211">
        <f>IFERROR(IF([1]对账明细接口!$B$773=0,"",[1]对账明细接口!$B$773),"")</f>
      </c>
      <c r="C773" s="16">
        <f>IFERROR(IF([1]对账明细接口!$C$773=0,"",[1]对账明细接口!$C$773),"")</f>
      </c>
      <c r="D773" s="16">
        <f>IFERROR(IF([1]对账明细接口!$D$773=0,"",[1]对账明细接口!$D$773),"")</f>
      </c>
      <c r="E773" s="16">
        <f>IFERROR(IF([1]对账明细接口!$E$773=0,"",[1]对账明细接口!$E$773),"")</f>
      </c>
      <c r="F773" s="16">
        <f>IFERROR(IF([1]对账明细接口!$F$773=0,"",[1]对账明细接口!$F$773),"")</f>
      </c>
      <c r="G773" s="16">
        <f>IFERROR(IF([1]对账明细接口!$G$773=0,"",[1]对账明细接口!$G$773),"")</f>
      </c>
      <c r="H773" s="176">
        <f>IFERROR(IF([1]对账明细接口!$H$773=0,"",[1]对账明细接口!$H$773),"")</f>
      </c>
      <c r="I773" s="16">
        <f>IFERROR(IF([1]对账明细接口!$I$773=0,"",[1]对账明细接口!$I$773),"")</f>
      </c>
      <c r="J773" s="177">
        <f>IFERROR(IF([1]对账明细接口!$J$773=0,"",[1]对账明细接口!$J$773),"")</f>
      </c>
      <c r="K773" s="177">
        <f>IFERROR(IF([1]对账明细接口!$K$773=0,"",[1]对账明细接口!$K$773),"")</f>
      </c>
      <c r="L773" s="16">
        <f>IFERROR(IF([1]对账明细接口!$L$773=0,"",[1]对账明细接口!$L$773),"")</f>
      </c>
      <c r="M773" s="16">
        <f>IFERROR(IF([1]对账明细接口!$M$773=0,"",[1]对账明细接口!$M$773),"")</f>
      </c>
      <c r="N773" s="19">
        <f>IF($C773="",0,1)</f>
        <v>0</v>
      </c>
      <c r="O773" s="19">
        <f>N(O772)+$N773</f>
        <v>637</v>
      </c>
      <c r="S773" s="20">
        <f>IFERROR(IF([1]对账明细接口!$N773=0,"",[1]对账明细接口!$N773),"")</f>
      </c>
      <c r="T773" s="212">
        <f>IFERROR(IF([1]对账明细接口!$O773=0,"",[1]对账明细接口!$O773),"")</f>
      </c>
      <c r="U773" s="212">
        <f>IFERROR(IF([1]对账明细接口!$P773=0,"",[1]对账明细接口!$P773),"")</f>
      </c>
      <c r="V773" s="212">
        <f>IFERROR(IF([1]对账明细接口!$Q773=0,"",[1]对账明细接口!$Q773),"")</f>
      </c>
      <c r="W773" s="20">
        <f>IFERROR(IF([1]对账明细接口!$R773=0,"",[1]对账明细接口!$R773),"")</f>
      </c>
      <c r="X773" s="20">
        <f>IFERROR(IF([1]对账明细接口!$S773=0,"",[1]对账明细接口!$S773),"")</f>
      </c>
      <c r="Y773" s="20">
        <f>IFERROR(IF([1]对账明细接口!$T773=0,"",[1]对账明细接口!$T773),"")</f>
      </c>
      <c r="Z773" s="213">
        <f>IFERROR(IF([1]对账明细接口!$U773=0,"",[1]对账明细接口!$U773),"")</f>
      </c>
      <c r="AA773" s="213">
        <f>IFERROR(IF([1]对账明细接口!$V773=0,"",[1]对账明细接口!$V773),"")</f>
      </c>
      <c r="AB773" s="20">
        <f>IFERROR(IF([1]对账明细接口!$W773=0,"",[1]对账明细接口!$W773),"")</f>
      </c>
      <c r="AC773" s="7">
        <f>IFERROR(IF([1]对账明细接口!$X773=0,"",[1]对账明细接口!$X773),"")</f>
      </c>
      <c r="AD773" s="7">
        <f>IFERROR(IF([1]对账明细接口!$Y773=0,"",[1]对账明细接口!$Y773),"")</f>
      </c>
      <c r="AE773" s="7">
        <f>IFERROR(IF([1]对账明细接口!$AA773=0,"",[1]对账明细接口!$AA773),"")</f>
      </c>
      <c r="AF773" s="7">
        <f>IFERROR(IF([1]对账明细接口!$AB773=0,"",[1]对账明细接口!$AB773),"")</f>
      </c>
      <c r="AG773" s="7">
        <f>IFERROR(IF([1]对账明细接口!$AC773=0,"",[1]对账明细接口!$AC773),"")</f>
      </c>
      <c r="AH773" s="7">
        <f>IFERROR(IF([1]对账明细接口!$AD773=0,"",[1]对账明细接口!$AD773),"")</f>
      </c>
      <c r="AI773" s="7">
        <f>IFERROR(IF([1]对账明细接口!$AE773=0,"",[1]对账明细接口!$AE773),"")</f>
      </c>
      <c r="AJ773" s="7">
        <f>IFERROR(IF([1]对账明细接口!$AF773=0,"",[1]对账明细接口!$AF773),"")</f>
      </c>
    </row>
    <row r="774" ht="14.25" customHeight="1" s="127">
      <c r="A774" s="14" t="n">
        <v>774</v>
      </c>
      <c r="B774" s="211">
        <f>IFERROR(IF([1]对账明细接口!$B$774=0,"",[1]对账明细接口!$B$774),"")</f>
      </c>
      <c r="C774" s="16">
        <f>IFERROR(IF([1]对账明细接口!$C$774=0,"",[1]对账明细接口!$C$774),"")</f>
      </c>
      <c r="D774" s="16">
        <f>IFERROR(IF([1]对账明细接口!$D$774=0,"",[1]对账明细接口!$D$774),"")</f>
      </c>
      <c r="E774" s="16">
        <f>IFERROR(IF([1]对账明细接口!$E$774=0,"",[1]对账明细接口!$E$774),"")</f>
      </c>
      <c r="F774" s="16">
        <f>IFERROR(IF([1]对账明细接口!$F$774=0,"",[1]对账明细接口!$F$774),"")</f>
      </c>
      <c r="G774" s="16">
        <f>IFERROR(IF([1]对账明细接口!$G$774=0,"",[1]对账明细接口!$G$774),"")</f>
      </c>
      <c r="H774" s="176">
        <f>IFERROR(IF([1]对账明细接口!$H$774=0,"",[1]对账明细接口!$H$774),"")</f>
      </c>
      <c r="I774" s="16">
        <f>IFERROR(IF([1]对账明细接口!$I$774=0,"",[1]对账明细接口!$I$774),"")</f>
      </c>
      <c r="J774" s="177">
        <f>IFERROR(IF([1]对账明细接口!$J$774=0,"",[1]对账明细接口!$J$774),"")</f>
      </c>
      <c r="K774" s="177">
        <f>IFERROR(IF([1]对账明细接口!$K$774=0,"",[1]对账明细接口!$K$774),"")</f>
      </c>
      <c r="L774" s="16">
        <f>IFERROR(IF([1]对账明细接口!$L$774=0,"",[1]对账明细接口!$L$774),"")</f>
      </c>
      <c r="M774" s="16">
        <f>IFERROR(IF([1]对账明细接口!$M$774=0,"",[1]对账明细接口!$M$774),"")</f>
      </c>
      <c r="N774" s="19">
        <f>IF($C774="",0,1)</f>
        <v>0</v>
      </c>
      <c r="O774" s="19">
        <f>N(O773)+$N774</f>
        <v>637</v>
      </c>
      <c r="S774" s="20">
        <f>IFERROR(IF([1]对账明细接口!$N774=0,"",[1]对账明细接口!$N774),"")</f>
      </c>
      <c r="T774" s="212">
        <f>IFERROR(IF([1]对账明细接口!$O774=0,"",[1]对账明细接口!$O774),"")</f>
      </c>
      <c r="U774" s="212">
        <f>IFERROR(IF([1]对账明细接口!$P774=0,"",[1]对账明细接口!$P774),"")</f>
      </c>
      <c r="V774" s="212">
        <f>IFERROR(IF([1]对账明细接口!$Q774=0,"",[1]对账明细接口!$Q774),"")</f>
      </c>
      <c r="W774" s="20">
        <f>IFERROR(IF([1]对账明细接口!$R774=0,"",[1]对账明细接口!$R774),"")</f>
      </c>
      <c r="X774" s="20">
        <f>IFERROR(IF([1]对账明细接口!$S774=0,"",[1]对账明细接口!$S774),"")</f>
      </c>
      <c r="Y774" s="20">
        <f>IFERROR(IF([1]对账明细接口!$T774=0,"",[1]对账明细接口!$T774),"")</f>
      </c>
      <c r="Z774" s="213">
        <f>IFERROR(IF([1]对账明细接口!$U774=0,"",[1]对账明细接口!$U774),"")</f>
      </c>
      <c r="AA774" s="213">
        <f>IFERROR(IF([1]对账明细接口!$V774=0,"",[1]对账明细接口!$V774),"")</f>
      </c>
      <c r="AB774" s="20">
        <f>IFERROR(IF([1]对账明细接口!$W774=0,"",[1]对账明细接口!$W774),"")</f>
      </c>
      <c r="AC774" s="7">
        <f>IFERROR(IF([1]对账明细接口!$X774=0,"",[1]对账明细接口!$X774),"")</f>
      </c>
      <c r="AD774" s="7">
        <f>IFERROR(IF([1]对账明细接口!$Y774=0,"",[1]对账明细接口!$Y774),"")</f>
      </c>
      <c r="AE774" s="7">
        <f>IFERROR(IF([1]对账明细接口!$AA774=0,"",[1]对账明细接口!$AA774),"")</f>
      </c>
      <c r="AF774" s="7">
        <f>IFERROR(IF([1]对账明细接口!$AB774=0,"",[1]对账明细接口!$AB774),"")</f>
      </c>
      <c r="AG774" s="7">
        <f>IFERROR(IF([1]对账明细接口!$AC774=0,"",[1]对账明细接口!$AC774),"")</f>
      </c>
      <c r="AH774" s="7">
        <f>IFERROR(IF([1]对账明细接口!$AD774=0,"",[1]对账明细接口!$AD774),"")</f>
      </c>
      <c r="AI774" s="7">
        <f>IFERROR(IF([1]对账明细接口!$AE774=0,"",[1]对账明细接口!$AE774),"")</f>
      </c>
      <c r="AJ774" s="7">
        <f>IFERROR(IF([1]对账明细接口!$AF774=0,"",[1]对账明细接口!$AF774),"")</f>
      </c>
    </row>
    <row r="775" ht="14.25" customHeight="1" s="127">
      <c r="A775" s="14" t="n">
        <v>775</v>
      </c>
      <c r="B775" s="211">
        <f>IFERROR(IF([1]对账明细接口!$B$775=0,"",[1]对账明细接口!$B$775),"")</f>
      </c>
      <c r="C775" s="16">
        <f>IFERROR(IF([1]对账明细接口!$C$775=0,"",[1]对账明细接口!$C$775),"")</f>
      </c>
      <c r="D775" s="16">
        <f>IFERROR(IF([1]对账明细接口!$D$775=0,"",[1]对账明细接口!$D$775),"")</f>
      </c>
      <c r="E775" s="16">
        <f>IFERROR(IF([1]对账明细接口!$E$775=0,"",[1]对账明细接口!$E$775),"")</f>
      </c>
      <c r="F775" s="16">
        <f>IFERROR(IF([1]对账明细接口!$F$775=0,"",[1]对账明细接口!$F$775),"")</f>
      </c>
      <c r="G775" s="16">
        <f>IFERROR(IF([1]对账明细接口!$G$775=0,"",[1]对账明细接口!$G$775),"")</f>
      </c>
      <c r="H775" s="176">
        <f>IFERROR(IF([1]对账明细接口!$H$775=0,"",[1]对账明细接口!$H$775),"")</f>
      </c>
      <c r="I775" s="16">
        <f>IFERROR(IF([1]对账明细接口!$I$775=0,"",[1]对账明细接口!$I$775),"")</f>
      </c>
      <c r="J775" s="177">
        <f>IFERROR(IF([1]对账明细接口!$J$775=0,"",[1]对账明细接口!$J$775),"")</f>
      </c>
      <c r="K775" s="177">
        <f>IFERROR(IF([1]对账明细接口!$K$775=0,"",[1]对账明细接口!$K$775),"")</f>
      </c>
      <c r="L775" s="16">
        <f>IFERROR(IF([1]对账明细接口!$L$775=0,"",[1]对账明细接口!$L$775),"")</f>
      </c>
      <c r="M775" s="16">
        <f>IFERROR(IF([1]对账明细接口!$M$775=0,"",[1]对账明细接口!$M$775),"")</f>
      </c>
      <c r="N775" s="19">
        <f>IF($C775="",0,1)</f>
        <v>0</v>
      </c>
      <c r="O775" s="19">
        <f>N(O774)+$N775</f>
        <v>637</v>
      </c>
      <c r="S775" s="20">
        <f>IFERROR(IF([1]对账明细接口!$N775=0,"",[1]对账明细接口!$N775),"")</f>
      </c>
      <c r="T775" s="212">
        <f>IFERROR(IF([1]对账明细接口!$O775=0,"",[1]对账明细接口!$O775),"")</f>
      </c>
      <c r="U775" s="212">
        <f>IFERROR(IF([1]对账明细接口!$P775=0,"",[1]对账明细接口!$P775),"")</f>
      </c>
      <c r="V775" s="212">
        <f>IFERROR(IF([1]对账明细接口!$Q775=0,"",[1]对账明细接口!$Q775),"")</f>
      </c>
      <c r="W775" s="20">
        <f>IFERROR(IF([1]对账明细接口!$R775=0,"",[1]对账明细接口!$R775),"")</f>
      </c>
      <c r="X775" s="20">
        <f>IFERROR(IF([1]对账明细接口!$S775=0,"",[1]对账明细接口!$S775),"")</f>
      </c>
      <c r="Y775" s="20">
        <f>IFERROR(IF([1]对账明细接口!$T775=0,"",[1]对账明细接口!$T775),"")</f>
      </c>
      <c r="Z775" s="213">
        <f>IFERROR(IF([1]对账明细接口!$U775=0,"",[1]对账明细接口!$U775),"")</f>
      </c>
      <c r="AA775" s="213">
        <f>IFERROR(IF([1]对账明细接口!$V775=0,"",[1]对账明细接口!$V775),"")</f>
      </c>
      <c r="AB775" s="20">
        <f>IFERROR(IF([1]对账明细接口!$W775=0,"",[1]对账明细接口!$W775),"")</f>
      </c>
      <c r="AC775" s="7">
        <f>IFERROR(IF([1]对账明细接口!$X775=0,"",[1]对账明细接口!$X775),"")</f>
      </c>
      <c r="AD775" s="7">
        <f>IFERROR(IF([1]对账明细接口!$Y775=0,"",[1]对账明细接口!$Y775),"")</f>
      </c>
      <c r="AE775" s="7">
        <f>IFERROR(IF([1]对账明细接口!$AA775=0,"",[1]对账明细接口!$AA775),"")</f>
      </c>
      <c r="AF775" s="7">
        <f>IFERROR(IF([1]对账明细接口!$AB775=0,"",[1]对账明细接口!$AB775),"")</f>
      </c>
      <c r="AG775" s="7">
        <f>IFERROR(IF([1]对账明细接口!$AC775=0,"",[1]对账明细接口!$AC775),"")</f>
      </c>
      <c r="AH775" s="7">
        <f>IFERROR(IF([1]对账明细接口!$AD775=0,"",[1]对账明细接口!$AD775),"")</f>
      </c>
      <c r="AI775" s="7">
        <f>IFERROR(IF([1]对账明细接口!$AE775=0,"",[1]对账明细接口!$AE775),"")</f>
      </c>
      <c r="AJ775" s="7">
        <f>IFERROR(IF([1]对账明细接口!$AF775=0,"",[1]对账明细接口!$AF775),"")</f>
      </c>
    </row>
    <row r="776" ht="14.25" customHeight="1" s="127">
      <c r="A776" s="14" t="n">
        <v>776</v>
      </c>
      <c r="B776" s="211">
        <f>IFERROR(IF([1]对账明细接口!$B$776=0,"",[1]对账明细接口!$B$776),"")</f>
      </c>
      <c r="C776" s="16">
        <f>IFERROR(IF([1]对账明细接口!$C$776=0,"",[1]对账明细接口!$C$776),"")</f>
      </c>
      <c r="D776" s="16">
        <f>IFERROR(IF([1]对账明细接口!$D$776=0,"",[1]对账明细接口!$D$776),"")</f>
      </c>
      <c r="E776" s="16">
        <f>IFERROR(IF([1]对账明细接口!$E$776=0,"",[1]对账明细接口!$E$776),"")</f>
      </c>
      <c r="F776" s="16">
        <f>IFERROR(IF([1]对账明细接口!$F$776=0,"",[1]对账明细接口!$F$776),"")</f>
      </c>
      <c r="G776" s="16">
        <f>IFERROR(IF([1]对账明细接口!$G$776=0,"",[1]对账明细接口!$G$776),"")</f>
      </c>
      <c r="H776" s="176">
        <f>IFERROR(IF([1]对账明细接口!$H$776=0,"",[1]对账明细接口!$H$776),"")</f>
      </c>
      <c r="I776" s="16">
        <f>IFERROR(IF([1]对账明细接口!$I$776=0,"",[1]对账明细接口!$I$776),"")</f>
      </c>
      <c r="J776" s="177">
        <f>IFERROR(IF([1]对账明细接口!$J$776=0,"",[1]对账明细接口!$J$776),"")</f>
      </c>
      <c r="K776" s="177">
        <f>IFERROR(IF([1]对账明细接口!$K$776=0,"",[1]对账明细接口!$K$776),"")</f>
      </c>
      <c r="L776" s="16">
        <f>IFERROR(IF([1]对账明细接口!$L$776=0,"",[1]对账明细接口!$L$776),"")</f>
      </c>
      <c r="M776" s="16">
        <f>IFERROR(IF([1]对账明细接口!$M$776=0,"",[1]对账明细接口!$M$776),"")</f>
      </c>
      <c r="N776" s="19">
        <f>IF($C776="",0,1)</f>
        <v>0</v>
      </c>
      <c r="O776" s="19">
        <f>N(O775)+$N776</f>
        <v>637</v>
      </c>
      <c r="S776" s="20">
        <f>IFERROR(IF([1]对账明细接口!$N776=0,"",[1]对账明细接口!$N776),"")</f>
      </c>
      <c r="T776" s="212">
        <f>IFERROR(IF([1]对账明细接口!$O776=0,"",[1]对账明细接口!$O776),"")</f>
      </c>
      <c r="U776" s="212">
        <f>IFERROR(IF([1]对账明细接口!$P776=0,"",[1]对账明细接口!$P776),"")</f>
      </c>
      <c r="V776" s="212">
        <f>IFERROR(IF([1]对账明细接口!$Q776=0,"",[1]对账明细接口!$Q776),"")</f>
      </c>
      <c r="W776" s="20">
        <f>IFERROR(IF([1]对账明细接口!$R776=0,"",[1]对账明细接口!$R776),"")</f>
      </c>
      <c r="X776" s="20">
        <f>IFERROR(IF([1]对账明细接口!$S776=0,"",[1]对账明细接口!$S776),"")</f>
      </c>
      <c r="Y776" s="20">
        <f>IFERROR(IF([1]对账明细接口!$T776=0,"",[1]对账明细接口!$T776),"")</f>
      </c>
      <c r="Z776" s="213">
        <f>IFERROR(IF([1]对账明细接口!$U776=0,"",[1]对账明细接口!$U776),"")</f>
      </c>
      <c r="AA776" s="213">
        <f>IFERROR(IF([1]对账明细接口!$V776=0,"",[1]对账明细接口!$V776),"")</f>
      </c>
      <c r="AB776" s="20">
        <f>IFERROR(IF([1]对账明细接口!$W776=0,"",[1]对账明细接口!$W776),"")</f>
      </c>
      <c r="AC776" s="7">
        <f>IFERROR(IF([1]对账明细接口!$X776=0,"",[1]对账明细接口!$X776),"")</f>
      </c>
      <c r="AD776" s="7">
        <f>IFERROR(IF([1]对账明细接口!$Y776=0,"",[1]对账明细接口!$Y776),"")</f>
      </c>
      <c r="AE776" s="7">
        <f>IFERROR(IF([1]对账明细接口!$AA776=0,"",[1]对账明细接口!$AA776),"")</f>
      </c>
      <c r="AF776" s="7">
        <f>IFERROR(IF([1]对账明细接口!$AB776=0,"",[1]对账明细接口!$AB776),"")</f>
      </c>
      <c r="AG776" s="7">
        <f>IFERROR(IF([1]对账明细接口!$AC776=0,"",[1]对账明细接口!$AC776),"")</f>
      </c>
      <c r="AH776" s="7">
        <f>IFERROR(IF([1]对账明细接口!$AD776=0,"",[1]对账明细接口!$AD776),"")</f>
      </c>
      <c r="AI776" s="7">
        <f>IFERROR(IF([1]对账明细接口!$AE776=0,"",[1]对账明细接口!$AE776),"")</f>
      </c>
      <c r="AJ776" s="7">
        <f>IFERROR(IF([1]对账明细接口!$AF776=0,"",[1]对账明细接口!$AF776),"")</f>
      </c>
    </row>
    <row r="777" ht="14.25" customHeight="1" s="127">
      <c r="A777" s="14" t="n">
        <v>777</v>
      </c>
      <c r="B777" s="211">
        <f>IFERROR(IF([1]对账明细接口!$B$777=0,"",[1]对账明细接口!$B$777),"")</f>
      </c>
      <c r="C777" s="16">
        <f>IFERROR(IF([1]对账明细接口!$C$777=0,"",[1]对账明细接口!$C$777),"")</f>
      </c>
      <c r="D777" s="16">
        <f>IFERROR(IF([1]对账明细接口!$D$777=0,"",[1]对账明细接口!$D$777),"")</f>
      </c>
      <c r="E777" s="16">
        <f>IFERROR(IF([1]对账明细接口!$E$777=0,"",[1]对账明细接口!$E$777),"")</f>
      </c>
      <c r="F777" s="16">
        <f>IFERROR(IF([1]对账明细接口!$F$777=0,"",[1]对账明细接口!$F$777),"")</f>
      </c>
      <c r="G777" s="16">
        <f>IFERROR(IF([1]对账明细接口!$G$777=0,"",[1]对账明细接口!$G$777),"")</f>
      </c>
      <c r="H777" s="176">
        <f>IFERROR(IF([1]对账明细接口!$H$777=0,"",[1]对账明细接口!$H$777),"")</f>
      </c>
      <c r="I777" s="16">
        <f>IFERROR(IF([1]对账明细接口!$I$777=0,"",[1]对账明细接口!$I$777),"")</f>
      </c>
      <c r="J777" s="177">
        <f>IFERROR(IF([1]对账明细接口!$J$777=0,"",[1]对账明细接口!$J$777),"")</f>
      </c>
      <c r="K777" s="177">
        <f>IFERROR(IF([1]对账明细接口!$K$777=0,"",[1]对账明细接口!$K$777),"")</f>
      </c>
      <c r="L777" s="16">
        <f>IFERROR(IF([1]对账明细接口!$L$777=0,"",[1]对账明细接口!$L$777),"")</f>
      </c>
      <c r="M777" s="16">
        <f>IFERROR(IF([1]对账明细接口!$M$777=0,"",[1]对账明细接口!$M$777),"")</f>
      </c>
      <c r="N777" s="19">
        <f>IF($C777="",0,1)</f>
        <v>0</v>
      </c>
      <c r="O777" s="19">
        <f>N(O776)+$N777</f>
        <v>637</v>
      </c>
      <c r="S777" s="20">
        <f>IFERROR(IF([1]对账明细接口!$N777=0,"",[1]对账明细接口!$N777),"")</f>
      </c>
      <c r="T777" s="212">
        <f>IFERROR(IF([1]对账明细接口!$O777=0,"",[1]对账明细接口!$O777),"")</f>
      </c>
      <c r="U777" s="212">
        <f>IFERROR(IF([1]对账明细接口!$P777=0,"",[1]对账明细接口!$P777),"")</f>
      </c>
      <c r="V777" s="212">
        <f>IFERROR(IF([1]对账明细接口!$Q777=0,"",[1]对账明细接口!$Q777),"")</f>
      </c>
      <c r="W777" s="20">
        <f>IFERROR(IF([1]对账明细接口!$R777=0,"",[1]对账明细接口!$R777),"")</f>
      </c>
      <c r="X777" s="20">
        <f>IFERROR(IF([1]对账明细接口!$S777=0,"",[1]对账明细接口!$S777),"")</f>
      </c>
      <c r="Y777" s="20">
        <f>IFERROR(IF([1]对账明细接口!$T777=0,"",[1]对账明细接口!$T777),"")</f>
      </c>
      <c r="Z777" s="213">
        <f>IFERROR(IF([1]对账明细接口!$U777=0,"",[1]对账明细接口!$U777),"")</f>
      </c>
      <c r="AA777" s="213">
        <f>IFERROR(IF([1]对账明细接口!$V777=0,"",[1]对账明细接口!$V777),"")</f>
      </c>
      <c r="AB777" s="20">
        <f>IFERROR(IF([1]对账明细接口!$W777=0,"",[1]对账明细接口!$W777),"")</f>
      </c>
      <c r="AC777" s="7">
        <f>IFERROR(IF([1]对账明细接口!$X777=0,"",[1]对账明细接口!$X777),"")</f>
      </c>
      <c r="AD777" s="7">
        <f>IFERROR(IF([1]对账明细接口!$Y777=0,"",[1]对账明细接口!$Y777),"")</f>
      </c>
      <c r="AE777" s="7">
        <f>IFERROR(IF([1]对账明细接口!$AA777=0,"",[1]对账明细接口!$AA777),"")</f>
      </c>
      <c r="AF777" s="7">
        <f>IFERROR(IF([1]对账明细接口!$AB777=0,"",[1]对账明细接口!$AB777),"")</f>
      </c>
      <c r="AG777" s="7">
        <f>IFERROR(IF([1]对账明细接口!$AC777=0,"",[1]对账明细接口!$AC777),"")</f>
      </c>
      <c r="AH777" s="7">
        <f>IFERROR(IF([1]对账明细接口!$AD777=0,"",[1]对账明细接口!$AD777),"")</f>
      </c>
      <c r="AI777" s="7">
        <f>IFERROR(IF([1]对账明细接口!$AE777=0,"",[1]对账明细接口!$AE777),"")</f>
      </c>
      <c r="AJ777" s="7">
        <f>IFERROR(IF([1]对账明细接口!$AF777=0,"",[1]对账明细接口!$AF777),"")</f>
      </c>
    </row>
    <row r="778" ht="14.25" customHeight="1" s="127">
      <c r="A778" s="14" t="n">
        <v>778</v>
      </c>
      <c r="B778" s="211">
        <f>IFERROR(IF([1]对账明细接口!$B$778=0,"",[1]对账明细接口!$B$778),"")</f>
      </c>
      <c r="C778" s="16">
        <f>IFERROR(IF([1]对账明细接口!$C$778=0,"",[1]对账明细接口!$C$778),"")</f>
      </c>
      <c r="D778" s="16">
        <f>IFERROR(IF([1]对账明细接口!$D$778=0,"",[1]对账明细接口!$D$778),"")</f>
      </c>
      <c r="E778" s="16">
        <f>IFERROR(IF([1]对账明细接口!$E$778=0,"",[1]对账明细接口!$E$778),"")</f>
      </c>
      <c r="F778" s="16">
        <f>IFERROR(IF([1]对账明细接口!$F$778=0,"",[1]对账明细接口!$F$778),"")</f>
      </c>
      <c r="G778" s="16">
        <f>IFERROR(IF([1]对账明细接口!$G$778=0,"",[1]对账明细接口!$G$778),"")</f>
      </c>
      <c r="H778" s="176">
        <f>IFERROR(IF([1]对账明细接口!$H$778=0,"",[1]对账明细接口!$H$778),"")</f>
      </c>
      <c r="I778" s="16">
        <f>IFERROR(IF([1]对账明细接口!$I$778=0,"",[1]对账明细接口!$I$778),"")</f>
      </c>
      <c r="J778" s="177">
        <f>IFERROR(IF([1]对账明细接口!$J$778=0,"",[1]对账明细接口!$J$778),"")</f>
      </c>
      <c r="K778" s="177">
        <f>IFERROR(IF([1]对账明细接口!$K$778=0,"",[1]对账明细接口!$K$778),"")</f>
      </c>
      <c r="L778" s="16">
        <f>IFERROR(IF([1]对账明细接口!$L$778=0,"",[1]对账明细接口!$L$778),"")</f>
      </c>
      <c r="M778" s="16">
        <f>IFERROR(IF([1]对账明细接口!$M$778=0,"",[1]对账明细接口!$M$778),"")</f>
      </c>
      <c r="N778" s="19">
        <f>IF($C778="",0,1)</f>
        <v>0</v>
      </c>
      <c r="O778" s="19">
        <f>N(O777)+$N778</f>
        <v>637</v>
      </c>
      <c r="S778" s="20">
        <f>IFERROR(IF([1]对账明细接口!$N778=0,"",[1]对账明细接口!$N778),"")</f>
      </c>
      <c r="T778" s="212">
        <f>IFERROR(IF([1]对账明细接口!$O778=0,"",[1]对账明细接口!$O778),"")</f>
      </c>
      <c r="U778" s="212">
        <f>IFERROR(IF([1]对账明细接口!$P778=0,"",[1]对账明细接口!$P778),"")</f>
      </c>
      <c r="V778" s="212">
        <f>IFERROR(IF([1]对账明细接口!$Q778=0,"",[1]对账明细接口!$Q778),"")</f>
      </c>
      <c r="W778" s="20">
        <f>IFERROR(IF([1]对账明细接口!$R778=0,"",[1]对账明细接口!$R778),"")</f>
      </c>
      <c r="X778" s="20">
        <f>IFERROR(IF([1]对账明细接口!$S778=0,"",[1]对账明细接口!$S778),"")</f>
      </c>
      <c r="Y778" s="20">
        <f>IFERROR(IF([1]对账明细接口!$T778=0,"",[1]对账明细接口!$T778),"")</f>
      </c>
      <c r="Z778" s="213">
        <f>IFERROR(IF([1]对账明细接口!$U778=0,"",[1]对账明细接口!$U778),"")</f>
      </c>
      <c r="AA778" s="213">
        <f>IFERROR(IF([1]对账明细接口!$V778=0,"",[1]对账明细接口!$V778),"")</f>
      </c>
      <c r="AB778" s="20">
        <f>IFERROR(IF([1]对账明细接口!$W778=0,"",[1]对账明细接口!$W778),"")</f>
      </c>
      <c r="AC778" s="7">
        <f>IFERROR(IF([1]对账明细接口!$X778=0,"",[1]对账明细接口!$X778),"")</f>
      </c>
      <c r="AD778" s="7">
        <f>IFERROR(IF([1]对账明细接口!$Y778=0,"",[1]对账明细接口!$Y778),"")</f>
      </c>
      <c r="AE778" s="7">
        <f>IFERROR(IF([1]对账明细接口!$AA778=0,"",[1]对账明细接口!$AA778),"")</f>
      </c>
      <c r="AF778" s="7">
        <f>IFERROR(IF([1]对账明细接口!$AB778=0,"",[1]对账明细接口!$AB778),"")</f>
      </c>
      <c r="AG778" s="7">
        <f>IFERROR(IF([1]对账明细接口!$AC778=0,"",[1]对账明细接口!$AC778),"")</f>
      </c>
      <c r="AH778" s="7">
        <f>IFERROR(IF([1]对账明细接口!$AD778=0,"",[1]对账明细接口!$AD778),"")</f>
      </c>
      <c r="AI778" s="7">
        <f>IFERROR(IF([1]对账明细接口!$AE778=0,"",[1]对账明细接口!$AE778),"")</f>
      </c>
      <c r="AJ778" s="7">
        <f>IFERROR(IF([1]对账明细接口!$AF778=0,"",[1]对账明细接口!$AF778),"")</f>
      </c>
    </row>
    <row r="779" ht="14.25" customHeight="1" s="127">
      <c r="A779" s="14" t="n">
        <v>779</v>
      </c>
      <c r="B779" s="211">
        <f>IFERROR(IF([1]对账明细接口!$B$779=0,"",[1]对账明细接口!$B$779),"")</f>
      </c>
      <c r="C779" s="16">
        <f>IFERROR(IF([1]对账明细接口!$C$779=0,"",[1]对账明细接口!$C$779),"")</f>
      </c>
      <c r="D779" s="16">
        <f>IFERROR(IF([1]对账明细接口!$D$779=0,"",[1]对账明细接口!$D$779),"")</f>
      </c>
      <c r="E779" s="16">
        <f>IFERROR(IF([1]对账明细接口!$E$779=0,"",[1]对账明细接口!$E$779),"")</f>
      </c>
      <c r="F779" s="16">
        <f>IFERROR(IF([1]对账明细接口!$F$779=0,"",[1]对账明细接口!$F$779),"")</f>
      </c>
      <c r="G779" s="16">
        <f>IFERROR(IF([1]对账明细接口!$G$779=0,"",[1]对账明细接口!$G$779),"")</f>
      </c>
      <c r="H779" s="176">
        <f>IFERROR(IF([1]对账明细接口!$H$779=0,"",[1]对账明细接口!$H$779),"")</f>
      </c>
      <c r="I779" s="16">
        <f>IFERROR(IF([1]对账明细接口!$I$779=0,"",[1]对账明细接口!$I$779),"")</f>
      </c>
      <c r="J779" s="177">
        <f>IFERROR(IF([1]对账明细接口!$J$779=0,"",[1]对账明细接口!$J$779),"")</f>
      </c>
      <c r="K779" s="177">
        <f>IFERROR(IF([1]对账明细接口!$K$779=0,"",[1]对账明细接口!$K$779),"")</f>
      </c>
      <c r="L779" s="16">
        <f>IFERROR(IF([1]对账明细接口!$L$779=0,"",[1]对账明细接口!$L$779),"")</f>
      </c>
      <c r="M779" s="16">
        <f>IFERROR(IF([1]对账明细接口!$M$779=0,"",[1]对账明细接口!$M$779),"")</f>
      </c>
      <c r="N779" s="19">
        <f>IF($C779="",0,1)</f>
        <v>0</v>
      </c>
      <c r="O779" s="19">
        <f>N(O778)+$N779</f>
        <v>637</v>
      </c>
      <c r="S779" s="20">
        <f>IFERROR(IF([1]对账明细接口!$N779=0,"",[1]对账明细接口!$N779),"")</f>
      </c>
      <c r="T779" s="212">
        <f>IFERROR(IF([1]对账明细接口!$O779=0,"",[1]对账明细接口!$O779),"")</f>
      </c>
      <c r="U779" s="212">
        <f>IFERROR(IF([1]对账明细接口!$P779=0,"",[1]对账明细接口!$P779),"")</f>
      </c>
      <c r="V779" s="212">
        <f>IFERROR(IF([1]对账明细接口!$Q779=0,"",[1]对账明细接口!$Q779),"")</f>
      </c>
      <c r="W779" s="20">
        <f>IFERROR(IF([1]对账明细接口!$R779=0,"",[1]对账明细接口!$R779),"")</f>
      </c>
      <c r="X779" s="20">
        <f>IFERROR(IF([1]对账明细接口!$S779=0,"",[1]对账明细接口!$S779),"")</f>
      </c>
      <c r="Y779" s="20">
        <f>IFERROR(IF([1]对账明细接口!$T779=0,"",[1]对账明细接口!$T779),"")</f>
      </c>
      <c r="Z779" s="213">
        <f>IFERROR(IF([1]对账明细接口!$U779=0,"",[1]对账明细接口!$U779),"")</f>
      </c>
      <c r="AA779" s="213">
        <f>IFERROR(IF([1]对账明细接口!$V779=0,"",[1]对账明细接口!$V779),"")</f>
      </c>
      <c r="AB779" s="20">
        <f>IFERROR(IF([1]对账明细接口!$W779=0,"",[1]对账明细接口!$W779),"")</f>
      </c>
      <c r="AC779" s="7">
        <f>IFERROR(IF([1]对账明细接口!$X779=0,"",[1]对账明细接口!$X779),"")</f>
      </c>
      <c r="AD779" s="7">
        <f>IFERROR(IF([1]对账明细接口!$Y779=0,"",[1]对账明细接口!$Y779),"")</f>
      </c>
      <c r="AE779" s="7">
        <f>IFERROR(IF([1]对账明细接口!$AA779=0,"",[1]对账明细接口!$AA779),"")</f>
      </c>
      <c r="AF779" s="7">
        <f>IFERROR(IF([1]对账明细接口!$AB779=0,"",[1]对账明细接口!$AB779),"")</f>
      </c>
      <c r="AG779" s="7">
        <f>IFERROR(IF([1]对账明细接口!$AC779=0,"",[1]对账明细接口!$AC779),"")</f>
      </c>
      <c r="AH779" s="7">
        <f>IFERROR(IF([1]对账明细接口!$AD779=0,"",[1]对账明细接口!$AD779),"")</f>
      </c>
      <c r="AI779" s="7">
        <f>IFERROR(IF([1]对账明细接口!$AE779=0,"",[1]对账明细接口!$AE779),"")</f>
      </c>
      <c r="AJ779" s="7">
        <f>IFERROR(IF([1]对账明细接口!$AF779=0,"",[1]对账明细接口!$AF779),"")</f>
      </c>
    </row>
    <row r="780" ht="14.25" customHeight="1" s="127">
      <c r="A780" s="14" t="n">
        <v>780</v>
      </c>
      <c r="B780" s="211">
        <f>IFERROR(IF([1]对账明细接口!$B$780=0,"",[1]对账明细接口!$B$780),"")</f>
      </c>
      <c r="C780" s="16">
        <f>IFERROR(IF([1]对账明细接口!$C$780=0,"",[1]对账明细接口!$C$780),"")</f>
      </c>
      <c r="D780" s="16">
        <f>IFERROR(IF([1]对账明细接口!$D$780=0,"",[1]对账明细接口!$D$780),"")</f>
      </c>
      <c r="E780" s="16">
        <f>IFERROR(IF([1]对账明细接口!$E$780=0,"",[1]对账明细接口!$E$780),"")</f>
      </c>
      <c r="F780" s="16">
        <f>IFERROR(IF([1]对账明细接口!$F$780=0,"",[1]对账明细接口!$F$780),"")</f>
      </c>
      <c r="G780" s="16">
        <f>IFERROR(IF([1]对账明细接口!$G$780=0,"",[1]对账明细接口!$G$780),"")</f>
      </c>
      <c r="H780" s="176">
        <f>IFERROR(IF([1]对账明细接口!$H$780=0,"",[1]对账明细接口!$H$780),"")</f>
      </c>
      <c r="I780" s="16">
        <f>IFERROR(IF([1]对账明细接口!$I$780=0,"",[1]对账明细接口!$I$780),"")</f>
      </c>
      <c r="J780" s="177">
        <f>IFERROR(IF([1]对账明细接口!$J$780=0,"",[1]对账明细接口!$J$780),"")</f>
      </c>
      <c r="K780" s="177">
        <f>IFERROR(IF([1]对账明细接口!$K$780=0,"",[1]对账明细接口!$K$780),"")</f>
      </c>
      <c r="L780" s="16">
        <f>IFERROR(IF([1]对账明细接口!$L$780=0,"",[1]对账明细接口!$L$780),"")</f>
      </c>
      <c r="M780" s="16">
        <f>IFERROR(IF([1]对账明细接口!$M$780=0,"",[1]对账明细接口!$M$780),"")</f>
      </c>
      <c r="N780" s="19">
        <f>IF($C780="",0,1)</f>
        <v>0</v>
      </c>
      <c r="O780" s="19">
        <f>N(O779)+$N780</f>
        <v>637</v>
      </c>
      <c r="S780" s="20">
        <f>IFERROR(IF([1]对账明细接口!$N780=0,"",[1]对账明细接口!$N780),"")</f>
      </c>
      <c r="T780" s="212">
        <f>IFERROR(IF([1]对账明细接口!$O780=0,"",[1]对账明细接口!$O780),"")</f>
      </c>
      <c r="U780" s="212">
        <f>IFERROR(IF([1]对账明细接口!$P780=0,"",[1]对账明细接口!$P780),"")</f>
      </c>
      <c r="V780" s="212">
        <f>IFERROR(IF([1]对账明细接口!$Q780=0,"",[1]对账明细接口!$Q780),"")</f>
      </c>
      <c r="W780" s="20">
        <f>IFERROR(IF([1]对账明细接口!$R780=0,"",[1]对账明细接口!$R780),"")</f>
      </c>
      <c r="X780" s="20">
        <f>IFERROR(IF([1]对账明细接口!$S780=0,"",[1]对账明细接口!$S780),"")</f>
      </c>
      <c r="Y780" s="20">
        <f>IFERROR(IF([1]对账明细接口!$T780=0,"",[1]对账明细接口!$T780),"")</f>
      </c>
      <c r="Z780" s="213">
        <f>IFERROR(IF([1]对账明细接口!$U780=0,"",[1]对账明细接口!$U780),"")</f>
      </c>
      <c r="AA780" s="213">
        <f>IFERROR(IF([1]对账明细接口!$V780=0,"",[1]对账明细接口!$V780),"")</f>
      </c>
      <c r="AB780" s="20">
        <f>IFERROR(IF([1]对账明细接口!$W780=0,"",[1]对账明细接口!$W780),"")</f>
      </c>
      <c r="AC780" s="7">
        <f>IFERROR(IF([1]对账明细接口!$X780=0,"",[1]对账明细接口!$X780),"")</f>
      </c>
      <c r="AD780" s="7">
        <f>IFERROR(IF([1]对账明细接口!$Y780=0,"",[1]对账明细接口!$Y780),"")</f>
      </c>
      <c r="AE780" s="7">
        <f>IFERROR(IF([1]对账明细接口!$AA780=0,"",[1]对账明细接口!$AA780),"")</f>
      </c>
      <c r="AF780" s="7">
        <f>IFERROR(IF([1]对账明细接口!$AB780=0,"",[1]对账明细接口!$AB780),"")</f>
      </c>
      <c r="AG780" s="7">
        <f>IFERROR(IF([1]对账明细接口!$AC780=0,"",[1]对账明细接口!$AC780),"")</f>
      </c>
      <c r="AH780" s="7">
        <f>IFERROR(IF([1]对账明细接口!$AD780=0,"",[1]对账明细接口!$AD780),"")</f>
      </c>
      <c r="AI780" s="7">
        <f>IFERROR(IF([1]对账明细接口!$AE780=0,"",[1]对账明细接口!$AE780),"")</f>
      </c>
      <c r="AJ780" s="7">
        <f>IFERROR(IF([1]对账明细接口!$AF780=0,"",[1]对账明细接口!$AF780),"")</f>
      </c>
    </row>
    <row r="781" ht="14.25" customHeight="1" s="127">
      <c r="A781" s="14" t="n">
        <v>781</v>
      </c>
      <c r="B781" s="211">
        <f>IFERROR(IF([1]对账明细接口!$B$781=0,"",[1]对账明细接口!$B$781),"")</f>
      </c>
      <c r="C781" s="16">
        <f>IFERROR(IF([1]对账明细接口!$C$781=0,"",[1]对账明细接口!$C$781),"")</f>
      </c>
      <c r="D781" s="16">
        <f>IFERROR(IF([1]对账明细接口!$D$781=0,"",[1]对账明细接口!$D$781),"")</f>
      </c>
      <c r="E781" s="16">
        <f>IFERROR(IF([1]对账明细接口!$E$781=0,"",[1]对账明细接口!$E$781),"")</f>
      </c>
      <c r="F781" s="16">
        <f>IFERROR(IF([1]对账明细接口!$F$781=0,"",[1]对账明细接口!$F$781),"")</f>
      </c>
      <c r="G781" s="16">
        <f>IFERROR(IF([1]对账明细接口!$G$781=0,"",[1]对账明细接口!$G$781),"")</f>
      </c>
      <c r="H781" s="176">
        <f>IFERROR(IF([1]对账明细接口!$H$781=0,"",[1]对账明细接口!$H$781),"")</f>
      </c>
      <c r="I781" s="16">
        <f>IFERROR(IF([1]对账明细接口!$I$781=0,"",[1]对账明细接口!$I$781),"")</f>
      </c>
      <c r="J781" s="177">
        <f>IFERROR(IF([1]对账明细接口!$J$781=0,"",[1]对账明细接口!$J$781),"")</f>
      </c>
      <c r="K781" s="177">
        <f>IFERROR(IF([1]对账明细接口!$K$781=0,"",[1]对账明细接口!$K$781),"")</f>
      </c>
      <c r="L781" s="16">
        <f>IFERROR(IF([1]对账明细接口!$L$781=0,"",[1]对账明细接口!$L$781),"")</f>
      </c>
      <c r="M781" s="16">
        <f>IFERROR(IF([1]对账明细接口!$M$781=0,"",[1]对账明细接口!$M$781),"")</f>
      </c>
      <c r="N781" s="19">
        <f>IF($C781="",0,1)</f>
        <v>0</v>
      </c>
      <c r="O781" s="19">
        <f>N(O780)+$N781</f>
        <v>637</v>
      </c>
      <c r="S781" s="20">
        <f>IFERROR(IF([1]对账明细接口!$N781=0,"",[1]对账明细接口!$N781),"")</f>
      </c>
      <c r="T781" s="212">
        <f>IFERROR(IF([1]对账明细接口!$O781=0,"",[1]对账明细接口!$O781),"")</f>
      </c>
      <c r="U781" s="212">
        <f>IFERROR(IF([1]对账明细接口!$P781=0,"",[1]对账明细接口!$P781),"")</f>
      </c>
      <c r="V781" s="212">
        <f>IFERROR(IF([1]对账明细接口!$Q781=0,"",[1]对账明细接口!$Q781),"")</f>
      </c>
      <c r="W781" s="20">
        <f>IFERROR(IF([1]对账明细接口!$R781=0,"",[1]对账明细接口!$R781),"")</f>
      </c>
      <c r="X781" s="20">
        <f>IFERROR(IF([1]对账明细接口!$S781=0,"",[1]对账明细接口!$S781),"")</f>
      </c>
      <c r="Y781" s="20">
        <f>IFERROR(IF([1]对账明细接口!$T781=0,"",[1]对账明细接口!$T781),"")</f>
      </c>
      <c r="Z781" s="213">
        <f>IFERROR(IF([1]对账明细接口!$U781=0,"",[1]对账明细接口!$U781),"")</f>
      </c>
      <c r="AA781" s="213">
        <f>IFERROR(IF([1]对账明细接口!$V781=0,"",[1]对账明细接口!$V781),"")</f>
      </c>
      <c r="AB781" s="20">
        <f>IFERROR(IF([1]对账明细接口!$W781=0,"",[1]对账明细接口!$W781),"")</f>
      </c>
      <c r="AC781" s="7">
        <f>IFERROR(IF([1]对账明细接口!$X781=0,"",[1]对账明细接口!$X781),"")</f>
      </c>
      <c r="AD781" s="7">
        <f>IFERROR(IF([1]对账明细接口!$Y781=0,"",[1]对账明细接口!$Y781),"")</f>
      </c>
      <c r="AE781" s="7">
        <f>IFERROR(IF([1]对账明细接口!$AA781=0,"",[1]对账明细接口!$AA781),"")</f>
      </c>
      <c r="AF781" s="7">
        <f>IFERROR(IF([1]对账明细接口!$AB781=0,"",[1]对账明细接口!$AB781),"")</f>
      </c>
      <c r="AG781" s="7">
        <f>IFERROR(IF([1]对账明细接口!$AC781=0,"",[1]对账明细接口!$AC781),"")</f>
      </c>
      <c r="AH781" s="7">
        <f>IFERROR(IF([1]对账明细接口!$AD781=0,"",[1]对账明细接口!$AD781),"")</f>
      </c>
      <c r="AI781" s="7">
        <f>IFERROR(IF([1]对账明细接口!$AE781=0,"",[1]对账明细接口!$AE781),"")</f>
      </c>
      <c r="AJ781" s="7">
        <f>IFERROR(IF([1]对账明细接口!$AF781=0,"",[1]对账明细接口!$AF781),"")</f>
      </c>
    </row>
    <row r="782" ht="14.25" customHeight="1" s="127">
      <c r="A782" s="14" t="n">
        <v>782</v>
      </c>
      <c r="B782" s="211">
        <f>IFERROR(IF([1]对账明细接口!$B$782=0,"",[1]对账明细接口!$B$782),"")</f>
      </c>
      <c r="C782" s="16">
        <f>IFERROR(IF([1]对账明细接口!$C$782=0,"",[1]对账明细接口!$C$782),"")</f>
      </c>
      <c r="D782" s="16">
        <f>IFERROR(IF([1]对账明细接口!$D$782=0,"",[1]对账明细接口!$D$782),"")</f>
      </c>
      <c r="E782" s="16">
        <f>IFERROR(IF([1]对账明细接口!$E$782=0,"",[1]对账明细接口!$E$782),"")</f>
      </c>
      <c r="F782" s="16">
        <f>IFERROR(IF([1]对账明细接口!$F$782=0,"",[1]对账明细接口!$F$782),"")</f>
      </c>
      <c r="G782" s="16">
        <f>IFERROR(IF([1]对账明细接口!$G$782=0,"",[1]对账明细接口!$G$782),"")</f>
      </c>
      <c r="H782" s="176">
        <f>IFERROR(IF([1]对账明细接口!$H$782=0,"",[1]对账明细接口!$H$782),"")</f>
      </c>
      <c r="I782" s="16">
        <f>IFERROR(IF([1]对账明细接口!$I$782=0,"",[1]对账明细接口!$I$782),"")</f>
      </c>
      <c r="J782" s="177">
        <f>IFERROR(IF([1]对账明细接口!$J$782=0,"",[1]对账明细接口!$J$782),"")</f>
      </c>
      <c r="K782" s="177">
        <f>IFERROR(IF([1]对账明细接口!$K$782=0,"",[1]对账明细接口!$K$782),"")</f>
      </c>
      <c r="L782" s="16">
        <f>IFERROR(IF([1]对账明细接口!$L$782=0,"",[1]对账明细接口!$L$782),"")</f>
      </c>
      <c r="M782" s="16">
        <f>IFERROR(IF([1]对账明细接口!$M$782=0,"",[1]对账明细接口!$M$782),"")</f>
      </c>
      <c r="N782" s="19">
        <f>IF($C782="",0,1)</f>
        <v>0</v>
      </c>
      <c r="O782" s="19">
        <f>N(O781)+$N782</f>
        <v>637</v>
      </c>
      <c r="S782" s="20">
        <f>IFERROR(IF([1]对账明细接口!$N782=0,"",[1]对账明细接口!$N782),"")</f>
      </c>
      <c r="T782" s="212">
        <f>IFERROR(IF([1]对账明细接口!$O782=0,"",[1]对账明细接口!$O782),"")</f>
      </c>
      <c r="U782" s="212">
        <f>IFERROR(IF([1]对账明细接口!$P782=0,"",[1]对账明细接口!$P782),"")</f>
      </c>
      <c r="V782" s="212">
        <f>IFERROR(IF([1]对账明细接口!$Q782=0,"",[1]对账明细接口!$Q782),"")</f>
      </c>
      <c r="W782" s="20">
        <f>IFERROR(IF([1]对账明细接口!$R782=0,"",[1]对账明细接口!$R782),"")</f>
      </c>
      <c r="X782" s="20">
        <f>IFERROR(IF([1]对账明细接口!$S782=0,"",[1]对账明细接口!$S782),"")</f>
      </c>
      <c r="Y782" s="20">
        <f>IFERROR(IF([1]对账明细接口!$T782=0,"",[1]对账明细接口!$T782),"")</f>
      </c>
      <c r="Z782" s="213">
        <f>IFERROR(IF([1]对账明细接口!$U782=0,"",[1]对账明细接口!$U782),"")</f>
      </c>
      <c r="AA782" s="213">
        <f>IFERROR(IF([1]对账明细接口!$V782=0,"",[1]对账明细接口!$V782),"")</f>
      </c>
      <c r="AB782" s="20">
        <f>IFERROR(IF([1]对账明细接口!$W782=0,"",[1]对账明细接口!$W782),"")</f>
      </c>
      <c r="AC782" s="7">
        <f>IFERROR(IF([1]对账明细接口!$X782=0,"",[1]对账明细接口!$X782),"")</f>
      </c>
      <c r="AD782" s="7">
        <f>IFERROR(IF([1]对账明细接口!$Y782=0,"",[1]对账明细接口!$Y782),"")</f>
      </c>
      <c r="AE782" s="7">
        <f>IFERROR(IF([1]对账明细接口!$AA782=0,"",[1]对账明细接口!$AA782),"")</f>
      </c>
      <c r="AF782" s="7">
        <f>IFERROR(IF([1]对账明细接口!$AB782=0,"",[1]对账明细接口!$AB782),"")</f>
      </c>
      <c r="AG782" s="7">
        <f>IFERROR(IF([1]对账明细接口!$AC782=0,"",[1]对账明细接口!$AC782),"")</f>
      </c>
      <c r="AH782" s="7">
        <f>IFERROR(IF([1]对账明细接口!$AD782=0,"",[1]对账明细接口!$AD782),"")</f>
      </c>
      <c r="AI782" s="7">
        <f>IFERROR(IF([1]对账明细接口!$AE782=0,"",[1]对账明细接口!$AE782),"")</f>
      </c>
      <c r="AJ782" s="7">
        <f>IFERROR(IF([1]对账明细接口!$AF782=0,"",[1]对账明细接口!$AF782),"")</f>
      </c>
    </row>
    <row r="783" ht="14.25" customHeight="1" s="127">
      <c r="A783" s="14" t="n">
        <v>783</v>
      </c>
      <c r="B783" s="211">
        <f>IFERROR(IF([1]对账明细接口!$B$783=0,"",[1]对账明细接口!$B$783),"")</f>
      </c>
      <c r="C783" s="16">
        <f>IFERROR(IF([1]对账明细接口!$C$783=0,"",[1]对账明细接口!$C$783),"")</f>
      </c>
      <c r="D783" s="16">
        <f>IFERROR(IF([1]对账明细接口!$D$783=0,"",[1]对账明细接口!$D$783),"")</f>
      </c>
      <c r="E783" s="16">
        <f>IFERROR(IF([1]对账明细接口!$E$783=0,"",[1]对账明细接口!$E$783),"")</f>
      </c>
      <c r="F783" s="16">
        <f>IFERROR(IF([1]对账明细接口!$F$783=0,"",[1]对账明细接口!$F$783),"")</f>
      </c>
      <c r="G783" s="16">
        <f>IFERROR(IF([1]对账明细接口!$G$783=0,"",[1]对账明细接口!$G$783),"")</f>
      </c>
      <c r="H783" s="176">
        <f>IFERROR(IF([1]对账明细接口!$H$783=0,"",[1]对账明细接口!$H$783),"")</f>
      </c>
      <c r="I783" s="16">
        <f>IFERROR(IF([1]对账明细接口!$I$783=0,"",[1]对账明细接口!$I$783),"")</f>
      </c>
      <c r="J783" s="177">
        <f>IFERROR(IF([1]对账明细接口!$J$783=0,"",[1]对账明细接口!$J$783),"")</f>
      </c>
      <c r="K783" s="177">
        <f>IFERROR(IF([1]对账明细接口!$K$783=0,"",[1]对账明细接口!$K$783),"")</f>
      </c>
      <c r="L783" s="16">
        <f>IFERROR(IF([1]对账明细接口!$L$783=0,"",[1]对账明细接口!$L$783),"")</f>
      </c>
      <c r="M783" s="16">
        <f>IFERROR(IF([1]对账明细接口!$M$783=0,"",[1]对账明细接口!$M$783),"")</f>
      </c>
      <c r="N783" s="19">
        <f>IF($C783="",0,1)</f>
        <v>0</v>
      </c>
      <c r="O783" s="19">
        <f>N(O782)+$N783</f>
        <v>637</v>
      </c>
      <c r="S783" s="20">
        <f>IFERROR(IF([1]对账明细接口!$N783=0,"",[1]对账明细接口!$N783),"")</f>
      </c>
      <c r="T783" s="212">
        <f>IFERROR(IF([1]对账明细接口!$O783=0,"",[1]对账明细接口!$O783),"")</f>
      </c>
      <c r="U783" s="212">
        <f>IFERROR(IF([1]对账明细接口!$P783=0,"",[1]对账明细接口!$P783),"")</f>
      </c>
      <c r="V783" s="212">
        <f>IFERROR(IF([1]对账明细接口!$Q783=0,"",[1]对账明细接口!$Q783),"")</f>
      </c>
      <c r="W783" s="20">
        <f>IFERROR(IF([1]对账明细接口!$R783=0,"",[1]对账明细接口!$R783),"")</f>
      </c>
      <c r="X783" s="20">
        <f>IFERROR(IF([1]对账明细接口!$S783=0,"",[1]对账明细接口!$S783),"")</f>
      </c>
      <c r="Y783" s="20">
        <f>IFERROR(IF([1]对账明细接口!$T783=0,"",[1]对账明细接口!$T783),"")</f>
      </c>
      <c r="Z783" s="213">
        <f>IFERROR(IF([1]对账明细接口!$U783=0,"",[1]对账明细接口!$U783),"")</f>
      </c>
      <c r="AA783" s="213">
        <f>IFERROR(IF([1]对账明细接口!$V783=0,"",[1]对账明细接口!$V783),"")</f>
      </c>
      <c r="AB783" s="20">
        <f>IFERROR(IF([1]对账明细接口!$W783=0,"",[1]对账明细接口!$W783),"")</f>
      </c>
      <c r="AC783" s="7">
        <f>IFERROR(IF([1]对账明细接口!$X783=0,"",[1]对账明细接口!$X783),"")</f>
      </c>
      <c r="AD783" s="7">
        <f>IFERROR(IF([1]对账明细接口!$Y783=0,"",[1]对账明细接口!$Y783),"")</f>
      </c>
      <c r="AE783" s="7">
        <f>IFERROR(IF([1]对账明细接口!$AA783=0,"",[1]对账明细接口!$AA783),"")</f>
      </c>
      <c r="AF783" s="7">
        <f>IFERROR(IF([1]对账明细接口!$AB783=0,"",[1]对账明细接口!$AB783),"")</f>
      </c>
      <c r="AG783" s="7">
        <f>IFERROR(IF([1]对账明细接口!$AC783=0,"",[1]对账明细接口!$AC783),"")</f>
      </c>
      <c r="AH783" s="7">
        <f>IFERROR(IF([1]对账明细接口!$AD783=0,"",[1]对账明细接口!$AD783),"")</f>
      </c>
      <c r="AI783" s="7">
        <f>IFERROR(IF([1]对账明细接口!$AE783=0,"",[1]对账明细接口!$AE783),"")</f>
      </c>
      <c r="AJ783" s="7">
        <f>IFERROR(IF([1]对账明细接口!$AF783=0,"",[1]对账明细接口!$AF783),"")</f>
      </c>
    </row>
    <row r="784" ht="14.25" customHeight="1" s="127">
      <c r="A784" s="14" t="n">
        <v>784</v>
      </c>
      <c r="B784" s="211">
        <f>IFERROR(IF([1]对账明细接口!$B$784=0,"",[1]对账明细接口!$B$784),"")</f>
      </c>
      <c r="C784" s="16">
        <f>IFERROR(IF([1]对账明细接口!$C$784=0,"",[1]对账明细接口!$C$784),"")</f>
      </c>
      <c r="D784" s="16">
        <f>IFERROR(IF([1]对账明细接口!$D$784=0,"",[1]对账明细接口!$D$784),"")</f>
      </c>
      <c r="E784" s="16">
        <f>IFERROR(IF([1]对账明细接口!$E$784=0,"",[1]对账明细接口!$E$784),"")</f>
      </c>
      <c r="F784" s="16">
        <f>IFERROR(IF([1]对账明细接口!$F$784=0,"",[1]对账明细接口!$F$784),"")</f>
      </c>
      <c r="G784" s="16">
        <f>IFERROR(IF([1]对账明细接口!$G$784=0,"",[1]对账明细接口!$G$784),"")</f>
      </c>
      <c r="H784" s="176">
        <f>IFERROR(IF([1]对账明细接口!$H$784=0,"",[1]对账明细接口!$H$784),"")</f>
      </c>
      <c r="I784" s="16">
        <f>IFERROR(IF([1]对账明细接口!$I$784=0,"",[1]对账明细接口!$I$784),"")</f>
      </c>
      <c r="J784" s="177">
        <f>IFERROR(IF([1]对账明细接口!$J$784=0,"",[1]对账明细接口!$J$784),"")</f>
      </c>
      <c r="K784" s="177">
        <f>IFERROR(IF([1]对账明细接口!$K$784=0,"",[1]对账明细接口!$K$784),"")</f>
      </c>
      <c r="L784" s="16">
        <f>IFERROR(IF([1]对账明细接口!$L$784=0,"",[1]对账明细接口!$L$784),"")</f>
      </c>
      <c r="M784" s="16">
        <f>IFERROR(IF([1]对账明细接口!$M$784=0,"",[1]对账明细接口!$M$784),"")</f>
      </c>
      <c r="N784" s="19">
        <f>IF($C784="",0,1)</f>
        <v>0</v>
      </c>
      <c r="O784" s="19">
        <f>N(O783)+$N784</f>
        <v>637</v>
      </c>
      <c r="S784" s="20">
        <f>IFERROR(IF([1]对账明细接口!$N784=0,"",[1]对账明细接口!$N784),"")</f>
      </c>
      <c r="T784" s="212">
        <f>IFERROR(IF([1]对账明细接口!$O784=0,"",[1]对账明细接口!$O784),"")</f>
      </c>
      <c r="U784" s="212">
        <f>IFERROR(IF([1]对账明细接口!$P784=0,"",[1]对账明细接口!$P784),"")</f>
      </c>
      <c r="V784" s="212">
        <f>IFERROR(IF([1]对账明细接口!$Q784=0,"",[1]对账明细接口!$Q784),"")</f>
      </c>
      <c r="W784" s="20">
        <f>IFERROR(IF([1]对账明细接口!$R784=0,"",[1]对账明细接口!$R784),"")</f>
      </c>
      <c r="X784" s="20">
        <f>IFERROR(IF([1]对账明细接口!$S784=0,"",[1]对账明细接口!$S784),"")</f>
      </c>
      <c r="Y784" s="20">
        <f>IFERROR(IF([1]对账明细接口!$T784=0,"",[1]对账明细接口!$T784),"")</f>
      </c>
      <c r="Z784" s="213">
        <f>IFERROR(IF([1]对账明细接口!$U784=0,"",[1]对账明细接口!$U784),"")</f>
      </c>
      <c r="AA784" s="213">
        <f>IFERROR(IF([1]对账明细接口!$V784=0,"",[1]对账明细接口!$V784),"")</f>
      </c>
      <c r="AB784" s="20">
        <f>IFERROR(IF([1]对账明细接口!$W784=0,"",[1]对账明细接口!$W784),"")</f>
      </c>
      <c r="AC784" s="7">
        <f>IFERROR(IF([1]对账明细接口!$X784=0,"",[1]对账明细接口!$X784),"")</f>
      </c>
      <c r="AD784" s="7">
        <f>IFERROR(IF([1]对账明细接口!$Y784=0,"",[1]对账明细接口!$Y784),"")</f>
      </c>
      <c r="AE784" s="7">
        <f>IFERROR(IF([1]对账明细接口!$AA784=0,"",[1]对账明细接口!$AA784),"")</f>
      </c>
      <c r="AF784" s="7">
        <f>IFERROR(IF([1]对账明细接口!$AB784=0,"",[1]对账明细接口!$AB784),"")</f>
      </c>
      <c r="AG784" s="7">
        <f>IFERROR(IF([1]对账明细接口!$AC784=0,"",[1]对账明细接口!$AC784),"")</f>
      </c>
      <c r="AH784" s="7">
        <f>IFERROR(IF([1]对账明细接口!$AD784=0,"",[1]对账明细接口!$AD784),"")</f>
      </c>
      <c r="AI784" s="7">
        <f>IFERROR(IF([1]对账明细接口!$AE784=0,"",[1]对账明细接口!$AE784),"")</f>
      </c>
      <c r="AJ784" s="7">
        <f>IFERROR(IF([1]对账明细接口!$AF784=0,"",[1]对账明细接口!$AF784),"")</f>
      </c>
    </row>
    <row r="785" ht="14.25" customHeight="1" s="127">
      <c r="A785" s="14" t="n">
        <v>785</v>
      </c>
      <c r="B785" s="211">
        <f>IFERROR(IF([1]对账明细接口!$B$785=0,"",[1]对账明细接口!$B$785),"")</f>
      </c>
      <c r="C785" s="16">
        <f>IFERROR(IF([1]对账明细接口!$C$785=0,"",[1]对账明细接口!$C$785),"")</f>
      </c>
      <c r="D785" s="16">
        <f>IFERROR(IF([1]对账明细接口!$D$785=0,"",[1]对账明细接口!$D$785),"")</f>
      </c>
      <c r="E785" s="16">
        <f>IFERROR(IF([1]对账明细接口!$E$785=0,"",[1]对账明细接口!$E$785),"")</f>
      </c>
      <c r="F785" s="16">
        <f>IFERROR(IF([1]对账明细接口!$F$785=0,"",[1]对账明细接口!$F$785),"")</f>
      </c>
      <c r="G785" s="16">
        <f>IFERROR(IF([1]对账明细接口!$G$785=0,"",[1]对账明细接口!$G$785),"")</f>
      </c>
      <c r="H785" s="176">
        <f>IFERROR(IF([1]对账明细接口!$H$785=0,"",[1]对账明细接口!$H$785),"")</f>
      </c>
      <c r="I785" s="16">
        <f>IFERROR(IF([1]对账明细接口!$I$785=0,"",[1]对账明细接口!$I$785),"")</f>
      </c>
      <c r="J785" s="177">
        <f>IFERROR(IF([1]对账明细接口!$J$785=0,"",[1]对账明细接口!$J$785),"")</f>
      </c>
      <c r="K785" s="177">
        <f>IFERROR(IF([1]对账明细接口!$K$785=0,"",[1]对账明细接口!$K$785),"")</f>
      </c>
      <c r="L785" s="16">
        <f>IFERROR(IF([1]对账明细接口!$L$785=0,"",[1]对账明细接口!$L$785),"")</f>
      </c>
      <c r="M785" s="16">
        <f>IFERROR(IF([1]对账明细接口!$M$785=0,"",[1]对账明细接口!$M$785),"")</f>
      </c>
      <c r="N785" s="19">
        <f>IF($C785="",0,1)</f>
        <v>0</v>
      </c>
      <c r="O785" s="19">
        <f>N(O784)+$N785</f>
        <v>637</v>
      </c>
      <c r="S785" s="20">
        <f>IFERROR(IF([1]对账明细接口!$N785=0,"",[1]对账明细接口!$N785),"")</f>
      </c>
      <c r="T785" s="212">
        <f>IFERROR(IF([1]对账明细接口!$O785=0,"",[1]对账明细接口!$O785),"")</f>
      </c>
      <c r="U785" s="212">
        <f>IFERROR(IF([1]对账明细接口!$P785=0,"",[1]对账明细接口!$P785),"")</f>
      </c>
      <c r="V785" s="212">
        <f>IFERROR(IF([1]对账明细接口!$Q785=0,"",[1]对账明细接口!$Q785),"")</f>
      </c>
      <c r="W785" s="20">
        <f>IFERROR(IF([1]对账明细接口!$R785=0,"",[1]对账明细接口!$R785),"")</f>
      </c>
      <c r="X785" s="20">
        <f>IFERROR(IF([1]对账明细接口!$S785=0,"",[1]对账明细接口!$S785),"")</f>
      </c>
      <c r="Y785" s="20">
        <f>IFERROR(IF([1]对账明细接口!$T785=0,"",[1]对账明细接口!$T785),"")</f>
      </c>
      <c r="Z785" s="213">
        <f>IFERROR(IF([1]对账明细接口!$U785=0,"",[1]对账明细接口!$U785),"")</f>
      </c>
      <c r="AA785" s="213">
        <f>IFERROR(IF([1]对账明细接口!$V785=0,"",[1]对账明细接口!$V785),"")</f>
      </c>
      <c r="AB785" s="20">
        <f>IFERROR(IF([1]对账明细接口!$W785=0,"",[1]对账明细接口!$W785),"")</f>
      </c>
      <c r="AC785" s="7">
        <f>IFERROR(IF([1]对账明细接口!$X785=0,"",[1]对账明细接口!$X785),"")</f>
      </c>
      <c r="AD785" s="7">
        <f>IFERROR(IF([1]对账明细接口!$Y785=0,"",[1]对账明细接口!$Y785),"")</f>
      </c>
      <c r="AE785" s="7">
        <f>IFERROR(IF([1]对账明细接口!$AA785=0,"",[1]对账明细接口!$AA785),"")</f>
      </c>
      <c r="AF785" s="7">
        <f>IFERROR(IF([1]对账明细接口!$AB785=0,"",[1]对账明细接口!$AB785),"")</f>
      </c>
      <c r="AG785" s="7">
        <f>IFERROR(IF([1]对账明细接口!$AC785=0,"",[1]对账明细接口!$AC785),"")</f>
      </c>
      <c r="AH785" s="7">
        <f>IFERROR(IF([1]对账明细接口!$AD785=0,"",[1]对账明细接口!$AD785),"")</f>
      </c>
      <c r="AI785" s="7">
        <f>IFERROR(IF([1]对账明细接口!$AE785=0,"",[1]对账明细接口!$AE785),"")</f>
      </c>
      <c r="AJ785" s="7">
        <f>IFERROR(IF([1]对账明细接口!$AF785=0,"",[1]对账明细接口!$AF785),"")</f>
      </c>
    </row>
    <row r="786" ht="14.25" customHeight="1" s="127">
      <c r="A786" s="14" t="n">
        <v>786</v>
      </c>
      <c r="B786" s="211">
        <f>IFERROR(IF([1]对账明细接口!$B$786=0,"",[1]对账明细接口!$B$786),"")</f>
      </c>
      <c r="C786" s="16">
        <f>IFERROR(IF([1]对账明细接口!$C$786=0,"",[1]对账明细接口!$C$786),"")</f>
      </c>
      <c r="D786" s="16">
        <f>IFERROR(IF([1]对账明细接口!$D$786=0,"",[1]对账明细接口!$D$786),"")</f>
      </c>
      <c r="E786" s="16">
        <f>IFERROR(IF([1]对账明细接口!$E$786=0,"",[1]对账明细接口!$E$786),"")</f>
      </c>
      <c r="F786" s="16">
        <f>IFERROR(IF([1]对账明细接口!$F$786=0,"",[1]对账明细接口!$F$786),"")</f>
      </c>
      <c r="G786" s="16">
        <f>IFERROR(IF([1]对账明细接口!$G$786=0,"",[1]对账明细接口!$G$786),"")</f>
      </c>
      <c r="H786" s="176">
        <f>IFERROR(IF([1]对账明细接口!$H$786=0,"",[1]对账明细接口!$H$786),"")</f>
      </c>
      <c r="I786" s="16">
        <f>IFERROR(IF([1]对账明细接口!$I$786=0,"",[1]对账明细接口!$I$786),"")</f>
      </c>
      <c r="J786" s="177">
        <f>IFERROR(IF([1]对账明细接口!$J$786=0,"",[1]对账明细接口!$J$786),"")</f>
      </c>
      <c r="K786" s="177">
        <f>IFERROR(IF([1]对账明细接口!$K$786=0,"",[1]对账明细接口!$K$786),"")</f>
      </c>
      <c r="L786" s="16">
        <f>IFERROR(IF([1]对账明细接口!$L$786=0,"",[1]对账明细接口!$L$786),"")</f>
      </c>
      <c r="M786" s="16">
        <f>IFERROR(IF([1]对账明细接口!$M$786=0,"",[1]对账明细接口!$M$786),"")</f>
      </c>
      <c r="N786" s="19">
        <f>IF($C786="",0,1)</f>
        <v>0</v>
      </c>
      <c r="O786" s="19">
        <f>N(O785)+$N786</f>
        <v>637</v>
      </c>
      <c r="S786" s="20">
        <f>IFERROR(IF([1]对账明细接口!$N786=0,"",[1]对账明细接口!$N786),"")</f>
      </c>
      <c r="T786" s="212">
        <f>IFERROR(IF([1]对账明细接口!$O786=0,"",[1]对账明细接口!$O786),"")</f>
      </c>
      <c r="U786" s="212">
        <f>IFERROR(IF([1]对账明细接口!$P786=0,"",[1]对账明细接口!$P786),"")</f>
      </c>
      <c r="V786" s="212">
        <f>IFERROR(IF([1]对账明细接口!$Q786=0,"",[1]对账明细接口!$Q786),"")</f>
      </c>
      <c r="W786" s="20">
        <f>IFERROR(IF([1]对账明细接口!$R786=0,"",[1]对账明细接口!$R786),"")</f>
      </c>
      <c r="X786" s="20">
        <f>IFERROR(IF([1]对账明细接口!$S786=0,"",[1]对账明细接口!$S786),"")</f>
      </c>
      <c r="Y786" s="20">
        <f>IFERROR(IF([1]对账明细接口!$T786=0,"",[1]对账明细接口!$T786),"")</f>
      </c>
      <c r="Z786" s="213">
        <f>IFERROR(IF([1]对账明细接口!$U786=0,"",[1]对账明细接口!$U786),"")</f>
      </c>
      <c r="AA786" s="213">
        <f>IFERROR(IF([1]对账明细接口!$V786=0,"",[1]对账明细接口!$V786),"")</f>
      </c>
      <c r="AB786" s="20">
        <f>IFERROR(IF([1]对账明细接口!$W786=0,"",[1]对账明细接口!$W786),"")</f>
      </c>
      <c r="AC786" s="7">
        <f>IFERROR(IF([1]对账明细接口!$X786=0,"",[1]对账明细接口!$X786),"")</f>
      </c>
      <c r="AD786" s="7">
        <f>IFERROR(IF([1]对账明细接口!$Y786=0,"",[1]对账明细接口!$Y786),"")</f>
      </c>
      <c r="AE786" s="7">
        <f>IFERROR(IF([1]对账明细接口!$AA786=0,"",[1]对账明细接口!$AA786),"")</f>
      </c>
      <c r="AF786" s="7">
        <f>IFERROR(IF([1]对账明细接口!$AB786=0,"",[1]对账明细接口!$AB786),"")</f>
      </c>
      <c r="AG786" s="7">
        <f>IFERROR(IF([1]对账明细接口!$AC786=0,"",[1]对账明细接口!$AC786),"")</f>
      </c>
      <c r="AH786" s="7">
        <f>IFERROR(IF([1]对账明细接口!$AD786=0,"",[1]对账明细接口!$AD786),"")</f>
      </c>
      <c r="AI786" s="7">
        <f>IFERROR(IF([1]对账明细接口!$AE786=0,"",[1]对账明细接口!$AE786),"")</f>
      </c>
      <c r="AJ786" s="7">
        <f>IFERROR(IF([1]对账明细接口!$AF786=0,"",[1]对账明细接口!$AF786),"")</f>
      </c>
    </row>
    <row r="787" ht="14.25" customHeight="1" s="127">
      <c r="A787" s="14" t="n">
        <v>787</v>
      </c>
      <c r="B787" s="211">
        <f>IFERROR(IF([1]对账明细接口!$B$787=0,"",[1]对账明细接口!$B$787),"")</f>
      </c>
      <c r="C787" s="16">
        <f>IFERROR(IF([1]对账明细接口!$C$787=0,"",[1]对账明细接口!$C$787),"")</f>
      </c>
      <c r="D787" s="16">
        <f>IFERROR(IF([1]对账明细接口!$D$787=0,"",[1]对账明细接口!$D$787),"")</f>
      </c>
      <c r="E787" s="16">
        <f>IFERROR(IF([1]对账明细接口!$E$787=0,"",[1]对账明细接口!$E$787),"")</f>
      </c>
      <c r="F787" s="16">
        <f>IFERROR(IF([1]对账明细接口!$F$787=0,"",[1]对账明细接口!$F$787),"")</f>
      </c>
      <c r="G787" s="16">
        <f>IFERROR(IF([1]对账明细接口!$G$787=0,"",[1]对账明细接口!$G$787),"")</f>
      </c>
      <c r="H787" s="176">
        <f>IFERROR(IF([1]对账明细接口!$H$787=0,"",[1]对账明细接口!$H$787),"")</f>
      </c>
      <c r="I787" s="16">
        <f>IFERROR(IF([1]对账明细接口!$I$787=0,"",[1]对账明细接口!$I$787),"")</f>
      </c>
      <c r="J787" s="177">
        <f>IFERROR(IF([1]对账明细接口!$J$787=0,"",[1]对账明细接口!$J$787),"")</f>
      </c>
      <c r="K787" s="177">
        <f>IFERROR(IF([1]对账明细接口!$K$787=0,"",[1]对账明细接口!$K$787),"")</f>
      </c>
      <c r="L787" s="16">
        <f>IFERROR(IF([1]对账明细接口!$L$787=0,"",[1]对账明细接口!$L$787),"")</f>
      </c>
      <c r="M787" s="16">
        <f>IFERROR(IF([1]对账明细接口!$M$787=0,"",[1]对账明细接口!$M$787),"")</f>
      </c>
      <c r="N787" s="19">
        <f>IF($C787="",0,1)</f>
        <v>0</v>
      </c>
      <c r="O787" s="19">
        <f>N(O786)+$N787</f>
        <v>637</v>
      </c>
      <c r="S787" s="20">
        <f>IFERROR(IF([1]对账明细接口!$N787=0,"",[1]对账明细接口!$N787),"")</f>
      </c>
      <c r="T787" s="212">
        <f>IFERROR(IF([1]对账明细接口!$O787=0,"",[1]对账明细接口!$O787),"")</f>
      </c>
      <c r="U787" s="212">
        <f>IFERROR(IF([1]对账明细接口!$P787=0,"",[1]对账明细接口!$P787),"")</f>
      </c>
      <c r="V787" s="212">
        <f>IFERROR(IF([1]对账明细接口!$Q787=0,"",[1]对账明细接口!$Q787),"")</f>
      </c>
      <c r="W787" s="20">
        <f>IFERROR(IF([1]对账明细接口!$R787=0,"",[1]对账明细接口!$R787),"")</f>
      </c>
      <c r="X787" s="20">
        <f>IFERROR(IF([1]对账明细接口!$S787=0,"",[1]对账明细接口!$S787),"")</f>
      </c>
      <c r="Y787" s="20">
        <f>IFERROR(IF([1]对账明细接口!$T787=0,"",[1]对账明细接口!$T787),"")</f>
      </c>
      <c r="Z787" s="213">
        <f>IFERROR(IF([1]对账明细接口!$U787=0,"",[1]对账明细接口!$U787),"")</f>
      </c>
      <c r="AA787" s="213">
        <f>IFERROR(IF([1]对账明细接口!$V787=0,"",[1]对账明细接口!$V787),"")</f>
      </c>
      <c r="AB787" s="20">
        <f>IFERROR(IF([1]对账明细接口!$W787=0,"",[1]对账明细接口!$W787),"")</f>
      </c>
      <c r="AC787" s="7">
        <f>IFERROR(IF([1]对账明细接口!$X787=0,"",[1]对账明细接口!$X787),"")</f>
      </c>
      <c r="AD787" s="7">
        <f>IFERROR(IF([1]对账明细接口!$Y787=0,"",[1]对账明细接口!$Y787),"")</f>
      </c>
      <c r="AE787" s="7">
        <f>IFERROR(IF([1]对账明细接口!$AA787=0,"",[1]对账明细接口!$AA787),"")</f>
      </c>
      <c r="AF787" s="7">
        <f>IFERROR(IF([1]对账明细接口!$AB787=0,"",[1]对账明细接口!$AB787),"")</f>
      </c>
      <c r="AG787" s="7">
        <f>IFERROR(IF([1]对账明细接口!$AC787=0,"",[1]对账明细接口!$AC787),"")</f>
      </c>
      <c r="AH787" s="7">
        <f>IFERROR(IF([1]对账明细接口!$AD787=0,"",[1]对账明细接口!$AD787),"")</f>
      </c>
      <c r="AI787" s="7">
        <f>IFERROR(IF([1]对账明细接口!$AE787=0,"",[1]对账明细接口!$AE787),"")</f>
      </c>
      <c r="AJ787" s="7">
        <f>IFERROR(IF([1]对账明细接口!$AF787=0,"",[1]对账明细接口!$AF787),"")</f>
      </c>
    </row>
    <row r="788" ht="14.25" customHeight="1" s="127">
      <c r="A788" s="14" t="n">
        <v>788</v>
      </c>
      <c r="B788" s="211">
        <f>IFERROR(IF([1]对账明细接口!$B$788=0,"",[1]对账明细接口!$B$788),"")</f>
      </c>
      <c r="C788" s="16">
        <f>IFERROR(IF([1]对账明细接口!$C$788=0,"",[1]对账明细接口!$C$788),"")</f>
      </c>
      <c r="D788" s="16">
        <f>IFERROR(IF([1]对账明细接口!$D$788=0,"",[1]对账明细接口!$D$788),"")</f>
      </c>
      <c r="E788" s="16">
        <f>IFERROR(IF([1]对账明细接口!$E$788=0,"",[1]对账明细接口!$E$788),"")</f>
      </c>
      <c r="F788" s="16">
        <f>IFERROR(IF([1]对账明细接口!$F$788=0,"",[1]对账明细接口!$F$788),"")</f>
      </c>
      <c r="G788" s="16">
        <f>IFERROR(IF([1]对账明细接口!$G$788=0,"",[1]对账明细接口!$G$788),"")</f>
      </c>
      <c r="H788" s="176">
        <f>IFERROR(IF([1]对账明细接口!$H$788=0,"",[1]对账明细接口!$H$788),"")</f>
      </c>
      <c r="I788" s="16">
        <f>IFERROR(IF([1]对账明细接口!$I$788=0,"",[1]对账明细接口!$I$788),"")</f>
      </c>
      <c r="J788" s="177">
        <f>IFERROR(IF([1]对账明细接口!$J$788=0,"",[1]对账明细接口!$J$788),"")</f>
      </c>
      <c r="K788" s="177">
        <f>IFERROR(IF([1]对账明细接口!$K$788=0,"",[1]对账明细接口!$K$788),"")</f>
      </c>
      <c r="L788" s="16">
        <f>IFERROR(IF([1]对账明细接口!$L$788=0,"",[1]对账明细接口!$L$788),"")</f>
      </c>
      <c r="M788" s="16">
        <f>IFERROR(IF([1]对账明细接口!$M$788=0,"",[1]对账明细接口!$M$788),"")</f>
      </c>
      <c r="N788" s="19">
        <f>IF($C788="",0,1)</f>
        <v>0</v>
      </c>
      <c r="O788" s="19">
        <f>N(O787)+$N788</f>
        <v>637</v>
      </c>
      <c r="S788" s="20">
        <f>IFERROR(IF([1]对账明细接口!$N788=0,"",[1]对账明细接口!$N788),"")</f>
      </c>
      <c r="T788" s="212">
        <f>IFERROR(IF([1]对账明细接口!$O788=0,"",[1]对账明细接口!$O788),"")</f>
      </c>
      <c r="U788" s="212">
        <f>IFERROR(IF([1]对账明细接口!$P788=0,"",[1]对账明细接口!$P788),"")</f>
      </c>
      <c r="V788" s="212">
        <f>IFERROR(IF([1]对账明细接口!$Q788=0,"",[1]对账明细接口!$Q788),"")</f>
      </c>
      <c r="W788" s="20">
        <f>IFERROR(IF([1]对账明细接口!$R788=0,"",[1]对账明细接口!$R788),"")</f>
      </c>
      <c r="X788" s="20">
        <f>IFERROR(IF([1]对账明细接口!$S788=0,"",[1]对账明细接口!$S788),"")</f>
      </c>
      <c r="Y788" s="20">
        <f>IFERROR(IF([1]对账明细接口!$T788=0,"",[1]对账明细接口!$T788),"")</f>
      </c>
      <c r="Z788" s="213">
        <f>IFERROR(IF([1]对账明细接口!$U788=0,"",[1]对账明细接口!$U788),"")</f>
      </c>
      <c r="AA788" s="213">
        <f>IFERROR(IF([1]对账明细接口!$V788=0,"",[1]对账明细接口!$V788),"")</f>
      </c>
      <c r="AB788" s="20">
        <f>IFERROR(IF([1]对账明细接口!$W788=0,"",[1]对账明细接口!$W788),"")</f>
      </c>
      <c r="AC788" s="7">
        <f>IFERROR(IF([1]对账明细接口!$X788=0,"",[1]对账明细接口!$X788),"")</f>
      </c>
      <c r="AD788" s="7">
        <f>IFERROR(IF([1]对账明细接口!$Y788=0,"",[1]对账明细接口!$Y788),"")</f>
      </c>
      <c r="AE788" s="7">
        <f>IFERROR(IF([1]对账明细接口!$AA788=0,"",[1]对账明细接口!$AA788),"")</f>
      </c>
      <c r="AF788" s="7">
        <f>IFERROR(IF([1]对账明细接口!$AB788=0,"",[1]对账明细接口!$AB788),"")</f>
      </c>
      <c r="AG788" s="7">
        <f>IFERROR(IF([1]对账明细接口!$AC788=0,"",[1]对账明细接口!$AC788),"")</f>
      </c>
      <c r="AH788" s="7">
        <f>IFERROR(IF([1]对账明细接口!$AD788=0,"",[1]对账明细接口!$AD788),"")</f>
      </c>
      <c r="AI788" s="7">
        <f>IFERROR(IF([1]对账明细接口!$AE788=0,"",[1]对账明细接口!$AE788),"")</f>
      </c>
      <c r="AJ788" s="7">
        <f>IFERROR(IF([1]对账明细接口!$AF788=0,"",[1]对账明细接口!$AF788),"")</f>
      </c>
    </row>
    <row r="789" ht="14.25" customHeight="1" s="127">
      <c r="A789" s="14" t="n">
        <v>789</v>
      </c>
      <c r="B789" s="211">
        <f>IFERROR(IF([1]对账明细接口!$B$789=0,"",[1]对账明细接口!$B$789),"")</f>
      </c>
      <c r="C789" s="16">
        <f>IFERROR(IF([1]对账明细接口!$C$789=0,"",[1]对账明细接口!$C$789),"")</f>
      </c>
      <c r="D789" s="16">
        <f>IFERROR(IF([1]对账明细接口!$D$789=0,"",[1]对账明细接口!$D$789),"")</f>
      </c>
      <c r="E789" s="16">
        <f>IFERROR(IF([1]对账明细接口!$E$789=0,"",[1]对账明细接口!$E$789),"")</f>
      </c>
      <c r="F789" s="16">
        <f>IFERROR(IF([1]对账明细接口!$F$789=0,"",[1]对账明细接口!$F$789),"")</f>
      </c>
      <c r="G789" s="16">
        <f>IFERROR(IF([1]对账明细接口!$G$789=0,"",[1]对账明细接口!$G$789),"")</f>
      </c>
      <c r="H789" s="176">
        <f>IFERROR(IF([1]对账明细接口!$H$789=0,"",[1]对账明细接口!$H$789),"")</f>
      </c>
      <c r="I789" s="16">
        <f>IFERROR(IF([1]对账明细接口!$I$789=0,"",[1]对账明细接口!$I$789),"")</f>
      </c>
      <c r="J789" s="177">
        <f>IFERROR(IF([1]对账明细接口!$J$789=0,"",[1]对账明细接口!$J$789),"")</f>
      </c>
      <c r="K789" s="177">
        <f>IFERROR(IF([1]对账明细接口!$K$789=0,"",[1]对账明细接口!$K$789),"")</f>
      </c>
      <c r="L789" s="16">
        <f>IFERROR(IF([1]对账明细接口!$L$789=0,"",[1]对账明细接口!$L$789),"")</f>
      </c>
      <c r="M789" s="16">
        <f>IFERROR(IF([1]对账明细接口!$M$789=0,"",[1]对账明细接口!$M$789),"")</f>
      </c>
      <c r="N789" s="19">
        <f>IF($C789="",0,1)</f>
        <v>0</v>
      </c>
      <c r="O789" s="19">
        <f>N(O788)+$N789</f>
        <v>637</v>
      </c>
      <c r="S789" s="20">
        <f>IFERROR(IF([1]对账明细接口!$N789=0,"",[1]对账明细接口!$N789),"")</f>
      </c>
      <c r="T789" s="212">
        <f>IFERROR(IF([1]对账明细接口!$O789=0,"",[1]对账明细接口!$O789),"")</f>
      </c>
      <c r="U789" s="212">
        <f>IFERROR(IF([1]对账明细接口!$P789=0,"",[1]对账明细接口!$P789),"")</f>
      </c>
      <c r="V789" s="212">
        <f>IFERROR(IF([1]对账明细接口!$Q789=0,"",[1]对账明细接口!$Q789),"")</f>
      </c>
      <c r="W789" s="20">
        <f>IFERROR(IF([1]对账明细接口!$R789=0,"",[1]对账明细接口!$R789),"")</f>
      </c>
      <c r="X789" s="20">
        <f>IFERROR(IF([1]对账明细接口!$S789=0,"",[1]对账明细接口!$S789),"")</f>
      </c>
      <c r="Y789" s="20">
        <f>IFERROR(IF([1]对账明细接口!$T789=0,"",[1]对账明细接口!$T789),"")</f>
      </c>
      <c r="Z789" s="213">
        <f>IFERROR(IF([1]对账明细接口!$U789=0,"",[1]对账明细接口!$U789),"")</f>
      </c>
      <c r="AA789" s="213">
        <f>IFERROR(IF([1]对账明细接口!$V789=0,"",[1]对账明细接口!$V789),"")</f>
      </c>
      <c r="AB789" s="20">
        <f>IFERROR(IF([1]对账明细接口!$W789=0,"",[1]对账明细接口!$W789),"")</f>
      </c>
      <c r="AC789" s="7">
        <f>IFERROR(IF([1]对账明细接口!$X789=0,"",[1]对账明细接口!$X789),"")</f>
      </c>
      <c r="AD789" s="7">
        <f>IFERROR(IF([1]对账明细接口!$Y789=0,"",[1]对账明细接口!$Y789),"")</f>
      </c>
      <c r="AE789" s="7">
        <f>IFERROR(IF([1]对账明细接口!$AA789=0,"",[1]对账明细接口!$AA789),"")</f>
      </c>
      <c r="AF789" s="7">
        <f>IFERROR(IF([1]对账明细接口!$AB789=0,"",[1]对账明细接口!$AB789),"")</f>
      </c>
      <c r="AG789" s="7">
        <f>IFERROR(IF([1]对账明细接口!$AC789=0,"",[1]对账明细接口!$AC789),"")</f>
      </c>
      <c r="AH789" s="7">
        <f>IFERROR(IF([1]对账明细接口!$AD789=0,"",[1]对账明细接口!$AD789),"")</f>
      </c>
      <c r="AI789" s="7">
        <f>IFERROR(IF([1]对账明细接口!$AE789=0,"",[1]对账明细接口!$AE789),"")</f>
      </c>
      <c r="AJ789" s="7">
        <f>IFERROR(IF([1]对账明细接口!$AF789=0,"",[1]对账明细接口!$AF789),"")</f>
      </c>
    </row>
    <row r="790" ht="14.25" customHeight="1" s="127">
      <c r="A790" s="14" t="n">
        <v>790</v>
      </c>
      <c r="B790" s="211">
        <f>IFERROR(IF([1]对账明细接口!$B$790=0,"",[1]对账明细接口!$B$790),"")</f>
      </c>
      <c r="C790" s="16">
        <f>IFERROR(IF([1]对账明细接口!$C$790=0,"",[1]对账明细接口!$C$790),"")</f>
      </c>
      <c r="D790" s="16">
        <f>IFERROR(IF([1]对账明细接口!$D$790=0,"",[1]对账明细接口!$D$790),"")</f>
      </c>
      <c r="E790" s="16">
        <f>IFERROR(IF([1]对账明细接口!$E$790=0,"",[1]对账明细接口!$E$790),"")</f>
      </c>
      <c r="F790" s="16">
        <f>IFERROR(IF([1]对账明细接口!$F$790=0,"",[1]对账明细接口!$F$790),"")</f>
      </c>
      <c r="G790" s="16">
        <f>IFERROR(IF([1]对账明细接口!$G$790=0,"",[1]对账明细接口!$G$790),"")</f>
      </c>
      <c r="H790" s="176">
        <f>IFERROR(IF([1]对账明细接口!$H$790=0,"",[1]对账明细接口!$H$790),"")</f>
      </c>
      <c r="I790" s="16">
        <f>IFERROR(IF([1]对账明细接口!$I$790=0,"",[1]对账明细接口!$I$790),"")</f>
      </c>
      <c r="J790" s="177">
        <f>IFERROR(IF([1]对账明细接口!$J$790=0,"",[1]对账明细接口!$J$790),"")</f>
      </c>
      <c r="K790" s="177">
        <f>IFERROR(IF([1]对账明细接口!$K$790=0,"",[1]对账明细接口!$K$790),"")</f>
      </c>
      <c r="L790" s="16">
        <f>IFERROR(IF([1]对账明细接口!$L$790=0,"",[1]对账明细接口!$L$790),"")</f>
      </c>
      <c r="M790" s="16">
        <f>IFERROR(IF([1]对账明细接口!$M$790=0,"",[1]对账明细接口!$M$790),"")</f>
      </c>
      <c r="N790" s="19">
        <f>IF($C790="",0,1)</f>
        <v>0</v>
      </c>
      <c r="O790" s="19">
        <f>N(O789)+$N790</f>
        <v>637</v>
      </c>
      <c r="S790" s="20">
        <f>IFERROR(IF([1]对账明细接口!$N790=0,"",[1]对账明细接口!$N790),"")</f>
      </c>
      <c r="T790" s="212">
        <f>IFERROR(IF([1]对账明细接口!$O790=0,"",[1]对账明细接口!$O790),"")</f>
      </c>
      <c r="U790" s="212">
        <f>IFERROR(IF([1]对账明细接口!$P790=0,"",[1]对账明细接口!$P790),"")</f>
      </c>
      <c r="V790" s="212">
        <f>IFERROR(IF([1]对账明细接口!$Q790=0,"",[1]对账明细接口!$Q790),"")</f>
      </c>
      <c r="W790" s="20">
        <f>IFERROR(IF([1]对账明细接口!$R790=0,"",[1]对账明细接口!$R790),"")</f>
      </c>
      <c r="X790" s="20">
        <f>IFERROR(IF([1]对账明细接口!$S790=0,"",[1]对账明细接口!$S790),"")</f>
      </c>
      <c r="Y790" s="20">
        <f>IFERROR(IF([1]对账明细接口!$T790=0,"",[1]对账明细接口!$T790),"")</f>
      </c>
      <c r="Z790" s="213">
        <f>IFERROR(IF([1]对账明细接口!$U790=0,"",[1]对账明细接口!$U790),"")</f>
      </c>
      <c r="AA790" s="213">
        <f>IFERROR(IF([1]对账明细接口!$V790=0,"",[1]对账明细接口!$V790),"")</f>
      </c>
      <c r="AB790" s="20">
        <f>IFERROR(IF([1]对账明细接口!$W790=0,"",[1]对账明细接口!$W790),"")</f>
      </c>
      <c r="AC790" s="7">
        <f>IFERROR(IF([1]对账明细接口!$X790=0,"",[1]对账明细接口!$X790),"")</f>
      </c>
      <c r="AD790" s="7">
        <f>IFERROR(IF([1]对账明细接口!$Y790=0,"",[1]对账明细接口!$Y790),"")</f>
      </c>
      <c r="AE790" s="7">
        <f>IFERROR(IF([1]对账明细接口!$AA790=0,"",[1]对账明细接口!$AA790),"")</f>
      </c>
      <c r="AF790" s="7">
        <f>IFERROR(IF([1]对账明细接口!$AB790=0,"",[1]对账明细接口!$AB790),"")</f>
      </c>
      <c r="AG790" s="7">
        <f>IFERROR(IF([1]对账明细接口!$AC790=0,"",[1]对账明细接口!$AC790),"")</f>
      </c>
      <c r="AH790" s="7">
        <f>IFERROR(IF([1]对账明细接口!$AD790=0,"",[1]对账明细接口!$AD790),"")</f>
      </c>
      <c r="AI790" s="7">
        <f>IFERROR(IF([1]对账明细接口!$AE790=0,"",[1]对账明细接口!$AE790),"")</f>
      </c>
      <c r="AJ790" s="7">
        <f>IFERROR(IF([1]对账明细接口!$AF790=0,"",[1]对账明细接口!$AF790),"")</f>
      </c>
    </row>
    <row r="791" ht="14.25" customHeight="1" s="127">
      <c r="A791" s="14" t="n">
        <v>791</v>
      </c>
      <c r="B791" s="211">
        <f>IFERROR(IF([1]对账明细接口!$B$791=0,"",[1]对账明细接口!$B$791),"")</f>
      </c>
      <c r="C791" s="16">
        <f>IFERROR(IF([1]对账明细接口!$C$791=0,"",[1]对账明细接口!$C$791),"")</f>
      </c>
      <c r="D791" s="16">
        <f>IFERROR(IF([1]对账明细接口!$D$791=0,"",[1]对账明细接口!$D$791),"")</f>
      </c>
      <c r="E791" s="16">
        <f>IFERROR(IF([1]对账明细接口!$E$791=0,"",[1]对账明细接口!$E$791),"")</f>
      </c>
      <c r="F791" s="16">
        <f>IFERROR(IF([1]对账明细接口!$F$791=0,"",[1]对账明细接口!$F$791),"")</f>
      </c>
      <c r="G791" s="16">
        <f>IFERROR(IF([1]对账明细接口!$G$791=0,"",[1]对账明细接口!$G$791),"")</f>
      </c>
      <c r="H791" s="176">
        <f>IFERROR(IF([1]对账明细接口!$H$791=0,"",[1]对账明细接口!$H$791),"")</f>
      </c>
      <c r="I791" s="16">
        <f>IFERROR(IF([1]对账明细接口!$I$791=0,"",[1]对账明细接口!$I$791),"")</f>
      </c>
      <c r="J791" s="177">
        <f>IFERROR(IF([1]对账明细接口!$J$791=0,"",[1]对账明细接口!$J$791),"")</f>
      </c>
      <c r="K791" s="177">
        <f>IFERROR(IF([1]对账明细接口!$K$791=0,"",[1]对账明细接口!$K$791),"")</f>
      </c>
      <c r="L791" s="16">
        <f>IFERROR(IF([1]对账明细接口!$L$791=0,"",[1]对账明细接口!$L$791),"")</f>
      </c>
      <c r="M791" s="16">
        <f>IFERROR(IF([1]对账明细接口!$M$791=0,"",[1]对账明细接口!$M$791),"")</f>
      </c>
      <c r="N791" s="19">
        <f>IF($C791="",0,1)</f>
        <v>0</v>
      </c>
      <c r="O791" s="19">
        <f>N(O790)+$N791</f>
        <v>637</v>
      </c>
      <c r="S791" s="20">
        <f>IFERROR(IF([1]对账明细接口!$N791=0,"",[1]对账明细接口!$N791),"")</f>
      </c>
      <c r="T791" s="212">
        <f>IFERROR(IF([1]对账明细接口!$O791=0,"",[1]对账明细接口!$O791),"")</f>
      </c>
      <c r="U791" s="212">
        <f>IFERROR(IF([1]对账明细接口!$P791=0,"",[1]对账明细接口!$P791),"")</f>
      </c>
      <c r="V791" s="212">
        <f>IFERROR(IF([1]对账明细接口!$Q791=0,"",[1]对账明细接口!$Q791),"")</f>
      </c>
      <c r="W791" s="20">
        <f>IFERROR(IF([1]对账明细接口!$R791=0,"",[1]对账明细接口!$R791),"")</f>
      </c>
      <c r="X791" s="20">
        <f>IFERROR(IF([1]对账明细接口!$S791=0,"",[1]对账明细接口!$S791),"")</f>
      </c>
      <c r="Y791" s="20">
        <f>IFERROR(IF([1]对账明细接口!$T791=0,"",[1]对账明细接口!$T791),"")</f>
      </c>
      <c r="Z791" s="213">
        <f>IFERROR(IF([1]对账明细接口!$U791=0,"",[1]对账明细接口!$U791),"")</f>
      </c>
      <c r="AA791" s="213">
        <f>IFERROR(IF([1]对账明细接口!$V791=0,"",[1]对账明细接口!$V791),"")</f>
      </c>
      <c r="AB791" s="20">
        <f>IFERROR(IF([1]对账明细接口!$W791=0,"",[1]对账明细接口!$W791),"")</f>
      </c>
      <c r="AC791" s="7">
        <f>IFERROR(IF([1]对账明细接口!$X791=0,"",[1]对账明细接口!$X791),"")</f>
      </c>
      <c r="AD791" s="7">
        <f>IFERROR(IF([1]对账明细接口!$Y791=0,"",[1]对账明细接口!$Y791),"")</f>
      </c>
      <c r="AE791" s="7">
        <f>IFERROR(IF([1]对账明细接口!$AA791=0,"",[1]对账明细接口!$AA791),"")</f>
      </c>
      <c r="AF791" s="7">
        <f>IFERROR(IF([1]对账明细接口!$AB791=0,"",[1]对账明细接口!$AB791),"")</f>
      </c>
      <c r="AG791" s="7">
        <f>IFERROR(IF([1]对账明细接口!$AC791=0,"",[1]对账明细接口!$AC791),"")</f>
      </c>
      <c r="AH791" s="7">
        <f>IFERROR(IF([1]对账明细接口!$AD791=0,"",[1]对账明细接口!$AD791),"")</f>
      </c>
      <c r="AI791" s="7">
        <f>IFERROR(IF([1]对账明细接口!$AE791=0,"",[1]对账明细接口!$AE791),"")</f>
      </c>
      <c r="AJ791" s="7">
        <f>IFERROR(IF([1]对账明细接口!$AF791=0,"",[1]对账明细接口!$AF791),"")</f>
      </c>
    </row>
    <row r="792" ht="14.25" customHeight="1" s="127">
      <c r="A792" s="14" t="n">
        <v>792</v>
      </c>
      <c r="B792" s="211">
        <f>IFERROR(IF([1]对账明细接口!$B$792=0,"",[1]对账明细接口!$B$792),"")</f>
      </c>
      <c r="C792" s="16">
        <f>IFERROR(IF([1]对账明细接口!$C$792=0,"",[1]对账明细接口!$C$792),"")</f>
      </c>
      <c r="D792" s="16">
        <f>IFERROR(IF([1]对账明细接口!$D$792=0,"",[1]对账明细接口!$D$792),"")</f>
      </c>
      <c r="E792" s="16">
        <f>IFERROR(IF([1]对账明细接口!$E$792=0,"",[1]对账明细接口!$E$792),"")</f>
      </c>
      <c r="F792" s="16">
        <f>IFERROR(IF([1]对账明细接口!$F$792=0,"",[1]对账明细接口!$F$792),"")</f>
      </c>
      <c r="G792" s="16">
        <f>IFERROR(IF([1]对账明细接口!$G$792=0,"",[1]对账明细接口!$G$792),"")</f>
      </c>
      <c r="H792" s="176">
        <f>IFERROR(IF([1]对账明细接口!$H$792=0,"",[1]对账明细接口!$H$792),"")</f>
      </c>
      <c r="I792" s="16">
        <f>IFERROR(IF([1]对账明细接口!$I$792=0,"",[1]对账明细接口!$I$792),"")</f>
      </c>
      <c r="J792" s="177">
        <f>IFERROR(IF([1]对账明细接口!$J$792=0,"",[1]对账明细接口!$J$792),"")</f>
      </c>
      <c r="K792" s="177">
        <f>IFERROR(IF([1]对账明细接口!$K$792=0,"",[1]对账明细接口!$K$792),"")</f>
      </c>
      <c r="L792" s="16">
        <f>IFERROR(IF([1]对账明细接口!$L$792=0,"",[1]对账明细接口!$L$792),"")</f>
      </c>
      <c r="M792" s="16">
        <f>IFERROR(IF([1]对账明细接口!$M$792=0,"",[1]对账明细接口!$M$792),"")</f>
      </c>
      <c r="N792" s="19">
        <f>IF($C792="",0,1)</f>
        <v>0</v>
      </c>
      <c r="O792" s="19">
        <f>N(O791)+$N792</f>
        <v>637</v>
      </c>
      <c r="S792" s="20">
        <f>IFERROR(IF([1]对账明细接口!$N792=0,"",[1]对账明细接口!$N792),"")</f>
      </c>
      <c r="T792" s="212">
        <f>IFERROR(IF([1]对账明细接口!$O792=0,"",[1]对账明细接口!$O792),"")</f>
      </c>
      <c r="U792" s="212">
        <f>IFERROR(IF([1]对账明细接口!$P792=0,"",[1]对账明细接口!$P792),"")</f>
      </c>
      <c r="V792" s="212">
        <f>IFERROR(IF([1]对账明细接口!$Q792=0,"",[1]对账明细接口!$Q792),"")</f>
      </c>
      <c r="W792" s="20">
        <f>IFERROR(IF([1]对账明细接口!$R792=0,"",[1]对账明细接口!$R792),"")</f>
      </c>
      <c r="X792" s="20">
        <f>IFERROR(IF([1]对账明细接口!$S792=0,"",[1]对账明细接口!$S792),"")</f>
      </c>
      <c r="Y792" s="20">
        <f>IFERROR(IF([1]对账明细接口!$T792=0,"",[1]对账明细接口!$T792),"")</f>
      </c>
      <c r="Z792" s="213">
        <f>IFERROR(IF([1]对账明细接口!$U792=0,"",[1]对账明细接口!$U792),"")</f>
      </c>
      <c r="AA792" s="213">
        <f>IFERROR(IF([1]对账明细接口!$V792=0,"",[1]对账明细接口!$V792),"")</f>
      </c>
      <c r="AB792" s="20">
        <f>IFERROR(IF([1]对账明细接口!$W792=0,"",[1]对账明细接口!$W792),"")</f>
      </c>
      <c r="AC792" s="7">
        <f>IFERROR(IF([1]对账明细接口!$X792=0,"",[1]对账明细接口!$X792),"")</f>
      </c>
      <c r="AD792" s="7">
        <f>IFERROR(IF([1]对账明细接口!$Y792=0,"",[1]对账明细接口!$Y792),"")</f>
      </c>
      <c r="AE792" s="7">
        <f>IFERROR(IF([1]对账明细接口!$AA792=0,"",[1]对账明细接口!$AA792),"")</f>
      </c>
      <c r="AF792" s="7">
        <f>IFERROR(IF([1]对账明细接口!$AB792=0,"",[1]对账明细接口!$AB792),"")</f>
      </c>
      <c r="AG792" s="7">
        <f>IFERROR(IF([1]对账明细接口!$AC792=0,"",[1]对账明细接口!$AC792),"")</f>
      </c>
      <c r="AH792" s="7">
        <f>IFERROR(IF([1]对账明细接口!$AD792=0,"",[1]对账明细接口!$AD792),"")</f>
      </c>
      <c r="AI792" s="7">
        <f>IFERROR(IF([1]对账明细接口!$AE792=0,"",[1]对账明细接口!$AE792),"")</f>
      </c>
      <c r="AJ792" s="7">
        <f>IFERROR(IF([1]对账明细接口!$AF792=0,"",[1]对账明细接口!$AF792),"")</f>
      </c>
    </row>
    <row r="793" ht="14.25" customHeight="1" s="127">
      <c r="A793" s="14" t="n">
        <v>793</v>
      </c>
      <c r="B793" s="211">
        <f>IFERROR(IF([1]对账明细接口!$B$793=0,"",[1]对账明细接口!$B$793),"")</f>
      </c>
      <c r="C793" s="16">
        <f>IFERROR(IF([1]对账明细接口!$C$793=0,"",[1]对账明细接口!$C$793),"")</f>
      </c>
      <c r="D793" s="16">
        <f>IFERROR(IF([1]对账明细接口!$D$793=0,"",[1]对账明细接口!$D$793),"")</f>
      </c>
      <c r="E793" s="16">
        <f>IFERROR(IF([1]对账明细接口!$E$793=0,"",[1]对账明细接口!$E$793),"")</f>
      </c>
      <c r="F793" s="16">
        <f>IFERROR(IF([1]对账明细接口!$F$793=0,"",[1]对账明细接口!$F$793),"")</f>
      </c>
      <c r="G793" s="16">
        <f>IFERROR(IF([1]对账明细接口!$G$793=0,"",[1]对账明细接口!$G$793),"")</f>
      </c>
      <c r="H793" s="176">
        <f>IFERROR(IF([1]对账明细接口!$H$793=0,"",[1]对账明细接口!$H$793),"")</f>
      </c>
      <c r="I793" s="16">
        <f>IFERROR(IF([1]对账明细接口!$I$793=0,"",[1]对账明细接口!$I$793),"")</f>
      </c>
      <c r="J793" s="177">
        <f>IFERROR(IF([1]对账明细接口!$J$793=0,"",[1]对账明细接口!$J$793),"")</f>
      </c>
      <c r="K793" s="177">
        <f>IFERROR(IF([1]对账明细接口!$K$793=0,"",[1]对账明细接口!$K$793),"")</f>
      </c>
      <c r="L793" s="16">
        <f>IFERROR(IF([1]对账明细接口!$L$793=0,"",[1]对账明细接口!$L$793),"")</f>
      </c>
      <c r="M793" s="16">
        <f>IFERROR(IF([1]对账明细接口!$M$793=0,"",[1]对账明细接口!$M$793),"")</f>
      </c>
      <c r="N793" s="19">
        <f>IF($C793="",0,1)</f>
        <v>0</v>
      </c>
      <c r="O793" s="19">
        <f>N(O792)+$N793</f>
        <v>637</v>
      </c>
      <c r="S793" s="20">
        <f>IFERROR(IF([1]对账明细接口!$N793=0,"",[1]对账明细接口!$N793),"")</f>
      </c>
      <c r="T793" s="212">
        <f>IFERROR(IF([1]对账明细接口!$O793=0,"",[1]对账明细接口!$O793),"")</f>
      </c>
      <c r="U793" s="212">
        <f>IFERROR(IF([1]对账明细接口!$P793=0,"",[1]对账明细接口!$P793),"")</f>
      </c>
      <c r="V793" s="212">
        <f>IFERROR(IF([1]对账明细接口!$Q793=0,"",[1]对账明细接口!$Q793),"")</f>
      </c>
      <c r="W793" s="20">
        <f>IFERROR(IF([1]对账明细接口!$R793=0,"",[1]对账明细接口!$R793),"")</f>
      </c>
      <c r="X793" s="20">
        <f>IFERROR(IF([1]对账明细接口!$S793=0,"",[1]对账明细接口!$S793),"")</f>
      </c>
      <c r="Y793" s="20">
        <f>IFERROR(IF([1]对账明细接口!$T793=0,"",[1]对账明细接口!$T793),"")</f>
      </c>
      <c r="Z793" s="213">
        <f>IFERROR(IF([1]对账明细接口!$U793=0,"",[1]对账明细接口!$U793),"")</f>
      </c>
      <c r="AA793" s="213">
        <f>IFERROR(IF([1]对账明细接口!$V793=0,"",[1]对账明细接口!$V793),"")</f>
      </c>
      <c r="AB793" s="20">
        <f>IFERROR(IF([1]对账明细接口!$W793=0,"",[1]对账明细接口!$W793),"")</f>
      </c>
      <c r="AC793" s="7">
        <f>IFERROR(IF([1]对账明细接口!$X793=0,"",[1]对账明细接口!$X793),"")</f>
      </c>
      <c r="AD793" s="7">
        <f>IFERROR(IF([1]对账明细接口!$Y793=0,"",[1]对账明细接口!$Y793),"")</f>
      </c>
      <c r="AE793" s="7">
        <f>IFERROR(IF([1]对账明细接口!$AA793=0,"",[1]对账明细接口!$AA793),"")</f>
      </c>
      <c r="AF793" s="7">
        <f>IFERROR(IF([1]对账明细接口!$AB793=0,"",[1]对账明细接口!$AB793),"")</f>
      </c>
      <c r="AG793" s="7">
        <f>IFERROR(IF([1]对账明细接口!$AC793=0,"",[1]对账明细接口!$AC793),"")</f>
      </c>
      <c r="AH793" s="7">
        <f>IFERROR(IF([1]对账明细接口!$AD793=0,"",[1]对账明细接口!$AD793),"")</f>
      </c>
      <c r="AI793" s="7">
        <f>IFERROR(IF([1]对账明细接口!$AE793=0,"",[1]对账明细接口!$AE793),"")</f>
      </c>
      <c r="AJ793" s="7">
        <f>IFERROR(IF([1]对账明细接口!$AF793=0,"",[1]对账明细接口!$AF793),"")</f>
      </c>
    </row>
    <row r="794" ht="14.25" customHeight="1" s="127">
      <c r="A794" s="14" t="n">
        <v>794</v>
      </c>
      <c r="B794" s="211">
        <f>IFERROR(IF([1]对账明细接口!$B$794=0,"",[1]对账明细接口!$B$794),"")</f>
      </c>
      <c r="C794" s="16">
        <f>IFERROR(IF([1]对账明细接口!$C$794=0,"",[1]对账明细接口!$C$794),"")</f>
      </c>
      <c r="D794" s="16">
        <f>IFERROR(IF([1]对账明细接口!$D$794=0,"",[1]对账明细接口!$D$794),"")</f>
      </c>
      <c r="E794" s="16">
        <f>IFERROR(IF([1]对账明细接口!$E$794=0,"",[1]对账明细接口!$E$794),"")</f>
      </c>
      <c r="F794" s="16">
        <f>IFERROR(IF([1]对账明细接口!$F$794=0,"",[1]对账明细接口!$F$794),"")</f>
      </c>
      <c r="G794" s="16">
        <f>IFERROR(IF([1]对账明细接口!$G$794=0,"",[1]对账明细接口!$G$794),"")</f>
      </c>
      <c r="H794" s="176">
        <f>IFERROR(IF([1]对账明细接口!$H$794=0,"",[1]对账明细接口!$H$794),"")</f>
      </c>
      <c r="I794" s="16">
        <f>IFERROR(IF([1]对账明细接口!$I$794=0,"",[1]对账明细接口!$I$794),"")</f>
      </c>
      <c r="J794" s="177">
        <f>IFERROR(IF([1]对账明细接口!$J$794=0,"",[1]对账明细接口!$J$794),"")</f>
      </c>
      <c r="K794" s="177">
        <f>IFERROR(IF([1]对账明细接口!$K$794=0,"",[1]对账明细接口!$K$794),"")</f>
      </c>
      <c r="L794" s="16">
        <f>IFERROR(IF([1]对账明细接口!$L$794=0,"",[1]对账明细接口!$L$794),"")</f>
      </c>
      <c r="M794" s="16">
        <f>IFERROR(IF([1]对账明细接口!$M$794=0,"",[1]对账明细接口!$M$794),"")</f>
      </c>
      <c r="N794" s="19">
        <f>IF($C794="",0,1)</f>
        <v>0</v>
      </c>
      <c r="O794" s="19">
        <f>N(O793)+$N794</f>
        <v>637</v>
      </c>
      <c r="S794" s="20">
        <f>IFERROR(IF([1]对账明细接口!$N794=0,"",[1]对账明细接口!$N794),"")</f>
      </c>
      <c r="T794" s="212">
        <f>IFERROR(IF([1]对账明细接口!$O794=0,"",[1]对账明细接口!$O794),"")</f>
      </c>
      <c r="U794" s="212">
        <f>IFERROR(IF([1]对账明细接口!$P794=0,"",[1]对账明细接口!$P794),"")</f>
      </c>
      <c r="V794" s="212">
        <f>IFERROR(IF([1]对账明细接口!$Q794=0,"",[1]对账明细接口!$Q794),"")</f>
      </c>
      <c r="W794" s="20">
        <f>IFERROR(IF([1]对账明细接口!$R794=0,"",[1]对账明细接口!$R794),"")</f>
      </c>
      <c r="X794" s="20">
        <f>IFERROR(IF([1]对账明细接口!$S794=0,"",[1]对账明细接口!$S794),"")</f>
      </c>
      <c r="Y794" s="20">
        <f>IFERROR(IF([1]对账明细接口!$T794=0,"",[1]对账明细接口!$T794),"")</f>
      </c>
      <c r="Z794" s="213">
        <f>IFERROR(IF([1]对账明细接口!$U794=0,"",[1]对账明细接口!$U794),"")</f>
      </c>
      <c r="AA794" s="213">
        <f>IFERROR(IF([1]对账明细接口!$V794=0,"",[1]对账明细接口!$V794),"")</f>
      </c>
      <c r="AB794" s="20">
        <f>IFERROR(IF([1]对账明细接口!$W794=0,"",[1]对账明细接口!$W794),"")</f>
      </c>
      <c r="AC794" s="7">
        <f>IFERROR(IF([1]对账明细接口!$X794=0,"",[1]对账明细接口!$X794),"")</f>
      </c>
      <c r="AD794" s="7">
        <f>IFERROR(IF([1]对账明细接口!$Y794=0,"",[1]对账明细接口!$Y794),"")</f>
      </c>
      <c r="AE794" s="7">
        <f>IFERROR(IF([1]对账明细接口!$AA794=0,"",[1]对账明细接口!$AA794),"")</f>
      </c>
      <c r="AF794" s="7">
        <f>IFERROR(IF([1]对账明细接口!$AB794=0,"",[1]对账明细接口!$AB794),"")</f>
      </c>
      <c r="AG794" s="7">
        <f>IFERROR(IF([1]对账明细接口!$AC794=0,"",[1]对账明细接口!$AC794),"")</f>
      </c>
      <c r="AH794" s="7">
        <f>IFERROR(IF([1]对账明细接口!$AD794=0,"",[1]对账明细接口!$AD794),"")</f>
      </c>
      <c r="AI794" s="7">
        <f>IFERROR(IF([1]对账明细接口!$AE794=0,"",[1]对账明细接口!$AE794),"")</f>
      </c>
      <c r="AJ794" s="7">
        <f>IFERROR(IF([1]对账明细接口!$AF794=0,"",[1]对账明细接口!$AF794),"")</f>
      </c>
    </row>
    <row r="795" ht="14.25" customHeight="1" s="127">
      <c r="A795" s="14" t="n">
        <v>795</v>
      </c>
      <c r="B795" s="211">
        <f>IFERROR(IF([1]对账明细接口!$B$795=0,"",[1]对账明细接口!$B$795),"")</f>
      </c>
      <c r="C795" s="16">
        <f>IFERROR(IF([1]对账明细接口!$C$795=0,"",[1]对账明细接口!$C$795),"")</f>
      </c>
      <c r="D795" s="16">
        <f>IFERROR(IF([1]对账明细接口!$D$795=0,"",[1]对账明细接口!$D$795),"")</f>
      </c>
      <c r="E795" s="16">
        <f>IFERROR(IF([1]对账明细接口!$E$795=0,"",[1]对账明细接口!$E$795),"")</f>
      </c>
      <c r="F795" s="16">
        <f>IFERROR(IF([1]对账明细接口!$F$795=0,"",[1]对账明细接口!$F$795),"")</f>
      </c>
      <c r="G795" s="16">
        <f>IFERROR(IF([1]对账明细接口!$G$795=0,"",[1]对账明细接口!$G$795),"")</f>
      </c>
      <c r="H795" s="176">
        <f>IFERROR(IF([1]对账明细接口!$H$795=0,"",[1]对账明细接口!$H$795),"")</f>
      </c>
      <c r="I795" s="16">
        <f>IFERROR(IF([1]对账明细接口!$I$795=0,"",[1]对账明细接口!$I$795),"")</f>
      </c>
      <c r="J795" s="177">
        <f>IFERROR(IF([1]对账明细接口!$J$795=0,"",[1]对账明细接口!$J$795),"")</f>
      </c>
      <c r="K795" s="177">
        <f>IFERROR(IF([1]对账明细接口!$K$795=0,"",[1]对账明细接口!$K$795),"")</f>
      </c>
      <c r="L795" s="16">
        <f>IFERROR(IF([1]对账明细接口!$L$795=0,"",[1]对账明细接口!$L$795),"")</f>
      </c>
      <c r="M795" s="16">
        <f>IFERROR(IF([1]对账明细接口!$M$795=0,"",[1]对账明细接口!$M$795),"")</f>
      </c>
      <c r="N795" s="19">
        <f>IF($C795="",0,1)</f>
        <v>0</v>
      </c>
      <c r="O795" s="19">
        <f>N(O794)+$N795</f>
        <v>637</v>
      </c>
      <c r="S795" s="20">
        <f>IFERROR(IF([1]对账明细接口!$N795=0,"",[1]对账明细接口!$N795),"")</f>
      </c>
      <c r="T795" s="212">
        <f>IFERROR(IF([1]对账明细接口!$O795=0,"",[1]对账明细接口!$O795),"")</f>
      </c>
      <c r="U795" s="212">
        <f>IFERROR(IF([1]对账明细接口!$P795=0,"",[1]对账明细接口!$P795),"")</f>
      </c>
      <c r="V795" s="212">
        <f>IFERROR(IF([1]对账明细接口!$Q795=0,"",[1]对账明细接口!$Q795),"")</f>
      </c>
      <c r="W795" s="20">
        <f>IFERROR(IF([1]对账明细接口!$R795=0,"",[1]对账明细接口!$R795),"")</f>
      </c>
      <c r="X795" s="20">
        <f>IFERROR(IF([1]对账明细接口!$S795=0,"",[1]对账明细接口!$S795),"")</f>
      </c>
      <c r="Y795" s="20">
        <f>IFERROR(IF([1]对账明细接口!$T795=0,"",[1]对账明细接口!$T795),"")</f>
      </c>
      <c r="Z795" s="213">
        <f>IFERROR(IF([1]对账明细接口!$U795=0,"",[1]对账明细接口!$U795),"")</f>
      </c>
      <c r="AA795" s="213">
        <f>IFERROR(IF([1]对账明细接口!$V795=0,"",[1]对账明细接口!$V795),"")</f>
      </c>
      <c r="AB795" s="20">
        <f>IFERROR(IF([1]对账明细接口!$W795=0,"",[1]对账明细接口!$W795),"")</f>
      </c>
      <c r="AC795" s="7">
        <f>IFERROR(IF([1]对账明细接口!$X795=0,"",[1]对账明细接口!$X795),"")</f>
      </c>
      <c r="AD795" s="7">
        <f>IFERROR(IF([1]对账明细接口!$Y795=0,"",[1]对账明细接口!$Y795),"")</f>
      </c>
      <c r="AE795" s="7">
        <f>IFERROR(IF([1]对账明细接口!$AA795=0,"",[1]对账明细接口!$AA795),"")</f>
      </c>
      <c r="AF795" s="7">
        <f>IFERROR(IF([1]对账明细接口!$AB795=0,"",[1]对账明细接口!$AB795),"")</f>
      </c>
      <c r="AG795" s="7">
        <f>IFERROR(IF([1]对账明细接口!$AC795=0,"",[1]对账明细接口!$AC795),"")</f>
      </c>
      <c r="AH795" s="7">
        <f>IFERROR(IF([1]对账明细接口!$AD795=0,"",[1]对账明细接口!$AD795),"")</f>
      </c>
      <c r="AI795" s="7">
        <f>IFERROR(IF([1]对账明细接口!$AE795=0,"",[1]对账明细接口!$AE795),"")</f>
      </c>
      <c r="AJ795" s="7">
        <f>IFERROR(IF([1]对账明细接口!$AF795=0,"",[1]对账明细接口!$AF795),"")</f>
      </c>
    </row>
    <row r="796" ht="14.25" customHeight="1" s="127">
      <c r="A796" s="14" t="n">
        <v>796</v>
      </c>
      <c r="B796" s="211">
        <f>IFERROR(IF([1]对账明细接口!$B$796=0,"",[1]对账明细接口!$B$796),"")</f>
      </c>
      <c r="C796" s="16">
        <f>IFERROR(IF([1]对账明细接口!$C$796=0,"",[1]对账明细接口!$C$796),"")</f>
      </c>
      <c r="D796" s="16">
        <f>IFERROR(IF([1]对账明细接口!$D$796=0,"",[1]对账明细接口!$D$796),"")</f>
      </c>
      <c r="E796" s="16">
        <f>IFERROR(IF([1]对账明细接口!$E$796=0,"",[1]对账明细接口!$E$796),"")</f>
      </c>
      <c r="F796" s="16">
        <f>IFERROR(IF([1]对账明细接口!$F$796=0,"",[1]对账明细接口!$F$796),"")</f>
      </c>
      <c r="G796" s="16">
        <f>IFERROR(IF([1]对账明细接口!$G$796=0,"",[1]对账明细接口!$G$796),"")</f>
      </c>
      <c r="H796" s="176">
        <f>IFERROR(IF([1]对账明细接口!$H$796=0,"",[1]对账明细接口!$H$796),"")</f>
      </c>
      <c r="I796" s="16">
        <f>IFERROR(IF([1]对账明细接口!$I$796=0,"",[1]对账明细接口!$I$796),"")</f>
      </c>
      <c r="J796" s="177">
        <f>IFERROR(IF([1]对账明细接口!$J$796=0,"",[1]对账明细接口!$J$796),"")</f>
      </c>
      <c r="K796" s="177">
        <f>IFERROR(IF([1]对账明细接口!$K$796=0,"",[1]对账明细接口!$K$796),"")</f>
      </c>
      <c r="L796" s="16">
        <f>IFERROR(IF([1]对账明细接口!$L$796=0,"",[1]对账明细接口!$L$796),"")</f>
      </c>
      <c r="M796" s="16">
        <f>IFERROR(IF([1]对账明细接口!$M$796=0,"",[1]对账明细接口!$M$796),"")</f>
      </c>
      <c r="N796" s="19">
        <f>IF($C796="",0,1)</f>
        <v>0</v>
      </c>
      <c r="O796" s="19">
        <f>N(O795)+$N796</f>
        <v>637</v>
      </c>
      <c r="S796" s="20">
        <f>IFERROR(IF([1]对账明细接口!$N796=0,"",[1]对账明细接口!$N796),"")</f>
      </c>
      <c r="T796" s="212">
        <f>IFERROR(IF([1]对账明细接口!$O796=0,"",[1]对账明细接口!$O796),"")</f>
      </c>
      <c r="U796" s="212">
        <f>IFERROR(IF([1]对账明细接口!$P796=0,"",[1]对账明细接口!$P796),"")</f>
      </c>
      <c r="V796" s="212">
        <f>IFERROR(IF([1]对账明细接口!$Q796=0,"",[1]对账明细接口!$Q796),"")</f>
      </c>
      <c r="W796" s="20">
        <f>IFERROR(IF([1]对账明细接口!$R796=0,"",[1]对账明细接口!$R796),"")</f>
      </c>
      <c r="X796" s="20">
        <f>IFERROR(IF([1]对账明细接口!$S796=0,"",[1]对账明细接口!$S796),"")</f>
      </c>
      <c r="Y796" s="20">
        <f>IFERROR(IF([1]对账明细接口!$T796=0,"",[1]对账明细接口!$T796),"")</f>
      </c>
      <c r="Z796" s="213">
        <f>IFERROR(IF([1]对账明细接口!$U796=0,"",[1]对账明细接口!$U796),"")</f>
      </c>
      <c r="AA796" s="213">
        <f>IFERROR(IF([1]对账明细接口!$V796=0,"",[1]对账明细接口!$V796),"")</f>
      </c>
      <c r="AB796" s="20">
        <f>IFERROR(IF([1]对账明细接口!$W796=0,"",[1]对账明细接口!$W796),"")</f>
      </c>
      <c r="AC796" s="7">
        <f>IFERROR(IF([1]对账明细接口!$X796=0,"",[1]对账明细接口!$X796),"")</f>
      </c>
      <c r="AD796" s="7">
        <f>IFERROR(IF([1]对账明细接口!$Y796=0,"",[1]对账明细接口!$Y796),"")</f>
      </c>
      <c r="AE796" s="7">
        <f>IFERROR(IF([1]对账明细接口!$AA796=0,"",[1]对账明细接口!$AA796),"")</f>
      </c>
      <c r="AF796" s="7">
        <f>IFERROR(IF([1]对账明细接口!$AB796=0,"",[1]对账明细接口!$AB796),"")</f>
      </c>
      <c r="AG796" s="7">
        <f>IFERROR(IF([1]对账明细接口!$AC796=0,"",[1]对账明细接口!$AC796),"")</f>
      </c>
      <c r="AH796" s="7">
        <f>IFERROR(IF([1]对账明细接口!$AD796=0,"",[1]对账明细接口!$AD796),"")</f>
      </c>
      <c r="AI796" s="7">
        <f>IFERROR(IF([1]对账明细接口!$AE796=0,"",[1]对账明细接口!$AE796),"")</f>
      </c>
      <c r="AJ796" s="7">
        <f>IFERROR(IF([1]对账明细接口!$AF796=0,"",[1]对账明细接口!$AF796),"")</f>
      </c>
    </row>
    <row r="797" ht="14.25" customHeight="1" s="127">
      <c r="A797" s="14" t="n">
        <v>797</v>
      </c>
      <c r="B797" s="211">
        <f>IFERROR(IF([1]对账明细接口!$B$797=0,"",[1]对账明细接口!$B$797),"")</f>
      </c>
      <c r="C797" s="16">
        <f>IFERROR(IF([1]对账明细接口!$C$797=0,"",[1]对账明细接口!$C$797),"")</f>
      </c>
      <c r="D797" s="16">
        <f>IFERROR(IF([1]对账明细接口!$D$797=0,"",[1]对账明细接口!$D$797),"")</f>
      </c>
      <c r="E797" s="16">
        <f>IFERROR(IF([1]对账明细接口!$E$797=0,"",[1]对账明细接口!$E$797),"")</f>
      </c>
      <c r="F797" s="16">
        <f>IFERROR(IF([1]对账明细接口!$F$797=0,"",[1]对账明细接口!$F$797),"")</f>
      </c>
      <c r="G797" s="16">
        <f>IFERROR(IF([1]对账明细接口!$G$797=0,"",[1]对账明细接口!$G$797),"")</f>
      </c>
      <c r="H797" s="176">
        <f>IFERROR(IF([1]对账明细接口!$H$797=0,"",[1]对账明细接口!$H$797),"")</f>
      </c>
      <c r="I797" s="16">
        <f>IFERROR(IF([1]对账明细接口!$I$797=0,"",[1]对账明细接口!$I$797),"")</f>
      </c>
      <c r="J797" s="177">
        <f>IFERROR(IF([1]对账明细接口!$J$797=0,"",[1]对账明细接口!$J$797),"")</f>
      </c>
      <c r="K797" s="177">
        <f>IFERROR(IF([1]对账明细接口!$K$797=0,"",[1]对账明细接口!$K$797),"")</f>
      </c>
      <c r="L797" s="16">
        <f>IFERROR(IF([1]对账明细接口!$L$797=0,"",[1]对账明细接口!$L$797),"")</f>
      </c>
      <c r="M797" s="16">
        <f>IFERROR(IF([1]对账明细接口!$M$797=0,"",[1]对账明细接口!$M$797),"")</f>
      </c>
      <c r="N797" s="19">
        <f>IF($C797="",0,1)</f>
        <v>0</v>
      </c>
      <c r="O797" s="19">
        <f>N(O796)+$N797</f>
        <v>637</v>
      </c>
      <c r="S797" s="20">
        <f>IFERROR(IF([1]对账明细接口!$N797=0,"",[1]对账明细接口!$N797),"")</f>
      </c>
      <c r="T797" s="212">
        <f>IFERROR(IF([1]对账明细接口!$O797=0,"",[1]对账明细接口!$O797),"")</f>
      </c>
      <c r="U797" s="212">
        <f>IFERROR(IF([1]对账明细接口!$P797=0,"",[1]对账明细接口!$P797),"")</f>
      </c>
      <c r="V797" s="212">
        <f>IFERROR(IF([1]对账明细接口!$Q797=0,"",[1]对账明细接口!$Q797),"")</f>
      </c>
      <c r="W797" s="20">
        <f>IFERROR(IF([1]对账明细接口!$R797=0,"",[1]对账明细接口!$R797),"")</f>
      </c>
      <c r="X797" s="20">
        <f>IFERROR(IF([1]对账明细接口!$S797=0,"",[1]对账明细接口!$S797),"")</f>
      </c>
      <c r="Y797" s="20">
        <f>IFERROR(IF([1]对账明细接口!$T797=0,"",[1]对账明细接口!$T797),"")</f>
      </c>
      <c r="Z797" s="213">
        <f>IFERROR(IF([1]对账明细接口!$U797=0,"",[1]对账明细接口!$U797),"")</f>
      </c>
      <c r="AA797" s="213">
        <f>IFERROR(IF([1]对账明细接口!$V797=0,"",[1]对账明细接口!$V797),"")</f>
      </c>
      <c r="AB797" s="20">
        <f>IFERROR(IF([1]对账明细接口!$W797=0,"",[1]对账明细接口!$W797),"")</f>
      </c>
      <c r="AC797" s="7">
        <f>IFERROR(IF([1]对账明细接口!$X797=0,"",[1]对账明细接口!$X797),"")</f>
      </c>
      <c r="AD797" s="7">
        <f>IFERROR(IF([1]对账明细接口!$Y797=0,"",[1]对账明细接口!$Y797),"")</f>
      </c>
      <c r="AE797" s="7">
        <f>IFERROR(IF([1]对账明细接口!$AA797=0,"",[1]对账明细接口!$AA797),"")</f>
      </c>
      <c r="AF797" s="7">
        <f>IFERROR(IF([1]对账明细接口!$AB797=0,"",[1]对账明细接口!$AB797),"")</f>
      </c>
      <c r="AG797" s="7">
        <f>IFERROR(IF([1]对账明细接口!$AC797=0,"",[1]对账明细接口!$AC797),"")</f>
      </c>
      <c r="AH797" s="7">
        <f>IFERROR(IF([1]对账明细接口!$AD797=0,"",[1]对账明细接口!$AD797),"")</f>
      </c>
      <c r="AI797" s="7">
        <f>IFERROR(IF([1]对账明细接口!$AE797=0,"",[1]对账明细接口!$AE797),"")</f>
      </c>
      <c r="AJ797" s="7">
        <f>IFERROR(IF([1]对账明细接口!$AF797=0,"",[1]对账明细接口!$AF797),"")</f>
      </c>
    </row>
    <row r="798" ht="14.25" customHeight="1" s="127">
      <c r="A798" s="14" t="n">
        <v>798</v>
      </c>
      <c r="B798" s="211">
        <f>IFERROR(IF([1]对账明细接口!$B$798=0,"",[1]对账明细接口!$B$798),"")</f>
      </c>
      <c r="C798" s="16">
        <f>IFERROR(IF([1]对账明细接口!$C$798=0,"",[1]对账明细接口!$C$798),"")</f>
      </c>
      <c r="D798" s="16">
        <f>IFERROR(IF([1]对账明细接口!$D$798=0,"",[1]对账明细接口!$D$798),"")</f>
      </c>
      <c r="E798" s="16">
        <f>IFERROR(IF([1]对账明细接口!$E$798=0,"",[1]对账明细接口!$E$798),"")</f>
      </c>
      <c r="F798" s="16">
        <f>IFERROR(IF([1]对账明细接口!$F$798=0,"",[1]对账明细接口!$F$798),"")</f>
      </c>
      <c r="G798" s="16">
        <f>IFERROR(IF([1]对账明细接口!$G$798=0,"",[1]对账明细接口!$G$798),"")</f>
      </c>
      <c r="H798" s="176">
        <f>IFERROR(IF([1]对账明细接口!$H$798=0,"",[1]对账明细接口!$H$798),"")</f>
      </c>
      <c r="I798" s="16">
        <f>IFERROR(IF([1]对账明细接口!$I$798=0,"",[1]对账明细接口!$I$798),"")</f>
      </c>
      <c r="J798" s="177">
        <f>IFERROR(IF([1]对账明细接口!$J$798=0,"",[1]对账明细接口!$J$798),"")</f>
      </c>
      <c r="K798" s="177">
        <f>IFERROR(IF([1]对账明细接口!$K$798=0,"",[1]对账明细接口!$K$798),"")</f>
      </c>
      <c r="L798" s="16">
        <f>IFERROR(IF([1]对账明细接口!$L$798=0,"",[1]对账明细接口!$L$798),"")</f>
      </c>
      <c r="M798" s="16">
        <f>IFERROR(IF([1]对账明细接口!$M$798=0,"",[1]对账明细接口!$M$798),"")</f>
      </c>
      <c r="N798" s="19">
        <f>IF($C798="",0,1)</f>
        <v>0</v>
      </c>
      <c r="O798" s="19">
        <f>N(O797)+$N798</f>
        <v>637</v>
      </c>
      <c r="S798" s="20">
        <f>IFERROR(IF([1]对账明细接口!$N798=0,"",[1]对账明细接口!$N798),"")</f>
      </c>
      <c r="T798" s="212">
        <f>IFERROR(IF([1]对账明细接口!$O798=0,"",[1]对账明细接口!$O798),"")</f>
      </c>
      <c r="U798" s="212">
        <f>IFERROR(IF([1]对账明细接口!$P798=0,"",[1]对账明细接口!$P798),"")</f>
      </c>
      <c r="V798" s="212">
        <f>IFERROR(IF([1]对账明细接口!$Q798=0,"",[1]对账明细接口!$Q798),"")</f>
      </c>
      <c r="W798" s="20">
        <f>IFERROR(IF([1]对账明细接口!$R798=0,"",[1]对账明细接口!$R798),"")</f>
      </c>
      <c r="X798" s="20">
        <f>IFERROR(IF([1]对账明细接口!$S798=0,"",[1]对账明细接口!$S798),"")</f>
      </c>
      <c r="Y798" s="20">
        <f>IFERROR(IF([1]对账明细接口!$T798=0,"",[1]对账明细接口!$T798),"")</f>
      </c>
      <c r="Z798" s="213">
        <f>IFERROR(IF([1]对账明细接口!$U798=0,"",[1]对账明细接口!$U798),"")</f>
      </c>
      <c r="AA798" s="213">
        <f>IFERROR(IF([1]对账明细接口!$V798=0,"",[1]对账明细接口!$V798),"")</f>
      </c>
      <c r="AB798" s="20">
        <f>IFERROR(IF([1]对账明细接口!$W798=0,"",[1]对账明细接口!$W798),"")</f>
      </c>
      <c r="AC798" s="7">
        <f>IFERROR(IF([1]对账明细接口!$X798=0,"",[1]对账明细接口!$X798),"")</f>
      </c>
      <c r="AD798" s="7">
        <f>IFERROR(IF([1]对账明细接口!$Y798=0,"",[1]对账明细接口!$Y798),"")</f>
      </c>
      <c r="AE798" s="7">
        <f>IFERROR(IF([1]对账明细接口!$AA798=0,"",[1]对账明细接口!$AA798),"")</f>
      </c>
      <c r="AF798" s="7">
        <f>IFERROR(IF([1]对账明细接口!$AB798=0,"",[1]对账明细接口!$AB798),"")</f>
      </c>
      <c r="AG798" s="7">
        <f>IFERROR(IF([1]对账明细接口!$AC798=0,"",[1]对账明细接口!$AC798),"")</f>
      </c>
      <c r="AH798" s="7">
        <f>IFERROR(IF([1]对账明细接口!$AD798=0,"",[1]对账明细接口!$AD798),"")</f>
      </c>
      <c r="AI798" s="7">
        <f>IFERROR(IF([1]对账明细接口!$AE798=0,"",[1]对账明细接口!$AE798),"")</f>
      </c>
      <c r="AJ798" s="7">
        <f>IFERROR(IF([1]对账明细接口!$AF798=0,"",[1]对账明细接口!$AF798),"")</f>
      </c>
    </row>
    <row r="799" ht="14.25" customHeight="1" s="127">
      <c r="A799" s="14" t="n">
        <v>799</v>
      </c>
      <c r="B799" s="211">
        <f>IFERROR(IF([1]对账明细接口!$B$799=0,"",[1]对账明细接口!$B$799),"")</f>
      </c>
      <c r="C799" s="16">
        <f>IFERROR(IF([1]对账明细接口!$C$799=0,"",[1]对账明细接口!$C$799),"")</f>
      </c>
      <c r="D799" s="16">
        <f>IFERROR(IF([1]对账明细接口!$D$799=0,"",[1]对账明细接口!$D$799),"")</f>
      </c>
      <c r="E799" s="16">
        <f>IFERROR(IF([1]对账明细接口!$E$799=0,"",[1]对账明细接口!$E$799),"")</f>
      </c>
      <c r="F799" s="16">
        <f>IFERROR(IF([1]对账明细接口!$F$799=0,"",[1]对账明细接口!$F$799),"")</f>
      </c>
      <c r="G799" s="16">
        <f>IFERROR(IF([1]对账明细接口!$G$799=0,"",[1]对账明细接口!$G$799),"")</f>
      </c>
      <c r="H799" s="176">
        <f>IFERROR(IF([1]对账明细接口!$H$799=0,"",[1]对账明细接口!$H$799),"")</f>
      </c>
      <c r="I799" s="16">
        <f>IFERROR(IF([1]对账明细接口!$I$799=0,"",[1]对账明细接口!$I$799),"")</f>
      </c>
      <c r="J799" s="177">
        <f>IFERROR(IF([1]对账明细接口!$J$799=0,"",[1]对账明细接口!$J$799),"")</f>
      </c>
      <c r="K799" s="177">
        <f>IFERROR(IF([1]对账明细接口!$K$799=0,"",[1]对账明细接口!$K$799),"")</f>
      </c>
      <c r="L799" s="16">
        <f>IFERROR(IF([1]对账明细接口!$L$799=0,"",[1]对账明细接口!$L$799),"")</f>
      </c>
      <c r="M799" s="16">
        <f>IFERROR(IF([1]对账明细接口!$M$799=0,"",[1]对账明细接口!$M$799),"")</f>
      </c>
      <c r="N799" s="19">
        <f>IF($C799="",0,1)</f>
        <v>0</v>
      </c>
      <c r="O799" s="19">
        <f>N(O798)+$N799</f>
        <v>637</v>
      </c>
      <c r="S799" s="20">
        <f>IFERROR(IF([1]对账明细接口!$N799=0,"",[1]对账明细接口!$N799),"")</f>
      </c>
      <c r="T799" s="212">
        <f>IFERROR(IF([1]对账明细接口!$O799=0,"",[1]对账明细接口!$O799),"")</f>
      </c>
      <c r="U799" s="212">
        <f>IFERROR(IF([1]对账明细接口!$P799=0,"",[1]对账明细接口!$P799),"")</f>
      </c>
      <c r="V799" s="212">
        <f>IFERROR(IF([1]对账明细接口!$Q799=0,"",[1]对账明细接口!$Q799),"")</f>
      </c>
      <c r="W799" s="20">
        <f>IFERROR(IF([1]对账明细接口!$R799=0,"",[1]对账明细接口!$R799),"")</f>
      </c>
      <c r="X799" s="20">
        <f>IFERROR(IF([1]对账明细接口!$S799=0,"",[1]对账明细接口!$S799),"")</f>
      </c>
      <c r="Y799" s="20">
        <f>IFERROR(IF([1]对账明细接口!$T799=0,"",[1]对账明细接口!$T799),"")</f>
      </c>
      <c r="Z799" s="213">
        <f>IFERROR(IF([1]对账明细接口!$U799=0,"",[1]对账明细接口!$U799),"")</f>
      </c>
      <c r="AA799" s="213">
        <f>IFERROR(IF([1]对账明细接口!$V799=0,"",[1]对账明细接口!$V799),"")</f>
      </c>
      <c r="AB799" s="20">
        <f>IFERROR(IF([1]对账明细接口!$W799=0,"",[1]对账明细接口!$W799),"")</f>
      </c>
      <c r="AC799" s="7">
        <f>IFERROR(IF([1]对账明细接口!$X799=0,"",[1]对账明细接口!$X799),"")</f>
      </c>
      <c r="AD799" s="7">
        <f>IFERROR(IF([1]对账明细接口!$Y799=0,"",[1]对账明细接口!$Y799),"")</f>
      </c>
      <c r="AE799" s="7">
        <f>IFERROR(IF([1]对账明细接口!$AA799=0,"",[1]对账明细接口!$AA799),"")</f>
      </c>
      <c r="AF799" s="7">
        <f>IFERROR(IF([1]对账明细接口!$AB799=0,"",[1]对账明细接口!$AB799),"")</f>
      </c>
      <c r="AG799" s="7">
        <f>IFERROR(IF([1]对账明细接口!$AC799=0,"",[1]对账明细接口!$AC799),"")</f>
      </c>
      <c r="AH799" s="7">
        <f>IFERROR(IF([1]对账明细接口!$AD799=0,"",[1]对账明细接口!$AD799),"")</f>
      </c>
      <c r="AI799" s="7">
        <f>IFERROR(IF([1]对账明细接口!$AE799=0,"",[1]对账明细接口!$AE799),"")</f>
      </c>
      <c r="AJ799" s="7">
        <f>IFERROR(IF([1]对账明细接口!$AF799=0,"",[1]对账明细接口!$AF799),"")</f>
      </c>
    </row>
    <row r="800" ht="14.25" customHeight="1" s="127">
      <c r="A800" s="14" t="n">
        <v>800</v>
      </c>
      <c r="B800" s="211">
        <f>IFERROR(IF([1]对账明细接口!$B$800=0,"",[1]对账明细接口!$B$800),"")</f>
      </c>
      <c r="C800" s="16">
        <f>IFERROR(IF([1]对账明细接口!$C$800=0,"",[1]对账明细接口!$C$800),"")</f>
      </c>
      <c r="D800" s="16">
        <f>IFERROR(IF([1]对账明细接口!$D$800=0,"",[1]对账明细接口!$D$800),"")</f>
      </c>
      <c r="E800" s="16">
        <f>IFERROR(IF([1]对账明细接口!$E$800=0,"",[1]对账明细接口!$E$800),"")</f>
      </c>
      <c r="F800" s="16">
        <f>IFERROR(IF([1]对账明细接口!$F$800=0,"",[1]对账明细接口!$F$800),"")</f>
      </c>
      <c r="G800" s="16">
        <f>IFERROR(IF([1]对账明细接口!$G$800=0,"",[1]对账明细接口!$G$800),"")</f>
      </c>
      <c r="H800" s="176">
        <f>IFERROR(IF([1]对账明细接口!$H$800=0,"",[1]对账明细接口!$H$800),"")</f>
      </c>
      <c r="I800" s="16">
        <f>IFERROR(IF([1]对账明细接口!$I$800=0,"",[1]对账明细接口!$I$800),"")</f>
      </c>
      <c r="J800" s="177">
        <f>IFERROR(IF([1]对账明细接口!$J$800=0,"",[1]对账明细接口!$J$800),"")</f>
      </c>
      <c r="K800" s="177">
        <f>IFERROR(IF([1]对账明细接口!$K$800=0,"",[1]对账明细接口!$K$800),"")</f>
      </c>
      <c r="L800" s="16">
        <f>IFERROR(IF([1]对账明细接口!$L$800=0,"",[1]对账明细接口!$L$800),"")</f>
      </c>
      <c r="M800" s="16">
        <f>IFERROR(IF([1]对账明细接口!$M$800=0,"",[1]对账明细接口!$M$800),"")</f>
      </c>
      <c r="N800" s="19">
        <f>IF($C800="",0,1)</f>
        <v>0</v>
      </c>
      <c r="O800" s="19">
        <f>N(O799)+$N800</f>
        <v>637</v>
      </c>
      <c r="S800" s="20">
        <f>IFERROR(IF([1]对账明细接口!$N800=0,"",[1]对账明细接口!$N800),"")</f>
      </c>
      <c r="T800" s="212">
        <f>IFERROR(IF([1]对账明细接口!$O800=0,"",[1]对账明细接口!$O800),"")</f>
      </c>
      <c r="U800" s="212">
        <f>IFERROR(IF([1]对账明细接口!$P800=0,"",[1]对账明细接口!$P800),"")</f>
      </c>
      <c r="V800" s="212">
        <f>IFERROR(IF([1]对账明细接口!$Q800=0,"",[1]对账明细接口!$Q800),"")</f>
      </c>
      <c r="W800" s="20">
        <f>IFERROR(IF([1]对账明细接口!$R800=0,"",[1]对账明细接口!$R800),"")</f>
      </c>
      <c r="X800" s="20">
        <f>IFERROR(IF([1]对账明细接口!$S800=0,"",[1]对账明细接口!$S800),"")</f>
      </c>
      <c r="Y800" s="20">
        <f>IFERROR(IF([1]对账明细接口!$T800=0,"",[1]对账明细接口!$T800),"")</f>
      </c>
      <c r="Z800" s="213">
        <f>IFERROR(IF([1]对账明细接口!$U800=0,"",[1]对账明细接口!$U800),"")</f>
      </c>
      <c r="AA800" s="213">
        <f>IFERROR(IF([1]对账明细接口!$V800=0,"",[1]对账明细接口!$V800),"")</f>
      </c>
      <c r="AB800" s="20">
        <f>IFERROR(IF([1]对账明细接口!$W800=0,"",[1]对账明细接口!$W800),"")</f>
      </c>
      <c r="AC800" s="7">
        <f>IFERROR(IF([1]对账明细接口!$X800=0,"",[1]对账明细接口!$X800),"")</f>
      </c>
      <c r="AD800" s="7">
        <f>IFERROR(IF([1]对账明细接口!$Y800=0,"",[1]对账明细接口!$Y800),"")</f>
      </c>
      <c r="AE800" s="7">
        <f>IFERROR(IF([1]对账明细接口!$AA800=0,"",[1]对账明细接口!$AA800),"")</f>
      </c>
      <c r="AF800" s="7">
        <f>IFERROR(IF([1]对账明细接口!$AB800=0,"",[1]对账明细接口!$AB800),"")</f>
      </c>
      <c r="AG800" s="7">
        <f>IFERROR(IF([1]对账明细接口!$AC800=0,"",[1]对账明细接口!$AC800),"")</f>
      </c>
      <c r="AH800" s="7">
        <f>IFERROR(IF([1]对账明细接口!$AD800=0,"",[1]对账明细接口!$AD800),"")</f>
      </c>
      <c r="AI800" s="7">
        <f>IFERROR(IF([1]对账明细接口!$AE800=0,"",[1]对账明细接口!$AE800),"")</f>
      </c>
      <c r="AJ800" s="7">
        <f>IFERROR(IF([1]对账明细接口!$AF800=0,"",[1]对账明细接口!$AF800),"")</f>
      </c>
    </row>
    <row r="801" ht="14.25" customHeight="1" s="127">
      <c r="A801" s="14" t="n">
        <v>801</v>
      </c>
      <c r="B801" s="211">
        <f>IFERROR(IF([1]对账明细接口!$B$801=0,"",[1]对账明细接口!$B$801),"")</f>
      </c>
      <c r="C801" s="16">
        <f>IFERROR(IF([1]对账明细接口!$C$801=0,"",[1]对账明细接口!$C$801),"")</f>
      </c>
      <c r="D801" s="16">
        <f>IFERROR(IF([1]对账明细接口!$D$801=0,"",[1]对账明细接口!$D$801),"")</f>
      </c>
      <c r="E801" s="16">
        <f>IFERROR(IF([1]对账明细接口!$E$801=0,"",[1]对账明细接口!$E$801),"")</f>
      </c>
      <c r="F801" s="16">
        <f>IFERROR(IF([1]对账明细接口!$F$801=0,"",[1]对账明细接口!$F$801),"")</f>
      </c>
      <c r="G801" s="16">
        <f>IFERROR(IF([1]对账明细接口!$G$801=0,"",[1]对账明细接口!$G$801),"")</f>
      </c>
      <c r="H801" s="176">
        <f>IFERROR(IF([1]对账明细接口!$H$801=0,"",[1]对账明细接口!$H$801),"")</f>
      </c>
      <c r="I801" s="16">
        <f>IFERROR(IF([1]对账明细接口!$I$801=0,"",[1]对账明细接口!$I$801),"")</f>
      </c>
      <c r="J801" s="177">
        <f>IFERROR(IF([1]对账明细接口!$J$801=0,"",[1]对账明细接口!$J$801),"")</f>
      </c>
      <c r="K801" s="177">
        <f>IFERROR(IF([1]对账明细接口!$K$801=0,"",[1]对账明细接口!$K$801),"")</f>
      </c>
      <c r="L801" s="16">
        <f>IFERROR(IF([1]对账明细接口!$L$801=0,"",[1]对账明细接口!$L$801),"")</f>
      </c>
      <c r="M801" s="16">
        <f>IFERROR(IF([1]对账明细接口!$M$801=0,"",[1]对账明细接口!$M$801),"")</f>
      </c>
      <c r="N801" s="19">
        <f>IF($C801="",0,1)</f>
        <v>0</v>
      </c>
      <c r="O801" s="19">
        <f>N(O800)+$N801</f>
        <v>637</v>
      </c>
      <c r="S801" s="20">
        <f>IFERROR(IF([1]对账明细接口!$N801=0,"",[1]对账明细接口!$N801),"")</f>
      </c>
      <c r="T801" s="212">
        <f>IFERROR(IF([1]对账明细接口!$O801=0,"",[1]对账明细接口!$O801),"")</f>
      </c>
      <c r="U801" s="212">
        <f>IFERROR(IF([1]对账明细接口!$P801=0,"",[1]对账明细接口!$P801),"")</f>
      </c>
      <c r="V801" s="212">
        <f>IFERROR(IF([1]对账明细接口!$Q801=0,"",[1]对账明细接口!$Q801),"")</f>
      </c>
      <c r="W801" s="20">
        <f>IFERROR(IF([1]对账明细接口!$R801=0,"",[1]对账明细接口!$R801),"")</f>
      </c>
      <c r="X801" s="20">
        <f>IFERROR(IF([1]对账明细接口!$S801=0,"",[1]对账明细接口!$S801),"")</f>
      </c>
      <c r="Y801" s="20">
        <f>IFERROR(IF([1]对账明细接口!$T801=0,"",[1]对账明细接口!$T801),"")</f>
      </c>
      <c r="Z801" s="213">
        <f>IFERROR(IF([1]对账明细接口!$U801=0,"",[1]对账明细接口!$U801),"")</f>
      </c>
      <c r="AA801" s="213">
        <f>IFERROR(IF([1]对账明细接口!$V801=0,"",[1]对账明细接口!$V801),"")</f>
      </c>
      <c r="AB801" s="20">
        <f>IFERROR(IF([1]对账明细接口!$W801=0,"",[1]对账明细接口!$W801),"")</f>
      </c>
      <c r="AC801" s="7">
        <f>IFERROR(IF([1]对账明细接口!$X801=0,"",[1]对账明细接口!$X801),"")</f>
      </c>
      <c r="AD801" s="7">
        <f>IFERROR(IF([1]对账明细接口!$Y801=0,"",[1]对账明细接口!$Y801),"")</f>
      </c>
      <c r="AE801" s="7">
        <f>IFERROR(IF([1]对账明细接口!$AA801=0,"",[1]对账明细接口!$AA801),"")</f>
      </c>
      <c r="AF801" s="7">
        <f>IFERROR(IF([1]对账明细接口!$AB801=0,"",[1]对账明细接口!$AB801),"")</f>
      </c>
      <c r="AG801" s="7">
        <f>IFERROR(IF([1]对账明细接口!$AC801=0,"",[1]对账明细接口!$AC801),"")</f>
      </c>
      <c r="AH801" s="7">
        <f>IFERROR(IF([1]对账明细接口!$AD801=0,"",[1]对账明细接口!$AD801),"")</f>
      </c>
      <c r="AI801" s="7">
        <f>IFERROR(IF([1]对账明细接口!$AE801=0,"",[1]对账明细接口!$AE801),"")</f>
      </c>
      <c r="AJ801" s="7">
        <f>IFERROR(IF([1]对账明细接口!$AF801=0,"",[1]对账明细接口!$AF801),"")</f>
      </c>
    </row>
    <row r="802" ht="14.25" customHeight="1" s="127">
      <c r="A802" s="14" t="n">
        <v>802</v>
      </c>
      <c r="B802" s="211">
        <f>IFERROR(IF([1]对账明细接口!$B$802=0,"",[1]对账明细接口!$B$802),"")</f>
      </c>
      <c r="C802" s="16">
        <f>IFERROR(IF([1]对账明细接口!$C$802=0,"",[1]对账明细接口!$C$802),"")</f>
      </c>
      <c r="D802" s="16">
        <f>IFERROR(IF([1]对账明细接口!$D$802=0,"",[1]对账明细接口!$D$802),"")</f>
      </c>
      <c r="E802" s="16">
        <f>IFERROR(IF([1]对账明细接口!$E$802=0,"",[1]对账明细接口!$E$802),"")</f>
      </c>
      <c r="F802" s="16">
        <f>IFERROR(IF([1]对账明细接口!$F$802=0,"",[1]对账明细接口!$F$802),"")</f>
      </c>
      <c r="G802" s="16">
        <f>IFERROR(IF([1]对账明细接口!$G$802=0,"",[1]对账明细接口!$G$802),"")</f>
      </c>
      <c r="H802" s="176">
        <f>IFERROR(IF([1]对账明细接口!$H$802=0,"",[1]对账明细接口!$H$802),"")</f>
      </c>
      <c r="I802" s="16">
        <f>IFERROR(IF([1]对账明细接口!$I$802=0,"",[1]对账明细接口!$I$802),"")</f>
      </c>
      <c r="J802" s="177">
        <f>IFERROR(IF([1]对账明细接口!$J$802=0,"",[1]对账明细接口!$J$802),"")</f>
      </c>
      <c r="K802" s="177">
        <f>IFERROR(IF([1]对账明细接口!$K$802=0,"",[1]对账明细接口!$K$802),"")</f>
      </c>
      <c r="L802" s="16">
        <f>IFERROR(IF([1]对账明细接口!$L$802=0,"",[1]对账明细接口!$L$802),"")</f>
      </c>
      <c r="M802" s="16">
        <f>IFERROR(IF([1]对账明细接口!$M$802=0,"",[1]对账明细接口!$M$802),"")</f>
      </c>
      <c r="N802" s="19">
        <f>IF($C802="",0,1)</f>
        <v>0</v>
      </c>
      <c r="O802" s="19">
        <f>N(O801)+$N802</f>
        <v>637</v>
      </c>
      <c r="S802" s="20">
        <f>IFERROR(IF([1]对账明细接口!$N802=0,"",[1]对账明细接口!$N802),"")</f>
      </c>
      <c r="T802" s="212">
        <f>IFERROR(IF([1]对账明细接口!$O802=0,"",[1]对账明细接口!$O802),"")</f>
      </c>
      <c r="U802" s="212">
        <f>IFERROR(IF([1]对账明细接口!$P802=0,"",[1]对账明细接口!$P802),"")</f>
      </c>
      <c r="V802" s="212">
        <f>IFERROR(IF([1]对账明细接口!$Q802=0,"",[1]对账明细接口!$Q802),"")</f>
      </c>
      <c r="W802" s="20">
        <f>IFERROR(IF([1]对账明细接口!$R802=0,"",[1]对账明细接口!$R802),"")</f>
      </c>
      <c r="X802" s="20">
        <f>IFERROR(IF([1]对账明细接口!$S802=0,"",[1]对账明细接口!$S802),"")</f>
      </c>
      <c r="Y802" s="20">
        <f>IFERROR(IF([1]对账明细接口!$T802=0,"",[1]对账明细接口!$T802),"")</f>
      </c>
      <c r="Z802" s="213">
        <f>IFERROR(IF([1]对账明细接口!$U802=0,"",[1]对账明细接口!$U802),"")</f>
      </c>
      <c r="AA802" s="213">
        <f>IFERROR(IF([1]对账明细接口!$V802=0,"",[1]对账明细接口!$V802),"")</f>
      </c>
      <c r="AB802" s="20">
        <f>IFERROR(IF([1]对账明细接口!$W802=0,"",[1]对账明细接口!$W802),"")</f>
      </c>
      <c r="AC802" s="7">
        <f>IFERROR(IF([1]对账明细接口!$X802=0,"",[1]对账明细接口!$X802),"")</f>
      </c>
      <c r="AD802" s="7">
        <f>IFERROR(IF([1]对账明细接口!$Y802=0,"",[1]对账明细接口!$Y802),"")</f>
      </c>
      <c r="AE802" s="7">
        <f>IFERROR(IF([1]对账明细接口!$AA802=0,"",[1]对账明细接口!$AA802),"")</f>
      </c>
      <c r="AF802" s="7">
        <f>IFERROR(IF([1]对账明细接口!$AB802=0,"",[1]对账明细接口!$AB802),"")</f>
      </c>
      <c r="AG802" s="7">
        <f>IFERROR(IF([1]对账明细接口!$AC802=0,"",[1]对账明细接口!$AC802),"")</f>
      </c>
      <c r="AH802" s="7">
        <f>IFERROR(IF([1]对账明细接口!$AD802=0,"",[1]对账明细接口!$AD802),"")</f>
      </c>
      <c r="AI802" s="7">
        <f>IFERROR(IF([1]对账明细接口!$AE802=0,"",[1]对账明细接口!$AE802),"")</f>
      </c>
      <c r="AJ802" s="7">
        <f>IFERROR(IF([1]对账明细接口!$AF802=0,"",[1]对账明细接口!$AF802),"")</f>
      </c>
    </row>
    <row r="803" ht="14.25" customHeight="1" s="127">
      <c r="A803" s="14" t="n">
        <v>803</v>
      </c>
      <c r="B803" s="211">
        <f>IFERROR(IF([1]对账明细接口!$B$803=0,"",[1]对账明细接口!$B$803),"")</f>
      </c>
      <c r="C803" s="16">
        <f>IFERROR(IF([1]对账明细接口!$C$803=0,"",[1]对账明细接口!$C$803),"")</f>
      </c>
      <c r="D803" s="16">
        <f>IFERROR(IF([1]对账明细接口!$D$803=0,"",[1]对账明细接口!$D$803),"")</f>
      </c>
      <c r="E803" s="16">
        <f>IFERROR(IF([1]对账明细接口!$E$803=0,"",[1]对账明细接口!$E$803),"")</f>
      </c>
      <c r="F803" s="16">
        <f>IFERROR(IF([1]对账明细接口!$F$803=0,"",[1]对账明细接口!$F$803),"")</f>
      </c>
      <c r="G803" s="16">
        <f>IFERROR(IF([1]对账明细接口!$G$803=0,"",[1]对账明细接口!$G$803),"")</f>
      </c>
      <c r="H803" s="176">
        <f>IFERROR(IF([1]对账明细接口!$H$803=0,"",[1]对账明细接口!$H$803),"")</f>
      </c>
      <c r="I803" s="16">
        <f>IFERROR(IF([1]对账明细接口!$I$803=0,"",[1]对账明细接口!$I$803),"")</f>
      </c>
      <c r="J803" s="177">
        <f>IFERROR(IF([1]对账明细接口!$J$803=0,"",[1]对账明细接口!$J$803),"")</f>
      </c>
      <c r="K803" s="177">
        <f>IFERROR(IF([1]对账明细接口!$K$803=0,"",[1]对账明细接口!$K$803),"")</f>
      </c>
      <c r="L803" s="16">
        <f>IFERROR(IF([1]对账明细接口!$L$803=0,"",[1]对账明细接口!$L$803),"")</f>
      </c>
      <c r="M803" s="16">
        <f>IFERROR(IF([1]对账明细接口!$M$803=0,"",[1]对账明细接口!$M$803),"")</f>
      </c>
      <c r="N803" s="19">
        <f>IF($C803="",0,1)</f>
        <v>0</v>
      </c>
      <c r="O803" s="19">
        <f>N(O802)+$N803</f>
        <v>637</v>
      </c>
      <c r="S803" s="20">
        <f>IFERROR(IF([1]对账明细接口!$N803=0,"",[1]对账明细接口!$N803),"")</f>
      </c>
      <c r="T803" s="212">
        <f>IFERROR(IF([1]对账明细接口!$O803=0,"",[1]对账明细接口!$O803),"")</f>
      </c>
      <c r="U803" s="212">
        <f>IFERROR(IF([1]对账明细接口!$P803=0,"",[1]对账明细接口!$P803),"")</f>
      </c>
      <c r="V803" s="212">
        <f>IFERROR(IF([1]对账明细接口!$Q803=0,"",[1]对账明细接口!$Q803),"")</f>
      </c>
      <c r="W803" s="20">
        <f>IFERROR(IF([1]对账明细接口!$R803=0,"",[1]对账明细接口!$R803),"")</f>
      </c>
      <c r="X803" s="20">
        <f>IFERROR(IF([1]对账明细接口!$S803=0,"",[1]对账明细接口!$S803),"")</f>
      </c>
      <c r="Y803" s="20">
        <f>IFERROR(IF([1]对账明细接口!$T803=0,"",[1]对账明细接口!$T803),"")</f>
      </c>
      <c r="Z803" s="213">
        <f>IFERROR(IF([1]对账明细接口!$U803=0,"",[1]对账明细接口!$U803),"")</f>
      </c>
      <c r="AA803" s="213">
        <f>IFERROR(IF([1]对账明细接口!$V803=0,"",[1]对账明细接口!$V803),"")</f>
      </c>
      <c r="AB803" s="20">
        <f>IFERROR(IF([1]对账明细接口!$W803=0,"",[1]对账明细接口!$W803),"")</f>
      </c>
      <c r="AC803" s="7">
        <f>IFERROR(IF([1]对账明细接口!$X803=0,"",[1]对账明细接口!$X803),"")</f>
      </c>
      <c r="AD803" s="7">
        <f>IFERROR(IF([1]对账明细接口!$Y803=0,"",[1]对账明细接口!$Y803),"")</f>
      </c>
      <c r="AE803" s="7">
        <f>IFERROR(IF([1]对账明细接口!$AA803=0,"",[1]对账明细接口!$AA803),"")</f>
      </c>
      <c r="AF803" s="7">
        <f>IFERROR(IF([1]对账明细接口!$AB803=0,"",[1]对账明细接口!$AB803),"")</f>
      </c>
      <c r="AG803" s="7">
        <f>IFERROR(IF([1]对账明细接口!$AC803=0,"",[1]对账明细接口!$AC803),"")</f>
      </c>
      <c r="AH803" s="7">
        <f>IFERROR(IF([1]对账明细接口!$AD803=0,"",[1]对账明细接口!$AD803),"")</f>
      </c>
      <c r="AI803" s="7">
        <f>IFERROR(IF([1]对账明细接口!$AE803=0,"",[1]对账明细接口!$AE803),"")</f>
      </c>
      <c r="AJ803" s="7">
        <f>IFERROR(IF([1]对账明细接口!$AF803=0,"",[1]对账明细接口!$AF803),"")</f>
      </c>
    </row>
    <row r="804" ht="14.25" customHeight="1" s="127">
      <c r="A804" s="14" t="n">
        <v>804</v>
      </c>
      <c r="B804" s="211">
        <f>IFERROR(IF([1]对账明细接口!$B$804=0,"",[1]对账明细接口!$B$804),"")</f>
      </c>
      <c r="C804" s="16">
        <f>IFERROR(IF([1]对账明细接口!$C$804=0,"",[1]对账明细接口!$C$804),"")</f>
      </c>
      <c r="D804" s="16">
        <f>IFERROR(IF([1]对账明细接口!$D$804=0,"",[1]对账明细接口!$D$804),"")</f>
      </c>
      <c r="E804" s="16">
        <f>IFERROR(IF([1]对账明细接口!$E$804=0,"",[1]对账明细接口!$E$804),"")</f>
      </c>
      <c r="F804" s="16">
        <f>IFERROR(IF([1]对账明细接口!$F$804=0,"",[1]对账明细接口!$F$804),"")</f>
      </c>
      <c r="G804" s="16">
        <f>IFERROR(IF([1]对账明细接口!$G$804=0,"",[1]对账明细接口!$G$804),"")</f>
      </c>
      <c r="H804" s="176">
        <f>IFERROR(IF([1]对账明细接口!$H$804=0,"",[1]对账明细接口!$H$804),"")</f>
      </c>
      <c r="I804" s="16">
        <f>IFERROR(IF([1]对账明细接口!$I$804=0,"",[1]对账明细接口!$I$804),"")</f>
      </c>
      <c r="J804" s="177">
        <f>IFERROR(IF([1]对账明细接口!$J$804=0,"",[1]对账明细接口!$J$804),"")</f>
      </c>
      <c r="K804" s="177">
        <f>IFERROR(IF([1]对账明细接口!$K$804=0,"",[1]对账明细接口!$K$804),"")</f>
      </c>
      <c r="L804" s="16">
        <f>IFERROR(IF([1]对账明细接口!$L$804=0,"",[1]对账明细接口!$L$804),"")</f>
      </c>
      <c r="M804" s="16">
        <f>IFERROR(IF([1]对账明细接口!$M$804=0,"",[1]对账明细接口!$M$804),"")</f>
      </c>
      <c r="N804" s="19">
        <f>IF($C804="",0,1)</f>
        <v>0</v>
      </c>
      <c r="O804" s="19">
        <f>N(O803)+$N804</f>
        <v>637</v>
      </c>
      <c r="S804" s="20">
        <f>IFERROR(IF([1]对账明细接口!$N804=0,"",[1]对账明细接口!$N804),"")</f>
      </c>
      <c r="T804" s="212">
        <f>IFERROR(IF([1]对账明细接口!$O804=0,"",[1]对账明细接口!$O804),"")</f>
      </c>
      <c r="U804" s="212">
        <f>IFERROR(IF([1]对账明细接口!$P804=0,"",[1]对账明细接口!$P804),"")</f>
      </c>
      <c r="V804" s="212">
        <f>IFERROR(IF([1]对账明细接口!$Q804=0,"",[1]对账明细接口!$Q804),"")</f>
      </c>
      <c r="W804" s="20">
        <f>IFERROR(IF([1]对账明细接口!$R804=0,"",[1]对账明细接口!$R804),"")</f>
      </c>
      <c r="X804" s="20">
        <f>IFERROR(IF([1]对账明细接口!$S804=0,"",[1]对账明细接口!$S804),"")</f>
      </c>
      <c r="Y804" s="20">
        <f>IFERROR(IF([1]对账明细接口!$T804=0,"",[1]对账明细接口!$T804),"")</f>
      </c>
      <c r="Z804" s="213">
        <f>IFERROR(IF([1]对账明细接口!$U804=0,"",[1]对账明细接口!$U804),"")</f>
      </c>
      <c r="AA804" s="213">
        <f>IFERROR(IF([1]对账明细接口!$V804=0,"",[1]对账明细接口!$V804),"")</f>
      </c>
      <c r="AB804" s="20">
        <f>IFERROR(IF([1]对账明细接口!$W804=0,"",[1]对账明细接口!$W804),"")</f>
      </c>
      <c r="AC804" s="7">
        <f>IFERROR(IF([1]对账明细接口!$X804=0,"",[1]对账明细接口!$X804),"")</f>
      </c>
      <c r="AD804" s="7">
        <f>IFERROR(IF([1]对账明细接口!$Y804=0,"",[1]对账明细接口!$Y804),"")</f>
      </c>
      <c r="AE804" s="7">
        <f>IFERROR(IF([1]对账明细接口!$AA804=0,"",[1]对账明细接口!$AA804),"")</f>
      </c>
      <c r="AF804" s="7">
        <f>IFERROR(IF([1]对账明细接口!$AB804=0,"",[1]对账明细接口!$AB804),"")</f>
      </c>
      <c r="AG804" s="7">
        <f>IFERROR(IF([1]对账明细接口!$AC804=0,"",[1]对账明细接口!$AC804),"")</f>
      </c>
      <c r="AH804" s="7">
        <f>IFERROR(IF([1]对账明细接口!$AD804=0,"",[1]对账明细接口!$AD804),"")</f>
      </c>
      <c r="AI804" s="7">
        <f>IFERROR(IF([1]对账明细接口!$AE804=0,"",[1]对账明细接口!$AE804),"")</f>
      </c>
      <c r="AJ804" s="7">
        <f>IFERROR(IF([1]对账明细接口!$AF804=0,"",[1]对账明细接口!$AF804),"")</f>
      </c>
    </row>
    <row r="805" ht="14.25" customHeight="1" s="127">
      <c r="A805" s="14" t="n">
        <v>805</v>
      </c>
      <c r="B805" s="211">
        <f>IFERROR(IF([1]对账明细接口!$B$805=0,"",[1]对账明细接口!$B$805),"")</f>
      </c>
      <c r="C805" s="16">
        <f>IFERROR(IF([1]对账明细接口!$C$805=0,"",[1]对账明细接口!$C$805),"")</f>
      </c>
      <c r="D805" s="16">
        <f>IFERROR(IF([1]对账明细接口!$D$805=0,"",[1]对账明细接口!$D$805),"")</f>
      </c>
      <c r="E805" s="16">
        <f>IFERROR(IF([1]对账明细接口!$E$805=0,"",[1]对账明细接口!$E$805),"")</f>
      </c>
      <c r="F805" s="16">
        <f>IFERROR(IF([1]对账明细接口!$F$805=0,"",[1]对账明细接口!$F$805),"")</f>
      </c>
      <c r="G805" s="16">
        <f>IFERROR(IF([1]对账明细接口!$G$805=0,"",[1]对账明细接口!$G$805),"")</f>
      </c>
      <c r="H805" s="176">
        <f>IFERROR(IF([1]对账明细接口!$H$805=0,"",[1]对账明细接口!$H$805),"")</f>
      </c>
      <c r="I805" s="16">
        <f>IFERROR(IF([1]对账明细接口!$I$805=0,"",[1]对账明细接口!$I$805),"")</f>
      </c>
      <c r="J805" s="177">
        <f>IFERROR(IF([1]对账明细接口!$J$805=0,"",[1]对账明细接口!$J$805),"")</f>
      </c>
      <c r="K805" s="177">
        <f>IFERROR(IF([1]对账明细接口!$K$805=0,"",[1]对账明细接口!$K$805),"")</f>
      </c>
      <c r="L805" s="16">
        <f>IFERROR(IF([1]对账明细接口!$L$805=0,"",[1]对账明细接口!$L$805),"")</f>
      </c>
      <c r="M805" s="16">
        <f>IFERROR(IF([1]对账明细接口!$M$805=0,"",[1]对账明细接口!$M$805),"")</f>
      </c>
      <c r="N805" s="19">
        <f>IF($C805="",0,1)</f>
        <v>0</v>
      </c>
      <c r="O805" s="19">
        <f>N(O804)+$N805</f>
        <v>637</v>
      </c>
      <c r="S805" s="20">
        <f>IFERROR(IF([1]对账明细接口!$N805=0,"",[1]对账明细接口!$N805),"")</f>
      </c>
      <c r="T805" s="212">
        <f>IFERROR(IF([1]对账明细接口!$O805=0,"",[1]对账明细接口!$O805),"")</f>
      </c>
      <c r="U805" s="212">
        <f>IFERROR(IF([1]对账明细接口!$P805=0,"",[1]对账明细接口!$P805),"")</f>
      </c>
      <c r="V805" s="212">
        <f>IFERROR(IF([1]对账明细接口!$Q805=0,"",[1]对账明细接口!$Q805),"")</f>
      </c>
      <c r="W805" s="20">
        <f>IFERROR(IF([1]对账明细接口!$R805=0,"",[1]对账明细接口!$R805),"")</f>
      </c>
      <c r="X805" s="20">
        <f>IFERROR(IF([1]对账明细接口!$S805=0,"",[1]对账明细接口!$S805),"")</f>
      </c>
      <c r="Y805" s="20">
        <f>IFERROR(IF([1]对账明细接口!$T805=0,"",[1]对账明细接口!$T805),"")</f>
      </c>
      <c r="Z805" s="213">
        <f>IFERROR(IF([1]对账明细接口!$U805=0,"",[1]对账明细接口!$U805),"")</f>
      </c>
      <c r="AA805" s="213">
        <f>IFERROR(IF([1]对账明细接口!$V805=0,"",[1]对账明细接口!$V805),"")</f>
      </c>
      <c r="AB805" s="20">
        <f>IFERROR(IF([1]对账明细接口!$W805=0,"",[1]对账明细接口!$W805),"")</f>
      </c>
      <c r="AC805" s="7">
        <f>IFERROR(IF([1]对账明细接口!$X805=0,"",[1]对账明细接口!$X805),"")</f>
      </c>
      <c r="AD805" s="7">
        <f>IFERROR(IF([1]对账明细接口!$Y805=0,"",[1]对账明细接口!$Y805),"")</f>
      </c>
      <c r="AE805" s="7">
        <f>IFERROR(IF([1]对账明细接口!$AA805=0,"",[1]对账明细接口!$AA805),"")</f>
      </c>
      <c r="AF805" s="7">
        <f>IFERROR(IF([1]对账明细接口!$AB805=0,"",[1]对账明细接口!$AB805),"")</f>
      </c>
      <c r="AG805" s="7">
        <f>IFERROR(IF([1]对账明细接口!$AC805=0,"",[1]对账明细接口!$AC805),"")</f>
      </c>
      <c r="AH805" s="7">
        <f>IFERROR(IF([1]对账明细接口!$AD805=0,"",[1]对账明细接口!$AD805),"")</f>
      </c>
      <c r="AI805" s="7">
        <f>IFERROR(IF([1]对账明细接口!$AE805=0,"",[1]对账明细接口!$AE805),"")</f>
      </c>
      <c r="AJ805" s="7">
        <f>IFERROR(IF([1]对账明细接口!$AF805=0,"",[1]对账明细接口!$AF805),"")</f>
      </c>
    </row>
    <row r="806" ht="14.25" customHeight="1" s="127">
      <c r="A806" s="14" t="n">
        <v>806</v>
      </c>
      <c r="B806" s="211">
        <f>IFERROR(IF([1]对账明细接口!$B$806=0,"",[1]对账明细接口!$B$806),"")</f>
      </c>
      <c r="C806" s="16">
        <f>IFERROR(IF([1]对账明细接口!$C$806=0,"",[1]对账明细接口!$C$806),"")</f>
      </c>
      <c r="D806" s="16">
        <f>IFERROR(IF([1]对账明细接口!$D$806=0,"",[1]对账明细接口!$D$806),"")</f>
      </c>
      <c r="E806" s="16">
        <f>IFERROR(IF([1]对账明细接口!$E$806=0,"",[1]对账明细接口!$E$806),"")</f>
      </c>
      <c r="F806" s="16">
        <f>IFERROR(IF([1]对账明细接口!$F$806=0,"",[1]对账明细接口!$F$806),"")</f>
      </c>
      <c r="G806" s="16">
        <f>IFERROR(IF([1]对账明细接口!$G$806=0,"",[1]对账明细接口!$G$806),"")</f>
      </c>
      <c r="H806" s="176">
        <f>IFERROR(IF([1]对账明细接口!$H$806=0,"",[1]对账明细接口!$H$806),"")</f>
      </c>
      <c r="I806" s="16">
        <f>IFERROR(IF([1]对账明细接口!$I$806=0,"",[1]对账明细接口!$I$806),"")</f>
      </c>
      <c r="J806" s="177">
        <f>IFERROR(IF([1]对账明细接口!$J$806=0,"",[1]对账明细接口!$J$806),"")</f>
      </c>
      <c r="K806" s="177">
        <f>IFERROR(IF([1]对账明细接口!$K$806=0,"",[1]对账明细接口!$K$806),"")</f>
      </c>
      <c r="L806" s="16">
        <f>IFERROR(IF([1]对账明细接口!$L$806=0,"",[1]对账明细接口!$L$806),"")</f>
      </c>
      <c r="M806" s="16">
        <f>IFERROR(IF([1]对账明细接口!$M$806=0,"",[1]对账明细接口!$M$806),"")</f>
      </c>
      <c r="N806" s="19">
        <f>IF($C806="",0,1)</f>
        <v>0</v>
      </c>
      <c r="O806" s="19">
        <f>N(O805)+$N806</f>
        <v>637</v>
      </c>
      <c r="S806" s="20">
        <f>IFERROR(IF([1]对账明细接口!$N806=0,"",[1]对账明细接口!$N806),"")</f>
      </c>
      <c r="T806" s="212">
        <f>IFERROR(IF([1]对账明细接口!$O806=0,"",[1]对账明细接口!$O806),"")</f>
      </c>
      <c r="U806" s="212">
        <f>IFERROR(IF([1]对账明细接口!$P806=0,"",[1]对账明细接口!$P806),"")</f>
      </c>
      <c r="V806" s="212">
        <f>IFERROR(IF([1]对账明细接口!$Q806=0,"",[1]对账明细接口!$Q806),"")</f>
      </c>
      <c r="W806" s="20">
        <f>IFERROR(IF([1]对账明细接口!$R806=0,"",[1]对账明细接口!$R806),"")</f>
      </c>
      <c r="X806" s="20">
        <f>IFERROR(IF([1]对账明细接口!$S806=0,"",[1]对账明细接口!$S806),"")</f>
      </c>
      <c r="Y806" s="20">
        <f>IFERROR(IF([1]对账明细接口!$T806=0,"",[1]对账明细接口!$T806),"")</f>
      </c>
      <c r="Z806" s="213">
        <f>IFERROR(IF([1]对账明细接口!$U806=0,"",[1]对账明细接口!$U806),"")</f>
      </c>
      <c r="AA806" s="213">
        <f>IFERROR(IF([1]对账明细接口!$V806=0,"",[1]对账明细接口!$V806),"")</f>
      </c>
      <c r="AB806" s="20">
        <f>IFERROR(IF([1]对账明细接口!$W806=0,"",[1]对账明细接口!$W806),"")</f>
      </c>
      <c r="AC806" s="7">
        <f>IFERROR(IF([1]对账明细接口!$X806=0,"",[1]对账明细接口!$X806),"")</f>
      </c>
      <c r="AD806" s="7">
        <f>IFERROR(IF([1]对账明细接口!$Y806=0,"",[1]对账明细接口!$Y806),"")</f>
      </c>
      <c r="AE806" s="7">
        <f>IFERROR(IF([1]对账明细接口!$AA806=0,"",[1]对账明细接口!$AA806),"")</f>
      </c>
      <c r="AF806" s="7">
        <f>IFERROR(IF([1]对账明细接口!$AB806=0,"",[1]对账明细接口!$AB806),"")</f>
      </c>
      <c r="AG806" s="7">
        <f>IFERROR(IF([1]对账明细接口!$AC806=0,"",[1]对账明细接口!$AC806),"")</f>
      </c>
      <c r="AH806" s="7">
        <f>IFERROR(IF([1]对账明细接口!$AD806=0,"",[1]对账明细接口!$AD806),"")</f>
      </c>
      <c r="AI806" s="7">
        <f>IFERROR(IF([1]对账明细接口!$AE806=0,"",[1]对账明细接口!$AE806),"")</f>
      </c>
      <c r="AJ806" s="7">
        <f>IFERROR(IF([1]对账明细接口!$AF806=0,"",[1]对账明细接口!$AF806),"")</f>
      </c>
    </row>
    <row r="807" ht="14.25" customHeight="1" s="127">
      <c r="A807" s="14" t="n">
        <v>807</v>
      </c>
      <c r="B807" s="211">
        <f>IFERROR(IF([1]对账明细接口!$B$807=0,"",[1]对账明细接口!$B$807),"")</f>
      </c>
      <c r="C807" s="16">
        <f>IFERROR(IF([1]对账明细接口!$C$807=0,"",[1]对账明细接口!$C$807),"")</f>
      </c>
      <c r="D807" s="16">
        <f>IFERROR(IF([1]对账明细接口!$D$807=0,"",[1]对账明细接口!$D$807),"")</f>
      </c>
      <c r="E807" s="16">
        <f>IFERROR(IF([1]对账明细接口!$E$807=0,"",[1]对账明细接口!$E$807),"")</f>
      </c>
      <c r="F807" s="16">
        <f>IFERROR(IF([1]对账明细接口!$F$807=0,"",[1]对账明细接口!$F$807),"")</f>
      </c>
      <c r="G807" s="16">
        <f>IFERROR(IF([1]对账明细接口!$G$807=0,"",[1]对账明细接口!$G$807),"")</f>
      </c>
      <c r="H807" s="176">
        <f>IFERROR(IF([1]对账明细接口!$H$807=0,"",[1]对账明细接口!$H$807),"")</f>
      </c>
      <c r="I807" s="16">
        <f>IFERROR(IF([1]对账明细接口!$I$807=0,"",[1]对账明细接口!$I$807),"")</f>
      </c>
      <c r="J807" s="177">
        <f>IFERROR(IF([1]对账明细接口!$J$807=0,"",[1]对账明细接口!$J$807),"")</f>
      </c>
      <c r="K807" s="177">
        <f>IFERROR(IF([1]对账明细接口!$K$807=0,"",[1]对账明细接口!$K$807),"")</f>
      </c>
      <c r="L807" s="16">
        <f>IFERROR(IF([1]对账明细接口!$L$807=0,"",[1]对账明细接口!$L$807),"")</f>
      </c>
      <c r="M807" s="16">
        <f>IFERROR(IF([1]对账明细接口!$M$807=0,"",[1]对账明细接口!$M$807),"")</f>
      </c>
      <c r="N807" s="19">
        <f>IF($C807="",0,1)</f>
        <v>0</v>
      </c>
      <c r="O807" s="19">
        <f>N(O806)+$N807</f>
        <v>637</v>
      </c>
      <c r="S807" s="20">
        <f>IFERROR(IF([1]对账明细接口!$N807=0,"",[1]对账明细接口!$N807),"")</f>
      </c>
      <c r="T807" s="212">
        <f>IFERROR(IF([1]对账明细接口!$O807=0,"",[1]对账明细接口!$O807),"")</f>
      </c>
      <c r="U807" s="212">
        <f>IFERROR(IF([1]对账明细接口!$P807=0,"",[1]对账明细接口!$P807),"")</f>
      </c>
      <c r="V807" s="212">
        <f>IFERROR(IF([1]对账明细接口!$Q807=0,"",[1]对账明细接口!$Q807),"")</f>
      </c>
      <c r="W807" s="20">
        <f>IFERROR(IF([1]对账明细接口!$R807=0,"",[1]对账明细接口!$R807),"")</f>
      </c>
      <c r="X807" s="20">
        <f>IFERROR(IF([1]对账明细接口!$S807=0,"",[1]对账明细接口!$S807),"")</f>
      </c>
      <c r="Y807" s="20">
        <f>IFERROR(IF([1]对账明细接口!$T807=0,"",[1]对账明细接口!$T807),"")</f>
      </c>
      <c r="Z807" s="213">
        <f>IFERROR(IF([1]对账明细接口!$U807=0,"",[1]对账明细接口!$U807),"")</f>
      </c>
      <c r="AA807" s="213">
        <f>IFERROR(IF([1]对账明细接口!$V807=0,"",[1]对账明细接口!$V807),"")</f>
      </c>
      <c r="AB807" s="20">
        <f>IFERROR(IF([1]对账明细接口!$W807=0,"",[1]对账明细接口!$W807),"")</f>
      </c>
      <c r="AC807" s="7">
        <f>IFERROR(IF([1]对账明细接口!$X807=0,"",[1]对账明细接口!$X807),"")</f>
      </c>
      <c r="AD807" s="7">
        <f>IFERROR(IF([1]对账明细接口!$Y807=0,"",[1]对账明细接口!$Y807),"")</f>
      </c>
      <c r="AE807" s="7">
        <f>IFERROR(IF([1]对账明细接口!$AA807=0,"",[1]对账明细接口!$AA807),"")</f>
      </c>
      <c r="AF807" s="7">
        <f>IFERROR(IF([1]对账明细接口!$AB807=0,"",[1]对账明细接口!$AB807),"")</f>
      </c>
      <c r="AG807" s="7">
        <f>IFERROR(IF([1]对账明细接口!$AC807=0,"",[1]对账明细接口!$AC807),"")</f>
      </c>
      <c r="AH807" s="7">
        <f>IFERROR(IF([1]对账明细接口!$AD807=0,"",[1]对账明细接口!$AD807),"")</f>
      </c>
      <c r="AI807" s="7">
        <f>IFERROR(IF([1]对账明细接口!$AE807=0,"",[1]对账明细接口!$AE807),"")</f>
      </c>
      <c r="AJ807" s="7">
        <f>IFERROR(IF([1]对账明细接口!$AF807=0,"",[1]对账明细接口!$AF807),"")</f>
      </c>
    </row>
    <row r="808" ht="14.25" customHeight="1" s="127">
      <c r="A808" s="14" t="n">
        <v>808</v>
      </c>
      <c r="B808" s="211">
        <f>IFERROR(IF([1]对账明细接口!$B$808=0,"",[1]对账明细接口!$B$808),"")</f>
      </c>
      <c r="C808" s="16">
        <f>IFERROR(IF([1]对账明细接口!$C$808=0,"",[1]对账明细接口!$C$808),"")</f>
      </c>
      <c r="D808" s="16">
        <f>IFERROR(IF([1]对账明细接口!$D$808=0,"",[1]对账明细接口!$D$808),"")</f>
      </c>
      <c r="E808" s="16">
        <f>IFERROR(IF([1]对账明细接口!$E$808=0,"",[1]对账明细接口!$E$808),"")</f>
      </c>
      <c r="F808" s="16">
        <f>IFERROR(IF([1]对账明细接口!$F$808=0,"",[1]对账明细接口!$F$808),"")</f>
      </c>
      <c r="G808" s="16">
        <f>IFERROR(IF([1]对账明细接口!$G$808=0,"",[1]对账明细接口!$G$808),"")</f>
      </c>
      <c r="H808" s="176">
        <f>IFERROR(IF([1]对账明细接口!$H$808=0,"",[1]对账明细接口!$H$808),"")</f>
      </c>
      <c r="I808" s="16">
        <f>IFERROR(IF([1]对账明细接口!$I$808=0,"",[1]对账明细接口!$I$808),"")</f>
      </c>
      <c r="J808" s="177">
        <f>IFERROR(IF([1]对账明细接口!$J$808=0,"",[1]对账明细接口!$J$808),"")</f>
      </c>
      <c r="K808" s="177">
        <f>IFERROR(IF([1]对账明细接口!$K$808=0,"",[1]对账明细接口!$K$808),"")</f>
      </c>
      <c r="L808" s="16">
        <f>IFERROR(IF([1]对账明细接口!$L$808=0,"",[1]对账明细接口!$L$808),"")</f>
      </c>
      <c r="M808" s="16">
        <f>IFERROR(IF([1]对账明细接口!$M$808=0,"",[1]对账明细接口!$M$808),"")</f>
      </c>
      <c r="N808" s="19">
        <f>IF($C808="",0,1)</f>
        <v>0</v>
      </c>
      <c r="O808" s="19">
        <f>N(O807)+$N808</f>
        <v>637</v>
      </c>
      <c r="S808" s="20">
        <f>IFERROR(IF([1]对账明细接口!$N808=0,"",[1]对账明细接口!$N808),"")</f>
      </c>
      <c r="T808" s="212">
        <f>IFERROR(IF([1]对账明细接口!$O808=0,"",[1]对账明细接口!$O808),"")</f>
      </c>
      <c r="U808" s="212">
        <f>IFERROR(IF([1]对账明细接口!$P808=0,"",[1]对账明细接口!$P808),"")</f>
      </c>
      <c r="V808" s="212">
        <f>IFERROR(IF([1]对账明细接口!$Q808=0,"",[1]对账明细接口!$Q808),"")</f>
      </c>
      <c r="W808" s="20">
        <f>IFERROR(IF([1]对账明细接口!$R808=0,"",[1]对账明细接口!$R808),"")</f>
      </c>
      <c r="X808" s="20">
        <f>IFERROR(IF([1]对账明细接口!$S808=0,"",[1]对账明细接口!$S808),"")</f>
      </c>
      <c r="Y808" s="20">
        <f>IFERROR(IF([1]对账明细接口!$T808=0,"",[1]对账明细接口!$T808),"")</f>
      </c>
      <c r="Z808" s="213">
        <f>IFERROR(IF([1]对账明细接口!$U808=0,"",[1]对账明细接口!$U808),"")</f>
      </c>
      <c r="AA808" s="213">
        <f>IFERROR(IF([1]对账明细接口!$V808=0,"",[1]对账明细接口!$V808),"")</f>
      </c>
      <c r="AB808" s="20">
        <f>IFERROR(IF([1]对账明细接口!$W808=0,"",[1]对账明细接口!$W808),"")</f>
      </c>
      <c r="AC808" s="7">
        <f>IFERROR(IF([1]对账明细接口!$X808=0,"",[1]对账明细接口!$X808),"")</f>
      </c>
      <c r="AD808" s="7">
        <f>IFERROR(IF([1]对账明细接口!$Y808=0,"",[1]对账明细接口!$Y808),"")</f>
      </c>
      <c r="AE808" s="7">
        <f>IFERROR(IF([1]对账明细接口!$AA808=0,"",[1]对账明细接口!$AA808),"")</f>
      </c>
      <c r="AF808" s="7">
        <f>IFERROR(IF([1]对账明细接口!$AB808=0,"",[1]对账明细接口!$AB808),"")</f>
      </c>
      <c r="AG808" s="7">
        <f>IFERROR(IF([1]对账明细接口!$AC808=0,"",[1]对账明细接口!$AC808),"")</f>
      </c>
      <c r="AH808" s="7">
        <f>IFERROR(IF([1]对账明细接口!$AD808=0,"",[1]对账明细接口!$AD808),"")</f>
      </c>
      <c r="AI808" s="7">
        <f>IFERROR(IF([1]对账明细接口!$AE808=0,"",[1]对账明细接口!$AE808),"")</f>
      </c>
      <c r="AJ808" s="7">
        <f>IFERROR(IF([1]对账明细接口!$AF808=0,"",[1]对账明细接口!$AF808),"")</f>
      </c>
    </row>
    <row r="809" ht="14.25" customHeight="1" s="127">
      <c r="A809" s="14" t="n">
        <v>809</v>
      </c>
      <c r="B809" s="211">
        <f>IFERROR(IF([1]对账明细接口!$B$809=0,"",[1]对账明细接口!$B$809),"")</f>
      </c>
      <c r="C809" s="16">
        <f>IFERROR(IF([1]对账明细接口!$C$809=0,"",[1]对账明细接口!$C$809),"")</f>
      </c>
      <c r="D809" s="16">
        <f>IFERROR(IF([1]对账明细接口!$D$809=0,"",[1]对账明细接口!$D$809),"")</f>
      </c>
      <c r="E809" s="16">
        <f>IFERROR(IF([1]对账明细接口!$E$809=0,"",[1]对账明细接口!$E$809),"")</f>
      </c>
      <c r="F809" s="16">
        <f>IFERROR(IF([1]对账明细接口!$F$809=0,"",[1]对账明细接口!$F$809),"")</f>
      </c>
      <c r="G809" s="16">
        <f>IFERROR(IF([1]对账明细接口!$G$809=0,"",[1]对账明细接口!$G$809),"")</f>
      </c>
      <c r="H809" s="176">
        <f>IFERROR(IF([1]对账明细接口!$H$809=0,"",[1]对账明细接口!$H$809),"")</f>
      </c>
      <c r="I809" s="16">
        <f>IFERROR(IF([1]对账明细接口!$I$809=0,"",[1]对账明细接口!$I$809),"")</f>
      </c>
      <c r="J809" s="177">
        <f>IFERROR(IF([1]对账明细接口!$J$809=0,"",[1]对账明细接口!$J$809),"")</f>
      </c>
      <c r="K809" s="177">
        <f>IFERROR(IF([1]对账明细接口!$K$809=0,"",[1]对账明细接口!$K$809),"")</f>
      </c>
      <c r="L809" s="16">
        <f>IFERROR(IF([1]对账明细接口!$L$809=0,"",[1]对账明细接口!$L$809),"")</f>
      </c>
      <c r="M809" s="16">
        <f>IFERROR(IF([1]对账明细接口!$M$809=0,"",[1]对账明细接口!$M$809),"")</f>
      </c>
      <c r="N809" s="19">
        <f>IF($C809="",0,1)</f>
        <v>0</v>
      </c>
      <c r="O809" s="19">
        <f>N(O808)+$N809</f>
        <v>637</v>
      </c>
      <c r="S809" s="20">
        <f>IFERROR(IF([1]对账明细接口!$N809=0,"",[1]对账明细接口!$N809),"")</f>
      </c>
      <c r="T809" s="212">
        <f>IFERROR(IF([1]对账明细接口!$O809=0,"",[1]对账明细接口!$O809),"")</f>
      </c>
      <c r="U809" s="212">
        <f>IFERROR(IF([1]对账明细接口!$P809=0,"",[1]对账明细接口!$P809),"")</f>
      </c>
      <c r="V809" s="212">
        <f>IFERROR(IF([1]对账明细接口!$Q809=0,"",[1]对账明细接口!$Q809),"")</f>
      </c>
      <c r="W809" s="20">
        <f>IFERROR(IF([1]对账明细接口!$R809=0,"",[1]对账明细接口!$R809),"")</f>
      </c>
      <c r="X809" s="20">
        <f>IFERROR(IF([1]对账明细接口!$S809=0,"",[1]对账明细接口!$S809),"")</f>
      </c>
      <c r="Y809" s="20">
        <f>IFERROR(IF([1]对账明细接口!$T809=0,"",[1]对账明细接口!$T809),"")</f>
      </c>
      <c r="Z809" s="213">
        <f>IFERROR(IF([1]对账明细接口!$U809=0,"",[1]对账明细接口!$U809),"")</f>
      </c>
      <c r="AA809" s="213">
        <f>IFERROR(IF([1]对账明细接口!$V809=0,"",[1]对账明细接口!$V809),"")</f>
      </c>
      <c r="AB809" s="20">
        <f>IFERROR(IF([1]对账明细接口!$W809=0,"",[1]对账明细接口!$W809),"")</f>
      </c>
      <c r="AC809" s="7">
        <f>IFERROR(IF([1]对账明细接口!$X809=0,"",[1]对账明细接口!$X809),"")</f>
      </c>
      <c r="AD809" s="7">
        <f>IFERROR(IF([1]对账明细接口!$Y809=0,"",[1]对账明细接口!$Y809),"")</f>
      </c>
      <c r="AE809" s="7">
        <f>IFERROR(IF([1]对账明细接口!$AA809=0,"",[1]对账明细接口!$AA809),"")</f>
      </c>
      <c r="AF809" s="7">
        <f>IFERROR(IF([1]对账明细接口!$AB809=0,"",[1]对账明细接口!$AB809),"")</f>
      </c>
      <c r="AG809" s="7">
        <f>IFERROR(IF([1]对账明细接口!$AC809=0,"",[1]对账明细接口!$AC809),"")</f>
      </c>
      <c r="AH809" s="7">
        <f>IFERROR(IF([1]对账明细接口!$AD809=0,"",[1]对账明细接口!$AD809),"")</f>
      </c>
      <c r="AI809" s="7">
        <f>IFERROR(IF([1]对账明细接口!$AE809=0,"",[1]对账明细接口!$AE809),"")</f>
      </c>
      <c r="AJ809" s="7">
        <f>IFERROR(IF([1]对账明细接口!$AF809=0,"",[1]对账明细接口!$AF809),"")</f>
      </c>
    </row>
    <row r="810" ht="14.25" customHeight="1" s="127">
      <c r="A810" s="14" t="n">
        <v>810</v>
      </c>
      <c r="B810" s="211">
        <f>IFERROR(IF([1]对账明细接口!$B$810=0,"",[1]对账明细接口!$B$810),"")</f>
      </c>
      <c r="C810" s="16">
        <f>IFERROR(IF([1]对账明细接口!$C$810=0,"",[1]对账明细接口!$C$810),"")</f>
      </c>
      <c r="D810" s="16">
        <f>IFERROR(IF([1]对账明细接口!$D$810=0,"",[1]对账明细接口!$D$810),"")</f>
      </c>
      <c r="E810" s="16">
        <f>IFERROR(IF([1]对账明细接口!$E$810=0,"",[1]对账明细接口!$E$810),"")</f>
      </c>
      <c r="F810" s="16">
        <f>IFERROR(IF([1]对账明细接口!$F$810=0,"",[1]对账明细接口!$F$810),"")</f>
      </c>
      <c r="G810" s="16">
        <f>IFERROR(IF([1]对账明细接口!$G$810=0,"",[1]对账明细接口!$G$810),"")</f>
      </c>
      <c r="H810" s="176">
        <f>IFERROR(IF([1]对账明细接口!$H$810=0,"",[1]对账明细接口!$H$810),"")</f>
      </c>
      <c r="I810" s="16">
        <f>IFERROR(IF([1]对账明细接口!$I$810=0,"",[1]对账明细接口!$I$810),"")</f>
      </c>
      <c r="J810" s="177">
        <f>IFERROR(IF([1]对账明细接口!$J$810=0,"",[1]对账明细接口!$J$810),"")</f>
      </c>
      <c r="K810" s="177">
        <f>IFERROR(IF([1]对账明细接口!$K$810=0,"",[1]对账明细接口!$K$810),"")</f>
      </c>
      <c r="L810" s="16">
        <f>IFERROR(IF([1]对账明细接口!$L$810=0,"",[1]对账明细接口!$L$810),"")</f>
      </c>
      <c r="M810" s="16">
        <f>IFERROR(IF([1]对账明细接口!$M$810=0,"",[1]对账明细接口!$M$810),"")</f>
      </c>
      <c r="N810" s="19">
        <f>IF($C810="",0,1)</f>
        <v>0</v>
      </c>
      <c r="O810" s="19">
        <f>N(O809)+$N810</f>
        <v>637</v>
      </c>
      <c r="S810" s="20">
        <f>IFERROR(IF([1]对账明细接口!$N810=0,"",[1]对账明细接口!$N810),"")</f>
      </c>
      <c r="T810" s="212">
        <f>IFERROR(IF([1]对账明细接口!$O810=0,"",[1]对账明细接口!$O810),"")</f>
      </c>
      <c r="U810" s="212">
        <f>IFERROR(IF([1]对账明细接口!$P810=0,"",[1]对账明细接口!$P810),"")</f>
      </c>
      <c r="V810" s="212">
        <f>IFERROR(IF([1]对账明细接口!$Q810=0,"",[1]对账明细接口!$Q810),"")</f>
      </c>
      <c r="W810" s="20">
        <f>IFERROR(IF([1]对账明细接口!$R810=0,"",[1]对账明细接口!$R810),"")</f>
      </c>
      <c r="X810" s="20">
        <f>IFERROR(IF([1]对账明细接口!$S810=0,"",[1]对账明细接口!$S810),"")</f>
      </c>
      <c r="Y810" s="20">
        <f>IFERROR(IF([1]对账明细接口!$T810=0,"",[1]对账明细接口!$T810),"")</f>
      </c>
      <c r="Z810" s="213">
        <f>IFERROR(IF([1]对账明细接口!$U810=0,"",[1]对账明细接口!$U810),"")</f>
      </c>
      <c r="AA810" s="213">
        <f>IFERROR(IF([1]对账明细接口!$V810=0,"",[1]对账明细接口!$V810),"")</f>
      </c>
      <c r="AB810" s="20">
        <f>IFERROR(IF([1]对账明细接口!$W810=0,"",[1]对账明细接口!$W810),"")</f>
      </c>
      <c r="AC810" s="7">
        <f>IFERROR(IF([1]对账明细接口!$X810=0,"",[1]对账明细接口!$X810),"")</f>
      </c>
      <c r="AD810" s="7">
        <f>IFERROR(IF([1]对账明细接口!$Y810=0,"",[1]对账明细接口!$Y810),"")</f>
      </c>
      <c r="AE810" s="7">
        <f>IFERROR(IF([1]对账明细接口!$AA810=0,"",[1]对账明细接口!$AA810),"")</f>
      </c>
      <c r="AF810" s="7">
        <f>IFERROR(IF([1]对账明细接口!$AB810=0,"",[1]对账明细接口!$AB810),"")</f>
      </c>
      <c r="AG810" s="7">
        <f>IFERROR(IF([1]对账明细接口!$AC810=0,"",[1]对账明细接口!$AC810),"")</f>
      </c>
      <c r="AH810" s="7">
        <f>IFERROR(IF([1]对账明细接口!$AD810=0,"",[1]对账明细接口!$AD810),"")</f>
      </c>
      <c r="AI810" s="7">
        <f>IFERROR(IF([1]对账明细接口!$AE810=0,"",[1]对账明细接口!$AE810),"")</f>
      </c>
      <c r="AJ810" s="7">
        <f>IFERROR(IF([1]对账明细接口!$AF810=0,"",[1]对账明细接口!$AF810),"")</f>
      </c>
    </row>
    <row r="811" ht="14.25" customHeight="1" s="127">
      <c r="A811" s="14" t="n">
        <v>811</v>
      </c>
      <c r="B811" s="211">
        <f>IFERROR(IF([1]对账明细接口!$B$811=0,"",[1]对账明细接口!$B$811),"")</f>
      </c>
      <c r="C811" s="16">
        <f>IFERROR(IF([1]对账明细接口!$C$811=0,"",[1]对账明细接口!$C$811),"")</f>
      </c>
      <c r="D811" s="16">
        <f>IFERROR(IF([1]对账明细接口!$D$811=0,"",[1]对账明细接口!$D$811),"")</f>
      </c>
      <c r="E811" s="16">
        <f>IFERROR(IF([1]对账明细接口!$E$811=0,"",[1]对账明细接口!$E$811),"")</f>
      </c>
      <c r="F811" s="16">
        <f>IFERROR(IF([1]对账明细接口!$F$811=0,"",[1]对账明细接口!$F$811),"")</f>
      </c>
      <c r="G811" s="16">
        <f>IFERROR(IF([1]对账明细接口!$G$811=0,"",[1]对账明细接口!$G$811),"")</f>
      </c>
      <c r="H811" s="176">
        <f>IFERROR(IF([1]对账明细接口!$H$811=0,"",[1]对账明细接口!$H$811),"")</f>
      </c>
      <c r="I811" s="16">
        <f>IFERROR(IF([1]对账明细接口!$I$811=0,"",[1]对账明细接口!$I$811),"")</f>
      </c>
      <c r="J811" s="177">
        <f>IFERROR(IF([1]对账明细接口!$J$811=0,"",[1]对账明细接口!$J$811),"")</f>
      </c>
      <c r="K811" s="177">
        <f>IFERROR(IF([1]对账明细接口!$K$811=0,"",[1]对账明细接口!$K$811),"")</f>
      </c>
      <c r="L811" s="16">
        <f>IFERROR(IF([1]对账明细接口!$L$811=0,"",[1]对账明细接口!$L$811),"")</f>
      </c>
      <c r="M811" s="16">
        <f>IFERROR(IF([1]对账明细接口!$M$811=0,"",[1]对账明细接口!$M$811),"")</f>
      </c>
      <c r="N811" s="19">
        <f>IF($C811="",0,1)</f>
        <v>0</v>
      </c>
      <c r="O811" s="19">
        <f>N(O810)+$N811</f>
        <v>637</v>
      </c>
      <c r="S811" s="20">
        <f>IFERROR(IF([1]对账明细接口!$N811=0,"",[1]对账明细接口!$N811),"")</f>
      </c>
      <c r="T811" s="212">
        <f>IFERROR(IF([1]对账明细接口!$O811=0,"",[1]对账明细接口!$O811),"")</f>
      </c>
      <c r="U811" s="212">
        <f>IFERROR(IF([1]对账明细接口!$P811=0,"",[1]对账明细接口!$P811),"")</f>
      </c>
      <c r="V811" s="212">
        <f>IFERROR(IF([1]对账明细接口!$Q811=0,"",[1]对账明细接口!$Q811),"")</f>
      </c>
      <c r="W811" s="20">
        <f>IFERROR(IF([1]对账明细接口!$R811=0,"",[1]对账明细接口!$R811),"")</f>
      </c>
      <c r="X811" s="20">
        <f>IFERROR(IF([1]对账明细接口!$S811=0,"",[1]对账明细接口!$S811),"")</f>
      </c>
      <c r="Y811" s="20">
        <f>IFERROR(IF([1]对账明细接口!$T811=0,"",[1]对账明细接口!$T811),"")</f>
      </c>
      <c r="Z811" s="213">
        <f>IFERROR(IF([1]对账明细接口!$U811=0,"",[1]对账明细接口!$U811),"")</f>
      </c>
      <c r="AA811" s="213">
        <f>IFERROR(IF([1]对账明细接口!$V811=0,"",[1]对账明细接口!$V811),"")</f>
      </c>
      <c r="AB811" s="20">
        <f>IFERROR(IF([1]对账明细接口!$W811=0,"",[1]对账明细接口!$W811),"")</f>
      </c>
      <c r="AC811" s="7">
        <f>IFERROR(IF([1]对账明细接口!$X811=0,"",[1]对账明细接口!$X811),"")</f>
      </c>
      <c r="AD811" s="7">
        <f>IFERROR(IF([1]对账明细接口!$Y811=0,"",[1]对账明细接口!$Y811),"")</f>
      </c>
      <c r="AE811" s="7">
        <f>IFERROR(IF([1]对账明细接口!$AA811=0,"",[1]对账明细接口!$AA811),"")</f>
      </c>
      <c r="AF811" s="7">
        <f>IFERROR(IF([1]对账明细接口!$AB811=0,"",[1]对账明细接口!$AB811),"")</f>
      </c>
      <c r="AG811" s="7">
        <f>IFERROR(IF([1]对账明细接口!$AC811=0,"",[1]对账明细接口!$AC811),"")</f>
      </c>
      <c r="AH811" s="7">
        <f>IFERROR(IF([1]对账明细接口!$AD811=0,"",[1]对账明细接口!$AD811),"")</f>
      </c>
      <c r="AI811" s="7">
        <f>IFERROR(IF([1]对账明细接口!$AE811=0,"",[1]对账明细接口!$AE811),"")</f>
      </c>
      <c r="AJ811" s="7">
        <f>IFERROR(IF([1]对账明细接口!$AF811=0,"",[1]对账明细接口!$AF811),"")</f>
      </c>
    </row>
    <row r="812" ht="14.25" customHeight="1" s="127">
      <c r="A812" s="14" t="n">
        <v>812</v>
      </c>
      <c r="B812" s="211">
        <f>IFERROR(IF([1]对账明细接口!$B$812=0,"",[1]对账明细接口!$B$812),"")</f>
      </c>
      <c r="C812" s="16">
        <f>IFERROR(IF([1]对账明细接口!$C$812=0,"",[1]对账明细接口!$C$812),"")</f>
      </c>
      <c r="D812" s="16">
        <f>IFERROR(IF([1]对账明细接口!$D$812=0,"",[1]对账明细接口!$D$812),"")</f>
      </c>
      <c r="E812" s="16">
        <f>IFERROR(IF([1]对账明细接口!$E$812=0,"",[1]对账明细接口!$E$812),"")</f>
      </c>
      <c r="F812" s="16">
        <f>IFERROR(IF([1]对账明细接口!$F$812=0,"",[1]对账明细接口!$F$812),"")</f>
      </c>
      <c r="G812" s="16">
        <f>IFERROR(IF([1]对账明细接口!$G$812=0,"",[1]对账明细接口!$G$812),"")</f>
      </c>
      <c r="H812" s="176">
        <f>IFERROR(IF([1]对账明细接口!$H$812=0,"",[1]对账明细接口!$H$812),"")</f>
      </c>
      <c r="I812" s="16">
        <f>IFERROR(IF([1]对账明细接口!$I$812=0,"",[1]对账明细接口!$I$812),"")</f>
      </c>
      <c r="J812" s="177">
        <f>IFERROR(IF([1]对账明细接口!$J$812=0,"",[1]对账明细接口!$J$812),"")</f>
      </c>
      <c r="K812" s="177">
        <f>IFERROR(IF([1]对账明细接口!$K$812=0,"",[1]对账明细接口!$K$812),"")</f>
      </c>
      <c r="L812" s="16">
        <f>IFERROR(IF([1]对账明细接口!$L$812=0,"",[1]对账明细接口!$L$812),"")</f>
      </c>
      <c r="M812" s="16">
        <f>IFERROR(IF([1]对账明细接口!$M$812=0,"",[1]对账明细接口!$M$812),"")</f>
      </c>
      <c r="N812" s="19">
        <f>IF($C812="",0,1)</f>
        <v>0</v>
      </c>
      <c r="O812" s="19">
        <f>N(O811)+$N812</f>
        <v>637</v>
      </c>
      <c r="S812" s="20">
        <f>IFERROR(IF([1]对账明细接口!$N812=0,"",[1]对账明细接口!$N812),"")</f>
      </c>
      <c r="T812" s="212">
        <f>IFERROR(IF([1]对账明细接口!$O812=0,"",[1]对账明细接口!$O812),"")</f>
      </c>
      <c r="U812" s="212">
        <f>IFERROR(IF([1]对账明细接口!$P812=0,"",[1]对账明细接口!$P812),"")</f>
      </c>
      <c r="V812" s="212">
        <f>IFERROR(IF([1]对账明细接口!$Q812=0,"",[1]对账明细接口!$Q812),"")</f>
      </c>
      <c r="W812" s="20">
        <f>IFERROR(IF([1]对账明细接口!$R812=0,"",[1]对账明细接口!$R812),"")</f>
      </c>
      <c r="X812" s="20">
        <f>IFERROR(IF([1]对账明细接口!$S812=0,"",[1]对账明细接口!$S812),"")</f>
      </c>
      <c r="Y812" s="20">
        <f>IFERROR(IF([1]对账明细接口!$T812=0,"",[1]对账明细接口!$T812),"")</f>
      </c>
      <c r="Z812" s="213">
        <f>IFERROR(IF([1]对账明细接口!$U812=0,"",[1]对账明细接口!$U812),"")</f>
      </c>
      <c r="AA812" s="213">
        <f>IFERROR(IF([1]对账明细接口!$V812=0,"",[1]对账明细接口!$V812),"")</f>
      </c>
      <c r="AB812" s="20">
        <f>IFERROR(IF([1]对账明细接口!$W812=0,"",[1]对账明细接口!$W812),"")</f>
      </c>
      <c r="AC812" s="7">
        <f>IFERROR(IF([1]对账明细接口!$X812=0,"",[1]对账明细接口!$X812),"")</f>
      </c>
      <c r="AD812" s="7">
        <f>IFERROR(IF([1]对账明细接口!$Y812=0,"",[1]对账明细接口!$Y812),"")</f>
      </c>
      <c r="AE812" s="7">
        <f>IFERROR(IF([1]对账明细接口!$AA812=0,"",[1]对账明细接口!$AA812),"")</f>
      </c>
      <c r="AF812" s="7">
        <f>IFERROR(IF([1]对账明细接口!$AB812=0,"",[1]对账明细接口!$AB812),"")</f>
      </c>
      <c r="AG812" s="7">
        <f>IFERROR(IF([1]对账明细接口!$AC812=0,"",[1]对账明细接口!$AC812),"")</f>
      </c>
      <c r="AH812" s="7">
        <f>IFERROR(IF([1]对账明细接口!$AD812=0,"",[1]对账明细接口!$AD812),"")</f>
      </c>
      <c r="AI812" s="7">
        <f>IFERROR(IF([1]对账明细接口!$AE812=0,"",[1]对账明细接口!$AE812),"")</f>
      </c>
      <c r="AJ812" s="7">
        <f>IFERROR(IF([1]对账明细接口!$AF812=0,"",[1]对账明细接口!$AF812),"")</f>
      </c>
    </row>
    <row r="813" ht="14.25" customHeight="1" s="127">
      <c r="A813" s="14" t="n">
        <v>813</v>
      </c>
      <c r="B813" s="211">
        <f>IFERROR(IF([1]对账明细接口!$B$813=0,"",[1]对账明细接口!$B$813),"")</f>
      </c>
      <c r="C813" s="16">
        <f>IFERROR(IF([1]对账明细接口!$C$813=0,"",[1]对账明细接口!$C$813),"")</f>
      </c>
      <c r="D813" s="16">
        <f>IFERROR(IF([1]对账明细接口!$D$813=0,"",[1]对账明细接口!$D$813),"")</f>
      </c>
      <c r="E813" s="16">
        <f>IFERROR(IF([1]对账明细接口!$E$813=0,"",[1]对账明细接口!$E$813),"")</f>
      </c>
      <c r="F813" s="16">
        <f>IFERROR(IF([1]对账明细接口!$F$813=0,"",[1]对账明细接口!$F$813),"")</f>
      </c>
      <c r="G813" s="16">
        <f>IFERROR(IF([1]对账明细接口!$G$813=0,"",[1]对账明细接口!$G$813),"")</f>
      </c>
      <c r="H813" s="176">
        <f>IFERROR(IF([1]对账明细接口!$H$813=0,"",[1]对账明细接口!$H$813),"")</f>
      </c>
      <c r="I813" s="16">
        <f>IFERROR(IF([1]对账明细接口!$I$813=0,"",[1]对账明细接口!$I$813),"")</f>
      </c>
      <c r="J813" s="177">
        <f>IFERROR(IF([1]对账明细接口!$J$813=0,"",[1]对账明细接口!$J$813),"")</f>
      </c>
      <c r="K813" s="177">
        <f>IFERROR(IF([1]对账明细接口!$K$813=0,"",[1]对账明细接口!$K$813),"")</f>
      </c>
      <c r="L813" s="16">
        <f>IFERROR(IF([1]对账明细接口!$L$813=0,"",[1]对账明细接口!$L$813),"")</f>
      </c>
      <c r="M813" s="16">
        <f>IFERROR(IF([1]对账明细接口!$M$813=0,"",[1]对账明细接口!$M$813),"")</f>
      </c>
      <c r="N813" s="19">
        <f>IF($C813="",0,1)</f>
        <v>0</v>
      </c>
      <c r="O813" s="19">
        <f>N(O812)+$N813</f>
        <v>637</v>
      </c>
      <c r="S813" s="20">
        <f>IFERROR(IF([1]对账明细接口!$N813=0,"",[1]对账明细接口!$N813),"")</f>
      </c>
      <c r="T813" s="212">
        <f>IFERROR(IF([1]对账明细接口!$O813=0,"",[1]对账明细接口!$O813),"")</f>
      </c>
      <c r="U813" s="212">
        <f>IFERROR(IF([1]对账明细接口!$P813=0,"",[1]对账明细接口!$P813),"")</f>
      </c>
      <c r="V813" s="212">
        <f>IFERROR(IF([1]对账明细接口!$Q813=0,"",[1]对账明细接口!$Q813),"")</f>
      </c>
      <c r="W813" s="20">
        <f>IFERROR(IF([1]对账明细接口!$R813=0,"",[1]对账明细接口!$R813),"")</f>
      </c>
      <c r="X813" s="20">
        <f>IFERROR(IF([1]对账明细接口!$S813=0,"",[1]对账明细接口!$S813),"")</f>
      </c>
      <c r="Y813" s="20">
        <f>IFERROR(IF([1]对账明细接口!$T813=0,"",[1]对账明细接口!$T813),"")</f>
      </c>
      <c r="Z813" s="213">
        <f>IFERROR(IF([1]对账明细接口!$U813=0,"",[1]对账明细接口!$U813),"")</f>
      </c>
      <c r="AA813" s="213">
        <f>IFERROR(IF([1]对账明细接口!$V813=0,"",[1]对账明细接口!$V813),"")</f>
      </c>
      <c r="AB813" s="20">
        <f>IFERROR(IF([1]对账明细接口!$W813=0,"",[1]对账明细接口!$W813),"")</f>
      </c>
      <c r="AC813" s="7">
        <f>IFERROR(IF([1]对账明细接口!$X813=0,"",[1]对账明细接口!$X813),"")</f>
      </c>
      <c r="AD813" s="7">
        <f>IFERROR(IF([1]对账明细接口!$Y813=0,"",[1]对账明细接口!$Y813),"")</f>
      </c>
      <c r="AE813" s="7">
        <f>IFERROR(IF([1]对账明细接口!$AA813=0,"",[1]对账明细接口!$AA813),"")</f>
      </c>
      <c r="AF813" s="7">
        <f>IFERROR(IF([1]对账明细接口!$AB813=0,"",[1]对账明细接口!$AB813),"")</f>
      </c>
      <c r="AG813" s="7">
        <f>IFERROR(IF([1]对账明细接口!$AC813=0,"",[1]对账明细接口!$AC813),"")</f>
      </c>
      <c r="AH813" s="7">
        <f>IFERROR(IF([1]对账明细接口!$AD813=0,"",[1]对账明细接口!$AD813),"")</f>
      </c>
      <c r="AI813" s="7">
        <f>IFERROR(IF([1]对账明细接口!$AE813=0,"",[1]对账明细接口!$AE813),"")</f>
      </c>
      <c r="AJ813" s="7">
        <f>IFERROR(IF([1]对账明细接口!$AF813=0,"",[1]对账明细接口!$AF813),"")</f>
      </c>
    </row>
    <row r="814" ht="14.25" customHeight="1" s="127">
      <c r="A814" s="14" t="n">
        <v>814</v>
      </c>
      <c r="B814" s="211">
        <f>IFERROR(IF([1]对账明细接口!$B$814=0,"",[1]对账明细接口!$B$814),"")</f>
      </c>
      <c r="C814" s="16">
        <f>IFERROR(IF([1]对账明细接口!$C$814=0,"",[1]对账明细接口!$C$814),"")</f>
      </c>
      <c r="D814" s="16">
        <f>IFERROR(IF([1]对账明细接口!$D$814=0,"",[1]对账明细接口!$D$814),"")</f>
      </c>
      <c r="E814" s="16">
        <f>IFERROR(IF([1]对账明细接口!$E$814=0,"",[1]对账明细接口!$E$814),"")</f>
      </c>
      <c r="F814" s="16">
        <f>IFERROR(IF([1]对账明细接口!$F$814=0,"",[1]对账明细接口!$F$814),"")</f>
      </c>
      <c r="G814" s="16">
        <f>IFERROR(IF([1]对账明细接口!$G$814=0,"",[1]对账明细接口!$G$814),"")</f>
      </c>
      <c r="H814" s="176">
        <f>IFERROR(IF([1]对账明细接口!$H$814=0,"",[1]对账明细接口!$H$814),"")</f>
      </c>
      <c r="I814" s="16">
        <f>IFERROR(IF([1]对账明细接口!$I$814=0,"",[1]对账明细接口!$I$814),"")</f>
      </c>
      <c r="J814" s="177">
        <f>IFERROR(IF([1]对账明细接口!$J$814=0,"",[1]对账明细接口!$J$814),"")</f>
      </c>
      <c r="K814" s="177">
        <f>IFERROR(IF([1]对账明细接口!$K$814=0,"",[1]对账明细接口!$K$814),"")</f>
      </c>
      <c r="L814" s="16">
        <f>IFERROR(IF([1]对账明细接口!$L$814=0,"",[1]对账明细接口!$L$814),"")</f>
      </c>
      <c r="M814" s="16">
        <f>IFERROR(IF([1]对账明细接口!$M$814=0,"",[1]对账明细接口!$M$814),"")</f>
      </c>
      <c r="N814" s="19">
        <f>IF($C814="",0,1)</f>
        <v>0</v>
      </c>
      <c r="O814" s="19">
        <f>N(O813)+$N814</f>
        <v>637</v>
      </c>
      <c r="S814" s="20">
        <f>IFERROR(IF([1]对账明细接口!$N814=0,"",[1]对账明细接口!$N814),"")</f>
      </c>
      <c r="T814" s="212">
        <f>IFERROR(IF([1]对账明细接口!$O814=0,"",[1]对账明细接口!$O814),"")</f>
      </c>
      <c r="U814" s="212">
        <f>IFERROR(IF([1]对账明细接口!$P814=0,"",[1]对账明细接口!$P814),"")</f>
      </c>
      <c r="V814" s="212">
        <f>IFERROR(IF([1]对账明细接口!$Q814=0,"",[1]对账明细接口!$Q814),"")</f>
      </c>
      <c r="W814" s="20">
        <f>IFERROR(IF([1]对账明细接口!$R814=0,"",[1]对账明细接口!$R814),"")</f>
      </c>
      <c r="X814" s="20">
        <f>IFERROR(IF([1]对账明细接口!$S814=0,"",[1]对账明细接口!$S814),"")</f>
      </c>
      <c r="Y814" s="20">
        <f>IFERROR(IF([1]对账明细接口!$T814=0,"",[1]对账明细接口!$T814),"")</f>
      </c>
      <c r="Z814" s="213">
        <f>IFERROR(IF([1]对账明细接口!$U814=0,"",[1]对账明细接口!$U814),"")</f>
      </c>
      <c r="AA814" s="213">
        <f>IFERROR(IF([1]对账明细接口!$V814=0,"",[1]对账明细接口!$V814),"")</f>
      </c>
      <c r="AB814" s="20">
        <f>IFERROR(IF([1]对账明细接口!$W814=0,"",[1]对账明细接口!$W814),"")</f>
      </c>
      <c r="AC814" s="7">
        <f>IFERROR(IF([1]对账明细接口!$X814=0,"",[1]对账明细接口!$X814),"")</f>
      </c>
      <c r="AD814" s="7">
        <f>IFERROR(IF([1]对账明细接口!$Y814=0,"",[1]对账明细接口!$Y814),"")</f>
      </c>
      <c r="AE814" s="7">
        <f>IFERROR(IF([1]对账明细接口!$AA814=0,"",[1]对账明细接口!$AA814),"")</f>
      </c>
      <c r="AF814" s="7">
        <f>IFERROR(IF([1]对账明细接口!$AB814=0,"",[1]对账明细接口!$AB814),"")</f>
      </c>
      <c r="AG814" s="7">
        <f>IFERROR(IF([1]对账明细接口!$AC814=0,"",[1]对账明细接口!$AC814),"")</f>
      </c>
      <c r="AH814" s="7">
        <f>IFERROR(IF([1]对账明细接口!$AD814=0,"",[1]对账明细接口!$AD814),"")</f>
      </c>
      <c r="AI814" s="7">
        <f>IFERROR(IF([1]对账明细接口!$AE814=0,"",[1]对账明细接口!$AE814),"")</f>
      </c>
      <c r="AJ814" s="7">
        <f>IFERROR(IF([1]对账明细接口!$AF814=0,"",[1]对账明细接口!$AF814),"")</f>
      </c>
    </row>
    <row r="815" ht="14.25" customHeight="1" s="127">
      <c r="A815" s="14" t="n">
        <v>815</v>
      </c>
      <c r="B815" s="211">
        <f>IFERROR(IF([1]对账明细接口!$B$815=0,"",[1]对账明细接口!$B$815),"")</f>
      </c>
      <c r="C815" s="16">
        <f>IFERROR(IF([1]对账明细接口!$C$815=0,"",[1]对账明细接口!$C$815),"")</f>
      </c>
      <c r="D815" s="16">
        <f>IFERROR(IF([1]对账明细接口!$D$815=0,"",[1]对账明细接口!$D$815),"")</f>
      </c>
      <c r="E815" s="16">
        <f>IFERROR(IF([1]对账明细接口!$E$815=0,"",[1]对账明细接口!$E$815),"")</f>
      </c>
      <c r="F815" s="16">
        <f>IFERROR(IF([1]对账明细接口!$F$815=0,"",[1]对账明细接口!$F$815),"")</f>
      </c>
      <c r="G815" s="16">
        <f>IFERROR(IF([1]对账明细接口!$G$815=0,"",[1]对账明细接口!$G$815),"")</f>
      </c>
      <c r="H815" s="176">
        <f>IFERROR(IF([1]对账明细接口!$H$815=0,"",[1]对账明细接口!$H$815),"")</f>
      </c>
      <c r="I815" s="16">
        <f>IFERROR(IF([1]对账明细接口!$I$815=0,"",[1]对账明细接口!$I$815),"")</f>
      </c>
      <c r="J815" s="177">
        <f>IFERROR(IF([1]对账明细接口!$J$815=0,"",[1]对账明细接口!$J$815),"")</f>
      </c>
      <c r="K815" s="177">
        <f>IFERROR(IF([1]对账明细接口!$K$815=0,"",[1]对账明细接口!$K$815),"")</f>
      </c>
      <c r="L815" s="16">
        <f>IFERROR(IF([1]对账明细接口!$L$815=0,"",[1]对账明细接口!$L$815),"")</f>
      </c>
      <c r="M815" s="16">
        <f>IFERROR(IF([1]对账明细接口!$M$815=0,"",[1]对账明细接口!$M$815),"")</f>
      </c>
      <c r="N815" s="19">
        <f>IF($C815="",0,1)</f>
        <v>0</v>
      </c>
      <c r="O815" s="19">
        <f>N(O814)+$N815</f>
        <v>637</v>
      </c>
      <c r="S815" s="20">
        <f>IFERROR(IF([1]对账明细接口!$N815=0,"",[1]对账明细接口!$N815),"")</f>
      </c>
      <c r="T815" s="212">
        <f>IFERROR(IF([1]对账明细接口!$O815=0,"",[1]对账明细接口!$O815),"")</f>
      </c>
      <c r="U815" s="212">
        <f>IFERROR(IF([1]对账明细接口!$P815=0,"",[1]对账明细接口!$P815),"")</f>
      </c>
      <c r="V815" s="212">
        <f>IFERROR(IF([1]对账明细接口!$Q815=0,"",[1]对账明细接口!$Q815),"")</f>
      </c>
      <c r="W815" s="20">
        <f>IFERROR(IF([1]对账明细接口!$R815=0,"",[1]对账明细接口!$R815),"")</f>
      </c>
      <c r="X815" s="20">
        <f>IFERROR(IF([1]对账明细接口!$S815=0,"",[1]对账明细接口!$S815),"")</f>
      </c>
      <c r="Y815" s="20">
        <f>IFERROR(IF([1]对账明细接口!$T815=0,"",[1]对账明细接口!$T815),"")</f>
      </c>
      <c r="Z815" s="213">
        <f>IFERROR(IF([1]对账明细接口!$U815=0,"",[1]对账明细接口!$U815),"")</f>
      </c>
      <c r="AA815" s="213">
        <f>IFERROR(IF([1]对账明细接口!$V815=0,"",[1]对账明细接口!$V815),"")</f>
      </c>
      <c r="AB815" s="20">
        <f>IFERROR(IF([1]对账明细接口!$W815=0,"",[1]对账明细接口!$W815),"")</f>
      </c>
      <c r="AC815" s="7">
        <f>IFERROR(IF([1]对账明细接口!$X815=0,"",[1]对账明细接口!$X815),"")</f>
      </c>
      <c r="AD815" s="7">
        <f>IFERROR(IF([1]对账明细接口!$Y815=0,"",[1]对账明细接口!$Y815),"")</f>
      </c>
      <c r="AE815" s="7">
        <f>IFERROR(IF([1]对账明细接口!$AA815=0,"",[1]对账明细接口!$AA815),"")</f>
      </c>
      <c r="AF815" s="7">
        <f>IFERROR(IF([1]对账明细接口!$AB815=0,"",[1]对账明细接口!$AB815),"")</f>
      </c>
      <c r="AG815" s="7">
        <f>IFERROR(IF([1]对账明细接口!$AC815=0,"",[1]对账明细接口!$AC815),"")</f>
      </c>
      <c r="AH815" s="7">
        <f>IFERROR(IF([1]对账明细接口!$AD815=0,"",[1]对账明细接口!$AD815),"")</f>
      </c>
      <c r="AI815" s="7">
        <f>IFERROR(IF([1]对账明细接口!$AE815=0,"",[1]对账明细接口!$AE815),"")</f>
      </c>
      <c r="AJ815" s="7">
        <f>IFERROR(IF([1]对账明细接口!$AF815=0,"",[1]对账明细接口!$AF815),"")</f>
      </c>
    </row>
    <row r="816" ht="14.25" customHeight="1" s="127">
      <c r="A816" s="14" t="n">
        <v>816</v>
      </c>
      <c r="B816" s="211">
        <f>IFERROR(IF([1]对账明细接口!$B$816=0,"",[1]对账明细接口!$B$816),"")</f>
      </c>
      <c r="C816" s="16">
        <f>IFERROR(IF([1]对账明细接口!$C$816=0,"",[1]对账明细接口!$C$816),"")</f>
      </c>
      <c r="D816" s="16">
        <f>IFERROR(IF([1]对账明细接口!$D$816=0,"",[1]对账明细接口!$D$816),"")</f>
      </c>
      <c r="E816" s="16">
        <f>IFERROR(IF([1]对账明细接口!$E$816=0,"",[1]对账明细接口!$E$816),"")</f>
      </c>
      <c r="F816" s="16">
        <f>IFERROR(IF([1]对账明细接口!$F$816=0,"",[1]对账明细接口!$F$816),"")</f>
      </c>
      <c r="G816" s="16">
        <f>IFERROR(IF([1]对账明细接口!$G$816=0,"",[1]对账明细接口!$G$816),"")</f>
      </c>
      <c r="H816" s="176">
        <f>IFERROR(IF([1]对账明细接口!$H$816=0,"",[1]对账明细接口!$H$816),"")</f>
      </c>
      <c r="I816" s="16">
        <f>IFERROR(IF([1]对账明细接口!$I$816=0,"",[1]对账明细接口!$I$816),"")</f>
      </c>
      <c r="J816" s="177">
        <f>IFERROR(IF([1]对账明细接口!$J$816=0,"",[1]对账明细接口!$J$816),"")</f>
      </c>
      <c r="K816" s="177">
        <f>IFERROR(IF([1]对账明细接口!$K$816=0,"",[1]对账明细接口!$K$816),"")</f>
      </c>
      <c r="L816" s="16">
        <f>IFERROR(IF([1]对账明细接口!$L$816=0,"",[1]对账明细接口!$L$816),"")</f>
      </c>
      <c r="M816" s="16">
        <f>IFERROR(IF([1]对账明细接口!$M$816=0,"",[1]对账明细接口!$M$816),"")</f>
      </c>
      <c r="N816" s="19">
        <f>IF($C816="",0,1)</f>
        <v>0</v>
      </c>
      <c r="O816" s="19">
        <f>N(O815)+$N816</f>
        <v>637</v>
      </c>
      <c r="S816" s="20">
        <f>IFERROR(IF([1]对账明细接口!$N816=0,"",[1]对账明细接口!$N816),"")</f>
      </c>
      <c r="T816" s="212">
        <f>IFERROR(IF([1]对账明细接口!$O816=0,"",[1]对账明细接口!$O816),"")</f>
      </c>
      <c r="U816" s="212">
        <f>IFERROR(IF([1]对账明细接口!$P816=0,"",[1]对账明细接口!$P816),"")</f>
      </c>
      <c r="V816" s="212">
        <f>IFERROR(IF([1]对账明细接口!$Q816=0,"",[1]对账明细接口!$Q816),"")</f>
      </c>
      <c r="W816" s="20">
        <f>IFERROR(IF([1]对账明细接口!$R816=0,"",[1]对账明细接口!$R816),"")</f>
      </c>
      <c r="X816" s="20">
        <f>IFERROR(IF([1]对账明细接口!$S816=0,"",[1]对账明细接口!$S816),"")</f>
      </c>
      <c r="Y816" s="20">
        <f>IFERROR(IF([1]对账明细接口!$T816=0,"",[1]对账明细接口!$T816),"")</f>
      </c>
      <c r="Z816" s="213">
        <f>IFERROR(IF([1]对账明细接口!$U816=0,"",[1]对账明细接口!$U816),"")</f>
      </c>
      <c r="AA816" s="213">
        <f>IFERROR(IF([1]对账明细接口!$V816=0,"",[1]对账明细接口!$V816),"")</f>
      </c>
      <c r="AB816" s="20">
        <f>IFERROR(IF([1]对账明细接口!$W816=0,"",[1]对账明细接口!$W816),"")</f>
      </c>
      <c r="AC816" s="7">
        <f>IFERROR(IF([1]对账明细接口!$X816=0,"",[1]对账明细接口!$X816),"")</f>
      </c>
      <c r="AD816" s="7">
        <f>IFERROR(IF([1]对账明细接口!$Y816=0,"",[1]对账明细接口!$Y816),"")</f>
      </c>
      <c r="AE816" s="7">
        <f>IFERROR(IF([1]对账明细接口!$AA816=0,"",[1]对账明细接口!$AA816),"")</f>
      </c>
      <c r="AF816" s="7">
        <f>IFERROR(IF([1]对账明细接口!$AB816=0,"",[1]对账明细接口!$AB816),"")</f>
      </c>
      <c r="AG816" s="7">
        <f>IFERROR(IF([1]对账明细接口!$AC816=0,"",[1]对账明细接口!$AC816),"")</f>
      </c>
      <c r="AH816" s="7">
        <f>IFERROR(IF([1]对账明细接口!$AD816=0,"",[1]对账明细接口!$AD816),"")</f>
      </c>
      <c r="AI816" s="7">
        <f>IFERROR(IF([1]对账明细接口!$AE816=0,"",[1]对账明细接口!$AE816),"")</f>
      </c>
      <c r="AJ816" s="7">
        <f>IFERROR(IF([1]对账明细接口!$AF816=0,"",[1]对账明细接口!$AF816),"")</f>
      </c>
    </row>
    <row r="817" ht="14.25" customHeight="1" s="127">
      <c r="A817" s="14" t="n">
        <v>817</v>
      </c>
      <c r="B817" s="211">
        <f>IFERROR(IF([1]对账明细接口!$B$817=0,"",[1]对账明细接口!$B$817),"")</f>
      </c>
      <c r="C817" s="16">
        <f>IFERROR(IF([1]对账明细接口!$C$817=0,"",[1]对账明细接口!$C$817),"")</f>
      </c>
      <c r="D817" s="16">
        <f>IFERROR(IF([1]对账明细接口!$D$817=0,"",[1]对账明细接口!$D$817),"")</f>
      </c>
      <c r="E817" s="16">
        <f>IFERROR(IF([1]对账明细接口!$E$817=0,"",[1]对账明细接口!$E$817),"")</f>
      </c>
      <c r="F817" s="16">
        <f>IFERROR(IF([1]对账明细接口!$F$817=0,"",[1]对账明细接口!$F$817),"")</f>
      </c>
      <c r="G817" s="16">
        <f>IFERROR(IF([1]对账明细接口!$G$817=0,"",[1]对账明细接口!$G$817),"")</f>
      </c>
      <c r="H817" s="176">
        <f>IFERROR(IF([1]对账明细接口!$H$817=0,"",[1]对账明细接口!$H$817),"")</f>
      </c>
      <c r="I817" s="16">
        <f>IFERROR(IF([1]对账明细接口!$I$817=0,"",[1]对账明细接口!$I$817),"")</f>
      </c>
      <c r="J817" s="177">
        <f>IFERROR(IF([1]对账明细接口!$J$817=0,"",[1]对账明细接口!$J$817),"")</f>
      </c>
      <c r="K817" s="177">
        <f>IFERROR(IF([1]对账明细接口!$K$817=0,"",[1]对账明细接口!$K$817),"")</f>
      </c>
      <c r="L817" s="16">
        <f>IFERROR(IF([1]对账明细接口!$L$817=0,"",[1]对账明细接口!$L$817),"")</f>
      </c>
      <c r="M817" s="16">
        <f>IFERROR(IF([1]对账明细接口!$M$817=0,"",[1]对账明细接口!$M$817),"")</f>
      </c>
      <c r="N817" s="19">
        <f>IF($C817="",0,1)</f>
        <v>0</v>
      </c>
      <c r="O817" s="19">
        <f>N(O816)+$N817</f>
        <v>637</v>
      </c>
      <c r="S817" s="20">
        <f>IFERROR(IF([1]对账明细接口!$N817=0,"",[1]对账明细接口!$N817),"")</f>
      </c>
      <c r="T817" s="212">
        <f>IFERROR(IF([1]对账明细接口!$O817=0,"",[1]对账明细接口!$O817),"")</f>
      </c>
      <c r="U817" s="212">
        <f>IFERROR(IF([1]对账明细接口!$P817=0,"",[1]对账明细接口!$P817),"")</f>
      </c>
      <c r="V817" s="212">
        <f>IFERROR(IF([1]对账明细接口!$Q817=0,"",[1]对账明细接口!$Q817),"")</f>
      </c>
      <c r="W817" s="20">
        <f>IFERROR(IF([1]对账明细接口!$R817=0,"",[1]对账明细接口!$R817),"")</f>
      </c>
      <c r="X817" s="20">
        <f>IFERROR(IF([1]对账明细接口!$S817=0,"",[1]对账明细接口!$S817),"")</f>
      </c>
      <c r="Y817" s="20">
        <f>IFERROR(IF([1]对账明细接口!$T817=0,"",[1]对账明细接口!$T817),"")</f>
      </c>
      <c r="Z817" s="213">
        <f>IFERROR(IF([1]对账明细接口!$U817=0,"",[1]对账明细接口!$U817),"")</f>
      </c>
      <c r="AA817" s="213">
        <f>IFERROR(IF([1]对账明细接口!$V817=0,"",[1]对账明细接口!$V817),"")</f>
      </c>
      <c r="AB817" s="20">
        <f>IFERROR(IF([1]对账明细接口!$W817=0,"",[1]对账明细接口!$W817),"")</f>
      </c>
      <c r="AC817" s="7">
        <f>IFERROR(IF([1]对账明细接口!$X817=0,"",[1]对账明细接口!$X817),"")</f>
      </c>
      <c r="AD817" s="7">
        <f>IFERROR(IF([1]对账明细接口!$Y817=0,"",[1]对账明细接口!$Y817),"")</f>
      </c>
      <c r="AE817" s="7">
        <f>IFERROR(IF([1]对账明细接口!$AA817=0,"",[1]对账明细接口!$AA817),"")</f>
      </c>
      <c r="AF817" s="7">
        <f>IFERROR(IF([1]对账明细接口!$AB817=0,"",[1]对账明细接口!$AB817),"")</f>
      </c>
      <c r="AG817" s="7">
        <f>IFERROR(IF([1]对账明细接口!$AC817=0,"",[1]对账明细接口!$AC817),"")</f>
      </c>
      <c r="AH817" s="7">
        <f>IFERROR(IF([1]对账明细接口!$AD817=0,"",[1]对账明细接口!$AD817),"")</f>
      </c>
      <c r="AI817" s="7">
        <f>IFERROR(IF([1]对账明细接口!$AE817=0,"",[1]对账明细接口!$AE817),"")</f>
      </c>
      <c r="AJ817" s="7">
        <f>IFERROR(IF([1]对账明细接口!$AF817=0,"",[1]对账明细接口!$AF817),"")</f>
      </c>
    </row>
    <row r="818" ht="14.25" customHeight="1" s="127">
      <c r="A818" s="14" t="n">
        <v>818</v>
      </c>
      <c r="B818" s="211">
        <f>IFERROR(IF([1]对账明细接口!$B$818=0,"",[1]对账明细接口!$B$818),"")</f>
      </c>
      <c r="C818" s="16">
        <f>IFERROR(IF([1]对账明细接口!$C$818=0,"",[1]对账明细接口!$C$818),"")</f>
      </c>
      <c r="D818" s="16">
        <f>IFERROR(IF([1]对账明细接口!$D$818=0,"",[1]对账明细接口!$D$818),"")</f>
      </c>
      <c r="E818" s="16">
        <f>IFERROR(IF([1]对账明细接口!$E$818=0,"",[1]对账明细接口!$E$818),"")</f>
      </c>
      <c r="F818" s="16">
        <f>IFERROR(IF([1]对账明细接口!$F$818=0,"",[1]对账明细接口!$F$818),"")</f>
      </c>
      <c r="G818" s="16">
        <f>IFERROR(IF([1]对账明细接口!$G$818=0,"",[1]对账明细接口!$G$818),"")</f>
      </c>
      <c r="H818" s="176">
        <f>IFERROR(IF([1]对账明细接口!$H$818=0,"",[1]对账明细接口!$H$818),"")</f>
      </c>
      <c r="I818" s="16">
        <f>IFERROR(IF([1]对账明细接口!$I$818=0,"",[1]对账明细接口!$I$818),"")</f>
      </c>
      <c r="J818" s="177">
        <f>IFERROR(IF([1]对账明细接口!$J$818=0,"",[1]对账明细接口!$J$818),"")</f>
      </c>
      <c r="K818" s="177">
        <f>IFERROR(IF([1]对账明细接口!$K$818=0,"",[1]对账明细接口!$K$818),"")</f>
      </c>
      <c r="L818" s="16">
        <f>IFERROR(IF([1]对账明细接口!$L$818=0,"",[1]对账明细接口!$L$818),"")</f>
      </c>
      <c r="M818" s="16">
        <f>IFERROR(IF([1]对账明细接口!$M$818=0,"",[1]对账明细接口!$M$818),"")</f>
      </c>
      <c r="N818" s="19">
        <f>IF($C818="",0,1)</f>
        <v>0</v>
      </c>
      <c r="O818" s="19">
        <f>N(O817)+$N818</f>
        <v>637</v>
      </c>
      <c r="S818" s="20">
        <f>IFERROR(IF([1]对账明细接口!$N818=0,"",[1]对账明细接口!$N818),"")</f>
      </c>
      <c r="T818" s="212">
        <f>IFERROR(IF([1]对账明细接口!$O818=0,"",[1]对账明细接口!$O818),"")</f>
      </c>
      <c r="U818" s="212">
        <f>IFERROR(IF([1]对账明细接口!$P818=0,"",[1]对账明细接口!$P818),"")</f>
      </c>
      <c r="V818" s="212">
        <f>IFERROR(IF([1]对账明细接口!$Q818=0,"",[1]对账明细接口!$Q818),"")</f>
      </c>
      <c r="W818" s="20">
        <f>IFERROR(IF([1]对账明细接口!$R818=0,"",[1]对账明细接口!$R818),"")</f>
      </c>
      <c r="X818" s="20">
        <f>IFERROR(IF([1]对账明细接口!$S818=0,"",[1]对账明细接口!$S818),"")</f>
      </c>
      <c r="Y818" s="20">
        <f>IFERROR(IF([1]对账明细接口!$T818=0,"",[1]对账明细接口!$T818),"")</f>
      </c>
      <c r="Z818" s="213">
        <f>IFERROR(IF([1]对账明细接口!$U818=0,"",[1]对账明细接口!$U818),"")</f>
      </c>
      <c r="AA818" s="213">
        <f>IFERROR(IF([1]对账明细接口!$V818=0,"",[1]对账明细接口!$V818),"")</f>
      </c>
      <c r="AB818" s="20">
        <f>IFERROR(IF([1]对账明细接口!$W818=0,"",[1]对账明细接口!$W818),"")</f>
      </c>
      <c r="AC818" s="7">
        <f>IFERROR(IF([1]对账明细接口!$X818=0,"",[1]对账明细接口!$X818),"")</f>
      </c>
      <c r="AD818" s="7">
        <f>IFERROR(IF([1]对账明细接口!$Y818=0,"",[1]对账明细接口!$Y818),"")</f>
      </c>
      <c r="AE818" s="7">
        <f>IFERROR(IF([1]对账明细接口!$AA818=0,"",[1]对账明细接口!$AA818),"")</f>
      </c>
      <c r="AF818" s="7">
        <f>IFERROR(IF([1]对账明细接口!$AB818=0,"",[1]对账明细接口!$AB818),"")</f>
      </c>
      <c r="AG818" s="7">
        <f>IFERROR(IF([1]对账明细接口!$AC818=0,"",[1]对账明细接口!$AC818),"")</f>
      </c>
      <c r="AH818" s="7">
        <f>IFERROR(IF([1]对账明细接口!$AD818=0,"",[1]对账明细接口!$AD818),"")</f>
      </c>
      <c r="AI818" s="7">
        <f>IFERROR(IF([1]对账明细接口!$AE818=0,"",[1]对账明细接口!$AE818),"")</f>
      </c>
      <c r="AJ818" s="7">
        <f>IFERROR(IF([1]对账明细接口!$AF818=0,"",[1]对账明细接口!$AF818),"")</f>
      </c>
    </row>
    <row r="819" ht="14.25" customHeight="1" s="127">
      <c r="A819" s="14" t="n">
        <v>819</v>
      </c>
      <c r="B819" s="211">
        <f>IFERROR(IF([1]对账明细接口!$B$819=0,"",[1]对账明细接口!$B$819),"")</f>
      </c>
      <c r="C819" s="16">
        <f>IFERROR(IF([1]对账明细接口!$C$819=0,"",[1]对账明细接口!$C$819),"")</f>
      </c>
      <c r="D819" s="16">
        <f>IFERROR(IF([1]对账明细接口!$D$819=0,"",[1]对账明细接口!$D$819),"")</f>
      </c>
      <c r="E819" s="16">
        <f>IFERROR(IF([1]对账明细接口!$E$819=0,"",[1]对账明细接口!$E$819),"")</f>
      </c>
      <c r="F819" s="16">
        <f>IFERROR(IF([1]对账明细接口!$F$819=0,"",[1]对账明细接口!$F$819),"")</f>
      </c>
      <c r="G819" s="16">
        <f>IFERROR(IF([1]对账明细接口!$G$819=0,"",[1]对账明细接口!$G$819),"")</f>
      </c>
      <c r="H819" s="176">
        <f>IFERROR(IF([1]对账明细接口!$H$819=0,"",[1]对账明细接口!$H$819),"")</f>
      </c>
      <c r="I819" s="16">
        <f>IFERROR(IF([1]对账明细接口!$I$819=0,"",[1]对账明细接口!$I$819),"")</f>
      </c>
      <c r="J819" s="177">
        <f>IFERROR(IF([1]对账明细接口!$J$819=0,"",[1]对账明细接口!$J$819),"")</f>
      </c>
      <c r="K819" s="177">
        <f>IFERROR(IF([1]对账明细接口!$K$819=0,"",[1]对账明细接口!$K$819),"")</f>
      </c>
      <c r="L819" s="16">
        <f>IFERROR(IF([1]对账明细接口!$L$819=0,"",[1]对账明细接口!$L$819),"")</f>
      </c>
      <c r="M819" s="16">
        <f>IFERROR(IF([1]对账明细接口!$M$819=0,"",[1]对账明细接口!$M$819),"")</f>
      </c>
      <c r="N819" s="19">
        <f>IF($C819="",0,1)</f>
        <v>0</v>
      </c>
      <c r="O819" s="19">
        <f>N(O818)+$N819</f>
        <v>637</v>
      </c>
      <c r="S819" s="20">
        <f>IFERROR(IF([1]对账明细接口!$N819=0,"",[1]对账明细接口!$N819),"")</f>
      </c>
      <c r="T819" s="212">
        <f>IFERROR(IF([1]对账明细接口!$O819=0,"",[1]对账明细接口!$O819),"")</f>
      </c>
      <c r="U819" s="212">
        <f>IFERROR(IF([1]对账明细接口!$P819=0,"",[1]对账明细接口!$P819),"")</f>
      </c>
      <c r="V819" s="212">
        <f>IFERROR(IF([1]对账明细接口!$Q819=0,"",[1]对账明细接口!$Q819),"")</f>
      </c>
      <c r="W819" s="20">
        <f>IFERROR(IF([1]对账明细接口!$R819=0,"",[1]对账明细接口!$R819),"")</f>
      </c>
      <c r="X819" s="20">
        <f>IFERROR(IF([1]对账明细接口!$S819=0,"",[1]对账明细接口!$S819),"")</f>
      </c>
      <c r="Y819" s="20">
        <f>IFERROR(IF([1]对账明细接口!$T819=0,"",[1]对账明细接口!$T819),"")</f>
      </c>
      <c r="Z819" s="213">
        <f>IFERROR(IF([1]对账明细接口!$U819=0,"",[1]对账明细接口!$U819),"")</f>
      </c>
      <c r="AA819" s="213">
        <f>IFERROR(IF([1]对账明细接口!$V819=0,"",[1]对账明细接口!$V819),"")</f>
      </c>
      <c r="AB819" s="20">
        <f>IFERROR(IF([1]对账明细接口!$W819=0,"",[1]对账明细接口!$W819),"")</f>
      </c>
      <c r="AC819" s="7">
        <f>IFERROR(IF([1]对账明细接口!$X819=0,"",[1]对账明细接口!$X819),"")</f>
      </c>
      <c r="AD819" s="7">
        <f>IFERROR(IF([1]对账明细接口!$Y819=0,"",[1]对账明细接口!$Y819),"")</f>
      </c>
      <c r="AE819" s="7">
        <f>IFERROR(IF([1]对账明细接口!$AA819=0,"",[1]对账明细接口!$AA819),"")</f>
      </c>
      <c r="AF819" s="7">
        <f>IFERROR(IF([1]对账明细接口!$AB819=0,"",[1]对账明细接口!$AB819),"")</f>
      </c>
      <c r="AG819" s="7">
        <f>IFERROR(IF([1]对账明细接口!$AC819=0,"",[1]对账明细接口!$AC819),"")</f>
      </c>
      <c r="AH819" s="7">
        <f>IFERROR(IF([1]对账明细接口!$AD819=0,"",[1]对账明细接口!$AD819),"")</f>
      </c>
      <c r="AI819" s="7">
        <f>IFERROR(IF([1]对账明细接口!$AE819=0,"",[1]对账明细接口!$AE819),"")</f>
      </c>
      <c r="AJ819" s="7">
        <f>IFERROR(IF([1]对账明细接口!$AF819=0,"",[1]对账明细接口!$AF819),"")</f>
      </c>
    </row>
    <row r="820" ht="14.25" customHeight="1" s="127">
      <c r="A820" s="14" t="n">
        <v>820</v>
      </c>
      <c r="B820" s="211">
        <f>IFERROR(IF([1]对账明细接口!$B$820=0,"",[1]对账明细接口!$B$820),"")</f>
      </c>
      <c r="C820" s="16">
        <f>IFERROR(IF([1]对账明细接口!$C$820=0,"",[1]对账明细接口!$C$820),"")</f>
      </c>
      <c r="D820" s="16">
        <f>IFERROR(IF([1]对账明细接口!$D$820=0,"",[1]对账明细接口!$D$820),"")</f>
      </c>
      <c r="E820" s="16">
        <f>IFERROR(IF([1]对账明细接口!$E$820=0,"",[1]对账明细接口!$E$820),"")</f>
      </c>
      <c r="F820" s="16">
        <f>IFERROR(IF([1]对账明细接口!$F$820=0,"",[1]对账明细接口!$F$820),"")</f>
      </c>
      <c r="G820" s="16">
        <f>IFERROR(IF([1]对账明细接口!$G$820=0,"",[1]对账明细接口!$G$820),"")</f>
      </c>
      <c r="H820" s="176">
        <f>IFERROR(IF([1]对账明细接口!$H$820=0,"",[1]对账明细接口!$H$820),"")</f>
      </c>
      <c r="I820" s="16">
        <f>IFERROR(IF([1]对账明细接口!$I$820=0,"",[1]对账明细接口!$I$820),"")</f>
      </c>
      <c r="J820" s="177">
        <f>IFERROR(IF([1]对账明细接口!$J$820=0,"",[1]对账明细接口!$J$820),"")</f>
      </c>
      <c r="K820" s="177">
        <f>IFERROR(IF([1]对账明细接口!$K$820=0,"",[1]对账明细接口!$K$820),"")</f>
      </c>
      <c r="L820" s="16">
        <f>IFERROR(IF([1]对账明细接口!$L$820=0,"",[1]对账明细接口!$L$820),"")</f>
      </c>
      <c r="M820" s="16">
        <f>IFERROR(IF([1]对账明细接口!$M$820=0,"",[1]对账明细接口!$M$820),"")</f>
      </c>
      <c r="N820" s="19">
        <f>IF($C820="",0,1)</f>
        <v>0</v>
      </c>
      <c r="O820" s="19">
        <f>N(O819)+$N820</f>
        <v>637</v>
      </c>
      <c r="S820" s="20">
        <f>IFERROR(IF([1]对账明细接口!$N820=0,"",[1]对账明细接口!$N820),"")</f>
      </c>
      <c r="T820" s="212">
        <f>IFERROR(IF([1]对账明细接口!$O820=0,"",[1]对账明细接口!$O820),"")</f>
      </c>
      <c r="U820" s="212">
        <f>IFERROR(IF([1]对账明细接口!$P820=0,"",[1]对账明细接口!$P820),"")</f>
      </c>
      <c r="V820" s="212">
        <f>IFERROR(IF([1]对账明细接口!$Q820=0,"",[1]对账明细接口!$Q820),"")</f>
      </c>
      <c r="W820" s="20">
        <f>IFERROR(IF([1]对账明细接口!$R820=0,"",[1]对账明细接口!$R820),"")</f>
      </c>
      <c r="X820" s="20">
        <f>IFERROR(IF([1]对账明细接口!$S820=0,"",[1]对账明细接口!$S820),"")</f>
      </c>
      <c r="Y820" s="20">
        <f>IFERROR(IF([1]对账明细接口!$T820=0,"",[1]对账明细接口!$T820),"")</f>
      </c>
      <c r="Z820" s="213">
        <f>IFERROR(IF([1]对账明细接口!$U820=0,"",[1]对账明细接口!$U820),"")</f>
      </c>
      <c r="AA820" s="213">
        <f>IFERROR(IF([1]对账明细接口!$V820=0,"",[1]对账明细接口!$V820),"")</f>
      </c>
      <c r="AB820" s="20">
        <f>IFERROR(IF([1]对账明细接口!$W820=0,"",[1]对账明细接口!$W820),"")</f>
      </c>
      <c r="AC820" s="7">
        <f>IFERROR(IF([1]对账明细接口!$X820=0,"",[1]对账明细接口!$X820),"")</f>
      </c>
      <c r="AD820" s="7">
        <f>IFERROR(IF([1]对账明细接口!$Y820=0,"",[1]对账明细接口!$Y820),"")</f>
      </c>
      <c r="AE820" s="7">
        <f>IFERROR(IF([1]对账明细接口!$AA820=0,"",[1]对账明细接口!$AA820),"")</f>
      </c>
      <c r="AF820" s="7">
        <f>IFERROR(IF([1]对账明细接口!$AB820=0,"",[1]对账明细接口!$AB820),"")</f>
      </c>
      <c r="AG820" s="7">
        <f>IFERROR(IF([1]对账明细接口!$AC820=0,"",[1]对账明细接口!$AC820),"")</f>
      </c>
      <c r="AH820" s="7">
        <f>IFERROR(IF([1]对账明细接口!$AD820=0,"",[1]对账明细接口!$AD820),"")</f>
      </c>
      <c r="AI820" s="7">
        <f>IFERROR(IF([1]对账明细接口!$AE820=0,"",[1]对账明细接口!$AE820),"")</f>
      </c>
      <c r="AJ820" s="7">
        <f>IFERROR(IF([1]对账明细接口!$AF820=0,"",[1]对账明细接口!$AF820),"")</f>
      </c>
    </row>
    <row r="821" ht="14.25" customHeight="1" s="127">
      <c r="A821" s="14" t="n">
        <v>821</v>
      </c>
      <c r="B821" s="211">
        <f>IFERROR(IF([1]对账明细接口!$B$821=0,"",[1]对账明细接口!$B$821),"")</f>
      </c>
      <c r="C821" s="16">
        <f>IFERROR(IF([1]对账明细接口!$C$821=0,"",[1]对账明细接口!$C$821),"")</f>
      </c>
      <c r="D821" s="16">
        <f>IFERROR(IF([1]对账明细接口!$D$821=0,"",[1]对账明细接口!$D$821),"")</f>
      </c>
      <c r="E821" s="16">
        <f>IFERROR(IF([1]对账明细接口!$E$821=0,"",[1]对账明细接口!$E$821),"")</f>
      </c>
      <c r="F821" s="16">
        <f>IFERROR(IF([1]对账明细接口!$F$821=0,"",[1]对账明细接口!$F$821),"")</f>
      </c>
      <c r="G821" s="16">
        <f>IFERROR(IF([1]对账明细接口!$G$821=0,"",[1]对账明细接口!$G$821),"")</f>
      </c>
      <c r="H821" s="176">
        <f>IFERROR(IF([1]对账明细接口!$H$821=0,"",[1]对账明细接口!$H$821),"")</f>
      </c>
      <c r="I821" s="16">
        <f>IFERROR(IF([1]对账明细接口!$I$821=0,"",[1]对账明细接口!$I$821),"")</f>
      </c>
      <c r="J821" s="177">
        <f>IFERROR(IF([1]对账明细接口!$J$821=0,"",[1]对账明细接口!$J$821),"")</f>
      </c>
      <c r="K821" s="177">
        <f>IFERROR(IF([1]对账明细接口!$K$821=0,"",[1]对账明细接口!$K$821),"")</f>
      </c>
      <c r="L821" s="16">
        <f>IFERROR(IF([1]对账明细接口!$L$821=0,"",[1]对账明细接口!$L$821),"")</f>
      </c>
      <c r="M821" s="16">
        <f>IFERROR(IF([1]对账明细接口!$M$821=0,"",[1]对账明细接口!$M$821),"")</f>
      </c>
      <c r="N821" s="19">
        <f>IF($C821="",0,1)</f>
        <v>0</v>
      </c>
      <c r="O821" s="19">
        <f>N(O820)+$N821</f>
        <v>637</v>
      </c>
      <c r="S821" s="20">
        <f>IFERROR(IF([1]对账明细接口!$N821=0,"",[1]对账明细接口!$N821),"")</f>
      </c>
      <c r="T821" s="212">
        <f>IFERROR(IF([1]对账明细接口!$O821=0,"",[1]对账明细接口!$O821),"")</f>
      </c>
      <c r="U821" s="212">
        <f>IFERROR(IF([1]对账明细接口!$P821=0,"",[1]对账明细接口!$P821),"")</f>
      </c>
      <c r="V821" s="212">
        <f>IFERROR(IF([1]对账明细接口!$Q821=0,"",[1]对账明细接口!$Q821),"")</f>
      </c>
      <c r="W821" s="20">
        <f>IFERROR(IF([1]对账明细接口!$R821=0,"",[1]对账明细接口!$R821),"")</f>
      </c>
      <c r="X821" s="20">
        <f>IFERROR(IF([1]对账明细接口!$S821=0,"",[1]对账明细接口!$S821),"")</f>
      </c>
      <c r="Y821" s="20">
        <f>IFERROR(IF([1]对账明细接口!$T821=0,"",[1]对账明细接口!$T821),"")</f>
      </c>
      <c r="Z821" s="213">
        <f>IFERROR(IF([1]对账明细接口!$U821=0,"",[1]对账明细接口!$U821),"")</f>
      </c>
      <c r="AA821" s="213">
        <f>IFERROR(IF([1]对账明细接口!$V821=0,"",[1]对账明细接口!$V821),"")</f>
      </c>
      <c r="AB821" s="20">
        <f>IFERROR(IF([1]对账明细接口!$W821=0,"",[1]对账明细接口!$W821),"")</f>
      </c>
      <c r="AC821" s="7">
        <f>IFERROR(IF([1]对账明细接口!$X821=0,"",[1]对账明细接口!$X821),"")</f>
      </c>
      <c r="AD821" s="7">
        <f>IFERROR(IF([1]对账明细接口!$Y821=0,"",[1]对账明细接口!$Y821),"")</f>
      </c>
      <c r="AE821" s="7">
        <f>IFERROR(IF([1]对账明细接口!$AA821=0,"",[1]对账明细接口!$AA821),"")</f>
      </c>
      <c r="AF821" s="7">
        <f>IFERROR(IF([1]对账明细接口!$AB821=0,"",[1]对账明细接口!$AB821),"")</f>
      </c>
      <c r="AG821" s="7">
        <f>IFERROR(IF([1]对账明细接口!$AC821=0,"",[1]对账明细接口!$AC821),"")</f>
      </c>
      <c r="AH821" s="7">
        <f>IFERROR(IF([1]对账明细接口!$AD821=0,"",[1]对账明细接口!$AD821),"")</f>
      </c>
      <c r="AI821" s="7">
        <f>IFERROR(IF([1]对账明细接口!$AE821=0,"",[1]对账明细接口!$AE821),"")</f>
      </c>
      <c r="AJ821" s="7">
        <f>IFERROR(IF([1]对账明细接口!$AF821=0,"",[1]对账明细接口!$AF821),"")</f>
      </c>
    </row>
    <row r="822" ht="14.25" customHeight="1" s="127">
      <c r="A822" s="14" t="n">
        <v>822</v>
      </c>
      <c r="B822" s="211">
        <f>IFERROR(IF([1]对账明细接口!$B$822=0,"",[1]对账明细接口!$B$822),"")</f>
      </c>
      <c r="C822" s="16">
        <f>IFERROR(IF([1]对账明细接口!$C$822=0,"",[1]对账明细接口!$C$822),"")</f>
      </c>
      <c r="D822" s="16">
        <f>IFERROR(IF([1]对账明细接口!$D$822=0,"",[1]对账明细接口!$D$822),"")</f>
      </c>
      <c r="E822" s="16">
        <f>IFERROR(IF([1]对账明细接口!$E$822=0,"",[1]对账明细接口!$E$822),"")</f>
      </c>
      <c r="F822" s="16">
        <f>IFERROR(IF([1]对账明细接口!$F$822=0,"",[1]对账明细接口!$F$822),"")</f>
      </c>
      <c r="G822" s="16">
        <f>IFERROR(IF([1]对账明细接口!$G$822=0,"",[1]对账明细接口!$G$822),"")</f>
      </c>
      <c r="H822" s="176">
        <f>IFERROR(IF([1]对账明细接口!$H$822=0,"",[1]对账明细接口!$H$822),"")</f>
      </c>
      <c r="I822" s="16">
        <f>IFERROR(IF([1]对账明细接口!$I$822=0,"",[1]对账明细接口!$I$822),"")</f>
      </c>
      <c r="J822" s="177">
        <f>IFERROR(IF([1]对账明细接口!$J$822=0,"",[1]对账明细接口!$J$822),"")</f>
      </c>
      <c r="K822" s="177">
        <f>IFERROR(IF([1]对账明细接口!$K$822=0,"",[1]对账明细接口!$K$822),"")</f>
      </c>
      <c r="L822" s="16">
        <f>IFERROR(IF([1]对账明细接口!$L$822=0,"",[1]对账明细接口!$L$822),"")</f>
      </c>
      <c r="M822" s="16">
        <f>IFERROR(IF([1]对账明细接口!$M$822=0,"",[1]对账明细接口!$M$822),"")</f>
      </c>
      <c r="N822" s="19">
        <f>IF($C822="",0,1)</f>
        <v>0</v>
      </c>
      <c r="O822" s="19">
        <f>N(O821)+$N822</f>
        <v>637</v>
      </c>
      <c r="S822" s="20">
        <f>IFERROR(IF([1]对账明细接口!$N822=0,"",[1]对账明细接口!$N822),"")</f>
      </c>
      <c r="T822" s="212">
        <f>IFERROR(IF([1]对账明细接口!$O822=0,"",[1]对账明细接口!$O822),"")</f>
      </c>
      <c r="U822" s="212">
        <f>IFERROR(IF([1]对账明细接口!$P822=0,"",[1]对账明细接口!$P822),"")</f>
      </c>
      <c r="V822" s="212">
        <f>IFERROR(IF([1]对账明细接口!$Q822=0,"",[1]对账明细接口!$Q822),"")</f>
      </c>
      <c r="W822" s="20">
        <f>IFERROR(IF([1]对账明细接口!$R822=0,"",[1]对账明细接口!$R822),"")</f>
      </c>
      <c r="X822" s="20">
        <f>IFERROR(IF([1]对账明细接口!$S822=0,"",[1]对账明细接口!$S822),"")</f>
      </c>
      <c r="Y822" s="20">
        <f>IFERROR(IF([1]对账明细接口!$T822=0,"",[1]对账明细接口!$T822),"")</f>
      </c>
      <c r="Z822" s="213">
        <f>IFERROR(IF([1]对账明细接口!$U822=0,"",[1]对账明细接口!$U822),"")</f>
      </c>
      <c r="AA822" s="213">
        <f>IFERROR(IF([1]对账明细接口!$V822=0,"",[1]对账明细接口!$V822),"")</f>
      </c>
      <c r="AB822" s="20">
        <f>IFERROR(IF([1]对账明细接口!$W822=0,"",[1]对账明细接口!$W822),"")</f>
      </c>
      <c r="AC822" s="7">
        <f>IFERROR(IF([1]对账明细接口!$X822=0,"",[1]对账明细接口!$X822),"")</f>
      </c>
      <c r="AD822" s="7">
        <f>IFERROR(IF([1]对账明细接口!$Y822=0,"",[1]对账明细接口!$Y822),"")</f>
      </c>
      <c r="AE822" s="7">
        <f>IFERROR(IF([1]对账明细接口!$AA822=0,"",[1]对账明细接口!$AA822),"")</f>
      </c>
      <c r="AF822" s="7">
        <f>IFERROR(IF([1]对账明细接口!$AB822=0,"",[1]对账明细接口!$AB822),"")</f>
      </c>
      <c r="AG822" s="7">
        <f>IFERROR(IF([1]对账明细接口!$AC822=0,"",[1]对账明细接口!$AC822),"")</f>
      </c>
      <c r="AH822" s="7">
        <f>IFERROR(IF([1]对账明细接口!$AD822=0,"",[1]对账明细接口!$AD822),"")</f>
      </c>
      <c r="AI822" s="7">
        <f>IFERROR(IF([1]对账明细接口!$AE822=0,"",[1]对账明细接口!$AE822),"")</f>
      </c>
      <c r="AJ822" s="7">
        <f>IFERROR(IF([1]对账明细接口!$AF822=0,"",[1]对账明细接口!$AF822),"")</f>
      </c>
    </row>
    <row r="823" ht="14.25" customHeight="1" s="127">
      <c r="A823" s="14" t="n">
        <v>823</v>
      </c>
      <c r="B823" s="211">
        <f>IFERROR(IF([1]对账明细接口!$B$823=0,"",[1]对账明细接口!$B$823),"")</f>
      </c>
      <c r="C823" s="16">
        <f>IFERROR(IF([1]对账明细接口!$C$823=0,"",[1]对账明细接口!$C$823),"")</f>
      </c>
      <c r="D823" s="16">
        <f>IFERROR(IF([1]对账明细接口!$D$823=0,"",[1]对账明细接口!$D$823),"")</f>
      </c>
      <c r="E823" s="16">
        <f>IFERROR(IF([1]对账明细接口!$E$823=0,"",[1]对账明细接口!$E$823),"")</f>
      </c>
      <c r="F823" s="16">
        <f>IFERROR(IF([1]对账明细接口!$F$823=0,"",[1]对账明细接口!$F$823),"")</f>
      </c>
      <c r="G823" s="16">
        <f>IFERROR(IF([1]对账明细接口!$G$823=0,"",[1]对账明细接口!$G$823),"")</f>
      </c>
      <c r="H823" s="176">
        <f>IFERROR(IF([1]对账明细接口!$H$823=0,"",[1]对账明细接口!$H$823),"")</f>
      </c>
      <c r="I823" s="16">
        <f>IFERROR(IF([1]对账明细接口!$I$823=0,"",[1]对账明细接口!$I$823),"")</f>
      </c>
      <c r="J823" s="177">
        <f>IFERROR(IF([1]对账明细接口!$J$823=0,"",[1]对账明细接口!$J$823),"")</f>
      </c>
      <c r="K823" s="177">
        <f>IFERROR(IF([1]对账明细接口!$K$823=0,"",[1]对账明细接口!$K$823),"")</f>
      </c>
      <c r="L823" s="16">
        <f>IFERROR(IF([1]对账明细接口!$L$823=0,"",[1]对账明细接口!$L$823),"")</f>
      </c>
      <c r="M823" s="16">
        <f>IFERROR(IF([1]对账明细接口!$M$823=0,"",[1]对账明细接口!$M$823),"")</f>
      </c>
      <c r="N823" s="19">
        <f>IF($C823="",0,1)</f>
        <v>0</v>
      </c>
      <c r="O823" s="19">
        <f>N(O822)+$N823</f>
        <v>637</v>
      </c>
      <c r="S823" s="20">
        <f>IFERROR(IF([1]对账明细接口!$N823=0,"",[1]对账明细接口!$N823),"")</f>
      </c>
      <c r="T823" s="212">
        <f>IFERROR(IF([1]对账明细接口!$O823=0,"",[1]对账明细接口!$O823),"")</f>
      </c>
      <c r="U823" s="212">
        <f>IFERROR(IF([1]对账明细接口!$P823=0,"",[1]对账明细接口!$P823),"")</f>
      </c>
      <c r="V823" s="212">
        <f>IFERROR(IF([1]对账明细接口!$Q823=0,"",[1]对账明细接口!$Q823),"")</f>
      </c>
      <c r="W823" s="20">
        <f>IFERROR(IF([1]对账明细接口!$R823=0,"",[1]对账明细接口!$R823),"")</f>
      </c>
      <c r="X823" s="20">
        <f>IFERROR(IF([1]对账明细接口!$S823=0,"",[1]对账明细接口!$S823),"")</f>
      </c>
      <c r="Y823" s="20">
        <f>IFERROR(IF([1]对账明细接口!$T823=0,"",[1]对账明细接口!$T823),"")</f>
      </c>
      <c r="Z823" s="213">
        <f>IFERROR(IF([1]对账明细接口!$U823=0,"",[1]对账明细接口!$U823),"")</f>
      </c>
      <c r="AA823" s="213">
        <f>IFERROR(IF([1]对账明细接口!$V823=0,"",[1]对账明细接口!$V823),"")</f>
      </c>
      <c r="AB823" s="20">
        <f>IFERROR(IF([1]对账明细接口!$W823=0,"",[1]对账明细接口!$W823),"")</f>
      </c>
      <c r="AC823" s="7">
        <f>IFERROR(IF([1]对账明细接口!$X823=0,"",[1]对账明细接口!$X823),"")</f>
      </c>
      <c r="AD823" s="7">
        <f>IFERROR(IF([1]对账明细接口!$Y823=0,"",[1]对账明细接口!$Y823),"")</f>
      </c>
      <c r="AE823" s="7">
        <f>IFERROR(IF([1]对账明细接口!$AA823=0,"",[1]对账明细接口!$AA823),"")</f>
      </c>
      <c r="AF823" s="7">
        <f>IFERROR(IF([1]对账明细接口!$AB823=0,"",[1]对账明细接口!$AB823),"")</f>
      </c>
      <c r="AG823" s="7">
        <f>IFERROR(IF([1]对账明细接口!$AC823=0,"",[1]对账明细接口!$AC823),"")</f>
      </c>
      <c r="AH823" s="7">
        <f>IFERROR(IF([1]对账明细接口!$AD823=0,"",[1]对账明细接口!$AD823),"")</f>
      </c>
      <c r="AI823" s="7">
        <f>IFERROR(IF([1]对账明细接口!$AE823=0,"",[1]对账明细接口!$AE823),"")</f>
      </c>
      <c r="AJ823" s="7">
        <f>IFERROR(IF([1]对账明细接口!$AF823=0,"",[1]对账明细接口!$AF823),"")</f>
      </c>
    </row>
    <row r="824" ht="14.25" customHeight="1" s="127">
      <c r="A824" s="14" t="n">
        <v>824</v>
      </c>
      <c r="B824" s="211">
        <f>IFERROR(IF([1]对账明细接口!$B$824=0,"",[1]对账明细接口!$B$824),"")</f>
      </c>
      <c r="C824" s="16">
        <f>IFERROR(IF([1]对账明细接口!$C$824=0,"",[1]对账明细接口!$C$824),"")</f>
      </c>
      <c r="D824" s="16">
        <f>IFERROR(IF([1]对账明细接口!$D$824=0,"",[1]对账明细接口!$D$824),"")</f>
      </c>
      <c r="E824" s="16">
        <f>IFERROR(IF([1]对账明细接口!$E$824=0,"",[1]对账明细接口!$E$824),"")</f>
      </c>
      <c r="F824" s="16">
        <f>IFERROR(IF([1]对账明细接口!$F$824=0,"",[1]对账明细接口!$F$824),"")</f>
      </c>
      <c r="G824" s="16">
        <f>IFERROR(IF([1]对账明细接口!$G$824=0,"",[1]对账明细接口!$G$824),"")</f>
      </c>
      <c r="H824" s="176">
        <f>IFERROR(IF([1]对账明细接口!$H$824=0,"",[1]对账明细接口!$H$824),"")</f>
      </c>
      <c r="I824" s="16">
        <f>IFERROR(IF([1]对账明细接口!$I$824=0,"",[1]对账明细接口!$I$824),"")</f>
      </c>
      <c r="J824" s="177">
        <f>IFERROR(IF([1]对账明细接口!$J$824=0,"",[1]对账明细接口!$J$824),"")</f>
      </c>
      <c r="K824" s="177">
        <f>IFERROR(IF([1]对账明细接口!$K$824=0,"",[1]对账明细接口!$K$824),"")</f>
      </c>
      <c r="L824" s="16">
        <f>IFERROR(IF([1]对账明细接口!$L$824=0,"",[1]对账明细接口!$L$824),"")</f>
      </c>
      <c r="M824" s="16">
        <f>IFERROR(IF([1]对账明细接口!$M$824=0,"",[1]对账明细接口!$M$824),"")</f>
      </c>
      <c r="N824" s="19">
        <f>IF($C824="",0,1)</f>
        <v>0</v>
      </c>
      <c r="O824" s="19">
        <f>N(O823)+$N824</f>
        <v>637</v>
      </c>
      <c r="S824" s="20">
        <f>IFERROR(IF([1]对账明细接口!$N824=0,"",[1]对账明细接口!$N824),"")</f>
      </c>
      <c r="T824" s="212">
        <f>IFERROR(IF([1]对账明细接口!$O824=0,"",[1]对账明细接口!$O824),"")</f>
      </c>
      <c r="U824" s="212">
        <f>IFERROR(IF([1]对账明细接口!$P824=0,"",[1]对账明细接口!$P824),"")</f>
      </c>
      <c r="V824" s="212">
        <f>IFERROR(IF([1]对账明细接口!$Q824=0,"",[1]对账明细接口!$Q824),"")</f>
      </c>
      <c r="W824" s="20">
        <f>IFERROR(IF([1]对账明细接口!$R824=0,"",[1]对账明细接口!$R824),"")</f>
      </c>
      <c r="X824" s="20">
        <f>IFERROR(IF([1]对账明细接口!$S824=0,"",[1]对账明细接口!$S824),"")</f>
      </c>
      <c r="Y824" s="20">
        <f>IFERROR(IF([1]对账明细接口!$T824=0,"",[1]对账明细接口!$T824),"")</f>
      </c>
      <c r="Z824" s="213">
        <f>IFERROR(IF([1]对账明细接口!$U824=0,"",[1]对账明细接口!$U824),"")</f>
      </c>
      <c r="AA824" s="213">
        <f>IFERROR(IF([1]对账明细接口!$V824=0,"",[1]对账明细接口!$V824),"")</f>
      </c>
      <c r="AB824" s="20">
        <f>IFERROR(IF([1]对账明细接口!$W824=0,"",[1]对账明细接口!$W824),"")</f>
      </c>
      <c r="AC824" s="7">
        <f>IFERROR(IF([1]对账明细接口!$X824=0,"",[1]对账明细接口!$X824),"")</f>
      </c>
      <c r="AD824" s="7">
        <f>IFERROR(IF([1]对账明细接口!$Y824=0,"",[1]对账明细接口!$Y824),"")</f>
      </c>
      <c r="AE824" s="7">
        <f>IFERROR(IF([1]对账明细接口!$AA824=0,"",[1]对账明细接口!$AA824),"")</f>
      </c>
      <c r="AF824" s="7">
        <f>IFERROR(IF([1]对账明细接口!$AB824=0,"",[1]对账明细接口!$AB824),"")</f>
      </c>
      <c r="AG824" s="7">
        <f>IFERROR(IF([1]对账明细接口!$AC824=0,"",[1]对账明细接口!$AC824),"")</f>
      </c>
      <c r="AH824" s="7">
        <f>IFERROR(IF([1]对账明细接口!$AD824=0,"",[1]对账明细接口!$AD824),"")</f>
      </c>
      <c r="AI824" s="7">
        <f>IFERROR(IF([1]对账明细接口!$AE824=0,"",[1]对账明细接口!$AE824),"")</f>
      </c>
      <c r="AJ824" s="7">
        <f>IFERROR(IF([1]对账明细接口!$AF824=0,"",[1]对账明细接口!$AF824),"")</f>
      </c>
    </row>
    <row r="825" ht="14.25" customHeight="1" s="127">
      <c r="A825" s="14" t="n">
        <v>825</v>
      </c>
      <c r="B825" s="211">
        <f>IFERROR(IF([1]对账明细接口!$B$825=0,"",[1]对账明细接口!$B$825),"")</f>
      </c>
      <c r="C825" s="16">
        <f>IFERROR(IF([1]对账明细接口!$C$825=0,"",[1]对账明细接口!$C$825),"")</f>
      </c>
      <c r="D825" s="16">
        <f>IFERROR(IF([1]对账明细接口!$D$825=0,"",[1]对账明细接口!$D$825),"")</f>
      </c>
      <c r="E825" s="16">
        <f>IFERROR(IF([1]对账明细接口!$E$825=0,"",[1]对账明细接口!$E$825),"")</f>
      </c>
      <c r="F825" s="16">
        <f>IFERROR(IF([1]对账明细接口!$F$825=0,"",[1]对账明细接口!$F$825),"")</f>
      </c>
      <c r="G825" s="16">
        <f>IFERROR(IF([1]对账明细接口!$G$825=0,"",[1]对账明细接口!$G$825),"")</f>
      </c>
      <c r="H825" s="176">
        <f>IFERROR(IF([1]对账明细接口!$H$825=0,"",[1]对账明细接口!$H$825),"")</f>
      </c>
      <c r="I825" s="16">
        <f>IFERROR(IF([1]对账明细接口!$I$825=0,"",[1]对账明细接口!$I$825),"")</f>
      </c>
      <c r="J825" s="177">
        <f>IFERROR(IF([1]对账明细接口!$J$825=0,"",[1]对账明细接口!$J$825),"")</f>
      </c>
      <c r="K825" s="177">
        <f>IFERROR(IF([1]对账明细接口!$K$825=0,"",[1]对账明细接口!$K$825),"")</f>
      </c>
      <c r="L825" s="16">
        <f>IFERROR(IF([1]对账明细接口!$L$825=0,"",[1]对账明细接口!$L$825),"")</f>
      </c>
      <c r="M825" s="16">
        <f>IFERROR(IF([1]对账明细接口!$M$825=0,"",[1]对账明细接口!$M$825),"")</f>
      </c>
      <c r="N825" s="19">
        <f>IF($C825="",0,1)</f>
        <v>0</v>
      </c>
      <c r="O825" s="19">
        <f>N(O824)+$N825</f>
        <v>637</v>
      </c>
      <c r="S825" s="20">
        <f>IFERROR(IF([1]对账明细接口!$N825=0,"",[1]对账明细接口!$N825),"")</f>
      </c>
      <c r="T825" s="212">
        <f>IFERROR(IF([1]对账明细接口!$O825=0,"",[1]对账明细接口!$O825),"")</f>
      </c>
      <c r="U825" s="212">
        <f>IFERROR(IF([1]对账明细接口!$P825=0,"",[1]对账明细接口!$P825),"")</f>
      </c>
      <c r="V825" s="212">
        <f>IFERROR(IF([1]对账明细接口!$Q825=0,"",[1]对账明细接口!$Q825),"")</f>
      </c>
      <c r="W825" s="20">
        <f>IFERROR(IF([1]对账明细接口!$R825=0,"",[1]对账明细接口!$R825),"")</f>
      </c>
      <c r="X825" s="20">
        <f>IFERROR(IF([1]对账明细接口!$S825=0,"",[1]对账明细接口!$S825),"")</f>
      </c>
      <c r="Y825" s="20">
        <f>IFERROR(IF([1]对账明细接口!$T825=0,"",[1]对账明细接口!$T825),"")</f>
      </c>
      <c r="Z825" s="213">
        <f>IFERROR(IF([1]对账明细接口!$U825=0,"",[1]对账明细接口!$U825),"")</f>
      </c>
      <c r="AA825" s="213">
        <f>IFERROR(IF([1]对账明细接口!$V825=0,"",[1]对账明细接口!$V825),"")</f>
      </c>
      <c r="AB825" s="20">
        <f>IFERROR(IF([1]对账明细接口!$W825=0,"",[1]对账明细接口!$W825),"")</f>
      </c>
      <c r="AC825" s="7">
        <f>IFERROR(IF([1]对账明细接口!$X825=0,"",[1]对账明细接口!$X825),"")</f>
      </c>
      <c r="AD825" s="7">
        <f>IFERROR(IF([1]对账明细接口!$Y825=0,"",[1]对账明细接口!$Y825),"")</f>
      </c>
      <c r="AE825" s="7">
        <f>IFERROR(IF([1]对账明细接口!$AA825=0,"",[1]对账明细接口!$AA825),"")</f>
      </c>
      <c r="AF825" s="7">
        <f>IFERROR(IF([1]对账明细接口!$AB825=0,"",[1]对账明细接口!$AB825),"")</f>
      </c>
      <c r="AG825" s="7">
        <f>IFERROR(IF([1]对账明细接口!$AC825=0,"",[1]对账明细接口!$AC825),"")</f>
      </c>
      <c r="AH825" s="7">
        <f>IFERROR(IF([1]对账明细接口!$AD825=0,"",[1]对账明细接口!$AD825),"")</f>
      </c>
      <c r="AI825" s="7">
        <f>IFERROR(IF([1]对账明细接口!$AE825=0,"",[1]对账明细接口!$AE825),"")</f>
      </c>
      <c r="AJ825" s="7">
        <f>IFERROR(IF([1]对账明细接口!$AF825=0,"",[1]对账明细接口!$AF825),"")</f>
      </c>
    </row>
    <row r="826" ht="14.25" customHeight="1" s="127">
      <c r="A826" s="14" t="n">
        <v>826</v>
      </c>
      <c r="B826" s="211">
        <f>IFERROR(IF([1]对账明细接口!$B$826=0,"",[1]对账明细接口!$B$826),"")</f>
      </c>
      <c r="C826" s="16">
        <f>IFERROR(IF([1]对账明细接口!$C$826=0,"",[1]对账明细接口!$C$826),"")</f>
      </c>
      <c r="D826" s="16">
        <f>IFERROR(IF([1]对账明细接口!$D$826=0,"",[1]对账明细接口!$D$826),"")</f>
      </c>
      <c r="E826" s="16">
        <f>IFERROR(IF([1]对账明细接口!$E$826=0,"",[1]对账明细接口!$E$826),"")</f>
      </c>
      <c r="F826" s="16">
        <f>IFERROR(IF([1]对账明细接口!$F$826=0,"",[1]对账明细接口!$F$826),"")</f>
      </c>
      <c r="G826" s="16">
        <f>IFERROR(IF([1]对账明细接口!$G$826=0,"",[1]对账明细接口!$G$826),"")</f>
      </c>
      <c r="H826" s="176">
        <f>IFERROR(IF([1]对账明细接口!$H$826=0,"",[1]对账明细接口!$H$826),"")</f>
      </c>
      <c r="I826" s="16">
        <f>IFERROR(IF([1]对账明细接口!$I$826=0,"",[1]对账明细接口!$I$826),"")</f>
      </c>
      <c r="J826" s="177">
        <f>IFERROR(IF([1]对账明细接口!$J$826=0,"",[1]对账明细接口!$J$826),"")</f>
      </c>
      <c r="K826" s="177">
        <f>IFERROR(IF([1]对账明细接口!$K$826=0,"",[1]对账明细接口!$K$826),"")</f>
      </c>
      <c r="L826" s="16">
        <f>IFERROR(IF([1]对账明细接口!$L$826=0,"",[1]对账明细接口!$L$826),"")</f>
      </c>
      <c r="M826" s="16">
        <f>IFERROR(IF([1]对账明细接口!$M$826=0,"",[1]对账明细接口!$M$826),"")</f>
      </c>
      <c r="N826" s="19">
        <f>IF($C826="",0,1)</f>
        <v>0</v>
      </c>
      <c r="O826" s="19">
        <f>N(O825)+$N826</f>
        <v>637</v>
      </c>
      <c r="S826" s="20">
        <f>IFERROR(IF([1]对账明细接口!$N826=0,"",[1]对账明细接口!$N826),"")</f>
      </c>
      <c r="T826" s="212">
        <f>IFERROR(IF([1]对账明细接口!$O826=0,"",[1]对账明细接口!$O826),"")</f>
      </c>
      <c r="U826" s="212">
        <f>IFERROR(IF([1]对账明细接口!$P826=0,"",[1]对账明细接口!$P826),"")</f>
      </c>
      <c r="V826" s="212">
        <f>IFERROR(IF([1]对账明细接口!$Q826=0,"",[1]对账明细接口!$Q826),"")</f>
      </c>
      <c r="W826" s="20">
        <f>IFERROR(IF([1]对账明细接口!$R826=0,"",[1]对账明细接口!$R826),"")</f>
      </c>
      <c r="X826" s="20">
        <f>IFERROR(IF([1]对账明细接口!$S826=0,"",[1]对账明细接口!$S826),"")</f>
      </c>
      <c r="Y826" s="20">
        <f>IFERROR(IF([1]对账明细接口!$T826=0,"",[1]对账明细接口!$T826),"")</f>
      </c>
      <c r="Z826" s="213">
        <f>IFERROR(IF([1]对账明细接口!$U826=0,"",[1]对账明细接口!$U826),"")</f>
      </c>
      <c r="AA826" s="213">
        <f>IFERROR(IF([1]对账明细接口!$V826=0,"",[1]对账明细接口!$V826),"")</f>
      </c>
      <c r="AB826" s="20">
        <f>IFERROR(IF([1]对账明细接口!$W826=0,"",[1]对账明细接口!$W826),"")</f>
      </c>
      <c r="AC826" s="7">
        <f>IFERROR(IF([1]对账明细接口!$X826=0,"",[1]对账明细接口!$X826),"")</f>
      </c>
      <c r="AD826" s="7">
        <f>IFERROR(IF([1]对账明细接口!$Y826=0,"",[1]对账明细接口!$Y826),"")</f>
      </c>
      <c r="AE826" s="7">
        <f>IFERROR(IF([1]对账明细接口!$AA826=0,"",[1]对账明细接口!$AA826),"")</f>
      </c>
      <c r="AF826" s="7">
        <f>IFERROR(IF([1]对账明细接口!$AB826=0,"",[1]对账明细接口!$AB826),"")</f>
      </c>
      <c r="AG826" s="7">
        <f>IFERROR(IF([1]对账明细接口!$AC826=0,"",[1]对账明细接口!$AC826),"")</f>
      </c>
      <c r="AH826" s="7">
        <f>IFERROR(IF([1]对账明细接口!$AD826=0,"",[1]对账明细接口!$AD826),"")</f>
      </c>
      <c r="AI826" s="7">
        <f>IFERROR(IF([1]对账明细接口!$AE826=0,"",[1]对账明细接口!$AE826),"")</f>
      </c>
      <c r="AJ826" s="7">
        <f>IFERROR(IF([1]对账明细接口!$AF826=0,"",[1]对账明细接口!$AF826),"")</f>
      </c>
    </row>
    <row r="827" ht="14.25" customHeight="1" s="127">
      <c r="A827" s="14" t="n">
        <v>827</v>
      </c>
      <c r="B827" s="211">
        <f>IFERROR(IF([1]对账明细接口!$B$827=0,"",[1]对账明细接口!$B$827),"")</f>
      </c>
      <c r="C827" s="16">
        <f>IFERROR(IF([1]对账明细接口!$C$827=0,"",[1]对账明细接口!$C$827),"")</f>
      </c>
      <c r="D827" s="16">
        <f>IFERROR(IF([1]对账明细接口!$D$827=0,"",[1]对账明细接口!$D$827),"")</f>
      </c>
      <c r="E827" s="16">
        <f>IFERROR(IF([1]对账明细接口!$E$827=0,"",[1]对账明细接口!$E$827),"")</f>
      </c>
      <c r="F827" s="16">
        <f>IFERROR(IF([1]对账明细接口!$F$827=0,"",[1]对账明细接口!$F$827),"")</f>
      </c>
      <c r="G827" s="16">
        <f>IFERROR(IF([1]对账明细接口!$G$827=0,"",[1]对账明细接口!$G$827),"")</f>
      </c>
      <c r="H827" s="176">
        <f>IFERROR(IF([1]对账明细接口!$H$827=0,"",[1]对账明细接口!$H$827),"")</f>
      </c>
      <c r="I827" s="16">
        <f>IFERROR(IF([1]对账明细接口!$I$827=0,"",[1]对账明细接口!$I$827),"")</f>
      </c>
      <c r="J827" s="177">
        <f>IFERROR(IF([1]对账明细接口!$J$827=0,"",[1]对账明细接口!$J$827),"")</f>
      </c>
      <c r="K827" s="177">
        <f>IFERROR(IF([1]对账明细接口!$K$827=0,"",[1]对账明细接口!$K$827),"")</f>
      </c>
      <c r="L827" s="16">
        <f>IFERROR(IF([1]对账明细接口!$L$827=0,"",[1]对账明细接口!$L$827),"")</f>
      </c>
      <c r="M827" s="16">
        <f>IFERROR(IF([1]对账明细接口!$M$827=0,"",[1]对账明细接口!$M$827),"")</f>
      </c>
      <c r="N827" s="19">
        <f>IF($C827="",0,1)</f>
        <v>0</v>
      </c>
      <c r="O827" s="19">
        <f>N(O826)+$N827</f>
        <v>637</v>
      </c>
      <c r="S827" s="20">
        <f>IFERROR(IF([1]对账明细接口!$N827=0,"",[1]对账明细接口!$N827),"")</f>
      </c>
      <c r="T827" s="212">
        <f>IFERROR(IF([1]对账明细接口!$O827=0,"",[1]对账明细接口!$O827),"")</f>
      </c>
      <c r="U827" s="212">
        <f>IFERROR(IF([1]对账明细接口!$P827=0,"",[1]对账明细接口!$P827),"")</f>
      </c>
      <c r="V827" s="212">
        <f>IFERROR(IF([1]对账明细接口!$Q827=0,"",[1]对账明细接口!$Q827),"")</f>
      </c>
      <c r="W827" s="20">
        <f>IFERROR(IF([1]对账明细接口!$R827=0,"",[1]对账明细接口!$R827),"")</f>
      </c>
      <c r="X827" s="20">
        <f>IFERROR(IF([1]对账明细接口!$S827=0,"",[1]对账明细接口!$S827),"")</f>
      </c>
      <c r="Y827" s="20">
        <f>IFERROR(IF([1]对账明细接口!$T827=0,"",[1]对账明细接口!$T827),"")</f>
      </c>
      <c r="Z827" s="213">
        <f>IFERROR(IF([1]对账明细接口!$U827=0,"",[1]对账明细接口!$U827),"")</f>
      </c>
      <c r="AA827" s="213">
        <f>IFERROR(IF([1]对账明细接口!$V827=0,"",[1]对账明细接口!$V827),"")</f>
      </c>
      <c r="AB827" s="20">
        <f>IFERROR(IF([1]对账明细接口!$W827=0,"",[1]对账明细接口!$W827),"")</f>
      </c>
      <c r="AC827" s="7">
        <f>IFERROR(IF([1]对账明细接口!$X827=0,"",[1]对账明细接口!$X827),"")</f>
      </c>
      <c r="AD827" s="7">
        <f>IFERROR(IF([1]对账明细接口!$Y827=0,"",[1]对账明细接口!$Y827),"")</f>
      </c>
      <c r="AE827" s="7">
        <f>IFERROR(IF([1]对账明细接口!$AA827=0,"",[1]对账明细接口!$AA827),"")</f>
      </c>
      <c r="AF827" s="7">
        <f>IFERROR(IF([1]对账明细接口!$AB827=0,"",[1]对账明细接口!$AB827),"")</f>
      </c>
      <c r="AG827" s="7">
        <f>IFERROR(IF([1]对账明细接口!$AC827=0,"",[1]对账明细接口!$AC827),"")</f>
      </c>
      <c r="AH827" s="7">
        <f>IFERROR(IF([1]对账明细接口!$AD827=0,"",[1]对账明细接口!$AD827),"")</f>
      </c>
      <c r="AI827" s="7">
        <f>IFERROR(IF([1]对账明细接口!$AE827=0,"",[1]对账明细接口!$AE827),"")</f>
      </c>
      <c r="AJ827" s="7">
        <f>IFERROR(IF([1]对账明细接口!$AF827=0,"",[1]对账明细接口!$AF827),"")</f>
      </c>
    </row>
    <row r="828" ht="14.25" customHeight="1" s="127">
      <c r="A828" s="14" t="n">
        <v>828</v>
      </c>
      <c r="B828" s="211">
        <f>IFERROR(IF([1]对账明细接口!$B$828=0,"",[1]对账明细接口!$B$828),"")</f>
      </c>
      <c r="C828" s="16">
        <f>IFERROR(IF([1]对账明细接口!$C$828=0,"",[1]对账明细接口!$C$828),"")</f>
      </c>
      <c r="D828" s="16">
        <f>IFERROR(IF([1]对账明细接口!$D$828=0,"",[1]对账明细接口!$D$828),"")</f>
      </c>
      <c r="E828" s="16">
        <f>IFERROR(IF([1]对账明细接口!$E$828=0,"",[1]对账明细接口!$E$828),"")</f>
      </c>
      <c r="F828" s="16">
        <f>IFERROR(IF([1]对账明细接口!$F$828=0,"",[1]对账明细接口!$F$828),"")</f>
      </c>
      <c r="G828" s="16">
        <f>IFERROR(IF([1]对账明细接口!$G$828=0,"",[1]对账明细接口!$G$828),"")</f>
      </c>
      <c r="H828" s="176">
        <f>IFERROR(IF([1]对账明细接口!$H$828=0,"",[1]对账明细接口!$H$828),"")</f>
      </c>
      <c r="I828" s="16">
        <f>IFERROR(IF([1]对账明细接口!$I$828=0,"",[1]对账明细接口!$I$828),"")</f>
      </c>
      <c r="J828" s="177">
        <f>IFERROR(IF([1]对账明细接口!$J$828=0,"",[1]对账明细接口!$J$828),"")</f>
      </c>
      <c r="K828" s="177">
        <f>IFERROR(IF([1]对账明细接口!$K$828=0,"",[1]对账明细接口!$K$828),"")</f>
      </c>
      <c r="L828" s="16">
        <f>IFERROR(IF([1]对账明细接口!$L$828=0,"",[1]对账明细接口!$L$828),"")</f>
      </c>
      <c r="M828" s="16">
        <f>IFERROR(IF([1]对账明细接口!$M$828=0,"",[1]对账明细接口!$M$828),"")</f>
      </c>
      <c r="N828" s="19">
        <f>IF($C828="",0,1)</f>
        <v>0</v>
      </c>
      <c r="O828" s="19">
        <f>N(O827)+$N828</f>
        <v>637</v>
      </c>
      <c r="S828" s="20">
        <f>IFERROR(IF([1]对账明细接口!$N828=0,"",[1]对账明细接口!$N828),"")</f>
      </c>
      <c r="T828" s="212">
        <f>IFERROR(IF([1]对账明细接口!$O828=0,"",[1]对账明细接口!$O828),"")</f>
      </c>
      <c r="U828" s="212">
        <f>IFERROR(IF([1]对账明细接口!$P828=0,"",[1]对账明细接口!$P828),"")</f>
      </c>
      <c r="V828" s="212">
        <f>IFERROR(IF([1]对账明细接口!$Q828=0,"",[1]对账明细接口!$Q828),"")</f>
      </c>
      <c r="W828" s="20">
        <f>IFERROR(IF([1]对账明细接口!$R828=0,"",[1]对账明细接口!$R828),"")</f>
      </c>
      <c r="X828" s="20">
        <f>IFERROR(IF([1]对账明细接口!$S828=0,"",[1]对账明细接口!$S828),"")</f>
      </c>
      <c r="Y828" s="20">
        <f>IFERROR(IF([1]对账明细接口!$T828=0,"",[1]对账明细接口!$T828),"")</f>
      </c>
      <c r="Z828" s="213">
        <f>IFERROR(IF([1]对账明细接口!$U828=0,"",[1]对账明细接口!$U828),"")</f>
      </c>
      <c r="AA828" s="213">
        <f>IFERROR(IF([1]对账明细接口!$V828=0,"",[1]对账明细接口!$V828),"")</f>
      </c>
      <c r="AB828" s="20">
        <f>IFERROR(IF([1]对账明细接口!$W828=0,"",[1]对账明细接口!$W828),"")</f>
      </c>
      <c r="AC828" s="7">
        <f>IFERROR(IF([1]对账明细接口!$X828=0,"",[1]对账明细接口!$X828),"")</f>
      </c>
      <c r="AD828" s="7">
        <f>IFERROR(IF([1]对账明细接口!$Y828=0,"",[1]对账明细接口!$Y828),"")</f>
      </c>
      <c r="AE828" s="7">
        <f>IFERROR(IF([1]对账明细接口!$AA828=0,"",[1]对账明细接口!$AA828),"")</f>
      </c>
      <c r="AF828" s="7">
        <f>IFERROR(IF([1]对账明细接口!$AB828=0,"",[1]对账明细接口!$AB828),"")</f>
      </c>
      <c r="AG828" s="7">
        <f>IFERROR(IF([1]对账明细接口!$AC828=0,"",[1]对账明细接口!$AC828),"")</f>
      </c>
      <c r="AH828" s="7">
        <f>IFERROR(IF([1]对账明细接口!$AD828=0,"",[1]对账明细接口!$AD828),"")</f>
      </c>
      <c r="AI828" s="7">
        <f>IFERROR(IF([1]对账明细接口!$AE828=0,"",[1]对账明细接口!$AE828),"")</f>
      </c>
      <c r="AJ828" s="7">
        <f>IFERROR(IF([1]对账明细接口!$AF828=0,"",[1]对账明细接口!$AF828),"")</f>
      </c>
    </row>
    <row r="829" ht="14.25" customHeight="1" s="127">
      <c r="A829" s="14" t="n">
        <v>829</v>
      </c>
      <c r="B829" s="211">
        <f>IFERROR(IF([1]对账明细接口!$B$829=0,"",[1]对账明细接口!$B$829),"")</f>
      </c>
      <c r="C829" s="16">
        <f>IFERROR(IF([1]对账明细接口!$C$829=0,"",[1]对账明细接口!$C$829),"")</f>
      </c>
      <c r="D829" s="16">
        <f>IFERROR(IF([1]对账明细接口!$D$829=0,"",[1]对账明细接口!$D$829),"")</f>
      </c>
      <c r="E829" s="16">
        <f>IFERROR(IF([1]对账明细接口!$E$829=0,"",[1]对账明细接口!$E$829),"")</f>
      </c>
      <c r="F829" s="16">
        <f>IFERROR(IF([1]对账明细接口!$F$829=0,"",[1]对账明细接口!$F$829),"")</f>
      </c>
      <c r="G829" s="16">
        <f>IFERROR(IF([1]对账明细接口!$G$829=0,"",[1]对账明细接口!$G$829),"")</f>
      </c>
      <c r="H829" s="176">
        <f>IFERROR(IF([1]对账明细接口!$H$829=0,"",[1]对账明细接口!$H$829),"")</f>
      </c>
      <c r="I829" s="16">
        <f>IFERROR(IF([1]对账明细接口!$I$829=0,"",[1]对账明细接口!$I$829),"")</f>
      </c>
      <c r="J829" s="177">
        <f>IFERROR(IF([1]对账明细接口!$J$829=0,"",[1]对账明细接口!$J$829),"")</f>
      </c>
      <c r="K829" s="177">
        <f>IFERROR(IF([1]对账明细接口!$K$829=0,"",[1]对账明细接口!$K$829),"")</f>
      </c>
      <c r="L829" s="16">
        <f>IFERROR(IF([1]对账明细接口!$L$829=0,"",[1]对账明细接口!$L$829),"")</f>
      </c>
      <c r="M829" s="16">
        <f>IFERROR(IF([1]对账明细接口!$M$829=0,"",[1]对账明细接口!$M$829),"")</f>
      </c>
      <c r="N829" s="19">
        <f>IF($C829="",0,1)</f>
        <v>0</v>
      </c>
      <c r="O829" s="19">
        <f>N(O828)+$N829</f>
        <v>637</v>
      </c>
      <c r="S829" s="20">
        <f>IFERROR(IF([1]对账明细接口!$N829=0,"",[1]对账明细接口!$N829),"")</f>
      </c>
      <c r="T829" s="212">
        <f>IFERROR(IF([1]对账明细接口!$O829=0,"",[1]对账明细接口!$O829),"")</f>
      </c>
      <c r="U829" s="212">
        <f>IFERROR(IF([1]对账明细接口!$P829=0,"",[1]对账明细接口!$P829),"")</f>
      </c>
      <c r="V829" s="212">
        <f>IFERROR(IF([1]对账明细接口!$Q829=0,"",[1]对账明细接口!$Q829),"")</f>
      </c>
      <c r="W829" s="20">
        <f>IFERROR(IF([1]对账明细接口!$R829=0,"",[1]对账明细接口!$R829),"")</f>
      </c>
      <c r="X829" s="20">
        <f>IFERROR(IF([1]对账明细接口!$S829=0,"",[1]对账明细接口!$S829),"")</f>
      </c>
      <c r="Y829" s="20">
        <f>IFERROR(IF([1]对账明细接口!$T829=0,"",[1]对账明细接口!$T829),"")</f>
      </c>
      <c r="Z829" s="213">
        <f>IFERROR(IF([1]对账明细接口!$U829=0,"",[1]对账明细接口!$U829),"")</f>
      </c>
      <c r="AA829" s="213">
        <f>IFERROR(IF([1]对账明细接口!$V829=0,"",[1]对账明细接口!$V829),"")</f>
      </c>
      <c r="AB829" s="20">
        <f>IFERROR(IF([1]对账明细接口!$W829=0,"",[1]对账明细接口!$W829),"")</f>
      </c>
      <c r="AC829" s="7">
        <f>IFERROR(IF([1]对账明细接口!$X829=0,"",[1]对账明细接口!$X829),"")</f>
      </c>
      <c r="AD829" s="7">
        <f>IFERROR(IF([1]对账明细接口!$Y829=0,"",[1]对账明细接口!$Y829),"")</f>
      </c>
      <c r="AE829" s="7">
        <f>IFERROR(IF([1]对账明细接口!$AA829=0,"",[1]对账明细接口!$AA829),"")</f>
      </c>
      <c r="AF829" s="7">
        <f>IFERROR(IF([1]对账明细接口!$AB829=0,"",[1]对账明细接口!$AB829),"")</f>
      </c>
      <c r="AG829" s="7">
        <f>IFERROR(IF([1]对账明细接口!$AC829=0,"",[1]对账明细接口!$AC829),"")</f>
      </c>
      <c r="AH829" s="7">
        <f>IFERROR(IF([1]对账明细接口!$AD829=0,"",[1]对账明细接口!$AD829),"")</f>
      </c>
      <c r="AI829" s="7">
        <f>IFERROR(IF([1]对账明细接口!$AE829=0,"",[1]对账明细接口!$AE829),"")</f>
      </c>
      <c r="AJ829" s="7">
        <f>IFERROR(IF([1]对账明细接口!$AF829=0,"",[1]对账明细接口!$AF829),"")</f>
      </c>
    </row>
    <row r="830" ht="14.25" customHeight="1" s="127">
      <c r="A830" s="14" t="n">
        <v>830</v>
      </c>
      <c r="B830" s="211">
        <f>IFERROR(IF([1]对账明细接口!$B$830=0,"",[1]对账明细接口!$B$830),"")</f>
      </c>
      <c r="C830" s="16">
        <f>IFERROR(IF([1]对账明细接口!$C$830=0,"",[1]对账明细接口!$C$830),"")</f>
      </c>
      <c r="D830" s="16">
        <f>IFERROR(IF([1]对账明细接口!$D$830=0,"",[1]对账明细接口!$D$830),"")</f>
      </c>
      <c r="E830" s="16">
        <f>IFERROR(IF([1]对账明细接口!$E$830=0,"",[1]对账明细接口!$E$830),"")</f>
      </c>
      <c r="F830" s="16">
        <f>IFERROR(IF([1]对账明细接口!$F$830=0,"",[1]对账明细接口!$F$830),"")</f>
      </c>
      <c r="G830" s="16">
        <f>IFERROR(IF([1]对账明细接口!$G$830=0,"",[1]对账明细接口!$G$830),"")</f>
      </c>
      <c r="H830" s="176">
        <f>IFERROR(IF([1]对账明细接口!$H$830=0,"",[1]对账明细接口!$H$830),"")</f>
      </c>
      <c r="I830" s="16">
        <f>IFERROR(IF([1]对账明细接口!$I$830=0,"",[1]对账明细接口!$I$830),"")</f>
      </c>
      <c r="J830" s="177">
        <f>IFERROR(IF([1]对账明细接口!$J$830=0,"",[1]对账明细接口!$J$830),"")</f>
      </c>
      <c r="K830" s="177">
        <f>IFERROR(IF([1]对账明细接口!$K$830=0,"",[1]对账明细接口!$K$830),"")</f>
      </c>
      <c r="L830" s="16">
        <f>IFERROR(IF([1]对账明细接口!$L$830=0,"",[1]对账明细接口!$L$830),"")</f>
      </c>
      <c r="M830" s="16">
        <f>IFERROR(IF([1]对账明细接口!$M$830=0,"",[1]对账明细接口!$M$830),"")</f>
      </c>
      <c r="N830" s="19">
        <f>IF($C830="",0,1)</f>
        <v>0</v>
      </c>
      <c r="O830" s="19">
        <f>N(O829)+$N830</f>
        <v>637</v>
      </c>
      <c r="S830" s="20">
        <f>IFERROR(IF([1]对账明细接口!$N830=0,"",[1]对账明细接口!$N830),"")</f>
      </c>
      <c r="T830" s="212">
        <f>IFERROR(IF([1]对账明细接口!$O830=0,"",[1]对账明细接口!$O830),"")</f>
      </c>
      <c r="U830" s="212">
        <f>IFERROR(IF([1]对账明细接口!$P830=0,"",[1]对账明细接口!$P830),"")</f>
      </c>
      <c r="V830" s="212">
        <f>IFERROR(IF([1]对账明细接口!$Q830=0,"",[1]对账明细接口!$Q830),"")</f>
      </c>
      <c r="W830" s="20">
        <f>IFERROR(IF([1]对账明细接口!$R830=0,"",[1]对账明细接口!$R830),"")</f>
      </c>
      <c r="X830" s="20">
        <f>IFERROR(IF([1]对账明细接口!$S830=0,"",[1]对账明细接口!$S830),"")</f>
      </c>
      <c r="Y830" s="20">
        <f>IFERROR(IF([1]对账明细接口!$T830=0,"",[1]对账明细接口!$T830),"")</f>
      </c>
      <c r="Z830" s="213">
        <f>IFERROR(IF([1]对账明细接口!$U830=0,"",[1]对账明细接口!$U830),"")</f>
      </c>
      <c r="AA830" s="213">
        <f>IFERROR(IF([1]对账明细接口!$V830=0,"",[1]对账明细接口!$V830),"")</f>
      </c>
      <c r="AB830" s="20">
        <f>IFERROR(IF([1]对账明细接口!$W830=0,"",[1]对账明细接口!$W830),"")</f>
      </c>
      <c r="AC830" s="7">
        <f>IFERROR(IF([1]对账明细接口!$X830=0,"",[1]对账明细接口!$X830),"")</f>
      </c>
      <c r="AD830" s="7">
        <f>IFERROR(IF([1]对账明细接口!$Y830=0,"",[1]对账明细接口!$Y830),"")</f>
      </c>
      <c r="AE830" s="7">
        <f>IFERROR(IF([1]对账明细接口!$AA830=0,"",[1]对账明细接口!$AA830),"")</f>
      </c>
      <c r="AF830" s="7">
        <f>IFERROR(IF([1]对账明细接口!$AB830=0,"",[1]对账明细接口!$AB830),"")</f>
      </c>
      <c r="AG830" s="7">
        <f>IFERROR(IF([1]对账明细接口!$AC830=0,"",[1]对账明细接口!$AC830),"")</f>
      </c>
      <c r="AH830" s="7">
        <f>IFERROR(IF([1]对账明细接口!$AD830=0,"",[1]对账明细接口!$AD830),"")</f>
      </c>
      <c r="AI830" s="7">
        <f>IFERROR(IF([1]对账明细接口!$AE830=0,"",[1]对账明细接口!$AE830),"")</f>
      </c>
      <c r="AJ830" s="7">
        <f>IFERROR(IF([1]对账明细接口!$AF830=0,"",[1]对账明细接口!$AF830),"")</f>
      </c>
    </row>
    <row r="831" ht="14.25" customHeight="1" s="127">
      <c r="A831" s="14" t="n">
        <v>831</v>
      </c>
      <c r="B831" s="211">
        <f>IFERROR(IF([1]对账明细接口!$B$831=0,"",[1]对账明细接口!$B$831),"")</f>
      </c>
      <c r="C831" s="16">
        <f>IFERROR(IF([1]对账明细接口!$C$831=0,"",[1]对账明细接口!$C$831),"")</f>
      </c>
      <c r="D831" s="16">
        <f>IFERROR(IF([1]对账明细接口!$D$831=0,"",[1]对账明细接口!$D$831),"")</f>
      </c>
      <c r="E831" s="16">
        <f>IFERROR(IF([1]对账明细接口!$E$831=0,"",[1]对账明细接口!$E$831),"")</f>
      </c>
      <c r="F831" s="16">
        <f>IFERROR(IF([1]对账明细接口!$F$831=0,"",[1]对账明细接口!$F$831),"")</f>
      </c>
      <c r="G831" s="16">
        <f>IFERROR(IF([1]对账明细接口!$G$831=0,"",[1]对账明细接口!$G$831),"")</f>
      </c>
      <c r="H831" s="176">
        <f>IFERROR(IF([1]对账明细接口!$H$831=0,"",[1]对账明细接口!$H$831),"")</f>
      </c>
      <c r="I831" s="16">
        <f>IFERROR(IF([1]对账明细接口!$I$831=0,"",[1]对账明细接口!$I$831),"")</f>
      </c>
      <c r="J831" s="177">
        <f>IFERROR(IF([1]对账明细接口!$J$831=0,"",[1]对账明细接口!$J$831),"")</f>
      </c>
      <c r="K831" s="177">
        <f>IFERROR(IF([1]对账明细接口!$K$831=0,"",[1]对账明细接口!$K$831),"")</f>
      </c>
      <c r="L831" s="16">
        <f>IFERROR(IF([1]对账明细接口!$L$831=0,"",[1]对账明细接口!$L$831),"")</f>
      </c>
      <c r="M831" s="16">
        <f>IFERROR(IF([1]对账明细接口!$M$831=0,"",[1]对账明细接口!$M$831),"")</f>
      </c>
      <c r="N831" s="19">
        <f>IF($C831="",0,1)</f>
        <v>0</v>
      </c>
      <c r="O831" s="19">
        <f>N(O830)+$N831</f>
        <v>637</v>
      </c>
      <c r="S831" s="20">
        <f>IFERROR(IF([1]对账明细接口!$N831=0,"",[1]对账明细接口!$N831),"")</f>
      </c>
      <c r="T831" s="212">
        <f>IFERROR(IF([1]对账明细接口!$O831=0,"",[1]对账明细接口!$O831),"")</f>
      </c>
      <c r="U831" s="212">
        <f>IFERROR(IF([1]对账明细接口!$P831=0,"",[1]对账明细接口!$P831),"")</f>
      </c>
      <c r="V831" s="212">
        <f>IFERROR(IF([1]对账明细接口!$Q831=0,"",[1]对账明细接口!$Q831),"")</f>
      </c>
      <c r="W831" s="20">
        <f>IFERROR(IF([1]对账明细接口!$R831=0,"",[1]对账明细接口!$R831),"")</f>
      </c>
      <c r="X831" s="20">
        <f>IFERROR(IF([1]对账明细接口!$S831=0,"",[1]对账明细接口!$S831),"")</f>
      </c>
      <c r="Y831" s="20">
        <f>IFERROR(IF([1]对账明细接口!$T831=0,"",[1]对账明细接口!$T831),"")</f>
      </c>
      <c r="Z831" s="213">
        <f>IFERROR(IF([1]对账明细接口!$U831=0,"",[1]对账明细接口!$U831),"")</f>
      </c>
      <c r="AA831" s="213">
        <f>IFERROR(IF([1]对账明细接口!$V831=0,"",[1]对账明细接口!$V831),"")</f>
      </c>
      <c r="AB831" s="20">
        <f>IFERROR(IF([1]对账明细接口!$W831=0,"",[1]对账明细接口!$W831),"")</f>
      </c>
      <c r="AC831" s="7">
        <f>IFERROR(IF([1]对账明细接口!$X831=0,"",[1]对账明细接口!$X831),"")</f>
      </c>
      <c r="AD831" s="7">
        <f>IFERROR(IF([1]对账明细接口!$Y831=0,"",[1]对账明细接口!$Y831),"")</f>
      </c>
      <c r="AE831" s="7">
        <f>IFERROR(IF([1]对账明细接口!$AA831=0,"",[1]对账明细接口!$AA831),"")</f>
      </c>
      <c r="AF831" s="7">
        <f>IFERROR(IF([1]对账明细接口!$AB831=0,"",[1]对账明细接口!$AB831),"")</f>
      </c>
      <c r="AG831" s="7">
        <f>IFERROR(IF([1]对账明细接口!$AC831=0,"",[1]对账明细接口!$AC831),"")</f>
      </c>
      <c r="AH831" s="7">
        <f>IFERROR(IF([1]对账明细接口!$AD831=0,"",[1]对账明细接口!$AD831),"")</f>
      </c>
      <c r="AI831" s="7">
        <f>IFERROR(IF([1]对账明细接口!$AE831=0,"",[1]对账明细接口!$AE831),"")</f>
      </c>
      <c r="AJ831" s="7">
        <f>IFERROR(IF([1]对账明细接口!$AF831=0,"",[1]对账明细接口!$AF831),"")</f>
      </c>
    </row>
    <row r="832" ht="14.25" customHeight="1" s="127">
      <c r="A832" s="14" t="n">
        <v>832</v>
      </c>
      <c r="B832" s="211">
        <f>IFERROR(IF([1]对账明细接口!$B$832=0,"",[1]对账明细接口!$B$832),"")</f>
      </c>
      <c r="C832" s="16">
        <f>IFERROR(IF([1]对账明细接口!$C$832=0,"",[1]对账明细接口!$C$832),"")</f>
      </c>
      <c r="D832" s="16">
        <f>IFERROR(IF([1]对账明细接口!$D$832=0,"",[1]对账明细接口!$D$832),"")</f>
      </c>
      <c r="E832" s="16">
        <f>IFERROR(IF([1]对账明细接口!$E$832=0,"",[1]对账明细接口!$E$832),"")</f>
      </c>
      <c r="F832" s="16">
        <f>IFERROR(IF([1]对账明细接口!$F$832=0,"",[1]对账明细接口!$F$832),"")</f>
      </c>
      <c r="G832" s="16">
        <f>IFERROR(IF([1]对账明细接口!$G$832=0,"",[1]对账明细接口!$G$832),"")</f>
      </c>
      <c r="H832" s="176">
        <f>IFERROR(IF([1]对账明细接口!$H$832=0,"",[1]对账明细接口!$H$832),"")</f>
      </c>
      <c r="I832" s="16">
        <f>IFERROR(IF([1]对账明细接口!$I$832=0,"",[1]对账明细接口!$I$832),"")</f>
      </c>
      <c r="J832" s="177">
        <f>IFERROR(IF([1]对账明细接口!$J$832=0,"",[1]对账明细接口!$J$832),"")</f>
      </c>
      <c r="K832" s="177">
        <f>IFERROR(IF([1]对账明细接口!$K$832=0,"",[1]对账明细接口!$K$832),"")</f>
      </c>
      <c r="L832" s="16">
        <f>IFERROR(IF([1]对账明细接口!$L$832=0,"",[1]对账明细接口!$L$832),"")</f>
      </c>
      <c r="M832" s="16">
        <f>IFERROR(IF([1]对账明细接口!$M$832=0,"",[1]对账明细接口!$M$832),"")</f>
      </c>
      <c r="N832" s="19">
        <f>IF($C832="",0,1)</f>
        <v>0</v>
      </c>
      <c r="O832" s="19">
        <f>N(O831)+$N832</f>
        <v>637</v>
      </c>
      <c r="S832" s="20">
        <f>IFERROR(IF([1]对账明细接口!$N832=0,"",[1]对账明细接口!$N832),"")</f>
      </c>
      <c r="T832" s="212">
        <f>IFERROR(IF([1]对账明细接口!$O832=0,"",[1]对账明细接口!$O832),"")</f>
      </c>
      <c r="U832" s="212">
        <f>IFERROR(IF([1]对账明细接口!$P832=0,"",[1]对账明细接口!$P832),"")</f>
      </c>
      <c r="V832" s="212">
        <f>IFERROR(IF([1]对账明细接口!$Q832=0,"",[1]对账明细接口!$Q832),"")</f>
      </c>
      <c r="W832" s="20">
        <f>IFERROR(IF([1]对账明细接口!$R832=0,"",[1]对账明细接口!$R832),"")</f>
      </c>
      <c r="X832" s="20">
        <f>IFERROR(IF([1]对账明细接口!$S832=0,"",[1]对账明细接口!$S832),"")</f>
      </c>
      <c r="Y832" s="20">
        <f>IFERROR(IF([1]对账明细接口!$T832=0,"",[1]对账明细接口!$T832),"")</f>
      </c>
      <c r="Z832" s="213">
        <f>IFERROR(IF([1]对账明细接口!$U832=0,"",[1]对账明细接口!$U832),"")</f>
      </c>
      <c r="AA832" s="213">
        <f>IFERROR(IF([1]对账明细接口!$V832=0,"",[1]对账明细接口!$V832),"")</f>
      </c>
      <c r="AB832" s="20">
        <f>IFERROR(IF([1]对账明细接口!$W832=0,"",[1]对账明细接口!$W832),"")</f>
      </c>
      <c r="AC832" s="7">
        <f>IFERROR(IF([1]对账明细接口!$X832=0,"",[1]对账明细接口!$X832),"")</f>
      </c>
      <c r="AD832" s="7">
        <f>IFERROR(IF([1]对账明细接口!$Y832=0,"",[1]对账明细接口!$Y832),"")</f>
      </c>
      <c r="AE832" s="7">
        <f>IFERROR(IF([1]对账明细接口!$AA832=0,"",[1]对账明细接口!$AA832),"")</f>
      </c>
      <c r="AF832" s="7">
        <f>IFERROR(IF([1]对账明细接口!$AB832=0,"",[1]对账明细接口!$AB832),"")</f>
      </c>
      <c r="AG832" s="7">
        <f>IFERROR(IF([1]对账明细接口!$AC832=0,"",[1]对账明细接口!$AC832),"")</f>
      </c>
      <c r="AH832" s="7">
        <f>IFERROR(IF([1]对账明细接口!$AD832=0,"",[1]对账明细接口!$AD832),"")</f>
      </c>
      <c r="AI832" s="7">
        <f>IFERROR(IF([1]对账明细接口!$AE832=0,"",[1]对账明细接口!$AE832),"")</f>
      </c>
      <c r="AJ832" s="7">
        <f>IFERROR(IF([1]对账明细接口!$AF832=0,"",[1]对账明细接口!$AF832),"")</f>
      </c>
    </row>
    <row r="833" ht="14.25" customHeight="1" s="127">
      <c r="A833" s="14" t="n">
        <v>833</v>
      </c>
      <c r="B833" s="211">
        <f>IFERROR(IF([1]对账明细接口!$B$833=0,"",[1]对账明细接口!$B$833),"")</f>
      </c>
      <c r="C833" s="16">
        <f>IFERROR(IF([1]对账明细接口!$C$833=0,"",[1]对账明细接口!$C$833),"")</f>
      </c>
      <c r="D833" s="16">
        <f>IFERROR(IF([1]对账明细接口!$D$833=0,"",[1]对账明细接口!$D$833),"")</f>
      </c>
      <c r="E833" s="16">
        <f>IFERROR(IF([1]对账明细接口!$E$833=0,"",[1]对账明细接口!$E$833),"")</f>
      </c>
      <c r="F833" s="16">
        <f>IFERROR(IF([1]对账明细接口!$F$833=0,"",[1]对账明细接口!$F$833),"")</f>
      </c>
      <c r="G833" s="16">
        <f>IFERROR(IF([1]对账明细接口!$G$833=0,"",[1]对账明细接口!$G$833),"")</f>
      </c>
      <c r="H833" s="176">
        <f>IFERROR(IF([1]对账明细接口!$H$833=0,"",[1]对账明细接口!$H$833),"")</f>
      </c>
      <c r="I833" s="16">
        <f>IFERROR(IF([1]对账明细接口!$I$833=0,"",[1]对账明细接口!$I$833),"")</f>
      </c>
      <c r="J833" s="177">
        <f>IFERROR(IF([1]对账明细接口!$J$833=0,"",[1]对账明细接口!$J$833),"")</f>
      </c>
      <c r="K833" s="177">
        <f>IFERROR(IF([1]对账明细接口!$K$833=0,"",[1]对账明细接口!$K$833),"")</f>
      </c>
      <c r="L833" s="16">
        <f>IFERROR(IF([1]对账明细接口!$L$833=0,"",[1]对账明细接口!$L$833),"")</f>
      </c>
      <c r="M833" s="16">
        <f>IFERROR(IF([1]对账明细接口!$M$833=0,"",[1]对账明细接口!$M$833),"")</f>
      </c>
      <c r="N833" s="19">
        <f>IF($C833="",0,1)</f>
        <v>0</v>
      </c>
      <c r="O833" s="19">
        <f>N(O832)+$N833</f>
        <v>637</v>
      </c>
      <c r="S833" s="20">
        <f>IFERROR(IF([1]对账明细接口!$N833=0,"",[1]对账明细接口!$N833),"")</f>
      </c>
      <c r="T833" s="212">
        <f>IFERROR(IF([1]对账明细接口!$O833=0,"",[1]对账明细接口!$O833),"")</f>
      </c>
      <c r="U833" s="212">
        <f>IFERROR(IF([1]对账明细接口!$P833=0,"",[1]对账明细接口!$P833),"")</f>
      </c>
      <c r="V833" s="212">
        <f>IFERROR(IF([1]对账明细接口!$Q833=0,"",[1]对账明细接口!$Q833),"")</f>
      </c>
      <c r="W833" s="20">
        <f>IFERROR(IF([1]对账明细接口!$R833=0,"",[1]对账明细接口!$R833),"")</f>
      </c>
      <c r="X833" s="20">
        <f>IFERROR(IF([1]对账明细接口!$S833=0,"",[1]对账明细接口!$S833),"")</f>
      </c>
      <c r="Y833" s="20">
        <f>IFERROR(IF([1]对账明细接口!$T833=0,"",[1]对账明细接口!$T833),"")</f>
      </c>
      <c r="Z833" s="213">
        <f>IFERROR(IF([1]对账明细接口!$U833=0,"",[1]对账明细接口!$U833),"")</f>
      </c>
      <c r="AA833" s="213">
        <f>IFERROR(IF([1]对账明细接口!$V833=0,"",[1]对账明细接口!$V833),"")</f>
      </c>
      <c r="AB833" s="20">
        <f>IFERROR(IF([1]对账明细接口!$W833=0,"",[1]对账明细接口!$W833),"")</f>
      </c>
      <c r="AC833" s="7">
        <f>IFERROR(IF([1]对账明细接口!$X833=0,"",[1]对账明细接口!$X833),"")</f>
      </c>
      <c r="AD833" s="7">
        <f>IFERROR(IF([1]对账明细接口!$Y833=0,"",[1]对账明细接口!$Y833),"")</f>
      </c>
      <c r="AE833" s="7">
        <f>IFERROR(IF([1]对账明细接口!$AA833=0,"",[1]对账明细接口!$AA833),"")</f>
      </c>
      <c r="AF833" s="7">
        <f>IFERROR(IF([1]对账明细接口!$AB833=0,"",[1]对账明细接口!$AB833),"")</f>
      </c>
      <c r="AG833" s="7">
        <f>IFERROR(IF([1]对账明细接口!$AC833=0,"",[1]对账明细接口!$AC833),"")</f>
      </c>
      <c r="AH833" s="7">
        <f>IFERROR(IF([1]对账明细接口!$AD833=0,"",[1]对账明细接口!$AD833),"")</f>
      </c>
      <c r="AI833" s="7">
        <f>IFERROR(IF([1]对账明细接口!$AE833=0,"",[1]对账明细接口!$AE833),"")</f>
      </c>
      <c r="AJ833" s="7">
        <f>IFERROR(IF([1]对账明细接口!$AF833=0,"",[1]对账明细接口!$AF833),"")</f>
      </c>
    </row>
    <row r="834" ht="14.25" customHeight="1" s="127">
      <c r="A834" s="14" t="n">
        <v>834</v>
      </c>
      <c r="B834" s="211">
        <f>IFERROR(IF([1]对账明细接口!$B$834=0,"",[1]对账明细接口!$B$834),"")</f>
      </c>
      <c r="C834" s="16">
        <f>IFERROR(IF([1]对账明细接口!$C$834=0,"",[1]对账明细接口!$C$834),"")</f>
      </c>
      <c r="D834" s="16">
        <f>IFERROR(IF([1]对账明细接口!$D$834=0,"",[1]对账明细接口!$D$834),"")</f>
      </c>
      <c r="E834" s="16">
        <f>IFERROR(IF([1]对账明细接口!$E$834=0,"",[1]对账明细接口!$E$834),"")</f>
      </c>
      <c r="F834" s="16">
        <f>IFERROR(IF([1]对账明细接口!$F$834=0,"",[1]对账明细接口!$F$834),"")</f>
      </c>
      <c r="G834" s="16">
        <f>IFERROR(IF([1]对账明细接口!$G$834=0,"",[1]对账明细接口!$G$834),"")</f>
      </c>
      <c r="H834" s="176">
        <f>IFERROR(IF([1]对账明细接口!$H$834=0,"",[1]对账明细接口!$H$834),"")</f>
      </c>
      <c r="I834" s="16">
        <f>IFERROR(IF([1]对账明细接口!$I$834=0,"",[1]对账明细接口!$I$834),"")</f>
      </c>
      <c r="J834" s="177">
        <f>IFERROR(IF([1]对账明细接口!$J$834=0,"",[1]对账明细接口!$J$834),"")</f>
      </c>
      <c r="K834" s="177">
        <f>IFERROR(IF([1]对账明细接口!$K$834=0,"",[1]对账明细接口!$K$834),"")</f>
      </c>
      <c r="L834" s="16">
        <f>IFERROR(IF([1]对账明细接口!$L$834=0,"",[1]对账明细接口!$L$834),"")</f>
      </c>
      <c r="M834" s="16">
        <f>IFERROR(IF([1]对账明细接口!$M$834=0,"",[1]对账明细接口!$M$834),"")</f>
      </c>
      <c r="N834" s="19">
        <f>IF($C834="",0,1)</f>
        <v>0</v>
      </c>
      <c r="O834" s="19">
        <f>N(O833)+$N834</f>
        <v>637</v>
      </c>
      <c r="S834" s="20">
        <f>IFERROR(IF([1]对账明细接口!$N834=0,"",[1]对账明细接口!$N834),"")</f>
      </c>
      <c r="T834" s="212">
        <f>IFERROR(IF([1]对账明细接口!$O834=0,"",[1]对账明细接口!$O834),"")</f>
      </c>
      <c r="U834" s="212">
        <f>IFERROR(IF([1]对账明细接口!$P834=0,"",[1]对账明细接口!$P834),"")</f>
      </c>
      <c r="V834" s="212">
        <f>IFERROR(IF([1]对账明细接口!$Q834=0,"",[1]对账明细接口!$Q834),"")</f>
      </c>
      <c r="W834" s="20">
        <f>IFERROR(IF([1]对账明细接口!$R834=0,"",[1]对账明细接口!$R834),"")</f>
      </c>
      <c r="X834" s="20">
        <f>IFERROR(IF([1]对账明细接口!$S834=0,"",[1]对账明细接口!$S834),"")</f>
      </c>
      <c r="Y834" s="20">
        <f>IFERROR(IF([1]对账明细接口!$T834=0,"",[1]对账明细接口!$T834),"")</f>
      </c>
      <c r="Z834" s="213">
        <f>IFERROR(IF([1]对账明细接口!$U834=0,"",[1]对账明细接口!$U834),"")</f>
      </c>
      <c r="AA834" s="213">
        <f>IFERROR(IF([1]对账明细接口!$V834=0,"",[1]对账明细接口!$V834),"")</f>
      </c>
      <c r="AB834" s="20">
        <f>IFERROR(IF([1]对账明细接口!$W834=0,"",[1]对账明细接口!$W834),"")</f>
      </c>
      <c r="AC834" s="7">
        <f>IFERROR(IF([1]对账明细接口!$X834=0,"",[1]对账明细接口!$X834),"")</f>
      </c>
      <c r="AD834" s="7">
        <f>IFERROR(IF([1]对账明细接口!$Y834=0,"",[1]对账明细接口!$Y834),"")</f>
      </c>
      <c r="AE834" s="7">
        <f>IFERROR(IF([1]对账明细接口!$AA834=0,"",[1]对账明细接口!$AA834),"")</f>
      </c>
      <c r="AF834" s="7">
        <f>IFERROR(IF([1]对账明细接口!$AB834=0,"",[1]对账明细接口!$AB834),"")</f>
      </c>
      <c r="AG834" s="7">
        <f>IFERROR(IF([1]对账明细接口!$AC834=0,"",[1]对账明细接口!$AC834),"")</f>
      </c>
      <c r="AH834" s="7">
        <f>IFERROR(IF([1]对账明细接口!$AD834=0,"",[1]对账明细接口!$AD834),"")</f>
      </c>
      <c r="AI834" s="7">
        <f>IFERROR(IF([1]对账明细接口!$AE834=0,"",[1]对账明细接口!$AE834),"")</f>
      </c>
      <c r="AJ834" s="7">
        <f>IFERROR(IF([1]对账明细接口!$AF834=0,"",[1]对账明细接口!$AF834),"")</f>
      </c>
    </row>
    <row r="835" ht="14.25" customHeight="1" s="127">
      <c r="A835" s="14" t="n">
        <v>835</v>
      </c>
      <c r="B835" s="211">
        <f>IFERROR(IF([1]对账明细接口!$B$835=0,"",[1]对账明细接口!$B$835),"")</f>
      </c>
      <c r="C835" s="16">
        <f>IFERROR(IF([1]对账明细接口!$C$835=0,"",[1]对账明细接口!$C$835),"")</f>
      </c>
      <c r="D835" s="16">
        <f>IFERROR(IF([1]对账明细接口!$D$835=0,"",[1]对账明细接口!$D$835),"")</f>
      </c>
      <c r="E835" s="16">
        <f>IFERROR(IF([1]对账明细接口!$E$835=0,"",[1]对账明细接口!$E$835),"")</f>
      </c>
      <c r="F835" s="16">
        <f>IFERROR(IF([1]对账明细接口!$F$835=0,"",[1]对账明细接口!$F$835),"")</f>
      </c>
      <c r="G835" s="16">
        <f>IFERROR(IF([1]对账明细接口!$G$835=0,"",[1]对账明细接口!$G$835),"")</f>
      </c>
      <c r="H835" s="176">
        <f>IFERROR(IF([1]对账明细接口!$H$835=0,"",[1]对账明细接口!$H$835),"")</f>
      </c>
      <c r="I835" s="16">
        <f>IFERROR(IF([1]对账明细接口!$I$835=0,"",[1]对账明细接口!$I$835),"")</f>
      </c>
      <c r="J835" s="177">
        <f>IFERROR(IF([1]对账明细接口!$J$835=0,"",[1]对账明细接口!$J$835),"")</f>
      </c>
      <c r="K835" s="177">
        <f>IFERROR(IF([1]对账明细接口!$K$835=0,"",[1]对账明细接口!$K$835),"")</f>
      </c>
      <c r="L835" s="16">
        <f>IFERROR(IF([1]对账明细接口!$L$835=0,"",[1]对账明细接口!$L$835),"")</f>
      </c>
      <c r="M835" s="16">
        <f>IFERROR(IF([1]对账明细接口!$M$835=0,"",[1]对账明细接口!$M$835),"")</f>
      </c>
      <c r="N835" s="19">
        <f>IF($C835="",0,1)</f>
        <v>0</v>
      </c>
      <c r="O835" s="19">
        <f>N(O834)+$N835</f>
        <v>637</v>
      </c>
      <c r="S835" s="20">
        <f>IFERROR(IF([1]对账明细接口!$N835=0,"",[1]对账明细接口!$N835),"")</f>
      </c>
      <c r="T835" s="212">
        <f>IFERROR(IF([1]对账明细接口!$O835=0,"",[1]对账明细接口!$O835),"")</f>
      </c>
      <c r="U835" s="212">
        <f>IFERROR(IF([1]对账明细接口!$P835=0,"",[1]对账明细接口!$P835),"")</f>
      </c>
      <c r="V835" s="212">
        <f>IFERROR(IF([1]对账明细接口!$Q835=0,"",[1]对账明细接口!$Q835),"")</f>
      </c>
      <c r="W835" s="20">
        <f>IFERROR(IF([1]对账明细接口!$R835=0,"",[1]对账明细接口!$R835),"")</f>
      </c>
      <c r="X835" s="20">
        <f>IFERROR(IF([1]对账明细接口!$S835=0,"",[1]对账明细接口!$S835),"")</f>
      </c>
      <c r="Y835" s="20">
        <f>IFERROR(IF([1]对账明细接口!$T835=0,"",[1]对账明细接口!$T835),"")</f>
      </c>
      <c r="Z835" s="213">
        <f>IFERROR(IF([1]对账明细接口!$U835=0,"",[1]对账明细接口!$U835),"")</f>
      </c>
      <c r="AA835" s="213">
        <f>IFERROR(IF([1]对账明细接口!$V835=0,"",[1]对账明细接口!$V835),"")</f>
      </c>
      <c r="AB835" s="20">
        <f>IFERROR(IF([1]对账明细接口!$W835=0,"",[1]对账明细接口!$W835),"")</f>
      </c>
      <c r="AC835" s="7">
        <f>IFERROR(IF([1]对账明细接口!$X835=0,"",[1]对账明细接口!$X835),"")</f>
      </c>
      <c r="AD835" s="7">
        <f>IFERROR(IF([1]对账明细接口!$Y835=0,"",[1]对账明细接口!$Y835),"")</f>
      </c>
      <c r="AE835" s="7">
        <f>IFERROR(IF([1]对账明细接口!$AA835=0,"",[1]对账明细接口!$AA835),"")</f>
      </c>
      <c r="AF835" s="7">
        <f>IFERROR(IF([1]对账明细接口!$AB835=0,"",[1]对账明细接口!$AB835),"")</f>
      </c>
      <c r="AG835" s="7">
        <f>IFERROR(IF([1]对账明细接口!$AC835=0,"",[1]对账明细接口!$AC835),"")</f>
      </c>
      <c r="AH835" s="7">
        <f>IFERROR(IF([1]对账明细接口!$AD835=0,"",[1]对账明细接口!$AD835),"")</f>
      </c>
      <c r="AI835" s="7">
        <f>IFERROR(IF([1]对账明细接口!$AE835=0,"",[1]对账明细接口!$AE835),"")</f>
      </c>
      <c r="AJ835" s="7">
        <f>IFERROR(IF([1]对账明细接口!$AF835=0,"",[1]对账明细接口!$AF835),"")</f>
      </c>
    </row>
    <row r="836" ht="14.25" customHeight="1" s="127">
      <c r="A836" s="14" t="n">
        <v>836</v>
      </c>
      <c r="B836" s="211">
        <f>IFERROR(IF([1]对账明细接口!$B$836=0,"",[1]对账明细接口!$B$836),"")</f>
      </c>
      <c r="C836" s="16">
        <f>IFERROR(IF([1]对账明细接口!$C$836=0,"",[1]对账明细接口!$C$836),"")</f>
      </c>
      <c r="D836" s="16">
        <f>IFERROR(IF([1]对账明细接口!$D$836=0,"",[1]对账明细接口!$D$836),"")</f>
      </c>
      <c r="E836" s="16">
        <f>IFERROR(IF([1]对账明细接口!$E$836=0,"",[1]对账明细接口!$E$836),"")</f>
      </c>
      <c r="F836" s="16">
        <f>IFERROR(IF([1]对账明细接口!$F$836=0,"",[1]对账明细接口!$F$836),"")</f>
      </c>
      <c r="G836" s="16">
        <f>IFERROR(IF([1]对账明细接口!$G$836=0,"",[1]对账明细接口!$G$836),"")</f>
      </c>
      <c r="H836" s="176">
        <f>IFERROR(IF([1]对账明细接口!$H$836=0,"",[1]对账明细接口!$H$836),"")</f>
      </c>
      <c r="I836" s="16">
        <f>IFERROR(IF([1]对账明细接口!$I$836=0,"",[1]对账明细接口!$I$836),"")</f>
      </c>
      <c r="J836" s="177">
        <f>IFERROR(IF([1]对账明细接口!$J$836=0,"",[1]对账明细接口!$J$836),"")</f>
      </c>
      <c r="K836" s="177">
        <f>IFERROR(IF([1]对账明细接口!$K$836=0,"",[1]对账明细接口!$K$836),"")</f>
      </c>
      <c r="L836" s="16">
        <f>IFERROR(IF([1]对账明细接口!$L$836=0,"",[1]对账明细接口!$L$836),"")</f>
      </c>
      <c r="M836" s="16">
        <f>IFERROR(IF([1]对账明细接口!$M$836=0,"",[1]对账明细接口!$M$836),"")</f>
      </c>
      <c r="N836" s="19">
        <f>IF($C836="",0,1)</f>
        <v>0</v>
      </c>
      <c r="O836" s="19">
        <f>N(O835)+$N836</f>
        <v>637</v>
      </c>
      <c r="S836" s="20">
        <f>IFERROR(IF([1]对账明细接口!$N836=0,"",[1]对账明细接口!$N836),"")</f>
      </c>
      <c r="T836" s="212">
        <f>IFERROR(IF([1]对账明细接口!$O836=0,"",[1]对账明细接口!$O836),"")</f>
      </c>
      <c r="U836" s="212">
        <f>IFERROR(IF([1]对账明细接口!$P836=0,"",[1]对账明细接口!$P836),"")</f>
      </c>
      <c r="V836" s="212">
        <f>IFERROR(IF([1]对账明细接口!$Q836=0,"",[1]对账明细接口!$Q836),"")</f>
      </c>
      <c r="W836" s="20">
        <f>IFERROR(IF([1]对账明细接口!$R836=0,"",[1]对账明细接口!$R836),"")</f>
      </c>
      <c r="X836" s="20">
        <f>IFERROR(IF([1]对账明细接口!$S836=0,"",[1]对账明细接口!$S836),"")</f>
      </c>
      <c r="Y836" s="20">
        <f>IFERROR(IF([1]对账明细接口!$T836=0,"",[1]对账明细接口!$T836),"")</f>
      </c>
      <c r="Z836" s="213">
        <f>IFERROR(IF([1]对账明细接口!$U836=0,"",[1]对账明细接口!$U836),"")</f>
      </c>
      <c r="AA836" s="213">
        <f>IFERROR(IF([1]对账明细接口!$V836=0,"",[1]对账明细接口!$V836),"")</f>
      </c>
      <c r="AB836" s="20">
        <f>IFERROR(IF([1]对账明细接口!$W836=0,"",[1]对账明细接口!$W836),"")</f>
      </c>
      <c r="AC836" s="7">
        <f>IFERROR(IF([1]对账明细接口!$X836=0,"",[1]对账明细接口!$X836),"")</f>
      </c>
      <c r="AD836" s="7">
        <f>IFERROR(IF([1]对账明细接口!$Y836=0,"",[1]对账明细接口!$Y836),"")</f>
      </c>
      <c r="AE836" s="7">
        <f>IFERROR(IF([1]对账明细接口!$AA836=0,"",[1]对账明细接口!$AA836),"")</f>
      </c>
      <c r="AF836" s="7">
        <f>IFERROR(IF([1]对账明细接口!$AB836=0,"",[1]对账明细接口!$AB836),"")</f>
      </c>
      <c r="AG836" s="7">
        <f>IFERROR(IF([1]对账明细接口!$AC836=0,"",[1]对账明细接口!$AC836),"")</f>
      </c>
      <c r="AH836" s="7">
        <f>IFERROR(IF([1]对账明细接口!$AD836=0,"",[1]对账明细接口!$AD836),"")</f>
      </c>
      <c r="AI836" s="7">
        <f>IFERROR(IF([1]对账明细接口!$AE836=0,"",[1]对账明细接口!$AE836),"")</f>
      </c>
      <c r="AJ836" s="7">
        <f>IFERROR(IF([1]对账明细接口!$AF836=0,"",[1]对账明细接口!$AF836),"")</f>
      </c>
    </row>
    <row r="837" ht="14.25" customHeight="1" s="127">
      <c r="A837" s="14" t="n">
        <v>837</v>
      </c>
      <c r="B837" s="211">
        <f>IFERROR(IF([1]对账明细接口!$B$837=0,"",[1]对账明细接口!$B$837),"")</f>
      </c>
      <c r="C837" s="16">
        <f>IFERROR(IF([1]对账明细接口!$C$837=0,"",[1]对账明细接口!$C$837),"")</f>
      </c>
      <c r="D837" s="16">
        <f>IFERROR(IF([1]对账明细接口!$D$837=0,"",[1]对账明细接口!$D$837),"")</f>
      </c>
      <c r="E837" s="16">
        <f>IFERROR(IF([1]对账明细接口!$E$837=0,"",[1]对账明细接口!$E$837),"")</f>
      </c>
      <c r="F837" s="16">
        <f>IFERROR(IF([1]对账明细接口!$F$837=0,"",[1]对账明细接口!$F$837),"")</f>
      </c>
      <c r="G837" s="16">
        <f>IFERROR(IF([1]对账明细接口!$G$837=0,"",[1]对账明细接口!$G$837),"")</f>
      </c>
      <c r="H837" s="176">
        <f>IFERROR(IF([1]对账明细接口!$H$837=0,"",[1]对账明细接口!$H$837),"")</f>
      </c>
      <c r="I837" s="16">
        <f>IFERROR(IF([1]对账明细接口!$I$837=0,"",[1]对账明细接口!$I$837),"")</f>
      </c>
      <c r="J837" s="177">
        <f>IFERROR(IF([1]对账明细接口!$J$837=0,"",[1]对账明细接口!$J$837),"")</f>
      </c>
      <c r="K837" s="177">
        <f>IFERROR(IF([1]对账明细接口!$K$837=0,"",[1]对账明细接口!$K$837),"")</f>
      </c>
      <c r="L837" s="16">
        <f>IFERROR(IF([1]对账明细接口!$L$837=0,"",[1]对账明细接口!$L$837),"")</f>
      </c>
      <c r="M837" s="16">
        <f>IFERROR(IF([1]对账明细接口!$M$837=0,"",[1]对账明细接口!$M$837),"")</f>
      </c>
      <c r="N837" s="19">
        <f>IF($C837="",0,1)</f>
        <v>0</v>
      </c>
      <c r="O837" s="19">
        <f>N(O836)+$N837</f>
        <v>637</v>
      </c>
      <c r="S837" s="20">
        <f>IFERROR(IF([1]对账明细接口!$N837=0,"",[1]对账明细接口!$N837),"")</f>
      </c>
      <c r="T837" s="212">
        <f>IFERROR(IF([1]对账明细接口!$O837=0,"",[1]对账明细接口!$O837),"")</f>
      </c>
      <c r="U837" s="212">
        <f>IFERROR(IF([1]对账明细接口!$P837=0,"",[1]对账明细接口!$P837),"")</f>
      </c>
      <c r="V837" s="212">
        <f>IFERROR(IF([1]对账明细接口!$Q837=0,"",[1]对账明细接口!$Q837),"")</f>
      </c>
      <c r="W837" s="20">
        <f>IFERROR(IF([1]对账明细接口!$R837=0,"",[1]对账明细接口!$R837),"")</f>
      </c>
      <c r="X837" s="20">
        <f>IFERROR(IF([1]对账明细接口!$S837=0,"",[1]对账明细接口!$S837),"")</f>
      </c>
      <c r="Y837" s="20">
        <f>IFERROR(IF([1]对账明细接口!$T837=0,"",[1]对账明细接口!$T837),"")</f>
      </c>
      <c r="Z837" s="213">
        <f>IFERROR(IF([1]对账明细接口!$U837=0,"",[1]对账明细接口!$U837),"")</f>
      </c>
      <c r="AA837" s="213">
        <f>IFERROR(IF([1]对账明细接口!$V837=0,"",[1]对账明细接口!$V837),"")</f>
      </c>
      <c r="AB837" s="20">
        <f>IFERROR(IF([1]对账明细接口!$W837=0,"",[1]对账明细接口!$W837),"")</f>
      </c>
      <c r="AC837" s="7">
        <f>IFERROR(IF([1]对账明细接口!$X837=0,"",[1]对账明细接口!$X837),"")</f>
      </c>
      <c r="AD837" s="7">
        <f>IFERROR(IF([1]对账明细接口!$Y837=0,"",[1]对账明细接口!$Y837),"")</f>
      </c>
      <c r="AE837" s="7">
        <f>IFERROR(IF([1]对账明细接口!$AA837=0,"",[1]对账明细接口!$AA837),"")</f>
      </c>
      <c r="AF837" s="7">
        <f>IFERROR(IF([1]对账明细接口!$AB837=0,"",[1]对账明细接口!$AB837),"")</f>
      </c>
      <c r="AG837" s="7">
        <f>IFERROR(IF([1]对账明细接口!$AC837=0,"",[1]对账明细接口!$AC837),"")</f>
      </c>
      <c r="AH837" s="7">
        <f>IFERROR(IF([1]对账明细接口!$AD837=0,"",[1]对账明细接口!$AD837),"")</f>
      </c>
      <c r="AI837" s="7">
        <f>IFERROR(IF([1]对账明细接口!$AE837=0,"",[1]对账明细接口!$AE837),"")</f>
      </c>
      <c r="AJ837" s="7">
        <f>IFERROR(IF([1]对账明细接口!$AF837=0,"",[1]对账明细接口!$AF837),"")</f>
      </c>
    </row>
    <row r="838" ht="14.25" customHeight="1" s="127">
      <c r="A838" s="14" t="n">
        <v>838</v>
      </c>
      <c r="B838" s="211">
        <f>IFERROR(IF([1]对账明细接口!$B$838=0,"",[1]对账明细接口!$B$838),"")</f>
      </c>
      <c r="C838" s="16">
        <f>IFERROR(IF([1]对账明细接口!$C$838=0,"",[1]对账明细接口!$C$838),"")</f>
      </c>
      <c r="D838" s="16">
        <f>IFERROR(IF([1]对账明细接口!$D$838=0,"",[1]对账明细接口!$D$838),"")</f>
      </c>
      <c r="E838" s="16">
        <f>IFERROR(IF([1]对账明细接口!$E$838=0,"",[1]对账明细接口!$E$838),"")</f>
      </c>
      <c r="F838" s="16">
        <f>IFERROR(IF([1]对账明细接口!$F$838=0,"",[1]对账明细接口!$F$838),"")</f>
      </c>
      <c r="G838" s="16">
        <f>IFERROR(IF([1]对账明细接口!$G$838=0,"",[1]对账明细接口!$G$838),"")</f>
      </c>
      <c r="H838" s="176">
        <f>IFERROR(IF([1]对账明细接口!$H$838=0,"",[1]对账明细接口!$H$838),"")</f>
      </c>
      <c r="I838" s="16">
        <f>IFERROR(IF([1]对账明细接口!$I$838=0,"",[1]对账明细接口!$I$838),"")</f>
      </c>
      <c r="J838" s="177">
        <f>IFERROR(IF([1]对账明细接口!$J$838=0,"",[1]对账明细接口!$J$838),"")</f>
      </c>
      <c r="K838" s="177">
        <f>IFERROR(IF([1]对账明细接口!$K$838=0,"",[1]对账明细接口!$K$838),"")</f>
      </c>
      <c r="L838" s="16">
        <f>IFERROR(IF([1]对账明细接口!$L$838=0,"",[1]对账明细接口!$L$838),"")</f>
      </c>
      <c r="M838" s="16">
        <f>IFERROR(IF([1]对账明细接口!$M$838=0,"",[1]对账明细接口!$M$838),"")</f>
      </c>
      <c r="N838" s="19">
        <f>IF($C838="",0,1)</f>
        <v>0</v>
      </c>
      <c r="O838" s="19">
        <f>N(O837)+$N838</f>
        <v>637</v>
      </c>
      <c r="S838" s="20">
        <f>IFERROR(IF([1]对账明细接口!$N838=0,"",[1]对账明细接口!$N838),"")</f>
      </c>
      <c r="T838" s="212">
        <f>IFERROR(IF([1]对账明细接口!$O838=0,"",[1]对账明细接口!$O838),"")</f>
      </c>
      <c r="U838" s="212">
        <f>IFERROR(IF([1]对账明细接口!$P838=0,"",[1]对账明细接口!$P838),"")</f>
      </c>
      <c r="V838" s="212">
        <f>IFERROR(IF([1]对账明细接口!$Q838=0,"",[1]对账明细接口!$Q838),"")</f>
      </c>
      <c r="W838" s="20">
        <f>IFERROR(IF([1]对账明细接口!$R838=0,"",[1]对账明细接口!$R838),"")</f>
      </c>
      <c r="X838" s="20">
        <f>IFERROR(IF([1]对账明细接口!$S838=0,"",[1]对账明细接口!$S838),"")</f>
      </c>
      <c r="Y838" s="20">
        <f>IFERROR(IF([1]对账明细接口!$T838=0,"",[1]对账明细接口!$T838),"")</f>
      </c>
      <c r="Z838" s="213">
        <f>IFERROR(IF([1]对账明细接口!$U838=0,"",[1]对账明细接口!$U838),"")</f>
      </c>
      <c r="AA838" s="213">
        <f>IFERROR(IF([1]对账明细接口!$V838=0,"",[1]对账明细接口!$V838),"")</f>
      </c>
      <c r="AB838" s="20">
        <f>IFERROR(IF([1]对账明细接口!$W838=0,"",[1]对账明细接口!$W838),"")</f>
      </c>
      <c r="AC838" s="7">
        <f>IFERROR(IF([1]对账明细接口!$X838=0,"",[1]对账明细接口!$X838),"")</f>
      </c>
      <c r="AD838" s="7">
        <f>IFERROR(IF([1]对账明细接口!$Y838=0,"",[1]对账明细接口!$Y838),"")</f>
      </c>
      <c r="AE838" s="7">
        <f>IFERROR(IF([1]对账明细接口!$AA838=0,"",[1]对账明细接口!$AA838),"")</f>
      </c>
      <c r="AF838" s="7">
        <f>IFERROR(IF([1]对账明细接口!$AB838=0,"",[1]对账明细接口!$AB838),"")</f>
      </c>
      <c r="AG838" s="7">
        <f>IFERROR(IF([1]对账明细接口!$AC838=0,"",[1]对账明细接口!$AC838),"")</f>
      </c>
      <c r="AH838" s="7">
        <f>IFERROR(IF([1]对账明细接口!$AD838=0,"",[1]对账明细接口!$AD838),"")</f>
      </c>
      <c r="AI838" s="7">
        <f>IFERROR(IF([1]对账明细接口!$AE838=0,"",[1]对账明细接口!$AE838),"")</f>
      </c>
      <c r="AJ838" s="7">
        <f>IFERROR(IF([1]对账明细接口!$AF838=0,"",[1]对账明细接口!$AF838),"")</f>
      </c>
    </row>
    <row r="839" ht="14.25" customHeight="1" s="127">
      <c r="A839" s="14" t="n">
        <v>839</v>
      </c>
      <c r="B839" s="211">
        <f>IFERROR(IF([1]对账明细接口!$B$839=0,"",[1]对账明细接口!$B$839),"")</f>
      </c>
      <c r="C839" s="16">
        <f>IFERROR(IF([1]对账明细接口!$C$839=0,"",[1]对账明细接口!$C$839),"")</f>
      </c>
      <c r="D839" s="16">
        <f>IFERROR(IF([1]对账明细接口!$D$839=0,"",[1]对账明细接口!$D$839),"")</f>
      </c>
      <c r="E839" s="16">
        <f>IFERROR(IF([1]对账明细接口!$E$839=0,"",[1]对账明细接口!$E$839),"")</f>
      </c>
      <c r="F839" s="16">
        <f>IFERROR(IF([1]对账明细接口!$F$839=0,"",[1]对账明细接口!$F$839),"")</f>
      </c>
      <c r="G839" s="16">
        <f>IFERROR(IF([1]对账明细接口!$G$839=0,"",[1]对账明细接口!$G$839),"")</f>
      </c>
      <c r="H839" s="176">
        <f>IFERROR(IF([1]对账明细接口!$H$839=0,"",[1]对账明细接口!$H$839),"")</f>
      </c>
      <c r="I839" s="16">
        <f>IFERROR(IF([1]对账明细接口!$I$839=0,"",[1]对账明细接口!$I$839),"")</f>
      </c>
      <c r="J839" s="177">
        <f>IFERROR(IF([1]对账明细接口!$J$839=0,"",[1]对账明细接口!$J$839),"")</f>
      </c>
      <c r="K839" s="177">
        <f>IFERROR(IF([1]对账明细接口!$K$839=0,"",[1]对账明细接口!$K$839),"")</f>
      </c>
      <c r="L839" s="16">
        <f>IFERROR(IF([1]对账明细接口!$L$839=0,"",[1]对账明细接口!$L$839),"")</f>
      </c>
      <c r="M839" s="16">
        <f>IFERROR(IF([1]对账明细接口!$M$839=0,"",[1]对账明细接口!$M$839),"")</f>
      </c>
      <c r="N839" s="19">
        <f>IF($C839="",0,1)</f>
        <v>0</v>
      </c>
      <c r="O839" s="19">
        <f>N(O838)+$N839</f>
        <v>637</v>
      </c>
      <c r="S839" s="20">
        <f>IFERROR(IF([1]对账明细接口!$N839=0,"",[1]对账明细接口!$N839),"")</f>
      </c>
      <c r="T839" s="212">
        <f>IFERROR(IF([1]对账明细接口!$O839=0,"",[1]对账明细接口!$O839),"")</f>
      </c>
      <c r="U839" s="212">
        <f>IFERROR(IF([1]对账明细接口!$P839=0,"",[1]对账明细接口!$P839),"")</f>
      </c>
      <c r="V839" s="212">
        <f>IFERROR(IF([1]对账明细接口!$Q839=0,"",[1]对账明细接口!$Q839),"")</f>
      </c>
      <c r="W839" s="20">
        <f>IFERROR(IF([1]对账明细接口!$R839=0,"",[1]对账明细接口!$R839),"")</f>
      </c>
      <c r="X839" s="20">
        <f>IFERROR(IF([1]对账明细接口!$S839=0,"",[1]对账明细接口!$S839),"")</f>
      </c>
      <c r="Y839" s="20">
        <f>IFERROR(IF([1]对账明细接口!$T839=0,"",[1]对账明细接口!$T839),"")</f>
      </c>
      <c r="Z839" s="213">
        <f>IFERROR(IF([1]对账明细接口!$U839=0,"",[1]对账明细接口!$U839),"")</f>
      </c>
      <c r="AA839" s="213">
        <f>IFERROR(IF([1]对账明细接口!$V839=0,"",[1]对账明细接口!$V839),"")</f>
      </c>
      <c r="AB839" s="20">
        <f>IFERROR(IF([1]对账明细接口!$W839=0,"",[1]对账明细接口!$W839),"")</f>
      </c>
      <c r="AC839" s="7">
        <f>IFERROR(IF([1]对账明细接口!$X839=0,"",[1]对账明细接口!$X839),"")</f>
      </c>
      <c r="AD839" s="7">
        <f>IFERROR(IF([1]对账明细接口!$Y839=0,"",[1]对账明细接口!$Y839),"")</f>
      </c>
      <c r="AE839" s="7">
        <f>IFERROR(IF([1]对账明细接口!$AA839=0,"",[1]对账明细接口!$AA839),"")</f>
      </c>
      <c r="AF839" s="7">
        <f>IFERROR(IF([1]对账明细接口!$AB839=0,"",[1]对账明细接口!$AB839),"")</f>
      </c>
      <c r="AG839" s="7">
        <f>IFERROR(IF([1]对账明细接口!$AC839=0,"",[1]对账明细接口!$AC839),"")</f>
      </c>
      <c r="AH839" s="7">
        <f>IFERROR(IF([1]对账明细接口!$AD839=0,"",[1]对账明细接口!$AD839),"")</f>
      </c>
      <c r="AI839" s="7">
        <f>IFERROR(IF([1]对账明细接口!$AE839=0,"",[1]对账明细接口!$AE839),"")</f>
      </c>
      <c r="AJ839" s="7">
        <f>IFERROR(IF([1]对账明细接口!$AF839=0,"",[1]对账明细接口!$AF839),"")</f>
      </c>
    </row>
    <row r="840" ht="14.25" customHeight="1" s="127">
      <c r="A840" s="14" t="n">
        <v>840</v>
      </c>
      <c r="B840" s="211">
        <f>IFERROR(IF([1]对账明细接口!$B$840=0,"",[1]对账明细接口!$B$840),"")</f>
      </c>
      <c r="C840" s="16">
        <f>IFERROR(IF([1]对账明细接口!$C$840=0,"",[1]对账明细接口!$C$840),"")</f>
      </c>
      <c r="D840" s="16">
        <f>IFERROR(IF([1]对账明细接口!$D$840=0,"",[1]对账明细接口!$D$840),"")</f>
      </c>
      <c r="E840" s="16">
        <f>IFERROR(IF([1]对账明细接口!$E$840=0,"",[1]对账明细接口!$E$840),"")</f>
      </c>
      <c r="F840" s="16">
        <f>IFERROR(IF([1]对账明细接口!$F$840=0,"",[1]对账明细接口!$F$840),"")</f>
      </c>
      <c r="G840" s="16">
        <f>IFERROR(IF([1]对账明细接口!$G$840=0,"",[1]对账明细接口!$G$840),"")</f>
      </c>
      <c r="H840" s="176">
        <f>IFERROR(IF([1]对账明细接口!$H$840=0,"",[1]对账明细接口!$H$840),"")</f>
      </c>
      <c r="I840" s="16">
        <f>IFERROR(IF([1]对账明细接口!$I$840=0,"",[1]对账明细接口!$I$840),"")</f>
      </c>
      <c r="J840" s="177">
        <f>IFERROR(IF([1]对账明细接口!$J$840=0,"",[1]对账明细接口!$J$840),"")</f>
      </c>
      <c r="K840" s="177">
        <f>IFERROR(IF([1]对账明细接口!$K$840=0,"",[1]对账明细接口!$K$840),"")</f>
      </c>
      <c r="L840" s="16">
        <f>IFERROR(IF([1]对账明细接口!$L$840=0,"",[1]对账明细接口!$L$840),"")</f>
      </c>
      <c r="M840" s="16">
        <f>IFERROR(IF([1]对账明细接口!$M$840=0,"",[1]对账明细接口!$M$840),"")</f>
      </c>
      <c r="N840" s="19">
        <f>IF($C840="",0,1)</f>
        <v>0</v>
      </c>
      <c r="O840" s="19">
        <f>N(O839)+$N840</f>
        <v>637</v>
      </c>
      <c r="S840" s="20">
        <f>IFERROR(IF([1]对账明细接口!$N840=0,"",[1]对账明细接口!$N840),"")</f>
      </c>
      <c r="T840" s="212">
        <f>IFERROR(IF([1]对账明细接口!$O840=0,"",[1]对账明细接口!$O840),"")</f>
      </c>
      <c r="U840" s="212">
        <f>IFERROR(IF([1]对账明细接口!$P840=0,"",[1]对账明细接口!$P840),"")</f>
      </c>
      <c r="V840" s="212">
        <f>IFERROR(IF([1]对账明细接口!$Q840=0,"",[1]对账明细接口!$Q840),"")</f>
      </c>
      <c r="W840" s="20">
        <f>IFERROR(IF([1]对账明细接口!$R840=0,"",[1]对账明细接口!$R840),"")</f>
      </c>
      <c r="X840" s="20">
        <f>IFERROR(IF([1]对账明细接口!$S840=0,"",[1]对账明细接口!$S840),"")</f>
      </c>
      <c r="Y840" s="20">
        <f>IFERROR(IF([1]对账明细接口!$T840=0,"",[1]对账明细接口!$T840),"")</f>
      </c>
      <c r="Z840" s="213">
        <f>IFERROR(IF([1]对账明细接口!$U840=0,"",[1]对账明细接口!$U840),"")</f>
      </c>
      <c r="AA840" s="213">
        <f>IFERROR(IF([1]对账明细接口!$V840=0,"",[1]对账明细接口!$V840),"")</f>
      </c>
      <c r="AB840" s="20">
        <f>IFERROR(IF([1]对账明细接口!$W840=0,"",[1]对账明细接口!$W840),"")</f>
      </c>
      <c r="AC840" s="7">
        <f>IFERROR(IF([1]对账明细接口!$X840=0,"",[1]对账明细接口!$X840),"")</f>
      </c>
      <c r="AD840" s="7">
        <f>IFERROR(IF([1]对账明细接口!$Y840=0,"",[1]对账明细接口!$Y840),"")</f>
      </c>
      <c r="AE840" s="7">
        <f>IFERROR(IF([1]对账明细接口!$AA840=0,"",[1]对账明细接口!$AA840),"")</f>
      </c>
      <c r="AF840" s="7">
        <f>IFERROR(IF([1]对账明细接口!$AB840=0,"",[1]对账明细接口!$AB840),"")</f>
      </c>
      <c r="AG840" s="7">
        <f>IFERROR(IF([1]对账明细接口!$AC840=0,"",[1]对账明细接口!$AC840),"")</f>
      </c>
      <c r="AH840" s="7">
        <f>IFERROR(IF([1]对账明细接口!$AD840=0,"",[1]对账明细接口!$AD840),"")</f>
      </c>
      <c r="AI840" s="7">
        <f>IFERROR(IF([1]对账明细接口!$AE840=0,"",[1]对账明细接口!$AE840),"")</f>
      </c>
      <c r="AJ840" s="7">
        <f>IFERROR(IF([1]对账明细接口!$AF840=0,"",[1]对账明细接口!$AF840),"")</f>
      </c>
    </row>
    <row r="841" ht="14.25" customHeight="1" s="127">
      <c r="A841" s="14" t="n">
        <v>841</v>
      </c>
      <c r="B841" s="211">
        <f>IFERROR(IF([1]对账明细接口!$B$841=0,"",[1]对账明细接口!$B$841),"")</f>
      </c>
      <c r="C841" s="16">
        <f>IFERROR(IF([1]对账明细接口!$C$841=0,"",[1]对账明细接口!$C$841),"")</f>
      </c>
      <c r="D841" s="16">
        <f>IFERROR(IF([1]对账明细接口!$D$841=0,"",[1]对账明细接口!$D$841),"")</f>
      </c>
      <c r="E841" s="16">
        <f>IFERROR(IF([1]对账明细接口!$E$841=0,"",[1]对账明细接口!$E$841),"")</f>
      </c>
      <c r="F841" s="16">
        <f>IFERROR(IF([1]对账明细接口!$F$841=0,"",[1]对账明细接口!$F$841),"")</f>
      </c>
      <c r="G841" s="16">
        <f>IFERROR(IF([1]对账明细接口!$G$841=0,"",[1]对账明细接口!$G$841),"")</f>
      </c>
      <c r="H841" s="176">
        <f>IFERROR(IF([1]对账明细接口!$H$841=0,"",[1]对账明细接口!$H$841),"")</f>
      </c>
      <c r="I841" s="16">
        <f>IFERROR(IF([1]对账明细接口!$I$841=0,"",[1]对账明细接口!$I$841),"")</f>
      </c>
      <c r="J841" s="177">
        <f>IFERROR(IF([1]对账明细接口!$J$841=0,"",[1]对账明细接口!$J$841),"")</f>
      </c>
      <c r="K841" s="177">
        <f>IFERROR(IF([1]对账明细接口!$K$841=0,"",[1]对账明细接口!$K$841),"")</f>
      </c>
      <c r="L841" s="16">
        <f>IFERROR(IF([1]对账明细接口!$L$841=0,"",[1]对账明细接口!$L$841),"")</f>
      </c>
      <c r="M841" s="16">
        <f>IFERROR(IF([1]对账明细接口!$M$841=0,"",[1]对账明细接口!$M$841),"")</f>
      </c>
      <c r="N841" s="19">
        <f>IF($C841="",0,1)</f>
        <v>0</v>
      </c>
      <c r="O841" s="19">
        <f>N(O840)+$N841</f>
        <v>637</v>
      </c>
      <c r="S841" s="20">
        <f>IFERROR(IF([1]对账明细接口!$N841=0,"",[1]对账明细接口!$N841),"")</f>
      </c>
      <c r="T841" s="212">
        <f>IFERROR(IF([1]对账明细接口!$O841=0,"",[1]对账明细接口!$O841),"")</f>
      </c>
      <c r="U841" s="212">
        <f>IFERROR(IF([1]对账明细接口!$P841=0,"",[1]对账明细接口!$P841),"")</f>
      </c>
      <c r="V841" s="212">
        <f>IFERROR(IF([1]对账明细接口!$Q841=0,"",[1]对账明细接口!$Q841),"")</f>
      </c>
      <c r="W841" s="20">
        <f>IFERROR(IF([1]对账明细接口!$R841=0,"",[1]对账明细接口!$R841),"")</f>
      </c>
      <c r="X841" s="20">
        <f>IFERROR(IF([1]对账明细接口!$S841=0,"",[1]对账明细接口!$S841),"")</f>
      </c>
      <c r="Y841" s="20">
        <f>IFERROR(IF([1]对账明细接口!$T841=0,"",[1]对账明细接口!$T841),"")</f>
      </c>
      <c r="Z841" s="213">
        <f>IFERROR(IF([1]对账明细接口!$U841=0,"",[1]对账明细接口!$U841),"")</f>
      </c>
      <c r="AA841" s="213">
        <f>IFERROR(IF([1]对账明细接口!$V841=0,"",[1]对账明细接口!$V841),"")</f>
      </c>
      <c r="AB841" s="20">
        <f>IFERROR(IF([1]对账明细接口!$W841=0,"",[1]对账明细接口!$W841),"")</f>
      </c>
      <c r="AC841" s="7">
        <f>IFERROR(IF([1]对账明细接口!$X841=0,"",[1]对账明细接口!$X841),"")</f>
      </c>
      <c r="AD841" s="7">
        <f>IFERROR(IF([1]对账明细接口!$Y841=0,"",[1]对账明细接口!$Y841),"")</f>
      </c>
      <c r="AE841" s="7">
        <f>IFERROR(IF([1]对账明细接口!$AA841=0,"",[1]对账明细接口!$AA841),"")</f>
      </c>
      <c r="AF841" s="7">
        <f>IFERROR(IF([1]对账明细接口!$AB841=0,"",[1]对账明细接口!$AB841),"")</f>
      </c>
      <c r="AG841" s="7">
        <f>IFERROR(IF([1]对账明细接口!$AC841=0,"",[1]对账明细接口!$AC841),"")</f>
      </c>
      <c r="AH841" s="7">
        <f>IFERROR(IF([1]对账明细接口!$AD841=0,"",[1]对账明细接口!$AD841),"")</f>
      </c>
      <c r="AI841" s="7">
        <f>IFERROR(IF([1]对账明细接口!$AE841=0,"",[1]对账明细接口!$AE841),"")</f>
      </c>
      <c r="AJ841" s="7">
        <f>IFERROR(IF([1]对账明细接口!$AF841=0,"",[1]对账明细接口!$AF841),"")</f>
      </c>
    </row>
    <row r="842" ht="14.25" customHeight="1" s="127">
      <c r="A842" s="14" t="n">
        <v>842</v>
      </c>
      <c r="B842" s="211">
        <f>IFERROR(IF([1]对账明细接口!$B$842=0,"",[1]对账明细接口!$B$842),"")</f>
      </c>
      <c r="C842" s="16">
        <f>IFERROR(IF([1]对账明细接口!$C$842=0,"",[1]对账明细接口!$C$842),"")</f>
      </c>
      <c r="D842" s="16">
        <f>IFERROR(IF([1]对账明细接口!$D$842=0,"",[1]对账明细接口!$D$842),"")</f>
      </c>
      <c r="E842" s="16">
        <f>IFERROR(IF([1]对账明细接口!$E$842=0,"",[1]对账明细接口!$E$842),"")</f>
      </c>
      <c r="F842" s="16">
        <f>IFERROR(IF([1]对账明细接口!$F$842=0,"",[1]对账明细接口!$F$842),"")</f>
      </c>
      <c r="G842" s="16">
        <f>IFERROR(IF([1]对账明细接口!$G$842=0,"",[1]对账明细接口!$G$842),"")</f>
      </c>
      <c r="H842" s="176">
        <f>IFERROR(IF([1]对账明细接口!$H$842=0,"",[1]对账明细接口!$H$842),"")</f>
      </c>
      <c r="I842" s="16">
        <f>IFERROR(IF([1]对账明细接口!$I$842=0,"",[1]对账明细接口!$I$842),"")</f>
      </c>
      <c r="J842" s="177">
        <f>IFERROR(IF([1]对账明细接口!$J$842=0,"",[1]对账明细接口!$J$842),"")</f>
      </c>
      <c r="K842" s="177">
        <f>IFERROR(IF([1]对账明细接口!$K$842=0,"",[1]对账明细接口!$K$842),"")</f>
      </c>
      <c r="L842" s="16">
        <f>IFERROR(IF([1]对账明细接口!$L$842=0,"",[1]对账明细接口!$L$842),"")</f>
      </c>
      <c r="M842" s="16">
        <f>IFERROR(IF([1]对账明细接口!$M$842=0,"",[1]对账明细接口!$M$842),"")</f>
      </c>
      <c r="N842" s="19">
        <f>IF($C842="",0,1)</f>
        <v>0</v>
      </c>
      <c r="O842" s="19">
        <f>N(O841)+$N842</f>
        <v>637</v>
      </c>
      <c r="S842" s="20">
        <f>IFERROR(IF([1]对账明细接口!$N842=0,"",[1]对账明细接口!$N842),"")</f>
      </c>
      <c r="T842" s="212">
        <f>IFERROR(IF([1]对账明细接口!$O842=0,"",[1]对账明细接口!$O842),"")</f>
      </c>
      <c r="U842" s="212">
        <f>IFERROR(IF([1]对账明细接口!$P842=0,"",[1]对账明细接口!$P842),"")</f>
      </c>
      <c r="V842" s="212">
        <f>IFERROR(IF([1]对账明细接口!$Q842=0,"",[1]对账明细接口!$Q842),"")</f>
      </c>
      <c r="W842" s="20">
        <f>IFERROR(IF([1]对账明细接口!$R842=0,"",[1]对账明细接口!$R842),"")</f>
      </c>
      <c r="X842" s="20">
        <f>IFERROR(IF([1]对账明细接口!$S842=0,"",[1]对账明细接口!$S842),"")</f>
      </c>
      <c r="Y842" s="20">
        <f>IFERROR(IF([1]对账明细接口!$T842=0,"",[1]对账明细接口!$T842),"")</f>
      </c>
      <c r="Z842" s="213">
        <f>IFERROR(IF([1]对账明细接口!$U842=0,"",[1]对账明细接口!$U842),"")</f>
      </c>
      <c r="AA842" s="213">
        <f>IFERROR(IF([1]对账明细接口!$V842=0,"",[1]对账明细接口!$V842),"")</f>
      </c>
      <c r="AB842" s="20">
        <f>IFERROR(IF([1]对账明细接口!$W842=0,"",[1]对账明细接口!$W842),"")</f>
      </c>
      <c r="AC842" s="7">
        <f>IFERROR(IF([1]对账明细接口!$X842=0,"",[1]对账明细接口!$X842),"")</f>
      </c>
      <c r="AD842" s="7">
        <f>IFERROR(IF([1]对账明细接口!$Y842=0,"",[1]对账明细接口!$Y842),"")</f>
      </c>
      <c r="AE842" s="7">
        <f>IFERROR(IF([1]对账明细接口!$AA842=0,"",[1]对账明细接口!$AA842),"")</f>
      </c>
      <c r="AF842" s="7">
        <f>IFERROR(IF([1]对账明细接口!$AB842=0,"",[1]对账明细接口!$AB842),"")</f>
      </c>
      <c r="AG842" s="7">
        <f>IFERROR(IF([1]对账明细接口!$AC842=0,"",[1]对账明细接口!$AC842),"")</f>
      </c>
      <c r="AH842" s="7">
        <f>IFERROR(IF([1]对账明细接口!$AD842=0,"",[1]对账明细接口!$AD842),"")</f>
      </c>
      <c r="AI842" s="7">
        <f>IFERROR(IF([1]对账明细接口!$AE842=0,"",[1]对账明细接口!$AE842),"")</f>
      </c>
      <c r="AJ842" s="7">
        <f>IFERROR(IF([1]对账明细接口!$AF842=0,"",[1]对账明细接口!$AF842),"")</f>
      </c>
    </row>
    <row r="843" ht="14.25" customHeight="1" s="127">
      <c r="A843" s="14" t="n">
        <v>843</v>
      </c>
      <c r="B843" s="211">
        <f>IFERROR(IF([1]对账明细接口!$B$843=0,"",[1]对账明细接口!$B$843),"")</f>
      </c>
      <c r="C843" s="16">
        <f>IFERROR(IF([1]对账明细接口!$C$843=0,"",[1]对账明细接口!$C$843),"")</f>
      </c>
      <c r="D843" s="16">
        <f>IFERROR(IF([1]对账明细接口!$D$843=0,"",[1]对账明细接口!$D$843),"")</f>
      </c>
      <c r="E843" s="16">
        <f>IFERROR(IF([1]对账明细接口!$E$843=0,"",[1]对账明细接口!$E$843),"")</f>
      </c>
      <c r="F843" s="16">
        <f>IFERROR(IF([1]对账明细接口!$F$843=0,"",[1]对账明细接口!$F$843),"")</f>
      </c>
      <c r="G843" s="16">
        <f>IFERROR(IF([1]对账明细接口!$G$843=0,"",[1]对账明细接口!$G$843),"")</f>
      </c>
      <c r="H843" s="176">
        <f>IFERROR(IF([1]对账明细接口!$H$843=0,"",[1]对账明细接口!$H$843),"")</f>
      </c>
      <c r="I843" s="16">
        <f>IFERROR(IF([1]对账明细接口!$I$843=0,"",[1]对账明细接口!$I$843),"")</f>
      </c>
      <c r="J843" s="177">
        <f>IFERROR(IF([1]对账明细接口!$J$843=0,"",[1]对账明细接口!$J$843),"")</f>
      </c>
      <c r="K843" s="177">
        <f>IFERROR(IF([1]对账明细接口!$K$843=0,"",[1]对账明细接口!$K$843),"")</f>
      </c>
      <c r="L843" s="16">
        <f>IFERROR(IF([1]对账明细接口!$L$843=0,"",[1]对账明细接口!$L$843),"")</f>
      </c>
      <c r="M843" s="16">
        <f>IFERROR(IF([1]对账明细接口!$M$843=0,"",[1]对账明细接口!$M$843),"")</f>
      </c>
      <c r="N843" s="19">
        <f>IF($C843="",0,1)</f>
        <v>0</v>
      </c>
      <c r="O843" s="19">
        <f>N(O842)+$N843</f>
        <v>637</v>
      </c>
      <c r="S843" s="20">
        <f>IFERROR(IF([1]对账明细接口!$N843=0,"",[1]对账明细接口!$N843),"")</f>
      </c>
      <c r="T843" s="212">
        <f>IFERROR(IF([1]对账明细接口!$O843=0,"",[1]对账明细接口!$O843),"")</f>
      </c>
      <c r="U843" s="212">
        <f>IFERROR(IF([1]对账明细接口!$P843=0,"",[1]对账明细接口!$P843),"")</f>
      </c>
      <c r="V843" s="212">
        <f>IFERROR(IF([1]对账明细接口!$Q843=0,"",[1]对账明细接口!$Q843),"")</f>
      </c>
      <c r="W843" s="20">
        <f>IFERROR(IF([1]对账明细接口!$R843=0,"",[1]对账明细接口!$R843),"")</f>
      </c>
      <c r="X843" s="20">
        <f>IFERROR(IF([1]对账明细接口!$S843=0,"",[1]对账明细接口!$S843),"")</f>
      </c>
      <c r="Y843" s="20">
        <f>IFERROR(IF([1]对账明细接口!$T843=0,"",[1]对账明细接口!$T843),"")</f>
      </c>
      <c r="Z843" s="213">
        <f>IFERROR(IF([1]对账明细接口!$U843=0,"",[1]对账明细接口!$U843),"")</f>
      </c>
      <c r="AA843" s="213">
        <f>IFERROR(IF([1]对账明细接口!$V843=0,"",[1]对账明细接口!$V843),"")</f>
      </c>
      <c r="AB843" s="20">
        <f>IFERROR(IF([1]对账明细接口!$W843=0,"",[1]对账明细接口!$W843),"")</f>
      </c>
      <c r="AC843" s="7">
        <f>IFERROR(IF([1]对账明细接口!$X843=0,"",[1]对账明细接口!$X843),"")</f>
      </c>
      <c r="AD843" s="7">
        <f>IFERROR(IF([1]对账明细接口!$Y843=0,"",[1]对账明细接口!$Y843),"")</f>
      </c>
      <c r="AE843" s="7">
        <f>IFERROR(IF([1]对账明细接口!$AA843=0,"",[1]对账明细接口!$AA843),"")</f>
      </c>
      <c r="AF843" s="7">
        <f>IFERROR(IF([1]对账明细接口!$AB843=0,"",[1]对账明细接口!$AB843),"")</f>
      </c>
      <c r="AG843" s="7">
        <f>IFERROR(IF([1]对账明细接口!$AC843=0,"",[1]对账明细接口!$AC843),"")</f>
      </c>
      <c r="AH843" s="7">
        <f>IFERROR(IF([1]对账明细接口!$AD843=0,"",[1]对账明细接口!$AD843),"")</f>
      </c>
      <c r="AI843" s="7">
        <f>IFERROR(IF([1]对账明细接口!$AE843=0,"",[1]对账明细接口!$AE843),"")</f>
      </c>
      <c r="AJ843" s="7">
        <f>IFERROR(IF([1]对账明细接口!$AF843=0,"",[1]对账明细接口!$AF843),"")</f>
      </c>
    </row>
    <row r="844" ht="14.25" customHeight="1" s="127">
      <c r="A844" s="14" t="n">
        <v>844</v>
      </c>
      <c r="B844" s="211">
        <f>IFERROR(IF([1]对账明细接口!$B$844=0,"",[1]对账明细接口!$B$844),"")</f>
      </c>
      <c r="C844" s="16">
        <f>IFERROR(IF([1]对账明细接口!$C$844=0,"",[1]对账明细接口!$C$844),"")</f>
      </c>
      <c r="D844" s="16">
        <f>IFERROR(IF([1]对账明细接口!$D$844=0,"",[1]对账明细接口!$D$844),"")</f>
      </c>
      <c r="E844" s="16">
        <f>IFERROR(IF([1]对账明细接口!$E$844=0,"",[1]对账明细接口!$E$844),"")</f>
      </c>
      <c r="F844" s="16">
        <f>IFERROR(IF([1]对账明细接口!$F$844=0,"",[1]对账明细接口!$F$844),"")</f>
      </c>
      <c r="G844" s="16">
        <f>IFERROR(IF([1]对账明细接口!$G$844=0,"",[1]对账明细接口!$G$844),"")</f>
      </c>
      <c r="H844" s="176">
        <f>IFERROR(IF([1]对账明细接口!$H$844=0,"",[1]对账明细接口!$H$844),"")</f>
      </c>
      <c r="I844" s="16">
        <f>IFERROR(IF([1]对账明细接口!$I$844=0,"",[1]对账明细接口!$I$844),"")</f>
      </c>
      <c r="J844" s="177">
        <f>IFERROR(IF([1]对账明细接口!$J$844=0,"",[1]对账明细接口!$J$844),"")</f>
      </c>
      <c r="K844" s="177">
        <f>IFERROR(IF([1]对账明细接口!$K$844=0,"",[1]对账明细接口!$K$844),"")</f>
      </c>
      <c r="L844" s="16">
        <f>IFERROR(IF([1]对账明细接口!$L$844=0,"",[1]对账明细接口!$L$844),"")</f>
      </c>
      <c r="M844" s="16">
        <f>IFERROR(IF([1]对账明细接口!$M$844=0,"",[1]对账明细接口!$M$844),"")</f>
      </c>
      <c r="N844" s="19">
        <f>IF($C844="",0,1)</f>
        <v>0</v>
      </c>
      <c r="O844" s="19">
        <f>N(O843)+$N844</f>
        <v>637</v>
      </c>
      <c r="S844" s="20">
        <f>IFERROR(IF([1]对账明细接口!$N844=0,"",[1]对账明细接口!$N844),"")</f>
      </c>
      <c r="T844" s="212">
        <f>IFERROR(IF([1]对账明细接口!$O844=0,"",[1]对账明细接口!$O844),"")</f>
      </c>
      <c r="U844" s="212">
        <f>IFERROR(IF([1]对账明细接口!$P844=0,"",[1]对账明细接口!$P844),"")</f>
      </c>
      <c r="V844" s="212">
        <f>IFERROR(IF([1]对账明细接口!$Q844=0,"",[1]对账明细接口!$Q844),"")</f>
      </c>
      <c r="W844" s="20">
        <f>IFERROR(IF([1]对账明细接口!$R844=0,"",[1]对账明细接口!$R844),"")</f>
      </c>
      <c r="X844" s="20">
        <f>IFERROR(IF([1]对账明细接口!$S844=0,"",[1]对账明细接口!$S844),"")</f>
      </c>
      <c r="Y844" s="20">
        <f>IFERROR(IF([1]对账明细接口!$T844=0,"",[1]对账明细接口!$T844),"")</f>
      </c>
      <c r="Z844" s="213">
        <f>IFERROR(IF([1]对账明细接口!$U844=0,"",[1]对账明细接口!$U844),"")</f>
      </c>
      <c r="AA844" s="213">
        <f>IFERROR(IF([1]对账明细接口!$V844=0,"",[1]对账明细接口!$V844),"")</f>
      </c>
      <c r="AB844" s="20">
        <f>IFERROR(IF([1]对账明细接口!$W844=0,"",[1]对账明细接口!$W844),"")</f>
      </c>
      <c r="AC844" s="7">
        <f>IFERROR(IF([1]对账明细接口!$X844=0,"",[1]对账明细接口!$X844),"")</f>
      </c>
      <c r="AD844" s="7">
        <f>IFERROR(IF([1]对账明细接口!$Y844=0,"",[1]对账明细接口!$Y844),"")</f>
      </c>
      <c r="AE844" s="7">
        <f>IFERROR(IF([1]对账明细接口!$AA844=0,"",[1]对账明细接口!$AA844),"")</f>
      </c>
      <c r="AF844" s="7">
        <f>IFERROR(IF([1]对账明细接口!$AB844=0,"",[1]对账明细接口!$AB844),"")</f>
      </c>
      <c r="AG844" s="7">
        <f>IFERROR(IF([1]对账明细接口!$AC844=0,"",[1]对账明细接口!$AC844),"")</f>
      </c>
      <c r="AH844" s="7">
        <f>IFERROR(IF([1]对账明细接口!$AD844=0,"",[1]对账明细接口!$AD844),"")</f>
      </c>
      <c r="AI844" s="7">
        <f>IFERROR(IF([1]对账明细接口!$AE844=0,"",[1]对账明细接口!$AE844),"")</f>
      </c>
      <c r="AJ844" s="7">
        <f>IFERROR(IF([1]对账明细接口!$AF844=0,"",[1]对账明细接口!$AF844),"")</f>
      </c>
    </row>
    <row r="845" ht="14.25" customHeight="1" s="127">
      <c r="A845" s="14" t="n">
        <v>845</v>
      </c>
      <c r="B845" s="211">
        <f>IFERROR(IF([1]对账明细接口!$B$845=0,"",[1]对账明细接口!$B$845),"")</f>
      </c>
      <c r="C845" s="16">
        <f>IFERROR(IF([1]对账明细接口!$C$845=0,"",[1]对账明细接口!$C$845),"")</f>
      </c>
      <c r="D845" s="16">
        <f>IFERROR(IF([1]对账明细接口!$D$845=0,"",[1]对账明细接口!$D$845),"")</f>
      </c>
      <c r="E845" s="16">
        <f>IFERROR(IF([1]对账明细接口!$E$845=0,"",[1]对账明细接口!$E$845),"")</f>
      </c>
      <c r="F845" s="16">
        <f>IFERROR(IF([1]对账明细接口!$F$845=0,"",[1]对账明细接口!$F$845),"")</f>
      </c>
      <c r="G845" s="16">
        <f>IFERROR(IF([1]对账明细接口!$G$845=0,"",[1]对账明细接口!$G$845),"")</f>
      </c>
      <c r="H845" s="176">
        <f>IFERROR(IF([1]对账明细接口!$H$845=0,"",[1]对账明细接口!$H$845),"")</f>
      </c>
      <c r="I845" s="16">
        <f>IFERROR(IF([1]对账明细接口!$I$845=0,"",[1]对账明细接口!$I$845),"")</f>
      </c>
      <c r="J845" s="177">
        <f>IFERROR(IF([1]对账明细接口!$J$845=0,"",[1]对账明细接口!$J$845),"")</f>
      </c>
      <c r="K845" s="177">
        <f>IFERROR(IF([1]对账明细接口!$K$845=0,"",[1]对账明细接口!$K$845),"")</f>
      </c>
      <c r="L845" s="16">
        <f>IFERROR(IF([1]对账明细接口!$L$845=0,"",[1]对账明细接口!$L$845),"")</f>
      </c>
      <c r="M845" s="16">
        <f>IFERROR(IF([1]对账明细接口!$M$845=0,"",[1]对账明细接口!$M$845),"")</f>
      </c>
      <c r="N845" s="19">
        <f>IF($C845="",0,1)</f>
        <v>0</v>
      </c>
      <c r="O845" s="19">
        <f>N(O844)+$N845</f>
        <v>637</v>
      </c>
      <c r="S845" s="20">
        <f>IFERROR(IF([1]对账明细接口!$N845=0,"",[1]对账明细接口!$N845),"")</f>
      </c>
      <c r="T845" s="212">
        <f>IFERROR(IF([1]对账明细接口!$O845=0,"",[1]对账明细接口!$O845),"")</f>
      </c>
      <c r="U845" s="212">
        <f>IFERROR(IF([1]对账明细接口!$P845=0,"",[1]对账明细接口!$P845),"")</f>
      </c>
      <c r="V845" s="212">
        <f>IFERROR(IF([1]对账明细接口!$Q845=0,"",[1]对账明细接口!$Q845),"")</f>
      </c>
      <c r="W845" s="20">
        <f>IFERROR(IF([1]对账明细接口!$R845=0,"",[1]对账明细接口!$R845),"")</f>
      </c>
      <c r="X845" s="20">
        <f>IFERROR(IF([1]对账明细接口!$S845=0,"",[1]对账明细接口!$S845),"")</f>
      </c>
      <c r="Y845" s="20">
        <f>IFERROR(IF([1]对账明细接口!$T845=0,"",[1]对账明细接口!$T845),"")</f>
      </c>
      <c r="Z845" s="213">
        <f>IFERROR(IF([1]对账明细接口!$U845=0,"",[1]对账明细接口!$U845),"")</f>
      </c>
      <c r="AA845" s="213">
        <f>IFERROR(IF([1]对账明细接口!$V845=0,"",[1]对账明细接口!$V845),"")</f>
      </c>
      <c r="AB845" s="20">
        <f>IFERROR(IF([1]对账明细接口!$W845=0,"",[1]对账明细接口!$W845),"")</f>
      </c>
      <c r="AC845" s="7">
        <f>IFERROR(IF([1]对账明细接口!$X845=0,"",[1]对账明细接口!$X845),"")</f>
      </c>
      <c r="AD845" s="7">
        <f>IFERROR(IF([1]对账明细接口!$Y845=0,"",[1]对账明细接口!$Y845),"")</f>
      </c>
      <c r="AE845" s="7">
        <f>IFERROR(IF([1]对账明细接口!$AA845=0,"",[1]对账明细接口!$AA845),"")</f>
      </c>
      <c r="AF845" s="7">
        <f>IFERROR(IF([1]对账明细接口!$AB845=0,"",[1]对账明细接口!$AB845),"")</f>
      </c>
      <c r="AG845" s="7">
        <f>IFERROR(IF([1]对账明细接口!$AC845=0,"",[1]对账明细接口!$AC845),"")</f>
      </c>
      <c r="AH845" s="7">
        <f>IFERROR(IF([1]对账明细接口!$AD845=0,"",[1]对账明细接口!$AD845),"")</f>
      </c>
      <c r="AI845" s="7">
        <f>IFERROR(IF([1]对账明细接口!$AE845=0,"",[1]对账明细接口!$AE845),"")</f>
      </c>
      <c r="AJ845" s="7">
        <f>IFERROR(IF([1]对账明细接口!$AF845=0,"",[1]对账明细接口!$AF845),"")</f>
      </c>
    </row>
    <row r="846" ht="14.25" customHeight="1" s="127">
      <c r="A846" s="14" t="n">
        <v>846</v>
      </c>
      <c r="B846" s="211">
        <f>IFERROR(IF([1]对账明细接口!$B$846=0,"",[1]对账明细接口!$B$846),"")</f>
      </c>
      <c r="C846" s="16">
        <f>IFERROR(IF([1]对账明细接口!$C$846=0,"",[1]对账明细接口!$C$846),"")</f>
      </c>
      <c r="D846" s="16">
        <f>IFERROR(IF([1]对账明细接口!$D$846=0,"",[1]对账明细接口!$D$846),"")</f>
      </c>
      <c r="E846" s="16">
        <f>IFERROR(IF([1]对账明细接口!$E$846=0,"",[1]对账明细接口!$E$846),"")</f>
      </c>
      <c r="F846" s="16">
        <f>IFERROR(IF([1]对账明细接口!$F$846=0,"",[1]对账明细接口!$F$846),"")</f>
      </c>
      <c r="G846" s="16">
        <f>IFERROR(IF([1]对账明细接口!$G$846=0,"",[1]对账明细接口!$G$846),"")</f>
      </c>
      <c r="H846" s="176">
        <f>IFERROR(IF([1]对账明细接口!$H$846=0,"",[1]对账明细接口!$H$846),"")</f>
      </c>
      <c r="I846" s="16">
        <f>IFERROR(IF([1]对账明细接口!$I$846=0,"",[1]对账明细接口!$I$846),"")</f>
      </c>
      <c r="J846" s="177">
        <f>IFERROR(IF([1]对账明细接口!$J$846=0,"",[1]对账明细接口!$J$846),"")</f>
      </c>
      <c r="K846" s="177">
        <f>IFERROR(IF([1]对账明细接口!$K$846=0,"",[1]对账明细接口!$K$846),"")</f>
      </c>
      <c r="L846" s="16">
        <f>IFERROR(IF([1]对账明细接口!$L$846=0,"",[1]对账明细接口!$L$846),"")</f>
      </c>
      <c r="M846" s="16">
        <f>IFERROR(IF([1]对账明细接口!$M$846=0,"",[1]对账明细接口!$M$846),"")</f>
      </c>
      <c r="N846" s="19">
        <f>IF($C846="",0,1)</f>
        <v>0</v>
      </c>
      <c r="O846" s="19">
        <f>N(O845)+$N846</f>
        <v>637</v>
      </c>
      <c r="S846" s="20">
        <f>IFERROR(IF([1]对账明细接口!$N846=0,"",[1]对账明细接口!$N846),"")</f>
      </c>
      <c r="T846" s="212">
        <f>IFERROR(IF([1]对账明细接口!$O846=0,"",[1]对账明细接口!$O846),"")</f>
      </c>
      <c r="U846" s="212">
        <f>IFERROR(IF([1]对账明细接口!$P846=0,"",[1]对账明细接口!$P846),"")</f>
      </c>
      <c r="V846" s="212">
        <f>IFERROR(IF([1]对账明细接口!$Q846=0,"",[1]对账明细接口!$Q846),"")</f>
      </c>
      <c r="W846" s="20">
        <f>IFERROR(IF([1]对账明细接口!$R846=0,"",[1]对账明细接口!$R846),"")</f>
      </c>
      <c r="X846" s="20">
        <f>IFERROR(IF([1]对账明细接口!$S846=0,"",[1]对账明细接口!$S846),"")</f>
      </c>
      <c r="Y846" s="20">
        <f>IFERROR(IF([1]对账明细接口!$T846=0,"",[1]对账明细接口!$T846),"")</f>
      </c>
      <c r="Z846" s="213">
        <f>IFERROR(IF([1]对账明细接口!$U846=0,"",[1]对账明细接口!$U846),"")</f>
      </c>
      <c r="AA846" s="213">
        <f>IFERROR(IF([1]对账明细接口!$V846=0,"",[1]对账明细接口!$V846),"")</f>
      </c>
      <c r="AB846" s="20">
        <f>IFERROR(IF([1]对账明细接口!$W846=0,"",[1]对账明细接口!$W846),"")</f>
      </c>
      <c r="AC846" s="7">
        <f>IFERROR(IF([1]对账明细接口!$X846=0,"",[1]对账明细接口!$X846),"")</f>
      </c>
      <c r="AD846" s="7">
        <f>IFERROR(IF([1]对账明细接口!$Y846=0,"",[1]对账明细接口!$Y846),"")</f>
      </c>
      <c r="AE846" s="7">
        <f>IFERROR(IF([1]对账明细接口!$AA846=0,"",[1]对账明细接口!$AA846),"")</f>
      </c>
      <c r="AF846" s="7">
        <f>IFERROR(IF([1]对账明细接口!$AB846=0,"",[1]对账明细接口!$AB846),"")</f>
      </c>
      <c r="AG846" s="7">
        <f>IFERROR(IF([1]对账明细接口!$AC846=0,"",[1]对账明细接口!$AC846),"")</f>
      </c>
      <c r="AH846" s="7">
        <f>IFERROR(IF([1]对账明细接口!$AD846=0,"",[1]对账明细接口!$AD846),"")</f>
      </c>
      <c r="AI846" s="7">
        <f>IFERROR(IF([1]对账明细接口!$AE846=0,"",[1]对账明细接口!$AE846),"")</f>
      </c>
      <c r="AJ846" s="7">
        <f>IFERROR(IF([1]对账明细接口!$AF846=0,"",[1]对账明细接口!$AF846),"")</f>
      </c>
    </row>
    <row r="847" ht="14.25" customHeight="1" s="127">
      <c r="A847" s="14" t="n">
        <v>847</v>
      </c>
      <c r="B847" s="211">
        <f>IFERROR(IF([1]对账明细接口!$B$847=0,"",[1]对账明细接口!$B$847),"")</f>
      </c>
      <c r="C847" s="16">
        <f>IFERROR(IF([1]对账明细接口!$C$847=0,"",[1]对账明细接口!$C$847),"")</f>
      </c>
      <c r="D847" s="16">
        <f>IFERROR(IF([1]对账明细接口!$D$847=0,"",[1]对账明细接口!$D$847),"")</f>
      </c>
      <c r="E847" s="16">
        <f>IFERROR(IF([1]对账明细接口!$E$847=0,"",[1]对账明细接口!$E$847),"")</f>
      </c>
      <c r="F847" s="16">
        <f>IFERROR(IF([1]对账明细接口!$F$847=0,"",[1]对账明细接口!$F$847),"")</f>
      </c>
      <c r="G847" s="16">
        <f>IFERROR(IF([1]对账明细接口!$G$847=0,"",[1]对账明细接口!$G$847),"")</f>
      </c>
      <c r="H847" s="176">
        <f>IFERROR(IF([1]对账明细接口!$H$847=0,"",[1]对账明细接口!$H$847),"")</f>
      </c>
      <c r="I847" s="16">
        <f>IFERROR(IF([1]对账明细接口!$I$847=0,"",[1]对账明细接口!$I$847),"")</f>
      </c>
      <c r="J847" s="177">
        <f>IFERROR(IF([1]对账明细接口!$J$847=0,"",[1]对账明细接口!$J$847),"")</f>
      </c>
      <c r="K847" s="177">
        <f>IFERROR(IF([1]对账明细接口!$K$847=0,"",[1]对账明细接口!$K$847),"")</f>
      </c>
      <c r="L847" s="16">
        <f>IFERROR(IF([1]对账明细接口!$L$847=0,"",[1]对账明细接口!$L$847),"")</f>
      </c>
      <c r="M847" s="16">
        <f>IFERROR(IF([1]对账明细接口!$M$847=0,"",[1]对账明细接口!$M$847),"")</f>
      </c>
      <c r="N847" s="19">
        <f>IF($C847="",0,1)</f>
        <v>0</v>
      </c>
      <c r="O847" s="19">
        <f>N(O846)+$N847</f>
        <v>637</v>
      </c>
      <c r="S847" s="20">
        <f>IFERROR(IF([1]对账明细接口!$N847=0,"",[1]对账明细接口!$N847),"")</f>
      </c>
      <c r="T847" s="212">
        <f>IFERROR(IF([1]对账明细接口!$O847=0,"",[1]对账明细接口!$O847),"")</f>
      </c>
      <c r="U847" s="212">
        <f>IFERROR(IF([1]对账明细接口!$P847=0,"",[1]对账明细接口!$P847),"")</f>
      </c>
      <c r="V847" s="212">
        <f>IFERROR(IF([1]对账明细接口!$Q847=0,"",[1]对账明细接口!$Q847),"")</f>
      </c>
      <c r="W847" s="20">
        <f>IFERROR(IF([1]对账明细接口!$R847=0,"",[1]对账明细接口!$R847),"")</f>
      </c>
      <c r="X847" s="20">
        <f>IFERROR(IF([1]对账明细接口!$S847=0,"",[1]对账明细接口!$S847),"")</f>
      </c>
      <c r="Y847" s="20">
        <f>IFERROR(IF([1]对账明细接口!$T847=0,"",[1]对账明细接口!$T847),"")</f>
      </c>
      <c r="Z847" s="213">
        <f>IFERROR(IF([1]对账明细接口!$U847=0,"",[1]对账明细接口!$U847),"")</f>
      </c>
      <c r="AA847" s="213">
        <f>IFERROR(IF([1]对账明细接口!$V847=0,"",[1]对账明细接口!$V847),"")</f>
      </c>
      <c r="AB847" s="20">
        <f>IFERROR(IF([1]对账明细接口!$W847=0,"",[1]对账明细接口!$W847),"")</f>
      </c>
      <c r="AC847" s="7">
        <f>IFERROR(IF([1]对账明细接口!$X847=0,"",[1]对账明细接口!$X847),"")</f>
      </c>
      <c r="AD847" s="7">
        <f>IFERROR(IF([1]对账明细接口!$Y847=0,"",[1]对账明细接口!$Y847),"")</f>
      </c>
      <c r="AE847" s="7">
        <f>IFERROR(IF([1]对账明细接口!$AA847=0,"",[1]对账明细接口!$AA847),"")</f>
      </c>
      <c r="AF847" s="7">
        <f>IFERROR(IF([1]对账明细接口!$AB847=0,"",[1]对账明细接口!$AB847),"")</f>
      </c>
      <c r="AG847" s="7">
        <f>IFERROR(IF([1]对账明细接口!$AC847=0,"",[1]对账明细接口!$AC847),"")</f>
      </c>
      <c r="AH847" s="7">
        <f>IFERROR(IF([1]对账明细接口!$AD847=0,"",[1]对账明细接口!$AD847),"")</f>
      </c>
      <c r="AI847" s="7">
        <f>IFERROR(IF([1]对账明细接口!$AE847=0,"",[1]对账明细接口!$AE847),"")</f>
      </c>
      <c r="AJ847" s="7">
        <f>IFERROR(IF([1]对账明细接口!$AF847=0,"",[1]对账明细接口!$AF847),"")</f>
      </c>
    </row>
    <row r="848" ht="14.25" customHeight="1" s="127">
      <c r="A848" s="14" t="n">
        <v>848</v>
      </c>
      <c r="B848" s="211">
        <f>IFERROR(IF([1]对账明细接口!$B$848=0,"",[1]对账明细接口!$B$848),"")</f>
      </c>
      <c r="C848" s="16">
        <f>IFERROR(IF([1]对账明细接口!$C$848=0,"",[1]对账明细接口!$C$848),"")</f>
      </c>
      <c r="D848" s="16">
        <f>IFERROR(IF([1]对账明细接口!$D$848=0,"",[1]对账明细接口!$D$848),"")</f>
      </c>
      <c r="E848" s="16">
        <f>IFERROR(IF([1]对账明细接口!$E$848=0,"",[1]对账明细接口!$E$848),"")</f>
      </c>
      <c r="F848" s="16">
        <f>IFERROR(IF([1]对账明细接口!$F$848=0,"",[1]对账明细接口!$F$848),"")</f>
      </c>
      <c r="G848" s="16">
        <f>IFERROR(IF([1]对账明细接口!$G$848=0,"",[1]对账明细接口!$G$848),"")</f>
      </c>
      <c r="H848" s="176">
        <f>IFERROR(IF([1]对账明细接口!$H$848=0,"",[1]对账明细接口!$H$848),"")</f>
      </c>
      <c r="I848" s="16">
        <f>IFERROR(IF([1]对账明细接口!$I$848=0,"",[1]对账明细接口!$I$848),"")</f>
      </c>
      <c r="J848" s="177">
        <f>IFERROR(IF([1]对账明细接口!$J$848=0,"",[1]对账明细接口!$J$848),"")</f>
      </c>
      <c r="K848" s="177">
        <f>IFERROR(IF([1]对账明细接口!$K$848=0,"",[1]对账明细接口!$K$848),"")</f>
      </c>
      <c r="L848" s="16">
        <f>IFERROR(IF([1]对账明细接口!$L$848=0,"",[1]对账明细接口!$L$848),"")</f>
      </c>
      <c r="M848" s="16">
        <f>IFERROR(IF([1]对账明细接口!$M$848=0,"",[1]对账明细接口!$M$848),"")</f>
      </c>
      <c r="N848" s="19">
        <f>IF($C848="",0,1)</f>
        <v>0</v>
      </c>
      <c r="O848" s="19">
        <f>N(O847)+$N848</f>
        <v>637</v>
      </c>
      <c r="S848" s="20">
        <f>IFERROR(IF([1]对账明细接口!$N848=0,"",[1]对账明细接口!$N848),"")</f>
      </c>
      <c r="T848" s="212">
        <f>IFERROR(IF([1]对账明细接口!$O848=0,"",[1]对账明细接口!$O848),"")</f>
      </c>
      <c r="U848" s="212">
        <f>IFERROR(IF([1]对账明细接口!$P848=0,"",[1]对账明细接口!$P848),"")</f>
      </c>
      <c r="V848" s="212">
        <f>IFERROR(IF([1]对账明细接口!$Q848=0,"",[1]对账明细接口!$Q848),"")</f>
      </c>
      <c r="W848" s="20">
        <f>IFERROR(IF([1]对账明细接口!$R848=0,"",[1]对账明细接口!$R848),"")</f>
      </c>
      <c r="X848" s="20">
        <f>IFERROR(IF([1]对账明细接口!$S848=0,"",[1]对账明细接口!$S848),"")</f>
      </c>
      <c r="Y848" s="20">
        <f>IFERROR(IF([1]对账明细接口!$T848=0,"",[1]对账明细接口!$T848),"")</f>
      </c>
      <c r="Z848" s="213">
        <f>IFERROR(IF([1]对账明细接口!$U848=0,"",[1]对账明细接口!$U848),"")</f>
      </c>
      <c r="AA848" s="213">
        <f>IFERROR(IF([1]对账明细接口!$V848=0,"",[1]对账明细接口!$V848),"")</f>
      </c>
      <c r="AB848" s="20">
        <f>IFERROR(IF([1]对账明细接口!$W848=0,"",[1]对账明细接口!$W848),"")</f>
      </c>
      <c r="AC848" s="7">
        <f>IFERROR(IF([1]对账明细接口!$X848=0,"",[1]对账明细接口!$X848),"")</f>
      </c>
      <c r="AD848" s="7">
        <f>IFERROR(IF([1]对账明细接口!$Y848=0,"",[1]对账明细接口!$Y848),"")</f>
      </c>
      <c r="AE848" s="7">
        <f>IFERROR(IF([1]对账明细接口!$AA848=0,"",[1]对账明细接口!$AA848),"")</f>
      </c>
      <c r="AF848" s="7">
        <f>IFERROR(IF([1]对账明细接口!$AB848=0,"",[1]对账明细接口!$AB848),"")</f>
      </c>
      <c r="AG848" s="7">
        <f>IFERROR(IF([1]对账明细接口!$AC848=0,"",[1]对账明细接口!$AC848),"")</f>
      </c>
      <c r="AH848" s="7">
        <f>IFERROR(IF([1]对账明细接口!$AD848=0,"",[1]对账明细接口!$AD848),"")</f>
      </c>
      <c r="AI848" s="7">
        <f>IFERROR(IF([1]对账明细接口!$AE848=0,"",[1]对账明细接口!$AE848),"")</f>
      </c>
      <c r="AJ848" s="7">
        <f>IFERROR(IF([1]对账明细接口!$AF848=0,"",[1]对账明细接口!$AF848),"")</f>
      </c>
    </row>
    <row r="849" ht="14.25" customHeight="1" s="127">
      <c r="A849" s="14" t="n">
        <v>849</v>
      </c>
      <c r="B849" s="211">
        <f>IFERROR(IF([1]对账明细接口!$B$849=0,"",[1]对账明细接口!$B$849),"")</f>
      </c>
      <c r="C849" s="16">
        <f>IFERROR(IF([1]对账明细接口!$C$849=0,"",[1]对账明细接口!$C$849),"")</f>
      </c>
      <c r="D849" s="16">
        <f>IFERROR(IF([1]对账明细接口!$D$849=0,"",[1]对账明细接口!$D$849),"")</f>
      </c>
      <c r="E849" s="16">
        <f>IFERROR(IF([1]对账明细接口!$E$849=0,"",[1]对账明细接口!$E$849),"")</f>
      </c>
      <c r="F849" s="16">
        <f>IFERROR(IF([1]对账明细接口!$F$849=0,"",[1]对账明细接口!$F$849),"")</f>
      </c>
      <c r="G849" s="16">
        <f>IFERROR(IF([1]对账明细接口!$G$849=0,"",[1]对账明细接口!$G$849),"")</f>
      </c>
      <c r="H849" s="176">
        <f>IFERROR(IF([1]对账明细接口!$H$849=0,"",[1]对账明细接口!$H$849),"")</f>
      </c>
      <c r="I849" s="16">
        <f>IFERROR(IF([1]对账明细接口!$I$849=0,"",[1]对账明细接口!$I$849),"")</f>
      </c>
      <c r="J849" s="177">
        <f>IFERROR(IF([1]对账明细接口!$J$849=0,"",[1]对账明细接口!$J$849),"")</f>
      </c>
      <c r="K849" s="177">
        <f>IFERROR(IF([1]对账明细接口!$K$849=0,"",[1]对账明细接口!$K$849),"")</f>
      </c>
      <c r="L849" s="16">
        <f>IFERROR(IF([1]对账明细接口!$L$849=0,"",[1]对账明细接口!$L$849),"")</f>
      </c>
      <c r="M849" s="16">
        <f>IFERROR(IF([1]对账明细接口!$M$849=0,"",[1]对账明细接口!$M$849),"")</f>
      </c>
      <c r="N849" s="19">
        <f>IF($C849="",0,1)</f>
        <v>0</v>
      </c>
      <c r="O849" s="19">
        <f>N(O848)+$N849</f>
        <v>637</v>
      </c>
      <c r="S849" s="20">
        <f>IFERROR(IF([1]对账明细接口!$N849=0,"",[1]对账明细接口!$N849),"")</f>
      </c>
      <c r="T849" s="212">
        <f>IFERROR(IF([1]对账明细接口!$O849=0,"",[1]对账明细接口!$O849),"")</f>
      </c>
      <c r="U849" s="212">
        <f>IFERROR(IF([1]对账明细接口!$P849=0,"",[1]对账明细接口!$P849),"")</f>
      </c>
      <c r="V849" s="212">
        <f>IFERROR(IF([1]对账明细接口!$Q849=0,"",[1]对账明细接口!$Q849),"")</f>
      </c>
      <c r="W849" s="20">
        <f>IFERROR(IF([1]对账明细接口!$R849=0,"",[1]对账明细接口!$R849),"")</f>
      </c>
      <c r="X849" s="20">
        <f>IFERROR(IF([1]对账明细接口!$S849=0,"",[1]对账明细接口!$S849),"")</f>
      </c>
      <c r="Y849" s="20">
        <f>IFERROR(IF([1]对账明细接口!$T849=0,"",[1]对账明细接口!$T849),"")</f>
      </c>
      <c r="Z849" s="213">
        <f>IFERROR(IF([1]对账明细接口!$U849=0,"",[1]对账明细接口!$U849),"")</f>
      </c>
      <c r="AA849" s="213">
        <f>IFERROR(IF([1]对账明细接口!$V849=0,"",[1]对账明细接口!$V849),"")</f>
      </c>
      <c r="AB849" s="20">
        <f>IFERROR(IF([1]对账明细接口!$W849=0,"",[1]对账明细接口!$W849),"")</f>
      </c>
      <c r="AC849" s="7">
        <f>IFERROR(IF([1]对账明细接口!$X849=0,"",[1]对账明细接口!$X849),"")</f>
      </c>
      <c r="AD849" s="7">
        <f>IFERROR(IF([1]对账明细接口!$Y849=0,"",[1]对账明细接口!$Y849),"")</f>
      </c>
      <c r="AE849" s="7">
        <f>IFERROR(IF([1]对账明细接口!$AA849=0,"",[1]对账明细接口!$AA849),"")</f>
      </c>
      <c r="AF849" s="7">
        <f>IFERROR(IF([1]对账明细接口!$AB849=0,"",[1]对账明细接口!$AB849),"")</f>
      </c>
      <c r="AG849" s="7">
        <f>IFERROR(IF([1]对账明细接口!$AC849=0,"",[1]对账明细接口!$AC849),"")</f>
      </c>
      <c r="AH849" s="7">
        <f>IFERROR(IF([1]对账明细接口!$AD849=0,"",[1]对账明细接口!$AD849),"")</f>
      </c>
      <c r="AI849" s="7">
        <f>IFERROR(IF([1]对账明细接口!$AE849=0,"",[1]对账明细接口!$AE849),"")</f>
      </c>
      <c r="AJ849" s="7">
        <f>IFERROR(IF([1]对账明细接口!$AF849=0,"",[1]对账明细接口!$AF849),"")</f>
      </c>
    </row>
    <row r="850" ht="14.25" customHeight="1" s="127">
      <c r="A850" s="14" t="n">
        <v>850</v>
      </c>
      <c r="B850" s="211">
        <f>IFERROR(IF([1]对账明细接口!$B$850=0,"",[1]对账明细接口!$B$850),"")</f>
      </c>
      <c r="C850" s="16">
        <f>IFERROR(IF([1]对账明细接口!$C$850=0,"",[1]对账明细接口!$C$850),"")</f>
      </c>
      <c r="D850" s="16">
        <f>IFERROR(IF([1]对账明细接口!$D$850=0,"",[1]对账明细接口!$D$850),"")</f>
      </c>
      <c r="E850" s="16">
        <f>IFERROR(IF([1]对账明细接口!$E$850=0,"",[1]对账明细接口!$E$850),"")</f>
      </c>
      <c r="F850" s="16">
        <f>IFERROR(IF([1]对账明细接口!$F$850=0,"",[1]对账明细接口!$F$850),"")</f>
      </c>
      <c r="G850" s="16">
        <f>IFERROR(IF([1]对账明细接口!$G$850=0,"",[1]对账明细接口!$G$850),"")</f>
      </c>
      <c r="H850" s="176">
        <f>IFERROR(IF([1]对账明细接口!$H$850=0,"",[1]对账明细接口!$H$850),"")</f>
      </c>
      <c r="I850" s="16">
        <f>IFERROR(IF([1]对账明细接口!$I$850=0,"",[1]对账明细接口!$I$850),"")</f>
      </c>
      <c r="J850" s="177">
        <f>IFERROR(IF([1]对账明细接口!$J$850=0,"",[1]对账明细接口!$J$850),"")</f>
      </c>
      <c r="K850" s="177">
        <f>IFERROR(IF([1]对账明细接口!$K$850=0,"",[1]对账明细接口!$K$850),"")</f>
      </c>
      <c r="L850" s="16">
        <f>IFERROR(IF([1]对账明细接口!$L$850=0,"",[1]对账明细接口!$L$850),"")</f>
      </c>
      <c r="M850" s="16">
        <f>IFERROR(IF([1]对账明细接口!$M$850=0,"",[1]对账明细接口!$M$850),"")</f>
      </c>
      <c r="N850" s="19">
        <f>IF($C850="",0,1)</f>
        <v>0</v>
      </c>
      <c r="O850" s="19">
        <f>N(O849)+$N850</f>
        <v>637</v>
      </c>
      <c r="S850" s="20">
        <f>IFERROR(IF([1]对账明细接口!$N850=0,"",[1]对账明细接口!$N850),"")</f>
      </c>
      <c r="T850" s="212">
        <f>IFERROR(IF([1]对账明细接口!$O850=0,"",[1]对账明细接口!$O850),"")</f>
      </c>
      <c r="U850" s="212">
        <f>IFERROR(IF([1]对账明细接口!$P850=0,"",[1]对账明细接口!$P850),"")</f>
      </c>
      <c r="V850" s="212">
        <f>IFERROR(IF([1]对账明细接口!$Q850=0,"",[1]对账明细接口!$Q850),"")</f>
      </c>
      <c r="W850" s="20">
        <f>IFERROR(IF([1]对账明细接口!$R850=0,"",[1]对账明细接口!$R850),"")</f>
      </c>
      <c r="X850" s="20">
        <f>IFERROR(IF([1]对账明细接口!$S850=0,"",[1]对账明细接口!$S850),"")</f>
      </c>
      <c r="Y850" s="20">
        <f>IFERROR(IF([1]对账明细接口!$T850=0,"",[1]对账明细接口!$T850),"")</f>
      </c>
      <c r="Z850" s="213">
        <f>IFERROR(IF([1]对账明细接口!$U850=0,"",[1]对账明细接口!$U850),"")</f>
      </c>
      <c r="AA850" s="213">
        <f>IFERROR(IF([1]对账明细接口!$V850=0,"",[1]对账明细接口!$V850),"")</f>
      </c>
      <c r="AB850" s="20">
        <f>IFERROR(IF([1]对账明细接口!$W850=0,"",[1]对账明细接口!$W850),"")</f>
      </c>
      <c r="AC850" s="7">
        <f>IFERROR(IF([1]对账明细接口!$X850=0,"",[1]对账明细接口!$X850),"")</f>
      </c>
      <c r="AD850" s="7">
        <f>IFERROR(IF([1]对账明细接口!$Y850=0,"",[1]对账明细接口!$Y850),"")</f>
      </c>
      <c r="AE850" s="7">
        <f>IFERROR(IF([1]对账明细接口!$AA850=0,"",[1]对账明细接口!$AA850),"")</f>
      </c>
      <c r="AF850" s="7">
        <f>IFERROR(IF([1]对账明细接口!$AB850=0,"",[1]对账明细接口!$AB850),"")</f>
      </c>
      <c r="AG850" s="7">
        <f>IFERROR(IF([1]对账明细接口!$AC850=0,"",[1]对账明细接口!$AC850),"")</f>
      </c>
      <c r="AH850" s="7">
        <f>IFERROR(IF([1]对账明细接口!$AD850=0,"",[1]对账明细接口!$AD850),"")</f>
      </c>
      <c r="AI850" s="7">
        <f>IFERROR(IF([1]对账明细接口!$AE850=0,"",[1]对账明细接口!$AE850),"")</f>
      </c>
      <c r="AJ850" s="7">
        <f>IFERROR(IF([1]对账明细接口!$AF850=0,"",[1]对账明细接口!$AF850),"")</f>
      </c>
    </row>
    <row r="851" ht="14.25" customHeight="1" s="127">
      <c r="A851" s="14" t="n">
        <v>851</v>
      </c>
      <c r="B851" s="211">
        <f>IFERROR(IF([1]对账明细接口!$B$851=0,"",[1]对账明细接口!$B$851),"")</f>
      </c>
      <c r="C851" s="16">
        <f>IFERROR(IF([1]对账明细接口!$C$851=0,"",[1]对账明细接口!$C$851),"")</f>
      </c>
      <c r="D851" s="16">
        <f>IFERROR(IF([1]对账明细接口!$D$851=0,"",[1]对账明细接口!$D$851),"")</f>
      </c>
      <c r="E851" s="16">
        <f>IFERROR(IF([1]对账明细接口!$E$851=0,"",[1]对账明细接口!$E$851),"")</f>
      </c>
      <c r="F851" s="16">
        <f>IFERROR(IF([1]对账明细接口!$F$851=0,"",[1]对账明细接口!$F$851),"")</f>
      </c>
      <c r="G851" s="16">
        <f>IFERROR(IF([1]对账明细接口!$G$851=0,"",[1]对账明细接口!$G$851),"")</f>
      </c>
      <c r="H851" s="176">
        <f>IFERROR(IF([1]对账明细接口!$H$851=0,"",[1]对账明细接口!$H$851),"")</f>
      </c>
      <c r="I851" s="16">
        <f>IFERROR(IF([1]对账明细接口!$I$851=0,"",[1]对账明细接口!$I$851),"")</f>
      </c>
      <c r="J851" s="177">
        <f>IFERROR(IF([1]对账明细接口!$J$851=0,"",[1]对账明细接口!$J$851),"")</f>
      </c>
      <c r="K851" s="177">
        <f>IFERROR(IF([1]对账明细接口!$K$851=0,"",[1]对账明细接口!$K$851),"")</f>
      </c>
      <c r="L851" s="16">
        <f>IFERROR(IF([1]对账明细接口!$L$851=0,"",[1]对账明细接口!$L$851),"")</f>
      </c>
      <c r="M851" s="16">
        <f>IFERROR(IF([1]对账明细接口!$M$851=0,"",[1]对账明细接口!$M$851),"")</f>
      </c>
      <c r="N851" s="19">
        <f>IF($C851="",0,1)</f>
        <v>0</v>
      </c>
      <c r="O851" s="19">
        <f>N(O850)+$N851</f>
        <v>637</v>
      </c>
      <c r="S851" s="20">
        <f>IFERROR(IF([1]对账明细接口!$N851=0,"",[1]对账明细接口!$N851),"")</f>
      </c>
      <c r="T851" s="212">
        <f>IFERROR(IF([1]对账明细接口!$O851=0,"",[1]对账明细接口!$O851),"")</f>
      </c>
      <c r="U851" s="212">
        <f>IFERROR(IF([1]对账明细接口!$P851=0,"",[1]对账明细接口!$P851),"")</f>
      </c>
      <c r="V851" s="212">
        <f>IFERROR(IF([1]对账明细接口!$Q851=0,"",[1]对账明细接口!$Q851),"")</f>
      </c>
      <c r="W851" s="20">
        <f>IFERROR(IF([1]对账明细接口!$R851=0,"",[1]对账明细接口!$R851),"")</f>
      </c>
      <c r="X851" s="20">
        <f>IFERROR(IF([1]对账明细接口!$S851=0,"",[1]对账明细接口!$S851),"")</f>
      </c>
      <c r="Y851" s="20">
        <f>IFERROR(IF([1]对账明细接口!$T851=0,"",[1]对账明细接口!$T851),"")</f>
      </c>
      <c r="Z851" s="213">
        <f>IFERROR(IF([1]对账明细接口!$U851=0,"",[1]对账明细接口!$U851),"")</f>
      </c>
      <c r="AA851" s="213">
        <f>IFERROR(IF([1]对账明细接口!$V851=0,"",[1]对账明细接口!$V851),"")</f>
      </c>
      <c r="AB851" s="20">
        <f>IFERROR(IF([1]对账明细接口!$W851=0,"",[1]对账明细接口!$W851),"")</f>
      </c>
      <c r="AC851" s="7">
        <f>IFERROR(IF([1]对账明细接口!$X851=0,"",[1]对账明细接口!$X851),"")</f>
      </c>
      <c r="AD851" s="7">
        <f>IFERROR(IF([1]对账明细接口!$Y851=0,"",[1]对账明细接口!$Y851),"")</f>
      </c>
      <c r="AE851" s="7">
        <f>IFERROR(IF([1]对账明细接口!$AA851=0,"",[1]对账明细接口!$AA851),"")</f>
      </c>
      <c r="AF851" s="7">
        <f>IFERROR(IF([1]对账明细接口!$AB851=0,"",[1]对账明细接口!$AB851),"")</f>
      </c>
      <c r="AG851" s="7">
        <f>IFERROR(IF([1]对账明细接口!$AC851=0,"",[1]对账明细接口!$AC851),"")</f>
      </c>
      <c r="AH851" s="7">
        <f>IFERROR(IF([1]对账明细接口!$AD851=0,"",[1]对账明细接口!$AD851),"")</f>
      </c>
      <c r="AI851" s="7">
        <f>IFERROR(IF([1]对账明细接口!$AE851=0,"",[1]对账明细接口!$AE851),"")</f>
      </c>
      <c r="AJ851" s="7">
        <f>IFERROR(IF([1]对账明细接口!$AF851=0,"",[1]对账明细接口!$AF851),"")</f>
      </c>
    </row>
    <row r="852" ht="14.25" customHeight="1" s="127">
      <c r="A852" s="14" t="n">
        <v>852</v>
      </c>
      <c r="B852" s="211">
        <f>IFERROR(IF([1]对账明细接口!$B$852=0,"",[1]对账明细接口!$B$852),"")</f>
      </c>
      <c r="C852" s="16">
        <f>IFERROR(IF([1]对账明细接口!$C$852=0,"",[1]对账明细接口!$C$852),"")</f>
      </c>
      <c r="D852" s="16">
        <f>IFERROR(IF([1]对账明细接口!$D$852=0,"",[1]对账明细接口!$D$852),"")</f>
      </c>
      <c r="E852" s="16">
        <f>IFERROR(IF([1]对账明细接口!$E$852=0,"",[1]对账明细接口!$E$852),"")</f>
      </c>
      <c r="F852" s="16">
        <f>IFERROR(IF([1]对账明细接口!$F$852=0,"",[1]对账明细接口!$F$852),"")</f>
      </c>
      <c r="G852" s="16">
        <f>IFERROR(IF([1]对账明细接口!$G$852=0,"",[1]对账明细接口!$G$852),"")</f>
      </c>
      <c r="H852" s="176">
        <f>IFERROR(IF([1]对账明细接口!$H$852=0,"",[1]对账明细接口!$H$852),"")</f>
      </c>
      <c r="I852" s="16">
        <f>IFERROR(IF([1]对账明细接口!$I$852=0,"",[1]对账明细接口!$I$852),"")</f>
      </c>
      <c r="J852" s="177">
        <f>IFERROR(IF([1]对账明细接口!$J$852=0,"",[1]对账明细接口!$J$852),"")</f>
      </c>
      <c r="K852" s="177">
        <f>IFERROR(IF([1]对账明细接口!$K$852=0,"",[1]对账明细接口!$K$852),"")</f>
      </c>
      <c r="L852" s="16">
        <f>IFERROR(IF([1]对账明细接口!$L$852=0,"",[1]对账明细接口!$L$852),"")</f>
      </c>
      <c r="M852" s="16">
        <f>IFERROR(IF([1]对账明细接口!$M$852=0,"",[1]对账明细接口!$M$852),"")</f>
      </c>
      <c r="N852" s="19">
        <f>IF($C852="",0,1)</f>
        <v>0</v>
      </c>
      <c r="O852" s="19">
        <f>N(O851)+$N852</f>
        <v>637</v>
      </c>
      <c r="S852" s="20">
        <f>IFERROR(IF([1]对账明细接口!$N852=0,"",[1]对账明细接口!$N852),"")</f>
      </c>
      <c r="T852" s="212">
        <f>IFERROR(IF([1]对账明细接口!$O852=0,"",[1]对账明细接口!$O852),"")</f>
      </c>
      <c r="U852" s="212">
        <f>IFERROR(IF([1]对账明细接口!$P852=0,"",[1]对账明细接口!$P852),"")</f>
      </c>
      <c r="V852" s="212">
        <f>IFERROR(IF([1]对账明细接口!$Q852=0,"",[1]对账明细接口!$Q852),"")</f>
      </c>
      <c r="W852" s="20">
        <f>IFERROR(IF([1]对账明细接口!$R852=0,"",[1]对账明细接口!$R852),"")</f>
      </c>
      <c r="X852" s="20">
        <f>IFERROR(IF([1]对账明细接口!$S852=0,"",[1]对账明细接口!$S852),"")</f>
      </c>
      <c r="Y852" s="20">
        <f>IFERROR(IF([1]对账明细接口!$T852=0,"",[1]对账明细接口!$T852),"")</f>
      </c>
      <c r="Z852" s="213">
        <f>IFERROR(IF([1]对账明细接口!$U852=0,"",[1]对账明细接口!$U852),"")</f>
      </c>
      <c r="AA852" s="213">
        <f>IFERROR(IF([1]对账明细接口!$V852=0,"",[1]对账明细接口!$V852),"")</f>
      </c>
      <c r="AB852" s="20">
        <f>IFERROR(IF([1]对账明细接口!$W852=0,"",[1]对账明细接口!$W852),"")</f>
      </c>
      <c r="AC852" s="7">
        <f>IFERROR(IF([1]对账明细接口!$X852=0,"",[1]对账明细接口!$X852),"")</f>
      </c>
      <c r="AD852" s="7">
        <f>IFERROR(IF([1]对账明细接口!$Y852=0,"",[1]对账明细接口!$Y852),"")</f>
      </c>
      <c r="AE852" s="7">
        <f>IFERROR(IF([1]对账明细接口!$AA852=0,"",[1]对账明细接口!$AA852),"")</f>
      </c>
      <c r="AF852" s="7">
        <f>IFERROR(IF([1]对账明细接口!$AB852=0,"",[1]对账明细接口!$AB852),"")</f>
      </c>
      <c r="AG852" s="7">
        <f>IFERROR(IF([1]对账明细接口!$AC852=0,"",[1]对账明细接口!$AC852),"")</f>
      </c>
      <c r="AH852" s="7">
        <f>IFERROR(IF([1]对账明细接口!$AD852=0,"",[1]对账明细接口!$AD852),"")</f>
      </c>
      <c r="AI852" s="7">
        <f>IFERROR(IF([1]对账明细接口!$AE852=0,"",[1]对账明细接口!$AE852),"")</f>
      </c>
      <c r="AJ852" s="7">
        <f>IFERROR(IF([1]对账明细接口!$AF852=0,"",[1]对账明细接口!$AF852),"")</f>
      </c>
    </row>
    <row r="853" ht="14.25" customHeight="1" s="127">
      <c r="A853" s="14" t="n">
        <v>853</v>
      </c>
      <c r="B853" s="211">
        <f>IFERROR(IF([1]对账明细接口!$B$853=0,"",[1]对账明细接口!$B$853),"")</f>
      </c>
      <c r="C853" s="16">
        <f>IFERROR(IF([1]对账明细接口!$C$853=0,"",[1]对账明细接口!$C$853),"")</f>
      </c>
      <c r="D853" s="16">
        <f>IFERROR(IF([1]对账明细接口!$D$853=0,"",[1]对账明细接口!$D$853),"")</f>
      </c>
      <c r="E853" s="16">
        <f>IFERROR(IF([1]对账明细接口!$E$853=0,"",[1]对账明细接口!$E$853),"")</f>
      </c>
      <c r="F853" s="16">
        <f>IFERROR(IF([1]对账明细接口!$F$853=0,"",[1]对账明细接口!$F$853),"")</f>
      </c>
      <c r="G853" s="16">
        <f>IFERROR(IF([1]对账明细接口!$G$853=0,"",[1]对账明细接口!$G$853),"")</f>
      </c>
      <c r="H853" s="176">
        <f>IFERROR(IF([1]对账明细接口!$H$853=0,"",[1]对账明细接口!$H$853),"")</f>
      </c>
      <c r="I853" s="16">
        <f>IFERROR(IF([1]对账明细接口!$I$853=0,"",[1]对账明细接口!$I$853),"")</f>
      </c>
      <c r="J853" s="177">
        <f>IFERROR(IF([1]对账明细接口!$J$853=0,"",[1]对账明细接口!$J$853),"")</f>
      </c>
      <c r="K853" s="177">
        <f>IFERROR(IF([1]对账明细接口!$K$853=0,"",[1]对账明细接口!$K$853),"")</f>
      </c>
      <c r="L853" s="16">
        <f>IFERROR(IF([1]对账明细接口!$L$853=0,"",[1]对账明细接口!$L$853),"")</f>
      </c>
      <c r="M853" s="16">
        <f>IFERROR(IF([1]对账明细接口!$M$853=0,"",[1]对账明细接口!$M$853),"")</f>
      </c>
      <c r="N853" s="19">
        <f>IF($C853="",0,1)</f>
        <v>0</v>
      </c>
      <c r="O853" s="19">
        <f>N(O852)+$N853</f>
        <v>637</v>
      </c>
      <c r="S853" s="20">
        <f>IFERROR(IF([1]对账明细接口!$N853=0,"",[1]对账明细接口!$N853),"")</f>
      </c>
      <c r="T853" s="212">
        <f>IFERROR(IF([1]对账明细接口!$O853=0,"",[1]对账明细接口!$O853),"")</f>
      </c>
      <c r="U853" s="212">
        <f>IFERROR(IF([1]对账明细接口!$P853=0,"",[1]对账明细接口!$P853),"")</f>
      </c>
      <c r="V853" s="212">
        <f>IFERROR(IF([1]对账明细接口!$Q853=0,"",[1]对账明细接口!$Q853),"")</f>
      </c>
      <c r="W853" s="20">
        <f>IFERROR(IF([1]对账明细接口!$R853=0,"",[1]对账明细接口!$R853),"")</f>
      </c>
      <c r="X853" s="20">
        <f>IFERROR(IF([1]对账明细接口!$S853=0,"",[1]对账明细接口!$S853),"")</f>
      </c>
      <c r="Y853" s="20">
        <f>IFERROR(IF([1]对账明细接口!$T853=0,"",[1]对账明细接口!$T853),"")</f>
      </c>
      <c r="Z853" s="213">
        <f>IFERROR(IF([1]对账明细接口!$U853=0,"",[1]对账明细接口!$U853),"")</f>
      </c>
      <c r="AA853" s="213">
        <f>IFERROR(IF([1]对账明细接口!$V853=0,"",[1]对账明细接口!$V853),"")</f>
      </c>
      <c r="AB853" s="20">
        <f>IFERROR(IF([1]对账明细接口!$W853=0,"",[1]对账明细接口!$W853),"")</f>
      </c>
      <c r="AC853" s="7">
        <f>IFERROR(IF([1]对账明细接口!$X853=0,"",[1]对账明细接口!$X853),"")</f>
      </c>
      <c r="AD853" s="7">
        <f>IFERROR(IF([1]对账明细接口!$Y853=0,"",[1]对账明细接口!$Y853),"")</f>
      </c>
      <c r="AE853" s="7">
        <f>IFERROR(IF([1]对账明细接口!$AA853=0,"",[1]对账明细接口!$AA853),"")</f>
      </c>
      <c r="AF853" s="7">
        <f>IFERROR(IF([1]对账明细接口!$AB853=0,"",[1]对账明细接口!$AB853),"")</f>
      </c>
      <c r="AG853" s="7">
        <f>IFERROR(IF([1]对账明细接口!$AC853=0,"",[1]对账明细接口!$AC853),"")</f>
      </c>
      <c r="AH853" s="7">
        <f>IFERROR(IF([1]对账明细接口!$AD853=0,"",[1]对账明细接口!$AD853),"")</f>
      </c>
      <c r="AI853" s="7">
        <f>IFERROR(IF([1]对账明细接口!$AE853=0,"",[1]对账明细接口!$AE853),"")</f>
      </c>
      <c r="AJ853" s="7">
        <f>IFERROR(IF([1]对账明细接口!$AF853=0,"",[1]对账明细接口!$AF853),"")</f>
      </c>
    </row>
    <row r="854" ht="14.25" customHeight="1" s="127">
      <c r="A854" s="14" t="n">
        <v>854</v>
      </c>
      <c r="B854" s="211">
        <f>IFERROR(IF([1]对账明细接口!$B$854=0,"",[1]对账明细接口!$B$854),"")</f>
      </c>
      <c r="C854" s="16">
        <f>IFERROR(IF([1]对账明细接口!$C$854=0,"",[1]对账明细接口!$C$854),"")</f>
      </c>
      <c r="D854" s="16">
        <f>IFERROR(IF([1]对账明细接口!$D$854=0,"",[1]对账明细接口!$D$854),"")</f>
      </c>
      <c r="E854" s="16">
        <f>IFERROR(IF([1]对账明细接口!$E$854=0,"",[1]对账明细接口!$E$854),"")</f>
      </c>
      <c r="F854" s="16">
        <f>IFERROR(IF([1]对账明细接口!$F$854=0,"",[1]对账明细接口!$F$854),"")</f>
      </c>
      <c r="G854" s="16">
        <f>IFERROR(IF([1]对账明细接口!$G$854=0,"",[1]对账明细接口!$G$854),"")</f>
      </c>
      <c r="H854" s="176">
        <f>IFERROR(IF([1]对账明细接口!$H$854=0,"",[1]对账明细接口!$H$854),"")</f>
      </c>
      <c r="I854" s="16">
        <f>IFERROR(IF([1]对账明细接口!$I$854=0,"",[1]对账明细接口!$I$854),"")</f>
      </c>
      <c r="J854" s="177">
        <f>IFERROR(IF([1]对账明细接口!$J$854=0,"",[1]对账明细接口!$J$854),"")</f>
      </c>
      <c r="K854" s="177">
        <f>IFERROR(IF([1]对账明细接口!$K$854=0,"",[1]对账明细接口!$K$854),"")</f>
      </c>
      <c r="L854" s="16">
        <f>IFERROR(IF([1]对账明细接口!$L$854=0,"",[1]对账明细接口!$L$854),"")</f>
      </c>
      <c r="M854" s="16">
        <f>IFERROR(IF([1]对账明细接口!$M$854=0,"",[1]对账明细接口!$M$854),"")</f>
      </c>
      <c r="N854" s="19">
        <f>IF($C854="",0,1)</f>
        <v>0</v>
      </c>
      <c r="O854" s="19">
        <f>N(O853)+$N854</f>
        <v>637</v>
      </c>
      <c r="S854" s="20">
        <f>IFERROR(IF([1]对账明细接口!$N854=0,"",[1]对账明细接口!$N854),"")</f>
      </c>
      <c r="T854" s="212">
        <f>IFERROR(IF([1]对账明细接口!$O854=0,"",[1]对账明细接口!$O854),"")</f>
      </c>
      <c r="U854" s="212">
        <f>IFERROR(IF([1]对账明细接口!$P854=0,"",[1]对账明细接口!$P854),"")</f>
      </c>
      <c r="V854" s="212">
        <f>IFERROR(IF([1]对账明细接口!$Q854=0,"",[1]对账明细接口!$Q854),"")</f>
      </c>
      <c r="W854" s="20">
        <f>IFERROR(IF([1]对账明细接口!$R854=0,"",[1]对账明细接口!$R854),"")</f>
      </c>
      <c r="X854" s="20">
        <f>IFERROR(IF([1]对账明细接口!$S854=0,"",[1]对账明细接口!$S854),"")</f>
      </c>
      <c r="Y854" s="20">
        <f>IFERROR(IF([1]对账明细接口!$T854=0,"",[1]对账明细接口!$T854),"")</f>
      </c>
      <c r="Z854" s="213">
        <f>IFERROR(IF([1]对账明细接口!$U854=0,"",[1]对账明细接口!$U854),"")</f>
      </c>
      <c r="AA854" s="213">
        <f>IFERROR(IF([1]对账明细接口!$V854=0,"",[1]对账明细接口!$V854),"")</f>
      </c>
      <c r="AB854" s="20">
        <f>IFERROR(IF([1]对账明细接口!$W854=0,"",[1]对账明细接口!$W854),"")</f>
      </c>
      <c r="AC854" s="7">
        <f>IFERROR(IF([1]对账明细接口!$X854=0,"",[1]对账明细接口!$X854),"")</f>
      </c>
      <c r="AD854" s="7">
        <f>IFERROR(IF([1]对账明细接口!$Y854=0,"",[1]对账明细接口!$Y854),"")</f>
      </c>
      <c r="AE854" s="7">
        <f>IFERROR(IF([1]对账明细接口!$AA854=0,"",[1]对账明细接口!$AA854),"")</f>
      </c>
      <c r="AF854" s="7">
        <f>IFERROR(IF([1]对账明细接口!$AB854=0,"",[1]对账明细接口!$AB854),"")</f>
      </c>
      <c r="AG854" s="7">
        <f>IFERROR(IF([1]对账明细接口!$AC854=0,"",[1]对账明细接口!$AC854),"")</f>
      </c>
      <c r="AH854" s="7">
        <f>IFERROR(IF([1]对账明细接口!$AD854=0,"",[1]对账明细接口!$AD854),"")</f>
      </c>
      <c r="AI854" s="7">
        <f>IFERROR(IF([1]对账明细接口!$AE854=0,"",[1]对账明细接口!$AE854),"")</f>
      </c>
      <c r="AJ854" s="7">
        <f>IFERROR(IF([1]对账明细接口!$AF854=0,"",[1]对账明细接口!$AF854),"")</f>
      </c>
    </row>
    <row r="855" ht="14.25" customHeight="1" s="127">
      <c r="A855" s="14" t="n">
        <v>855</v>
      </c>
      <c r="B855" s="211">
        <f>IFERROR(IF([1]对账明细接口!$B$855=0,"",[1]对账明细接口!$B$855),"")</f>
      </c>
      <c r="C855" s="16">
        <f>IFERROR(IF([1]对账明细接口!$C$855=0,"",[1]对账明细接口!$C$855),"")</f>
      </c>
      <c r="D855" s="16">
        <f>IFERROR(IF([1]对账明细接口!$D$855=0,"",[1]对账明细接口!$D$855),"")</f>
      </c>
      <c r="E855" s="16">
        <f>IFERROR(IF([1]对账明细接口!$E$855=0,"",[1]对账明细接口!$E$855),"")</f>
      </c>
      <c r="F855" s="16">
        <f>IFERROR(IF([1]对账明细接口!$F$855=0,"",[1]对账明细接口!$F$855),"")</f>
      </c>
      <c r="G855" s="16">
        <f>IFERROR(IF([1]对账明细接口!$G$855=0,"",[1]对账明细接口!$G$855),"")</f>
      </c>
      <c r="H855" s="176">
        <f>IFERROR(IF([1]对账明细接口!$H$855=0,"",[1]对账明细接口!$H$855),"")</f>
      </c>
      <c r="I855" s="16">
        <f>IFERROR(IF([1]对账明细接口!$I$855=0,"",[1]对账明细接口!$I$855),"")</f>
      </c>
      <c r="J855" s="177">
        <f>IFERROR(IF([1]对账明细接口!$J$855=0,"",[1]对账明细接口!$J$855),"")</f>
      </c>
      <c r="K855" s="177">
        <f>IFERROR(IF([1]对账明细接口!$K$855=0,"",[1]对账明细接口!$K$855),"")</f>
      </c>
      <c r="L855" s="16">
        <f>IFERROR(IF([1]对账明细接口!$L$855=0,"",[1]对账明细接口!$L$855),"")</f>
      </c>
      <c r="M855" s="16">
        <f>IFERROR(IF([1]对账明细接口!$M$855=0,"",[1]对账明细接口!$M$855),"")</f>
      </c>
      <c r="N855" s="19">
        <f>IF($C855="",0,1)</f>
        <v>0</v>
      </c>
      <c r="O855" s="19">
        <f>N(O854)+$N855</f>
        <v>637</v>
      </c>
      <c r="S855" s="20">
        <f>IFERROR(IF([1]对账明细接口!$N855=0,"",[1]对账明细接口!$N855),"")</f>
      </c>
      <c r="T855" s="212">
        <f>IFERROR(IF([1]对账明细接口!$O855=0,"",[1]对账明细接口!$O855),"")</f>
      </c>
      <c r="U855" s="212">
        <f>IFERROR(IF([1]对账明细接口!$P855=0,"",[1]对账明细接口!$P855),"")</f>
      </c>
      <c r="V855" s="212">
        <f>IFERROR(IF([1]对账明细接口!$Q855=0,"",[1]对账明细接口!$Q855),"")</f>
      </c>
      <c r="W855" s="20">
        <f>IFERROR(IF([1]对账明细接口!$R855=0,"",[1]对账明细接口!$R855),"")</f>
      </c>
      <c r="X855" s="20">
        <f>IFERROR(IF([1]对账明细接口!$S855=0,"",[1]对账明细接口!$S855),"")</f>
      </c>
      <c r="Y855" s="20">
        <f>IFERROR(IF([1]对账明细接口!$T855=0,"",[1]对账明细接口!$T855),"")</f>
      </c>
      <c r="Z855" s="213">
        <f>IFERROR(IF([1]对账明细接口!$U855=0,"",[1]对账明细接口!$U855),"")</f>
      </c>
      <c r="AA855" s="213">
        <f>IFERROR(IF([1]对账明细接口!$V855=0,"",[1]对账明细接口!$V855),"")</f>
      </c>
      <c r="AB855" s="20">
        <f>IFERROR(IF([1]对账明细接口!$W855=0,"",[1]对账明细接口!$W855),"")</f>
      </c>
      <c r="AC855" s="7">
        <f>IFERROR(IF([1]对账明细接口!$X855=0,"",[1]对账明细接口!$X855),"")</f>
      </c>
      <c r="AD855" s="7">
        <f>IFERROR(IF([1]对账明细接口!$Y855=0,"",[1]对账明细接口!$Y855),"")</f>
      </c>
      <c r="AE855" s="7">
        <f>IFERROR(IF([1]对账明细接口!$AA855=0,"",[1]对账明细接口!$AA855),"")</f>
      </c>
      <c r="AF855" s="7">
        <f>IFERROR(IF([1]对账明细接口!$AB855=0,"",[1]对账明细接口!$AB855),"")</f>
      </c>
      <c r="AG855" s="7">
        <f>IFERROR(IF([1]对账明细接口!$AC855=0,"",[1]对账明细接口!$AC855),"")</f>
      </c>
      <c r="AH855" s="7">
        <f>IFERROR(IF([1]对账明细接口!$AD855=0,"",[1]对账明细接口!$AD855),"")</f>
      </c>
      <c r="AI855" s="7">
        <f>IFERROR(IF([1]对账明细接口!$AE855=0,"",[1]对账明细接口!$AE855),"")</f>
      </c>
      <c r="AJ855" s="7">
        <f>IFERROR(IF([1]对账明细接口!$AF855=0,"",[1]对账明细接口!$AF855),"")</f>
      </c>
    </row>
    <row r="856" ht="14.25" customHeight="1" s="127">
      <c r="A856" s="14" t="n">
        <v>856</v>
      </c>
      <c r="B856" s="211">
        <f>IFERROR(IF([1]对账明细接口!$B$856=0,"",[1]对账明细接口!$B$856),"")</f>
      </c>
      <c r="C856" s="16">
        <f>IFERROR(IF([1]对账明细接口!$C$856=0,"",[1]对账明细接口!$C$856),"")</f>
      </c>
      <c r="D856" s="16">
        <f>IFERROR(IF([1]对账明细接口!$D$856=0,"",[1]对账明细接口!$D$856),"")</f>
      </c>
      <c r="E856" s="16">
        <f>IFERROR(IF([1]对账明细接口!$E$856=0,"",[1]对账明细接口!$E$856),"")</f>
      </c>
      <c r="F856" s="16">
        <f>IFERROR(IF([1]对账明细接口!$F$856=0,"",[1]对账明细接口!$F$856),"")</f>
      </c>
      <c r="G856" s="16">
        <f>IFERROR(IF([1]对账明细接口!$G$856=0,"",[1]对账明细接口!$G$856),"")</f>
      </c>
      <c r="H856" s="176">
        <f>IFERROR(IF([1]对账明细接口!$H$856=0,"",[1]对账明细接口!$H$856),"")</f>
      </c>
      <c r="I856" s="16">
        <f>IFERROR(IF([1]对账明细接口!$I$856=0,"",[1]对账明细接口!$I$856),"")</f>
      </c>
      <c r="J856" s="177">
        <f>IFERROR(IF([1]对账明细接口!$J$856=0,"",[1]对账明细接口!$J$856),"")</f>
      </c>
      <c r="K856" s="177">
        <f>IFERROR(IF([1]对账明细接口!$K$856=0,"",[1]对账明细接口!$K$856),"")</f>
      </c>
      <c r="L856" s="16">
        <f>IFERROR(IF([1]对账明细接口!$L$856=0,"",[1]对账明细接口!$L$856),"")</f>
      </c>
      <c r="M856" s="16">
        <f>IFERROR(IF([1]对账明细接口!$M$856=0,"",[1]对账明细接口!$M$856),"")</f>
      </c>
      <c r="N856" s="19">
        <f>IF($C856="",0,1)</f>
        <v>0</v>
      </c>
      <c r="O856" s="19">
        <f>N(O855)+$N856</f>
        <v>637</v>
      </c>
      <c r="S856" s="20">
        <f>IFERROR(IF([1]对账明细接口!$N856=0,"",[1]对账明细接口!$N856),"")</f>
      </c>
      <c r="T856" s="212">
        <f>IFERROR(IF([1]对账明细接口!$O856=0,"",[1]对账明细接口!$O856),"")</f>
      </c>
      <c r="U856" s="212">
        <f>IFERROR(IF([1]对账明细接口!$P856=0,"",[1]对账明细接口!$P856),"")</f>
      </c>
      <c r="V856" s="212">
        <f>IFERROR(IF([1]对账明细接口!$Q856=0,"",[1]对账明细接口!$Q856),"")</f>
      </c>
      <c r="W856" s="20">
        <f>IFERROR(IF([1]对账明细接口!$R856=0,"",[1]对账明细接口!$R856),"")</f>
      </c>
      <c r="X856" s="20">
        <f>IFERROR(IF([1]对账明细接口!$S856=0,"",[1]对账明细接口!$S856),"")</f>
      </c>
      <c r="Y856" s="20">
        <f>IFERROR(IF([1]对账明细接口!$T856=0,"",[1]对账明细接口!$T856),"")</f>
      </c>
      <c r="Z856" s="213">
        <f>IFERROR(IF([1]对账明细接口!$U856=0,"",[1]对账明细接口!$U856),"")</f>
      </c>
      <c r="AA856" s="213">
        <f>IFERROR(IF([1]对账明细接口!$V856=0,"",[1]对账明细接口!$V856),"")</f>
      </c>
      <c r="AB856" s="20">
        <f>IFERROR(IF([1]对账明细接口!$W856=0,"",[1]对账明细接口!$W856),"")</f>
      </c>
      <c r="AC856" s="7">
        <f>IFERROR(IF([1]对账明细接口!$X856=0,"",[1]对账明细接口!$X856),"")</f>
      </c>
      <c r="AD856" s="7">
        <f>IFERROR(IF([1]对账明细接口!$Y856=0,"",[1]对账明细接口!$Y856),"")</f>
      </c>
      <c r="AE856" s="7">
        <f>IFERROR(IF([1]对账明细接口!$AA856=0,"",[1]对账明细接口!$AA856),"")</f>
      </c>
      <c r="AF856" s="7">
        <f>IFERROR(IF([1]对账明细接口!$AB856=0,"",[1]对账明细接口!$AB856),"")</f>
      </c>
      <c r="AG856" s="7">
        <f>IFERROR(IF([1]对账明细接口!$AC856=0,"",[1]对账明细接口!$AC856),"")</f>
      </c>
      <c r="AH856" s="7">
        <f>IFERROR(IF([1]对账明细接口!$AD856=0,"",[1]对账明细接口!$AD856),"")</f>
      </c>
      <c r="AI856" s="7">
        <f>IFERROR(IF([1]对账明细接口!$AE856=0,"",[1]对账明细接口!$AE856),"")</f>
      </c>
      <c r="AJ856" s="7">
        <f>IFERROR(IF([1]对账明细接口!$AF856=0,"",[1]对账明细接口!$AF856),"")</f>
      </c>
    </row>
    <row r="857" ht="14.25" customHeight="1" s="127">
      <c r="A857" s="14" t="n">
        <v>857</v>
      </c>
      <c r="B857" s="211">
        <f>IFERROR(IF([1]对账明细接口!$B$857=0,"",[1]对账明细接口!$B$857),"")</f>
      </c>
      <c r="C857" s="16">
        <f>IFERROR(IF([1]对账明细接口!$C$857=0,"",[1]对账明细接口!$C$857),"")</f>
      </c>
      <c r="D857" s="16">
        <f>IFERROR(IF([1]对账明细接口!$D$857=0,"",[1]对账明细接口!$D$857),"")</f>
      </c>
      <c r="E857" s="16">
        <f>IFERROR(IF([1]对账明细接口!$E$857=0,"",[1]对账明细接口!$E$857),"")</f>
      </c>
      <c r="F857" s="16">
        <f>IFERROR(IF([1]对账明细接口!$F$857=0,"",[1]对账明细接口!$F$857),"")</f>
      </c>
      <c r="G857" s="16">
        <f>IFERROR(IF([1]对账明细接口!$G$857=0,"",[1]对账明细接口!$G$857),"")</f>
      </c>
      <c r="H857" s="176">
        <f>IFERROR(IF([1]对账明细接口!$H$857=0,"",[1]对账明细接口!$H$857),"")</f>
      </c>
      <c r="I857" s="16">
        <f>IFERROR(IF([1]对账明细接口!$I$857=0,"",[1]对账明细接口!$I$857),"")</f>
      </c>
      <c r="J857" s="177">
        <f>IFERROR(IF([1]对账明细接口!$J$857=0,"",[1]对账明细接口!$J$857),"")</f>
      </c>
      <c r="K857" s="177">
        <f>IFERROR(IF([1]对账明细接口!$K$857=0,"",[1]对账明细接口!$K$857),"")</f>
      </c>
      <c r="L857" s="16">
        <f>IFERROR(IF([1]对账明细接口!$L$857=0,"",[1]对账明细接口!$L$857),"")</f>
      </c>
      <c r="M857" s="16">
        <f>IFERROR(IF([1]对账明细接口!$M$857=0,"",[1]对账明细接口!$M$857),"")</f>
      </c>
      <c r="N857" s="19">
        <f>IF($C857="",0,1)</f>
        <v>0</v>
      </c>
      <c r="O857" s="19">
        <f>N(O856)+$N857</f>
        <v>637</v>
      </c>
      <c r="S857" s="20">
        <f>IFERROR(IF([1]对账明细接口!$N857=0,"",[1]对账明细接口!$N857),"")</f>
      </c>
      <c r="T857" s="212">
        <f>IFERROR(IF([1]对账明细接口!$O857=0,"",[1]对账明细接口!$O857),"")</f>
      </c>
      <c r="U857" s="212">
        <f>IFERROR(IF([1]对账明细接口!$P857=0,"",[1]对账明细接口!$P857),"")</f>
      </c>
      <c r="V857" s="212">
        <f>IFERROR(IF([1]对账明细接口!$Q857=0,"",[1]对账明细接口!$Q857),"")</f>
      </c>
      <c r="W857" s="20">
        <f>IFERROR(IF([1]对账明细接口!$R857=0,"",[1]对账明细接口!$R857),"")</f>
      </c>
      <c r="X857" s="20">
        <f>IFERROR(IF([1]对账明细接口!$S857=0,"",[1]对账明细接口!$S857),"")</f>
      </c>
      <c r="Y857" s="20">
        <f>IFERROR(IF([1]对账明细接口!$T857=0,"",[1]对账明细接口!$T857),"")</f>
      </c>
      <c r="Z857" s="213">
        <f>IFERROR(IF([1]对账明细接口!$U857=0,"",[1]对账明细接口!$U857),"")</f>
      </c>
      <c r="AA857" s="213">
        <f>IFERROR(IF([1]对账明细接口!$V857=0,"",[1]对账明细接口!$V857),"")</f>
      </c>
      <c r="AB857" s="20">
        <f>IFERROR(IF([1]对账明细接口!$W857=0,"",[1]对账明细接口!$W857),"")</f>
      </c>
      <c r="AC857" s="7">
        <f>IFERROR(IF([1]对账明细接口!$X857=0,"",[1]对账明细接口!$X857),"")</f>
      </c>
      <c r="AD857" s="7">
        <f>IFERROR(IF([1]对账明细接口!$Y857=0,"",[1]对账明细接口!$Y857),"")</f>
      </c>
      <c r="AE857" s="7">
        <f>IFERROR(IF([1]对账明细接口!$AA857=0,"",[1]对账明细接口!$AA857),"")</f>
      </c>
      <c r="AF857" s="7">
        <f>IFERROR(IF([1]对账明细接口!$AB857=0,"",[1]对账明细接口!$AB857),"")</f>
      </c>
      <c r="AG857" s="7">
        <f>IFERROR(IF([1]对账明细接口!$AC857=0,"",[1]对账明细接口!$AC857),"")</f>
      </c>
      <c r="AH857" s="7">
        <f>IFERROR(IF([1]对账明细接口!$AD857=0,"",[1]对账明细接口!$AD857),"")</f>
      </c>
      <c r="AI857" s="7">
        <f>IFERROR(IF([1]对账明细接口!$AE857=0,"",[1]对账明细接口!$AE857),"")</f>
      </c>
      <c r="AJ857" s="7">
        <f>IFERROR(IF([1]对账明细接口!$AF857=0,"",[1]对账明细接口!$AF857),"")</f>
      </c>
    </row>
    <row r="858" ht="14.25" customHeight="1" s="127">
      <c r="A858" s="14" t="n">
        <v>858</v>
      </c>
      <c r="B858" s="211">
        <f>IFERROR(IF([1]对账明细接口!$B$858=0,"",[1]对账明细接口!$B$858),"")</f>
      </c>
      <c r="C858" s="16">
        <f>IFERROR(IF([1]对账明细接口!$C$858=0,"",[1]对账明细接口!$C$858),"")</f>
      </c>
      <c r="D858" s="16">
        <f>IFERROR(IF([1]对账明细接口!$D$858=0,"",[1]对账明细接口!$D$858),"")</f>
      </c>
      <c r="E858" s="16">
        <f>IFERROR(IF([1]对账明细接口!$E$858=0,"",[1]对账明细接口!$E$858),"")</f>
      </c>
      <c r="F858" s="16">
        <f>IFERROR(IF([1]对账明细接口!$F$858=0,"",[1]对账明细接口!$F$858),"")</f>
      </c>
      <c r="G858" s="16">
        <f>IFERROR(IF([1]对账明细接口!$G$858=0,"",[1]对账明细接口!$G$858),"")</f>
      </c>
      <c r="H858" s="176">
        <f>IFERROR(IF([1]对账明细接口!$H$858=0,"",[1]对账明细接口!$H$858),"")</f>
      </c>
      <c r="I858" s="16">
        <f>IFERROR(IF([1]对账明细接口!$I$858=0,"",[1]对账明细接口!$I$858),"")</f>
      </c>
      <c r="J858" s="177">
        <f>IFERROR(IF([1]对账明细接口!$J$858=0,"",[1]对账明细接口!$J$858),"")</f>
      </c>
      <c r="K858" s="177">
        <f>IFERROR(IF([1]对账明细接口!$K$858=0,"",[1]对账明细接口!$K$858),"")</f>
      </c>
      <c r="L858" s="16">
        <f>IFERROR(IF([1]对账明细接口!$L$858=0,"",[1]对账明细接口!$L$858),"")</f>
      </c>
      <c r="M858" s="16">
        <f>IFERROR(IF([1]对账明细接口!$M$858=0,"",[1]对账明细接口!$M$858),"")</f>
      </c>
      <c r="N858" s="19">
        <f>IF($C858="",0,1)</f>
        <v>0</v>
      </c>
      <c r="O858" s="19">
        <f>N(O857)+$N858</f>
        <v>637</v>
      </c>
      <c r="S858" s="20">
        <f>IFERROR(IF([1]对账明细接口!$N858=0,"",[1]对账明细接口!$N858),"")</f>
      </c>
      <c r="T858" s="212">
        <f>IFERROR(IF([1]对账明细接口!$O858=0,"",[1]对账明细接口!$O858),"")</f>
      </c>
      <c r="U858" s="212">
        <f>IFERROR(IF([1]对账明细接口!$P858=0,"",[1]对账明细接口!$P858),"")</f>
      </c>
      <c r="V858" s="212">
        <f>IFERROR(IF([1]对账明细接口!$Q858=0,"",[1]对账明细接口!$Q858),"")</f>
      </c>
      <c r="W858" s="20">
        <f>IFERROR(IF([1]对账明细接口!$R858=0,"",[1]对账明细接口!$R858),"")</f>
      </c>
      <c r="X858" s="20">
        <f>IFERROR(IF([1]对账明细接口!$S858=0,"",[1]对账明细接口!$S858),"")</f>
      </c>
      <c r="Y858" s="20">
        <f>IFERROR(IF([1]对账明细接口!$T858=0,"",[1]对账明细接口!$T858),"")</f>
      </c>
      <c r="Z858" s="213">
        <f>IFERROR(IF([1]对账明细接口!$U858=0,"",[1]对账明细接口!$U858),"")</f>
      </c>
      <c r="AA858" s="213">
        <f>IFERROR(IF([1]对账明细接口!$V858=0,"",[1]对账明细接口!$V858),"")</f>
      </c>
      <c r="AB858" s="20">
        <f>IFERROR(IF([1]对账明细接口!$W858=0,"",[1]对账明细接口!$W858),"")</f>
      </c>
      <c r="AC858" s="7">
        <f>IFERROR(IF([1]对账明细接口!$X858=0,"",[1]对账明细接口!$X858),"")</f>
      </c>
      <c r="AD858" s="7">
        <f>IFERROR(IF([1]对账明细接口!$Y858=0,"",[1]对账明细接口!$Y858),"")</f>
      </c>
      <c r="AE858" s="7">
        <f>IFERROR(IF([1]对账明细接口!$AA858=0,"",[1]对账明细接口!$AA858),"")</f>
      </c>
      <c r="AF858" s="7">
        <f>IFERROR(IF([1]对账明细接口!$AB858=0,"",[1]对账明细接口!$AB858),"")</f>
      </c>
      <c r="AG858" s="7">
        <f>IFERROR(IF([1]对账明细接口!$AC858=0,"",[1]对账明细接口!$AC858),"")</f>
      </c>
      <c r="AH858" s="7">
        <f>IFERROR(IF([1]对账明细接口!$AD858=0,"",[1]对账明细接口!$AD858),"")</f>
      </c>
      <c r="AI858" s="7">
        <f>IFERROR(IF([1]对账明细接口!$AE858=0,"",[1]对账明细接口!$AE858),"")</f>
      </c>
      <c r="AJ858" s="7">
        <f>IFERROR(IF([1]对账明细接口!$AF858=0,"",[1]对账明细接口!$AF858),"")</f>
      </c>
    </row>
    <row r="859" ht="14.25" customHeight="1" s="127">
      <c r="A859" s="14" t="n">
        <v>859</v>
      </c>
      <c r="B859" s="211">
        <f>IFERROR(IF([1]对账明细接口!$B$859=0,"",[1]对账明细接口!$B$859),"")</f>
      </c>
      <c r="C859" s="16">
        <f>IFERROR(IF([1]对账明细接口!$C$859=0,"",[1]对账明细接口!$C$859),"")</f>
      </c>
      <c r="D859" s="16">
        <f>IFERROR(IF([1]对账明细接口!$D$859=0,"",[1]对账明细接口!$D$859),"")</f>
      </c>
      <c r="E859" s="16">
        <f>IFERROR(IF([1]对账明细接口!$E$859=0,"",[1]对账明细接口!$E$859),"")</f>
      </c>
      <c r="F859" s="16">
        <f>IFERROR(IF([1]对账明细接口!$F$859=0,"",[1]对账明细接口!$F$859),"")</f>
      </c>
      <c r="G859" s="16">
        <f>IFERROR(IF([1]对账明细接口!$G$859=0,"",[1]对账明细接口!$G$859),"")</f>
      </c>
      <c r="H859" s="176">
        <f>IFERROR(IF([1]对账明细接口!$H$859=0,"",[1]对账明细接口!$H$859),"")</f>
      </c>
      <c r="I859" s="16">
        <f>IFERROR(IF([1]对账明细接口!$I$859=0,"",[1]对账明细接口!$I$859),"")</f>
      </c>
      <c r="J859" s="177">
        <f>IFERROR(IF([1]对账明细接口!$J$859=0,"",[1]对账明细接口!$J$859),"")</f>
      </c>
      <c r="K859" s="177">
        <f>IFERROR(IF([1]对账明细接口!$K$859=0,"",[1]对账明细接口!$K$859),"")</f>
      </c>
      <c r="L859" s="16">
        <f>IFERROR(IF([1]对账明细接口!$L$859=0,"",[1]对账明细接口!$L$859),"")</f>
      </c>
      <c r="M859" s="16">
        <f>IFERROR(IF([1]对账明细接口!$M$859=0,"",[1]对账明细接口!$M$859),"")</f>
      </c>
      <c r="N859" s="19">
        <f>IF($C859="",0,1)</f>
        <v>0</v>
      </c>
      <c r="O859" s="19">
        <f>N(O858)+$N859</f>
        <v>637</v>
      </c>
      <c r="S859" s="20">
        <f>IFERROR(IF([1]对账明细接口!$N859=0,"",[1]对账明细接口!$N859),"")</f>
      </c>
      <c r="T859" s="212">
        <f>IFERROR(IF([1]对账明细接口!$O859=0,"",[1]对账明细接口!$O859),"")</f>
      </c>
      <c r="U859" s="212">
        <f>IFERROR(IF([1]对账明细接口!$P859=0,"",[1]对账明细接口!$P859),"")</f>
      </c>
      <c r="V859" s="212">
        <f>IFERROR(IF([1]对账明细接口!$Q859=0,"",[1]对账明细接口!$Q859),"")</f>
      </c>
      <c r="W859" s="20">
        <f>IFERROR(IF([1]对账明细接口!$R859=0,"",[1]对账明细接口!$R859),"")</f>
      </c>
      <c r="X859" s="20">
        <f>IFERROR(IF([1]对账明细接口!$S859=0,"",[1]对账明细接口!$S859),"")</f>
      </c>
      <c r="Y859" s="20">
        <f>IFERROR(IF([1]对账明细接口!$T859=0,"",[1]对账明细接口!$T859),"")</f>
      </c>
      <c r="Z859" s="213">
        <f>IFERROR(IF([1]对账明细接口!$U859=0,"",[1]对账明细接口!$U859),"")</f>
      </c>
      <c r="AA859" s="213">
        <f>IFERROR(IF([1]对账明细接口!$V859=0,"",[1]对账明细接口!$V859),"")</f>
      </c>
      <c r="AB859" s="20">
        <f>IFERROR(IF([1]对账明细接口!$W859=0,"",[1]对账明细接口!$W859),"")</f>
      </c>
      <c r="AC859" s="7">
        <f>IFERROR(IF([1]对账明细接口!$X859=0,"",[1]对账明细接口!$X859),"")</f>
      </c>
      <c r="AD859" s="7">
        <f>IFERROR(IF([1]对账明细接口!$Y859=0,"",[1]对账明细接口!$Y859),"")</f>
      </c>
      <c r="AE859" s="7">
        <f>IFERROR(IF([1]对账明细接口!$AA859=0,"",[1]对账明细接口!$AA859),"")</f>
      </c>
      <c r="AF859" s="7">
        <f>IFERROR(IF([1]对账明细接口!$AB859=0,"",[1]对账明细接口!$AB859),"")</f>
      </c>
      <c r="AG859" s="7">
        <f>IFERROR(IF([1]对账明细接口!$AC859=0,"",[1]对账明细接口!$AC859),"")</f>
      </c>
      <c r="AH859" s="7">
        <f>IFERROR(IF([1]对账明细接口!$AD859=0,"",[1]对账明细接口!$AD859),"")</f>
      </c>
      <c r="AI859" s="7">
        <f>IFERROR(IF([1]对账明细接口!$AE859=0,"",[1]对账明细接口!$AE859),"")</f>
      </c>
      <c r="AJ859" s="7">
        <f>IFERROR(IF([1]对账明细接口!$AF859=0,"",[1]对账明细接口!$AF859),"")</f>
      </c>
    </row>
    <row r="860" ht="14.25" customHeight="1" s="127">
      <c r="A860" s="14" t="n">
        <v>860</v>
      </c>
      <c r="B860" s="211">
        <f>IFERROR(IF([1]对账明细接口!$B$860=0,"",[1]对账明细接口!$B$860),"")</f>
      </c>
      <c r="C860" s="16">
        <f>IFERROR(IF([1]对账明细接口!$C$860=0,"",[1]对账明细接口!$C$860),"")</f>
      </c>
      <c r="D860" s="16">
        <f>IFERROR(IF([1]对账明细接口!$D$860=0,"",[1]对账明细接口!$D$860),"")</f>
      </c>
      <c r="E860" s="16">
        <f>IFERROR(IF([1]对账明细接口!$E$860=0,"",[1]对账明细接口!$E$860),"")</f>
      </c>
      <c r="F860" s="16">
        <f>IFERROR(IF([1]对账明细接口!$F$860=0,"",[1]对账明细接口!$F$860),"")</f>
      </c>
      <c r="G860" s="16">
        <f>IFERROR(IF([1]对账明细接口!$G$860=0,"",[1]对账明细接口!$G$860),"")</f>
      </c>
      <c r="H860" s="176">
        <f>IFERROR(IF([1]对账明细接口!$H$860=0,"",[1]对账明细接口!$H$860),"")</f>
      </c>
      <c r="I860" s="16">
        <f>IFERROR(IF([1]对账明细接口!$I$860=0,"",[1]对账明细接口!$I$860),"")</f>
      </c>
      <c r="J860" s="177">
        <f>IFERROR(IF([1]对账明细接口!$J$860=0,"",[1]对账明细接口!$J$860),"")</f>
      </c>
      <c r="K860" s="177">
        <f>IFERROR(IF([1]对账明细接口!$K$860=0,"",[1]对账明细接口!$K$860),"")</f>
      </c>
      <c r="L860" s="16">
        <f>IFERROR(IF([1]对账明细接口!$L$860=0,"",[1]对账明细接口!$L$860),"")</f>
      </c>
      <c r="M860" s="16">
        <f>IFERROR(IF([1]对账明细接口!$M$860=0,"",[1]对账明细接口!$M$860),"")</f>
      </c>
      <c r="N860" s="19">
        <f>IF($C860="",0,1)</f>
        <v>0</v>
      </c>
      <c r="O860" s="19">
        <f>N(O859)+$N860</f>
        <v>637</v>
      </c>
      <c r="S860" s="20">
        <f>IFERROR(IF([1]对账明细接口!$N860=0,"",[1]对账明细接口!$N860),"")</f>
      </c>
      <c r="T860" s="212">
        <f>IFERROR(IF([1]对账明细接口!$O860=0,"",[1]对账明细接口!$O860),"")</f>
      </c>
      <c r="U860" s="212">
        <f>IFERROR(IF([1]对账明细接口!$P860=0,"",[1]对账明细接口!$P860),"")</f>
      </c>
      <c r="V860" s="212">
        <f>IFERROR(IF([1]对账明细接口!$Q860=0,"",[1]对账明细接口!$Q860),"")</f>
      </c>
      <c r="W860" s="20">
        <f>IFERROR(IF([1]对账明细接口!$R860=0,"",[1]对账明细接口!$R860),"")</f>
      </c>
      <c r="X860" s="20">
        <f>IFERROR(IF([1]对账明细接口!$S860=0,"",[1]对账明细接口!$S860),"")</f>
      </c>
      <c r="Y860" s="20">
        <f>IFERROR(IF([1]对账明细接口!$T860=0,"",[1]对账明细接口!$T860),"")</f>
      </c>
      <c r="Z860" s="213">
        <f>IFERROR(IF([1]对账明细接口!$U860=0,"",[1]对账明细接口!$U860),"")</f>
      </c>
      <c r="AA860" s="213">
        <f>IFERROR(IF([1]对账明细接口!$V860=0,"",[1]对账明细接口!$V860),"")</f>
      </c>
      <c r="AB860" s="20">
        <f>IFERROR(IF([1]对账明细接口!$W860=0,"",[1]对账明细接口!$W860),"")</f>
      </c>
      <c r="AC860" s="7">
        <f>IFERROR(IF([1]对账明细接口!$X860=0,"",[1]对账明细接口!$X860),"")</f>
      </c>
      <c r="AD860" s="7">
        <f>IFERROR(IF([1]对账明细接口!$Y860=0,"",[1]对账明细接口!$Y860),"")</f>
      </c>
      <c r="AE860" s="7">
        <f>IFERROR(IF([1]对账明细接口!$AA860=0,"",[1]对账明细接口!$AA860),"")</f>
      </c>
      <c r="AF860" s="7">
        <f>IFERROR(IF([1]对账明细接口!$AB860=0,"",[1]对账明细接口!$AB860),"")</f>
      </c>
      <c r="AG860" s="7">
        <f>IFERROR(IF([1]对账明细接口!$AC860=0,"",[1]对账明细接口!$AC860),"")</f>
      </c>
      <c r="AH860" s="7">
        <f>IFERROR(IF([1]对账明细接口!$AD860=0,"",[1]对账明细接口!$AD860),"")</f>
      </c>
      <c r="AI860" s="7">
        <f>IFERROR(IF([1]对账明细接口!$AE860=0,"",[1]对账明细接口!$AE860),"")</f>
      </c>
      <c r="AJ860" s="7">
        <f>IFERROR(IF([1]对账明细接口!$AF860=0,"",[1]对账明细接口!$AF860),"")</f>
      </c>
    </row>
    <row r="861" ht="14.25" customHeight="1" s="127">
      <c r="A861" s="14" t="n">
        <v>861</v>
      </c>
      <c r="B861" s="211">
        <f>IFERROR(IF([1]对账明细接口!$B$861=0,"",[1]对账明细接口!$B$861),"")</f>
      </c>
      <c r="C861" s="16">
        <f>IFERROR(IF([1]对账明细接口!$C$861=0,"",[1]对账明细接口!$C$861),"")</f>
      </c>
      <c r="D861" s="16">
        <f>IFERROR(IF([1]对账明细接口!$D$861=0,"",[1]对账明细接口!$D$861),"")</f>
      </c>
      <c r="E861" s="16">
        <f>IFERROR(IF([1]对账明细接口!$E$861=0,"",[1]对账明细接口!$E$861),"")</f>
      </c>
      <c r="F861" s="16">
        <f>IFERROR(IF([1]对账明细接口!$F$861=0,"",[1]对账明细接口!$F$861),"")</f>
      </c>
      <c r="G861" s="16">
        <f>IFERROR(IF([1]对账明细接口!$G$861=0,"",[1]对账明细接口!$G$861),"")</f>
      </c>
      <c r="H861" s="176">
        <f>IFERROR(IF([1]对账明细接口!$H$861=0,"",[1]对账明细接口!$H$861),"")</f>
      </c>
      <c r="I861" s="16">
        <f>IFERROR(IF([1]对账明细接口!$I$861=0,"",[1]对账明细接口!$I$861),"")</f>
      </c>
      <c r="J861" s="177">
        <f>IFERROR(IF([1]对账明细接口!$J$861=0,"",[1]对账明细接口!$J$861),"")</f>
      </c>
      <c r="K861" s="177">
        <f>IFERROR(IF([1]对账明细接口!$K$861=0,"",[1]对账明细接口!$K$861),"")</f>
      </c>
      <c r="L861" s="16">
        <f>IFERROR(IF([1]对账明细接口!$L$861=0,"",[1]对账明细接口!$L$861),"")</f>
      </c>
      <c r="M861" s="16">
        <f>IFERROR(IF([1]对账明细接口!$M$861=0,"",[1]对账明细接口!$M$861),"")</f>
      </c>
      <c r="N861" s="19">
        <f>IF($C861="",0,1)</f>
        <v>0</v>
      </c>
      <c r="O861" s="19">
        <f>N(O860)+$N861</f>
        <v>637</v>
      </c>
      <c r="S861" s="20">
        <f>IFERROR(IF([1]对账明细接口!$N861=0,"",[1]对账明细接口!$N861),"")</f>
      </c>
      <c r="T861" s="212">
        <f>IFERROR(IF([1]对账明细接口!$O861=0,"",[1]对账明细接口!$O861),"")</f>
      </c>
      <c r="U861" s="212">
        <f>IFERROR(IF([1]对账明细接口!$P861=0,"",[1]对账明细接口!$P861),"")</f>
      </c>
      <c r="V861" s="212">
        <f>IFERROR(IF([1]对账明细接口!$Q861=0,"",[1]对账明细接口!$Q861),"")</f>
      </c>
      <c r="W861" s="20">
        <f>IFERROR(IF([1]对账明细接口!$R861=0,"",[1]对账明细接口!$R861),"")</f>
      </c>
      <c r="X861" s="20">
        <f>IFERROR(IF([1]对账明细接口!$S861=0,"",[1]对账明细接口!$S861),"")</f>
      </c>
      <c r="Y861" s="20">
        <f>IFERROR(IF([1]对账明细接口!$T861=0,"",[1]对账明细接口!$T861),"")</f>
      </c>
      <c r="Z861" s="213">
        <f>IFERROR(IF([1]对账明细接口!$U861=0,"",[1]对账明细接口!$U861),"")</f>
      </c>
      <c r="AA861" s="213">
        <f>IFERROR(IF([1]对账明细接口!$V861=0,"",[1]对账明细接口!$V861),"")</f>
      </c>
      <c r="AB861" s="20">
        <f>IFERROR(IF([1]对账明细接口!$W861=0,"",[1]对账明细接口!$W861),"")</f>
      </c>
      <c r="AC861" s="7">
        <f>IFERROR(IF([1]对账明细接口!$X861=0,"",[1]对账明细接口!$X861),"")</f>
      </c>
      <c r="AD861" s="7">
        <f>IFERROR(IF([1]对账明细接口!$Y861=0,"",[1]对账明细接口!$Y861),"")</f>
      </c>
      <c r="AE861" s="7">
        <f>IFERROR(IF([1]对账明细接口!$AA861=0,"",[1]对账明细接口!$AA861),"")</f>
      </c>
      <c r="AF861" s="7">
        <f>IFERROR(IF([1]对账明细接口!$AB861=0,"",[1]对账明细接口!$AB861),"")</f>
      </c>
      <c r="AG861" s="7">
        <f>IFERROR(IF([1]对账明细接口!$AC861=0,"",[1]对账明细接口!$AC861),"")</f>
      </c>
      <c r="AH861" s="7">
        <f>IFERROR(IF([1]对账明细接口!$AD861=0,"",[1]对账明细接口!$AD861),"")</f>
      </c>
      <c r="AI861" s="7">
        <f>IFERROR(IF([1]对账明细接口!$AE861=0,"",[1]对账明细接口!$AE861),"")</f>
      </c>
      <c r="AJ861" s="7">
        <f>IFERROR(IF([1]对账明细接口!$AF861=0,"",[1]对账明细接口!$AF861),"")</f>
      </c>
    </row>
    <row r="862" ht="14.25" customHeight="1" s="127">
      <c r="A862" s="14" t="n">
        <v>862</v>
      </c>
      <c r="B862" s="211">
        <f>IFERROR(IF([1]对账明细接口!$B$862=0,"",[1]对账明细接口!$B$862),"")</f>
      </c>
      <c r="C862" s="16">
        <f>IFERROR(IF([1]对账明细接口!$C$862=0,"",[1]对账明细接口!$C$862),"")</f>
      </c>
      <c r="D862" s="16">
        <f>IFERROR(IF([1]对账明细接口!$D$862=0,"",[1]对账明细接口!$D$862),"")</f>
      </c>
      <c r="E862" s="16">
        <f>IFERROR(IF([1]对账明细接口!$E$862=0,"",[1]对账明细接口!$E$862),"")</f>
      </c>
      <c r="F862" s="16">
        <f>IFERROR(IF([1]对账明细接口!$F$862=0,"",[1]对账明细接口!$F$862),"")</f>
      </c>
      <c r="G862" s="16">
        <f>IFERROR(IF([1]对账明细接口!$G$862=0,"",[1]对账明细接口!$G$862),"")</f>
      </c>
      <c r="H862" s="176">
        <f>IFERROR(IF([1]对账明细接口!$H$862=0,"",[1]对账明细接口!$H$862),"")</f>
      </c>
      <c r="I862" s="16">
        <f>IFERROR(IF([1]对账明细接口!$I$862=0,"",[1]对账明细接口!$I$862),"")</f>
      </c>
      <c r="J862" s="177">
        <f>IFERROR(IF([1]对账明细接口!$J$862=0,"",[1]对账明细接口!$J$862),"")</f>
      </c>
      <c r="K862" s="177">
        <f>IFERROR(IF([1]对账明细接口!$K$862=0,"",[1]对账明细接口!$K$862),"")</f>
      </c>
      <c r="L862" s="16">
        <f>IFERROR(IF([1]对账明细接口!$L$862=0,"",[1]对账明细接口!$L$862),"")</f>
      </c>
      <c r="M862" s="16">
        <f>IFERROR(IF([1]对账明细接口!$M$862=0,"",[1]对账明细接口!$M$862),"")</f>
      </c>
      <c r="N862" s="19">
        <f>IF($C862="",0,1)</f>
        <v>0</v>
      </c>
      <c r="O862" s="19">
        <f>N(O861)+$N862</f>
        <v>637</v>
      </c>
      <c r="S862" s="20">
        <f>IFERROR(IF([1]对账明细接口!$N862=0,"",[1]对账明细接口!$N862),"")</f>
      </c>
      <c r="T862" s="212">
        <f>IFERROR(IF([1]对账明细接口!$O862=0,"",[1]对账明细接口!$O862),"")</f>
      </c>
      <c r="U862" s="212">
        <f>IFERROR(IF([1]对账明细接口!$P862=0,"",[1]对账明细接口!$P862),"")</f>
      </c>
      <c r="V862" s="212">
        <f>IFERROR(IF([1]对账明细接口!$Q862=0,"",[1]对账明细接口!$Q862),"")</f>
      </c>
      <c r="W862" s="20">
        <f>IFERROR(IF([1]对账明细接口!$R862=0,"",[1]对账明细接口!$R862),"")</f>
      </c>
      <c r="X862" s="20">
        <f>IFERROR(IF([1]对账明细接口!$S862=0,"",[1]对账明细接口!$S862),"")</f>
      </c>
      <c r="Y862" s="20">
        <f>IFERROR(IF([1]对账明细接口!$T862=0,"",[1]对账明细接口!$T862),"")</f>
      </c>
      <c r="Z862" s="213">
        <f>IFERROR(IF([1]对账明细接口!$U862=0,"",[1]对账明细接口!$U862),"")</f>
      </c>
      <c r="AA862" s="213">
        <f>IFERROR(IF([1]对账明细接口!$V862=0,"",[1]对账明细接口!$V862),"")</f>
      </c>
      <c r="AB862" s="20">
        <f>IFERROR(IF([1]对账明细接口!$W862=0,"",[1]对账明细接口!$W862),"")</f>
      </c>
      <c r="AC862" s="7">
        <f>IFERROR(IF([1]对账明细接口!$X862=0,"",[1]对账明细接口!$X862),"")</f>
      </c>
      <c r="AD862" s="7">
        <f>IFERROR(IF([1]对账明细接口!$Y862=0,"",[1]对账明细接口!$Y862),"")</f>
      </c>
      <c r="AE862" s="7">
        <f>IFERROR(IF([1]对账明细接口!$AA862=0,"",[1]对账明细接口!$AA862),"")</f>
      </c>
      <c r="AF862" s="7">
        <f>IFERROR(IF([1]对账明细接口!$AB862=0,"",[1]对账明细接口!$AB862),"")</f>
      </c>
      <c r="AG862" s="7">
        <f>IFERROR(IF([1]对账明细接口!$AC862=0,"",[1]对账明细接口!$AC862),"")</f>
      </c>
      <c r="AH862" s="7">
        <f>IFERROR(IF([1]对账明细接口!$AD862=0,"",[1]对账明细接口!$AD862),"")</f>
      </c>
      <c r="AI862" s="7">
        <f>IFERROR(IF([1]对账明细接口!$AE862=0,"",[1]对账明细接口!$AE862),"")</f>
      </c>
      <c r="AJ862" s="7">
        <f>IFERROR(IF([1]对账明细接口!$AF862=0,"",[1]对账明细接口!$AF862),"")</f>
      </c>
    </row>
    <row r="863" ht="14.25" customHeight="1" s="127">
      <c r="A863" s="14" t="n">
        <v>863</v>
      </c>
      <c r="B863" s="211">
        <f>IFERROR(IF([1]对账明细接口!$B$863=0,"",[1]对账明细接口!$B$863),"")</f>
      </c>
      <c r="C863" s="16">
        <f>IFERROR(IF([1]对账明细接口!$C$863=0,"",[1]对账明细接口!$C$863),"")</f>
      </c>
      <c r="D863" s="16">
        <f>IFERROR(IF([1]对账明细接口!$D$863=0,"",[1]对账明细接口!$D$863),"")</f>
      </c>
      <c r="E863" s="16">
        <f>IFERROR(IF([1]对账明细接口!$E$863=0,"",[1]对账明细接口!$E$863),"")</f>
      </c>
      <c r="F863" s="16">
        <f>IFERROR(IF([1]对账明细接口!$F$863=0,"",[1]对账明细接口!$F$863),"")</f>
      </c>
      <c r="G863" s="16">
        <f>IFERROR(IF([1]对账明细接口!$G$863=0,"",[1]对账明细接口!$G$863),"")</f>
      </c>
      <c r="H863" s="176">
        <f>IFERROR(IF([1]对账明细接口!$H$863=0,"",[1]对账明细接口!$H$863),"")</f>
      </c>
      <c r="I863" s="16">
        <f>IFERROR(IF([1]对账明细接口!$I$863=0,"",[1]对账明细接口!$I$863),"")</f>
      </c>
      <c r="J863" s="177">
        <f>IFERROR(IF([1]对账明细接口!$J$863=0,"",[1]对账明细接口!$J$863),"")</f>
      </c>
      <c r="K863" s="177">
        <f>IFERROR(IF([1]对账明细接口!$K$863=0,"",[1]对账明细接口!$K$863),"")</f>
      </c>
      <c r="L863" s="16">
        <f>IFERROR(IF([1]对账明细接口!$L$863=0,"",[1]对账明细接口!$L$863),"")</f>
      </c>
      <c r="M863" s="16">
        <f>IFERROR(IF([1]对账明细接口!$M$863=0,"",[1]对账明细接口!$M$863),"")</f>
      </c>
      <c r="N863" s="19">
        <f>IF($C863="",0,1)</f>
        <v>0</v>
      </c>
      <c r="O863" s="19">
        <f>N(O862)+$N863</f>
        <v>637</v>
      </c>
      <c r="S863" s="20">
        <f>IFERROR(IF([1]对账明细接口!$N863=0,"",[1]对账明细接口!$N863),"")</f>
      </c>
      <c r="T863" s="212">
        <f>IFERROR(IF([1]对账明细接口!$O863=0,"",[1]对账明细接口!$O863),"")</f>
      </c>
      <c r="U863" s="212">
        <f>IFERROR(IF([1]对账明细接口!$P863=0,"",[1]对账明细接口!$P863),"")</f>
      </c>
      <c r="V863" s="212">
        <f>IFERROR(IF([1]对账明细接口!$Q863=0,"",[1]对账明细接口!$Q863),"")</f>
      </c>
      <c r="W863" s="20">
        <f>IFERROR(IF([1]对账明细接口!$R863=0,"",[1]对账明细接口!$R863),"")</f>
      </c>
      <c r="X863" s="20">
        <f>IFERROR(IF([1]对账明细接口!$S863=0,"",[1]对账明细接口!$S863),"")</f>
      </c>
      <c r="Y863" s="20">
        <f>IFERROR(IF([1]对账明细接口!$T863=0,"",[1]对账明细接口!$T863),"")</f>
      </c>
      <c r="Z863" s="213">
        <f>IFERROR(IF([1]对账明细接口!$U863=0,"",[1]对账明细接口!$U863),"")</f>
      </c>
      <c r="AA863" s="213">
        <f>IFERROR(IF([1]对账明细接口!$V863=0,"",[1]对账明细接口!$V863),"")</f>
      </c>
      <c r="AB863" s="20">
        <f>IFERROR(IF([1]对账明细接口!$W863=0,"",[1]对账明细接口!$W863),"")</f>
      </c>
      <c r="AC863" s="7">
        <f>IFERROR(IF([1]对账明细接口!$X863=0,"",[1]对账明细接口!$X863),"")</f>
      </c>
      <c r="AD863" s="7">
        <f>IFERROR(IF([1]对账明细接口!$Y863=0,"",[1]对账明细接口!$Y863),"")</f>
      </c>
      <c r="AE863" s="7">
        <f>IFERROR(IF([1]对账明细接口!$AA863=0,"",[1]对账明细接口!$AA863),"")</f>
      </c>
      <c r="AF863" s="7">
        <f>IFERROR(IF([1]对账明细接口!$AB863=0,"",[1]对账明细接口!$AB863),"")</f>
      </c>
      <c r="AG863" s="7">
        <f>IFERROR(IF([1]对账明细接口!$AC863=0,"",[1]对账明细接口!$AC863),"")</f>
      </c>
      <c r="AH863" s="7">
        <f>IFERROR(IF([1]对账明细接口!$AD863=0,"",[1]对账明细接口!$AD863),"")</f>
      </c>
      <c r="AI863" s="7">
        <f>IFERROR(IF([1]对账明细接口!$AE863=0,"",[1]对账明细接口!$AE863),"")</f>
      </c>
      <c r="AJ863" s="7">
        <f>IFERROR(IF([1]对账明细接口!$AF863=0,"",[1]对账明细接口!$AF863),"")</f>
      </c>
    </row>
    <row r="864" ht="14.25" customHeight="1" s="127">
      <c r="A864" s="14" t="n">
        <v>864</v>
      </c>
      <c r="B864" s="211">
        <f>IFERROR(IF([1]对账明细接口!$B$864=0,"",[1]对账明细接口!$B$864),"")</f>
      </c>
      <c r="C864" s="16">
        <f>IFERROR(IF([1]对账明细接口!$C$864=0,"",[1]对账明细接口!$C$864),"")</f>
      </c>
      <c r="D864" s="16">
        <f>IFERROR(IF([1]对账明细接口!$D$864=0,"",[1]对账明细接口!$D$864),"")</f>
      </c>
      <c r="E864" s="16">
        <f>IFERROR(IF([1]对账明细接口!$E$864=0,"",[1]对账明细接口!$E$864),"")</f>
      </c>
      <c r="F864" s="16">
        <f>IFERROR(IF([1]对账明细接口!$F$864=0,"",[1]对账明细接口!$F$864),"")</f>
      </c>
      <c r="G864" s="16">
        <f>IFERROR(IF([1]对账明细接口!$G$864=0,"",[1]对账明细接口!$G$864),"")</f>
      </c>
      <c r="H864" s="176">
        <f>IFERROR(IF([1]对账明细接口!$H$864=0,"",[1]对账明细接口!$H$864),"")</f>
      </c>
      <c r="I864" s="16">
        <f>IFERROR(IF([1]对账明细接口!$I$864=0,"",[1]对账明细接口!$I$864),"")</f>
      </c>
      <c r="J864" s="177">
        <f>IFERROR(IF([1]对账明细接口!$J$864=0,"",[1]对账明细接口!$J$864),"")</f>
      </c>
      <c r="K864" s="177">
        <f>IFERROR(IF([1]对账明细接口!$K$864=0,"",[1]对账明细接口!$K$864),"")</f>
      </c>
      <c r="L864" s="16">
        <f>IFERROR(IF([1]对账明细接口!$L$864=0,"",[1]对账明细接口!$L$864),"")</f>
      </c>
      <c r="M864" s="16">
        <f>IFERROR(IF([1]对账明细接口!$M$864=0,"",[1]对账明细接口!$M$864),"")</f>
      </c>
      <c r="N864" s="19">
        <f>IF($C864="",0,1)</f>
        <v>0</v>
      </c>
      <c r="O864" s="19">
        <f>N(O863)+$N864</f>
        <v>637</v>
      </c>
      <c r="S864" s="20">
        <f>IFERROR(IF([1]对账明细接口!$N864=0,"",[1]对账明细接口!$N864),"")</f>
      </c>
      <c r="T864" s="212">
        <f>IFERROR(IF([1]对账明细接口!$O864=0,"",[1]对账明细接口!$O864),"")</f>
      </c>
      <c r="U864" s="212">
        <f>IFERROR(IF([1]对账明细接口!$P864=0,"",[1]对账明细接口!$P864),"")</f>
      </c>
      <c r="V864" s="212">
        <f>IFERROR(IF([1]对账明细接口!$Q864=0,"",[1]对账明细接口!$Q864),"")</f>
      </c>
      <c r="W864" s="20">
        <f>IFERROR(IF([1]对账明细接口!$R864=0,"",[1]对账明细接口!$R864),"")</f>
      </c>
      <c r="X864" s="20">
        <f>IFERROR(IF([1]对账明细接口!$S864=0,"",[1]对账明细接口!$S864),"")</f>
      </c>
      <c r="Y864" s="20">
        <f>IFERROR(IF([1]对账明细接口!$T864=0,"",[1]对账明细接口!$T864),"")</f>
      </c>
      <c r="Z864" s="213">
        <f>IFERROR(IF([1]对账明细接口!$U864=0,"",[1]对账明细接口!$U864),"")</f>
      </c>
      <c r="AA864" s="213">
        <f>IFERROR(IF([1]对账明细接口!$V864=0,"",[1]对账明细接口!$V864),"")</f>
      </c>
      <c r="AB864" s="20">
        <f>IFERROR(IF([1]对账明细接口!$W864=0,"",[1]对账明细接口!$W864),"")</f>
      </c>
      <c r="AC864" s="7">
        <f>IFERROR(IF([1]对账明细接口!$X864=0,"",[1]对账明细接口!$X864),"")</f>
      </c>
      <c r="AD864" s="7">
        <f>IFERROR(IF([1]对账明细接口!$Y864=0,"",[1]对账明细接口!$Y864),"")</f>
      </c>
      <c r="AE864" s="7">
        <f>IFERROR(IF([1]对账明细接口!$AA864=0,"",[1]对账明细接口!$AA864),"")</f>
      </c>
      <c r="AF864" s="7">
        <f>IFERROR(IF([1]对账明细接口!$AB864=0,"",[1]对账明细接口!$AB864),"")</f>
      </c>
      <c r="AG864" s="7">
        <f>IFERROR(IF([1]对账明细接口!$AC864=0,"",[1]对账明细接口!$AC864),"")</f>
      </c>
      <c r="AH864" s="7">
        <f>IFERROR(IF([1]对账明细接口!$AD864=0,"",[1]对账明细接口!$AD864),"")</f>
      </c>
      <c r="AI864" s="7">
        <f>IFERROR(IF([1]对账明细接口!$AE864=0,"",[1]对账明细接口!$AE864),"")</f>
      </c>
      <c r="AJ864" s="7">
        <f>IFERROR(IF([1]对账明细接口!$AF864=0,"",[1]对账明细接口!$AF864),"")</f>
      </c>
    </row>
    <row r="865" ht="14.25" customHeight="1" s="127">
      <c r="A865" s="14" t="n">
        <v>865</v>
      </c>
      <c r="B865" s="211">
        <f>IFERROR(IF([1]对账明细接口!$B$865=0,"",[1]对账明细接口!$B$865),"")</f>
      </c>
      <c r="C865" s="16">
        <f>IFERROR(IF([1]对账明细接口!$C$865=0,"",[1]对账明细接口!$C$865),"")</f>
      </c>
      <c r="D865" s="16">
        <f>IFERROR(IF([1]对账明细接口!$D$865=0,"",[1]对账明细接口!$D$865),"")</f>
      </c>
      <c r="E865" s="16">
        <f>IFERROR(IF([1]对账明细接口!$E$865=0,"",[1]对账明细接口!$E$865),"")</f>
      </c>
      <c r="F865" s="16">
        <f>IFERROR(IF([1]对账明细接口!$F$865=0,"",[1]对账明细接口!$F$865),"")</f>
      </c>
      <c r="G865" s="16">
        <f>IFERROR(IF([1]对账明细接口!$G$865=0,"",[1]对账明细接口!$G$865),"")</f>
      </c>
      <c r="H865" s="176">
        <f>IFERROR(IF([1]对账明细接口!$H$865=0,"",[1]对账明细接口!$H$865),"")</f>
      </c>
      <c r="I865" s="16">
        <f>IFERROR(IF([1]对账明细接口!$I$865=0,"",[1]对账明细接口!$I$865),"")</f>
      </c>
      <c r="J865" s="177">
        <f>IFERROR(IF([1]对账明细接口!$J$865=0,"",[1]对账明细接口!$J$865),"")</f>
      </c>
      <c r="K865" s="177">
        <f>IFERROR(IF([1]对账明细接口!$K$865=0,"",[1]对账明细接口!$K$865),"")</f>
      </c>
      <c r="L865" s="16">
        <f>IFERROR(IF([1]对账明细接口!$L$865=0,"",[1]对账明细接口!$L$865),"")</f>
      </c>
      <c r="M865" s="16">
        <f>IFERROR(IF([1]对账明细接口!$M$865=0,"",[1]对账明细接口!$M$865),"")</f>
      </c>
      <c r="N865" s="19">
        <f>IF($C865="",0,1)</f>
        <v>0</v>
      </c>
      <c r="O865" s="19">
        <f>N(O864)+$N865</f>
        <v>637</v>
      </c>
      <c r="S865" s="20">
        <f>IFERROR(IF([1]对账明细接口!$N865=0,"",[1]对账明细接口!$N865),"")</f>
      </c>
      <c r="T865" s="212">
        <f>IFERROR(IF([1]对账明细接口!$O865=0,"",[1]对账明细接口!$O865),"")</f>
      </c>
      <c r="U865" s="212">
        <f>IFERROR(IF([1]对账明细接口!$P865=0,"",[1]对账明细接口!$P865),"")</f>
      </c>
      <c r="V865" s="212">
        <f>IFERROR(IF([1]对账明细接口!$Q865=0,"",[1]对账明细接口!$Q865),"")</f>
      </c>
      <c r="W865" s="20">
        <f>IFERROR(IF([1]对账明细接口!$R865=0,"",[1]对账明细接口!$R865),"")</f>
      </c>
      <c r="X865" s="20">
        <f>IFERROR(IF([1]对账明细接口!$S865=0,"",[1]对账明细接口!$S865),"")</f>
      </c>
      <c r="Y865" s="20">
        <f>IFERROR(IF([1]对账明细接口!$T865=0,"",[1]对账明细接口!$T865),"")</f>
      </c>
      <c r="Z865" s="213">
        <f>IFERROR(IF([1]对账明细接口!$U865=0,"",[1]对账明细接口!$U865),"")</f>
      </c>
      <c r="AA865" s="213">
        <f>IFERROR(IF([1]对账明细接口!$V865=0,"",[1]对账明细接口!$V865),"")</f>
      </c>
      <c r="AB865" s="20">
        <f>IFERROR(IF([1]对账明细接口!$W865=0,"",[1]对账明细接口!$W865),"")</f>
      </c>
      <c r="AC865" s="7">
        <f>IFERROR(IF([1]对账明细接口!$X865=0,"",[1]对账明细接口!$X865),"")</f>
      </c>
      <c r="AD865" s="7">
        <f>IFERROR(IF([1]对账明细接口!$Y865=0,"",[1]对账明细接口!$Y865),"")</f>
      </c>
      <c r="AE865" s="7">
        <f>IFERROR(IF([1]对账明细接口!$AA865=0,"",[1]对账明细接口!$AA865),"")</f>
      </c>
      <c r="AF865" s="7">
        <f>IFERROR(IF([1]对账明细接口!$AB865=0,"",[1]对账明细接口!$AB865),"")</f>
      </c>
      <c r="AG865" s="7">
        <f>IFERROR(IF([1]对账明细接口!$AC865=0,"",[1]对账明细接口!$AC865),"")</f>
      </c>
      <c r="AH865" s="7">
        <f>IFERROR(IF([1]对账明细接口!$AD865=0,"",[1]对账明细接口!$AD865),"")</f>
      </c>
      <c r="AI865" s="7">
        <f>IFERROR(IF([1]对账明细接口!$AE865=0,"",[1]对账明细接口!$AE865),"")</f>
      </c>
      <c r="AJ865" s="7">
        <f>IFERROR(IF([1]对账明细接口!$AF865=0,"",[1]对账明细接口!$AF865),"")</f>
      </c>
    </row>
    <row r="866" ht="14.25" customHeight="1" s="127">
      <c r="A866" s="14" t="n">
        <v>866</v>
      </c>
      <c r="B866" s="211">
        <f>IFERROR(IF([1]对账明细接口!$B$866=0,"",[1]对账明细接口!$B$866),"")</f>
      </c>
      <c r="C866" s="16">
        <f>IFERROR(IF([1]对账明细接口!$C$866=0,"",[1]对账明细接口!$C$866),"")</f>
      </c>
      <c r="D866" s="16">
        <f>IFERROR(IF([1]对账明细接口!$D$866=0,"",[1]对账明细接口!$D$866),"")</f>
      </c>
      <c r="E866" s="16">
        <f>IFERROR(IF([1]对账明细接口!$E$866=0,"",[1]对账明细接口!$E$866),"")</f>
      </c>
      <c r="F866" s="16">
        <f>IFERROR(IF([1]对账明细接口!$F$866=0,"",[1]对账明细接口!$F$866),"")</f>
      </c>
      <c r="G866" s="16">
        <f>IFERROR(IF([1]对账明细接口!$G$866=0,"",[1]对账明细接口!$G$866),"")</f>
      </c>
      <c r="H866" s="176">
        <f>IFERROR(IF([1]对账明细接口!$H$866=0,"",[1]对账明细接口!$H$866),"")</f>
      </c>
      <c r="I866" s="16">
        <f>IFERROR(IF([1]对账明细接口!$I$866=0,"",[1]对账明细接口!$I$866),"")</f>
      </c>
      <c r="J866" s="177">
        <f>IFERROR(IF([1]对账明细接口!$J$866=0,"",[1]对账明细接口!$J$866),"")</f>
      </c>
      <c r="K866" s="177">
        <f>IFERROR(IF([1]对账明细接口!$K$866=0,"",[1]对账明细接口!$K$866),"")</f>
      </c>
      <c r="L866" s="16">
        <f>IFERROR(IF([1]对账明细接口!$L$866=0,"",[1]对账明细接口!$L$866),"")</f>
      </c>
      <c r="M866" s="16">
        <f>IFERROR(IF([1]对账明细接口!$M$866=0,"",[1]对账明细接口!$M$866),"")</f>
      </c>
      <c r="N866" s="19">
        <f>IF($C866="",0,1)</f>
        <v>0</v>
      </c>
      <c r="O866" s="19">
        <f>N(O865)+$N866</f>
        <v>637</v>
      </c>
      <c r="S866" s="20">
        <f>IFERROR(IF([1]对账明细接口!$N866=0,"",[1]对账明细接口!$N866),"")</f>
      </c>
      <c r="T866" s="212">
        <f>IFERROR(IF([1]对账明细接口!$O866=0,"",[1]对账明细接口!$O866),"")</f>
      </c>
      <c r="U866" s="212">
        <f>IFERROR(IF([1]对账明细接口!$P866=0,"",[1]对账明细接口!$P866),"")</f>
      </c>
      <c r="V866" s="212">
        <f>IFERROR(IF([1]对账明细接口!$Q866=0,"",[1]对账明细接口!$Q866),"")</f>
      </c>
      <c r="W866" s="20">
        <f>IFERROR(IF([1]对账明细接口!$R866=0,"",[1]对账明细接口!$R866),"")</f>
      </c>
      <c r="X866" s="20">
        <f>IFERROR(IF([1]对账明细接口!$S866=0,"",[1]对账明细接口!$S866),"")</f>
      </c>
      <c r="Y866" s="20">
        <f>IFERROR(IF([1]对账明细接口!$T866=0,"",[1]对账明细接口!$T866),"")</f>
      </c>
      <c r="Z866" s="213">
        <f>IFERROR(IF([1]对账明细接口!$U866=0,"",[1]对账明细接口!$U866),"")</f>
      </c>
      <c r="AA866" s="213">
        <f>IFERROR(IF([1]对账明细接口!$V866=0,"",[1]对账明细接口!$V866),"")</f>
      </c>
      <c r="AB866" s="20">
        <f>IFERROR(IF([1]对账明细接口!$W866=0,"",[1]对账明细接口!$W866),"")</f>
      </c>
      <c r="AC866" s="7">
        <f>IFERROR(IF([1]对账明细接口!$X866=0,"",[1]对账明细接口!$X866),"")</f>
      </c>
      <c r="AD866" s="7">
        <f>IFERROR(IF([1]对账明细接口!$Y866=0,"",[1]对账明细接口!$Y866),"")</f>
      </c>
      <c r="AE866" s="7">
        <f>IFERROR(IF([1]对账明细接口!$AA866=0,"",[1]对账明细接口!$AA866),"")</f>
      </c>
      <c r="AF866" s="7">
        <f>IFERROR(IF([1]对账明细接口!$AB866=0,"",[1]对账明细接口!$AB866),"")</f>
      </c>
      <c r="AG866" s="7">
        <f>IFERROR(IF([1]对账明细接口!$AC866=0,"",[1]对账明细接口!$AC866),"")</f>
      </c>
      <c r="AH866" s="7">
        <f>IFERROR(IF([1]对账明细接口!$AD866=0,"",[1]对账明细接口!$AD866),"")</f>
      </c>
      <c r="AI866" s="7">
        <f>IFERROR(IF([1]对账明细接口!$AE866=0,"",[1]对账明细接口!$AE866),"")</f>
      </c>
      <c r="AJ866" s="7">
        <f>IFERROR(IF([1]对账明细接口!$AF866=0,"",[1]对账明细接口!$AF866),"")</f>
      </c>
    </row>
    <row r="867" ht="14.25" customHeight="1" s="127">
      <c r="A867" s="14" t="n">
        <v>867</v>
      </c>
      <c r="B867" s="211">
        <f>IFERROR(IF([1]对账明细接口!$B$867=0,"",[1]对账明细接口!$B$867),"")</f>
      </c>
      <c r="C867" s="16">
        <f>IFERROR(IF([1]对账明细接口!$C$867=0,"",[1]对账明细接口!$C$867),"")</f>
      </c>
      <c r="D867" s="16">
        <f>IFERROR(IF([1]对账明细接口!$D$867=0,"",[1]对账明细接口!$D$867),"")</f>
      </c>
      <c r="E867" s="16">
        <f>IFERROR(IF([1]对账明细接口!$E$867=0,"",[1]对账明细接口!$E$867),"")</f>
      </c>
      <c r="F867" s="16">
        <f>IFERROR(IF([1]对账明细接口!$F$867=0,"",[1]对账明细接口!$F$867),"")</f>
      </c>
      <c r="G867" s="16">
        <f>IFERROR(IF([1]对账明细接口!$G$867=0,"",[1]对账明细接口!$G$867),"")</f>
      </c>
      <c r="H867" s="176">
        <f>IFERROR(IF([1]对账明细接口!$H$867=0,"",[1]对账明细接口!$H$867),"")</f>
      </c>
      <c r="I867" s="16">
        <f>IFERROR(IF([1]对账明细接口!$I$867=0,"",[1]对账明细接口!$I$867),"")</f>
      </c>
      <c r="J867" s="177">
        <f>IFERROR(IF([1]对账明细接口!$J$867=0,"",[1]对账明细接口!$J$867),"")</f>
      </c>
      <c r="K867" s="177">
        <f>IFERROR(IF([1]对账明细接口!$K$867=0,"",[1]对账明细接口!$K$867),"")</f>
      </c>
      <c r="L867" s="16">
        <f>IFERROR(IF([1]对账明细接口!$L$867=0,"",[1]对账明细接口!$L$867),"")</f>
      </c>
      <c r="M867" s="16">
        <f>IFERROR(IF([1]对账明细接口!$M$867=0,"",[1]对账明细接口!$M$867),"")</f>
      </c>
      <c r="N867" s="19">
        <f>IF($C867="",0,1)</f>
        <v>0</v>
      </c>
      <c r="O867" s="19">
        <f>N(O866)+$N867</f>
        <v>637</v>
      </c>
      <c r="S867" s="20">
        <f>IFERROR(IF([1]对账明细接口!$N867=0,"",[1]对账明细接口!$N867),"")</f>
      </c>
      <c r="T867" s="212">
        <f>IFERROR(IF([1]对账明细接口!$O867=0,"",[1]对账明细接口!$O867),"")</f>
      </c>
      <c r="U867" s="212">
        <f>IFERROR(IF([1]对账明细接口!$P867=0,"",[1]对账明细接口!$P867),"")</f>
      </c>
      <c r="V867" s="212">
        <f>IFERROR(IF([1]对账明细接口!$Q867=0,"",[1]对账明细接口!$Q867),"")</f>
      </c>
      <c r="W867" s="20">
        <f>IFERROR(IF([1]对账明细接口!$R867=0,"",[1]对账明细接口!$R867),"")</f>
      </c>
      <c r="X867" s="20">
        <f>IFERROR(IF([1]对账明细接口!$S867=0,"",[1]对账明细接口!$S867),"")</f>
      </c>
      <c r="Y867" s="20">
        <f>IFERROR(IF([1]对账明细接口!$T867=0,"",[1]对账明细接口!$T867),"")</f>
      </c>
      <c r="Z867" s="213">
        <f>IFERROR(IF([1]对账明细接口!$U867=0,"",[1]对账明细接口!$U867),"")</f>
      </c>
      <c r="AA867" s="213">
        <f>IFERROR(IF([1]对账明细接口!$V867=0,"",[1]对账明细接口!$V867),"")</f>
      </c>
      <c r="AB867" s="20">
        <f>IFERROR(IF([1]对账明细接口!$W867=0,"",[1]对账明细接口!$W867),"")</f>
      </c>
      <c r="AC867" s="7">
        <f>IFERROR(IF([1]对账明细接口!$X867=0,"",[1]对账明细接口!$X867),"")</f>
      </c>
      <c r="AD867" s="7">
        <f>IFERROR(IF([1]对账明细接口!$Y867=0,"",[1]对账明细接口!$Y867),"")</f>
      </c>
      <c r="AE867" s="7">
        <f>IFERROR(IF([1]对账明细接口!$AA867=0,"",[1]对账明细接口!$AA867),"")</f>
      </c>
      <c r="AF867" s="7">
        <f>IFERROR(IF([1]对账明细接口!$AB867=0,"",[1]对账明细接口!$AB867),"")</f>
      </c>
      <c r="AG867" s="7">
        <f>IFERROR(IF([1]对账明细接口!$AC867=0,"",[1]对账明细接口!$AC867),"")</f>
      </c>
      <c r="AH867" s="7">
        <f>IFERROR(IF([1]对账明细接口!$AD867=0,"",[1]对账明细接口!$AD867),"")</f>
      </c>
      <c r="AI867" s="7">
        <f>IFERROR(IF([1]对账明细接口!$AE867=0,"",[1]对账明细接口!$AE867),"")</f>
      </c>
      <c r="AJ867" s="7">
        <f>IFERROR(IF([1]对账明细接口!$AF867=0,"",[1]对账明细接口!$AF867),"")</f>
      </c>
    </row>
    <row r="868" ht="14.25" customHeight="1" s="127">
      <c r="A868" s="14" t="n">
        <v>868</v>
      </c>
      <c r="B868" s="211">
        <f>IFERROR(IF([1]对账明细接口!$B$868=0,"",[1]对账明细接口!$B$868),"")</f>
      </c>
      <c r="C868" s="16">
        <f>IFERROR(IF([1]对账明细接口!$C$868=0,"",[1]对账明细接口!$C$868),"")</f>
      </c>
      <c r="D868" s="16">
        <f>IFERROR(IF([1]对账明细接口!$D$868=0,"",[1]对账明细接口!$D$868),"")</f>
      </c>
      <c r="E868" s="16">
        <f>IFERROR(IF([1]对账明细接口!$E$868=0,"",[1]对账明细接口!$E$868),"")</f>
      </c>
      <c r="F868" s="16">
        <f>IFERROR(IF([1]对账明细接口!$F$868=0,"",[1]对账明细接口!$F$868),"")</f>
      </c>
      <c r="G868" s="16">
        <f>IFERROR(IF([1]对账明细接口!$G$868=0,"",[1]对账明细接口!$G$868),"")</f>
      </c>
      <c r="H868" s="176">
        <f>IFERROR(IF([1]对账明细接口!$H$868=0,"",[1]对账明细接口!$H$868),"")</f>
      </c>
      <c r="I868" s="16">
        <f>IFERROR(IF([1]对账明细接口!$I$868=0,"",[1]对账明细接口!$I$868),"")</f>
      </c>
      <c r="J868" s="177">
        <f>IFERROR(IF([1]对账明细接口!$J$868=0,"",[1]对账明细接口!$J$868),"")</f>
      </c>
      <c r="K868" s="177">
        <f>IFERROR(IF([1]对账明细接口!$K$868=0,"",[1]对账明细接口!$K$868),"")</f>
      </c>
      <c r="L868" s="16">
        <f>IFERROR(IF([1]对账明细接口!$L$868=0,"",[1]对账明细接口!$L$868),"")</f>
      </c>
      <c r="M868" s="16">
        <f>IFERROR(IF([1]对账明细接口!$M$868=0,"",[1]对账明细接口!$M$868),"")</f>
      </c>
      <c r="N868" s="19">
        <f>IF($C868="",0,1)</f>
        <v>0</v>
      </c>
      <c r="O868" s="19">
        <f>N(O867)+$N868</f>
        <v>637</v>
      </c>
      <c r="S868" s="20">
        <f>IFERROR(IF([1]对账明细接口!$N868=0,"",[1]对账明细接口!$N868),"")</f>
      </c>
      <c r="T868" s="212">
        <f>IFERROR(IF([1]对账明细接口!$O868=0,"",[1]对账明细接口!$O868),"")</f>
      </c>
      <c r="U868" s="212">
        <f>IFERROR(IF([1]对账明细接口!$P868=0,"",[1]对账明细接口!$P868),"")</f>
      </c>
      <c r="V868" s="212">
        <f>IFERROR(IF([1]对账明细接口!$Q868=0,"",[1]对账明细接口!$Q868),"")</f>
      </c>
      <c r="W868" s="20">
        <f>IFERROR(IF([1]对账明细接口!$R868=0,"",[1]对账明细接口!$R868),"")</f>
      </c>
      <c r="X868" s="20">
        <f>IFERROR(IF([1]对账明细接口!$S868=0,"",[1]对账明细接口!$S868),"")</f>
      </c>
      <c r="Y868" s="20">
        <f>IFERROR(IF([1]对账明细接口!$T868=0,"",[1]对账明细接口!$T868),"")</f>
      </c>
      <c r="Z868" s="213">
        <f>IFERROR(IF([1]对账明细接口!$U868=0,"",[1]对账明细接口!$U868),"")</f>
      </c>
      <c r="AA868" s="213">
        <f>IFERROR(IF([1]对账明细接口!$V868=0,"",[1]对账明细接口!$V868),"")</f>
      </c>
      <c r="AB868" s="20">
        <f>IFERROR(IF([1]对账明细接口!$W868=0,"",[1]对账明细接口!$W868),"")</f>
      </c>
      <c r="AC868" s="7">
        <f>IFERROR(IF([1]对账明细接口!$X868=0,"",[1]对账明细接口!$X868),"")</f>
      </c>
      <c r="AD868" s="7">
        <f>IFERROR(IF([1]对账明细接口!$Y868=0,"",[1]对账明细接口!$Y868),"")</f>
      </c>
      <c r="AE868" s="7">
        <f>IFERROR(IF([1]对账明细接口!$AA868=0,"",[1]对账明细接口!$AA868),"")</f>
      </c>
      <c r="AF868" s="7">
        <f>IFERROR(IF([1]对账明细接口!$AB868=0,"",[1]对账明细接口!$AB868),"")</f>
      </c>
      <c r="AG868" s="7">
        <f>IFERROR(IF([1]对账明细接口!$AC868=0,"",[1]对账明细接口!$AC868),"")</f>
      </c>
      <c r="AH868" s="7">
        <f>IFERROR(IF([1]对账明细接口!$AD868=0,"",[1]对账明细接口!$AD868),"")</f>
      </c>
      <c r="AI868" s="7">
        <f>IFERROR(IF([1]对账明细接口!$AE868=0,"",[1]对账明细接口!$AE868),"")</f>
      </c>
      <c r="AJ868" s="7">
        <f>IFERROR(IF([1]对账明细接口!$AF868=0,"",[1]对账明细接口!$AF868),"")</f>
      </c>
    </row>
    <row r="869" ht="14.25" customHeight="1" s="127">
      <c r="A869" s="14" t="n">
        <v>869</v>
      </c>
      <c r="B869" s="211">
        <f>IFERROR(IF([1]对账明细接口!$B$869=0,"",[1]对账明细接口!$B$869),"")</f>
      </c>
      <c r="C869" s="16">
        <f>IFERROR(IF([1]对账明细接口!$C$869=0,"",[1]对账明细接口!$C$869),"")</f>
      </c>
      <c r="D869" s="16">
        <f>IFERROR(IF([1]对账明细接口!$D$869=0,"",[1]对账明细接口!$D$869),"")</f>
      </c>
      <c r="E869" s="16">
        <f>IFERROR(IF([1]对账明细接口!$E$869=0,"",[1]对账明细接口!$E$869),"")</f>
      </c>
      <c r="F869" s="16">
        <f>IFERROR(IF([1]对账明细接口!$F$869=0,"",[1]对账明细接口!$F$869),"")</f>
      </c>
      <c r="G869" s="16">
        <f>IFERROR(IF([1]对账明细接口!$G$869=0,"",[1]对账明细接口!$G$869),"")</f>
      </c>
      <c r="H869" s="176">
        <f>IFERROR(IF([1]对账明细接口!$H$869=0,"",[1]对账明细接口!$H$869),"")</f>
      </c>
      <c r="I869" s="16">
        <f>IFERROR(IF([1]对账明细接口!$I$869=0,"",[1]对账明细接口!$I$869),"")</f>
      </c>
      <c r="J869" s="177">
        <f>IFERROR(IF([1]对账明细接口!$J$869=0,"",[1]对账明细接口!$J$869),"")</f>
      </c>
      <c r="K869" s="177">
        <f>IFERROR(IF([1]对账明细接口!$K$869=0,"",[1]对账明细接口!$K$869),"")</f>
      </c>
      <c r="L869" s="16">
        <f>IFERROR(IF([1]对账明细接口!$L$869=0,"",[1]对账明细接口!$L$869),"")</f>
      </c>
      <c r="M869" s="16">
        <f>IFERROR(IF([1]对账明细接口!$M$869=0,"",[1]对账明细接口!$M$869),"")</f>
      </c>
      <c r="N869" s="19">
        <f>IF($C869="",0,1)</f>
        <v>0</v>
      </c>
      <c r="O869" s="19">
        <f>N(O868)+$N869</f>
        <v>637</v>
      </c>
      <c r="S869" s="20">
        <f>IFERROR(IF([1]对账明细接口!$N869=0,"",[1]对账明细接口!$N869),"")</f>
      </c>
      <c r="T869" s="212">
        <f>IFERROR(IF([1]对账明细接口!$O869=0,"",[1]对账明细接口!$O869),"")</f>
      </c>
      <c r="U869" s="212">
        <f>IFERROR(IF([1]对账明细接口!$P869=0,"",[1]对账明细接口!$P869),"")</f>
      </c>
      <c r="V869" s="212">
        <f>IFERROR(IF([1]对账明细接口!$Q869=0,"",[1]对账明细接口!$Q869),"")</f>
      </c>
      <c r="W869" s="20">
        <f>IFERROR(IF([1]对账明细接口!$R869=0,"",[1]对账明细接口!$R869),"")</f>
      </c>
      <c r="X869" s="20">
        <f>IFERROR(IF([1]对账明细接口!$S869=0,"",[1]对账明细接口!$S869),"")</f>
      </c>
      <c r="Y869" s="20">
        <f>IFERROR(IF([1]对账明细接口!$T869=0,"",[1]对账明细接口!$T869),"")</f>
      </c>
      <c r="Z869" s="213">
        <f>IFERROR(IF([1]对账明细接口!$U869=0,"",[1]对账明细接口!$U869),"")</f>
      </c>
      <c r="AA869" s="213">
        <f>IFERROR(IF([1]对账明细接口!$V869=0,"",[1]对账明细接口!$V869),"")</f>
      </c>
      <c r="AB869" s="20">
        <f>IFERROR(IF([1]对账明细接口!$W869=0,"",[1]对账明细接口!$W869),"")</f>
      </c>
      <c r="AC869" s="7">
        <f>IFERROR(IF([1]对账明细接口!$X869=0,"",[1]对账明细接口!$X869),"")</f>
      </c>
      <c r="AD869" s="7">
        <f>IFERROR(IF([1]对账明细接口!$Y869=0,"",[1]对账明细接口!$Y869),"")</f>
      </c>
      <c r="AE869" s="7">
        <f>IFERROR(IF([1]对账明细接口!$AA869=0,"",[1]对账明细接口!$AA869),"")</f>
      </c>
      <c r="AF869" s="7">
        <f>IFERROR(IF([1]对账明细接口!$AB869=0,"",[1]对账明细接口!$AB869),"")</f>
      </c>
      <c r="AG869" s="7">
        <f>IFERROR(IF([1]对账明细接口!$AC869=0,"",[1]对账明细接口!$AC869),"")</f>
      </c>
      <c r="AH869" s="7">
        <f>IFERROR(IF([1]对账明细接口!$AD869=0,"",[1]对账明细接口!$AD869),"")</f>
      </c>
      <c r="AI869" s="7">
        <f>IFERROR(IF([1]对账明细接口!$AE869=0,"",[1]对账明细接口!$AE869),"")</f>
      </c>
      <c r="AJ869" s="7">
        <f>IFERROR(IF([1]对账明细接口!$AF869=0,"",[1]对账明细接口!$AF869),"")</f>
      </c>
    </row>
    <row r="870" ht="14.25" customHeight="1" s="127">
      <c r="A870" s="14" t="n">
        <v>870</v>
      </c>
      <c r="B870" s="211">
        <f>IFERROR(IF([1]对账明细接口!$B$870=0,"",[1]对账明细接口!$B$870),"")</f>
      </c>
      <c r="C870" s="16">
        <f>IFERROR(IF([1]对账明细接口!$C$870=0,"",[1]对账明细接口!$C$870),"")</f>
      </c>
      <c r="D870" s="16">
        <f>IFERROR(IF([1]对账明细接口!$D$870=0,"",[1]对账明细接口!$D$870),"")</f>
      </c>
      <c r="E870" s="16">
        <f>IFERROR(IF([1]对账明细接口!$E$870=0,"",[1]对账明细接口!$E$870),"")</f>
      </c>
      <c r="F870" s="16">
        <f>IFERROR(IF([1]对账明细接口!$F$870=0,"",[1]对账明细接口!$F$870),"")</f>
      </c>
      <c r="G870" s="16">
        <f>IFERROR(IF([1]对账明细接口!$G$870=0,"",[1]对账明细接口!$G$870),"")</f>
      </c>
      <c r="H870" s="176">
        <f>IFERROR(IF([1]对账明细接口!$H$870=0,"",[1]对账明细接口!$H$870),"")</f>
      </c>
      <c r="I870" s="16">
        <f>IFERROR(IF([1]对账明细接口!$I$870=0,"",[1]对账明细接口!$I$870),"")</f>
      </c>
      <c r="J870" s="177">
        <f>IFERROR(IF([1]对账明细接口!$J$870=0,"",[1]对账明细接口!$J$870),"")</f>
      </c>
      <c r="K870" s="177">
        <f>IFERROR(IF([1]对账明细接口!$K$870=0,"",[1]对账明细接口!$K$870),"")</f>
      </c>
      <c r="L870" s="16">
        <f>IFERROR(IF([1]对账明细接口!$L$870=0,"",[1]对账明细接口!$L$870),"")</f>
      </c>
      <c r="M870" s="16">
        <f>IFERROR(IF([1]对账明细接口!$M$870=0,"",[1]对账明细接口!$M$870),"")</f>
      </c>
      <c r="N870" s="19">
        <f>IF($C870="",0,1)</f>
        <v>0</v>
      </c>
      <c r="O870" s="19">
        <f>N(O869)+$N870</f>
        <v>637</v>
      </c>
      <c r="S870" s="20">
        <f>IFERROR(IF([1]对账明细接口!$N870=0,"",[1]对账明细接口!$N870),"")</f>
      </c>
      <c r="T870" s="212">
        <f>IFERROR(IF([1]对账明细接口!$O870=0,"",[1]对账明细接口!$O870),"")</f>
      </c>
      <c r="U870" s="212">
        <f>IFERROR(IF([1]对账明细接口!$P870=0,"",[1]对账明细接口!$P870),"")</f>
      </c>
      <c r="V870" s="212">
        <f>IFERROR(IF([1]对账明细接口!$Q870=0,"",[1]对账明细接口!$Q870),"")</f>
      </c>
      <c r="W870" s="20">
        <f>IFERROR(IF([1]对账明细接口!$R870=0,"",[1]对账明细接口!$R870),"")</f>
      </c>
      <c r="X870" s="20">
        <f>IFERROR(IF([1]对账明细接口!$S870=0,"",[1]对账明细接口!$S870),"")</f>
      </c>
      <c r="Y870" s="20">
        <f>IFERROR(IF([1]对账明细接口!$T870=0,"",[1]对账明细接口!$T870),"")</f>
      </c>
      <c r="Z870" s="213">
        <f>IFERROR(IF([1]对账明细接口!$U870=0,"",[1]对账明细接口!$U870),"")</f>
      </c>
      <c r="AA870" s="213">
        <f>IFERROR(IF([1]对账明细接口!$V870=0,"",[1]对账明细接口!$V870),"")</f>
      </c>
      <c r="AB870" s="20">
        <f>IFERROR(IF([1]对账明细接口!$W870=0,"",[1]对账明细接口!$W870),"")</f>
      </c>
      <c r="AC870" s="7">
        <f>IFERROR(IF([1]对账明细接口!$X870=0,"",[1]对账明细接口!$X870),"")</f>
      </c>
      <c r="AD870" s="7">
        <f>IFERROR(IF([1]对账明细接口!$Y870=0,"",[1]对账明细接口!$Y870),"")</f>
      </c>
      <c r="AE870" s="7">
        <f>IFERROR(IF([1]对账明细接口!$AA870=0,"",[1]对账明细接口!$AA870),"")</f>
      </c>
      <c r="AF870" s="7">
        <f>IFERROR(IF([1]对账明细接口!$AB870=0,"",[1]对账明细接口!$AB870),"")</f>
      </c>
      <c r="AG870" s="7">
        <f>IFERROR(IF([1]对账明细接口!$AC870=0,"",[1]对账明细接口!$AC870),"")</f>
      </c>
      <c r="AH870" s="7">
        <f>IFERROR(IF([1]对账明细接口!$AD870=0,"",[1]对账明细接口!$AD870),"")</f>
      </c>
      <c r="AI870" s="7">
        <f>IFERROR(IF([1]对账明细接口!$AE870=0,"",[1]对账明细接口!$AE870),"")</f>
      </c>
      <c r="AJ870" s="7">
        <f>IFERROR(IF([1]对账明细接口!$AF870=0,"",[1]对账明细接口!$AF870),"")</f>
      </c>
    </row>
    <row r="871" ht="14.25" customHeight="1" s="127">
      <c r="A871" s="14" t="n">
        <v>871</v>
      </c>
      <c r="B871" s="211">
        <f>IFERROR(IF([1]对账明细接口!$B$871=0,"",[1]对账明细接口!$B$871),"")</f>
      </c>
      <c r="C871" s="16">
        <f>IFERROR(IF([1]对账明细接口!$C$871=0,"",[1]对账明细接口!$C$871),"")</f>
      </c>
      <c r="D871" s="16">
        <f>IFERROR(IF([1]对账明细接口!$D$871=0,"",[1]对账明细接口!$D$871),"")</f>
      </c>
      <c r="E871" s="16">
        <f>IFERROR(IF([1]对账明细接口!$E$871=0,"",[1]对账明细接口!$E$871),"")</f>
      </c>
      <c r="F871" s="16">
        <f>IFERROR(IF([1]对账明细接口!$F$871=0,"",[1]对账明细接口!$F$871),"")</f>
      </c>
      <c r="G871" s="16">
        <f>IFERROR(IF([1]对账明细接口!$G$871=0,"",[1]对账明细接口!$G$871),"")</f>
      </c>
      <c r="H871" s="176">
        <f>IFERROR(IF([1]对账明细接口!$H$871=0,"",[1]对账明细接口!$H$871),"")</f>
      </c>
      <c r="I871" s="16">
        <f>IFERROR(IF([1]对账明细接口!$I$871=0,"",[1]对账明细接口!$I$871),"")</f>
      </c>
      <c r="J871" s="177">
        <f>IFERROR(IF([1]对账明细接口!$J$871=0,"",[1]对账明细接口!$J$871),"")</f>
      </c>
      <c r="K871" s="177">
        <f>IFERROR(IF([1]对账明细接口!$K$871=0,"",[1]对账明细接口!$K$871),"")</f>
      </c>
      <c r="L871" s="16">
        <f>IFERROR(IF([1]对账明细接口!$L$871=0,"",[1]对账明细接口!$L$871),"")</f>
      </c>
      <c r="M871" s="16">
        <f>IFERROR(IF([1]对账明细接口!$M$871=0,"",[1]对账明细接口!$M$871),"")</f>
      </c>
      <c r="N871" s="19">
        <f>IF($C871="",0,1)</f>
        <v>0</v>
      </c>
      <c r="O871" s="19">
        <f>N(O870)+$N871</f>
        <v>637</v>
      </c>
      <c r="S871" s="20">
        <f>IFERROR(IF([1]对账明细接口!$N871=0,"",[1]对账明细接口!$N871),"")</f>
      </c>
      <c r="T871" s="212">
        <f>IFERROR(IF([1]对账明细接口!$O871=0,"",[1]对账明细接口!$O871),"")</f>
      </c>
      <c r="U871" s="212">
        <f>IFERROR(IF([1]对账明细接口!$P871=0,"",[1]对账明细接口!$P871),"")</f>
      </c>
      <c r="V871" s="212">
        <f>IFERROR(IF([1]对账明细接口!$Q871=0,"",[1]对账明细接口!$Q871),"")</f>
      </c>
      <c r="W871" s="20">
        <f>IFERROR(IF([1]对账明细接口!$R871=0,"",[1]对账明细接口!$R871),"")</f>
      </c>
      <c r="X871" s="20">
        <f>IFERROR(IF([1]对账明细接口!$S871=0,"",[1]对账明细接口!$S871),"")</f>
      </c>
      <c r="Y871" s="20">
        <f>IFERROR(IF([1]对账明细接口!$T871=0,"",[1]对账明细接口!$T871),"")</f>
      </c>
      <c r="Z871" s="213">
        <f>IFERROR(IF([1]对账明细接口!$U871=0,"",[1]对账明细接口!$U871),"")</f>
      </c>
      <c r="AA871" s="213">
        <f>IFERROR(IF([1]对账明细接口!$V871=0,"",[1]对账明细接口!$V871),"")</f>
      </c>
      <c r="AB871" s="20">
        <f>IFERROR(IF([1]对账明细接口!$W871=0,"",[1]对账明细接口!$W871),"")</f>
      </c>
      <c r="AC871" s="7">
        <f>IFERROR(IF([1]对账明细接口!$X871=0,"",[1]对账明细接口!$X871),"")</f>
      </c>
      <c r="AD871" s="7">
        <f>IFERROR(IF([1]对账明细接口!$Y871=0,"",[1]对账明细接口!$Y871),"")</f>
      </c>
      <c r="AE871" s="7">
        <f>IFERROR(IF([1]对账明细接口!$AA871=0,"",[1]对账明细接口!$AA871),"")</f>
      </c>
      <c r="AF871" s="7">
        <f>IFERROR(IF([1]对账明细接口!$AB871=0,"",[1]对账明细接口!$AB871),"")</f>
      </c>
      <c r="AG871" s="7">
        <f>IFERROR(IF([1]对账明细接口!$AC871=0,"",[1]对账明细接口!$AC871),"")</f>
      </c>
      <c r="AH871" s="7">
        <f>IFERROR(IF([1]对账明细接口!$AD871=0,"",[1]对账明细接口!$AD871),"")</f>
      </c>
      <c r="AI871" s="7">
        <f>IFERROR(IF([1]对账明细接口!$AE871=0,"",[1]对账明细接口!$AE871),"")</f>
      </c>
      <c r="AJ871" s="7">
        <f>IFERROR(IF([1]对账明细接口!$AF871=0,"",[1]对账明细接口!$AF871),"")</f>
      </c>
    </row>
    <row r="872" ht="14.25" customHeight="1" s="127">
      <c r="A872" s="14" t="n">
        <v>872</v>
      </c>
      <c r="B872" s="211">
        <f>IFERROR(IF([1]对账明细接口!$B$872=0,"",[1]对账明细接口!$B$872),"")</f>
      </c>
      <c r="C872" s="16">
        <f>IFERROR(IF([1]对账明细接口!$C$872=0,"",[1]对账明细接口!$C$872),"")</f>
      </c>
      <c r="D872" s="16">
        <f>IFERROR(IF([1]对账明细接口!$D$872=0,"",[1]对账明细接口!$D$872),"")</f>
      </c>
      <c r="E872" s="16">
        <f>IFERROR(IF([1]对账明细接口!$E$872=0,"",[1]对账明细接口!$E$872),"")</f>
      </c>
      <c r="F872" s="16">
        <f>IFERROR(IF([1]对账明细接口!$F$872=0,"",[1]对账明细接口!$F$872),"")</f>
      </c>
      <c r="G872" s="16">
        <f>IFERROR(IF([1]对账明细接口!$G$872=0,"",[1]对账明细接口!$G$872),"")</f>
      </c>
      <c r="H872" s="176">
        <f>IFERROR(IF([1]对账明细接口!$H$872=0,"",[1]对账明细接口!$H$872),"")</f>
      </c>
      <c r="I872" s="16">
        <f>IFERROR(IF([1]对账明细接口!$I$872=0,"",[1]对账明细接口!$I$872),"")</f>
      </c>
      <c r="J872" s="177">
        <f>IFERROR(IF([1]对账明细接口!$J$872=0,"",[1]对账明细接口!$J$872),"")</f>
      </c>
      <c r="K872" s="177">
        <f>IFERROR(IF([1]对账明细接口!$K$872=0,"",[1]对账明细接口!$K$872),"")</f>
      </c>
      <c r="L872" s="16">
        <f>IFERROR(IF([1]对账明细接口!$L$872=0,"",[1]对账明细接口!$L$872),"")</f>
      </c>
      <c r="M872" s="16">
        <f>IFERROR(IF([1]对账明细接口!$M$872=0,"",[1]对账明细接口!$M$872),"")</f>
      </c>
      <c r="N872" s="19">
        <f>IF($C872="",0,1)</f>
        <v>0</v>
      </c>
      <c r="O872" s="19">
        <f>N(O871)+$N872</f>
        <v>637</v>
      </c>
      <c r="S872" s="20">
        <f>IFERROR(IF([1]对账明细接口!$N872=0,"",[1]对账明细接口!$N872),"")</f>
      </c>
      <c r="T872" s="212">
        <f>IFERROR(IF([1]对账明细接口!$O872=0,"",[1]对账明细接口!$O872),"")</f>
      </c>
      <c r="U872" s="212">
        <f>IFERROR(IF([1]对账明细接口!$P872=0,"",[1]对账明细接口!$P872),"")</f>
      </c>
      <c r="V872" s="212">
        <f>IFERROR(IF([1]对账明细接口!$Q872=0,"",[1]对账明细接口!$Q872),"")</f>
      </c>
      <c r="W872" s="20">
        <f>IFERROR(IF([1]对账明细接口!$R872=0,"",[1]对账明细接口!$R872),"")</f>
      </c>
      <c r="X872" s="20">
        <f>IFERROR(IF([1]对账明细接口!$S872=0,"",[1]对账明细接口!$S872),"")</f>
      </c>
      <c r="Y872" s="20">
        <f>IFERROR(IF([1]对账明细接口!$T872=0,"",[1]对账明细接口!$T872),"")</f>
      </c>
      <c r="Z872" s="213">
        <f>IFERROR(IF([1]对账明细接口!$U872=0,"",[1]对账明细接口!$U872),"")</f>
      </c>
      <c r="AA872" s="213">
        <f>IFERROR(IF([1]对账明细接口!$V872=0,"",[1]对账明细接口!$V872),"")</f>
      </c>
      <c r="AB872" s="20">
        <f>IFERROR(IF([1]对账明细接口!$W872=0,"",[1]对账明细接口!$W872),"")</f>
      </c>
      <c r="AC872" s="7">
        <f>IFERROR(IF([1]对账明细接口!$X872=0,"",[1]对账明细接口!$X872),"")</f>
      </c>
      <c r="AD872" s="7">
        <f>IFERROR(IF([1]对账明细接口!$Y872=0,"",[1]对账明细接口!$Y872),"")</f>
      </c>
      <c r="AE872" s="7">
        <f>IFERROR(IF([1]对账明细接口!$AA872=0,"",[1]对账明细接口!$AA872),"")</f>
      </c>
      <c r="AF872" s="7">
        <f>IFERROR(IF([1]对账明细接口!$AB872=0,"",[1]对账明细接口!$AB872),"")</f>
      </c>
      <c r="AG872" s="7">
        <f>IFERROR(IF([1]对账明细接口!$AC872=0,"",[1]对账明细接口!$AC872),"")</f>
      </c>
      <c r="AH872" s="7">
        <f>IFERROR(IF([1]对账明细接口!$AD872=0,"",[1]对账明细接口!$AD872),"")</f>
      </c>
      <c r="AI872" s="7">
        <f>IFERROR(IF([1]对账明细接口!$AE872=0,"",[1]对账明细接口!$AE872),"")</f>
      </c>
      <c r="AJ872" s="7">
        <f>IFERROR(IF([1]对账明细接口!$AF872=0,"",[1]对账明细接口!$AF872),"")</f>
      </c>
    </row>
    <row r="873" ht="14.25" customHeight="1" s="127">
      <c r="A873" s="14" t="n">
        <v>873</v>
      </c>
      <c r="B873" s="211">
        <f>IFERROR(IF([1]对账明细接口!$B$873=0,"",[1]对账明细接口!$B$873),"")</f>
      </c>
      <c r="C873" s="16">
        <f>IFERROR(IF([1]对账明细接口!$C$873=0,"",[1]对账明细接口!$C$873),"")</f>
      </c>
      <c r="D873" s="16">
        <f>IFERROR(IF([1]对账明细接口!$D$873=0,"",[1]对账明细接口!$D$873),"")</f>
      </c>
      <c r="E873" s="16">
        <f>IFERROR(IF([1]对账明细接口!$E$873=0,"",[1]对账明细接口!$E$873),"")</f>
      </c>
      <c r="F873" s="16">
        <f>IFERROR(IF([1]对账明细接口!$F$873=0,"",[1]对账明细接口!$F$873),"")</f>
      </c>
      <c r="G873" s="16">
        <f>IFERROR(IF([1]对账明细接口!$G$873=0,"",[1]对账明细接口!$G$873),"")</f>
      </c>
      <c r="H873" s="176">
        <f>IFERROR(IF([1]对账明细接口!$H$873=0,"",[1]对账明细接口!$H$873),"")</f>
      </c>
      <c r="I873" s="16">
        <f>IFERROR(IF([1]对账明细接口!$I$873=0,"",[1]对账明细接口!$I$873),"")</f>
      </c>
      <c r="J873" s="177">
        <f>IFERROR(IF([1]对账明细接口!$J$873=0,"",[1]对账明细接口!$J$873),"")</f>
      </c>
      <c r="K873" s="177">
        <f>IFERROR(IF([1]对账明细接口!$K$873=0,"",[1]对账明细接口!$K$873),"")</f>
      </c>
      <c r="L873" s="16">
        <f>IFERROR(IF([1]对账明细接口!$L$873=0,"",[1]对账明细接口!$L$873),"")</f>
      </c>
      <c r="M873" s="16">
        <f>IFERROR(IF([1]对账明细接口!$M$873=0,"",[1]对账明细接口!$M$873),"")</f>
      </c>
      <c r="N873" s="19">
        <f>IF($C873="",0,1)</f>
        <v>0</v>
      </c>
      <c r="O873" s="19">
        <f>N(O872)+$N873</f>
        <v>637</v>
      </c>
      <c r="S873" s="20">
        <f>IFERROR(IF([1]对账明细接口!$N873=0,"",[1]对账明细接口!$N873),"")</f>
      </c>
      <c r="T873" s="212">
        <f>IFERROR(IF([1]对账明细接口!$O873=0,"",[1]对账明细接口!$O873),"")</f>
      </c>
      <c r="U873" s="212">
        <f>IFERROR(IF([1]对账明细接口!$P873=0,"",[1]对账明细接口!$P873),"")</f>
      </c>
      <c r="V873" s="212">
        <f>IFERROR(IF([1]对账明细接口!$Q873=0,"",[1]对账明细接口!$Q873),"")</f>
      </c>
      <c r="W873" s="20">
        <f>IFERROR(IF([1]对账明细接口!$R873=0,"",[1]对账明细接口!$R873),"")</f>
      </c>
      <c r="X873" s="20">
        <f>IFERROR(IF([1]对账明细接口!$S873=0,"",[1]对账明细接口!$S873),"")</f>
      </c>
      <c r="Y873" s="20">
        <f>IFERROR(IF([1]对账明细接口!$T873=0,"",[1]对账明细接口!$T873),"")</f>
      </c>
      <c r="Z873" s="213">
        <f>IFERROR(IF([1]对账明细接口!$U873=0,"",[1]对账明细接口!$U873),"")</f>
      </c>
      <c r="AA873" s="213">
        <f>IFERROR(IF([1]对账明细接口!$V873=0,"",[1]对账明细接口!$V873),"")</f>
      </c>
      <c r="AB873" s="20">
        <f>IFERROR(IF([1]对账明细接口!$W873=0,"",[1]对账明细接口!$W873),"")</f>
      </c>
      <c r="AC873" s="7">
        <f>IFERROR(IF([1]对账明细接口!$X873=0,"",[1]对账明细接口!$X873),"")</f>
      </c>
      <c r="AD873" s="7">
        <f>IFERROR(IF([1]对账明细接口!$Y873=0,"",[1]对账明细接口!$Y873),"")</f>
      </c>
      <c r="AE873" s="7">
        <f>IFERROR(IF([1]对账明细接口!$AA873=0,"",[1]对账明细接口!$AA873),"")</f>
      </c>
      <c r="AF873" s="7">
        <f>IFERROR(IF([1]对账明细接口!$AB873=0,"",[1]对账明细接口!$AB873),"")</f>
      </c>
      <c r="AG873" s="7">
        <f>IFERROR(IF([1]对账明细接口!$AC873=0,"",[1]对账明细接口!$AC873),"")</f>
      </c>
      <c r="AH873" s="7">
        <f>IFERROR(IF([1]对账明细接口!$AD873=0,"",[1]对账明细接口!$AD873),"")</f>
      </c>
      <c r="AI873" s="7">
        <f>IFERROR(IF([1]对账明细接口!$AE873=0,"",[1]对账明细接口!$AE873),"")</f>
      </c>
      <c r="AJ873" s="7">
        <f>IFERROR(IF([1]对账明细接口!$AF873=0,"",[1]对账明细接口!$AF873),"")</f>
      </c>
    </row>
    <row r="874" ht="14.25" customHeight="1" s="127">
      <c r="A874" s="14" t="n">
        <v>874</v>
      </c>
      <c r="B874" s="211">
        <f>IFERROR(IF([1]对账明细接口!$B$874=0,"",[1]对账明细接口!$B$874),"")</f>
      </c>
      <c r="C874" s="16">
        <f>IFERROR(IF([1]对账明细接口!$C$874=0,"",[1]对账明细接口!$C$874),"")</f>
      </c>
      <c r="D874" s="16">
        <f>IFERROR(IF([1]对账明细接口!$D$874=0,"",[1]对账明细接口!$D$874),"")</f>
      </c>
      <c r="E874" s="16">
        <f>IFERROR(IF([1]对账明细接口!$E$874=0,"",[1]对账明细接口!$E$874),"")</f>
      </c>
      <c r="F874" s="16">
        <f>IFERROR(IF([1]对账明细接口!$F$874=0,"",[1]对账明细接口!$F$874),"")</f>
      </c>
      <c r="G874" s="16">
        <f>IFERROR(IF([1]对账明细接口!$G$874=0,"",[1]对账明细接口!$G$874),"")</f>
      </c>
      <c r="H874" s="176">
        <f>IFERROR(IF([1]对账明细接口!$H$874=0,"",[1]对账明细接口!$H$874),"")</f>
      </c>
      <c r="I874" s="16">
        <f>IFERROR(IF([1]对账明细接口!$I$874=0,"",[1]对账明细接口!$I$874),"")</f>
      </c>
      <c r="J874" s="177">
        <f>IFERROR(IF([1]对账明细接口!$J$874=0,"",[1]对账明细接口!$J$874),"")</f>
      </c>
      <c r="K874" s="177">
        <f>IFERROR(IF([1]对账明细接口!$K$874=0,"",[1]对账明细接口!$K$874),"")</f>
      </c>
      <c r="L874" s="16">
        <f>IFERROR(IF([1]对账明细接口!$L$874=0,"",[1]对账明细接口!$L$874),"")</f>
      </c>
      <c r="M874" s="16">
        <f>IFERROR(IF([1]对账明细接口!$M$874=0,"",[1]对账明细接口!$M$874),"")</f>
      </c>
      <c r="N874" s="19">
        <f>IF($C874="",0,1)</f>
        <v>0</v>
      </c>
      <c r="O874" s="19">
        <f>N(O873)+$N874</f>
        <v>637</v>
      </c>
      <c r="S874" s="20">
        <f>IFERROR(IF([1]对账明细接口!$N874=0,"",[1]对账明细接口!$N874),"")</f>
      </c>
      <c r="T874" s="212">
        <f>IFERROR(IF([1]对账明细接口!$O874=0,"",[1]对账明细接口!$O874),"")</f>
      </c>
      <c r="U874" s="212">
        <f>IFERROR(IF([1]对账明细接口!$P874=0,"",[1]对账明细接口!$P874),"")</f>
      </c>
      <c r="V874" s="212">
        <f>IFERROR(IF([1]对账明细接口!$Q874=0,"",[1]对账明细接口!$Q874),"")</f>
      </c>
      <c r="W874" s="20">
        <f>IFERROR(IF([1]对账明细接口!$R874=0,"",[1]对账明细接口!$R874),"")</f>
      </c>
      <c r="X874" s="20">
        <f>IFERROR(IF([1]对账明细接口!$S874=0,"",[1]对账明细接口!$S874),"")</f>
      </c>
      <c r="Y874" s="20">
        <f>IFERROR(IF([1]对账明细接口!$T874=0,"",[1]对账明细接口!$T874),"")</f>
      </c>
      <c r="Z874" s="213">
        <f>IFERROR(IF([1]对账明细接口!$U874=0,"",[1]对账明细接口!$U874),"")</f>
      </c>
      <c r="AA874" s="213">
        <f>IFERROR(IF([1]对账明细接口!$V874=0,"",[1]对账明细接口!$V874),"")</f>
      </c>
      <c r="AB874" s="20">
        <f>IFERROR(IF([1]对账明细接口!$W874=0,"",[1]对账明细接口!$W874),"")</f>
      </c>
      <c r="AC874" s="7">
        <f>IFERROR(IF([1]对账明细接口!$X874=0,"",[1]对账明细接口!$X874),"")</f>
      </c>
      <c r="AD874" s="7">
        <f>IFERROR(IF([1]对账明细接口!$Y874=0,"",[1]对账明细接口!$Y874),"")</f>
      </c>
      <c r="AE874" s="7">
        <f>IFERROR(IF([1]对账明细接口!$AA874=0,"",[1]对账明细接口!$AA874),"")</f>
      </c>
      <c r="AF874" s="7">
        <f>IFERROR(IF([1]对账明细接口!$AB874=0,"",[1]对账明细接口!$AB874),"")</f>
      </c>
      <c r="AG874" s="7">
        <f>IFERROR(IF([1]对账明细接口!$AC874=0,"",[1]对账明细接口!$AC874),"")</f>
      </c>
      <c r="AH874" s="7">
        <f>IFERROR(IF([1]对账明细接口!$AD874=0,"",[1]对账明细接口!$AD874),"")</f>
      </c>
      <c r="AI874" s="7">
        <f>IFERROR(IF([1]对账明细接口!$AE874=0,"",[1]对账明细接口!$AE874),"")</f>
      </c>
      <c r="AJ874" s="7">
        <f>IFERROR(IF([1]对账明细接口!$AF874=0,"",[1]对账明细接口!$AF874),"")</f>
      </c>
    </row>
    <row r="875" ht="14.25" customHeight="1" s="127">
      <c r="A875" s="14" t="n">
        <v>875</v>
      </c>
      <c r="B875" s="211">
        <f>IFERROR(IF([1]对账明细接口!$B$875=0,"",[1]对账明细接口!$B$875),"")</f>
      </c>
      <c r="C875" s="16">
        <f>IFERROR(IF([1]对账明细接口!$C$875=0,"",[1]对账明细接口!$C$875),"")</f>
      </c>
      <c r="D875" s="16">
        <f>IFERROR(IF([1]对账明细接口!$D$875=0,"",[1]对账明细接口!$D$875),"")</f>
      </c>
      <c r="E875" s="16">
        <f>IFERROR(IF([1]对账明细接口!$E$875=0,"",[1]对账明细接口!$E$875),"")</f>
      </c>
      <c r="F875" s="16">
        <f>IFERROR(IF([1]对账明细接口!$F$875=0,"",[1]对账明细接口!$F$875),"")</f>
      </c>
      <c r="G875" s="16">
        <f>IFERROR(IF([1]对账明细接口!$G$875=0,"",[1]对账明细接口!$G$875),"")</f>
      </c>
      <c r="H875" s="176">
        <f>IFERROR(IF([1]对账明细接口!$H$875=0,"",[1]对账明细接口!$H$875),"")</f>
      </c>
      <c r="I875" s="16">
        <f>IFERROR(IF([1]对账明细接口!$I$875=0,"",[1]对账明细接口!$I$875),"")</f>
      </c>
      <c r="J875" s="177">
        <f>IFERROR(IF([1]对账明细接口!$J$875=0,"",[1]对账明细接口!$J$875),"")</f>
      </c>
      <c r="K875" s="177">
        <f>IFERROR(IF([1]对账明细接口!$K$875=0,"",[1]对账明细接口!$K$875),"")</f>
      </c>
      <c r="L875" s="16">
        <f>IFERROR(IF([1]对账明细接口!$L$875=0,"",[1]对账明细接口!$L$875),"")</f>
      </c>
      <c r="M875" s="16">
        <f>IFERROR(IF([1]对账明细接口!$M$875=0,"",[1]对账明细接口!$M$875),"")</f>
      </c>
      <c r="N875" s="19">
        <f>IF($C875="",0,1)</f>
        <v>0</v>
      </c>
      <c r="O875" s="19">
        <f>N(O874)+$N875</f>
        <v>637</v>
      </c>
      <c r="S875" s="20">
        <f>IFERROR(IF([1]对账明细接口!$N875=0,"",[1]对账明细接口!$N875),"")</f>
      </c>
      <c r="T875" s="212">
        <f>IFERROR(IF([1]对账明细接口!$O875=0,"",[1]对账明细接口!$O875),"")</f>
      </c>
      <c r="U875" s="212">
        <f>IFERROR(IF([1]对账明细接口!$P875=0,"",[1]对账明细接口!$P875),"")</f>
      </c>
      <c r="V875" s="212">
        <f>IFERROR(IF([1]对账明细接口!$Q875=0,"",[1]对账明细接口!$Q875),"")</f>
      </c>
      <c r="W875" s="20">
        <f>IFERROR(IF([1]对账明细接口!$R875=0,"",[1]对账明细接口!$R875),"")</f>
      </c>
      <c r="X875" s="20">
        <f>IFERROR(IF([1]对账明细接口!$S875=0,"",[1]对账明细接口!$S875),"")</f>
      </c>
      <c r="Y875" s="20">
        <f>IFERROR(IF([1]对账明细接口!$T875=0,"",[1]对账明细接口!$T875),"")</f>
      </c>
      <c r="Z875" s="213">
        <f>IFERROR(IF([1]对账明细接口!$U875=0,"",[1]对账明细接口!$U875),"")</f>
      </c>
      <c r="AA875" s="213">
        <f>IFERROR(IF([1]对账明细接口!$V875=0,"",[1]对账明细接口!$V875),"")</f>
      </c>
      <c r="AB875" s="20">
        <f>IFERROR(IF([1]对账明细接口!$W875=0,"",[1]对账明细接口!$W875),"")</f>
      </c>
      <c r="AC875" s="7">
        <f>IFERROR(IF([1]对账明细接口!$X875=0,"",[1]对账明细接口!$X875),"")</f>
      </c>
      <c r="AD875" s="7">
        <f>IFERROR(IF([1]对账明细接口!$Y875=0,"",[1]对账明细接口!$Y875),"")</f>
      </c>
      <c r="AE875" s="7">
        <f>IFERROR(IF([1]对账明细接口!$AA875=0,"",[1]对账明细接口!$AA875),"")</f>
      </c>
      <c r="AF875" s="7">
        <f>IFERROR(IF([1]对账明细接口!$AB875=0,"",[1]对账明细接口!$AB875),"")</f>
      </c>
      <c r="AG875" s="7">
        <f>IFERROR(IF([1]对账明细接口!$AC875=0,"",[1]对账明细接口!$AC875),"")</f>
      </c>
      <c r="AH875" s="7">
        <f>IFERROR(IF([1]对账明细接口!$AD875=0,"",[1]对账明细接口!$AD875),"")</f>
      </c>
      <c r="AI875" s="7">
        <f>IFERROR(IF([1]对账明细接口!$AE875=0,"",[1]对账明细接口!$AE875),"")</f>
      </c>
      <c r="AJ875" s="7">
        <f>IFERROR(IF([1]对账明细接口!$AF875=0,"",[1]对账明细接口!$AF875),"")</f>
      </c>
    </row>
    <row r="876" ht="14.25" customHeight="1" s="127">
      <c r="A876" s="14" t="n">
        <v>876</v>
      </c>
      <c r="B876" s="211">
        <f>IFERROR(IF([1]对账明细接口!$B$876=0,"",[1]对账明细接口!$B$876),"")</f>
      </c>
      <c r="C876" s="16">
        <f>IFERROR(IF([1]对账明细接口!$C$876=0,"",[1]对账明细接口!$C$876),"")</f>
      </c>
      <c r="D876" s="16">
        <f>IFERROR(IF([1]对账明细接口!$D$876=0,"",[1]对账明细接口!$D$876),"")</f>
      </c>
      <c r="E876" s="16">
        <f>IFERROR(IF([1]对账明细接口!$E$876=0,"",[1]对账明细接口!$E$876),"")</f>
      </c>
      <c r="F876" s="16">
        <f>IFERROR(IF([1]对账明细接口!$F$876=0,"",[1]对账明细接口!$F$876),"")</f>
      </c>
      <c r="G876" s="16">
        <f>IFERROR(IF([1]对账明细接口!$G$876=0,"",[1]对账明细接口!$G$876),"")</f>
      </c>
      <c r="H876" s="176">
        <f>IFERROR(IF([1]对账明细接口!$H$876=0,"",[1]对账明细接口!$H$876),"")</f>
      </c>
      <c r="I876" s="16">
        <f>IFERROR(IF([1]对账明细接口!$I$876=0,"",[1]对账明细接口!$I$876),"")</f>
      </c>
      <c r="J876" s="177">
        <f>IFERROR(IF([1]对账明细接口!$J$876=0,"",[1]对账明细接口!$J$876),"")</f>
      </c>
      <c r="K876" s="177">
        <f>IFERROR(IF([1]对账明细接口!$K$876=0,"",[1]对账明细接口!$K$876),"")</f>
      </c>
      <c r="L876" s="16">
        <f>IFERROR(IF([1]对账明细接口!$L$876=0,"",[1]对账明细接口!$L$876),"")</f>
      </c>
      <c r="M876" s="16">
        <f>IFERROR(IF([1]对账明细接口!$M$876=0,"",[1]对账明细接口!$M$876),"")</f>
      </c>
      <c r="N876" s="19">
        <f>IF($C876="",0,1)</f>
        <v>0</v>
      </c>
      <c r="O876" s="19">
        <f>N(O875)+$N876</f>
        <v>637</v>
      </c>
      <c r="S876" s="20">
        <f>IFERROR(IF([1]对账明细接口!$N876=0,"",[1]对账明细接口!$N876),"")</f>
      </c>
      <c r="T876" s="212">
        <f>IFERROR(IF([1]对账明细接口!$O876=0,"",[1]对账明细接口!$O876),"")</f>
      </c>
      <c r="U876" s="212">
        <f>IFERROR(IF([1]对账明细接口!$P876=0,"",[1]对账明细接口!$P876),"")</f>
      </c>
      <c r="V876" s="212">
        <f>IFERROR(IF([1]对账明细接口!$Q876=0,"",[1]对账明细接口!$Q876),"")</f>
      </c>
      <c r="W876" s="20">
        <f>IFERROR(IF([1]对账明细接口!$R876=0,"",[1]对账明细接口!$R876),"")</f>
      </c>
      <c r="X876" s="20">
        <f>IFERROR(IF([1]对账明细接口!$S876=0,"",[1]对账明细接口!$S876),"")</f>
      </c>
      <c r="Y876" s="20">
        <f>IFERROR(IF([1]对账明细接口!$T876=0,"",[1]对账明细接口!$T876),"")</f>
      </c>
      <c r="Z876" s="213">
        <f>IFERROR(IF([1]对账明细接口!$U876=0,"",[1]对账明细接口!$U876),"")</f>
      </c>
      <c r="AA876" s="213">
        <f>IFERROR(IF([1]对账明细接口!$V876=0,"",[1]对账明细接口!$V876),"")</f>
      </c>
      <c r="AB876" s="20">
        <f>IFERROR(IF([1]对账明细接口!$W876=0,"",[1]对账明细接口!$W876),"")</f>
      </c>
      <c r="AC876" s="7">
        <f>IFERROR(IF([1]对账明细接口!$X876=0,"",[1]对账明细接口!$X876),"")</f>
      </c>
      <c r="AD876" s="7">
        <f>IFERROR(IF([1]对账明细接口!$Y876=0,"",[1]对账明细接口!$Y876),"")</f>
      </c>
      <c r="AE876" s="7">
        <f>IFERROR(IF([1]对账明细接口!$AA876=0,"",[1]对账明细接口!$AA876),"")</f>
      </c>
      <c r="AF876" s="7">
        <f>IFERROR(IF([1]对账明细接口!$AB876=0,"",[1]对账明细接口!$AB876),"")</f>
      </c>
      <c r="AG876" s="7">
        <f>IFERROR(IF([1]对账明细接口!$AC876=0,"",[1]对账明细接口!$AC876),"")</f>
      </c>
      <c r="AH876" s="7">
        <f>IFERROR(IF([1]对账明细接口!$AD876=0,"",[1]对账明细接口!$AD876),"")</f>
      </c>
      <c r="AI876" s="7">
        <f>IFERROR(IF([1]对账明细接口!$AE876=0,"",[1]对账明细接口!$AE876),"")</f>
      </c>
      <c r="AJ876" s="7">
        <f>IFERROR(IF([1]对账明细接口!$AF876=0,"",[1]对账明细接口!$AF876),"")</f>
      </c>
    </row>
    <row r="877" ht="14.25" customHeight="1" s="127">
      <c r="A877" s="14" t="n">
        <v>877</v>
      </c>
      <c r="B877" s="211">
        <f>IFERROR(IF([1]对账明细接口!$B$877=0,"",[1]对账明细接口!$B$877),"")</f>
      </c>
      <c r="C877" s="16">
        <f>IFERROR(IF([1]对账明细接口!$C$877=0,"",[1]对账明细接口!$C$877),"")</f>
      </c>
      <c r="D877" s="16">
        <f>IFERROR(IF([1]对账明细接口!$D$877=0,"",[1]对账明细接口!$D$877),"")</f>
      </c>
      <c r="E877" s="16">
        <f>IFERROR(IF([1]对账明细接口!$E$877=0,"",[1]对账明细接口!$E$877),"")</f>
      </c>
      <c r="F877" s="16">
        <f>IFERROR(IF([1]对账明细接口!$F$877=0,"",[1]对账明细接口!$F$877),"")</f>
      </c>
      <c r="G877" s="16">
        <f>IFERROR(IF([1]对账明细接口!$G$877=0,"",[1]对账明细接口!$G$877),"")</f>
      </c>
      <c r="H877" s="176">
        <f>IFERROR(IF([1]对账明细接口!$H$877=0,"",[1]对账明细接口!$H$877),"")</f>
      </c>
      <c r="I877" s="16">
        <f>IFERROR(IF([1]对账明细接口!$I$877=0,"",[1]对账明细接口!$I$877),"")</f>
      </c>
      <c r="J877" s="177">
        <f>IFERROR(IF([1]对账明细接口!$J$877=0,"",[1]对账明细接口!$J$877),"")</f>
      </c>
      <c r="K877" s="177">
        <f>IFERROR(IF([1]对账明细接口!$K$877=0,"",[1]对账明细接口!$K$877),"")</f>
      </c>
      <c r="L877" s="16">
        <f>IFERROR(IF([1]对账明细接口!$L$877=0,"",[1]对账明细接口!$L$877),"")</f>
      </c>
      <c r="M877" s="16">
        <f>IFERROR(IF([1]对账明细接口!$M$877=0,"",[1]对账明细接口!$M$877),"")</f>
      </c>
      <c r="N877" s="19">
        <f>IF($C877="",0,1)</f>
        <v>0</v>
      </c>
      <c r="O877" s="19">
        <f>N(O876)+$N877</f>
        <v>637</v>
      </c>
      <c r="S877" s="20">
        <f>IFERROR(IF([1]对账明细接口!$N877=0,"",[1]对账明细接口!$N877),"")</f>
      </c>
      <c r="T877" s="212">
        <f>IFERROR(IF([1]对账明细接口!$O877=0,"",[1]对账明细接口!$O877),"")</f>
      </c>
      <c r="U877" s="212">
        <f>IFERROR(IF([1]对账明细接口!$P877=0,"",[1]对账明细接口!$P877),"")</f>
      </c>
      <c r="V877" s="212">
        <f>IFERROR(IF([1]对账明细接口!$Q877=0,"",[1]对账明细接口!$Q877),"")</f>
      </c>
      <c r="W877" s="20">
        <f>IFERROR(IF([1]对账明细接口!$R877=0,"",[1]对账明细接口!$R877),"")</f>
      </c>
      <c r="X877" s="20">
        <f>IFERROR(IF([1]对账明细接口!$S877=0,"",[1]对账明细接口!$S877),"")</f>
      </c>
      <c r="Y877" s="20">
        <f>IFERROR(IF([1]对账明细接口!$T877=0,"",[1]对账明细接口!$T877),"")</f>
      </c>
      <c r="Z877" s="213">
        <f>IFERROR(IF([1]对账明细接口!$U877=0,"",[1]对账明细接口!$U877),"")</f>
      </c>
      <c r="AA877" s="213">
        <f>IFERROR(IF([1]对账明细接口!$V877=0,"",[1]对账明细接口!$V877),"")</f>
      </c>
      <c r="AB877" s="20">
        <f>IFERROR(IF([1]对账明细接口!$W877=0,"",[1]对账明细接口!$W877),"")</f>
      </c>
      <c r="AC877" s="7">
        <f>IFERROR(IF([1]对账明细接口!$X877=0,"",[1]对账明细接口!$X877),"")</f>
      </c>
      <c r="AD877" s="7">
        <f>IFERROR(IF([1]对账明细接口!$Y877=0,"",[1]对账明细接口!$Y877),"")</f>
      </c>
      <c r="AE877" s="7">
        <f>IFERROR(IF([1]对账明细接口!$AA877=0,"",[1]对账明细接口!$AA877),"")</f>
      </c>
      <c r="AF877" s="7">
        <f>IFERROR(IF([1]对账明细接口!$AB877=0,"",[1]对账明细接口!$AB877),"")</f>
      </c>
      <c r="AG877" s="7">
        <f>IFERROR(IF([1]对账明细接口!$AC877=0,"",[1]对账明细接口!$AC877),"")</f>
      </c>
      <c r="AH877" s="7">
        <f>IFERROR(IF([1]对账明细接口!$AD877=0,"",[1]对账明细接口!$AD877),"")</f>
      </c>
      <c r="AI877" s="7">
        <f>IFERROR(IF([1]对账明细接口!$AE877=0,"",[1]对账明细接口!$AE877),"")</f>
      </c>
      <c r="AJ877" s="7">
        <f>IFERROR(IF([1]对账明细接口!$AF877=0,"",[1]对账明细接口!$AF877),"")</f>
      </c>
    </row>
    <row r="878" ht="14.25" customHeight="1" s="127">
      <c r="A878" s="14" t="n">
        <v>878</v>
      </c>
      <c r="B878" s="211">
        <f>IFERROR(IF([1]对账明细接口!$B$878=0,"",[1]对账明细接口!$B$878),"")</f>
      </c>
      <c r="C878" s="16">
        <f>IFERROR(IF([1]对账明细接口!$C$878=0,"",[1]对账明细接口!$C$878),"")</f>
      </c>
      <c r="D878" s="16">
        <f>IFERROR(IF([1]对账明细接口!$D$878=0,"",[1]对账明细接口!$D$878),"")</f>
      </c>
      <c r="E878" s="16">
        <f>IFERROR(IF([1]对账明细接口!$E$878=0,"",[1]对账明细接口!$E$878),"")</f>
      </c>
      <c r="F878" s="16">
        <f>IFERROR(IF([1]对账明细接口!$F$878=0,"",[1]对账明细接口!$F$878),"")</f>
      </c>
      <c r="G878" s="16">
        <f>IFERROR(IF([1]对账明细接口!$G$878=0,"",[1]对账明细接口!$G$878),"")</f>
      </c>
      <c r="H878" s="176">
        <f>IFERROR(IF([1]对账明细接口!$H$878=0,"",[1]对账明细接口!$H$878),"")</f>
      </c>
      <c r="I878" s="16">
        <f>IFERROR(IF([1]对账明细接口!$I$878=0,"",[1]对账明细接口!$I$878),"")</f>
      </c>
      <c r="J878" s="177">
        <f>IFERROR(IF([1]对账明细接口!$J$878=0,"",[1]对账明细接口!$J$878),"")</f>
      </c>
      <c r="K878" s="177">
        <f>IFERROR(IF([1]对账明细接口!$K$878=0,"",[1]对账明细接口!$K$878),"")</f>
      </c>
      <c r="L878" s="16">
        <f>IFERROR(IF([1]对账明细接口!$L$878=0,"",[1]对账明细接口!$L$878),"")</f>
      </c>
      <c r="M878" s="16">
        <f>IFERROR(IF([1]对账明细接口!$M$878=0,"",[1]对账明细接口!$M$878),"")</f>
      </c>
      <c r="N878" s="19">
        <f>IF($C878="",0,1)</f>
        <v>0</v>
      </c>
      <c r="O878" s="19">
        <f>N(O877)+$N878</f>
        <v>637</v>
      </c>
      <c r="S878" s="20">
        <f>IFERROR(IF([1]对账明细接口!$N878=0,"",[1]对账明细接口!$N878),"")</f>
      </c>
      <c r="T878" s="212">
        <f>IFERROR(IF([1]对账明细接口!$O878=0,"",[1]对账明细接口!$O878),"")</f>
      </c>
      <c r="U878" s="212">
        <f>IFERROR(IF([1]对账明细接口!$P878=0,"",[1]对账明细接口!$P878),"")</f>
      </c>
      <c r="V878" s="212">
        <f>IFERROR(IF([1]对账明细接口!$Q878=0,"",[1]对账明细接口!$Q878),"")</f>
      </c>
      <c r="W878" s="20">
        <f>IFERROR(IF([1]对账明细接口!$R878=0,"",[1]对账明细接口!$R878),"")</f>
      </c>
      <c r="X878" s="20">
        <f>IFERROR(IF([1]对账明细接口!$S878=0,"",[1]对账明细接口!$S878),"")</f>
      </c>
      <c r="Y878" s="20">
        <f>IFERROR(IF([1]对账明细接口!$T878=0,"",[1]对账明细接口!$T878),"")</f>
      </c>
      <c r="Z878" s="213">
        <f>IFERROR(IF([1]对账明细接口!$U878=0,"",[1]对账明细接口!$U878),"")</f>
      </c>
      <c r="AA878" s="213">
        <f>IFERROR(IF([1]对账明细接口!$V878=0,"",[1]对账明细接口!$V878),"")</f>
      </c>
      <c r="AB878" s="20">
        <f>IFERROR(IF([1]对账明细接口!$W878=0,"",[1]对账明细接口!$W878),"")</f>
      </c>
      <c r="AC878" s="7">
        <f>IFERROR(IF([1]对账明细接口!$X878=0,"",[1]对账明细接口!$X878),"")</f>
      </c>
      <c r="AD878" s="7">
        <f>IFERROR(IF([1]对账明细接口!$Y878=0,"",[1]对账明细接口!$Y878),"")</f>
      </c>
      <c r="AE878" s="7">
        <f>IFERROR(IF([1]对账明细接口!$AA878=0,"",[1]对账明细接口!$AA878),"")</f>
      </c>
      <c r="AF878" s="7">
        <f>IFERROR(IF([1]对账明细接口!$AB878=0,"",[1]对账明细接口!$AB878),"")</f>
      </c>
      <c r="AG878" s="7">
        <f>IFERROR(IF([1]对账明细接口!$AC878=0,"",[1]对账明细接口!$AC878),"")</f>
      </c>
      <c r="AH878" s="7">
        <f>IFERROR(IF([1]对账明细接口!$AD878=0,"",[1]对账明细接口!$AD878),"")</f>
      </c>
      <c r="AI878" s="7">
        <f>IFERROR(IF([1]对账明细接口!$AE878=0,"",[1]对账明细接口!$AE878),"")</f>
      </c>
      <c r="AJ878" s="7">
        <f>IFERROR(IF([1]对账明细接口!$AF878=0,"",[1]对账明细接口!$AF878),"")</f>
      </c>
    </row>
    <row r="879" ht="14.25" customHeight="1" s="127">
      <c r="A879" s="14" t="n">
        <v>879</v>
      </c>
      <c r="B879" s="211">
        <f>IFERROR(IF([1]对账明细接口!$B$879=0,"",[1]对账明细接口!$B$879),"")</f>
      </c>
      <c r="C879" s="16">
        <f>IFERROR(IF([1]对账明细接口!$C$879=0,"",[1]对账明细接口!$C$879),"")</f>
      </c>
      <c r="D879" s="16">
        <f>IFERROR(IF([1]对账明细接口!$D$879=0,"",[1]对账明细接口!$D$879),"")</f>
      </c>
      <c r="E879" s="16">
        <f>IFERROR(IF([1]对账明细接口!$E$879=0,"",[1]对账明细接口!$E$879),"")</f>
      </c>
      <c r="F879" s="16">
        <f>IFERROR(IF([1]对账明细接口!$F$879=0,"",[1]对账明细接口!$F$879),"")</f>
      </c>
      <c r="G879" s="16">
        <f>IFERROR(IF([1]对账明细接口!$G$879=0,"",[1]对账明细接口!$G$879),"")</f>
      </c>
      <c r="H879" s="176">
        <f>IFERROR(IF([1]对账明细接口!$H$879=0,"",[1]对账明细接口!$H$879),"")</f>
      </c>
      <c r="I879" s="16">
        <f>IFERROR(IF([1]对账明细接口!$I$879=0,"",[1]对账明细接口!$I$879),"")</f>
      </c>
      <c r="J879" s="177">
        <f>IFERROR(IF([1]对账明细接口!$J$879=0,"",[1]对账明细接口!$J$879),"")</f>
      </c>
      <c r="K879" s="177">
        <f>IFERROR(IF([1]对账明细接口!$K$879=0,"",[1]对账明细接口!$K$879),"")</f>
      </c>
      <c r="L879" s="16">
        <f>IFERROR(IF([1]对账明细接口!$L$879=0,"",[1]对账明细接口!$L$879),"")</f>
      </c>
      <c r="M879" s="16">
        <f>IFERROR(IF([1]对账明细接口!$M$879=0,"",[1]对账明细接口!$M$879),"")</f>
      </c>
      <c r="N879" s="19">
        <f>IF($C879="",0,1)</f>
        <v>0</v>
      </c>
      <c r="O879" s="19">
        <f>N(O878)+$N879</f>
        <v>637</v>
      </c>
      <c r="S879" s="20">
        <f>IFERROR(IF([1]对账明细接口!$N879=0,"",[1]对账明细接口!$N879),"")</f>
      </c>
      <c r="T879" s="212">
        <f>IFERROR(IF([1]对账明细接口!$O879=0,"",[1]对账明细接口!$O879),"")</f>
      </c>
      <c r="U879" s="212">
        <f>IFERROR(IF([1]对账明细接口!$P879=0,"",[1]对账明细接口!$P879),"")</f>
      </c>
      <c r="V879" s="212">
        <f>IFERROR(IF([1]对账明细接口!$Q879=0,"",[1]对账明细接口!$Q879),"")</f>
      </c>
      <c r="W879" s="20">
        <f>IFERROR(IF([1]对账明细接口!$R879=0,"",[1]对账明细接口!$R879),"")</f>
      </c>
      <c r="X879" s="20">
        <f>IFERROR(IF([1]对账明细接口!$S879=0,"",[1]对账明细接口!$S879),"")</f>
      </c>
      <c r="Y879" s="20">
        <f>IFERROR(IF([1]对账明细接口!$T879=0,"",[1]对账明细接口!$T879),"")</f>
      </c>
      <c r="Z879" s="213">
        <f>IFERROR(IF([1]对账明细接口!$U879=0,"",[1]对账明细接口!$U879),"")</f>
      </c>
      <c r="AA879" s="213">
        <f>IFERROR(IF([1]对账明细接口!$V879=0,"",[1]对账明细接口!$V879),"")</f>
      </c>
      <c r="AB879" s="20">
        <f>IFERROR(IF([1]对账明细接口!$W879=0,"",[1]对账明细接口!$W879),"")</f>
      </c>
      <c r="AC879" s="7">
        <f>IFERROR(IF([1]对账明细接口!$X879=0,"",[1]对账明细接口!$X879),"")</f>
      </c>
      <c r="AD879" s="7">
        <f>IFERROR(IF([1]对账明细接口!$Y879=0,"",[1]对账明细接口!$Y879),"")</f>
      </c>
      <c r="AE879" s="7">
        <f>IFERROR(IF([1]对账明细接口!$AA879=0,"",[1]对账明细接口!$AA879),"")</f>
      </c>
      <c r="AF879" s="7">
        <f>IFERROR(IF([1]对账明细接口!$AB879=0,"",[1]对账明细接口!$AB879),"")</f>
      </c>
      <c r="AG879" s="7">
        <f>IFERROR(IF([1]对账明细接口!$AC879=0,"",[1]对账明细接口!$AC879),"")</f>
      </c>
      <c r="AH879" s="7">
        <f>IFERROR(IF([1]对账明细接口!$AD879=0,"",[1]对账明细接口!$AD879),"")</f>
      </c>
      <c r="AI879" s="7">
        <f>IFERROR(IF([1]对账明细接口!$AE879=0,"",[1]对账明细接口!$AE879),"")</f>
      </c>
      <c r="AJ879" s="7">
        <f>IFERROR(IF([1]对账明细接口!$AF879=0,"",[1]对账明细接口!$AF879),"")</f>
      </c>
    </row>
    <row r="880" ht="14.25" customHeight="1" s="127">
      <c r="A880" s="14" t="n">
        <v>880</v>
      </c>
      <c r="B880" s="211">
        <f>IFERROR(IF([1]对账明细接口!$B$880=0,"",[1]对账明细接口!$B$880),"")</f>
      </c>
      <c r="C880" s="16">
        <f>IFERROR(IF([1]对账明细接口!$C$880=0,"",[1]对账明细接口!$C$880),"")</f>
      </c>
      <c r="D880" s="16">
        <f>IFERROR(IF([1]对账明细接口!$D$880=0,"",[1]对账明细接口!$D$880),"")</f>
      </c>
      <c r="E880" s="16">
        <f>IFERROR(IF([1]对账明细接口!$E$880=0,"",[1]对账明细接口!$E$880),"")</f>
      </c>
      <c r="F880" s="16">
        <f>IFERROR(IF([1]对账明细接口!$F$880=0,"",[1]对账明细接口!$F$880),"")</f>
      </c>
      <c r="G880" s="16">
        <f>IFERROR(IF([1]对账明细接口!$G$880=0,"",[1]对账明细接口!$G$880),"")</f>
      </c>
      <c r="H880" s="176">
        <f>IFERROR(IF([1]对账明细接口!$H$880=0,"",[1]对账明细接口!$H$880),"")</f>
      </c>
      <c r="I880" s="16">
        <f>IFERROR(IF([1]对账明细接口!$I$880=0,"",[1]对账明细接口!$I$880),"")</f>
      </c>
      <c r="J880" s="177">
        <f>IFERROR(IF([1]对账明细接口!$J$880=0,"",[1]对账明细接口!$J$880),"")</f>
      </c>
      <c r="K880" s="177">
        <f>IFERROR(IF([1]对账明细接口!$K$880=0,"",[1]对账明细接口!$K$880),"")</f>
      </c>
      <c r="L880" s="16">
        <f>IFERROR(IF([1]对账明细接口!$L$880=0,"",[1]对账明细接口!$L$880),"")</f>
      </c>
      <c r="M880" s="16">
        <f>IFERROR(IF([1]对账明细接口!$M$880=0,"",[1]对账明细接口!$M$880),"")</f>
      </c>
      <c r="N880" s="19">
        <f>IF($C880="",0,1)</f>
        <v>0</v>
      </c>
      <c r="O880" s="19">
        <f>N(O879)+$N880</f>
        <v>637</v>
      </c>
      <c r="S880" s="20">
        <f>IFERROR(IF([1]对账明细接口!$N880=0,"",[1]对账明细接口!$N880),"")</f>
      </c>
      <c r="T880" s="212">
        <f>IFERROR(IF([1]对账明细接口!$O880=0,"",[1]对账明细接口!$O880),"")</f>
      </c>
      <c r="U880" s="212">
        <f>IFERROR(IF([1]对账明细接口!$P880=0,"",[1]对账明细接口!$P880),"")</f>
      </c>
      <c r="V880" s="212">
        <f>IFERROR(IF([1]对账明细接口!$Q880=0,"",[1]对账明细接口!$Q880),"")</f>
      </c>
      <c r="W880" s="20">
        <f>IFERROR(IF([1]对账明细接口!$R880=0,"",[1]对账明细接口!$R880),"")</f>
      </c>
      <c r="X880" s="20">
        <f>IFERROR(IF([1]对账明细接口!$S880=0,"",[1]对账明细接口!$S880),"")</f>
      </c>
      <c r="Y880" s="20">
        <f>IFERROR(IF([1]对账明细接口!$T880=0,"",[1]对账明细接口!$T880),"")</f>
      </c>
      <c r="Z880" s="213">
        <f>IFERROR(IF([1]对账明细接口!$U880=0,"",[1]对账明细接口!$U880),"")</f>
      </c>
      <c r="AA880" s="213">
        <f>IFERROR(IF([1]对账明细接口!$V880=0,"",[1]对账明细接口!$V880),"")</f>
      </c>
      <c r="AB880" s="20">
        <f>IFERROR(IF([1]对账明细接口!$W880=0,"",[1]对账明细接口!$W880),"")</f>
      </c>
      <c r="AC880" s="7">
        <f>IFERROR(IF([1]对账明细接口!$X880=0,"",[1]对账明细接口!$X880),"")</f>
      </c>
      <c r="AD880" s="7">
        <f>IFERROR(IF([1]对账明细接口!$Y880=0,"",[1]对账明细接口!$Y880),"")</f>
      </c>
      <c r="AE880" s="7">
        <f>IFERROR(IF([1]对账明细接口!$AA880=0,"",[1]对账明细接口!$AA880),"")</f>
      </c>
      <c r="AF880" s="7">
        <f>IFERROR(IF([1]对账明细接口!$AB880=0,"",[1]对账明细接口!$AB880),"")</f>
      </c>
      <c r="AG880" s="7">
        <f>IFERROR(IF([1]对账明细接口!$AC880=0,"",[1]对账明细接口!$AC880),"")</f>
      </c>
      <c r="AH880" s="7">
        <f>IFERROR(IF([1]对账明细接口!$AD880=0,"",[1]对账明细接口!$AD880),"")</f>
      </c>
      <c r="AI880" s="7">
        <f>IFERROR(IF([1]对账明细接口!$AE880=0,"",[1]对账明细接口!$AE880),"")</f>
      </c>
      <c r="AJ880" s="7">
        <f>IFERROR(IF([1]对账明细接口!$AF880=0,"",[1]对账明细接口!$AF880),"")</f>
      </c>
    </row>
    <row r="881" ht="14.25" customHeight="1" s="127">
      <c r="A881" s="14" t="n">
        <v>881</v>
      </c>
      <c r="B881" s="211">
        <f>IFERROR(IF([1]对账明细接口!$B$881=0,"",[1]对账明细接口!$B$881),"")</f>
      </c>
      <c r="C881" s="16">
        <f>IFERROR(IF([1]对账明细接口!$C$881=0,"",[1]对账明细接口!$C$881),"")</f>
      </c>
      <c r="D881" s="16">
        <f>IFERROR(IF([1]对账明细接口!$D$881=0,"",[1]对账明细接口!$D$881),"")</f>
      </c>
      <c r="E881" s="16">
        <f>IFERROR(IF([1]对账明细接口!$E$881=0,"",[1]对账明细接口!$E$881),"")</f>
      </c>
      <c r="F881" s="16">
        <f>IFERROR(IF([1]对账明细接口!$F$881=0,"",[1]对账明细接口!$F$881),"")</f>
      </c>
      <c r="G881" s="16">
        <f>IFERROR(IF([1]对账明细接口!$G$881=0,"",[1]对账明细接口!$G$881),"")</f>
      </c>
      <c r="H881" s="176">
        <f>IFERROR(IF([1]对账明细接口!$H$881=0,"",[1]对账明细接口!$H$881),"")</f>
      </c>
      <c r="I881" s="16">
        <f>IFERROR(IF([1]对账明细接口!$I$881=0,"",[1]对账明细接口!$I$881),"")</f>
      </c>
      <c r="J881" s="177">
        <f>IFERROR(IF([1]对账明细接口!$J$881=0,"",[1]对账明细接口!$J$881),"")</f>
      </c>
      <c r="K881" s="177">
        <f>IFERROR(IF([1]对账明细接口!$K$881=0,"",[1]对账明细接口!$K$881),"")</f>
      </c>
      <c r="L881" s="16">
        <f>IFERROR(IF([1]对账明细接口!$L$881=0,"",[1]对账明细接口!$L$881),"")</f>
      </c>
      <c r="M881" s="16">
        <f>IFERROR(IF([1]对账明细接口!$M$881=0,"",[1]对账明细接口!$M$881),"")</f>
      </c>
      <c r="N881" s="19">
        <f>IF($C881="",0,1)</f>
        <v>0</v>
      </c>
      <c r="O881" s="19">
        <f>N(O880)+$N881</f>
        <v>637</v>
      </c>
      <c r="S881" s="20">
        <f>IFERROR(IF([1]对账明细接口!$N881=0,"",[1]对账明细接口!$N881),"")</f>
      </c>
      <c r="T881" s="212">
        <f>IFERROR(IF([1]对账明细接口!$O881=0,"",[1]对账明细接口!$O881),"")</f>
      </c>
      <c r="U881" s="212">
        <f>IFERROR(IF([1]对账明细接口!$P881=0,"",[1]对账明细接口!$P881),"")</f>
      </c>
      <c r="V881" s="212">
        <f>IFERROR(IF([1]对账明细接口!$Q881=0,"",[1]对账明细接口!$Q881),"")</f>
      </c>
      <c r="W881" s="20">
        <f>IFERROR(IF([1]对账明细接口!$R881=0,"",[1]对账明细接口!$R881),"")</f>
      </c>
      <c r="X881" s="20">
        <f>IFERROR(IF([1]对账明细接口!$S881=0,"",[1]对账明细接口!$S881),"")</f>
      </c>
      <c r="Y881" s="20">
        <f>IFERROR(IF([1]对账明细接口!$T881=0,"",[1]对账明细接口!$T881),"")</f>
      </c>
      <c r="Z881" s="213">
        <f>IFERROR(IF([1]对账明细接口!$U881=0,"",[1]对账明细接口!$U881),"")</f>
      </c>
      <c r="AA881" s="213">
        <f>IFERROR(IF([1]对账明细接口!$V881=0,"",[1]对账明细接口!$V881),"")</f>
      </c>
      <c r="AB881" s="20">
        <f>IFERROR(IF([1]对账明细接口!$W881=0,"",[1]对账明细接口!$W881),"")</f>
      </c>
      <c r="AC881" s="7">
        <f>IFERROR(IF([1]对账明细接口!$X881=0,"",[1]对账明细接口!$X881),"")</f>
      </c>
      <c r="AD881" s="7">
        <f>IFERROR(IF([1]对账明细接口!$Y881=0,"",[1]对账明细接口!$Y881),"")</f>
      </c>
      <c r="AE881" s="7">
        <f>IFERROR(IF([1]对账明细接口!$AA881=0,"",[1]对账明细接口!$AA881),"")</f>
      </c>
      <c r="AF881" s="7">
        <f>IFERROR(IF([1]对账明细接口!$AB881=0,"",[1]对账明细接口!$AB881),"")</f>
      </c>
      <c r="AG881" s="7">
        <f>IFERROR(IF([1]对账明细接口!$AC881=0,"",[1]对账明细接口!$AC881),"")</f>
      </c>
      <c r="AH881" s="7">
        <f>IFERROR(IF([1]对账明细接口!$AD881=0,"",[1]对账明细接口!$AD881),"")</f>
      </c>
      <c r="AI881" s="7">
        <f>IFERROR(IF([1]对账明细接口!$AE881=0,"",[1]对账明细接口!$AE881),"")</f>
      </c>
      <c r="AJ881" s="7">
        <f>IFERROR(IF([1]对账明细接口!$AF881=0,"",[1]对账明细接口!$AF881),"")</f>
      </c>
    </row>
    <row r="882" ht="14.25" customHeight="1" s="127">
      <c r="A882" s="14" t="n">
        <v>882</v>
      </c>
      <c r="B882" s="211">
        <f>IFERROR(IF([1]对账明细接口!$B$882=0,"",[1]对账明细接口!$B$882),"")</f>
      </c>
      <c r="C882" s="16">
        <f>IFERROR(IF([1]对账明细接口!$C$882=0,"",[1]对账明细接口!$C$882),"")</f>
      </c>
      <c r="D882" s="16">
        <f>IFERROR(IF([1]对账明细接口!$D$882=0,"",[1]对账明细接口!$D$882),"")</f>
      </c>
      <c r="E882" s="16">
        <f>IFERROR(IF([1]对账明细接口!$E$882=0,"",[1]对账明细接口!$E$882),"")</f>
      </c>
      <c r="F882" s="16">
        <f>IFERROR(IF([1]对账明细接口!$F$882=0,"",[1]对账明细接口!$F$882),"")</f>
      </c>
      <c r="G882" s="16">
        <f>IFERROR(IF([1]对账明细接口!$G$882=0,"",[1]对账明细接口!$G$882),"")</f>
      </c>
      <c r="H882" s="176">
        <f>IFERROR(IF([1]对账明细接口!$H$882=0,"",[1]对账明细接口!$H$882),"")</f>
      </c>
      <c r="I882" s="16">
        <f>IFERROR(IF([1]对账明细接口!$I$882=0,"",[1]对账明细接口!$I$882),"")</f>
      </c>
      <c r="J882" s="177">
        <f>IFERROR(IF([1]对账明细接口!$J$882=0,"",[1]对账明细接口!$J$882),"")</f>
      </c>
      <c r="K882" s="177">
        <f>IFERROR(IF([1]对账明细接口!$K$882=0,"",[1]对账明细接口!$K$882),"")</f>
      </c>
      <c r="L882" s="16">
        <f>IFERROR(IF([1]对账明细接口!$L$882=0,"",[1]对账明细接口!$L$882),"")</f>
      </c>
      <c r="M882" s="16">
        <f>IFERROR(IF([1]对账明细接口!$M$882=0,"",[1]对账明细接口!$M$882),"")</f>
      </c>
      <c r="N882" s="19">
        <f>IF($C882="",0,1)</f>
        <v>0</v>
      </c>
      <c r="O882" s="19">
        <f>N(O881)+$N882</f>
        <v>637</v>
      </c>
      <c r="S882" s="20">
        <f>IFERROR(IF([1]对账明细接口!$N882=0,"",[1]对账明细接口!$N882),"")</f>
      </c>
      <c r="T882" s="212">
        <f>IFERROR(IF([1]对账明细接口!$O882=0,"",[1]对账明细接口!$O882),"")</f>
      </c>
      <c r="U882" s="212">
        <f>IFERROR(IF([1]对账明细接口!$P882=0,"",[1]对账明细接口!$P882),"")</f>
      </c>
      <c r="V882" s="212">
        <f>IFERROR(IF([1]对账明细接口!$Q882=0,"",[1]对账明细接口!$Q882),"")</f>
      </c>
      <c r="W882" s="20">
        <f>IFERROR(IF([1]对账明细接口!$R882=0,"",[1]对账明细接口!$R882),"")</f>
      </c>
      <c r="X882" s="20">
        <f>IFERROR(IF([1]对账明细接口!$S882=0,"",[1]对账明细接口!$S882),"")</f>
      </c>
      <c r="Y882" s="20">
        <f>IFERROR(IF([1]对账明细接口!$T882=0,"",[1]对账明细接口!$T882),"")</f>
      </c>
      <c r="Z882" s="213">
        <f>IFERROR(IF([1]对账明细接口!$U882=0,"",[1]对账明细接口!$U882),"")</f>
      </c>
      <c r="AA882" s="213">
        <f>IFERROR(IF([1]对账明细接口!$V882=0,"",[1]对账明细接口!$V882),"")</f>
      </c>
      <c r="AB882" s="20">
        <f>IFERROR(IF([1]对账明细接口!$W882=0,"",[1]对账明细接口!$W882),"")</f>
      </c>
      <c r="AC882" s="7">
        <f>IFERROR(IF([1]对账明细接口!$X882=0,"",[1]对账明细接口!$X882),"")</f>
      </c>
      <c r="AD882" s="7">
        <f>IFERROR(IF([1]对账明细接口!$Y882=0,"",[1]对账明细接口!$Y882),"")</f>
      </c>
      <c r="AE882" s="7">
        <f>IFERROR(IF([1]对账明细接口!$AA882=0,"",[1]对账明细接口!$AA882),"")</f>
      </c>
      <c r="AF882" s="7">
        <f>IFERROR(IF([1]对账明细接口!$AB882=0,"",[1]对账明细接口!$AB882),"")</f>
      </c>
      <c r="AG882" s="7">
        <f>IFERROR(IF([1]对账明细接口!$AC882=0,"",[1]对账明细接口!$AC882),"")</f>
      </c>
      <c r="AH882" s="7">
        <f>IFERROR(IF([1]对账明细接口!$AD882=0,"",[1]对账明细接口!$AD882),"")</f>
      </c>
      <c r="AI882" s="7">
        <f>IFERROR(IF([1]对账明细接口!$AE882=0,"",[1]对账明细接口!$AE882),"")</f>
      </c>
      <c r="AJ882" s="7">
        <f>IFERROR(IF([1]对账明细接口!$AF882=0,"",[1]对账明细接口!$AF882),"")</f>
      </c>
    </row>
    <row r="883" ht="14.25" customHeight="1" s="127">
      <c r="A883" s="14" t="n">
        <v>883</v>
      </c>
      <c r="B883" s="211">
        <f>IFERROR(IF([1]对账明细接口!$B$883=0,"",[1]对账明细接口!$B$883),"")</f>
      </c>
      <c r="C883" s="16">
        <f>IFERROR(IF([1]对账明细接口!$C$883=0,"",[1]对账明细接口!$C$883),"")</f>
      </c>
      <c r="D883" s="16">
        <f>IFERROR(IF([1]对账明细接口!$D$883=0,"",[1]对账明细接口!$D$883),"")</f>
      </c>
      <c r="E883" s="16">
        <f>IFERROR(IF([1]对账明细接口!$E$883=0,"",[1]对账明细接口!$E$883),"")</f>
      </c>
      <c r="F883" s="16">
        <f>IFERROR(IF([1]对账明细接口!$F$883=0,"",[1]对账明细接口!$F$883),"")</f>
      </c>
      <c r="G883" s="16">
        <f>IFERROR(IF([1]对账明细接口!$G$883=0,"",[1]对账明细接口!$G$883),"")</f>
      </c>
      <c r="H883" s="176">
        <f>IFERROR(IF([1]对账明细接口!$H$883=0,"",[1]对账明细接口!$H$883),"")</f>
      </c>
      <c r="I883" s="16">
        <f>IFERROR(IF([1]对账明细接口!$I$883=0,"",[1]对账明细接口!$I$883),"")</f>
      </c>
      <c r="J883" s="177">
        <f>IFERROR(IF([1]对账明细接口!$J$883=0,"",[1]对账明细接口!$J$883),"")</f>
      </c>
      <c r="K883" s="177">
        <f>IFERROR(IF([1]对账明细接口!$K$883=0,"",[1]对账明细接口!$K$883),"")</f>
      </c>
      <c r="L883" s="16">
        <f>IFERROR(IF([1]对账明细接口!$L$883=0,"",[1]对账明细接口!$L$883),"")</f>
      </c>
      <c r="M883" s="16">
        <f>IFERROR(IF([1]对账明细接口!$M$883=0,"",[1]对账明细接口!$M$883),"")</f>
      </c>
      <c r="N883" s="19">
        <f>IF($C883="",0,1)</f>
        <v>0</v>
      </c>
      <c r="O883" s="19">
        <f>N(O882)+$N883</f>
        <v>637</v>
      </c>
      <c r="S883" s="20">
        <f>IFERROR(IF([1]对账明细接口!$N883=0,"",[1]对账明细接口!$N883),"")</f>
      </c>
      <c r="T883" s="212">
        <f>IFERROR(IF([1]对账明细接口!$O883=0,"",[1]对账明细接口!$O883),"")</f>
      </c>
      <c r="U883" s="212">
        <f>IFERROR(IF([1]对账明细接口!$P883=0,"",[1]对账明细接口!$P883),"")</f>
      </c>
      <c r="V883" s="212">
        <f>IFERROR(IF([1]对账明细接口!$Q883=0,"",[1]对账明细接口!$Q883),"")</f>
      </c>
      <c r="W883" s="20">
        <f>IFERROR(IF([1]对账明细接口!$R883=0,"",[1]对账明细接口!$R883),"")</f>
      </c>
      <c r="X883" s="20">
        <f>IFERROR(IF([1]对账明细接口!$S883=0,"",[1]对账明细接口!$S883),"")</f>
      </c>
      <c r="Y883" s="20">
        <f>IFERROR(IF([1]对账明细接口!$T883=0,"",[1]对账明细接口!$T883),"")</f>
      </c>
      <c r="Z883" s="213">
        <f>IFERROR(IF([1]对账明细接口!$U883=0,"",[1]对账明细接口!$U883),"")</f>
      </c>
      <c r="AA883" s="213">
        <f>IFERROR(IF([1]对账明细接口!$V883=0,"",[1]对账明细接口!$V883),"")</f>
      </c>
      <c r="AB883" s="20">
        <f>IFERROR(IF([1]对账明细接口!$W883=0,"",[1]对账明细接口!$W883),"")</f>
      </c>
      <c r="AC883" s="7">
        <f>IFERROR(IF([1]对账明细接口!$X883=0,"",[1]对账明细接口!$X883),"")</f>
      </c>
      <c r="AD883" s="7">
        <f>IFERROR(IF([1]对账明细接口!$Y883=0,"",[1]对账明细接口!$Y883),"")</f>
      </c>
      <c r="AE883" s="7">
        <f>IFERROR(IF([1]对账明细接口!$AA883=0,"",[1]对账明细接口!$AA883),"")</f>
      </c>
      <c r="AF883" s="7">
        <f>IFERROR(IF([1]对账明细接口!$AB883=0,"",[1]对账明细接口!$AB883),"")</f>
      </c>
      <c r="AG883" s="7">
        <f>IFERROR(IF([1]对账明细接口!$AC883=0,"",[1]对账明细接口!$AC883),"")</f>
      </c>
      <c r="AH883" s="7">
        <f>IFERROR(IF([1]对账明细接口!$AD883=0,"",[1]对账明细接口!$AD883),"")</f>
      </c>
      <c r="AI883" s="7">
        <f>IFERROR(IF([1]对账明细接口!$AE883=0,"",[1]对账明细接口!$AE883),"")</f>
      </c>
      <c r="AJ883" s="7">
        <f>IFERROR(IF([1]对账明细接口!$AF883=0,"",[1]对账明细接口!$AF883),"")</f>
      </c>
    </row>
    <row r="884" ht="14.25" customHeight="1" s="127">
      <c r="A884" s="14" t="n">
        <v>884</v>
      </c>
      <c r="B884" s="211">
        <f>IFERROR(IF([1]对账明细接口!$B$884=0,"",[1]对账明细接口!$B$884),"")</f>
      </c>
      <c r="C884" s="16">
        <f>IFERROR(IF([1]对账明细接口!$C$884=0,"",[1]对账明细接口!$C$884),"")</f>
      </c>
      <c r="D884" s="16">
        <f>IFERROR(IF([1]对账明细接口!$D$884=0,"",[1]对账明细接口!$D$884),"")</f>
      </c>
      <c r="E884" s="16">
        <f>IFERROR(IF([1]对账明细接口!$E$884=0,"",[1]对账明细接口!$E$884),"")</f>
      </c>
      <c r="F884" s="16">
        <f>IFERROR(IF([1]对账明细接口!$F$884=0,"",[1]对账明细接口!$F$884),"")</f>
      </c>
      <c r="G884" s="16">
        <f>IFERROR(IF([1]对账明细接口!$G$884=0,"",[1]对账明细接口!$G$884),"")</f>
      </c>
      <c r="H884" s="176">
        <f>IFERROR(IF([1]对账明细接口!$H$884=0,"",[1]对账明细接口!$H$884),"")</f>
      </c>
      <c r="I884" s="16">
        <f>IFERROR(IF([1]对账明细接口!$I$884=0,"",[1]对账明细接口!$I$884),"")</f>
      </c>
      <c r="J884" s="177">
        <f>IFERROR(IF([1]对账明细接口!$J$884=0,"",[1]对账明细接口!$J$884),"")</f>
      </c>
      <c r="K884" s="177">
        <f>IFERROR(IF([1]对账明细接口!$K$884=0,"",[1]对账明细接口!$K$884),"")</f>
      </c>
      <c r="L884" s="16">
        <f>IFERROR(IF([1]对账明细接口!$L$884=0,"",[1]对账明细接口!$L$884),"")</f>
      </c>
      <c r="M884" s="16">
        <f>IFERROR(IF([1]对账明细接口!$M$884=0,"",[1]对账明细接口!$M$884),"")</f>
      </c>
      <c r="N884" s="19">
        <f>IF($C884="",0,1)</f>
        <v>0</v>
      </c>
      <c r="O884" s="19">
        <f>N(O883)+$N884</f>
        <v>637</v>
      </c>
      <c r="S884" s="20">
        <f>IFERROR(IF([1]对账明细接口!$N884=0,"",[1]对账明细接口!$N884),"")</f>
      </c>
      <c r="T884" s="212">
        <f>IFERROR(IF([1]对账明细接口!$O884=0,"",[1]对账明细接口!$O884),"")</f>
      </c>
      <c r="U884" s="212">
        <f>IFERROR(IF([1]对账明细接口!$P884=0,"",[1]对账明细接口!$P884),"")</f>
      </c>
      <c r="V884" s="212">
        <f>IFERROR(IF([1]对账明细接口!$Q884=0,"",[1]对账明细接口!$Q884),"")</f>
      </c>
      <c r="W884" s="20">
        <f>IFERROR(IF([1]对账明细接口!$R884=0,"",[1]对账明细接口!$R884),"")</f>
      </c>
      <c r="X884" s="20">
        <f>IFERROR(IF([1]对账明细接口!$S884=0,"",[1]对账明细接口!$S884),"")</f>
      </c>
      <c r="Y884" s="20">
        <f>IFERROR(IF([1]对账明细接口!$T884=0,"",[1]对账明细接口!$T884),"")</f>
      </c>
      <c r="Z884" s="213">
        <f>IFERROR(IF([1]对账明细接口!$U884=0,"",[1]对账明细接口!$U884),"")</f>
      </c>
      <c r="AA884" s="213">
        <f>IFERROR(IF([1]对账明细接口!$V884=0,"",[1]对账明细接口!$V884),"")</f>
      </c>
      <c r="AB884" s="20">
        <f>IFERROR(IF([1]对账明细接口!$W884=0,"",[1]对账明细接口!$W884),"")</f>
      </c>
      <c r="AC884" s="7">
        <f>IFERROR(IF([1]对账明细接口!$X884=0,"",[1]对账明细接口!$X884),"")</f>
      </c>
      <c r="AD884" s="7">
        <f>IFERROR(IF([1]对账明细接口!$Y884=0,"",[1]对账明细接口!$Y884),"")</f>
      </c>
      <c r="AE884" s="7">
        <f>IFERROR(IF([1]对账明细接口!$AA884=0,"",[1]对账明细接口!$AA884),"")</f>
      </c>
      <c r="AF884" s="7">
        <f>IFERROR(IF([1]对账明细接口!$AB884=0,"",[1]对账明细接口!$AB884),"")</f>
      </c>
      <c r="AG884" s="7">
        <f>IFERROR(IF([1]对账明细接口!$AC884=0,"",[1]对账明细接口!$AC884),"")</f>
      </c>
      <c r="AH884" s="7">
        <f>IFERROR(IF([1]对账明细接口!$AD884=0,"",[1]对账明细接口!$AD884),"")</f>
      </c>
      <c r="AI884" s="7">
        <f>IFERROR(IF([1]对账明细接口!$AE884=0,"",[1]对账明细接口!$AE884),"")</f>
      </c>
      <c r="AJ884" s="7">
        <f>IFERROR(IF([1]对账明细接口!$AF884=0,"",[1]对账明细接口!$AF884),"")</f>
      </c>
    </row>
    <row r="885" ht="14.25" customHeight="1" s="127">
      <c r="A885" s="14" t="n">
        <v>885</v>
      </c>
      <c r="B885" s="211">
        <f>IFERROR(IF([1]对账明细接口!$B$885=0,"",[1]对账明细接口!$B$885),"")</f>
      </c>
      <c r="C885" s="16">
        <f>IFERROR(IF([1]对账明细接口!$C$885=0,"",[1]对账明细接口!$C$885),"")</f>
      </c>
      <c r="D885" s="16">
        <f>IFERROR(IF([1]对账明细接口!$D$885=0,"",[1]对账明细接口!$D$885),"")</f>
      </c>
      <c r="E885" s="16">
        <f>IFERROR(IF([1]对账明细接口!$E$885=0,"",[1]对账明细接口!$E$885),"")</f>
      </c>
      <c r="F885" s="16">
        <f>IFERROR(IF([1]对账明细接口!$F$885=0,"",[1]对账明细接口!$F$885),"")</f>
      </c>
      <c r="G885" s="16">
        <f>IFERROR(IF([1]对账明细接口!$G$885=0,"",[1]对账明细接口!$G$885),"")</f>
      </c>
      <c r="H885" s="176">
        <f>IFERROR(IF([1]对账明细接口!$H$885=0,"",[1]对账明细接口!$H$885),"")</f>
      </c>
      <c r="I885" s="16">
        <f>IFERROR(IF([1]对账明细接口!$I$885=0,"",[1]对账明细接口!$I$885),"")</f>
      </c>
      <c r="J885" s="177">
        <f>IFERROR(IF([1]对账明细接口!$J$885=0,"",[1]对账明细接口!$J$885),"")</f>
      </c>
      <c r="K885" s="177">
        <f>IFERROR(IF([1]对账明细接口!$K$885=0,"",[1]对账明细接口!$K$885),"")</f>
      </c>
      <c r="L885" s="16">
        <f>IFERROR(IF([1]对账明细接口!$L$885=0,"",[1]对账明细接口!$L$885),"")</f>
      </c>
      <c r="M885" s="16">
        <f>IFERROR(IF([1]对账明细接口!$M$885=0,"",[1]对账明细接口!$M$885),"")</f>
      </c>
      <c r="N885" s="19">
        <f>IF($C885="",0,1)</f>
        <v>0</v>
      </c>
      <c r="O885" s="19">
        <f>N(O884)+$N885</f>
        <v>637</v>
      </c>
      <c r="S885" s="20">
        <f>IFERROR(IF([1]对账明细接口!$N885=0,"",[1]对账明细接口!$N885),"")</f>
      </c>
      <c r="T885" s="212">
        <f>IFERROR(IF([1]对账明细接口!$O885=0,"",[1]对账明细接口!$O885),"")</f>
      </c>
      <c r="U885" s="212">
        <f>IFERROR(IF([1]对账明细接口!$P885=0,"",[1]对账明细接口!$P885),"")</f>
      </c>
      <c r="V885" s="212">
        <f>IFERROR(IF([1]对账明细接口!$Q885=0,"",[1]对账明细接口!$Q885),"")</f>
      </c>
      <c r="W885" s="20">
        <f>IFERROR(IF([1]对账明细接口!$R885=0,"",[1]对账明细接口!$R885),"")</f>
      </c>
      <c r="X885" s="20">
        <f>IFERROR(IF([1]对账明细接口!$S885=0,"",[1]对账明细接口!$S885),"")</f>
      </c>
      <c r="Y885" s="20">
        <f>IFERROR(IF([1]对账明细接口!$T885=0,"",[1]对账明细接口!$T885),"")</f>
      </c>
      <c r="Z885" s="213">
        <f>IFERROR(IF([1]对账明细接口!$U885=0,"",[1]对账明细接口!$U885),"")</f>
      </c>
      <c r="AA885" s="213">
        <f>IFERROR(IF([1]对账明细接口!$V885=0,"",[1]对账明细接口!$V885),"")</f>
      </c>
      <c r="AB885" s="20">
        <f>IFERROR(IF([1]对账明细接口!$W885=0,"",[1]对账明细接口!$W885),"")</f>
      </c>
      <c r="AC885" s="7">
        <f>IFERROR(IF([1]对账明细接口!$X885=0,"",[1]对账明细接口!$X885),"")</f>
      </c>
      <c r="AD885" s="7">
        <f>IFERROR(IF([1]对账明细接口!$Y885=0,"",[1]对账明细接口!$Y885),"")</f>
      </c>
      <c r="AE885" s="7">
        <f>IFERROR(IF([1]对账明细接口!$AA885=0,"",[1]对账明细接口!$AA885),"")</f>
      </c>
      <c r="AF885" s="7">
        <f>IFERROR(IF([1]对账明细接口!$AB885=0,"",[1]对账明细接口!$AB885),"")</f>
      </c>
      <c r="AG885" s="7">
        <f>IFERROR(IF([1]对账明细接口!$AC885=0,"",[1]对账明细接口!$AC885),"")</f>
      </c>
      <c r="AH885" s="7">
        <f>IFERROR(IF([1]对账明细接口!$AD885=0,"",[1]对账明细接口!$AD885),"")</f>
      </c>
      <c r="AI885" s="7">
        <f>IFERROR(IF([1]对账明细接口!$AE885=0,"",[1]对账明细接口!$AE885),"")</f>
      </c>
      <c r="AJ885" s="7">
        <f>IFERROR(IF([1]对账明细接口!$AF885=0,"",[1]对账明细接口!$AF885),"")</f>
      </c>
    </row>
    <row r="886" ht="14.25" customHeight="1" s="127">
      <c r="A886" s="14" t="n">
        <v>886</v>
      </c>
      <c r="B886" s="211">
        <f>IFERROR(IF([1]对账明细接口!$B$886=0,"",[1]对账明细接口!$B$886),"")</f>
      </c>
      <c r="C886" s="16">
        <f>IFERROR(IF([1]对账明细接口!$C$886=0,"",[1]对账明细接口!$C$886),"")</f>
      </c>
      <c r="D886" s="16">
        <f>IFERROR(IF([1]对账明细接口!$D$886=0,"",[1]对账明细接口!$D$886),"")</f>
      </c>
      <c r="E886" s="16">
        <f>IFERROR(IF([1]对账明细接口!$E$886=0,"",[1]对账明细接口!$E$886),"")</f>
      </c>
      <c r="F886" s="16">
        <f>IFERROR(IF([1]对账明细接口!$F$886=0,"",[1]对账明细接口!$F$886),"")</f>
      </c>
      <c r="G886" s="16">
        <f>IFERROR(IF([1]对账明细接口!$G$886=0,"",[1]对账明细接口!$G$886),"")</f>
      </c>
      <c r="H886" s="176">
        <f>IFERROR(IF([1]对账明细接口!$H$886=0,"",[1]对账明细接口!$H$886),"")</f>
      </c>
      <c r="I886" s="16">
        <f>IFERROR(IF([1]对账明细接口!$I$886=0,"",[1]对账明细接口!$I$886),"")</f>
      </c>
      <c r="J886" s="177">
        <f>IFERROR(IF([1]对账明细接口!$J$886=0,"",[1]对账明细接口!$J$886),"")</f>
      </c>
      <c r="K886" s="177">
        <f>IFERROR(IF([1]对账明细接口!$K$886=0,"",[1]对账明细接口!$K$886),"")</f>
      </c>
      <c r="L886" s="16">
        <f>IFERROR(IF([1]对账明细接口!$L$886=0,"",[1]对账明细接口!$L$886),"")</f>
      </c>
      <c r="M886" s="16">
        <f>IFERROR(IF([1]对账明细接口!$M$886=0,"",[1]对账明细接口!$M$886),"")</f>
      </c>
      <c r="N886" s="19">
        <f>IF($C886="",0,1)</f>
        <v>0</v>
      </c>
      <c r="O886" s="19">
        <f>N(O885)+$N886</f>
        <v>637</v>
      </c>
      <c r="S886" s="20">
        <f>IFERROR(IF([1]对账明细接口!$N886=0,"",[1]对账明细接口!$N886),"")</f>
      </c>
      <c r="T886" s="212">
        <f>IFERROR(IF([1]对账明细接口!$O886=0,"",[1]对账明细接口!$O886),"")</f>
      </c>
      <c r="U886" s="212">
        <f>IFERROR(IF([1]对账明细接口!$P886=0,"",[1]对账明细接口!$P886),"")</f>
      </c>
      <c r="V886" s="212">
        <f>IFERROR(IF([1]对账明细接口!$Q886=0,"",[1]对账明细接口!$Q886),"")</f>
      </c>
      <c r="W886" s="20">
        <f>IFERROR(IF([1]对账明细接口!$R886=0,"",[1]对账明细接口!$R886),"")</f>
      </c>
      <c r="X886" s="20">
        <f>IFERROR(IF([1]对账明细接口!$S886=0,"",[1]对账明细接口!$S886),"")</f>
      </c>
      <c r="Y886" s="20">
        <f>IFERROR(IF([1]对账明细接口!$T886=0,"",[1]对账明细接口!$T886),"")</f>
      </c>
      <c r="Z886" s="213">
        <f>IFERROR(IF([1]对账明细接口!$U886=0,"",[1]对账明细接口!$U886),"")</f>
      </c>
      <c r="AA886" s="213">
        <f>IFERROR(IF([1]对账明细接口!$V886=0,"",[1]对账明细接口!$V886),"")</f>
      </c>
      <c r="AB886" s="20">
        <f>IFERROR(IF([1]对账明细接口!$W886=0,"",[1]对账明细接口!$W886),"")</f>
      </c>
      <c r="AC886" s="7">
        <f>IFERROR(IF([1]对账明细接口!$X886=0,"",[1]对账明细接口!$X886),"")</f>
      </c>
      <c r="AD886" s="7">
        <f>IFERROR(IF([1]对账明细接口!$Y886=0,"",[1]对账明细接口!$Y886),"")</f>
      </c>
      <c r="AE886" s="7">
        <f>IFERROR(IF([1]对账明细接口!$AA886=0,"",[1]对账明细接口!$AA886),"")</f>
      </c>
      <c r="AF886" s="7">
        <f>IFERROR(IF([1]对账明细接口!$AB886=0,"",[1]对账明细接口!$AB886),"")</f>
      </c>
      <c r="AG886" s="7">
        <f>IFERROR(IF([1]对账明细接口!$AC886=0,"",[1]对账明细接口!$AC886),"")</f>
      </c>
      <c r="AH886" s="7">
        <f>IFERROR(IF([1]对账明细接口!$AD886=0,"",[1]对账明细接口!$AD886),"")</f>
      </c>
      <c r="AI886" s="7">
        <f>IFERROR(IF([1]对账明细接口!$AE886=0,"",[1]对账明细接口!$AE886),"")</f>
      </c>
      <c r="AJ886" s="7">
        <f>IFERROR(IF([1]对账明细接口!$AF886=0,"",[1]对账明细接口!$AF886),"")</f>
      </c>
    </row>
    <row r="887" ht="14.25" customHeight="1" s="127">
      <c r="A887" s="14" t="n">
        <v>887</v>
      </c>
      <c r="B887" s="211">
        <f>IFERROR(IF([1]对账明细接口!$B$887=0,"",[1]对账明细接口!$B$887),"")</f>
      </c>
      <c r="C887" s="16">
        <f>IFERROR(IF([1]对账明细接口!$C$887=0,"",[1]对账明细接口!$C$887),"")</f>
      </c>
      <c r="D887" s="16">
        <f>IFERROR(IF([1]对账明细接口!$D$887=0,"",[1]对账明细接口!$D$887),"")</f>
      </c>
      <c r="E887" s="16">
        <f>IFERROR(IF([1]对账明细接口!$E$887=0,"",[1]对账明细接口!$E$887),"")</f>
      </c>
      <c r="F887" s="16">
        <f>IFERROR(IF([1]对账明细接口!$F$887=0,"",[1]对账明细接口!$F$887),"")</f>
      </c>
      <c r="G887" s="16">
        <f>IFERROR(IF([1]对账明细接口!$G$887=0,"",[1]对账明细接口!$G$887),"")</f>
      </c>
      <c r="H887" s="176">
        <f>IFERROR(IF([1]对账明细接口!$H$887=0,"",[1]对账明细接口!$H$887),"")</f>
      </c>
      <c r="I887" s="16">
        <f>IFERROR(IF([1]对账明细接口!$I$887=0,"",[1]对账明细接口!$I$887),"")</f>
      </c>
      <c r="J887" s="177">
        <f>IFERROR(IF([1]对账明细接口!$J$887=0,"",[1]对账明细接口!$J$887),"")</f>
      </c>
      <c r="K887" s="177">
        <f>IFERROR(IF([1]对账明细接口!$K$887=0,"",[1]对账明细接口!$K$887),"")</f>
      </c>
      <c r="L887" s="16">
        <f>IFERROR(IF([1]对账明细接口!$L$887=0,"",[1]对账明细接口!$L$887),"")</f>
      </c>
      <c r="M887" s="16">
        <f>IFERROR(IF([1]对账明细接口!$M$887=0,"",[1]对账明细接口!$M$887),"")</f>
      </c>
      <c r="N887" s="19">
        <f>IF($C887="",0,1)</f>
        <v>0</v>
      </c>
      <c r="O887" s="19">
        <f>N(O886)+$N887</f>
        <v>637</v>
      </c>
      <c r="S887" s="20">
        <f>IFERROR(IF([1]对账明细接口!$N887=0,"",[1]对账明细接口!$N887),"")</f>
      </c>
      <c r="T887" s="212">
        <f>IFERROR(IF([1]对账明细接口!$O887=0,"",[1]对账明细接口!$O887),"")</f>
      </c>
      <c r="U887" s="212">
        <f>IFERROR(IF([1]对账明细接口!$P887=0,"",[1]对账明细接口!$P887),"")</f>
      </c>
      <c r="V887" s="212">
        <f>IFERROR(IF([1]对账明细接口!$Q887=0,"",[1]对账明细接口!$Q887),"")</f>
      </c>
      <c r="W887" s="20">
        <f>IFERROR(IF([1]对账明细接口!$R887=0,"",[1]对账明细接口!$R887),"")</f>
      </c>
      <c r="X887" s="20">
        <f>IFERROR(IF([1]对账明细接口!$S887=0,"",[1]对账明细接口!$S887),"")</f>
      </c>
      <c r="Y887" s="20">
        <f>IFERROR(IF([1]对账明细接口!$T887=0,"",[1]对账明细接口!$T887),"")</f>
      </c>
      <c r="Z887" s="213">
        <f>IFERROR(IF([1]对账明细接口!$U887=0,"",[1]对账明细接口!$U887),"")</f>
      </c>
      <c r="AA887" s="213">
        <f>IFERROR(IF([1]对账明细接口!$V887=0,"",[1]对账明细接口!$V887),"")</f>
      </c>
      <c r="AB887" s="20">
        <f>IFERROR(IF([1]对账明细接口!$W887=0,"",[1]对账明细接口!$W887),"")</f>
      </c>
      <c r="AC887" s="7">
        <f>IFERROR(IF([1]对账明细接口!$X887=0,"",[1]对账明细接口!$X887),"")</f>
      </c>
      <c r="AD887" s="7">
        <f>IFERROR(IF([1]对账明细接口!$Y887=0,"",[1]对账明细接口!$Y887),"")</f>
      </c>
      <c r="AE887" s="7">
        <f>IFERROR(IF([1]对账明细接口!$AA887=0,"",[1]对账明细接口!$AA887),"")</f>
      </c>
      <c r="AF887" s="7">
        <f>IFERROR(IF([1]对账明细接口!$AB887=0,"",[1]对账明细接口!$AB887),"")</f>
      </c>
      <c r="AG887" s="7">
        <f>IFERROR(IF([1]对账明细接口!$AC887=0,"",[1]对账明细接口!$AC887),"")</f>
      </c>
      <c r="AH887" s="7">
        <f>IFERROR(IF([1]对账明细接口!$AD887=0,"",[1]对账明细接口!$AD887),"")</f>
      </c>
      <c r="AI887" s="7">
        <f>IFERROR(IF([1]对账明细接口!$AE887=0,"",[1]对账明细接口!$AE887),"")</f>
      </c>
      <c r="AJ887" s="7">
        <f>IFERROR(IF([1]对账明细接口!$AF887=0,"",[1]对账明细接口!$AF887),"")</f>
      </c>
    </row>
    <row r="888" ht="14.25" customHeight="1" s="127">
      <c r="A888" s="14" t="n">
        <v>888</v>
      </c>
      <c r="B888" s="211">
        <f>IFERROR(IF([1]对账明细接口!$B$888=0,"",[1]对账明细接口!$B$888),"")</f>
      </c>
      <c r="C888" s="16">
        <f>IFERROR(IF([1]对账明细接口!$C$888=0,"",[1]对账明细接口!$C$888),"")</f>
      </c>
      <c r="D888" s="16">
        <f>IFERROR(IF([1]对账明细接口!$D$888=0,"",[1]对账明细接口!$D$888),"")</f>
      </c>
      <c r="E888" s="16">
        <f>IFERROR(IF([1]对账明细接口!$E$888=0,"",[1]对账明细接口!$E$888),"")</f>
      </c>
      <c r="F888" s="16">
        <f>IFERROR(IF([1]对账明细接口!$F$888=0,"",[1]对账明细接口!$F$888),"")</f>
      </c>
      <c r="G888" s="16">
        <f>IFERROR(IF([1]对账明细接口!$G$888=0,"",[1]对账明细接口!$G$888),"")</f>
      </c>
      <c r="H888" s="176">
        <f>IFERROR(IF([1]对账明细接口!$H$888=0,"",[1]对账明细接口!$H$888),"")</f>
      </c>
      <c r="I888" s="16">
        <f>IFERROR(IF([1]对账明细接口!$I$888=0,"",[1]对账明细接口!$I$888),"")</f>
      </c>
      <c r="J888" s="177">
        <f>IFERROR(IF([1]对账明细接口!$J$888=0,"",[1]对账明细接口!$J$888),"")</f>
      </c>
      <c r="K888" s="177">
        <f>IFERROR(IF([1]对账明细接口!$K$888=0,"",[1]对账明细接口!$K$888),"")</f>
      </c>
      <c r="L888" s="16">
        <f>IFERROR(IF([1]对账明细接口!$L$888=0,"",[1]对账明细接口!$L$888),"")</f>
      </c>
      <c r="M888" s="16">
        <f>IFERROR(IF([1]对账明细接口!$M$888=0,"",[1]对账明细接口!$M$888),"")</f>
      </c>
      <c r="N888" s="19">
        <f>IF($C888="",0,1)</f>
        <v>0</v>
      </c>
      <c r="O888" s="19">
        <f>N(O887)+$N888</f>
        <v>637</v>
      </c>
      <c r="S888" s="20">
        <f>IFERROR(IF([1]对账明细接口!$N888=0,"",[1]对账明细接口!$N888),"")</f>
      </c>
      <c r="T888" s="212">
        <f>IFERROR(IF([1]对账明细接口!$O888=0,"",[1]对账明细接口!$O888),"")</f>
      </c>
      <c r="U888" s="212">
        <f>IFERROR(IF([1]对账明细接口!$P888=0,"",[1]对账明细接口!$P888),"")</f>
      </c>
      <c r="V888" s="212">
        <f>IFERROR(IF([1]对账明细接口!$Q888=0,"",[1]对账明细接口!$Q888),"")</f>
      </c>
      <c r="W888" s="20">
        <f>IFERROR(IF([1]对账明细接口!$R888=0,"",[1]对账明细接口!$R888),"")</f>
      </c>
      <c r="X888" s="20">
        <f>IFERROR(IF([1]对账明细接口!$S888=0,"",[1]对账明细接口!$S888),"")</f>
      </c>
      <c r="Y888" s="20">
        <f>IFERROR(IF([1]对账明细接口!$T888=0,"",[1]对账明细接口!$T888),"")</f>
      </c>
      <c r="Z888" s="213">
        <f>IFERROR(IF([1]对账明细接口!$U888=0,"",[1]对账明细接口!$U888),"")</f>
      </c>
      <c r="AA888" s="213">
        <f>IFERROR(IF([1]对账明细接口!$V888=0,"",[1]对账明细接口!$V888),"")</f>
      </c>
      <c r="AB888" s="20">
        <f>IFERROR(IF([1]对账明细接口!$W888=0,"",[1]对账明细接口!$W888),"")</f>
      </c>
      <c r="AC888" s="7">
        <f>IFERROR(IF([1]对账明细接口!$X888=0,"",[1]对账明细接口!$X888),"")</f>
      </c>
      <c r="AD888" s="7">
        <f>IFERROR(IF([1]对账明细接口!$Y888=0,"",[1]对账明细接口!$Y888),"")</f>
      </c>
      <c r="AE888" s="7">
        <f>IFERROR(IF([1]对账明细接口!$AA888=0,"",[1]对账明细接口!$AA888),"")</f>
      </c>
      <c r="AF888" s="7">
        <f>IFERROR(IF([1]对账明细接口!$AB888=0,"",[1]对账明细接口!$AB888),"")</f>
      </c>
      <c r="AG888" s="7">
        <f>IFERROR(IF([1]对账明细接口!$AC888=0,"",[1]对账明细接口!$AC888),"")</f>
      </c>
      <c r="AH888" s="7">
        <f>IFERROR(IF([1]对账明细接口!$AD888=0,"",[1]对账明细接口!$AD888),"")</f>
      </c>
      <c r="AI888" s="7">
        <f>IFERROR(IF([1]对账明细接口!$AE888=0,"",[1]对账明细接口!$AE888),"")</f>
      </c>
      <c r="AJ888" s="7">
        <f>IFERROR(IF([1]对账明细接口!$AF888=0,"",[1]对账明细接口!$AF888),"")</f>
      </c>
    </row>
    <row r="889" ht="14.25" customHeight="1" s="127">
      <c r="A889" s="14" t="n">
        <v>889</v>
      </c>
      <c r="B889" s="211">
        <f>IFERROR(IF([1]对账明细接口!$B$889=0,"",[1]对账明细接口!$B$889),"")</f>
      </c>
      <c r="C889" s="16">
        <f>IFERROR(IF([1]对账明细接口!$C$889=0,"",[1]对账明细接口!$C$889),"")</f>
      </c>
      <c r="D889" s="16">
        <f>IFERROR(IF([1]对账明细接口!$D$889=0,"",[1]对账明细接口!$D$889),"")</f>
      </c>
      <c r="E889" s="16">
        <f>IFERROR(IF([1]对账明细接口!$E$889=0,"",[1]对账明细接口!$E$889),"")</f>
      </c>
      <c r="F889" s="16">
        <f>IFERROR(IF([1]对账明细接口!$F$889=0,"",[1]对账明细接口!$F$889),"")</f>
      </c>
      <c r="G889" s="16">
        <f>IFERROR(IF([1]对账明细接口!$G$889=0,"",[1]对账明细接口!$G$889),"")</f>
      </c>
      <c r="H889" s="176">
        <f>IFERROR(IF([1]对账明细接口!$H$889=0,"",[1]对账明细接口!$H$889),"")</f>
      </c>
      <c r="I889" s="16">
        <f>IFERROR(IF([1]对账明细接口!$I$889=0,"",[1]对账明细接口!$I$889),"")</f>
      </c>
      <c r="J889" s="177">
        <f>IFERROR(IF([1]对账明细接口!$J$889=0,"",[1]对账明细接口!$J$889),"")</f>
      </c>
      <c r="K889" s="177">
        <f>IFERROR(IF([1]对账明细接口!$K$889=0,"",[1]对账明细接口!$K$889),"")</f>
      </c>
      <c r="L889" s="16">
        <f>IFERROR(IF([1]对账明细接口!$L$889=0,"",[1]对账明细接口!$L$889),"")</f>
      </c>
      <c r="M889" s="16">
        <f>IFERROR(IF([1]对账明细接口!$M$889=0,"",[1]对账明细接口!$M$889),"")</f>
      </c>
      <c r="N889" s="19">
        <f>IF($C889="",0,1)</f>
        <v>0</v>
      </c>
      <c r="O889" s="19">
        <f>N(O888)+$N889</f>
        <v>637</v>
      </c>
      <c r="S889" s="20">
        <f>IFERROR(IF([1]对账明细接口!$N889=0,"",[1]对账明细接口!$N889),"")</f>
      </c>
      <c r="T889" s="212">
        <f>IFERROR(IF([1]对账明细接口!$O889=0,"",[1]对账明细接口!$O889),"")</f>
      </c>
      <c r="U889" s="212">
        <f>IFERROR(IF([1]对账明细接口!$P889=0,"",[1]对账明细接口!$P889),"")</f>
      </c>
      <c r="V889" s="212">
        <f>IFERROR(IF([1]对账明细接口!$Q889=0,"",[1]对账明细接口!$Q889),"")</f>
      </c>
      <c r="W889" s="20">
        <f>IFERROR(IF([1]对账明细接口!$R889=0,"",[1]对账明细接口!$R889),"")</f>
      </c>
      <c r="X889" s="20">
        <f>IFERROR(IF([1]对账明细接口!$S889=0,"",[1]对账明细接口!$S889),"")</f>
      </c>
      <c r="Y889" s="20">
        <f>IFERROR(IF([1]对账明细接口!$T889=0,"",[1]对账明细接口!$T889),"")</f>
      </c>
      <c r="Z889" s="213">
        <f>IFERROR(IF([1]对账明细接口!$U889=0,"",[1]对账明细接口!$U889),"")</f>
      </c>
      <c r="AA889" s="213">
        <f>IFERROR(IF([1]对账明细接口!$V889=0,"",[1]对账明细接口!$V889),"")</f>
      </c>
      <c r="AB889" s="20">
        <f>IFERROR(IF([1]对账明细接口!$W889=0,"",[1]对账明细接口!$W889),"")</f>
      </c>
      <c r="AC889" s="7">
        <f>IFERROR(IF([1]对账明细接口!$X889=0,"",[1]对账明细接口!$X889),"")</f>
      </c>
      <c r="AD889" s="7">
        <f>IFERROR(IF([1]对账明细接口!$Y889=0,"",[1]对账明细接口!$Y889),"")</f>
      </c>
      <c r="AE889" s="7">
        <f>IFERROR(IF([1]对账明细接口!$AA889=0,"",[1]对账明细接口!$AA889),"")</f>
      </c>
      <c r="AF889" s="7">
        <f>IFERROR(IF([1]对账明细接口!$AB889=0,"",[1]对账明细接口!$AB889),"")</f>
      </c>
      <c r="AG889" s="7">
        <f>IFERROR(IF([1]对账明细接口!$AC889=0,"",[1]对账明细接口!$AC889),"")</f>
      </c>
      <c r="AH889" s="7">
        <f>IFERROR(IF([1]对账明细接口!$AD889=0,"",[1]对账明细接口!$AD889),"")</f>
      </c>
      <c r="AI889" s="7">
        <f>IFERROR(IF([1]对账明细接口!$AE889=0,"",[1]对账明细接口!$AE889),"")</f>
      </c>
      <c r="AJ889" s="7">
        <f>IFERROR(IF([1]对账明细接口!$AF889=0,"",[1]对账明细接口!$AF889),"")</f>
      </c>
    </row>
    <row r="890" ht="14.25" customHeight="1" s="127">
      <c r="A890" s="14" t="n">
        <v>890</v>
      </c>
      <c r="B890" s="211">
        <f>IFERROR(IF([1]对账明细接口!$B$890=0,"",[1]对账明细接口!$B$890),"")</f>
      </c>
      <c r="C890" s="16">
        <f>IFERROR(IF([1]对账明细接口!$C$890=0,"",[1]对账明细接口!$C$890),"")</f>
      </c>
      <c r="D890" s="16">
        <f>IFERROR(IF([1]对账明细接口!$D$890=0,"",[1]对账明细接口!$D$890),"")</f>
      </c>
      <c r="E890" s="16">
        <f>IFERROR(IF([1]对账明细接口!$E$890=0,"",[1]对账明细接口!$E$890),"")</f>
      </c>
      <c r="F890" s="16">
        <f>IFERROR(IF([1]对账明细接口!$F$890=0,"",[1]对账明细接口!$F$890),"")</f>
      </c>
      <c r="G890" s="16">
        <f>IFERROR(IF([1]对账明细接口!$G$890=0,"",[1]对账明细接口!$G$890),"")</f>
      </c>
      <c r="H890" s="176">
        <f>IFERROR(IF([1]对账明细接口!$H$890=0,"",[1]对账明细接口!$H$890),"")</f>
      </c>
      <c r="I890" s="16">
        <f>IFERROR(IF([1]对账明细接口!$I$890=0,"",[1]对账明细接口!$I$890),"")</f>
      </c>
      <c r="J890" s="177">
        <f>IFERROR(IF([1]对账明细接口!$J$890=0,"",[1]对账明细接口!$J$890),"")</f>
      </c>
      <c r="K890" s="177">
        <f>IFERROR(IF([1]对账明细接口!$K$890=0,"",[1]对账明细接口!$K$890),"")</f>
      </c>
      <c r="L890" s="16">
        <f>IFERROR(IF([1]对账明细接口!$L$890=0,"",[1]对账明细接口!$L$890),"")</f>
      </c>
      <c r="M890" s="16">
        <f>IFERROR(IF([1]对账明细接口!$M$890=0,"",[1]对账明细接口!$M$890),"")</f>
      </c>
      <c r="N890" s="19">
        <f>IF($C890="",0,1)</f>
        <v>0</v>
      </c>
      <c r="O890" s="19">
        <f>N(O889)+$N890</f>
        <v>637</v>
      </c>
      <c r="S890" s="20">
        <f>IFERROR(IF([1]对账明细接口!$N890=0,"",[1]对账明细接口!$N890),"")</f>
      </c>
      <c r="T890" s="212">
        <f>IFERROR(IF([1]对账明细接口!$O890=0,"",[1]对账明细接口!$O890),"")</f>
      </c>
      <c r="U890" s="212">
        <f>IFERROR(IF([1]对账明细接口!$P890=0,"",[1]对账明细接口!$P890),"")</f>
      </c>
      <c r="V890" s="212">
        <f>IFERROR(IF([1]对账明细接口!$Q890=0,"",[1]对账明细接口!$Q890),"")</f>
      </c>
      <c r="W890" s="20">
        <f>IFERROR(IF([1]对账明细接口!$R890=0,"",[1]对账明细接口!$R890),"")</f>
      </c>
      <c r="X890" s="20">
        <f>IFERROR(IF([1]对账明细接口!$S890=0,"",[1]对账明细接口!$S890),"")</f>
      </c>
      <c r="Y890" s="20">
        <f>IFERROR(IF([1]对账明细接口!$T890=0,"",[1]对账明细接口!$T890),"")</f>
      </c>
      <c r="Z890" s="213">
        <f>IFERROR(IF([1]对账明细接口!$U890=0,"",[1]对账明细接口!$U890),"")</f>
      </c>
      <c r="AA890" s="213">
        <f>IFERROR(IF([1]对账明细接口!$V890=0,"",[1]对账明细接口!$V890),"")</f>
      </c>
      <c r="AB890" s="20">
        <f>IFERROR(IF([1]对账明细接口!$W890=0,"",[1]对账明细接口!$W890),"")</f>
      </c>
      <c r="AC890" s="7">
        <f>IFERROR(IF([1]对账明细接口!$X890=0,"",[1]对账明细接口!$X890),"")</f>
      </c>
      <c r="AD890" s="7">
        <f>IFERROR(IF([1]对账明细接口!$Y890=0,"",[1]对账明细接口!$Y890),"")</f>
      </c>
      <c r="AE890" s="7">
        <f>IFERROR(IF([1]对账明细接口!$AA890=0,"",[1]对账明细接口!$AA890),"")</f>
      </c>
      <c r="AF890" s="7">
        <f>IFERROR(IF([1]对账明细接口!$AB890=0,"",[1]对账明细接口!$AB890),"")</f>
      </c>
      <c r="AG890" s="7">
        <f>IFERROR(IF([1]对账明细接口!$AC890=0,"",[1]对账明细接口!$AC890),"")</f>
      </c>
      <c r="AH890" s="7">
        <f>IFERROR(IF([1]对账明细接口!$AD890=0,"",[1]对账明细接口!$AD890),"")</f>
      </c>
      <c r="AI890" s="7">
        <f>IFERROR(IF([1]对账明细接口!$AE890=0,"",[1]对账明细接口!$AE890),"")</f>
      </c>
      <c r="AJ890" s="7">
        <f>IFERROR(IF([1]对账明细接口!$AF890=0,"",[1]对账明细接口!$AF890),"")</f>
      </c>
    </row>
    <row r="891" ht="14.25" customHeight="1" s="127">
      <c r="A891" s="14" t="n">
        <v>891</v>
      </c>
      <c r="B891" s="211">
        <f>IFERROR(IF([1]对账明细接口!$B$891=0,"",[1]对账明细接口!$B$891),"")</f>
      </c>
      <c r="C891" s="16">
        <f>IFERROR(IF([1]对账明细接口!$C$891=0,"",[1]对账明细接口!$C$891),"")</f>
      </c>
      <c r="D891" s="16">
        <f>IFERROR(IF([1]对账明细接口!$D$891=0,"",[1]对账明细接口!$D$891),"")</f>
      </c>
      <c r="E891" s="16">
        <f>IFERROR(IF([1]对账明细接口!$E$891=0,"",[1]对账明细接口!$E$891),"")</f>
      </c>
      <c r="F891" s="16">
        <f>IFERROR(IF([1]对账明细接口!$F$891=0,"",[1]对账明细接口!$F$891),"")</f>
      </c>
      <c r="G891" s="16">
        <f>IFERROR(IF([1]对账明细接口!$G$891=0,"",[1]对账明细接口!$G$891),"")</f>
      </c>
      <c r="H891" s="176">
        <f>IFERROR(IF([1]对账明细接口!$H$891=0,"",[1]对账明细接口!$H$891),"")</f>
      </c>
      <c r="I891" s="16">
        <f>IFERROR(IF([1]对账明细接口!$I$891=0,"",[1]对账明细接口!$I$891),"")</f>
      </c>
      <c r="J891" s="177">
        <f>IFERROR(IF([1]对账明细接口!$J$891=0,"",[1]对账明细接口!$J$891),"")</f>
      </c>
      <c r="K891" s="177">
        <f>IFERROR(IF([1]对账明细接口!$K$891=0,"",[1]对账明细接口!$K$891),"")</f>
      </c>
      <c r="L891" s="16">
        <f>IFERROR(IF([1]对账明细接口!$L$891=0,"",[1]对账明细接口!$L$891),"")</f>
      </c>
      <c r="M891" s="16">
        <f>IFERROR(IF([1]对账明细接口!$M$891=0,"",[1]对账明细接口!$M$891),"")</f>
      </c>
      <c r="N891" s="19">
        <f>IF($C891="",0,1)</f>
        <v>0</v>
      </c>
      <c r="O891" s="19">
        <f>N(O890)+$N891</f>
        <v>637</v>
      </c>
      <c r="S891" s="20">
        <f>IFERROR(IF([1]对账明细接口!$N891=0,"",[1]对账明细接口!$N891),"")</f>
      </c>
      <c r="T891" s="212">
        <f>IFERROR(IF([1]对账明细接口!$O891=0,"",[1]对账明细接口!$O891),"")</f>
      </c>
      <c r="U891" s="212">
        <f>IFERROR(IF([1]对账明细接口!$P891=0,"",[1]对账明细接口!$P891),"")</f>
      </c>
      <c r="V891" s="212">
        <f>IFERROR(IF([1]对账明细接口!$Q891=0,"",[1]对账明细接口!$Q891),"")</f>
      </c>
      <c r="W891" s="20">
        <f>IFERROR(IF([1]对账明细接口!$R891=0,"",[1]对账明细接口!$R891),"")</f>
      </c>
      <c r="X891" s="20">
        <f>IFERROR(IF([1]对账明细接口!$S891=0,"",[1]对账明细接口!$S891),"")</f>
      </c>
      <c r="Y891" s="20">
        <f>IFERROR(IF([1]对账明细接口!$T891=0,"",[1]对账明细接口!$T891),"")</f>
      </c>
      <c r="Z891" s="213">
        <f>IFERROR(IF([1]对账明细接口!$U891=0,"",[1]对账明细接口!$U891),"")</f>
      </c>
      <c r="AA891" s="213">
        <f>IFERROR(IF([1]对账明细接口!$V891=0,"",[1]对账明细接口!$V891),"")</f>
      </c>
      <c r="AB891" s="20">
        <f>IFERROR(IF([1]对账明细接口!$W891=0,"",[1]对账明细接口!$W891),"")</f>
      </c>
      <c r="AC891" s="7">
        <f>IFERROR(IF([1]对账明细接口!$X891=0,"",[1]对账明细接口!$X891),"")</f>
      </c>
      <c r="AD891" s="7">
        <f>IFERROR(IF([1]对账明细接口!$Y891=0,"",[1]对账明细接口!$Y891),"")</f>
      </c>
      <c r="AE891" s="7">
        <f>IFERROR(IF([1]对账明细接口!$AA891=0,"",[1]对账明细接口!$AA891),"")</f>
      </c>
      <c r="AF891" s="7">
        <f>IFERROR(IF([1]对账明细接口!$AB891=0,"",[1]对账明细接口!$AB891),"")</f>
      </c>
      <c r="AG891" s="7">
        <f>IFERROR(IF([1]对账明细接口!$AC891=0,"",[1]对账明细接口!$AC891),"")</f>
      </c>
      <c r="AH891" s="7">
        <f>IFERROR(IF([1]对账明细接口!$AD891=0,"",[1]对账明细接口!$AD891),"")</f>
      </c>
      <c r="AI891" s="7">
        <f>IFERROR(IF([1]对账明细接口!$AE891=0,"",[1]对账明细接口!$AE891),"")</f>
      </c>
      <c r="AJ891" s="7">
        <f>IFERROR(IF([1]对账明细接口!$AF891=0,"",[1]对账明细接口!$AF891),"")</f>
      </c>
    </row>
    <row r="892" ht="14.25" customHeight="1" s="127">
      <c r="A892" s="14" t="n">
        <v>892</v>
      </c>
      <c r="B892" s="211">
        <f>IFERROR(IF([1]对账明细接口!$B$892=0,"",[1]对账明细接口!$B$892),"")</f>
      </c>
      <c r="C892" s="16">
        <f>IFERROR(IF([1]对账明细接口!$C$892=0,"",[1]对账明细接口!$C$892),"")</f>
      </c>
      <c r="D892" s="16">
        <f>IFERROR(IF([1]对账明细接口!$D$892=0,"",[1]对账明细接口!$D$892),"")</f>
      </c>
      <c r="E892" s="16">
        <f>IFERROR(IF([1]对账明细接口!$E$892=0,"",[1]对账明细接口!$E$892),"")</f>
      </c>
      <c r="F892" s="16">
        <f>IFERROR(IF([1]对账明细接口!$F$892=0,"",[1]对账明细接口!$F$892),"")</f>
      </c>
      <c r="G892" s="16">
        <f>IFERROR(IF([1]对账明细接口!$G$892=0,"",[1]对账明细接口!$G$892),"")</f>
      </c>
      <c r="H892" s="176">
        <f>IFERROR(IF([1]对账明细接口!$H$892=0,"",[1]对账明细接口!$H$892),"")</f>
      </c>
      <c r="I892" s="16">
        <f>IFERROR(IF([1]对账明细接口!$I$892=0,"",[1]对账明细接口!$I$892),"")</f>
      </c>
      <c r="J892" s="177">
        <f>IFERROR(IF([1]对账明细接口!$J$892=0,"",[1]对账明细接口!$J$892),"")</f>
      </c>
      <c r="K892" s="177">
        <f>IFERROR(IF([1]对账明细接口!$K$892=0,"",[1]对账明细接口!$K$892),"")</f>
      </c>
      <c r="L892" s="16">
        <f>IFERROR(IF([1]对账明细接口!$L$892=0,"",[1]对账明细接口!$L$892),"")</f>
      </c>
      <c r="M892" s="16">
        <f>IFERROR(IF([1]对账明细接口!$M$892=0,"",[1]对账明细接口!$M$892),"")</f>
      </c>
      <c r="N892" s="19">
        <f>IF($C892="",0,1)</f>
        <v>0</v>
      </c>
      <c r="O892" s="19">
        <f>N(O891)+$N892</f>
        <v>637</v>
      </c>
      <c r="S892" s="20">
        <f>IFERROR(IF([1]对账明细接口!$N892=0,"",[1]对账明细接口!$N892),"")</f>
      </c>
      <c r="T892" s="212">
        <f>IFERROR(IF([1]对账明细接口!$O892=0,"",[1]对账明细接口!$O892),"")</f>
      </c>
      <c r="U892" s="212">
        <f>IFERROR(IF([1]对账明细接口!$P892=0,"",[1]对账明细接口!$P892),"")</f>
      </c>
      <c r="V892" s="212">
        <f>IFERROR(IF([1]对账明细接口!$Q892=0,"",[1]对账明细接口!$Q892),"")</f>
      </c>
      <c r="W892" s="20">
        <f>IFERROR(IF([1]对账明细接口!$R892=0,"",[1]对账明细接口!$R892),"")</f>
      </c>
      <c r="X892" s="20">
        <f>IFERROR(IF([1]对账明细接口!$S892=0,"",[1]对账明细接口!$S892),"")</f>
      </c>
      <c r="Y892" s="20">
        <f>IFERROR(IF([1]对账明细接口!$T892=0,"",[1]对账明细接口!$T892),"")</f>
      </c>
      <c r="Z892" s="213">
        <f>IFERROR(IF([1]对账明细接口!$U892=0,"",[1]对账明细接口!$U892),"")</f>
      </c>
      <c r="AA892" s="213">
        <f>IFERROR(IF([1]对账明细接口!$V892=0,"",[1]对账明细接口!$V892),"")</f>
      </c>
      <c r="AB892" s="20">
        <f>IFERROR(IF([1]对账明细接口!$W892=0,"",[1]对账明细接口!$W892),"")</f>
      </c>
      <c r="AC892" s="7">
        <f>IFERROR(IF([1]对账明细接口!$X892=0,"",[1]对账明细接口!$X892),"")</f>
      </c>
      <c r="AD892" s="7">
        <f>IFERROR(IF([1]对账明细接口!$Y892=0,"",[1]对账明细接口!$Y892),"")</f>
      </c>
      <c r="AE892" s="7">
        <f>IFERROR(IF([1]对账明细接口!$AA892=0,"",[1]对账明细接口!$AA892),"")</f>
      </c>
      <c r="AF892" s="7">
        <f>IFERROR(IF([1]对账明细接口!$AB892=0,"",[1]对账明细接口!$AB892),"")</f>
      </c>
      <c r="AG892" s="7">
        <f>IFERROR(IF([1]对账明细接口!$AC892=0,"",[1]对账明细接口!$AC892),"")</f>
      </c>
      <c r="AH892" s="7">
        <f>IFERROR(IF([1]对账明细接口!$AD892=0,"",[1]对账明细接口!$AD892),"")</f>
      </c>
      <c r="AI892" s="7">
        <f>IFERROR(IF([1]对账明细接口!$AE892=0,"",[1]对账明细接口!$AE892),"")</f>
      </c>
      <c r="AJ892" s="7">
        <f>IFERROR(IF([1]对账明细接口!$AF892=0,"",[1]对账明细接口!$AF892),"")</f>
      </c>
    </row>
    <row r="893" ht="14.25" customHeight="1" s="127">
      <c r="A893" s="14" t="n">
        <v>893</v>
      </c>
      <c r="B893" s="211">
        <f>IFERROR(IF([1]对账明细接口!$B$893=0,"",[1]对账明细接口!$B$893),"")</f>
      </c>
      <c r="C893" s="16">
        <f>IFERROR(IF([1]对账明细接口!$C$893=0,"",[1]对账明细接口!$C$893),"")</f>
      </c>
      <c r="D893" s="16">
        <f>IFERROR(IF([1]对账明细接口!$D$893=0,"",[1]对账明细接口!$D$893),"")</f>
      </c>
      <c r="E893" s="16">
        <f>IFERROR(IF([1]对账明细接口!$E$893=0,"",[1]对账明细接口!$E$893),"")</f>
      </c>
      <c r="F893" s="16">
        <f>IFERROR(IF([1]对账明细接口!$F$893=0,"",[1]对账明细接口!$F$893),"")</f>
      </c>
      <c r="G893" s="16">
        <f>IFERROR(IF([1]对账明细接口!$G$893=0,"",[1]对账明细接口!$G$893),"")</f>
      </c>
      <c r="H893" s="176">
        <f>IFERROR(IF([1]对账明细接口!$H$893=0,"",[1]对账明细接口!$H$893),"")</f>
      </c>
      <c r="I893" s="16">
        <f>IFERROR(IF([1]对账明细接口!$I$893=0,"",[1]对账明细接口!$I$893),"")</f>
      </c>
      <c r="J893" s="177">
        <f>IFERROR(IF([1]对账明细接口!$J$893=0,"",[1]对账明细接口!$J$893),"")</f>
      </c>
      <c r="K893" s="177">
        <f>IFERROR(IF([1]对账明细接口!$K$893=0,"",[1]对账明细接口!$K$893),"")</f>
      </c>
      <c r="L893" s="16">
        <f>IFERROR(IF([1]对账明细接口!$L$893=0,"",[1]对账明细接口!$L$893),"")</f>
      </c>
      <c r="M893" s="16">
        <f>IFERROR(IF([1]对账明细接口!$M$893=0,"",[1]对账明细接口!$M$893),"")</f>
      </c>
      <c r="N893" s="19">
        <f>IF($C893="",0,1)</f>
        <v>0</v>
      </c>
      <c r="O893" s="19">
        <f>N(O892)+$N893</f>
        <v>637</v>
      </c>
      <c r="S893" s="20">
        <f>IFERROR(IF([1]对账明细接口!$N893=0,"",[1]对账明细接口!$N893),"")</f>
      </c>
      <c r="T893" s="212">
        <f>IFERROR(IF([1]对账明细接口!$O893=0,"",[1]对账明细接口!$O893),"")</f>
      </c>
      <c r="U893" s="212">
        <f>IFERROR(IF([1]对账明细接口!$P893=0,"",[1]对账明细接口!$P893),"")</f>
      </c>
      <c r="V893" s="212">
        <f>IFERROR(IF([1]对账明细接口!$Q893=0,"",[1]对账明细接口!$Q893),"")</f>
      </c>
      <c r="W893" s="20">
        <f>IFERROR(IF([1]对账明细接口!$R893=0,"",[1]对账明细接口!$R893),"")</f>
      </c>
      <c r="X893" s="20">
        <f>IFERROR(IF([1]对账明细接口!$S893=0,"",[1]对账明细接口!$S893),"")</f>
      </c>
      <c r="Y893" s="20">
        <f>IFERROR(IF([1]对账明细接口!$T893=0,"",[1]对账明细接口!$T893),"")</f>
      </c>
      <c r="Z893" s="213">
        <f>IFERROR(IF([1]对账明细接口!$U893=0,"",[1]对账明细接口!$U893),"")</f>
      </c>
      <c r="AA893" s="213">
        <f>IFERROR(IF([1]对账明细接口!$V893=0,"",[1]对账明细接口!$V893),"")</f>
      </c>
      <c r="AB893" s="20">
        <f>IFERROR(IF([1]对账明细接口!$W893=0,"",[1]对账明细接口!$W893),"")</f>
      </c>
      <c r="AC893" s="7">
        <f>IFERROR(IF([1]对账明细接口!$X893=0,"",[1]对账明细接口!$X893),"")</f>
      </c>
      <c r="AD893" s="7">
        <f>IFERROR(IF([1]对账明细接口!$Y893=0,"",[1]对账明细接口!$Y893),"")</f>
      </c>
      <c r="AE893" s="7">
        <f>IFERROR(IF([1]对账明细接口!$AA893=0,"",[1]对账明细接口!$AA893),"")</f>
      </c>
      <c r="AF893" s="7">
        <f>IFERROR(IF([1]对账明细接口!$AB893=0,"",[1]对账明细接口!$AB893),"")</f>
      </c>
      <c r="AG893" s="7">
        <f>IFERROR(IF([1]对账明细接口!$AC893=0,"",[1]对账明细接口!$AC893),"")</f>
      </c>
      <c r="AH893" s="7">
        <f>IFERROR(IF([1]对账明细接口!$AD893=0,"",[1]对账明细接口!$AD893),"")</f>
      </c>
      <c r="AI893" s="7">
        <f>IFERROR(IF([1]对账明细接口!$AE893=0,"",[1]对账明细接口!$AE893),"")</f>
      </c>
      <c r="AJ893" s="7">
        <f>IFERROR(IF([1]对账明细接口!$AF893=0,"",[1]对账明细接口!$AF893),"")</f>
      </c>
    </row>
    <row r="894" ht="14.25" customHeight="1" s="127">
      <c r="A894" s="14" t="n">
        <v>894</v>
      </c>
      <c r="B894" s="211">
        <f>IFERROR(IF([1]对账明细接口!$B$894=0,"",[1]对账明细接口!$B$894),"")</f>
      </c>
      <c r="C894" s="16">
        <f>IFERROR(IF([1]对账明细接口!$C$894=0,"",[1]对账明细接口!$C$894),"")</f>
      </c>
      <c r="D894" s="16">
        <f>IFERROR(IF([1]对账明细接口!$D$894=0,"",[1]对账明细接口!$D$894),"")</f>
      </c>
      <c r="E894" s="16">
        <f>IFERROR(IF([1]对账明细接口!$E$894=0,"",[1]对账明细接口!$E$894),"")</f>
      </c>
      <c r="F894" s="16">
        <f>IFERROR(IF([1]对账明细接口!$F$894=0,"",[1]对账明细接口!$F$894),"")</f>
      </c>
      <c r="G894" s="16">
        <f>IFERROR(IF([1]对账明细接口!$G$894=0,"",[1]对账明细接口!$G$894),"")</f>
      </c>
      <c r="H894" s="176">
        <f>IFERROR(IF([1]对账明细接口!$H$894=0,"",[1]对账明细接口!$H$894),"")</f>
      </c>
      <c r="I894" s="16">
        <f>IFERROR(IF([1]对账明细接口!$I$894=0,"",[1]对账明细接口!$I$894),"")</f>
      </c>
      <c r="J894" s="177">
        <f>IFERROR(IF([1]对账明细接口!$J$894=0,"",[1]对账明细接口!$J$894),"")</f>
      </c>
      <c r="K894" s="177">
        <f>IFERROR(IF([1]对账明细接口!$K$894=0,"",[1]对账明细接口!$K$894),"")</f>
      </c>
      <c r="L894" s="16">
        <f>IFERROR(IF([1]对账明细接口!$L$894=0,"",[1]对账明细接口!$L$894),"")</f>
      </c>
      <c r="M894" s="16">
        <f>IFERROR(IF([1]对账明细接口!$M$894=0,"",[1]对账明细接口!$M$894),"")</f>
      </c>
      <c r="N894" s="19">
        <f>IF($C894="",0,1)</f>
        <v>0</v>
      </c>
      <c r="O894" s="19">
        <f>N(O893)+$N894</f>
        <v>637</v>
      </c>
      <c r="S894" s="20">
        <f>IFERROR(IF([1]对账明细接口!$N894=0,"",[1]对账明细接口!$N894),"")</f>
      </c>
      <c r="T894" s="212">
        <f>IFERROR(IF([1]对账明细接口!$O894=0,"",[1]对账明细接口!$O894),"")</f>
      </c>
      <c r="U894" s="212">
        <f>IFERROR(IF([1]对账明细接口!$P894=0,"",[1]对账明细接口!$P894),"")</f>
      </c>
      <c r="V894" s="212">
        <f>IFERROR(IF([1]对账明细接口!$Q894=0,"",[1]对账明细接口!$Q894),"")</f>
      </c>
      <c r="W894" s="20">
        <f>IFERROR(IF([1]对账明细接口!$R894=0,"",[1]对账明细接口!$R894),"")</f>
      </c>
      <c r="X894" s="20">
        <f>IFERROR(IF([1]对账明细接口!$S894=0,"",[1]对账明细接口!$S894),"")</f>
      </c>
      <c r="Y894" s="20">
        <f>IFERROR(IF([1]对账明细接口!$T894=0,"",[1]对账明细接口!$T894),"")</f>
      </c>
      <c r="Z894" s="213">
        <f>IFERROR(IF([1]对账明细接口!$U894=0,"",[1]对账明细接口!$U894),"")</f>
      </c>
      <c r="AA894" s="213">
        <f>IFERROR(IF([1]对账明细接口!$V894=0,"",[1]对账明细接口!$V894),"")</f>
      </c>
      <c r="AB894" s="20">
        <f>IFERROR(IF([1]对账明细接口!$W894=0,"",[1]对账明细接口!$W894),"")</f>
      </c>
      <c r="AC894" s="7">
        <f>IFERROR(IF([1]对账明细接口!$X894=0,"",[1]对账明细接口!$X894),"")</f>
      </c>
      <c r="AD894" s="7">
        <f>IFERROR(IF([1]对账明细接口!$Y894=0,"",[1]对账明细接口!$Y894),"")</f>
      </c>
      <c r="AE894" s="7">
        <f>IFERROR(IF([1]对账明细接口!$AA894=0,"",[1]对账明细接口!$AA894),"")</f>
      </c>
      <c r="AF894" s="7">
        <f>IFERROR(IF([1]对账明细接口!$AB894=0,"",[1]对账明细接口!$AB894),"")</f>
      </c>
      <c r="AG894" s="7">
        <f>IFERROR(IF([1]对账明细接口!$AC894=0,"",[1]对账明细接口!$AC894),"")</f>
      </c>
      <c r="AH894" s="7">
        <f>IFERROR(IF([1]对账明细接口!$AD894=0,"",[1]对账明细接口!$AD894),"")</f>
      </c>
      <c r="AI894" s="7">
        <f>IFERROR(IF([1]对账明细接口!$AE894=0,"",[1]对账明细接口!$AE894),"")</f>
      </c>
      <c r="AJ894" s="7">
        <f>IFERROR(IF([1]对账明细接口!$AF894=0,"",[1]对账明细接口!$AF894),"")</f>
      </c>
    </row>
    <row r="895" ht="14.25" customHeight="1" s="127">
      <c r="A895" s="14" t="n">
        <v>895</v>
      </c>
      <c r="B895" s="211">
        <f>IFERROR(IF([1]对账明细接口!$B$895=0,"",[1]对账明细接口!$B$895),"")</f>
      </c>
      <c r="C895" s="16">
        <f>IFERROR(IF([1]对账明细接口!$C$895=0,"",[1]对账明细接口!$C$895),"")</f>
      </c>
      <c r="D895" s="16">
        <f>IFERROR(IF([1]对账明细接口!$D$895=0,"",[1]对账明细接口!$D$895),"")</f>
      </c>
      <c r="E895" s="16">
        <f>IFERROR(IF([1]对账明细接口!$E$895=0,"",[1]对账明细接口!$E$895),"")</f>
      </c>
      <c r="F895" s="16">
        <f>IFERROR(IF([1]对账明细接口!$F$895=0,"",[1]对账明细接口!$F$895),"")</f>
      </c>
      <c r="G895" s="16">
        <f>IFERROR(IF([1]对账明细接口!$G$895=0,"",[1]对账明细接口!$G$895),"")</f>
      </c>
      <c r="H895" s="176">
        <f>IFERROR(IF([1]对账明细接口!$H$895=0,"",[1]对账明细接口!$H$895),"")</f>
      </c>
      <c r="I895" s="16">
        <f>IFERROR(IF([1]对账明细接口!$I$895=0,"",[1]对账明细接口!$I$895),"")</f>
      </c>
      <c r="J895" s="177">
        <f>IFERROR(IF([1]对账明细接口!$J$895=0,"",[1]对账明细接口!$J$895),"")</f>
      </c>
      <c r="K895" s="177">
        <f>IFERROR(IF([1]对账明细接口!$K$895=0,"",[1]对账明细接口!$K$895),"")</f>
      </c>
      <c r="L895" s="16">
        <f>IFERROR(IF([1]对账明细接口!$L$895=0,"",[1]对账明细接口!$L$895),"")</f>
      </c>
      <c r="M895" s="16">
        <f>IFERROR(IF([1]对账明细接口!$M$895=0,"",[1]对账明细接口!$M$895),"")</f>
      </c>
      <c r="N895" s="19">
        <f>IF($C895="",0,1)</f>
        <v>0</v>
      </c>
      <c r="O895" s="19">
        <f>N(O894)+$N895</f>
        <v>637</v>
      </c>
      <c r="S895" s="20">
        <f>IFERROR(IF([1]对账明细接口!$N895=0,"",[1]对账明细接口!$N895),"")</f>
      </c>
      <c r="T895" s="212">
        <f>IFERROR(IF([1]对账明细接口!$O895=0,"",[1]对账明细接口!$O895),"")</f>
      </c>
      <c r="U895" s="212">
        <f>IFERROR(IF([1]对账明细接口!$P895=0,"",[1]对账明细接口!$P895),"")</f>
      </c>
      <c r="V895" s="212">
        <f>IFERROR(IF([1]对账明细接口!$Q895=0,"",[1]对账明细接口!$Q895),"")</f>
      </c>
      <c r="W895" s="20">
        <f>IFERROR(IF([1]对账明细接口!$R895=0,"",[1]对账明细接口!$R895),"")</f>
      </c>
      <c r="X895" s="20">
        <f>IFERROR(IF([1]对账明细接口!$S895=0,"",[1]对账明细接口!$S895),"")</f>
      </c>
      <c r="Y895" s="20">
        <f>IFERROR(IF([1]对账明细接口!$T895=0,"",[1]对账明细接口!$T895),"")</f>
      </c>
      <c r="Z895" s="213">
        <f>IFERROR(IF([1]对账明细接口!$U895=0,"",[1]对账明细接口!$U895),"")</f>
      </c>
      <c r="AA895" s="213">
        <f>IFERROR(IF([1]对账明细接口!$V895=0,"",[1]对账明细接口!$V895),"")</f>
      </c>
      <c r="AB895" s="20">
        <f>IFERROR(IF([1]对账明细接口!$W895=0,"",[1]对账明细接口!$W895),"")</f>
      </c>
      <c r="AC895" s="7">
        <f>IFERROR(IF([1]对账明细接口!$X895=0,"",[1]对账明细接口!$X895),"")</f>
      </c>
      <c r="AD895" s="7">
        <f>IFERROR(IF([1]对账明细接口!$Y895=0,"",[1]对账明细接口!$Y895),"")</f>
      </c>
      <c r="AE895" s="7">
        <f>IFERROR(IF([1]对账明细接口!$AA895=0,"",[1]对账明细接口!$AA895),"")</f>
      </c>
      <c r="AF895" s="7">
        <f>IFERROR(IF([1]对账明细接口!$AB895=0,"",[1]对账明细接口!$AB895),"")</f>
      </c>
      <c r="AG895" s="7">
        <f>IFERROR(IF([1]对账明细接口!$AC895=0,"",[1]对账明细接口!$AC895),"")</f>
      </c>
      <c r="AH895" s="7">
        <f>IFERROR(IF([1]对账明细接口!$AD895=0,"",[1]对账明细接口!$AD895),"")</f>
      </c>
      <c r="AI895" s="7">
        <f>IFERROR(IF([1]对账明细接口!$AE895=0,"",[1]对账明细接口!$AE895),"")</f>
      </c>
      <c r="AJ895" s="7">
        <f>IFERROR(IF([1]对账明细接口!$AF895=0,"",[1]对账明细接口!$AF895),"")</f>
      </c>
    </row>
    <row r="896" ht="14.25" customHeight="1" s="127">
      <c r="A896" s="14" t="n">
        <v>896</v>
      </c>
      <c r="B896" s="211">
        <f>IFERROR(IF([1]对账明细接口!$B$896=0,"",[1]对账明细接口!$B$896),"")</f>
      </c>
      <c r="C896" s="16">
        <f>IFERROR(IF([1]对账明细接口!$C$896=0,"",[1]对账明细接口!$C$896),"")</f>
      </c>
      <c r="D896" s="16">
        <f>IFERROR(IF([1]对账明细接口!$D$896=0,"",[1]对账明细接口!$D$896),"")</f>
      </c>
      <c r="E896" s="16">
        <f>IFERROR(IF([1]对账明细接口!$E$896=0,"",[1]对账明细接口!$E$896),"")</f>
      </c>
      <c r="F896" s="16">
        <f>IFERROR(IF([1]对账明细接口!$F$896=0,"",[1]对账明细接口!$F$896),"")</f>
      </c>
      <c r="G896" s="16">
        <f>IFERROR(IF([1]对账明细接口!$G$896=0,"",[1]对账明细接口!$G$896),"")</f>
      </c>
      <c r="H896" s="176">
        <f>IFERROR(IF([1]对账明细接口!$H$896=0,"",[1]对账明细接口!$H$896),"")</f>
      </c>
      <c r="I896" s="16">
        <f>IFERROR(IF([1]对账明细接口!$I$896=0,"",[1]对账明细接口!$I$896),"")</f>
      </c>
      <c r="J896" s="177">
        <f>IFERROR(IF([1]对账明细接口!$J$896=0,"",[1]对账明细接口!$J$896),"")</f>
      </c>
      <c r="K896" s="177">
        <f>IFERROR(IF([1]对账明细接口!$K$896=0,"",[1]对账明细接口!$K$896),"")</f>
      </c>
      <c r="L896" s="16">
        <f>IFERROR(IF([1]对账明细接口!$L$896=0,"",[1]对账明细接口!$L$896),"")</f>
      </c>
      <c r="M896" s="16">
        <f>IFERROR(IF([1]对账明细接口!$M$896=0,"",[1]对账明细接口!$M$896),"")</f>
      </c>
      <c r="N896" s="19">
        <f>IF($C896="",0,1)</f>
        <v>0</v>
      </c>
      <c r="O896" s="19">
        <f>N(O895)+$N896</f>
        <v>637</v>
      </c>
      <c r="S896" s="20">
        <f>IFERROR(IF([1]对账明细接口!$N896=0,"",[1]对账明细接口!$N896),"")</f>
      </c>
      <c r="T896" s="212">
        <f>IFERROR(IF([1]对账明细接口!$O896=0,"",[1]对账明细接口!$O896),"")</f>
      </c>
      <c r="U896" s="212">
        <f>IFERROR(IF([1]对账明细接口!$P896=0,"",[1]对账明细接口!$P896),"")</f>
      </c>
      <c r="V896" s="212">
        <f>IFERROR(IF([1]对账明细接口!$Q896=0,"",[1]对账明细接口!$Q896),"")</f>
      </c>
      <c r="W896" s="20">
        <f>IFERROR(IF([1]对账明细接口!$R896=0,"",[1]对账明细接口!$R896),"")</f>
      </c>
      <c r="X896" s="20">
        <f>IFERROR(IF([1]对账明细接口!$S896=0,"",[1]对账明细接口!$S896),"")</f>
      </c>
      <c r="Y896" s="20">
        <f>IFERROR(IF([1]对账明细接口!$T896=0,"",[1]对账明细接口!$T896),"")</f>
      </c>
      <c r="Z896" s="213">
        <f>IFERROR(IF([1]对账明细接口!$U896=0,"",[1]对账明细接口!$U896),"")</f>
      </c>
      <c r="AA896" s="213">
        <f>IFERROR(IF([1]对账明细接口!$V896=0,"",[1]对账明细接口!$V896),"")</f>
      </c>
      <c r="AB896" s="20">
        <f>IFERROR(IF([1]对账明细接口!$W896=0,"",[1]对账明细接口!$W896),"")</f>
      </c>
      <c r="AC896" s="7">
        <f>IFERROR(IF([1]对账明细接口!$X896=0,"",[1]对账明细接口!$X896),"")</f>
      </c>
      <c r="AD896" s="7">
        <f>IFERROR(IF([1]对账明细接口!$Y896=0,"",[1]对账明细接口!$Y896),"")</f>
      </c>
      <c r="AE896" s="7">
        <f>IFERROR(IF([1]对账明细接口!$AA896=0,"",[1]对账明细接口!$AA896),"")</f>
      </c>
      <c r="AF896" s="7">
        <f>IFERROR(IF([1]对账明细接口!$AB896=0,"",[1]对账明细接口!$AB896),"")</f>
      </c>
      <c r="AG896" s="7">
        <f>IFERROR(IF([1]对账明细接口!$AC896=0,"",[1]对账明细接口!$AC896),"")</f>
      </c>
      <c r="AH896" s="7">
        <f>IFERROR(IF([1]对账明细接口!$AD896=0,"",[1]对账明细接口!$AD896),"")</f>
      </c>
      <c r="AI896" s="7">
        <f>IFERROR(IF([1]对账明细接口!$AE896=0,"",[1]对账明细接口!$AE896),"")</f>
      </c>
      <c r="AJ896" s="7">
        <f>IFERROR(IF([1]对账明细接口!$AF896=0,"",[1]对账明细接口!$AF896),"")</f>
      </c>
    </row>
    <row r="897" ht="14.25" customHeight="1" s="127">
      <c r="A897" s="14" t="n">
        <v>897</v>
      </c>
      <c r="B897" s="211">
        <f>IFERROR(IF([1]对账明细接口!$B$897=0,"",[1]对账明细接口!$B$897),"")</f>
      </c>
      <c r="C897" s="16">
        <f>IFERROR(IF([1]对账明细接口!$C$897=0,"",[1]对账明细接口!$C$897),"")</f>
      </c>
      <c r="D897" s="16">
        <f>IFERROR(IF([1]对账明细接口!$D$897=0,"",[1]对账明细接口!$D$897),"")</f>
      </c>
      <c r="E897" s="16">
        <f>IFERROR(IF([1]对账明细接口!$E$897=0,"",[1]对账明细接口!$E$897),"")</f>
      </c>
      <c r="F897" s="16">
        <f>IFERROR(IF([1]对账明细接口!$F$897=0,"",[1]对账明细接口!$F$897),"")</f>
      </c>
      <c r="G897" s="16">
        <f>IFERROR(IF([1]对账明细接口!$G$897=0,"",[1]对账明细接口!$G$897),"")</f>
      </c>
      <c r="H897" s="176">
        <f>IFERROR(IF([1]对账明细接口!$H$897=0,"",[1]对账明细接口!$H$897),"")</f>
      </c>
      <c r="I897" s="16">
        <f>IFERROR(IF([1]对账明细接口!$I$897=0,"",[1]对账明细接口!$I$897),"")</f>
      </c>
      <c r="J897" s="177">
        <f>IFERROR(IF([1]对账明细接口!$J$897=0,"",[1]对账明细接口!$J$897),"")</f>
      </c>
      <c r="K897" s="177">
        <f>IFERROR(IF([1]对账明细接口!$K$897=0,"",[1]对账明细接口!$K$897),"")</f>
      </c>
      <c r="L897" s="16">
        <f>IFERROR(IF([1]对账明细接口!$L$897=0,"",[1]对账明细接口!$L$897),"")</f>
      </c>
      <c r="M897" s="16">
        <f>IFERROR(IF([1]对账明细接口!$M$897=0,"",[1]对账明细接口!$M$897),"")</f>
      </c>
      <c r="N897" s="19">
        <f>IF($C897="",0,1)</f>
        <v>0</v>
      </c>
      <c r="O897" s="19">
        <f>N(O896)+$N897</f>
        <v>637</v>
      </c>
      <c r="S897" s="20">
        <f>IFERROR(IF([1]对账明细接口!$N897=0,"",[1]对账明细接口!$N897),"")</f>
      </c>
      <c r="T897" s="212">
        <f>IFERROR(IF([1]对账明细接口!$O897=0,"",[1]对账明细接口!$O897),"")</f>
      </c>
      <c r="U897" s="212">
        <f>IFERROR(IF([1]对账明细接口!$P897=0,"",[1]对账明细接口!$P897),"")</f>
      </c>
      <c r="V897" s="212">
        <f>IFERROR(IF([1]对账明细接口!$Q897=0,"",[1]对账明细接口!$Q897),"")</f>
      </c>
      <c r="W897" s="20">
        <f>IFERROR(IF([1]对账明细接口!$R897=0,"",[1]对账明细接口!$R897),"")</f>
      </c>
      <c r="X897" s="20">
        <f>IFERROR(IF([1]对账明细接口!$S897=0,"",[1]对账明细接口!$S897),"")</f>
      </c>
      <c r="Y897" s="20">
        <f>IFERROR(IF([1]对账明细接口!$T897=0,"",[1]对账明细接口!$T897),"")</f>
      </c>
      <c r="Z897" s="213">
        <f>IFERROR(IF([1]对账明细接口!$U897=0,"",[1]对账明细接口!$U897),"")</f>
      </c>
      <c r="AA897" s="213">
        <f>IFERROR(IF([1]对账明细接口!$V897=0,"",[1]对账明细接口!$V897),"")</f>
      </c>
      <c r="AB897" s="20">
        <f>IFERROR(IF([1]对账明细接口!$W897=0,"",[1]对账明细接口!$W897),"")</f>
      </c>
      <c r="AC897" s="7">
        <f>IFERROR(IF([1]对账明细接口!$X897=0,"",[1]对账明细接口!$X897),"")</f>
      </c>
      <c r="AD897" s="7">
        <f>IFERROR(IF([1]对账明细接口!$Y897=0,"",[1]对账明细接口!$Y897),"")</f>
      </c>
      <c r="AE897" s="7">
        <f>IFERROR(IF([1]对账明细接口!$AA897=0,"",[1]对账明细接口!$AA897),"")</f>
      </c>
      <c r="AF897" s="7">
        <f>IFERROR(IF([1]对账明细接口!$AB897=0,"",[1]对账明细接口!$AB897),"")</f>
      </c>
      <c r="AG897" s="7">
        <f>IFERROR(IF([1]对账明细接口!$AC897=0,"",[1]对账明细接口!$AC897),"")</f>
      </c>
      <c r="AH897" s="7">
        <f>IFERROR(IF([1]对账明细接口!$AD897=0,"",[1]对账明细接口!$AD897),"")</f>
      </c>
      <c r="AI897" s="7">
        <f>IFERROR(IF([1]对账明细接口!$AE897=0,"",[1]对账明细接口!$AE897),"")</f>
      </c>
      <c r="AJ897" s="7">
        <f>IFERROR(IF([1]对账明细接口!$AF897=0,"",[1]对账明细接口!$AF897),"")</f>
      </c>
    </row>
    <row r="898" ht="14.25" customHeight="1" s="127">
      <c r="A898" s="14" t="n">
        <v>898</v>
      </c>
      <c r="B898" s="211">
        <f>IFERROR(IF([1]对账明细接口!$B$898=0,"",[1]对账明细接口!$B$898),"")</f>
      </c>
      <c r="C898" s="16">
        <f>IFERROR(IF([1]对账明细接口!$C$898=0,"",[1]对账明细接口!$C$898),"")</f>
      </c>
      <c r="D898" s="16">
        <f>IFERROR(IF([1]对账明细接口!$D$898=0,"",[1]对账明细接口!$D$898),"")</f>
      </c>
      <c r="E898" s="16">
        <f>IFERROR(IF([1]对账明细接口!$E$898=0,"",[1]对账明细接口!$E$898),"")</f>
      </c>
      <c r="F898" s="16">
        <f>IFERROR(IF([1]对账明细接口!$F$898=0,"",[1]对账明细接口!$F$898),"")</f>
      </c>
      <c r="G898" s="16">
        <f>IFERROR(IF([1]对账明细接口!$G$898=0,"",[1]对账明细接口!$G$898),"")</f>
      </c>
      <c r="H898" s="176">
        <f>IFERROR(IF([1]对账明细接口!$H$898=0,"",[1]对账明细接口!$H$898),"")</f>
      </c>
      <c r="I898" s="16">
        <f>IFERROR(IF([1]对账明细接口!$I$898=0,"",[1]对账明细接口!$I$898),"")</f>
      </c>
      <c r="J898" s="177">
        <f>IFERROR(IF([1]对账明细接口!$J$898=0,"",[1]对账明细接口!$J$898),"")</f>
      </c>
      <c r="K898" s="177">
        <f>IFERROR(IF([1]对账明细接口!$K$898=0,"",[1]对账明细接口!$K$898),"")</f>
      </c>
      <c r="L898" s="16">
        <f>IFERROR(IF([1]对账明细接口!$L$898=0,"",[1]对账明细接口!$L$898),"")</f>
      </c>
      <c r="M898" s="16">
        <f>IFERROR(IF([1]对账明细接口!$M$898=0,"",[1]对账明细接口!$M$898),"")</f>
      </c>
      <c r="N898" s="19">
        <f>IF($C898="",0,1)</f>
        <v>0</v>
      </c>
      <c r="O898" s="19">
        <f>N(O897)+$N898</f>
        <v>637</v>
      </c>
      <c r="S898" s="20">
        <f>IFERROR(IF([1]对账明细接口!$N898=0,"",[1]对账明细接口!$N898),"")</f>
      </c>
      <c r="T898" s="212">
        <f>IFERROR(IF([1]对账明细接口!$O898=0,"",[1]对账明细接口!$O898),"")</f>
      </c>
      <c r="U898" s="212">
        <f>IFERROR(IF([1]对账明细接口!$P898=0,"",[1]对账明细接口!$P898),"")</f>
      </c>
      <c r="V898" s="212">
        <f>IFERROR(IF([1]对账明细接口!$Q898=0,"",[1]对账明细接口!$Q898),"")</f>
      </c>
      <c r="W898" s="20">
        <f>IFERROR(IF([1]对账明细接口!$R898=0,"",[1]对账明细接口!$R898),"")</f>
      </c>
      <c r="X898" s="20">
        <f>IFERROR(IF([1]对账明细接口!$S898=0,"",[1]对账明细接口!$S898),"")</f>
      </c>
      <c r="Y898" s="20">
        <f>IFERROR(IF([1]对账明细接口!$T898=0,"",[1]对账明细接口!$T898),"")</f>
      </c>
      <c r="Z898" s="213">
        <f>IFERROR(IF([1]对账明细接口!$U898=0,"",[1]对账明细接口!$U898),"")</f>
      </c>
      <c r="AA898" s="213">
        <f>IFERROR(IF([1]对账明细接口!$V898=0,"",[1]对账明细接口!$V898),"")</f>
      </c>
      <c r="AB898" s="20">
        <f>IFERROR(IF([1]对账明细接口!$W898=0,"",[1]对账明细接口!$W898),"")</f>
      </c>
      <c r="AC898" s="7">
        <f>IFERROR(IF([1]对账明细接口!$X898=0,"",[1]对账明细接口!$X898),"")</f>
      </c>
      <c r="AD898" s="7">
        <f>IFERROR(IF([1]对账明细接口!$Y898=0,"",[1]对账明细接口!$Y898),"")</f>
      </c>
      <c r="AE898" s="7">
        <f>IFERROR(IF([1]对账明细接口!$AA898=0,"",[1]对账明细接口!$AA898),"")</f>
      </c>
      <c r="AF898" s="7">
        <f>IFERROR(IF([1]对账明细接口!$AB898=0,"",[1]对账明细接口!$AB898),"")</f>
      </c>
      <c r="AG898" s="7">
        <f>IFERROR(IF([1]对账明细接口!$AC898=0,"",[1]对账明细接口!$AC898),"")</f>
      </c>
      <c r="AH898" s="7">
        <f>IFERROR(IF([1]对账明细接口!$AD898=0,"",[1]对账明细接口!$AD898),"")</f>
      </c>
      <c r="AI898" s="7">
        <f>IFERROR(IF([1]对账明细接口!$AE898=0,"",[1]对账明细接口!$AE898),"")</f>
      </c>
      <c r="AJ898" s="7">
        <f>IFERROR(IF([1]对账明细接口!$AF898=0,"",[1]对账明细接口!$AF898),"")</f>
      </c>
    </row>
    <row r="899" ht="14.25" customHeight="1" s="127">
      <c r="A899" s="14" t="n">
        <v>899</v>
      </c>
      <c r="B899" s="211">
        <f>IFERROR(IF([1]对账明细接口!$B$899=0,"",[1]对账明细接口!$B$899),"")</f>
      </c>
      <c r="C899" s="16">
        <f>IFERROR(IF([1]对账明细接口!$C$899=0,"",[1]对账明细接口!$C$899),"")</f>
      </c>
      <c r="D899" s="16">
        <f>IFERROR(IF([1]对账明细接口!$D$899=0,"",[1]对账明细接口!$D$899),"")</f>
      </c>
      <c r="E899" s="16">
        <f>IFERROR(IF([1]对账明细接口!$E$899=0,"",[1]对账明细接口!$E$899),"")</f>
      </c>
      <c r="F899" s="16">
        <f>IFERROR(IF([1]对账明细接口!$F$899=0,"",[1]对账明细接口!$F$899),"")</f>
      </c>
      <c r="G899" s="16">
        <f>IFERROR(IF([1]对账明细接口!$G$899=0,"",[1]对账明细接口!$G$899),"")</f>
      </c>
      <c r="H899" s="176">
        <f>IFERROR(IF([1]对账明细接口!$H$899=0,"",[1]对账明细接口!$H$899),"")</f>
      </c>
      <c r="I899" s="16">
        <f>IFERROR(IF([1]对账明细接口!$I$899=0,"",[1]对账明细接口!$I$899),"")</f>
      </c>
      <c r="J899" s="177">
        <f>IFERROR(IF([1]对账明细接口!$J$899=0,"",[1]对账明细接口!$J$899),"")</f>
      </c>
      <c r="K899" s="177">
        <f>IFERROR(IF([1]对账明细接口!$K$899=0,"",[1]对账明细接口!$K$899),"")</f>
      </c>
      <c r="L899" s="16">
        <f>IFERROR(IF([1]对账明细接口!$L$899=0,"",[1]对账明细接口!$L$899),"")</f>
      </c>
      <c r="M899" s="16">
        <f>IFERROR(IF([1]对账明细接口!$M$899=0,"",[1]对账明细接口!$M$899),"")</f>
      </c>
      <c r="N899" s="19">
        <f>IF($C899="",0,1)</f>
        <v>0</v>
      </c>
      <c r="O899" s="19">
        <f>N(O898)+$N899</f>
        <v>637</v>
      </c>
      <c r="S899" s="20">
        <f>IFERROR(IF([1]对账明细接口!$N899=0,"",[1]对账明细接口!$N899),"")</f>
      </c>
      <c r="T899" s="212">
        <f>IFERROR(IF([1]对账明细接口!$O899=0,"",[1]对账明细接口!$O899),"")</f>
      </c>
      <c r="U899" s="212">
        <f>IFERROR(IF([1]对账明细接口!$P899=0,"",[1]对账明细接口!$P899),"")</f>
      </c>
      <c r="V899" s="212">
        <f>IFERROR(IF([1]对账明细接口!$Q899=0,"",[1]对账明细接口!$Q899),"")</f>
      </c>
      <c r="W899" s="20">
        <f>IFERROR(IF([1]对账明细接口!$R899=0,"",[1]对账明细接口!$R899),"")</f>
      </c>
      <c r="X899" s="20">
        <f>IFERROR(IF([1]对账明细接口!$S899=0,"",[1]对账明细接口!$S899),"")</f>
      </c>
      <c r="Y899" s="20">
        <f>IFERROR(IF([1]对账明细接口!$T899=0,"",[1]对账明细接口!$T899),"")</f>
      </c>
      <c r="Z899" s="213">
        <f>IFERROR(IF([1]对账明细接口!$U899=0,"",[1]对账明细接口!$U899),"")</f>
      </c>
      <c r="AA899" s="213">
        <f>IFERROR(IF([1]对账明细接口!$V899=0,"",[1]对账明细接口!$V899),"")</f>
      </c>
      <c r="AB899" s="20">
        <f>IFERROR(IF([1]对账明细接口!$W899=0,"",[1]对账明细接口!$W899),"")</f>
      </c>
      <c r="AC899" s="7">
        <f>IFERROR(IF([1]对账明细接口!$X899=0,"",[1]对账明细接口!$X899),"")</f>
      </c>
      <c r="AD899" s="7">
        <f>IFERROR(IF([1]对账明细接口!$Y899=0,"",[1]对账明细接口!$Y899),"")</f>
      </c>
      <c r="AE899" s="7">
        <f>IFERROR(IF([1]对账明细接口!$AA899=0,"",[1]对账明细接口!$AA899),"")</f>
      </c>
      <c r="AF899" s="7">
        <f>IFERROR(IF([1]对账明细接口!$AB899=0,"",[1]对账明细接口!$AB899),"")</f>
      </c>
      <c r="AG899" s="7">
        <f>IFERROR(IF([1]对账明细接口!$AC899=0,"",[1]对账明细接口!$AC899),"")</f>
      </c>
      <c r="AH899" s="7">
        <f>IFERROR(IF([1]对账明细接口!$AD899=0,"",[1]对账明细接口!$AD899),"")</f>
      </c>
      <c r="AI899" s="7">
        <f>IFERROR(IF([1]对账明细接口!$AE899=0,"",[1]对账明细接口!$AE899),"")</f>
      </c>
      <c r="AJ899" s="7">
        <f>IFERROR(IF([1]对账明细接口!$AF899=0,"",[1]对账明细接口!$AF899),"")</f>
      </c>
    </row>
    <row r="900" ht="14.25" customHeight="1" s="127">
      <c r="A900" s="14" t="n">
        <v>900</v>
      </c>
      <c r="B900" s="211">
        <f>IFERROR(IF([1]对账明细接口!$B$900=0,"",[1]对账明细接口!$B$900),"")</f>
      </c>
      <c r="C900" s="16">
        <f>IFERROR(IF([1]对账明细接口!$C$900=0,"",[1]对账明细接口!$C$900),"")</f>
      </c>
      <c r="D900" s="16">
        <f>IFERROR(IF([1]对账明细接口!$D$900=0,"",[1]对账明细接口!$D$900),"")</f>
      </c>
      <c r="E900" s="16">
        <f>IFERROR(IF([1]对账明细接口!$E$900=0,"",[1]对账明细接口!$E$900),"")</f>
      </c>
      <c r="F900" s="16">
        <f>IFERROR(IF([1]对账明细接口!$F$900=0,"",[1]对账明细接口!$F$900),"")</f>
      </c>
      <c r="G900" s="16">
        <f>IFERROR(IF([1]对账明细接口!$G$900=0,"",[1]对账明细接口!$G$900),"")</f>
      </c>
      <c r="H900" s="176">
        <f>IFERROR(IF([1]对账明细接口!$H$900=0,"",[1]对账明细接口!$H$900),"")</f>
      </c>
      <c r="I900" s="16">
        <f>IFERROR(IF([1]对账明细接口!$I$900=0,"",[1]对账明细接口!$I$900),"")</f>
      </c>
      <c r="J900" s="177">
        <f>IFERROR(IF([1]对账明细接口!$J$900=0,"",[1]对账明细接口!$J$900),"")</f>
      </c>
      <c r="K900" s="177">
        <f>IFERROR(IF([1]对账明细接口!$K$900=0,"",[1]对账明细接口!$K$900),"")</f>
      </c>
      <c r="L900" s="16">
        <f>IFERROR(IF([1]对账明细接口!$L$900=0,"",[1]对账明细接口!$L$900),"")</f>
      </c>
      <c r="M900" s="16">
        <f>IFERROR(IF([1]对账明细接口!$M$900=0,"",[1]对账明细接口!$M$900),"")</f>
      </c>
      <c r="N900" s="19">
        <f>IF($C900="",0,1)</f>
        <v>0</v>
      </c>
      <c r="O900" s="19">
        <f>N(O899)+$N900</f>
        <v>637</v>
      </c>
      <c r="S900" s="20">
        <f>IFERROR(IF([1]对账明细接口!$N900=0,"",[1]对账明细接口!$N900),"")</f>
      </c>
      <c r="T900" s="212">
        <f>IFERROR(IF([1]对账明细接口!$O900=0,"",[1]对账明细接口!$O900),"")</f>
      </c>
      <c r="U900" s="212">
        <f>IFERROR(IF([1]对账明细接口!$P900=0,"",[1]对账明细接口!$P900),"")</f>
      </c>
      <c r="V900" s="212">
        <f>IFERROR(IF([1]对账明细接口!$Q900=0,"",[1]对账明细接口!$Q900),"")</f>
      </c>
      <c r="W900" s="20">
        <f>IFERROR(IF([1]对账明细接口!$R900=0,"",[1]对账明细接口!$R900),"")</f>
      </c>
      <c r="X900" s="20">
        <f>IFERROR(IF([1]对账明细接口!$S900=0,"",[1]对账明细接口!$S900),"")</f>
      </c>
      <c r="Y900" s="20">
        <f>IFERROR(IF([1]对账明细接口!$T900=0,"",[1]对账明细接口!$T900),"")</f>
      </c>
      <c r="Z900" s="213">
        <f>IFERROR(IF([1]对账明细接口!$U900=0,"",[1]对账明细接口!$U900),"")</f>
      </c>
      <c r="AA900" s="213">
        <f>IFERROR(IF([1]对账明细接口!$V900=0,"",[1]对账明细接口!$V900),"")</f>
      </c>
      <c r="AB900" s="20">
        <f>IFERROR(IF([1]对账明细接口!$W900=0,"",[1]对账明细接口!$W900),"")</f>
      </c>
      <c r="AC900" s="7">
        <f>IFERROR(IF([1]对账明细接口!$X900=0,"",[1]对账明细接口!$X900),"")</f>
      </c>
      <c r="AD900" s="7">
        <f>IFERROR(IF([1]对账明细接口!$Y900=0,"",[1]对账明细接口!$Y900),"")</f>
      </c>
      <c r="AE900" s="7">
        <f>IFERROR(IF([1]对账明细接口!$AA900=0,"",[1]对账明细接口!$AA900),"")</f>
      </c>
      <c r="AF900" s="7">
        <f>IFERROR(IF([1]对账明细接口!$AB900=0,"",[1]对账明细接口!$AB900),"")</f>
      </c>
      <c r="AG900" s="7">
        <f>IFERROR(IF([1]对账明细接口!$AC900=0,"",[1]对账明细接口!$AC900),"")</f>
      </c>
      <c r="AH900" s="7">
        <f>IFERROR(IF([1]对账明细接口!$AD900=0,"",[1]对账明细接口!$AD900),"")</f>
      </c>
      <c r="AI900" s="7">
        <f>IFERROR(IF([1]对账明细接口!$AE900=0,"",[1]对账明细接口!$AE900),"")</f>
      </c>
      <c r="AJ900" s="7">
        <f>IFERROR(IF([1]对账明细接口!$AF900=0,"",[1]对账明细接口!$AF900),"")</f>
      </c>
    </row>
    <row r="901" ht="14.25" customHeight="1" s="127">
      <c r="A901" s="14" t="n">
        <v>901</v>
      </c>
      <c r="B901" s="211">
        <f>IFERROR(IF([1]对账明细接口!$B$901=0,"",[1]对账明细接口!$B$901),"")</f>
      </c>
      <c r="C901" s="16">
        <f>IFERROR(IF([1]对账明细接口!$C$901=0,"",[1]对账明细接口!$C$901),"")</f>
      </c>
      <c r="D901" s="16">
        <f>IFERROR(IF([1]对账明细接口!$D$901=0,"",[1]对账明细接口!$D$901),"")</f>
      </c>
      <c r="E901" s="16">
        <f>IFERROR(IF([1]对账明细接口!$E$901=0,"",[1]对账明细接口!$E$901),"")</f>
      </c>
      <c r="F901" s="16">
        <f>IFERROR(IF([1]对账明细接口!$F$901=0,"",[1]对账明细接口!$F$901),"")</f>
      </c>
      <c r="G901" s="16">
        <f>IFERROR(IF([1]对账明细接口!$G$901=0,"",[1]对账明细接口!$G$901),"")</f>
      </c>
      <c r="H901" s="176">
        <f>IFERROR(IF([1]对账明细接口!$H$901=0,"",[1]对账明细接口!$H$901),"")</f>
      </c>
      <c r="I901" s="16">
        <f>IFERROR(IF([1]对账明细接口!$I$901=0,"",[1]对账明细接口!$I$901),"")</f>
      </c>
      <c r="J901" s="177">
        <f>IFERROR(IF([1]对账明细接口!$J$901=0,"",[1]对账明细接口!$J$901),"")</f>
      </c>
      <c r="K901" s="177">
        <f>IFERROR(IF([1]对账明细接口!$K$901=0,"",[1]对账明细接口!$K$901),"")</f>
      </c>
      <c r="L901" s="16">
        <f>IFERROR(IF([1]对账明细接口!$L$901=0,"",[1]对账明细接口!$L$901),"")</f>
      </c>
      <c r="M901" s="16">
        <f>IFERROR(IF([1]对账明细接口!$M$901=0,"",[1]对账明细接口!$M$901),"")</f>
      </c>
      <c r="N901" s="19">
        <f>IF($C901="",0,1)</f>
        <v>0</v>
      </c>
      <c r="O901" s="19">
        <f>N(O900)+$N901</f>
        <v>637</v>
      </c>
      <c r="S901" s="20">
        <f>IFERROR(IF([1]对账明细接口!$N901=0,"",[1]对账明细接口!$N901),"")</f>
      </c>
      <c r="T901" s="212">
        <f>IFERROR(IF([1]对账明细接口!$O901=0,"",[1]对账明细接口!$O901),"")</f>
      </c>
      <c r="U901" s="212">
        <f>IFERROR(IF([1]对账明细接口!$P901=0,"",[1]对账明细接口!$P901),"")</f>
      </c>
      <c r="V901" s="212">
        <f>IFERROR(IF([1]对账明细接口!$Q901=0,"",[1]对账明细接口!$Q901),"")</f>
      </c>
      <c r="W901" s="20">
        <f>IFERROR(IF([1]对账明细接口!$R901=0,"",[1]对账明细接口!$R901),"")</f>
      </c>
      <c r="X901" s="20">
        <f>IFERROR(IF([1]对账明细接口!$S901=0,"",[1]对账明细接口!$S901),"")</f>
      </c>
      <c r="Y901" s="20">
        <f>IFERROR(IF([1]对账明细接口!$T901=0,"",[1]对账明细接口!$T901),"")</f>
      </c>
      <c r="Z901" s="213">
        <f>IFERROR(IF([1]对账明细接口!$U901=0,"",[1]对账明细接口!$U901),"")</f>
      </c>
      <c r="AA901" s="213">
        <f>IFERROR(IF([1]对账明细接口!$V901=0,"",[1]对账明细接口!$V901),"")</f>
      </c>
      <c r="AB901" s="20">
        <f>IFERROR(IF([1]对账明细接口!$W901=0,"",[1]对账明细接口!$W901),"")</f>
      </c>
      <c r="AC901" s="7">
        <f>IFERROR(IF([1]对账明细接口!$X901=0,"",[1]对账明细接口!$X901),"")</f>
      </c>
      <c r="AD901" s="7">
        <f>IFERROR(IF([1]对账明细接口!$Y901=0,"",[1]对账明细接口!$Y901),"")</f>
      </c>
      <c r="AE901" s="7">
        <f>IFERROR(IF([1]对账明细接口!$AA901=0,"",[1]对账明细接口!$AA901),"")</f>
      </c>
      <c r="AF901" s="7">
        <f>IFERROR(IF([1]对账明细接口!$AB901=0,"",[1]对账明细接口!$AB901),"")</f>
      </c>
      <c r="AG901" s="7">
        <f>IFERROR(IF([1]对账明细接口!$AC901=0,"",[1]对账明细接口!$AC901),"")</f>
      </c>
      <c r="AH901" s="7">
        <f>IFERROR(IF([1]对账明细接口!$AD901=0,"",[1]对账明细接口!$AD901),"")</f>
      </c>
      <c r="AI901" s="7">
        <f>IFERROR(IF([1]对账明细接口!$AE901=0,"",[1]对账明细接口!$AE901),"")</f>
      </c>
      <c r="AJ901" s="7">
        <f>IFERROR(IF([1]对账明细接口!$AF901=0,"",[1]对账明细接口!$AF901),"")</f>
      </c>
    </row>
    <row r="902" ht="14.25" customHeight="1" s="127">
      <c r="A902" s="14" t="n">
        <v>902</v>
      </c>
      <c r="B902" s="211">
        <f>IFERROR(IF([1]对账明细接口!$B$902=0,"",[1]对账明细接口!$B$902),"")</f>
      </c>
      <c r="C902" s="16">
        <f>IFERROR(IF([1]对账明细接口!$C$902=0,"",[1]对账明细接口!$C$902),"")</f>
      </c>
      <c r="D902" s="16">
        <f>IFERROR(IF([1]对账明细接口!$D$902=0,"",[1]对账明细接口!$D$902),"")</f>
      </c>
      <c r="E902" s="16">
        <f>IFERROR(IF([1]对账明细接口!$E$902=0,"",[1]对账明细接口!$E$902),"")</f>
      </c>
      <c r="F902" s="16">
        <f>IFERROR(IF([1]对账明细接口!$F$902=0,"",[1]对账明细接口!$F$902),"")</f>
      </c>
      <c r="G902" s="16">
        <f>IFERROR(IF([1]对账明细接口!$G$902=0,"",[1]对账明细接口!$G$902),"")</f>
      </c>
      <c r="H902" s="176">
        <f>IFERROR(IF([1]对账明细接口!$H$902=0,"",[1]对账明细接口!$H$902),"")</f>
      </c>
      <c r="I902" s="16">
        <f>IFERROR(IF([1]对账明细接口!$I$902=0,"",[1]对账明细接口!$I$902),"")</f>
      </c>
      <c r="J902" s="177">
        <f>IFERROR(IF([1]对账明细接口!$J$902=0,"",[1]对账明细接口!$J$902),"")</f>
      </c>
      <c r="K902" s="177">
        <f>IFERROR(IF([1]对账明细接口!$K$902=0,"",[1]对账明细接口!$K$902),"")</f>
      </c>
      <c r="L902" s="16">
        <f>IFERROR(IF([1]对账明细接口!$L$902=0,"",[1]对账明细接口!$L$902),"")</f>
      </c>
      <c r="M902" s="16">
        <f>IFERROR(IF([1]对账明细接口!$M$902=0,"",[1]对账明细接口!$M$902),"")</f>
      </c>
      <c r="N902" s="19">
        <f>IF($C902="",0,1)</f>
        <v>0</v>
      </c>
      <c r="O902" s="19">
        <f>N(O901)+$N902</f>
        <v>637</v>
      </c>
      <c r="S902" s="20">
        <f>IFERROR(IF([1]对账明细接口!$N902=0,"",[1]对账明细接口!$N902),"")</f>
      </c>
      <c r="T902" s="212">
        <f>IFERROR(IF([1]对账明细接口!$O902=0,"",[1]对账明细接口!$O902),"")</f>
      </c>
      <c r="U902" s="212">
        <f>IFERROR(IF([1]对账明细接口!$P902=0,"",[1]对账明细接口!$P902),"")</f>
      </c>
      <c r="V902" s="212">
        <f>IFERROR(IF([1]对账明细接口!$Q902=0,"",[1]对账明细接口!$Q902),"")</f>
      </c>
      <c r="W902" s="20">
        <f>IFERROR(IF([1]对账明细接口!$R902=0,"",[1]对账明细接口!$R902),"")</f>
      </c>
      <c r="X902" s="20">
        <f>IFERROR(IF([1]对账明细接口!$S902=0,"",[1]对账明细接口!$S902),"")</f>
      </c>
      <c r="Y902" s="20">
        <f>IFERROR(IF([1]对账明细接口!$T902=0,"",[1]对账明细接口!$T902),"")</f>
      </c>
      <c r="Z902" s="213">
        <f>IFERROR(IF([1]对账明细接口!$U902=0,"",[1]对账明细接口!$U902),"")</f>
      </c>
      <c r="AA902" s="213">
        <f>IFERROR(IF([1]对账明细接口!$V902=0,"",[1]对账明细接口!$V902),"")</f>
      </c>
      <c r="AB902" s="20">
        <f>IFERROR(IF([1]对账明细接口!$W902=0,"",[1]对账明细接口!$W902),"")</f>
      </c>
      <c r="AC902" s="7">
        <f>IFERROR(IF([1]对账明细接口!$X902=0,"",[1]对账明细接口!$X902),"")</f>
      </c>
      <c r="AD902" s="7">
        <f>IFERROR(IF([1]对账明细接口!$Y902=0,"",[1]对账明细接口!$Y902),"")</f>
      </c>
      <c r="AE902" s="7">
        <f>IFERROR(IF([1]对账明细接口!$AA902=0,"",[1]对账明细接口!$AA902),"")</f>
      </c>
      <c r="AF902" s="7">
        <f>IFERROR(IF([1]对账明细接口!$AB902=0,"",[1]对账明细接口!$AB902),"")</f>
      </c>
      <c r="AG902" s="7">
        <f>IFERROR(IF([1]对账明细接口!$AC902=0,"",[1]对账明细接口!$AC902),"")</f>
      </c>
      <c r="AH902" s="7">
        <f>IFERROR(IF([1]对账明细接口!$AD902=0,"",[1]对账明细接口!$AD902),"")</f>
      </c>
      <c r="AI902" s="7">
        <f>IFERROR(IF([1]对账明细接口!$AE902=0,"",[1]对账明细接口!$AE902),"")</f>
      </c>
      <c r="AJ902" s="7">
        <f>IFERROR(IF([1]对账明细接口!$AF902=0,"",[1]对账明细接口!$AF902),"")</f>
      </c>
    </row>
    <row r="903" ht="14.25" customHeight="1" s="127">
      <c r="A903" s="14" t="n">
        <v>903</v>
      </c>
      <c r="B903" s="211">
        <f>IFERROR(IF([1]对账明细接口!$B$903=0,"",[1]对账明细接口!$B$903),"")</f>
      </c>
      <c r="C903" s="16">
        <f>IFERROR(IF([1]对账明细接口!$C$903=0,"",[1]对账明细接口!$C$903),"")</f>
      </c>
      <c r="D903" s="16">
        <f>IFERROR(IF([1]对账明细接口!$D$903=0,"",[1]对账明细接口!$D$903),"")</f>
      </c>
      <c r="E903" s="16">
        <f>IFERROR(IF([1]对账明细接口!$E$903=0,"",[1]对账明细接口!$E$903),"")</f>
      </c>
      <c r="F903" s="16">
        <f>IFERROR(IF([1]对账明细接口!$F$903=0,"",[1]对账明细接口!$F$903),"")</f>
      </c>
      <c r="G903" s="16">
        <f>IFERROR(IF([1]对账明细接口!$G$903=0,"",[1]对账明细接口!$G$903),"")</f>
      </c>
      <c r="H903" s="176">
        <f>IFERROR(IF([1]对账明细接口!$H$903=0,"",[1]对账明细接口!$H$903),"")</f>
      </c>
      <c r="I903" s="16">
        <f>IFERROR(IF([1]对账明细接口!$I$903=0,"",[1]对账明细接口!$I$903),"")</f>
      </c>
      <c r="J903" s="177">
        <f>IFERROR(IF([1]对账明细接口!$J$903=0,"",[1]对账明细接口!$J$903),"")</f>
      </c>
      <c r="K903" s="177">
        <f>IFERROR(IF([1]对账明细接口!$K$903=0,"",[1]对账明细接口!$K$903),"")</f>
      </c>
      <c r="L903" s="16">
        <f>IFERROR(IF([1]对账明细接口!$L$903=0,"",[1]对账明细接口!$L$903),"")</f>
      </c>
      <c r="M903" s="16">
        <f>IFERROR(IF([1]对账明细接口!$M$903=0,"",[1]对账明细接口!$M$903),"")</f>
      </c>
      <c r="N903" s="19">
        <f>IF($C903="",0,1)</f>
        <v>0</v>
      </c>
      <c r="O903" s="19">
        <f>N(O902)+$N903</f>
        <v>637</v>
      </c>
      <c r="S903" s="20">
        <f>IFERROR(IF([1]对账明细接口!$N903=0,"",[1]对账明细接口!$N903),"")</f>
      </c>
      <c r="T903" s="212">
        <f>IFERROR(IF([1]对账明细接口!$O903=0,"",[1]对账明细接口!$O903),"")</f>
      </c>
      <c r="U903" s="212">
        <f>IFERROR(IF([1]对账明细接口!$P903=0,"",[1]对账明细接口!$P903),"")</f>
      </c>
      <c r="V903" s="212">
        <f>IFERROR(IF([1]对账明细接口!$Q903=0,"",[1]对账明细接口!$Q903),"")</f>
      </c>
      <c r="W903" s="20">
        <f>IFERROR(IF([1]对账明细接口!$R903=0,"",[1]对账明细接口!$R903),"")</f>
      </c>
      <c r="X903" s="20">
        <f>IFERROR(IF([1]对账明细接口!$S903=0,"",[1]对账明细接口!$S903),"")</f>
      </c>
      <c r="Y903" s="20">
        <f>IFERROR(IF([1]对账明细接口!$T903=0,"",[1]对账明细接口!$T903),"")</f>
      </c>
      <c r="Z903" s="213">
        <f>IFERROR(IF([1]对账明细接口!$U903=0,"",[1]对账明细接口!$U903),"")</f>
      </c>
      <c r="AA903" s="213">
        <f>IFERROR(IF([1]对账明细接口!$V903=0,"",[1]对账明细接口!$V903),"")</f>
      </c>
      <c r="AB903" s="20">
        <f>IFERROR(IF([1]对账明细接口!$W903=0,"",[1]对账明细接口!$W903),"")</f>
      </c>
      <c r="AC903" s="7">
        <f>IFERROR(IF([1]对账明细接口!$X903=0,"",[1]对账明细接口!$X903),"")</f>
      </c>
      <c r="AD903" s="7">
        <f>IFERROR(IF([1]对账明细接口!$Y903=0,"",[1]对账明细接口!$Y903),"")</f>
      </c>
      <c r="AE903" s="7">
        <f>IFERROR(IF([1]对账明细接口!$AA903=0,"",[1]对账明细接口!$AA903),"")</f>
      </c>
      <c r="AF903" s="7">
        <f>IFERROR(IF([1]对账明细接口!$AB903=0,"",[1]对账明细接口!$AB903),"")</f>
      </c>
      <c r="AG903" s="7">
        <f>IFERROR(IF([1]对账明细接口!$AC903=0,"",[1]对账明细接口!$AC903),"")</f>
      </c>
      <c r="AH903" s="7">
        <f>IFERROR(IF([1]对账明细接口!$AD903=0,"",[1]对账明细接口!$AD903),"")</f>
      </c>
      <c r="AI903" s="7">
        <f>IFERROR(IF([1]对账明细接口!$AE903=0,"",[1]对账明细接口!$AE903),"")</f>
      </c>
      <c r="AJ903" s="7">
        <f>IFERROR(IF([1]对账明细接口!$AF903=0,"",[1]对账明细接口!$AF903),"")</f>
      </c>
    </row>
    <row r="904" ht="14.25" customHeight="1" s="127">
      <c r="A904" s="14" t="n">
        <v>904</v>
      </c>
      <c r="B904" s="211">
        <f>IFERROR(IF([1]对账明细接口!$B$904=0,"",[1]对账明细接口!$B$904),"")</f>
      </c>
      <c r="C904" s="16">
        <f>IFERROR(IF([1]对账明细接口!$C$904=0,"",[1]对账明细接口!$C$904),"")</f>
      </c>
      <c r="D904" s="16">
        <f>IFERROR(IF([1]对账明细接口!$D$904=0,"",[1]对账明细接口!$D$904),"")</f>
      </c>
      <c r="E904" s="16">
        <f>IFERROR(IF([1]对账明细接口!$E$904=0,"",[1]对账明细接口!$E$904),"")</f>
      </c>
      <c r="F904" s="16">
        <f>IFERROR(IF([1]对账明细接口!$F$904=0,"",[1]对账明细接口!$F$904),"")</f>
      </c>
      <c r="G904" s="16">
        <f>IFERROR(IF([1]对账明细接口!$G$904=0,"",[1]对账明细接口!$G$904),"")</f>
      </c>
      <c r="H904" s="176">
        <f>IFERROR(IF([1]对账明细接口!$H$904=0,"",[1]对账明细接口!$H$904),"")</f>
      </c>
      <c r="I904" s="16">
        <f>IFERROR(IF([1]对账明细接口!$I$904=0,"",[1]对账明细接口!$I$904),"")</f>
      </c>
      <c r="J904" s="177">
        <f>IFERROR(IF([1]对账明细接口!$J$904=0,"",[1]对账明细接口!$J$904),"")</f>
      </c>
      <c r="K904" s="177">
        <f>IFERROR(IF([1]对账明细接口!$K$904=0,"",[1]对账明细接口!$K$904),"")</f>
      </c>
      <c r="L904" s="16">
        <f>IFERROR(IF([1]对账明细接口!$L$904=0,"",[1]对账明细接口!$L$904),"")</f>
      </c>
      <c r="M904" s="16">
        <f>IFERROR(IF([1]对账明细接口!$M$904=0,"",[1]对账明细接口!$M$904),"")</f>
      </c>
      <c r="N904" s="19">
        <f>IF($C904="",0,1)</f>
        <v>0</v>
      </c>
      <c r="O904" s="19">
        <f>N(O903)+$N904</f>
        <v>637</v>
      </c>
      <c r="S904" s="20">
        <f>IFERROR(IF([1]对账明细接口!$N904=0,"",[1]对账明细接口!$N904),"")</f>
      </c>
      <c r="T904" s="212">
        <f>IFERROR(IF([1]对账明细接口!$O904=0,"",[1]对账明细接口!$O904),"")</f>
      </c>
      <c r="U904" s="212">
        <f>IFERROR(IF([1]对账明细接口!$P904=0,"",[1]对账明细接口!$P904),"")</f>
      </c>
      <c r="V904" s="212">
        <f>IFERROR(IF([1]对账明细接口!$Q904=0,"",[1]对账明细接口!$Q904),"")</f>
      </c>
      <c r="W904" s="20">
        <f>IFERROR(IF([1]对账明细接口!$R904=0,"",[1]对账明细接口!$R904),"")</f>
      </c>
      <c r="X904" s="20">
        <f>IFERROR(IF([1]对账明细接口!$S904=0,"",[1]对账明细接口!$S904),"")</f>
      </c>
      <c r="Y904" s="20">
        <f>IFERROR(IF([1]对账明细接口!$T904=0,"",[1]对账明细接口!$T904),"")</f>
      </c>
      <c r="Z904" s="213">
        <f>IFERROR(IF([1]对账明细接口!$U904=0,"",[1]对账明细接口!$U904),"")</f>
      </c>
      <c r="AA904" s="213">
        <f>IFERROR(IF([1]对账明细接口!$V904=0,"",[1]对账明细接口!$V904),"")</f>
      </c>
      <c r="AB904" s="20">
        <f>IFERROR(IF([1]对账明细接口!$W904=0,"",[1]对账明细接口!$W904),"")</f>
      </c>
      <c r="AC904" s="7">
        <f>IFERROR(IF([1]对账明细接口!$X904=0,"",[1]对账明细接口!$X904),"")</f>
      </c>
      <c r="AD904" s="7">
        <f>IFERROR(IF([1]对账明细接口!$Y904=0,"",[1]对账明细接口!$Y904),"")</f>
      </c>
      <c r="AE904" s="7">
        <f>IFERROR(IF([1]对账明细接口!$AA904=0,"",[1]对账明细接口!$AA904),"")</f>
      </c>
      <c r="AF904" s="7">
        <f>IFERROR(IF([1]对账明细接口!$AB904=0,"",[1]对账明细接口!$AB904),"")</f>
      </c>
      <c r="AG904" s="7">
        <f>IFERROR(IF([1]对账明细接口!$AC904=0,"",[1]对账明细接口!$AC904),"")</f>
      </c>
      <c r="AH904" s="7">
        <f>IFERROR(IF([1]对账明细接口!$AD904=0,"",[1]对账明细接口!$AD904),"")</f>
      </c>
      <c r="AI904" s="7">
        <f>IFERROR(IF([1]对账明细接口!$AE904=0,"",[1]对账明细接口!$AE904),"")</f>
      </c>
      <c r="AJ904" s="7">
        <f>IFERROR(IF([1]对账明细接口!$AF904=0,"",[1]对账明细接口!$AF904),"")</f>
      </c>
    </row>
    <row r="905" ht="14.25" customHeight="1" s="127">
      <c r="A905" s="14" t="n">
        <v>905</v>
      </c>
      <c r="B905" s="211">
        <f>IFERROR(IF([1]对账明细接口!$B$905=0,"",[1]对账明细接口!$B$905),"")</f>
      </c>
      <c r="C905" s="16">
        <f>IFERROR(IF([1]对账明细接口!$C$905=0,"",[1]对账明细接口!$C$905),"")</f>
      </c>
      <c r="D905" s="16">
        <f>IFERROR(IF([1]对账明细接口!$D$905=0,"",[1]对账明细接口!$D$905),"")</f>
      </c>
      <c r="E905" s="16">
        <f>IFERROR(IF([1]对账明细接口!$E$905=0,"",[1]对账明细接口!$E$905),"")</f>
      </c>
      <c r="F905" s="16">
        <f>IFERROR(IF([1]对账明细接口!$F$905=0,"",[1]对账明细接口!$F$905),"")</f>
      </c>
      <c r="G905" s="16">
        <f>IFERROR(IF([1]对账明细接口!$G$905=0,"",[1]对账明细接口!$G$905),"")</f>
      </c>
      <c r="H905" s="176">
        <f>IFERROR(IF([1]对账明细接口!$H$905=0,"",[1]对账明细接口!$H$905),"")</f>
      </c>
      <c r="I905" s="16">
        <f>IFERROR(IF([1]对账明细接口!$I$905=0,"",[1]对账明细接口!$I$905),"")</f>
      </c>
      <c r="J905" s="177">
        <f>IFERROR(IF([1]对账明细接口!$J$905=0,"",[1]对账明细接口!$J$905),"")</f>
      </c>
      <c r="K905" s="177">
        <f>IFERROR(IF([1]对账明细接口!$K$905=0,"",[1]对账明细接口!$K$905),"")</f>
      </c>
      <c r="L905" s="16">
        <f>IFERROR(IF([1]对账明细接口!$L$905=0,"",[1]对账明细接口!$L$905),"")</f>
      </c>
      <c r="M905" s="16">
        <f>IFERROR(IF([1]对账明细接口!$M$905=0,"",[1]对账明细接口!$M$905),"")</f>
      </c>
      <c r="N905" s="19">
        <f>IF($C905="",0,1)</f>
        <v>0</v>
      </c>
      <c r="O905" s="19">
        <f>N(O904)+$N905</f>
        <v>637</v>
      </c>
      <c r="S905" s="20">
        <f>IFERROR(IF([1]对账明细接口!$N905=0,"",[1]对账明细接口!$N905),"")</f>
      </c>
      <c r="T905" s="212">
        <f>IFERROR(IF([1]对账明细接口!$O905=0,"",[1]对账明细接口!$O905),"")</f>
      </c>
      <c r="U905" s="212">
        <f>IFERROR(IF([1]对账明细接口!$P905=0,"",[1]对账明细接口!$P905),"")</f>
      </c>
      <c r="V905" s="212">
        <f>IFERROR(IF([1]对账明细接口!$Q905=0,"",[1]对账明细接口!$Q905),"")</f>
      </c>
      <c r="W905" s="20">
        <f>IFERROR(IF([1]对账明细接口!$R905=0,"",[1]对账明细接口!$R905),"")</f>
      </c>
      <c r="X905" s="20">
        <f>IFERROR(IF([1]对账明细接口!$S905=0,"",[1]对账明细接口!$S905),"")</f>
      </c>
      <c r="Y905" s="20">
        <f>IFERROR(IF([1]对账明细接口!$T905=0,"",[1]对账明细接口!$T905),"")</f>
      </c>
      <c r="Z905" s="213">
        <f>IFERROR(IF([1]对账明细接口!$U905=0,"",[1]对账明细接口!$U905),"")</f>
      </c>
      <c r="AA905" s="213">
        <f>IFERROR(IF([1]对账明细接口!$V905=0,"",[1]对账明细接口!$V905),"")</f>
      </c>
      <c r="AB905" s="20">
        <f>IFERROR(IF([1]对账明细接口!$W905=0,"",[1]对账明细接口!$W905),"")</f>
      </c>
      <c r="AC905" s="7">
        <f>IFERROR(IF([1]对账明细接口!$X905=0,"",[1]对账明细接口!$X905),"")</f>
      </c>
      <c r="AD905" s="7">
        <f>IFERROR(IF([1]对账明细接口!$Y905=0,"",[1]对账明细接口!$Y905),"")</f>
      </c>
      <c r="AE905" s="7">
        <f>IFERROR(IF([1]对账明细接口!$AA905=0,"",[1]对账明细接口!$AA905),"")</f>
      </c>
      <c r="AF905" s="7">
        <f>IFERROR(IF([1]对账明细接口!$AB905=0,"",[1]对账明细接口!$AB905),"")</f>
      </c>
      <c r="AG905" s="7">
        <f>IFERROR(IF([1]对账明细接口!$AC905=0,"",[1]对账明细接口!$AC905),"")</f>
      </c>
      <c r="AH905" s="7">
        <f>IFERROR(IF([1]对账明细接口!$AD905=0,"",[1]对账明细接口!$AD905),"")</f>
      </c>
      <c r="AI905" s="7">
        <f>IFERROR(IF([1]对账明细接口!$AE905=0,"",[1]对账明细接口!$AE905),"")</f>
      </c>
      <c r="AJ905" s="7">
        <f>IFERROR(IF([1]对账明细接口!$AF905=0,"",[1]对账明细接口!$AF905),"")</f>
      </c>
    </row>
    <row r="906" ht="14.25" customHeight="1" s="127">
      <c r="A906" s="14" t="n">
        <v>906</v>
      </c>
      <c r="B906" s="211">
        <f>IFERROR(IF([1]对账明细接口!$B$906=0,"",[1]对账明细接口!$B$906),"")</f>
      </c>
      <c r="C906" s="16">
        <f>IFERROR(IF([1]对账明细接口!$C$906=0,"",[1]对账明细接口!$C$906),"")</f>
      </c>
      <c r="D906" s="16">
        <f>IFERROR(IF([1]对账明细接口!$D$906=0,"",[1]对账明细接口!$D$906),"")</f>
      </c>
      <c r="E906" s="16">
        <f>IFERROR(IF([1]对账明细接口!$E$906=0,"",[1]对账明细接口!$E$906),"")</f>
      </c>
      <c r="F906" s="16">
        <f>IFERROR(IF([1]对账明细接口!$F$906=0,"",[1]对账明细接口!$F$906),"")</f>
      </c>
      <c r="G906" s="16">
        <f>IFERROR(IF([1]对账明细接口!$G$906=0,"",[1]对账明细接口!$G$906),"")</f>
      </c>
      <c r="H906" s="176">
        <f>IFERROR(IF([1]对账明细接口!$H$906=0,"",[1]对账明细接口!$H$906),"")</f>
      </c>
      <c r="I906" s="16">
        <f>IFERROR(IF([1]对账明细接口!$I$906=0,"",[1]对账明细接口!$I$906),"")</f>
      </c>
      <c r="J906" s="177">
        <f>IFERROR(IF([1]对账明细接口!$J$906=0,"",[1]对账明细接口!$J$906),"")</f>
      </c>
      <c r="K906" s="177">
        <f>IFERROR(IF([1]对账明细接口!$K$906=0,"",[1]对账明细接口!$K$906),"")</f>
      </c>
      <c r="L906" s="16">
        <f>IFERROR(IF([1]对账明细接口!$L$906=0,"",[1]对账明细接口!$L$906),"")</f>
      </c>
      <c r="M906" s="16">
        <f>IFERROR(IF([1]对账明细接口!$M$906=0,"",[1]对账明细接口!$M$906),"")</f>
      </c>
      <c r="N906" s="19">
        <f>IF($C906="",0,1)</f>
        <v>0</v>
      </c>
      <c r="O906" s="19">
        <f>N(O905)+$N906</f>
        <v>637</v>
      </c>
      <c r="S906" s="20">
        <f>IFERROR(IF([1]对账明细接口!$N906=0,"",[1]对账明细接口!$N906),"")</f>
      </c>
      <c r="T906" s="212">
        <f>IFERROR(IF([1]对账明细接口!$O906=0,"",[1]对账明细接口!$O906),"")</f>
      </c>
      <c r="U906" s="212">
        <f>IFERROR(IF([1]对账明细接口!$P906=0,"",[1]对账明细接口!$P906),"")</f>
      </c>
      <c r="V906" s="212">
        <f>IFERROR(IF([1]对账明细接口!$Q906=0,"",[1]对账明细接口!$Q906),"")</f>
      </c>
      <c r="W906" s="20">
        <f>IFERROR(IF([1]对账明细接口!$R906=0,"",[1]对账明细接口!$R906),"")</f>
      </c>
      <c r="X906" s="20">
        <f>IFERROR(IF([1]对账明细接口!$S906=0,"",[1]对账明细接口!$S906),"")</f>
      </c>
      <c r="Y906" s="20">
        <f>IFERROR(IF([1]对账明细接口!$T906=0,"",[1]对账明细接口!$T906),"")</f>
      </c>
      <c r="Z906" s="213">
        <f>IFERROR(IF([1]对账明细接口!$U906=0,"",[1]对账明细接口!$U906),"")</f>
      </c>
      <c r="AA906" s="213">
        <f>IFERROR(IF([1]对账明细接口!$V906=0,"",[1]对账明细接口!$V906),"")</f>
      </c>
      <c r="AB906" s="20">
        <f>IFERROR(IF([1]对账明细接口!$W906=0,"",[1]对账明细接口!$W906),"")</f>
      </c>
      <c r="AC906" s="7">
        <f>IFERROR(IF([1]对账明细接口!$X906=0,"",[1]对账明细接口!$X906),"")</f>
      </c>
      <c r="AD906" s="7">
        <f>IFERROR(IF([1]对账明细接口!$Y906=0,"",[1]对账明细接口!$Y906),"")</f>
      </c>
      <c r="AE906" s="7">
        <f>IFERROR(IF([1]对账明细接口!$AA906=0,"",[1]对账明细接口!$AA906),"")</f>
      </c>
      <c r="AF906" s="7">
        <f>IFERROR(IF([1]对账明细接口!$AB906=0,"",[1]对账明细接口!$AB906),"")</f>
      </c>
      <c r="AG906" s="7">
        <f>IFERROR(IF([1]对账明细接口!$AC906=0,"",[1]对账明细接口!$AC906),"")</f>
      </c>
      <c r="AH906" s="7">
        <f>IFERROR(IF([1]对账明细接口!$AD906=0,"",[1]对账明细接口!$AD906),"")</f>
      </c>
      <c r="AI906" s="7">
        <f>IFERROR(IF([1]对账明细接口!$AE906=0,"",[1]对账明细接口!$AE906),"")</f>
      </c>
      <c r="AJ906" s="7">
        <f>IFERROR(IF([1]对账明细接口!$AF906=0,"",[1]对账明细接口!$AF906),"")</f>
      </c>
    </row>
    <row r="907" ht="14.25" customHeight="1" s="127">
      <c r="A907" s="14" t="n">
        <v>907</v>
      </c>
      <c r="B907" s="211">
        <f>IFERROR(IF([1]对账明细接口!$B$907=0,"",[1]对账明细接口!$B$907),"")</f>
      </c>
      <c r="C907" s="16">
        <f>IFERROR(IF([1]对账明细接口!$C$907=0,"",[1]对账明细接口!$C$907),"")</f>
      </c>
      <c r="D907" s="16">
        <f>IFERROR(IF([1]对账明细接口!$D$907=0,"",[1]对账明细接口!$D$907),"")</f>
      </c>
      <c r="E907" s="16">
        <f>IFERROR(IF([1]对账明细接口!$E$907=0,"",[1]对账明细接口!$E$907),"")</f>
      </c>
      <c r="F907" s="16">
        <f>IFERROR(IF([1]对账明细接口!$F$907=0,"",[1]对账明细接口!$F$907),"")</f>
      </c>
      <c r="G907" s="16">
        <f>IFERROR(IF([1]对账明细接口!$G$907=0,"",[1]对账明细接口!$G$907),"")</f>
      </c>
      <c r="H907" s="176">
        <f>IFERROR(IF([1]对账明细接口!$H$907=0,"",[1]对账明细接口!$H$907),"")</f>
      </c>
      <c r="I907" s="16">
        <f>IFERROR(IF([1]对账明细接口!$I$907=0,"",[1]对账明细接口!$I$907),"")</f>
      </c>
      <c r="J907" s="177">
        <f>IFERROR(IF([1]对账明细接口!$J$907=0,"",[1]对账明细接口!$J$907),"")</f>
      </c>
      <c r="K907" s="177">
        <f>IFERROR(IF([1]对账明细接口!$K$907=0,"",[1]对账明细接口!$K$907),"")</f>
      </c>
      <c r="L907" s="16">
        <f>IFERROR(IF([1]对账明细接口!$L$907=0,"",[1]对账明细接口!$L$907),"")</f>
      </c>
      <c r="M907" s="16">
        <f>IFERROR(IF([1]对账明细接口!$M$907=0,"",[1]对账明细接口!$M$907),"")</f>
      </c>
      <c r="N907" s="19">
        <f>IF($C907="",0,1)</f>
        <v>0</v>
      </c>
      <c r="O907" s="19">
        <f>N(O906)+$N907</f>
        <v>637</v>
      </c>
      <c r="S907" s="20">
        <f>IFERROR(IF([1]对账明细接口!$N907=0,"",[1]对账明细接口!$N907),"")</f>
      </c>
      <c r="T907" s="212">
        <f>IFERROR(IF([1]对账明细接口!$O907=0,"",[1]对账明细接口!$O907),"")</f>
      </c>
      <c r="U907" s="212">
        <f>IFERROR(IF([1]对账明细接口!$P907=0,"",[1]对账明细接口!$P907),"")</f>
      </c>
      <c r="V907" s="212">
        <f>IFERROR(IF([1]对账明细接口!$Q907=0,"",[1]对账明细接口!$Q907),"")</f>
      </c>
      <c r="W907" s="20">
        <f>IFERROR(IF([1]对账明细接口!$R907=0,"",[1]对账明细接口!$R907),"")</f>
      </c>
      <c r="X907" s="20">
        <f>IFERROR(IF([1]对账明细接口!$S907=0,"",[1]对账明细接口!$S907),"")</f>
      </c>
      <c r="Y907" s="20">
        <f>IFERROR(IF([1]对账明细接口!$T907=0,"",[1]对账明细接口!$T907),"")</f>
      </c>
      <c r="Z907" s="213">
        <f>IFERROR(IF([1]对账明细接口!$U907=0,"",[1]对账明细接口!$U907),"")</f>
      </c>
      <c r="AA907" s="213">
        <f>IFERROR(IF([1]对账明细接口!$V907=0,"",[1]对账明细接口!$V907),"")</f>
      </c>
      <c r="AB907" s="20">
        <f>IFERROR(IF([1]对账明细接口!$W907=0,"",[1]对账明细接口!$W907),"")</f>
      </c>
      <c r="AC907" s="7">
        <f>IFERROR(IF([1]对账明细接口!$X907=0,"",[1]对账明细接口!$X907),"")</f>
      </c>
      <c r="AD907" s="7">
        <f>IFERROR(IF([1]对账明细接口!$Y907=0,"",[1]对账明细接口!$Y907),"")</f>
      </c>
      <c r="AE907" s="7">
        <f>IFERROR(IF([1]对账明细接口!$AA907=0,"",[1]对账明细接口!$AA907),"")</f>
      </c>
      <c r="AF907" s="7">
        <f>IFERROR(IF([1]对账明细接口!$AB907=0,"",[1]对账明细接口!$AB907),"")</f>
      </c>
      <c r="AG907" s="7">
        <f>IFERROR(IF([1]对账明细接口!$AC907=0,"",[1]对账明细接口!$AC907),"")</f>
      </c>
      <c r="AH907" s="7">
        <f>IFERROR(IF([1]对账明细接口!$AD907=0,"",[1]对账明细接口!$AD907),"")</f>
      </c>
      <c r="AI907" s="7">
        <f>IFERROR(IF([1]对账明细接口!$AE907=0,"",[1]对账明细接口!$AE907),"")</f>
      </c>
      <c r="AJ907" s="7">
        <f>IFERROR(IF([1]对账明细接口!$AF907=0,"",[1]对账明细接口!$AF907),"")</f>
      </c>
    </row>
    <row r="908" ht="14.25" customHeight="1" s="127">
      <c r="A908" s="14" t="n">
        <v>908</v>
      </c>
      <c r="B908" s="211">
        <f>IFERROR(IF([1]对账明细接口!$B$908=0,"",[1]对账明细接口!$B$908),"")</f>
      </c>
      <c r="C908" s="16">
        <f>IFERROR(IF([1]对账明细接口!$C$908=0,"",[1]对账明细接口!$C$908),"")</f>
      </c>
      <c r="D908" s="16">
        <f>IFERROR(IF([1]对账明细接口!$D$908=0,"",[1]对账明细接口!$D$908),"")</f>
      </c>
      <c r="E908" s="16">
        <f>IFERROR(IF([1]对账明细接口!$E$908=0,"",[1]对账明细接口!$E$908),"")</f>
      </c>
      <c r="F908" s="16">
        <f>IFERROR(IF([1]对账明细接口!$F$908=0,"",[1]对账明细接口!$F$908),"")</f>
      </c>
      <c r="G908" s="16">
        <f>IFERROR(IF([1]对账明细接口!$G$908=0,"",[1]对账明细接口!$G$908),"")</f>
      </c>
      <c r="H908" s="176">
        <f>IFERROR(IF([1]对账明细接口!$H$908=0,"",[1]对账明细接口!$H$908),"")</f>
      </c>
      <c r="I908" s="16">
        <f>IFERROR(IF([1]对账明细接口!$I$908=0,"",[1]对账明细接口!$I$908),"")</f>
      </c>
      <c r="J908" s="177">
        <f>IFERROR(IF([1]对账明细接口!$J$908=0,"",[1]对账明细接口!$J$908),"")</f>
      </c>
      <c r="K908" s="177">
        <f>IFERROR(IF([1]对账明细接口!$K$908=0,"",[1]对账明细接口!$K$908),"")</f>
      </c>
      <c r="L908" s="16">
        <f>IFERROR(IF([1]对账明细接口!$L$908=0,"",[1]对账明细接口!$L$908),"")</f>
      </c>
      <c r="M908" s="16">
        <f>IFERROR(IF([1]对账明细接口!$M$908=0,"",[1]对账明细接口!$M$908),"")</f>
      </c>
      <c r="N908" s="19">
        <f>IF($C908="",0,1)</f>
        <v>0</v>
      </c>
      <c r="O908" s="19">
        <f>N(O907)+$N908</f>
        <v>637</v>
      </c>
      <c r="S908" s="20">
        <f>IFERROR(IF([1]对账明细接口!$N908=0,"",[1]对账明细接口!$N908),"")</f>
      </c>
      <c r="T908" s="212">
        <f>IFERROR(IF([1]对账明细接口!$O908=0,"",[1]对账明细接口!$O908),"")</f>
      </c>
      <c r="U908" s="212">
        <f>IFERROR(IF([1]对账明细接口!$P908=0,"",[1]对账明细接口!$P908),"")</f>
      </c>
      <c r="V908" s="212">
        <f>IFERROR(IF([1]对账明细接口!$Q908=0,"",[1]对账明细接口!$Q908),"")</f>
      </c>
      <c r="W908" s="20">
        <f>IFERROR(IF([1]对账明细接口!$R908=0,"",[1]对账明细接口!$R908),"")</f>
      </c>
      <c r="X908" s="20">
        <f>IFERROR(IF([1]对账明细接口!$S908=0,"",[1]对账明细接口!$S908),"")</f>
      </c>
      <c r="Y908" s="20">
        <f>IFERROR(IF([1]对账明细接口!$T908=0,"",[1]对账明细接口!$T908),"")</f>
      </c>
      <c r="Z908" s="213">
        <f>IFERROR(IF([1]对账明细接口!$U908=0,"",[1]对账明细接口!$U908),"")</f>
      </c>
      <c r="AA908" s="213">
        <f>IFERROR(IF([1]对账明细接口!$V908=0,"",[1]对账明细接口!$V908),"")</f>
      </c>
      <c r="AB908" s="20">
        <f>IFERROR(IF([1]对账明细接口!$W908=0,"",[1]对账明细接口!$W908),"")</f>
      </c>
      <c r="AC908" s="7">
        <f>IFERROR(IF([1]对账明细接口!$X908=0,"",[1]对账明细接口!$X908),"")</f>
      </c>
      <c r="AD908" s="7">
        <f>IFERROR(IF([1]对账明细接口!$Y908=0,"",[1]对账明细接口!$Y908),"")</f>
      </c>
      <c r="AE908" s="7">
        <f>IFERROR(IF([1]对账明细接口!$AA908=0,"",[1]对账明细接口!$AA908),"")</f>
      </c>
      <c r="AF908" s="7">
        <f>IFERROR(IF([1]对账明细接口!$AB908=0,"",[1]对账明细接口!$AB908),"")</f>
      </c>
      <c r="AG908" s="7">
        <f>IFERROR(IF([1]对账明细接口!$AC908=0,"",[1]对账明细接口!$AC908),"")</f>
      </c>
      <c r="AH908" s="7">
        <f>IFERROR(IF([1]对账明细接口!$AD908=0,"",[1]对账明细接口!$AD908),"")</f>
      </c>
      <c r="AI908" s="7">
        <f>IFERROR(IF([1]对账明细接口!$AE908=0,"",[1]对账明细接口!$AE908),"")</f>
      </c>
      <c r="AJ908" s="7">
        <f>IFERROR(IF([1]对账明细接口!$AF908=0,"",[1]对账明细接口!$AF908),"")</f>
      </c>
    </row>
    <row r="909" ht="14.25" customHeight="1" s="127">
      <c r="A909" s="14" t="n">
        <v>909</v>
      </c>
      <c r="B909" s="211">
        <f>IFERROR(IF([1]对账明细接口!$B$909=0,"",[1]对账明细接口!$B$909),"")</f>
      </c>
      <c r="C909" s="16">
        <f>IFERROR(IF([1]对账明细接口!$C$909=0,"",[1]对账明细接口!$C$909),"")</f>
      </c>
      <c r="D909" s="16">
        <f>IFERROR(IF([1]对账明细接口!$D$909=0,"",[1]对账明细接口!$D$909),"")</f>
      </c>
      <c r="E909" s="16">
        <f>IFERROR(IF([1]对账明细接口!$E$909=0,"",[1]对账明细接口!$E$909),"")</f>
      </c>
      <c r="F909" s="16">
        <f>IFERROR(IF([1]对账明细接口!$F$909=0,"",[1]对账明细接口!$F$909),"")</f>
      </c>
      <c r="G909" s="16">
        <f>IFERROR(IF([1]对账明细接口!$G$909=0,"",[1]对账明细接口!$G$909),"")</f>
      </c>
      <c r="H909" s="176">
        <f>IFERROR(IF([1]对账明细接口!$H$909=0,"",[1]对账明细接口!$H$909),"")</f>
      </c>
      <c r="I909" s="16">
        <f>IFERROR(IF([1]对账明细接口!$I$909=0,"",[1]对账明细接口!$I$909),"")</f>
      </c>
      <c r="J909" s="177">
        <f>IFERROR(IF([1]对账明细接口!$J$909=0,"",[1]对账明细接口!$J$909),"")</f>
      </c>
      <c r="K909" s="177">
        <f>IFERROR(IF([1]对账明细接口!$K$909=0,"",[1]对账明细接口!$K$909),"")</f>
      </c>
      <c r="L909" s="16">
        <f>IFERROR(IF([1]对账明细接口!$L$909=0,"",[1]对账明细接口!$L$909),"")</f>
      </c>
      <c r="M909" s="16">
        <f>IFERROR(IF([1]对账明细接口!$M$909=0,"",[1]对账明细接口!$M$909),"")</f>
      </c>
      <c r="N909" s="19">
        <f>IF($C909="",0,1)</f>
        <v>0</v>
      </c>
      <c r="O909" s="19">
        <f>N(O908)+$N909</f>
        <v>637</v>
      </c>
      <c r="S909" s="20">
        <f>IFERROR(IF([1]对账明细接口!$N909=0,"",[1]对账明细接口!$N909),"")</f>
      </c>
      <c r="T909" s="212">
        <f>IFERROR(IF([1]对账明细接口!$O909=0,"",[1]对账明细接口!$O909),"")</f>
      </c>
      <c r="U909" s="212">
        <f>IFERROR(IF([1]对账明细接口!$P909=0,"",[1]对账明细接口!$P909),"")</f>
      </c>
      <c r="V909" s="212">
        <f>IFERROR(IF([1]对账明细接口!$Q909=0,"",[1]对账明细接口!$Q909),"")</f>
      </c>
      <c r="W909" s="20">
        <f>IFERROR(IF([1]对账明细接口!$R909=0,"",[1]对账明细接口!$R909),"")</f>
      </c>
      <c r="X909" s="20">
        <f>IFERROR(IF([1]对账明细接口!$S909=0,"",[1]对账明细接口!$S909),"")</f>
      </c>
      <c r="Y909" s="20">
        <f>IFERROR(IF([1]对账明细接口!$T909=0,"",[1]对账明细接口!$T909),"")</f>
      </c>
      <c r="Z909" s="213">
        <f>IFERROR(IF([1]对账明细接口!$U909=0,"",[1]对账明细接口!$U909),"")</f>
      </c>
      <c r="AA909" s="213">
        <f>IFERROR(IF([1]对账明细接口!$V909=0,"",[1]对账明细接口!$V909),"")</f>
      </c>
      <c r="AB909" s="20">
        <f>IFERROR(IF([1]对账明细接口!$W909=0,"",[1]对账明细接口!$W909),"")</f>
      </c>
      <c r="AC909" s="7">
        <f>IFERROR(IF([1]对账明细接口!$X909=0,"",[1]对账明细接口!$X909),"")</f>
      </c>
      <c r="AD909" s="7">
        <f>IFERROR(IF([1]对账明细接口!$Y909=0,"",[1]对账明细接口!$Y909),"")</f>
      </c>
      <c r="AE909" s="7">
        <f>IFERROR(IF([1]对账明细接口!$AA909=0,"",[1]对账明细接口!$AA909),"")</f>
      </c>
      <c r="AF909" s="7">
        <f>IFERROR(IF([1]对账明细接口!$AB909=0,"",[1]对账明细接口!$AB909),"")</f>
      </c>
      <c r="AG909" s="7">
        <f>IFERROR(IF([1]对账明细接口!$AC909=0,"",[1]对账明细接口!$AC909),"")</f>
      </c>
      <c r="AH909" s="7">
        <f>IFERROR(IF([1]对账明细接口!$AD909=0,"",[1]对账明细接口!$AD909),"")</f>
      </c>
      <c r="AI909" s="7">
        <f>IFERROR(IF([1]对账明细接口!$AE909=0,"",[1]对账明细接口!$AE909),"")</f>
      </c>
      <c r="AJ909" s="7">
        <f>IFERROR(IF([1]对账明细接口!$AF909=0,"",[1]对账明细接口!$AF909),"")</f>
      </c>
    </row>
    <row r="910" ht="14.25" customHeight="1" s="127">
      <c r="A910" s="14" t="n">
        <v>910</v>
      </c>
      <c r="B910" s="211">
        <f>IFERROR(IF([1]对账明细接口!$B$910=0,"",[1]对账明细接口!$B$910),"")</f>
      </c>
      <c r="C910" s="16">
        <f>IFERROR(IF([1]对账明细接口!$C$910=0,"",[1]对账明细接口!$C$910),"")</f>
      </c>
      <c r="D910" s="16">
        <f>IFERROR(IF([1]对账明细接口!$D$910=0,"",[1]对账明细接口!$D$910),"")</f>
      </c>
      <c r="E910" s="16">
        <f>IFERROR(IF([1]对账明细接口!$E$910=0,"",[1]对账明细接口!$E$910),"")</f>
      </c>
      <c r="F910" s="16">
        <f>IFERROR(IF([1]对账明细接口!$F$910=0,"",[1]对账明细接口!$F$910),"")</f>
      </c>
      <c r="G910" s="16">
        <f>IFERROR(IF([1]对账明细接口!$G$910=0,"",[1]对账明细接口!$G$910),"")</f>
      </c>
      <c r="H910" s="176">
        <f>IFERROR(IF([1]对账明细接口!$H$910=0,"",[1]对账明细接口!$H$910),"")</f>
      </c>
      <c r="I910" s="16">
        <f>IFERROR(IF([1]对账明细接口!$I$910=0,"",[1]对账明细接口!$I$910),"")</f>
      </c>
      <c r="J910" s="177">
        <f>IFERROR(IF([1]对账明细接口!$J$910=0,"",[1]对账明细接口!$J$910),"")</f>
      </c>
      <c r="K910" s="177">
        <f>IFERROR(IF([1]对账明细接口!$K$910=0,"",[1]对账明细接口!$K$910),"")</f>
      </c>
      <c r="L910" s="16">
        <f>IFERROR(IF([1]对账明细接口!$L$910=0,"",[1]对账明细接口!$L$910),"")</f>
      </c>
      <c r="M910" s="16">
        <f>IFERROR(IF([1]对账明细接口!$M$910=0,"",[1]对账明细接口!$M$910),"")</f>
      </c>
      <c r="N910" s="19">
        <f>IF($C910="",0,1)</f>
        <v>0</v>
      </c>
      <c r="O910" s="19">
        <f>N(O909)+$N910</f>
        <v>637</v>
      </c>
      <c r="S910" s="20">
        <f>IFERROR(IF([1]对账明细接口!$N910=0,"",[1]对账明细接口!$N910),"")</f>
      </c>
      <c r="T910" s="212">
        <f>IFERROR(IF([1]对账明细接口!$O910=0,"",[1]对账明细接口!$O910),"")</f>
      </c>
      <c r="U910" s="212">
        <f>IFERROR(IF([1]对账明细接口!$P910=0,"",[1]对账明细接口!$P910),"")</f>
      </c>
      <c r="V910" s="212">
        <f>IFERROR(IF([1]对账明细接口!$Q910=0,"",[1]对账明细接口!$Q910),"")</f>
      </c>
      <c r="W910" s="20">
        <f>IFERROR(IF([1]对账明细接口!$R910=0,"",[1]对账明细接口!$R910),"")</f>
      </c>
      <c r="X910" s="20">
        <f>IFERROR(IF([1]对账明细接口!$S910=0,"",[1]对账明细接口!$S910),"")</f>
      </c>
      <c r="Y910" s="20">
        <f>IFERROR(IF([1]对账明细接口!$T910=0,"",[1]对账明细接口!$T910),"")</f>
      </c>
      <c r="Z910" s="213">
        <f>IFERROR(IF([1]对账明细接口!$U910=0,"",[1]对账明细接口!$U910),"")</f>
      </c>
      <c r="AA910" s="213">
        <f>IFERROR(IF([1]对账明细接口!$V910=0,"",[1]对账明细接口!$V910),"")</f>
      </c>
      <c r="AB910" s="20">
        <f>IFERROR(IF([1]对账明细接口!$W910=0,"",[1]对账明细接口!$W910),"")</f>
      </c>
      <c r="AC910" s="7">
        <f>IFERROR(IF([1]对账明细接口!$X910=0,"",[1]对账明细接口!$X910),"")</f>
      </c>
      <c r="AD910" s="7">
        <f>IFERROR(IF([1]对账明细接口!$Y910=0,"",[1]对账明细接口!$Y910),"")</f>
      </c>
      <c r="AE910" s="7">
        <f>IFERROR(IF([1]对账明细接口!$AA910=0,"",[1]对账明细接口!$AA910),"")</f>
      </c>
      <c r="AF910" s="7">
        <f>IFERROR(IF([1]对账明细接口!$AB910=0,"",[1]对账明细接口!$AB910),"")</f>
      </c>
      <c r="AG910" s="7">
        <f>IFERROR(IF([1]对账明细接口!$AC910=0,"",[1]对账明细接口!$AC910),"")</f>
      </c>
      <c r="AH910" s="7">
        <f>IFERROR(IF([1]对账明细接口!$AD910=0,"",[1]对账明细接口!$AD910),"")</f>
      </c>
      <c r="AI910" s="7">
        <f>IFERROR(IF([1]对账明细接口!$AE910=0,"",[1]对账明细接口!$AE910),"")</f>
      </c>
      <c r="AJ910" s="7">
        <f>IFERROR(IF([1]对账明细接口!$AF910=0,"",[1]对账明细接口!$AF910),"")</f>
      </c>
    </row>
    <row r="911" ht="14.25" customHeight="1" s="127">
      <c r="A911" s="14" t="n">
        <v>911</v>
      </c>
      <c r="B911" s="211">
        <f>IFERROR(IF([1]对账明细接口!$B$911=0,"",[1]对账明细接口!$B$911),"")</f>
      </c>
      <c r="C911" s="16">
        <f>IFERROR(IF([1]对账明细接口!$C$911=0,"",[1]对账明细接口!$C$911),"")</f>
      </c>
      <c r="D911" s="16">
        <f>IFERROR(IF([1]对账明细接口!$D$911=0,"",[1]对账明细接口!$D$911),"")</f>
      </c>
      <c r="E911" s="16">
        <f>IFERROR(IF([1]对账明细接口!$E$911=0,"",[1]对账明细接口!$E$911),"")</f>
      </c>
      <c r="F911" s="16">
        <f>IFERROR(IF([1]对账明细接口!$F$911=0,"",[1]对账明细接口!$F$911),"")</f>
      </c>
      <c r="G911" s="16">
        <f>IFERROR(IF([1]对账明细接口!$G$911=0,"",[1]对账明细接口!$G$911),"")</f>
      </c>
      <c r="H911" s="176">
        <f>IFERROR(IF([1]对账明细接口!$H$911=0,"",[1]对账明细接口!$H$911),"")</f>
      </c>
      <c r="I911" s="16">
        <f>IFERROR(IF([1]对账明细接口!$I$911=0,"",[1]对账明细接口!$I$911),"")</f>
      </c>
      <c r="J911" s="177">
        <f>IFERROR(IF([1]对账明细接口!$J$911=0,"",[1]对账明细接口!$J$911),"")</f>
      </c>
      <c r="K911" s="177">
        <f>IFERROR(IF([1]对账明细接口!$K$911=0,"",[1]对账明细接口!$K$911),"")</f>
      </c>
      <c r="L911" s="16">
        <f>IFERROR(IF([1]对账明细接口!$L$911=0,"",[1]对账明细接口!$L$911),"")</f>
      </c>
      <c r="M911" s="16">
        <f>IFERROR(IF([1]对账明细接口!$M$911=0,"",[1]对账明细接口!$M$911),"")</f>
      </c>
      <c r="N911" s="19">
        <f>IF($C911="",0,1)</f>
        <v>0</v>
      </c>
      <c r="O911" s="19">
        <f>N(O910)+$N911</f>
        <v>637</v>
      </c>
      <c r="S911" s="20">
        <f>IFERROR(IF([1]对账明细接口!$N911=0,"",[1]对账明细接口!$N911),"")</f>
      </c>
      <c r="T911" s="212">
        <f>IFERROR(IF([1]对账明细接口!$O911=0,"",[1]对账明细接口!$O911),"")</f>
      </c>
      <c r="U911" s="212">
        <f>IFERROR(IF([1]对账明细接口!$P911=0,"",[1]对账明细接口!$P911),"")</f>
      </c>
      <c r="V911" s="212">
        <f>IFERROR(IF([1]对账明细接口!$Q911=0,"",[1]对账明细接口!$Q911),"")</f>
      </c>
      <c r="W911" s="20">
        <f>IFERROR(IF([1]对账明细接口!$R911=0,"",[1]对账明细接口!$R911),"")</f>
      </c>
      <c r="X911" s="20">
        <f>IFERROR(IF([1]对账明细接口!$S911=0,"",[1]对账明细接口!$S911),"")</f>
      </c>
      <c r="Y911" s="20">
        <f>IFERROR(IF([1]对账明细接口!$T911=0,"",[1]对账明细接口!$T911),"")</f>
      </c>
      <c r="Z911" s="213">
        <f>IFERROR(IF([1]对账明细接口!$U911=0,"",[1]对账明细接口!$U911),"")</f>
      </c>
      <c r="AA911" s="213">
        <f>IFERROR(IF([1]对账明细接口!$V911=0,"",[1]对账明细接口!$V911),"")</f>
      </c>
      <c r="AB911" s="20">
        <f>IFERROR(IF([1]对账明细接口!$W911=0,"",[1]对账明细接口!$W911),"")</f>
      </c>
      <c r="AC911" s="7">
        <f>IFERROR(IF([1]对账明细接口!$X911=0,"",[1]对账明细接口!$X911),"")</f>
      </c>
      <c r="AD911" s="7">
        <f>IFERROR(IF([1]对账明细接口!$Y911=0,"",[1]对账明细接口!$Y911),"")</f>
      </c>
      <c r="AE911" s="7">
        <f>IFERROR(IF([1]对账明细接口!$AA911=0,"",[1]对账明细接口!$AA911),"")</f>
      </c>
      <c r="AF911" s="7">
        <f>IFERROR(IF([1]对账明细接口!$AB911=0,"",[1]对账明细接口!$AB911),"")</f>
      </c>
      <c r="AG911" s="7">
        <f>IFERROR(IF([1]对账明细接口!$AC911=0,"",[1]对账明细接口!$AC911),"")</f>
      </c>
      <c r="AH911" s="7">
        <f>IFERROR(IF([1]对账明细接口!$AD911=0,"",[1]对账明细接口!$AD911),"")</f>
      </c>
      <c r="AI911" s="7">
        <f>IFERROR(IF([1]对账明细接口!$AE911=0,"",[1]对账明细接口!$AE911),"")</f>
      </c>
      <c r="AJ911" s="7">
        <f>IFERROR(IF([1]对账明细接口!$AF911=0,"",[1]对账明细接口!$AF911),"")</f>
      </c>
    </row>
    <row r="912" ht="14.25" customHeight="1" s="127">
      <c r="A912" s="14" t="n">
        <v>912</v>
      </c>
      <c r="B912" s="211">
        <f>IFERROR(IF([1]对账明细接口!$B$912=0,"",[1]对账明细接口!$B$912),"")</f>
      </c>
      <c r="C912" s="16">
        <f>IFERROR(IF([1]对账明细接口!$C$912=0,"",[1]对账明细接口!$C$912),"")</f>
      </c>
      <c r="D912" s="16">
        <f>IFERROR(IF([1]对账明细接口!$D$912=0,"",[1]对账明细接口!$D$912),"")</f>
      </c>
      <c r="E912" s="16">
        <f>IFERROR(IF([1]对账明细接口!$E$912=0,"",[1]对账明细接口!$E$912),"")</f>
      </c>
      <c r="F912" s="16">
        <f>IFERROR(IF([1]对账明细接口!$F$912=0,"",[1]对账明细接口!$F$912),"")</f>
      </c>
      <c r="G912" s="16">
        <f>IFERROR(IF([1]对账明细接口!$G$912=0,"",[1]对账明细接口!$G$912),"")</f>
      </c>
      <c r="H912" s="176">
        <f>IFERROR(IF([1]对账明细接口!$H$912=0,"",[1]对账明细接口!$H$912),"")</f>
      </c>
      <c r="I912" s="16">
        <f>IFERROR(IF([1]对账明细接口!$I$912=0,"",[1]对账明细接口!$I$912),"")</f>
      </c>
      <c r="J912" s="177">
        <f>IFERROR(IF([1]对账明细接口!$J$912=0,"",[1]对账明细接口!$J$912),"")</f>
      </c>
      <c r="K912" s="177">
        <f>IFERROR(IF([1]对账明细接口!$K$912=0,"",[1]对账明细接口!$K$912),"")</f>
      </c>
      <c r="L912" s="16">
        <f>IFERROR(IF([1]对账明细接口!$L$912=0,"",[1]对账明细接口!$L$912),"")</f>
      </c>
      <c r="M912" s="16">
        <f>IFERROR(IF([1]对账明细接口!$M$912=0,"",[1]对账明细接口!$M$912),"")</f>
      </c>
      <c r="N912" s="19">
        <f>IF($C912="",0,1)</f>
        <v>0</v>
      </c>
      <c r="O912" s="19">
        <f>N(O911)+$N912</f>
        <v>637</v>
      </c>
      <c r="S912" s="20">
        <f>IFERROR(IF([1]对账明细接口!$N912=0,"",[1]对账明细接口!$N912),"")</f>
      </c>
      <c r="T912" s="212">
        <f>IFERROR(IF([1]对账明细接口!$O912=0,"",[1]对账明细接口!$O912),"")</f>
      </c>
      <c r="U912" s="212">
        <f>IFERROR(IF([1]对账明细接口!$P912=0,"",[1]对账明细接口!$P912),"")</f>
      </c>
      <c r="V912" s="212">
        <f>IFERROR(IF([1]对账明细接口!$Q912=0,"",[1]对账明细接口!$Q912),"")</f>
      </c>
      <c r="W912" s="20">
        <f>IFERROR(IF([1]对账明细接口!$R912=0,"",[1]对账明细接口!$R912),"")</f>
      </c>
      <c r="X912" s="20">
        <f>IFERROR(IF([1]对账明细接口!$S912=0,"",[1]对账明细接口!$S912),"")</f>
      </c>
      <c r="Y912" s="20">
        <f>IFERROR(IF([1]对账明细接口!$T912=0,"",[1]对账明细接口!$T912),"")</f>
      </c>
      <c r="Z912" s="213">
        <f>IFERROR(IF([1]对账明细接口!$U912=0,"",[1]对账明细接口!$U912),"")</f>
      </c>
      <c r="AA912" s="213">
        <f>IFERROR(IF([1]对账明细接口!$V912=0,"",[1]对账明细接口!$V912),"")</f>
      </c>
      <c r="AB912" s="20">
        <f>IFERROR(IF([1]对账明细接口!$W912=0,"",[1]对账明细接口!$W912),"")</f>
      </c>
      <c r="AC912" s="7">
        <f>IFERROR(IF([1]对账明细接口!$X912=0,"",[1]对账明细接口!$X912),"")</f>
      </c>
      <c r="AD912" s="7">
        <f>IFERROR(IF([1]对账明细接口!$Y912=0,"",[1]对账明细接口!$Y912),"")</f>
      </c>
      <c r="AE912" s="7">
        <f>IFERROR(IF([1]对账明细接口!$AA912=0,"",[1]对账明细接口!$AA912),"")</f>
      </c>
      <c r="AF912" s="7">
        <f>IFERROR(IF([1]对账明细接口!$AB912=0,"",[1]对账明细接口!$AB912),"")</f>
      </c>
      <c r="AG912" s="7">
        <f>IFERROR(IF([1]对账明细接口!$AC912=0,"",[1]对账明细接口!$AC912),"")</f>
      </c>
      <c r="AH912" s="7">
        <f>IFERROR(IF([1]对账明细接口!$AD912=0,"",[1]对账明细接口!$AD912),"")</f>
      </c>
      <c r="AI912" s="7">
        <f>IFERROR(IF([1]对账明细接口!$AE912=0,"",[1]对账明细接口!$AE912),"")</f>
      </c>
      <c r="AJ912" s="7">
        <f>IFERROR(IF([1]对账明细接口!$AF912=0,"",[1]对账明细接口!$AF912),"")</f>
      </c>
    </row>
    <row r="913" ht="14.25" customHeight="1" s="127">
      <c r="A913" s="14" t="n">
        <v>913</v>
      </c>
      <c r="B913" s="211">
        <f>IFERROR(IF([1]对账明细接口!$B$913=0,"",[1]对账明细接口!$B$913),"")</f>
      </c>
      <c r="C913" s="16">
        <f>IFERROR(IF([1]对账明细接口!$C$913=0,"",[1]对账明细接口!$C$913),"")</f>
      </c>
      <c r="D913" s="16">
        <f>IFERROR(IF([1]对账明细接口!$D$913=0,"",[1]对账明细接口!$D$913),"")</f>
      </c>
      <c r="E913" s="16">
        <f>IFERROR(IF([1]对账明细接口!$E$913=0,"",[1]对账明细接口!$E$913),"")</f>
      </c>
      <c r="F913" s="16">
        <f>IFERROR(IF([1]对账明细接口!$F$913=0,"",[1]对账明细接口!$F$913),"")</f>
      </c>
      <c r="G913" s="16">
        <f>IFERROR(IF([1]对账明细接口!$G$913=0,"",[1]对账明细接口!$G$913),"")</f>
      </c>
      <c r="H913" s="176">
        <f>IFERROR(IF([1]对账明细接口!$H$913=0,"",[1]对账明细接口!$H$913),"")</f>
      </c>
      <c r="I913" s="16">
        <f>IFERROR(IF([1]对账明细接口!$I$913=0,"",[1]对账明细接口!$I$913),"")</f>
      </c>
      <c r="J913" s="177">
        <f>IFERROR(IF([1]对账明细接口!$J$913=0,"",[1]对账明细接口!$J$913),"")</f>
      </c>
      <c r="K913" s="177">
        <f>IFERROR(IF([1]对账明细接口!$K$913=0,"",[1]对账明细接口!$K$913),"")</f>
      </c>
      <c r="L913" s="16">
        <f>IFERROR(IF([1]对账明细接口!$L$913=0,"",[1]对账明细接口!$L$913),"")</f>
      </c>
      <c r="M913" s="16">
        <f>IFERROR(IF([1]对账明细接口!$M$913=0,"",[1]对账明细接口!$M$913),"")</f>
      </c>
      <c r="N913" s="19">
        <f>IF($C913="",0,1)</f>
        <v>0</v>
      </c>
      <c r="O913" s="19">
        <f>N(O912)+$N913</f>
        <v>637</v>
      </c>
      <c r="S913" s="20">
        <f>IFERROR(IF([1]对账明细接口!$N913=0,"",[1]对账明细接口!$N913),"")</f>
      </c>
      <c r="T913" s="212">
        <f>IFERROR(IF([1]对账明细接口!$O913=0,"",[1]对账明细接口!$O913),"")</f>
      </c>
      <c r="U913" s="212">
        <f>IFERROR(IF([1]对账明细接口!$P913=0,"",[1]对账明细接口!$P913),"")</f>
      </c>
      <c r="V913" s="212">
        <f>IFERROR(IF([1]对账明细接口!$Q913=0,"",[1]对账明细接口!$Q913),"")</f>
      </c>
      <c r="W913" s="20">
        <f>IFERROR(IF([1]对账明细接口!$R913=0,"",[1]对账明细接口!$R913),"")</f>
      </c>
      <c r="X913" s="20">
        <f>IFERROR(IF([1]对账明细接口!$S913=0,"",[1]对账明细接口!$S913),"")</f>
      </c>
      <c r="Y913" s="20">
        <f>IFERROR(IF([1]对账明细接口!$T913=0,"",[1]对账明细接口!$T913),"")</f>
      </c>
      <c r="Z913" s="213">
        <f>IFERROR(IF([1]对账明细接口!$U913=0,"",[1]对账明细接口!$U913),"")</f>
      </c>
      <c r="AA913" s="213">
        <f>IFERROR(IF([1]对账明细接口!$V913=0,"",[1]对账明细接口!$V913),"")</f>
      </c>
      <c r="AB913" s="20">
        <f>IFERROR(IF([1]对账明细接口!$W913=0,"",[1]对账明细接口!$W913),"")</f>
      </c>
      <c r="AC913" s="7">
        <f>IFERROR(IF([1]对账明细接口!$X913=0,"",[1]对账明细接口!$X913),"")</f>
      </c>
      <c r="AD913" s="7">
        <f>IFERROR(IF([1]对账明细接口!$Y913=0,"",[1]对账明细接口!$Y913),"")</f>
      </c>
      <c r="AE913" s="7">
        <f>IFERROR(IF([1]对账明细接口!$AA913=0,"",[1]对账明细接口!$AA913),"")</f>
      </c>
      <c r="AF913" s="7">
        <f>IFERROR(IF([1]对账明细接口!$AB913=0,"",[1]对账明细接口!$AB913),"")</f>
      </c>
      <c r="AG913" s="7">
        <f>IFERROR(IF([1]对账明细接口!$AC913=0,"",[1]对账明细接口!$AC913),"")</f>
      </c>
      <c r="AH913" s="7">
        <f>IFERROR(IF([1]对账明细接口!$AD913=0,"",[1]对账明细接口!$AD913),"")</f>
      </c>
      <c r="AI913" s="7">
        <f>IFERROR(IF([1]对账明细接口!$AE913=0,"",[1]对账明细接口!$AE913),"")</f>
      </c>
      <c r="AJ913" s="7">
        <f>IFERROR(IF([1]对账明细接口!$AF913=0,"",[1]对账明细接口!$AF913),"")</f>
      </c>
    </row>
    <row r="914" ht="14.25" customHeight="1" s="127">
      <c r="A914" s="14" t="n">
        <v>914</v>
      </c>
      <c r="B914" s="211">
        <f>IFERROR(IF([1]对账明细接口!$B$914=0,"",[1]对账明细接口!$B$914),"")</f>
      </c>
      <c r="C914" s="16">
        <f>IFERROR(IF([1]对账明细接口!$C$914=0,"",[1]对账明细接口!$C$914),"")</f>
      </c>
      <c r="D914" s="16">
        <f>IFERROR(IF([1]对账明细接口!$D$914=0,"",[1]对账明细接口!$D$914),"")</f>
      </c>
      <c r="E914" s="16">
        <f>IFERROR(IF([1]对账明细接口!$E$914=0,"",[1]对账明细接口!$E$914),"")</f>
      </c>
      <c r="F914" s="16">
        <f>IFERROR(IF([1]对账明细接口!$F$914=0,"",[1]对账明细接口!$F$914),"")</f>
      </c>
      <c r="G914" s="16">
        <f>IFERROR(IF([1]对账明细接口!$G$914=0,"",[1]对账明细接口!$G$914),"")</f>
      </c>
      <c r="H914" s="176">
        <f>IFERROR(IF([1]对账明细接口!$H$914=0,"",[1]对账明细接口!$H$914),"")</f>
      </c>
      <c r="I914" s="16">
        <f>IFERROR(IF([1]对账明细接口!$I$914=0,"",[1]对账明细接口!$I$914),"")</f>
      </c>
      <c r="J914" s="177">
        <f>IFERROR(IF([1]对账明细接口!$J$914=0,"",[1]对账明细接口!$J$914),"")</f>
      </c>
      <c r="K914" s="177">
        <f>IFERROR(IF([1]对账明细接口!$K$914=0,"",[1]对账明细接口!$K$914),"")</f>
      </c>
      <c r="L914" s="16">
        <f>IFERROR(IF([1]对账明细接口!$L$914=0,"",[1]对账明细接口!$L$914),"")</f>
      </c>
      <c r="M914" s="16">
        <f>IFERROR(IF([1]对账明细接口!$M$914=0,"",[1]对账明细接口!$M$914),"")</f>
      </c>
      <c r="N914" s="19">
        <f>IF($C914="",0,1)</f>
        <v>0</v>
      </c>
      <c r="O914" s="19">
        <f>N(O913)+$N914</f>
        <v>637</v>
      </c>
      <c r="S914" s="20">
        <f>IFERROR(IF([1]对账明细接口!$N914=0,"",[1]对账明细接口!$N914),"")</f>
      </c>
      <c r="T914" s="212">
        <f>IFERROR(IF([1]对账明细接口!$O914=0,"",[1]对账明细接口!$O914),"")</f>
      </c>
      <c r="U914" s="212">
        <f>IFERROR(IF([1]对账明细接口!$P914=0,"",[1]对账明细接口!$P914),"")</f>
      </c>
      <c r="V914" s="212">
        <f>IFERROR(IF([1]对账明细接口!$Q914=0,"",[1]对账明细接口!$Q914),"")</f>
      </c>
      <c r="W914" s="20">
        <f>IFERROR(IF([1]对账明细接口!$R914=0,"",[1]对账明细接口!$R914),"")</f>
      </c>
      <c r="X914" s="20">
        <f>IFERROR(IF([1]对账明细接口!$S914=0,"",[1]对账明细接口!$S914),"")</f>
      </c>
      <c r="Y914" s="20">
        <f>IFERROR(IF([1]对账明细接口!$T914=0,"",[1]对账明细接口!$T914),"")</f>
      </c>
      <c r="Z914" s="213">
        <f>IFERROR(IF([1]对账明细接口!$U914=0,"",[1]对账明细接口!$U914),"")</f>
      </c>
      <c r="AA914" s="213">
        <f>IFERROR(IF([1]对账明细接口!$V914=0,"",[1]对账明细接口!$V914),"")</f>
      </c>
      <c r="AB914" s="20">
        <f>IFERROR(IF([1]对账明细接口!$W914=0,"",[1]对账明细接口!$W914),"")</f>
      </c>
      <c r="AC914" s="7">
        <f>IFERROR(IF([1]对账明细接口!$X914=0,"",[1]对账明细接口!$X914),"")</f>
      </c>
      <c r="AD914" s="7">
        <f>IFERROR(IF([1]对账明细接口!$Y914=0,"",[1]对账明细接口!$Y914),"")</f>
      </c>
      <c r="AE914" s="7">
        <f>IFERROR(IF([1]对账明细接口!$AA914=0,"",[1]对账明细接口!$AA914),"")</f>
      </c>
      <c r="AF914" s="7">
        <f>IFERROR(IF([1]对账明细接口!$AB914=0,"",[1]对账明细接口!$AB914),"")</f>
      </c>
      <c r="AG914" s="7">
        <f>IFERROR(IF([1]对账明细接口!$AC914=0,"",[1]对账明细接口!$AC914),"")</f>
      </c>
      <c r="AH914" s="7">
        <f>IFERROR(IF([1]对账明细接口!$AD914=0,"",[1]对账明细接口!$AD914),"")</f>
      </c>
      <c r="AI914" s="7">
        <f>IFERROR(IF([1]对账明细接口!$AE914=0,"",[1]对账明细接口!$AE914),"")</f>
      </c>
      <c r="AJ914" s="7">
        <f>IFERROR(IF([1]对账明细接口!$AF914=0,"",[1]对账明细接口!$AF914),"")</f>
      </c>
    </row>
    <row r="915" ht="14.25" customHeight="1" s="127">
      <c r="A915" s="14" t="n">
        <v>915</v>
      </c>
      <c r="B915" s="211">
        <f>IFERROR(IF([1]对账明细接口!$B$915=0,"",[1]对账明细接口!$B$915),"")</f>
      </c>
      <c r="C915" s="16">
        <f>IFERROR(IF([1]对账明细接口!$C$915=0,"",[1]对账明细接口!$C$915),"")</f>
      </c>
      <c r="D915" s="16">
        <f>IFERROR(IF([1]对账明细接口!$D$915=0,"",[1]对账明细接口!$D$915),"")</f>
      </c>
      <c r="E915" s="16">
        <f>IFERROR(IF([1]对账明细接口!$E$915=0,"",[1]对账明细接口!$E$915),"")</f>
      </c>
      <c r="F915" s="16">
        <f>IFERROR(IF([1]对账明细接口!$F$915=0,"",[1]对账明细接口!$F$915),"")</f>
      </c>
      <c r="G915" s="16">
        <f>IFERROR(IF([1]对账明细接口!$G$915=0,"",[1]对账明细接口!$G$915),"")</f>
      </c>
      <c r="H915" s="176">
        <f>IFERROR(IF([1]对账明细接口!$H$915=0,"",[1]对账明细接口!$H$915),"")</f>
      </c>
      <c r="I915" s="16">
        <f>IFERROR(IF([1]对账明细接口!$I$915=0,"",[1]对账明细接口!$I$915),"")</f>
      </c>
      <c r="J915" s="177">
        <f>IFERROR(IF([1]对账明细接口!$J$915=0,"",[1]对账明细接口!$J$915),"")</f>
      </c>
      <c r="K915" s="177">
        <f>IFERROR(IF([1]对账明细接口!$K$915=0,"",[1]对账明细接口!$K$915),"")</f>
      </c>
      <c r="L915" s="16">
        <f>IFERROR(IF([1]对账明细接口!$L$915=0,"",[1]对账明细接口!$L$915),"")</f>
      </c>
      <c r="M915" s="16">
        <f>IFERROR(IF([1]对账明细接口!$M$915=0,"",[1]对账明细接口!$M$915),"")</f>
      </c>
      <c r="N915" s="19">
        <f>IF($C915="",0,1)</f>
        <v>0</v>
      </c>
      <c r="O915" s="19">
        <f>N(O914)+$N915</f>
        <v>637</v>
      </c>
      <c r="S915" s="20">
        <f>IFERROR(IF([1]对账明细接口!$N915=0,"",[1]对账明细接口!$N915),"")</f>
      </c>
      <c r="T915" s="212">
        <f>IFERROR(IF([1]对账明细接口!$O915=0,"",[1]对账明细接口!$O915),"")</f>
      </c>
      <c r="U915" s="212">
        <f>IFERROR(IF([1]对账明细接口!$P915=0,"",[1]对账明细接口!$P915),"")</f>
      </c>
      <c r="V915" s="212">
        <f>IFERROR(IF([1]对账明细接口!$Q915=0,"",[1]对账明细接口!$Q915),"")</f>
      </c>
      <c r="W915" s="20">
        <f>IFERROR(IF([1]对账明细接口!$R915=0,"",[1]对账明细接口!$R915),"")</f>
      </c>
      <c r="X915" s="20">
        <f>IFERROR(IF([1]对账明细接口!$S915=0,"",[1]对账明细接口!$S915),"")</f>
      </c>
      <c r="Y915" s="20">
        <f>IFERROR(IF([1]对账明细接口!$T915=0,"",[1]对账明细接口!$T915),"")</f>
      </c>
      <c r="Z915" s="213">
        <f>IFERROR(IF([1]对账明细接口!$U915=0,"",[1]对账明细接口!$U915),"")</f>
      </c>
      <c r="AA915" s="213">
        <f>IFERROR(IF([1]对账明细接口!$V915=0,"",[1]对账明细接口!$V915),"")</f>
      </c>
      <c r="AB915" s="20">
        <f>IFERROR(IF([1]对账明细接口!$W915=0,"",[1]对账明细接口!$W915),"")</f>
      </c>
      <c r="AC915" s="7">
        <f>IFERROR(IF([1]对账明细接口!$X915=0,"",[1]对账明细接口!$X915),"")</f>
      </c>
      <c r="AD915" s="7">
        <f>IFERROR(IF([1]对账明细接口!$Y915=0,"",[1]对账明细接口!$Y915),"")</f>
      </c>
      <c r="AE915" s="7">
        <f>IFERROR(IF([1]对账明细接口!$AA915=0,"",[1]对账明细接口!$AA915),"")</f>
      </c>
      <c r="AF915" s="7">
        <f>IFERROR(IF([1]对账明细接口!$AB915=0,"",[1]对账明细接口!$AB915),"")</f>
      </c>
      <c r="AG915" s="7">
        <f>IFERROR(IF([1]对账明细接口!$AC915=0,"",[1]对账明细接口!$AC915),"")</f>
      </c>
      <c r="AH915" s="7">
        <f>IFERROR(IF([1]对账明细接口!$AD915=0,"",[1]对账明细接口!$AD915),"")</f>
      </c>
      <c r="AI915" s="7">
        <f>IFERROR(IF([1]对账明细接口!$AE915=0,"",[1]对账明细接口!$AE915),"")</f>
      </c>
      <c r="AJ915" s="7">
        <f>IFERROR(IF([1]对账明细接口!$AF915=0,"",[1]对账明细接口!$AF915),"")</f>
      </c>
    </row>
    <row r="916" ht="14.25" customHeight="1" s="127">
      <c r="A916" s="14" t="n">
        <v>916</v>
      </c>
      <c r="B916" s="211">
        <f>IFERROR(IF([1]对账明细接口!$B$916=0,"",[1]对账明细接口!$B$916),"")</f>
      </c>
      <c r="C916" s="16">
        <f>IFERROR(IF([1]对账明细接口!$C$916=0,"",[1]对账明细接口!$C$916),"")</f>
      </c>
      <c r="D916" s="16">
        <f>IFERROR(IF([1]对账明细接口!$D$916=0,"",[1]对账明细接口!$D$916),"")</f>
      </c>
      <c r="E916" s="16">
        <f>IFERROR(IF([1]对账明细接口!$E$916=0,"",[1]对账明细接口!$E$916),"")</f>
      </c>
      <c r="F916" s="16">
        <f>IFERROR(IF([1]对账明细接口!$F$916=0,"",[1]对账明细接口!$F$916),"")</f>
      </c>
      <c r="G916" s="16">
        <f>IFERROR(IF([1]对账明细接口!$G$916=0,"",[1]对账明细接口!$G$916),"")</f>
      </c>
      <c r="H916" s="176">
        <f>IFERROR(IF([1]对账明细接口!$H$916=0,"",[1]对账明细接口!$H$916),"")</f>
      </c>
      <c r="I916" s="16">
        <f>IFERROR(IF([1]对账明细接口!$I$916=0,"",[1]对账明细接口!$I$916),"")</f>
      </c>
      <c r="J916" s="177">
        <f>IFERROR(IF([1]对账明细接口!$J$916=0,"",[1]对账明细接口!$J$916),"")</f>
      </c>
      <c r="K916" s="177">
        <f>IFERROR(IF([1]对账明细接口!$K$916=0,"",[1]对账明细接口!$K$916),"")</f>
      </c>
      <c r="L916" s="16">
        <f>IFERROR(IF([1]对账明细接口!$L$916=0,"",[1]对账明细接口!$L$916),"")</f>
      </c>
      <c r="M916" s="16">
        <f>IFERROR(IF([1]对账明细接口!$M$916=0,"",[1]对账明细接口!$M$916),"")</f>
      </c>
      <c r="N916" s="19">
        <f>IF($C916="",0,1)</f>
        <v>0</v>
      </c>
      <c r="O916" s="19">
        <f>N(O915)+$N916</f>
        <v>637</v>
      </c>
      <c r="S916" s="20">
        <f>IFERROR(IF([1]对账明细接口!$N916=0,"",[1]对账明细接口!$N916),"")</f>
      </c>
      <c r="T916" s="212">
        <f>IFERROR(IF([1]对账明细接口!$O916=0,"",[1]对账明细接口!$O916),"")</f>
      </c>
      <c r="U916" s="212">
        <f>IFERROR(IF([1]对账明细接口!$P916=0,"",[1]对账明细接口!$P916),"")</f>
      </c>
      <c r="V916" s="212">
        <f>IFERROR(IF([1]对账明细接口!$Q916=0,"",[1]对账明细接口!$Q916),"")</f>
      </c>
      <c r="W916" s="20">
        <f>IFERROR(IF([1]对账明细接口!$R916=0,"",[1]对账明细接口!$R916),"")</f>
      </c>
      <c r="X916" s="20">
        <f>IFERROR(IF([1]对账明细接口!$S916=0,"",[1]对账明细接口!$S916),"")</f>
      </c>
      <c r="Y916" s="20">
        <f>IFERROR(IF([1]对账明细接口!$T916=0,"",[1]对账明细接口!$T916),"")</f>
      </c>
      <c r="Z916" s="213">
        <f>IFERROR(IF([1]对账明细接口!$U916=0,"",[1]对账明细接口!$U916),"")</f>
      </c>
      <c r="AA916" s="213">
        <f>IFERROR(IF([1]对账明细接口!$V916=0,"",[1]对账明细接口!$V916),"")</f>
      </c>
      <c r="AB916" s="20">
        <f>IFERROR(IF([1]对账明细接口!$W916=0,"",[1]对账明细接口!$W916),"")</f>
      </c>
      <c r="AC916" s="7">
        <f>IFERROR(IF([1]对账明细接口!$X916=0,"",[1]对账明细接口!$X916),"")</f>
      </c>
      <c r="AD916" s="7">
        <f>IFERROR(IF([1]对账明细接口!$Y916=0,"",[1]对账明细接口!$Y916),"")</f>
      </c>
      <c r="AE916" s="7">
        <f>IFERROR(IF([1]对账明细接口!$AA916=0,"",[1]对账明细接口!$AA916),"")</f>
      </c>
      <c r="AF916" s="7">
        <f>IFERROR(IF([1]对账明细接口!$AB916=0,"",[1]对账明细接口!$AB916),"")</f>
      </c>
      <c r="AG916" s="7">
        <f>IFERROR(IF([1]对账明细接口!$AC916=0,"",[1]对账明细接口!$AC916),"")</f>
      </c>
      <c r="AH916" s="7">
        <f>IFERROR(IF([1]对账明细接口!$AD916=0,"",[1]对账明细接口!$AD916),"")</f>
      </c>
      <c r="AI916" s="7">
        <f>IFERROR(IF([1]对账明细接口!$AE916=0,"",[1]对账明细接口!$AE916),"")</f>
      </c>
      <c r="AJ916" s="7">
        <f>IFERROR(IF([1]对账明细接口!$AF916=0,"",[1]对账明细接口!$AF916),"")</f>
      </c>
    </row>
    <row r="917" ht="14.25" customHeight="1" s="127">
      <c r="A917" s="14" t="n">
        <v>917</v>
      </c>
      <c r="B917" s="211">
        <f>IFERROR(IF([1]对账明细接口!$B$917=0,"",[1]对账明细接口!$B$917),"")</f>
      </c>
      <c r="C917" s="16">
        <f>IFERROR(IF([1]对账明细接口!$C$917=0,"",[1]对账明细接口!$C$917),"")</f>
      </c>
      <c r="D917" s="16">
        <f>IFERROR(IF([1]对账明细接口!$D$917=0,"",[1]对账明细接口!$D$917),"")</f>
      </c>
      <c r="E917" s="16">
        <f>IFERROR(IF([1]对账明细接口!$E$917=0,"",[1]对账明细接口!$E$917),"")</f>
      </c>
      <c r="F917" s="16">
        <f>IFERROR(IF([1]对账明细接口!$F$917=0,"",[1]对账明细接口!$F$917),"")</f>
      </c>
      <c r="G917" s="16">
        <f>IFERROR(IF([1]对账明细接口!$G$917=0,"",[1]对账明细接口!$G$917),"")</f>
      </c>
      <c r="H917" s="176">
        <f>IFERROR(IF([1]对账明细接口!$H$917=0,"",[1]对账明细接口!$H$917),"")</f>
      </c>
      <c r="I917" s="16">
        <f>IFERROR(IF([1]对账明细接口!$I$917=0,"",[1]对账明细接口!$I$917),"")</f>
      </c>
      <c r="J917" s="177">
        <f>IFERROR(IF([1]对账明细接口!$J$917=0,"",[1]对账明细接口!$J$917),"")</f>
      </c>
      <c r="K917" s="177">
        <f>IFERROR(IF([1]对账明细接口!$K$917=0,"",[1]对账明细接口!$K$917),"")</f>
      </c>
      <c r="L917" s="16">
        <f>IFERROR(IF([1]对账明细接口!$L$917=0,"",[1]对账明细接口!$L$917),"")</f>
      </c>
      <c r="M917" s="16">
        <f>IFERROR(IF([1]对账明细接口!$M$917=0,"",[1]对账明细接口!$M$917),"")</f>
      </c>
      <c r="N917" s="19">
        <f>IF($C917="",0,1)</f>
        <v>0</v>
      </c>
      <c r="O917" s="19">
        <f>N(O916)+$N917</f>
        <v>637</v>
      </c>
      <c r="S917" s="20">
        <f>IFERROR(IF([1]对账明细接口!$N917=0,"",[1]对账明细接口!$N917),"")</f>
      </c>
      <c r="T917" s="212">
        <f>IFERROR(IF([1]对账明细接口!$O917=0,"",[1]对账明细接口!$O917),"")</f>
      </c>
      <c r="U917" s="212">
        <f>IFERROR(IF([1]对账明细接口!$P917=0,"",[1]对账明细接口!$P917),"")</f>
      </c>
      <c r="V917" s="212">
        <f>IFERROR(IF([1]对账明细接口!$Q917=0,"",[1]对账明细接口!$Q917),"")</f>
      </c>
      <c r="W917" s="20">
        <f>IFERROR(IF([1]对账明细接口!$R917=0,"",[1]对账明细接口!$R917),"")</f>
      </c>
      <c r="X917" s="20">
        <f>IFERROR(IF([1]对账明细接口!$S917=0,"",[1]对账明细接口!$S917),"")</f>
      </c>
      <c r="Y917" s="20">
        <f>IFERROR(IF([1]对账明细接口!$T917=0,"",[1]对账明细接口!$T917),"")</f>
      </c>
      <c r="Z917" s="213">
        <f>IFERROR(IF([1]对账明细接口!$U917=0,"",[1]对账明细接口!$U917),"")</f>
      </c>
      <c r="AA917" s="213">
        <f>IFERROR(IF([1]对账明细接口!$V917=0,"",[1]对账明细接口!$V917),"")</f>
      </c>
      <c r="AB917" s="20">
        <f>IFERROR(IF([1]对账明细接口!$W917=0,"",[1]对账明细接口!$W917),"")</f>
      </c>
      <c r="AC917" s="7">
        <f>IFERROR(IF([1]对账明细接口!$X917=0,"",[1]对账明细接口!$X917),"")</f>
      </c>
      <c r="AD917" s="7">
        <f>IFERROR(IF([1]对账明细接口!$Y917=0,"",[1]对账明细接口!$Y917),"")</f>
      </c>
      <c r="AE917" s="7">
        <f>IFERROR(IF([1]对账明细接口!$AA917=0,"",[1]对账明细接口!$AA917),"")</f>
      </c>
      <c r="AF917" s="7">
        <f>IFERROR(IF([1]对账明细接口!$AB917=0,"",[1]对账明细接口!$AB917),"")</f>
      </c>
      <c r="AG917" s="7">
        <f>IFERROR(IF([1]对账明细接口!$AC917=0,"",[1]对账明细接口!$AC917),"")</f>
      </c>
      <c r="AH917" s="7">
        <f>IFERROR(IF([1]对账明细接口!$AD917=0,"",[1]对账明细接口!$AD917),"")</f>
      </c>
      <c r="AI917" s="7">
        <f>IFERROR(IF([1]对账明细接口!$AE917=0,"",[1]对账明细接口!$AE917),"")</f>
      </c>
      <c r="AJ917" s="7">
        <f>IFERROR(IF([1]对账明细接口!$AF917=0,"",[1]对账明细接口!$AF917),"")</f>
      </c>
    </row>
    <row r="918" ht="14.25" customHeight="1" s="127">
      <c r="A918" s="14" t="n">
        <v>918</v>
      </c>
      <c r="B918" s="211">
        <f>IFERROR(IF([1]对账明细接口!$B$918=0,"",[1]对账明细接口!$B$918),"")</f>
      </c>
      <c r="C918" s="16">
        <f>IFERROR(IF([1]对账明细接口!$C$918=0,"",[1]对账明细接口!$C$918),"")</f>
      </c>
      <c r="D918" s="16">
        <f>IFERROR(IF([1]对账明细接口!$D$918=0,"",[1]对账明细接口!$D$918),"")</f>
      </c>
      <c r="E918" s="16">
        <f>IFERROR(IF([1]对账明细接口!$E$918=0,"",[1]对账明细接口!$E$918),"")</f>
      </c>
      <c r="F918" s="16">
        <f>IFERROR(IF([1]对账明细接口!$F$918=0,"",[1]对账明细接口!$F$918),"")</f>
      </c>
      <c r="G918" s="16">
        <f>IFERROR(IF([1]对账明细接口!$G$918=0,"",[1]对账明细接口!$G$918),"")</f>
      </c>
      <c r="H918" s="176">
        <f>IFERROR(IF([1]对账明细接口!$H$918=0,"",[1]对账明细接口!$H$918),"")</f>
      </c>
      <c r="I918" s="16">
        <f>IFERROR(IF([1]对账明细接口!$I$918=0,"",[1]对账明细接口!$I$918),"")</f>
      </c>
      <c r="J918" s="177">
        <f>IFERROR(IF([1]对账明细接口!$J$918=0,"",[1]对账明细接口!$J$918),"")</f>
      </c>
      <c r="K918" s="177">
        <f>IFERROR(IF([1]对账明细接口!$K$918=0,"",[1]对账明细接口!$K$918),"")</f>
      </c>
      <c r="L918" s="16">
        <f>IFERROR(IF([1]对账明细接口!$L$918=0,"",[1]对账明细接口!$L$918),"")</f>
      </c>
      <c r="M918" s="16">
        <f>IFERROR(IF([1]对账明细接口!$M$918=0,"",[1]对账明细接口!$M$918),"")</f>
      </c>
      <c r="N918" s="19">
        <f>IF($C918="",0,1)</f>
        <v>0</v>
      </c>
      <c r="O918" s="19">
        <f>N(O917)+$N918</f>
        <v>637</v>
      </c>
      <c r="S918" s="20">
        <f>IFERROR(IF([1]对账明细接口!$N918=0,"",[1]对账明细接口!$N918),"")</f>
      </c>
      <c r="T918" s="212">
        <f>IFERROR(IF([1]对账明细接口!$O918=0,"",[1]对账明细接口!$O918),"")</f>
      </c>
      <c r="U918" s="212">
        <f>IFERROR(IF([1]对账明细接口!$P918=0,"",[1]对账明细接口!$P918),"")</f>
      </c>
      <c r="V918" s="212">
        <f>IFERROR(IF([1]对账明细接口!$Q918=0,"",[1]对账明细接口!$Q918),"")</f>
      </c>
      <c r="W918" s="20">
        <f>IFERROR(IF([1]对账明细接口!$R918=0,"",[1]对账明细接口!$R918),"")</f>
      </c>
      <c r="X918" s="20">
        <f>IFERROR(IF([1]对账明细接口!$S918=0,"",[1]对账明细接口!$S918),"")</f>
      </c>
      <c r="Y918" s="20">
        <f>IFERROR(IF([1]对账明细接口!$T918=0,"",[1]对账明细接口!$T918),"")</f>
      </c>
      <c r="Z918" s="213">
        <f>IFERROR(IF([1]对账明细接口!$U918=0,"",[1]对账明细接口!$U918),"")</f>
      </c>
      <c r="AA918" s="213">
        <f>IFERROR(IF([1]对账明细接口!$V918=0,"",[1]对账明细接口!$V918),"")</f>
      </c>
      <c r="AB918" s="20">
        <f>IFERROR(IF([1]对账明细接口!$W918=0,"",[1]对账明细接口!$W918),"")</f>
      </c>
      <c r="AC918" s="7">
        <f>IFERROR(IF([1]对账明细接口!$X918=0,"",[1]对账明细接口!$X918),"")</f>
      </c>
      <c r="AD918" s="7">
        <f>IFERROR(IF([1]对账明细接口!$Y918=0,"",[1]对账明细接口!$Y918),"")</f>
      </c>
      <c r="AE918" s="7">
        <f>IFERROR(IF([1]对账明细接口!$AA918=0,"",[1]对账明细接口!$AA918),"")</f>
      </c>
      <c r="AF918" s="7">
        <f>IFERROR(IF([1]对账明细接口!$AB918=0,"",[1]对账明细接口!$AB918),"")</f>
      </c>
      <c r="AG918" s="7">
        <f>IFERROR(IF([1]对账明细接口!$AC918=0,"",[1]对账明细接口!$AC918),"")</f>
      </c>
      <c r="AH918" s="7">
        <f>IFERROR(IF([1]对账明细接口!$AD918=0,"",[1]对账明细接口!$AD918),"")</f>
      </c>
      <c r="AI918" s="7">
        <f>IFERROR(IF([1]对账明细接口!$AE918=0,"",[1]对账明细接口!$AE918),"")</f>
      </c>
      <c r="AJ918" s="7">
        <f>IFERROR(IF([1]对账明细接口!$AF918=0,"",[1]对账明细接口!$AF918),"")</f>
      </c>
    </row>
    <row r="919" ht="14.25" customHeight="1" s="127">
      <c r="A919" s="14" t="n">
        <v>919</v>
      </c>
      <c r="B919" s="211">
        <f>IFERROR(IF([1]对账明细接口!$B$919=0,"",[1]对账明细接口!$B$919),"")</f>
      </c>
      <c r="C919" s="16">
        <f>IFERROR(IF([1]对账明细接口!$C$919=0,"",[1]对账明细接口!$C$919),"")</f>
      </c>
      <c r="D919" s="16">
        <f>IFERROR(IF([1]对账明细接口!$D$919=0,"",[1]对账明细接口!$D$919),"")</f>
      </c>
      <c r="E919" s="16">
        <f>IFERROR(IF([1]对账明细接口!$E$919=0,"",[1]对账明细接口!$E$919),"")</f>
      </c>
      <c r="F919" s="16">
        <f>IFERROR(IF([1]对账明细接口!$F$919=0,"",[1]对账明细接口!$F$919),"")</f>
      </c>
      <c r="G919" s="16">
        <f>IFERROR(IF([1]对账明细接口!$G$919=0,"",[1]对账明细接口!$G$919),"")</f>
      </c>
      <c r="H919" s="176">
        <f>IFERROR(IF([1]对账明细接口!$H$919=0,"",[1]对账明细接口!$H$919),"")</f>
      </c>
      <c r="I919" s="16">
        <f>IFERROR(IF([1]对账明细接口!$I$919=0,"",[1]对账明细接口!$I$919),"")</f>
      </c>
      <c r="J919" s="177">
        <f>IFERROR(IF([1]对账明细接口!$J$919=0,"",[1]对账明细接口!$J$919),"")</f>
      </c>
      <c r="K919" s="177">
        <f>IFERROR(IF([1]对账明细接口!$K$919=0,"",[1]对账明细接口!$K$919),"")</f>
      </c>
      <c r="L919" s="16">
        <f>IFERROR(IF([1]对账明细接口!$L$919=0,"",[1]对账明细接口!$L$919),"")</f>
      </c>
      <c r="M919" s="16">
        <f>IFERROR(IF([1]对账明细接口!$M$919=0,"",[1]对账明细接口!$M$919),"")</f>
      </c>
      <c r="N919" s="19">
        <f>IF($C919="",0,1)</f>
        <v>0</v>
      </c>
      <c r="O919" s="19">
        <f>N(O918)+$N919</f>
        <v>637</v>
      </c>
      <c r="S919" s="20">
        <f>IFERROR(IF([1]对账明细接口!$N919=0,"",[1]对账明细接口!$N919),"")</f>
      </c>
      <c r="T919" s="212">
        <f>IFERROR(IF([1]对账明细接口!$O919=0,"",[1]对账明细接口!$O919),"")</f>
      </c>
      <c r="U919" s="212">
        <f>IFERROR(IF([1]对账明细接口!$P919=0,"",[1]对账明细接口!$P919),"")</f>
      </c>
      <c r="V919" s="212">
        <f>IFERROR(IF([1]对账明细接口!$Q919=0,"",[1]对账明细接口!$Q919),"")</f>
      </c>
      <c r="W919" s="20">
        <f>IFERROR(IF([1]对账明细接口!$R919=0,"",[1]对账明细接口!$R919),"")</f>
      </c>
      <c r="X919" s="20">
        <f>IFERROR(IF([1]对账明细接口!$S919=0,"",[1]对账明细接口!$S919),"")</f>
      </c>
      <c r="Y919" s="20">
        <f>IFERROR(IF([1]对账明细接口!$T919=0,"",[1]对账明细接口!$T919),"")</f>
      </c>
      <c r="Z919" s="213">
        <f>IFERROR(IF([1]对账明细接口!$U919=0,"",[1]对账明细接口!$U919),"")</f>
      </c>
      <c r="AA919" s="213">
        <f>IFERROR(IF([1]对账明细接口!$V919=0,"",[1]对账明细接口!$V919),"")</f>
      </c>
      <c r="AB919" s="20">
        <f>IFERROR(IF([1]对账明细接口!$W919=0,"",[1]对账明细接口!$W919),"")</f>
      </c>
      <c r="AC919" s="7">
        <f>IFERROR(IF([1]对账明细接口!$X919=0,"",[1]对账明细接口!$X919),"")</f>
      </c>
      <c r="AD919" s="7">
        <f>IFERROR(IF([1]对账明细接口!$Y919=0,"",[1]对账明细接口!$Y919),"")</f>
      </c>
      <c r="AE919" s="7">
        <f>IFERROR(IF([1]对账明细接口!$AA919=0,"",[1]对账明细接口!$AA919),"")</f>
      </c>
      <c r="AF919" s="7">
        <f>IFERROR(IF([1]对账明细接口!$AB919=0,"",[1]对账明细接口!$AB919),"")</f>
      </c>
      <c r="AG919" s="7">
        <f>IFERROR(IF([1]对账明细接口!$AC919=0,"",[1]对账明细接口!$AC919),"")</f>
      </c>
      <c r="AH919" s="7">
        <f>IFERROR(IF([1]对账明细接口!$AD919=0,"",[1]对账明细接口!$AD919),"")</f>
      </c>
      <c r="AI919" s="7">
        <f>IFERROR(IF([1]对账明细接口!$AE919=0,"",[1]对账明细接口!$AE919),"")</f>
      </c>
      <c r="AJ919" s="7">
        <f>IFERROR(IF([1]对账明细接口!$AF919=0,"",[1]对账明细接口!$AF919),"")</f>
      </c>
    </row>
    <row r="920" ht="14.25" customHeight="1" s="127">
      <c r="A920" s="14" t="n">
        <v>920</v>
      </c>
      <c r="B920" s="211">
        <f>IFERROR(IF([1]对账明细接口!$B$920=0,"",[1]对账明细接口!$B$920),"")</f>
      </c>
      <c r="C920" s="16">
        <f>IFERROR(IF([1]对账明细接口!$C$920=0,"",[1]对账明细接口!$C$920),"")</f>
      </c>
      <c r="D920" s="16">
        <f>IFERROR(IF([1]对账明细接口!$D$920=0,"",[1]对账明细接口!$D$920),"")</f>
      </c>
      <c r="E920" s="16">
        <f>IFERROR(IF([1]对账明细接口!$E$920=0,"",[1]对账明细接口!$E$920),"")</f>
      </c>
      <c r="F920" s="16">
        <f>IFERROR(IF([1]对账明细接口!$F$920=0,"",[1]对账明细接口!$F$920),"")</f>
      </c>
      <c r="G920" s="16">
        <f>IFERROR(IF([1]对账明细接口!$G$920=0,"",[1]对账明细接口!$G$920),"")</f>
      </c>
      <c r="H920" s="176">
        <f>IFERROR(IF([1]对账明细接口!$H$920=0,"",[1]对账明细接口!$H$920),"")</f>
      </c>
      <c r="I920" s="16">
        <f>IFERROR(IF([1]对账明细接口!$I$920=0,"",[1]对账明细接口!$I$920),"")</f>
      </c>
      <c r="J920" s="177">
        <f>IFERROR(IF([1]对账明细接口!$J$920=0,"",[1]对账明细接口!$J$920),"")</f>
      </c>
      <c r="K920" s="177">
        <f>IFERROR(IF([1]对账明细接口!$K$920=0,"",[1]对账明细接口!$K$920),"")</f>
      </c>
      <c r="L920" s="16">
        <f>IFERROR(IF([1]对账明细接口!$L$920=0,"",[1]对账明细接口!$L$920),"")</f>
      </c>
      <c r="M920" s="16">
        <f>IFERROR(IF([1]对账明细接口!$M$920=0,"",[1]对账明细接口!$M$920),"")</f>
      </c>
      <c r="N920" s="19">
        <f>IF($C920="",0,1)</f>
        <v>0</v>
      </c>
      <c r="O920" s="19">
        <f>N(O919)+$N920</f>
        <v>637</v>
      </c>
      <c r="S920" s="20">
        <f>IFERROR(IF([1]对账明细接口!$N920=0,"",[1]对账明细接口!$N920),"")</f>
      </c>
      <c r="T920" s="212">
        <f>IFERROR(IF([1]对账明细接口!$O920=0,"",[1]对账明细接口!$O920),"")</f>
      </c>
      <c r="U920" s="212">
        <f>IFERROR(IF([1]对账明细接口!$P920=0,"",[1]对账明细接口!$P920),"")</f>
      </c>
      <c r="V920" s="212">
        <f>IFERROR(IF([1]对账明细接口!$Q920=0,"",[1]对账明细接口!$Q920),"")</f>
      </c>
      <c r="W920" s="20">
        <f>IFERROR(IF([1]对账明细接口!$R920=0,"",[1]对账明细接口!$R920),"")</f>
      </c>
      <c r="X920" s="20">
        <f>IFERROR(IF([1]对账明细接口!$S920=0,"",[1]对账明细接口!$S920),"")</f>
      </c>
      <c r="Y920" s="20">
        <f>IFERROR(IF([1]对账明细接口!$T920=0,"",[1]对账明细接口!$T920),"")</f>
      </c>
      <c r="Z920" s="213">
        <f>IFERROR(IF([1]对账明细接口!$U920=0,"",[1]对账明细接口!$U920),"")</f>
      </c>
      <c r="AA920" s="213">
        <f>IFERROR(IF([1]对账明细接口!$V920=0,"",[1]对账明细接口!$V920),"")</f>
      </c>
      <c r="AB920" s="20">
        <f>IFERROR(IF([1]对账明细接口!$W920=0,"",[1]对账明细接口!$W920),"")</f>
      </c>
      <c r="AC920" s="7">
        <f>IFERROR(IF([1]对账明细接口!$X920=0,"",[1]对账明细接口!$X920),"")</f>
      </c>
      <c r="AD920" s="7">
        <f>IFERROR(IF([1]对账明细接口!$Y920=0,"",[1]对账明细接口!$Y920),"")</f>
      </c>
      <c r="AE920" s="7">
        <f>IFERROR(IF([1]对账明细接口!$AA920=0,"",[1]对账明细接口!$AA920),"")</f>
      </c>
      <c r="AF920" s="7">
        <f>IFERROR(IF([1]对账明细接口!$AB920=0,"",[1]对账明细接口!$AB920),"")</f>
      </c>
      <c r="AG920" s="7">
        <f>IFERROR(IF([1]对账明细接口!$AC920=0,"",[1]对账明细接口!$AC920),"")</f>
      </c>
      <c r="AH920" s="7">
        <f>IFERROR(IF([1]对账明细接口!$AD920=0,"",[1]对账明细接口!$AD920),"")</f>
      </c>
      <c r="AI920" s="7">
        <f>IFERROR(IF([1]对账明细接口!$AE920=0,"",[1]对账明细接口!$AE920),"")</f>
      </c>
      <c r="AJ920" s="7">
        <f>IFERROR(IF([1]对账明细接口!$AF920=0,"",[1]对账明细接口!$AF920),"")</f>
      </c>
    </row>
    <row r="921" ht="14.25" customHeight="1" s="127">
      <c r="A921" s="14" t="n">
        <v>921</v>
      </c>
      <c r="B921" s="211">
        <f>IFERROR(IF([1]对账明细接口!$B$921=0,"",[1]对账明细接口!$B$921),"")</f>
      </c>
      <c r="C921" s="16">
        <f>IFERROR(IF([1]对账明细接口!$C$921=0,"",[1]对账明细接口!$C$921),"")</f>
      </c>
      <c r="D921" s="16">
        <f>IFERROR(IF([1]对账明细接口!$D$921=0,"",[1]对账明细接口!$D$921),"")</f>
      </c>
      <c r="E921" s="16">
        <f>IFERROR(IF([1]对账明细接口!$E$921=0,"",[1]对账明细接口!$E$921),"")</f>
      </c>
      <c r="F921" s="16">
        <f>IFERROR(IF([1]对账明细接口!$F$921=0,"",[1]对账明细接口!$F$921),"")</f>
      </c>
      <c r="G921" s="16">
        <f>IFERROR(IF([1]对账明细接口!$G$921=0,"",[1]对账明细接口!$G$921),"")</f>
      </c>
      <c r="H921" s="176">
        <f>IFERROR(IF([1]对账明细接口!$H$921=0,"",[1]对账明细接口!$H$921),"")</f>
      </c>
      <c r="I921" s="16">
        <f>IFERROR(IF([1]对账明细接口!$I$921=0,"",[1]对账明细接口!$I$921),"")</f>
      </c>
      <c r="J921" s="177">
        <f>IFERROR(IF([1]对账明细接口!$J$921=0,"",[1]对账明细接口!$J$921),"")</f>
      </c>
      <c r="K921" s="177">
        <f>IFERROR(IF([1]对账明细接口!$K$921=0,"",[1]对账明细接口!$K$921),"")</f>
      </c>
      <c r="L921" s="16">
        <f>IFERROR(IF([1]对账明细接口!$L$921=0,"",[1]对账明细接口!$L$921),"")</f>
      </c>
      <c r="M921" s="16">
        <f>IFERROR(IF([1]对账明细接口!$M$921=0,"",[1]对账明细接口!$M$921),"")</f>
      </c>
      <c r="N921" s="19">
        <f>IF($C921="",0,1)</f>
        <v>0</v>
      </c>
      <c r="O921" s="19">
        <f>N(O920)+$N921</f>
        <v>637</v>
      </c>
      <c r="S921" s="20">
        <f>IFERROR(IF([1]对账明细接口!$N921=0,"",[1]对账明细接口!$N921),"")</f>
      </c>
      <c r="T921" s="212">
        <f>IFERROR(IF([1]对账明细接口!$O921=0,"",[1]对账明细接口!$O921),"")</f>
      </c>
      <c r="U921" s="212">
        <f>IFERROR(IF([1]对账明细接口!$P921=0,"",[1]对账明细接口!$P921),"")</f>
      </c>
      <c r="V921" s="212">
        <f>IFERROR(IF([1]对账明细接口!$Q921=0,"",[1]对账明细接口!$Q921),"")</f>
      </c>
      <c r="W921" s="20">
        <f>IFERROR(IF([1]对账明细接口!$R921=0,"",[1]对账明细接口!$R921),"")</f>
      </c>
      <c r="X921" s="20">
        <f>IFERROR(IF([1]对账明细接口!$S921=0,"",[1]对账明细接口!$S921),"")</f>
      </c>
      <c r="Y921" s="20">
        <f>IFERROR(IF([1]对账明细接口!$T921=0,"",[1]对账明细接口!$T921),"")</f>
      </c>
      <c r="Z921" s="213">
        <f>IFERROR(IF([1]对账明细接口!$U921=0,"",[1]对账明细接口!$U921),"")</f>
      </c>
      <c r="AA921" s="213">
        <f>IFERROR(IF([1]对账明细接口!$V921=0,"",[1]对账明细接口!$V921),"")</f>
      </c>
      <c r="AB921" s="20">
        <f>IFERROR(IF([1]对账明细接口!$W921=0,"",[1]对账明细接口!$W921),"")</f>
      </c>
      <c r="AC921" s="7">
        <f>IFERROR(IF([1]对账明细接口!$X921=0,"",[1]对账明细接口!$X921),"")</f>
      </c>
      <c r="AD921" s="7">
        <f>IFERROR(IF([1]对账明细接口!$Y921=0,"",[1]对账明细接口!$Y921),"")</f>
      </c>
      <c r="AE921" s="7">
        <f>IFERROR(IF([1]对账明细接口!$AA921=0,"",[1]对账明细接口!$AA921),"")</f>
      </c>
      <c r="AF921" s="7">
        <f>IFERROR(IF([1]对账明细接口!$AB921=0,"",[1]对账明细接口!$AB921),"")</f>
      </c>
      <c r="AG921" s="7">
        <f>IFERROR(IF([1]对账明细接口!$AC921=0,"",[1]对账明细接口!$AC921),"")</f>
      </c>
      <c r="AH921" s="7">
        <f>IFERROR(IF([1]对账明细接口!$AD921=0,"",[1]对账明细接口!$AD921),"")</f>
      </c>
      <c r="AI921" s="7">
        <f>IFERROR(IF([1]对账明细接口!$AE921=0,"",[1]对账明细接口!$AE921),"")</f>
      </c>
      <c r="AJ921" s="7">
        <f>IFERROR(IF([1]对账明细接口!$AF921=0,"",[1]对账明细接口!$AF921),"")</f>
      </c>
    </row>
    <row r="922" ht="14.25" customHeight="1" s="127">
      <c r="A922" s="14" t="n">
        <v>922</v>
      </c>
      <c r="B922" s="211">
        <f>IFERROR(IF([1]对账明细接口!$B$922=0,"",[1]对账明细接口!$B$922),"")</f>
      </c>
      <c r="C922" s="16">
        <f>IFERROR(IF([1]对账明细接口!$C$922=0,"",[1]对账明细接口!$C$922),"")</f>
      </c>
      <c r="D922" s="16">
        <f>IFERROR(IF([1]对账明细接口!$D$922=0,"",[1]对账明细接口!$D$922),"")</f>
      </c>
      <c r="E922" s="16">
        <f>IFERROR(IF([1]对账明细接口!$E$922=0,"",[1]对账明细接口!$E$922),"")</f>
      </c>
      <c r="F922" s="16">
        <f>IFERROR(IF([1]对账明细接口!$F$922=0,"",[1]对账明细接口!$F$922),"")</f>
      </c>
      <c r="G922" s="16">
        <f>IFERROR(IF([1]对账明细接口!$G$922=0,"",[1]对账明细接口!$G$922),"")</f>
      </c>
      <c r="H922" s="176">
        <f>IFERROR(IF([1]对账明细接口!$H$922=0,"",[1]对账明细接口!$H$922),"")</f>
      </c>
      <c r="I922" s="16">
        <f>IFERROR(IF([1]对账明细接口!$I$922=0,"",[1]对账明细接口!$I$922),"")</f>
      </c>
      <c r="J922" s="177">
        <f>IFERROR(IF([1]对账明细接口!$J$922=0,"",[1]对账明细接口!$J$922),"")</f>
      </c>
      <c r="K922" s="177">
        <f>IFERROR(IF([1]对账明细接口!$K$922=0,"",[1]对账明细接口!$K$922),"")</f>
      </c>
      <c r="L922" s="16">
        <f>IFERROR(IF([1]对账明细接口!$L$922=0,"",[1]对账明细接口!$L$922),"")</f>
      </c>
      <c r="M922" s="16">
        <f>IFERROR(IF([1]对账明细接口!$M$922=0,"",[1]对账明细接口!$M$922),"")</f>
      </c>
      <c r="N922" s="19">
        <f>IF($C922="",0,1)</f>
        <v>0</v>
      </c>
      <c r="O922" s="19">
        <f>N(O921)+$N922</f>
        <v>637</v>
      </c>
      <c r="S922" s="20">
        <f>IFERROR(IF([1]对账明细接口!$N922=0,"",[1]对账明细接口!$N922),"")</f>
      </c>
      <c r="T922" s="212">
        <f>IFERROR(IF([1]对账明细接口!$O922=0,"",[1]对账明细接口!$O922),"")</f>
      </c>
      <c r="U922" s="212">
        <f>IFERROR(IF([1]对账明细接口!$P922=0,"",[1]对账明细接口!$P922),"")</f>
      </c>
      <c r="V922" s="212">
        <f>IFERROR(IF([1]对账明细接口!$Q922=0,"",[1]对账明细接口!$Q922),"")</f>
      </c>
      <c r="W922" s="20">
        <f>IFERROR(IF([1]对账明细接口!$R922=0,"",[1]对账明细接口!$R922),"")</f>
      </c>
      <c r="X922" s="20">
        <f>IFERROR(IF([1]对账明细接口!$S922=0,"",[1]对账明细接口!$S922),"")</f>
      </c>
      <c r="Y922" s="20">
        <f>IFERROR(IF([1]对账明细接口!$T922=0,"",[1]对账明细接口!$T922),"")</f>
      </c>
      <c r="Z922" s="213">
        <f>IFERROR(IF([1]对账明细接口!$U922=0,"",[1]对账明细接口!$U922),"")</f>
      </c>
      <c r="AA922" s="213">
        <f>IFERROR(IF([1]对账明细接口!$V922=0,"",[1]对账明细接口!$V922),"")</f>
      </c>
      <c r="AB922" s="20">
        <f>IFERROR(IF([1]对账明细接口!$W922=0,"",[1]对账明细接口!$W922),"")</f>
      </c>
      <c r="AC922" s="7">
        <f>IFERROR(IF([1]对账明细接口!$X922=0,"",[1]对账明细接口!$X922),"")</f>
      </c>
      <c r="AD922" s="7">
        <f>IFERROR(IF([1]对账明细接口!$Y922=0,"",[1]对账明细接口!$Y922),"")</f>
      </c>
      <c r="AE922" s="7">
        <f>IFERROR(IF([1]对账明细接口!$AA922=0,"",[1]对账明细接口!$AA922),"")</f>
      </c>
      <c r="AF922" s="7">
        <f>IFERROR(IF([1]对账明细接口!$AB922=0,"",[1]对账明细接口!$AB922),"")</f>
      </c>
      <c r="AG922" s="7">
        <f>IFERROR(IF([1]对账明细接口!$AC922=0,"",[1]对账明细接口!$AC922),"")</f>
      </c>
      <c r="AH922" s="7">
        <f>IFERROR(IF([1]对账明细接口!$AD922=0,"",[1]对账明细接口!$AD922),"")</f>
      </c>
      <c r="AI922" s="7">
        <f>IFERROR(IF([1]对账明细接口!$AE922=0,"",[1]对账明细接口!$AE922),"")</f>
      </c>
      <c r="AJ922" s="7">
        <f>IFERROR(IF([1]对账明细接口!$AF922=0,"",[1]对账明细接口!$AF922),"")</f>
      </c>
    </row>
    <row r="923" ht="14.25" customHeight="1" s="127">
      <c r="A923" s="14" t="n">
        <v>923</v>
      </c>
      <c r="B923" s="211">
        <f>IFERROR(IF([1]对账明细接口!$B$923=0,"",[1]对账明细接口!$B$923),"")</f>
      </c>
      <c r="C923" s="16">
        <f>IFERROR(IF([1]对账明细接口!$C$923=0,"",[1]对账明细接口!$C$923),"")</f>
      </c>
      <c r="D923" s="16">
        <f>IFERROR(IF([1]对账明细接口!$D$923=0,"",[1]对账明细接口!$D$923),"")</f>
      </c>
      <c r="E923" s="16">
        <f>IFERROR(IF([1]对账明细接口!$E$923=0,"",[1]对账明细接口!$E$923),"")</f>
      </c>
      <c r="F923" s="16">
        <f>IFERROR(IF([1]对账明细接口!$F$923=0,"",[1]对账明细接口!$F$923),"")</f>
      </c>
      <c r="G923" s="16">
        <f>IFERROR(IF([1]对账明细接口!$G$923=0,"",[1]对账明细接口!$G$923),"")</f>
      </c>
      <c r="H923" s="176">
        <f>IFERROR(IF([1]对账明细接口!$H$923=0,"",[1]对账明细接口!$H$923),"")</f>
      </c>
      <c r="I923" s="16">
        <f>IFERROR(IF([1]对账明细接口!$I$923=0,"",[1]对账明细接口!$I$923),"")</f>
      </c>
      <c r="J923" s="177">
        <f>IFERROR(IF([1]对账明细接口!$J$923=0,"",[1]对账明细接口!$J$923),"")</f>
      </c>
      <c r="K923" s="177">
        <f>IFERROR(IF([1]对账明细接口!$K$923=0,"",[1]对账明细接口!$K$923),"")</f>
      </c>
      <c r="L923" s="16">
        <f>IFERROR(IF([1]对账明细接口!$L$923=0,"",[1]对账明细接口!$L$923),"")</f>
      </c>
      <c r="M923" s="16">
        <f>IFERROR(IF([1]对账明细接口!$M$923=0,"",[1]对账明细接口!$M$923),"")</f>
      </c>
      <c r="N923" s="19">
        <f>IF($C923="",0,1)</f>
        <v>0</v>
      </c>
      <c r="O923" s="19">
        <f>N(O922)+$N923</f>
        <v>637</v>
      </c>
      <c r="S923" s="20">
        <f>IFERROR(IF([1]对账明细接口!$N923=0,"",[1]对账明细接口!$N923),"")</f>
      </c>
      <c r="T923" s="212">
        <f>IFERROR(IF([1]对账明细接口!$O923=0,"",[1]对账明细接口!$O923),"")</f>
      </c>
      <c r="U923" s="212">
        <f>IFERROR(IF([1]对账明细接口!$P923=0,"",[1]对账明细接口!$P923),"")</f>
      </c>
      <c r="V923" s="212">
        <f>IFERROR(IF([1]对账明细接口!$Q923=0,"",[1]对账明细接口!$Q923),"")</f>
      </c>
      <c r="W923" s="20">
        <f>IFERROR(IF([1]对账明细接口!$R923=0,"",[1]对账明细接口!$R923),"")</f>
      </c>
      <c r="X923" s="20">
        <f>IFERROR(IF([1]对账明细接口!$S923=0,"",[1]对账明细接口!$S923),"")</f>
      </c>
      <c r="Y923" s="20">
        <f>IFERROR(IF([1]对账明细接口!$T923=0,"",[1]对账明细接口!$T923),"")</f>
      </c>
      <c r="Z923" s="213">
        <f>IFERROR(IF([1]对账明细接口!$U923=0,"",[1]对账明细接口!$U923),"")</f>
      </c>
      <c r="AA923" s="213">
        <f>IFERROR(IF([1]对账明细接口!$V923=0,"",[1]对账明细接口!$V923),"")</f>
      </c>
      <c r="AB923" s="20">
        <f>IFERROR(IF([1]对账明细接口!$W923=0,"",[1]对账明细接口!$W923),"")</f>
      </c>
      <c r="AC923" s="7">
        <f>IFERROR(IF([1]对账明细接口!$X923=0,"",[1]对账明细接口!$X923),"")</f>
      </c>
      <c r="AD923" s="7">
        <f>IFERROR(IF([1]对账明细接口!$Y923=0,"",[1]对账明细接口!$Y923),"")</f>
      </c>
      <c r="AE923" s="7">
        <f>IFERROR(IF([1]对账明细接口!$AA923=0,"",[1]对账明细接口!$AA923),"")</f>
      </c>
      <c r="AF923" s="7">
        <f>IFERROR(IF([1]对账明细接口!$AB923=0,"",[1]对账明细接口!$AB923),"")</f>
      </c>
      <c r="AG923" s="7">
        <f>IFERROR(IF([1]对账明细接口!$AC923=0,"",[1]对账明细接口!$AC923),"")</f>
      </c>
      <c r="AH923" s="7">
        <f>IFERROR(IF([1]对账明细接口!$AD923=0,"",[1]对账明细接口!$AD923),"")</f>
      </c>
      <c r="AI923" s="7">
        <f>IFERROR(IF([1]对账明细接口!$AE923=0,"",[1]对账明细接口!$AE923),"")</f>
      </c>
      <c r="AJ923" s="7">
        <f>IFERROR(IF([1]对账明细接口!$AF923=0,"",[1]对账明细接口!$AF923),"")</f>
      </c>
    </row>
    <row r="924" ht="14.25" customHeight="1" s="127">
      <c r="A924" s="14" t="n">
        <v>924</v>
      </c>
      <c r="B924" s="211">
        <f>IFERROR(IF([1]对账明细接口!$B$924=0,"",[1]对账明细接口!$B$924),"")</f>
      </c>
      <c r="C924" s="16">
        <f>IFERROR(IF([1]对账明细接口!$C$924=0,"",[1]对账明细接口!$C$924),"")</f>
      </c>
      <c r="D924" s="16">
        <f>IFERROR(IF([1]对账明细接口!$D$924=0,"",[1]对账明细接口!$D$924),"")</f>
      </c>
      <c r="E924" s="16">
        <f>IFERROR(IF([1]对账明细接口!$E$924=0,"",[1]对账明细接口!$E$924),"")</f>
      </c>
      <c r="F924" s="16">
        <f>IFERROR(IF([1]对账明细接口!$F$924=0,"",[1]对账明细接口!$F$924),"")</f>
      </c>
      <c r="G924" s="16">
        <f>IFERROR(IF([1]对账明细接口!$G$924=0,"",[1]对账明细接口!$G$924),"")</f>
      </c>
      <c r="H924" s="176">
        <f>IFERROR(IF([1]对账明细接口!$H$924=0,"",[1]对账明细接口!$H$924),"")</f>
      </c>
      <c r="I924" s="16">
        <f>IFERROR(IF([1]对账明细接口!$I$924=0,"",[1]对账明细接口!$I$924),"")</f>
      </c>
      <c r="J924" s="177">
        <f>IFERROR(IF([1]对账明细接口!$J$924=0,"",[1]对账明细接口!$J$924),"")</f>
      </c>
      <c r="K924" s="177">
        <f>IFERROR(IF([1]对账明细接口!$K$924=0,"",[1]对账明细接口!$K$924),"")</f>
      </c>
      <c r="L924" s="16">
        <f>IFERROR(IF([1]对账明细接口!$L$924=0,"",[1]对账明细接口!$L$924),"")</f>
      </c>
      <c r="M924" s="16">
        <f>IFERROR(IF([1]对账明细接口!$M$924=0,"",[1]对账明细接口!$M$924),"")</f>
      </c>
      <c r="N924" s="19">
        <f>IF($C924="",0,1)</f>
        <v>0</v>
      </c>
      <c r="O924" s="19">
        <f>N(O923)+$N924</f>
        <v>637</v>
      </c>
      <c r="S924" s="20">
        <f>IFERROR(IF([1]对账明细接口!$N924=0,"",[1]对账明细接口!$N924),"")</f>
      </c>
      <c r="T924" s="212">
        <f>IFERROR(IF([1]对账明细接口!$O924=0,"",[1]对账明细接口!$O924),"")</f>
      </c>
      <c r="U924" s="212">
        <f>IFERROR(IF([1]对账明细接口!$P924=0,"",[1]对账明细接口!$P924),"")</f>
      </c>
      <c r="V924" s="212">
        <f>IFERROR(IF([1]对账明细接口!$Q924=0,"",[1]对账明细接口!$Q924),"")</f>
      </c>
      <c r="W924" s="20">
        <f>IFERROR(IF([1]对账明细接口!$R924=0,"",[1]对账明细接口!$R924),"")</f>
      </c>
      <c r="X924" s="20">
        <f>IFERROR(IF([1]对账明细接口!$S924=0,"",[1]对账明细接口!$S924),"")</f>
      </c>
      <c r="Y924" s="20">
        <f>IFERROR(IF([1]对账明细接口!$T924=0,"",[1]对账明细接口!$T924),"")</f>
      </c>
      <c r="Z924" s="213">
        <f>IFERROR(IF([1]对账明细接口!$U924=0,"",[1]对账明细接口!$U924),"")</f>
      </c>
      <c r="AA924" s="213">
        <f>IFERROR(IF([1]对账明细接口!$V924=0,"",[1]对账明细接口!$V924),"")</f>
      </c>
      <c r="AB924" s="20">
        <f>IFERROR(IF([1]对账明细接口!$W924=0,"",[1]对账明细接口!$W924),"")</f>
      </c>
      <c r="AC924" s="7">
        <f>IFERROR(IF([1]对账明细接口!$X924=0,"",[1]对账明细接口!$X924),"")</f>
      </c>
      <c r="AD924" s="7">
        <f>IFERROR(IF([1]对账明细接口!$Y924=0,"",[1]对账明细接口!$Y924),"")</f>
      </c>
      <c r="AE924" s="7">
        <f>IFERROR(IF([1]对账明细接口!$AA924=0,"",[1]对账明细接口!$AA924),"")</f>
      </c>
      <c r="AF924" s="7">
        <f>IFERROR(IF([1]对账明细接口!$AB924=0,"",[1]对账明细接口!$AB924),"")</f>
      </c>
      <c r="AG924" s="7">
        <f>IFERROR(IF([1]对账明细接口!$AC924=0,"",[1]对账明细接口!$AC924),"")</f>
      </c>
      <c r="AH924" s="7">
        <f>IFERROR(IF([1]对账明细接口!$AD924=0,"",[1]对账明细接口!$AD924),"")</f>
      </c>
      <c r="AI924" s="7">
        <f>IFERROR(IF([1]对账明细接口!$AE924=0,"",[1]对账明细接口!$AE924),"")</f>
      </c>
      <c r="AJ924" s="7">
        <f>IFERROR(IF([1]对账明细接口!$AF924=0,"",[1]对账明细接口!$AF924),"")</f>
      </c>
    </row>
    <row r="925" ht="14.25" customHeight="1" s="127">
      <c r="A925" s="14" t="n">
        <v>925</v>
      </c>
      <c r="B925" s="211">
        <f>IFERROR(IF([1]对账明细接口!$B$925=0,"",[1]对账明细接口!$B$925),"")</f>
      </c>
      <c r="C925" s="16">
        <f>IFERROR(IF([1]对账明细接口!$C$925=0,"",[1]对账明细接口!$C$925),"")</f>
      </c>
      <c r="D925" s="16">
        <f>IFERROR(IF([1]对账明细接口!$D$925=0,"",[1]对账明细接口!$D$925),"")</f>
      </c>
      <c r="E925" s="16">
        <f>IFERROR(IF([1]对账明细接口!$E$925=0,"",[1]对账明细接口!$E$925),"")</f>
      </c>
      <c r="F925" s="16">
        <f>IFERROR(IF([1]对账明细接口!$F$925=0,"",[1]对账明细接口!$F$925),"")</f>
      </c>
      <c r="G925" s="16">
        <f>IFERROR(IF([1]对账明细接口!$G$925=0,"",[1]对账明细接口!$G$925),"")</f>
      </c>
      <c r="H925" s="176">
        <f>IFERROR(IF([1]对账明细接口!$H$925=0,"",[1]对账明细接口!$H$925),"")</f>
      </c>
      <c r="I925" s="16">
        <f>IFERROR(IF([1]对账明细接口!$I$925=0,"",[1]对账明细接口!$I$925),"")</f>
      </c>
      <c r="J925" s="177">
        <f>IFERROR(IF([1]对账明细接口!$J$925=0,"",[1]对账明细接口!$J$925),"")</f>
      </c>
      <c r="K925" s="177">
        <f>IFERROR(IF([1]对账明细接口!$K$925=0,"",[1]对账明细接口!$K$925),"")</f>
      </c>
      <c r="L925" s="16">
        <f>IFERROR(IF([1]对账明细接口!$L$925=0,"",[1]对账明细接口!$L$925),"")</f>
      </c>
      <c r="M925" s="16">
        <f>IFERROR(IF([1]对账明细接口!$M$925=0,"",[1]对账明细接口!$M$925),"")</f>
      </c>
      <c r="N925" s="19">
        <f>IF($C925="",0,1)</f>
        <v>0</v>
      </c>
      <c r="O925" s="19">
        <f>N(O924)+$N925</f>
        <v>637</v>
      </c>
      <c r="S925" s="20">
        <f>IFERROR(IF([1]对账明细接口!$N925=0,"",[1]对账明细接口!$N925),"")</f>
      </c>
      <c r="T925" s="212">
        <f>IFERROR(IF([1]对账明细接口!$O925=0,"",[1]对账明细接口!$O925),"")</f>
      </c>
      <c r="U925" s="212">
        <f>IFERROR(IF([1]对账明细接口!$P925=0,"",[1]对账明细接口!$P925),"")</f>
      </c>
      <c r="V925" s="212">
        <f>IFERROR(IF([1]对账明细接口!$Q925=0,"",[1]对账明细接口!$Q925),"")</f>
      </c>
      <c r="W925" s="20">
        <f>IFERROR(IF([1]对账明细接口!$R925=0,"",[1]对账明细接口!$R925),"")</f>
      </c>
      <c r="X925" s="20">
        <f>IFERROR(IF([1]对账明细接口!$S925=0,"",[1]对账明细接口!$S925),"")</f>
      </c>
      <c r="Y925" s="20">
        <f>IFERROR(IF([1]对账明细接口!$T925=0,"",[1]对账明细接口!$T925),"")</f>
      </c>
      <c r="Z925" s="213">
        <f>IFERROR(IF([1]对账明细接口!$U925=0,"",[1]对账明细接口!$U925),"")</f>
      </c>
      <c r="AA925" s="213">
        <f>IFERROR(IF([1]对账明细接口!$V925=0,"",[1]对账明细接口!$V925),"")</f>
      </c>
      <c r="AB925" s="20">
        <f>IFERROR(IF([1]对账明细接口!$W925=0,"",[1]对账明细接口!$W925),"")</f>
      </c>
      <c r="AC925" s="7">
        <f>IFERROR(IF([1]对账明细接口!$X925=0,"",[1]对账明细接口!$X925),"")</f>
      </c>
      <c r="AD925" s="7">
        <f>IFERROR(IF([1]对账明细接口!$Y925=0,"",[1]对账明细接口!$Y925),"")</f>
      </c>
      <c r="AE925" s="7">
        <f>IFERROR(IF([1]对账明细接口!$AA925=0,"",[1]对账明细接口!$AA925),"")</f>
      </c>
      <c r="AF925" s="7">
        <f>IFERROR(IF([1]对账明细接口!$AB925=0,"",[1]对账明细接口!$AB925),"")</f>
      </c>
      <c r="AG925" s="7">
        <f>IFERROR(IF([1]对账明细接口!$AC925=0,"",[1]对账明细接口!$AC925),"")</f>
      </c>
      <c r="AH925" s="7">
        <f>IFERROR(IF([1]对账明细接口!$AD925=0,"",[1]对账明细接口!$AD925),"")</f>
      </c>
      <c r="AI925" s="7">
        <f>IFERROR(IF([1]对账明细接口!$AE925=0,"",[1]对账明细接口!$AE925),"")</f>
      </c>
      <c r="AJ925" s="7">
        <f>IFERROR(IF([1]对账明细接口!$AF925=0,"",[1]对账明细接口!$AF925),"")</f>
      </c>
    </row>
    <row r="926" ht="14.25" customHeight="1" s="127">
      <c r="A926" s="14" t="n">
        <v>926</v>
      </c>
      <c r="B926" s="211">
        <f>IFERROR(IF([1]对账明细接口!$B$926=0,"",[1]对账明细接口!$B$926),"")</f>
      </c>
      <c r="C926" s="16">
        <f>IFERROR(IF([1]对账明细接口!$C$926=0,"",[1]对账明细接口!$C$926),"")</f>
      </c>
      <c r="D926" s="16">
        <f>IFERROR(IF([1]对账明细接口!$D$926=0,"",[1]对账明细接口!$D$926),"")</f>
      </c>
      <c r="E926" s="16">
        <f>IFERROR(IF([1]对账明细接口!$E$926=0,"",[1]对账明细接口!$E$926),"")</f>
      </c>
      <c r="F926" s="16">
        <f>IFERROR(IF([1]对账明细接口!$F$926=0,"",[1]对账明细接口!$F$926),"")</f>
      </c>
      <c r="G926" s="16">
        <f>IFERROR(IF([1]对账明细接口!$G$926=0,"",[1]对账明细接口!$G$926),"")</f>
      </c>
      <c r="H926" s="176">
        <f>IFERROR(IF([1]对账明细接口!$H$926=0,"",[1]对账明细接口!$H$926),"")</f>
      </c>
      <c r="I926" s="16">
        <f>IFERROR(IF([1]对账明细接口!$I$926=0,"",[1]对账明细接口!$I$926),"")</f>
      </c>
      <c r="J926" s="177">
        <f>IFERROR(IF([1]对账明细接口!$J$926=0,"",[1]对账明细接口!$J$926),"")</f>
      </c>
      <c r="K926" s="177">
        <f>IFERROR(IF([1]对账明细接口!$K$926=0,"",[1]对账明细接口!$K$926),"")</f>
      </c>
      <c r="L926" s="16">
        <f>IFERROR(IF([1]对账明细接口!$L$926=0,"",[1]对账明细接口!$L$926),"")</f>
      </c>
      <c r="M926" s="16">
        <f>IFERROR(IF([1]对账明细接口!$M$926=0,"",[1]对账明细接口!$M$926),"")</f>
      </c>
      <c r="N926" s="19">
        <f>IF($C926="",0,1)</f>
        <v>0</v>
      </c>
      <c r="O926" s="19">
        <f>N(O925)+$N926</f>
        <v>637</v>
      </c>
      <c r="S926" s="20">
        <f>IFERROR(IF([1]对账明细接口!$N926=0,"",[1]对账明细接口!$N926),"")</f>
      </c>
      <c r="T926" s="212">
        <f>IFERROR(IF([1]对账明细接口!$O926=0,"",[1]对账明细接口!$O926),"")</f>
      </c>
      <c r="U926" s="212">
        <f>IFERROR(IF([1]对账明细接口!$P926=0,"",[1]对账明细接口!$P926),"")</f>
      </c>
      <c r="V926" s="212">
        <f>IFERROR(IF([1]对账明细接口!$Q926=0,"",[1]对账明细接口!$Q926),"")</f>
      </c>
      <c r="W926" s="20">
        <f>IFERROR(IF([1]对账明细接口!$R926=0,"",[1]对账明细接口!$R926),"")</f>
      </c>
      <c r="X926" s="20">
        <f>IFERROR(IF([1]对账明细接口!$S926=0,"",[1]对账明细接口!$S926),"")</f>
      </c>
      <c r="Y926" s="20">
        <f>IFERROR(IF([1]对账明细接口!$T926=0,"",[1]对账明细接口!$T926),"")</f>
      </c>
      <c r="Z926" s="213">
        <f>IFERROR(IF([1]对账明细接口!$U926=0,"",[1]对账明细接口!$U926),"")</f>
      </c>
      <c r="AA926" s="213">
        <f>IFERROR(IF([1]对账明细接口!$V926=0,"",[1]对账明细接口!$V926),"")</f>
      </c>
      <c r="AB926" s="20">
        <f>IFERROR(IF([1]对账明细接口!$W926=0,"",[1]对账明细接口!$W926),"")</f>
      </c>
      <c r="AC926" s="7">
        <f>IFERROR(IF([1]对账明细接口!$X926=0,"",[1]对账明细接口!$X926),"")</f>
      </c>
      <c r="AD926" s="7">
        <f>IFERROR(IF([1]对账明细接口!$Y926=0,"",[1]对账明细接口!$Y926),"")</f>
      </c>
      <c r="AE926" s="7">
        <f>IFERROR(IF([1]对账明细接口!$AA926=0,"",[1]对账明细接口!$AA926),"")</f>
      </c>
      <c r="AF926" s="7">
        <f>IFERROR(IF([1]对账明细接口!$AB926=0,"",[1]对账明细接口!$AB926),"")</f>
      </c>
      <c r="AG926" s="7">
        <f>IFERROR(IF([1]对账明细接口!$AC926=0,"",[1]对账明细接口!$AC926),"")</f>
      </c>
      <c r="AH926" s="7">
        <f>IFERROR(IF([1]对账明细接口!$AD926=0,"",[1]对账明细接口!$AD926),"")</f>
      </c>
      <c r="AI926" s="7">
        <f>IFERROR(IF([1]对账明细接口!$AE926=0,"",[1]对账明细接口!$AE926),"")</f>
      </c>
      <c r="AJ926" s="7">
        <f>IFERROR(IF([1]对账明细接口!$AF926=0,"",[1]对账明细接口!$AF926),"")</f>
      </c>
    </row>
    <row r="927" ht="14.25" customHeight="1" s="127">
      <c r="A927" s="14" t="n">
        <v>927</v>
      </c>
      <c r="B927" s="211">
        <f>IFERROR(IF([1]对账明细接口!$B$927=0,"",[1]对账明细接口!$B$927),"")</f>
      </c>
      <c r="C927" s="16">
        <f>IFERROR(IF([1]对账明细接口!$C$927=0,"",[1]对账明细接口!$C$927),"")</f>
      </c>
      <c r="D927" s="16">
        <f>IFERROR(IF([1]对账明细接口!$D$927=0,"",[1]对账明细接口!$D$927),"")</f>
      </c>
      <c r="E927" s="16">
        <f>IFERROR(IF([1]对账明细接口!$E$927=0,"",[1]对账明细接口!$E$927),"")</f>
      </c>
      <c r="F927" s="16">
        <f>IFERROR(IF([1]对账明细接口!$F$927=0,"",[1]对账明细接口!$F$927),"")</f>
      </c>
      <c r="G927" s="16">
        <f>IFERROR(IF([1]对账明细接口!$G$927=0,"",[1]对账明细接口!$G$927),"")</f>
      </c>
      <c r="H927" s="176">
        <f>IFERROR(IF([1]对账明细接口!$H$927=0,"",[1]对账明细接口!$H$927),"")</f>
      </c>
      <c r="I927" s="16">
        <f>IFERROR(IF([1]对账明细接口!$I$927=0,"",[1]对账明细接口!$I$927),"")</f>
      </c>
      <c r="J927" s="177">
        <f>IFERROR(IF([1]对账明细接口!$J$927=0,"",[1]对账明细接口!$J$927),"")</f>
      </c>
      <c r="K927" s="177">
        <f>IFERROR(IF([1]对账明细接口!$K$927=0,"",[1]对账明细接口!$K$927),"")</f>
      </c>
      <c r="L927" s="16">
        <f>IFERROR(IF([1]对账明细接口!$L$927=0,"",[1]对账明细接口!$L$927),"")</f>
      </c>
      <c r="M927" s="16">
        <f>IFERROR(IF([1]对账明细接口!$M$927=0,"",[1]对账明细接口!$M$927),"")</f>
      </c>
      <c r="N927" s="19">
        <f>IF($C927="",0,1)</f>
        <v>0</v>
      </c>
      <c r="O927" s="19">
        <f>N(O926)+$N927</f>
        <v>637</v>
      </c>
      <c r="S927" s="20">
        <f>IFERROR(IF([1]对账明细接口!$N927=0,"",[1]对账明细接口!$N927),"")</f>
      </c>
      <c r="T927" s="212">
        <f>IFERROR(IF([1]对账明细接口!$O927=0,"",[1]对账明细接口!$O927),"")</f>
      </c>
      <c r="U927" s="212">
        <f>IFERROR(IF([1]对账明细接口!$P927=0,"",[1]对账明细接口!$P927),"")</f>
      </c>
      <c r="V927" s="212">
        <f>IFERROR(IF([1]对账明细接口!$Q927=0,"",[1]对账明细接口!$Q927),"")</f>
      </c>
      <c r="W927" s="20">
        <f>IFERROR(IF([1]对账明细接口!$R927=0,"",[1]对账明细接口!$R927),"")</f>
      </c>
      <c r="X927" s="20">
        <f>IFERROR(IF([1]对账明细接口!$S927=0,"",[1]对账明细接口!$S927),"")</f>
      </c>
      <c r="Y927" s="20">
        <f>IFERROR(IF([1]对账明细接口!$T927=0,"",[1]对账明细接口!$T927),"")</f>
      </c>
      <c r="Z927" s="213">
        <f>IFERROR(IF([1]对账明细接口!$U927=0,"",[1]对账明细接口!$U927),"")</f>
      </c>
      <c r="AA927" s="213">
        <f>IFERROR(IF([1]对账明细接口!$V927=0,"",[1]对账明细接口!$V927),"")</f>
      </c>
      <c r="AB927" s="20">
        <f>IFERROR(IF([1]对账明细接口!$W927=0,"",[1]对账明细接口!$W927),"")</f>
      </c>
      <c r="AC927" s="7">
        <f>IFERROR(IF([1]对账明细接口!$X927=0,"",[1]对账明细接口!$X927),"")</f>
      </c>
      <c r="AD927" s="7">
        <f>IFERROR(IF([1]对账明细接口!$Y927=0,"",[1]对账明细接口!$Y927),"")</f>
      </c>
      <c r="AE927" s="7">
        <f>IFERROR(IF([1]对账明细接口!$AA927=0,"",[1]对账明细接口!$AA927),"")</f>
      </c>
      <c r="AF927" s="7">
        <f>IFERROR(IF([1]对账明细接口!$AB927=0,"",[1]对账明细接口!$AB927),"")</f>
      </c>
      <c r="AG927" s="7">
        <f>IFERROR(IF([1]对账明细接口!$AC927=0,"",[1]对账明细接口!$AC927),"")</f>
      </c>
      <c r="AH927" s="7">
        <f>IFERROR(IF([1]对账明细接口!$AD927=0,"",[1]对账明细接口!$AD927),"")</f>
      </c>
      <c r="AI927" s="7">
        <f>IFERROR(IF([1]对账明细接口!$AE927=0,"",[1]对账明细接口!$AE927),"")</f>
      </c>
      <c r="AJ927" s="7">
        <f>IFERROR(IF([1]对账明细接口!$AF927=0,"",[1]对账明细接口!$AF927),"")</f>
      </c>
    </row>
    <row r="928" ht="14.25" customHeight="1" s="127">
      <c r="A928" s="14" t="n">
        <v>928</v>
      </c>
      <c r="B928" s="211">
        <f>IFERROR(IF([1]对账明细接口!$B$928=0,"",[1]对账明细接口!$B$928),"")</f>
      </c>
      <c r="C928" s="16">
        <f>IFERROR(IF([1]对账明细接口!$C$928=0,"",[1]对账明细接口!$C$928),"")</f>
      </c>
      <c r="D928" s="16">
        <f>IFERROR(IF([1]对账明细接口!$D$928=0,"",[1]对账明细接口!$D$928),"")</f>
      </c>
      <c r="E928" s="16">
        <f>IFERROR(IF([1]对账明细接口!$E$928=0,"",[1]对账明细接口!$E$928),"")</f>
      </c>
      <c r="F928" s="16">
        <f>IFERROR(IF([1]对账明细接口!$F$928=0,"",[1]对账明细接口!$F$928),"")</f>
      </c>
      <c r="G928" s="16">
        <f>IFERROR(IF([1]对账明细接口!$G$928=0,"",[1]对账明细接口!$G$928),"")</f>
      </c>
      <c r="H928" s="176">
        <f>IFERROR(IF([1]对账明细接口!$H$928=0,"",[1]对账明细接口!$H$928),"")</f>
      </c>
      <c r="I928" s="16">
        <f>IFERROR(IF([1]对账明细接口!$I$928=0,"",[1]对账明细接口!$I$928),"")</f>
      </c>
      <c r="J928" s="177">
        <f>IFERROR(IF([1]对账明细接口!$J$928=0,"",[1]对账明细接口!$J$928),"")</f>
      </c>
      <c r="K928" s="177">
        <f>IFERROR(IF([1]对账明细接口!$K$928=0,"",[1]对账明细接口!$K$928),"")</f>
      </c>
      <c r="L928" s="16">
        <f>IFERROR(IF([1]对账明细接口!$L$928=0,"",[1]对账明细接口!$L$928),"")</f>
      </c>
      <c r="M928" s="16">
        <f>IFERROR(IF([1]对账明细接口!$M$928=0,"",[1]对账明细接口!$M$928),"")</f>
      </c>
      <c r="N928" s="19">
        <f>IF($C928="",0,1)</f>
        <v>0</v>
      </c>
      <c r="O928" s="19">
        <f>N(O927)+$N928</f>
        <v>637</v>
      </c>
      <c r="S928" s="20">
        <f>IFERROR(IF([1]对账明细接口!$N928=0,"",[1]对账明细接口!$N928),"")</f>
      </c>
      <c r="T928" s="212">
        <f>IFERROR(IF([1]对账明细接口!$O928=0,"",[1]对账明细接口!$O928),"")</f>
      </c>
      <c r="U928" s="212">
        <f>IFERROR(IF([1]对账明细接口!$P928=0,"",[1]对账明细接口!$P928),"")</f>
      </c>
      <c r="V928" s="212">
        <f>IFERROR(IF([1]对账明细接口!$Q928=0,"",[1]对账明细接口!$Q928),"")</f>
      </c>
      <c r="W928" s="20">
        <f>IFERROR(IF([1]对账明细接口!$R928=0,"",[1]对账明细接口!$R928),"")</f>
      </c>
      <c r="X928" s="20">
        <f>IFERROR(IF([1]对账明细接口!$S928=0,"",[1]对账明细接口!$S928),"")</f>
      </c>
      <c r="Y928" s="20">
        <f>IFERROR(IF([1]对账明细接口!$T928=0,"",[1]对账明细接口!$T928),"")</f>
      </c>
      <c r="Z928" s="213">
        <f>IFERROR(IF([1]对账明细接口!$U928=0,"",[1]对账明细接口!$U928),"")</f>
      </c>
      <c r="AA928" s="213">
        <f>IFERROR(IF([1]对账明细接口!$V928=0,"",[1]对账明细接口!$V928),"")</f>
      </c>
      <c r="AB928" s="20">
        <f>IFERROR(IF([1]对账明细接口!$W928=0,"",[1]对账明细接口!$W928),"")</f>
      </c>
      <c r="AC928" s="7">
        <f>IFERROR(IF([1]对账明细接口!$X928=0,"",[1]对账明细接口!$X928),"")</f>
      </c>
      <c r="AD928" s="7">
        <f>IFERROR(IF([1]对账明细接口!$Y928=0,"",[1]对账明细接口!$Y928),"")</f>
      </c>
      <c r="AE928" s="7">
        <f>IFERROR(IF([1]对账明细接口!$AA928=0,"",[1]对账明细接口!$AA928),"")</f>
      </c>
      <c r="AF928" s="7">
        <f>IFERROR(IF([1]对账明细接口!$AB928=0,"",[1]对账明细接口!$AB928),"")</f>
      </c>
      <c r="AG928" s="7">
        <f>IFERROR(IF([1]对账明细接口!$AC928=0,"",[1]对账明细接口!$AC928),"")</f>
      </c>
      <c r="AH928" s="7">
        <f>IFERROR(IF([1]对账明细接口!$AD928=0,"",[1]对账明细接口!$AD928),"")</f>
      </c>
      <c r="AI928" s="7">
        <f>IFERROR(IF([1]对账明细接口!$AE928=0,"",[1]对账明细接口!$AE928),"")</f>
      </c>
      <c r="AJ928" s="7">
        <f>IFERROR(IF([1]对账明细接口!$AF928=0,"",[1]对账明细接口!$AF928),"")</f>
      </c>
    </row>
    <row r="929" ht="14.25" customHeight="1" s="127">
      <c r="A929" s="14" t="n">
        <v>929</v>
      </c>
      <c r="B929" s="211">
        <f>IFERROR(IF([1]对账明细接口!$B$929=0,"",[1]对账明细接口!$B$929),"")</f>
      </c>
      <c r="C929" s="16">
        <f>IFERROR(IF([1]对账明细接口!$C$929=0,"",[1]对账明细接口!$C$929),"")</f>
      </c>
      <c r="D929" s="16">
        <f>IFERROR(IF([1]对账明细接口!$D$929=0,"",[1]对账明细接口!$D$929),"")</f>
      </c>
      <c r="E929" s="16">
        <f>IFERROR(IF([1]对账明细接口!$E$929=0,"",[1]对账明细接口!$E$929),"")</f>
      </c>
      <c r="F929" s="16">
        <f>IFERROR(IF([1]对账明细接口!$F$929=0,"",[1]对账明细接口!$F$929),"")</f>
      </c>
      <c r="G929" s="16">
        <f>IFERROR(IF([1]对账明细接口!$G$929=0,"",[1]对账明细接口!$G$929),"")</f>
      </c>
      <c r="H929" s="176">
        <f>IFERROR(IF([1]对账明细接口!$H$929=0,"",[1]对账明细接口!$H$929),"")</f>
      </c>
      <c r="I929" s="16">
        <f>IFERROR(IF([1]对账明细接口!$I$929=0,"",[1]对账明细接口!$I$929),"")</f>
      </c>
      <c r="J929" s="177">
        <f>IFERROR(IF([1]对账明细接口!$J$929=0,"",[1]对账明细接口!$J$929),"")</f>
      </c>
      <c r="K929" s="177">
        <f>IFERROR(IF([1]对账明细接口!$K$929=0,"",[1]对账明细接口!$K$929),"")</f>
      </c>
      <c r="L929" s="16">
        <f>IFERROR(IF([1]对账明细接口!$L$929=0,"",[1]对账明细接口!$L$929),"")</f>
      </c>
      <c r="M929" s="16">
        <f>IFERROR(IF([1]对账明细接口!$M$929=0,"",[1]对账明细接口!$M$929),"")</f>
      </c>
      <c r="N929" s="19">
        <f>IF($C929="",0,1)</f>
        <v>0</v>
      </c>
      <c r="O929" s="19">
        <f>N(O928)+$N929</f>
        <v>637</v>
      </c>
      <c r="S929" s="20">
        <f>IFERROR(IF([1]对账明细接口!$N929=0,"",[1]对账明细接口!$N929),"")</f>
      </c>
      <c r="T929" s="212">
        <f>IFERROR(IF([1]对账明细接口!$O929=0,"",[1]对账明细接口!$O929),"")</f>
      </c>
      <c r="U929" s="212">
        <f>IFERROR(IF([1]对账明细接口!$P929=0,"",[1]对账明细接口!$P929),"")</f>
      </c>
      <c r="V929" s="212">
        <f>IFERROR(IF([1]对账明细接口!$Q929=0,"",[1]对账明细接口!$Q929),"")</f>
      </c>
      <c r="W929" s="20">
        <f>IFERROR(IF([1]对账明细接口!$R929=0,"",[1]对账明细接口!$R929),"")</f>
      </c>
      <c r="X929" s="20">
        <f>IFERROR(IF([1]对账明细接口!$S929=0,"",[1]对账明细接口!$S929),"")</f>
      </c>
      <c r="Y929" s="20">
        <f>IFERROR(IF([1]对账明细接口!$T929=0,"",[1]对账明细接口!$T929),"")</f>
      </c>
      <c r="Z929" s="213">
        <f>IFERROR(IF([1]对账明细接口!$U929=0,"",[1]对账明细接口!$U929),"")</f>
      </c>
      <c r="AA929" s="213">
        <f>IFERROR(IF([1]对账明细接口!$V929=0,"",[1]对账明细接口!$V929),"")</f>
      </c>
      <c r="AB929" s="20">
        <f>IFERROR(IF([1]对账明细接口!$W929=0,"",[1]对账明细接口!$W929),"")</f>
      </c>
      <c r="AC929" s="7">
        <f>IFERROR(IF([1]对账明细接口!$X929=0,"",[1]对账明细接口!$X929),"")</f>
      </c>
      <c r="AD929" s="7">
        <f>IFERROR(IF([1]对账明细接口!$Y929=0,"",[1]对账明细接口!$Y929),"")</f>
      </c>
      <c r="AE929" s="7">
        <f>IFERROR(IF([1]对账明细接口!$AA929=0,"",[1]对账明细接口!$AA929),"")</f>
      </c>
      <c r="AF929" s="7">
        <f>IFERROR(IF([1]对账明细接口!$AB929=0,"",[1]对账明细接口!$AB929),"")</f>
      </c>
      <c r="AG929" s="7">
        <f>IFERROR(IF([1]对账明细接口!$AC929=0,"",[1]对账明细接口!$AC929),"")</f>
      </c>
      <c r="AH929" s="7">
        <f>IFERROR(IF([1]对账明细接口!$AD929=0,"",[1]对账明细接口!$AD929),"")</f>
      </c>
      <c r="AI929" s="7">
        <f>IFERROR(IF([1]对账明细接口!$AE929=0,"",[1]对账明细接口!$AE929),"")</f>
      </c>
      <c r="AJ929" s="7">
        <f>IFERROR(IF([1]对账明细接口!$AF929=0,"",[1]对账明细接口!$AF929),"")</f>
      </c>
    </row>
    <row r="930" ht="14.25" customHeight="1" s="127">
      <c r="A930" s="14" t="n">
        <v>930</v>
      </c>
      <c r="B930" s="211">
        <f>IFERROR(IF([1]对账明细接口!$B$930=0,"",[1]对账明细接口!$B$930),"")</f>
      </c>
      <c r="C930" s="16">
        <f>IFERROR(IF([1]对账明细接口!$C$930=0,"",[1]对账明细接口!$C$930),"")</f>
      </c>
      <c r="D930" s="16">
        <f>IFERROR(IF([1]对账明细接口!$D$930=0,"",[1]对账明细接口!$D$930),"")</f>
      </c>
      <c r="E930" s="16">
        <f>IFERROR(IF([1]对账明细接口!$E$930=0,"",[1]对账明细接口!$E$930),"")</f>
      </c>
      <c r="F930" s="16">
        <f>IFERROR(IF([1]对账明细接口!$F$930=0,"",[1]对账明细接口!$F$930),"")</f>
      </c>
      <c r="G930" s="16">
        <f>IFERROR(IF([1]对账明细接口!$G$930=0,"",[1]对账明细接口!$G$930),"")</f>
      </c>
      <c r="H930" s="176">
        <f>IFERROR(IF([1]对账明细接口!$H$930=0,"",[1]对账明细接口!$H$930),"")</f>
      </c>
      <c r="I930" s="16">
        <f>IFERROR(IF([1]对账明细接口!$I$930=0,"",[1]对账明细接口!$I$930),"")</f>
      </c>
      <c r="J930" s="177">
        <f>IFERROR(IF([1]对账明细接口!$J$930=0,"",[1]对账明细接口!$J$930),"")</f>
      </c>
      <c r="K930" s="177">
        <f>IFERROR(IF([1]对账明细接口!$K$930=0,"",[1]对账明细接口!$K$930),"")</f>
      </c>
      <c r="L930" s="16">
        <f>IFERROR(IF([1]对账明细接口!$L$930=0,"",[1]对账明细接口!$L$930),"")</f>
      </c>
      <c r="M930" s="16">
        <f>IFERROR(IF([1]对账明细接口!$M$930=0,"",[1]对账明细接口!$M$930),"")</f>
      </c>
      <c r="N930" s="19">
        <f>IF($C930="",0,1)</f>
        <v>0</v>
      </c>
      <c r="O930" s="19">
        <f>N(O929)+$N930</f>
        <v>637</v>
      </c>
      <c r="S930" s="20">
        <f>IFERROR(IF([1]对账明细接口!$N930=0,"",[1]对账明细接口!$N930),"")</f>
      </c>
      <c r="T930" s="212">
        <f>IFERROR(IF([1]对账明细接口!$O930=0,"",[1]对账明细接口!$O930),"")</f>
      </c>
      <c r="U930" s="212">
        <f>IFERROR(IF([1]对账明细接口!$P930=0,"",[1]对账明细接口!$P930),"")</f>
      </c>
      <c r="V930" s="212">
        <f>IFERROR(IF([1]对账明细接口!$Q930=0,"",[1]对账明细接口!$Q930),"")</f>
      </c>
      <c r="W930" s="20">
        <f>IFERROR(IF([1]对账明细接口!$R930=0,"",[1]对账明细接口!$R930),"")</f>
      </c>
      <c r="X930" s="20">
        <f>IFERROR(IF([1]对账明细接口!$S930=0,"",[1]对账明细接口!$S930),"")</f>
      </c>
      <c r="Y930" s="20">
        <f>IFERROR(IF([1]对账明细接口!$T930=0,"",[1]对账明细接口!$T930),"")</f>
      </c>
      <c r="Z930" s="213">
        <f>IFERROR(IF([1]对账明细接口!$U930=0,"",[1]对账明细接口!$U930),"")</f>
      </c>
      <c r="AA930" s="213">
        <f>IFERROR(IF([1]对账明细接口!$V930=0,"",[1]对账明细接口!$V930),"")</f>
      </c>
      <c r="AB930" s="20">
        <f>IFERROR(IF([1]对账明细接口!$W930=0,"",[1]对账明细接口!$W930),"")</f>
      </c>
      <c r="AC930" s="7">
        <f>IFERROR(IF([1]对账明细接口!$X930=0,"",[1]对账明细接口!$X930),"")</f>
      </c>
      <c r="AD930" s="7">
        <f>IFERROR(IF([1]对账明细接口!$Y930=0,"",[1]对账明细接口!$Y930),"")</f>
      </c>
      <c r="AE930" s="7">
        <f>IFERROR(IF([1]对账明细接口!$AA930=0,"",[1]对账明细接口!$AA930),"")</f>
      </c>
      <c r="AF930" s="7">
        <f>IFERROR(IF([1]对账明细接口!$AB930=0,"",[1]对账明细接口!$AB930),"")</f>
      </c>
      <c r="AG930" s="7">
        <f>IFERROR(IF([1]对账明细接口!$AC930=0,"",[1]对账明细接口!$AC930),"")</f>
      </c>
      <c r="AH930" s="7">
        <f>IFERROR(IF([1]对账明细接口!$AD930=0,"",[1]对账明细接口!$AD930),"")</f>
      </c>
      <c r="AI930" s="7">
        <f>IFERROR(IF([1]对账明细接口!$AE930=0,"",[1]对账明细接口!$AE930),"")</f>
      </c>
      <c r="AJ930" s="7">
        <f>IFERROR(IF([1]对账明细接口!$AF930=0,"",[1]对账明细接口!$AF930),"")</f>
      </c>
    </row>
    <row r="931" ht="14.25" customHeight="1" s="127">
      <c r="A931" s="14" t="n">
        <v>931</v>
      </c>
      <c r="B931" s="211">
        <f>IFERROR(IF([1]对账明细接口!$B$931=0,"",[1]对账明细接口!$B$931),"")</f>
      </c>
      <c r="C931" s="16">
        <f>IFERROR(IF([1]对账明细接口!$C$931=0,"",[1]对账明细接口!$C$931),"")</f>
      </c>
      <c r="D931" s="16">
        <f>IFERROR(IF([1]对账明细接口!$D$931=0,"",[1]对账明细接口!$D$931),"")</f>
      </c>
      <c r="E931" s="16">
        <f>IFERROR(IF([1]对账明细接口!$E$931=0,"",[1]对账明细接口!$E$931),"")</f>
      </c>
      <c r="F931" s="16">
        <f>IFERROR(IF([1]对账明细接口!$F$931=0,"",[1]对账明细接口!$F$931),"")</f>
      </c>
      <c r="G931" s="16">
        <f>IFERROR(IF([1]对账明细接口!$G$931=0,"",[1]对账明细接口!$G$931),"")</f>
      </c>
      <c r="H931" s="176">
        <f>IFERROR(IF([1]对账明细接口!$H$931=0,"",[1]对账明细接口!$H$931),"")</f>
      </c>
      <c r="I931" s="16">
        <f>IFERROR(IF([1]对账明细接口!$I$931=0,"",[1]对账明细接口!$I$931),"")</f>
      </c>
      <c r="J931" s="177">
        <f>IFERROR(IF([1]对账明细接口!$J$931=0,"",[1]对账明细接口!$J$931),"")</f>
      </c>
      <c r="K931" s="177">
        <f>IFERROR(IF([1]对账明细接口!$K$931=0,"",[1]对账明细接口!$K$931),"")</f>
      </c>
      <c r="L931" s="16">
        <f>IFERROR(IF([1]对账明细接口!$L$931=0,"",[1]对账明细接口!$L$931),"")</f>
      </c>
      <c r="M931" s="16">
        <f>IFERROR(IF([1]对账明细接口!$M$931=0,"",[1]对账明细接口!$M$931),"")</f>
      </c>
      <c r="N931" s="19">
        <f>IF($C931="",0,1)</f>
        <v>0</v>
      </c>
      <c r="O931" s="19">
        <f>N(O930)+$N931</f>
        <v>637</v>
      </c>
      <c r="S931" s="20">
        <f>IFERROR(IF([1]对账明细接口!$N931=0,"",[1]对账明细接口!$N931),"")</f>
      </c>
      <c r="T931" s="212">
        <f>IFERROR(IF([1]对账明细接口!$O931=0,"",[1]对账明细接口!$O931),"")</f>
      </c>
      <c r="U931" s="212">
        <f>IFERROR(IF([1]对账明细接口!$P931=0,"",[1]对账明细接口!$P931),"")</f>
      </c>
      <c r="V931" s="212">
        <f>IFERROR(IF([1]对账明细接口!$Q931=0,"",[1]对账明细接口!$Q931),"")</f>
      </c>
      <c r="W931" s="20">
        <f>IFERROR(IF([1]对账明细接口!$R931=0,"",[1]对账明细接口!$R931),"")</f>
      </c>
      <c r="X931" s="20">
        <f>IFERROR(IF([1]对账明细接口!$S931=0,"",[1]对账明细接口!$S931),"")</f>
      </c>
      <c r="Y931" s="20">
        <f>IFERROR(IF([1]对账明细接口!$T931=0,"",[1]对账明细接口!$T931),"")</f>
      </c>
      <c r="Z931" s="213">
        <f>IFERROR(IF([1]对账明细接口!$U931=0,"",[1]对账明细接口!$U931),"")</f>
      </c>
      <c r="AA931" s="213">
        <f>IFERROR(IF([1]对账明细接口!$V931=0,"",[1]对账明细接口!$V931),"")</f>
      </c>
      <c r="AB931" s="20">
        <f>IFERROR(IF([1]对账明细接口!$W931=0,"",[1]对账明细接口!$W931),"")</f>
      </c>
      <c r="AC931" s="7">
        <f>IFERROR(IF([1]对账明细接口!$X931=0,"",[1]对账明细接口!$X931),"")</f>
      </c>
      <c r="AD931" s="7">
        <f>IFERROR(IF([1]对账明细接口!$Y931=0,"",[1]对账明细接口!$Y931),"")</f>
      </c>
      <c r="AE931" s="7">
        <f>IFERROR(IF([1]对账明细接口!$AA931=0,"",[1]对账明细接口!$AA931),"")</f>
      </c>
      <c r="AF931" s="7">
        <f>IFERROR(IF([1]对账明细接口!$AB931=0,"",[1]对账明细接口!$AB931),"")</f>
      </c>
      <c r="AG931" s="7">
        <f>IFERROR(IF([1]对账明细接口!$AC931=0,"",[1]对账明细接口!$AC931),"")</f>
      </c>
      <c r="AH931" s="7">
        <f>IFERROR(IF([1]对账明细接口!$AD931=0,"",[1]对账明细接口!$AD931),"")</f>
      </c>
      <c r="AI931" s="7">
        <f>IFERROR(IF([1]对账明细接口!$AE931=0,"",[1]对账明细接口!$AE931),"")</f>
      </c>
      <c r="AJ931" s="7">
        <f>IFERROR(IF([1]对账明细接口!$AF931=0,"",[1]对账明细接口!$AF931),"")</f>
      </c>
    </row>
    <row r="932" ht="14.25" customHeight="1" s="127">
      <c r="A932" s="14" t="n">
        <v>932</v>
      </c>
      <c r="B932" s="211">
        <f>IFERROR(IF([1]对账明细接口!$B$932=0,"",[1]对账明细接口!$B$932),"")</f>
      </c>
      <c r="C932" s="16">
        <f>IFERROR(IF([1]对账明细接口!$C$932=0,"",[1]对账明细接口!$C$932),"")</f>
      </c>
      <c r="D932" s="16">
        <f>IFERROR(IF([1]对账明细接口!$D$932=0,"",[1]对账明细接口!$D$932),"")</f>
      </c>
      <c r="E932" s="16">
        <f>IFERROR(IF([1]对账明细接口!$E$932=0,"",[1]对账明细接口!$E$932),"")</f>
      </c>
      <c r="F932" s="16">
        <f>IFERROR(IF([1]对账明细接口!$F$932=0,"",[1]对账明细接口!$F$932),"")</f>
      </c>
      <c r="G932" s="16">
        <f>IFERROR(IF([1]对账明细接口!$G$932=0,"",[1]对账明细接口!$G$932),"")</f>
      </c>
      <c r="H932" s="176">
        <f>IFERROR(IF([1]对账明细接口!$H$932=0,"",[1]对账明细接口!$H$932),"")</f>
      </c>
      <c r="I932" s="16">
        <f>IFERROR(IF([1]对账明细接口!$I$932=0,"",[1]对账明细接口!$I$932),"")</f>
      </c>
      <c r="J932" s="177">
        <f>IFERROR(IF([1]对账明细接口!$J$932=0,"",[1]对账明细接口!$J$932),"")</f>
      </c>
      <c r="K932" s="177">
        <f>IFERROR(IF([1]对账明细接口!$K$932=0,"",[1]对账明细接口!$K$932),"")</f>
      </c>
      <c r="L932" s="16">
        <f>IFERROR(IF([1]对账明细接口!$L$932=0,"",[1]对账明细接口!$L$932),"")</f>
      </c>
      <c r="M932" s="16">
        <f>IFERROR(IF([1]对账明细接口!$M$932=0,"",[1]对账明细接口!$M$932),"")</f>
      </c>
      <c r="N932" s="19">
        <f>IF($C932="",0,1)</f>
        <v>0</v>
      </c>
      <c r="O932" s="19">
        <f>N(O931)+$N932</f>
        <v>637</v>
      </c>
      <c r="S932" s="20">
        <f>IFERROR(IF([1]对账明细接口!$N932=0,"",[1]对账明细接口!$N932),"")</f>
      </c>
      <c r="T932" s="212">
        <f>IFERROR(IF([1]对账明细接口!$O932=0,"",[1]对账明细接口!$O932),"")</f>
      </c>
      <c r="U932" s="212">
        <f>IFERROR(IF([1]对账明细接口!$P932=0,"",[1]对账明细接口!$P932),"")</f>
      </c>
      <c r="V932" s="212">
        <f>IFERROR(IF([1]对账明细接口!$Q932=0,"",[1]对账明细接口!$Q932),"")</f>
      </c>
      <c r="W932" s="20">
        <f>IFERROR(IF([1]对账明细接口!$R932=0,"",[1]对账明细接口!$R932),"")</f>
      </c>
      <c r="X932" s="20">
        <f>IFERROR(IF([1]对账明细接口!$S932=0,"",[1]对账明细接口!$S932),"")</f>
      </c>
      <c r="Y932" s="20">
        <f>IFERROR(IF([1]对账明细接口!$T932=0,"",[1]对账明细接口!$T932),"")</f>
      </c>
      <c r="Z932" s="213">
        <f>IFERROR(IF([1]对账明细接口!$U932=0,"",[1]对账明细接口!$U932),"")</f>
      </c>
      <c r="AA932" s="213">
        <f>IFERROR(IF([1]对账明细接口!$V932=0,"",[1]对账明细接口!$V932),"")</f>
      </c>
      <c r="AB932" s="20">
        <f>IFERROR(IF([1]对账明细接口!$W932=0,"",[1]对账明细接口!$W932),"")</f>
      </c>
      <c r="AC932" s="7">
        <f>IFERROR(IF([1]对账明细接口!$X932=0,"",[1]对账明细接口!$X932),"")</f>
      </c>
      <c r="AD932" s="7">
        <f>IFERROR(IF([1]对账明细接口!$Y932=0,"",[1]对账明细接口!$Y932),"")</f>
      </c>
      <c r="AE932" s="7">
        <f>IFERROR(IF([1]对账明细接口!$AA932=0,"",[1]对账明细接口!$AA932),"")</f>
      </c>
      <c r="AF932" s="7">
        <f>IFERROR(IF([1]对账明细接口!$AB932=0,"",[1]对账明细接口!$AB932),"")</f>
      </c>
      <c r="AG932" s="7">
        <f>IFERROR(IF([1]对账明细接口!$AC932=0,"",[1]对账明细接口!$AC932),"")</f>
      </c>
      <c r="AH932" s="7">
        <f>IFERROR(IF([1]对账明细接口!$AD932=0,"",[1]对账明细接口!$AD932),"")</f>
      </c>
      <c r="AI932" s="7">
        <f>IFERROR(IF([1]对账明细接口!$AE932=0,"",[1]对账明细接口!$AE932),"")</f>
      </c>
      <c r="AJ932" s="7">
        <f>IFERROR(IF([1]对账明细接口!$AF932=0,"",[1]对账明细接口!$AF932),"")</f>
      </c>
    </row>
    <row r="933" ht="14.25" customHeight="1" s="127">
      <c r="A933" s="14" t="n">
        <v>933</v>
      </c>
      <c r="B933" s="211">
        <f>IFERROR(IF([1]对账明细接口!$B$933=0,"",[1]对账明细接口!$B$933),"")</f>
      </c>
      <c r="C933" s="16">
        <f>IFERROR(IF([1]对账明细接口!$C$933=0,"",[1]对账明细接口!$C$933),"")</f>
      </c>
      <c r="D933" s="16">
        <f>IFERROR(IF([1]对账明细接口!$D$933=0,"",[1]对账明细接口!$D$933),"")</f>
      </c>
      <c r="E933" s="16">
        <f>IFERROR(IF([1]对账明细接口!$E$933=0,"",[1]对账明细接口!$E$933),"")</f>
      </c>
      <c r="F933" s="16">
        <f>IFERROR(IF([1]对账明细接口!$F$933=0,"",[1]对账明细接口!$F$933),"")</f>
      </c>
      <c r="G933" s="16">
        <f>IFERROR(IF([1]对账明细接口!$G$933=0,"",[1]对账明细接口!$G$933),"")</f>
      </c>
      <c r="H933" s="176">
        <f>IFERROR(IF([1]对账明细接口!$H$933=0,"",[1]对账明细接口!$H$933),"")</f>
      </c>
      <c r="I933" s="16">
        <f>IFERROR(IF([1]对账明细接口!$I$933=0,"",[1]对账明细接口!$I$933),"")</f>
      </c>
      <c r="J933" s="177">
        <f>IFERROR(IF([1]对账明细接口!$J$933=0,"",[1]对账明细接口!$J$933),"")</f>
      </c>
      <c r="K933" s="177">
        <f>IFERROR(IF([1]对账明细接口!$K$933=0,"",[1]对账明细接口!$K$933),"")</f>
      </c>
      <c r="L933" s="16">
        <f>IFERROR(IF([1]对账明细接口!$L$933=0,"",[1]对账明细接口!$L$933),"")</f>
      </c>
      <c r="M933" s="16">
        <f>IFERROR(IF([1]对账明细接口!$M$933=0,"",[1]对账明细接口!$M$933),"")</f>
      </c>
      <c r="N933" s="19">
        <f>IF($C933="",0,1)</f>
        <v>0</v>
      </c>
      <c r="O933" s="19">
        <f>N(O932)+$N933</f>
        <v>637</v>
      </c>
      <c r="S933" s="20">
        <f>IFERROR(IF([1]对账明细接口!$N933=0,"",[1]对账明细接口!$N933),"")</f>
      </c>
      <c r="T933" s="212">
        <f>IFERROR(IF([1]对账明细接口!$O933=0,"",[1]对账明细接口!$O933),"")</f>
      </c>
      <c r="U933" s="212">
        <f>IFERROR(IF([1]对账明细接口!$P933=0,"",[1]对账明细接口!$P933),"")</f>
      </c>
      <c r="V933" s="212">
        <f>IFERROR(IF([1]对账明细接口!$Q933=0,"",[1]对账明细接口!$Q933),"")</f>
      </c>
      <c r="W933" s="20">
        <f>IFERROR(IF([1]对账明细接口!$R933=0,"",[1]对账明细接口!$R933),"")</f>
      </c>
      <c r="X933" s="20">
        <f>IFERROR(IF([1]对账明细接口!$S933=0,"",[1]对账明细接口!$S933),"")</f>
      </c>
      <c r="Y933" s="20">
        <f>IFERROR(IF([1]对账明细接口!$T933=0,"",[1]对账明细接口!$T933),"")</f>
      </c>
      <c r="Z933" s="213">
        <f>IFERROR(IF([1]对账明细接口!$U933=0,"",[1]对账明细接口!$U933),"")</f>
      </c>
      <c r="AA933" s="213">
        <f>IFERROR(IF([1]对账明细接口!$V933=0,"",[1]对账明细接口!$V933),"")</f>
      </c>
      <c r="AB933" s="20">
        <f>IFERROR(IF([1]对账明细接口!$W933=0,"",[1]对账明细接口!$W933),"")</f>
      </c>
      <c r="AC933" s="7">
        <f>IFERROR(IF([1]对账明细接口!$X933=0,"",[1]对账明细接口!$X933),"")</f>
      </c>
      <c r="AD933" s="7">
        <f>IFERROR(IF([1]对账明细接口!$Y933=0,"",[1]对账明细接口!$Y933),"")</f>
      </c>
      <c r="AE933" s="7">
        <f>IFERROR(IF([1]对账明细接口!$AA933=0,"",[1]对账明细接口!$AA933),"")</f>
      </c>
      <c r="AF933" s="7">
        <f>IFERROR(IF([1]对账明细接口!$AB933=0,"",[1]对账明细接口!$AB933),"")</f>
      </c>
      <c r="AG933" s="7">
        <f>IFERROR(IF([1]对账明细接口!$AC933=0,"",[1]对账明细接口!$AC933),"")</f>
      </c>
      <c r="AH933" s="7">
        <f>IFERROR(IF([1]对账明细接口!$AD933=0,"",[1]对账明细接口!$AD933),"")</f>
      </c>
      <c r="AI933" s="7">
        <f>IFERROR(IF([1]对账明细接口!$AE933=0,"",[1]对账明细接口!$AE933),"")</f>
      </c>
      <c r="AJ933" s="7">
        <f>IFERROR(IF([1]对账明细接口!$AF933=0,"",[1]对账明细接口!$AF933),"")</f>
      </c>
    </row>
    <row r="934" ht="14.25" customHeight="1" s="127">
      <c r="A934" s="14" t="n">
        <v>934</v>
      </c>
      <c r="B934" s="211">
        <f>IFERROR(IF([1]对账明细接口!$B$934=0,"",[1]对账明细接口!$B$934),"")</f>
      </c>
      <c r="C934" s="16">
        <f>IFERROR(IF([1]对账明细接口!$C$934=0,"",[1]对账明细接口!$C$934),"")</f>
      </c>
      <c r="D934" s="16">
        <f>IFERROR(IF([1]对账明细接口!$D$934=0,"",[1]对账明细接口!$D$934),"")</f>
      </c>
      <c r="E934" s="16">
        <f>IFERROR(IF([1]对账明细接口!$E$934=0,"",[1]对账明细接口!$E$934),"")</f>
      </c>
      <c r="F934" s="16">
        <f>IFERROR(IF([1]对账明细接口!$F$934=0,"",[1]对账明细接口!$F$934),"")</f>
      </c>
      <c r="G934" s="16">
        <f>IFERROR(IF([1]对账明细接口!$G$934=0,"",[1]对账明细接口!$G$934),"")</f>
      </c>
      <c r="H934" s="176">
        <f>IFERROR(IF([1]对账明细接口!$H$934=0,"",[1]对账明细接口!$H$934),"")</f>
      </c>
      <c r="I934" s="16">
        <f>IFERROR(IF([1]对账明细接口!$I$934=0,"",[1]对账明细接口!$I$934),"")</f>
      </c>
      <c r="J934" s="177">
        <f>IFERROR(IF([1]对账明细接口!$J$934=0,"",[1]对账明细接口!$J$934),"")</f>
      </c>
      <c r="K934" s="177">
        <f>IFERROR(IF([1]对账明细接口!$K$934=0,"",[1]对账明细接口!$K$934),"")</f>
      </c>
      <c r="L934" s="16">
        <f>IFERROR(IF([1]对账明细接口!$L$934=0,"",[1]对账明细接口!$L$934),"")</f>
      </c>
      <c r="M934" s="16">
        <f>IFERROR(IF([1]对账明细接口!$M$934=0,"",[1]对账明细接口!$M$934),"")</f>
      </c>
      <c r="N934" s="19">
        <f>IF($C934="",0,1)</f>
        <v>0</v>
      </c>
      <c r="O934" s="19">
        <f>N(O933)+$N934</f>
        <v>637</v>
      </c>
      <c r="S934" s="20">
        <f>IFERROR(IF([1]对账明细接口!$N934=0,"",[1]对账明细接口!$N934),"")</f>
      </c>
      <c r="T934" s="212">
        <f>IFERROR(IF([1]对账明细接口!$O934=0,"",[1]对账明细接口!$O934),"")</f>
      </c>
      <c r="U934" s="212">
        <f>IFERROR(IF([1]对账明细接口!$P934=0,"",[1]对账明细接口!$P934),"")</f>
      </c>
      <c r="V934" s="212">
        <f>IFERROR(IF([1]对账明细接口!$Q934=0,"",[1]对账明细接口!$Q934),"")</f>
      </c>
      <c r="W934" s="20">
        <f>IFERROR(IF([1]对账明细接口!$R934=0,"",[1]对账明细接口!$R934),"")</f>
      </c>
      <c r="X934" s="20">
        <f>IFERROR(IF([1]对账明细接口!$S934=0,"",[1]对账明细接口!$S934),"")</f>
      </c>
      <c r="Y934" s="20">
        <f>IFERROR(IF([1]对账明细接口!$T934=0,"",[1]对账明细接口!$T934),"")</f>
      </c>
      <c r="Z934" s="213">
        <f>IFERROR(IF([1]对账明细接口!$U934=0,"",[1]对账明细接口!$U934),"")</f>
      </c>
      <c r="AA934" s="213">
        <f>IFERROR(IF([1]对账明细接口!$V934=0,"",[1]对账明细接口!$V934),"")</f>
      </c>
      <c r="AB934" s="20">
        <f>IFERROR(IF([1]对账明细接口!$W934=0,"",[1]对账明细接口!$W934),"")</f>
      </c>
      <c r="AC934" s="7">
        <f>IFERROR(IF([1]对账明细接口!$X934=0,"",[1]对账明细接口!$X934),"")</f>
      </c>
      <c r="AD934" s="7">
        <f>IFERROR(IF([1]对账明细接口!$Y934=0,"",[1]对账明细接口!$Y934),"")</f>
      </c>
      <c r="AE934" s="7">
        <f>IFERROR(IF([1]对账明细接口!$AA934=0,"",[1]对账明细接口!$AA934),"")</f>
      </c>
      <c r="AF934" s="7">
        <f>IFERROR(IF([1]对账明细接口!$AB934=0,"",[1]对账明细接口!$AB934),"")</f>
      </c>
      <c r="AG934" s="7">
        <f>IFERROR(IF([1]对账明细接口!$AC934=0,"",[1]对账明细接口!$AC934),"")</f>
      </c>
      <c r="AH934" s="7">
        <f>IFERROR(IF([1]对账明细接口!$AD934=0,"",[1]对账明细接口!$AD934),"")</f>
      </c>
      <c r="AI934" s="7">
        <f>IFERROR(IF([1]对账明细接口!$AE934=0,"",[1]对账明细接口!$AE934),"")</f>
      </c>
      <c r="AJ934" s="7">
        <f>IFERROR(IF([1]对账明细接口!$AF934=0,"",[1]对账明细接口!$AF934),"")</f>
      </c>
    </row>
    <row r="935" ht="14.25" customHeight="1" s="127">
      <c r="A935" s="14" t="n">
        <v>935</v>
      </c>
      <c r="B935" s="211">
        <f>IFERROR(IF([1]对账明细接口!$B$935=0,"",[1]对账明细接口!$B$935),"")</f>
      </c>
      <c r="C935" s="16">
        <f>IFERROR(IF([1]对账明细接口!$C$935=0,"",[1]对账明细接口!$C$935),"")</f>
      </c>
      <c r="D935" s="16">
        <f>IFERROR(IF([1]对账明细接口!$D$935=0,"",[1]对账明细接口!$D$935),"")</f>
      </c>
      <c r="E935" s="16">
        <f>IFERROR(IF([1]对账明细接口!$E$935=0,"",[1]对账明细接口!$E$935),"")</f>
      </c>
      <c r="F935" s="16">
        <f>IFERROR(IF([1]对账明细接口!$F$935=0,"",[1]对账明细接口!$F$935),"")</f>
      </c>
      <c r="G935" s="16">
        <f>IFERROR(IF([1]对账明细接口!$G$935=0,"",[1]对账明细接口!$G$935),"")</f>
      </c>
      <c r="H935" s="176">
        <f>IFERROR(IF([1]对账明细接口!$H$935=0,"",[1]对账明细接口!$H$935),"")</f>
      </c>
      <c r="I935" s="16">
        <f>IFERROR(IF([1]对账明细接口!$I$935=0,"",[1]对账明细接口!$I$935),"")</f>
      </c>
      <c r="J935" s="177">
        <f>IFERROR(IF([1]对账明细接口!$J$935=0,"",[1]对账明细接口!$J$935),"")</f>
      </c>
      <c r="K935" s="177">
        <f>IFERROR(IF([1]对账明细接口!$K$935=0,"",[1]对账明细接口!$K$935),"")</f>
      </c>
      <c r="L935" s="16">
        <f>IFERROR(IF([1]对账明细接口!$L$935=0,"",[1]对账明细接口!$L$935),"")</f>
      </c>
      <c r="M935" s="16">
        <f>IFERROR(IF([1]对账明细接口!$M$935=0,"",[1]对账明细接口!$M$935),"")</f>
      </c>
      <c r="N935" s="19">
        <f>IF($C935="",0,1)</f>
        <v>0</v>
      </c>
      <c r="O935" s="19">
        <f>N(O934)+$N935</f>
        <v>637</v>
      </c>
      <c r="S935" s="20">
        <f>IFERROR(IF([1]对账明细接口!$N935=0,"",[1]对账明细接口!$N935),"")</f>
      </c>
      <c r="T935" s="212">
        <f>IFERROR(IF([1]对账明细接口!$O935=0,"",[1]对账明细接口!$O935),"")</f>
      </c>
      <c r="U935" s="212">
        <f>IFERROR(IF([1]对账明细接口!$P935=0,"",[1]对账明细接口!$P935),"")</f>
      </c>
      <c r="V935" s="212">
        <f>IFERROR(IF([1]对账明细接口!$Q935=0,"",[1]对账明细接口!$Q935),"")</f>
      </c>
      <c r="W935" s="20">
        <f>IFERROR(IF([1]对账明细接口!$R935=0,"",[1]对账明细接口!$R935),"")</f>
      </c>
      <c r="X935" s="20">
        <f>IFERROR(IF([1]对账明细接口!$S935=0,"",[1]对账明细接口!$S935),"")</f>
      </c>
      <c r="Y935" s="20">
        <f>IFERROR(IF([1]对账明细接口!$T935=0,"",[1]对账明细接口!$T935),"")</f>
      </c>
      <c r="Z935" s="213">
        <f>IFERROR(IF([1]对账明细接口!$U935=0,"",[1]对账明细接口!$U935),"")</f>
      </c>
      <c r="AA935" s="213">
        <f>IFERROR(IF([1]对账明细接口!$V935=0,"",[1]对账明细接口!$V935),"")</f>
      </c>
      <c r="AB935" s="20">
        <f>IFERROR(IF([1]对账明细接口!$W935=0,"",[1]对账明细接口!$W935),"")</f>
      </c>
      <c r="AC935" s="7">
        <f>IFERROR(IF([1]对账明细接口!$X935=0,"",[1]对账明细接口!$X935),"")</f>
      </c>
      <c r="AD935" s="7">
        <f>IFERROR(IF([1]对账明细接口!$Y935=0,"",[1]对账明细接口!$Y935),"")</f>
      </c>
      <c r="AE935" s="7">
        <f>IFERROR(IF([1]对账明细接口!$AA935=0,"",[1]对账明细接口!$AA935),"")</f>
      </c>
      <c r="AF935" s="7">
        <f>IFERROR(IF([1]对账明细接口!$AB935=0,"",[1]对账明细接口!$AB935),"")</f>
      </c>
      <c r="AG935" s="7">
        <f>IFERROR(IF([1]对账明细接口!$AC935=0,"",[1]对账明细接口!$AC935),"")</f>
      </c>
      <c r="AH935" s="7">
        <f>IFERROR(IF([1]对账明细接口!$AD935=0,"",[1]对账明细接口!$AD935),"")</f>
      </c>
      <c r="AI935" s="7">
        <f>IFERROR(IF([1]对账明细接口!$AE935=0,"",[1]对账明细接口!$AE935),"")</f>
      </c>
      <c r="AJ935" s="7">
        <f>IFERROR(IF([1]对账明细接口!$AF935=0,"",[1]对账明细接口!$AF935),"")</f>
      </c>
    </row>
    <row r="936" ht="14.25" customHeight="1" s="127">
      <c r="A936" s="14" t="n">
        <v>936</v>
      </c>
      <c r="B936" s="211">
        <f>IFERROR(IF([1]对账明细接口!$B$936=0,"",[1]对账明细接口!$B$936),"")</f>
      </c>
      <c r="C936" s="16">
        <f>IFERROR(IF([1]对账明细接口!$C$936=0,"",[1]对账明细接口!$C$936),"")</f>
      </c>
      <c r="D936" s="16">
        <f>IFERROR(IF([1]对账明细接口!$D$936=0,"",[1]对账明细接口!$D$936),"")</f>
      </c>
      <c r="E936" s="16">
        <f>IFERROR(IF([1]对账明细接口!$E$936=0,"",[1]对账明细接口!$E$936),"")</f>
      </c>
      <c r="F936" s="16">
        <f>IFERROR(IF([1]对账明细接口!$F$936=0,"",[1]对账明细接口!$F$936),"")</f>
      </c>
      <c r="G936" s="16">
        <f>IFERROR(IF([1]对账明细接口!$G$936=0,"",[1]对账明细接口!$G$936),"")</f>
      </c>
      <c r="H936" s="176">
        <f>IFERROR(IF([1]对账明细接口!$H$936=0,"",[1]对账明细接口!$H$936),"")</f>
      </c>
      <c r="I936" s="16">
        <f>IFERROR(IF([1]对账明细接口!$I$936=0,"",[1]对账明细接口!$I$936),"")</f>
      </c>
      <c r="J936" s="177">
        <f>IFERROR(IF([1]对账明细接口!$J$936=0,"",[1]对账明细接口!$J$936),"")</f>
      </c>
      <c r="K936" s="177">
        <f>IFERROR(IF([1]对账明细接口!$K$936=0,"",[1]对账明细接口!$K$936),"")</f>
      </c>
      <c r="L936" s="16">
        <f>IFERROR(IF([1]对账明细接口!$L$936=0,"",[1]对账明细接口!$L$936),"")</f>
      </c>
      <c r="M936" s="16">
        <f>IFERROR(IF([1]对账明细接口!$M$936=0,"",[1]对账明细接口!$M$936),"")</f>
      </c>
      <c r="N936" s="19">
        <f>IF($C936="",0,1)</f>
        <v>0</v>
      </c>
      <c r="O936" s="19">
        <f>N(O935)+$N936</f>
        <v>637</v>
      </c>
      <c r="S936" s="20">
        <f>IFERROR(IF([1]对账明细接口!$N936=0,"",[1]对账明细接口!$N936),"")</f>
      </c>
      <c r="T936" s="212">
        <f>IFERROR(IF([1]对账明细接口!$O936=0,"",[1]对账明细接口!$O936),"")</f>
      </c>
      <c r="U936" s="212">
        <f>IFERROR(IF([1]对账明细接口!$P936=0,"",[1]对账明细接口!$P936),"")</f>
      </c>
      <c r="V936" s="212">
        <f>IFERROR(IF([1]对账明细接口!$Q936=0,"",[1]对账明细接口!$Q936),"")</f>
      </c>
      <c r="W936" s="20">
        <f>IFERROR(IF([1]对账明细接口!$R936=0,"",[1]对账明细接口!$R936),"")</f>
      </c>
      <c r="X936" s="20">
        <f>IFERROR(IF([1]对账明细接口!$S936=0,"",[1]对账明细接口!$S936),"")</f>
      </c>
      <c r="Y936" s="20">
        <f>IFERROR(IF([1]对账明细接口!$T936=0,"",[1]对账明细接口!$T936),"")</f>
      </c>
      <c r="Z936" s="213">
        <f>IFERROR(IF([1]对账明细接口!$U936=0,"",[1]对账明细接口!$U936),"")</f>
      </c>
      <c r="AA936" s="213">
        <f>IFERROR(IF([1]对账明细接口!$V936=0,"",[1]对账明细接口!$V936),"")</f>
      </c>
      <c r="AB936" s="20">
        <f>IFERROR(IF([1]对账明细接口!$W936=0,"",[1]对账明细接口!$W936),"")</f>
      </c>
      <c r="AC936" s="7">
        <f>IFERROR(IF([1]对账明细接口!$X936=0,"",[1]对账明细接口!$X936),"")</f>
      </c>
      <c r="AD936" s="7">
        <f>IFERROR(IF([1]对账明细接口!$Y936=0,"",[1]对账明细接口!$Y936),"")</f>
      </c>
      <c r="AE936" s="7">
        <f>IFERROR(IF([1]对账明细接口!$AA936=0,"",[1]对账明细接口!$AA936),"")</f>
      </c>
      <c r="AF936" s="7">
        <f>IFERROR(IF([1]对账明细接口!$AB936=0,"",[1]对账明细接口!$AB936),"")</f>
      </c>
      <c r="AG936" s="7">
        <f>IFERROR(IF([1]对账明细接口!$AC936=0,"",[1]对账明细接口!$AC936),"")</f>
      </c>
      <c r="AH936" s="7">
        <f>IFERROR(IF([1]对账明细接口!$AD936=0,"",[1]对账明细接口!$AD936),"")</f>
      </c>
      <c r="AI936" s="7">
        <f>IFERROR(IF([1]对账明细接口!$AE936=0,"",[1]对账明细接口!$AE936),"")</f>
      </c>
      <c r="AJ936" s="7">
        <f>IFERROR(IF([1]对账明细接口!$AF936=0,"",[1]对账明细接口!$AF936),"")</f>
      </c>
    </row>
    <row r="937" ht="14.25" customHeight="1" s="127">
      <c r="A937" s="14" t="n">
        <v>937</v>
      </c>
      <c r="B937" s="211">
        <f>IFERROR(IF([1]对账明细接口!$B$937=0,"",[1]对账明细接口!$B$937),"")</f>
      </c>
      <c r="C937" s="16">
        <f>IFERROR(IF([1]对账明细接口!$C$937=0,"",[1]对账明细接口!$C$937),"")</f>
      </c>
      <c r="D937" s="16">
        <f>IFERROR(IF([1]对账明细接口!$D$937=0,"",[1]对账明细接口!$D$937),"")</f>
      </c>
      <c r="E937" s="16">
        <f>IFERROR(IF([1]对账明细接口!$E$937=0,"",[1]对账明细接口!$E$937),"")</f>
      </c>
      <c r="F937" s="16">
        <f>IFERROR(IF([1]对账明细接口!$F$937=0,"",[1]对账明细接口!$F$937),"")</f>
      </c>
      <c r="G937" s="16">
        <f>IFERROR(IF([1]对账明细接口!$G$937=0,"",[1]对账明细接口!$G$937),"")</f>
      </c>
      <c r="H937" s="176">
        <f>IFERROR(IF([1]对账明细接口!$H$937=0,"",[1]对账明细接口!$H$937),"")</f>
      </c>
      <c r="I937" s="16">
        <f>IFERROR(IF([1]对账明细接口!$I$937=0,"",[1]对账明细接口!$I$937),"")</f>
      </c>
      <c r="J937" s="177">
        <f>IFERROR(IF([1]对账明细接口!$J$937=0,"",[1]对账明细接口!$J$937),"")</f>
      </c>
      <c r="K937" s="177">
        <f>IFERROR(IF([1]对账明细接口!$K$937=0,"",[1]对账明细接口!$K$937),"")</f>
      </c>
      <c r="L937" s="16">
        <f>IFERROR(IF([1]对账明细接口!$L$937=0,"",[1]对账明细接口!$L$937),"")</f>
      </c>
      <c r="M937" s="16">
        <f>IFERROR(IF([1]对账明细接口!$M$937=0,"",[1]对账明细接口!$M$937),"")</f>
      </c>
      <c r="N937" s="19">
        <f>IF($C937="",0,1)</f>
        <v>0</v>
      </c>
      <c r="O937" s="19">
        <f>N(O936)+$N937</f>
        <v>637</v>
      </c>
      <c r="S937" s="20">
        <f>IFERROR(IF([1]对账明细接口!$N937=0,"",[1]对账明细接口!$N937),"")</f>
      </c>
      <c r="T937" s="212">
        <f>IFERROR(IF([1]对账明细接口!$O937=0,"",[1]对账明细接口!$O937),"")</f>
      </c>
      <c r="U937" s="212">
        <f>IFERROR(IF([1]对账明细接口!$P937=0,"",[1]对账明细接口!$P937),"")</f>
      </c>
      <c r="V937" s="212">
        <f>IFERROR(IF([1]对账明细接口!$Q937=0,"",[1]对账明细接口!$Q937),"")</f>
      </c>
      <c r="W937" s="20">
        <f>IFERROR(IF([1]对账明细接口!$R937=0,"",[1]对账明细接口!$R937),"")</f>
      </c>
      <c r="X937" s="20">
        <f>IFERROR(IF([1]对账明细接口!$S937=0,"",[1]对账明细接口!$S937),"")</f>
      </c>
      <c r="Y937" s="20">
        <f>IFERROR(IF([1]对账明细接口!$T937=0,"",[1]对账明细接口!$T937),"")</f>
      </c>
      <c r="Z937" s="213">
        <f>IFERROR(IF([1]对账明细接口!$U937=0,"",[1]对账明细接口!$U937),"")</f>
      </c>
      <c r="AA937" s="213">
        <f>IFERROR(IF([1]对账明细接口!$V937=0,"",[1]对账明细接口!$V937),"")</f>
      </c>
      <c r="AB937" s="20">
        <f>IFERROR(IF([1]对账明细接口!$W937=0,"",[1]对账明细接口!$W937),"")</f>
      </c>
      <c r="AC937" s="7">
        <f>IFERROR(IF([1]对账明细接口!$X937=0,"",[1]对账明细接口!$X937),"")</f>
      </c>
      <c r="AD937" s="7">
        <f>IFERROR(IF([1]对账明细接口!$Y937=0,"",[1]对账明细接口!$Y937),"")</f>
      </c>
      <c r="AE937" s="7">
        <f>IFERROR(IF([1]对账明细接口!$AA937=0,"",[1]对账明细接口!$AA937),"")</f>
      </c>
      <c r="AF937" s="7">
        <f>IFERROR(IF([1]对账明细接口!$AB937=0,"",[1]对账明细接口!$AB937),"")</f>
      </c>
      <c r="AG937" s="7">
        <f>IFERROR(IF([1]对账明细接口!$AC937=0,"",[1]对账明细接口!$AC937),"")</f>
      </c>
      <c r="AH937" s="7">
        <f>IFERROR(IF([1]对账明细接口!$AD937=0,"",[1]对账明细接口!$AD937),"")</f>
      </c>
      <c r="AI937" s="7">
        <f>IFERROR(IF([1]对账明细接口!$AE937=0,"",[1]对账明细接口!$AE937),"")</f>
      </c>
      <c r="AJ937" s="7">
        <f>IFERROR(IF([1]对账明细接口!$AF937=0,"",[1]对账明细接口!$AF937),"")</f>
      </c>
    </row>
    <row r="938" ht="14.25" customHeight="1" s="127">
      <c r="A938" s="14" t="n">
        <v>938</v>
      </c>
      <c r="B938" s="211">
        <f>IFERROR(IF([1]对账明细接口!$B$938=0,"",[1]对账明细接口!$B$938),"")</f>
      </c>
      <c r="C938" s="16">
        <f>IFERROR(IF([1]对账明细接口!$C$938=0,"",[1]对账明细接口!$C$938),"")</f>
      </c>
      <c r="D938" s="16">
        <f>IFERROR(IF([1]对账明细接口!$D$938=0,"",[1]对账明细接口!$D$938),"")</f>
      </c>
      <c r="E938" s="16">
        <f>IFERROR(IF([1]对账明细接口!$E$938=0,"",[1]对账明细接口!$E$938),"")</f>
      </c>
      <c r="F938" s="16">
        <f>IFERROR(IF([1]对账明细接口!$F$938=0,"",[1]对账明细接口!$F$938),"")</f>
      </c>
      <c r="G938" s="16">
        <f>IFERROR(IF([1]对账明细接口!$G$938=0,"",[1]对账明细接口!$G$938),"")</f>
      </c>
      <c r="H938" s="176">
        <f>IFERROR(IF([1]对账明细接口!$H$938=0,"",[1]对账明细接口!$H$938),"")</f>
      </c>
      <c r="I938" s="16">
        <f>IFERROR(IF([1]对账明细接口!$I$938=0,"",[1]对账明细接口!$I$938),"")</f>
      </c>
      <c r="J938" s="177">
        <f>IFERROR(IF([1]对账明细接口!$J$938=0,"",[1]对账明细接口!$J$938),"")</f>
      </c>
      <c r="K938" s="177">
        <f>IFERROR(IF([1]对账明细接口!$K$938=0,"",[1]对账明细接口!$K$938),"")</f>
      </c>
      <c r="L938" s="16">
        <f>IFERROR(IF([1]对账明细接口!$L$938=0,"",[1]对账明细接口!$L$938),"")</f>
      </c>
      <c r="M938" s="16">
        <f>IFERROR(IF([1]对账明细接口!$M$938=0,"",[1]对账明细接口!$M$938),"")</f>
      </c>
      <c r="N938" s="19">
        <f>IF($C938="",0,1)</f>
        <v>0</v>
      </c>
      <c r="O938" s="19">
        <f>N(O937)+$N938</f>
        <v>637</v>
      </c>
      <c r="S938" s="20">
        <f>IFERROR(IF([1]对账明细接口!$N938=0,"",[1]对账明细接口!$N938),"")</f>
      </c>
      <c r="T938" s="212">
        <f>IFERROR(IF([1]对账明细接口!$O938=0,"",[1]对账明细接口!$O938),"")</f>
      </c>
      <c r="U938" s="212">
        <f>IFERROR(IF([1]对账明细接口!$P938=0,"",[1]对账明细接口!$P938),"")</f>
      </c>
      <c r="V938" s="212">
        <f>IFERROR(IF([1]对账明细接口!$Q938=0,"",[1]对账明细接口!$Q938),"")</f>
      </c>
      <c r="W938" s="20">
        <f>IFERROR(IF([1]对账明细接口!$R938=0,"",[1]对账明细接口!$R938),"")</f>
      </c>
      <c r="X938" s="20">
        <f>IFERROR(IF([1]对账明细接口!$S938=0,"",[1]对账明细接口!$S938),"")</f>
      </c>
      <c r="Y938" s="20">
        <f>IFERROR(IF([1]对账明细接口!$T938=0,"",[1]对账明细接口!$T938),"")</f>
      </c>
      <c r="Z938" s="213">
        <f>IFERROR(IF([1]对账明细接口!$U938=0,"",[1]对账明细接口!$U938),"")</f>
      </c>
      <c r="AA938" s="213">
        <f>IFERROR(IF([1]对账明细接口!$V938=0,"",[1]对账明细接口!$V938),"")</f>
      </c>
      <c r="AB938" s="20">
        <f>IFERROR(IF([1]对账明细接口!$W938=0,"",[1]对账明细接口!$W938),"")</f>
      </c>
      <c r="AC938" s="7">
        <f>IFERROR(IF([1]对账明细接口!$X938=0,"",[1]对账明细接口!$X938),"")</f>
      </c>
      <c r="AD938" s="7">
        <f>IFERROR(IF([1]对账明细接口!$Y938=0,"",[1]对账明细接口!$Y938),"")</f>
      </c>
      <c r="AE938" s="7">
        <f>IFERROR(IF([1]对账明细接口!$AA938=0,"",[1]对账明细接口!$AA938),"")</f>
      </c>
      <c r="AF938" s="7">
        <f>IFERROR(IF([1]对账明细接口!$AB938=0,"",[1]对账明细接口!$AB938),"")</f>
      </c>
      <c r="AG938" s="7">
        <f>IFERROR(IF([1]对账明细接口!$AC938=0,"",[1]对账明细接口!$AC938),"")</f>
      </c>
      <c r="AH938" s="7">
        <f>IFERROR(IF([1]对账明细接口!$AD938=0,"",[1]对账明细接口!$AD938),"")</f>
      </c>
      <c r="AI938" s="7">
        <f>IFERROR(IF([1]对账明细接口!$AE938=0,"",[1]对账明细接口!$AE938),"")</f>
      </c>
      <c r="AJ938" s="7">
        <f>IFERROR(IF([1]对账明细接口!$AF938=0,"",[1]对账明细接口!$AF938),"")</f>
      </c>
    </row>
    <row r="939" ht="14.25" customHeight="1" s="127">
      <c r="A939" s="14" t="n">
        <v>939</v>
      </c>
      <c r="B939" s="211">
        <f>IFERROR(IF([1]对账明细接口!$B$939=0,"",[1]对账明细接口!$B$939),"")</f>
      </c>
      <c r="C939" s="16">
        <f>IFERROR(IF([1]对账明细接口!$C$939=0,"",[1]对账明细接口!$C$939),"")</f>
      </c>
      <c r="D939" s="16">
        <f>IFERROR(IF([1]对账明细接口!$D$939=0,"",[1]对账明细接口!$D$939),"")</f>
      </c>
      <c r="E939" s="16">
        <f>IFERROR(IF([1]对账明细接口!$E$939=0,"",[1]对账明细接口!$E$939),"")</f>
      </c>
      <c r="F939" s="16">
        <f>IFERROR(IF([1]对账明细接口!$F$939=0,"",[1]对账明细接口!$F$939),"")</f>
      </c>
      <c r="G939" s="16">
        <f>IFERROR(IF([1]对账明细接口!$G$939=0,"",[1]对账明细接口!$G$939),"")</f>
      </c>
      <c r="H939" s="176">
        <f>IFERROR(IF([1]对账明细接口!$H$939=0,"",[1]对账明细接口!$H$939),"")</f>
      </c>
      <c r="I939" s="16">
        <f>IFERROR(IF([1]对账明细接口!$I$939=0,"",[1]对账明细接口!$I$939),"")</f>
      </c>
      <c r="J939" s="177">
        <f>IFERROR(IF([1]对账明细接口!$J$939=0,"",[1]对账明细接口!$J$939),"")</f>
      </c>
      <c r="K939" s="177">
        <f>IFERROR(IF([1]对账明细接口!$K$939=0,"",[1]对账明细接口!$K$939),"")</f>
      </c>
      <c r="L939" s="16">
        <f>IFERROR(IF([1]对账明细接口!$L$939=0,"",[1]对账明细接口!$L$939),"")</f>
      </c>
      <c r="M939" s="16">
        <f>IFERROR(IF([1]对账明细接口!$M$939=0,"",[1]对账明细接口!$M$939),"")</f>
      </c>
      <c r="N939" s="19">
        <f>IF($C939="",0,1)</f>
        <v>0</v>
      </c>
      <c r="O939" s="19">
        <f>N(O938)+$N939</f>
        <v>637</v>
      </c>
      <c r="S939" s="20">
        <f>IFERROR(IF([1]对账明细接口!$N939=0,"",[1]对账明细接口!$N939),"")</f>
      </c>
      <c r="T939" s="212">
        <f>IFERROR(IF([1]对账明细接口!$O939=0,"",[1]对账明细接口!$O939),"")</f>
      </c>
      <c r="U939" s="212">
        <f>IFERROR(IF([1]对账明细接口!$P939=0,"",[1]对账明细接口!$P939),"")</f>
      </c>
      <c r="V939" s="212">
        <f>IFERROR(IF([1]对账明细接口!$Q939=0,"",[1]对账明细接口!$Q939),"")</f>
      </c>
      <c r="W939" s="20">
        <f>IFERROR(IF([1]对账明细接口!$R939=0,"",[1]对账明细接口!$R939),"")</f>
      </c>
      <c r="X939" s="20">
        <f>IFERROR(IF([1]对账明细接口!$S939=0,"",[1]对账明细接口!$S939),"")</f>
      </c>
      <c r="Y939" s="20">
        <f>IFERROR(IF([1]对账明细接口!$T939=0,"",[1]对账明细接口!$T939),"")</f>
      </c>
      <c r="Z939" s="213">
        <f>IFERROR(IF([1]对账明细接口!$U939=0,"",[1]对账明细接口!$U939),"")</f>
      </c>
      <c r="AA939" s="213">
        <f>IFERROR(IF([1]对账明细接口!$V939=0,"",[1]对账明细接口!$V939),"")</f>
      </c>
      <c r="AB939" s="20">
        <f>IFERROR(IF([1]对账明细接口!$W939=0,"",[1]对账明细接口!$W939),"")</f>
      </c>
      <c r="AC939" s="7">
        <f>IFERROR(IF([1]对账明细接口!$X939=0,"",[1]对账明细接口!$X939),"")</f>
      </c>
      <c r="AD939" s="7">
        <f>IFERROR(IF([1]对账明细接口!$Y939=0,"",[1]对账明细接口!$Y939),"")</f>
      </c>
      <c r="AE939" s="7">
        <f>IFERROR(IF([1]对账明细接口!$AA939=0,"",[1]对账明细接口!$AA939),"")</f>
      </c>
      <c r="AF939" s="7">
        <f>IFERROR(IF([1]对账明细接口!$AB939=0,"",[1]对账明细接口!$AB939),"")</f>
      </c>
      <c r="AG939" s="7">
        <f>IFERROR(IF([1]对账明细接口!$AC939=0,"",[1]对账明细接口!$AC939),"")</f>
      </c>
      <c r="AH939" s="7">
        <f>IFERROR(IF([1]对账明细接口!$AD939=0,"",[1]对账明细接口!$AD939),"")</f>
      </c>
      <c r="AI939" s="7">
        <f>IFERROR(IF([1]对账明细接口!$AE939=0,"",[1]对账明细接口!$AE939),"")</f>
      </c>
      <c r="AJ939" s="7">
        <f>IFERROR(IF([1]对账明细接口!$AF939=0,"",[1]对账明细接口!$AF939),"")</f>
      </c>
    </row>
    <row r="940" ht="14.25" customHeight="1" s="127">
      <c r="A940" s="14" t="n">
        <v>940</v>
      </c>
      <c r="B940" s="211">
        <f>IFERROR(IF([1]对账明细接口!$B$940=0,"",[1]对账明细接口!$B$940),"")</f>
      </c>
      <c r="C940" s="16">
        <f>IFERROR(IF([1]对账明细接口!$C$940=0,"",[1]对账明细接口!$C$940),"")</f>
      </c>
      <c r="D940" s="16">
        <f>IFERROR(IF([1]对账明细接口!$D$940=0,"",[1]对账明细接口!$D$940),"")</f>
      </c>
      <c r="E940" s="16">
        <f>IFERROR(IF([1]对账明细接口!$E$940=0,"",[1]对账明细接口!$E$940),"")</f>
      </c>
      <c r="F940" s="16">
        <f>IFERROR(IF([1]对账明细接口!$F$940=0,"",[1]对账明细接口!$F$940),"")</f>
      </c>
      <c r="G940" s="16">
        <f>IFERROR(IF([1]对账明细接口!$G$940=0,"",[1]对账明细接口!$G$940),"")</f>
      </c>
      <c r="H940" s="176">
        <f>IFERROR(IF([1]对账明细接口!$H$940=0,"",[1]对账明细接口!$H$940),"")</f>
      </c>
      <c r="I940" s="16">
        <f>IFERROR(IF([1]对账明细接口!$I$940=0,"",[1]对账明细接口!$I$940),"")</f>
      </c>
      <c r="J940" s="177">
        <f>IFERROR(IF([1]对账明细接口!$J$940=0,"",[1]对账明细接口!$J$940),"")</f>
      </c>
      <c r="K940" s="177">
        <f>IFERROR(IF([1]对账明细接口!$K$940=0,"",[1]对账明细接口!$K$940),"")</f>
      </c>
      <c r="L940" s="16">
        <f>IFERROR(IF([1]对账明细接口!$L$940=0,"",[1]对账明细接口!$L$940),"")</f>
      </c>
      <c r="M940" s="16">
        <f>IFERROR(IF([1]对账明细接口!$M$940=0,"",[1]对账明细接口!$M$940),"")</f>
      </c>
      <c r="N940" s="19">
        <f>IF($C940="",0,1)</f>
        <v>0</v>
      </c>
      <c r="O940" s="19">
        <f>N(O939)+$N940</f>
        <v>637</v>
      </c>
      <c r="S940" s="20">
        <f>IFERROR(IF([1]对账明细接口!$N940=0,"",[1]对账明细接口!$N940),"")</f>
      </c>
      <c r="T940" s="212">
        <f>IFERROR(IF([1]对账明细接口!$O940=0,"",[1]对账明细接口!$O940),"")</f>
      </c>
      <c r="U940" s="212">
        <f>IFERROR(IF([1]对账明细接口!$P940=0,"",[1]对账明细接口!$P940),"")</f>
      </c>
      <c r="V940" s="212">
        <f>IFERROR(IF([1]对账明细接口!$Q940=0,"",[1]对账明细接口!$Q940),"")</f>
      </c>
      <c r="W940" s="20">
        <f>IFERROR(IF([1]对账明细接口!$R940=0,"",[1]对账明细接口!$R940),"")</f>
      </c>
      <c r="X940" s="20">
        <f>IFERROR(IF([1]对账明细接口!$S940=0,"",[1]对账明细接口!$S940),"")</f>
      </c>
      <c r="Y940" s="20">
        <f>IFERROR(IF([1]对账明细接口!$T940=0,"",[1]对账明细接口!$T940),"")</f>
      </c>
      <c r="Z940" s="213">
        <f>IFERROR(IF([1]对账明细接口!$U940=0,"",[1]对账明细接口!$U940),"")</f>
      </c>
      <c r="AA940" s="213">
        <f>IFERROR(IF([1]对账明细接口!$V940=0,"",[1]对账明细接口!$V940),"")</f>
      </c>
      <c r="AB940" s="20">
        <f>IFERROR(IF([1]对账明细接口!$W940=0,"",[1]对账明细接口!$W940),"")</f>
      </c>
      <c r="AC940" s="7">
        <f>IFERROR(IF([1]对账明细接口!$X940=0,"",[1]对账明细接口!$X940),"")</f>
      </c>
      <c r="AD940" s="7">
        <f>IFERROR(IF([1]对账明细接口!$Y940=0,"",[1]对账明细接口!$Y940),"")</f>
      </c>
      <c r="AE940" s="7">
        <f>IFERROR(IF([1]对账明细接口!$AA940=0,"",[1]对账明细接口!$AA940),"")</f>
      </c>
      <c r="AF940" s="7">
        <f>IFERROR(IF([1]对账明细接口!$AB940=0,"",[1]对账明细接口!$AB940),"")</f>
      </c>
      <c r="AG940" s="7">
        <f>IFERROR(IF([1]对账明细接口!$AC940=0,"",[1]对账明细接口!$AC940),"")</f>
      </c>
      <c r="AH940" s="7">
        <f>IFERROR(IF([1]对账明细接口!$AD940=0,"",[1]对账明细接口!$AD940),"")</f>
      </c>
      <c r="AI940" s="7">
        <f>IFERROR(IF([1]对账明细接口!$AE940=0,"",[1]对账明细接口!$AE940),"")</f>
      </c>
      <c r="AJ940" s="7">
        <f>IFERROR(IF([1]对账明细接口!$AF940=0,"",[1]对账明细接口!$AF940),"")</f>
      </c>
    </row>
    <row r="941" ht="14.25" customHeight="1" s="127">
      <c r="A941" s="14" t="n">
        <v>941</v>
      </c>
      <c r="B941" s="211">
        <f>IFERROR(IF([1]对账明细接口!$B$941=0,"",[1]对账明细接口!$B$941),"")</f>
      </c>
      <c r="C941" s="16">
        <f>IFERROR(IF([1]对账明细接口!$C$941=0,"",[1]对账明细接口!$C$941),"")</f>
      </c>
      <c r="D941" s="16">
        <f>IFERROR(IF([1]对账明细接口!$D$941=0,"",[1]对账明细接口!$D$941),"")</f>
      </c>
      <c r="E941" s="16">
        <f>IFERROR(IF([1]对账明细接口!$E$941=0,"",[1]对账明细接口!$E$941),"")</f>
      </c>
      <c r="F941" s="16">
        <f>IFERROR(IF([1]对账明细接口!$F$941=0,"",[1]对账明细接口!$F$941),"")</f>
      </c>
      <c r="G941" s="16">
        <f>IFERROR(IF([1]对账明细接口!$G$941=0,"",[1]对账明细接口!$G$941),"")</f>
      </c>
      <c r="H941" s="176">
        <f>IFERROR(IF([1]对账明细接口!$H$941=0,"",[1]对账明细接口!$H$941),"")</f>
      </c>
      <c r="I941" s="16">
        <f>IFERROR(IF([1]对账明细接口!$I$941=0,"",[1]对账明细接口!$I$941),"")</f>
      </c>
      <c r="J941" s="177">
        <f>IFERROR(IF([1]对账明细接口!$J$941=0,"",[1]对账明细接口!$J$941),"")</f>
      </c>
      <c r="K941" s="177">
        <f>IFERROR(IF([1]对账明细接口!$K$941=0,"",[1]对账明细接口!$K$941),"")</f>
      </c>
      <c r="L941" s="16">
        <f>IFERROR(IF([1]对账明细接口!$L$941=0,"",[1]对账明细接口!$L$941),"")</f>
      </c>
      <c r="M941" s="16">
        <f>IFERROR(IF([1]对账明细接口!$M$941=0,"",[1]对账明细接口!$M$941),"")</f>
      </c>
      <c r="N941" s="19">
        <f>IF($C941="",0,1)</f>
        <v>0</v>
      </c>
      <c r="O941" s="19">
        <f>N(O940)+$N941</f>
        <v>637</v>
      </c>
      <c r="S941" s="20">
        <f>IFERROR(IF([1]对账明细接口!$N941=0,"",[1]对账明细接口!$N941),"")</f>
      </c>
      <c r="T941" s="212">
        <f>IFERROR(IF([1]对账明细接口!$O941=0,"",[1]对账明细接口!$O941),"")</f>
      </c>
      <c r="U941" s="212">
        <f>IFERROR(IF([1]对账明细接口!$P941=0,"",[1]对账明细接口!$P941),"")</f>
      </c>
      <c r="V941" s="212">
        <f>IFERROR(IF([1]对账明细接口!$Q941=0,"",[1]对账明细接口!$Q941),"")</f>
      </c>
      <c r="W941" s="20">
        <f>IFERROR(IF([1]对账明细接口!$R941=0,"",[1]对账明细接口!$R941),"")</f>
      </c>
      <c r="X941" s="20">
        <f>IFERROR(IF([1]对账明细接口!$S941=0,"",[1]对账明细接口!$S941),"")</f>
      </c>
      <c r="Y941" s="20">
        <f>IFERROR(IF([1]对账明细接口!$T941=0,"",[1]对账明细接口!$T941),"")</f>
      </c>
      <c r="Z941" s="213">
        <f>IFERROR(IF([1]对账明细接口!$U941=0,"",[1]对账明细接口!$U941),"")</f>
      </c>
      <c r="AA941" s="213">
        <f>IFERROR(IF([1]对账明细接口!$V941=0,"",[1]对账明细接口!$V941),"")</f>
      </c>
      <c r="AB941" s="20">
        <f>IFERROR(IF([1]对账明细接口!$W941=0,"",[1]对账明细接口!$W941),"")</f>
      </c>
      <c r="AC941" s="7">
        <f>IFERROR(IF([1]对账明细接口!$X941=0,"",[1]对账明细接口!$X941),"")</f>
      </c>
      <c r="AD941" s="7">
        <f>IFERROR(IF([1]对账明细接口!$Y941=0,"",[1]对账明细接口!$Y941),"")</f>
      </c>
      <c r="AE941" s="7">
        <f>IFERROR(IF([1]对账明细接口!$AA941=0,"",[1]对账明细接口!$AA941),"")</f>
      </c>
      <c r="AF941" s="7">
        <f>IFERROR(IF([1]对账明细接口!$AB941=0,"",[1]对账明细接口!$AB941),"")</f>
      </c>
      <c r="AG941" s="7">
        <f>IFERROR(IF([1]对账明细接口!$AC941=0,"",[1]对账明细接口!$AC941),"")</f>
      </c>
      <c r="AH941" s="7">
        <f>IFERROR(IF([1]对账明细接口!$AD941=0,"",[1]对账明细接口!$AD941),"")</f>
      </c>
      <c r="AI941" s="7">
        <f>IFERROR(IF([1]对账明细接口!$AE941=0,"",[1]对账明细接口!$AE941),"")</f>
      </c>
      <c r="AJ941" s="7">
        <f>IFERROR(IF([1]对账明细接口!$AF941=0,"",[1]对账明细接口!$AF941),"")</f>
      </c>
    </row>
    <row r="942" ht="14.25" customHeight="1" s="127">
      <c r="A942" s="14" t="n">
        <v>942</v>
      </c>
      <c r="B942" s="211">
        <f>IFERROR(IF([1]对账明细接口!$B$942=0,"",[1]对账明细接口!$B$942),"")</f>
      </c>
      <c r="C942" s="16">
        <f>IFERROR(IF([1]对账明细接口!$C$942=0,"",[1]对账明细接口!$C$942),"")</f>
      </c>
      <c r="D942" s="16">
        <f>IFERROR(IF([1]对账明细接口!$D$942=0,"",[1]对账明细接口!$D$942),"")</f>
      </c>
      <c r="E942" s="16">
        <f>IFERROR(IF([1]对账明细接口!$E$942=0,"",[1]对账明细接口!$E$942),"")</f>
      </c>
      <c r="F942" s="16">
        <f>IFERROR(IF([1]对账明细接口!$F$942=0,"",[1]对账明细接口!$F$942),"")</f>
      </c>
      <c r="G942" s="16">
        <f>IFERROR(IF([1]对账明细接口!$G$942=0,"",[1]对账明细接口!$G$942),"")</f>
      </c>
      <c r="H942" s="176">
        <f>IFERROR(IF([1]对账明细接口!$H$942=0,"",[1]对账明细接口!$H$942),"")</f>
      </c>
      <c r="I942" s="16">
        <f>IFERROR(IF([1]对账明细接口!$I$942=0,"",[1]对账明细接口!$I$942),"")</f>
      </c>
      <c r="J942" s="177">
        <f>IFERROR(IF([1]对账明细接口!$J$942=0,"",[1]对账明细接口!$J$942),"")</f>
      </c>
      <c r="K942" s="177">
        <f>IFERROR(IF([1]对账明细接口!$K$942=0,"",[1]对账明细接口!$K$942),"")</f>
      </c>
      <c r="L942" s="16">
        <f>IFERROR(IF([1]对账明细接口!$L$942=0,"",[1]对账明细接口!$L$942),"")</f>
      </c>
      <c r="M942" s="16">
        <f>IFERROR(IF([1]对账明细接口!$M$942=0,"",[1]对账明细接口!$M$942),"")</f>
      </c>
      <c r="N942" s="19">
        <f>IF($C942="",0,1)</f>
        <v>0</v>
      </c>
      <c r="O942" s="19">
        <f>N(O941)+$N942</f>
        <v>637</v>
      </c>
      <c r="S942" s="20">
        <f>IFERROR(IF([1]对账明细接口!$N942=0,"",[1]对账明细接口!$N942),"")</f>
      </c>
      <c r="T942" s="212">
        <f>IFERROR(IF([1]对账明细接口!$O942=0,"",[1]对账明细接口!$O942),"")</f>
      </c>
      <c r="U942" s="212">
        <f>IFERROR(IF([1]对账明细接口!$P942=0,"",[1]对账明细接口!$P942),"")</f>
      </c>
      <c r="V942" s="212">
        <f>IFERROR(IF([1]对账明细接口!$Q942=0,"",[1]对账明细接口!$Q942),"")</f>
      </c>
      <c r="W942" s="20">
        <f>IFERROR(IF([1]对账明细接口!$R942=0,"",[1]对账明细接口!$R942),"")</f>
      </c>
      <c r="X942" s="20">
        <f>IFERROR(IF([1]对账明细接口!$S942=0,"",[1]对账明细接口!$S942),"")</f>
      </c>
      <c r="Y942" s="20">
        <f>IFERROR(IF([1]对账明细接口!$T942=0,"",[1]对账明细接口!$T942),"")</f>
      </c>
      <c r="Z942" s="213">
        <f>IFERROR(IF([1]对账明细接口!$U942=0,"",[1]对账明细接口!$U942),"")</f>
      </c>
      <c r="AA942" s="213">
        <f>IFERROR(IF([1]对账明细接口!$V942=0,"",[1]对账明细接口!$V942),"")</f>
      </c>
      <c r="AB942" s="20">
        <f>IFERROR(IF([1]对账明细接口!$W942=0,"",[1]对账明细接口!$W942),"")</f>
      </c>
      <c r="AC942" s="7">
        <f>IFERROR(IF([1]对账明细接口!$X942=0,"",[1]对账明细接口!$X942),"")</f>
      </c>
      <c r="AD942" s="7">
        <f>IFERROR(IF([1]对账明细接口!$Y942=0,"",[1]对账明细接口!$Y942),"")</f>
      </c>
      <c r="AE942" s="7">
        <f>IFERROR(IF([1]对账明细接口!$AA942=0,"",[1]对账明细接口!$AA942),"")</f>
      </c>
      <c r="AF942" s="7">
        <f>IFERROR(IF([1]对账明细接口!$AB942=0,"",[1]对账明细接口!$AB942),"")</f>
      </c>
      <c r="AG942" s="7">
        <f>IFERROR(IF([1]对账明细接口!$AC942=0,"",[1]对账明细接口!$AC942),"")</f>
      </c>
      <c r="AH942" s="7">
        <f>IFERROR(IF([1]对账明细接口!$AD942=0,"",[1]对账明细接口!$AD942),"")</f>
      </c>
      <c r="AI942" s="7">
        <f>IFERROR(IF([1]对账明细接口!$AE942=0,"",[1]对账明细接口!$AE942),"")</f>
      </c>
      <c r="AJ942" s="7">
        <f>IFERROR(IF([1]对账明细接口!$AF942=0,"",[1]对账明细接口!$AF942),"")</f>
      </c>
    </row>
    <row r="943" ht="14.25" customHeight="1" s="127">
      <c r="A943" s="14" t="n">
        <v>943</v>
      </c>
      <c r="B943" s="211">
        <f>IFERROR(IF([1]对账明细接口!$B$943=0,"",[1]对账明细接口!$B$943),"")</f>
      </c>
      <c r="C943" s="16">
        <f>IFERROR(IF([1]对账明细接口!$C$943=0,"",[1]对账明细接口!$C$943),"")</f>
      </c>
      <c r="D943" s="16">
        <f>IFERROR(IF([1]对账明细接口!$D$943=0,"",[1]对账明细接口!$D$943),"")</f>
      </c>
      <c r="E943" s="16">
        <f>IFERROR(IF([1]对账明细接口!$E$943=0,"",[1]对账明细接口!$E$943),"")</f>
      </c>
      <c r="F943" s="16">
        <f>IFERROR(IF([1]对账明细接口!$F$943=0,"",[1]对账明细接口!$F$943),"")</f>
      </c>
      <c r="G943" s="16">
        <f>IFERROR(IF([1]对账明细接口!$G$943=0,"",[1]对账明细接口!$G$943),"")</f>
      </c>
      <c r="H943" s="176">
        <f>IFERROR(IF([1]对账明细接口!$H$943=0,"",[1]对账明细接口!$H$943),"")</f>
      </c>
      <c r="I943" s="16">
        <f>IFERROR(IF([1]对账明细接口!$I$943=0,"",[1]对账明细接口!$I$943),"")</f>
      </c>
      <c r="J943" s="177">
        <f>IFERROR(IF([1]对账明细接口!$J$943=0,"",[1]对账明细接口!$J$943),"")</f>
      </c>
      <c r="K943" s="177">
        <f>IFERROR(IF([1]对账明细接口!$K$943=0,"",[1]对账明细接口!$K$943),"")</f>
      </c>
      <c r="L943" s="16">
        <f>IFERROR(IF([1]对账明细接口!$L$943=0,"",[1]对账明细接口!$L$943),"")</f>
      </c>
      <c r="M943" s="16">
        <f>IFERROR(IF([1]对账明细接口!$M$943=0,"",[1]对账明细接口!$M$943),"")</f>
      </c>
      <c r="N943" s="19">
        <f>IF($C943="",0,1)</f>
        <v>0</v>
      </c>
      <c r="O943" s="19">
        <f>N(O942)+$N943</f>
        <v>637</v>
      </c>
      <c r="S943" s="20">
        <f>IFERROR(IF([1]对账明细接口!$N943=0,"",[1]对账明细接口!$N943),"")</f>
      </c>
      <c r="T943" s="212">
        <f>IFERROR(IF([1]对账明细接口!$O943=0,"",[1]对账明细接口!$O943),"")</f>
      </c>
      <c r="U943" s="212">
        <f>IFERROR(IF([1]对账明细接口!$P943=0,"",[1]对账明细接口!$P943),"")</f>
      </c>
      <c r="V943" s="212">
        <f>IFERROR(IF([1]对账明细接口!$Q943=0,"",[1]对账明细接口!$Q943),"")</f>
      </c>
      <c r="W943" s="20">
        <f>IFERROR(IF([1]对账明细接口!$R943=0,"",[1]对账明细接口!$R943),"")</f>
      </c>
      <c r="X943" s="20">
        <f>IFERROR(IF([1]对账明细接口!$S943=0,"",[1]对账明细接口!$S943),"")</f>
      </c>
      <c r="Y943" s="20">
        <f>IFERROR(IF([1]对账明细接口!$T943=0,"",[1]对账明细接口!$T943),"")</f>
      </c>
      <c r="Z943" s="213">
        <f>IFERROR(IF([1]对账明细接口!$U943=0,"",[1]对账明细接口!$U943),"")</f>
      </c>
      <c r="AA943" s="213">
        <f>IFERROR(IF([1]对账明细接口!$V943=0,"",[1]对账明细接口!$V943),"")</f>
      </c>
      <c r="AB943" s="20">
        <f>IFERROR(IF([1]对账明细接口!$W943=0,"",[1]对账明细接口!$W943),"")</f>
      </c>
      <c r="AC943" s="7">
        <f>IFERROR(IF([1]对账明细接口!$X943=0,"",[1]对账明细接口!$X943),"")</f>
      </c>
      <c r="AD943" s="7">
        <f>IFERROR(IF([1]对账明细接口!$Y943=0,"",[1]对账明细接口!$Y943),"")</f>
      </c>
      <c r="AE943" s="7">
        <f>IFERROR(IF([1]对账明细接口!$AA943=0,"",[1]对账明细接口!$AA943),"")</f>
      </c>
      <c r="AF943" s="7">
        <f>IFERROR(IF([1]对账明细接口!$AB943=0,"",[1]对账明细接口!$AB943),"")</f>
      </c>
      <c r="AG943" s="7">
        <f>IFERROR(IF([1]对账明细接口!$AC943=0,"",[1]对账明细接口!$AC943),"")</f>
      </c>
      <c r="AH943" s="7">
        <f>IFERROR(IF([1]对账明细接口!$AD943=0,"",[1]对账明细接口!$AD943),"")</f>
      </c>
      <c r="AI943" s="7">
        <f>IFERROR(IF([1]对账明细接口!$AE943=0,"",[1]对账明细接口!$AE943),"")</f>
      </c>
      <c r="AJ943" s="7">
        <f>IFERROR(IF([1]对账明细接口!$AF943=0,"",[1]对账明细接口!$AF943),"")</f>
      </c>
    </row>
    <row r="944" ht="14.25" customHeight="1" s="127">
      <c r="A944" s="14" t="n">
        <v>944</v>
      </c>
      <c r="B944" s="211">
        <f>IFERROR(IF([1]对账明细接口!$B$944=0,"",[1]对账明细接口!$B$944),"")</f>
      </c>
      <c r="C944" s="16">
        <f>IFERROR(IF([1]对账明细接口!$C$944=0,"",[1]对账明细接口!$C$944),"")</f>
      </c>
      <c r="D944" s="16">
        <f>IFERROR(IF([1]对账明细接口!$D$944=0,"",[1]对账明细接口!$D$944),"")</f>
      </c>
      <c r="E944" s="16">
        <f>IFERROR(IF([1]对账明细接口!$E$944=0,"",[1]对账明细接口!$E$944),"")</f>
      </c>
      <c r="F944" s="16">
        <f>IFERROR(IF([1]对账明细接口!$F$944=0,"",[1]对账明细接口!$F$944),"")</f>
      </c>
      <c r="G944" s="16">
        <f>IFERROR(IF([1]对账明细接口!$G$944=0,"",[1]对账明细接口!$G$944),"")</f>
      </c>
      <c r="H944" s="176">
        <f>IFERROR(IF([1]对账明细接口!$H$944=0,"",[1]对账明细接口!$H$944),"")</f>
      </c>
      <c r="I944" s="16">
        <f>IFERROR(IF([1]对账明细接口!$I$944=0,"",[1]对账明细接口!$I$944),"")</f>
      </c>
      <c r="J944" s="177">
        <f>IFERROR(IF([1]对账明细接口!$J$944=0,"",[1]对账明细接口!$J$944),"")</f>
      </c>
      <c r="K944" s="177">
        <f>IFERROR(IF([1]对账明细接口!$K$944=0,"",[1]对账明细接口!$K$944),"")</f>
      </c>
      <c r="L944" s="16">
        <f>IFERROR(IF([1]对账明细接口!$L$944=0,"",[1]对账明细接口!$L$944),"")</f>
      </c>
      <c r="M944" s="16">
        <f>IFERROR(IF([1]对账明细接口!$M$944=0,"",[1]对账明细接口!$M$944),"")</f>
      </c>
      <c r="N944" s="19">
        <f>IF($C944="",0,1)</f>
        <v>0</v>
      </c>
      <c r="O944" s="19">
        <f>N(O943)+$N944</f>
        <v>637</v>
      </c>
      <c r="S944" s="20">
        <f>IFERROR(IF([1]对账明细接口!$N944=0,"",[1]对账明细接口!$N944),"")</f>
      </c>
      <c r="T944" s="212">
        <f>IFERROR(IF([1]对账明细接口!$O944=0,"",[1]对账明细接口!$O944),"")</f>
      </c>
      <c r="U944" s="212">
        <f>IFERROR(IF([1]对账明细接口!$P944=0,"",[1]对账明细接口!$P944),"")</f>
      </c>
      <c r="V944" s="212">
        <f>IFERROR(IF([1]对账明细接口!$Q944=0,"",[1]对账明细接口!$Q944),"")</f>
      </c>
      <c r="W944" s="20">
        <f>IFERROR(IF([1]对账明细接口!$R944=0,"",[1]对账明细接口!$R944),"")</f>
      </c>
      <c r="X944" s="20">
        <f>IFERROR(IF([1]对账明细接口!$S944=0,"",[1]对账明细接口!$S944),"")</f>
      </c>
      <c r="Y944" s="20">
        <f>IFERROR(IF([1]对账明细接口!$T944=0,"",[1]对账明细接口!$T944),"")</f>
      </c>
      <c r="Z944" s="213">
        <f>IFERROR(IF([1]对账明细接口!$U944=0,"",[1]对账明细接口!$U944),"")</f>
      </c>
      <c r="AA944" s="213">
        <f>IFERROR(IF([1]对账明细接口!$V944=0,"",[1]对账明细接口!$V944),"")</f>
      </c>
      <c r="AB944" s="20">
        <f>IFERROR(IF([1]对账明细接口!$W944=0,"",[1]对账明细接口!$W944),"")</f>
      </c>
      <c r="AC944" s="7">
        <f>IFERROR(IF([1]对账明细接口!$X944=0,"",[1]对账明细接口!$X944),"")</f>
      </c>
      <c r="AD944" s="7">
        <f>IFERROR(IF([1]对账明细接口!$Y944=0,"",[1]对账明细接口!$Y944),"")</f>
      </c>
      <c r="AE944" s="7">
        <f>IFERROR(IF([1]对账明细接口!$AA944=0,"",[1]对账明细接口!$AA944),"")</f>
      </c>
      <c r="AF944" s="7">
        <f>IFERROR(IF([1]对账明细接口!$AB944=0,"",[1]对账明细接口!$AB944),"")</f>
      </c>
      <c r="AG944" s="7">
        <f>IFERROR(IF([1]对账明细接口!$AC944=0,"",[1]对账明细接口!$AC944),"")</f>
      </c>
      <c r="AH944" s="7">
        <f>IFERROR(IF([1]对账明细接口!$AD944=0,"",[1]对账明细接口!$AD944),"")</f>
      </c>
      <c r="AI944" s="7">
        <f>IFERROR(IF([1]对账明细接口!$AE944=0,"",[1]对账明细接口!$AE944),"")</f>
      </c>
      <c r="AJ944" s="7">
        <f>IFERROR(IF([1]对账明细接口!$AF944=0,"",[1]对账明细接口!$AF944),"")</f>
      </c>
    </row>
    <row r="945" ht="14.25" customHeight="1" s="127">
      <c r="A945" s="14" t="n">
        <v>945</v>
      </c>
      <c r="B945" s="211">
        <f>IFERROR(IF([1]对账明细接口!$B$945=0,"",[1]对账明细接口!$B$945),"")</f>
      </c>
      <c r="C945" s="16">
        <f>IFERROR(IF([1]对账明细接口!$C$945=0,"",[1]对账明细接口!$C$945),"")</f>
      </c>
      <c r="D945" s="16">
        <f>IFERROR(IF([1]对账明细接口!$D$945=0,"",[1]对账明细接口!$D$945),"")</f>
      </c>
      <c r="E945" s="16">
        <f>IFERROR(IF([1]对账明细接口!$E$945=0,"",[1]对账明细接口!$E$945),"")</f>
      </c>
      <c r="F945" s="16">
        <f>IFERROR(IF([1]对账明细接口!$F$945=0,"",[1]对账明细接口!$F$945),"")</f>
      </c>
      <c r="G945" s="16">
        <f>IFERROR(IF([1]对账明细接口!$G$945=0,"",[1]对账明细接口!$G$945),"")</f>
      </c>
      <c r="H945" s="176">
        <f>IFERROR(IF([1]对账明细接口!$H$945=0,"",[1]对账明细接口!$H$945),"")</f>
      </c>
      <c r="I945" s="16">
        <f>IFERROR(IF([1]对账明细接口!$I$945=0,"",[1]对账明细接口!$I$945),"")</f>
      </c>
      <c r="J945" s="177">
        <f>IFERROR(IF([1]对账明细接口!$J$945=0,"",[1]对账明细接口!$J$945),"")</f>
      </c>
      <c r="K945" s="177">
        <f>IFERROR(IF([1]对账明细接口!$K$945=0,"",[1]对账明细接口!$K$945),"")</f>
      </c>
      <c r="L945" s="16">
        <f>IFERROR(IF([1]对账明细接口!$L$945=0,"",[1]对账明细接口!$L$945),"")</f>
      </c>
      <c r="M945" s="16">
        <f>IFERROR(IF([1]对账明细接口!$M$945=0,"",[1]对账明细接口!$M$945),"")</f>
      </c>
      <c r="N945" s="19">
        <f>IF($C945="",0,1)</f>
        <v>0</v>
      </c>
      <c r="O945" s="19">
        <f>N(O944)+$N945</f>
        <v>637</v>
      </c>
      <c r="S945" s="20">
        <f>IFERROR(IF([1]对账明细接口!$N945=0,"",[1]对账明细接口!$N945),"")</f>
      </c>
      <c r="T945" s="212">
        <f>IFERROR(IF([1]对账明细接口!$O945=0,"",[1]对账明细接口!$O945),"")</f>
      </c>
      <c r="U945" s="212">
        <f>IFERROR(IF([1]对账明细接口!$P945=0,"",[1]对账明细接口!$P945),"")</f>
      </c>
      <c r="V945" s="212">
        <f>IFERROR(IF([1]对账明细接口!$Q945=0,"",[1]对账明细接口!$Q945),"")</f>
      </c>
      <c r="W945" s="20">
        <f>IFERROR(IF([1]对账明细接口!$R945=0,"",[1]对账明细接口!$R945),"")</f>
      </c>
      <c r="X945" s="20">
        <f>IFERROR(IF([1]对账明细接口!$S945=0,"",[1]对账明细接口!$S945),"")</f>
      </c>
      <c r="Y945" s="20">
        <f>IFERROR(IF([1]对账明细接口!$T945=0,"",[1]对账明细接口!$T945),"")</f>
      </c>
      <c r="Z945" s="213">
        <f>IFERROR(IF([1]对账明细接口!$U945=0,"",[1]对账明细接口!$U945),"")</f>
      </c>
      <c r="AA945" s="213">
        <f>IFERROR(IF([1]对账明细接口!$V945=0,"",[1]对账明细接口!$V945),"")</f>
      </c>
      <c r="AB945" s="20">
        <f>IFERROR(IF([1]对账明细接口!$W945=0,"",[1]对账明细接口!$W945),"")</f>
      </c>
      <c r="AC945" s="7">
        <f>IFERROR(IF([1]对账明细接口!$X945=0,"",[1]对账明细接口!$X945),"")</f>
      </c>
      <c r="AD945" s="7">
        <f>IFERROR(IF([1]对账明细接口!$Y945=0,"",[1]对账明细接口!$Y945),"")</f>
      </c>
      <c r="AE945" s="7">
        <f>IFERROR(IF([1]对账明细接口!$AA945=0,"",[1]对账明细接口!$AA945),"")</f>
      </c>
      <c r="AF945" s="7">
        <f>IFERROR(IF([1]对账明细接口!$AB945=0,"",[1]对账明细接口!$AB945),"")</f>
      </c>
      <c r="AG945" s="7">
        <f>IFERROR(IF([1]对账明细接口!$AC945=0,"",[1]对账明细接口!$AC945),"")</f>
      </c>
      <c r="AH945" s="7">
        <f>IFERROR(IF([1]对账明细接口!$AD945=0,"",[1]对账明细接口!$AD945),"")</f>
      </c>
      <c r="AI945" s="7">
        <f>IFERROR(IF([1]对账明细接口!$AE945=0,"",[1]对账明细接口!$AE945),"")</f>
      </c>
      <c r="AJ945" s="7">
        <f>IFERROR(IF([1]对账明细接口!$AF945=0,"",[1]对账明细接口!$AF945),"")</f>
      </c>
    </row>
    <row r="946" ht="14.25" customHeight="1" s="127">
      <c r="A946" s="14" t="n">
        <v>946</v>
      </c>
      <c r="B946" s="211">
        <f>IFERROR(IF([1]对账明细接口!$B$946=0,"",[1]对账明细接口!$B$946),"")</f>
      </c>
      <c r="C946" s="16">
        <f>IFERROR(IF([1]对账明细接口!$C$946=0,"",[1]对账明细接口!$C$946),"")</f>
      </c>
      <c r="D946" s="16">
        <f>IFERROR(IF([1]对账明细接口!$D$946=0,"",[1]对账明细接口!$D$946),"")</f>
      </c>
      <c r="E946" s="16">
        <f>IFERROR(IF([1]对账明细接口!$E$946=0,"",[1]对账明细接口!$E$946),"")</f>
      </c>
      <c r="F946" s="16">
        <f>IFERROR(IF([1]对账明细接口!$F$946=0,"",[1]对账明细接口!$F$946),"")</f>
      </c>
      <c r="G946" s="16">
        <f>IFERROR(IF([1]对账明细接口!$G$946=0,"",[1]对账明细接口!$G$946),"")</f>
      </c>
      <c r="H946" s="176">
        <f>IFERROR(IF([1]对账明细接口!$H$946=0,"",[1]对账明细接口!$H$946),"")</f>
      </c>
      <c r="I946" s="16">
        <f>IFERROR(IF([1]对账明细接口!$I$946=0,"",[1]对账明细接口!$I$946),"")</f>
      </c>
      <c r="J946" s="177">
        <f>IFERROR(IF([1]对账明细接口!$J$946=0,"",[1]对账明细接口!$J$946),"")</f>
      </c>
      <c r="K946" s="177">
        <f>IFERROR(IF([1]对账明细接口!$K$946=0,"",[1]对账明细接口!$K$946),"")</f>
      </c>
      <c r="L946" s="16">
        <f>IFERROR(IF([1]对账明细接口!$L$946=0,"",[1]对账明细接口!$L$946),"")</f>
      </c>
      <c r="M946" s="16">
        <f>IFERROR(IF([1]对账明细接口!$M$946=0,"",[1]对账明细接口!$M$946),"")</f>
      </c>
      <c r="N946" s="19">
        <f>IF($C946="",0,1)</f>
        <v>0</v>
      </c>
      <c r="O946" s="19">
        <f>N(O945)+$N946</f>
        <v>637</v>
      </c>
      <c r="S946" s="20">
        <f>IFERROR(IF([1]对账明细接口!$N946=0,"",[1]对账明细接口!$N946),"")</f>
      </c>
      <c r="T946" s="212">
        <f>IFERROR(IF([1]对账明细接口!$O946=0,"",[1]对账明细接口!$O946),"")</f>
      </c>
      <c r="U946" s="212">
        <f>IFERROR(IF([1]对账明细接口!$P946=0,"",[1]对账明细接口!$P946),"")</f>
      </c>
      <c r="V946" s="212">
        <f>IFERROR(IF([1]对账明细接口!$Q946=0,"",[1]对账明细接口!$Q946),"")</f>
      </c>
      <c r="W946" s="20">
        <f>IFERROR(IF([1]对账明细接口!$R946=0,"",[1]对账明细接口!$R946),"")</f>
      </c>
      <c r="X946" s="20">
        <f>IFERROR(IF([1]对账明细接口!$S946=0,"",[1]对账明细接口!$S946),"")</f>
      </c>
      <c r="Y946" s="20">
        <f>IFERROR(IF([1]对账明细接口!$T946=0,"",[1]对账明细接口!$T946),"")</f>
      </c>
      <c r="Z946" s="213">
        <f>IFERROR(IF([1]对账明细接口!$U946=0,"",[1]对账明细接口!$U946),"")</f>
      </c>
      <c r="AA946" s="213">
        <f>IFERROR(IF([1]对账明细接口!$V946=0,"",[1]对账明细接口!$V946),"")</f>
      </c>
      <c r="AB946" s="20">
        <f>IFERROR(IF([1]对账明细接口!$W946=0,"",[1]对账明细接口!$W946),"")</f>
      </c>
      <c r="AC946" s="7">
        <f>IFERROR(IF([1]对账明细接口!$X946=0,"",[1]对账明细接口!$X946),"")</f>
      </c>
      <c r="AD946" s="7">
        <f>IFERROR(IF([1]对账明细接口!$Y946=0,"",[1]对账明细接口!$Y946),"")</f>
      </c>
      <c r="AE946" s="7">
        <f>IFERROR(IF([1]对账明细接口!$AA946=0,"",[1]对账明细接口!$AA946),"")</f>
      </c>
      <c r="AF946" s="7">
        <f>IFERROR(IF([1]对账明细接口!$AB946=0,"",[1]对账明细接口!$AB946),"")</f>
      </c>
      <c r="AG946" s="7">
        <f>IFERROR(IF([1]对账明细接口!$AC946=0,"",[1]对账明细接口!$AC946),"")</f>
      </c>
      <c r="AH946" s="7">
        <f>IFERROR(IF([1]对账明细接口!$AD946=0,"",[1]对账明细接口!$AD946),"")</f>
      </c>
      <c r="AI946" s="7">
        <f>IFERROR(IF([1]对账明细接口!$AE946=0,"",[1]对账明细接口!$AE946),"")</f>
      </c>
      <c r="AJ946" s="7">
        <f>IFERROR(IF([1]对账明细接口!$AF946=0,"",[1]对账明细接口!$AF946),"")</f>
      </c>
    </row>
    <row r="947" ht="14.25" customHeight="1" s="127">
      <c r="A947" s="14" t="n">
        <v>947</v>
      </c>
      <c r="B947" s="211">
        <f>IFERROR(IF([1]对账明细接口!$B$947=0,"",[1]对账明细接口!$B$947),"")</f>
      </c>
      <c r="C947" s="16">
        <f>IFERROR(IF([1]对账明细接口!$C$947=0,"",[1]对账明细接口!$C$947),"")</f>
      </c>
      <c r="D947" s="16">
        <f>IFERROR(IF([1]对账明细接口!$D$947=0,"",[1]对账明细接口!$D$947),"")</f>
      </c>
      <c r="E947" s="16">
        <f>IFERROR(IF([1]对账明细接口!$E$947=0,"",[1]对账明细接口!$E$947),"")</f>
      </c>
      <c r="F947" s="16">
        <f>IFERROR(IF([1]对账明细接口!$F$947=0,"",[1]对账明细接口!$F$947),"")</f>
      </c>
      <c r="G947" s="16">
        <f>IFERROR(IF([1]对账明细接口!$G$947=0,"",[1]对账明细接口!$G$947),"")</f>
      </c>
      <c r="H947" s="176">
        <f>IFERROR(IF([1]对账明细接口!$H$947=0,"",[1]对账明细接口!$H$947),"")</f>
      </c>
      <c r="I947" s="16">
        <f>IFERROR(IF([1]对账明细接口!$I$947=0,"",[1]对账明细接口!$I$947),"")</f>
      </c>
      <c r="J947" s="177">
        <f>IFERROR(IF([1]对账明细接口!$J$947=0,"",[1]对账明细接口!$J$947),"")</f>
      </c>
      <c r="K947" s="177">
        <f>IFERROR(IF([1]对账明细接口!$K$947=0,"",[1]对账明细接口!$K$947),"")</f>
      </c>
      <c r="L947" s="16">
        <f>IFERROR(IF([1]对账明细接口!$L$947=0,"",[1]对账明细接口!$L$947),"")</f>
      </c>
      <c r="M947" s="16">
        <f>IFERROR(IF([1]对账明细接口!$M$947=0,"",[1]对账明细接口!$M$947),"")</f>
      </c>
      <c r="N947" s="19">
        <f>IF($C947="",0,1)</f>
        <v>0</v>
      </c>
      <c r="O947" s="19">
        <f>N(O946)+$N947</f>
        <v>637</v>
      </c>
      <c r="S947" s="20">
        <f>IFERROR(IF([1]对账明细接口!$N947=0,"",[1]对账明细接口!$N947),"")</f>
      </c>
      <c r="T947" s="212">
        <f>IFERROR(IF([1]对账明细接口!$O947=0,"",[1]对账明细接口!$O947),"")</f>
      </c>
      <c r="U947" s="212">
        <f>IFERROR(IF([1]对账明细接口!$P947=0,"",[1]对账明细接口!$P947),"")</f>
      </c>
      <c r="V947" s="212">
        <f>IFERROR(IF([1]对账明细接口!$Q947=0,"",[1]对账明细接口!$Q947),"")</f>
      </c>
      <c r="W947" s="20">
        <f>IFERROR(IF([1]对账明细接口!$R947=0,"",[1]对账明细接口!$R947),"")</f>
      </c>
      <c r="X947" s="20">
        <f>IFERROR(IF([1]对账明细接口!$S947=0,"",[1]对账明细接口!$S947),"")</f>
      </c>
      <c r="Y947" s="20">
        <f>IFERROR(IF([1]对账明细接口!$T947=0,"",[1]对账明细接口!$T947),"")</f>
      </c>
      <c r="Z947" s="213">
        <f>IFERROR(IF([1]对账明细接口!$U947=0,"",[1]对账明细接口!$U947),"")</f>
      </c>
      <c r="AA947" s="213">
        <f>IFERROR(IF([1]对账明细接口!$V947=0,"",[1]对账明细接口!$V947),"")</f>
      </c>
      <c r="AB947" s="20">
        <f>IFERROR(IF([1]对账明细接口!$W947=0,"",[1]对账明细接口!$W947),"")</f>
      </c>
      <c r="AC947" s="7">
        <f>IFERROR(IF([1]对账明细接口!$X947=0,"",[1]对账明细接口!$X947),"")</f>
      </c>
      <c r="AD947" s="7">
        <f>IFERROR(IF([1]对账明细接口!$Y947=0,"",[1]对账明细接口!$Y947),"")</f>
      </c>
      <c r="AE947" s="7">
        <f>IFERROR(IF([1]对账明细接口!$AA947=0,"",[1]对账明细接口!$AA947),"")</f>
      </c>
      <c r="AF947" s="7">
        <f>IFERROR(IF([1]对账明细接口!$AB947=0,"",[1]对账明细接口!$AB947),"")</f>
      </c>
      <c r="AG947" s="7">
        <f>IFERROR(IF([1]对账明细接口!$AC947=0,"",[1]对账明细接口!$AC947),"")</f>
      </c>
      <c r="AH947" s="7">
        <f>IFERROR(IF([1]对账明细接口!$AD947=0,"",[1]对账明细接口!$AD947),"")</f>
      </c>
      <c r="AI947" s="7">
        <f>IFERROR(IF([1]对账明细接口!$AE947=0,"",[1]对账明细接口!$AE947),"")</f>
      </c>
      <c r="AJ947" s="7">
        <f>IFERROR(IF([1]对账明细接口!$AF947=0,"",[1]对账明细接口!$AF947),"")</f>
      </c>
    </row>
    <row r="948" ht="14.25" customHeight="1" s="127">
      <c r="A948" s="14" t="n">
        <v>948</v>
      </c>
      <c r="B948" s="211">
        <f>IFERROR(IF([1]对账明细接口!$B$948=0,"",[1]对账明细接口!$B$948),"")</f>
      </c>
      <c r="C948" s="16">
        <f>IFERROR(IF([1]对账明细接口!$C$948=0,"",[1]对账明细接口!$C$948),"")</f>
      </c>
      <c r="D948" s="16">
        <f>IFERROR(IF([1]对账明细接口!$D$948=0,"",[1]对账明细接口!$D$948),"")</f>
      </c>
      <c r="E948" s="16">
        <f>IFERROR(IF([1]对账明细接口!$E$948=0,"",[1]对账明细接口!$E$948),"")</f>
      </c>
      <c r="F948" s="16">
        <f>IFERROR(IF([1]对账明细接口!$F$948=0,"",[1]对账明细接口!$F$948),"")</f>
      </c>
      <c r="G948" s="16">
        <f>IFERROR(IF([1]对账明细接口!$G$948=0,"",[1]对账明细接口!$G$948),"")</f>
      </c>
      <c r="H948" s="176">
        <f>IFERROR(IF([1]对账明细接口!$H$948=0,"",[1]对账明细接口!$H$948),"")</f>
      </c>
      <c r="I948" s="16">
        <f>IFERROR(IF([1]对账明细接口!$I$948=0,"",[1]对账明细接口!$I$948),"")</f>
      </c>
      <c r="J948" s="177">
        <f>IFERROR(IF([1]对账明细接口!$J$948=0,"",[1]对账明细接口!$J$948),"")</f>
      </c>
      <c r="K948" s="177">
        <f>IFERROR(IF([1]对账明细接口!$K$948=0,"",[1]对账明细接口!$K$948),"")</f>
      </c>
      <c r="L948" s="16">
        <f>IFERROR(IF([1]对账明细接口!$L$948=0,"",[1]对账明细接口!$L$948),"")</f>
      </c>
      <c r="M948" s="16">
        <f>IFERROR(IF([1]对账明细接口!$M$948=0,"",[1]对账明细接口!$M$948),"")</f>
      </c>
      <c r="N948" s="19">
        <f>IF($C948="",0,1)</f>
        <v>0</v>
      </c>
      <c r="O948" s="19">
        <f>N(O947)+$N948</f>
        <v>637</v>
      </c>
      <c r="S948" s="20">
        <f>IFERROR(IF([1]对账明细接口!$N948=0,"",[1]对账明细接口!$N948),"")</f>
      </c>
      <c r="T948" s="212">
        <f>IFERROR(IF([1]对账明细接口!$O948=0,"",[1]对账明细接口!$O948),"")</f>
      </c>
      <c r="U948" s="212">
        <f>IFERROR(IF([1]对账明细接口!$P948=0,"",[1]对账明细接口!$P948),"")</f>
      </c>
      <c r="V948" s="212">
        <f>IFERROR(IF([1]对账明细接口!$Q948=0,"",[1]对账明细接口!$Q948),"")</f>
      </c>
      <c r="W948" s="20">
        <f>IFERROR(IF([1]对账明细接口!$R948=0,"",[1]对账明细接口!$R948),"")</f>
      </c>
      <c r="X948" s="20">
        <f>IFERROR(IF([1]对账明细接口!$S948=0,"",[1]对账明细接口!$S948),"")</f>
      </c>
      <c r="Y948" s="20">
        <f>IFERROR(IF([1]对账明细接口!$T948=0,"",[1]对账明细接口!$T948),"")</f>
      </c>
      <c r="Z948" s="213">
        <f>IFERROR(IF([1]对账明细接口!$U948=0,"",[1]对账明细接口!$U948),"")</f>
      </c>
      <c r="AA948" s="213">
        <f>IFERROR(IF([1]对账明细接口!$V948=0,"",[1]对账明细接口!$V948),"")</f>
      </c>
      <c r="AB948" s="20">
        <f>IFERROR(IF([1]对账明细接口!$W948=0,"",[1]对账明细接口!$W948),"")</f>
      </c>
      <c r="AC948" s="7">
        <f>IFERROR(IF([1]对账明细接口!$X948=0,"",[1]对账明细接口!$X948),"")</f>
      </c>
      <c r="AD948" s="7">
        <f>IFERROR(IF([1]对账明细接口!$Y948=0,"",[1]对账明细接口!$Y948),"")</f>
      </c>
      <c r="AE948" s="7">
        <f>IFERROR(IF([1]对账明细接口!$AA948=0,"",[1]对账明细接口!$AA948),"")</f>
      </c>
      <c r="AF948" s="7">
        <f>IFERROR(IF([1]对账明细接口!$AB948=0,"",[1]对账明细接口!$AB948),"")</f>
      </c>
      <c r="AG948" s="7">
        <f>IFERROR(IF([1]对账明细接口!$AC948=0,"",[1]对账明细接口!$AC948),"")</f>
      </c>
      <c r="AH948" s="7">
        <f>IFERROR(IF([1]对账明细接口!$AD948=0,"",[1]对账明细接口!$AD948),"")</f>
      </c>
      <c r="AI948" s="7">
        <f>IFERROR(IF([1]对账明细接口!$AE948=0,"",[1]对账明细接口!$AE948),"")</f>
      </c>
      <c r="AJ948" s="7">
        <f>IFERROR(IF([1]对账明细接口!$AF948=0,"",[1]对账明细接口!$AF948),"")</f>
      </c>
    </row>
    <row r="949" ht="14.25" customHeight="1" s="127">
      <c r="A949" s="14" t="n">
        <v>949</v>
      </c>
      <c r="B949" s="211">
        <f>IFERROR(IF([1]对账明细接口!$B$949=0,"",[1]对账明细接口!$B$949),"")</f>
      </c>
      <c r="C949" s="16">
        <f>IFERROR(IF([1]对账明细接口!$C$949=0,"",[1]对账明细接口!$C$949),"")</f>
      </c>
      <c r="D949" s="16">
        <f>IFERROR(IF([1]对账明细接口!$D$949=0,"",[1]对账明细接口!$D$949),"")</f>
      </c>
      <c r="E949" s="16">
        <f>IFERROR(IF([1]对账明细接口!$E$949=0,"",[1]对账明细接口!$E$949),"")</f>
      </c>
      <c r="F949" s="16">
        <f>IFERROR(IF([1]对账明细接口!$F$949=0,"",[1]对账明细接口!$F$949),"")</f>
      </c>
      <c r="G949" s="16">
        <f>IFERROR(IF([1]对账明细接口!$G$949=0,"",[1]对账明细接口!$G$949),"")</f>
      </c>
      <c r="H949" s="176">
        <f>IFERROR(IF([1]对账明细接口!$H$949=0,"",[1]对账明细接口!$H$949),"")</f>
      </c>
      <c r="I949" s="16">
        <f>IFERROR(IF([1]对账明细接口!$I$949=0,"",[1]对账明细接口!$I$949),"")</f>
      </c>
      <c r="J949" s="177">
        <f>IFERROR(IF([1]对账明细接口!$J$949=0,"",[1]对账明细接口!$J$949),"")</f>
      </c>
      <c r="K949" s="177">
        <f>IFERROR(IF([1]对账明细接口!$K$949=0,"",[1]对账明细接口!$K$949),"")</f>
      </c>
      <c r="L949" s="16">
        <f>IFERROR(IF([1]对账明细接口!$L$949=0,"",[1]对账明细接口!$L$949),"")</f>
      </c>
      <c r="M949" s="16">
        <f>IFERROR(IF([1]对账明细接口!$M$949=0,"",[1]对账明细接口!$M$949),"")</f>
      </c>
      <c r="N949" s="19">
        <f>IF($C949="",0,1)</f>
        <v>0</v>
      </c>
      <c r="O949" s="19">
        <f>N(O948)+$N949</f>
        <v>637</v>
      </c>
      <c r="S949" s="20">
        <f>IFERROR(IF([1]对账明细接口!$N949=0,"",[1]对账明细接口!$N949),"")</f>
      </c>
      <c r="T949" s="212">
        <f>IFERROR(IF([1]对账明细接口!$O949=0,"",[1]对账明细接口!$O949),"")</f>
      </c>
      <c r="U949" s="212">
        <f>IFERROR(IF([1]对账明细接口!$P949=0,"",[1]对账明细接口!$P949),"")</f>
      </c>
      <c r="V949" s="212">
        <f>IFERROR(IF([1]对账明细接口!$Q949=0,"",[1]对账明细接口!$Q949),"")</f>
      </c>
      <c r="W949" s="20">
        <f>IFERROR(IF([1]对账明细接口!$R949=0,"",[1]对账明细接口!$R949),"")</f>
      </c>
      <c r="X949" s="20">
        <f>IFERROR(IF([1]对账明细接口!$S949=0,"",[1]对账明细接口!$S949),"")</f>
      </c>
      <c r="Y949" s="20">
        <f>IFERROR(IF([1]对账明细接口!$T949=0,"",[1]对账明细接口!$T949),"")</f>
      </c>
      <c r="Z949" s="213">
        <f>IFERROR(IF([1]对账明细接口!$U949=0,"",[1]对账明细接口!$U949),"")</f>
      </c>
      <c r="AA949" s="213">
        <f>IFERROR(IF([1]对账明细接口!$V949=0,"",[1]对账明细接口!$V949),"")</f>
      </c>
      <c r="AB949" s="20">
        <f>IFERROR(IF([1]对账明细接口!$W949=0,"",[1]对账明细接口!$W949),"")</f>
      </c>
      <c r="AC949" s="7">
        <f>IFERROR(IF([1]对账明细接口!$X949=0,"",[1]对账明细接口!$X949),"")</f>
      </c>
      <c r="AD949" s="7">
        <f>IFERROR(IF([1]对账明细接口!$Y949=0,"",[1]对账明细接口!$Y949),"")</f>
      </c>
      <c r="AE949" s="7">
        <f>IFERROR(IF([1]对账明细接口!$AA949=0,"",[1]对账明细接口!$AA949),"")</f>
      </c>
      <c r="AF949" s="7">
        <f>IFERROR(IF([1]对账明细接口!$AB949=0,"",[1]对账明细接口!$AB949),"")</f>
      </c>
      <c r="AG949" s="7">
        <f>IFERROR(IF([1]对账明细接口!$AC949=0,"",[1]对账明细接口!$AC949),"")</f>
      </c>
      <c r="AH949" s="7">
        <f>IFERROR(IF([1]对账明细接口!$AD949=0,"",[1]对账明细接口!$AD949),"")</f>
      </c>
      <c r="AI949" s="7">
        <f>IFERROR(IF([1]对账明细接口!$AE949=0,"",[1]对账明细接口!$AE949),"")</f>
      </c>
      <c r="AJ949" s="7">
        <f>IFERROR(IF([1]对账明细接口!$AF949=0,"",[1]对账明细接口!$AF949),"")</f>
      </c>
    </row>
    <row r="950" ht="14.25" customHeight="1" s="127">
      <c r="A950" s="14" t="n">
        <v>950</v>
      </c>
      <c r="B950" s="211">
        <f>IFERROR(IF([1]对账明细接口!$B$950=0,"",[1]对账明细接口!$B$950),"")</f>
      </c>
      <c r="C950" s="16">
        <f>IFERROR(IF([1]对账明细接口!$C$950=0,"",[1]对账明细接口!$C$950),"")</f>
      </c>
      <c r="D950" s="16">
        <f>IFERROR(IF([1]对账明细接口!$D$950=0,"",[1]对账明细接口!$D$950),"")</f>
      </c>
      <c r="E950" s="16">
        <f>IFERROR(IF([1]对账明细接口!$E$950=0,"",[1]对账明细接口!$E$950),"")</f>
      </c>
      <c r="F950" s="16">
        <f>IFERROR(IF([1]对账明细接口!$F$950=0,"",[1]对账明细接口!$F$950),"")</f>
      </c>
      <c r="G950" s="16">
        <f>IFERROR(IF([1]对账明细接口!$G$950=0,"",[1]对账明细接口!$G$950),"")</f>
      </c>
      <c r="H950" s="176">
        <f>IFERROR(IF([1]对账明细接口!$H$950=0,"",[1]对账明细接口!$H$950),"")</f>
      </c>
      <c r="I950" s="16">
        <f>IFERROR(IF([1]对账明细接口!$I$950=0,"",[1]对账明细接口!$I$950),"")</f>
      </c>
      <c r="J950" s="177">
        <f>IFERROR(IF([1]对账明细接口!$J$950=0,"",[1]对账明细接口!$J$950),"")</f>
      </c>
      <c r="K950" s="177">
        <f>IFERROR(IF([1]对账明细接口!$K$950=0,"",[1]对账明细接口!$K$950),"")</f>
      </c>
      <c r="L950" s="16">
        <f>IFERROR(IF([1]对账明细接口!$L$950=0,"",[1]对账明细接口!$L$950),"")</f>
      </c>
      <c r="M950" s="16">
        <f>IFERROR(IF([1]对账明细接口!$M$950=0,"",[1]对账明细接口!$M$950),"")</f>
      </c>
      <c r="N950" s="19">
        <f>IF($C950="",0,1)</f>
        <v>0</v>
      </c>
      <c r="O950" s="19">
        <f>N(O949)+$N950</f>
        <v>637</v>
      </c>
      <c r="S950" s="20">
        <f>IFERROR(IF([1]对账明细接口!$N950=0,"",[1]对账明细接口!$N950),"")</f>
      </c>
      <c r="T950" s="212">
        <f>IFERROR(IF([1]对账明细接口!$O950=0,"",[1]对账明细接口!$O950),"")</f>
      </c>
      <c r="U950" s="212">
        <f>IFERROR(IF([1]对账明细接口!$P950=0,"",[1]对账明细接口!$P950),"")</f>
      </c>
      <c r="V950" s="212">
        <f>IFERROR(IF([1]对账明细接口!$Q950=0,"",[1]对账明细接口!$Q950),"")</f>
      </c>
      <c r="W950" s="20">
        <f>IFERROR(IF([1]对账明细接口!$R950=0,"",[1]对账明细接口!$R950),"")</f>
      </c>
      <c r="X950" s="20">
        <f>IFERROR(IF([1]对账明细接口!$S950=0,"",[1]对账明细接口!$S950),"")</f>
      </c>
      <c r="Y950" s="20">
        <f>IFERROR(IF([1]对账明细接口!$T950=0,"",[1]对账明细接口!$T950),"")</f>
      </c>
      <c r="Z950" s="213">
        <f>IFERROR(IF([1]对账明细接口!$U950=0,"",[1]对账明细接口!$U950),"")</f>
      </c>
      <c r="AA950" s="213">
        <f>IFERROR(IF([1]对账明细接口!$V950=0,"",[1]对账明细接口!$V950),"")</f>
      </c>
      <c r="AB950" s="20">
        <f>IFERROR(IF([1]对账明细接口!$W950=0,"",[1]对账明细接口!$W950),"")</f>
      </c>
      <c r="AC950" s="7">
        <f>IFERROR(IF([1]对账明细接口!$X950=0,"",[1]对账明细接口!$X950),"")</f>
      </c>
      <c r="AD950" s="7">
        <f>IFERROR(IF([1]对账明细接口!$Y950=0,"",[1]对账明细接口!$Y950),"")</f>
      </c>
      <c r="AE950" s="7">
        <f>IFERROR(IF([1]对账明细接口!$AA950=0,"",[1]对账明细接口!$AA950),"")</f>
      </c>
      <c r="AF950" s="7">
        <f>IFERROR(IF([1]对账明细接口!$AB950=0,"",[1]对账明细接口!$AB950),"")</f>
      </c>
      <c r="AG950" s="7">
        <f>IFERROR(IF([1]对账明细接口!$AC950=0,"",[1]对账明细接口!$AC950),"")</f>
      </c>
      <c r="AH950" s="7">
        <f>IFERROR(IF([1]对账明细接口!$AD950=0,"",[1]对账明细接口!$AD950),"")</f>
      </c>
      <c r="AI950" s="7">
        <f>IFERROR(IF([1]对账明细接口!$AE950=0,"",[1]对账明细接口!$AE950),"")</f>
      </c>
      <c r="AJ950" s="7">
        <f>IFERROR(IF([1]对账明细接口!$AF950=0,"",[1]对账明细接口!$AF950),"")</f>
      </c>
    </row>
    <row r="951" ht="14.25" customHeight="1" s="127">
      <c r="A951" s="14" t="n">
        <v>951</v>
      </c>
      <c r="B951" s="211">
        <f>IFERROR(IF([1]对账明细接口!$B$951=0,"",[1]对账明细接口!$B$951),"")</f>
      </c>
      <c r="C951" s="16">
        <f>IFERROR(IF([1]对账明细接口!$C$951=0,"",[1]对账明细接口!$C$951),"")</f>
      </c>
      <c r="D951" s="16">
        <f>IFERROR(IF([1]对账明细接口!$D$951=0,"",[1]对账明细接口!$D$951),"")</f>
      </c>
      <c r="E951" s="16">
        <f>IFERROR(IF([1]对账明细接口!$E$951=0,"",[1]对账明细接口!$E$951),"")</f>
      </c>
      <c r="F951" s="16">
        <f>IFERROR(IF([1]对账明细接口!$F$951=0,"",[1]对账明细接口!$F$951),"")</f>
      </c>
      <c r="G951" s="16">
        <f>IFERROR(IF([1]对账明细接口!$G$951=0,"",[1]对账明细接口!$G$951),"")</f>
      </c>
      <c r="H951" s="176">
        <f>IFERROR(IF([1]对账明细接口!$H$951=0,"",[1]对账明细接口!$H$951),"")</f>
      </c>
      <c r="I951" s="16">
        <f>IFERROR(IF([1]对账明细接口!$I$951=0,"",[1]对账明细接口!$I$951),"")</f>
      </c>
      <c r="J951" s="177">
        <f>IFERROR(IF([1]对账明细接口!$J$951=0,"",[1]对账明细接口!$J$951),"")</f>
      </c>
      <c r="K951" s="177">
        <f>IFERROR(IF([1]对账明细接口!$K$951=0,"",[1]对账明细接口!$K$951),"")</f>
      </c>
      <c r="L951" s="16">
        <f>IFERROR(IF([1]对账明细接口!$L$951=0,"",[1]对账明细接口!$L$951),"")</f>
      </c>
      <c r="M951" s="16">
        <f>IFERROR(IF([1]对账明细接口!$M$951=0,"",[1]对账明细接口!$M$951),"")</f>
      </c>
      <c r="N951" s="19">
        <f>IF($C951="",0,1)</f>
        <v>0</v>
      </c>
      <c r="O951" s="19">
        <f>N(O950)+$N951</f>
        <v>637</v>
      </c>
      <c r="S951" s="20">
        <f>IFERROR(IF([1]对账明细接口!$N951=0,"",[1]对账明细接口!$N951),"")</f>
      </c>
      <c r="T951" s="212">
        <f>IFERROR(IF([1]对账明细接口!$O951=0,"",[1]对账明细接口!$O951),"")</f>
      </c>
      <c r="U951" s="212">
        <f>IFERROR(IF([1]对账明细接口!$P951=0,"",[1]对账明细接口!$P951),"")</f>
      </c>
      <c r="V951" s="212">
        <f>IFERROR(IF([1]对账明细接口!$Q951=0,"",[1]对账明细接口!$Q951),"")</f>
      </c>
      <c r="W951" s="20">
        <f>IFERROR(IF([1]对账明细接口!$R951=0,"",[1]对账明细接口!$R951),"")</f>
      </c>
      <c r="X951" s="20">
        <f>IFERROR(IF([1]对账明细接口!$S951=0,"",[1]对账明细接口!$S951),"")</f>
      </c>
      <c r="Y951" s="20">
        <f>IFERROR(IF([1]对账明细接口!$T951=0,"",[1]对账明细接口!$T951),"")</f>
      </c>
      <c r="Z951" s="213">
        <f>IFERROR(IF([1]对账明细接口!$U951=0,"",[1]对账明细接口!$U951),"")</f>
      </c>
      <c r="AA951" s="213">
        <f>IFERROR(IF([1]对账明细接口!$V951=0,"",[1]对账明细接口!$V951),"")</f>
      </c>
      <c r="AB951" s="20">
        <f>IFERROR(IF([1]对账明细接口!$W951=0,"",[1]对账明细接口!$W951),"")</f>
      </c>
      <c r="AC951" s="7">
        <f>IFERROR(IF([1]对账明细接口!$X951=0,"",[1]对账明细接口!$X951),"")</f>
      </c>
      <c r="AD951" s="7">
        <f>IFERROR(IF([1]对账明细接口!$Y951=0,"",[1]对账明细接口!$Y951),"")</f>
      </c>
      <c r="AE951" s="7">
        <f>IFERROR(IF([1]对账明细接口!$AA951=0,"",[1]对账明细接口!$AA951),"")</f>
      </c>
      <c r="AF951" s="7">
        <f>IFERROR(IF([1]对账明细接口!$AB951=0,"",[1]对账明细接口!$AB951),"")</f>
      </c>
      <c r="AG951" s="7">
        <f>IFERROR(IF([1]对账明细接口!$AC951=0,"",[1]对账明细接口!$AC951),"")</f>
      </c>
      <c r="AH951" s="7">
        <f>IFERROR(IF([1]对账明细接口!$AD951=0,"",[1]对账明细接口!$AD951),"")</f>
      </c>
      <c r="AI951" s="7">
        <f>IFERROR(IF([1]对账明细接口!$AE951=0,"",[1]对账明细接口!$AE951),"")</f>
      </c>
      <c r="AJ951" s="7">
        <f>IFERROR(IF([1]对账明细接口!$AF951=0,"",[1]对账明细接口!$AF951),"")</f>
      </c>
    </row>
    <row r="952" ht="14.25" customHeight="1" s="127">
      <c r="A952" s="14" t="n">
        <v>952</v>
      </c>
      <c r="B952" s="211">
        <f>IFERROR(IF([1]对账明细接口!$B$952=0,"",[1]对账明细接口!$B$952),"")</f>
      </c>
      <c r="C952" s="16">
        <f>IFERROR(IF([1]对账明细接口!$C$952=0,"",[1]对账明细接口!$C$952),"")</f>
      </c>
      <c r="D952" s="16">
        <f>IFERROR(IF([1]对账明细接口!$D$952=0,"",[1]对账明细接口!$D$952),"")</f>
      </c>
      <c r="E952" s="16">
        <f>IFERROR(IF([1]对账明细接口!$E$952=0,"",[1]对账明细接口!$E$952),"")</f>
      </c>
      <c r="F952" s="16">
        <f>IFERROR(IF([1]对账明细接口!$F$952=0,"",[1]对账明细接口!$F$952),"")</f>
      </c>
      <c r="G952" s="16">
        <f>IFERROR(IF([1]对账明细接口!$G$952=0,"",[1]对账明细接口!$G$952),"")</f>
      </c>
      <c r="H952" s="176">
        <f>IFERROR(IF([1]对账明细接口!$H$952=0,"",[1]对账明细接口!$H$952),"")</f>
      </c>
      <c r="I952" s="16">
        <f>IFERROR(IF([1]对账明细接口!$I$952=0,"",[1]对账明细接口!$I$952),"")</f>
      </c>
      <c r="J952" s="177">
        <f>IFERROR(IF([1]对账明细接口!$J$952=0,"",[1]对账明细接口!$J$952),"")</f>
      </c>
      <c r="K952" s="177">
        <f>IFERROR(IF([1]对账明细接口!$K$952=0,"",[1]对账明细接口!$K$952),"")</f>
      </c>
      <c r="L952" s="16">
        <f>IFERROR(IF([1]对账明细接口!$L$952=0,"",[1]对账明细接口!$L$952),"")</f>
      </c>
      <c r="M952" s="16">
        <f>IFERROR(IF([1]对账明细接口!$M$952=0,"",[1]对账明细接口!$M$952),"")</f>
      </c>
      <c r="N952" s="19">
        <f>IF($C952="",0,1)</f>
        <v>0</v>
      </c>
      <c r="O952" s="19">
        <f>N(O951)+$N952</f>
        <v>637</v>
      </c>
      <c r="S952" s="20">
        <f>IFERROR(IF([1]对账明细接口!$N952=0,"",[1]对账明细接口!$N952),"")</f>
      </c>
      <c r="T952" s="212">
        <f>IFERROR(IF([1]对账明细接口!$O952=0,"",[1]对账明细接口!$O952),"")</f>
      </c>
      <c r="U952" s="212">
        <f>IFERROR(IF([1]对账明细接口!$P952=0,"",[1]对账明细接口!$P952),"")</f>
      </c>
      <c r="V952" s="212">
        <f>IFERROR(IF([1]对账明细接口!$Q952=0,"",[1]对账明细接口!$Q952),"")</f>
      </c>
      <c r="W952" s="20">
        <f>IFERROR(IF([1]对账明细接口!$R952=0,"",[1]对账明细接口!$R952),"")</f>
      </c>
      <c r="X952" s="20">
        <f>IFERROR(IF([1]对账明细接口!$S952=0,"",[1]对账明细接口!$S952),"")</f>
      </c>
      <c r="Y952" s="20">
        <f>IFERROR(IF([1]对账明细接口!$T952=0,"",[1]对账明细接口!$T952),"")</f>
      </c>
      <c r="Z952" s="213">
        <f>IFERROR(IF([1]对账明细接口!$U952=0,"",[1]对账明细接口!$U952),"")</f>
      </c>
      <c r="AA952" s="213">
        <f>IFERROR(IF([1]对账明细接口!$V952=0,"",[1]对账明细接口!$V952),"")</f>
      </c>
      <c r="AB952" s="20">
        <f>IFERROR(IF([1]对账明细接口!$W952=0,"",[1]对账明细接口!$W952),"")</f>
      </c>
      <c r="AC952" s="7">
        <f>IFERROR(IF([1]对账明细接口!$X952=0,"",[1]对账明细接口!$X952),"")</f>
      </c>
      <c r="AD952" s="7">
        <f>IFERROR(IF([1]对账明细接口!$Y952=0,"",[1]对账明细接口!$Y952),"")</f>
      </c>
      <c r="AE952" s="7">
        <f>IFERROR(IF([1]对账明细接口!$AA952=0,"",[1]对账明细接口!$AA952),"")</f>
      </c>
      <c r="AF952" s="7">
        <f>IFERROR(IF([1]对账明细接口!$AB952=0,"",[1]对账明细接口!$AB952),"")</f>
      </c>
      <c r="AG952" s="7">
        <f>IFERROR(IF([1]对账明细接口!$AC952=0,"",[1]对账明细接口!$AC952),"")</f>
      </c>
      <c r="AH952" s="7">
        <f>IFERROR(IF([1]对账明细接口!$AD952=0,"",[1]对账明细接口!$AD952),"")</f>
      </c>
      <c r="AI952" s="7">
        <f>IFERROR(IF([1]对账明细接口!$AE952=0,"",[1]对账明细接口!$AE952),"")</f>
      </c>
      <c r="AJ952" s="7">
        <f>IFERROR(IF([1]对账明细接口!$AF952=0,"",[1]对账明细接口!$AF952),"")</f>
      </c>
    </row>
    <row r="953" ht="14.25" customHeight="1" s="127">
      <c r="A953" s="14" t="n">
        <v>953</v>
      </c>
      <c r="B953" s="211">
        <f>IFERROR(IF([1]对账明细接口!$B$953=0,"",[1]对账明细接口!$B$953),"")</f>
      </c>
      <c r="C953" s="16">
        <f>IFERROR(IF([1]对账明细接口!$C$953=0,"",[1]对账明细接口!$C$953),"")</f>
      </c>
      <c r="D953" s="16">
        <f>IFERROR(IF([1]对账明细接口!$D$953=0,"",[1]对账明细接口!$D$953),"")</f>
      </c>
      <c r="E953" s="16">
        <f>IFERROR(IF([1]对账明细接口!$E$953=0,"",[1]对账明细接口!$E$953),"")</f>
      </c>
      <c r="F953" s="16">
        <f>IFERROR(IF([1]对账明细接口!$F$953=0,"",[1]对账明细接口!$F$953),"")</f>
      </c>
      <c r="G953" s="16">
        <f>IFERROR(IF([1]对账明细接口!$G$953=0,"",[1]对账明细接口!$G$953),"")</f>
      </c>
      <c r="H953" s="176">
        <f>IFERROR(IF([1]对账明细接口!$H$953=0,"",[1]对账明细接口!$H$953),"")</f>
      </c>
      <c r="I953" s="16">
        <f>IFERROR(IF([1]对账明细接口!$I$953=0,"",[1]对账明细接口!$I$953),"")</f>
      </c>
      <c r="J953" s="177">
        <f>IFERROR(IF([1]对账明细接口!$J$953=0,"",[1]对账明细接口!$J$953),"")</f>
      </c>
      <c r="K953" s="177">
        <f>IFERROR(IF([1]对账明细接口!$K$953=0,"",[1]对账明细接口!$K$953),"")</f>
      </c>
      <c r="L953" s="16">
        <f>IFERROR(IF([1]对账明细接口!$L$953=0,"",[1]对账明细接口!$L$953),"")</f>
      </c>
      <c r="M953" s="16">
        <f>IFERROR(IF([1]对账明细接口!$M$953=0,"",[1]对账明细接口!$M$953),"")</f>
      </c>
      <c r="N953" s="19">
        <f>IF($C953="",0,1)</f>
        <v>0</v>
      </c>
      <c r="O953" s="19">
        <f>N(O952)+$N953</f>
        <v>637</v>
      </c>
      <c r="S953" s="20">
        <f>IFERROR(IF([1]对账明细接口!$N953=0,"",[1]对账明细接口!$N953),"")</f>
      </c>
      <c r="T953" s="212">
        <f>IFERROR(IF([1]对账明细接口!$O953=0,"",[1]对账明细接口!$O953),"")</f>
      </c>
      <c r="U953" s="212">
        <f>IFERROR(IF([1]对账明细接口!$P953=0,"",[1]对账明细接口!$P953),"")</f>
      </c>
      <c r="V953" s="212">
        <f>IFERROR(IF([1]对账明细接口!$Q953=0,"",[1]对账明细接口!$Q953),"")</f>
      </c>
      <c r="W953" s="20">
        <f>IFERROR(IF([1]对账明细接口!$R953=0,"",[1]对账明细接口!$R953),"")</f>
      </c>
      <c r="X953" s="20">
        <f>IFERROR(IF([1]对账明细接口!$S953=0,"",[1]对账明细接口!$S953),"")</f>
      </c>
      <c r="Y953" s="20">
        <f>IFERROR(IF([1]对账明细接口!$T953=0,"",[1]对账明细接口!$T953),"")</f>
      </c>
      <c r="Z953" s="213">
        <f>IFERROR(IF([1]对账明细接口!$U953=0,"",[1]对账明细接口!$U953),"")</f>
      </c>
      <c r="AA953" s="213">
        <f>IFERROR(IF([1]对账明细接口!$V953=0,"",[1]对账明细接口!$V953),"")</f>
      </c>
      <c r="AB953" s="20">
        <f>IFERROR(IF([1]对账明细接口!$W953=0,"",[1]对账明细接口!$W953),"")</f>
      </c>
      <c r="AC953" s="7">
        <f>IFERROR(IF([1]对账明细接口!$X953=0,"",[1]对账明细接口!$X953),"")</f>
      </c>
      <c r="AD953" s="7">
        <f>IFERROR(IF([1]对账明细接口!$Y953=0,"",[1]对账明细接口!$Y953),"")</f>
      </c>
      <c r="AE953" s="7">
        <f>IFERROR(IF([1]对账明细接口!$AA953=0,"",[1]对账明细接口!$AA953),"")</f>
      </c>
      <c r="AF953" s="7">
        <f>IFERROR(IF([1]对账明细接口!$AB953=0,"",[1]对账明细接口!$AB953),"")</f>
      </c>
      <c r="AG953" s="7">
        <f>IFERROR(IF([1]对账明细接口!$AC953=0,"",[1]对账明细接口!$AC953),"")</f>
      </c>
      <c r="AH953" s="7">
        <f>IFERROR(IF([1]对账明细接口!$AD953=0,"",[1]对账明细接口!$AD953),"")</f>
      </c>
      <c r="AI953" s="7">
        <f>IFERROR(IF([1]对账明细接口!$AE953=0,"",[1]对账明细接口!$AE953),"")</f>
      </c>
      <c r="AJ953" s="7">
        <f>IFERROR(IF([1]对账明细接口!$AF953=0,"",[1]对账明细接口!$AF953),"")</f>
      </c>
    </row>
    <row r="954" ht="14.25" customHeight="1" s="127">
      <c r="A954" s="14" t="n">
        <v>954</v>
      </c>
      <c r="B954" s="211">
        <f>IFERROR(IF([1]对账明细接口!$B$954=0,"",[1]对账明细接口!$B$954),"")</f>
      </c>
      <c r="C954" s="16">
        <f>IFERROR(IF([1]对账明细接口!$C$954=0,"",[1]对账明细接口!$C$954),"")</f>
      </c>
      <c r="D954" s="16">
        <f>IFERROR(IF([1]对账明细接口!$D$954=0,"",[1]对账明细接口!$D$954),"")</f>
      </c>
      <c r="E954" s="16">
        <f>IFERROR(IF([1]对账明细接口!$E$954=0,"",[1]对账明细接口!$E$954),"")</f>
      </c>
      <c r="F954" s="16">
        <f>IFERROR(IF([1]对账明细接口!$F$954=0,"",[1]对账明细接口!$F$954),"")</f>
      </c>
      <c r="G954" s="16">
        <f>IFERROR(IF([1]对账明细接口!$G$954=0,"",[1]对账明细接口!$G$954),"")</f>
      </c>
      <c r="H954" s="176">
        <f>IFERROR(IF([1]对账明细接口!$H$954=0,"",[1]对账明细接口!$H$954),"")</f>
      </c>
      <c r="I954" s="16">
        <f>IFERROR(IF([1]对账明细接口!$I$954=0,"",[1]对账明细接口!$I$954),"")</f>
      </c>
      <c r="J954" s="177">
        <f>IFERROR(IF([1]对账明细接口!$J$954=0,"",[1]对账明细接口!$J$954),"")</f>
      </c>
      <c r="K954" s="177">
        <f>IFERROR(IF([1]对账明细接口!$K$954=0,"",[1]对账明细接口!$K$954),"")</f>
      </c>
      <c r="L954" s="16">
        <f>IFERROR(IF([1]对账明细接口!$L$954=0,"",[1]对账明细接口!$L$954),"")</f>
      </c>
      <c r="M954" s="16">
        <f>IFERROR(IF([1]对账明细接口!$M$954=0,"",[1]对账明细接口!$M$954),"")</f>
      </c>
      <c r="N954" s="19">
        <f>IF($C954="",0,1)</f>
        <v>0</v>
      </c>
      <c r="O954" s="19">
        <f>N(O953)+$N954</f>
        <v>637</v>
      </c>
      <c r="S954" s="20">
        <f>IFERROR(IF([1]对账明细接口!$N954=0,"",[1]对账明细接口!$N954),"")</f>
      </c>
      <c r="T954" s="212">
        <f>IFERROR(IF([1]对账明细接口!$O954=0,"",[1]对账明细接口!$O954),"")</f>
      </c>
      <c r="U954" s="212">
        <f>IFERROR(IF([1]对账明细接口!$P954=0,"",[1]对账明细接口!$P954),"")</f>
      </c>
      <c r="V954" s="212">
        <f>IFERROR(IF([1]对账明细接口!$Q954=0,"",[1]对账明细接口!$Q954),"")</f>
      </c>
      <c r="W954" s="20">
        <f>IFERROR(IF([1]对账明细接口!$R954=0,"",[1]对账明细接口!$R954),"")</f>
      </c>
      <c r="X954" s="20">
        <f>IFERROR(IF([1]对账明细接口!$S954=0,"",[1]对账明细接口!$S954),"")</f>
      </c>
      <c r="Y954" s="20">
        <f>IFERROR(IF([1]对账明细接口!$T954=0,"",[1]对账明细接口!$T954),"")</f>
      </c>
      <c r="Z954" s="213">
        <f>IFERROR(IF([1]对账明细接口!$U954=0,"",[1]对账明细接口!$U954),"")</f>
      </c>
      <c r="AA954" s="213">
        <f>IFERROR(IF([1]对账明细接口!$V954=0,"",[1]对账明细接口!$V954),"")</f>
      </c>
      <c r="AB954" s="20">
        <f>IFERROR(IF([1]对账明细接口!$W954=0,"",[1]对账明细接口!$W954),"")</f>
      </c>
      <c r="AC954" s="7">
        <f>IFERROR(IF([1]对账明细接口!$X954=0,"",[1]对账明细接口!$X954),"")</f>
      </c>
      <c r="AD954" s="7">
        <f>IFERROR(IF([1]对账明细接口!$Y954=0,"",[1]对账明细接口!$Y954),"")</f>
      </c>
      <c r="AE954" s="7">
        <f>IFERROR(IF([1]对账明细接口!$AA954=0,"",[1]对账明细接口!$AA954),"")</f>
      </c>
      <c r="AF954" s="7">
        <f>IFERROR(IF([1]对账明细接口!$AB954=0,"",[1]对账明细接口!$AB954),"")</f>
      </c>
      <c r="AG954" s="7">
        <f>IFERROR(IF([1]对账明细接口!$AC954=0,"",[1]对账明细接口!$AC954),"")</f>
      </c>
      <c r="AH954" s="7">
        <f>IFERROR(IF([1]对账明细接口!$AD954=0,"",[1]对账明细接口!$AD954),"")</f>
      </c>
      <c r="AI954" s="7">
        <f>IFERROR(IF([1]对账明细接口!$AE954=0,"",[1]对账明细接口!$AE954),"")</f>
      </c>
      <c r="AJ954" s="7">
        <f>IFERROR(IF([1]对账明细接口!$AF954=0,"",[1]对账明细接口!$AF954),"")</f>
      </c>
    </row>
    <row r="955" ht="14.25" customHeight="1" s="127">
      <c r="A955" s="14" t="n">
        <v>955</v>
      </c>
      <c r="B955" s="211">
        <f>IFERROR(IF([1]对账明细接口!$B$955=0,"",[1]对账明细接口!$B$955),"")</f>
      </c>
      <c r="C955" s="16">
        <f>IFERROR(IF([1]对账明细接口!$C$955=0,"",[1]对账明细接口!$C$955),"")</f>
      </c>
      <c r="D955" s="16">
        <f>IFERROR(IF([1]对账明细接口!$D$955=0,"",[1]对账明细接口!$D$955),"")</f>
      </c>
      <c r="E955" s="16">
        <f>IFERROR(IF([1]对账明细接口!$E$955=0,"",[1]对账明细接口!$E$955),"")</f>
      </c>
      <c r="F955" s="16">
        <f>IFERROR(IF([1]对账明细接口!$F$955=0,"",[1]对账明细接口!$F$955),"")</f>
      </c>
      <c r="G955" s="16">
        <f>IFERROR(IF([1]对账明细接口!$G$955=0,"",[1]对账明细接口!$G$955),"")</f>
      </c>
      <c r="H955" s="176">
        <f>IFERROR(IF([1]对账明细接口!$H$955=0,"",[1]对账明细接口!$H$955),"")</f>
      </c>
      <c r="I955" s="16">
        <f>IFERROR(IF([1]对账明细接口!$I$955=0,"",[1]对账明细接口!$I$955),"")</f>
      </c>
      <c r="J955" s="177">
        <f>IFERROR(IF([1]对账明细接口!$J$955=0,"",[1]对账明细接口!$J$955),"")</f>
      </c>
      <c r="K955" s="177">
        <f>IFERROR(IF([1]对账明细接口!$K$955=0,"",[1]对账明细接口!$K$955),"")</f>
      </c>
      <c r="L955" s="16">
        <f>IFERROR(IF([1]对账明细接口!$L$955=0,"",[1]对账明细接口!$L$955),"")</f>
      </c>
      <c r="M955" s="16">
        <f>IFERROR(IF([1]对账明细接口!$M$955=0,"",[1]对账明细接口!$M$955),"")</f>
      </c>
      <c r="N955" s="19">
        <f>IF($C955="",0,1)</f>
        <v>0</v>
      </c>
      <c r="O955" s="19">
        <f>N(O954)+$N955</f>
        <v>637</v>
      </c>
      <c r="S955" s="20">
        <f>IFERROR(IF([1]对账明细接口!$N955=0,"",[1]对账明细接口!$N955),"")</f>
      </c>
      <c r="T955" s="212">
        <f>IFERROR(IF([1]对账明细接口!$O955=0,"",[1]对账明细接口!$O955),"")</f>
      </c>
      <c r="U955" s="212">
        <f>IFERROR(IF([1]对账明细接口!$P955=0,"",[1]对账明细接口!$P955),"")</f>
      </c>
      <c r="V955" s="212">
        <f>IFERROR(IF([1]对账明细接口!$Q955=0,"",[1]对账明细接口!$Q955),"")</f>
      </c>
      <c r="W955" s="20">
        <f>IFERROR(IF([1]对账明细接口!$R955=0,"",[1]对账明细接口!$R955),"")</f>
      </c>
      <c r="X955" s="20">
        <f>IFERROR(IF([1]对账明细接口!$S955=0,"",[1]对账明细接口!$S955),"")</f>
      </c>
      <c r="Y955" s="20">
        <f>IFERROR(IF([1]对账明细接口!$T955=0,"",[1]对账明细接口!$T955),"")</f>
      </c>
      <c r="Z955" s="213">
        <f>IFERROR(IF([1]对账明细接口!$U955=0,"",[1]对账明细接口!$U955),"")</f>
      </c>
      <c r="AA955" s="213">
        <f>IFERROR(IF([1]对账明细接口!$V955=0,"",[1]对账明细接口!$V955),"")</f>
      </c>
      <c r="AB955" s="20">
        <f>IFERROR(IF([1]对账明细接口!$W955=0,"",[1]对账明细接口!$W955),"")</f>
      </c>
      <c r="AC955" s="7">
        <f>IFERROR(IF([1]对账明细接口!$X955=0,"",[1]对账明细接口!$X955),"")</f>
      </c>
      <c r="AD955" s="7">
        <f>IFERROR(IF([1]对账明细接口!$Y955=0,"",[1]对账明细接口!$Y955),"")</f>
      </c>
      <c r="AE955" s="7">
        <f>IFERROR(IF([1]对账明细接口!$AA955=0,"",[1]对账明细接口!$AA955),"")</f>
      </c>
      <c r="AF955" s="7">
        <f>IFERROR(IF([1]对账明细接口!$AB955=0,"",[1]对账明细接口!$AB955),"")</f>
      </c>
      <c r="AG955" s="7">
        <f>IFERROR(IF([1]对账明细接口!$AC955=0,"",[1]对账明细接口!$AC955),"")</f>
      </c>
      <c r="AH955" s="7">
        <f>IFERROR(IF([1]对账明细接口!$AD955=0,"",[1]对账明细接口!$AD955),"")</f>
      </c>
      <c r="AI955" s="7">
        <f>IFERROR(IF([1]对账明细接口!$AE955=0,"",[1]对账明细接口!$AE955),"")</f>
      </c>
      <c r="AJ955" s="7">
        <f>IFERROR(IF([1]对账明细接口!$AF955=0,"",[1]对账明细接口!$AF955),"")</f>
      </c>
    </row>
    <row r="956" ht="14.25" customHeight="1" s="127">
      <c r="A956" s="14" t="n">
        <v>956</v>
      </c>
      <c r="B956" s="211">
        <f>IFERROR(IF([1]对账明细接口!$B$956=0,"",[1]对账明细接口!$B$956),"")</f>
      </c>
      <c r="C956" s="16">
        <f>IFERROR(IF([1]对账明细接口!$C$956=0,"",[1]对账明细接口!$C$956),"")</f>
      </c>
      <c r="D956" s="16">
        <f>IFERROR(IF([1]对账明细接口!$D$956=0,"",[1]对账明细接口!$D$956),"")</f>
      </c>
      <c r="E956" s="16">
        <f>IFERROR(IF([1]对账明细接口!$E$956=0,"",[1]对账明细接口!$E$956),"")</f>
      </c>
      <c r="F956" s="16">
        <f>IFERROR(IF([1]对账明细接口!$F$956=0,"",[1]对账明细接口!$F$956),"")</f>
      </c>
      <c r="G956" s="16">
        <f>IFERROR(IF([1]对账明细接口!$G$956=0,"",[1]对账明细接口!$G$956),"")</f>
      </c>
      <c r="H956" s="176">
        <f>IFERROR(IF([1]对账明细接口!$H$956=0,"",[1]对账明细接口!$H$956),"")</f>
      </c>
      <c r="I956" s="16">
        <f>IFERROR(IF([1]对账明细接口!$I$956=0,"",[1]对账明细接口!$I$956),"")</f>
      </c>
      <c r="J956" s="177">
        <f>IFERROR(IF([1]对账明细接口!$J$956=0,"",[1]对账明细接口!$J$956),"")</f>
      </c>
      <c r="K956" s="177">
        <f>IFERROR(IF([1]对账明细接口!$K$956=0,"",[1]对账明细接口!$K$956),"")</f>
      </c>
      <c r="L956" s="16">
        <f>IFERROR(IF([1]对账明细接口!$L$956=0,"",[1]对账明细接口!$L$956),"")</f>
      </c>
      <c r="M956" s="16">
        <f>IFERROR(IF([1]对账明细接口!$M$956=0,"",[1]对账明细接口!$M$956),"")</f>
      </c>
      <c r="N956" s="19">
        <f>IF($C956="",0,1)</f>
        <v>0</v>
      </c>
      <c r="O956" s="19">
        <f>N(O955)+$N956</f>
        <v>637</v>
      </c>
      <c r="S956" s="20">
        <f>IFERROR(IF([1]对账明细接口!$N956=0,"",[1]对账明细接口!$N956),"")</f>
      </c>
      <c r="T956" s="212">
        <f>IFERROR(IF([1]对账明细接口!$O956=0,"",[1]对账明细接口!$O956),"")</f>
      </c>
      <c r="U956" s="212">
        <f>IFERROR(IF([1]对账明细接口!$P956=0,"",[1]对账明细接口!$P956),"")</f>
      </c>
      <c r="V956" s="212">
        <f>IFERROR(IF([1]对账明细接口!$Q956=0,"",[1]对账明细接口!$Q956),"")</f>
      </c>
      <c r="W956" s="20">
        <f>IFERROR(IF([1]对账明细接口!$R956=0,"",[1]对账明细接口!$R956),"")</f>
      </c>
      <c r="X956" s="20">
        <f>IFERROR(IF([1]对账明细接口!$S956=0,"",[1]对账明细接口!$S956),"")</f>
      </c>
      <c r="Y956" s="20">
        <f>IFERROR(IF([1]对账明细接口!$T956=0,"",[1]对账明细接口!$T956),"")</f>
      </c>
      <c r="Z956" s="213">
        <f>IFERROR(IF([1]对账明细接口!$U956=0,"",[1]对账明细接口!$U956),"")</f>
      </c>
      <c r="AA956" s="213">
        <f>IFERROR(IF([1]对账明细接口!$V956=0,"",[1]对账明细接口!$V956),"")</f>
      </c>
      <c r="AB956" s="20">
        <f>IFERROR(IF([1]对账明细接口!$W956=0,"",[1]对账明细接口!$W956),"")</f>
      </c>
      <c r="AC956" s="7">
        <f>IFERROR(IF([1]对账明细接口!$X956=0,"",[1]对账明细接口!$X956),"")</f>
      </c>
      <c r="AD956" s="7">
        <f>IFERROR(IF([1]对账明细接口!$Y956=0,"",[1]对账明细接口!$Y956),"")</f>
      </c>
      <c r="AE956" s="7">
        <f>IFERROR(IF([1]对账明细接口!$AA956=0,"",[1]对账明细接口!$AA956),"")</f>
      </c>
      <c r="AF956" s="7">
        <f>IFERROR(IF([1]对账明细接口!$AB956=0,"",[1]对账明细接口!$AB956),"")</f>
      </c>
      <c r="AG956" s="7">
        <f>IFERROR(IF([1]对账明细接口!$AC956=0,"",[1]对账明细接口!$AC956),"")</f>
      </c>
      <c r="AH956" s="7">
        <f>IFERROR(IF([1]对账明细接口!$AD956=0,"",[1]对账明细接口!$AD956),"")</f>
      </c>
      <c r="AI956" s="7">
        <f>IFERROR(IF([1]对账明细接口!$AE956=0,"",[1]对账明细接口!$AE956),"")</f>
      </c>
      <c r="AJ956" s="7">
        <f>IFERROR(IF([1]对账明细接口!$AF956=0,"",[1]对账明细接口!$AF956),"")</f>
      </c>
    </row>
    <row r="957" ht="14.25" customHeight="1" s="127">
      <c r="A957" s="14" t="n">
        <v>957</v>
      </c>
      <c r="B957" s="211">
        <f>IFERROR(IF([1]对账明细接口!$B$957=0,"",[1]对账明细接口!$B$957),"")</f>
      </c>
      <c r="C957" s="16">
        <f>IFERROR(IF([1]对账明细接口!$C$957=0,"",[1]对账明细接口!$C$957),"")</f>
      </c>
      <c r="D957" s="16">
        <f>IFERROR(IF([1]对账明细接口!$D$957=0,"",[1]对账明细接口!$D$957),"")</f>
      </c>
      <c r="E957" s="16">
        <f>IFERROR(IF([1]对账明细接口!$E$957=0,"",[1]对账明细接口!$E$957),"")</f>
      </c>
      <c r="F957" s="16">
        <f>IFERROR(IF([1]对账明细接口!$F$957=0,"",[1]对账明细接口!$F$957),"")</f>
      </c>
      <c r="G957" s="16">
        <f>IFERROR(IF([1]对账明细接口!$G$957=0,"",[1]对账明细接口!$G$957),"")</f>
      </c>
      <c r="H957" s="176">
        <f>IFERROR(IF([1]对账明细接口!$H$957=0,"",[1]对账明细接口!$H$957),"")</f>
      </c>
      <c r="I957" s="16">
        <f>IFERROR(IF([1]对账明细接口!$I$957=0,"",[1]对账明细接口!$I$957),"")</f>
      </c>
      <c r="J957" s="177">
        <f>IFERROR(IF([1]对账明细接口!$J$957=0,"",[1]对账明细接口!$J$957),"")</f>
      </c>
      <c r="K957" s="177">
        <f>IFERROR(IF([1]对账明细接口!$K$957=0,"",[1]对账明细接口!$K$957),"")</f>
      </c>
      <c r="L957" s="16">
        <f>IFERROR(IF([1]对账明细接口!$L$957=0,"",[1]对账明细接口!$L$957),"")</f>
      </c>
      <c r="M957" s="16">
        <f>IFERROR(IF([1]对账明细接口!$M$957=0,"",[1]对账明细接口!$M$957),"")</f>
      </c>
      <c r="N957" s="19">
        <f>IF($C957="",0,1)</f>
        <v>0</v>
      </c>
      <c r="O957" s="19">
        <f>N(O956)+$N957</f>
        <v>637</v>
      </c>
      <c r="S957" s="20">
        <f>IFERROR(IF([1]对账明细接口!$N957=0,"",[1]对账明细接口!$N957),"")</f>
      </c>
      <c r="T957" s="212">
        <f>IFERROR(IF([1]对账明细接口!$O957=0,"",[1]对账明细接口!$O957),"")</f>
      </c>
      <c r="U957" s="212">
        <f>IFERROR(IF([1]对账明细接口!$P957=0,"",[1]对账明细接口!$P957),"")</f>
      </c>
      <c r="V957" s="212">
        <f>IFERROR(IF([1]对账明细接口!$Q957=0,"",[1]对账明细接口!$Q957),"")</f>
      </c>
      <c r="W957" s="20">
        <f>IFERROR(IF([1]对账明细接口!$R957=0,"",[1]对账明细接口!$R957),"")</f>
      </c>
      <c r="X957" s="20">
        <f>IFERROR(IF([1]对账明细接口!$S957=0,"",[1]对账明细接口!$S957),"")</f>
      </c>
      <c r="Y957" s="20">
        <f>IFERROR(IF([1]对账明细接口!$T957=0,"",[1]对账明细接口!$T957),"")</f>
      </c>
      <c r="Z957" s="213">
        <f>IFERROR(IF([1]对账明细接口!$U957=0,"",[1]对账明细接口!$U957),"")</f>
      </c>
      <c r="AA957" s="213">
        <f>IFERROR(IF([1]对账明细接口!$V957=0,"",[1]对账明细接口!$V957),"")</f>
      </c>
      <c r="AB957" s="20">
        <f>IFERROR(IF([1]对账明细接口!$W957=0,"",[1]对账明细接口!$W957),"")</f>
      </c>
      <c r="AC957" s="7">
        <f>IFERROR(IF([1]对账明细接口!$X957=0,"",[1]对账明细接口!$X957),"")</f>
      </c>
      <c r="AD957" s="7">
        <f>IFERROR(IF([1]对账明细接口!$Y957=0,"",[1]对账明细接口!$Y957),"")</f>
      </c>
      <c r="AE957" s="7">
        <f>IFERROR(IF([1]对账明细接口!$AA957=0,"",[1]对账明细接口!$AA957),"")</f>
      </c>
      <c r="AF957" s="7">
        <f>IFERROR(IF([1]对账明细接口!$AB957=0,"",[1]对账明细接口!$AB957),"")</f>
      </c>
      <c r="AG957" s="7">
        <f>IFERROR(IF([1]对账明细接口!$AC957=0,"",[1]对账明细接口!$AC957),"")</f>
      </c>
      <c r="AH957" s="7">
        <f>IFERROR(IF([1]对账明细接口!$AD957=0,"",[1]对账明细接口!$AD957),"")</f>
      </c>
      <c r="AI957" s="7">
        <f>IFERROR(IF([1]对账明细接口!$AE957=0,"",[1]对账明细接口!$AE957),"")</f>
      </c>
      <c r="AJ957" s="7">
        <f>IFERROR(IF([1]对账明细接口!$AF957=0,"",[1]对账明细接口!$AF957),"")</f>
      </c>
    </row>
    <row r="958" ht="14.25" customHeight="1" s="127">
      <c r="A958" s="14" t="n">
        <v>958</v>
      </c>
      <c r="B958" s="211">
        <f>IFERROR(IF([1]对账明细接口!$B$958=0,"",[1]对账明细接口!$B$958),"")</f>
      </c>
      <c r="C958" s="16">
        <f>IFERROR(IF([1]对账明细接口!$C$958=0,"",[1]对账明细接口!$C$958),"")</f>
      </c>
      <c r="D958" s="16">
        <f>IFERROR(IF([1]对账明细接口!$D$958=0,"",[1]对账明细接口!$D$958),"")</f>
      </c>
      <c r="E958" s="16">
        <f>IFERROR(IF([1]对账明细接口!$E$958=0,"",[1]对账明细接口!$E$958),"")</f>
      </c>
      <c r="F958" s="16">
        <f>IFERROR(IF([1]对账明细接口!$F$958=0,"",[1]对账明细接口!$F$958),"")</f>
      </c>
      <c r="G958" s="16">
        <f>IFERROR(IF([1]对账明细接口!$G$958=0,"",[1]对账明细接口!$G$958),"")</f>
      </c>
      <c r="H958" s="176">
        <f>IFERROR(IF([1]对账明细接口!$H$958=0,"",[1]对账明细接口!$H$958),"")</f>
      </c>
      <c r="I958" s="16">
        <f>IFERROR(IF([1]对账明细接口!$I$958=0,"",[1]对账明细接口!$I$958),"")</f>
      </c>
      <c r="J958" s="177">
        <f>IFERROR(IF([1]对账明细接口!$J$958=0,"",[1]对账明细接口!$J$958),"")</f>
      </c>
      <c r="K958" s="177">
        <f>IFERROR(IF([1]对账明细接口!$K$958=0,"",[1]对账明细接口!$K$958),"")</f>
      </c>
      <c r="L958" s="16">
        <f>IFERROR(IF([1]对账明细接口!$L$958=0,"",[1]对账明细接口!$L$958),"")</f>
      </c>
      <c r="M958" s="16">
        <f>IFERROR(IF([1]对账明细接口!$M$958=0,"",[1]对账明细接口!$M$958),"")</f>
      </c>
      <c r="N958" s="19">
        <f>IF($C958="",0,1)</f>
        <v>0</v>
      </c>
      <c r="O958" s="19">
        <f>N(O957)+$N958</f>
        <v>637</v>
      </c>
      <c r="S958" s="20">
        <f>IFERROR(IF([1]对账明细接口!$N958=0,"",[1]对账明细接口!$N958),"")</f>
      </c>
      <c r="T958" s="212">
        <f>IFERROR(IF([1]对账明细接口!$O958=0,"",[1]对账明细接口!$O958),"")</f>
      </c>
      <c r="U958" s="212">
        <f>IFERROR(IF([1]对账明细接口!$P958=0,"",[1]对账明细接口!$P958),"")</f>
      </c>
      <c r="V958" s="212">
        <f>IFERROR(IF([1]对账明细接口!$Q958=0,"",[1]对账明细接口!$Q958),"")</f>
      </c>
      <c r="W958" s="20">
        <f>IFERROR(IF([1]对账明细接口!$R958=0,"",[1]对账明细接口!$R958),"")</f>
      </c>
      <c r="X958" s="20">
        <f>IFERROR(IF([1]对账明细接口!$S958=0,"",[1]对账明细接口!$S958),"")</f>
      </c>
      <c r="Y958" s="20">
        <f>IFERROR(IF([1]对账明细接口!$T958=0,"",[1]对账明细接口!$T958),"")</f>
      </c>
      <c r="Z958" s="213">
        <f>IFERROR(IF([1]对账明细接口!$U958=0,"",[1]对账明细接口!$U958),"")</f>
      </c>
      <c r="AA958" s="213">
        <f>IFERROR(IF([1]对账明细接口!$V958=0,"",[1]对账明细接口!$V958),"")</f>
      </c>
      <c r="AB958" s="20">
        <f>IFERROR(IF([1]对账明细接口!$W958=0,"",[1]对账明细接口!$W958),"")</f>
      </c>
      <c r="AC958" s="7">
        <f>IFERROR(IF([1]对账明细接口!$X958=0,"",[1]对账明细接口!$X958),"")</f>
      </c>
      <c r="AD958" s="7">
        <f>IFERROR(IF([1]对账明细接口!$Y958=0,"",[1]对账明细接口!$Y958),"")</f>
      </c>
      <c r="AE958" s="7">
        <f>IFERROR(IF([1]对账明细接口!$AA958=0,"",[1]对账明细接口!$AA958),"")</f>
      </c>
      <c r="AF958" s="7">
        <f>IFERROR(IF([1]对账明细接口!$AB958=0,"",[1]对账明细接口!$AB958),"")</f>
      </c>
      <c r="AG958" s="7">
        <f>IFERROR(IF([1]对账明细接口!$AC958=0,"",[1]对账明细接口!$AC958),"")</f>
      </c>
      <c r="AH958" s="7">
        <f>IFERROR(IF([1]对账明细接口!$AD958=0,"",[1]对账明细接口!$AD958),"")</f>
      </c>
      <c r="AI958" s="7">
        <f>IFERROR(IF([1]对账明细接口!$AE958=0,"",[1]对账明细接口!$AE958),"")</f>
      </c>
      <c r="AJ958" s="7">
        <f>IFERROR(IF([1]对账明细接口!$AF958=0,"",[1]对账明细接口!$AF958),"")</f>
      </c>
    </row>
    <row r="959" ht="14.25" customHeight="1" s="127">
      <c r="A959" s="14" t="n">
        <v>959</v>
      </c>
      <c r="B959" s="211">
        <f>IFERROR(IF([1]对账明细接口!$B$959=0,"",[1]对账明细接口!$B$959),"")</f>
      </c>
      <c r="C959" s="16">
        <f>IFERROR(IF([1]对账明细接口!$C$959=0,"",[1]对账明细接口!$C$959),"")</f>
      </c>
      <c r="D959" s="16">
        <f>IFERROR(IF([1]对账明细接口!$D$959=0,"",[1]对账明细接口!$D$959),"")</f>
      </c>
      <c r="E959" s="16">
        <f>IFERROR(IF([1]对账明细接口!$E$959=0,"",[1]对账明细接口!$E$959),"")</f>
      </c>
      <c r="F959" s="16">
        <f>IFERROR(IF([1]对账明细接口!$F$959=0,"",[1]对账明细接口!$F$959),"")</f>
      </c>
      <c r="G959" s="16">
        <f>IFERROR(IF([1]对账明细接口!$G$959=0,"",[1]对账明细接口!$G$959),"")</f>
      </c>
      <c r="H959" s="176">
        <f>IFERROR(IF([1]对账明细接口!$H$959=0,"",[1]对账明细接口!$H$959),"")</f>
      </c>
      <c r="I959" s="16">
        <f>IFERROR(IF([1]对账明细接口!$I$959=0,"",[1]对账明细接口!$I$959),"")</f>
      </c>
      <c r="J959" s="177">
        <f>IFERROR(IF([1]对账明细接口!$J$959=0,"",[1]对账明细接口!$J$959),"")</f>
      </c>
      <c r="K959" s="177">
        <f>IFERROR(IF([1]对账明细接口!$K$959=0,"",[1]对账明细接口!$K$959),"")</f>
      </c>
      <c r="L959" s="16">
        <f>IFERROR(IF([1]对账明细接口!$L$959=0,"",[1]对账明细接口!$L$959),"")</f>
      </c>
      <c r="M959" s="16">
        <f>IFERROR(IF([1]对账明细接口!$M$959=0,"",[1]对账明细接口!$M$959),"")</f>
      </c>
      <c r="N959" s="19">
        <f>IF($C959="",0,1)</f>
        <v>0</v>
      </c>
      <c r="O959" s="19">
        <f>N(O958)+$N959</f>
        <v>637</v>
      </c>
      <c r="S959" s="20">
        <f>IFERROR(IF([1]对账明细接口!$N959=0,"",[1]对账明细接口!$N959),"")</f>
      </c>
      <c r="T959" s="212">
        <f>IFERROR(IF([1]对账明细接口!$O959=0,"",[1]对账明细接口!$O959),"")</f>
      </c>
      <c r="U959" s="212">
        <f>IFERROR(IF([1]对账明细接口!$P959=0,"",[1]对账明细接口!$P959),"")</f>
      </c>
      <c r="V959" s="212">
        <f>IFERROR(IF([1]对账明细接口!$Q959=0,"",[1]对账明细接口!$Q959),"")</f>
      </c>
      <c r="W959" s="20">
        <f>IFERROR(IF([1]对账明细接口!$R959=0,"",[1]对账明细接口!$R959),"")</f>
      </c>
      <c r="X959" s="20">
        <f>IFERROR(IF([1]对账明细接口!$S959=0,"",[1]对账明细接口!$S959),"")</f>
      </c>
      <c r="Y959" s="20">
        <f>IFERROR(IF([1]对账明细接口!$T959=0,"",[1]对账明细接口!$T959),"")</f>
      </c>
      <c r="Z959" s="213">
        <f>IFERROR(IF([1]对账明细接口!$U959=0,"",[1]对账明细接口!$U959),"")</f>
      </c>
      <c r="AA959" s="213">
        <f>IFERROR(IF([1]对账明细接口!$V959=0,"",[1]对账明细接口!$V959),"")</f>
      </c>
      <c r="AB959" s="20">
        <f>IFERROR(IF([1]对账明细接口!$W959=0,"",[1]对账明细接口!$W959),"")</f>
      </c>
      <c r="AC959" s="7">
        <f>IFERROR(IF([1]对账明细接口!$X959=0,"",[1]对账明细接口!$X959),"")</f>
      </c>
      <c r="AD959" s="7">
        <f>IFERROR(IF([1]对账明细接口!$Y959=0,"",[1]对账明细接口!$Y959),"")</f>
      </c>
      <c r="AE959" s="7">
        <f>IFERROR(IF([1]对账明细接口!$AA959=0,"",[1]对账明细接口!$AA959),"")</f>
      </c>
      <c r="AF959" s="7">
        <f>IFERROR(IF([1]对账明细接口!$AB959=0,"",[1]对账明细接口!$AB959),"")</f>
      </c>
      <c r="AG959" s="7">
        <f>IFERROR(IF([1]对账明细接口!$AC959=0,"",[1]对账明细接口!$AC959),"")</f>
      </c>
      <c r="AH959" s="7">
        <f>IFERROR(IF([1]对账明细接口!$AD959=0,"",[1]对账明细接口!$AD959),"")</f>
      </c>
      <c r="AI959" s="7">
        <f>IFERROR(IF([1]对账明细接口!$AE959=0,"",[1]对账明细接口!$AE959),"")</f>
      </c>
      <c r="AJ959" s="7">
        <f>IFERROR(IF([1]对账明细接口!$AF959=0,"",[1]对账明细接口!$AF959),"")</f>
      </c>
    </row>
    <row r="960" ht="14.25" customHeight="1" s="127">
      <c r="A960" s="14" t="n">
        <v>960</v>
      </c>
      <c r="B960" s="211">
        <f>IFERROR(IF([1]对账明细接口!$B$960=0,"",[1]对账明细接口!$B$960),"")</f>
      </c>
      <c r="C960" s="16">
        <f>IFERROR(IF([1]对账明细接口!$C$960=0,"",[1]对账明细接口!$C$960),"")</f>
      </c>
      <c r="D960" s="16">
        <f>IFERROR(IF([1]对账明细接口!$D$960=0,"",[1]对账明细接口!$D$960),"")</f>
      </c>
      <c r="E960" s="16">
        <f>IFERROR(IF([1]对账明细接口!$E$960=0,"",[1]对账明细接口!$E$960),"")</f>
      </c>
      <c r="F960" s="16">
        <f>IFERROR(IF([1]对账明细接口!$F$960=0,"",[1]对账明细接口!$F$960),"")</f>
      </c>
      <c r="G960" s="16">
        <f>IFERROR(IF([1]对账明细接口!$G$960=0,"",[1]对账明细接口!$G$960),"")</f>
      </c>
      <c r="H960" s="176">
        <f>IFERROR(IF([1]对账明细接口!$H$960=0,"",[1]对账明细接口!$H$960),"")</f>
      </c>
      <c r="I960" s="16">
        <f>IFERROR(IF([1]对账明细接口!$I$960=0,"",[1]对账明细接口!$I$960),"")</f>
      </c>
      <c r="J960" s="177">
        <f>IFERROR(IF([1]对账明细接口!$J$960=0,"",[1]对账明细接口!$J$960),"")</f>
      </c>
      <c r="K960" s="177">
        <f>IFERROR(IF([1]对账明细接口!$K$960=0,"",[1]对账明细接口!$K$960),"")</f>
      </c>
      <c r="L960" s="16">
        <f>IFERROR(IF([1]对账明细接口!$L$960=0,"",[1]对账明细接口!$L$960),"")</f>
      </c>
      <c r="M960" s="16">
        <f>IFERROR(IF([1]对账明细接口!$M$960=0,"",[1]对账明细接口!$M$960),"")</f>
      </c>
      <c r="N960" s="19">
        <f>IF($C960="",0,1)</f>
        <v>0</v>
      </c>
      <c r="O960" s="19">
        <f>N(O959)+$N960</f>
        <v>637</v>
      </c>
      <c r="S960" s="20">
        <f>IFERROR(IF([1]对账明细接口!$N960=0,"",[1]对账明细接口!$N960),"")</f>
      </c>
      <c r="T960" s="212">
        <f>IFERROR(IF([1]对账明细接口!$O960=0,"",[1]对账明细接口!$O960),"")</f>
      </c>
      <c r="U960" s="212">
        <f>IFERROR(IF([1]对账明细接口!$P960=0,"",[1]对账明细接口!$P960),"")</f>
      </c>
      <c r="V960" s="212">
        <f>IFERROR(IF([1]对账明细接口!$Q960=0,"",[1]对账明细接口!$Q960),"")</f>
      </c>
      <c r="W960" s="20">
        <f>IFERROR(IF([1]对账明细接口!$R960=0,"",[1]对账明细接口!$R960),"")</f>
      </c>
      <c r="X960" s="20">
        <f>IFERROR(IF([1]对账明细接口!$S960=0,"",[1]对账明细接口!$S960),"")</f>
      </c>
      <c r="Y960" s="20">
        <f>IFERROR(IF([1]对账明细接口!$T960=0,"",[1]对账明细接口!$T960),"")</f>
      </c>
      <c r="Z960" s="213">
        <f>IFERROR(IF([1]对账明细接口!$U960=0,"",[1]对账明细接口!$U960),"")</f>
      </c>
      <c r="AA960" s="213">
        <f>IFERROR(IF([1]对账明细接口!$V960=0,"",[1]对账明细接口!$V960),"")</f>
      </c>
      <c r="AB960" s="20">
        <f>IFERROR(IF([1]对账明细接口!$W960=0,"",[1]对账明细接口!$W960),"")</f>
      </c>
      <c r="AC960" s="7">
        <f>IFERROR(IF([1]对账明细接口!$X960=0,"",[1]对账明细接口!$X960),"")</f>
      </c>
      <c r="AD960" s="7">
        <f>IFERROR(IF([1]对账明细接口!$Y960=0,"",[1]对账明细接口!$Y960),"")</f>
      </c>
      <c r="AE960" s="7">
        <f>IFERROR(IF([1]对账明细接口!$AA960=0,"",[1]对账明细接口!$AA960),"")</f>
      </c>
      <c r="AF960" s="7">
        <f>IFERROR(IF([1]对账明细接口!$AB960=0,"",[1]对账明细接口!$AB960),"")</f>
      </c>
      <c r="AG960" s="7">
        <f>IFERROR(IF([1]对账明细接口!$AC960=0,"",[1]对账明细接口!$AC960),"")</f>
      </c>
      <c r="AH960" s="7">
        <f>IFERROR(IF([1]对账明细接口!$AD960=0,"",[1]对账明细接口!$AD960),"")</f>
      </c>
      <c r="AI960" s="7">
        <f>IFERROR(IF([1]对账明细接口!$AE960=0,"",[1]对账明细接口!$AE960),"")</f>
      </c>
      <c r="AJ960" s="7">
        <f>IFERROR(IF([1]对账明细接口!$AF960=0,"",[1]对账明细接口!$AF960),"")</f>
      </c>
    </row>
    <row r="961" ht="14.25" customHeight="1" s="127">
      <c r="A961" s="14" t="n">
        <v>961</v>
      </c>
      <c r="B961" s="211">
        <f>IFERROR(IF([1]对账明细接口!$B$961=0,"",[1]对账明细接口!$B$961),"")</f>
      </c>
      <c r="C961" s="16">
        <f>IFERROR(IF([1]对账明细接口!$C$961=0,"",[1]对账明细接口!$C$961),"")</f>
      </c>
      <c r="D961" s="16">
        <f>IFERROR(IF([1]对账明细接口!$D$961=0,"",[1]对账明细接口!$D$961),"")</f>
      </c>
      <c r="E961" s="16">
        <f>IFERROR(IF([1]对账明细接口!$E$961=0,"",[1]对账明细接口!$E$961),"")</f>
      </c>
      <c r="F961" s="16">
        <f>IFERROR(IF([1]对账明细接口!$F$961=0,"",[1]对账明细接口!$F$961),"")</f>
      </c>
      <c r="G961" s="16">
        <f>IFERROR(IF([1]对账明细接口!$G$961=0,"",[1]对账明细接口!$G$961),"")</f>
      </c>
      <c r="H961" s="176">
        <f>IFERROR(IF([1]对账明细接口!$H$961=0,"",[1]对账明细接口!$H$961),"")</f>
      </c>
      <c r="I961" s="16">
        <f>IFERROR(IF([1]对账明细接口!$I$961=0,"",[1]对账明细接口!$I$961),"")</f>
      </c>
      <c r="J961" s="177">
        <f>IFERROR(IF([1]对账明细接口!$J$961=0,"",[1]对账明细接口!$J$961),"")</f>
      </c>
      <c r="K961" s="177">
        <f>IFERROR(IF([1]对账明细接口!$K$961=0,"",[1]对账明细接口!$K$961),"")</f>
      </c>
      <c r="L961" s="16">
        <f>IFERROR(IF([1]对账明细接口!$L$961=0,"",[1]对账明细接口!$L$961),"")</f>
      </c>
      <c r="M961" s="16">
        <f>IFERROR(IF([1]对账明细接口!$M$961=0,"",[1]对账明细接口!$M$961),"")</f>
      </c>
      <c r="N961" s="19">
        <f>IF($C961="",0,1)</f>
        <v>0</v>
      </c>
      <c r="O961" s="19">
        <f>N(O960)+$N961</f>
        <v>637</v>
      </c>
      <c r="S961" s="20">
        <f>IFERROR(IF([1]对账明细接口!$N961=0,"",[1]对账明细接口!$N961),"")</f>
      </c>
      <c r="T961" s="212">
        <f>IFERROR(IF([1]对账明细接口!$O961=0,"",[1]对账明细接口!$O961),"")</f>
      </c>
      <c r="U961" s="212">
        <f>IFERROR(IF([1]对账明细接口!$P961=0,"",[1]对账明细接口!$P961),"")</f>
      </c>
      <c r="V961" s="212">
        <f>IFERROR(IF([1]对账明细接口!$Q961=0,"",[1]对账明细接口!$Q961),"")</f>
      </c>
      <c r="W961" s="20">
        <f>IFERROR(IF([1]对账明细接口!$R961=0,"",[1]对账明细接口!$R961),"")</f>
      </c>
      <c r="X961" s="20">
        <f>IFERROR(IF([1]对账明细接口!$S961=0,"",[1]对账明细接口!$S961),"")</f>
      </c>
      <c r="Y961" s="20">
        <f>IFERROR(IF([1]对账明细接口!$T961=0,"",[1]对账明细接口!$T961),"")</f>
      </c>
      <c r="Z961" s="213">
        <f>IFERROR(IF([1]对账明细接口!$U961=0,"",[1]对账明细接口!$U961),"")</f>
      </c>
      <c r="AA961" s="213">
        <f>IFERROR(IF([1]对账明细接口!$V961=0,"",[1]对账明细接口!$V961),"")</f>
      </c>
      <c r="AB961" s="20">
        <f>IFERROR(IF([1]对账明细接口!$W961=0,"",[1]对账明细接口!$W961),"")</f>
      </c>
      <c r="AC961" s="7">
        <f>IFERROR(IF([1]对账明细接口!$X961=0,"",[1]对账明细接口!$X961),"")</f>
      </c>
      <c r="AD961" s="7">
        <f>IFERROR(IF([1]对账明细接口!$Y961=0,"",[1]对账明细接口!$Y961),"")</f>
      </c>
      <c r="AE961" s="7">
        <f>IFERROR(IF([1]对账明细接口!$AA961=0,"",[1]对账明细接口!$AA961),"")</f>
      </c>
      <c r="AF961" s="7">
        <f>IFERROR(IF([1]对账明细接口!$AB961=0,"",[1]对账明细接口!$AB961),"")</f>
      </c>
      <c r="AG961" s="7">
        <f>IFERROR(IF([1]对账明细接口!$AC961=0,"",[1]对账明细接口!$AC961),"")</f>
      </c>
      <c r="AH961" s="7">
        <f>IFERROR(IF([1]对账明细接口!$AD961=0,"",[1]对账明细接口!$AD961),"")</f>
      </c>
      <c r="AI961" s="7">
        <f>IFERROR(IF([1]对账明细接口!$AE961=0,"",[1]对账明细接口!$AE961),"")</f>
      </c>
      <c r="AJ961" s="7">
        <f>IFERROR(IF([1]对账明细接口!$AF961=0,"",[1]对账明细接口!$AF961),"")</f>
      </c>
    </row>
    <row r="962" ht="14.25" customHeight="1" s="127">
      <c r="A962" s="14" t="n">
        <v>962</v>
      </c>
      <c r="B962" s="211">
        <f>IFERROR(IF([1]对账明细接口!$B$962=0,"",[1]对账明细接口!$B$962),"")</f>
      </c>
      <c r="C962" s="16">
        <f>IFERROR(IF([1]对账明细接口!$C$962=0,"",[1]对账明细接口!$C$962),"")</f>
      </c>
      <c r="D962" s="16">
        <f>IFERROR(IF([1]对账明细接口!$D$962=0,"",[1]对账明细接口!$D$962),"")</f>
      </c>
      <c r="E962" s="16">
        <f>IFERROR(IF([1]对账明细接口!$E$962=0,"",[1]对账明细接口!$E$962),"")</f>
      </c>
      <c r="F962" s="16">
        <f>IFERROR(IF([1]对账明细接口!$F$962=0,"",[1]对账明细接口!$F$962),"")</f>
      </c>
      <c r="G962" s="16">
        <f>IFERROR(IF([1]对账明细接口!$G$962=0,"",[1]对账明细接口!$G$962),"")</f>
      </c>
      <c r="H962" s="176">
        <f>IFERROR(IF([1]对账明细接口!$H$962=0,"",[1]对账明细接口!$H$962),"")</f>
      </c>
      <c r="I962" s="16">
        <f>IFERROR(IF([1]对账明细接口!$I$962=0,"",[1]对账明细接口!$I$962),"")</f>
      </c>
      <c r="J962" s="177">
        <f>IFERROR(IF([1]对账明细接口!$J$962=0,"",[1]对账明细接口!$J$962),"")</f>
      </c>
      <c r="K962" s="177">
        <f>IFERROR(IF([1]对账明细接口!$K$962=0,"",[1]对账明细接口!$K$962),"")</f>
      </c>
      <c r="L962" s="16">
        <f>IFERROR(IF([1]对账明细接口!$L$962=0,"",[1]对账明细接口!$L$962),"")</f>
      </c>
      <c r="M962" s="16">
        <f>IFERROR(IF([1]对账明细接口!$M$962=0,"",[1]对账明细接口!$M$962),"")</f>
      </c>
      <c r="N962" s="19">
        <f>IF($C962="",0,1)</f>
        <v>0</v>
      </c>
      <c r="O962" s="19">
        <f>N(O961)+$N962</f>
        <v>637</v>
      </c>
      <c r="S962" s="20">
        <f>IFERROR(IF([1]对账明细接口!$N962=0,"",[1]对账明细接口!$N962),"")</f>
      </c>
      <c r="T962" s="212">
        <f>IFERROR(IF([1]对账明细接口!$O962=0,"",[1]对账明细接口!$O962),"")</f>
      </c>
      <c r="U962" s="212">
        <f>IFERROR(IF([1]对账明细接口!$P962=0,"",[1]对账明细接口!$P962),"")</f>
      </c>
      <c r="V962" s="212">
        <f>IFERROR(IF([1]对账明细接口!$Q962=0,"",[1]对账明细接口!$Q962),"")</f>
      </c>
      <c r="W962" s="20">
        <f>IFERROR(IF([1]对账明细接口!$R962=0,"",[1]对账明细接口!$R962),"")</f>
      </c>
      <c r="X962" s="20">
        <f>IFERROR(IF([1]对账明细接口!$S962=0,"",[1]对账明细接口!$S962),"")</f>
      </c>
      <c r="Y962" s="20">
        <f>IFERROR(IF([1]对账明细接口!$T962=0,"",[1]对账明细接口!$T962),"")</f>
      </c>
      <c r="Z962" s="213">
        <f>IFERROR(IF([1]对账明细接口!$U962=0,"",[1]对账明细接口!$U962),"")</f>
      </c>
      <c r="AA962" s="213">
        <f>IFERROR(IF([1]对账明细接口!$V962=0,"",[1]对账明细接口!$V962),"")</f>
      </c>
      <c r="AB962" s="20">
        <f>IFERROR(IF([1]对账明细接口!$W962=0,"",[1]对账明细接口!$W962),"")</f>
      </c>
      <c r="AC962" s="7">
        <f>IFERROR(IF([1]对账明细接口!$X962=0,"",[1]对账明细接口!$X962),"")</f>
      </c>
      <c r="AD962" s="7">
        <f>IFERROR(IF([1]对账明细接口!$Y962=0,"",[1]对账明细接口!$Y962),"")</f>
      </c>
      <c r="AE962" s="7">
        <f>IFERROR(IF([1]对账明细接口!$AA962=0,"",[1]对账明细接口!$AA962),"")</f>
      </c>
      <c r="AF962" s="7">
        <f>IFERROR(IF([1]对账明细接口!$AB962=0,"",[1]对账明细接口!$AB962),"")</f>
      </c>
      <c r="AG962" s="7">
        <f>IFERROR(IF([1]对账明细接口!$AC962=0,"",[1]对账明细接口!$AC962),"")</f>
      </c>
      <c r="AH962" s="7">
        <f>IFERROR(IF([1]对账明细接口!$AD962=0,"",[1]对账明细接口!$AD962),"")</f>
      </c>
      <c r="AI962" s="7">
        <f>IFERROR(IF([1]对账明细接口!$AE962=0,"",[1]对账明细接口!$AE962),"")</f>
      </c>
      <c r="AJ962" s="7">
        <f>IFERROR(IF([1]对账明细接口!$AF962=0,"",[1]对账明细接口!$AF962),"")</f>
      </c>
    </row>
    <row r="963" ht="14.25" customHeight="1" s="127">
      <c r="A963" s="14" t="n">
        <v>963</v>
      </c>
      <c r="B963" s="211">
        <f>IFERROR(IF([1]对账明细接口!$B$963=0,"",[1]对账明细接口!$B$963),"")</f>
      </c>
      <c r="C963" s="16">
        <f>IFERROR(IF([1]对账明细接口!$C$963=0,"",[1]对账明细接口!$C$963),"")</f>
      </c>
      <c r="D963" s="16">
        <f>IFERROR(IF([1]对账明细接口!$D$963=0,"",[1]对账明细接口!$D$963),"")</f>
      </c>
      <c r="E963" s="16">
        <f>IFERROR(IF([1]对账明细接口!$E$963=0,"",[1]对账明细接口!$E$963),"")</f>
      </c>
      <c r="F963" s="16">
        <f>IFERROR(IF([1]对账明细接口!$F$963=0,"",[1]对账明细接口!$F$963),"")</f>
      </c>
      <c r="G963" s="16">
        <f>IFERROR(IF([1]对账明细接口!$G$963=0,"",[1]对账明细接口!$G$963),"")</f>
      </c>
      <c r="H963" s="176">
        <f>IFERROR(IF([1]对账明细接口!$H$963=0,"",[1]对账明细接口!$H$963),"")</f>
      </c>
      <c r="I963" s="16">
        <f>IFERROR(IF([1]对账明细接口!$I$963=0,"",[1]对账明细接口!$I$963),"")</f>
      </c>
      <c r="J963" s="177">
        <f>IFERROR(IF([1]对账明细接口!$J$963=0,"",[1]对账明细接口!$J$963),"")</f>
      </c>
      <c r="K963" s="177">
        <f>IFERROR(IF([1]对账明细接口!$K$963=0,"",[1]对账明细接口!$K$963),"")</f>
      </c>
      <c r="L963" s="16">
        <f>IFERROR(IF([1]对账明细接口!$L$963=0,"",[1]对账明细接口!$L$963),"")</f>
      </c>
      <c r="M963" s="16">
        <f>IFERROR(IF([1]对账明细接口!$M$963=0,"",[1]对账明细接口!$M$963),"")</f>
      </c>
      <c r="N963" s="19">
        <f>IF($C963="",0,1)</f>
        <v>0</v>
      </c>
      <c r="O963" s="19">
        <f>N(O962)+$N963</f>
        <v>637</v>
      </c>
      <c r="S963" s="20">
        <f>IFERROR(IF([1]对账明细接口!$N963=0,"",[1]对账明细接口!$N963),"")</f>
      </c>
      <c r="T963" s="212">
        <f>IFERROR(IF([1]对账明细接口!$O963=0,"",[1]对账明细接口!$O963),"")</f>
      </c>
      <c r="U963" s="212">
        <f>IFERROR(IF([1]对账明细接口!$P963=0,"",[1]对账明细接口!$P963),"")</f>
      </c>
      <c r="V963" s="212">
        <f>IFERROR(IF([1]对账明细接口!$Q963=0,"",[1]对账明细接口!$Q963),"")</f>
      </c>
      <c r="W963" s="20">
        <f>IFERROR(IF([1]对账明细接口!$R963=0,"",[1]对账明细接口!$R963),"")</f>
      </c>
      <c r="X963" s="20">
        <f>IFERROR(IF([1]对账明细接口!$S963=0,"",[1]对账明细接口!$S963),"")</f>
      </c>
      <c r="Y963" s="20">
        <f>IFERROR(IF([1]对账明细接口!$T963=0,"",[1]对账明细接口!$T963),"")</f>
      </c>
      <c r="Z963" s="213">
        <f>IFERROR(IF([1]对账明细接口!$U963=0,"",[1]对账明细接口!$U963),"")</f>
      </c>
      <c r="AA963" s="213">
        <f>IFERROR(IF([1]对账明细接口!$V963=0,"",[1]对账明细接口!$V963),"")</f>
      </c>
      <c r="AB963" s="20">
        <f>IFERROR(IF([1]对账明细接口!$W963=0,"",[1]对账明细接口!$W963),"")</f>
      </c>
      <c r="AC963" s="7">
        <f>IFERROR(IF([1]对账明细接口!$X963=0,"",[1]对账明细接口!$X963),"")</f>
      </c>
      <c r="AD963" s="7">
        <f>IFERROR(IF([1]对账明细接口!$Y963=0,"",[1]对账明细接口!$Y963),"")</f>
      </c>
      <c r="AE963" s="7">
        <f>IFERROR(IF([1]对账明细接口!$AA963=0,"",[1]对账明细接口!$AA963),"")</f>
      </c>
      <c r="AF963" s="7">
        <f>IFERROR(IF([1]对账明细接口!$AB963=0,"",[1]对账明细接口!$AB963),"")</f>
      </c>
      <c r="AG963" s="7">
        <f>IFERROR(IF([1]对账明细接口!$AC963=0,"",[1]对账明细接口!$AC963),"")</f>
      </c>
      <c r="AH963" s="7">
        <f>IFERROR(IF([1]对账明细接口!$AD963=0,"",[1]对账明细接口!$AD963),"")</f>
      </c>
      <c r="AI963" s="7">
        <f>IFERROR(IF([1]对账明细接口!$AE963=0,"",[1]对账明细接口!$AE963),"")</f>
      </c>
      <c r="AJ963" s="7">
        <f>IFERROR(IF([1]对账明细接口!$AF963=0,"",[1]对账明细接口!$AF963),"")</f>
      </c>
    </row>
    <row r="964" ht="14.25" customHeight="1" s="127">
      <c r="A964" s="14" t="n">
        <v>964</v>
      </c>
      <c r="B964" s="211">
        <f>IFERROR(IF([1]对账明细接口!$B$964=0,"",[1]对账明细接口!$B$964),"")</f>
      </c>
      <c r="C964" s="16">
        <f>IFERROR(IF([1]对账明细接口!$C$964=0,"",[1]对账明细接口!$C$964),"")</f>
      </c>
      <c r="D964" s="16">
        <f>IFERROR(IF([1]对账明细接口!$D$964=0,"",[1]对账明细接口!$D$964),"")</f>
      </c>
      <c r="E964" s="16">
        <f>IFERROR(IF([1]对账明细接口!$E$964=0,"",[1]对账明细接口!$E$964),"")</f>
      </c>
      <c r="F964" s="16">
        <f>IFERROR(IF([1]对账明细接口!$F$964=0,"",[1]对账明细接口!$F$964),"")</f>
      </c>
      <c r="G964" s="16">
        <f>IFERROR(IF([1]对账明细接口!$G$964=0,"",[1]对账明细接口!$G$964),"")</f>
      </c>
      <c r="H964" s="176">
        <f>IFERROR(IF([1]对账明细接口!$H$964=0,"",[1]对账明细接口!$H$964),"")</f>
      </c>
      <c r="I964" s="16">
        <f>IFERROR(IF([1]对账明细接口!$I$964=0,"",[1]对账明细接口!$I$964),"")</f>
      </c>
      <c r="J964" s="177">
        <f>IFERROR(IF([1]对账明细接口!$J$964=0,"",[1]对账明细接口!$J$964),"")</f>
      </c>
      <c r="K964" s="177">
        <f>IFERROR(IF([1]对账明细接口!$K$964=0,"",[1]对账明细接口!$K$964),"")</f>
      </c>
      <c r="L964" s="16">
        <f>IFERROR(IF([1]对账明细接口!$L$964=0,"",[1]对账明细接口!$L$964),"")</f>
      </c>
      <c r="M964" s="16">
        <f>IFERROR(IF([1]对账明细接口!$M$964=0,"",[1]对账明细接口!$M$964),"")</f>
      </c>
      <c r="N964" s="19">
        <f>IF($C964="",0,1)</f>
        <v>0</v>
      </c>
      <c r="O964" s="19">
        <f>N(O963)+$N964</f>
        <v>637</v>
      </c>
      <c r="S964" s="20">
        <f>IFERROR(IF([1]对账明细接口!$N964=0,"",[1]对账明细接口!$N964),"")</f>
      </c>
      <c r="T964" s="212">
        <f>IFERROR(IF([1]对账明细接口!$O964=0,"",[1]对账明细接口!$O964),"")</f>
      </c>
      <c r="U964" s="212">
        <f>IFERROR(IF([1]对账明细接口!$P964=0,"",[1]对账明细接口!$P964),"")</f>
      </c>
      <c r="V964" s="212">
        <f>IFERROR(IF([1]对账明细接口!$Q964=0,"",[1]对账明细接口!$Q964),"")</f>
      </c>
      <c r="W964" s="20">
        <f>IFERROR(IF([1]对账明细接口!$R964=0,"",[1]对账明细接口!$R964),"")</f>
      </c>
      <c r="X964" s="20">
        <f>IFERROR(IF([1]对账明细接口!$S964=0,"",[1]对账明细接口!$S964),"")</f>
      </c>
      <c r="Y964" s="20">
        <f>IFERROR(IF([1]对账明细接口!$T964=0,"",[1]对账明细接口!$T964),"")</f>
      </c>
      <c r="Z964" s="213">
        <f>IFERROR(IF([1]对账明细接口!$U964=0,"",[1]对账明细接口!$U964),"")</f>
      </c>
      <c r="AA964" s="213">
        <f>IFERROR(IF([1]对账明细接口!$V964=0,"",[1]对账明细接口!$V964),"")</f>
      </c>
      <c r="AB964" s="20">
        <f>IFERROR(IF([1]对账明细接口!$W964=0,"",[1]对账明细接口!$W964),"")</f>
      </c>
      <c r="AC964" s="7">
        <f>IFERROR(IF([1]对账明细接口!$X964=0,"",[1]对账明细接口!$X964),"")</f>
      </c>
      <c r="AD964" s="7">
        <f>IFERROR(IF([1]对账明细接口!$Y964=0,"",[1]对账明细接口!$Y964),"")</f>
      </c>
      <c r="AE964" s="7">
        <f>IFERROR(IF([1]对账明细接口!$AA964=0,"",[1]对账明细接口!$AA964),"")</f>
      </c>
      <c r="AF964" s="7">
        <f>IFERROR(IF([1]对账明细接口!$AB964=0,"",[1]对账明细接口!$AB964),"")</f>
      </c>
      <c r="AG964" s="7">
        <f>IFERROR(IF([1]对账明细接口!$AC964=0,"",[1]对账明细接口!$AC964),"")</f>
      </c>
      <c r="AH964" s="7">
        <f>IFERROR(IF([1]对账明细接口!$AD964=0,"",[1]对账明细接口!$AD964),"")</f>
      </c>
      <c r="AI964" s="7">
        <f>IFERROR(IF([1]对账明细接口!$AE964=0,"",[1]对账明细接口!$AE964),"")</f>
      </c>
      <c r="AJ964" s="7">
        <f>IFERROR(IF([1]对账明细接口!$AF964=0,"",[1]对账明细接口!$AF964),"")</f>
      </c>
    </row>
    <row r="965" ht="14.25" customHeight="1" s="127">
      <c r="A965" s="14" t="n">
        <v>965</v>
      </c>
      <c r="B965" s="211">
        <f>IFERROR(IF([1]对账明细接口!$B$965=0,"",[1]对账明细接口!$B$965),"")</f>
      </c>
      <c r="C965" s="16">
        <f>IFERROR(IF([1]对账明细接口!$C$965=0,"",[1]对账明细接口!$C$965),"")</f>
      </c>
      <c r="D965" s="16">
        <f>IFERROR(IF([1]对账明细接口!$D$965=0,"",[1]对账明细接口!$D$965),"")</f>
      </c>
      <c r="E965" s="16">
        <f>IFERROR(IF([1]对账明细接口!$E$965=0,"",[1]对账明细接口!$E$965),"")</f>
      </c>
      <c r="F965" s="16">
        <f>IFERROR(IF([1]对账明细接口!$F$965=0,"",[1]对账明细接口!$F$965),"")</f>
      </c>
      <c r="G965" s="16">
        <f>IFERROR(IF([1]对账明细接口!$G$965=0,"",[1]对账明细接口!$G$965),"")</f>
      </c>
      <c r="H965" s="176">
        <f>IFERROR(IF([1]对账明细接口!$H$965=0,"",[1]对账明细接口!$H$965),"")</f>
      </c>
      <c r="I965" s="16">
        <f>IFERROR(IF([1]对账明细接口!$I$965=0,"",[1]对账明细接口!$I$965),"")</f>
      </c>
      <c r="J965" s="177">
        <f>IFERROR(IF([1]对账明细接口!$J$965=0,"",[1]对账明细接口!$J$965),"")</f>
      </c>
      <c r="K965" s="177">
        <f>IFERROR(IF([1]对账明细接口!$K$965=0,"",[1]对账明细接口!$K$965),"")</f>
      </c>
      <c r="L965" s="16">
        <f>IFERROR(IF([1]对账明细接口!$L$965=0,"",[1]对账明细接口!$L$965),"")</f>
      </c>
      <c r="M965" s="16">
        <f>IFERROR(IF([1]对账明细接口!$M$965=0,"",[1]对账明细接口!$M$965),"")</f>
      </c>
      <c r="N965" s="19">
        <f>IF($C965="",0,1)</f>
        <v>0</v>
      </c>
      <c r="O965" s="19">
        <f>N(O964)+$N965</f>
        <v>637</v>
      </c>
      <c r="S965" s="20">
        <f>IFERROR(IF([1]对账明细接口!$N965=0,"",[1]对账明细接口!$N965),"")</f>
      </c>
      <c r="T965" s="212">
        <f>IFERROR(IF([1]对账明细接口!$O965=0,"",[1]对账明细接口!$O965),"")</f>
      </c>
      <c r="U965" s="212">
        <f>IFERROR(IF([1]对账明细接口!$P965=0,"",[1]对账明细接口!$P965),"")</f>
      </c>
      <c r="V965" s="212">
        <f>IFERROR(IF([1]对账明细接口!$Q965=0,"",[1]对账明细接口!$Q965),"")</f>
      </c>
      <c r="W965" s="20">
        <f>IFERROR(IF([1]对账明细接口!$R965=0,"",[1]对账明细接口!$R965),"")</f>
      </c>
      <c r="X965" s="20">
        <f>IFERROR(IF([1]对账明细接口!$S965=0,"",[1]对账明细接口!$S965),"")</f>
      </c>
      <c r="Y965" s="20">
        <f>IFERROR(IF([1]对账明细接口!$T965=0,"",[1]对账明细接口!$T965),"")</f>
      </c>
      <c r="Z965" s="213">
        <f>IFERROR(IF([1]对账明细接口!$U965=0,"",[1]对账明细接口!$U965),"")</f>
      </c>
      <c r="AA965" s="213">
        <f>IFERROR(IF([1]对账明细接口!$V965=0,"",[1]对账明细接口!$V965),"")</f>
      </c>
      <c r="AB965" s="20">
        <f>IFERROR(IF([1]对账明细接口!$W965=0,"",[1]对账明细接口!$W965),"")</f>
      </c>
      <c r="AC965" s="7">
        <f>IFERROR(IF([1]对账明细接口!$X965=0,"",[1]对账明细接口!$X965),"")</f>
      </c>
      <c r="AD965" s="7">
        <f>IFERROR(IF([1]对账明细接口!$Y965=0,"",[1]对账明细接口!$Y965),"")</f>
      </c>
      <c r="AE965" s="7">
        <f>IFERROR(IF([1]对账明细接口!$AA965=0,"",[1]对账明细接口!$AA965),"")</f>
      </c>
      <c r="AF965" s="7">
        <f>IFERROR(IF([1]对账明细接口!$AB965=0,"",[1]对账明细接口!$AB965),"")</f>
      </c>
      <c r="AG965" s="7">
        <f>IFERROR(IF([1]对账明细接口!$AC965=0,"",[1]对账明细接口!$AC965),"")</f>
      </c>
      <c r="AH965" s="7">
        <f>IFERROR(IF([1]对账明细接口!$AD965=0,"",[1]对账明细接口!$AD965),"")</f>
      </c>
      <c r="AI965" s="7">
        <f>IFERROR(IF([1]对账明细接口!$AE965=0,"",[1]对账明细接口!$AE965),"")</f>
      </c>
      <c r="AJ965" s="7">
        <f>IFERROR(IF([1]对账明细接口!$AF965=0,"",[1]对账明细接口!$AF965),"")</f>
      </c>
    </row>
    <row r="966" ht="14.25" customHeight="1" s="127">
      <c r="A966" s="14" t="n">
        <v>966</v>
      </c>
      <c r="B966" s="211">
        <f>IFERROR(IF([1]对账明细接口!$B$966=0,"",[1]对账明细接口!$B$966),"")</f>
      </c>
      <c r="C966" s="16">
        <f>IFERROR(IF([1]对账明细接口!$C$966=0,"",[1]对账明细接口!$C$966),"")</f>
      </c>
      <c r="D966" s="16">
        <f>IFERROR(IF([1]对账明细接口!$D$966=0,"",[1]对账明细接口!$D$966),"")</f>
      </c>
      <c r="E966" s="16">
        <f>IFERROR(IF([1]对账明细接口!$E$966=0,"",[1]对账明细接口!$E$966),"")</f>
      </c>
      <c r="F966" s="16">
        <f>IFERROR(IF([1]对账明细接口!$F$966=0,"",[1]对账明细接口!$F$966),"")</f>
      </c>
      <c r="G966" s="16">
        <f>IFERROR(IF([1]对账明细接口!$G$966=0,"",[1]对账明细接口!$G$966),"")</f>
      </c>
      <c r="H966" s="176">
        <f>IFERROR(IF([1]对账明细接口!$H$966=0,"",[1]对账明细接口!$H$966),"")</f>
      </c>
      <c r="I966" s="16">
        <f>IFERROR(IF([1]对账明细接口!$I$966=0,"",[1]对账明细接口!$I$966),"")</f>
      </c>
      <c r="J966" s="177">
        <f>IFERROR(IF([1]对账明细接口!$J$966=0,"",[1]对账明细接口!$J$966),"")</f>
      </c>
      <c r="K966" s="177">
        <f>IFERROR(IF([1]对账明细接口!$K$966=0,"",[1]对账明细接口!$K$966),"")</f>
      </c>
      <c r="L966" s="16">
        <f>IFERROR(IF([1]对账明细接口!$L$966=0,"",[1]对账明细接口!$L$966),"")</f>
      </c>
      <c r="M966" s="16">
        <f>IFERROR(IF([1]对账明细接口!$M$966=0,"",[1]对账明细接口!$M$966),"")</f>
      </c>
      <c r="N966" s="19">
        <f>IF($C966="",0,1)</f>
        <v>0</v>
      </c>
      <c r="O966" s="19">
        <f>N(O965)+$N966</f>
        <v>637</v>
      </c>
      <c r="S966" s="20">
        <f>IFERROR(IF([1]对账明细接口!$N966=0,"",[1]对账明细接口!$N966),"")</f>
      </c>
      <c r="T966" s="212">
        <f>IFERROR(IF([1]对账明细接口!$O966=0,"",[1]对账明细接口!$O966),"")</f>
      </c>
      <c r="U966" s="212">
        <f>IFERROR(IF([1]对账明细接口!$P966=0,"",[1]对账明细接口!$P966),"")</f>
      </c>
      <c r="V966" s="212">
        <f>IFERROR(IF([1]对账明细接口!$Q966=0,"",[1]对账明细接口!$Q966),"")</f>
      </c>
      <c r="W966" s="20">
        <f>IFERROR(IF([1]对账明细接口!$R966=0,"",[1]对账明细接口!$R966),"")</f>
      </c>
      <c r="X966" s="20">
        <f>IFERROR(IF([1]对账明细接口!$S966=0,"",[1]对账明细接口!$S966),"")</f>
      </c>
      <c r="Y966" s="20">
        <f>IFERROR(IF([1]对账明细接口!$T966=0,"",[1]对账明细接口!$T966),"")</f>
      </c>
      <c r="Z966" s="213">
        <f>IFERROR(IF([1]对账明细接口!$U966=0,"",[1]对账明细接口!$U966),"")</f>
      </c>
      <c r="AA966" s="213">
        <f>IFERROR(IF([1]对账明细接口!$V966=0,"",[1]对账明细接口!$V966),"")</f>
      </c>
      <c r="AB966" s="20">
        <f>IFERROR(IF([1]对账明细接口!$W966=0,"",[1]对账明细接口!$W966),"")</f>
      </c>
      <c r="AC966" s="7">
        <f>IFERROR(IF([1]对账明细接口!$X966=0,"",[1]对账明细接口!$X966),"")</f>
      </c>
      <c r="AD966" s="7">
        <f>IFERROR(IF([1]对账明细接口!$Y966=0,"",[1]对账明细接口!$Y966),"")</f>
      </c>
      <c r="AE966" s="7">
        <f>IFERROR(IF([1]对账明细接口!$AA966=0,"",[1]对账明细接口!$AA966),"")</f>
      </c>
      <c r="AF966" s="7">
        <f>IFERROR(IF([1]对账明细接口!$AB966=0,"",[1]对账明细接口!$AB966),"")</f>
      </c>
      <c r="AG966" s="7">
        <f>IFERROR(IF([1]对账明细接口!$AC966=0,"",[1]对账明细接口!$AC966),"")</f>
      </c>
      <c r="AH966" s="7">
        <f>IFERROR(IF([1]对账明细接口!$AD966=0,"",[1]对账明细接口!$AD966),"")</f>
      </c>
      <c r="AI966" s="7">
        <f>IFERROR(IF([1]对账明细接口!$AE966=0,"",[1]对账明细接口!$AE966),"")</f>
      </c>
      <c r="AJ966" s="7">
        <f>IFERROR(IF([1]对账明细接口!$AF966=0,"",[1]对账明细接口!$AF966),"")</f>
      </c>
    </row>
    <row r="967" ht="14.25" customHeight="1" s="127">
      <c r="A967" s="14" t="n">
        <v>967</v>
      </c>
      <c r="B967" s="211">
        <f>IFERROR(IF([1]对账明细接口!$B$967=0,"",[1]对账明细接口!$B$967),"")</f>
      </c>
      <c r="C967" s="16">
        <f>IFERROR(IF([1]对账明细接口!$C$967=0,"",[1]对账明细接口!$C$967),"")</f>
      </c>
      <c r="D967" s="16">
        <f>IFERROR(IF([1]对账明细接口!$D$967=0,"",[1]对账明细接口!$D$967),"")</f>
      </c>
      <c r="E967" s="16">
        <f>IFERROR(IF([1]对账明细接口!$E$967=0,"",[1]对账明细接口!$E$967),"")</f>
      </c>
      <c r="F967" s="16">
        <f>IFERROR(IF([1]对账明细接口!$F$967=0,"",[1]对账明细接口!$F$967),"")</f>
      </c>
      <c r="G967" s="16">
        <f>IFERROR(IF([1]对账明细接口!$G$967=0,"",[1]对账明细接口!$G$967),"")</f>
      </c>
      <c r="H967" s="176">
        <f>IFERROR(IF([1]对账明细接口!$H$967=0,"",[1]对账明细接口!$H$967),"")</f>
      </c>
      <c r="I967" s="16">
        <f>IFERROR(IF([1]对账明细接口!$I$967=0,"",[1]对账明细接口!$I$967),"")</f>
      </c>
      <c r="J967" s="177">
        <f>IFERROR(IF([1]对账明细接口!$J$967=0,"",[1]对账明细接口!$J$967),"")</f>
      </c>
      <c r="K967" s="177">
        <f>IFERROR(IF([1]对账明细接口!$K$967=0,"",[1]对账明细接口!$K$967),"")</f>
      </c>
      <c r="L967" s="16">
        <f>IFERROR(IF([1]对账明细接口!$L$967=0,"",[1]对账明细接口!$L$967),"")</f>
      </c>
      <c r="M967" s="16">
        <f>IFERROR(IF([1]对账明细接口!$M$967=0,"",[1]对账明细接口!$M$967),"")</f>
      </c>
      <c r="N967" s="19">
        <f>IF($C967="",0,1)</f>
        <v>0</v>
      </c>
      <c r="O967" s="19">
        <f>N(O966)+$N967</f>
        <v>637</v>
      </c>
      <c r="S967" s="20">
        <f>IFERROR(IF([1]对账明细接口!$N967=0,"",[1]对账明细接口!$N967),"")</f>
      </c>
      <c r="T967" s="212">
        <f>IFERROR(IF([1]对账明细接口!$O967=0,"",[1]对账明细接口!$O967),"")</f>
      </c>
      <c r="U967" s="212">
        <f>IFERROR(IF([1]对账明细接口!$P967=0,"",[1]对账明细接口!$P967),"")</f>
      </c>
      <c r="V967" s="212">
        <f>IFERROR(IF([1]对账明细接口!$Q967=0,"",[1]对账明细接口!$Q967),"")</f>
      </c>
      <c r="W967" s="20">
        <f>IFERROR(IF([1]对账明细接口!$R967=0,"",[1]对账明细接口!$R967),"")</f>
      </c>
      <c r="X967" s="20">
        <f>IFERROR(IF([1]对账明细接口!$S967=0,"",[1]对账明细接口!$S967),"")</f>
      </c>
      <c r="Y967" s="20">
        <f>IFERROR(IF([1]对账明细接口!$T967=0,"",[1]对账明细接口!$T967),"")</f>
      </c>
      <c r="Z967" s="213">
        <f>IFERROR(IF([1]对账明细接口!$U967=0,"",[1]对账明细接口!$U967),"")</f>
      </c>
      <c r="AA967" s="213">
        <f>IFERROR(IF([1]对账明细接口!$V967=0,"",[1]对账明细接口!$V967),"")</f>
      </c>
      <c r="AB967" s="20">
        <f>IFERROR(IF([1]对账明细接口!$W967=0,"",[1]对账明细接口!$W967),"")</f>
      </c>
      <c r="AC967" s="7">
        <f>IFERROR(IF([1]对账明细接口!$X967=0,"",[1]对账明细接口!$X967),"")</f>
      </c>
      <c r="AD967" s="7">
        <f>IFERROR(IF([1]对账明细接口!$Y967=0,"",[1]对账明细接口!$Y967),"")</f>
      </c>
      <c r="AE967" s="7">
        <f>IFERROR(IF([1]对账明细接口!$AA967=0,"",[1]对账明细接口!$AA967),"")</f>
      </c>
      <c r="AF967" s="7">
        <f>IFERROR(IF([1]对账明细接口!$AB967=0,"",[1]对账明细接口!$AB967),"")</f>
      </c>
      <c r="AG967" s="7">
        <f>IFERROR(IF([1]对账明细接口!$AC967=0,"",[1]对账明细接口!$AC967),"")</f>
      </c>
      <c r="AH967" s="7">
        <f>IFERROR(IF([1]对账明细接口!$AD967=0,"",[1]对账明细接口!$AD967),"")</f>
      </c>
      <c r="AI967" s="7">
        <f>IFERROR(IF([1]对账明细接口!$AE967=0,"",[1]对账明细接口!$AE967),"")</f>
      </c>
      <c r="AJ967" s="7">
        <f>IFERROR(IF([1]对账明细接口!$AF967=0,"",[1]对账明细接口!$AF967),"")</f>
      </c>
    </row>
    <row r="968" ht="14.25" customHeight="1" s="127">
      <c r="A968" s="14" t="n">
        <v>968</v>
      </c>
      <c r="B968" s="211">
        <f>IFERROR(IF([1]对账明细接口!$B$968=0,"",[1]对账明细接口!$B$968),"")</f>
      </c>
      <c r="C968" s="16">
        <f>IFERROR(IF([1]对账明细接口!$C$968=0,"",[1]对账明细接口!$C$968),"")</f>
      </c>
      <c r="D968" s="16">
        <f>IFERROR(IF([1]对账明细接口!$D$968=0,"",[1]对账明细接口!$D$968),"")</f>
      </c>
      <c r="E968" s="16">
        <f>IFERROR(IF([1]对账明细接口!$E$968=0,"",[1]对账明细接口!$E$968),"")</f>
      </c>
      <c r="F968" s="16">
        <f>IFERROR(IF([1]对账明细接口!$F$968=0,"",[1]对账明细接口!$F$968),"")</f>
      </c>
      <c r="G968" s="16">
        <f>IFERROR(IF([1]对账明细接口!$G$968=0,"",[1]对账明细接口!$G$968),"")</f>
      </c>
      <c r="H968" s="176">
        <f>IFERROR(IF([1]对账明细接口!$H$968=0,"",[1]对账明细接口!$H$968),"")</f>
      </c>
      <c r="I968" s="16">
        <f>IFERROR(IF([1]对账明细接口!$I$968=0,"",[1]对账明细接口!$I$968),"")</f>
      </c>
      <c r="J968" s="177">
        <f>IFERROR(IF([1]对账明细接口!$J$968=0,"",[1]对账明细接口!$J$968),"")</f>
      </c>
      <c r="K968" s="177">
        <f>IFERROR(IF([1]对账明细接口!$K$968=0,"",[1]对账明细接口!$K$968),"")</f>
      </c>
      <c r="L968" s="16">
        <f>IFERROR(IF([1]对账明细接口!$L$968=0,"",[1]对账明细接口!$L$968),"")</f>
      </c>
      <c r="M968" s="16">
        <f>IFERROR(IF([1]对账明细接口!$M$968=0,"",[1]对账明细接口!$M$968),"")</f>
      </c>
      <c r="N968" s="19">
        <f>IF($C968="",0,1)</f>
        <v>0</v>
      </c>
      <c r="O968" s="19">
        <f>N(O967)+$N968</f>
        <v>637</v>
      </c>
      <c r="S968" s="20">
        <f>IFERROR(IF([1]对账明细接口!$N968=0,"",[1]对账明细接口!$N968),"")</f>
      </c>
      <c r="T968" s="212">
        <f>IFERROR(IF([1]对账明细接口!$O968=0,"",[1]对账明细接口!$O968),"")</f>
      </c>
      <c r="U968" s="212">
        <f>IFERROR(IF([1]对账明细接口!$P968=0,"",[1]对账明细接口!$P968),"")</f>
      </c>
      <c r="V968" s="212">
        <f>IFERROR(IF([1]对账明细接口!$Q968=0,"",[1]对账明细接口!$Q968),"")</f>
      </c>
      <c r="W968" s="20">
        <f>IFERROR(IF([1]对账明细接口!$R968=0,"",[1]对账明细接口!$R968),"")</f>
      </c>
      <c r="X968" s="20">
        <f>IFERROR(IF([1]对账明细接口!$S968=0,"",[1]对账明细接口!$S968),"")</f>
      </c>
      <c r="Y968" s="20">
        <f>IFERROR(IF([1]对账明细接口!$T968=0,"",[1]对账明细接口!$T968),"")</f>
      </c>
      <c r="Z968" s="213">
        <f>IFERROR(IF([1]对账明细接口!$U968=0,"",[1]对账明细接口!$U968),"")</f>
      </c>
      <c r="AA968" s="213">
        <f>IFERROR(IF([1]对账明细接口!$V968=0,"",[1]对账明细接口!$V968),"")</f>
      </c>
      <c r="AB968" s="20">
        <f>IFERROR(IF([1]对账明细接口!$W968=0,"",[1]对账明细接口!$W968),"")</f>
      </c>
      <c r="AC968" s="7">
        <f>IFERROR(IF([1]对账明细接口!$X968=0,"",[1]对账明细接口!$X968),"")</f>
      </c>
      <c r="AD968" s="7">
        <f>IFERROR(IF([1]对账明细接口!$Y968=0,"",[1]对账明细接口!$Y968),"")</f>
      </c>
      <c r="AE968" s="7">
        <f>IFERROR(IF([1]对账明细接口!$AA968=0,"",[1]对账明细接口!$AA968),"")</f>
      </c>
      <c r="AF968" s="7">
        <f>IFERROR(IF([1]对账明细接口!$AB968=0,"",[1]对账明细接口!$AB968),"")</f>
      </c>
      <c r="AG968" s="7">
        <f>IFERROR(IF([1]对账明细接口!$AC968=0,"",[1]对账明细接口!$AC968),"")</f>
      </c>
      <c r="AH968" s="7">
        <f>IFERROR(IF([1]对账明细接口!$AD968=0,"",[1]对账明细接口!$AD968),"")</f>
      </c>
      <c r="AI968" s="7">
        <f>IFERROR(IF([1]对账明细接口!$AE968=0,"",[1]对账明细接口!$AE968),"")</f>
      </c>
      <c r="AJ968" s="7">
        <f>IFERROR(IF([1]对账明细接口!$AF968=0,"",[1]对账明细接口!$AF968),"")</f>
      </c>
    </row>
    <row r="969" ht="14.25" customHeight="1" s="127">
      <c r="A969" s="14" t="n">
        <v>969</v>
      </c>
      <c r="B969" s="211">
        <f>IFERROR(IF([1]对账明细接口!$B$969=0,"",[1]对账明细接口!$B$969),"")</f>
      </c>
      <c r="C969" s="16">
        <f>IFERROR(IF([1]对账明细接口!$C$969=0,"",[1]对账明细接口!$C$969),"")</f>
      </c>
      <c r="D969" s="16">
        <f>IFERROR(IF([1]对账明细接口!$D$969=0,"",[1]对账明细接口!$D$969),"")</f>
      </c>
      <c r="E969" s="16">
        <f>IFERROR(IF([1]对账明细接口!$E$969=0,"",[1]对账明细接口!$E$969),"")</f>
      </c>
      <c r="F969" s="16">
        <f>IFERROR(IF([1]对账明细接口!$F$969=0,"",[1]对账明细接口!$F$969),"")</f>
      </c>
      <c r="G969" s="16">
        <f>IFERROR(IF([1]对账明细接口!$G$969=0,"",[1]对账明细接口!$G$969),"")</f>
      </c>
      <c r="H969" s="176">
        <f>IFERROR(IF([1]对账明细接口!$H$969=0,"",[1]对账明细接口!$H$969),"")</f>
      </c>
      <c r="I969" s="16">
        <f>IFERROR(IF([1]对账明细接口!$I$969=0,"",[1]对账明细接口!$I$969),"")</f>
      </c>
      <c r="J969" s="177">
        <f>IFERROR(IF([1]对账明细接口!$J$969=0,"",[1]对账明细接口!$J$969),"")</f>
      </c>
      <c r="K969" s="177">
        <f>IFERROR(IF([1]对账明细接口!$K$969=0,"",[1]对账明细接口!$K$969),"")</f>
      </c>
      <c r="L969" s="16">
        <f>IFERROR(IF([1]对账明细接口!$L$969=0,"",[1]对账明细接口!$L$969),"")</f>
      </c>
      <c r="M969" s="16">
        <f>IFERROR(IF([1]对账明细接口!$M$969=0,"",[1]对账明细接口!$M$969),"")</f>
      </c>
      <c r="N969" s="19">
        <f>IF($C969="",0,1)</f>
        <v>0</v>
      </c>
      <c r="O969" s="19">
        <f>N(O968)+$N969</f>
        <v>637</v>
      </c>
      <c r="S969" s="20">
        <f>IFERROR(IF([1]对账明细接口!$N969=0,"",[1]对账明细接口!$N969),"")</f>
      </c>
      <c r="T969" s="212">
        <f>IFERROR(IF([1]对账明细接口!$O969=0,"",[1]对账明细接口!$O969),"")</f>
      </c>
      <c r="U969" s="212">
        <f>IFERROR(IF([1]对账明细接口!$P969=0,"",[1]对账明细接口!$P969),"")</f>
      </c>
      <c r="V969" s="212">
        <f>IFERROR(IF([1]对账明细接口!$Q969=0,"",[1]对账明细接口!$Q969),"")</f>
      </c>
      <c r="W969" s="20">
        <f>IFERROR(IF([1]对账明细接口!$R969=0,"",[1]对账明细接口!$R969),"")</f>
      </c>
      <c r="X969" s="20">
        <f>IFERROR(IF([1]对账明细接口!$S969=0,"",[1]对账明细接口!$S969),"")</f>
      </c>
      <c r="Y969" s="20">
        <f>IFERROR(IF([1]对账明细接口!$T969=0,"",[1]对账明细接口!$T969),"")</f>
      </c>
      <c r="Z969" s="213">
        <f>IFERROR(IF([1]对账明细接口!$U969=0,"",[1]对账明细接口!$U969),"")</f>
      </c>
      <c r="AA969" s="213">
        <f>IFERROR(IF([1]对账明细接口!$V969=0,"",[1]对账明细接口!$V969),"")</f>
      </c>
      <c r="AB969" s="20">
        <f>IFERROR(IF([1]对账明细接口!$W969=0,"",[1]对账明细接口!$W969),"")</f>
      </c>
      <c r="AC969" s="7">
        <f>IFERROR(IF([1]对账明细接口!$X969=0,"",[1]对账明细接口!$X969),"")</f>
      </c>
      <c r="AD969" s="7">
        <f>IFERROR(IF([1]对账明细接口!$Y969=0,"",[1]对账明细接口!$Y969),"")</f>
      </c>
      <c r="AE969" s="7">
        <f>IFERROR(IF([1]对账明细接口!$AA969=0,"",[1]对账明细接口!$AA969),"")</f>
      </c>
      <c r="AF969" s="7">
        <f>IFERROR(IF([1]对账明细接口!$AB969=0,"",[1]对账明细接口!$AB969),"")</f>
      </c>
      <c r="AG969" s="7">
        <f>IFERROR(IF([1]对账明细接口!$AC969=0,"",[1]对账明细接口!$AC969),"")</f>
      </c>
      <c r="AH969" s="7">
        <f>IFERROR(IF([1]对账明细接口!$AD969=0,"",[1]对账明细接口!$AD969),"")</f>
      </c>
      <c r="AI969" s="7">
        <f>IFERROR(IF([1]对账明细接口!$AE969=0,"",[1]对账明细接口!$AE969),"")</f>
      </c>
      <c r="AJ969" s="7">
        <f>IFERROR(IF([1]对账明细接口!$AF969=0,"",[1]对账明细接口!$AF969),"")</f>
      </c>
    </row>
    <row r="970" ht="14.25" customHeight="1" s="127">
      <c r="A970" s="14" t="n">
        <v>970</v>
      </c>
      <c r="B970" s="211">
        <f>IFERROR(IF([1]对账明细接口!$B$970=0,"",[1]对账明细接口!$B$970),"")</f>
      </c>
      <c r="C970" s="16">
        <f>IFERROR(IF([1]对账明细接口!$C$970=0,"",[1]对账明细接口!$C$970),"")</f>
      </c>
      <c r="D970" s="16">
        <f>IFERROR(IF([1]对账明细接口!$D$970=0,"",[1]对账明细接口!$D$970),"")</f>
      </c>
      <c r="E970" s="16">
        <f>IFERROR(IF([1]对账明细接口!$E$970=0,"",[1]对账明细接口!$E$970),"")</f>
      </c>
      <c r="F970" s="16">
        <f>IFERROR(IF([1]对账明细接口!$F$970=0,"",[1]对账明细接口!$F$970),"")</f>
      </c>
      <c r="G970" s="16">
        <f>IFERROR(IF([1]对账明细接口!$G$970=0,"",[1]对账明细接口!$G$970),"")</f>
      </c>
      <c r="H970" s="176">
        <f>IFERROR(IF([1]对账明细接口!$H$970=0,"",[1]对账明细接口!$H$970),"")</f>
      </c>
      <c r="I970" s="16">
        <f>IFERROR(IF([1]对账明细接口!$I$970=0,"",[1]对账明细接口!$I$970),"")</f>
      </c>
      <c r="J970" s="177">
        <f>IFERROR(IF([1]对账明细接口!$J$970=0,"",[1]对账明细接口!$J$970),"")</f>
      </c>
      <c r="K970" s="177">
        <f>IFERROR(IF([1]对账明细接口!$K$970=0,"",[1]对账明细接口!$K$970),"")</f>
      </c>
      <c r="L970" s="16">
        <f>IFERROR(IF([1]对账明细接口!$L$970=0,"",[1]对账明细接口!$L$970),"")</f>
      </c>
      <c r="M970" s="16">
        <f>IFERROR(IF([1]对账明细接口!$M$970=0,"",[1]对账明细接口!$M$970),"")</f>
      </c>
      <c r="N970" s="19">
        <f>IF($C970="",0,1)</f>
        <v>0</v>
      </c>
      <c r="O970" s="19">
        <f>N(O969)+$N970</f>
        <v>637</v>
      </c>
      <c r="S970" s="20">
        <f>IFERROR(IF([1]对账明细接口!$N970=0,"",[1]对账明细接口!$N970),"")</f>
      </c>
      <c r="T970" s="212">
        <f>IFERROR(IF([1]对账明细接口!$O970=0,"",[1]对账明细接口!$O970),"")</f>
      </c>
      <c r="U970" s="212">
        <f>IFERROR(IF([1]对账明细接口!$P970=0,"",[1]对账明细接口!$P970),"")</f>
      </c>
      <c r="V970" s="212">
        <f>IFERROR(IF([1]对账明细接口!$Q970=0,"",[1]对账明细接口!$Q970),"")</f>
      </c>
      <c r="W970" s="20">
        <f>IFERROR(IF([1]对账明细接口!$R970=0,"",[1]对账明细接口!$R970),"")</f>
      </c>
      <c r="X970" s="20">
        <f>IFERROR(IF([1]对账明细接口!$S970=0,"",[1]对账明细接口!$S970),"")</f>
      </c>
      <c r="Y970" s="20">
        <f>IFERROR(IF([1]对账明细接口!$T970=0,"",[1]对账明细接口!$T970),"")</f>
      </c>
      <c r="Z970" s="213">
        <f>IFERROR(IF([1]对账明细接口!$U970=0,"",[1]对账明细接口!$U970),"")</f>
      </c>
      <c r="AA970" s="213">
        <f>IFERROR(IF([1]对账明细接口!$V970=0,"",[1]对账明细接口!$V970),"")</f>
      </c>
      <c r="AB970" s="20">
        <f>IFERROR(IF([1]对账明细接口!$W970=0,"",[1]对账明细接口!$W970),"")</f>
      </c>
      <c r="AC970" s="7">
        <f>IFERROR(IF([1]对账明细接口!$X970=0,"",[1]对账明细接口!$X970),"")</f>
      </c>
      <c r="AD970" s="7">
        <f>IFERROR(IF([1]对账明细接口!$Y970=0,"",[1]对账明细接口!$Y970),"")</f>
      </c>
      <c r="AE970" s="7">
        <f>IFERROR(IF([1]对账明细接口!$AA970=0,"",[1]对账明细接口!$AA970),"")</f>
      </c>
      <c r="AF970" s="7">
        <f>IFERROR(IF([1]对账明细接口!$AB970=0,"",[1]对账明细接口!$AB970),"")</f>
      </c>
      <c r="AG970" s="7">
        <f>IFERROR(IF([1]对账明细接口!$AC970=0,"",[1]对账明细接口!$AC970),"")</f>
      </c>
      <c r="AH970" s="7">
        <f>IFERROR(IF([1]对账明细接口!$AD970=0,"",[1]对账明细接口!$AD970),"")</f>
      </c>
      <c r="AI970" s="7">
        <f>IFERROR(IF([1]对账明细接口!$AE970=0,"",[1]对账明细接口!$AE970),"")</f>
      </c>
      <c r="AJ970" s="7">
        <f>IFERROR(IF([1]对账明细接口!$AF970=0,"",[1]对账明细接口!$AF970),"")</f>
      </c>
    </row>
    <row r="971" ht="14.25" customHeight="1" s="127">
      <c r="A971" s="14" t="n">
        <v>971</v>
      </c>
      <c r="B971" s="211">
        <f>IFERROR(IF([1]对账明细接口!$B$971=0,"",[1]对账明细接口!$B$971),"")</f>
      </c>
      <c r="C971" s="16">
        <f>IFERROR(IF([1]对账明细接口!$C$971=0,"",[1]对账明细接口!$C$971),"")</f>
      </c>
      <c r="D971" s="16">
        <f>IFERROR(IF([1]对账明细接口!$D$971=0,"",[1]对账明细接口!$D$971),"")</f>
      </c>
      <c r="E971" s="16">
        <f>IFERROR(IF([1]对账明细接口!$E$971=0,"",[1]对账明细接口!$E$971),"")</f>
      </c>
      <c r="F971" s="16">
        <f>IFERROR(IF([1]对账明细接口!$F$971=0,"",[1]对账明细接口!$F$971),"")</f>
      </c>
      <c r="G971" s="16">
        <f>IFERROR(IF([1]对账明细接口!$G$971=0,"",[1]对账明细接口!$G$971),"")</f>
      </c>
      <c r="H971" s="176">
        <f>IFERROR(IF([1]对账明细接口!$H$971=0,"",[1]对账明细接口!$H$971),"")</f>
      </c>
      <c r="I971" s="16">
        <f>IFERROR(IF([1]对账明细接口!$I$971=0,"",[1]对账明细接口!$I$971),"")</f>
      </c>
      <c r="J971" s="177">
        <f>IFERROR(IF([1]对账明细接口!$J$971=0,"",[1]对账明细接口!$J$971),"")</f>
      </c>
      <c r="K971" s="177">
        <f>IFERROR(IF([1]对账明细接口!$K$971=0,"",[1]对账明细接口!$K$971),"")</f>
      </c>
      <c r="L971" s="16">
        <f>IFERROR(IF([1]对账明细接口!$L$971=0,"",[1]对账明细接口!$L$971),"")</f>
      </c>
      <c r="M971" s="16">
        <f>IFERROR(IF([1]对账明细接口!$M$971=0,"",[1]对账明细接口!$M$971),"")</f>
      </c>
      <c r="N971" s="19">
        <f>IF($C971="",0,1)</f>
        <v>0</v>
      </c>
      <c r="O971" s="19">
        <f>N(O970)+$N971</f>
        <v>637</v>
      </c>
      <c r="S971" s="20">
        <f>IFERROR(IF([1]对账明细接口!$N971=0,"",[1]对账明细接口!$N971),"")</f>
      </c>
      <c r="T971" s="212">
        <f>IFERROR(IF([1]对账明细接口!$O971=0,"",[1]对账明细接口!$O971),"")</f>
      </c>
      <c r="U971" s="212">
        <f>IFERROR(IF([1]对账明细接口!$P971=0,"",[1]对账明细接口!$P971),"")</f>
      </c>
      <c r="V971" s="212">
        <f>IFERROR(IF([1]对账明细接口!$Q971=0,"",[1]对账明细接口!$Q971),"")</f>
      </c>
      <c r="W971" s="20">
        <f>IFERROR(IF([1]对账明细接口!$R971=0,"",[1]对账明细接口!$R971),"")</f>
      </c>
      <c r="X971" s="20">
        <f>IFERROR(IF([1]对账明细接口!$S971=0,"",[1]对账明细接口!$S971),"")</f>
      </c>
      <c r="Y971" s="20">
        <f>IFERROR(IF([1]对账明细接口!$T971=0,"",[1]对账明细接口!$T971),"")</f>
      </c>
      <c r="Z971" s="213">
        <f>IFERROR(IF([1]对账明细接口!$U971=0,"",[1]对账明细接口!$U971),"")</f>
      </c>
      <c r="AA971" s="213">
        <f>IFERROR(IF([1]对账明细接口!$V971=0,"",[1]对账明细接口!$V971),"")</f>
      </c>
      <c r="AB971" s="20">
        <f>IFERROR(IF([1]对账明细接口!$W971=0,"",[1]对账明细接口!$W971),"")</f>
      </c>
      <c r="AC971" s="7">
        <f>IFERROR(IF([1]对账明细接口!$X971=0,"",[1]对账明细接口!$X971),"")</f>
      </c>
      <c r="AD971" s="7">
        <f>IFERROR(IF([1]对账明细接口!$Y971=0,"",[1]对账明细接口!$Y971),"")</f>
      </c>
      <c r="AE971" s="7">
        <f>IFERROR(IF([1]对账明细接口!$AA971=0,"",[1]对账明细接口!$AA971),"")</f>
      </c>
      <c r="AF971" s="7">
        <f>IFERROR(IF([1]对账明细接口!$AB971=0,"",[1]对账明细接口!$AB971),"")</f>
      </c>
      <c r="AG971" s="7">
        <f>IFERROR(IF([1]对账明细接口!$AC971=0,"",[1]对账明细接口!$AC971),"")</f>
      </c>
      <c r="AH971" s="7">
        <f>IFERROR(IF([1]对账明细接口!$AD971=0,"",[1]对账明细接口!$AD971),"")</f>
      </c>
      <c r="AI971" s="7">
        <f>IFERROR(IF([1]对账明细接口!$AE971=0,"",[1]对账明细接口!$AE971),"")</f>
      </c>
      <c r="AJ971" s="7">
        <f>IFERROR(IF([1]对账明细接口!$AF971=0,"",[1]对账明细接口!$AF971),"")</f>
      </c>
    </row>
    <row r="972" ht="14.25" customHeight="1" s="127">
      <c r="A972" s="14" t="n">
        <v>972</v>
      </c>
      <c r="B972" s="211">
        <f>IFERROR(IF([1]对账明细接口!$B$972=0,"",[1]对账明细接口!$B$972),"")</f>
      </c>
      <c r="C972" s="16">
        <f>IFERROR(IF([1]对账明细接口!$C$972=0,"",[1]对账明细接口!$C$972),"")</f>
      </c>
      <c r="D972" s="16">
        <f>IFERROR(IF([1]对账明细接口!$D$972=0,"",[1]对账明细接口!$D$972),"")</f>
      </c>
      <c r="E972" s="16">
        <f>IFERROR(IF([1]对账明细接口!$E$972=0,"",[1]对账明细接口!$E$972),"")</f>
      </c>
      <c r="F972" s="16">
        <f>IFERROR(IF([1]对账明细接口!$F$972=0,"",[1]对账明细接口!$F$972),"")</f>
      </c>
      <c r="G972" s="16">
        <f>IFERROR(IF([1]对账明细接口!$G$972=0,"",[1]对账明细接口!$G$972),"")</f>
      </c>
      <c r="H972" s="176">
        <f>IFERROR(IF([1]对账明细接口!$H$972=0,"",[1]对账明细接口!$H$972),"")</f>
      </c>
      <c r="I972" s="16">
        <f>IFERROR(IF([1]对账明细接口!$I$972=0,"",[1]对账明细接口!$I$972),"")</f>
      </c>
      <c r="J972" s="177">
        <f>IFERROR(IF([1]对账明细接口!$J$972=0,"",[1]对账明细接口!$J$972),"")</f>
      </c>
      <c r="K972" s="177">
        <f>IFERROR(IF([1]对账明细接口!$K$972=0,"",[1]对账明细接口!$K$972),"")</f>
      </c>
      <c r="L972" s="16">
        <f>IFERROR(IF([1]对账明细接口!$L$972=0,"",[1]对账明细接口!$L$972),"")</f>
      </c>
      <c r="M972" s="16">
        <f>IFERROR(IF([1]对账明细接口!$M$972=0,"",[1]对账明细接口!$M$972),"")</f>
      </c>
      <c r="N972" s="19">
        <f>IF($C972="",0,1)</f>
        <v>0</v>
      </c>
      <c r="O972" s="19">
        <f>N(O971)+$N972</f>
        <v>637</v>
      </c>
      <c r="S972" s="20">
        <f>IFERROR(IF([1]对账明细接口!$N972=0,"",[1]对账明细接口!$N972),"")</f>
      </c>
      <c r="T972" s="212">
        <f>IFERROR(IF([1]对账明细接口!$O972=0,"",[1]对账明细接口!$O972),"")</f>
      </c>
      <c r="U972" s="212">
        <f>IFERROR(IF([1]对账明细接口!$P972=0,"",[1]对账明细接口!$P972),"")</f>
      </c>
      <c r="V972" s="212">
        <f>IFERROR(IF([1]对账明细接口!$Q972=0,"",[1]对账明细接口!$Q972),"")</f>
      </c>
      <c r="W972" s="20">
        <f>IFERROR(IF([1]对账明细接口!$R972=0,"",[1]对账明细接口!$R972),"")</f>
      </c>
      <c r="X972" s="20">
        <f>IFERROR(IF([1]对账明细接口!$S972=0,"",[1]对账明细接口!$S972),"")</f>
      </c>
      <c r="Y972" s="20">
        <f>IFERROR(IF([1]对账明细接口!$T972=0,"",[1]对账明细接口!$T972),"")</f>
      </c>
      <c r="Z972" s="213">
        <f>IFERROR(IF([1]对账明细接口!$U972=0,"",[1]对账明细接口!$U972),"")</f>
      </c>
      <c r="AA972" s="213">
        <f>IFERROR(IF([1]对账明细接口!$V972=0,"",[1]对账明细接口!$V972),"")</f>
      </c>
      <c r="AB972" s="20">
        <f>IFERROR(IF([1]对账明细接口!$W972=0,"",[1]对账明细接口!$W972),"")</f>
      </c>
      <c r="AC972" s="7">
        <f>IFERROR(IF([1]对账明细接口!$X972=0,"",[1]对账明细接口!$X972),"")</f>
      </c>
      <c r="AD972" s="7">
        <f>IFERROR(IF([1]对账明细接口!$Y972=0,"",[1]对账明细接口!$Y972),"")</f>
      </c>
      <c r="AE972" s="7">
        <f>IFERROR(IF([1]对账明细接口!$AA972=0,"",[1]对账明细接口!$AA972),"")</f>
      </c>
      <c r="AF972" s="7">
        <f>IFERROR(IF([1]对账明细接口!$AB972=0,"",[1]对账明细接口!$AB972),"")</f>
      </c>
      <c r="AG972" s="7">
        <f>IFERROR(IF([1]对账明细接口!$AC972=0,"",[1]对账明细接口!$AC972),"")</f>
      </c>
      <c r="AH972" s="7">
        <f>IFERROR(IF([1]对账明细接口!$AD972=0,"",[1]对账明细接口!$AD972),"")</f>
      </c>
      <c r="AI972" s="7">
        <f>IFERROR(IF([1]对账明细接口!$AE972=0,"",[1]对账明细接口!$AE972),"")</f>
      </c>
      <c r="AJ972" s="7">
        <f>IFERROR(IF([1]对账明细接口!$AF972=0,"",[1]对账明细接口!$AF972),"")</f>
      </c>
    </row>
    <row r="973" ht="14.25" customHeight="1" s="127">
      <c r="A973" s="14" t="n">
        <v>973</v>
      </c>
      <c r="B973" s="211">
        <f>IFERROR(IF([1]对账明细接口!$B$973=0,"",[1]对账明细接口!$B$973),"")</f>
      </c>
      <c r="C973" s="16">
        <f>IFERROR(IF([1]对账明细接口!$C$973=0,"",[1]对账明细接口!$C$973),"")</f>
      </c>
      <c r="D973" s="16">
        <f>IFERROR(IF([1]对账明细接口!$D$973=0,"",[1]对账明细接口!$D$973),"")</f>
      </c>
      <c r="E973" s="16">
        <f>IFERROR(IF([1]对账明细接口!$E$973=0,"",[1]对账明细接口!$E$973),"")</f>
      </c>
      <c r="F973" s="16">
        <f>IFERROR(IF([1]对账明细接口!$F$973=0,"",[1]对账明细接口!$F$973),"")</f>
      </c>
      <c r="G973" s="16">
        <f>IFERROR(IF([1]对账明细接口!$G$973=0,"",[1]对账明细接口!$G$973),"")</f>
      </c>
      <c r="H973" s="176">
        <f>IFERROR(IF([1]对账明细接口!$H$973=0,"",[1]对账明细接口!$H$973),"")</f>
      </c>
      <c r="I973" s="16">
        <f>IFERROR(IF([1]对账明细接口!$I$973=0,"",[1]对账明细接口!$I$973),"")</f>
      </c>
      <c r="J973" s="177">
        <f>IFERROR(IF([1]对账明细接口!$J$973=0,"",[1]对账明细接口!$J$973),"")</f>
      </c>
      <c r="K973" s="177">
        <f>IFERROR(IF([1]对账明细接口!$K$973=0,"",[1]对账明细接口!$K$973),"")</f>
      </c>
      <c r="L973" s="16">
        <f>IFERROR(IF([1]对账明细接口!$L$973=0,"",[1]对账明细接口!$L$973),"")</f>
      </c>
      <c r="M973" s="16">
        <f>IFERROR(IF([1]对账明细接口!$M$973=0,"",[1]对账明细接口!$M$973),"")</f>
      </c>
      <c r="N973" s="19">
        <f>IF($C973="",0,1)</f>
        <v>0</v>
      </c>
      <c r="O973" s="19">
        <f>N(O972)+$N973</f>
        <v>637</v>
      </c>
      <c r="S973" s="20">
        <f>IFERROR(IF([1]对账明细接口!$N973=0,"",[1]对账明细接口!$N973),"")</f>
      </c>
      <c r="T973" s="212">
        <f>IFERROR(IF([1]对账明细接口!$O973=0,"",[1]对账明细接口!$O973),"")</f>
      </c>
      <c r="U973" s="212">
        <f>IFERROR(IF([1]对账明细接口!$P973=0,"",[1]对账明细接口!$P973),"")</f>
      </c>
      <c r="V973" s="212">
        <f>IFERROR(IF([1]对账明细接口!$Q973=0,"",[1]对账明细接口!$Q973),"")</f>
      </c>
      <c r="W973" s="20">
        <f>IFERROR(IF([1]对账明细接口!$R973=0,"",[1]对账明细接口!$R973),"")</f>
      </c>
      <c r="X973" s="20">
        <f>IFERROR(IF([1]对账明细接口!$S973=0,"",[1]对账明细接口!$S973),"")</f>
      </c>
      <c r="Y973" s="20">
        <f>IFERROR(IF([1]对账明细接口!$T973=0,"",[1]对账明细接口!$T973),"")</f>
      </c>
      <c r="Z973" s="213">
        <f>IFERROR(IF([1]对账明细接口!$U973=0,"",[1]对账明细接口!$U973),"")</f>
      </c>
      <c r="AA973" s="213">
        <f>IFERROR(IF([1]对账明细接口!$V973=0,"",[1]对账明细接口!$V973),"")</f>
      </c>
      <c r="AB973" s="20">
        <f>IFERROR(IF([1]对账明细接口!$W973=0,"",[1]对账明细接口!$W973),"")</f>
      </c>
      <c r="AC973" s="7">
        <f>IFERROR(IF([1]对账明细接口!$X973=0,"",[1]对账明细接口!$X973),"")</f>
      </c>
      <c r="AD973" s="7">
        <f>IFERROR(IF([1]对账明细接口!$Y973=0,"",[1]对账明细接口!$Y973),"")</f>
      </c>
      <c r="AE973" s="7">
        <f>IFERROR(IF([1]对账明细接口!$AA973=0,"",[1]对账明细接口!$AA973),"")</f>
      </c>
      <c r="AF973" s="7">
        <f>IFERROR(IF([1]对账明细接口!$AB973=0,"",[1]对账明细接口!$AB973),"")</f>
      </c>
      <c r="AG973" s="7">
        <f>IFERROR(IF([1]对账明细接口!$AC973=0,"",[1]对账明细接口!$AC973),"")</f>
      </c>
      <c r="AH973" s="7">
        <f>IFERROR(IF([1]对账明细接口!$AD973=0,"",[1]对账明细接口!$AD973),"")</f>
      </c>
      <c r="AI973" s="7">
        <f>IFERROR(IF([1]对账明细接口!$AE973=0,"",[1]对账明细接口!$AE973),"")</f>
      </c>
      <c r="AJ973" s="7">
        <f>IFERROR(IF([1]对账明细接口!$AF973=0,"",[1]对账明细接口!$AF973),"")</f>
      </c>
    </row>
    <row r="974" ht="14.25" customHeight="1" s="127">
      <c r="A974" s="14" t="n">
        <v>974</v>
      </c>
      <c r="B974" s="211">
        <f>IFERROR(IF([1]对账明细接口!$B$974=0,"",[1]对账明细接口!$B$974),"")</f>
      </c>
      <c r="C974" s="16">
        <f>IFERROR(IF([1]对账明细接口!$C$974=0,"",[1]对账明细接口!$C$974),"")</f>
      </c>
      <c r="D974" s="16">
        <f>IFERROR(IF([1]对账明细接口!$D$974=0,"",[1]对账明细接口!$D$974),"")</f>
      </c>
      <c r="E974" s="16">
        <f>IFERROR(IF([1]对账明细接口!$E$974=0,"",[1]对账明细接口!$E$974),"")</f>
      </c>
      <c r="F974" s="16">
        <f>IFERROR(IF([1]对账明细接口!$F$974=0,"",[1]对账明细接口!$F$974),"")</f>
      </c>
      <c r="G974" s="16">
        <f>IFERROR(IF([1]对账明细接口!$G$974=0,"",[1]对账明细接口!$G$974),"")</f>
      </c>
      <c r="H974" s="176">
        <f>IFERROR(IF([1]对账明细接口!$H$974=0,"",[1]对账明细接口!$H$974),"")</f>
      </c>
      <c r="I974" s="16">
        <f>IFERROR(IF([1]对账明细接口!$I$974=0,"",[1]对账明细接口!$I$974),"")</f>
      </c>
      <c r="J974" s="177">
        <f>IFERROR(IF([1]对账明细接口!$J$974=0,"",[1]对账明细接口!$J$974),"")</f>
      </c>
      <c r="K974" s="177">
        <f>IFERROR(IF([1]对账明细接口!$K$974=0,"",[1]对账明细接口!$K$974),"")</f>
      </c>
      <c r="L974" s="16">
        <f>IFERROR(IF([1]对账明细接口!$L$974=0,"",[1]对账明细接口!$L$974),"")</f>
      </c>
      <c r="M974" s="16">
        <f>IFERROR(IF([1]对账明细接口!$M$974=0,"",[1]对账明细接口!$M$974),"")</f>
      </c>
      <c r="N974" s="19">
        <f>IF($C974="",0,1)</f>
        <v>0</v>
      </c>
      <c r="O974" s="19">
        <f>N(O973)+$N974</f>
        <v>637</v>
      </c>
      <c r="S974" s="20">
        <f>IFERROR(IF([1]对账明细接口!$N974=0,"",[1]对账明细接口!$N974),"")</f>
      </c>
      <c r="T974" s="212">
        <f>IFERROR(IF([1]对账明细接口!$O974=0,"",[1]对账明细接口!$O974),"")</f>
      </c>
      <c r="U974" s="212">
        <f>IFERROR(IF([1]对账明细接口!$P974=0,"",[1]对账明细接口!$P974),"")</f>
      </c>
      <c r="V974" s="212">
        <f>IFERROR(IF([1]对账明细接口!$Q974=0,"",[1]对账明细接口!$Q974),"")</f>
      </c>
      <c r="W974" s="20">
        <f>IFERROR(IF([1]对账明细接口!$R974=0,"",[1]对账明细接口!$R974),"")</f>
      </c>
      <c r="X974" s="20">
        <f>IFERROR(IF([1]对账明细接口!$S974=0,"",[1]对账明细接口!$S974),"")</f>
      </c>
      <c r="Y974" s="20">
        <f>IFERROR(IF([1]对账明细接口!$T974=0,"",[1]对账明细接口!$T974),"")</f>
      </c>
      <c r="Z974" s="213">
        <f>IFERROR(IF([1]对账明细接口!$U974=0,"",[1]对账明细接口!$U974),"")</f>
      </c>
      <c r="AA974" s="213">
        <f>IFERROR(IF([1]对账明细接口!$V974=0,"",[1]对账明细接口!$V974),"")</f>
      </c>
      <c r="AB974" s="20">
        <f>IFERROR(IF([1]对账明细接口!$W974=0,"",[1]对账明细接口!$W974),"")</f>
      </c>
      <c r="AC974" s="7">
        <f>IFERROR(IF([1]对账明细接口!$X974=0,"",[1]对账明细接口!$X974),"")</f>
      </c>
      <c r="AD974" s="7">
        <f>IFERROR(IF([1]对账明细接口!$Y974=0,"",[1]对账明细接口!$Y974),"")</f>
      </c>
      <c r="AE974" s="7">
        <f>IFERROR(IF([1]对账明细接口!$AA974=0,"",[1]对账明细接口!$AA974),"")</f>
      </c>
      <c r="AF974" s="7">
        <f>IFERROR(IF([1]对账明细接口!$AB974=0,"",[1]对账明细接口!$AB974),"")</f>
      </c>
      <c r="AG974" s="7">
        <f>IFERROR(IF([1]对账明细接口!$AC974=0,"",[1]对账明细接口!$AC974),"")</f>
      </c>
      <c r="AH974" s="7">
        <f>IFERROR(IF([1]对账明细接口!$AD974=0,"",[1]对账明细接口!$AD974),"")</f>
      </c>
      <c r="AI974" s="7">
        <f>IFERROR(IF([1]对账明细接口!$AE974=0,"",[1]对账明细接口!$AE974),"")</f>
      </c>
      <c r="AJ974" s="7">
        <f>IFERROR(IF([1]对账明细接口!$AF974=0,"",[1]对账明细接口!$AF974),"")</f>
      </c>
    </row>
    <row r="975" ht="14.25" customHeight="1" s="127">
      <c r="A975" s="14" t="n">
        <v>975</v>
      </c>
      <c r="B975" s="211">
        <f>IFERROR(IF([1]对账明细接口!$B$975=0,"",[1]对账明细接口!$B$975),"")</f>
      </c>
      <c r="C975" s="16">
        <f>IFERROR(IF([1]对账明细接口!$C$975=0,"",[1]对账明细接口!$C$975),"")</f>
      </c>
      <c r="D975" s="16">
        <f>IFERROR(IF([1]对账明细接口!$D$975=0,"",[1]对账明细接口!$D$975),"")</f>
      </c>
      <c r="E975" s="16">
        <f>IFERROR(IF([1]对账明细接口!$E$975=0,"",[1]对账明细接口!$E$975),"")</f>
      </c>
      <c r="F975" s="16">
        <f>IFERROR(IF([1]对账明细接口!$F$975=0,"",[1]对账明细接口!$F$975),"")</f>
      </c>
      <c r="G975" s="16">
        <f>IFERROR(IF([1]对账明细接口!$G$975=0,"",[1]对账明细接口!$G$975),"")</f>
      </c>
      <c r="H975" s="176">
        <f>IFERROR(IF([1]对账明细接口!$H$975=0,"",[1]对账明细接口!$H$975),"")</f>
      </c>
      <c r="I975" s="16">
        <f>IFERROR(IF([1]对账明细接口!$I$975=0,"",[1]对账明细接口!$I$975),"")</f>
      </c>
      <c r="J975" s="177">
        <f>IFERROR(IF([1]对账明细接口!$J$975=0,"",[1]对账明细接口!$J$975),"")</f>
      </c>
      <c r="K975" s="177">
        <f>IFERROR(IF([1]对账明细接口!$K$975=0,"",[1]对账明细接口!$K$975),"")</f>
      </c>
      <c r="L975" s="16">
        <f>IFERROR(IF([1]对账明细接口!$L$975=0,"",[1]对账明细接口!$L$975),"")</f>
      </c>
      <c r="M975" s="16">
        <f>IFERROR(IF([1]对账明细接口!$M$975=0,"",[1]对账明细接口!$M$975),"")</f>
      </c>
      <c r="N975" s="19">
        <f>IF($C975="",0,1)</f>
        <v>0</v>
      </c>
      <c r="O975" s="19">
        <f>N(O974)+$N975</f>
        <v>637</v>
      </c>
      <c r="S975" s="20">
        <f>IFERROR(IF([1]对账明细接口!$N975=0,"",[1]对账明细接口!$N975),"")</f>
      </c>
      <c r="T975" s="212">
        <f>IFERROR(IF([1]对账明细接口!$O975=0,"",[1]对账明细接口!$O975),"")</f>
      </c>
      <c r="U975" s="212">
        <f>IFERROR(IF([1]对账明细接口!$P975=0,"",[1]对账明细接口!$P975),"")</f>
      </c>
      <c r="V975" s="212">
        <f>IFERROR(IF([1]对账明细接口!$Q975=0,"",[1]对账明细接口!$Q975),"")</f>
      </c>
      <c r="W975" s="20">
        <f>IFERROR(IF([1]对账明细接口!$R975=0,"",[1]对账明细接口!$R975),"")</f>
      </c>
      <c r="X975" s="20">
        <f>IFERROR(IF([1]对账明细接口!$S975=0,"",[1]对账明细接口!$S975),"")</f>
      </c>
      <c r="Y975" s="20">
        <f>IFERROR(IF([1]对账明细接口!$T975=0,"",[1]对账明细接口!$T975),"")</f>
      </c>
      <c r="Z975" s="213">
        <f>IFERROR(IF([1]对账明细接口!$U975=0,"",[1]对账明细接口!$U975),"")</f>
      </c>
      <c r="AA975" s="213">
        <f>IFERROR(IF([1]对账明细接口!$V975=0,"",[1]对账明细接口!$V975),"")</f>
      </c>
      <c r="AB975" s="20">
        <f>IFERROR(IF([1]对账明细接口!$W975=0,"",[1]对账明细接口!$W975),"")</f>
      </c>
      <c r="AC975" s="7">
        <f>IFERROR(IF([1]对账明细接口!$X975=0,"",[1]对账明细接口!$X975),"")</f>
      </c>
      <c r="AD975" s="7">
        <f>IFERROR(IF([1]对账明细接口!$Y975=0,"",[1]对账明细接口!$Y975),"")</f>
      </c>
      <c r="AE975" s="7">
        <f>IFERROR(IF([1]对账明细接口!$AA975=0,"",[1]对账明细接口!$AA975),"")</f>
      </c>
      <c r="AF975" s="7">
        <f>IFERROR(IF([1]对账明细接口!$AB975=0,"",[1]对账明细接口!$AB975),"")</f>
      </c>
      <c r="AG975" s="7">
        <f>IFERROR(IF([1]对账明细接口!$AC975=0,"",[1]对账明细接口!$AC975),"")</f>
      </c>
      <c r="AH975" s="7">
        <f>IFERROR(IF([1]对账明细接口!$AD975=0,"",[1]对账明细接口!$AD975),"")</f>
      </c>
      <c r="AI975" s="7">
        <f>IFERROR(IF([1]对账明细接口!$AE975=0,"",[1]对账明细接口!$AE975),"")</f>
      </c>
      <c r="AJ975" s="7">
        <f>IFERROR(IF([1]对账明细接口!$AF975=0,"",[1]对账明细接口!$AF975),"")</f>
      </c>
    </row>
    <row r="976" ht="14.25" customHeight="1" s="127">
      <c r="A976" s="14" t="n">
        <v>976</v>
      </c>
      <c r="B976" s="211">
        <f>IFERROR(IF([1]对账明细接口!$B$976=0,"",[1]对账明细接口!$B$976),"")</f>
      </c>
      <c r="C976" s="16">
        <f>IFERROR(IF([1]对账明细接口!$C$976=0,"",[1]对账明细接口!$C$976),"")</f>
      </c>
      <c r="D976" s="16">
        <f>IFERROR(IF([1]对账明细接口!$D$976=0,"",[1]对账明细接口!$D$976),"")</f>
      </c>
      <c r="E976" s="16">
        <f>IFERROR(IF([1]对账明细接口!$E$976=0,"",[1]对账明细接口!$E$976),"")</f>
      </c>
      <c r="F976" s="16">
        <f>IFERROR(IF([1]对账明细接口!$F$976=0,"",[1]对账明细接口!$F$976),"")</f>
      </c>
      <c r="G976" s="16">
        <f>IFERROR(IF([1]对账明细接口!$G$976=0,"",[1]对账明细接口!$G$976),"")</f>
      </c>
      <c r="H976" s="176">
        <f>IFERROR(IF([1]对账明细接口!$H$976=0,"",[1]对账明细接口!$H$976),"")</f>
      </c>
      <c r="I976" s="16">
        <f>IFERROR(IF([1]对账明细接口!$I$976=0,"",[1]对账明细接口!$I$976),"")</f>
      </c>
      <c r="J976" s="177">
        <f>IFERROR(IF([1]对账明细接口!$J$976=0,"",[1]对账明细接口!$J$976),"")</f>
      </c>
      <c r="K976" s="177">
        <f>IFERROR(IF([1]对账明细接口!$K$976=0,"",[1]对账明细接口!$K$976),"")</f>
      </c>
      <c r="L976" s="16">
        <f>IFERROR(IF([1]对账明细接口!$L$976=0,"",[1]对账明细接口!$L$976),"")</f>
      </c>
      <c r="M976" s="16">
        <f>IFERROR(IF([1]对账明细接口!$M$976=0,"",[1]对账明细接口!$M$976),"")</f>
      </c>
      <c r="N976" s="19">
        <f>IF($C976="",0,1)</f>
        <v>0</v>
      </c>
      <c r="O976" s="19">
        <f>N(O975)+$N976</f>
        <v>637</v>
      </c>
      <c r="S976" s="20">
        <f>IFERROR(IF([1]对账明细接口!$N976=0,"",[1]对账明细接口!$N976),"")</f>
      </c>
      <c r="T976" s="212">
        <f>IFERROR(IF([1]对账明细接口!$O976=0,"",[1]对账明细接口!$O976),"")</f>
      </c>
      <c r="U976" s="212">
        <f>IFERROR(IF([1]对账明细接口!$P976=0,"",[1]对账明细接口!$P976),"")</f>
      </c>
      <c r="V976" s="212">
        <f>IFERROR(IF([1]对账明细接口!$Q976=0,"",[1]对账明细接口!$Q976),"")</f>
      </c>
      <c r="W976" s="20">
        <f>IFERROR(IF([1]对账明细接口!$R976=0,"",[1]对账明细接口!$R976),"")</f>
      </c>
      <c r="X976" s="20">
        <f>IFERROR(IF([1]对账明细接口!$S976=0,"",[1]对账明细接口!$S976),"")</f>
      </c>
      <c r="Y976" s="20">
        <f>IFERROR(IF([1]对账明细接口!$T976=0,"",[1]对账明细接口!$T976),"")</f>
      </c>
      <c r="Z976" s="213">
        <f>IFERROR(IF([1]对账明细接口!$U976=0,"",[1]对账明细接口!$U976),"")</f>
      </c>
      <c r="AA976" s="213">
        <f>IFERROR(IF([1]对账明细接口!$V976=0,"",[1]对账明细接口!$V976),"")</f>
      </c>
      <c r="AB976" s="20">
        <f>IFERROR(IF([1]对账明细接口!$W976=0,"",[1]对账明细接口!$W976),"")</f>
      </c>
      <c r="AC976" s="7">
        <f>IFERROR(IF([1]对账明细接口!$X976=0,"",[1]对账明细接口!$X976),"")</f>
      </c>
      <c r="AD976" s="7">
        <f>IFERROR(IF([1]对账明细接口!$Y976=0,"",[1]对账明细接口!$Y976),"")</f>
      </c>
      <c r="AE976" s="7">
        <f>IFERROR(IF([1]对账明细接口!$AA976=0,"",[1]对账明细接口!$AA976),"")</f>
      </c>
      <c r="AF976" s="7">
        <f>IFERROR(IF([1]对账明细接口!$AB976=0,"",[1]对账明细接口!$AB976),"")</f>
      </c>
      <c r="AG976" s="7">
        <f>IFERROR(IF([1]对账明细接口!$AC976=0,"",[1]对账明细接口!$AC976),"")</f>
      </c>
      <c r="AH976" s="7">
        <f>IFERROR(IF([1]对账明细接口!$AD976=0,"",[1]对账明细接口!$AD976),"")</f>
      </c>
      <c r="AI976" s="7">
        <f>IFERROR(IF([1]对账明细接口!$AE976=0,"",[1]对账明细接口!$AE976),"")</f>
      </c>
      <c r="AJ976" s="7">
        <f>IFERROR(IF([1]对账明细接口!$AF976=0,"",[1]对账明细接口!$AF976),"")</f>
      </c>
    </row>
    <row r="977" ht="14.25" customHeight="1" s="127">
      <c r="A977" s="14" t="n">
        <v>977</v>
      </c>
      <c r="B977" s="211">
        <f>IFERROR(IF([1]对账明细接口!$B$977=0,"",[1]对账明细接口!$B$977),"")</f>
      </c>
      <c r="C977" s="16">
        <f>IFERROR(IF([1]对账明细接口!$C$977=0,"",[1]对账明细接口!$C$977),"")</f>
      </c>
      <c r="D977" s="16">
        <f>IFERROR(IF([1]对账明细接口!$D$977=0,"",[1]对账明细接口!$D$977),"")</f>
      </c>
      <c r="E977" s="16">
        <f>IFERROR(IF([1]对账明细接口!$E$977=0,"",[1]对账明细接口!$E$977),"")</f>
      </c>
      <c r="F977" s="16">
        <f>IFERROR(IF([1]对账明细接口!$F$977=0,"",[1]对账明细接口!$F$977),"")</f>
      </c>
      <c r="G977" s="16">
        <f>IFERROR(IF([1]对账明细接口!$G$977=0,"",[1]对账明细接口!$G$977),"")</f>
      </c>
      <c r="H977" s="176">
        <f>IFERROR(IF([1]对账明细接口!$H$977=0,"",[1]对账明细接口!$H$977),"")</f>
      </c>
      <c r="I977" s="16">
        <f>IFERROR(IF([1]对账明细接口!$I$977=0,"",[1]对账明细接口!$I$977),"")</f>
      </c>
      <c r="J977" s="177">
        <f>IFERROR(IF([1]对账明细接口!$J$977=0,"",[1]对账明细接口!$J$977),"")</f>
      </c>
      <c r="K977" s="177">
        <f>IFERROR(IF([1]对账明细接口!$K$977=0,"",[1]对账明细接口!$K$977),"")</f>
      </c>
      <c r="L977" s="16">
        <f>IFERROR(IF([1]对账明细接口!$L$977=0,"",[1]对账明细接口!$L$977),"")</f>
      </c>
      <c r="M977" s="16">
        <f>IFERROR(IF([1]对账明细接口!$M$977=0,"",[1]对账明细接口!$M$977),"")</f>
      </c>
      <c r="N977" s="19">
        <f>IF($C977="",0,1)</f>
        <v>0</v>
      </c>
      <c r="O977" s="19">
        <f>N(O976)+$N977</f>
        <v>637</v>
      </c>
      <c r="S977" s="20">
        <f>IFERROR(IF([1]对账明细接口!$N977=0,"",[1]对账明细接口!$N977),"")</f>
      </c>
      <c r="T977" s="212">
        <f>IFERROR(IF([1]对账明细接口!$O977=0,"",[1]对账明细接口!$O977),"")</f>
      </c>
      <c r="U977" s="212">
        <f>IFERROR(IF([1]对账明细接口!$P977=0,"",[1]对账明细接口!$P977),"")</f>
      </c>
      <c r="V977" s="212">
        <f>IFERROR(IF([1]对账明细接口!$Q977=0,"",[1]对账明细接口!$Q977),"")</f>
      </c>
      <c r="W977" s="20">
        <f>IFERROR(IF([1]对账明细接口!$R977=0,"",[1]对账明细接口!$R977),"")</f>
      </c>
      <c r="X977" s="20">
        <f>IFERROR(IF([1]对账明细接口!$S977=0,"",[1]对账明细接口!$S977),"")</f>
      </c>
      <c r="Y977" s="20">
        <f>IFERROR(IF([1]对账明细接口!$T977=0,"",[1]对账明细接口!$T977),"")</f>
      </c>
      <c r="Z977" s="213">
        <f>IFERROR(IF([1]对账明细接口!$U977=0,"",[1]对账明细接口!$U977),"")</f>
      </c>
      <c r="AA977" s="213">
        <f>IFERROR(IF([1]对账明细接口!$V977=0,"",[1]对账明细接口!$V977),"")</f>
      </c>
      <c r="AB977" s="20">
        <f>IFERROR(IF([1]对账明细接口!$W977=0,"",[1]对账明细接口!$W977),"")</f>
      </c>
      <c r="AC977" s="7">
        <f>IFERROR(IF([1]对账明细接口!$X977=0,"",[1]对账明细接口!$X977),"")</f>
      </c>
      <c r="AD977" s="7">
        <f>IFERROR(IF([1]对账明细接口!$Y977=0,"",[1]对账明细接口!$Y977),"")</f>
      </c>
      <c r="AE977" s="7">
        <f>IFERROR(IF([1]对账明细接口!$AA977=0,"",[1]对账明细接口!$AA977),"")</f>
      </c>
      <c r="AF977" s="7">
        <f>IFERROR(IF([1]对账明细接口!$AB977=0,"",[1]对账明细接口!$AB977),"")</f>
      </c>
      <c r="AG977" s="7">
        <f>IFERROR(IF([1]对账明细接口!$AC977=0,"",[1]对账明细接口!$AC977),"")</f>
      </c>
      <c r="AH977" s="7">
        <f>IFERROR(IF([1]对账明细接口!$AD977=0,"",[1]对账明细接口!$AD977),"")</f>
      </c>
      <c r="AI977" s="7">
        <f>IFERROR(IF([1]对账明细接口!$AE977=0,"",[1]对账明细接口!$AE977),"")</f>
      </c>
      <c r="AJ977" s="7">
        <f>IFERROR(IF([1]对账明细接口!$AF977=0,"",[1]对账明细接口!$AF977),"")</f>
      </c>
    </row>
    <row r="978" ht="14.25" customHeight="1" s="127">
      <c r="A978" s="14" t="n">
        <v>978</v>
      </c>
      <c r="B978" s="211">
        <f>IFERROR(IF([1]对账明细接口!$B$978=0,"",[1]对账明细接口!$B$978),"")</f>
      </c>
      <c r="C978" s="16">
        <f>IFERROR(IF([1]对账明细接口!$C$978=0,"",[1]对账明细接口!$C$978),"")</f>
      </c>
      <c r="D978" s="16">
        <f>IFERROR(IF([1]对账明细接口!$D$978=0,"",[1]对账明细接口!$D$978),"")</f>
      </c>
      <c r="E978" s="16">
        <f>IFERROR(IF([1]对账明细接口!$E$978=0,"",[1]对账明细接口!$E$978),"")</f>
      </c>
      <c r="F978" s="16">
        <f>IFERROR(IF([1]对账明细接口!$F$978=0,"",[1]对账明细接口!$F$978),"")</f>
      </c>
      <c r="G978" s="16">
        <f>IFERROR(IF([1]对账明细接口!$G$978=0,"",[1]对账明细接口!$G$978),"")</f>
      </c>
      <c r="H978" s="176">
        <f>IFERROR(IF([1]对账明细接口!$H$978=0,"",[1]对账明细接口!$H$978),"")</f>
      </c>
      <c r="I978" s="16">
        <f>IFERROR(IF([1]对账明细接口!$I$978=0,"",[1]对账明细接口!$I$978),"")</f>
      </c>
      <c r="J978" s="177">
        <f>IFERROR(IF([1]对账明细接口!$J$978=0,"",[1]对账明细接口!$J$978),"")</f>
      </c>
      <c r="K978" s="177">
        <f>IFERROR(IF([1]对账明细接口!$K$978=0,"",[1]对账明细接口!$K$978),"")</f>
      </c>
      <c r="L978" s="16">
        <f>IFERROR(IF([1]对账明细接口!$L$978=0,"",[1]对账明细接口!$L$978),"")</f>
      </c>
      <c r="M978" s="16">
        <f>IFERROR(IF([1]对账明细接口!$M$978=0,"",[1]对账明细接口!$M$978),"")</f>
      </c>
      <c r="N978" s="19">
        <f>IF($C978="",0,1)</f>
        <v>0</v>
      </c>
      <c r="O978" s="19">
        <f>N(O977)+$N978</f>
        <v>637</v>
      </c>
      <c r="S978" s="20">
        <f>IFERROR(IF([1]对账明细接口!$N978=0,"",[1]对账明细接口!$N978),"")</f>
      </c>
      <c r="T978" s="212">
        <f>IFERROR(IF([1]对账明细接口!$O978=0,"",[1]对账明细接口!$O978),"")</f>
      </c>
      <c r="U978" s="212">
        <f>IFERROR(IF([1]对账明细接口!$P978=0,"",[1]对账明细接口!$P978),"")</f>
      </c>
      <c r="V978" s="212">
        <f>IFERROR(IF([1]对账明细接口!$Q978=0,"",[1]对账明细接口!$Q978),"")</f>
      </c>
      <c r="W978" s="20">
        <f>IFERROR(IF([1]对账明细接口!$R978=0,"",[1]对账明细接口!$R978),"")</f>
      </c>
      <c r="X978" s="20">
        <f>IFERROR(IF([1]对账明细接口!$S978=0,"",[1]对账明细接口!$S978),"")</f>
      </c>
      <c r="Y978" s="20">
        <f>IFERROR(IF([1]对账明细接口!$T978=0,"",[1]对账明细接口!$T978),"")</f>
      </c>
      <c r="Z978" s="213">
        <f>IFERROR(IF([1]对账明细接口!$U978=0,"",[1]对账明细接口!$U978),"")</f>
      </c>
      <c r="AA978" s="213">
        <f>IFERROR(IF([1]对账明细接口!$V978=0,"",[1]对账明细接口!$V978),"")</f>
      </c>
      <c r="AB978" s="20">
        <f>IFERROR(IF([1]对账明细接口!$W978=0,"",[1]对账明细接口!$W978),"")</f>
      </c>
      <c r="AC978" s="7">
        <f>IFERROR(IF([1]对账明细接口!$X978=0,"",[1]对账明细接口!$X978),"")</f>
      </c>
      <c r="AD978" s="7">
        <f>IFERROR(IF([1]对账明细接口!$Y978=0,"",[1]对账明细接口!$Y978),"")</f>
      </c>
      <c r="AE978" s="7">
        <f>IFERROR(IF([1]对账明细接口!$AA978=0,"",[1]对账明细接口!$AA978),"")</f>
      </c>
      <c r="AF978" s="7">
        <f>IFERROR(IF([1]对账明细接口!$AB978=0,"",[1]对账明细接口!$AB978),"")</f>
      </c>
      <c r="AG978" s="7">
        <f>IFERROR(IF([1]对账明细接口!$AC978=0,"",[1]对账明细接口!$AC978),"")</f>
      </c>
      <c r="AH978" s="7">
        <f>IFERROR(IF([1]对账明细接口!$AD978=0,"",[1]对账明细接口!$AD978),"")</f>
      </c>
      <c r="AI978" s="7">
        <f>IFERROR(IF([1]对账明细接口!$AE978=0,"",[1]对账明细接口!$AE978),"")</f>
      </c>
      <c r="AJ978" s="7">
        <f>IFERROR(IF([1]对账明细接口!$AF978=0,"",[1]对账明细接口!$AF978),"")</f>
      </c>
    </row>
    <row r="979" ht="14.25" customHeight="1" s="127">
      <c r="A979" s="14" t="n">
        <v>979</v>
      </c>
      <c r="B979" s="211">
        <f>IFERROR(IF([1]对账明细接口!$B$979=0,"",[1]对账明细接口!$B$979),"")</f>
      </c>
      <c r="C979" s="16">
        <f>IFERROR(IF([1]对账明细接口!$C$979=0,"",[1]对账明细接口!$C$979),"")</f>
      </c>
      <c r="D979" s="16">
        <f>IFERROR(IF([1]对账明细接口!$D$979=0,"",[1]对账明细接口!$D$979),"")</f>
      </c>
      <c r="E979" s="16">
        <f>IFERROR(IF([1]对账明细接口!$E$979=0,"",[1]对账明细接口!$E$979),"")</f>
      </c>
      <c r="F979" s="16">
        <f>IFERROR(IF([1]对账明细接口!$F$979=0,"",[1]对账明细接口!$F$979),"")</f>
      </c>
      <c r="G979" s="16">
        <f>IFERROR(IF([1]对账明细接口!$G$979=0,"",[1]对账明细接口!$G$979),"")</f>
      </c>
      <c r="H979" s="176">
        <f>IFERROR(IF([1]对账明细接口!$H$979=0,"",[1]对账明细接口!$H$979),"")</f>
      </c>
      <c r="I979" s="16">
        <f>IFERROR(IF([1]对账明细接口!$I$979=0,"",[1]对账明细接口!$I$979),"")</f>
      </c>
      <c r="J979" s="177">
        <f>IFERROR(IF([1]对账明细接口!$J$979=0,"",[1]对账明细接口!$J$979),"")</f>
      </c>
      <c r="K979" s="177">
        <f>IFERROR(IF([1]对账明细接口!$K$979=0,"",[1]对账明细接口!$K$979),"")</f>
      </c>
      <c r="L979" s="16">
        <f>IFERROR(IF([1]对账明细接口!$L$979=0,"",[1]对账明细接口!$L$979),"")</f>
      </c>
      <c r="M979" s="16">
        <f>IFERROR(IF([1]对账明细接口!$M$979=0,"",[1]对账明细接口!$M$979),"")</f>
      </c>
      <c r="N979" s="19">
        <f>IF($C979="",0,1)</f>
        <v>0</v>
      </c>
      <c r="O979" s="19">
        <f>N(O978)+$N979</f>
        <v>637</v>
      </c>
      <c r="S979" s="20">
        <f>IFERROR(IF([1]对账明细接口!$N979=0,"",[1]对账明细接口!$N979),"")</f>
      </c>
      <c r="T979" s="212">
        <f>IFERROR(IF([1]对账明细接口!$O979=0,"",[1]对账明细接口!$O979),"")</f>
      </c>
      <c r="U979" s="212">
        <f>IFERROR(IF([1]对账明细接口!$P979=0,"",[1]对账明细接口!$P979),"")</f>
      </c>
      <c r="V979" s="212">
        <f>IFERROR(IF([1]对账明细接口!$Q979=0,"",[1]对账明细接口!$Q979),"")</f>
      </c>
      <c r="W979" s="20">
        <f>IFERROR(IF([1]对账明细接口!$R979=0,"",[1]对账明细接口!$R979),"")</f>
      </c>
      <c r="X979" s="20">
        <f>IFERROR(IF([1]对账明细接口!$S979=0,"",[1]对账明细接口!$S979),"")</f>
      </c>
      <c r="Y979" s="20">
        <f>IFERROR(IF([1]对账明细接口!$T979=0,"",[1]对账明细接口!$T979),"")</f>
      </c>
      <c r="Z979" s="213">
        <f>IFERROR(IF([1]对账明细接口!$U979=0,"",[1]对账明细接口!$U979),"")</f>
      </c>
      <c r="AA979" s="213">
        <f>IFERROR(IF([1]对账明细接口!$V979=0,"",[1]对账明细接口!$V979),"")</f>
      </c>
      <c r="AB979" s="20">
        <f>IFERROR(IF([1]对账明细接口!$W979=0,"",[1]对账明细接口!$W979),"")</f>
      </c>
      <c r="AC979" s="7">
        <f>IFERROR(IF([1]对账明细接口!$X979=0,"",[1]对账明细接口!$X979),"")</f>
      </c>
      <c r="AD979" s="7">
        <f>IFERROR(IF([1]对账明细接口!$Y979=0,"",[1]对账明细接口!$Y979),"")</f>
      </c>
      <c r="AE979" s="7">
        <f>IFERROR(IF([1]对账明细接口!$AA979=0,"",[1]对账明细接口!$AA979),"")</f>
      </c>
      <c r="AF979" s="7">
        <f>IFERROR(IF([1]对账明细接口!$AB979=0,"",[1]对账明细接口!$AB979),"")</f>
      </c>
      <c r="AG979" s="7">
        <f>IFERROR(IF([1]对账明细接口!$AC979=0,"",[1]对账明细接口!$AC979),"")</f>
      </c>
      <c r="AH979" s="7">
        <f>IFERROR(IF([1]对账明细接口!$AD979=0,"",[1]对账明细接口!$AD979),"")</f>
      </c>
      <c r="AI979" s="7">
        <f>IFERROR(IF([1]对账明细接口!$AE979=0,"",[1]对账明细接口!$AE979),"")</f>
      </c>
      <c r="AJ979" s="7">
        <f>IFERROR(IF([1]对账明细接口!$AF979=0,"",[1]对账明细接口!$AF979),"")</f>
      </c>
    </row>
    <row r="980" ht="14.25" customHeight="1" s="127">
      <c r="A980" s="14" t="n">
        <v>980</v>
      </c>
      <c r="B980" s="211">
        <f>IFERROR(IF([1]对账明细接口!$B$980=0,"",[1]对账明细接口!$B$980),"")</f>
      </c>
      <c r="C980" s="16">
        <f>IFERROR(IF([1]对账明细接口!$C$980=0,"",[1]对账明细接口!$C$980),"")</f>
      </c>
      <c r="D980" s="16">
        <f>IFERROR(IF([1]对账明细接口!$D$980=0,"",[1]对账明细接口!$D$980),"")</f>
      </c>
      <c r="E980" s="16">
        <f>IFERROR(IF([1]对账明细接口!$E$980=0,"",[1]对账明细接口!$E$980),"")</f>
      </c>
      <c r="F980" s="16">
        <f>IFERROR(IF([1]对账明细接口!$F$980=0,"",[1]对账明细接口!$F$980),"")</f>
      </c>
      <c r="G980" s="16">
        <f>IFERROR(IF([1]对账明细接口!$G$980=0,"",[1]对账明细接口!$G$980),"")</f>
      </c>
      <c r="H980" s="176">
        <f>IFERROR(IF([1]对账明细接口!$H$980=0,"",[1]对账明细接口!$H$980),"")</f>
      </c>
      <c r="I980" s="16">
        <f>IFERROR(IF([1]对账明细接口!$I$980=0,"",[1]对账明细接口!$I$980),"")</f>
      </c>
      <c r="J980" s="177">
        <f>IFERROR(IF([1]对账明细接口!$J$980=0,"",[1]对账明细接口!$J$980),"")</f>
      </c>
      <c r="K980" s="177">
        <f>IFERROR(IF([1]对账明细接口!$K$980=0,"",[1]对账明细接口!$K$980),"")</f>
      </c>
      <c r="L980" s="16">
        <f>IFERROR(IF([1]对账明细接口!$L$980=0,"",[1]对账明细接口!$L$980),"")</f>
      </c>
      <c r="M980" s="16">
        <f>IFERROR(IF([1]对账明细接口!$M$980=0,"",[1]对账明细接口!$M$980),"")</f>
      </c>
      <c r="N980" s="19">
        <f>IF($C980="",0,1)</f>
        <v>0</v>
      </c>
      <c r="O980" s="19">
        <f>N(O979)+$N980</f>
        <v>637</v>
      </c>
      <c r="S980" s="20">
        <f>IFERROR(IF([1]对账明细接口!$N980=0,"",[1]对账明细接口!$N980),"")</f>
      </c>
      <c r="T980" s="212">
        <f>IFERROR(IF([1]对账明细接口!$O980=0,"",[1]对账明细接口!$O980),"")</f>
      </c>
      <c r="U980" s="212">
        <f>IFERROR(IF([1]对账明细接口!$P980=0,"",[1]对账明细接口!$P980),"")</f>
      </c>
      <c r="V980" s="212">
        <f>IFERROR(IF([1]对账明细接口!$Q980=0,"",[1]对账明细接口!$Q980),"")</f>
      </c>
      <c r="W980" s="20">
        <f>IFERROR(IF([1]对账明细接口!$R980=0,"",[1]对账明细接口!$R980),"")</f>
      </c>
      <c r="X980" s="20">
        <f>IFERROR(IF([1]对账明细接口!$S980=0,"",[1]对账明细接口!$S980),"")</f>
      </c>
      <c r="Y980" s="20">
        <f>IFERROR(IF([1]对账明细接口!$T980=0,"",[1]对账明细接口!$T980),"")</f>
      </c>
      <c r="Z980" s="213">
        <f>IFERROR(IF([1]对账明细接口!$U980=0,"",[1]对账明细接口!$U980),"")</f>
      </c>
      <c r="AA980" s="213">
        <f>IFERROR(IF([1]对账明细接口!$V980=0,"",[1]对账明细接口!$V980),"")</f>
      </c>
      <c r="AB980" s="20">
        <f>IFERROR(IF([1]对账明细接口!$W980=0,"",[1]对账明细接口!$W980),"")</f>
      </c>
      <c r="AC980" s="7">
        <f>IFERROR(IF([1]对账明细接口!$X980=0,"",[1]对账明细接口!$X980),"")</f>
      </c>
      <c r="AD980" s="7">
        <f>IFERROR(IF([1]对账明细接口!$Y980=0,"",[1]对账明细接口!$Y980),"")</f>
      </c>
      <c r="AE980" s="7">
        <f>IFERROR(IF([1]对账明细接口!$AA980=0,"",[1]对账明细接口!$AA980),"")</f>
      </c>
      <c r="AF980" s="7">
        <f>IFERROR(IF([1]对账明细接口!$AB980=0,"",[1]对账明细接口!$AB980),"")</f>
      </c>
      <c r="AG980" s="7">
        <f>IFERROR(IF([1]对账明细接口!$AC980=0,"",[1]对账明细接口!$AC980),"")</f>
      </c>
      <c r="AH980" s="7">
        <f>IFERROR(IF([1]对账明细接口!$AD980=0,"",[1]对账明细接口!$AD980),"")</f>
      </c>
      <c r="AI980" s="7">
        <f>IFERROR(IF([1]对账明细接口!$AE980=0,"",[1]对账明细接口!$AE980),"")</f>
      </c>
      <c r="AJ980" s="7">
        <f>IFERROR(IF([1]对账明细接口!$AF980=0,"",[1]对账明细接口!$AF980),"")</f>
      </c>
    </row>
    <row r="981" ht="14.25" customHeight="1" s="127">
      <c r="A981" s="14" t="n">
        <v>981</v>
      </c>
      <c r="B981" s="211">
        <f>IFERROR(IF([1]对账明细接口!$B$981=0,"",[1]对账明细接口!$B$981),"")</f>
      </c>
      <c r="C981" s="16">
        <f>IFERROR(IF([1]对账明细接口!$C$981=0,"",[1]对账明细接口!$C$981),"")</f>
      </c>
      <c r="D981" s="16">
        <f>IFERROR(IF([1]对账明细接口!$D$981=0,"",[1]对账明细接口!$D$981),"")</f>
      </c>
      <c r="E981" s="16">
        <f>IFERROR(IF([1]对账明细接口!$E$981=0,"",[1]对账明细接口!$E$981),"")</f>
      </c>
      <c r="F981" s="16">
        <f>IFERROR(IF([1]对账明细接口!$F$981=0,"",[1]对账明细接口!$F$981),"")</f>
      </c>
      <c r="G981" s="16">
        <f>IFERROR(IF([1]对账明细接口!$G$981=0,"",[1]对账明细接口!$G$981),"")</f>
      </c>
      <c r="H981" s="176">
        <f>IFERROR(IF([1]对账明细接口!$H$981=0,"",[1]对账明细接口!$H$981),"")</f>
      </c>
      <c r="I981" s="16">
        <f>IFERROR(IF([1]对账明细接口!$I$981=0,"",[1]对账明细接口!$I$981),"")</f>
      </c>
      <c r="J981" s="177">
        <f>IFERROR(IF([1]对账明细接口!$J$981=0,"",[1]对账明细接口!$J$981),"")</f>
      </c>
      <c r="K981" s="177">
        <f>IFERROR(IF([1]对账明细接口!$K$981=0,"",[1]对账明细接口!$K$981),"")</f>
      </c>
      <c r="L981" s="16">
        <f>IFERROR(IF([1]对账明细接口!$L$981=0,"",[1]对账明细接口!$L$981),"")</f>
      </c>
      <c r="M981" s="16">
        <f>IFERROR(IF([1]对账明细接口!$M$981=0,"",[1]对账明细接口!$M$981),"")</f>
      </c>
      <c r="N981" s="19">
        <f>IF($C981="",0,1)</f>
        <v>0</v>
      </c>
      <c r="O981" s="19">
        <f>N(O980)+$N981</f>
        <v>637</v>
      </c>
      <c r="S981" s="20">
        <f>IFERROR(IF([1]对账明细接口!$N981=0,"",[1]对账明细接口!$N981),"")</f>
      </c>
      <c r="T981" s="212">
        <f>IFERROR(IF([1]对账明细接口!$O981=0,"",[1]对账明细接口!$O981),"")</f>
      </c>
      <c r="U981" s="212">
        <f>IFERROR(IF([1]对账明细接口!$P981=0,"",[1]对账明细接口!$P981),"")</f>
      </c>
      <c r="V981" s="212">
        <f>IFERROR(IF([1]对账明细接口!$Q981=0,"",[1]对账明细接口!$Q981),"")</f>
      </c>
      <c r="W981" s="20">
        <f>IFERROR(IF([1]对账明细接口!$R981=0,"",[1]对账明细接口!$R981),"")</f>
      </c>
      <c r="X981" s="20">
        <f>IFERROR(IF([1]对账明细接口!$S981=0,"",[1]对账明细接口!$S981),"")</f>
      </c>
      <c r="Y981" s="20">
        <f>IFERROR(IF([1]对账明细接口!$T981=0,"",[1]对账明细接口!$T981),"")</f>
      </c>
      <c r="Z981" s="213">
        <f>IFERROR(IF([1]对账明细接口!$U981=0,"",[1]对账明细接口!$U981),"")</f>
      </c>
      <c r="AA981" s="213">
        <f>IFERROR(IF([1]对账明细接口!$V981=0,"",[1]对账明细接口!$V981),"")</f>
      </c>
      <c r="AB981" s="20">
        <f>IFERROR(IF([1]对账明细接口!$W981=0,"",[1]对账明细接口!$W981),"")</f>
      </c>
      <c r="AC981" s="7">
        <f>IFERROR(IF([1]对账明细接口!$X981=0,"",[1]对账明细接口!$X981),"")</f>
      </c>
      <c r="AD981" s="7">
        <f>IFERROR(IF([1]对账明细接口!$Y981=0,"",[1]对账明细接口!$Y981),"")</f>
      </c>
      <c r="AE981" s="7">
        <f>IFERROR(IF([1]对账明细接口!$AA981=0,"",[1]对账明细接口!$AA981),"")</f>
      </c>
      <c r="AF981" s="7">
        <f>IFERROR(IF([1]对账明细接口!$AB981=0,"",[1]对账明细接口!$AB981),"")</f>
      </c>
      <c r="AG981" s="7">
        <f>IFERROR(IF([1]对账明细接口!$AC981=0,"",[1]对账明细接口!$AC981),"")</f>
      </c>
      <c r="AH981" s="7">
        <f>IFERROR(IF([1]对账明细接口!$AD981=0,"",[1]对账明细接口!$AD981),"")</f>
      </c>
      <c r="AI981" s="7">
        <f>IFERROR(IF([1]对账明细接口!$AE981=0,"",[1]对账明细接口!$AE981),"")</f>
      </c>
      <c r="AJ981" s="7">
        <f>IFERROR(IF([1]对账明细接口!$AF981=0,"",[1]对账明细接口!$AF981),"")</f>
      </c>
    </row>
    <row r="982" ht="14.25" customHeight="1" s="127">
      <c r="A982" s="14" t="n">
        <v>982</v>
      </c>
      <c r="B982" s="211">
        <f>IFERROR(IF([1]对账明细接口!$B$982=0,"",[1]对账明细接口!$B$982),"")</f>
      </c>
      <c r="C982" s="16">
        <f>IFERROR(IF([1]对账明细接口!$C$982=0,"",[1]对账明细接口!$C$982),"")</f>
      </c>
      <c r="D982" s="16">
        <f>IFERROR(IF([1]对账明细接口!$D$982=0,"",[1]对账明细接口!$D$982),"")</f>
      </c>
      <c r="E982" s="16">
        <f>IFERROR(IF([1]对账明细接口!$E$982=0,"",[1]对账明细接口!$E$982),"")</f>
      </c>
      <c r="F982" s="16">
        <f>IFERROR(IF([1]对账明细接口!$F$982=0,"",[1]对账明细接口!$F$982),"")</f>
      </c>
      <c r="G982" s="16">
        <f>IFERROR(IF([1]对账明细接口!$G$982=0,"",[1]对账明细接口!$G$982),"")</f>
      </c>
      <c r="H982" s="176">
        <f>IFERROR(IF([1]对账明细接口!$H$982=0,"",[1]对账明细接口!$H$982),"")</f>
      </c>
      <c r="I982" s="16">
        <f>IFERROR(IF([1]对账明细接口!$I$982=0,"",[1]对账明细接口!$I$982),"")</f>
      </c>
      <c r="J982" s="177">
        <f>IFERROR(IF([1]对账明细接口!$J$982=0,"",[1]对账明细接口!$J$982),"")</f>
      </c>
      <c r="K982" s="177">
        <f>IFERROR(IF([1]对账明细接口!$K$982=0,"",[1]对账明细接口!$K$982),"")</f>
      </c>
      <c r="L982" s="16">
        <f>IFERROR(IF([1]对账明细接口!$L$982=0,"",[1]对账明细接口!$L$982),"")</f>
      </c>
      <c r="M982" s="16">
        <f>IFERROR(IF([1]对账明细接口!$M$982=0,"",[1]对账明细接口!$M$982),"")</f>
      </c>
      <c r="N982" s="19">
        <f>IF($C982="",0,1)</f>
        <v>0</v>
      </c>
      <c r="O982" s="19">
        <f>N(O981)+$N982</f>
        <v>637</v>
      </c>
      <c r="S982" s="20">
        <f>IFERROR(IF([1]对账明细接口!$N982=0,"",[1]对账明细接口!$N982),"")</f>
      </c>
      <c r="T982" s="212">
        <f>IFERROR(IF([1]对账明细接口!$O982=0,"",[1]对账明细接口!$O982),"")</f>
      </c>
      <c r="U982" s="212">
        <f>IFERROR(IF([1]对账明细接口!$P982=0,"",[1]对账明细接口!$P982),"")</f>
      </c>
      <c r="V982" s="212">
        <f>IFERROR(IF([1]对账明细接口!$Q982=0,"",[1]对账明细接口!$Q982),"")</f>
      </c>
      <c r="W982" s="20">
        <f>IFERROR(IF([1]对账明细接口!$R982=0,"",[1]对账明细接口!$R982),"")</f>
      </c>
      <c r="X982" s="20">
        <f>IFERROR(IF([1]对账明细接口!$S982=0,"",[1]对账明细接口!$S982),"")</f>
      </c>
      <c r="Y982" s="20">
        <f>IFERROR(IF([1]对账明细接口!$T982=0,"",[1]对账明细接口!$T982),"")</f>
      </c>
      <c r="Z982" s="213">
        <f>IFERROR(IF([1]对账明细接口!$U982=0,"",[1]对账明细接口!$U982),"")</f>
      </c>
      <c r="AA982" s="213">
        <f>IFERROR(IF([1]对账明细接口!$V982=0,"",[1]对账明细接口!$V982),"")</f>
      </c>
      <c r="AB982" s="20">
        <f>IFERROR(IF([1]对账明细接口!$W982=0,"",[1]对账明细接口!$W982),"")</f>
      </c>
      <c r="AC982" s="7">
        <f>IFERROR(IF([1]对账明细接口!$X982=0,"",[1]对账明细接口!$X982),"")</f>
      </c>
      <c r="AD982" s="7">
        <f>IFERROR(IF([1]对账明细接口!$Y982=0,"",[1]对账明细接口!$Y982),"")</f>
      </c>
      <c r="AE982" s="7">
        <f>IFERROR(IF([1]对账明细接口!$AA982=0,"",[1]对账明细接口!$AA982),"")</f>
      </c>
      <c r="AF982" s="7">
        <f>IFERROR(IF([1]对账明细接口!$AB982=0,"",[1]对账明细接口!$AB982),"")</f>
      </c>
      <c r="AG982" s="7">
        <f>IFERROR(IF([1]对账明细接口!$AC982=0,"",[1]对账明细接口!$AC982),"")</f>
      </c>
      <c r="AH982" s="7">
        <f>IFERROR(IF([1]对账明细接口!$AD982=0,"",[1]对账明细接口!$AD982),"")</f>
      </c>
      <c r="AI982" s="7">
        <f>IFERROR(IF([1]对账明细接口!$AE982=0,"",[1]对账明细接口!$AE982),"")</f>
      </c>
      <c r="AJ982" s="7">
        <f>IFERROR(IF([1]对账明细接口!$AF982=0,"",[1]对账明细接口!$AF982),"")</f>
      </c>
    </row>
    <row r="983" ht="14.25" customHeight="1" s="127">
      <c r="A983" s="14" t="n">
        <v>983</v>
      </c>
      <c r="B983" s="211">
        <f>IFERROR(IF([1]对账明细接口!$B$983=0,"",[1]对账明细接口!$B$983),"")</f>
      </c>
      <c r="C983" s="16">
        <f>IFERROR(IF([1]对账明细接口!$C$983=0,"",[1]对账明细接口!$C$983),"")</f>
      </c>
      <c r="D983" s="16">
        <f>IFERROR(IF([1]对账明细接口!$D$983=0,"",[1]对账明细接口!$D$983),"")</f>
      </c>
      <c r="E983" s="16">
        <f>IFERROR(IF([1]对账明细接口!$E$983=0,"",[1]对账明细接口!$E$983),"")</f>
      </c>
      <c r="F983" s="16">
        <f>IFERROR(IF([1]对账明细接口!$F$983=0,"",[1]对账明细接口!$F$983),"")</f>
      </c>
      <c r="G983" s="16">
        <f>IFERROR(IF([1]对账明细接口!$G$983=0,"",[1]对账明细接口!$G$983),"")</f>
      </c>
      <c r="H983" s="176">
        <f>IFERROR(IF([1]对账明细接口!$H$983=0,"",[1]对账明细接口!$H$983),"")</f>
      </c>
      <c r="I983" s="16">
        <f>IFERROR(IF([1]对账明细接口!$I$983=0,"",[1]对账明细接口!$I$983),"")</f>
      </c>
      <c r="J983" s="177">
        <f>IFERROR(IF([1]对账明细接口!$J$983=0,"",[1]对账明细接口!$J$983),"")</f>
      </c>
      <c r="K983" s="177">
        <f>IFERROR(IF([1]对账明细接口!$K$983=0,"",[1]对账明细接口!$K$983),"")</f>
      </c>
      <c r="L983" s="16">
        <f>IFERROR(IF([1]对账明细接口!$L$983=0,"",[1]对账明细接口!$L$983),"")</f>
      </c>
      <c r="M983" s="16">
        <f>IFERROR(IF([1]对账明细接口!$M$983=0,"",[1]对账明细接口!$M$983),"")</f>
      </c>
      <c r="N983" s="19">
        <f>IF($C983="",0,1)</f>
        <v>0</v>
      </c>
      <c r="O983" s="19">
        <f>N(O982)+$N983</f>
        <v>637</v>
      </c>
      <c r="S983" s="20">
        <f>IFERROR(IF([1]对账明细接口!$N983=0,"",[1]对账明细接口!$N983),"")</f>
      </c>
      <c r="T983" s="212">
        <f>IFERROR(IF([1]对账明细接口!$O983=0,"",[1]对账明细接口!$O983),"")</f>
      </c>
      <c r="U983" s="212">
        <f>IFERROR(IF([1]对账明细接口!$P983=0,"",[1]对账明细接口!$P983),"")</f>
      </c>
      <c r="V983" s="212">
        <f>IFERROR(IF([1]对账明细接口!$Q983=0,"",[1]对账明细接口!$Q983),"")</f>
      </c>
      <c r="W983" s="20">
        <f>IFERROR(IF([1]对账明细接口!$R983=0,"",[1]对账明细接口!$R983),"")</f>
      </c>
      <c r="X983" s="20">
        <f>IFERROR(IF([1]对账明细接口!$S983=0,"",[1]对账明细接口!$S983),"")</f>
      </c>
      <c r="Y983" s="20">
        <f>IFERROR(IF([1]对账明细接口!$T983=0,"",[1]对账明细接口!$T983),"")</f>
      </c>
      <c r="Z983" s="213">
        <f>IFERROR(IF([1]对账明细接口!$U983=0,"",[1]对账明细接口!$U983),"")</f>
      </c>
      <c r="AA983" s="213">
        <f>IFERROR(IF([1]对账明细接口!$V983=0,"",[1]对账明细接口!$V983),"")</f>
      </c>
      <c r="AB983" s="20">
        <f>IFERROR(IF([1]对账明细接口!$W983=0,"",[1]对账明细接口!$W983),"")</f>
      </c>
      <c r="AC983" s="7">
        <f>IFERROR(IF([1]对账明细接口!$X983=0,"",[1]对账明细接口!$X983),"")</f>
      </c>
      <c r="AD983" s="7">
        <f>IFERROR(IF([1]对账明细接口!$Y983=0,"",[1]对账明细接口!$Y983),"")</f>
      </c>
      <c r="AE983" s="7">
        <f>IFERROR(IF([1]对账明细接口!$AA983=0,"",[1]对账明细接口!$AA983),"")</f>
      </c>
      <c r="AF983" s="7">
        <f>IFERROR(IF([1]对账明细接口!$AB983=0,"",[1]对账明细接口!$AB983),"")</f>
      </c>
      <c r="AG983" s="7">
        <f>IFERROR(IF([1]对账明细接口!$AC983=0,"",[1]对账明细接口!$AC983),"")</f>
      </c>
      <c r="AH983" s="7">
        <f>IFERROR(IF([1]对账明细接口!$AD983=0,"",[1]对账明细接口!$AD983),"")</f>
      </c>
      <c r="AI983" s="7">
        <f>IFERROR(IF([1]对账明细接口!$AE983=0,"",[1]对账明细接口!$AE983),"")</f>
      </c>
      <c r="AJ983" s="7">
        <f>IFERROR(IF([1]对账明细接口!$AF983=0,"",[1]对账明细接口!$AF983),"")</f>
      </c>
    </row>
    <row r="984" ht="14.25" customHeight="1" s="127">
      <c r="A984" s="14" t="n">
        <v>984</v>
      </c>
      <c r="B984" s="211">
        <f>IFERROR(IF([1]对账明细接口!$B$984=0,"",[1]对账明细接口!$B$984),"")</f>
      </c>
      <c r="C984" s="16">
        <f>IFERROR(IF([1]对账明细接口!$C$984=0,"",[1]对账明细接口!$C$984),"")</f>
      </c>
      <c r="D984" s="16">
        <f>IFERROR(IF([1]对账明细接口!$D$984=0,"",[1]对账明细接口!$D$984),"")</f>
      </c>
      <c r="E984" s="16">
        <f>IFERROR(IF([1]对账明细接口!$E$984=0,"",[1]对账明细接口!$E$984),"")</f>
      </c>
      <c r="F984" s="16">
        <f>IFERROR(IF([1]对账明细接口!$F$984=0,"",[1]对账明细接口!$F$984),"")</f>
      </c>
      <c r="G984" s="16">
        <f>IFERROR(IF([1]对账明细接口!$G$984=0,"",[1]对账明细接口!$G$984),"")</f>
      </c>
      <c r="H984" s="176">
        <f>IFERROR(IF([1]对账明细接口!$H$984=0,"",[1]对账明细接口!$H$984),"")</f>
      </c>
      <c r="I984" s="16">
        <f>IFERROR(IF([1]对账明细接口!$I$984=0,"",[1]对账明细接口!$I$984),"")</f>
      </c>
      <c r="J984" s="177">
        <f>IFERROR(IF([1]对账明细接口!$J$984=0,"",[1]对账明细接口!$J$984),"")</f>
      </c>
      <c r="K984" s="177">
        <f>IFERROR(IF([1]对账明细接口!$K$984=0,"",[1]对账明细接口!$K$984),"")</f>
      </c>
      <c r="L984" s="16">
        <f>IFERROR(IF([1]对账明细接口!$L$984=0,"",[1]对账明细接口!$L$984),"")</f>
      </c>
      <c r="M984" s="16">
        <f>IFERROR(IF([1]对账明细接口!$M$984=0,"",[1]对账明细接口!$M$984),"")</f>
      </c>
      <c r="N984" s="19">
        <f>IF($C984="",0,1)</f>
        <v>0</v>
      </c>
      <c r="O984" s="19">
        <f>N(O983)+$N984</f>
        <v>637</v>
      </c>
      <c r="S984" s="20">
        <f>IFERROR(IF([1]对账明细接口!$N984=0,"",[1]对账明细接口!$N984),"")</f>
      </c>
      <c r="T984" s="212">
        <f>IFERROR(IF([1]对账明细接口!$O984=0,"",[1]对账明细接口!$O984),"")</f>
      </c>
      <c r="U984" s="212">
        <f>IFERROR(IF([1]对账明细接口!$P984=0,"",[1]对账明细接口!$P984),"")</f>
      </c>
      <c r="V984" s="212">
        <f>IFERROR(IF([1]对账明细接口!$Q984=0,"",[1]对账明细接口!$Q984),"")</f>
      </c>
      <c r="W984" s="20">
        <f>IFERROR(IF([1]对账明细接口!$R984=0,"",[1]对账明细接口!$R984),"")</f>
      </c>
      <c r="X984" s="20">
        <f>IFERROR(IF([1]对账明细接口!$S984=0,"",[1]对账明细接口!$S984),"")</f>
      </c>
      <c r="Y984" s="20">
        <f>IFERROR(IF([1]对账明细接口!$T984=0,"",[1]对账明细接口!$T984),"")</f>
      </c>
      <c r="Z984" s="213">
        <f>IFERROR(IF([1]对账明细接口!$U984=0,"",[1]对账明细接口!$U984),"")</f>
      </c>
      <c r="AA984" s="213">
        <f>IFERROR(IF([1]对账明细接口!$V984=0,"",[1]对账明细接口!$V984),"")</f>
      </c>
      <c r="AB984" s="20">
        <f>IFERROR(IF([1]对账明细接口!$W984=0,"",[1]对账明细接口!$W984),"")</f>
      </c>
      <c r="AC984" s="7">
        <f>IFERROR(IF([1]对账明细接口!$X984=0,"",[1]对账明细接口!$X984),"")</f>
      </c>
      <c r="AD984" s="7">
        <f>IFERROR(IF([1]对账明细接口!$Y984=0,"",[1]对账明细接口!$Y984),"")</f>
      </c>
      <c r="AE984" s="7">
        <f>IFERROR(IF([1]对账明细接口!$AA984=0,"",[1]对账明细接口!$AA984),"")</f>
      </c>
      <c r="AF984" s="7">
        <f>IFERROR(IF([1]对账明细接口!$AB984=0,"",[1]对账明细接口!$AB984),"")</f>
      </c>
      <c r="AG984" s="7">
        <f>IFERROR(IF([1]对账明细接口!$AC984=0,"",[1]对账明细接口!$AC984),"")</f>
      </c>
      <c r="AH984" s="7">
        <f>IFERROR(IF([1]对账明细接口!$AD984=0,"",[1]对账明细接口!$AD984),"")</f>
      </c>
      <c r="AI984" s="7">
        <f>IFERROR(IF([1]对账明细接口!$AE984=0,"",[1]对账明细接口!$AE984),"")</f>
      </c>
      <c r="AJ984" s="7">
        <f>IFERROR(IF([1]对账明细接口!$AF984=0,"",[1]对账明细接口!$AF984),"")</f>
      </c>
    </row>
    <row r="985" ht="14.25" customHeight="1" s="127">
      <c r="A985" s="14" t="n">
        <v>985</v>
      </c>
      <c r="B985" s="211">
        <f>IFERROR(IF([1]对账明细接口!$B$985=0,"",[1]对账明细接口!$B$985),"")</f>
      </c>
      <c r="C985" s="16">
        <f>IFERROR(IF([1]对账明细接口!$C$985=0,"",[1]对账明细接口!$C$985),"")</f>
      </c>
      <c r="D985" s="16">
        <f>IFERROR(IF([1]对账明细接口!$D$985=0,"",[1]对账明细接口!$D$985),"")</f>
      </c>
      <c r="E985" s="16">
        <f>IFERROR(IF([1]对账明细接口!$E$985=0,"",[1]对账明细接口!$E$985),"")</f>
      </c>
      <c r="F985" s="16">
        <f>IFERROR(IF([1]对账明细接口!$F$985=0,"",[1]对账明细接口!$F$985),"")</f>
      </c>
      <c r="G985" s="16">
        <f>IFERROR(IF([1]对账明细接口!$G$985=0,"",[1]对账明细接口!$G$985),"")</f>
      </c>
      <c r="H985" s="176">
        <f>IFERROR(IF([1]对账明细接口!$H$985=0,"",[1]对账明细接口!$H$985),"")</f>
      </c>
      <c r="I985" s="16">
        <f>IFERROR(IF([1]对账明细接口!$I$985=0,"",[1]对账明细接口!$I$985),"")</f>
      </c>
      <c r="J985" s="177">
        <f>IFERROR(IF([1]对账明细接口!$J$985=0,"",[1]对账明细接口!$J$985),"")</f>
      </c>
      <c r="K985" s="177">
        <f>IFERROR(IF([1]对账明细接口!$K$985=0,"",[1]对账明细接口!$K$985),"")</f>
      </c>
      <c r="L985" s="16">
        <f>IFERROR(IF([1]对账明细接口!$L$985=0,"",[1]对账明细接口!$L$985),"")</f>
      </c>
      <c r="M985" s="16">
        <f>IFERROR(IF([1]对账明细接口!$M$985=0,"",[1]对账明细接口!$M$985),"")</f>
      </c>
      <c r="N985" s="19">
        <f>IF($C985="",0,1)</f>
        <v>0</v>
      </c>
      <c r="O985" s="19">
        <f>N(O984)+$N985</f>
        <v>637</v>
      </c>
      <c r="S985" s="20">
        <f>IFERROR(IF([1]对账明细接口!$N985=0,"",[1]对账明细接口!$N985),"")</f>
      </c>
      <c r="T985" s="212">
        <f>IFERROR(IF([1]对账明细接口!$O985=0,"",[1]对账明细接口!$O985),"")</f>
      </c>
      <c r="U985" s="212">
        <f>IFERROR(IF([1]对账明细接口!$P985=0,"",[1]对账明细接口!$P985),"")</f>
      </c>
      <c r="V985" s="212">
        <f>IFERROR(IF([1]对账明细接口!$Q985=0,"",[1]对账明细接口!$Q985),"")</f>
      </c>
      <c r="W985" s="20">
        <f>IFERROR(IF([1]对账明细接口!$R985=0,"",[1]对账明细接口!$R985),"")</f>
      </c>
      <c r="X985" s="20">
        <f>IFERROR(IF([1]对账明细接口!$S985=0,"",[1]对账明细接口!$S985),"")</f>
      </c>
      <c r="Y985" s="20">
        <f>IFERROR(IF([1]对账明细接口!$T985=0,"",[1]对账明细接口!$T985),"")</f>
      </c>
      <c r="Z985" s="213">
        <f>IFERROR(IF([1]对账明细接口!$U985=0,"",[1]对账明细接口!$U985),"")</f>
      </c>
      <c r="AA985" s="213">
        <f>IFERROR(IF([1]对账明细接口!$V985=0,"",[1]对账明细接口!$V985),"")</f>
      </c>
      <c r="AB985" s="20">
        <f>IFERROR(IF([1]对账明细接口!$W985=0,"",[1]对账明细接口!$W985),"")</f>
      </c>
      <c r="AC985" s="7">
        <f>IFERROR(IF([1]对账明细接口!$X985=0,"",[1]对账明细接口!$X985),"")</f>
      </c>
      <c r="AD985" s="7">
        <f>IFERROR(IF([1]对账明细接口!$Y985=0,"",[1]对账明细接口!$Y985),"")</f>
      </c>
      <c r="AE985" s="7">
        <f>IFERROR(IF([1]对账明细接口!$AA985=0,"",[1]对账明细接口!$AA985),"")</f>
      </c>
      <c r="AF985" s="7">
        <f>IFERROR(IF([1]对账明细接口!$AB985=0,"",[1]对账明细接口!$AB985),"")</f>
      </c>
      <c r="AG985" s="7">
        <f>IFERROR(IF([1]对账明细接口!$AC985=0,"",[1]对账明细接口!$AC985),"")</f>
      </c>
      <c r="AH985" s="7">
        <f>IFERROR(IF([1]对账明细接口!$AD985=0,"",[1]对账明细接口!$AD985),"")</f>
      </c>
      <c r="AI985" s="7">
        <f>IFERROR(IF([1]对账明细接口!$AE985=0,"",[1]对账明细接口!$AE985),"")</f>
      </c>
      <c r="AJ985" s="7">
        <f>IFERROR(IF([1]对账明细接口!$AF985=0,"",[1]对账明细接口!$AF985),"")</f>
      </c>
    </row>
    <row r="986" ht="14.25" customHeight="1" s="127">
      <c r="A986" s="14" t="n">
        <v>986</v>
      </c>
      <c r="B986" s="211">
        <f>IFERROR(IF([1]对账明细接口!$B$986=0,"",[1]对账明细接口!$B$986),"")</f>
      </c>
      <c r="C986" s="16">
        <f>IFERROR(IF([1]对账明细接口!$C$986=0,"",[1]对账明细接口!$C$986),"")</f>
      </c>
      <c r="D986" s="16">
        <f>IFERROR(IF([1]对账明细接口!$D$986=0,"",[1]对账明细接口!$D$986),"")</f>
      </c>
      <c r="E986" s="16">
        <f>IFERROR(IF([1]对账明细接口!$E$986=0,"",[1]对账明细接口!$E$986),"")</f>
      </c>
      <c r="F986" s="16">
        <f>IFERROR(IF([1]对账明细接口!$F$986=0,"",[1]对账明细接口!$F$986),"")</f>
      </c>
      <c r="G986" s="16">
        <f>IFERROR(IF([1]对账明细接口!$G$986=0,"",[1]对账明细接口!$G$986),"")</f>
      </c>
      <c r="H986" s="176">
        <f>IFERROR(IF([1]对账明细接口!$H$986=0,"",[1]对账明细接口!$H$986),"")</f>
      </c>
      <c r="I986" s="16">
        <f>IFERROR(IF([1]对账明细接口!$I$986=0,"",[1]对账明细接口!$I$986),"")</f>
      </c>
      <c r="J986" s="177">
        <f>IFERROR(IF([1]对账明细接口!$J$986=0,"",[1]对账明细接口!$J$986),"")</f>
      </c>
      <c r="K986" s="177">
        <f>IFERROR(IF([1]对账明细接口!$K$986=0,"",[1]对账明细接口!$K$986),"")</f>
      </c>
      <c r="L986" s="16">
        <f>IFERROR(IF([1]对账明细接口!$L$986=0,"",[1]对账明细接口!$L$986),"")</f>
      </c>
      <c r="M986" s="16">
        <f>IFERROR(IF([1]对账明细接口!$M$986=0,"",[1]对账明细接口!$M$986),"")</f>
      </c>
      <c r="N986" s="19">
        <f>IF($C986="",0,1)</f>
        <v>0</v>
      </c>
      <c r="O986" s="19">
        <f>N(O985)+$N986</f>
        <v>637</v>
      </c>
      <c r="S986" s="20">
        <f>IFERROR(IF([1]对账明细接口!$N986=0,"",[1]对账明细接口!$N986),"")</f>
      </c>
      <c r="T986" s="212">
        <f>IFERROR(IF([1]对账明细接口!$O986=0,"",[1]对账明细接口!$O986),"")</f>
      </c>
      <c r="U986" s="212">
        <f>IFERROR(IF([1]对账明细接口!$P986=0,"",[1]对账明细接口!$P986),"")</f>
      </c>
      <c r="V986" s="212">
        <f>IFERROR(IF([1]对账明细接口!$Q986=0,"",[1]对账明细接口!$Q986),"")</f>
      </c>
      <c r="W986" s="20">
        <f>IFERROR(IF([1]对账明细接口!$R986=0,"",[1]对账明细接口!$R986),"")</f>
      </c>
      <c r="X986" s="20">
        <f>IFERROR(IF([1]对账明细接口!$S986=0,"",[1]对账明细接口!$S986),"")</f>
      </c>
      <c r="Y986" s="20">
        <f>IFERROR(IF([1]对账明细接口!$T986=0,"",[1]对账明细接口!$T986),"")</f>
      </c>
      <c r="Z986" s="213">
        <f>IFERROR(IF([1]对账明细接口!$U986=0,"",[1]对账明细接口!$U986),"")</f>
      </c>
      <c r="AA986" s="213">
        <f>IFERROR(IF([1]对账明细接口!$V986=0,"",[1]对账明细接口!$V986),"")</f>
      </c>
      <c r="AB986" s="20">
        <f>IFERROR(IF([1]对账明细接口!$W986=0,"",[1]对账明细接口!$W986),"")</f>
      </c>
      <c r="AC986" s="7">
        <f>IFERROR(IF([1]对账明细接口!$X986=0,"",[1]对账明细接口!$X986),"")</f>
      </c>
      <c r="AD986" s="7">
        <f>IFERROR(IF([1]对账明细接口!$Y986=0,"",[1]对账明细接口!$Y986),"")</f>
      </c>
      <c r="AE986" s="7">
        <f>IFERROR(IF([1]对账明细接口!$AA986=0,"",[1]对账明细接口!$AA986),"")</f>
      </c>
      <c r="AF986" s="7">
        <f>IFERROR(IF([1]对账明细接口!$AB986=0,"",[1]对账明细接口!$AB986),"")</f>
      </c>
      <c r="AG986" s="7">
        <f>IFERROR(IF([1]对账明细接口!$AC986=0,"",[1]对账明细接口!$AC986),"")</f>
      </c>
      <c r="AH986" s="7">
        <f>IFERROR(IF([1]对账明细接口!$AD986=0,"",[1]对账明细接口!$AD986),"")</f>
      </c>
      <c r="AI986" s="7">
        <f>IFERROR(IF([1]对账明细接口!$AE986=0,"",[1]对账明细接口!$AE986),"")</f>
      </c>
      <c r="AJ986" s="7">
        <f>IFERROR(IF([1]对账明细接口!$AF986=0,"",[1]对账明细接口!$AF986),"")</f>
      </c>
    </row>
    <row r="987" ht="14.25" customHeight="1" s="127">
      <c r="A987" s="14" t="n">
        <v>987</v>
      </c>
      <c r="B987" s="211">
        <f>IFERROR(IF([1]对账明细接口!$B$987=0,"",[1]对账明细接口!$B$987),"")</f>
      </c>
      <c r="C987" s="16">
        <f>IFERROR(IF([1]对账明细接口!$C$987=0,"",[1]对账明细接口!$C$987),"")</f>
      </c>
      <c r="D987" s="16">
        <f>IFERROR(IF([1]对账明细接口!$D$987=0,"",[1]对账明细接口!$D$987),"")</f>
      </c>
      <c r="E987" s="16">
        <f>IFERROR(IF([1]对账明细接口!$E$987=0,"",[1]对账明细接口!$E$987),"")</f>
      </c>
      <c r="F987" s="16">
        <f>IFERROR(IF([1]对账明细接口!$F$987=0,"",[1]对账明细接口!$F$987),"")</f>
      </c>
      <c r="G987" s="16">
        <f>IFERROR(IF([1]对账明细接口!$G$987=0,"",[1]对账明细接口!$G$987),"")</f>
      </c>
      <c r="H987" s="176">
        <f>IFERROR(IF([1]对账明细接口!$H$987=0,"",[1]对账明细接口!$H$987),"")</f>
      </c>
      <c r="I987" s="16">
        <f>IFERROR(IF([1]对账明细接口!$I$987=0,"",[1]对账明细接口!$I$987),"")</f>
      </c>
      <c r="J987" s="177">
        <f>IFERROR(IF([1]对账明细接口!$J$987=0,"",[1]对账明细接口!$J$987),"")</f>
      </c>
      <c r="K987" s="177">
        <f>IFERROR(IF([1]对账明细接口!$K$987=0,"",[1]对账明细接口!$K$987),"")</f>
      </c>
      <c r="L987" s="16">
        <f>IFERROR(IF([1]对账明细接口!$L$987=0,"",[1]对账明细接口!$L$987),"")</f>
      </c>
      <c r="M987" s="16">
        <f>IFERROR(IF([1]对账明细接口!$M$987=0,"",[1]对账明细接口!$M$987),"")</f>
      </c>
      <c r="N987" s="19">
        <f>IF($C987="",0,1)</f>
        <v>0</v>
      </c>
      <c r="O987" s="19">
        <f>N(O986)+$N987</f>
        <v>637</v>
      </c>
      <c r="S987" s="20">
        <f>IFERROR(IF([1]对账明细接口!$N987=0,"",[1]对账明细接口!$N987),"")</f>
      </c>
      <c r="T987" s="212">
        <f>IFERROR(IF([1]对账明细接口!$O987=0,"",[1]对账明细接口!$O987),"")</f>
      </c>
      <c r="U987" s="212">
        <f>IFERROR(IF([1]对账明细接口!$P987=0,"",[1]对账明细接口!$P987),"")</f>
      </c>
      <c r="V987" s="212">
        <f>IFERROR(IF([1]对账明细接口!$Q987=0,"",[1]对账明细接口!$Q987),"")</f>
      </c>
      <c r="W987" s="20">
        <f>IFERROR(IF([1]对账明细接口!$R987=0,"",[1]对账明细接口!$R987),"")</f>
      </c>
      <c r="X987" s="20">
        <f>IFERROR(IF([1]对账明细接口!$S987=0,"",[1]对账明细接口!$S987),"")</f>
      </c>
      <c r="Y987" s="20">
        <f>IFERROR(IF([1]对账明细接口!$T987=0,"",[1]对账明细接口!$T987),"")</f>
      </c>
      <c r="Z987" s="213">
        <f>IFERROR(IF([1]对账明细接口!$U987=0,"",[1]对账明细接口!$U987),"")</f>
      </c>
      <c r="AA987" s="213">
        <f>IFERROR(IF([1]对账明细接口!$V987=0,"",[1]对账明细接口!$V987),"")</f>
      </c>
      <c r="AB987" s="20">
        <f>IFERROR(IF([1]对账明细接口!$W987=0,"",[1]对账明细接口!$W987),"")</f>
      </c>
      <c r="AC987" s="7">
        <f>IFERROR(IF([1]对账明细接口!$X987=0,"",[1]对账明细接口!$X987),"")</f>
      </c>
      <c r="AD987" s="7">
        <f>IFERROR(IF([1]对账明细接口!$Y987=0,"",[1]对账明细接口!$Y987),"")</f>
      </c>
      <c r="AE987" s="7">
        <f>IFERROR(IF([1]对账明细接口!$AA987=0,"",[1]对账明细接口!$AA987),"")</f>
      </c>
      <c r="AF987" s="7">
        <f>IFERROR(IF([1]对账明细接口!$AB987=0,"",[1]对账明细接口!$AB987),"")</f>
      </c>
      <c r="AG987" s="7">
        <f>IFERROR(IF([1]对账明细接口!$AC987=0,"",[1]对账明细接口!$AC987),"")</f>
      </c>
      <c r="AH987" s="7">
        <f>IFERROR(IF([1]对账明细接口!$AD987=0,"",[1]对账明细接口!$AD987),"")</f>
      </c>
      <c r="AI987" s="7">
        <f>IFERROR(IF([1]对账明细接口!$AE987=0,"",[1]对账明细接口!$AE987),"")</f>
      </c>
      <c r="AJ987" s="7">
        <f>IFERROR(IF([1]对账明细接口!$AF987=0,"",[1]对账明细接口!$AF987),"")</f>
      </c>
    </row>
    <row r="988" ht="14.25" customHeight="1" s="127">
      <c r="A988" s="14" t="n">
        <v>988</v>
      </c>
      <c r="B988" s="211">
        <f>IFERROR(IF([1]对账明细接口!$B$988=0,"",[1]对账明细接口!$B$988),"")</f>
      </c>
      <c r="C988" s="16">
        <f>IFERROR(IF([1]对账明细接口!$C$988=0,"",[1]对账明细接口!$C$988),"")</f>
      </c>
      <c r="D988" s="16">
        <f>IFERROR(IF([1]对账明细接口!$D$988=0,"",[1]对账明细接口!$D$988),"")</f>
      </c>
      <c r="E988" s="16">
        <f>IFERROR(IF([1]对账明细接口!$E$988=0,"",[1]对账明细接口!$E$988),"")</f>
      </c>
      <c r="F988" s="16">
        <f>IFERROR(IF([1]对账明细接口!$F$988=0,"",[1]对账明细接口!$F$988),"")</f>
      </c>
      <c r="G988" s="16">
        <f>IFERROR(IF([1]对账明细接口!$G$988=0,"",[1]对账明细接口!$G$988),"")</f>
      </c>
      <c r="H988" s="176">
        <f>IFERROR(IF([1]对账明细接口!$H$988=0,"",[1]对账明细接口!$H$988),"")</f>
      </c>
      <c r="I988" s="16">
        <f>IFERROR(IF([1]对账明细接口!$I$988=0,"",[1]对账明细接口!$I$988),"")</f>
      </c>
      <c r="J988" s="177">
        <f>IFERROR(IF([1]对账明细接口!$J$988=0,"",[1]对账明细接口!$J$988),"")</f>
      </c>
      <c r="K988" s="177">
        <f>IFERROR(IF([1]对账明细接口!$K$988=0,"",[1]对账明细接口!$K$988),"")</f>
      </c>
      <c r="L988" s="16">
        <f>IFERROR(IF([1]对账明细接口!$L$988=0,"",[1]对账明细接口!$L$988),"")</f>
      </c>
      <c r="M988" s="16">
        <f>IFERROR(IF([1]对账明细接口!$M$988=0,"",[1]对账明细接口!$M$988),"")</f>
      </c>
      <c r="N988" s="19">
        <f>IF($C988="",0,1)</f>
        <v>0</v>
      </c>
      <c r="O988" s="19">
        <f>N(O987)+$N988</f>
        <v>637</v>
      </c>
      <c r="S988" s="20">
        <f>IFERROR(IF([1]对账明细接口!$N988=0,"",[1]对账明细接口!$N988),"")</f>
      </c>
      <c r="T988" s="212">
        <f>IFERROR(IF([1]对账明细接口!$O988=0,"",[1]对账明细接口!$O988),"")</f>
      </c>
      <c r="U988" s="212">
        <f>IFERROR(IF([1]对账明细接口!$P988=0,"",[1]对账明细接口!$P988),"")</f>
      </c>
      <c r="V988" s="212">
        <f>IFERROR(IF([1]对账明细接口!$Q988=0,"",[1]对账明细接口!$Q988),"")</f>
      </c>
      <c r="W988" s="20">
        <f>IFERROR(IF([1]对账明细接口!$R988=0,"",[1]对账明细接口!$R988),"")</f>
      </c>
      <c r="X988" s="20">
        <f>IFERROR(IF([1]对账明细接口!$S988=0,"",[1]对账明细接口!$S988),"")</f>
      </c>
      <c r="Y988" s="20">
        <f>IFERROR(IF([1]对账明细接口!$T988=0,"",[1]对账明细接口!$T988),"")</f>
      </c>
      <c r="Z988" s="213">
        <f>IFERROR(IF([1]对账明细接口!$U988=0,"",[1]对账明细接口!$U988),"")</f>
      </c>
      <c r="AA988" s="213">
        <f>IFERROR(IF([1]对账明细接口!$V988=0,"",[1]对账明细接口!$V988),"")</f>
      </c>
      <c r="AB988" s="20">
        <f>IFERROR(IF([1]对账明细接口!$W988=0,"",[1]对账明细接口!$W988),"")</f>
      </c>
      <c r="AC988" s="7">
        <f>IFERROR(IF([1]对账明细接口!$X988=0,"",[1]对账明细接口!$X988),"")</f>
      </c>
      <c r="AD988" s="7">
        <f>IFERROR(IF([1]对账明细接口!$Y988=0,"",[1]对账明细接口!$Y988),"")</f>
      </c>
      <c r="AE988" s="7">
        <f>IFERROR(IF([1]对账明细接口!$AA988=0,"",[1]对账明细接口!$AA988),"")</f>
      </c>
      <c r="AF988" s="7">
        <f>IFERROR(IF([1]对账明细接口!$AB988=0,"",[1]对账明细接口!$AB988),"")</f>
      </c>
      <c r="AG988" s="7">
        <f>IFERROR(IF([1]对账明细接口!$AC988=0,"",[1]对账明细接口!$AC988),"")</f>
      </c>
      <c r="AH988" s="7">
        <f>IFERROR(IF([1]对账明细接口!$AD988=0,"",[1]对账明细接口!$AD988),"")</f>
      </c>
      <c r="AI988" s="7">
        <f>IFERROR(IF([1]对账明细接口!$AE988=0,"",[1]对账明细接口!$AE988),"")</f>
      </c>
      <c r="AJ988" s="7">
        <f>IFERROR(IF([1]对账明细接口!$AF988=0,"",[1]对账明细接口!$AF988),"")</f>
      </c>
    </row>
    <row r="989" ht="14.25" customHeight="1" s="127">
      <c r="A989" s="14" t="n">
        <v>989</v>
      </c>
      <c r="B989" s="211">
        <f>IFERROR(IF([1]对账明细接口!$B$989=0,"",[1]对账明细接口!$B$989),"")</f>
      </c>
      <c r="C989" s="16">
        <f>IFERROR(IF([1]对账明细接口!$C$989=0,"",[1]对账明细接口!$C$989),"")</f>
      </c>
      <c r="D989" s="16">
        <f>IFERROR(IF([1]对账明细接口!$D$989=0,"",[1]对账明细接口!$D$989),"")</f>
      </c>
      <c r="E989" s="16">
        <f>IFERROR(IF([1]对账明细接口!$E$989=0,"",[1]对账明细接口!$E$989),"")</f>
      </c>
      <c r="F989" s="16">
        <f>IFERROR(IF([1]对账明细接口!$F$989=0,"",[1]对账明细接口!$F$989),"")</f>
      </c>
      <c r="G989" s="16">
        <f>IFERROR(IF([1]对账明细接口!$G$989=0,"",[1]对账明细接口!$G$989),"")</f>
      </c>
      <c r="H989" s="176">
        <f>IFERROR(IF([1]对账明细接口!$H$989=0,"",[1]对账明细接口!$H$989),"")</f>
      </c>
      <c r="I989" s="16">
        <f>IFERROR(IF([1]对账明细接口!$I$989=0,"",[1]对账明细接口!$I$989),"")</f>
      </c>
      <c r="J989" s="177">
        <f>IFERROR(IF([1]对账明细接口!$J$989=0,"",[1]对账明细接口!$J$989),"")</f>
      </c>
      <c r="K989" s="177">
        <f>IFERROR(IF([1]对账明细接口!$K$989=0,"",[1]对账明细接口!$K$989),"")</f>
      </c>
      <c r="L989" s="16">
        <f>IFERROR(IF([1]对账明细接口!$L$989=0,"",[1]对账明细接口!$L$989),"")</f>
      </c>
      <c r="M989" s="16">
        <f>IFERROR(IF([1]对账明细接口!$M$989=0,"",[1]对账明细接口!$M$989),"")</f>
      </c>
      <c r="N989" s="19">
        <f>IF($C989="",0,1)</f>
        <v>0</v>
      </c>
      <c r="O989" s="19">
        <f>N(O988)+$N989</f>
        <v>637</v>
      </c>
      <c r="S989" s="20">
        <f>IFERROR(IF([1]对账明细接口!$N989=0,"",[1]对账明细接口!$N989),"")</f>
      </c>
      <c r="T989" s="212">
        <f>IFERROR(IF([1]对账明细接口!$O989=0,"",[1]对账明细接口!$O989),"")</f>
      </c>
      <c r="U989" s="212">
        <f>IFERROR(IF([1]对账明细接口!$P989=0,"",[1]对账明细接口!$P989),"")</f>
      </c>
      <c r="V989" s="212">
        <f>IFERROR(IF([1]对账明细接口!$Q989=0,"",[1]对账明细接口!$Q989),"")</f>
      </c>
      <c r="W989" s="20">
        <f>IFERROR(IF([1]对账明细接口!$R989=0,"",[1]对账明细接口!$R989),"")</f>
      </c>
      <c r="X989" s="20">
        <f>IFERROR(IF([1]对账明细接口!$S989=0,"",[1]对账明细接口!$S989),"")</f>
      </c>
      <c r="Y989" s="20">
        <f>IFERROR(IF([1]对账明细接口!$T989=0,"",[1]对账明细接口!$T989),"")</f>
      </c>
      <c r="Z989" s="213">
        <f>IFERROR(IF([1]对账明细接口!$U989=0,"",[1]对账明细接口!$U989),"")</f>
      </c>
      <c r="AA989" s="213">
        <f>IFERROR(IF([1]对账明细接口!$V989=0,"",[1]对账明细接口!$V989),"")</f>
      </c>
      <c r="AB989" s="20">
        <f>IFERROR(IF([1]对账明细接口!$W989=0,"",[1]对账明细接口!$W989),"")</f>
      </c>
      <c r="AC989" s="7">
        <f>IFERROR(IF([1]对账明细接口!$X989=0,"",[1]对账明细接口!$X989),"")</f>
      </c>
      <c r="AD989" s="7">
        <f>IFERROR(IF([1]对账明细接口!$Y989=0,"",[1]对账明细接口!$Y989),"")</f>
      </c>
      <c r="AE989" s="7">
        <f>IFERROR(IF([1]对账明细接口!$AA989=0,"",[1]对账明细接口!$AA989),"")</f>
      </c>
      <c r="AF989" s="7">
        <f>IFERROR(IF([1]对账明细接口!$AB989=0,"",[1]对账明细接口!$AB989),"")</f>
      </c>
      <c r="AG989" s="7">
        <f>IFERROR(IF([1]对账明细接口!$AC989=0,"",[1]对账明细接口!$AC989),"")</f>
      </c>
      <c r="AH989" s="7">
        <f>IFERROR(IF([1]对账明细接口!$AD989=0,"",[1]对账明细接口!$AD989),"")</f>
      </c>
      <c r="AI989" s="7">
        <f>IFERROR(IF([1]对账明细接口!$AE989=0,"",[1]对账明细接口!$AE989),"")</f>
      </c>
      <c r="AJ989" s="7">
        <f>IFERROR(IF([1]对账明细接口!$AF989=0,"",[1]对账明细接口!$AF989),"")</f>
      </c>
    </row>
    <row r="990" ht="14.25" customHeight="1" s="127">
      <c r="A990" s="14" t="n">
        <v>990</v>
      </c>
      <c r="B990" s="211">
        <f>IFERROR(IF([1]对账明细接口!$B$990=0,"",[1]对账明细接口!$B$990),"")</f>
      </c>
      <c r="C990" s="16">
        <f>IFERROR(IF([1]对账明细接口!$C$990=0,"",[1]对账明细接口!$C$990),"")</f>
      </c>
      <c r="D990" s="16">
        <f>IFERROR(IF([1]对账明细接口!$D$990=0,"",[1]对账明细接口!$D$990),"")</f>
      </c>
      <c r="E990" s="16">
        <f>IFERROR(IF([1]对账明细接口!$E$990=0,"",[1]对账明细接口!$E$990),"")</f>
      </c>
      <c r="F990" s="16">
        <f>IFERROR(IF([1]对账明细接口!$F$990=0,"",[1]对账明细接口!$F$990),"")</f>
      </c>
      <c r="G990" s="16">
        <f>IFERROR(IF([1]对账明细接口!$G$990=0,"",[1]对账明细接口!$G$990),"")</f>
      </c>
      <c r="H990" s="176">
        <f>IFERROR(IF([1]对账明细接口!$H$990=0,"",[1]对账明细接口!$H$990),"")</f>
      </c>
      <c r="I990" s="16">
        <f>IFERROR(IF([1]对账明细接口!$I$990=0,"",[1]对账明细接口!$I$990),"")</f>
      </c>
      <c r="J990" s="177">
        <f>IFERROR(IF([1]对账明细接口!$J$990=0,"",[1]对账明细接口!$J$990),"")</f>
      </c>
      <c r="K990" s="177">
        <f>IFERROR(IF([1]对账明细接口!$K$990=0,"",[1]对账明细接口!$K$990),"")</f>
      </c>
      <c r="L990" s="16">
        <f>IFERROR(IF([1]对账明细接口!$L$990=0,"",[1]对账明细接口!$L$990),"")</f>
      </c>
      <c r="M990" s="16">
        <f>IFERROR(IF([1]对账明细接口!$M$990=0,"",[1]对账明细接口!$M$990),"")</f>
      </c>
      <c r="N990" s="19">
        <f>IF($C990="",0,1)</f>
        <v>0</v>
      </c>
      <c r="O990" s="19">
        <f>N(O989)+$N990</f>
        <v>637</v>
      </c>
      <c r="S990" s="20">
        <f>IFERROR(IF([1]对账明细接口!$N990=0,"",[1]对账明细接口!$N990),"")</f>
      </c>
      <c r="T990" s="212">
        <f>IFERROR(IF([1]对账明细接口!$O990=0,"",[1]对账明细接口!$O990),"")</f>
      </c>
      <c r="U990" s="212">
        <f>IFERROR(IF([1]对账明细接口!$P990=0,"",[1]对账明细接口!$P990),"")</f>
      </c>
      <c r="V990" s="212">
        <f>IFERROR(IF([1]对账明细接口!$Q990=0,"",[1]对账明细接口!$Q990),"")</f>
      </c>
      <c r="W990" s="20">
        <f>IFERROR(IF([1]对账明细接口!$R990=0,"",[1]对账明细接口!$R990),"")</f>
      </c>
      <c r="X990" s="20">
        <f>IFERROR(IF([1]对账明细接口!$S990=0,"",[1]对账明细接口!$S990),"")</f>
      </c>
      <c r="Y990" s="20">
        <f>IFERROR(IF([1]对账明细接口!$T990=0,"",[1]对账明细接口!$T990),"")</f>
      </c>
      <c r="Z990" s="213">
        <f>IFERROR(IF([1]对账明细接口!$U990=0,"",[1]对账明细接口!$U990),"")</f>
      </c>
      <c r="AA990" s="213">
        <f>IFERROR(IF([1]对账明细接口!$V990=0,"",[1]对账明细接口!$V990),"")</f>
      </c>
      <c r="AB990" s="20">
        <f>IFERROR(IF([1]对账明细接口!$W990=0,"",[1]对账明细接口!$W990),"")</f>
      </c>
      <c r="AC990" s="7">
        <f>IFERROR(IF([1]对账明细接口!$X990=0,"",[1]对账明细接口!$X990),"")</f>
      </c>
      <c r="AD990" s="7">
        <f>IFERROR(IF([1]对账明细接口!$Y990=0,"",[1]对账明细接口!$Y990),"")</f>
      </c>
      <c r="AE990" s="7">
        <f>IFERROR(IF([1]对账明细接口!$AA990=0,"",[1]对账明细接口!$AA990),"")</f>
      </c>
      <c r="AF990" s="7">
        <f>IFERROR(IF([1]对账明细接口!$AB990=0,"",[1]对账明细接口!$AB990),"")</f>
      </c>
      <c r="AG990" s="7">
        <f>IFERROR(IF([1]对账明细接口!$AC990=0,"",[1]对账明细接口!$AC990),"")</f>
      </c>
      <c r="AH990" s="7">
        <f>IFERROR(IF([1]对账明细接口!$AD990=0,"",[1]对账明细接口!$AD990),"")</f>
      </c>
      <c r="AI990" s="7">
        <f>IFERROR(IF([1]对账明细接口!$AE990=0,"",[1]对账明细接口!$AE990),"")</f>
      </c>
      <c r="AJ990" s="7">
        <f>IFERROR(IF([1]对账明细接口!$AF990=0,"",[1]对账明细接口!$AF990),"")</f>
      </c>
    </row>
    <row r="991" ht="14.25" customHeight="1" s="127">
      <c r="A991" s="14" t="n">
        <v>991</v>
      </c>
      <c r="B991" s="211">
        <f>IFERROR(IF([1]对账明细接口!$B$991=0,"",[1]对账明细接口!$B$991),"")</f>
      </c>
      <c r="C991" s="16">
        <f>IFERROR(IF([1]对账明细接口!$C$991=0,"",[1]对账明细接口!$C$991),"")</f>
      </c>
      <c r="D991" s="16">
        <f>IFERROR(IF([1]对账明细接口!$D$991=0,"",[1]对账明细接口!$D$991),"")</f>
      </c>
      <c r="E991" s="16">
        <f>IFERROR(IF([1]对账明细接口!$E$991=0,"",[1]对账明细接口!$E$991),"")</f>
      </c>
      <c r="F991" s="16">
        <f>IFERROR(IF([1]对账明细接口!$F$991=0,"",[1]对账明细接口!$F$991),"")</f>
      </c>
      <c r="G991" s="16">
        <f>IFERROR(IF([1]对账明细接口!$G$991=0,"",[1]对账明细接口!$G$991),"")</f>
      </c>
      <c r="H991" s="176">
        <f>IFERROR(IF([1]对账明细接口!$H$991=0,"",[1]对账明细接口!$H$991),"")</f>
      </c>
      <c r="I991" s="16">
        <f>IFERROR(IF([1]对账明细接口!$I$991=0,"",[1]对账明细接口!$I$991),"")</f>
      </c>
      <c r="J991" s="177">
        <f>IFERROR(IF([1]对账明细接口!$J$991=0,"",[1]对账明细接口!$J$991),"")</f>
      </c>
      <c r="K991" s="177">
        <f>IFERROR(IF([1]对账明细接口!$K$991=0,"",[1]对账明细接口!$K$991),"")</f>
      </c>
      <c r="L991" s="16">
        <f>IFERROR(IF([1]对账明细接口!$L$991=0,"",[1]对账明细接口!$L$991),"")</f>
      </c>
      <c r="M991" s="16">
        <f>IFERROR(IF([1]对账明细接口!$M$991=0,"",[1]对账明细接口!$M$991),"")</f>
      </c>
      <c r="N991" s="19">
        <f>IF($C991="",0,1)</f>
        <v>0</v>
      </c>
      <c r="O991" s="19">
        <f>N(O990)+$N991</f>
        <v>637</v>
      </c>
      <c r="S991" s="20">
        <f>IFERROR(IF([1]对账明细接口!$N991=0,"",[1]对账明细接口!$N991),"")</f>
      </c>
      <c r="T991" s="212">
        <f>IFERROR(IF([1]对账明细接口!$O991=0,"",[1]对账明细接口!$O991),"")</f>
      </c>
      <c r="U991" s="212">
        <f>IFERROR(IF([1]对账明细接口!$P991=0,"",[1]对账明细接口!$P991),"")</f>
      </c>
      <c r="V991" s="212">
        <f>IFERROR(IF([1]对账明细接口!$Q991=0,"",[1]对账明细接口!$Q991),"")</f>
      </c>
      <c r="W991" s="20">
        <f>IFERROR(IF([1]对账明细接口!$R991=0,"",[1]对账明细接口!$R991),"")</f>
      </c>
      <c r="X991" s="20">
        <f>IFERROR(IF([1]对账明细接口!$S991=0,"",[1]对账明细接口!$S991),"")</f>
      </c>
      <c r="Y991" s="20">
        <f>IFERROR(IF([1]对账明细接口!$T991=0,"",[1]对账明细接口!$T991),"")</f>
      </c>
      <c r="Z991" s="213">
        <f>IFERROR(IF([1]对账明细接口!$U991=0,"",[1]对账明细接口!$U991),"")</f>
      </c>
      <c r="AA991" s="213">
        <f>IFERROR(IF([1]对账明细接口!$V991=0,"",[1]对账明细接口!$V991),"")</f>
      </c>
      <c r="AB991" s="20">
        <f>IFERROR(IF([1]对账明细接口!$W991=0,"",[1]对账明细接口!$W991),"")</f>
      </c>
      <c r="AC991" s="7">
        <f>IFERROR(IF([1]对账明细接口!$X991=0,"",[1]对账明细接口!$X991),"")</f>
      </c>
      <c r="AD991" s="7">
        <f>IFERROR(IF([1]对账明细接口!$Y991=0,"",[1]对账明细接口!$Y991),"")</f>
      </c>
      <c r="AE991" s="7">
        <f>IFERROR(IF([1]对账明细接口!$AA991=0,"",[1]对账明细接口!$AA991),"")</f>
      </c>
      <c r="AF991" s="7">
        <f>IFERROR(IF([1]对账明细接口!$AB991=0,"",[1]对账明细接口!$AB991),"")</f>
      </c>
      <c r="AG991" s="7">
        <f>IFERROR(IF([1]对账明细接口!$AC991=0,"",[1]对账明细接口!$AC991),"")</f>
      </c>
      <c r="AH991" s="7">
        <f>IFERROR(IF([1]对账明细接口!$AD991=0,"",[1]对账明细接口!$AD991),"")</f>
      </c>
      <c r="AI991" s="7">
        <f>IFERROR(IF([1]对账明细接口!$AE991=0,"",[1]对账明细接口!$AE991),"")</f>
      </c>
      <c r="AJ991" s="7">
        <f>IFERROR(IF([1]对账明细接口!$AF991=0,"",[1]对账明细接口!$AF991),"")</f>
      </c>
    </row>
    <row r="992" ht="14.25" customHeight="1" s="127">
      <c r="A992" s="14" t="n">
        <v>992</v>
      </c>
      <c r="B992" s="211">
        <f>IFERROR(IF([1]对账明细接口!$B$992=0,"",[1]对账明细接口!$B$992),"")</f>
      </c>
      <c r="C992" s="16">
        <f>IFERROR(IF([1]对账明细接口!$C$992=0,"",[1]对账明细接口!$C$992),"")</f>
      </c>
      <c r="D992" s="16">
        <f>IFERROR(IF([1]对账明细接口!$D$992=0,"",[1]对账明细接口!$D$992),"")</f>
      </c>
      <c r="E992" s="16">
        <f>IFERROR(IF([1]对账明细接口!$E$992=0,"",[1]对账明细接口!$E$992),"")</f>
      </c>
      <c r="F992" s="16">
        <f>IFERROR(IF([1]对账明细接口!$F$992=0,"",[1]对账明细接口!$F$992),"")</f>
      </c>
      <c r="G992" s="16">
        <f>IFERROR(IF([1]对账明细接口!$G$992=0,"",[1]对账明细接口!$G$992),"")</f>
      </c>
      <c r="H992" s="176">
        <f>IFERROR(IF([1]对账明细接口!$H$992=0,"",[1]对账明细接口!$H$992),"")</f>
      </c>
      <c r="I992" s="16">
        <f>IFERROR(IF([1]对账明细接口!$I$992=0,"",[1]对账明细接口!$I$992),"")</f>
      </c>
      <c r="J992" s="177">
        <f>IFERROR(IF([1]对账明细接口!$J$992=0,"",[1]对账明细接口!$J$992),"")</f>
      </c>
      <c r="K992" s="177">
        <f>IFERROR(IF([1]对账明细接口!$K$992=0,"",[1]对账明细接口!$K$992),"")</f>
      </c>
      <c r="L992" s="16">
        <f>IFERROR(IF([1]对账明细接口!$L$992=0,"",[1]对账明细接口!$L$992),"")</f>
      </c>
      <c r="M992" s="16">
        <f>IFERROR(IF([1]对账明细接口!$M$992=0,"",[1]对账明细接口!$M$992),"")</f>
      </c>
      <c r="N992" s="19">
        <f>IF($C992="",0,1)</f>
        <v>0</v>
      </c>
      <c r="O992" s="19">
        <f>N(O991)+$N992</f>
        <v>637</v>
      </c>
      <c r="S992" s="20">
        <f>IFERROR(IF([1]对账明细接口!$N992=0,"",[1]对账明细接口!$N992),"")</f>
      </c>
      <c r="T992" s="212">
        <f>IFERROR(IF([1]对账明细接口!$O992=0,"",[1]对账明细接口!$O992),"")</f>
      </c>
      <c r="U992" s="212">
        <f>IFERROR(IF([1]对账明细接口!$P992=0,"",[1]对账明细接口!$P992),"")</f>
      </c>
      <c r="V992" s="212">
        <f>IFERROR(IF([1]对账明细接口!$Q992=0,"",[1]对账明细接口!$Q992),"")</f>
      </c>
      <c r="W992" s="20">
        <f>IFERROR(IF([1]对账明细接口!$R992=0,"",[1]对账明细接口!$R992),"")</f>
      </c>
      <c r="X992" s="20">
        <f>IFERROR(IF([1]对账明细接口!$S992=0,"",[1]对账明细接口!$S992),"")</f>
      </c>
      <c r="Y992" s="20">
        <f>IFERROR(IF([1]对账明细接口!$T992=0,"",[1]对账明细接口!$T992),"")</f>
      </c>
      <c r="Z992" s="213">
        <f>IFERROR(IF([1]对账明细接口!$U992=0,"",[1]对账明细接口!$U992),"")</f>
      </c>
      <c r="AA992" s="213">
        <f>IFERROR(IF([1]对账明细接口!$V992=0,"",[1]对账明细接口!$V992),"")</f>
      </c>
      <c r="AB992" s="20">
        <f>IFERROR(IF([1]对账明细接口!$W992=0,"",[1]对账明细接口!$W992),"")</f>
      </c>
      <c r="AC992" s="7">
        <f>IFERROR(IF([1]对账明细接口!$X992=0,"",[1]对账明细接口!$X992),"")</f>
      </c>
      <c r="AD992" s="7">
        <f>IFERROR(IF([1]对账明细接口!$Y992=0,"",[1]对账明细接口!$Y992),"")</f>
      </c>
      <c r="AE992" s="7">
        <f>IFERROR(IF([1]对账明细接口!$AA992=0,"",[1]对账明细接口!$AA992),"")</f>
      </c>
      <c r="AF992" s="7">
        <f>IFERROR(IF([1]对账明细接口!$AB992=0,"",[1]对账明细接口!$AB992),"")</f>
      </c>
      <c r="AG992" s="7">
        <f>IFERROR(IF([1]对账明细接口!$AC992=0,"",[1]对账明细接口!$AC992),"")</f>
      </c>
      <c r="AH992" s="7">
        <f>IFERROR(IF([1]对账明细接口!$AD992=0,"",[1]对账明细接口!$AD992),"")</f>
      </c>
      <c r="AI992" s="7">
        <f>IFERROR(IF([1]对账明细接口!$AE992=0,"",[1]对账明细接口!$AE992),"")</f>
      </c>
      <c r="AJ992" s="7">
        <f>IFERROR(IF([1]对账明细接口!$AF992=0,"",[1]对账明细接口!$AF992),"")</f>
      </c>
    </row>
    <row r="993" ht="14.25" customHeight="1" s="127">
      <c r="A993" s="14" t="n">
        <v>993</v>
      </c>
      <c r="B993" s="211">
        <f>IFERROR(IF([1]对账明细接口!$B$993=0,"",[1]对账明细接口!$B$993),"")</f>
      </c>
      <c r="C993" s="16">
        <f>IFERROR(IF([1]对账明细接口!$C$993=0,"",[1]对账明细接口!$C$993),"")</f>
      </c>
      <c r="D993" s="16">
        <f>IFERROR(IF([1]对账明细接口!$D$993=0,"",[1]对账明细接口!$D$993),"")</f>
      </c>
      <c r="E993" s="16">
        <f>IFERROR(IF([1]对账明细接口!$E$993=0,"",[1]对账明细接口!$E$993),"")</f>
      </c>
      <c r="F993" s="16">
        <f>IFERROR(IF([1]对账明细接口!$F$993=0,"",[1]对账明细接口!$F$993),"")</f>
      </c>
      <c r="G993" s="16">
        <f>IFERROR(IF([1]对账明细接口!$G$993=0,"",[1]对账明细接口!$G$993),"")</f>
      </c>
      <c r="H993" s="176">
        <f>IFERROR(IF([1]对账明细接口!$H$993=0,"",[1]对账明细接口!$H$993),"")</f>
      </c>
      <c r="I993" s="16">
        <f>IFERROR(IF([1]对账明细接口!$I$993=0,"",[1]对账明细接口!$I$993),"")</f>
      </c>
      <c r="J993" s="177">
        <f>IFERROR(IF([1]对账明细接口!$J$993=0,"",[1]对账明细接口!$J$993),"")</f>
      </c>
      <c r="K993" s="177">
        <f>IFERROR(IF([1]对账明细接口!$K$993=0,"",[1]对账明细接口!$K$993),"")</f>
      </c>
      <c r="L993" s="16">
        <f>IFERROR(IF([1]对账明细接口!$L$993=0,"",[1]对账明细接口!$L$993),"")</f>
      </c>
      <c r="M993" s="16">
        <f>IFERROR(IF([1]对账明细接口!$M$993=0,"",[1]对账明细接口!$M$993),"")</f>
      </c>
      <c r="N993" s="19">
        <f>IF($C993="",0,1)</f>
        <v>0</v>
      </c>
      <c r="O993" s="19">
        <f>N(O992)+$N993</f>
        <v>637</v>
      </c>
      <c r="S993" s="20">
        <f>IFERROR(IF([1]对账明细接口!$N993=0,"",[1]对账明细接口!$N993),"")</f>
      </c>
      <c r="T993" s="212">
        <f>IFERROR(IF([1]对账明细接口!$O993=0,"",[1]对账明细接口!$O993),"")</f>
      </c>
      <c r="U993" s="212">
        <f>IFERROR(IF([1]对账明细接口!$P993=0,"",[1]对账明细接口!$P993),"")</f>
      </c>
      <c r="V993" s="212">
        <f>IFERROR(IF([1]对账明细接口!$Q993=0,"",[1]对账明细接口!$Q993),"")</f>
      </c>
      <c r="W993" s="20">
        <f>IFERROR(IF([1]对账明细接口!$R993=0,"",[1]对账明细接口!$R993),"")</f>
      </c>
      <c r="X993" s="20">
        <f>IFERROR(IF([1]对账明细接口!$S993=0,"",[1]对账明细接口!$S993),"")</f>
      </c>
      <c r="Y993" s="20">
        <f>IFERROR(IF([1]对账明细接口!$T993=0,"",[1]对账明细接口!$T993),"")</f>
      </c>
      <c r="Z993" s="213">
        <f>IFERROR(IF([1]对账明细接口!$U993=0,"",[1]对账明细接口!$U993),"")</f>
      </c>
      <c r="AA993" s="213">
        <f>IFERROR(IF([1]对账明细接口!$V993=0,"",[1]对账明细接口!$V993),"")</f>
      </c>
      <c r="AB993" s="20">
        <f>IFERROR(IF([1]对账明细接口!$W993=0,"",[1]对账明细接口!$W993),"")</f>
      </c>
      <c r="AC993" s="7">
        <f>IFERROR(IF([1]对账明细接口!$X993=0,"",[1]对账明细接口!$X993),"")</f>
      </c>
      <c r="AD993" s="7">
        <f>IFERROR(IF([1]对账明细接口!$Y993=0,"",[1]对账明细接口!$Y993),"")</f>
      </c>
      <c r="AE993" s="7">
        <f>IFERROR(IF([1]对账明细接口!$AA993=0,"",[1]对账明细接口!$AA993),"")</f>
      </c>
      <c r="AF993" s="7">
        <f>IFERROR(IF([1]对账明细接口!$AB993=0,"",[1]对账明细接口!$AB993),"")</f>
      </c>
      <c r="AG993" s="7">
        <f>IFERROR(IF([1]对账明细接口!$AC993=0,"",[1]对账明细接口!$AC993),"")</f>
      </c>
      <c r="AH993" s="7">
        <f>IFERROR(IF([1]对账明细接口!$AD993=0,"",[1]对账明细接口!$AD993),"")</f>
      </c>
      <c r="AI993" s="7">
        <f>IFERROR(IF([1]对账明细接口!$AE993=0,"",[1]对账明细接口!$AE993),"")</f>
      </c>
      <c r="AJ993" s="7">
        <f>IFERROR(IF([1]对账明细接口!$AF993=0,"",[1]对账明细接口!$AF993),"")</f>
      </c>
    </row>
    <row r="994" ht="14.25" customHeight="1" s="127">
      <c r="A994" s="14" t="n">
        <v>994</v>
      </c>
      <c r="B994" s="211">
        <f>IFERROR(IF([1]对账明细接口!$B$994=0,"",[1]对账明细接口!$B$994),"")</f>
      </c>
      <c r="C994" s="16">
        <f>IFERROR(IF([1]对账明细接口!$C$994=0,"",[1]对账明细接口!$C$994),"")</f>
      </c>
      <c r="D994" s="16">
        <f>IFERROR(IF([1]对账明细接口!$D$994=0,"",[1]对账明细接口!$D$994),"")</f>
      </c>
      <c r="E994" s="16">
        <f>IFERROR(IF([1]对账明细接口!$E$994=0,"",[1]对账明细接口!$E$994),"")</f>
      </c>
      <c r="F994" s="16">
        <f>IFERROR(IF([1]对账明细接口!$F$994=0,"",[1]对账明细接口!$F$994),"")</f>
      </c>
      <c r="G994" s="16">
        <f>IFERROR(IF([1]对账明细接口!$G$994=0,"",[1]对账明细接口!$G$994),"")</f>
      </c>
      <c r="H994" s="176">
        <f>IFERROR(IF([1]对账明细接口!$H$994=0,"",[1]对账明细接口!$H$994),"")</f>
      </c>
      <c r="I994" s="16">
        <f>IFERROR(IF([1]对账明细接口!$I$994=0,"",[1]对账明细接口!$I$994),"")</f>
      </c>
      <c r="J994" s="177">
        <f>IFERROR(IF([1]对账明细接口!$J$994=0,"",[1]对账明细接口!$J$994),"")</f>
      </c>
      <c r="K994" s="177">
        <f>IFERROR(IF([1]对账明细接口!$K$994=0,"",[1]对账明细接口!$K$994),"")</f>
      </c>
      <c r="L994" s="16">
        <f>IFERROR(IF([1]对账明细接口!$L$994=0,"",[1]对账明细接口!$L$994),"")</f>
      </c>
      <c r="M994" s="16">
        <f>IFERROR(IF([1]对账明细接口!$M$994=0,"",[1]对账明细接口!$M$994),"")</f>
      </c>
      <c r="N994" s="19">
        <f>IF($C994="",0,1)</f>
        <v>0</v>
      </c>
      <c r="O994" s="19">
        <f>N(O993)+$N994</f>
        <v>637</v>
      </c>
      <c r="S994" s="20">
        <f>IFERROR(IF([1]对账明细接口!$N994=0,"",[1]对账明细接口!$N994),"")</f>
      </c>
      <c r="T994" s="212">
        <f>IFERROR(IF([1]对账明细接口!$O994=0,"",[1]对账明细接口!$O994),"")</f>
      </c>
      <c r="U994" s="212">
        <f>IFERROR(IF([1]对账明细接口!$P994=0,"",[1]对账明细接口!$P994),"")</f>
      </c>
      <c r="V994" s="212">
        <f>IFERROR(IF([1]对账明细接口!$Q994=0,"",[1]对账明细接口!$Q994),"")</f>
      </c>
      <c r="W994" s="20">
        <f>IFERROR(IF([1]对账明细接口!$R994=0,"",[1]对账明细接口!$R994),"")</f>
      </c>
      <c r="X994" s="20">
        <f>IFERROR(IF([1]对账明细接口!$S994=0,"",[1]对账明细接口!$S994),"")</f>
      </c>
      <c r="Y994" s="20">
        <f>IFERROR(IF([1]对账明细接口!$T994=0,"",[1]对账明细接口!$T994),"")</f>
      </c>
      <c r="Z994" s="213">
        <f>IFERROR(IF([1]对账明细接口!$U994=0,"",[1]对账明细接口!$U994),"")</f>
      </c>
      <c r="AA994" s="213">
        <f>IFERROR(IF([1]对账明细接口!$V994=0,"",[1]对账明细接口!$V994),"")</f>
      </c>
      <c r="AB994" s="20">
        <f>IFERROR(IF([1]对账明细接口!$W994=0,"",[1]对账明细接口!$W994),"")</f>
      </c>
      <c r="AC994" s="7">
        <f>IFERROR(IF([1]对账明细接口!$X994=0,"",[1]对账明细接口!$X994),"")</f>
      </c>
      <c r="AD994" s="7">
        <f>IFERROR(IF([1]对账明细接口!$Y994=0,"",[1]对账明细接口!$Y994),"")</f>
      </c>
      <c r="AE994" s="7">
        <f>IFERROR(IF([1]对账明细接口!$AA994=0,"",[1]对账明细接口!$AA994),"")</f>
      </c>
      <c r="AF994" s="7">
        <f>IFERROR(IF([1]对账明细接口!$AB994=0,"",[1]对账明细接口!$AB994),"")</f>
      </c>
      <c r="AG994" s="7">
        <f>IFERROR(IF([1]对账明细接口!$AC994=0,"",[1]对账明细接口!$AC994),"")</f>
      </c>
      <c r="AH994" s="7">
        <f>IFERROR(IF([1]对账明细接口!$AD994=0,"",[1]对账明细接口!$AD994),"")</f>
      </c>
      <c r="AI994" s="7">
        <f>IFERROR(IF([1]对账明细接口!$AE994=0,"",[1]对账明细接口!$AE994),"")</f>
      </c>
      <c r="AJ994" s="7">
        <f>IFERROR(IF([1]对账明细接口!$AF994=0,"",[1]对账明细接口!$AF994),"")</f>
      </c>
    </row>
    <row r="995" ht="14.25" customHeight="1" s="127">
      <c r="A995" s="14" t="n">
        <v>995</v>
      </c>
      <c r="B995" s="211">
        <f>IFERROR(IF([1]对账明细接口!$B$995=0,"",[1]对账明细接口!$B$995),"")</f>
      </c>
      <c r="C995" s="16">
        <f>IFERROR(IF([1]对账明细接口!$C$995=0,"",[1]对账明细接口!$C$995),"")</f>
      </c>
      <c r="D995" s="16">
        <f>IFERROR(IF([1]对账明细接口!$D$995=0,"",[1]对账明细接口!$D$995),"")</f>
      </c>
      <c r="E995" s="16">
        <f>IFERROR(IF([1]对账明细接口!$E$995=0,"",[1]对账明细接口!$E$995),"")</f>
      </c>
      <c r="F995" s="16">
        <f>IFERROR(IF([1]对账明细接口!$F$995=0,"",[1]对账明细接口!$F$995),"")</f>
      </c>
      <c r="G995" s="16">
        <f>IFERROR(IF([1]对账明细接口!$G$995=0,"",[1]对账明细接口!$G$995),"")</f>
      </c>
      <c r="H995" s="176">
        <f>IFERROR(IF([1]对账明细接口!$H$995=0,"",[1]对账明细接口!$H$995),"")</f>
      </c>
      <c r="I995" s="16">
        <f>IFERROR(IF([1]对账明细接口!$I$995=0,"",[1]对账明细接口!$I$995),"")</f>
      </c>
      <c r="J995" s="177">
        <f>IFERROR(IF([1]对账明细接口!$J$995=0,"",[1]对账明细接口!$J$995),"")</f>
      </c>
      <c r="K995" s="177">
        <f>IFERROR(IF([1]对账明细接口!$K$995=0,"",[1]对账明细接口!$K$995),"")</f>
      </c>
      <c r="L995" s="16">
        <f>IFERROR(IF([1]对账明细接口!$L$995=0,"",[1]对账明细接口!$L$995),"")</f>
      </c>
      <c r="M995" s="16">
        <f>IFERROR(IF([1]对账明细接口!$M$995=0,"",[1]对账明细接口!$M$995),"")</f>
      </c>
      <c r="N995" s="19">
        <f>IF($C995="",0,1)</f>
        <v>0</v>
      </c>
      <c r="O995" s="19">
        <f>N(O994)+$N995</f>
        <v>637</v>
      </c>
      <c r="S995" s="20">
        <f>IFERROR(IF([1]对账明细接口!$N995=0,"",[1]对账明细接口!$N995),"")</f>
      </c>
      <c r="T995" s="212">
        <f>IFERROR(IF([1]对账明细接口!$O995=0,"",[1]对账明细接口!$O995),"")</f>
      </c>
      <c r="U995" s="212">
        <f>IFERROR(IF([1]对账明细接口!$P995=0,"",[1]对账明细接口!$P995),"")</f>
      </c>
      <c r="V995" s="212">
        <f>IFERROR(IF([1]对账明细接口!$Q995=0,"",[1]对账明细接口!$Q995),"")</f>
      </c>
      <c r="W995" s="20">
        <f>IFERROR(IF([1]对账明细接口!$R995=0,"",[1]对账明细接口!$R995),"")</f>
      </c>
      <c r="X995" s="20">
        <f>IFERROR(IF([1]对账明细接口!$S995=0,"",[1]对账明细接口!$S995),"")</f>
      </c>
      <c r="Y995" s="20">
        <f>IFERROR(IF([1]对账明细接口!$T995=0,"",[1]对账明细接口!$T995),"")</f>
      </c>
      <c r="Z995" s="213">
        <f>IFERROR(IF([1]对账明细接口!$U995=0,"",[1]对账明细接口!$U995),"")</f>
      </c>
      <c r="AA995" s="213">
        <f>IFERROR(IF([1]对账明细接口!$V995=0,"",[1]对账明细接口!$V995),"")</f>
      </c>
      <c r="AB995" s="20">
        <f>IFERROR(IF([1]对账明细接口!$W995=0,"",[1]对账明细接口!$W995),"")</f>
      </c>
      <c r="AC995" s="7">
        <f>IFERROR(IF([1]对账明细接口!$X995=0,"",[1]对账明细接口!$X995),"")</f>
      </c>
      <c r="AD995" s="7">
        <f>IFERROR(IF([1]对账明细接口!$Y995=0,"",[1]对账明细接口!$Y995),"")</f>
      </c>
      <c r="AE995" s="7">
        <f>IFERROR(IF([1]对账明细接口!$AA995=0,"",[1]对账明细接口!$AA995),"")</f>
      </c>
      <c r="AF995" s="7">
        <f>IFERROR(IF([1]对账明细接口!$AB995=0,"",[1]对账明细接口!$AB995),"")</f>
      </c>
      <c r="AG995" s="7">
        <f>IFERROR(IF([1]对账明细接口!$AC995=0,"",[1]对账明细接口!$AC995),"")</f>
      </c>
      <c r="AH995" s="7">
        <f>IFERROR(IF([1]对账明细接口!$AD995=0,"",[1]对账明细接口!$AD995),"")</f>
      </c>
      <c r="AI995" s="7">
        <f>IFERROR(IF([1]对账明细接口!$AE995=0,"",[1]对账明细接口!$AE995),"")</f>
      </c>
      <c r="AJ995" s="7">
        <f>IFERROR(IF([1]对账明细接口!$AF995=0,"",[1]对账明细接口!$AF995),"")</f>
      </c>
    </row>
    <row r="996" ht="14.25" customHeight="1" s="127">
      <c r="A996" s="14" t="n">
        <v>996</v>
      </c>
      <c r="B996" s="211">
        <f>IFERROR(IF([1]对账明细接口!$B$996=0,"",[1]对账明细接口!$B$996),"")</f>
      </c>
      <c r="C996" s="16">
        <f>IFERROR(IF([1]对账明细接口!$C$996=0,"",[1]对账明细接口!$C$996),"")</f>
      </c>
      <c r="D996" s="16">
        <f>IFERROR(IF([1]对账明细接口!$D$996=0,"",[1]对账明细接口!$D$996),"")</f>
      </c>
      <c r="E996" s="16">
        <f>IFERROR(IF([1]对账明细接口!$E$996=0,"",[1]对账明细接口!$E$996),"")</f>
      </c>
      <c r="F996" s="16">
        <f>IFERROR(IF([1]对账明细接口!$F$996=0,"",[1]对账明细接口!$F$996),"")</f>
      </c>
      <c r="G996" s="16">
        <f>IFERROR(IF([1]对账明细接口!$G$996=0,"",[1]对账明细接口!$G$996),"")</f>
      </c>
      <c r="H996" s="176">
        <f>IFERROR(IF([1]对账明细接口!$H$996=0,"",[1]对账明细接口!$H$996),"")</f>
      </c>
      <c r="I996" s="16">
        <f>IFERROR(IF([1]对账明细接口!$I$996=0,"",[1]对账明细接口!$I$996),"")</f>
      </c>
      <c r="J996" s="177">
        <f>IFERROR(IF([1]对账明细接口!$J$996=0,"",[1]对账明细接口!$J$996),"")</f>
      </c>
      <c r="K996" s="177">
        <f>IFERROR(IF([1]对账明细接口!$K$996=0,"",[1]对账明细接口!$K$996),"")</f>
      </c>
      <c r="L996" s="16">
        <f>IFERROR(IF([1]对账明细接口!$L$996=0,"",[1]对账明细接口!$L$996),"")</f>
      </c>
      <c r="M996" s="16">
        <f>IFERROR(IF([1]对账明细接口!$M$996=0,"",[1]对账明细接口!$M$996),"")</f>
      </c>
      <c r="N996" s="19">
        <f>IF($C996="",0,1)</f>
        <v>0</v>
      </c>
      <c r="O996" s="19">
        <f>N(O995)+$N996</f>
        <v>637</v>
      </c>
      <c r="S996" s="20">
        <f>IFERROR(IF([1]对账明细接口!$N996=0,"",[1]对账明细接口!$N996),"")</f>
      </c>
      <c r="T996" s="212">
        <f>IFERROR(IF([1]对账明细接口!$O996=0,"",[1]对账明细接口!$O996),"")</f>
      </c>
      <c r="U996" s="212">
        <f>IFERROR(IF([1]对账明细接口!$P996=0,"",[1]对账明细接口!$P996),"")</f>
      </c>
      <c r="V996" s="212">
        <f>IFERROR(IF([1]对账明细接口!$Q996=0,"",[1]对账明细接口!$Q996),"")</f>
      </c>
      <c r="W996" s="20">
        <f>IFERROR(IF([1]对账明细接口!$R996=0,"",[1]对账明细接口!$R996),"")</f>
      </c>
      <c r="X996" s="20">
        <f>IFERROR(IF([1]对账明细接口!$S996=0,"",[1]对账明细接口!$S996),"")</f>
      </c>
      <c r="Y996" s="20">
        <f>IFERROR(IF([1]对账明细接口!$T996=0,"",[1]对账明细接口!$T996),"")</f>
      </c>
      <c r="Z996" s="213">
        <f>IFERROR(IF([1]对账明细接口!$U996=0,"",[1]对账明细接口!$U996),"")</f>
      </c>
      <c r="AA996" s="213">
        <f>IFERROR(IF([1]对账明细接口!$V996=0,"",[1]对账明细接口!$V996),"")</f>
      </c>
      <c r="AB996" s="20">
        <f>IFERROR(IF([1]对账明细接口!$W996=0,"",[1]对账明细接口!$W996),"")</f>
      </c>
      <c r="AC996" s="7">
        <f>IFERROR(IF([1]对账明细接口!$X996=0,"",[1]对账明细接口!$X996),"")</f>
      </c>
      <c r="AD996" s="7">
        <f>IFERROR(IF([1]对账明细接口!$Y996=0,"",[1]对账明细接口!$Y996),"")</f>
      </c>
      <c r="AE996" s="7">
        <f>IFERROR(IF([1]对账明细接口!$AA996=0,"",[1]对账明细接口!$AA996),"")</f>
      </c>
      <c r="AF996" s="7">
        <f>IFERROR(IF([1]对账明细接口!$AB996=0,"",[1]对账明细接口!$AB996),"")</f>
      </c>
      <c r="AG996" s="7">
        <f>IFERROR(IF([1]对账明细接口!$AC996=0,"",[1]对账明细接口!$AC996),"")</f>
      </c>
      <c r="AH996" s="7">
        <f>IFERROR(IF([1]对账明细接口!$AD996=0,"",[1]对账明细接口!$AD996),"")</f>
      </c>
      <c r="AI996" s="7">
        <f>IFERROR(IF([1]对账明细接口!$AE996=0,"",[1]对账明细接口!$AE996),"")</f>
      </c>
      <c r="AJ996" s="7">
        <f>IFERROR(IF([1]对账明细接口!$AF996=0,"",[1]对账明细接口!$AF996),"")</f>
      </c>
    </row>
    <row r="997" ht="14.25" customHeight="1" s="127">
      <c r="A997" s="14" t="n">
        <v>997</v>
      </c>
      <c r="B997" s="211">
        <f>IFERROR(IF([1]对账明细接口!$B$997=0,"",[1]对账明细接口!$B$997),"")</f>
      </c>
      <c r="C997" s="16">
        <f>IFERROR(IF([1]对账明细接口!$C$997=0,"",[1]对账明细接口!$C$997),"")</f>
      </c>
      <c r="D997" s="16">
        <f>IFERROR(IF([1]对账明细接口!$D$997=0,"",[1]对账明细接口!$D$997),"")</f>
      </c>
      <c r="E997" s="16">
        <f>IFERROR(IF([1]对账明细接口!$E$997=0,"",[1]对账明细接口!$E$997),"")</f>
      </c>
      <c r="F997" s="16">
        <f>IFERROR(IF([1]对账明细接口!$F$997=0,"",[1]对账明细接口!$F$997),"")</f>
      </c>
      <c r="G997" s="16">
        <f>IFERROR(IF([1]对账明细接口!$G$997=0,"",[1]对账明细接口!$G$997),"")</f>
      </c>
      <c r="H997" s="176">
        <f>IFERROR(IF([1]对账明细接口!$H$997=0,"",[1]对账明细接口!$H$997),"")</f>
      </c>
      <c r="I997" s="16">
        <f>IFERROR(IF([1]对账明细接口!$I$997=0,"",[1]对账明细接口!$I$997),"")</f>
      </c>
      <c r="J997" s="177">
        <f>IFERROR(IF([1]对账明细接口!$J$997=0,"",[1]对账明细接口!$J$997),"")</f>
      </c>
      <c r="K997" s="177">
        <f>IFERROR(IF([1]对账明细接口!$K$997=0,"",[1]对账明细接口!$K$997),"")</f>
      </c>
      <c r="L997" s="16">
        <f>IFERROR(IF([1]对账明细接口!$L$997=0,"",[1]对账明细接口!$L$997),"")</f>
      </c>
      <c r="M997" s="16">
        <f>IFERROR(IF([1]对账明细接口!$M$997=0,"",[1]对账明细接口!$M$997),"")</f>
      </c>
      <c r="N997" s="19">
        <f>IF($C997="",0,1)</f>
        <v>0</v>
      </c>
      <c r="O997" s="19">
        <f>N(O996)+$N997</f>
        <v>637</v>
      </c>
      <c r="S997" s="20">
        <f>IFERROR(IF([1]对账明细接口!$N997=0,"",[1]对账明细接口!$N997),"")</f>
      </c>
      <c r="T997" s="212">
        <f>IFERROR(IF([1]对账明细接口!$O997=0,"",[1]对账明细接口!$O997),"")</f>
      </c>
      <c r="U997" s="212">
        <f>IFERROR(IF([1]对账明细接口!$P997=0,"",[1]对账明细接口!$P997),"")</f>
      </c>
      <c r="V997" s="212">
        <f>IFERROR(IF([1]对账明细接口!$Q997=0,"",[1]对账明细接口!$Q997),"")</f>
      </c>
      <c r="W997" s="20">
        <f>IFERROR(IF([1]对账明细接口!$R997=0,"",[1]对账明细接口!$R997),"")</f>
      </c>
      <c r="X997" s="20">
        <f>IFERROR(IF([1]对账明细接口!$S997=0,"",[1]对账明细接口!$S997),"")</f>
      </c>
      <c r="Y997" s="20">
        <f>IFERROR(IF([1]对账明细接口!$T997=0,"",[1]对账明细接口!$T997),"")</f>
      </c>
      <c r="Z997" s="213">
        <f>IFERROR(IF([1]对账明细接口!$U997=0,"",[1]对账明细接口!$U997),"")</f>
      </c>
      <c r="AA997" s="213">
        <f>IFERROR(IF([1]对账明细接口!$V997=0,"",[1]对账明细接口!$V997),"")</f>
      </c>
      <c r="AB997" s="20">
        <f>IFERROR(IF([1]对账明细接口!$W997=0,"",[1]对账明细接口!$W997),"")</f>
      </c>
      <c r="AC997" s="7">
        <f>IFERROR(IF([1]对账明细接口!$X997=0,"",[1]对账明细接口!$X997),"")</f>
      </c>
      <c r="AD997" s="7">
        <f>IFERROR(IF([1]对账明细接口!$Y997=0,"",[1]对账明细接口!$Y997),"")</f>
      </c>
      <c r="AE997" s="7">
        <f>IFERROR(IF([1]对账明细接口!$AA997=0,"",[1]对账明细接口!$AA997),"")</f>
      </c>
      <c r="AF997" s="7">
        <f>IFERROR(IF([1]对账明细接口!$AB997=0,"",[1]对账明细接口!$AB997),"")</f>
      </c>
      <c r="AG997" s="7">
        <f>IFERROR(IF([1]对账明细接口!$AC997=0,"",[1]对账明细接口!$AC997),"")</f>
      </c>
      <c r="AH997" s="7">
        <f>IFERROR(IF([1]对账明细接口!$AD997=0,"",[1]对账明细接口!$AD997),"")</f>
      </c>
      <c r="AI997" s="7">
        <f>IFERROR(IF([1]对账明细接口!$AE997=0,"",[1]对账明细接口!$AE997),"")</f>
      </c>
      <c r="AJ997" s="7">
        <f>IFERROR(IF([1]对账明细接口!$AF997=0,"",[1]对账明细接口!$AF997),"")</f>
      </c>
    </row>
    <row r="998" ht="14.25" customHeight="1" s="127">
      <c r="A998" s="14" t="n">
        <v>998</v>
      </c>
      <c r="B998" s="211">
        <f>IFERROR(IF([1]对账明细接口!$B$998=0,"",[1]对账明细接口!$B$998),"")</f>
      </c>
      <c r="C998" s="16">
        <f>IFERROR(IF([1]对账明细接口!$C$998=0,"",[1]对账明细接口!$C$998),"")</f>
      </c>
      <c r="D998" s="16">
        <f>IFERROR(IF([1]对账明细接口!$D$998=0,"",[1]对账明细接口!$D$998),"")</f>
      </c>
      <c r="E998" s="16">
        <f>IFERROR(IF([1]对账明细接口!$E$998=0,"",[1]对账明细接口!$E$998),"")</f>
      </c>
      <c r="F998" s="16">
        <f>IFERROR(IF([1]对账明细接口!$F$998=0,"",[1]对账明细接口!$F$998),"")</f>
      </c>
      <c r="G998" s="16">
        <f>IFERROR(IF([1]对账明细接口!$G$998=0,"",[1]对账明细接口!$G$998),"")</f>
      </c>
      <c r="H998" s="176">
        <f>IFERROR(IF([1]对账明细接口!$H$998=0,"",[1]对账明细接口!$H$998),"")</f>
      </c>
      <c r="I998" s="16">
        <f>IFERROR(IF([1]对账明细接口!$I$998=0,"",[1]对账明细接口!$I$998),"")</f>
      </c>
      <c r="J998" s="177">
        <f>IFERROR(IF([1]对账明细接口!$J$998=0,"",[1]对账明细接口!$J$998),"")</f>
      </c>
      <c r="K998" s="177">
        <f>IFERROR(IF([1]对账明细接口!$K$998=0,"",[1]对账明细接口!$K$998),"")</f>
      </c>
      <c r="L998" s="16">
        <f>IFERROR(IF([1]对账明细接口!$L$998=0,"",[1]对账明细接口!$L$998),"")</f>
      </c>
      <c r="M998" s="16">
        <f>IFERROR(IF([1]对账明细接口!$M$998=0,"",[1]对账明细接口!$M$998),"")</f>
      </c>
      <c r="N998" s="19">
        <f>IF($C998="",0,1)</f>
        <v>0</v>
      </c>
      <c r="O998" s="19">
        <f>N(O997)+$N998</f>
        <v>637</v>
      </c>
      <c r="S998" s="20">
        <f>IFERROR(IF([1]对账明细接口!$N998=0,"",[1]对账明细接口!$N998),"")</f>
      </c>
      <c r="T998" s="212">
        <f>IFERROR(IF([1]对账明细接口!$O998=0,"",[1]对账明细接口!$O998),"")</f>
      </c>
      <c r="U998" s="212">
        <f>IFERROR(IF([1]对账明细接口!$P998=0,"",[1]对账明细接口!$P998),"")</f>
      </c>
      <c r="V998" s="212">
        <f>IFERROR(IF([1]对账明细接口!$Q998=0,"",[1]对账明细接口!$Q998),"")</f>
      </c>
      <c r="W998" s="20">
        <f>IFERROR(IF([1]对账明细接口!$R998=0,"",[1]对账明细接口!$R998),"")</f>
      </c>
      <c r="X998" s="20">
        <f>IFERROR(IF([1]对账明细接口!$S998=0,"",[1]对账明细接口!$S998),"")</f>
      </c>
      <c r="Y998" s="20">
        <f>IFERROR(IF([1]对账明细接口!$T998=0,"",[1]对账明细接口!$T998),"")</f>
      </c>
      <c r="Z998" s="213">
        <f>IFERROR(IF([1]对账明细接口!$U998=0,"",[1]对账明细接口!$U998),"")</f>
      </c>
      <c r="AA998" s="213">
        <f>IFERROR(IF([1]对账明细接口!$V998=0,"",[1]对账明细接口!$V998),"")</f>
      </c>
      <c r="AB998" s="20">
        <f>IFERROR(IF([1]对账明细接口!$W998=0,"",[1]对账明细接口!$W998),"")</f>
      </c>
      <c r="AC998" s="7">
        <f>IFERROR(IF([1]对账明细接口!$X998=0,"",[1]对账明细接口!$X998),"")</f>
      </c>
      <c r="AD998" s="7">
        <f>IFERROR(IF([1]对账明细接口!$Y998=0,"",[1]对账明细接口!$Y998),"")</f>
      </c>
      <c r="AE998" s="7">
        <f>IFERROR(IF([1]对账明细接口!$AA998=0,"",[1]对账明细接口!$AA998),"")</f>
      </c>
      <c r="AF998" s="7">
        <f>IFERROR(IF([1]对账明细接口!$AB998=0,"",[1]对账明细接口!$AB998),"")</f>
      </c>
      <c r="AG998" s="7">
        <f>IFERROR(IF([1]对账明细接口!$AC998=0,"",[1]对账明细接口!$AC998),"")</f>
      </c>
      <c r="AH998" s="7">
        <f>IFERROR(IF([1]对账明细接口!$AD998=0,"",[1]对账明细接口!$AD998),"")</f>
      </c>
      <c r="AI998" s="7">
        <f>IFERROR(IF([1]对账明细接口!$AE998=0,"",[1]对账明细接口!$AE998),"")</f>
      </c>
      <c r="AJ998" s="7">
        <f>IFERROR(IF([1]对账明细接口!$AF998=0,"",[1]对账明细接口!$AF998),"")</f>
      </c>
    </row>
    <row r="999" ht="14.25" customHeight="1" s="127">
      <c r="A999" s="14" t="n">
        <v>999</v>
      </c>
      <c r="B999" s="211">
        <f>IFERROR(IF([1]对账明细接口!$B$999=0,"",[1]对账明细接口!$B$999),"")</f>
      </c>
      <c r="C999" s="16">
        <f>IFERROR(IF([1]对账明细接口!$C$999=0,"",[1]对账明细接口!$C$999),"")</f>
      </c>
      <c r="D999" s="16">
        <f>IFERROR(IF([1]对账明细接口!$D$999=0,"",[1]对账明细接口!$D$999),"")</f>
      </c>
      <c r="E999" s="16">
        <f>IFERROR(IF([1]对账明细接口!$E$999=0,"",[1]对账明细接口!$E$999),"")</f>
      </c>
      <c r="F999" s="16">
        <f>IFERROR(IF([1]对账明细接口!$F$999=0,"",[1]对账明细接口!$F$999),"")</f>
      </c>
      <c r="G999" s="16">
        <f>IFERROR(IF([1]对账明细接口!$G$999=0,"",[1]对账明细接口!$G$999),"")</f>
      </c>
      <c r="H999" s="176">
        <f>IFERROR(IF([1]对账明细接口!$H$999=0,"",[1]对账明细接口!$H$999),"")</f>
      </c>
      <c r="I999" s="16">
        <f>IFERROR(IF([1]对账明细接口!$I$999=0,"",[1]对账明细接口!$I$999),"")</f>
      </c>
      <c r="J999" s="177">
        <f>IFERROR(IF([1]对账明细接口!$J$999=0,"",[1]对账明细接口!$J$999),"")</f>
      </c>
      <c r="K999" s="177">
        <f>IFERROR(IF([1]对账明细接口!$K$999=0,"",[1]对账明细接口!$K$999),"")</f>
      </c>
      <c r="L999" s="16">
        <f>IFERROR(IF([1]对账明细接口!$L$999=0,"",[1]对账明细接口!$L$999),"")</f>
      </c>
      <c r="M999" s="16">
        <f>IFERROR(IF([1]对账明细接口!$M$999=0,"",[1]对账明细接口!$M$999),"")</f>
      </c>
      <c r="N999" s="19">
        <f>IF($C999="",0,1)</f>
        <v>0</v>
      </c>
      <c r="O999" s="19">
        <f>N(O998)+$N999</f>
        <v>637</v>
      </c>
      <c r="S999" s="20">
        <f>IFERROR(IF([1]对账明细接口!$N999=0,"",[1]对账明细接口!$N999),"")</f>
      </c>
      <c r="T999" s="212">
        <f>IFERROR(IF([1]对账明细接口!$O999=0,"",[1]对账明细接口!$O999),"")</f>
      </c>
      <c r="U999" s="212">
        <f>IFERROR(IF([1]对账明细接口!$P999=0,"",[1]对账明细接口!$P999),"")</f>
      </c>
      <c r="V999" s="212">
        <f>IFERROR(IF([1]对账明细接口!$Q999=0,"",[1]对账明细接口!$Q999),"")</f>
      </c>
      <c r="W999" s="20">
        <f>IFERROR(IF([1]对账明细接口!$R999=0,"",[1]对账明细接口!$R999),"")</f>
      </c>
      <c r="X999" s="20">
        <f>IFERROR(IF([1]对账明细接口!$S999=0,"",[1]对账明细接口!$S999),"")</f>
      </c>
      <c r="Y999" s="20">
        <f>IFERROR(IF([1]对账明细接口!$T999=0,"",[1]对账明细接口!$T999),"")</f>
      </c>
      <c r="Z999" s="213">
        <f>IFERROR(IF([1]对账明细接口!$U999=0,"",[1]对账明细接口!$U999),"")</f>
      </c>
      <c r="AA999" s="213">
        <f>IFERROR(IF([1]对账明细接口!$V999=0,"",[1]对账明细接口!$V999),"")</f>
      </c>
      <c r="AB999" s="20">
        <f>IFERROR(IF([1]对账明细接口!$W999=0,"",[1]对账明细接口!$W999),"")</f>
      </c>
      <c r="AC999" s="7">
        <f>IFERROR(IF([1]对账明细接口!$X999=0,"",[1]对账明细接口!$X999),"")</f>
      </c>
      <c r="AD999" s="7">
        <f>IFERROR(IF([1]对账明细接口!$Y999=0,"",[1]对账明细接口!$Y999),"")</f>
      </c>
      <c r="AE999" s="7">
        <f>IFERROR(IF([1]对账明细接口!$AA999=0,"",[1]对账明细接口!$AA999),"")</f>
      </c>
      <c r="AF999" s="7">
        <f>IFERROR(IF([1]对账明细接口!$AB999=0,"",[1]对账明细接口!$AB999),"")</f>
      </c>
      <c r="AG999" s="7">
        <f>IFERROR(IF([1]对账明细接口!$AC999=0,"",[1]对账明细接口!$AC999),"")</f>
      </c>
      <c r="AH999" s="7">
        <f>IFERROR(IF([1]对账明细接口!$AD999=0,"",[1]对账明细接口!$AD999),"")</f>
      </c>
      <c r="AI999" s="7">
        <f>IFERROR(IF([1]对账明细接口!$AE999=0,"",[1]对账明细接口!$AE999),"")</f>
      </c>
      <c r="AJ999" s="7">
        <f>IFERROR(IF([1]对账明细接口!$AF999=0,"",[1]对账明细接口!$AF999),"")</f>
      </c>
    </row>
    <row r="1000" ht="14.25" customHeight="1" s="127">
      <c r="A1000" s="14" t="n">
        <v>1000</v>
      </c>
      <c r="B1000" s="211">
        <f>IFERROR(IF([1]对账明细接口!$B$1000=0,"",[1]对账明细接口!$B$1000),"")</f>
      </c>
      <c r="C1000" s="16">
        <f>IFERROR(IF([1]对账明细接口!$C$1000=0,"",[1]对账明细接口!$C$1000),"")</f>
      </c>
      <c r="D1000" s="16">
        <f>IFERROR(IF([1]对账明细接口!$D$1000=0,"",[1]对账明细接口!$D$1000),"")</f>
      </c>
      <c r="E1000" s="16">
        <f>IFERROR(IF([1]对账明细接口!$E$1000=0,"",[1]对账明细接口!$E$1000),"")</f>
      </c>
      <c r="F1000" s="16">
        <f>IFERROR(IF([1]对账明细接口!$F$1000=0,"",[1]对账明细接口!$F$1000),"")</f>
      </c>
      <c r="G1000" s="16">
        <f>IFERROR(IF([1]对账明细接口!$G$1000=0,"",[1]对账明细接口!$G$1000),"")</f>
      </c>
      <c r="H1000" s="176">
        <f>IFERROR(IF([1]对账明细接口!$H$1000=0,"",[1]对账明细接口!$H$1000),"")</f>
      </c>
      <c r="I1000" s="16">
        <f>IFERROR(IF([1]对账明细接口!$I$1000=0,"",[1]对账明细接口!$I$1000),"")</f>
      </c>
      <c r="J1000" s="177">
        <f>IFERROR(IF([1]对账明细接口!$J$1000=0,"",[1]对账明细接口!$J$1000),"")</f>
      </c>
      <c r="K1000" s="177">
        <f>IFERROR(IF([1]对账明细接口!$K$1000=0,"",[1]对账明细接口!$K$1000),"")</f>
      </c>
      <c r="L1000" s="16">
        <f>IFERROR(IF([1]对账明细接口!$L$1000=0,"",[1]对账明细接口!$L$1000),"")</f>
      </c>
      <c r="M1000" s="16">
        <f>IFERROR(IF([1]对账明细接口!$M$1000=0,"",[1]对账明细接口!$M$1000),"")</f>
      </c>
      <c r="N1000" s="19">
        <f>IF($C1000="",0,1)</f>
        <v>0</v>
      </c>
      <c r="O1000" s="19">
        <f>N(O999)+$N1000</f>
        <v>637</v>
      </c>
      <c r="S1000" s="20">
        <f>IFERROR(IF([1]对账明细接口!$N1000=0,"",[1]对账明细接口!$N1000),"")</f>
      </c>
      <c r="T1000" s="212">
        <f>IFERROR(IF([1]对账明细接口!$O1000=0,"",[1]对账明细接口!$O1000),"")</f>
      </c>
      <c r="U1000" s="212">
        <f>IFERROR(IF([1]对账明细接口!$P1000=0,"",[1]对账明细接口!$P1000),"")</f>
      </c>
      <c r="V1000" s="212">
        <f>IFERROR(IF([1]对账明细接口!$Q1000=0,"",[1]对账明细接口!$Q1000),"")</f>
      </c>
      <c r="W1000" s="20">
        <f>IFERROR(IF([1]对账明细接口!$R1000=0,"",[1]对账明细接口!$R1000),"")</f>
      </c>
      <c r="X1000" s="20">
        <f>IFERROR(IF([1]对账明细接口!$S1000=0,"",[1]对账明细接口!$S1000),"")</f>
      </c>
      <c r="Y1000" s="20">
        <f>IFERROR(IF([1]对账明细接口!$T1000=0,"",[1]对账明细接口!$T1000),"")</f>
      </c>
      <c r="Z1000" s="213">
        <f>IFERROR(IF([1]对账明细接口!$U1000=0,"",[1]对账明细接口!$U1000),"")</f>
      </c>
      <c r="AA1000" s="213">
        <f>IFERROR(IF([1]对账明细接口!$V1000=0,"",[1]对账明细接口!$V1000),"")</f>
      </c>
      <c r="AB1000" s="20">
        <f>IFERROR(IF([1]对账明细接口!$W1000=0,"",[1]对账明细接口!$W1000),"")</f>
      </c>
      <c r="AC1000" s="7">
        <f>IFERROR(IF([1]对账明细接口!$X1000=0,"",[1]对账明细接口!$X1000),"")</f>
      </c>
      <c r="AD1000" s="7">
        <f>IFERROR(IF([1]对账明细接口!$Y1000=0,"",[1]对账明细接口!$Y1000),"")</f>
      </c>
      <c r="AE1000" s="7">
        <f>IFERROR(IF([1]对账明细接口!$AA1000=0,"",[1]对账明细接口!$AA1000),"")</f>
      </c>
      <c r="AF1000" s="7">
        <f>IFERROR(IF([1]对账明细接口!$AB1000=0,"",[1]对账明细接口!$AB1000),"")</f>
      </c>
      <c r="AG1000" s="7">
        <f>IFERROR(IF([1]对账明细接口!$AC1000=0,"",[1]对账明细接口!$AC1000),"")</f>
      </c>
      <c r="AH1000" s="7">
        <f>IFERROR(IF([1]对账明细接口!$AD1000=0,"",[1]对账明细接口!$AD1000),"")</f>
      </c>
      <c r="AI1000" s="7">
        <f>IFERROR(IF([1]对账明细接口!$AE1000=0,"",[1]对账明细接口!$AE1000),"")</f>
      </c>
      <c r="AJ1000" s="7">
        <f>IFERROR(IF([1]对账明细接口!$AF1000=0,"",[1]对账明细接口!$AF1000),"")</f>
      </c>
    </row>
    <row r="1001" ht="14.25" customHeight="1" s="127">
      <c r="A1001" s="14" t="n">
        <v>1001</v>
      </c>
      <c r="B1001" s="211">
        <f>IFERROR(IF([1]对账明细接口!$B$1001=0,"",[1]对账明细接口!$B$1001),"")</f>
      </c>
      <c r="C1001" s="16">
        <f>IFERROR(IF([1]对账明细接口!$C$1001=0,"",[1]对账明细接口!$C$1001),"")</f>
      </c>
      <c r="D1001" s="16">
        <f>IFERROR(IF([1]对账明细接口!$D$1001=0,"",[1]对账明细接口!$D$1001),"")</f>
      </c>
      <c r="E1001" s="16">
        <f>IFERROR(IF([1]对账明细接口!$E$1001=0,"",[1]对账明细接口!$E$1001),"")</f>
      </c>
      <c r="F1001" s="16">
        <f>IFERROR(IF([1]对账明细接口!$F$1001=0,"",[1]对账明细接口!$F$1001),"")</f>
      </c>
      <c r="G1001" s="16">
        <f>IFERROR(IF([1]对账明细接口!$G$1001=0,"",[1]对账明细接口!$G$1001),"")</f>
      </c>
      <c r="H1001" s="176">
        <f>IFERROR(IF([1]对账明细接口!$H$1001=0,"",[1]对账明细接口!$H$1001),"")</f>
      </c>
      <c r="I1001" s="16">
        <f>IFERROR(IF([1]对账明细接口!$I$1001=0,"",[1]对账明细接口!$I$1001),"")</f>
      </c>
      <c r="J1001" s="177">
        <f>IFERROR(IF([1]对账明细接口!$J$1001=0,"",[1]对账明细接口!$J$1001),"")</f>
      </c>
      <c r="K1001" s="177">
        <f>IFERROR(IF([1]对账明细接口!$K$1001=0,"",[1]对账明细接口!$K$1001),"")</f>
      </c>
      <c r="L1001" s="16">
        <f>IFERROR(IF([1]对账明细接口!$L$1001=0,"",[1]对账明细接口!$L$1001),"")</f>
      </c>
      <c r="M1001" s="16">
        <f>IFERROR(IF([1]对账明细接口!$M$1001=0,"",[1]对账明细接口!$M$1001),"")</f>
      </c>
      <c r="N1001" s="19">
        <f>IF($C1001="",0,1)</f>
        <v>0</v>
      </c>
      <c r="O1001" s="19">
        <f>N(O1000)+$N1001</f>
        <v>637</v>
      </c>
      <c r="S1001" s="20">
        <f>IFERROR(IF([1]对账明细接口!$N1001=0,"",[1]对账明细接口!$N1001),"")</f>
      </c>
      <c r="T1001" s="212">
        <f>IFERROR(IF([1]对账明细接口!$O1001=0,"",[1]对账明细接口!$O1001),"")</f>
      </c>
      <c r="U1001" s="212">
        <f>IFERROR(IF([1]对账明细接口!$P1001=0,"",[1]对账明细接口!$P1001),"")</f>
      </c>
      <c r="V1001" s="212">
        <f>IFERROR(IF([1]对账明细接口!$Q1001=0,"",[1]对账明细接口!$Q1001),"")</f>
      </c>
      <c r="W1001" s="20">
        <f>IFERROR(IF([1]对账明细接口!$R1001=0,"",[1]对账明细接口!$R1001),"")</f>
      </c>
      <c r="X1001" s="20">
        <f>IFERROR(IF([1]对账明细接口!$S1001=0,"",[1]对账明细接口!$S1001),"")</f>
      </c>
      <c r="Y1001" s="20">
        <f>IFERROR(IF([1]对账明细接口!$T1001=0,"",[1]对账明细接口!$T1001),"")</f>
      </c>
      <c r="Z1001" s="213">
        <f>IFERROR(IF([1]对账明细接口!$U1001=0,"",[1]对账明细接口!$U1001),"")</f>
      </c>
      <c r="AA1001" s="213">
        <f>IFERROR(IF([1]对账明细接口!$V1001=0,"",[1]对账明细接口!$V1001),"")</f>
      </c>
      <c r="AB1001" s="20">
        <f>IFERROR(IF([1]对账明细接口!$W1001=0,"",[1]对账明细接口!$W1001),"")</f>
      </c>
      <c r="AC1001" s="7">
        <f>IFERROR(IF([1]对账明细接口!$X1001=0,"",[1]对账明细接口!$X1001),"")</f>
      </c>
      <c r="AD1001" s="7">
        <f>IFERROR(IF([1]对账明细接口!$Y1001=0,"",[1]对账明细接口!$Y1001),"")</f>
      </c>
      <c r="AE1001" s="7">
        <f>IFERROR(IF([1]对账明细接口!$AA1001=0,"",[1]对账明细接口!$AA1001),"")</f>
      </c>
      <c r="AF1001" s="7">
        <f>IFERROR(IF([1]对账明细接口!$AB1001=0,"",[1]对账明细接口!$AB1001),"")</f>
      </c>
      <c r="AG1001" s="7">
        <f>IFERROR(IF([1]对账明细接口!$AC1001=0,"",[1]对账明细接口!$AC1001),"")</f>
      </c>
      <c r="AH1001" s="7">
        <f>IFERROR(IF([1]对账明细接口!$AD1001=0,"",[1]对账明细接口!$AD1001),"")</f>
      </c>
      <c r="AI1001" s="7">
        <f>IFERROR(IF([1]对账明细接口!$AE1001=0,"",[1]对账明细接口!$AE1001),"")</f>
      </c>
      <c r="AJ1001" s="7">
        <f>IFERROR(IF([1]对账明细接口!$AF1001=0,"",[1]对账明细接口!$AF1001),"")</f>
      </c>
    </row>
    <row r="1002" ht="14.25" customHeight="1" s="127">
      <c r="A1002" s="14" t="n">
        <v>1002</v>
      </c>
      <c r="B1002" s="211">
        <f>IFERROR(IF([1]对账明细接口!$B$1002=0,"",[1]对账明细接口!$B$1002),"")</f>
      </c>
      <c r="C1002" s="16">
        <f>IFERROR(IF([1]对账明细接口!$C$1002=0,"",[1]对账明细接口!$C$1002),"")</f>
      </c>
      <c r="D1002" s="16">
        <f>IFERROR(IF([1]对账明细接口!$D$1002=0,"",[1]对账明细接口!$D$1002),"")</f>
      </c>
      <c r="E1002" s="16">
        <f>IFERROR(IF([1]对账明细接口!$E$1002=0,"",[1]对账明细接口!$E$1002),"")</f>
      </c>
      <c r="F1002" s="16">
        <f>IFERROR(IF([1]对账明细接口!$F$1002=0,"",[1]对账明细接口!$F$1002),"")</f>
      </c>
      <c r="G1002" s="16">
        <f>IFERROR(IF([1]对账明细接口!$G$1002=0,"",[1]对账明细接口!$G$1002),"")</f>
      </c>
      <c r="H1002" s="176">
        <f>IFERROR(IF([1]对账明细接口!$H$1002=0,"",[1]对账明细接口!$H$1002),"")</f>
      </c>
      <c r="I1002" s="16">
        <f>IFERROR(IF([1]对账明细接口!$I$1002=0,"",[1]对账明细接口!$I$1002),"")</f>
      </c>
      <c r="J1002" s="177">
        <f>IFERROR(IF([1]对账明细接口!$J$1002=0,"",[1]对账明细接口!$J$1002),"")</f>
      </c>
      <c r="K1002" s="177">
        <f>IFERROR(IF([1]对账明细接口!$K$1002=0,"",[1]对账明细接口!$K$1002),"")</f>
      </c>
      <c r="L1002" s="16">
        <f>IFERROR(IF([1]对账明细接口!$L$1002=0,"",[1]对账明细接口!$L$1002),"")</f>
      </c>
      <c r="M1002" s="16">
        <f>IFERROR(IF([1]对账明细接口!$M$1002=0,"",[1]对账明细接口!$M$1002),"")</f>
      </c>
      <c r="N1002" s="19">
        <f>IF($C1002="",0,1)</f>
        <v>0</v>
      </c>
      <c r="O1002" s="19">
        <f>N(O1001)+$N1002</f>
        <v>637</v>
      </c>
      <c r="S1002" s="20">
        <f>IFERROR(IF([1]对账明细接口!$N1002=0,"",[1]对账明细接口!$N1002),"")</f>
      </c>
      <c r="T1002" s="212">
        <f>IFERROR(IF([1]对账明细接口!$O1002=0,"",[1]对账明细接口!$O1002),"")</f>
      </c>
      <c r="U1002" s="212">
        <f>IFERROR(IF([1]对账明细接口!$P1002=0,"",[1]对账明细接口!$P1002),"")</f>
      </c>
      <c r="V1002" s="212">
        <f>IFERROR(IF([1]对账明细接口!$Q1002=0,"",[1]对账明细接口!$Q1002),"")</f>
      </c>
      <c r="W1002" s="20">
        <f>IFERROR(IF([1]对账明细接口!$R1002=0,"",[1]对账明细接口!$R1002),"")</f>
      </c>
      <c r="X1002" s="20">
        <f>IFERROR(IF([1]对账明细接口!$S1002=0,"",[1]对账明细接口!$S1002),"")</f>
      </c>
      <c r="Y1002" s="20">
        <f>IFERROR(IF([1]对账明细接口!$T1002=0,"",[1]对账明细接口!$T1002),"")</f>
      </c>
      <c r="Z1002" s="213">
        <f>IFERROR(IF([1]对账明细接口!$U1002=0,"",[1]对账明细接口!$U1002),"")</f>
      </c>
      <c r="AA1002" s="213">
        <f>IFERROR(IF([1]对账明细接口!$V1002=0,"",[1]对账明细接口!$V1002),"")</f>
      </c>
      <c r="AB1002" s="20">
        <f>IFERROR(IF([1]对账明细接口!$W1002=0,"",[1]对账明细接口!$W1002),"")</f>
      </c>
      <c r="AC1002" s="7">
        <f>IFERROR(IF([1]对账明细接口!$X1002=0,"",[1]对账明细接口!$X1002),"")</f>
      </c>
      <c r="AD1002" s="7">
        <f>IFERROR(IF([1]对账明细接口!$Y1002=0,"",[1]对账明细接口!$Y1002),"")</f>
      </c>
      <c r="AE1002" s="7">
        <f>IFERROR(IF([1]对账明细接口!$AA1002=0,"",[1]对账明细接口!$AA1002),"")</f>
      </c>
      <c r="AF1002" s="7">
        <f>IFERROR(IF([1]对账明细接口!$AB1002=0,"",[1]对账明细接口!$AB1002),"")</f>
      </c>
      <c r="AG1002" s="7">
        <f>IFERROR(IF([1]对账明细接口!$AC1002=0,"",[1]对账明细接口!$AC1002),"")</f>
      </c>
      <c r="AH1002" s="7">
        <f>IFERROR(IF([1]对账明细接口!$AD1002=0,"",[1]对账明细接口!$AD1002),"")</f>
      </c>
      <c r="AI1002" s="7">
        <f>IFERROR(IF([1]对账明细接口!$AE1002=0,"",[1]对账明细接口!$AE1002),"")</f>
      </c>
      <c r="AJ1002" s="7">
        <f>IFERROR(IF([1]对账明细接口!$AF1002=0,"",[1]对账明细接口!$AF1002),"")</f>
      </c>
    </row>
    <row r="1003" ht="14.25" customHeight="1" s="127">
      <c r="A1003" s="14" t="n">
        <v>1003</v>
      </c>
      <c r="B1003" s="211">
        <f>IFERROR(IF([1]对账明细接口!$B$1003=0,"",[1]对账明细接口!$B$1003),"")</f>
      </c>
      <c r="C1003" s="16">
        <f>IFERROR(IF([1]对账明细接口!$C$1003=0,"",[1]对账明细接口!$C$1003),"")</f>
      </c>
      <c r="D1003" s="16">
        <f>IFERROR(IF([1]对账明细接口!$D$1003=0,"",[1]对账明细接口!$D$1003),"")</f>
      </c>
      <c r="E1003" s="16">
        <f>IFERROR(IF([1]对账明细接口!$E$1003=0,"",[1]对账明细接口!$E$1003),"")</f>
      </c>
      <c r="F1003" s="16">
        <f>IFERROR(IF([1]对账明细接口!$F$1003=0,"",[1]对账明细接口!$F$1003),"")</f>
      </c>
      <c r="G1003" s="16">
        <f>IFERROR(IF([1]对账明细接口!$G$1003=0,"",[1]对账明细接口!$G$1003),"")</f>
      </c>
      <c r="H1003" s="176">
        <f>IFERROR(IF([1]对账明细接口!$H$1003=0,"",[1]对账明细接口!$H$1003),"")</f>
      </c>
      <c r="I1003" s="16">
        <f>IFERROR(IF([1]对账明细接口!$I$1003=0,"",[1]对账明细接口!$I$1003),"")</f>
      </c>
      <c r="J1003" s="177">
        <f>IFERROR(IF([1]对账明细接口!$J$1003=0,"",[1]对账明细接口!$J$1003),"")</f>
      </c>
      <c r="K1003" s="177">
        <f>IFERROR(IF([1]对账明细接口!$K$1003=0,"",[1]对账明细接口!$K$1003),"")</f>
      </c>
      <c r="L1003" s="16">
        <f>IFERROR(IF([1]对账明细接口!$L$1003=0,"",[1]对账明细接口!$L$1003),"")</f>
      </c>
      <c r="M1003" s="16">
        <f>IFERROR(IF([1]对账明细接口!$M$1003=0,"",[1]对账明细接口!$M$1003),"")</f>
      </c>
      <c r="N1003" s="19">
        <f>IF($C1003="",0,1)</f>
        <v>0</v>
      </c>
      <c r="O1003" s="19">
        <f>N(O1002)+$N1003</f>
        <v>637</v>
      </c>
      <c r="S1003" s="20">
        <f>IFERROR(IF([1]对账明细接口!$N1003=0,"",[1]对账明细接口!$N1003),"")</f>
      </c>
      <c r="T1003" s="212">
        <f>IFERROR(IF([1]对账明细接口!$O1003=0,"",[1]对账明细接口!$O1003),"")</f>
      </c>
      <c r="U1003" s="212">
        <f>IFERROR(IF([1]对账明细接口!$P1003=0,"",[1]对账明细接口!$P1003),"")</f>
      </c>
      <c r="V1003" s="212">
        <f>IFERROR(IF([1]对账明细接口!$Q1003=0,"",[1]对账明细接口!$Q1003),"")</f>
      </c>
      <c r="W1003" s="20">
        <f>IFERROR(IF([1]对账明细接口!$R1003=0,"",[1]对账明细接口!$R1003),"")</f>
      </c>
      <c r="X1003" s="20">
        <f>IFERROR(IF([1]对账明细接口!$S1003=0,"",[1]对账明细接口!$S1003),"")</f>
      </c>
      <c r="Y1003" s="20">
        <f>IFERROR(IF([1]对账明细接口!$T1003=0,"",[1]对账明细接口!$T1003),"")</f>
      </c>
      <c r="Z1003" s="213">
        <f>IFERROR(IF([1]对账明细接口!$U1003=0,"",[1]对账明细接口!$U1003),"")</f>
      </c>
      <c r="AA1003" s="213">
        <f>IFERROR(IF([1]对账明细接口!$V1003=0,"",[1]对账明细接口!$V1003),"")</f>
      </c>
      <c r="AB1003" s="20">
        <f>IFERROR(IF([1]对账明细接口!$W1003=0,"",[1]对账明细接口!$W1003),"")</f>
      </c>
      <c r="AC1003" s="7">
        <f>IFERROR(IF([1]对账明细接口!$X1003=0,"",[1]对账明细接口!$X1003),"")</f>
      </c>
      <c r="AD1003" s="7">
        <f>IFERROR(IF([1]对账明细接口!$Y1003=0,"",[1]对账明细接口!$Y1003),"")</f>
      </c>
      <c r="AE1003" s="7">
        <f>IFERROR(IF([1]对账明细接口!$AA1003=0,"",[1]对账明细接口!$AA1003),"")</f>
      </c>
      <c r="AF1003" s="7">
        <f>IFERROR(IF([1]对账明细接口!$AB1003=0,"",[1]对账明细接口!$AB1003),"")</f>
      </c>
      <c r="AG1003" s="7">
        <f>IFERROR(IF([1]对账明细接口!$AC1003=0,"",[1]对账明细接口!$AC1003),"")</f>
      </c>
      <c r="AH1003" s="7">
        <f>IFERROR(IF([1]对账明细接口!$AD1003=0,"",[1]对账明细接口!$AD1003),"")</f>
      </c>
      <c r="AI1003" s="7">
        <f>IFERROR(IF([1]对账明细接口!$AE1003=0,"",[1]对账明细接口!$AE1003),"")</f>
      </c>
      <c r="AJ1003" s="7">
        <f>IFERROR(IF([1]对账明细接口!$AF1003=0,"",[1]对账明细接口!$AF1003),"")</f>
      </c>
    </row>
    <row r="1004" ht="14.25" customHeight="1" s="127">
      <c r="A1004" s="14" t="n">
        <v>1004</v>
      </c>
      <c r="B1004" s="211">
        <f>IFERROR(IF([1]对账明细接口!$B$1004=0,"",[1]对账明细接口!$B$1004),"")</f>
      </c>
      <c r="C1004" s="16">
        <f>IFERROR(IF([1]对账明细接口!$C$1004=0,"",[1]对账明细接口!$C$1004),"")</f>
      </c>
      <c r="D1004" s="16">
        <f>IFERROR(IF([1]对账明细接口!$D$1004=0,"",[1]对账明细接口!$D$1004),"")</f>
      </c>
      <c r="E1004" s="16">
        <f>IFERROR(IF([1]对账明细接口!$E$1004=0,"",[1]对账明细接口!$E$1004),"")</f>
      </c>
      <c r="F1004" s="16">
        <f>IFERROR(IF([1]对账明细接口!$F$1004=0,"",[1]对账明细接口!$F$1004),"")</f>
      </c>
      <c r="G1004" s="16">
        <f>IFERROR(IF([1]对账明细接口!$G$1004=0,"",[1]对账明细接口!$G$1004),"")</f>
      </c>
      <c r="H1004" s="176">
        <f>IFERROR(IF([1]对账明细接口!$H$1004=0,"",[1]对账明细接口!$H$1004),"")</f>
      </c>
      <c r="I1004" s="16">
        <f>IFERROR(IF([1]对账明细接口!$I$1004=0,"",[1]对账明细接口!$I$1004),"")</f>
      </c>
      <c r="J1004" s="177">
        <f>IFERROR(IF([1]对账明细接口!$J$1004=0,"",[1]对账明细接口!$J$1004),"")</f>
      </c>
      <c r="K1004" s="177">
        <f>IFERROR(IF([1]对账明细接口!$K$1004=0,"",[1]对账明细接口!$K$1004),"")</f>
      </c>
      <c r="L1004" s="16">
        <f>IFERROR(IF([1]对账明细接口!$L$1004=0,"",[1]对账明细接口!$L$1004),"")</f>
      </c>
      <c r="M1004" s="16">
        <f>IFERROR(IF([1]对账明细接口!$M$1004=0,"",[1]对账明细接口!$M$1004),"")</f>
      </c>
      <c r="N1004" s="19">
        <f>IF($C1004="",0,1)</f>
        <v>0</v>
      </c>
      <c r="O1004" s="19">
        <f>N(O1003)+$N1004</f>
        <v>637</v>
      </c>
      <c r="S1004" s="20">
        <f>IFERROR(IF([1]对账明细接口!$N1004=0,"",[1]对账明细接口!$N1004),"")</f>
      </c>
      <c r="T1004" s="212">
        <f>IFERROR(IF([1]对账明细接口!$O1004=0,"",[1]对账明细接口!$O1004),"")</f>
      </c>
      <c r="U1004" s="212">
        <f>IFERROR(IF([1]对账明细接口!$P1004=0,"",[1]对账明细接口!$P1004),"")</f>
      </c>
      <c r="V1004" s="212">
        <f>IFERROR(IF([1]对账明细接口!$Q1004=0,"",[1]对账明细接口!$Q1004),"")</f>
      </c>
      <c r="W1004" s="20">
        <f>IFERROR(IF([1]对账明细接口!$R1004=0,"",[1]对账明细接口!$R1004),"")</f>
      </c>
      <c r="X1004" s="20">
        <f>IFERROR(IF([1]对账明细接口!$S1004=0,"",[1]对账明细接口!$S1004),"")</f>
      </c>
      <c r="Y1004" s="20">
        <f>IFERROR(IF([1]对账明细接口!$T1004=0,"",[1]对账明细接口!$T1004),"")</f>
      </c>
      <c r="Z1004" s="213">
        <f>IFERROR(IF([1]对账明细接口!$U1004=0,"",[1]对账明细接口!$U1004),"")</f>
      </c>
      <c r="AA1004" s="213">
        <f>IFERROR(IF([1]对账明细接口!$V1004=0,"",[1]对账明细接口!$V1004),"")</f>
      </c>
      <c r="AB1004" s="20">
        <f>IFERROR(IF([1]对账明细接口!$W1004=0,"",[1]对账明细接口!$W1004),"")</f>
      </c>
      <c r="AC1004" s="7">
        <f>IFERROR(IF([1]对账明细接口!$X1004=0,"",[1]对账明细接口!$X1004),"")</f>
      </c>
      <c r="AD1004" s="7">
        <f>IFERROR(IF([1]对账明细接口!$Y1004=0,"",[1]对账明细接口!$Y1004),"")</f>
      </c>
      <c r="AE1004" s="7">
        <f>IFERROR(IF([1]对账明细接口!$AA1004=0,"",[1]对账明细接口!$AA1004),"")</f>
      </c>
      <c r="AF1004" s="7">
        <f>IFERROR(IF([1]对账明细接口!$AB1004=0,"",[1]对账明细接口!$AB1004),"")</f>
      </c>
      <c r="AG1004" s="7">
        <f>IFERROR(IF([1]对账明细接口!$AC1004=0,"",[1]对账明细接口!$AC1004),"")</f>
      </c>
      <c r="AH1004" s="7">
        <f>IFERROR(IF([1]对账明细接口!$AD1004=0,"",[1]对账明细接口!$AD1004),"")</f>
      </c>
      <c r="AI1004" s="7">
        <f>IFERROR(IF([1]对账明细接口!$AE1004=0,"",[1]对账明细接口!$AE1004),"")</f>
      </c>
      <c r="AJ1004" s="7">
        <f>IFERROR(IF([1]对账明细接口!$AF1004=0,"",[1]对账明细接口!$AF1004),"")</f>
      </c>
    </row>
    <row r="1005" ht="14.25" customHeight="1" s="127">
      <c r="A1005" s="14" t="n">
        <v>1005</v>
      </c>
      <c r="B1005" s="211">
        <f>IFERROR(IF([1]对账明细接口!$B$1005=0,"",[1]对账明细接口!$B$1005),"")</f>
      </c>
      <c r="C1005" s="16">
        <f>IFERROR(IF([1]对账明细接口!$C$1005=0,"",[1]对账明细接口!$C$1005),"")</f>
      </c>
      <c r="D1005" s="16">
        <f>IFERROR(IF([1]对账明细接口!$D$1005=0,"",[1]对账明细接口!$D$1005),"")</f>
      </c>
      <c r="E1005" s="16">
        <f>IFERROR(IF([1]对账明细接口!$E$1005=0,"",[1]对账明细接口!$E$1005),"")</f>
      </c>
      <c r="F1005" s="16">
        <f>IFERROR(IF([1]对账明细接口!$F$1005=0,"",[1]对账明细接口!$F$1005),"")</f>
      </c>
      <c r="G1005" s="16">
        <f>IFERROR(IF([1]对账明细接口!$G$1005=0,"",[1]对账明细接口!$G$1005),"")</f>
      </c>
      <c r="H1005" s="176">
        <f>IFERROR(IF([1]对账明细接口!$H$1005=0,"",[1]对账明细接口!$H$1005),"")</f>
      </c>
      <c r="I1005" s="16">
        <f>IFERROR(IF([1]对账明细接口!$I$1005=0,"",[1]对账明细接口!$I$1005),"")</f>
      </c>
      <c r="J1005" s="177">
        <f>IFERROR(IF([1]对账明细接口!$J$1005=0,"",[1]对账明细接口!$J$1005),"")</f>
      </c>
      <c r="K1005" s="177">
        <f>IFERROR(IF([1]对账明细接口!$K$1005=0,"",[1]对账明细接口!$K$1005),"")</f>
      </c>
      <c r="L1005" s="16">
        <f>IFERROR(IF([1]对账明细接口!$L$1005=0,"",[1]对账明细接口!$L$1005),"")</f>
      </c>
      <c r="M1005" s="16">
        <f>IFERROR(IF([1]对账明细接口!$M$1005=0,"",[1]对账明细接口!$M$1005),"")</f>
      </c>
      <c r="N1005" s="19">
        <f>IF($C1005="",0,1)</f>
        <v>0</v>
      </c>
      <c r="O1005" s="19">
        <f>N(O1004)+$N1005</f>
        <v>637</v>
      </c>
      <c r="S1005" s="20">
        <f>IFERROR(IF([1]对账明细接口!$N1005=0,"",[1]对账明细接口!$N1005),"")</f>
      </c>
      <c r="T1005" s="212">
        <f>IFERROR(IF([1]对账明细接口!$O1005=0,"",[1]对账明细接口!$O1005),"")</f>
      </c>
      <c r="U1005" s="212">
        <f>IFERROR(IF([1]对账明细接口!$P1005=0,"",[1]对账明细接口!$P1005),"")</f>
      </c>
      <c r="V1005" s="212">
        <f>IFERROR(IF([1]对账明细接口!$Q1005=0,"",[1]对账明细接口!$Q1005),"")</f>
      </c>
      <c r="W1005" s="20">
        <f>IFERROR(IF([1]对账明细接口!$R1005=0,"",[1]对账明细接口!$R1005),"")</f>
      </c>
      <c r="X1005" s="20">
        <f>IFERROR(IF([1]对账明细接口!$S1005=0,"",[1]对账明细接口!$S1005),"")</f>
      </c>
      <c r="Y1005" s="20">
        <f>IFERROR(IF([1]对账明细接口!$T1005=0,"",[1]对账明细接口!$T1005),"")</f>
      </c>
      <c r="Z1005" s="213">
        <f>IFERROR(IF([1]对账明细接口!$U1005=0,"",[1]对账明细接口!$U1005),"")</f>
      </c>
      <c r="AA1005" s="213">
        <f>IFERROR(IF([1]对账明细接口!$V1005=0,"",[1]对账明细接口!$V1005),"")</f>
      </c>
      <c r="AB1005" s="20">
        <f>IFERROR(IF([1]对账明细接口!$W1005=0,"",[1]对账明细接口!$W1005),"")</f>
      </c>
      <c r="AC1005" s="7">
        <f>IFERROR(IF([1]对账明细接口!$X1005=0,"",[1]对账明细接口!$X1005),"")</f>
      </c>
      <c r="AD1005" s="7">
        <f>IFERROR(IF([1]对账明细接口!$Y1005=0,"",[1]对账明细接口!$Y1005),"")</f>
      </c>
      <c r="AE1005" s="7">
        <f>IFERROR(IF([1]对账明细接口!$AA1005=0,"",[1]对账明细接口!$AA1005),"")</f>
      </c>
      <c r="AF1005" s="7">
        <f>IFERROR(IF([1]对账明细接口!$AB1005=0,"",[1]对账明细接口!$AB1005),"")</f>
      </c>
      <c r="AG1005" s="7">
        <f>IFERROR(IF([1]对账明细接口!$AC1005=0,"",[1]对账明细接口!$AC1005),"")</f>
      </c>
      <c r="AH1005" s="7">
        <f>IFERROR(IF([1]对账明细接口!$AD1005=0,"",[1]对账明细接口!$AD1005),"")</f>
      </c>
      <c r="AI1005" s="7">
        <f>IFERROR(IF([1]对账明细接口!$AE1005=0,"",[1]对账明细接口!$AE1005),"")</f>
      </c>
      <c r="AJ1005" s="7">
        <f>IFERROR(IF([1]对账明细接口!$AF1005=0,"",[1]对账明细接口!$AF1005),"")</f>
      </c>
    </row>
    <row r="1006" ht="14.25" customHeight="1" s="127">
      <c r="A1006" s="14" t="n">
        <v>1006</v>
      </c>
      <c r="B1006" s="211">
        <f>IFERROR(IF([1]对账明细接口!$B$1006=0,"",[1]对账明细接口!$B$1006),"")</f>
      </c>
      <c r="C1006" s="16">
        <f>IFERROR(IF([1]对账明细接口!$C$1006=0,"",[1]对账明细接口!$C$1006),"")</f>
      </c>
      <c r="D1006" s="16">
        <f>IFERROR(IF([1]对账明细接口!$D$1006=0,"",[1]对账明细接口!$D$1006),"")</f>
      </c>
      <c r="E1006" s="16">
        <f>IFERROR(IF([1]对账明细接口!$E$1006=0,"",[1]对账明细接口!$E$1006),"")</f>
      </c>
      <c r="F1006" s="16">
        <f>IFERROR(IF([1]对账明细接口!$F$1006=0,"",[1]对账明细接口!$F$1006),"")</f>
      </c>
      <c r="G1006" s="16">
        <f>IFERROR(IF([1]对账明细接口!$G$1006=0,"",[1]对账明细接口!$G$1006),"")</f>
      </c>
      <c r="H1006" s="176">
        <f>IFERROR(IF([1]对账明细接口!$H$1006=0,"",[1]对账明细接口!$H$1006),"")</f>
      </c>
      <c r="I1006" s="16">
        <f>IFERROR(IF([1]对账明细接口!$I$1006=0,"",[1]对账明细接口!$I$1006),"")</f>
      </c>
      <c r="J1006" s="177">
        <f>IFERROR(IF([1]对账明细接口!$J$1006=0,"",[1]对账明细接口!$J$1006),"")</f>
      </c>
      <c r="K1006" s="177">
        <f>IFERROR(IF([1]对账明细接口!$K$1006=0,"",[1]对账明细接口!$K$1006),"")</f>
      </c>
      <c r="L1006" s="16">
        <f>IFERROR(IF([1]对账明细接口!$L$1006=0,"",[1]对账明细接口!$L$1006),"")</f>
      </c>
      <c r="M1006" s="16">
        <f>IFERROR(IF([1]对账明细接口!$M$1006=0,"",[1]对账明细接口!$M$1006),"")</f>
      </c>
      <c r="N1006" s="19">
        <f>IF($C1006="",0,1)</f>
        <v>0</v>
      </c>
      <c r="O1006" s="19">
        <f>N(O1005)+$N1006</f>
        <v>637</v>
      </c>
      <c r="S1006" s="20">
        <f>IFERROR(IF([1]对账明细接口!$N1006=0,"",[1]对账明细接口!$N1006),"")</f>
      </c>
      <c r="T1006" s="212">
        <f>IFERROR(IF([1]对账明细接口!$O1006=0,"",[1]对账明细接口!$O1006),"")</f>
      </c>
      <c r="U1006" s="212">
        <f>IFERROR(IF([1]对账明细接口!$P1006=0,"",[1]对账明细接口!$P1006),"")</f>
      </c>
      <c r="V1006" s="212">
        <f>IFERROR(IF([1]对账明细接口!$Q1006=0,"",[1]对账明细接口!$Q1006),"")</f>
      </c>
      <c r="W1006" s="20">
        <f>IFERROR(IF([1]对账明细接口!$R1006=0,"",[1]对账明细接口!$R1006),"")</f>
      </c>
      <c r="X1006" s="20">
        <f>IFERROR(IF([1]对账明细接口!$S1006=0,"",[1]对账明细接口!$S1006),"")</f>
      </c>
      <c r="Y1006" s="20">
        <f>IFERROR(IF([1]对账明细接口!$T1006=0,"",[1]对账明细接口!$T1006),"")</f>
      </c>
      <c r="Z1006" s="213">
        <f>IFERROR(IF([1]对账明细接口!$U1006=0,"",[1]对账明细接口!$U1006),"")</f>
      </c>
      <c r="AA1006" s="213">
        <f>IFERROR(IF([1]对账明细接口!$V1006=0,"",[1]对账明细接口!$V1006),"")</f>
      </c>
      <c r="AB1006" s="20">
        <f>IFERROR(IF([1]对账明细接口!$W1006=0,"",[1]对账明细接口!$W1006),"")</f>
      </c>
      <c r="AC1006" s="7">
        <f>IFERROR(IF([1]对账明细接口!$X1006=0,"",[1]对账明细接口!$X1006),"")</f>
      </c>
      <c r="AD1006" s="7">
        <f>IFERROR(IF([1]对账明细接口!$Y1006=0,"",[1]对账明细接口!$Y1006),"")</f>
      </c>
      <c r="AE1006" s="7">
        <f>IFERROR(IF([1]对账明细接口!$AA1006=0,"",[1]对账明细接口!$AA1006),"")</f>
      </c>
      <c r="AF1006" s="7">
        <f>IFERROR(IF([1]对账明细接口!$AB1006=0,"",[1]对账明细接口!$AB1006),"")</f>
      </c>
      <c r="AG1006" s="7">
        <f>IFERROR(IF([1]对账明细接口!$AC1006=0,"",[1]对账明细接口!$AC1006),"")</f>
      </c>
      <c r="AH1006" s="7">
        <f>IFERROR(IF([1]对账明细接口!$AD1006=0,"",[1]对账明细接口!$AD1006),"")</f>
      </c>
      <c r="AI1006" s="7">
        <f>IFERROR(IF([1]对账明细接口!$AE1006=0,"",[1]对账明细接口!$AE1006),"")</f>
      </c>
      <c r="AJ1006" s="7">
        <f>IFERROR(IF([1]对账明细接口!$AF1006=0,"",[1]对账明细接口!$AF1006),"")</f>
      </c>
    </row>
    <row r="1007" ht="14.25" customHeight="1" s="127">
      <c r="A1007" s="14" t="n">
        <v>1007</v>
      </c>
      <c r="B1007" s="211">
        <f>IFERROR(IF([1]对账明细接口!$B$1007=0,"",[1]对账明细接口!$B$1007),"")</f>
      </c>
      <c r="C1007" s="16">
        <f>IFERROR(IF([1]对账明细接口!$C$1007=0,"",[1]对账明细接口!$C$1007),"")</f>
      </c>
      <c r="D1007" s="16">
        <f>IFERROR(IF([1]对账明细接口!$D$1007=0,"",[1]对账明细接口!$D$1007),"")</f>
      </c>
      <c r="E1007" s="16">
        <f>IFERROR(IF([1]对账明细接口!$E$1007=0,"",[1]对账明细接口!$E$1007),"")</f>
      </c>
      <c r="F1007" s="16">
        <f>IFERROR(IF([1]对账明细接口!$F$1007=0,"",[1]对账明细接口!$F$1007),"")</f>
      </c>
      <c r="G1007" s="16">
        <f>IFERROR(IF([1]对账明细接口!$G$1007=0,"",[1]对账明细接口!$G$1007),"")</f>
      </c>
      <c r="H1007" s="176">
        <f>IFERROR(IF([1]对账明细接口!$H$1007=0,"",[1]对账明细接口!$H$1007),"")</f>
      </c>
      <c r="I1007" s="16">
        <f>IFERROR(IF([1]对账明细接口!$I$1007=0,"",[1]对账明细接口!$I$1007),"")</f>
      </c>
      <c r="J1007" s="177">
        <f>IFERROR(IF([1]对账明细接口!$J$1007=0,"",[1]对账明细接口!$J$1007),"")</f>
      </c>
      <c r="K1007" s="177">
        <f>IFERROR(IF([1]对账明细接口!$K$1007=0,"",[1]对账明细接口!$K$1007),"")</f>
      </c>
      <c r="L1007" s="16">
        <f>IFERROR(IF([1]对账明细接口!$L$1007=0,"",[1]对账明细接口!$L$1007),"")</f>
      </c>
      <c r="M1007" s="16">
        <f>IFERROR(IF([1]对账明细接口!$M$1007=0,"",[1]对账明细接口!$M$1007),"")</f>
      </c>
      <c r="N1007" s="19">
        <f>IF($C1007="",0,1)</f>
        <v>0</v>
      </c>
      <c r="O1007" s="19">
        <f>N(O1006)+$N1007</f>
        <v>637</v>
      </c>
      <c r="S1007" s="20">
        <f>IFERROR(IF([1]对账明细接口!$N1007=0,"",[1]对账明细接口!$N1007),"")</f>
      </c>
      <c r="T1007" s="212">
        <f>IFERROR(IF([1]对账明细接口!$O1007=0,"",[1]对账明细接口!$O1007),"")</f>
      </c>
      <c r="U1007" s="212">
        <f>IFERROR(IF([1]对账明细接口!$P1007=0,"",[1]对账明细接口!$P1007),"")</f>
      </c>
      <c r="V1007" s="212">
        <f>IFERROR(IF([1]对账明细接口!$Q1007=0,"",[1]对账明细接口!$Q1007),"")</f>
      </c>
      <c r="W1007" s="20">
        <f>IFERROR(IF([1]对账明细接口!$R1007=0,"",[1]对账明细接口!$R1007),"")</f>
      </c>
      <c r="X1007" s="20">
        <f>IFERROR(IF([1]对账明细接口!$S1007=0,"",[1]对账明细接口!$S1007),"")</f>
      </c>
      <c r="Y1007" s="20">
        <f>IFERROR(IF([1]对账明细接口!$T1007=0,"",[1]对账明细接口!$T1007),"")</f>
      </c>
      <c r="Z1007" s="213">
        <f>IFERROR(IF([1]对账明细接口!$U1007=0,"",[1]对账明细接口!$U1007),"")</f>
      </c>
      <c r="AA1007" s="213">
        <f>IFERROR(IF([1]对账明细接口!$V1007=0,"",[1]对账明细接口!$V1007),"")</f>
      </c>
      <c r="AB1007" s="20">
        <f>IFERROR(IF([1]对账明细接口!$W1007=0,"",[1]对账明细接口!$W1007),"")</f>
      </c>
      <c r="AC1007" s="7">
        <f>IFERROR(IF([1]对账明细接口!$X1007=0,"",[1]对账明细接口!$X1007),"")</f>
      </c>
      <c r="AD1007" s="7">
        <f>IFERROR(IF([1]对账明细接口!$Y1007=0,"",[1]对账明细接口!$Y1007),"")</f>
      </c>
      <c r="AE1007" s="7">
        <f>IFERROR(IF([1]对账明细接口!$AA1007=0,"",[1]对账明细接口!$AA1007),"")</f>
      </c>
      <c r="AF1007" s="7">
        <f>IFERROR(IF([1]对账明细接口!$AB1007=0,"",[1]对账明细接口!$AB1007),"")</f>
      </c>
      <c r="AG1007" s="7">
        <f>IFERROR(IF([1]对账明细接口!$AC1007=0,"",[1]对账明细接口!$AC1007),"")</f>
      </c>
      <c r="AH1007" s="7">
        <f>IFERROR(IF([1]对账明细接口!$AD1007=0,"",[1]对账明细接口!$AD1007),"")</f>
      </c>
      <c r="AI1007" s="7">
        <f>IFERROR(IF([1]对账明细接口!$AE1007=0,"",[1]对账明细接口!$AE1007),"")</f>
      </c>
      <c r="AJ1007" s="7">
        <f>IFERROR(IF([1]对账明细接口!$AF1007=0,"",[1]对账明细接口!$AF1007),"")</f>
      </c>
    </row>
    <row r="1008" ht="14.25" customHeight="1" s="127">
      <c r="A1008" s="14" t="n">
        <v>1008</v>
      </c>
      <c r="B1008" s="211">
        <f>IFERROR(IF([1]对账明细接口!$B$1008=0,"",[1]对账明细接口!$B$1008),"")</f>
      </c>
      <c r="C1008" s="16">
        <f>IFERROR(IF([1]对账明细接口!$C$1008=0,"",[1]对账明细接口!$C$1008),"")</f>
      </c>
      <c r="D1008" s="16">
        <f>IFERROR(IF([1]对账明细接口!$D$1008=0,"",[1]对账明细接口!$D$1008),"")</f>
      </c>
      <c r="E1008" s="16">
        <f>IFERROR(IF([1]对账明细接口!$E$1008=0,"",[1]对账明细接口!$E$1008),"")</f>
      </c>
      <c r="F1008" s="16">
        <f>IFERROR(IF([1]对账明细接口!$F$1008=0,"",[1]对账明细接口!$F$1008),"")</f>
      </c>
      <c r="G1008" s="16">
        <f>IFERROR(IF([1]对账明细接口!$G$1008=0,"",[1]对账明细接口!$G$1008),"")</f>
      </c>
      <c r="H1008" s="176">
        <f>IFERROR(IF([1]对账明细接口!$H$1008=0,"",[1]对账明细接口!$H$1008),"")</f>
      </c>
      <c r="I1008" s="16">
        <f>IFERROR(IF([1]对账明细接口!$I$1008=0,"",[1]对账明细接口!$I$1008),"")</f>
      </c>
      <c r="J1008" s="177">
        <f>IFERROR(IF([1]对账明细接口!$J$1008=0,"",[1]对账明细接口!$J$1008),"")</f>
      </c>
      <c r="K1008" s="177">
        <f>IFERROR(IF([1]对账明细接口!$K$1008=0,"",[1]对账明细接口!$K$1008),"")</f>
      </c>
      <c r="L1008" s="16">
        <f>IFERROR(IF([1]对账明细接口!$L$1008=0,"",[1]对账明细接口!$L$1008),"")</f>
      </c>
      <c r="M1008" s="16">
        <f>IFERROR(IF([1]对账明细接口!$M$1008=0,"",[1]对账明细接口!$M$1008),"")</f>
      </c>
      <c r="N1008" s="19">
        <f>IF($C1008="",0,1)</f>
        <v>0</v>
      </c>
      <c r="O1008" s="19">
        <f>N(O1007)+$N1008</f>
        <v>637</v>
      </c>
      <c r="S1008" s="20">
        <f>IFERROR(IF([1]对账明细接口!$N1008=0,"",[1]对账明细接口!$N1008),"")</f>
      </c>
      <c r="T1008" s="212">
        <f>IFERROR(IF([1]对账明细接口!$O1008=0,"",[1]对账明细接口!$O1008),"")</f>
      </c>
      <c r="U1008" s="212">
        <f>IFERROR(IF([1]对账明细接口!$P1008=0,"",[1]对账明细接口!$P1008),"")</f>
      </c>
      <c r="V1008" s="212">
        <f>IFERROR(IF([1]对账明细接口!$Q1008=0,"",[1]对账明细接口!$Q1008),"")</f>
      </c>
      <c r="W1008" s="20">
        <f>IFERROR(IF([1]对账明细接口!$R1008=0,"",[1]对账明细接口!$R1008),"")</f>
      </c>
      <c r="X1008" s="20">
        <f>IFERROR(IF([1]对账明细接口!$S1008=0,"",[1]对账明细接口!$S1008),"")</f>
      </c>
      <c r="Y1008" s="20">
        <f>IFERROR(IF([1]对账明细接口!$T1008=0,"",[1]对账明细接口!$T1008),"")</f>
      </c>
      <c r="Z1008" s="213">
        <f>IFERROR(IF([1]对账明细接口!$U1008=0,"",[1]对账明细接口!$U1008),"")</f>
      </c>
      <c r="AA1008" s="213">
        <f>IFERROR(IF([1]对账明细接口!$V1008=0,"",[1]对账明细接口!$V1008),"")</f>
      </c>
      <c r="AB1008" s="20">
        <f>IFERROR(IF([1]对账明细接口!$W1008=0,"",[1]对账明细接口!$W1008),"")</f>
      </c>
      <c r="AC1008" s="7">
        <f>IFERROR(IF([1]对账明细接口!$X1008=0,"",[1]对账明细接口!$X1008),"")</f>
      </c>
      <c r="AD1008" s="7">
        <f>IFERROR(IF([1]对账明细接口!$Y1008=0,"",[1]对账明细接口!$Y1008),"")</f>
      </c>
      <c r="AE1008" s="7">
        <f>IFERROR(IF([1]对账明细接口!$AA1008=0,"",[1]对账明细接口!$AA1008),"")</f>
      </c>
      <c r="AF1008" s="7">
        <f>IFERROR(IF([1]对账明细接口!$AB1008=0,"",[1]对账明细接口!$AB1008),"")</f>
      </c>
      <c r="AG1008" s="7">
        <f>IFERROR(IF([1]对账明细接口!$AC1008=0,"",[1]对账明细接口!$AC1008),"")</f>
      </c>
      <c r="AH1008" s="7">
        <f>IFERROR(IF([1]对账明细接口!$AD1008=0,"",[1]对账明细接口!$AD1008),"")</f>
      </c>
      <c r="AI1008" s="7">
        <f>IFERROR(IF([1]对账明细接口!$AE1008=0,"",[1]对账明细接口!$AE1008),"")</f>
      </c>
      <c r="AJ1008" s="7">
        <f>IFERROR(IF([1]对账明细接口!$AF1008=0,"",[1]对账明细接口!$AF1008),"")</f>
      </c>
    </row>
    <row r="1009" ht="14.25" customHeight="1" s="127">
      <c r="A1009" s="14" t="n">
        <v>1009</v>
      </c>
      <c r="B1009" s="211">
        <f>IFERROR(IF([1]对账明细接口!$B$1009=0,"",[1]对账明细接口!$B$1009),"")</f>
      </c>
      <c r="C1009" s="16">
        <f>IFERROR(IF([1]对账明细接口!$C$1009=0,"",[1]对账明细接口!$C$1009),"")</f>
      </c>
      <c r="D1009" s="16">
        <f>IFERROR(IF([1]对账明细接口!$D$1009=0,"",[1]对账明细接口!$D$1009),"")</f>
      </c>
      <c r="E1009" s="16">
        <f>IFERROR(IF([1]对账明细接口!$E$1009=0,"",[1]对账明细接口!$E$1009),"")</f>
      </c>
      <c r="F1009" s="16">
        <f>IFERROR(IF([1]对账明细接口!$F$1009=0,"",[1]对账明细接口!$F$1009),"")</f>
      </c>
      <c r="G1009" s="16">
        <f>IFERROR(IF([1]对账明细接口!$G$1009=0,"",[1]对账明细接口!$G$1009),"")</f>
      </c>
      <c r="H1009" s="176">
        <f>IFERROR(IF([1]对账明细接口!$H$1009=0,"",[1]对账明细接口!$H$1009),"")</f>
      </c>
      <c r="I1009" s="16">
        <f>IFERROR(IF([1]对账明细接口!$I$1009=0,"",[1]对账明细接口!$I$1009),"")</f>
      </c>
      <c r="J1009" s="177">
        <f>IFERROR(IF([1]对账明细接口!$J$1009=0,"",[1]对账明细接口!$J$1009),"")</f>
      </c>
      <c r="K1009" s="177">
        <f>IFERROR(IF([1]对账明细接口!$K$1009=0,"",[1]对账明细接口!$K$1009),"")</f>
      </c>
      <c r="L1009" s="16">
        <f>IFERROR(IF([1]对账明细接口!$L$1009=0,"",[1]对账明细接口!$L$1009),"")</f>
      </c>
      <c r="M1009" s="16">
        <f>IFERROR(IF([1]对账明细接口!$M$1009=0,"",[1]对账明细接口!$M$1009),"")</f>
      </c>
      <c r="N1009" s="19">
        <f>IF($C1009="",0,1)</f>
        <v>0</v>
      </c>
      <c r="O1009" s="19">
        <f>N(O1008)+$N1009</f>
        <v>637</v>
      </c>
      <c r="S1009" s="20">
        <f>IFERROR(IF([1]对账明细接口!$N1009=0,"",[1]对账明细接口!$N1009),"")</f>
      </c>
      <c r="T1009" s="212">
        <f>IFERROR(IF([1]对账明细接口!$O1009=0,"",[1]对账明细接口!$O1009),"")</f>
      </c>
      <c r="U1009" s="212">
        <f>IFERROR(IF([1]对账明细接口!$P1009=0,"",[1]对账明细接口!$P1009),"")</f>
      </c>
      <c r="V1009" s="212">
        <f>IFERROR(IF([1]对账明细接口!$Q1009=0,"",[1]对账明细接口!$Q1009),"")</f>
      </c>
      <c r="W1009" s="20">
        <f>IFERROR(IF([1]对账明细接口!$R1009=0,"",[1]对账明细接口!$R1009),"")</f>
      </c>
      <c r="X1009" s="20">
        <f>IFERROR(IF([1]对账明细接口!$S1009=0,"",[1]对账明细接口!$S1009),"")</f>
      </c>
      <c r="Y1009" s="20">
        <f>IFERROR(IF([1]对账明细接口!$T1009=0,"",[1]对账明细接口!$T1009),"")</f>
      </c>
      <c r="Z1009" s="213">
        <f>IFERROR(IF([1]对账明细接口!$U1009=0,"",[1]对账明细接口!$U1009),"")</f>
      </c>
      <c r="AA1009" s="213">
        <f>IFERROR(IF([1]对账明细接口!$V1009=0,"",[1]对账明细接口!$V1009),"")</f>
      </c>
      <c r="AB1009" s="20">
        <f>IFERROR(IF([1]对账明细接口!$W1009=0,"",[1]对账明细接口!$W1009),"")</f>
      </c>
      <c r="AC1009" s="7">
        <f>IFERROR(IF([1]对账明细接口!$X1009=0,"",[1]对账明细接口!$X1009),"")</f>
      </c>
      <c r="AD1009" s="7">
        <f>IFERROR(IF([1]对账明细接口!$Y1009=0,"",[1]对账明细接口!$Y1009),"")</f>
      </c>
      <c r="AE1009" s="7">
        <f>IFERROR(IF([1]对账明细接口!$AA1009=0,"",[1]对账明细接口!$AA1009),"")</f>
      </c>
      <c r="AF1009" s="7">
        <f>IFERROR(IF([1]对账明细接口!$AB1009=0,"",[1]对账明细接口!$AB1009),"")</f>
      </c>
      <c r="AG1009" s="7">
        <f>IFERROR(IF([1]对账明细接口!$AC1009=0,"",[1]对账明细接口!$AC1009),"")</f>
      </c>
      <c r="AH1009" s="7">
        <f>IFERROR(IF([1]对账明细接口!$AD1009=0,"",[1]对账明细接口!$AD1009),"")</f>
      </c>
      <c r="AI1009" s="7">
        <f>IFERROR(IF([1]对账明细接口!$AE1009=0,"",[1]对账明细接口!$AE1009),"")</f>
      </c>
      <c r="AJ1009" s="7">
        <f>IFERROR(IF([1]对账明细接口!$AF1009=0,"",[1]对账明细接口!$AF1009),"")</f>
      </c>
    </row>
    <row r="1010" ht="14.25" customHeight="1" s="127">
      <c r="A1010" s="14" t="n">
        <v>1010</v>
      </c>
      <c r="B1010" s="211">
        <f>IFERROR(IF([1]对账明细接口!$B$1010=0,"",[1]对账明细接口!$B$1010),"")</f>
      </c>
      <c r="C1010" s="16">
        <f>IFERROR(IF([1]对账明细接口!$C$1010=0,"",[1]对账明细接口!$C$1010),"")</f>
      </c>
      <c r="D1010" s="16">
        <f>IFERROR(IF([1]对账明细接口!$D$1010=0,"",[1]对账明细接口!$D$1010),"")</f>
      </c>
      <c r="E1010" s="16">
        <f>IFERROR(IF([1]对账明细接口!$E$1010=0,"",[1]对账明细接口!$E$1010),"")</f>
      </c>
      <c r="F1010" s="16">
        <f>IFERROR(IF([1]对账明细接口!$F$1010=0,"",[1]对账明细接口!$F$1010),"")</f>
      </c>
      <c r="G1010" s="16">
        <f>IFERROR(IF([1]对账明细接口!$G$1010=0,"",[1]对账明细接口!$G$1010),"")</f>
      </c>
      <c r="H1010" s="176">
        <f>IFERROR(IF([1]对账明细接口!$H$1010=0,"",[1]对账明细接口!$H$1010),"")</f>
      </c>
      <c r="I1010" s="16">
        <f>IFERROR(IF([1]对账明细接口!$I$1010=0,"",[1]对账明细接口!$I$1010),"")</f>
      </c>
      <c r="J1010" s="177">
        <f>IFERROR(IF([1]对账明细接口!$J$1010=0,"",[1]对账明细接口!$J$1010),"")</f>
      </c>
      <c r="K1010" s="177">
        <f>IFERROR(IF([1]对账明细接口!$K$1010=0,"",[1]对账明细接口!$K$1010),"")</f>
      </c>
      <c r="L1010" s="16">
        <f>IFERROR(IF([1]对账明细接口!$L$1010=0,"",[1]对账明细接口!$L$1010),"")</f>
      </c>
      <c r="M1010" s="16">
        <f>IFERROR(IF([1]对账明细接口!$M$1010=0,"",[1]对账明细接口!$M$1010),"")</f>
      </c>
      <c r="N1010" s="19">
        <f>IF($C1010="",0,1)</f>
        <v>0</v>
      </c>
      <c r="O1010" s="19">
        <f>N(O1009)+$N1010</f>
        <v>637</v>
      </c>
      <c r="S1010" s="20">
        <f>IFERROR(IF([1]对账明细接口!$N1010=0,"",[1]对账明细接口!$N1010),"")</f>
      </c>
      <c r="T1010" s="212">
        <f>IFERROR(IF([1]对账明细接口!$O1010=0,"",[1]对账明细接口!$O1010),"")</f>
      </c>
      <c r="U1010" s="212">
        <f>IFERROR(IF([1]对账明细接口!$P1010=0,"",[1]对账明细接口!$P1010),"")</f>
      </c>
      <c r="V1010" s="212">
        <f>IFERROR(IF([1]对账明细接口!$Q1010=0,"",[1]对账明细接口!$Q1010),"")</f>
      </c>
      <c r="W1010" s="20">
        <f>IFERROR(IF([1]对账明细接口!$R1010=0,"",[1]对账明细接口!$R1010),"")</f>
      </c>
      <c r="X1010" s="20">
        <f>IFERROR(IF([1]对账明细接口!$S1010=0,"",[1]对账明细接口!$S1010),"")</f>
      </c>
      <c r="Y1010" s="20">
        <f>IFERROR(IF([1]对账明细接口!$T1010=0,"",[1]对账明细接口!$T1010),"")</f>
      </c>
      <c r="Z1010" s="213">
        <f>IFERROR(IF([1]对账明细接口!$U1010=0,"",[1]对账明细接口!$U1010),"")</f>
      </c>
      <c r="AA1010" s="213">
        <f>IFERROR(IF([1]对账明细接口!$V1010=0,"",[1]对账明细接口!$V1010),"")</f>
      </c>
      <c r="AB1010" s="20">
        <f>IFERROR(IF([1]对账明细接口!$W1010=0,"",[1]对账明细接口!$W1010),"")</f>
      </c>
      <c r="AC1010" s="7">
        <f>IFERROR(IF([1]对账明细接口!$X1010=0,"",[1]对账明细接口!$X1010),"")</f>
      </c>
      <c r="AD1010" s="7">
        <f>IFERROR(IF([1]对账明细接口!$Y1010=0,"",[1]对账明细接口!$Y1010),"")</f>
      </c>
      <c r="AE1010" s="7">
        <f>IFERROR(IF([1]对账明细接口!$AA1010=0,"",[1]对账明细接口!$AA1010),"")</f>
      </c>
      <c r="AF1010" s="7">
        <f>IFERROR(IF([1]对账明细接口!$AB1010=0,"",[1]对账明细接口!$AB1010),"")</f>
      </c>
      <c r="AG1010" s="7">
        <f>IFERROR(IF([1]对账明细接口!$AC1010=0,"",[1]对账明细接口!$AC1010),"")</f>
      </c>
      <c r="AH1010" s="7">
        <f>IFERROR(IF([1]对账明细接口!$AD1010=0,"",[1]对账明细接口!$AD1010),"")</f>
      </c>
      <c r="AI1010" s="7">
        <f>IFERROR(IF([1]对账明细接口!$AE1010=0,"",[1]对账明细接口!$AE1010),"")</f>
      </c>
      <c r="AJ1010" s="7">
        <f>IFERROR(IF([1]对账明细接口!$AF1010=0,"",[1]对账明细接口!$AF1010),"")</f>
      </c>
    </row>
    <row r="1011" ht="14.25" customHeight="1" s="127">
      <c r="A1011" s="14" t="n">
        <v>1011</v>
      </c>
      <c r="B1011" s="211">
        <f>IFERROR(IF([1]对账明细接口!$B$1011=0,"",[1]对账明细接口!$B$1011),"")</f>
      </c>
      <c r="C1011" s="16">
        <f>IFERROR(IF([1]对账明细接口!$C$1011=0,"",[1]对账明细接口!$C$1011),"")</f>
      </c>
      <c r="D1011" s="16">
        <f>IFERROR(IF([1]对账明细接口!$D$1011=0,"",[1]对账明细接口!$D$1011),"")</f>
      </c>
      <c r="E1011" s="16">
        <f>IFERROR(IF([1]对账明细接口!$E$1011=0,"",[1]对账明细接口!$E$1011),"")</f>
      </c>
      <c r="F1011" s="16">
        <f>IFERROR(IF([1]对账明细接口!$F$1011=0,"",[1]对账明细接口!$F$1011),"")</f>
      </c>
      <c r="G1011" s="16">
        <f>IFERROR(IF([1]对账明细接口!$G$1011=0,"",[1]对账明细接口!$G$1011),"")</f>
      </c>
      <c r="H1011" s="176">
        <f>IFERROR(IF([1]对账明细接口!$H$1011=0,"",[1]对账明细接口!$H$1011),"")</f>
      </c>
      <c r="I1011" s="16">
        <f>IFERROR(IF([1]对账明细接口!$I$1011=0,"",[1]对账明细接口!$I$1011),"")</f>
      </c>
      <c r="J1011" s="177">
        <f>IFERROR(IF([1]对账明细接口!$J$1011=0,"",[1]对账明细接口!$J$1011),"")</f>
      </c>
      <c r="K1011" s="177">
        <f>IFERROR(IF([1]对账明细接口!$K$1011=0,"",[1]对账明细接口!$K$1011),"")</f>
      </c>
      <c r="L1011" s="16">
        <f>IFERROR(IF([1]对账明细接口!$L$1011=0,"",[1]对账明细接口!$L$1011),"")</f>
      </c>
      <c r="M1011" s="16">
        <f>IFERROR(IF([1]对账明细接口!$M$1011=0,"",[1]对账明细接口!$M$1011),"")</f>
      </c>
      <c r="N1011" s="19">
        <f>IF($C1011="",0,1)</f>
        <v>0</v>
      </c>
      <c r="O1011" s="19">
        <f>N(O1010)+$N1011</f>
        <v>637</v>
      </c>
      <c r="S1011" s="20">
        <f>IFERROR(IF([1]对账明细接口!$N1011=0,"",[1]对账明细接口!$N1011),"")</f>
      </c>
      <c r="T1011" s="212">
        <f>IFERROR(IF([1]对账明细接口!$O1011=0,"",[1]对账明细接口!$O1011),"")</f>
      </c>
      <c r="U1011" s="212">
        <f>IFERROR(IF([1]对账明细接口!$P1011=0,"",[1]对账明细接口!$P1011),"")</f>
      </c>
      <c r="V1011" s="212">
        <f>IFERROR(IF([1]对账明细接口!$Q1011=0,"",[1]对账明细接口!$Q1011),"")</f>
      </c>
      <c r="W1011" s="20">
        <f>IFERROR(IF([1]对账明细接口!$R1011=0,"",[1]对账明细接口!$R1011),"")</f>
      </c>
      <c r="X1011" s="20">
        <f>IFERROR(IF([1]对账明细接口!$S1011=0,"",[1]对账明细接口!$S1011),"")</f>
      </c>
      <c r="Y1011" s="20">
        <f>IFERROR(IF([1]对账明细接口!$T1011=0,"",[1]对账明细接口!$T1011),"")</f>
      </c>
      <c r="Z1011" s="213">
        <f>IFERROR(IF([1]对账明细接口!$U1011=0,"",[1]对账明细接口!$U1011),"")</f>
      </c>
      <c r="AA1011" s="213">
        <f>IFERROR(IF([1]对账明细接口!$V1011=0,"",[1]对账明细接口!$V1011),"")</f>
      </c>
      <c r="AB1011" s="20">
        <f>IFERROR(IF([1]对账明细接口!$W1011=0,"",[1]对账明细接口!$W1011),"")</f>
      </c>
      <c r="AC1011" s="7">
        <f>IFERROR(IF([1]对账明细接口!$X1011=0,"",[1]对账明细接口!$X1011),"")</f>
      </c>
      <c r="AD1011" s="7">
        <f>IFERROR(IF([1]对账明细接口!$Y1011=0,"",[1]对账明细接口!$Y1011),"")</f>
      </c>
      <c r="AE1011" s="7">
        <f>IFERROR(IF([1]对账明细接口!$AA1011=0,"",[1]对账明细接口!$AA1011),"")</f>
      </c>
      <c r="AF1011" s="7">
        <f>IFERROR(IF([1]对账明细接口!$AB1011=0,"",[1]对账明细接口!$AB1011),"")</f>
      </c>
      <c r="AG1011" s="7">
        <f>IFERROR(IF([1]对账明细接口!$AC1011=0,"",[1]对账明细接口!$AC1011),"")</f>
      </c>
      <c r="AH1011" s="7">
        <f>IFERROR(IF([1]对账明细接口!$AD1011=0,"",[1]对账明细接口!$AD1011),"")</f>
      </c>
      <c r="AI1011" s="7">
        <f>IFERROR(IF([1]对账明细接口!$AE1011=0,"",[1]对账明细接口!$AE1011),"")</f>
      </c>
      <c r="AJ1011" s="7">
        <f>IFERROR(IF([1]对账明细接口!$AF1011=0,"",[1]对账明细接口!$AF1011),"")</f>
      </c>
    </row>
    <row r="1012" ht="14.25" customHeight="1" s="127">
      <c r="A1012" s="14" t="n">
        <v>1012</v>
      </c>
      <c r="B1012" s="211">
        <f>IFERROR(IF([1]对账明细接口!$B$1012=0,"",[1]对账明细接口!$B$1012),"")</f>
      </c>
      <c r="C1012" s="16">
        <f>IFERROR(IF([1]对账明细接口!$C$1012=0,"",[1]对账明细接口!$C$1012),"")</f>
      </c>
      <c r="D1012" s="16">
        <f>IFERROR(IF([1]对账明细接口!$D$1012=0,"",[1]对账明细接口!$D$1012),"")</f>
      </c>
      <c r="E1012" s="16">
        <f>IFERROR(IF([1]对账明细接口!$E$1012=0,"",[1]对账明细接口!$E$1012),"")</f>
      </c>
      <c r="F1012" s="16">
        <f>IFERROR(IF([1]对账明细接口!$F$1012=0,"",[1]对账明细接口!$F$1012),"")</f>
      </c>
      <c r="G1012" s="16">
        <f>IFERROR(IF([1]对账明细接口!$G$1012=0,"",[1]对账明细接口!$G$1012),"")</f>
      </c>
      <c r="H1012" s="176">
        <f>IFERROR(IF([1]对账明细接口!$H$1012=0,"",[1]对账明细接口!$H$1012),"")</f>
      </c>
      <c r="I1012" s="16">
        <f>IFERROR(IF([1]对账明细接口!$I$1012=0,"",[1]对账明细接口!$I$1012),"")</f>
      </c>
      <c r="J1012" s="177">
        <f>IFERROR(IF([1]对账明细接口!$J$1012=0,"",[1]对账明细接口!$J$1012),"")</f>
      </c>
      <c r="K1012" s="177">
        <f>IFERROR(IF([1]对账明细接口!$K$1012=0,"",[1]对账明细接口!$K$1012),"")</f>
      </c>
      <c r="L1012" s="16">
        <f>IFERROR(IF([1]对账明细接口!$L$1012=0,"",[1]对账明细接口!$L$1012),"")</f>
      </c>
      <c r="M1012" s="16">
        <f>IFERROR(IF([1]对账明细接口!$M$1012=0,"",[1]对账明细接口!$M$1012),"")</f>
      </c>
      <c r="N1012" s="19">
        <f>IF($C1012="",0,1)</f>
        <v>0</v>
      </c>
      <c r="O1012" s="19">
        <f>N(O1011)+$N1012</f>
        <v>637</v>
      </c>
      <c r="S1012" s="20">
        <f>IFERROR(IF([1]对账明细接口!$N1012=0,"",[1]对账明细接口!$N1012),"")</f>
      </c>
      <c r="T1012" s="212">
        <f>IFERROR(IF([1]对账明细接口!$O1012=0,"",[1]对账明细接口!$O1012),"")</f>
      </c>
      <c r="U1012" s="212">
        <f>IFERROR(IF([1]对账明细接口!$P1012=0,"",[1]对账明细接口!$P1012),"")</f>
      </c>
      <c r="V1012" s="212">
        <f>IFERROR(IF([1]对账明细接口!$Q1012=0,"",[1]对账明细接口!$Q1012),"")</f>
      </c>
      <c r="W1012" s="20">
        <f>IFERROR(IF([1]对账明细接口!$R1012=0,"",[1]对账明细接口!$R1012),"")</f>
      </c>
      <c r="X1012" s="20">
        <f>IFERROR(IF([1]对账明细接口!$S1012=0,"",[1]对账明细接口!$S1012),"")</f>
      </c>
      <c r="Y1012" s="20">
        <f>IFERROR(IF([1]对账明细接口!$T1012=0,"",[1]对账明细接口!$T1012),"")</f>
      </c>
      <c r="Z1012" s="213">
        <f>IFERROR(IF([1]对账明细接口!$U1012=0,"",[1]对账明细接口!$U1012),"")</f>
      </c>
      <c r="AA1012" s="213">
        <f>IFERROR(IF([1]对账明细接口!$V1012=0,"",[1]对账明细接口!$V1012),"")</f>
      </c>
      <c r="AB1012" s="20">
        <f>IFERROR(IF([1]对账明细接口!$W1012=0,"",[1]对账明细接口!$W1012),"")</f>
      </c>
      <c r="AC1012" s="7">
        <f>IFERROR(IF([1]对账明细接口!$X1012=0,"",[1]对账明细接口!$X1012),"")</f>
      </c>
      <c r="AD1012" s="7">
        <f>IFERROR(IF([1]对账明细接口!$Y1012=0,"",[1]对账明细接口!$Y1012),"")</f>
      </c>
      <c r="AE1012" s="7">
        <f>IFERROR(IF([1]对账明细接口!$AA1012=0,"",[1]对账明细接口!$AA1012),"")</f>
      </c>
      <c r="AF1012" s="7">
        <f>IFERROR(IF([1]对账明细接口!$AB1012=0,"",[1]对账明细接口!$AB1012),"")</f>
      </c>
      <c r="AG1012" s="7">
        <f>IFERROR(IF([1]对账明细接口!$AC1012=0,"",[1]对账明细接口!$AC1012),"")</f>
      </c>
      <c r="AH1012" s="7">
        <f>IFERROR(IF([1]对账明细接口!$AD1012=0,"",[1]对账明细接口!$AD1012),"")</f>
      </c>
      <c r="AI1012" s="7">
        <f>IFERROR(IF([1]对账明细接口!$AE1012=0,"",[1]对账明细接口!$AE1012),"")</f>
      </c>
      <c r="AJ1012" s="7">
        <f>IFERROR(IF([1]对账明细接口!$AF1012=0,"",[1]对账明细接口!$AF1012),"")</f>
      </c>
    </row>
    <row r="1013" ht="14.25" customHeight="1" s="127">
      <c r="A1013" s="14" t="n">
        <v>1013</v>
      </c>
      <c r="B1013" s="211">
        <f>IFERROR(IF([1]对账明细接口!$B$1013=0,"",[1]对账明细接口!$B$1013),"")</f>
      </c>
      <c r="C1013" s="16">
        <f>IFERROR(IF([1]对账明细接口!$C$1013=0,"",[1]对账明细接口!$C$1013),"")</f>
      </c>
      <c r="D1013" s="16">
        <f>IFERROR(IF([1]对账明细接口!$D$1013=0,"",[1]对账明细接口!$D$1013),"")</f>
      </c>
      <c r="E1013" s="16">
        <f>IFERROR(IF([1]对账明细接口!$E$1013=0,"",[1]对账明细接口!$E$1013),"")</f>
      </c>
      <c r="F1013" s="16">
        <f>IFERROR(IF([1]对账明细接口!$F$1013=0,"",[1]对账明细接口!$F$1013),"")</f>
      </c>
      <c r="G1013" s="16">
        <f>IFERROR(IF([1]对账明细接口!$G$1013=0,"",[1]对账明细接口!$G$1013),"")</f>
      </c>
      <c r="H1013" s="176">
        <f>IFERROR(IF([1]对账明细接口!$H$1013=0,"",[1]对账明细接口!$H$1013),"")</f>
      </c>
      <c r="I1013" s="16">
        <f>IFERROR(IF([1]对账明细接口!$I$1013=0,"",[1]对账明细接口!$I$1013),"")</f>
      </c>
      <c r="J1013" s="177">
        <f>IFERROR(IF([1]对账明细接口!$J$1013=0,"",[1]对账明细接口!$J$1013),"")</f>
      </c>
      <c r="K1013" s="177">
        <f>IFERROR(IF([1]对账明细接口!$K$1013=0,"",[1]对账明细接口!$K$1013),"")</f>
      </c>
      <c r="L1013" s="16">
        <f>IFERROR(IF([1]对账明细接口!$L$1013=0,"",[1]对账明细接口!$L$1013),"")</f>
      </c>
      <c r="M1013" s="16">
        <f>IFERROR(IF([1]对账明细接口!$M$1013=0,"",[1]对账明细接口!$M$1013),"")</f>
      </c>
      <c r="N1013" s="19">
        <f>IF($C1013="",0,1)</f>
        <v>0</v>
      </c>
      <c r="O1013" s="19">
        <f>N(O1012)+$N1013</f>
        <v>637</v>
      </c>
      <c r="S1013" s="20">
        <f>IFERROR(IF([1]对账明细接口!$N1013=0,"",[1]对账明细接口!$N1013),"")</f>
      </c>
      <c r="T1013" s="212">
        <f>IFERROR(IF([1]对账明细接口!$O1013=0,"",[1]对账明细接口!$O1013),"")</f>
      </c>
      <c r="U1013" s="212">
        <f>IFERROR(IF([1]对账明细接口!$P1013=0,"",[1]对账明细接口!$P1013),"")</f>
      </c>
      <c r="V1013" s="212">
        <f>IFERROR(IF([1]对账明细接口!$Q1013=0,"",[1]对账明细接口!$Q1013),"")</f>
      </c>
      <c r="W1013" s="20">
        <f>IFERROR(IF([1]对账明细接口!$R1013=0,"",[1]对账明细接口!$R1013),"")</f>
      </c>
      <c r="X1013" s="20">
        <f>IFERROR(IF([1]对账明细接口!$S1013=0,"",[1]对账明细接口!$S1013),"")</f>
      </c>
      <c r="Y1013" s="20">
        <f>IFERROR(IF([1]对账明细接口!$T1013=0,"",[1]对账明细接口!$T1013),"")</f>
      </c>
      <c r="Z1013" s="213">
        <f>IFERROR(IF([1]对账明细接口!$U1013=0,"",[1]对账明细接口!$U1013),"")</f>
      </c>
      <c r="AA1013" s="213">
        <f>IFERROR(IF([1]对账明细接口!$V1013=0,"",[1]对账明细接口!$V1013),"")</f>
      </c>
      <c r="AB1013" s="20">
        <f>IFERROR(IF([1]对账明细接口!$W1013=0,"",[1]对账明细接口!$W1013),"")</f>
      </c>
      <c r="AC1013" s="7">
        <f>IFERROR(IF([1]对账明细接口!$X1013=0,"",[1]对账明细接口!$X1013),"")</f>
      </c>
      <c r="AD1013" s="7">
        <f>IFERROR(IF([1]对账明细接口!$Y1013=0,"",[1]对账明细接口!$Y1013),"")</f>
      </c>
      <c r="AE1013" s="7">
        <f>IFERROR(IF([1]对账明细接口!$AA1013=0,"",[1]对账明细接口!$AA1013),"")</f>
      </c>
      <c r="AF1013" s="7">
        <f>IFERROR(IF([1]对账明细接口!$AB1013=0,"",[1]对账明细接口!$AB1013),"")</f>
      </c>
      <c r="AG1013" s="7">
        <f>IFERROR(IF([1]对账明细接口!$AC1013=0,"",[1]对账明细接口!$AC1013),"")</f>
      </c>
      <c r="AH1013" s="7">
        <f>IFERROR(IF([1]对账明细接口!$AD1013=0,"",[1]对账明细接口!$AD1013),"")</f>
      </c>
      <c r="AI1013" s="7">
        <f>IFERROR(IF([1]对账明细接口!$AE1013=0,"",[1]对账明细接口!$AE1013),"")</f>
      </c>
      <c r="AJ1013" s="7">
        <f>IFERROR(IF([1]对账明细接口!$AF1013=0,"",[1]对账明细接口!$AF1013),"")</f>
      </c>
    </row>
    <row r="1014" ht="14.25" customHeight="1" s="127">
      <c r="A1014" s="14" t="n">
        <v>1014</v>
      </c>
      <c r="B1014" s="211">
        <f>IFERROR(IF([1]对账明细接口!$B$1014=0,"",[1]对账明细接口!$B$1014),"")</f>
      </c>
      <c r="C1014" s="16">
        <f>IFERROR(IF([1]对账明细接口!$C$1014=0,"",[1]对账明细接口!$C$1014),"")</f>
      </c>
      <c r="D1014" s="16">
        <f>IFERROR(IF([1]对账明细接口!$D$1014=0,"",[1]对账明细接口!$D$1014),"")</f>
      </c>
      <c r="E1014" s="16">
        <f>IFERROR(IF([1]对账明细接口!$E$1014=0,"",[1]对账明细接口!$E$1014),"")</f>
      </c>
      <c r="F1014" s="16">
        <f>IFERROR(IF([1]对账明细接口!$F$1014=0,"",[1]对账明细接口!$F$1014),"")</f>
      </c>
      <c r="G1014" s="16">
        <f>IFERROR(IF([1]对账明细接口!$G$1014=0,"",[1]对账明细接口!$G$1014),"")</f>
      </c>
      <c r="H1014" s="176">
        <f>IFERROR(IF([1]对账明细接口!$H$1014=0,"",[1]对账明细接口!$H$1014),"")</f>
      </c>
      <c r="I1014" s="16">
        <f>IFERROR(IF([1]对账明细接口!$I$1014=0,"",[1]对账明细接口!$I$1014),"")</f>
      </c>
      <c r="J1014" s="177">
        <f>IFERROR(IF([1]对账明细接口!$J$1014=0,"",[1]对账明细接口!$J$1014),"")</f>
      </c>
      <c r="K1014" s="177">
        <f>IFERROR(IF([1]对账明细接口!$K$1014=0,"",[1]对账明细接口!$K$1014),"")</f>
      </c>
      <c r="L1014" s="16">
        <f>IFERROR(IF([1]对账明细接口!$L$1014=0,"",[1]对账明细接口!$L$1014),"")</f>
      </c>
      <c r="M1014" s="16">
        <f>IFERROR(IF([1]对账明细接口!$M$1014=0,"",[1]对账明细接口!$M$1014),"")</f>
      </c>
      <c r="N1014" s="19">
        <f>IF($C1014="",0,1)</f>
        <v>0</v>
      </c>
      <c r="O1014" s="19">
        <f>N(O1013)+$N1014</f>
        <v>637</v>
      </c>
      <c r="S1014" s="20">
        <f>IFERROR(IF([1]对账明细接口!$N1014=0,"",[1]对账明细接口!$N1014),"")</f>
      </c>
      <c r="T1014" s="212">
        <f>IFERROR(IF([1]对账明细接口!$O1014=0,"",[1]对账明细接口!$O1014),"")</f>
      </c>
      <c r="U1014" s="212">
        <f>IFERROR(IF([1]对账明细接口!$P1014=0,"",[1]对账明细接口!$P1014),"")</f>
      </c>
      <c r="V1014" s="212">
        <f>IFERROR(IF([1]对账明细接口!$Q1014=0,"",[1]对账明细接口!$Q1014),"")</f>
      </c>
      <c r="W1014" s="20">
        <f>IFERROR(IF([1]对账明细接口!$R1014=0,"",[1]对账明细接口!$R1014),"")</f>
      </c>
      <c r="X1014" s="20">
        <f>IFERROR(IF([1]对账明细接口!$S1014=0,"",[1]对账明细接口!$S1014),"")</f>
      </c>
      <c r="Y1014" s="20">
        <f>IFERROR(IF([1]对账明细接口!$T1014=0,"",[1]对账明细接口!$T1014),"")</f>
      </c>
      <c r="Z1014" s="213">
        <f>IFERROR(IF([1]对账明细接口!$U1014=0,"",[1]对账明细接口!$U1014),"")</f>
      </c>
      <c r="AA1014" s="213">
        <f>IFERROR(IF([1]对账明细接口!$V1014=0,"",[1]对账明细接口!$V1014),"")</f>
      </c>
      <c r="AB1014" s="20">
        <f>IFERROR(IF([1]对账明细接口!$W1014=0,"",[1]对账明细接口!$W1014),"")</f>
      </c>
      <c r="AC1014" s="7">
        <f>IFERROR(IF([1]对账明细接口!$X1014=0,"",[1]对账明细接口!$X1014),"")</f>
      </c>
      <c r="AD1014" s="7">
        <f>IFERROR(IF([1]对账明细接口!$Y1014=0,"",[1]对账明细接口!$Y1014),"")</f>
      </c>
      <c r="AE1014" s="7">
        <f>IFERROR(IF([1]对账明细接口!$AA1014=0,"",[1]对账明细接口!$AA1014),"")</f>
      </c>
      <c r="AF1014" s="7">
        <f>IFERROR(IF([1]对账明细接口!$AB1014=0,"",[1]对账明细接口!$AB1014),"")</f>
      </c>
      <c r="AG1014" s="7">
        <f>IFERROR(IF([1]对账明细接口!$AC1014=0,"",[1]对账明细接口!$AC1014),"")</f>
      </c>
      <c r="AH1014" s="7">
        <f>IFERROR(IF([1]对账明细接口!$AD1014=0,"",[1]对账明细接口!$AD1014),"")</f>
      </c>
      <c r="AI1014" s="7">
        <f>IFERROR(IF([1]对账明细接口!$AE1014=0,"",[1]对账明细接口!$AE1014),"")</f>
      </c>
      <c r="AJ1014" s="7">
        <f>IFERROR(IF([1]对账明细接口!$AF1014=0,"",[1]对账明细接口!$AF1014),"")</f>
      </c>
    </row>
    <row r="1015" ht="14.25" customHeight="1" s="127">
      <c r="A1015" s="14" t="n">
        <v>1015</v>
      </c>
      <c r="B1015" s="211">
        <f>IFERROR(IF([1]对账明细接口!$B$1015=0,"",[1]对账明细接口!$B$1015),"")</f>
      </c>
      <c r="C1015" s="16">
        <f>IFERROR(IF([1]对账明细接口!$C$1015=0,"",[1]对账明细接口!$C$1015),"")</f>
      </c>
      <c r="D1015" s="16">
        <f>IFERROR(IF([1]对账明细接口!$D$1015=0,"",[1]对账明细接口!$D$1015),"")</f>
      </c>
      <c r="E1015" s="16">
        <f>IFERROR(IF([1]对账明细接口!$E$1015=0,"",[1]对账明细接口!$E$1015),"")</f>
      </c>
      <c r="F1015" s="16">
        <f>IFERROR(IF([1]对账明细接口!$F$1015=0,"",[1]对账明细接口!$F$1015),"")</f>
      </c>
      <c r="G1015" s="16">
        <f>IFERROR(IF([1]对账明细接口!$G$1015=0,"",[1]对账明细接口!$G$1015),"")</f>
      </c>
      <c r="H1015" s="176">
        <f>IFERROR(IF([1]对账明细接口!$H$1015=0,"",[1]对账明细接口!$H$1015),"")</f>
      </c>
      <c r="I1015" s="16">
        <f>IFERROR(IF([1]对账明细接口!$I$1015=0,"",[1]对账明细接口!$I$1015),"")</f>
      </c>
      <c r="J1015" s="177">
        <f>IFERROR(IF([1]对账明细接口!$J$1015=0,"",[1]对账明细接口!$J$1015),"")</f>
      </c>
      <c r="K1015" s="177">
        <f>IFERROR(IF([1]对账明细接口!$K$1015=0,"",[1]对账明细接口!$K$1015),"")</f>
      </c>
      <c r="L1015" s="16">
        <f>IFERROR(IF([1]对账明细接口!$L$1015=0,"",[1]对账明细接口!$L$1015),"")</f>
      </c>
      <c r="M1015" s="16">
        <f>IFERROR(IF([1]对账明细接口!$M$1015=0,"",[1]对账明细接口!$M$1015),"")</f>
      </c>
      <c r="N1015" s="19">
        <f>IF($C1015="",0,1)</f>
        <v>0</v>
      </c>
      <c r="O1015" s="19">
        <f>N(O1014)+$N1015</f>
        <v>637</v>
      </c>
      <c r="S1015" s="20">
        <f>IFERROR(IF([1]对账明细接口!$N1015=0,"",[1]对账明细接口!$N1015),"")</f>
      </c>
      <c r="T1015" s="212">
        <f>IFERROR(IF([1]对账明细接口!$O1015=0,"",[1]对账明细接口!$O1015),"")</f>
      </c>
      <c r="U1015" s="212">
        <f>IFERROR(IF([1]对账明细接口!$P1015=0,"",[1]对账明细接口!$P1015),"")</f>
      </c>
      <c r="V1015" s="212">
        <f>IFERROR(IF([1]对账明细接口!$Q1015=0,"",[1]对账明细接口!$Q1015),"")</f>
      </c>
      <c r="W1015" s="20">
        <f>IFERROR(IF([1]对账明细接口!$R1015=0,"",[1]对账明细接口!$R1015),"")</f>
      </c>
      <c r="X1015" s="20">
        <f>IFERROR(IF([1]对账明细接口!$S1015=0,"",[1]对账明细接口!$S1015),"")</f>
      </c>
      <c r="Y1015" s="20">
        <f>IFERROR(IF([1]对账明细接口!$T1015=0,"",[1]对账明细接口!$T1015),"")</f>
      </c>
      <c r="Z1015" s="213">
        <f>IFERROR(IF([1]对账明细接口!$U1015=0,"",[1]对账明细接口!$U1015),"")</f>
      </c>
      <c r="AA1015" s="213">
        <f>IFERROR(IF([1]对账明细接口!$V1015=0,"",[1]对账明细接口!$V1015),"")</f>
      </c>
      <c r="AB1015" s="20">
        <f>IFERROR(IF([1]对账明细接口!$W1015=0,"",[1]对账明细接口!$W1015),"")</f>
      </c>
      <c r="AC1015" s="7">
        <f>IFERROR(IF([1]对账明细接口!$X1015=0,"",[1]对账明细接口!$X1015),"")</f>
      </c>
      <c r="AD1015" s="7">
        <f>IFERROR(IF([1]对账明细接口!$Y1015=0,"",[1]对账明细接口!$Y1015),"")</f>
      </c>
      <c r="AE1015" s="7">
        <f>IFERROR(IF([1]对账明细接口!$AA1015=0,"",[1]对账明细接口!$AA1015),"")</f>
      </c>
      <c r="AF1015" s="7">
        <f>IFERROR(IF([1]对账明细接口!$AB1015=0,"",[1]对账明细接口!$AB1015),"")</f>
      </c>
      <c r="AG1015" s="7">
        <f>IFERROR(IF([1]对账明细接口!$AC1015=0,"",[1]对账明细接口!$AC1015),"")</f>
      </c>
      <c r="AH1015" s="7">
        <f>IFERROR(IF([1]对账明细接口!$AD1015=0,"",[1]对账明细接口!$AD1015),"")</f>
      </c>
      <c r="AI1015" s="7">
        <f>IFERROR(IF([1]对账明细接口!$AE1015=0,"",[1]对账明细接口!$AE1015),"")</f>
      </c>
      <c r="AJ1015" s="7">
        <f>IFERROR(IF([1]对账明细接口!$AF1015=0,"",[1]对账明细接口!$AF1015),"")</f>
      </c>
    </row>
    <row r="1016" ht="14.25" customHeight="1" s="127">
      <c r="A1016" s="14" t="n">
        <v>1016</v>
      </c>
      <c r="B1016" s="211">
        <f>IFERROR(IF([1]对账明细接口!$B$1016=0,"",[1]对账明细接口!$B$1016),"")</f>
      </c>
      <c r="C1016" s="16">
        <f>IFERROR(IF([1]对账明细接口!$C$1016=0,"",[1]对账明细接口!$C$1016),"")</f>
      </c>
      <c r="D1016" s="16">
        <f>IFERROR(IF([1]对账明细接口!$D$1016=0,"",[1]对账明细接口!$D$1016),"")</f>
      </c>
      <c r="E1016" s="16">
        <f>IFERROR(IF([1]对账明细接口!$E$1016=0,"",[1]对账明细接口!$E$1016),"")</f>
      </c>
      <c r="F1016" s="16">
        <f>IFERROR(IF([1]对账明细接口!$F$1016=0,"",[1]对账明细接口!$F$1016),"")</f>
      </c>
      <c r="G1016" s="16">
        <f>IFERROR(IF([1]对账明细接口!$G$1016=0,"",[1]对账明细接口!$G$1016),"")</f>
      </c>
      <c r="H1016" s="176">
        <f>IFERROR(IF([1]对账明细接口!$H$1016=0,"",[1]对账明细接口!$H$1016),"")</f>
      </c>
      <c r="I1016" s="16">
        <f>IFERROR(IF([1]对账明细接口!$I$1016=0,"",[1]对账明细接口!$I$1016),"")</f>
      </c>
      <c r="J1016" s="177">
        <f>IFERROR(IF([1]对账明细接口!$J$1016=0,"",[1]对账明细接口!$J$1016),"")</f>
      </c>
      <c r="K1016" s="177">
        <f>IFERROR(IF([1]对账明细接口!$K$1016=0,"",[1]对账明细接口!$K$1016),"")</f>
      </c>
      <c r="L1016" s="16">
        <f>IFERROR(IF([1]对账明细接口!$L$1016=0,"",[1]对账明细接口!$L$1016),"")</f>
      </c>
      <c r="M1016" s="16">
        <f>IFERROR(IF([1]对账明细接口!$M$1016=0,"",[1]对账明细接口!$M$1016),"")</f>
      </c>
      <c r="N1016" s="19">
        <f>IF($C1016="",0,1)</f>
        <v>0</v>
      </c>
      <c r="O1016" s="19">
        <f>N(O1015)+$N1016</f>
        <v>637</v>
      </c>
      <c r="S1016" s="20">
        <f>IFERROR(IF([1]对账明细接口!$N1016=0,"",[1]对账明细接口!$N1016),"")</f>
      </c>
      <c r="T1016" s="212">
        <f>IFERROR(IF([1]对账明细接口!$O1016=0,"",[1]对账明细接口!$O1016),"")</f>
      </c>
      <c r="U1016" s="212">
        <f>IFERROR(IF([1]对账明细接口!$P1016=0,"",[1]对账明细接口!$P1016),"")</f>
      </c>
      <c r="V1016" s="212">
        <f>IFERROR(IF([1]对账明细接口!$Q1016=0,"",[1]对账明细接口!$Q1016),"")</f>
      </c>
      <c r="W1016" s="20">
        <f>IFERROR(IF([1]对账明细接口!$R1016=0,"",[1]对账明细接口!$R1016),"")</f>
      </c>
      <c r="X1016" s="20">
        <f>IFERROR(IF([1]对账明细接口!$S1016=0,"",[1]对账明细接口!$S1016),"")</f>
      </c>
      <c r="Y1016" s="20">
        <f>IFERROR(IF([1]对账明细接口!$T1016=0,"",[1]对账明细接口!$T1016),"")</f>
      </c>
      <c r="Z1016" s="213">
        <f>IFERROR(IF([1]对账明细接口!$U1016=0,"",[1]对账明细接口!$U1016),"")</f>
      </c>
      <c r="AA1016" s="213">
        <f>IFERROR(IF([1]对账明细接口!$V1016=0,"",[1]对账明细接口!$V1016),"")</f>
      </c>
      <c r="AB1016" s="20">
        <f>IFERROR(IF([1]对账明细接口!$W1016=0,"",[1]对账明细接口!$W1016),"")</f>
      </c>
      <c r="AC1016" s="7">
        <f>IFERROR(IF([1]对账明细接口!$X1016=0,"",[1]对账明细接口!$X1016),"")</f>
      </c>
      <c r="AD1016" s="7">
        <f>IFERROR(IF([1]对账明细接口!$Y1016=0,"",[1]对账明细接口!$Y1016),"")</f>
      </c>
      <c r="AE1016" s="7">
        <f>IFERROR(IF([1]对账明细接口!$AA1016=0,"",[1]对账明细接口!$AA1016),"")</f>
      </c>
      <c r="AF1016" s="7">
        <f>IFERROR(IF([1]对账明细接口!$AB1016=0,"",[1]对账明细接口!$AB1016),"")</f>
      </c>
      <c r="AG1016" s="7">
        <f>IFERROR(IF([1]对账明细接口!$AC1016=0,"",[1]对账明细接口!$AC1016),"")</f>
      </c>
      <c r="AH1016" s="7">
        <f>IFERROR(IF([1]对账明细接口!$AD1016=0,"",[1]对账明细接口!$AD1016),"")</f>
      </c>
      <c r="AI1016" s="7">
        <f>IFERROR(IF([1]对账明细接口!$AE1016=0,"",[1]对账明细接口!$AE1016),"")</f>
      </c>
      <c r="AJ1016" s="7">
        <f>IFERROR(IF([1]对账明细接口!$AF1016=0,"",[1]对账明细接口!$AF1016),"")</f>
      </c>
    </row>
    <row r="1017" ht="14.25" customHeight="1" s="127">
      <c r="A1017" s="14" t="n">
        <v>1017</v>
      </c>
      <c r="B1017" s="211">
        <f>IFERROR(IF([1]对账明细接口!$B$1017=0,"",[1]对账明细接口!$B$1017),"")</f>
      </c>
      <c r="C1017" s="16">
        <f>IFERROR(IF([1]对账明细接口!$C$1017=0,"",[1]对账明细接口!$C$1017),"")</f>
      </c>
      <c r="D1017" s="16">
        <f>IFERROR(IF([1]对账明细接口!$D$1017=0,"",[1]对账明细接口!$D$1017),"")</f>
      </c>
      <c r="E1017" s="16">
        <f>IFERROR(IF([1]对账明细接口!$E$1017=0,"",[1]对账明细接口!$E$1017),"")</f>
      </c>
      <c r="F1017" s="16">
        <f>IFERROR(IF([1]对账明细接口!$F$1017=0,"",[1]对账明细接口!$F$1017),"")</f>
      </c>
      <c r="G1017" s="16">
        <f>IFERROR(IF([1]对账明细接口!$G$1017=0,"",[1]对账明细接口!$G$1017),"")</f>
      </c>
      <c r="H1017" s="176">
        <f>IFERROR(IF([1]对账明细接口!$H$1017=0,"",[1]对账明细接口!$H$1017),"")</f>
      </c>
      <c r="I1017" s="16">
        <f>IFERROR(IF([1]对账明细接口!$I$1017=0,"",[1]对账明细接口!$I$1017),"")</f>
      </c>
      <c r="J1017" s="177">
        <f>IFERROR(IF([1]对账明细接口!$J$1017=0,"",[1]对账明细接口!$J$1017),"")</f>
      </c>
      <c r="K1017" s="177">
        <f>IFERROR(IF([1]对账明细接口!$K$1017=0,"",[1]对账明细接口!$K$1017),"")</f>
      </c>
      <c r="L1017" s="16">
        <f>IFERROR(IF([1]对账明细接口!$L$1017=0,"",[1]对账明细接口!$L$1017),"")</f>
      </c>
      <c r="M1017" s="16">
        <f>IFERROR(IF([1]对账明细接口!$M$1017=0,"",[1]对账明细接口!$M$1017),"")</f>
      </c>
      <c r="N1017" s="19">
        <f>IF($C1017="",0,1)</f>
        <v>0</v>
      </c>
      <c r="O1017" s="19">
        <f>N(O1016)+$N1017</f>
        <v>637</v>
      </c>
      <c r="S1017" s="20">
        <f>IFERROR(IF([1]对账明细接口!$N1017=0,"",[1]对账明细接口!$N1017),"")</f>
      </c>
      <c r="T1017" s="212">
        <f>IFERROR(IF([1]对账明细接口!$O1017=0,"",[1]对账明细接口!$O1017),"")</f>
      </c>
      <c r="U1017" s="212">
        <f>IFERROR(IF([1]对账明细接口!$P1017=0,"",[1]对账明细接口!$P1017),"")</f>
      </c>
      <c r="V1017" s="212">
        <f>IFERROR(IF([1]对账明细接口!$Q1017=0,"",[1]对账明细接口!$Q1017),"")</f>
      </c>
      <c r="W1017" s="20">
        <f>IFERROR(IF([1]对账明细接口!$R1017=0,"",[1]对账明细接口!$R1017),"")</f>
      </c>
      <c r="X1017" s="20">
        <f>IFERROR(IF([1]对账明细接口!$S1017=0,"",[1]对账明细接口!$S1017),"")</f>
      </c>
      <c r="Y1017" s="20">
        <f>IFERROR(IF([1]对账明细接口!$T1017=0,"",[1]对账明细接口!$T1017),"")</f>
      </c>
      <c r="Z1017" s="213">
        <f>IFERROR(IF([1]对账明细接口!$U1017=0,"",[1]对账明细接口!$U1017),"")</f>
      </c>
      <c r="AA1017" s="213">
        <f>IFERROR(IF([1]对账明细接口!$V1017=0,"",[1]对账明细接口!$V1017),"")</f>
      </c>
      <c r="AB1017" s="20">
        <f>IFERROR(IF([1]对账明细接口!$W1017=0,"",[1]对账明细接口!$W1017),"")</f>
      </c>
      <c r="AC1017" s="7">
        <f>IFERROR(IF([1]对账明细接口!$X1017=0,"",[1]对账明细接口!$X1017),"")</f>
      </c>
      <c r="AD1017" s="7">
        <f>IFERROR(IF([1]对账明细接口!$Y1017=0,"",[1]对账明细接口!$Y1017),"")</f>
      </c>
      <c r="AE1017" s="7">
        <f>IFERROR(IF([1]对账明细接口!$AA1017=0,"",[1]对账明细接口!$AA1017),"")</f>
      </c>
      <c r="AF1017" s="7">
        <f>IFERROR(IF([1]对账明细接口!$AB1017=0,"",[1]对账明细接口!$AB1017),"")</f>
      </c>
      <c r="AG1017" s="7">
        <f>IFERROR(IF([1]对账明细接口!$AC1017=0,"",[1]对账明细接口!$AC1017),"")</f>
      </c>
      <c r="AH1017" s="7">
        <f>IFERROR(IF([1]对账明细接口!$AD1017=0,"",[1]对账明细接口!$AD1017),"")</f>
      </c>
      <c r="AI1017" s="7">
        <f>IFERROR(IF([1]对账明细接口!$AE1017=0,"",[1]对账明细接口!$AE1017),"")</f>
      </c>
      <c r="AJ1017" s="7">
        <f>IFERROR(IF([1]对账明细接口!$AF1017=0,"",[1]对账明细接口!$AF1017),"")</f>
      </c>
    </row>
    <row r="1018" ht="14.25" customHeight="1" s="127">
      <c r="A1018" s="14" t="n">
        <v>1018</v>
      </c>
      <c r="B1018" s="211">
        <f>IFERROR(IF([1]对账明细接口!$B$1018=0,"",[1]对账明细接口!$B$1018),"")</f>
      </c>
      <c r="C1018" s="16">
        <f>IFERROR(IF([1]对账明细接口!$C$1018=0,"",[1]对账明细接口!$C$1018),"")</f>
      </c>
      <c r="D1018" s="16">
        <f>IFERROR(IF([1]对账明细接口!$D$1018=0,"",[1]对账明细接口!$D$1018),"")</f>
      </c>
      <c r="E1018" s="16">
        <f>IFERROR(IF([1]对账明细接口!$E$1018=0,"",[1]对账明细接口!$E$1018),"")</f>
      </c>
      <c r="F1018" s="16">
        <f>IFERROR(IF([1]对账明细接口!$F$1018=0,"",[1]对账明细接口!$F$1018),"")</f>
      </c>
      <c r="G1018" s="16">
        <f>IFERROR(IF([1]对账明细接口!$G$1018=0,"",[1]对账明细接口!$G$1018),"")</f>
      </c>
      <c r="H1018" s="176">
        <f>IFERROR(IF([1]对账明细接口!$H$1018=0,"",[1]对账明细接口!$H$1018),"")</f>
      </c>
      <c r="I1018" s="16">
        <f>IFERROR(IF([1]对账明细接口!$I$1018=0,"",[1]对账明细接口!$I$1018),"")</f>
      </c>
      <c r="J1018" s="177">
        <f>IFERROR(IF([1]对账明细接口!$J$1018=0,"",[1]对账明细接口!$J$1018),"")</f>
      </c>
      <c r="K1018" s="177">
        <f>IFERROR(IF([1]对账明细接口!$K$1018=0,"",[1]对账明细接口!$K$1018),"")</f>
      </c>
      <c r="L1018" s="16">
        <f>IFERROR(IF([1]对账明细接口!$L$1018=0,"",[1]对账明细接口!$L$1018),"")</f>
      </c>
      <c r="M1018" s="16">
        <f>IFERROR(IF([1]对账明细接口!$M$1018=0,"",[1]对账明细接口!$M$1018),"")</f>
      </c>
      <c r="N1018" s="19">
        <f>IF($C1018="",0,1)</f>
        <v>0</v>
      </c>
      <c r="O1018" s="19">
        <f>N(O1017)+$N1018</f>
        <v>637</v>
      </c>
      <c r="S1018" s="20">
        <f>IFERROR(IF([1]对账明细接口!$N1018=0,"",[1]对账明细接口!$N1018),"")</f>
      </c>
      <c r="T1018" s="212">
        <f>IFERROR(IF([1]对账明细接口!$O1018=0,"",[1]对账明细接口!$O1018),"")</f>
      </c>
      <c r="U1018" s="212">
        <f>IFERROR(IF([1]对账明细接口!$P1018=0,"",[1]对账明细接口!$P1018),"")</f>
      </c>
      <c r="V1018" s="212">
        <f>IFERROR(IF([1]对账明细接口!$Q1018=0,"",[1]对账明细接口!$Q1018),"")</f>
      </c>
      <c r="W1018" s="20">
        <f>IFERROR(IF([1]对账明细接口!$R1018=0,"",[1]对账明细接口!$R1018),"")</f>
      </c>
      <c r="X1018" s="20">
        <f>IFERROR(IF([1]对账明细接口!$S1018=0,"",[1]对账明细接口!$S1018),"")</f>
      </c>
      <c r="Y1018" s="20">
        <f>IFERROR(IF([1]对账明细接口!$T1018=0,"",[1]对账明细接口!$T1018),"")</f>
      </c>
      <c r="Z1018" s="213">
        <f>IFERROR(IF([1]对账明细接口!$U1018=0,"",[1]对账明细接口!$U1018),"")</f>
      </c>
      <c r="AA1018" s="213">
        <f>IFERROR(IF([1]对账明细接口!$V1018=0,"",[1]对账明细接口!$V1018),"")</f>
      </c>
      <c r="AB1018" s="20">
        <f>IFERROR(IF([1]对账明细接口!$W1018=0,"",[1]对账明细接口!$W1018),"")</f>
      </c>
      <c r="AC1018" s="7">
        <f>IFERROR(IF([1]对账明细接口!$X1018=0,"",[1]对账明细接口!$X1018),"")</f>
      </c>
      <c r="AD1018" s="7">
        <f>IFERROR(IF([1]对账明细接口!$Y1018=0,"",[1]对账明细接口!$Y1018),"")</f>
      </c>
      <c r="AE1018" s="7">
        <f>IFERROR(IF([1]对账明细接口!$AA1018=0,"",[1]对账明细接口!$AA1018),"")</f>
      </c>
      <c r="AF1018" s="7">
        <f>IFERROR(IF([1]对账明细接口!$AB1018=0,"",[1]对账明细接口!$AB1018),"")</f>
      </c>
      <c r="AG1018" s="7">
        <f>IFERROR(IF([1]对账明细接口!$AC1018=0,"",[1]对账明细接口!$AC1018),"")</f>
      </c>
      <c r="AH1018" s="7">
        <f>IFERROR(IF([1]对账明细接口!$AD1018=0,"",[1]对账明细接口!$AD1018),"")</f>
      </c>
      <c r="AI1018" s="7">
        <f>IFERROR(IF([1]对账明细接口!$AE1018=0,"",[1]对账明细接口!$AE1018),"")</f>
      </c>
      <c r="AJ1018" s="7">
        <f>IFERROR(IF([1]对账明细接口!$AF1018=0,"",[1]对账明细接口!$AF1018),"")</f>
      </c>
    </row>
    <row r="1019" ht="14.25" customHeight="1" s="127">
      <c r="A1019" s="14" t="n">
        <v>1019</v>
      </c>
      <c r="B1019" s="211">
        <f>IFERROR(IF([1]对账明细接口!$B$1019=0,"",[1]对账明细接口!$B$1019),"")</f>
      </c>
      <c r="C1019" s="16">
        <f>IFERROR(IF([1]对账明细接口!$C$1019=0,"",[1]对账明细接口!$C$1019),"")</f>
      </c>
      <c r="D1019" s="16">
        <f>IFERROR(IF([1]对账明细接口!$D$1019=0,"",[1]对账明细接口!$D$1019),"")</f>
      </c>
      <c r="E1019" s="16">
        <f>IFERROR(IF([1]对账明细接口!$E$1019=0,"",[1]对账明细接口!$E$1019),"")</f>
      </c>
      <c r="F1019" s="16">
        <f>IFERROR(IF([1]对账明细接口!$F$1019=0,"",[1]对账明细接口!$F$1019),"")</f>
      </c>
      <c r="G1019" s="16">
        <f>IFERROR(IF([1]对账明细接口!$G$1019=0,"",[1]对账明细接口!$G$1019),"")</f>
      </c>
      <c r="H1019" s="176">
        <f>IFERROR(IF([1]对账明细接口!$H$1019=0,"",[1]对账明细接口!$H$1019),"")</f>
      </c>
      <c r="I1019" s="16">
        <f>IFERROR(IF([1]对账明细接口!$I$1019=0,"",[1]对账明细接口!$I$1019),"")</f>
      </c>
      <c r="J1019" s="177">
        <f>IFERROR(IF([1]对账明细接口!$J$1019=0,"",[1]对账明细接口!$J$1019),"")</f>
      </c>
      <c r="K1019" s="177">
        <f>IFERROR(IF([1]对账明细接口!$K$1019=0,"",[1]对账明细接口!$K$1019),"")</f>
      </c>
      <c r="L1019" s="16">
        <f>IFERROR(IF([1]对账明细接口!$L$1019=0,"",[1]对账明细接口!$L$1019),"")</f>
      </c>
      <c r="M1019" s="16">
        <f>IFERROR(IF([1]对账明细接口!$M$1019=0,"",[1]对账明细接口!$M$1019),"")</f>
      </c>
      <c r="N1019" s="19">
        <f>IF($C1019="",0,1)</f>
        <v>0</v>
      </c>
      <c r="O1019" s="19">
        <f>N(O1018)+$N1019</f>
        <v>637</v>
      </c>
      <c r="S1019" s="20">
        <f>IFERROR(IF([1]对账明细接口!$N1019=0,"",[1]对账明细接口!$N1019),"")</f>
      </c>
      <c r="T1019" s="212">
        <f>IFERROR(IF([1]对账明细接口!$O1019=0,"",[1]对账明细接口!$O1019),"")</f>
      </c>
      <c r="U1019" s="212">
        <f>IFERROR(IF([1]对账明细接口!$P1019=0,"",[1]对账明细接口!$P1019),"")</f>
      </c>
      <c r="V1019" s="212">
        <f>IFERROR(IF([1]对账明细接口!$Q1019=0,"",[1]对账明细接口!$Q1019),"")</f>
      </c>
      <c r="W1019" s="20">
        <f>IFERROR(IF([1]对账明细接口!$R1019=0,"",[1]对账明细接口!$R1019),"")</f>
      </c>
      <c r="X1019" s="20">
        <f>IFERROR(IF([1]对账明细接口!$S1019=0,"",[1]对账明细接口!$S1019),"")</f>
      </c>
      <c r="Y1019" s="20">
        <f>IFERROR(IF([1]对账明细接口!$T1019=0,"",[1]对账明细接口!$T1019),"")</f>
      </c>
      <c r="Z1019" s="213">
        <f>IFERROR(IF([1]对账明细接口!$U1019=0,"",[1]对账明细接口!$U1019),"")</f>
      </c>
      <c r="AA1019" s="213">
        <f>IFERROR(IF([1]对账明细接口!$V1019=0,"",[1]对账明细接口!$V1019),"")</f>
      </c>
      <c r="AB1019" s="20">
        <f>IFERROR(IF([1]对账明细接口!$W1019=0,"",[1]对账明细接口!$W1019),"")</f>
      </c>
      <c r="AC1019" s="7">
        <f>IFERROR(IF([1]对账明细接口!$X1019=0,"",[1]对账明细接口!$X1019),"")</f>
      </c>
      <c r="AD1019" s="7">
        <f>IFERROR(IF([1]对账明细接口!$Y1019=0,"",[1]对账明细接口!$Y1019),"")</f>
      </c>
      <c r="AE1019" s="7">
        <f>IFERROR(IF([1]对账明细接口!$AA1019=0,"",[1]对账明细接口!$AA1019),"")</f>
      </c>
      <c r="AF1019" s="7">
        <f>IFERROR(IF([1]对账明细接口!$AB1019=0,"",[1]对账明细接口!$AB1019),"")</f>
      </c>
      <c r="AG1019" s="7">
        <f>IFERROR(IF([1]对账明细接口!$AC1019=0,"",[1]对账明细接口!$AC1019),"")</f>
      </c>
      <c r="AH1019" s="7">
        <f>IFERROR(IF([1]对账明细接口!$AD1019=0,"",[1]对账明细接口!$AD1019),"")</f>
      </c>
      <c r="AI1019" s="7">
        <f>IFERROR(IF([1]对账明细接口!$AE1019=0,"",[1]对账明细接口!$AE1019),"")</f>
      </c>
      <c r="AJ1019" s="7">
        <f>IFERROR(IF([1]对账明细接口!$AF1019=0,"",[1]对账明细接口!$AF1019),"")</f>
      </c>
    </row>
    <row r="1020" ht="14.25" customHeight="1" s="127">
      <c r="A1020" s="14" t="n">
        <v>1020</v>
      </c>
      <c r="B1020" s="211">
        <f>IFERROR(IF([1]对账明细接口!$B$1020=0,"",[1]对账明细接口!$B$1020),"")</f>
      </c>
      <c r="C1020" s="16">
        <f>IFERROR(IF([1]对账明细接口!$C$1020=0,"",[1]对账明细接口!$C$1020),"")</f>
      </c>
      <c r="D1020" s="16">
        <f>IFERROR(IF([1]对账明细接口!$D$1020=0,"",[1]对账明细接口!$D$1020),"")</f>
      </c>
      <c r="E1020" s="16">
        <f>IFERROR(IF([1]对账明细接口!$E$1020=0,"",[1]对账明细接口!$E$1020),"")</f>
      </c>
      <c r="F1020" s="16">
        <f>IFERROR(IF([1]对账明细接口!$F$1020=0,"",[1]对账明细接口!$F$1020),"")</f>
      </c>
      <c r="G1020" s="16">
        <f>IFERROR(IF([1]对账明细接口!$G$1020=0,"",[1]对账明细接口!$G$1020),"")</f>
      </c>
      <c r="H1020" s="176">
        <f>IFERROR(IF([1]对账明细接口!$H$1020=0,"",[1]对账明细接口!$H$1020),"")</f>
      </c>
      <c r="I1020" s="16">
        <f>IFERROR(IF([1]对账明细接口!$I$1020=0,"",[1]对账明细接口!$I$1020),"")</f>
      </c>
      <c r="J1020" s="177">
        <f>IFERROR(IF([1]对账明细接口!$J$1020=0,"",[1]对账明细接口!$J$1020),"")</f>
      </c>
      <c r="K1020" s="177">
        <f>IFERROR(IF([1]对账明细接口!$K$1020=0,"",[1]对账明细接口!$K$1020),"")</f>
      </c>
      <c r="L1020" s="16">
        <f>IFERROR(IF([1]对账明细接口!$L$1020=0,"",[1]对账明细接口!$L$1020),"")</f>
      </c>
      <c r="M1020" s="16">
        <f>IFERROR(IF([1]对账明细接口!$M$1020=0,"",[1]对账明细接口!$M$1020),"")</f>
      </c>
      <c r="N1020" s="19">
        <f>IF($C1020="",0,1)</f>
        <v>0</v>
      </c>
      <c r="O1020" s="19">
        <f>N(O1019)+$N1020</f>
        <v>637</v>
      </c>
      <c r="S1020" s="20">
        <f>IFERROR(IF([1]对账明细接口!$N1020=0,"",[1]对账明细接口!$N1020),"")</f>
      </c>
      <c r="T1020" s="212">
        <f>IFERROR(IF([1]对账明细接口!$O1020=0,"",[1]对账明细接口!$O1020),"")</f>
      </c>
      <c r="U1020" s="212">
        <f>IFERROR(IF([1]对账明细接口!$P1020=0,"",[1]对账明细接口!$P1020),"")</f>
      </c>
      <c r="V1020" s="212">
        <f>IFERROR(IF([1]对账明细接口!$Q1020=0,"",[1]对账明细接口!$Q1020),"")</f>
      </c>
      <c r="W1020" s="20">
        <f>IFERROR(IF([1]对账明细接口!$R1020=0,"",[1]对账明细接口!$R1020),"")</f>
      </c>
      <c r="X1020" s="20">
        <f>IFERROR(IF([1]对账明细接口!$S1020=0,"",[1]对账明细接口!$S1020),"")</f>
      </c>
      <c r="Y1020" s="20">
        <f>IFERROR(IF([1]对账明细接口!$T1020=0,"",[1]对账明细接口!$T1020),"")</f>
      </c>
      <c r="Z1020" s="213">
        <f>IFERROR(IF([1]对账明细接口!$U1020=0,"",[1]对账明细接口!$U1020),"")</f>
      </c>
      <c r="AA1020" s="213">
        <f>IFERROR(IF([1]对账明细接口!$V1020=0,"",[1]对账明细接口!$V1020),"")</f>
      </c>
      <c r="AB1020" s="20">
        <f>IFERROR(IF([1]对账明细接口!$W1020=0,"",[1]对账明细接口!$W1020),"")</f>
      </c>
      <c r="AC1020" s="7">
        <f>IFERROR(IF([1]对账明细接口!$X1020=0,"",[1]对账明细接口!$X1020),"")</f>
      </c>
      <c r="AD1020" s="7">
        <f>IFERROR(IF([1]对账明细接口!$Y1020=0,"",[1]对账明细接口!$Y1020),"")</f>
      </c>
      <c r="AE1020" s="7">
        <f>IFERROR(IF([1]对账明细接口!$AA1020=0,"",[1]对账明细接口!$AA1020),"")</f>
      </c>
      <c r="AF1020" s="7">
        <f>IFERROR(IF([1]对账明细接口!$AB1020=0,"",[1]对账明细接口!$AB1020),"")</f>
      </c>
      <c r="AG1020" s="7">
        <f>IFERROR(IF([1]对账明细接口!$AC1020=0,"",[1]对账明细接口!$AC1020),"")</f>
      </c>
      <c r="AH1020" s="7">
        <f>IFERROR(IF([1]对账明细接口!$AD1020=0,"",[1]对账明细接口!$AD1020),"")</f>
      </c>
      <c r="AI1020" s="7">
        <f>IFERROR(IF([1]对账明细接口!$AE1020=0,"",[1]对账明细接口!$AE1020),"")</f>
      </c>
      <c r="AJ1020" s="7">
        <f>IFERROR(IF([1]对账明细接口!$AF1020=0,"",[1]对账明细接口!$AF1020),"")</f>
      </c>
    </row>
    <row r="1021" ht="14.25" customHeight="1" s="127">
      <c r="A1021" s="14" t="n">
        <v>1021</v>
      </c>
      <c r="B1021" s="211">
        <f>IFERROR(IF([1]对账明细接口!$B$1021=0,"",[1]对账明细接口!$B$1021),"")</f>
      </c>
      <c r="C1021" s="16">
        <f>IFERROR(IF([1]对账明细接口!$C$1021=0,"",[1]对账明细接口!$C$1021),"")</f>
      </c>
      <c r="D1021" s="16">
        <f>IFERROR(IF([1]对账明细接口!$D$1021=0,"",[1]对账明细接口!$D$1021),"")</f>
      </c>
      <c r="E1021" s="16">
        <f>IFERROR(IF([1]对账明细接口!$E$1021=0,"",[1]对账明细接口!$E$1021),"")</f>
      </c>
      <c r="F1021" s="16">
        <f>IFERROR(IF([1]对账明细接口!$F$1021=0,"",[1]对账明细接口!$F$1021),"")</f>
      </c>
      <c r="G1021" s="16">
        <f>IFERROR(IF([1]对账明细接口!$G$1021=0,"",[1]对账明细接口!$G$1021),"")</f>
      </c>
      <c r="H1021" s="176">
        <f>IFERROR(IF([1]对账明细接口!$H$1021=0,"",[1]对账明细接口!$H$1021),"")</f>
      </c>
      <c r="I1021" s="16">
        <f>IFERROR(IF([1]对账明细接口!$I$1021=0,"",[1]对账明细接口!$I$1021),"")</f>
      </c>
      <c r="J1021" s="177">
        <f>IFERROR(IF([1]对账明细接口!$J$1021=0,"",[1]对账明细接口!$J$1021),"")</f>
      </c>
      <c r="K1021" s="177">
        <f>IFERROR(IF([1]对账明细接口!$K$1021=0,"",[1]对账明细接口!$K$1021),"")</f>
      </c>
      <c r="L1021" s="16">
        <f>IFERROR(IF([1]对账明细接口!$L$1021=0,"",[1]对账明细接口!$L$1021),"")</f>
      </c>
      <c r="M1021" s="16">
        <f>IFERROR(IF([1]对账明细接口!$M$1021=0,"",[1]对账明细接口!$M$1021),"")</f>
      </c>
      <c r="N1021" s="19">
        <f>IF($C1021="",0,1)</f>
        <v>0</v>
      </c>
      <c r="O1021" s="19">
        <f>N(O1020)+$N1021</f>
        <v>637</v>
      </c>
      <c r="S1021" s="20">
        <f>IFERROR(IF([1]对账明细接口!$N1021=0,"",[1]对账明细接口!$N1021),"")</f>
      </c>
      <c r="T1021" s="212">
        <f>IFERROR(IF([1]对账明细接口!$O1021=0,"",[1]对账明细接口!$O1021),"")</f>
      </c>
      <c r="U1021" s="212">
        <f>IFERROR(IF([1]对账明细接口!$P1021=0,"",[1]对账明细接口!$P1021),"")</f>
      </c>
      <c r="V1021" s="212">
        <f>IFERROR(IF([1]对账明细接口!$Q1021=0,"",[1]对账明细接口!$Q1021),"")</f>
      </c>
      <c r="W1021" s="20">
        <f>IFERROR(IF([1]对账明细接口!$R1021=0,"",[1]对账明细接口!$R1021),"")</f>
      </c>
      <c r="X1021" s="20">
        <f>IFERROR(IF([1]对账明细接口!$S1021=0,"",[1]对账明细接口!$S1021),"")</f>
      </c>
      <c r="Y1021" s="20">
        <f>IFERROR(IF([1]对账明细接口!$T1021=0,"",[1]对账明细接口!$T1021),"")</f>
      </c>
      <c r="Z1021" s="213">
        <f>IFERROR(IF([1]对账明细接口!$U1021=0,"",[1]对账明细接口!$U1021),"")</f>
      </c>
      <c r="AA1021" s="213">
        <f>IFERROR(IF([1]对账明细接口!$V1021=0,"",[1]对账明细接口!$V1021),"")</f>
      </c>
      <c r="AB1021" s="20">
        <f>IFERROR(IF([1]对账明细接口!$W1021=0,"",[1]对账明细接口!$W1021),"")</f>
      </c>
      <c r="AC1021" s="7">
        <f>IFERROR(IF([1]对账明细接口!$X1021=0,"",[1]对账明细接口!$X1021),"")</f>
      </c>
      <c r="AD1021" s="7">
        <f>IFERROR(IF([1]对账明细接口!$Y1021=0,"",[1]对账明细接口!$Y1021),"")</f>
      </c>
      <c r="AE1021" s="7">
        <f>IFERROR(IF([1]对账明细接口!$AA1021=0,"",[1]对账明细接口!$AA1021),"")</f>
      </c>
      <c r="AF1021" s="7">
        <f>IFERROR(IF([1]对账明细接口!$AB1021=0,"",[1]对账明细接口!$AB1021),"")</f>
      </c>
      <c r="AG1021" s="7">
        <f>IFERROR(IF([1]对账明细接口!$AC1021=0,"",[1]对账明细接口!$AC1021),"")</f>
      </c>
      <c r="AH1021" s="7">
        <f>IFERROR(IF([1]对账明细接口!$AD1021=0,"",[1]对账明细接口!$AD1021),"")</f>
      </c>
      <c r="AI1021" s="7">
        <f>IFERROR(IF([1]对账明细接口!$AE1021=0,"",[1]对账明细接口!$AE1021),"")</f>
      </c>
      <c r="AJ1021" s="7">
        <f>IFERROR(IF([1]对账明细接口!$AF1021=0,"",[1]对账明细接口!$AF1021),"")</f>
      </c>
    </row>
    <row r="1022" ht="14.25" customHeight="1" s="127">
      <c r="A1022" s="14" t="n">
        <v>1022</v>
      </c>
      <c r="B1022" s="211">
        <f>IFERROR(IF([1]对账明细接口!$B$1022=0,"",[1]对账明细接口!$B$1022),"")</f>
      </c>
      <c r="C1022" s="16">
        <f>IFERROR(IF([1]对账明细接口!$C$1022=0,"",[1]对账明细接口!$C$1022),"")</f>
      </c>
      <c r="D1022" s="16">
        <f>IFERROR(IF([1]对账明细接口!$D$1022=0,"",[1]对账明细接口!$D$1022),"")</f>
      </c>
      <c r="E1022" s="16">
        <f>IFERROR(IF([1]对账明细接口!$E$1022=0,"",[1]对账明细接口!$E$1022),"")</f>
      </c>
      <c r="F1022" s="16">
        <f>IFERROR(IF([1]对账明细接口!$F$1022=0,"",[1]对账明细接口!$F$1022),"")</f>
      </c>
      <c r="G1022" s="16">
        <f>IFERROR(IF([1]对账明细接口!$G$1022=0,"",[1]对账明细接口!$G$1022),"")</f>
      </c>
      <c r="H1022" s="176">
        <f>IFERROR(IF([1]对账明细接口!$H$1022=0,"",[1]对账明细接口!$H$1022),"")</f>
      </c>
      <c r="I1022" s="16">
        <f>IFERROR(IF([1]对账明细接口!$I$1022=0,"",[1]对账明细接口!$I$1022),"")</f>
      </c>
      <c r="J1022" s="177">
        <f>IFERROR(IF([1]对账明细接口!$J$1022=0,"",[1]对账明细接口!$J$1022),"")</f>
      </c>
      <c r="K1022" s="177">
        <f>IFERROR(IF([1]对账明细接口!$K$1022=0,"",[1]对账明细接口!$K$1022),"")</f>
      </c>
      <c r="L1022" s="16">
        <f>IFERROR(IF([1]对账明细接口!$L$1022=0,"",[1]对账明细接口!$L$1022),"")</f>
      </c>
      <c r="M1022" s="16">
        <f>IFERROR(IF([1]对账明细接口!$M$1022=0,"",[1]对账明细接口!$M$1022),"")</f>
      </c>
      <c r="N1022" s="19">
        <f>IF($C1022="",0,1)</f>
        <v>0</v>
      </c>
      <c r="O1022" s="19">
        <f>N(O1021)+$N1022</f>
        <v>637</v>
      </c>
      <c r="S1022" s="20">
        <f>IFERROR(IF([1]对账明细接口!$N1022=0,"",[1]对账明细接口!$N1022),"")</f>
      </c>
      <c r="T1022" s="212">
        <f>IFERROR(IF([1]对账明细接口!$O1022=0,"",[1]对账明细接口!$O1022),"")</f>
      </c>
      <c r="U1022" s="212">
        <f>IFERROR(IF([1]对账明细接口!$P1022=0,"",[1]对账明细接口!$P1022),"")</f>
      </c>
      <c r="V1022" s="212">
        <f>IFERROR(IF([1]对账明细接口!$Q1022=0,"",[1]对账明细接口!$Q1022),"")</f>
      </c>
      <c r="W1022" s="20">
        <f>IFERROR(IF([1]对账明细接口!$R1022=0,"",[1]对账明细接口!$R1022),"")</f>
      </c>
      <c r="X1022" s="20">
        <f>IFERROR(IF([1]对账明细接口!$S1022=0,"",[1]对账明细接口!$S1022),"")</f>
      </c>
      <c r="Y1022" s="20">
        <f>IFERROR(IF([1]对账明细接口!$T1022=0,"",[1]对账明细接口!$T1022),"")</f>
      </c>
      <c r="Z1022" s="213">
        <f>IFERROR(IF([1]对账明细接口!$U1022=0,"",[1]对账明细接口!$U1022),"")</f>
      </c>
      <c r="AA1022" s="213">
        <f>IFERROR(IF([1]对账明细接口!$V1022=0,"",[1]对账明细接口!$V1022),"")</f>
      </c>
      <c r="AB1022" s="20">
        <f>IFERROR(IF([1]对账明细接口!$W1022=0,"",[1]对账明细接口!$W1022),"")</f>
      </c>
      <c r="AC1022" s="7">
        <f>IFERROR(IF([1]对账明细接口!$X1022=0,"",[1]对账明细接口!$X1022),"")</f>
      </c>
      <c r="AD1022" s="7">
        <f>IFERROR(IF([1]对账明细接口!$Y1022=0,"",[1]对账明细接口!$Y1022),"")</f>
      </c>
      <c r="AE1022" s="7">
        <f>IFERROR(IF([1]对账明细接口!$AA1022=0,"",[1]对账明细接口!$AA1022),"")</f>
      </c>
      <c r="AF1022" s="7">
        <f>IFERROR(IF([1]对账明细接口!$AB1022=0,"",[1]对账明细接口!$AB1022),"")</f>
      </c>
      <c r="AG1022" s="7">
        <f>IFERROR(IF([1]对账明细接口!$AC1022=0,"",[1]对账明细接口!$AC1022),"")</f>
      </c>
      <c r="AH1022" s="7">
        <f>IFERROR(IF([1]对账明细接口!$AD1022=0,"",[1]对账明细接口!$AD1022),"")</f>
      </c>
      <c r="AI1022" s="7">
        <f>IFERROR(IF([1]对账明细接口!$AE1022=0,"",[1]对账明细接口!$AE1022),"")</f>
      </c>
      <c r="AJ1022" s="7">
        <f>IFERROR(IF([1]对账明细接口!$AF1022=0,"",[1]对账明细接口!$AF1022),"")</f>
      </c>
    </row>
    <row r="1023" ht="14.25" customHeight="1" s="127">
      <c r="A1023" s="14" t="n">
        <v>1023</v>
      </c>
      <c r="B1023" s="211">
        <f>IFERROR(IF([1]对账明细接口!$B$1023=0,"",[1]对账明细接口!$B$1023),"")</f>
      </c>
      <c r="C1023" s="16">
        <f>IFERROR(IF([1]对账明细接口!$C$1023=0,"",[1]对账明细接口!$C$1023),"")</f>
      </c>
      <c r="D1023" s="16">
        <f>IFERROR(IF([1]对账明细接口!$D$1023=0,"",[1]对账明细接口!$D$1023),"")</f>
      </c>
      <c r="E1023" s="16">
        <f>IFERROR(IF([1]对账明细接口!$E$1023=0,"",[1]对账明细接口!$E$1023),"")</f>
      </c>
      <c r="F1023" s="16">
        <f>IFERROR(IF([1]对账明细接口!$F$1023=0,"",[1]对账明细接口!$F$1023),"")</f>
      </c>
      <c r="G1023" s="16">
        <f>IFERROR(IF([1]对账明细接口!$G$1023=0,"",[1]对账明细接口!$G$1023),"")</f>
      </c>
      <c r="H1023" s="176">
        <f>IFERROR(IF([1]对账明细接口!$H$1023=0,"",[1]对账明细接口!$H$1023),"")</f>
      </c>
      <c r="I1023" s="16">
        <f>IFERROR(IF([1]对账明细接口!$I$1023=0,"",[1]对账明细接口!$I$1023),"")</f>
      </c>
      <c r="J1023" s="177">
        <f>IFERROR(IF([1]对账明细接口!$J$1023=0,"",[1]对账明细接口!$J$1023),"")</f>
      </c>
      <c r="K1023" s="177">
        <f>IFERROR(IF([1]对账明细接口!$K$1023=0,"",[1]对账明细接口!$K$1023),"")</f>
      </c>
      <c r="L1023" s="16">
        <f>IFERROR(IF([1]对账明细接口!$L$1023=0,"",[1]对账明细接口!$L$1023),"")</f>
      </c>
      <c r="M1023" s="16">
        <f>IFERROR(IF([1]对账明细接口!$M$1023=0,"",[1]对账明细接口!$M$1023),"")</f>
      </c>
      <c r="N1023" s="19">
        <f>IF($C1023="",0,1)</f>
        <v>0</v>
      </c>
      <c r="O1023" s="19">
        <f>N(O1022)+$N1023</f>
        <v>637</v>
      </c>
      <c r="S1023" s="20">
        <f>IFERROR(IF([1]对账明细接口!$N1023=0,"",[1]对账明细接口!$N1023),"")</f>
      </c>
      <c r="T1023" s="212">
        <f>IFERROR(IF([1]对账明细接口!$O1023=0,"",[1]对账明细接口!$O1023),"")</f>
      </c>
      <c r="U1023" s="212">
        <f>IFERROR(IF([1]对账明细接口!$P1023=0,"",[1]对账明细接口!$P1023),"")</f>
      </c>
      <c r="V1023" s="212">
        <f>IFERROR(IF([1]对账明细接口!$Q1023=0,"",[1]对账明细接口!$Q1023),"")</f>
      </c>
      <c r="W1023" s="20">
        <f>IFERROR(IF([1]对账明细接口!$R1023=0,"",[1]对账明细接口!$R1023),"")</f>
      </c>
      <c r="X1023" s="20">
        <f>IFERROR(IF([1]对账明细接口!$S1023=0,"",[1]对账明细接口!$S1023),"")</f>
      </c>
      <c r="Y1023" s="20">
        <f>IFERROR(IF([1]对账明细接口!$T1023=0,"",[1]对账明细接口!$T1023),"")</f>
      </c>
      <c r="Z1023" s="213">
        <f>IFERROR(IF([1]对账明细接口!$U1023=0,"",[1]对账明细接口!$U1023),"")</f>
      </c>
      <c r="AA1023" s="213">
        <f>IFERROR(IF([1]对账明细接口!$V1023=0,"",[1]对账明细接口!$V1023),"")</f>
      </c>
      <c r="AB1023" s="20">
        <f>IFERROR(IF([1]对账明细接口!$W1023=0,"",[1]对账明细接口!$W1023),"")</f>
      </c>
      <c r="AC1023" s="7">
        <f>IFERROR(IF([1]对账明细接口!$X1023=0,"",[1]对账明细接口!$X1023),"")</f>
      </c>
      <c r="AD1023" s="7">
        <f>IFERROR(IF([1]对账明细接口!$Y1023=0,"",[1]对账明细接口!$Y1023),"")</f>
      </c>
      <c r="AE1023" s="7">
        <f>IFERROR(IF([1]对账明细接口!$AA1023=0,"",[1]对账明细接口!$AA1023),"")</f>
      </c>
      <c r="AF1023" s="7">
        <f>IFERROR(IF([1]对账明细接口!$AB1023=0,"",[1]对账明细接口!$AB1023),"")</f>
      </c>
      <c r="AG1023" s="7">
        <f>IFERROR(IF([1]对账明细接口!$AC1023=0,"",[1]对账明细接口!$AC1023),"")</f>
      </c>
      <c r="AH1023" s="7">
        <f>IFERROR(IF([1]对账明细接口!$AD1023=0,"",[1]对账明细接口!$AD1023),"")</f>
      </c>
      <c r="AI1023" s="7">
        <f>IFERROR(IF([1]对账明细接口!$AE1023=0,"",[1]对账明细接口!$AE1023),"")</f>
      </c>
      <c r="AJ1023" s="7">
        <f>IFERROR(IF([1]对账明细接口!$AF1023=0,"",[1]对账明细接口!$AF1023),"")</f>
      </c>
    </row>
    <row r="1024" ht="14.25" customHeight="1" s="127">
      <c r="A1024" s="14" t="n">
        <v>1024</v>
      </c>
      <c r="B1024" s="211">
        <f>IFERROR(IF([1]对账明细接口!$B$1024=0,"",[1]对账明细接口!$B$1024),"")</f>
      </c>
      <c r="C1024" s="16">
        <f>IFERROR(IF([1]对账明细接口!$C$1024=0,"",[1]对账明细接口!$C$1024),"")</f>
      </c>
      <c r="D1024" s="16">
        <f>IFERROR(IF([1]对账明细接口!$D$1024=0,"",[1]对账明细接口!$D$1024),"")</f>
      </c>
      <c r="E1024" s="16">
        <f>IFERROR(IF([1]对账明细接口!$E$1024=0,"",[1]对账明细接口!$E$1024),"")</f>
      </c>
      <c r="F1024" s="16">
        <f>IFERROR(IF([1]对账明细接口!$F$1024=0,"",[1]对账明细接口!$F$1024),"")</f>
      </c>
      <c r="G1024" s="16">
        <f>IFERROR(IF([1]对账明细接口!$G$1024=0,"",[1]对账明细接口!$G$1024),"")</f>
      </c>
      <c r="H1024" s="176">
        <f>IFERROR(IF([1]对账明细接口!$H$1024=0,"",[1]对账明细接口!$H$1024),"")</f>
      </c>
      <c r="I1024" s="16">
        <f>IFERROR(IF([1]对账明细接口!$I$1024=0,"",[1]对账明细接口!$I$1024),"")</f>
      </c>
      <c r="J1024" s="177">
        <f>IFERROR(IF([1]对账明细接口!$J$1024=0,"",[1]对账明细接口!$J$1024),"")</f>
      </c>
      <c r="K1024" s="177">
        <f>IFERROR(IF([1]对账明细接口!$K$1024=0,"",[1]对账明细接口!$K$1024),"")</f>
      </c>
      <c r="L1024" s="16">
        <f>IFERROR(IF([1]对账明细接口!$L$1024=0,"",[1]对账明细接口!$L$1024),"")</f>
      </c>
      <c r="M1024" s="16">
        <f>IFERROR(IF([1]对账明细接口!$M$1024=0,"",[1]对账明细接口!$M$1024),"")</f>
      </c>
      <c r="N1024" s="19">
        <f>IF($C1024="",0,1)</f>
        <v>0</v>
      </c>
      <c r="O1024" s="19">
        <f>N(O1023)+$N1024</f>
        <v>637</v>
      </c>
      <c r="S1024" s="20">
        <f>IFERROR(IF([1]对账明细接口!$N1024=0,"",[1]对账明细接口!$N1024),"")</f>
      </c>
      <c r="T1024" s="212">
        <f>IFERROR(IF([1]对账明细接口!$O1024=0,"",[1]对账明细接口!$O1024),"")</f>
      </c>
      <c r="U1024" s="212">
        <f>IFERROR(IF([1]对账明细接口!$P1024=0,"",[1]对账明细接口!$P1024),"")</f>
      </c>
      <c r="V1024" s="212">
        <f>IFERROR(IF([1]对账明细接口!$Q1024=0,"",[1]对账明细接口!$Q1024),"")</f>
      </c>
      <c r="W1024" s="20">
        <f>IFERROR(IF([1]对账明细接口!$R1024=0,"",[1]对账明细接口!$R1024),"")</f>
      </c>
      <c r="X1024" s="20">
        <f>IFERROR(IF([1]对账明细接口!$S1024=0,"",[1]对账明细接口!$S1024),"")</f>
      </c>
      <c r="Y1024" s="20">
        <f>IFERROR(IF([1]对账明细接口!$T1024=0,"",[1]对账明细接口!$T1024),"")</f>
      </c>
      <c r="Z1024" s="213">
        <f>IFERROR(IF([1]对账明细接口!$U1024=0,"",[1]对账明细接口!$U1024),"")</f>
      </c>
      <c r="AA1024" s="213">
        <f>IFERROR(IF([1]对账明细接口!$V1024=0,"",[1]对账明细接口!$V1024),"")</f>
      </c>
      <c r="AB1024" s="20">
        <f>IFERROR(IF([1]对账明细接口!$W1024=0,"",[1]对账明细接口!$W1024),"")</f>
      </c>
      <c r="AC1024" s="7">
        <f>IFERROR(IF([1]对账明细接口!$X1024=0,"",[1]对账明细接口!$X1024),"")</f>
      </c>
      <c r="AD1024" s="7">
        <f>IFERROR(IF([1]对账明细接口!$Y1024=0,"",[1]对账明细接口!$Y1024),"")</f>
      </c>
      <c r="AE1024" s="7">
        <f>IFERROR(IF([1]对账明细接口!$AA1024=0,"",[1]对账明细接口!$AA1024),"")</f>
      </c>
      <c r="AF1024" s="7">
        <f>IFERROR(IF([1]对账明细接口!$AB1024=0,"",[1]对账明细接口!$AB1024),"")</f>
      </c>
      <c r="AG1024" s="7">
        <f>IFERROR(IF([1]对账明细接口!$AC1024=0,"",[1]对账明细接口!$AC1024),"")</f>
      </c>
      <c r="AH1024" s="7">
        <f>IFERROR(IF([1]对账明细接口!$AD1024=0,"",[1]对账明细接口!$AD1024),"")</f>
      </c>
      <c r="AI1024" s="7">
        <f>IFERROR(IF([1]对账明细接口!$AE1024=0,"",[1]对账明细接口!$AE1024),"")</f>
      </c>
      <c r="AJ1024" s="7">
        <f>IFERROR(IF([1]对账明细接口!$AF1024=0,"",[1]对账明细接口!$AF1024),"")</f>
      </c>
    </row>
    <row r="1025" ht="14.25" customHeight="1" s="127">
      <c r="A1025" s="14" t="n">
        <v>1025</v>
      </c>
      <c r="B1025" s="211">
        <f>IFERROR(IF([1]对账明细接口!$B$1025=0,"",[1]对账明细接口!$B$1025),"")</f>
      </c>
      <c r="C1025" s="16">
        <f>IFERROR(IF([1]对账明细接口!$C$1025=0,"",[1]对账明细接口!$C$1025),"")</f>
      </c>
      <c r="D1025" s="16">
        <f>IFERROR(IF([1]对账明细接口!$D$1025=0,"",[1]对账明细接口!$D$1025),"")</f>
      </c>
      <c r="E1025" s="16">
        <f>IFERROR(IF([1]对账明细接口!$E$1025=0,"",[1]对账明细接口!$E$1025),"")</f>
      </c>
      <c r="F1025" s="16">
        <f>IFERROR(IF([1]对账明细接口!$F$1025=0,"",[1]对账明细接口!$F$1025),"")</f>
      </c>
      <c r="G1025" s="16">
        <f>IFERROR(IF([1]对账明细接口!$G$1025=0,"",[1]对账明细接口!$G$1025),"")</f>
      </c>
      <c r="H1025" s="176">
        <f>IFERROR(IF([1]对账明细接口!$H$1025=0,"",[1]对账明细接口!$H$1025),"")</f>
      </c>
      <c r="I1025" s="16">
        <f>IFERROR(IF([1]对账明细接口!$I$1025=0,"",[1]对账明细接口!$I$1025),"")</f>
      </c>
      <c r="J1025" s="177">
        <f>IFERROR(IF([1]对账明细接口!$J$1025=0,"",[1]对账明细接口!$J$1025),"")</f>
      </c>
      <c r="K1025" s="177">
        <f>IFERROR(IF([1]对账明细接口!$K$1025=0,"",[1]对账明细接口!$K$1025),"")</f>
      </c>
      <c r="L1025" s="16">
        <f>IFERROR(IF([1]对账明细接口!$L$1025=0,"",[1]对账明细接口!$L$1025),"")</f>
      </c>
      <c r="M1025" s="16">
        <f>IFERROR(IF([1]对账明细接口!$M$1025=0,"",[1]对账明细接口!$M$1025),"")</f>
      </c>
      <c r="N1025" s="19">
        <f>IF($C1025="",0,1)</f>
        <v>0</v>
      </c>
      <c r="O1025" s="19">
        <f>N(O1024)+$N1025</f>
        <v>637</v>
      </c>
      <c r="S1025" s="20">
        <f>IFERROR(IF([1]对账明细接口!$N1025=0,"",[1]对账明细接口!$N1025),"")</f>
      </c>
      <c r="T1025" s="212">
        <f>IFERROR(IF([1]对账明细接口!$O1025=0,"",[1]对账明细接口!$O1025),"")</f>
      </c>
      <c r="U1025" s="212">
        <f>IFERROR(IF([1]对账明细接口!$P1025=0,"",[1]对账明细接口!$P1025),"")</f>
      </c>
      <c r="V1025" s="212">
        <f>IFERROR(IF([1]对账明细接口!$Q1025=0,"",[1]对账明细接口!$Q1025),"")</f>
      </c>
      <c r="W1025" s="20">
        <f>IFERROR(IF([1]对账明细接口!$R1025=0,"",[1]对账明细接口!$R1025),"")</f>
      </c>
      <c r="X1025" s="20">
        <f>IFERROR(IF([1]对账明细接口!$S1025=0,"",[1]对账明细接口!$S1025),"")</f>
      </c>
      <c r="Y1025" s="20">
        <f>IFERROR(IF([1]对账明细接口!$T1025=0,"",[1]对账明细接口!$T1025),"")</f>
      </c>
      <c r="Z1025" s="213">
        <f>IFERROR(IF([1]对账明细接口!$U1025=0,"",[1]对账明细接口!$U1025),"")</f>
      </c>
      <c r="AA1025" s="213">
        <f>IFERROR(IF([1]对账明细接口!$V1025=0,"",[1]对账明细接口!$V1025),"")</f>
      </c>
      <c r="AB1025" s="20">
        <f>IFERROR(IF([1]对账明细接口!$W1025=0,"",[1]对账明细接口!$W1025),"")</f>
      </c>
      <c r="AC1025" s="7">
        <f>IFERROR(IF([1]对账明细接口!$X1025=0,"",[1]对账明细接口!$X1025),"")</f>
      </c>
      <c r="AD1025" s="7">
        <f>IFERROR(IF([1]对账明细接口!$Y1025=0,"",[1]对账明细接口!$Y1025),"")</f>
      </c>
      <c r="AE1025" s="7">
        <f>IFERROR(IF([1]对账明细接口!$AA1025=0,"",[1]对账明细接口!$AA1025),"")</f>
      </c>
      <c r="AF1025" s="7">
        <f>IFERROR(IF([1]对账明细接口!$AB1025=0,"",[1]对账明细接口!$AB1025),"")</f>
      </c>
      <c r="AG1025" s="7">
        <f>IFERROR(IF([1]对账明细接口!$AC1025=0,"",[1]对账明细接口!$AC1025),"")</f>
      </c>
      <c r="AH1025" s="7">
        <f>IFERROR(IF([1]对账明细接口!$AD1025=0,"",[1]对账明细接口!$AD1025),"")</f>
      </c>
      <c r="AI1025" s="7">
        <f>IFERROR(IF([1]对账明细接口!$AE1025=0,"",[1]对账明细接口!$AE1025),"")</f>
      </c>
      <c r="AJ1025" s="7">
        <f>IFERROR(IF([1]对账明细接口!$AF1025=0,"",[1]对账明细接口!$AF1025),"")</f>
      </c>
    </row>
    <row r="1026" ht="14.25" customHeight="1" s="127">
      <c r="A1026" s="14" t="n">
        <v>1026</v>
      </c>
      <c r="B1026" s="211">
        <f>IFERROR(IF([1]对账明细接口!$B$1026=0,"",[1]对账明细接口!$B$1026),"")</f>
      </c>
      <c r="C1026" s="16">
        <f>IFERROR(IF([1]对账明细接口!$C$1026=0,"",[1]对账明细接口!$C$1026),"")</f>
      </c>
      <c r="D1026" s="16">
        <f>IFERROR(IF([1]对账明细接口!$D$1026=0,"",[1]对账明细接口!$D$1026),"")</f>
      </c>
      <c r="E1026" s="16">
        <f>IFERROR(IF([1]对账明细接口!$E$1026=0,"",[1]对账明细接口!$E$1026),"")</f>
      </c>
      <c r="F1026" s="16">
        <f>IFERROR(IF([1]对账明细接口!$F$1026=0,"",[1]对账明细接口!$F$1026),"")</f>
      </c>
      <c r="G1026" s="16">
        <f>IFERROR(IF([1]对账明细接口!$G$1026=0,"",[1]对账明细接口!$G$1026),"")</f>
      </c>
      <c r="H1026" s="176">
        <f>IFERROR(IF([1]对账明细接口!$H$1026=0,"",[1]对账明细接口!$H$1026),"")</f>
      </c>
      <c r="I1026" s="16">
        <f>IFERROR(IF([1]对账明细接口!$I$1026=0,"",[1]对账明细接口!$I$1026),"")</f>
      </c>
      <c r="J1026" s="177">
        <f>IFERROR(IF([1]对账明细接口!$J$1026=0,"",[1]对账明细接口!$J$1026),"")</f>
      </c>
      <c r="K1026" s="177">
        <f>IFERROR(IF([1]对账明细接口!$K$1026=0,"",[1]对账明细接口!$K$1026),"")</f>
      </c>
      <c r="L1026" s="16">
        <f>IFERROR(IF([1]对账明细接口!$L$1026=0,"",[1]对账明细接口!$L$1026),"")</f>
      </c>
      <c r="M1026" s="16">
        <f>IFERROR(IF([1]对账明细接口!$M$1026=0,"",[1]对账明细接口!$M$1026),"")</f>
      </c>
      <c r="N1026" s="19">
        <f>IF($C1026="",0,1)</f>
        <v>0</v>
      </c>
      <c r="O1026" s="19">
        <f>N(O1025)+$N1026</f>
        <v>637</v>
      </c>
      <c r="S1026" s="20">
        <f>IFERROR(IF([1]对账明细接口!$N1026=0,"",[1]对账明细接口!$N1026),"")</f>
      </c>
      <c r="T1026" s="212">
        <f>IFERROR(IF([1]对账明细接口!$O1026=0,"",[1]对账明细接口!$O1026),"")</f>
      </c>
      <c r="U1026" s="212">
        <f>IFERROR(IF([1]对账明细接口!$P1026=0,"",[1]对账明细接口!$P1026),"")</f>
      </c>
      <c r="V1026" s="212">
        <f>IFERROR(IF([1]对账明细接口!$Q1026=0,"",[1]对账明细接口!$Q1026),"")</f>
      </c>
      <c r="W1026" s="20">
        <f>IFERROR(IF([1]对账明细接口!$R1026=0,"",[1]对账明细接口!$R1026),"")</f>
      </c>
      <c r="X1026" s="20">
        <f>IFERROR(IF([1]对账明细接口!$S1026=0,"",[1]对账明细接口!$S1026),"")</f>
      </c>
      <c r="Y1026" s="20">
        <f>IFERROR(IF([1]对账明细接口!$T1026=0,"",[1]对账明细接口!$T1026),"")</f>
      </c>
      <c r="Z1026" s="213">
        <f>IFERROR(IF([1]对账明细接口!$U1026=0,"",[1]对账明细接口!$U1026),"")</f>
      </c>
      <c r="AA1026" s="213">
        <f>IFERROR(IF([1]对账明细接口!$V1026=0,"",[1]对账明细接口!$V1026),"")</f>
      </c>
      <c r="AB1026" s="20">
        <f>IFERROR(IF([1]对账明细接口!$W1026=0,"",[1]对账明细接口!$W1026),"")</f>
      </c>
      <c r="AC1026" s="7">
        <f>IFERROR(IF([1]对账明细接口!$X1026=0,"",[1]对账明细接口!$X1026),"")</f>
      </c>
      <c r="AD1026" s="7">
        <f>IFERROR(IF([1]对账明细接口!$Y1026=0,"",[1]对账明细接口!$Y1026),"")</f>
      </c>
      <c r="AE1026" s="7">
        <f>IFERROR(IF([1]对账明细接口!$AA1026=0,"",[1]对账明细接口!$AA1026),"")</f>
      </c>
      <c r="AF1026" s="7">
        <f>IFERROR(IF([1]对账明细接口!$AB1026=0,"",[1]对账明细接口!$AB1026),"")</f>
      </c>
      <c r="AG1026" s="7">
        <f>IFERROR(IF([1]对账明细接口!$AC1026=0,"",[1]对账明细接口!$AC1026),"")</f>
      </c>
      <c r="AH1026" s="7">
        <f>IFERROR(IF([1]对账明细接口!$AD1026=0,"",[1]对账明细接口!$AD1026),"")</f>
      </c>
      <c r="AI1026" s="7">
        <f>IFERROR(IF([1]对账明细接口!$AE1026=0,"",[1]对账明细接口!$AE1026),"")</f>
      </c>
      <c r="AJ1026" s="7">
        <f>IFERROR(IF([1]对账明细接口!$AF1026=0,"",[1]对账明细接口!$AF1026),"")</f>
      </c>
    </row>
    <row r="1027" ht="14.25" customHeight="1" s="127">
      <c r="A1027" s="14" t="n">
        <v>1027</v>
      </c>
      <c r="B1027" s="211">
        <f>IFERROR(IF([1]对账明细接口!$B$1027=0,"",[1]对账明细接口!$B$1027),"")</f>
      </c>
      <c r="C1027" s="16">
        <f>IFERROR(IF([1]对账明细接口!$C$1027=0,"",[1]对账明细接口!$C$1027),"")</f>
      </c>
      <c r="D1027" s="16">
        <f>IFERROR(IF([1]对账明细接口!$D$1027=0,"",[1]对账明细接口!$D$1027),"")</f>
      </c>
      <c r="E1027" s="16">
        <f>IFERROR(IF([1]对账明细接口!$E$1027=0,"",[1]对账明细接口!$E$1027),"")</f>
      </c>
      <c r="F1027" s="16">
        <f>IFERROR(IF([1]对账明细接口!$F$1027=0,"",[1]对账明细接口!$F$1027),"")</f>
      </c>
      <c r="G1027" s="16">
        <f>IFERROR(IF([1]对账明细接口!$G$1027=0,"",[1]对账明细接口!$G$1027),"")</f>
      </c>
      <c r="H1027" s="176">
        <f>IFERROR(IF([1]对账明细接口!$H$1027=0,"",[1]对账明细接口!$H$1027),"")</f>
      </c>
      <c r="I1027" s="16">
        <f>IFERROR(IF([1]对账明细接口!$I$1027=0,"",[1]对账明细接口!$I$1027),"")</f>
      </c>
      <c r="J1027" s="177">
        <f>IFERROR(IF([1]对账明细接口!$J$1027=0,"",[1]对账明细接口!$J$1027),"")</f>
      </c>
      <c r="K1027" s="177">
        <f>IFERROR(IF([1]对账明细接口!$K$1027=0,"",[1]对账明细接口!$K$1027),"")</f>
      </c>
      <c r="L1027" s="16">
        <f>IFERROR(IF([1]对账明细接口!$L$1027=0,"",[1]对账明细接口!$L$1027),"")</f>
      </c>
      <c r="M1027" s="16">
        <f>IFERROR(IF([1]对账明细接口!$M$1027=0,"",[1]对账明细接口!$M$1027),"")</f>
      </c>
      <c r="N1027" s="19">
        <f>IF($C1027="",0,1)</f>
        <v>0</v>
      </c>
      <c r="O1027" s="19">
        <f>N(O1026)+$N1027</f>
        <v>637</v>
      </c>
      <c r="S1027" s="20">
        <f>IFERROR(IF([1]对账明细接口!$N1027=0,"",[1]对账明细接口!$N1027),"")</f>
      </c>
      <c r="T1027" s="212">
        <f>IFERROR(IF([1]对账明细接口!$O1027=0,"",[1]对账明细接口!$O1027),"")</f>
      </c>
      <c r="U1027" s="212">
        <f>IFERROR(IF([1]对账明细接口!$P1027=0,"",[1]对账明细接口!$P1027),"")</f>
      </c>
      <c r="V1027" s="212">
        <f>IFERROR(IF([1]对账明细接口!$Q1027=0,"",[1]对账明细接口!$Q1027),"")</f>
      </c>
      <c r="W1027" s="20">
        <f>IFERROR(IF([1]对账明细接口!$R1027=0,"",[1]对账明细接口!$R1027),"")</f>
      </c>
      <c r="X1027" s="20">
        <f>IFERROR(IF([1]对账明细接口!$S1027=0,"",[1]对账明细接口!$S1027),"")</f>
      </c>
      <c r="Y1027" s="20">
        <f>IFERROR(IF([1]对账明细接口!$T1027=0,"",[1]对账明细接口!$T1027),"")</f>
      </c>
      <c r="Z1027" s="213">
        <f>IFERROR(IF([1]对账明细接口!$U1027=0,"",[1]对账明细接口!$U1027),"")</f>
      </c>
      <c r="AA1027" s="213">
        <f>IFERROR(IF([1]对账明细接口!$V1027=0,"",[1]对账明细接口!$V1027),"")</f>
      </c>
      <c r="AB1027" s="20">
        <f>IFERROR(IF([1]对账明细接口!$W1027=0,"",[1]对账明细接口!$W1027),"")</f>
      </c>
      <c r="AC1027" s="7">
        <f>IFERROR(IF([1]对账明细接口!$X1027=0,"",[1]对账明细接口!$X1027),"")</f>
      </c>
      <c r="AD1027" s="7">
        <f>IFERROR(IF([1]对账明细接口!$Y1027=0,"",[1]对账明细接口!$Y1027),"")</f>
      </c>
      <c r="AE1027" s="7">
        <f>IFERROR(IF([1]对账明细接口!$AA1027=0,"",[1]对账明细接口!$AA1027),"")</f>
      </c>
      <c r="AF1027" s="7">
        <f>IFERROR(IF([1]对账明细接口!$AB1027=0,"",[1]对账明细接口!$AB1027),"")</f>
      </c>
      <c r="AG1027" s="7">
        <f>IFERROR(IF([1]对账明细接口!$AC1027=0,"",[1]对账明细接口!$AC1027),"")</f>
      </c>
      <c r="AH1027" s="7">
        <f>IFERROR(IF([1]对账明细接口!$AD1027=0,"",[1]对账明细接口!$AD1027),"")</f>
      </c>
      <c r="AI1027" s="7">
        <f>IFERROR(IF([1]对账明细接口!$AE1027=0,"",[1]对账明细接口!$AE1027),"")</f>
      </c>
      <c r="AJ1027" s="7">
        <f>IFERROR(IF([1]对账明细接口!$AF1027=0,"",[1]对账明细接口!$AF1027),"")</f>
      </c>
    </row>
    <row r="1028" ht="14.25" customHeight="1" s="127">
      <c r="A1028" s="14" t="n">
        <v>1028</v>
      </c>
      <c r="B1028" s="211">
        <f>IFERROR(IF([1]对账明细接口!$B$1028=0,"",[1]对账明细接口!$B$1028),"")</f>
      </c>
      <c r="C1028" s="16">
        <f>IFERROR(IF([1]对账明细接口!$C$1028=0,"",[1]对账明细接口!$C$1028),"")</f>
      </c>
      <c r="D1028" s="16">
        <f>IFERROR(IF([1]对账明细接口!$D$1028=0,"",[1]对账明细接口!$D$1028),"")</f>
      </c>
      <c r="E1028" s="16">
        <f>IFERROR(IF([1]对账明细接口!$E$1028=0,"",[1]对账明细接口!$E$1028),"")</f>
      </c>
      <c r="F1028" s="16">
        <f>IFERROR(IF([1]对账明细接口!$F$1028=0,"",[1]对账明细接口!$F$1028),"")</f>
      </c>
      <c r="G1028" s="16">
        <f>IFERROR(IF([1]对账明细接口!$G$1028=0,"",[1]对账明细接口!$G$1028),"")</f>
      </c>
      <c r="H1028" s="176">
        <f>IFERROR(IF([1]对账明细接口!$H$1028=0,"",[1]对账明细接口!$H$1028),"")</f>
      </c>
      <c r="I1028" s="16">
        <f>IFERROR(IF([1]对账明细接口!$I$1028=0,"",[1]对账明细接口!$I$1028),"")</f>
      </c>
      <c r="J1028" s="177">
        <f>IFERROR(IF([1]对账明细接口!$J$1028=0,"",[1]对账明细接口!$J$1028),"")</f>
      </c>
      <c r="K1028" s="177">
        <f>IFERROR(IF([1]对账明细接口!$K$1028=0,"",[1]对账明细接口!$K$1028),"")</f>
      </c>
      <c r="L1028" s="16">
        <f>IFERROR(IF([1]对账明细接口!$L$1028=0,"",[1]对账明细接口!$L$1028),"")</f>
      </c>
      <c r="M1028" s="16">
        <f>IFERROR(IF([1]对账明细接口!$M$1028=0,"",[1]对账明细接口!$M$1028),"")</f>
      </c>
      <c r="N1028" s="19">
        <f>IF($C1028="",0,1)</f>
        <v>0</v>
      </c>
      <c r="O1028" s="19">
        <f>N(O1027)+$N1028</f>
        <v>637</v>
      </c>
      <c r="S1028" s="20">
        <f>IFERROR(IF([1]对账明细接口!$N1028=0,"",[1]对账明细接口!$N1028),"")</f>
      </c>
      <c r="T1028" s="212">
        <f>IFERROR(IF([1]对账明细接口!$O1028=0,"",[1]对账明细接口!$O1028),"")</f>
      </c>
      <c r="U1028" s="212">
        <f>IFERROR(IF([1]对账明细接口!$P1028=0,"",[1]对账明细接口!$P1028),"")</f>
      </c>
      <c r="V1028" s="212">
        <f>IFERROR(IF([1]对账明细接口!$Q1028=0,"",[1]对账明细接口!$Q1028),"")</f>
      </c>
      <c r="W1028" s="20">
        <f>IFERROR(IF([1]对账明细接口!$R1028=0,"",[1]对账明细接口!$R1028),"")</f>
      </c>
      <c r="X1028" s="20">
        <f>IFERROR(IF([1]对账明细接口!$S1028=0,"",[1]对账明细接口!$S1028),"")</f>
      </c>
      <c r="Y1028" s="20">
        <f>IFERROR(IF([1]对账明细接口!$T1028=0,"",[1]对账明细接口!$T1028),"")</f>
      </c>
      <c r="Z1028" s="213">
        <f>IFERROR(IF([1]对账明细接口!$U1028=0,"",[1]对账明细接口!$U1028),"")</f>
      </c>
      <c r="AA1028" s="213">
        <f>IFERROR(IF([1]对账明细接口!$V1028=0,"",[1]对账明细接口!$V1028),"")</f>
      </c>
      <c r="AB1028" s="20">
        <f>IFERROR(IF([1]对账明细接口!$W1028=0,"",[1]对账明细接口!$W1028),"")</f>
      </c>
      <c r="AC1028" s="7">
        <f>IFERROR(IF([1]对账明细接口!$X1028=0,"",[1]对账明细接口!$X1028),"")</f>
      </c>
      <c r="AD1028" s="7">
        <f>IFERROR(IF([1]对账明细接口!$Y1028=0,"",[1]对账明细接口!$Y1028),"")</f>
      </c>
      <c r="AE1028" s="7">
        <f>IFERROR(IF([1]对账明细接口!$AA1028=0,"",[1]对账明细接口!$AA1028),"")</f>
      </c>
      <c r="AF1028" s="7">
        <f>IFERROR(IF([1]对账明细接口!$AB1028=0,"",[1]对账明细接口!$AB1028),"")</f>
      </c>
      <c r="AG1028" s="7">
        <f>IFERROR(IF([1]对账明细接口!$AC1028=0,"",[1]对账明细接口!$AC1028),"")</f>
      </c>
      <c r="AH1028" s="7">
        <f>IFERROR(IF([1]对账明细接口!$AD1028=0,"",[1]对账明细接口!$AD1028),"")</f>
      </c>
      <c r="AI1028" s="7">
        <f>IFERROR(IF([1]对账明细接口!$AE1028=0,"",[1]对账明细接口!$AE1028),"")</f>
      </c>
      <c r="AJ1028" s="7">
        <f>IFERROR(IF([1]对账明细接口!$AF1028=0,"",[1]对账明细接口!$AF1028),"")</f>
      </c>
    </row>
    <row r="1029" ht="14.25" customHeight="1" s="127">
      <c r="A1029" s="14" t="n">
        <v>1029</v>
      </c>
      <c r="B1029" s="211">
        <f>IFERROR(IF([1]对账明细接口!$B$1029=0,"",[1]对账明细接口!$B$1029),"")</f>
      </c>
      <c r="C1029" s="16">
        <f>IFERROR(IF([1]对账明细接口!$C$1029=0,"",[1]对账明细接口!$C$1029),"")</f>
      </c>
      <c r="D1029" s="16">
        <f>IFERROR(IF([1]对账明细接口!$D$1029=0,"",[1]对账明细接口!$D$1029),"")</f>
      </c>
      <c r="E1029" s="16">
        <f>IFERROR(IF([1]对账明细接口!$E$1029=0,"",[1]对账明细接口!$E$1029),"")</f>
      </c>
      <c r="F1029" s="16">
        <f>IFERROR(IF([1]对账明细接口!$F$1029=0,"",[1]对账明细接口!$F$1029),"")</f>
      </c>
      <c r="G1029" s="16">
        <f>IFERROR(IF([1]对账明细接口!$G$1029=0,"",[1]对账明细接口!$G$1029),"")</f>
      </c>
      <c r="H1029" s="176">
        <f>IFERROR(IF([1]对账明细接口!$H$1029=0,"",[1]对账明细接口!$H$1029),"")</f>
      </c>
      <c r="I1029" s="16">
        <f>IFERROR(IF([1]对账明细接口!$I$1029=0,"",[1]对账明细接口!$I$1029),"")</f>
      </c>
      <c r="J1029" s="177">
        <f>IFERROR(IF([1]对账明细接口!$J$1029=0,"",[1]对账明细接口!$J$1029),"")</f>
      </c>
      <c r="K1029" s="177">
        <f>IFERROR(IF([1]对账明细接口!$K$1029=0,"",[1]对账明细接口!$K$1029),"")</f>
      </c>
      <c r="L1029" s="16">
        <f>IFERROR(IF([1]对账明细接口!$L$1029=0,"",[1]对账明细接口!$L$1029),"")</f>
      </c>
      <c r="M1029" s="16">
        <f>IFERROR(IF([1]对账明细接口!$M$1029=0,"",[1]对账明细接口!$M$1029),"")</f>
      </c>
      <c r="N1029" s="19">
        <f>IF($C1029="",0,1)</f>
        <v>0</v>
      </c>
      <c r="O1029" s="19">
        <f>N(O1028)+$N1029</f>
        <v>637</v>
      </c>
      <c r="S1029" s="20">
        <f>IFERROR(IF([1]对账明细接口!$N1029=0,"",[1]对账明细接口!$N1029),"")</f>
      </c>
      <c r="T1029" s="212">
        <f>IFERROR(IF([1]对账明细接口!$O1029=0,"",[1]对账明细接口!$O1029),"")</f>
      </c>
      <c r="U1029" s="212">
        <f>IFERROR(IF([1]对账明细接口!$P1029=0,"",[1]对账明细接口!$P1029),"")</f>
      </c>
      <c r="V1029" s="212">
        <f>IFERROR(IF([1]对账明细接口!$Q1029=0,"",[1]对账明细接口!$Q1029),"")</f>
      </c>
      <c r="W1029" s="20">
        <f>IFERROR(IF([1]对账明细接口!$R1029=0,"",[1]对账明细接口!$R1029),"")</f>
      </c>
      <c r="X1029" s="20">
        <f>IFERROR(IF([1]对账明细接口!$S1029=0,"",[1]对账明细接口!$S1029),"")</f>
      </c>
      <c r="Y1029" s="20">
        <f>IFERROR(IF([1]对账明细接口!$T1029=0,"",[1]对账明细接口!$T1029),"")</f>
      </c>
      <c r="Z1029" s="213">
        <f>IFERROR(IF([1]对账明细接口!$U1029=0,"",[1]对账明细接口!$U1029),"")</f>
      </c>
      <c r="AA1029" s="213">
        <f>IFERROR(IF([1]对账明细接口!$V1029=0,"",[1]对账明细接口!$V1029),"")</f>
      </c>
      <c r="AB1029" s="20">
        <f>IFERROR(IF([1]对账明细接口!$W1029=0,"",[1]对账明细接口!$W1029),"")</f>
      </c>
      <c r="AC1029" s="7">
        <f>IFERROR(IF([1]对账明细接口!$X1029=0,"",[1]对账明细接口!$X1029),"")</f>
      </c>
      <c r="AD1029" s="7">
        <f>IFERROR(IF([1]对账明细接口!$Y1029=0,"",[1]对账明细接口!$Y1029),"")</f>
      </c>
      <c r="AE1029" s="7">
        <f>IFERROR(IF([1]对账明细接口!$AA1029=0,"",[1]对账明细接口!$AA1029),"")</f>
      </c>
      <c r="AF1029" s="7">
        <f>IFERROR(IF([1]对账明细接口!$AB1029=0,"",[1]对账明细接口!$AB1029),"")</f>
      </c>
      <c r="AG1029" s="7">
        <f>IFERROR(IF([1]对账明细接口!$AC1029=0,"",[1]对账明细接口!$AC1029),"")</f>
      </c>
      <c r="AH1029" s="7">
        <f>IFERROR(IF([1]对账明细接口!$AD1029=0,"",[1]对账明细接口!$AD1029),"")</f>
      </c>
      <c r="AI1029" s="7">
        <f>IFERROR(IF([1]对账明细接口!$AE1029=0,"",[1]对账明细接口!$AE1029),"")</f>
      </c>
      <c r="AJ1029" s="7">
        <f>IFERROR(IF([1]对账明细接口!$AF1029=0,"",[1]对账明细接口!$AF1029),"")</f>
      </c>
    </row>
    <row r="1030" ht="14.25" customHeight="1" s="127">
      <c r="A1030" s="14" t="n">
        <v>1030</v>
      </c>
      <c r="B1030" s="211">
        <f>IFERROR(IF([1]对账明细接口!$B$1030=0,"",[1]对账明细接口!$B$1030),"")</f>
      </c>
      <c r="C1030" s="16">
        <f>IFERROR(IF([1]对账明细接口!$C$1030=0,"",[1]对账明细接口!$C$1030),"")</f>
      </c>
      <c r="D1030" s="16">
        <f>IFERROR(IF([1]对账明细接口!$D$1030=0,"",[1]对账明细接口!$D$1030),"")</f>
      </c>
      <c r="E1030" s="16">
        <f>IFERROR(IF([1]对账明细接口!$E$1030=0,"",[1]对账明细接口!$E$1030),"")</f>
      </c>
      <c r="F1030" s="16">
        <f>IFERROR(IF([1]对账明细接口!$F$1030=0,"",[1]对账明细接口!$F$1030),"")</f>
      </c>
      <c r="G1030" s="16">
        <f>IFERROR(IF([1]对账明细接口!$G$1030=0,"",[1]对账明细接口!$G$1030),"")</f>
      </c>
      <c r="H1030" s="176">
        <f>IFERROR(IF([1]对账明细接口!$H$1030=0,"",[1]对账明细接口!$H$1030),"")</f>
      </c>
      <c r="I1030" s="16">
        <f>IFERROR(IF([1]对账明细接口!$I$1030=0,"",[1]对账明细接口!$I$1030),"")</f>
      </c>
      <c r="J1030" s="177">
        <f>IFERROR(IF([1]对账明细接口!$J$1030=0,"",[1]对账明细接口!$J$1030),"")</f>
      </c>
      <c r="K1030" s="177">
        <f>IFERROR(IF([1]对账明细接口!$K$1030=0,"",[1]对账明细接口!$K$1030),"")</f>
      </c>
      <c r="L1030" s="16">
        <f>IFERROR(IF([1]对账明细接口!$L$1030=0,"",[1]对账明细接口!$L$1030),"")</f>
      </c>
      <c r="M1030" s="16">
        <f>IFERROR(IF([1]对账明细接口!$M$1030=0,"",[1]对账明细接口!$M$1030),"")</f>
      </c>
      <c r="N1030" s="19">
        <f>IF($C1030="",0,1)</f>
        <v>0</v>
      </c>
      <c r="O1030" s="19">
        <f>N(O1029)+$N1030</f>
        <v>637</v>
      </c>
      <c r="S1030" s="20">
        <f>IFERROR(IF([1]对账明细接口!$N1030=0,"",[1]对账明细接口!$N1030),"")</f>
      </c>
      <c r="T1030" s="212">
        <f>IFERROR(IF([1]对账明细接口!$O1030=0,"",[1]对账明细接口!$O1030),"")</f>
      </c>
      <c r="U1030" s="212">
        <f>IFERROR(IF([1]对账明细接口!$P1030=0,"",[1]对账明细接口!$P1030),"")</f>
      </c>
      <c r="V1030" s="212">
        <f>IFERROR(IF([1]对账明细接口!$Q1030=0,"",[1]对账明细接口!$Q1030),"")</f>
      </c>
      <c r="W1030" s="20">
        <f>IFERROR(IF([1]对账明细接口!$R1030=0,"",[1]对账明细接口!$R1030),"")</f>
      </c>
      <c r="X1030" s="20">
        <f>IFERROR(IF([1]对账明细接口!$S1030=0,"",[1]对账明细接口!$S1030),"")</f>
      </c>
      <c r="Y1030" s="20">
        <f>IFERROR(IF([1]对账明细接口!$T1030=0,"",[1]对账明细接口!$T1030),"")</f>
      </c>
      <c r="Z1030" s="213">
        <f>IFERROR(IF([1]对账明细接口!$U1030=0,"",[1]对账明细接口!$U1030),"")</f>
      </c>
      <c r="AA1030" s="213">
        <f>IFERROR(IF([1]对账明细接口!$V1030=0,"",[1]对账明细接口!$V1030),"")</f>
      </c>
      <c r="AB1030" s="20">
        <f>IFERROR(IF([1]对账明细接口!$W1030=0,"",[1]对账明细接口!$W1030),"")</f>
      </c>
      <c r="AC1030" s="7">
        <f>IFERROR(IF([1]对账明细接口!$X1030=0,"",[1]对账明细接口!$X1030),"")</f>
      </c>
      <c r="AD1030" s="7">
        <f>IFERROR(IF([1]对账明细接口!$Y1030=0,"",[1]对账明细接口!$Y1030),"")</f>
      </c>
      <c r="AE1030" s="7">
        <f>IFERROR(IF([1]对账明细接口!$AA1030=0,"",[1]对账明细接口!$AA1030),"")</f>
      </c>
      <c r="AF1030" s="7">
        <f>IFERROR(IF([1]对账明细接口!$AB1030=0,"",[1]对账明细接口!$AB1030),"")</f>
      </c>
      <c r="AG1030" s="7">
        <f>IFERROR(IF([1]对账明细接口!$AC1030=0,"",[1]对账明细接口!$AC1030),"")</f>
      </c>
      <c r="AH1030" s="7">
        <f>IFERROR(IF([1]对账明细接口!$AD1030=0,"",[1]对账明细接口!$AD1030),"")</f>
      </c>
      <c r="AI1030" s="7">
        <f>IFERROR(IF([1]对账明细接口!$AE1030=0,"",[1]对账明细接口!$AE1030),"")</f>
      </c>
      <c r="AJ1030" s="7">
        <f>IFERROR(IF([1]对账明细接口!$AF1030=0,"",[1]对账明细接口!$AF1030),"")</f>
      </c>
    </row>
    <row r="1031" ht="14.25" customHeight="1" s="127">
      <c r="A1031" s="14" t="n">
        <v>1031</v>
      </c>
      <c r="B1031" s="211">
        <f>IFERROR(IF([1]对账明细接口!$B$1031=0,"",[1]对账明细接口!$B$1031),"")</f>
      </c>
      <c r="C1031" s="16">
        <f>IFERROR(IF([1]对账明细接口!$C$1031=0,"",[1]对账明细接口!$C$1031),"")</f>
      </c>
      <c r="D1031" s="16">
        <f>IFERROR(IF([1]对账明细接口!$D$1031=0,"",[1]对账明细接口!$D$1031),"")</f>
      </c>
      <c r="E1031" s="16">
        <f>IFERROR(IF([1]对账明细接口!$E$1031=0,"",[1]对账明细接口!$E$1031),"")</f>
      </c>
      <c r="F1031" s="16">
        <f>IFERROR(IF([1]对账明细接口!$F$1031=0,"",[1]对账明细接口!$F$1031),"")</f>
      </c>
      <c r="G1031" s="16">
        <f>IFERROR(IF([1]对账明细接口!$G$1031=0,"",[1]对账明细接口!$G$1031),"")</f>
      </c>
      <c r="H1031" s="176">
        <f>IFERROR(IF([1]对账明细接口!$H$1031=0,"",[1]对账明细接口!$H$1031),"")</f>
      </c>
      <c r="I1031" s="16">
        <f>IFERROR(IF([1]对账明细接口!$I$1031=0,"",[1]对账明细接口!$I$1031),"")</f>
      </c>
      <c r="J1031" s="177">
        <f>IFERROR(IF([1]对账明细接口!$J$1031=0,"",[1]对账明细接口!$J$1031),"")</f>
      </c>
      <c r="K1031" s="177">
        <f>IFERROR(IF([1]对账明细接口!$K$1031=0,"",[1]对账明细接口!$K$1031),"")</f>
      </c>
      <c r="L1031" s="16">
        <f>IFERROR(IF([1]对账明细接口!$L$1031=0,"",[1]对账明细接口!$L$1031),"")</f>
      </c>
      <c r="M1031" s="16">
        <f>IFERROR(IF([1]对账明细接口!$M$1031=0,"",[1]对账明细接口!$M$1031),"")</f>
      </c>
      <c r="N1031" s="19">
        <f>IF($C1031="",0,1)</f>
        <v>0</v>
      </c>
      <c r="O1031" s="19">
        <f>N(O1030)+$N1031</f>
        <v>637</v>
      </c>
      <c r="S1031" s="20">
        <f>IFERROR(IF([1]对账明细接口!$N1031=0,"",[1]对账明细接口!$N1031),"")</f>
      </c>
      <c r="T1031" s="212">
        <f>IFERROR(IF([1]对账明细接口!$O1031=0,"",[1]对账明细接口!$O1031),"")</f>
      </c>
      <c r="U1031" s="212">
        <f>IFERROR(IF([1]对账明细接口!$P1031=0,"",[1]对账明细接口!$P1031),"")</f>
      </c>
      <c r="V1031" s="212">
        <f>IFERROR(IF([1]对账明细接口!$Q1031=0,"",[1]对账明细接口!$Q1031),"")</f>
      </c>
      <c r="W1031" s="20">
        <f>IFERROR(IF([1]对账明细接口!$R1031=0,"",[1]对账明细接口!$R1031),"")</f>
      </c>
      <c r="X1031" s="20">
        <f>IFERROR(IF([1]对账明细接口!$S1031=0,"",[1]对账明细接口!$S1031),"")</f>
      </c>
      <c r="Y1031" s="20">
        <f>IFERROR(IF([1]对账明细接口!$T1031=0,"",[1]对账明细接口!$T1031),"")</f>
      </c>
      <c r="Z1031" s="213">
        <f>IFERROR(IF([1]对账明细接口!$U1031=0,"",[1]对账明细接口!$U1031),"")</f>
      </c>
      <c r="AA1031" s="213">
        <f>IFERROR(IF([1]对账明细接口!$V1031=0,"",[1]对账明细接口!$V1031),"")</f>
      </c>
      <c r="AB1031" s="20">
        <f>IFERROR(IF([1]对账明细接口!$W1031=0,"",[1]对账明细接口!$W1031),"")</f>
      </c>
      <c r="AC1031" s="7">
        <f>IFERROR(IF([1]对账明细接口!$X1031=0,"",[1]对账明细接口!$X1031),"")</f>
      </c>
      <c r="AD1031" s="7">
        <f>IFERROR(IF([1]对账明细接口!$Y1031=0,"",[1]对账明细接口!$Y1031),"")</f>
      </c>
      <c r="AE1031" s="7">
        <f>IFERROR(IF([1]对账明细接口!$AA1031=0,"",[1]对账明细接口!$AA1031),"")</f>
      </c>
      <c r="AF1031" s="7">
        <f>IFERROR(IF([1]对账明细接口!$AB1031=0,"",[1]对账明细接口!$AB1031),"")</f>
      </c>
      <c r="AG1031" s="7">
        <f>IFERROR(IF([1]对账明细接口!$AC1031=0,"",[1]对账明细接口!$AC1031),"")</f>
      </c>
      <c r="AH1031" s="7">
        <f>IFERROR(IF([1]对账明细接口!$AD1031=0,"",[1]对账明细接口!$AD1031),"")</f>
      </c>
      <c r="AI1031" s="7">
        <f>IFERROR(IF([1]对账明细接口!$AE1031=0,"",[1]对账明细接口!$AE1031),"")</f>
      </c>
      <c r="AJ1031" s="7">
        <f>IFERROR(IF([1]对账明细接口!$AF1031=0,"",[1]对账明细接口!$AF1031),"")</f>
      </c>
    </row>
    <row r="1032" ht="14.25" customHeight="1" s="127">
      <c r="A1032" s="14" t="n">
        <v>1032</v>
      </c>
      <c r="B1032" s="211">
        <f>IFERROR(IF([1]对账明细接口!$B$1032=0,"",[1]对账明细接口!$B$1032),"")</f>
      </c>
      <c r="C1032" s="16">
        <f>IFERROR(IF([1]对账明细接口!$C$1032=0,"",[1]对账明细接口!$C$1032),"")</f>
      </c>
      <c r="D1032" s="16">
        <f>IFERROR(IF([1]对账明细接口!$D$1032=0,"",[1]对账明细接口!$D$1032),"")</f>
      </c>
      <c r="E1032" s="16">
        <f>IFERROR(IF([1]对账明细接口!$E$1032=0,"",[1]对账明细接口!$E$1032),"")</f>
      </c>
      <c r="F1032" s="16">
        <f>IFERROR(IF([1]对账明细接口!$F$1032=0,"",[1]对账明细接口!$F$1032),"")</f>
      </c>
      <c r="G1032" s="16">
        <f>IFERROR(IF([1]对账明细接口!$G$1032=0,"",[1]对账明细接口!$G$1032),"")</f>
      </c>
      <c r="H1032" s="176">
        <f>IFERROR(IF([1]对账明细接口!$H$1032=0,"",[1]对账明细接口!$H$1032),"")</f>
      </c>
      <c r="I1032" s="16">
        <f>IFERROR(IF([1]对账明细接口!$I$1032=0,"",[1]对账明细接口!$I$1032),"")</f>
      </c>
      <c r="J1032" s="177">
        <f>IFERROR(IF([1]对账明细接口!$J$1032=0,"",[1]对账明细接口!$J$1032),"")</f>
      </c>
      <c r="K1032" s="177">
        <f>IFERROR(IF([1]对账明细接口!$K$1032=0,"",[1]对账明细接口!$K$1032),"")</f>
      </c>
      <c r="L1032" s="16">
        <f>IFERROR(IF([1]对账明细接口!$L$1032=0,"",[1]对账明细接口!$L$1032),"")</f>
      </c>
      <c r="M1032" s="16">
        <f>IFERROR(IF([1]对账明细接口!$M$1032=0,"",[1]对账明细接口!$M$1032),"")</f>
      </c>
      <c r="N1032" s="19">
        <f>IF($C1032="",0,1)</f>
        <v>0</v>
      </c>
      <c r="O1032" s="19">
        <f>N(O1031)+$N1032</f>
        <v>637</v>
      </c>
      <c r="S1032" s="20">
        <f>IFERROR(IF([1]对账明细接口!$N1032=0,"",[1]对账明细接口!$N1032),"")</f>
      </c>
      <c r="T1032" s="212">
        <f>IFERROR(IF([1]对账明细接口!$O1032=0,"",[1]对账明细接口!$O1032),"")</f>
      </c>
      <c r="U1032" s="212">
        <f>IFERROR(IF([1]对账明细接口!$P1032=0,"",[1]对账明细接口!$P1032),"")</f>
      </c>
      <c r="V1032" s="212">
        <f>IFERROR(IF([1]对账明细接口!$Q1032=0,"",[1]对账明细接口!$Q1032),"")</f>
      </c>
      <c r="W1032" s="20">
        <f>IFERROR(IF([1]对账明细接口!$R1032=0,"",[1]对账明细接口!$R1032),"")</f>
      </c>
      <c r="X1032" s="20">
        <f>IFERROR(IF([1]对账明细接口!$S1032=0,"",[1]对账明细接口!$S1032),"")</f>
      </c>
      <c r="Y1032" s="20">
        <f>IFERROR(IF([1]对账明细接口!$T1032=0,"",[1]对账明细接口!$T1032),"")</f>
      </c>
      <c r="Z1032" s="213">
        <f>IFERROR(IF([1]对账明细接口!$U1032=0,"",[1]对账明细接口!$U1032),"")</f>
      </c>
      <c r="AA1032" s="213">
        <f>IFERROR(IF([1]对账明细接口!$V1032=0,"",[1]对账明细接口!$V1032),"")</f>
      </c>
      <c r="AB1032" s="20">
        <f>IFERROR(IF([1]对账明细接口!$W1032=0,"",[1]对账明细接口!$W1032),"")</f>
      </c>
      <c r="AC1032" s="7">
        <f>IFERROR(IF([1]对账明细接口!$X1032=0,"",[1]对账明细接口!$X1032),"")</f>
      </c>
      <c r="AD1032" s="7">
        <f>IFERROR(IF([1]对账明细接口!$Y1032=0,"",[1]对账明细接口!$Y1032),"")</f>
      </c>
      <c r="AE1032" s="7">
        <f>IFERROR(IF([1]对账明细接口!$AA1032=0,"",[1]对账明细接口!$AA1032),"")</f>
      </c>
      <c r="AF1032" s="7">
        <f>IFERROR(IF([1]对账明细接口!$AB1032=0,"",[1]对账明细接口!$AB1032),"")</f>
      </c>
      <c r="AG1032" s="7">
        <f>IFERROR(IF([1]对账明细接口!$AC1032=0,"",[1]对账明细接口!$AC1032),"")</f>
      </c>
      <c r="AH1032" s="7">
        <f>IFERROR(IF([1]对账明细接口!$AD1032=0,"",[1]对账明细接口!$AD1032),"")</f>
      </c>
      <c r="AI1032" s="7">
        <f>IFERROR(IF([1]对账明细接口!$AE1032=0,"",[1]对账明细接口!$AE1032),"")</f>
      </c>
      <c r="AJ1032" s="7">
        <f>IFERROR(IF([1]对账明细接口!$AF1032=0,"",[1]对账明细接口!$AF1032),"")</f>
      </c>
    </row>
    <row r="1033" ht="14.25" customHeight="1" s="127">
      <c r="A1033" s="14" t="n">
        <v>1033</v>
      </c>
      <c r="B1033" s="211">
        <f>IFERROR(IF([1]对账明细接口!$B$1033=0,"",[1]对账明细接口!$B$1033),"")</f>
      </c>
      <c r="C1033" s="16">
        <f>IFERROR(IF([1]对账明细接口!$C$1033=0,"",[1]对账明细接口!$C$1033),"")</f>
      </c>
      <c r="D1033" s="16">
        <f>IFERROR(IF([1]对账明细接口!$D$1033=0,"",[1]对账明细接口!$D$1033),"")</f>
      </c>
      <c r="E1033" s="16">
        <f>IFERROR(IF([1]对账明细接口!$E$1033=0,"",[1]对账明细接口!$E$1033),"")</f>
      </c>
      <c r="F1033" s="16">
        <f>IFERROR(IF([1]对账明细接口!$F$1033=0,"",[1]对账明细接口!$F$1033),"")</f>
      </c>
      <c r="G1033" s="16">
        <f>IFERROR(IF([1]对账明细接口!$G$1033=0,"",[1]对账明细接口!$G$1033),"")</f>
      </c>
      <c r="H1033" s="176">
        <f>IFERROR(IF([1]对账明细接口!$H$1033=0,"",[1]对账明细接口!$H$1033),"")</f>
      </c>
      <c r="I1033" s="16">
        <f>IFERROR(IF([1]对账明细接口!$I$1033=0,"",[1]对账明细接口!$I$1033),"")</f>
      </c>
      <c r="J1033" s="177">
        <f>IFERROR(IF([1]对账明细接口!$J$1033=0,"",[1]对账明细接口!$J$1033),"")</f>
      </c>
      <c r="K1033" s="177">
        <f>IFERROR(IF([1]对账明细接口!$K$1033=0,"",[1]对账明细接口!$K$1033),"")</f>
      </c>
      <c r="L1033" s="16">
        <f>IFERROR(IF([1]对账明细接口!$L$1033=0,"",[1]对账明细接口!$L$1033),"")</f>
      </c>
      <c r="M1033" s="16">
        <f>IFERROR(IF([1]对账明细接口!$M$1033=0,"",[1]对账明细接口!$M$1033),"")</f>
      </c>
      <c r="N1033" s="19">
        <f>IF($C1033="",0,1)</f>
        <v>0</v>
      </c>
      <c r="O1033" s="19">
        <f>N(O1032)+$N1033</f>
        <v>637</v>
      </c>
      <c r="S1033" s="20">
        <f>IFERROR(IF([1]对账明细接口!$N1033=0,"",[1]对账明细接口!$N1033),"")</f>
      </c>
      <c r="T1033" s="212">
        <f>IFERROR(IF([1]对账明细接口!$O1033=0,"",[1]对账明细接口!$O1033),"")</f>
      </c>
      <c r="U1033" s="212">
        <f>IFERROR(IF([1]对账明细接口!$P1033=0,"",[1]对账明细接口!$P1033),"")</f>
      </c>
      <c r="V1033" s="212">
        <f>IFERROR(IF([1]对账明细接口!$Q1033=0,"",[1]对账明细接口!$Q1033),"")</f>
      </c>
      <c r="W1033" s="20">
        <f>IFERROR(IF([1]对账明细接口!$R1033=0,"",[1]对账明细接口!$R1033),"")</f>
      </c>
      <c r="X1033" s="20">
        <f>IFERROR(IF([1]对账明细接口!$S1033=0,"",[1]对账明细接口!$S1033),"")</f>
      </c>
      <c r="Y1033" s="20">
        <f>IFERROR(IF([1]对账明细接口!$T1033=0,"",[1]对账明细接口!$T1033),"")</f>
      </c>
      <c r="Z1033" s="213">
        <f>IFERROR(IF([1]对账明细接口!$U1033=0,"",[1]对账明细接口!$U1033),"")</f>
      </c>
      <c r="AA1033" s="213">
        <f>IFERROR(IF([1]对账明细接口!$V1033=0,"",[1]对账明细接口!$V1033),"")</f>
      </c>
      <c r="AB1033" s="20">
        <f>IFERROR(IF([1]对账明细接口!$W1033=0,"",[1]对账明细接口!$W1033),"")</f>
      </c>
      <c r="AC1033" s="7">
        <f>IFERROR(IF([1]对账明细接口!$X1033=0,"",[1]对账明细接口!$X1033),"")</f>
      </c>
      <c r="AD1033" s="7">
        <f>IFERROR(IF([1]对账明细接口!$Y1033=0,"",[1]对账明细接口!$Y1033),"")</f>
      </c>
      <c r="AE1033" s="7">
        <f>IFERROR(IF([1]对账明细接口!$AA1033=0,"",[1]对账明细接口!$AA1033),"")</f>
      </c>
      <c r="AF1033" s="7">
        <f>IFERROR(IF([1]对账明细接口!$AB1033=0,"",[1]对账明细接口!$AB1033),"")</f>
      </c>
      <c r="AG1033" s="7">
        <f>IFERROR(IF([1]对账明细接口!$AC1033=0,"",[1]对账明细接口!$AC1033),"")</f>
      </c>
      <c r="AH1033" s="7">
        <f>IFERROR(IF([1]对账明细接口!$AD1033=0,"",[1]对账明细接口!$AD1033),"")</f>
      </c>
      <c r="AI1033" s="7">
        <f>IFERROR(IF([1]对账明细接口!$AE1033=0,"",[1]对账明细接口!$AE1033),"")</f>
      </c>
      <c r="AJ1033" s="7">
        <f>IFERROR(IF([1]对账明细接口!$AF1033=0,"",[1]对账明细接口!$AF1033),"")</f>
      </c>
    </row>
    <row r="1034" ht="14.25" customHeight="1" s="127">
      <c r="A1034" s="14" t="n">
        <v>1034</v>
      </c>
      <c r="B1034" s="211">
        <f>IFERROR(IF([1]对账明细接口!$B$1034=0,"",[1]对账明细接口!$B$1034),"")</f>
      </c>
      <c r="C1034" s="16">
        <f>IFERROR(IF([1]对账明细接口!$C$1034=0,"",[1]对账明细接口!$C$1034),"")</f>
      </c>
      <c r="D1034" s="16">
        <f>IFERROR(IF([1]对账明细接口!$D$1034=0,"",[1]对账明细接口!$D$1034),"")</f>
      </c>
      <c r="E1034" s="16">
        <f>IFERROR(IF([1]对账明细接口!$E$1034=0,"",[1]对账明细接口!$E$1034),"")</f>
      </c>
      <c r="F1034" s="16">
        <f>IFERROR(IF([1]对账明细接口!$F$1034=0,"",[1]对账明细接口!$F$1034),"")</f>
      </c>
      <c r="G1034" s="16">
        <f>IFERROR(IF([1]对账明细接口!$G$1034=0,"",[1]对账明细接口!$G$1034),"")</f>
      </c>
      <c r="H1034" s="176">
        <f>IFERROR(IF([1]对账明细接口!$H$1034=0,"",[1]对账明细接口!$H$1034),"")</f>
      </c>
      <c r="I1034" s="16">
        <f>IFERROR(IF([1]对账明细接口!$I$1034=0,"",[1]对账明细接口!$I$1034),"")</f>
      </c>
      <c r="J1034" s="177">
        <f>IFERROR(IF([1]对账明细接口!$J$1034=0,"",[1]对账明细接口!$J$1034),"")</f>
      </c>
      <c r="K1034" s="177">
        <f>IFERROR(IF([1]对账明细接口!$K$1034=0,"",[1]对账明细接口!$K$1034),"")</f>
      </c>
      <c r="L1034" s="16">
        <f>IFERROR(IF([1]对账明细接口!$L$1034=0,"",[1]对账明细接口!$L$1034),"")</f>
      </c>
      <c r="M1034" s="16">
        <f>IFERROR(IF([1]对账明细接口!$M$1034=0,"",[1]对账明细接口!$M$1034),"")</f>
      </c>
      <c r="N1034" s="19">
        <f>IF($C1034="",0,1)</f>
        <v>0</v>
      </c>
      <c r="O1034" s="19">
        <f>N(O1033)+$N1034</f>
        <v>637</v>
      </c>
      <c r="S1034" s="20">
        <f>IFERROR(IF([1]对账明细接口!$N1034=0,"",[1]对账明细接口!$N1034),"")</f>
      </c>
      <c r="T1034" s="212">
        <f>IFERROR(IF([1]对账明细接口!$O1034=0,"",[1]对账明细接口!$O1034),"")</f>
      </c>
      <c r="U1034" s="212">
        <f>IFERROR(IF([1]对账明细接口!$P1034=0,"",[1]对账明细接口!$P1034),"")</f>
      </c>
      <c r="V1034" s="212">
        <f>IFERROR(IF([1]对账明细接口!$Q1034=0,"",[1]对账明细接口!$Q1034),"")</f>
      </c>
      <c r="W1034" s="20">
        <f>IFERROR(IF([1]对账明细接口!$R1034=0,"",[1]对账明细接口!$R1034),"")</f>
      </c>
      <c r="X1034" s="20">
        <f>IFERROR(IF([1]对账明细接口!$S1034=0,"",[1]对账明细接口!$S1034),"")</f>
      </c>
      <c r="Y1034" s="20">
        <f>IFERROR(IF([1]对账明细接口!$T1034=0,"",[1]对账明细接口!$T1034),"")</f>
      </c>
      <c r="Z1034" s="213">
        <f>IFERROR(IF([1]对账明细接口!$U1034=0,"",[1]对账明细接口!$U1034),"")</f>
      </c>
      <c r="AA1034" s="213">
        <f>IFERROR(IF([1]对账明细接口!$V1034=0,"",[1]对账明细接口!$V1034),"")</f>
      </c>
      <c r="AB1034" s="20">
        <f>IFERROR(IF([1]对账明细接口!$W1034=0,"",[1]对账明细接口!$W1034),"")</f>
      </c>
      <c r="AC1034" s="7">
        <f>IFERROR(IF([1]对账明细接口!$X1034=0,"",[1]对账明细接口!$X1034),"")</f>
      </c>
      <c r="AD1034" s="7">
        <f>IFERROR(IF([1]对账明细接口!$Y1034=0,"",[1]对账明细接口!$Y1034),"")</f>
      </c>
      <c r="AE1034" s="7">
        <f>IFERROR(IF([1]对账明细接口!$AA1034=0,"",[1]对账明细接口!$AA1034),"")</f>
      </c>
      <c r="AF1034" s="7">
        <f>IFERROR(IF([1]对账明细接口!$AB1034=0,"",[1]对账明细接口!$AB1034),"")</f>
      </c>
      <c r="AG1034" s="7">
        <f>IFERROR(IF([1]对账明细接口!$AC1034=0,"",[1]对账明细接口!$AC1034),"")</f>
      </c>
      <c r="AH1034" s="7">
        <f>IFERROR(IF([1]对账明细接口!$AD1034=0,"",[1]对账明细接口!$AD1034),"")</f>
      </c>
      <c r="AI1034" s="7">
        <f>IFERROR(IF([1]对账明细接口!$AE1034=0,"",[1]对账明细接口!$AE1034),"")</f>
      </c>
      <c r="AJ1034" s="7">
        <f>IFERROR(IF([1]对账明细接口!$AF1034=0,"",[1]对账明细接口!$AF1034),"")</f>
      </c>
    </row>
    <row r="1035" ht="14.25" customHeight="1" s="127">
      <c r="A1035" s="14" t="n">
        <v>1035</v>
      </c>
      <c r="B1035" s="211">
        <f>IFERROR(IF([1]对账明细接口!$B$1035=0,"",[1]对账明细接口!$B$1035),"")</f>
      </c>
      <c r="C1035" s="16">
        <f>IFERROR(IF([1]对账明细接口!$C$1035=0,"",[1]对账明细接口!$C$1035),"")</f>
      </c>
      <c r="D1035" s="16">
        <f>IFERROR(IF([1]对账明细接口!$D$1035=0,"",[1]对账明细接口!$D$1035),"")</f>
      </c>
      <c r="E1035" s="16">
        <f>IFERROR(IF([1]对账明细接口!$E$1035=0,"",[1]对账明细接口!$E$1035),"")</f>
      </c>
      <c r="F1035" s="16">
        <f>IFERROR(IF([1]对账明细接口!$F$1035=0,"",[1]对账明细接口!$F$1035),"")</f>
      </c>
      <c r="G1035" s="16">
        <f>IFERROR(IF([1]对账明细接口!$G$1035=0,"",[1]对账明细接口!$G$1035),"")</f>
      </c>
      <c r="H1035" s="176">
        <f>IFERROR(IF([1]对账明细接口!$H$1035=0,"",[1]对账明细接口!$H$1035),"")</f>
      </c>
      <c r="I1035" s="16">
        <f>IFERROR(IF([1]对账明细接口!$I$1035=0,"",[1]对账明细接口!$I$1035),"")</f>
      </c>
      <c r="J1035" s="177">
        <f>IFERROR(IF([1]对账明细接口!$J$1035=0,"",[1]对账明细接口!$J$1035),"")</f>
      </c>
      <c r="K1035" s="177">
        <f>IFERROR(IF([1]对账明细接口!$K$1035=0,"",[1]对账明细接口!$K$1035),"")</f>
      </c>
      <c r="L1035" s="16">
        <f>IFERROR(IF([1]对账明细接口!$L$1035=0,"",[1]对账明细接口!$L$1035),"")</f>
      </c>
      <c r="M1035" s="16">
        <f>IFERROR(IF([1]对账明细接口!$M$1035=0,"",[1]对账明细接口!$M$1035),"")</f>
      </c>
      <c r="N1035" s="19">
        <f>IF($C1035="",0,1)</f>
        <v>0</v>
      </c>
      <c r="O1035" s="19">
        <f>N(O1034)+$N1035</f>
        <v>637</v>
      </c>
      <c r="S1035" s="20">
        <f>IFERROR(IF([1]对账明细接口!$N1035=0,"",[1]对账明细接口!$N1035),"")</f>
      </c>
      <c r="T1035" s="212">
        <f>IFERROR(IF([1]对账明细接口!$O1035=0,"",[1]对账明细接口!$O1035),"")</f>
      </c>
      <c r="U1035" s="212">
        <f>IFERROR(IF([1]对账明细接口!$P1035=0,"",[1]对账明细接口!$P1035),"")</f>
      </c>
      <c r="V1035" s="212">
        <f>IFERROR(IF([1]对账明细接口!$Q1035=0,"",[1]对账明细接口!$Q1035),"")</f>
      </c>
      <c r="W1035" s="20">
        <f>IFERROR(IF([1]对账明细接口!$R1035=0,"",[1]对账明细接口!$R1035),"")</f>
      </c>
      <c r="X1035" s="20">
        <f>IFERROR(IF([1]对账明细接口!$S1035=0,"",[1]对账明细接口!$S1035),"")</f>
      </c>
      <c r="Y1035" s="20">
        <f>IFERROR(IF([1]对账明细接口!$T1035=0,"",[1]对账明细接口!$T1035),"")</f>
      </c>
      <c r="Z1035" s="213">
        <f>IFERROR(IF([1]对账明细接口!$U1035=0,"",[1]对账明细接口!$U1035),"")</f>
      </c>
      <c r="AA1035" s="213">
        <f>IFERROR(IF([1]对账明细接口!$V1035=0,"",[1]对账明细接口!$V1035),"")</f>
      </c>
      <c r="AB1035" s="20">
        <f>IFERROR(IF([1]对账明细接口!$W1035=0,"",[1]对账明细接口!$W1035),"")</f>
      </c>
      <c r="AC1035" s="7">
        <f>IFERROR(IF([1]对账明细接口!$X1035=0,"",[1]对账明细接口!$X1035),"")</f>
      </c>
      <c r="AD1035" s="7">
        <f>IFERROR(IF([1]对账明细接口!$Y1035=0,"",[1]对账明细接口!$Y1035),"")</f>
      </c>
      <c r="AE1035" s="7">
        <f>IFERROR(IF([1]对账明细接口!$AA1035=0,"",[1]对账明细接口!$AA1035),"")</f>
      </c>
      <c r="AF1035" s="7">
        <f>IFERROR(IF([1]对账明细接口!$AB1035=0,"",[1]对账明细接口!$AB1035),"")</f>
      </c>
      <c r="AG1035" s="7">
        <f>IFERROR(IF([1]对账明细接口!$AC1035=0,"",[1]对账明细接口!$AC1035),"")</f>
      </c>
      <c r="AH1035" s="7">
        <f>IFERROR(IF([1]对账明细接口!$AD1035=0,"",[1]对账明细接口!$AD1035),"")</f>
      </c>
      <c r="AI1035" s="7">
        <f>IFERROR(IF([1]对账明细接口!$AE1035=0,"",[1]对账明细接口!$AE1035),"")</f>
      </c>
      <c r="AJ1035" s="7">
        <f>IFERROR(IF([1]对账明细接口!$AF1035=0,"",[1]对账明细接口!$AF1035),"")</f>
      </c>
    </row>
    <row r="1036" ht="14.25" customHeight="1" s="127">
      <c r="A1036" s="14" t="n">
        <v>1036</v>
      </c>
      <c r="B1036" s="211">
        <f>IFERROR(IF([1]对账明细接口!$B$1036=0,"",[1]对账明细接口!$B$1036),"")</f>
      </c>
      <c r="C1036" s="16">
        <f>IFERROR(IF([1]对账明细接口!$C$1036=0,"",[1]对账明细接口!$C$1036),"")</f>
      </c>
      <c r="D1036" s="16">
        <f>IFERROR(IF([1]对账明细接口!$D$1036=0,"",[1]对账明细接口!$D$1036),"")</f>
      </c>
      <c r="E1036" s="16">
        <f>IFERROR(IF([1]对账明细接口!$E$1036=0,"",[1]对账明细接口!$E$1036),"")</f>
      </c>
      <c r="F1036" s="16">
        <f>IFERROR(IF([1]对账明细接口!$F$1036=0,"",[1]对账明细接口!$F$1036),"")</f>
      </c>
      <c r="G1036" s="16">
        <f>IFERROR(IF([1]对账明细接口!$G$1036=0,"",[1]对账明细接口!$G$1036),"")</f>
      </c>
      <c r="H1036" s="176">
        <f>IFERROR(IF([1]对账明细接口!$H$1036=0,"",[1]对账明细接口!$H$1036),"")</f>
      </c>
      <c r="I1036" s="16">
        <f>IFERROR(IF([1]对账明细接口!$I$1036=0,"",[1]对账明细接口!$I$1036),"")</f>
      </c>
      <c r="J1036" s="177">
        <f>IFERROR(IF([1]对账明细接口!$J$1036=0,"",[1]对账明细接口!$J$1036),"")</f>
      </c>
      <c r="K1036" s="177">
        <f>IFERROR(IF([1]对账明细接口!$K$1036=0,"",[1]对账明细接口!$K$1036),"")</f>
      </c>
      <c r="L1036" s="16">
        <f>IFERROR(IF([1]对账明细接口!$L$1036=0,"",[1]对账明细接口!$L$1036),"")</f>
      </c>
      <c r="M1036" s="16">
        <f>IFERROR(IF([1]对账明细接口!$M$1036=0,"",[1]对账明细接口!$M$1036),"")</f>
      </c>
      <c r="N1036" s="19">
        <f>IF($C1036="",0,1)</f>
        <v>0</v>
      </c>
      <c r="O1036" s="19">
        <f>N(O1035)+$N1036</f>
        <v>637</v>
      </c>
      <c r="S1036" s="20">
        <f>IFERROR(IF([1]对账明细接口!$N1036=0,"",[1]对账明细接口!$N1036),"")</f>
      </c>
      <c r="T1036" s="212">
        <f>IFERROR(IF([1]对账明细接口!$O1036=0,"",[1]对账明细接口!$O1036),"")</f>
      </c>
      <c r="U1036" s="212">
        <f>IFERROR(IF([1]对账明细接口!$P1036=0,"",[1]对账明细接口!$P1036),"")</f>
      </c>
      <c r="V1036" s="212">
        <f>IFERROR(IF([1]对账明细接口!$Q1036=0,"",[1]对账明细接口!$Q1036),"")</f>
      </c>
      <c r="W1036" s="20">
        <f>IFERROR(IF([1]对账明细接口!$R1036=0,"",[1]对账明细接口!$R1036),"")</f>
      </c>
      <c r="X1036" s="20">
        <f>IFERROR(IF([1]对账明细接口!$S1036=0,"",[1]对账明细接口!$S1036),"")</f>
      </c>
      <c r="Y1036" s="20">
        <f>IFERROR(IF([1]对账明细接口!$T1036=0,"",[1]对账明细接口!$T1036),"")</f>
      </c>
      <c r="Z1036" s="213">
        <f>IFERROR(IF([1]对账明细接口!$U1036=0,"",[1]对账明细接口!$U1036),"")</f>
      </c>
      <c r="AA1036" s="213">
        <f>IFERROR(IF([1]对账明细接口!$V1036=0,"",[1]对账明细接口!$V1036),"")</f>
      </c>
      <c r="AB1036" s="20">
        <f>IFERROR(IF([1]对账明细接口!$W1036=0,"",[1]对账明细接口!$W1036),"")</f>
      </c>
      <c r="AC1036" s="7">
        <f>IFERROR(IF([1]对账明细接口!$X1036=0,"",[1]对账明细接口!$X1036),"")</f>
      </c>
      <c r="AD1036" s="7">
        <f>IFERROR(IF([1]对账明细接口!$Y1036=0,"",[1]对账明细接口!$Y1036),"")</f>
      </c>
      <c r="AE1036" s="7">
        <f>IFERROR(IF([1]对账明细接口!$AA1036=0,"",[1]对账明细接口!$AA1036),"")</f>
      </c>
      <c r="AF1036" s="7">
        <f>IFERROR(IF([1]对账明细接口!$AB1036=0,"",[1]对账明细接口!$AB1036),"")</f>
      </c>
      <c r="AG1036" s="7">
        <f>IFERROR(IF([1]对账明细接口!$AC1036=0,"",[1]对账明细接口!$AC1036),"")</f>
      </c>
      <c r="AH1036" s="7">
        <f>IFERROR(IF([1]对账明细接口!$AD1036=0,"",[1]对账明细接口!$AD1036),"")</f>
      </c>
      <c r="AI1036" s="7">
        <f>IFERROR(IF([1]对账明细接口!$AE1036=0,"",[1]对账明细接口!$AE1036),"")</f>
      </c>
      <c r="AJ1036" s="7">
        <f>IFERROR(IF([1]对账明细接口!$AF1036=0,"",[1]对账明细接口!$AF1036),"")</f>
      </c>
    </row>
    <row r="1037" ht="14.25" customHeight="1" s="127">
      <c r="A1037" s="14" t="n">
        <v>1037</v>
      </c>
      <c r="B1037" s="211">
        <f>IFERROR(IF([1]对账明细接口!$B$1037=0,"",[1]对账明细接口!$B$1037),"")</f>
      </c>
      <c r="C1037" s="16">
        <f>IFERROR(IF([1]对账明细接口!$C$1037=0,"",[1]对账明细接口!$C$1037),"")</f>
      </c>
      <c r="D1037" s="16">
        <f>IFERROR(IF([1]对账明细接口!$D$1037=0,"",[1]对账明细接口!$D$1037),"")</f>
      </c>
      <c r="E1037" s="16">
        <f>IFERROR(IF([1]对账明细接口!$E$1037=0,"",[1]对账明细接口!$E$1037),"")</f>
      </c>
      <c r="F1037" s="16">
        <f>IFERROR(IF([1]对账明细接口!$F$1037=0,"",[1]对账明细接口!$F$1037),"")</f>
      </c>
      <c r="G1037" s="16">
        <f>IFERROR(IF([1]对账明细接口!$G$1037=0,"",[1]对账明细接口!$G$1037),"")</f>
      </c>
      <c r="H1037" s="176">
        <f>IFERROR(IF([1]对账明细接口!$H$1037=0,"",[1]对账明细接口!$H$1037),"")</f>
      </c>
      <c r="I1037" s="16">
        <f>IFERROR(IF([1]对账明细接口!$I$1037=0,"",[1]对账明细接口!$I$1037),"")</f>
      </c>
      <c r="J1037" s="177">
        <f>IFERROR(IF([1]对账明细接口!$J$1037=0,"",[1]对账明细接口!$J$1037),"")</f>
      </c>
      <c r="K1037" s="177">
        <f>IFERROR(IF([1]对账明细接口!$K$1037=0,"",[1]对账明细接口!$K$1037),"")</f>
      </c>
      <c r="L1037" s="16">
        <f>IFERROR(IF([1]对账明细接口!$L$1037=0,"",[1]对账明细接口!$L$1037),"")</f>
      </c>
      <c r="M1037" s="16">
        <f>IFERROR(IF([1]对账明细接口!$M$1037=0,"",[1]对账明细接口!$M$1037),"")</f>
      </c>
      <c r="N1037" s="19">
        <f>IF($C1037="",0,1)</f>
        <v>0</v>
      </c>
      <c r="O1037" s="19">
        <f>N(O1036)+$N1037</f>
        <v>637</v>
      </c>
      <c r="S1037" s="20">
        <f>IFERROR(IF([1]对账明细接口!$N1037=0,"",[1]对账明细接口!$N1037),"")</f>
      </c>
      <c r="T1037" s="212">
        <f>IFERROR(IF([1]对账明细接口!$O1037=0,"",[1]对账明细接口!$O1037),"")</f>
      </c>
      <c r="U1037" s="212">
        <f>IFERROR(IF([1]对账明细接口!$P1037=0,"",[1]对账明细接口!$P1037),"")</f>
      </c>
      <c r="V1037" s="212">
        <f>IFERROR(IF([1]对账明细接口!$Q1037=0,"",[1]对账明细接口!$Q1037),"")</f>
      </c>
      <c r="W1037" s="20">
        <f>IFERROR(IF([1]对账明细接口!$R1037=0,"",[1]对账明细接口!$R1037),"")</f>
      </c>
      <c r="X1037" s="20">
        <f>IFERROR(IF([1]对账明细接口!$S1037=0,"",[1]对账明细接口!$S1037),"")</f>
      </c>
      <c r="Y1037" s="20">
        <f>IFERROR(IF([1]对账明细接口!$T1037=0,"",[1]对账明细接口!$T1037),"")</f>
      </c>
      <c r="Z1037" s="213">
        <f>IFERROR(IF([1]对账明细接口!$U1037=0,"",[1]对账明细接口!$U1037),"")</f>
      </c>
      <c r="AA1037" s="213">
        <f>IFERROR(IF([1]对账明细接口!$V1037=0,"",[1]对账明细接口!$V1037),"")</f>
      </c>
      <c r="AB1037" s="20">
        <f>IFERROR(IF([1]对账明细接口!$W1037=0,"",[1]对账明细接口!$W1037),"")</f>
      </c>
      <c r="AC1037" s="7">
        <f>IFERROR(IF([1]对账明细接口!$X1037=0,"",[1]对账明细接口!$X1037),"")</f>
      </c>
      <c r="AD1037" s="7">
        <f>IFERROR(IF([1]对账明细接口!$Y1037=0,"",[1]对账明细接口!$Y1037),"")</f>
      </c>
      <c r="AE1037" s="7">
        <f>IFERROR(IF([1]对账明细接口!$AA1037=0,"",[1]对账明细接口!$AA1037),"")</f>
      </c>
      <c r="AF1037" s="7">
        <f>IFERROR(IF([1]对账明细接口!$AB1037=0,"",[1]对账明细接口!$AB1037),"")</f>
      </c>
      <c r="AG1037" s="7">
        <f>IFERROR(IF([1]对账明细接口!$AC1037=0,"",[1]对账明细接口!$AC1037),"")</f>
      </c>
      <c r="AH1037" s="7">
        <f>IFERROR(IF([1]对账明细接口!$AD1037=0,"",[1]对账明细接口!$AD1037),"")</f>
      </c>
      <c r="AI1037" s="7">
        <f>IFERROR(IF([1]对账明细接口!$AE1037=0,"",[1]对账明细接口!$AE1037),"")</f>
      </c>
      <c r="AJ1037" s="7">
        <f>IFERROR(IF([1]对账明细接口!$AF1037=0,"",[1]对账明细接口!$AF1037),"")</f>
      </c>
    </row>
    <row r="1038" ht="14.25" customHeight="1" s="127">
      <c r="A1038" s="14" t="n">
        <v>1038</v>
      </c>
      <c r="B1038" s="211">
        <f>IFERROR(IF([1]对账明细接口!$B$1038=0,"",[1]对账明细接口!$B$1038),"")</f>
      </c>
      <c r="C1038" s="16">
        <f>IFERROR(IF([1]对账明细接口!$C$1038=0,"",[1]对账明细接口!$C$1038),"")</f>
      </c>
      <c r="D1038" s="16">
        <f>IFERROR(IF([1]对账明细接口!$D$1038=0,"",[1]对账明细接口!$D$1038),"")</f>
      </c>
      <c r="E1038" s="16">
        <f>IFERROR(IF([1]对账明细接口!$E$1038=0,"",[1]对账明细接口!$E$1038),"")</f>
      </c>
      <c r="F1038" s="16">
        <f>IFERROR(IF([1]对账明细接口!$F$1038=0,"",[1]对账明细接口!$F$1038),"")</f>
      </c>
      <c r="G1038" s="16">
        <f>IFERROR(IF([1]对账明细接口!$G$1038=0,"",[1]对账明细接口!$G$1038),"")</f>
      </c>
      <c r="H1038" s="176">
        <f>IFERROR(IF([1]对账明细接口!$H$1038=0,"",[1]对账明细接口!$H$1038),"")</f>
      </c>
      <c r="I1038" s="16">
        <f>IFERROR(IF([1]对账明细接口!$I$1038=0,"",[1]对账明细接口!$I$1038),"")</f>
      </c>
      <c r="J1038" s="177">
        <f>IFERROR(IF([1]对账明细接口!$J$1038=0,"",[1]对账明细接口!$J$1038),"")</f>
      </c>
      <c r="K1038" s="177">
        <f>IFERROR(IF([1]对账明细接口!$K$1038=0,"",[1]对账明细接口!$K$1038),"")</f>
      </c>
      <c r="L1038" s="16">
        <f>IFERROR(IF([1]对账明细接口!$L$1038=0,"",[1]对账明细接口!$L$1038),"")</f>
      </c>
      <c r="M1038" s="16">
        <f>IFERROR(IF([1]对账明细接口!$M$1038=0,"",[1]对账明细接口!$M$1038),"")</f>
      </c>
      <c r="N1038" s="19">
        <f>IF($C1038="",0,1)</f>
        <v>0</v>
      </c>
      <c r="O1038" s="19">
        <f>N(O1037)+$N1038</f>
        <v>637</v>
      </c>
      <c r="S1038" s="20">
        <f>IFERROR(IF([1]对账明细接口!$N1038=0,"",[1]对账明细接口!$N1038),"")</f>
      </c>
      <c r="T1038" s="212">
        <f>IFERROR(IF([1]对账明细接口!$O1038=0,"",[1]对账明细接口!$O1038),"")</f>
      </c>
      <c r="U1038" s="212">
        <f>IFERROR(IF([1]对账明细接口!$P1038=0,"",[1]对账明细接口!$P1038),"")</f>
      </c>
      <c r="V1038" s="212">
        <f>IFERROR(IF([1]对账明细接口!$Q1038=0,"",[1]对账明细接口!$Q1038),"")</f>
      </c>
      <c r="W1038" s="20">
        <f>IFERROR(IF([1]对账明细接口!$R1038=0,"",[1]对账明细接口!$R1038),"")</f>
      </c>
      <c r="X1038" s="20">
        <f>IFERROR(IF([1]对账明细接口!$S1038=0,"",[1]对账明细接口!$S1038),"")</f>
      </c>
      <c r="Y1038" s="20">
        <f>IFERROR(IF([1]对账明细接口!$T1038=0,"",[1]对账明细接口!$T1038),"")</f>
      </c>
      <c r="Z1038" s="213">
        <f>IFERROR(IF([1]对账明细接口!$U1038=0,"",[1]对账明细接口!$U1038),"")</f>
      </c>
      <c r="AA1038" s="213">
        <f>IFERROR(IF([1]对账明细接口!$V1038=0,"",[1]对账明细接口!$V1038),"")</f>
      </c>
      <c r="AB1038" s="20">
        <f>IFERROR(IF([1]对账明细接口!$W1038=0,"",[1]对账明细接口!$W1038),"")</f>
      </c>
      <c r="AC1038" s="7">
        <f>IFERROR(IF([1]对账明细接口!$X1038=0,"",[1]对账明细接口!$X1038),"")</f>
      </c>
      <c r="AD1038" s="7">
        <f>IFERROR(IF([1]对账明细接口!$Y1038=0,"",[1]对账明细接口!$Y1038),"")</f>
      </c>
      <c r="AE1038" s="7">
        <f>IFERROR(IF([1]对账明细接口!$AA1038=0,"",[1]对账明细接口!$AA1038),"")</f>
      </c>
      <c r="AF1038" s="7">
        <f>IFERROR(IF([1]对账明细接口!$AB1038=0,"",[1]对账明细接口!$AB1038),"")</f>
      </c>
      <c r="AG1038" s="7">
        <f>IFERROR(IF([1]对账明细接口!$AC1038=0,"",[1]对账明细接口!$AC1038),"")</f>
      </c>
      <c r="AH1038" s="7">
        <f>IFERROR(IF([1]对账明细接口!$AD1038=0,"",[1]对账明细接口!$AD1038),"")</f>
      </c>
      <c r="AI1038" s="7">
        <f>IFERROR(IF([1]对账明细接口!$AE1038=0,"",[1]对账明细接口!$AE1038),"")</f>
      </c>
      <c r="AJ1038" s="7">
        <f>IFERROR(IF([1]对账明细接口!$AF1038=0,"",[1]对账明细接口!$AF1038),"")</f>
      </c>
    </row>
    <row r="1039" ht="14.25" customHeight="1" s="127">
      <c r="A1039" s="14" t="n">
        <v>1039</v>
      </c>
      <c r="B1039" s="211">
        <f>IFERROR(IF([1]对账明细接口!$B$1039=0,"",[1]对账明细接口!$B$1039),"")</f>
      </c>
      <c r="C1039" s="16">
        <f>IFERROR(IF([1]对账明细接口!$C$1039=0,"",[1]对账明细接口!$C$1039),"")</f>
      </c>
      <c r="D1039" s="16">
        <f>IFERROR(IF([1]对账明细接口!$D$1039=0,"",[1]对账明细接口!$D$1039),"")</f>
      </c>
      <c r="E1039" s="16">
        <f>IFERROR(IF([1]对账明细接口!$E$1039=0,"",[1]对账明细接口!$E$1039),"")</f>
      </c>
      <c r="F1039" s="16">
        <f>IFERROR(IF([1]对账明细接口!$F$1039=0,"",[1]对账明细接口!$F$1039),"")</f>
      </c>
      <c r="G1039" s="16">
        <f>IFERROR(IF([1]对账明细接口!$G$1039=0,"",[1]对账明细接口!$G$1039),"")</f>
      </c>
      <c r="H1039" s="176">
        <f>IFERROR(IF([1]对账明细接口!$H$1039=0,"",[1]对账明细接口!$H$1039),"")</f>
      </c>
      <c r="I1039" s="16">
        <f>IFERROR(IF([1]对账明细接口!$I$1039=0,"",[1]对账明细接口!$I$1039),"")</f>
      </c>
      <c r="J1039" s="177">
        <f>IFERROR(IF([1]对账明细接口!$J$1039=0,"",[1]对账明细接口!$J$1039),"")</f>
      </c>
      <c r="K1039" s="177">
        <f>IFERROR(IF([1]对账明细接口!$K$1039=0,"",[1]对账明细接口!$K$1039),"")</f>
      </c>
      <c r="L1039" s="16">
        <f>IFERROR(IF([1]对账明细接口!$L$1039=0,"",[1]对账明细接口!$L$1039),"")</f>
      </c>
      <c r="M1039" s="16">
        <f>IFERROR(IF([1]对账明细接口!$M$1039=0,"",[1]对账明细接口!$M$1039),"")</f>
      </c>
      <c r="N1039" s="19">
        <f>IF($C1039="",0,1)</f>
        <v>0</v>
      </c>
      <c r="O1039" s="19">
        <f>N(O1038)+$N1039</f>
        <v>637</v>
      </c>
      <c r="S1039" s="20">
        <f>IFERROR(IF([1]对账明细接口!$N1039=0,"",[1]对账明细接口!$N1039),"")</f>
      </c>
      <c r="T1039" s="212">
        <f>IFERROR(IF([1]对账明细接口!$O1039=0,"",[1]对账明细接口!$O1039),"")</f>
      </c>
      <c r="U1039" s="212">
        <f>IFERROR(IF([1]对账明细接口!$P1039=0,"",[1]对账明细接口!$P1039),"")</f>
      </c>
      <c r="V1039" s="212">
        <f>IFERROR(IF([1]对账明细接口!$Q1039=0,"",[1]对账明细接口!$Q1039),"")</f>
      </c>
      <c r="W1039" s="20">
        <f>IFERROR(IF([1]对账明细接口!$R1039=0,"",[1]对账明细接口!$R1039),"")</f>
      </c>
      <c r="X1039" s="20">
        <f>IFERROR(IF([1]对账明细接口!$S1039=0,"",[1]对账明细接口!$S1039),"")</f>
      </c>
      <c r="Y1039" s="20">
        <f>IFERROR(IF([1]对账明细接口!$T1039=0,"",[1]对账明细接口!$T1039),"")</f>
      </c>
      <c r="Z1039" s="213">
        <f>IFERROR(IF([1]对账明细接口!$U1039=0,"",[1]对账明细接口!$U1039),"")</f>
      </c>
      <c r="AA1039" s="213">
        <f>IFERROR(IF([1]对账明细接口!$V1039=0,"",[1]对账明细接口!$V1039),"")</f>
      </c>
      <c r="AB1039" s="20">
        <f>IFERROR(IF([1]对账明细接口!$W1039=0,"",[1]对账明细接口!$W1039),"")</f>
      </c>
      <c r="AC1039" s="7">
        <f>IFERROR(IF([1]对账明细接口!$X1039=0,"",[1]对账明细接口!$X1039),"")</f>
      </c>
      <c r="AD1039" s="7">
        <f>IFERROR(IF([1]对账明细接口!$Y1039=0,"",[1]对账明细接口!$Y1039),"")</f>
      </c>
      <c r="AE1039" s="7">
        <f>IFERROR(IF([1]对账明细接口!$AA1039=0,"",[1]对账明细接口!$AA1039),"")</f>
      </c>
      <c r="AF1039" s="7">
        <f>IFERROR(IF([1]对账明细接口!$AB1039=0,"",[1]对账明细接口!$AB1039),"")</f>
      </c>
      <c r="AG1039" s="7">
        <f>IFERROR(IF([1]对账明细接口!$AC1039=0,"",[1]对账明细接口!$AC1039),"")</f>
      </c>
      <c r="AH1039" s="7">
        <f>IFERROR(IF([1]对账明细接口!$AD1039=0,"",[1]对账明细接口!$AD1039),"")</f>
      </c>
      <c r="AI1039" s="7">
        <f>IFERROR(IF([1]对账明细接口!$AE1039=0,"",[1]对账明细接口!$AE1039),"")</f>
      </c>
      <c r="AJ1039" s="7">
        <f>IFERROR(IF([1]对账明细接口!$AF1039=0,"",[1]对账明细接口!$AF1039),"")</f>
      </c>
    </row>
    <row r="1040" ht="14.25" customHeight="1" s="127">
      <c r="A1040" s="14" t="n">
        <v>1040</v>
      </c>
      <c r="B1040" s="211">
        <f>IFERROR(IF([1]对账明细接口!$B$1040=0,"",[1]对账明细接口!$B$1040),"")</f>
      </c>
      <c r="C1040" s="16">
        <f>IFERROR(IF([1]对账明细接口!$C$1040=0,"",[1]对账明细接口!$C$1040),"")</f>
      </c>
      <c r="D1040" s="16">
        <f>IFERROR(IF([1]对账明细接口!$D$1040=0,"",[1]对账明细接口!$D$1040),"")</f>
      </c>
      <c r="E1040" s="16">
        <f>IFERROR(IF([1]对账明细接口!$E$1040=0,"",[1]对账明细接口!$E$1040),"")</f>
      </c>
      <c r="F1040" s="16">
        <f>IFERROR(IF([1]对账明细接口!$F$1040=0,"",[1]对账明细接口!$F$1040),"")</f>
      </c>
      <c r="G1040" s="16">
        <f>IFERROR(IF([1]对账明细接口!$G$1040=0,"",[1]对账明细接口!$G$1040),"")</f>
      </c>
      <c r="H1040" s="176">
        <f>IFERROR(IF([1]对账明细接口!$H$1040=0,"",[1]对账明细接口!$H$1040),"")</f>
      </c>
      <c r="I1040" s="16">
        <f>IFERROR(IF([1]对账明细接口!$I$1040=0,"",[1]对账明细接口!$I$1040),"")</f>
      </c>
      <c r="J1040" s="177">
        <f>IFERROR(IF([1]对账明细接口!$J$1040=0,"",[1]对账明细接口!$J$1040),"")</f>
      </c>
      <c r="K1040" s="177">
        <f>IFERROR(IF([1]对账明细接口!$K$1040=0,"",[1]对账明细接口!$K$1040),"")</f>
      </c>
      <c r="L1040" s="16">
        <f>IFERROR(IF([1]对账明细接口!$L$1040=0,"",[1]对账明细接口!$L$1040),"")</f>
      </c>
      <c r="M1040" s="16">
        <f>IFERROR(IF([1]对账明细接口!$M$1040=0,"",[1]对账明细接口!$M$1040),"")</f>
      </c>
      <c r="N1040" s="19">
        <f>IF($C1040="",0,1)</f>
        <v>0</v>
      </c>
      <c r="O1040" s="19">
        <f>N(O1039)+$N1040</f>
        <v>637</v>
      </c>
      <c r="S1040" s="20">
        <f>IFERROR(IF([1]对账明细接口!$N1040=0,"",[1]对账明细接口!$N1040),"")</f>
      </c>
      <c r="T1040" s="212">
        <f>IFERROR(IF([1]对账明细接口!$O1040=0,"",[1]对账明细接口!$O1040),"")</f>
      </c>
      <c r="U1040" s="212">
        <f>IFERROR(IF([1]对账明细接口!$P1040=0,"",[1]对账明细接口!$P1040),"")</f>
      </c>
      <c r="V1040" s="212">
        <f>IFERROR(IF([1]对账明细接口!$Q1040=0,"",[1]对账明细接口!$Q1040),"")</f>
      </c>
      <c r="W1040" s="20">
        <f>IFERROR(IF([1]对账明细接口!$R1040=0,"",[1]对账明细接口!$R1040),"")</f>
      </c>
      <c r="X1040" s="20">
        <f>IFERROR(IF([1]对账明细接口!$S1040=0,"",[1]对账明细接口!$S1040),"")</f>
      </c>
      <c r="Y1040" s="20">
        <f>IFERROR(IF([1]对账明细接口!$T1040=0,"",[1]对账明细接口!$T1040),"")</f>
      </c>
      <c r="Z1040" s="213">
        <f>IFERROR(IF([1]对账明细接口!$U1040=0,"",[1]对账明细接口!$U1040),"")</f>
      </c>
      <c r="AA1040" s="213">
        <f>IFERROR(IF([1]对账明细接口!$V1040=0,"",[1]对账明细接口!$V1040),"")</f>
      </c>
      <c r="AB1040" s="20">
        <f>IFERROR(IF([1]对账明细接口!$W1040=0,"",[1]对账明细接口!$W1040),"")</f>
      </c>
      <c r="AC1040" s="7">
        <f>IFERROR(IF([1]对账明细接口!$X1040=0,"",[1]对账明细接口!$X1040),"")</f>
      </c>
      <c r="AD1040" s="7">
        <f>IFERROR(IF([1]对账明细接口!$Y1040=0,"",[1]对账明细接口!$Y1040),"")</f>
      </c>
      <c r="AE1040" s="7">
        <f>IFERROR(IF([1]对账明细接口!$AA1040=0,"",[1]对账明细接口!$AA1040),"")</f>
      </c>
      <c r="AF1040" s="7">
        <f>IFERROR(IF([1]对账明细接口!$AB1040=0,"",[1]对账明细接口!$AB1040),"")</f>
      </c>
      <c r="AG1040" s="7">
        <f>IFERROR(IF([1]对账明细接口!$AC1040=0,"",[1]对账明细接口!$AC1040),"")</f>
      </c>
      <c r="AH1040" s="7">
        <f>IFERROR(IF([1]对账明细接口!$AD1040=0,"",[1]对账明细接口!$AD1040),"")</f>
      </c>
      <c r="AI1040" s="7">
        <f>IFERROR(IF([1]对账明细接口!$AE1040=0,"",[1]对账明细接口!$AE1040),"")</f>
      </c>
      <c r="AJ1040" s="7">
        <f>IFERROR(IF([1]对账明细接口!$AF1040=0,"",[1]对账明细接口!$AF1040),"")</f>
      </c>
    </row>
    <row r="1041" ht="14.25" customHeight="1" s="127">
      <c r="A1041" s="14" t="n">
        <v>1041</v>
      </c>
      <c r="B1041" s="211">
        <f>IFERROR(IF([1]对账明细接口!$B$1041=0,"",[1]对账明细接口!$B$1041),"")</f>
      </c>
      <c r="C1041" s="16">
        <f>IFERROR(IF([1]对账明细接口!$C$1041=0,"",[1]对账明细接口!$C$1041),"")</f>
      </c>
      <c r="D1041" s="16">
        <f>IFERROR(IF([1]对账明细接口!$D$1041=0,"",[1]对账明细接口!$D$1041),"")</f>
      </c>
      <c r="E1041" s="16">
        <f>IFERROR(IF([1]对账明细接口!$E$1041=0,"",[1]对账明细接口!$E$1041),"")</f>
      </c>
      <c r="F1041" s="16">
        <f>IFERROR(IF([1]对账明细接口!$F$1041=0,"",[1]对账明细接口!$F$1041),"")</f>
      </c>
      <c r="G1041" s="16">
        <f>IFERROR(IF([1]对账明细接口!$G$1041=0,"",[1]对账明细接口!$G$1041),"")</f>
      </c>
      <c r="H1041" s="176">
        <f>IFERROR(IF([1]对账明细接口!$H$1041=0,"",[1]对账明细接口!$H$1041),"")</f>
      </c>
      <c r="I1041" s="16">
        <f>IFERROR(IF([1]对账明细接口!$I$1041=0,"",[1]对账明细接口!$I$1041),"")</f>
      </c>
      <c r="J1041" s="177">
        <f>IFERROR(IF([1]对账明细接口!$J$1041=0,"",[1]对账明细接口!$J$1041),"")</f>
      </c>
      <c r="K1041" s="177">
        <f>IFERROR(IF([1]对账明细接口!$K$1041=0,"",[1]对账明细接口!$K$1041),"")</f>
      </c>
      <c r="L1041" s="16">
        <f>IFERROR(IF([1]对账明细接口!$L$1041=0,"",[1]对账明细接口!$L$1041),"")</f>
      </c>
      <c r="M1041" s="16">
        <f>IFERROR(IF([1]对账明细接口!$M$1041=0,"",[1]对账明细接口!$M$1041),"")</f>
      </c>
      <c r="N1041" s="19">
        <f>IF($C1041="",0,1)</f>
        <v>0</v>
      </c>
      <c r="O1041" s="19">
        <f>N(O1040)+$N1041</f>
        <v>637</v>
      </c>
      <c r="S1041" s="20">
        <f>IFERROR(IF([1]对账明细接口!$N1041=0,"",[1]对账明细接口!$N1041),"")</f>
      </c>
      <c r="T1041" s="212">
        <f>IFERROR(IF([1]对账明细接口!$O1041=0,"",[1]对账明细接口!$O1041),"")</f>
      </c>
      <c r="U1041" s="212">
        <f>IFERROR(IF([1]对账明细接口!$P1041=0,"",[1]对账明细接口!$P1041),"")</f>
      </c>
      <c r="V1041" s="212">
        <f>IFERROR(IF([1]对账明细接口!$Q1041=0,"",[1]对账明细接口!$Q1041),"")</f>
      </c>
      <c r="W1041" s="20">
        <f>IFERROR(IF([1]对账明细接口!$R1041=0,"",[1]对账明细接口!$R1041),"")</f>
      </c>
      <c r="X1041" s="20">
        <f>IFERROR(IF([1]对账明细接口!$S1041=0,"",[1]对账明细接口!$S1041),"")</f>
      </c>
      <c r="Y1041" s="20">
        <f>IFERROR(IF([1]对账明细接口!$T1041=0,"",[1]对账明细接口!$T1041),"")</f>
      </c>
      <c r="Z1041" s="213">
        <f>IFERROR(IF([1]对账明细接口!$U1041=0,"",[1]对账明细接口!$U1041),"")</f>
      </c>
      <c r="AA1041" s="213">
        <f>IFERROR(IF([1]对账明细接口!$V1041=0,"",[1]对账明细接口!$V1041),"")</f>
      </c>
      <c r="AB1041" s="20">
        <f>IFERROR(IF([1]对账明细接口!$W1041=0,"",[1]对账明细接口!$W1041),"")</f>
      </c>
      <c r="AC1041" s="7">
        <f>IFERROR(IF([1]对账明细接口!$X1041=0,"",[1]对账明细接口!$X1041),"")</f>
      </c>
      <c r="AD1041" s="7">
        <f>IFERROR(IF([1]对账明细接口!$Y1041=0,"",[1]对账明细接口!$Y1041),"")</f>
      </c>
      <c r="AE1041" s="7">
        <f>IFERROR(IF([1]对账明细接口!$AA1041=0,"",[1]对账明细接口!$AA1041),"")</f>
      </c>
      <c r="AF1041" s="7">
        <f>IFERROR(IF([1]对账明细接口!$AB1041=0,"",[1]对账明细接口!$AB1041),"")</f>
      </c>
      <c r="AG1041" s="7">
        <f>IFERROR(IF([1]对账明细接口!$AC1041=0,"",[1]对账明细接口!$AC1041),"")</f>
      </c>
      <c r="AH1041" s="7">
        <f>IFERROR(IF([1]对账明细接口!$AD1041=0,"",[1]对账明细接口!$AD1041),"")</f>
      </c>
      <c r="AI1041" s="7">
        <f>IFERROR(IF([1]对账明细接口!$AE1041=0,"",[1]对账明细接口!$AE1041),"")</f>
      </c>
      <c r="AJ1041" s="7">
        <f>IFERROR(IF([1]对账明细接口!$AF1041=0,"",[1]对账明细接口!$AF1041),"")</f>
      </c>
    </row>
    <row r="1042" ht="14.25" customHeight="1" s="127">
      <c r="A1042" s="14" t="n">
        <v>1042</v>
      </c>
      <c r="B1042" s="211">
        <f>IFERROR(IF([1]对账明细接口!$B$1042=0,"",[1]对账明细接口!$B$1042),"")</f>
      </c>
      <c r="C1042" s="16">
        <f>IFERROR(IF([1]对账明细接口!$C$1042=0,"",[1]对账明细接口!$C$1042),"")</f>
      </c>
      <c r="D1042" s="16">
        <f>IFERROR(IF([1]对账明细接口!$D$1042=0,"",[1]对账明细接口!$D$1042),"")</f>
      </c>
      <c r="E1042" s="16">
        <f>IFERROR(IF([1]对账明细接口!$E$1042=0,"",[1]对账明细接口!$E$1042),"")</f>
      </c>
      <c r="F1042" s="16">
        <f>IFERROR(IF([1]对账明细接口!$F$1042=0,"",[1]对账明细接口!$F$1042),"")</f>
      </c>
      <c r="G1042" s="16">
        <f>IFERROR(IF([1]对账明细接口!$G$1042=0,"",[1]对账明细接口!$G$1042),"")</f>
      </c>
      <c r="H1042" s="176">
        <f>IFERROR(IF([1]对账明细接口!$H$1042=0,"",[1]对账明细接口!$H$1042),"")</f>
      </c>
      <c r="I1042" s="16">
        <f>IFERROR(IF([1]对账明细接口!$I$1042=0,"",[1]对账明细接口!$I$1042),"")</f>
      </c>
      <c r="J1042" s="177">
        <f>IFERROR(IF([1]对账明细接口!$J$1042=0,"",[1]对账明细接口!$J$1042),"")</f>
      </c>
      <c r="K1042" s="177">
        <f>IFERROR(IF([1]对账明细接口!$K$1042=0,"",[1]对账明细接口!$K$1042),"")</f>
      </c>
      <c r="L1042" s="16">
        <f>IFERROR(IF([1]对账明细接口!$L$1042=0,"",[1]对账明细接口!$L$1042),"")</f>
      </c>
      <c r="M1042" s="16">
        <f>IFERROR(IF([1]对账明细接口!$M$1042=0,"",[1]对账明细接口!$M$1042),"")</f>
      </c>
      <c r="N1042" s="19">
        <f>IF($C1042="",0,1)</f>
        <v>0</v>
      </c>
      <c r="O1042" s="19">
        <f>N(O1041)+$N1042</f>
        <v>637</v>
      </c>
      <c r="S1042" s="20">
        <f>IFERROR(IF([1]对账明细接口!$N1042=0,"",[1]对账明细接口!$N1042),"")</f>
      </c>
      <c r="T1042" s="212">
        <f>IFERROR(IF([1]对账明细接口!$O1042=0,"",[1]对账明细接口!$O1042),"")</f>
      </c>
      <c r="U1042" s="212">
        <f>IFERROR(IF([1]对账明细接口!$P1042=0,"",[1]对账明细接口!$P1042),"")</f>
      </c>
      <c r="V1042" s="212">
        <f>IFERROR(IF([1]对账明细接口!$Q1042=0,"",[1]对账明细接口!$Q1042),"")</f>
      </c>
      <c r="W1042" s="20">
        <f>IFERROR(IF([1]对账明细接口!$R1042=0,"",[1]对账明细接口!$R1042),"")</f>
      </c>
      <c r="X1042" s="20">
        <f>IFERROR(IF([1]对账明细接口!$S1042=0,"",[1]对账明细接口!$S1042),"")</f>
      </c>
      <c r="Y1042" s="20">
        <f>IFERROR(IF([1]对账明细接口!$T1042=0,"",[1]对账明细接口!$T1042),"")</f>
      </c>
      <c r="Z1042" s="213">
        <f>IFERROR(IF([1]对账明细接口!$U1042=0,"",[1]对账明细接口!$U1042),"")</f>
      </c>
      <c r="AA1042" s="213">
        <f>IFERROR(IF([1]对账明细接口!$V1042=0,"",[1]对账明细接口!$V1042),"")</f>
      </c>
      <c r="AB1042" s="20">
        <f>IFERROR(IF([1]对账明细接口!$W1042=0,"",[1]对账明细接口!$W1042),"")</f>
      </c>
      <c r="AC1042" s="7">
        <f>IFERROR(IF([1]对账明细接口!$X1042=0,"",[1]对账明细接口!$X1042),"")</f>
      </c>
      <c r="AD1042" s="7">
        <f>IFERROR(IF([1]对账明细接口!$Y1042=0,"",[1]对账明细接口!$Y1042),"")</f>
      </c>
      <c r="AE1042" s="7">
        <f>IFERROR(IF([1]对账明细接口!$AA1042=0,"",[1]对账明细接口!$AA1042),"")</f>
      </c>
      <c r="AF1042" s="7">
        <f>IFERROR(IF([1]对账明细接口!$AB1042=0,"",[1]对账明细接口!$AB1042),"")</f>
      </c>
      <c r="AG1042" s="7">
        <f>IFERROR(IF([1]对账明细接口!$AC1042=0,"",[1]对账明细接口!$AC1042),"")</f>
      </c>
      <c r="AH1042" s="7">
        <f>IFERROR(IF([1]对账明细接口!$AD1042=0,"",[1]对账明细接口!$AD1042),"")</f>
      </c>
      <c r="AI1042" s="7">
        <f>IFERROR(IF([1]对账明细接口!$AE1042=0,"",[1]对账明细接口!$AE1042),"")</f>
      </c>
      <c r="AJ1042" s="7">
        <f>IFERROR(IF([1]对账明细接口!$AF1042=0,"",[1]对账明细接口!$AF1042),"")</f>
      </c>
    </row>
    <row r="1043" ht="14.25" customHeight="1" s="127">
      <c r="A1043" s="14" t="n">
        <v>1043</v>
      </c>
      <c r="B1043" s="211">
        <f>IFERROR(IF([1]对账明细接口!$B$1043=0,"",[1]对账明细接口!$B$1043),"")</f>
      </c>
      <c r="C1043" s="16">
        <f>IFERROR(IF([1]对账明细接口!$C$1043=0,"",[1]对账明细接口!$C$1043),"")</f>
      </c>
      <c r="D1043" s="16">
        <f>IFERROR(IF([1]对账明细接口!$D$1043=0,"",[1]对账明细接口!$D$1043),"")</f>
      </c>
      <c r="E1043" s="16">
        <f>IFERROR(IF([1]对账明细接口!$E$1043=0,"",[1]对账明细接口!$E$1043),"")</f>
      </c>
      <c r="F1043" s="16">
        <f>IFERROR(IF([1]对账明细接口!$F$1043=0,"",[1]对账明细接口!$F$1043),"")</f>
      </c>
      <c r="G1043" s="16">
        <f>IFERROR(IF([1]对账明细接口!$G$1043=0,"",[1]对账明细接口!$G$1043),"")</f>
      </c>
      <c r="H1043" s="176">
        <f>IFERROR(IF([1]对账明细接口!$H$1043=0,"",[1]对账明细接口!$H$1043),"")</f>
      </c>
      <c r="I1043" s="16">
        <f>IFERROR(IF([1]对账明细接口!$I$1043=0,"",[1]对账明细接口!$I$1043),"")</f>
      </c>
      <c r="J1043" s="177">
        <f>IFERROR(IF([1]对账明细接口!$J$1043=0,"",[1]对账明细接口!$J$1043),"")</f>
      </c>
      <c r="K1043" s="177">
        <f>IFERROR(IF([1]对账明细接口!$K$1043=0,"",[1]对账明细接口!$K$1043),"")</f>
      </c>
      <c r="L1043" s="16">
        <f>IFERROR(IF([1]对账明细接口!$L$1043=0,"",[1]对账明细接口!$L$1043),"")</f>
      </c>
      <c r="M1043" s="16">
        <f>IFERROR(IF([1]对账明细接口!$M$1043=0,"",[1]对账明细接口!$M$1043),"")</f>
      </c>
      <c r="N1043" s="19">
        <f>IF($C1043="",0,1)</f>
        <v>0</v>
      </c>
      <c r="O1043" s="19">
        <f>N(O1042)+$N1043</f>
        <v>637</v>
      </c>
      <c r="S1043" s="20">
        <f>IFERROR(IF([1]对账明细接口!$N1043=0,"",[1]对账明细接口!$N1043),"")</f>
      </c>
      <c r="T1043" s="212">
        <f>IFERROR(IF([1]对账明细接口!$O1043=0,"",[1]对账明细接口!$O1043),"")</f>
      </c>
      <c r="U1043" s="212">
        <f>IFERROR(IF([1]对账明细接口!$P1043=0,"",[1]对账明细接口!$P1043),"")</f>
      </c>
      <c r="V1043" s="212">
        <f>IFERROR(IF([1]对账明细接口!$Q1043=0,"",[1]对账明细接口!$Q1043),"")</f>
      </c>
      <c r="W1043" s="20">
        <f>IFERROR(IF([1]对账明细接口!$R1043=0,"",[1]对账明细接口!$R1043),"")</f>
      </c>
      <c r="X1043" s="20">
        <f>IFERROR(IF([1]对账明细接口!$S1043=0,"",[1]对账明细接口!$S1043),"")</f>
      </c>
      <c r="Y1043" s="20">
        <f>IFERROR(IF([1]对账明细接口!$T1043=0,"",[1]对账明细接口!$T1043),"")</f>
      </c>
      <c r="Z1043" s="213">
        <f>IFERROR(IF([1]对账明细接口!$U1043=0,"",[1]对账明细接口!$U1043),"")</f>
      </c>
      <c r="AA1043" s="213">
        <f>IFERROR(IF([1]对账明细接口!$V1043=0,"",[1]对账明细接口!$V1043),"")</f>
      </c>
      <c r="AB1043" s="20">
        <f>IFERROR(IF([1]对账明细接口!$W1043=0,"",[1]对账明细接口!$W1043),"")</f>
      </c>
      <c r="AC1043" s="7">
        <f>IFERROR(IF([1]对账明细接口!$X1043=0,"",[1]对账明细接口!$X1043),"")</f>
      </c>
      <c r="AD1043" s="7">
        <f>IFERROR(IF([1]对账明细接口!$Y1043=0,"",[1]对账明细接口!$Y1043),"")</f>
      </c>
      <c r="AE1043" s="7">
        <f>IFERROR(IF([1]对账明细接口!$AA1043=0,"",[1]对账明细接口!$AA1043),"")</f>
      </c>
      <c r="AF1043" s="7">
        <f>IFERROR(IF([1]对账明细接口!$AB1043=0,"",[1]对账明细接口!$AB1043),"")</f>
      </c>
      <c r="AG1043" s="7">
        <f>IFERROR(IF([1]对账明细接口!$AC1043=0,"",[1]对账明细接口!$AC1043),"")</f>
      </c>
      <c r="AH1043" s="7">
        <f>IFERROR(IF([1]对账明细接口!$AD1043=0,"",[1]对账明细接口!$AD1043),"")</f>
      </c>
      <c r="AI1043" s="7">
        <f>IFERROR(IF([1]对账明细接口!$AE1043=0,"",[1]对账明细接口!$AE1043),"")</f>
      </c>
      <c r="AJ1043" s="7">
        <f>IFERROR(IF([1]对账明细接口!$AF1043=0,"",[1]对账明细接口!$AF1043),"")</f>
      </c>
    </row>
    <row r="1044" ht="14.25" customHeight="1" s="127">
      <c r="A1044" s="14" t="n">
        <v>1044</v>
      </c>
      <c r="B1044" s="211">
        <f>IFERROR(IF([1]对账明细接口!$B$1044=0,"",[1]对账明细接口!$B$1044),"")</f>
      </c>
      <c r="C1044" s="16">
        <f>IFERROR(IF([1]对账明细接口!$C$1044=0,"",[1]对账明细接口!$C$1044),"")</f>
      </c>
      <c r="D1044" s="16">
        <f>IFERROR(IF([1]对账明细接口!$D$1044=0,"",[1]对账明细接口!$D$1044),"")</f>
      </c>
      <c r="E1044" s="16">
        <f>IFERROR(IF([1]对账明细接口!$E$1044=0,"",[1]对账明细接口!$E$1044),"")</f>
      </c>
      <c r="F1044" s="16">
        <f>IFERROR(IF([1]对账明细接口!$F$1044=0,"",[1]对账明细接口!$F$1044),"")</f>
      </c>
      <c r="G1044" s="16">
        <f>IFERROR(IF([1]对账明细接口!$G$1044=0,"",[1]对账明细接口!$G$1044),"")</f>
      </c>
      <c r="H1044" s="176">
        <f>IFERROR(IF([1]对账明细接口!$H$1044=0,"",[1]对账明细接口!$H$1044),"")</f>
      </c>
      <c r="I1044" s="16">
        <f>IFERROR(IF([1]对账明细接口!$I$1044=0,"",[1]对账明细接口!$I$1044),"")</f>
      </c>
      <c r="J1044" s="177">
        <f>IFERROR(IF([1]对账明细接口!$J$1044=0,"",[1]对账明细接口!$J$1044),"")</f>
      </c>
      <c r="K1044" s="177">
        <f>IFERROR(IF([1]对账明细接口!$K$1044=0,"",[1]对账明细接口!$K$1044),"")</f>
      </c>
      <c r="L1044" s="16">
        <f>IFERROR(IF([1]对账明细接口!$L$1044=0,"",[1]对账明细接口!$L$1044),"")</f>
      </c>
      <c r="M1044" s="16">
        <f>IFERROR(IF([1]对账明细接口!$M$1044=0,"",[1]对账明细接口!$M$1044),"")</f>
      </c>
      <c r="N1044" s="19">
        <f>IF($C1044="",0,1)</f>
        <v>0</v>
      </c>
      <c r="O1044" s="19">
        <f>N(O1043)+$N1044</f>
        <v>637</v>
      </c>
      <c r="S1044" s="20">
        <f>IFERROR(IF([1]对账明细接口!$N1044=0,"",[1]对账明细接口!$N1044),"")</f>
      </c>
      <c r="T1044" s="212">
        <f>IFERROR(IF([1]对账明细接口!$O1044=0,"",[1]对账明细接口!$O1044),"")</f>
      </c>
      <c r="U1044" s="212">
        <f>IFERROR(IF([1]对账明细接口!$P1044=0,"",[1]对账明细接口!$P1044),"")</f>
      </c>
      <c r="V1044" s="212">
        <f>IFERROR(IF([1]对账明细接口!$Q1044=0,"",[1]对账明细接口!$Q1044),"")</f>
      </c>
      <c r="W1044" s="20">
        <f>IFERROR(IF([1]对账明细接口!$R1044=0,"",[1]对账明细接口!$R1044),"")</f>
      </c>
      <c r="X1044" s="20">
        <f>IFERROR(IF([1]对账明细接口!$S1044=0,"",[1]对账明细接口!$S1044),"")</f>
      </c>
      <c r="Y1044" s="20">
        <f>IFERROR(IF([1]对账明细接口!$T1044=0,"",[1]对账明细接口!$T1044),"")</f>
      </c>
      <c r="Z1044" s="213">
        <f>IFERROR(IF([1]对账明细接口!$U1044=0,"",[1]对账明细接口!$U1044),"")</f>
      </c>
      <c r="AA1044" s="213">
        <f>IFERROR(IF([1]对账明细接口!$V1044=0,"",[1]对账明细接口!$V1044),"")</f>
      </c>
      <c r="AB1044" s="20">
        <f>IFERROR(IF([1]对账明细接口!$W1044=0,"",[1]对账明细接口!$W1044),"")</f>
      </c>
      <c r="AC1044" s="7">
        <f>IFERROR(IF([1]对账明细接口!$X1044=0,"",[1]对账明细接口!$X1044),"")</f>
      </c>
      <c r="AD1044" s="7">
        <f>IFERROR(IF([1]对账明细接口!$Y1044=0,"",[1]对账明细接口!$Y1044),"")</f>
      </c>
      <c r="AE1044" s="7">
        <f>IFERROR(IF([1]对账明细接口!$AA1044=0,"",[1]对账明细接口!$AA1044),"")</f>
      </c>
      <c r="AF1044" s="7">
        <f>IFERROR(IF([1]对账明细接口!$AB1044=0,"",[1]对账明细接口!$AB1044),"")</f>
      </c>
      <c r="AG1044" s="7">
        <f>IFERROR(IF([1]对账明细接口!$AC1044=0,"",[1]对账明细接口!$AC1044),"")</f>
      </c>
      <c r="AH1044" s="7">
        <f>IFERROR(IF([1]对账明细接口!$AD1044=0,"",[1]对账明细接口!$AD1044),"")</f>
      </c>
      <c r="AI1044" s="7">
        <f>IFERROR(IF([1]对账明细接口!$AE1044=0,"",[1]对账明细接口!$AE1044),"")</f>
      </c>
      <c r="AJ1044" s="7">
        <f>IFERROR(IF([1]对账明细接口!$AF1044=0,"",[1]对账明细接口!$AF1044),"")</f>
      </c>
    </row>
    <row r="1045" ht="14.25" customHeight="1" s="127">
      <c r="A1045" s="14" t="n">
        <v>1045</v>
      </c>
      <c r="B1045" s="211">
        <f>IFERROR(IF([1]对账明细接口!$B$1045=0,"",[1]对账明细接口!$B$1045),"")</f>
      </c>
      <c r="C1045" s="16">
        <f>IFERROR(IF([1]对账明细接口!$C$1045=0,"",[1]对账明细接口!$C$1045),"")</f>
      </c>
      <c r="D1045" s="16">
        <f>IFERROR(IF([1]对账明细接口!$D$1045=0,"",[1]对账明细接口!$D$1045),"")</f>
      </c>
      <c r="E1045" s="16">
        <f>IFERROR(IF([1]对账明细接口!$E$1045=0,"",[1]对账明细接口!$E$1045),"")</f>
      </c>
      <c r="F1045" s="16">
        <f>IFERROR(IF([1]对账明细接口!$F$1045=0,"",[1]对账明细接口!$F$1045),"")</f>
      </c>
      <c r="G1045" s="16">
        <f>IFERROR(IF([1]对账明细接口!$G$1045=0,"",[1]对账明细接口!$G$1045),"")</f>
      </c>
      <c r="H1045" s="176">
        <f>IFERROR(IF([1]对账明细接口!$H$1045=0,"",[1]对账明细接口!$H$1045),"")</f>
      </c>
      <c r="I1045" s="16">
        <f>IFERROR(IF([1]对账明细接口!$I$1045=0,"",[1]对账明细接口!$I$1045),"")</f>
      </c>
      <c r="J1045" s="177">
        <f>IFERROR(IF([1]对账明细接口!$J$1045=0,"",[1]对账明细接口!$J$1045),"")</f>
      </c>
      <c r="K1045" s="177">
        <f>IFERROR(IF([1]对账明细接口!$K$1045=0,"",[1]对账明细接口!$K$1045),"")</f>
      </c>
      <c r="L1045" s="16">
        <f>IFERROR(IF([1]对账明细接口!$L$1045=0,"",[1]对账明细接口!$L$1045),"")</f>
      </c>
      <c r="M1045" s="16">
        <f>IFERROR(IF([1]对账明细接口!$M$1045=0,"",[1]对账明细接口!$M$1045),"")</f>
      </c>
      <c r="N1045" s="19">
        <f>IF($C1045="",0,1)</f>
        <v>0</v>
      </c>
      <c r="O1045" s="19">
        <f>N(O1044)+$N1045</f>
        <v>637</v>
      </c>
      <c r="S1045" s="20">
        <f>IFERROR(IF([1]对账明细接口!$N1045=0,"",[1]对账明细接口!$N1045),"")</f>
      </c>
      <c r="T1045" s="212">
        <f>IFERROR(IF([1]对账明细接口!$O1045=0,"",[1]对账明细接口!$O1045),"")</f>
      </c>
      <c r="U1045" s="212">
        <f>IFERROR(IF([1]对账明细接口!$P1045=0,"",[1]对账明细接口!$P1045),"")</f>
      </c>
      <c r="V1045" s="212">
        <f>IFERROR(IF([1]对账明细接口!$Q1045=0,"",[1]对账明细接口!$Q1045),"")</f>
      </c>
      <c r="W1045" s="20">
        <f>IFERROR(IF([1]对账明细接口!$R1045=0,"",[1]对账明细接口!$R1045),"")</f>
      </c>
      <c r="X1045" s="20">
        <f>IFERROR(IF([1]对账明细接口!$S1045=0,"",[1]对账明细接口!$S1045),"")</f>
      </c>
      <c r="Y1045" s="20">
        <f>IFERROR(IF([1]对账明细接口!$T1045=0,"",[1]对账明细接口!$T1045),"")</f>
      </c>
      <c r="Z1045" s="213">
        <f>IFERROR(IF([1]对账明细接口!$U1045=0,"",[1]对账明细接口!$U1045),"")</f>
      </c>
      <c r="AA1045" s="213">
        <f>IFERROR(IF([1]对账明细接口!$V1045=0,"",[1]对账明细接口!$V1045),"")</f>
      </c>
      <c r="AB1045" s="20">
        <f>IFERROR(IF([1]对账明细接口!$W1045=0,"",[1]对账明细接口!$W1045),"")</f>
      </c>
      <c r="AC1045" s="7">
        <f>IFERROR(IF([1]对账明细接口!$X1045=0,"",[1]对账明细接口!$X1045),"")</f>
      </c>
      <c r="AD1045" s="7">
        <f>IFERROR(IF([1]对账明细接口!$Y1045=0,"",[1]对账明细接口!$Y1045),"")</f>
      </c>
      <c r="AE1045" s="7">
        <f>IFERROR(IF([1]对账明细接口!$AA1045=0,"",[1]对账明细接口!$AA1045),"")</f>
      </c>
      <c r="AF1045" s="7">
        <f>IFERROR(IF([1]对账明细接口!$AB1045=0,"",[1]对账明细接口!$AB1045),"")</f>
      </c>
      <c r="AG1045" s="7">
        <f>IFERROR(IF([1]对账明细接口!$AC1045=0,"",[1]对账明细接口!$AC1045),"")</f>
      </c>
      <c r="AH1045" s="7">
        <f>IFERROR(IF([1]对账明细接口!$AD1045=0,"",[1]对账明细接口!$AD1045),"")</f>
      </c>
      <c r="AI1045" s="7">
        <f>IFERROR(IF([1]对账明细接口!$AE1045=0,"",[1]对账明细接口!$AE1045),"")</f>
      </c>
      <c r="AJ1045" s="7">
        <f>IFERROR(IF([1]对账明细接口!$AF1045=0,"",[1]对账明细接口!$AF1045),"")</f>
      </c>
    </row>
    <row r="1046" ht="14.25" customHeight="1" s="127">
      <c r="A1046" s="14" t="n">
        <v>1046</v>
      </c>
      <c r="B1046" s="211">
        <f>IFERROR(IF([1]对账明细接口!$B$1046=0,"",[1]对账明细接口!$B$1046),"")</f>
      </c>
      <c r="C1046" s="16">
        <f>IFERROR(IF([1]对账明细接口!$C$1046=0,"",[1]对账明细接口!$C$1046),"")</f>
      </c>
      <c r="D1046" s="16">
        <f>IFERROR(IF([1]对账明细接口!$D$1046=0,"",[1]对账明细接口!$D$1046),"")</f>
      </c>
      <c r="E1046" s="16">
        <f>IFERROR(IF([1]对账明细接口!$E$1046=0,"",[1]对账明细接口!$E$1046),"")</f>
      </c>
      <c r="F1046" s="16">
        <f>IFERROR(IF([1]对账明细接口!$F$1046=0,"",[1]对账明细接口!$F$1046),"")</f>
      </c>
      <c r="G1046" s="16">
        <f>IFERROR(IF([1]对账明细接口!$G$1046=0,"",[1]对账明细接口!$G$1046),"")</f>
      </c>
      <c r="H1046" s="176">
        <f>IFERROR(IF([1]对账明细接口!$H$1046=0,"",[1]对账明细接口!$H$1046),"")</f>
      </c>
      <c r="I1046" s="16">
        <f>IFERROR(IF([1]对账明细接口!$I$1046=0,"",[1]对账明细接口!$I$1046),"")</f>
      </c>
      <c r="J1046" s="177">
        <f>IFERROR(IF([1]对账明细接口!$J$1046=0,"",[1]对账明细接口!$J$1046),"")</f>
      </c>
      <c r="K1046" s="177">
        <f>IFERROR(IF([1]对账明细接口!$K$1046=0,"",[1]对账明细接口!$K$1046),"")</f>
      </c>
      <c r="L1046" s="16">
        <f>IFERROR(IF([1]对账明细接口!$L$1046=0,"",[1]对账明细接口!$L$1046),"")</f>
      </c>
      <c r="M1046" s="16">
        <f>IFERROR(IF([1]对账明细接口!$M$1046=0,"",[1]对账明细接口!$M$1046),"")</f>
      </c>
      <c r="N1046" s="19">
        <f>IF($C1046="",0,1)</f>
        <v>0</v>
      </c>
      <c r="O1046" s="19">
        <f>N(O1045)+$N1046</f>
        <v>637</v>
      </c>
      <c r="S1046" s="20">
        <f>IFERROR(IF([1]对账明细接口!$N1046=0,"",[1]对账明细接口!$N1046),"")</f>
      </c>
      <c r="T1046" s="212">
        <f>IFERROR(IF([1]对账明细接口!$O1046=0,"",[1]对账明细接口!$O1046),"")</f>
      </c>
      <c r="U1046" s="212">
        <f>IFERROR(IF([1]对账明细接口!$P1046=0,"",[1]对账明细接口!$P1046),"")</f>
      </c>
      <c r="V1046" s="212">
        <f>IFERROR(IF([1]对账明细接口!$Q1046=0,"",[1]对账明细接口!$Q1046),"")</f>
      </c>
      <c r="W1046" s="20">
        <f>IFERROR(IF([1]对账明细接口!$R1046=0,"",[1]对账明细接口!$R1046),"")</f>
      </c>
      <c r="X1046" s="20">
        <f>IFERROR(IF([1]对账明细接口!$S1046=0,"",[1]对账明细接口!$S1046),"")</f>
      </c>
      <c r="Y1046" s="20">
        <f>IFERROR(IF([1]对账明细接口!$T1046=0,"",[1]对账明细接口!$T1046),"")</f>
      </c>
      <c r="Z1046" s="213">
        <f>IFERROR(IF([1]对账明细接口!$U1046=0,"",[1]对账明细接口!$U1046),"")</f>
      </c>
      <c r="AA1046" s="213">
        <f>IFERROR(IF([1]对账明细接口!$V1046=0,"",[1]对账明细接口!$V1046),"")</f>
      </c>
      <c r="AB1046" s="20">
        <f>IFERROR(IF([1]对账明细接口!$W1046=0,"",[1]对账明细接口!$W1046),"")</f>
      </c>
      <c r="AC1046" s="7">
        <f>IFERROR(IF([1]对账明细接口!$X1046=0,"",[1]对账明细接口!$X1046),"")</f>
      </c>
      <c r="AD1046" s="7">
        <f>IFERROR(IF([1]对账明细接口!$Y1046=0,"",[1]对账明细接口!$Y1046),"")</f>
      </c>
      <c r="AE1046" s="7">
        <f>IFERROR(IF([1]对账明细接口!$AA1046=0,"",[1]对账明细接口!$AA1046),"")</f>
      </c>
      <c r="AF1046" s="7">
        <f>IFERROR(IF([1]对账明细接口!$AB1046=0,"",[1]对账明细接口!$AB1046),"")</f>
      </c>
      <c r="AG1046" s="7">
        <f>IFERROR(IF([1]对账明细接口!$AC1046=0,"",[1]对账明细接口!$AC1046),"")</f>
      </c>
      <c r="AH1046" s="7">
        <f>IFERROR(IF([1]对账明细接口!$AD1046=0,"",[1]对账明细接口!$AD1046),"")</f>
      </c>
      <c r="AI1046" s="7">
        <f>IFERROR(IF([1]对账明细接口!$AE1046=0,"",[1]对账明细接口!$AE1046),"")</f>
      </c>
      <c r="AJ1046" s="7">
        <f>IFERROR(IF([1]对账明细接口!$AF1046=0,"",[1]对账明细接口!$AF1046),"")</f>
      </c>
    </row>
    <row r="1047" ht="14.25" customHeight="1" s="127">
      <c r="A1047" s="14" t="n">
        <v>1047</v>
      </c>
      <c r="B1047" s="211">
        <f>IFERROR(IF([1]对账明细接口!$B$1047=0,"",[1]对账明细接口!$B$1047),"")</f>
      </c>
      <c r="C1047" s="16">
        <f>IFERROR(IF([1]对账明细接口!$C$1047=0,"",[1]对账明细接口!$C$1047),"")</f>
      </c>
      <c r="D1047" s="16">
        <f>IFERROR(IF([1]对账明细接口!$D$1047=0,"",[1]对账明细接口!$D$1047),"")</f>
      </c>
      <c r="E1047" s="16">
        <f>IFERROR(IF([1]对账明细接口!$E$1047=0,"",[1]对账明细接口!$E$1047),"")</f>
      </c>
      <c r="F1047" s="16">
        <f>IFERROR(IF([1]对账明细接口!$F$1047=0,"",[1]对账明细接口!$F$1047),"")</f>
      </c>
      <c r="G1047" s="16">
        <f>IFERROR(IF([1]对账明细接口!$G$1047=0,"",[1]对账明细接口!$G$1047),"")</f>
      </c>
      <c r="H1047" s="176">
        <f>IFERROR(IF([1]对账明细接口!$H$1047=0,"",[1]对账明细接口!$H$1047),"")</f>
      </c>
      <c r="I1047" s="16">
        <f>IFERROR(IF([1]对账明细接口!$I$1047=0,"",[1]对账明细接口!$I$1047),"")</f>
      </c>
      <c r="J1047" s="177">
        <f>IFERROR(IF([1]对账明细接口!$J$1047=0,"",[1]对账明细接口!$J$1047),"")</f>
      </c>
      <c r="K1047" s="177">
        <f>IFERROR(IF([1]对账明细接口!$K$1047=0,"",[1]对账明细接口!$K$1047),"")</f>
      </c>
      <c r="L1047" s="16">
        <f>IFERROR(IF([1]对账明细接口!$L$1047=0,"",[1]对账明细接口!$L$1047),"")</f>
      </c>
      <c r="M1047" s="16">
        <f>IFERROR(IF([1]对账明细接口!$M$1047=0,"",[1]对账明细接口!$M$1047),"")</f>
      </c>
      <c r="N1047" s="19">
        <f>IF($C1047="",0,1)</f>
        <v>0</v>
      </c>
      <c r="O1047" s="19">
        <f>N(O1046)+$N1047</f>
        <v>637</v>
      </c>
      <c r="S1047" s="20">
        <f>IFERROR(IF([1]对账明细接口!$N1047=0,"",[1]对账明细接口!$N1047),"")</f>
      </c>
      <c r="T1047" s="212">
        <f>IFERROR(IF([1]对账明细接口!$O1047=0,"",[1]对账明细接口!$O1047),"")</f>
      </c>
      <c r="U1047" s="212">
        <f>IFERROR(IF([1]对账明细接口!$P1047=0,"",[1]对账明细接口!$P1047),"")</f>
      </c>
      <c r="V1047" s="212">
        <f>IFERROR(IF([1]对账明细接口!$Q1047=0,"",[1]对账明细接口!$Q1047),"")</f>
      </c>
      <c r="W1047" s="20">
        <f>IFERROR(IF([1]对账明细接口!$R1047=0,"",[1]对账明细接口!$R1047),"")</f>
      </c>
      <c r="X1047" s="20">
        <f>IFERROR(IF([1]对账明细接口!$S1047=0,"",[1]对账明细接口!$S1047),"")</f>
      </c>
      <c r="Y1047" s="20">
        <f>IFERROR(IF([1]对账明细接口!$T1047=0,"",[1]对账明细接口!$T1047),"")</f>
      </c>
      <c r="Z1047" s="213">
        <f>IFERROR(IF([1]对账明细接口!$U1047=0,"",[1]对账明细接口!$U1047),"")</f>
      </c>
      <c r="AA1047" s="213">
        <f>IFERROR(IF([1]对账明细接口!$V1047=0,"",[1]对账明细接口!$V1047),"")</f>
      </c>
      <c r="AB1047" s="20">
        <f>IFERROR(IF([1]对账明细接口!$W1047=0,"",[1]对账明细接口!$W1047),"")</f>
      </c>
      <c r="AC1047" s="7">
        <f>IFERROR(IF([1]对账明细接口!$X1047=0,"",[1]对账明细接口!$X1047),"")</f>
      </c>
      <c r="AD1047" s="7">
        <f>IFERROR(IF([1]对账明细接口!$Y1047=0,"",[1]对账明细接口!$Y1047),"")</f>
      </c>
      <c r="AE1047" s="7">
        <f>IFERROR(IF([1]对账明细接口!$AA1047=0,"",[1]对账明细接口!$AA1047),"")</f>
      </c>
      <c r="AF1047" s="7">
        <f>IFERROR(IF([1]对账明细接口!$AB1047=0,"",[1]对账明细接口!$AB1047),"")</f>
      </c>
      <c r="AG1047" s="7">
        <f>IFERROR(IF([1]对账明细接口!$AC1047=0,"",[1]对账明细接口!$AC1047),"")</f>
      </c>
      <c r="AH1047" s="7">
        <f>IFERROR(IF([1]对账明细接口!$AD1047=0,"",[1]对账明细接口!$AD1047),"")</f>
      </c>
      <c r="AI1047" s="7">
        <f>IFERROR(IF([1]对账明细接口!$AE1047=0,"",[1]对账明细接口!$AE1047),"")</f>
      </c>
      <c r="AJ1047" s="7">
        <f>IFERROR(IF([1]对账明细接口!$AF1047=0,"",[1]对账明细接口!$AF1047),"")</f>
      </c>
    </row>
    <row r="1048" ht="14.25" customHeight="1" s="127">
      <c r="A1048" s="14" t="n">
        <v>1048</v>
      </c>
      <c r="B1048" s="211">
        <f>IFERROR(IF([1]对账明细接口!$B$1048=0,"",[1]对账明细接口!$B$1048),"")</f>
      </c>
      <c r="C1048" s="16">
        <f>IFERROR(IF([1]对账明细接口!$C$1048=0,"",[1]对账明细接口!$C$1048),"")</f>
      </c>
      <c r="D1048" s="16">
        <f>IFERROR(IF([1]对账明细接口!$D$1048=0,"",[1]对账明细接口!$D$1048),"")</f>
      </c>
      <c r="E1048" s="16">
        <f>IFERROR(IF([1]对账明细接口!$E$1048=0,"",[1]对账明细接口!$E$1048),"")</f>
      </c>
      <c r="F1048" s="16">
        <f>IFERROR(IF([1]对账明细接口!$F$1048=0,"",[1]对账明细接口!$F$1048),"")</f>
      </c>
      <c r="G1048" s="16">
        <f>IFERROR(IF([1]对账明细接口!$G$1048=0,"",[1]对账明细接口!$G$1048),"")</f>
      </c>
      <c r="H1048" s="176">
        <f>IFERROR(IF([1]对账明细接口!$H$1048=0,"",[1]对账明细接口!$H$1048),"")</f>
      </c>
      <c r="I1048" s="16">
        <f>IFERROR(IF([1]对账明细接口!$I$1048=0,"",[1]对账明细接口!$I$1048),"")</f>
      </c>
      <c r="J1048" s="177">
        <f>IFERROR(IF([1]对账明细接口!$J$1048=0,"",[1]对账明细接口!$J$1048),"")</f>
      </c>
      <c r="K1048" s="177">
        <f>IFERROR(IF([1]对账明细接口!$K$1048=0,"",[1]对账明细接口!$K$1048),"")</f>
      </c>
      <c r="L1048" s="16">
        <f>IFERROR(IF([1]对账明细接口!$L$1048=0,"",[1]对账明细接口!$L$1048),"")</f>
      </c>
      <c r="M1048" s="16">
        <f>IFERROR(IF([1]对账明细接口!$M$1048=0,"",[1]对账明细接口!$M$1048),"")</f>
      </c>
      <c r="N1048" s="19">
        <f>IF($C1048="",0,1)</f>
        <v>0</v>
      </c>
      <c r="O1048" s="19">
        <f>N(O1047)+$N1048</f>
        <v>637</v>
      </c>
      <c r="S1048" s="20">
        <f>IFERROR(IF([1]对账明细接口!$N1048=0,"",[1]对账明细接口!$N1048),"")</f>
      </c>
      <c r="T1048" s="212">
        <f>IFERROR(IF([1]对账明细接口!$O1048=0,"",[1]对账明细接口!$O1048),"")</f>
      </c>
      <c r="U1048" s="212">
        <f>IFERROR(IF([1]对账明细接口!$P1048=0,"",[1]对账明细接口!$P1048),"")</f>
      </c>
      <c r="V1048" s="212">
        <f>IFERROR(IF([1]对账明细接口!$Q1048=0,"",[1]对账明细接口!$Q1048),"")</f>
      </c>
      <c r="W1048" s="20">
        <f>IFERROR(IF([1]对账明细接口!$R1048=0,"",[1]对账明细接口!$R1048),"")</f>
      </c>
      <c r="X1048" s="20">
        <f>IFERROR(IF([1]对账明细接口!$S1048=0,"",[1]对账明细接口!$S1048),"")</f>
      </c>
      <c r="Y1048" s="20">
        <f>IFERROR(IF([1]对账明细接口!$T1048=0,"",[1]对账明细接口!$T1048),"")</f>
      </c>
      <c r="Z1048" s="213">
        <f>IFERROR(IF([1]对账明细接口!$U1048=0,"",[1]对账明细接口!$U1048),"")</f>
      </c>
      <c r="AA1048" s="213">
        <f>IFERROR(IF([1]对账明细接口!$V1048=0,"",[1]对账明细接口!$V1048),"")</f>
      </c>
      <c r="AB1048" s="20">
        <f>IFERROR(IF([1]对账明细接口!$W1048=0,"",[1]对账明细接口!$W1048),"")</f>
      </c>
      <c r="AC1048" s="7">
        <f>IFERROR(IF([1]对账明细接口!$X1048=0,"",[1]对账明细接口!$X1048),"")</f>
      </c>
      <c r="AD1048" s="7">
        <f>IFERROR(IF([1]对账明细接口!$Y1048=0,"",[1]对账明细接口!$Y1048),"")</f>
      </c>
      <c r="AE1048" s="7">
        <f>IFERROR(IF([1]对账明细接口!$AA1048=0,"",[1]对账明细接口!$AA1048),"")</f>
      </c>
      <c r="AF1048" s="7">
        <f>IFERROR(IF([1]对账明细接口!$AB1048=0,"",[1]对账明细接口!$AB1048),"")</f>
      </c>
      <c r="AG1048" s="7">
        <f>IFERROR(IF([1]对账明细接口!$AC1048=0,"",[1]对账明细接口!$AC1048),"")</f>
      </c>
      <c r="AH1048" s="7">
        <f>IFERROR(IF([1]对账明细接口!$AD1048=0,"",[1]对账明细接口!$AD1048),"")</f>
      </c>
      <c r="AI1048" s="7">
        <f>IFERROR(IF([1]对账明细接口!$AE1048=0,"",[1]对账明细接口!$AE1048),"")</f>
      </c>
      <c r="AJ1048" s="7">
        <f>IFERROR(IF([1]对账明细接口!$AF1048=0,"",[1]对账明细接口!$AF1048),"")</f>
      </c>
    </row>
    <row r="1049" ht="14.25" customHeight="1" s="127">
      <c r="A1049" s="14" t="n">
        <v>1049</v>
      </c>
      <c r="B1049" s="211">
        <f>IFERROR(IF([1]对账明细接口!$B$1049=0,"",[1]对账明细接口!$B$1049),"")</f>
      </c>
      <c r="C1049" s="16">
        <f>IFERROR(IF([1]对账明细接口!$C$1049=0,"",[1]对账明细接口!$C$1049),"")</f>
      </c>
      <c r="D1049" s="16">
        <f>IFERROR(IF([1]对账明细接口!$D$1049=0,"",[1]对账明细接口!$D$1049),"")</f>
      </c>
      <c r="E1049" s="16">
        <f>IFERROR(IF([1]对账明细接口!$E$1049=0,"",[1]对账明细接口!$E$1049),"")</f>
      </c>
      <c r="F1049" s="16">
        <f>IFERROR(IF([1]对账明细接口!$F$1049=0,"",[1]对账明细接口!$F$1049),"")</f>
      </c>
      <c r="G1049" s="16">
        <f>IFERROR(IF([1]对账明细接口!$G$1049=0,"",[1]对账明细接口!$G$1049),"")</f>
      </c>
      <c r="H1049" s="176">
        <f>IFERROR(IF([1]对账明细接口!$H$1049=0,"",[1]对账明细接口!$H$1049),"")</f>
      </c>
      <c r="I1049" s="16">
        <f>IFERROR(IF([1]对账明细接口!$I$1049=0,"",[1]对账明细接口!$I$1049),"")</f>
      </c>
      <c r="J1049" s="177">
        <f>IFERROR(IF([1]对账明细接口!$J$1049=0,"",[1]对账明细接口!$J$1049),"")</f>
      </c>
      <c r="K1049" s="177">
        <f>IFERROR(IF([1]对账明细接口!$K$1049=0,"",[1]对账明细接口!$K$1049),"")</f>
      </c>
      <c r="L1049" s="16">
        <f>IFERROR(IF([1]对账明细接口!$L$1049=0,"",[1]对账明细接口!$L$1049),"")</f>
      </c>
      <c r="M1049" s="16">
        <f>IFERROR(IF([1]对账明细接口!$M$1049=0,"",[1]对账明细接口!$M$1049),"")</f>
      </c>
      <c r="N1049" s="19">
        <f>IF($C1049="",0,1)</f>
        <v>0</v>
      </c>
      <c r="O1049" s="19">
        <f>N(O1048)+$N1049</f>
        <v>637</v>
      </c>
      <c r="S1049" s="20">
        <f>IFERROR(IF([1]对账明细接口!$N1049=0,"",[1]对账明细接口!$N1049),"")</f>
      </c>
      <c r="T1049" s="212">
        <f>IFERROR(IF([1]对账明细接口!$O1049=0,"",[1]对账明细接口!$O1049),"")</f>
      </c>
      <c r="U1049" s="212">
        <f>IFERROR(IF([1]对账明细接口!$P1049=0,"",[1]对账明细接口!$P1049),"")</f>
      </c>
      <c r="V1049" s="212">
        <f>IFERROR(IF([1]对账明细接口!$Q1049=0,"",[1]对账明细接口!$Q1049),"")</f>
      </c>
      <c r="W1049" s="20">
        <f>IFERROR(IF([1]对账明细接口!$R1049=0,"",[1]对账明细接口!$R1049),"")</f>
      </c>
      <c r="X1049" s="20">
        <f>IFERROR(IF([1]对账明细接口!$S1049=0,"",[1]对账明细接口!$S1049),"")</f>
      </c>
      <c r="Y1049" s="20">
        <f>IFERROR(IF([1]对账明细接口!$T1049=0,"",[1]对账明细接口!$T1049),"")</f>
      </c>
      <c r="Z1049" s="213">
        <f>IFERROR(IF([1]对账明细接口!$U1049=0,"",[1]对账明细接口!$U1049),"")</f>
      </c>
      <c r="AA1049" s="213">
        <f>IFERROR(IF([1]对账明细接口!$V1049=0,"",[1]对账明细接口!$V1049),"")</f>
      </c>
      <c r="AB1049" s="20">
        <f>IFERROR(IF([1]对账明细接口!$W1049=0,"",[1]对账明细接口!$W1049),"")</f>
      </c>
      <c r="AC1049" s="7">
        <f>IFERROR(IF([1]对账明细接口!$X1049=0,"",[1]对账明细接口!$X1049),"")</f>
      </c>
      <c r="AD1049" s="7">
        <f>IFERROR(IF([1]对账明细接口!$Y1049=0,"",[1]对账明细接口!$Y1049),"")</f>
      </c>
      <c r="AE1049" s="7">
        <f>IFERROR(IF([1]对账明细接口!$AA1049=0,"",[1]对账明细接口!$AA1049),"")</f>
      </c>
      <c r="AF1049" s="7">
        <f>IFERROR(IF([1]对账明细接口!$AB1049=0,"",[1]对账明细接口!$AB1049),"")</f>
      </c>
      <c r="AG1049" s="7">
        <f>IFERROR(IF([1]对账明细接口!$AC1049=0,"",[1]对账明细接口!$AC1049),"")</f>
      </c>
      <c r="AH1049" s="7">
        <f>IFERROR(IF([1]对账明细接口!$AD1049=0,"",[1]对账明细接口!$AD1049),"")</f>
      </c>
      <c r="AI1049" s="7">
        <f>IFERROR(IF([1]对账明细接口!$AE1049=0,"",[1]对账明细接口!$AE1049),"")</f>
      </c>
      <c r="AJ1049" s="7">
        <f>IFERROR(IF([1]对账明细接口!$AF1049=0,"",[1]对账明细接口!$AF1049),"")</f>
      </c>
    </row>
    <row r="1050" ht="14.25" customHeight="1" s="127">
      <c r="A1050" s="14" t="n">
        <v>1050</v>
      </c>
      <c r="B1050" s="211">
        <f>IFERROR(IF([1]对账明细接口!$B$1050=0,"",[1]对账明细接口!$B$1050),"")</f>
      </c>
      <c r="C1050" s="16">
        <f>IFERROR(IF([1]对账明细接口!$C$1050=0,"",[1]对账明细接口!$C$1050),"")</f>
      </c>
      <c r="D1050" s="16">
        <f>IFERROR(IF([1]对账明细接口!$D$1050=0,"",[1]对账明细接口!$D$1050),"")</f>
      </c>
      <c r="E1050" s="16">
        <f>IFERROR(IF([1]对账明细接口!$E$1050=0,"",[1]对账明细接口!$E$1050),"")</f>
      </c>
      <c r="F1050" s="16">
        <f>IFERROR(IF([1]对账明细接口!$F$1050=0,"",[1]对账明细接口!$F$1050),"")</f>
      </c>
      <c r="G1050" s="16">
        <f>IFERROR(IF([1]对账明细接口!$G$1050=0,"",[1]对账明细接口!$G$1050),"")</f>
      </c>
      <c r="H1050" s="176">
        <f>IFERROR(IF([1]对账明细接口!$H$1050=0,"",[1]对账明细接口!$H$1050),"")</f>
      </c>
      <c r="I1050" s="16">
        <f>IFERROR(IF([1]对账明细接口!$I$1050=0,"",[1]对账明细接口!$I$1050),"")</f>
      </c>
      <c r="J1050" s="177">
        <f>IFERROR(IF([1]对账明细接口!$J$1050=0,"",[1]对账明细接口!$J$1050),"")</f>
      </c>
      <c r="K1050" s="177">
        <f>IFERROR(IF([1]对账明细接口!$K$1050=0,"",[1]对账明细接口!$K$1050),"")</f>
      </c>
      <c r="L1050" s="16">
        <f>IFERROR(IF([1]对账明细接口!$L$1050=0,"",[1]对账明细接口!$L$1050),"")</f>
      </c>
      <c r="M1050" s="16">
        <f>IFERROR(IF([1]对账明细接口!$M$1050=0,"",[1]对账明细接口!$M$1050),"")</f>
      </c>
      <c r="N1050" s="19">
        <f>IF($C1050="",0,1)</f>
        <v>0</v>
      </c>
      <c r="O1050" s="19">
        <f>N(O1049)+$N1050</f>
        <v>637</v>
      </c>
      <c r="S1050" s="20">
        <f>IFERROR(IF([1]对账明细接口!$N1050=0,"",[1]对账明细接口!$N1050),"")</f>
      </c>
      <c r="T1050" s="212">
        <f>IFERROR(IF([1]对账明细接口!$O1050=0,"",[1]对账明细接口!$O1050),"")</f>
      </c>
      <c r="U1050" s="212">
        <f>IFERROR(IF([1]对账明细接口!$P1050=0,"",[1]对账明细接口!$P1050),"")</f>
      </c>
      <c r="V1050" s="212">
        <f>IFERROR(IF([1]对账明细接口!$Q1050=0,"",[1]对账明细接口!$Q1050),"")</f>
      </c>
      <c r="W1050" s="20">
        <f>IFERROR(IF([1]对账明细接口!$R1050=0,"",[1]对账明细接口!$R1050),"")</f>
      </c>
      <c r="X1050" s="20">
        <f>IFERROR(IF([1]对账明细接口!$S1050=0,"",[1]对账明细接口!$S1050),"")</f>
      </c>
      <c r="Y1050" s="20">
        <f>IFERROR(IF([1]对账明细接口!$T1050=0,"",[1]对账明细接口!$T1050),"")</f>
      </c>
      <c r="Z1050" s="213">
        <f>IFERROR(IF([1]对账明细接口!$U1050=0,"",[1]对账明细接口!$U1050),"")</f>
      </c>
      <c r="AA1050" s="213">
        <f>IFERROR(IF([1]对账明细接口!$V1050=0,"",[1]对账明细接口!$V1050),"")</f>
      </c>
      <c r="AB1050" s="20">
        <f>IFERROR(IF([1]对账明细接口!$W1050=0,"",[1]对账明细接口!$W1050),"")</f>
      </c>
      <c r="AC1050" s="7">
        <f>IFERROR(IF([1]对账明细接口!$X1050=0,"",[1]对账明细接口!$X1050),"")</f>
      </c>
      <c r="AD1050" s="7">
        <f>IFERROR(IF([1]对账明细接口!$Y1050=0,"",[1]对账明细接口!$Y1050),"")</f>
      </c>
      <c r="AE1050" s="7">
        <f>IFERROR(IF([1]对账明细接口!$AA1050=0,"",[1]对账明细接口!$AA1050),"")</f>
      </c>
      <c r="AF1050" s="7">
        <f>IFERROR(IF([1]对账明细接口!$AB1050=0,"",[1]对账明细接口!$AB1050),"")</f>
      </c>
      <c r="AG1050" s="7">
        <f>IFERROR(IF([1]对账明细接口!$AC1050=0,"",[1]对账明细接口!$AC1050),"")</f>
      </c>
      <c r="AH1050" s="7">
        <f>IFERROR(IF([1]对账明细接口!$AD1050=0,"",[1]对账明细接口!$AD1050),"")</f>
      </c>
      <c r="AI1050" s="7">
        <f>IFERROR(IF([1]对账明细接口!$AE1050=0,"",[1]对账明细接口!$AE1050),"")</f>
      </c>
      <c r="AJ1050" s="7">
        <f>IFERROR(IF([1]对账明细接口!$AF1050=0,"",[1]对账明细接口!$AF1050),"")</f>
      </c>
    </row>
    <row r="1051" ht="14.25" customHeight="1" s="127">
      <c r="A1051" s="14" t="n">
        <v>1051</v>
      </c>
      <c r="B1051" s="211">
        <f>IFERROR(IF([1]对账明细接口!$B$1051=0,"",[1]对账明细接口!$B$1051),"")</f>
      </c>
      <c r="C1051" s="16">
        <f>IFERROR(IF([1]对账明细接口!$C$1051=0,"",[1]对账明细接口!$C$1051),"")</f>
      </c>
      <c r="D1051" s="16">
        <f>IFERROR(IF([1]对账明细接口!$D$1051=0,"",[1]对账明细接口!$D$1051),"")</f>
      </c>
      <c r="E1051" s="16">
        <f>IFERROR(IF([1]对账明细接口!$E$1051=0,"",[1]对账明细接口!$E$1051),"")</f>
      </c>
      <c r="F1051" s="16">
        <f>IFERROR(IF([1]对账明细接口!$F$1051=0,"",[1]对账明细接口!$F$1051),"")</f>
      </c>
      <c r="G1051" s="16">
        <f>IFERROR(IF([1]对账明细接口!$G$1051=0,"",[1]对账明细接口!$G$1051),"")</f>
      </c>
      <c r="H1051" s="176">
        <f>IFERROR(IF([1]对账明细接口!$H$1051=0,"",[1]对账明细接口!$H$1051),"")</f>
      </c>
      <c r="I1051" s="16">
        <f>IFERROR(IF([1]对账明细接口!$I$1051=0,"",[1]对账明细接口!$I$1051),"")</f>
      </c>
      <c r="J1051" s="177">
        <f>IFERROR(IF([1]对账明细接口!$J$1051=0,"",[1]对账明细接口!$J$1051),"")</f>
      </c>
      <c r="K1051" s="177">
        <f>IFERROR(IF([1]对账明细接口!$K$1051=0,"",[1]对账明细接口!$K$1051),"")</f>
      </c>
      <c r="L1051" s="16">
        <f>IFERROR(IF([1]对账明细接口!$L$1051=0,"",[1]对账明细接口!$L$1051),"")</f>
      </c>
      <c r="M1051" s="16">
        <f>IFERROR(IF([1]对账明细接口!$M$1051=0,"",[1]对账明细接口!$M$1051),"")</f>
      </c>
      <c r="N1051" s="19">
        <f>IF($C1051="",0,1)</f>
        <v>0</v>
      </c>
      <c r="O1051" s="19">
        <f>N(O1050)+$N1051</f>
        <v>637</v>
      </c>
      <c r="S1051" s="20">
        <f>IFERROR(IF([1]对账明细接口!$N1051=0,"",[1]对账明细接口!$N1051),"")</f>
      </c>
      <c r="T1051" s="212">
        <f>IFERROR(IF([1]对账明细接口!$O1051=0,"",[1]对账明细接口!$O1051),"")</f>
      </c>
      <c r="U1051" s="212">
        <f>IFERROR(IF([1]对账明细接口!$P1051=0,"",[1]对账明细接口!$P1051),"")</f>
      </c>
      <c r="V1051" s="212">
        <f>IFERROR(IF([1]对账明细接口!$Q1051=0,"",[1]对账明细接口!$Q1051),"")</f>
      </c>
      <c r="W1051" s="20">
        <f>IFERROR(IF([1]对账明细接口!$R1051=0,"",[1]对账明细接口!$R1051),"")</f>
      </c>
      <c r="X1051" s="20">
        <f>IFERROR(IF([1]对账明细接口!$S1051=0,"",[1]对账明细接口!$S1051),"")</f>
      </c>
      <c r="Y1051" s="20">
        <f>IFERROR(IF([1]对账明细接口!$T1051=0,"",[1]对账明细接口!$T1051),"")</f>
      </c>
      <c r="Z1051" s="213">
        <f>IFERROR(IF([1]对账明细接口!$U1051=0,"",[1]对账明细接口!$U1051),"")</f>
      </c>
      <c r="AA1051" s="213">
        <f>IFERROR(IF([1]对账明细接口!$V1051=0,"",[1]对账明细接口!$V1051),"")</f>
      </c>
      <c r="AB1051" s="20">
        <f>IFERROR(IF([1]对账明细接口!$W1051=0,"",[1]对账明细接口!$W1051),"")</f>
      </c>
      <c r="AC1051" s="7">
        <f>IFERROR(IF([1]对账明细接口!$X1051=0,"",[1]对账明细接口!$X1051),"")</f>
      </c>
      <c r="AD1051" s="7">
        <f>IFERROR(IF([1]对账明细接口!$Y1051=0,"",[1]对账明细接口!$Y1051),"")</f>
      </c>
      <c r="AE1051" s="7">
        <f>IFERROR(IF([1]对账明细接口!$AA1051=0,"",[1]对账明细接口!$AA1051),"")</f>
      </c>
      <c r="AF1051" s="7">
        <f>IFERROR(IF([1]对账明细接口!$AB1051=0,"",[1]对账明细接口!$AB1051),"")</f>
      </c>
      <c r="AG1051" s="7">
        <f>IFERROR(IF([1]对账明细接口!$AC1051=0,"",[1]对账明细接口!$AC1051),"")</f>
      </c>
      <c r="AH1051" s="7">
        <f>IFERROR(IF([1]对账明细接口!$AD1051=0,"",[1]对账明细接口!$AD1051),"")</f>
      </c>
      <c r="AI1051" s="7">
        <f>IFERROR(IF([1]对账明细接口!$AE1051=0,"",[1]对账明细接口!$AE1051),"")</f>
      </c>
      <c r="AJ1051" s="7">
        <f>IFERROR(IF([1]对账明细接口!$AF1051=0,"",[1]对账明细接口!$AF1051),"")</f>
      </c>
    </row>
    <row r="1052" ht="14.25" customHeight="1" s="127">
      <c r="A1052" s="14" t="n">
        <v>1052</v>
      </c>
      <c r="B1052" s="211">
        <f>IFERROR(IF([1]对账明细接口!$B$1052=0,"",[1]对账明细接口!$B$1052),"")</f>
      </c>
      <c r="C1052" s="16">
        <f>IFERROR(IF([1]对账明细接口!$C$1052=0,"",[1]对账明细接口!$C$1052),"")</f>
      </c>
      <c r="D1052" s="16">
        <f>IFERROR(IF([1]对账明细接口!$D$1052=0,"",[1]对账明细接口!$D$1052),"")</f>
      </c>
      <c r="E1052" s="16">
        <f>IFERROR(IF([1]对账明细接口!$E$1052=0,"",[1]对账明细接口!$E$1052),"")</f>
      </c>
      <c r="F1052" s="16">
        <f>IFERROR(IF([1]对账明细接口!$F$1052=0,"",[1]对账明细接口!$F$1052),"")</f>
      </c>
      <c r="G1052" s="16">
        <f>IFERROR(IF([1]对账明细接口!$G$1052=0,"",[1]对账明细接口!$G$1052),"")</f>
      </c>
      <c r="H1052" s="176">
        <f>IFERROR(IF([1]对账明细接口!$H$1052=0,"",[1]对账明细接口!$H$1052),"")</f>
      </c>
      <c r="I1052" s="16">
        <f>IFERROR(IF([1]对账明细接口!$I$1052=0,"",[1]对账明细接口!$I$1052),"")</f>
      </c>
      <c r="J1052" s="177">
        <f>IFERROR(IF([1]对账明细接口!$J$1052=0,"",[1]对账明细接口!$J$1052),"")</f>
      </c>
      <c r="K1052" s="177">
        <f>IFERROR(IF([1]对账明细接口!$K$1052=0,"",[1]对账明细接口!$K$1052),"")</f>
      </c>
      <c r="L1052" s="16">
        <f>IFERROR(IF([1]对账明细接口!$L$1052=0,"",[1]对账明细接口!$L$1052),"")</f>
      </c>
      <c r="M1052" s="16">
        <f>IFERROR(IF([1]对账明细接口!$M$1052=0,"",[1]对账明细接口!$M$1052),"")</f>
      </c>
      <c r="N1052" s="19">
        <f>IF($C1052="",0,1)</f>
        <v>0</v>
      </c>
      <c r="O1052" s="19">
        <f>N(O1051)+$N1052</f>
        <v>637</v>
      </c>
      <c r="S1052" s="20">
        <f>IFERROR(IF([1]对账明细接口!$N1052=0,"",[1]对账明细接口!$N1052),"")</f>
      </c>
      <c r="T1052" s="212">
        <f>IFERROR(IF([1]对账明细接口!$O1052=0,"",[1]对账明细接口!$O1052),"")</f>
      </c>
      <c r="U1052" s="212">
        <f>IFERROR(IF([1]对账明细接口!$P1052=0,"",[1]对账明细接口!$P1052),"")</f>
      </c>
      <c r="V1052" s="212">
        <f>IFERROR(IF([1]对账明细接口!$Q1052=0,"",[1]对账明细接口!$Q1052),"")</f>
      </c>
      <c r="W1052" s="20">
        <f>IFERROR(IF([1]对账明细接口!$R1052=0,"",[1]对账明细接口!$R1052),"")</f>
      </c>
      <c r="X1052" s="20">
        <f>IFERROR(IF([1]对账明细接口!$S1052=0,"",[1]对账明细接口!$S1052),"")</f>
      </c>
      <c r="Y1052" s="20">
        <f>IFERROR(IF([1]对账明细接口!$T1052=0,"",[1]对账明细接口!$T1052),"")</f>
      </c>
      <c r="Z1052" s="213">
        <f>IFERROR(IF([1]对账明细接口!$U1052=0,"",[1]对账明细接口!$U1052),"")</f>
      </c>
      <c r="AA1052" s="213">
        <f>IFERROR(IF([1]对账明细接口!$V1052=0,"",[1]对账明细接口!$V1052),"")</f>
      </c>
      <c r="AB1052" s="20">
        <f>IFERROR(IF([1]对账明细接口!$W1052=0,"",[1]对账明细接口!$W1052),"")</f>
      </c>
      <c r="AC1052" s="7">
        <f>IFERROR(IF([1]对账明细接口!$X1052=0,"",[1]对账明细接口!$X1052),"")</f>
      </c>
      <c r="AD1052" s="7">
        <f>IFERROR(IF([1]对账明细接口!$Y1052=0,"",[1]对账明细接口!$Y1052),"")</f>
      </c>
      <c r="AE1052" s="7">
        <f>IFERROR(IF([1]对账明细接口!$AA1052=0,"",[1]对账明细接口!$AA1052),"")</f>
      </c>
      <c r="AF1052" s="7">
        <f>IFERROR(IF([1]对账明细接口!$AB1052=0,"",[1]对账明细接口!$AB1052),"")</f>
      </c>
      <c r="AG1052" s="7">
        <f>IFERROR(IF([1]对账明细接口!$AC1052=0,"",[1]对账明细接口!$AC1052),"")</f>
      </c>
      <c r="AH1052" s="7">
        <f>IFERROR(IF([1]对账明细接口!$AD1052=0,"",[1]对账明细接口!$AD1052),"")</f>
      </c>
      <c r="AI1052" s="7">
        <f>IFERROR(IF([1]对账明细接口!$AE1052=0,"",[1]对账明细接口!$AE1052),"")</f>
      </c>
      <c r="AJ1052" s="7">
        <f>IFERROR(IF([1]对账明细接口!$AF1052=0,"",[1]对账明细接口!$AF1052),"")</f>
      </c>
    </row>
    <row r="1053" ht="14.25" customHeight="1" s="127">
      <c r="A1053" s="14" t="n">
        <v>1053</v>
      </c>
      <c r="B1053" s="211">
        <f>IFERROR(IF([1]对账明细接口!$B$1053=0,"",[1]对账明细接口!$B$1053),"")</f>
      </c>
      <c r="C1053" s="16">
        <f>IFERROR(IF([1]对账明细接口!$C$1053=0,"",[1]对账明细接口!$C$1053),"")</f>
      </c>
      <c r="D1053" s="16">
        <f>IFERROR(IF([1]对账明细接口!$D$1053=0,"",[1]对账明细接口!$D$1053),"")</f>
      </c>
      <c r="E1053" s="16">
        <f>IFERROR(IF([1]对账明细接口!$E$1053=0,"",[1]对账明细接口!$E$1053),"")</f>
      </c>
      <c r="F1053" s="16">
        <f>IFERROR(IF([1]对账明细接口!$F$1053=0,"",[1]对账明细接口!$F$1053),"")</f>
      </c>
      <c r="G1053" s="16">
        <f>IFERROR(IF([1]对账明细接口!$G$1053=0,"",[1]对账明细接口!$G$1053),"")</f>
      </c>
      <c r="H1053" s="176">
        <f>IFERROR(IF([1]对账明细接口!$H$1053=0,"",[1]对账明细接口!$H$1053),"")</f>
      </c>
      <c r="I1053" s="16">
        <f>IFERROR(IF([1]对账明细接口!$I$1053=0,"",[1]对账明细接口!$I$1053),"")</f>
      </c>
      <c r="J1053" s="177">
        <f>IFERROR(IF([1]对账明细接口!$J$1053=0,"",[1]对账明细接口!$J$1053),"")</f>
      </c>
      <c r="K1053" s="177">
        <f>IFERROR(IF([1]对账明细接口!$K$1053=0,"",[1]对账明细接口!$K$1053),"")</f>
      </c>
      <c r="L1053" s="16">
        <f>IFERROR(IF([1]对账明细接口!$L$1053=0,"",[1]对账明细接口!$L$1053),"")</f>
      </c>
      <c r="M1053" s="16">
        <f>IFERROR(IF([1]对账明细接口!$M$1053=0,"",[1]对账明细接口!$M$1053),"")</f>
      </c>
      <c r="N1053" s="19">
        <f>IF($C1053="",0,1)</f>
        <v>0</v>
      </c>
      <c r="O1053" s="19">
        <f>N(O1052)+$N1053</f>
        <v>637</v>
      </c>
      <c r="S1053" s="20">
        <f>IFERROR(IF([1]对账明细接口!$N1053=0,"",[1]对账明细接口!$N1053),"")</f>
      </c>
      <c r="T1053" s="212">
        <f>IFERROR(IF([1]对账明细接口!$O1053=0,"",[1]对账明细接口!$O1053),"")</f>
      </c>
      <c r="U1053" s="212">
        <f>IFERROR(IF([1]对账明细接口!$P1053=0,"",[1]对账明细接口!$P1053),"")</f>
      </c>
      <c r="V1053" s="212">
        <f>IFERROR(IF([1]对账明细接口!$Q1053=0,"",[1]对账明细接口!$Q1053),"")</f>
      </c>
      <c r="W1053" s="20">
        <f>IFERROR(IF([1]对账明细接口!$R1053=0,"",[1]对账明细接口!$R1053),"")</f>
      </c>
      <c r="X1053" s="20">
        <f>IFERROR(IF([1]对账明细接口!$S1053=0,"",[1]对账明细接口!$S1053),"")</f>
      </c>
      <c r="Y1053" s="20">
        <f>IFERROR(IF([1]对账明细接口!$T1053=0,"",[1]对账明细接口!$T1053),"")</f>
      </c>
      <c r="Z1053" s="213">
        <f>IFERROR(IF([1]对账明细接口!$U1053=0,"",[1]对账明细接口!$U1053),"")</f>
      </c>
      <c r="AA1053" s="213">
        <f>IFERROR(IF([1]对账明细接口!$V1053=0,"",[1]对账明细接口!$V1053),"")</f>
      </c>
      <c r="AB1053" s="20">
        <f>IFERROR(IF([1]对账明细接口!$W1053=0,"",[1]对账明细接口!$W1053),"")</f>
      </c>
      <c r="AC1053" s="7">
        <f>IFERROR(IF([1]对账明细接口!$X1053=0,"",[1]对账明细接口!$X1053),"")</f>
      </c>
      <c r="AD1053" s="7">
        <f>IFERROR(IF([1]对账明细接口!$Y1053=0,"",[1]对账明细接口!$Y1053),"")</f>
      </c>
      <c r="AE1053" s="7">
        <f>IFERROR(IF([1]对账明细接口!$AA1053=0,"",[1]对账明细接口!$AA1053),"")</f>
      </c>
      <c r="AF1053" s="7">
        <f>IFERROR(IF([1]对账明细接口!$AB1053=0,"",[1]对账明细接口!$AB1053),"")</f>
      </c>
      <c r="AG1053" s="7">
        <f>IFERROR(IF([1]对账明细接口!$AC1053=0,"",[1]对账明细接口!$AC1053),"")</f>
      </c>
      <c r="AH1053" s="7">
        <f>IFERROR(IF([1]对账明细接口!$AD1053=0,"",[1]对账明细接口!$AD1053),"")</f>
      </c>
      <c r="AI1053" s="7">
        <f>IFERROR(IF([1]对账明细接口!$AE1053=0,"",[1]对账明细接口!$AE1053),"")</f>
      </c>
      <c r="AJ1053" s="7">
        <f>IFERROR(IF([1]对账明细接口!$AF1053=0,"",[1]对账明细接口!$AF1053),"")</f>
      </c>
    </row>
    <row r="1054" ht="14.25" customHeight="1" s="127">
      <c r="A1054" s="14" t="n">
        <v>1054</v>
      </c>
      <c r="B1054" s="211">
        <f>IFERROR(IF([1]对账明细接口!$B$1054=0,"",[1]对账明细接口!$B$1054),"")</f>
      </c>
      <c r="C1054" s="16">
        <f>IFERROR(IF([1]对账明细接口!$C$1054=0,"",[1]对账明细接口!$C$1054),"")</f>
      </c>
      <c r="D1054" s="16">
        <f>IFERROR(IF([1]对账明细接口!$D$1054=0,"",[1]对账明细接口!$D$1054),"")</f>
      </c>
      <c r="E1054" s="16">
        <f>IFERROR(IF([1]对账明细接口!$E$1054=0,"",[1]对账明细接口!$E$1054),"")</f>
      </c>
      <c r="F1054" s="16">
        <f>IFERROR(IF([1]对账明细接口!$F$1054=0,"",[1]对账明细接口!$F$1054),"")</f>
      </c>
      <c r="G1054" s="16">
        <f>IFERROR(IF([1]对账明细接口!$G$1054=0,"",[1]对账明细接口!$G$1054),"")</f>
      </c>
      <c r="H1054" s="176">
        <f>IFERROR(IF([1]对账明细接口!$H$1054=0,"",[1]对账明细接口!$H$1054),"")</f>
      </c>
      <c r="I1054" s="16">
        <f>IFERROR(IF([1]对账明细接口!$I$1054=0,"",[1]对账明细接口!$I$1054),"")</f>
      </c>
      <c r="J1054" s="177">
        <f>IFERROR(IF([1]对账明细接口!$J$1054=0,"",[1]对账明细接口!$J$1054),"")</f>
      </c>
      <c r="K1054" s="177">
        <f>IFERROR(IF([1]对账明细接口!$K$1054=0,"",[1]对账明细接口!$K$1054),"")</f>
      </c>
      <c r="L1054" s="16">
        <f>IFERROR(IF([1]对账明细接口!$L$1054=0,"",[1]对账明细接口!$L$1054),"")</f>
      </c>
      <c r="M1054" s="16">
        <f>IFERROR(IF([1]对账明细接口!$M$1054=0,"",[1]对账明细接口!$M$1054),"")</f>
      </c>
      <c r="N1054" s="19">
        <f>IF($C1054="",0,1)</f>
        <v>0</v>
      </c>
      <c r="O1054" s="19">
        <f>N(O1053)+$N1054</f>
        <v>637</v>
      </c>
      <c r="S1054" s="20">
        <f>IFERROR(IF([1]对账明细接口!$N1054=0,"",[1]对账明细接口!$N1054),"")</f>
      </c>
      <c r="T1054" s="212">
        <f>IFERROR(IF([1]对账明细接口!$O1054=0,"",[1]对账明细接口!$O1054),"")</f>
      </c>
      <c r="U1054" s="212">
        <f>IFERROR(IF([1]对账明细接口!$P1054=0,"",[1]对账明细接口!$P1054),"")</f>
      </c>
      <c r="V1054" s="212">
        <f>IFERROR(IF([1]对账明细接口!$Q1054=0,"",[1]对账明细接口!$Q1054),"")</f>
      </c>
      <c r="W1054" s="20">
        <f>IFERROR(IF([1]对账明细接口!$R1054=0,"",[1]对账明细接口!$R1054),"")</f>
      </c>
      <c r="X1054" s="20">
        <f>IFERROR(IF([1]对账明细接口!$S1054=0,"",[1]对账明细接口!$S1054),"")</f>
      </c>
      <c r="Y1054" s="20">
        <f>IFERROR(IF([1]对账明细接口!$T1054=0,"",[1]对账明细接口!$T1054),"")</f>
      </c>
      <c r="Z1054" s="213">
        <f>IFERROR(IF([1]对账明细接口!$U1054=0,"",[1]对账明细接口!$U1054),"")</f>
      </c>
      <c r="AA1054" s="213">
        <f>IFERROR(IF([1]对账明细接口!$V1054=0,"",[1]对账明细接口!$V1054),"")</f>
      </c>
      <c r="AB1054" s="20">
        <f>IFERROR(IF([1]对账明细接口!$W1054=0,"",[1]对账明细接口!$W1054),"")</f>
      </c>
      <c r="AC1054" s="7">
        <f>IFERROR(IF([1]对账明细接口!$X1054=0,"",[1]对账明细接口!$X1054),"")</f>
      </c>
      <c r="AD1054" s="7">
        <f>IFERROR(IF([1]对账明细接口!$Y1054=0,"",[1]对账明细接口!$Y1054),"")</f>
      </c>
      <c r="AE1054" s="7">
        <f>IFERROR(IF([1]对账明细接口!$AA1054=0,"",[1]对账明细接口!$AA1054),"")</f>
      </c>
      <c r="AF1054" s="7">
        <f>IFERROR(IF([1]对账明细接口!$AB1054=0,"",[1]对账明细接口!$AB1054),"")</f>
      </c>
      <c r="AG1054" s="7">
        <f>IFERROR(IF([1]对账明细接口!$AC1054=0,"",[1]对账明细接口!$AC1054),"")</f>
      </c>
      <c r="AH1054" s="7">
        <f>IFERROR(IF([1]对账明细接口!$AD1054=0,"",[1]对账明细接口!$AD1054),"")</f>
      </c>
      <c r="AI1054" s="7">
        <f>IFERROR(IF([1]对账明细接口!$AE1054=0,"",[1]对账明细接口!$AE1054),"")</f>
      </c>
      <c r="AJ1054" s="7">
        <f>IFERROR(IF([1]对账明细接口!$AF1054=0,"",[1]对账明细接口!$AF1054),"")</f>
      </c>
    </row>
    <row r="1055" ht="14.25" customHeight="1" s="127">
      <c r="A1055" s="14" t="n">
        <v>1055</v>
      </c>
      <c r="B1055" s="211">
        <f>IFERROR(IF([1]对账明细接口!$B$1055=0,"",[1]对账明细接口!$B$1055),"")</f>
      </c>
      <c r="C1055" s="16">
        <f>IFERROR(IF([1]对账明细接口!$C$1055=0,"",[1]对账明细接口!$C$1055),"")</f>
      </c>
      <c r="D1055" s="16">
        <f>IFERROR(IF([1]对账明细接口!$D$1055=0,"",[1]对账明细接口!$D$1055),"")</f>
      </c>
      <c r="E1055" s="16">
        <f>IFERROR(IF([1]对账明细接口!$E$1055=0,"",[1]对账明细接口!$E$1055),"")</f>
      </c>
      <c r="F1055" s="16">
        <f>IFERROR(IF([1]对账明细接口!$F$1055=0,"",[1]对账明细接口!$F$1055),"")</f>
      </c>
      <c r="G1055" s="16">
        <f>IFERROR(IF([1]对账明细接口!$G$1055=0,"",[1]对账明细接口!$G$1055),"")</f>
      </c>
      <c r="H1055" s="176">
        <f>IFERROR(IF([1]对账明细接口!$H$1055=0,"",[1]对账明细接口!$H$1055),"")</f>
      </c>
      <c r="I1055" s="16">
        <f>IFERROR(IF([1]对账明细接口!$I$1055=0,"",[1]对账明细接口!$I$1055),"")</f>
      </c>
      <c r="J1055" s="177">
        <f>IFERROR(IF([1]对账明细接口!$J$1055=0,"",[1]对账明细接口!$J$1055),"")</f>
      </c>
      <c r="K1055" s="177">
        <f>IFERROR(IF([1]对账明细接口!$K$1055=0,"",[1]对账明细接口!$K$1055),"")</f>
      </c>
      <c r="L1055" s="16">
        <f>IFERROR(IF([1]对账明细接口!$L$1055=0,"",[1]对账明细接口!$L$1055),"")</f>
      </c>
      <c r="M1055" s="16">
        <f>IFERROR(IF([1]对账明细接口!$M$1055=0,"",[1]对账明细接口!$M$1055),"")</f>
      </c>
      <c r="N1055" s="19">
        <f>IF($C1055="",0,1)</f>
        <v>0</v>
      </c>
      <c r="O1055" s="19">
        <f>N(O1054)+$N1055</f>
        <v>637</v>
      </c>
      <c r="S1055" s="20">
        <f>IFERROR(IF([1]对账明细接口!$N1055=0,"",[1]对账明细接口!$N1055),"")</f>
      </c>
      <c r="T1055" s="212">
        <f>IFERROR(IF([1]对账明细接口!$O1055=0,"",[1]对账明细接口!$O1055),"")</f>
      </c>
      <c r="U1055" s="212">
        <f>IFERROR(IF([1]对账明细接口!$P1055=0,"",[1]对账明细接口!$P1055),"")</f>
      </c>
      <c r="V1055" s="212">
        <f>IFERROR(IF([1]对账明细接口!$Q1055=0,"",[1]对账明细接口!$Q1055),"")</f>
      </c>
      <c r="W1055" s="20">
        <f>IFERROR(IF([1]对账明细接口!$R1055=0,"",[1]对账明细接口!$R1055),"")</f>
      </c>
      <c r="X1055" s="20">
        <f>IFERROR(IF([1]对账明细接口!$S1055=0,"",[1]对账明细接口!$S1055),"")</f>
      </c>
      <c r="Y1055" s="20">
        <f>IFERROR(IF([1]对账明细接口!$T1055=0,"",[1]对账明细接口!$T1055),"")</f>
      </c>
      <c r="Z1055" s="213">
        <f>IFERROR(IF([1]对账明细接口!$U1055=0,"",[1]对账明细接口!$U1055),"")</f>
      </c>
      <c r="AA1055" s="213">
        <f>IFERROR(IF([1]对账明细接口!$V1055=0,"",[1]对账明细接口!$V1055),"")</f>
      </c>
      <c r="AB1055" s="20">
        <f>IFERROR(IF([1]对账明细接口!$W1055=0,"",[1]对账明细接口!$W1055),"")</f>
      </c>
      <c r="AC1055" s="7">
        <f>IFERROR(IF([1]对账明细接口!$X1055=0,"",[1]对账明细接口!$X1055),"")</f>
      </c>
      <c r="AD1055" s="7">
        <f>IFERROR(IF([1]对账明细接口!$Y1055=0,"",[1]对账明细接口!$Y1055),"")</f>
      </c>
      <c r="AE1055" s="7">
        <f>IFERROR(IF([1]对账明细接口!$AA1055=0,"",[1]对账明细接口!$AA1055),"")</f>
      </c>
      <c r="AF1055" s="7">
        <f>IFERROR(IF([1]对账明细接口!$AB1055=0,"",[1]对账明细接口!$AB1055),"")</f>
      </c>
      <c r="AG1055" s="7">
        <f>IFERROR(IF([1]对账明细接口!$AC1055=0,"",[1]对账明细接口!$AC1055),"")</f>
      </c>
      <c r="AH1055" s="7">
        <f>IFERROR(IF([1]对账明细接口!$AD1055=0,"",[1]对账明细接口!$AD1055),"")</f>
      </c>
      <c r="AI1055" s="7">
        <f>IFERROR(IF([1]对账明细接口!$AE1055=0,"",[1]对账明细接口!$AE1055),"")</f>
      </c>
      <c r="AJ1055" s="7">
        <f>IFERROR(IF([1]对账明细接口!$AF1055=0,"",[1]对账明细接口!$AF1055),"")</f>
      </c>
    </row>
    <row r="1056" ht="14.25" customHeight="1" s="127">
      <c r="A1056" s="14" t="n">
        <v>1056</v>
      </c>
      <c r="B1056" s="211">
        <f>IFERROR(IF([1]对账明细接口!$B$1056=0,"",[1]对账明细接口!$B$1056),"")</f>
      </c>
      <c r="C1056" s="16">
        <f>IFERROR(IF([1]对账明细接口!$C$1056=0,"",[1]对账明细接口!$C$1056),"")</f>
      </c>
      <c r="D1056" s="16">
        <f>IFERROR(IF([1]对账明细接口!$D$1056=0,"",[1]对账明细接口!$D$1056),"")</f>
      </c>
      <c r="E1056" s="16">
        <f>IFERROR(IF([1]对账明细接口!$E$1056=0,"",[1]对账明细接口!$E$1056),"")</f>
      </c>
      <c r="F1056" s="16">
        <f>IFERROR(IF([1]对账明细接口!$F$1056=0,"",[1]对账明细接口!$F$1056),"")</f>
      </c>
      <c r="G1056" s="16">
        <f>IFERROR(IF([1]对账明细接口!$G$1056=0,"",[1]对账明细接口!$G$1056),"")</f>
      </c>
      <c r="H1056" s="176">
        <f>IFERROR(IF([1]对账明细接口!$H$1056=0,"",[1]对账明细接口!$H$1056),"")</f>
      </c>
      <c r="I1056" s="16">
        <f>IFERROR(IF([1]对账明细接口!$I$1056=0,"",[1]对账明细接口!$I$1056),"")</f>
      </c>
      <c r="J1056" s="177">
        <f>IFERROR(IF([1]对账明细接口!$J$1056=0,"",[1]对账明细接口!$J$1056),"")</f>
      </c>
      <c r="K1056" s="177">
        <f>IFERROR(IF([1]对账明细接口!$K$1056=0,"",[1]对账明细接口!$K$1056),"")</f>
      </c>
      <c r="L1056" s="16">
        <f>IFERROR(IF([1]对账明细接口!$L$1056=0,"",[1]对账明细接口!$L$1056),"")</f>
      </c>
      <c r="M1056" s="16">
        <f>IFERROR(IF([1]对账明细接口!$M$1056=0,"",[1]对账明细接口!$M$1056),"")</f>
      </c>
      <c r="N1056" s="19">
        <f>IF($C1056="",0,1)</f>
        <v>0</v>
      </c>
      <c r="O1056" s="19">
        <f>N(O1055)+$N1056</f>
        <v>637</v>
      </c>
      <c r="S1056" s="20">
        <f>IFERROR(IF([1]对账明细接口!$N1056=0,"",[1]对账明细接口!$N1056),"")</f>
      </c>
      <c r="T1056" s="212">
        <f>IFERROR(IF([1]对账明细接口!$O1056=0,"",[1]对账明细接口!$O1056),"")</f>
      </c>
      <c r="U1056" s="212">
        <f>IFERROR(IF([1]对账明细接口!$P1056=0,"",[1]对账明细接口!$P1056),"")</f>
      </c>
      <c r="V1056" s="212">
        <f>IFERROR(IF([1]对账明细接口!$Q1056=0,"",[1]对账明细接口!$Q1056),"")</f>
      </c>
      <c r="W1056" s="20">
        <f>IFERROR(IF([1]对账明细接口!$R1056=0,"",[1]对账明细接口!$R1056),"")</f>
      </c>
      <c r="X1056" s="20">
        <f>IFERROR(IF([1]对账明细接口!$S1056=0,"",[1]对账明细接口!$S1056),"")</f>
      </c>
      <c r="Y1056" s="20">
        <f>IFERROR(IF([1]对账明细接口!$T1056=0,"",[1]对账明细接口!$T1056),"")</f>
      </c>
      <c r="Z1056" s="213">
        <f>IFERROR(IF([1]对账明细接口!$U1056=0,"",[1]对账明细接口!$U1056),"")</f>
      </c>
      <c r="AA1056" s="213">
        <f>IFERROR(IF([1]对账明细接口!$V1056=0,"",[1]对账明细接口!$V1056),"")</f>
      </c>
      <c r="AB1056" s="20">
        <f>IFERROR(IF([1]对账明细接口!$W1056=0,"",[1]对账明细接口!$W1056),"")</f>
      </c>
      <c r="AC1056" s="7">
        <f>IFERROR(IF([1]对账明细接口!$X1056=0,"",[1]对账明细接口!$X1056),"")</f>
      </c>
      <c r="AD1056" s="7">
        <f>IFERROR(IF([1]对账明细接口!$Y1056=0,"",[1]对账明细接口!$Y1056),"")</f>
      </c>
      <c r="AE1056" s="7">
        <f>IFERROR(IF([1]对账明细接口!$AA1056=0,"",[1]对账明细接口!$AA1056),"")</f>
      </c>
      <c r="AF1056" s="7">
        <f>IFERROR(IF([1]对账明细接口!$AB1056=0,"",[1]对账明细接口!$AB1056),"")</f>
      </c>
      <c r="AG1056" s="7">
        <f>IFERROR(IF([1]对账明细接口!$AC1056=0,"",[1]对账明细接口!$AC1056),"")</f>
      </c>
      <c r="AH1056" s="7">
        <f>IFERROR(IF([1]对账明细接口!$AD1056=0,"",[1]对账明细接口!$AD1056),"")</f>
      </c>
      <c r="AI1056" s="7">
        <f>IFERROR(IF([1]对账明细接口!$AE1056=0,"",[1]对账明细接口!$AE1056),"")</f>
      </c>
      <c r="AJ1056" s="7">
        <f>IFERROR(IF([1]对账明细接口!$AF1056=0,"",[1]对账明细接口!$AF1056),"")</f>
      </c>
    </row>
    <row r="1057" ht="14.25" customHeight="1" s="127">
      <c r="A1057" s="14" t="n">
        <v>1057</v>
      </c>
      <c r="B1057" s="211">
        <f>IFERROR(IF([1]对账明细接口!$B$1057=0,"",[1]对账明细接口!$B$1057),"")</f>
      </c>
      <c r="C1057" s="16">
        <f>IFERROR(IF([1]对账明细接口!$C$1057=0,"",[1]对账明细接口!$C$1057),"")</f>
      </c>
      <c r="D1057" s="16">
        <f>IFERROR(IF([1]对账明细接口!$D$1057=0,"",[1]对账明细接口!$D$1057),"")</f>
      </c>
      <c r="E1057" s="16">
        <f>IFERROR(IF([1]对账明细接口!$E$1057=0,"",[1]对账明细接口!$E$1057),"")</f>
      </c>
      <c r="F1057" s="16">
        <f>IFERROR(IF([1]对账明细接口!$F$1057=0,"",[1]对账明细接口!$F$1057),"")</f>
      </c>
      <c r="G1057" s="16">
        <f>IFERROR(IF([1]对账明细接口!$G$1057=0,"",[1]对账明细接口!$G$1057),"")</f>
      </c>
      <c r="H1057" s="176">
        <f>IFERROR(IF([1]对账明细接口!$H$1057=0,"",[1]对账明细接口!$H$1057),"")</f>
      </c>
      <c r="I1057" s="16">
        <f>IFERROR(IF([1]对账明细接口!$I$1057=0,"",[1]对账明细接口!$I$1057),"")</f>
      </c>
      <c r="J1057" s="177">
        <f>IFERROR(IF([1]对账明细接口!$J$1057=0,"",[1]对账明细接口!$J$1057),"")</f>
      </c>
      <c r="K1057" s="177">
        <f>IFERROR(IF([1]对账明细接口!$K$1057=0,"",[1]对账明细接口!$K$1057),"")</f>
      </c>
      <c r="L1057" s="16">
        <f>IFERROR(IF([1]对账明细接口!$L$1057=0,"",[1]对账明细接口!$L$1057),"")</f>
      </c>
      <c r="M1057" s="16">
        <f>IFERROR(IF([1]对账明细接口!$M$1057=0,"",[1]对账明细接口!$M$1057),"")</f>
      </c>
      <c r="N1057" s="19">
        <f>IF($C1057="",0,1)</f>
        <v>0</v>
      </c>
      <c r="O1057" s="19">
        <f>N(O1056)+$N1057</f>
        <v>637</v>
      </c>
      <c r="S1057" s="20">
        <f>IFERROR(IF([1]对账明细接口!$N1057=0,"",[1]对账明细接口!$N1057),"")</f>
      </c>
      <c r="T1057" s="212">
        <f>IFERROR(IF([1]对账明细接口!$O1057=0,"",[1]对账明细接口!$O1057),"")</f>
      </c>
      <c r="U1057" s="212">
        <f>IFERROR(IF([1]对账明细接口!$P1057=0,"",[1]对账明细接口!$P1057),"")</f>
      </c>
      <c r="V1057" s="212">
        <f>IFERROR(IF([1]对账明细接口!$Q1057=0,"",[1]对账明细接口!$Q1057),"")</f>
      </c>
      <c r="W1057" s="20">
        <f>IFERROR(IF([1]对账明细接口!$R1057=0,"",[1]对账明细接口!$R1057),"")</f>
      </c>
      <c r="X1057" s="20">
        <f>IFERROR(IF([1]对账明细接口!$S1057=0,"",[1]对账明细接口!$S1057),"")</f>
      </c>
      <c r="Y1057" s="20">
        <f>IFERROR(IF([1]对账明细接口!$T1057=0,"",[1]对账明细接口!$T1057),"")</f>
      </c>
      <c r="Z1057" s="213">
        <f>IFERROR(IF([1]对账明细接口!$U1057=0,"",[1]对账明细接口!$U1057),"")</f>
      </c>
      <c r="AA1057" s="213">
        <f>IFERROR(IF([1]对账明细接口!$V1057=0,"",[1]对账明细接口!$V1057),"")</f>
      </c>
      <c r="AB1057" s="20">
        <f>IFERROR(IF([1]对账明细接口!$W1057=0,"",[1]对账明细接口!$W1057),"")</f>
      </c>
      <c r="AC1057" s="7">
        <f>IFERROR(IF([1]对账明细接口!$X1057=0,"",[1]对账明细接口!$X1057),"")</f>
      </c>
      <c r="AD1057" s="7">
        <f>IFERROR(IF([1]对账明细接口!$Y1057=0,"",[1]对账明细接口!$Y1057),"")</f>
      </c>
      <c r="AE1057" s="7">
        <f>IFERROR(IF([1]对账明细接口!$AA1057=0,"",[1]对账明细接口!$AA1057),"")</f>
      </c>
      <c r="AF1057" s="7">
        <f>IFERROR(IF([1]对账明细接口!$AB1057=0,"",[1]对账明细接口!$AB1057),"")</f>
      </c>
      <c r="AG1057" s="7">
        <f>IFERROR(IF([1]对账明细接口!$AC1057=0,"",[1]对账明细接口!$AC1057),"")</f>
      </c>
      <c r="AH1057" s="7">
        <f>IFERROR(IF([1]对账明细接口!$AD1057=0,"",[1]对账明细接口!$AD1057),"")</f>
      </c>
      <c r="AI1057" s="7">
        <f>IFERROR(IF([1]对账明细接口!$AE1057=0,"",[1]对账明细接口!$AE1057),"")</f>
      </c>
      <c r="AJ1057" s="7">
        <f>IFERROR(IF([1]对账明细接口!$AF1057=0,"",[1]对账明细接口!$AF1057),"")</f>
      </c>
    </row>
    <row r="1058" ht="14.25" customHeight="1" s="127">
      <c r="A1058" s="14" t="n">
        <v>1058</v>
      </c>
      <c r="B1058" s="211">
        <f>IFERROR(IF([1]对账明细接口!$B$1058=0,"",[1]对账明细接口!$B$1058),"")</f>
      </c>
      <c r="C1058" s="16">
        <f>IFERROR(IF([1]对账明细接口!$C$1058=0,"",[1]对账明细接口!$C$1058),"")</f>
      </c>
      <c r="D1058" s="16">
        <f>IFERROR(IF([1]对账明细接口!$D$1058=0,"",[1]对账明细接口!$D$1058),"")</f>
      </c>
      <c r="E1058" s="16">
        <f>IFERROR(IF([1]对账明细接口!$E$1058=0,"",[1]对账明细接口!$E$1058),"")</f>
      </c>
      <c r="F1058" s="16">
        <f>IFERROR(IF([1]对账明细接口!$F$1058=0,"",[1]对账明细接口!$F$1058),"")</f>
      </c>
      <c r="G1058" s="16">
        <f>IFERROR(IF([1]对账明细接口!$G$1058=0,"",[1]对账明细接口!$G$1058),"")</f>
      </c>
      <c r="H1058" s="176">
        <f>IFERROR(IF([1]对账明细接口!$H$1058=0,"",[1]对账明细接口!$H$1058),"")</f>
      </c>
      <c r="I1058" s="16">
        <f>IFERROR(IF([1]对账明细接口!$I$1058=0,"",[1]对账明细接口!$I$1058),"")</f>
      </c>
      <c r="J1058" s="177">
        <f>IFERROR(IF([1]对账明细接口!$J$1058=0,"",[1]对账明细接口!$J$1058),"")</f>
      </c>
      <c r="K1058" s="177">
        <f>IFERROR(IF([1]对账明细接口!$K$1058=0,"",[1]对账明细接口!$K$1058),"")</f>
      </c>
      <c r="L1058" s="16">
        <f>IFERROR(IF([1]对账明细接口!$L$1058=0,"",[1]对账明细接口!$L$1058),"")</f>
      </c>
      <c r="M1058" s="16">
        <f>IFERROR(IF([1]对账明细接口!$M$1058=0,"",[1]对账明细接口!$M$1058),"")</f>
      </c>
      <c r="N1058" s="19">
        <f>IF($C1058="",0,1)</f>
        <v>0</v>
      </c>
      <c r="O1058" s="19">
        <f>N(O1057)+$N1058</f>
        <v>637</v>
      </c>
      <c r="S1058" s="20">
        <f>IFERROR(IF([1]对账明细接口!$N1058=0,"",[1]对账明细接口!$N1058),"")</f>
      </c>
      <c r="T1058" s="212">
        <f>IFERROR(IF([1]对账明细接口!$O1058=0,"",[1]对账明细接口!$O1058),"")</f>
      </c>
      <c r="U1058" s="212">
        <f>IFERROR(IF([1]对账明细接口!$P1058=0,"",[1]对账明细接口!$P1058),"")</f>
      </c>
      <c r="V1058" s="212">
        <f>IFERROR(IF([1]对账明细接口!$Q1058=0,"",[1]对账明细接口!$Q1058),"")</f>
      </c>
      <c r="W1058" s="20">
        <f>IFERROR(IF([1]对账明细接口!$R1058=0,"",[1]对账明细接口!$R1058),"")</f>
      </c>
      <c r="X1058" s="20">
        <f>IFERROR(IF([1]对账明细接口!$S1058=0,"",[1]对账明细接口!$S1058),"")</f>
      </c>
      <c r="Y1058" s="20">
        <f>IFERROR(IF([1]对账明细接口!$T1058=0,"",[1]对账明细接口!$T1058),"")</f>
      </c>
      <c r="Z1058" s="213">
        <f>IFERROR(IF([1]对账明细接口!$U1058=0,"",[1]对账明细接口!$U1058),"")</f>
      </c>
      <c r="AA1058" s="213">
        <f>IFERROR(IF([1]对账明细接口!$V1058=0,"",[1]对账明细接口!$V1058),"")</f>
      </c>
      <c r="AB1058" s="20">
        <f>IFERROR(IF([1]对账明细接口!$W1058=0,"",[1]对账明细接口!$W1058),"")</f>
      </c>
      <c r="AC1058" s="7">
        <f>IFERROR(IF([1]对账明细接口!$X1058=0,"",[1]对账明细接口!$X1058),"")</f>
      </c>
      <c r="AD1058" s="7">
        <f>IFERROR(IF([1]对账明细接口!$Y1058=0,"",[1]对账明细接口!$Y1058),"")</f>
      </c>
      <c r="AE1058" s="7">
        <f>IFERROR(IF([1]对账明细接口!$AA1058=0,"",[1]对账明细接口!$AA1058),"")</f>
      </c>
      <c r="AF1058" s="7">
        <f>IFERROR(IF([1]对账明细接口!$AB1058=0,"",[1]对账明细接口!$AB1058),"")</f>
      </c>
      <c r="AG1058" s="7">
        <f>IFERROR(IF([1]对账明细接口!$AC1058=0,"",[1]对账明细接口!$AC1058),"")</f>
      </c>
      <c r="AH1058" s="7">
        <f>IFERROR(IF([1]对账明细接口!$AD1058=0,"",[1]对账明细接口!$AD1058),"")</f>
      </c>
      <c r="AI1058" s="7">
        <f>IFERROR(IF([1]对账明细接口!$AE1058=0,"",[1]对账明细接口!$AE1058),"")</f>
      </c>
      <c r="AJ1058" s="7">
        <f>IFERROR(IF([1]对账明细接口!$AF1058=0,"",[1]对账明细接口!$AF1058),"")</f>
      </c>
    </row>
    <row r="1059" ht="14.25" customHeight="1" s="127">
      <c r="A1059" s="14" t="n">
        <v>1059</v>
      </c>
      <c r="B1059" s="211">
        <f>IFERROR(IF([1]对账明细接口!$B$1059=0,"",[1]对账明细接口!$B$1059),"")</f>
      </c>
      <c r="C1059" s="16">
        <f>IFERROR(IF([1]对账明细接口!$C$1059=0,"",[1]对账明细接口!$C$1059),"")</f>
      </c>
      <c r="D1059" s="16">
        <f>IFERROR(IF([1]对账明细接口!$D$1059=0,"",[1]对账明细接口!$D$1059),"")</f>
      </c>
      <c r="E1059" s="16">
        <f>IFERROR(IF([1]对账明细接口!$E$1059=0,"",[1]对账明细接口!$E$1059),"")</f>
      </c>
      <c r="F1059" s="16">
        <f>IFERROR(IF([1]对账明细接口!$F$1059=0,"",[1]对账明细接口!$F$1059),"")</f>
      </c>
      <c r="G1059" s="16">
        <f>IFERROR(IF([1]对账明细接口!$G$1059=0,"",[1]对账明细接口!$G$1059),"")</f>
      </c>
      <c r="H1059" s="176">
        <f>IFERROR(IF([1]对账明细接口!$H$1059=0,"",[1]对账明细接口!$H$1059),"")</f>
      </c>
      <c r="I1059" s="16">
        <f>IFERROR(IF([1]对账明细接口!$I$1059=0,"",[1]对账明细接口!$I$1059),"")</f>
      </c>
      <c r="J1059" s="177">
        <f>IFERROR(IF([1]对账明细接口!$J$1059=0,"",[1]对账明细接口!$J$1059),"")</f>
      </c>
      <c r="K1059" s="177">
        <f>IFERROR(IF([1]对账明细接口!$K$1059=0,"",[1]对账明细接口!$K$1059),"")</f>
      </c>
      <c r="L1059" s="16">
        <f>IFERROR(IF([1]对账明细接口!$L$1059=0,"",[1]对账明细接口!$L$1059),"")</f>
      </c>
      <c r="M1059" s="16">
        <f>IFERROR(IF([1]对账明细接口!$M$1059=0,"",[1]对账明细接口!$M$1059),"")</f>
      </c>
      <c r="N1059" s="19">
        <f>IF($C1059="",0,1)</f>
        <v>0</v>
      </c>
      <c r="O1059" s="19">
        <f>N(O1058)+$N1059</f>
        <v>637</v>
      </c>
      <c r="S1059" s="20">
        <f>IFERROR(IF([1]对账明细接口!$N1059=0,"",[1]对账明细接口!$N1059),"")</f>
      </c>
      <c r="T1059" s="212">
        <f>IFERROR(IF([1]对账明细接口!$O1059=0,"",[1]对账明细接口!$O1059),"")</f>
      </c>
      <c r="U1059" s="212">
        <f>IFERROR(IF([1]对账明细接口!$P1059=0,"",[1]对账明细接口!$P1059),"")</f>
      </c>
      <c r="V1059" s="212">
        <f>IFERROR(IF([1]对账明细接口!$Q1059=0,"",[1]对账明细接口!$Q1059),"")</f>
      </c>
      <c r="W1059" s="20">
        <f>IFERROR(IF([1]对账明细接口!$R1059=0,"",[1]对账明细接口!$R1059),"")</f>
      </c>
      <c r="X1059" s="20">
        <f>IFERROR(IF([1]对账明细接口!$S1059=0,"",[1]对账明细接口!$S1059),"")</f>
      </c>
      <c r="Y1059" s="20">
        <f>IFERROR(IF([1]对账明细接口!$T1059=0,"",[1]对账明细接口!$T1059),"")</f>
      </c>
      <c r="Z1059" s="213">
        <f>IFERROR(IF([1]对账明细接口!$U1059=0,"",[1]对账明细接口!$U1059),"")</f>
      </c>
      <c r="AA1059" s="213">
        <f>IFERROR(IF([1]对账明细接口!$V1059=0,"",[1]对账明细接口!$V1059),"")</f>
      </c>
      <c r="AB1059" s="20">
        <f>IFERROR(IF([1]对账明细接口!$W1059=0,"",[1]对账明细接口!$W1059),"")</f>
      </c>
      <c r="AC1059" s="7">
        <f>IFERROR(IF([1]对账明细接口!$X1059=0,"",[1]对账明细接口!$X1059),"")</f>
      </c>
      <c r="AD1059" s="7">
        <f>IFERROR(IF([1]对账明细接口!$Y1059=0,"",[1]对账明细接口!$Y1059),"")</f>
      </c>
      <c r="AE1059" s="7">
        <f>IFERROR(IF([1]对账明细接口!$AA1059=0,"",[1]对账明细接口!$AA1059),"")</f>
      </c>
      <c r="AF1059" s="7">
        <f>IFERROR(IF([1]对账明细接口!$AB1059=0,"",[1]对账明细接口!$AB1059),"")</f>
      </c>
      <c r="AG1059" s="7">
        <f>IFERROR(IF([1]对账明细接口!$AC1059=0,"",[1]对账明细接口!$AC1059),"")</f>
      </c>
      <c r="AH1059" s="7">
        <f>IFERROR(IF([1]对账明细接口!$AD1059=0,"",[1]对账明细接口!$AD1059),"")</f>
      </c>
      <c r="AI1059" s="7">
        <f>IFERROR(IF([1]对账明细接口!$AE1059=0,"",[1]对账明细接口!$AE1059),"")</f>
      </c>
      <c r="AJ1059" s="7">
        <f>IFERROR(IF([1]对账明细接口!$AF1059=0,"",[1]对账明细接口!$AF1059),"")</f>
      </c>
    </row>
    <row r="1060" ht="14.25" customHeight="1" s="127">
      <c r="A1060" s="14" t="n">
        <v>1060</v>
      </c>
      <c r="B1060" s="211">
        <f>IFERROR(IF([1]对账明细接口!$B$1060=0,"",[1]对账明细接口!$B$1060),"")</f>
      </c>
      <c r="C1060" s="16">
        <f>IFERROR(IF([1]对账明细接口!$C$1060=0,"",[1]对账明细接口!$C$1060),"")</f>
      </c>
      <c r="D1060" s="16">
        <f>IFERROR(IF([1]对账明细接口!$D$1060=0,"",[1]对账明细接口!$D$1060),"")</f>
      </c>
      <c r="E1060" s="16">
        <f>IFERROR(IF([1]对账明细接口!$E$1060=0,"",[1]对账明细接口!$E$1060),"")</f>
      </c>
      <c r="F1060" s="16">
        <f>IFERROR(IF([1]对账明细接口!$F$1060=0,"",[1]对账明细接口!$F$1060),"")</f>
      </c>
      <c r="G1060" s="16">
        <f>IFERROR(IF([1]对账明细接口!$G$1060=0,"",[1]对账明细接口!$G$1060),"")</f>
      </c>
      <c r="H1060" s="176">
        <f>IFERROR(IF([1]对账明细接口!$H$1060=0,"",[1]对账明细接口!$H$1060),"")</f>
      </c>
      <c r="I1060" s="16">
        <f>IFERROR(IF([1]对账明细接口!$I$1060=0,"",[1]对账明细接口!$I$1060),"")</f>
      </c>
      <c r="J1060" s="177">
        <f>IFERROR(IF([1]对账明细接口!$J$1060=0,"",[1]对账明细接口!$J$1060),"")</f>
      </c>
      <c r="K1060" s="177">
        <f>IFERROR(IF([1]对账明细接口!$K$1060=0,"",[1]对账明细接口!$K$1060),"")</f>
      </c>
      <c r="L1060" s="16">
        <f>IFERROR(IF([1]对账明细接口!$L$1060=0,"",[1]对账明细接口!$L$1060),"")</f>
      </c>
      <c r="M1060" s="16">
        <f>IFERROR(IF([1]对账明细接口!$M$1060=0,"",[1]对账明细接口!$M$1060),"")</f>
      </c>
      <c r="N1060" s="19">
        <f>IF($C1060="",0,1)</f>
        <v>0</v>
      </c>
      <c r="O1060" s="19">
        <f>N(O1059)+$N1060</f>
        <v>637</v>
      </c>
      <c r="S1060" s="20">
        <f>IFERROR(IF([1]对账明细接口!$N1060=0,"",[1]对账明细接口!$N1060),"")</f>
      </c>
      <c r="T1060" s="212">
        <f>IFERROR(IF([1]对账明细接口!$O1060=0,"",[1]对账明细接口!$O1060),"")</f>
      </c>
      <c r="U1060" s="212">
        <f>IFERROR(IF([1]对账明细接口!$P1060=0,"",[1]对账明细接口!$P1060),"")</f>
      </c>
      <c r="V1060" s="212">
        <f>IFERROR(IF([1]对账明细接口!$Q1060=0,"",[1]对账明细接口!$Q1060),"")</f>
      </c>
      <c r="W1060" s="20">
        <f>IFERROR(IF([1]对账明细接口!$R1060=0,"",[1]对账明细接口!$R1060),"")</f>
      </c>
      <c r="X1060" s="20">
        <f>IFERROR(IF([1]对账明细接口!$S1060=0,"",[1]对账明细接口!$S1060),"")</f>
      </c>
      <c r="Y1060" s="20">
        <f>IFERROR(IF([1]对账明细接口!$T1060=0,"",[1]对账明细接口!$T1060),"")</f>
      </c>
      <c r="Z1060" s="213">
        <f>IFERROR(IF([1]对账明细接口!$U1060=0,"",[1]对账明细接口!$U1060),"")</f>
      </c>
      <c r="AA1060" s="213">
        <f>IFERROR(IF([1]对账明细接口!$V1060=0,"",[1]对账明细接口!$V1060),"")</f>
      </c>
      <c r="AB1060" s="20">
        <f>IFERROR(IF([1]对账明细接口!$W1060=0,"",[1]对账明细接口!$W1060),"")</f>
      </c>
      <c r="AC1060" s="7">
        <f>IFERROR(IF([1]对账明细接口!$X1060=0,"",[1]对账明细接口!$X1060),"")</f>
      </c>
      <c r="AD1060" s="7">
        <f>IFERROR(IF([1]对账明细接口!$Y1060=0,"",[1]对账明细接口!$Y1060),"")</f>
      </c>
      <c r="AE1060" s="7">
        <f>IFERROR(IF([1]对账明细接口!$AA1060=0,"",[1]对账明细接口!$AA1060),"")</f>
      </c>
      <c r="AF1060" s="7">
        <f>IFERROR(IF([1]对账明细接口!$AB1060=0,"",[1]对账明细接口!$AB1060),"")</f>
      </c>
      <c r="AG1060" s="7">
        <f>IFERROR(IF([1]对账明细接口!$AC1060=0,"",[1]对账明细接口!$AC1060),"")</f>
      </c>
      <c r="AH1060" s="7">
        <f>IFERROR(IF([1]对账明细接口!$AD1060=0,"",[1]对账明细接口!$AD1060),"")</f>
      </c>
      <c r="AI1060" s="7">
        <f>IFERROR(IF([1]对账明细接口!$AE1060=0,"",[1]对账明细接口!$AE1060),"")</f>
      </c>
      <c r="AJ1060" s="7">
        <f>IFERROR(IF([1]对账明细接口!$AF1060=0,"",[1]对账明细接口!$AF1060),"")</f>
      </c>
    </row>
    <row r="1061" ht="14.25" customHeight="1" s="127">
      <c r="A1061" s="14" t="n">
        <v>1061</v>
      </c>
      <c r="B1061" s="211">
        <f>IFERROR(IF([1]对账明细接口!$B$1061=0,"",[1]对账明细接口!$B$1061),"")</f>
      </c>
      <c r="C1061" s="16">
        <f>IFERROR(IF([1]对账明细接口!$C$1061=0,"",[1]对账明细接口!$C$1061),"")</f>
      </c>
      <c r="D1061" s="16">
        <f>IFERROR(IF([1]对账明细接口!$D$1061=0,"",[1]对账明细接口!$D$1061),"")</f>
      </c>
      <c r="E1061" s="16">
        <f>IFERROR(IF([1]对账明细接口!$E$1061=0,"",[1]对账明细接口!$E$1061),"")</f>
      </c>
      <c r="F1061" s="16">
        <f>IFERROR(IF([1]对账明细接口!$F$1061=0,"",[1]对账明细接口!$F$1061),"")</f>
      </c>
      <c r="G1061" s="16">
        <f>IFERROR(IF([1]对账明细接口!$G$1061=0,"",[1]对账明细接口!$G$1061),"")</f>
      </c>
      <c r="H1061" s="176">
        <f>IFERROR(IF([1]对账明细接口!$H$1061=0,"",[1]对账明细接口!$H$1061),"")</f>
      </c>
      <c r="I1061" s="16">
        <f>IFERROR(IF([1]对账明细接口!$I$1061=0,"",[1]对账明细接口!$I$1061),"")</f>
      </c>
      <c r="J1061" s="177">
        <f>IFERROR(IF([1]对账明细接口!$J$1061=0,"",[1]对账明细接口!$J$1061),"")</f>
      </c>
      <c r="K1061" s="177">
        <f>IFERROR(IF([1]对账明细接口!$K$1061=0,"",[1]对账明细接口!$K$1061),"")</f>
      </c>
      <c r="L1061" s="16">
        <f>IFERROR(IF([1]对账明细接口!$L$1061=0,"",[1]对账明细接口!$L$1061),"")</f>
      </c>
      <c r="M1061" s="16">
        <f>IFERROR(IF([1]对账明细接口!$M$1061=0,"",[1]对账明细接口!$M$1061),"")</f>
      </c>
      <c r="N1061" s="19">
        <f>IF($C1061="",0,1)</f>
        <v>0</v>
      </c>
      <c r="O1061" s="19">
        <f>N(O1060)+$N1061</f>
        <v>637</v>
      </c>
      <c r="S1061" s="20">
        <f>IFERROR(IF([1]对账明细接口!$N1061=0,"",[1]对账明细接口!$N1061),"")</f>
      </c>
      <c r="T1061" s="212">
        <f>IFERROR(IF([1]对账明细接口!$O1061=0,"",[1]对账明细接口!$O1061),"")</f>
      </c>
      <c r="U1061" s="212">
        <f>IFERROR(IF([1]对账明细接口!$P1061=0,"",[1]对账明细接口!$P1061),"")</f>
      </c>
      <c r="V1061" s="212">
        <f>IFERROR(IF([1]对账明细接口!$Q1061=0,"",[1]对账明细接口!$Q1061),"")</f>
      </c>
      <c r="W1061" s="20">
        <f>IFERROR(IF([1]对账明细接口!$R1061=0,"",[1]对账明细接口!$R1061),"")</f>
      </c>
      <c r="X1061" s="20">
        <f>IFERROR(IF([1]对账明细接口!$S1061=0,"",[1]对账明细接口!$S1061),"")</f>
      </c>
      <c r="Y1061" s="20">
        <f>IFERROR(IF([1]对账明细接口!$T1061=0,"",[1]对账明细接口!$T1061),"")</f>
      </c>
      <c r="Z1061" s="213">
        <f>IFERROR(IF([1]对账明细接口!$U1061=0,"",[1]对账明细接口!$U1061),"")</f>
      </c>
      <c r="AA1061" s="213">
        <f>IFERROR(IF([1]对账明细接口!$V1061=0,"",[1]对账明细接口!$V1061),"")</f>
      </c>
      <c r="AB1061" s="20">
        <f>IFERROR(IF([1]对账明细接口!$W1061=0,"",[1]对账明细接口!$W1061),"")</f>
      </c>
      <c r="AC1061" s="7">
        <f>IFERROR(IF([1]对账明细接口!$X1061=0,"",[1]对账明细接口!$X1061),"")</f>
      </c>
      <c r="AD1061" s="7">
        <f>IFERROR(IF([1]对账明细接口!$Y1061=0,"",[1]对账明细接口!$Y1061),"")</f>
      </c>
      <c r="AE1061" s="7">
        <f>IFERROR(IF([1]对账明细接口!$AA1061=0,"",[1]对账明细接口!$AA1061),"")</f>
      </c>
      <c r="AF1061" s="7">
        <f>IFERROR(IF([1]对账明细接口!$AB1061=0,"",[1]对账明细接口!$AB1061),"")</f>
      </c>
      <c r="AG1061" s="7">
        <f>IFERROR(IF([1]对账明细接口!$AC1061=0,"",[1]对账明细接口!$AC1061),"")</f>
      </c>
      <c r="AH1061" s="7">
        <f>IFERROR(IF([1]对账明细接口!$AD1061=0,"",[1]对账明细接口!$AD1061),"")</f>
      </c>
      <c r="AI1061" s="7">
        <f>IFERROR(IF([1]对账明细接口!$AE1061=0,"",[1]对账明细接口!$AE1061),"")</f>
      </c>
      <c r="AJ1061" s="7">
        <f>IFERROR(IF([1]对账明细接口!$AF1061=0,"",[1]对账明细接口!$AF1061),"")</f>
      </c>
    </row>
    <row r="1062" ht="14.25" customHeight="1" s="127">
      <c r="A1062" s="14" t="n">
        <v>1062</v>
      </c>
      <c r="B1062" s="211">
        <f>IFERROR(IF([1]对账明细接口!$B$1062=0,"",[1]对账明细接口!$B$1062),"")</f>
      </c>
      <c r="C1062" s="16">
        <f>IFERROR(IF([1]对账明细接口!$C$1062=0,"",[1]对账明细接口!$C$1062),"")</f>
      </c>
      <c r="D1062" s="16">
        <f>IFERROR(IF([1]对账明细接口!$D$1062=0,"",[1]对账明细接口!$D$1062),"")</f>
      </c>
      <c r="E1062" s="16">
        <f>IFERROR(IF([1]对账明细接口!$E$1062=0,"",[1]对账明细接口!$E$1062),"")</f>
      </c>
      <c r="F1062" s="16">
        <f>IFERROR(IF([1]对账明细接口!$F$1062=0,"",[1]对账明细接口!$F$1062),"")</f>
      </c>
      <c r="G1062" s="16">
        <f>IFERROR(IF([1]对账明细接口!$G$1062=0,"",[1]对账明细接口!$G$1062),"")</f>
      </c>
      <c r="H1062" s="176">
        <f>IFERROR(IF([1]对账明细接口!$H$1062=0,"",[1]对账明细接口!$H$1062),"")</f>
      </c>
      <c r="I1062" s="16">
        <f>IFERROR(IF([1]对账明细接口!$I$1062=0,"",[1]对账明细接口!$I$1062),"")</f>
      </c>
      <c r="J1062" s="177">
        <f>IFERROR(IF([1]对账明细接口!$J$1062=0,"",[1]对账明细接口!$J$1062),"")</f>
      </c>
      <c r="K1062" s="177">
        <f>IFERROR(IF([1]对账明细接口!$K$1062=0,"",[1]对账明细接口!$K$1062),"")</f>
      </c>
      <c r="L1062" s="16">
        <f>IFERROR(IF([1]对账明细接口!$L$1062=0,"",[1]对账明细接口!$L$1062),"")</f>
      </c>
      <c r="M1062" s="16">
        <f>IFERROR(IF([1]对账明细接口!$M$1062=0,"",[1]对账明细接口!$M$1062),"")</f>
      </c>
      <c r="N1062" s="19">
        <f>IF($C1062="",0,1)</f>
        <v>0</v>
      </c>
      <c r="O1062" s="19">
        <f>N(O1061)+$N1062</f>
        <v>637</v>
      </c>
      <c r="S1062" s="20">
        <f>IFERROR(IF([1]对账明细接口!$N1062=0,"",[1]对账明细接口!$N1062),"")</f>
      </c>
      <c r="T1062" s="212">
        <f>IFERROR(IF([1]对账明细接口!$O1062=0,"",[1]对账明细接口!$O1062),"")</f>
      </c>
      <c r="U1062" s="212">
        <f>IFERROR(IF([1]对账明细接口!$P1062=0,"",[1]对账明细接口!$P1062),"")</f>
      </c>
      <c r="V1062" s="212">
        <f>IFERROR(IF([1]对账明细接口!$Q1062=0,"",[1]对账明细接口!$Q1062),"")</f>
      </c>
      <c r="W1062" s="20">
        <f>IFERROR(IF([1]对账明细接口!$R1062=0,"",[1]对账明细接口!$R1062),"")</f>
      </c>
      <c r="X1062" s="20">
        <f>IFERROR(IF([1]对账明细接口!$S1062=0,"",[1]对账明细接口!$S1062),"")</f>
      </c>
      <c r="Y1062" s="20">
        <f>IFERROR(IF([1]对账明细接口!$T1062=0,"",[1]对账明细接口!$T1062),"")</f>
      </c>
      <c r="Z1062" s="213">
        <f>IFERROR(IF([1]对账明细接口!$U1062=0,"",[1]对账明细接口!$U1062),"")</f>
      </c>
      <c r="AA1062" s="213">
        <f>IFERROR(IF([1]对账明细接口!$V1062=0,"",[1]对账明细接口!$V1062),"")</f>
      </c>
      <c r="AB1062" s="20">
        <f>IFERROR(IF([1]对账明细接口!$W1062=0,"",[1]对账明细接口!$W1062),"")</f>
      </c>
      <c r="AC1062" s="7">
        <f>IFERROR(IF([1]对账明细接口!$X1062=0,"",[1]对账明细接口!$X1062),"")</f>
      </c>
      <c r="AD1062" s="7">
        <f>IFERROR(IF([1]对账明细接口!$Y1062=0,"",[1]对账明细接口!$Y1062),"")</f>
      </c>
      <c r="AE1062" s="7">
        <f>IFERROR(IF([1]对账明细接口!$AA1062=0,"",[1]对账明细接口!$AA1062),"")</f>
      </c>
      <c r="AF1062" s="7">
        <f>IFERROR(IF([1]对账明细接口!$AB1062=0,"",[1]对账明细接口!$AB1062),"")</f>
      </c>
      <c r="AG1062" s="7">
        <f>IFERROR(IF([1]对账明细接口!$AC1062=0,"",[1]对账明细接口!$AC1062),"")</f>
      </c>
      <c r="AH1062" s="7">
        <f>IFERROR(IF([1]对账明细接口!$AD1062=0,"",[1]对账明细接口!$AD1062),"")</f>
      </c>
      <c r="AI1062" s="7">
        <f>IFERROR(IF([1]对账明细接口!$AE1062=0,"",[1]对账明细接口!$AE1062),"")</f>
      </c>
      <c r="AJ1062" s="7">
        <f>IFERROR(IF([1]对账明细接口!$AF1062=0,"",[1]对账明细接口!$AF1062),"")</f>
      </c>
    </row>
    <row r="1063" ht="14.25" customHeight="1" s="127">
      <c r="A1063" s="14" t="n">
        <v>1063</v>
      </c>
      <c r="B1063" s="211">
        <f>IFERROR(IF([1]对账明细接口!$B$1063=0,"",[1]对账明细接口!$B$1063),"")</f>
      </c>
      <c r="C1063" s="16">
        <f>IFERROR(IF([1]对账明细接口!$C$1063=0,"",[1]对账明细接口!$C$1063),"")</f>
      </c>
      <c r="D1063" s="16">
        <f>IFERROR(IF([1]对账明细接口!$D$1063=0,"",[1]对账明细接口!$D$1063),"")</f>
      </c>
      <c r="E1063" s="16">
        <f>IFERROR(IF([1]对账明细接口!$E$1063=0,"",[1]对账明细接口!$E$1063),"")</f>
      </c>
      <c r="F1063" s="16">
        <f>IFERROR(IF([1]对账明细接口!$F$1063=0,"",[1]对账明细接口!$F$1063),"")</f>
      </c>
      <c r="G1063" s="16">
        <f>IFERROR(IF([1]对账明细接口!$G$1063=0,"",[1]对账明细接口!$G$1063),"")</f>
      </c>
      <c r="H1063" s="176">
        <f>IFERROR(IF([1]对账明细接口!$H$1063=0,"",[1]对账明细接口!$H$1063),"")</f>
      </c>
      <c r="I1063" s="16">
        <f>IFERROR(IF([1]对账明细接口!$I$1063=0,"",[1]对账明细接口!$I$1063),"")</f>
      </c>
      <c r="J1063" s="177">
        <f>IFERROR(IF([1]对账明细接口!$J$1063=0,"",[1]对账明细接口!$J$1063),"")</f>
      </c>
      <c r="K1063" s="177">
        <f>IFERROR(IF([1]对账明细接口!$K$1063=0,"",[1]对账明细接口!$K$1063),"")</f>
      </c>
      <c r="L1063" s="16">
        <f>IFERROR(IF([1]对账明细接口!$L$1063=0,"",[1]对账明细接口!$L$1063),"")</f>
      </c>
      <c r="M1063" s="16">
        <f>IFERROR(IF([1]对账明细接口!$M$1063=0,"",[1]对账明细接口!$M$1063),"")</f>
      </c>
      <c r="N1063" s="19">
        <f>IF($C1063="",0,1)</f>
        <v>0</v>
      </c>
      <c r="O1063" s="19">
        <f>N(O1062)+$N1063</f>
        <v>637</v>
      </c>
      <c r="S1063" s="20">
        <f>IFERROR(IF([1]对账明细接口!$N1063=0,"",[1]对账明细接口!$N1063),"")</f>
      </c>
      <c r="T1063" s="212">
        <f>IFERROR(IF([1]对账明细接口!$O1063=0,"",[1]对账明细接口!$O1063),"")</f>
      </c>
      <c r="U1063" s="212">
        <f>IFERROR(IF([1]对账明细接口!$P1063=0,"",[1]对账明细接口!$P1063),"")</f>
      </c>
      <c r="V1063" s="212">
        <f>IFERROR(IF([1]对账明细接口!$Q1063=0,"",[1]对账明细接口!$Q1063),"")</f>
      </c>
      <c r="W1063" s="20">
        <f>IFERROR(IF([1]对账明细接口!$R1063=0,"",[1]对账明细接口!$R1063),"")</f>
      </c>
      <c r="X1063" s="20">
        <f>IFERROR(IF([1]对账明细接口!$S1063=0,"",[1]对账明细接口!$S1063),"")</f>
      </c>
      <c r="Y1063" s="20">
        <f>IFERROR(IF([1]对账明细接口!$T1063=0,"",[1]对账明细接口!$T1063),"")</f>
      </c>
      <c r="Z1063" s="213">
        <f>IFERROR(IF([1]对账明细接口!$U1063=0,"",[1]对账明细接口!$U1063),"")</f>
      </c>
      <c r="AA1063" s="213">
        <f>IFERROR(IF([1]对账明细接口!$V1063=0,"",[1]对账明细接口!$V1063),"")</f>
      </c>
      <c r="AB1063" s="20">
        <f>IFERROR(IF([1]对账明细接口!$W1063=0,"",[1]对账明细接口!$W1063),"")</f>
      </c>
      <c r="AC1063" s="7">
        <f>IFERROR(IF([1]对账明细接口!$X1063=0,"",[1]对账明细接口!$X1063),"")</f>
      </c>
      <c r="AD1063" s="7">
        <f>IFERROR(IF([1]对账明细接口!$Y1063=0,"",[1]对账明细接口!$Y1063),"")</f>
      </c>
      <c r="AE1063" s="7">
        <f>IFERROR(IF([1]对账明细接口!$AA1063=0,"",[1]对账明细接口!$AA1063),"")</f>
      </c>
      <c r="AF1063" s="7">
        <f>IFERROR(IF([1]对账明细接口!$AB1063=0,"",[1]对账明细接口!$AB1063),"")</f>
      </c>
      <c r="AG1063" s="7">
        <f>IFERROR(IF([1]对账明细接口!$AC1063=0,"",[1]对账明细接口!$AC1063),"")</f>
      </c>
      <c r="AH1063" s="7">
        <f>IFERROR(IF([1]对账明细接口!$AD1063=0,"",[1]对账明细接口!$AD1063),"")</f>
      </c>
      <c r="AI1063" s="7">
        <f>IFERROR(IF([1]对账明细接口!$AE1063=0,"",[1]对账明细接口!$AE1063),"")</f>
      </c>
      <c r="AJ1063" s="7">
        <f>IFERROR(IF([1]对账明细接口!$AF1063=0,"",[1]对账明细接口!$AF1063),"")</f>
      </c>
    </row>
    <row r="1064" ht="14.25" customHeight="1" s="127">
      <c r="A1064" s="14" t="n">
        <v>1064</v>
      </c>
      <c r="B1064" s="211">
        <f>IFERROR(IF([1]对账明细接口!$B$1064=0,"",[1]对账明细接口!$B$1064),"")</f>
      </c>
      <c r="C1064" s="16">
        <f>IFERROR(IF([1]对账明细接口!$C$1064=0,"",[1]对账明细接口!$C$1064),"")</f>
      </c>
      <c r="D1064" s="16">
        <f>IFERROR(IF([1]对账明细接口!$D$1064=0,"",[1]对账明细接口!$D$1064),"")</f>
      </c>
      <c r="E1064" s="16">
        <f>IFERROR(IF([1]对账明细接口!$E$1064=0,"",[1]对账明细接口!$E$1064),"")</f>
      </c>
      <c r="F1064" s="16">
        <f>IFERROR(IF([1]对账明细接口!$F$1064=0,"",[1]对账明细接口!$F$1064),"")</f>
      </c>
      <c r="G1064" s="16">
        <f>IFERROR(IF([1]对账明细接口!$G$1064=0,"",[1]对账明细接口!$G$1064),"")</f>
      </c>
      <c r="H1064" s="176">
        <f>IFERROR(IF([1]对账明细接口!$H$1064=0,"",[1]对账明细接口!$H$1064),"")</f>
      </c>
      <c r="I1064" s="16">
        <f>IFERROR(IF([1]对账明细接口!$I$1064=0,"",[1]对账明细接口!$I$1064),"")</f>
      </c>
      <c r="J1064" s="177">
        <f>IFERROR(IF([1]对账明细接口!$J$1064=0,"",[1]对账明细接口!$J$1064),"")</f>
      </c>
      <c r="K1064" s="177">
        <f>IFERROR(IF([1]对账明细接口!$K$1064=0,"",[1]对账明细接口!$K$1064),"")</f>
      </c>
      <c r="L1064" s="16">
        <f>IFERROR(IF([1]对账明细接口!$L$1064=0,"",[1]对账明细接口!$L$1064),"")</f>
      </c>
      <c r="M1064" s="16">
        <f>IFERROR(IF([1]对账明细接口!$M$1064=0,"",[1]对账明细接口!$M$1064),"")</f>
      </c>
      <c r="N1064" s="19">
        <f>IF($C1064="",0,1)</f>
        <v>0</v>
      </c>
      <c r="O1064" s="19">
        <f>N(O1063)+$N1064</f>
        <v>637</v>
      </c>
      <c r="S1064" s="20">
        <f>IFERROR(IF([1]对账明细接口!$N1064=0,"",[1]对账明细接口!$N1064),"")</f>
      </c>
      <c r="T1064" s="212">
        <f>IFERROR(IF([1]对账明细接口!$O1064=0,"",[1]对账明细接口!$O1064),"")</f>
      </c>
      <c r="U1064" s="212">
        <f>IFERROR(IF([1]对账明细接口!$P1064=0,"",[1]对账明细接口!$P1064),"")</f>
      </c>
      <c r="V1064" s="212">
        <f>IFERROR(IF([1]对账明细接口!$Q1064=0,"",[1]对账明细接口!$Q1064),"")</f>
      </c>
      <c r="W1064" s="20">
        <f>IFERROR(IF([1]对账明细接口!$R1064=0,"",[1]对账明细接口!$R1064),"")</f>
      </c>
      <c r="X1064" s="20">
        <f>IFERROR(IF([1]对账明细接口!$S1064=0,"",[1]对账明细接口!$S1064),"")</f>
      </c>
      <c r="Y1064" s="20">
        <f>IFERROR(IF([1]对账明细接口!$T1064=0,"",[1]对账明细接口!$T1064),"")</f>
      </c>
      <c r="Z1064" s="213">
        <f>IFERROR(IF([1]对账明细接口!$U1064=0,"",[1]对账明细接口!$U1064),"")</f>
      </c>
      <c r="AA1064" s="213">
        <f>IFERROR(IF([1]对账明细接口!$V1064=0,"",[1]对账明细接口!$V1064),"")</f>
      </c>
      <c r="AB1064" s="20">
        <f>IFERROR(IF([1]对账明细接口!$W1064=0,"",[1]对账明细接口!$W1064),"")</f>
      </c>
      <c r="AC1064" s="7">
        <f>IFERROR(IF([1]对账明细接口!$X1064=0,"",[1]对账明细接口!$X1064),"")</f>
      </c>
      <c r="AD1064" s="7">
        <f>IFERROR(IF([1]对账明细接口!$Y1064=0,"",[1]对账明细接口!$Y1064),"")</f>
      </c>
      <c r="AE1064" s="7">
        <f>IFERROR(IF([1]对账明细接口!$AA1064=0,"",[1]对账明细接口!$AA1064),"")</f>
      </c>
      <c r="AF1064" s="7">
        <f>IFERROR(IF([1]对账明细接口!$AB1064=0,"",[1]对账明细接口!$AB1064),"")</f>
      </c>
      <c r="AG1064" s="7">
        <f>IFERROR(IF([1]对账明细接口!$AC1064=0,"",[1]对账明细接口!$AC1064),"")</f>
      </c>
      <c r="AH1064" s="7">
        <f>IFERROR(IF([1]对账明细接口!$AD1064=0,"",[1]对账明细接口!$AD1064),"")</f>
      </c>
      <c r="AI1064" s="7">
        <f>IFERROR(IF([1]对账明细接口!$AE1064=0,"",[1]对账明细接口!$AE1064),"")</f>
      </c>
      <c r="AJ1064" s="7">
        <f>IFERROR(IF([1]对账明细接口!$AF1064=0,"",[1]对账明细接口!$AF1064),"")</f>
      </c>
    </row>
    <row r="1065" ht="14.25" customHeight="1" s="127">
      <c r="A1065" s="14" t="n">
        <v>1065</v>
      </c>
      <c r="B1065" s="211">
        <f>IFERROR(IF([1]对账明细接口!$B$1065=0,"",[1]对账明细接口!$B$1065),"")</f>
      </c>
      <c r="C1065" s="16">
        <f>IFERROR(IF([1]对账明细接口!$C$1065=0,"",[1]对账明细接口!$C$1065),"")</f>
      </c>
      <c r="D1065" s="16">
        <f>IFERROR(IF([1]对账明细接口!$D$1065=0,"",[1]对账明细接口!$D$1065),"")</f>
      </c>
      <c r="E1065" s="16">
        <f>IFERROR(IF([1]对账明细接口!$E$1065=0,"",[1]对账明细接口!$E$1065),"")</f>
      </c>
      <c r="F1065" s="16">
        <f>IFERROR(IF([1]对账明细接口!$F$1065=0,"",[1]对账明细接口!$F$1065),"")</f>
      </c>
      <c r="G1065" s="16">
        <f>IFERROR(IF([1]对账明细接口!$G$1065=0,"",[1]对账明细接口!$G$1065),"")</f>
      </c>
      <c r="H1065" s="176">
        <f>IFERROR(IF([1]对账明细接口!$H$1065=0,"",[1]对账明细接口!$H$1065),"")</f>
      </c>
      <c r="I1065" s="16">
        <f>IFERROR(IF([1]对账明细接口!$I$1065=0,"",[1]对账明细接口!$I$1065),"")</f>
      </c>
      <c r="J1065" s="177">
        <f>IFERROR(IF([1]对账明细接口!$J$1065=0,"",[1]对账明细接口!$J$1065),"")</f>
      </c>
      <c r="K1065" s="177">
        <f>IFERROR(IF([1]对账明细接口!$K$1065=0,"",[1]对账明细接口!$K$1065),"")</f>
      </c>
      <c r="L1065" s="16">
        <f>IFERROR(IF([1]对账明细接口!$L$1065=0,"",[1]对账明细接口!$L$1065),"")</f>
      </c>
      <c r="M1065" s="16">
        <f>IFERROR(IF([1]对账明细接口!$M$1065=0,"",[1]对账明细接口!$M$1065),"")</f>
      </c>
      <c r="N1065" s="19">
        <f>IF($C1065="",0,1)</f>
        <v>0</v>
      </c>
      <c r="O1065" s="19">
        <f>N(O1064)+$N1065</f>
        <v>637</v>
      </c>
      <c r="S1065" s="20">
        <f>IFERROR(IF([1]对账明细接口!$N1065=0,"",[1]对账明细接口!$N1065),"")</f>
      </c>
      <c r="T1065" s="212">
        <f>IFERROR(IF([1]对账明细接口!$O1065=0,"",[1]对账明细接口!$O1065),"")</f>
      </c>
      <c r="U1065" s="212">
        <f>IFERROR(IF([1]对账明细接口!$P1065=0,"",[1]对账明细接口!$P1065),"")</f>
      </c>
      <c r="V1065" s="212">
        <f>IFERROR(IF([1]对账明细接口!$Q1065=0,"",[1]对账明细接口!$Q1065),"")</f>
      </c>
      <c r="W1065" s="20">
        <f>IFERROR(IF([1]对账明细接口!$R1065=0,"",[1]对账明细接口!$R1065),"")</f>
      </c>
      <c r="X1065" s="20">
        <f>IFERROR(IF([1]对账明细接口!$S1065=0,"",[1]对账明细接口!$S1065),"")</f>
      </c>
      <c r="Y1065" s="20">
        <f>IFERROR(IF([1]对账明细接口!$T1065=0,"",[1]对账明细接口!$T1065),"")</f>
      </c>
      <c r="Z1065" s="213">
        <f>IFERROR(IF([1]对账明细接口!$U1065=0,"",[1]对账明细接口!$U1065),"")</f>
      </c>
      <c r="AA1065" s="213">
        <f>IFERROR(IF([1]对账明细接口!$V1065=0,"",[1]对账明细接口!$V1065),"")</f>
      </c>
      <c r="AB1065" s="20">
        <f>IFERROR(IF([1]对账明细接口!$W1065=0,"",[1]对账明细接口!$W1065),"")</f>
      </c>
      <c r="AC1065" s="7">
        <f>IFERROR(IF([1]对账明细接口!$X1065=0,"",[1]对账明细接口!$X1065),"")</f>
      </c>
      <c r="AD1065" s="7">
        <f>IFERROR(IF([1]对账明细接口!$Y1065=0,"",[1]对账明细接口!$Y1065),"")</f>
      </c>
      <c r="AE1065" s="7">
        <f>IFERROR(IF([1]对账明细接口!$AA1065=0,"",[1]对账明细接口!$AA1065),"")</f>
      </c>
      <c r="AF1065" s="7">
        <f>IFERROR(IF([1]对账明细接口!$AB1065=0,"",[1]对账明细接口!$AB1065),"")</f>
      </c>
      <c r="AG1065" s="7">
        <f>IFERROR(IF([1]对账明细接口!$AC1065=0,"",[1]对账明细接口!$AC1065),"")</f>
      </c>
      <c r="AH1065" s="7">
        <f>IFERROR(IF([1]对账明细接口!$AD1065=0,"",[1]对账明细接口!$AD1065),"")</f>
      </c>
      <c r="AI1065" s="7">
        <f>IFERROR(IF([1]对账明细接口!$AE1065=0,"",[1]对账明细接口!$AE1065),"")</f>
      </c>
      <c r="AJ1065" s="7">
        <f>IFERROR(IF([1]对账明细接口!$AF1065=0,"",[1]对账明细接口!$AF1065),"")</f>
      </c>
    </row>
    <row r="1066" ht="14.25" customHeight="1" s="127">
      <c r="A1066" s="14" t="n">
        <v>1066</v>
      </c>
      <c r="B1066" s="211">
        <f>IFERROR(IF([1]对账明细接口!$B$1066=0,"",[1]对账明细接口!$B$1066),"")</f>
      </c>
      <c r="C1066" s="16">
        <f>IFERROR(IF([1]对账明细接口!$C$1066=0,"",[1]对账明细接口!$C$1066),"")</f>
      </c>
      <c r="D1066" s="16">
        <f>IFERROR(IF([1]对账明细接口!$D$1066=0,"",[1]对账明细接口!$D$1066),"")</f>
      </c>
      <c r="E1066" s="16">
        <f>IFERROR(IF([1]对账明细接口!$E$1066=0,"",[1]对账明细接口!$E$1066),"")</f>
      </c>
      <c r="F1066" s="16">
        <f>IFERROR(IF([1]对账明细接口!$F$1066=0,"",[1]对账明细接口!$F$1066),"")</f>
      </c>
      <c r="G1066" s="16">
        <f>IFERROR(IF([1]对账明细接口!$G$1066=0,"",[1]对账明细接口!$G$1066),"")</f>
      </c>
      <c r="H1066" s="176">
        <f>IFERROR(IF([1]对账明细接口!$H$1066=0,"",[1]对账明细接口!$H$1066),"")</f>
      </c>
      <c r="I1066" s="16">
        <f>IFERROR(IF([1]对账明细接口!$I$1066=0,"",[1]对账明细接口!$I$1066),"")</f>
      </c>
      <c r="J1066" s="177">
        <f>IFERROR(IF([1]对账明细接口!$J$1066=0,"",[1]对账明细接口!$J$1066),"")</f>
      </c>
      <c r="K1066" s="177">
        <f>IFERROR(IF([1]对账明细接口!$K$1066=0,"",[1]对账明细接口!$K$1066),"")</f>
      </c>
      <c r="L1066" s="16">
        <f>IFERROR(IF([1]对账明细接口!$L$1066=0,"",[1]对账明细接口!$L$1066),"")</f>
      </c>
      <c r="M1066" s="16">
        <f>IFERROR(IF([1]对账明细接口!$M$1066=0,"",[1]对账明细接口!$M$1066),"")</f>
      </c>
      <c r="N1066" s="19">
        <f>IF($C1066="",0,1)</f>
        <v>0</v>
      </c>
      <c r="O1066" s="19">
        <f>N(O1065)+$N1066</f>
        <v>637</v>
      </c>
      <c r="S1066" s="20">
        <f>IFERROR(IF([1]对账明细接口!$N1066=0,"",[1]对账明细接口!$N1066),"")</f>
      </c>
      <c r="T1066" s="212">
        <f>IFERROR(IF([1]对账明细接口!$O1066=0,"",[1]对账明细接口!$O1066),"")</f>
      </c>
      <c r="U1066" s="212">
        <f>IFERROR(IF([1]对账明细接口!$P1066=0,"",[1]对账明细接口!$P1066),"")</f>
      </c>
      <c r="V1066" s="212">
        <f>IFERROR(IF([1]对账明细接口!$Q1066=0,"",[1]对账明细接口!$Q1066),"")</f>
      </c>
      <c r="W1066" s="20">
        <f>IFERROR(IF([1]对账明细接口!$R1066=0,"",[1]对账明细接口!$R1066),"")</f>
      </c>
      <c r="X1066" s="20">
        <f>IFERROR(IF([1]对账明细接口!$S1066=0,"",[1]对账明细接口!$S1066),"")</f>
      </c>
      <c r="Y1066" s="20">
        <f>IFERROR(IF([1]对账明细接口!$T1066=0,"",[1]对账明细接口!$T1066),"")</f>
      </c>
      <c r="Z1066" s="213">
        <f>IFERROR(IF([1]对账明细接口!$U1066=0,"",[1]对账明细接口!$U1066),"")</f>
      </c>
      <c r="AA1066" s="213">
        <f>IFERROR(IF([1]对账明细接口!$V1066=0,"",[1]对账明细接口!$V1066),"")</f>
      </c>
      <c r="AB1066" s="20">
        <f>IFERROR(IF([1]对账明细接口!$W1066=0,"",[1]对账明细接口!$W1066),"")</f>
      </c>
      <c r="AC1066" s="7">
        <f>IFERROR(IF([1]对账明细接口!$X1066=0,"",[1]对账明细接口!$X1066),"")</f>
      </c>
      <c r="AD1066" s="7">
        <f>IFERROR(IF([1]对账明细接口!$Y1066=0,"",[1]对账明细接口!$Y1066),"")</f>
      </c>
      <c r="AE1066" s="7">
        <f>IFERROR(IF([1]对账明细接口!$AA1066=0,"",[1]对账明细接口!$AA1066),"")</f>
      </c>
      <c r="AF1066" s="7">
        <f>IFERROR(IF([1]对账明细接口!$AB1066=0,"",[1]对账明细接口!$AB1066),"")</f>
      </c>
      <c r="AG1066" s="7">
        <f>IFERROR(IF([1]对账明细接口!$AC1066=0,"",[1]对账明细接口!$AC1066),"")</f>
      </c>
      <c r="AH1066" s="7">
        <f>IFERROR(IF([1]对账明细接口!$AD1066=0,"",[1]对账明细接口!$AD1066),"")</f>
      </c>
      <c r="AI1066" s="7">
        <f>IFERROR(IF([1]对账明细接口!$AE1066=0,"",[1]对账明细接口!$AE1066),"")</f>
      </c>
      <c r="AJ1066" s="7">
        <f>IFERROR(IF([1]对账明细接口!$AF1066=0,"",[1]对账明细接口!$AF1066),"")</f>
      </c>
    </row>
    <row r="1067" ht="14.25" customHeight="1" s="127">
      <c r="A1067" s="14" t="n">
        <v>1067</v>
      </c>
      <c r="B1067" s="211">
        <f>IFERROR(IF([1]对账明细接口!$B$1067=0,"",[1]对账明细接口!$B$1067),"")</f>
      </c>
      <c r="C1067" s="16">
        <f>IFERROR(IF([1]对账明细接口!$C$1067=0,"",[1]对账明细接口!$C$1067),"")</f>
      </c>
      <c r="D1067" s="16">
        <f>IFERROR(IF([1]对账明细接口!$D$1067=0,"",[1]对账明细接口!$D$1067),"")</f>
      </c>
      <c r="E1067" s="16">
        <f>IFERROR(IF([1]对账明细接口!$E$1067=0,"",[1]对账明细接口!$E$1067),"")</f>
      </c>
      <c r="F1067" s="16">
        <f>IFERROR(IF([1]对账明细接口!$F$1067=0,"",[1]对账明细接口!$F$1067),"")</f>
      </c>
      <c r="G1067" s="16">
        <f>IFERROR(IF([1]对账明细接口!$G$1067=0,"",[1]对账明细接口!$G$1067),"")</f>
      </c>
      <c r="H1067" s="176">
        <f>IFERROR(IF([1]对账明细接口!$H$1067=0,"",[1]对账明细接口!$H$1067),"")</f>
      </c>
      <c r="I1067" s="16">
        <f>IFERROR(IF([1]对账明细接口!$I$1067=0,"",[1]对账明细接口!$I$1067),"")</f>
      </c>
      <c r="J1067" s="177">
        <f>IFERROR(IF([1]对账明细接口!$J$1067=0,"",[1]对账明细接口!$J$1067),"")</f>
      </c>
      <c r="K1067" s="177">
        <f>IFERROR(IF([1]对账明细接口!$K$1067=0,"",[1]对账明细接口!$K$1067),"")</f>
      </c>
      <c r="L1067" s="16">
        <f>IFERROR(IF([1]对账明细接口!$L$1067=0,"",[1]对账明细接口!$L$1067),"")</f>
      </c>
      <c r="M1067" s="16">
        <f>IFERROR(IF([1]对账明细接口!$M$1067=0,"",[1]对账明细接口!$M$1067),"")</f>
      </c>
      <c r="N1067" s="19">
        <f>IF($C1067="",0,1)</f>
        <v>0</v>
      </c>
      <c r="O1067" s="19">
        <f>N(O1066)+$N1067</f>
        <v>637</v>
      </c>
      <c r="S1067" s="20">
        <f>IFERROR(IF([1]对账明细接口!$N1067=0,"",[1]对账明细接口!$N1067),"")</f>
      </c>
      <c r="T1067" s="212">
        <f>IFERROR(IF([1]对账明细接口!$O1067=0,"",[1]对账明细接口!$O1067),"")</f>
      </c>
      <c r="U1067" s="212">
        <f>IFERROR(IF([1]对账明细接口!$P1067=0,"",[1]对账明细接口!$P1067),"")</f>
      </c>
      <c r="V1067" s="212">
        <f>IFERROR(IF([1]对账明细接口!$Q1067=0,"",[1]对账明细接口!$Q1067),"")</f>
      </c>
      <c r="W1067" s="20">
        <f>IFERROR(IF([1]对账明细接口!$R1067=0,"",[1]对账明细接口!$R1067),"")</f>
      </c>
      <c r="X1067" s="20">
        <f>IFERROR(IF([1]对账明细接口!$S1067=0,"",[1]对账明细接口!$S1067),"")</f>
      </c>
      <c r="Y1067" s="20">
        <f>IFERROR(IF([1]对账明细接口!$T1067=0,"",[1]对账明细接口!$T1067),"")</f>
      </c>
      <c r="Z1067" s="213">
        <f>IFERROR(IF([1]对账明细接口!$U1067=0,"",[1]对账明细接口!$U1067),"")</f>
      </c>
      <c r="AA1067" s="213">
        <f>IFERROR(IF([1]对账明细接口!$V1067=0,"",[1]对账明细接口!$V1067),"")</f>
      </c>
      <c r="AB1067" s="20">
        <f>IFERROR(IF([1]对账明细接口!$W1067=0,"",[1]对账明细接口!$W1067),"")</f>
      </c>
      <c r="AC1067" s="7">
        <f>IFERROR(IF([1]对账明细接口!$X1067=0,"",[1]对账明细接口!$X1067),"")</f>
      </c>
      <c r="AD1067" s="7">
        <f>IFERROR(IF([1]对账明细接口!$Y1067=0,"",[1]对账明细接口!$Y1067),"")</f>
      </c>
      <c r="AE1067" s="7">
        <f>IFERROR(IF([1]对账明细接口!$AA1067=0,"",[1]对账明细接口!$AA1067),"")</f>
      </c>
      <c r="AF1067" s="7">
        <f>IFERROR(IF([1]对账明细接口!$AB1067=0,"",[1]对账明细接口!$AB1067),"")</f>
      </c>
      <c r="AG1067" s="7">
        <f>IFERROR(IF([1]对账明细接口!$AC1067=0,"",[1]对账明细接口!$AC1067),"")</f>
      </c>
      <c r="AH1067" s="7">
        <f>IFERROR(IF([1]对账明细接口!$AD1067=0,"",[1]对账明细接口!$AD1067),"")</f>
      </c>
      <c r="AI1067" s="7">
        <f>IFERROR(IF([1]对账明细接口!$AE1067=0,"",[1]对账明细接口!$AE1067),"")</f>
      </c>
      <c r="AJ1067" s="7">
        <f>IFERROR(IF([1]对账明细接口!$AF1067=0,"",[1]对账明细接口!$AF1067),"")</f>
      </c>
    </row>
    <row r="1068" ht="14.25" customHeight="1" s="127">
      <c r="A1068" s="14" t="n">
        <v>1068</v>
      </c>
      <c r="B1068" s="211">
        <f>IFERROR(IF([1]对账明细接口!$B$1068=0,"",[1]对账明细接口!$B$1068),"")</f>
      </c>
      <c r="C1068" s="16">
        <f>IFERROR(IF([1]对账明细接口!$C$1068=0,"",[1]对账明细接口!$C$1068),"")</f>
      </c>
      <c r="D1068" s="16">
        <f>IFERROR(IF([1]对账明细接口!$D$1068=0,"",[1]对账明细接口!$D$1068),"")</f>
      </c>
      <c r="E1068" s="16">
        <f>IFERROR(IF([1]对账明细接口!$E$1068=0,"",[1]对账明细接口!$E$1068),"")</f>
      </c>
      <c r="F1068" s="16">
        <f>IFERROR(IF([1]对账明细接口!$F$1068=0,"",[1]对账明细接口!$F$1068),"")</f>
      </c>
      <c r="G1068" s="16">
        <f>IFERROR(IF([1]对账明细接口!$G$1068=0,"",[1]对账明细接口!$G$1068),"")</f>
      </c>
      <c r="H1068" s="176">
        <f>IFERROR(IF([1]对账明细接口!$H$1068=0,"",[1]对账明细接口!$H$1068),"")</f>
      </c>
      <c r="I1068" s="16">
        <f>IFERROR(IF([1]对账明细接口!$I$1068=0,"",[1]对账明细接口!$I$1068),"")</f>
      </c>
      <c r="J1068" s="177">
        <f>IFERROR(IF([1]对账明细接口!$J$1068=0,"",[1]对账明细接口!$J$1068),"")</f>
      </c>
      <c r="K1068" s="177">
        <f>IFERROR(IF([1]对账明细接口!$K$1068=0,"",[1]对账明细接口!$K$1068),"")</f>
      </c>
      <c r="L1068" s="16">
        <f>IFERROR(IF([1]对账明细接口!$L$1068=0,"",[1]对账明细接口!$L$1068),"")</f>
      </c>
      <c r="M1068" s="16">
        <f>IFERROR(IF([1]对账明细接口!$M$1068=0,"",[1]对账明细接口!$M$1068),"")</f>
      </c>
      <c r="N1068" s="19">
        <f>IF($C1068="",0,1)</f>
        <v>0</v>
      </c>
      <c r="O1068" s="19">
        <f>N(O1067)+$N1068</f>
        <v>637</v>
      </c>
      <c r="S1068" s="20">
        <f>IFERROR(IF([1]对账明细接口!$N1068=0,"",[1]对账明细接口!$N1068),"")</f>
      </c>
      <c r="T1068" s="212">
        <f>IFERROR(IF([1]对账明细接口!$O1068=0,"",[1]对账明细接口!$O1068),"")</f>
      </c>
      <c r="U1068" s="212">
        <f>IFERROR(IF([1]对账明细接口!$P1068=0,"",[1]对账明细接口!$P1068),"")</f>
      </c>
      <c r="V1068" s="212">
        <f>IFERROR(IF([1]对账明细接口!$Q1068=0,"",[1]对账明细接口!$Q1068),"")</f>
      </c>
      <c r="W1068" s="20">
        <f>IFERROR(IF([1]对账明细接口!$R1068=0,"",[1]对账明细接口!$R1068),"")</f>
      </c>
      <c r="X1068" s="20">
        <f>IFERROR(IF([1]对账明细接口!$S1068=0,"",[1]对账明细接口!$S1068),"")</f>
      </c>
      <c r="Y1068" s="20">
        <f>IFERROR(IF([1]对账明细接口!$T1068=0,"",[1]对账明细接口!$T1068),"")</f>
      </c>
      <c r="Z1068" s="213">
        <f>IFERROR(IF([1]对账明细接口!$U1068=0,"",[1]对账明细接口!$U1068),"")</f>
      </c>
      <c r="AA1068" s="213">
        <f>IFERROR(IF([1]对账明细接口!$V1068=0,"",[1]对账明细接口!$V1068),"")</f>
      </c>
      <c r="AB1068" s="20">
        <f>IFERROR(IF([1]对账明细接口!$W1068=0,"",[1]对账明细接口!$W1068),"")</f>
      </c>
      <c r="AC1068" s="7">
        <f>IFERROR(IF([1]对账明细接口!$X1068=0,"",[1]对账明细接口!$X1068),"")</f>
      </c>
      <c r="AD1068" s="7">
        <f>IFERROR(IF([1]对账明细接口!$Y1068=0,"",[1]对账明细接口!$Y1068),"")</f>
      </c>
      <c r="AE1068" s="7">
        <f>IFERROR(IF([1]对账明细接口!$AA1068=0,"",[1]对账明细接口!$AA1068),"")</f>
      </c>
      <c r="AF1068" s="7">
        <f>IFERROR(IF([1]对账明细接口!$AB1068=0,"",[1]对账明细接口!$AB1068),"")</f>
      </c>
      <c r="AG1068" s="7">
        <f>IFERROR(IF([1]对账明细接口!$AC1068=0,"",[1]对账明细接口!$AC1068),"")</f>
      </c>
      <c r="AH1068" s="7">
        <f>IFERROR(IF([1]对账明细接口!$AD1068=0,"",[1]对账明细接口!$AD1068),"")</f>
      </c>
      <c r="AI1068" s="7">
        <f>IFERROR(IF([1]对账明细接口!$AE1068=0,"",[1]对账明细接口!$AE1068),"")</f>
      </c>
      <c r="AJ1068" s="7">
        <f>IFERROR(IF([1]对账明细接口!$AF1068=0,"",[1]对账明细接口!$AF1068),"")</f>
      </c>
    </row>
    <row r="1069" ht="14.25" customHeight="1" s="127">
      <c r="A1069" s="14" t="n">
        <v>1069</v>
      </c>
      <c r="B1069" s="211">
        <f>IFERROR(IF([1]对账明细接口!$B$1069=0,"",[1]对账明细接口!$B$1069),"")</f>
      </c>
      <c r="C1069" s="16">
        <f>IFERROR(IF([1]对账明细接口!$C$1069=0,"",[1]对账明细接口!$C$1069),"")</f>
      </c>
      <c r="D1069" s="16">
        <f>IFERROR(IF([1]对账明细接口!$D$1069=0,"",[1]对账明细接口!$D$1069),"")</f>
      </c>
      <c r="E1069" s="16">
        <f>IFERROR(IF([1]对账明细接口!$E$1069=0,"",[1]对账明细接口!$E$1069),"")</f>
      </c>
      <c r="F1069" s="16">
        <f>IFERROR(IF([1]对账明细接口!$F$1069=0,"",[1]对账明细接口!$F$1069),"")</f>
      </c>
      <c r="G1069" s="16">
        <f>IFERROR(IF([1]对账明细接口!$G$1069=0,"",[1]对账明细接口!$G$1069),"")</f>
      </c>
      <c r="H1069" s="176">
        <f>IFERROR(IF([1]对账明细接口!$H$1069=0,"",[1]对账明细接口!$H$1069),"")</f>
      </c>
      <c r="I1069" s="16">
        <f>IFERROR(IF([1]对账明细接口!$I$1069=0,"",[1]对账明细接口!$I$1069),"")</f>
      </c>
      <c r="J1069" s="177">
        <f>IFERROR(IF([1]对账明细接口!$J$1069=0,"",[1]对账明细接口!$J$1069),"")</f>
      </c>
      <c r="K1069" s="177">
        <f>IFERROR(IF([1]对账明细接口!$K$1069=0,"",[1]对账明细接口!$K$1069),"")</f>
      </c>
      <c r="L1069" s="16">
        <f>IFERROR(IF([1]对账明细接口!$L$1069=0,"",[1]对账明细接口!$L$1069),"")</f>
      </c>
      <c r="M1069" s="16">
        <f>IFERROR(IF([1]对账明细接口!$M$1069=0,"",[1]对账明细接口!$M$1069),"")</f>
      </c>
      <c r="N1069" s="19">
        <f>IF($C1069="",0,1)</f>
        <v>0</v>
      </c>
      <c r="O1069" s="19">
        <f>N(O1068)+$N1069</f>
        <v>637</v>
      </c>
      <c r="S1069" s="20">
        <f>IFERROR(IF([1]对账明细接口!$N1069=0,"",[1]对账明细接口!$N1069),"")</f>
      </c>
      <c r="T1069" s="212">
        <f>IFERROR(IF([1]对账明细接口!$O1069=0,"",[1]对账明细接口!$O1069),"")</f>
      </c>
      <c r="U1069" s="212">
        <f>IFERROR(IF([1]对账明细接口!$P1069=0,"",[1]对账明细接口!$P1069),"")</f>
      </c>
      <c r="V1069" s="212">
        <f>IFERROR(IF([1]对账明细接口!$Q1069=0,"",[1]对账明细接口!$Q1069),"")</f>
      </c>
      <c r="W1069" s="20">
        <f>IFERROR(IF([1]对账明细接口!$R1069=0,"",[1]对账明细接口!$R1069),"")</f>
      </c>
      <c r="X1069" s="20">
        <f>IFERROR(IF([1]对账明细接口!$S1069=0,"",[1]对账明细接口!$S1069),"")</f>
      </c>
      <c r="Y1069" s="20">
        <f>IFERROR(IF([1]对账明细接口!$T1069=0,"",[1]对账明细接口!$T1069),"")</f>
      </c>
      <c r="Z1069" s="213">
        <f>IFERROR(IF([1]对账明细接口!$U1069=0,"",[1]对账明细接口!$U1069),"")</f>
      </c>
      <c r="AA1069" s="213">
        <f>IFERROR(IF([1]对账明细接口!$V1069=0,"",[1]对账明细接口!$V1069),"")</f>
      </c>
      <c r="AB1069" s="20">
        <f>IFERROR(IF([1]对账明细接口!$W1069=0,"",[1]对账明细接口!$W1069),"")</f>
      </c>
      <c r="AC1069" s="7">
        <f>IFERROR(IF([1]对账明细接口!$X1069=0,"",[1]对账明细接口!$X1069),"")</f>
      </c>
      <c r="AD1069" s="7">
        <f>IFERROR(IF([1]对账明细接口!$Y1069=0,"",[1]对账明细接口!$Y1069),"")</f>
      </c>
      <c r="AE1069" s="7">
        <f>IFERROR(IF([1]对账明细接口!$AA1069=0,"",[1]对账明细接口!$AA1069),"")</f>
      </c>
      <c r="AF1069" s="7">
        <f>IFERROR(IF([1]对账明细接口!$AB1069=0,"",[1]对账明细接口!$AB1069),"")</f>
      </c>
      <c r="AG1069" s="7">
        <f>IFERROR(IF([1]对账明细接口!$AC1069=0,"",[1]对账明细接口!$AC1069),"")</f>
      </c>
      <c r="AH1069" s="7">
        <f>IFERROR(IF([1]对账明细接口!$AD1069=0,"",[1]对账明细接口!$AD1069),"")</f>
      </c>
      <c r="AI1069" s="7">
        <f>IFERROR(IF([1]对账明细接口!$AE1069=0,"",[1]对账明细接口!$AE1069),"")</f>
      </c>
      <c r="AJ1069" s="7">
        <f>IFERROR(IF([1]对账明细接口!$AF1069=0,"",[1]对账明细接口!$AF1069),"")</f>
      </c>
    </row>
    <row r="1070" ht="14.25" customHeight="1" s="127">
      <c r="A1070" s="14" t="n">
        <v>1070</v>
      </c>
      <c r="B1070" s="211">
        <f>IFERROR(IF([1]对账明细接口!$B$1070=0,"",[1]对账明细接口!$B$1070),"")</f>
      </c>
      <c r="C1070" s="16">
        <f>IFERROR(IF([1]对账明细接口!$C$1070=0,"",[1]对账明细接口!$C$1070),"")</f>
      </c>
      <c r="D1070" s="16">
        <f>IFERROR(IF([1]对账明细接口!$D$1070=0,"",[1]对账明细接口!$D$1070),"")</f>
      </c>
      <c r="E1070" s="16">
        <f>IFERROR(IF([1]对账明细接口!$E$1070=0,"",[1]对账明细接口!$E$1070),"")</f>
      </c>
      <c r="F1070" s="16">
        <f>IFERROR(IF([1]对账明细接口!$F$1070=0,"",[1]对账明细接口!$F$1070),"")</f>
      </c>
      <c r="G1070" s="16">
        <f>IFERROR(IF([1]对账明细接口!$G$1070=0,"",[1]对账明细接口!$G$1070),"")</f>
      </c>
      <c r="H1070" s="176">
        <f>IFERROR(IF([1]对账明细接口!$H$1070=0,"",[1]对账明细接口!$H$1070),"")</f>
      </c>
      <c r="I1070" s="16">
        <f>IFERROR(IF([1]对账明细接口!$I$1070=0,"",[1]对账明细接口!$I$1070),"")</f>
      </c>
      <c r="J1070" s="177">
        <f>IFERROR(IF([1]对账明细接口!$J$1070=0,"",[1]对账明细接口!$J$1070),"")</f>
      </c>
      <c r="K1070" s="177">
        <f>IFERROR(IF([1]对账明细接口!$K$1070=0,"",[1]对账明细接口!$K$1070),"")</f>
      </c>
      <c r="L1070" s="16">
        <f>IFERROR(IF([1]对账明细接口!$L$1070=0,"",[1]对账明细接口!$L$1070),"")</f>
      </c>
      <c r="M1070" s="16">
        <f>IFERROR(IF([1]对账明细接口!$M$1070=0,"",[1]对账明细接口!$M$1070),"")</f>
      </c>
      <c r="N1070" s="19">
        <f>IF($C1070="",0,1)</f>
        <v>0</v>
      </c>
      <c r="O1070" s="19">
        <f>N(O1069)+$N1070</f>
        <v>637</v>
      </c>
      <c r="S1070" s="20">
        <f>IFERROR(IF([1]对账明细接口!$N1070=0,"",[1]对账明细接口!$N1070),"")</f>
      </c>
      <c r="T1070" s="212">
        <f>IFERROR(IF([1]对账明细接口!$O1070=0,"",[1]对账明细接口!$O1070),"")</f>
      </c>
      <c r="U1070" s="212">
        <f>IFERROR(IF([1]对账明细接口!$P1070=0,"",[1]对账明细接口!$P1070),"")</f>
      </c>
      <c r="V1070" s="212">
        <f>IFERROR(IF([1]对账明细接口!$Q1070=0,"",[1]对账明细接口!$Q1070),"")</f>
      </c>
      <c r="W1070" s="20">
        <f>IFERROR(IF([1]对账明细接口!$R1070=0,"",[1]对账明细接口!$R1070),"")</f>
      </c>
      <c r="X1070" s="20">
        <f>IFERROR(IF([1]对账明细接口!$S1070=0,"",[1]对账明细接口!$S1070),"")</f>
      </c>
      <c r="Y1070" s="20">
        <f>IFERROR(IF([1]对账明细接口!$T1070=0,"",[1]对账明细接口!$T1070),"")</f>
      </c>
      <c r="Z1070" s="213">
        <f>IFERROR(IF([1]对账明细接口!$U1070=0,"",[1]对账明细接口!$U1070),"")</f>
      </c>
      <c r="AA1070" s="213">
        <f>IFERROR(IF([1]对账明细接口!$V1070=0,"",[1]对账明细接口!$V1070),"")</f>
      </c>
      <c r="AB1070" s="20">
        <f>IFERROR(IF([1]对账明细接口!$W1070=0,"",[1]对账明细接口!$W1070),"")</f>
      </c>
      <c r="AC1070" s="7">
        <f>IFERROR(IF([1]对账明细接口!$X1070=0,"",[1]对账明细接口!$X1070),"")</f>
      </c>
      <c r="AD1070" s="7">
        <f>IFERROR(IF([1]对账明细接口!$Y1070=0,"",[1]对账明细接口!$Y1070),"")</f>
      </c>
      <c r="AE1070" s="7">
        <f>IFERROR(IF([1]对账明细接口!$AA1070=0,"",[1]对账明细接口!$AA1070),"")</f>
      </c>
      <c r="AF1070" s="7">
        <f>IFERROR(IF([1]对账明细接口!$AB1070=0,"",[1]对账明细接口!$AB1070),"")</f>
      </c>
      <c r="AG1070" s="7">
        <f>IFERROR(IF([1]对账明细接口!$AC1070=0,"",[1]对账明细接口!$AC1070),"")</f>
      </c>
      <c r="AH1070" s="7">
        <f>IFERROR(IF([1]对账明细接口!$AD1070=0,"",[1]对账明细接口!$AD1070),"")</f>
      </c>
      <c r="AI1070" s="7">
        <f>IFERROR(IF([1]对账明细接口!$AE1070=0,"",[1]对账明细接口!$AE1070),"")</f>
      </c>
      <c r="AJ1070" s="7">
        <f>IFERROR(IF([1]对账明细接口!$AF1070=0,"",[1]对账明细接口!$AF1070),"")</f>
      </c>
    </row>
    <row r="1071" ht="14.25" customHeight="1" s="127">
      <c r="A1071" s="14" t="n">
        <v>1071</v>
      </c>
      <c r="B1071" s="211">
        <f>IFERROR(IF([1]对账明细接口!$B$1071=0,"",[1]对账明细接口!$B$1071),"")</f>
      </c>
      <c r="C1071" s="16">
        <f>IFERROR(IF([1]对账明细接口!$C$1071=0,"",[1]对账明细接口!$C$1071),"")</f>
      </c>
      <c r="D1071" s="16">
        <f>IFERROR(IF([1]对账明细接口!$D$1071=0,"",[1]对账明细接口!$D$1071),"")</f>
      </c>
      <c r="E1071" s="16">
        <f>IFERROR(IF([1]对账明细接口!$E$1071=0,"",[1]对账明细接口!$E$1071),"")</f>
      </c>
      <c r="F1071" s="16">
        <f>IFERROR(IF([1]对账明细接口!$F$1071=0,"",[1]对账明细接口!$F$1071),"")</f>
      </c>
      <c r="G1071" s="16">
        <f>IFERROR(IF([1]对账明细接口!$G$1071=0,"",[1]对账明细接口!$G$1071),"")</f>
      </c>
      <c r="H1071" s="176">
        <f>IFERROR(IF([1]对账明细接口!$H$1071=0,"",[1]对账明细接口!$H$1071),"")</f>
      </c>
      <c r="I1071" s="16">
        <f>IFERROR(IF([1]对账明细接口!$I$1071=0,"",[1]对账明细接口!$I$1071),"")</f>
      </c>
      <c r="J1071" s="177">
        <f>IFERROR(IF([1]对账明细接口!$J$1071=0,"",[1]对账明细接口!$J$1071),"")</f>
      </c>
      <c r="K1071" s="177">
        <f>IFERROR(IF([1]对账明细接口!$K$1071=0,"",[1]对账明细接口!$K$1071),"")</f>
      </c>
      <c r="L1071" s="16">
        <f>IFERROR(IF([1]对账明细接口!$L$1071=0,"",[1]对账明细接口!$L$1071),"")</f>
      </c>
      <c r="M1071" s="16">
        <f>IFERROR(IF([1]对账明细接口!$M$1071=0,"",[1]对账明细接口!$M$1071),"")</f>
      </c>
      <c r="N1071" s="19">
        <f>IF($C1071="",0,1)</f>
        <v>0</v>
      </c>
      <c r="O1071" s="19">
        <f>N(O1070)+$N1071</f>
        <v>637</v>
      </c>
      <c r="S1071" s="20">
        <f>IFERROR(IF([1]对账明细接口!$N1071=0,"",[1]对账明细接口!$N1071),"")</f>
      </c>
      <c r="T1071" s="212">
        <f>IFERROR(IF([1]对账明细接口!$O1071=0,"",[1]对账明细接口!$O1071),"")</f>
      </c>
      <c r="U1071" s="212">
        <f>IFERROR(IF([1]对账明细接口!$P1071=0,"",[1]对账明细接口!$P1071),"")</f>
      </c>
      <c r="V1071" s="212">
        <f>IFERROR(IF([1]对账明细接口!$Q1071=0,"",[1]对账明细接口!$Q1071),"")</f>
      </c>
      <c r="W1071" s="20">
        <f>IFERROR(IF([1]对账明细接口!$R1071=0,"",[1]对账明细接口!$R1071),"")</f>
      </c>
      <c r="X1071" s="20">
        <f>IFERROR(IF([1]对账明细接口!$S1071=0,"",[1]对账明细接口!$S1071),"")</f>
      </c>
      <c r="Y1071" s="20">
        <f>IFERROR(IF([1]对账明细接口!$T1071=0,"",[1]对账明细接口!$T1071),"")</f>
      </c>
      <c r="Z1071" s="213">
        <f>IFERROR(IF([1]对账明细接口!$U1071=0,"",[1]对账明细接口!$U1071),"")</f>
      </c>
      <c r="AA1071" s="213">
        <f>IFERROR(IF([1]对账明细接口!$V1071=0,"",[1]对账明细接口!$V1071),"")</f>
      </c>
      <c r="AB1071" s="20">
        <f>IFERROR(IF([1]对账明细接口!$W1071=0,"",[1]对账明细接口!$W1071),"")</f>
      </c>
      <c r="AC1071" s="7">
        <f>IFERROR(IF([1]对账明细接口!$X1071=0,"",[1]对账明细接口!$X1071),"")</f>
      </c>
      <c r="AD1071" s="7">
        <f>IFERROR(IF([1]对账明细接口!$Y1071=0,"",[1]对账明细接口!$Y1071),"")</f>
      </c>
      <c r="AE1071" s="7">
        <f>IFERROR(IF([1]对账明细接口!$AA1071=0,"",[1]对账明细接口!$AA1071),"")</f>
      </c>
      <c r="AF1071" s="7">
        <f>IFERROR(IF([1]对账明细接口!$AB1071=0,"",[1]对账明细接口!$AB1071),"")</f>
      </c>
      <c r="AG1071" s="7">
        <f>IFERROR(IF([1]对账明细接口!$AC1071=0,"",[1]对账明细接口!$AC1071),"")</f>
      </c>
      <c r="AH1071" s="7">
        <f>IFERROR(IF([1]对账明细接口!$AD1071=0,"",[1]对账明细接口!$AD1071),"")</f>
      </c>
      <c r="AI1071" s="7">
        <f>IFERROR(IF([1]对账明细接口!$AE1071=0,"",[1]对账明细接口!$AE1071),"")</f>
      </c>
      <c r="AJ1071" s="7">
        <f>IFERROR(IF([1]对账明细接口!$AF1071=0,"",[1]对账明细接口!$AF1071),"")</f>
      </c>
    </row>
    <row r="1072" ht="14.25" customHeight="1" s="127">
      <c r="A1072" s="14" t="n">
        <v>1072</v>
      </c>
      <c r="B1072" s="211">
        <f>IFERROR(IF([1]对账明细接口!$B$1072=0,"",[1]对账明细接口!$B$1072),"")</f>
      </c>
      <c r="C1072" s="16">
        <f>IFERROR(IF([1]对账明细接口!$C$1072=0,"",[1]对账明细接口!$C$1072),"")</f>
      </c>
      <c r="D1072" s="16">
        <f>IFERROR(IF([1]对账明细接口!$D$1072=0,"",[1]对账明细接口!$D$1072),"")</f>
      </c>
      <c r="E1072" s="16">
        <f>IFERROR(IF([1]对账明细接口!$E$1072=0,"",[1]对账明细接口!$E$1072),"")</f>
      </c>
      <c r="F1072" s="16">
        <f>IFERROR(IF([1]对账明细接口!$F$1072=0,"",[1]对账明细接口!$F$1072),"")</f>
      </c>
      <c r="G1072" s="16">
        <f>IFERROR(IF([1]对账明细接口!$G$1072=0,"",[1]对账明细接口!$G$1072),"")</f>
      </c>
      <c r="H1072" s="176">
        <f>IFERROR(IF([1]对账明细接口!$H$1072=0,"",[1]对账明细接口!$H$1072),"")</f>
      </c>
      <c r="I1072" s="16">
        <f>IFERROR(IF([1]对账明细接口!$I$1072=0,"",[1]对账明细接口!$I$1072),"")</f>
      </c>
      <c r="J1072" s="177">
        <f>IFERROR(IF([1]对账明细接口!$J$1072=0,"",[1]对账明细接口!$J$1072),"")</f>
      </c>
      <c r="K1072" s="177">
        <f>IFERROR(IF([1]对账明细接口!$K$1072=0,"",[1]对账明细接口!$K$1072),"")</f>
      </c>
      <c r="L1072" s="16">
        <f>IFERROR(IF([1]对账明细接口!$L$1072=0,"",[1]对账明细接口!$L$1072),"")</f>
      </c>
      <c r="M1072" s="16">
        <f>IFERROR(IF([1]对账明细接口!$M$1072=0,"",[1]对账明细接口!$M$1072),"")</f>
      </c>
      <c r="N1072" s="19">
        <f>IF($C1072="",0,1)</f>
        <v>0</v>
      </c>
      <c r="O1072" s="19">
        <f>N(O1071)+$N1072</f>
        <v>637</v>
      </c>
      <c r="S1072" s="20">
        <f>IFERROR(IF([1]对账明细接口!$N1072=0,"",[1]对账明细接口!$N1072),"")</f>
      </c>
      <c r="T1072" s="212">
        <f>IFERROR(IF([1]对账明细接口!$O1072=0,"",[1]对账明细接口!$O1072),"")</f>
      </c>
      <c r="U1072" s="212">
        <f>IFERROR(IF([1]对账明细接口!$P1072=0,"",[1]对账明细接口!$P1072),"")</f>
      </c>
      <c r="V1072" s="212">
        <f>IFERROR(IF([1]对账明细接口!$Q1072=0,"",[1]对账明细接口!$Q1072),"")</f>
      </c>
      <c r="W1072" s="20">
        <f>IFERROR(IF([1]对账明细接口!$R1072=0,"",[1]对账明细接口!$R1072),"")</f>
      </c>
      <c r="X1072" s="20">
        <f>IFERROR(IF([1]对账明细接口!$S1072=0,"",[1]对账明细接口!$S1072),"")</f>
      </c>
      <c r="Y1072" s="20">
        <f>IFERROR(IF([1]对账明细接口!$T1072=0,"",[1]对账明细接口!$T1072),"")</f>
      </c>
      <c r="Z1072" s="213">
        <f>IFERROR(IF([1]对账明细接口!$U1072=0,"",[1]对账明细接口!$U1072),"")</f>
      </c>
      <c r="AA1072" s="213">
        <f>IFERROR(IF([1]对账明细接口!$V1072=0,"",[1]对账明细接口!$V1072),"")</f>
      </c>
      <c r="AB1072" s="20">
        <f>IFERROR(IF([1]对账明细接口!$W1072=0,"",[1]对账明细接口!$W1072),"")</f>
      </c>
      <c r="AC1072" s="7">
        <f>IFERROR(IF([1]对账明细接口!$X1072=0,"",[1]对账明细接口!$X1072),"")</f>
      </c>
      <c r="AD1072" s="7">
        <f>IFERROR(IF([1]对账明细接口!$Y1072=0,"",[1]对账明细接口!$Y1072),"")</f>
      </c>
      <c r="AE1072" s="7">
        <f>IFERROR(IF([1]对账明细接口!$AA1072=0,"",[1]对账明细接口!$AA1072),"")</f>
      </c>
      <c r="AF1072" s="7">
        <f>IFERROR(IF([1]对账明细接口!$AB1072=0,"",[1]对账明细接口!$AB1072),"")</f>
      </c>
      <c r="AG1072" s="7">
        <f>IFERROR(IF([1]对账明细接口!$AC1072=0,"",[1]对账明细接口!$AC1072),"")</f>
      </c>
      <c r="AH1072" s="7">
        <f>IFERROR(IF([1]对账明细接口!$AD1072=0,"",[1]对账明细接口!$AD1072),"")</f>
      </c>
      <c r="AI1072" s="7">
        <f>IFERROR(IF([1]对账明细接口!$AE1072=0,"",[1]对账明细接口!$AE1072),"")</f>
      </c>
      <c r="AJ1072" s="7">
        <f>IFERROR(IF([1]对账明细接口!$AF1072=0,"",[1]对账明细接口!$AF1072),"")</f>
      </c>
    </row>
    <row r="1073" ht="14.25" customHeight="1" s="127">
      <c r="A1073" s="14" t="n">
        <v>1073</v>
      </c>
      <c r="B1073" s="211">
        <f>IFERROR(IF([1]对账明细接口!$B$1073=0,"",[1]对账明细接口!$B$1073),"")</f>
      </c>
      <c r="C1073" s="16">
        <f>IFERROR(IF([1]对账明细接口!$C$1073=0,"",[1]对账明细接口!$C$1073),"")</f>
      </c>
      <c r="D1073" s="16">
        <f>IFERROR(IF([1]对账明细接口!$D$1073=0,"",[1]对账明细接口!$D$1073),"")</f>
      </c>
      <c r="E1073" s="16">
        <f>IFERROR(IF([1]对账明细接口!$E$1073=0,"",[1]对账明细接口!$E$1073),"")</f>
      </c>
      <c r="F1073" s="16">
        <f>IFERROR(IF([1]对账明细接口!$F$1073=0,"",[1]对账明细接口!$F$1073),"")</f>
      </c>
      <c r="G1073" s="16">
        <f>IFERROR(IF([1]对账明细接口!$G$1073=0,"",[1]对账明细接口!$G$1073),"")</f>
      </c>
      <c r="H1073" s="176">
        <f>IFERROR(IF([1]对账明细接口!$H$1073=0,"",[1]对账明细接口!$H$1073),"")</f>
      </c>
      <c r="I1073" s="16">
        <f>IFERROR(IF([1]对账明细接口!$I$1073=0,"",[1]对账明细接口!$I$1073),"")</f>
      </c>
      <c r="J1073" s="177">
        <f>IFERROR(IF([1]对账明细接口!$J$1073=0,"",[1]对账明细接口!$J$1073),"")</f>
      </c>
      <c r="K1073" s="177">
        <f>IFERROR(IF([1]对账明细接口!$K$1073=0,"",[1]对账明细接口!$K$1073),"")</f>
      </c>
      <c r="L1073" s="16">
        <f>IFERROR(IF([1]对账明细接口!$L$1073=0,"",[1]对账明细接口!$L$1073),"")</f>
      </c>
      <c r="M1073" s="16">
        <f>IFERROR(IF([1]对账明细接口!$M$1073=0,"",[1]对账明细接口!$M$1073),"")</f>
      </c>
      <c r="N1073" s="19">
        <f>IF($C1073="",0,1)</f>
        <v>0</v>
      </c>
      <c r="O1073" s="19">
        <f>N(O1072)+$N1073</f>
        <v>637</v>
      </c>
      <c r="S1073" s="20">
        <f>IFERROR(IF([1]对账明细接口!$N1073=0,"",[1]对账明细接口!$N1073),"")</f>
      </c>
      <c r="T1073" s="212">
        <f>IFERROR(IF([1]对账明细接口!$O1073=0,"",[1]对账明细接口!$O1073),"")</f>
      </c>
      <c r="U1073" s="212">
        <f>IFERROR(IF([1]对账明细接口!$P1073=0,"",[1]对账明细接口!$P1073),"")</f>
      </c>
      <c r="V1073" s="212">
        <f>IFERROR(IF([1]对账明细接口!$Q1073=0,"",[1]对账明细接口!$Q1073),"")</f>
      </c>
      <c r="W1073" s="20">
        <f>IFERROR(IF([1]对账明细接口!$R1073=0,"",[1]对账明细接口!$R1073),"")</f>
      </c>
      <c r="X1073" s="20">
        <f>IFERROR(IF([1]对账明细接口!$S1073=0,"",[1]对账明细接口!$S1073),"")</f>
      </c>
      <c r="Y1073" s="20">
        <f>IFERROR(IF([1]对账明细接口!$T1073=0,"",[1]对账明细接口!$T1073),"")</f>
      </c>
      <c r="Z1073" s="213">
        <f>IFERROR(IF([1]对账明细接口!$U1073=0,"",[1]对账明细接口!$U1073),"")</f>
      </c>
      <c r="AA1073" s="213">
        <f>IFERROR(IF([1]对账明细接口!$V1073=0,"",[1]对账明细接口!$V1073),"")</f>
      </c>
      <c r="AB1073" s="20">
        <f>IFERROR(IF([1]对账明细接口!$W1073=0,"",[1]对账明细接口!$W1073),"")</f>
      </c>
      <c r="AC1073" s="7">
        <f>IFERROR(IF([1]对账明细接口!$X1073=0,"",[1]对账明细接口!$X1073),"")</f>
      </c>
      <c r="AD1073" s="7">
        <f>IFERROR(IF([1]对账明细接口!$Y1073=0,"",[1]对账明细接口!$Y1073),"")</f>
      </c>
      <c r="AE1073" s="7">
        <f>IFERROR(IF([1]对账明细接口!$AA1073=0,"",[1]对账明细接口!$AA1073),"")</f>
      </c>
      <c r="AF1073" s="7">
        <f>IFERROR(IF([1]对账明细接口!$AB1073=0,"",[1]对账明细接口!$AB1073),"")</f>
      </c>
      <c r="AG1073" s="7">
        <f>IFERROR(IF([1]对账明细接口!$AC1073=0,"",[1]对账明细接口!$AC1073),"")</f>
      </c>
      <c r="AH1073" s="7">
        <f>IFERROR(IF([1]对账明细接口!$AD1073=0,"",[1]对账明细接口!$AD1073),"")</f>
      </c>
      <c r="AI1073" s="7">
        <f>IFERROR(IF([1]对账明细接口!$AE1073=0,"",[1]对账明细接口!$AE1073),"")</f>
      </c>
      <c r="AJ1073" s="7">
        <f>IFERROR(IF([1]对账明细接口!$AF1073=0,"",[1]对账明细接口!$AF1073),"")</f>
      </c>
    </row>
    <row r="1074" ht="14.25" customHeight="1" s="127">
      <c r="A1074" s="14" t="n">
        <v>1074</v>
      </c>
      <c r="B1074" s="211">
        <f>IFERROR(IF([1]对账明细接口!$B$1074=0,"",[1]对账明细接口!$B$1074),"")</f>
      </c>
      <c r="C1074" s="16">
        <f>IFERROR(IF([1]对账明细接口!$C$1074=0,"",[1]对账明细接口!$C$1074),"")</f>
      </c>
      <c r="D1074" s="16">
        <f>IFERROR(IF([1]对账明细接口!$D$1074=0,"",[1]对账明细接口!$D$1074),"")</f>
      </c>
      <c r="E1074" s="16">
        <f>IFERROR(IF([1]对账明细接口!$E$1074=0,"",[1]对账明细接口!$E$1074),"")</f>
      </c>
      <c r="F1074" s="16">
        <f>IFERROR(IF([1]对账明细接口!$F$1074=0,"",[1]对账明细接口!$F$1074),"")</f>
      </c>
      <c r="G1074" s="16">
        <f>IFERROR(IF([1]对账明细接口!$G$1074=0,"",[1]对账明细接口!$G$1074),"")</f>
      </c>
      <c r="H1074" s="176">
        <f>IFERROR(IF([1]对账明细接口!$H$1074=0,"",[1]对账明细接口!$H$1074),"")</f>
      </c>
      <c r="I1074" s="16">
        <f>IFERROR(IF([1]对账明细接口!$I$1074=0,"",[1]对账明细接口!$I$1074),"")</f>
      </c>
      <c r="J1074" s="177">
        <f>IFERROR(IF([1]对账明细接口!$J$1074=0,"",[1]对账明细接口!$J$1074),"")</f>
      </c>
      <c r="K1074" s="177">
        <f>IFERROR(IF([1]对账明细接口!$K$1074=0,"",[1]对账明细接口!$K$1074),"")</f>
      </c>
      <c r="L1074" s="16">
        <f>IFERROR(IF([1]对账明细接口!$L$1074=0,"",[1]对账明细接口!$L$1074),"")</f>
      </c>
      <c r="M1074" s="16">
        <f>IFERROR(IF([1]对账明细接口!$M$1074=0,"",[1]对账明细接口!$M$1074),"")</f>
      </c>
      <c r="N1074" s="19">
        <f>IF($C1074="",0,1)</f>
        <v>0</v>
      </c>
      <c r="O1074" s="19">
        <f>N(O1073)+$N1074</f>
        <v>637</v>
      </c>
      <c r="S1074" s="20">
        <f>IFERROR(IF([1]对账明细接口!$N1074=0,"",[1]对账明细接口!$N1074),"")</f>
      </c>
      <c r="T1074" s="212">
        <f>IFERROR(IF([1]对账明细接口!$O1074=0,"",[1]对账明细接口!$O1074),"")</f>
      </c>
      <c r="U1074" s="212">
        <f>IFERROR(IF([1]对账明细接口!$P1074=0,"",[1]对账明细接口!$P1074),"")</f>
      </c>
      <c r="V1074" s="212">
        <f>IFERROR(IF([1]对账明细接口!$Q1074=0,"",[1]对账明细接口!$Q1074),"")</f>
      </c>
      <c r="W1074" s="20">
        <f>IFERROR(IF([1]对账明细接口!$R1074=0,"",[1]对账明细接口!$R1074),"")</f>
      </c>
      <c r="X1074" s="20">
        <f>IFERROR(IF([1]对账明细接口!$S1074=0,"",[1]对账明细接口!$S1074),"")</f>
      </c>
      <c r="Y1074" s="20">
        <f>IFERROR(IF([1]对账明细接口!$T1074=0,"",[1]对账明细接口!$T1074),"")</f>
      </c>
      <c r="Z1074" s="213">
        <f>IFERROR(IF([1]对账明细接口!$U1074=0,"",[1]对账明细接口!$U1074),"")</f>
      </c>
      <c r="AA1074" s="213">
        <f>IFERROR(IF([1]对账明细接口!$V1074=0,"",[1]对账明细接口!$V1074),"")</f>
      </c>
      <c r="AB1074" s="20">
        <f>IFERROR(IF([1]对账明细接口!$W1074=0,"",[1]对账明细接口!$W1074),"")</f>
      </c>
      <c r="AC1074" s="7">
        <f>IFERROR(IF([1]对账明细接口!$X1074=0,"",[1]对账明细接口!$X1074),"")</f>
      </c>
      <c r="AD1074" s="7">
        <f>IFERROR(IF([1]对账明细接口!$Y1074=0,"",[1]对账明细接口!$Y1074),"")</f>
      </c>
      <c r="AE1074" s="7">
        <f>IFERROR(IF([1]对账明细接口!$AA1074=0,"",[1]对账明细接口!$AA1074),"")</f>
      </c>
      <c r="AF1074" s="7">
        <f>IFERROR(IF([1]对账明细接口!$AB1074=0,"",[1]对账明细接口!$AB1074),"")</f>
      </c>
      <c r="AG1074" s="7">
        <f>IFERROR(IF([1]对账明细接口!$AC1074=0,"",[1]对账明细接口!$AC1074),"")</f>
      </c>
      <c r="AH1074" s="7">
        <f>IFERROR(IF([1]对账明细接口!$AD1074=0,"",[1]对账明细接口!$AD1074),"")</f>
      </c>
      <c r="AI1074" s="7">
        <f>IFERROR(IF([1]对账明细接口!$AE1074=0,"",[1]对账明细接口!$AE1074),"")</f>
      </c>
      <c r="AJ1074" s="7">
        <f>IFERROR(IF([1]对账明细接口!$AF1074=0,"",[1]对账明细接口!$AF1074),"")</f>
      </c>
    </row>
    <row r="1075" ht="14.25" customHeight="1" s="127">
      <c r="A1075" s="14" t="n">
        <v>1075</v>
      </c>
      <c r="B1075" s="211">
        <f>IFERROR(IF([1]对账明细接口!$B$1075=0,"",[1]对账明细接口!$B$1075),"")</f>
      </c>
      <c r="C1075" s="16">
        <f>IFERROR(IF([1]对账明细接口!$C$1075=0,"",[1]对账明细接口!$C$1075),"")</f>
      </c>
      <c r="D1075" s="16">
        <f>IFERROR(IF([1]对账明细接口!$D$1075=0,"",[1]对账明细接口!$D$1075),"")</f>
      </c>
      <c r="E1075" s="16">
        <f>IFERROR(IF([1]对账明细接口!$E$1075=0,"",[1]对账明细接口!$E$1075),"")</f>
      </c>
      <c r="F1075" s="16">
        <f>IFERROR(IF([1]对账明细接口!$F$1075=0,"",[1]对账明细接口!$F$1075),"")</f>
      </c>
      <c r="G1075" s="16">
        <f>IFERROR(IF([1]对账明细接口!$G$1075=0,"",[1]对账明细接口!$G$1075),"")</f>
      </c>
      <c r="H1075" s="176">
        <f>IFERROR(IF([1]对账明细接口!$H$1075=0,"",[1]对账明细接口!$H$1075),"")</f>
      </c>
      <c r="I1075" s="16">
        <f>IFERROR(IF([1]对账明细接口!$I$1075=0,"",[1]对账明细接口!$I$1075),"")</f>
      </c>
      <c r="J1075" s="177">
        <f>IFERROR(IF([1]对账明细接口!$J$1075=0,"",[1]对账明细接口!$J$1075),"")</f>
      </c>
      <c r="K1075" s="177">
        <f>IFERROR(IF([1]对账明细接口!$K$1075=0,"",[1]对账明细接口!$K$1075),"")</f>
      </c>
      <c r="L1075" s="16">
        <f>IFERROR(IF([1]对账明细接口!$L$1075=0,"",[1]对账明细接口!$L$1075),"")</f>
      </c>
      <c r="M1075" s="16">
        <f>IFERROR(IF([1]对账明细接口!$M$1075=0,"",[1]对账明细接口!$M$1075),"")</f>
      </c>
      <c r="N1075" s="19">
        <f>IF($C1075="",0,1)</f>
        <v>0</v>
      </c>
      <c r="O1075" s="19">
        <f>N(O1074)+$N1075</f>
        <v>637</v>
      </c>
      <c r="S1075" s="20">
        <f>IFERROR(IF([1]对账明细接口!$N1075=0,"",[1]对账明细接口!$N1075),"")</f>
      </c>
      <c r="T1075" s="212">
        <f>IFERROR(IF([1]对账明细接口!$O1075=0,"",[1]对账明细接口!$O1075),"")</f>
      </c>
      <c r="U1075" s="212">
        <f>IFERROR(IF([1]对账明细接口!$P1075=0,"",[1]对账明细接口!$P1075),"")</f>
      </c>
      <c r="V1075" s="212">
        <f>IFERROR(IF([1]对账明细接口!$Q1075=0,"",[1]对账明细接口!$Q1075),"")</f>
      </c>
      <c r="W1075" s="20">
        <f>IFERROR(IF([1]对账明细接口!$R1075=0,"",[1]对账明细接口!$R1075),"")</f>
      </c>
      <c r="X1075" s="20">
        <f>IFERROR(IF([1]对账明细接口!$S1075=0,"",[1]对账明细接口!$S1075),"")</f>
      </c>
      <c r="Y1075" s="20">
        <f>IFERROR(IF([1]对账明细接口!$T1075=0,"",[1]对账明细接口!$T1075),"")</f>
      </c>
      <c r="Z1075" s="213">
        <f>IFERROR(IF([1]对账明细接口!$U1075=0,"",[1]对账明细接口!$U1075),"")</f>
      </c>
      <c r="AA1075" s="213">
        <f>IFERROR(IF([1]对账明细接口!$V1075=0,"",[1]对账明细接口!$V1075),"")</f>
      </c>
      <c r="AB1075" s="20">
        <f>IFERROR(IF([1]对账明细接口!$W1075=0,"",[1]对账明细接口!$W1075),"")</f>
      </c>
      <c r="AC1075" s="7">
        <f>IFERROR(IF([1]对账明细接口!$X1075=0,"",[1]对账明细接口!$X1075),"")</f>
      </c>
      <c r="AD1075" s="7">
        <f>IFERROR(IF([1]对账明细接口!$Y1075=0,"",[1]对账明细接口!$Y1075),"")</f>
      </c>
      <c r="AE1075" s="7">
        <f>IFERROR(IF([1]对账明细接口!$AA1075=0,"",[1]对账明细接口!$AA1075),"")</f>
      </c>
      <c r="AF1075" s="7">
        <f>IFERROR(IF([1]对账明细接口!$AB1075=0,"",[1]对账明细接口!$AB1075),"")</f>
      </c>
      <c r="AG1075" s="7">
        <f>IFERROR(IF([1]对账明细接口!$AC1075=0,"",[1]对账明细接口!$AC1075),"")</f>
      </c>
      <c r="AH1075" s="7">
        <f>IFERROR(IF([1]对账明细接口!$AD1075=0,"",[1]对账明细接口!$AD1075),"")</f>
      </c>
      <c r="AI1075" s="7">
        <f>IFERROR(IF([1]对账明细接口!$AE1075=0,"",[1]对账明细接口!$AE1075),"")</f>
      </c>
      <c r="AJ1075" s="7">
        <f>IFERROR(IF([1]对账明细接口!$AF1075=0,"",[1]对账明细接口!$AF1075),"")</f>
      </c>
    </row>
    <row r="1076" ht="14.25" customHeight="1" s="127">
      <c r="A1076" s="14" t="n">
        <v>1076</v>
      </c>
      <c r="B1076" s="211">
        <f>IFERROR(IF([1]对账明细接口!$B$1076=0,"",[1]对账明细接口!$B$1076),"")</f>
      </c>
      <c r="C1076" s="16">
        <f>IFERROR(IF([1]对账明细接口!$C$1076=0,"",[1]对账明细接口!$C$1076),"")</f>
      </c>
      <c r="D1076" s="16">
        <f>IFERROR(IF([1]对账明细接口!$D$1076=0,"",[1]对账明细接口!$D$1076),"")</f>
      </c>
      <c r="E1076" s="16">
        <f>IFERROR(IF([1]对账明细接口!$E$1076=0,"",[1]对账明细接口!$E$1076),"")</f>
      </c>
      <c r="F1076" s="16">
        <f>IFERROR(IF([1]对账明细接口!$F$1076=0,"",[1]对账明细接口!$F$1076),"")</f>
      </c>
      <c r="G1076" s="16">
        <f>IFERROR(IF([1]对账明细接口!$G$1076=0,"",[1]对账明细接口!$G$1076),"")</f>
      </c>
      <c r="H1076" s="176">
        <f>IFERROR(IF([1]对账明细接口!$H$1076=0,"",[1]对账明细接口!$H$1076),"")</f>
      </c>
      <c r="I1076" s="16">
        <f>IFERROR(IF([1]对账明细接口!$I$1076=0,"",[1]对账明细接口!$I$1076),"")</f>
      </c>
      <c r="J1076" s="177">
        <f>IFERROR(IF([1]对账明细接口!$J$1076=0,"",[1]对账明细接口!$J$1076),"")</f>
      </c>
      <c r="K1076" s="177">
        <f>IFERROR(IF([1]对账明细接口!$K$1076=0,"",[1]对账明细接口!$K$1076),"")</f>
      </c>
      <c r="L1076" s="16">
        <f>IFERROR(IF([1]对账明细接口!$L$1076=0,"",[1]对账明细接口!$L$1076),"")</f>
      </c>
      <c r="M1076" s="16">
        <f>IFERROR(IF([1]对账明细接口!$M$1076=0,"",[1]对账明细接口!$M$1076),"")</f>
      </c>
      <c r="N1076" s="19">
        <f>IF($C1076="",0,1)</f>
        <v>0</v>
      </c>
      <c r="O1076" s="19">
        <f>N(O1075)+$N1076</f>
        <v>637</v>
      </c>
      <c r="S1076" s="20">
        <f>IFERROR(IF([1]对账明细接口!$N1076=0,"",[1]对账明细接口!$N1076),"")</f>
      </c>
      <c r="T1076" s="212">
        <f>IFERROR(IF([1]对账明细接口!$O1076=0,"",[1]对账明细接口!$O1076),"")</f>
      </c>
      <c r="U1076" s="212">
        <f>IFERROR(IF([1]对账明细接口!$P1076=0,"",[1]对账明细接口!$P1076),"")</f>
      </c>
      <c r="V1076" s="212">
        <f>IFERROR(IF([1]对账明细接口!$Q1076=0,"",[1]对账明细接口!$Q1076),"")</f>
      </c>
      <c r="W1076" s="20">
        <f>IFERROR(IF([1]对账明细接口!$R1076=0,"",[1]对账明细接口!$R1076),"")</f>
      </c>
      <c r="X1076" s="20">
        <f>IFERROR(IF([1]对账明细接口!$S1076=0,"",[1]对账明细接口!$S1076),"")</f>
      </c>
      <c r="Y1076" s="20">
        <f>IFERROR(IF([1]对账明细接口!$T1076=0,"",[1]对账明细接口!$T1076),"")</f>
      </c>
      <c r="Z1076" s="213">
        <f>IFERROR(IF([1]对账明细接口!$U1076=0,"",[1]对账明细接口!$U1076),"")</f>
      </c>
      <c r="AA1076" s="213">
        <f>IFERROR(IF([1]对账明细接口!$V1076=0,"",[1]对账明细接口!$V1076),"")</f>
      </c>
      <c r="AB1076" s="20">
        <f>IFERROR(IF([1]对账明细接口!$W1076=0,"",[1]对账明细接口!$W1076),"")</f>
      </c>
      <c r="AC1076" s="7">
        <f>IFERROR(IF([1]对账明细接口!$X1076=0,"",[1]对账明细接口!$X1076),"")</f>
      </c>
      <c r="AD1076" s="7">
        <f>IFERROR(IF([1]对账明细接口!$Y1076=0,"",[1]对账明细接口!$Y1076),"")</f>
      </c>
      <c r="AE1076" s="7">
        <f>IFERROR(IF([1]对账明细接口!$AA1076=0,"",[1]对账明细接口!$AA1076),"")</f>
      </c>
      <c r="AF1076" s="7">
        <f>IFERROR(IF([1]对账明细接口!$AB1076=0,"",[1]对账明细接口!$AB1076),"")</f>
      </c>
      <c r="AG1076" s="7">
        <f>IFERROR(IF([1]对账明细接口!$AC1076=0,"",[1]对账明细接口!$AC1076),"")</f>
      </c>
      <c r="AH1076" s="7">
        <f>IFERROR(IF([1]对账明细接口!$AD1076=0,"",[1]对账明细接口!$AD1076),"")</f>
      </c>
      <c r="AI1076" s="7">
        <f>IFERROR(IF([1]对账明细接口!$AE1076=0,"",[1]对账明细接口!$AE1076),"")</f>
      </c>
      <c r="AJ1076" s="7">
        <f>IFERROR(IF([1]对账明细接口!$AF1076=0,"",[1]对账明细接口!$AF1076),"")</f>
      </c>
    </row>
    <row r="1077" ht="14.25" customHeight="1" s="127">
      <c r="A1077" s="14" t="n">
        <v>1077</v>
      </c>
      <c r="B1077" s="211">
        <f>IFERROR(IF([1]对账明细接口!$B$1077=0,"",[1]对账明细接口!$B$1077),"")</f>
      </c>
      <c r="C1077" s="16">
        <f>IFERROR(IF([1]对账明细接口!$C$1077=0,"",[1]对账明细接口!$C$1077),"")</f>
      </c>
      <c r="D1077" s="16">
        <f>IFERROR(IF([1]对账明细接口!$D$1077=0,"",[1]对账明细接口!$D$1077),"")</f>
      </c>
      <c r="E1077" s="16">
        <f>IFERROR(IF([1]对账明细接口!$E$1077=0,"",[1]对账明细接口!$E$1077),"")</f>
      </c>
      <c r="F1077" s="16">
        <f>IFERROR(IF([1]对账明细接口!$F$1077=0,"",[1]对账明细接口!$F$1077),"")</f>
      </c>
      <c r="G1077" s="16">
        <f>IFERROR(IF([1]对账明细接口!$G$1077=0,"",[1]对账明细接口!$G$1077),"")</f>
      </c>
      <c r="H1077" s="176">
        <f>IFERROR(IF([1]对账明细接口!$H$1077=0,"",[1]对账明细接口!$H$1077),"")</f>
      </c>
      <c r="I1077" s="16">
        <f>IFERROR(IF([1]对账明细接口!$I$1077=0,"",[1]对账明细接口!$I$1077),"")</f>
      </c>
      <c r="J1077" s="177">
        <f>IFERROR(IF([1]对账明细接口!$J$1077=0,"",[1]对账明细接口!$J$1077),"")</f>
      </c>
      <c r="K1077" s="177">
        <f>IFERROR(IF([1]对账明细接口!$K$1077=0,"",[1]对账明细接口!$K$1077),"")</f>
      </c>
      <c r="L1077" s="16">
        <f>IFERROR(IF([1]对账明细接口!$L$1077=0,"",[1]对账明细接口!$L$1077),"")</f>
      </c>
      <c r="M1077" s="16">
        <f>IFERROR(IF([1]对账明细接口!$M$1077=0,"",[1]对账明细接口!$M$1077),"")</f>
      </c>
      <c r="N1077" s="19">
        <f>IF($C1077="",0,1)</f>
        <v>0</v>
      </c>
      <c r="O1077" s="19">
        <f>N(O1076)+$N1077</f>
        <v>637</v>
      </c>
      <c r="S1077" s="20">
        <f>IFERROR(IF([1]对账明细接口!$N1077=0,"",[1]对账明细接口!$N1077),"")</f>
      </c>
      <c r="T1077" s="212">
        <f>IFERROR(IF([1]对账明细接口!$O1077=0,"",[1]对账明细接口!$O1077),"")</f>
      </c>
      <c r="U1077" s="212">
        <f>IFERROR(IF([1]对账明细接口!$P1077=0,"",[1]对账明细接口!$P1077),"")</f>
      </c>
      <c r="V1077" s="212">
        <f>IFERROR(IF([1]对账明细接口!$Q1077=0,"",[1]对账明细接口!$Q1077),"")</f>
      </c>
      <c r="W1077" s="20">
        <f>IFERROR(IF([1]对账明细接口!$R1077=0,"",[1]对账明细接口!$R1077),"")</f>
      </c>
      <c r="X1077" s="20">
        <f>IFERROR(IF([1]对账明细接口!$S1077=0,"",[1]对账明细接口!$S1077),"")</f>
      </c>
      <c r="Y1077" s="20">
        <f>IFERROR(IF([1]对账明细接口!$T1077=0,"",[1]对账明细接口!$T1077),"")</f>
      </c>
      <c r="Z1077" s="213">
        <f>IFERROR(IF([1]对账明细接口!$U1077=0,"",[1]对账明细接口!$U1077),"")</f>
      </c>
      <c r="AA1077" s="213">
        <f>IFERROR(IF([1]对账明细接口!$V1077=0,"",[1]对账明细接口!$V1077),"")</f>
      </c>
      <c r="AB1077" s="20">
        <f>IFERROR(IF([1]对账明细接口!$W1077=0,"",[1]对账明细接口!$W1077),"")</f>
      </c>
      <c r="AC1077" s="7">
        <f>IFERROR(IF([1]对账明细接口!$X1077=0,"",[1]对账明细接口!$X1077),"")</f>
      </c>
      <c r="AD1077" s="7">
        <f>IFERROR(IF([1]对账明细接口!$Y1077=0,"",[1]对账明细接口!$Y1077),"")</f>
      </c>
      <c r="AE1077" s="7">
        <f>IFERROR(IF([1]对账明细接口!$AA1077=0,"",[1]对账明细接口!$AA1077),"")</f>
      </c>
      <c r="AF1077" s="7">
        <f>IFERROR(IF([1]对账明细接口!$AB1077=0,"",[1]对账明细接口!$AB1077),"")</f>
      </c>
      <c r="AG1077" s="7">
        <f>IFERROR(IF([1]对账明细接口!$AC1077=0,"",[1]对账明细接口!$AC1077),"")</f>
      </c>
      <c r="AH1077" s="7">
        <f>IFERROR(IF([1]对账明细接口!$AD1077=0,"",[1]对账明细接口!$AD1077),"")</f>
      </c>
      <c r="AI1077" s="7">
        <f>IFERROR(IF([1]对账明细接口!$AE1077=0,"",[1]对账明细接口!$AE1077),"")</f>
      </c>
      <c r="AJ1077" s="7">
        <f>IFERROR(IF([1]对账明细接口!$AF1077=0,"",[1]对账明细接口!$AF1077),"")</f>
      </c>
    </row>
    <row r="1078" ht="14.25" customHeight="1" s="127">
      <c r="A1078" s="14" t="n">
        <v>1078</v>
      </c>
      <c r="B1078" s="211">
        <f>IFERROR(IF([1]对账明细接口!$B$1078=0,"",[1]对账明细接口!$B$1078),"")</f>
      </c>
      <c r="C1078" s="16">
        <f>IFERROR(IF([1]对账明细接口!$C$1078=0,"",[1]对账明细接口!$C$1078),"")</f>
      </c>
      <c r="D1078" s="16">
        <f>IFERROR(IF([1]对账明细接口!$D$1078=0,"",[1]对账明细接口!$D$1078),"")</f>
      </c>
      <c r="E1078" s="16">
        <f>IFERROR(IF([1]对账明细接口!$E$1078=0,"",[1]对账明细接口!$E$1078),"")</f>
      </c>
      <c r="F1078" s="16">
        <f>IFERROR(IF([1]对账明细接口!$F$1078=0,"",[1]对账明细接口!$F$1078),"")</f>
      </c>
      <c r="G1078" s="16">
        <f>IFERROR(IF([1]对账明细接口!$G$1078=0,"",[1]对账明细接口!$G$1078),"")</f>
      </c>
      <c r="H1078" s="176">
        <f>IFERROR(IF([1]对账明细接口!$H$1078=0,"",[1]对账明细接口!$H$1078),"")</f>
      </c>
      <c r="I1078" s="16">
        <f>IFERROR(IF([1]对账明细接口!$I$1078=0,"",[1]对账明细接口!$I$1078),"")</f>
      </c>
      <c r="J1078" s="177">
        <f>IFERROR(IF([1]对账明细接口!$J$1078=0,"",[1]对账明细接口!$J$1078),"")</f>
      </c>
      <c r="K1078" s="177">
        <f>IFERROR(IF([1]对账明细接口!$K$1078=0,"",[1]对账明细接口!$K$1078),"")</f>
      </c>
      <c r="L1078" s="16">
        <f>IFERROR(IF([1]对账明细接口!$L$1078=0,"",[1]对账明细接口!$L$1078),"")</f>
      </c>
      <c r="M1078" s="16">
        <f>IFERROR(IF([1]对账明细接口!$M$1078=0,"",[1]对账明细接口!$M$1078),"")</f>
      </c>
      <c r="N1078" s="19">
        <f>IF($C1078="",0,1)</f>
        <v>0</v>
      </c>
      <c r="O1078" s="19">
        <f>N(O1077)+$N1078</f>
        <v>637</v>
      </c>
      <c r="S1078" s="20">
        <f>IFERROR(IF([1]对账明细接口!$N1078=0,"",[1]对账明细接口!$N1078),"")</f>
      </c>
      <c r="T1078" s="212">
        <f>IFERROR(IF([1]对账明细接口!$O1078=0,"",[1]对账明细接口!$O1078),"")</f>
      </c>
      <c r="U1078" s="212">
        <f>IFERROR(IF([1]对账明细接口!$P1078=0,"",[1]对账明细接口!$P1078),"")</f>
      </c>
      <c r="V1078" s="212">
        <f>IFERROR(IF([1]对账明细接口!$Q1078=0,"",[1]对账明细接口!$Q1078),"")</f>
      </c>
      <c r="W1078" s="20">
        <f>IFERROR(IF([1]对账明细接口!$R1078=0,"",[1]对账明细接口!$R1078),"")</f>
      </c>
      <c r="X1078" s="20">
        <f>IFERROR(IF([1]对账明细接口!$S1078=0,"",[1]对账明细接口!$S1078),"")</f>
      </c>
      <c r="Y1078" s="20">
        <f>IFERROR(IF([1]对账明细接口!$T1078=0,"",[1]对账明细接口!$T1078),"")</f>
      </c>
      <c r="Z1078" s="213">
        <f>IFERROR(IF([1]对账明细接口!$U1078=0,"",[1]对账明细接口!$U1078),"")</f>
      </c>
      <c r="AA1078" s="213">
        <f>IFERROR(IF([1]对账明细接口!$V1078=0,"",[1]对账明细接口!$V1078),"")</f>
      </c>
      <c r="AB1078" s="20">
        <f>IFERROR(IF([1]对账明细接口!$W1078=0,"",[1]对账明细接口!$W1078),"")</f>
      </c>
      <c r="AC1078" s="7">
        <f>IFERROR(IF([1]对账明细接口!$X1078=0,"",[1]对账明细接口!$X1078),"")</f>
      </c>
      <c r="AD1078" s="7">
        <f>IFERROR(IF([1]对账明细接口!$Y1078=0,"",[1]对账明细接口!$Y1078),"")</f>
      </c>
      <c r="AE1078" s="7">
        <f>IFERROR(IF([1]对账明细接口!$AA1078=0,"",[1]对账明细接口!$AA1078),"")</f>
      </c>
      <c r="AF1078" s="7">
        <f>IFERROR(IF([1]对账明细接口!$AB1078=0,"",[1]对账明细接口!$AB1078),"")</f>
      </c>
      <c r="AG1078" s="7">
        <f>IFERROR(IF([1]对账明细接口!$AC1078=0,"",[1]对账明细接口!$AC1078),"")</f>
      </c>
      <c r="AH1078" s="7">
        <f>IFERROR(IF([1]对账明细接口!$AD1078=0,"",[1]对账明细接口!$AD1078),"")</f>
      </c>
      <c r="AI1078" s="7">
        <f>IFERROR(IF([1]对账明细接口!$AE1078=0,"",[1]对账明细接口!$AE1078),"")</f>
      </c>
      <c r="AJ1078" s="7">
        <f>IFERROR(IF([1]对账明细接口!$AF1078=0,"",[1]对账明细接口!$AF1078),"")</f>
      </c>
    </row>
    <row r="1079" ht="14.25" customHeight="1" s="127">
      <c r="A1079" s="14" t="n">
        <v>1079</v>
      </c>
      <c r="B1079" s="211">
        <f>IFERROR(IF([1]对账明细接口!$B$1079=0,"",[1]对账明细接口!$B$1079),"")</f>
      </c>
      <c r="C1079" s="16">
        <f>IFERROR(IF([1]对账明细接口!$C$1079=0,"",[1]对账明细接口!$C$1079),"")</f>
      </c>
      <c r="D1079" s="16">
        <f>IFERROR(IF([1]对账明细接口!$D$1079=0,"",[1]对账明细接口!$D$1079),"")</f>
      </c>
      <c r="E1079" s="16">
        <f>IFERROR(IF([1]对账明细接口!$E$1079=0,"",[1]对账明细接口!$E$1079),"")</f>
      </c>
      <c r="F1079" s="16">
        <f>IFERROR(IF([1]对账明细接口!$F$1079=0,"",[1]对账明细接口!$F$1079),"")</f>
      </c>
      <c r="G1079" s="16">
        <f>IFERROR(IF([1]对账明细接口!$G$1079=0,"",[1]对账明细接口!$G$1079),"")</f>
      </c>
      <c r="H1079" s="176">
        <f>IFERROR(IF([1]对账明细接口!$H$1079=0,"",[1]对账明细接口!$H$1079),"")</f>
      </c>
      <c r="I1079" s="16">
        <f>IFERROR(IF([1]对账明细接口!$I$1079=0,"",[1]对账明细接口!$I$1079),"")</f>
      </c>
      <c r="J1079" s="177">
        <f>IFERROR(IF([1]对账明细接口!$J$1079=0,"",[1]对账明细接口!$J$1079),"")</f>
      </c>
      <c r="K1079" s="177">
        <f>IFERROR(IF([1]对账明细接口!$K$1079=0,"",[1]对账明细接口!$K$1079),"")</f>
      </c>
      <c r="L1079" s="16">
        <f>IFERROR(IF([1]对账明细接口!$L$1079=0,"",[1]对账明细接口!$L$1079),"")</f>
      </c>
      <c r="M1079" s="16">
        <f>IFERROR(IF([1]对账明细接口!$M$1079=0,"",[1]对账明细接口!$M$1079),"")</f>
      </c>
      <c r="N1079" s="19">
        <f>IF($C1079="",0,1)</f>
        <v>0</v>
      </c>
      <c r="O1079" s="19">
        <f>N(O1078)+$N1079</f>
        <v>637</v>
      </c>
      <c r="S1079" s="20">
        <f>IFERROR(IF([1]对账明细接口!$N1079=0,"",[1]对账明细接口!$N1079),"")</f>
      </c>
      <c r="T1079" s="212">
        <f>IFERROR(IF([1]对账明细接口!$O1079=0,"",[1]对账明细接口!$O1079),"")</f>
      </c>
      <c r="U1079" s="212">
        <f>IFERROR(IF([1]对账明细接口!$P1079=0,"",[1]对账明细接口!$P1079),"")</f>
      </c>
      <c r="V1079" s="212">
        <f>IFERROR(IF([1]对账明细接口!$Q1079=0,"",[1]对账明细接口!$Q1079),"")</f>
      </c>
      <c r="W1079" s="20">
        <f>IFERROR(IF([1]对账明细接口!$R1079=0,"",[1]对账明细接口!$R1079),"")</f>
      </c>
      <c r="X1079" s="20">
        <f>IFERROR(IF([1]对账明细接口!$S1079=0,"",[1]对账明细接口!$S1079),"")</f>
      </c>
      <c r="Y1079" s="20">
        <f>IFERROR(IF([1]对账明细接口!$T1079=0,"",[1]对账明细接口!$T1079),"")</f>
      </c>
      <c r="Z1079" s="213">
        <f>IFERROR(IF([1]对账明细接口!$U1079=0,"",[1]对账明细接口!$U1079),"")</f>
      </c>
      <c r="AA1079" s="213">
        <f>IFERROR(IF([1]对账明细接口!$V1079=0,"",[1]对账明细接口!$V1079),"")</f>
      </c>
      <c r="AB1079" s="20">
        <f>IFERROR(IF([1]对账明细接口!$W1079=0,"",[1]对账明细接口!$W1079),"")</f>
      </c>
      <c r="AC1079" s="7">
        <f>IFERROR(IF([1]对账明细接口!$X1079=0,"",[1]对账明细接口!$X1079),"")</f>
      </c>
      <c r="AD1079" s="7">
        <f>IFERROR(IF([1]对账明细接口!$Y1079=0,"",[1]对账明细接口!$Y1079),"")</f>
      </c>
      <c r="AE1079" s="7">
        <f>IFERROR(IF([1]对账明细接口!$AA1079=0,"",[1]对账明细接口!$AA1079),"")</f>
      </c>
      <c r="AF1079" s="7">
        <f>IFERROR(IF([1]对账明细接口!$AB1079=0,"",[1]对账明细接口!$AB1079),"")</f>
      </c>
      <c r="AG1079" s="7">
        <f>IFERROR(IF([1]对账明细接口!$AC1079=0,"",[1]对账明细接口!$AC1079),"")</f>
      </c>
      <c r="AH1079" s="7">
        <f>IFERROR(IF([1]对账明细接口!$AD1079=0,"",[1]对账明细接口!$AD1079),"")</f>
      </c>
      <c r="AI1079" s="7">
        <f>IFERROR(IF([1]对账明细接口!$AE1079=0,"",[1]对账明细接口!$AE1079),"")</f>
      </c>
      <c r="AJ1079" s="7">
        <f>IFERROR(IF([1]对账明细接口!$AF1079=0,"",[1]对账明细接口!$AF1079),"")</f>
      </c>
    </row>
    <row r="1080" ht="14.25" customHeight="1" s="127">
      <c r="A1080" s="14" t="n">
        <v>1080</v>
      </c>
      <c r="B1080" s="211">
        <f>IFERROR(IF([1]对账明细接口!$B$1080=0,"",[1]对账明细接口!$B$1080),"")</f>
      </c>
      <c r="C1080" s="16">
        <f>IFERROR(IF([1]对账明细接口!$C$1080=0,"",[1]对账明细接口!$C$1080),"")</f>
      </c>
      <c r="D1080" s="16">
        <f>IFERROR(IF([1]对账明细接口!$D$1080=0,"",[1]对账明细接口!$D$1080),"")</f>
      </c>
      <c r="E1080" s="16">
        <f>IFERROR(IF([1]对账明细接口!$E$1080=0,"",[1]对账明细接口!$E$1080),"")</f>
      </c>
      <c r="F1080" s="16">
        <f>IFERROR(IF([1]对账明细接口!$F$1080=0,"",[1]对账明细接口!$F$1080),"")</f>
      </c>
      <c r="G1080" s="16">
        <f>IFERROR(IF([1]对账明细接口!$G$1080=0,"",[1]对账明细接口!$G$1080),"")</f>
      </c>
      <c r="H1080" s="176">
        <f>IFERROR(IF([1]对账明细接口!$H$1080=0,"",[1]对账明细接口!$H$1080),"")</f>
      </c>
      <c r="I1080" s="16">
        <f>IFERROR(IF([1]对账明细接口!$I$1080=0,"",[1]对账明细接口!$I$1080),"")</f>
      </c>
      <c r="J1080" s="177">
        <f>IFERROR(IF([1]对账明细接口!$J$1080=0,"",[1]对账明细接口!$J$1080),"")</f>
      </c>
      <c r="K1080" s="177">
        <f>IFERROR(IF([1]对账明细接口!$K$1080=0,"",[1]对账明细接口!$K$1080),"")</f>
      </c>
      <c r="L1080" s="16">
        <f>IFERROR(IF([1]对账明细接口!$L$1080=0,"",[1]对账明细接口!$L$1080),"")</f>
      </c>
      <c r="M1080" s="16">
        <f>IFERROR(IF([1]对账明细接口!$M$1080=0,"",[1]对账明细接口!$M$1080),"")</f>
      </c>
      <c r="N1080" s="19">
        <f>IF($C1080="",0,1)</f>
        <v>0</v>
      </c>
      <c r="O1080" s="19">
        <f>N(O1079)+$N1080</f>
        <v>637</v>
      </c>
      <c r="S1080" s="20">
        <f>IFERROR(IF([1]对账明细接口!$N1080=0,"",[1]对账明细接口!$N1080),"")</f>
      </c>
      <c r="T1080" s="212">
        <f>IFERROR(IF([1]对账明细接口!$O1080=0,"",[1]对账明细接口!$O1080),"")</f>
      </c>
      <c r="U1080" s="212">
        <f>IFERROR(IF([1]对账明细接口!$P1080=0,"",[1]对账明细接口!$P1080),"")</f>
      </c>
      <c r="V1080" s="212">
        <f>IFERROR(IF([1]对账明细接口!$Q1080=0,"",[1]对账明细接口!$Q1080),"")</f>
      </c>
      <c r="W1080" s="20">
        <f>IFERROR(IF([1]对账明细接口!$R1080=0,"",[1]对账明细接口!$R1080),"")</f>
      </c>
      <c r="X1080" s="20">
        <f>IFERROR(IF([1]对账明细接口!$S1080=0,"",[1]对账明细接口!$S1080),"")</f>
      </c>
      <c r="Y1080" s="20">
        <f>IFERROR(IF([1]对账明细接口!$T1080=0,"",[1]对账明细接口!$T1080),"")</f>
      </c>
      <c r="Z1080" s="213">
        <f>IFERROR(IF([1]对账明细接口!$U1080=0,"",[1]对账明细接口!$U1080),"")</f>
      </c>
      <c r="AA1080" s="213">
        <f>IFERROR(IF([1]对账明细接口!$V1080=0,"",[1]对账明细接口!$V1080),"")</f>
      </c>
      <c r="AB1080" s="20">
        <f>IFERROR(IF([1]对账明细接口!$W1080=0,"",[1]对账明细接口!$W1080),"")</f>
      </c>
      <c r="AC1080" s="7">
        <f>IFERROR(IF([1]对账明细接口!$X1080=0,"",[1]对账明细接口!$X1080),"")</f>
      </c>
      <c r="AD1080" s="7">
        <f>IFERROR(IF([1]对账明细接口!$Y1080=0,"",[1]对账明细接口!$Y1080),"")</f>
      </c>
      <c r="AE1080" s="7">
        <f>IFERROR(IF([1]对账明细接口!$AA1080=0,"",[1]对账明细接口!$AA1080),"")</f>
      </c>
      <c r="AF1080" s="7">
        <f>IFERROR(IF([1]对账明细接口!$AB1080=0,"",[1]对账明细接口!$AB1080),"")</f>
      </c>
      <c r="AG1080" s="7">
        <f>IFERROR(IF([1]对账明细接口!$AC1080=0,"",[1]对账明细接口!$AC1080),"")</f>
      </c>
      <c r="AH1080" s="7">
        <f>IFERROR(IF([1]对账明细接口!$AD1080=0,"",[1]对账明细接口!$AD1080),"")</f>
      </c>
      <c r="AI1080" s="7">
        <f>IFERROR(IF([1]对账明细接口!$AE1080=0,"",[1]对账明细接口!$AE1080),"")</f>
      </c>
      <c r="AJ1080" s="7">
        <f>IFERROR(IF([1]对账明细接口!$AF1080=0,"",[1]对账明细接口!$AF1080),"")</f>
      </c>
    </row>
    <row r="1081" ht="14.25" customHeight="1" s="127">
      <c r="A1081" s="14" t="n">
        <v>1081</v>
      </c>
      <c r="B1081" s="211">
        <f>IFERROR(IF([1]对账明细接口!$B$1081=0,"",[1]对账明细接口!$B$1081),"")</f>
      </c>
      <c r="C1081" s="16">
        <f>IFERROR(IF([1]对账明细接口!$C$1081=0,"",[1]对账明细接口!$C$1081),"")</f>
      </c>
      <c r="D1081" s="16">
        <f>IFERROR(IF([1]对账明细接口!$D$1081=0,"",[1]对账明细接口!$D$1081),"")</f>
      </c>
      <c r="E1081" s="16">
        <f>IFERROR(IF([1]对账明细接口!$E$1081=0,"",[1]对账明细接口!$E$1081),"")</f>
      </c>
      <c r="F1081" s="16">
        <f>IFERROR(IF([1]对账明细接口!$F$1081=0,"",[1]对账明细接口!$F$1081),"")</f>
      </c>
      <c r="G1081" s="16">
        <f>IFERROR(IF([1]对账明细接口!$G$1081=0,"",[1]对账明细接口!$G$1081),"")</f>
      </c>
      <c r="H1081" s="176">
        <f>IFERROR(IF([1]对账明细接口!$H$1081=0,"",[1]对账明细接口!$H$1081),"")</f>
      </c>
      <c r="I1081" s="16">
        <f>IFERROR(IF([1]对账明细接口!$I$1081=0,"",[1]对账明细接口!$I$1081),"")</f>
      </c>
      <c r="J1081" s="177">
        <f>IFERROR(IF([1]对账明细接口!$J$1081=0,"",[1]对账明细接口!$J$1081),"")</f>
      </c>
      <c r="K1081" s="177">
        <f>IFERROR(IF([1]对账明细接口!$K$1081=0,"",[1]对账明细接口!$K$1081),"")</f>
      </c>
      <c r="L1081" s="16">
        <f>IFERROR(IF([1]对账明细接口!$L$1081=0,"",[1]对账明细接口!$L$1081),"")</f>
      </c>
      <c r="M1081" s="16">
        <f>IFERROR(IF([1]对账明细接口!$M$1081=0,"",[1]对账明细接口!$M$1081),"")</f>
      </c>
      <c r="N1081" s="19">
        <f>IF($C1081="",0,1)</f>
        <v>0</v>
      </c>
      <c r="O1081" s="19">
        <f>N(O1080)+$N1081</f>
        <v>637</v>
      </c>
      <c r="S1081" s="20">
        <f>IFERROR(IF([1]对账明细接口!$N1081=0,"",[1]对账明细接口!$N1081),"")</f>
      </c>
      <c r="T1081" s="212">
        <f>IFERROR(IF([1]对账明细接口!$O1081=0,"",[1]对账明细接口!$O1081),"")</f>
      </c>
      <c r="U1081" s="212">
        <f>IFERROR(IF([1]对账明细接口!$P1081=0,"",[1]对账明细接口!$P1081),"")</f>
      </c>
      <c r="V1081" s="212">
        <f>IFERROR(IF([1]对账明细接口!$Q1081=0,"",[1]对账明细接口!$Q1081),"")</f>
      </c>
      <c r="W1081" s="20">
        <f>IFERROR(IF([1]对账明细接口!$R1081=0,"",[1]对账明细接口!$R1081),"")</f>
      </c>
      <c r="X1081" s="20">
        <f>IFERROR(IF([1]对账明细接口!$S1081=0,"",[1]对账明细接口!$S1081),"")</f>
      </c>
      <c r="Y1081" s="20">
        <f>IFERROR(IF([1]对账明细接口!$T1081=0,"",[1]对账明细接口!$T1081),"")</f>
      </c>
      <c r="Z1081" s="213">
        <f>IFERROR(IF([1]对账明细接口!$U1081=0,"",[1]对账明细接口!$U1081),"")</f>
      </c>
      <c r="AA1081" s="213">
        <f>IFERROR(IF([1]对账明细接口!$V1081=0,"",[1]对账明细接口!$V1081),"")</f>
      </c>
      <c r="AB1081" s="20">
        <f>IFERROR(IF([1]对账明细接口!$W1081=0,"",[1]对账明细接口!$W1081),"")</f>
      </c>
      <c r="AC1081" s="7">
        <f>IFERROR(IF([1]对账明细接口!$X1081=0,"",[1]对账明细接口!$X1081),"")</f>
      </c>
      <c r="AD1081" s="7">
        <f>IFERROR(IF([1]对账明细接口!$Y1081=0,"",[1]对账明细接口!$Y1081),"")</f>
      </c>
      <c r="AE1081" s="7">
        <f>IFERROR(IF([1]对账明细接口!$AA1081=0,"",[1]对账明细接口!$AA1081),"")</f>
      </c>
      <c r="AF1081" s="7">
        <f>IFERROR(IF([1]对账明细接口!$AB1081=0,"",[1]对账明细接口!$AB1081),"")</f>
      </c>
      <c r="AG1081" s="7">
        <f>IFERROR(IF([1]对账明细接口!$AC1081=0,"",[1]对账明细接口!$AC1081),"")</f>
      </c>
      <c r="AH1081" s="7">
        <f>IFERROR(IF([1]对账明细接口!$AD1081=0,"",[1]对账明细接口!$AD1081),"")</f>
      </c>
      <c r="AI1081" s="7">
        <f>IFERROR(IF([1]对账明细接口!$AE1081=0,"",[1]对账明细接口!$AE1081),"")</f>
      </c>
      <c r="AJ1081" s="7">
        <f>IFERROR(IF([1]对账明细接口!$AF1081=0,"",[1]对账明细接口!$AF1081),"")</f>
      </c>
    </row>
    <row r="1082" ht="14.25" customHeight="1" s="127">
      <c r="A1082" s="14" t="n">
        <v>1082</v>
      </c>
      <c r="B1082" s="211">
        <f>IFERROR(IF([1]对账明细接口!$B$1082=0,"",[1]对账明细接口!$B$1082),"")</f>
      </c>
      <c r="C1082" s="16">
        <f>IFERROR(IF([1]对账明细接口!$C$1082=0,"",[1]对账明细接口!$C$1082),"")</f>
      </c>
      <c r="D1082" s="16">
        <f>IFERROR(IF([1]对账明细接口!$D$1082=0,"",[1]对账明细接口!$D$1082),"")</f>
      </c>
      <c r="E1082" s="16">
        <f>IFERROR(IF([1]对账明细接口!$E$1082=0,"",[1]对账明细接口!$E$1082),"")</f>
      </c>
      <c r="F1082" s="16">
        <f>IFERROR(IF([1]对账明细接口!$F$1082=0,"",[1]对账明细接口!$F$1082),"")</f>
      </c>
      <c r="G1082" s="16">
        <f>IFERROR(IF([1]对账明细接口!$G$1082=0,"",[1]对账明细接口!$G$1082),"")</f>
      </c>
      <c r="H1082" s="176">
        <f>IFERROR(IF([1]对账明细接口!$H$1082=0,"",[1]对账明细接口!$H$1082),"")</f>
      </c>
      <c r="I1082" s="16">
        <f>IFERROR(IF([1]对账明细接口!$I$1082=0,"",[1]对账明细接口!$I$1082),"")</f>
      </c>
      <c r="J1082" s="177">
        <f>IFERROR(IF([1]对账明细接口!$J$1082=0,"",[1]对账明细接口!$J$1082),"")</f>
      </c>
      <c r="K1082" s="177">
        <f>IFERROR(IF([1]对账明细接口!$K$1082=0,"",[1]对账明细接口!$K$1082),"")</f>
      </c>
      <c r="L1082" s="16">
        <f>IFERROR(IF([1]对账明细接口!$L$1082=0,"",[1]对账明细接口!$L$1082),"")</f>
      </c>
      <c r="M1082" s="16">
        <f>IFERROR(IF([1]对账明细接口!$M$1082=0,"",[1]对账明细接口!$M$1082),"")</f>
      </c>
      <c r="N1082" s="19">
        <f>IF($C1082="",0,1)</f>
        <v>0</v>
      </c>
      <c r="O1082" s="19">
        <f>N(O1081)+$N1082</f>
        <v>637</v>
      </c>
      <c r="S1082" s="20">
        <f>IFERROR(IF([1]对账明细接口!$N1082=0,"",[1]对账明细接口!$N1082),"")</f>
      </c>
      <c r="T1082" s="212">
        <f>IFERROR(IF([1]对账明细接口!$O1082=0,"",[1]对账明细接口!$O1082),"")</f>
      </c>
      <c r="U1082" s="212">
        <f>IFERROR(IF([1]对账明细接口!$P1082=0,"",[1]对账明细接口!$P1082),"")</f>
      </c>
      <c r="V1082" s="212">
        <f>IFERROR(IF([1]对账明细接口!$Q1082=0,"",[1]对账明细接口!$Q1082),"")</f>
      </c>
      <c r="W1082" s="20">
        <f>IFERROR(IF([1]对账明细接口!$R1082=0,"",[1]对账明细接口!$R1082),"")</f>
      </c>
      <c r="X1082" s="20">
        <f>IFERROR(IF([1]对账明细接口!$S1082=0,"",[1]对账明细接口!$S1082),"")</f>
      </c>
      <c r="Y1082" s="20">
        <f>IFERROR(IF([1]对账明细接口!$T1082=0,"",[1]对账明细接口!$T1082),"")</f>
      </c>
      <c r="Z1082" s="213">
        <f>IFERROR(IF([1]对账明细接口!$U1082=0,"",[1]对账明细接口!$U1082),"")</f>
      </c>
      <c r="AA1082" s="213">
        <f>IFERROR(IF([1]对账明细接口!$V1082=0,"",[1]对账明细接口!$V1082),"")</f>
      </c>
      <c r="AB1082" s="20">
        <f>IFERROR(IF([1]对账明细接口!$W1082=0,"",[1]对账明细接口!$W1082),"")</f>
      </c>
      <c r="AC1082" s="7">
        <f>IFERROR(IF([1]对账明细接口!$X1082=0,"",[1]对账明细接口!$X1082),"")</f>
      </c>
      <c r="AD1082" s="7">
        <f>IFERROR(IF([1]对账明细接口!$Y1082=0,"",[1]对账明细接口!$Y1082),"")</f>
      </c>
      <c r="AE1082" s="7">
        <f>IFERROR(IF([1]对账明细接口!$AA1082=0,"",[1]对账明细接口!$AA1082),"")</f>
      </c>
      <c r="AF1082" s="7">
        <f>IFERROR(IF([1]对账明细接口!$AB1082=0,"",[1]对账明细接口!$AB1082),"")</f>
      </c>
      <c r="AG1082" s="7">
        <f>IFERROR(IF([1]对账明细接口!$AC1082=0,"",[1]对账明细接口!$AC1082),"")</f>
      </c>
      <c r="AH1082" s="7">
        <f>IFERROR(IF([1]对账明细接口!$AD1082=0,"",[1]对账明细接口!$AD1082),"")</f>
      </c>
      <c r="AI1082" s="7">
        <f>IFERROR(IF([1]对账明细接口!$AE1082=0,"",[1]对账明细接口!$AE1082),"")</f>
      </c>
      <c r="AJ1082" s="7">
        <f>IFERROR(IF([1]对账明细接口!$AF1082=0,"",[1]对账明细接口!$AF1082),"")</f>
      </c>
    </row>
    <row r="1083" ht="14.25" customHeight="1" s="127">
      <c r="A1083" s="14" t="n">
        <v>1083</v>
      </c>
      <c r="B1083" s="211">
        <f>IFERROR(IF([1]对账明细接口!$B$1083=0,"",[1]对账明细接口!$B$1083),"")</f>
      </c>
      <c r="C1083" s="16">
        <f>IFERROR(IF([1]对账明细接口!$C$1083=0,"",[1]对账明细接口!$C$1083),"")</f>
      </c>
      <c r="D1083" s="16">
        <f>IFERROR(IF([1]对账明细接口!$D$1083=0,"",[1]对账明细接口!$D$1083),"")</f>
      </c>
      <c r="E1083" s="16">
        <f>IFERROR(IF([1]对账明细接口!$E$1083=0,"",[1]对账明细接口!$E$1083),"")</f>
      </c>
      <c r="F1083" s="16">
        <f>IFERROR(IF([1]对账明细接口!$F$1083=0,"",[1]对账明细接口!$F$1083),"")</f>
      </c>
      <c r="G1083" s="16">
        <f>IFERROR(IF([1]对账明细接口!$G$1083=0,"",[1]对账明细接口!$G$1083),"")</f>
      </c>
      <c r="H1083" s="176">
        <f>IFERROR(IF([1]对账明细接口!$H$1083=0,"",[1]对账明细接口!$H$1083),"")</f>
      </c>
      <c r="I1083" s="16">
        <f>IFERROR(IF([1]对账明细接口!$I$1083=0,"",[1]对账明细接口!$I$1083),"")</f>
      </c>
      <c r="J1083" s="177">
        <f>IFERROR(IF([1]对账明细接口!$J$1083=0,"",[1]对账明细接口!$J$1083),"")</f>
      </c>
      <c r="K1083" s="177">
        <f>IFERROR(IF([1]对账明细接口!$K$1083=0,"",[1]对账明细接口!$K$1083),"")</f>
      </c>
      <c r="L1083" s="16">
        <f>IFERROR(IF([1]对账明细接口!$L$1083=0,"",[1]对账明细接口!$L$1083),"")</f>
      </c>
      <c r="M1083" s="16">
        <f>IFERROR(IF([1]对账明细接口!$M$1083=0,"",[1]对账明细接口!$M$1083),"")</f>
      </c>
      <c r="N1083" s="19">
        <f>IF($C1083="",0,1)</f>
        <v>0</v>
      </c>
      <c r="O1083" s="19">
        <f>N(O1082)+$N1083</f>
        <v>637</v>
      </c>
      <c r="S1083" s="20">
        <f>IFERROR(IF([1]对账明细接口!$N1083=0,"",[1]对账明细接口!$N1083),"")</f>
      </c>
      <c r="T1083" s="212">
        <f>IFERROR(IF([1]对账明细接口!$O1083=0,"",[1]对账明细接口!$O1083),"")</f>
      </c>
      <c r="U1083" s="212">
        <f>IFERROR(IF([1]对账明细接口!$P1083=0,"",[1]对账明细接口!$P1083),"")</f>
      </c>
      <c r="V1083" s="212">
        <f>IFERROR(IF([1]对账明细接口!$Q1083=0,"",[1]对账明细接口!$Q1083),"")</f>
      </c>
      <c r="W1083" s="20">
        <f>IFERROR(IF([1]对账明细接口!$R1083=0,"",[1]对账明细接口!$R1083),"")</f>
      </c>
      <c r="X1083" s="20">
        <f>IFERROR(IF([1]对账明细接口!$S1083=0,"",[1]对账明细接口!$S1083),"")</f>
      </c>
      <c r="Y1083" s="20">
        <f>IFERROR(IF([1]对账明细接口!$T1083=0,"",[1]对账明细接口!$T1083),"")</f>
      </c>
      <c r="Z1083" s="213">
        <f>IFERROR(IF([1]对账明细接口!$U1083=0,"",[1]对账明细接口!$U1083),"")</f>
      </c>
      <c r="AA1083" s="213">
        <f>IFERROR(IF([1]对账明细接口!$V1083=0,"",[1]对账明细接口!$V1083),"")</f>
      </c>
      <c r="AB1083" s="20">
        <f>IFERROR(IF([1]对账明细接口!$W1083=0,"",[1]对账明细接口!$W1083),"")</f>
      </c>
      <c r="AC1083" s="7">
        <f>IFERROR(IF([1]对账明细接口!$X1083=0,"",[1]对账明细接口!$X1083),"")</f>
      </c>
      <c r="AD1083" s="7">
        <f>IFERROR(IF([1]对账明细接口!$Y1083=0,"",[1]对账明细接口!$Y1083),"")</f>
      </c>
      <c r="AE1083" s="7">
        <f>IFERROR(IF([1]对账明细接口!$AA1083=0,"",[1]对账明细接口!$AA1083),"")</f>
      </c>
      <c r="AF1083" s="7">
        <f>IFERROR(IF([1]对账明细接口!$AB1083=0,"",[1]对账明细接口!$AB1083),"")</f>
      </c>
      <c r="AG1083" s="7">
        <f>IFERROR(IF([1]对账明细接口!$AC1083=0,"",[1]对账明细接口!$AC1083),"")</f>
      </c>
      <c r="AH1083" s="7">
        <f>IFERROR(IF([1]对账明细接口!$AD1083=0,"",[1]对账明细接口!$AD1083),"")</f>
      </c>
      <c r="AI1083" s="7">
        <f>IFERROR(IF([1]对账明细接口!$AE1083=0,"",[1]对账明细接口!$AE1083),"")</f>
      </c>
      <c r="AJ1083" s="7">
        <f>IFERROR(IF([1]对账明细接口!$AF1083=0,"",[1]对账明细接口!$AF1083),"")</f>
      </c>
    </row>
    <row r="1084" ht="14.25" customHeight="1" s="127">
      <c r="A1084" s="14" t="n">
        <v>1084</v>
      </c>
      <c r="B1084" s="211">
        <f>IFERROR(IF([1]对账明细接口!$B$1084=0,"",[1]对账明细接口!$B$1084),"")</f>
      </c>
      <c r="C1084" s="16">
        <f>IFERROR(IF([1]对账明细接口!$C$1084=0,"",[1]对账明细接口!$C$1084),"")</f>
      </c>
      <c r="D1084" s="16">
        <f>IFERROR(IF([1]对账明细接口!$D$1084=0,"",[1]对账明细接口!$D$1084),"")</f>
      </c>
      <c r="E1084" s="16">
        <f>IFERROR(IF([1]对账明细接口!$E$1084=0,"",[1]对账明细接口!$E$1084),"")</f>
      </c>
      <c r="F1084" s="16">
        <f>IFERROR(IF([1]对账明细接口!$F$1084=0,"",[1]对账明细接口!$F$1084),"")</f>
      </c>
      <c r="G1084" s="16">
        <f>IFERROR(IF([1]对账明细接口!$G$1084=0,"",[1]对账明细接口!$G$1084),"")</f>
      </c>
      <c r="H1084" s="176">
        <f>IFERROR(IF([1]对账明细接口!$H$1084=0,"",[1]对账明细接口!$H$1084),"")</f>
      </c>
      <c r="I1084" s="16">
        <f>IFERROR(IF([1]对账明细接口!$I$1084=0,"",[1]对账明细接口!$I$1084),"")</f>
      </c>
      <c r="J1084" s="177">
        <f>IFERROR(IF([1]对账明细接口!$J$1084=0,"",[1]对账明细接口!$J$1084),"")</f>
      </c>
      <c r="K1084" s="177">
        <f>IFERROR(IF([1]对账明细接口!$K$1084=0,"",[1]对账明细接口!$K$1084),"")</f>
      </c>
      <c r="L1084" s="16">
        <f>IFERROR(IF([1]对账明细接口!$L$1084=0,"",[1]对账明细接口!$L$1084),"")</f>
      </c>
      <c r="M1084" s="16">
        <f>IFERROR(IF([1]对账明细接口!$M$1084=0,"",[1]对账明细接口!$M$1084),"")</f>
      </c>
      <c r="N1084" s="19">
        <f>IF($C1084="",0,1)</f>
        <v>0</v>
      </c>
      <c r="O1084" s="19">
        <f>N(O1083)+$N1084</f>
        <v>637</v>
      </c>
      <c r="S1084" s="20">
        <f>IFERROR(IF([1]对账明细接口!$N1084=0,"",[1]对账明细接口!$N1084),"")</f>
      </c>
      <c r="T1084" s="212">
        <f>IFERROR(IF([1]对账明细接口!$O1084=0,"",[1]对账明细接口!$O1084),"")</f>
      </c>
      <c r="U1084" s="212">
        <f>IFERROR(IF([1]对账明细接口!$P1084=0,"",[1]对账明细接口!$P1084),"")</f>
      </c>
      <c r="V1084" s="212">
        <f>IFERROR(IF([1]对账明细接口!$Q1084=0,"",[1]对账明细接口!$Q1084),"")</f>
      </c>
      <c r="W1084" s="20">
        <f>IFERROR(IF([1]对账明细接口!$R1084=0,"",[1]对账明细接口!$R1084),"")</f>
      </c>
      <c r="X1084" s="20">
        <f>IFERROR(IF([1]对账明细接口!$S1084=0,"",[1]对账明细接口!$S1084),"")</f>
      </c>
      <c r="Y1084" s="20">
        <f>IFERROR(IF([1]对账明细接口!$T1084=0,"",[1]对账明细接口!$T1084),"")</f>
      </c>
      <c r="Z1084" s="213">
        <f>IFERROR(IF([1]对账明细接口!$U1084=0,"",[1]对账明细接口!$U1084),"")</f>
      </c>
      <c r="AA1084" s="213">
        <f>IFERROR(IF([1]对账明细接口!$V1084=0,"",[1]对账明细接口!$V1084),"")</f>
      </c>
      <c r="AB1084" s="20">
        <f>IFERROR(IF([1]对账明细接口!$W1084=0,"",[1]对账明细接口!$W1084),"")</f>
      </c>
      <c r="AC1084" s="7">
        <f>IFERROR(IF([1]对账明细接口!$X1084=0,"",[1]对账明细接口!$X1084),"")</f>
      </c>
      <c r="AD1084" s="7">
        <f>IFERROR(IF([1]对账明细接口!$Y1084=0,"",[1]对账明细接口!$Y1084),"")</f>
      </c>
      <c r="AE1084" s="7">
        <f>IFERROR(IF([1]对账明细接口!$AA1084=0,"",[1]对账明细接口!$AA1084),"")</f>
      </c>
      <c r="AF1084" s="7">
        <f>IFERROR(IF([1]对账明细接口!$AB1084=0,"",[1]对账明细接口!$AB1084),"")</f>
      </c>
      <c r="AG1084" s="7">
        <f>IFERROR(IF([1]对账明细接口!$AC1084=0,"",[1]对账明细接口!$AC1084),"")</f>
      </c>
      <c r="AH1084" s="7">
        <f>IFERROR(IF([1]对账明细接口!$AD1084=0,"",[1]对账明细接口!$AD1084),"")</f>
      </c>
      <c r="AI1084" s="7">
        <f>IFERROR(IF([1]对账明细接口!$AE1084=0,"",[1]对账明细接口!$AE1084),"")</f>
      </c>
      <c r="AJ1084" s="7">
        <f>IFERROR(IF([1]对账明细接口!$AF1084=0,"",[1]对账明细接口!$AF1084),"")</f>
      </c>
    </row>
    <row r="1085" ht="14.25" customHeight="1" s="127">
      <c r="A1085" s="14" t="n">
        <v>1085</v>
      </c>
      <c r="B1085" s="211">
        <f>IFERROR(IF([1]对账明细接口!$B$1085=0,"",[1]对账明细接口!$B$1085),"")</f>
      </c>
      <c r="C1085" s="16">
        <f>IFERROR(IF([1]对账明细接口!$C$1085=0,"",[1]对账明细接口!$C$1085),"")</f>
      </c>
      <c r="D1085" s="16">
        <f>IFERROR(IF([1]对账明细接口!$D$1085=0,"",[1]对账明细接口!$D$1085),"")</f>
      </c>
      <c r="E1085" s="16">
        <f>IFERROR(IF([1]对账明细接口!$E$1085=0,"",[1]对账明细接口!$E$1085),"")</f>
      </c>
      <c r="F1085" s="16">
        <f>IFERROR(IF([1]对账明细接口!$F$1085=0,"",[1]对账明细接口!$F$1085),"")</f>
      </c>
      <c r="G1085" s="16">
        <f>IFERROR(IF([1]对账明细接口!$G$1085=0,"",[1]对账明细接口!$G$1085),"")</f>
      </c>
      <c r="H1085" s="176">
        <f>IFERROR(IF([1]对账明细接口!$H$1085=0,"",[1]对账明细接口!$H$1085),"")</f>
      </c>
      <c r="I1085" s="16">
        <f>IFERROR(IF([1]对账明细接口!$I$1085=0,"",[1]对账明细接口!$I$1085),"")</f>
      </c>
      <c r="J1085" s="177">
        <f>IFERROR(IF([1]对账明细接口!$J$1085=0,"",[1]对账明细接口!$J$1085),"")</f>
      </c>
      <c r="K1085" s="177">
        <f>IFERROR(IF([1]对账明细接口!$K$1085=0,"",[1]对账明细接口!$K$1085),"")</f>
      </c>
      <c r="L1085" s="16">
        <f>IFERROR(IF([1]对账明细接口!$L$1085=0,"",[1]对账明细接口!$L$1085),"")</f>
      </c>
      <c r="M1085" s="16">
        <f>IFERROR(IF([1]对账明细接口!$M$1085=0,"",[1]对账明细接口!$M$1085),"")</f>
      </c>
      <c r="N1085" s="19">
        <f>IF($C1085="",0,1)</f>
        <v>0</v>
      </c>
      <c r="O1085" s="19">
        <f>N(O1084)+$N1085</f>
        <v>637</v>
      </c>
      <c r="S1085" s="20">
        <f>IFERROR(IF([1]对账明细接口!$N1085=0,"",[1]对账明细接口!$N1085),"")</f>
      </c>
      <c r="T1085" s="212">
        <f>IFERROR(IF([1]对账明细接口!$O1085=0,"",[1]对账明细接口!$O1085),"")</f>
      </c>
      <c r="U1085" s="212">
        <f>IFERROR(IF([1]对账明细接口!$P1085=0,"",[1]对账明细接口!$P1085),"")</f>
      </c>
      <c r="V1085" s="212">
        <f>IFERROR(IF([1]对账明细接口!$Q1085=0,"",[1]对账明细接口!$Q1085),"")</f>
      </c>
      <c r="W1085" s="20">
        <f>IFERROR(IF([1]对账明细接口!$R1085=0,"",[1]对账明细接口!$R1085),"")</f>
      </c>
      <c r="X1085" s="20">
        <f>IFERROR(IF([1]对账明细接口!$S1085=0,"",[1]对账明细接口!$S1085),"")</f>
      </c>
      <c r="Y1085" s="20">
        <f>IFERROR(IF([1]对账明细接口!$T1085=0,"",[1]对账明细接口!$T1085),"")</f>
      </c>
      <c r="Z1085" s="213">
        <f>IFERROR(IF([1]对账明细接口!$U1085=0,"",[1]对账明细接口!$U1085),"")</f>
      </c>
      <c r="AA1085" s="213">
        <f>IFERROR(IF([1]对账明细接口!$V1085=0,"",[1]对账明细接口!$V1085),"")</f>
      </c>
      <c r="AB1085" s="20">
        <f>IFERROR(IF([1]对账明细接口!$W1085=0,"",[1]对账明细接口!$W1085),"")</f>
      </c>
      <c r="AC1085" s="7">
        <f>IFERROR(IF([1]对账明细接口!$X1085=0,"",[1]对账明细接口!$X1085),"")</f>
      </c>
      <c r="AD1085" s="7">
        <f>IFERROR(IF([1]对账明细接口!$Y1085=0,"",[1]对账明细接口!$Y1085),"")</f>
      </c>
      <c r="AE1085" s="7">
        <f>IFERROR(IF([1]对账明细接口!$AA1085=0,"",[1]对账明细接口!$AA1085),"")</f>
      </c>
      <c r="AF1085" s="7">
        <f>IFERROR(IF([1]对账明细接口!$AB1085=0,"",[1]对账明细接口!$AB1085),"")</f>
      </c>
      <c r="AG1085" s="7">
        <f>IFERROR(IF([1]对账明细接口!$AC1085=0,"",[1]对账明细接口!$AC1085),"")</f>
      </c>
      <c r="AH1085" s="7">
        <f>IFERROR(IF([1]对账明细接口!$AD1085=0,"",[1]对账明细接口!$AD1085),"")</f>
      </c>
      <c r="AI1085" s="7">
        <f>IFERROR(IF([1]对账明细接口!$AE1085=0,"",[1]对账明细接口!$AE1085),"")</f>
      </c>
      <c r="AJ1085" s="7">
        <f>IFERROR(IF([1]对账明细接口!$AF1085=0,"",[1]对账明细接口!$AF1085),"")</f>
      </c>
    </row>
    <row r="1086" ht="14.25" customHeight="1" s="127">
      <c r="A1086" s="14" t="n">
        <v>1086</v>
      </c>
      <c r="B1086" s="211">
        <f>IFERROR(IF([1]对账明细接口!$B$1086=0,"",[1]对账明细接口!$B$1086),"")</f>
      </c>
      <c r="C1086" s="16">
        <f>IFERROR(IF([1]对账明细接口!$C$1086=0,"",[1]对账明细接口!$C$1086),"")</f>
      </c>
      <c r="D1086" s="16">
        <f>IFERROR(IF([1]对账明细接口!$D$1086=0,"",[1]对账明细接口!$D$1086),"")</f>
      </c>
      <c r="E1086" s="16">
        <f>IFERROR(IF([1]对账明细接口!$E$1086=0,"",[1]对账明细接口!$E$1086),"")</f>
      </c>
      <c r="F1086" s="16">
        <f>IFERROR(IF([1]对账明细接口!$F$1086=0,"",[1]对账明细接口!$F$1086),"")</f>
      </c>
      <c r="G1086" s="16">
        <f>IFERROR(IF([1]对账明细接口!$G$1086=0,"",[1]对账明细接口!$G$1086),"")</f>
      </c>
      <c r="H1086" s="176">
        <f>IFERROR(IF([1]对账明细接口!$H$1086=0,"",[1]对账明细接口!$H$1086),"")</f>
      </c>
      <c r="I1086" s="16">
        <f>IFERROR(IF([1]对账明细接口!$I$1086=0,"",[1]对账明细接口!$I$1086),"")</f>
      </c>
      <c r="J1086" s="177">
        <f>IFERROR(IF([1]对账明细接口!$J$1086=0,"",[1]对账明细接口!$J$1086),"")</f>
      </c>
      <c r="K1086" s="177">
        <f>IFERROR(IF([1]对账明细接口!$K$1086=0,"",[1]对账明细接口!$K$1086),"")</f>
      </c>
      <c r="L1086" s="16">
        <f>IFERROR(IF([1]对账明细接口!$L$1086=0,"",[1]对账明细接口!$L$1086),"")</f>
      </c>
      <c r="M1086" s="16">
        <f>IFERROR(IF([1]对账明细接口!$M$1086=0,"",[1]对账明细接口!$M$1086),"")</f>
      </c>
      <c r="N1086" s="19">
        <f>IF($C1086="",0,1)</f>
        <v>0</v>
      </c>
      <c r="O1086" s="19">
        <f>N(O1085)+$N1086</f>
        <v>637</v>
      </c>
      <c r="S1086" s="20">
        <f>IFERROR(IF([1]对账明细接口!$N1086=0,"",[1]对账明细接口!$N1086),"")</f>
      </c>
      <c r="T1086" s="212">
        <f>IFERROR(IF([1]对账明细接口!$O1086=0,"",[1]对账明细接口!$O1086),"")</f>
      </c>
      <c r="U1086" s="212">
        <f>IFERROR(IF([1]对账明细接口!$P1086=0,"",[1]对账明细接口!$P1086),"")</f>
      </c>
      <c r="V1086" s="212">
        <f>IFERROR(IF([1]对账明细接口!$Q1086=0,"",[1]对账明细接口!$Q1086),"")</f>
      </c>
      <c r="W1086" s="20">
        <f>IFERROR(IF([1]对账明细接口!$R1086=0,"",[1]对账明细接口!$R1086),"")</f>
      </c>
      <c r="X1086" s="20">
        <f>IFERROR(IF([1]对账明细接口!$S1086=0,"",[1]对账明细接口!$S1086),"")</f>
      </c>
      <c r="Y1086" s="20">
        <f>IFERROR(IF([1]对账明细接口!$T1086=0,"",[1]对账明细接口!$T1086),"")</f>
      </c>
      <c r="Z1086" s="213">
        <f>IFERROR(IF([1]对账明细接口!$U1086=0,"",[1]对账明细接口!$U1086),"")</f>
      </c>
      <c r="AA1086" s="213">
        <f>IFERROR(IF([1]对账明细接口!$V1086=0,"",[1]对账明细接口!$V1086),"")</f>
      </c>
      <c r="AB1086" s="20">
        <f>IFERROR(IF([1]对账明细接口!$W1086=0,"",[1]对账明细接口!$W1086),"")</f>
      </c>
      <c r="AC1086" s="7">
        <f>IFERROR(IF([1]对账明细接口!$X1086=0,"",[1]对账明细接口!$X1086),"")</f>
      </c>
      <c r="AD1086" s="7">
        <f>IFERROR(IF([1]对账明细接口!$Y1086=0,"",[1]对账明细接口!$Y1086),"")</f>
      </c>
      <c r="AE1086" s="7">
        <f>IFERROR(IF([1]对账明细接口!$AA1086=0,"",[1]对账明细接口!$AA1086),"")</f>
      </c>
      <c r="AF1086" s="7">
        <f>IFERROR(IF([1]对账明细接口!$AB1086=0,"",[1]对账明细接口!$AB1086),"")</f>
      </c>
      <c r="AG1086" s="7">
        <f>IFERROR(IF([1]对账明细接口!$AC1086=0,"",[1]对账明细接口!$AC1086),"")</f>
      </c>
      <c r="AH1086" s="7">
        <f>IFERROR(IF([1]对账明细接口!$AD1086=0,"",[1]对账明细接口!$AD1086),"")</f>
      </c>
      <c r="AI1086" s="7">
        <f>IFERROR(IF([1]对账明细接口!$AE1086=0,"",[1]对账明细接口!$AE1086),"")</f>
      </c>
      <c r="AJ1086" s="7">
        <f>IFERROR(IF([1]对账明细接口!$AF1086=0,"",[1]对账明细接口!$AF1086),"")</f>
      </c>
    </row>
    <row r="1087" ht="14.25" customHeight="1" s="127">
      <c r="A1087" s="14" t="n">
        <v>1087</v>
      </c>
      <c r="B1087" s="211">
        <f>IFERROR(IF([1]对账明细接口!$B$1087=0,"",[1]对账明细接口!$B$1087),"")</f>
      </c>
      <c r="C1087" s="16">
        <f>IFERROR(IF([1]对账明细接口!$C$1087=0,"",[1]对账明细接口!$C$1087),"")</f>
      </c>
      <c r="D1087" s="16">
        <f>IFERROR(IF([1]对账明细接口!$D$1087=0,"",[1]对账明细接口!$D$1087),"")</f>
      </c>
      <c r="E1087" s="16">
        <f>IFERROR(IF([1]对账明细接口!$E$1087=0,"",[1]对账明细接口!$E$1087),"")</f>
      </c>
      <c r="F1087" s="16">
        <f>IFERROR(IF([1]对账明细接口!$F$1087=0,"",[1]对账明细接口!$F$1087),"")</f>
      </c>
      <c r="G1087" s="16">
        <f>IFERROR(IF([1]对账明细接口!$G$1087=0,"",[1]对账明细接口!$G$1087),"")</f>
      </c>
      <c r="H1087" s="176">
        <f>IFERROR(IF([1]对账明细接口!$H$1087=0,"",[1]对账明细接口!$H$1087),"")</f>
      </c>
      <c r="I1087" s="16">
        <f>IFERROR(IF([1]对账明细接口!$I$1087=0,"",[1]对账明细接口!$I$1087),"")</f>
      </c>
      <c r="J1087" s="177">
        <f>IFERROR(IF([1]对账明细接口!$J$1087=0,"",[1]对账明细接口!$J$1087),"")</f>
      </c>
      <c r="K1087" s="177">
        <f>IFERROR(IF([1]对账明细接口!$K$1087=0,"",[1]对账明细接口!$K$1087),"")</f>
      </c>
      <c r="L1087" s="16">
        <f>IFERROR(IF([1]对账明细接口!$L$1087=0,"",[1]对账明细接口!$L$1087),"")</f>
      </c>
      <c r="M1087" s="16">
        <f>IFERROR(IF([1]对账明细接口!$M$1087=0,"",[1]对账明细接口!$M$1087),"")</f>
      </c>
      <c r="N1087" s="19">
        <f>IF($C1087="",0,1)</f>
        <v>0</v>
      </c>
      <c r="O1087" s="19">
        <f>N(O1086)+$N1087</f>
        <v>637</v>
      </c>
      <c r="S1087" s="20">
        <f>IFERROR(IF([1]对账明细接口!$N1087=0,"",[1]对账明细接口!$N1087),"")</f>
      </c>
      <c r="T1087" s="212">
        <f>IFERROR(IF([1]对账明细接口!$O1087=0,"",[1]对账明细接口!$O1087),"")</f>
      </c>
      <c r="U1087" s="212">
        <f>IFERROR(IF([1]对账明细接口!$P1087=0,"",[1]对账明细接口!$P1087),"")</f>
      </c>
      <c r="V1087" s="212">
        <f>IFERROR(IF([1]对账明细接口!$Q1087=0,"",[1]对账明细接口!$Q1087),"")</f>
      </c>
      <c r="W1087" s="20">
        <f>IFERROR(IF([1]对账明细接口!$R1087=0,"",[1]对账明细接口!$R1087),"")</f>
      </c>
      <c r="X1087" s="20">
        <f>IFERROR(IF([1]对账明细接口!$S1087=0,"",[1]对账明细接口!$S1087),"")</f>
      </c>
      <c r="Y1087" s="20">
        <f>IFERROR(IF([1]对账明细接口!$T1087=0,"",[1]对账明细接口!$T1087),"")</f>
      </c>
      <c r="Z1087" s="213">
        <f>IFERROR(IF([1]对账明细接口!$U1087=0,"",[1]对账明细接口!$U1087),"")</f>
      </c>
      <c r="AA1087" s="213">
        <f>IFERROR(IF([1]对账明细接口!$V1087=0,"",[1]对账明细接口!$V1087),"")</f>
      </c>
      <c r="AB1087" s="20">
        <f>IFERROR(IF([1]对账明细接口!$W1087=0,"",[1]对账明细接口!$W1087),"")</f>
      </c>
      <c r="AC1087" s="7">
        <f>IFERROR(IF([1]对账明细接口!$X1087=0,"",[1]对账明细接口!$X1087),"")</f>
      </c>
      <c r="AD1087" s="7">
        <f>IFERROR(IF([1]对账明细接口!$Y1087=0,"",[1]对账明细接口!$Y1087),"")</f>
      </c>
      <c r="AE1087" s="7">
        <f>IFERROR(IF([1]对账明细接口!$AA1087=0,"",[1]对账明细接口!$AA1087),"")</f>
      </c>
      <c r="AF1087" s="7">
        <f>IFERROR(IF([1]对账明细接口!$AB1087=0,"",[1]对账明细接口!$AB1087),"")</f>
      </c>
      <c r="AG1087" s="7">
        <f>IFERROR(IF([1]对账明细接口!$AC1087=0,"",[1]对账明细接口!$AC1087),"")</f>
      </c>
      <c r="AH1087" s="7">
        <f>IFERROR(IF([1]对账明细接口!$AD1087=0,"",[1]对账明细接口!$AD1087),"")</f>
      </c>
      <c r="AI1087" s="7">
        <f>IFERROR(IF([1]对账明细接口!$AE1087=0,"",[1]对账明细接口!$AE1087),"")</f>
      </c>
      <c r="AJ1087" s="7">
        <f>IFERROR(IF([1]对账明细接口!$AF1087=0,"",[1]对账明细接口!$AF1087),"")</f>
      </c>
    </row>
    <row r="1088" ht="14.25" customHeight="1" s="127">
      <c r="A1088" s="14" t="n">
        <v>1088</v>
      </c>
      <c r="B1088" s="211">
        <f>IFERROR(IF([1]对账明细接口!$B$1088=0,"",[1]对账明细接口!$B$1088),"")</f>
      </c>
      <c r="C1088" s="16">
        <f>IFERROR(IF([1]对账明细接口!$C$1088=0,"",[1]对账明细接口!$C$1088),"")</f>
      </c>
      <c r="D1088" s="16">
        <f>IFERROR(IF([1]对账明细接口!$D$1088=0,"",[1]对账明细接口!$D$1088),"")</f>
      </c>
      <c r="E1088" s="16">
        <f>IFERROR(IF([1]对账明细接口!$E$1088=0,"",[1]对账明细接口!$E$1088),"")</f>
      </c>
      <c r="F1088" s="16">
        <f>IFERROR(IF([1]对账明细接口!$F$1088=0,"",[1]对账明细接口!$F$1088),"")</f>
      </c>
      <c r="G1088" s="16">
        <f>IFERROR(IF([1]对账明细接口!$G$1088=0,"",[1]对账明细接口!$G$1088),"")</f>
      </c>
      <c r="H1088" s="176">
        <f>IFERROR(IF([1]对账明细接口!$H$1088=0,"",[1]对账明细接口!$H$1088),"")</f>
      </c>
      <c r="I1088" s="16">
        <f>IFERROR(IF([1]对账明细接口!$I$1088=0,"",[1]对账明细接口!$I$1088),"")</f>
      </c>
      <c r="J1088" s="177">
        <f>IFERROR(IF([1]对账明细接口!$J$1088=0,"",[1]对账明细接口!$J$1088),"")</f>
      </c>
      <c r="K1088" s="177">
        <f>IFERROR(IF([1]对账明细接口!$K$1088=0,"",[1]对账明细接口!$K$1088),"")</f>
      </c>
      <c r="L1088" s="16">
        <f>IFERROR(IF([1]对账明细接口!$L$1088=0,"",[1]对账明细接口!$L$1088),"")</f>
      </c>
      <c r="M1088" s="16">
        <f>IFERROR(IF([1]对账明细接口!$M$1088=0,"",[1]对账明细接口!$M$1088),"")</f>
      </c>
      <c r="N1088" s="19">
        <f>IF($C1088="",0,1)</f>
        <v>0</v>
      </c>
      <c r="O1088" s="19">
        <f>N(O1087)+$N1088</f>
        <v>637</v>
      </c>
      <c r="S1088" s="20">
        <f>IFERROR(IF([1]对账明细接口!$N1088=0,"",[1]对账明细接口!$N1088),"")</f>
      </c>
      <c r="T1088" s="212">
        <f>IFERROR(IF([1]对账明细接口!$O1088=0,"",[1]对账明细接口!$O1088),"")</f>
      </c>
      <c r="U1088" s="212">
        <f>IFERROR(IF([1]对账明细接口!$P1088=0,"",[1]对账明细接口!$P1088),"")</f>
      </c>
      <c r="V1088" s="212">
        <f>IFERROR(IF([1]对账明细接口!$Q1088=0,"",[1]对账明细接口!$Q1088),"")</f>
      </c>
      <c r="W1088" s="20">
        <f>IFERROR(IF([1]对账明细接口!$R1088=0,"",[1]对账明细接口!$R1088),"")</f>
      </c>
      <c r="X1088" s="20">
        <f>IFERROR(IF([1]对账明细接口!$S1088=0,"",[1]对账明细接口!$S1088),"")</f>
      </c>
      <c r="Y1088" s="20">
        <f>IFERROR(IF([1]对账明细接口!$T1088=0,"",[1]对账明细接口!$T1088),"")</f>
      </c>
      <c r="Z1088" s="213">
        <f>IFERROR(IF([1]对账明细接口!$U1088=0,"",[1]对账明细接口!$U1088),"")</f>
      </c>
      <c r="AA1088" s="213">
        <f>IFERROR(IF([1]对账明细接口!$V1088=0,"",[1]对账明细接口!$V1088),"")</f>
      </c>
      <c r="AB1088" s="20">
        <f>IFERROR(IF([1]对账明细接口!$W1088=0,"",[1]对账明细接口!$W1088),"")</f>
      </c>
      <c r="AC1088" s="7">
        <f>IFERROR(IF([1]对账明细接口!$X1088=0,"",[1]对账明细接口!$X1088),"")</f>
      </c>
      <c r="AD1088" s="7">
        <f>IFERROR(IF([1]对账明细接口!$Y1088=0,"",[1]对账明细接口!$Y1088),"")</f>
      </c>
      <c r="AE1088" s="7">
        <f>IFERROR(IF([1]对账明细接口!$AA1088=0,"",[1]对账明细接口!$AA1088),"")</f>
      </c>
      <c r="AF1088" s="7">
        <f>IFERROR(IF([1]对账明细接口!$AB1088=0,"",[1]对账明细接口!$AB1088),"")</f>
      </c>
      <c r="AG1088" s="7">
        <f>IFERROR(IF([1]对账明细接口!$AC1088=0,"",[1]对账明细接口!$AC1088),"")</f>
      </c>
      <c r="AH1088" s="7">
        <f>IFERROR(IF([1]对账明细接口!$AD1088=0,"",[1]对账明细接口!$AD1088),"")</f>
      </c>
      <c r="AI1088" s="7">
        <f>IFERROR(IF([1]对账明细接口!$AE1088=0,"",[1]对账明细接口!$AE1088),"")</f>
      </c>
      <c r="AJ1088" s="7">
        <f>IFERROR(IF([1]对账明细接口!$AF1088=0,"",[1]对账明细接口!$AF1088),"")</f>
      </c>
    </row>
    <row r="1089" ht="14.25" customHeight="1" s="127">
      <c r="A1089" s="14" t="n">
        <v>1089</v>
      </c>
      <c r="B1089" s="211">
        <f>IFERROR(IF([1]对账明细接口!$B$1089=0,"",[1]对账明细接口!$B$1089),"")</f>
      </c>
      <c r="C1089" s="16">
        <f>IFERROR(IF([1]对账明细接口!$C$1089=0,"",[1]对账明细接口!$C$1089),"")</f>
      </c>
      <c r="D1089" s="16">
        <f>IFERROR(IF([1]对账明细接口!$D$1089=0,"",[1]对账明细接口!$D$1089),"")</f>
      </c>
      <c r="E1089" s="16">
        <f>IFERROR(IF([1]对账明细接口!$E$1089=0,"",[1]对账明细接口!$E$1089),"")</f>
      </c>
      <c r="F1089" s="16">
        <f>IFERROR(IF([1]对账明细接口!$F$1089=0,"",[1]对账明细接口!$F$1089),"")</f>
      </c>
      <c r="G1089" s="16">
        <f>IFERROR(IF([1]对账明细接口!$G$1089=0,"",[1]对账明细接口!$G$1089),"")</f>
      </c>
      <c r="H1089" s="176">
        <f>IFERROR(IF([1]对账明细接口!$H$1089=0,"",[1]对账明细接口!$H$1089),"")</f>
      </c>
      <c r="I1089" s="16">
        <f>IFERROR(IF([1]对账明细接口!$I$1089=0,"",[1]对账明细接口!$I$1089),"")</f>
      </c>
      <c r="J1089" s="177">
        <f>IFERROR(IF([1]对账明细接口!$J$1089=0,"",[1]对账明细接口!$J$1089),"")</f>
      </c>
      <c r="K1089" s="177">
        <f>IFERROR(IF([1]对账明细接口!$K$1089=0,"",[1]对账明细接口!$K$1089),"")</f>
      </c>
      <c r="L1089" s="16">
        <f>IFERROR(IF([1]对账明细接口!$L$1089=0,"",[1]对账明细接口!$L$1089),"")</f>
      </c>
      <c r="M1089" s="16">
        <f>IFERROR(IF([1]对账明细接口!$M$1089=0,"",[1]对账明细接口!$M$1089),"")</f>
      </c>
      <c r="N1089" s="19">
        <f>IF($C1089="",0,1)</f>
        <v>0</v>
      </c>
      <c r="O1089" s="19">
        <f>N(O1088)+$N1089</f>
        <v>637</v>
      </c>
      <c r="S1089" s="20">
        <f>IFERROR(IF([1]对账明细接口!$N1089=0,"",[1]对账明细接口!$N1089),"")</f>
      </c>
      <c r="T1089" s="212">
        <f>IFERROR(IF([1]对账明细接口!$O1089=0,"",[1]对账明细接口!$O1089),"")</f>
      </c>
      <c r="U1089" s="212">
        <f>IFERROR(IF([1]对账明细接口!$P1089=0,"",[1]对账明细接口!$P1089),"")</f>
      </c>
      <c r="V1089" s="212">
        <f>IFERROR(IF([1]对账明细接口!$Q1089=0,"",[1]对账明细接口!$Q1089),"")</f>
      </c>
      <c r="W1089" s="20">
        <f>IFERROR(IF([1]对账明细接口!$R1089=0,"",[1]对账明细接口!$R1089),"")</f>
      </c>
      <c r="X1089" s="20">
        <f>IFERROR(IF([1]对账明细接口!$S1089=0,"",[1]对账明细接口!$S1089),"")</f>
      </c>
      <c r="Y1089" s="20">
        <f>IFERROR(IF([1]对账明细接口!$T1089=0,"",[1]对账明细接口!$T1089),"")</f>
      </c>
      <c r="Z1089" s="213">
        <f>IFERROR(IF([1]对账明细接口!$U1089=0,"",[1]对账明细接口!$U1089),"")</f>
      </c>
      <c r="AA1089" s="213">
        <f>IFERROR(IF([1]对账明细接口!$V1089=0,"",[1]对账明细接口!$V1089),"")</f>
      </c>
      <c r="AB1089" s="20">
        <f>IFERROR(IF([1]对账明细接口!$W1089=0,"",[1]对账明细接口!$W1089),"")</f>
      </c>
      <c r="AC1089" s="7">
        <f>IFERROR(IF([1]对账明细接口!$X1089=0,"",[1]对账明细接口!$X1089),"")</f>
      </c>
      <c r="AD1089" s="7">
        <f>IFERROR(IF([1]对账明细接口!$Y1089=0,"",[1]对账明细接口!$Y1089),"")</f>
      </c>
      <c r="AE1089" s="7">
        <f>IFERROR(IF([1]对账明细接口!$AA1089=0,"",[1]对账明细接口!$AA1089),"")</f>
      </c>
      <c r="AF1089" s="7">
        <f>IFERROR(IF([1]对账明细接口!$AB1089=0,"",[1]对账明细接口!$AB1089),"")</f>
      </c>
      <c r="AG1089" s="7">
        <f>IFERROR(IF([1]对账明细接口!$AC1089=0,"",[1]对账明细接口!$AC1089),"")</f>
      </c>
      <c r="AH1089" s="7">
        <f>IFERROR(IF([1]对账明细接口!$AD1089=0,"",[1]对账明细接口!$AD1089),"")</f>
      </c>
      <c r="AI1089" s="7">
        <f>IFERROR(IF([1]对账明细接口!$AE1089=0,"",[1]对账明细接口!$AE1089),"")</f>
      </c>
      <c r="AJ1089" s="7">
        <f>IFERROR(IF([1]对账明细接口!$AF1089=0,"",[1]对账明细接口!$AF1089),"")</f>
      </c>
    </row>
    <row r="1090" ht="14.25" customHeight="1" s="127">
      <c r="A1090" s="14" t="n">
        <v>1090</v>
      </c>
      <c r="B1090" s="211">
        <f>IFERROR(IF([1]对账明细接口!$B$1090=0,"",[1]对账明细接口!$B$1090),"")</f>
      </c>
      <c r="C1090" s="16">
        <f>IFERROR(IF([1]对账明细接口!$C$1090=0,"",[1]对账明细接口!$C$1090),"")</f>
      </c>
      <c r="D1090" s="16">
        <f>IFERROR(IF([1]对账明细接口!$D$1090=0,"",[1]对账明细接口!$D$1090),"")</f>
      </c>
      <c r="E1090" s="16">
        <f>IFERROR(IF([1]对账明细接口!$E$1090=0,"",[1]对账明细接口!$E$1090),"")</f>
      </c>
      <c r="F1090" s="16">
        <f>IFERROR(IF([1]对账明细接口!$F$1090=0,"",[1]对账明细接口!$F$1090),"")</f>
      </c>
      <c r="G1090" s="16">
        <f>IFERROR(IF([1]对账明细接口!$G$1090=0,"",[1]对账明细接口!$G$1090),"")</f>
      </c>
      <c r="H1090" s="176">
        <f>IFERROR(IF([1]对账明细接口!$H$1090=0,"",[1]对账明细接口!$H$1090),"")</f>
      </c>
      <c r="I1090" s="16">
        <f>IFERROR(IF([1]对账明细接口!$I$1090=0,"",[1]对账明细接口!$I$1090),"")</f>
      </c>
      <c r="J1090" s="177">
        <f>IFERROR(IF([1]对账明细接口!$J$1090=0,"",[1]对账明细接口!$J$1090),"")</f>
      </c>
      <c r="K1090" s="177">
        <f>IFERROR(IF([1]对账明细接口!$K$1090=0,"",[1]对账明细接口!$K$1090),"")</f>
      </c>
      <c r="L1090" s="16">
        <f>IFERROR(IF([1]对账明细接口!$L$1090=0,"",[1]对账明细接口!$L$1090),"")</f>
      </c>
      <c r="M1090" s="16">
        <f>IFERROR(IF([1]对账明细接口!$M$1090=0,"",[1]对账明细接口!$M$1090),"")</f>
      </c>
      <c r="N1090" s="19">
        <f>IF($C1090="",0,1)</f>
        <v>0</v>
      </c>
      <c r="O1090" s="19">
        <f>N(O1089)+$N1090</f>
        <v>637</v>
      </c>
      <c r="S1090" s="20">
        <f>IFERROR(IF([1]对账明细接口!$N1090=0,"",[1]对账明细接口!$N1090),"")</f>
      </c>
      <c r="T1090" s="212">
        <f>IFERROR(IF([1]对账明细接口!$O1090=0,"",[1]对账明细接口!$O1090),"")</f>
      </c>
      <c r="U1090" s="212">
        <f>IFERROR(IF([1]对账明细接口!$P1090=0,"",[1]对账明细接口!$P1090),"")</f>
      </c>
      <c r="V1090" s="212">
        <f>IFERROR(IF([1]对账明细接口!$Q1090=0,"",[1]对账明细接口!$Q1090),"")</f>
      </c>
      <c r="W1090" s="20">
        <f>IFERROR(IF([1]对账明细接口!$R1090=0,"",[1]对账明细接口!$R1090),"")</f>
      </c>
      <c r="X1090" s="20">
        <f>IFERROR(IF([1]对账明细接口!$S1090=0,"",[1]对账明细接口!$S1090),"")</f>
      </c>
      <c r="Y1090" s="20">
        <f>IFERROR(IF([1]对账明细接口!$T1090=0,"",[1]对账明细接口!$T1090),"")</f>
      </c>
      <c r="Z1090" s="213">
        <f>IFERROR(IF([1]对账明细接口!$U1090=0,"",[1]对账明细接口!$U1090),"")</f>
      </c>
      <c r="AA1090" s="213">
        <f>IFERROR(IF([1]对账明细接口!$V1090=0,"",[1]对账明细接口!$V1090),"")</f>
      </c>
      <c r="AB1090" s="20">
        <f>IFERROR(IF([1]对账明细接口!$W1090=0,"",[1]对账明细接口!$W1090),"")</f>
      </c>
      <c r="AC1090" s="7">
        <f>IFERROR(IF([1]对账明细接口!$X1090=0,"",[1]对账明细接口!$X1090),"")</f>
      </c>
      <c r="AD1090" s="7">
        <f>IFERROR(IF([1]对账明细接口!$Y1090=0,"",[1]对账明细接口!$Y1090),"")</f>
      </c>
      <c r="AE1090" s="7">
        <f>IFERROR(IF([1]对账明细接口!$AA1090=0,"",[1]对账明细接口!$AA1090),"")</f>
      </c>
      <c r="AF1090" s="7">
        <f>IFERROR(IF([1]对账明细接口!$AB1090=0,"",[1]对账明细接口!$AB1090),"")</f>
      </c>
      <c r="AG1090" s="7">
        <f>IFERROR(IF([1]对账明细接口!$AC1090=0,"",[1]对账明细接口!$AC1090),"")</f>
      </c>
      <c r="AH1090" s="7">
        <f>IFERROR(IF([1]对账明细接口!$AD1090=0,"",[1]对账明细接口!$AD1090),"")</f>
      </c>
      <c r="AI1090" s="7">
        <f>IFERROR(IF([1]对账明细接口!$AE1090=0,"",[1]对账明细接口!$AE1090),"")</f>
      </c>
      <c r="AJ1090" s="7">
        <f>IFERROR(IF([1]对账明细接口!$AF1090=0,"",[1]对账明细接口!$AF1090),"")</f>
      </c>
    </row>
    <row r="1091" ht="14.25" customHeight="1" s="127">
      <c r="A1091" s="14" t="n">
        <v>1091</v>
      </c>
      <c r="B1091" s="211">
        <f>IFERROR(IF([1]对账明细接口!$B$1091=0,"",[1]对账明细接口!$B$1091),"")</f>
      </c>
      <c r="C1091" s="16">
        <f>IFERROR(IF([1]对账明细接口!$C$1091=0,"",[1]对账明细接口!$C$1091),"")</f>
      </c>
      <c r="D1091" s="16">
        <f>IFERROR(IF([1]对账明细接口!$D$1091=0,"",[1]对账明细接口!$D$1091),"")</f>
      </c>
      <c r="E1091" s="16">
        <f>IFERROR(IF([1]对账明细接口!$E$1091=0,"",[1]对账明细接口!$E$1091),"")</f>
      </c>
      <c r="F1091" s="16">
        <f>IFERROR(IF([1]对账明细接口!$F$1091=0,"",[1]对账明细接口!$F$1091),"")</f>
      </c>
      <c r="G1091" s="16">
        <f>IFERROR(IF([1]对账明细接口!$G$1091=0,"",[1]对账明细接口!$G$1091),"")</f>
      </c>
      <c r="H1091" s="176">
        <f>IFERROR(IF([1]对账明细接口!$H$1091=0,"",[1]对账明细接口!$H$1091),"")</f>
      </c>
      <c r="I1091" s="16">
        <f>IFERROR(IF([1]对账明细接口!$I$1091=0,"",[1]对账明细接口!$I$1091),"")</f>
      </c>
      <c r="J1091" s="177">
        <f>IFERROR(IF([1]对账明细接口!$J$1091=0,"",[1]对账明细接口!$J$1091),"")</f>
      </c>
      <c r="K1091" s="177">
        <f>IFERROR(IF([1]对账明细接口!$K$1091=0,"",[1]对账明细接口!$K$1091),"")</f>
      </c>
      <c r="L1091" s="16">
        <f>IFERROR(IF([1]对账明细接口!$L$1091=0,"",[1]对账明细接口!$L$1091),"")</f>
      </c>
      <c r="M1091" s="16">
        <f>IFERROR(IF([1]对账明细接口!$M$1091=0,"",[1]对账明细接口!$M$1091),"")</f>
      </c>
      <c r="N1091" s="19">
        <f>IF($C1091="",0,1)</f>
        <v>0</v>
      </c>
      <c r="O1091" s="19">
        <f>N(O1090)+$N1091</f>
        <v>637</v>
      </c>
      <c r="S1091" s="20">
        <f>IFERROR(IF([1]对账明细接口!$N1091=0,"",[1]对账明细接口!$N1091),"")</f>
      </c>
      <c r="T1091" s="212">
        <f>IFERROR(IF([1]对账明细接口!$O1091=0,"",[1]对账明细接口!$O1091),"")</f>
      </c>
      <c r="U1091" s="212">
        <f>IFERROR(IF([1]对账明细接口!$P1091=0,"",[1]对账明细接口!$P1091),"")</f>
      </c>
      <c r="V1091" s="212">
        <f>IFERROR(IF([1]对账明细接口!$Q1091=0,"",[1]对账明细接口!$Q1091),"")</f>
      </c>
      <c r="W1091" s="20">
        <f>IFERROR(IF([1]对账明细接口!$R1091=0,"",[1]对账明细接口!$R1091),"")</f>
      </c>
      <c r="X1091" s="20">
        <f>IFERROR(IF([1]对账明细接口!$S1091=0,"",[1]对账明细接口!$S1091),"")</f>
      </c>
      <c r="Y1091" s="20">
        <f>IFERROR(IF([1]对账明细接口!$T1091=0,"",[1]对账明细接口!$T1091),"")</f>
      </c>
      <c r="Z1091" s="213">
        <f>IFERROR(IF([1]对账明细接口!$U1091=0,"",[1]对账明细接口!$U1091),"")</f>
      </c>
      <c r="AA1091" s="213">
        <f>IFERROR(IF([1]对账明细接口!$V1091=0,"",[1]对账明细接口!$V1091),"")</f>
      </c>
      <c r="AB1091" s="20">
        <f>IFERROR(IF([1]对账明细接口!$W1091=0,"",[1]对账明细接口!$W1091),"")</f>
      </c>
      <c r="AC1091" s="7">
        <f>IFERROR(IF([1]对账明细接口!$X1091=0,"",[1]对账明细接口!$X1091),"")</f>
      </c>
      <c r="AD1091" s="7">
        <f>IFERROR(IF([1]对账明细接口!$Y1091=0,"",[1]对账明细接口!$Y1091),"")</f>
      </c>
      <c r="AE1091" s="7">
        <f>IFERROR(IF([1]对账明细接口!$AA1091=0,"",[1]对账明细接口!$AA1091),"")</f>
      </c>
      <c r="AF1091" s="7">
        <f>IFERROR(IF([1]对账明细接口!$AB1091=0,"",[1]对账明细接口!$AB1091),"")</f>
      </c>
      <c r="AG1091" s="7">
        <f>IFERROR(IF([1]对账明细接口!$AC1091=0,"",[1]对账明细接口!$AC1091),"")</f>
      </c>
      <c r="AH1091" s="7">
        <f>IFERROR(IF([1]对账明细接口!$AD1091=0,"",[1]对账明细接口!$AD1091),"")</f>
      </c>
      <c r="AI1091" s="7">
        <f>IFERROR(IF([1]对账明细接口!$AE1091=0,"",[1]对账明细接口!$AE1091),"")</f>
      </c>
      <c r="AJ1091" s="7">
        <f>IFERROR(IF([1]对账明细接口!$AF1091=0,"",[1]对账明细接口!$AF1091),"")</f>
      </c>
    </row>
    <row r="1092" ht="14.25" customHeight="1" s="127">
      <c r="A1092" s="14" t="n">
        <v>1092</v>
      </c>
      <c r="B1092" s="211">
        <f>IFERROR(IF([1]对账明细接口!$B$1092=0,"",[1]对账明细接口!$B$1092),"")</f>
      </c>
      <c r="C1092" s="16">
        <f>IFERROR(IF([1]对账明细接口!$C$1092=0,"",[1]对账明细接口!$C$1092),"")</f>
      </c>
      <c r="D1092" s="16">
        <f>IFERROR(IF([1]对账明细接口!$D$1092=0,"",[1]对账明细接口!$D$1092),"")</f>
      </c>
      <c r="E1092" s="16">
        <f>IFERROR(IF([1]对账明细接口!$E$1092=0,"",[1]对账明细接口!$E$1092),"")</f>
      </c>
      <c r="F1092" s="16">
        <f>IFERROR(IF([1]对账明细接口!$F$1092=0,"",[1]对账明细接口!$F$1092),"")</f>
      </c>
      <c r="G1092" s="16">
        <f>IFERROR(IF([1]对账明细接口!$G$1092=0,"",[1]对账明细接口!$G$1092),"")</f>
      </c>
      <c r="H1092" s="176">
        <f>IFERROR(IF([1]对账明细接口!$H$1092=0,"",[1]对账明细接口!$H$1092),"")</f>
      </c>
      <c r="I1092" s="16">
        <f>IFERROR(IF([1]对账明细接口!$I$1092=0,"",[1]对账明细接口!$I$1092),"")</f>
      </c>
      <c r="J1092" s="177">
        <f>IFERROR(IF([1]对账明细接口!$J$1092=0,"",[1]对账明细接口!$J$1092),"")</f>
      </c>
      <c r="K1092" s="177">
        <f>IFERROR(IF([1]对账明细接口!$K$1092=0,"",[1]对账明细接口!$K$1092),"")</f>
      </c>
      <c r="L1092" s="16">
        <f>IFERROR(IF([1]对账明细接口!$L$1092=0,"",[1]对账明细接口!$L$1092),"")</f>
      </c>
      <c r="M1092" s="16">
        <f>IFERROR(IF([1]对账明细接口!$M$1092=0,"",[1]对账明细接口!$M$1092),"")</f>
      </c>
      <c r="N1092" s="19">
        <f>IF($C1092="",0,1)</f>
        <v>0</v>
      </c>
      <c r="O1092" s="19">
        <f>N(O1091)+$N1092</f>
        <v>637</v>
      </c>
      <c r="S1092" s="20">
        <f>IFERROR(IF([1]对账明细接口!$N1092=0,"",[1]对账明细接口!$N1092),"")</f>
      </c>
      <c r="T1092" s="212">
        <f>IFERROR(IF([1]对账明细接口!$O1092=0,"",[1]对账明细接口!$O1092),"")</f>
      </c>
      <c r="U1092" s="212">
        <f>IFERROR(IF([1]对账明细接口!$P1092=0,"",[1]对账明细接口!$P1092),"")</f>
      </c>
      <c r="V1092" s="212">
        <f>IFERROR(IF([1]对账明细接口!$Q1092=0,"",[1]对账明细接口!$Q1092),"")</f>
      </c>
      <c r="W1092" s="20">
        <f>IFERROR(IF([1]对账明细接口!$R1092=0,"",[1]对账明细接口!$R1092),"")</f>
      </c>
      <c r="X1092" s="20">
        <f>IFERROR(IF([1]对账明细接口!$S1092=0,"",[1]对账明细接口!$S1092),"")</f>
      </c>
      <c r="Y1092" s="20">
        <f>IFERROR(IF([1]对账明细接口!$T1092=0,"",[1]对账明细接口!$T1092),"")</f>
      </c>
      <c r="Z1092" s="213">
        <f>IFERROR(IF([1]对账明细接口!$U1092=0,"",[1]对账明细接口!$U1092),"")</f>
      </c>
      <c r="AA1092" s="213">
        <f>IFERROR(IF([1]对账明细接口!$V1092=0,"",[1]对账明细接口!$V1092),"")</f>
      </c>
      <c r="AB1092" s="20">
        <f>IFERROR(IF([1]对账明细接口!$W1092=0,"",[1]对账明细接口!$W1092),"")</f>
      </c>
      <c r="AC1092" s="7">
        <f>IFERROR(IF([1]对账明细接口!$X1092=0,"",[1]对账明细接口!$X1092),"")</f>
      </c>
      <c r="AD1092" s="7">
        <f>IFERROR(IF([1]对账明细接口!$Y1092=0,"",[1]对账明细接口!$Y1092),"")</f>
      </c>
      <c r="AE1092" s="7">
        <f>IFERROR(IF([1]对账明细接口!$AA1092=0,"",[1]对账明细接口!$AA1092),"")</f>
      </c>
      <c r="AF1092" s="7">
        <f>IFERROR(IF([1]对账明细接口!$AB1092=0,"",[1]对账明细接口!$AB1092),"")</f>
      </c>
      <c r="AG1092" s="7">
        <f>IFERROR(IF([1]对账明细接口!$AC1092=0,"",[1]对账明细接口!$AC1092),"")</f>
      </c>
      <c r="AH1092" s="7">
        <f>IFERROR(IF([1]对账明细接口!$AD1092=0,"",[1]对账明细接口!$AD1092),"")</f>
      </c>
      <c r="AI1092" s="7">
        <f>IFERROR(IF([1]对账明细接口!$AE1092=0,"",[1]对账明细接口!$AE1092),"")</f>
      </c>
      <c r="AJ1092" s="7">
        <f>IFERROR(IF([1]对账明细接口!$AF1092=0,"",[1]对账明细接口!$AF1092),"")</f>
      </c>
    </row>
    <row r="1093" ht="14.25" customHeight="1" s="127">
      <c r="A1093" s="14" t="n">
        <v>1093</v>
      </c>
      <c r="B1093" s="211">
        <f>IFERROR(IF([1]对账明细接口!$B$1093=0,"",[1]对账明细接口!$B$1093),"")</f>
      </c>
      <c r="C1093" s="16">
        <f>IFERROR(IF([1]对账明细接口!$C$1093=0,"",[1]对账明细接口!$C$1093),"")</f>
      </c>
      <c r="D1093" s="16">
        <f>IFERROR(IF([1]对账明细接口!$D$1093=0,"",[1]对账明细接口!$D$1093),"")</f>
      </c>
      <c r="E1093" s="16">
        <f>IFERROR(IF([1]对账明细接口!$E$1093=0,"",[1]对账明细接口!$E$1093),"")</f>
      </c>
      <c r="F1093" s="16">
        <f>IFERROR(IF([1]对账明细接口!$F$1093=0,"",[1]对账明细接口!$F$1093),"")</f>
      </c>
      <c r="G1093" s="16">
        <f>IFERROR(IF([1]对账明细接口!$G$1093=0,"",[1]对账明细接口!$G$1093),"")</f>
      </c>
      <c r="H1093" s="176">
        <f>IFERROR(IF([1]对账明细接口!$H$1093=0,"",[1]对账明细接口!$H$1093),"")</f>
      </c>
      <c r="I1093" s="16">
        <f>IFERROR(IF([1]对账明细接口!$I$1093=0,"",[1]对账明细接口!$I$1093),"")</f>
      </c>
      <c r="J1093" s="177">
        <f>IFERROR(IF([1]对账明细接口!$J$1093=0,"",[1]对账明细接口!$J$1093),"")</f>
      </c>
      <c r="K1093" s="177">
        <f>IFERROR(IF([1]对账明细接口!$K$1093=0,"",[1]对账明细接口!$K$1093),"")</f>
      </c>
      <c r="L1093" s="16">
        <f>IFERROR(IF([1]对账明细接口!$L$1093=0,"",[1]对账明细接口!$L$1093),"")</f>
      </c>
      <c r="M1093" s="16">
        <f>IFERROR(IF([1]对账明细接口!$M$1093=0,"",[1]对账明细接口!$M$1093),"")</f>
      </c>
      <c r="N1093" s="19">
        <f>IF($C1093="",0,1)</f>
        <v>0</v>
      </c>
      <c r="O1093" s="19">
        <f>N(O1092)+$N1093</f>
        <v>637</v>
      </c>
      <c r="S1093" s="20">
        <f>IFERROR(IF([1]对账明细接口!$N1093=0,"",[1]对账明细接口!$N1093),"")</f>
      </c>
      <c r="T1093" s="212">
        <f>IFERROR(IF([1]对账明细接口!$O1093=0,"",[1]对账明细接口!$O1093),"")</f>
      </c>
      <c r="U1093" s="212">
        <f>IFERROR(IF([1]对账明细接口!$P1093=0,"",[1]对账明细接口!$P1093),"")</f>
      </c>
      <c r="V1093" s="212">
        <f>IFERROR(IF([1]对账明细接口!$Q1093=0,"",[1]对账明细接口!$Q1093),"")</f>
      </c>
      <c r="W1093" s="20">
        <f>IFERROR(IF([1]对账明细接口!$R1093=0,"",[1]对账明细接口!$R1093),"")</f>
      </c>
      <c r="X1093" s="20">
        <f>IFERROR(IF([1]对账明细接口!$S1093=0,"",[1]对账明细接口!$S1093),"")</f>
      </c>
      <c r="Y1093" s="20">
        <f>IFERROR(IF([1]对账明细接口!$T1093=0,"",[1]对账明细接口!$T1093),"")</f>
      </c>
      <c r="Z1093" s="213">
        <f>IFERROR(IF([1]对账明细接口!$U1093=0,"",[1]对账明细接口!$U1093),"")</f>
      </c>
      <c r="AA1093" s="213">
        <f>IFERROR(IF([1]对账明细接口!$V1093=0,"",[1]对账明细接口!$V1093),"")</f>
      </c>
      <c r="AB1093" s="20">
        <f>IFERROR(IF([1]对账明细接口!$W1093=0,"",[1]对账明细接口!$W1093),"")</f>
      </c>
      <c r="AC1093" s="7">
        <f>IFERROR(IF([1]对账明细接口!$X1093=0,"",[1]对账明细接口!$X1093),"")</f>
      </c>
      <c r="AD1093" s="7">
        <f>IFERROR(IF([1]对账明细接口!$Y1093=0,"",[1]对账明细接口!$Y1093),"")</f>
      </c>
      <c r="AE1093" s="7">
        <f>IFERROR(IF([1]对账明细接口!$AA1093=0,"",[1]对账明细接口!$AA1093),"")</f>
      </c>
      <c r="AF1093" s="7">
        <f>IFERROR(IF([1]对账明细接口!$AB1093=0,"",[1]对账明细接口!$AB1093),"")</f>
      </c>
      <c r="AG1093" s="7">
        <f>IFERROR(IF([1]对账明细接口!$AC1093=0,"",[1]对账明细接口!$AC1093),"")</f>
      </c>
      <c r="AH1093" s="7">
        <f>IFERROR(IF([1]对账明细接口!$AD1093=0,"",[1]对账明细接口!$AD1093),"")</f>
      </c>
      <c r="AI1093" s="7">
        <f>IFERROR(IF([1]对账明细接口!$AE1093=0,"",[1]对账明细接口!$AE1093),"")</f>
      </c>
      <c r="AJ1093" s="7">
        <f>IFERROR(IF([1]对账明细接口!$AF1093=0,"",[1]对账明细接口!$AF1093),"")</f>
      </c>
    </row>
    <row r="1094" ht="14.25" customHeight="1" s="127">
      <c r="A1094" s="14" t="n">
        <v>1094</v>
      </c>
      <c r="B1094" s="211">
        <f>IFERROR(IF([1]对账明细接口!$B$1094=0,"",[1]对账明细接口!$B$1094),"")</f>
      </c>
      <c r="C1094" s="16">
        <f>IFERROR(IF([1]对账明细接口!$C$1094=0,"",[1]对账明细接口!$C$1094),"")</f>
      </c>
      <c r="D1094" s="16">
        <f>IFERROR(IF([1]对账明细接口!$D$1094=0,"",[1]对账明细接口!$D$1094),"")</f>
      </c>
      <c r="E1094" s="16">
        <f>IFERROR(IF([1]对账明细接口!$E$1094=0,"",[1]对账明细接口!$E$1094),"")</f>
      </c>
      <c r="F1094" s="16">
        <f>IFERROR(IF([1]对账明细接口!$F$1094=0,"",[1]对账明细接口!$F$1094),"")</f>
      </c>
      <c r="G1094" s="16">
        <f>IFERROR(IF([1]对账明细接口!$G$1094=0,"",[1]对账明细接口!$G$1094),"")</f>
      </c>
      <c r="H1094" s="176">
        <f>IFERROR(IF([1]对账明细接口!$H$1094=0,"",[1]对账明细接口!$H$1094),"")</f>
      </c>
      <c r="I1094" s="16">
        <f>IFERROR(IF([1]对账明细接口!$I$1094=0,"",[1]对账明细接口!$I$1094),"")</f>
      </c>
      <c r="J1094" s="177">
        <f>IFERROR(IF([1]对账明细接口!$J$1094=0,"",[1]对账明细接口!$J$1094),"")</f>
      </c>
      <c r="K1094" s="177">
        <f>IFERROR(IF([1]对账明细接口!$K$1094=0,"",[1]对账明细接口!$K$1094),"")</f>
      </c>
      <c r="L1094" s="16">
        <f>IFERROR(IF([1]对账明细接口!$L$1094=0,"",[1]对账明细接口!$L$1094),"")</f>
      </c>
      <c r="M1094" s="16">
        <f>IFERROR(IF([1]对账明细接口!$M$1094=0,"",[1]对账明细接口!$M$1094),"")</f>
      </c>
      <c r="N1094" s="19">
        <f>IF($C1094="",0,1)</f>
        <v>0</v>
      </c>
      <c r="O1094" s="19">
        <f>N(O1093)+$N1094</f>
        <v>637</v>
      </c>
      <c r="S1094" s="20">
        <f>IFERROR(IF([1]对账明细接口!$N1094=0,"",[1]对账明细接口!$N1094),"")</f>
      </c>
      <c r="T1094" s="212">
        <f>IFERROR(IF([1]对账明细接口!$O1094=0,"",[1]对账明细接口!$O1094),"")</f>
      </c>
      <c r="U1094" s="212">
        <f>IFERROR(IF([1]对账明细接口!$P1094=0,"",[1]对账明细接口!$P1094),"")</f>
      </c>
      <c r="V1094" s="212">
        <f>IFERROR(IF([1]对账明细接口!$Q1094=0,"",[1]对账明细接口!$Q1094),"")</f>
      </c>
      <c r="W1094" s="20">
        <f>IFERROR(IF([1]对账明细接口!$R1094=0,"",[1]对账明细接口!$R1094),"")</f>
      </c>
      <c r="X1094" s="20">
        <f>IFERROR(IF([1]对账明细接口!$S1094=0,"",[1]对账明细接口!$S1094),"")</f>
      </c>
      <c r="Y1094" s="20">
        <f>IFERROR(IF([1]对账明细接口!$T1094=0,"",[1]对账明细接口!$T1094),"")</f>
      </c>
      <c r="Z1094" s="213">
        <f>IFERROR(IF([1]对账明细接口!$U1094=0,"",[1]对账明细接口!$U1094),"")</f>
      </c>
      <c r="AA1094" s="213">
        <f>IFERROR(IF([1]对账明细接口!$V1094=0,"",[1]对账明细接口!$V1094),"")</f>
      </c>
      <c r="AB1094" s="20">
        <f>IFERROR(IF([1]对账明细接口!$W1094=0,"",[1]对账明细接口!$W1094),"")</f>
      </c>
      <c r="AC1094" s="7">
        <f>IFERROR(IF([1]对账明细接口!$X1094=0,"",[1]对账明细接口!$X1094),"")</f>
      </c>
      <c r="AD1094" s="7">
        <f>IFERROR(IF([1]对账明细接口!$Y1094=0,"",[1]对账明细接口!$Y1094),"")</f>
      </c>
      <c r="AE1094" s="7">
        <f>IFERROR(IF([1]对账明细接口!$AA1094=0,"",[1]对账明细接口!$AA1094),"")</f>
      </c>
      <c r="AF1094" s="7">
        <f>IFERROR(IF([1]对账明细接口!$AB1094=0,"",[1]对账明细接口!$AB1094),"")</f>
      </c>
      <c r="AG1094" s="7">
        <f>IFERROR(IF([1]对账明细接口!$AC1094=0,"",[1]对账明细接口!$AC1094),"")</f>
      </c>
      <c r="AH1094" s="7">
        <f>IFERROR(IF([1]对账明细接口!$AD1094=0,"",[1]对账明细接口!$AD1094),"")</f>
      </c>
      <c r="AI1094" s="7">
        <f>IFERROR(IF([1]对账明细接口!$AE1094=0,"",[1]对账明细接口!$AE1094),"")</f>
      </c>
      <c r="AJ1094" s="7">
        <f>IFERROR(IF([1]对账明细接口!$AF1094=0,"",[1]对账明细接口!$AF1094),"")</f>
      </c>
    </row>
    <row r="1095" ht="14.25" customHeight="1" s="127">
      <c r="A1095" s="14" t="n">
        <v>1095</v>
      </c>
      <c r="B1095" s="211">
        <f>IFERROR(IF([1]对账明细接口!$B$1095=0,"",[1]对账明细接口!$B$1095),"")</f>
      </c>
      <c r="C1095" s="16">
        <f>IFERROR(IF([1]对账明细接口!$C$1095=0,"",[1]对账明细接口!$C$1095),"")</f>
      </c>
      <c r="D1095" s="16">
        <f>IFERROR(IF([1]对账明细接口!$D$1095=0,"",[1]对账明细接口!$D$1095),"")</f>
      </c>
      <c r="E1095" s="16">
        <f>IFERROR(IF([1]对账明细接口!$E$1095=0,"",[1]对账明细接口!$E$1095),"")</f>
      </c>
      <c r="F1095" s="16">
        <f>IFERROR(IF([1]对账明细接口!$F$1095=0,"",[1]对账明细接口!$F$1095),"")</f>
      </c>
      <c r="G1095" s="16">
        <f>IFERROR(IF([1]对账明细接口!$G$1095=0,"",[1]对账明细接口!$G$1095),"")</f>
      </c>
      <c r="H1095" s="176">
        <f>IFERROR(IF([1]对账明细接口!$H$1095=0,"",[1]对账明细接口!$H$1095),"")</f>
      </c>
      <c r="I1095" s="16">
        <f>IFERROR(IF([1]对账明细接口!$I$1095=0,"",[1]对账明细接口!$I$1095),"")</f>
      </c>
      <c r="J1095" s="177">
        <f>IFERROR(IF([1]对账明细接口!$J$1095=0,"",[1]对账明细接口!$J$1095),"")</f>
      </c>
      <c r="K1095" s="177">
        <f>IFERROR(IF([1]对账明细接口!$K$1095=0,"",[1]对账明细接口!$K$1095),"")</f>
      </c>
      <c r="L1095" s="16">
        <f>IFERROR(IF([1]对账明细接口!$L$1095=0,"",[1]对账明细接口!$L$1095),"")</f>
      </c>
      <c r="M1095" s="16">
        <f>IFERROR(IF([1]对账明细接口!$M$1095=0,"",[1]对账明细接口!$M$1095),"")</f>
      </c>
      <c r="N1095" s="19">
        <f>IF($C1095="",0,1)</f>
        <v>0</v>
      </c>
      <c r="O1095" s="19">
        <f>N(O1094)+$N1095</f>
        <v>637</v>
      </c>
      <c r="S1095" s="20">
        <f>IFERROR(IF([1]对账明细接口!$N1095=0,"",[1]对账明细接口!$N1095),"")</f>
      </c>
      <c r="T1095" s="212">
        <f>IFERROR(IF([1]对账明细接口!$O1095=0,"",[1]对账明细接口!$O1095),"")</f>
      </c>
      <c r="U1095" s="212">
        <f>IFERROR(IF([1]对账明细接口!$P1095=0,"",[1]对账明细接口!$P1095),"")</f>
      </c>
      <c r="V1095" s="212">
        <f>IFERROR(IF([1]对账明细接口!$Q1095=0,"",[1]对账明细接口!$Q1095),"")</f>
      </c>
      <c r="W1095" s="20">
        <f>IFERROR(IF([1]对账明细接口!$R1095=0,"",[1]对账明细接口!$R1095),"")</f>
      </c>
      <c r="X1095" s="20">
        <f>IFERROR(IF([1]对账明细接口!$S1095=0,"",[1]对账明细接口!$S1095),"")</f>
      </c>
      <c r="Y1095" s="20">
        <f>IFERROR(IF([1]对账明细接口!$T1095=0,"",[1]对账明细接口!$T1095),"")</f>
      </c>
      <c r="Z1095" s="213">
        <f>IFERROR(IF([1]对账明细接口!$U1095=0,"",[1]对账明细接口!$U1095),"")</f>
      </c>
      <c r="AA1095" s="213">
        <f>IFERROR(IF([1]对账明细接口!$V1095=0,"",[1]对账明细接口!$V1095),"")</f>
      </c>
      <c r="AB1095" s="20">
        <f>IFERROR(IF([1]对账明细接口!$W1095=0,"",[1]对账明细接口!$W1095),"")</f>
      </c>
      <c r="AC1095" s="7">
        <f>IFERROR(IF([1]对账明细接口!$X1095=0,"",[1]对账明细接口!$X1095),"")</f>
      </c>
      <c r="AD1095" s="7">
        <f>IFERROR(IF([1]对账明细接口!$Y1095=0,"",[1]对账明细接口!$Y1095),"")</f>
      </c>
      <c r="AE1095" s="7">
        <f>IFERROR(IF([1]对账明细接口!$AA1095=0,"",[1]对账明细接口!$AA1095),"")</f>
      </c>
      <c r="AF1095" s="7">
        <f>IFERROR(IF([1]对账明细接口!$AB1095=0,"",[1]对账明细接口!$AB1095),"")</f>
      </c>
      <c r="AG1095" s="7">
        <f>IFERROR(IF([1]对账明细接口!$AC1095=0,"",[1]对账明细接口!$AC1095),"")</f>
      </c>
      <c r="AH1095" s="7">
        <f>IFERROR(IF([1]对账明细接口!$AD1095=0,"",[1]对账明细接口!$AD1095),"")</f>
      </c>
      <c r="AI1095" s="7">
        <f>IFERROR(IF([1]对账明细接口!$AE1095=0,"",[1]对账明细接口!$AE1095),"")</f>
      </c>
      <c r="AJ1095" s="7">
        <f>IFERROR(IF([1]对账明细接口!$AF1095=0,"",[1]对账明细接口!$AF1095),"")</f>
      </c>
    </row>
    <row r="1096" ht="14.25" customHeight="1" s="127">
      <c r="A1096" s="14" t="n">
        <v>1096</v>
      </c>
      <c r="B1096" s="211">
        <f>IFERROR(IF([1]对账明细接口!$B$1096=0,"",[1]对账明细接口!$B$1096),"")</f>
      </c>
      <c r="C1096" s="16">
        <f>IFERROR(IF([1]对账明细接口!$C$1096=0,"",[1]对账明细接口!$C$1096),"")</f>
      </c>
      <c r="D1096" s="16">
        <f>IFERROR(IF([1]对账明细接口!$D$1096=0,"",[1]对账明细接口!$D$1096),"")</f>
      </c>
      <c r="E1096" s="16">
        <f>IFERROR(IF([1]对账明细接口!$E$1096=0,"",[1]对账明细接口!$E$1096),"")</f>
      </c>
      <c r="F1096" s="16">
        <f>IFERROR(IF([1]对账明细接口!$F$1096=0,"",[1]对账明细接口!$F$1096),"")</f>
      </c>
      <c r="G1096" s="16">
        <f>IFERROR(IF([1]对账明细接口!$G$1096=0,"",[1]对账明细接口!$G$1096),"")</f>
      </c>
      <c r="H1096" s="176">
        <f>IFERROR(IF([1]对账明细接口!$H$1096=0,"",[1]对账明细接口!$H$1096),"")</f>
      </c>
      <c r="I1096" s="16">
        <f>IFERROR(IF([1]对账明细接口!$I$1096=0,"",[1]对账明细接口!$I$1096),"")</f>
      </c>
      <c r="J1096" s="177">
        <f>IFERROR(IF([1]对账明细接口!$J$1096=0,"",[1]对账明细接口!$J$1096),"")</f>
      </c>
      <c r="K1096" s="177">
        <f>IFERROR(IF([1]对账明细接口!$K$1096=0,"",[1]对账明细接口!$K$1096),"")</f>
      </c>
      <c r="L1096" s="16">
        <f>IFERROR(IF([1]对账明细接口!$L$1096=0,"",[1]对账明细接口!$L$1096),"")</f>
      </c>
      <c r="M1096" s="16">
        <f>IFERROR(IF([1]对账明细接口!$M$1096=0,"",[1]对账明细接口!$M$1096),"")</f>
      </c>
      <c r="N1096" s="19">
        <f>IF($C1096="",0,1)</f>
        <v>0</v>
      </c>
      <c r="O1096" s="19">
        <f>N(O1095)+$N1096</f>
        <v>637</v>
      </c>
      <c r="S1096" s="20">
        <f>IFERROR(IF([1]对账明细接口!$N1096=0,"",[1]对账明细接口!$N1096),"")</f>
      </c>
      <c r="T1096" s="212">
        <f>IFERROR(IF([1]对账明细接口!$O1096=0,"",[1]对账明细接口!$O1096),"")</f>
      </c>
      <c r="U1096" s="212">
        <f>IFERROR(IF([1]对账明细接口!$P1096=0,"",[1]对账明细接口!$P1096),"")</f>
      </c>
      <c r="V1096" s="212">
        <f>IFERROR(IF([1]对账明细接口!$Q1096=0,"",[1]对账明细接口!$Q1096),"")</f>
      </c>
      <c r="W1096" s="20">
        <f>IFERROR(IF([1]对账明细接口!$R1096=0,"",[1]对账明细接口!$R1096),"")</f>
      </c>
      <c r="X1096" s="20">
        <f>IFERROR(IF([1]对账明细接口!$S1096=0,"",[1]对账明细接口!$S1096),"")</f>
      </c>
      <c r="Y1096" s="20">
        <f>IFERROR(IF([1]对账明细接口!$T1096=0,"",[1]对账明细接口!$T1096),"")</f>
      </c>
      <c r="Z1096" s="213">
        <f>IFERROR(IF([1]对账明细接口!$U1096=0,"",[1]对账明细接口!$U1096),"")</f>
      </c>
      <c r="AA1096" s="213">
        <f>IFERROR(IF([1]对账明细接口!$V1096=0,"",[1]对账明细接口!$V1096),"")</f>
      </c>
      <c r="AB1096" s="20">
        <f>IFERROR(IF([1]对账明细接口!$W1096=0,"",[1]对账明细接口!$W1096),"")</f>
      </c>
      <c r="AC1096" s="7">
        <f>IFERROR(IF([1]对账明细接口!$X1096=0,"",[1]对账明细接口!$X1096),"")</f>
      </c>
      <c r="AD1096" s="7">
        <f>IFERROR(IF([1]对账明细接口!$Y1096=0,"",[1]对账明细接口!$Y1096),"")</f>
      </c>
      <c r="AE1096" s="7">
        <f>IFERROR(IF([1]对账明细接口!$AA1096=0,"",[1]对账明细接口!$AA1096),"")</f>
      </c>
      <c r="AF1096" s="7">
        <f>IFERROR(IF([1]对账明细接口!$AB1096=0,"",[1]对账明细接口!$AB1096),"")</f>
      </c>
      <c r="AG1096" s="7">
        <f>IFERROR(IF([1]对账明细接口!$AC1096=0,"",[1]对账明细接口!$AC1096),"")</f>
      </c>
      <c r="AH1096" s="7">
        <f>IFERROR(IF([1]对账明细接口!$AD1096=0,"",[1]对账明细接口!$AD1096),"")</f>
      </c>
      <c r="AI1096" s="7">
        <f>IFERROR(IF([1]对账明细接口!$AE1096=0,"",[1]对账明细接口!$AE1096),"")</f>
      </c>
      <c r="AJ1096" s="7">
        <f>IFERROR(IF([1]对账明细接口!$AF1096=0,"",[1]对账明细接口!$AF1096),"")</f>
      </c>
    </row>
    <row r="1097" ht="14.25" customHeight="1" s="127">
      <c r="A1097" s="14" t="n">
        <v>1097</v>
      </c>
      <c r="B1097" s="211">
        <f>IFERROR(IF([1]对账明细接口!$B$1097=0,"",[1]对账明细接口!$B$1097),"")</f>
      </c>
      <c r="C1097" s="16">
        <f>IFERROR(IF([1]对账明细接口!$C$1097=0,"",[1]对账明细接口!$C$1097),"")</f>
      </c>
      <c r="D1097" s="16">
        <f>IFERROR(IF([1]对账明细接口!$D$1097=0,"",[1]对账明细接口!$D$1097),"")</f>
      </c>
      <c r="E1097" s="16">
        <f>IFERROR(IF([1]对账明细接口!$E$1097=0,"",[1]对账明细接口!$E$1097),"")</f>
      </c>
      <c r="F1097" s="16">
        <f>IFERROR(IF([1]对账明细接口!$F$1097=0,"",[1]对账明细接口!$F$1097),"")</f>
      </c>
      <c r="G1097" s="16">
        <f>IFERROR(IF([1]对账明细接口!$G$1097=0,"",[1]对账明细接口!$G$1097),"")</f>
      </c>
      <c r="H1097" s="176">
        <f>IFERROR(IF([1]对账明细接口!$H$1097=0,"",[1]对账明细接口!$H$1097),"")</f>
      </c>
      <c r="I1097" s="16">
        <f>IFERROR(IF([1]对账明细接口!$I$1097=0,"",[1]对账明细接口!$I$1097),"")</f>
      </c>
      <c r="J1097" s="177">
        <f>IFERROR(IF([1]对账明细接口!$J$1097=0,"",[1]对账明细接口!$J$1097),"")</f>
      </c>
      <c r="K1097" s="177">
        <f>IFERROR(IF([1]对账明细接口!$K$1097=0,"",[1]对账明细接口!$K$1097),"")</f>
      </c>
      <c r="L1097" s="16">
        <f>IFERROR(IF([1]对账明细接口!$L$1097=0,"",[1]对账明细接口!$L$1097),"")</f>
      </c>
      <c r="M1097" s="16">
        <f>IFERROR(IF([1]对账明细接口!$M$1097=0,"",[1]对账明细接口!$M$1097),"")</f>
      </c>
      <c r="N1097" s="19">
        <f>IF($C1097="",0,1)</f>
        <v>0</v>
      </c>
      <c r="O1097" s="19">
        <f>N(O1096)+$N1097</f>
        <v>637</v>
      </c>
      <c r="S1097" s="20">
        <f>IFERROR(IF([1]对账明细接口!$N1097=0,"",[1]对账明细接口!$N1097),"")</f>
      </c>
      <c r="T1097" s="212">
        <f>IFERROR(IF([1]对账明细接口!$O1097=0,"",[1]对账明细接口!$O1097),"")</f>
      </c>
      <c r="U1097" s="212">
        <f>IFERROR(IF([1]对账明细接口!$P1097=0,"",[1]对账明细接口!$P1097),"")</f>
      </c>
      <c r="V1097" s="212">
        <f>IFERROR(IF([1]对账明细接口!$Q1097=0,"",[1]对账明细接口!$Q1097),"")</f>
      </c>
      <c r="W1097" s="20">
        <f>IFERROR(IF([1]对账明细接口!$R1097=0,"",[1]对账明细接口!$R1097),"")</f>
      </c>
      <c r="X1097" s="20">
        <f>IFERROR(IF([1]对账明细接口!$S1097=0,"",[1]对账明细接口!$S1097),"")</f>
      </c>
      <c r="Y1097" s="20">
        <f>IFERROR(IF([1]对账明细接口!$T1097=0,"",[1]对账明细接口!$T1097),"")</f>
      </c>
      <c r="Z1097" s="213">
        <f>IFERROR(IF([1]对账明细接口!$U1097=0,"",[1]对账明细接口!$U1097),"")</f>
      </c>
      <c r="AA1097" s="213">
        <f>IFERROR(IF([1]对账明细接口!$V1097=0,"",[1]对账明细接口!$V1097),"")</f>
      </c>
      <c r="AB1097" s="20">
        <f>IFERROR(IF([1]对账明细接口!$W1097=0,"",[1]对账明细接口!$W1097),"")</f>
      </c>
      <c r="AC1097" s="7">
        <f>IFERROR(IF([1]对账明细接口!$X1097=0,"",[1]对账明细接口!$X1097),"")</f>
      </c>
      <c r="AD1097" s="7">
        <f>IFERROR(IF([1]对账明细接口!$Y1097=0,"",[1]对账明细接口!$Y1097),"")</f>
      </c>
      <c r="AE1097" s="7">
        <f>IFERROR(IF([1]对账明细接口!$AA1097=0,"",[1]对账明细接口!$AA1097),"")</f>
      </c>
      <c r="AF1097" s="7">
        <f>IFERROR(IF([1]对账明细接口!$AB1097=0,"",[1]对账明细接口!$AB1097),"")</f>
      </c>
      <c r="AG1097" s="7">
        <f>IFERROR(IF([1]对账明细接口!$AC1097=0,"",[1]对账明细接口!$AC1097),"")</f>
      </c>
      <c r="AH1097" s="7">
        <f>IFERROR(IF([1]对账明细接口!$AD1097=0,"",[1]对账明细接口!$AD1097),"")</f>
      </c>
      <c r="AI1097" s="7">
        <f>IFERROR(IF([1]对账明细接口!$AE1097=0,"",[1]对账明细接口!$AE1097),"")</f>
      </c>
      <c r="AJ1097" s="7">
        <f>IFERROR(IF([1]对账明细接口!$AF1097=0,"",[1]对账明细接口!$AF1097),"")</f>
      </c>
    </row>
    <row r="1098" ht="14.25" customHeight="1" s="127">
      <c r="A1098" s="14" t="n">
        <v>1098</v>
      </c>
      <c r="B1098" s="211">
        <f>IFERROR(IF([1]对账明细接口!$B$1098=0,"",[1]对账明细接口!$B$1098),"")</f>
      </c>
      <c r="C1098" s="16">
        <f>IFERROR(IF([1]对账明细接口!$C$1098=0,"",[1]对账明细接口!$C$1098),"")</f>
      </c>
      <c r="D1098" s="16">
        <f>IFERROR(IF([1]对账明细接口!$D$1098=0,"",[1]对账明细接口!$D$1098),"")</f>
      </c>
      <c r="E1098" s="16">
        <f>IFERROR(IF([1]对账明细接口!$E$1098=0,"",[1]对账明细接口!$E$1098),"")</f>
      </c>
      <c r="F1098" s="16">
        <f>IFERROR(IF([1]对账明细接口!$F$1098=0,"",[1]对账明细接口!$F$1098),"")</f>
      </c>
      <c r="G1098" s="16">
        <f>IFERROR(IF([1]对账明细接口!$G$1098=0,"",[1]对账明细接口!$G$1098),"")</f>
      </c>
      <c r="H1098" s="176">
        <f>IFERROR(IF([1]对账明细接口!$H$1098=0,"",[1]对账明细接口!$H$1098),"")</f>
      </c>
      <c r="I1098" s="16">
        <f>IFERROR(IF([1]对账明细接口!$I$1098=0,"",[1]对账明细接口!$I$1098),"")</f>
      </c>
      <c r="J1098" s="177">
        <f>IFERROR(IF([1]对账明细接口!$J$1098=0,"",[1]对账明细接口!$J$1098),"")</f>
      </c>
      <c r="K1098" s="177">
        <f>IFERROR(IF([1]对账明细接口!$K$1098=0,"",[1]对账明细接口!$K$1098),"")</f>
      </c>
      <c r="L1098" s="16">
        <f>IFERROR(IF([1]对账明细接口!$L$1098=0,"",[1]对账明细接口!$L$1098),"")</f>
      </c>
      <c r="M1098" s="16">
        <f>IFERROR(IF([1]对账明细接口!$M$1098=0,"",[1]对账明细接口!$M$1098),"")</f>
      </c>
      <c r="N1098" s="19">
        <f>IF($C1098="",0,1)</f>
        <v>0</v>
      </c>
      <c r="O1098" s="19">
        <f>N(O1097)+$N1098</f>
        <v>637</v>
      </c>
      <c r="S1098" s="20">
        <f>IFERROR(IF([1]对账明细接口!$N1098=0,"",[1]对账明细接口!$N1098),"")</f>
      </c>
      <c r="T1098" s="212">
        <f>IFERROR(IF([1]对账明细接口!$O1098=0,"",[1]对账明细接口!$O1098),"")</f>
      </c>
      <c r="U1098" s="212">
        <f>IFERROR(IF([1]对账明细接口!$P1098=0,"",[1]对账明细接口!$P1098),"")</f>
      </c>
      <c r="V1098" s="212">
        <f>IFERROR(IF([1]对账明细接口!$Q1098=0,"",[1]对账明细接口!$Q1098),"")</f>
      </c>
      <c r="W1098" s="20">
        <f>IFERROR(IF([1]对账明细接口!$R1098=0,"",[1]对账明细接口!$R1098),"")</f>
      </c>
      <c r="X1098" s="20">
        <f>IFERROR(IF([1]对账明细接口!$S1098=0,"",[1]对账明细接口!$S1098),"")</f>
      </c>
      <c r="Y1098" s="20">
        <f>IFERROR(IF([1]对账明细接口!$T1098=0,"",[1]对账明细接口!$T1098),"")</f>
      </c>
      <c r="Z1098" s="213">
        <f>IFERROR(IF([1]对账明细接口!$U1098=0,"",[1]对账明细接口!$U1098),"")</f>
      </c>
      <c r="AA1098" s="213">
        <f>IFERROR(IF([1]对账明细接口!$V1098=0,"",[1]对账明细接口!$V1098),"")</f>
      </c>
      <c r="AB1098" s="20">
        <f>IFERROR(IF([1]对账明细接口!$W1098=0,"",[1]对账明细接口!$W1098),"")</f>
      </c>
      <c r="AC1098" s="7">
        <f>IFERROR(IF([1]对账明细接口!$X1098=0,"",[1]对账明细接口!$X1098),"")</f>
      </c>
      <c r="AD1098" s="7">
        <f>IFERROR(IF([1]对账明细接口!$Y1098=0,"",[1]对账明细接口!$Y1098),"")</f>
      </c>
      <c r="AE1098" s="7">
        <f>IFERROR(IF([1]对账明细接口!$AA1098=0,"",[1]对账明细接口!$AA1098),"")</f>
      </c>
      <c r="AF1098" s="7">
        <f>IFERROR(IF([1]对账明细接口!$AB1098=0,"",[1]对账明细接口!$AB1098),"")</f>
      </c>
      <c r="AG1098" s="7">
        <f>IFERROR(IF([1]对账明细接口!$AC1098=0,"",[1]对账明细接口!$AC1098),"")</f>
      </c>
      <c r="AH1098" s="7">
        <f>IFERROR(IF([1]对账明细接口!$AD1098=0,"",[1]对账明细接口!$AD1098),"")</f>
      </c>
      <c r="AI1098" s="7">
        <f>IFERROR(IF([1]对账明细接口!$AE1098=0,"",[1]对账明细接口!$AE1098),"")</f>
      </c>
      <c r="AJ1098" s="7">
        <f>IFERROR(IF([1]对账明细接口!$AF1098=0,"",[1]对账明细接口!$AF1098),"")</f>
      </c>
    </row>
    <row r="1099" ht="14.25" customHeight="1" s="127">
      <c r="A1099" s="14" t="n">
        <v>1099</v>
      </c>
      <c r="B1099" s="211">
        <f>IFERROR(IF([1]对账明细接口!$B$1099=0,"",[1]对账明细接口!$B$1099),"")</f>
      </c>
      <c r="C1099" s="16">
        <f>IFERROR(IF([1]对账明细接口!$C$1099=0,"",[1]对账明细接口!$C$1099),"")</f>
      </c>
      <c r="D1099" s="16">
        <f>IFERROR(IF([1]对账明细接口!$D$1099=0,"",[1]对账明细接口!$D$1099),"")</f>
      </c>
      <c r="E1099" s="16">
        <f>IFERROR(IF([1]对账明细接口!$E$1099=0,"",[1]对账明细接口!$E$1099),"")</f>
      </c>
      <c r="F1099" s="16">
        <f>IFERROR(IF([1]对账明细接口!$F$1099=0,"",[1]对账明细接口!$F$1099),"")</f>
      </c>
      <c r="G1099" s="16">
        <f>IFERROR(IF([1]对账明细接口!$G$1099=0,"",[1]对账明细接口!$G$1099),"")</f>
      </c>
      <c r="H1099" s="176">
        <f>IFERROR(IF([1]对账明细接口!$H$1099=0,"",[1]对账明细接口!$H$1099),"")</f>
      </c>
      <c r="I1099" s="16">
        <f>IFERROR(IF([1]对账明细接口!$I$1099=0,"",[1]对账明细接口!$I$1099),"")</f>
      </c>
      <c r="J1099" s="177">
        <f>IFERROR(IF([1]对账明细接口!$J$1099=0,"",[1]对账明细接口!$J$1099),"")</f>
      </c>
      <c r="K1099" s="177">
        <f>IFERROR(IF([1]对账明细接口!$K$1099=0,"",[1]对账明细接口!$K$1099),"")</f>
      </c>
      <c r="L1099" s="16">
        <f>IFERROR(IF([1]对账明细接口!$L$1099=0,"",[1]对账明细接口!$L$1099),"")</f>
      </c>
      <c r="M1099" s="16">
        <f>IFERROR(IF([1]对账明细接口!$M$1099=0,"",[1]对账明细接口!$M$1099),"")</f>
      </c>
      <c r="N1099" s="19">
        <f>IF($C1099="",0,1)</f>
        <v>0</v>
      </c>
      <c r="O1099" s="19">
        <f>N(O1098)+$N1099</f>
        <v>637</v>
      </c>
      <c r="S1099" s="20">
        <f>IFERROR(IF([1]对账明细接口!$N1099=0,"",[1]对账明细接口!$N1099),"")</f>
      </c>
      <c r="T1099" s="212">
        <f>IFERROR(IF([1]对账明细接口!$O1099=0,"",[1]对账明细接口!$O1099),"")</f>
      </c>
      <c r="U1099" s="212">
        <f>IFERROR(IF([1]对账明细接口!$P1099=0,"",[1]对账明细接口!$P1099),"")</f>
      </c>
      <c r="V1099" s="212">
        <f>IFERROR(IF([1]对账明细接口!$Q1099=0,"",[1]对账明细接口!$Q1099),"")</f>
      </c>
      <c r="W1099" s="20">
        <f>IFERROR(IF([1]对账明细接口!$R1099=0,"",[1]对账明细接口!$R1099),"")</f>
      </c>
      <c r="X1099" s="20">
        <f>IFERROR(IF([1]对账明细接口!$S1099=0,"",[1]对账明细接口!$S1099),"")</f>
      </c>
      <c r="Y1099" s="20">
        <f>IFERROR(IF([1]对账明细接口!$T1099=0,"",[1]对账明细接口!$T1099),"")</f>
      </c>
      <c r="Z1099" s="213">
        <f>IFERROR(IF([1]对账明细接口!$U1099=0,"",[1]对账明细接口!$U1099),"")</f>
      </c>
      <c r="AA1099" s="213">
        <f>IFERROR(IF([1]对账明细接口!$V1099=0,"",[1]对账明细接口!$V1099),"")</f>
      </c>
      <c r="AB1099" s="20">
        <f>IFERROR(IF([1]对账明细接口!$W1099=0,"",[1]对账明细接口!$W1099),"")</f>
      </c>
      <c r="AC1099" s="7">
        <f>IFERROR(IF([1]对账明细接口!$X1099=0,"",[1]对账明细接口!$X1099),"")</f>
      </c>
      <c r="AD1099" s="7">
        <f>IFERROR(IF([1]对账明细接口!$Y1099=0,"",[1]对账明细接口!$Y1099),"")</f>
      </c>
      <c r="AE1099" s="7">
        <f>IFERROR(IF([1]对账明细接口!$AA1099=0,"",[1]对账明细接口!$AA1099),"")</f>
      </c>
      <c r="AF1099" s="7">
        <f>IFERROR(IF([1]对账明细接口!$AB1099=0,"",[1]对账明细接口!$AB1099),"")</f>
      </c>
      <c r="AG1099" s="7">
        <f>IFERROR(IF([1]对账明细接口!$AC1099=0,"",[1]对账明细接口!$AC1099),"")</f>
      </c>
      <c r="AH1099" s="7">
        <f>IFERROR(IF([1]对账明细接口!$AD1099=0,"",[1]对账明细接口!$AD1099),"")</f>
      </c>
      <c r="AI1099" s="7">
        <f>IFERROR(IF([1]对账明细接口!$AE1099=0,"",[1]对账明细接口!$AE1099),"")</f>
      </c>
      <c r="AJ1099" s="7">
        <f>IFERROR(IF([1]对账明细接口!$AF1099=0,"",[1]对账明细接口!$AF1099),"")</f>
      </c>
    </row>
    <row r="1100" ht="14.25" customHeight="1" s="127">
      <c r="A1100" s="14" t="n">
        <v>1100</v>
      </c>
      <c r="B1100" s="211">
        <f>IFERROR(IF([1]对账明细接口!$B$1100=0,"",[1]对账明细接口!$B$1100),"")</f>
      </c>
      <c r="C1100" s="16">
        <f>IFERROR(IF([1]对账明细接口!$C$1100=0,"",[1]对账明细接口!$C$1100),"")</f>
      </c>
      <c r="D1100" s="16">
        <f>IFERROR(IF([1]对账明细接口!$D$1100=0,"",[1]对账明细接口!$D$1100),"")</f>
      </c>
      <c r="E1100" s="16">
        <f>IFERROR(IF([1]对账明细接口!$E$1100=0,"",[1]对账明细接口!$E$1100),"")</f>
      </c>
      <c r="F1100" s="16">
        <f>IFERROR(IF([1]对账明细接口!$F$1100=0,"",[1]对账明细接口!$F$1100),"")</f>
      </c>
      <c r="G1100" s="16">
        <f>IFERROR(IF([1]对账明细接口!$G$1100=0,"",[1]对账明细接口!$G$1100),"")</f>
      </c>
      <c r="H1100" s="176">
        <f>IFERROR(IF([1]对账明细接口!$H$1100=0,"",[1]对账明细接口!$H$1100),"")</f>
      </c>
      <c r="I1100" s="16">
        <f>IFERROR(IF([1]对账明细接口!$I$1100=0,"",[1]对账明细接口!$I$1100),"")</f>
      </c>
      <c r="J1100" s="177">
        <f>IFERROR(IF([1]对账明细接口!$J$1100=0,"",[1]对账明细接口!$J$1100),"")</f>
      </c>
      <c r="K1100" s="177">
        <f>IFERROR(IF([1]对账明细接口!$K$1100=0,"",[1]对账明细接口!$K$1100),"")</f>
      </c>
      <c r="L1100" s="16">
        <f>IFERROR(IF([1]对账明细接口!$L$1100=0,"",[1]对账明细接口!$L$1100),"")</f>
      </c>
      <c r="M1100" s="16">
        <f>IFERROR(IF([1]对账明细接口!$M$1100=0,"",[1]对账明细接口!$M$1100),"")</f>
      </c>
      <c r="N1100" s="19">
        <f>IF($C1100="",0,1)</f>
        <v>0</v>
      </c>
      <c r="O1100" s="19">
        <f>N(O1099)+$N1100</f>
        <v>637</v>
      </c>
      <c r="S1100" s="20">
        <f>IFERROR(IF([1]对账明细接口!$N1100=0,"",[1]对账明细接口!$N1100),"")</f>
      </c>
      <c r="T1100" s="212">
        <f>IFERROR(IF([1]对账明细接口!$O1100=0,"",[1]对账明细接口!$O1100),"")</f>
      </c>
      <c r="U1100" s="212">
        <f>IFERROR(IF([1]对账明细接口!$P1100=0,"",[1]对账明细接口!$P1100),"")</f>
      </c>
      <c r="V1100" s="212">
        <f>IFERROR(IF([1]对账明细接口!$Q1100=0,"",[1]对账明细接口!$Q1100),"")</f>
      </c>
      <c r="W1100" s="20">
        <f>IFERROR(IF([1]对账明细接口!$R1100=0,"",[1]对账明细接口!$R1100),"")</f>
      </c>
      <c r="X1100" s="20">
        <f>IFERROR(IF([1]对账明细接口!$S1100=0,"",[1]对账明细接口!$S1100),"")</f>
      </c>
      <c r="Y1100" s="20">
        <f>IFERROR(IF([1]对账明细接口!$T1100=0,"",[1]对账明细接口!$T1100),"")</f>
      </c>
      <c r="Z1100" s="213">
        <f>IFERROR(IF([1]对账明细接口!$U1100=0,"",[1]对账明细接口!$U1100),"")</f>
      </c>
      <c r="AA1100" s="213">
        <f>IFERROR(IF([1]对账明细接口!$V1100=0,"",[1]对账明细接口!$V1100),"")</f>
      </c>
      <c r="AB1100" s="20">
        <f>IFERROR(IF([1]对账明细接口!$W1100=0,"",[1]对账明细接口!$W1100),"")</f>
      </c>
      <c r="AC1100" s="7">
        <f>IFERROR(IF([1]对账明细接口!$X1100=0,"",[1]对账明细接口!$X1100),"")</f>
      </c>
      <c r="AD1100" s="7">
        <f>IFERROR(IF([1]对账明细接口!$Y1100=0,"",[1]对账明细接口!$Y1100),"")</f>
      </c>
      <c r="AE1100" s="7">
        <f>IFERROR(IF([1]对账明细接口!$AA1100=0,"",[1]对账明细接口!$AA1100),"")</f>
      </c>
      <c r="AF1100" s="7">
        <f>IFERROR(IF([1]对账明细接口!$AB1100=0,"",[1]对账明细接口!$AB1100),"")</f>
      </c>
      <c r="AG1100" s="7">
        <f>IFERROR(IF([1]对账明细接口!$AC1100=0,"",[1]对账明细接口!$AC1100),"")</f>
      </c>
      <c r="AH1100" s="7">
        <f>IFERROR(IF([1]对账明细接口!$AD1100=0,"",[1]对账明细接口!$AD1100),"")</f>
      </c>
      <c r="AI1100" s="7">
        <f>IFERROR(IF([1]对账明细接口!$AE1100=0,"",[1]对账明细接口!$AE1100),"")</f>
      </c>
      <c r="AJ1100" s="7">
        <f>IFERROR(IF([1]对账明细接口!$AF1100=0,"",[1]对账明细接口!$AF1100),"")</f>
      </c>
    </row>
    <row r="1101" ht="14.25" customHeight="1" s="127">
      <c r="A1101" s="14" t="n">
        <v>1101</v>
      </c>
      <c r="B1101" s="211">
        <f>IFERROR(IF([1]对账明细接口!$B$1101=0,"",[1]对账明细接口!$B$1101),"")</f>
      </c>
      <c r="C1101" s="16">
        <f>IFERROR(IF([1]对账明细接口!$C$1101=0,"",[1]对账明细接口!$C$1101),"")</f>
      </c>
      <c r="D1101" s="16">
        <f>IFERROR(IF([1]对账明细接口!$D$1101=0,"",[1]对账明细接口!$D$1101),"")</f>
      </c>
      <c r="E1101" s="16">
        <f>IFERROR(IF([1]对账明细接口!$E$1101=0,"",[1]对账明细接口!$E$1101),"")</f>
      </c>
      <c r="F1101" s="16">
        <f>IFERROR(IF([1]对账明细接口!$F$1101=0,"",[1]对账明细接口!$F$1101),"")</f>
      </c>
      <c r="G1101" s="16">
        <f>IFERROR(IF([1]对账明细接口!$G$1101=0,"",[1]对账明细接口!$G$1101),"")</f>
      </c>
      <c r="H1101" s="176">
        <f>IFERROR(IF([1]对账明细接口!$H$1101=0,"",[1]对账明细接口!$H$1101),"")</f>
      </c>
      <c r="I1101" s="16">
        <f>IFERROR(IF([1]对账明细接口!$I$1101=0,"",[1]对账明细接口!$I$1101),"")</f>
      </c>
      <c r="J1101" s="177">
        <f>IFERROR(IF([1]对账明细接口!$J$1101=0,"",[1]对账明细接口!$J$1101),"")</f>
      </c>
      <c r="K1101" s="177">
        <f>IFERROR(IF([1]对账明细接口!$K$1101=0,"",[1]对账明细接口!$K$1101),"")</f>
      </c>
      <c r="L1101" s="16">
        <f>IFERROR(IF([1]对账明细接口!$L$1101=0,"",[1]对账明细接口!$L$1101),"")</f>
      </c>
      <c r="M1101" s="16">
        <f>IFERROR(IF([1]对账明细接口!$M$1101=0,"",[1]对账明细接口!$M$1101),"")</f>
      </c>
      <c r="N1101" s="19">
        <f>IF($C1101="",0,1)</f>
        <v>0</v>
      </c>
      <c r="O1101" s="19">
        <f>N(O1100)+$N1101</f>
        <v>637</v>
      </c>
      <c r="S1101" s="20">
        <f>IFERROR(IF([1]对账明细接口!$N1101=0,"",[1]对账明细接口!$N1101),"")</f>
      </c>
      <c r="T1101" s="212">
        <f>IFERROR(IF([1]对账明细接口!$O1101=0,"",[1]对账明细接口!$O1101),"")</f>
      </c>
      <c r="U1101" s="212">
        <f>IFERROR(IF([1]对账明细接口!$P1101=0,"",[1]对账明细接口!$P1101),"")</f>
      </c>
      <c r="V1101" s="212">
        <f>IFERROR(IF([1]对账明细接口!$Q1101=0,"",[1]对账明细接口!$Q1101),"")</f>
      </c>
      <c r="W1101" s="20">
        <f>IFERROR(IF([1]对账明细接口!$R1101=0,"",[1]对账明细接口!$R1101),"")</f>
      </c>
      <c r="X1101" s="20">
        <f>IFERROR(IF([1]对账明细接口!$S1101=0,"",[1]对账明细接口!$S1101),"")</f>
      </c>
      <c r="Y1101" s="20">
        <f>IFERROR(IF([1]对账明细接口!$T1101=0,"",[1]对账明细接口!$T1101),"")</f>
      </c>
      <c r="Z1101" s="213">
        <f>IFERROR(IF([1]对账明细接口!$U1101=0,"",[1]对账明细接口!$U1101),"")</f>
      </c>
      <c r="AA1101" s="213">
        <f>IFERROR(IF([1]对账明细接口!$V1101=0,"",[1]对账明细接口!$V1101),"")</f>
      </c>
      <c r="AB1101" s="20">
        <f>IFERROR(IF([1]对账明细接口!$W1101=0,"",[1]对账明细接口!$W1101),"")</f>
      </c>
      <c r="AC1101" s="7">
        <f>IFERROR(IF([1]对账明细接口!$X1101=0,"",[1]对账明细接口!$X1101),"")</f>
      </c>
      <c r="AD1101" s="7">
        <f>IFERROR(IF([1]对账明细接口!$Y1101=0,"",[1]对账明细接口!$Y1101),"")</f>
      </c>
      <c r="AE1101" s="7">
        <f>IFERROR(IF([1]对账明细接口!$AA1101=0,"",[1]对账明细接口!$AA1101),"")</f>
      </c>
      <c r="AF1101" s="7">
        <f>IFERROR(IF([1]对账明细接口!$AB1101=0,"",[1]对账明细接口!$AB1101),"")</f>
      </c>
      <c r="AG1101" s="7">
        <f>IFERROR(IF([1]对账明细接口!$AC1101=0,"",[1]对账明细接口!$AC1101),"")</f>
      </c>
      <c r="AH1101" s="7">
        <f>IFERROR(IF([1]对账明细接口!$AD1101=0,"",[1]对账明细接口!$AD1101),"")</f>
      </c>
      <c r="AI1101" s="7">
        <f>IFERROR(IF([1]对账明细接口!$AE1101=0,"",[1]对账明细接口!$AE1101),"")</f>
      </c>
      <c r="AJ1101" s="7">
        <f>IFERROR(IF([1]对账明细接口!$AF1101=0,"",[1]对账明细接口!$AF1101),"")</f>
      </c>
    </row>
    <row r="1102" ht="14.25" customHeight="1" s="127">
      <c r="A1102" s="14" t="n">
        <v>1102</v>
      </c>
      <c r="B1102" s="211">
        <f>IFERROR(IF([1]对账明细接口!$B$1102=0,"",[1]对账明细接口!$B$1102),"")</f>
      </c>
      <c r="C1102" s="16">
        <f>IFERROR(IF([1]对账明细接口!$C$1102=0,"",[1]对账明细接口!$C$1102),"")</f>
      </c>
      <c r="D1102" s="16">
        <f>IFERROR(IF([1]对账明细接口!$D$1102=0,"",[1]对账明细接口!$D$1102),"")</f>
      </c>
      <c r="E1102" s="16">
        <f>IFERROR(IF([1]对账明细接口!$E$1102=0,"",[1]对账明细接口!$E$1102),"")</f>
      </c>
      <c r="F1102" s="16">
        <f>IFERROR(IF([1]对账明细接口!$F$1102=0,"",[1]对账明细接口!$F$1102),"")</f>
      </c>
      <c r="G1102" s="16">
        <f>IFERROR(IF([1]对账明细接口!$G$1102=0,"",[1]对账明细接口!$G$1102),"")</f>
      </c>
      <c r="H1102" s="176">
        <f>IFERROR(IF([1]对账明细接口!$H$1102=0,"",[1]对账明细接口!$H$1102),"")</f>
      </c>
      <c r="I1102" s="16">
        <f>IFERROR(IF([1]对账明细接口!$I$1102=0,"",[1]对账明细接口!$I$1102),"")</f>
      </c>
      <c r="J1102" s="177">
        <f>IFERROR(IF([1]对账明细接口!$J$1102=0,"",[1]对账明细接口!$J$1102),"")</f>
      </c>
      <c r="K1102" s="177">
        <f>IFERROR(IF([1]对账明细接口!$K$1102=0,"",[1]对账明细接口!$K$1102),"")</f>
      </c>
      <c r="L1102" s="16">
        <f>IFERROR(IF([1]对账明细接口!$L$1102=0,"",[1]对账明细接口!$L$1102),"")</f>
      </c>
      <c r="M1102" s="16">
        <f>IFERROR(IF([1]对账明细接口!$M$1102=0,"",[1]对账明细接口!$M$1102),"")</f>
      </c>
      <c r="N1102" s="19">
        <f>IF($C1102="",0,1)</f>
        <v>0</v>
      </c>
      <c r="O1102" s="19">
        <f>N(O1101)+$N1102</f>
        <v>637</v>
      </c>
      <c r="S1102" s="20">
        <f>IFERROR(IF([1]对账明细接口!$N1102=0,"",[1]对账明细接口!$N1102),"")</f>
      </c>
      <c r="T1102" s="212">
        <f>IFERROR(IF([1]对账明细接口!$O1102=0,"",[1]对账明细接口!$O1102),"")</f>
      </c>
      <c r="U1102" s="212">
        <f>IFERROR(IF([1]对账明细接口!$P1102=0,"",[1]对账明细接口!$P1102),"")</f>
      </c>
      <c r="V1102" s="212">
        <f>IFERROR(IF([1]对账明细接口!$Q1102=0,"",[1]对账明细接口!$Q1102),"")</f>
      </c>
      <c r="W1102" s="20">
        <f>IFERROR(IF([1]对账明细接口!$R1102=0,"",[1]对账明细接口!$R1102),"")</f>
      </c>
      <c r="X1102" s="20">
        <f>IFERROR(IF([1]对账明细接口!$S1102=0,"",[1]对账明细接口!$S1102),"")</f>
      </c>
      <c r="Y1102" s="20">
        <f>IFERROR(IF([1]对账明细接口!$T1102=0,"",[1]对账明细接口!$T1102),"")</f>
      </c>
      <c r="Z1102" s="213">
        <f>IFERROR(IF([1]对账明细接口!$U1102=0,"",[1]对账明细接口!$U1102),"")</f>
      </c>
      <c r="AA1102" s="213">
        <f>IFERROR(IF([1]对账明细接口!$V1102=0,"",[1]对账明细接口!$V1102),"")</f>
      </c>
      <c r="AB1102" s="20">
        <f>IFERROR(IF([1]对账明细接口!$W1102=0,"",[1]对账明细接口!$W1102),"")</f>
      </c>
      <c r="AC1102" s="7">
        <f>IFERROR(IF([1]对账明细接口!$X1102=0,"",[1]对账明细接口!$X1102),"")</f>
      </c>
      <c r="AD1102" s="7">
        <f>IFERROR(IF([1]对账明细接口!$Y1102=0,"",[1]对账明细接口!$Y1102),"")</f>
      </c>
      <c r="AE1102" s="7">
        <f>IFERROR(IF([1]对账明细接口!$AA1102=0,"",[1]对账明细接口!$AA1102),"")</f>
      </c>
      <c r="AF1102" s="7">
        <f>IFERROR(IF([1]对账明细接口!$AB1102=0,"",[1]对账明细接口!$AB1102),"")</f>
      </c>
      <c r="AG1102" s="7">
        <f>IFERROR(IF([1]对账明细接口!$AC1102=0,"",[1]对账明细接口!$AC1102),"")</f>
      </c>
      <c r="AH1102" s="7">
        <f>IFERROR(IF([1]对账明细接口!$AD1102=0,"",[1]对账明细接口!$AD1102),"")</f>
      </c>
      <c r="AI1102" s="7">
        <f>IFERROR(IF([1]对账明细接口!$AE1102=0,"",[1]对账明细接口!$AE1102),"")</f>
      </c>
      <c r="AJ1102" s="7">
        <f>IFERROR(IF([1]对账明细接口!$AF1102=0,"",[1]对账明细接口!$AF1102),"")</f>
      </c>
    </row>
    <row r="1103" ht="14.25" customHeight="1" s="127">
      <c r="A1103" s="14" t="n">
        <v>1103</v>
      </c>
      <c r="B1103" s="211">
        <f>IFERROR(IF([1]对账明细接口!$B$1103=0,"",[1]对账明细接口!$B$1103),"")</f>
      </c>
      <c r="C1103" s="16">
        <f>IFERROR(IF([1]对账明细接口!$C$1103=0,"",[1]对账明细接口!$C$1103),"")</f>
      </c>
      <c r="D1103" s="16">
        <f>IFERROR(IF([1]对账明细接口!$D$1103=0,"",[1]对账明细接口!$D$1103),"")</f>
      </c>
      <c r="E1103" s="16">
        <f>IFERROR(IF([1]对账明细接口!$E$1103=0,"",[1]对账明细接口!$E$1103),"")</f>
      </c>
      <c r="F1103" s="16">
        <f>IFERROR(IF([1]对账明细接口!$F$1103=0,"",[1]对账明细接口!$F$1103),"")</f>
      </c>
      <c r="G1103" s="16">
        <f>IFERROR(IF([1]对账明细接口!$G$1103=0,"",[1]对账明细接口!$G$1103),"")</f>
      </c>
      <c r="H1103" s="176">
        <f>IFERROR(IF([1]对账明细接口!$H$1103=0,"",[1]对账明细接口!$H$1103),"")</f>
      </c>
      <c r="I1103" s="16">
        <f>IFERROR(IF([1]对账明细接口!$I$1103=0,"",[1]对账明细接口!$I$1103),"")</f>
      </c>
      <c r="J1103" s="177">
        <f>IFERROR(IF([1]对账明细接口!$J$1103=0,"",[1]对账明细接口!$J$1103),"")</f>
      </c>
      <c r="K1103" s="177">
        <f>IFERROR(IF([1]对账明细接口!$K$1103=0,"",[1]对账明细接口!$K$1103),"")</f>
      </c>
      <c r="L1103" s="16">
        <f>IFERROR(IF([1]对账明细接口!$L$1103=0,"",[1]对账明细接口!$L$1103),"")</f>
      </c>
      <c r="M1103" s="16">
        <f>IFERROR(IF([1]对账明细接口!$M$1103=0,"",[1]对账明细接口!$M$1103),"")</f>
      </c>
      <c r="N1103" s="19">
        <f>IF($C1103="",0,1)</f>
        <v>0</v>
      </c>
      <c r="O1103" s="19">
        <f>N(O1102)+$N1103</f>
        <v>637</v>
      </c>
      <c r="S1103" s="20">
        <f>IFERROR(IF([1]对账明细接口!$N1103=0,"",[1]对账明细接口!$N1103),"")</f>
      </c>
      <c r="T1103" s="212">
        <f>IFERROR(IF([1]对账明细接口!$O1103=0,"",[1]对账明细接口!$O1103),"")</f>
      </c>
      <c r="U1103" s="212">
        <f>IFERROR(IF([1]对账明细接口!$P1103=0,"",[1]对账明细接口!$P1103),"")</f>
      </c>
      <c r="V1103" s="212">
        <f>IFERROR(IF([1]对账明细接口!$Q1103=0,"",[1]对账明细接口!$Q1103),"")</f>
      </c>
      <c r="W1103" s="20">
        <f>IFERROR(IF([1]对账明细接口!$R1103=0,"",[1]对账明细接口!$R1103),"")</f>
      </c>
      <c r="X1103" s="20">
        <f>IFERROR(IF([1]对账明细接口!$S1103=0,"",[1]对账明细接口!$S1103),"")</f>
      </c>
      <c r="Y1103" s="20">
        <f>IFERROR(IF([1]对账明细接口!$T1103=0,"",[1]对账明细接口!$T1103),"")</f>
      </c>
      <c r="Z1103" s="213">
        <f>IFERROR(IF([1]对账明细接口!$U1103=0,"",[1]对账明细接口!$U1103),"")</f>
      </c>
      <c r="AA1103" s="213">
        <f>IFERROR(IF([1]对账明细接口!$V1103=0,"",[1]对账明细接口!$V1103),"")</f>
      </c>
      <c r="AB1103" s="20">
        <f>IFERROR(IF([1]对账明细接口!$W1103=0,"",[1]对账明细接口!$W1103),"")</f>
      </c>
      <c r="AC1103" s="7">
        <f>IFERROR(IF([1]对账明细接口!$X1103=0,"",[1]对账明细接口!$X1103),"")</f>
      </c>
      <c r="AD1103" s="7">
        <f>IFERROR(IF([1]对账明细接口!$Y1103=0,"",[1]对账明细接口!$Y1103),"")</f>
      </c>
      <c r="AE1103" s="7">
        <f>IFERROR(IF([1]对账明细接口!$AA1103=0,"",[1]对账明细接口!$AA1103),"")</f>
      </c>
      <c r="AF1103" s="7">
        <f>IFERROR(IF([1]对账明细接口!$AB1103=0,"",[1]对账明细接口!$AB1103),"")</f>
      </c>
      <c r="AG1103" s="7">
        <f>IFERROR(IF([1]对账明细接口!$AC1103=0,"",[1]对账明细接口!$AC1103),"")</f>
      </c>
      <c r="AH1103" s="7">
        <f>IFERROR(IF([1]对账明细接口!$AD1103=0,"",[1]对账明细接口!$AD1103),"")</f>
      </c>
      <c r="AI1103" s="7">
        <f>IFERROR(IF([1]对账明细接口!$AE1103=0,"",[1]对账明细接口!$AE1103),"")</f>
      </c>
      <c r="AJ1103" s="7">
        <f>IFERROR(IF([1]对账明细接口!$AF1103=0,"",[1]对账明细接口!$AF1103),"")</f>
      </c>
    </row>
    <row r="1104" ht="14.25" customHeight="1" s="127">
      <c r="A1104" s="14" t="n">
        <v>1104</v>
      </c>
      <c r="B1104" s="211">
        <f>IFERROR(IF([1]对账明细接口!$B$1104=0,"",[1]对账明细接口!$B$1104),"")</f>
      </c>
      <c r="C1104" s="16">
        <f>IFERROR(IF([1]对账明细接口!$C$1104=0,"",[1]对账明细接口!$C$1104),"")</f>
      </c>
      <c r="D1104" s="16">
        <f>IFERROR(IF([1]对账明细接口!$D$1104=0,"",[1]对账明细接口!$D$1104),"")</f>
      </c>
      <c r="E1104" s="16">
        <f>IFERROR(IF([1]对账明细接口!$E$1104=0,"",[1]对账明细接口!$E$1104),"")</f>
      </c>
      <c r="F1104" s="16">
        <f>IFERROR(IF([1]对账明细接口!$F$1104=0,"",[1]对账明细接口!$F$1104),"")</f>
      </c>
      <c r="G1104" s="16">
        <f>IFERROR(IF([1]对账明细接口!$G$1104=0,"",[1]对账明细接口!$G$1104),"")</f>
      </c>
      <c r="H1104" s="176">
        <f>IFERROR(IF([1]对账明细接口!$H$1104=0,"",[1]对账明细接口!$H$1104),"")</f>
      </c>
      <c r="I1104" s="16">
        <f>IFERROR(IF([1]对账明细接口!$I$1104=0,"",[1]对账明细接口!$I$1104),"")</f>
      </c>
      <c r="J1104" s="177">
        <f>IFERROR(IF([1]对账明细接口!$J$1104=0,"",[1]对账明细接口!$J$1104),"")</f>
      </c>
      <c r="K1104" s="177">
        <f>IFERROR(IF([1]对账明细接口!$K$1104=0,"",[1]对账明细接口!$K$1104),"")</f>
      </c>
      <c r="L1104" s="16">
        <f>IFERROR(IF([1]对账明细接口!$L$1104=0,"",[1]对账明细接口!$L$1104),"")</f>
      </c>
      <c r="M1104" s="16">
        <f>IFERROR(IF([1]对账明细接口!$M$1104=0,"",[1]对账明细接口!$M$1104),"")</f>
      </c>
      <c r="N1104" s="19">
        <f>IF($C1104="",0,1)</f>
        <v>0</v>
      </c>
      <c r="O1104" s="19">
        <f>N(O1103)+$N1104</f>
        <v>637</v>
      </c>
      <c r="S1104" s="20">
        <f>IFERROR(IF([1]对账明细接口!$N1104=0,"",[1]对账明细接口!$N1104),"")</f>
      </c>
      <c r="T1104" s="212">
        <f>IFERROR(IF([1]对账明细接口!$O1104=0,"",[1]对账明细接口!$O1104),"")</f>
      </c>
      <c r="U1104" s="212">
        <f>IFERROR(IF([1]对账明细接口!$P1104=0,"",[1]对账明细接口!$P1104),"")</f>
      </c>
      <c r="V1104" s="212">
        <f>IFERROR(IF([1]对账明细接口!$Q1104=0,"",[1]对账明细接口!$Q1104),"")</f>
      </c>
      <c r="W1104" s="20">
        <f>IFERROR(IF([1]对账明细接口!$R1104=0,"",[1]对账明细接口!$R1104),"")</f>
      </c>
      <c r="X1104" s="20">
        <f>IFERROR(IF([1]对账明细接口!$S1104=0,"",[1]对账明细接口!$S1104),"")</f>
      </c>
      <c r="Y1104" s="20">
        <f>IFERROR(IF([1]对账明细接口!$T1104=0,"",[1]对账明细接口!$T1104),"")</f>
      </c>
      <c r="Z1104" s="213">
        <f>IFERROR(IF([1]对账明细接口!$U1104=0,"",[1]对账明细接口!$U1104),"")</f>
      </c>
      <c r="AA1104" s="213">
        <f>IFERROR(IF([1]对账明细接口!$V1104=0,"",[1]对账明细接口!$V1104),"")</f>
      </c>
      <c r="AB1104" s="20">
        <f>IFERROR(IF([1]对账明细接口!$W1104=0,"",[1]对账明细接口!$W1104),"")</f>
      </c>
      <c r="AC1104" s="7">
        <f>IFERROR(IF([1]对账明细接口!$X1104=0,"",[1]对账明细接口!$X1104),"")</f>
      </c>
      <c r="AD1104" s="7">
        <f>IFERROR(IF([1]对账明细接口!$Y1104=0,"",[1]对账明细接口!$Y1104),"")</f>
      </c>
      <c r="AE1104" s="7">
        <f>IFERROR(IF([1]对账明细接口!$AA1104=0,"",[1]对账明细接口!$AA1104),"")</f>
      </c>
      <c r="AF1104" s="7">
        <f>IFERROR(IF([1]对账明细接口!$AB1104=0,"",[1]对账明细接口!$AB1104),"")</f>
      </c>
      <c r="AG1104" s="7">
        <f>IFERROR(IF([1]对账明细接口!$AC1104=0,"",[1]对账明细接口!$AC1104),"")</f>
      </c>
      <c r="AH1104" s="7">
        <f>IFERROR(IF([1]对账明细接口!$AD1104=0,"",[1]对账明细接口!$AD1104),"")</f>
      </c>
      <c r="AI1104" s="7">
        <f>IFERROR(IF([1]对账明细接口!$AE1104=0,"",[1]对账明细接口!$AE1104),"")</f>
      </c>
      <c r="AJ1104" s="7">
        <f>IFERROR(IF([1]对账明细接口!$AF1104=0,"",[1]对账明细接口!$AF1104),"")</f>
      </c>
    </row>
    <row r="1105" ht="14.25" customHeight="1" s="127">
      <c r="A1105" s="14" t="n">
        <v>1105</v>
      </c>
      <c r="B1105" s="211">
        <f>IFERROR(IF([1]对账明细接口!$B$1105=0,"",[1]对账明细接口!$B$1105),"")</f>
      </c>
      <c r="C1105" s="16">
        <f>IFERROR(IF([1]对账明细接口!$C$1105=0,"",[1]对账明细接口!$C$1105),"")</f>
      </c>
      <c r="D1105" s="16">
        <f>IFERROR(IF([1]对账明细接口!$D$1105=0,"",[1]对账明细接口!$D$1105),"")</f>
      </c>
      <c r="E1105" s="16">
        <f>IFERROR(IF([1]对账明细接口!$E$1105=0,"",[1]对账明细接口!$E$1105),"")</f>
      </c>
      <c r="F1105" s="16">
        <f>IFERROR(IF([1]对账明细接口!$F$1105=0,"",[1]对账明细接口!$F$1105),"")</f>
      </c>
      <c r="G1105" s="16">
        <f>IFERROR(IF([1]对账明细接口!$G$1105=0,"",[1]对账明细接口!$G$1105),"")</f>
      </c>
      <c r="H1105" s="176">
        <f>IFERROR(IF([1]对账明细接口!$H$1105=0,"",[1]对账明细接口!$H$1105),"")</f>
      </c>
      <c r="I1105" s="16">
        <f>IFERROR(IF([1]对账明细接口!$I$1105=0,"",[1]对账明细接口!$I$1105),"")</f>
      </c>
      <c r="J1105" s="177">
        <f>IFERROR(IF([1]对账明细接口!$J$1105=0,"",[1]对账明细接口!$J$1105),"")</f>
      </c>
      <c r="K1105" s="177">
        <f>IFERROR(IF([1]对账明细接口!$K$1105=0,"",[1]对账明细接口!$K$1105),"")</f>
      </c>
      <c r="L1105" s="16">
        <f>IFERROR(IF([1]对账明细接口!$L$1105=0,"",[1]对账明细接口!$L$1105),"")</f>
      </c>
      <c r="M1105" s="16">
        <f>IFERROR(IF([1]对账明细接口!$M$1105=0,"",[1]对账明细接口!$M$1105),"")</f>
      </c>
      <c r="N1105" s="19">
        <f>IF($C1105="",0,1)</f>
        <v>0</v>
      </c>
      <c r="O1105" s="19">
        <f>N(O1104)+$N1105</f>
        <v>637</v>
      </c>
      <c r="S1105" s="20">
        <f>IFERROR(IF([1]对账明细接口!$N1105=0,"",[1]对账明细接口!$N1105),"")</f>
      </c>
      <c r="T1105" s="212">
        <f>IFERROR(IF([1]对账明细接口!$O1105=0,"",[1]对账明细接口!$O1105),"")</f>
      </c>
      <c r="U1105" s="212">
        <f>IFERROR(IF([1]对账明细接口!$P1105=0,"",[1]对账明细接口!$P1105),"")</f>
      </c>
      <c r="V1105" s="212">
        <f>IFERROR(IF([1]对账明细接口!$Q1105=0,"",[1]对账明细接口!$Q1105),"")</f>
      </c>
      <c r="W1105" s="20">
        <f>IFERROR(IF([1]对账明细接口!$R1105=0,"",[1]对账明细接口!$R1105),"")</f>
      </c>
      <c r="X1105" s="20">
        <f>IFERROR(IF([1]对账明细接口!$S1105=0,"",[1]对账明细接口!$S1105),"")</f>
      </c>
      <c r="Y1105" s="20">
        <f>IFERROR(IF([1]对账明细接口!$T1105=0,"",[1]对账明细接口!$T1105),"")</f>
      </c>
      <c r="Z1105" s="213">
        <f>IFERROR(IF([1]对账明细接口!$U1105=0,"",[1]对账明细接口!$U1105),"")</f>
      </c>
      <c r="AA1105" s="213">
        <f>IFERROR(IF([1]对账明细接口!$V1105=0,"",[1]对账明细接口!$V1105),"")</f>
      </c>
      <c r="AB1105" s="20">
        <f>IFERROR(IF([1]对账明细接口!$W1105=0,"",[1]对账明细接口!$W1105),"")</f>
      </c>
      <c r="AC1105" s="7">
        <f>IFERROR(IF([1]对账明细接口!$X1105=0,"",[1]对账明细接口!$X1105),"")</f>
      </c>
      <c r="AD1105" s="7">
        <f>IFERROR(IF([1]对账明细接口!$Y1105=0,"",[1]对账明细接口!$Y1105),"")</f>
      </c>
      <c r="AE1105" s="7">
        <f>IFERROR(IF([1]对账明细接口!$AA1105=0,"",[1]对账明细接口!$AA1105),"")</f>
      </c>
      <c r="AF1105" s="7">
        <f>IFERROR(IF([1]对账明细接口!$AB1105=0,"",[1]对账明细接口!$AB1105),"")</f>
      </c>
      <c r="AG1105" s="7">
        <f>IFERROR(IF([1]对账明细接口!$AC1105=0,"",[1]对账明细接口!$AC1105),"")</f>
      </c>
      <c r="AH1105" s="7">
        <f>IFERROR(IF([1]对账明细接口!$AD1105=0,"",[1]对账明细接口!$AD1105),"")</f>
      </c>
      <c r="AI1105" s="7">
        <f>IFERROR(IF([1]对账明细接口!$AE1105=0,"",[1]对账明细接口!$AE1105),"")</f>
      </c>
      <c r="AJ1105" s="7">
        <f>IFERROR(IF([1]对账明细接口!$AF1105=0,"",[1]对账明细接口!$AF1105),"")</f>
      </c>
    </row>
    <row r="1106" ht="14.25" customHeight="1" s="127">
      <c r="A1106" s="14" t="n">
        <v>1106</v>
      </c>
      <c r="B1106" s="211">
        <f>IFERROR(IF([1]对账明细接口!$B$1106=0,"",[1]对账明细接口!$B$1106),"")</f>
      </c>
      <c r="C1106" s="16">
        <f>IFERROR(IF([1]对账明细接口!$C$1106=0,"",[1]对账明细接口!$C$1106),"")</f>
      </c>
      <c r="D1106" s="16">
        <f>IFERROR(IF([1]对账明细接口!$D$1106=0,"",[1]对账明细接口!$D$1106),"")</f>
      </c>
      <c r="E1106" s="16">
        <f>IFERROR(IF([1]对账明细接口!$E$1106=0,"",[1]对账明细接口!$E$1106),"")</f>
      </c>
      <c r="F1106" s="16">
        <f>IFERROR(IF([1]对账明细接口!$F$1106=0,"",[1]对账明细接口!$F$1106),"")</f>
      </c>
      <c r="G1106" s="16">
        <f>IFERROR(IF([1]对账明细接口!$G$1106=0,"",[1]对账明细接口!$G$1106),"")</f>
      </c>
      <c r="H1106" s="176">
        <f>IFERROR(IF([1]对账明细接口!$H$1106=0,"",[1]对账明细接口!$H$1106),"")</f>
      </c>
      <c r="I1106" s="16">
        <f>IFERROR(IF([1]对账明细接口!$I$1106=0,"",[1]对账明细接口!$I$1106),"")</f>
      </c>
      <c r="J1106" s="177">
        <f>IFERROR(IF([1]对账明细接口!$J$1106=0,"",[1]对账明细接口!$J$1106),"")</f>
      </c>
      <c r="K1106" s="177">
        <f>IFERROR(IF([1]对账明细接口!$K$1106=0,"",[1]对账明细接口!$K$1106),"")</f>
      </c>
      <c r="L1106" s="16">
        <f>IFERROR(IF([1]对账明细接口!$L$1106=0,"",[1]对账明细接口!$L$1106),"")</f>
      </c>
      <c r="M1106" s="16">
        <f>IFERROR(IF([1]对账明细接口!$M$1106=0,"",[1]对账明细接口!$M$1106),"")</f>
      </c>
      <c r="N1106" s="19">
        <f>IF($C1106="",0,1)</f>
        <v>0</v>
      </c>
      <c r="O1106" s="19">
        <f>N(O1105)+$N1106</f>
        <v>637</v>
      </c>
      <c r="S1106" s="20">
        <f>IFERROR(IF([1]对账明细接口!$N1106=0,"",[1]对账明细接口!$N1106),"")</f>
      </c>
      <c r="T1106" s="212">
        <f>IFERROR(IF([1]对账明细接口!$O1106=0,"",[1]对账明细接口!$O1106),"")</f>
      </c>
      <c r="U1106" s="212">
        <f>IFERROR(IF([1]对账明细接口!$P1106=0,"",[1]对账明细接口!$P1106),"")</f>
      </c>
      <c r="V1106" s="212">
        <f>IFERROR(IF([1]对账明细接口!$Q1106=0,"",[1]对账明细接口!$Q1106),"")</f>
      </c>
      <c r="W1106" s="20">
        <f>IFERROR(IF([1]对账明细接口!$R1106=0,"",[1]对账明细接口!$R1106),"")</f>
      </c>
      <c r="X1106" s="20">
        <f>IFERROR(IF([1]对账明细接口!$S1106=0,"",[1]对账明细接口!$S1106),"")</f>
      </c>
      <c r="Y1106" s="20">
        <f>IFERROR(IF([1]对账明细接口!$T1106=0,"",[1]对账明细接口!$T1106),"")</f>
      </c>
      <c r="Z1106" s="213">
        <f>IFERROR(IF([1]对账明细接口!$U1106=0,"",[1]对账明细接口!$U1106),"")</f>
      </c>
      <c r="AA1106" s="213">
        <f>IFERROR(IF([1]对账明细接口!$V1106=0,"",[1]对账明细接口!$V1106),"")</f>
      </c>
      <c r="AB1106" s="20">
        <f>IFERROR(IF([1]对账明细接口!$W1106=0,"",[1]对账明细接口!$W1106),"")</f>
      </c>
      <c r="AC1106" s="7">
        <f>IFERROR(IF([1]对账明细接口!$X1106=0,"",[1]对账明细接口!$X1106),"")</f>
      </c>
      <c r="AD1106" s="7">
        <f>IFERROR(IF([1]对账明细接口!$Y1106=0,"",[1]对账明细接口!$Y1106),"")</f>
      </c>
      <c r="AE1106" s="7">
        <f>IFERROR(IF([1]对账明细接口!$AA1106=0,"",[1]对账明细接口!$AA1106),"")</f>
      </c>
      <c r="AF1106" s="7">
        <f>IFERROR(IF([1]对账明细接口!$AB1106=0,"",[1]对账明细接口!$AB1106),"")</f>
      </c>
      <c r="AG1106" s="7">
        <f>IFERROR(IF([1]对账明细接口!$AC1106=0,"",[1]对账明细接口!$AC1106),"")</f>
      </c>
      <c r="AH1106" s="7">
        <f>IFERROR(IF([1]对账明细接口!$AD1106=0,"",[1]对账明细接口!$AD1106),"")</f>
      </c>
      <c r="AI1106" s="7">
        <f>IFERROR(IF([1]对账明细接口!$AE1106=0,"",[1]对账明细接口!$AE1106),"")</f>
      </c>
      <c r="AJ1106" s="7">
        <f>IFERROR(IF([1]对账明细接口!$AF1106=0,"",[1]对账明细接口!$AF1106),"")</f>
      </c>
    </row>
    <row r="1107" ht="14.25" customHeight="1" s="127">
      <c r="A1107" s="14" t="n">
        <v>1107</v>
      </c>
      <c r="B1107" s="211">
        <f>IFERROR(IF([1]对账明细接口!$B$1107=0,"",[1]对账明细接口!$B$1107),"")</f>
      </c>
      <c r="C1107" s="16">
        <f>IFERROR(IF([1]对账明细接口!$C$1107=0,"",[1]对账明细接口!$C$1107),"")</f>
      </c>
      <c r="D1107" s="16">
        <f>IFERROR(IF([1]对账明细接口!$D$1107=0,"",[1]对账明细接口!$D$1107),"")</f>
      </c>
      <c r="E1107" s="16">
        <f>IFERROR(IF([1]对账明细接口!$E$1107=0,"",[1]对账明细接口!$E$1107),"")</f>
      </c>
      <c r="F1107" s="16">
        <f>IFERROR(IF([1]对账明细接口!$F$1107=0,"",[1]对账明细接口!$F$1107),"")</f>
      </c>
      <c r="G1107" s="16">
        <f>IFERROR(IF([1]对账明细接口!$G$1107=0,"",[1]对账明细接口!$G$1107),"")</f>
      </c>
      <c r="H1107" s="176">
        <f>IFERROR(IF([1]对账明细接口!$H$1107=0,"",[1]对账明细接口!$H$1107),"")</f>
      </c>
      <c r="I1107" s="16">
        <f>IFERROR(IF([1]对账明细接口!$I$1107=0,"",[1]对账明细接口!$I$1107),"")</f>
      </c>
      <c r="J1107" s="177">
        <f>IFERROR(IF([1]对账明细接口!$J$1107=0,"",[1]对账明细接口!$J$1107),"")</f>
      </c>
      <c r="K1107" s="177">
        <f>IFERROR(IF([1]对账明细接口!$K$1107=0,"",[1]对账明细接口!$K$1107),"")</f>
      </c>
      <c r="L1107" s="16">
        <f>IFERROR(IF([1]对账明细接口!$L$1107=0,"",[1]对账明细接口!$L$1107),"")</f>
      </c>
      <c r="M1107" s="16">
        <f>IFERROR(IF([1]对账明细接口!$M$1107=0,"",[1]对账明细接口!$M$1107),"")</f>
      </c>
      <c r="N1107" s="19">
        <f>IF($C1107="",0,1)</f>
        <v>0</v>
      </c>
      <c r="O1107" s="19">
        <f>N(O1106)+$N1107</f>
        <v>637</v>
      </c>
      <c r="S1107" s="20">
        <f>IFERROR(IF([1]对账明细接口!$N1107=0,"",[1]对账明细接口!$N1107),"")</f>
      </c>
      <c r="T1107" s="212">
        <f>IFERROR(IF([1]对账明细接口!$O1107=0,"",[1]对账明细接口!$O1107),"")</f>
      </c>
      <c r="U1107" s="212">
        <f>IFERROR(IF([1]对账明细接口!$P1107=0,"",[1]对账明细接口!$P1107),"")</f>
      </c>
      <c r="V1107" s="212">
        <f>IFERROR(IF([1]对账明细接口!$Q1107=0,"",[1]对账明细接口!$Q1107),"")</f>
      </c>
      <c r="W1107" s="20">
        <f>IFERROR(IF([1]对账明细接口!$R1107=0,"",[1]对账明细接口!$R1107),"")</f>
      </c>
      <c r="X1107" s="20">
        <f>IFERROR(IF([1]对账明细接口!$S1107=0,"",[1]对账明细接口!$S1107),"")</f>
      </c>
      <c r="Y1107" s="20">
        <f>IFERROR(IF([1]对账明细接口!$T1107=0,"",[1]对账明细接口!$T1107),"")</f>
      </c>
      <c r="Z1107" s="213">
        <f>IFERROR(IF([1]对账明细接口!$U1107=0,"",[1]对账明细接口!$U1107),"")</f>
      </c>
      <c r="AA1107" s="213">
        <f>IFERROR(IF([1]对账明细接口!$V1107=0,"",[1]对账明细接口!$V1107),"")</f>
      </c>
      <c r="AB1107" s="20">
        <f>IFERROR(IF([1]对账明细接口!$W1107=0,"",[1]对账明细接口!$W1107),"")</f>
      </c>
      <c r="AC1107" s="7">
        <f>IFERROR(IF([1]对账明细接口!$X1107=0,"",[1]对账明细接口!$X1107),"")</f>
      </c>
      <c r="AD1107" s="7">
        <f>IFERROR(IF([1]对账明细接口!$Y1107=0,"",[1]对账明细接口!$Y1107),"")</f>
      </c>
      <c r="AE1107" s="7">
        <f>IFERROR(IF([1]对账明细接口!$AA1107=0,"",[1]对账明细接口!$AA1107),"")</f>
      </c>
      <c r="AF1107" s="7">
        <f>IFERROR(IF([1]对账明细接口!$AB1107=0,"",[1]对账明细接口!$AB1107),"")</f>
      </c>
      <c r="AG1107" s="7">
        <f>IFERROR(IF([1]对账明细接口!$AC1107=0,"",[1]对账明细接口!$AC1107),"")</f>
      </c>
      <c r="AH1107" s="7">
        <f>IFERROR(IF([1]对账明细接口!$AD1107=0,"",[1]对账明细接口!$AD1107),"")</f>
      </c>
      <c r="AI1107" s="7">
        <f>IFERROR(IF([1]对账明细接口!$AE1107=0,"",[1]对账明细接口!$AE1107),"")</f>
      </c>
      <c r="AJ1107" s="7">
        <f>IFERROR(IF([1]对账明细接口!$AF1107=0,"",[1]对账明细接口!$AF1107),"")</f>
      </c>
    </row>
    <row r="1108" ht="14.25" customHeight="1" s="127">
      <c r="A1108" s="14" t="n">
        <v>1108</v>
      </c>
      <c r="B1108" s="211">
        <f>IFERROR(IF([1]对账明细接口!$B$1108=0,"",[1]对账明细接口!$B$1108),"")</f>
      </c>
      <c r="C1108" s="16">
        <f>IFERROR(IF([1]对账明细接口!$C$1108=0,"",[1]对账明细接口!$C$1108),"")</f>
      </c>
      <c r="D1108" s="16">
        <f>IFERROR(IF([1]对账明细接口!$D$1108=0,"",[1]对账明细接口!$D$1108),"")</f>
      </c>
      <c r="E1108" s="16">
        <f>IFERROR(IF([1]对账明细接口!$E$1108=0,"",[1]对账明细接口!$E$1108),"")</f>
      </c>
      <c r="F1108" s="16">
        <f>IFERROR(IF([1]对账明细接口!$F$1108=0,"",[1]对账明细接口!$F$1108),"")</f>
      </c>
      <c r="G1108" s="16">
        <f>IFERROR(IF([1]对账明细接口!$G$1108=0,"",[1]对账明细接口!$G$1108),"")</f>
      </c>
      <c r="H1108" s="176">
        <f>IFERROR(IF([1]对账明细接口!$H$1108=0,"",[1]对账明细接口!$H$1108),"")</f>
      </c>
      <c r="I1108" s="16">
        <f>IFERROR(IF([1]对账明细接口!$I$1108=0,"",[1]对账明细接口!$I$1108),"")</f>
      </c>
      <c r="J1108" s="177">
        <f>IFERROR(IF([1]对账明细接口!$J$1108=0,"",[1]对账明细接口!$J$1108),"")</f>
      </c>
      <c r="K1108" s="177">
        <f>IFERROR(IF([1]对账明细接口!$K$1108=0,"",[1]对账明细接口!$K$1108),"")</f>
      </c>
      <c r="L1108" s="16">
        <f>IFERROR(IF([1]对账明细接口!$L$1108=0,"",[1]对账明细接口!$L$1108),"")</f>
      </c>
      <c r="M1108" s="16">
        <f>IFERROR(IF([1]对账明细接口!$M$1108=0,"",[1]对账明细接口!$M$1108),"")</f>
      </c>
      <c r="N1108" s="19">
        <f>IF($C1108="",0,1)</f>
        <v>0</v>
      </c>
      <c r="O1108" s="19">
        <f>N(O1107)+$N1108</f>
        <v>637</v>
      </c>
      <c r="S1108" s="20">
        <f>IFERROR(IF([1]对账明细接口!$N1108=0,"",[1]对账明细接口!$N1108),"")</f>
      </c>
      <c r="T1108" s="212">
        <f>IFERROR(IF([1]对账明细接口!$O1108=0,"",[1]对账明细接口!$O1108),"")</f>
      </c>
      <c r="U1108" s="212">
        <f>IFERROR(IF([1]对账明细接口!$P1108=0,"",[1]对账明细接口!$P1108),"")</f>
      </c>
      <c r="V1108" s="212">
        <f>IFERROR(IF([1]对账明细接口!$Q1108=0,"",[1]对账明细接口!$Q1108),"")</f>
      </c>
      <c r="W1108" s="20">
        <f>IFERROR(IF([1]对账明细接口!$R1108=0,"",[1]对账明细接口!$R1108),"")</f>
      </c>
      <c r="X1108" s="20">
        <f>IFERROR(IF([1]对账明细接口!$S1108=0,"",[1]对账明细接口!$S1108),"")</f>
      </c>
      <c r="Y1108" s="20">
        <f>IFERROR(IF([1]对账明细接口!$T1108=0,"",[1]对账明细接口!$T1108),"")</f>
      </c>
      <c r="Z1108" s="213">
        <f>IFERROR(IF([1]对账明细接口!$U1108=0,"",[1]对账明细接口!$U1108),"")</f>
      </c>
      <c r="AA1108" s="213">
        <f>IFERROR(IF([1]对账明细接口!$V1108=0,"",[1]对账明细接口!$V1108),"")</f>
      </c>
      <c r="AB1108" s="20">
        <f>IFERROR(IF([1]对账明细接口!$W1108=0,"",[1]对账明细接口!$W1108),"")</f>
      </c>
      <c r="AC1108" s="7">
        <f>IFERROR(IF([1]对账明细接口!$X1108=0,"",[1]对账明细接口!$X1108),"")</f>
      </c>
      <c r="AD1108" s="7">
        <f>IFERROR(IF([1]对账明细接口!$Y1108=0,"",[1]对账明细接口!$Y1108),"")</f>
      </c>
      <c r="AE1108" s="7">
        <f>IFERROR(IF([1]对账明细接口!$AA1108=0,"",[1]对账明细接口!$AA1108),"")</f>
      </c>
      <c r="AF1108" s="7">
        <f>IFERROR(IF([1]对账明细接口!$AB1108=0,"",[1]对账明细接口!$AB1108),"")</f>
      </c>
      <c r="AG1108" s="7">
        <f>IFERROR(IF([1]对账明细接口!$AC1108=0,"",[1]对账明细接口!$AC1108),"")</f>
      </c>
      <c r="AH1108" s="7">
        <f>IFERROR(IF([1]对账明细接口!$AD1108=0,"",[1]对账明细接口!$AD1108),"")</f>
      </c>
      <c r="AI1108" s="7">
        <f>IFERROR(IF([1]对账明细接口!$AE1108=0,"",[1]对账明细接口!$AE1108),"")</f>
      </c>
      <c r="AJ1108" s="7">
        <f>IFERROR(IF([1]对账明细接口!$AF1108=0,"",[1]对账明细接口!$AF1108),"")</f>
      </c>
    </row>
    <row r="1109" ht="14.25" customHeight="1" s="127">
      <c r="A1109" s="14" t="n">
        <v>1109</v>
      </c>
      <c r="B1109" s="211">
        <f>IFERROR(IF([1]对账明细接口!$B$1109=0,"",[1]对账明细接口!$B$1109),"")</f>
      </c>
      <c r="C1109" s="16">
        <f>IFERROR(IF([1]对账明细接口!$C$1109=0,"",[1]对账明细接口!$C$1109),"")</f>
      </c>
      <c r="D1109" s="16">
        <f>IFERROR(IF([1]对账明细接口!$D$1109=0,"",[1]对账明细接口!$D$1109),"")</f>
      </c>
      <c r="E1109" s="16">
        <f>IFERROR(IF([1]对账明细接口!$E$1109=0,"",[1]对账明细接口!$E$1109),"")</f>
      </c>
      <c r="F1109" s="16">
        <f>IFERROR(IF([1]对账明细接口!$F$1109=0,"",[1]对账明细接口!$F$1109),"")</f>
      </c>
      <c r="G1109" s="16">
        <f>IFERROR(IF([1]对账明细接口!$G$1109=0,"",[1]对账明细接口!$G$1109),"")</f>
      </c>
      <c r="H1109" s="176">
        <f>IFERROR(IF([1]对账明细接口!$H$1109=0,"",[1]对账明细接口!$H$1109),"")</f>
      </c>
      <c r="I1109" s="16">
        <f>IFERROR(IF([1]对账明细接口!$I$1109=0,"",[1]对账明细接口!$I$1109),"")</f>
      </c>
      <c r="J1109" s="177">
        <f>IFERROR(IF([1]对账明细接口!$J$1109=0,"",[1]对账明细接口!$J$1109),"")</f>
      </c>
      <c r="K1109" s="177">
        <f>IFERROR(IF([1]对账明细接口!$K$1109=0,"",[1]对账明细接口!$K$1109),"")</f>
      </c>
      <c r="L1109" s="16">
        <f>IFERROR(IF([1]对账明细接口!$L$1109=0,"",[1]对账明细接口!$L$1109),"")</f>
      </c>
      <c r="M1109" s="16">
        <f>IFERROR(IF([1]对账明细接口!$M$1109=0,"",[1]对账明细接口!$M$1109),"")</f>
      </c>
      <c r="N1109" s="19">
        <f>IF($C1109="",0,1)</f>
        <v>0</v>
      </c>
      <c r="O1109" s="19">
        <f>N(O1108)+$N1109</f>
        <v>637</v>
      </c>
      <c r="S1109" s="20">
        <f>IFERROR(IF([1]对账明细接口!$N1109=0,"",[1]对账明细接口!$N1109),"")</f>
      </c>
      <c r="T1109" s="212">
        <f>IFERROR(IF([1]对账明细接口!$O1109=0,"",[1]对账明细接口!$O1109),"")</f>
      </c>
      <c r="U1109" s="212">
        <f>IFERROR(IF([1]对账明细接口!$P1109=0,"",[1]对账明细接口!$P1109),"")</f>
      </c>
      <c r="V1109" s="212">
        <f>IFERROR(IF([1]对账明细接口!$Q1109=0,"",[1]对账明细接口!$Q1109),"")</f>
      </c>
      <c r="W1109" s="20">
        <f>IFERROR(IF([1]对账明细接口!$R1109=0,"",[1]对账明细接口!$R1109),"")</f>
      </c>
      <c r="X1109" s="20">
        <f>IFERROR(IF([1]对账明细接口!$S1109=0,"",[1]对账明细接口!$S1109),"")</f>
      </c>
      <c r="Y1109" s="20">
        <f>IFERROR(IF([1]对账明细接口!$T1109=0,"",[1]对账明细接口!$T1109),"")</f>
      </c>
      <c r="Z1109" s="213">
        <f>IFERROR(IF([1]对账明细接口!$U1109=0,"",[1]对账明细接口!$U1109),"")</f>
      </c>
      <c r="AA1109" s="213">
        <f>IFERROR(IF([1]对账明细接口!$V1109=0,"",[1]对账明细接口!$V1109),"")</f>
      </c>
      <c r="AB1109" s="20">
        <f>IFERROR(IF([1]对账明细接口!$W1109=0,"",[1]对账明细接口!$W1109),"")</f>
      </c>
      <c r="AC1109" s="7">
        <f>IFERROR(IF([1]对账明细接口!$X1109=0,"",[1]对账明细接口!$X1109),"")</f>
      </c>
      <c r="AD1109" s="7">
        <f>IFERROR(IF([1]对账明细接口!$Y1109=0,"",[1]对账明细接口!$Y1109),"")</f>
      </c>
      <c r="AE1109" s="7">
        <f>IFERROR(IF([1]对账明细接口!$AA1109=0,"",[1]对账明细接口!$AA1109),"")</f>
      </c>
      <c r="AF1109" s="7">
        <f>IFERROR(IF([1]对账明细接口!$AB1109=0,"",[1]对账明细接口!$AB1109),"")</f>
      </c>
      <c r="AG1109" s="7">
        <f>IFERROR(IF([1]对账明细接口!$AC1109=0,"",[1]对账明细接口!$AC1109),"")</f>
      </c>
      <c r="AH1109" s="7">
        <f>IFERROR(IF([1]对账明细接口!$AD1109=0,"",[1]对账明细接口!$AD1109),"")</f>
      </c>
      <c r="AI1109" s="7">
        <f>IFERROR(IF([1]对账明细接口!$AE1109=0,"",[1]对账明细接口!$AE1109),"")</f>
      </c>
      <c r="AJ1109" s="7">
        <f>IFERROR(IF([1]对账明细接口!$AF1109=0,"",[1]对账明细接口!$AF1109),"")</f>
      </c>
    </row>
    <row r="1110" ht="14.25" customHeight="1" s="127">
      <c r="A1110" s="14" t="n">
        <v>1110</v>
      </c>
      <c r="B1110" s="211">
        <f>IFERROR(IF([1]对账明细接口!$B$1110=0,"",[1]对账明细接口!$B$1110),"")</f>
      </c>
      <c r="C1110" s="16">
        <f>IFERROR(IF([1]对账明细接口!$C$1110=0,"",[1]对账明细接口!$C$1110),"")</f>
      </c>
      <c r="D1110" s="16">
        <f>IFERROR(IF([1]对账明细接口!$D$1110=0,"",[1]对账明细接口!$D$1110),"")</f>
      </c>
      <c r="E1110" s="16">
        <f>IFERROR(IF([1]对账明细接口!$E$1110=0,"",[1]对账明细接口!$E$1110),"")</f>
      </c>
      <c r="F1110" s="16">
        <f>IFERROR(IF([1]对账明细接口!$F$1110=0,"",[1]对账明细接口!$F$1110),"")</f>
      </c>
      <c r="G1110" s="16">
        <f>IFERROR(IF([1]对账明细接口!$G$1110=0,"",[1]对账明细接口!$G$1110),"")</f>
      </c>
      <c r="H1110" s="176">
        <f>IFERROR(IF([1]对账明细接口!$H$1110=0,"",[1]对账明细接口!$H$1110),"")</f>
      </c>
      <c r="I1110" s="16">
        <f>IFERROR(IF([1]对账明细接口!$I$1110=0,"",[1]对账明细接口!$I$1110),"")</f>
      </c>
      <c r="J1110" s="177">
        <f>IFERROR(IF([1]对账明细接口!$J$1110=0,"",[1]对账明细接口!$J$1110),"")</f>
      </c>
      <c r="K1110" s="177">
        <f>IFERROR(IF([1]对账明细接口!$K$1110=0,"",[1]对账明细接口!$K$1110),"")</f>
      </c>
      <c r="L1110" s="16">
        <f>IFERROR(IF([1]对账明细接口!$L$1110=0,"",[1]对账明细接口!$L$1110),"")</f>
      </c>
      <c r="M1110" s="16">
        <f>IFERROR(IF([1]对账明细接口!$M$1110=0,"",[1]对账明细接口!$M$1110),"")</f>
      </c>
      <c r="N1110" s="19">
        <f>IF($C1110="",0,1)</f>
        <v>0</v>
      </c>
      <c r="O1110" s="19">
        <f>N(O1109)+$N1110</f>
        <v>637</v>
      </c>
      <c r="S1110" s="20">
        <f>IFERROR(IF([1]对账明细接口!$N1110=0,"",[1]对账明细接口!$N1110),"")</f>
      </c>
      <c r="T1110" s="212">
        <f>IFERROR(IF([1]对账明细接口!$O1110=0,"",[1]对账明细接口!$O1110),"")</f>
      </c>
      <c r="U1110" s="212">
        <f>IFERROR(IF([1]对账明细接口!$P1110=0,"",[1]对账明细接口!$P1110),"")</f>
      </c>
      <c r="V1110" s="212">
        <f>IFERROR(IF([1]对账明细接口!$Q1110=0,"",[1]对账明细接口!$Q1110),"")</f>
      </c>
      <c r="W1110" s="20">
        <f>IFERROR(IF([1]对账明细接口!$R1110=0,"",[1]对账明细接口!$R1110),"")</f>
      </c>
      <c r="X1110" s="20">
        <f>IFERROR(IF([1]对账明细接口!$S1110=0,"",[1]对账明细接口!$S1110),"")</f>
      </c>
      <c r="Y1110" s="20">
        <f>IFERROR(IF([1]对账明细接口!$T1110=0,"",[1]对账明细接口!$T1110),"")</f>
      </c>
      <c r="Z1110" s="213">
        <f>IFERROR(IF([1]对账明细接口!$U1110=0,"",[1]对账明细接口!$U1110),"")</f>
      </c>
      <c r="AA1110" s="213">
        <f>IFERROR(IF([1]对账明细接口!$V1110=0,"",[1]对账明细接口!$V1110),"")</f>
      </c>
      <c r="AB1110" s="20">
        <f>IFERROR(IF([1]对账明细接口!$W1110=0,"",[1]对账明细接口!$W1110),"")</f>
      </c>
      <c r="AC1110" s="7">
        <f>IFERROR(IF([1]对账明细接口!$X1110=0,"",[1]对账明细接口!$X1110),"")</f>
      </c>
      <c r="AD1110" s="7">
        <f>IFERROR(IF([1]对账明细接口!$Y1110=0,"",[1]对账明细接口!$Y1110),"")</f>
      </c>
      <c r="AE1110" s="7">
        <f>IFERROR(IF([1]对账明细接口!$AA1110=0,"",[1]对账明细接口!$AA1110),"")</f>
      </c>
      <c r="AF1110" s="7">
        <f>IFERROR(IF([1]对账明细接口!$AB1110=0,"",[1]对账明细接口!$AB1110),"")</f>
      </c>
      <c r="AG1110" s="7">
        <f>IFERROR(IF([1]对账明细接口!$AC1110=0,"",[1]对账明细接口!$AC1110),"")</f>
      </c>
      <c r="AH1110" s="7">
        <f>IFERROR(IF([1]对账明细接口!$AD1110=0,"",[1]对账明细接口!$AD1110),"")</f>
      </c>
      <c r="AI1110" s="7">
        <f>IFERROR(IF([1]对账明细接口!$AE1110=0,"",[1]对账明细接口!$AE1110),"")</f>
      </c>
      <c r="AJ1110" s="7">
        <f>IFERROR(IF([1]对账明细接口!$AF1110=0,"",[1]对账明细接口!$AF1110),"")</f>
      </c>
    </row>
    <row r="1111" ht="14.25" customHeight="1" s="127">
      <c r="A1111" s="14" t="n">
        <v>1111</v>
      </c>
      <c r="B1111" s="211">
        <f>IFERROR(IF([1]对账明细接口!$B$1111=0,"",[1]对账明细接口!$B$1111),"")</f>
      </c>
      <c r="C1111" s="16">
        <f>IFERROR(IF([1]对账明细接口!$C$1111=0,"",[1]对账明细接口!$C$1111),"")</f>
      </c>
      <c r="D1111" s="16">
        <f>IFERROR(IF([1]对账明细接口!$D$1111=0,"",[1]对账明细接口!$D$1111),"")</f>
      </c>
      <c r="E1111" s="16">
        <f>IFERROR(IF([1]对账明细接口!$E$1111=0,"",[1]对账明细接口!$E$1111),"")</f>
      </c>
      <c r="F1111" s="16">
        <f>IFERROR(IF([1]对账明细接口!$F$1111=0,"",[1]对账明细接口!$F$1111),"")</f>
      </c>
      <c r="G1111" s="16">
        <f>IFERROR(IF([1]对账明细接口!$G$1111=0,"",[1]对账明细接口!$G$1111),"")</f>
      </c>
      <c r="H1111" s="176">
        <f>IFERROR(IF([1]对账明细接口!$H$1111=0,"",[1]对账明细接口!$H$1111),"")</f>
      </c>
      <c r="I1111" s="16">
        <f>IFERROR(IF([1]对账明细接口!$I$1111=0,"",[1]对账明细接口!$I$1111),"")</f>
      </c>
      <c r="J1111" s="177">
        <f>IFERROR(IF([1]对账明细接口!$J$1111=0,"",[1]对账明细接口!$J$1111),"")</f>
      </c>
      <c r="K1111" s="177">
        <f>IFERROR(IF([1]对账明细接口!$K$1111=0,"",[1]对账明细接口!$K$1111),"")</f>
      </c>
      <c r="L1111" s="16">
        <f>IFERROR(IF([1]对账明细接口!$L$1111=0,"",[1]对账明细接口!$L$1111),"")</f>
      </c>
      <c r="M1111" s="16">
        <f>IFERROR(IF([1]对账明细接口!$M$1111=0,"",[1]对账明细接口!$M$1111),"")</f>
      </c>
      <c r="N1111" s="19">
        <f>IF($C1111="",0,1)</f>
        <v>0</v>
      </c>
      <c r="O1111" s="19">
        <f>N(O1110)+$N1111</f>
        <v>637</v>
      </c>
      <c r="S1111" s="20">
        <f>IFERROR(IF([1]对账明细接口!$N1111=0,"",[1]对账明细接口!$N1111),"")</f>
      </c>
      <c r="T1111" s="212">
        <f>IFERROR(IF([1]对账明细接口!$O1111=0,"",[1]对账明细接口!$O1111),"")</f>
      </c>
      <c r="U1111" s="212">
        <f>IFERROR(IF([1]对账明细接口!$P1111=0,"",[1]对账明细接口!$P1111),"")</f>
      </c>
      <c r="V1111" s="212">
        <f>IFERROR(IF([1]对账明细接口!$Q1111=0,"",[1]对账明细接口!$Q1111),"")</f>
      </c>
      <c r="W1111" s="20">
        <f>IFERROR(IF([1]对账明细接口!$R1111=0,"",[1]对账明细接口!$R1111),"")</f>
      </c>
      <c r="X1111" s="20">
        <f>IFERROR(IF([1]对账明细接口!$S1111=0,"",[1]对账明细接口!$S1111),"")</f>
      </c>
      <c r="Y1111" s="20">
        <f>IFERROR(IF([1]对账明细接口!$T1111=0,"",[1]对账明细接口!$T1111),"")</f>
      </c>
      <c r="Z1111" s="213">
        <f>IFERROR(IF([1]对账明细接口!$U1111=0,"",[1]对账明细接口!$U1111),"")</f>
      </c>
      <c r="AA1111" s="213">
        <f>IFERROR(IF([1]对账明细接口!$V1111=0,"",[1]对账明细接口!$V1111),"")</f>
      </c>
      <c r="AB1111" s="20">
        <f>IFERROR(IF([1]对账明细接口!$W1111=0,"",[1]对账明细接口!$W1111),"")</f>
      </c>
      <c r="AC1111" s="7">
        <f>IFERROR(IF([1]对账明细接口!$X1111=0,"",[1]对账明细接口!$X1111),"")</f>
      </c>
      <c r="AD1111" s="7">
        <f>IFERROR(IF([1]对账明细接口!$Y1111=0,"",[1]对账明细接口!$Y1111),"")</f>
      </c>
      <c r="AE1111" s="7">
        <f>IFERROR(IF([1]对账明细接口!$AA1111=0,"",[1]对账明细接口!$AA1111),"")</f>
      </c>
      <c r="AF1111" s="7">
        <f>IFERROR(IF([1]对账明细接口!$AB1111=0,"",[1]对账明细接口!$AB1111),"")</f>
      </c>
      <c r="AG1111" s="7">
        <f>IFERROR(IF([1]对账明细接口!$AC1111=0,"",[1]对账明细接口!$AC1111),"")</f>
      </c>
      <c r="AH1111" s="7">
        <f>IFERROR(IF([1]对账明细接口!$AD1111=0,"",[1]对账明细接口!$AD1111),"")</f>
      </c>
      <c r="AI1111" s="7">
        <f>IFERROR(IF([1]对账明细接口!$AE1111=0,"",[1]对账明细接口!$AE1111),"")</f>
      </c>
      <c r="AJ1111" s="7">
        <f>IFERROR(IF([1]对账明细接口!$AF1111=0,"",[1]对账明细接口!$AF1111),"")</f>
      </c>
    </row>
    <row r="1112" ht="14.25" customHeight="1" s="127">
      <c r="A1112" s="14" t="n">
        <v>1112</v>
      </c>
      <c r="B1112" s="211">
        <f>IFERROR(IF([1]对账明细接口!$B$1112=0,"",[1]对账明细接口!$B$1112),"")</f>
      </c>
      <c r="C1112" s="16">
        <f>IFERROR(IF([1]对账明细接口!$C$1112=0,"",[1]对账明细接口!$C$1112),"")</f>
      </c>
      <c r="D1112" s="16">
        <f>IFERROR(IF([1]对账明细接口!$D$1112=0,"",[1]对账明细接口!$D$1112),"")</f>
      </c>
      <c r="E1112" s="16">
        <f>IFERROR(IF([1]对账明细接口!$E$1112=0,"",[1]对账明细接口!$E$1112),"")</f>
      </c>
      <c r="F1112" s="16">
        <f>IFERROR(IF([1]对账明细接口!$F$1112=0,"",[1]对账明细接口!$F$1112),"")</f>
      </c>
      <c r="G1112" s="16">
        <f>IFERROR(IF([1]对账明细接口!$G$1112=0,"",[1]对账明细接口!$G$1112),"")</f>
      </c>
      <c r="H1112" s="176">
        <f>IFERROR(IF([1]对账明细接口!$H$1112=0,"",[1]对账明细接口!$H$1112),"")</f>
      </c>
      <c r="I1112" s="16">
        <f>IFERROR(IF([1]对账明细接口!$I$1112=0,"",[1]对账明细接口!$I$1112),"")</f>
      </c>
      <c r="J1112" s="177">
        <f>IFERROR(IF([1]对账明细接口!$J$1112=0,"",[1]对账明细接口!$J$1112),"")</f>
      </c>
      <c r="K1112" s="177">
        <f>IFERROR(IF([1]对账明细接口!$K$1112=0,"",[1]对账明细接口!$K$1112),"")</f>
      </c>
      <c r="L1112" s="16">
        <f>IFERROR(IF([1]对账明细接口!$L$1112=0,"",[1]对账明细接口!$L$1112),"")</f>
      </c>
      <c r="M1112" s="16">
        <f>IFERROR(IF([1]对账明细接口!$M$1112=0,"",[1]对账明细接口!$M$1112),"")</f>
      </c>
      <c r="N1112" s="19">
        <f>IF($C1112="",0,1)</f>
        <v>0</v>
      </c>
      <c r="O1112" s="19">
        <f>N(O1111)+$N1112</f>
        <v>637</v>
      </c>
      <c r="S1112" s="20">
        <f>IFERROR(IF([1]对账明细接口!$N1112=0,"",[1]对账明细接口!$N1112),"")</f>
      </c>
      <c r="T1112" s="212">
        <f>IFERROR(IF([1]对账明细接口!$O1112=0,"",[1]对账明细接口!$O1112),"")</f>
      </c>
      <c r="U1112" s="212">
        <f>IFERROR(IF([1]对账明细接口!$P1112=0,"",[1]对账明细接口!$P1112),"")</f>
      </c>
      <c r="V1112" s="212">
        <f>IFERROR(IF([1]对账明细接口!$Q1112=0,"",[1]对账明细接口!$Q1112),"")</f>
      </c>
      <c r="W1112" s="20">
        <f>IFERROR(IF([1]对账明细接口!$R1112=0,"",[1]对账明细接口!$R1112),"")</f>
      </c>
      <c r="X1112" s="20">
        <f>IFERROR(IF([1]对账明细接口!$S1112=0,"",[1]对账明细接口!$S1112),"")</f>
      </c>
      <c r="Y1112" s="20">
        <f>IFERROR(IF([1]对账明细接口!$T1112=0,"",[1]对账明细接口!$T1112),"")</f>
      </c>
      <c r="Z1112" s="213">
        <f>IFERROR(IF([1]对账明细接口!$U1112=0,"",[1]对账明细接口!$U1112),"")</f>
      </c>
      <c r="AA1112" s="213">
        <f>IFERROR(IF([1]对账明细接口!$V1112=0,"",[1]对账明细接口!$V1112),"")</f>
      </c>
      <c r="AB1112" s="20">
        <f>IFERROR(IF([1]对账明细接口!$W1112=0,"",[1]对账明细接口!$W1112),"")</f>
      </c>
      <c r="AC1112" s="7">
        <f>IFERROR(IF([1]对账明细接口!$X1112=0,"",[1]对账明细接口!$X1112),"")</f>
      </c>
      <c r="AD1112" s="7">
        <f>IFERROR(IF([1]对账明细接口!$Y1112=0,"",[1]对账明细接口!$Y1112),"")</f>
      </c>
      <c r="AE1112" s="7">
        <f>IFERROR(IF([1]对账明细接口!$AA1112=0,"",[1]对账明细接口!$AA1112),"")</f>
      </c>
      <c r="AF1112" s="7">
        <f>IFERROR(IF([1]对账明细接口!$AB1112=0,"",[1]对账明细接口!$AB1112),"")</f>
      </c>
      <c r="AG1112" s="7">
        <f>IFERROR(IF([1]对账明细接口!$AC1112=0,"",[1]对账明细接口!$AC1112),"")</f>
      </c>
      <c r="AH1112" s="7">
        <f>IFERROR(IF([1]对账明细接口!$AD1112=0,"",[1]对账明细接口!$AD1112),"")</f>
      </c>
      <c r="AI1112" s="7">
        <f>IFERROR(IF([1]对账明细接口!$AE1112=0,"",[1]对账明细接口!$AE1112),"")</f>
      </c>
      <c r="AJ1112" s="7">
        <f>IFERROR(IF([1]对账明细接口!$AF1112=0,"",[1]对账明细接口!$AF1112),"")</f>
      </c>
    </row>
    <row r="1113" ht="14.25" customHeight="1" s="127">
      <c r="A1113" s="14" t="n">
        <v>1113</v>
      </c>
      <c r="B1113" s="211">
        <f>IFERROR(IF([1]对账明细接口!$B$1113=0,"",[1]对账明细接口!$B$1113),"")</f>
      </c>
      <c r="C1113" s="16">
        <f>IFERROR(IF([1]对账明细接口!$C$1113=0,"",[1]对账明细接口!$C$1113),"")</f>
      </c>
      <c r="D1113" s="16">
        <f>IFERROR(IF([1]对账明细接口!$D$1113=0,"",[1]对账明细接口!$D$1113),"")</f>
      </c>
      <c r="E1113" s="16">
        <f>IFERROR(IF([1]对账明细接口!$E$1113=0,"",[1]对账明细接口!$E$1113),"")</f>
      </c>
      <c r="F1113" s="16">
        <f>IFERROR(IF([1]对账明细接口!$F$1113=0,"",[1]对账明细接口!$F$1113),"")</f>
      </c>
      <c r="G1113" s="16">
        <f>IFERROR(IF([1]对账明细接口!$G$1113=0,"",[1]对账明细接口!$G$1113),"")</f>
      </c>
      <c r="H1113" s="176">
        <f>IFERROR(IF([1]对账明细接口!$H$1113=0,"",[1]对账明细接口!$H$1113),"")</f>
      </c>
      <c r="I1113" s="16">
        <f>IFERROR(IF([1]对账明细接口!$I$1113=0,"",[1]对账明细接口!$I$1113),"")</f>
      </c>
      <c r="J1113" s="177">
        <f>IFERROR(IF([1]对账明细接口!$J$1113=0,"",[1]对账明细接口!$J$1113),"")</f>
      </c>
      <c r="K1113" s="177">
        <f>IFERROR(IF([1]对账明细接口!$K$1113=0,"",[1]对账明细接口!$K$1113),"")</f>
      </c>
      <c r="L1113" s="16">
        <f>IFERROR(IF([1]对账明细接口!$L$1113=0,"",[1]对账明细接口!$L$1113),"")</f>
      </c>
      <c r="M1113" s="16">
        <f>IFERROR(IF([1]对账明细接口!$M$1113=0,"",[1]对账明细接口!$M$1113),"")</f>
      </c>
      <c r="N1113" s="19">
        <f>IF($C1113="",0,1)</f>
        <v>0</v>
      </c>
      <c r="O1113" s="19">
        <f>N(O1112)+$N1113</f>
        <v>637</v>
      </c>
      <c r="S1113" s="20">
        <f>IFERROR(IF([1]对账明细接口!$N1113=0,"",[1]对账明细接口!$N1113),"")</f>
      </c>
      <c r="T1113" s="212">
        <f>IFERROR(IF([1]对账明细接口!$O1113=0,"",[1]对账明细接口!$O1113),"")</f>
      </c>
      <c r="U1113" s="212">
        <f>IFERROR(IF([1]对账明细接口!$P1113=0,"",[1]对账明细接口!$P1113),"")</f>
      </c>
      <c r="V1113" s="212">
        <f>IFERROR(IF([1]对账明细接口!$Q1113=0,"",[1]对账明细接口!$Q1113),"")</f>
      </c>
      <c r="W1113" s="20">
        <f>IFERROR(IF([1]对账明细接口!$R1113=0,"",[1]对账明细接口!$R1113),"")</f>
      </c>
      <c r="X1113" s="20">
        <f>IFERROR(IF([1]对账明细接口!$S1113=0,"",[1]对账明细接口!$S1113),"")</f>
      </c>
      <c r="Y1113" s="20">
        <f>IFERROR(IF([1]对账明细接口!$T1113=0,"",[1]对账明细接口!$T1113),"")</f>
      </c>
      <c r="Z1113" s="213">
        <f>IFERROR(IF([1]对账明细接口!$U1113=0,"",[1]对账明细接口!$U1113),"")</f>
      </c>
      <c r="AA1113" s="213">
        <f>IFERROR(IF([1]对账明细接口!$V1113=0,"",[1]对账明细接口!$V1113),"")</f>
      </c>
      <c r="AB1113" s="20">
        <f>IFERROR(IF([1]对账明细接口!$W1113=0,"",[1]对账明细接口!$W1113),"")</f>
      </c>
      <c r="AC1113" s="7">
        <f>IFERROR(IF([1]对账明细接口!$X1113=0,"",[1]对账明细接口!$X1113),"")</f>
      </c>
      <c r="AD1113" s="7">
        <f>IFERROR(IF([1]对账明细接口!$Y1113=0,"",[1]对账明细接口!$Y1113),"")</f>
      </c>
      <c r="AE1113" s="7">
        <f>IFERROR(IF([1]对账明细接口!$AA1113=0,"",[1]对账明细接口!$AA1113),"")</f>
      </c>
      <c r="AF1113" s="7">
        <f>IFERROR(IF([1]对账明细接口!$AB1113=0,"",[1]对账明细接口!$AB1113),"")</f>
      </c>
      <c r="AG1113" s="7">
        <f>IFERROR(IF([1]对账明细接口!$AC1113=0,"",[1]对账明细接口!$AC1113),"")</f>
      </c>
      <c r="AH1113" s="7">
        <f>IFERROR(IF([1]对账明细接口!$AD1113=0,"",[1]对账明细接口!$AD1113),"")</f>
      </c>
      <c r="AI1113" s="7">
        <f>IFERROR(IF([1]对账明细接口!$AE1113=0,"",[1]对账明细接口!$AE1113),"")</f>
      </c>
      <c r="AJ1113" s="7">
        <f>IFERROR(IF([1]对账明细接口!$AF1113=0,"",[1]对账明细接口!$AF1113),"")</f>
      </c>
    </row>
    <row r="1114" ht="14.25" customHeight="1" s="127">
      <c r="A1114" s="14" t="n">
        <v>1114</v>
      </c>
      <c r="B1114" s="211">
        <f>IFERROR(IF([1]对账明细接口!$B$1114=0,"",[1]对账明细接口!$B$1114),"")</f>
      </c>
      <c r="C1114" s="16">
        <f>IFERROR(IF([1]对账明细接口!$C$1114=0,"",[1]对账明细接口!$C$1114),"")</f>
      </c>
      <c r="D1114" s="16">
        <f>IFERROR(IF([1]对账明细接口!$D$1114=0,"",[1]对账明细接口!$D$1114),"")</f>
      </c>
      <c r="E1114" s="16">
        <f>IFERROR(IF([1]对账明细接口!$E$1114=0,"",[1]对账明细接口!$E$1114),"")</f>
      </c>
      <c r="F1114" s="16">
        <f>IFERROR(IF([1]对账明细接口!$F$1114=0,"",[1]对账明细接口!$F$1114),"")</f>
      </c>
      <c r="G1114" s="16">
        <f>IFERROR(IF([1]对账明细接口!$G$1114=0,"",[1]对账明细接口!$G$1114),"")</f>
      </c>
      <c r="H1114" s="176">
        <f>IFERROR(IF([1]对账明细接口!$H$1114=0,"",[1]对账明细接口!$H$1114),"")</f>
      </c>
      <c r="I1114" s="16">
        <f>IFERROR(IF([1]对账明细接口!$I$1114=0,"",[1]对账明细接口!$I$1114),"")</f>
      </c>
      <c r="J1114" s="177">
        <f>IFERROR(IF([1]对账明细接口!$J$1114=0,"",[1]对账明细接口!$J$1114),"")</f>
      </c>
      <c r="K1114" s="177">
        <f>IFERROR(IF([1]对账明细接口!$K$1114=0,"",[1]对账明细接口!$K$1114),"")</f>
      </c>
      <c r="L1114" s="16">
        <f>IFERROR(IF([1]对账明细接口!$L$1114=0,"",[1]对账明细接口!$L$1114),"")</f>
      </c>
      <c r="M1114" s="16">
        <f>IFERROR(IF([1]对账明细接口!$M$1114=0,"",[1]对账明细接口!$M$1114),"")</f>
      </c>
      <c r="N1114" s="19">
        <f>IF($C1114="",0,1)</f>
        <v>0</v>
      </c>
      <c r="O1114" s="19">
        <f>N(O1113)+$N1114</f>
        <v>637</v>
      </c>
      <c r="S1114" s="20">
        <f>IFERROR(IF([1]对账明细接口!$N1114=0,"",[1]对账明细接口!$N1114),"")</f>
      </c>
      <c r="T1114" s="212">
        <f>IFERROR(IF([1]对账明细接口!$O1114=0,"",[1]对账明细接口!$O1114),"")</f>
      </c>
      <c r="U1114" s="212">
        <f>IFERROR(IF([1]对账明细接口!$P1114=0,"",[1]对账明细接口!$P1114),"")</f>
      </c>
      <c r="V1114" s="212">
        <f>IFERROR(IF([1]对账明细接口!$Q1114=0,"",[1]对账明细接口!$Q1114),"")</f>
      </c>
      <c r="W1114" s="20">
        <f>IFERROR(IF([1]对账明细接口!$R1114=0,"",[1]对账明细接口!$R1114),"")</f>
      </c>
      <c r="X1114" s="20">
        <f>IFERROR(IF([1]对账明细接口!$S1114=0,"",[1]对账明细接口!$S1114),"")</f>
      </c>
      <c r="Y1114" s="20">
        <f>IFERROR(IF([1]对账明细接口!$T1114=0,"",[1]对账明细接口!$T1114),"")</f>
      </c>
      <c r="Z1114" s="213">
        <f>IFERROR(IF([1]对账明细接口!$U1114=0,"",[1]对账明细接口!$U1114),"")</f>
      </c>
      <c r="AA1114" s="213">
        <f>IFERROR(IF([1]对账明细接口!$V1114=0,"",[1]对账明细接口!$V1114),"")</f>
      </c>
      <c r="AB1114" s="20">
        <f>IFERROR(IF([1]对账明细接口!$W1114=0,"",[1]对账明细接口!$W1114),"")</f>
      </c>
      <c r="AC1114" s="7">
        <f>IFERROR(IF([1]对账明细接口!$X1114=0,"",[1]对账明细接口!$X1114),"")</f>
      </c>
      <c r="AD1114" s="7">
        <f>IFERROR(IF([1]对账明细接口!$Y1114=0,"",[1]对账明细接口!$Y1114),"")</f>
      </c>
      <c r="AE1114" s="7">
        <f>IFERROR(IF([1]对账明细接口!$AA1114=0,"",[1]对账明细接口!$AA1114),"")</f>
      </c>
      <c r="AF1114" s="7">
        <f>IFERROR(IF([1]对账明细接口!$AB1114=0,"",[1]对账明细接口!$AB1114),"")</f>
      </c>
      <c r="AG1114" s="7">
        <f>IFERROR(IF([1]对账明细接口!$AC1114=0,"",[1]对账明细接口!$AC1114),"")</f>
      </c>
      <c r="AH1114" s="7">
        <f>IFERROR(IF([1]对账明细接口!$AD1114=0,"",[1]对账明细接口!$AD1114),"")</f>
      </c>
      <c r="AI1114" s="7">
        <f>IFERROR(IF([1]对账明细接口!$AE1114=0,"",[1]对账明细接口!$AE1114),"")</f>
      </c>
      <c r="AJ1114" s="7">
        <f>IFERROR(IF([1]对账明细接口!$AF1114=0,"",[1]对账明细接口!$AF1114),"")</f>
      </c>
    </row>
    <row r="1115" ht="14.25" customHeight="1" s="127">
      <c r="A1115" s="14" t="n">
        <v>1115</v>
      </c>
      <c r="B1115" s="211">
        <f>IFERROR(IF([1]对账明细接口!$B$1115=0,"",[1]对账明细接口!$B$1115),"")</f>
      </c>
      <c r="C1115" s="16">
        <f>IFERROR(IF([1]对账明细接口!$C$1115=0,"",[1]对账明细接口!$C$1115),"")</f>
      </c>
      <c r="D1115" s="16">
        <f>IFERROR(IF([1]对账明细接口!$D$1115=0,"",[1]对账明细接口!$D$1115),"")</f>
      </c>
      <c r="E1115" s="16">
        <f>IFERROR(IF([1]对账明细接口!$E$1115=0,"",[1]对账明细接口!$E$1115),"")</f>
      </c>
      <c r="F1115" s="16">
        <f>IFERROR(IF([1]对账明细接口!$F$1115=0,"",[1]对账明细接口!$F$1115),"")</f>
      </c>
      <c r="G1115" s="16">
        <f>IFERROR(IF([1]对账明细接口!$G$1115=0,"",[1]对账明细接口!$G$1115),"")</f>
      </c>
      <c r="H1115" s="176">
        <f>IFERROR(IF([1]对账明细接口!$H$1115=0,"",[1]对账明细接口!$H$1115),"")</f>
      </c>
      <c r="I1115" s="16">
        <f>IFERROR(IF([1]对账明细接口!$I$1115=0,"",[1]对账明细接口!$I$1115),"")</f>
      </c>
      <c r="J1115" s="177">
        <f>IFERROR(IF([1]对账明细接口!$J$1115=0,"",[1]对账明细接口!$J$1115),"")</f>
      </c>
      <c r="K1115" s="177">
        <f>IFERROR(IF([1]对账明细接口!$K$1115=0,"",[1]对账明细接口!$K$1115),"")</f>
      </c>
      <c r="L1115" s="16">
        <f>IFERROR(IF([1]对账明细接口!$L$1115=0,"",[1]对账明细接口!$L$1115),"")</f>
      </c>
      <c r="M1115" s="16">
        <f>IFERROR(IF([1]对账明细接口!$M$1115=0,"",[1]对账明细接口!$M$1115),"")</f>
      </c>
      <c r="N1115" s="19">
        <f>IF($C1115="",0,1)</f>
        <v>0</v>
      </c>
      <c r="O1115" s="19">
        <f>N(O1114)+$N1115</f>
        <v>637</v>
      </c>
      <c r="S1115" s="20">
        <f>IFERROR(IF([1]对账明细接口!$N1115=0,"",[1]对账明细接口!$N1115),"")</f>
      </c>
      <c r="T1115" s="212">
        <f>IFERROR(IF([1]对账明细接口!$O1115=0,"",[1]对账明细接口!$O1115),"")</f>
      </c>
      <c r="U1115" s="212">
        <f>IFERROR(IF([1]对账明细接口!$P1115=0,"",[1]对账明细接口!$P1115),"")</f>
      </c>
      <c r="V1115" s="212">
        <f>IFERROR(IF([1]对账明细接口!$Q1115=0,"",[1]对账明细接口!$Q1115),"")</f>
      </c>
      <c r="W1115" s="20">
        <f>IFERROR(IF([1]对账明细接口!$R1115=0,"",[1]对账明细接口!$R1115),"")</f>
      </c>
      <c r="X1115" s="20">
        <f>IFERROR(IF([1]对账明细接口!$S1115=0,"",[1]对账明细接口!$S1115),"")</f>
      </c>
      <c r="Y1115" s="20">
        <f>IFERROR(IF([1]对账明细接口!$T1115=0,"",[1]对账明细接口!$T1115),"")</f>
      </c>
      <c r="Z1115" s="213">
        <f>IFERROR(IF([1]对账明细接口!$U1115=0,"",[1]对账明细接口!$U1115),"")</f>
      </c>
      <c r="AA1115" s="213">
        <f>IFERROR(IF([1]对账明细接口!$V1115=0,"",[1]对账明细接口!$V1115),"")</f>
      </c>
      <c r="AB1115" s="20">
        <f>IFERROR(IF([1]对账明细接口!$W1115=0,"",[1]对账明细接口!$W1115),"")</f>
      </c>
      <c r="AC1115" s="7">
        <f>IFERROR(IF([1]对账明细接口!$X1115=0,"",[1]对账明细接口!$X1115),"")</f>
      </c>
      <c r="AD1115" s="7">
        <f>IFERROR(IF([1]对账明细接口!$Y1115=0,"",[1]对账明细接口!$Y1115),"")</f>
      </c>
      <c r="AE1115" s="7">
        <f>IFERROR(IF([1]对账明细接口!$AA1115=0,"",[1]对账明细接口!$AA1115),"")</f>
      </c>
      <c r="AF1115" s="7">
        <f>IFERROR(IF([1]对账明细接口!$AB1115=0,"",[1]对账明细接口!$AB1115),"")</f>
      </c>
      <c r="AG1115" s="7">
        <f>IFERROR(IF([1]对账明细接口!$AC1115=0,"",[1]对账明细接口!$AC1115),"")</f>
      </c>
      <c r="AH1115" s="7">
        <f>IFERROR(IF([1]对账明细接口!$AD1115=0,"",[1]对账明细接口!$AD1115),"")</f>
      </c>
      <c r="AI1115" s="7">
        <f>IFERROR(IF([1]对账明细接口!$AE1115=0,"",[1]对账明细接口!$AE1115),"")</f>
      </c>
      <c r="AJ1115" s="7">
        <f>IFERROR(IF([1]对账明细接口!$AF1115=0,"",[1]对账明细接口!$AF1115),"")</f>
      </c>
    </row>
    <row r="1116" ht="14.25" customHeight="1" s="127">
      <c r="A1116" s="14" t="n">
        <v>1116</v>
      </c>
      <c r="B1116" s="211">
        <f>IFERROR(IF([1]对账明细接口!$B$1116=0,"",[1]对账明细接口!$B$1116),"")</f>
      </c>
      <c r="C1116" s="16">
        <f>IFERROR(IF([1]对账明细接口!$C$1116=0,"",[1]对账明细接口!$C$1116),"")</f>
      </c>
      <c r="D1116" s="16">
        <f>IFERROR(IF([1]对账明细接口!$D$1116=0,"",[1]对账明细接口!$D$1116),"")</f>
      </c>
      <c r="E1116" s="16">
        <f>IFERROR(IF([1]对账明细接口!$E$1116=0,"",[1]对账明细接口!$E$1116),"")</f>
      </c>
      <c r="F1116" s="16">
        <f>IFERROR(IF([1]对账明细接口!$F$1116=0,"",[1]对账明细接口!$F$1116),"")</f>
      </c>
      <c r="G1116" s="16">
        <f>IFERROR(IF([1]对账明细接口!$G$1116=0,"",[1]对账明细接口!$G$1116),"")</f>
      </c>
      <c r="H1116" s="176">
        <f>IFERROR(IF([1]对账明细接口!$H$1116=0,"",[1]对账明细接口!$H$1116),"")</f>
      </c>
      <c r="I1116" s="16">
        <f>IFERROR(IF([1]对账明细接口!$I$1116=0,"",[1]对账明细接口!$I$1116),"")</f>
      </c>
      <c r="J1116" s="177">
        <f>IFERROR(IF([1]对账明细接口!$J$1116=0,"",[1]对账明细接口!$J$1116),"")</f>
      </c>
      <c r="K1116" s="177">
        <f>IFERROR(IF([1]对账明细接口!$K$1116=0,"",[1]对账明细接口!$K$1116),"")</f>
      </c>
      <c r="L1116" s="16">
        <f>IFERROR(IF([1]对账明细接口!$L$1116=0,"",[1]对账明细接口!$L$1116),"")</f>
      </c>
      <c r="M1116" s="16">
        <f>IFERROR(IF([1]对账明细接口!$M$1116=0,"",[1]对账明细接口!$M$1116),"")</f>
      </c>
      <c r="N1116" s="19">
        <f>IF($C1116="",0,1)</f>
        <v>0</v>
      </c>
      <c r="O1116" s="19">
        <f>N(O1115)+$N1116</f>
        <v>637</v>
      </c>
      <c r="S1116" s="20">
        <f>IFERROR(IF([1]对账明细接口!$N1116=0,"",[1]对账明细接口!$N1116),"")</f>
      </c>
      <c r="T1116" s="212">
        <f>IFERROR(IF([1]对账明细接口!$O1116=0,"",[1]对账明细接口!$O1116),"")</f>
      </c>
      <c r="U1116" s="212">
        <f>IFERROR(IF([1]对账明细接口!$P1116=0,"",[1]对账明细接口!$P1116),"")</f>
      </c>
      <c r="V1116" s="212">
        <f>IFERROR(IF([1]对账明细接口!$Q1116=0,"",[1]对账明细接口!$Q1116),"")</f>
      </c>
      <c r="W1116" s="20">
        <f>IFERROR(IF([1]对账明细接口!$R1116=0,"",[1]对账明细接口!$R1116),"")</f>
      </c>
      <c r="X1116" s="20">
        <f>IFERROR(IF([1]对账明细接口!$S1116=0,"",[1]对账明细接口!$S1116),"")</f>
      </c>
      <c r="Y1116" s="20">
        <f>IFERROR(IF([1]对账明细接口!$T1116=0,"",[1]对账明细接口!$T1116),"")</f>
      </c>
      <c r="Z1116" s="213">
        <f>IFERROR(IF([1]对账明细接口!$U1116=0,"",[1]对账明细接口!$U1116),"")</f>
      </c>
      <c r="AA1116" s="213">
        <f>IFERROR(IF([1]对账明细接口!$V1116=0,"",[1]对账明细接口!$V1116),"")</f>
      </c>
      <c r="AB1116" s="20">
        <f>IFERROR(IF([1]对账明细接口!$W1116=0,"",[1]对账明细接口!$W1116),"")</f>
      </c>
      <c r="AC1116" s="7">
        <f>IFERROR(IF([1]对账明细接口!$X1116=0,"",[1]对账明细接口!$X1116),"")</f>
      </c>
      <c r="AD1116" s="7">
        <f>IFERROR(IF([1]对账明细接口!$Y1116=0,"",[1]对账明细接口!$Y1116),"")</f>
      </c>
      <c r="AE1116" s="7">
        <f>IFERROR(IF([1]对账明细接口!$AA1116=0,"",[1]对账明细接口!$AA1116),"")</f>
      </c>
      <c r="AF1116" s="7">
        <f>IFERROR(IF([1]对账明细接口!$AB1116=0,"",[1]对账明细接口!$AB1116),"")</f>
      </c>
      <c r="AG1116" s="7">
        <f>IFERROR(IF([1]对账明细接口!$AC1116=0,"",[1]对账明细接口!$AC1116),"")</f>
      </c>
      <c r="AH1116" s="7">
        <f>IFERROR(IF([1]对账明细接口!$AD1116=0,"",[1]对账明细接口!$AD1116),"")</f>
      </c>
      <c r="AI1116" s="7">
        <f>IFERROR(IF([1]对账明细接口!$AE1116=0,"",[1]对账明细接口!$AE1116),"")</f>
      </c>
      <c r="AJ1116" s="7">
        <f>IFERROR(IF([1]对账明细接口!$AF1116=0,"",[1]对账明细接口!$AF1116),"")</f>
      </c>
    </row>
    <row r="1117" ht="14.25" customHeight="1" s="127">
      <c r="A1117" s="14" t="n">
        <v>1117</v>
      </c>
      <c r="B1117" s="211">
        <f>IFERROR(IF([1]对账明细接口!$B$1117=0,"",[1]对账明细接口!$B$1117),"")</f>
      </c>
      <c r="C1117" s="16">
        <f>IFERROR(IF([1]对账明细接口!$C$1117=0,"",[1]对账明细接口!$C$1117),"")</f>
      </c>
      <c r="D1117" s="16">
        <f>IFERROR(IF([1]对账明细接口!$D$1117=0,"",[1]对账明细接口!$D$1117),"")</f>
      </c>
      <c r="E1117" s="16">
        <f>IFERROR(IF([1]对账明细接口!$E$1117=0,"",[1]对账明细接口!$E$1117),"")</f>
      </c>
      <c r="F1117" s="16">
        <f>IFERROR(IF([1]对账明细接口!$F$1117=0,"",[1]对账明细接口!$F$1117),"")</f>
      </c>
      <c r="G1117" s="16">
        <f>IFERROR(IF([1]对账明细接口!$G$1117=0,"",[1]对账明细接口!$G$1117),"")</f>
      </c>
      <c r="H1117" s="176">
        <f>IFERROR(IF([1]对账明细接口!$H$1117=0,"",[1]对账明细接口!$H$1117),"")</f>
      </c>
      <c r="I1117" s="16">
        <f>IFERROR(IF([1]对账明细接口!$I$1117=0,"",[1]对账明细接口!$I$1117),"")</f>
      </c>
      <c r="J1117" s="177">
        <f>IFERROR(IF([1]对账明细接口!$J$1117=0,"",[1]对账明细接口!$J$1117),"")</f>
      </c>
      <c r="K1117" s="177">
        <f>IFERROR(IF([1]对账明细接口!$K$1117=0,"",[1]对账明细接口!$K$1117),"")</f>
      </c>
      <c r="L1117" s="16">
        <f>IFERROR(IF([1]对账明细接口!$L$1117=0,"",[1]对账明细接口!$L$1117),"")</f>
      </c>
      <c r="M1117" s="16">
        <f>IFERROR(IF([1]对账明细接口!$M$1117=0,"",[1]对账明细接口!$M$1117),"")</f>
      </c>
      <c r="N1117" s="19">
        <f>IF($C1117="",0,1)</f>
        <v>0</v>
      </c>
      <c r="O1117" s="19">
        <f>N(O1116)+$N1117</f>
        <v>637</v>
      </c>
      <c r="S1117" s="20">
        <f>IFERROR(IF([1]对账明细接口!$N1117=0,"",[1]对账明细接口!$N1117),"")</f>
      </c>
      <c r="T1117" s="212">
        <f>IFERROR(IF([1]对账明细接口!$O1117=0,"",[1]对账明细接口!$O1117),"")</f>
      </c>
      <c r="U1117" s="212">
        <f>IFERROR(IF([1]对账明细接口!$P1117=0,"",[1]对账明细接口!$P1117),"")</f>
      </c>
      <c r="V1117" s="212">
        <f>IFERROR(IF([1]对账明细接口!$Q1117=0,"",[1]对账明细接口!$Q1117),"")</f>
      </c>
      <c r="W1117" s="20">
        <f>IFERROR(IF([1]对账明细接口!$R1117=0,"",[1]对账明细接口!$R1117),"")</f>
      </c>
      <c r="X1117" s="20">
        <f>IFERROR(IF([1]对账明细接口!$S1117=0,"",[1]对账明细接口!$S1117),"")</f>
      </c>
      <c r="Y1117" s="20">
        <f>IFERROR(IF([1]对账明细接口!$T1117=0,"",[1]对账明细接口!$T1117),"")</f>
      </c>
      <c r="Z1117" s="213">
        <f>IFERROR(IF([1]对账明细接口!$U1117=0,"",[1]对账明细接口!$U1117),"")</f>
      </c>
      <c r="AA1117" s="213">
        <f>IFERROR(IF([1]对账明细接口!$V1117=0,"",[1]对账明细接口!$V1117),"")</f>
      </c>
      <c r="AB1117" s="20">
        <f>IFERROR(IF([1]对账明细接口!$W1117=0,"",[1]对账明细接口!$W1117),"")</f>
      </c>
      <c r="AC1117" s="7">
        <f>IFERROR(IF([1]对账明细接口!$X1117=0,"",[1]对账明细接口!$X1117),"")</f>
      </c>
      <c r="AD1117" s="7">
        <f>IFERROR(IF([1]对账明细接口!$Y1117=0,"",[1]对账明细接口!$Y1117),"")</f>
      </c>
      <c r="AE1117" s="7">
        <f>IFERROR(IF([1]对账明细接口!$AA1117=0,"",[1]对账明细接口!$AA1117),"")</f>
      </c>
      <c r="AF1117" s="7">
        <f>IFERROR(IF([1]对账明细接口!$AB1117=0,"",[1]对账明细接口!$AB1117),"")</f>
      </c>
      <c r="AG1117" s="7">
        <f>IFERROR(IF([1]对账明细接口!$AC1117=0,"",[1]对账明细接口!$AC1117),"")</f>
      </c>
      <c r="AH1117" s="7">
        <f>IFERROR(IF([1]对账明细接口!$AD1117=0,"",[1]对账明细接口!$AD1117),"")</f>
      </c>
      <c r="AI1117" s="7">
        <f>IFERROR(IF([1]对账明细接口!$AE1117=0,"",[1]对账明细接口!$AE1117),"")</f>
      </c>
      <c r="AJ1117" s="7">
        <f>IFERROR(IF([1]对账明细接口!$AF1117=0,"",[1]对账明细接口!$AF1117),"")</f>
      </c>
    </row>
    <row r="1118" ht="14.25" customHeight="1" s="127">
      <c r="A1118" s="14" t="n">
        <v>1118</v>
      </c>
      <c r="B1118" s="211">
        <f>IFERROR(IF([1]对账明细接口!$B$1118=0,"",[1]对账明细接口!$B$1118),"")</f>
      </c>
      <c r="C1118" s="16">
        <f>IFERROR(IF([1]对账明细接口!$C$1118=0,"",[1]对账明细接口!$C$1118),"")</f>
      </c>
      <c r="D1118" s="16">
        <f>IFERROR(IF([1]对账明细接口!$D$1118=0,"",[1]对账明细接口!$D$1118),"")</f>
      </c>
      <c r="E1118" s="16">
        <f>IFERROR(IF([1]对账明细接口!$E$1118=0,"",[1]对账明细接口!$E$1118),"")</f>
      </c>
      <c r="F1118" s="16">
        <f>IFERROR(IF([1]对账明细接口!$F$1118=0,"",[1]对账明细接口!$F$1118),"")</f>
      </c>
      <c r="G1118" s="16">
        <f>IFERROR(IF([1]对账明细接口!$G$1118=0,"",[1]对账明细接口!$G$1118),"")</f>
      </c>
      <c r="H1118" s="176">
        <f>IFERROR(IF([1]对账明细接口!$H$1118=0,"",[1]对账明细接口!$H$1118),"")</f>
      </c>
      <c r="I1118" s="16">
        <f>IFERROR(IF([1]对账明细接口!$I$1118=0,"",[1]对账明细接口!$I$1118),"")</f>
      </c>
      <c r="J1118" s="177">
        <f>IFERROR(IF([1]对账明细接口!$J$1118=0,"",[1]对账明细接口!$J$1118),"")</f>
      </c>
      <c r="K1118" s="177">
        <f>IFERROR(IF([1]对账明细接口!$K$1118=0,"",[1]对账明细接口!$K$1118),"")</f>
      </c>
      <c r="L1118" s="16">
        <f>IFERROR(IF([1]对账明细接口!$L$1118=0,"",[1]对账明细接口!$L$1118),"")</f>
      </c>
      <c r="M1118" s="16">
        <f>IFERROR(IF([1]对账明细接口!$M$1118=0,"",[1]对账明细接口!$M$1118),"")</f>
      </c>
      <c r="N1118" s="19">
        <f>IF($C1118="",0,1)</f>
        <v>0</v>
      </c>
      <c r="O1118" s="19">
        <f>N(O1117)+$N1118</f>
        <v>637</v>
      </c>
      <c r="S1118" s="20">
        <f>IFERROR(IF([1]对账明细接口!$N1118=0,"",[1]对账明细接口!$N1118),"")</f>
      </c>
      <c r="T1118" s="212">
        <f>IFERROR(IF([1]对账明细接口!$O1118=0,"",[1]对账明细接口!$O1118),"")</f>
      </c>
      <c r="U1118" s="212">
        <f>IFERROR(IF([1]对账明细接口!$P1118=0,"",[1]对账明细接口!$P1118),"")</f>
      </c>
      <c r="V1118" s="212">
        <f>IFERROR(IF([1]对账明细接口!$Q1118=0,"",[1]对账明细接口!$Q1118),"")</f>
      </c>
      <c r="W1118" s="20">
        <f>IFERROR(IF([1]对账明细接口!$R1118=0,"",[1]对账明细接口!$R1118),"")</f>
      </c>
      <c r="X1118" s="20">
        <f>IFERROR(IF([1]对账明细接口!$S1118=0,"",[1]对账明细接口!$S1118),"")</f>
      </c>
      <c r="Y1118" s="20">
        <f>IFERROR(IF([1]对账明细接口!$T1118=0,"",[1]对账明细接口!$T1118),"")</f>
      </c>
      <c r="Z1118" s="213">
        <f>IFERROR(IF([1]对账明细接口!$U1118=0,"",[1]对账明细接口!$U1118),"")</f>
      </c>
      <c r="AA1118" s="213">
        <f>IFERROR(IF([1]对账明细接口!$V1118=0,"",[1]对账明细接口!$V1118),"")</f>
      </c>
      <c r="AB1118" s="20">
        <f>IFERROR(IF([1]对账明细接口!$W1118=0,"",[1]对账明细接口!$W1118),"")</f>
      </c>
      <c r="AC1118" s="7">
        <f>IFERROR(IF([1]对账明细接口!$X1118=0,"",[1]对账明细接口!$X1118),"")</f>
      </c>
      <c r="AD1118" s="7">
        <f>IFERROR(IF([1]对账明细接口!$Y1118=0,"",[1]对账明细接口!$Y1118),"")</f>
      </c>
      <c r="AE1118" s="7">
        <f>IFERROR(IF([1]对账明细接口!$AA1118=0,"",[1]对账明细接口!$AA1118),"")</f>
      </c>
      <c r="AF1118" s="7">
        <f>IFERROR(IF([1]对账明细接口!$AB1118=0,"",[1]对账明细接口!$AB1118),"")</f>
      </c>
      <c r="AG1118" s="7">
        <f>IFERROR(IF([1]对账明细接口!$AC1118=0,"",[1]对账明细接口!$AC1118),"")</f>
      </c>
      <c r="AH1118" s="7">
        <f>IFERROR(IF([1]对账明细接口!$AD1118=0,"",[1]对账明细接口!$AD1118),"")</f>
      </c>
      <c r="AI1118" s="7">
        <f>IFERROR(IF([1]对账明细接口!$AE1118=0,"",[1]对账明细接口!$AE1118),"")</f>
      </c>
      <c r="AJ1118" s="7">
        <f>IFERROR(IF([1]对账明细接口!$AF1118=0,"",[1]对账明细接口!$AF1118),"")</f>
      </c>
    </row>
    <row r="1119" ht="14.25" customHeight="1" s="127">
      <c r="A1119" s="14" t="n">
        <v>1119</v>
      </c>
      <c r="B1119" s="211">
        <f>IFERROR(IF([1]对账明细接口!$B$1119=0,"",[1]对账明细接口!$B$1119),"")</f>
      </c>
      <c r="C1119" s="16">
        <f>IFERROR(IF([1]对账明细接口!$C$1119=0,"",[1]对账明细接口!$C$1119),"")</f>
      </c>
      <c r="D1119" s="16">
        <f>IFERROR(IF([1]对账明细接口!$D$1119=0,"",[1]对账明细接口!$D$1119),"")</f>
      </c>
      <c r="E1119" s="16">
        <f>IFERROR(IF([1]对账明细接口!$E$1119=0,"",[1]对账明细接口!$E$1119),"")</f>
      </c>
      <c r="F1119" s="16">
        <f>IFERROR(IF([1]对账明细接口!$F$1119=0,"",[1]对账明细接口!$F$1119),"")</f>
      </c>
      <c r="G1119" s="16">
        <f>IFERROR(IF([1]对账明细接口!$G$1119=0,"",[1]对账明细接口!$G$1119),"")</f>
      </c>
      <c r="H1119" s="176">
        <f>IFERROR(IF([1]对账明细接口!$H$1119=0,"",[1]对账明细接口!$H$1119),"")</f>
      </c>
      <c r="I1119" s="16">
        <f>IFERROR(IF([1]对账明细接口!$I$1119=0,"",[1]对账明细接口!$I$1119),"")</f>
      </c>
      <c r="J1119" s="177">
        <f>IFERROR(IF([1]对账明细接口!$J$1119=0,"",[1]对账明细接口!$J$1119),"")</f>
      </c>
      <c r="K1119" s="177">
        <f>IFERROR(IF([1]对账明细接口!$K$1119=0,"",[1]对账明细接口!$K$1119),"")</f>
      </c>
      <c r="L1119" s="16">
        <f>IFERROR(IF([1]对账明细接口!$L$1119=0,"",[1]对账明细接口!$L$1119),"")</f>
      </c>
      <c r="M1119" s="16">
        <f>IFERROR(IF([1]对账明细接口!$M$1119=0,"",[1]对账明细接口!$M$1119),"")</f>
      </c>
      <c r="N1119" s="19">
        <f>IF($C1119="",0,1)</f>
        <v>0</v>
      </c>
      <c r="O1119" s="19">
        <f>N(O1118)+$N1119</f>
        <v>637</v>
      </c>
      <c r="S1119" s="20">
        <f>IFERROR(IF([1]对账明细接口!$N1119=0,"",[1]对账明细接口!$N1119),"")</f>
      </c>
      <c r="T1119" s="212">
        <f>IFERROR(IF([1]对账明细接口!$O1119=0,"",[1]对账明细接口!$O1119),"")</f>
      </c>
      <c r="U1119" s="212">
        <f>IFERROR(IF([1]对账明细接口!$P1119=0,"",[1]对账明细接口!$P1119),"")</f>
      </c>
      <c r="V1119" s="212">
        <f>IFERROR(IF([1]对账明细接口!$Q1119=0,"",[1]对账明细接口!$Q1119),"")</f>
      </c>
      <c r="W1119" s="20">
        <f>IFERROR(IF([1]对账明细接口!$R1119=0,"",[1]对账明细接口!$R1119),"")</f>
      </c>
      <c r="X1119" s="20">
        <f>IFERROR(IF([1]对账明细接口!$S1119=0,"",[1]对账明细接口!$S1119),"")</f>
      </c>
      <c r="Y1119" s="20">
        <f>IFERROR(IF([1]对账明细接口!$T1119=0,"",[1]对账明细接口!$T1119),"")</f>
      </c>
      <c r="Z1119" s="213">
        <f>IFERROR(IF([1]对账明细接口!$U1119=0,"",[1]对账明细接口!$U1119),"")</f>
      </c>
      <c r="AA1119" s="213">
        <f>IFERROR(IF([1]对账明细接口!$V1119=0,"",[1]对账明细接口!$V1119),"")</f>
      </c>
      <c r="AB1119" s="20">
        <f>IFERROR(IF([1]对账明细接口!$W1119=0,"",[1]对账明细接口!$W1119),"")</f>
      </c>
      <c r="AC1119" s="7">
        <f>IFERROR(IF([1]对账明细接口!$X1119=0,"",[1]对账明细接口!$X1119),"")</f>
      </c>
      <c r="AD1119" s="7">
        <f>IFERROR(IF([1]对账明细接口!$Y1119=0,"",[1]对账明细接口!$Y1119),"")</f>
      </c>
      <c r="AE1119" s="7">
        <f>IFERROR(IF([1]对账明细接口!$AA1119=0,"",[1]对账明细接口!$AA1119),"")</f>
      </c>
      <c r="AF1119" s="7">
        <f>IFERROR(IF([1]对账明细接口!$AB1119=0,"",[1]对账明细接口!$AB1119),"")</f>
      </c>
      <c r="AG1119" s="7">
        <f>IFERROR(IF([1]对账明细接口!$AC1119=0,"",[1]对账明细接口!$AC1119),"")</f>
      </c>
      <c r="AH1119" s="7">
        <f>IFERROR(IF([1]对账明细接口!$AD1119=0,"",[1]对账明细接口!$AD1119),"")</f>
      </c>
      <c r="AI1119" s="7">
        <f>IFERROR(IF([1]对账明细接口!$AE1119=0,"",[1]对账明细接口!$AE1119),"")</f>
      </c>
      <c r="AJ1119" s="7">
        <f>IFERROR(IF([1]对账明细接口!$AF1119=0,"",[1]对账明细接口!$AF1119),"")</f>
      </c>
    </row>
    <row r="1120" ht="14.25" customHeight="1" s="127">
      <c r="A1120" s="14" t="n">
        <v>1120</v>
      </c>
      <c r="B1120" s="211">
        <f>IFERROR(IF([1]对账明细接口!$B$1120=0,"",[1]对账明细接口!$B$1120),"")</f>
      </c>
      <c r="C1120" s="16">
        <f>IFERROR(IF([1]对账明细接口!$C$1120=0,"",[1]对账明细接口!$C$1120),"")</f>
      </c>
      <c r="D1120" s="16">
        <f>IFERROR(IF([1]对账明细接口!$D$1120=0,"",[1]对账明细接口!$D$1120),"")</f>
      </c>
      <c r="E1120" s="16">
        <f>IFERROR(IF([1]对账明细接口!$E$1120=0,"",[1]对账明细接口!$E$1120),"")</f>
      </c>
      <c r="F1120" s="16">
        <f>IFERROR(IF([1]对账明细接口!$F$1120=0,"",[1]对账明细接口!$F$1120),"")</f>
      </c>
      <c r="G1120" s="16">
        <f>IFERROR(IF([1]对账明细接口!$G$1120=0,"",[1]对账明细接口!$G$1120),"")</f>
      </c>
      <c r="H1120" s="176">
        <f>IFERROR(IF([1]对账明细接口!$H$1120=0,"",[1]对账明细接口!$H$1120),"")</f>
      </c>
      <c r="I1120" s="16">
        <f>IFERROR(IF([1]对账明细接口!$I$1120=0,"",[1]对账明细接口!$I$1120),"")</f>
      </c>
      <c r="J1120" s="177">
        <f>IFERROR(IF([1]对账明细接口!$J$1120=0,"",[1]对账明细接口!$J$1120),"")</f>
      </c>
      <c r="K1120" s="177">
        <f>IFERROR(IF([1]对账明细接口!$K$1120=0,"",[1]对账明细接口!$K$1120),"")</f>
      </c>
      <c r="L1120" s="16">
        <f>IFERROR(IF([1]对账明细接口!$L$1120=0,"",[1]对账明细接口!$L$1120),"")</f>
      </c>
      <c r="M1120" s="16">
        <f>IFERROR(IF([1]对账明细接口!$M$1120=0,"",[1]对账明细接口!$M$1120),"")</f>
      </c>
      <c r="N1120" s="19">
        <f>IF($C1120="",0,1)</f>
        <v>0</v>
      </c>
      <c r="O1120" s="19">
        <f>N(O1119)+$N1120</f>
        <v>637</v>
      </c>
      <c r="S1120" s="20">
        <f>IFERROR(IF([1]对账明细接口!$N1120=0,"",[1]对账明细接口!$N1120),"")</f>
      </c>
      <c r="T1120" s="212">
        <f>IFERROR(IF([1]对账明细接口!$O1120=0,"",[1]对账明细接口!$O1120),"")</f>
      </c>
      <c r="U1120" s="212">
        <f>IFERROR(IF([1]对账明细接口!$P1120=0,"",[1]对账明细接口!$P1120),"")</f>
      </c>
      <c r="V1120" s="212">
        <f>IFERROR(IF([1]对账明细接口!$Q1120=0,"",[1]对账明细接口!$Q1120),"")</f>
      </c>
      <c r="W1120" s="20">
        <f>IFERROR(IF([1]对账明细接口!$R1120=0,"",[1]对账明细接口!$R1120),"")</f>
      </c>
      <c r="X1120" s="20">
        <f>IFERROR(IF([1]对账明细接口!$S1120=0,"",[1]对账明细接口!$S1120),"")</f>
      </c>
      <c r="Y1120" s="20">
        <f>IFERROR(IF([1]对账明细接口!$T1120=0,"",[1]对账明细接口!$T1120),"")</f>
      </c>
      <c r="Z1120" s="213">
        <f>IFERROR(IF([1]对账明细接口!$U1120=0,"",[1]对账明细接口!$U1120),"")</f>
      </c>
      <c r="AA1120" s="213">
        <f>IFERROR(IF([1]对账明细接口!$V1120=0,"",[1]对账明细接口!$V1120),"")</f>
      </c>
      <c r="AB1120" s="20">
        <f>IFERROR(IF([1]对账明细接口!$W1120=0,"",[1]对账明细接口!$W1120),"")</f>
      </c>
      <c r="AC1120" s="7">
        <f>IFERROR(IF([1]对账明细接口!$X1120=0,"",[1]对账明细接口!$X1120),"")</f>
      </c>
      <c r="AD1120" s="7">
        <f>IFERROR(IF([1]对账明细接口!$Y1120=0,"",[1]对账明细接口!$Y1120),"")</f>
      </c>
      <c r="AE1120" s="7">
        <f>IFERROR(IF([1]对账明细接口!$AA1120=0,"",[1]对账明细接口!$AA1120),"")</f>
      </c>
      <c r="AF1120" s="7">
        <f>IFERROR(IF([1]对账明细接口!$AB1120=0,"",[1]对账明细接口!$AB1120),"")</f>
      </c>
      <c r="AG1120" s="7">
        <f>IFERROR(IF([1]对账明细接口!$AC1120=0,"",[1]对账明细接口!$AC1120),"")</f>
      </c>
      <c r="AH1120" s="7">
        <f>IFERROR(IF([1]对账明细接口!$AD1120=0,"",[1]对账明细接口!$AD1120),"")</f>
      </c>
      <c r="AI1120" s="7">
        <f>IFERROR(IF([1]对账明细接口!$AE1120=0,"",[1]对账明细接口!$AE1120),"")</f>
      </c>
      <c r="AJ1120" s="7">
        <f>IFERROR(IF([1]对账明细接口!$AF1120=0,"",[1]对账明细接口!$AF1120),"")</f>
      </c>
    </row>
    <row r="1121" ht="14.25" customHeight="1" s="127">
      <c r="A1121" s="14" t="n">
        <v>1121</v>
      </c>
      <c r="B1121" s="211">
        <f>IFERROR(IF([1]对账明细接口!$B$1121=0,"",[1]对账明细接口!$B$1121),"")</f>
      </c>
      <c r="C1121" s="16">
        <f>IFERROR(IF([1]对账明细接口!$C$1121=0,"",[1]对账明细接口!$C$1121),"")</f>
      </c>
      <c r="D1121" s="16">
        <f>IFERROR(IF([1]对账明细接口!$D$1121=0,"",[1]对账明细接口!$D$1121),"")</f>
      </c>
      <c r="E1121" s="16">
        <f>IFERROR(IF([1]对账明细接口!$E$1121=0,"",[1]对账明细接口!$E$1121),"")</f>
      </c>
      <c r="F1121" s="16">
        <f>IFERROR(IF([1]对账明细接口!$F$1121=0,"",[1]对账明细接口!$F$1121),"")</f>
      </c>
      <c r="G1121" s="16">
        <f>IFERROR(IF([1]对账明细接口!$G$1121=0,"",[1]对账明细接口!$G$1121),"")</f>
      </c>
      <c r="H1121" s="176">
        <f>IFERROR(IF([1]对账明细接口!$H$1121=0,"",[1]对账明细接口!$H$1121),"")</f>
      </c>
      <c r="I1121" s="16">
        <f>IFERROR(IF([1]对账明细接口!$I$1121=0,"",[1]对账明细接口!$I$1121),"")</f>
      </c>
      <c r="J1121" s="177">
        <f>IFERROR(IF([1]对账明细接口!$J$1121=0,"",[1]对账明细接口!$J$1121),"")</f>
      </c>
      <c r="K1121" s="177">
        <f>IFERROR(IF([1]对账明细接口!$K$1121=0,"",[1]对账明细接口!$K$1121),"")</f>
      </c>
      <c r="L1121" s="16">
        <f>IFERROR(IF([1]对账明细接口!$L$1121=0,"",[1]对账明细接口!$L$1121),"")</f>
      </c>
      <c r="M1121" s="16">
        <f>IFERROR(IF([1]对账明细接口!$M$1121=0,"",[1]对账明细接口!$M$1121),"")</f>
      </c>
      <c r="N1121" s="19">
        <f>IF($C1121="",0,1)</f>
        <v>0</v>
      </c>
      <c r="O1121" s="19">
        <f>N(O1120)+$N1121</f>
        <v>637</v>
      </c>
      <c r="S1121" s="20">
        <f>IFERROR(IF([1]对账明细接口!$N1121=0,"",[1]对账明细接口!$N1121),"")</f>
      </c>
      <c r="T1121" s="212">
        <f>IFERROR(IF([1]对账明细接口!$O1121=0,"",[1]对账明细接口!$O1121),"")</f>
      </c>
      <c r="U1121" s="212">
        <f>IFERROR(IF([1]对账明细接口!$P1121=0,"",[1]对账明细接口!$P1121),"")</f>
      </c>
      <c r="V1121" s="212">
        <f>IFERROR(IF([1]对账明细接口!$Q1121=0,"",[1]对账明细接口!$Q1121),"")</f>
      </c>
      <c r="W1121" s="20">
        <f>IFERROR(IF([1]对账明细接口!$R1121=0,"",[1]对账明细接口!$R1121),"")</f>
      </c>
      <c r="X1121" s="20">
        <f>IFERROR(IF([1]对账明细接口!$S1121=0,"",[1]对账明细接口!$S1121),"")</f>
      </c>
      <c r="Y1121" s="20">
        <f>IFERROR(IF([1]对账明细接口!$T1121=0,"",[1]对账明细接口!$T1121),"")</f>
      </c>
      <c r="Z1121" s="213">
        <f>IFERROR(IF([1]对账明细接口!$U1121=0,"",[1]对账明细接口!$U1121),"")</f>
      </c>
      <c r="AA1121" s="213">
        <f>IFERROR(IF([1]对账明细接口!$V1121=0,"",[1]对账明细接口!$V1121),"")</f>
      </c>
      <c r="AB1121" s="20">
        <f>IFERROR(IF([1]对账明细接口!$W1121=0,"",[1]对账明细接口!$W1121),"")</f>
      </c>
      <c r="AC1121" s="7">
        <f>IFERROR(IF([1]对账明细接口!$X1121=0,"",[1]对账明细接口!$X1121),"")</f>
      </c>
      <c r="AD1121" s="7">
        <f>IFERROR(IF([1]对账明细接口!$Y1121=0,"",[1]对账明细接口!$Y1121),"")</f>
      </c>
      <c r="AE1121" s="7">
        <f>IFERROR(IF([1]对账明细接口!$AA1121=0,"",[1]对账明细接口!$AA1121),"")</f>
      </c>
      <c r="AF1121" s="7">
        <f>IFERROR(IF([1]对账明细接口!$AB1121=0,"",[1]对账明细接口!$AB1121),"")</f>
      </c>
      <c r="AG1121" s="7">
        <f>IFERROR(IF([1]对账明细接口!$AC1121=0,"",[1]对账明细接口!$AC1121),"")</f>
      </c>
      <c r="AH1121" s="7">
        <f>IFERROR(IF([1]对账明细接口!$AD1121=0,"",[1]对账明细接口!$AD1121),"")</f>
      </c>
      <c r="AI1121" s="7">
        <f>IFERROR(IF([1]对账明细接口!$AE1121=0,"",[1]对账明细接口!$AE1121),"")</f>
      </c>
      <c r="AJ1121" s="7">
        <f>IFERROR(IF([1]对账明细接口!$AF1121=0,"",[1]对账明细接口!$AF1121),"")</f>
      </c>
    </row>
    <row r="1122" ht="14.25" customHeight="1" s="127">
      <c r="A1122" s="14" t="n">
        <v>1122</v>
      </c>
      <c r="B1122" s="211">
        <f>IFERROR(IF([1]对账明细接口!$B$1122=0,"",[1]对账明细接口!$B$1122),"")</f>
      </c>
      <c r="C1122" s="16">
        <f>IFERROR(IF([1]对账明细接口!$C$1122=0,"",[1]对账明细接口!$C$1122),"")</f>
      </c>
      <c r="D1122" s="16">
        <f>IFERROR(IF([1]对账明细接口!$D$1122=0,"",[1]对账明细接口!$D$1122),"")</f>
      </c>
      <c r="E1122" s="16">
        <f>IFERROR(IF([1]对账明细接口!$E$1122=0,"",[1]对账明细接口!$E$1122),"")</f>
      </c>
      <c r="F1122" s="16">
        <f>IFERROR(IF([1]对账明细接口!$F$1122=0,"",[1]对账明细接口!$F$1122),"")</f>
      </c>
      <c r="G1122" s="16">
        <f>IFERROR(IF([1]对账明细接口!$G$1122=0,"",[1]对账明细接口!$G$1122),"")</f>
      </c>
      <c r="H1122" s="176">
        <f>IFERROR(IF([1]对账明细接口!$H$1122=0,"",[1]对账明细接口!$H$1122),"")</f>
      </c>
      <c r="I1122" s="16">
        <f>IFERROR(IF([1]对账明细接口!$I$1122=0,"",[1]对账明细接口!$I$1122),"")</f>
      </c>
      <c r="J1122" s="177">
        <f>IFERROR(IF([1]对账明细接口!$J$1122=0,"",[1]对账明细接口!$J$1122),"")</f>
      </c>
      <c r="K1122" s="177">
        <f>IFERROR(IF([1]对账明细接口!$K$1122=0,"",[1]对账明细接口!$K$1122),"")</f>
      </c>
      <c r="L1122" s="16">
        <f>IFERROR(IF([1]对账明细接口!$L$1122=0,"",[1]对账明细接口!$L$1122),"")</f>
      </c>
      <c r="M1122" s="16">
        <f>IFERROR(IF([1]对账明细接口!$M$1122=0,"",[1]对账明细接口!$M$1122),"")</f>
      </c>
      <c r="N1122" s="19">
        <f>IF($C1122="",0,1)</f>
        <v>0</v>
      </c>
      <c r="O1122" s="19">
        <f>N(O1121)+$N1122</f>
        <v>637</v>
      </c>
      <c r="S1122" s="20">
        <f>IFERROR(IF([1]对账明细接口!$N1122=0,"",[1]对账明细接口!$N1122),"")</f>
      </c>
      <c r="T1122" s="212">
        <f>IFERROR(IF([1]对账明细接口!$O1122=0,"",[1]对账明细接口!$O1122),"")</f>
      </c>
      <c r="U1122" s="212">
        <f>IFERROR(IF([1]对账明细接口!$P1122=0,"",[1]对账明细接口!$P1122),"")</f>
      </c>
      <c r="V1122" s="212">
        <f>IFERROR(IF([1]对账明细接口!$Q1122=0,"",[1]对账明细接口!$Q1122),"")</f>
      </c>
      <c r="W1122" s="20">
        <f>IFERROR(IF([1]对账明细接口!$R1122=0,"",[1]对账明细接口!$R1122),"")</f>
      </c>
      <c r="X1122" s="20">
        <f>IFERROR(IF([1]对账明细接口!$S1122=0,"",[1]对账明细接口!$S1122),"")</f>
      </c>
      <c r="Y1122" s="20">
        <f>IFERROR(IF([1]对账明细接口!$T1122=0,"",[1]对账明细接口!$T1122),"")</f>
      </c>
      <c r="Z1122" s="213">
        <f>IFERROR(IF([1]对账明细接口!$U1122=0,"",[1]对账明细接口!$U1122),"")</f>
      </c>
      <c r="AA1122" s="213">
        <f>IFERROR(IF([1]对账明细接口!$V1122=0,"",[1]对账明细接口!$V1122),"")</f>
      </c>
      <c r="AB1122" s="20">
        <f>IFERROR(IF([1]对账明细接口!$W1122=0,"",[1]对账明细接口!$W1122),"")</f>
      </c>
      <c r="AC1122" s="7">
        <f>IFERROR(IF([1]对账明细接口!$X1122=0,"",[1]对账明细接口!$X1122),"")</f>
      </c>
      <c r="AD1122" s="7">
        <f>IFERROR(IF([1]对账明细接口!$Y1122=0,"",[1]对账明细接口!$Y1122),"")</f>
      </c>
      <c r="AE1122" s="7">
        <f>IFERROR(IF([1]对账明细接口!$AA1122=0,"",[1]对账明细接口!$AA1122),"")</f>
      </c>
      <c r="AF1122" s="7">
        <f>IFERROR(IF([1]对账明细接口!$AB1122=0,"",[1]对账明细接口!$AB1122),"")</f>
      </c>
      <c r="AG1122" s="7">
        <f>IFERROR(IF([1]对账明细接口!$AC1122=0,"",[1]对账明细接口!$AC1122),"")</f>
      </c>
      <c r="AH1122" s="7">
        <f>IFERROR(IF([1]对账明细接口!$AD1122=0,"",[1]对账明细接口!$AD1122),"")</f>
      </c>
      <c r="AI1122" s="7">
        <f>IFERROR(IF([1]对账明细接口!$AE1122=0,"",[1]对账明细接口!$AE1122),"")</f>
      </c>
      <c r="AJ1122" s="7">
        <f>IFERROR(IF([1]对账明细接口!$AF1122=0,"",[1]对账明细接口!$AF1122),"")</f>
      </c>
    </row>
    <row r="1123" ht="14.25" customHeight="1" s="127">
      <c r="A1123" s="14" t="n">
        <v>1123</v>
      </c>
      <c r="B1123" s="211">
        <f>IFERROR(IF([1]对账明细接口!$B$1123=0,"",[1]对账明细接口!$B$1123),"")</f>
      </c>
      <c r="C1123" s="16">
        <f>IFERROR(IF([1]对账明细接口!$C$1123=0,"",[1]对账明细接口!$C$1123),"")</f>
      </c>
      <c r="D1123" s="16">
        <f>IFERROR(IF([1]对账明细接口!$D$1123=0,"",[1]对账明细接口!$D$1123),"")</f>
      </c>
      <c r="E1123" s="16">
        <f>IFERROR(IF([1]对账明细接口!$E$1123=0,"",[1]对账明细接口!$E$1123),"")</f>
      </c>
      <c r="F1123" s="16">
        <f>IFERROR(IF([1]对账明细接口!$F$1123=0,"",[1]对账明细接口!$F$1123),"")</f>
      </c>
      <c r="G1123" s="16">
        <f>IFERROR(IF([1]对账明细接口!$G$1123=0,"",[1]对账明细接口!$G$1123),"")</f>
      </c>
      <c r="H1123" s="176">
        <f>IFERROR(IF([1]对账明细接口!$H$1123=0,"",[1]对账明细接口!$H$1123),"")</f>
      </c>
      <c r="I1123" s="16">
        <f>IFERROR(IF([1]对账明细接口!$I$1123=0,"",[1]对账明细接口!$I$1123),"")</f>
      </c>
      <c r="J1123" s="177">
        <f>IFERROR(IF([1]对账明细接口!$J$1123=0,"",[1]对账明细接口!$J$1123),"")</f>
      </c>
      <c r="K1123" s="177">
        <f>IFERROR(IF([1]对账明细接口!$K$1123=0,"",[1]对账明细接口!$K$1123),"")</f>
      </c>
      <c r="L1123" s="16">
        <f>IFERROR(IF([1]对账明细接口!$L$1123=0,"",[1]对账明细接口!$L$1123),"")</f>
      </c>
      <c r="M1123" s="16">
        <f>IFERROR(IF([1]对账明细接口!$M$1123=0,"",[1]对账明细接口!$M$1123),"")</f>
      </c>
      <c r="N1123" s="19">
        <f>IF($C1123="",0,1)</f>
        <v>0</v>
      </c>
      <c r="O1123" s="19">
        <f>N(O1122)+$N1123</f>
        <v>637</v>
      </c>
      <c r="S1123" s="20">
        <f>IFERROR(IF([1]对账明细接口!$N1123=0,"",[1]对账明细接口!$N1123),"")</f>
      </c>
      <c r="T1123" s="212">
        <f>IFERROR(IF([1]对账明细接口!$O1123=0,"",[1]对账明细接口!$O1123),"")</f>
      </c>
      <c r="U1123" s="212">
        <f>IFERROR(IF([1]对账明细接口!$P1123=0,"",[1]对账明细接口!$P1123),"")</f>
      </c>
      <c r="V1123" s="212">
        <f>IFERROR(IF([1]对账明细接口!$Q1123=0,"",[1]对账明细接口!$Q1123),"")</f>
      </c>
      <c r="W1123" s="20">
        <f>IFERROR(IF([1]对账明细接口!$R1123=0,"",[1]对账明细接口!$R1123),"")</f>
      </c>
      <c r="X1123" s="20">
        <f>IFERROR(IF([1]对账明细接口!$S1123=0,"",[1]对账明细接口!$S1123),"")</f>
      </c>
      <c r="Y1123" s="20">
        <f>IFERROR(IF([1]对账明细接口!$T1123=0,"",[1]对账明细接口!$T1123),"")</f>
      </c>
      <c r="Z1123" s="213">
        <f>IFERROR(IF([1]对账明细接口!$U1123=0,"",[1]对账明细接口!$U1123),"")</f>
      </c>
      <c r="AA1123" s="213">
        <f>IFERROR(IF([1]对账明细接口!$V1123=0,"",[1]对账明细接口!$V1123),"")</f>
      </c>
      <c r="AB1123" s="20">
        <f>IFERROR(IF([1]对账明细接口!$W1123=0,"",[1]对账明细接口!$W1123),"")</f>
      </c>
      <c r="AC1123" s="7">
        <f>IFERROR(IF([1]对账明细接口!$X1123=0,"",[1]对账明细接口!$X1123),"")</f>
      </c>
      <c r="AD1123" s="7">
        <f>IFERROR(IF([1]对账明细接口!$Y1123=0,"",[1]对账明细接口!$Y1123),"")</f>
      </c>
      <c r="AE1123" s="7">
        <f>IFERROR(IF([1]对账明细接口!$AA1123=0,"",[1]对账明细接口!$AA1123),"")</f>
      </c>
      <c r="AF1123" s="7">
        <f>IFERROR(IF([1]对账明细接口!$AB1123=0,"",[1]对账明细接口!$AB1123),"")</f>
      </c>
      <c r="AG1123" s="7">
        <f>IFERROR(IF([1]对账明细接口!$AC1123=0,"",[1]对账明细接口!$AC1123),"")</f>
      </c>
      <c r="AH1123" s="7">
        <f>IFERROR(IF([1]对账明细接口!$AD1123=0,"",[1]对账明细接口!$AD1123),"")</f>
      </c>
      <c r="AI1123" s="7">
        <f>IFERROR(IF([1]对账明细接口!$AE1123=0,"",[1]对账明细接口!$AE1123),"")</f>
      </c>
      <c r="AJ1123" s="7">
        <f>IFERROR(IF([1]对账明细接口!$AF1123=0,"",[1]对账明细接口!$AF1123),"")</f>
      </c>
    </row>
    <row r="1124" ht="14.25" customHeight="1" s="127">
      <c r="A1124" s="14" t="n">
        <v>1124</v>
      </c>
      <c r="B1124" s="211">
        <f>IFERROR(IF([1]对账明细接口!$B$1124=0,"",[1]对账明细接口!$B$1124),"")</f>
      </c>
      <c r="C1124" s="16">
        <f>IFERROR(IF([1]对账明细接口!$C$1124=0,"",[1]对账明细接口!$C$1124),"")</f>
      </c>
      <c r="D1124" s="16">
        <f>IFERROR(IF([1]对账明细接口!$D$1124=0,"",[1]对账明细接口!$D$1124),"")</f>
      </c>
      <c r="E1124" s="16">
        <f>IFERROR(IF([1]对账明细接口!$E$1124=0,"",[1]对账明细接口!$E$1124),"")</f>
      </c>
      <c r="F1124" s="16">
        <f>IFERROR(IF([1]对账明细接口!$F$1124=0,"",[1]对账明细接口!$F$1124),"")</f>
      </c>
      <c r="G1124" s="16">
        <f>IFERROR(IF([1]对账明细接口!$G$1124=0,"",[1]对账明细接口!$G$1124),"")</f>
      </c>
      <c r="H1124" s="176">
        <f>IFERROR(IF([1]对账明细接口!$H$1124=0,"",[1]对账明细接口!$H$1124),"")</f>
      </c>
      <c r="I1124" s="16">
        <f>IFERROR(IF([1]对账明细接口!$I$1124=0,"",[1]对账明细接口!$I$1124),"")</f>
      </c>
      <c r="J1124" s="177">
        <f>IFERROR(IF([1]对账明细接口!$J$1124=0,"",[1]对账明细接口!$J$1124),"")</f>
      </c>
      <c r="K1124" s="177">
        <f>IFERROR(IF([1]对账明细接口!$K$1124=0,"",[1]对账明细接口!$K$1124),"")</f>
      </c>
      <c r="L1124" s="16">
        <f>IFERROR(IF([1]对账明细接口!$L$1124=0,"",[1]对账明细接口!$L$1124),"")</f>
      </c>
      <c r="M1124" s="16">
        <f>IFERROR(IF([1]对账明细接口!$M$1124=0,"",[1]对账明细接口!$M$1124),"")</f>
      </c>
      <c r="N1124" s="19">
        <f>IF($C1124="",0,1)</f>
        <v>0</v>
      </c>
      <c r="O1124" s="19">
        <f>N(O1123)+$N1124</f>
        <v>637</v>
      </c>
      <c r="S1124" s="20">
        <f>IFERROR(IF([1]对账明细接口!$N1124=0,"",[1]对账明细接口!$N1124),"")</f>
      </c>
      <c r="T1124" s="212">
        <f>IFERROR(IF([1]对账明细接口!$O1124=0,"",[1]对账明细接口!$O1124),"")</f>
      </c>
      <c r="U1124" s="212">
        <f>IFERROR(IF([1]对账明细接口!$P1124=0,"",[1]对账明细接口!$P1124),"")</f>
      </c>
      <c r="V1124" s="212">
        <f>IFERROR(IF([1]对账明细接口!$Q1124=0,"",[1]对账明细接口!$Q1124),"")</f>
      </c>
      <c r="W1124" s="20">
        <f>IFERROR(IF([1]对账明细接口!$R1124=0,"",[1]对账明细接口!$R1124),"")</f>
      </c>
      <c r="X1124" s="20">
        <f>IFERROR(IF([1]对账明细接口!$S1124=0,"",[1]对账明细接口!$S1124),"")</f>
      </c>
      <c r="Y1124" s="20">
        <f>IFERROR(IF([1]对账明细接口!$T1124=0,"",[1]对账明细接口!$T1124),"")</f>
      </c>
      <c r="Z1124" s="213">
        <f>IFERROR(IF([1]对账明细接口!$U1124=0,"",[1]对账明细接口!$U1124),"")</f>
      </c>
      <c r="AA1124" s="213">
        <f>IFERROR(IF([1]对账明细接口!$V1124=0,"",[1]对账明细接口!$V1124),"")</f>
      </c>
      <c r="AB1124" s="20">
        <f>IFERROR(IF([1]对账明细接口!$W1124=0,"",[1]对账明细接口!$W1124),"")</f>
      </c>
      <c r="AC1124" s="7">
        <f>IFERROR(IF([1]对账明细接口!$X1124=0,"",[1]对账明细接口!$X1124),"")</f>
      </c>
      <c r="AD1124" s="7">
        <f>IFERROR(IF([1]对账明细接口!$Y1124=0,"",[1]对账明细接口!$Y1124),"")</f>
      </c>
      <c r="AE1124" s="7">
        <f>IFERROR(IF([1]对账明细接口!$AA1124=0,"",[1]对账明细接口!$AA1124),"")</f>
      </c>
      <c r="AF1124" s="7">
        <f>IFERROR(IF([1]对账明细接口!$AB1124=0,"",[1]对账明细接口!$AB1124),"")</f>
      </c>
      <c r="AG1124" s="7">
        <f>IFERROR(IF([1]对账明细接口!$AC1124=0,"",[1]对账明细接口!$AC1124),"")</f>
      </c>
      <c r="AH1124" s="7">
        <f>IFERROR(IF([1]对账明细接口!$AD1124=0,"",[1]对账明细接口!$AD1124),"")</f>
      </c>
      <c r="AI1124" s="7">
        <f>IFERROR(IF([1]对账明细接口!$AE1124=0,"",[1]对账明细接口!$AE1124),"")</f>
      </c>
      <c r="AJ1124" s="7">
        <f>IFERROR(IF([1]对账明细接口!$AF1124=0,"",[1]对账明细接口!$AF1124),"")</f>
      </c>
    </row>
    <row r="1125" ht="14.25" customHeight="1" s="127">
      <c r="A1125" s="14" t="n">
        <v>1125</v>
      </c>
      <c r="B1125" s="211">
        <f>IFERROR(IF([1]对账明细接口!$B$1125=0,"",[1]对账明细接口!$B$1125),"")</f>
      </c>
      <c r="C1125" s="16">
        <f>IFERROR(IF([1]对账明细接口!$C$1125=0,"",[1]对账明细接口!$C$1125),"")</f>
      </c>
      <c r="D1125" s="16">
        <f>IFERROR(IF([1]对账明细接口!$D$1125=0,"",[1]对账明细接口!$D$1125),"")</f>
      </c>
      <c r="E1125" s="16">
        <f>IFERROR(IF([1]对账明细接口!$E$1125=0,"",[1]对账明细接口!$E$1125),"")</f>
      </c>
      <c r="F1125" s="16">
        <f>IFERROR(IF([1]对账明细接口!$F$1125=0,"",[1]对账明细接口!$F$1125),"")</f>
      </c>
      <c r="G1125" s="16">
        <f>IFERROR(IF([1]对账明细接口!$G$1125=0,"",[1]对账明细接口!$G$1125),"")</f>
      </c>
      <c r="H1125" s="176">
        <f>IFERROR(IF([1]对账明细接口!$H$1125=0,"",[1]对账明细接口!$H$1125),"")</f>
      </c>
      <c r="I1125" s="16">
        <f>IFERROR(IF([1]对账明细接口!$I$1125=0,"",[1]对账明细接口!$I$1125),"")</f>
      </c>
      <c r="J1125" s="177">
        <f>IFERROR(IF([1]对账明细接口!$J$1125=0,"",[1]对账明细接口!$J$1125),"")</f>
      </c>
      <c r="K1125" s="177">
        <f>IFERROR(IF([1]对账明细接口!$K$1125=0,"",[1]对账明细接口!$K$1125),"")</f>
      </c>
      <c r="L1125" s="16">
        <f>IFERROR(IF([1]对账明细接口!$L$1125=0,"",[1]对账明细接口!$L$1125),"")</f>
      </c>
      <c r="M1125" s="16">
        <f>IFERROR(IF([1]对账明细接口!$M$1125=0,"",[1]对账明细接口!$M$1125),"")</f>
      </c>
      <c r="N1125" s="19">
        <f>IF($C1125="",0,1)</f>
        <v>0</v>
      </c>
      <c r="O1125" s="19">
        <f>N(O1124)+$N1125</f>
        <v>637</v>
      </c>
      <c r="S1125" s="20">
        <f>IFERROR(IF([1]对账明细接口!$N1125=0,"",[1]对账明细接口!$N1125),"")</f>
      </c>
      <c r="T1125" s="212">
        <f>IFERROR(IF([1]对账明细接口!$O1125=0,"",[1]对账明细接口!$O1125),"")</f>
      </c>
      <c r="U1125" s="212">
        <f>IFERROR(IF([1]对账明细接口!$P1125=0,"",[1]对账明细接口!$P1125),"")</f>
      </c>
      <c r="V1125" s="212">
        <f>IFERROR(IF([1]对账明细接口!$Q1125=0,"",[1]对账明细接口!$Q1125),"")</f>
      </c>
      <c r="W1125" s="20">
        <f>IFERROR(IF([1]对账明细接口!$R1125=0,"",[1]对账明细接口!$R1125),"")</f>
      </c>
      <c r="X1125" s="20">
        <f>IFERROR(IF([1]对账明细接口!$S1125=0,"",[1]对账明细接口!$S1125),"")</f>
      </c>
      <c r="Y1125" s="20">
        <f>IFERROR(IF([1]对账明细接口!$T1125=0,"",[1]对账明细接口!$T1125),"")</f>
      </c>
      <c r="Z1125" s="213">
        <f>IFERROR(IF([1]对账明细接口!$U1125=0,"",[1]对账明细接口!$U1125),"")</f>
      </c>
      <c r="AA1125" s="213">
        <f>IFERROR(IF([1]对账明细接口!$V1125=0,"",[1]对账明细接口!$V1125),"")</f>
      </c>
      <c r="AB1125" s="20">
        <f>IFERROR(IF([1]对账明细接口!$W1125=0,"",[1]对账明细接口!$W1125),"")</f>
      </c>
      <c r="AC1125" s="7">
        <f>IFERROR(IF([1]对账明细接口!$X1125=0,"",[1]对账明细接口!$X1125),"")</f>
      </c>
      <c r="AD1125" s="7">
        <f>IFERROR(IF([1]对账明细接口!$Y1125=0,"",[1]对账明细接口!$Y1125),"")</f>
      </c>
      <c r="AE1125" s="7">
        <f>IFERROR(IF([1]对账明细接口!$AA1125=0,"",[1]对账明细接口!$AA1125),"")</f>
      </c>
      <c r="AF1125" s="7">
        <f>IFERROR(IF([1]对账明细接口!$AB1125=0,"",[1]对账明细接口!$AB1125),"")</f>
      </c>
      <c r="AG1125" s="7">
        <f>IFERROR(IF([1]对账明细接口!$AC1125=0,"",[1]对账明细接口!$AC1125),"")</f>
      </c>
      <c r="AH1125" s="7">
        <f>IFERROR(IF([1]对账明细接口!$AD1125=0,"",[1]对账明细接口!$AD1125),"")</f>
      </c>
      <c r="AI1125" s="7">
        <f>IFERROR(IF([1]对账明细接口!$AE1125=0,"",[1]对账明细接口!$AE1125),"")</f>
      </c>
      <c r="AJ1125" s="7">
        <f>IFERROR(IF([1]对账明细接口!$AF1125=0,"",[1]对账明细接口!$AF1125),"")</f>
      </c>
    </row>
    <row r="1126" ht="14.25" customHeight="1" s="127">
      <c r="A1126" s="14" t="n">
        <v>1126</v>
      </c>
      <c r="B1126" s="211">
        <f>IFERROR(IF([1]对账明细接口!$B$1126=0,"",[1]对账明细接口!$B$1126),"")</f>
      </c>
      <c r="C1126" s="16">
        <f>IFERROR(IF([1]对账明细接口!$C$1126=0,"",[1]对账明细接口!$C$1126),"")</f>
      </c>
      <c r="D1126" s="16">
        <f>IFERROR(IF([1]对账明细接口!$D$1126=0,"",[1]对账明细接口!$D$1126),"")</f>
      </c>
      <c r="E1126" s="16">
        <f>IFERROR(IF([1]对账明细接口!$E$1126=0,"",[1]对账明细接口!$E$1126),"")</f>
      </c>
      <c r="F1126" s="16">
        <f>IFERROR(IF([1]对账明细接口!$F$1126=0,"",[1]对账明细接口!$F$1126),"")</f>
      </c>
      <c r="G1126" s="16">
        <f>IFERROR(IF([1]对账明细接口!$G$1126=0,"",[1]对账明细接口!$G$1126),"")</f>
      </c>
      <c r="H1126" s="176">
        <f>IFERROR(IF([1]对账明细接口!$H$1126=0,"",[1]对账明细接口!$H$1126),"")</f>
      </c>
      <c r="I1126" s="16">
        <f>IFERROR(IF([1]对账明细接口!$I$1126=0,"",[1]对账明细接口!$I$1126),"")</f>
      </c>
      <c r="J1126" s="177">
        <f>IFERROR(IF([1]对账明细接口!$J$1126=0,"",[1]对账明细接口!$J$1126),"")</f>
      </c>
      <c r="K1126" s="177">
        <f>IFERROR(IF([1]对账明细接口!$K$1126=0,"",[1]对账明细接口!$K$1126),"")</f>
      </c>
      <c r="L1126" s="16">
        <f>IFERROR(IF([1]对账明细接口!$L$1126=0,"",[1]对账明细接口!$L$1126),"")</f>
      </c>
      <c r="M1126" s="16">
        <f>IFERROR(IF([1]对账明细接口!$M$1126=0,"",[1]对账明细接口!$M$1126),"")</f>
      </c>
      <c r="N1126" s="19">
        <f>IF($C1126="",0,1)</f>
        <v>0</v>
      </c>
      <c r="O1126" s="19">
        <f>N(O1125)+$N1126</f>
        <v>637</v>
      </c>
      <c r="S1126" s="20">
        <f>IFERROR(IF([1]对账明细接口!$N1126=0,"",[1]对账明细接口!$N1126),"")</f>
      </c>
      <c r="T1126" s="212">
        <f>IFERROR(IF([1]对账明细接口!$O1126=0,"",[1]对账明细接口!$O1126),"")</f>
      </c>
      <c r="U1126" s="212">
        <f>IFERROR(IF([1]对账明细接口!$P1126=0,"",[1]对账明细接口!$P1126),"")</f>
      </c>
      <c r="V1126" s="212">
        <f>IFERROR(IF([1]对账明细接口!$Q1126=0,"",[1]对账明细接口!$Q1126),"")</f>
      </c>
      <c r="W1126" s="20">
        <f>IFERROR(IF([1]对账明细接口!$R1126=0,"",[1]对账明细接口!$R1126),"")</f>
      </c>
      <c r="X1126" s="20">
        <f>IFERROR(IF([1]对账明细接口!$S1126=0,"",[1]对账明细接口!$S1126),"")</f>
      </c>
      <c r="Y1126" s="20">
        <f>IFERROR(IF([1]对账明细接口!$T1126=0,"",[1]对账明细接口!$T1126),"")</f>
      </c>
      <c r="Z1126" s="213">
        <f>IFERROR(IF([1]对账明细接口!$U1126=0,"",[1]对账明细接口!$U1126),"")</f>
      </c>
      <c r="AA1126" s="213">
        <f>IFERROR(IF([1]对账明细接口!$V1126=0,"",[1]对账明细接口!$V1126),"")</f>
      </c>
      <c r="AB1126" s="20">
        <f>IFERROR(IF([1]对账明细接口!$W1126=0,"",[1]对账明细接口!$W1126),"")</f>
      </c>
      <c r="AC1126" s="7">
        <f>IFERROR(IF([1]对账明细接口!$X1126=0,"",[1]对账明细接口!$X1126),"")</f>
      </c>
      <c r="AD1126" s="7">
        <f>IFERROR(IF([1]对账明细接口!$Y1126=0,"",[1]对账明细接口!$Y1126),"")</f>
      </c>
      <c r="AE1126" s="7">
        <f>IFERROR(IF([1]对账明细接口!$AA1126=0,"",[1]对账明细接口!$AA1126),"")</f>
      </c>
      <c r="AF1126" s="7">
        <f>IFERROR(IF([1]对账明细接口!$AB1126=0,"",[1]对账明细接口!$AB1126),"")</f>
      </c>
      <c r="AG1126" s="7">
        <f>IFERROR(IF([1]对账明细接口!$AC1126=0,"",[1]对账明细接口!$AC1126),"")</f>
      </c>
      <c r="AH1126" s="7">
        <f>IFERROR(IF([1]对账明细接口!$AD1126=0,"",[1]对账明细接口!$AD1126),"")</f>
      </c>
      <c r="AI1126" s="7">
        <f>IFERROR(IF([1]对账明细接口!$AE1126=0,"",[1]对账明细接口!$AE1126),"")</f>
      </c>
      <c r="AJ1126" s="7">
        <f>IFERROR(IF([1]对账明细接口!$AF1126=0,"",[1]对账明细接口!$AF1126),"")</f>
      </c>
    </row>
    <row r="1127" ht="14.25" customHeight="1" s="127">
      <c r="A1127" s="14" t="n">
        <v>1127</v>
      </c>
      <c r="B1127" s="211">
        <f>IFERROR(IF([1]对账明细接口!$B$1127=0,"",[1]对账明细接口!$B$1127),"")</f>
      </c>
      <c r="C1127" s="16">
        <f>IFERROR(IF([1]对账明细接口!$C$1127=0,"",[1]对账明细接口!$C$1127),"")</f>
      </c>
      <c r="D1127" s="16">
        <f>IFERROR(IF([1]对账明细接口!$D$1127=0,"",[1]对账明细接口!$D$1127),"")</f>
      </c>
      <c r="E1127" s="16">
        <f>IFERROR(IF([1]对账明细接口!$E$1127=0,"",[1]对账明细接口!$E$1127),"")</f>
      </c>
      <c r="F1127" s="16">
        <f>IFERROR(IF([1]对账明细接口!$F$1127=0,"",[1]对账明细接口!$F$1127),"")</f>
      </c>
      <c r="G1127" s="16">
        <f>IFERROR(IF([1]对账明细接口!$G$1127=0,"",[1]对账明细接口!$G$1127),"")</f>
      </c>
      <c r="H1127" s="176">
        <f>IFERROR(IF([1]对账明细接口!$H$1127=0,"",[1]对账明细接口!$H$1127),"")</f>
      </c>
      <c r="I1127" s="16">
        <f>IFERROR(IF([1]对账明细接口!$I$1127=0,"",[1]对账明细接口!$I$1127),"")</f>
      </c>
      <c r="J1127" s="177">
        <f>IFERROR(IF([1]对账明细接口!$J$1127=0,"",[1]对账明细接口!$J$1127),"")</f>
      </c>
      <c r="K1127" s="177">
        <f>IFERROR(IF([1]对账明细接口!$K$1127=0,"",[1]对账明细接口!$K$1127),"")</f>
      </c>
      <c r="L1127" s="16">
        <f>IFERROR(IF([1]对账明细接口!$L$1127=0,"",[1]对账明细接口!$L$1127),"")</f>
      </c>
      <c r="M1127" s="16">
        <f>IFERROR(IF([1]对账明细接口!$M$1127=0,"",[1]对账明细接口!$M$1127),"")</f>
      </c>
      <c r="N1127" s="19">
        <f>IF($C1127="",0,1)</f>
        <v>0</v>
      </c>
      <c r="O1127" s="19">
        <f>N(O1126)+$N1127</f>
        <v>637</v>
      </c>
      <c r="S1127" s="20">
        <f>IFERROR(IF([1]对账明细接口!$N1127=0,"",[1]对账明细接口!$N1127),"")</f>
      </c>
      <c r="T1127" s="212">
        <f>IFERROR(IF([1]对账明细接口!$O1127=0,"",[1]对账明细接口!$O1127),"")</f>
      </c>
      <c r="U1127" s="212">
        <f>IFERROR(IF([1]对账明细接口!$P1127=0,"",[1]对账明细接口!$P1127),"")</f>
      </c>
      <c r="V1127" s="212">
        <f>IFERROR(IF([1]对账明细接口!$Q1127=0,"",[1]对账明细接口!$Q1127),"")</f>
      </c>
      <c r="W1127" s="20">
        <f>IFERROR(IF([1]对账明细接口!$R1127=0,"",[1]对账明细接口!$R1127),"")</f>
      </c>
      <c r="X1127" s="20">
        <f>IFERROR(IF([1]对账明细接口!$S1127=0,"",[1]对账明细接口!$S1127),"")</f>
      </c>
      <c r="Y1127" s="20">
        <f>IFERROR(IF([1]对账明细接口!$T1127=0,"",[1]对账明细接口!$T1127),"")</f>
      </c>
      <c r="Z1127" s="213">
        <f>IFERROR(IF([1]对账明细接口!$U1127=0,"",[1]对账明细接口!$U1127),"")</f>
      </c>
      <c r="AA1127" s="213">
        <f>IFERROR(IF([1]对账明细接口!$V1127=0,"",[1]对账明细接口!$V1127),"")</f>
      </c>
      <c r="AB1127" s="20">
        <f>IFERROR(IF([1]对账明细接口!$W1127=0,"",[1]对账明细接口!$W1127),"")</f>
      </c>
      <c r="AC1127" s="7">
        <f>IFERROR(IF([1]对账明细接口!$X1127=0,"",[1]对账明细接口!$X1127),"")</f>
      </c>
      <c r="AD1127" s="7">
        <f>IFERROR(IF([1]对账明细接口!$Y1127=0,"",[1]对账明细接口!$Y1127),"")</f>
      </c>
      <c r="AE1127" s="7">
        <f>IFERROR(IF([1]对账明细接口!$AA1127=0,"",[1]对账明细接口!$AA1127),"")</f>
      </c>
      <c r="AF1127" s="7">
        <f>IFERROR(IF([1]对账明细接口!$AB1127=0,"",[1]对账明细接口!$AB1127),"")</f>
      </c>
      <c r="AG1127" s="7">
        <f>IFERROR(IF([1]对账明细接口!$AC1127=0,"",[1]对账明细接口!$AC1127),"")</f>
      </c>
      <c r="AH1127" s="7">
        <f>IFERROR(IF([1]对账明细接口!$AD1127=0,"",[1]对账明细接口!$AD1127),"")</f>
      </c>
      <c r="AI1127" s="7">
        <f>IFERROR(IF([1]对账明细接口!$AE1127=0,"",[1]对账明细接口!$AE1127),"")</f>
      </c>
      <c r="AJ1127" s="7">
        <f>IFERROR(IF([1]对账明细接口!$AF1127=0,"",[1]对账明细接口!$AF1127),"")</f>
      </c>
    </row>
    <row r="1128" ht="14.25" customHeight="1" s="127">
      <c r="A1128" s="14" t="n">
        <v>1128</v>
      </c>
      <c r="B1128" s="211">
        <f>IFERROR(IF([1]对账明细接口!$B$1128=0,"",[1]对账明细接口!$B$1128),"")</f>
      </c>
      <c r="C1128" s="16">
        <f>IFERROR(IF([1]对账明细接口!$C$1128=0,"",[1]对账明细接口!$C$1128),"")</f>
      </c>
      <c r="D1128" s="16">
        <f>IFERROR(IF([1]对账明细接口!$D$1128=0,"",[1]对账明细接口!$D$1128),"")</f>
      </c>
      <c r="E1128" s="16">
        <f>IFERROR(IF([1]对账明细接口!$E$1128=0,"",[1]对账明细接口!$E$1128),"")</f>
      </c>
      <c r="F1128" s="16">
        <f>IFERROR(IF([1]对账明细接口!$F$1128=0,"",[1]对账明细接口!$F$1128),"")</f>
      </c>
      <c r="G1128" s="16">
        <f>IFERROR(IF([1]对账明细接口!$G$1128=0,"",[1]对账明细接口!$G$1128),"")</f>
      </c>
      <c r="H1128" s="176">
        <f>IFERROR(IF([1]对账明细接口!$H$1128=0,"",[1]对账明细接口!$H$1128),"")</f>
      </c>
      <c r="I1128" s="16">
        <f>IFERROR(IF([1]对账明细接口!$I$1128=0,"",[1]对账明细接口!$I$1128),"")</f>
      </c>
      <c r="J1128" s="177">
        <f>IFERROR(IF([1]对账明细接口!$J$1128=0,"",[1]对账明细接口!$J$1128),"")</f>
      </c>
      <c r="K1128" s="177">
        <f>IFERROR(IF([1]对账明细接口!$K$1128=0,"",[1]对账明细接口!$K$1128),"")</f>
      </c>
      <c r="L1128" s="16">
        <f>IFERROR(IF([1]对账明细接口!$L$1128=0,"",[1]对账明细接口!$L$1128),"")</f>
      </c>
      <c r="M1128" s="16">
        <f>IFERROR(IF([1]对账明细接口!$M$1128=0,"",[1]对账明细接口!$M$1128),"")</f>
      </c>
      <c r="N1128" s="19">
        <f>IF($C1128="",0,1)</f>
        <v>0</v>
      </c>
      <c r="O1128" s="19">
        <f>N(O1127)+$N1128</f>
        <v>637</v>
      </c>
      <c r="S1128" s="20">
        <f>IFERROR(IF([1]对账明细接口!$N1128=0,"",[1]对账明细接口!$N1128),"")</f>
      </c>
      <c r="T1128" s="212">
        <f>IFERROR(IF([1]对账明细接口!$O1128=0,"",[1]对账明细接口!$O1128),"")</f>
      </c>
      <c r="U1128" s="212">
        <f>IFERROR(IF([1]对账明细接口!$P1128=0,"",[1]对账明细接口!$P1128),"")</f>
      </c>
      <c r="V1128" s="212">
        <f>IFERROR(IF([1]对账明细接口!$Q1128=0,"",[1]对账明细接口!$Q1128),"")</f>
      </c>
      <c r="W1128" s="20">
        <f>IFERROR(IF([1]对账明细接口!$R1128=0,"",[1]对账明细接口!$R1128),"")</f>
      </c>
      <c r="X1128" s="20">
        <f>IFERROR(IF([1]对账明细接口!$S1128=0,"",[1]对账明细接口!$S1128),"")</f>
      </c>
      <c r="Y1128" s="20">
        <f>IFERROR(IF([1]对账明细接口!$T1128=0,"",[1]对账明细接口!$T1128),"")</f>
      </c>
      <c r="Z1128" s="213">
        <f>IFERROR(IF([1]对账明细接口!$U1128=0,"",[1]对账明细接口!$U1128),"")</f>
      </c>
      <c r="AA1128" s="213">
        <f>IFERROR(IF([1]对账明细接口!$V1128=0,"",[1]对账明细接口!$V1128),"")</f>
      </c>
      <c r="AB1128" s="20">
        <f>IFERROR(IF([1]对账明细接口!$W1128=0,"",[1]对账明细接口!$W1128),"")</f>
      </c>
      <c r="AC1128" s="7">
        <f>IFERROR(IF([1]对账明细接口!$X1128=0,"",[1]对账明细接口!$X1128),"")</f>
      </c>
      <c r="AD1128" s="7">
        <f>IFERROR(IF([1]对账明细接口!$Y1128=0,"",[1]对账明细接口!$Y1128),"")</f>
      </c>
      <c r="AE1128" s="7">
        <f>IFERROR(IF([1]对账明细接口!$AA1128=0,"",[1]对账明细接口!$AA1128),"")</f>
      </c>
      <c r="AF1128" s="7">
        <f>IFERROR(IF([1]对账明细接口!$AB1128=0,"",[1]对账明细接口!$AB1128),"")</f>
      </c>
      <c r="AG1128" s="7">
        <f>IFERROR(IF([1]对账明细接口!$AC1128=0,"",[1]对账明细接口!$AC1128),"")</f>
      </c>
      <c r="AH1128" s="7">
        <f>IFERROR(IF([1]对账明细接口!$AD1128=0,"",[1]对账明细接口!$AD1128),"")</f>
      </c>
      <c r="AI1128" s="7">
        <f>IFERROR(IF([1]对账明细接口!$AE1128=0,"",[1]对账明细接口!$AE1128),"")</f>
      </c>
      <c r="AJ1128" s="7">
        <f>IFERROR(IF([1]对账明细接口!$AF1128=0,"",[1]对账明细接口!$AF1128),"")</f>
      </c>
    </row>
    <row r="1129" ht="14.25" customHeight="1" s="127">
      <c r="A1129" s="14" t="n">
        <v>1129</v>
      </c>
      <c r="B1129" s="211">
        <f>IFERROR(IF([1]对账明细接口!$B$1129=0,"",[1]对账明细接口!$B$1129),"")</f>
      </c>
      <c r="C1129" s="16">
        <f>IFERROR(IF([1]对账明细接口!$C$1129=0,"",[1]对账明细接口!$C$1129),"")</f>
      </c>
      <c r="D1129" s="16">
        <f>IFERROR(IF([1]对账明细接口!$D$1129=0,"",[1]对账明细接口!$D$1129),"")</f>
      </c>
      <c r="E1129" s="16">
        <f>IFERROR(IF([1]对账明细接口!$E$1129=0,"",[1]对账明细接口!$E$1129),"")</f>
      </c>
      <c r="F1129" s="16">
        <f>IFERROR(IF([1]对账明细接口!$F$1129=0,"",[1]对账明细接口!$F$1129),"")</f>
      </c>
      <c r="G1129" s="16">
        <f>IFERROR(IF([1]对账明细接口!$G$1129=0,"",[1]对账明细接口!$G$1129),"")</f>
      </c>
      <c r="H1129" s="176">
        <f>IFERROR(IF([1]对账明细接口!$H$1129=0,"",[1]对账明细接口!$H$1129),"")</f>
      </c>
      <c r="I1129" s="16">
        <f>IFERROR(IF([1]对账明细接口!$I$1129=0,"",[1]对账明细接口!$I$1129),"")</f>
      </c>
      <c r="J1129" s="177">
        <f>IFERROR(IF([1]对账明细接口!$J$1129=0,"",[1]对账明细接口!$J$1129),"")</f>
      </c>
      <c r="K1129" s="177">
        <f>IFERROR(IF([1]对账明细接口!$K$1129=0,"",[1]对账明细接口!$K$1129),"")</f>
      </c>
      <c r="L1129" s="16">
        <f>IFERROR(IF([1]对账明细接口!$L$1129=0,"",[1]对账明细接口!$L$1129),"")</f>
      </c>
      <c r="M1129" s="16">
        <f>IFERROR(IF([1]对账明细接口!$M$1129=0,"",[1]对账明细接口!$M$1129),"")</f>
      </c>
      <c r="N1129" s="19">
        <f>IF($C1129="",0,1)</f>
        <v>0</v>
      </c>
      <c r="O1129" s="19">
        <f>N(O1128)+$N1129</f>
        <v>637</v>
      </c>
      <c r="S1129" s="20">
        <f>IFERROR(IF([1]对账明细接口!$N1129=0,"",[1]对账明细接口!$N1129),"")</f>
      </c>
      <c r="T1129" s="212">
        <f>IFERROR(IF([1]对账明细接口!$O1129=0,"",[1]对账明细接口!$O1129),"")</f>
      </c>
      <c r="U1129" s="212">
        <f>IFERROR(IF([1]对账明细接口!$P1129=0,"",[1]对账明细接口!$P1129),"")</f>
      </c>
      <c r="V1129" s="212">
        <f>IFERROR(IF([1]对账明细接口!$Q1129=0,"",[1]对账明细接口!$Q1129),"")</f>
      </c>
      <c r="W1129" s="20">
        <f>IFERROR(IF([1]对账明细接口!$R1129=0,"",[1]对账明细接口!$R1129),"")</f>
      </c>
      <c r="X1129" s="20">
        <f>IFERROR(IF([1]对账明细接口!$S1129=0,"",[1]对账明细接口!$S1129),"")</f>
      </c>
      <c r="Y1129" s="20">
        <f>IFERROR(IF([1]对账明细接口!$T1129=0,"",[1]对账明细接口!$T1129),"")</f>
      </c>
      <c r="Z1129" s="213">
        <f>IFERROR(IF([1]对账明细接口!$U1129=0,"",[1]对账明细接口!$U1129),"")</f>
      </c>
      <c r="AA1129" s="213">
        <f>IFERROR(IF([1]对账明细接口!$V1129=0,"",[1]对账明细接口!$V1129),"")</f>
      </c>
      <c r="AB1129" s="20">
        <f>IFERROR(IF([1]对账明细接口!$W1129=0,"",[1]对账明细接口!$W1129),"")</f>
      </c>
      <c r="AC1129" s="7">
        <f>IFERROR(IF([1]对账明细接口!$X1129=0,"",[1]对账明细接口!$X1129),"")</f>
      </c>
      <c r="AD1129" s="7">
        <f>IFERROR(IF([1]对账明细接口!$Y1129=0,"",[1]对账明细接口!$Y1129),"")</f>
      </c>
      <c r="AE1129" s="7">
        <f>IFERROR(IF([1]对账明细接口!$AA1129=0,"",[1]对账明细接口!$AA1129),"")</f>
      </c>
      <c r="AF1129" s="7">
        <f>IFERROR(IF([1]对账明细接口!$AB1129=0,"",[1]对账明细接口!$AB1129),"")</f>
      </c>
      <c r="AG1129" s="7">
        <f>IFERROR(IF([1]对账明细接口!$AC1129=0,"",[1]对账明细接口!$AC1129),"")</f>
      </c>
      <c r="AH1129" s="7">
        <f>IFERROR(IF([1]对账明细接口!$AD1129=0,"",[1]对账明细接口!$AD1129),"")</f>
      </c>
      <c r="AI1129" s="7">
        <f>IFERROR(IF([1]对账明细接口!$AE1129=0,"",[1]对账明细接口!$AE1129),"")</f>
      </c>
      <c r="AJ1129" s="7">
        <f>IFERROR(IF([1]对账明细接口!$AF1129=0,"",[1]对账明细接口!$AF1129),"")</f>
      </c>
    </row>
    <row r="1130" ht="14.25" customHeight="1" s="127">
      <c r="A1130" s="14" t="n">
        <v>1130</v>
      </c>
      <c r="B1130" s="211">
        <f>IFERROR(IF([1]对账明细接口!$B$1130=0,"",[1]对账明细接口!$B$1130),"")</f>
      </c>
      <c r="C1130" s="16">
        <f>IFERROR(IF([1]对账明细接口!$C$1130=0,"",[1]对账明细接口!$C$1130),"")</f>
      </c>
      <c r="D1130" s="16">
        <f>IFERROR(IF([1]对账明细接口!$D$1130=0,"",[1]对账明细接口!$D$1130),"")</f>
      </c>
      <c r="E1130" s="16">
        <f>IFERROR(IF([1]对账明细接口!$E$1130=0,"",[1]对账明细接口!$E$1130),"")</f>
      </c>
      <c r="F1130" s="16">
        <f>IFERROR(IF([1]对账明细接口!$F$1130=0,"",[1]对账明细接口!$F$1130),"")</f>
      </c>
      <c r="G1130" s="16">
        <f>IFERROR(IF([1]对账明细接口!$G$1130=0,"",[1]对账明细接口!$G$1130),"")</f>
      </c>
      <c r="H1130" s="176">
        <f>IFERROR(IF([1]对账明细接口!$H$1130=0,"",[1]对账明细接口!$H$1130),"")</f>
      </c>
      <c r="I1130" s="16">
        <f>IFERROR(IF([1]对账明细接口!$I$1130=0,"",[1]对账明细接口!$I$1130),"")</f>
      </c>
      <c r="J1130" s="177">
        <f>IFERROR(IF([1]对账明细接口!$J$1130=0,"",[1]对账明细接口!$J$1130),"")</f>
      </c>
      <c r="K1130" s="177">
        <f>IFERROR(IF([1]对账明细接口!$K$1130=0,"",[1]对账明细接口!$K$1130),"")</f>
      </c>
      <c r="L1130" s="16">
        <f>IFERROR(IF([1]对账明细接口!$L$1130=0,"",[1]对账明细接口!$L$1130),"")</f>
      </c>
      <c r="M1130" s="16">
        <f>IFERROR(IF([1]对账明细接口!$M$1130=0,"",[1]对账明细接口!$M$1130),"")</f>
      </c>
      <c r="N1130" s="19">
        <f>IF($C1130="",0,1)</f>
        <v>0</v>
      </c>
      <c r="O1130" s="19">
        <f>N(O1129)+$N1130</f>
        <v>637</v>
      </c>
      <c r="S1130" s="20">
        <f>IFERROR(IF([1]对账明细接口!$N1130=0,"",[1]对账明细接口!$N1130),"")</f>
      </c>
      <c r="T1130" s="212">
        <f>IFERROR(IF([1]对账明细接口!$O1130=0,"",[1]对账明细接口!$O1130),"")</f>
      </c>
      <c r="U1130" s="212">
        <f>IFERROR(IF([1]对账明细接口!$P1130=0,"",[1]对账明细接口!$P1130),"")</f>
      </c>
      <c r="V1130" s="212">
        <f>IFERROR(IF([1]对账明细接口!$Q1130=0,"",[1]对账明细接口!$Q1130),"")</f>
      </c>
      <c r="W1130" s="20">
        <f>IFERROR(IF([1]对账明细接口!$R1130=0,"",[1]对账明细接口!$R1130),"")</f>
      </c>
      <c r="X1130" s="20">
        <f>IFERROR(IF([1]对账明细接口!$S1130=0,"",[1]对账明细接口!$S1130),"")</f>
      </c>
      <c r="Y1130" s="20">
        <f>IFERROR(IF([1]对账明细接口!$T1130=0,"",[1]对账明细接口!$T1130),"")</f>
      </c>
      <c r="Z1130" s="213">
        <f>IFERROR(IF([1]对账明细接口!$U1130=0,"",[1]对账明细接口!$U1130),"")</f>
      </c>
      <c r="AA1130" s="213">
        <f>IFERROR(IF([1]对账明细接口!$V1130=0,"",[1]对账明细接口!$V1130),"")</f>
      </c>
      <c r="AB1130" s="20">
        <f>IFERROR(IF([1]对账明细接口!$W1130=0,"",[1]对账明细接口!$W1130),"")</f>
      </c>
      <c r="AC1130" s="7">
        <f>IFERROR(IF([1]对账明细接口!$X1130=0,"",[1]对账明细接口!$X1130),"")</f>
      </c>
      <c r="AD1130" s="7">
        <f>IFERROR(IF([1]对账明细接口!$Y1130=0,"",[1]对账明细接口!$Y1130),"")</f>
      </c>
      <c r="AE1130" s="7">
        <f>IFERROR(IF([1]对账明细接口!$AA1130=0,"",[1]对账明细接口!$AA1130),"")</f>
      </c>
      <c r="AF1130" s="7">
        <f>IFERROR(IF([1]对账明细接口!$AB1130=0,"",[1]对账明细接口!$AB1130),"")</f>
      </c>
      <c r="AG1130" s="7">
        <f>IFERROR(IF([1]对账明细接口!$AC1130=0,"",[1]对账明细接口!$AC1130),"")</f>
      </c>
      <c r="AH1130" s="7">
        <f>IFERROR(IF([1]对账明细接口!$AD1130=0,"",[1]对账明细接口!$AD1130),"")</f>
      </c>
      <c r="AI1130" s="7">
        <f>IFERROR(IF([1]对账明细接口!$AE1130=0,"",[1]对账明细接口!$AE1130),"")</f>
      </c>
      <c r="AJ1130" s="7">
        <f>IFERROR(IF([1]对账明细接口!$AF1130=0,"",[1]对账明细接口!$AF1130),"")</f>
      </c>
    </row>
    <row r="1131" ht="14.25" customHeight="1" s="127">
      <c r="A1131" s="14" t="n">
        <v>1131</v>
      </c>
      <c r="B1131" s="211">
        <f>IFERROR(IF([1]对账明细接口!$B$1131=0,"",[1]对账明细接口!$B$1131),"")</f>
      </c>
      <c r="C1131" s="16">
        <f>IFERROR(IF([1]对账明细接口!$C$1131=0,"",[1]对账明细接口!$C$1131),"")</f>
      </c>
      <c r="D1131" s="16">
        <f>IFERROR(IF([1]对账明细接口!$D$1131=0,"",[1]对账明细接口!$D$1131),"")</f>
      </c>
      <c r="E1131" s="16">
        <f>IFERROR(IF([1]对账明细接口!$E$1131=0,"",[1]对账明细接口!$E$1131),"")</f>
      </c>
      <c r="F1131" s="16">
        <f>IFERROR(IF([1]对账明细接口!$F$1131=0,"",[1]对账明细接口!$F$1131),"")</f>
      </c>
      <c r="G1131" s="16">
        <f>IFERROR(IF([1]对账明细接口!$G$1131=0,"",[1]对账明细接口!$G$1131),"")</f>
      </c>
      <c r="H1131" s="176">
        <f>IFERROR(IF([1]对账明细接口!$H$1131=0,"",[1]对账明细接口!$H$1131),"")</f>
      </c>
      <c r="I1131" s="16">
        <f>IFERROR(IF([1]对账明细接口!$I$1131=0,"",[1]对账明细接口!$I$1131),"")</f>
      </c>
      <c r="J1131" s="177">
        <f>IFERROR(IF([1]对账明细接口!$J$1131=0,"",[1]对账明细接口!$J$1131),"")</f>
      </c>
      <c r="K1131" s="177">
        <f>IFERROR(IF([1]对账明细接口!$K$1131=0,"",[1]对账明细接口!$K$1131),"")</f>
      </c>
      <c r="L1131" s="16">
        <f>IFERROR(IF([1]对账明细接口!$L$1131=0,"",[1]对账明细接口!$L$1131),"")</f>
      </c>
      <c r="M1131" s="16">
        <f>IFERROR(IF([1]对账明细接口!$M$1131=0,"",[1]对账明细接口!$M$1131),"")</f>
      </c>
      <c r="N1131" s="19">
        <f>IF($C1131="",0,1)</f>
        <v>0</v>
      </c>
      <c r="O1131" s="19">
        <f>N(O1130)+$N1131</f>
        <v>637</v>
      </c>
      <c r="S1131" s="20">
        <f>IFERROR(IF([1]对账明细接口!$N1131=0,"",[1]对账明细接口!$N1131),"")</f>
      </c>
      <c r="T1131" s="212">
        <f>IFERROR(IF([1]对账明细接口!$O1131=0,"",[1]对账明细接口!$O1131),"")</f>
      </c>
      <c r="U1131" s="212">
        <f>IFERROR(IF([1]对账明细接口!$P1131=0,"",[1]对账明细接口!$P1131),"")</f>
      </c>
      <c r="V1131" s="212">
        <f>IFERROR(IF([1]对账明细接口!$Q1131=0,"",[1]对账明细接口!$Q1131),"")</f>
      </c>
      <c r="W1131" s="20">
        <f>IFERROR(IF([1]对账明细接口!$R1131=0,"",[1]对账明细接口!$R1131),"")</f>
      </c>
      <c r="X1131" s="20">
        <f>IFERROR(IF([1]对账明细接口!$S1131=0,"",[1]对账明细接口!$S1131),"")</f>
      </c>
      <c r="Y1131" s="20">
        <f>IFERROR(IF([1]对账明细接口!$T1131=0,"",[1]对账明细接口!$T1131),"")</f>
      </c>
      <c r="Z1131" s="213">
        <f>IFERROR(IF([1]对账明细接口!$U1131=0,"",[1]对账明细接口!$U1131),"")</f>
      </c>
      <c r="AA1131" s="213">
        <f>IFERROR(IF([1]对账明细接口!$V1131=0,"",[1]对账明细接口!$V1131),"")</f>
      </c>
      <c r="AB1131" s="20">
        <f>IFERROR(IF([1]对账明细接口!$W1131=0,"",[1]对账明细接口!$W1131),"")</f>
      </c>
      <c r="AC1131" s="7">
        <f>IFERROR(IF([1]对账明细接口!$X1131=0,"",[1]对账明细接口!$X1131),"")</f>
      </c>
      <c r="AD1131" s="7">
        <f>IFERROR(IF([1]对账明细接口!$Y1131=0,"",[1]对账明细接口!$Y1131),"")</f>
      </c>
      <c r="AE1131" s="7">
        <f>IFERROR(IF([1]对账明细接口!$AA1131=0,"",[1]对账明细接口!$AA1131),"")</f>
      </c>
      <c r="AF1131" s="7">
        <f>IFERROR(IF([1]对账明细接口!$AB1131=0,"",[1]对账明细接口!$AB1131),"")</f>
      </c>
      <c r="AG1131" s="7">
        <f>IFERROR(IF([1]对账明细接口!$AC1131=0,"",[1]对账明细接口!$AC1131),"")</f>
      </c>
      <c r="AH1131" s="7">
        <f>IFERROR(IF([1]对账明细接口!$AD1131=0,"",[1]对账明细接口!$AD1131),"")</f>
      </c>
      <c r="AI1131" s="7">
        <f>IFERROR(IF([1]对账明细接口!$AE1131=0,"",[1]对账明细接口!$AE1131),"")</f>
      </c>
      <c r="AJ1131" s="7">
        <f>IFERROR(IF([1]对账明细接口!$AF1131=0,"",[1]对账明细接口!$AF1131),"")</f>
      </c>
    </row>
    <row r="1132" ht="14.25" customHeight="1" s="127">
      <c r="A1132" s="14" t="n">
        <v>1132</v>
      </c>
      <c r="B1132" s="211">
        <f>IFERROR(IF([1]对账明细接口!$B$1132=0,"",[1]对账明细接口!$B$1132),"")</f>
      </c>
      <c r="C1132" s="16">
        <f>IFERROR(IF([1]对账明细接口!$C$1132=0,"",[1]对账明细接口!$C$1132),"")</f>
      </c>
      <c r="D1132" s="16">
        <f>IFERROR(IF([1]对账明细接口!$D$1132=0,"",[1]对账明细接口!$D$1132),"")</f>
      </c>
      <c r="E1132" s="16">
        <f>IFERROR(IF([1]对账明细接口!$E$1132=0,"",[1]对账明细接口!$E$1132),"")</f>
      </c>
      <c r="F1132" s="16">
        <f>IFERROR(IF([1]对账明细接口!$F$1132=0,"",[1]对账明细接口!$F$1132),"")</f>
      </c>
      <c r="G1132" s="16">
        <f>IFERROR(IF([1]对账明细接口!$G$1132=0,"",[1]对账明细接口!$G$1132),"")</f>
      </c>
      <c r="H1132" s="176">
        <f>IFERROR(IF([1]对账明细接口!$H$1132=0,"",[1]对账明细接口!$H$1132),"")</f>
      </c>
      <c r="I1132" s="16">
        <f>IFERROR(IF([1]对账明细接口!$I$1132=0,"",[1]对账明细接口!$I$1132),"")</f>
      </c>
      <c r="J1132" s="177">
        <f>IFERROR(IF([1]对账明细接口!$J$1132=0,"",[1]对账明细接口!$J$1132),"")</f>
      </c>
      <c r="K1132" s="177">
        <f>IFERROR(IF([1]对账明细接口!$K$1132=0,"",[1]对账明细接口!$K$1132),"")</f>
      </c>
      <c r="L1132" s="16">
        <f>IFERROR(IF([1]对账明细接口!$L$1132=0,"",[1]对账明细接口!$L$1132),"")</f>
      </c>
      <c r="M1132" s="16">
        <f>IFERROR(IF([1]对账明细接口!$M$1132=0,"",[1]对账明细接口!$M$1132),"")</f>
      </c>
      <c r="N1132" s="19">
        <f>IF($C1132="",0,1)</f>
        <v>0</v>
      </c>
      <c r="O1132" s="19">
        <f>N(O1131)+$N1132</f>
        <v>637</v>
      </c>
      <c r="S1132" s="20">
        <f>IFERROR(IF([1]对账明细接口!$N1132=0,"",[1]对账明细接口!$N1132),"")</f>
      </c>
      <c r="T1132" s="212">
        <f>IFERROR(IF([1]对账明细接口!$O1132=0,"",[1]对账明细接口!$O1132),"")</f>
      </c>
      <c r="U1132" s="212">
        <f>IFERROR(IF([1]对账明细接口!$P1132=0,"",[1]对账明细接口!$P1132),"")</f>
      </c>
      <c r="V1132" s="212">
        <f>IFERROR(IF([1]对账明细接口!$Q1132=0,"",[1]对账明细接口!$Q1132),"")</f>
      </c>
      <c r="W1132" s="20">
        <f>IFERROR(IF([1]对账明细接口!$R1132=0,"",[1]对账明细接口!$R1132),"")</f>
      </c>
      <c r="X1132" s="20">
        <f>IFERROR(IF([1]对账明细接口!$S1132=0,"",[1]对账明细接口!$S1132),"")</f>
      </c>
      <c r="Y1132" s="20">
        <f>IFERROR(IF([1]对账明细接口!$T1132=0,"",[1]对账明细接口!$T1132),"")</f>
      </c>
      <c r="Z1132" s="213">
        <f>IFERROR(IF([1]对账明细接口!$U1132=0,"",[1]对账明细接口!$U1132),"")</f>
      </c>
      <c r="AA1132" s="213">
        <f>IFERROR(IF([1]对账明细接口!$V1132=0,"",[1]对账明细接口!$V1132),"")</f>
      </c>
      <c r="AB1132" s="20">
        <f>IFERROR(IF([1]对账明细接口!$W1132=0,"",[1]对账明细接口!$W1132),"")</f>
      </c>
      <c r="AC1132" s="7">
        <f>IFERROR(IF([1]对账明细接口!$X1132=0,"",[1]对账明细接口!$X1132),"")</f>
      </c>
      <c r="AD1132" s="7">
        <f>IFERROR(IF([1]对账明细接口!$Y1132=0,"",[1]对账明细接口!$Y1132),"")</f>
      </c>
      <c r="AE1132" s="7">
        <f>IFERROR(IF([1]对账明细接口!$AA1132=0,"",[1]对账明细接口!$AA1132),"")</f>
      </c>
      <c r="AF1132" s="7">
        <f>IFERROR(IF([1]对账明细接口!$AB1132=0,"",[1]对账明细接口!$AB1132),"")</f>
      </c>
      <c r="AG1132" s="7">
        <f>IFERROR(IF([1]对账明细接口!$AC1132=0,"",[1]对账明细接口!$AC1132),"")</f>
      </c>
      <c r="AH1132" s="7">
        <f>IFERROR(IF([1]对账明细接口!$AD1132=0,"",[1]对账明细接口!$AD1132),"")</f>
      </c>
      <c r="AI1132" s="7">
        <f>IFERROR(IF([1]对账明细接口!$AE1132=0,"",[1]对账明细接口!$AE1132),"")</f>
      </c>
      <c r="AJ1132" s="7">
        <f>IFERROR(IF([1]对账明细接口!$AF1132=0,"",[1]对账明细接口!$AF1132),"")</f>
      </c>
    </row>
    <row r="1133" ht="14.25" customHeight="1" s="127">
      <c r="A1133" s="14" t="n">
        <v>1133</v>
      </c>
      <c r="B1133" s="211">
        <f>IFERROR(IF([1]对账明细接口!$B$1133=0,"",[1]对账明细接口!$B$1133),"")</f>
      </c>
      <c r="C1133" s="16">
        <f>IFERROR(IF([1]对账明细接口!$C$1133=0,"",[1]对账明细接口!$C$1133),"")</f>
      </c>
      <c r="D1133" s="16">
        <f>IFERROR(IF([1]对账明细接口!$D$1133=0,"",[1]对账明细接口!$D$1133),"")</f>
      </c>
      <c r="E1133" s="16">
        <f>IFERROR(IF([1]对账明细接口!$E$1133=0,"",[1]对账明细接口!$E$1133),"")</f>
      </c>
      <c r="F1133" s="16">
        <f>IFERROR(IF([1]对账明细接口!$F$1133=0,"",[1]对账明细接口!$F$1133),"")</f>
      </c>
      <c r="G1133" s="16">
        <f>IFERROR(IF([1]对账明细接口!$G$1133=0,"",[1]对账明细接口!$G$1133),"")</f>
      </c>
      <c r="H1133" s="176">
        <f>IFERROR(IF([1]对账明细接口!$H$1133=0,"",[1]对账明细接口!$H$1133),"")</f>
      </c>
      <c r="I1133" s="16">
        <f>IFERROR(IF([1]对账明细接口!$I$1133=0,"",[1]对账明细接口!$I$1133),"")</f>
      </c>
      <c r="J1133" s="177">
        <f>IFERROR(IF([1]对账明细接口!$J$1133=0,"",[1]对账明细接口!$J$1133),"")</f>
      </c>
      <c r="K1133" s="177">
        <f>IFERROR(IF([1]对账明细接口!$K$1133=0,"",[1]对账明细接口!$K$1133),"")</f>
      </c>
      <c r="L1133" s="16">
        <f>IFERROR(IF([1]对账明细接口!$L$1133=0,"",[1]对账明细接口!$L$1133),"")</f>
      </c>
      <c r="M1133" s="16">
        <f>IFERROR(IF([1]对账明细接口!$M$1133=0,"",[1]对账明细接口!$M$1133),"")</f>
      </c>
      <c r="N1133" s="19">
        <f>IF($C1133="",0,1)</f>
        <v>0</v>
      </c>
      <c r="O1133" s="19">
        <f>N(O1132)+$N1133</f>
        <v>637</v>
      </c>
      <c r="S1133" s="20">
        <f>IFERROR(IF([1]对账明细接口!$N1133=0,"",[1]对账明细接口!$N1133),"")</f>
      </c>
      <c r="T1133" s="212">
        <f>IFERROR(IF([1]对账明细接口!$O1133=0,"",[1]对账明细接口!$O1133),"")</f>
      </c>
      <c r="U1133" s="212">
        <f>IFERROR(IF([1]对账明细接口!$P1133=0,"",[1]对账明细接口!$P1133),"")</f>
      </c>
      <c r="V1133" s="212">
        <f>IFERROR(IF([1]对账明细接口!$Q1133=0,"",[1]对账明细接口!$Q1133),"")</f>
      </c>
      <c r="W1133" s="20">
        <f>IFERROR(IF([1]对账明细接口!$R1133=0,"",[1]对账明细接口!$R1133),"")</f>
      </c>
      <c r="X1133" s="20">
        <f>IFERROR(IF([1]对账明细接口!$S1133=0,"",[1]对账明细接口!$S1133),"")</f>
      </c>
      <c r="Y1133" s="20">
        <f>IFERROR(IF([1]对账明细接口!$T1133=0,"",[1]对账明细接口!$T1133),"")</f>
      </c>
      <c r="Z1133" s="213">
        <f>IFERROR(IF([1]对账明细接口!$U1133=0,"",[1]对账明细接口!$U1133),"")</f>
      </c>
      <c r="AA1133" s="213">
        <f>IFERROR(IF([1]对账明细接口!$V1133=0,"",[1]对账明细接口!$V1133),"")</f>
      </c>
      <c r="AB1133" s="20">
        <f>IFERROR(IF([1]对账明细接口!$W1133=0,"",[1]对账明细接口!$W1133),"")</f>
      </c>
      <c r="AC1133" s="7">
        <f>IFERROR(IF([1]对账明细接口!$X1133=0,"",[1]对账明细接口!$X1133),"")</f>
      </c>
      <c r="AD1133" s="7">
        <f>IFERROR(IF([1]对账明细接口!$Y1133=0,"",[1]对账明细接口!$Y1133),"")</f>
      </c>
      <c r="AE1133" s="7">
        <f>IFERROR(IF([1]对账明细接口!$AA1133=0,"",[1]对账明细接口!$AA1133),"")</f>
      </c>
      <c r="AF1133" s="7">
        <f>IFERROR(IF([1]对账明细接口!$AB1133=0,"",[1]对账明细接口!$AB1133),"")</f>
      </c>
      <c r="AG1133" s="7">
        <f>IFERROR(IF([1]对账明细接口!$AC1133=0,"",[1]对账明细接口!$AC1133),"")</f>
      </c>
      <c r="AH1133" s="7">
        <f>IFERROR(IF([1]对账明细接口!$AD1133=0,"",[1]对账明细接口!$AD1133),"")</f>
      </c>
      <c r="AI1133" s="7">
        <f>IFERROR(IF([1]对账明细接口!$AE1133=0,"",[1]对账明细接口!$AE1133),"")</f>
      </c>
      <c r="AJ1133" s="7">
        <f>IFERROR(IF([1]对账明细接口!$AF1133=0,"",[1]对账明细接口!$AF1133),"")</f>
      </c>
    </row>
    <row r="1134" ht="14.25" customHeight="1" s="127">
      <c r="A1134" s="14" t="n">
        <v>1134</v>
      </c>
      <c r="B1134" s="211">
        <f>IFERROR(IF([1]对账明细接口!$B$1134=0,"",[1]对账明细接口!$B$1134),"")</f>
      </c>
      <c r="C1134" s="16">
        <f>IFERROR(IF([1]对账明细接口!$C$1134=0,"",[1]对账明细接口!$C$1134),"")</f>
      </c>
      <c r="D1134" s="16">
        <f>IFERROR(IF([1]对账明细接口!$D$1134=0,"",[1]对账明细接口!$D$1134),"")</f>
      </c>
      <c r="E1134" s="16">
        <f>IFERROR(IF([1]对账明细接口!$E$1134=0,"",[1]对账明细接口!$E$1134),"")</f>
      </c>
      <c r="F1134" s="16">
        <f>IFERROR(IF([1]对账明细接口!$F$1134=0,"",[1]对账明细接口!$F$1134),"")</f>
      </c>
      <c r="G1134" s="16">
        <f>IFERROR(IF([1]对账明细接口!$G$1134=0,"",[1]对账明细接口!$G$1134),"")</f>
      </c>
      <c r="H1134" s="176">
        <f>IFERROR(IF([1]对账明细接口!$H$1134=0,"",[1]对账明细接口!$H$1134),"")</f>
      </c>
      <c r="I1134" s="16">
        <f>IFERROR(IF([1]对账明细接口!$I$1134=0,"",[1]对账明细接口!$I$1134),"")</f>
      </c>
      <c r="J1134" s="177">
        <f>IFERROR(IF([1]对账明细接口!$J$1134=0,"",[1]对账明细接口!$J$1134),"")</f>
      </c>
      <c r="K1134" s="177">
        <f>IFERROR(IF([1]对账明细接口!$K$1134=0,"",[1]对账明细接口!$K$1134),"")</f>
      </c>
      <c r="L1134" s="16">
        <f>IFERROR(IF([1]对账明细接口!$L$1134=0,"",[1]对账明细接口!$L$1134),"")</f>
      </c>
      <c r="M1134" s="16">
        <f>IFERROR(IF([1]对账明细接口!$M$1134=0,"",[1]对账明细接口!$M$1134),"")</f>
      </c>
      <c r="N1134" s="19">
        <f>IF($C1134="",0,1)</f>
        <v>0</v>
      </c>
      <c r="O1134" s="19">
        <f>N(O1133)+$N1134</f>
        <v>637</v>
      </c>
      <c r="S1134" s="20">
        <f>IFERROR(IF([1]对账明细接口!$N1134=0,"",[1]对账明细接口!$N1134),"")</f>
      </c>
      <c r="T1134" s="212">
        <f>IFERROR(IF([1]对账明细接口!$O1134=0,"",[1]对账明细接口!$O1134),"")</f>
      </c>
      <c r="U1134" s="212">
        <f>IFERROR(IF([1]对账明细接口!$P1134=0,"",[1]对账明细接口!$P1134),"")</f>
      </c>
      <c r="V1134" s="212">
        <f>IFERROR(IF([1]对账明细接口!$Q1134=0,"",[1]对账明细接口!$Q1134),"")</f>
      </c>
      <c r="W1134" s="20">
        <f>IFERROR(IF([1]对账明细接口!$R1134=0,"",[1]对账明细接口!$R1134),"")</f>
      </c>
      <c r="X1134" s="20">
        <f>IFERROR(IF([1]对账明细接口!$S1134=0,"",[1]对账明细接口!$S1134),"")</f>
      </c>
      <c r="Y1134" s="20">
        <f>IFERROR(IF([1]对账明细接口!$T1134=0,"",[1]对账明细接口!$T1134),"")</f>
      </c>
      <c r="Z1134" s="213">
        <f>IFERROR(IF([1]对账明细接口!$U1134=0,"",[1]对账明细接口!$U1134),"")</f>
      </c>
      <c r="AA1134" s="213">
        <f>IFERROR(IF([1]对账明细接口!$V1134=0,"",[1]对账明细接口!$V1134),"")</f>
      </c>
      <c r="AB1134" s="20">
        <f>IFERROR(IF([1]对账明细接口!$W1134=0,"",[1]对账明细接口!$W1134),"")</f>
      </c>
      <c r="AC1134" s="7">
        <f>IFERROR(IF([1]对账明细接口!$X1134=0,"",[1]对账明细接口!$X1134),"")</f>
      </c>
      <c r="AD1134" s="7">
        <f>IFERROR(IF([1]对账明细接口!$Y1134=0,"",[1]对账明细接口!$Y1134),"")</f>
      </c>
      <c r="AE1134" s="7">
        <f>IFERROR(IF([1]对账明细接口!$AA1134=0,"",[1]对账明细接口!$AA1134),"")</f>
      </c>
      <c r="AF1134" s="7">
        <f>IFERROR(IF([1]对账明细接口!$AB1134=0,"",[1]对账明细接口!$AB1134),"")</f>
      </c>
      <c r="AG1134" s="7">
        <f>IFERROR(IF([1]对账明细接口!$AC1134=0,"",[1]对账明细接口!$AC1134),"")</f>
      </c>
      <c r="AH1134" s="7">
        <f>IFERROR(IF([1]对账明细接口!$AD1134=0,"",[1]对账明细接口!$AD1134),"")</f>
      </c>
      <c r="AI1134" s="7">
        <f>IFERROR(IF([1]对账明细接口!$AE1134=0,"",[1]对账明细接口!$AE1134),"")</f>
      </c>
      <c r="AJ1134" s="7">
        <f>IFERROR(IF([1]对账明细接口!$AF1134=0,"",[1]对账明细接口!$AF1134),"")</f>
      </c>
    </row>
    <row r="1135" ht="14.25" customHeight="1" s="127">
      <c r="A1135" s="14" t="n">
        <v>1135</v>
      </c>
      <c r="B1135" s="211">
        <f>IFERROR(IF([1]对账明细接口!$B$1135=0,"",[1]对账明细接口!$B$1135),"")</f>
      </c>
      <c r="C1135" s="16">
        <f>IFERROR(IF([1]对账明细接口!$C$1135=0,"",[1]对账明细接口!$C$1135),"")</f>
      </c>
      <c r="D1135" s="16">
        <f>IFERROR(IF([1]对账明细接口!$D$1135=0,"",[1]对账明细接口!$D$1135),"")</f>
      </c>
      <c r="E1135" s="16">
        <f>IFERROR(IF([1]对账明细接口!$E$1135=0,"",[1]对账明细接口!$E$1135),"")</f>
      </c>
      <c r="F1135" s="16">
        <f>IFERROR(IF([1]对账明细接口!$F$1135=0,"",[1]对账明细接口!$F$1135),"")</f>
      </c>
      <c r="G1135" s="16">
        <f>IFERROR(IF([1]对账明细接口!$G$1135=0,"",[1]对账明细接口!$G$1135),"")</f>
      </c>
      <c r="H1135" s="176">
        <f>IFERROR(IF([1]对账明细接口!$H$1135=0,"",[1]对账明细接口!$H$1135),"")</f>
      </c>
      <c r="I1135" s="16">
        <f>IFERROR(IF([1]对账明细接口!$I$1135=0,"",[1]对账明细接口!$I$1135),"")</f>
      </c>
      <c r="J1135" s="177">
        <f>IFERROR(IF([1]对账明细接口!$J$1135=0,"",[1]对账明细接口!$J$1135),"")</f>
      </c>
      <c r="K1135" s="177">
        <f>IFERROR(IF([1]对账明细接口!$K$1135=0,"",[1]对账明细接口!$K$1135),"")</f>
      </c>
      <c r="L1135" s="16">
        <f>IFERROR(IF([1]对账明细接口!$L$1135=0,"",[1]对账明细接口!$L$1135),"")</f>
      </c>
      <c r="M1135" s="16">
        <f>IFERROR(IF([1]对账明细接口!$M$1135=0,"",[1]对账明细接口!$M$1135),"")</f>
      </c>
      <c r="N1135" s="19">
        <f>IF($C1135="",0,1)</f>
        <v>0</v>
      </c>
      <c r="O1135" s="19">
        <f>N(O1134)+$N1135</f>
        <v>637</v>
      </c>
      <c r="S1135" s="20">
        <f>IFERROR(IF([1]对账明细接口!$N1135=0,"",[1]对账明细接口!$N1135),"")</f>
      </c>
      <c r="T1135" s="212">
        <f>IFERROR(IF([1]对账明细接口!$O1135=0,"",[1]对账明细接口!$O1135),"")</f>
      </c>
      <c r="U1135" s="212">
        <f>IFERROR(IF([1]对账明细接口!$P1135=0,"",[1]对账明细接口!$P1135),"")</f>
      </c>
      <c r="V1135" s="212">
        <f>IFERROR(IF([1]对账明细接口!$Q1135=0,"",[1]对账明细接口!$Q1135),"")</f>
      </c>
      <c r="W1135" s="20">
        <f>IFERROR(IF([1]对账明细接口!$R1135=0,"",[1]对账明细接口!$R1135),"")</f>
      </c>
      <c r="X1135" s="20">
        <f>IFERROR(IF([1]对账明细接口!$S1135=0,"",[1]对账明细接口!$S1135),"")</f>
      </c>
      <c r="Y1135" s="20">
        <f>IFERROR(IF([1]对账明细接口!$T1135=0,"",[1]对账明细接口!$T1135),"")</f>
      </c>
      <c r="Z1135" s="213">
        <f>IFERROR(IF([1]对账明细接口!$U1135=0,"",[1]对账明细接口!$U1135),"")</f>
      </c>
      <c r="AA1135" s="213">
        <f>IFERROR(IF([1]对账明细接口!$V1135=0,"",[1]对账明细接口!$V1135),"")</f>
      </c>
      <c r="AB1135" s="20">
        <f>IFERROR(IF([1]对账明细接口!$W1135=0,"",[1]对账明细接口!$W1135),"")</f>
      </c>
      <c r="AC1135" s="7">
        <f>IFERROR(IF([1]对账明细接口!$X1135=0,"",[1]对账明细接口!$X1135),"")</f>
      </c>
      <c r="AD1135" s="7">
        <f>IFERROR(IF([1]对账明细接口!$Y1135=0,"",[1]对账明细接口!$Y1135),"")</f>
      </c>
      <c r="AE1135" s="7">
        <f>IFERROR(IF([1]对账明细接口!$AA1135=0,"",[1]对账明细接口!$AA1135),"")</f>
      </c>
      <c r="AF1135" s="7">
        <f>IFERROR(IF([1]对账明细接口!$AB1135=0,"",[1]对账明细接口!$AB1135),"")</f>
      </c>
      <c r="AG1135" s="7">
        <f>IFERROR(IF([1]对账明细接口!$AC1135=0,"",[1]对账明细接口!$AC1135),"")</f>
      </c>
      <c r="AH1135" s="7">
        <f>IFERROR(IF([1]对账明细接口!$AD1135=0,"",[1]对账明细接口!$AD1135),"")</f>
      </c>
      <c r="AI1135" s="7">
        <f>IFERROR(IF([1]对账明细接口!$AE1135=0,"",[1]对账明细接口!$AE1135),"")</f>
      </c>
      <c r="AJ1135" s="7">
        <f>IFERROR(IF([1]对账明细接口!$AF1135=0,"",[1]对账明细接口!$AF1135),"")</f>
      </c>
    </row>
    <row r="1136" ht="14.25" customHeight="1" s="127">
      <c r="A1136" s="14" t="n">
        <v>1136</v>
      </c>
      <c r="B1136" s="211">
        <f>IFERROR(IF([1]对账明细接口!$B$1136=0,"",[1]对账明细接口!$B$1136),"")</f>
      </c>
      <c r="C1136" s="16">
        <f>IFERROR(IF([1]对账明细接口!$C$1136=0,"",[1]对账明细接口!$C$1136),"")</f>
      </c>
      <c r="D1136" s="16">
        <f>IFERROR(IF([1]对账明细接口!$D$1136=0,"",[1]对账明细接口!$D$1136),"")</f>
      </c>
      <c r="E1136" s="16">
        <f>IFERROR(IF([1]对账明细接口!$E$1136=0,"",[1]对账明细接口!$E$1136),"")</f>
      </c>
      <c r="F1136" s="16">
        <f>IFERROR(IF([1]对账明细接口!$F$1136=0,"",[1]对账明细接口!$F$1136),"")</f>
      </c>
      <c r="G1136" s="16">
        <f>IFERROR(IF([1]对账明细接口!$G$1136=0,"",[1]对账明细接口!$G$1136),"")</f>
      </c>
      <c r="H1136" s="176">
        <f>IFERROR(IF([1]对账明细接口!$H$1136=0,"",[1]对账明细接口!$H$1136),"")</f>
      </c>
      <c r="I1136" s="16">
        <f>IFERROR(IF([1]对账明细接口!$I$1136=0,"",[1]对账明细接口!$I$1136),"")</f>
      </c>
      <c r="J1136" s="177">
        <f>IFERROR(IF([1]对账明细接口!$J$1136=0,"",[1]对账明细接口!$J$1136),"")</f>
      </c>
      <c r="K1136" s="177">
        <f>IFERROR(IF([1]对账明细接口!$K$1136=0,"",[1]对账明细接口!$K$1136),"")</f>
      </c>
      <c r="L1136" s="16">
        <f>IFERROR(IF([1]对账明细接口!$L$1136=0,"",[1]对账明细接口!$L$1136),"")</f>
      </c>
      <c r="M1136" s="16">
        <f>IFERROR(IF([1]对账明细接口!$M$1136=0,"",[1]对账明细接口!$M$1136),"")</f>
      </c>
      <c r="N1136" s="19">
        <f>IF($C1136="",0,1)</f>
        <v>0</v>
      </c>
      <c r="O1136" s="19">
        <f>N(O1135)+$N1136</f>
        <v>637</v>
      </c>
      <c r="S1136" s="20">
        <f>IFERROR(IF([1]对账明细接口!$N1136=0,"",[1]对账明细接口!$N1136),"")</f>
      </c>
      <c r="T1136" s="212">
        <f>IFERROR(IF([1]对账明细接口!$O1136=0,"",[1]对账明细接口!$O1136),"")</f>
      </c>
      <c r="U1136" s="212">
        <f>IFERROR(IF([1]对账明细接口!$P1136=0,"",[1]对账明细接口!$P1136),"")</f>
      </c>
      <c r="V1136" s="212">
        <f>IFERROR(IF([1]对账明细接口!$Q1136=0,"",[1]对账明细接口!$Q1136),"")</f>
      </c>
      <c r="W1136" s="20">
        <f>IFERROR(IF([1]对账明细接口!$R1136=0,"",[1]对账明细接口!$R1136),"")</f>
      </c>
      <c r="X1136" s="20">
        <f>IFERROR(IF([1]对账明细接口!$S1136=0,"",[1]对账明细接口!$S1136),"")</f>
      </c>
      <c r="Y1136" s="20">
        <f>IFERROR(IF([1]对账明细接口!$T1136=0,"",[1]对账明细接口!$T1136),"")</f>
      </c>
      <c r="Z1136" s="213">
        <f>IFERROR(IF([1]对账明细接口!$U1136=0,"",[1]对账明细接口!$U1136),"")</f>
      </c>
      <c r="AA1136" s="213">
        <f>IFERROR(IF([1]对账明细接口!$V1136=0,"",[1]对账明细接口!$V1136),"")</f>
      </c>
      <c r="AB1136" s="20">
        <f>IFERROR(IF([1]对账明细接口!$W1136=0,"",[1]对账明细接口!$W1136),"")</f>
      </c>
      <c r="AC1136" s="7">
        <f>IFERROR(IF([1]对账明细接口!$X1136=0,"",[1]对账明细接口!$X1136),"")</f>
      </c>
      <c r="AD1136" s="7">
        <f>IFERROR(IF([1]对账明细接口!$Y1136=0,"",[1]对账明细接口!$Y1136),"")</f>
      </c>
      <c r="AE1136" s="7">
        <f>IFERROR(IF([1]对账明细接口!$AA1136=0,"",[1]对账明细接口!$AA1136),"")</f>
      </c>
      <c r="AF1136" s="7">
        <f>IFERROR(IF([1]对账明细接口!$AB1136=0,"",[1]对账明细接口!$AB1136),"")</f>
      </c>
      <c r="AG1136" s="7">
        <f>IFERROR(IF([1]对账明细接口!$AC1136=0,"",[1]对账明细接口!$AC1136),"")</f>
      </c>
      <c r="AH1136" s="7">
        <f>IFERROR(IF([1]对账明细接口!$AD1136=0,"",[1]对账明细接口!$AD1136),"")</f>
      </c>
      <c r="AI1136" s="7">
        <f>IFERROR(IF([1]对账明细接口!$AE1136=0,"",[1]对账明细接口!$AE1136),"")</f>
      </c>
      <c r="AJ1136" s="7">
        <f>IFERROR(IF([1]对账明细接口!$AF1136=0,"",[1]对账明细接口!$AF1136),"")</f>
      </c>
    </row>
    <row r="1137" ht="14.25" customHeight="1" s="127">
      <c r="A1137" s="14" t="n">
        <v>1137</v>
      </c>
      <c r="B1137" s="211">
        <f>IFERROR(IF([1]对账明细接口!$B$1137=0,"",[1]对账明细接口!$B$1137),"")</f>
      </c>
      <c r="C1137" s="16">
        <f>IFERROR(IF([1]对账明细接口!$C$1137=0,"",[1]对账明细接口!$C$1137),"")</f>
      </c>
      <c r="D1137" s="16">
        <f>IFERROR(IF([1]对账明细接口!$D$1137=0,"",[1]对账明细接口!$D$1137),"")</f>
      </c>
      <c r="E1137" s="16">
        <f>IFERROR(IF([1]对账明细接口!$E$1137=0,"",[1]对账明细接口!$E$1137),"")</f>
      </c>
      <c r="F1137" s="16">
        <f>IFERROR(IF([1]对账明细接口!$F$1137=0,"",[1]对账明细接口!$F$1137),"")</f>
      </c>
      <c r="G1137" s="16">
        <f>IFERROR(IF([1]对账明细接口!$G$1137=0,"",[1]对账明细接口!$G$1137),"")</f>
      </c>
      <c r="H1137" s="176">
        <f>IFERROR(IF([1]对账明细接口!$H$1137=0,"",[1]对账明细接口!$H$1137),"")</f>
      </c>
      <c r="I1137" s="16">
        <f>IFERROR(IF([1]对账明细接口!$I$1137=0,"",[1]对账明细接口!$I$1137),"")</f>
      </c>
      <c r="J1137" s="177">
        <f>IFERROR(IF([1]对账明细接口!$J$1137=0,"",[1]对账明细接口!$J$1137),"")</f>
      </c>
      <c r="K1137" s="177">
        <f>IFERROR(IF([1]对账明细接口!$K$1137=0,"",[1]对账明细接口!$K$1137),"")</f>
      </c>
      <c r="L1137" s="16">
        <f>IFERROR(IF([1]对账明细接口!$L$1137=0,"",[1]对账明细接口!$L$1137),"")</f>
      </c>
      <c r="M1137" s="16">
        <f>IFERROR(IF([1]对账明细接口!$M$1137=0,"",[1]对账明细接口!$M$1137),"")</f>
      </c>
      <c r="N1137" s="19">
        <f>IF($C1137="",0,1)</f>
        <v>0</v>
      </c>
      <c r="O1137" s="19">
        <f>N(O1136)+$N1137</f>
        <v>637</v>
      </c>
      <c r="S1137" s="20">
        <f>IFERROR(IF([1]对账明细接口!$N1137=0,"",[1]对账明细接口!$N1137),"")</f>
      </c>
      <c r="T1137" s="212">
        <f>IFERROR(IF([1]对账明细接口!$O1137=0,"",[1]对账明细接口!$O1137),"")</f>
      </c>
      <c r="U1137" s="212">
        <f>IFERROR(IF([1]对账明细接口!$P1137=0,"",[1]对账明细接口!$P1137),"")</f>
      </c>
      <c r="V1137" s="212">
        <f>IFERROR(IF([1]对账明细接口!$Q1137=0,"",[1]对账明细接口!$Q1137),"")</f>
      </c>
      <c r="W1137" s="20">
        <f>IFERROR(IF([1]对账明细接口!$R1137=0,"",[1]对账明细接口!$R1137),"")</f>
      </c>
      <c r="X1137" s="20">
        <f>IFERROR(IF([1]对账明细接口!$S1137=0,"",[1]对账明细接口!$S1137),"")</f>
      </c>
      <c r="Y1137" s="20">
        <f>IFERROR(IF([1]对账明细接口!$T1137=0,"",[1]对账明细接口!$T1137),"")</f>
      </c>
      <c r="Z1137" s="213">
        <f>IFERROR(IF([1]对账明细接口!$U1137=0,"",[1]对账明细接口!$U1137),"")</f>
      </c>
      <c r="AA1137" s="213">
        <f>IFERROR(IF([1]对账明细接口!$V1137=0,"",[1]对账明细接口!$V1137),"")</f>
      </c>
      <c r="AB1137" s="20">
        <f>IFERROR(IF([1]对账明细接口!$W1137=0,"",[1]对账明细接口!$W1137),"")</f>
      </c>
      <c r="AC1137" s="7">
        <f>IFERROR(IF([1]对账明细接口!$X1137=0,"",[1]对账明细接口!$X1137),"")</f>
      </c>
      <c r="AD1137" s="7">
        <f>IFERROR(IF([1]对账明细接口!$Y1137=0,"",[1]对账明细接口!$Y1137),"")</f>
      </c>
      <c r="AE1137" s="7">
        <f>IFERROR(IF([1]对账明细接口!$AA1137=0,"",[1]对账明细接口!$AA1137),"")</f>
      </c>
      <c r="AF1137" s="7">
        <f>IFERROR(IF([1]对账明细接口!$AB1137=0,"",[1]对账明细接口!$AB1137),"")</f>
      </c>
      <c r="AG1137" s="7">
        <f>IFERROR(IF([1]对账明细接口!$AC1137=0,"",[1]对账明细接口!$AC1137),"")</f>
      </c>
      <c r="AH1137" s="7">
        <f>IFERROR(IF([1]对账明细接口!$AD1137=0,"",[1]对账明细接口!$AD1137),"")</f>
      </c>
      <c r="AI1137" s="7">
        <f>IFERROR(IF([1]对账明细接口!$AE1137=0,"",[1]对账明细接口!$AE1137),"")</f>
      </c>
      <c r="AJ1137" s="7">
        <f>IFERROR(IF([1]对账明细接口!$AF1137=0,"",[1]对账明细接口!$AF1137),"")</f>
      </c>
    </row>
    <row r="1138" ht="14.25" customHeight="1" s="127">
      <c r="A1138" s="14" t="n">
        <v>1138</v>
      </c>
      <c r="B1138" s="211">
        <f>IFERROR(IF([1]对账明细接口!$B$1138=0,"",[1]对账明细接口!$B$1138),"")</f>
      </c>
      <c r="C1138" s="16">
        <f>IFERROR(IF([1]对账明细接口!$C$1138=0,"",[1]对账明细接口!$C$1138),"")</f>
      </c>
      <c r="D1138" s="16">
        <f>IFERROR(IF([1]对账明细接口!$D$1138=0,"",[1]对账明细接口!$D$1138),"")</f>
      </c>
      <c r="E1138" s="16">
        <f>IFERROR(IF([1]对账明细接口!$E$1138=0,"",[1]对账明细接口!$E$1138),"")</f>
      </c>
      <c r="F1138" s="16">
        <f>IFERROR(IF([1]对账明细接口!$F$1138=0,"",[1]对账明细接口!$F$1138),"")</f>
      </c>
      <c r="G1138" s="16">
        <f>IFERROR(IF([1]对账明细接口!$G$1138=0,"",[1]对账明细接口!$G$1138),"")</f>
      </c>
      <c r="H1138" s="176">
        <f>IFERROR(IF([1]对账明细接口!$H$1138=0,"",[1]对账明细接口!$H$1138),"")</f>
      </c>
      <c r="I1138" s="16">
        <f>IFERROR(IF([1]对账明细接口!$I$1138=0,"",[1]对账明细接口!$I$1138),"")</f>
      </c>
      <c r="J1138" s="177">
        <f>IFERROR(IF([1]对账明细接口!$J$1138=0,"",[1]对账明细接口!$J$1138),"")</f>
      </c>
      <c r="K1138" s="177">
        <f>IFERROR(IF([1]对账明细接口!$K$1138=0,"",[1]对账明细接口!$K$1138),"")</f>
      </c>
      <c r="L1138" s="16">
        <f>IFERROR(IF([1]对账明细接口!$L$1138=0,"",[1]对账明细接口!$L$1138),"")</f>
      </c>
      <c r="M1138" s="16">
        <f>IFERROR(IF([1]对账明细接口!$M$1138=0,"",[1]对账明细接口!$M$1138),"")</f>
      </c>
      <c r="N1138" s="19">
        <f>IF($C1138="",0,1)</f>
        <v>0</v>
      </c>
      <c r="O1138" s="19">
        <f>N(O1137)+$N1138</f>
        <v>637</v>
      </c>
      <c r="S1138" s="20">
        <f>IFERROR(IF([1]对账明细接口!$N1138=0,"",[1]对账明细接口!$N1138),"")</f>
      </c>
      <c r="T1138" s="212">
        <f>IFERROR(IF([1]对账明细接口!$O1138=0,"",[1]对账明细接口!$O1138),"")</f>
      </c>
      <c r="U1138" s="212">
        <f>IFERROR(IF([1]对账明细接口!$P1138=0,"",[1]对账明细接口!$P1138),"")</f>
      </c>
      <c r="V1138" s="212">
        <f>IFERROR(IF([1]对账明细接口!$Q1138=0,"",[1]对账明细接口!$Q1138),"")</f>
      </c>
      <c r="W1138" s="20">
        <f>IFERROR(IF([1]对账明细接口!$R1138=0,"",[1]对账明细接口!$R1138),"")</f>
      </c>
      <c r="X1138" s="20">
        <f>IFERROR(IF([1]对账明细接口!$S1138=0,"",[1]对账明细接口!$S1138),"")</f>
      </c>
      <c r="Y1138" s="20">
        <f>IFERROR(IF([1]对账明细接口!$T1138=0,"",[1]对账明细接口!$T1138),"")</f>
      </c>
      <c r="Z1138" s="213">
        <f>IFERROR(IF([1]对账明细接口!$U1138=0,"",[1]对账明细接口!$U1138),"")</f>
      </c>
      <c r="AA1138" s="213">
        <f>IFERROR(IF([1]对账明细接口!$V1138=0,"",[1]对账明细接口!$V1138),"")</f>
      </c>
      <c r="AB1138" s="20">
        <f>IFERROR(IF([1]对账明细接口!$W1138=0,"",[1]对账明细接口!$W1138),"")</f>
      </c>
      <c r="AC1138" s="7">
        <f>IFERROR(IF([1]对账明细接口!$X1138=0,"",[1]对账明细接口!$X1138),"")</f>
      </c>
      <c r="AD1138" s="7">
        <f>IFERROR(IF([1]对账明细接口!$Y1138=0,"",[1]对账明细接口!$Y1138),"")</f>
      </c>
      <c r="AE1138" s="7">
        <f>IFERROR(IF([1]对账明细接口!$AA1138=0,"",[1]对账明细接口!$AA1138),"")</f>
      </c>
      <c r="AF1138" s="7">
        <f>IFERROR(IF([1]对账明细接口!$AB1138=0,"",[1]对账明细接口!$AB1138),"")</f>
      </c>
      <c r="AG1138" s="7">
        <f>IFERROR(IF([1]对账明细接口!$AC1138=0,"",[1]对账明细接口!$AC1138),"")</f>
      </c>
      <c r="AH1138" s="7">
        <f>IFERROR(IF([1]对账明细接口!$AD1138=0,"",[1]对账明细接口!$AD1138),"")</f>
      </c>
      <c r="AI1138" s="7">
        <f>IFERROR(IF([1]对账明细接口!$AE1138=0,"",[1]对账明细接口!$AE1138),"")</f>
      </c>
      <c r="AJ1138" s="7">
        <f>IFERROR(IF([1]对账明细接口!$AF1138=0,"",[1]对账明细接口!$AF1138),"")</f>
      </c>
    </row>
    <row r="1139" ht="14.25" customHeight="1" s="127">
      <c r="A1139" s="14" t="n">
        <v>1139</v>
      </c>
      <c r="B1139" s="211">
        <f>IFERROR(IF([1]对账明细接口!$B$1139=0,"",[1]对账明细接口!$B$1139),"")</f>
      </c>
      <c r="C1139" s="16">
        <f>IFERROR(IF([1]对账明细接口!$C$1139=0,"",[1]对账明细接口!$C$1139),"")</f>
      </c>
      <c r="D1139" s="16">
        <f>IFERROR(IF([1]对账明细接口!$D$1139=0,"",[1]对账明细接口!$D$1139),"")</f>
      </c>
      <c r="E1139" s="16">
        <f>IFERROR(IF([1]对账明细接口!$E$1139=0,"",[1]对账明细接口!$E$1139),"")</f>
      </c>
      <c r="F1139" s="16">
        <f>IFERROR(IF([1]对账明细接口!$F$1139=0,"",[1]对账明细接口!$F$1139),"")</f>
      </c>
      <c r="G1139" s="16">
        <f>IFERROR(IF([1]对账明细接口!$G$1139=0,"",[1]对账明细接口!$G$1139),"")</f>
      </c>
      <c r="H1139" s="176">
        <f>IFERROR(IF([1]对账明细接口!$H$1139=0,"",[1]对账明细接口!$H$1139),"")</f>
      </c>
      <c r="I1139" s="16">
        <f>IFERROR(IF([1]对账明细接口!$I$1139=0,"",[1]对账明细接口!$I$1139),"")</f>
      </c>
      <c r="J1139" s="177">
        <f>IFERROR(IF([1]对账明细接口!$J$1139=0,"",[1]对账明细接口!$J$1139),"")</f>
      </c>
      <c r="K1139" s="177">
        <f>IFERROR(IF([1]对账明细接口!$K$1139=0,"",[1]对账明细接口!$K$1139),"")</f>
      </c>
      <c r="L1139" s="16">
        <f>IFERROR(IF([1]对账明细接口!$L$1139=0,"",[1]对账明细接口!$L$1139),"")</f>
      </c>
      <c r="M1139" s="16">
        <f>IFERROR(IF([1]对账明细接口!$M$1139=0,"",[1]对账明细接口!$M$1139),"")</f>
      </c>
      <c r="N1139" s="19">
        <f>IF($C1139="",0,1)</f>
        <v>0</v>
      </c>
      <c r="O1139" s="19">
        <f>N(O1138)+$N1139</f>
        <v>637</v>
      </c>
      <c r="S1139" s="20">
        <f>IFERROR(IF([1]对账明细接口!$N1139=0,"",[1]对账明细接口!$N1139),"")</f>
      </c>
      <c r="T1139" s="212">
        <f>IFERROR(IF([1]对账明细接口!$O1139=0,"",[1]对账明细接口!$O1139),"")</f>
      </c>
      <c r="U1139" s="212">
        <f>IFERROR(IF([1]对账明细接口!$P1139=0,"",[1]对账明细接口!$P1139),"")</f>
      </c>
      <c r="V1139" s="212">
        <f>IFERROR(IF([1]对账明细接口!$Q1139=0,"",[1]对账明细接口!$Q1139),"")</f>
      </c>
      <c r="W1139" s="20">
        <f>IFERROR(IF([1]对账明细接口!$R1139=0,"",[1]对账明细接口!$R1139),"")</f>
      </c>
      <c r="X1139" s="20">
        <f>IFERROR(IF([1]对账明细接口!$S1139=0,"",[1]对账明细接口!$S1139),"")</f>
      </c>
      <c r="Y1139" s="20">
        <f>IFERROR(IF([1]对账明细接口!$T1139=0,"",[1]对账明细接口!$T1139),"")</f>
      </c>
      <c r="Z1139" s="213">
        <f>IFERROR(IF([1]对账明细接口!$U1139=0,"",[1]对账明细接口!$U1139),"")</f>
      </c>
      <c r="AA1139" s="213">
        <f>IFERROR(IF([1]对账明细接口!$V1139=0,"",[1]对账明细接口!$V1139),"")</f>
      </c>
      <c r="AB1139" s="20">
        <f>IFERROR(IF([1]对账明细接口!$W1139=0,"",[1]对账明细接口!$W1139),"")</f>
      </c>
      <c r="AC1139" s="7">
        <f>IFERROR(IF([1]对账明细接口!$X1139=0,"",[1]对账明细接口!$X1139),"")</f>
      </c>
      <c r="AD1139" s="7">
        <f>IFERROR(IF([1]对账明细接口!$Y1139=0,"",[1]对账明细接口!$Y1139),"")</f>
      </c>
      <c r="AE1139" s="7">
        <f>IFERROR(IF([1]对账明细接口!$AA1139=0,"",[1]对账明细接口!$AA1139),"")</f>
      </c>
      <c r="AF1139" s="7">
        <f>IFERROR(IF([1]对账明细接口!$AB1139=0,"",[1]对账明细接口!$AB1139),"")</f>
      </c>
      <c r="AG1139" s="7">
        <f>IFERROR(IF([1]对账明细接口!$AC1139=0,"",[1]对账明细接口!$AC1139),"")</f>
      </c>
      <c r="AH1139" s="7">
        <f>IFERROR(IF([1]对账明细接口!$AD1139=0,"",[1]对账明细接口!$AD1139),"")</f>
      </c>
      <c r="AI1139" s="7">
        <f>IFERROR(IF([1]对账明细接口!$AE1139=0,"",[1]对账明细接口!$AE1139),"")</f>
      </c>
      <c r="AJ1139" s="7">
        <f>IFERROR(IF([1]对账明细接口!$AF1139=0,"",[1]对账明细接口!$AF1139),"")</f>
      </c>
    </row>
    <row r="1140" ht="14.25" customHeight="1" s="127">
      <c r="A1140" s="14" t="n">
        <v>1140</v>
      </c>
      <c r="B1140" s="211">
        <f>IFERROR(IF([1]对账明细接口!$B$1140=0,"",[1]对账明细接口!$B$1140),"")</f>
      </c>
      <c r="C1140" s="16">
        <f>IFERROR(IF([1]对账明细接口!$C$1140=0,"",[1]对账明细接口!$C$1140),"")</f>
      </c>
      <c r="D1140" s="16">
        <f>IFERROR(IF([1]对账明细接口!$D$1140=0,"",[1]对账明细接口!$D$1140),"")</f>
      </c>
      <c r="E1140" s="16">
        <f>IFERROR(IF([1]对账明细接口!$E$1140=0,"",[1]对账明细接口!$E$1140),"")</f>
      </c>
      <c r="F1140" s="16">
        <f>IFERROR(IF([1]对账明细接口!$F$1140=0,"",[1]对账明细接口!$F$1140),"")</f>
      </c>
      <c r="G1140" s="16">
        <f>IFERROR(IF([1]对账明细接口!$G$1140=0,"",[1]对账明细接口!$G$1140),"")</f>
      </c>
      <c r="H1140" s="176">
        <f>IFERROR(IF([1]对账明细接口!$H$1140=0,"",[1]对账明细接口!$H$1140),"")</f>
      </c>
      <c r="I1140" s="16">
        <f>IFERROR(IF([1]对账明细接口!$I$1140=0,"",[1]对账明细接口!$I$1140),"")</f>
      </c>
      <c r="J1140" s="177">
        <f>IFERROR(IF([1]对账明细接口!$J$1140=0,"",[1]对账明细接口!$J$1140),"")</f>
      </c>
      <c r="K1140" s="177">
        <f>IFERROR(IF([1]对账明细接口!$K$1140=0,"",[1]对账明细接口!$K$1140),"")</f>
      </c>
      <c r="L1140" s="16">
        <f>IFERROR(IF([1]对账明细接口!$L$1140=0,"",[1]对账明细接口!$L$1140),"")</f>
      </c>
      <c r="M1140" s="16">
        <f>IFERROR(IF([1]对账明细接口!$M$1140=0,"",[1]对账明细接口!$M$1140),"")</f>
      </c>
      <c r="N1140" s="19">
        <f>IF($C1140="",0,1)</f>
        <v>0</v>
      </c>
      <c r="O1140" s="19">
        <f>N(O1139)+$N1140</f>
        <v>637</v>
      </c>
      <c r="S1140" s="20">
        <f>IFERROR(IF([1]对账明细接口!$N1140=0,"",[1]对账明细接口!$N1140),"")</f>
      </c>
      <c r="T1140" s="212">
        <f>IFERROR(IF([1]对账明细接口!$O1140=0,"",[1]对账明细接口!$O1140),"")</f>
      </c>
      <c r="U1140" s="212">
        <f>IFERROR(IF([1]对账明细接口!$P1140=0,"",[1]对账明细接口!$P1140),"")</f>
      </c>
      <c r="V1140" s="212">
        <f>IFERROR(IF([1]对账明细接口!$Q1140=0,"",[1]对账明细接口!$Q1140),"")</f>
      </c>
      <c r="W1140" s="20">
        <f>IFERROR(IF([1]对账明细接口!$R1140=0,"",[1]对账明细接口!$R1140),"")</f>
      </c>
      <c r="X1140" s="20">
        <f>IFERROR(IF([1]对账明细接口!$S1140=0,"",[1]对账明细接口!$S1140),"")</f>
      </c>
      <c r="Y1140" s="20">
        <f>IFERROR(IF([1]对账明细接口!$T1140=0,"",[1]对账明细接口!$T1140),"")</f>
      </c>
      <c r="Z1140" s="213">
        <f>IFERROR(IF([1]对账明细接口!$U1140=0,"",[1]对账明细接口!$U1140),"")</f>
      </c>
      <c r="AA1140" s="213">
        <f>IFERROR(IF([1]对账明细接口!$V1140=0,"",[1]对账明细接口!$V1140),"")</f>
      </c>
      <c r="AB1140" s="20">
        <f>IFERROR(IF([1]对账明细接口!$W1140=0,"",[1]对账明细接口!$W1140),"")</f>
      </c>
      <c r="AC1140" s="7">
        <f>IFERROR(IF([1]对账明细接口!$X1140=0,"",[1]对账明细接口!$X1140),"")</f>
      </c>
      <c r="AD1140" s="7">
        <f>IFERROR(IF([1]对账明细接口!$Y1140=0,"",[1]对账明细接口!$Y1140),"")</f>
      </c>
      <c r="AE1140" s="7">
        <f>IFERROR(IF([1]对账明细接口!$AA1140=0,"",[1]对账明细接口!$AA1140),"")</f>
      </c>
      <c r="AF1140" s="7">
        <f>IFERROR(IF([1]对账明细接口!$AB1140=0,"",[1]对账明细接口!$AB1140),"")</f>
      </c>
      <c r="AG1140" s="7">
        <f>IFERROR(IF([1]对账明细接口!$AC1140=0,"",[1]对账明细接口!$AC1140),"")</f>
      </c>
      <c r="AH1140" s="7">
        <f>IFERROR(IF([1]对账明细接口!$AD1140=0,"",[1]对账明细接口!$AD1140),"")</f>
      </c>
      <c r="AI1140" s="7">
        <f>IFERROR(IF([1]对账明细接口!$AE1140=0,"",[1]对账明细接口!$AE1140),"")</f>
      </c>
      <c r="AJ1140" s="7">
        <f>IFERROR(IF([1]对账明细接口!$AF1140=0,"",[1]对账明细接口!$AF1140),"")</f>
      </c>
    </row>
    <row r="1141" ht="14.25" customHeight="1" s="127">
      <c r="A1141" s="14" t="n">
        <v>1141</v>
      </c>
      <c r="B1141" s="211">
        <f>IFERROR(IF([1]对账明细接口!$B$1141=0,"",[1]对账明细接口!$B$1141),"")</f>
      </c>
      <c r="C1141" s="16">
        <f>IFERROR(IF([1]对账明细接口!$C$1141=0,"",[1]对账明细接口!$C$1141),"")</f>
      </c>
      <c r="D1141" s="16">
        <f>IFERROR(IF([1]对账明细接口!$D$1141=0,"",[1]对账明细接口!$D$1141),"")</f>
      </c>
      <c r="E1141" s="16">
        <f>IFERROR(IF([1]对账明细接口!$E$1141=0,"",[1]对账明细接口!$E$1141),"")</f>
      </c>
      <c r="F1141" s="16">
        <f>IFERROR(IF([1]对账明细接口!$F$1141=0,"",[1]对账明细接口!$F$1141),"")</f>
      </c>
      <c r="G1141" s="16">
        <f>IFERROR(IF([1]对账明细接口!$G$1141=0,"",[1]对账明细接口!$G$1141),"")</f>
      </c>
      <c r="H1141" s="176">
        <f>IFERROR(IF([1]对账明细接口!$H$1141=0,"",[1]对账明细接口!$H$1141),"")</f>
      </c>
      <c r="I1141" s="16">
        <f>IFERROR(IF([1]对账明细接口!$I$1141=0,"",[1]对账明细接口!$I$1141),"")</f>
      </c>
      <c r="J1141" s="177">
        <f>IFERROR(IF([1]对账明细接口!$J$1141=0,"",[1]对账明细接口!$J$1141),"")</f>
      </c>
      <c r="K1141" s="177">
        <f>IFERROR(IF([1]对账明细接口!$K$1141=0,"",[1]对账明细接口!$K$1141),"")</f>
      </c>
      <c r="L1141" s="16">
        <f>IFERROR(IF([1]对账明细接口!$L$1141=0,"",[1]对账明细接口!$L$1141),"")</f>
      </c>
      <c r="M1141" s="16">
        <f>IFERROR(IF([1]对账明细接口!$M$1141=0,"",[1]对账明细接口!$M$1141),"")</f>
      </c>
      <c r="N1141" s="19">
        <f>IF($C1141="",0,1)</f>
        <v>0</v>
      </c>
      <c r="O1141" s="19">
        <f>N(O1140)+$N1141</f>
        <v>637</v>
      </c>
      <c r="S1141" s="20">
        <f>IFERROR(IF([1]对账明细接口!$N1141=0,"",[1]对账明细接口!$N1141),"")</f>
      </c>
      <c r="T1141" s="212">
        <f>IFERROR(IF([1]对账明细接口!$O1141=0,"",[1]对账明细接口!$O1141),"")</f>
      </c>
      <c r="U1141" s="212">
        <f>IFERROR(IF([1]对账明细接口!$P1141=0,"",[1]对账明细接口!$P1141),"")</f>
      </c>
      <c r="V1141" s="212">
        <f>IFERROR(IF([1]对账明细接口!$Q1141=0,"",[1]对账明细接口!$Q1141),"")</f>
      </c>
      <c r="W1141" s="20">
        <f>IFERROR(IF([1]对账明细接口!$R1141=0,"",[1]对账明细接口!$R1141),"")</f>
      </c>
      <c r="X1141" s="20">
        <f>IFERROR(IF([1]对账明细接口!$S1141=0,"",[1]对账明细接口!$S1141),"")</f>
      </c>
      <c r="Y1141" s="20">
        <f>IFERROR(IF([1]对账明细接口!$T1141=0,"",[1]对账明细接口!$T1141),"")</f>
      </c>
      <c r="Z1141" s="213">
        <f>IFERROR(IF([1]对账明细接口!$U1141=0,"",[1]对账明细接口!$U1141),"")</f>
      </c>
      <c r="AA1141" s="213">
        <f>IFERROR(IF([1]对账明细接口!$V1141=0,"",[1]对账明细接口!$V1141),"")</f>
      </c>
      <c r="AB1141" s="20">
        <f>IFERROR(IF([1]对账明细接口!$W1141=0,"",[1]对账明细接口!$W1141),"")</f>
      </c>
      <c r="AC1141" s="7">
        <f>IFERROR(IF([1]对账明细接口!$X1141=0,"",[1]对账明细接口!$X1141),"")</f>
      </c>
      <c r="AD1141" s="7">
        <f>IFERROR(IF([1]对账明细接口!$Y1141=0,"",[1]对账明细接口!$Y1141),"")</f>
      </c>
      <c r="AE1141" s="7">
        <f>IFERROR(IF([1]对账明细接口!$AA1141=0,"",[1]对账明细接口!$AA1141),"")</f>
      </c>
      <c r="AF1141" s="7">
        <f>IFERROR(IF([1]对账明细接口!$AB1141=0,"",[1]对账明细接口!$AB1141),"")</f>
      </c>
      <c r="AG1141" s="7">
        <f>IFERROR(IF([1]对账明细接口!$AC1141=0,"",[1]对账明细接口!$AC1141),"")</f>
      </c>
      <c r="AH1141" s="7">
        <f>IFERROR(IF([1]对账明细接口!$AD1141=0,"",[1]对账明细接口!$AD1141),"")</f>
      </c>
      <c r="AI1141" s="7">
        <f>IFERROR(IF([1]对账明细接口!$AE1141=0,"",[1]对账明细接口!$AE1141),"")</f>
      </c>
      <c r="AJ1141" s="7">
        <f>IFERROR(IF([1]对账明细接口!$AF1141=0,"",[1]对账明细接口!$AF1141),"")</f>
      </c>
    </row>
    <row r="1142" ht="14.25" customHeight="1" s="127">
      <c r="A1142" s="14" t="n">
        <v>1142</v>
      </c>
      <c r="B1142" s="211">
        <f>IFERROR(IF([1]对账明细接口!$B$1142=0,"",[1]对账明细接口!$B$1142),"")</f>
      </c>
      <c r="C1142" s="16">
        <f>IFERROR(IF([1]对账明细接口!$C$1142=0,"",[1]对账明细接口!$C$1142),"")</f>
      </c>
      <c r="D1142" s="16">
        <f>IFERROR(IF([1]对账明细接口!$D$1142=0,"",[1]对账明细接口!$D$1142),"")</f>
      </c>
      <c r="E1142" s="16">
        <f>IFERROR(IF([1]对账明细接口!$E$1142=0,"",[1]对账明细接口!$E$1142),"")</f>
      </c>
      <c r="F1142" s="16">
        <f>IFERROR(IF([1]对账明细接口!$F$1142=0,"",[1]对账明细接口!$F$1142),"")</f>
      </c>
      <c r="G1142" s="16">
        <f>IFERROR(IF([1]对账明细接口!$G$1142=0,"",[1]对账明细接口!$G$1142),"")</f>
      </c>
      <c r="H1142" s="176">
        <f>IFERROR(IF([1]对账明细接口!$H$1142=0,"",[1]对账明细接口!$H$1142),"")</f>
      </c>
      <c r="I1142" s="16">
        <f>IFERROR(IF([1]对账明细接口!$I$1142=0,"",[1]对账明细接口!$I$1142),"")</f>
      </c>
      <c r="J1142" s="177">
        <f>IFERROR(IF([1]对账明细接口!$J$1142=0,"",[1]对账明细接口!$J$1142),"")</f>
      </c>
      <c r="K1142" s="177">
        <f>IFERROR(IF([1]对账明细接口!$K$1142=0,"",[1]对账明细接口!$K$1142),"")</f>
      </c>
      <c r="L1142" s="16">
        <f>IFERROR(IF([1]对账明细接口!$L$1142=0,"",[1]对账明细接口!$L$1142),"")</f>
      </c>
      <c r="M1142" s="16">
        <f>IFERROR(IF([1]对账明细接口!$M$1142=0,"",[1]对账明细接口!$M$1142),"")</f>
      </c>
      <c r="N1142" s="19">
        <f>IF($C1142="",0,1)</f>
        <v>0</v>
      </c>
      <c r="O1142" s="19">
        <f>N(O1141)+$N1142</f>
        <v>637</v>
      </c>
      <c r="S1142" s="20">
        <f>IFERROR(IF([1]对账明细接口!$N1142=0,"",[1]对账明细接口!$N1142),"")</f>
      </c>
      <c r="T1142" s="212">
        <f>IFERROR(IF([1]对账明细接口!$O1142=0,"",[1]对账明细接口!$O1142),"")</f>
      </c>
      <c r="U1142" s="212">
        <f>IFERROR(IF([1]对账明细接口!$P1142=0,"",[1]对账明细接口!$P1142),"")</f>
      </c>
      <c r="V1142" s="212">
        <f>IFERROR(IF([1]对账明细接口!$Q1142=0,"",[1]对账明细接口!$Q1142),"")</f>
      </c>
      <c r="W1142" s="20">
        <f>IFERROR(IF([1]对账明细接口!$R1142=0,"",[1]对账明细接口!$R1142),"")</f>
      </c>
      <c r="X1142" s="20">
        <f>IFERROR(IF([1]对账明细接口!$S1142=0,"",[1]对账明细接口!$S1142),"")</f>
      </c>
      <c r="Y1142" s="20">
        <f>IFERROR(IF([1]对账明细接口!$T1142=0,"",[1]对账明细接口!$T1142),"")</f>
      </c>
      <c r="Z1142" s="213">
        <f>IFERROR(IF([1]对账明细接口!$U1142=0,"",[1]对账明细接口!$U1142),"")</f>
      </c>
      <c r="AA1142" s="213">
        <f>IFERROR(IF([1]对账明细接口!$V1142=0,"",[1]对账明细接口!$V1142),"")</f>
      </c>
      <c r="AB1142" s="20">
        <f>IFERROR(IF([1]对账明细接口!$W1142=0,"",[1]对账明细接口!$W1142),"")</f>
      </c>
      <c r="AC1142" s="7">
        <f>IFERROR(IF([1]对账明细接口!$X1142=0,"",[1]对账明细接口!$X1142),"")</f>
      </c>
      <c r="AD1142" s="7">
        <f>IFERROR(IF([1]对账明细接口!$Y1142=0,"",[1]对账明细接口!$Y1142),"")</f>
      </c>
      <c r="AE1142" s="7">
        <f>IFERROR(IF([1]对账明细接口!$AA1142=0,"",[1]对账明细接口!$AA1142),"")</f>
      </c>
      <c r="AF1142" s="7">
        <f>IFERROR(IF([1]对账明细接口!$AB1142=0,"",[1]对账明细接口!$AB1142),"")</f>
      </c>
      <c r="AG1142" s="7">
        <f>IFERROR(IF([1]对账明细接口!$AC1142=0,"",[1]对账明细接口!$AC1142),"")</f>
      </c>
      <c r="AH1142" s="7">
        <f>IFERROR(IF([1]对账明细接口!$AD1142=0,"",[1]对账明细接口!$AD1142),"")</f>
      </c>
      <c r="AI1142" s="7">
        <f>IFERROR(IF([1]对账明细接口!$AE1142=0,"",[1]对账明细接口!$AE1142),"")</f>
      </c>
      <c r="AJ1142" s="7">
        <f>IFERROR(IF([1]对账明细接口!$AF1142=0,"",[1]对账明细接口!$AF1142),"")</f>
      </c>
    </row>
    <row r="1143" ht="14.25" customHeight="1" s="127">
      <c r="A1143" s="14" t="n">
        <v>1143</v>
      </c>
      <c r="B1143" s="211">
        <f>IFERROR(IF([1]对账明细接口!$B$1143=0,"",[1]对账明细接口!$B$1143),"")</f>
      </c>
      <c r="C1143" s="16">
        <f>IFERROR(IF([1]对账明细接口!$C$1143=0,"",[1]对账明细接口!$C$1143),"")</f>
      </c>
      <c r="D1143" s="16">
        <f>IFERROR(IF([1]对账明细接口!$D$1143=0,"",[1]对账明细接口!$D$1143),"")</f>
      </c>
      <c r="E1143" s="16">
        <f>IFERROR(IF([1]对账明细接口!$E$1143=0,"",[1]对账明细接口!$E$1143),"")</f>
      </c>
      <c r="F1143" s="16">
        <f>IFERROR(IF([1]对账明细接口!$F$1143=0,"",[1]对账明细接口!$F$1143),"")</f>
      </c>
      <c r="G1143" s="16">
        <f>IFERROR(IF([1]对账明细接口!$G$1143=0,"",[1]对账明细接口!$G$1143),"")</f>
      </c>
      <c r="H1143" s="176">
        <f>IFERROR(IF([1]对账明细接口!$H$1143=0,"",[1]对账明细接口!$H$1143),"")</f>
      </c>
      <c r="I1143" s="16">
        <f>IFERROR(IF([1]对账明细接口!$I$1143=0,"",[1]对账明细接口!$I$1143),"")</f>
      </c>
      <c r="J1143" s="177">
        <f>IFERROR(IF([1]对账明细接口!$J$1143=0,"",[1]对账明细接口!$J$1143),"")</f>
      </c>
      <c r="K1143" s="177">
        <f>IFERROR(IF([1]对账明细接口!$K$1143=0,"",[1]对账明细接口!$K$1143),"")</f>
      </c>
      <c r="L1143" s="16">
        <f>IFERROR(IF([1]对账明细接口!$L$1143=0,"",[1]对账明细接口!$L$1143),"")</f>
      </c>
      <c r="M1143" s="16">
        <f>IFERROR(IF([1]对账明细接口!$M$1143=0,"",[1]对账明细接口!$M$1143),"")</f>
      </c>
      <c r="N1143" s="19">
        <f>IF($C1143="",0,1)</f>
        <v>0</v>
      </c>
      <c r="O1143" s="19">
        <f>N(O1142)+$N1143</f>
        <v>637</v>
      </c>
      <c r="S1143" s="20">
        <f>IFERROR(IF([1]对账明细接口!$N1143=0,"",[1]对账明细接口!$N1143),"")</f>
      </c>
      <c r="T1143" s="212">
        <f>IFERROR(IF([1]对账明细接口!$O1143=0,"",[1]对账明细接口!$O1143),"")</f>
      </c>
      <c r="U1143" s="212">
        <f>IFERROR(IF([1]对账明细接口!$P1143=0,"",[1]对账明细接口!$P1143),"")</f>
      </c>
      <c r="V1143" s="212">
        <f>IFERROR(IF([1]对账明细接口!$Q1143=0,"",[1]对账明细接口!$Q1143),"")</f>
      </c>
      <c r="W1143" s="20">
        <f>IFERROR(IF([1]对账明细接口!$R1143=0,"",[1]对账明细接口!$R1143),"")</f>
      </c>
      <c r="X1143" s="20">
        <f>IFERROR(IF([1]对账明细接口!$S1143=0,"",[1]对账明细接口!$S1143),"")</f>
      </c>
      <c r="Y1143" s="20">
        <f>IFERROR(IF([1]对账明细接口!$T1143=0,"",[1]对账明细接口!$T1143),"")</f>
      </c>
      <c r="Z1143" s="213">
        <f>IFERROR(IF([1]对账明细接口!$U1143=0,"",[1]对账明细接口!$U1143),"")</f>
      </c>
      <c r="AA1143" s="213">
        <f>IFERROR(IF([1]对账明细接口!$V1143=0,"",[1]对账明细接口!$V1143),"")</f>
      </c>
      <c r="AB1143" s="20">
        <f>IFERROR(IF([1]对账明细接口!$W1143=0,"",[1]对账明细接口!$W1143),"")</f>
      </c>
      <c r="AC1143" s="7">
        <f>IFERROR(IF([1]对账明细接口!$X1143=0,"",[1]对账明细接口!$X1143),"")</f>
      </c>
      <c r="AD1143" s="7">
        <f>IFERROR(IF([1]对账明细接口!$Y1143=0,"",[1]对账明细接口!$Y1143),"")</f>
      </c>
      <c r="AE1143" s="7">
        <f>IFERROR(IF([1]对账明细接口!$AA1143=0,"",[1]对账明细接口!$AA1143),"")</f>
      </c>
      <c r="AF1143" s="7">
        <f>IFERROR(IF([1]对账明细接口!$AB1143=0,"",[1]对账明细接口!$AB1143),"")</f>
      </c>
      <c r="AG1143" s="7">
        <f>IFERROR(IF([1]对账明细接口!$AC1143=0,"",[1]对账明细接口!$AC1143),"")</f>
      </c>
      <c r="AH1143" s="7">
        <f>IFERROR(IF([1]对账明细接口!$AD1143=0,"",[1]对账明细接口!$AD1143),"")</f>
      </c>
      <c r="AI1143" s="7">
        <f>IFERROR(IF([1]对账明细接口!$AE1143=0,"",[1]对账明细接口!$AE1143),"")</f>
      </c>
      <c r="AJ1143" s="7">
        <f>IFERROR(IF([1]对账明细接口!$AF1143=0,"",[1]对账明细接口!$AF1143),"")</f>
      </c>
    </row>
    <row r="1144" ht="14.25" customHeight="1" s="127">
      <c r="A1144" s="14" t="n">
        <v>1144</v>
      </c>
      <c r="B1144" s="211">
        <f>IFERROR(IF([1]对账明细接口!$B$1144=0,"",[1]对账明细接口!$B$1144),"")</f>
      </c>
      <c r="C1144" s="16">
        <f>IFERROR(IF([1]对账明细接口!$C$1144=0,"",[1]对账明细接口!$C$1144),"")</f>
      </c>
      <c r="D1144" s="16">
        <f>IFERROR(IF([1]对账明细接口!$D$1144=0,"",[1]对账明细接口!$D$1144),"")</f>
      </c>
      <c r="E1144" s="16">
        <f>IFERROR(IF([1]对账明细接口!$E$1144=0,"",[1]对账明细接口!$E$1144),"")</f>
      </c>
      <c r="F1144" s="16">
        <f>IFERROR(IF([1]对账明细接口!$F$1144=0,"",[1]对账明细接口!$F$1144),"")</f>
      </c>
      <c r="G1144" s="16">
        <f>IFERROR(IF([1]对账明细接口!$G$1144=0,"",[1]对账明细接口!$G$1144),"")</f>
      </c>
      <c r="H1144" s="176">
        <f>IFERROR(IF([1]对账明细接口!$H$1144=0,"",[1]对账明细接口!$H$1144),"")</f>
      </c>
      <c r="I1144" s="16">
        <f>IFERROR(IF([1]对账明细接口!$I$1144=0,"",[1]对账明细接口!$I$1144),"")</f>
      </c>
      <c r="J1144" s="177">
        <f>IFERROR(IF([1]对账明细接口!$J$1144=0,"",[1]对账明细接口!$J$1144),"")</f>
      </c>
      <c r="K1144" s="177">
        <f>IFERROR(IF([1]对账明细接口!$K$1144=0,"",[1]对账明细接口!$K$1144),"")</f>
      </c>
      <c r="L1144" s="16">
        <f>IFERROR(IF([1]对账明细接口!$L$1144=0,"",[1]对账明细接口!$L$1144),"")</f>
      </c>
      <c r="M1144" s="16">
        <f>IFERROR(IF([1]对账明细接口!$M$1144=0,"",[1]对账明细接口!$M$1144),"")</f>
      </c>
      <c r="N1144" s="19">
        <f>IF($C1144="",0,1)</f>
        <v>0</v>
      </c>
      <c r="O1144" s="19">
        <f>N(O1143)+$N1144</f>
        <v>637</v>
      </c>
      <c r="S1144" s="20">
        <f>IFERROR(IF([1]对账明细接口!$N1144=0,"",[1]对账明细接口!$N1144),"")</f>
      </c>
      <c r="T1144" s="212">
        <f>IFERROR(IF([1]对账明细接口!$O1144=0,"",[1]对账明细接口!$O1144),"")</f>
      </c>
      <c r="U1144" s="212">
        <f>IFERROR(IF([1]对账明细接口!$P1144=0,"",[1]对账明细接口!$P1144),"")</f>
      </c>
      <c r="V1144" s="212">
        <f>IFERROR(IF([1]对账明细接口!$Q1144=0,"",[1]对账明细接口!$Q1144),"")</f>
      </c>
      <c r="W1144" s="20">
        <f>IFERROR(IF([1]对账明细接口!$R1144=0,"",[1]对账明细接口!$R1144),"")</f>
      </c>
      <c r="X1144" s="20">
        <f>IFERROR(IF([1]对账明细接口!$S1144=0,"",[1]对账明细接口!$S1144),"")</f>
      </c>
      <c r="Y1144" s="20">
        <f>IFERROR(IF([1]对账明细接口!$T1144=0,"",[1]对账明细接口!$T1144),"")</f>
      </c>
      <c r="Z1144" s="213">
        <f>IFERROR(IF([1]对账明细接口!$U1144=0,"",[1]对账明细接口!$U1144),"")</f>
      </c>
      <c r="AA1144" s="213">
        <f>IFERROR(IF([1]对账明细接口!$V1144=0,"",[1]对账明细接口!$V1144),"")</f>
      </c>
      <c r="AB1144" s="20">
        <f>IFERROR(IF([1]对账明细接口!$W1144=0,"",[1]对账明细接口!$W1144),"")</f>
      </c>
      <c r="AC1144" s="7">
        <f>IFERROR(IF([1]对账明细接口!$X1144=0,"",[1]对账明细接口!$X1144),"")</f>
      </c>
      <c r="AD1144" s="7">
        <f>IFERROR(IF([1]对账明细接口!$Y1144=0,"",[1]对账明细接口!$Y1144),"")</f>
      </c>
      <c r="AE1144" s="7">
        <f>IFERROR(IF([1]对账明细接口!$AA1144=0,"",[1]对账明细接口!$AA1144),"")</f>
      </c>
      <c r="AF1144" s="7">
        <f>IFERROR(IF([1]对账明细接口!$AB1144=0,"",[1]对账明细接口!$AB1144),"")</f>
      </c>
      <c r="AG1144" s="7">
        <f>IFERROR(IF([1]对账明细接口!$AC1144=0,"",[1]对账明细接口!$AC1144),"")</f>
      </c>
      <c r="AH1144" s="7">
        <f>IFERROR(IF([1]对账明细接口!$AD1144=0,"",[1]对账明细接口!$AD1144),"")</f>
      </c>
      <c r="AI1144" s="7">
        <f>IFERROR(IF([1]对账明细接口!$AE1144=0,"",[1]对账明细接口!$AE1144),"")</f>
      </c>
      <c r="AJ1144" s="7">
        <f>IFERROR(IF([1]对账明细接口!$AF1144=0,"",[1]对账明细接口!$AF1144),"")</f>
      </c>
    </row>
    <row r="1145" ht="14.25" customHeight="1" s="127">
      <c r="A1145" s="14" t="n">
        <v>1145</v>
      </c>
      <c r="B1145" s="211">
        <f>IFERROR(IF([1]对账明细接口!$B$1145=0,"",[1]对账明细接口!$B$1145),"")</f>
      </c>
      <c r="C1145" s="16">
        <f>IFERROR(IF([1]对账明细接口!$C$1145=0,"",[1]对账明细接口!$C$1145),"")</f>
      </c>
      <c r="D1145" s="16">
        <f>IFERROR(IF([1]对账明细接口!$D$1145=0,"",[1]对账明细接口!$D$1145),"")</f>
      </c>
      <c r="E1145" s="16">
        <f>IFERROR(IF([1]对账明细接口!$E$1145=0,"",[1]对账明细接口!$E$1145),"")</f>
      </c>
      <c r="F1145" s="16">
        <f>IFERROR(IF([1]对账明细接口!$F$1145=0,"",[1]对账明细接口!$F$1145),"")</f>
      </c>
      <c r="G1145" s="16">
        <f>IFERROR(IF([1]对账明细接口!$G$1145=0,"",[1]对账明细接口!$G$1145),"")</f>
      </c>
      <c r="H1145" s="176">
        <f>IFERROR(IF([1]对账明细接口!$H$1145=0,"",[1]对账明细接口!$H$1145),"")</f>
      </c>
      <c r="I1145" s="16">
        <f>IFERROR(IF([1]对账明细接口!$I$1145=0,"",[1]对账明细接口!$I$1145),"")</f>
      </c>
      <c r="J1145" s="177">
        <f>IFERROR(IF([1]对账明细接口!$J$1145=0,"",[1]对账明细接口!$J$1145),"")</f>
      </c>
      <c r="K1145" s="177">
        <f>IFERROR(IF([1]对账明细接口!$K$1145=0,"",[1]对账明细接口!$K$1145),"")</f>
      </c>
      <c r="L1145" s="16">
        <f>IFERROR(IF([1]对账明细接口!$L$1145=0,"",[1]对账明细接口!$L$1145),"")</f>
      </c>
      <c r="M1145" s="16">
        <f>IFERROR(IF([1]对账明细接口!$M$1145=0,"",[1]对账明细接口!$M$1145),"")</f>
      </c>
      <c r="N1145" s="19">
        <f>IF($C1145="",0,1)</f>
        <v>0</v>
      </c>
      <c r="O1145" s="19">
        <f>N(O1144)+$N1145</f>
        <v>637</v>
      </c>
      <c r="S1145" s="20">
        <f>IFERROR(IF([1]对账明细接口!$N1145=0,"",[1]对账明细接口!$N1145),"")</f>
      </c>
      <c r="T1145" s="212">
        <f>IFERROR(IF([1]对账明细接口!$O1145=0,"",[1]对账明细接口!$O1145),"")</f>
      </c>
      <c r="U1145" s="212">
        <f>IFERROR(IF([1]对账明细接口!$P1145=0,"",[1]对账明细接口!$P1145),"")</f>
      </c>
      <c r="V1145" s="212">
        <f>IFERROR(IF([1]对账明细接口!$Q1145=0,"",[1]对账明细接口!$Q1145),"")</f>
      </c>
      <c r="W1145" s="20">
        <f>IFERROR(IF([1]对账明细接口!$R1145=0,"",[1]对账明细接口!$R1145),"")</f>
      </c>
      <c r="X1145" s="20">
        <f>IFERROR(IF([1]对账明细接口!$S1145=0,"",[1]对账明细接口!$S1145),"")</f>
      </c>
      <c r="Y1145" s="20">
        <f>IFERROR(IF([1]对账明细接口!$T1145=0,"",[1]对账明细接口!$T1145),"")</f>
      </c>
      <c r="Z1145" s="213">
        <f>IFERROR(IF([1]对账明细接口!$U1145=0,"",[1]对账明细接口!$U1145),"")</f>
      </c>
      <c r="AA1145" s="213">
        <f>IFERROR(IF([1]对账明细接口!$V1145=0,"",[1]对账明细接口!$V1145),"")</f>
      </c>
      <c r="AB1145" s="20">
        <f>IFERROR(IF([1]对账明细接口!$W1145=0,"",[1]对账明细接口!$W1145),"")</f>
      </c>
      <c r="AC1145" s="7">
        <f>IFERROR(IF([1]对账明细接口!$X1145=0,"",[1]对账明细接口!$X1145),"")</f>
      </c>
      <c r="AD1145" s="7">
        <f>IFERROR(IF([1]对账明细接口!$Y1145=0,"",[1]对账明细接口!$Y1145),"")</f>
      </c>
      <c r="AE1145" s="7">
        <f>IFERROR(IF([1]对账明细接口!$AA1145=0,"",[1]对账明细接口!$AA1145),"")</f>
      </c>
      <c r="AF1145" s="7">
        <f>IFERROR(IF([1]对账明细接口!$AB1145=0,"",[1]对账明细接口!$AB1145),"")</f>
      </c>
      <c r="AG1145" s="7">
        <f>IFERROR(IF([1]对账明细接口!$AC1145=0,"",[1]对账明细接口!$AC1145),"")</f>
      </c>
      <c r="AH1145" s="7">
        <f>IFERROR(IF([1]对账明细接口!$AD1145=0,"",[1]对账明细接口!$AD1145),"")</f>
      </c>
      <c r="AI1145" s="7">
        <f>IFERROR(IF([1]对账明细接口!$AE1145=0,"",[1]对账明细接口!$AE1145),"")</f>
      </c>
      <c r="AJ1145" s="7">
        <f>IFERROR(IF([1]对账明细接口!$AF1145=0,"",[1]对账明细接口!$AF1145),"")</f>
      </c>
    </row>
    <row r="1146" ht="14.25" customHeight="1" s="127">
      <c r="A1146" s="14" t="n">
        <v>1146</v>
      </c>
      <c r="B1146" s="211">
        <f>IFERROR(IF([1]对账明细接口!$B$1146=0,"",[1]对账明细接口!$B$1146),"")</f>
      </c>
      <c r="C1146" s="16">
        <f>IFERROR(IF([1]对账明细接口!$C$1146=0,"",[1]对账明细接口!$C$1146),"")</f>
      </c>
      <c r="D1146" s="16">
        <f>IFERROR(IF([1]对账明细接口!$D$1146=0,"",[1]对账明细接口!$D$1146),"")</f>
      </c>
      <c r="E1146" s="16">
        <f>IFERROR(IF([1]对账明细接口!$E$1146=0,"",[1]对账明细接口!$E$1146),"")</f>
      </c>
      <c r="F1146" s="16">
        <f>IFERROR(IF([1]对账明细接口!$F$1146=0,"",[1]对账明细接口!$F$1146),"")</f>
      </c>
      <c r="G1146" s="16">
        <f>IFERROR(IF([1]对账明细接口!$G$1146=0,"",[1]对账明细接口!$G$1146),"")</f>
      </c>
      <c r="H1146" s="176">
        <f>IFERROR(IF([1]对账明细接口!$H$1146=0,"",[1]对账明细接口!$H$1146),"")</f>
      </c>
      <c r="I1146" s="16">
        <f>IFERROR(IF([1]对账明细接口!$I$1146=0,"",[1]对账明细接口!$I$1146),"")</f>
      </c>
      <c r="J1146" s="177">
        <f>IFERROR(IF([1]对账明细接口!$J$1146=0,"",[1]对账明细接口!$J$1146),"")</f>
      </c>
      <c r="K1146" s="177">
        <f>IFERROR(IF([1]对账明细接口!$K$1146=0,"",[1]对账明细接口!$K$1146),"")</f>
      </c>
      <c r="L1146" s="16">
        <f>IFERROR(IF([1]对账明细接口!$L$1146=0,"",[1]对账明细接口!$L$1146),"")</f>
      </c>
      <c r="M1146" s="16">
        <f>IFERROR(IF([1]对账明细接口!$M$1146=0,"",[1]对账明细接口!$M$1146),"")</f>
      </c>
      <c r="N1146" s="19">
        <f>IF($C1146="",0,1)</f>
        <v>0</v>
      </c>
      <c r="O1146" s="19">
        <f>N(O1145)+$N1146</f>
        <v>637</v>
      </c>
      <c r="S1146" s="20">
        <f>IFERROR(IF([1]对账明细接口!$N1146=0,"",[1]对账明细接口!$N1146),"")</f>
      </c>
      <c r="T1146" s="212">
        <f>IFERROR(IF([1]对账明细接口!$O1146=0,"",[1]对账明细接口!$O1146),"")</f>
      </c>
      <c r="U1146" s="212">
        <f>IFERROR(IF([1]对账明细接口!$P1146=0,"",[1]对账明细接口!$P1146),"")</f>
      </c>
      <c r="V1146" s="212">
        <f>IFERROR(IF([1]对账明细接口!$Q1146=0,"",[1]对账明细接口!$Q1146),"")</f>
      </c>
      <c r="W1146" s="20">
        <f>IFERROR(IF([1]对账明细接口!$R1146=0,"",[1]对账明细接口!$R1146),"")</f>
      </c>
      <c r="X1146" s="20">
        <f>IFERROR(IF([1]对账明细接口!$S1146=0,"",[1]对账明细接口!$S1146),"")</f>
      </c>
      <c r="Y1146" s="20">
        <f>IFERROR(IF([1]对账明细接口!$T1146=0,"",[1]对账明细接口!$T1146),"")</f>
      </c>
      <c r="Z1146" s="213">
        <f>IFERROR(IF([1]对账明细接口!$U1146=0,"",[1]对账明细接口!$U1146),"")</f>
      </c>
      <c r="AA1146" s="213">
        <f>IFERROR(IF([1]对账明细接口!$V1146=0,"",[1]对账明细接口!$V1146),"")</f>
      </c>
      <c r="AB1146" s="20">
        <f>IFERROR(IF([1]对账明细接口!$W1146=0,"",[1]对账明细接口!$W1146),"")</f>
      </c>
      <c r="AC1146" s="7">
        <f>IFERROR(IF([1]对账明细接口!$X1146=0,"",[1]对账明细接口!$X1146),"")</f>
      </c>
      <c r="AD1146" s="7">
        <f>IFERROR(IF([1]对账明细接口!$Y1146=0,"",[1]对账明细接口!$Y1146),"")</f>
      </c>
      <c r="AE1146" s="7">
        <f>IFERROR(IF([1]对账明细接口!$AA1146=0,"",[1]对账明细接口!$AA1146),"")</f>
      </c>
      <c r="AF1146" s="7">
        <f>IFERROR(IF([1]对账明细接口!$AB1146=0,"",[1]对账明细接口!$AB1146),"")</f>
      </c>
      <c r="AG1146" s="7">
        <f>IFERROR(IF([1]对账明细接口!$AC1146=0,"",[1]对账明细接口!$AC1146),"")</f>
      </c>
      <c r="AH1146" s="7">
        <f>IFERROR(IF([1]对账明细接口!$AD1146=0,"",[1]对账明细接口!$AD1146),"")</f>
      </c>
      <c r="AI1146" s="7">
        <f>IFERROR(IF([1]对账明细接口!$AE1146=0,"",[1]对账明细接口!$AE1146),"")</f>
      </c>
      <c r="AJ1146" s="7">
        <f>IFERROR(IF([1]对账明细接口!$AF1146=0,"",[1]对账明细接口!$AF1146),"")</f>
      </c>
    </row>
    <row r="1147" ht="14.25" customHeight="1" s="127">
      <c r="A1147" s="14" t="n">
        <v>1147</v>
      </c>
      <c r="B1147" s="211">
        <f>IFERROR(IF([1]对账明细接口!$B$1147=0,"",[1]对账明细接口!$B$1147),"")</f>
      </c>
      <c r="C1147" s="16">
        <f>IFERROR(IF([1]对账明细接口!$C$1147=0,"",[1]对账明细接口!$C$1147),"")</f>
      </c>
      <c r="D1147" s="16">
        <f>IFERROR(IF([1]对账明细接口!$D$1147=0,"",[1]对账明细接口!$D$1147),"")</f>
      </c>
      <c r="E1147" s="16">
        <f>IFERROR(IF([1]对账明细接口!$E$1147=0,"",[1]对账明细接口!$E$1147),"")</f>
      </c>
      <c r="F1147" s="16">
        <f>IFERROR(IF([1]对账明细接口!$F$1147=0,"",[1]对账明细接口!$F$1147),"")</f>
      </c>
      <c r="G1147" s="16">
        <f>IFERROR(IF([1]对账明细接口!$G$1147=0,"",[1]对账明细接口!$G$1147),"")</f>
      </c>
      <c r="H1147" s="176">
        <f>IFERROR(IF([1]对账明细接口!$H$1147=0,"",[1]对账明细接口!$H$1147),"")</f>
      </c>
      <c r="I1147" s="16">
        <f>IFERROR(IF([1]对账明细接口!$I$1147=0,"",[1]对账明细接口!$I$1147),"")</f>
      </c>
      <c r="J1147" s="177">
        <f>IFERROR(IF([1]对账明细接口!$J$1147=0,"",[1]对账明细接口!$J$1147),"")</f>
      </c>
      <c r="K1147" s="177">
        <f>IFERROR(IF([1]对账明细接口!$K$1147=0,"",[1]对账明细接口!$K$1147),"")</f>
      </c>
      <c r="L1147" s="16">
        <f>IFERROR(IF([1]对账明细接口!$L$1147=0,"",[1]对账明细接口!$L$1147),"")</f>
      </c>
      <c r="M1147" s="16">
        <f>IFERROR(IF([1]对账明细接口!$M$1147=0,"",[1]对账明细接口!$M$1147),"")</f>
      </c>
      <c r="N1147" s="19">
        <f>IF($C1147="",0,1)</f>
        <v>0</v>
      </c>
      <c r="O1147" s="19">
        <f>N(O1146)+$N1147</f>
        <v>637</v>
      </c>
      <c r="S1147" s="20">
        <f>IFERROR(IF([1]对账明细接口!$N1147=0,"",[1]对账明细接口!$N1147),"")</f>
      </c>
      <c r="T1147" s="212">
        <f>IFERROR(IF([1]对账明细接口!$O1147=0,"",[1]对账明细接口!$O1147),"")</f>
      </c>
      <c r="U1147" s="212">
        <f>IFERROR(IF([1]对账明细接口!$P1147=0,"",[1]对账明细接口!$P1147),"")</f>
      </c>
      <c r="V1147" s="212">
        <f>IFERROR(IF([1]对账明细接口!$Q1147=0,"",[1]对账明细接口!$Q1147),"")</f>
      </c>
      <c r="W1147" s="20">
        <f>IFERROR(IF([1]对账明细接口!$R1147=0,"",[1]对账明细接口!$R1147),"")</f>
      </c>
      <c r="X1147" s="20">
        <f>IFERROR(IF([1]对账明细接口!$S1147=0,"",[1]对账明细接口!$S1147),"")</f>
      </c>
      <c r="Y1147" s="20">
        <f>IFERROR(IF([1]对账明细接口!$T1147=0,"",[1]对账明细接口!$T1147),"")</f>
      </c>
      <c r="Z1147" s="213">
        <f>IFERROR(IF([1]对账明细接口!$U1147=0,"",[1]对账明细接口!$U1147),"")</f>
      </c>
      <c r="AA1147" s="213">
        <f>IFERROR(IF([1]对账明细接口!$V1147=0,"",[1]对账明细接口!$V1147),"")</f>
      </c>
      <c r="AB1147" s="20">
        <f>IFERROR(IF([1]对账明细接口!$W1147=0,"",[1]对账明细接口!$W1147),"")</f>
      </c>
      <c r="AC1147" s="7">
        <f>IFERROR(IF([1]对账明细接口!$X1147=0,"",[1]对账明细接口!$X1147),"")</f>
      </c>
      <c r="AD1147" s="7">
        <f>IFERROR(IF([1]对账明细接口!$Y1147=0,"",[1]对账明细接口!$Y1147),"")</f>
      </c>
      <c r="AE1147" s="7">
        <f>IFERROR(IF([1]对账明细接口!$AA1147=0,"",[1]对账明细接口!$AA1147),"")</f>
      </c>
      <c r="AF1147" s="7">
        <f>IFERROR(IF([1]对账明细接口!$AB1147=0,"",[1]对账明细接口!$AB1147),"")</f>
      </c>
      <c r="AG1147" s="7">
        <f>IFERROR(IF([1]对账明细接口!$AC1147=0,"",[1]对账明细接口!$AC1147),"")</f>
      </c>
      <c r="AH1147" s="7">
        <f>IFERROR(IF([1]对账明细接口!$AD1147=0,"",[1]对账明细接口!$AD1147),"")</f>
      </c>
      <c r="AI1147" s="7">
        <f>IFERROR(IF([1]对账明细接口!$AE1147=0,"",[1]对账明细接口!$AE1147),"")</f>
      </c>
      <c r="AJ1147" s="7">
        <f>IFERROR(IF([1]对账明细接口!$AF1147=0,"",[1]对账明细接口!$AF1147),"")</f>
      </c>
    </row>
    <row r="1148" ht="14.25" customHeight="1" s="127">
      <c r="A1148" s="14" t="n">
        <v>1148</v>
      </c>
      <c r="B1148" s="211">
        <f>IFERROR(IF([1]对账明细接口!$B$1148=0,"",[1]对账明细接口!$B$1148),"")</f>
      </c>
      <c r="C1148" s="16">
        <f>IFERROR(IF([1]对账明细接口!$C$1148=0,"",[1]对账明细接口!$C$1148),"")</f>
      </c>
      <c r="D1148" s="16">
        <f>IFERROR(IF([1]对账明细接口!$D$1148=0,"",[1]对账明细接口!$D$1148),"")</f>
      </c>
      <c r="E1148" s="16">
        <f>IFERROR(IF([1]对账明细接口!$E$1148=0,"",[1]对账明细接口!$E$1148),"")</f>
      </c>
      <c r="F1148" s="16">
        <f>IFERROR(IF([1]对账明细接口!$F$1148=0,"",[1]对账明细接口!$F$1148),"")</f>
      </c>
      <c r="G1148" s="16">
        <f>IFERROR(IF([1]对账明细接口!$G$1148=0,"",[1]对账明细接口!$G$1148),"")</f>
      </c>
      <c r="H1148" s="176">
        <f>IFERROR(IF([1]对账明细接口!$H$1148=0,"",[1]对账明细接口!$H$1148),"")</f>
      </c>
      <c r="I1148" s="16">
        <f>IFERROR(IF([1]对账明细接口!$I$1148=0,"",[1]对账明细接口!$I$1148),"")</f>
      </c>
      <c r="J1148" s="177">
        <f>IFERROR(IF([1]对账明细接口!$J$1148=0,"",[1]对账明细接口!$J$1148),"")</f>
      </c>
      <c r="K1148" s="177">
        <f>IFERROR(IF([1]对账明细接口!$K$1148=0,"",[1]对账明细接口!$K$1148),"")</f>
      </c>
      <c r="L1148" s="16">
        <f>IFERROR(IF([1]对账明细接口!$L$1148=0,"",[1]对账明细接口!$L$1148),"")</f>
      </c>
      <c r="M1148" s="16">
        <f>IFERROR(IF([1]对账明细接口!$M$1148=0,"",[1]对账明细接口!$M$1148),"")</f>
      </c>
      <c r="N1148" s="19">
        <f>IF($C1148="",0,1)</f>
        <v>0</v>
      </c>
      <c r="O1148" s="19">
        <f>N(O1147)+$N1148</f>
        <v>637</v>
      </c>
      <c r="S1148" s="20">
        <f>IFERROR(IF([1]对账明细接口!$N1148=0,"",[1]对账明细接口!$N1148),"")</f>
      </c>
      <c r="T1148" s="212">
        <f>IFERROR(IF([1]对账明细接口!$O1148=0,"",[1]对账明细接口!$O1148),"")</f>
      </c>
      <c r="U1148" s="212">
        <f>IFERROR(IF([1]对账明细接口!$P1148=0,"",[1]对账明细接口!$P1148),"")</f>
      </c>
      <c r="V1148" s="212">
        <f>IFERROR(IF([1]对账明细接口!$Q1148=0,"",[1]对账明细接口!$Q1148),"")</f>
      </c>
      <c r="W1148" s="20">
        <f>IFERROR(IF([1]对账明细接口!$R1148=0,"",[1]对账明细接口!$R1148),"")</f>
      </c>
      <c r="X1148" s="20">
        <f>IFERROR(IF([1]对账明细接口!$S1148=0,"",[1]对账明细接口!$S1148),"")</f>
      </c>
      <c r="Y1148" s="20">
        <f>IFERROR(IF([1]对账明细接口!$T1148=0,"",[1]对账明细接口!$T1148),"")</f>
      </c>
      <c r="Z1148" s="213">
        <f>IFERROR(IF([1]对账明细接口!$U1148=0,"",[1]对账明细接口!$U1148),"")</f>
      </c>
      <c r="AA1148" s="213">
        <f>IFERROR(IF([1]对账明细接口!$V1148=0,"",[1]对账明细接口!$V1148),"")</f>
      </c>
      <c r="AB1148" s="20">
        <f>IFERROR(IF([1]对账明细接口!$W1148=0,"",[1]对账明细接口!$W1148),"")</f>
      </c>
      <c r="AC1148" s="7">
        <f>IFERROR(IF([1]对账明细接口!$X1148=0,"",[1]对账明细接口!$X1148),"")</f>
      </c>
      <c r="AD1148" s="7">
        <f>IFERROR(IF([1]对账明细接口!$Y1148=0,"",[1]对账明细接口!$Y1148),"")</f>
      </c>
      <c r="AE1148" s="7">
        <f>IFERROR(IF([1]对账明细接口!$AA1148=0,"",[1]对账明细接口!$AA1148),"")</f>
      </c>
      <c r="AF1148" s="7">
        <f>IFERROR(IF([1]对账明细接口!$AB1148=0,"",[1]对账明细接口!$AB1148),"")</f>
      </c>
      <c r="AG1148" s="7">
        <f>IFERROR(IF([1]对账明细接口!$AC1148=0,"",[1]对账明细接口!$AC1148),"")</f>
      </c>
      <c r="AH1148" s="7">
        <f>IFERROR(IF([1]对账明细接口!$AD1148=0,"",[1]对账明细接口!$AD1148),"")</f>
      </c>
      <c r="AI1148" s="7">
        <f>IFERROR(IF([1]对账明细接口!$AE1148=0,"",[1]对账明细接口!$AE1148),"")</f>
      </c>
      <c r="AJ1148" s="7">
        <f>IFERROR(IF([1]对账明细接口!$AF1148=0,"",[1]对账明细接口!$AF1148),"")</f>
      </c>
    </row>
    <row r="1149" ht="14.25" customHeight="1" s="127">
      <c r="A1149" s="14" t="n">
        <v>1149</v>
      </c>
      <c r="B1149" s="211">
        <f>IFERROR(IF([1]对账明细接口!$B$1149=0,"",[1]对账明细接口!$B$1149),"")</f>
      </c>
      <c r="C1149" s="16">
        <f>IFERROR(IF([1]对账明细接口!$C$1149=0,"",[1]对账明细接口!$C$1149),"")</f>
      </c>
      <c r="D1149" s="16">
        <f>IFERROR(IF([1]对账明细接口!$D$1149=0,"",[1]对账明细接口!$D$1149),"")</f>
      </c>
      <c r="E1149" s="16">
        <f>IFERROR(IF([1]对账明细接口!$E$1149=0,"",[1]对账明细接口!$E$1149),"")</f>
      </c>
      <c r="F1149" s="16">
        <f>IFERROR(IF([1]对账明细接口!$F$1149=0,"",[1]对账明细接口!$F$1149),"")</f>
      </c>
      <c r="G1149" s="16">
        <f>IFERROR(IF([1]对账明细接口!$G$1149=0,"",[1]对账明细接口!$G$1149),"")</f>
      </c>
      <c r="H1149" s="176">
        <f>IFERROR(IF([1]对账明细接口!$H$1149=0,"",[1]对账明细接口!$H$1149),"")</f>
      </c>
      <c r="I1149" s="16">
        <f>IFERROR(IF([1]对账明细接口!$I$1149=0,"",[1]对账明细接口!$I$1149),"")</f>
      </c>
      <c r="J1149" s="177">
        <f>IFERROR(IF([1]对账明细接口!$J$1149=0,"",[1]对账明细接口!$J$1149),"")</f>
      </c>
      <c r="K1149" s="177">
        <f>IFERROR(IF([1]对账明细接口!$K$1149=0,"",[1]对账明细接口!$K$1149),"")</f>
      </c>
      <c r="L1149" s="16">
        <f>IFERROR(IF([1]对账明细接口!$L$1149=0,"",[1]对账明细接口!$L$1149),"")</f>
      </c>
      <c r="M1149" s="16">
        <f>IFERROR(IF([1]对账明细接口!$M$1149=0,"",[1]对账明细接口!$M$1149),"")</f>
      </c>
      <c r="N1149" s="19">
        <f>IF($C1149="",0,1)</f>
        <v>0</v>
      </c>
      <c r="O1149" s="19">
        <f>N(O1148)+$N1149</f>
        <v>637</v>
      </c>
      <c r="S1149" s="20">
        <f>IFERROR(IF([1]对账明细接口!$N1149=0,"",[1]对账明细接口!$N1149),"")</f>
      </c>
      <c r="T1149" s="212">
        <f>IFERROR(IF([1]对账明细接口!$O1149=0,"",[1]对账明细接口!$O1149),"")</f>
      </c>
      <c r="U1149" s="212">
        <f>IFERROR(IF([1]对账明细接口!$P1149=0,"",[1]对账明细接口!$P1149),"")</f>
      </c>
      <c r="V1149" s="212">
        <f>IFERROR(IF([1]对账明细接口!$Q1149=0,"",[1]对账明细接口!$Q1149),"")</f>
      </c>
      <c r="W1149" s="20">
        <f>IFERROR(IF([1]对账明细接口!$R1149=0,"",[1]对账明细接口!$R1149),"")</f>
      </c>
      <c r="X1149" s="20">
        <f>IFERROR(IF([1]对账明细接口!$S1149=0,"",[1]对账明细接口!$S1149),"")</f>
      </c>
      <c r="Y1149" s="20">
        <f>IFERROR(IF([1]对账明细接口!$T1149=0,"",[1]对账明细接口!$T1149),"")</f>
      </c>
      <c r="Z1149" s="213">
        <f>IFERROR(IF([1]对账明细接口!$U1149=0,"",[1]对账明细接口!$U1149),"")</f>
      </c>
      <c r="AA1149" s="213">
        <f>IFERROR(IF([1]对账明细接口!$V1149=0,"",[1]对账明细接口!$V1149),"")</f>
      </c>
      <c r="AB1149" s="20">
        <f>IFERROR(IF([1]对账明细接口!$W1149=0,"",[1]对账明细接口!$W1149),"")</f>
      </c>
      <c r="AC1149" s="7">
        <f>IFERROR(IF([1]对账明细接口!$X1149=0,"",[1]对账明细接口!$X1149),"")</f>
      </c>
      <c r="AD1149" s="7">
        <f>IFERROR(IF([1]对账明细接口!$Y1149=0,"",[1]对账明细接口!$Y1149),"")</f>
      </c>
      <c r="AE1149" s="7">
        <f>IFERROR(IF([1]对账明细接口!$AA1149=0,"",[1]对账明细接口!$AA1149),"")</f>
      </c>
      <c r="AF1149" s="7">
        <f>IFERROR(IF([1]对账明细接口!$AB1149=0,"",[1]对账明细接口!$AB1149),"")</f>
      </c>
      <c r="AG1149" s="7">
        <f>IFERROR(IF([1]对账明细接口!$AC1149=0,"",[1]对账明细接口!$AC1149),"")</f>
      </c>
      <c r="AH1149" s="7">
        <f>IFERROR(IF([1]对账明细接口!$AD1149=0,"",[1]对账明细接口!$AD1149),"")</f>
      </c>
      <c r="AI1149" s="7">
        <f>IFERROR(IF([1]对账明细接口!$AE1149=0,"",[1]对账明细接口!$AE1149),"")</f>
      </c>
      <c r="AJ1149" s="7">
        <f>IFERROR(IF([1]对账明细接口!$AF1149=0,"",[1]对账明细接口!$AF1149),"")</f>
      </c>
    </row>
    <row r="1150" ht="14.25" customHeight="1" s="127">
      <c r="A1150" s="14" t="n">
        <v>1150</v>
      </c>
      <c r="B1150" s="211">
        <f>IFERROR(IF([1]对账明细接口!$B$1150=0,"",[1]对账明细接口!$B$1150),"")</f>
      </c>
      <c r="C1150" s="16">
        <f>IFERROR(IF([1]对账明细接口!$C$1150=0,"",[1]对账明细接口!$C$1150),"")</f>
      </c>
      <c r="D1150" s="16">
        <f>IFERROR(IF([1]对账明细接口!$D$1150=0,"",[1]对账明细接口!$D$1150),"")</f>
      </c>
      <c r="E1150" s="16">
        <f>IFERROR(IF([1]对账明细接口!$E$1150=0,"",[1]对账明细接口!$E$1150),"")</f>
      </c>
      <c r="F1150" s="16">
        <f>IFERROR(IF([1]对账明细接口!$F$1150=0,"",[1]对账明细接口!$F$1150),"")</f>
      </c>
      <c r="G1150" s="16">
        <f>IFERROR(IF([1]对账明细接口!$G$1150=0,"",[1]对账明细接口!$G$1150),"")</f>
      </c>
      <c r="H1150" s="176">
        <f>IFERROR(IF([1]对账明细接口!$H$1150=0,"",[1]对账明细接口!$H$1150),"")</f>
      </c>
      <c r="I1150" s="16">
        <f>IFERROR(IF([1]对账明细接口!$I$1150=0,"",[1]对账明细接口!$I$1150),"")</f>
      </c>
      <c r="J1150" s="177">
        <f>IFERROR(IF([1]对账明细接口!$J$1150=0,"",[1]对账明细接口!$J$1150),"")</f>
      </c>
      <c r="K1150" s="177">
        <f>IFERROR(IF([1]对账明细接口!$K$1150=0,"",[1]对账明细接口!$K$1150),"")</f>
      </c>
      <c r="L1150" s="16">
        <f>IFERROR(IF([1]对账明细接口!$L$1150=0,"",[1]对账明细接口!$L$1150),"")</f>
      </c>
      <c r="M1150" s="16">
        <f>IFERROR(IF([1]对账明细接口!$M$1150=0,"",[1]对账明细接口!$M$1150),"")</f>
      </c>
      <c r="N1150" s="19">
        <f>IF($C1150="",0,1)</f>
        <v>0</v>
      </c>
      <c r="O1150" s="19">
        <f>N(O1149)+$N1150</f>
        <v>637</v>
      </c>
      <c r="S1150" s="20">
        <f>IFERROR(IF([1]对账明细接口!$N1150=0,"",[1]对账明细接口!$N1150),"")</f>
      </c>
      <c r="T1150" s="212">
        <f>IFERROR(IF([1]对账明细接口!$O1150=0,"",[1]对账明细接口!$O1150),"")</f>
      </c>
      <c r="U1150" s="212">
        <f>IFERROR(IF([1]对账明细接口!$P1150=0,"",[1]对账明细接口!$P1150),"")</f>
      </c>
      <c r="V1150" s="212">
        <f>IFERROR(IF([1]对账明细接口!$Q1150=0,"",[1]对账明细接口!$Q1150),"")</f>
      </c>
      <c r="W1150" s="20">
        <f>IFERROR(IF([1]对账明细接口!$R1150=0,"",[1]对账明细接口!$R1150),"")</f>
      </c>
      <c r="X1150" s="20">
        <f>IFERROR(IF([1]对账明细接口!$S1150=0,"",[1]对账明细接口!$S1150),"")</f>
      </c>
      <c r="Y1150" s="20">
        <f>IFERROR(IF([1]对账明细接口!$T1150=0,"",[1]对账明细接口!$T1150),"")</f>
      </c>
      <c r="Z1150" s="213">
        <f>IFERROR(IF([1]对账明细接口!$U1150=0,"",[1]对账明细接口!$U1150),"")</f>
      </c>
      <c r="AA1150" s="213">
        <f>IFERROR(IF([1]对账明细接口!$V1150=0,"",[1]对账明细接口!$V1150),"")</f>
      </c>
      <c r="AB1150" s="20">
        <f>IFERROR(IF([1]对账明细接口!$W1150=0,"",[1]对账明细接口!$W1150),"")</f>
      </c>
      <c r="AC1150" s="7">
        <f>IFERROR(IF([1]对账明细接口!$X1150=0,"",[1]对账明细接口!$X1150),"")</f>
      </c>
      <c r="AD1150" s="7">
        <f>IFERROR(IF([1]对账明细接口!$Y1150=0,"",[1]对账明细接口!$Y1150),"")</f>
      </c>
      <c r="AE1150" s="7">
        <f>IFERROR(IF([1]对账明细接口!$AA1150=0,"",[1]对账明细接口!$AA1150),"")</f>
      </c>
      <c r="AF1150" s="7">
        <f>IFERROR(IF([1]对账明细接口!$AB1150=0,"",[1]对账明细接口!$AB1150),"")</f>
      </c>
      <c r="AG1150" s="7">
        <f>IFERROR(IF([1]对账明细接口!$AC1150=0,"",[1]对账明细接口!$AC1150),"")</f>
      </c>
      <c r="AH1150" s="7">
        <f>IFERROR(IF([1]对账明细接口!$AD1150=0,"",[1]对账明细接口!$AD1150),"")</f>
      </c>
      <c r="AI1150" s="7">
        <f>IFERROR(IF([1]对账明细接口!$AE1150=0,"",[1]对账明细接口!$AE1150),"")</f>
      </c>
      <c r="AJ1150" s="7">
        <f>IFERROR(IF([1]对账明细接口!$AF1150=0,"",[1]对账明细接口!$AF1150),"")</f>
      </c>
    </row>
    <row r="1151" ht="14.25" customHeight="1" s="127">
      <c r="A1151" s="14" t="n">
        <v>1151</v>
      </c>
      <c r="B1151" s="211">
        <f>IFERROR(IF([1]对账明细接口!$B$1151=0,"",[1]对账明细接口!$B$1151),"")</f>
      </c>
      <c r="C1151" s="16">
        <f>IFERROR(IF([1]对账明细接口!$C$1151=0,"",[1]对账明细接口!$C$1151),"")</f>
      </c>
      <c r="D1151" s="16">
        <f>IFERROR(IF([1]对账明细接口!$D$1151=0,"",[1]对账明细接口!$D$1151),"")</f>
      </c>
      <c r="E1151" s="16">
        <f>IFERROR(IF([1]对账明细接口!$E$1151=0,"",[1]对账明细接口!$E$1151),"")</f>
      </c>
      <c r="F1151" s="16">
        <f>IFERROR(IF([1]对账明细接口!$F$1151=0,"",[1]对账明细接口!$F$1151),"")</f>
      </c>
      <c r="G1151" s="16">
        <f>IFERROR(IF([1]对账明细接口!$G$1151=0,"",[1]对账明细接口!$G$1151),"")</f>
      </c>
      <c r="H1151" s="176">
        <f>IFERROR(IF([1]对账明细接口!$H$1151=0,"",[1]对账明细接口!$H$1151),"")</f>
      </c>
      <c r="I1151" s="16">
        <f>IFERROR(IF([1]对账明细接口!$I$1151=0,"",[1]对账明细接口!$I$1151),"")</f>
      </c>
      <c r="J1151" s="177">
        <f>IFERROR(IF([1]对账明细接口!$J$1151=0,"",[1]对账明细接口!$J$1151),"")</f>
      </c>
      <c r="K1151" s="177">
        <f>IFERROR(IF([1]对账明细接口!$K$1151=0,"",[1]对账明细接口!$K$1151),"")</f>
      </c>
      <c r="L1151" s="16">
        <f>IFERROR(IF([1]对账明细接口!$L$1151=0,"",[1]对账明细接口!$L$1151),"")</f>
      </c>
      <c r="M1151" s="16">
        <f>IFERROR(IF([1]对账明细接口!$M$1151=0,"",[1]对账明细接口!$M$1151),"")</f>
      </c>
      <c r="N1151" s="19">
        <f>IF($C1151="",0,1)</f>
        <v>0</v>
      </c>
      <c r="O1151" s="19">
        <f>N(O1150)+$N1151</f>
        <v>637</v>
      </c>
      <c r="S1151" s="20">
        <f>IFERROR(IF([1]对账明细接口!$N1151=0,"",[1]对账明细接口!$N1151),"")</f>
      </c>
      <c r="T1151" s="212">
        <f>IFERROR(IF([1]对账明细接口!$O1151=0,"",[1]对账明细接口!$O1151),"")</f>
      </c>
      <c r="U1151" s="212">
        <f>IFERROR(IF([1]对账明细接口!$P1151=0,"",[1]对账明细接口!$P1151),"")</f>
      </c>
      <c r="V1151" s="212">
        <f>IFERROR(IF([1]对账明细接口!$Q1151=0,"",[1]对账明细接口!$Q1151),"")</f>
      </c>
      <c r="W1151" s="20">
        <f>IFERROR(IF([1]对账明细接口!$R1151=0,"",[1]对账明细接口!$R1151),"")</f>
      </c>
      <c r="X1151" s="20">
        <f>IFERROR(IF([1]对账明细接口!$S1151=0,"",[1]对账明细接口!$S1151),"")</f>
      </c>
      <c r="Y1151" s="20">
        <f>IFERROR(IF([1]对账明细接口!$T1151=0,"",[1]对账明细接口!$T1151),"")</f>
      </c>
      <c r="Z1151" s="213">
        <f>IFERROR(IF([1]对账明细接口!$U1151=0,"",[1]对账明细接口!$U1151),"")</f>
      </c>
      <c r="AA1151" s="213">
        <f>IFERROR(IF([1]对账明细接口!$V1151=0,"",[1]对账明细接口!$V1151),"")</f>
      </c>
      <c r="AB1151" s="20">
        <f>IFERROR(IF([1]对账明细接口!$W1151=0,"",[1]对账明细接口!$W1151),"")</f>
      </c>
      <c r="AC1151" s="7">
        <f>IFERROR(IF([1]对账明细接口!$X1151=0,"",[1]对账明细接口!$X1151),"")</f>
      </c>
      <c r="AD1151" s="7">
        <f>IFERROR(IF([1]对账明细接口!$Y1151=0,"",[1]对账明细接口!$Y1151),"")</f>
      </c>
      <c r="AE1151" s="7">
        <f>IFERROR(IF([1]对账明细接口!$AA1151=0,"",[1]对账明细接口!$AA1151),"")</f>
      </c>
      <c r="AF1151" s="7">
        <f>IFERROR(IF([1]对账明细接口!$AB1151=0,"",[1]对账明细接口!$AB1151),"")</f>
      </c>
      <c r="AG1151" s="7">
        <f>IFERROR(IF([1]对账明细接口!$AC1151=0,"",[1]对账明细接口!$AC1151),"")</f>
      </c>
      <c r="AH1151" s="7">
        <f>IFERROR(IF([1]对账明细接口!$AD1151=0,"",[1]对账明细接口!$AD1151),"")</f>
      </c>
      <c r="AI1151" s="7">
        <f>IFERROR(IF([1]对账明细接口!$AE1151=0,"",[1]对账明细接口!$AE1151),"")</f>
      </c>
      <c r="AJ1151" s="7">
        <f>IFERROR(IF([1]对账明细接口!$AF1151=0,"",[1]对账明细接口!$AF1151),"")</f>
      </c>
    </row>
    <row r="1152" ht="14.25" customHeight="1" s="127">
      <c r="A1152" s="14" t="n">
        <v>1152</v>
      </c>
      <c r="B1152" s="211">
        <f>IFERROR(IF([1]对账明细接口!$B$1152=0,"",[1]对账明细接口!$B$1152),"")</f>
      </c>
      <c r="C1152" s="16">
        <f>IFERROR(IF([1]对账明细接口!$C$1152=0,"",[1]对账明细接口!$C$1152),"")</f>
      </c>
      <c r="D1152" s="16">
        <f>IFERROR(IF([1]对账明细接口!$D$1152=0,"",[1]对账明细接口!$D$1152),"")</f>
      </c>
      <c r="E1152" s="16">
        <f>IFERROR(IF([1]对账明细接口!$E$1152=0,"",[1]对账明细接口!$E$1152),"")</f>
      </c>
      <c r="F1152" s="16">
        <f>IFERROR(IF([1]对账明细接口!$F$1152=0,"",[1]对账明细接口!$F$1152),"")</f>
      </c>
      <c r="G1152" s="16">
        <f>IFERROR(IF([1]对账明细接口!$G$1152=0,"",[1]对账明细接口!$G$1152),"")</f>
      </c>
      <c r="H1152" s="176">
        <f>IFERROR(IF([1]对账明细接口!$H$1152=0,"",[1]对账明细接口!$H$1152),"")</f>
      </c>
      <c r="I1152" s="16">
        <f>IFERROR(IF([1]对账明细接口!$I$1152=0,"",[1]对账明细接口!$I$1152),"")</f>
      </c>
      <c r="J1152" s="177">
        <f>IFERROR(IF([1]对账明细接口!$J$1152=0,"",[1]对账明细接口!$J$1152),"")</f>
      </c>
      <c r="K1152" s="177">
        <f>IFERROR(IF([1]对账明细接口!$K$1152=0,"",[1]对账明细接口!$K$1152),"")</f>
      </c>
      <c r="L1152" s="16">
        <f>IFERROR(IF([1]对账明细接口!$L$1152=0,"",[1]对账明细接口!$L$1152),"")</f>
      </c>
      <c r="M1152" s="16">
        <f>IFERROR(IF([1]对账明细接口!$M$1152=0,"",[1]对账明细接口!$M$1152),"")</f>
      </c>
      <c r="N1152" s="19">
        <f>IF($C1152="",0,1)</f>
        <v>0</v>
      </c>
      <c r="O1152" s="19">
        <f>N(O1151)+$N1152</f>
        <v>637</v>
      </c>
      <c r="S1152" s="20">
        <f>IFERROR(IF([1]对账明细接口!$N1152=0,"",[1]对账明细接口!$N1152),"")</f>
      </c>
      <c r="T1152" s="212">
        <f>IFERROR(IF([1]对账明细接口!$O1152=0,"",[1]对账明细接口!$O1152),"")</f>
      </c>
      <c r="U1152" s="212">
        <f>IFERROR(IF([1]对账明细接口!$P1152=0,"",[1]对账明细接口!$P1152),"")</f>
      </c>
      <c r="V1152" s="212">
        <f>IFERROR(IF([1]对账明细接口!$Q1152=0,"",[1]对账明细接口!$Q1152),"")</f>
      </c>
      <c r="W1152" s="20">
        <f>IFERROR(IF([1]对账明细接口!$R1152=0,"",[1]对账明细接口!$R1152),"")</f>
      </c>
      <c r="X1152" s="20">
        <f>IFERROR(IF([1]对账明细接口!$S1152=0,"",[1]对账明细接口!$S1152),"")</f>
      </c>
      <c r="Y1152" s="20">
        <f>IFERROR(IF([1]对账明细接口!$T1152=0,"",[1]对账明细接口!$T1152),"")</f>
      </c>
      <c r="Z1152" s="213">
        <f>IFERROR(IF([1]对账明细接口!$U1152=0,"",[1]对账明细接口!$U1152),"")</f>
      </c>
      <c r="AA1152" s="213">
        <f>IFERROR(IF([1]对账明细接口!$V1152=0,"",[1]对账明细接口!$V1152),"")</f>
      </c>
      <c r="AB1152" s="20">
        <f>IFERROR(IF([1]对账明细接口!$W1152=0,"",[1]对账明细接口!$W1152),"")</f>
      </c>
      <c r="AC1152" s="7">
        <f>IFERROR(IF([1]对账明细接口!$X1152=0,"",[1]对账明细接口!$X1152),"")</f>
      </c>
      <c r="AD1152" s="7">
        <f>IFERROR(IF([1]对账明细接口!$Y1152=0,"",[1]对账明细接口!$Y1152),"")</f>
      </c>
      <c r="AE1152" s="7">
        <f>IFERROR(IF([1]对账明细接口!$AA1152=0,"",[1]对账明细接口!$AA1152),"")</f>
      </c>
      <c r="AF1152" s="7">
        <f>IFERROR(IF([1]对账明细接口!$AB1152=0,"",[1]对账明细接口!$AB1152),"")</f>
      </c>
      <c r="AG1152" s="7">
        <f>IFERROR(IF([1]对账明细接口!$AC1152=0,"",[1]对账明细接口!$AC1152),"")</f>
      </c>
      <c r="AH1152" s="7">
        <f>IFERROR(IF([1]对账明细接口!$AD1152=0,"",[1]对账明细接口!$AD1152),"")</f>
      </c>
      <c r="AI1152" s="7">
        <f>IFERROR(IF([1]对账明细接口!$AE1152=0,"",[1]对账明细接口!$AE1152),"")</f>
      </c>
      <c r="AJ1152" s="7">
        <f>IFERROR(IF([1]对账明细接口!$AF1152=0,"",[1]对账明细接口!$AF1152),"")</f>
      </c>
    </row>
    <row r="1153" ht="14.25" customHeight="1" s="127">
      <c r="A1153" s="14" t="n">
        <v>1153</v>
      </c>
      <c r="B1153" s="211">
        <f>IFERROR(IF([1]对账明细接口!$B$1153=0,"",[1]对账明细接口!$B$1153),"")</f>
      </c>
      <c r="C1153" s="16">
        <f>IFERROR(IF([1]对账明细接口!$C$1153=0,"",[1]对账明细接口!$C$1153),"")</f>
      </c>
      <c r="D1153" s="16">
        <f>IFERROR(IF([1]对账明细接口!$D$1153=0,"",[1]对账明细接口!$D$1153),"")</f>
      </c>
      <c r="E1153" s="16">
        <f>IFERROR(IF([1]对账明细接口!$E$1153=0,"",[1]对账明细接口!$E$1153),"")</f>
      </c>
      <c r="F1153" s="16">
        <f>IFERROR(IF([1]对账明细接口!$F$1153=0,"",[1]对账明细接口!$F$1153),"")</f>
      </c>
      <c r="G1153" s="16">
        <f>IFERROR(IF([1]对账明细接口!$G$1153=0,"",[1]对账明细接口!$G$1153),"")</f>
      </c>
      <c r="H1153" s="176">
        <f>IFERROR(IF([1]对账明细接口!$H$1153=0,"",[1]对账明细接口!$H$1153),"")</f>
      </c>
      <c r="I1153" s="16">
        <f>IFERROR(IF([1]对账明细接口!$I$1153=0,"",[1]对账明细接口!$I$1153),"")</f>
      </c>
      <c r="J1153" s="177">
        <f>IFERROR(IF([1]对账明细接口!$J$1153=0,"",[1]对账明细接口!$J$1153),"")</f>
      </c>
      <c r="K1153" s="177">
        <f>IFERROR(IF([1]对账明细接口!$K$1153=0,"",[1]对账明细接口!$K$1153),"")</f>
      </c>
      <c r="L1153" s="16">
        <f>IFERROR(IF([1]对账明细接口!$L$1153=0,"",[1]对账明细接口!$L$1153),"")</f>
      </c>
      <c r="M1153" s="16">
        <f>IFERROR(IF([1]对账明细接口!$M$1153=0,"",[1]对账明细接口!$M$1153),"")</f>
      </c>
      <c r="N1153" s="19">
        <f>IF($C1153="",0,1)</f>
        <v>0</v>
      </c>
      <c r="O1153" s="19">
        <f>N(O1152)+$N1153</f>
        <v>637</v>
      </c>
      <c r="S1153" s="20">
        <f>IFERROR(IF([1]对账明细接口!$N1153=0,"",[1]对账明细接口!$N1153),"")</f>
      </c>
      <c r="T1153" s="212">
        <f>IFERROR(IF([1]对账明细接口!$O1153=0,"",[1]对账明细接口!$O1153),"")</f>
      </c>
      <c r="U1153" s="212">
        <f>IFERROR(IF([1]对账明细接口!$P1153=0,"",[1]对账明细接口!$P1153),"")</f>
      </c>
      <c r="V1153" s="212">
        <f>IFERROR(IF([1]对账明细接口!$Q1153=0,"",[1]对账明细接口!$Q1153),"")</f>
      </c>
      <c r="W1153" s="20">
        <f>IFERROR(IF([1]对账明细接口!$R1153=0,"",[1]对账明细接口!$R1153),"")</f>
      </c>
      <c r="X1153" s="20">
        <f>IFERROR(IF([1]对账明细接口!$S1153=0,"",[1]对账明细接口!$S1153),"")</f>
      </c>
      <c r="Y1153" s="20">
        <f>IFERROR(IF([1]对账明细接口!$T1153=0,"",[1]对账明细接口!$T1153),"")</f>
      </c>
      <c r="Z1153" s="213">
        <f>IFERROR(IF([1]对账明细接口!$U1153=0,"",[1]对账明细接口!$U1153),"")</f>
      </c>
      <c r="AA1153" s="213">
        <f>IFERROR(IF([1]对账明细接口!$V1153=0,"",[1]对账明细接口!$V1153),"")</f>
      </c>
      <c r="AB1153" s="20">
        <f>IFERROR(IF([1]对账明细接口!$W1153=0,"",[1]对账明细接口!$W1153),"")</f>
      </c>
      <c r="AC1153" s="7">
        <f>IFERROR(IF([1]对账明细接口!$X1153=0,"",[1]对账明细接口!$X1153),"")</f>
      </c>
      <c r="AD1153" s="7">
        <f>IFERROR(IF([1]对账明细接口!$Y1153=0,"",[1]对账明细接口!$Y1153),"")</f>
      </c>
      <c r="AE1153" s="7">
        <f>IFERROR(IF([1]对账明细接口!$AA1153=0,"",[1]对账明细接口!$AA1153),"")</f>
      </c>
      <c r="AF1153" s="7">
        <f>IFERROR(IF([1]对账明细接口!$AB1153=0,"",[1]对账明细接口!$AB1153),"")</f>
      </c>
      <c r="AG1153" s="7">
        <f>IFERROR(IF([1]对账明细接口!$AC1153=0,"",[1]对账明细接口!$AC1153),"")</f>
      </c>
      <c r="AH1153" s="7">
        <f>IFERROR(IF([1]对账明细接口!$AD1153=0,"",[1]对账明细接口!$AD1153),"")</f>
      </c>
      <c r="AI1153" s="7">
        <f>IFERROR(IF([1]对账明细接口!$AE1153=0,"",[1]对账明细接口!$AE1153),"")</f>
      </c>
      <c r="AJ1153" s="7">
        <f>IFERROR(IF([1]对账明细接口!$AF1153=0,"",[1]对账明细接口!$AF1153),"")</f>
      </c>
    </row>
    <row r="1154" ht="14.25" customHeight="1" s="127">
      <c r="A1154" s="14" t="n">
        <v>1154</v>
      </c>
      <c r="B1154" s="211">
        <f>IFERROR(IF([1]对账明细接口!$B$1154=0,"",[1]对账明细接口!$B$1154),"")</f>
      </c>
      <c r="C1154" s="16">
        <f>IFERROR(IF([1]对账明细接口!$C$1154=0,"",[1]对账明细接口!$C$1154),"")</f>
      </c>
      <c r="D1154" s="16">
        <f>IFERROR(IF([1]对账明细接口!$D$1154=0,"",[1]对账明细接口!$D$1154),"")</f>
      </c>
      <c r="E1154" s="16">
        <f>IFERROR(IF([1]对账明细接口!$E$1154=0,"",[1]对账明细接口!$E$1154),"")</f>
      </c>
      <c r="F1154" s="16">
        <f>IFERROR(IF([1]对账明细接口!$F$1154=0,"",[1]对账明细接口!$F$1154),"")</f>
      </c>
      <c r="G1154" s="16">
        <f>IFERROR(IF([1]对账明细接口!$G$1154=0,"",[1]对账明细接口!$G$1154),"")</f>
      </c>
      <c r="H1154" s="176">
        <f>IFERROR(IF([1]对账明细接口!$H$1154=0,"",[1]对账明细接口!$H$1154),"")</f>
      </c>
      <c r="I1154" s="16">
        <f>IFERROR(IF([1]对账明细接口!$I$1154=0,"",[1]对账明细接口!$I$1154),"")</f>
      </c>
      <c r="J1154" s="177">
        <f>IFERROR(IF([1]对账明细接口!$J$1154=0,"",[1]对账明细接口!$J$1154),"")</f>
      </c>
      <c r="K1154" s="177">
        <f>IFERROR(IF([1]对账明细接口!$K$1154=0,"",[1]对账明细接口!$K$1154),"")</f>
      </c>
      <c r="L1154" s="16">
        <f>IFERROR(IF([1]对账明细接口!$L$1154=0,"",[1]对账明细接口!$L$1154),"")</f>
      </c>
      <c r="M1154" s="16">
        <f>IFERROR(IF([1]对账明细接口!$M$1154=0,"",[1]对账明细接口!$M$1154),"")</f>
      </c>
      <c r="N1154" s="19">
        <f>IF($C1154="",0,1)</f>
        <v>0</v>
      </c>
      <c r="O1154" s="19">
        <f>N(O1153)+$N1154</f>
        <v>637</v>
      </c>
      <c r="S1154" s="20">
        <f>IFERROR(IF([1]对账明细接口!$N1154=0,"",[1]对账明细接口!$N1154),"")</f>
      </c>
      <c r="T1154" s="212">
        <f>IFERROR(IF([1]对账明细接口!$O1154=0,"",[1]对账明细接口!$O1154),"")</f>
      </c>
      <c r="U1154" s="212">
        <f>IFERROR(IF([1]对账明细接口!$P1154=0,"",[1]对账明细接口!$P1154),"")</f>
      </c>
      <c r="V1154" s="212">
        <f>IFERROR(IF([1]对账明细接口!$Q1154=0,"",[1]对账明细接口!$Q1154),"")</f>
      </c>
      <c r="W1154" s="20">
        <f>IFERROR(IF([1]对账明细接口!$R1154=0,"",[1]对账明细接口!$R1154),"")</f>
      </c>
      <c r="X1154" s="20">
        <f>IFERROR(IF([1]对账明细接口!$S1154=0,"",[1]对账明细接口!$S1154),"")</f>
      </c>
      <c r="Y1154" s="20">
        <f>IFERROR(IF([1]对账明细接口!$T1154=0,"",[1]对账明细接口!$T1154),"")</f>
      </c>
      <c r="Z1154" s="213">
        <f>IFERROR(IF([1]对账明细接口!$U1154=0,"",[1]对账明细接口!$U1154),"")</f>
      </c>
      <c r="AA1154" s="213">
        <f>IFERROR(IF([1]对账明细接口!$V1154=0,"",[1]对账明细接口!$V1154),"")</f>
      </c>
      <c r="AB1154" s="20">
        <f>IFERROR(IF([1]对账明细接口!$W1154=0,"",[1]对账明细接口!$W1154),"")</f>
      </c>
      <c r="AC1154" s="7">
        <f>IFERROR(IF([1]对账明细接口!$X1154=0,"",[1]对账明细接口!$X1154),"")</f>
      </c>
      <c r="AD1154" s="7">
        <f>IFERROR(IF([1]对账明细接口!$Y1154=0,"",[1]对账明细接口!$Y1154),"")</f>
      </c>
      <c r="AE1154" s="7">
        <f>IFERROR(IF([1]对账明细接口!$AA1154=0,"",[1]对账明细接口!$AA1154),"")</f>
      </c>
      <c r="AF1154" s="7">
        <f>IFERROR(IF([1]对账明细接口!$AB1154=0,"",[1]对账明细接口!$AB1154),"")</f>
      </c>
      <c r="AG1154" s="7">
        <f>IFERROR(IF([1]对账明细接口!$AC1154=0,"",[1]对账明细接口!$AC1154),"")</f>
      </c>
      <c r="AH1154" s="7">
        <f>IFERROR(IF([1]对账明细接口!$AD1154=0,"",[1]对账明细接口!$AD1154),"")</f>
      </c>
      <c r="AI1154" s="7">
        <f>IFERROR(IF([1]对账明细接口!$AE1154=0,"",[1]对账明细接口!$AE1154),"")</f>
      </c>
      <c r="AJ1154" s="7">
        <f>IFERROR(IF([1]对账明细接口!$AF1154=0,"",[1]对账明细接口!$AF1154),"")</f>
      </c>
    </row>
    <row r="1155" ht="14.25" customHeight="1" s="127">
      <c r="A1155" s="14" t="n">
        <v>1155</v>
      </c>
      <c r="B1155" s="211">
        <f>IFERROR(IF([1]对账明细接口!$B$1155=0,"",[1]对账明细接口!$B$1155),"")</f>
      </c>
      <c r="C1155" s="16">
        <f>IFERROR(IF([1]对账明细接口!$C$1155=0,"",[1]对账明细接口!$C$1155),"")</f>
      </c>
      <c r="D1155" s="16">
        <f>IFERROR(IF([1]对账明细接口!$D$1155=0,"",[1]对账明细接口!$D$1155),"")</f>
      </c>
      <c r="E1155" s="16">
        <f>IFERROR(IF([1]对账明细接口!$E$1155=0,"",[1]对账明细接口!$E$1155),"")</f>
      </c>
      <c r="F1155" s="16">
        <f>IFERROR(IF([1]对账明细接口!$F$1155=0,"",[1]对账明细接口!$F$1155),"")</f>
      </c>
      <c r="G1155" s="16">
        <f>IFERROR(IF([1]对账明细接口!$G$1155=0,"",[1]对账明细接口!$G$1155),"")</f>
      </c>
      <c r="H1155" s="176">
        <f>IFERROR(IF([1]对账明细接口!$H$1155=0,"",[1]对账明细接口!$H$1155),"")</f>
      </c>
      <c r="I1155" s="16">
        <f>IFERROR(IF([1]对账明细接口!$I$1155=0,"",[1]对账明细接口!$I$1155),"")</f>
      </c>
      <c r="J1155" s="177">
        <f>IFERROR(IF([1]对账明细接口!$J$1155=0,"",[1]对账明细接口!$J$1155),"")</f>
      </c>
      <c r="K1155" s="177">
        <f>IFERROR(IF([1]对账明细接口!$K$1155=0,"",[1]对账明细接口!$K$1155),"")</f>
      </c>
      <c r="L1155" s="16">
        <f>IFERROR(IF([1]对账明细接口!$L$1155=0,"",[1]对账明细接口!$L$1155),"")</f>
      </c>
      <c r="M1155" s="16">
        <f>IFERROR(IF([1]对账明细接口!$M$1155=0,"",[1]对账明细接口!$M$1155),"")</f>
      </c>
      <c r="N1155" s="19">
        <f>IF($C1155="",0,1)</f>
        <v>0</v>
      </c>
      <c r="O1155" s="19">
        <f>N(O1154)+$N1155</f>
        <v>637</v>
      </c>
      <c r="S1155" s="20">
        <f>IFERROR(IF([1]对账明细接口!$N1155=0,"",[1]对账明细接口!$N1155),"")</f>
      </c>
      <c r="T1155" s="212">
        <f>IFERROR(IF([1]对账明细接口!$O1155=0,"",[1]对账明细接口!$O1155),"")</f>
      </c>
      <c r="U1155" s="212">
        <f>IFERROR(IF([1]对账明细接口!$P1155=0,"",[1]对账明细接口!$P1155),"")</f>
      </c>
      <c r="V1155" s="212">
        <f>IFERROR(IF([1]对账明细接口!$Q1155=0,"",[1]对账明细接口!$Q1155),"")</f>
      </c>
      <c r="W1155" s="20">
        <f>IFERROR(IF([1]对账明细接口!$R1155=0,"",[1]对账明细接口!$R1155),"")</f>
      </c>
      <c r="X1155" s="20">
        <f>IFERROR(IF([1]对账明细接口!$S1155=0,"",[1]对账明细接口!$S1155),"")</f>
      </c>
      <c r="Y1155" s="20">
        <f>IFERROR(IF([1]对账明细接口!$T1155=0,"",[1]对账明细接口!$T1155),"")</f>
      </c>
      <c r="Z1155" s="213">
        <f>IFERROR(IF([1]对账明细接口!$U1155=0,"",[1]对账明细接口!$U1155),"")</f>
      </c>
      <c r="AA1155" s="213">
        <f>IFERROR(IF([1]对账明细接口!$V1155=0,"",[1]对账明细接口!$V1155),"")</f>
      </c>
      <c r="AB1155" s="20">
        <f>IFERROR(IF([1]对账明细接口!$W1155=0,"",[1]对账明细接口!$W1155),"")</f>
      </c>
      <c r="AC1155" s="7">
        <f>IFERROR(IF([1]对账明细接口!$X1155=0,"",[1]对账明细接口!$X1155),"")</f>
      </c>
      <c r="AD1155" s="7">
        <f>IFERROR(IF([1]对账明细接口!$Y1155=0,"",[1]对账明细接口!$Y1155),"")</f>
      </c>
      <c r="AE1155" s="7">
        <f>IFERROR(IF([1]对账明细接口!$AA1155=0,"",[1]对账明细接口!$AA1155),"")</f>
      </c>
      <c r="AF1155" s="7">
        <f>IFERROR(IF([1]对账明细接口!$AB1155=0,"",[1]对账明细接口!$AB1155),"")</f>
      </c>
      <c r="AG1155" s="7">
        <f>IFERROR(IF([1]对账明细接口!$AC1155=0,"",[1]对账明细接口!$AC1155),"")</f>
      </c>
      <c r="AH1155" s="7">
        <f>IFERROR(IF([1]对账明细接口!$AD1155=0,"",[1]对账明细接口!$AD1155),"")</f>
      </c>
      <c r="AI1155" s="7">
        <f>IFERROR(IF([1]对账明细接口!$AE1155=0,"",[1]对账明细接口!$AE1155),"")</f>
      </c>
      <c r="AJ1155" s="7">
        <f>IFERROR(IF([1]对账明细接口!$AF1155=0,"",[1]对账明细接口!$AF1155),"")</f>
      </c>
    </row>
    <row r="1156" ht="14.25" customHeight="1" s="127">
      <c r="A1156" s="14" t="n">
        <v>1156</v>
      </c>
      <c r="B1156" s="211">
        <f>IFERROR(IF([1]对账明细接口!$B$1156=0,"",[1]对账明细接口!$B$1156),"")</f>
      </c>
      <c r="C1156" s="16">
        <f>IFERROR(IF([1]对账明细接口!$C$1156=0,"",[1]对账明细接口!$C$1156),"")</f>
      </c>
      <c r="D1156" s="16">
        <f>IFERROR(IF([1]对账明细接口!$D$1156=0,"",[1]对账明细接口!$D$1156),"")</f>
      </c>
      <c r="E1156" s="16">
        <f>IFERROR(IF([1]对账明细接口!$E$1156=0,"",[1]对账明细接口!$E$1156),"")</f>
      </c>
      <c r="F1156" s="16">
        <f>IFERROR(IF([1]对账明细接口!$F$1156=0,"",[1]对账明细接口!$F$1156),"")</f>
      </c>
      <c r="G1156" s="16">
        <f>IFERROR(IF([1]对账明细接口!$G$1156=0,"",[1]对账明细接口!$G$1156),"")</f>
      </c>
      <c r="H1156" s="176">
        <f>IFERROR(IF([1]对账明细接口!$H$1156=0,"",[1]对账明细接口!$H$1156),"")</f>
      </c>
      <c r="I1156" s="16">
        <f>IFERROR(IF([1]对账明细接口!$I$1156=0,"",[1]对账明细接口!$I$1156),"")</f>
      </c>
      <c r="J1156" s="177">
        <f>IFERROR(IF([1]对账明细接口!$J$1156=0,"",[1]对账明细接口!$J$1156),"")</f>
      </c>
      <c r="K1156" s="177">
        <f>IFERROR(IF([1]对账明细接口!$K$1156=0,"",[1]对账明细接口!$K$1156),"")</f>
      </c>
      <c r="L1156" s="16">
        <f>IFERROR(IF([1]对账明细接口!$L$1156=0,"",[1]对账明细接口!$L$1156),"")</f>
      </c>
      <c r="M1156" s="16">
        <f>IFERROR(IF([1]对账明细接口!$M$1156=0,"",[1]对账明细接口!$M$1156),"")</f>
      </c>
      <c r="N1156" s="19">
        <f>IF($C1156="",0,1)</f>
        <v>0</v>
      </c>
      <c r="O1156" s="19">
        <f>N(O1155)+$N1156</f>
        <v>637</v>
      </c>
      <c r="S1156" s="20">
        <f>IFERROR(IF([1]对账明细接口!$N1156=0,"",[1]对账明细接口!$N1156),"")</f>
      </c>
      <c r="T1156" s="212">
        <f>IFERROR(IF([1]对账明细接口!$O1156=0,"",[1]对账明细接口!$O1156),"")</f>
      </c>
      <c r="U1156" s="212">
        <f>IFERROR(IF([1]对账明细接口!$P1156=0,"",[1]对账明细接口!$P1156),"")</f>
      </c>
      <c r="V1156" s="212">
        <f>IFERROR(IF([1]对账明细接口!$Q1156=0,"",[1]对账明细接口!$Q1156),"")</f>
      </c>
      <c r="W1156" s="20">
        <f>IFERROR(IF([1]对账明细接口!$R1156=0,"",[1]对账明细接口!$R1156),"")</f>
      </c>
      <c r="X1156" s="20">
        <f>IFERROR(IF([1]对账明细接口!$S1156=0,"",[1]对账明细接口!$S1156),"")</f>
      </c>
      <c r="Y1156" s="20">
        <f>IFERROR(IF([1]对账明细接口!$T1156=0,"",[1]对账明细接口!$T1156),"")</f>
      </c>
      <c r="Z1156" s="213">
        <f>IFERROR(IF([1]对账明细接口!$U1156=0,"",[1]对账明细接口!$U1156),"")</f>
      </c>
      <c r="AA1156" s="213">
        <f>IFERROR(IF([1]对账明细接口!$V1156=0,"",[1]对账明细接口!$V1156),"")</f>
      </c>
      <c r="AB1156" s="20">
        <f>IFERROR(IF([1]对账明细接口!$W1156=0,"",[1]对账明细接口!$W1156),"")</f>
      </c>
      <c r="AC1156" s="7">
        <f>IFERROR(IF([1]对账明细接口!$X1156=0,"",[1]对账明细接口!$X1156),"")</f>
      </c>
      <c r="AD1156" s="7">
        <f>IFERROR(IF([1]对账明细接口!$Y1156=0,"",[1]对账明细接口!$Y1156),"")</f>
      </c>
      <c r="AE1156" s="7">
        <f>IFERROR(IF([1]对账明细接口!$AA1156=0,"",[1]对账明细接口!$AA1156),"")</f>
      </c>
      <c r="AF1156" s="7">
        <f>IFERROR(IF([1]对账明细接口!$AB1156=0,"",[1]对账明细接口!$AB1156),"")</f>
      </c>
      <c r="AG1156" s="7">
        <f>IFERROR(IF([1]对账明细接口!$AC1156=0,"",[1]对账明细接口!$AC1156),"")</f>
      </c>
      <c r="AH1156" s="7">
        <f>IFERROR(IF([1]对账明细接口!$AD1156=0,"",[1]对账明细接口!$AD1156),"")</f>
      </c>
      <c r="AI1156" s="7">
        <f>IFERROR(IF([1]对账明细接口!$AE1156=0,"",[1]对账明细接口!$AE1156),"")</f>
      </c>
      <c r="AJ1156" s="7">
        <f>IFERROR(IF([1]对账明细接口!$AF1156=0,"",[1]对账明细接口!$AF1156),"")</f>
      </c>
    </row>
    <row r="1157" ht="14.25" customHeight="1" s="127">
      <c r="A1157" s="14" t="n">
        <v>1157</v>
      </c>
      <c r="B1157" s="211">
        <f>IFERROR(IF([1]对账明细接口!$B$1157=0,"",[1]对账明细接口!$B$1157),"")</f>
      </c>
      <c r="C1157" s="16">
        <f>IFERROR(IF([1]对账明细接口!$C$1157=0,"",[1]对账明细接口!$C$1157),"")</f>
      </c>
      <c r="D1157" s="16">
        <f>IFERROR(IF([1]对账明细接口!$D$1157=0,"",[1]对账明细接口!$D$1157),"")</f>
      </c>
      <c r="E1157" s="16">
        <f>IFERROR(IF([1]对账明细接口!$E$1157=0,"",[1]对账明细接口!$E$1157),"")</f>
      </c>
      <c r="F1157" s="16">
        <f>IFERROR(IF([1]对账明细接口!$F$1157=0,"",[1]对账明细接口!$F$1157),"")</f>
      </c>
      <c r="G1157" s="16">
        <f>IFERROR(IF([1]对账明细接口!$G$1157=0,"",[1]对账明细接口!$G$1157),"")</f>
      </c>
      <c r="H1157" s="176">
        <f>IFERROR(IF([1]对账明细接口!$H$1157=0,"",[1]对账明细接口!$H$1157),"")</f>
      </c>
      <c r="I1157" s="16">
        <f>IFERROR(IF([1]对账明细接口!$I$1157=0,"",[1]对账明细接口!$I$1157),"")</f>
      </c>
      <c r="J1157" s="177">
        <f>IFERROR(IF([1]对账明细接口!$J$1157=0,"",[1]对账明细接口!$J$1157),"")</f>
      </c>
      <c r="K1157" s="177">
        <f>IFERROR(IF([1]对账明细接口!$K$1157=0,"",[1]对账明细接口!$K$1157),"")</f>
      </c>
      <c r="L1157" s="16">
        <f>IFERROR(IF([1]对账明细接口!$L$1157=0,"",[1]对账明细接口!$L$1157),"")</f>
      </c>
      <c r="M1157" s="16">
        <f>IFERROR(IF([1]对账明细接口!$M$1157=0,"",[1]对账明细接口!$M$1157),"")</f>
      </c>
      <c r="N1157" s="19">
        <f>IF($C1157="",0,1)</f>
        <v>0</v>
      </c>
      <c r="O1157" s="19">
        <f>N(O1156)+$N1157</f>
        <v>637</v>
      </c>
      <c r="S1157" s="20">
        <f>IFERROR(IF([1]对账明细接口!$N1157=0,"",[1]对账明细接口!$N1157),"")</f>
      </c>
      <c r="T1157" s="212">
        <f>IFERROR(IF([1]对账明细接口!$O1157=0,"",[1]对账明细接口!$O1157),"")</f>
      </c>
      <c r="U1157" s="212">
        <f>IFERROR(IF([1]对账明细接口!$P1157=0,"",[1]对账明细接口!$P1157),"")</f>
      </c>
      <c r="V1157" s="212">
        <f>IFERROR(IF([1]对账明细接口!$Q1157=0,"",[1]对账明细接口!$Q1157),"")</f>
      </c>
      <c r="W1157" s="20">
        <f>IFERROR(IF([1]对账明细接口!$R1157=0,"",[1]对账明细接口!$R1157),"")</f>
      </c>
      <c r="X1157" s="20">
        <f>IFERROR(IF([1]对账明细接口!$S1157=0,"",[1]对账明细接口!$S1157),"")</f>
      </c>
      <c r="Y1157" s="20">
        <f>IFERROR(IF([1]对账明细接口!$T1157=0,"",[1]对账明细接口!$T1157),"")</f>
      </c>
      <c r="Z1157" s="213">
        <f>IFERROR(IF([1]对账明细接口!$U1157=0,"",[1]对账明细接口!$U1157),"")</f>
      </c>
      <c r="AA1157" s="213">
        <f>IFERROR(IF([1]对账明细接口!$V1157=0,"",[1]对账明细接口!$V1157),"")</f>
      </c>
      <c r="AB1157" s="20">
        <f>IFERROR(IF([1]对账明细接口!$W1157=0,"",[1]对账明细接口!$W1157),"")</f>
      </c>
      <c r="AC1157" s="7">
        <f>IFERROR(IF([1]对账明细接口!$X1157=0,"",[1]对账明细接口!$X1157),"")</f>
      </c>
      <c r="AD1157" s="7">
        <f>IFERROR(IF([1]对账明细接口!$Y1157=0,"",[1]对账明细接口!$Y1157),"")</f>
      </c>
      <c r="AE1157" s="7">
        <f>IFERROR(IF([1]对账明细接口!$AA1157=0,"",[1]对账明细接口!$AA1157),"")</f>
      </c>
      <c r="AF1157" s="7">
        <f>IFERROR(IF([1]对账明细接口!$AB1157=0,"",[1]对账明细接口!$AB1157),"")</f>
      </c>
      <c r="AG1157" s="7">
        <f>IFERROR(IF([1]对账明细接口!$AC1157=0,"",[1]对账明细接口!$AC1157),"")</f>
      </c>
      <c r="AH1157" s="7">
        <f>IFERROR(IF([1]对账明细接口!$AD1157=0,"",[1]对账明细接口!$AD1157),"")</f>
      </c>
      <c r="AI1157" s="7">
        <f>IFERROR(IF([1]对账明细接口!$AE1157=0,"",[1]对账明细接口!$AE1157),"")</f>
      </c>
      <c r="AJ1157" s="7">
        <f>IFERROR(IF([1]对账明细接口!$AF1157=0,"",[1]对账明细接口!$AF1157),"")</f>
      </c>
    </row>
    <row r="1158" ht="14.25" customHeight="1" s="127">
      <c r="A1158" s="14" t="n">
        <v>1158</v>
      </c>
      <c r="B1158" s="211">
        <f>IFERROR(IF([1]对账明细接口!$B$1158=0,"",[1]对账明细接口!$B$1158),"")</f>
      </c>
      <c r="C1158" s="16">
        <f>IFERROR(IF([1]对账明细接口!$C$1158=0,"",[1]对账明细接口!$C$1158),"")</f>
      </c>
      <c r="D1158" s="16">
        <f>IFERROR(IF([1]对账明细接口!$D$1158=0,"",[1]对账明细接口!$D$1158),"")</f>
      </c>
      <c r="E1158" s="16">
        <f>IFERROR(IF([1]对账明细接口!$E$1158=0,"",[1]对账明细接口!$E$1158),"")</f>
      </c>
      <c r="F1158" s="16">
        <f>IFERROR(IF([1]对账明细接口!$F$1158=0,"",[1]对账明细接口!$F$1158),"")</f>
      </c>
      <c r="G1158" s="16">
        <f>IFERROR(IF([1]对账明细接口!$G$1158=0,"",[1]对账明细接口!$G$1158),"")</f>
      </c>
      <c r="H1158" s="176">
        <f>IFERROR(IF([1]对账明细接口!$H$1158=0,"",[1]对账明细接口!$H$1158),"")</f>
      </c>
      <c r="I1158" s="16">
        <f>IFERROR(IF([1]对账明细接口!$I$1158=0,"",[1]对账明细接口!$I$1158),"")</f>
      </c>
      <c r="J1158" s="177">
        <f>IFERROR(IF([1]对账明细接口!$J$1158=0,"",[1]对账明细接口!$J$1158),"")</f>
      </c>
      <c r="K1158" s="177">
        <f>IFERROR(IF([1]对账明细接口!$K$1158=0,"",[1]对账明细接口!$K$1158),"")</f>
      </c>
      <c r="L1158" s="16">
        <f>IFERROR(IF([1]对账明细接口!$L$1158=0,"",[1]对账明细接口!$L$1158),"")</f>
      </c>
      <c r="M1158" s="16">
        <f>IFERROR(IF([1]对账明细接口!$M$1158=0,"",[1]对账明细接口!$M$1158),"")</f>
      </c>
      <c r="N1158" s="19">
        <f>IF($C1158="",0,1)</f>
        <v>0</v>
      </c>
      <c r="O1158" s="19">
        <f>N(O1157)+$N1158</f>
        <v>637</v>
      </c>
      <c r="S1158" s="20">
        <f>IFERROR(IF([1]对账明细接口!$N1158=0,"",[1]对账明细接口!$N1158),"")</f>
      </c>
      <c r="T1158" s="212">
        <f>IFERROR(IF([1]对账明细接口!$O1158=0,"",[1]对账明细接口!$O1158),"")</f>
      </c>
      <c r="U1158" s="212">
        <f>IFERROR(IF([1]对账明细接口!$P1158=0,"",[1]对账明细接口!$P1158),"")</f>
      </c>
      <c r="V1158" s="212">
        <f>IFERROR(IF([1]对账明细接口!$Q1158=0,"",[1]对账明细接口!$Q1158),"")</f>
      </c>
      <c r="W1158" s="20">
        <f>IFERROR(IF([1]对账明细接口!$R1158=0,"",[1]对账明细接口!$R1158),"")</f>
      </c>
      <c r="X1158" s="20">
        <f>IFERROR(IF([1]对账明细接口!$S1158=0,"",[1]对账明细接口!$S1158),"")</f>
      </c>
      <c r="Y1158" s="20">
        <f>IFERROR(IF([1]对账明细接口!$T1158=0,"",[1]对账明细接口!$T1158),"")</f>
      </c>
      <c r="Z1158" s="213">
        <f>IFERROR(IF([1]对账明细接口!$U1158=0,"",[1]对账明细接口!$U1158),"")</f>
      </c>
      <c r="AA1158" s="213">
        <f>IFERROR(IF([1]对账明细接口!$V1158=0,"",[1]对账明细接口!$V1158),"")</f>
      </c>
      <c r="AB1158" s="20">
        <f>IFERROR(IF([1]对账明细接口!$W1158=0,"",[1]对账明细接口!$W1158),"")</f>
      </c>
      <c r="AC1158" s="7">
        <f>IFERROR(IF([1]对账明细接口!$X1158=0,"",[1]对账明细接口!$X1158),"")</f>
      </c>
      <c r="AD1158" s="7">
        <f>IFERROR(IF([1]对账明细接口!$Y1158=0,"",[1]对账明细接口!$Y1158),"")</f>
      </c>
      <c r="AE1158" s="7">
        <f>IFERROR(IF([1]对账明细接口!$AA1158=0,"",[1]对账明细接口!$AA1158),"")</f>
      </c>
      <c r="AF1158" s="7">
        <f>IFERROR(IF([1]对账明细接口!$AB1158=0,"",[1]对账明细接口!$AB1158),"")</f>
      </c>
      <c r="AG1158" s="7">
        <f>IFERROR(IF([1]对账明细接口!$AC1158=0,"",[1]对账明细接口!$AC1158),"")</f>
      </c>
      <c r="AH1158" s="7">
        <f>IFERROR(IF([1]对账明细接口!$AD1158=0,"",[1]对账明细接口!$AD1158),"")</f>
      </c>
      <c r="AI1158" s="7">
        <f>IFERROR(IF([1]对账明细接口!$AE1158=0,"",[1]对账明细接口!$AE1158),"")</f>
      </c>
      <c r="AJ1158" s="7">
        <f>IFERROR(IF([1]对账明细接口!$AF1158=0,"",[1]对账明细接口!$AF1158),"")</f>
      </c>
    </row>
    <row r="1159" ht="14.25" customHeight="1" s="127">
      <c r="A1159" s="14" t="n">
        <v>1159</v>
      </c>
      <c r="B1159" s="211">
        <f>IFERROR(IF([1]对账明细接口!$B$1159=0,"",[1]对账明细接口!$B$1159),"")</f>
      </c>
      <c r="C1159" s="16">
        <f>IFERROR(IF([1]对账明细接口!$C$1159=0,"",[1]对账明细接口!$C$1159),"")</f>
      </c>
      <c r="D1159" s="16">
        <f>IFERROR(IF([1]对账明细接口!$D$1159=0,"",[1]对账明细接口!$D$1159),"")</f>
      </c>
      <c r="E1159" s="16">
        <f>IFERROR(IF([1]对账明细接口!$E$1159=0,"",[1]对账明细接口!$E$1159),"")</f>
      </c>
      <c r="F1159" s="16">
        <f>IFERROR(IF([1]对账明细接口!$F$1159=0,"",[1]对账明细接口!$F$1159),"")</f>
      </c>
      <c r="G1159" s="16">
        <f>IFERROR(IF([1]对账明细接口!$G$1159=0,"",[1]对账明细接口!$G$1159),"")</f>
      </c>
      <c r="H1159" s="176">
        <f>IFERROR(IF([1]对账明细接口!$H$1159=0,"",[1]对账明细接口!$H$1159),"")</f>
      </c>
      <c r="I1159" s="16">
        <f>IFERROR(IF([1]对账明细接口!$I$1159=0,"",[1]对账明细接口!$I$1159),"")</f>
      </c>
      <c r="J1159" s="177">
        <f>IFERROR(IF([1]对账明细接口!$J$1159=0,"",[1]对账明细接口!$J$1159),"")</f>
      </c>
      <c r="K1159" s="177">
        <f>IFERROR(IF([1]对账明细接口!$K$1159=0,"",[1]对账明细接口!$K$1159),"")</f>
      </c>
      <c r="L1159" s="16">
        <f>IFERROR(IF([1]对账明细接口!$L$1159=0,"",[1]对账明细接口!$L$1159),"")</f>
      </c>
      <c r="M1159" s="16">
        <f>IFERROR(IF([1]对账明细接口!$M$1159=0,"",[1]对账明细接口!$M$1159),"")</f>
      </c>
      <c r="N1159" s="19">
        <f>IF($C1159="",0,1)</f>
        <v>0</v>
      </c>
      <c r="O1159" s="19">
        <f>N(O1158)+$N1159</f>
        <v>637</v>
      </c>
      <c r="S1159" s="20">
        <f>IFERROR(IF([1]对账明细接口!$N1159=0,"",[1]对账明细接口!$N1159),"")</f>
      </c>
      <c r="T1159" s="212">
        <f>IFERROR(IF([1]对账明细接口!$O1159=0,"",[1]对账明细接口!$O1159),"")</f>
      </c>
      <c r="U1159" s="212">
        <f>IFERROR(IF([1]对账明细接口!$P1159=0,"",[1]对账明细接口!$P1159),"")</f>
      </c>
      <c r="V1159" s="212">
        <f>IFERROR(IF([1]对账明细接口!$Q1159=0,"",[1]对账明细接口!$Q1159),"")</f>
      </c>
      <c r="W1159" s="20">
        <f>IFERROR(IF([1]对账明细接口!$R1159=0,"",[1]对账明细接口!$R1159),"")</f>
      </c>
      <c r="X1159" s="20">
        <f>IFERROR(IF([1]对账明细接口!$S1159=0,"",[1]对账明细接口!$S1159),"")</f>
      </c>
      <c r="Y1159" s="20">
        <f>IFERROR(IF([1]对账明细接口!$T1159=0,"",[1]对账明细接口!$T1159),"")</f>
      </c>
      <c r="Z1159" s="213">
        <f>IFERROR(IF([1]对账明细接口!$U1159=0,"",[1]对账明细接口!$U1159),"")</f>
      </c>
      <c r="AA1159" s="213">
        <f>IFERROR(IF([1]对账明细接口!$V1159=0,"",[1]对账明细接口!$V1159),"")</f>
      </c>
      <c r="AB1159" s="20">
        <f>IFERROR(IF([1]对账明细接口!$W1159=0,"",[1]对账明细接口!$W1159),"")</f>
      </c>
      <c r="AC1159" s="7">
        <f>IFERROR(IF([1]对账明细接口!$X1159=0,"",[1]对账明细接口!$X1159),"")</f>
      </c>
      <c r="AD1159" s="7">
        <f>IFERROR(IF([1]对账明细接口!$Y1159=0,"",[1]对账明细接口!$Y1159),"")</f>
      </c>
      <c r="AE1159" s="7">
        <f>IFERROR(IF([1]对账明细接口!$AA1159=0,"",[1]对账明细接口!$AA1159),"")</f>
      </c>
      <c r="AF1159" s="7">
        <f>IFERROR(IF([1]对账明细接口!$AB1159=0,"",[1]对账明细接口!$AB1159),"")</f>
      </c>
      <c r="AG1159" s="7">
        <f>IFERROR(IF([1]对账明细接口!$AC1159=0,"",[1]对账明细接口!$AC1159),"")</f>
      </c>
      <c r="AH1159" s="7">
        <f>IFERROR(IF([1]对账明细接口!$AD1159=0,"",[1]对账明细接口!$AD1159),"")</f>
      </c>
      <c r="AI1159" s="7">
        <f>IFERROR(IF([1]对账明细接口!$AE1159=0,"",[1]对账明细接口!$AE1159),"")</f>
      </c>
      <c r="AJ1159" s="7">
        <f>IFERROR(IF([1]对账明细接口!$AF1159=0,"",[1]对账明细接口!$AF1159),"")</f>
      </c>
    </row>
    <row r="1160" ht="14.25" customHeight="1" s="127">
      <c r="A1160" s="14" t="n">
        <v>1160</v>
      </c>
      <c r="B1160" s="211">
        <f>IFERROR(IF([1]对账明细接口!$B$1160=0,"",[1]对账明细接口!$B$1160),"")</f>
      </c>
      <c r="C1160" s="16">
        <f>IFERROR(IF([1]对账明细接口!$C$1160=0,"",[1]对账明细接口!$C$1160),"")</f>
      </c>
      <c r="D1160" s="16">
        <f>IFERROR(IF([1]对账明细接口!$D$1160=0,"",[1]对账明细接口!$D$1160),"")</f>
      </c>
      <c r="E1160" s="16">
        <f>IFERROR(IF([1]对账明细接口!$E$1160=0,"",[1]对账明细接口!$E$1160),"")</f>
      </c>
      <c r="F1160" s="16">
        <f>IFERROR(IF([1]对账明细接口!$F$1160=0,"",[1]对账明细接口!$F$1160),"")</f>
      </c>
      <c r="G1160" s="16">
        <f>IFERROR(IF([1]对账明细接口!$G$1160=0,"",[1]对账明细接口!$G$1160),"")</f>
      </c>
      <c r="H1160" s="176">
        <f>IFERROR(IF([1]对账明细接口!$H$1160=0,"",[1]对账明细接口!$H$1160),"")</f>
      </c>
      <c r="I1160" s="16">
        <f>IFERROR(IF([1]对账明细接口!$I$1160=0,"",[1]对账明细接口!$I$1160),"")</f>
      </c>
      <c r="J1160" s="177">
        <f>IFERROR(IF([1]对账明细接口!$J$1160=0,"",[1]对账明细接口!$J$1160),"")</f>
      </c>
      <c r="K1160" s="177">
        <f>IFERROR(IF([1]对账明细接口!$K$1160=0,"",[1]对账明细接口!$K$1160),"")</f>
      </c>
      <c r="L1160" s="16">
        <f>IFERROR(IF([1]对账明细接口!$L$1160=0,"",[1]对账明细接口!$L$1160),"")</f>
      </c>
      <c r="M1160" s="16">
        <f>IFERROR(IF([1]对账明细接口!$M$1160=0,"",[1]对账明细接口!$M$1160),"")</f>
      </c>
      <c r="N1160" s="19">
        <f>IF($C1160="",0,1)</f>
        <v>0</v>
      </c>
      <c r="O1160" s="19">
        <f>N(O1159)+$N1160</f>
        <v>637</v>
      </c>
      <c r="S1160" s="20">
        <f>IFERROR(IF([1]对账明细接口!$N1160=0,"",[1]对账明细接口!$N1160),"")</f>
      </c>
      <c r="T1160" s="212">
        <f>IFERROR(IF([1]对账明细接口!$O1160=0,"",[1]对账明细接口!$O1160),"")</f>
      </c>
      <c r="U1160" s="212">
        <f>IFERROR(IF([1]对账明细接口!$P1160=0,"",[1]对账明细接口!$P1160),"")</f>
      </c>
      <c r="V1160" s="212">
        <f>IFERROR(IF([1]对账明细接口!$Q1160=0,"",[1]对账明细接口!$Q1160),"")</f>
      </c>
      <c r="W1160" s="20">
        <f>IFERROR(IF([1]对账明细接口!$R1160=0,"",[1]对账明细接口!$R1160),"")</f>
      </c>
      <c r="X1160" s="20">
        <f>IFERROR(IF([1]对账明细接口!$S1160=0,"",[1]对账明细接口!$S1160),"")</f>
      </c>
      <c r="Y1160" s="20">
        <f>IFERROR(IF([1]对账明细接口!$T1160=0,"",[1]对账明细接口!$T1160),"")</f>
      </c>
      <c r="Z1160" s="213">
        <f>IFERROR(IF([1]对账明细接口!$U1160=0,"",[1]对账明细接口!$U1160),"")</f>
      </c>
      <c r="AA1160" s="213">
        <f>IFERROR(IF([1]对账明细接口!$V1160=0,"",[1]对账明细接口!$V1160),"")</f>
      </c>
      <c r="AB1160" s="20">
        <f>IFERROR(IF([1]对账明细接口!$W1160=0,"",[1]对账明细接口!$W1160),"")</f>
      </c>
      <c r="AC1160" s="7">
        <f>IFERROR(IF([1]对账明细接口!$X1160=0,"",[1]对账明细接口!$X1160),"")</f>
      </c>
      <c r="AD1160" s="7">
        <f>IFERROR(IF([1]对账明细接口!$Y1160=0,"",[1]对账明细接口!$Y1160),"")</f>
      </c>
      <c r="AE1160" s="7">
        <f>IFERROR(IF([1]对账明细接口!$AA1160=0,"",[1]对账明细接口!$AA1160),"")</f>
      </c>
      <c r="AF1160" s="7">
        <f>IFERROR(IF([1]对账明细接口!$AB1160=0,"",[1]对账明细接口!$AB1160),"")</f>
      </c>
      <c r="AG1160" s="7">
        <f>IFERROR(IF([1]对账明细接口!$AC1160=0,"",[1]对账明细接口!$AC1160),"")</f>
      </c>
      <c r="AH1160" s="7">
        <f>IFERROR(IF([1]对账明细接口!$AD1160=0,"",[1]对账明细接口!$AD1160),"")</f>
      </c>
      <c r="AI1160" s="7">
        <f>IFERROR(IF([1]对账明细接口!$AE1160=0,"",[1]对账明细接口!$AE1160),"")</f>
      </c>
      <c r="AJ1160" s="7">
        <f>IFERROR(IF([1]对账明细接口!$AF1160=0,"",[1]对账明细接口!$AF1160),"")</f>
      </c>
    </row>
    <row r="1161" ht="14.25" customHeight="1" s="127">
      <c r="A1161" s="14" t="n">
        <v>1161</v>
      </c>
      <c r="B1161" s="211">
        <f>IFERROR(IF([1]对账明细接口!$B$1161=0,"",[1]对账明细接口!$B$1161),"")</f>
      </c>
      <c r="C1161" s="16">
        <f>IFERROR(IF([1]对账明细接口!$C$1161=0,"",[1]对账明细接口!$C$1161),"")</f>
      </c>
      <c r="D1161" s="16">
        <f>IFERROR(IF([1]对账明细接口!$D$1161=0,"",[1]对账明细接口!$D$1161),"")</f>
      </c>
      <c r="E1161" s="16">
        <f>IFERROR(IF([1]对账明细接口!$E$1161=0,"",[1]对账明细接口!$E$1161),"")</f>
      </c>
      <c r="F1161" s="16">
        <f>IFERROR(IF([1]对账明细接口!$F$1161=0,"",[1]对账明细接口!$F$1161),"")</f>
      </c>
      <c r="G1161" s="16">
        <f>IFERROR(IF([1]对账明细接口!$G$1161=0,"",[1]对账明细接口!$G$1161),"")</f>
      </c>
      <c r="H1161" s="176">
        <f>IFERROR(IF([1]对账明细接口!$H$1161=0,"",[1]对账明细接口!$H$1161),"")</f>
      </c>
      <c r="I1161" s="16">
        <f>IFERROR(IF([1]对账明细接口!$I$1161=0,"",[1]对账明细接口!$I$1161),"")</f>
      </c>
      <c r="J1161" s="177">
        <f>IFERROR(IF([1]对账明细接口!$J$1161=0,"",[1]对账明细接口!$J$1161),"")</f>
      </c>
      <c r="K1161" s="177">
        <f>IFERROR(IF([1]对账明细接口!$K$1161=0,"",[1]对账明细接口!$K$1161),"")</f>
      </c>
      <c r="L1161" s="16">
        <f>IFERROR(IF([1]对账明细接口!$L$1161=0,"",[1]对账明细接口!$L$1161),"")</f>
      </c>
      <c r="M1161" s="16">
        <f>IFERROR(IF([1]对账明细接口!$M$1161=0,"",[1]对账明细接口!$M$1161),"")</f>
      </c>
      <c r="N1161" s="19">
        <f>IF($C1161="",0,1)</f>
        <v>0</v>
      </c>
      <c r="O1161" s="19">
        <f>N(O1160)+$N1161</f>
        <v>637</v>
      </c>
      <c r="S1161" s="20">
        <f>IFERROR(IF([1]对账明细接口!$N1161=0,"",[1]对账明细接口!$N1161),"")</f>
      </c>
      <c r="T1161" s="212">
        <f>IFERROR(IF([1]对账明细接口!$O1161=0,"",[1]对账明细接口!$O1161),"")</f>
      </c>
      <c r="U1161" s="212">
        <f>IFERROR(IF([1]对账明细接口!$P1161=0,"",[1]对账明细接口!$P1161),"")</f>
      </c>
      <c r="V1161" s="212">
        <f>IFERROR(IF([1]对账明细接口!$Q1161=0,"",[1]对账明细接口!$Q1161),"")</f>
      </c>
      <c r="W1161" s="20">
        <f>IFERROR(IF([1]对账明细接口!$R1161=0,"",[1]对账明细接口!$R1161),"")</f>
      </c>
      <c r="X1161" s="20">
        <f>IFERROR(IF([1]对账明细接口!$S1161=0,"",[1]对账明细接口!$S1161),"")</f>
      </c>
      <c r="Y1161" s="20">
        <f>IFERROR(IF([1]对账明细接口!$T1161=0,"",[1]对账明细接口!$T1161),"")</f>
      </c>
      <c r="Z1161" s="213">
        <f>IFERROR(IF([1]对账明细接口!$U1161=0,"",[1]对账明细接口!$U1161),"")</f>
      </c>
      <c r="AA1161" s="213">
        <f>IFERROR(IF([1]对账明细接口!$V1161=0,"",[1]对账明细接口!$V1161),"")</f>
      </c>
      <c r="AB1161" s="20">
        <f>IFERROR(IF([1]对账明细接口!$W1161=0,"",[1]对账明细接口!$W1161),"")</f>
      </c>
      <c r="AC1161" s="7">
        <f>IFERROR(IF([1]对账明细接口!$X1161=0,"",[1]对账明细接口!$X1161),"")</f>
      </c>
      <c r="AD1161" s="7">
        <f>IFERROR(IF([1]对账明细接口!$Y1161=0,"",[1]对账明细接口!$Y1161),"")</f>
      </c>
      <c r="AE1161" s="7">
        <f>IFERROR(IF([1]对账明细接口!$AA1161=0,"",[1]对账明细接口!$AA1161),"")</f>
      </c>
      <c r="AF1161" s="7">
        <f>IFERROR(IF([1]对账明细接口!$AB1161=0,"",[1]对账明细接口!$AB1161),"")</f>
      </c>
      <c r="AG1161" s="7">
        <f>IFERROR(IF([1]对账明细接口!$AC1161=0,"",[1]对账明细接口!$AC1161),"")</f>
      </c>
      <c r="AH1161" s="7">
        <f>IFERROR(IF([1]对账明细接口!$AD1161=0,"",[1]对账明细接口!$AD1161),"")</f>
      </c>
      <c r="AI1161" s="7">
        <f>IFERROR(IF([1]对账明细接口!$AE1161=0,"",[1]对账明细接口!$AE1161),"")</f>
      </c>
      <c r="AJ1161" s="7">
        <f>IFERROR(IF([1]对账明细接口!$AF1161=0,"",[1]对账明细接口!$AF1161),"")</f>
      </c>
    </row>
    <row r="1162" ht="14.25" customHeight="1" s="127">
      <c r="A1162" s="14" t="n">
        <v>1162</v>
      </c>
      <c r="B1162" s="211">
        <f>IFERROR(IF([1]对账明细接口!$B$1162=0,"",[1]对账明细接口!$B$1162),"")</f>
      </c>
      <c r="C1162" s="16">
        <f>IFERROR(IF([1]对账明细接口!$C$1162=0,"",[1]对账明细接口!$C$1162),"")</f>
      </c>
      <c r="D1162" s="16">
        <f>IFERROR(IF([1]对账明细接口!$D$1162=0,"",[1]对账明细接口!$D$1162),"")</f>
      </c>
      <c r="E1162" s="16">
        <f>IFERROR(IF([1]对账明细接口!$E$1162=0,"",[1]对账明细接口!$E$1162),"")</f>
      </c>
      <c r="F1162" s="16">
        <f>IFERROR(IF([1]对账明细接口!$F$1162=0,"",[1]对账明细接口!$F$1162),"")</f>
      </c>
      <c r="G1162" s="16">
        <f>IFERROR(IF([1]对账明细接口!$G$1162=0,"",[1]对账明细接口!$G$1162),"")</f>
      </c>
      <c r="H1162" s="176">
        <f>IFERROR(IF([1]对账明细接口!$H$1162=0,"",[1]对账明细接口!$H$1162),"")</f>
      </c>
      <c r="I1162" s="16">
        <f>IFERROR(IF([1]对账明细接口!$I$1162=0,"",[1]对账明细接口!$I$1162),"")</f>
      </c>
      <c r="J1162" s="177">
        <f>IFERROR(IF([1]对账明细接口!$J$1162=0,"",[1]对账明细接口!$J$1162),"")</f>
      </c>
      <c r="K1162" s="177">
        <f>IFERROR(IF([1]对账明细接口!$K$1162=0,"",[1]对账明细接口!$K$1162),"")</f>
      </c>
      <c r="L1162" s="16">
        <f>IFERROR(IF([1]对账明细接口!$L$1162=0,"",[1]对账明细接口!$L$1162),"")</f>
      </c>
      <c r="M1162" s="16">
        <f>IFERROR(IF([1]对账明细接口!$M$1162=0,"",[1]对账明细接口!$M$1162),"")</f>
      </c>
      <c r="N1162" s="19">
        <f>IF($C1162="",0,1)</f>
        <v>0</v>
      </c>
      <c r="O1162" s="19">
        <f>N(O1161)+$N1162</f>
        <v>637</v>
      </c>
      <c r="S1162" s="20">
        <f>IFERROR(IF([1]对账明细接口!$N1162=0,"",[1]对账明细接口!$N1162),"")</f>
      </c>
      <c r="T1162" s="212">
        <f>IFERROR(IF([1]对账明细接口!$O1162=0,"",[1]对账明细接口!$O1162),"")</f>
      </c>
      <c r="U1162" s="212">
        <f>IFERROR(IF([1]对账明细接口!$P1162=0,"",[1]对账明细接口!$P1162),"")</f>
      </c>
      <c r="V1162" s="212">
        <f>IFERROR(IF([1]对账明细接口!$Q1162=0,"",[1]对账明细接口!$Q1162),"")</f>
      </c>
      <c r="W1162" s="20">
        <f>IFERROR(IF([1]对账明细接口!$R1162=0,"",[1]对账明细接口!$R1162),"")</f>
      </c>
      <c r="X1162" s="20">
        <f>IFERROR(IF([1]对账明细接口!$S1162=0,"",[1]对账明细接口!$S1162),"")</f>
      </c>
      <c r="Y1162" s="20">
        <f>IFERROR(IF([1]对账明细接口!$T1162=0,"",[1]对账明细接口!$T1162),"")</f>
      </c>
      <c r="Z1162" s="213">
        <f>IFERROR(IF([1]对账明细接口!$U1162=0,"",[1]对账明细接口!$U1162),"")</f>
      </c>
      <c r="AA1162" s="213">
        <f>IFERROR(IF([1]对账明细接口!$V1162=0,"",[1]对账明细接口!$V1162),"")</f>
      </c>
      <c r="AB1162" s="20">
        <f>IFERROR(IF([1]对账明细接口!$W1162=0,"",[1]对账明细接口!$W1162),"")</f>
      </c>
      <c r="AC1162" s="7">
        <f>IFERROR(IF([1]对账明细接口!$X1162=0,"",[1]对账明细接口!$X1162),"")</f>
      </c>
      <c r="AD1162" s="7">
        <f>IFERROR(IF([1]对账明细接口!$Y1162=0,"",[1]对账明细接口!$Y1162),"")</f>
      </c>
      <c r="AE1162" s="7">
        <f>IFERROR(IF([1]对账明细接口!$AA1162=0,"",[1]对账明细接口!$AA1162),"")</f>
      </c>
      <c r="AF1162" s="7">
        <f>IFERROR(IF([1]对账明细接口!$AB1162=0,"",[1]对账明细接口!$AB1162),"")</f>
      </c>
      <c r="AG1162" s="7">
        <f>IFERROR(IF([1]对账明细接口!$AC1162=0,"",[1]对账明细接口!$AC1162),"")</f>
      </c>
      <c r="AH1162" s="7">
        <f>IFERROR(IF([1]对账明细接口!$AD1162=0,"",[1]对账明细接口!$AD1162),"")</f>
      </c>
      <c r="AI1162" s="7">
        <f>IFERROR(IF([1]对账明细接口!$AE1162=0,"",[1]对账明细接口!$AE1162),"")</f>
      </c>
      <c r="AJ1162" s="7">
        <f>IFERROR(IF([1]对账明细接口!$AF1162=0,"",[1]对账明细接口!$AF1162),"")</f>
      </c>
    </row>
    <row r="1163" ht="14.25" customHeight="1" s="127">
      <c r="A1163" s="14" t="n">
        <v>1163</v>
      </c>
      <c r="B1163" s="211">
        <f>IFERROR(IF([1]对账明细接口!$B$1163=0,"",[1]对账明细接口!$B$1163),"")</f>
      </c>
      <c r="C1163" s="16">
        <f>IFERROR(IF([1]对账明细接口!$C$1163=0,"",[1]对账明细接口!$C$1163),"")</f>
      </c>
      <c r="D1163" s="16">
        <f>IFERROR(IF([1]对账明细接口!$D$1163=0,"",[1]对账明细接口!$D$1163),"")</f>
      </c>
      <c r="E1163" s="16">
        <f>IFERROR(IF([1]对账明细接口!$E$1163=0,"",[1]对账明细接口!$E$1163),"")</f>
      </c>
      <c r="F1163" s="16">
        <f>IFERROR(IF([1]对账明细接口!$F$1163=0,"",[1]对账明细接口!$F$1163),"")</f>
      </c>
      <c r="G1163" s="16">
        <f>IFERROR(IF([1]对账明细接口!$G$1163=0,"",[1]对账明细接口!$G$1163),"")</f>
      </c>
      <c r="H1163" s="176">
        <f>IFERROR(IF([1]对账明细接口!$H$1163=0,"",[1]对账明细接口!$H$1163),"")</f>
      </c>
      <c r="I1163" s="16">
        <f>IFERROR(IF([1]对账明细接口!$I$1163=0,"",[1]对账明细接口!$I$1163),"")</f>
      </c>
      <c r="J1163" s="177">
        <f>IFERROR(IF([1]对账明细接口!$J$1163=0,"",[1]对账明细接口!$J$1163),"")</f>
      </c>
      <c r="K1163" s="177">
        <f>IFERROR(IF([1]对账明细接口!$K$1163=0,"",[1]对账明细接口!$K$1163),"")</f>
      </c>
      <c r="L1163" s="16">
        <f>IFERROR(IF([1]对账明细接口!$L$1163=0,"",[1]对账明细接口!$L$1163),"")</f>
      </c>
      <c r="M1163" s="16">
        <f>IFERROR(IF([1]对账明细接口!$M$1163=0,"",[1]对账明细接口!$M$1163),"")</f>
      </c>
      <c r="N1163" s="19">
        <f>IF($C1163="",0,1)</f>
        <v>0</v>
      </c>
      <c r="O1163" s="19">
        <f>N(O1162)+$N1163</f>
        <v>637</v>
      </c>
      <c r="S1163" s="20">
        <f>IFERROR(IF([1]对账明细接口!$N1163=0,"",[1]对账明细接口!$N1163),"")</f>
      </c>
      <c r="T1163" s="212">
        <f>IFERROR(IF([1]对账明细接口!$O1163=0,"",[1]对账明细接口!$O1163),"")</f>
      </c>
      <c r="U1163" s="212">
        <f>IFERROR(IF([1]对账明细接口!$P1163=0,"",[1]对账明细接口!$P1163),"")</f>
      </c>
      <c r="V1163" s="212">
        <f>IFERROR(IF([1]对账明细接口!$Q1163=0,"",[1]对账明细接口!$Q1163),"")</f>
      </c>
      <c r="W1163" s="20">
        <f>IFERROR(IF([1]对账明细接口!$R1163=0,"",[1]对账明细接口!$R1163),"")</f>
      </c>
      <c r="X1163" s="20">
        <f>IFERROR(IF([1]对账明细接口!$S1163=0,"",[1]对账明细接口!$S1163),"")</f>
      </c>
      <c r="Y1163" s="20">
        <f>IFERROR(IF([1]对账明细接口!$T1163=0,"",[1]对账明细接口!$T1163),"")</f>
      </c>
      <c r="Z1163" s="213">
        <f>IFERROR(IF([1]对账明细接口!$U1163=0,"",[1]对账明细接口!$U1163),"")</f>
      </c>
      <c r="AA1163" s="213">
        <f>IFERROR(IF([1]对账明细接口!$V1163=0,"",[1]对账明细接口!$V1163),"")</f>
      </c>
      <c r="AB1163" s="20">
        <f>IFERROR(IF([1]对账明细接口!$W1163=0,"",[1]对账明细接口!$W1163),"")</f>
      </c>
      <c r="AC1163" s="7">
        <f>IFERROR(IF([1]对账明细接口!$X1163=0,"",[1]对账明细接口!$X1163),"")</f>
      </c>
      <c r="AD1163" s="7">
        <f>IFERROR(IF([1]对账明细接口!$Y1163=0,"",[1]对账明细接口!$Y1163),"")</f>
      </c>
      <c r="AE1163" s="7">
        <f>IFERROR(IF([1]对账明细接口!$AA1163=0,"",[1]对账明细接口!$AA1163),"")</f>
      </c>
      <c r="AF1163" s="7">
        <f>IFERROR(IF([1]对账明细接口!$AB1163=0,"",[1]对账明细接口!$AB1163),"")</f>
      </c>
      <c r="AG1163" s="7">
        <f>IFERROR(IF([1]对账明细接口!$AC1163=0,"",[1]对账明细接口!$AC1163),"")</f>
      </c>
      <c r="AH1163" s="7">
        <f>IFERROR(IF([1]对账明细接口!$AD1163=0,"",[1]对账明细接口!$AD1163),"")</f>
      </c>
      <c r="AI1163" s="7">
        <f>IFERROR(IF([1]对账明细接口!$AE1163=0,"",[1]对账明细接口!$AE1163),"")</f>
      </c>
      <c r="AJ1163" s="7">
        <f>IFERROR(IF([1]对账明细接口!$AF1163=0,"",[1]对账明细接口!$AF1163),"")</f>
      </c>
    </row>
    <row r="1164" ht="14.25" customHeight="1" s="127">
      <c r="A1164" s="14" t="n">
        <v>1164</v>
      </c>
      <c r="B1164" s="211">
        <f>IFERROR(IF([1]对账明细接口!$B$1164=0,"",[1]对账明细接口!$B$1164),"")</f>
      </c>
      <c r="C1164" s="16">
        <f>IFERROR(IF([1]对账明细接口!$C$1164=0,"",[1]对账明细接口!$C$1164),"")</f>
      </c>
      <c r="D1164" s="16">
        <f>IFERROR(IF([1]对账明细接口!$D$1164=0,"",[1]对账明细接口!$D$1164),"")</f>
      </c>
      <c r="E1164" s="16">
        <f>IFERROR(IF([1]对账明细接口!$E$1164=0,"",[1]对账明细接口!$E$1164),"")</f>
      </c>
      <c r="F1164" s="16">
        <f>IFERROR(IF([1]对账明细接口!$F$1164=0,"",[1]对账明细接口!$F$1164),"")</f>
      </c>
      <c r="G1164" s="16">
        <f>IFERROR(IF([1]对账明细接口!$G$1164=0,"",[1]对账明细接口!$G$1164),"")</f>
      </c>
      <c r="H1164" s="176">
        <f>IFERROR(IF([1]对账明细接口!$H$1164=0,"",[1]对账明细接口!$H$1164),"")</f>
      </c>
      <c r="I1164" s="16">
        <f>IFERROR(IF([1]对账明细接口!$I$1164=0,"",[1]对账明细接口!$I$1164),"")</f>
      </c>
      <c r="J1164" s="177">
        <f>IFERROR(IF([1]对账明细接口!$J$1164=0,"",[1]对账明细接口!$J$1164),"")</f>
      </c>
      <c r="K1164" s="177">
        <f>IFERROR(IF([1]对账明细接口!$K$1164=0,"",[1]对账明细接口!$K$1164),"")</f>
      </c>
      <c r="L1164" s="16">
        <f>IFERROR(IF([1]对账明细接口!$L$1164=0,"",[1]对账明细接口!$L$1164),"")</f>
      </c>
      <c r="M1164" s="16">
        <f>IFERROR(IF([1]对账明细接口!$M$1164=0,"",[1]对账明细接口!$M$1164),"")</f>
      </c>
      <c r="N1164" s="19">
        <f>IF($C1164="",0,1)</f>
        <v>0</v>
      </c>
      <c r="O1164" s="19">
        <f>N(O1163)+$N1164</f>
        <v>637</v>
      </c>
      <c r="S1164" s="20">
        <f>IFERROR(IF([1]对账明细接口!$N1164=0,"",[1]对账明细接口!$N1164),"")</f>
      </c>
      <c r="T1164" s="212">
        <f>IFERROR(IF([1]对账明细接口!$O1164=0,"",[1]对账明细接口!$O1164),"")</f>
      </c>
      <c r="U1164" s="212">
        <f>IFERROR(IF([1]对账明细接口!$P1164=0,"",[1]对账明细接口!$P1164),"")</f>
      </c>
      <c r="V1164" s="212">
        <f>IFERROR(IF([1]对账明细接口!$Q1164=0,"",[1]对账明细接口!$Q1164),"")</f>
      </c>
      <c r="W1164" s="20">
        <f>IFERROR(IF([1]对账明细接口!$R1164=0,"",[1]对账明细接口!$R1164),"")</f>
      </c>
      <c r="X1164" s="20">
        <f>IFERROR(IF([1]对账明细接口!$S1164=0,"",[1]对账明细接口!$S1164),"")</f>
      </c>
      <c r="Y1164" s="20">
        <f>IFERROR(IF([1]对账明细接口!$T1164=0,"",[1]对账明细接口!$T1164),"")</f>
      </c>
      <c r="Z1164" s="213">
        <f>IFERROR(IF([1]对账明细接口!$U1164=0,"",[1]对账明细接口!$U1164),"")</f>
      </c>
      <c r="AA1164" s="213">
        <f>IFERROR(IF([1]对账明细接口!$V1164=0,"",[1]对账明细接口!$V1164),"")</f>
      </c>
      <c r="AB1164" s="20">
        <f>IFERROR(IF([1]对账明细接口!$W1164=0,"",[1]对账明细接口!$W1164),"")</f>
      </c>
      <c r="AC1164" s="7">
        <f>IFERROR(IF([1]对账明细接口!$X1164=0,"",[1]对账明细接口!$X1164),"")</f>
      </c>
      <c r="AD1164" s="7">
        <f>IFERROR(IF([1]对账明细接口!$Y1164=0,"",[1]对账明细接口!$Y1164),"")</f>
      </c>
      <c r="AE1164" s="7">
        <f>IFERROR(IF([1]对账明细接口!$AA1164=0,"",[1]对账明细接口!$AA1164),"")</f>
      </c>
      <c r="AF1164" s="7">
        <f>IFERROR(IF([1]对账明细接口!$AB1164=0,"",[1]对账明细接口!$AB1164),"")</f>
      </c>
      <c r="AG1164" s="7">
        <f>IFERROR(IF([1]对账明细接口!$AC1164=0,"",[1]对账明细接口!$AC1164),"")</f>
      </c>
      <c r="AH1164" s="7">
        <f>IFERROR(IF([1]对账明细接口!$AD1164=0,"",[1]对账明细接口!$AD1164),"")</f>
      </c>
      <c r="AI1164" s="7">
        <f>IFERROR(IF([1]对账明细接口!$AE1164=0,"",[1]对账明细接口!$AE1164),"")</f>
      </c>
      <c r="AJ1164" s="7">
        <f>IFERROR(IF([1]对账明细接口!$AF1164=0,"",[1]对账明细接口!$AF1164),"")</f>
      </c>
    </row>
    <row r="1165" ht="14.25" customHeight="1" s="127">
      <c r="A1165" s="14" t="n">
        <v>1165</v>
      </c>
      <c r="B1165" s="211">
        <f>IFERROR(IF([1]对账明细接口!$B$1165=0,"",[1]对账明细接口!$B$1165),"")</f>
      </c>
      <c r="C1165" s="16">
        <f>IFERROR(IF([1]对账明细接口!$C$1165=0,"",[1]对账明细接口!$C$1165),"")</f>
      </c>
      <c r="D1165" s="16">
        <f>IFERROR(IF([1]对账明细接口!$D$1165=0,"",[1]对账明细接口!$D$1165),"")</f>
      </c>
      <c r="E1165" s="16">
        <f>IFERROR(IF([1]对账明细接口!$E$1165=0,"",[1]对账明细接口!$E$1165),"")</f>
      </c>
      <c r="F1165" s="16">
        <f>IFERROR(IF([1]对账明细接口!$F$1165=0,"",[1]对账明细接口!$F$1165),"")</f>
      </c>
      <c r="G1165" s="16">
        <f>IFERROR(IF([1]对账明细接口!$G$1165=0,"",[1]对账明细接口!$G$1165),"")</f>
      </c>
      <c r="H1165" s="176">
        <f>IFERROR(IF([1]对账明细接口!$H$1165=0,"",[1]对账明细接口!$H$1165),"")</f>
      </c>
      <c r="I1165" s="16">
        <f>IFERROR(IF([1]对账明细接口!$I$1165=0,"",[1]对账明细接口!$I$1165),"")</f>
      </c>
      <c r="J1165" s="177">
        <f>IFERROR(IF([1]对账明细接口!$J$1165=0,"",[1]对账明细接口!$J$1165),"")</f>
      </c>
      <c r="K1165" s="177">
        <f>IFERROR(IF([1]对账明细接口!$K$1165=0,"",[1]对账明细接口!$K$1165),"")</f>
      </c>
      <c r="L1165" s="16">
        <f>IFERROR(IF([1]对账明细接口!$L$1165=0,"",[1]对账明细接口!$L$1165),"")</f>
      </c>
      <c r="M1165" s="16">
        <f>IFERROR(IF([1]对账明细接口!$M$1165=0,"",[1]对账明细接口!$M$1165),"")</f>
      </c>
      <c r="N1165" s="19">
        <f>IF($C1165="",0,1)</f>
        <v>0</v>
      </c>
      <c r="O1165" s="19">
        <f>N(O1164)+$N1165</f>
        <v>637</v>
      </c>
      <c r="S1165" s="20">
        <f>IFERROR(IF([1]对账明细接口!$N1165=0,"",[1]对账明细接口!$N1165),"")</f>
      </c>
      <c r="T1165" s="212">
        <f>IFERROR(IF([1]对账明细接口!$O1165=0,"",[1]对账明细接口!$O1165),"")</f>
      </c>
      <c r="U1165" s="212">
        <f>IFERROR(IF([1]对账明细接口!$P1165=0,"",[1]对账明细接口!$P1165),"")</f>
      </c>
      <c r="V1165" s="212">
        <f>IFERROR(IF([1]对账明细接口!$Q1165=0,"",[1]对账明细接口!$Q1165),"")</f>
      </c>
      <c r="W1165" s="20">
        <f>IFERROR(IF([1]对账明细接口!$R1165=0,"",[1]对账明细接口!$R1165),"")</f>
      </c>
      <c r="X1165" s="20">
        <f>IFERROR(IF([1]对账明细接口!$S1165=0,"",[1]对账明细接口!$S1165),"")</f>
      </c>
      <c r="Y1165" s="20">
        <f>IFERROR(IF([1]对账明细接口!$T1165=0,"",[1]对账明细接口!$T1165),"")</f>
      </c>
      <c r="Z1165" s="213">
        <f>IFERROR(IF([1]对账明细接口!$U1165=0,"",[1]对账明细接口!$U1165),"")</f>
      </c>
      <c r="AA1165" s="213">
        <f>IFERROR(IF([1]对账明细接口!$V1165=0,"",[1]对账明细接口!$V1165),"")</f>
      </c>
      <c r="AB1165" s="20">
        <f>IFERROR(IF([1]对账明细接口!$W1165=0,"",[1]对账明细接口!$W1165),"")</f>
      </c>
      <c r="AC1165" s="7">
        <f>IFERROR(IF([1]对账明细接口!$X1165=0,"",[1]对账明细接口!$X1165),"")</f>
      </c>
      <c r="AD1165" s="7">
        <f>IFERROR(IF([1]对账明细接口!$Y1165=0,"",[1]对账明细接口!$Y1165),"")</f>
      </c>
      <c r="AE1165" s="7">
        <f>IFERROR(IF([1]对账明细接口!$AA1165=0,"",[1]对账明细接口!$AA1165),"")</f>
      </c>
      <c r="AF1165" s="7">
        <f>IFERROR(IF([1]对账明细接口!$AB1165=0,"",[1]对账明细接口!$AB1165),"")</f>
      </c>
      <c r="AG1165" s="7">
        <f>IFERROR(IF([1]对账明细接口!$AC1165=0,"",[1]对账明细接口!$AC1165),"")</f>
      </c>
      <c r="AH1165" s="7">
        <f>IFERROR(IF([1]对账明细接口!$AD1165=0,"",[1]对账明细接口!$AD1165),"")</f>
      </c>
      <c r="AI1165" s="7">
        <f>IFERROR(IF([1]对账明细接口!$AE1165=0,"",[1]对账明细接口!$AE1165),"")</f>
      </c>
      <c r="AJ1165" s="7">
        <f>IFERROR(IF([1]对账明细接口!$AF1165=0,"",[1]对账明细接口!$AF1165),"")</f>
      </c>
    </row>
    <row r="1166" ht="14.25" customHeight="1" s="127">
      <c r="A1166" s="14" t="n">
        <v>1166</v>
      </c>
      <c r="B1166" s="211">
        <f>IFERROR(IF([1]对账明细接口!$B$1166=0,"",[1]对账明细接口!$B$1166),"")</f>
      </c>
      <c r="C1166" s="16">
        <f>IFERROR(IF([1]对账明细接口!$C$1166=0,"",[1]对账明细接口!$C$1166),"")</f>
      </c>
      <c r="D1166" s="16">
        <f>IFERROR(IF([1]对账明细接口!$D$1166=0,"",[1]对账明细接口!$D$1166),"")</f>
      </c>
      <c r="E1166" s="16">
        <f>IFERROR(IF([1]对账明细接口!$E$1166=0,"",[1]对账明细接口!$E$1166),"")</f>
      </c>
      <c r="F1166" s="16">
        <f>IFERROR(IF([1]对账明细接口!$F$1166=0,"",[1]对账明细接口!$F$1166),"")</f>
      </c>
      <c r="G1166" s="16">
        <f>IFERROR(IF([1]对账明细接口!$G$1166=0,"",[1]对账明细接口!$G$1166),"")</f>
      </c>
      <c r="H1166" s="176">
        <f>IFERROR(IF([1]对账明细接口!$H$1166=0,"",[1]对账明细接口!$H$1166),"")</f>
      </c>
      <c r="I1166" s="16">
        <f>IFERROR(IF([1]对账明细接口!$I$1166=0,"",[1]对账明细接口!$I$1166),"")</f>
      </c>
      <c r="J1166" s="177">
        <f>IFERROR(IF([1]对账明细接口!$J$1166=0,"",[1]对账明细接口!$J$1166),"")</f>
      </c>
      <c r="K1166" s="177">
        <f>IFERROR(IF([1]对账明细接口!$K$1166=0,"",[1]对账明细接口!$K$1166),"")</f>
      </c>
      <c r="L1166" s="16">
        <f>IFERROR(IF([1]对账明细接口!$L$1166=0,"",[1]对账明细接口!$L$1166),"")</f>
      </c>
      <c r="M1166" s="16">
        <f>IFERROR(IF([1]对账明细接口!$M$1166=0,"",[1]对账明细接口!$M$1166),"")</f>
      </c>
      <c r="N1166" s="19">
        <f>IF($C1166="",0,1)</f>
        <v>0</v>
      </c>
      <c r="O1166" s="19">
        <f>N(O1165)+$N1166</f>
        <v>637</v>
      </c>
      <c r="S1166" s="20">
        <f>IFERROR(IF([1]对账明细接口!$N1166=0,"",[1]对账明细接口!$N1166),"")</f>
      </c>
      <c r="T1166" s="212">
        <f>IFERROR(IF([1]对账明细接口!$O1166=0,"",[1]对账明细接口!$O1166),"")</f>
      </c>
      <c r="U1166" s="212">
        <f>IFERROR(IF([1]对账明细接口!$P1166=0,"",[1]对账明细接口!$P1166),"")</f>
      </c>
      <c r="V1166" s="212">
        <f>IFERROR(IF([1]对账明细接口!$Q1166=0,"",[1]对账明细接口!$Q1166),"")</f>
      </c>
      <c r="W1166" s="20">
        <f>IFERROR(IF([1]对账明细接口!$R1166=0,"",[1]对账明细接口!$R1166),"")</f>
      </c>
      <c r="X1166" s="20">
        <f>IFERROR(IF([1]对账明细接口!$S1166=0,"",[1]对账明细接口!$S1166),"")</f>
      </c>
      <c r="Y1166" s="20">
        <f>IFERROR(IF([1]对账明细接口!$T1166=0,"",[1]对账明细接口!$T1166),"")</f>
      </c>
      <c r="Z1166" s="213">
        <f>IFERROR(IF([1]对账明细接口!$U1166=0,"",[1]对账明细接口!$U1166),"")</f>
      </c>
      <c r="AA1166" s="213">
        <f>IFERROR(IF([1]对账明细接口!$V1166=0,"",[1]对账明细接口!$V1166),"")</f>
      </c>
      <c r="AB1166" s="20">
        <f>IFERROR(IF([1]对账明细接口!$W1166=0,"",[1]对账明细接口!$W1166),"")</f>
      </c>
      <c r="AC1166" s="7">
        <f>IFERROR(IF([1]对账明细接口!$X1166=0,"",[1]对账明细接口!$X1166),"")</f>
      </c>
      <c r="AD1166" s="7">
        <f>IFERROR(IF([1]对账明细接口!$Y1166=0,"",[1]对账明细接口!$Y1166),"")</f>
      </c>
      <c r="AE1166" s="7">
        <f>IFERROR(IF([1]对账明细接口!$AA1166=0,"",[1]对账明细接口!$AA1166),"")</f>
      </c>
      <c r="AF1166" s="7">
        <f>IFERROR(IF([1]对账明细接口!$AB1166=0,"",[1]对账明细接口!$AB1166),"")</f>
      </c>
      <c r="AG1166" s="7">
        <f>IFERROR(IF([1]对账明细接口!$AC1166=0,"",[1]对账明细接口!$AC1166),"")</f>
      </c>
      <c r="AH1166" s="7">
        <f>IFERROR(IF([1]对账明细接口!$AD1166=0,"",[1]对账明细接口!$AD1166),"")</f>
      </c>
      <c r="AI1166" s="7">
        <f>IFERROR(IF([1]对账明细接口!$AE1166=0,"",[1]对账明细接口!$AE1166),"")</f>
      </c>
      <c r="AJ1166" s="7">
        <f>IFERROR(IF([1]对账明细接口!$AF1166=0,"",[1]对账明细接口!$AF1166),"")</f>
      </c>
    </row>
    <row r="1167" ht="14.25" customHeight="1" s="127">
      <c r="A1167" s="14" t="n">
        <v>1167</v>
      </c>
      <c r="B1167" s="211">
        <f>IFERROR(IF([1]对账明细接口!$B$1167=0,"",[1]对账明细接口!$B$1167),"")</f>
      </c>
      <c r="C1167" s="16">
        <f>IFERROR(IF([1]对账明细接口!$C$1167=0,"",[1]对账明细接口!$C$1167),"")</f>
      </c>
      <c r="D1167" s="16">
        <f>IFERROR(IF([1]对账明细接口!$D$1167=0,"",[1]对账明细接口!$D$1167),"")</f>
      </c>
      <c r="E1167" s="16">
        <f>IFERROR(IF([1]对账明细接口!$E$1167=0,"",[1]对账明细接口!$E$1167),"")</f>
      </c>
      <c r="F1167" s="16">
        <f>IFERROR(IF([1]对账明细接口!$F$1167=0,"",[1]对账明细接口!$F$1167),"")</f>
      </c>
      <c r="G1167" s="16">
        <f>IFERROR(IF([1]对账明细接口!$G$1167=0,"",[1]对账明细接口!$G$1167),"")</f>
      </c>
      <c r="H1167" s="176">
        <f>IFERROR(IF([1]对账明细接口!$H$1167=0,"",[1]对账明细接口!$H$1167),"")</f>
      </c>
      <c r="I1167" s="16">
        <f>IFERROR(IF([1]对账明细接口!$I$1167=0,"",[1]对账明细接口!$I$1167),"")</f>
      </c>
      <c r="J1167" s="177">
        <f>IFERROR(IF([1]对账明细接口!$J$1167=0,"",[1]对账明细接口!$J$1167),"")</f>
      </c>
      <c r="K1167" s="177">
        <f>IFERROR(IF([1]对账明细接口!$K$1167=0,"",[1]对账明细接口!$K$1167),"")</f>
      </c>
      <c r="L1167" s="16">
        <f>IFERROR(IF([1]对账明细接口!$L$1167=0,"",[1]对账明细接口!$L$1167),"")</f>
      </c>
      <c r="M1167" s="16">
        <f>IFERROR(IF([1]对账明细接口!$M$1167=0,"",[1]对账明细接口!$M$1167),"")</f>
      </c>
      <c r="N1167" s="19">
        <f>IF($C1167="",0,1)</f>
        <v>0</v>
      </c>
      <c r="O1167" s="19">
        <f>N(O1166)+$N1167</f>
        <v>637</v>
      </c>
      <c r="S1167" s="20">
        <f>IFERROR(IF([1]对账明细接口!$N1167=0,"",[1]对账明细接口!$N1167),"")</f>
      </c>
      <c r="T1167" s="212">
        <f>IFERROR(IF([1]对账明细接口!$O1167=0,"",[1]对账明细接口!$O1167),"")</f>
      </c>
      <c r="U1167" s="212">
        <f>IFERROR(IF([1]对账明细接口!$P1167=0,"",[1]对账明细接口!$P1167),"")</f>
      </c>
      <c r="V1167" s="212">
        <f>IFERROR(IF([1]对账明细接口!$Q1167=0,"",[1]对账明细接口!$Q1167),"")</f>
      </c>
      <c r="W1167" s="20">
        <f>IFERROR(IF([1]对账明细接口!$R1167=0,"",[1]对账明细接口!$R1167),"")</f>
      </c>
      <c r="X1167" s="20">
        <f>IFERROR(IF([1]对账明细接口!$S1167=0,"",[1]对账明细接口!$S1167),"")</f>
      </c>
      <c r="Y1167" s="20">
        <f>IFERROR(IF([1]对账明细接口!$T1167=0,"",[1]对账明细接口!$T1167),"")</f>
      </c>
      <c r="Z1167" s="213">
        <f>IFERROR(IF([1]对账明细接口!$U1167=0,"",[1]对账明细接口!$U1167),"")</f>
      </c>
      <c r="AA1167" s="213">
        <f>IFERROR(IF([1]对账明细接口!$V1167=0,"",[1]对账明细接口!$V1167),"")</f>
      </c>
      <c r="AB1167" s="20">
        <f>IFERROR(IF([1]对账明细接口!$W1167=0,"",[1]对账明细接口!$W1167),"")</f>
      </c>
      <c r="AC1167" s="7">
        <f>IFERROR(IF([1]对账明细接口!$X1167=0,"",[1]对账明细接口!$X1167),"")</f>
      </c>
      <c r="AD1167" s="7">
        <f>IFERROR(IF([1]对账明细接口!$Y1167=0,"",[1]对账明细接口!$Y1167),"")</f>
      </c>
      <c r="AE1167" s="7">
        <f>IFERROR(IF([1]对账明细接口!$AA1167=0,"",[1]对账明细接口!$AA1167),"")</f>
      </c>
      <c r="AF1167" s="7">
        <f>IFERROR(IF([1]对账明细接口!$AB1167=0,"",[1]对账明细接口!$AB1167),"")</f>
      </c>
      <c r="AG1167" s="7">
        <f>IFERROR(IF([1]对账明细接口!$AC1167=0,"",[1]对账明细接口!$AC1167),"")</f>
      </c>
      <c r="AH1167" s="7">
        <f>IFERROR(IF([1]对账明细接口!$AD1167=0,"",[1]对账明细接口!$AD1167),"")</f>
      </c>
      <c r="AI1167" s="7">
        <f>IFERROR(IF([1]对账明细接口!$AE1167=0,"",[1]对账明细接口!$AE1167),"")</f>
      </c>
      <c r="AJ1167" s="7">
        <f>IFERROR(IF([1]对账明细接口!$AF1167=0,"",[1]对账明细接口!$AF1167),"")</f>
      </c>
    </row>
    <row r="1168" ht="14.25" customHeight="1" s="127">
      <c r="A1168" s="14" t="n">
        <v>1168</v>
      </c>
      <c r="B1168" s="211">
        <f>IFERROR(IF([1]对账明细接口!$B$1168=0,"",[1]对账明细接口!$B$1168),"")</f>
      </c>
      <c r="C1168" s="16">
        <f>IFERROR(IF([1]对账明细接口!$C$1168=0,"",[1]对账明细接口!$C$1168),"")</f>
      </c>
      <c r="D1168" s="16">
        <f>IFERROR(IF([1]对账明细接口!$D$1168=0,"",[1]对账明细接口!$D$1168),"")</f>
      </c>
      <c r="E1168" s="16">
        <f>IFERROR(IF([1]对账明细接口!$E$1168=0,"",[1]对账明细接口!$E$1168),"")</f>
      </c>
      <c r="F1168" s="16">
        <f>IFERROR(IF([1]对账明细接口!$F$1168=0,"",[1]对账明细接口!$F$1168),"")</f>
      </c>
      <c r="G1168" s="16">
        <f>IFERROR(IF([1]对账明细接口!$G$1168=0,"",[1]对账明细接口!$G$1168),"")</f>
      </c>
      <c r="H1168" s="176">
        <f>IFERROR(IF([1]对账明细接口!$H$1168=0,"",[1]对账明细接口!$H$1168),"")</f>
      </c>
      <c r="I1168" s="16">
        <f>IFERROR(IF([1]对账明细接口!$I$1168=0,"",[1]对账明细接口!$I$1168),"")</f>
      </c>
      <c r="J1168" s="177">
        <f>IFERROR(IF([1]对账明细接口!$J$1168=0,"",[1]对账明细接口!$J$1168),"")</f>
      </c>
      <c r="K1168" s="177">
        <f>IFERROR(IF([1]对账明细接口!$K$1168=0,"",[1]对账明细接口!$K$1168),"")</f>
      </c>
      <c r="L1168" s="16">
        <f>IFERROR(IF([1]对账明细接口!$L$1168=0,"",[1]对账明细接口!$L$1168),"")</f>
      </c>
      <c r="M1168" s="16">
        <f>IFERROR(IF([1]对账明细接口!$M$1168=0,"",[1]对账明细接口!$M$1168),"")</f>
      </c>
      <c r="N1168" s="19">
        <f>IF($C1168="",0,1)</f>
        <v>0</v>
      </c>
      <c r="O1168" s="19">
        <f>N(O1167)+$N1168</f>
        <v>637</v>
      </c>
      <c r="S1168" s="20">
        <f>IFERROR(IF([1]对账明细接口!$N1168=0,"",[1]对账明细接口!$N1168),"")</f>
      </c>
      <c r="T1168" s="212">
        <f>IFERROR(IF([1]对账明细接口!$O1168=0,"",[1]对账明细接口!$O1168),"")</f>
      </c>
      <c r="U1168" s="212">
        <f>IFERROR(IF([1]对账明细接口!$P1168=0,"",[1]对账明细接口!$P1168),"")</f>
      </c>
      <c r="V1168" s="212">
        <f>IFERROR(IF([1]对账明细接口!$Q1168=0,"",[1]对账明细接口!$Q1168),"")</f>
      </c>
      <c r="W1168" s="20">
        <f>IFERROR(IF([1]对账明细接口!$R1168=0,"",[1]对账明细接口!$R1168),"")</f>
      </c>
      <c r="X1168" s="20">
        <f>IFERROR(IF([1]对账明细接口!$S1168=0,"",[1]对账明细接口!$S1168),"")</f>
      </c>
      <c r="Y1168" s="20">
        <f>IFERROR(IF([1]对账明细接口!$T1168=0,"",[1]对账明细接口!$T1168),"")</f>
      </c>
      <c r="Z1168" s="213">
        <f>IFERROR(IF([1]对账明细接口!$U1168=0,"",[1]对账明细接口!$U1168),"")</f>
      </c>
      <c r="AA1168" s="213">
        <f>IFERROR(IF([1]对账明细接口!$V1168=0,"",[1]对账明细接口!$V1168),"")</f>
      </c>
      <c r="AB1168" s="20">
        <f>IFERROR(IF([1]对账明细接口!$W1168=0,"",[1]对账明细接口!$W1168),"")</f>
      </c>
      <c r="AC1168" s="7">
        <f>IFERROR(IF([1]对账明细接口!$X1168=0,"",[1]对账明细接口!$X1168),"")</f>
      </c>
      <c r="AD1168" s="7">
        <f>IFERROR(IF([1]对账明细接口!$Y1168=0,"",[1]对账明细接口!$Y1168),"")</f>
      </c>
      <c r="AE1168" s="7">
        <f>IFERROR(IF([1]对账明细接口!$AA1168=0,"",[1]对账明细接口!$AA1168),"")</f>
      </c>
      <c r="AF1168" s="7">
        <f>IFERROR(IF([1]对账明细接口!$AB1168=0,"",[1]对账明细接口!$AB1168),"")</f>
      </c>
      <c r="AG1168" s="7">
        <f>IFERROR(IF([1]对账明细接口!$AC1168=0,"",[1]对账明细接口!$AC1168),"")</f>
      </c>
      <c r="AH1168" s="7">
        <f>IFERROR(IF([1]对账明细接口!$AD1168=0,"",[1]对账明细接口!$AD1168),"")</f>
      </c>
      <c r="AI1168" s="7">
        <f>IFERROR(IF([1]对账明细接口!$AE1168=0,"",[1]对账明细接口!$AE1168),"")</f>
      </c>
      <c r="AJ1168" s="7">
        <f>IFERROR(IF([1]对账明细接口!$AF1168=0,"",[1]对账明细接口!$AF1168),"")</f>
      </c>
    </row>
    <row r="1169" ht="14.25" customHeight="1" s="127">
      <c r="A1169" s="14" t="n">
        <v>1169</v>
      </c>
      <c r="B1169" s="211">
        <f>IFERROR(IF([1]对账明细接口!$B$1169=0,"",[1]对账明细接口!$B$1169),"")</f>
      </c>
      <c r="C1169" s="16">
        <f>IFERROR(IF([1]对账明细接口!$C$1169=0,"",[1]对账明细接口!$C$1169),"")</f>
      </c>
      <c r="D1169" s="16">
        <f>IFERROR(IF([1]对账明细接口!$D$1169=0,"",[1]对账明细接口!$D$1169),"")</f>
      </c>
      <c r="E1169" s="16">
        <f>IFERROR(IF([1]对账明细接口!$E$1169=0,"",[1]对账明细接口!$E$1169),"")</f>
      </c>
      <c r="F1169" s="16">
        <f>IFERROR(IF([1]对账明细接口!$F$1169=0,"",[1]对账明细接口!$F$1169),"")</f>
      </c>
      <c r="G1169" s="16">
        <f>IFERROR(IF([1]对账明细接口!$G$1169=0,"",[1]对账明细接口!$G$1169),"")</f>
      </c>
      <c r="H1169" s="176">
        <f>IFERROR(IF([1]对账明细接口!$H$1169=0,"",[1]对账明细接口!$H$1169),"")</f>
      </c>
      <c r="I1169" s="16">
        <f>IFERROR(IF([1]对账明细接口!$I$1169=0,"",[1]对账明细接口!$I$1169),"")</f>
      </c>
      <c r="J1169" s="177">
        <f>IFERROR(IF([1]对账明细接口!$J$1169=0,"",[1]对账明细接口!$J$1169),"")</f>
      </c>
      <c r="K1169" s="177">
        <f>IFERROR(IF([1]对账明细接口!$K$1169=0,"",[1]对账明细接口!$K$1169),"")</f>
      </c>
      <c r="L1169" s="16">
        <f>IFERROR(IF([1]对账明细接口!$L$1169=0,"",[1]对账明细接口!$L$1169),"")</f>
      </c>
      <c r="M1169" s="16">
        <f>IFERROR(IF([1]对账明细接口!$M$1169=0,"",[1]对账明细接口!$M$1169),"")</f>
      </c>
      <c r="N1169" s="19">
        <f>IF($C1169="",0,1)</f>
        <v>0</v>
      </c>
      <c r="O1169" s="19">
        <f>N(O1168)+$N1169</f>
        <v>637</v>
      </c>
      <c r="S1169" s="20">
        <f>IFERROR(IF([1]对账明细接口!$N1169=0,"",[1]对账明细接口!$N1169),"")</f>
      </c>
      <c r="T1169" s="212">
        <f>IFERROR(IF([1]对账明细接口!$O1169=0,"",[1]对账明细接口!$O1169),"")</f>
      </c>
      <c r="U1169" s="212">
        <f>IFERROR(IF([1]对账明细接口!$P1169=0,"",[1]对账明细接口!$P1169),"")</f>
      </c>
      <c r="V1169" s="212">
        <f>IFERROR(IF([1]对账明细接口!$Q1169=0,"",[1]对账明细接口!$Q1169),"")</f>
      </c>
      <c r="W1169" s="20">
        <f>IFERROR(IF([1]对账明细接口!$R1169=0,"",[1]对账明细接口!$R1169),"")</f>
      </c>
      <c r="X1169" s="20">
        <f>IFERROR(IF([1]对账明细接口!$S1169=0,"",[1]对账明细接口!$S1169),"")</f>
      </c>
      <c r="Y1169" s="20">
        <f>IFERROR(IF([1]对账明细接口!$T1169=0,"",[1]对账明细接口!$T1169),"")</f>
      </c>
      <c r="Z1169" s="213">
        <f>IFERROR(IF([1]对账明细接口!$U1169=0,"",[1]对账明细接口!$U1169),"")</f>
      </c>
      <c r="AA1169" s="213">
        <f>IFERROR(IF([1]对账明细接口!$V1169=0,"",[1]对账明细接口!$V1169),"")</f>
      </c>
      <c r="AB1169" s="20">
        <f>IFERROR(IF([1]对账明细接口!$W1169=0,"",[1]对账明细接口!$W1169),"")</f>
      </c>
      <c r="AC1169" s="7">
        <f>IFERROR(IF([1]对账明细接口!$X1169=0,"",[1]对账明细接口!$X1169),"")</f>
      </c>
      <c r="AD1169" s="7">
        <f>IFERROR(IF([1]对账明细接口!$Y1169=0,"",[1]对账明细接口!$Y1169),"")</f>
      </c>
      <c r="AE1169" s="7">
        <f>IFERROR(IF([1]对账明细接口!$AA1169=0,"",[1]对账明细接口!$AA1169),"")</f>
      </c>
      <c r="AF1169" s="7">
        <f>IFERROR(IF([1]对账明细接口!$AB1169=0,"",[1]对账明细接口!$AB1169),"")</f>
      </c>
      <c r="AG1169" s="7">
        <f>IFERROR(IF([1]对账明细接口!$AC1169=0,"",[1]对账明细接口!$AC1169),"")</f>
      </c>
      <c r="AH1169" s="7">
        <f>IFERROR(IF([1]对账明细接口!$AD1169=0,"",[1]对账明细接口!$AD1169),"")</f>
      </c>
      <c r="AI1169" s="7">
        <f>IFERROR(IF([1]对账明细接口!$AE1169=0,"",[1]对账明细接口!$AE1169),"")</f>
      </c>
      <c r="AJ1169" s="7">
        <f>IFERROR(IF([1]对账明细接口!$AF1169=0,"",[1]对账明细接口!$AF1169),"")</f>
      </c>
    </row>
    <row r="1170" ht="14.25" customHeight="1" s="127">
      <c r="A1170" s="14" t="n">
        <v>1170</v>
      </c>
      <c r="B1170" s="211">
        <f>IFERROR(IF([1]对账明细接口!$B$1170=0,"",[1]对账明细接口!$B$1170),"")</f>
      </c>
      <c r="C1170" s="16">
        <f>IFERROR(IF([1]对账明细接口!$C$1170=0,"",[1]对账明细接口!$C$1170),"")</f>
      </c>
      <c r="D1170" s="16">
        <f>IFERROR(IF([1]对账明细接口!$D$1170=0,"",[1]对账明细接口!$D$1170),"")</f>
      </c>
      <c r="E1170" s="16">
        <f>IFERROR(IF([1]对账明细接口!$E$1170=0,"",[1]对账明细接口!$E$1170),"")</f>
      </c>
      <c r="F1170" s="16">
        <f>IFERROR(IF([1]对账明细接口!$F$1170=0,"",[1]对账明细接口!$F$1170),"")</f>
      </c>
      <c r="G1170" s="16">
        <f>IFERROR(IF([1]对账明细接口!$G$1170=0,"",[1]对账明细接口!$G$1170),"")</f>
      </c>
      <c r="H1170" s="176">
        <f>IFERROR(IF([1]对账明细接口!$H$1170=0,"",[1]对账明细接口!$H$1170),"")</f>
      </c>
      <c r="I1170" s="16">
        <f>IFERROR(IF([1]对账明细接口!$I$1170=0,"",[1]对账明细接口!$I$1170),"")</f>
      </c>
      <c r="J1170" s="177">
        <f>IFERROR(IF([1]对账明细接口!$J$1170=0,"",[1]对账明细接口!$J$1170),"")</f>
      </c>
      <c r="K1170" s="177">
        <f>IFERROR(IF([1]对账明细接口!$K$1170=0,"",[1]对账明细接口!$K$1170),"")</f>
      </c>
      <c r="L1170" s="16">
        <f>IFERROR(IF([1]对账明细接口!$L$1170=0,"",[1]对账明细接口!$L$1170),"")</f>
      </c>
      <c r="M1170" s="16">
        <f>IFERROR(IF([1]对账明细接口!$M$1170=0,"",[1]对账明细接口!$M$1170),"")</f>
      </c>
      <c r="N1170" s="19">
        <f>IF($C1170="",0,1)</f>
        <v>0</v>
      </c>
      <c r="O1170" s="19">
        <f>N(O1169)+$N1170</f>
        <v>637</v>
      </c>
      <c r="S1170" s="20">
        <f>IFERROR(IF([1]对账明细接口!$N1170=0,"",[1]对账明细接口!$N1170),"")</f>
      </c>
      <c r="T1170" s="212">
        <f>IFERROR(IF([1]对账明细接口!$O1170=0,"",[1]对账明细接口!$O1170),"")</f>
      </c>
      <c r="U1170" s="212">
        <f>IFERROR(IF([1]对账明细接口!$P1170=0,"",[1]对账明细接口!$P1170),"")</f>
      </c>
      <c r="V1170" s="212">
        <f>IFERROR(IF([1]对账明细接口!$Q1170=0,"",[1]对账明细接口!$Q1170),"")</f>
      </c>
      <c r="W1170" s="20">
        <f>IFERROR(IF([1]对账明细接口!$R1170=0,"",[1]对账明细接口!$R1170),"")</f>
      </c>
      <c r="X1170" s="20">
        <f>IFERROR(IF([1]对账明细接口!$S1170=0,"",[1]对账明细接口!$S1170),"")</f>
      </c>
      <c r="Y1170" s="20">
        <f>IFERROR(IF([1]对账明细接口!$T1170=0,"",[1]对账明细接口!$T1170),"")</f>
      </c>
      <c r="Z1170" s="213">
        <f>IFERROR(IF([1]对账明细接口!$U1170=0,"",[1]对账明细接口!$U1170),"")</f>
      </c>
      <c r="AA1170" s="213">
        <f>IFERROR(IF([1]对账明细接口!$V1170=0,"",[1]对账明细接口!$V1170),"")</f>
      </c>
      <c r="AB1170" s="20">
        <f>IFERROR(IF([1]对账明细接口!$W1170=0,"",[1]对账明细接口!$W1170),"")</f>
      </c>
      <c r="AC1170" s="7">
        <f>IFERROR(IF([1]对账明细接口!$X1170=0,"",[1]对账明细接口!$X1170),"")</f>
      </c>
      <c r="AD1170" s="7">
        <f>IFERROR(IF([1]对账明细接口!$Y1170=0,"",[1]对账明细接口!$Y1170),"")</f>
      </c>
      <c r="AE1170" s="7">
        <f>IFERROR(IF([1]对账明细接口!$AA1170=0,"",[1]对账明细接口!$AA1170),"")</f>
      </c>
      <c r="AF1170" s="7">
        <f>IFERROR(IF([1]对账明细接口!$AB1170=0,"",[1]对账明细接口!$AB1170),"")</f>
      </c>
      <c r="AG1170" s="7">
        <f>IFERROR(IF([1]对账明细接口!$AC1170=0,"",[1]对账明细接口!$AC1170),"")</f>
      </c>
      <c r="AH1170" s="7">
        <f>IFERROR(IF([1]对账明细接口!$AD1170=0,"",[1]对账明细接口!$AD1170),"")</f>
      </c>
      <c r="AI1170" s="7">
        <f>IFERROR(IF([1]对账明细接口!$AE1170=0,"",[1]对账明细接口!$AE1170),"")</f>
      </c>
      <c r="AJ1170" s="7">
        <f>IFERROR(IF([1]对账明细接口!$AF1170=0,"",[1]对账明细接口!$AF1170),"")</f>
      </c>
    </row>
    <row r="1171" ht="14.25" customHeight="1" s="127">
      <c r="A1171" s="14" t="n">
        <v>1171</v>
      </c>
      <c r="B1171" s="211">
        <f>IFERROR(IF([1]对账明细接口!$B$1171=0,"",[1]对账明细接口!$B$1171),"")</f>
      </c>
      <c r="C1171" s="16">
        <f>IFERROR(IF([1]对账明细接口!$C$1171=0,"",[1]对账明细接口!$C$1171),"")</f>
      </c>
      <c r="D1171" s="16">
        <f>IFERROR(IF([1]对账明细接口!$D$1171=0,"",[1]对账明细接口!$D$1171),"")</f>
      </c>
      <c r="E1171" s="16">
        <f>IFERROR(IF([1]对账明细接口!$E$1171=0,"",[1]对账明细接口!$E$1171),"")</f>
      </c>
      <c r="F1171" s="16">
        <f>IFERROR(IF([1]对账明细接口!$F$1171=0,"",[1]对账明细接口!$F$1171),"")</f>
      </c>
      <c r="G1171" s="16">
        <f>IFERROR(IF([1]对账明细接口!$G$1171=0,"",[1]对账明细接口!$G$1171),"")</f>
      </c>
      <c r="H1171" s="176">
        <f>IFERROR(IF([1]对账明细接口!$H$1171=0,"",[1]对账明细接口!$H$1171),"")</f>
      </c>
      <c r="I1171" s="16">
        <f>IFERROR(IF([1]对账明细接口!$I$1171=0,"",[1]对账明细接口!$I$1171),"")</f>
      </c>
      <c r="J1171" s="177">
        <f>IFERROR(IF([1]对账明细接口!$J$1171=0,"",[1]对账明细接口!$J$1171),"")</f>
      </c>
      <c r="K1171" s="177">
        <f>IFERROR(IF([1]对账明细接口!$K$1171=0,"",[1]对账明细接口!$K$1171),"")</f>
      </c>
      <c r="L1171" s="16">
        <f>IFERROR(IF([1]对账明细接口!$L$1171=0,"",[1]对账明细接口!$L$1171),"")</f>
      </c>
      <c r="M1171" s="16">
        <f>IFERROR(IF([1]对账明细接口!$M$1171=0,"",[1]对账明细接口!$M$1171),"")</f>
      </c>
      <c r="N1171" s="19">
        <f>IF($C1171="",0,1)</f>
        <v>0</v>
      </c>
      <c r="O1171" s="19">
        <f>N(O1170)+$N1171</f>
        <v>637</v>
      </c>
      <c r="S1171" s="20">
        <f>IFERROR(IF([1]对账明细接口!$N1171=0,"",[1]对账明细接口!$N1171),"")</f>
      </c>
      <c r="T1171" s="212">
        <f>IFERROR(IF([1]对账明细接口!$O1171=0,"",[1]对账明细接口!$O1171),"")</f>
      </c>
      <c r="U1171" s="212">
        <f>IFERROR(IF([1]对账明细接口!$P1171=0,"",[1]对账明细接口!$P1171),"")</f>
      </c>
      <c r="V1171" s="212">
        <f>IFERROR(IF([1]对账明细接口!$Q1171=0,"",[1]对账明细接口!$Q1171),"")</f>
      </c>
      <c r="W1171" s="20">
        <f>IFERROR(IF([1]对账明细接口!$R1171=0,"",[1]对账明细接口!$R1171),"")</f>
      </c>
      <c r="X1171" s="20">
        <f>IFERROR(IF([1]对账明细接口!$S1171=0,"",[1]对账明细接口!$S1171),"")</f>
      </c>
      <c r="Y1171" s="20">
        <f>IFERROR(IF([1]对账明细接口!$T1171=0,"",[1]对账明细接口!$T1171),"")</f>
      </c>
      <c r="Z1171" s="213">
        <f>IFERROR(IF([1]对账明细接口!$U1171=0,"",[1]对账明细接口!$U1171),"")</f>
      </c>
      <c r="AA1171" s="213">
        <f>IFERROR(IF([1]对账明细接口!$V1171=0,"",[1]对账明细接口!$V1171),"")</f>
      </c>
      <c r="AB1171" s="20">
        <f>IFERROR(IF([1]对账明细接口!$W1171=0,"",[1]对账明细接口!$W1171),"")</f>
      </c>
      <c r="AC1171" s="7">
        <f>IFERROR(IF([1]对账明细接口!$X1171=0,"",[1]对账明细接口!$X1171),"")</f>
      </c>
      <c r="AD1171" s="7">
        <f>IFERROR(IF([1]对账明细接口!$Y1171=0,"",[1]对账明细接口!$Y1171),"")</f>
      </c>
      <c r="AE1171" s="7">
        <f>IFERROR(IF([1]对账明细接口!$AA1171=0,"",[1]对账明细接口!$AA1171),"")</f>
      </c>
      <c r="AF1171" s="7">
        <f>IFERROR(IF([1]对账明细接口!$AB1171=0,"",[1]对账明细接口!$AB1171),"")</f>
      </c>
      <c r="AG1171" s="7">
        <f>IFERROR(IF([1]对账明细接口!$AC1171=0,"",[1]对账明细接口!$AC1171),"")</f>
      </c>
      <c r="AH1171" s="7">
        <f>IFERROR(IF([1]对账明细接口!$AD1171=0,"",[1]对账明细接口!$AD1171),"")</f>
      </c>
      <c r="AI1171" s="7">
        <f>IFERROR(IF([1]对账明细接口!$AE1171=0,"",[1]对账明细接口!$AE1171),"")</f>
      </c>
      <c r="AJ1171" s="7">
        <f>IFERROR(IF([1]对账明细接口!$AF1171=0,"",[1]对账明细接口!$AF1171),"")</f>
      </c>
    </row>
    <row r="1172" ht="14.25" customHeight="1" s="127">
      <c r="A1172" s="14" t="n">
        <v>1172</v>
      </c>
      <c r="B1172" s="211">
        <f>IFERROR(IF([1]对账明细接口!$B$1172=0,"",[1]对账明细接口!$B$1172),"")</f>
      </c>
      <c r="C1172" s="16">
        <f>IFERROR(IF([1]对账明细接口!$C$1172=0,"",[1]对账明细接口!$C$1172),"")</f>
      </c>
      <c r="D1172" s="16">
        <f>IFERROR(IF([1]对账明细接口!$D$1172=0,"",[1]对账明细接口!$D$1172),"")</f>
      </c>
      <c r="E1172" s="16">
        <f>IFERROR(IF([1]对账明细接口!$E$1172=0,"",[1]对账明细接口!$E$1172),"")</f>
      </c>
      <c r="F1172" s="16">
        <f>IFERROR(IF([1]对账明细接口!$F$1172=0,"",[1]对账明细接口!$F$1172),"")</f>
      </c>
      <c r="G1172" s="16">
        <f>IFERROR(IF([1]对账明细接口!$G$1172=0,"",[1]对账明细接口!$G$1172),"")</f>
      </c>
      <c r="H1172" s="176">
        <f>IFERROR(IF([1]对账明细接口!$H$1172=0,"",[1]对账明细接口!$H$1172),"")</f>
      </c>
      <c r="I1172" s="16">
        <f>IFERROR(IF([1]对账明细接口!$I$1172=0,"",[1]对账明细接口!$I$1172),"")</f>
      </c>
      <c r="J1172" s="177">
        <f>IFERROR(IF([1]对账明细接口!$J$1172=0,"",[1]对账明细接口!$J$1172),"")</f>
      </c>
      <c r="K1172" s="177">
        <f>IFERROR(IF([1]对账明细接口!$K$1172=0,"",[1]对账明细接口!$K$1172),"")</f>
      </c>
      <c r="L1172" s="16">
        <f>IFERROR(IF([1]对账明细接口!$L$1172=0,"",[1]对账明细接口!$L$1172),"")</f>
      </c>
      <c r="M1172" s="16">
        <f>IFERROR(IF([1]对账明细接口!$M$1172=0,"",[1]对账明细接口!$M$1172),"")</f>
      </c>
      <c r="N1172" s="19">
        <f>IF($C1172="",0,1)</f>
        <v>0</v>
      </c>
      <c r="O1172" s="19">
        <f>N(O1171)+$N1172</f>
        <v>637</v>
      </c>
      <c r="S1172" s="20">
        <f>IFERROR(IF([1]对账明细接口!$N1172=0,"",[1]对账明细接口!$N1172),"")</f>
      </c>
      <c r="T1172" s="212">
        <f>IFERROR(IF([1]对账明细接口!$O1172=0,"",[1]对账明细接口!$O1172),"")</f>
      </c>
      <c r="U1172" s="212">
        <f>IFERROR(IF([1]对账明细接口!$P1172=0,"",[1]对账明细接口!$P1172),"")</f>
      </c>
      <c r="V1172" s="212">
        <f>IFERROR(IF([1]对账明细接口!$Q1172=0,"",[1]对账明细接口!$Q1172),"")</f>
      </c>
      <c r="W1172" s="20">
        <f>IFERROR(IF([1]对账明细接口!$R1172=0,"",[1]对账明细接口!$R1172),"")</f>
      </c>
      <c r="X1172" s="20">
        <f>IFERROR(IF([1]对账明细接口!$S1172=0,"",[1]对账明细接口!$S1172),"")</f>
      </c>
      <c r="Y1172" s="20">
        <f>IFERROR(IF([1]对账明细接口!$T1172=0,"",[1]对账明细接口!$T1172),"")</f>
      </c>
      <c r="Z1172" s="213">
        <f>IFERROR(IF([1]对账明细接口!$U1172=0,"",[1]对账明细接口!$U1172),"")</f>
      </c>
      <c r="AA1172" s="213">
        <f>IFERROR(IF([1]对账明细接口!$V1172=0,"",[1]对账明细接口!$V1172),"")</f>
      </c>
      <c r="AB1172" s="20">
        <f>IFERROR(IF([1]对账明细接口!$W1172=0,"",[1]对账明细接口!$W1172),"")</f>
      </c>
      <c r="AC1172" s="7">
        <f>IFERROR(IF([1]对账明细接口!$X1172=0,"",[1]对账明细接口!$X1172),"")</f>
      </c>
      <c r="AD1172" s="7">
        <f>IFERROR(IF([1]对账明细接口!$Y1172=0,"",[1]对账明细接口!$Y1172),"")</f>
      </c>
      <c r="AE1172" s="7">
        <f>IFERROR(IF([1]对账明细接口!$AA1172=0,"",[1]对账明细接口!$AA1172),"")</f>
      </c>
      <c r="AF1172" s="7">
        <f>IFERROR(IF([1]对账明细接口!$AB1172=0,"",[1]对账明细接口!$AB1172),"")</f>
      </c>
      <c r="AG1172" s="7">
        <f>IFERROR(IF([1]对账明细接口!$AC1172=0,"",[1]对账明细接口!$AC1172),"")</f>
      </c>
      <c r="AH1172" s="7">
        <f>IFERROR(IF([1]对账明细接口!$AD1172=0,"",[1]对账明细接口!$AD1172),"")</f>
      </c>
      <c r="AI1172" s="7">
        <f>IFERROR(IF([1]对账明细接口!$AE1172=0,"",[1]对账明细接口!$AE1172),"")</f>
      </c>
      <c r="AJ1172" s="7">
        <f>IFERROR(IF([1]对账明细接口!$AF1172=0,"",[1]对账明细接口!$AF1172),"")</f>
      </c>
    </row>
    <row r="1173" ht="14.25" customHeight="1" s="127">
      <c r="A1173" s="14" t="n">
        <v>1173</v>
      </c>
      <c r="B1173" s="211">
        <f>IFERROR(IF([1]对账明细接口!$B$1173=0,"",[1]对账明细接口!$B$1173),"")</f>
      </c>
      <c r="C1173" s="16">
        <f>IFERROR(IF([1]对账明细接口!$C$1173=0,"",[1]对账明细接口!$C$1173),"")</f>
      </c>
      <c r="D1173" s="16">
        <f>IFERROR(IF([1]对账明细接口!$D$1173=0,"",[1]对账明细接口!$D$1173),"")</f>
      </c>
      <c r="E1173" s="16">
        <f>IFERROR(IF([1]对账明细接口!$E$1173=0,"",[1]对账明细接口!$E$1173),"")</f>
      </c>
      <c r="F1173" s="16">
        <f>IFERROR(IF([1]对账明细接口!$F$1173=0,"",[1]对账明细接口!$F$1173),"")</f>
      </c>
      <c r="G1173" s="16">
        <f>IFERROR(IF([1]对账明细接口!$G$1173=0,"",[1]对账明细接口!$G$1173),"")</f>
      </c>
      <c r="H1173" s="176">
        <f>IFERROR(IF([1]对账明细接口!$H$1173=0,"",[1]对账明细接口!$H$1173),"")</f>
      </c>
      <c r="I1173" s="16">
        <f>IFERROR(IF([1]对账明细接口!$I$1173=0,"",[1]对账明细接口!$I$1173),"")</f>
      </c>
      <c r="J1173" s="177">
        <f>IFERROR(IF([1]对账明细接口!$J$1173=0,"",[1]对账明细接口!$J$1173),"")</f>
      </c>
      <c r="K1173" s="177">
        <f>IFERROR(IF([1]对账明细接口!$K$1173=0,"",[1]对账明细接口!$K$1173),"")</f>
      </c>
      <c r="L1173" s="16">
        <f>IFERROR(IF([1]对账明细接口!$L$1173=0,"",[1]对账明细接口!$L$1173),"")</f>
      </c>
      <c r="M1173" s="16">
        <f>IFERROR(IF([1]对账明细接口!$M$1173=0,"",[1]对账明细接口!$M$1173),"")</f>
      </c>
      <c r="N1173" s="19">
        <f>IF($C1173="",0,1)</f>
        <v>0</v>
      </c>
      <c r="O1173" s="19">
        <f>N(O1172)+$N1173</f>
        <v>637</v>
      </c>
      <c r="S1173" s="20">
        <f>IFERROR(IF([1]对账明细接口!$N1173=0,"",[1]对账明细接口!$N1173),"")</f>
      </c>
      <c r="T1173" s="212">
        <f>IFERROR(IF([1]对账明细接口!$O1173=0,"",[1]对账明细接口!$O1173),"")</f>
      </c>
      <c r="U1173" s="212">
        <f>IFERROR(IF([1]对账明细接口!$P1173=0,"",[1]对账明细接口!$P1173),"")</f>
      </c>
      <c r="V1173" s="212">
        <f>IFERROR(IF([1]对账明细接口!$Q1173=0,"",[1]对账明细接口!$Q1173),"")</f>
      </c>
      <c r="W1173" s="20">
        <f>IFERROR(IF([1]对账明细接口!$R1173=0,"",[1]对账明细接口!$R1173),"")</f>
      </c>
      <c r="X1173" s="20">
        <f>IFERROR(IF([1]对账明细接口!$S1173=0,"",[1]对账明细接口!$S1173),"")</f>
      </c>
      <c r="Y1173" s="20">
        <f>IFERROR(IF([1]对账明细接口!$T1173=0,"",[1]对账明细接口!$T1173),"")</f>
      </c>
      <c r="Z1173" s="213">
        <f>IFERROR(IF([1]对账明细接口!$U1173=0,"",[1]对账明细接口!$U1173),"")</f>
      </c>
      <c r="AA1173" s="213">
        <f>IFERROR(IF([1]对账明细接口!$V1173=0,"",[1]对账明细接口!$V1173),"")</f>
      </c>
      <c r="AB1173" s="20">
        <f>IFERROR(IF([1]对账明细接口!$W1173=0,"",[1]对账明细接口!$W1173),"")</f>
      </c>
      <c r="AC1173" s="7">
        <f>IFERROR(IF([1]对账明细接口!$X1173=0,"",[1]对账明细接口!$X1173),"")</f>
      </c>
      <c r="AD1173" s="7">
        <f>IFERROR(IF([1]对账明细接口!$Y1173=0,"",[1]对账明细接口!$Y1173),"")</f>
      </c>
      <c r="AE1173" s="7">
        <f>IFERROR(IF([1]对账明细接口!$AA1173=0,"",[1]对账明细接口!$AA1173),"")</f>
      </c>
      <c r="AF1173" s="7">
        <f>IFERROR(IF([1]对账明细接口!$AB1173=0,"",[1]对账明细接口!$AB1173),"")</f>
      </c>
      <c r="AG1173" s="7">
        <f>IFERROR(IF([1]对账明细接口!$AC1173=0,"",[1]对账明细接口!$AC1173),"")</f>
      </c>
      <c r="AH1173" s="7">
        <f>IFERROR(IF([1]对账明细接口!$AD1173=0,"",[1]对账明细接口!$AD1173),"")</f>
      </c>
      <c r="AI1173" s="7">
        <f>IFERROR(IF([1]对账明细接口!$AE1173=0,"",[1]对账明细接口!$AE1173),"")</f>
      </c>
      <c r="AJ1173" s="7">
        <f>IFERROR(IF([1]对账明细接口!$AF1173=0,"",[1]对账明细接口!$AF1173),"")</f>
      </c>
    </row>
    <row r="1174" ht="14.25" customHeight="1" s="127">
      <c r="A1174" s="14" t="n">
        <v>1174</v>
      </c>
      <c r="B1174" s="211">
        <f>IFERROR(IF([1]对账明细接口!$B$1174=0,"",[1]对账明细接口!$B$1174),"")</f>
      </c>
      <c r="C1174" s="16">
        <f>IFERROR(IF([1]对账明细接口!$C$1174=0,"",[1]对账明细接口!$C$1174),"")</f>
      </c>
      <c r="D1174" s="16">
        <f>IFERROR(IF([1]对账明细接口!$D$1174=0,"",[1]对账明细接口!$D$1174),"")</f>
      </c>
      <c r="E1174" s="16">
        <f>IFERROR(IF([1]对账明细接口!$E$1174=0,"",[1]对账明细接口!$E$1174),"")</f>
      </c>
      <c r="F1174" s="16">
        <f>IFERROR(IF([1]对账明细接口!$F$1174=0,"",[1]对账明细接口!$F$1174),"")</f>
      </c>
      <c r="G1174" s="16">
        <f>IFERROR(IF([1]对账明细接口!$G$1174=0,"",[1]对账明细接口!$G$1174),"")</f>
      </c>
      <c r="H1174" s="176">
        <f>IFERROR(IF([1]对账明细接口!$H$1174=0,"",[1]对账明细接口!$H$1174),"")</f>
      </c>
      <c r="I1174" s="16">
        <f>IFERROR(IF([1]对账明细接口!$I$1174=0,"",[1]对账明细接口!$I$1174),"")</f>
      </c>
      <c r="J1174" s="177">
        <f>IFERROR(IF([1]对账明细接口!$J$1174=0,"",[1]对账明细接口!$J$1174),"")</f>
      </c>
      <c r="K1174" s="177">
        <f>IFERROR(IF([1]对账明细接口!$K$1174=0,"",[1]对账明细接口!$K$1174),"")</f>
      </c>
      <c r="L1174" s="16">
        <f>IFERROR(IF([1]对账明细接口!$L$1174=0,"",[1]对账明细接口!$L$1174),"")</f>
      </c>
      <c r="M1174" s="16">
        <f>IFERROR(IF([1]对账明细接口!$M$1174=0,"",[1]对账明细接口!$M$1174),"")</f>
      </c>
      <c r="N1174" s="19">
        <f>IF($C1174="",0,1)</f>
        <v>0</v>
      </c>
      <c r="O1174" s="19">
        <f>N(O1173)+$N1174</f>
        <v>637</v>
      </c>
      <c r="S1174" s="20">
        <f>IFERROR(IF([1]对账明细接口!$N1174=0,"",[1]对账明细接口!$N1174),"")</f>
      </c>
      <c r="T1174" s="212">
        <f>IFERROR(IF([1]对账明细接口!$O1174=0,"",[1]对账明细接口!$O1174),"")</f>
      </c>
      <c r="U1174" s="212">
        <f>IFERROR(IF([1]对账明细接口!$P1174=0,"",[1]对账明细接口!$P1174),"")</f>
      </c>
      <c r="V1174" s="212">
        <f>IFERROR(IF([1]对账明细接口!$Q1174=0,"",[1]对账明细接口!$Q1174),"")</f>
      </c>
      <c r="W1174" s="20">
        <f>IFERROR(IF([1]对账明细接口!$R1174=0,"",[1]对账明细接口!$R1174),"")</f>
      </c>
      <c r="X1174" s="20">
        <f>IFERROR(IF([1]对账明细接口!$S1174=0,"",[1]对账明细接口!$S1174),"")</f>
      </c>
      <c r="Y1174" s="20">
        <f>IFERROR(IF([1]对账明细接口!$T1174=0,"",[1]对账明细接口!$T1174),"")</f>
      </c>
      <c r="Z1174" s="213">
        <f>IFERROR(IF([1]对账明细接口!$U1174=0,"",[1]对账明细接口!$U1174),"")</f>
      </c>
      <c r="AA1174" s="213">
        <f>IFERROR(IF([1]对账明细接口!$V1174=0,"",[1]对账明细接口!$V1174),"")</f>
      </c>
      <c r="AB1174" s="20">
        <f>IFERROR(IF([1]对账明细接口!$W1174=0,"",[1]对账明细接口!$W1174),"")</f>
      </c>
      <c r="AC1174" s="7">
        <f>IFERROR(IF([1]对账明细接口!$X1174=0,"",[1]对账明细接口!$X1174),"")</f>
      </c>
      <c r="AD1174" s="7">
        <f>IFERROR(IF([1]对账明细接口!$Y1174=0,"",[1]对账明细接口!$Y1174),"")</f>
      </c>
      <c r="AE1174" s="7">
        <f>IFERROR(IF([1]对账明细接口!$AA1174=0,"",[1]对账明细接口!$AA1174),"")</f>
      </c>
      <c r="AF1174" s="7">
        <f>IFERROR(IF([1]对账明细接口!$AB1174=0,"",[1]对账明细接口!$AB1174),"")</f>
      </c>
      <c r="AG1174" s="7">
        <f>IFERROR(IF([1]对账明细接口!$AC1174=0,"",[1]对账明细接口!$AC1174),"")</f>
      </c>
      <c r="AH1174" s="7">
        <f>IFERROR(IF([1]对账明细接口!$AD1174=0,"",[1]对账明细接口!$AD1174),"")</f>
      </c>
      <c r="AI1174" s="7">
        <f>IFERROR(IF([1]对账明细接口!$AE1174=0,"",[1]对账明细接口!$AE1174),"")</f>
      </c>
      <c r="AJ1174" s="7">
        <f>IFERROR(IF([1]对账明细接口!$AF1174=0,"",[1]对账明细接口!$AF1174),"")</f>
      </c>
    </row>
    <row r="1175" ht="14.25" customHeight="1" s="127">
      <c r="A1175" s="14" t="n">
        <v>1175</v>
      </c>
      <c r="B1175" s="211">
        <f>IFERROR(IF([1]对账明细接口!$B$1175=0,"",[1]对账明细接口!$B$1175),"")</f>
      </c>
      <c r="C1175" s="16">
        <f>IFERROR(IF([1]对账明细接口!$C$1175=0,"",[1]对账明细接口!$C$1175),"")</f>
      </c>
      <c r="D1175" s="16">
        <f>IFERROR(IF([1]对账明细接口!$D$1175=0,"",[1]对账明细接口!$D$1175),"")</f>
      </c>
      <c r="E1175" s="16">
        <f>IFERROR(IF([1]对账明细接口!$E$1175=0,"",[1]对账明细接口!$E$1175),"")</f>
      </c>
      <c r="F1175" s="16">
        <f>IFERROR(IF([1]对账明细接口!$F$1175=0,"",[1]对账明细接口!$F$1175),"")</f>
      </c>
      <c r="G1175" s="16">
        <f>IFERROR(IF([1]对账明细接口!$G$1175=0,"",[1]对账明细接口!$G$1175),"")</f>
      </c>
      <c r="H1175" s="176">
        <f>IFERROR(IF([1]对账明细接口!$H$1175=0,"",[1]对账明细接口!$H$1175),"")</f>
      </c>
      <c r="I1175" s="16">
        <f>IFERROR(IF([1]对账明细接口!$I$1175=0,"",[1]对账明细接口!$I$1175),"")</f>
      </c>
      <c r="J1175" s="177">
        <f>IFERROR(IF([1]对账明细接口!$J$1175=0,"",[1]对账明细接口!$J$1175),"")</f>
      </c>
      <c r="K1175" s="177">
        <f>IFERROR(IF([1]对账明细接口!$K$1175=0,"",[1]对账明细接口!$K$1175),"")</f>
      </c>
      <c r="L1175" s="16">
        <f>IFERROR(IF([1]对账明细接口!$L$1175=0,"",[1]对账明细接口!$L$1175),"")</f>
      </c>
      <c r="M1175" s="16">
        <f>IFERROR(IF([1]对账明细接口!$M$1175=0,"",[1]对账明细接口!$M$1175),"")</f>
      </c>
      <c r="N1175" s="19">
        <f>IF($C1175="",0,1)</f>
        <v>0</v>
      </c>
      <c r="O1175" s="19">
        <f>N(O1174)+$N1175</f>
        <v>637</v>
      </c>
      <c r="S1175" s="20">
        <f>IFERROR(IF([1]对账明细接口!$N1175=0,"",[1]对账明细接口!$N1175),"")</f>
      </c>
      <c r="T1175" s="212">
        <f>IFERROR(IF([1]对账明细接口!$O1175=0,"",[1]对账明细接口!$O1175),"")</f>
      </c>
      <c r="U1175" s="212">
        <f>IFERROR(IF([1]对账明细接口!$P1175=0,"",[1]对账明细接口!$P1175),"")</f>
      </c>
      <c r="V1175" s="212">
        <f>IFERROR(IF([1]对账明细接口!$Q1175=0,"",[1]对账明细接口!$Q1175),"")</f>
      </c>
      <c r="W1175" s="20">
        <f>IFERROR(IF([1]对账明细接口!$R1175=0,"",[1]对账明细接口!$R1175),"")</f>
      </c>
      <c r="X1175" s="20">
        <f>IFERROR(IF([1]对账明细接口!$S1175=0,"",[1]对账明细接口!$S1175),"")</f>
      </c>
      <c r="Y1175" s="20">
        <f>IFERROR(IF([1]对账明细接口!$T1175=0,"",[1]对账明细接口!$T1175),"")</f>
      </c>
      <c r="Z1175" s="213">
        <f>IFERROR(IF([1]对账明细接口!$U1175=0,"",[1]对账明细接口!$U1175),"")</f>
      </c>
      <c r="AA1175" s="213">
        <f>IFERROR(IF([1]对账明细接口!$V1175=0,"",[1]对账明细接口!$V1175),"")</f>
      </c>
      <c r="AB1175" s="20">
        <f>IFERROR(IF([1]对账明细接口!$W1175=0,"",[1]对账明细接口!$W1175),"")</f>
      </c>
      <c r="AC1175" s="7">
        <f>IFERROR(IF([1]对账明细接口!$X1175=0,"",[1]对账明细接口!$X1175),"")</f>
      </c>
      <c r="AD1175" s="7">
        <f>IFERROR(IF([1]对账明细接口!$Y1175=0,"",[1]对账明细接口!$Y1175),"")</f>
      </c>
      <c r="AE1175" s="7">
        <f>IFERROR(IF([1]对账明细接口!$AA1175=0,"",[1]对账明细接口!$AA1175),"")</f>
      </c>
      <c r="AF1175" s="7">
        <f>IFERROR(IF([1]对账明细接口!$AB1175=0,"",[1]对账明细接口!$AB1175),"")</f>
      </c>
      <c r="AG1175" s="7">
        <f>IFERROR(IF([1]对账明细接口!$AC1175=0,"",[1]对账明细接口!$AC1175),"")</f>
      </c>
      <c r="AH1175" s="7">
        <f>IFERROR(IF([1]对账明细接口!$AD1175=0,"",[1]对账明细接口!$AD1175),"")</f>
      </c>
      <c r="AI1175" s="7">
        <f>IFERROR(IF([1]对账明细接口!$AE1175=0,"",[1]对账明细接口!$AE1175),"")</f>
      </c>
      <c r="AJ1175" s="7">
        <f>IFERROR(IF([1]对账明细接口!$AF1175=0,"",[1]对账明细接口!$AF1175),"")</f>
      </c>
    </row>
    <row r="1176" ht="14.25" customHeight="1" s="127">
      <c r="A1176" s="14" t="n">
        <v>1176</v>
      </c>
      <c r="B1176" s="211">
        <f>IFERROR(IF([1]对账明细接口!$B$1176=0,"",[1]对账明细接口!$B$1176),"")</f>
      </c>
      <c r="C1176" s="16">
        <f>IFERROR(IF([1]对账明细接口!$C$1176=0,"",[1]对账明细接口!$C$1176),"")</f>
      </c>
      <c r="D1176" s="16">
        <f>IFERROR(IF([1]对账明细接口!$D$1176=0,"",[1]对账明细接口!$D$1176),"")</f>
      </c>
      <c r="E1176" s="16">
        <f>IFERROR(IF([1]对账明细接口!$E$1176=0,"",[1]对账明细接口!$E$1176),"")</f>
      </c>
      <c r="F1176" s="16">
        <f>IFERROR(IF([1]对账明细接口!$F$1176=0,"",[1]对账明细接口!$F$1176),"")</f>
      </c>
      <c r="G1176" s="16">
        <f>IFERROR(IF([1]对账明细接口!$G$1176=0,"",[1]对账明细接口!$G$1176),"")</f>
      </c>
      <c r="H1176" s="176">
        <f>IFERROR(IF([1]对账明细接口!$H$1176=0,"",[1]对账明细接口!$H$1176),"")</f>
      </c>
      <c r="I1176" s="16">
        <f>IFERROR(IF([1]对账明细接口!$I$1176=0,"",[1]对账明细接口!$I$1176),"")</f>
      </c>
      <c r="J1176" s="177">
        <f>IFERROR(IF([1]对账明细接口!$J$1176=0,"",[1]对账明细接口!$J$1176),"")</f>
      </c>
      <c r="K1176" s="177">
        <f>IFERROR(IF([1]对账明细接口!$K$1176=0,"",[1]对账明细接口!$K$1176),"")</f>
      </c>
      <c r="L1176" s="16">
        <f>IFERROR(IF([1]对账明细接口!$L$1176=0,"",[1]对账明细接口!$L$1176),"")</f>
      </c>
      <c r="M1176" s="16">
        <f>IFERROR(IF([1]对账明细接口!$M$1176=0,"",[1]对账明细接口!$M$1176),"")</f>
      </c>
      <c r="N1176" s="19">
        <f>IF($C1176="",0,1)</f>
        <v>0</v>
      </c>
      <c r="O1176" s="19">
        <f>N(O1175)+$N1176</f>
        <v>637</v>
      </c>
      <c r="S1176" s="20">
        <f>IFERROR(IF([1]对账明细接口!$N1176=0,"",[1]对账明细接口!$N1176),"")</f>
      </c>
      <c r="T1176" s="212">
        <f>IFERROR(IF([1]对账明细接口!$O1176=0,"",[1]对账明细接口!$O1176),"")</f>
      </c>
      <c r="U1176" s="212">
        <f>IFERROR(IF([1]对账明细接口!$P1176=0,"",[1]对账明细接口!$P1176),"")</f>
      </c>
      <c r="V1176" s="212">
        <f>IFERROR(IF([1]对账明细接口!$Q1176=0,"",[1]对账明细接口!$Q1176),"")</f>
      </c>
      <c r="W1176" s="20">
        <f>IFERROR(IF([1]对账明细接口!$R1176=0,"",[1]对账明细接口!$R1176),"")</f>
      </c>
      <c r="X1176" s="20">
        <f>IFERROR(IF([1]对账明细接口!$S1176=0,"",[1]对账明细接口!$S1176),"")</f>
      </c>
      <c r="Y1176" s="20">
        <f>IFERROR(IF([1]对账明细接口!$T1176=0,"",[1]对账明细接口!$T1176),"")</f>
      </c>
      <c r="Z1176" s="213">
        <f>IFERROR(IF([1]对账明细接口!$U1176=0,"",[1]对账明细接口!$U1176),"")</f>
      </c>
      <c r="AA1176" s="213">
        <f>IFERROR(IF([1]对账明细接口!$V1176=0,"",[1]对账明细接口!$V1176),"")</f>
      </c>
      <c r="AB1176" s="20">
        <f>IFERROR(IF([1]对账明细接口!$W1176=0,"",[1]对账明细接口!$W1176),"")</f>
      </c>
      <c r="AC1176" s="7">
        <f>IFERROR(IF([1]对账明细接口!$X1176=0,"",[1]对账明细接口!$X1176),"")</f>
      </c>
      <c r="AD1176" s="7">
        <f>IFERROR(IF([1]对账明细接口!$Y1176=0,"",[1]对账明细接口!$Y1176),"")</f>
      </c>
      <c r="AE1176" s="7">
        <f>IFERROR(IF([1]对账明细接口!$AA1176=0,"",[1]对账明细接口!$AA1176),"")</f>
      </c>
      <c r="AF1176" s="7">
        <f>IFERROR(IF([1]对账明细接口!$AB1176=0,"",[1]对账明细接口!$AB1176),"")</f>
      </c>
      <c r="AG1176" s="7">
        <f>IFERROR(IF([1]对账明细接口!$AC1176=0,"",[1]对账明细接口!$AC1176),"")</f>
      </c>
      <c r="AH1176" s="7">
        <f>IFERROR(IF([1]对账明细接口!$AD1176=0,"",[1]对账明细接口!$AD1176),"")</f>
      </c>
      <c r="AI1176" s="7">
        <f>IFERROR(IF([1]对账明细接口!$AE1176=0,"",[1]对账明细接口!$AE1176),"")</f>
      </c>
      <c r="AJ1176" s="7">
        <f>IFERROR(IF([1]对账明细接口!$AF1176=0,"",[1]对账明细接口!$AF1176),"")</f>
      </c>
    </row>
    <row r="1177" ht="14.25" customHeight="1" s="127">
      <c r="A1177" s="14" t="n">
        <v>1177</v>
      </c>
      <c r="B1177" s="211">
        <f>IFERROR(IF([1]对账明细接口!$B$1177=0,"",[1]对账明细接口!$B$1177),"")</f>
      </c>
      <c r="C1177" s="16">
        <f>IFERROR(IF([1]对账明细接口!$C$1177=0,"",[1]对账明细接口!$C$1177),"")</f>
      </c>
      <c r="D1177" s="16">
        <f>IFERROR(IF([1]对账明细接口!$D$1177=0,"",[1]对账明细接口!$D$1177),"")</f>
      </c>
      <c r="E1177" s="16">
        <f>IFERROR(IF([1]对账明细接口!$E$1177=0,"",[1]对账明细接口!$E$1177),"")</f>
      </c>
      <c r="F1177" s="16">
        <f>IFERROR(IF([1]对账明细接口!$F$1177=0,"",[1]对账明细接口!$F$1177),"")</f>
      </c>
      <c r="G1177" s="16">
        <f>IFERROR(IF([1]对账明细接口!$G$1177=0,"",[1]对账明细接口!$G$1177),"")</f>
      </c>
      <c r="H1177" s="176">
        <f>IFERROR(IF([1]对账明细接口!$H$1177=0,"",[1]对账明细接口!$H$1177),"")</f>
      </c>
      <c r="I1177" s="16">
        <f>IFERROR(IF([1]对账明细接口!$I$1177=0,"",[1]对账明细接口!$I$1177),"")</f>
      </c>
      <c r="J1177" s="177">
        <f>IFERROR(IF([1]对账明细接口!$J$1177=0,"",[1]对账明细接口!$J$1177),"")</f>
      </c>
      <c r="K1177" s="177">
        <f>IFERROR(IF([1]对账明细接口!$K$1177=0,"",[1]对账明细接口!$K$1177),"")</f>
      </c>
      <c r="L1177" s="16">
        <f>IFERROR(IF([1]对账明细接口!$L$1177=0,"",[1]对账明细接口!$L$1177),"")</f>
      </c>
      <c r="M1177" s="16">
        <f>IFERROR(IF([1]对账明细接口!$M$1177=0,"",[1]对账明细接口!$M$1177),"")</f>
      </c>
      <c r="N1177" s="19">
        <f>IF($C1177="",0,1)</f>
        <v>0</v>
      </c>
      <c r="O1177" s="19">
        <f>N(O1176)+$N1177</f>
        <v>637</v>
      </c>
      <c r="S1177" s="20">
        <f>IFERROR(IF([1]对账明细接口!$N1177=0,"",[1]对账明细接口!$N1177),"")</f>
      </c>
      <c r="T1177" s="212">
        <f>IFERROR(IF([1]对账明细接口!$O1177=0,"",[1]对账明细接口!$O1177),"")</f>
      </c>
      <c r="U1177" s="212">
        <f>IFERROR(IF([1]对账明细接口!$P1177=0,"",[1]对账明细接口!$P1177),"")</f>
      </c>
      <c r="V1177" s="212">
        <f>IFERROR(IF([1]对账明细接口!$Q1177=0,"",[1]对账明细接口!$Q1177),"")</f>
      </c>
      <c r="W1177" s="20">
        <f>IFERROR(IF([1]对账明细接口!$R1177=0,"",[1]对账明细接口!$R1177),"")</f>
      </c>
      <c r="X1177" s="20">
        <f>IFERROR(IF([1]对账明细接口!$S1177=0,"",[1]对账明细接口!$S1177),"")</f>
      </c>
      <c r="Y1177" s="20">
        <f>IFERROR(IF([1]对账明细接口!$T1177=0,"",[1]对账明细接口!$T1177),"")</f>
      </c>
      <c r="Z1177" s="213">
        <f>IFERROR(IF([1]对账明细接口!$U1177=0,"",[1]对账明细接口!$U1177),"")</f>
      </c>
      <c r="AA1177" s="213">
        <f>IFERROR(IF([1]对账明细接口!$V1177=0,"",[1]对账明细接口!$V1177),"")</f>
      </c>
      <c r="AB1177" s="20">
        <f>IFERROR(IF([1]对账明细接口!$W1177=0,"",[1]对账明细接口!$W1177),"")</f>
      </c>
      <c r="AC1177" s="7">
        <f>IFERROR(IF([1]对账明细接口!$X1177=0,"",[1]对账明细接口!$X1177),"")</f>
      </c>
      <c r="AD1177" s="7">
        <f>IFERROR(IF([1]对账明细接口!$Y1177=0,"",[1]对账明细接口!$Y1177),"")</f>
      </c>
      <c r="AE1177" s="7">
        <f>IFERROR(IF([1]对账明细接口!$AA1177=0,"",[1]对账明细接口!$AA1177),"")</f>
      </c>
      <c r="AF1177" s="7">
        <f>IFERROR(IF([1]对账明细接口!$AB1177=0,"",[1]对账明细接口!$AB1177),"")</f>
      </c>
      <c r="AG1177" s="7">
        <f>IFERROR(IF([1]对账明细接口!$AC1177=0,"",[1]对账明细接口!$AC1177),"")</f>
      </c>
      <c r="AH1177" s="7">
        <f>IFERROR(IF([1]对账明细接口!$AD1177=0,"",[1]对账明细接口!$AD1177),"")</f>
      </c>
      <c r="AI1177" s="7">
        <f>IFERROR(IF([1]对账明细接口!$AE1177=0,"",[1]对账明细接口!$AE1177),"")</f>
      </c>
      <c r="AJ1177" s="7">
        <f>IFERROR(IF([1]对账明细接口!$AF1177=0,"",[1]对账明细接口!$AF1177),"")</f>
      </c>
    </row>
    <row r="1178" ht="14.25" customHeight="1" s="127">
      <c r="A1178" s="14" t="n">
        <v>1178</v>
      </c>
      <c r="B1178" s="211">
        <f>IFERROR(IF([1]对账明细接口!$B$1178=0,"",[1]对账明细接口!$B$1178),"")</f>
      </c>
      <c r="C1178" s="16">
        <f>IFERROR(IF([1]对账明细接口!$C$1178=0,"",[1]对账明细接口!$C$1178),"")</f>
      </c>
      <c r="D1178" s="16">
        <f>IFERROR(IF([1]对账明细接口!$D$1178=0,"",[1]对账明细接口!$D$1178),"")</f>
      </c>
      <c r="E1178" s="16">
        <f>IFERROR(IF([1]对账明细接口!$E$1178=0,"",[1]对账明细接口!$E$1178),"")</f>
      </c>
      <c r="F1178" s="16">
        <f>IFERROR(IF([1]对账明细接口!$F$1178=0,"",[1]对账明细接口!$F$1178),"")</f>
      </c>
      <c r="G1178" s="16">
        <f>IFERROR(IF([1]对账明细接口!$G$1178=0,"",[1]对账明细接口!$G$1178),"")</f>
      </c>
      <c r="H1178" s="176">
        <f>IFERROR(IF([1]对账明细接口!$H$1178=0,"",[1]对账明细接口!$H$1178),"")</f>
      </c>
      <c r="I1178" s="16">
        <f>IFERROR(IF([1]对账明细接口!$I$1178=0,"",[1]对账明细接口!$I$1178),"")</f>
      </c>
      <c r="J1178" s="177">
        <f>IFERROR(IF([1]对账明细接口!$J$1178=0,"",[1]对账明细接口!$J$1178),"")</f>
      </c>
      <c r="K1178" s="177">
        <f>IFERROR(IF([1]对账明细接口!$K$1178=0,"",[1]对账明细接口!$K$1178),"")</f>
      </c>
      <c r="L1178" s="16">
        <f>IFERROR(IF([1]对账明细接口!$L$1178=0,"",[1]对账明细接口!$L$1178),"")</f>
      </c>
      <c r="M1178" s="16">
        <f>IFERROR(IF([1]对账明细接口!$M$1178=0,"",[1]对账明细接口!$M$1178),"")</f>
      </c>
      <c r="N1178" s="19">
        <f>IF($C1178="",0,1)</f>
        <v>0</v>
      </c>
      <c r="O1178" s="19">
        <f>N(O1177)+$N1178</f>
        <v>637</v>
      </c>
      <c r="S1178" s="20">
        <f>IFERROR(IF([1]对账明细接口!$N1178=0,"",[1]对账明细接口!$N1178),"")</f>
      </c>
      <c r="T1178" s="212">
        <f>IFERROR(IF([1]对账明细接口!$O1178=0,"",[1]对账明细接口!$O1178),"")</f>
      </c>
      <c r="U1178" s="212">
        <f>IFERROR(IF([1]对账明细接口!$P1178=0,"",[1]对账明细接口!$P1178),"")</f>
      </c>
      <c r="V1178" s="212">
        <f>IFERROR(IF([1]对账明细接口!$Q1178=0,"",[1]对账明细接口!$Q1178),"")</f>
      </c>
      <c r="W1178" s="20">
        <f>IFERROR(IF([1]对账明细接口!$R1178=0,"",[1]对账明细接口!$R1178),"")</f>
      </c>
      <c r="X1178" s="20">
        <f>IFERROR(IF([1]对账明细接口!$S1178=0,"",[1]对账明细接口!$S1178),"")</f>
      </c>
      <c r="Y1178" s="20">
        <f>IFERROR(IF([1]对账明细接口!$T1178=0,"",[1]对账明细接口!$T1178),"")</f>
      </c>
      <c r="Z1178" s="213">
        <f>IFERROR(IF([1]对账明细接口!$U1178=0,"",[1]对账明细接口!$U1178),"")</f>
      </c>
      <c r="AA1178" s="213">
        <f>IFERROR(IF([1]对账明细接口!$V1178=0,"",[1]对账明细接口!$V1178),"")</f>
      </c>
      <c r="AB1178" s="20">
        <f>IFERROR(IF([1]对账明细接口!$W1178=0,"",[1]对账明细接口!$W1178),"")</f>
      </c>
      <c r="AC1178" s="7">
        <f>IFERROR(IF([1]对账明细接口!$X1178=0,"",[1]对账明细接口!$X1178),"")</f>
      </c>
      <c r="AD1178" s="7">
        <f>IFERROR(IF([1]对账明细接口!$Y1178=0,"",[1]对账明细接口!$Y1178),"")</f>
      </c>
      <c r="AE1178" s="7">
        <f>IFERROR(IF([1]对账明细接口!$AA1178=0,"",[1]对账明细接口!$AA1178),"")</f>
      </c>
      <c r="AF1178" s="7">
        <f>IFERROR(IF([1]对账明细接口!$AB1178=0,"",[1]对账明细接口!$AB1178),"")</f>
      </c>
      <c r="AG1178" s="7">
        <f>IFERROR(IF([1]对账明细接口!$AC1178=0,"",[1]对账明细接口!$AC1178),"")</f>
      </c>
      <c r="AH1178" s="7">
        <f>IFERROR(IF([1]对账明细接口!$AD1178=0,"",[1]对账明细接口!$AD1178),"")</f>
      </c>
      <c r="AI1178" s="7">
        <f>IFERROR(IF([1]对账明细接口!$AE1178=0,"",[1]对账明细接口!$AE1178),"")</f>
      </c>
      <c r="AJ1178" s="7">
        <f>IFERROR(IF([1]对账明细接口!$AF1178=0,"",[1]对账明细接口!$AF1178),"")</f>
      </c>
    </row>
    <row r="1179" ht="14.25" customHeight="1" s="127">
      <c r="A1179" s="14" t="n">
        <v>1179</v>
      </c>
      <c r="B1179" s="211">
        <f>IFERROR(IF([1]对账明细接口!$B$1179=0,"",[1]对账明细接口!$B$1179),"")</f>
      </c>
      <c r="C1179" s="16">
        <f>IFERROR(IF([1]对账明细接口!$C$1179=0,"",[1]对账明细接口!$C$1179),"")</f>
      </c>
      <c r="D1179" s="16">
        <f>IFERROR(IF([1]对账明细接口!$D$1179=0,"",[1]对账明细接口!$D$1179),"")</f>
      </c>
      <c r="E1179" s="16">
        <f>IFERROR(IF([1]对账明细接口!$E$1179=0,"",[1]对账明细接口!$E$1179),"")</f>
      </c>
      <c r="F1179" s="16">
        <f>IFERROR(IF([1]对账明细接口!$F$1179=0,"",[1]对账明细接口!$F$1179),"")</f>
      </c>
      <c r="G1179" s="16">
        <f>IFERROR(IF([1]对账明细接口!$G$1179=0,"",[1]对账明细接口!$G$1179),"")</f>
      </c>
      <c r="H1179" s="176">
        <f>IFERROR(IF([1]对账明细接口!$H$1179=0,"",[1]对账明细接口!$H$1179),"")</f>
      </c>
      <c r="I1179" s="16">
        <f>IFERROR(IF([1]对账明细接口!$I$1179=0,"",[1]对账明细接口!$I$1179),"")</f>
      </c>
      <c r="J1179" s="177">
        <f>IFERROR(IF([1]对账明细接口!$J$1179=0,"",[1]对账明细接口!$J$1179),"")</f>
      </c>
      <c r="K1179" s="177">
        <f>IFERROR(IF([1]对账明细接口!$K$1179=0,"",[1]对账明细接口!$K$1179),"")</f>
      </c>
      <c r="L1179" s="16">
        <f>IFERROR(IF([1]对账明细接口!$L$1179=0,"",[1]对账明细接口!$L$1179),"")</f>
      </c>
      <c r="M1179" s="16">
        <f>IFERROR(IF([1]对账明细接口!$M$1179=0,"",[1]对账明细接口!$M$1179),"")</f>
      </c>
      <c r="N1179" s="19">
        <f>IF($C1179="",0,1)</f>
        <v>0</v>
      </c>
      <c r="O1179" s="19">
        <f>N(O1178)+$N1179</f>
        <v>637</v>
      </c>
      <c r="S1179" s="20">
        <f>IFERROR(IF([1]对账明细接口!$N1179=0,"",[1]对账明细接口!$N1179),"")</f>
      </c>
      <c r="T1179" s="212">
        <f>IFERROR(IF([1]对账明细接口!$O1179=0,"",[1]对账明细接口!$O1179),"")</f>
      </c>
      <c r="U1179" s="212">
        <f>IFERROR(IF([1]对账明细接口!$P1179=0,"",[1]对账明细接口!$P1179),"")</f>
      </c>
      <c r="V1179" s="212">
        <f>IFERROR(IF([1]对账明细接口!$Q1179=0,"",[1]对账明细接口!$Q1179),"")</f>
      </c>
      <c r="W1179" s="20">
        <f>IFERROR(IF([1]对账明细接口!$R1179=0,"",[1]对账明细接口!$R1179),"")</f>
      </c>
      <c r="X1179" s="20">
        <f>IFERROR(IF([1]对账明细接口!$S1179=0,"",[1]对账明细接口!$S1179),"")</f>
      </c>
      <c r="Y1179" s="20">
        <f>IFERROR(IF([1]对账明细接口!$T1179=0,"",[1]对账明细接口!$T1179),"")</f>
      </c>
      <c r="Z1179" s="213">
        <f>IFERROR(IF([1]对账明细接口!$U1179=0,"",[1]对账明细接口!$U1179),"")</f>
      </c>
      <c r="AA1179" s="213">
        <f>IFERROR(IF([1]对账明细接口!$V1179=0,"",[1]对账明细接口!$V1179),"")</f>
      </c>
      <c r="AB1179" s="20">
        <f>IFERROR(IF([1]对账明细接口!$W1179=0,"",[1]对账明细接口!$W1179),"")</f>
      </c>
      <c r="AC1179" s="7">
        <f>IFERROR(IF([1]对账明细接口!$X1179=0,"",[1]对账明细接口!$X1179),"")</f>
      </c>
      <c r="AD1179" s="7">
        <f>IFERROR(IF([1]对账明细接口!$Y1179=0,"",[1]对账明细接口!$Y1179),"")</f>
      </c>
      <c r="AE1179" s="7">
        <f>IFERROR(IF([1]对账明细接口!$AA1179=0,"",[1]对账明细接口!$AA1179),"")</f>
      </c>
      <c r="AF1179" s="7">
        <f>IFERROR(IF([1]对账明细接口!$AB1179=0,"",[1]对账明细接口!$AB1179),"")</f>
      </c>
      <c r="AG1179" s="7">
        <f>IFERROR(IF([1]对账明细接口!$AC1179=0,"",[1]对账明细接口!$AC1179),"")</f>
      </c>
      <c r="AH1179" s="7">
        <f>IFERROR(IF([1]对账明细接口!$AD1179=0,"",[1]对账明细接口!$AD1179),"")</f>
      </c>
      <c r="AI1179" s="7">
        <f>IFERROR(IF([1]对账明细接口!$AE1179=0,"",[1]对账明细接口!$AE1179),"")</f>
      </c>
      <c r="AJ1179" s="7">
        <f>IFERROR(IF([1]对账明细接口!$AF1179=0,"",[1]对账明细接口!$AF1179),"")</f>
      </c>
    </row>
    <row r="1180" ht="14.25" customHeight="1" s="127">
      <c r="A1180" s="14" t="n">
        <v>1180</v>
      </c>
      <c r="B1180" s="211">
        <f>IFERROR(IF([1]对账明细接口!$B$1180=0,"",[1]对账明细接口!$B$1180),"")</f>
      </c>
      <c r="C1180" s="16">
        <f>IFERROR(IF([1]对账明细接口!$C$1180=0,"",[1]对账明细接口!$C$1180),"")</f>
      </c>
      <c r="D1180" s="16">
        <f>IFERROR(IF([1]对账明细接口!$D$1180=0,"",[1]对账明细接口!$D$1180),"")</f>
      </c>
      <c r="E1180" s="16">
        <f>IFERROR(IF([1]对账明细接口!$E$1180=0,"",[1]对账明细接口!$E$1180),"")</f>
      </c>
      <c r="F1180" s="16">
        <f>IFERROR(IF([1]对账明细接口!$F$1180=0,"",[1]对账明细接口!$F$1180),"")</f>
      </c>
      <c r="G1180" s="16">
        <f>IFERROR(IF([1]对账明细接口!$G$1180=0,"",[1]对账明细接口!$G$1180),"")</f>
      </c>
      <c r="H1180" s="176">
        <f>IFERROR(IF([1]对账明细接口!$H$1180=0,"",[1]对账明细接口!$H$1180),"")</f>
      </c>
      <c r="I1180" s="16">
        <f>IFERROR(IF([1]对账明细接口!$I$1180=0,"",[1]对账明细接口!$I$1180),"")</f>
      </c>
      <c r="J1180" s="177">
        <f>IFERROR(IF([1]对账明细接口!$J$1180=0,"",[1]对账明细接口!$J$1180),"")</f>
      </c>
      <c r="K1180" s="177">
        <f>IFERROR(IF([1]对账明细接口!$K$1180=0,"",[1]对账明细接口!$K$1180),"")</f>
      </c>
      <c r="L1180" s="16">
        <f>IFERROR(IF([1]对账明细接口!$L$1180=0,"",[1]对账明细接口!$L$1180),"")</f>
      </c>
      <c r="M1180" s="16">
        <f>IFERROR(IF([1]对账明细接口!$M$1180=0,"",[1]对账明细接口!$M$1180),"")</f>
      </c>
      <c r="N1180" s="19">
        <f>IF($C1180="",0,1)</f>
        <v>0</v>
      </c>
      <c r="O1180" s="19">
        <f>N(O1179)+$N1180</f>
        <v>637</v>
      </c>
      <c r="S1180" s="20">
        <f>IFERROR(IF([1]对账明细接口!$N1180=0,"",[1]对账明细接口!$N1180),"")</f>
      </c>
      <c r="T1180" s="212">
        <f>IFERROR(IF([1]对账明细接口!$O1180=0,"",[1]对账明细接口!$O1180),"")</f>
      </c>
      <c r="U1180" s="212">
        <f>IFERROR(IF([1]对账明细接口!$P1180=0,"",[1]对账明细接口!$P1180),"")</f>
      </c>
      <c r="V1180" s="212">
        <f>IFERROR(IF([1]对账明细接口!$Q1180=0,"",[1]对账明细接口!$Q1180),"")</f>
      </c>
      <c r="W1180" s="20">
        <f>IFERROR(IF([1]对账明细接口!$R1180=0,"",[1]对账明细接口!$R1180),"")</f>
      </c>
      <c r="X1180" s="20">
        <f>IFERROR(IF([1]对账明细接口!$S1180=0,"",[1]对账明细接口!$S1180),"")</f>
      </c>
      <c r="Y1180" s="20">
        <f>IFERROR(IF([1]对账明细接口!$T1180=0,"",[1]对账明细接口!$T1180),"")</f>
      </c>
      <c r="Z1180" s="213">
        <f>IFERROR(IF([1]对账明细接口!$U1180=0,"",[1]对账明细接口!$U1180),"")</f>
      </c>
      <c r="AA1180" s="213">
        <f>IFERROR(IF([1]对账明细接口!$V1180=0,"",[1]对账明细接口!$V1180),"")</f>
      </c>
      <c r="AB1180" s="20">
        <f>IFERROR(IF([1]对账明细接口!$W1180=0,"",[1]对账明细接口!$W1180),"")</f>
      </c>
      <c r="AC1180" s="7">
        <f>IFERROR(IF([1]对账明细接口!$X1180=0,"",[1]对账明细接口!$X1180),"")</f>
      </c>
      <c r="AD1180" s="7">
        <f>IFERROR(IF([1]对账明细接口!$Y1180=0,"",[1]对账明细接口!$Y1180),"")</f>
      </c>
      <c r="AE1180" s="7">
        <f>IFERROR(IF([1]对账明细接口!$AA1180=0,"",[1]对账明细接口!$AA1180),"")</f>
      </c>
      <c r="AF1180" s="7">
        <f>IFERROR(IF([1]对账明细接口!$AB1180=0,"",[1]对账明细接口!$AB1180),"")</f>
      </c>
      <c r="AG1180" s="7">
        <f>IFERROR(IF([1]对账明细接口!$AC1180=0,"",[1]对账明细接口!$AC1180),"")</f>
      </c>
      <c r="AH1180" s="7">
        <f>IFERROR(IF([1]对账明细接口!$AD1180=0,"",[1]对账明细接口!$AD1180),"")</f>
      </c>
      <c r="AI1180" s="7">
        <f>IFERROR(IF([1]对账明细接口!$AE1180=0,"",[1]对账明细接口!$AE1180),"")</f>
      </c>
      <c r="AJ1180" s="7">
        <f>IFERROR(IF([1]对账明细接口!$AF1180=0,"",[1]对账明细接口!$AF1180),"")</f>
      </c>
    </row>
    <row r="1181" ht="14.25" customHeight="1" s="127">
      <c r="A1181" s="14" t="n">
        <v>1181</v>
      </c>
      <c r="B1181" s="211">
        <f>IFERROR(IF([1]对账明细接口!$B$1181=0,"",[1]对账明细接口!$B$1181),"")</f>
      </c>
      <c r="C1181" s="16">
        <f>IFERROR(IF([1]对账明细接口!$C$1181=0,"",[1]对账明细接口!$C$1181),"")</f>
      </c>
      <c r="D1181" s="16">
        <f>IFERROR(IF([1]对账明细接口!$D$1181=0,"",[1]对账明细接口!$D$1181),"")</f>
      </c>
      <c r="E1181" s="16">
        <f>IFERROR(IF([1]对账明细接口!$E$1181=0,"",[1]对账明细接口!$E$1181),"")</f>
      </c>
      <c r="F1181" s="16">
        <f>IFERROR(IF([1]对账明细接口!$F$1181=0,"",[1]对账明细接口!$F$1181),"")</f>
      </c>
      <c r="G1181" s="16">
        <f>IFERROR(IF([1]对账明细接口!$G$1181=0,"",[1]对账明细接口!$G$1181),"")</f>
      </c>
      <c r="H1181" s="176">
        <f>IFERROR(IF([1]对账明细接口!$H$1181=0,"",[1]对账明细接口!$H$1181),"")</f>
      </c>
      <c r="I1181" s="16">
        <f>IFERROR(IF([1]对账明细接口!$I$1181=0,"",[1]对账明细接口!$I$1181),"")</f>
      </c>
      <c r="J1181" s="177">
        <f>IFERROR(IF([1]对账明细接口!$J$1181=0,"",[1]对账明细接口!$J$1181),"")</f>
      </c>
      <c r="K1181" s="177">
        <f>IFERROR(IF([1]对账明细接口!$K$1181=0,"",[1]对账明细接口!$K$1181),"")</f>
      </c>
      <c r="L1181" s="16">
        <f>IFERROR(IF([1]对账明细接口!$L$1181=0,"",[1]对账明细接口!$L$1181),"")</f>
      </c>
      <c r="M1181" s="16">
        <f>IFERROR(IF([1]对账明细接口!$M$1181=0,"",[1]对账明细接口!$M$1181),"")</f>
      </c>
      <c r="N1181" s="19">
        <f>IF($C1181="",0,1)</f>
        <v>0</v>
      </c>
      <c r="O1181" s="19">
        <f>N(O1180)+$N1181</f>
        <v>637</v>
      </c>
      <c r="S1181" s="20">
        <f>IFERROR(IF([1]对账明细接口!$N1181=0,"",[1]对账明细接口!$N1181),"")</f>
      </c>
      <c r="T1181" s="212">
        <f>IFERROR(IF([1]对账明细接口!$O1181=0,"",[1]对账明细接口!$O1181),"")</f>
      </c>
      <c r="U1181" s="212">
        <f>IFERROR(IF([1]对账明细接口!$P1181=0,"",[1]对账明细接口!$P1181),"")</f>
      </c>
      <c r="V1181" s="212">
        <f>IFERROR(IF([1]对账明细接口!$Q1181=0,"",[1]对账明细接口!$Q1181),"")</f>
      </c>
      <c r="W1181" s="20">
        <f>IFERROR(IF([1]对账明细接口!$R1181=0,"",[1]对账明细接口!$R1181),"")</f>
      </c>
      <c r="X1181" s="20">
        <f>IFERROR(IF([1]对账明细接口!$S1181=0,"",[1]对账明细接口!$S1181),"")</f>
      </c>
      <c r="Y1181" s="20">
        <f>IFERROR(IF([1]对账明细接口!$T1181=0,"",[1]对账明细接口!$T1181),"")</f>
      </c>
      <c r="Z1181" s="213">
        <f>IFERROR(IF([1]对账明细接口!$U1181=0,"",[1]对账明细接口!$U1181),"")</f>
      </c>
      <c r="AA1181" s="213">
        <f>IFERROR(IF([1]对账明细接口!$V1181=0,"",[1]对账明细接口!$V1181),"")</f>
      </c>
      <c r="AB1181" s="20">
        <f>IFERROR(IF([1]对账明细接口!$W1181=0,"",[1]对账明细接口!$W1181),"")</f>
      </c>
      <c r="AC1181" s="7">
        <f>IFERROR(IF([1]对账明细接口!$X1181=0,"",[1]对账明细接口!$X1181),"")</f>
      </c>
      <c r="AD1181" s="7">
        <f>IFERROR(IF([1]对账明细接口!$Y1181=0,"",[1]对账明细接口!$Y1181),"")</f>
      </c>
      <c r="AE1181" s="7">
        <f>IFERROR(IF([1]对账明细接口!$AA1181=0,"",[1]对账明细接口!$AA1181),"")</f>
      </c>
      <c r="AF1181" s="7">
        <f>IFERROR(IF([1]对账明细接口!$AB1181=0,"",[1]对账明细接口!$AB1181),"")</f>
      </c>
      <c r="AG1181" s="7">
        <f>IFERROR(IF([1]对账明细接口!$AC1181=0,"",[1]对账明细接口!$AC1181),"")</f>
      </c>
      <c r="AH1181" s="7">
        <f>IFERROR(IF([1]对账明细接口!$AD1181=0,"",[1]对账明细接口!$AD1181),"")</f>
      </c>
      <c r="AI1181" s="7">
        <f>IFERROR(IF([1]对账明细接口!$AE1181=0,"",[1]对账明细接口!$AE1181),"")</f>
      </c>
      <c r="AJ1181" s="7">
        <f>IFERROR(IF([1]对账明细接口!$AF1181=0,"",[1]对账明细接口!$AF1181),"")</f>
      </c>
    </row>
    <row r="1182" ht="14.25" customHeight="1" s="127">
      <c r="A1182" s="14" t="n">
        <v>1182</v>
      </c>
      <c r="B1182" s="211">
        <f>IFERROR(IF([1]对账明细接口!$B$1182=0,"",[1]对账明细接口!$B$1182),"")</f>
      </c>
      <c r="C1182" s="16">
        <f>IFERROR(IF([1]对账明细接口!$C$1182=0,"",[1]对账明细接口!$C$1182),"")</f>
      </c>
      <c r="D1182" s="16">
        <f>IFERROR(IF([1]对账明细接口!$D$1182=0,"",[1]对账明细接口!$D$1182),"")</f>
      </c>
      <c r="E1182" s="16">
        <f>IFERROR(IF([1]对账明细接口!$E$1182=0,"",[1]对账明细接口!$E$1182),"")</f>
      </c>
      <c r="F1182" s="16">
        <f>IFERROR(IF([1]对账明细接口!$F$1182=0,"",[1]对账明细接口!$F$1182),"")</f>
      </c>
      <c r="G1182" s="16">
        <f>IFERROR(IF([1]对账明细接口!$G$1182=0,"",[1]对账明细接口!$G$1182),"")</f>
      </c>
      <c r="H1182" s="176">
        <f>IFERROR(IF([1]对账明细接口!$H$1182=0,"",[1]对账明细接口!$H$1182),"")</f>
      </c>
      <c r="I1182" s="16">
        <f>IFERROR(IF([1]对账明细接口!$I$1182=0,"",[1]对账明细接口!$I$1182),"")</f>
      </c>
      <c r="J1182" s="177">
        <f>IFERROR(IF([1]对账明细接口!$J$1182=0,"",[1]对账明细接口!$J$1182),"")</f>
      </c>
      <c r="K1182" s="177">
        <f>IFERROR(IF([1]对账明细接口!$K$1182=0,"",[1]对账明细接口!$K$1182),"")</f>
      </c>
      <c r="L1182" s="16">
        <f>IFERROR(IF([1]对账明细接口!$L$1182=0,"",[1]对账明细接口!$L$1182),"")</f>
      </c>
      <c r="M1182" s="16">
        <f>IFERROR(IF([1]对账明细接口!$M$1182=0,"",[1]对账明细接口!$M$1182),"")</f>
      </c>
      <c r="N1182" s="19">
        <f>IF($C1182="",0,1)</f>
        <v>0</v>
      </c>
      <c r="O1182" s="19">
        <f>N(O1181)+$N1182</f>
        <v>637</v>
      </c>
      <c r="S1182" s="20">
        <f>IFERROR(IF([1]对账明细接口!$N1182=0,"",[1]对账明细接口!$N1182),"")</f>
      </c>
      <c r="T1182" s="212">
        <f>IFERROR(IF([1]对账明细接口!$O1182=0,"",[1]对账明细接口!$O1182),"")</f>
      </c>
      <c r="U1182" s="212">
        <f>IFERROR(IF([1]对账明细接口!$P1182=0,"",[1]对账明细接口!$P1182),"")</f>
      </c>
      <c r="V1182" s="212">
        <f>IFERROR(IF([1]对账明细接口!$Q1182=0,"",[1]对账明细接口!$Q1182),"")</f>
      </c>
      <c r="W1182" s="20">
        <f>IFERROR(IF([1]对账明细接口!$R1182=0,"",[1]对账明细接口!$R1182),"")</f>
      </c>
      <c r="X1182" s="20">
        <f>IFERROR(IF([1]对账明细接口!$S1182=0,"",[1]对账明细接口!$S1182),"")</f>
      </c>
      <c r="Y1182" s="20">
        <f>IFERROR(IF([1]对账明细接口!$T1182=0,"",[1]对账明细接口!$T1182),"")</f>
      </c>
      <c r="Z1182" s="213">
        <f>IFERROR(IF([1]对账明细接口!$U1182=0,"",[1]对账明细接口!$U1182),"")</f>
      </c>
      <c r="AA1182" s="213">
        <f>IFERROR(IF([1]对账明细接口!$V1182=0,"",[1]对账明细接口!$V1182),"")</f>
      </c>
      <c r="AB1182" s="20">
        <f>IFERROR(IF([1]对账明细接口!$W1182=0,"",[1]对账明细接口!$W1182),"")</f>
      </c>
      <c r="AC1182" s="7">
        <f>IFERROR(IF([1]对账明细接口!$X1182=0,"",[1]对账明细接口!$X1182),"")</f>
      </c>
      <c r="AD1182" s="7">
        <f>IFERROR(IF([1]对账明细接口!$Y1182=0,"",[1]对账明细接口!$Y1182),"")</f>
      </c>
      <c r="AE1182" s="7">
        <f>IFERROR(IF([1]对账明细接口!$AA1182=0,"",[1]对账明细接口!$AA1182),"")</f>
      </c>
      <c r="AF1182" s="7">
        <f>IFERROR(IF([1]对账明细接口!$AB1182=0,"",[1]对账明细接口!$AB1182),"")</f>
      </c>
      <c r="AG1182" s="7">
        <f>IFERROR(IF([1]对账明细接口!$AC1182=0,"",[1]对账明细接口!$AC1182),"")</f>
      </c>
      <c r="AH1182" s="7">
        <f>IFERROR(IF([1]对账明细接口!$AD1182=0,"",[1]对账明细接口!$AD1182),"")</f>
      </c>
      <c r="AI1182" s="7">
        <f>IFERROR(IF([1]对账明细接口!$AE1182=0,"",[1]对账明细接口!$AE1182),"")</f>
      </c>
      <c r="AJ1182" s="7">
        <f>IFERROR(IF([1]对账明细接口!$AF1182=0,"",[1]对账明细接口!$AF1182),"")</f>
      </c>
    </row>
    <row r="1183" ht="14.25" customHeight="1" s="127">
      <c r="A1183" s="14" t="n">
        <v>1183</v>
      </c>
      <c r="B1183" s="211">
        <f>IFERROR(IF([1]对账明细接口!$B$1183=0,"",[1]对账明细接口!$B$1183),"")</f>
      </c>
      <c r="C1183" s="16">
        <f>IFERROR(IF([1]对账明细接口!$C$1183=0,"",[1]对账明细接口!$C$1183),"")</f>
      </c>
      <c r="D1183" s="16">
        <f>IFERROR(IF([1]对账明细接口!$D$1183=0,"",[1]对账明细接口!$D$1183),"")</f>
      </c>
      <c r="E1183" s="16">
        <f>IFERROR(IF([1]对账明细接口!$E$1183=0,"",[1]对账明细接口!$E$1183),"")</f>
      </c>
      <c r="F1183" s="16">
        <f>IFERROR(IF([1]对账明细接口!$F$1183=0,"",[1]对账明细接口!$F$1183),"")</f>
      </c>
      <c r="G1183" s="16">
        <f>IFERROR(IF([1]对账明细接口!$G$1183=0,"",[1]对账明细接口!$G$1183),"")</f>
      </c>
      <c r="H1183" s="176">
        <f>IFERROR(IF([1]对账明细接口!$H$1183=0,"",[1]对账明细接口!$H$1183),"")</f>
      </c>
      <c r="I1183" s="16">
        <f>IFERROR(IF([1]对账明细接口!$I$1183=0,"",[1]对账明细接口!$I$1183),"")</f>
      </c>
      <c r="J1183" s="177">
        <f>IFERROR(IF([1]对账明细接口!$J$1183=0,"",[1]对账明细接口!$J$1183),"")</f>
      </c>
      <c r="K1183" s="177">
        <f>IFERROR(IF([1]对账明细接口!$K$1183=0,"",[1]对账明细接口!$K$1183),"")</f>
      </c>
      <c r="L1183" s="16">
        <f>IFERROR(IF([1]对账明细接口!$L$1183=0,"",[1]对账明细接口!$L$1183),"")</f>
      </c>
      <c r="M1183" s="16">
        <f>IFERROR(IF([1]对账明细接口!$M$1183=0,"",[1]对账明细接口!$M$1183),"")</f>
      </c>
      <c r="N1183" s="19">
        <f>IF($C1183="",0,1)</f>
        <v>0</v>
      </c>
      <c r="O1183" s="19">
        <f>N(O1182)+$N1183</f>
        <v>637</v>
      </c>
      <c r="S1183" s="20">
        <f>IFERROR(IF([1]对账明细接口!$N1183=0,"",[1]对账明细接口!$N1183),"")</f>
      </c>
      <c r="T1183" s="212">
        <f>IFERROR(IF([1]对账明细接口!$O1183=0,"",[1]对账明细接口!$O1183),"")</f>
      </c>
      <c r="U1183" s="212">
        <f>IFERROR(IF([1]对账明细接口!$P1183=0,"",[1]对账明细接口!$P1183),"")</f>
      </c>
      <c r="V1183" s="212">
        <f>IFERROR(IF([1]对账明细接口!$Q1183=0,"",[1]对账明细接口!$Q1183),"")</f>
      </c>
      <c r="W1183" s="20">
        <f>IFERROR(IF([1]对账明细接口!$R1183=0,"",[1]对账明细接口!$R1183),"")</f>
      </c>
      <c r="X1183" s="20">
        <f>IFERROR(IF([1]对账明细接口!$S1183=0,"",[1]对账明细接口!$S1183),"")</f>
      </c>
      <c r="Y1183" s="20">
        <f>IFERROR(IF([1]对账明细接口!$T1183=0,"",[1]对账明细接口!$T1183),"")</f>
      </c>
      <c r="Z1183" s="213">
        <f>IFERROR(IF([1]对账明细接口!$U1183=0,"",[1]对账明细接口!$U1183),"")</f>
      </c>
      <c r="AA1183" s="213">
        <f>IFERROR(IF([1]对账明细接口!$V1183=0,"",[1]对账明细接口!$V1183),"")</f>
      </c>
      <c r="AB1183" s="20">
        <f>IFERROR(IF([1]对账明细接口!$W1183=0,"",[1]对账明细接口!$W1183),"")</f>
      </c>
      <c r="AC1183" s="7">
        <f>IFERROR(IF([1]对账明细接口!$X1183=0,"",[1]对账明细接口!$X1183),"")</f>
      </c>
      <c r="AD1183" s="7">
        <f>IFERROR(IF([1]对账明细接口!$Y1183=0,"",[1]对账明细接口!$Y1183),"")</f>
      </c>
      <c r="AE1183" s="7">
        <f>IFERROR(IF([1]对账明细接口!$AA1183=0,"",[1]对账明细接口!$AA1183),"")</f>
      </c>
      <c r="AF1183" s="7">
        <f>IFERROR(IF([1]对账明细接口!$AB1183=0,"",[1]对账明细接口!$AB1183),"")</f>
      </c>
      <c r="AG1183" s="7">
        <f>IFERROR(IF([1]对账明细接口!$AC1183=0,"",[1]对账明细接口!$AC1183),"")</f>
      </c>
      <c r="AH1183" s="7">
        <f>IFERROR(IF([1]对账明细接口!$AD1183=0,"",[1]对账明细接口!$AD1183),"")</f>
      </c>
      <c r="AI1183" s="7">
        <f>IFERROR(IF([1]对账明细接口!$AE1183=0,"",[1]对账明细接口!$AE1183),"")</f>
      </c>
      <c r="AJ1183" s="7">
        <f>IFERROR(IF([1]对账明细接口!$AF1183=0,"",[1]对账明细接口!$AF1183),"")</f>
      </c>
    </row>
    <row r="1184" ht="14.25" customHeight="1" s="127">
      <c r="A1184" s="14" t="n">
        <v>1184</v>
      </c>
      <c r="B1184" s="211">
        <f>IFERROR(IF([1]对账明细接口!$B$1184=0,"",[1]对账明细接口!$B$1184),"")</f>
      </c>
      <c r="C1184" s="16">
        <f>IFERROR(IF([1]对账明细接口!$C$1184=0,"",[1]对账明细接口!$C$1184),"")</f>
      </c>
      <c r="D1184" s="16">
        <f>IFERROR(IF([1]对账明细接口!$D$1184=0,"",[1]对账明细接口!$D$1184),"")</f>
      </c>
      <c r="E1184" s="16">
        <f>IFERROR(IF([1]对账明细接口!$E$1184=0,"",[1]对账明细接口!$E$1184),"")</f>
      </c>
      <c r="F1184" s="16">
        <f>IFERROR(IF([1]对账明细接口!$F$1184=0,"",[1]对账明细接口!$F$1184),"")</f>
      </c>
      <c r="G1184" s="16">
        <f>IFERROR(IF([1]对账明细接口!$G$1184=0,"",[1]对账明细接口!$G$1184),"")</f>
      </c>
      <c r="H1184" s="176">
        <f>IFERROR(IF([1]对账明细接口!$H$1184=0,"",[1]对账明细接口!$H$1184),"")</f>
      </c>
      <c r="I1184" s="16">
        <f>IFERROR(IF([1]对账明细接口!$I$1184=0,"",[1]对账明细接口!$I$1184),"")</f>
      </c>
      <c r="J1184" s="177">
        <f>IFERROR(IF([1]对账明细接口!$J$1184=0,"",[1]对账明细接口!$J$1184),"")</f>
      </c>
      <c r="K1184" s="177">
        <f>IFERROR(IF([1]对账明细接口!$K$1184=0,"",[1]对账明细接口!$K$1184),"")</f>
      </c>
      <c r="L1184" s="16">
        <f>IFERROR(IF([1]对账明细接口!$L$1184=0,"",[1]对账明细接口!$L$1184),"")</f>
      </c>
      <c r="M1184" s="16">
        <f>IFERROR(IF([1]对账明细接口!$M$1184=0,"",[1]对账明细接口!$M$1184),"")</f>
      </c>
      <c r="N1184" s="19">
        <f>IF($C1184="",0,1)</f>
        <v>0</v>
      </c>
      <c r="O1184" s="19">
        <f>N(O1183)+$N1184</f>
        <v>637</v>
      </c>
      <c r="S1184" s="20">
        <f>IFERROR(IF([1]对账明细接口!$N1184=0,"",[1]对账明细接口!$N1184),"")</f>
      </c>
      <c r="T1184" s="212">
        <f>IFERROR(IF([1]对账明细接口!$O1184=0,"",[1]对账明细接口!$O1184),"")</f>
      </c>
      <c r="U1184" s="212">
        <f>IFERROR(IF([1]对账明细接口!$P1184=0,"",[1]对账明细接口!$P1184),"")</f>
      </c>
      <c r="V1184" s="212">
        <f>IFERROR(IF([1]对账明细接口!$Q1184=0,"",[1]对账明细接口!$Q1184),"")</f>
      </c>
      <c r="W1184" s="20">
        <f>IFERROR(IF([1]对账明细接口!$R1184=0,"",[1]对账明细接口!$R1184),"")</f>
      </c>
      <c r="X1184" s="20">
        <f>IFERROR(IF([1]对账明细接口!$S1184=0,"",[1]对账明细接口!$S1184),"")</f>
      </c>
      <c r="Y1184" s="20">
        <f>IFERROR(IF([1]对账明细接口!$T1184=0,"",[1]对账明细接口!$T1184),"")</f>
      </c>
      <c r="Z1184" s="213">
        <f>IFERROR(IF([1]对账明细接口!$U1184=0,"",[1]对账明细接口!$U1184),"")</f>
      </c>
      <c r="AA1184" s="213">
        <f>IFERROR(IF([1]对账明细接口!$V1184=0,"",[1]对账明细接口!$V1184),"")</f>
      </c>
      <c r="AB1184" s="20">
        <f>IFERROR(IF([1]对账明细接口!$W1184=0,"",[1]对账明细接口!$W1184),"")</f>
      </c>
      <c r="AC1184" s="7">
        <f>IFERROR(IF([1]对账明细接口!$X1184=0,"",[1]对账明细接口!$X1184),"")</f>
      </c>
      <c r="AD1184" s="7">
        <f>IFERROR(IF([1]对账明细接口!$Y1184=0,"",[1]对账明细接口!$Y1184),"")</f>
      </c>
      <c r="AE1184" s="7">
        <f>IFERROR(IF([1]对账明细接口!$AA1184=0,"",[1]对账明细接口!$AA1184),"")</f>
      </c>
      <c r="AF1184" s="7">
        <f>IFERROR(IF([1]对账明细接口!$AB1184=0,"",[1]对账明细接口!$AB1184),"")</f>
      </c>
      <c r="AG1184" s="7">
        <f>IFERROR(IF([1]对账明细接口!$AC1184=0,"",[1]对账明细接口!$AC1184),"")</f>
      </c>
      <c r="AH1184" s="7">
        <f>IFERROR(IF([1]对账明细接口!$AD1184=0,"",[1]对账明细接口!$AD1184),"")</f>
      </c>
      <c r="AI1184" s="7">
        <f>IFERROR(IF([1]对账明细接口!$AE1184=0,"",[1]对账明细接口!$AE1184),"")</f>
      </c>
      <c r="AJ1184" s="7">
        <f>IFERROR(IF([1]对账明细接口!$AF1184=0,"",[1]对账明细接口!$AF1184),"")</f>
      </c>
    </row>
    <row r="1185" ht="14.25" customHeight="1" s="127">
      <c r="A1185" s="14" t="n">
        <v>1185</v>
      </c>
      <c r="B1185" s="211">
        <f>IFERROR(IF([1]对账明细接口!$B$1185=0,"",[1]对账明细接口!$B$1185),"")</f>
      </c>
      <c r="C1185" s="16">
        <f>IFERROR(IF([1]对账明细接口!$C$1185=0,"",[1]对账明细接口!$C$1185),"")</f>
      </c>
      <c r="D1185" s="16">
        <f>IFERROR(IF([1]对账明细接口!$D$1185=0,"",[1]对账明细接口!$D$1185),"")</f>
      </c>
      <c r="E1185" s="16">
        <f>IFERROR(IF([1]对账明细接口!$E$1185=0,"",[1]对账明细接口!$E$1185),"")</f>
      </c>
      <c r="F1185" s="16">
        <f>IFERROR(IF([1]对账明细接口!$F$1185=0,"",[1]对账明细接口!$F$1185),"")</f>
      </c>
      <c r="G1185" s="16">
        <f>IFERROR(IF([1]对账明细接口!$G$1185=0,"",[1]对账明细接口!$G$1185),"")</f>
      </c>
      <c r="H1185" s="176">
        <f>IFERROR(IF([1]对账明细接口!$H$1185=0,"",[1]对账明细接口!$H$1185),"")</f>
      </c>
      <c r="I1185" s="16">
        <f>IFERROR(IF([1]对账明细接口!$I$1185=0,"",[1]对账明细接口!$I$1185),"")</f>
      </c>
      <c r="J1185" s="177">
        <f>IFERROR(IF([1]对账明细接口!$J$1185=0,"",[1]对账明细接口!$J$1185),"")</f>
      </c>
      <c r="K1185" s="177">
        <f>IFERROR(IF([1]对账明细接口!$K$1185=0,"",[1]对账明细接口!$K$1185),"")</f>
      </c>
      <c r="L1185" s="16">
        <f>IFERROR(IF([1]对账明细接口!$L$1185=0,"",[1]对账明细接口!$L$1185),"")</f>
      </c>
      <c r="M1185" s="16">
        <f>IFERROR(IF([1]对账明细接口!$M$1185=0,"",[1]对账明细接口!$M$1185),"")</f>
      </c>
      <c r="N1185" s="19">
        <f>IF($C1185="",0,1)</f>
        <v>0</v>
      </c>
      <c r="O1185" s="19">
        <f>N(O1184)+$N1185</f>
        <v>637</v>
      </c>
      <c r="S1185" s="20">
        <f>IFERROR(IF([1]对账明细接口!$N1185=0,"",[1]对账明细接口!$N1185),"")</f>
      </c>
      <c r="T1185" s="212">
        <f>IFERROR(IF([1]对账明细接口!$O1185=0,"",[1]对账明细接口!$O1185),"")</f>
      </c>
      <c r="U1185" s="212">
        <f>IFERROR(IF([1]对账明细接口!$P1185=0,"",[1]对账明细接口!$P1185),"")</f>
      </c>
      <c r="V1185" s="212">
        <f>IFERROR(IF([1]对账明细接口!$Q1185=0,"",[1]对账明细接口!$Q1185),"")</f>
      </c>
      <c r="W1185" s="20">
        <f>IFERROR(IF([1]对账明细接口!$R1185=0,"",[1]对账明细接口!$R1185),"")</f>
      </c>
      <c r="X1185" s="20">
        <f>IFERROR(IF([1]对账明细接口!$S1185=0,"",[1]对账明细接口!$S1185),"")</f>
      </c>
      <c r="Y1185" s="20">
        <f>IFERROR(IF([1]对账明细接口!$T1185=0,"",[1]对账明细接口!$T1185),"")</f>
      </c>
      <c r="Z1185" s="213">
        <f>IFERROR(IF([1]对账明细接口!$U1185=0,"",[1]对账明细接口!$U1185),"")</f>
      </c>
      <c r="AA1185" s="213">
        <f>IFERROR(IF([1]对账明细接口!$V1185=0,"",[1]对账明细接口!$V1185),"")</f>
      </c>
      <c r="AB1185" s="20">
        <f>IFERROR(IF([1]对账明细接口!$W1185=0,"",[1]对账明细接口!$W1185),"")</f>
      </c>
      <c r="AC1185" s="7">
        <f>IFERROR(IF([1]对账明细接口!$X1185=0,"",[1]对账明细接口!$X1185),"")</f>
      </c>
      <c r="AD1185" s="7">
        <f>IFERROR(IF([1]对账明细接口!$Y1185=0,"",[1]对账明细接口!$Y1185),"")</f>
      </c>
      <c r="AE1185" s="7">
        <f>IFERROR(IF([1]对账明细接口!$AA1185=0,"",[1]对账明细接口!$AA1185),"")</f>
      </c>
      <c r="AF1185" s="7">
        <f>IFERROR(IF([1]对账明细接口!$AB1185=0,"",[1]对账明细接口!$AB1185),"")</f>
      </c>
      <c r="AG1185" s="7">
        <f>IFERROR(IF([1]对账明细接口!$AC1185=0,"",[1]对账明细接口!$AC1185),"")</f>
      </c>
      <c r="AH1185" s="7">
        <f>IFERROR(IF([1]对账明细接口!$AD1185=0,"",[1]对账明细接口!$AD1185),"")</f>
      </c>
      <c r="AI1185" s="7">
        <f>IFERROR(IF([1]对账明细接口!$AE1185=0,"",[1]对账明细接口!$AE1185),"")</f>
      </c>
      <c r="AJ1185" s="7">
        <f>IFERROR(IF([1]对账明细接口!$AF1185=0,"",[1]对账明细接口!$AF1185),"")</f>
      </c>
    </row>
    <row r="1186" ht="14.25" customHeight="1" s="127">
      <c r="A1186" s="14" t="n">
        <v>1186</v>
      </c>
      <c r="B1186" s="211">
        <f>IFERROR(IF([1]对账明细接口!$B$1186=0,"",[1]对账明细接口!$B$1186),"")</f>
      </c>
      <c r="C1186" s="16">
        <f>IFERROR(IF([1]对账明细接口!$C$1186=0,"",[1]对账明细接口!$C$1186),"")</f>
      </c>
      <c r="D1186" s="16">
        <f>IFERROR(IF([1]对账明细接口!$D$1186=0,"",[1]对账明细接口!$D$1186),"")</f>
      </c>
      <c r="E1186" s="16">
        <f>IFERROR(IF([1]对账明细接口!$E$1186=0,"",[1]对账明细接口!$E$1186),"")</f>
      </c>
      <c r="F1186" s="16">
        <f>IFERROR(IF([1]对账明细接口!$F$1186=0,"",[1]对账明细接口!$F$1186),"")</f>
      </c>
      <c r="G1186" s="16">
        <f>IFERROR(IF([1]对账明细接口!$G$1186=0,"",[1]对账明细接口!$G$1186),"")</f>
      </c>
      <c r="H1186" s="176">
        <f>IFERROR(IF([1]对账明细接口!$H$1186=0,"",[1]对账明细接口!$H$1186),"")</f>
      </c>
      <c r="I1186" s="16">
        <f>IFERROR(IF([1]对账明细接口!$I$1186=0,"",[1]对账明细接口!$I$1186),"")</f>
      </c>
      <c r="J1186" s="177">
        <f>IFERROR(IF([1]对账明细接口!$J$1186=0,"",[1]对账明细接口!$J$1186),"")</f>
      </c>
      <c r="K1186" s="177">
        <f>IFERROR(IF([1]对账明细接口!$K$1186=0,"",[1]对账明细接口!$K$1186),"")</f>
      </c>
      <c r="L1186" s="16">
        <f>IFERROR(IF([1]对账明细接口!$L$1186=0,"",[1]对账明细接口!$L$1186),"")</f>
      </c>
      <c r="M1186" s="16">
        <f>IFERROR(IF([1]对账明细接口!$M$1186=0,"",[1]对账明细接口!$M$1186),"")</f>
      </c>
      <c r="N1186" s="19">
        <f>IF($C1186="",0,1)</f>
        <v>0</v>
      </c>
      <c r="O1186" s="19">
        <f>N(O1185)+$N1186</f>
        <v>637</v>
      </c>
      <c r="S1186" s="20">
        <f>IFERROR(IF([1]对账明细接口!$N1186=0,"",[1]对账明细接口!$N1186),"")</f>
      </c>
      <c r="T1186" s="212">
        <f>IFERROR(IF([1]对账明细接口!$O1186=0,"",[1]对账明细接口!$O1186),"")</f>
      </c>
      <c r="U1186" s="212">
        <f>IFERROR(IF([1]对账明细接口!$P1186=0,"",[1]对账明细接口!$P1186),"")</f>
      </c>
      <c r="V1186" s="212">
        <f>IFERROR(IF([1]对账明细接口!$Q1186=0,"",[1]对账明细接口!$Q1186),"")</f>
      </c>
      <c r="W1186" s="20">
        <f>IFERROR(IF([1]对账明细接口!$R1186=0,"",[1]对账明细接口!$R1186),"")</f>
      </c>
      <c r="X1186" s="20">
        <f>IFERROR(IF([1]对账明细接口!$S1186=0,"",[1]对账明细接口!$S1186),"")</f>
      </c>
      <c r="Y1186" s="20">
        <f>IFERROR(IF([1]对账明细接口!$T1186=0,"",[1]对账明细接口!$T1186),"")</f>
      </c>
      <c r="Z1186" s="213">
        <f>IFERROR(IF([1]对账明细接口!$U1186=0,"",[1]对账明细接口!$U1186),"")</f>
      </c>
      <c r="AA1186" s="213">
        <f>IFERROR(IF([1]对账明细接口!$V1186=0,"",[1]对账明细接口!$V1186),"")</f>
      </c>
      <c r="AB1186" s="20">
        <f>IFERROR(IF([1]对账明细接口!$W1186=0,"",[1]对账明细接口!$W1186),"")</f>
      </c>
      <c r="AC1186" s="7">
        <f>IFERROR(IF([1]对账明细接口!$X1186=0,"",[1]对账明细接口!$X1186),"")</f>
      </c>
      <c r="AD1186" s="7">
        <f>IFERROR(IF([1]对账明细接口!$Y1186=0,"",[1]对账明细接口!$Y1186),"")</f>
      </c>
      <c r="AE1186" s="7">
        <f>IFERROR(IF([1]对账明细接口!$AA1186=0,"",[1]对账明细接口!$AA1186),"")</f>
      </c>
      <c r="AF1186" s="7">
        <f>IFERROR(IF([1]对账明细接口!$AB1186=0,"",[1]对账明细接口!$AB1186),"")</f>
      </c>
      <c r="AG1186" s="7">
        <f>IFERROR(IF([1]对账明细接口!$AC1186=0,"",[1]对账明细接口!$AC1186),"")</f>
      </c>
      <c r="AH1186" s="7">
        <f>IFERROR(IF([1]对账明细接口!$AD1186=0,"",[1]对账明细接口!$AD1186),"")</f>
      </c>
      <c r="AI1186" s="7">
        <f>IFERROR(IF([1]对账明细接口!$AE1186=0,"",[1]对账明细接口!$AE1186),"")</f>
      </c>
      <c r="AJ1186" s="7">
        <f>IFERROR(IF([1]对账明细接口!$AF1186=0,"",[1]对账明细接口!$AF1186),"")</f>
      </c>
    </row>
    <row r="1187" ht="14.25" customHeight="1" s="127">
      <c r="A1187" s="14" t="n">
        <v>1187</v>
      </c>
      <c r="B1187" s="211">
        <f>IFERROR(IF([1]对账明细接口!$B$1187=0,"",[1]对账明细接口!$B$1187),"")</f>
      </c>
      <c r="C1187" s="16">
        <f>IFERROR(IF([1]对账明细接口!$C$1187=0,"",[1]对账明细接口!$C$1187),"")</f>
      </c>
      <c r="D1187" s="16">
        <f>IFERROR(IF([1]对账明细接口!$D$1187=0,"",[1]对账明细接口!$D$1187),"")</f>
      </c>
      <c r="E1187" s="16">
        <f>IFERROR(IF([1]对账明细接口!$E$1187=0,"",[1]对账明细接口!$E$1187),"")</f>
      </c>
      <c r="F1187" s="16">
        <f>IFERROR(IF([1]对账明细接口!$F$1187=0,"",[1]对账明细接口!$F$1187),"")</f>
      </c>
      <c r="G1187" s="16">
        <f>IFERROR(IF([1]对账明细接口!$G$1187=0,"",[1]对账明细接口!$G$1187),"")</f>
      </c>
      <c r="H1187" s="176">
        <f>IFERROR(IF([1]对账明细接口!$H$1187=0,"",[1]对账明细接口!$H$1187),"")</f>
      </c>
      <c r="I1187" s="16">
        <f>IFERROR(IF([1]对账明细接口!$I$1187=0,"",[1]对账明细接口!$I$1187),"")</f>
      </c>
      <c r="J1187" s="177">
        <f>IFERROR(IF([1]对账明细接口!$J$1187=0,"",[1]对账明细接口!$J$1187),"")</f>
      </c>
      <c r="K1187" s="177">
        <f>IFERROR(IF([1]对账明细接口!$K$1187=0,"",[1]对账明细接口!$K$1187),"")</f>
      </c>
      <c r="L1187" s="16">
        <f>IFERROR(IF([1]对账明细接口!$L$1187=0,"",[1]对账明细接口!$L$1187),"")</f>
      </c>
      <c r="M1187" s="16">
        <f>IFERROR(IF([1]对账明细接口!$M$1187=0,"",[1]对账明细接口!$M$1187),"")</f>
      </c>
      <c r="N1187" s="19">
        <f>IF($C1187="",0,1)</f>
        <v>0</v>
      </c>
      <c r="O1187" s="19">
        <f>N(O1186)+$N1187</f>
        <v>637</v>
      </c>
      <c r="S1187" s="20">
        <f>IFERROR(IF([1]对账明细接口!$N1187=0,"",[1]对账明细接口!$N1187),"")</f>
      </c>
      <c r="T1187" s="212">
        <f>IFERROR(IF([1]对账明细接口!$O1187=0,"",[1]对账明细接口!$O1187),"")</f>
      </c>
      <c r="U1187" s="212">
        <f>IFERROR(IF([1]对账明细接口!$P1187=0,"",[1]对账明细接口!$P1187),"")</f>
      </c>
      <c r="V1187" s="212">
        <f>IFERROR(IF([1]对账明细接口!$Q1187=0,"",[1]对账明细接口!$Q1187),"")</f>
      </c>
      <c r="W1187" s="20">
        <f>IFERROR(IF([1]对账明细接口!$R1187=0,"",[1]对账明细接口!$R1187),"")</f>
      </c>
      <c r="X1187" s="20">
        <f>IFERROR(IF([1]对账明细接口!$S1187=0,"",[1]对账明细接口!$S1187),"")</f>
      </c>
      <c r="Y1187" s="20">
        <f>IFERROR(IF([1]对账明细接口!$T1187=0,"",[1]对账明细接口!$T1187),"")</f>
      </c>
      <c r="Z1187" s="213">
        <f>IFERROR(IF([1]对账明细接口!$U1187=0,"",[1]对账明细接口!$U1187),"")</f>
      </c>
      <c r="AA1187" s="213">
        <f>IFERROR(IF([1]对账明细接口!$V1187=0,"",[1]对账明细接口!$V1187),"")</f>
      </c>
      <c r="AB1187" s="20">
        <f>IFERROR(IF([1]对账明细接口!$W1187=0,"",[1]对账明细接口!$W1187),"")</f>
      </c>
      <c r="AC1187" s="7">
        <f>IFERROR(IF([1]对账明细接口!$X1187=0,"",[1]对账明细接口!$X1187),"")</f>
      </c>
      <c r="AD1187" s="7">
        <f>IFERROR(IF([1]对账明细接口!$Y1187=0,"",[1]对账明细接口!$Y1187),"")</f>
      </c>
      <c r="AE1187" s="7">
        <f>IFERROR(IF([1]对账明细接口!$AA1187=0,"",[1]对账明细接口!$AA1187),"")</f>
      </c>
      <c r="AF1187" s="7">
        <f>IFERROR(IF([1]对账明细接口!$AB1187=0,"",[1]对账明细接口!$AB1187),"")</f>
      </c>
      <c r="AG1187" s="7">
        <f>IFERROR(IF([1]对账明细接口!$AC1187=0,"",[1]对账明细接口!$AC1187),"")</f>
      </c>
      <c r="AH1187" s="7">
        <f>IFERROR(IF([1]对账明细接口!$AD1187=0,"",[1]对账明细接口!$AD1187),"")</f>
      </c>
      <c r="AI1187" s="7">
        <f>IFERROR(IF([1]对账明细接口!$AE1187=0,"",[1]对账明细接口!$AE1187),"")</f>
      </c>
      <c r="AJ1187" s="7">
        <f>IFERROR(IF([1]对账明细接口!$AF1187=0,"",[1]对账明细接口!$AF1187),"")</f>
      </c>
    </row>
    <row r="1188" ht="14.25" customHeight="1" s="127">
      <c r="A1188" s="14" t="n">
        <v>1188</v>
      </c>
      <c r="B1188" s="211">
        <f>IFERROR(IF([1]对账明细接口!$B$1188=0,"",[1]对账明细接口!$B$1188),"")</f>
      </c>
      <c r="C1188" s="16">
        <f>IFERROR(IF([1]对账明细接口!$C$1188=0,"",[1]对账明细接口!$C$1188),"")</f>
      </c>
      <c r="D1188" s="16">
        <f>IFERROR(IF([1]对账明细接口!$D$1188=0,"",[1]对账明细接口!$D$1188),"")</f>
      </c>
      <c r="E1188" s="16">
        <f>IFERROR(IF([1]对账明细接口!$E$1188=0,"",[1]对账明细接口!$E$1188),"")</f>
      </c>
      <c r="F1188" s="16">
        <f>IFERROR(IF([1]对账明细接口!$F$1188=0,"",[1]对账明细接口!$F$1188),"")</f>
      </c>
      <c r="G1188" s="16">
        <f>IFERROR(IF([1]对账明细接口!$G$1188=0,"",[1]对账明细接口!$G$1188),"")</f>
      </c>
      <c r="H1188" s="176">
        <f>IFERROR(IF([1]对账明细接口!$H$1188=0,"",[1]对账明细接口!$H$1188),"")</f>
      </c>
      <c r="I1188" s="16">
        <f>IFERROR(IF([1]对账明细接口!$I$1188=0,"",[1]对账明细接口!$I$1188),"")</f>
      </c>
      <c r="J1188" s="177">
        <f>IFERROR(IF([1]对账明细接口!$J$1188=0,"",[1]对账明细接口!$J$1188),"")</f>
      </c>
      <c r="K1188" s="177">
        <f>IFERROR(IF([1]对账明细接口!$K$1188=0,"",[1]对账明细接口!$K$1188),"")</f>
      </c>
      <c r="L1188" s="16">
        <f>IFERROR(IF([1]对账明细接口!$L$1188=0,"",[1]对账明细接口!$L$1188),"")</f>
      </c>
      <c r="M1188" s="16">
        <f>IFERROR(IF([1]对账明细接口!$M$1188=0,"",[1]对账明细接口!$M$1188),"")</f>
      </c>
      <c r="N1188" s="19">
        <f>IF($C1188="",0,1)</f>
        <v>0</v>
      </c>
      <c r="O1188" s="19">
        <f>N(O1187)+$N1188</f>
        <v>637</v>
      </c>
      <c r="S1188" s="20">
        <f>IFERROR(IF([1]对账明细接口!$N1188=0,"",[1]对账明细接口!$N1188),"")</f>
      </c>
      <c r="T1188" s="212">
        <f>IFERROR(IF([1]对账明细接口!$O1188=0,"",[1]对账明细接口!$O1188),"")</f>
      </c>
      <c r="U1188" s="212">
        <f>IFERROR(IF([1]对账明细接口!$P1188=0,"",[1]对账明细接口!$P1188),"")</f>
      </c>
      <c r="V1188" s="212">
        <f>IFERROR(IF([1]对账明细接口!$Q1188=0,"",[1]对账明细接口!$Q1188),"")</f>
      </c>
      <c r="W1188" s="20">
        <f>IFERROR(IF([1]对账明细接口!$R1188=0,"",[1]对账明细接口!$R1188),"")</f>
      </c>
      <c r="X1188" s="20">
        <f>IFERROR(IF([1]对账明细接口!$S1188=0,"",[1]对账明细接口!$S1188),"")</f>
      </c>
      <c r="Y1188" s="20">
        <f>IFERROR(IF([1]对账明细接口!$T1188=0,"",[1]对账明细接口!$T1188),"")</f>
      </c>
      <c r="Z1188" s="213">
        <f>IFERROR(IF([1]对账明细接口!$U1188=0,"",[1]对账明细接口!$U1188),"")</f>
      </c>
      <c r="AA1188" s="213">
        <f>IFERROR(IF([1]对账明细接口!$V1188=0,"",[1]对账明细接口!$V1188),"")</f>
      </c>
      <c r="AB1188" s="20">
        <f>IFERROR(IF([1]对账明细接口!$W1188=0,"",[1]对账明细接口!$W1188),"")</f>
      </c>
      <c r="AC1188" s="7">
        <f>IFERROR(IF([1]对账明细接口!$X1188=0,"",[1]对账明细接口!$X1188),"")</f>
      </c>
      <c r="AD1188" s="7">
        <f>IFERROR(IF([1]对账明细接口!$Y1188=0,"",[1]对账明细接口!$Y1188),"")</f>
      </c>
      <c r="AE1188" s="7">
        <f>IFERROR(IF([1]对账明细接口!$AA1188=0,"",[1]对账明细接口!$AA1188),"")</f>
      </c>
      <c r="AF1188" s="7">
        <f>IFERROR(IF([1]对账明细接口!$AB1188=0,"",[1]对账明细接口!$AB1188),"")</f>
      </c>
      <c r="AG1188" s="7">
        <f>IFERROR(IF([1]对账明细接口!$AC1188=0,"",[1]对账明细接口!$AC1188),"")</f>
      </c>
      <c r="AH1188" s="7">
        <f>IFERROR(IF([1]对账明细接口!$AD1188=0,"",[1]对账明细接口!$AD1188),"")</f>
      </c>
      <c r="AI1188" s="7">
        <f>IFERROR(IF([1]对账明细接口!$AE1188=0,"",[1]对账明细接口!$AE1188),"")</f>
      </c>
      <c r="AJ1188" s="7">
        <f>IFERROR(IF([1]对账明细接口!$AF1188=0,"",[1]对账明细接口!$AF1188),"")</f>
      </c>
    </row>
    <row r="1189" ht="14.25" customHeight="1" s="127">
      <c r="A1189" s="14" t="n">
        <v>1189</v>
      </c>
      <c r="B1189" s="211">
        <f>IFERROR(IF([1]对账明细接口!$B$1189=0,"",[1]对账明细接口!$B$1189),"")</f>
      </c>
      <c r="C1189" s="16">
        <f>IFERROR(IF([1]对账明细接口!$C$1189=0,"",[1]对账明细接口!$C$1189),"")</f>
      </c>
      <c r="D1189" s="16">
        <f>IFERROR(IF([1]对账明细接口!$D$1189=0,"",[1]对账明细接口!$D$1189),"")</f>
      </c>
      <c r="E1189" s="16">
        <f>IFERROR(IF([1]对账明细接口!$E$1189=0,"",[1]对账明细接口!$E$1189),"")</f>
      </c>
      <c r="F1189" s="16">
        <f>IFERROR(IF([1]对账明细接口!$F$1189=0,"",[1]对账明细接口!$F$1189),"")</f>
      </c>
      <c r="G1189" s="16">
        <f>IFERROR(IF([1]对账明细接口!$G$1189=0,"",[1]对账明细接口!$G$1189),"")</f>
      </c>
      <c r="H1189" s="176">
        <f>IFERROR(IF([1]对账明细接口!$H$1189=0,"",[1]对账明细接口!$H$1189),"")</f>
      </c>
      <c r="I1189" s="16">
        <f>IFERROR(IF([1]对账明细接口!$I$1189=0,"",[1]对账明细接口!$I$1189),"")</f>
      </c>
      <c r="J1189" s="177">
        <f>IFERROR(IF([1]对账明细接口!$J$1189=0,"",[1]对账明细接口!$J$1189),"")</f>
      </c>
      <c r="K1189" s="177">
        <f>IFERROR(IF([1]对账明细接口!$K$1189=0,"",[1]对账明细接口!$K$1189),"")</f>
      </c>
      <c r="L1189" s="16">
        <f>IFERROR(IF([1]对账明细接口!$L$1189=0,"",[1]对账明细接口!$L$1189),"")</f>
      </c>
      <c r="M1189" s="16">
        <f>IFERROR(IF([1]对账明细接口!$M$1189=0,"",[1]对账明细接口!$M$1189),"")</f>
      </c>
      <c r="N1189" s="19">
        <f>IF($C1189="",0,1)</f>
        <v>0</v>
      </c>
      <c r="O1189" s="19">
        <f>N(O1188)+$N1189</f>
        <v>637</v>
      </c>
      <c r="S1189" s="20">
        <f>IFERROR(IF([1]对账明细接口!$N1189=0,"",[1]对账明细接口!$N1189),"")</f>
      </c>
      <c r="T1189" s="212">
        <f>IFERROR(IF([1]对账明细接口!$O1189=0,"",[1]对账明细接口!$O1189),"")</f>
      </c>
      <c r="U1189" s="212">
        <f>IFERROR(IF([1]对账明细接口!$P1189=0,"",[1]对账明细接口!$P1189),"")</f>
      </c>
      <c r="V1189" s="212">
        <f>IFERROR(IF([1]对账明细接口!$Q1189=0,"",[1]对账明细接口!$Q1189),"")</f>
      </c>
      <c r="W1189" s="20">
        <f>IFERROR(IF([1]对账明细接口!$R1189=0,"",[1]对账明细接口!$R1189),"")</f>
      </c>
      <c r="X1189" s="20">
        <f>IFERROR(IF([1]对账明细接口!$S1189=0,"",[1]对账明细接口!$S1189),"")</f>
      </c>
      <c r="Y1189" s="20">
        <f>IFERROR(IF([1]对账明细接口!$T1189=0,"",[1]对账明细接口!$T1189),"")</f>
      </c>
      <c r="Z1189" s="213">
        <f>IFERROR(IF([1]对账明细接口!$U1189=0,"",[1]对账明细接口!$U1189),"")</f>
      </c>
      <c r="AA1189" s="213">
        <f>IFERROR(IF([1]对账明细接口!$V1189=0,"",[1]对账明细接口!$V1189),"")</f>
      </c>
      <c r="AB1189" s="20">
        <f>IFERROR(IF([1]对账明细接口!$W1189=0,"",[1]对账明细接口!$W1189),"")</f>
      </c>
      <c r="AC1189" s="7">
        <f>IFERROR(IF([1]对账明细接口!$X1189=0,"",[1]对账明细接口!$X1189),"")</f>
      </c>
      <c r="AD1189" s="7">
        <f>IFERROR(IF([1]对账明细接口!$Y1189=0,"",[1]对账明细接口!$Y1189),"")</f>
      </c>
      <c r="AE1189" s="7">
        <f>IFERROR(IF([1]对账明细接口!$AA1189=0,"",[1]对账明细接口!$AA1189),"")</f>
      </c>
      <c r="AF1189" s="7">
        <f>IFERROR(IF([1]对账明细接口!$AB1189=0,"",[1]对账明细接口!$AB1189),"")</f>
      </c>
      <c r="AG1189" s="7">
        <f>IFERROR(IF([1]对账明细接口!$AC1189=0,"",[1]对账明细接口!$AC1189),"")</f>
      </c>
      <c r="AH1189" s="7">
        <f>IFERROR(IF([1]对账明细接口!$AD1189=0,"",[1]对账明细接口!$AD1189),"")</f>
      </c>
      <c r="AI1189" s="7">
        <f>IFERROR(IF([1]对账明细接口!$AE1189=0,"",[1]对账明细接口!$AE1189),"")</f>
      </c>
      <c r="AJ1189" s="7">
        <f>IFERROR(IF([1]对账明细接口!$AF1189=0,"",[1]对账明细接口!$AF1189),"")</f>
      </c>
    </row>
    <row r="1190" ht="14.25" customHeight="1" s="127">
      <c r="A1190" s="14" t="n">
        <v>1190</v>
      </c>
      <c r="B1190" s="211">
        <f>IFERROR(IF([1]对账明细接口!$B$1190=0,"",[1]对账明细接口!$B$1190),"")</f>
      </c>
      <c r="C1190" s="16">
        <f>IFERROR(IF([1]对账明细接口!$C$1190=0,"",[1]对账明细接口!$C$1190),"")</f>
      </c>
      <c r="D1190" s="16">
        <f>IFERROR(IF([1]对账明细接口!$D$1190=0,"",[1]对账明细接口!$D$1190),"")</f>
      </c>
      <c r="E1190" s="16">
        <f>IFERROR(IF([1]对账明细接口!$E$1190=0,"",[1]对账明细接口!$E$1190),"")</f>
      </c>
      <c r="F1190" s="16">
        <f>IFERROR(IF([1]对账明细接口!$F$1190=0,"",[1]对账明细接口!$F$1190),"")</f>
      </c>
      <c r="G1190" s="16">
        <f>IFERROR(IF([1]对账明细接口!$G$1190=0,"",[1]对账明细接口!$G$1190),"")</f>
      </c>
      <c r="H1190" s="176">
        <f>IFERROR(IF([1]对账明细接口!$H$1190=0,"",[1]对账明细接口!$H$1190),"")</f>
      </c>
      <c r="I1190" s="16">
        <f>IFERROR(IF([1]对账明细接口!$I$1190=0,"",[1]对账明细接口!$I$1190),"")</f>
      </c>
      <c r="J1190" s="177">
        <f>IFERROR(IF([1]对账明细接口!$J$1190=0,"",[1]对账明细接口!$J$1190),"")</f>
      </c>
      <c r="K1190" s="177">
        <f>IFERROR(IF([1]对账明细接口!$K$1190=0,"",[1]对账明细接口!$K$1190),"")</f>
      </c>
      <c r="L1190" s="16">
        <f>IFERROR(IF([1]对账明细接口!$L$1190=0,"",[1]对账明细接口!$L$1190),"")</f>
      </c>
      <c r="M1190" s="16">
        <f>IFERROR(IF([1]对账明细接口!$M$1190=0,"",[1]对账明细接口!$M$1190),"")</f>
      </c>
      <c r="N1190" s="19">
        <f>IF($C1190="",0,1)</f>
        <v>0</v>
      </c>
      <c r="O1190" s="19">
        <f>N(O1189)+$N1190</f>
        <v>637</v>
      </c>
      <c r="S1190" s="20">
        <f>IFERROR(IF([1]对账明细接口!$N1190=0,"",[1]对账明细接口!$N1190),"")</f>
      </c>
      <c r="T1190" s="212">
        <f>IFERROR(IF([1]对账明细接口!$O1190=0,"",[1]对账明细接口!$O1190),"")</f>
      </c>
      <c r="U1190" s="212">
        <f>IFERROR(IF([1]对账明细接口!$P1190=0,"",[1]对账明细接口!$P1190),"")</f>
      </c>
      <c r="V1190" s="212">
        <f>IFERROR(IF([1]对账明细接口!$Q1190=0,"",[1]对账明细接口!$Q1190),"")</f>
      </c>
      <c r="W1190" s="20">
        <f>IFERROR(IF([1]对账明细接口!$R1190=0,"",[1]对账明细接口!$R1190),"")</f>
      </c>
      <c r="X1190" s="20">
        <f>IFERROR(IF([1]对账明细接口!$S1190=0,"",[1]对账明细接口!$S1190),"")</f>
      </c>
      <c r="Y1190" s="20">
        <f>IFERROR(IF([1]对账明细接口!$T1190=0,"",[1]对账明细接口!$T1190),"")</f>
      </c>
      <c r="Z1190" s="213">
        <f>IFERROR(IF([1]对账明细接口!$U1190=0,"",[1]对账明细接口!$U1190),"")</f>
      </c>
      <c r="AA1190" s="213">
        <f>IFERROR(IF([1]对账明细接口!$V1190=0,"",[1]对账明细接口!$V1190),"")</f>
      </c>
      <c r="AB1190" s="20">
        <f>IFERROR(IF([1]对账明细接口!$W1190=0,"",[1]对账明细接口!$W1190),"")</f>
      </c>
      <c r="AC1190" s="7">
        <f>IFERROR(IF([1]对账明细接口!$X1190=0,"",[1]对账明细接口!$X1190),"")</f>
      </c>
      <c r="AD1190" s="7">
        <f>IFERROR(IF([1]对账明细接口!$Y1190=0,"",[1]对账明细接口!$Y1190),"")</f>
      </c>
      <c r="AE1190" s="7">
        <f>IFERROR(IF([1]对账明细接口!$AA1190=0,"",[1]对账明细接口!$AA1190),"")</f>
      </c>
      <c r="AF1190" s="7">
        <f>IFERROR(IF([1]对账明细接口!$AB1190=0,"",[1]对账明细接口!$AB1190),"")</f>
      </c>
      <c r="AG1190" s="7">
        <f>IFERROR(IF([1]对账明细接口!$AC1190=0,"",[1]对账明细接口!$AC1190),"")</f>
      </c>
      <c r="AH1190" s="7">
        <f>IFERROR(IF([1]对账明细接口!$AD1190=0,"",[1]对账明细接口!$AD1190),"")</f>
      </c>
      <c r="AI1190" s="7">
        <f>IFERROR(IF([1]对账明细接口!$AE1190=0,"",[1]对账明细接口!$AE1190),"")</f>
      </c>
      <c r="AJ1190" s="7">
        <f>IFERROR(IF([1]对账明细接口!$AF1190=0,"",[1]对账明细接口!$AF1190),"")</f>
      </c>
    </row>
    <row r="1191" ht="14.25" customHeight="1" s="127">
      <c r="A1191" s="14" t="n">
        <v>1191</v>
      </c>
      <c r="B1191" s="211">
        <f>IFERROR(IF([1]对账明细接口!$B$1191=0,"",[1]对账明细接口!$B$1191),"")</f>
      </c>
      <c r="C1191" s="16">
        <f>IFERROR(IF([1]对账明细接口!$C$1191=0,"",[1]对账明细接口!$C$1191),"")</f>
      </c>
      <c r="D1191" s="16">
        <f>IFERROR(IF([1]对账明细接口!$D$1191=0,"",[1]对账明细接口!$D$1191),"")</f>
      </c>
      <c r="E1191" s="16">
        <f>IFERROR(IF([1]对账明细接口!$E$1191=0,"",[1]对账明细接口!$E$1191),"")</f>
      </c>
      <c r="F1191" s="16">
        <f>IFERROR(IF([1]对账明细接口!$F$1191=0,"",[1]对账明细接口!$F$1191),"")</f>
      </c>
      <c r="G1191" s="16">
        <f>IFERROR(IF([1]对账明细接口!$G$1191=0,"",[1]对账明细接口!$G$1191),"")</f>
      </c>
      <c r="H1191" s="176">
        <f>IFERROR(IF([1]对账明细接口!$H$1191=0,"",[1]对账明细接口!$H$1191),"")</f>
      </c>
      <c r="I1191" s="16">
        <f>IFERROR(IF([1]对账明细接口!$I$1191=0,"",[1]对账明细接口!$I$1191),"")</f>
      </c>
      <c r="J1191" s="177">
        <f>IFERROR(IF([1]对账明细接口!$J$1191=0,"",[1]对账明细接口!$J$1191),"")</f>
      </c>
      <c r="K1191" s="177">
        <f>IFERROR(IF([1]对账明细接口!$K$1191=0,"",[1]对账明细接口!$K$1191),"")</f>
      </c>
      <c r="L1191" s="16">
        <f>IFERROR(IF([1]对账明细接口!$L$1191=0,"",[1]对账明细接口!$L$1191),"")</f>
      </c>
      <c r="M1191" s="16">
        <f>IFERROR(IF([1]对账明细接口!$M$1191=0,"",[1]对账明细接口!$M$1191),"")</f>
      </c>
      <c r="N1191" s="19">
        <f>IF($C1191="",0,1)</f>
        <v>0</v>
      </c>
      <c r="O1191" s="19">
        <f>N(O1190)+$N1191</f>
        <v>637</v>
      </c>
      <c r="S1191" s="20">
        <f>IFERROR(IF([1]对账明细接口!$N1191=0,"",[1]对账明细接口!$N1191),"")</f>
      </c>
      <c r="T1191" s="212">
        <f>IFERROR(IF([1]对账明细接口!$O1191=0,"",[1]对账明细接口!$O1191),"")</f>
      </c>
      <c r="U1191" s="212">
        <f>IFERROR(IF([1]对账明细接口!$P1191=0,"",[1]对账明细接口!$P1191),"")</f>
      </c>
      <c r="V1191" s="212">
        <f>IFERROR(IF([1]对账明细接口!$Q1191=0,"",[1]对账明细接口!$Q1191),"")</f>
      </c>
      <c r="W1191" s="20">
        <f>IFERROR(IF([1]对账明细接口!$R1191=0,"",[1]对账明细接口!$R1191),"")</f>
      </c>
      <c r="X1191" s="20">
        <f>IFERROR(IF([1]对账明细接口!$S1191=0,"",[1]对账明细接口!$S1191),"")</f>
      </c>
      <c r="Y1191" s="20">
        <f>IFERROR(IF([1]对账明细接口!$T1191=0,"",[1]对账明细接口!$T1191),"")</f>
      </c>
      <c r="Z1191" s="213">
        <f>IFERROR(IF([1]对账明细接口!$U1191=0,"",[1]对账明细接口!$U1191),"")</f>
      </c>
      <c r="AA1191" s="213">
        <f>IFERROR(IF([1]对账明细接口!$V1191=0,"",[1]对账明细接口!$V1191),"")</f>
      </c>
      <c r="AB1191" s="20">
        <f>IFERROR(IF([1]对账明细接口!$W1191=0,"",[1]对账明细接口!$W1191),"")</f>
      </c>
      <c r="AC1191" s="7">
        <f>IFERROR(IF([1]对账明细接口!$X1191=0,"",[1]对账明细接口!$X1191),"")</f>
      </c>
      <c r="AD1191" s="7">
        <f>IFERROR(IF([1]对账明细接口!$Y1191=0,"",[1]对账明细接口!$Y1191),"")</f>
      </c>
      <c r="AE1191" s="7">
        <f>IFERROR(IF([1]对账明细接口!$AA1191=0,"",[1]对账明细接口!$AA1191),"")</f>
      </c>
      <c r="AF1191" s="7">
        <f>IFERROR(IF([1]对账明细接口!$AB1191=0,"",[1]对账明细接口!$AB1191),"")</f>
      </c>
      <c r="AG1191" s="7">
        <f>IFERROR(IF([1]对账明细接口!$AC1191=0,"",[1]对账明细接口!$AC1191),"")</f>
      </c>
      <c r="AH1191" s="7">
        <f>IFERROR(IF([1]对账明细接口!$AD1191=0,"",[1]对账明细接口!$AD1191),"")</f>
      </c>
      <c r="AI1191" s="7">
        <f>IFERROR(IF([1]对账明细接口!$AE1191=0,"",[1]对账明细接口!$AE1191),"")</f>
      </c>
      <c r="AJ1191" s="7">
        <f>IFERROR(IF([1]对账明细接口!$AF1191=0,"",[1]对账明细接口!$AF1191),"")</f>
      </c>
    </row>
    <row r="1192" ht="14.25" customHeight="1" s="127">
      <c r="A1192" s="14" t="n">
        <v>1192</v>
      </c>
      <c r="B1192" s="211">
        <f>IFERROR(IF([1]对账明细接口!$B$1192=0,"",[1]对账明细接口!$B$1192),"")</f>
      </c>
      <c r="C1192" s="16">
        <f>IFERROR(IF([1]对账明细接口!$C$1192=0,"",[1]对账明细接口!$C$1192),"")</f>
      </c>
      <c r="D1192" s="16">
        <f>IFERROR(IF([1]对账明细接口!$D$1192=0,"",[1]对账明细接口!$D$1192),"")</f>
      </c>
      <c r="E1192" s="16">
        <f>IFERROR(IF([1]对账明细接口!$E$1192=0,"",[1]对账明细接口!$E$1192),"")</f>
      </c>
      <c r="F1192" s="16">
        <f>IFERROR(IF([1]对账明细接口!$F$1192=0,"",[1]对账明细接口!$F$1192),"")</f>
      </c>
      <c r="G1192" s="16">
        <f>IFERROR(IF([1]对账明细接口!$G$1192=0,"",[1]对账明细接口!$G$1192),"")</f>
      </c>
      <c r="H1192" s="176">
        <f>IFERROR(IF([1]对账明细接口!$H$1192=0,"",[1]对账明细接口!$H$1192),"")</f>
      </c>
      <c r="I1192" s="16">
        <f>IFERROR(IF([1]对账明细接口!$I$1192=0,"",[1]对账明细接口!$I$1192),"")</f>
      </c>
      <c r="J1192" s="177">
        <f>IFERROR(IF([1]对账明细接口!$J$1192=0,"",[1]对账明细接口!$J$1192),"")</f>
      </c>
      <c r="K1192" s="177">
        <f>IFERROR(IF([1]对账明细接口!$K$1192=0,"",[1]对账明细接口!$K$1192),"")</f>
      </c>
      <c r="L1192" s="16">
        <f>IFERROR(IF([1]对账明细接口!$L$1192=0,"",[1]对账明细接口!$L$1192),"")</f>
      </c>
      <c r="M1192" s="16">
        <f>IFERROR(IF([1]对账明细接口!$M$1192=0,"",[1]对账明细接口!$M$1192),"")</f>
      </c>
      <c r="N1192" s="19">
        <f>IF($C1192="",0,1)</f>
        <v>0</v>
      </c>
      <c r="O1192" s="19">
        <f>N(O1191)+$N1192</f>
        <v>637</v>
      </c>
      <c r="S1192" s="20">
        <f>IFERROR(IF([1]对账明细接口!$N1192=0,"",[1]对账明细接口!$N1192),"")</f>
      </c>
      <c r="T1192" s="212">
        <f>IFERROR(IF([1]对账明细接口!$O1192=0,"",[1]对账明细接口!$O1192),"")</f>
      </c>
      <c r="U1192" s="212">
        <f>IFERROR(IF([1]对账明细接口!$P1192=0,"",[1]对账明细接口!$P1192),"")</f>
      </c>
      <c r="V1192" s="212">
        <f>IFERROR(IF([1]对账明细接口!$Q1192=0,"",[1]对账明细接口!$Q1192),"")</f>
      </c>
      <c r="W1192" s="20">
        <f>IFERROR(IF([1]对账明细接口!$R1192=0,"",[1]对账明细接口!$R1192),"")</f>
      </c>
      <c r="X1192" s="20">
        <f>IFERROR(IF([1]对账明细接口!$S1192=0,"",[1]对账明细接口!$S1192),"")</f>
      </c>
      <c r="Y1192" s="20">
        <f>IFERROR(IF([1]对账明细接口!$T1192=0,"",[1]对账明细接口!$T1192),"")</f>
      </c>
      <c r="Z1192" s="213">
        <f>IFERROR(IF([1]对账明细接口!$U1192=0,"",[1]对账明细接口!$U1192),"")</f>
      </c>
      <c r="AA1192" s="213">
        <f>IFERROR(IF([1]对账明细接口!$V1192=0,"",[1]对账明细接口!$V1192),"")</f>
      </c>
      <c r="AB1192" s="20">
        <f>IFERROR(IF([1]对账明细接口!$W1192=0,"",[1]对账明细接口!$W1192),"")</f>
      </c>
      <c r="AC1192" s="7">
        <f>IFERROR(IF([1]对账明细接口!$X1192=0,"",[1]对账明细接口!$X1192),"")</f>
      </c>
      <c r="AD1192" s="7">
        <f>IFERROR(IF([1]对账明细接口!$Y1192=0,"",[1]对账明细接口!$Y1192),"")</f>
      </c>
      <c r="AE1192" s="7">
        <f>IFERROR(IF([1]对账明细接口!$AA1192=0,"",[1]对账明细接口!$AA1192),"")</f>
      </c>
      <c r="AF1192" s="7">
        <f>IFERROR(IF([1]对账明细接口!$AB1192=0,"",[1]对账明细接口!$AB1192),"")</f>
      </c>
      <c r="AG1192" s="7">
        <f>IFERROR(IF([1]对账明细接口!$AC1192=0,"",[1]对账明细接口!$AC1192),"")</f>
      </c>
      <c r="AH1192" s="7">
        <f>IFERROR(IF([1]对账明细接口!$AD1192=0,"",[1]对账明细接口!$AD1192),"")</f>
      </c>
      <c r="AI1192" s="7">
        <f>IFERROR(IF([1]对账明细接口!$AE1192=0,"",[1]对账明细接口!$AE1192),"")</f>
      </c>
      <c r="AJ1192" s="7">
        <f>IFERROR(IF([1]对账明细接口!$AF1192=0,"",[1]对账明细接口!$AF1192),"")</f>
      </c>
    </row>
    <row r="1193" ht="14.25" customHeight="1" s="127">
      <c r="A1193" s="14" t="n">
        <v>1193</v>
      </c>
      <c r="B1193" s="211">
        <f>IFERROR(IF([1]对账明细接口!$B$1193=0,"",[1]对账明细接口!$B$1193),"")</f>
      </c>
      <c r="C1193" s="16">
        <f>IFERROR(IF([1]对账明细接口!$C$1193=0,"",[1]对账明细接口!$C$1193),"")</f>
      </c>
      <c r="D1193" s="16">
        <f>IFERROR(IF([1]对账明细接口!$D$1193=0,"",[1]对账明细接口!$D$1193),"")</f>
      </c>
      <c r="E1193" s="16">
        <f>IFERROR(IF([1]对账明细接口!$E$1193=0,"",[1]对账明细接口!$E$1193),"")</f>
      </c>
      <c r="F1193" s="16">
        <f>IFERROR(IF([1]对账明细接口!$F$1193=0,"",[1]对账明细接口!$F$1193),"")</f>
      </c>
      <c r="G1193" s="16">
        <f>IFERROR(IF([1]对账明细接口!$G$1193=0,"",[1]对账明细接口!$G$1193),"")</f>
      </c>
      <c r="H1193" s="176">
        <f>IFERROR(IF([1]对账明细接口!$H$1193=0,"",[1]对账明细接口!$H$1193),"")</f>
      </c>
      <c r="I1193" s="16">
        <f>IFERROR(IF([1]对账明细接口!$I$1193=0,"",[1]对账明细接口!$I$1193),"")</f>
      </c>
      <c r="J1193" s="177">
        <f>IFERROR(IF([1]对账明细接口!$J$1193=0,"",[1]对账明细接口!$J$1193),"")</f>
      </c>
      <c r="K1193" s="177">
        <f>IFERROR(IF([1]对账明细接口!$K$1193=0,"",[1]对账明细接口!$K$1193),"")</f>
      </c>
      <c r="L1193" s="16">
        <f>IFERROR(IF([1]对账明细接口!$L$1193=0,"",[1]对账明细接口!$L$1193),"")</f>
      </c>
      <c r="M1193" s="16">
        <f>IFERROR(IF([1]对账明细接口!$M$1193=0,"",[1]对账明细接口!$M$1193),"")</f>
      </c>
      <c r="N1193" s="19">
        <f>IF($C1193="",0,1)</f>
        <v>0</v>
      </c>
      <c r="O1193" s="19">
        <f>N(O1192)+$N1193</f>
        <v>637</v>
      </c>
      <c r="S1193" s="20">
        <f>IFERROR(IF([1]对账明细接口!$N1193=0,"",[1]对账明细接口!$N1193),"")</f>
      </c>
      <c r="T1193" s="212">
        <f>IFERROR(IF([1]对账明细接口!$O1193=0,"",[1]对账明细接口!$O1193),"")</f>
      </c>
      <c r="U1193" s="212">
        <f>IFERROR(IF([1]对账明细接口!$P1193=0,"",[1]对账明细接口!$P1193),"")</f>
      </c>
      <c r="V1193" s="212">
        <f>IFERROR(IF([1]对账明细接口!$Q1193=0,"",[1]对账明细接口!$Q1193),"")</f>
      </c>
      <c r="W1193" s="20">
        <f>IFERROR(IF([1]对账明细接口!$R1193=0,"",[1]对账明细接口!$R1193),"")</f>
      </c>
      <c r="X1193" s="20">
        <f>IFERROR(IF([1]对账明细接口!$S1193=0,"",[1]对账明细接口!$S1193),"")</f>
      </c>
      <c r="Y1193" s="20">
        <f>IFERROR(IF([1]对账明细接口!$T1193=0,"",[1]对账明细接口!$T1193),"")</f>
      </c>
      <c r="Z1193" s="213">
        <f>IFERROR(IF([1]对账明细接口!$U1193=0,"",[1]对账明细接口!$U1193),"")</f>
      </c>
      <c r="AA1193" s="213">
        <f>IFERROR(IF([1]对账明细接口!$V1193=0,"",[1]对账明细接口!$V1193),"")</f>
      </c>
      <c r="AB1193" s="20">
        <f>IFERROR(IF([1]对账明细接口!$W1193=0,"",[1]对账明细接口!$W1193),"")</f>
      </c>
      <c r="AC1193" s="7">
        <f>IFERROR(IF([1]对账明细接口!$X1193=0,"",[1]对账明细接口!$X1193),"")</f>
      </c>
      <c r="AD1193" s="7">
        <f>IFERROR(IF([1]对账明细接口!$Y1193=0,"",[1]对账明细接口!$Y1193),"")</f>
      </c>
      <c r="AE1193" s="7">
        <f>IFERROR(IF([1]对账明细接口!$AA1193=0,"",[1]对账明细接口!$AA1193),"")</f>
      </c>
      <c r="AF1193" s="7">
        <f>IFERROR(IF([1]对账明细接口!$AB1193=0,"",[1]对账明细接口!$AB1193),"")</f>
      </c>
      <c r="AG1193" s="7">
        <f>IFERROR(IF([1]对账明细接口!$AC1193=0,"",[1]对账明细接口!$AC1193),"")</f>
      </c>
      <c r="AH1193" s="7">
        <f>IFERROR(IF([1]对账明细接口!$AD1193=0,"",[1]对账明细接口!$AD1193),"")</f>
      </c>
      <c r="AI1193" s="7">
        <f>IFERROR(IF([1]对账明细接口!$AE1193=0,"",[1]对账明细接口!$AE1193),"")</f>
      </c>
      <c r="AJ1193" s="7">
        <f>IFERROR(IF([1]对账明细接口!$AF1193=0,"",[1]对账明细接口!$AF1193),"")</f>
      </c>
    </row>
    <row r="1194" ht="14.25" customHeight="1" s="127">
      <c r="A1194" s="14" t="n">
        <v>1194</v>
      </c>
      <c r="B1194" s="211">
        <f>IFERROR(IF([1]对账明细接口!$B$1194=0,"",[1]对账明细接口!$B$1194),"")</f>
      </c>
      <c r="C1194" s="16">
        <f>IFERROR(IF([1]对账明细接口!$C$1194=0,"",[1]对账明细接口!$C$1194),"")</f>
      </c>
      <c r="D1194" s="16">
        <f>IFERROR(IF([1]对账明细接口!$D$1194=0,"",[1]对账明细接口!$D$1194),"")</f>
      </c>
      <c r="E1194" s="16">
        <f>IFERROR(IF([1]对账明细接口!$E$1194=0,"",[1]对账明细接口!$E$1194),"")</f>
      </c>
      <c r="F1194" s="16">
        <f>IFERROR(IF([1]对账明细接口!$F$1194=0,"",[1]对账明细接口!$F$1194),"")</f>
      </c>
      <c r="G1194" s="16">
        <f>IFERROR(IF([1]对账明细接口!$G$1194=0,"",[1]对账明细接口!$G$1194),"")</f>
      </c>
      <c r="H1194" s="176">
        <f>IFERROR(IF([1]对账明细接口!$H$1194=0,"",[1]对账明细接口!$H$1194),"")</f>
      </c>
      <c r="I1194" s="16">
        <f>IFERROR(IF([1]对账明细接口!$I$1194=0,"",[1]对账明细接口!$I$1194),"")</f>
      </c>
      <c r="J1194" s="177">
        <f>IFERROR(IF([1]对账明细接口!$J$1194=0,"",[1]对账明细接口!$J$1194),"")</f>
      </c>
      <c r="K1194" s="177">
        <f>IFERROR(IF([1]对账明细接口!$K$1194=0,"",[1]对账明细接口!$K$1194),"")</f>
      </c>
      <c r="L1194" s="16">
        <f>IFERROR(IF([1]对账明细接口!$L$1194=0,"",[1]对账明细接口!$L$1194),"")</f>
      </c>
      <c r="M1194" s="16">
        <f>IFERROR(IF([1]对账明细接口!$M$1194=0,"",[1]对账明细接口!$M$1194),"")</f>
      </c>
      <c r="N1194" s="19">
        <f>IF($C1194="",0,1)</f>
        <v>0</v>
      </c>
      <c r="O1194" s="19">
        <f>N(O1193)+$N1194</f>
        <v>637</v>
      </c>
      <c r="S1194" s="20">
        <f>IFERROR(IF([1]对账明细接口!$N1194=0,"",[1]对账明细接口!$N1194),"")</f>
      </c>
      <c r="T1194" s="212">
        <f>IFERROR(IF([1]对账明细接口!$O1194=0,"",[1]对账明细接口!$O1194),"")</f>
      </c>
      <c r="U1194" s="212">
        <f>IFERROR(IF([1]对账明细接口!$P1194=0,"",[1]对账明细接口!$P1194),"")</f>
      </c>
      <c r="V1194" s="212">
        <f>IFERROR(IF([1]对账明细接口!$Q1194=0,"",[1]对账明细接口!$Q1194),"")</f>
      </c>
      <c r="W1194" s="20">
        <f>IFERROR(IF([1]对账明细接口!$R1194=0,"",[1]对账明细接口!$R1194),"")</f>
      </c>
      <c r="X1194" s="20">
        <f>IFERROR(IF([1]对账明细接口!$S1194=0,"",[1]对账明细接口!$S1194),"")</f>
      </c>
      <c r="Y1194" s="20">
        <f>IFERROR(IF([1]对账明细接口!$T1194=0,"",[1]对账明细接口!$T1194),"")</f>
      </c>
      <c r="Z1194" s="213">
        <f>IFERROR(IF([1]对账明细接口!$U1194=0,"",[1]对账明细接口!$U1194),"")</f>
      </c>
      <c r="AA1194" s="213">
        <f>IFERROR(IF([1]对账明细接口!$V1194=0,"",[1]对账明细接口!$V1194),"")</f>
      </c>
      <c r="AB1194" s="20">
        <f>IFERROR(IF([1]对账明细接口!$W1194=0,"",[1]对账明细接口!$W1194),"")</f>
      </c>
      <c r="AC1194" s="7">
        <f>IFERROR(IF([1]对账明细接口!$X1194=0,"",[1]对账明细接口!$X1194),"")</f>
      </c>
      <c r="AD1194" s="7">
        <f>IFERROR(IF([1]对账明细接口!$Y1194=0,"",[1]对账明细接口!$Y1194),"")</f>
      </c>
      <c r="AE1194" s="7">
        <f>IFERROR(IF([1]对账明细接口!$AA1194=0,"",[1]对账明细接口!$AA1194),"")</f>
      </c>
      <c r="AF1194" s="7">
        <f>IFERROR(IF([1]对账明细接口!$AB1194=0,"",[1]对账明细接口!$AB1194),"")</f>
      </c>
      <c r="AG1194" s="7">
        <f>IFERROR(IF([1]对账明细接口!$AC1194=0,"",[1]对账明细接口!$AC1194),"")</f>
      </c>
      <c r="AH1194" s="7">
        <f>IFERROR(IF([1]对账明细接口!$AD1194=0,"",[1]对账明细接口!$AD1194),"")</f>
      </c>
      <c r="AI1194" s="7">
        <f>IFERROR(IF([1]对账明细接口!$AE1194=0,"",[1]对账明细接口!$AE1194),"")</f>
      </c>
      <c r="AJ1194" s="7">
        <f>IFERROR(IF([1]对账明细接口!$AF1194=0,"",[1]对账明细接口!$AF1194),"")</f>
      </c>
    </row>
    <row r="1195" ht="14.25" customHeight="1" s="127">
      <c r="A1195" s="14" t="n">
        <v>1195</v>
      </c>
      <c r="B1195" s="211">
        <f>IFERROR(IF([1]对账明细接口!$B$1195=0,"",[1]对账明细接口!$B$1195),"")</f>
      </c>
      <c r="C1195" s="16">
        <f>IFERROR(IF([1]对账明细接口!$C$1195=0,"",[1]对账明细接口!$C$1195),"")</f>
      </c>
      <c r="D1195" s="16">
        <f>IFERROR(IF([1]对账明细接口!$D$1195=0,"",[1]对账明细接口!$D$1195),"")</f>
      </c>
      <c r="E1195" s="16">
        <f>IFERROR(IF([1]对账明细接口!$E$1195=0,"",[1]对账明细接口!$E$1195),"")</f>
      </c>
      <c r="F1195" s="16">
        <f>IFERROR(IF([1]对账明细接口!$F$1195=0,"",[1]对账明细接口!$F$1195),"")</f>
      </c>
      <c r="G1195" s="16">
        <f>IFERROR(IF([1]对账明细接口!$G$1195=0,"",[1]对账明细接口!$G$1195),"")</f>
      </c>
      <c r="H1195" s="176">
        <f>IFERROR(IF([1]对账明细接口!$H$1195=0,"",[1]对账明细接口!$H$1195),"")</f>
      </c>
      <c r="I1195" s="16">
        <f>IFERROR(IF([1]对账明细接口!$I$1195=0,"",[1]对账明细接口!$I$1195),"")</f>
      </c>
      <c r="J1195" s="177">
        <f>IFERROR(IF([1]对账明细接口!$J$1195=0,"",[1]对账明细接口!$J$1195),"")</f>
      </c>
      <c r="K1195" s="177">
        <f>IFERROR(IF([1]对账明细接口!$K$1195=0,"",[1]对账明细接口!$K$1195),"")</f>
      </c>
      <c r="L1195" s="16">
        <f>IFERROR(IF([1]对账明细接口!$L$1195=0,"",[1]对账明细接口!$L$1195),"")</f>
      </c>
      <c r="M1195" s="16">
        <f>IFERROR(IF([1]对账明细接口!$M$1195=0,"",[1]对账明细接口!$M$1195),"")</f>
      </c>
      <c r="N1195" s="19">
        <f>IF($C1195="",0,1)</f>
        <v>0</v>
      </c>
      <c r="O1195" s="19">
        <f>N(O1194)+$N1195</f>
        <v>637</v>
      </c>
      <c r="S1195" s="20">
        <f>IFERROR(IF([1]对账明细接口!$N1195=0,"",[1]对账明细接口!$N1195),"")</f>
      </c>
      <c r="T1195" s="212">
        <f>IFERROR(IF([1]对账明细接口!$O1195=0,"",[1]对账明细接口!$O1195),"")</f>
      </c>
      <c r="U1195" s="212">
        <f>IFERROR(IF([1]对账明细接口!$P1195=0,"",[1]对账明细接口!$P1195),"")</f>
      </c>
      <c r="V1195" s="212">
        <f>IFERROR(IF([1]对账明细接口!$Q1195=0,"",[1]对账明细接口!$Q1195),"")</f>
      </c>
      <c r="W1195" s="20">
        <f>IFERROR(IF([1]对账明细接口!$R1195=0,"",[1]对账明细接口!$R1195),"")</f>
      </c>
      <c r="X1195" s="20">
        <f>IFERROR(IF([1]对账明细接口!$S1195=0,"",[1]对账明细接口!$S1195),"")</f>
      </c>
      <c r="Y1195" s="20">
        <f>IFERROR(IF([1]对账明细接口!$T1195=0,"",[1]对账明细接口!$T1195),"")</f>
      </c>
      <c r="Z1195" s="213">
        <f>IFERROR(IF([1]对账明细接口!$U1195=0,"",[1]对账明细接口!$U1195),"")</f>
      </c>
      <c r="AA1195" s="213">
        <f>IFERROR(IF([1]对账明细接口!$V1195=0,"",[1]对账明细接口!$V1195),"")</f>
      </c>
      <c r="AB1195" s="20">
        <f>IFERROR(IF([1]对账明细接口!$W1195=0,"",[1]对账明细接口!$W1195),"")</f>
      </c>
      <c r="AC1195" s="7">
        <f>IFERROR(IF([1]对账明细接口!$X1195=0,"",[1]对账明细接口!$X1195),"")</f>
      </c>
      <c r="AD1195" s="7">
        <f>IFERROR(IF([1]对账明细接口!$Y1195=0,"",[1]对账明细接口!$Y1195),"")</f>
      </c>
      <c r="AE1195" s="7">
        <f>IFERROR(IF([1]对账明细接口!$AA1195=0,"",[1]对账明细接口!$AA1195),"")</f>
      </c>
      <c r="AF1195" s="7">
        <f>IFERROR(IF([1]对账明细接口!$AB1195=0,"",[1]对账明细接口!$AB1195),"")</f>
      </c>
      <c r="AG1195" s="7">
        <f>IFERROR(IF([1]对账明细接口!$AC1195=0,"",[1]对账明细接口!$AC1195),"")</f>
      </c>
      <c r="AH1195" s="7">
        <f>IFERROR(IF([1]对账明细接口!$AD1195=0,"",[1]对账明细接口!$AD1195),"")</f>
      </c>
      <c r="AI1195" s="7">
        <f>IFERROR(IF([1]对账明细接口!$AE1195=0,"",[1]对账明细接口!$AE1195),"")</f>
      </c>
      <c r="AJ1195" s="7">
        <f>IFERROR(IF([1]对账明细接口!$AF1195=0,"",[1]对账明细接口!$AF1195),"")</f>
      </c>
    </row>
    <row r="1196" ht="14.25" customHeight="1" s="127">
      <c r="A1196" s="14" t="n">
        <v>1196</v>
      </c>
      <c r="B1196" s="211">
        <f>IFERROR(IF([1]对账明细接口!$B$1196=0,"",[1]对账明细接口!$B$1196),"")</f>
      </c>
      <c r="C1196" s="16">
        <f>IFERROR(IF([1]对账明细接口!$C$1196=0,"",[1]对账明细接口!$C$1196),"")</f>
      </c>
      <c r="D1196" s="16">
        <f>IFERROR(IF([1]对账明细接口!$D$1196=0,"",[1]对账明细接口!$D$1196),"")</f>
      </c>
      <c r="E1196" s="16">
        <f>IFERROR(IF([1]对账明细接口!$E$1196=0,"",[1]对账明细接口!$E$1196),"")</f>
      </c>
      <c r="F1196" s="16">
        <f>IFERROR(IF([1]对账明细接口!$F$1196=0,"",[1]对账明细接口!$F$1196),"")</f>
      </c>
      <c r="G1196" s="16">
        <f>IFERROR(IF([1]对账明细接口!$G$1196=0,"",[1]对账明细接口!$G$1196),"")</f>
      </c>
      <c r="H1196" s="176">
        <f>IFERROR(IF([1]对账明细接口!$H$1196=0,"",[1]对账明细接口!$H$1196),"")</f>
      </c>
      <c r="I1196" s="16">
        <f>IFERROR(IF([1]对账明细接口!$I$1196=0,"",[1]对账明细接口!$I$1196),"")</f>
      </c>
      <c r="J1196" s="177">
        <f>IFERROR(IF([1]对账明细接口!$J$1196=0,"",[1]对账明细接口!$J$1196),"")</f>
      </c>
      <c r="K1196" s="177">
        <f>IFERROR(IF([1]对账明细接口!$K$1196=0,"",[1]对账明细接口!$K$1196),"")</f>
      </c>
      <c r="L1196" s="16">
        <f>IFERROR(IF([1]对账明细接口!$L$1196=0,"",[1]对账明细接口!$L$1196),"")</f>
      </c>
      <c r="M1196" s="16">
        <f>IFERROR(IF([1]对账明细接口!$M$1196=0,"",[1]对账明细接口!$M$1196),"")</f>
      </c>
      <c r="N1196" s="19">
        <f>IF($C1196="",0,1)</f>
        <v>0</v>
      </c>
      <c r="O1196" s="19">
        <f>N(O1195)+$N1196</f>
        <v>637</v>
      </c>
      <c r="S1196" s="20">
        <f>IFERROR(IF([1]对账明细接口!$N1196=0,"",[1]对账明细接口!$N1196),"")</f>
      </c>
      <c r="T1196" s="212">
        <f>IFERROR(IF([1]对账明细接口!$O1196=0,"",[1]对账明细接口!$O1196),"")</f>
      </c>
      <c r="U1196" s="212">
        <f>IFERROR(IF([1]对账明细接口!$P1196=0,"",[1]对账明细接口!$P1196),"")</f>
      </c>
      <c r="V1196" s="212">
        <f>IFERROR(IF([1]对账明细接口!$Q1196=0,"",[1]对账明细接口!$Q1196),"")</f>
      </c>
      <c r="W1196" s="20">
        <f>IFERROR(IF([1]对账明细接口!$R1196=0,"",[1]对账明细接口!$R1196),"")</f>
      </c>
      <c r="X1196" s="20">
        <f>IFERROR(IF([1]对账明细接口!$S1196=0,"",[1]对账明细接口!$S1196),"")</f>
      </c>
      <c r="Y1196" s="20">
        <f>IFERROR(IF([1]对账明细接口!$T1196=0,"",[1]对账明细接口!$T1196),"")</f>
      </c>
      <c r="Z1196" s="213">
        <f>IFERROR(IF([1]对账明细接口!$U1196=0,"",[1]对账明细接口!$U1196),"")</f>
      </c>
      <c r="AA1196" s="213">
        <f>IFERROR(IF([1]对账明细接口!$V1196=0,"",[1]对账明细接口!$V1196),"")</f>
      </c>
      <c r="AB1196" s="20">
        <f>IFERROR(IF([1]对账明细接口!$W1196=0,"",[1]对账明细接口!$W1196),"")</f>
      </c>
      <c r="AC1196" s="7">
        <f>IFERROR(IF([1]对账明细接口!$X1196=0,"",[1]对账明细接口!$X1196),"")</f>
      </c>
      <c r="AD1196" s="7">
        <f>IFERROR(IF([1]对账明细接口!$Y1196=0,"",[1]对账明细接口!$Y1196),"")</f>
      </c>
      <c r="AE1196" s="7">
        <f>IFERROR(IF([1]对账明细接口!$AA1196=0,"",[1]对账明细接口!$AA1196),"")</f>
      </c>
      <c r="AF1196" s="7">
        <f>IFERROR(IF([1]对账明细接口!$AB1196=0,"",[1]对账明细接口!$AB1196),"")</f>
      </c>
      <c r="AG1196" s="7">
        <f>IFERROR(IF([1]对账明细接口!$AC1196=0,"",[1]对账明细接口!$AC1196),"")</f>
      </c>
      <c r="AH1196" s="7">
        <f>IFERROR(IF([1]对账明细接口!$AD1196=0,"",[1]对账明细接口!$AD1196),"")</f>
      </c>
      <c r="AI1196" s="7">
        <f>IFERROR(IF([1]对账明细接口!$AE1196=0,"",[1]对账明细接口!$AE1196),"")</f>
      </c>
      <c r="AJ1196" s="7">
        <f>IFERROR(IF([1]对账明细接口!$AF1196=0,"",[1]对账明细接口!$AF1196),"")</f>
      </c>
    </row>
    <row r="1197" ht="14.25" customHeight="1" s="127">
      <c r="A1197" s="14" t="n">
        <v>1197</v>
      </c>
      <c r="B1197" s="211">
        <f>IFERROR(IF([1]对账明细接口!$B$1197=0,"",[1]对账明细接口!$B$1197),"")</f>
      </c>
      <c r="C1197" s="16">
        <f>IFERROR(IF([1]对账明细接口!$C$1197=0,"",[1]对账明细接口!$C$1197),"")</f>
      </c>
      <c r="D1197" s="16">
        <f>IFERROR(IF([1]对账明细接口!$D$1197=0,"",[1]对账明细接口!$D$1197),"")</f>
      </c>
      <c r="E1197" s="16">
        <f>IFERROR(IF([1]对账明细接口!$E$1197=0,"",[1]对账明细接口!$E$1197),"")</f>
      </c>
      <c r="F1197" s="16">
        <f>IFERROR(IF([1]对账明细接口!$F$1197=0,"",[1]对账明细接口!$F$1197),"")</f>
      </c>
      <c r="G1197" s="16">
        <f>IFERROR(IF([1]对账明细接口!$G$1197=0,"",[1]对账明细接口!$G$1197),"")</f>
      </c>
      <c r="H1197" s="176">
        <f>IFERROR(IF([1]对账明细接口!$H$1197=0,"",[1]对账明细接口!$H$1197),"")</f>
      </c>
      <c r="I1197" s="16">
        <f>IFERROR(IF([1]对账明细接口!$I$1197=0,"",[1]对账明细接口!$I$1197),"")</f>
      </c>
      <c r="J1197" s="177">
        <f>IFERROR(IF([1]对账明细接口!$J$1197=0,"",[1]对账明细接口!$J$1197),"")</f>
      </c>
      <c r="K1197" s="177">
        <f>IFERROR(IF([1]对账明细接口!$K$1197=0,"",[1]对账明细接口!$K$1197),"")</f>
      </c>
      <c r="L1197" s="16">
        <f>IFERROR(IF([1]对账明细接口!$L$1197=0,"",[1]对账明细接口!$L$1197),"")</f>
      </c>
      <c r="M1197" s="16">
        <f>IFERROR(IF([1]对账明细接口!$M$1197=0,"",[1]对账明细接口!$M$1197),"")</f>
      </c>
      <c r="N1197" s="19">
        <f>IF($C1197="",0,1)</f>
        <v>0</v>
      </c>
      <c r="O1197" s="19">
        <f>N(O1196)+$N1197</f>
        <v>637</v>
      </c>
      <c r="S1197" s="20">
        <f>IFERROR(IF([1]对账明细接口!$N1197=0,"",[1]对账明细接口!$N1197),"")</f>
      </c>
      <c r="T1197" s="212">
        <f>IFERROR(IF([1]对账明细接口!$O1197=0,"",[1]对账明细接口!$O1197),"")</f>
      </c>
      <c r="U1197" s="212">
        <f>IFERROR(IF([1]对账明细接口!$P1197=0,"",[1]对账明细接口!$P1197),"")</f>
      </c>
      <c r="V1197" s="212">
        <f>IFERROR(IF([1]对账明细接口!$Q1197=0,"",[1]对账明细接口!$Q1197),"")</f>
      </c>
      <c r="W1197" s="20">
        <f>IFERROR(IF([1]对账明细接口!$R1197=0,"",[1]对账明细接口!$R1197),"")</f>
      </c>
      <c r="X1197" s="20">
        <f>IFERROR(IF([1]对账明细接口!$S1197=0,"",[1]对账明细接口!$S1197),"")</f>
      </c>
      <c r="Y1197" s="20">
        <f>IFERROR(IF([1]对账明细接口!$T1197=0,"",[1]对账明细接口!$T1197),"")</f>
      </c>
      <c r="Z1197" s="213">
        <f>IFERROR(IF([1]对账明细接口!$U1197=0,"",[1]对账明细接口!$U1197),"")</f>
      </c>
      <c r="AA1197" s="213">
        <f>IFERROR(IF([1]对账明细接口!$V1197=0,"",[1]对账明细接口!$V1197),"")</f>
      </c>
      <c r="AB1197" s="20">
        <f>IFERROR(IF([1]对账明细接口!$W1197=0,"",[1]对账明细接口!$W1197),"")</f>
      </c>
      <c r="AC1197" s="7">
        <f>IFERROR(IF([1]对账明细接口!$X1197=0,"",[1]对账明细接口!$X1197),"")</f>
      </c>
      <c r="AD1197" s="7">
        <f>IFERROR(IF([1]对账明细接口!$Y1197=0,"",[1]对账明细接口!$Y1197),"")</f>
      </c>
      <c r="AE1197" s="7">
        <f>IFERROR(IF([1]对账明细接口!$AA1197=0,"",[1]对账明细接口!$AA1197),"")</f>
      </c>
      <c r="AF1197" s="7">
        <f>IFERROR(IF([1]对账明细接口!$AB1197=0,"",[1]对账明细接口!$AB1197),"")</f>
      </c>
      <c r="AG1197" s="7">
        <f>IFERROR(IF([1]对账明细接口!$AC1197=0,"",[1]对账明细接口!$AC1197),"")</f>
      </c>
      <c r="AH1197" s="7">
        <f>IFERROR(IF([1]对账明细接口!$AD1197=0,"",[1]对账明细接口!$AD1197),"")</f>
      </c>
      <c r="AI1197" s="7">
        <f>IFERROR(IF([1]对账明细接口!$AE1197=0,"",[1]对账明细接口!$AE1197),"")</f>
      </c>
      <c r="AJ1197" s="7">
        <f>IFERROR(IF([1]对账明细接口!$AF1197=0,"",[1]对账明细接口!$AF1197),"")</f>
      </c>
    </row>
    <row r="1198" ht="14.25" customHeight="1" s="127">
      <c r="A1198" s="14" t="n">
        <v>1198</v>
      </c>
      <c r="B1198" s="211">
        <f>IFERROR(IF([1]对账明细接口!$B$1198=0,"",[1]对账明细接口!$B$1198),"")</f>
      </c>
      <c r="C1198" s="16">
        <f>IFERROR(IF([1]对账明细接口!$C$1198=0,"",[1]对账明细接口!$C$1198),"")</f>
      </c>
      <c r="D1198" s="16">
        <f>IFERROR(IF([1]对账明细接口!$D$1198=0,"",[1]对账明细接口!$D$1198),"")</f>
      </c>
      <c r="E1198" s="16">
        <f>IFERROR(IF([1]对账明细接口!$E$1198=0,"",[1]对账明细接口!$E$1198),"")</f>
      </c>
      <c r="F1198" s="16">
        <f>IFERROR(IF([1]对账明细接口!$F$1198=0,"",[1]对账明细接口!$F$1198),"")</f>
      </c>
      <c r="G1198" s="16">
        <f>IFERROR(IF([1]对账明细接口!$G$1198=0,"",[1]对账明细接口!$G$1198),"")</f>
      </c>
      <c r="H1198" s="176">
        <f>IFERROR(IF([1]对账明细接口!$H$1198=0,"",[1]对账明细接口!$H$1198),"")</f>
      </c>
      <c r="I1198" s="16">
        <f>IFERROR(IF([1]对账明细接口!$I$1198=0,"",[1]对账明细接口!$I$1198),"")</f>
      </c>
      <c r="J1198" s="177">
        <f>IFERROR(IF([1]对账明细接口!$J$1198=0,"",[1]对账明细接口!$J$1198),"")</f>
      </c>
      <c r="K1198" s="177">
        <f>IFERROR(IF([1]对账明细接口!$K$1198=0,"",[1]对账明细接口!$K$1198),"")</f>
      </c>
      <c r="L1198" s="16">
        <f>IFERROR(IF([1]对账明细接口!$L$1198=0,"",[1]对账明细接口!$L$1198),"")</f>
      </c>
      <c r="M1198" s="16">
        <f>IFERROR(IF([1]对账明细接口!$M$1198=0,"",[1]对账明细接口!$M$1198),"")</f>
      </c>
      <c r="N1198" s="19">
        <f>IF($C1198="",0,1)</f>
        <v>0</v>
      </c>
      <c r="O1198" s="19">
        <f>N(O1197)+$N1198</f>
        <v>637</v>
      </c>
      <c r="S1198" s="20">
        <f>IFERROR(IF([1]对账明细接口!$N1198=0,"",[1]对账明细接口!$N1198),"")</f>
      </c>
      <c r="T1198" s="212">
        <f>IFERROR(IF([1]对账明细接口!$O1198=0,"",[1]对账明细接口!$O1198),"")</f>
      </c>
      <c r="U1198" s="212">
        <f>IFERROR(IF([1]对账明细接口!$P1198=0,"",[1]对账明细接口!$P1198),"")</f>
      </c>
      <c r="V1198" s="212">
        <f>IFERROR(IF([1]对账明细接口!$Q1198=0,"",[1]对账明细接口!$Q1198),"")</f>
      </c>
      <c r="W1198" s="20">
        <f>IFERROR(IF([1]对账明细接口!$R1198=0,"",[1]对账明细接口!$R1198),"")</f>
      </c>
      <c r="X1198" s="20">
        <f>IFERROR(IF([1]对账明细接口!$S1198=0,"",[1]对账明细接口!$S1198),"")</f>
      </c>
      <c r="Y1198" s="20">
        <f>IFERROR(IF([1]对账明细接口!$T1198=0,"",[1]对账明细接口!$T1198),"")</f>
      </c>
      <c r="Z1198" s="213">
        <f>IFERROR(IF([1]对账明细接口!$U1198=0,"",[1]对账明细接口!$U1198),"")</f>
      </c>
      <c r="AA1198" s="213">
        <f>IFERROR(IF([1]对账明细接口!$V1198=0,"",[1]对账明细接口!$V1198),"")</f>
      </c>
      <c r="AB1198" s="20">
        <f>IFERROR(IF([1]对账明细接口!$W1198=0,"",[1]对账明细接口!$W1198),"")</f>
      </c>
      <c r="AC1198" s="7">
        <f>IFERROR(IF([1]对账明细接口!$X1198=0,"",[1]对账明细接口!$X1198),"")</f>
      </c>
      <c r="AD1198" s="7">
        <f>IFERROR(IF([1]对账明细接口!$Y1198=0,"",[1]对账明细接口!$Y1198),"")</f>
      </c>
      <c r="AE1198" s="7">
        <f>IFERROR(IF([1]对账明细接口!$AA1198=0,"",[1]对账明细接口!$AA1198),"")</f>
      </c>
      <c r="AF1198" s="7">
        <f>IFERROR(IF([1]对账明细接口!$AB1198=0,"",[1]对账明细接口!$AB1198),"")</f>
      </c>
      <c r="AG1198" s="7">
        <f>IFERROR(IF([1]对账明细接口!$AC1198=0,"",[1]对账明细接口!$AC1198),"")</f>
      </c>
      <c r="AH1198" s="7">
        <f>IFERROR(IF([1]对账明细接口!$AD1198=0,"",[1]对账明细接口!$AD1198),"")</f>
      </c>
      <c r="AI1198" s="7">
        <f>IFERROR(IF([1]对账明细接口!$AE1198=0,"",[1]对账明细接口!$AE1198),"")</f>
      </c>
      <c r="AJ1198" s="7">
        <f>IFERROR(IF([1]对账明细接口!$AF1198=0,"",[1]对账明细接口!$AF1198),"")</f>
      </c>
    </row>
    <row r="1199" ht="14.25" customHeight="1" s="127">
      <c r="A1199" s="14" t="n">
        <v>1199</v>
      </c>
      <c r="B1199" s="211">
        <f>IFERROR(IF([1]对账明细接口!$B$1199=0,"",[1]对账明细接口!$B$1199),"")</f>
      </c>
      <c r="C1199" s="16">
        <f>IFERROR(IF([1]对账明细接口!$C$1199=0,"",[1]对账明细接口!$C$1199),"")</f>
      </c>
      <c r="D1199" s="16">
        <f>IFERROR(IF([1]对账明细接口!$D$1199=0,"",[1]对账明细接口!$D$1199),"")</f>
      </c>
      <c r="E1199" s="16">
        <f>IFERROR(IF([1]对账明细接口!$E$1199=0,"",[1]对账明细接口!$E$1199),"")</f>
      </c>
      <c r="F1199" s="16">
        <f>IFERROR(IF([1]对账明细接口!$F$1199=0,"",[1]对账明细接口!$F$1199),"")</f>
      </c>
      <c r="G1199" s="16">
        <f>IFERROR(IF([1]对账明细接口!$G$1199=0,"",[1]对账明细接口!$G$1199),"")</f>
      </c>
      <c r="H1199" s="176">
        <f>IFERROR(IF([1]对账明细接口!$H$1199=0,"",[1]对账明细接口!$H$1199),"")</f>
      </c>
      <c r="I1199" s="16">
        <f>IFERROR(IF([1]对账明细接口!$I$1199=0,"",[1]对账明细接口!$I$1199),"")</f>
      </c>
      <c r="J1199" s="177">
        <f>IFERROR(IF([1]对账明细接口!$J$1199=0,"",[1]对账明细接口!$J$1199),"")</f>
      </c>
      <c r="K1199" s="177">
        <f>IFERROR(IF([1]对账明细接口!$K$1199=0,"",[1]对账明细接口!$K$1199),"")</f>
      </c>
      <c r="L1199" s="16">
        <f>IFERROR(IF([1]对账明细接口!$L$1199=0,"",[1]对账明细接口!$L$1199),"")</f>
      </c>
      <c r="M1199" s="16">
        <f>IFERROR(IF([1]对账明细接口!$M$1199=0,"",[1]对账明细接口!$M$1199),"")</f>
      </c>
      <c r="N1199" s="19">
        <f>IF($C1199="",0,1)</f>
        <v>0</v>
      </c>
      <c r="O1199" s="19">
        <f>N(O1198)+$N1199</f>
        <v>637</v>
      </c>
      <c r="S1199" s="20">
        <f>IFERROR(IF([1]对账明细接口!$N1199=0,"",[1]对账明细接口!$N1199),"")</f>
      </c>
      <c r="T1199" s="212">
        <f>IFERROR(IF([1]对账明细接口!$O1199=0,"",[1]对账明细接口!$O1199),"")</f>
      </c>
      <c r="U1199" s="212">
        <f>IFERROR(IF([1]对账明细接口!$P1199=0,"",[1]对账明细接口!$P1199),"")</f>
      </c>
      <c r="V1199" s="212">
        <f>IFERROR(IF([1]对账明细接口!$Q1199=0,"",[1]对账明细接口!$Q1199),"")</f>
      </c>
      <c r="W1199" s="20">
        <f>IFERROR(IF([1]对账明细接口!$R1199=0,"",[1]对账明细接口!$R1199),"")</f>
      </c>
      <c r="X1199" s="20">
        <f>IFERROR(IF([1]对账明细接口!$S1199=0,"",[1]对账明细接口!$S1199),"")</f>
      </c>
      <c r="Y1199" s="20">
        <f>IFERROR(IF([1]对账明细接口!$T1199=0,"",[1]对账明细接口!$T1199),"")</f>
      </c>
      <c r="Z1199" s="213">
        <f>IFERROR(IF([1]对账明细接口!$U1199=0,"",[1]对账明细接口!$U1199),"")</f>
      </c>
      <c r="AA1199" s="213">
        <f>IFERROR(IF([1]对账明细接口!$V1199=0,"",[1]对账明细接口!$V1199),"")</f>
      </c>
      <c r="AB1199" s="20">
        <f>IFERROR(IF([1]对账明细接口!$W1199=0,"",[1]对账明细接口!$W1199),"")</f>
      </c>
      <c r="AC1199" s="7">
        <f>IFERROR(IF([1]对账明细接口!$X1199=0,"",[1]对账明细接口!$X1199),"")</f>
      </c>
      <c r="AD1199" s="7">
        <f>IFERROR(IF([1]对账明细接口!$Y1199=0,"",[1]对账明细接口!$Y1199),"")</f>
      </c>
      <c r="AE1199" s="7">
        <f>IFERROR(IF([1]对账明细接口!$AA1199=0,"",[1]对账明细接口!$AA1199),"")</f>
      </c>
      <c r="AF1199" s="7">
        <f>IFERROR(IF([1]对账明细接口!$AB1199=0,"",[1]对账明细接口!$AB1199),"")</f>
      </c>
      <c r="AG1199" s="7">
        <f>IFERROR(IF([1]对账明细接口!$AC1199=0,"",[1]对账明细接口!$AC1199),"")</f>
      </c>
      <c r="AH1199" s="7">
        <f>IFERROR(IF([1]对账明细接口!$AD1199=0,"",[1]对账明细接口!$AD1199),"")</f>
      </c>
      <c r="AI1199" s="7">
        <f>IFERROR(IF([1]对账明细接口!$AE1199=0,"",[1]对账明细接口!$AE1199),"")</f>
      </c>
      <c r="AJ1199" s="7">
        <f>IFERROR(IF([1]对账明细接口!$AF1199=0,"",[1]对账明细接口!$AF1199),"")</f>
      </c>
    </row>
    <row r="1200" ht="14.25" customHeight="1" s="127">
      <c r="A1200" s="14" t="n">
        <v>1200</v>
      </c>
      <c r="B1200" s="211">
        <f>IFERROR(IF([1]对账明细接口!$B$1200=0,"",[1]对账明细接口!$B$1200),"")</f>
      </c>
      <c r="C1200" s="16">
        <f>IFERROR(IF([1]对账明细接口!$C$1200=0,"",[1]对账明细接口!$C$1200),"")</f>
      </c>
      <c r="D1200" s="16">
        <f>IFERROR(IF([1]对账明细接口!$D$1200=0,"",[1]对账明细接口!$D$1200),"")</f>
      </c>
      <c r="E1200" s="16">
        <f>IFERROR(IF([1]对账明细接口!$E$1200=0,"",[1]对账明细接口!$E$1200),"")</f>
      </c>
      <c r="F1200" s="16">
        <f>IFERROR(IF([1]对账明细接口!$F$1200=0,"",[1]对账明细接口!$F$1200),"")</f>
      </c>
      <c r="G1200" s="16">
        <f>IFERROR(IF([1]对账明细接口!$G$1200=0,"",[1]对账明细接口!$G$1200),"")</f>
      </c>
      <c r="H1200" s="176">
        <f>IFERROR(IF([1]对账明细接口!$H$1200=0,"",[1]对账明细接口!$H$1200),"")</f>
      </c>
      <c r="I1200" s="16">
        <f>IFERROR(IF([1]对账明细接口!$I$1200=0,"",[1]对账明细接口!$I$1200),"")</f>
      </c>
      <c r="J1200" s="177">
        <f>IFERROR(IF([1]对账明细接口!$J$1200=0,"",[1]对账明细接口!$J$1200),"")</f>
      </c>
      <c r="K1200" s="177">
        <f>IFERROR(IF([1]对账明细接口!$K$1200=0,"",[1]对账明细接口!$K$1200),"")</f>
      </c>
      <c r="L1200" s="16">
        <f>IFERROR(IF([1]对账明细接口!$L$1200=0,"",[1]对账明细接口!$L$1200),"")</f>
      </c>
      <c r="M1200" s="16">
        <f>IFERROR(IF([1]对账明细接口!$M$1200=0,"",[1]对账明细接口!$M$1200),"")</f>
      </c>
      <c r="N1200" s="19">
        <f>IF($C1200="",0,1)</f>
        <v>0</v>
      </c>
      <c r="O1200" s="19">
        <f>N(O1199)+$N1200</f>
        <v>637</v>
      </c>
      <c r="S1200" s="20">
        <f>IFERROR(IF([1]对账明细接口!$N1200=0,"",[1]对账明细接口!$N1200),"")</f>
      </c>
      <c r="T1200" s="212">
        <f>IFERROR(IF([1]对账明细接口!$O1200=0,"",[1]对账明细接口!$O1200),"")</f>
      </c>
      <c r="U1200" s="212">
        <f>IFERROR(IF([1]对账明细接口!$P1200=0,"",[1]对账明细接口!$P1200),"")</f>
      </c>
      <c r="V1200" s="212">
        <f>IFERROR(IF([1]对账明细接口!$Q1200=0,"",[1]对账明细接口!$Q1200),"")</f>
      </c>
      <c r="W1200" s="20">
        <f>IFERROR(IF([1]对账明细接口!$R1200=0,"",[1]对账明细接口!$R1200),"")</f>
      </c>
      <c r="X1200" s="20">
        <f>IFERROR(IF([1]对账明细接口!$S1200=0,"",[1]对账明细接口!$S1200),"")</f>
      </c>
      <c r="Y1200" s="20">
        <f>IFERROR(IF([1]对账明细接口!$T1200=0,"",[1]对账明细接口!$T1200),"")</f>
      </c>
      <c r="Z1200" s="213">
        <f>IFERROR(IF([1]对账明细接口!$U1200=0,"",[1]对账明细接口!$U1200),"")</f>
      </c>
      <c r="AA1200" s="213">
        <f>IFERROR(IF([1]对账明细接口!$V1200=0,"",[1]对账明细接口!$V1200),"")</f>
      </c>
      <c r="AB1200" s="20">
        <f>IFERROR(IF([1]对账明细接口!$W1200=0,"",[1]对账明细接口!$W1200),"")</f>
      </c>
      <c r="AC1200" s="7">
        <f>IFERROR(IF([1]对账明细接口!$X1200=0,"",[1]对账明细接口!$X1200),"")</f>
      </c>
      <c r="AD1200" s="7">
        <f>IFERROR(IF([1]对账明细接口!$Y1200=0,"",[1]对账明细接口!$Y1200),"")</f>
      </c>
      <c r="AE1200" s="7">
        <f>IFERROR(IF([1]对账明细接口!$AA1200=0,"",[1]对账明细接口!$AA1200),"")</f>
      </c>
      <c r="AF1200" s="7">
        <f>IFERROR(IF([1]对账明细接口!$AB1200=0,"",[1]对账明细接口!$AB1200),"")</f>
      </c>
      <c r="AG1200" s="7">
        <f>IFERROR(IF([1]对账明细接口!$AC1200=0,"",[1]对账明细接口!$AC1200),"")</f>
      </c>
      <c r="AH1200" s="7">
        <f>IFERROR(IF([1]对账明细接口!$AD1200=0,"",[1]对账明细接口!$AD1200),"")</f>
      </c>
      <c r="AI1200" s="7">
        <f>IFERROR(IF([1]对账明细接口!$AE1200=0,"",[1]对账明细接口!$AE1200),"")</f>
      </c>
      <c r="AJ1200" s="7">
        <f>IFERROR(IF([1]对账明细接口!$AF1200=0,"",[1]对账明细接口!$AF1200),"")</f>
      </c>
    </row>
    <row r="1201" ht="14.25" customHeight="1" s="127">
      <c r="A1201" s="14" t="n">
        <v>1201</v>
      </c>
      <c r="B1201" s="211">
        <f>IFERROR(IF([1]对账明细接口!$B$1201=0,"",[1]对账明细接口!$B$1201),"")</f>
      </c>
      <c r="C1201" s="16">
        <f>IFERROR(IF([1]对账明细接口!$C$1201=0,"",[1]对账明细接口!$C$1201),"")</f>
      </c>
      <c r="D1201" s="16">
        <f>IFERROR(IF([1]对账明细接口!$D$1201=0,"",[1]对账明细接口!$D$1201),"")</f>
      </c>
      <c r="E1201" s="16">
        <f>IFERROR(IF([1]对账明细接口!$E$1201=0,"",[1]对账明细接口!$E$1201),"")</f>
      </c>
      <c r="F1201" s="16">
        <f>IFERROR(IF([1]对账明细接口!$F$1201=0,"",[1]对账明细接口!$F$1201),"")</f>
      </c>
      <c r="G1201" s="16">
        <f>IFERROR(IF([1]对账明细接口!$G$1201=0,"",[1]对账明细接口!$G$1201),"")</f>
      </c>
      <c r="H1201" s="176">
        <f>IFERROR(IF([1]对账明细接口!$H$1201=0,"",[1]对账明细接口!$H$1201),"")</f>
      </c>
      <c r="I1201" s="16">
        <f>IFERROR(IF([1]对账明细接口!$I$1201=0,"",[1]对账明细接口!$I$1201),"")</f>
      </c>
      <c r="J1201" s="177">
        <f>IFERROR(IF([1]对账明细接口!$J$1201=0,"",[1]对账明细接口!$J$1201),"")</f>
      </c>
      <c r="K1201" s="177">
        <f>IFERROR(IF([1]对账明细接口!$K$1201=0,"",[1]对账明细接口!$K$1201),"")</f>
      </c>
      <c r="L1201" s="16">
        <f>IFERROR(IF([1]对账明细接口!$L$1201=0,"",[1]对账明细接口!$L$1201),"")</f>
      </c>
      <c r="M1201" s="16">
        <f>IFERROR(IF([1]对账明细接口!$M$1201=0,"",[1]对账明细接口!$M$1201),"")</f>
      </c>
      <c r="N1201" s="19">
        <f>IF($C1201="",0,1)</f>
        <v>0</v>
      </c>
      <c r="O1201" s="19">
        <f>N(O1200)+$N1201</f>
        <v>637</v>
      </c>
      <c r="S1201" s="20">
        <f>IFERROR(IF([1]对账明细接口!$N1201=0,"",[1]对账明细接口!$N1201),"")</f>
      </c>
      <c r="T1201" s="212">
        <f>IFERROR(IF([1]对账明细接口!$O1201=0,"",[1]对账明细接口!$O1201),"")</f>
      </c>
      <c r="U1201" s="212">
        <f>IFERROR(IF([1]对账明细接口!$P1201=0,"",[1]对账明细接口!$P1201),"")</f>
      </c>
      <c r="V1201" s="212">
        <f>IFERROR(IF([1]对账明细接口!$Q1201=0,"",[1]对账明细接口!$Q1201),"")</f>
      </c>
      <c r="W1201" s="20">
        <f>IFERROR(IF([1]对账明细接口!$R1201=0,"",[1]对账明细接口!$R1201),"")</f>
      </c>
      <c r="X1201" s="20">
        <f>IFERROR(IF([1]对账明细接口!$S1201=0,"",[1]对账明细接口!$S1201),"")</f>
      </c>
      <c r="Y1201" s="20">
        <f>IFERROR(IF([1]对账明细接口!$T1201=0,"",[1]对账明细接口!$T1201),"")</f>
      </c>
      <c r="Z1201" s="213">
        <f>IFERROR(IF([1]对账明细接口!$U1201=0,"",[1]对账明细接口!$U1201),"")</f>
      </c>
      <c r="AA1201" s="213">
        <f>IFERROR(IF([1]对账明细接口!$V1201=0,"",[1]对账明细接口!$V1201),"")</f>
      </c>
      <c r="AB1201" s="20">
        <f>IFERROR(IF([1]对账明细接口!$W1201=0,"",[1]对账明细接口!$W1201),"")</f>
      </c>
      <c r="AC1201" s="7">
        <f>IFERROR(IF([1]对账明细接口!$X1201=0,"",[1]对账明细接口!$X1201),"")</f>
      </c>
      <c r="AD1201" s="7">
        <f>IFERROR(IF([1]对账明细接口!$Y1201=0,"",[1]对账明细接口!$Y1201),"")</f>
      </c>
      <c r="AE1201" s="7">
        <f>IFERROR(IF([1]对账明细接口!$AA1201=0,"",[1]对账明细接口!$AA1201),"")</f>
      </c>
      <c r="AF1201" s="7">
        <f>IFERROR(IF([1]对账明细接口!$AB1201=0,"",[1]对账明细接口!$AB1201),"")</f>
      </c>
      <c r="AG1201" s="7">
        <f>IFERROR(IF([1]对账明细接口!$AC1201=0,"",[1]对账明细接口!$AC1201),"")</f>
      </c>
      <c r="AH1201" s="7">
        <f>IFERROR(IF([1]对账明细接口!$AD1201=0,"",[1]对账明细接口!$AD1201),"")</f>
      </c>
      <c r="AI1201" s="7">
        <f>IFERROR(IF([1]对账明细接口!$AE1201=0,"",[1]对账明细接口!$AE1201),"")</f>
      </c>
      <c r="AJ1201" s="7">
        <f>IFERROR(IF([1]对账明细接口!$AF1201=0,"",[1]对账明细接口!$AF1201),"")</f>
      </c>
    </row>
    <row r="1202" ht="14.25" customHeight="1" s="127">
      <c r="A1202" s="14" t="n">
        <v>1202</v>
      </c>
      <c r="B1202" s="211">
        <f>IFERROR(IF([1]对账明细接口!$B$1202=0,"",[1]对账明细接口!$B$1202),"")</f>
      </c>
      <c r="C1202" s="16">
        <f>IFERROR(IF([1]对账明细接口!$C$1202=0,"",[1]对账明细接口!$C$1202),"")</f>
      </c>
      <c r="D1202" s="16">
        <f>IFERROR(IF([1]对账明细接口!$D$1202=0,"",[1]对账明细接口!$D$1202),"")</f>
      </c>
      <c r="E1202" s="16">
        <f>IFERROR(IF([1]对账明细接口!$E$1202=0,"",[1]对账明细接口!$E$1202),"")</f>
      </c>
      <c r="F1202" s="16">
        <f>IFERROR(IF([1]对账明细接口!$F$1202=0,"",[1]对账明细接口!$F$1202),"")</f>
      </c>
      <c r="G1202" s="16">
        <f>IFERROR(IF([1]对账明细接口!$G$1202=0,"",[1]对账明细接口!$G$1202),"")</f>
      </c>
      <c r="H1202" s="176">
        <f>IFERROR(IF([1]对账明细接口!$H$1202=0,"",[1]对账明细接口!$H$1202),"")</f>
      </c>
      <c r="I1202" s="16">
        <f>IFERROR(IF([1]对账明细接口!$I$1202=0,"",[1]对账明细接口!$I$1202),"")</f>
      </c>
      <c r="J1202" s="177">
        <f>IFERROR(IF([1]对账明细接口!$J$1202=0,"",[1]对账明细接口!$J$1202),"")</f>
      </c>
      <c r="K1202" s="177">
        <f>IFERROR(IF([1]对账明细接口!$K$1202=0,"",[1]对账明细接口!$K$1202),"")</f>
      </c>
      <c r="L1202" s="16">
        <f>IFERROR(IF([1]对账明细接口!$L$1202=0,"",[1]对账明细接口!$L$1202),"")</f>
      </c>
      <c r="M1202" s="16">
        <f>IFERROR(IF([1]对账明细接口!$M$1202=0,"",[1]对账明细接口!$M$1202),"")</f>
      </c>
      <c r="N1202" s="19">
        <f>IF($C1202="",0,1)</f>
        <v>0</v>
      </c>
      <c r="O1202" s="19">
        <f>N(O1201)+$N1202</f>
        <v>637</v>
      </c>
      <c r="S1202" s="20">
        <f>IFERROR(IF([1]对账明细接口!$N1202=0,"",[1]对账明细接口!$N1202),"")</f>
      </c>
      <c r="T1202" s="212">
        <f>IFERROR(IF([1]对账明细接口!$O1202=0,"",[1]对账明细接口!$O1202),"")</f>
      </c>
      <c r="U1202" s="212">
        <f>IFERROR(IF([1]对账明细接口!$P1202=0,"",[1]对账明细接口!$P1202),"")</f>
      </c>
      <c r="V1202" s="212">
        <f>IFERROR(IF([1]对账明细接口!$Q1202=0,"",[1]对账明细接口!$Q1202),"")</f>
      </c>
      <c r="W1202" s="20">
        <f>IFERROR(IF([1]对账明细接口!$R1202=0,"",[1]对账明细接口!$R1202),"")</f>
      </c>
      <c r="X1202" s="20">
        <f>IFERROR(IF([1]对账明细接口!$S1202=0,"",[1]对账明细接口!$S1202),"")</f>
      </c>
      <c r="Y1202" s="20">
        <f>IFERROR(IF([1]对账明细接口!$T1202=0,"",[1]对账明细接口!$T1202),"")</f>
      </c>
      <c r="Z1202" s="213">
        <f>IFERROR(IF([1]对账明细接口!$U1202=0,"",[1]对账明细接口!$U1202),"")</f>
      </c>
      <c r="AA1202" s="213">
        <f>IFERROR(IF([1]对账明细接口!$V1202=0,"",[1]对账明细接口!$V1202),"")</f>
      </c>
      <c r="AB1202" s="20">
        <f>IFERROR(IF([1]对账明细接口!$W1202=0,"",[1]对账明细接口!$W1202),"")</f>
      </c>
      <c r="AC1202" s="7">
        <f>IFERROR(IF([1]对账明细接口!$X1202=0,"",[1]对账明细接口!$X1202),"")</f>
      </c>
      <c r="AD1202" s="7">
        <f>IFERROR(IF([1]对账明细接口!$Y1202=0,"",[1]对账明细接口!$Y1202),"")</f>
      </c>
      <c r="AE1202" s="7">
        <f>IFERROR(IF([1]对账明细接口!$AA1202=0,"",[1]对账明细接口!$AA1202),"")</f>
      </c>
      <c r="AF1202" s="7">
        <f>IFERROR(IF([1]对账明细接口!$AB1202=0,"",[1]对账明细接口!$AB1202),"")</f>
      </c>
      <c r="AG1202" s="7">
        <f>IFERROR(IF([1]对账明细接口!$AC1202=0,"",[1]对账明细接口!$AC1202),"")</f>
      </c>
      <c r="AH1202" s="7">
        <f>IFERROR(IF([1]对账明细接口!$AD1202=0,"",[1]对账明细接口!$AD1202),"")</f>
      </c>
      <c r="AI1202" s="7">
        <f>IFERROR(IF([1]对账明细接口!$AE1202=0,"",[1]对账明细接口!$AE1202),"")</f>
      </c>
      <c r="AJ1202" s="7">
        <f>IFERROR(IF([1]对账明细接口!$AF1202=0,"",[1]对账明细接口!$AF1202),"")</f>
      </c>
    </row>
    <row r="1203" ht="14.25" customHeight="1" s="127">
      <c r="A1203" s="14" t="n">
        <v>1203</v>
      </c>
      <c r="B1203" s="211">
        <f>IFERROR(IF([1]对账明细接口!$B$1203=0,"",[1]对账明细接口!$B$1203),"")</f>
      </c>
      <c r="C1203" s="16">
        <f>IFERROR(IF([1]对账明细接口!$C$1203=0,"",[1]对账明细接口!$C$1203),"")</f>
      </c>
      <c r="D1203" s="16">
        <f>IFERROR(IF([1]对账明细接口!$D$1203=0,"",[1]对账明细接口!$D$1203),"")</f>
      </c>
      <c r="E1203" s="16">
        <f>IFERROR(IF([1]对账明细接口!$E$1203=0,"",[1]对账明细接口!$E$1203),"")</f>
      </c>
      <c r="F1203" s="16">
        <f>IFERROR(IF([1]对账明细接口!$F$1203=0,"",[1]对账明细接口!$F$1203),"")</f>
      </c>
      <c r="G1203" s="16">
        <f>IFERROR(IF([1]对账明细接口!$G$1203=0,"",[1]对账明细接口!$G$1203),"")</f>
      </c>
      <c r="H1203" s="176">
        <f>IFERROR(IF([1]对账明细接口!$H$1203=0,"",[1]对账明细接口!$H$1203),"")</f>
      </c>
      <c r="I1203" s="16">
        <f>IFERROR(IF([1]对账明细接口!$I$1203=0,"",[1]对账明细接口!$I$1203),"")</f>
      </c>
      <c r="J1203" s="177">
        <f>IFERROR(IF([1]对账明细接口!$J$1203=0,"",[1]对账明细接口!$J$1203),"")</f>
      </c>
      <c r="K1203" s="177">
        <f>IFERROR(IF([1]对账明细接口!$K$1203=0,"",[1]对账明细接口!$K$1203),"")</f>
      </c>
      <c r="L1203" s="16">
        <f>IFERROR(IF([1]对账明细接口!$L$1203=0,"",[1]对账明细接口!$L$1203),"")</f>
      </c>
      <c r="M1203" s="16">
        <f>IFERROR(IF([1]对账明细接口!$M$1203=0,"",[1]对账明细接口!$M$1203),"")</f>
      </c>
      <c r="N1203" s="19">
        <f>IF($C1203="",0,1)</f>
        <v>0</v>
      </c>
      <c r="O1203" s="19">
        <f>N(O1202)+$N1203</f>
        <v>637</v>
      </c>
      <c r="S1203" s="20">
        <f>IFERROR(IF([1]对账明细接口!$N1203=0,"",[1]对账明细接口!$N1203),"")</f>
      </c>
      <c r="T1203" s="212">
        <f>IFERROR(IF([1]对账明细接口!$O1203=0,"",[1]对账明细接口!$O1203),"")</f>
      </c>
      <c r="U1203" s="212">
        <f>IFERROR(IF([1]对账明细接口!$P1203=0,"",[1]对账明细接口!$P1203),"")</f>
      </c>
      <c r="V1203" s="212">
        <f>IFERROR(IF([1]对账明细接口!$Q1203=0,"",[1]对账明细接口!$Q1203),"")</f>
      </c>
      <c r="W1203" s="20">
        <f>IFERROR(IF([1]对账明细接口!$R1203=0,"",[1]对账明细接口!$R1203),"")</f>
      </c>
      <c r="X1203" s="20">
        <f>IFERROR(IF([1]对账明细接口!$S1203=0,"",[1]对账明细接口!$S1203),"")</f>
      </c>
      <c r="Y1203" s="20">
        <f>IFERROR(IF([1]对账明细接口!$T1203=0,"",[1]对账明细接口!$T1203),"")</f>
      </c>
      <c r="Z1203" s="213">
        <f>IFERROR(IF([1]对账明细接口!$U1203=0,"",[1]对账明细接口!$U1203),"")</f>
      </c>
      <c r="AA1203" s="213">
        <f>IFERROR(IF([1]对账明细接口!$V1203=0,"",[1]对账明细接口!$V1203),"")</f>
      </c>
      <c r="AB1203" s="20">
        <f>IFERROR(IF([1]对账明细接口!$W1203=0,"",[1]对账明细接口!$W1203),"")</f>
      </c>
      <c r="AC1203" s="7">
        <f>IFERROR(IF([1]对账明细接口!$X1203=0,"",[1]对账明细接口!$X1203),"")</f>
      </c>
      <c r="AD1203" s="7">
        <f>IFERROR(IF([1]对账明细接口!$Y1203=0,"",[1]对账明细接口!$Y1203),"")</f>
      </c>
      <c r="AE1203" s="7">
        <f>IFERROR(IF([1]对账明细接口!$AA1203=0,"",[1]对账明细接口!$AA1203),"")</f>
      </c>
      <c r="AF1203" s="7">
        <f>IFERROR(IF([1]对账明细接口!$AB1203=0,"",[1]对账明细接口!$AB1203),"")</f>
      </c>
      <c r="AG1203" s="7">
        <f>IFERROR(IF([1]对账明细接口!$AC1203=0,"",[1]对账明细接口!$AC1203),"")</f>
      </c>
      <c r="AH1203" s="7">
        <f>IFERROR(IF([1]对账明细接口!$AD1203=0,"",[1]对账明细接口!$AD1203),"")</f>
      </c>
      <c r="AI1203" s="7">
        <f>IFERROR(IF([1]对账明细接口!$AE1203=0,"",[1]对账明细接口!$AE1203),"")</f>
      </c>
      <c r="AJ1203" s="7">
        <f>IFERROR(IF([1]对账明细接口!$AF1203=0,"",[1]对账明细接口!$AF1203),"")</f>
      </c>
    </row>
  </sheetData>
  <mergeCells count="3">
    <mergeCell ref="A1:O1"/>
    <mergeCell ref="A2:O2"/>
    <mergeCell ref="Q6:R9"/>
  </mergeCells>
  <conditionalFormatting sqref="A2">
    <cfRule type="expression" priority="2" dxfId="0">
      <formula>$R$4=0</formula>
    </cfRule>
  </conditionalFormatting>
  <conditionalFormatting sqref="Q6">
    <cfRule type="expression" priority="3" dxfId="0">
      <formula>$R$4=0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/>
  </sheetPr>
  <dimension ref="A1:AB1203"/>
  <sheetViews>
    <sheetView showGridLines="0" workbookViewId="0">
      <pane xSplit="1" ySplit="3" topLeftCell="C112" activePane="bottomRight" state="frozen"/>
      <selection activeCell="A1" sqref="A1"/>
      <selection pane="topRight" activeCell="A1" sqref="A1"/>
      <selection pane="bottomLeft" activeCell="A1" sqref="A1"/>
      <selection pane="bottomRight" activeCell="C87" sqref="C87"/>
    </sheetView>
  </sheetViews>
  <sheetFormatPr baseColWidth="8" defaultColWidth="9" defaultRowHeight="13.5"/>
  <cols>
    <col width="6" customWidth="1" style="8" min="1" max="1"/>
    <col width="12" customWidth="1" style="8" min="2" max="2"/>
    <col width="15" customWidth="1" style="8" min="3" max="3"/>
    <col width="22" customWidth="1" style="8" min="4" max="4"/>
    <col width="14" customWidth="1" style="8" min="5" max="5"/>
    <col width="11" customWidth="1" style="8" min="6" max="6"/>
    <col width="12" customWidth="1" style="8" min="7" max="7"/>
    <col width="11" customWidth="1" style="8" min="8" max="8"/>
    <col width="7" customWidth="1" style="8" min="9" max="9"/>
    <col width="12" customWidth="1" style="8" min="10" max="10"/>
    <col width="13" customWidth="1" style="8" min="11" max="11"/>
    <col width="11" customWidth="1" style="8" min="12" max="12"/>
    <col width="16" customWidth="1" style="8" min="13" max="13"/>
    <col width="6" customWidth="1" style="8" min="14" max="15"/>
    <col width="2" customWidth="1" style="8" min="16" max="16"/>
    <col width="13" customWidth="1" style="8" min="17" max="17"/>
    <col width="60" customWidth="1" style="8" min="18" max="18"/>
    <col width="13" customWidth="1" style="8" min="19" max="19"/>
    <col width="10" customWidth="1" style="8" min="20" max="22"/>
    <col width="12" customWidth="1" style="8" min="23" max="23"/>
    <col width="10" customWidth="1" style="8" min="24" max="24"/>
    <col width="9" customWidth="1" style="8" min="25" max="16384"/>
  </cols>
  <sheetData>
    <row r="1" ht="30" customHeight="1" s="127">
      <c r="A1" s="9" t="inlineStr">
        <is>
          <t>对 接 源 · 02 物料与周转物台账（跨文件自动取数 · 全部公式，勿手工填）</t>
        </is>
      </c>
      <c r="Q1" s="10" t="inlineStr">
        <is>
          <t>有效笔数</t>
        </is>
      </c>
      <c r="R1" s="11">
        <f>MAX($O$4:$O$1203)</f>
        <v>272</v>
      </c>
    </row>
    <row r="2" ht="18" customHeight="1" s="127">
      <c r="A2" s="12" t="str">
        <f>IF($R$4=1,"✔ 链接正常，已取到 "&amp;$R$1&amp;" 笔业务　｜　本表 1:1 对应《02 物料与周转物台账》的【对账明细接口】，三个文件必须放在同一个文件夹，文件名也不要改","★★ 链接没接上！→ 请看本表右边 Q6 格的修复说明（往右拉一屏）")</f>
        <v>✔ 链接正常，已取到 272 笔业务　｜　本表 1:1 对应《02 物料与周转物台账》的【对账明细接口】，三个文件必须放在同一个文件夹，文件名也不要改</v>
      </c>
      <c r="Q2" s="10" t="inlineStr">
        <is>
          <t>链接探针</t>
        </is>
      </c>
      <c r="R2" s="11" t="str">
        <f>IFERROR(IF([2]对账明细接口!$C$4=0,"未更新",[2]对账明细接口!$C$4),"断开")</f>
        <v>果然鲜</v>
      </c>
    </row>
    <row r="3" ht="30" customHeight="1" s="127">
      <c r="A3" s="13" t="inlineStr">
        <is>
          <t>源行</t>
        </is>
      </c>
      <c r="B3" s="13" t="inlineStr">
        <is>
          <t>日期</t>
        </is>
      </c>
      <c r="C3" s="13" t="inlineStr">
        <is>
          <t>往来单位</t>
        </is>
      </c>
      <c r="D3" s="13" t="inlineStr">
        <is>
          <t>业务类别</t>
        </is>
      </c>
      <c r="E3" s="13" t="inlineStr">
        <is>
          <t>票据单号</t>
        </is>
      </c>
      <c r="F3" s="13" t="inlineStr">
        <is>
          <t>品名</t>
        </is>
      </c>
      <c r="G3" s="13" t="inlineStr">
        <is>
          <t>规格/等级</t>
        </is>
      </c>
      <c r="H3" s="13" t="inlineStr">
        <is>
          <t>数量</t>
        </is>
      </c>
      <c r="I3" s="13" t="inlineStr">
        <is>
          <t>单位</t>
        </is>
      </c>
      <c r="J3" s="13" t="inlineStr">
        <is>
          <t>重量KG</t>
        </is>
      </c>
      <c r="K3" s="13" t="inlineStr">
        <is>
          <t>金额</t>
        </is>
      </c>
      <c r="L3" s="13" t="inlineStr">
        <is>
          <t>收付状态</t>
        </is>
      </c>
      <c r="M3" s="13" t="inlineStr">
        <is>
          <t>备注</t>
        </is>
      </c>
      <c r="N3" s="13" t="inlineStr">
        <is>
          <t>有效</t>
        </is>
      </c>
      <c r="O3" s="13" t="inlineStr">
        <is>
          <t>累计</t>
        </is>
      </c>
      <c r="Q3" s="10" t="inlineStr">
        <is>
          <t>已取行数</t>
        </is>
      </c>
      <c r="R3" s="11">
        <f>COUNTA($C$4:$C$1203)</f>
        <v>1200</v>
      </c>
      <c r="S3" s="13" t="inlineStr">
        <is>
          <t>筐子类型</t>
        </is>
      </c>
      <c r="T3" s="13" t="inlineStr">
        <is>
          <t>发出筐数</t>
        </is>
      </c>
      <c r="U3" s="13" t="inlineStr">
        <is>
          <t>退回筐数</t>
        </is>
      </c>
      <c r="V3" s="13" t="inlineStr">
        <is>
          <t>入库筐数</t>
        </is>
      </c>
      <c r="W3" s="13" t="inlineStr">
        <is>
          <t>车牌号</t>
        </is>
      </c>
      <c r="X3" s="13" t="inlineStr">
        <is>
          <t>筐子归属</t>
        </is>
      </c>
      <c r="Y3" s="13" t="inlineStr">
        <is>
          <t>采购货主</t>
        </is>
      </c>
      <c r="Z3" s="13" t="inlineStr">
        <is>
          <t>采购单价</t>
        </is>
      </c>
      <c r="AA3" s="13" t="inlineStr">
        <is>
          <t>采购金额（应付）</t>
        </is>
      </c>
      <c r="AB3" s="13" t="inlineStr">
        <is>
          <t>付款状态</t>
        </is>
      </c>
    </row>
    <row r="4" s="127">
      <c r="A4" s="14" t="n">
        <v>4</v>
      </c>
      <c r="B4" s="211">
        <f>IFERROR(IF([2]对账明细接口!$B$4=0,"",[2]对账明细接口!$B$4),"")</f>
        <v>46266.0</v>
      </c>
      <c r="C4" s="16" t="str">
        <f>IFERROR(IF([2]对账明细接口!$C$4=0,"",[2]对账明细接口!$C$4),"")</f>
        <v>果然鲜</v>
      </c>
      <c r="D4" s="16" t="str">
        <f>IFERROR(IF([2]对账明细接口!$D$4=0,"",[2]对账明细接口!$D$4),"")</f>
        <v>包装物料－期初库存</v>
      </c>
      <c r="E4" s="16">
        <f>IFERROR(IF([2]对账明细接口!$E$4=0,"",[2]对账明细接口!$E$4),"")</f>
      </c>
      <c r="F4" s="16" t="str">
        <f>IFERROR(IF([2]对账明细接口!$F$4=0,"",[2]对账明细接口!$F$4),"")</f>
        <v>气泡垫</v>
      </c>
      <c r="G4" s="16" t="str">
        <f>IFERROR(IF([2]对账明细接口!$G$4=0,"",[2]对账明细接口!$G$4),"")</f>
        <v>*1000</v>
      </c>
      <c r="H4" s="176">
        <f>IFERROR(IF([2]对账明细接口!$H$4=0,"",[2]对账明细接口!$H$4),"")</f>
        <v>13800</v>
      </c>
      <c r="I4" s="16" t="str">
        <f>IFERROR(IF([2]对账明细接口!$I$4=0,"",[2]对账明细接口!$I$4),"")</f>
        <v>片</v>
      </c>
      <c r="J4" s="177">
        <f>IFERROR(IF([2]对账明细接口!$J$4=0,"",[2]对账明细接口!$J$4),"")</f>
      </c>
      <c r="K4" s="177">
        <f>IFERROR(IF([2]对账明细接口!$K$4=0,"",[2]对账明细接口!$K$4),"")</f>
      </c>
      <c r="L4" s="16">
        <f>IFERROR(IF([2]对账明细接口!$L$4=0,"",[2]对账明细接口!$L$4),"")</f>
      </c>
      <c r="M4" s="16">
        <f>IFERROR(IF([2]对账明细接口!$M$4=0,"",[2]对账明细接口!$M$4),"")</f>
      </c>
      <c r="N4" s="19">
        <f>IF($C4="",0,1)</f>
        <v>1</v>
      </c>
      <c r="O4" s="19">
        <f>N(O3)+$N4</f>
        <v>1</v>
      </c>
      <c r="Q4" s="10" t="inlineStr">
        <is>
          <t>链接可用</t>
        </is>
      </c>
      <c r="R4" s="11">
        <f>IF(OR($R$2="断开",$R$2="未更新"),0,1)</f>
        <v>1</v>
      </c>
      <c r="S4" s="20">
        <f>IFERROR(IF([2]对账明细接口!$N4=0,"",[2]对账明细接口!$N4),"")</f>
      </c>
      <c r="T4" s="212">
        <f>IFERROR(IF([2]对账明细接口!$O4=0,"",[2]对账明细接口!$O4),"")</f>
      </c>
      <c r="U4" s="212">
        <f>IFERROR(IF([2]对账明细接口!$P4=0,"",[2]对账明细接口!$P4),"")</f>
      </c>
      <c r="V4" s="212">
        <f>IFERROR(IF([2]对账明细接口!$Q4=0,"",[2]对账明细接口!$Q4),"")</f>
      </c>
      <c r="W4" s="20">
        <f>IFERROR(IF([2]对账明细接口!$R4=0,"",[2]对账明细接口!$R4),"")</f>
      </c>
      <c r="X4" s="20">
        <f>IFERROR(IF([2]对账明细接口!$S4=0,"",[2]对账明细接口!$S4),"")</f>
      </c>
      <c r="Y4" s="20">
        <f>""</f>
      </c>
      <c r="Z4" s="20">
        <f>""</f>
      </c>
      <c r="AA4" s="20">
        <f>""</f>
      </c>
      <c r="AB4" s="20">
        <f>""</f>
      </c>
    </row>
    <row r="5" s="127">
      <c r="A5" s="14" t="n">
        <v>5</v>
      </c>
      <c r="B5" s="211">
        <f>IFERROR(IF([2]对账明细接口!$B$5=0,"",[2]对账明细接口!$B$5),"")</f>
        <v>46266.0</v>
      </c>
      <c r="C5" s="16" t="str">
        <f>IFERROR(IF([2]对账明细接口!$C$5=0,"",[2]对账明细接口!$C$5),"")</f>
        <v>果然鲜</v>
      </c>
      <c r="D5" s="16" t="str">
        <f>IFERROR(IF([2]对账明细接口!$D$5=0,"",[2]对账明细接口!$D$5),"")</f>
        <v>包装物料－期初库存</v>
      </c>
      <c r="E5" s="16">
        <f>IFERROR(IF([2]对账明细接口!$E$5=0,"",[2]对账明细接口!$E$5),"")</f>
      </c>
      <c r="F5" s="16" t="str">
        <f>IFERROR(IF([2]对账明细接口!$F$5=0,"",[2]对账明细接口!$F$5),"")</f>
        <v>无纺布</v>
      </c>
      <c r="G5" s="16" t="str">
        <f>IFERROR(IF([2]对账明细接口!$G$5=0,"",[2]对账明细接口!$G$5),"")</f>
        <v>*400</v>
      </c>
      <c r="H5" s="176">
        <f>IFERROR(IF([2]对账明细接口!$H$5=0,"",[2]对账明细接口!$H$5),"")</f>
        <v>2400</v>
      </c>
      <c r="I5" s="16" t="str">
        <f>IFERROR(IF([2]对账明细接口!$I$5=0,"",[2]对账明细接口!$I$5),"")</f>
        <v>个</v>
      </c>
      <c r="J5" s="177">
        <f>IFERROR(IF([2]对账明细接口!$J$5=0,"",[2]对账明细接口!$J$5),"")</f>
      </c>
      <c r="K5" s="177">
        <f>IFERROR(IF([2]对账明细接口!$K$5=0,"",[2]对账明细接口!$K$5),"")</f>
      </c>
      <c r="L5" s="16">
        <f>IFERROR(IF([2]对账明细接口!$L$5=0,"",[2]对账明细接口!$L$5),"")</f>
      </c>
      <c r="M5" s="16">
        <f>IFERROR(IF([2]对账明细接口!$M$5=0,"",[2]对账明细接口!$M$5),"")</f>
      </c>
      <c r="N5" s="19">
        <f>IF($C5="",0,1)</f>
        <v>1</v>
      </c>
      <c r="O5" s="19">
        <f>N(O4)+$N5</f>
        <v>2</v>
      </c>
      <c r="S5" s="20">
        <f>IFERROR(IF([2]对账明细接口!$N5=0,"",[2]对账明细接口!$N5),"")</f>
      </c>
      <c r="T5" s="212">
        <f>IFERROR(IF([2]对账明细接口!$O5=0,"",[2]对账明细接口!$O5),"")</f>
      </c>
      <c r="U5" s="212">
        <f>IFERROR(IF([2]对账明细接口!$P5=0,"",[2]对账明细接口!$P5),"")</f>
      </c>
      <c r="V5" s="212">
        <f>IFERROR(IF([2]对账明细接口!$Q5=0,"",[2]对账明细接口!$Q5),"")</f>
      </c>
      <c r="W5" s="20">
        <f>IFERROR(IF([2]对账明细接口!$R5=0,"",[2]对账明细接口!$R5),"")</f>
      </c>
      <c r="X5" s="20">
        <f>IFERROR(IF([2]对账明细接口!$S5=0,"",[2]对账明细接口!$S5),"")</f>
      </c>
      <c r="Y5" s="20">
        <f>""</f>
      </c>
      <c r="Z5" s="20">
        <f>""</f>
      </c>
      <c r="AA5" s="20">
        <f>""</f>
      </c>
      <c r="AB5" s="20">
        <f>""</f>
      </c>
    </row>
    <row r="6" s="127">
      <c r="A6" s="14" t="n">
        <v>6</v>
      </c>
      <c r="B6" s="211">
        <f>IFERROR(IF([2]对账明细接口!$B$6=0,"",[2]对账明细接口!$B$6),"")</f>
        <v>46266.0</v>
      </c>
      <c r="C6" s="16" t="str">
        <f>IFERROR(IF([2]对账明细接口!$C$6=0,"",[2]对账明细接口!$C$6),"")</f>
        <v>果然鲜</v>
      </c>
      <c r="D6" s="16" t="str">
        <f>IFERROR(IF([2]对账明细接口!$D$6=0,"",[2]对账明细接口!$D$6),"")</f>
        <v>包装物料－期初库存</v>
      </c>
      <c r="E6" s="16">
        <f>IFERROR(IF([2]对账明细接口!$E$6=0,"",[2]对账明细接口!$E$6),"")</f>
      </c>
      <c r="F6" s="16" t="str">
        <f>IFERROR(IF([2]对账明细接口!$F$6=0,"",[2]对账明细接口!$F$6),"")</f>
        <v>纸垫板</v>
      </c>
      <c r="G6" s="16" t="str">
        <f>IFERROR(IF([2]对账明细接口!$G$6=0,"",[2]对账明细接口!$G$6),"")</f>
        <v>*100张</v>
      </c>
      <c r="H6" s="176">
        <f>IFERROR(IF([2]对账明细接口!$H$6=0,"",[2]对账明细接口!$H$6),"")</f>
        <v>8700</v>
      </c>
      <c r="I6" s="16" t="str">
        <f>IFERROR(IF([2]对账明细接口!$I$6=0,"",[2]对账明细接口!$I$6),"")</f>
        <v>张</v>
      </c>
      <c r="J6" s="177">
        <f>IFERROR(IF([2]对账明细接口!$J$6=0,"",[2]对账明细接口!$J$6),"")</f>
      </c>
      <c r="K6" s="177">
        <f>IFERROR(IF([2]对账明细接口!$K$6=0,"",[2]对账明细接口!$K$6),"")</f>
      </c>
      <c r="L6" s="16">
        <f>IFERROR(IF([2]对账明细接口!$L$6=0,"",[2]对账明细接口!$L$6),"")</f>
      </c>
      <c r="M6" s="16">
        <f>IFERROR(IF([2]对账明细接口!$M$6=0,"",[2]对账明细接口!$M$6),"")</f>
      </c>
      <c r="N6" s="19">
        <f>IF($C6="",0,1)</f>
        <v>1</v>
      </c>
      <c r="O6" s="19">
        <f>N(O5)+$N6</f>
        <v>3</v>
      </c>
      <c r="Q6" s="22" t="str">
        <f>IF($R$4=1,"✔ 链接正常，已自动取到 "&amp;$R$1&amp;" 笔业务。","★★ 取不到《02_物料与周转物台账模板.xlsx》的数据。可能是：① 打开本文件时没点【更新】；② 那个文件被改名或挪走了。修复：菜单【数据】→【编辑链接】→先点【立即更新值】；还取不到数就点【更改源】重新指向《02_物料与周转物台账模板.xlsx》。注意：本册只是查询工具，取不到数就是空的，不会算错账，放心。")</f>
        <v>✔ 链接正常，已自动取到 272 笔业务。</v>
      </c>
      <c r="S6" s="20">
        <f>IFERROR(IF([2]对账明细接口!$N6=0,"",[2]对账明细接口!$N6),"")</f>
      </c>
      <c r="T6" s="212">
        <f>IFERROR(IF([2]对账明细接口!$O6=0,"",[2]对账明细接口!$O6),"")</f>
      </c>
      <c r="U6" s="212">
        <f>IFERROR(IF([2]对账明细接口!$P6=0,"",[2]对账明细接口!$P6),"")</f>
      </c>
      <c r="V6" s="212">
        <f>IFERROR(IF([2]对账明细接口!$Q6=0,"",[2]对账明细接口!$Q6),"")</f>
      </c>
      <c r="W6" s="20">
        <f>IFERROR(IF([2]对账明细接口!$R6=0,"",[2]对账明细接口!$R6),"")</f>
      </c>
      <c r="X6" s="20">
        <f>IFERROR(IF([2]对账明细接口!$S6=0,"",[2]对账明细接口!$S6),"")</f>
      </c>
      <c r="Y6" s="20">
        <f>""</f>
      </c>
      <c r="Z6" s="20">
        <f>""</f>
      </c>
      <c r="AA6" s="20">
        <f>""</f>
      </c>
      <c r="AB6" s="20">
        <f>""</f>
      </c>
    </row>
    <row r="7" s="127">
      <c r="A7" s="14" t="n">
        <v>7</v>
      </c>
      <c r="B7" s="211">
        <f>IFERROR(IF([2]对账明细接口!$B$7=0,"",[2]对账明细接口!$B$7),"")</f>
        <v>46266.0</v>
      </c>
      <c r="C7" s="16" t="str">
        <f>IFERROR(IF([2]对账明细接口!$C$7=0,"",[2]对账明细接口!$C$7),"")</f>
        <v>果然鲜</v>
      </c>
      <c r="D7" s="16" t="str">
        <f>IFERROR(IF([2]对账明细接口!$D$7=0,"",[2]对账明细接口!$D$7),"")</f>
        <v>包装物料－期初库存</v>
      </c>
      <c r="E7" s="16">
        <f>IFERROR(IF([2]对账明细接口!$E$7=0,"",[2]对账明细接口!$E$7),"")</f>
      </c>
      <c r="F7" s="16" t="str">
        <f>IFERROR(IF([2]对账明细接口!$F$7=0,"",[2]对账明细接口!$F$7),"")</f>
        <v>香梨纸</v>
      </c>
      <c r="G7" s="16" t="str">
        <f>IFERROR(IF([2]对账明细接口!$G$7=0,"",[2]对账明细接口!$G$7),"")</f>
        <v>*捆</v>
      </c>
      <c r="H7" s="176">
        <f>IFERROR(IF([2]对账明细接口!$H$7=0,"",[2]对账明细接口!$H$7),"")</f>
        <v>48</v>
      </c>
      <c r="I7" s="16" t="str">
        <f>IFERROR(IF([2]对账明细接口!$I$7=0,"",[2]对账明细接口!$I$7),"")</f>
        <v>捆</v>
      </c>
      <c r="J7" s="177">
        <f>IFERROR(IF([2]对账明细接口!$J$7=0,"",[2]对账明细接口!$J$7),"")</f>
      </c>
      <c r="K7" s="177">
        <f>IFERROR(IF([2]对账明细接口!$K$7=0,"",[2]对账明细接口!$K$7),"")</f>
      </c>
      <c r="L7" s="16">
        <f>IFERROR(IF([2]对账明细接口!$L$7=0,"",[2]对账明细接口!$L$7),"")</f>
      </c>
      <c r="M7" s="16">
        <f>IFERROR(IF([2]对账明细接口!$M$7=0,"",[2]对账明细接口!$M$7),"")</f>
      </c>
      <c r="N7" s="19">
        <f>IF($C7="",0,1)</f>
        <v>1</v>
      </c>
      <c r="O7" s="19">
        <f>N(O6)+$N7</f>
        <v>4</v>
      </c>
      <c r="S7" s="20">
        <f>IFERROR(IF([2]对账明细接口!$N7=0,"",[2]对账明细接口!$N7),"")</f>
      </c>
      <c r="T7" s="212">
        <f>IFERROR(IF([2]对账明细接口!$O7=0,"",[2]对账明细接口!$O7),"")</f>
      </c>
      <c r="U7" s="212">
        <f>IFERROR(IF([2]对账明细接口!$P7=0,"",[2]对账明细接口!$P7),"")</f>
      </c>
      <c r="V7" s="212">
        <f>IFERROR(IF([2]对账明细接口!$Q7=0,"",[2]对账明细接口!$Q7),"")</f>
      </c>
      <c r="W7" s="20">
        <f>IFERROR(IF([2]对账明细接口!$R7=0,"",[2]对账明细接口!$R7),"")</f>
      </c>
      <c r="X7" s="20">
        <f>IFERROR(IF([2]对账明细接口!$S7=0,"",[2]对账明细接口!$S7),"")</f>
      </c>
      <c r="Y7" s="20">
        <f>""</f>
      </c>
      <c r="Z7" s="20">
        <f>""</f>
      </c>
      <c r="AA7" s="20">
        <f>""</f>
      </c>
      <c r="AB7" s="20">
        <f>""</f>
      </c>
    </row>
    <row r="8" s="127">
      <c r="A8" s="14" t="n">
        <v>8</v>
      </c>
      <c r="B8" s="211">
        <f>IFERROR(IF([2]对账明细接口!$B$8=0,"",[2]对账明细接口!$B$8),"")</f>
        <v>46266.0</v>
      </c>
      <c r="C8" s="16" t="str">
        <f>IFERROR(IF([2]对账明细接口!$C$8=0,"",[2]对账明细接口!$C$8),"")</f>
        <v>果然鲜</v>
      </c>
      <c r="D8" s="16" t="str">
        <f>IFERROR(IF([2]对账明细接口!$D$8=0,"",[2]对账明细接口!$D$8),"")</f>
        <v>包装物料－期初库存</v>
      </c>
      <c r="E8" s="16">
        <f>IFERROR(IF([2]对账明细接口!$E$8=0,"",[2]对账明细接口!$E$8),"")</f>
      </c>
      <c r="F8" s="16" t="str">
        <f>IFERROR(IF([2]对账明细接口!$F$8=0,"",[2]对账明细接口!$F$8),"")</f>
        <v>冷煤/氟利昂</v>
      </c>
      <c r="G8" s="16" t="str">
        <f>IFERROR(IF([2]对账明细接口!$G$8=0,"",[2]对账明细接口!$G$8),"")</f>
        <v>*瓶</v>
      </c>
      <c r="H8" s="176">
        <f>IFERROR(IF([2]对账明细接口!$H$8=0,"",[2]对账明细接口!$H$8),"")</f>
        <v>23</v>
      </c>
      <c r="I8" s="16" t="str">
        <f>IFERROR(IF([2]对账明细接口!$I$8=0,"",[2]对账明细接口!$I$8),"")</f>
        <v>瓶</v>
      </c>
      <c r="J8" s="177">
        <f>IFERROR(IF([2]对账明细接口!$J$8=0,"",[2]对账明细接口!$J$8),"")</f>
      </c>
      <c r="K8" s="177">
        <f>IFERROR(IF([2]对账明细接口!$K$8=0,"",[2]对账明细接口!$K$8),"")</f>
      </c>
      <c r="L8" s="16">
        <f>IFERROR(IF([2]对账明细接口!$L$8=0,"",[2]对账明细接口!$L$8),"")</f>
      </c>
      <c r="M8" s="16">
        <f>IFERROR(IF([2]对账明细接口!$M$8=0,"",[2]对账明细接口!$M$8),"")</f>
      </c>
      <c r="N8" s="19">
        <f>IF($C8="",0,1)</f>
        <v>1</v>
      </c>
      <c r="O8" s="19">
        <f>N(O7)+$N8</f>
        <v>5</v>
      </c>
      <c r="S8" s="20">
        <f>IFERROR(IF([2]对账明细接口!$N8=0,"",[2]对账明细接口!$N8),"")</f>
      </c>
      <c r="T8" s="212">
        <f>IFERROR(IF([2]对账明细接口!$O8=0,"",[2]对账明细接口!$O8),"")</f>
      </c>
      <c r="U8" s="212">
        <f>IFERROR(IF([2]对账明细接口!$P8=0,"",[2]对账明细接口!$P8),"")</f>
      </c>
      <c r="V8" s="212">
        <f>IFERROR(IF([2]对账明细接口!$Q8=0,"",[2]对账明细接口!$Q8),"")</f>
      </c>
      <c r="W8" s="20">
        <f>IFERROR(IF([2]对账明细接口!$R8=0,"",[2]对账明细接口!$R8),"")</f>
      </c>
      <c r="X8" s="20">
        <f>IFERROR(IF([2]对账明细接口!$S8=0,"",[2]对账明细接口!$S8),"")</f>
      </c>
      <c r="Y8" s="20">
        <f>""</f>
      </c>
      <c r="Z8" s="20">
        <f>""</f>
      </c>
      <c r="AA8" s="20">
        <f>""</f>
      </c>
      <c r="AB8" s="20">
        <f>""</f>
      </c>
    </row>
    <row r="9" s="127">
      <c r="A9" s="14" t="n">
        <v>9</v>
      </c>
      <c r="B9" s="211">
        <f>IFERROR(IF([2]对账明细接口!$B$9=0,"",[2]对账明细接口!$B$9),"")</f>
        <v>46266.0</v>
      </c>
      <c r="C9" s="16" t="str">
        <f>IFERROR(IF([2]对账明细接口!$C$9=0,"",[2]对账明细接口!$C$9),"")</f>
        <v>果然鲜</v>
      </c>
      <c r="D9" s="16" t="str">
        <f>IFERROR(IF([2]对账明细接口!$D$9=0,"",[2]对账明细接口!$D$9),"")</f>
        <v>包装物料－期初库存</v>
      </c>
      <c r="E9" s="16">
        <f>IFERROR(IF([2]对账明细接口!$E$9=0,"",[2]对账明细接口!$E$9),"")</f>
      </c>
      <c r="F9" s="16" t="str">
        <f>IFERROR(IF([2]对账明细接口!$F$9=0,"",[2]对账明细接口!$F$9),"")</f>
        <v>胶带</v>
      </c>
      <c r="G9" s="16" t="str">
        <f>IFERROR(IF([2]对账明细接口!$G$9=0,"",[2]对账明细接口!$G$9),"")</f>
        <v>*30卷</v>
      </c>
      <c r="H9" s="176">
        <f>IFERROR(IF([2]对账明细接口!$H$9=0,"",[2]对账明细接口!$H$9),"")</f>
        <v>2</v>
      </c>
      <c r="I9" s="16" t="str">
        <f>IFERROR(IF([2]对账明细接口!$I$9=0,"",[2]对账明细接口!$I$9),"")</f>
        <v>卷</v>
      </c>
      <c r="J9" s="177">
        <f>IFERROR(IF([2]对账明细接口!$J$9=0,"",[2]对账明细接口!$J$9),"")</f>
      </c>
      <c r="K9" s="177">
        <f>IFERROR(IF([2]对账明细接口!$K$9=0,"",[2]对账明细接口!$K$9),"")</f>
      </c>
      <c r="L9" s="16">
        <f>IFERROR(IF([2]对账明细接口!$L$9=0,"",[2]对账明细接口!$L$9),"")</f>
      </c>
      <c r="M9" s="16">
        <f>IFERROR(IF([2]对账明细接口!$M$9=0,"",[2]对账明细接口!$M$9),"")</f>
      </c>
      <c r="N9" s="19">
        <f>IF($C9="",0,1)</f>
        <v>1</v>
      </c>
      <c r="O9" s="19">
        <f>N(O8)+$N9</f>
        <v>6</v>
      </c>
      <c r="S9" s="20">
        <f>IFERROR(IF([2]对账明细接口!$N9=0,"",[2]对账明细接口!$N9),"")</f>
      </c>
      <c r="T9" s="212">
        <f>IFERROR(IF([2]对账明细接口!$O9=0,"",[2]对账明细接口!$O9),"")</f>
      </c>
      <c r="U9" s="212">
        <f>IFERROR(IF([2]对账明细接口!$P9=0,"",[2]对账明细接口!$P9),"")</f>
      </c>
      <c r="V9" s="212">
        <f>IFERROR(IF([2]对账明细接口!$Q9=0,"",[2]对账明细接口!$Q9),"")</f>
      </c>
      <c r="W9" s="20">
        <f>IFERROR(IF([2]对账明细接口!$R9=0,"",[2]对账明细接口!$R9),"")</f>
      </c>
      <c r="X9" s="20">
        <f>IFERROR(IF([2]对账明细接口!$S9=0,"",[2]对账明细接口!$S9),"")</f>
      </c>
      <c r="Y9" s="20">
        <f>""</f>
      </c>
      <c r="Z9" s="20">
        <f>""</f>
      </c>
      <c r="AA9" s="20">
        <f>""</f>
      </c>
      <c r="AB9" s="20">
        <f>""</f>
      </c>
    </row>
    <row r="10" s="127">
      <c r="A10" s="14" t="n">
        <v>10</v>
      </c>
      <c r="B10" s="211">
        <f>IFERROR(IF([2]对账明细接口!$B$10=0,"",[2]对账明细接口!$B$10),"")</f>
        <v>46266.0</v>
      </c>
      <c r="C10" s="16" t="str">
        <f>IFERROR(IF([2]对账明细接口!$C$10=0,"",[2]对账明细接口!$C$10),"")</f>
        <v>新顺发泡网</v>
      </c>
      <c r="D10" s="16" t="str">
        <f>IFERROR(IF([2]对账明细接口!$D$10=0,"",[2]对账明细接口!$D$10),"")</f>
        <v>包装物料－采购入库</v>
      </c>
      <c r="E10" s="16" t="str">
        <f>IFERROR(IF([2]对账明细接口!$E$10=0,"",[2]对账明细接口!$E$10),"")</f>
        <v>NO:0000743</v>
      </c>
      <c r="F10" s="16" t="str">
        <f>IFERROR(IF([2]对账明细接口!$F$10=0,"",[2]对账明细接口!$F$10),"")</f>
        <v>香梨网</v>
      </c>
      <c r="G10" s="16" t="str">
        <f>IFERROR(IF([2]对账明细接口!$G$10=0,"",[2]对账明细接口!$G$10),"")</f>
        <v>*包</v>
      </c>
      <c r="H10" s="176">
        <f>IFERROR(IF([2]对账明细接口!$H$10=0,"",[2]对账明细接口!$H$10),"")</f>
        <v>644</v>
      </c>
      <c r="I10" s="16" t="str">
        <f>IFERROR(IF([2]对账明细接口!$I$10=0,"",[2]对账明细接口!$I$10),"")</f>
        <v>包</v>
      </c>
      <c r="J10" s="177">
        <f>IFERROR(IF([2]对账明细接口!$J$10=0,"",[2]对账明细接口!$J$10),"")</f>
      </c>
      <c r="K10" s="177">
        <f>IFERROR(IF([2]对账明细接口!$K$10=0,"",[2]对账明细接口!$K$10),"")</f>
        <v>23828</v>
      </c>
      <c r="L10" s="16" t="str">
        <f>IFERROR(IF([2]对账明细接口!$L$10=0,"",[2]对账明细接口!$L$10),"")</f>
        <v>已付款</v>
      </c>
      <c r="M10" s="16" t="str">
        <f>IFERROR(IF([2]对账明细接口!$M$10=0,"",[2]对账明细接口!$M$10),"")</f>
        <v>12#</v>
      </c>
      <c r="N10" s="19">
        <f>IF($C10="",0,1)</f>
        <v>1</v>
      </c>
      <c r="O10" s="19">
        <f>N(O9)+$N10</f>
        <v>7</v>
      </c>
      <c r="S10" s="20">
        <f>IFERROR(IF([2]对账明细接口!$N10=0,"",[2]对账明细接口!$N10),"")</f>
      </c>
      <c r="T10" s="212">
        <f>IFERROR(IF([2]对账明细接口!$O10=0,"",[2]对账明细接口!$O10),"")</f>
      </c>
      <c r="U10" s="212">
        <f>IFERROR(IF([2]对账明细接口!$P10=0,"",[2]对账明细接口!$P10),"")</f>
      </c>
      <c r="V10" s="212">
        <f>IFERROR(IF([2]对账明细接口!$Q10=0,"",[2]对账明细接口!$Q10),"")</f>
      </c>
      <c r="W10" s="20" t="str">
        <f>IFERROR(IF([2]对账明细接口!$R10=0,"",[2]对账明细接口!$R10),"")</f>
        <v>新Q*48887</v>
      </c>
      <c r="X10" s="20">
        <f>IFERROR(IF([2]对账明细接口!$S10=0,"",[2]对账明细接口!$S10),"")</f>
      </c>
      <c r="Y10" s="20">
        <f>""</f>
      </c>
      <c r="Z10" s="20">
        <f>""</f>
      </c>
      <c r="AA10" s="20">
        <f>""</f>
      </c>
      <c r="AB10" s="20">
        <f>""</f>
      </c>
    </row>
    <row r="11" s="127">
      <c r="A11" s="14" t="n">
        <v>11</v>
      </c>
      <c r="B11" s="211">
        <f>IFERROR(IF([2]对账明细接口!$B$11=0,"",[2]对账明细接口!$B$11),"")</f>
        <v>46267.0</v>
      </c>
      <c r="C11" s="16" t="str">
        <f>IFERROR(IF([2]对账明细接口!$C$11=0,"",[2]对账明细接口!$C$11),"")</f>
        <v>吐尔洪</v>
      </c>
      <c r="D11" s="16" t="str">
        <f>IFERROR(IF([2]对账明细接口!$D$11=0,"",[2]对账明细接口!$D$11),"")</f>
        <v>包装物料－领用出库</v>
      </c>
      <c r="E11" s="16" t="str">
        <f>IFERROR(IF([2]对账明细接口!$E$11=0,"",[2]对账明细接口!$E$11),"")</f>
        <v>NO:0001067</v>
      </c>
      <c r="F11" s="16" t="str">
        <f>IFERROR(IF([2]对账明细接口!$F$11=0,"",[2]对账明细接口!$F$11),"")</f>
        <v>香梨网</v>
      </c>
      <c r="G11" s="16" t="str">
        <f>IFERROR(IF([2]对账明细接口!$G$11=0,"",[2]对账明细接口!$G$11),"")</f>
        <v>*包</v>
      </c>
      <c r="H11" s="176">
        <f>IFERROR(IF([2]对账明细接口!$H$11=0,"",[2]对账明细接口!$H$11),"")</f>
        <v>24</v>
      </c>
      <c r="I11" s="16" t="str">
        <f>IFERROR(IF([2]对账明细接口!$I$11=0,"",[2]对账明细接口!$I$11),"")</f>
        <v>包</v>
      </c>
      <c r="J11" s="177">
        <f>IFERROR(IF([2]对账明细接口!$J$11=0,"",[2]对账明细接口!$J$11),"")</f>
      </c>
      <c r="K11" s="177">
        <f>IFERROR(IF([2]对账明细接口!$K$11=0,"",[2]对账明细接口!$K$11),"")</f>
        <v>1080</v>
      </c>
      <c r="L11" s="16" t="str">
        <f>IFERROR(IF([2]对账明细接口!$L$11=0,"",[2]对账明细接口!$L$11),"")</f>
        <v>未付款</v>
      </c>
      <c r="M11" s="16">
        <f>IFERROR(IF([2]对账明细接口!$M$11=0,"",[2]对账明细接口!$M$11),"")</f>
      </c>
      <c r="N11" s="19">
        <f>IF($C11="",0,1)</f>
        <v>1</v>
      </c>
      <c r="O11" s="19">
        <f>N(O10)+$N11</f>
        <v>8</v>
      </c>
      <c r="S11" s="20">
        <f>IFERROR(IF([2]对账明细接口!$N11=0,"",[2]对账明细接口!$N11),"")</f>
      </c>
      <c r="T11" s="212">
        <f>IFERROR(IF([2]对账明细接口!$O11=0,"",[2]对账明细接口!$O11),"")</f>
      </c>
      <c r="U11" s="212">
        <f>IFERROR(IF([2]对账明细接口!$P11=0,"",[2]对账明细接口!$P11),"")</f>
      </c>
      <c r="V11" s="212">
        <f>IFERROR(IF([2]对账明细接口!$Q11=0,"",[2]对账明细接口!$Q11),"")</f>
      </c>
      <c r="W11" s="20" t="str">
        <f>IFERROR(IF([2]对账明细接口!$R11=0,"",[2]对账明细接口!$R11),"")</f>
        <v>新N*X8S48</v>
      </c>
      <c r="X11" s="20">
        <f>IFERROR(IF([2]对账明细接口!$S11=0,"",[2]对账明细接口!$S11),"")</f>
      </c>
      <c r="Y11" s="20">
        <f>""</f>
      </c>
      <c r="Z11" s="20">
        <f>""</f>
      </c>
      <c r="AA11" s="20">
        <f>""</f>
      </c>
      <c r="AB11" s="20">
        <f>""</f>
      </c>
    </row>
    <row r="12" s="127">
      <c r="A12" s="14" t="n">
        <v>12</v>
      </c>
      <c r="B12" s="211">
        <f>IFERROR(IF([2]对账明细接口!$B$12=0,"",[2]对账明细接口!$B$12),"")</f>
        <v>46268.0</v>
      </c>
      <c r="C12" s="16" t="str">
        <f>IFERROR(IF([2]对账明细接口!$C$12=0,"",[2]对账明细接口!$C$12),"")</f>
        <v>热合曼</v>
      </c>
      <c r="D12" s="16" t="str">
        <f>IFERROR(IF([2]对账明细接口!$D$12=0,"",[2]对账明细接口!$D$12),"")</f>
        <v>包装物料－领用出库</v>
      </c>
      <c r="E12" s="16" t="str">
        <f>IFERROR(IF([2]对账明细接口!$E$12=0,"",[2]对账明细接口!$E$12),"")</f>
        <v>NO:0001069</v>
      </c>
      <c r="F12" s="16" t="str">
        <f>IFERROR(IF([2]对账明细接口!$F$12=0,"",[2]对账明细接口!$F$12),"")</f>
        <v>香梨网</v>
      </c>
      <c r="G12" s="16" t="str">
        <f>IFERROR(IF([2]对账明细接口!$G$12=0,"",[2]对账明细接口!$G$12),"")</f>
        <v>*包</v>
      </c>
      <c r="H12" s="176">
        <f>IFERROR(IF([2]对账明细接口!$H$12=0,"",[2]对账明细接口!$H$12),"")</f>
        <v>44</v>
      </c>
      <c r="I12" s="16" t="str">
        <f>IFERROR(IF([2]对账明细接口!$I$12=0,"",[2]对账明细接口!$I$12),"")</f>
        <v>包</v>
      </c>
      <c r="J12" s="177">
        <f>IFERROR(IF([2]对账明细接口!$J$12=0,"",[2]对账明细接口!$J$12),"")</f>
      </c>
      <c r="K12" s="177">
        <f>IFERROR(IF([2]对账明细接口!$K$12=0,"",[2]对账明细接口!$K$12),"")</f>
        <v>1980</v>
      </c>
      <c r="L12" s="16" t="str">
        <f>IFERROR(IF([2]对账明细接口!$L$12=0,"",[2]对账明细接口!$L$12),"")</f>
        <v>未付款</v>
      </c>
      <c r="M12" s="16">
        <f>IFERROR(IF([2]对账明细接口!$M$12=0,"",[2]对账明细接口!$M$12),"")</f>
      </c>
      <c r="N12" s="19">
        <f>IF($C12="",0,1)</f>
        <v>1</v>
      </c>
      <c r="O12" s="19">
        <f>N(O11)+$N12</f>
        <v>9</v>
      </c>
      <c r="S12" s="20">
        <f>IFERROR(IF([2]对账明细接口!$N12=0,"",[2]对账明细接口!$N12),"")</f>
      </c>
      <c r="T12" s="212">
        <f>IFERROR(IF([2]对账明细接口!$O12=0,"",[2]对账明细接口!$O12),"")</f>
      </c>
      <c r="U12" s="212">
        <f>IFERROR(IF([2]对账明细接口!$P12=0,"",[2]对账明细接口!$P12),"")</f>
      </c>
      <c r="V12" s="212">
        <f>IFERROR(IF([2]对账明细接口!$Q12=0,"",[2]对账明细接口!$Q12),"")</f>
      </c>
      <c r="W12" s="20" t="str">
        <f>IFERROR(IF([2]对账明细接口!$R12=0,"",[2]对账明细接口!$R12),"")</f>
        <v>新A*G0544</v>
      </c>
      <c r="X12" s="20">
        <f>IFERROR(IF([2]对账明细接口!$S12=0,"",[2]对账明细接口!$S12),"")</f>
      </c>
      <c r="Y12" s="20">
        <f>""</f>
      </c>
      <c r="Z12" s="20">
        <f>""</f>
      </c>
      <c r="AA12" s="20">
        <f>""</f>
      </c>
      <c r="AB12" s="20">
        <f>""</f>
      </c>
    </row>
    <row r="13" s="127">
      <c r="A13" s="14" t="n">
        <v>13</v>
      </c>
      <c r="B13" s="211">
        <f>IFERROR(IF([2]对账明细接口!$B$13=0,"",[2]对账明细接口!$B$13),"")</f>
        <v>46268.0</v>
      </c>
      <c r="C13" s="16" t="str">
        <f>IFERROR(IF([2]对账明细接口!$C$13=0,"",[2]对账明细接口!$C$13),"")</f>
        <v>麦麦提</v>
      </c>
      <c r="D13" s="16" t="str">
        <f>IFERROR(IF([2]对账明细接口!$D$13=0,"",[2]对账明细接口!$D$13),"")</f>
        <v>包装物料－领用出库</v>
      </c>
      <c r="E13" s="16" t="str">
        <f>IFERROR(IF([2]对账明细接口!$E$13=0,"",[2]对账明细接口!$E$13),"")</f>
        <v>NO:0001070</v>
      </c>
      <c r="F13" s="16" t="str">
        <f>IFERROR(IF([2]对账明细接口!$F$13=0,"",[2]对账明细接口!$F$13),"")</f>
        <v>香梨纸</v>
      </c>
      <c r="G13" s="16" t="str">
        <f>IFERROR(IF([2]对账明细接口!$G$13=0,"",[2]对账明细接口!$G$13),"")</f>
        <v>*捆</v>
      </c>
      <c r="H13" s="176">
        <f>IFERROR(IF([2]对账明细接口!$H$13=0,"",[2]对账明细接口!$H$13),"")</f>
        <v>2</v>
      </c>
      <c r="I13" s="16" t="str">
        <f>IFERROR(IF([2]对账明细接口!$I$13=0,"",[2]对账明细接口!$I$13),"")</f>
        <v>捆</v>
      </c>
      <c r="J13" s="177">
        <f>IFERROR(IF([2]对账明细接口!$J$13=0,"",[2]对账明细接口!$J$13),"")</f>
      </c>
      <c r="K13" s="177">
        <f>IFERROR(IF([2]对账明细接口!$K$13=0,"",[2]对账明细接口!$K$13),"")</f>
        <v>96</v>
      </c>
      <c r="L13" s="16" t="str">
        <f>IFERROR(IF([2]对账明细接口!$L$13=0,"",[2]对账明细接口!$L$13),"")</f>
        <v>已收讫</v>
      </c>
      <c r="M13" s="16">
        <f>IFERROR(IF([2]对账明细接口!$M$13=0,"",[2]对账明细接口!$M$13),"")</f>
      </c>
      <c r="N13" s="19">
        <f>IF($C13="",0,1)</f>
        <v>1</v>
      </c>
      <c r="O13" s="19">
        <f>N(O12)+$N13</f>
        <v>10</v>
      </c>
      <c r="S13" s="20">
        <f>IFERROR(IF([2]对账明细接口!$N13=0,"",[2]对账明细接口!$N13),"")</f>
      </c>
      <c r="T13" s="212">
        <f>IFERROR(IF([2]对账明细接口!$O13=0,"",[2]对账明细接口!$O13),"")</f>
      </c>
      <c r="U13" s="212">
        <f>IFERROR(IF([2]对账明细接口!$P13=0,"",[2]对账明细接口!$P13),"")</f>
      </c>
      <c r="V13" s="212">
        <f>IFERROR(IF([2]对账明细接口!$Q13=0,"",[2]对账明细接口!$Q13),"")</f>
      </c>
      <c r="W13" s="20" t="str">
        <f>IFERROR(IF([2]对账明细接口!$R13=0,"",[2]对账明细接口!$R13),"")</f>
        <v>自提</v>
      </c>
      <c r="X13" s="20">
        <f>IFERROR(IF([2]对账明细接口!$S13=0,"",[2]对账明细接口!$S13),"")</f>
      </c>
      <c r="Y13" s="20">
        <f>""</f>
      </c>
      <c r="Z13" s="20">
        <f>""</f>
      </c>
      <c r="AA13" s="20">
        <f>""</f>
      </c>
      <c r="AB13" s="20">
        <f>""</f>
      </c>
    </row>
    <row r="14" s="127">
      <c r="A14" s="14" t="n">
        <v>14</v>
      </c>
      <c r="B14" s="211">
        <f>IFERROR(IF([2]对账明细接口!$B$14=0,"",[2]对账明细接口!$B$14),"")</f>
        <v>46268.0</v>
      </c>
      <c r="C14" s="16" t="str">
        <f>IFERROR(IF([2]对账明细接口!$C$14=0,"",[2]对账明细接口!$C$14),"")</f>
        <v>热合曼</v>
      </c>
      <c r="D14" s="16" t="str">
        <f>IFERROR(IF([2]对账明细接口!$D$14=0,"",[2]对账明细接口!$D$14),"")</f>
        <v>包装物料－领用出库</v>
      </c>
      <c r="E14" s="16" t="str">
        <f>IFERROR(IF([2]对账明细接口!$E$14=0,"",[2]对账明细接口!$E$14),"")</f>
        <v>NO:0001071</v>
      </c>
      <c r="F14" s="16" t="str">
        <f>IFERROR(IF([2]对账明细接口!$F$14=0,"",[2]对账明细接口!$F$14),"")</f>
        <v>香梨纸</v>
      </c>
      <c r="G14" s="16" t="str">
        <f>IFERROR(IF([2]对账明细接口!$G$14=0,"",[2]对账明细接口!$G$14),"")</f>
        <v>*捆</v>
      </c>
      <c r="H14" s="176">
        <f>IFERROR(IF([2]对账明细接口!$H$14=0,"",[2]对账明细接口!$H$14),"")</f>
        <v>2</v>
      </c>
      <c r="I14" s="16" t="str">
        <f>IFERROR(IF([2]对账明细接口!$I$14=0,"",[2]对账明细接口!$I$14),"")</f>
        <v>捆</v>
      </c>
      <c r="J14" s="177">
        <f>IFERROR(IF([2]对账明细接口!$J$14=0,"",[2]对账明细接口!$J$14),"")</f>
      </c>
      <c r="K14" s="177">
        <f>IFERROR(IF([2]对账明细接口!$K$14=0,"",[2]对账明细接口!$K$14),"")</f>
        <v>96</v>
      </c>
      <c r="L14" s="16" t="str">
        <f>IFERROR(IF([2]对账明细接口!$L$14=0,"",[2]对账明细接口!$L$14),"")</f>
        <v>已收讫</v>
      </c>
      <c r="M14" s="16">
        <f>IFERROR(IF([2]对账明细接口!$M$14=0,"",[2]对账明细接口!$M$14),"")</f>
      </c>
      <c r="N14" s="19">
        <f>IF($C14="",0,1)</f>
        <v>1</v>
      </c>
      <c r="O14" s="19">
        <f>N(O13)+$N14</f>
        <v>11</v>
      </c>
      <c r="S14" s="20">
        <f>IFERROR(IF([2]对账明细接口!$N14=0,"",[2]对账明细接口!$N14),"")</f>
      </c>
      <c r="T14" s="212">
        <f>IFERROR(IF([2]对账明细接口!$O14=0,"",[2]对账明细接口!$O14),"")</f>
      </c>
      <c r="U14" s="212">
        <f>IFERROR(IF([2]对账明细接口!$P14=0,"",[2]对账明细接口!$P14),"")</f>
      </c>
      <c r="V14" s="212">
        <f>IFERROR(IF([2]对账明细接口!$Q14=0,"",[2]对账明细接口!$Q14),"")</f>
      </c>
      <c r="W14" s="20" t="str">
        <f>IFERROR(IF([2]对账明细接口!$R14=0,"",[2]对账明细接口!$R14),"")</f>
        <v>自提</v>
      </c>
      <c r="X14" s="20">
        <f>IFERROR(IF([2]对账明细接口!$S14=0,"",[2]对账明细接口!$S14),"")</f>
      </c>
      <c r="Y14" s="20">
        <f>""</f>
      </c>
      <c r="Z14" s="20">
        <f>""</f>
      </c>
      <c r="AA14" s="20">
        <f>""</f>
      </c>
      <c r="AB14" s="20">
        <f>""</f>
      </c>
    </row>
    <row r="15" s="127">
      <c r="A15" s="14" t="n">
        <v>15</v>
      </c>
      <c r="B15" s="211">
        <f>IFERROR(IF([2]对账明细接口!$B$15=0,"",[2]对账明细接口!$B$15),"")</f>
        <v>46268.0</v>
      </c>
      <c r="C15" s="16" t="str">
        <f>IFERROR(IF([2]对账明细接口!$C$15=0,"",[2]对账明细接口!$C$15),"")</f>
        <v>麦麦提</v>
      </c>
      <c r="D15" s="16" t="str">
        <f>IFERROR(IF([2]对账明细接口!$D$15=0,"",[2]对账明细接口!$D$15),"")</f>
        <v>包装物料－领用出库</v>
      </c>
      <c r="E15" s="16" t="str">
        <f>IFERROR(IF([2]对账明细接口!$E$15=0,"",[2]对账明细接口!$E$15),"")</f>
        <v>NO:0001074</v>
      </c>
      <c r="F15" s="16" t="str">
        <f>IFERROR(IF([2]对账明细接口!$F$15=0,"",[2]对账明细接口!$F$15),"")</f>
        <v>香梨网</v>
      </c>
      <c r="G15" s="16" t="str">
        <f>IFERROR(IF([2]对账明细接口!$G$15=0,"",[2]对账明细接口!$G$15),"")</f>
        <v>*包</v>
      </c>
      <c r="H15" s="176">
        <f>IFERROR(IF([2]对账明细接口!$H$15=0,"",[2]对账明细接口!$H$15),"")</f>
        <v>44</v>
      </c>
      <c r="I15" s="16" t="str">
        <f>IFERROR(IF([2]对账明细接口!$I$15=0,"",[2]对账明细接口!$I$15),"")</f>
        <v>包</v>
      </c>
      <c r="J15" s="177">
        <f>IFERROR(IF([2]对账明细接口!$J$15=0,"",[2]对账明细接口!$J$15),"")</f>
      </c>
      <c r="K15" s="177">
        <f>IFERROR(IF([2]对账明细接口!$K$15=0,"",[2]对账明细接口!$K$15),"")</f>
        <v>1980</v>
      </c>
      <c r="L15" s="16" t="str">
        <f>IFERROR(IF([2]对账明细接口!$L$15=0,"",[2]对账明细接口!$L$15),"")</f>
        <v>未付款</v>
      </c>
      <c r="M15" s="16">
        <f>IFERROR(IF([2]对账明细接口!$M$15=0,"",[2]对账明细接口!$M$15),"")</f>
      </c>
      <c r="N15" s="19">
        <f>IF($C15="",0,1)</f>
        <v>1</v>
      </c>
      <c r="O15" s="19">
        <f>N(O14)+$N15</f>
        <v>12</v>
      </c>
      <c r="S15" s="20">
        <f>IFERROR(IF([2]对账明细接口!$N15=0,"",[2]对账明细接口!$N15),"")</f>
      </c>
      <c r="T15" s="212">
        <f>IFERROR(IF([2]对账明细接口!$O15=0,"",[2]对账明细接口!$O15),"")</f>
      </c>
      <c r="U15" s="212">
        <f>IFERROR(IF([2]对账明细接口!$P15=0,"",[2]对账明细接口!$P15),"")</f>
      </c>
      <c r="V15" s="212">
        <f>IFERROR(IF([2]对账明细接口!$Q15=0,"",[2]对账明细接口!$Q15),"")</f>
      </c>
      <c r="W15" s="20" t="str">
        <f>IFERROR(IF([2]对账明细接口!$R15=0,"",[2]对账明细接口!$R15),"")</f>
        <v>新A*G0544</v>
      </c>
      <c r="X15" s="20">
        <f>IFERROR(IF([2]对账明细接口!$S15=0,"",[2]对账明细接口!$S15),"")</f>
      </c>
      <c r="Y15" s="20">
        <f>""</f>
      </c>
      <c r="Z15" s="20">
        <f>""</f>
      </c>
      <c r="AA15" s="20">
        <f>""</f>
      </c>
      <c r="AB15" s="20">
        <f>""</f>
      </c>
    </row>
    <row r="16" s="127">
      <c r="A16" s="14" t="n">
        <v>16</v>
      </c>
      <c r="B16" s="211">
        <f>IFERROR(IF([2]对账明细接口!$B$16=0,"",[2]对账明细接口!$B$16),"")</f>
        <v>46269.0</v>
      </c>
      <c r="C16" s="16" t="str">
        <f>IFERROR(IF([2]对账明细接口!$C$16=0,"",[2]对账明细接口!$C$16),"")</f>
        <v>荆建君</v>
      </c>
      <c r="D16" s="16" t="str">
        <f>IFERROR(IF([2]对账明细接口!$D$16=0,"",[2]对账明细接口!$D$16),"")</f>
        <v>包装物料－领用出库</v>
      </c>
      <c r="E16" s="16" t="str">
        <f>IFERROR(IF([2]对账明细接口!$E$16=0,"",[2]对账明细接口!$E$16),"")</f>
        <v>NO:0001079</v>
      </c>
      <c r="F16" s="16" t="str">
        <f>IFERROR(IF([2]对账明细接口!$F$16=0,"",[2]对账明细接口!$F$16),"")</f>
        <v>香梨网</v>
      </c>
      <c r="G16" s="16" t="str">
        <f>IFERROR(IF([2]对账明细接口!$G$16=0,"",[2]对账明细接口!$G$16),"")</f>
        <v>*包</v>
      </c>
      <c r="H16" s="176">
        <f>IFERROR(IF([2]对账明细接口!$H$16=0,"",[2]对账明细接口!$H$16),"")</f>
        <v>64</v>
      </c>
      <c r="I16" s="16" t="str">
        <f>IFERROR(IF([2]对账明细接口!$I$16=0,"",[2]对账明细接口!$I$16),"")</f>
        <v>包</v>
      </c>
      <c r="J16" s="177">
        <f>IFERROR(IF([2]对账明细接口!$J$16=0,"",[2]对账明细接口!$J$16),"")</f>
      </c>
      <c r="K16" s="177">
        <f>IFERROR(IF([2]对账明细接口!$K$16=0,"",[2]对账明细接口!$K$16),"")</f>
        <v>2880</v>
      </c>
      <c r="L16" s="16" t="str">
        <f>IFERROR(IF([2]对账明细接口!$L$16=0,"",[2]对账明细接口!$L$16),"")</f>
        <v>未付款</v>
      </c>
      <c r="M16" s="16">
        <f>IFERROR(IF([2]对账明细接口!$M$16=0,"",[2]对账明细接口!$M$16),"")</f>
      </c>
      <c r="N16" s="19">
        <f>IF($C16="",0,1)</f>
        <v>1</v>
      </c>
      <c r="O16" s="19">
        <f>N(O15)+$N16</f>
        <v>13</v>
      </c>
      <c r="S16" s="20">
        <f>IFERROR(IF([2]对账明细接口!$N16=0,"",[2]对账明细接口!$N16),"")</f>
      </c>
      <c r="T16" s="212">
        <f>IFERROR(IF([2]对账明细接口!$O16=0,"",[2]对账明细接口!$O16),"")</f>
      </c>
      <c r="U16" s="212">
        <f>IFERROR(IF([2]对账明细接口!$P16=0,"",[2]对账明细接口!$P16),"")</f>
      </c>
      <c r="V16" s="212">
        <f>IFERROR(IF([2]对账明细接口!$Q16=0,"",[2]对账明细接口!$Q16),"")</f>
      </c>
      <c r="W16" s="20" t="str">
        <f>IFERROR(IF([2]对账明细接口!$R16=0,"",[2]对账明细接口!$R16),"")</f>
        <v>豫A*2737K</v>
      </c>
      <c r="X16" s="20">
        <f>IFERROR(IF([2]对账明细接口!$S16=0,"",[2]对账明细接口!$S16),"")</f>
      </c>
      <c r="Y16" s="20">
        <f>""</f>
      </c>
      <c r="Z16" s="20">
        <f>""</f>
      </c>
      <c r="AA16" s="20">
        <f>""</f>
      </c>
      <c r="AB16" s="20">
        <f>""</f>
      </c>
    </row>
    <row r="17" s="127">
      <c r="A17" s="14" t="n">
        <v>17</v>
      </c>
      <c r="B17" s="211">
        <f>IFERROR(IF([2]对账明细接口!$B$17=0,"",[2]对账明细接口!$B$17),"")</f>
        <v>46269.0</v>
      </c>
      <c r="C17" s="16" t="str">
        <f>IFERROR(IF([2]对账明细接口!$C$17=0,"",[2]对账明细接口!$C$17),"")</f>
        <v>努尔敦</v>
      </c>
      <c r="D17" s="16" t="str">
        <f>IFERROR(IF([2]对账明细接口!$D$17=0,"",[2]对账明细接口!$D$17),"")</f>
        <v>包装物料－领用出库</v>
      </c>
      <c r="E17" s="16" t="str">
        <f>IFERROR(IF([2]对账明细接口!$E$17=0,"",[2]对账明细接口!$E$17),"")</f>
        <v>NO:0001080</v>
      </c>
      <c r="F17" s="16" t="str">
        <f>IFERROR(IF([2]对账明细接口!$F$17=0,"",[2]对账明细接口!$F$17),"")</f>
        <v>香梨网</v>
      </c>
      <c r="G17" s="16" t="str">
        <f>IFERROR(IF([2]对账明细接口!$G$17=0,"",[2]对账明细接口!$G$17),"")</f>
        <v>*包</v>
      </c>
      <c r="H17" s="176">
        <f>IFERROR(IF([2]对账明细接口!$H$17=0,"",[2]对账明细接口!$H$17),"")</f>
        <v>120</v>
      </c>
      <c r="I17" s="16" t="str">
        <f>IFERROR(IF([2]对账明细接口!$I$17=0,"",[2]对账明细接口!$I$17),"")</f>
        <v>包</v>
      </c>
      <c r="J17" s="177">
        <f>IFERROR(IF([2]对账明细接口!$J$17=0,"",[2]对账明细接口!$J$17),"")</f>
      </c>
      <c r="K17" s="177">
        <f>IFERROR(IF([2]对账明细接口!$K$17=0,"",[2]对账明细接口!$K$17),"")</f>
        <v>5400</v>
      </c>
      <c r="L17" s="16" t="str">
        <f>IFERROR(IF([2]对账明细接口!$L$17=0,"",[2]对账明细接口!$L$17),"")</f>
        <v>未付款</v>
      </c>
      <c r="M17" s="16">
        <f>IFERROR(IF([2]对账明细接口!$M$17=0,"",[2]对账明细接口!$M$17),"")</f>
      </c>
      <c r="N17" s="19">
        <f>IF($C17="",0,1)</f>
        <v>1</v>
      </c>
      <c r="O17" s="19">
        <f>N(O16)+$N17</f>
        <v>14</v>
      </c>
      <c r="S17" s="20">
        <f>IFERROR(IF([2]对账明细接口!$N17=0,"",[2]对账明细接口!$N17),"")</f>
      </c>
      <c r="T17" s="212">
        <f>IFERROR(IF([2]对账明细接口!$O17=0,"",[2]对账明细接口!$O17),"")</f>
      </c>
      <c r="U17" s="212">
        <f>IFERROR(IF([2]对账明细接口!$P17=0,"",[2]对账明细接口!$P17),"")</f>
      </c>
      <c r="V17" s="212">
        <f>IFERROR(IF([2]对账明细接口!$Q17=0,"",[2]对账明细接口!$Q17),"")</f>
      </c>
      <c r="W17" s="20" t="str">
        <f>IFERROR(IF([2]对账明细接口!$R17=0,"",[2]对账明细接口!$R17),"")</f>
        <v>新F*75240</v>
      </c>
      <c r="X17" s="20">
        <f>IFERROR(IF([2]对账明细接口!$S17=0,"",[2]对账明细接口!$S17),"")</f>
      </c>
      <c r="Y17" s="20">
        <f>""</f>
      </c>
      <c r="Z17" s="20">
        <f>""</f>
      </c>
      <c r="AA17" s="20">
        <f>""</f>
      </c>
      <c r="AB17" s="20">
        <f>""</f>
      </c>
    </row>
    <row r="18" s="127">
      <c r="A18" s="14" t="n">
        <v>18</v>
      </c>
      <c r="B18" s="211">
        <f>IFERROR(IF([2]对账明细接口!$B$18=0,"",[2]对账明细接口!$B$18),"")</f>
        <v>46270.0</v>
      </c>
      <c r="C18" s="16" t="str">
        <f>IFERROR(IF([2]对账明细接口!$C$18=0,"",[2]对账明细接口!$C$18),"")</f>
        <v>热合曼</v>
      </c>
      <c r="D18" s="16" t="str">
        <f>IFERROR(IF([2]对账明细接口!$D$18=0,"",[2]对账明细接口!$D$18),"")</f>
        <v>包装物料－领用出库</v>
      </c>
      <c r="E18" s="16" t="str">
        <f>IFERROR(IF([2]对账明细接口!$E$18=0,"",[2]对账明细接口!$E$18),"")</f>
        <v>NO:0001084</v>
      </c>
      <c r="F18" s="16" t="str">
        <f>IFERROR(IF([2]对账明细接口!$F$18=0,"",[2]对账明细接口!$F$18),"")</f>
        <v>香梨纸</v>
      </c>
      <c r="G18" s="16" t="str">
        <f>IFERROR(IF([2]对账明细接口!$G$18=0,"",[2]对账明细接口!$G$18),"")</f>
        <v>*捆</v>
      </c>
      <c r="H18" s="176">
        <f>IFERROR(IF([2]对账明细接口!$H$18=0,"",[2]对账明细接口!$H$18),"")</f>
        <v>10</v>
      </c>
      <c r="I18" s="16" t="str">
        <f>IFERROR(IF([2]对账明细接口!$I$18=0,"",[2]对账明细接口!$I$18),"")</f>
        <v>捆</v>
      </c>
      <c r="J18" s="177">
        <f>IFERROR(IF([2]对账明细接口!$J$18=0,"",[2]对账明细接口!$J$18),"")</f>
      </c>
      <c r="K18" s="177">
        <f>IFERROR(IF([2]对账明细接口!$K$18=0,"",[2]对账明细接口!$K$18),"")</f>
        <v>560</v>
      </c>
      <c r="L18" s="16" t="str">
        <f>IFERROR(IF([2]对账明细接口!$L$18=0,"",[2]对账明细接口!$L$18),"")</f>
        <v>未付款</v>
      </c>
      <c r="M18" s="16">
        <f>IFERROR(IF([2]对账明细接口!$M$18=0,"",[2]对账明细接口!$M$18),"")</f>
      </c>
      <c r="N18" s="19">
        <f>IF($C18="",0,1)</f>
        <v>1</v>
      </c>
      <c r="O18" s="19">
        <f>N(O17)+$N18</f>
        <v>15</v>
      </c>
      <c r="S18" s="20">
        <f>IFERROR(IF([2]对账明细接口!$N18=0,"",[2]对账明细接口!$N18),"")</f>
      </c>
      <c r="T18" s="212">
        <f>IFERROR(IF([2]对账明细接口!$O18=0,"",[2]对账明细接口!$O18),"")</f>
      </c>
      <c r="U18" s="212">
        <f>IFERROR(IF([2]对账明细接口!$P18=0,"",[2]对账明细接口!$P18),"")</f>
      </c>
      <c r="V18" s="212">
        <f>IFERROR(IF([2]对账明细接口!$Q18=0,"",[2]对账明细接口!$Q18),"")</f>
      </c>
      <c r="W18" s="20" t="str">
        <f>IFERROR(IF([2]对账明细接口!$R18=0,"",[2]对账明细接口!$R18),"")</f>
        <v>新N*FJ0676</v>
      </c>
      <c r="X18" s="20">
        <f>IFERROR(IF([2]对账明细接口!$S18=0,"",[2]对账明细接口!$S18),"")</f>
      </c>
      <c r="Y18" s="20">
        <f>""</f>
      </c>
      <c r="Z18" s="20">
        <f>""</f>
      </c>
      <c r="AA18" s="20">
        <f>""</f>
      </c>
      <c r="AB18" s="20">
        <f>""</f>
      </c>
    </row>
    <row r="19" s="127">
      <c r="A19" s="14" t="n">
        <v>19</v>
      </c>
      <c r="B19" s="211">
        <f>IFERROR(IF([2]对账明细接口!$B$19=0,"",[2]对账明细接口!$B$19),"")</f>
        <v>46272.0</v>
      </c>
      <c r="C19" s="16" t="str">
        <f>IFERROR(IF([2]对账明细接口!$C$19=0,"",[2]对账明细接口!$C$19),"")</f>
        <v>麦麦提</v>
      </c>
      <c r="D19" s="16" t="str">
        <f>IFERROR(IF([2]对账明细接口!$D$19=0,"",[2]对账明细接口!$D$19),"")</f>
        <v>包装物料－领用出库</v>
      </c>
      <c r="E19" s="16" t="str">
        <f>IFERROR(IF([2]对账明细接口!$E$19=0,"",[2]对账明细接口!$E$19),"")</f>
        <v>NO:0001089</v>
      </c>
      <c r="F19" s="16" t="str">
        <f>IFERROR(IF([2]对账明细接口!$F$19=0,"",[2]对账明细接口!$F$19),"")</f>
        <v>香梨网</v>
      </c>
      <c r="G19" s="16" t="str">
        <f>IFERROR(IF([2]对账明细接口!$G$19=0,"",[2]对账明细接口!$G$19),"")</f>
        <v>*包</v>
      </c>
      <c r="H19" s="176">
        <f>IFERROR(IF([2]对账明细接口!$H$19=0,"",[2]对账明细接口!$H$19),"")</f>
        <v>48</v>
      </c>
      <c r="I19" s="16" t="str">
        <f>IFERROR(IF([2]对账明细接口!$I$19=0,"",[2]对账明细接口!$I$19),"")</f>
        <v>包</v>
      </c>
      <c r="J19" s="177">
        <f>IFERROR(IF([2]对账明细接口!$J$19=0,"",[2]对账明细接口!$J$19),"")</f>
      </c>
      <c r="K19" s="177">
        <f>IFERROR(IF([2]对账明细接口!$K$19=0,"",[2]对账明细接口!$K$19),"")</f>
        <v>2160</v>
      </c>
      <c r="L19" s="16" t="str">
        <f>IFERROR(IF([2]对账明细接口!$L$19=0,"",[2]对账明细接口!$L$19),"")</f>
        <v>未付款</v>
      </c>
      <c r="M19" s="16">
        <f>IFERROR(IF([2]对账明细接口!$M$19=0,"",[2]对账明细接口!$M$19),"")</f>
      </c>
      <c r="N19" s="19">
        <f>IF($C19="",0,1)</f>
        <v>1</v>
      </c>
      <c r="O19" s="19">
        <f>N(O18)+$N19</f>
        <v>16</v>
      </c>
      <c r="S19" s="20">
        <f>IFERROR(IF([2]对账明细接口!$N19=0,"",[2]对账明细接口!$N19),"")</f>
      </c>
      <c r="T19" s="212">
        <f>IFERROR(IF([2]对账明细接口!$O19=0,"",[2]对账明细接口!$O19),"")</f>
      </c>
      <c r="U19" s="212">
        <f>IFERROR(IF([2]对账明细接口!$P19=0,"",[2]对账明细接口!$P19),"")</f>
      </c>
      <c r="V19" s="212">
        <f>IFERROR(IF([2]对账明细接口!$Q19=0,"",[2]对账明细接口!$Q19),"")</f>
      </c>
      <c r="W19" s="20" t="str">
        <f>IFERROR(IF([2]对账明细接口!$R19=0,"",[2]对账明细接口!$R19),"")</f>
        <v>新A*G0544</v>
      </c>
      <c r="X19" s="20">
        <f>IFERROR(IF([2]对账明细接口!$S19=0,"",[2]对账明细接口!$S19),"")</f>
      </c>
      <c r="Y19" s="20">
        <f>""</f>
      </c>
      <c r="Z19" s="20">
        <f>""</f>
      </c>
      <c r="AA19" s="20">
        <f>""</f>
      </c>
      <c r="AB19" s="20">
        <f>""</f>
      </c>
    </row>
    <row r="20" s="127">
      <c r="A20" s="14" t="n">
        <v>20</v>
      </c>
      <c r="B20" s="211">
        <f>IFERROR(IF([2]对账明细接口!$B$20=0,"",[2]对账明细接口!$B$20),"")</f>
        <v>46272.0</v>
      </c>
      <c r="C20" s="16" t="str">
        <f>IFERROR(IF([2]对账明细接口!$C$20=0,"",[2]对账明细接口!$C$20),"")</f>
        <v>贾建国</v>
      </c>
      <c r="D20" s="16" t="str">
        <f>IFERROR(IF([2]对账明细接口!$D$20=0,"",[2]对账明细接口!$D$20),"")</f>
        <v>包装物料－领用出库</v>
      </c>
      <c r="E20" s="16" t="str">
        <f>IFERROR(IF([2]对账明细接口!$E$20=0,"",[2]对账明细接口!$E$20),"")</f>
        <v>NO:0001092</v>
      </c>
      <c r="F20" s="16" t="str">
        <f>IFERROR(IF([2]对账明细接口!$F$20=0,"",[2]对账明细接口!$F$20),"")</f>
        <v>香梨网</v>
      </c>
      <c r="G20" s="16" t="str">
        <f>IFERROR(IF([2]对账明细接口!$G$20=0,"",[2]对账明细接口!$G$20),"")</f>
        <v>*包</v>
      </c>
      <c r="H20" s="176">
        <f>IFERROR(IF([2]对账明细接口!$H$20=0,"",[2]对账明细接口!$H$20),"")</f>
        <v>32</v>
      </c>
      <c r="I20" s="16" t="str">
        <f>IFERROR(IF([2]对账明细接口!$I$20=0,"",[2]对账明细接口!$I$20),"")</f>
        <v>包</v>
      </c>
      <c r="J20" s="177">
        <f>IFERROR(IF([2]对账明细接口!$J$20=0,"",[2]对账明细接口!$J$20),"")</f>
      </c>
      <c r="K20" s="177">
        <f>IFERROR(IF([2]对账明细接口!$K$20=0,"",[2]对账明细接口!$K$20),"")</f>
        <v>1440</v>
      </c>
      <c r="L20" s="16" t="str">
        <f>IFERROR(IF([2]对账明细接口!$L$20=0,"",[2]对账明细接口!$L$20),"")</f>
        <v>未付款</v>
      </c>
      <c r="M20" s="16">
        <f>IFERROR(IF([2]对账明细接口!$M$20=0,"",[2]对账明细接口!$M$20),"")</f>
      </c>
      <c r="N20" s="19">
        <f>IF($C20="",0,1)</f>
        <v>1</v>
      </c>
      <c r="O20" s="19">
        <f>N(O19)+$N20</f>
        <v>17</v>
      </c>
      <c r="S20" s="20">
        <f>IFERROR(IF([2]对账明细接口!$N20=0,"",[2]对账明细接口!$N20),"")</f>
      </c>
      <c r="T20" s="212">
        <f>IFERROR(IF([2]对账明细接口!$O20=0,"",[2]对账明细接口!$O20),"")</f>
      </c>
      <c r="U20" s="212">
        <f>IFERROR(IF([2]对账明细接口!$P20=0,"",[2]对账明细接口!$P20),"")</f>
      </c>
      <c r="V20" s="212">
        <f>IFERROR(IF([2]对账明细接口!$Q20=0,"",[2]对账明细接口!$Q20),"")</f>
      </c>
      <c r="W20" s="20" t="str">
        <f>IFERROR(IF([2]对账明细接口!$R20=0,"",[2]对账明细接口!$R20),"")</f>
        <v>豫Q*H5591</v>
      </c>
      <c r="X20" s="20">
        <f>IFERROR(IF([2]对账明细接口!$S20=0,"",[2]对账明细接口!$S20),"")</f>
      </c>
      <c r="Y20" s="20">
        <f>""</f>
      </c>
      <c r="Z20" s="20">
        <f>""</f>
      </c>
      <c r="AA20" s="20">
        <f>""</f>
      </c>
      <c r="AB20" s="20">
        <f>""</f>
      </c>
    </row>
    <row r="21" s="127">
      <c r="A21" s="14" t="n">
        <v>21</v>
      </c>
      <c r="B21" s="211">
        <f>IFERROR(IF([2]对账明细接口!$B$21=0,"",[2]对账明细接口!$B$21),"")</f>
        <v>46272.0</v>
      </c>
      <c r="C21" s="16" t="str">
        <f>IFERROR(IF([2]对账明细接口!$C$21=0,"",[2]对账明细接口!$C$21),"")</f>
        <v>贾建国</v>
      </c>
      <c r="D21" s="16" t="str">
        <f>IFERROR(IF([2]对账明细接口!$D$21=0,"",[2]对账明细接口!$D$21),"")</f>
        <v>包装物料－领用出库</v>
      </c>
      <c r="E21" s="16" t="str">
        <f>IFERROR(IF([2]对账明细接口!$E$21=0,"",[2]对账明细接口!$E$21),"")</f>
        <v>NO:0001092</v>
      </c>
      <c r="F21" s="16" t="str">
        <f>IFERROR(IF([2]对账明细接口!$F$21=0,"",[2]对账明细接口!$F$21),"")</f>
        <v>无纺布</v>
      </c>
      <c r="G21" s="16" t="str">
        <f>IFERROR(IF([2]对账明细接口!$G$21=0,"",[2]对账明细接口!$G$21),"")</f>
        <v>*400</v>
      </c>
      <c r="H21" s="176">
        <f>IFERROR(IF([2]对账明细接口!$H$21=0,"",[2]对账明细接口!$H$21),"")</f>
        <v>800</v>
      </c>
      <c r="I21" s="16" t="str">
        <f>IFERROR(IF([2]对账明细接口!$I$21=0,"",[2]对账明细接口!$I$21),"")</f>
        <v>个</v>
      </c>
      <c r="J21" s="177">
        <f>IFERROR(IF([2]对账明细接口!$J$21=0,"",[2]对账明细接口!$J$21),"")</f>
      </c>
      <c r="K21" s="177">
        <f>IFERROR(IF([2]对账明细接口!$K$21=0,"",[2]对账明细接口!$K$21),"")</f>
        <v>400</v>
      </c>
      <c r="L21" s="16" t="str">
        <f>IFERROR(IF([2]对账明细接口!$L$21=0,"",[2]对账明细接口!$L$21),"")</f>
        <v>未付款</v>
      </c>
      <c r="M21" s="16">
        <f>IFERROR(IF([2]对账明细接口!$M$21=0,"",[2]对账明细接口!$M$21),"")</f>
      </c>
      <c r="N21" s="19">
        <f>IF($C21="",0,1)</f>
        <v>1</v>
      </c>
      <c r="O21" s="19">
        <f>N(O20)+$N21</f>
        <v>18</v>
      </c>
      <c r="S21" s="20">
        <f>IFERROR(IF([2]对账明细接口!$N21=0,"",[2]对账明细接口!$N21),"")</f>
      </c>
      <c r="T21" s="212">
        <f>IFERROR(IF([2]对账明细接口!$O21=0,"",[2]对账明细接口!$O21),"")</f>
      </c>
      <c r="U21" s="212">
        <f>IFERROR(IF([2]对账明细接口!$P21=0,"",[2]对账明细接口!$P21),"")</f>
      </c>
      <c r="V21" s="212">
        <f>IFERROR(IF([2]对账明细接口!$Q21=0,"",[2]对账明细接口!$Q21),"")</f>
      </c>
      <c r="W21" s="20" t="str">
        <f>IFERROR(IF([2]对账明细接口!$R21=0,"",[2]对账明细接口!$R21),"")</f>
        <v>豫Q*H5591</v>
      </c>
      <c r="X21" s="20">
        <f>IFERROR(IF([2]对账明细接口!$S21=0,"",[2]对账明细接口!$S21),"")</f>
      </c>
      <c r="Y21" s="20">
        <f>""</f>
      </c>
      <c r="Z21" s="20">
        <f>""</f>
      </c>
      <c r="AA21" s="20">
        <f>""</f>
      </c>
      <c r="AB21" s="20">
        <f>""</f>
      </c>
    </row>
    <row r="22" s="127">
      <c r="A22" s="14" t="n">
        <v>22</v>
      </c>
      <c r="B22" s="211">
        <f>IFERROR(IF([2]对账明细接口!$B$22=0,"",[2]对账明细接口!$B$22),"")</f>
        <v>46272.0</v>
      </c>
      <c r="C22" s="16" t="str">
        <f>IFERROR(IF([2]对账明细接口!$C$22=0,"",[2]对账明细接口!$C$22),"")</f>
        <v>热合曼</v>
      </c>
      <c r="D22" s="16" t="str">
        <f>IFERROR(IF([2]对账明细接口!$D$22=0,"",[2]对账明细接口!$D$22),"")</f>
        <v>包装物料－领用出库</v>
      </c>
      <c r="E22" s="16" t="str">
        <f>IFERROR(IF([2]对账明细接口!$E$22=0,"",[2]对账明细接口!$E$22),"")</f>
        <v>NO:0001094</v>
      </c>
      <c r="F22" s="16" t="str">
        <f>IFERROR(IF([2]对账明细接口!$F$22=0,"",[2]对账明细接口!$F$22),"")</f>
        <v>香梨网</v>
      </c>
      <c r="G22" s="16" t="str">
        <f>IFERROR(IF([2]对账明细接口!$G$22=0,"",[2]对账明细接口!$G$22),"")</f>
        <v>*包</v>
      </c>
      <c r="H22" s="176">
        <f>IFERROR(IF([2]对账明细接口!$H$22=0,"",[2]对账明细接口!$H$22),"")</f>
        <v>48</v>
      </c>
      <c r="I22" s="16" t="str">
        <f>IFERROR(IF([2]对账明细接口!$I$22=0,"",[2]对账明细接口!$I$22),"")</f>
        <v>包</v>
      </c>
      <c r="J22" s="177">
        <f>IFERROR(IF([2]对账明细接口!$J$22=0,"",[2]对账明细接口!$J$22),"")</f>
      </c>
      <c r="K22" s="177">
        <f>IFERROR(IF([2]对账明细接口!$K$22=0,"",[2]对账明细接口!$K$22),"")</f>
        <v>2160</v>
      </c>
      <c r="L22" s="16" t="str">
        <f>IFERROR(IF([2]对账明细接口!$L$22=0,"",[2]对账明细接口!$L$22),"")</f>
        <v>未付款</v>
      </c>
      <c r="M22" s="16">
        <f>IFERROR(IF([2]对账明细接口!$M$22=0,"",[2]对账明细接口!$M$22),"")</f>
      </c>
      <c r="N22" s="19">
        <f>IF($C22="",0,1)</f>
        <v>1</v>
      </c>
      <c r="O22" s="19">
        <f>N(O21)+$N22</f>
        <v>19</v>
      </c>
      <c r="S22" s="20">
        <f>IFERROR(IF([2]对账明细接口!$N22=0,"",[2]对账明细接口!$N22),"")</f>
      </c>
      <c r="T22" s="212">
        <f>IFERROR(IF([2]对账明细接口!$O22=0,"",[2]对账明细接口!$O22),"")</f>
      </c>
      <c r="U22" s="212">
        <f>IFERROR(IF([2]对账明细接口!$P22=0,"",[2]对账明细接口!$P22),"")</f>
      </c>
      <c r="V22" s="212">
        <f>IFERROR(IF([2]对账明细接口!$Q22=0,"",[2]对账明细接口!$Q22),"")</f>
      </c>
      <c r="W22" s="20" t="str">
        <f>IFERROR(IF([2]对账明细接口!$R22=0,"",[2]对账明细接口!$R22),"")</f>
        <v>新A*G0544</v>
      </c>
      <c r="X22" s="20">
        <f>IFERROR(IF([2]对账明细接口!$S22=0,"",[2]对账明细接口!$S22),"")</f>
      </c>
      <c r="Y22" s="20">
        <f>""</f>
      </c>
      <c r="Z22" s="20">
        <f>""</f>
      </c>
      <c r="AA22" s="20">
        <f>""</f>
      </c>
      <c r="AB22" s="20">
        <f>""</f>
      </c>
    </row>
    <row r="23" s="127">
      <c r="A23" s="14" t="n">
        <v>23</v>
      </c>
      <c r="B23" s="211">
        <f>IFERROR(IF([2]对账明细接口!$B$23=0,"",[2]对账明细接口!$B$23),"")</f>
        <v>46273.0</v>
      </c>
      <c r="C23" s="16" t="str">
        <f>IFERROR(IF([2]对账明细接口!$C$23=0,"",[2]对账明细接口!$C$23),"")</f>
        <v>贾建国</v>
      </c>
      <c r="D23" s="16" t="str">
        <f>IFERROR(IF([2]对账明细接口!$D$23=0,"",[2]对账明细接口!$D$23),"")</f>
        <v>包装物料－退回入库</v>
      </c>
      <c r="E23" s="16" t="str">
        <f>IFERROR(IF([2]对账明细接口!$E$23=0,"",[2]对账明细接口!$E$23),"")</f>
        <v>NO:0000760</v>
      </c>
      <c r="F23" s="16" t="str">
        <f>IFERROR(IF([2]对账明细接口!$F$23=0,"",[2]对账明细接口!$F$23),"")</f>
        <v>无纺布</v>
      </c>
      <c r="G23" s="16" t="str">
        <f>IFERROR(IF([2]对账明细接口!$G$23=0,"",[2]对账明细接口!$G$23),"")</f>
        <v>*400</v>
      </c>
      <c r="H23" s="176">
        <f>IFERROR(IF([2]对账明细接口!$H$23=0,"",[2]对账明细接口!$H$23),"")</f>
        <v>-800</v>
      </c>
      <c r="I23" s="16" t="str">
        <f>IFERROR(IF([2]对账明细接口!$I$23=0,"",[2]对账明细接口!$I$23),"")</f>
        <v>个</v>
      </c>
      <c r="J23" s="177">
        <f>IFERROR(IF([2]对账明细接口!$J$23=0,"",[2]对账明细接口!$J$23),"")</f>
      </c>
      <c r="K23" s="177">
        <f>IFERROR(IF([2]对账明细接口!$K$23=0,"",[2]对账明细接口!$K$23),"")</f>
        <v>-400</v>
      </c>
      <c r="L23" s="16" t="str">
        <f>IFERROR(IF([2]对账明细接口!$L$23=0,"",[2]对账明细接口!$L$23),"")</f>
        <v>无需付款</v>
      </c>
      <c r="M23" s="16">
        <f>IFERROR(IF([2]对账明细接口!$M$23=0,"",[2]对账明细接口!$M$23),"")</f>
      </c>
      <c r="N23" s="19">
        <f>IF($C23="",0,1)</f>
        <v>1</v>
      </c>
      <c r="O23" s="19">
        <f>N(O22)+$N23</f>
        <v>20</v>
      </c>
      <c r="S23" s="20">
        <f>IFERROR(IF([2]对账明细接口!$N23=0,"",[2]对账明细接口!$N23),"")</f>
      </c>
      <c r="T23" s="212">
        <f>IFERROR(IF([2]对账明细接口!$O23=0,"",[2]对账明细接口!$O23),"")</f>
      </c>
      <c r="U23" s="212">
        <f>IFERROR(IF([2]对账明细接口!$P23=0,"",[2]对账明细接口!$P23),"")</f>
      </c>
      <c r="V23" s="212">
        <f>IFERROR(IF([2]对账明细接口!$Q23=0,"",[2]对账明细接口!$Q23),"")</f>
      </c>
      <c r="W23" s="20" t="str">
        <f>IFERROR(IF([2]对账明细接口!$R23=0,"",[2]对账明细接口!$R23),"")</f>
        <v>豫Q*H5591</v>
      </c>
      <c r="X23" s="20">
        <f>IFERROR(IF([2]对账明细接口!$S23=0,"",[2]对账明细接口!$S23),"")</f>
      </c>
      <c r="Y23" s="20">
        <f>""</f>
      </c>
      <c r="Z23" s="20">
        <f>""</f>
      </c>
      <c r="AA23" s="20">
        <f>""</f>
      </c>
      <c r="AB23" s="20">
        <f>""</f>
      </c>
    </row>
    <row r="24" s="127">
      <c r="A24" s="14" t="n">
        <v>24</v>
      </c>
      <c r="B24" s="211">
        <f>IFERROR(IF([2]对账明细接口!$B$24=0,"",[2]对账明细接口!$B$24),"")</f>
        <v>46274.0</v>
      </c>
      <c r="C24" s="16" t="str">
        <f>IFERROR(IF([2]对账明细接口!$C$24=0,"",[2]对账明细接口!$C$24),"")</f>
        <v>吐尔逊</v>
      </c>
      <c r="D24" s="16" t="str">
        <f>IFERROR(IF([2]对账明细接口!$D$24=0,"",[2]对账明细接口!$D$24),"")</f>
        <v>包装物料－领用出库</v>
      </c>
      <c r="E24" s="16" t="str">
        <f>IFERROR(IF([2]对账明细接口!$E$24=0,"",[2]对账明细接口!$E$24),"")</f>
        <v>NO:0001099</v>
      </c>
      <c r="F24" s="16" t="str">
        <f>IFERROR(IF([2]对账明细接口!$F$24=0,"",[2]对账明细接口!$F$24),"")</f>
        <v>香梨网</v>
      </c>
      <c r="G24" s="16" t="str">
        <f>IFERROR(IF([2]对账明细接口!$G$24=0,"",[2]对账明细接口!$G$24),"")</f>
        <v>*包</v>
      </c>
      <c r="H24" s="176">
        <f>IFERROR(IF([2]对账明细接口!$H$24=0,"",[2]对账明细接口!$H$24),"")</f>
        <v>16</v>
      </c>
      <c r="I24" s="16" t="str">
        <f>IFERROR(IF([2]对账明细接口!$I$24=0,"",[2]对账明细接口!$I$24),"")</f>
        <v>包</v>
      </c>
      <c r="J24" s="177">
        <f>IFERROR(IF([2]对账明细接口!$J$24=0,"",[2]对账明细接口!$J$24),"")</f>
      </c>
      <c r="K24" s="177">
        <f>IFERROR(IF([2]对账明细接口!$K$24=0,"",[2]对账明细接口!$K$24),"")</f>
        <v>720</v>
      </c>
      <c r="L24" s="16" t="str">
        <f>IFERROR(IF([2]对账明细接口!$L$24=0,"",[2]对账明细接口!$L$24),"")</f>
        <v>未付款</v>
      </c>
      <c r="M24" s="16">
        <f>IFERROR(IF([2]对账明细接口!$M$24=0,"",[2]对账明细接口!$M$24),"")</f>
      </c>
      <c r="N24" s="19">
        <f>IF($C24="",0,1)</f>
        <v>1</v>
      </c>
      <c r="O24" s="19">
        <f>N(O23)+$N24</f>
        <v>21</v>
      </c>
      <c r="S24" s="20">
        <f>IFERROR(IF([2]对账明细接口!$N24=0,"",[2]对账明细接口!$N24),"")</f>
      </c>
      <c r="T24" s="212">
        <f>IFERROR(IF([2]对账明细接口!$O24=0,"",[2]对账明细接口!$O24),"")</f>
      </c>
      <c r="U24" s="212">
        <f>IFERROR(IF([2]对账明细接口!$P24=0,"",[2]对账明细接口!$P24),"")</f>
      </c>
      <c r="V24" s="212">
        <f>IFERROR(IF([2]对账明细接口!$Q24=0,"",[2]对账明细接口!$Q24),"")</f>
      </c>
      <c r="W24" s="20" t="str">
        <f>IFERROR(IF([2]对账明细接口!$R24=0,"",[2]对账明细接口!$R24),"")</f>
        <v>新M*87613</v>
      </c>
      <c r="X24" s="20">
        <f>IFERROR(IF([2]对账明细接口!$S24=0,"",[2]对账明细接口!$S24),"")</f>
      </c>
      <c r="Y24" s="20">
        <f>""</f>
      </c>
      <c r="Z24" s="20">
        <f>""</f>
      </c>
      <c r="AA24" s="20">
        <f>""</f>
      </c>
      <c r="AB24" s="20">
        <f>""</f>
      </c>
    </row>
    <row r="25" s="127">
      <c r="A25" s="14" t="n">
        <v>25</v>
      </c>
      <c r="B25" s="211">
        <f>IFERROR(IF([2]对账明细接口!$B$25=0,"",[2]对账明细接口!$B$25),"")</f>
        <v>46274.0</v>
      </c>
      <c r="C25" s="16" t="str">
        <f>IFERROR(IF([2]对账明细接口!$C$25=0,"",[2]对账明细接口!$C$25),"")</f>
        <v>吐尔逊</v>
      </c>
      <c r="D25" s="16" t="str">
        <f>IFERROR(IF([2]对账明细接口!$D$25=0,"",[2]对账明细接口!$D$25),"")</f>
        <v>包装物料－领用出库</v>
      </c>
      <c r="E25" s="16" t="str">
        <f>IFERROR(IF([2]对账明细接口!$E$25=0,"",[2]对账明细接口!$E$25),"")</f>
        <v>NO:0001099</v>
      </c>
      <c r="F25" s="16" t="str">
        <f>IFERROR(IF([2]对账明细接口!$F$25=0,"",[2]对账明细接口!$F$25),"")</f>
        <v>香梨纸</v>
      </c>
      <c r="G25" s="16" t="str">
        <f>IFERROR(IF([2]对账明细接口!$G$25=0,"",[2]对账明细接口!$G$25),"")</f>
        <v>*捆</v>
      </c>
      <c r="H25" s="176">
        <f>IFERROR(IF([2]对账明细接口!$H$25=0,"",[2]对账明细接口!$H$25),"")</f>
        <v>2</v>
      </c>
      <c r="I25" s="16" t="str">
        <f>IFERROR(IF([2]对账明细接口!$I$25=0,"",[2]对账明细接口!$I$25),"")</f>
        <v>捆</v>
      </c>
      <c r="J25" s="177">
        <f>IFERROR(IF([2]对账明细接口!$J$25=0,"",[2]对账明细接口!$J$25),"")</f>
      </c>
      <c r="K25" s="177">
        <f>IFERROR(IF([2]对账明细接口!$K$25=0,"",[2]对账明细接口!$K$25),"")</f>
        <v>120</v>
      </c>
      <c r="L25" s="16" t="str">
        <f>IFERROR(IF([2]对账明细接口!$L$25=0,"",[2]对账明细接口!$L$25),"")</f>
        <v>未付款</v>
      </c>
      <c r="M25" s="16">
        <f>IFERROR(IF([2]对账明细接口!$M$25=0,"",[2]对账明细接口!$M$25),"")</f>
      </c>
      <c r="N25" s="19">
        <f>IF($C25="",0,1)</f>
        <v>1</v>
      </c>
      <c r="O25" s="19">
        <f>N(O24)+$N25</f>
        <v>22</v>
      </c>
      <c r="S25" s="20">
        <f>IFERROR(IF([2]对账明细接口!$N25=0,"",[2]对账明细接口!$N25),"")</f>
      </c>
      <c r="T25" s="212">
        <f>IFERROR(IF([2]对账明细接口!$O25=0,"",[2]对账明细接口!$O25),"")</f>
      </c>
      <c r="U25" s="212">
        <f>IFERROR(IF([2]对账明细接口!$P25=0,"",[2]对账明细接口!$P25),"")</f>
      </c>
      <c r="V25" s="212">
        <f>IFERROR(IF([2]对账明细接口!$Q25=0,"",[2]对账明细接口!$Q25),"")</f>
      </c>
      <c r="W25" s="20" t="str">
        <f>IFERROR(IF([2]对账明细接口!$R25=0,"",[2]对账明细接口!$R25),"")</f>
        <v>新M*87613</v>
      </c>
      <c r="X25" s="20">
        <f>IFERROR(IF([2]对账明细接口!$S25=0,"",[2]对账明细接口!$S25),"")</f>
      </c>
      <c r="Y25" s="20">
        <f>""</f>
      </c>
      <c r="Z25" s="20">
        <f>""</f>
      </c>
      <c r="AA25" s="20">
        <f>""</f>
      </c>
      <c r="AB25" s="20">
        <f>""</f>
      </c>
    </row>
    <row r="26" s="127">
      <c r="A26" s="14" t="n">
        <v>26</v>
      </c>
      <c r="B26" s="211">
        <f>IFERROR(IF([2]对账明细接口!$B$26=0,"",[2]对账明细接口!$B$26),"")</f>
        <v>46274.0</v>
      </c>
      <c r="C26" s="16" t="str">
        <f>IFERROR(IF([2]对账明细接口!$C$26=0,"",[2]对账明细接口!$C$26),"")</f>
        <v>吐尔洪</v>
      </c>
      <c r="D26" s="16" t="str">
        <f>IFERROR(IF([2]对账明细接口!$D$26=0,"",[2]对账明细接口!$D$26),"")</f>
        <v>包装物料－领用出库</v>
      </c>
      <c r="E26" s="16" t="str">
        <f>IFERROR(IF([2]对账明细接口!$E$26=0,"",[2]对账明细接口!$E$26),"")</f>
        <v>NO:0001100</v>
      </c>
      <c r="F26" s="16" t="str">
        <f>IFERROR(IF([2]对账明细接口!$F$26=0,"",[2]对账明细接口!$F$26),"")</f>
        <v>香梨网</v>
      </c>
      <c r="G26" s="16" t="str">
        <f>IFERROR(IF([2]对账明细接口!$G$26=0,"",[2]对账明细接口!$G$26),"")</f>
        <v>*包</v>
      </c>
      <c r="H26" s="176">
        <f>IFERROR(IF([2]对账明细接口!$H$26=0,"",[2]对账明细接口!$H$26),"")</f>
        <v>12</v>
      </c>
      <c r="I26" s="16" t="str">
        <f>IFERROR(IF([2]对账明细接口!$I$26=0,"",[2]对账明细接口!$I$26),"")</f>
        <v>包</v>
      </c>
      <c r="J26" s="177">
        <f>IFERROR(IF([2]对账明细接口!$J$26=0,"",[2]对账明细接口!$J$26),"")</f>
      </c>
      <c r="K26" s="177">
        <f>IFERROR(IF([2]对账明细接口!$K$26=0,"",[2]对账明细接口!$K$26),"")</f>
        <v>540</v>
      </c>
      <c r="L26" s="16" t="str">
        <f>IFERROR(IF([2]对账明细接口!$L$26=0,"",[2]对账明细接口!$L$26),"")</f>
        <v>未付款</v>
      </c>
      <c r="M26" s="16">
        <f>IFERROR(IF([2]对账明细接口!$M$26=0,"",[2]对账明细接口!$M$26),"")</f>
      </c>
      <c r="N26" s="19">
        <f>IF($C26="",0,1)</f>
        <v>1</v>
      </c>
      <c r="O26" s="19">
        <f>N(O25)+$N26</f>
        <v>23</v>
      </c>
      <c r="S26" s="20">
        <f>IFERROR(IF([2]对账明细接口!$N26=0,"",[2]对账明细接口!$N26),"")</f>
      </c>
      <c r="T26" s="212">
        <f>IFERROR(IF([2]对账明细接口!$O26=0,"",[2]对账明细接口!$O26),"")</f>
      </c>
      <c r="U26" s="212">
        <f>IFERROR(IF([2]对账明细接口!$P26=0,"",[2]对账明细接口!$P26),"")</f>
      </c>
      <c r="V26" s="212">
        <f>IFERROR(IF([2]对账明细接口!$Q26=0,"",[2]对账明细接口!$Q26),"")</f>
      </c>
      <c r="W26" s="20" t="str">
        <f>IFERROR(IF([2]对账明细接口!$R26=0,"",[2]对账明细接口!$R26),"")</f>
        <v>新N*X8S48</v>
      </c>
      <c r="X26" s="20">
        <f>IFERROR(IF([2]对账明细接口!$S26=0,"",[2]对账明细接口!$S26),"")</f>
      </c>
      <c r="Y26" s="20">
        <f>""</f>
      </c>
      <c r="Z26" s="20">
        <f>""</f>
      </c>
      <c r="AA26" s="20">
        <f>""</f>
      </c>
      <c r="AB26" s="20">
        <f>""</f>
      </c>
    </row>
    <row r="27" s="127">
      <c r="A27" s="14" t="n">
        <v>27</v>
      </c>
      <c r="B27" s="211">
        <f>IFERROR(IF([2]对账明细接口!$B$27=0,"",[2]对账明细接口!$B$27),"")</f>
        <v>46274.0</v>
      </c>
      <c r="C27" s="16" t="str">
        <f>IFERROR(IF([2]对账明细接口!$C$27=0,"",[2]对账明细接口!$C$27),"")</f>
        <v>荆建君</v>
      </c>
      <c r="D27" s="16" t="str">
        <f>IFERROR(IF([2]对账明细接口!$D$27=0,"",[2]对账明细接口!$D$27),"")</f>
        <v>包装物料－领用出库</v>
      </c>
      <c r="E27" s="16" t="str">
        <f>IFERROR(IF([2]对账明细接口!$E$27=0,"",[2]对账明细接口!$E$27),"")</f>
        <v>NO:0001105</v>
      </c>
      <c r="F27" s="16" t="str">
        <f>IFERROR(IF([2]对账明细接口!$F$27=0,"",[2]对账明细接口!$F$27),"")</f>
        <v>香梨网</v>
      </c>
      <c r="G27" s="16" t="str">
        <f>IFERROR(IF([2]对账明细接口!$G$27=0,"",[2]对账明细接口!$G$27),"")</f>
        <v>*包</v>
      </c>
      <c r="H27" s="176">
        <f>IFERROR(IF([2]对账明细接口!$H$27=0,"",[2]对账明细接口!$H$27),"")</f>
        <v>48</v>
      </c>
      <c r="I27" s="16" t="str">
        <f>IFERROR(IF([2]对账明细接口!$I$27=0,"",[2]对账明细接口!$I$27),"")</f>
        <v>包</v>
      </c>
      <c r="J27" s="177">
        <f>IFERROR(IF([2]对账明细接口!$J$27=0,"",[2]对账明细接口!$J$27),"")</f>
      </c>
      <c r="K27" s="177">
        <f>IFERROR(IF([2]对账明细接口!$K$27=0,"",[2]对账明细接口!$K$27),"")</f>
        <v>2160</v>
      </c>
      <c r="L27" s="16" t="str">
        <f>IFERROR(IF([2]对账明细接口!$L$27=0,"",[2]对账明细接口!$L$27),"")</f>
        <v>未付款</v>
      </c>
      <c r="M27" s="16">
        <f>IFERROR(IF([2]对账明细接口!$M$27=0,"",[2]对账明细接口!$M$27),"")</f>
      </c>
      <c r="N27" s="19">
        <f>IF($C27="",0,1)</f>
        <v>1</v>
      </c>
      <c r="O27" s="19">
        <f>N(O26)+$N27</f>
        <v>24</v>
      </c>
      <c r="S27" s="20">
        <f>IFERROR(IF([2]对账明细接口!$N27=0,"",[2]对账明细接口!$N27),"")</f>
      </c>
      <c r="T27" s="212">
        <f>IFERROR(IF([2]对账明细接口!$O27=0,"",[2]对账明细接口!$O27),"")</f>
      </c>
      <c r="U27" s="212">
        <f>IFERROR(IF([2]对账明细接口!$P27=0,"",[2]对账明细接口!$P27),"")</f>
      </c>
      <c r="V27" s="212">
        <f>IFERROR(IF([2]对账明细接口!$Q27=0,"",[2]对账明细接口!$Q27),"")</f>
      </c>
      <c r="W27" s="20" t="str">
        <f>IFERROR(IF([2]对账明细接口!$R27=0,"",[2]对账明细接口!$R27),"")</f>
        <v>豫A*2737K</v>
      </c>
      <c r="X27" s="20">
        <f>IFERROR(IF([2]对账明细接口!$S27=0,"",[2]对账明细接口!$S27),"")</f>
      </c>
      <c r="Y27" s="20">
        <f>""</f>
      </c>
      <c r="Z27" s="20">
        <f>""</f>
      </c>
      <c r="AA27" s="20">
        <f>""</f>
      </c>
      <c r="AB27" s="20">
        <f>""</f>
      </c>
    </row>
    <row r="28" s="127">
      <c r="A28" s="14" t="n">
        <v>28</v>
      </c>
      <c r="B28" s="211">
        <f>IFERROR(IF([2]对账明细接口!$B$28=0,"",[2]对账明细接口!$B$28),"")</f>
        <v>46274.0</v>
      </c>
      <c r="C28" s="16" t="str">
        <f>IFERROR(IF([2]对账明细接口!$C$28=0,"",[2]对账明细接口!$C$28),"")</f>
        <v>麦麦提</v>
      </c>
      <c r="D28" s="16" t="str">
        <f>IFERROR(IF([2]对账明细接口!$D$28=0,"",[2]对账明细接口!$D$28),"")</f>
        <v>包装物料－领用出库</v>
      </c>
      <c r="E28" s="16" t="str">
        <f>IFERROR(IF([2]对账明细接口!$E$28=0,"",[2]对账明细接口!$E$28),"")</f>
        <v>NO:0001106</v>
      </c>
      <c r="F28" s="16" t="str">
        <f>IFERROR(IF([2]对账明细接口!$F$28=0,"",[2]对账明细接口!$F$28),"")</f>
        <v>香梨网</v>
      </c>
      <c r="G28" s="16" t="str">
        <f>IFERROR(IF([2]对账明细接口!$G$28=0,"",[2]对账明细接口!$G$28),"")</f>
        <v>*包</v>
      </c>
      <c r="H28" s="176">
        <f>IFERROR(IF([2]对账明细接口!$H$28=0,"",[2]对账明细接口!$H$28),"")</f>
        <v>48</v>
      </c>
      <c r="I28" s="16" t="str">
        <f>IFERROR(IF([2]对账明细接口!$I$28=0,"",[2]对账明细接口!$I$28),"")</f>
        <v>包</v>
      </c>
      <c r="J28" s="177">
        <f>IFERROR(IF([2]对账明细接口!$J$28=0,"",[2]对账明细接口!$J$28),"")</f>
      </c>
      <c r="K28" s="177">
        <f>IFERROR(IF([2]对账明细接口!$K$28=0,"",[2]对账明细接口!$K$28),"")</f>
        <v>2160</v>
      </c>
      <c r="L28" s="16" t="str">
        <f>IFERROR(IF([2]对账明细接口!$L$28=0,"",[2]对账明细接口!$L$28),"")</f>
        <v>未付款</v>
      </c>
      <c r="M28" s="16">
        <f>IFERROR(IF([2]对账明细接口!$M$28=0,"",[2]对账明细接口!$M$28),"")</f>
      </c>
      <c r="N28" s="19">
        <f>IF($C28="",0,1)</f>
        <v>1</v>
      </c>
      <c r="O28" s="19">
        <f>N(O27)+$N28</f>
        <v>25</v>
      </c>
      <c r="S28" s="20">
        <f>IFERROR(IF([2]对账明细接口!$N28=0,"",[2]对账明细接口!$N28),"")</f>
      </c>
      <c r="T28" s="212">
        <f>IFERROR(IF([2]对账明细接口!$O28=0,"",[2]对账明细接口!$O28),"")</f>
      </c>
      <c r="U28" s="212">
        <f>IFERROR(IF([2]对账明细接口!$P28=0,"",[2]对账明细接口!$P28),"")</f>
      </c>
      <c r="V28" s="212">
        <f>IFERROR(IF([2]对账明细接口!$Q28=0,"",[2]对账明细接口!$Q28),"")</f>
      </c>
      <c r="W28" s="20" t="str">
        <f>IFERROR(IF([2]对账明细接口!$R28=0,"",[2]对账明细接口!$R28),"")</f>
        <v>新A*G0544</v>
      </c>
      <c r="X28" s="20">
        <f>IFERROR(IF([2]对账明细接口!$S28=0,"",[2]对账明细接口!$S28),"")</f>
      </c>
      <c r="Y28" s="20">
        <f>""</f>
      </c>
      <c r="Z28" s="20">
        <f>""</f>
      </c>
      <c r="AA28" s="20">
        <f>""</f>
      </c>
      <c r="AB28" s="20">
        <f>""</f>
      </c>
    </row>
    <row r="29" s="127">
      <c r="A29" s="14" t="n">
        <v>29</v>
      </c>
      <c r="B29" s="211">
        <f>IFERROR(IF([2]对账明细接口!$B$29=0,"",[2]对账明细接口!$B$29),"")</f>
        <v>46276.0</v>
      </c>
      <c r="C29" s="16" t="str">
        <f>IFERROR(IF([2]对账明细接口!$C$29=0,"",[2]对账明细接口!$C$29),"")</f>
        <v>新顺发泡网</v>
      </c>
      <c r="D29" s="16" t="str">
        <f>IFERROR(IF([2]对账明细接口!$D$29=0,"",[2]对账明细接口!$D$29),"")</f>
        <v>包装物料－采购入库</v>
      </c>
      <c r="E29" s="16" t="str">
        <f>IFERROR(IF([2]对账明细接口!$E$29=0,"",[2]对账明细接口!$E$29),"")</f>
        <v>NO:0000777</v>
      </c>
      <c r="F29" s="16" t="str">
        <f>IFERROR(IF([2]对账明细接口!$F$29=0,"",[2]对账明细接口!$F$29),"")</f>
        <v>香梨网</v>
      </c>
      <c r="G29" s="16" t="str">
        <f>IFERROR(IF([2]对账明细接口!$G$29=0,"",[2]对账明细接口!$G$29),"")</f>
        <v>*包</v>
      </c>
      <c r="H29" s="176">
        <f>IFERROR(IF([2]对账明细接口!$H$29=0,"",[2]对账明细接口!$H$29),"")</f>
        <v>120</v>
      </c>
      <c r="I29" s="16" t="str">
        <f>IFERROR(IF([2]对账明细接口!$I$29=0,"",[2]对账明细接口!$I$29),"")</f>
        <v>包</v>
      </c>
      <c r="J29" s="177">
        <f>IFERROR(IF([2]对账明细接口!$J$29=0,"",[2]对账明细接口!$J$29),"")</f>
      </c>
      <c r="K29" s="177">
        <f>IFERROR(IF([2]对账明细接口!$K$29=0,"",[2]对账明细接口!$K$29),"")</f>
        <v>4440</v>
      </c>
      <c r="L29" s="16" t="str">
        <f>IFERROR(IF([2]对账明细接口!$L$29=0,"",[2]对账明细接口!$L$29),"")</f>
        <v>未付款</v>
      </c>
      <c r="M29" s="16" t="str">
        <f>IFERROR(IF([2]对账明细接口!$M$29=0,"",[2]对账明细接口!$M$29),"")</f>
        <v>12#</v>
      </c>
      <c r="N29" s="19">
        <f>IF($C29="",0,1)</f>
        <v>1</v>
      </c>
      <c r="O29" s="19">
        <f>N(O28)+$N29</f>
        <v>26</v>
      </c>
      <c r="S29" s="20">
        <f>IFERROR(IF([2]对账明细接口!$N29=0,"",[2]对账明细接口!$N29),"")</f>
      </c>
      <c r="T29" s="212">
        <f>IFERROR(IF([2]对账明细接口!$O29=0,"",[2]对账明细接口!$O29),"")</f>
      </c>
      <c r="U29" s="212">
        <f>IFERROR(IF([2]对账明细接口!$P29=0,"",[2]对账明细接口!$P29),"")</f>
      </c>
      <c r="V29" s="212">
        <f>IFERROR(IF([2]对账明细接口!$Q29=0,"",[2]对账明细接口!$Q29),"")</f>
      </c>
      <c r="W29" s="20" t="str">
        <f>IFERROR(IF([2]对账明细接口!$R29=0,"",[2]对账明细接口!$R29),"")</f>
        <v>皖L*SD929</v>
      </c>
      <c r="X29" s="20">
        <f>IFERROR(IF([2]对账明细接口!$S29=0,"",[2]对账明细接口!$S29),"")</f>
      </c>
      <c r="Y29" s="20">
        <f>""</f>
      </c>
      <c r="Z29" s="20">
        <f>""</f>
      </c>
      <c r="AA29" s="20">
        <f>""</f>
      </c>
      <c r="AB29" s="20">
        <f>""</f>
      </c>
    </row>
    <row r="30" s="127">
      <c r="A30" s="14" t="n">
        <v>30</v>
      </c>
      <c r="B30" s="211">
        <f>IFERROR(IF([2]对账明细接口!$B$30=0,"",[2]对账明细接口!$B$30),"")</f>
        <v>46276.0</v>
      </c>
      <c r="C30" s="16" t="str">
        <f>IFERROR(IF([2]对账明细接口!$C$30=0,"",[2]对账明细接口!$C$30),"")</f>
        <v>麦麦提</v>
      </c>
      <c r="D30" s="16" t="str">
        <f>IFERROR(IF([2]对账明细接口!$D$30=0,"",[2]对账明细接口!$D$30),"")</f>
        <v>包装物料－领用出库</v>
      </c>
      <c r="E30" s="16" t="str">
        <f>IFERROR(IF([2]对账明细接口!$E$30=0,"",[2]对账明细接口!$E$30),"")</f>
        <v>NO:0001113</v>
      </c>
      <c r="F30" s="16" t="str">
        <f>IFERROR(IF([2]对账明细接口!$F$30=0,"",[2]对账明细接口!$F$30),"")</f>
        <v>香梨网</v>
      </c>
      <c r="G30" s="16" t="str">
        <f>IFERROR(IF([2]对账明细接口!$G$30=0,"",[2]对账明细接口!$G$30),"")</f>
        <v>*包</v>
      </c>
      <c r="H30" s="176">
        <f>IFERROR(IF([2]对账明细接口!$H$30=0,"",[2]对账明细接口!$H$30),"")</f>
        <v>48</v>
      </c>
      <c r="I30" s="16" t="str">
        <f>IFERROR(IF([2]对账明细接口!$I$30=0,"",[2]对账明细接口!$I$30),"")</f>
        <v>包</v>
      </c>
      <c r="J30" s="177">
        <f>IFERROR(IF([2]对账明细接口!$J$30=0,"",[2]对账明细接口!$J$30),"")</f>
      </c>
      <c r="K30" s="177">
        <f>IFERROR(IF([2]对账明细接口!$K$30=0,"",[2]对账明细接口!$K$30),"")</f>
        <v>2160</v>
      </c>
      <c r="L30" s="16" t="str">
        <f>IFERROR(IF([2]对账明细接口!$L$30=0,"",[2]对账明细接口!$L$30),"")</f>
        <v>未付款</v>
      </c>
      <c r="M30" s="16">
        <f>IFERROR(IF([2]对账明细接口!$M$30=0,"",[2]对账明细接口!$M$30),"")</f>
      </c>
      <c r="N30" s="19">
        <f>IF($C30="",0,1)</f>
        <v>1</v>
      </c>
      <c r="O30" s="19">
        <f>N(O29)+$N30</f>
        <v>27</v>
      </c>
      <c r="S30" s="20">
        <f>IFERROR(IF([2]对账明细接口!$N30=0,"",[2]对账明细接口!$N30),"")</f>
      </c>
      <c r="T30" s="212">
        <f>IFERROR(IF([2]对账明细接口!$O30=0,"",[2]对账明细接口!$O30),"")</f>
      </c>
      <c r="U30" s="212">
        <f>IFERROR(IF([2]对账明细接口!$P30=0,"",[2]对账明细接口!$P30),"")</f>
      </c>
      <c r="V30" s="212">
        <f>IFERROR(IF([2]对账明细接口!$Q30=0,"",[2]对账明细接口!$Q30),"")</f>
      </c>
      <c r="W30" s="20" t="str">
        <f>IFERROR(IF([2]对账明细接口!$R30=0,"",[2]对账明细接口!$R30),"")</f>
        <v>新A*G0544</v>
      </c>
      <c r="X30" s="20">
        <f>IFERROR(IF([2]对账明细接口!$S30=0,"",[2]对账明细接口!$S30),"")</f>
      </c>
      <c r="Y30" s="20">
        <f>""</f>
      </c>
      <c r="Z30" s="20">
        <f>""</f>
      </c>
      <c r="AA30" s="20">
        <f>""</f>
      </c>
      <c r="AB30" s="20">
        <f>""</f>
      </c>
    </row>
    <row r="31" s="127">
      <c r="A31" s="14" t="n">
        <v>31</v>
      </c>
      <c r="B31" s="211">
        <f>IFERROR(IF([2]对账明细接口!$B$31=0,"",[2]对账明细接口!$B$31),"")</f>
        <v>46276.0</v>
      </c>
      <c r="C31" s="16" t="str">
        <f>IFERROR(IF([2]对账明细接口!$C$31=0,"",[2]对账明细接口!$C$31),"")</f>
        <v>新顺发泡网</v>
      </c>
      <c r="D31" s="16" t="str">
        <f>IFERROR(IF([2]对账明细接口!$D$31=0,"",[2]对账明细接口!$D$31),"")</f>
        <v>包装物料－采购入库</v>
      </c>
      <c r="E31" s="16" t="str">
        <f>IFERROR(IF([2]对账明细接口!$E$31=0,"",[2]对账明细接口!$E$31),"")</f>
        <v>NO:0000779</v>
      </c>
      <c r="F31" s="16" t="str">
        <f>IFERROR(IF([2]对账明细接口!$F$31=0,"",[2]对账明细接口!$F$31),"")</f>
        <v>香梨网</v>
      </c>
      <c r="G31" s="16" t="str">
        <f>IFERROR(IF([2]对账明细接口!$G$31=0,"",[2]对账明细接口!$G$31),"")</f>
        <v>*包</v>
      </c>
      <c r="H31" s="176">
        <f>IFERROR(IF([2]对账明细接口!$H$31=0,"",[2]对账明细接口!$H$31),"")</f>
        <v>120</v>
      </c>
      <c r="I31" s="16" t="str">
        <f>IFERROR(IF([2]对账明细接口!$I$31=0,"",[2]对账明细接口!$I$31),"")</f>
        <v>包</v>
      </c>
      <c r="J31" s="177">
        <f>IFERROR(IF([2]对账明细接口!$J$31=0,"",[2]对账明细接口!$J$31),"")</f>
      </c>
      <c r="K31" s="177">
        <f>IFERROR(IF([2]对账明细接口!$K$31=0,"",[2]对账明细接口!$K$31),"")</f>
        <v>4440</v>
      </c>
      <c r="L31" s="16" t="str">
        <f>IFERROR(IF([2]对账明细接口!$L$31=0,"",[2]对账明细接口!$L$31),"")</f>
        <v>未付款</v>
      </c>
      <c r="M31" s="16" t="str">
        <f>IFERROR(IF([2]对账明细接口!$M$31=0,"",[2]对账明细接口!$M$31),"")</f>
        <v>12#</v>
      </c>
      <c r="N31" s="19">
        <f>IF($C31="",0,1)</f>
        <v>1</v>
      </c>
      <c r="O31" s="19">
        <f>N(O30)+$N31</f>
        <v>28</v>
      </c>
      <c r="S31" s="20">
        <f>IFERROR(IF([2]对账明细接口!$N31=0,"",[2]对账明细接口!$N31),"")</f>
      </c>
      <c r="T31" s="212">
        <f>IFERROR(IF([2]对账明细接口!$O31=0,"",[2]对账明细接口!$O31),"")</f>
      </c>
      <c r="U31" s="212">
        <f>IFERROR(IF([2]对账明细接口!$P31=0,"",[2]对账明细接口!$P31),"")</f>
      </c>
      <c r="V31" s="212">
        <f>IFERROR(IF([2]对账明细接口!$Q31=0,"",[2]对账明细接口!$Q31),"")</f>
      </c>
      <c r="W31" s="20" t="str">
        <f>IFERROR(IF([2]对账明细接口!$R31=0,"",[2]对账明细接口!$R31),"")</f>
        <v>皖L*KW876</v>
      </c>
      <c r="X31" s="20">
        <f>IFERROR(IF([2]对账明细接口!$S31=0,"",[2]对账明细接口!$S31),"")</f>
      </c>
      <c r="Y31" s="20">
        <f>""</f>
      </c>
      <c r="Z31" s="20">
        <f>""</f>
      </c>
      <c r="AA31" s="20">
        <f>""</f>
      </c>
      <c r="AB31" s="20">
        <f>""</f>
      </c>
    </row>
    <row r="32" s="127">
      <c r="A32" s="14" t="n">
        <v>32</v>
      </c>
      <c r="B32" s="211">
        <f>IFERROR(IF([2]对账明细接口!$B$32=0,"",[2]对账明细接口!$B$32),"")</f>
        <v>46276.0</v>
      </c>
      <c r="C32" s="16" t="str">
        <f>IFERROR(IF([2]对账明细接口!$C$32=0,"",[2]对账明细接口!$C$32),"")</f>
        <v>吐尔洪</v>
      </c>
      <c r="D32" s="16" t="str">
        <f>IFERROR(IF([2]对账明细接口!$D$32=0,"",[2]对账明细接口!$D$32),"")</f>
        <v>包装物料－领用出库</v>
      </c>
      <c r="E32" s="16" t="str">
        <f>IFERROR(IF([2]对账明细接口!$E$32=0,"",[2]对账明细接口!$E$32),"")</f>
        <v>NO:0001117</v>
      </c>
      <c r="F32" s="16" t="str">
        <f>IFERROR(IF([2]对账明细接口!$F$32=0,"",[2]对账明细接口!$F$32),"")</f>
        <v>香梨网</v>
      </c>
      <c r="G32" s="16" t="str">
        <f>IFERROR(IF([2]对账明细接口!$G$32=0,"",[2]对账明细接口!$G$32),"")</f>
        <v>*包</v>
      </c>
      <c r="H32" s="176">
        <f>IFERROR(IF([2]对账明细接口!$H$32=0,"",[2]对账明细接口!$H$32),"")</f>
        <v>3</v>
      </c>
      <c r="I32" s="16" t="str">
        <f>IFERROR(IF([2]对账明细接口!$I$32=0,"",[2]对账明细接口!$I$32),"")</f>
        <v>包</v>
      </c>
      <c r="J32" s="177">
        <f>IFERROR(IF([2]对账明细接口!$J$32=0,"",[2]对账明细接口!$J$32),"")</f>
      </c>
      <c r="K32" s="177">
        <f>IFERROR(IF([2]对账明细接口!$K$32=0,"",[2]对账明细接口!$K$32),"")</f>
        <v>135</v>
      </c>
      <c r="L32" s="16" t="str">
        <f>IFERROR(IF([2]对账明细接口!$L$32=0,"",[2]对账明细接口!$L$32),"")</f>
        <v>未付款</v>
      </c>
      <c r="M32" s="16">
        <f>IFERROR(IF([2]对账明细接口!$M$32=0,"",[2]对账明细接口!$M$32),"")</f>
      </c>
      <c r="N32" s="19">
        <f>IF($C32="",0,1)</f>
        <v>1</v>
      </c>
      <c r="O32" s="19">
        <f>N(O31)+$N32</f>
        <v>29</v>
      </c>
      <c r="S32" s="20">
        <f>IFERROR(IF([2]对账明细接口!$N32=0,"",[2]对账明细接口!$N32),"")</f>
      </c>
      <c r="T32" s="212">
        <f>IFERROR(IF([2]对账明细接口!$O32=0,"",[2]对账明细接口!$O32),"")</f>
      </c>
      <c r="U32" s="212">
        <f>IFERROR(IF([2]对账明细接口!$P32=0,"",[2]对账明细接口!$P32),"")</f>
      </c>
      <c r="V32" s="212">
        <f>IFERROR(IF([2]对账明细接口!$Q32=0,"",[2]对账明细接口!$Q32),"")</f>
      </c>
      <c r="W32" s="20" t="str">
        <f>IFERROR(IF([2]对账明细接口!$R32=0,"",[2]对账明细接口!$R32),"")</f>
        <v>新N*Z0305</v>
      </c>
      <c r="X32" s="20">
        <f>IFERROR(IF([2]对账明细接口!$S32=0,"",[2]对账明细接口!$S32),"")</f>
      </c>
      <c r="Y32" s="20">
        <f>""</f>
      </c>
      <c r="Z32" s="20">
        <f>""</f>
      </c>
      <c r="AA32" s="20">
        <f>""</f>
      </c>
      <c r="AB32" s="20">
        <f>""</f>
      </c>
    </row>
    <row r="33" s="127">
      <c r="A33" s="14" t="n">
        <v>33</v>
      </c>
      <c r="B33" s="211">
        <f>IFERROR(IF([2]对账明细接口!$B$33=0,"",[2]对账明细接口!$B$33),"")</f>
        <v>46276.0</v>
      </c>
      <c r="C33" s="16" t="str">
        <f>IFERROR(IF([2]对账明细接口!$C$33=0,"",[2]对账明细接口!$C$33),"")</f>
        <v>热合曼</v>
      </c>
      <c r="D33" s="16" t="str">
        <f>IFERROR(IF([2]对账明细接口!$D$33=0,"",[2]对账明细接口!$D$33),"")</f>
        <v>包装物料－领用出库</v>
      </c>
      <c r="E33" s="16" t="str">
        <f>IFERROR(IF([2]对账明细接口!$E$33=0,"",[2]对账明细接口!$E$33),"")</f>
        <v>NO:0001120</v>
      </c>
      <c r="F33" s="16" t="str">
        <f>IFERROR(IF([2]对账明细接口!$F$33=0,"",[2]对账明细接口!$F$33),"")</f>
        <v>香梨网</v>
      </c>
      <c r="G33" s="16" t="str">
        <f>IFERROR(IF([2]对账明细接口!$G$33=0,"",[2]对账明细接口!$G$33),"")</f>
        <v>*包</v>
      </c>
      <c r="H33" s="176">
        <f>IFERROR(IF([2]对账明细接口!$H$33=0,"",[2]对账明细接口!$H$33),"")</f>
        <v>48</v>
      </c>
      <c r="I33" s="16" t="str">
        <f>IFERROR(IF([2]对账明细接口!$I$33=0,"",[2]对账明细接口!$I$33),"")</f>
        <v>包</v>
      </c>
      <c r="J33" s="177">
        <f>IFERROR(IF([2]对账明细接口!$J$33=0,"",[2]对账明细接口!$J$33),"")</f>
      </c>
      <c r="K33" s="177">
        <f>IFERROR(IF([2]对账明细接口!$K$33=0,"",[2]对账明细接口!$K$33),"")</f>
        <v>2160</v>
      </c>
      <c r="L33" s="16" t="str">
        <f>IFERROR(IF([2]对账明细接口!$L$33=0,"",[2]对账明细接口!$L$33),"")</f>
        <v>未付款</v>
      </c>
      <c r="M33" s="16">
        <f>IFERROR(IF([2]对账明细接口!$M$33=0,"",[2]对账明细接口!$M$33),"")</f>
      </c>
      <c r="N33" s="19">
        <f>IF($C33="",0,1)</f>
        <v>1</v>
      </c>
      <c r="O33" s="19">
        <f>N(O32)+$N33</f>
        <v>30</v>
      </c>
      <c r="S33" s="20">
        <f>IFERROR(IF([2]对账明细接口!$N33=0,"",[2]对账明细接口!$N33),"")</f>
      </c>
      <c r="T33" s="212">
        <f>IFERROR(IF([2]对账明细接口!$O33=0,"",[2]对账明细接口!$O33),"")</f>
      </c>
      <c r="U33" s="212">
        <f>IFERROR(IF([2]对账明细接口!$P33=0,"",[2]对账明细接口!$P33),"")</f>
      </c>
      <c r="V33" s="212">
        <f>IFERROR(IF([2]对账明细接口!$Q33=0,"",[2]对账明细接口!$Q33),"")</f>
      </c>
      <c r="W33" s="20" t="str">
        <f>IFERROR(IF([2]对账明细接口!$R33=0,"",[2]对账明细接口!$R33),"")</f>
        <v>新A*G0544</v>
      </c>
      <c r="X33" s="20">
        <f>IFERROR(IF([2]对账明细接口!$S33=0,"",[2]对账明细接口!$S33),"")</f>
      </c>
      <c r="Y33" s="20">
        <f>""</f>
      </c>
      <c r="Z33" s="20">
        <f>""</f>
      </c>
      <c r="AA33" s="20">
        <f>""</f>
      </c>
      <c r="AB33" s="20">
        <f>""</f>
      </c>
    </row>
    <row r="34" s="127">
      <c r="A34" s="14" t="n">
        <v>34</v>
      </c>
      <c r="B34" s="211">
        <f>IFERROR(IF([2]对账明细接口!$B$34=0,"",[2]对账明细接口!$B$34),"")</f>
        <v>46276.0</v>
      </c>
      <c r="C34" s="16" t="str">
        <f>IFERROR(IF([2]对账明细接口!$C$34=0,"",[2]对账明细接口!$C$34),"")</f>
        <v>吐尔洪</v>
      </c>
      <c r="D34" s="16" t="str">
        <f>IFERROR(IF([2]对账明细接口!$D$34=0,"",[2]对账明细接口!$D$34),"")</f>
        <v>包装物料－领用出库</v>
      </c>
      <c r="E34" s="16" t="str">
        <f>IFERROR(IF([2]对账明细接口!$E$34=0,"",[2]对账明细接口!$E$34),"")</f>
        <v>NO:0001121</v>
      </c>
      <c r="F34" s="16" t="str">
        <f>IFERROR(IF([2]对账明细接口!$F$34=0,"",[2]对账明细接口!$F$34),"")</f>
        <v>香梨网</v>
      </c>
      <c r="G34" s="16" t="str">
        <f>IFERROR(IF([2]对账明细接口!$G$34=0,"",[2]对账明细接口!$G$34),"")</f>
        <v>*包</v>
      </c>
      <c r="H34" s="176">
        <f>IFERROR(IF([2]对账明细接口!$H$34=0,"",[2]对账明细接口!$H$34),"")</f>
        <v>12</v>
      </c>
      <c r="I34" s="16" t="str">
        <f>IFERROR(IF([2]对账明细接口!$I$34=0,"",[2]对账明细接口!$I$34),"")</f>
        <v>包</v>
      </c>
      <c r="J34" s="177">
        <f>IFERROR(IF([2]对账明细接口!$J$34=0,"",[2]对账明细接口!$J$34),"")</f>
      </c>
      <c r="K34" s="177">
        <f>IFERROR(IF([2]对账明细接口!$K$34=0,"",[2]对账明细接口!$K$34),"")</f>
        <v>540</v>
      </c>
      <c r="L34" s="16" t="str">
        <f>IFERROR(IF([2]对账明细接口!$L$34=0,"",[2]对账明细接口!$L$34),"")</f>
        <v>未付款</v>
      </c>
      <c r="M34" s="16">
        <f>IFERROR(IF([2]对账明细接口!$M$34=0,"",[2]对账明细接口!$M$34),"")</f>
      </c>
      <c r="N34" s="19">
        <f>IF($C34="",0,1)</f>
        <v>1</v>
      </c>
      <c r="O34" s="19">
        <f>N(O33)+$N34</f>
        <v>31</v>
      </c>
      <c r="S34" s="20">
        <f>IFERROR(IF([2]对账明细接口!$N34=0,"",[2]对账明细接口!$N34),"")</f>
      </c>
      <c r="T34" s="212">
        <f>IFERROR(IF([2]对账明细接口!$O34=0,"",[2]对账明细接口!$O34),"")</f>
      </c>
      <c r="U34" s="212">
        <f>IFERROR(IF([2]对账明细接口!$P34=0,"",[2]对账明细接口!$P34),"")</f>
      </c>
      <c r="V34" s="212">
        <f>IFERROR(IF([2]对账明细接口!$Q34=0,"",[2]对账明细接口!$Q34),"")</f>
      </c>
      <c r="W34" s="20" t="str">
        <f>IFERROR(IF([2]对账明细接口!$R34=0,"",[2]对账明细接口!$R34),"")</f>
        <v>新N*X8S48</v>
      </c>
      <c r="X34" s="20">
        <f>IFERROR(IF([2]对账明细接口!$S34=0,"",[2]对账明细接口!$S34),"")</f>
      </c>
      <c r="Y34" s="20">
        <f>""</f>
      </c>
      <c r="Z34" s="20">
        <f>""</f>
      </c>
      <c r="AA34" s="20">
        <f>""</f>
      </c>
      <c r="AB34" s="20">
        <f>""</f>
      </c>
    </row>
    <row r="35" s="127">
      <c r="A35" s="14" t="n">
        <v>35</v>
      </c>
      <c r="B35" s="211">
        <f>IFERROR(IF([2]对账明细接口!$B$35=0,"",[2]对账明细接口!$B$35),"")</f>
        <v>46277.0</v>
      </c>
      <c r="C35" s="16" t="str">
        <f>IFERROR(IF([2]对账明细接口!$C$35=0,"",[2]对账明细接口!$C$35),"")</f>
        <v>新顺发泡网</v>
      </c>
      <c r="D35" s="16" t="str">
        <f>IFERROR(IF([2]对账明细接口!$D$35=0,"",[2]对账明细接口!$D$35),"")</f>
        <v>包装物料－采购入库</v>
      </c>
      <c r="E35" s="16" t="str">
        <f>IFERROR(IF([2]对账明细接口!$E$35=0,"",[2]对账明细接口!$E$35),"")</f>
        <v>NO:0000791</v>
      </c>
      <c r="F35" s="16" t="str">
        <f>IFERROR(IF([2]对账明细接口!$F$35=0,"",[2]对账明细接口!$F$35),"")</f>
        <v>香梨网</v>
      </c>
      <c r="G35" s="16" t="str">
        <f>IFERROR(IF([2]对账明细接口!$G$35=0,"",[2]对账明细接口!$G$35),"")</f>
        <v>*包</v>
      </c>
      <c r="H35" s="176">
        <f>IFERROR(IF([2]对账明细接口!$H$35=0,"",[2]对账明细接口!$H$35),"")</f>
        <v>120</v>
      </c>
      <c r="I35" s="16" t="str">
        <f>IFERROR(IF([2]对账明细接口!$I$35=0,"",[2]对账明细接口!$I$35),"")</f>
        <v>包</v>
      </c>
      <c r="J35" s="177">
        <f>IFERROR(IF([2]对账明细接口!$J$35=0,"",[2]对账明细接口!$J$35),"")</f>
      </c>
      <c r="K35" s="177">
        <f>IFERROR(IF([2]对账明细接口!$K$35=0,"",[2]对账明细接口!$K$35),"")</f>
        <v>4440</v>
      </c>
      <c r="L35" s="16" t="str">
        <f>IFERROR(IF([2]对账明细接口!$L$35=0,"",[2]对账明细接口!$L$35),"")</f>
        <v>未付款</v>
      </c>
      <c r="M35" s="16" t="str">
        <f>IFERROR(IF([2]对账明细接口!$M$35=0,"",[2]对账明细接口!$M$35),"")</f>
        <v>12#</v>
      </c>
      <c r="N35" s="19">
        <f>IF($C35="",0,1)</f>
        <v>1</v>
      </c>
      <c r="O35" s="19">
        <f>N(O34)+$N35</f>
        <v>32</v>
      </c>
      <c r="S35" s="20">
        <f>IFERROR(IF([2]对账明细接口!$N35=0,"",[2]对账明细接口!$N35),"")</f>
      </c>
      <c r="T35" s="212">
        <f>IFERROR(IF([2]对账明细接口!$O35=0,"",[2]对账明细接口!$O35),"")</f>
      </c>
      <c r="U35" s="212">
        <f>IFERROR(IF([2]对账明细接口!$P35=0,"",[2]对账明细接口!$P35),"")</f>
      </c>
      <c r="V35" s="212">
        <f>IFERROR(IF([2]对账明细接口!$Q35=0,"",[2]对账明细接口!$Q35),"")</f>
      </c>
      <c r="W35" s="20" t="str">
        <f>IFERROR(IF([2]对账明细接口!$R35=0,"",[2]对账明细接口!$R35),"")</f>
        <v>皖L*SD929</v>
      </c>
      <c r="X35" s="20">
        <f>IFERROR(IF([2]对账明细接口!$S35=0,"",[2]对账明细接口!$S35),"")</f>
      </c>
      <c r="Y35" s="20">
        <f>""</f>
      </c>
      <c r="Z35" s="20">
        <f>""</f>
      </c>
      <c r="AA35" s="20">
        <f>""</f>
      </c>
      <c r="AB35" s="20">
        <f>""</f>
      </c>
    </row>
    <row r="36" s="127">
      <c r="A36" s="14" t="n">
        <v>36</v>
      </c>
      <c r="B36" s="211">
        <f>IFERROR(IF([2]对账明细接口!$B$36=0,"",[2]对账明细接口!$B$36),"")</f>
        <v>46277.0</v>
      </c>
      <c r="C36" s="16" t="str">
        <f>IFERROR(IF([2]对账明细接口!$C$36=0,"",[2]对账明细接口!$C$36),"")</f>
        <v>麦麦提</v>
      </c>
      <c r="D36" s="16" t="str">
        <f>IFERROR(IF([2]对账明细接口!$D$36=0,"",[2]对账明细接口!$D$36),"")</f>
        <v>包装物料－领用出库</v>
      </c>
      <c r="E36" s="16" t="str">
        <f>IFERROR(IF([2]对账明细接口!$E$36=0,"",[2]对账明细接口!$E$36),"")</f>
        <v>NO:0001125</v>
      </c>
      <c r="F36" s="16" t="str">
        <f>IFERROR(IF([2]对账明细接口!$F$36=0,"",[2]对账明细接口!$F$36),"")</f>
        <v>香梨网</v>
      </c>
      <c r="G36" s="16" t="str">
        <f>IFERROR(IF([2]对账明细接口!$G$36=0,"",[2]对账明细接口!$G$36),"")</f>
        <v>*包</v>
      </c>
      <c r="H36" s="176">
        <f>IFERROR(IF([2]对账明细接口!$H$36=0,"",[2]对账明细接口!$H$36),"")</f>
        <v>48</v>
      </c>
      <c r="I36" s="16" t="str">
        <f>IFERROR(IF([2]对账明细接口!$I$36=0,"",[2]对账明细接口!$I$36),"")</f>
        <v>包</v>
      </c>
      <c r="J36" s="177">
        <f>IFERROR(IF([2]对账明细接口!$J$36=0,"",[2]对账明细接口!$J$36),"")</f>
      </c>
      <c r="K36" s="177">
        <f>IFERROR(IF([2]对账明细接口!$K$36=0,"",[2]对账明细接口!$K$36),"")</f>
        <v>2160</v>
      </c>
      <c r="L36" s="16" t="str">
        <f>IFERROR(IF([2]对账明细接口!$L$36=0,"",[2]对账明细接口!$L$36),"")</f>
        <v>未付款</v>
      </c>
      <c r="M36" s="16">
        <f>IFERROR(IF([2]对账明细接口!$M$36=0,"",[2]对账明细接口!$M$36),"")</f>
      </c>
      <c r="N36" s="19">
        <f>IF($C36="",0,1)</f>
        <v>1</v>
      </c>
      <c r="O36" s="19">
        <f>N(O35)+$N36</f>
        <v>33</v>
      </c>
      <c r="S36" s="20">
        <f>IFERROR(IF([2]对账明细接口!$N36=0,"",[2]对账明细接口!$N36),"")</f>
      </c>
      <c r="T36" s="212">
        <f>IFERROR(IF([2]对账明细接口!$O36=0,"",[2]对账明细接口!$O36),"")</f>
      </c>
      <c r="U36" s="212">
        <f>IFERROR(IF([2]对账明细接口!$P36=0,"",[2]对账明细接口!$P36),"")</f>
      </c>
      <c r="V36" s="212">
        <f>IFERROR(IF([2]对账明细接口!$Q36=0,"",[2]对账明细接口!$Q36),"")</f>
      </c>
      <c r="W36" s="20" t="str">
        <f>IFERROR(IF([2]对账明细接口!$R36=0,"",[2]对账明细接口!$R36),"")</f>
        <v>新A*G0544</v>
      </c>
      <c r="X36" s="20">
        <f>IFERROR(IF([2]对账明细接口!$S36=0,"",[2]对账明细接口!$S36),"")</f>
      </c>
      <c r="Y36" s="20">
        <f>""</f>
      </c>
      <c r="Z36" s="20">
        <f>""</f>
      </c>
      <c r="AA36" s="20">
        <f>""</f>
      </c>
      <c r="AB36" s="20">
        <f>""</f>
      </c>
    </row>
    <row r="37" s="127">
      <c r="A37" s="14" t="n">
        <v>37</v>
      </c>
      <c r="B37" s="211">
        <f>IFERROR(IF([2]对账明细接口!$B$37=0,"",[2]对账明细接口!$B$37),"")</f>
        <v>46278.0</v>
      </c>
      <c r="C37" s="16" t="str">
        <f>IFERROR(IF([2]对账明细接口!$C$37=0,"",[2]对账明细接口!$C$37),"")</f>
        <v>荆建君</v>
      </c>
      <c r="D37" s="16" t="str">
        <f>IFERROR(IF([2]对账明细接口!$D$37=0,"",[2]对账明细接口!$D$37),"")</f>
        <v>包装物料－领用出库</v>
      </c>
      <c r="E37" s="16" t="str">
        <f>IFERROR(IF([2]对账明细接口!$E$37=0,"",[2]对账明细接口!$E$37),"")</f>
        <v>NO:0001126</v>
      </c>
      <c r="F37" s="16" t="str">
        <f>IFERROR(IF([2]对账明细接口!$F$37=0,"",[2]对账明细接口!$F$37),"")</f>
        <v>香梨网</v>
      </c>
      <c r="G37" s="16" t="str">
        <f>IFERROR(IF([2]对账明细接口!$G$37=0,"",[2]对账明细接口!$G$37),"")</f>
        <v>*包</v>
      </c>
      <c r="H37" s="176">
        <f>IFERROR(IF([2]对账明细接口!$H$37=0,"",[2]对账明细接口!$H$37),"")</f>
        <v>120</v>
      </c>
      <c r="I37" s="16" t="str">
        <f>IFERROR(IF([2]对账明细接口!$I$37=0,"",[2]对账明细接口!$I$37),"")</f>
        <v>包</v>
      </c>
      <c r="J37" s="177">
        <f>IFERROR(IF([2]对账明细接口!$J$37=0,"",[2]对账明细接口!$J$37),"")</f>
      </c>
      <c r="K37" s="177">
        <f>IFERROR(IF([2]对账明细接口!$K$37=0,"",[2]对账明细接口!$K$37),"")</f>
        <v>5400</v>
      </c>
      <c r="L37" s="16" t="str">
        <f>IFERROR(IF([2]对账明细接口!$L$37=0,"",[2]对账明细接口!$L$37),"")</f>
        <v>未付款</v>
      </c>
      <c r="M37" s="16">
        <f>IFERROR(IF([2]对账明细接口!$M$37=0,"",[2]对账明细接口!$M$37),"")</f>
      </c>
      <c r="N37" s="19">
        <f>IF($C37="",0,1)</f>
        <v>1</v>
      </c>
      <c r="O37" s="19">
        <f>N(O36)+$N37</f>
        <v>34</v>
      </c>
      <c r="S37" s="20">
        <f>IFERROR(IF([2]对账明细接口!$N37=0,"",[2]对账明细接口!$N37),"")</f>
      </c>
      <c r="T37" s="212">
        <f>IFERROR(IF([2]对账明细接口!$O37=0,"",[2]对账明细接口!$O37),"")</f>
      </c>
      <c r="U37" s="212">
        <f>IFERROR(IF([2]对账明细接口!$P37=0,"",[2]对账明细接口!$P37),"")</f>
      </c>
      <c r="V37" s="212">
        <f>IFERROR(IF([2]对账明细接口!$Q37=0,"",[2]对账明细接口!$Q37),"")</f>
      </c>
      <c r="W37" s="20" t="str">
        <f>IFERROR(IF([2]对账明细接口!$R37=0,"",[2]对账明细接口!$R37),"")</f>
        <v>豫A*2737K</v>
      </c>
      <c r="X37" s="20">
        <f>IFERROR(IF([2]对账明细接口!$S37=0,"",[2]对账明细接口!$S37),"")</f>
      </c>
      <c r="Y37" s="20">
        <f>""</f>
      </c>
      <c r="Z37" s="20">
        <f>""</f>
      </c>
      <c r="AA37" s="20">
        <f>""</f>
      </c>
      <c r="AB37" s="20">
        <f>""</f>
      </c>
    </row>
    <row r="38" s="127">
      <c r="A38" s="14" t="n">
        <v>38</v>
      </c>
      <c r="B38" s="211">
        <f>IFERROR(IF([2]对账明细接口!$B$38=0,"",[2]对账明细接口!$B$38),"")</f>
        <v>46278.0</v>
      </c>
      <c r="C38" s="16" t="str">
        <f>IFERROR(IF([2]对账明细接口!$C$38=0,"",[2]对账明细接口!$C$38),"")</f>
        <v>吐尔洪</v>
      </c>
      <c r="D38" s="16" t="str">
        <f>IFERROR(IF([2]对账明细接口!$D$38=0,"",[2]对账明细接口!$D$38),"")</f>
        <v>包装物料－领用出库</v>
      </c>
      <c r="E38" s="16" t="str">
        <f>IFERROR(IF([2]对账明细接口!$E$38=0,"",[2]对账明细接口!$E$38),"")</f>
        <v>NO:0001132</v>
      </c>
      <c r="F38" s="16" t="str">
        <f>IFERROR(IF([2]对账明细接口!$F$38=0,"",[2]对账明细接口!$F$38),"")</f>
        <v>香梨网</v>
      </c>
      <c r="G38" s="16" t="str">
        <f>IFERROR(IF([2]对账明细接口!$G$38=0,"",[2]对账明细接口!$G$38),"")</f>
        <v>*包</v>
      </c>
      <c r="H38" s="176">
        <f>IFERROR(IF([2]对账明细接口!$H$38=0,"",[2]对账明细接口!$H$38),"")</f>
        <v>24</v>
      </c>
      <c r="I38" s="16" t="str">
        <f>IFERROR(IF([2]对账明细接口!$I$38=0,"",[2]对账明细接口!$I$38),"")</f>
        <v>包</v>
      </c>
      <c r="J38" s="177">
        <f>IFERROR(IF([2]对账明细接口!$J$38=0,"",[2]对账明细接口!$J$38),"")</f>
      </c>
      <c r="K38" s="177">
        <f>IFERROR(IF([2]对账明细接口!$K$38=0,"",[2]对账明细接口!$K$38),"")</f>
        <v>1080</v>
      </c>
      <c r="L38" s="16" t="str">
        <f>IFERROR(IF([2]对账明细接口!$L$38=0,"",[2]对账明细接口!$L$38),"")</f>
        <v>未付款</v>
      </c>
      <c r="M38" s="16">
        <f>IFERROR(IF([2]对账明细接口!$M$38=0,"",[2]对账明细接口!$M$38),"")</f>
      </c>
      <c r="N38" s="19">
        <f>IF($C38="",0,1)</f>
        <v>1</v>
      </c>
      <c r="O38" s="19">
        <f>N(O37)+$N38</f>
        <v>35</v>
      </c>
      <c r="S38" s="20">
        <f>IFERROR(IF([2]对账明细接口!$N38=0,"",[2]对账明细接口!$N38),"")</f>
      </c>
      <c r="T38" s="212">
        <f>IFERROR(IF([2]对账明细接口!$O38=0,"",[2]对账明细接口!$O38),"")</f>
      </c>
      <c r="U38" s="212">
        <f>IFERROR(IF([2]对账明细接口!$P38=0,"",[2]对账明细接口!$P38),"")</f>
      </c>
      <c r="V38" s="212">
        <f>IFERROR(IF([2]对账明细接口!$Q38=0,"",[2]对账明细接口!$Q38),"")</f>
      </c>
      <c r="W38" s="20" t="str">
        <f>IFERROR(IF([2]对账明细接口!$R38=0,"",[2]对账明细接口!$R38),"")</f>
        <v>新N*X8S48</v>
      </c>
      <c r="X38" s="20">
        <f>IFERROR(IF([2]对账明细接口!$S38=0,"",[2]对账明细接口!$S38),"")</f>
      </c>
      <c r="Y38" s="20">
        <f>""</f>
      </c>
      <c r="Z38" s="20">
        <f>""</f>
      </c>
      <c r="AA38" s="20">
        <f>""</f>
      </c>
      <c r="AB38" s="20">
        <f>""</f>
      </c>
    </row>
    <row r="39" s="127">
      <c r="A39" s="14" t="n">
        <v>39</v>
      </c>
      <c r="B39" s="211">
        <f>IFERROR(IF([2]对账明细接口!$B$39=0,"",[2]对账明细接口!$B$39),"")</f>
        <v>46278.0</v>
      </c>
      <c r="C39" s="16" t="str">
        <f>IFERROR(IF([2]对账明细接口!$C$39=0,"",[2]对账明细接口!$C$39),"")</f>
        <v>努尔敦</v>
      </c>
      <c r="D39" s="16" t="str">
        <f>IFERROR(IF([2]对账明细接口!$D$39=0,"",[2]对账明细接口!$D$39),"")</f>
        <v>包装物料－领用出库</v>
      </c>
      <c r="E39" s="16" t="str">
        <f>IFERROR(IF([2]对账明细接口!$E$39=0,"",[2]对账明细接口!$E$39),"")</f>
        <v>NO:0001133</v>
      </c>
      <c r="F39" s="16" t="str">
        <f>IFERROR(IF([2]对账明细接口!$F$39=0,"",[2]对账明细接口!$F$39),"")</f>
        <v>香梨网</v>
      </c>
      <c r="G39" s="16" t="str">
        <f>IFERROR(IF([2]对账明细接口!$G$39=0,"",[2]对账明细接口!$G$39),"")</f>
        <v>*包</v>
      </c>
      <c r="H39" s="176">
        <f>IFERROR(IF([2]对账明细接口!$H$39=0,"",[2]对账明细接口!$H$39),"")</f>
        <v>120</v>
      </c>
      <c r="I39" s="16" t="str">
        <f>IFERROR(IF([2]对账明细接口!$I$39=0,"",[2]对账明细接口!$I$39),"")</f>
        <v>包</v>
      </c>
      <c r="J39" s="177">
        <f>IFERROR(IF([2]对账明细接口!$J$39=0,"",[2]对账明细接口!$J$39),"")</f>
      </c>
      <c r="K39" s="177">
        <f>IFERROR(IF([2]对账明细接口!$K$39=0,"",[2]对账明细接口!$K$39),"")</f>
        <v>5400</v>
      </c>
      <c r="L39" s="16" t="str">
        <f>IFERROR(IF([2]对账明细接口!$L$39=0,"",[2]对账明细接口!$L$39),"")</f>
        <v>未付款</v>
      </c>
      <c r="M39" s="16">
        <f>IFERROR(IF([2]对账明细接口!$M$39=0,"",[2]对账明细接口!$M$39),"")</f>
      </c>
      <c r="N39" s="19">
        <f>IF($C39="",0,1)</f>
        <v>1</v>
      </c>
      <c r="O39" s="19">
        <f>N(O38)+$N39</f>
        <v>36</v>
      </c>
      <c r="S39" s="20">
        <f>IFERROR(IF([2]对账明细接口!$N39=0,"",[2]对账明细接口!$N39),"")</f>
      </c>
      <c r="T39" s="212">
        <f>IFERROR(IF([2]对账明细接口!$O39=0,"",[2]对账明细接口!$O39),"")</f>
      </c>
      <c r="U39" s="212">
        <f>IFERROR(IF([2]对账明细接口!$P39=0,"",[2]对账明细接口!$P39),"")</f>
      </c>
      <c r="V39" s="212">
        <f>IFERROR(IF([2]对账明细接口!$Q39=0,"",[2]对账明细接口!$Q39),"")</f>
      </c>
      <c r="W39" s="20" t="str">
        <f>IFERROR(IF([2]对账明细接口!$R39=0,"",[2]对账明细接口!$R39),"")</f>
        <v>新F*75240</v>
      </c>
      <c r="X39" s="20">
        <f>IFERROR(IF([2]对账明细接口!$S39=0,"",[2]对账明细接口!$S39),"")</f>
      </c>
      <c r="Y39" s="20">
        <f>""</f>
      </c>
      <c r="Z39" s="20">
        <f>""</f>
      </c>
      <c r="AA39" s="20">
        <f>""</f>
      </c>
      <c r="AB39" s="20">
        <f>""</f>
      </c>
    </row>
    <row r="40" s="127">
      <c r="A40" s="14" t="n">
        <v>40</v>
      </c>
      <c r="B40" s="211">
        <f>IFERROR(IF([2]对账明细接口!$B$40=0,"",[2]对账明细接口!$B$40),"")</f>
        <v>46279.0</v>
      </c>
      <c r="C40" s="16" t="str">
        <f>IFERROR(IF([2]对账明细接口!$C$40=0,"",[2]对账明细接口!$C$40),"")</f>
        <v>新顺发泡网</v>
      </c>
      <c r="D40" s="16" t="str">
        <f>IFERROR(IF([2]对账明细接口!$D$40=0,"",[2]对账明细接口!$D$40),"")</f>
        <v>包装物料－采购入库</v>
      </c>
      <c r="E40" s="16" t="str">
        <f>IFERROR(IF([2]对账明细接口!$E$40=0,"",[2]对账明细接口!$E$40),"")</f>
        <v>NO:0000856</v>
      </c>
      <c r="F40" s="16" t="str">
        <f>IFERROR(IF([2]对账明细接口!$F$40=0,"",[2]对账明细接口!$F$40),"")</f>
        <v>香梨网</v>
      </c>
      <c r="G40" s="16" t="str">
        <f>IFERROR(IF([2]对账明细接口!$G$40=0,"",[2]对账明细接口!$G$40),"")</f>
        <v>*包</v>
      </c>
      <c r="H40" s="176">
        <f>IFERROR(IF([2]对账明细接口!$H$40=0,"",[2]对账明细接口!$H$40),"")</f>
        <v>100</v>
      </c>
      <c r="I40" s="16" t="str">
        <f>IFERROR(IF([2]对账明细接口!$I$40=0,"",[2]对账明细接口!$I$40),"")</f>
        <v>包</v>
      </c>
      <c r="J40" s="177">
        <f>IFERROR(IF([2]对账明细接口!$J$40=0,"",[2]对账明细接口!$J$40),"")</f>
      </c>
      <c r="K40" s="177">
        <f>IFERROR(IF([2]对账明细接口!$K$40=0,"",[2]对账明细接口!$K$40),"")</f>
        <v>3700</v>
      </c>
      <c r="L40" s="16" t="str">
        <f>IFERROR(IF([2]对账明细接口!$L$40=0,"",[2]对账明细接口!$L$40),"")</f>
        <v>未付款</v>
      </c>
      <c r="M40" s="16" t="str">
        <f>IFERROR(IF([2]对账明细接口!$M$40=0,"",[2]对账明细接口!$M$40),"")</f>
        <v>12#</v>
      </c>
      <c r="N40" s="19">
        <f>IF($C40="",0,1)</f>
        <v>1</v>
      </c>
      <c r="O40" s="19">
        <f>N(O39)+$N40</f>
        <v>37</v>
      </c>
      <c r="S40" s="20">
        <f>IFERROR(IF([2]对账明细接口!$N40=0,"",[2]对账明细接口!$N40),"")</f>
      </c>
      <c r="T40" s="212">
        <f>IFERROR(IF([2]对账明细接口!$O40=0,"",[2]对账明细接口!$O40),"")</f>
      </c>
      <c r="U40" s="212">
        <f>IFERROR(IF([2]对账明细接口!$P40=0,"",[2]对账明细接口!$P40),"")</f>
      </c>
      <c r="V40" s="212">
        <f>IFERROR(IF([2]对账明细接口!$Q40=0,"",[2]对账明细接口!$Q40),"")</f>
      </c>
      <c r="W40" s="20" t="str">
        <f>IFERROR(IF([2]对账明细接口!$R40=0,"",[2]对账明细接口!$R40),"")</f>
        <v>新N*2698H</v>
      </c>
      <c r="X40" s="20">
        <f>IFERROR(IF([2]对账明细接口!$S40=0,"",[2]对账明细接口!$S40),"")</f>
      </c>
      <c r="Y40" s="20">
        <f>""</f>
      </c>
      <c r="Z40" s="20">
        <f>""</f>
      </c>
      <c r="AA40" s="20">
        <f>""</f>
      </c>
      <c r="AB40" s="20">
        <f>""</f>
      </c>
    </row>
    <row r="41" s="127">
      <c r="A41" s="14" t="n">
        <v>41</v>
      </c>
      <c r="B41" s="211">
        <f>IFERROR(IF([2]对账明细接口!$B$41=0,"",[2]对账明细接口!$B$41),"")</f>
        <v>46280.0</v>
      </c>
      <c r="C41" s="16" t="str">
        <f>IFERROR(IF([2]对账明细接口!$C$41=0,"",[2]对账明细接口!$C$41),"")</f>
        <v>新顺发泡网</v>
      </c>
      <c r="D41" s="16" t="str">
        <f>IFERROR(IF([2]对账明细接口!$D$41=0,"",[2]对账明细接口!$D$41),"")</f>
        <v>包装物料－采购入库</v>
      </c>
      <c r="E41" s="16" t="str">
        <f>IFERROR(IF([2]对账明细接口!$E$41=0,"",[2]对账明细接口!$E$41),"")</f>
        <v>NO:0000862</v>
      </c>
      <c r="F41" s="16" t="str">
        <f>IFERROR(IF([2]对账明细接口!$F$41=0,"",[2]对账明细接口!$F$41),"")</f>
        <v>香梨网</v>
      </c>
      <c r="G41" s="16" t="str">
        <f>IFERROR(IF([2]对账明细接口!$G$41=0,"",[2]对账明细接口!$G$41),"")</f>
        <v>*包</v>
      </c>
      <c r="H41" s="176">
        <f>IFERROR(IF([2]对账明细接口!$H$41=0,"",[2]对账明细接口!$H$41),"")</f>
        <v>120</v>
      </c>
      <c r="I41" s="16" t="str">
        <f>IFERROR(IF([2]对账明细接口!$I$41=0,"",[2]对账明细接口!$I$41),"")</f>
        <v>包</v>
      </c>
      <c r="J41" s="177">
        <f>IFERROR(IF([2]对账明细接口!$J$41=0,"",[2]对账明细接口!$J$41),"")</f>
      </c>
      <c r="K41" s="177">
        <f>IFERROR(IF([2]对账明细接口!$K$41=0,"",[2]对账明细接口!$K$41),"")</f>
        <v>4440</v>
      </c>
      <c r="L41" s="16" t="str">
        <f>IFERROR(IF([2]对账明细接口!$L$41=0,"",[2]对账明细接口!$L$41),"")</f>
        <v>未付款</v>
      </c>
      <c r="M41" s="16" t="str">
        <f>IFERROR(IF([2]对账明细接口!$M$41=0,"",[2]对账明细接口!$M$41),"")</f>
        <v>12#</v>
      </c>
      <c r="N41" s="19">
        <f>IF($C41="",0,1)</f>
        <v>1</v>
      </c>
      <c r="O41" s="19">
        <f>N(O40)+$N41</f>
        <v>38</v>
      </c>
      <c r="S41" s="20">
        <f>IFERROR(IF([2]对账明细接口!$N41=0,"",[2]对账明细接口!$N41),"")</f>
      </c>
      <c r="T41" s="212">
        <f>IFERROR(IF([2]对账明细接口!$O41=0,"",[2]对账明细接口!$O41),"")</f>
      </c>
      <c r="U41" s="212">
        <f>IFERROR(IF([2]对账明细接口!$P41=0,"",[2]对账明细接口!$P41),"")</f>
      </c>
      <c r="V41" s="212">
        <f>IFERROR(IF([2]对账明细接口!$Q41=0,"",[2]对账明细接口!$Q41),"")</f>
      </c>
      <c r="W41" s="20" t="str">
        <f>IFERROR(IF([2]对账明细接口!$R41=0,"",[2]对账明细接口!$R41),"")</f>
        <v>皖L*SD929</v>
      </c>
      <c r="X41" s="20">
        <f>IFERROR(IF([2]对账明细接口!$S41=0,"",[2]对账明细接口!$S41),"")</f>
      </c>
      <c r="Y41" s="20">
        <f>""</f>
      </c>
      <c r="Z41" s="20">
        <f>""</f>
      </c>
      <c r="AA41" s="20">
        <f>""</f>
      </c>
      <c r="AB41" s="20">
        <f>""</f>
      </c>
    </row>
    <row r="42" s="127">
      <c r="A42" s="14" t="n">
        <v>42</v>
      </c>
      <c r="B42" s="211">
        <f>IFERROR(IF([2]对账明细接口!$B$42=0,"",[2]对账明细接口!$B$42),"")</f>
        <v>46280.0</v>
      </c>
      <c r="C42" s="16" t="str">
        <f>IFERROR(IF([2]对账明细接口!$C$42=0,"",[2]对账明细接口!$C$42),"")</f>
        <v>新顺发泡网</v>
      </c>
      <c r="D42" s="16" t="str">
        <f>IFERROR(IF([2]对账明细接口!$D$42=0,"",[2]对账明细接口!$D$42),"")</f>
        <v>包装物料－采购入库</v>
      </c>
      <c r="E42" s="16" t="str">
        <f>IFERROR(IF([2]对账明细接口!$E$42=0,"",[2]对账明细接口!$E$42),"")</f>
        <v>NO:0000865</v>
      </c>
      <c r="F42" s="16" t="str">
        <f>IFERROR(IF([2]对账明细接口!$F$42=0,"",[2]对账明细接口!$F$42),"")</f>
        <v>香梨网</v>
      </c>
      <c r="G42" s="16" t="str">
        <f>IFERROR(IF([2]对账明细接口!$G$42=0,"",[2]对账明细接口!$G$42),"")</f>
        <v>*包</v>
      </c>
      <c r="H42" s="176">
        <f>IFERROR(IF([2]对账明细接口!$H$42=0,"",[2]对账明细接口!$H$42),"")</f>
        <v>120</v>
      </c>
      <c r="I42" s="16" t="str">
        <f>IFERROR(IF([2]对账明细接口!$I$42=0,"",[2]对账明细接口!$I$42),"")</f>
        <v>包</v>
      </c>
      <c r="J42" s="177">
        <f>IFERROR(IF([2]对账明细接口!$J$42=0,"",[2]对账明细接口!$J$42),"")</f>
      </c>
      <c r="K42" s="177">
        <f>IFERROR(IF([2]对账明细接口!$K$42=0,"",[2]对账明细接口!$K$42),"")</f>
        <v>4440</v>
      </c>
      <c r="L42" s="16" t="str">
        <f>IFERROR(IF([2]对账明细接口!$L$42=0,"",[2]对账明细接口!$L$42),"")</f>
        <v>未付款</v>
      </c>
      <c r="M42" s="16" t="str">
        <f>IFERROR(IF([2]对账明细接口!$M$42=0,"",[2]对账明细接口!$M$42),"")</f>
        <v>12#</v>
      </c>
      <c r="N42" s="19">
        <f>IF($C42="",0,1)</f>
        <v>1</v>
      </c>
      <c r="O42" s="19">
        <f>N(O41)+$N42</f>
        <v>39</v>
      </c>
      <c r="S42" s="20">
        <f>IFERROR(IF([2]对账明细接口!$N42=0,"",[2]对账明细接口!$N42),"")</f>
      </c>
      <c r="T42" s="212">
        <f>IFERROR(IF([2]对账明细接口!$O42=0,"",[2]对账明细接口!$O42),"")</f>
      </c>
      <c r="U42" s="212">
        <f>IFERROR(IF([2]对账明细接口!$P42=0,"",[2]对账明细接口!$P42),"")</f>
      </c>
      <c r="V42" s="212">
        <f>IFERROR(IF([2]对账明细接口!$Q42=0,"",[2]对账明细接口!$Q42),"")</f>
      </c>
      <c r="W42" s="20" t="str">
        <f>IFERROR(IF([2]对账明细接口!$R42=0,"",[2]对账明细接口!$R42),"")</f>
        <v>皖L*KW876</v>
      </c>
      <c r="X42" s="20">
        <f>IFERROR(IF([2]对账明细接口!$S42=0,"",[2]对账明细接口!$S42),"")</f>
      </c>
      <c r="Y42" s="20">
        <f>""</f>
      </c>
      <c r="Z42" s="20">
        <f>""</f>
      </c>
      <c r="AA42" s="20">
        <f>""</f>
      </c>
      <c r="AB42" s="20">
        <f>""</f>
      </c>
    </row>
    <row r="43" s="127">
      <c r="A43" s="14" t="n">
        <v>43</v>
      </c>
      <c r="B43" s="211">
        <f>IFERROR(IF([2]对账明细接口!$B$43=0,"",[2]对账明细接口!$B$43),"")</f>
        <v>46281.0</v>
      </c>
      <c r="C43" s="16" t="str">
        <f>IFERROR(IF([2]对账明细接口!$C$43=0,"",[2]对账明细接口!$C$43),"")</f>
        <v>热合曼</v>
      </c>
      <c r="D43" s="16" t="str">
        <f>IFERROR(IF([2]对账明细接口!$D$43=0,"",[2]对账明细接口!$D$43),"")</f>
        <v>包装物料－领用出库</v>
      </c>
      <c r="E43" s="16" t="str">
        <f>IFERROR(IF([2]对账明细接口!$E$43=0,"",[2]对账明细接口!$E$43),"")</f>
        <v>NO:0001149</v>
      </c>
      <c r="F43" s="16" t="str">
        <f>IFERROR(IF([2]对账明细接口!$F$43=0,"",[2]对账明细接口!$F$43),"")</f>
        <v>香梨网</v>
      </c>
      <c r="G43" s="16" t="str">
        <f>IFERROR(IF([2]对账明细接口!$G$43=0,"",[2]对账明细接口!$G$43),"")</f>
        <v>*包</v>
      </c>
      <c r="H43" s="176">
        <f>IFERROR(IF([2]对账明细接口!$H$43=0,"",[2]对账明细接口!$H$43),"")</f>
        <v>48</v>
      </c>
      <c r="I43" s="16" t="str">
        <f>IFERROR(IF([2]对账明细接口!$I$43=0,"",[2]对账明细接口!$I$43),"")</f>
        <v>包</v>
      </c>
      <c r="J43" s="177">
        <f>IFERROR(IF([2]对账明细接口!$J$43=0,"",[2]对账明细接口!$J$43),"")</f>
      </c>
      <c r="K43" s="177">
        <f>IFERROR(IF([2]对账明细接口!$K$43=0,"",[2]对账明细接口!$K$43),"")</f>
        <v>2160</v>
      </c>
      <c r="L43" s="16" t="str">
        <f>IFERROR(IF([2]对账明细接口!$L$43=0,"",[2]对账明细接口!$L$43),"")</f>
        <v>未付款</v>
      </c>
      <c r="M43" s="16">
        <f>IFERROR(IF([2]对账明细接口!$M$43=0,"",[2]对账明细接口!$M$43),"")</f>
      </c>
      <c r="N43" s="19">
        <f>IF($C43="",0,1)</f>
        <v>1</v>
      </c>
      <c r="O43" s="19">
        <f>N(O42)+$N43</f>
        <v>40</v>
      </c>
      <c r="S43" s="20">
        <f>IFERROR(IF([2]对账明细接口!$N43=0,"",[2]对账明细接口!$N43),"")</f>
      </c>
      <c r="T43" s="212">
        <f>IFERROR(IF([2]对账明细接口!$O43=0,"",[2]对账明细接口!$O43),"")</f>
      </c>
      <c r="U43" s="212">
        <f>IFERROR(IF([2]对账明细接口!$P43=0,"",[2]对账明细接口!$P43),"")</f>
      </c>
      <c r="V43" s="212">
        <f>IFERROR(IF([2]对账明细接口!$Q43=0,"",[2]对账明细接口!$Q43),"")</f>
      </c>
      <c r="W43" s="20" t="str">
        <f>IFERROR(IF([2]对账明细接口!$R43=0,"",[2]对账明细接口!$R43),"")</f>
        <v>新A*G0544</v>
      </c>
      <c r="X43" s="20">
        <f>IFERROR(IF([2]对账明细接口!$S43=0,"",[2]对账明细接口!$S43),"")</f>
      </c>
      <c r="Y43" s="20">
        <f>""</f>
      </c>
      <c r="Z43" s="20">
        <f>""</f>
      </c>
      <c r="AA43" s="20">
        <f>""</f>
      </c>
      <c r="AB43" s="20">
        <f>""</f>
      </c>
    </row>
    <row r="44" s="127">
      <c r="A44" s="14" t="n">
        <v>44</v>
      </c>
      <c r="B44" s="211">
        <f>IFERROR(IF([2]对账明细接口!$B$44=0,"",[2]对账明细接口!$B$44),"")</f>
        <v>46282.0</v>
      </c>
      <c r="C44" s="16" t="str">
        <f>IFERROR(IF([2]对账明细接口!$C$44=0,"",[2]对账明细接口!$C$44),"")</f>
        <v>努尔敦</v>
      </c>
      <c r="D44" s="16" t="str">
        <f>IFERROR(IF([2]对账明细接口!$D$44=0,"",[2]对账明细接口!$D$44),"")</f>
        <v>包装物料－领用出库</v>
      </c>
      <c r="E44" s="16" t="str">
        <f>IFERROR(IF([2]对账明细接口!$E$44=0,"",[2]对账明细接口!$E$44),"")</f>
        <v>NO:0001163</v>
      </c>
      <c r="F44" s="16" t="str">
        <f>IFERROR(IF([2]对账明细接口!$F$44=0,"",[2]对账明细接口!$F$44),"")</f>
        <v>香梨网</v>
      </c>
      <c r="G44" s="16" t="str">
        <f>IFERROR(IF([2]对账明细接口!$G$44=0,"",[2]对账明细接口!$G$44),"")</f>
        <v>*包</v>
      </c>
      <c r="H44" s="176">
        <f>IFERROR(IF([2]对账明细接口!$H$44=0,"",[2]对账明细接口!$H$44),"")</f>
        <v>60</v>
      </c>
      <c r="I44" s="16" t="str">
        <f>IFERROR(IF([2]对账明细接口!$I$44=0,"",[2]对账明细接口!$I$44),"")</f>
        <v>包</v>
      </c>
      <c r="J44" s="177">
        <f>IFERROR(IF([2]对账明细接口!$J$44=0,"",[2]对账明细接口!$J$44),"")</f>
      </c>
      <c r="K44" s="177">
        <f>IFERROR(IF([2]对账明细接口!$K$44=0,"",[2]对账明细接口!$K$44),"")</f>
        <v>2700</v>
      </c>
      <c r="L44" s="16" t="str">
        <f>IFERROR(IF([2]对账明细接口!$L$44=0,"",[2]对账明细接口!$L$44),"")</f>
        <v>未付款</v>
      </c>
      <c r="M44" s="16">
        <f>IFERROR(IF([2]对账明细接口!$M$44=0,"",[2]对账明细接口!$M$44),"")</f>
      </c>
      <c r="N44" s="19">
        <f>IF($C44="",0,1)</f>
        <v>1</v>
      </c>
      <c r="O44" s="19">
        <f>N(O43)+$N44</f>
        <v>41</v>
      </c>
      <c r="S44" s="20">
        <f>IFERROR(IF([2]对账明细接口!$N44=0,"",[2]对账明细接口!$N44),"")</f>
      </c>
      <c r="T44" s="212">
        <f>IFERROR(IF([2]对账明细接口!$O44=0,"",[2]对账明细接口!$O44),"")</f>
      </c>
      <c r="U44" s="212">
        <f>IFERROR(IF([2]对账明细接口!$P44=0,"",[2]对账明细接口!$P44),"")</f>
      </c>
      <c r="V44" s="212">
        <f>IFERROR(IF([2]对账明细接口!$Q44=0,"",[2]对账明细接口!$Q44),"")</f>
      </c>
      <c r="W44" s="20" t="str">
        <f>IFERROR(IF([2]对账明细接口!$R44=0,"",[2]对账明细接口!$R44),"")</f>
        <v>新N*F0M01</v>
      </c>
      <c r="X44" s="20">
        <f>IFERROR(IF([2]对账明细接口!$S44=0,"",[2]对账明细接口!$S44),"")</f>
      </c>
      <c r="Y44" s="20">
        <f>""</f>
      </c>
      <c r="Z44" s="20">
        <f>""</f>
      </c>
      <c r="AA44" s="20">
        <f>""</f>
      </c>
      <c r="AB44" s="20">
        <f>""</f>
      </c>
    </row>
    <row r="45" s="127">
      <c r="A45" s="14" t="n">
        <v>45</v>
      </c>
      <c r="B45" s="211">
        <f>IFERROR(IF([2]对账明细接口!$B$45=0,"",[2]对账明细接口!$B$45),"")</f>
        <v>46282.0</v>
      </c>
      <c r="C45" s="16" t="str">
        <f>IFERROR(IF([2]对账明细接口!$C$45=0,"",[2]对账明细接口!$C$45),"")</f>
        <v>热合曼</v>
      </c>
      <c r="D45" s="16" t="str">
        <f>IFERROR(IF([2]对账明细接口!$D$45=0,"",[2]对账明细接口!$D$45),"")</f>
        <v>包装物料－领用出库</v>
      </c>
      <c r="E45" s="16" t="str">
        <f>IFERROR(IF([2]对账明细接口!$E$45=0,"",[2]对账明细接口!$E$45),"")</f>
        <v>NO:0001169</v>
      </c>
      <c r="F45" s="16" t="str">
        <f>IFERROR(IF([2]对账明细接口!$F$45=0,"",[2]对账明细接口!$F$45),"")</f>
        <v>香梨网</v>
      </c>
      <c r="G45" s="16" t="str">
        <f>IFERROR(IF([2]对账明细接口!$G$45=0,"",[2]对账明细接口!$G$45),"")</f>
        <v>*包</v>
      </c>
      <c r="H45" s="176">
        <f>IFERROR(IF([2]对账明细接口!$H$45=0,"",[2]对账明细接口!$H$45),"")</f>
        <v>48</v>
      </c>
      <c r="I45" s="16" t="str">
        <f>IFERROR(IF([2]对账明细接口!$I$45=0,"",[2]对账明细接口!$I$45),"")</f>
        <v>包</v>
      </c>
      <c r="J45" s="177">
        <f>IFERROR(IF([2]对账明细接口!$J$45=0,"",[2]对账明细接口!$J$45),"")</f>
      </c>
      <c r="K45" s="177">
        <f>IFERROR(IF([2]对账明细接口!$K$45=0,"",[2]对账明细接口!$K$45),"")</f>
        <v>2160</v>
      </c>
      <c r="L45" s="16" t="str">
        <f>IFERROR(IF([2]对账明细接口!$L$45=0,"",[2]对账明细接口!$L$45),"")</f>
        <v>未付款</v>
      </c>
      <c r="M45" s="16">
        <f>IFERROR(IF([2]对账明细接口!$M$45=0,"",[2]对账明细接口!$M$45),"")</f>
      </c>
      <c r="N45" s="19">
        <f>IF($C45="",0,1)</f>
        <v>1</v>
      </c>
      <c r="O45" s="19">
        <f>N(O44)+$N45</f>
        <v>42</v>
      </c>
      <c r="S45" s="20">
        <f>IFERROR(IF([2]对账明细接口!$N45=0,"",[2]对账明细接口!$N45),"")</f>
      </c>
      <c r="T45" s="212">
        <f>IFERROR(IF([2]对账明细接口!$O45=0,"",[2]对账明细接口!$O45),"")</f>
      </c>
      <c r="U45" s="212">
        <f>IFERROR(IF([2]对账明细接口!$P45=0,"",[2]对账明细接口!$P45),"")</f>
      </c>
      <c r="V45" s="212">
        <f>IFERROR(IF([2]对账明细接口!$Q45=0,"",[2]对账明细接口!$Q45),"")</f>
      </c>
      <c r="W45" s="20" t="str">
        <f>IFERROR(IF([2]对账明细接口!$R45=0,"",[2]对账明细接口!$R45),"")</f>
        <v>新A*G0544</v>
      </c>
      <c r="X45" s="20">
        <f>IFERROR(IF([2]对账明细接口!$S45=0,"",[2]对账明细接口!$S45),"")</f>
      </c>
      <c r="Y45" s="20">
        <f>""</f>
      </c>
      <c r="Z45" s="20">
        <f>""</f>
      </c>
      <c r="AA45" s="20">
        <f>""</f>
      </c>
      <c r="AB45" s="20">
        <f>""</f>
      </c>
    </row>
    <row r="46" s="127">
      <c r="A46" s="14" t="n">
        <v>46</v>
      </c>
      <c r="B46" s="211">
        <f>IFERROR(IF([2]对账明细接口!$B$46=0,"",[2]对账明细接口!$B$46),"")</f>
        <v>46282.0</v>
      </c>
      <c r="C46" s="16" t="str">
        <f>IFERROR(IF([2]对账明细接口!$C$46=0,"",[2]对账明细接口!$C$46),"")</f>
        <v>努尔敦</v>
      </c>
      <c r="D46" s="16" t="str">
        <f>IFERROR(IF([2]对账明细接口!$D$46=0,"",[2]对账明细接口!$D$46),"")</f>
        <v>包装物料－领用出库</v>
      </c>
      <c r="E46" s="16" t="str">
        <f>IFERROR(IF([2]对账明细接口!$E$46=0,"",[2]对账明细接口!$E$46),"")</f>
        <v>NO:0001171</v>
      </c>
      <c r="F46" s="16" t="str">
        <f>IFERROR(IF([2]对账明细接口!$F$46=0,"",[2]对账明细接口!$F$46),"")</f>
        <v>香梨网</v>
      </c>
      <c r="G46" s="16" t="str">
        <f>IFERROR(IF([2]对账明细接口!$G$46=0,"",[2]对账明细接口!$G$46),"")</f>
        <v>*包</v>
      </c>
      <c r="H46" s="176">
        <f>IFERROR(IF([2]对账明细接口!$H$46=0,"",[2]对账明细接口!$H$46),"")</f>
        <v>77</v>
      </c>
      <c r="I46" s="16" t="str">
        <f>IFERROR(IF([2]对账明细接口!$I$46=0,"",[2]对账明细接口!$I$46),"")</f>
        <v>包</v>
      </c>
      <c r="J46" s="177">
        <f>IFERROR(IF([2]对账明细接口!$J$46=0,"",[2]对账明细接口!$J$46),"")</f>
      </c>
      <c r="K46" s="177">
        <f>IFERROR(IF([2]对账明细接口!$K$46=0,"",[2]对账明细接口!$K$46),"")</f>
        <v>3465</v>
      </c>
      <c r="L46" s="16" t="str">
        <f>IFERROR(IF([2]对账明细接口!$L$46=0,"",[2]对账明细接口!$L$46),"")</f>
        <v>未付款</v>
      </c>
      <c r="M46" s="16">
        <f>IFERROR(IF([2]对账明细接口!$M$46=0,"",[2]对账明细接口!$M$46),"")</f>
      </c>
      <c r="N46" s="19">
        <f>IF($C46="",0,1)</f>
        <v>1</v>
      </c>
      <c r="O46" s="19">
        <f>N(O45)+$N46</f>
        <v>43</v>
      </c>
      <c r="S46" s="20">
        <f>IFERROR(IF([2]对账明细接口!$N46=0,"",[2]对账明细接口!$N46),"")</f>
      </c>
      <c r="T46" s="212">
        <f>IFERROR(IF([2]对账明细接口!$O46=0,"",[2]对账明细接口!$O46),"")</f>
      </c>
      <c r="U46" s="212">
        <f>IFERROR(IF([2]对账明细接口!$P46=0,"",[2]对账明细接口!$P46),"")</f>
      </c>
      <c r="V46" s="212">
        <f>IFERROR(IF([2]对账明细接口!$Q46=0,"",[2]对账明细接口!$Q46),"")</f>
      </c>
      <c r="W46" s="20" t="str">
        <f>IFERROR(IF([2]对账明细接口!$R46=0,"",[2]对账明细接口!$R46),"")</f>
        <v>新F*75240</v>
      </c>
      <c r="X46" s="20">
        <f>IFERROR(IF([2]对账明细接口!$S46=0,"",[2]对账明细接口!$S46),"")</f>
      </c>
      <c r="Y46" s="20">
        <f>""</f>
      </c>
      <c r="Z46" s="20">
        <f>""</f>
      </c>
      <c r="AA46" s="20">
        <f>""</f>
      </c>
      <c r="AB46" s="20">
        <f>""</f>
      </c>
    </row>
    <row r="47" s="127">
      <c r="A47" s="14" t="n">
        <v>47</v>
      </c>
      <c r="B47" s="211">
        <f>IFERROR(IF([2]对账明细接口!$B$47=0,"",[2]对账明细接口!$B$47),"")</f>
        <v>46284.0</v>
      </c>
      <c r="C47" s="16" t="str">
        <f>IFERROR(IF([2]对账明细接口!$C$47=0,"",[2]对账明细接口!$C$47),"")</f>
        <v>新顺发泡网</v>
      </c>
      <c r="D47" s="16" t="str">
        <f>IFERROR(IF([2]对账明细接口!$D$47=0,"",[2]对账明细接口!$D$47),"")</f>
        <v>包装物料－采购入库</v>
      </c>
      <c r="E47" s="16" t="str">
        <f>IFERROR(IF([2]对账明细接口!$E$47=0,"",[2]对账明细接口!$E$47),"")</f>
        <v>NO:0000907</v>
      </c>
      <c r="F47" s="16" t="str">
        <f>IFERROR(IF([2]对账明细接口!$F$47=0,"",[2]对账明细接口!$F$47),"")</f>
        <v>香梨网</v>
      </c>
      <c r="G47" s="16" t="str">
        <f>IFERROR(IF([2]对账明细接口!$G$47=0,"",[2]对账明细接口!$G$47),"")</f>
        <v>*包</v>
      </c>
      <c r="H47" s="176">
        <f>IFERROR(IF([2]对账明细接口!$H$47=0,"",[2]对账明细接口!$H$47),"")</f>
        <v>248</v>
      </c>
      <c r="I47" s="16" t="str">
        <f>IFERROR(IF([2]对账明细接口!$I$47=0,"",[2]对账明细接口!$I$47),"")</f>
        <v>包</v>
      </c>
      <c r="J47" s="177">
        <f>IFERROR(IF([2]对账明细接口!$J$47=0,"",[2]对账明细接口!$J$47),"")</f>
      </c>
      <c r="K47" s="177">
        <f>IFERROR(IF([2]对账明细接口!$K$47=0,"",[2]对账明细接口!$K$47),"")</f>
        <v>9176</v>
      </c>
      <c r="L47" s="16" t="str">
        <f>IFERROR(IF([2]对账明细接口!$L$47=0,"",[2]对账明细接口!$L$47),"")</f>
        <v>未付款</v>
      </c>
      <c r="M47" s="16" t="str">
        <f>IFERROR(IF([2]对账明细接口!$M$47=0,"",[2]对账明细接口!$M$47),"")</f>
        <v>12#</v>
      </c>
      <c r="N47" s="19">
        <f>IF($C47="",0,1)</f>
        <v>1</v>
      </c>
      <c r="O47" s="19">
        <f>N(O46)+$N47</f>
        <v>44</v>
      </c>
      <c r="S47" s="20">
        <f>IFERROR(IF([2]对账明细接口!$N47=0,"",[2]对账明细接口!$N47),"")</f>
      </c>
      <c r="T47" s="212">
        <f>IFERROR(IF([2]对账明细接口!$O47=0,"",[2]对账明细接口!$O47),"")</f>
      </c>
      <c r="U47" s="212">
        <f>IFERROR(IF([2]对账明细接口!$P47=0,"",[2]对账明细接口!$P47),"")</f>
      </c>
      <c r="V47" s="212">
        <f>IFERROR(IF([2]对账明细接口!$Q47=0,"",[2]对账明细接口!$Q47),"")</f>
      </c>
      <c r="W47" s="20" t="str">
        <f>IFERROR(IF([2]对账明细接口!$R47=0,"",[2]对账明细接口!$R47),"")</f>
        <v>皖L*KW876</v>
      </c>
      <c r="X47" s="20">
        <f>IFERROR(IF([2]对账明细接口!$S47=0,"",[2]对账明细接口!$S47),"")</f>
      </c>
      <c r="Y47" s="20">
        <f>""</f>
      </c>
      <c r="Z47" s="20">
        <f>""</f>
      </c>
      <c r="AA47" s="20">
        <f>""</f>
      </c>
      <c r="AB47" s="20">
        <f>""</f>
      </c>
    </row>
    <row r="48" s="127">
      <c r="A48" s="14" t="n">
        <v>48</v>
      </c>
      <c r="B48" s="211">
        <f>IFERROR(IF([2]对账明细接口!$B$48=0,"",[2]对账明细接口!$B$48),"")</f>
        <v>46284.0</v>
      </c>
      <c r="C48" s="16" t="str">
        <f>IFERROR(IF([2]对账明细接口!$C$48=0,"",[2]对账明细接口!$C$48),"")</f>
        <v>吐尔洪</v>
      </c>
      <c r="D48" s="16" t="str">
        <f>IFERROR(IF([2]对账明细接口!$D$48=0,"",[2]对账明细接口!$D$48),"")</f>
        <v>包装物料－退回入库</v>
      </c>
      <c r="E48" s="16" t="str">
        <f>IFERROR(IF([2]对账明细接口!$E$48=0,"",[2]对账明细接口!$E$48),"")</f>
        <v>NO:0000908</v>
      </c>
      <c r="F48" s="16" t="str">
        <f>IFERROR(IF([2]对账明细接口!$F$48=0,"",[2]对账明细接口!$F$48),"")</f>
        <v>香梨网</v>
      </c>
      <c r="G48" s="16" t="str">
        <f>IFERROR(IF([2]对账明细接口!$G$48=0,"",[2]对账明细接口!$G$48),"")</f>
        <v>*包</v>
      </c>
      <c r="H48" s="176">
        <f>IFERROR(IF([2]对账明细接口!$H$48=0,"",[2]对账明细接口!$H$48),"")</f>
        <v>-10</v>
      </c>
      <c r="I48" s="16" t="str">
        <f>IFERROR(IF([2]对账明细接口!$I$48=0,"",[2]对账明细接口!$I$48),"")</f>
        <v>包</v>
      </c>
      <c r="J48" s="177">
        <f>IFERROR(IF([2]对账明细接口!$J$48=0,"",[2]对账明细接口!$J$48),"")</f>
      </c>
      <c r="K48" s="177">
        <f>IFERROR(IF([2]对账明细接口!$K$48=0,"",[2]对账明细接口!$K$48),"")</f>
        <v>-450</v>
      </c>
      <c r="L48" s="16" t="str">
        <f>IFERROR(IF([2]对账明细接口!$L$48=0,"",[2]对账明细接口!$L$48),"")</f>
        <v>无需收款</v>
      </c>
      <c r="M48" s="16">
        <f>IFERROR(IF([2]对账明细接口!$M$48=0,"",[2]对账明细接口!$M$48),"")</f>
      </c>
      <c r="N48" s="19">
        <f>IF($C48="",0,1)</f>
        <v>1</v>
      </c>
      <c r="O48" s="19">
        <f>N(O47)+$N48</f>
        <v>45</v>
      </c>
      <c r="S48" s="20">
        <f>IFERROR(IF([2]对账明细接口!$N48=0,"",[2]对账明细接口!$N48),"")</f>
      </c>
      <c r="T48" s="212">
        <f>IFERROR(IF([2]对账明细接口!$O48=0,"",[2]对账明细接口!$O48),"")</f>
      </c>
      <c r="U48" s="212">
        <f>IFERROR(IF([2]对账明细接口!$P48=0,"",[2]对账明细接口!$P48),"")</f>
      </c>
      <c r="V48" s="212">
        <f>IFERROR(IF([2]对账明细接口!$Q48=0,"",[2]对账明细接口!$Q48),"")</f>
      </c>
      <c r="W48" s="20" t="str">
        <f>IFERROR(IF([2]对账明细接口!$R48=0,"",[2]对账明细接口!$R48),"")</f>
        <v>新N*X8S48</v>
      </c>
      <c r="X48" s="20">
        <f>IFERROR(IF([2]对账明细接口!$S48=0,"",[2]对账明细接口!$S48),"")</f>
      </c>
      <c r="Y48" s="20">
        <f>""</f>
      </c>
      <c r="Z48" s="20">
        <f>""</f>
      </c>
      <c r="AA48" s="20">
        <f>""</f>
      </c>
      <c r="AB48" s="20">
        <f>""</f>
      </c>
    </row>
    <row r="49" s="127">
      <c r="A49" s="14" t="n">
        <v>49</v>
      </c>
      <c r="B49" s="211">
        <f>IFERROR(IF([2]对账明细接口!$B$49=0,"",[2]对账明细接口!$B$49),"")</f>
        <v>46284.0</v>
      </c>
      <c r="C49" s="16" t="str">
        <f>IFERROR(IF([2]对账明细接口!$C$49=0,"",[2]对账明细接口!$C$49),"")</f>
        <v>热合曼</v>
      </c>
      <c r="D49" s="16" t="str">
        <f>IFERROR(IF([2]对账明细接口!$D$49=0,"",[2]对账明细接口!$D$49),"")</f>
        <v>包装物料－领用出库</v>
      </c>
      <c r="E49" s="16" t="str">
        <f>IFERROR(IF([2]对账明细接口!$E$49=0,"",[2]对账明细接口!$E$49),"")</f>
        <v>NO:0001184</v>
      </c>
      <c r="F49" s="16" t="str">
        <f>IFERROR(IF([2]对账明细接口!$F$49=0,"",[2]对账明细接口!$F$49),"")</f>
        <v>香梨网</v>
      </c>
      <c r="G49" s="16" t="str">
        <f>IFERROR(IF([2]对账明细接口!$G$49=0,"",[2]对账明细接口!$G$49),"")</f>
        <v>*包</v>
      </c>
      <c r="H49" s="176">
        <f>IFERROR(IF([2]对账明细接口!$H$49=0,"",[2]对账明细接口!$H$49),"")</f>
        <v>48</v>
      </c>
      <c r="I49" s="16" t="str">
        <f>IFERROR(IF([2]对账明细接口!$I$49=0,"",[2]对账明细接口!$I$49),"")</f>
        <v>包</v>
      </c>
      <c r="J49" s="177">
        <f>IFERROR(IF([2]对账明细接口!$J$49=0,"",[2]对账明细接口!$J$49),"")</f>
      </c>
      <c r="K49" s="177">
        <f>IFERROR(IF([2]对账明细接口!$K$49=0,"",[2]对账明细接口!$K$49),"")</f>
        <v>2160</v>
      </c>
      <c r="L49" s="16" t="str">
        <f>IFERROR(IF([2]对账明细接口!$L$49=0,"",[2]对账明细接口!$L$49),"")</f>
        <v>未收款</v>
      </c>
      <c r="M49" s="16">
        <f>IFERROR(IF([2]对账明细接口!$M$49=0,"",[2]对账明细接口!$M$49),"")</f>
      </c>
      <c r="N49" s="19">
        <f>IF($C49="",0,1)</f>
        <v>1</v>
      </c>
      <c r="O49" s="19">
        <f>N(O48)+$N49</f>
        <v>46</v>
      </c>
      <c r="S49" s="20">
        <f>IFERROR(IF([2]对账明细接口!$N49=0,"",[2]对账明细接口!$N49),"")</f>
      </c>
      <c r="T49" s="212">
        <f>IFERROR(IF([2]对账明细接口!$O49=0,"",[2]对账明细接口!$O49),"")</f>
      </c>
      <c r="U49" s="212">
        <f>IFERROR(IF([2]对账明细接口!$P49=0,"",[2]对账明细接口!$P49),"")</f>
      </c>
      <c r="V49" s="212">
        <f>IFERROR(IF([2]对账明细接口!$Q49=0,"",[2]对账明细接口!$Q49),"")</f>
      </c>
      <c r="W49" s="20" t="str">
        <f>IFERROR(IF([2]对账明细接口!$R49=0,"",[2]对账明细接口!$R49),"")</f>
        <v>新A*G0544</v>
      </c>
      <c r="X49" s="20">
        <f>IFERROR(IF([2]对账明细接口!$S49=0,"",[2]对账明细接口!$S49),"")</f>
      </c>
      <c r="Y49" s="20">
        <f>""</f>
      </c>
      <c r="Z49" s="20">
        <f>""</f>
      </c>
      <c r="AA49" s="20">
        <f>""</f>
      </c>
      <c r="AB49" s="20">
        <f>""</f>
      </c>
    </row>
    <row r="50" s="127">
      <c r="A50" s="14" t="n">
        <v>50</v>
      </c>
      <c r="B50" s="211">
        <f>IFERROR(IF([2]对账明细接口!$B$50=0,"",[2]对账明细接口!$B$50),"")</f>
        <v>46284.0</v>
      </c>
      <c r="C50" s="16" t="str">
        <f>IFERROR(IF([2]对账明细接口!$C$50=0,"",[2]对账明细接口!$C$50),"")</f>
        <v>贾建国</v>
      </c>
      <c r="D50" s="16" t="str">
        <f>IFERROR(IF([2]对账明细接口!$D$50=0,"",[2]对账明细接口!$D$50),"")</f>
        <v>包装物料－领用出库</v>
      </c>
      <c r="E50" s="16" t="str">
        <f>IFERROR(IF([2]对账明细接口!$E$50=0,"",[2]对账明细接口!$E$50),"")</f>
        <v>NO:0001191</v>
      </c>
      <c r="F50" s="16" t="str">
        <f>IFERROR(IF([2]对账明细接口!$F$50=0,"",[2]对账明细接口!$F$50),"")</f>
        <v>香梨网</v>
      </c>
      <c r="G50" s="16" t="str">
        <f>IFERROR(IF([2]对账明细接口!$G$50=0,"",[2]对账明细接口!$G$50),"")</f>
        <v>*包</v>
      </c>
      <c r="H50" s="176">
        <f>IFERROR(IF([2]对账明细接口!$H$50=0,"",[2]对账明细接口!$H$50),"")</f>
        <v>15</v>
      </c>
      <c r="I50" s="16" t="str">
        <f>IFERROR(IF([2]对账明细接口!$I$50=0,"",[2]对账明细接口!$I$50),"")</f>
        <v>包</v>
      </c>
      <c r="J50" s="177">
        <f>IFERROR(IF([2]对账明细接口!$J$50=0,"",[2]对账明细接口!$J$50),"")</f>
      </c>
      <c r="K50" s="177">
        <f>IFERROR(IF([2]对账明细接口!$K$50=0,"",[2]对账明细接口!$K$50),"")</f>
        <v>675</v>
      </c>
      <c r="L50" s="16" t="str">
        <f>IFERROR(IF([2]对账明细接口!$L$50=0,"",[2]对账明细接口!$L$50),"")</f>
        <v>未收款</v>
      </c>
      <c r="M50" s="16">
        <f>IFERROR(IF([2]对账明细接口!$M$50=0,"",[2]对账明细接口!$M$50),"")</f>
      </c>
      <c r="N50" s="19">
        <f>IF($C50="",0,1)</f>
        <v>1</v>
      </c>
      <c r="O50" s="19">
        <f>N(O49)+$N50</f>
        <v>47</v>
      </c>
      <c r="S50" s="20">
        <f>IFERROR(IF([2]对账明细接口!$N50=0,"",[2]对账明细接口!$N50),"")</f>
      </c>
      <c r="T50" s="212">
        <f>IFERROR(IF([2]对账明细接口!$O50=0,"",[2]对账明细接口!$O50),"")</f>
      </c>
      <c r="U50" s="212">
        <f>IFERROR(IF([2]对账明细接口!$P50=0,"",[2]对账明细接口!$P50),"")</f>
      </c>
      <c r="V50" s="212">
        <f>IFERROR(IF([2]对账明细接口!$Q50=0,"",[2]对账明细接口!$Q50),"")</f>
      </c>
      <c r="W50" s="20" t="str">
        <f>IFERROR(IF([2]对账明细接口!$R50=0,"",[2]对账明细接口!$R50),"")</f>
        <v>新N*48236</v>
      </c>
      <c r="X50" s="20">
        <f>IFERROR(IF([2]对账明细接口!$S50=0,"",[2]对账明细接口!$S50),"")</f>
      </c>
      <c r="Y50" s="20">
        <f>""</f>
      </c>
      <c r="Z50" s="20">
        <f>""</f>
      </c>
      <c r="AA50" s="20">
        <f>""</f>
      </c>
      <c r="AB50" s="20">
        <f>""</f>
      </c>
    </row>
    <row r="51" s="127">
      <c r="A51" s="14" t="n">
        <v>51</v>
      </c>
      <c r="B51" s="211">
        <f>IFERROR(IF([2]对账明细接口!$B$51=0,"",[2]对账明细接口!$B$51),"")</f>
        <v>46284.0</v>
      </c>
      <c r="C51" s="16" t="str">
        <f>IFERROR(IF([2]对账明细接口!$C$51=0,"",[2]对账明细接口!$C$51),"")</f>
        <v>麦麦提</v>
      </c>
      <c r="D51" s="16" t="str">
        <f>IFERROR(IF([2]对账明细接口!$D$51=0,"",[2]对账明细接口!$D$51),"")</f>
        <v>包装物料－领用出库</v>
      </c>
      <c r="E51" s="16" t="str">
        <f>IFERROR(IF([2]对账明细接口!$E$51=0,"",[2]对账明细接口!$E$51),"")</f>
        <v>NO:0001193</v>
      </c>
      <c r="F51" s="16" t="str">
        <f>IFERROR(IF([2]对账明细接口!$F$51=0,"",[2]对账明细接口!$F$51),"")</f>
        <v>香梨网</v>
      </c>
      <c r="G51" s="16" t="str">
        <f>IFERROR(IF([2]对账明细接口!$G$51=0,"",[2]对账明细接口!$G$51),"")</f>
        <v>*包</v>
      </c>
      <c r="H51" s="176">
        <f>IFERROR(IF([2]对账明细接口!$H$51=0,"",[2]对账明细接口!$H$51),"")</f>
        <v>40</v>
      </c>
      <c r="I51" s="16" t="str">
        <f>IFERROR(IF([2]对账明细接口!$I$51=0,"",[2]对账明细接口!$I$51),"")</f>
        <v>包</v>
      </c>
      <c r="J51" s="177">
        <f>IFERROR(IF([2]对账明细接口!$J$51=0,"",[2]对账明细接口!$J$51),"")</f>
      </c>
      <c r="K51" s="177">
        <f>IFERROR(IF([2]对账明细接口!$K$51=0,"",[2]对账明细接口!$K$51),"")</f>
        <v>1800</v>
      </c>
      <c r="L51" s="16" t="str">
        <f>IFERROR(IF([2]对账明细接口!$L$51=0,"",[2]对账明细接口!$L$51),"")</f>
        <v>未收款</v>
      </c>
      <c r="M51" s="16">
        <f>IFERROR(IF([2]对账明细接口!$M$51=0,"",[2]对账明细接口!$M$51),"")</f>
      </c>
      <c r="N51" s="19">
        <f>IF($C51="",0,1)</f>
        <v>1</v>
      </c>
      <c r="O51" s="19">
        <f>N(O50)+$N51</f>
        <v>48</v>
      </c>
      <c r="S51" s="20">
        <f>IFERROR(IF([2]对账明细接口!$N51=0,"",[2]对账明细接口!$N51),"")</f>
      </c>
      <c r="T51" s="212">
        <f>IFERROR(IF([2]对账明细接口!$O51=0,"",[2]对账明细接口!$O51),"")</f>
      </c>
      <c r="U51" s="212">
        <f>IFERROR(IF([2]对账明细接口!$P51=0,"",[2]对账明细接口!$P51),"")</f>
      </c>
      <c r="V51" s="212">
        <f>IFERROR(IF([2]对账明细接口!$Q51=0,"",[2]对账明细接口!$Q51),"")</f>
      </c>
      <c r="W51" s="20" t="str">
        <f>IFERROR(IF([2]对账明细接口!$R51=0,"",[2]对账明细接口!$R51),"")</f>
        <v>新R*37010</v>
      </c>
      <c r="X51" s="20">
        <f>IFERROR(IF([2]对账明细接口!$S51=0,"",[2]对账明细接口!$S51),"")</f>
      </c>
      <c r="Y51" s="20">
        <f>""</f>
      </c>
      <c r="Z51" s="20">
        <f>""</f>
      </c>
      <c r="AA51" s="20">
        <f>""</f>
      </c>
      <c r="AB51" s="20">
        <f>""</f>
      </c>
    </row>
    <row r="52" s="127">
      <c r="A52" s="14" t="n">
        <v>52</v>
      </c>
      <c r="B52" s="211">
        <f>IFERROR(IF([2]对账明细接口!$B$52=0,"",[2]对账明细接口!$B$52),"")</f>
        <v>46284.0</v>
      </c>
      <c r="C52" s="16" t="str">
        <f>IFERROR(IF([2]对账明细接口!$C$52=0,"",[2]对账明细接口!$C$52),"")</f>
        <v>努尔敦</v>
      </c>
      <c r="D52" s="16" t="str">
        <f>IFERROR(IF([2]对账明细接口!$D$52=0,"",[2]对账明细接口!$D$52),"")</f>
        <v>包装物料－领用出库</v>
      </c>
      <c r="E52" s="16" t="str">
        <f>IFERROR(IF([2]对账明细接口!$E$52=0,"",[2]对账明细接口!$E$52),"")</f>
        <v>NO:0001195</v>
      </c>
      <c r="F52" s="16" t="str">
        <f>IFERROR(IF([2]对账明细接口!$F$52=0,"",[2]对账明细接口!$F$52),"")</f>
        <v>香梨网</v>
      </c>
      <c r="G52" s="16" t="str">
        <f>IFERROR(IF([2]对账明细接口!$G$52=0,"",[2]对账明细接口!$G$52),"")</f>
        <v>*包</v>
      </c>
      <c r="H52" s="176">
        <f>IFERROR(IF([2]对账明细接口!$H$52=0,"",[2]对账明细接口!$H$52),"")</f>
        <v>60</v>
      </c>
      <c r="I52" s="16" t="str">
        <f>IFERROR(IF([2]对账明细接口!$I$52=0,"",[2]对账明细接口!$I$52),"")</f>
        <v>包</v>
      </c>
      <c r="J52" s="177">
        <f>IFERROR(IF([2]对账明细接口!$J$52=0,"",[2]对账明细接口!$J$52),"")</f>
      </c>
      <c r="K52" s="177">
        <f>IFERROR(IF([2]对账明细接口!$K$52=0,"",[2]对账明细接口!$K$52),"")</f>
        <v>2700</v>
      </c>
      <c r="L52" s="16" t="str">
        <f>IFERROR(IF([2]对账明细接口!$L$52=0,"",[2]对账明细接口!$L$52),"")</f>
        <v>未收款</v>
      </c>
      <c r="M52" s="16" t="str">
        <f>IFERROR(IF([2]对账明细接口!$M$52=0,"",[2]对账明细接口!$M$52),"")</f>
        <v>阿布都</v>
      </c>
      <c r="N52" s="19">
        <f>IF($C52="",0,1)</f>
        <v>1</v>
      </c>
      <c r="O52" s="19">
        <f>N(O51)+$N52</f>
        <v>49</v>
      </c>
      <c r="S52" s="20">
        <f>IFERROR(IF([2]对账明细接口!$N52=0,"",[2]对账明细接口!$N52),"")</f>
      </c>
      <c r="T52" s="212">
        <f>IFERROR(IF([2]对账明细接口!$O52=0,"",[2]对账明细接口!$O52),"")</f>
      </c>
      <c r="U52" s="212">
        <f>IFERROR(IF([2]对账明细接口!$P52=0,"",[2]对账明细接口!$P52),"")</f>
      </c>
      <c r="V52" s="212">
        <f>IFERROR(IF([2]对账明细接口!$Q52=0,"",[2]对账明细接口!$Q52),"")</f>
      </c>
      <c r="W52" s="20" t="str">
        <f>IFERROR(IF([2]对账明细接口!$R52=0,"",[2]对账明细接口!$R52),"")</f>
        <v>新N*F0M01</v>
      </c>
      <c r="X52" s="20">
        <f>IFERROR(IF([2]对账明细接口!$S52=0,"",[2]对账明细接口!$S52),"")</f>
      </c>
      <c r="Y52" s="20">
        <f>""</f>
      </c>
      <c r="Z52" s="20">
        <f>""</f>
      </c>
      <c r="AA52" s="20">
        <f>""</f>
      </c>
      <c r="AB52" s="20">
        <f>""</f>
      </c>
    </row>
    <row r="53" s="127">
      <c r="A53" s="14" t="n">
        <v>53</v>
      </c>
      <c r="B53" s="211">
        <f>IFERROR(IF([2]对账明细接口!$B$53=0,"",[2]对账明细接口!$B$53),"")</f>
        <v>46285.0</v>
      </c>
      <c r="C53" s="16" t="str">
        <f>IFERROR(IF([2]对账明细接口!$C$53=0,"",[2]对账明细接口!$C$53),"")</f>
        <v>王浩</v>
      </c>
      <c r="D53" s="16" t="str">
        <f>IFERROR(IF([2]对账明细接口!$D$53=0,"",[2]对账明细接口!$D$53),"")</f>
        <v>包装物料－领用出库</v>
      </c>
      <c r="E53" s="16" t="str">
        <f>IFERROR(IF([2]对账明细接口!$E$53=0,"",[2]对账明细接口!$E$53),"")</f>
        <v>NO:0001201</v>
      </c>
      <c r="F53" s="16" t="str">
        <f>IFERROR(IF([2]对账明细接口!$F$53=0,"",[2]对账明细接口!$F$53),"")</f>
        <v>胶带</v>
      </c>
      <c r="G53" s="16" t="str">
        <f>IFERROR(IF([2]对账明细接口!$G$53=0,"",[2]对账明细接口!$G$53),"")</f>
        <v>*30卷</v>
      </c>
      <c r="H53" s="176">
        <f>IFERROR(IF([2]对账明细接口!$H$53=0,"",[2]对账明细接口!$H$53),"")</f>
        <v>1</v>
      </c>
      <c r="I53" s="16" t="str">
        <f>IFERROR(IF([2]对账明细接口!$I$53=0,"",[2]对账明细接口!$I$53),"")</f>
        <v>卷</v>
      </c>
      <c r="J53" s="177">
        <f>IFERROR(IF([2]对账明细接口!$J$53=0,"",[2]对账明细接口!$J$53),"")</f>
      </c>
      <c r="K53" s="177">
        <f>IFERROR(IF([2]对账明细接口!$K$53=0,"",[2]对账明细接口!$K$53),"")</f>
        <v>150</v>
      </c>
      <c r="L53" s="16" t="str">
        <f>IFERROR(IF([2]对账明细接口!$L$53=0,"",[2]对账明细接口!$L$53),"")</f>
        <v>已收讫</v>
      </c>
      <c r="M53" s="16">
        <f>IFERROR(IF([2]对账明细接口!$M$53=0,"",[2]对账明细接口!$M$53),"")</f>
      </c>
      <c r="N53" s="19">
        <f>IF($C53="",0,1)</f>
        <v>1</v>
      </c>
      <c r="O53" s="19">
        <f>N(O52)+$N53</f>
        <v>50</v>
      </c>
      <c r="S53" s="20">
        <f>IFERROR(IF([2]对账明细接口!$N53=0,"",[2]对账明细接口!$N53),"")</f>
      </c>
      <c r="T53" s="212">
        <f>IFERROR(IF([2]对账明细接口!$O53=0,"",[2]对账明细接口!$O53),"")</f>
      </c>
      <c r="U53" s="212">
        <f>IFERROR(IF([2]对账明细接口!$P53=0,"",[2]对账明细接口!$P53),"")</f>
      </c>
      <c r="V53" s="212">
        <f>IFERROR(IF([2]对账明细接口!$Q53=0,"",[2]对账明细接口!$Q53),"")</f>
      </c>
      <c r="W53" s="20" t="str">
        <f>IFERROR(IF([2]对账明细接口!$R53=0,"",[2]对账明细接口!$R53),"")</f>
        <v>自提</v>
      </c>
      <c r="X53" s="20">
        <f>IFERROR(IF([2]对账明细接口!$S53=0,"",[2]对账明细接口!$S53),"")</f>
      </c>
      <c r="Y53" s="20">
        <f>""</f>
      </c>
      <c r="Z53" s="20">
        <f>""</f>
      </c>
      <c r="AA53" s="20">
        <f>""</f>
      </c>
      <c r="AB53" s="20">
        <f>""</f>
      </c>
    </row>
    <row r="54" s="127">
      <c r="A54" s="14" t="n">
        <v>54</v>
      </c>
      <c r="B54" s="211">
        <f>IFERROR(IF([2]对账明细接口!$B$54=0,"",[2]对账明细接口!$B$54),"")</f>
        <v>46285.0</v>
      </c>
      <c r="C54" s="16" t="str">
        <f>IFERROR(IF([2]对账明细接口!$C$54=0,"",[2]对账明细接口!$C$54),"")</f>
        <v>吐尔逊</v>
      </c>
      <c r="D54" s="16" t="str">
        <f>IFERROR(IF([2]对账明细接口!$D$54=0,"",[2]对账明细接口!$D$54),"")</f>
        <v>包装物料－领用出库</v>
      </c>
      <c r="E54" s="16" t="str">
        <f>IFERROR(IF([2]对账明细接口!$E$54=0,"",[2]对账明细接口!$E$54),"")</f>
        <v>NO:0001206</v>
      </c>
      <c r="F54" s="16" t="str">
        <f>IFERROR(IF([2]对账明细接口!$F$54=0,"",[2]对账明细接口!$F$54),"")</f>
        <v>香梨网</v>
      </c>
      <c r="G54" s="16" t="str">
        <f>IFERROR(IF([2]对账明细接口!$G$54=0,"",[2]对账明细接口!$G$54),"")</f>
        <v>*包</v>
      </c>
      <c r="H54" s="176">
        <f>IFERROR(IF([2]对账明细接口!$H$54=0,"",[2]对账明细接口!$H$54),"")</f>
        <v>8</v>
      </c>
      <c r="I54" s="16" t="str">
        <f>IFERROR(IF([2]对账明细接口!$I$54=0,"",[2]对账明细接口!$I$54),"")</f>
        <v>包</v>
      </c>
      <c r="J54" s="177">
        <f>IFERROR(IF([2]对账明细接口!$J$54=0,"",[2]对账明细接口!$J$54),"")</f>
      </c>
      <c r="K54" s="177">
        <f>IFERROR(IF([2]对账明细接口!$K$54=0,"",[2]对账明细接口!$K$54),"")</f>
        <v>360</v>
      </c>
      <c r="L54" s="16" t="str">
        <f>IFERROR(IF([2]对账明细接口!$L$54=0,"",[2]对账明细接口!$L$54),"")</f>
        <v>未收款</v>
      </c>
      <c r="M54" s="16">
        <f>IFERROR(IF([2]对账明细接口!$M$54=0,"",[2]对账明细接口!$M$54),"")</f>
      </c>
      <c r="N54" s="19">
        <f>IF($C54="",0,1)</f>
        <v>1</v>
      </c>
      <c r="O54" s="19">
        <f>N(O53)+$N54</f>
        <v>51</v>
      </c>
      <c r="S54" s="20">
        <f>IFERROR(IF([2]对账明细接口!$N54=0,"",[2]对账明细接口!$N54),"")</f>
      </c>
      <c r="T54" s="212">
        <f>IFERROR(IF([2]对账明细接口!$O54=0,"",[2]对账明细接口!$O54),"")</f>
      </c>
      <c r="U54" s="212">
        <f>IFERROR(IF([2]对账明细接口!$P54=0,"",[2]对账明细接口!$P54),"")</f>
      </c>
      <c r="V54" s="212">
        <f>IFERROR(IF([2]对账明细接口!$Q54=0,"",[2]对账明细接口!$Q54),"")</f>
      </c>
      <c r="W54" s="20" t="str">
        <f>IFERROR(IF([2]对账明细接口!$R54=0,"",[2]对账明细接口!$R54),"")</f>
        <v>新A*NZ020</v>
      </c>
      <c r="X54" s="20">
        <f>IFERROR(IF([2]对账明细接口!$S54=0,"",[2]对账明细接口!$S54),"")</f>
      </c>
      <c r="Y54" s="20">
        <f>""</f>
      </c>
      <c r="Z54" s="20">
        <f>""</f>
      </c>
      <c r="AA54" s="20">
        <f>""</f>
      </c>
      <c r="AB54" s="20">
        <f>""</f>
      </c>
    </row>
    <row r="55" s="127">
      <c r="A55" s="14" t="n">
        <v>55</v>
      </c>
      <c r="B55" s="211">
        <f>IFERROR(IF([2]对账明细接口!$B$55=0,"",[2]对账明细接口!$B$55),"")</f>
        <v>46286.0</v>
      </c>
      <c r="C55" s="16" t="str">
        <f>IFERROR(IF([2]对账明细接口!$C$55=0,"",[2]对账明细接口!$C$55),"")</f>
        <v>荆建君</v>
      </c>
      <c r="D55" s="16" t="str">
        <f>IFERROR(IF([2]对账明细接口!$D$55=0,"",[2]对账明细接口!$D$55),"")</f>
        <v>包装物料－领用出库</v>
      </c>
      <c r="E55" s="16" t="str">
        <f>IFERROR(IF([2]对账明细接口!$E$55=0,"",[2]对账明细接口!$E$55),"")</f>
        <v>NO:0001208</v>
      </c>
      <c r="F55" s="16" t="str">
        <f>IFERROR(IF([2]对账明细接口!$F$55=0,"",[2]对账明细接口!$F$55),"")</f>
        <v>香梨网</v>
      </c>
      <c r="G55" s="16" t="str">
        <f>IFERROR(IF([2]对账明细接口!$G$55=0,"",[2]对账明细接口!$G$55),"")</f>
        <v>*包</v>
      </c>
      <c r="H55" s="176">
        <f>IFERROR(IF([2]对账明细接口!$H$55=0,"",[2]对账明细接口!$H$55),"")</f>
        <v>40</v>
      </c>
      <c r="I55" s="16" t="str">
        <f>IFERROR(IF([2]对账明细接口!$I$55=0,"",[2]对账明细接口!$I$55),"")</f>
        <v>包</v>
      </c>
      <c r="J55" s="177">
        <f>IFERROR(IF([2]对账明细接口!$J$55=0,"",[2]对账明细接口!$J$55),"")</f>
      </c>
      <c r="K55" s="177">
        <f>IFERROR(IF([2]对账明细接口!$K$55=0,"",[2]对账明细接口!$K$55),"")</f>
        <v>1800</v>
      </c>
      <c r="L55" s="16" t="str">
        <f>IFERROR(IF([2]对账明细接口!$L$55=0,"",[2]对账明细接口!$L$55),"")</f>
        <v>未收款</v>
      </c>
      <c r="M55" s="16">
        <f>IFERROR(IF([2]对账明细接口!$M$55=0,"",[2]对账明细接口!$M$55),"")</f>
      </c>
      <c r="N55" s="19">
        <f>IF($C55="",0,1)</f>
        <v>1</v>
      </c>
      <c r="O55" s="19">
        <f>N(O54)+$N55</f>
        <v>52</v>
      </c>
      <c r="S55" s="20">
        <f>IFERROR(IF([2]对账明细接口!$N55=0,"",[2]对账明细接口!$N55),"")</f>
      </c>
      <c r="T55" s="212">
        <f>IFERROR(IF([2]对账明细接口!$O55=0,"",[2]对账明细接口!$O55),"")</f>
      </c>
      <c r="U55" s="212">
        <f>IFERROR(IF([2]对账明细接口!$P55=0,"",[2]对账明细接口!$P55),"")</f>
      </c>
      <c r="V55" s="212">
        <f>IFERROR(IF([2]对账明细接口!$Q55=0,"",[2]对账明细接口!$Q55),"")</f>
      </c>
      <c r="W55" s="20" t="str">
        <f>IFERROR(IF([2]对账明细接口!$R55=0,"",[2]对账明细接口!$R55),"")</f>
        <v>豫A*2737K</v>
      </c>
      <c r="X55" s="20">
        <f>IFERROR(IF([2]对账明细接口!$S55=0,"",[2]对账明细接口!$S55),"")</f>
      </c>
      <c r="Y55" s="20">
        <f>""</f>
      </c>
      <c r="Z55" s="20">
        <f>""</f>
      </c>
      <c r="AA55" s="20">
        <f>""</f>
      </c>
      <c r="AB55" s="20">
        <f>""</f>
      </c>
    </row>
    <row r="56" s="127">
      <c r="A56" s="14" t="n">
        <v>56</v>
      </c>
      <c r="B56" s="211">
        <f>IFERROR(IF([2]对账明细接口!$B$56=0,"",[2]对账明细接口!$B$56),"")</f>
        <v>46286.0</v>
      </c>
      <c r="C56" s="16" t="str">
        <f>IFERROR(IF([2]对账明细接口!$C$56=0,"",[2]对账明细接口!$C$56),"")</f>
        <v>热合曼</v>
      </c>
      <c r="D56" s="16" t="str">
        <f>IFERROR(IF([2]对账明细接口!$D$56=0,"",[2]对账明细接口!$D$56),"")</f>
        <v>包装物料－领用出库</v>
      </c>
      <c r="E56" s="16" t="str">
        <f>IFERROR(IF([2]对账明细接口!$E$56=0,"",[2]对账明细接口!$E$56),"")</f>
        <v>NO:0001209</v>
      </c>
      <c r="F56" s="16" t="str">
        <f>IFERROR(IF([2]对账明细接口!$F$56=0,"",[2]对账明细接口!$F$56),"")</f>
        <v>香梨网</v>
      </c>
      <c r="G56" s="16" t="str">
        <f>IFERROR(IF([2]对账明细接口!$G$56=0,"",[2]对账明细接口!$G$56),"")</f>
        <v>*包</v>
      </c>
      <c r="H56" s="176">
        <f>IFERROR(IF([2]对账明细接口!$H$56=0,"",[2]对账明细接口!$H$56),"")</f>
        <v>39</v>
      </c>
      <c r="I56" s="16" t="str">
        <f>IFERROR(IF([2]对账明细接口!$I$56=0,"",[2]对账明细接口!$I$56),"")</f>
        <v>包</v>
      </c>
      <c r="J56" s="177">
        <f>IFERROR(IF([2]对账明细接口!$J$56=0,"",[2]对账明细接口!$J$56),"")</f>
      </c>
      <c r="K56" s="177">
        <f>IFERROR(IF([2]对账明细接口!$K$56=0,"",[2]对账明细接口!$K$56),"")</f>
        <v>1755</v>
      </c>
      <c r="L56" s="16" t="str">
        <f>IFERROR(IF([2]对账明细接口!$L$56=0,"",[2]对账明细接口!$L$56),"")</f>
        <v>未收款</v>
      </c>
      <c r="M56" s="16" t="str">
        <f>IFERROR(IF([2]对账明细接口!$M$56=0,"",[2]对账明细接口!$M$56),"")</f>
        <v>艾则孜</v>
      </c>
      <c r="N56" s="19">
        <f>IF($C56="",0,1)</f>
        <v>1</v>
      </c>
      <c r="O56" s="19">
        <f>N(O55)+$N56</f>
        <v>53</v>
      </c>
      <c r="S56" s="20">
        <f>IFERROR(IF([2]对账明细接口!$N56=0,"",[2]对账明细接口!$N56),"")</f>
      </c>
      <c r="T56" s="212">
        <f>IFERROR(IF([2]对账明细接口!$O56=0,"",[2]对账明细接口!$O56),"")</f>
      </c>
      <c r="U56" s="212">
        <f>IFERROR(IF([2]对账明细接口!$P56=0,"",[2]对账明细接口!$P56),"")</f>
      </c>
      <c r="V56" s="212">
        <f>IFERROR(IF([2]对账明细接口!$Q56=0,"",[2]对账明细接口!$Q56),"")</f>
      </c>
      <c r="W56" s="20" t="str">
        <f>IFERROR(IF([2]对账明细接口!$R56=0,"",[2]对账明细接口!$R56),"")</f>
        <v>新R*37010</v>
      </c>
      <c r="X56" s="20">
        <f>IFERROR(IF([2]对账明细接口!$S56=0,"",[2]对账明细接口!$S56),"")</f>
      </c>
      <c r="Y56" s="20">
        <f>""</f>
      </c>
      <c r="Z56" s="20">
        <f>""</f>
      </c>
      <c r="AA56" s="20">
        <f>""</f>
      </c>
      <c r="AB56" s="20">
        <f>""</f>
      </c>
    </row>
    <row r="57" s="127">
      <c r="A57" s="14" t="n">
        <v>57</v>
      </c>
      <c r="B57" s="211">
        <f>IFERROR(IF([2]对账明细接口!$B$57=0,"",[2]对账明细接口!$B$57),"")</f>
        <v>46286.0</v>
      </c>
      <c r="C57" s="16" t="str">
        <f>IFERROR(IF([2]对账明细接口!$C$57=0,"",[2]对账明细接口!$C$57),"")</f>
        <v>努尔敦</v>
      </c>
      <c r="D57" s="16" t="str">
        <f>IFERROR(IF([2]对账明细接口!$D$57=0,"",[2]对账明细接口!$D$57),"")</f>
        <v>包装物料－领用出库</v>
      </c>
      <c r="E57" s="16" t="str">
        <f>IFERROR(IF([2]对账明细接口!$E$57=0,"",[2]对账明细接口!$E$57),"")</f>
        <v>NO:0001213</v>
      </c>
      <c r="F57" s="16" t="str">
        <f>IFERROR(IF([2]对账明细接口!$F$57=0,"",[2]对账明细接口!$F$57),"")</f>
        <v>香梨网</v>
      </c>
      <c r="G57" s="16" t="str">
        <f>IFERROR(IF([2]对账明细接口!$G$57=0,"",[2]对账明细接口!$G$57),"")</f>
        <v>*包</v>
      </c>
      <c r="H57" s="176">
        <f>IFERROR(IF([2]对账明细接口!$H$57=0,"",[2]对账明细接口!$H$57),"")</f>
        <v>60</v>
      </c>
      <c r="I57" s="16" t="str">
        <f>IFERROR(IF([2]对账明细接口!$I$57=0,"",[2]对账明细接口!$I$57),"")</f>
        <v>包</v>
      </c>
      <c r="J57" s="177">
        <f>IFERROR(IF([2]对账明细接口!$J$57=0,"",[2]对账明细接口!$J$57),"")</f>
      </c>
      <c r="K57" s="177">
        <f>IFERROR(IF([2]对账明细接口!$K$57=0,"",[2]对账明细接口!$K$57),"")</f>
        <v>2700</v>
      </c>
      <c r="L57" s="16" t="str">
        <f>IFERROR(IF([2]对账明细接口!$L$57=0,"",[2]对账明细接口!$L$57),"")</f>
        <v>未收款</v>
      </c>
      <c r="M57" s="16" t="str">
        <f>IFERROR(IF([2]对账明细接口!$M$57=0,"",[2]对账明细接口!$M$57),"")</f>
        <v>阿布都</v>
      </c>
      <c r="N57" s="19">
        <f>IF($C57="",0,1)</f>
        <v>1</v>
      </c>
      <c r="O57" s="19">
        <f>N(O56)+$N57</f>
        <v>54</v>
      </c>
      <c r="S57" s="20">
        <f>IFERROR(IF([2]对账明细接口!$N57=0,"",[2]对账明细接口!$N57),"")</f>
      </c>
      <c r="T57" s="212">
        <f>IFERROR(IF([2]对账明细接口!$O57=0,"",[2]对账明细接口!$O57),"")</f>
      </c>
      <c r="U57" s="212">
        <f>IFERROR(IF([2]对账明细接口!$P57=0,"",[2]对账明细接口!$P57),"")</f>
      </c>
      <c r="V57" s="212">
        <f>IFERROR(IF([2]对账明细接口!$Q57=0,"",[2]对账明细接口!$Q57),"")</f>
      </c>
      <c r="W57" s="20" t="str">
        <f>IFERROR(IF([2]对账明细接口!$R57=0,"",[2]对账明细接口!$R57),"")</f>
        <v>新N*F0M01</v>
      </c>
      <c r="X57" s="20">
        <f>IFERROR(IF([2]对账明细接口!$S57=0,"",[2]对账明细接口!$S57),"")</f>
      </c>
      <c r="Y57" s="20">
        <f>""</f>
      </c>
      <c r="Z57" s="20">
        <f>""</f>
      </c>
      <c r="AA57" s="20">
        <f>""</f>
      </c>
      <c r="AB57" s="20">
        <f>""</f>
      </c>
    </row>
    <row r="58" s="127">
      <c r="A58" s="14" t="n">
        <v>58</v>
      </c>
      <c r="B58" s="211">
        <f>IFERROR(IF([2]对账明细接口!$B$58=0,"",[2]对账明细接口!$B$58),"")</f>
        <v>46286.0</v>
      </c>
      <c r="C58" s="16" t="str">
        <f>IFERROR(IF([2]对账明细接口!$C$58=0,"",[2]对账明细接口!$C$58),"")</f>
        <v>新顺发泡网</v>
      </c>
      <c r="D58" s="16" t="str">
        <f>IFERROR(IF([2]对账明细接口!$D$58=0,"",[2]对账明细接口!$D$58),"")</f>
        <v>包装物料－采购入库</v>
      </c>
      <c r="E58" s="16" t="str">
        <f>IFERROR(IF([2]对账明细接口!$E$58=0,"",[2]对账明细接口!$E$58),"")</f>
        <v>NO:0000941</v>
      </c>
      <c r="F58" s="16" t="str">
        <f>IFERROR(IF([2]对账明细接口!$F$58=0,"",[2]对账明细接口!$F$58),"")</f>
        <v>香梨网</v>
      </c>
      <c r="G58" s="16" t="str">
        <f>IFERROR(IF([2]对账明细接口!$G$58=0,"",[2]对账明细接口!$G$58),"")</f>
        <v>*包</v>
      </c>
      <c r="H58" s="176">
        <f>IFERROR(IF([2]对账明细接口!$H$58=0,"",[2]对账明细接口!$H$58),"")</f>
        <v>240</v>
      </c>
      <c r="I58" s="16" t="str">
        <f>IFERROR(IF([2]对账明细接口!$I$58=0,"",[2]对账明细接口!$I$58),"")</f>
        <v>包</v>
      </c>
      <c r="J58" s="177">
        <f>IFERROR(IF([2]对账明细接口!$J$58=0,"",[2]对账明细接口!$J$58),"")</f>
      </c>
      <c r="K58" s="177">
        <f>IFERROR(IF([2]对账明细接口!$K$58=0,"",[2]对账明细接口!$K$58),"")</f>
        <v>8880</v>
      </c>
      <c r="L58" s="16" t="str">
        <f>IFERROR(IF([2]对账明细接口!$L$58=0,"",[2]对账明细接口!$L$58),"")</f>
        <v>未付款</v>
      </c>
      <c r="M58" s="16" t="str">
        <f>IFERROR(IF([2]对账明细接口!$M$58=0,"",[2]对账明细接口!$M$58),"")</f>
        <v>12#</v>
      </c>
      <c r="N58" s="19">
        <f>IF($C58="",0,1)</f>
        <v>1</v>
      </c>
      <c r="O58" s="19">
        <f>N(O57)+$N58</f>
        <v>55</v>
      </c>
      <c r="S58" s="20">
        <f>IFERROR(IF([2]对账明细接口!$N58=0,"",[2]对账明细接口!$N58),"")</f>
      </c>
      <c r="T58" s="212">
        <f>IFERROR(IF([2]对账明细接口!$O58=0,"",[2]对账明细接口!$O58),"")</f>
      </c>
      <c r="U58" s="212">
        <f>IFERROR(IF([2]对账明细接口!$P58=0,"",[2]对账明细接口!$P58),"")</f>
      </c>
      <c r="V58" s="212">
        <f>IFERROR(IF([2]对账明细接口!$Q58=0,"",[2]对账明细接口!$Q58),"")</f>
      </c>
      <c r="W58" s="20" t="str">
        <f>IFERROR(IF([2]对账明细接口!$R58=0,"",[2]对账明细接口!$R58),"")</f>
        <v>皖L*KW876</v>
      </c>
      <c r="X58" s="20">
        <f>IFERROR(IF([2]对账明细接口!$S58=0,"",[2]对账明细接口!$S58),"")</f>
      </c>
      <c r="Y58" s="20">
        <f>""</f>
      </c>
      <c r="Z58" s="20">
        <f>""</f>
      </c>
      <c r="AA58" s="20">
        <f>""</f>
      </c>
      <c r="AB58" s="20">
        <f>""</f>
      </c>
    </row>
    <row r="59" s="127">
      <c r="A59" s="14" t="n">
        <v>59</v>
      </c>
      <c r="B59" s="211">
        <f>IFERROR(IF([2]对账明细接口!$B$59=0,"",[2]对账明细接口!$B$59),"")</f>
        <v>46287.0</v>
      </c>
      <c r="C59" s="16" t="str">
        <f>IFERROR(IF([2]对账明细接口!$C$59=0,"",[2]对账明细接口!$C$59),"")</f>
        <v>艾海提</v>
      </c>
      <c r="D59" s="16" t="str">
        <f>IFERROR(IF([2]对账明细接口!$D$59=0,"",[2]对账明细接口!$D$59),"")</f>
        <v>包装物料－领用出库</v>
      </c>
      <c r="E59" s="16" t="str">
        <f>IFERROR(IF([2]对账明细接口!$E$59=0,"",[2]对账明细接口!$E$59),"")</f>
        <v>NO:0001215</v>
      </c>
      <c r="F59" s="16" t="str">
        <f>IFERROR(IF([2]对账明细接口!$F$59=0,"",[2]对账明细接口!$F$59),"")</f>
        <v>香梨网</v>
      </c>
      <c r="G59" s="16" t="str">
        <f>IFERROR(IF([2]对账明细接口!$G$59=0,"",[2]对账明细接口!$G$59),"")</f>
        <v>*包</v>
      </c>
      <c r="H59" s="176">
        <f>IFERROR(IF([2]对账明细接口!$H$59=0,"",[2]对账明细接口!$H$59),"")</f>
        <v>12</v>
      </c>
      <c r="I59" s="16" t="str">
        <f>IFERROR(IF([2]对账明细接口!$I$59=0,"",[2]对账明细接口!$I$59),"")</f>
        <v>包</v>
      </c>
      <c r="J59" s="177">
        <f>IFERROR(IF([2]对账明细接口!$J$59=0,"",[2]对账明细接口!$J$59),"")</f>
      </c>
      <c r="K59" s="177">
        <f>IFERROR(IF([2]对账明细接口!$K$59=0,"",[2]对账明细接口!$K$59),"")</f>
        <v>540</v>
      </c>
      <c r="L59" s="16" t="str">
        <f>IFERROR(IF([2]对账明细接口!$L$59=0,"",[2]对账明细接口!$L$59),"")</f>
        <v>未收款</v>
      </c>
      <c r="M59" s="16">
        <f>IFERROR(IF([2]对账明细接口!$M$59=0,"",[2]对账明细接口!$M$59),"")</f>
      </c>
      <c r="N59" s="19">
        <f>IF($C59="",0,1)</f>
        <v>1</v>
      </c>
      <c r="O59" s="19">
        <f>N(O58)+$N59</f>
        <v>56</v>
      </c>
      <c r="S59" s="20">
        <f>IFERROR(IF([2]对账明细接口!$N59=0,"",[2]对账明细接口!$N59),"")</f>
      </c>
      <c r="T59" s="212">
        <f>IFERROR(IF([2]对账明细接口!$O59=0,"",[2]对账明细接口!$O59),"")</f>
      </c>
      <c r="U59" s="212">
        <f>IFERROR(IF([2]对账明细接口!$P59=0,"",[2]对账明细接口!$P59),"")</f>
      </c>
      <c r="V59" s="212">
        <f>IFERROR(IF([2]对账明细接口!$Q59=0,"",[2]对账明细接口!$Q59),"")</f>
      </c>
      <c r="W59" s="20" t="str">
        <f>IFERROR(IF([2]对账明细接口!$R59=0,"",[2]对账明细接口!$R59),"")</f>
        <v>新N*WX586</v>
      </c>
      <c r="X59" s="20">
        <f>IFERROR(IF([2]对账明细接口!$S59=0,"",[2]对账明细接口!$S59),"")</f>
      </c>
      <c r="Y59" s="20">
        <f>""</f>
      </c>
      <c r="Z59" s="20">
        <f>""</f>
      </c>
      <c r="AA59" s="20">
        <f>""</f>
      </c>
      <c r="AB59" s="20">
        <f>""</f>
      </c>
    </row>
    <row r="60" s="127">
      <c r="A60" s="14" t="n">
        <v>60</v>
      </c>
      <c r="B60" s="211">
        <f>IFERROR(IF([2]对账明细接口!$B$60=0,"",[2]对账明细接口!$B$60),"")</f>
        <v>46287.0</v>
      </c>
      <c r="C60" s="16" t="str">
        <f>IFERROR(IF([2]对账明细接口!$C$60=0,"",[2]对账明细接口!$C$60),"")</f>
        <v>努尔敦</v>
      </c>
      <c r="D60" s="16" t="str">
        <f>IFERROR(IF([2]对账明细接口!$D$60=0,"",[2]对账明细接口!$D$60),"")</f>
        <v>包装物料－领用出库</v>
      </c>
      <c r="E60" s="16" t="str">
        <f>IFERROR(IF([2]对账明细接口!$E$60=0,"",[2]对账明细接口!$E$60),"")</f>
        <v>NO:0001216</v>
      </c>
      <c r="F60" s="16" t="str">
        <f>IFERROR(IF([2]对账明细接口!$F$60=0,"",[2]对账明细接口!$F$60),"")</f>
        <v>香梨网</v>
      </c>
      <c r="G60" s="16" t="str">
        <f>IFERROR(IF([2]对账明细接口!$G$60=0,"",[2]对账明细接口!$G$60),"")</f>
        <v>*包</v>
      </c>
      <c r="H60" s="176">
        <f>IFERROR(IF([2]对账明细接口!$H$60=0,"",[2]对账明细接口!$H$60),"")</f>
        <v>60</v>
      </c>
      <c r="I60" s="16" t="str">
        <f>IFERROR(IF([2]对账明细接口!$I$60=0,"",[2]对账明细接口!$I$60),"")</f>
        <v>包</v>
      </c>
      <c r="J60" s="177">
        <f>IFERROR(IF([2]对账明细接口!$J$60=0,"",[2]对账明细接口!$J$60),"")</f>
      </c>
      <c r="K60" s="177">
        <f>IFERROR(IF([2]对账明细接口!$K$60=0,"",[2]对账明细接口!$K$60),"")</f>
        <v>2700</v>
      </c>
      <c r="L60" s="16" t="str">
        <f>IFERROR(IF([2]对账明细接口!$L$60=0,"",[2]对账明细接口!$L$60),"")</f>
        <v>未收款</v>
      </c>
      <c r="M60" s="16" t="str">
        <f>IFERROR(IF([2]对账明细接口!$M$60=0,"",[2]对账明细接口!$M$60),"")</f>
        <v>阿布都</v>
      </c>
      <c r="N60" s="19">
        <f>IF($C60="",0,1)</f>
        <v>1</v>
      </c>
      <c r="O60" s="19">
        <f>N(O59)+$N60</f>
        <v>57</v>
      </c>
      <c r="S60" s="20">
        <f>IFERROR(IF([2]对账明细接口!$N60=0,"",[2]对账明细接口!$N60),"")</f>
      </c>
      <c r="T60" s="212">
        <f>IFERROR(IF([2]对账明细接口!$O60=0,"",[2]对账明细接口!$O60),"")</f>
      </c>
      <c r="U60" s="212">
        <f>IFERROR(IF([2]对账明细接口!$P60=0,"",[2]对账明细接口!$P60),"")</f>
      </c>
      <c r="V60" s="212">
        <f>IFERROR(IF([2]对账明细接口!$Q60=0,"",[2]对账明细接口!$Q60),"")</f>
      </c>
      <c r="W60" s="20" t="str">
        <f>IFERROR(IF([2]对账明细接口!$R60=0,"",[2]对账明细接口!$R60),"")</f>
        <v>新N*F0M01</v>
      </c>
      <c r="X60" s="20">
        <f>IFERROR(IF([2]对账明细接口!$S60=0,"",[2]对账明细接口!$S60),"")</f>
      </c>
      <c r="Y60" s="20">
        <f>""</f>
      </c>
      <c r="Z60" s="20">
        <f>""</f>
      </c>
      <c r="AA60" s="20">
        <f>""</f>
      </c>
      <c r="AB60" s="20">
        <f>""</f>
      </c>
    </row>
    <row r="61" s="127">
      <c r="A61" s="14" t="n">
        <v>61</v>
      </c>
      <c r="B61" s="211">
        <f>IFERROR(IF([2]对账明细接口!$B$61=0,"",[2]对账明细接口!$B$61),"")</f>
        <v>46288.0</v>
      </c>
      <c r="C61" s="16" t="str">
        <f>IFERROR(IF([2]对账明细接口!$C$61=0,"",[2]对账明细接口!$C$61),"")</f>
        <v>热合曼</v>
      </c>
      <c r="D61" s="16" t="str">
        <f>IFERROR(IF([2]对账明细接口!$D$61=0,"",[2]对账明细接口!$D$61),"")</f>
        <v>包装物料－领用出库</v>
      </c>
      <c r="E61" s="16" t="str">
        <f>IFERROR(IF([2]对账明细接口!$E$61=0,"",[2]对账明细接口!$E$61),"")</f>
        <v>NO:0001222</v>
      </c>
      <c r="F61" s="16" t="str">
        <f>IFERROR(IF([2]对账明细接口!$F$61=0,"",[2]对账明细接口!$F$61),"")</f>
        <v>香梨网</v>
      </c>
      <c r="G61" s="16" t="str">
        <f>IFERROR(IF([2]对账明细接口!$G$61=0,"",[2]对账明细接口!$G$61),"")</f>
        <v>*包</v>
      </c>
      <c r="H61" s="176">
        <f>IFERROR(IF([2]对账明细接口!$H$61=0,"",[2]对账明细接口!$H$61),"")</f>
        <v>44</v>
      </c>
      <c r="I61" s="16" t="str">
        <f>IFERROR(IF([2]对账明细接口!$I$61=0,"",[2]对账明细接口!$I$61),"")</f>
        <v>包</v>
      </c>
      <c r="J61" s="177">
        <f>IFERROR(IF([2]对账明细接口!$J$61=0,"",[2]对账明细接口!$J$61),"")</f>
      </c>
      <c r="K61" s="177">
        <f>IFERROR(IF([2]对账明细接口!$K$61=0,"",[2]对账明细接口!$K$61),"")</f>
        <v>1980</v>
      </c>
      <c r="L61" s="16" t="str">
        <f>IFERROR(IF([2]对账明细接口!$L$61=0,"",[2]对账明细接口!$L$61),"")</f>
        <v>未收款</v>
      </c>
      <c r="M61" s="16">
        <f>IFERROR(IF([2]对账明细接口!$M$61=0,"",[2]对账明细接口!$M$61),"")</f>
      </c>
      <c r="N61" s="19">
        <f>IF($C61="",0,1)</f>
        <v>1</v>
      </c>
      <c r="O61" s="19">
        <f>N(O60)+$N61</f>
        <v>58</v>
      </c>
      <c r="S61" s="20">
        <f>IFERROR(IF([2]对账明细接口!$N61=0,"",[2]对账明细接口!$N61),"")</f>
      </c>
      <c r="T61" s="212">
        <f>IFERROR(IF([2]对账明细接口!$O61=0,"",[2]对账明细接口!$O61),"")</f>
      </c>
      <c r="U61" s="212">
        <f>IFERROR(IF([2]对账明细接口!$P61=0,"",[2]对账明细接口!$P61),"")</f>
      </c>
      <c r="V61" s="212">
        <f>IFERROR(IF([2]对账明细接口!$Q61=0,"",[2]对账明细接口!$Q61),"")</f>
      </c>
      <c r="W61" s="20" t="str">
        <f>IFERROR(IF([2]对账明细接口!$R61=0,"",[2]对账明细接口!$R61),"")</f>
        <v>新R*37010</v>
      </c>
      <c r="X61" s="20">
        <f>IFERROR(IF([2]对账明细接口!$S61=0,"",[2]对账明细接口!$S61),"")</f>
      </c>
      <c r="Y61" s="20">
        <f>""</f>
      </c>
      <c r="Z61" s="20">
        <f>""</f>
      </c>
      <c r="AA61" s="20">
        <f>""</f>
      </c>
      <c r="AB61" s="20">
        <f>""</f>
      </c>
    </row>
    <row r="62" s="127">
      <c r="A62" s="14" t="n">
        <v>62</v>
      </c>
      <c r="B62" s="211">
        <f>IFERROR(IF([2]对账明细接口!$B$62=0,"",[2]对账明细接口!$B$62),"")</f>
        <v>46288.0</v>
      </c>
      <c r="C62" s="16" t="str">
        <f>IFERROR(IF([2]对账明细接口!$C$62=0,"",[2]对账明细接口!$C$62),"")</f>
        <v>荆建君</v>
      </c>
      <c r="D62" s="16" t="str">
        <f>IFERROR(IF([2]对账明细接口!$D$62=0,"",[2]对账明细接口!$D$62),"")</f>
        <v>包装物料－领用出库</v>
      </c>
      <c r="E62" s="16" t="str">
        <f>IFERROR(IF([2]对账明细接口!$E$62=0,"",[2]对账明细接口!$E$62),"")</f>
        <v>NO:0001223</v>
      </c>
      <c r="F62" s="16" t="str">
        <f>IFERROR(IF([2]对账明细接口!$F$62=0,"",[2]对账明细接口!$F$62),"")</f>
        <v>香梨网</v>
      </c>
      <c r="G62" s="16" t="str">
        <f>IFERROR(IF([2]对账明细接口!$G$62=0,"",[2]对账明细接口!$G$62),"")</f>
        <v>*包</v>
      </c>
      <c r="H62" s="176">
        <f>IFERROR(IF([2]对账明细接口!$H$62=0,"",[2]对账明细接口!$H$62),"")</f>
        <v>24</v>
      </c>
      <c r="I62" s="16" t="str">
        <f>IFERROR(IF([2]对账明细接口!$I$62=0,"",[2]对账明细接口!$I$62),"")</f>
        <v>包</v>
      </c>
      <c r="J62" s="177">
        <f>IFERROR(IF([2]对账明细接口!$J$62=0,"",[2]对账明细接口!$J$62),"")</f>
      </c>
      <c r="K62" s="177">
        <f>IFERROR(IF([2]对账明细接口!$K$62=0,"",[2]对账明细接口!$K$62),"")</f>
        <v>1080</v>
      </c>
      <c r="L62" s="16" t="str">
        <f>IFERROR(IF([2]对账明细接口!$L$62=0,"",[2]对账明细接口!$L$62),"")</f>
        <v>未收款</v>
      </c>
      <c r="M62" s="16">
        <f>IFERROR(IF([2]对账明细接口!$M$62=0,"",[2]对账明细接口!$M$62),"")</f>
      </c>
      <c r="N62" s="19">
        <f>IF($C62="",0,1)</f>
        <v>1</v>
      </c>
      <c r="O62" s="19">
        <f>N(O61)+$N62</f>
        <v>59</v>
      </c>
      <c r="S62" s="20">
        <f>IFERROR(IF([2]对账明细接口!$N62=0,"",[2]对账明细接口!$N62),"")</f>
      </c>
      <c r="T62" s="212">
        <f>IFERROR(IF([2]对账明细接口!$O62=0,"",[2]对账明细接口!$O62),"")</f>
      </c>
      <c r="U62" s="212">
        <f>IFERROR(IF([2]对账明细接口!$P62=0,"",[2]对账明细接口!$P62),"")</f>
      </c>
      <c r="V62" s="212">
        <f>IFERROR(IF([2]对账明细接口!$Q62=0,"",[2]对账明细接口!$Q62),"")</f>
      </c>
      <c r="W62" s="20" t="str">
        <f>IFERROR(IF([2]对账明细接口!$R62=0,"",[2]对账明细接口!$R62),"")</f>
        <v>豫A*2737K</v>
      </c>
      <c r="X62" s="20">
        <f>IFERROR(IF([2]对账明细接口!$S62=0,"",[2]对账明细接口!$S62),"")</f>
      </c>
      <c r="Y62" s="20">
        <f>""</f>
      </c>
      <c r="Z62" s="20">
        <f>""</f>
      </c>
      <c r="AA62" s="20">
        <f>""</f>
      </c>
      <c r="AB62" s="20">
        <f>""</f>
      </c>
    </row>
    <row r="63" s="127">
      <c r="A63" s="14" t="n">
        <v>63</v>
      </c>
      <c r="B63" s="211">
        <f>IFERROR(IF([2]对账明细接口!$B$63=0,"",[2]对账明细接口!$B$63),"")</f>
        <v>46288.0</v>
      </c>
      <c r="C63" s="16" t="str">
        <f>IFERROR(IF([2]对账明细接口!$C$63=0,"",[2]对账明细接口!$C$63),"")</f>
        <v>麦麦提</v>
      </c>
      <c r="D63" s="16" t="str">
        <f>IFERROR(IF([2]对账明细接口!$D$63=0,"",[2]对账明细接口!$D$63),"")</f>
        <v>包装物料－领用出库</v>
      </c>
      <c r="E63" s="16" t="str">
        <f>IFERROR(IF([2]对账明细接口!$E$63=0,"",[2]对账明细接口!$E$63),"")</f>
        <v>NO:0001227</v>
      </c>
      <c r="F63" s="16" t="str">
        <f>IFERROR(IF([2]对账明细接口!$F$63=0,"",[2]对账明细接口!$F$63),"")</f>
        <v>香梨网</v>
      </c>
      <c r="G63" s="16" t="str">
        <f>IFERROR(IF([2]对账明细接口!$G$63=0,"",[2]对账明细接口!$G$63),"")</f>
        <v>*包</v>
      </c>
      <c r="H63" s="176">
        <f>IFERROR(IF([2]对账明细接口!$H$63=0,"",[2]对账明细接口!$H$63),"")</f>
        <v>8</v>
      </c>
      <c r="I63" s="16" t="str">
        <f>IFERROR(IF([2]对账明细接口!$I$63=0,"",[2]对账明细接口!$I$63),"")</f>
        <v>包</v>
      </c>
      <c r="J63" s="177">
        <f>IFERROR(IF([2]对账明细接口!$J$63=0,"",[2]对账明细接口!$J$63),"")</f>
      </c>
      <c r="K63" s="177">
        <f>IFERROR(IF([2]对账明细接口!$K$63=0,"",[2]对账明细接口!$K$63),"")</f>
        <v>360</v>
      </c>
      <c r="L63" s="16" t="str">
        <f>IFERROR(IF([2]对账明细接口!$L$63=0,"",[2]对账明细接口!$L$63),"")</f>
        <v>未收款</v>
      </c>
      <c r="M63" s="16">
        <f>IFERROR(IF([2]对账明细接口!$M$63=0,"",[2]对账明细接口!$M$63),"")</f>
      </c>
      <c r="N63" s="19">
        <f>IF($C63="",0,1)</f>
        <v>1</v>
      </c>
      <c r="O63" s="19">
        <f>N(O62)+$N63</f>
        <v>60</v>
      </c>
      <c r="S63" s="20">
        <f>IFERROR(IF([2]对账明细接口!$N63=0,"",[2]对账明细接口!$N63),"")</f>
      </c>
      <c r="T63" s="212">
        <f>IFERROR(IF([2]对账明细接口!$O63=0,"",[2]对账明细接口!$O63),"")</f>
      </c>
      <c r="U63" s="212">
        <f>IFERROR(IF([2]对账明细接口!$P63=0,"",[2]对账明细接口!$P63),"")</f>
      </c>
      <c r="V63" s="212">
        <f>IFERROR(IF([2]对账明细接口!$Q63=0,"",[2]对账明细接口!$Q63),"")</f>
      </c>
      <c r="W63" s="20" t="str">
        <f>IFERROR(IF([2]对账明细接口!$R63=0,"",[2]对账明细接口!$R63),"")</f>
        <v>新R*37010</v>
      </c>
      <c r="X63" s="20">
        <f>IFERROR(IF([2]对账明细接口!$S63=0,"",[2]对账明细接口!$S63),"")</f>
      </c>
      <c r="Y63" s="20">
        <f>""</f>
      </c>
      <c r="Z63" s="20">
        <f>""</f>
      </c>
      <c r="AA63" s="20">
        <f>""</f>
      </c>
      <c r="AB63" s="20">
        <f>""</f>
      </c>
    </row>
    <row r="64" s="127">
      <c r="A64" s="14" t="n">
        <v>64</v>
      </c>
      <c r="B64" s="211">
        <f>IFERROR(IF([2]对账明细接口!$B$64=0,"",[2]对账明细接口!$B$64),"")</f>
        <v>46289.0</v>
      </c>
      <c r="C64" s="16" t="str">
        <f>IFERROR(IF([2]对账明细接口!$C$64=0,"",[2]对账明细接口!$C$64),"")</f>
        <v>吐尔地</v>
      </c>
      <c r="D64" s="16" t="str">
        <f>IFERROR(IF([2]对账明细接口!$D$64=0,"",[2]对账明细接口!$D$64),"")</f>
        <v>包装物料－领用出库</v>
      </c>
      <c r="E64" s="16" t="str">
        <f>IFERROR(IF([2]对账明细接口!$E$64=0,"",[2]对账明细接口!$E$64),"")</f>
        <v>NO:0001232</v>
      </c>
      <c r="F64" s="16" t="str">
        <f>IFERROR(IF([2]对账明细接口!$F$64=0,"",[2]对账明细接口!$F$64),"")</f>
        <v>香梨网</v>
      </c>
      <c r="G64" s="16" t="str">
        <f>IFERROR(IF([2]对账明细接口!$G$64=0,"",[2]对账明细接口!$G$64),"")</f>
        <v>*包</v>
      </c>
      <c r="H64" s="176">
        <f>IFERROR(IF([2]对账明细接口!$H$64=0,"",[2]对账明细接口!$H$64),"")</f>
        <v>12</v>
      </c>
      <c r="I64" s="16" t="str">
        <f>IFERROR(IF([2]对账明细接口!$I$64=0,"",[2]对账明细接口!$I$64),"")</f>
        <v>包</v>
      </c>
      <c r="J64" s="177">
        <f>IFERROR(IF([2]对账明细接口!$J$64=0,"",[2]对账明细接口!$J$64),"")</f>
      </c>
      <c r="K64" s="177">
        <f>IFERROR(IF([2]对账明细接口!$K$64=0,"",[2]对账明细接口!$K$64),"")</f>
        <v>540</v>
      </c>
      <c r="L64" s="16" t="str">
        <f>IFERROR(IF([2]对账明细接口!$L$64=0,"",[2]对账明细接口!$L$64),"")</f>
        <v>未收款</v>
      </c>
      <c r="M64" s="16">
        <f>IFERROR(IF([2]对账明细接口!$M$64=0,"",[2]对账明细接口!$M$64),"")</f>
      </c>
      <c r="N64" s="19">
        <f>IF($C64="",0,1)</f>
        <v>1</v>
      </c>
      <c r="O64" s="19">
        <f>N(O63)+$N64</f>
        <v>61</v>
      </c>
      <c r="S64" s="20">
        <f>IFERROR(IF([2]对账明细接口!$N64=0,"",[2]对账明细接口!$N64),"")</f>
      </c>
      <c r="T64" s="212">
        <f>IFERROR(IF([2]对账明细接口!$O64=0,"",[2]对账明细接口!$O64),"")</f>
      </c>
      <c r="U64" s="212">
        <f>IFERROR(IF([2]对账明细接口!$P64=0,"",[2]对账明细接口!$P64),"")</f>
      </c>
      <c r="V64" s="212">
        <f>IFERROR(IF([2]对账明细接口!$Q64=0,"",[2]对账明细接口!$Q64),"")</f>
      </c>
      <c r="W64" s="20" t="str">
        <f>IFERROR(IF([2]对账明细接口!$R64=0,"",[2]对账明细接口!$R64),"")</f>
        <v>新N*X8S48</v>
      </c>
      <c r="X64" s="20">
        <f>IFERROR(IF([2]对账明细接口!$S64=0,"",[2]对账明细接口!$S64),"")</f>
      </c>
      <c r="Y64" s="20">
        <f>""</f>
      </c>
      <c r="Z64" s="20">
        <f>""</f>
      </c>
      <c r="AA64" s="20">
        <f>""</f>
      </c>
      <c r="AB64" s="20">
        <f>""</f>
      </c>
    </row>
    <row r="65" s="127">
      <c r="A65" s="14" t="n">
        <v>65</v>
      </c>
      <c r="B65" s="211">
        <f>IFERROR(IF([2]对账明细接口!$B$65=0,"",[2]对账明细接口!$B$65),"")</f>
        <v>46289.0</v>
      </c>
      <c r="C65" s="16" t="str">
        <f>IFERROR(IF([2]对账明细接口!$C$65=0,"",[2]对账明细接口!$C$65),"")</f>
        <v>吐尔地</v>
      </c>
      <c r="D65" s="16" t="str">
        <f>IFERROR(IF([2]对账明细接口!$D$65=0,"",[2]对账明细接口!$D$65),"")</f>
        <v>包装物料－领用出库</v>
      </c>
      <c r="E65" s="16" t="str">
        <f>IFERROR(IF([2]对账明细接口!$E$65=0,"",[2]对账明细接口!$E$65),"")</f>
        <v>NO:0001232</v>
      </c>
      <c r="F65" s="16" t="str">
        <f>IFERROR(IF([2]对账明细接口!$F$65=0,"",[2]对账明细接口!$F$65),"")</f>
        <v>香梨纸</v>
      </c>
      <c r="G65" s="16" t="str">
        <f>IFERROR(IF([2]对账明细接口!$G$65=0,"",[2]对账明细接口!$G$65),"")</f>
        <v>*捆</v>
      </c>
      <c r="H65" s="176">
        <f>IFERROR(IF([2]对账明细接口!$H$65=0,"",[2]对账明细接口!$H$65),"")</f>
        <v>2</v>
      </c>
      <c r="I65" s="16" t="str">
        <f>IFERROR(IF([2]对账明细接口!$I$65=0,"",[2]对账明细接口!$I$65),"")</f>
        <v>捆</v>
      </c>
      <c r="J65" s="177">
        <f>IFERROR(IF([2]对账明细接口!$J$65=0,"",[2]对账明细接口!$J$65),"")</f>
      </c>
      <c r="K65" s="177">
        <f>IFERROR(IF([2]对账明细接口!$K$65=0,"",[2]对账明细接口!$K$65),"")</f>
        <v>120</v>
      </c>
      <c r="L65" s="16" t="str">
        <f>IFERROR(IF([2]对账明细接口!$L$65=0,"",[2]对账明细接口!$L$65),"")</f>
        <v>未收款</v>
      </c>
      <c r="M65" s="16">
        <f>IFERROR(IF([2]对账明细接口!$M$65=0,"",[2]对账明细接口!$M$65),"")</f>
      </c>
      <c r="N65" s="19">
        <f>IF($C65="",0,1)</f>
        <v>1</v>
      </c>
      <c r="O65" s="19">
        <f>N(O64)+$N65</f>
        <v>62</v>
      </c>
      <c r="S65" s="20">
        <f>IFERROR(IF([2]对账明细接口!$N65=0,"",[2]对账明细接口!$N65),"")</f>
      </c>
      <c r="T65" s="212">
        <f>IFERROR(IF([2]对账明细接口!$O65=0,"",[2]对账明细接口!$O65),"")</f>
      </c>
      <c r="U65" s="212">
        <f>IFERROR(IF([2]对账明细接口!$P65=0,"",[2]对账明细接口!$P65),"")</f>
      </c>
      <c r="V65" s="212">
        <f>IFERROR(IF([2]对账明细接口!$Q65=0,"",[2]对账明细接口!$Q65),"")</f>
      </c>
      <c r="W65" s="20" t="str">
        <f>IFERROR(IF([2]对账明细接口!$R65=0,"",[2]对账明细接口!$R65),"")</f>
        <v>新N*X8S48</v>
      </c>
      <c r="X65" s="20">
        <f>IFERROR(IF([2]对账明细接口!$S65=0,"",[2]对账明细接口!$S65),"")</f>
      </c>
      <c r="Y65" s="20">
        <f>""</f>
      </c>
      <c r="Z65" s="20">
        <f>""</f>
      </c>
      <c r="AA65" s="20">
        <f>""</f>
      </c>
      <c r="AB65" s="20">
        <f>""</f>
      </c>
    </row>
    <row r="66" s="127">
      <c r="A66" s="14" t="n">
        <v>66</v>
      </c>
      <c r="B66" s="211">
        <f>IFERROR(IF([2]对账明细接口!$B$66=0,"",[2]对账明细接口!$B$66),"")</f>
        <v>46289.0</v>
      </c>
      <c r="C66" s="16" t="str">
        <f>IFERROR(IF([2]对账明细接口!$C$66=0,"",[2]对账明细接口!$C$66),"")</f>
        <v>麦麦提</v>
      </c>
      <c r="D66" s="16" t="str">
        <f>IFERROR(IF([2]对账明细接口!$D$66=0,"",[2]对账明细接口!$D$66),"")</f>
        <v>包装物料－领用出库</v>
      </c>
      <c r="E66" s="16" t="str">
        <f>IFERROR(IF([2]对账明细接口!$E$66=0,"",[2]对账明细接口!$E$66),"")</f>
        <v>NO:0001235</v>
      </c>
      <c r="F66" s="16" t="str">
        <f>IFERROR(IF([2]对账明细接口!$F$66=0,"",[2]对账明细接口!$F$66),"")</f>
        <v>香梨网</v>
      </c>
      <c r="G66" s="16" t="str">
        <f>IFERROR(IF([2]对账明细接口!$G$66=0,"",[2]对账明细接口!$G$66),"")</f>
        <v>*包</v>
      </c>
      <c r="H66" s="176">
        <f>IFERROR(IF([2]对账明细接口!$H$66=0,"",[2]对账明细接口!$H$66),"")</f>
        <v>48</v>
      </c>
      <c r="I66" s="16" t="str">
        <f>IFERROR(IF([2]对账明细接口!$I$66=0,"",[2]对账明细接口!$I$66),"")</f>
        <v>包</v>
      </c>
      <c r="J66" s="177">
        <f>IFERROR(IF([2]对账明细接口!$J$66=0,"",[2]对账明细接口!$J$66),"")</f>
      </c>
      <c r="K66" s="177">
        <f>IFERROR(IF([2]对账明细接口!$K$66=0,"",[2]对账明细接口!$K$66),"")</f>
        <v>2160</v>
      </c>
      <c r="L66" s="16" t="str">
        <f>IFERROR(IF([2]对账明细接口!$L$66=0,"",[2]对账明细接口!$L$66),"")</f>
        <v>未收款</v>
      </c>
      <c r="M66" s="16">
        <f>IFERROR(IF([2]对账明细接口!$M$66=0,"",[2]对账明细接口!$M$66),"")</f>
      </c>
      <c r="N66" s="19">
        <f>IF($C66="",0,1)</f>
        <v>1</v>
      </c>
      <c r="O66" s="19">
        <f>N(O65)+$N66</f>
        <v>63</v>
      </c>
      <c r="S66" s="20">
        <f>IFERROR(IF([2]对账明细接口!$N66=0,"",[2]对账明细接口!$N66),"")</f>
      </c>
      <c r="T66" s="212">
        <f>IFERROR(IF([2]对账明细接口!$O66=0,"",[2]对账明细接口!$O66),"")</f>
      </c>
      <c r="U66" s="212">
        <f>IFERROR(IF([2]对账明细接口!$P66=0,"",[2]对账明细接口!$P66),"")</f>
      </c>
      <c r="V66" s="212">
        <f>IFERROR(IF([2]对账明细接口!$Q66=0,"",[2]对账明细接口!$Q66),"")</f>
      </c>
      <c r="W66" s="20" t="str">
        <f>IFERROR(IF([2]对账明细接口!$R66=0,"",[2]对账明细接口!$R66),"")</f>
        <v>新R*37010</v>
      </c>
      <c r="X66" s="20">
        <f>IFERROR(IF([2]对账明细接口!$S66=0,"",[2]对账明细接口!$S66),"")</f>
      </c>
      <c r="Y66" s="20">
        <f>""</f>
      </c>
      <c r="Z66" s="20">
        <f>""</f>
      </c>
      <c r="AA66" s="20">
        <f>""</f>
      </c>
      <c r="AB66" s="20">
        <f>""</f>
      </c>
    </row>
    <row r="67" s="127">
      <c r="A67" s="14" t="n">
        <v>67</v>
      </c>
      <c r="B67" s="211">
        <f>IFERROR(IF([2]对账明细接口!$B$67=0,"",[2]对账明细接口!$B$67),"")</f>
        <v>46290.0</v>
      </c>
      <c r="C67" s="16" t="str">
        <f>IFERROR(IF([2]对账明细接口!$C$67=0,"",[2]对账明细接口!$C$67),"")</f>
        <v>吐尔地</v>
      </c>
      <c r="D67" s="16" t="str">
        <f>IFERROR(IF([2]对账明细接口!$D$67=0,"",[2]对账明细接口!$D$67),"")</f>
        <v>包装物料－退回入库</v>
      </c>
      <c r="E67" s="16" t="str">
        <f>IFERROR(IF([2]对账明细接口!$E$67=0,"",[2]对账明细接口!$E$67),"")</f>
        <v>NO:0000979</v>
      </c>
      <c r="F67" s="16" t="str">
        <f>IFERROR(IF([2]对账明细接口!$F$67=0,"",[2]对账明细接口!$F$67),"")</f>
        <v>香梨纸</v>
      </c>
      <c r="G67" s="16" t="str">
        <f>IFERROR(IF([2]对账明细接口!$G$67=0,"",[2]对账明细接口!$G$67),"")</f>
        <v>*捆</v>
      </c>
      <c r="H67" s="176">
        <f>IFERROR(IF([2]对账明细接口!$H$67=0,"",[2]对账明细接口!$H$67),"")</f>
        <v>-2</v>
      </c>
      <c r="I67" s="16" t="str">
        <f>IFERROR(IF([2]对账明细接口!$I$67=0,"",[2]对账明细接口!$I$67),"")</f>
        <v>捆</v>
      </c>
      <c r="J67" s="177">
        <f>IFERROR(IF([2]对账明细接口!$J$67=0,"",[2]对账明细接口!$J$67),"")</f>
      </c>
      <c r="K67" s="177">
        <f>IFERROR(IF([2]对账明细接口!$K$67=0,"",[2]对账明细接口!$K$67),"")</f>
        <v>-120</v>
      </c>
      <c r="L67" s="16" t="str">
        <f>IFERROR(IF([2]对账明细接口!$L$67=0,"",[2]对账明细接口!$L$67),"")</f>
        <v>无需收款</v>
      </c>
      <c r="M67" s="16">
        <f>IFERROR(IF([2]对账明细接口!$M$67=0,"",[2]对账明细接口!$M$67),"")</f>
      </c>
      <c r="N67" s="19">
        <f>IF($C67="",0,1)</f>
        <v>1</v>
      </c>
      <c r="O67" s="19">
        <f>N(O66)+$N67</f>
        <v>64</v>
      </c>
      <c r="S67" s="20">
        <f>IFERROR(IF([2]对账明细接口!$N67=0,"",[2]对账明细接口!$N67),"")</f>
      </c>
      <c r="T67" s="212">
        <f>IFERROR(IF([2]对账明细接口!$O67=0,"",[2]对账明细接口!$O67),"")</f>
      </c>
      <c r="U67" s="212">
        <f>IFERROR(IF([2]对账明细接口!$P67=0,"",[2]对账明细接口!$P67),"")</f>
      </c>
      <c r="V67" s="212">
        <f>IFERROR(IF([2]对账明细接口!$Q67=0,"",[2]对账明细接口!$Q67),"")</f>
      </c>
      <c r="W67" s="20" t="str">
        <f>IFERROR(IF([2]对账明细接口!$R67=0,"",[2]对账明细接口!$R67),"")</f>
        <v>新N*X8S48</v>
      </c>
      <c r="X67" s="20">
        <f>IFERROR(IF([2]对账明细接口!$S67=0,"",[2]对账明细接口!$S67),"")</f>
      </c>
      <c r="Y67" s="20">
        <f>""</f>
      </c>
      <c r="Z67" s="20">
        <f>""</f>
      </c>
      <c r="AA67" s="20">
        <f>""</f>
      </c>
      <c r="AB67" s="20">
        <f>""</f>
      </c>
    </row>
    <row r="68" s="127">
      <c r="A68" s="14" t="n">
        <v>68</v>
      </c>
      <c r="B68" s="211">
        <f>IFERROR(IF([2]对账明细接口!$B$68=0,"",[2]对账明细接口!$B$68),"")</f>
        <v>46290.0</v>
      </c>
      <c r="C68" s="16" t="str">
        <f>IFERROR(IF([2]对账明细接口!$C$68=0,"",[2]对账明细接口!$C$68),"")</f>
        <v>吐尔地</v>
      </c>
      <c r="D68" s="16" t="str">
        <f>IFERROR(IF([2]对账明细接口!$D$68=0,"",[2]对账明细接口!$D$68),"")</f>
        <v>包装物料－领用出库</v>
      </c>
      <c r="E68" s="16" t="str">
        <f>IFERROR(IF([2]对账明细接口!$E$68=0,"",[2]对账明细接口!$E$68),"")</f>
        <v>NO:0001238</v>
      </c>
      <c r="F68" s="16" t="str">
        <f>IFERROR(IF([2]对账明细接口!$F$68=0,"",[2]对账明细接口!$F$68),"")</f>
        <v>香梨网</v>
      </c>
      <c r="G68" s="16" t="str">
        <f>IFERROR(IF([2]对账明细接口!$G$68=0,"",[2]对账明细接口!$G$68),"")</f>
        <v>*包</v>
      </c>
      <c r="H68" s="176">
        <f>IFERROR(IF([2]对账明细接口!$H$68=0,"",[2]对账明细接口!$H$68),"")</f>
        <v>24</v>
      </c>
      <c r="I68" s="16" t="str">
        <f>IFERROR(IF([2]对账明细接口!$I$68=0,"",[2]对账明细接口!$I$68),"")</f>
        <v>包</v>
      </c>
      <c r="J68" s="177">
        <f>IFERROR(IF([2]对账明细接口!$J$68=0,"",[2]对账明细接口!$J$68),"")</f>
      </c>
      <c r="K68" s="177">
        <f>IFERROR(IF([2]对账明细接口!$K$68=0,"",[2]对账明细接口!$K$68),"")</f>
        <v>1080</v>
      </c>
      <c r="L68" s="16" t="str">
        <f>IFERROR(IF([2]对账明细接口!$L$68=0,"",[2]对账明细接口!$L$68),"")</f>
        <v>未收款</v>
      </c>
      <c r="M68" s="16">
        <f>IFERROR(IF([2]对账明细接口!$M$68=0,"",[2]对账明细接口!$M$68),"")</f>
      </c>
      <c r="N68" s="19">
        <f>IF($C68="",0,1)</f>
        <v>1</v>
      </c>
      <c r="O68" s="19">
        <f>N(O67)+$N68</f>
        <v>65</v>
      </c>
      <c r="S68" s="20">
        <f>IFERROR(IF([2]对账明细接口!$N68=0,"",[2]对账明细接口!$N68),"")</f>
      </c>
      <c r="T68" s="212">
        <f>IFERROR(IF([2]对账明细接口!$O68=0,"",[2]对账明细接口!$O68),"")</f>
      </c>
      <c r="U68" s="212">
        <f>IFERROR(IF([2]对账明细接口!$P68=0,"",[2]对账明细接口!$P68),"")</f>
      </c>
      <c r="V68" s="212">
        <f>IFERROR(IF([2]对账明细接口!$Q68=0,"",[2]对账明细接口!$Q68),"")</f>
      </c>
      <c r="W68" s="20" t="str">
        <f>IFERROR(IF([2]对账明细接口!$R68=0,"",[2]对账明细接口!$R68),"")</f>
        <v>新N*X8S48</v>
      </c>
      <c r="X68" s="20">
        <f>IFERROR(IF([2]对账明细接口!$S68=0,"",[2]对账明细接口!$S68),"")</f>
      </c>
      <c r="Y68" s="20">
        <f>""</f>
      </c>
      <c r="Z68" s="20">
        <f>""</f>
      </c>
      <c r="AA68" s="20">
        <f>""</f>
      </c>
      <c r="AB68" s="20">
        <f>""</f>
      </c>
    </row>
    <row r="69" s="127">
      <c r="A69" s="14" t="n">
        <v>69</v>
      </c>
      <c r="B69" s="211">
        <f>IFERROR(IF([2]对账明细接口!$B$69=0,"",[2]对账明细接口!$B$69),"")</f>
        <v>46290.0</v>
      </c>
      <c r="C69" s="16" t="str">
        <f>IFERROR(IF([2]对账明细接口!$C$69=0,"",[2]对账明细接口!$C$69),"")</f>
        <v>努尔敦</v>
      </c>
      <c r="D69" s="16" t="str">
        <f>IFERROR(IF([2]对账明细接口!$D$69=0,"",[2]对账明细接口!$D$69),"")</f>
        <v>包装物料－领用出库</v>
      </c>
      <c r="E69" s="16" t="str">
        <f>IFERROR(IF([2]对账明细接口!$E$69=0,"",[2]对账明细接口!$E$69),"")</f>
        <v>NO:0001239</v>
      </c>
      <c r="F69" s="16" t="str">
        <f>IFERROR(IF([2]对账明细接口!$F$69=0,"",[2]对账明细接口!$F$69),"")</f>
        <v>香梨网</v>
      </c>
      <c r="G69" s="16" t="str">
        <f>IFERROR(IF([2]对账明细接口!$G$69=0,"",[2]对账明细接口!$G$69),"")</f>
        <v>*包</v>
      </c>
      <c r="H69" s="176">
        <f>IFERROR(IF([2]对账明细接口!$H$69=0,"",[2]对账明细接口!$H$69),"")</f>
        <v>96</v>
      </c>
      <c r="I69" s="16" t="str">
        <f>IFERROR(IF([2]对账明细接口!$I$69=0,"",[2]对账明细接口!$I$69),"")</f>
        <v>包</v>
      </c>
      <c r="J69" s="177">
        <f>IFERROR(IF([2]对账明细接口!$J$69=0,"",[2]对账明细接口!$J$69),"")</f>
      </c>
      <c r="K69" s="177">
        <f>IFERROR(IF([2]对账明细接口!$K$69=0,"",[2]对账明细接口!$K$69),"")</f>
        <v>4320</v>
      </c>
      <c r="L69" s="16" t="str">
        <f>IFERROR(IF([2]对账明细接口!$L$69=0,"",[2]对账明细接口!$L$69),"")</f>
        <v>未收款</v>
      </c>
      <c r="M69" s="16">
        <f>IFERROR(IF([2]对账明细接口!$M$69=0,"",[2]对账明细接口!$M$69),"")</f>
      </c>
      <c r="N69" s="19">
        <f>IF($C69="",0,1)</f>
        <v>1</v>
      </c>
      <c r="O69" s="19">
        <f>N(O68)+$N69</f>
        <v>66</v>
      </c>
      <c r="S69" s="20">
        <f>IFERROR(IF([2]对账明细接口!$N69=0,"",[2]对账明细接口!$N69),"")</f>
      </c>
      <c r="T69" s="212">
        <f>IFERROR(IF([2]对账明细接口!$O69=0,"",[2]对账明细接口!$O69),"")</f>
      </c>
      <c r="U69" s="212">
        <f>IFERROR(IF([2]对账明细接口!$P69=0,"",[2]对账明细接口!$P69),"")</f>
      </c>
      <c r="V69" s="212">
        <f>IFERROR(IF([2]对账明细接口!$Q69=0,"",[2]对账明细接口!$Q69),"")</f>
      </c>
      <c r="W69" s="20" t="str">
        <f>IFERROR(IF([2]对账明细接口!$R69=0,"",[2]对账明细接口!$R69),"")</f>
        <v>新F*75240</v>
      </c>
      <c r="X69" s="20">
        <f>IFERROR(IF([2]对账明细接口!$S69=0,"",[2]对账明细接口!$S69),"")</f>
      </c>
      <c r="Y69" s="20">
        <f>""</f>
      </c>
      <c r="Z69" s="20">
        <f>""</f>
      </c>
      <c r="AA69" s="20">
        <f>""</f>
      </c>
      <c r="AB69" s="20">
        <f>""</f>
      </c>
    </row>
    <row r="70" s="127">
      <c r="A70" s="14" t="n">
        <v>70</v>
      </c>
      <c r="B70" s="211">
        <f>IFERROR(IF([2]对账明细接口!$B$70=0,"",[2]对账明细接口!$B$70),"")</f>
        <v>46290.0</v>
      </c>
      <c r="C70" s="16" t="str">
        <f>IFERROR(IF([2]对账明细接口!$C$70=0,"",[2]对账明细接口!$C$70),"")</f>
        <v>新顺发泡网</v>
      </c>
      <c r="D70" s="16" t="str">
        <f>IFERROR(IF([2]对账明细接口!$D$70=0,"",[2]对账明细接口!$D$70),"")</f>
        <v>包装物料－采购入库</v>
      </c>
      <c r="E70" s="16" t="str">
        <f>IFERROR(IF([2]对账明细接口!$E$70=0,"",[2]对账明细接口!$E$70),"")</f>
        <v>NO:0000980</v>
      </c>
      <c r="F70" s="16" t="str">
        <f>IFERROR(IF([2]对账明细接口!$F$70=0,"",[2]对账明细接口!$F$70),"")</f>
        <v>香梨网</v>
      </c>
      <c r="G70" s="16" t="str">
        <f>IFERROR(IF([2]对账明细接口!$G$70=0,"",[2]对账明细接口!$G$70),"")</f>
        <v>*包</v>
      </c>
      <c r="H70" s="176">
        <f>IFERROR(IF([2]对账明细接口!$H$70=0,"",[2]对账明细接口!$H$70),"")</f>
        <v>220</v>
      </c>
      <c r="I70" s="16" t="str">
        <f>IFERROR(IF([2]对账明细接口!$I$70=0,"",[2]对账明细接口!$I$70),"")</f>
        <v>包</v>
      </c>
      <c r="J70" s="177">
        <f>IFERROR(IF([2]对账明细接口!$J$70=0,"",[2]对账明细接口!$J$70),"")</f>
      </c>
      <c r="K70" s="177">
        <f>IFERROR(IF([2]对账明细接口!$K$70=0,"",[2]对账明细接口!$K$70),"")</f>
        <v>8140</v>
      </c>
      <c r="L70" s="16" t="str">
        <f>IFERROR(IF([2]对账明细接口!$L$70=0,"",[2]对账明细接口!$L$70),"")</f>
        <v>未付款</v>
      </c>
      <c r="M70" s="16" t="str">
        <f>IFERROR(IF([2]对账明细接口!$M$70=0,"",[2]对账明细接口!$M$70),"")</f>
        <v>12#</v>
      </c>
      <c r="N70" s="19">
        <f>IF($C70="",0,1)</f>
        <v>1</v>
      </c>
      <c r="O70" s="19">
        <f>N(O69)+$N70</f>
        <v>67</v>
      </c>
      <c r="S70" s="20">
        <f>IFERROR(IF([2]对账明细接口!$N70=0,"",[2]对账明细接口!$N70),"")</f>
      </c>
      <c r="T70" s="212">
        <f>IFERROR(IF([2]对账明细接口!$O70=0,"",[2]对账明细接口!$O70),"")</f>
      </c>
      <c r="U70" s="212">
        <f>IFERROR(IF([2]对账明细接口!$P70=0,"",[2]对账明细接口!$P70),"")</f>
      </c>
      <c r="V70" s="212">
        <f>IFERROR(IF([2]对账明细接口!$Q70=0,"",[2]对账明细接口!$Q70),"")</f>
      </c>
      <c r="W70" s="20" t="str">
        <f>IFERROR(IF([2]对账明细接口!$R70=0,"",[2]对账明细接口!$R70),"")</f>
        <v>新N*2698H</v>
      </c>
      <c r="X70" s="20">
        <f>IFERROR(IF([2]对账明细接口!$S70=0,"",[2]对账明细接口!$S70),"")</f>
      </c>
      <c r="Y70" s="20">
        <f>""</f>
      </c>
      <c r="Z70" s="20">
        <f>""</f>
      </c>
      <c r="AA70" s="20">
        <f>""</f>
      </c>
      <c r="AB70" s="20">
        <f>""</f>
      </c>
    </row>
    <row r="71" s="127">
      <c r="A71" s="14" t="n">
        <v>71</v>
      </c>
      <c r="B71" s="211">
        <f>IFERROR(IF([2]对账明细接口!$B$71=0,"",[2]对账明细接口!$B$71),"")</f>
        <v>46291.0</v>
      </c>
      <c r="C71" s="16" t="str">
        <f>IFERROR(IF([2]对账明细接口!$C$71=0,"",[2]对账明细接口!$C$71),"")</f>
        <v>热合曼</v>
      </c>
      <c r="D71" s="16" t="str">
        <f>IFERROR(IF([2]对账明细接口!$D$71=0,"",[2]对账明细接口!$D$71),"")</f>
        <v>包装物料－退回入库</v>
      </c>
      <c r="E71" s="16" t="str">
        <f>IFERROR(IF([2]对账明细接口!$E$71=0,"",[2]对账明细接口!$E$71),"")</f>
        <v>NO:0000989</v>
      </c>
      <c r="F71" s="16" t="str">
        <f>IFERROR(IF([2]对账明细接口!$F$71=0,"",[2]对账明细接口!$F$71),"")</f>
        <v>香梨网</v>
      </c>
      <c r="G71" s="16" t="str">
        <f>IFERROR(IF([2]对账明细接口!$G$71=0,"",[2]对账明细接口!$G$71),"")</f>
        <v>*包</v>
      </c>
      <c r="H71" s="176">
        <f>IFERROR(IF([2]对账明细接口!$H$71=0,"",[2]对账明细接口!$H$71),"")</f>
        <v>-20</v>
      </c>
      <c r="I71" s="16" t="str">
        <f>IFERROR(IF([2]对账明细接口!$I$71=0,"",[2]对账明细接口!$I$71),"")</f>
        <v>包</v>
      </c>
      <c r="J71" s="177">
        <f>IFERROR(IF([2]对账明细接口!$J$71=0,"",[2]对账明细接口!$J$71),"")</f>
      </c>
      <c r="K71" s="177">
        <f>IFERROR(IF([2]对账明细接口!$K$71=0,"",[2]对账明细接口!$K$71),"")</f>
        <v>-900</v>
      </c>
      <c r="L71" s="16" t="str">
        <f>IFERROR(IF([2]对账明细接口!$L$71=0,"",[2]对账明细接口!$L$71),"")</f>
        <v>无需收款</v>
      </c>
      <c r="M71" s="16" t="str">
        <f>IFERROR(IF([2]对账明细接口!$M$71=0,"",[2]对账明细接口!$M$71),"")</f>
        <v>艾海提</v>
      </c>
      <c r="N71" s="19">
        <f>IF($C71="",0,1)</f>
        <v>1</v>
      </c>
      <c r="O71" s="19">
        <f>N(O70)+$N71</f>
        <v>68</v>
      </c>
      <c r="S71" s="20">
        <f>IFERROR(IF([2]对账明细接口!$N71=0,"",[2]对账明细接口!$N71),"")</f>
      </c>
      <c r="T71" s="212">
        <f>IFERROR(IF([2]对账明细接口!$O71=0,"",[2]对账明细接口!$O71),"")</f>
      </c>
      <c r="U71" s="212">
        <f>IFERROR(IF([2]对账明细接口!$P71=0,"",[2]对账明细接口!$P71),"")</f>
      </c>
      <c r="V71" s="212">
        <f>IFERROR(IF([2]对账明细接口!$Q71=0,"",[2]对账明细接口!$Q71),"")</f>
      </c>
      <c r="W71" s="20" t="str">
        <f>IFERROR(IF([2]对账明细接口!$R71=0,"",[2]对账明细接口!$R71),"")</f>
        <v>新N*WX586</v>
      </c>
      <c r="X71" s="20">
        <f>IFERROR(IF([2]对账明细接口!$S71=0,"",[2]对账明细接口!$S71),"")</f>
      </c>
      <c r="Y71" s="20">
        <f>""</f>
      </c>
      <c r="Z71" s="20">
        <f>""</f>
      </c>
      <c r="AA71" s="20">
        <f>""</f>
      </c>
      <c r="AB71" s="20">
        <f>""</f>
      </c>
    </row>
    <row r="72" s="127">
      <c r="A72" s="14" t="n">
        <v>72</v>
      </c>
      <c r="B72" s="211">
        <f>IFERROR(IF([2]对账明细接口!$B$72=0,"",[2]对账明细接口!$B$72),"")</f>
        <v>46292.0</v>
      </c>
      <c r="C72" s="16" t="str">
        <f>IFERROR(IF([2]对账明细接口!$C$72=0,"",[2]对账明细接口!$C$72),"")</f>
        <v>荆建君</v>
      </c>
      <c r="D72" s="16" t="str">
        <f>IFERROR(IF([2]对账明细接口!$D$72=0,"",[2]对账明细接口!$D$72),"")</f>
        <v>包装物料－领用出库</v>
      </c>
      <c r="E72" s="16" t="str">
        <f>IFERROR(IF([2]对账明细接口!$E$72=0,"",[2]对账明细接口!$E$72),"")</f>
        <v>NO:0001246</v>
      </c>
      <c r="F72" s="16" t="str">
        <f>IFERROR(IF([2]对账明细接口!$F$72=0,"",[2]对账明细接口!$F$72),"")</f>
        <v>香梨网</v>
      </c>
      <c r="G72" s="16" t="str">
        <f>IFERROR(IF([2]对账明细接口!$G$72=0,"",[2]对账明细接口!$G$72),"")</f>
        <v>*包</v>
      </c>
      <c r="H72" s="176">
        <f>IFERROR(IF([2]对账明细接口!$H$72=0,"",[2]对账明细接口!$H$72),"")</f>
        <v>1</v>
      </c>
      <c r="I72" s="16" t="str">
        <f>IFERROR(IF([2]对账明细接口!$I$72=0,"",[2]对账明细接口!$I$72),"")</f>
        <v>包</v>
      </c>
      <c r="J72" s="177">
        <f>IFERROR(IF([2]对账明细接口!$J$72=0,"",[2]对账明细接口!$J$72),"")</f>
      </c>
      <c r="K72" s="177">
        <f>IFERROR(IF([2]对账明细接口!$K$72=0,"",[2]对账明细接口!$K$72),"")</f>
        <v>45</v>
      </c>
      <c r="L72" s="16" t="str">
        <f>IFERROR(IF([2]对账明细接口!$L$72=0,"",[2]对账明细接口!$L$72),"")</f>
        <v>未收款</v>
      </c>
      <c r="M72" s="16">
        <f>IFERROR(IF([2]对账明细接口!$M$72=0,"",[2]对账明细接口!$M$72),"")</f>
      </c>
      <c r="N72" s="19">
        <f>IF($C72="",0,1)</f>
        <v>1</v>
      </c>
      <c r="O72" s="19">
        <f>N(O71)+$N72</f>
        <v>69</v>
      </c>
      <c r="S72" s="20">
        <f>IFERROR(IF([2]对账明细接口!$N72=0,"",[2]对账明细接口!$N72),"")</f>
      </c>
      <c r="T72" s="212">
        <f>IFERROR(IF([2]对账明细接口!$O72=0,"",[2]对账明细接口!$O72),"")</f>
      </c>
      <c r="U72" s="212">
        <f>IFERROR(IF([2]对账明细接口!$P72=0,"",[2]对账明细接口!$P72),"")</f>
      </c>
      <c r="V72" s="212">
        <f>IFERROR(IF([2]对账明细接口!$Q72=0,"",[2]对账明细接口!$Q72),"")</f>
      </c>
      <c r="W72" s="20" t="str">
        <f>IFERROR(IF([2]对账明细接口!$R72=0,"",[2]对账明细接口!$R72),"")</f>
        <v>豫A*2737K</v>
      </c>
      <c r="X72" s="20">
        <f>IFERROR(IF([2]对账明细接口!$S72=0,"",[2]对账明细接口!$S72),"")</f>
      </c>
      <c r="Y72" s="20">
        <f>""</f>
      </c>
      <c r="Z72" s="20">
        <f>""</f>
      </c>
      <c r="AA72" s="20">
        <f>""</f>
      </c>
      <c r="AB72" s="20">
        <f>""</f>
      </c>
    </row>
    <row r="73" s="127">
      <c r="A73" s="14" t="n">
        <v>73</v>
      </c>
      <c r="B73" s="211">
        <f>IFERROR(IF([2]对账明细接口!$B$73=0,"",[2]对账明细接口!$B$73),"")</f>
        <v>46292.0</v>
      </c>
      <c r="C73" s="16" t="str">
        <f>IFERROR(IF([2]对账明细接口!$C$73=0,"",[2]对账明细接口!$C$73),"")</f>
        <v>麦麦提</v>
      </c>
      <c r="D73" s="16" t="str">
        <f>IFERROR(IF([2]对账明细接口!$D$73=0,"",[2]对账明细接口!$D$73),"")</f>
        <v>包装物料－领用出库</v>
      </c>
      <c r="E73" s="16" t="str">
        <f>IFERROR(IF([2]对账明细接口!$E$73=0,"",[2]对账明细接口!$E$73),"")</f>
        <v>NO:0001247</v>
      </c>
      <c r="F73" s="16" t="str">
        <f>IFERROR(IF([2]对账明细接口!$F$73=0,"",[2]对账明细接口!$F$73),"")</f>
        <v>香梨网</v>
      </c>
      <c r="G73" s="16" t="str">
        <f>IFERROR(IF([2]对账明细接口!$G$73=0,"",[2]对账明细接口!$G$73),"")</f>
        <v>*包</v>
      </c>
      <c r="H73" s="176">
        <f>IFERROR(IF([2]对账明细接口!$H$73=0,"",[2]对账明细接口!$H$73),"")</f>
        <v>40</v>
      </c>
      <c r="I73" s="16" t="str">
        <f>IFERROR(IF([2]对账明细接口!$I$73=0,"",[2]对账明细接口!$I$73),"")</f>
        <v>包</v>
      </c>
      <c r="J73" s="177">
        <f>IFERROR(IF([2]对账明细接口!$J$73=0,"",[2]对账明细接口!$J$73),"")</f>
      </c>
      <c r="K73" s="177">
        <f>IFERROR(IF([2]对账明细接口!$K$73=0,"",[2]对账明细接口!$K$73),"")</f>
        <v>1800</v>
      </c>
      <c r="L73" s="16" t="str">
        <f>IFERROR(IF([2]对账明细接口!$L$73=0,"",[2]对账明细接口!$L$73),"")</f>
        <v>未收款</v>
      </c>
      <c r="M73" s="16">
        <f>IFERROR(IF([2]对账明细接口!$M$73=0,"",[2]对账明细接口!$M$73),"")</f>
      </c>
      <c r="N73" s="19">
        <f>IF($C73="",0,1)</f>
        <v>1</v>
      </c>
      <c r="O73" s="19">
        <f>N(O72)+$N73</f>
        <v>70</v>
      </c>
      <c r="S73" s="20">
        <f>IFERROR(IF([2]对账明细接口!$N73=0,"",[2]对账明细接口!$N73),"")</f>
      </c>
      <c r="T73" s="212">
        <f>IFERROR(IF([2]对账明细接口!$O73=0,"",[2]对账明细接口!$O73),"")</f>
      </c>
      <c r="U73" s="212">
        <f>IFERROR(IF([2]对账明细接口!$P73=0,"",[2]对账明细接口!$P73),"")</f>
      </c>
      <c r="V73" s="212">
        <f>IFERROR(IF([2]对账明细接口!$Q73=0,"",[2]对账明细接口!$Q73),"")</f>
      </c>
      <c r="W73" s="20" t="str">
        <f>IFERROR(IF([2]对账明细接口!$R73=0,"",[2]对账明细接口!$R73),"")</f>
        <v>新R*37010</v>
      </c>
      <c r="X73" s="20">
        <f>IFERROR(IF([2]对账明细接口!$S73=0,"",[2]对账明细接口!$S73),"")</f>
      </c>
      <c r="Y73" s="20">
        <f>""</f>
      </c>
      <c r="Z73" s="20">
        <f>""</f>
      </c>
      <c r="AA73" s="20">
        <f>""</f>
      </c>
      <c r="AB73" s="20">
        <f>""</f>
      </c>
    </row>
    <row r="74" s="127">
      <c r="A74" s="14" t="n">
        <v>74</v>
      </c>
      <c r="B74" s="211">
        <f>IFERROR(IF([2]对账明细接口!$B$74=0,"",[2]对账明细接口!$B$74),"")</f>
        <v>46292.0</v>
      </c>
      <c r="C74" s="16" t="str">
        <f>IFERROR(IF([2]对账明细接口!$C$74=0,"",[2]对账明细接口!$C$74),"")</f>
        <v>努尔敦</v>
      </c>
      <c r="D74" s="16" t="str">
        <f>IFERROR(IF([2]对账明细接口!$D$74=0,"",[2]对账明细接口!$D$74),"")</f>
        <v>包装物料－领用出库</v>
      </c>
      <c r="E74" s="16" t="str">
        <f>IFERROR(IF([2]对账明细接口!$E$74=0,"",[2]对账明细接口!$E$74),"")</f>
        <v>NO:0001248</v>
      </c>
      <c r="F74" s="16" t="str">
        <f>IFERROR(IF([2]对账明细接口!$F$74=0,"",[2]对账明细接口!$F$74),"")</f>
        <v>香梨网</v>
      </c>
      <c r="G74" s="16" t="str">
        <f>IFERROR(IF([2]对账明细接口!$G$74=0,"",[2]对账明细接口!$G$74),"")</f>
        <v>*包</v>
      </c>
      <c r="H74" s="176">
        <f>IFERROR(IF([2]对账明细接口!$H$74=0,"",[2]对账明细接口!$H$74),"")</f>
        <v>40</v>
      </c>
      <c r="I74" s="16" t="str">
        <f>IFERROR(IF([2]对账明细接口!$I$74=0,"",[2]对账明细接口!$I$74),"")</f>
        <v>包</v>
      </c>
      <c r="J74" s="177">
        <f>IFERROR(IF([2]对账明细接口!$J$74=0,"",[2]对账明细接口!$J$74),"")</f>
      </c>
      <c r="K74" s="177">
        <f>IFERROR(IF([2]对账明细接口!$K$74=0,"",[2]对账明细接口!$K$74),"")</f>
        <v>1800</v>
      </c>
      <c r="L74" s="16" t="str">
        <f>IFERROR(IF([2]对账明细接口!$L$74=0,"",[2]对账明细接口!$L$74),"")</f>
        <v>未收款</v>
      </c>
      <c r="M74" s="16">
        <f>IFERROR(IF([2]对账明细接口!$M$74=0,"",[2]对账明细接口!$M$74),"")</f>
      </c>
      <c r="N74" s="19">
        <f>IF($C74="",0,1)</f>
        <v>1</v>
      </c>
      <c r="O74" s="19">
        <f>N(O73)+$N74</f>
        <v>71</v>
      </c>
      <c r="S74" s="20">
        <f>IFERROR(IF([2]对账明细接口!$N74=0,"",[2]对账明细接口!$N74),"")</f>
      </c>
      <c r="T74" s="212">
        <f>IFERROR(IF([2]对账明细接口!$O74=0,"",[2]对账明细接口!$O74),"")</f>
      </c>
      <c r="U74" s="212">
        <f>IFERROR(IF([2]对账明细接口!$P74=0,"",[2]对账明细接口!$P74),"")</f>
      </c>
      <c r="V74" s="212">
        <f>IFERROR(IF([2]对账明细接口!$Q74=0,"",[2]对账明细接口!$Q74),"")</f>
      </c>
      <c r="W74" s="20" t="str">
        <f>IFERROR(IF([2]对账明细接口!$R74=0,"",[2]对账明细接口!$R74),"")</f>
        <v>新F*75240</v>
      </c>
      <c r="X74" s="20">
        <f>IFERROR(IF([2]对账明细接口!$S74=0,"",[2]对账明细接口!$S74),"")</f>
      </c>
      <c r="Y74" s="20">
        <f>""</f>
      </c>
      <c r="Z74" s="20">
        <f>""</f>
      </c>
      <c r="AA74" s="20">
        <f>""</f>
      </c>
      <c r="AB74" s="20">
        <f>""</f>
      </c>
    </row>
    <row r="75" s="127">
      <c r="A75" s="14" t="n">
        <v>75</v>
      </c>
      <c r="B75" s="211">
        <f>IFERROR(IF([2]对账明细接口!$B$75=0,"",[2]对账明细接口!$B$75),"")</f>
        <v>46293.0</v>
      </c>
      <c r="C75" s="16" t="str">
        <f>IFERROR(IF([2]对账明细接口!$C$75=0,"",[2]对账明细接口!$C$75),"")</f>
        <v>吐尔地</v>
      </c>
      <c r="D75" s="16" t="str">
        <f>IFERROR(IF([2]对账明细接口!$D$75=0,"",[2]对账明细接口!$D$75),"")</f>
        <v>包装物料－领用出库</v>
      </c>
      <c r="E75" s="16" t="str">
        <f>IFERROR(IF([2]对账明细接口!$E$75=0,"",[2]对账明细接口!$E$75),"")</f>
        <v>NO:0001250</v>
      </c>
      <c r="F75" s="16" t="str">
        <f>IFERROR(IF([2]对账明细接口!$F$75=0,"",[2]对账明细接口!$F$75),"")</f>
        <v>香梨网</v>
      </c>
      <c r="G75" s="16" t="str">
        <f>IFERROR(IF([2]对账明细接口!$G$75=0,"",[2]对账明细接口!$G$75),"")</f>
        <v>*包</v>
      </c>
      <c r="H75" s="176">
        <f>IFERROR(IF([2]对账明细接口!$H$75=0,"",[2]对账明细接口!$H$75),"")</f>
        <v>16</v>
      </c>
      <c r="I75" s="16" t="str">
        <f>IFERROR(IF([2]对账明细接口!$I$75=0,"",[2]对账明细接口!$I$75),"")</f>
        <v>包</v>
      </c>
      <c r="J75" s="177">
        <f>IFERROR(IF([2]对账明细接口!$J$75=0,"",[2]对账明细接口!$J$75),"")</f>
      </c>
      <c r="K75" s="177">
        <f>IFERROR(IF([2]对账明细接口!$K$75=0,"",[2]对账明细接口!$K$75),"")</f>
        <v>720</v>
      </c>
      <c r="L75" s="16" t="str">
        <f>IFERROR(IF([2]对账明细接口!$L$75=0,"",[2]对账明细接口!$L$75),"")</f>
        <v>未收款</v>
      </c>
      <c r="M75" s="16">
        <f>IFERROR(IF([2]对账明细接口!$M$75=0,"",[2]对账明细接口!$M$75),"")</f>
      </c>
      <c r="N75" s="19">
        <f>IF($C75="",0,1)</f>
        <v>1</v>
      </c>
      <c r="O75" s="19">
        <f>N(O74)+$N75</f>
        <v>72</v>
      </c>
      <c r="S75" s="20">
        <f>IFERROR(IF([2]对账明细接口!$N75=0,"",[2]对账明细接口!$N75),"")</f>
      </c>
      <c r="T75" s="212">
        <f>IFERROR(IF([2]对账明细接口!$O75=0,"",[2]对账明细接口!$O75),"")</f>
      </c>
      <c r="U75" s="212">
        <f>IFERROR(IF([2]对账明细接口!$P75=0,"",[2]对账明细接口!$P75),"")</f>
      </c>
      <c r="V75" s="212">
        <f>IFERROR(IF([2]对账明细接口!$Q75=0,"",[2]对账明细接口!$Q75),"")</f>
      </c>
      <c r="W75" s="20" t="str">
        <f>IFERROR(IF([2]对账明细接口!$R75=0,"",[2]对账明细接口!$R75),"")</f>
        <v>新N*X8S48</v>
      </c>
      <c r="X75" s="20">
        <f>IFERROR(IF([2]对账明细接口!$S75=0,"",[2]对账明细接口!$S75),"")</f>
      </c>
      <c r="Y75" s="20">
        <f>""</f>
      </c>
      <c r="Z75" s="20">
        <f>""</f>
      </c>
      <c r="AA75" s="20">
        <f>""</f>
      </c>
      <c r="AB75" s="20">
        <f>""</f>
      </c>
    </row>
    <row r="76" s="127">
      <c r="A76" s="14" t="n">
        <v>76</v>
      </c>
      <c r="B76" s="211">
        <f>IFERROR(IF([2]对账明细接口!$B$76=0,"",[2]对账明细接口!$B$76),"")</f>
        <v>46293.0</v>
      </c>
      <c r="C76" s="16" t="str">
        <f>IFERROR(IF([2]对账明细接口!$C$76=0,"",[2]对账明细接口!$C$76),"")</f>
        <v>热合曼</v>
      </c>
      <c r="D76" s="16" t="str">
        <f>IFERROR(IF([2]对账明细接口!$D$76=0,"",[2]对账明细接口!$D$76),"")</f>
        <v>包装物料－退回入库</v>
      </c>
      <c r="E76" s="16" t="str">
        <f>IFERROR(IF([2]对账明细接口!$E$76=0,"",[2]对账明细接口!$E$76),"")</f>
        <v>NO:0001006</v>
      </c>
      <c r="F76" s="16" t="str">
        <f>IFERROR(IF([2]对账明细接口!$F$76=0,"",[2]对账明细接口!$F$76),"")</f>
        <v>香梨网</v>
      </c>
      <c r="G76" s="16" t="str">
        <f>IFERROR(IF([2]对账明细接口!$G$76=0,"",[2]对账明细接口!$G$76),"")</f>
        <v>*包</v>
      </c>
      <c r="H76" s="176">
        <f>IFERROR(IF([2]对账明细接口!$H$76=0,"",[2]对账明细接口!$H$76),"")</f>
        <v>-29</v>
      </c>
      <c r="I76" s="16" t="str">
        <f>IFERROR(IF([2]对账明细接口!$I$76=0,"",[2]对账明细接口!$I$76),"")</f>
        <v>包</v>
      </c>
      <c r="J76" s="177">
        <f>IFERROR(IF([2]对账明细接口!$J$76=0,"",[2]对账明细接口!$J$76),"")</f>
      </c>
      <c r="K76" s="177">
        <f>IFERROR(IF([2]对账明细接口!$K$76=0,"",[2]对账明细接口!$K$76),"")</f>
        <v>-1305</v>
      </c>
      <c r="L76" s="16" t="str">
        <f>IFERROR(IF([2]对账明细接口!$L$76=0,"",[2]对账明细接口!$L$76),"")</f>
        <v>无需收款</v>
      </c>
      <c r="M76" s="16">
        <f>IFERROR(IF([2]对账明细接口!$M$76=0,"",[2]对账明细接口!$M$76),"")</f>
      </c>
      <c r="N76" s="19">
        <f>IF($C76="",0,1)</f>
        <v>1</v>
      </c>
      <c r="O76" s="19">
        <f>N(O75)+$N76</f>
        <v>73</v>
      </c>
      <c r="S76" s="20">
        <f>IFERROR(IF([2]对账明细接口!$N76=0,"",[2]对账明细接口!$N76),"")</f>
      </c>
      <c r="T76" s="212">
        <f>IFERROR(IF([2]对账明细接口!$O76=0,"",[2]对账明细接口!$O76),"")</f>
      </c>
      <c r="U76" s="212">
        <f>IFERROR(IF([2]对账明细接口!$P76=0,"",[2]对账明细接口!$P76),"")</f>
      </c>
      <c r="V76" s="212">
        <f>IFERROR(IF([2]对账明细接口!$Q76=0,"",[2]对账明细接口!$Q76),"")</f>
      </c>
      <c r="W76" s="20" t="str">
        <f>IFERROR(IF([2]对账明细接口!$R76=0,"",[2]对账明细接口!$R76),"")</f>
        <v>新R*37010</v>
      </c>
      <c r="X76" s="20">
        <f>IFERROR(IF([2]对账明细接口!$S76=0,"",[2]对账明细接口!$S76),"")</f>
      </c>
      <c r="Y76" s="20">
        <f>""</f>
      </c>
      <c r="Z76" s="20">
        <f>""</f>
      </c>
      <c r="AA76" s="20">
        <f>""</f>
      </c>
      <c r="AB76" s="20">
        <f>""</f>
      </c>
    </row>
    <row r="77" s="127">
      <c r="A77" s="14" t="n">
        <v>77</v>
      </c>
      <c r="B77" s="211">
        <f>IFERROR(IF([2]对账明细接口!$B$77=0,"",[2]对账明细接口!$B$77),"")</f>
      </c>
      <c r="C77" s="16" t="str">
        <f>IFERROR(IF([2]对账明细接口!$C$77=0,"",[2]对账明细接口!$C$77),"")</f>
        <v>果然鲜</v>
      </c>
      <c r="D77" s="16" t="str">
        <f>IFERROR(IF([2]对账明细接口!$D$77=0,"",[2]对账明细接口!$D$77),"")</f>
        <v>周转筐－期初库存</v>
      </c>
      <c r="E77" s="16">
        <f>IFERROR(IF([2]对账明细接口!$E$77=0,"",[2]对账明细接口!$E$77),"")</f>
      </c>
      <c r="F77" s="16" t="str">
        <f>IFERROR(IF([2]对账明细接口!$F$77=0,"",[2]对账明细接口!$F$77),"")</f>
        <v>公司一次性筐</v>
      </c>
      <c r="G77" s="16">
        <f>IFERROR(IF([2]对账明细接口!$G$77=0,"",[2]对账明细接口!$G$77),"")</f>
      </c>
      <c r="H77" s="176">
        <f>IFERROR(IF([2]对账明细接口!$H$77=0,"",[2]对账明细接口!$H$77),"")</f>
        <v>69840</v>
      </c>
      <c r="I77" s="16" t="str">
        <f>IFERROR(IF([2]对账明细接口!$I$77=0,"",[2]对账明细接口!$I$77),"")</f>
        <v>个</v>
      </c>
      <c r="J77" s="177">
        <f>IFERROR(IF([2]对账明细接口!$J$77=0,"",[2]对账明细接口!$J$77),"")</f>
      </c>
      <c r="K77" s="177">
        <f>IFERROR(IF([2]对账明细接口!$K$77=0,"",[2]对账明细接口!$K$77),"")</f>
      </c>
      <c r="L77" s="16">
        <f>IFERROR(IF([2]对账明细接口!$L$77=0,"",[2]对账明细接口!$L$77),"")</f>
      </c>
      <c r="M77" s="16">
        <f>IFERROR(IF([2]对账明细接口!$M$77=0,"",[2]对账明细接口!$M$77),"")</f>
      </c>
      <c r="N77" s="19">
        <f>IF($C77="",0,1)</f>
        <v>1</v>
      </c>
      <c r="O77" s="19">
        <f>N(O76)+$N77</f>
        <v>74</v>
      </c>
      <c r="S77" s="20" t="str">
        <f>IFERROR(IF([2]对账明细接口!$N77=0,"",[2]对账明细接口!$N77),"")</f>
        <v>公司一次性筐</v>
      </c>
      <c r="T77" s="212">
        <f>IFERROR(IF([2]对账明细接口!$O77=0,"",[2]对账明细接口!$O77),"")</f>
      </c>
      <c r="U77" s="212">
        <f>IFERROR(IF([2]对账明细接口!$P77=0,"",[2]对账明细接口!$P77),"")</f>
      </c>
      <c r="V77" s="212">
        <f>IFERROR(IF([2]对账明细接口!$Q77=0,"",[2]对账明细接口!$Q77),"")</f>
        <v>69840</v>
      </c>
      <c r="W77" s="20">
        <f>IFERROR(IF([2]对账明细接口!$R77=0,"",[2]对账明细接口!$R77),"")</f>
      </c>
      <c r="X77" s="20" t="str">
        <f>IFERROR(IF([2]对账明细接口!$S77=0,"",[2]对账明细接口!$S77),"")</f>
        <v>公司筐</v>
      </c>
      <c r="Y77" s="20">
        <f>""</f>
      </c>
      <c r="Z77" s="20">
        <f>""</f>
      </c>
      <c r="AA77" s="20">
        <f>""</f>
      </c>
      <c r="AB77" s="20">
        <f>""</f>
      </c>
    </row>
    <row r="78" s="127">
      <c r="A78" s="14" t="n">
        <v>78</v>
      </c>
      <c r="B78" s="211">
        <f>IFERROR(IF([2]对账明细接口!$B$78=0,"",[2]对账明细接口!$B$78),"")</f>
      </c>
      <c r="C78" s="16" t="str">
        <f>IFERROR(IF([2]对账明细接口!$C$78=0,"",[2]对账明细接口!$C$78),"")</f>
        <v>果然鲜</v>
      </c>
      <c r="D78" s="16" t="str">
        <f>IFERROR(IF([2]对账明细接口!$D$78=0,"",[2]对账明细接口!$D$78),"")</f>
        <v>周转筐－期初库存</v>
      </c>
      <c r="E78" s="16">
        <f>IFERROR(IF([2]对账明细接口!$E$78=0,"",[2]对账明细接口!$E$78),"")</f>
      </c>
      <c r="F78" s="16" t="str">
        <f>IFERROR(IF([2]对账明细接口!$F$78=0,"",[2]对账明细接口!$F$78),"")</f>
        <v>公司杂周转筐</v>
      </c>
      <c r="G78" s="16">
        <f>IFERROR(IF([2]对账明细接口!$G$78=0,"",[2]对账明细接口!$G$78),"")</f>
      </c>
      <c r="H78" s="176">
        <f>IFERROR(IF([2]对账明细接口!$H$78=0,"",[2]对账明细接口!$H$78),"")</f>
        <v>35928</v>
      </c>
      <c r="I78" s="16" t="str">
        <f>IFERROR(IF([2]对账明细接口!$I$78=0,"",[2]对账明细接口!$I$78),"")</f>
        <v>个</v>
      </c>
      <c r="J78" s="177">
        <f>IFERROR(IF([2]对账明细接口!$J$78=0,"",[2]对账明细接口!$J$78),"")</f>
      </c>
      <c r="K78" s="177">
        <f>IFERROR(IF([2]对账明细接口!$K$78=0,"",[2]对账明细接口!$K$78),"")</f>
      </c>
      <c r="L78" s="16">
        <f>IFERROR(IF([2]对账明细接口!$L$78=0,"",[2]对账明细接口!$L$78),"")</f>
      </c>
      <c r="M78" s="16">
        <f>IFERROR(IF([2]对账明细接口!$M$78=0,"",[2]对账明细接口!$M$78),"")</f>
      </c>
      <c r="N78" s="19">
        <f>IF($C78="",0,1)</f>
        <v>1</v>
      </c>
      <c r="O78" s="19">
        <f>N(O77)+$N78</f>
        <v>75</v>
      </c>
      <c r="S78" s="20" t="str">
        <f>IFERROR(IF([2]对账明细接口!$N78=0,"",[2]对账明细接口!$N78),"")</f>
        <v>公司杂周转筐</v>
      </c>
      <c r="T78" s="212">
        <f>IFERROR(IF([2]对账明细接口!$O78=0,"",[2]对账明细接口!$O78),"")</f>
      </c>
      <c r="U78" s="212">
        <f>IFERROR(IF([2]对账明细接口!$P78=0,"",[2]对账明细接口!$P78),"")</f>
      </c>
      <c r="V78" s="212">
        <f>IFERROR(IF([2]对账明细接口!$Q78=0,"",[2]对账明细接口!$Q78),"")</f>
        <v>35928</v>
      </c>
      <c r="W78" s="20">
        <f>IFERROR(IF([2]对账明细接口!$R78=0,"",[2]对账明细接口!$R78),"")</f>
      </c>
      <c r="X78" s="20" t="str">
        <f>IFERROR(IF([2]对账明细接口!$S78=0,"",[2]对账明细接口!$S78),"")</f>
        <v>公司筐</v>
      </c>
      <c r="Y78" s="20">
        <f>""</f>
      </c>
      <c r="Z78" s="20">
        <f>""</f>
      </c>
      <c r="AA78" s="20">
        <f>""</f>
      </c>
      <c r="AB78" s="20">
        <f>""</f>
      </c>
    </row>
    <row r="79" s="127">
      <c r="A79" s="14" t="n">
        <v>79</v>
      </c>
      <c r="B79" s="211">
        <f>IFERROR(IF([2]对账明细接口!$B$79=0,"",[2]对账明细接口!$B$79),"")</f>
      </c>
      <c r="C79" s="16" t="str">
        <f>IFERROR(IF([2]对账明细接口!$C$79=0,"",[2]对账明细接口!$C$79),"")</f>
        <v>果然鲜</v>
      </c>
      <c r="D79" s="16" t="str">
        <f>IFERROR(IF([2]对账明细接口!$D$79=0,"",[2]对账明细接口!$D$79),"")</f>
        <v>周转筐－期初库存</v>
      </c>
      <c r="E79" s="16">
        <f>IFERROR(IF([2]对账明细接口!$E$79=0,"",[2]对账明细接口!$E$79),"")</f>
      </c>
      <c r="F79" s="16" t="str">
        <f>IFERROR(IF([2]对账明细接口!$F$79=0,"",[2]对账明细接口!$F$79),"")</f>
        <v>公司新周转筐</v>
      </c>
      <c r="G79" s="16">
        <f>IFERROR(IF([2]对账明细接口!$G$79=0,"",[2]对账明细接口!$G$79),"")</f>
      </c>
      <c r="H79" s="176">
        <f>IFERROR(IF([2]对账明细接口!$H$79=0,"",[2]对账明细接口!$H$79),"")</f>
        <v>58032</v>
      </c>
      <c r="I79" s="16" t="str">
        <f>IFERROR(IF([2]对账明细接口!$I$79=0,"",[2]对账明细接口!$I$79),"")</f>
        <v>个</v>
      </c>
      <c r="J79" s="177">
        <f>IFERROR(IF([2]对账明细接口!$J$79=0,"",[2]对账明细接口!$J$79),"")</f>
      </c>
      <c r="K79" s="177">
        <f>IFERROR(IF([2]对账明细接口!$K$79=0,"",[2]对账明细接口!$K$79),"")</f>
      </c>
      <c r="L79" s="16">
        <f>IFERROR(IF([2]对账明细接口!$L$79=0,"",[2]对账明细接口!$L$79),"")</f>
      </c>
      <c r="M79" s="16">
        <f>IFERROR(IF([2]对账明细接口!$M$79=0,"",[2]对账明细接口!$M$79),"")</f>
      </c>
      <c r="N79" s="19">
        <f>IF($C79="",0,1)</f>
        <v>1</v>
      </c>
      <c r="O79" s="19">
        <f>N(O78)+$N79</f>
        <v>76</v>
      </c>
      <c r="S79" s="20" t="str">
        <f>IFERROR(IF([2]对账明细接口!$N79=0,"",[2]对账明细接口!$N79),"")</f>
        <v>公司新周转筐</v>
      </c>
      <c r="T79" s="212">
        <f>IFERROR(IF([2]对账明细接口!$O79=0,"",[2]对账明细接口!$O79),"")</f>
      </c>
      <c r="U79" s="212">
        <f>IFERROR(IF([2]对账明细接口!$P79=0,"",[2]对账明细接口!$P79),"")</f>
      </c>
      <c r="V79" s="212">
        <f>IFERROR(IF([2]对账明细接口!$Q79=0,"",[2]对账明细接口!$Q79),"")</f>
        <v>58032</v>
      </c>
      <c r="W79" s="20">
        <f>IFERROR(IF([2]对账明细接口!$R79=0,"",[2]对账明细接口!$R79),"")</f>
      </c>
      <c r="X79" s="20" t="str">
        <f>IFERROR(IF([2]对账明细接口!$S79=0,"",[2]对账明细接口!$S79),"")</f>
        <v>公司筐</v>
      </c>
      <c r="Y79" s="20">
        <f>""</f>
      </c>
      <c r="Z79" s="20">
        <f>""</f>
      </c>
      <c r="AA79" s="20">
        <f>""</f>
      </c>
      <c r="AB79" s="20">
        <f>""</f>
      </c>
    </row>
    <row r="80" s="127">
      <c r="A80" s="14" t="n">
        <v>80</v>
      </c>
      <c r="B80" s="211">
        <f>IFERROR(IF([2]对账明细接口!$B$80=0,"",[2]对账明细接口!$B$80),"")</f>
      </c>
      <c r="C80" s="16" t="str">
        <f>IFERROR(IF([2]对账明细接口!$C$80=0,"",[2]对账明细接口!$C$80),"")</f>
        <v>果然鲜</v>
      </c>
      <c r="D80" s="16" t="str">
        <f>IFERROR(IF([2]对账明细接口!$D$80=0,"",[2]对账明细接口!$D$80),"")</f>
        <v>周转筐－期初库存</v>
      </c>
      <c r="E80" s="16">
        <f>IFERROR(IF([2]对账明细接口!$E$80=0,"",[2]对账明细接口!$E$80),"")</f>
      </c>
      <c r="F80" s="16" t="str">
        <f>IFERROR(IF([2]对账明细接口!$F$80=0,"",[2]对账明细接口!$F$80),"")</f>
        <v>公司白周转筐</v>
      </c>
      <c r="G80" s="16">
        <f>IFERROR(IF([2]对账明细接口!$G$80=0,"",[2]对账明细接口!$G$80),"")</f>
      </c>
      <c r="H80" s="176">
        <f>IFERROR(IF([2]对账明细接口!$H$80=0,"",[2]对账明细接口!$H$80),"")</f>
        <v>13968</v>
      </c>
      <c r="I80" s="16" t="str">
        <f>IFERROR(IF([2]对账明细接口!$I$80=0,"",[2]对账明细接口!$I$80),"")</f>
        <v>个</v>
      </c>
      <c r="J80" s="177">
        <f>IFERROR(IF([2]对账明细接口!$J$80=0,"",[2]对账明细接口!$J$80),"")</f>
      </c>
      <c r="K80" s="177">
        <f>IFERROR(IF([2]对账明细接口!$K$80=0,"",[2]对账明细接口!$K$80),"")</f>
      </c>
      <c r="L80" s="16">
        <f>IFERROR(IF([2]对账明细接口!$L$80=0,"",[2]对账明细接口!$L$80),"")</f>
      </c>
      <c r="M80" s="16">
        <f>IFERROR(IF([2]对账明细接口!$M$80=0,"",[2]对账明细接口!$M$80),"")</f>
      </c>
      <c r="N80" s="19">
        <f>IF($C80="",0,1)</f>
        <v>1</v>
      </c>
      <c r="O80" s="19">
        <f>N(O79)+$N80</f>
        <v>77</v>
      </c>
      <c r="S80" s="20" t="str">
        <f>IFERROR(IF([2]对账明细接口!$N80=0,"",[2]对账明细接口!$N80),"")</f>
        <v>公司白周转筐</v>
      </c>
      <c r="T80" s="212">
        <f>IFERROR(IF([2]对账明细接口!$O80=0,"",[2]对账明细接口!$O80),"")</f>
      </c>
      <c r="U80" s="212">
        <f>IFERROR(IF([2]对账明细接口!$P80=0,"",[2]对账明细接口!$P80),"")</f>
      </c>
      <c r="V80" s="212">
        <f>IFERROR(IF([2]对账明细接口!$Q80=0,"",[2]对账明细接口!$Q80),"")</f>
        <v>13968</v>
      </c>
      <c r="W80" s="20">
        <f>IFERROR(IF([2]对账明细接口!$R80=0,"",[2]对账明细接口!$R80),"")</f>
      </c>
      <c r="X80" s="20" t="str">
        <f>IFERROR(IF([2]对账明细接口!$S80=0,"",[2]对账明细接口!$S80),"")</f>
        <v>公司筐</v>
      </c>
      <c r="Y80" s="20">
        <f>""</f>
      </c>
      <c r="Z80" s="20">
        <f>""</f>
      </c>
      <c r="AA80" s="20">
        <f>""</f>
      </c>
      <c r="AB80" s="20">
        <f>""</f>
      </c>
    </row>
    <row r="81" s="127">
      <c r="A81" s="14" t="n">
        <v>81</v>
      </c>
      <c r="B81" s="211">
        <f>IFERROR(IF([2]对账明细接口!$B$81=0,"",[2]对账明细接口!$B$81),"")</f>
        <v>46245.0</v>
      </c>
      <c r="C81" s="16" t="str">
        <f>IFERROR(IF([2]对账明细接口!$C$81=0,"",[2]对账明细接口!$C$81),"")</f>
        <v>王照雪</v>
      </c>
      <c r="D81" s="16" t="str">
        <f>IFERROR(IF([2]对账明细接口!$D$81=0,"",[2]对账明细接口!$D$81),"")</f>
        <v>周转筐－领用出库</v>
      </c>
      <c r="E81" s="16" t="str">
        <f>IFERROR(IF([2]对账明细接口!$E$81=0,"",[2]对账明细接口!$E$81),"")</f>
        <v>NO:0001015</v>
      </c>
      <c r="F81" s="16" t="str">
        <f>IFERROR(IF([2]对账明细接口!$F$81=0,"",[2]对账明细接口!$F$81),"")</f>
        <v>公司杂周转筐</v>
      </c>
      <c r="G81" s="16">
        <f>IFERROR(IF([2]对账明细接口!$G$81=0,"",[2]对账明细接口!$G$81),"")</f>
      </c>
      <c r="H81" s="176">
        <f>IFERROR(IF([2]对账明细接口!$H$81=0,"",[2]对账明细接口!$H$81),"")</f>
        <v>351</v>
      </c>
      <c r="I81" s="16" t="str">
        <f>IFERROR(IF([2]对账明细接口!$I$81=0,"",[2]对账明细接口!$I$81),"")</f>
        <v>个</v>
      </c>
      <c r="J81" s="177">
        <f>IFERROR(IF([2]对账明细接口!$J$81=0,"",[2]对账明细接口!$J$81),"")</f>
      </c>
      <c r="K81" s="177">
        <f>IFERROR(IF([2]对账明细接口!$K$81=0,"",[2]对账明细接口!$K$81),"")</f>
      </c>
      <c r="L81" s="16">
        <f>IFERROR(IF([2]对账明细接口!$L$81=0,"",[2]对账明细接口!$L$81),"")</f>
      </c>
      <c r="M81" s="16">
        <f>IFERROR(IF([2]对账明细接口!$M$81=0,"",[2]对账明细接口!$M$81),"")</f>
      </c>
      <c r="N81" s="19">
        <f>IF($C81="",0,1)</f>
        <v>1</v>
      </c>
      <c r="O81" s="19">
        <f>N(O80)+$N81</f>
        <v>78</v>
      </c>
      <c r="S81" s="20" t="str">
        <f>IFERROR(IF([2]对账明细接口!$N81=0,"",[2]对账明细接口!$N81),"")</f>
        <v>公司杂周转筐</v>
      </c>
      <c r="T81" s="212">
        <f>IFERROR(IF([2]对账明细接口!$O81=0,"",[2]对账明细接口!$O81),"")</f>
        <v>351</v>
      </c>
      <c r="U81" s="212">
        <f>IFERROR(IF([2]对账明细接口!$P81=0,"",[2]对账明细接口!$P81),"")</f>
      </c>
      <c r="V81" s="212">
        <f>IFERROR(IF([2]对账明细接口!$Q81=0,"",[2]对账明细接口!$Q81),"")</f>
      </c>
      <c r="W81" s="20" t="str">
        <f>IFERROR(IF([2]对账明细接口!$R81=0,"",[2]对账明细接口!$R81),"")</f>
        <v>豫L*88X19</v>
      </c>
      <c r="X81" s="20" t="str">
        <f>IFERROR(IF([2]对账明细接口!$S81=0,"",[2]对账明细接口!$S81),"")</f>
        <v>公司筐</v>
      </c>
      <c r="Y81" s="20">
        <f>""</f>
      </c>
      <c r="Z81" s="20">
        <f>""</f>
      </c>
      <c r="AA81" s="20">
        <f>""</f>
      </c>
      <c r="AB81" s="20">
        <f>""</f>
      </c>
    </row>
    <row r="82" s="127">
      <c r="A82" s="14" t="n">
        <v>82</v>
      </c>
      <c r="B82" s="211">
        <f>IFERROR(IF([2]对账明细接口!$B$82=0,"",[2]对账明细接口!$B$82),"")</f>
        <v>46255.0</v>
      </c>
      <c r="C82" s="16" t="str">
        <f>IFERROR(IF([2]对账明细接口!$C$82=0,"",[2]对账明细接口!$C$82),"")</f>
        <v>王照雪</v>
      </c>
      <c r="D82" s="16" t="str">
        <f>IFERROR(IF([2]对账明细接口!$D$82=0,"",[2]对账明细接口!$D$82),"")</f>
        <v>周转筐－领用出库</v>
      </c>
      <c r="E82" s="16" t="str">
        <f>IFERROR(IF([2]对账明细接口!$E$82=0,"",[2]对账明细接口!$E$82),"")</f>
        <v>NO:0001022</v>
      </c>
      <c r="F82" s="16" t="str">
        <f>IFERROR(IF([2]对账明细接口!$F$82=0,"",[2]对账明细接口!$F$82),"")</f>
        <v>公司杂周转筐</v>
      </c>
      <c r="G82" s="16">
        <f>IFERROR(IF([2]对账明细接口!$G$82=0,"",[2]对账明细接口!$G$82),"")</f>
      </c>
      <c r="H82" s="176">
        <f>IFERROR(IF([2]对账明细接口!$H$82=0,"",[2]对账明细接口!$H$82),"")</f>
        <v>432</v>
      </c>
      <c r="I82" s="16" t="str">
        <f>IFERROR(IF([2]对账明细接口!$I$82=0,"",[2]对账明细接口!$I$82),"")</f>
        <v>个</v>
      </c>
      <c r="J82" s="177">
        <f>IFERROR(IF([2]对账明细接口!$J$82=0,"",[2]对账明细接口!$J$82),"")</f>
      </c>
      <c r="K82" s="177">
        <f>IFERROR(IF([2]对账明细接口!$K$82=0,"",[2]对账明细接口!$K$82),"")</f>
      </c>
      <c r="L82" s="16">
        <f>IFERROR(IF([2]对账明细接口!$L$82=0,"",[2]对账明细接口!$L$82),"")</f>
      </c>
      <c r="M82" s="16">
        <f>IFERROR(IF([2]对账明细接口!$M$82=0,"",[2]对账明细接口!$M$82),"")</f>
      </c>
      <c r="N82" s="19">
        <f>IF($C82="",0,1)</f>
        <v>1</v>
      </c>
      <c r="O82" s="19">
        <f>N(O81)+$N82</f>
        <v>79</v>
      </c>
      <c r="S82" s="20" t="str">
        <f>IFERROR(IF([2]对账明细接口!$N82=0,"",[2]对账明细接口!$N82),"")</f>
        <v>公司杂周转筐</v>
      </c>
      <c r="T82" s="212">
        <f>IFERROR(IF([2]对账明细接口!$O82=0,"",[2]对账明细接口!$O82),"")</f>
        <v>432</v>
      </c>
      <c r="U82" s="212">
        <f>IFERROR(IF([2]对账明细接口!$P82=0,"",[2]对账明细接口!$P82),"")</f>
      </c>
      <c r="V82" s="212">
        <f>IFERROR(IF([2]对账明细接口!$Q82=0,"",[2]对账明细接口!$Q82),"")</f>
      </c>
      <c r="W82" s="20" t="str">
        <f>IFERROR(IF([2]对账明细接口!$R82=0,"",[2]对账明细接口!$R82),"")</f>
        <v>豫L*88X19</v>
      </c>
      <c r="X82" s="20" t="str">
        <f>IFERROR(IF([2]对账明细接口!$S82=0,"",[2]对账明细接口!$S82),"")</f>
        <v>公司筐</v>
      </c>
      <c r="Y82" s="20">
        <f>""</f>
      </c>
      <c r="Z82" s="20">
        <f>""</f>
      </c>
      <c r="AA82" s="20">
        <f>""</f>
      </c>
      <c r="AB82" s="20">
        <f>""</f>
      </c>
    </row>
    <row r="83" s="127">
      <c r="A83" s="14" t="n">
        <v>83</v>
      </c>
      <c r="B83" s="211">
        <f>IFERROR(IF([2]对账明细接口!$B$83=0,"",[2]对账明细接口!$B$83),"")</f>
        <v>46258.0</v>
      </c>
      <c r="C83" s="16" t="str">
        <f>IFERROR(IF([2]对账明细接口!$C$83=0,"",[2]对账明细接口!$C$83),"")</f>
        <v>王照雪</v>
      </c>
      <c r="D83" s="16" t="str">
        <f>IFERROR(IF([2]对账明细接口!$D$83=0,"",[2]对账明细接口!$D$83),"")</f>
        <v>周转筐－领用出库</v>
      </c>
      <c r="E83" s="16" t="str">
        <f>IFERROR(IF([2]对账明细接口!$E$83=0,"",[2]对账明细接口!$E$83),"")</f>
        <v>NO:0001031</v>
      </c>
      <c r="F83" s="16" t="str">
        <f>IFERROR(IF([2]对账明细接口!$F$83=0,"",[2]对账明细接口!$F$83),"")</f>
        <v>公司杂周转筐</v>
      </c>
      <c r="G83" s="16">
        <f>IFERROR(IF([2]对账明细接口!$G$83=0,"",[2]对账明细接口!$G$83),"")</f>
      </c>
      <c r="H83" s="176">
        <f>IFERROR(IF([2]对账明细接口!$H$83=0,"",[2]对账明细接口!$H$83),"")</f>
        <v>282</v>
      </c>
      <c r="I83" s="16" t="str">
        <f>IFERROR(IF([2]对账明细接口!$I$83=0,"",[2]对账明细接口!$I$83),"")</f>
        <v>个</v>
      </c>
      <c r="J83" s="177">
        <f>IFERROR(IF([2]对账明细接口!$J$83=0,"",[2]对账明细接口!$J$83),"")</f>
      </c>
      <c r="K83" s="177">
        <f>IFERROR(IF([2]对账明细接口!$K$83=0,"",[2]对账明细接口!$K$83),"")</f>
      </c>
      <c r="L83" s="16">
        <f>IFERROR(IF([2]对账明细接口!$L$83=0,"",[2]对账明细接口!$L$83),"")</f>
      </c>
      <c r="M83" s="16">
        <f>IFERROR(IF([2]对账明细接口!$M$83=0,"",[2]对账明细接口!$M$83),"")</f>
      </c>
      <c r="N83" s="19">
        <f>IF($C83="",0,1)</f>
        <v>1</v>
      </c>
      <c r="O83" s="19">
        <f>N(O82)+$N83</f>
        <v>80</v>
      </c>
      <c r="S83" s="20" t="str">
        <f>IFERROR(IF([2]对账明细接口!$N83=0,"",[2]对账明细接口!$N83),"")</f>
        <v>公司杂周转筐</v>
      </c>
      <c r="T83" s="212">
        <f>IFERROR(IF([2]对账明细接口!$O83=0,"",[2]对账明细接口!$O83),"")</f>
        <v>282</v>
      </c>
      <c r="U83" s="212">
        <f>IFERROR(IF([2]对账明细接口!$P83=0,"",[2]对账明细接口!$P83),"")</f>
      </c>
      <c r="V83" s="212">
        <f>IFERROR(IF([2]对账明细接口!$Q83=0,"",[2]对账明细接口!$Q83),"")</f>
      </c>
      <c r="W83" s="20" t="str">
        <f>IFERROR(IF([2]对账明细接口!$R83=0,"",[2]对账明细接口!$R83),"")</f>
        <v>豫L*88X19</v>
      </c>
      <c r="X83" s="20" t="str">
        <f>IFERROR(IF([2]对账明细接口!$S83=0,"",[2]对账明细接口!$S83),"")</f>
        <v>公司筐</v>
      </c>
      <c r="Y83" s="20">
        <f>""</f>
      </c>
      <c r="Z83" s="20">
        <f>""</f>
      </c>
      <c r="AA83" s="20">
        <f>""</f>
      </c>
      <c r="AB83" s="20">
        <f>""</f>
      </c>
    </row>
    <row r="84" s="127">
      <c r="A84" s="14" t="n">
        <v>84</v>
      </c>
      <c r="B84" s="211">
        <f>IFERROR(IF([2]对账明细接口!$B$84=0,"",[2]对账明细接口!$B$84),"")</f>
        <v>46260.0</v>
      </c>
      <c r="C84" s="16" t="str">
        <f>IFERROR(IF([2]对账明细接口!$C$84=0,"",[2]对账明细接口!$C$84),"")</f>
        <v>王照雪</v>
      </c>
      <c r="D84" s="16" t="str">
        <f>IFERROR(IF([2]对账明细接口!$D$84=0,"",[2]对账明细接口!$D$84),"")</f>
        <v>周转筐－领用出库</v>
      </c>
      <c r="E84" s="16" t="str">
        <f>IFERROR(IF([2]对账明细接口!$E$84=0,"",[2]对账明细接口!$E$84),"")</f>
        <v>NO:0001037</v>
      </c>
      <c r="F84" s="16" t="str">
        <f>IFERROR(IF([2]对账明细接口!$F$84=0,"",[2]对账明细接口!$F$84),"")</f>
        <v>公司杂周转筐</v>
      </c>
      <c r="G84" s="16">
        <f>IFERROR(IF([2]对账明细接口!$G$84=0,"",[2]对账明细接口!$G$84),"")</f>
      </c>
      <c r="H84" s="176">
        <f>IFERROR(IF([2]对账明细接口!$H$84=0,"",[2]对账明细接口!$H$84),"")</f>
        <v>144</v>
      </c>
      <c r="I84" s="16" t="str">
        <f>IFERROR(IF([2]对账明细接口!$I$84=0,"",[2]对账明细接口!$I$84),"")</f>
        <v>个</v>
      </c>
      <c r="J84" s="177">
        <f>IFERROR(IF([2]对账明细接口!$J$84=0,"",[2]对账明细接口!$J$84),"")</f>
      </c>
      <c r="K84" s="177">
        <f>IFERROR(IF([2]对账明细接口!$K$84=0,"",[2]对账明细接口!$K$84),"")</f>
      </c>
      <c r="L84" s="16">
        <f>IFERROR(IF([2]对账明细接口!$L$84=0,"",[2]对账明细接口!$L$84),"")</f>
      </c>
      <c r="M84" s="16">
        <f>IFERROR(IF([2]对账明细接口!$M$84=0,"",[2]对账明细接口!$M$84),"")</f>
      </c>
      <c r="N84" s="19">
        <f>IF($C84="",0,1)</f>
        <v>1</v>
      </c>
      <c r="O84" s="19">
        <f>N(O83)+$N84</f>
        <v>81</v>
      </c>
      <c r="S84" s="20" t="str">
        <f>IFERROR(IF([2]对账明细接口!$N84=0,"",[2]对账明细接口!$N84),"")</f>
        <v>公司杂周转筐</v>
      </c>
      <c r="T84" s="212">
        <f>IFERROR(IF([2]对账明细接口!$O84=0,"",[2]对账明细接口!$O84),"")</f>
        <v>144</v>
      </c>
      <c r="U84" s="212">
        <f>IFERROR(IF([2]对账明细接口!$P84=0,"",[2]对账明细接口!$P84),"")</f>
      </c>
      <c r="V84" s="212">
        <f>IFERROR(IF([2]对账明细接口!$Q84=0,"",[2]对账明细接口!$Q84),"")</f>
      </c>
      <c r="W84" s="20" t="str">
        <f>IFERROR(IF([2]对账明细接口!$R84=0,"",[2]对账明细接口!$R84),"")</f>
        <v>豫L*88X19</v>
      </c>
      <c r="X84" s="20" t="str">
        <f>IFERROR(IF([2]对账明细接口!$S84=0,"",[2]对账明细接口!$S84),"")</f>
        <v>公司筐</v>
      </c>
      <c r="Y84" s="20">
        <f>""</f>
      </c>
      <c r="Z84" s="20">
        <f>""</f>
      </c>
      <c r="AA84" s="20">
        <f>""</f>
      </c>
      <c r="AB84" s="20">
        <f>""</f>
      </c>
    </row>
    <row r="85" s="127">
      <c r="A85" s="14" t="n">
        <v>85</v>
      </c>
      <c r="B85" s="211">
        <f>IFERROR(IF([2]对账明细接口!$B$85=0,"",[2]对账明细接口!$B$85),"")</f>
        <v>46258.0</v>
      </c>
      <c r="C85" s="16" t="str">
        <f>IFERROR(IF([2]对账明细接口!$C$85=0,"",[2]对账明细接口!$C$85),"")</f>
        <v>王照雪</v>
      </c>
      <c r="D85" s="16" t="str">
        <f>IFERROR(IF([2]对账明细接口!$D$85=0,"",[2]对账明细接口!$D$85),"")</f>
        <v>周转筐－退回入库</v>
      </c>
      <c r="E85" s="16" t="str">
        <f>IFERROR(IF([2]对账明细接口!$E$85=0,"",[2]对账明细接口!$E$85),"")</f>
        <v>NO:0000721</v>
      </c>
      <c r="F85" s="16" t="str">
        <f>IFERROR(IF([2]对账明细接口!$F$85=0,"",[2]对账明细接口!$F$85),"")</f>
        <v>公司杂周转筐</v>
      </c>
      <c r="G85" s="16">
        <f>IFERROR(IF([2]对账明细接口!$G$85=0,"",[2]对账明细接口!$G$85),"")</f>
      </c>
      <c r="H85" s="176">
        <f>IFERROR(IF([2]对账明细接口!$H$85=0,"",[2]对账明细接口!$H$85),"")</f>
        <v>4</v>
      </c>
      <c r="I85" s="16" t="str">
        <f>IFERROR(IF([2]对账明细接口!$I$85=0,"",[2]对账明细接口!$I$85),"")</f>
        <v>个</v>
      </c>
      <c r="J85" s="177">
        <f>IFERROR(IF([2]对账明细接口!$J$85=0,"",[2]对账明细接口!$J$85),"")</f>
      </c>
      <c r="K85" s="177">
        <f>IFERROR(IF([2]对账明细接口!$K$85=0,"",[2]对账明细接口!$K$85),"")</f>
      </c>
      <c r="L85" s="16">
        <f>IFERROR(IF([2]对账明细接口!$L$85=0,"",[2]对账明细接口!$L$85),"")</f>
      </c>
      <c r="M85" s="16">
        <f>IFERROR(IF([2]对账明细接口!$M$85=0,"",[2]对账明细接口!$M$85),"")</f>
      </c>
      <c r="N85" s="19">
        <f>IF($C85="",0,1)</f>
        <v>1</v>
      </c>
      <c r="O85" s="19">
        <f>N(O84)+$N85</f>
        <v>82</v>
      </c>
      <c r="S85" s="20" t="str">
        <f>IFERROR(IF([2]对账明细接口!$N85=0,"",[2]对账明细接口!$N85),"")</f>
        <v>公司杂周转筐</v>
      </c>
      <c r="T85" s="212">
        <f>IFERROR(IF([2]对账明细接口!$O85=0,"",[2]对账明细接口!$O85),"")</f>
      </c>
      <c r="U85" s="212">
        <f>IFERROR(IF([2]对账明细接口!$P85=0,"",[2]对账明细接口!$P85),"")</f>
        <v>4</v>
      </c>
      <c r="V85" s="212">
        <f>IFERROR(IF([2]对账明细接口!$Q85=0,"",[2]对账明细接口!$Q85),"")</f>
      </c>
      <c r="W85" s="20" t="str">
        <f>IFERROR(IF([2]对账明细接口!$R85=0,"",[2]对账明细接口!$R85),"")</f>
        <v>豫L*88X19</v>
      </c>
      <c r="X85" s="20" t="str">
        <f>IFERROR(IF([2]对账明细接口!$S85=0,"",[2]对账明细接口!$S85),"")</f>
        <v>公司筐</v>
      </c>
      <c r="Y85" s="20">
        <f>""</f>
      </c>
      <c r="Z85" s="20">
        <f>""</f>
      </c>
      <c r="AA85" s="20">
        <f>""</f>
      </c>
      <c r="AB85" s="20">
        <f>""</f>
      </c>
    </row>
    <row r="86" s="127">
      <c r="A86" s="14" t="n">
        <v>86</v>
      </c>
      <c r="B86" s="211">
        <f>IFERROR(IF([2]对账明细接口!$B$86=0,"",[2]对账明细接口!$B$86),"")</f>
        <v>46265.0</v>
      </c>
      <c r="C86" s="16" t="str">
        <f>IFERROR(IF([2]对账明细接口!$C$86=0,"",[2]对账明细接口!$C$86),"")</f>
        <v>王浩</v>
      </c>
      <c r="D86" s="16" t="str">
        <f>IFERROR(IF([2]对账明细接口!$D$86=0,"",[2]对账明细接口!$D$86),"")</f>
        <v>周转筐－领用出库</v>
      </c>
      <c r="E86" s="16" t="str">
        <f>IFERROR(IF([2]对账明细接口!$E$86=0,"",[2]对账明细接口!$E$86),"")</f>
        <v>NO:0001057</v>
      </c>
      <c r="F86" s="16" t="str">
        <f>IFERROR(IF([2]对账明细接口!$F$86=0,"",[2]对账明细接口!$F$86),"")</f>
        <v>公司一次性筐</v>
      </c>
      <c r="G86" s="16">
        <f>IFERROR(IF([2]对账明细接口!$G$86=0,"",[2]对账明细接口!$G$86),"")</f>
      </c>
      <c r="H86" s="176">
        <f>IFERROR(IF([2]对账明细接口!$H$86=0,"",[2]对账明细接口!$H$86),"")</f>
        <v>2040</v>
      </c>
      <c r="I86" s="16" t="str">
        <f>IFERROR(IF([2]对账明细接口!$I$86=0,"",[2]对账明细接口!$I$86),"")</f>
        <v>个</v>
      </c>
      <c r="J86" s="177">
        <f>IFERROR(IF([2]对账明细接口!$J$86=0,"",[2]对账明细接口!$J$86),"")</f>
      </c>
      <c r="K86" s="177">
        <f>IFERROR(IF([2]对账明细接口!$K$86=0,"",[2]对账明细接口!$K$86),"")</f>
      </c>
      <c r="L86" s="16">
        <f>IFERROR(IF([2]对账明细接口!$L$86=0,"",[2]对账明细接口!$L$86),"")</f>
      </c>
      <c r="M86" s="16">
        <f>IFERROR(IF([2]对账明细接口!$M$86=0,"",[2]对账明细接口!$M$86),"")</f>
      </c>
      <c r="N86" s="19">
        <f>IF($C86="",0,1)</f>
        <v>1</v>
      </c>
      <c r="O86" s="19">
        <f>N(O85)+$N86</f>
        <v>83</v>
      </c>
      <c r="S86" s="20" t="str">
        <f>IFERROR(IF([2]对账明细接口!$N86=0,"",[2]对账明细接口!$N86),"")</f>
        <v>公司一次性筐</v>
      </c>
      <c r="T86" s="212">
        <f>IFERROR(IF([2]对账明细接口!$O86=0,"",[2]对账明细接口!$O86),"")</f>
        <v>2040</v>
      </c>
      <c r="U86" s="212">
        <f>IFERROR(IF([2]对账明细接口!$P86=0,"",[2]对账明细接口!$P86),"")</f>
      </c>
      <c r="V86" s="212">
        <f>IFERROR(IF([2]对账明细接口!$Q86=0,"",[2]对账明细接口!$Q86),"")</f>
      </c>
      <c r="W86" s="20" t="str">
        <f>IFERROR(IF([2]对账明细接口!$R86=0,"",[2]对账明细接口!$R86),"")</f>
        <v>新Q*67674</v>
      </c>
      <c r="X86" s="20" t="str">
        <f>IFERROR(IF([2]对账明细接口!$S86=0,"",[2]对账明细接口!$S86),"")</f>
        <v>公司筐</v>
      </c>
      <c r="Y86" s="20">
        <f>""</f>
      </c>
      <c r="Z86" s="20">
        <f>""</f>
      </c>
      <c r="AA86" s="20">
        <f>""</f>
      </c>
      <c r="AB86" s="20">
        <f>""</f>
      </c>
    </row>
    <row r="87" s="127">
      <c r="A87" s="14" t="n">
        <v>87</v>
      </c>
      <c r="B87" s="211">
        <f>IFERROR(IF([2]对账明细接口!$B$87=0,"",[2]对账明细接口!$B$87),"")</f>
        <v>46266.0</v>
      </c>
      <c r="C87" s="16" t="str">
        <f>IFERROR(IF([2]对账明细接口!$C$87=0,"",[2]对账明细接口!$C$87),"")</f>
        <v>马锦祥</v>
      </c>
      <c r="D87" s="16" t="str">
        <f>IFERROR(IF([2]对账明细接口!$D$87=0,"",[2]对账明细接口!$D$87),"")</f>
        <v>周转筐－领用出库</v>
      </c>
      <c r="E87" s="16" t="str">
        <f>IFERROR(IF([2]对账明细接口!$E$87=0,"",[2]对账明细接口!$E$87),"")</f>
        <v>NO:0001061</v>
      </c>
      <c r="F87" s="16" t="str">
        <f>IFERROR(IF([2]对账明细接口!$F$87=0,"",[2]对账明细接口!$F$87),"")</f>
        <v>公司杂周转筐</v>
      </c>
      <c r="G87" s="16">
        <f>IFERROR(IF([2]对账明细接口!$G$87=0,"",[2]对账明细接口!$G$87),"")</f>
      </c>
      <c r="H87" s="176">
        <f>IFERROR(IF([2]对账明细接口!$H$87=0,"",[2]对账明细接口!$H$87),"")</f>
        <v>588</v>
      </c>
      <c r="I87" s="16" t="str">
        <f>IFERROR(IF([2]对账明细接口!$I$87=0,"",[2]对账明细接口!$I$87),"")</f>
        <v>个</v>
      </c>
      <c r="J87" s="177">
        <f>IFERROR(IF([2]对账明细接口!$J$87=0,"",[2]对账明细接口!$J$87),"")</f>
      </c>
      <c r="K87" s="177">
        <f>IFERROR(IF([2]对账明细接口!$K$87=0,"",[2]对账明细接口!$K$87),"")</f>
      </c>
      <c r="L87" s="16">
        <f>IFERROR(IF([2]对账明细接口!$L$87=0,"",[2]对账明细接口!$L$87),"")</f>
      </c>
      <c r="M87" s="16">
        <f>IFERROR(IF([2]对账明细接口!$M$87=0,"",[2]对账明细接口!$M$87),"")</f>
      </c>
      <c r="N87" s="19">
        <f>IF($C87="",0,1)</f>
        <v>1</v>
      </c>
      <c r="O87" s="19">
        <f>N(O86)+$N87</f>
        <v>84</v>
      </c>
      <c r="S87" s="20" t="str">
        <f>IFERROR(IF([2]对账明细接口!$N87=0,"",[2]对账明细接口!$N87),"")</f>
        <v>公司杂周转筐</v>
      </c>
      <c r="T87" s="212">
        <f>IFERROR(IF([2]对账明细接口!$O87=0,"",[2]对账明细接口!$O87),"")</f>
        <v>588</v>
      </c>
      <c r="U87" s="212">
        <f>IFERROR(IF([2]对账明细接口!$P87=0,"",[2]对账明细接口!$P87),"")</f>
      </c>
      <c r="V87" s="212">
        <f>IFERROR(IF([2]对账明细接口!$Q87=0,"",[2]对账明细接口!$Q87),"")</f>
      </c>
      <c r="W87" s="20" t="str">
        <f>IFERROR(IF([2]对账明细接口!$R87=0,"",[2]对账明细接口!$R87),"")</f>
        <v>新N*K7V85</v>
      </c>
      <c r="X87" s="20" t="str">
        <f>IFERROR(IF([2]对账明细接口!$S87=0,"",[2]对账明细接口!$S87),"")</f>
        <v>公司筐</v>
      </c>
      <c r="Y87" s="20">
        <f>""</f>
      </c>
      <c r="Z87" s="20">
        <f>""</f>
      </c>
      <c r="AA87" s="20">
        <f>""</f>
      </c>
      <c r="AB87" s="20">
        <f>""</f>
      </c>
    </row>
    <row r="88" s="127">
      <c r="A88" s="14" t="n">
        <v>88</v>
      </c>
      <c r="B88" s="211">
        <f>IFERROR(IF([2]对账明细接口!$B$88=0,"",[2]对账明细接口!$B$88),"")</f>
        <v>46266.0</v>
      </c>
      <c r="C88" s="16" t="str">
        <f>IFERROR(IF([2]对账明细接口!$C$88=0,"",[2]对账明细接口!$C$88),"")</f>
        <v>王照雪</v>
      </c>
      <c r="D88" s="16" t="str">
        <f>IFERROR(IF([2]对账明细接口!$D$88=0,"",[2]对账明细接口!$D$88),"")</f>
        <v>周转筐－退回入库</v>
      </c>
      <c r="E88" s="16" t="str">
        <f>IFERROR(IF([2]对账明细接口!$E$88=0,"",[2]对账明细接口!$E$88),"")</f>
        <v>NO:0000742</v>
      </c>
      <c r="F88" s="16" t="str">
        <f>IFERROR(IF([2]对账明细接口!$F$88=0,"",[2]对账明细接口!$F$88),"")</f>
        <v>公司杂周转筐</v>
      </c>
      <c r="G88" s="16">
        <f>IFERROR(IF([2]对账明细接口!$G$88=0,"",[2]对账明细接口!$G$88),"")</f>
      </c>
      <c r="H88" s="176">
        <f>IFERROR(IF([2]对账明细接口!$H$88=0,"",[2]对账明细接口!$H$88),"")</f>
        <v>30</v>
      </c>
      <c r="I88" s="16" t="str">
        <f>IFERROR(IF([2]对账明细接口!$I$88=0,"",[2]对账明细接口!$I$88),"")</f>
        <v>个</v>
      </c>
      <c r="J88" s="177">
        <f>IFERROR(IF([2]对账明细接口!$J$88=0,"",[2]对账明细接口!$J$88),"")</f>
      </c>
      <c r="K88" s="177">
        <f>IFERROR(IF([2]对账明细接口!$K$88=0,"",[2]对账明细接口!$K$88),"")</f>
      </c>
      <c r="L88" s="16">
        <f>IFERROR(IF([2]对账明细接口!$L$88=0,"",[2]对账明细接口!$L$88),"")</f>
      </c>
      <c r="M88" s="16">
        <f>IFERROR(IF([2]对账明细接口!$M$88=0,"",[2]对账明细接口!$M$88),"")</f>
      </c>
      <c r="N88" s="19">
        <f>IF($C88="",0,1)</f>
        <v>1</v>
      </c>
      <c r="O88" s="19">
        <f>N(O87)+$N88</f>
        <v>85</v>
      </c>
      <c r="S88" s="20" t="str">
        <f>IFERROR(IF([2]对账明细接口!$N88=0,"",[2]对账明细接口!$N88),"")</f>
        <v>公司杂周转筐</v>
      </c>
      <c r="T88" s="212">
        <f>IFERROR(IF([2]对账明细接口!$O88=0,"",[2]对账明细接口!$O88),"")</f>
      </c>
      <c r="U88" s="212">
        <f>IFERROR(IF([2]对账明细接口!$P88=0,"",[2]对账明细接口!$P88),"")</f>
        <v>30</v>
      </c>
      <c r="V88" s="212">
        <f>IFERROR(IF([2]对账明细接口!$Q88=0,"",[2]对账明细接口!$Q88),"")</f>
      </c>
      <c r="W88" s="20" t="str">
        <f>IFERROR(IF([2]对账明细接口!$R88=0,"",[2]对账明细接口!$R88),"")</f>
        <v>新N*D1W48</v>
      </c>
      <c r="X88" s="20" t="str">
        <f>IFERROR(IF([2]对账明细接口!$S88=0,"",[2]对账明细接口!$S88),"")</f>
        <v>公司筐</v>
      </c>
      <c r="Y88" s="20">
        <f>""</f>
      </c>
      <c r="Z88" s="20">
        <f>""</f>
      </c>
      <c r="AA88" s="20">
        <f>""</f>
      </c>
      <c r="AB88" s="20">
        <f>""</f>
      </c>
    </row>
    <row r="89" s="127">
      <c r="A89" s="14" t="n">
        <v>89</v>
      </c>
      <c r="B89" s="211">
        <f>IFERROR(IF([2]对账明细接口!$B$89=0,"",[2]对账明细接口!$B$89),"")</f>
        <v>46267.0</v>
      </c>
      <c r="C89" s="16" t="str">
        <f>IFERROR(IF([2]对账明细接口!$C$89=0,"",[2]对账明细接口!$C$89),"")</f>
        <v>全修塑业</v>
      </c>
      <c r="D89" s="16" t="str">
        <f>IFERROR(IF([2]对账明细接口!$D$89=0,"",[2]对账明细接口!$D$89),"")</f>
        <v>周转筐－采购入库</v>
      </c>
      <c r="E89" s="16" t="str">
        <f>IFERROR(IF([2]对账明细接口!$E$89=0,"",[2]对账明细接口!$E$89),"")</f>
        <v>NO:0000744</v>
      </c>
      <c r="F89" s="16" t="str">
        <f>IFERROR(IF([2]对账明细接口!$F$89=0,"",[2]对账明细接口!$F$89),"")</f>
        <v>公司红周转筐</v>
      </c>
      <c r="G89" s="16">
        <f>IFERROR(IF([2]对账明细接口!$G$89=0,"",[2]对账明细接口!$G$89),"")</f>
      </c>
      <c r="H89" s="176">
        <f>IFERROR(IF([2]对账明细接口!$H$89=0,"",[2]对账明细接口!$H$89),"")</f>
        <v>315</v>
      </c>
      <c r="I89" s="16" t="str">
        <f>IFERROR(IF([2]对账明细接口!$I$89=0,"",[2]对账明细接口!$I$89),"")</f>
        <v>个</v>
      </c>
      <c r="J89" s="177">
        <f>IFERROR(IF([2]对账明细接口!$J$89=0,"",[2]对账明细接口!$J$89),"")</f>
      </c>
      <c r="K89" s="177">
        <f>IFERROR(IF([2]对账明细接口!$K$89=0,"",[2]对账明细接口!$K$89),"")</f>
        <v>3150</v>
      </c>
      <c r="L89" s="16" t="str">
        <f>IFERROR(IF([2]对账明细接口!$L$89=0,"",[2]对账明细接口!$L$89),"")</f>
        <v>未付款</v>
      </c>
      <c r="M89" s="16" t="str">
        <f>IFERROR(IF([2]对账明细接口!$M$89=0,"",[2]对账明细接口!$M$89),"")</f>
        <v>NO:2745225</v>
      </c>
      <c r="N89" s="19">
        <f>IF($C89="",0,1)</f>
        <v>1</v>
      </c>
      <c r="O89" s="19">
        <f>N(O88)+$N89</f>
        <v>86</v>
      </c>
      <c r="S89" s="20" t="str">
        <f>IFERROR(IF([2]对账明细接口!$N89=0,"",[2]对账明细接口!$N89),"")</f>
        <v>公司红周转筐</v>
      </c>
      <c r="T89" s="212">
        <f>IFERROR(IF([2]对账明细接口!$O89=0,"",[2]对账明细接口!$O89),"")</f>
      </c>
      <c r="U89" s="212">
        <f>IFERROR(IF([2]对账明细接口!$P89=0,"",[2]对账明细接口!$P89),"")</f>
      </c>
      <c r="V89" s="212">
        <f>IFERROR(IF([2]对账明细接口!$Q89=0,"",[2]对账明细接口!$Q89),"")</f>
        <v>315</v>
      </c>
      <c r="W89" s="20" t="str">
        <f>IFERROR(IF([2]对账明细接口!$R89=0,"",[2]对账明细接口!$R89),"")</f>
        <v>新N*X8S48</v>
      </c>
      <c r="X89" s="20" t="str">
        <f>IFERROR(IF([2]对账明细接口!$S89=0,"",[2]对账明细接口!$S89),"")</f>
        <v>公司筐</v>
      </c>
      <c r="Y89" s="20">
        <f>""</f>
      </c>
      <c r="Z89" s="20">
        <f>""</f>
      </c>
      <c r="AA89" s="20">
        <f>""</f>
      </c>
      <c r="AB89" s="20">
        <f>""</f>
      </c>
    </row>
    <row r="90" s="127">
      <c r="A90" s="14" t="n">
        <v>90</v>
      </c>
      <c r="B90" s="211">
        <f>IFERROR(IF([2]对账明细接口!$B$90=0,"",[2]对账明细接口!$B$90),"")</f>
        <v>46267.0</v>
      </c>
      <c r="C90" s="16" t="str">
        <f>IFERROR(IF([2]对账明细接口!$C$90=0,"",[2]对账明细接口!$C$90),"")</f>
        <v>吐尔洪</v>
      </c>
      <c r="D90" s="16" t="str">
        <f>IFERROR(IF([2]对账明细接口!$D$90=0,"",[2]对账明细接口!$D$90),"")</f>
        <v>周转筐－领用出库</v>
      </c>
      <c r="E90" s="16" t="str">
        <f>IFERROR(IF([2]对账明细接口!$E$90=0,"",[2]对账明细接口!$E$90),"")</f>
        <v>NO:0001067</v>
      </c>
      <c r="F90" s="16" t="str">
        <f>IFERROR(IF([2]对账明细接口!$F$90=0,"",[2]对账明细接口!$F$90),"")</f>
        <v>公司红周转筐</v>
      </c>
      <c r="G90" s="16">
        <f>IFERROR(IF([2]对账明细接口!$G$90=0,"",[2]对账明细接口!$G$90),"")</f>
      </c>
      <c r="H90" s="176">
        <f>IFERROR(IF([2]对账明细接口!$H$90=0,"",[2]对账明细接口!$H$90),"")</f>
        <v>315</v>
      </c>
      <c r="I90" s="16" t="str">
        <f>IFERROR(IF([2]对账明细接口!$I$90=0,"",[2]对账明细接口!$I$90),"")</f>
        <v>个</v>
      </c>
      <c r="J90" s="177">
        <f>IFERROR(IF([2]对账明细接口!$J$90=0,"",[2]对账明细接口!$J$90),"")</f>
      </c>
      <c r="K90" s="177">
        <f>IFERROR(IF([2]对账明细接口!$K$90=0,"",[2]对账明细接口!$K$90),"")</f>
      </c>
      <c r="L90" s="16">
        <f>IFERROR(IF([2]对账明细接口!$L$90=0,"",[2]对账明细接口!$L$90),"")</f>
      </c>
      <c r="M90" s="16">
        <f>IFERROR(IF([2]对账明细接口!$M$90=0,"",[2]对账明细接口!$M$90),"")</f>
      </c>
      <c r="N90" s="19">
        <f>IF($C90="",0,1)</f>
        <v>1</v>
      </c>
      <c r="O90" s="19">
        <f>N(O89)+$N90</f>
        <v>87</v>
      </c>
      <c r="S90" s="20" t="str">
        <f>IFERROR(IF([2]对账明细接口!$N90=0,"",[2]对账明细接口!$N90),"")</f>
        <v>公司红周转筐</v>
      </c>
      <c r="T90" s="212">
        <f>IFERROR(IF([2]对账明细接口!$O90=0,"",[2]对账明细接口!$O90),"")</f>
        <v>315</v>
      </c>
      <c r="U90" s="212">
        <f>IFERROR(IF([2]对账明细接口!$P90=0,"",[2]对账明细接口!$P90),"")</f>
      </c>
      <c r="V90" s="212">
        <f>IFERROR(IF([2]对账明细接口!$Q90=0,"",[2]对账明细接口!$Q90),"")</f>
      </c>
      <c r="W90" s="20" t="str">
        <f>IFERROR(IF([2]对账明细接口!$R90=0,"",[2]对账明细接口!$R90),"")</f>
        <v>新N*X8S48</v>
      </c>
      <c r="X90" s="20" t="str">
        <f>IFERROR(IF([2]对账明细接口!$S90=0,"",[2]对账明细接口!$S90),"")</f>
        <v>公司筐</v>
      </c>
      <c r="Y90" s="20">
        <f>""</f>
      </c>
      <c r="Z90" s="20">
        <f>""</f>
      </c>
      <c r="AA90" s="20">
        <f>""</f>
      </c>
      <c r="AB90" s="20">
        <f>""</f>
      </c>
    </row>
    <row r="91" s="127">
      <c r="A91" s="14" t="n">
        <v>91</v>
      </c>
      <c r="B91" s="211">
        <f>IFERROR(IF([2]对账明细接口!$B$91=0,"",[2]对账明细接口!$B$91),"")</f>
        <v>46268.0</v>
      </c>
      <c r="C91" s="16" t="str">
        <f>IFERROR(IF([2]对账明细接口!$C$91=0,"",[2]对账明细接口!$C$91),"")</f>
        <v>全修塑业</v>
      </c>
      <c r="D91" s="16" t="str">
        <f>IFERROR(IF([2]对账明细接口!$D$91=0,"",[2]对账明细接口!$D$91),"")</f>
        <v>周转筐－采购入库</v>
      </c>
      <c r="E91" s="16" t="str">
        <f>IFERROR(IF([2]对账明细接口!$E$91=0,"",[2]对账明细接口!$E$91),"")</f>
        <v>NO:0000745</v>
      </c>
      <c r="F91" s="16" t="str">
        <f>IFERROR(IF([2]对账明细接口!$F$91=0,"",[2]对账明细接口!$F$91),"")</f>
        <v>公司红周转筐</v>
      </c>
      <c r="G91" s="16">
        <f>IFERROR(IF([2]对账明细接口!$G$91=0,"",[2]对账明细接口!$G$91),"")</f>
      </c>
      <c r="H91" s="176">
        <f>IFERROR(IF([2]对账明细接口!$H$91=0,"",[2]对账明细接口!$H$91),"")</f>
        <v>315</v>
      </c>
      <c r="I91" s="16" t="str">
        <f>IFERROR(IF([2]对账明细接口!$I$91=0,"",[2]对账明细接口!$I$91),"")</f>
        <v>个</v>
      </c>
      <c r="J91" s="177">
        <f>IFERROR(IF([2]对账明细接口!$J$91=0,"",[2]对账明细接口!$J$91),"")</f>
      </c>
      <c r="K91" s="177">
        <f>IFERROR(IF([2]对账明细接口!$K$91=0,"",[2]对账明细接口!$K$91),"")</f>
        <v>3150</v>
      </c>
      <c r="L91" s="16" t="str">
        <f>IFERROR(IF([2]对账明细接口!$L$91=0,"",[2]对账明细接口!$L$91),"")</f>
        <v>未付款</v>
      </c>
      <c r="M91" s="16" t="str">
        <f>IFERROR(IF([2]对账明细接口!$M$91=0,"",[2]对账明细接口!$M$91),"")</f>
        <v>NO:2745241</v>
      </c>
      <c r="N91" s="19">
        <f>IF($C91="",0,1)</f>
        <v>1</v>
      </c>
      <c r="O91" s="19">
        <f>N(O90)+$N91</f>
        <v>88</v>
      </c>
      <c r="S91" s="20" t="str">
        <f>IFERROR(IF([2]对账明细接口!$N91=0,"",[2]对账明细接口!$N91),"")</f>
        <v>公司红周转筐</v>
      </c>
      <c r="T91" s="212">
        <f>IFERROR(IF([2]对账明细接口!$O91=0,"",[2]对账明细接口!$O91),"")</f>
      </c>
      <c r="U91" s="212">
        <f>IFERROR(IF([2]对账明细接口!$P91=0,"",[2]对账明细接口!$P91),"")</f>
      </c>
      <c r="V91" s="212">
        <f>IFERROR(IF([2]对账明细接口!$Q91=0,"",[2]对账明细接口!$Q91),"")</f>
        <v>315</v>
      </c>
      <c r="W91" s="20" t="str">
        <f>IFERROR(IF([2]对账明细接口!$R91=0,"",[2]对账明细接口!$R91),"")</f>
        <v>新N*X8S48</v>
      </c>
      <c r="X91" s="20" t="str">
        <f>IFERROR(IF([2]对账明细接口!$S91=0,"",[2]对账明细接口!$S91),"")</f>
        <v>公司筐</v>
      </c>
      <c r="Y91" s="20">
        <f>""</f>
      </c>
      <c r="Z91" s="20">
        <f>""</f>
      </c>
      <c r="AA91" s="20">
        <f>""</f>
      </c>
      <c r="AB91" s="20">
        <f>""</f>
      </c>
    </row>
    <row r="92" s="127">
      <c r="A92" s="14" t="n">
        <v>92</v>
      </c>
      <c r="B92" s="211">
        <f>IFERROR(IF([2]对账明细接口!$B$92=0,"",[2]对账明细接口!$B$92),"")</f>
        <v>46268.0</v>
      </c>
      <c r="C92" s="16" t="str">
        <f>IFERROR(IF([2]对账明细接口!$C$92=0,"",[2]对账明细接口!$C$92),"")</f>
        <v>吐尔洪</v>
      </c>
      <c r="D92" s="16" t="str">
        <f>IFERROR(IF([2]对账明细接口!$D$92=0,"",[2]对账明细接口!$D$92),"")</f>
        <v>周转筐－领用出库</v>
      </c>
      <c r="E92" s="16" t="str">
        <f>IFERROR(IF([2]对账明细接口!$E$92=0,"",[2]对账明细接口!$E$92),"")</f>
        <v>NO:0001068</v>
      </c>
      <c r="F92" s="16" t="str">
        <f>IFERROR(IF([2]对账明细接口!$F$92=0,"",[2]对账明细接口!$F$92),"")</f>
        <v>公司红周转筐</v>
      </c>
      <c r="G92" s="16">
        <f>IFERROR(IF([2]对账明细接口!$G$92=0,"",[2]对账明细接口!$G$92),"")</f>
      </c>
      <c r="H92" s="176">
        <f>IFERROR(IF([2]对账明细接口!$H$92=0,"",[2]对账明细接口!$H$92),"")</f>
        <v>315</v>
      </c>
      <c r="I92" s="16" t="str">
        <f>IFERROR(IF([2]对账明细接口!$I$92=0,"",[2]对账明细接口!$I$92),"")</f>
        <v>个</v>
      </c>
      <c r="J92" s="177">
        <f>IFERROR(IF([2]对账明细接口!$J$92=0,"",[2]对账明细接口!$J$92),"")</f>
      </c>
      <c r="K92" s="177">
        <f>IFERROR(IF([2]对账明细接口!$K$92=0,"",[2]对账明细接口!$K$92),"")</f>
      </c>
      <c r="L92" s="16">
        <f>IFERROR(IF([2]对账明细接口!$L$92=0,"",[2]对账明细接口!$L$92),"")</f>
      </c>
      <c r="M92" s="16">
        <f>IFERROR(IF([2]对账明细接口!$M$92=0,"",[2]对账明细接口!$M$92),"")</f>
      </c>
      <c r="N92" s="19">
        <f>IF($C92="",0,1)</f>
        <v>1</v>
      </c>
      <c r="O92" s="19">
        <f>N(O91)+$N92</f>
        <v>89</v>
      </c>
      <c r="S92" s="20" t="str">
        <f>IFERROR(IF([2]对账明细接口!$N92=0,"",[2]对账明细接口!$N92),"")</f>
        <v>公司红周转筐</v>
      </c>
      <c r="T92" s="212">
        <f>IFERROR(IF([2]对账明细接口!$O92=0,"",[2]对账明细接口!$O92),"")</f>
        <v>315</v>
      </c>
      <c r="U92" s="212">
        <f>IFERROR(IF([2]对账明细接口!$P92=0,"",[2]对账明细接口!$P92),"")</f>
      </c>
      <c r="V92" s="212">
        <f>IFERROR(IF([2]对账明细接口!$Q92=0,"",[2]对账明细接口!$Q92),"")</f>
      </c>
      <c r="W92" s="20" t="str">
        <f>IFERROR(IF([2]对账明细接口!$R92=0,"",[2]对账明细接口!$R92),"")</f>
        <v>新N*X8S48</v>
      </c>
      <c r="X92" s="20" t="str">
        <f>IFERROR(IF([2]对账明细接口!$S92=0,"",[2]对账明细接口!$S92),"")</f>
        <v>公司筐</v>
      </c>
      <c r="Y92" s="20">
        <f>""</f>
      </c>
      <c r="Z92" s="20">
        <f>""</f>
      </c>
      <c r="AA92" s="20">
        <f>""</f>
      </c>
      <c r="AB92" s="20">
        <f>""</f>
      </c>
    </row>
    <row r="93" s="127">
      <c r="A93" s="14" t="n">
        <v>93</v>
      </c>
      <c r="B93" s="211">
        <f>IFERROR(IF([2]对账明细接口!$B$93=0,"",[2]对账明细接口!$B$93),"")</f>
        <v>46268.0</v>
      </c>
      <c r="C93" s="16" t="str">
        <f>IFERROR(IF([2]对账明细接口!$C$93=0,"",[2]对账明细接口!$C$93),"")</f>
        <v>全修塑业</v>
      </c>
      <c r="D93" s="16" t="str">
        <f>IFERROR(IF([2]对账明细接口!$D$93=0,"",[2]对账明细接口!$D$93),"")</f>
        <v>周转筐－采购入库</v>
      </c>
      <c r="E93" s="16" t="str">
        <f>IFERROR(IF([2]对账明细接口!$E$93=0,"",[2]对账明细接口!$E$93),"")</f>
        <v>NO:0000746</v>
      </c>
      <c r="F93" s="16" t="str">
        <f>IFERROR(IF([2]对账明细接口!$F$93=0,"",[2]对账明细接口!$F$93),"")</f>
        <v>公司红周转筐</v>
      </c>
      <c r="G93" s="16">
        <f>IFERROR(IF([2]对账明细接口!$G$93=0,"",[2]对账明细接口!$G$93),"")</f>
      </c>
      <c r="H93" s="176">
        <f>IFERROR(IF([2]对账明细接口!$H$93=0,"",[2]对账明细接口!$H$93),"")</f>
        <v>846</v>
      </c>
      <c r="I93" s="16" t="str">
        <f>IFERROR(IF([2]对账明细接口!$I$93=0,"",[2]对账明细接口!$I$93),"")</f>
        <v>个</v>
      </c>
      <c r="J93" s="177">
        <f>IFERROR(IF([2]对账明细接口!$J$93=0,"",[2]对账明细接口!$J$93),"")</f>
      </c>
      <c r="K93" s="177">
        <f>IFERROR(IF([2]对账明细接口!$K$93=0,"",[2]对账明细接口!$K$93),"")</f>
        <v>8460</v>
      </c>
      <c r="L93" s="16" t="str">
        <f>IFERROR(IF([2]对账明细接口!$L$93=0,"",[2]对账明细接口!$L$93),"")</f>
        <v>未付款</v>
      </c>
      <c r="M93" s="16" t="str">
        <f>IFERROR(IF([2]对账明细接口!$M$93=0,"",[2]对账明细接口!$M$93),"")</f>
        <v>NO:2745242</v>
      </c>
      <c r="N93" s="19">
        <f>IF($C93="",0,1)</f>
        <v>1</v>
      </c>
      <c r="O93" s="19">
        <f>N(O92)+$N93</f>
        <v>90</v>
      </c>
      <c r="S93" s="20" t="str">
        <f>IFERROR(IF([2]对账明细接口!$N93=0,"",[2]对账明细接口!$N93),"")</f>
        <v>公司红周转筐</v>
      </c>
      <c r="T93" s="212">
        <f>IFERROR(IF([2]对账明细接口!$O93=0,"",[2]对账明细接口!$O93),"")</f>
      </c>
      <c r="U93" s="212">
        <f>IFERROR(IF([2]对账明细接口!$P93=0,"",[2]对账明细接口!$P93),"")</f>
      </c>
      <c r="V93" s="212">
        <f>IFERROR(IF([2]对账明细接口!$Q93=0,"",[2]对账明细接口!$Q93),"")</f>
        <v>846</v>
      </c>
      <c r="W93" s="20" t="str">
        <f>IFERROR(IF([2]对账明细接口!$R93=0,"",[2]对账明细接口!$R93),"")</f>
        <v>新A*G0554</v>
      </c>
      <c r="X93" s="20" t="str">
        <f>IFERROR(IF([2]对账明细接口!$S93=0,"",[2]对账明细接口!$S93),"")</f>
        <v>公司筐</v>
      </c>
      <c r="Y93" s="20">
        <f>""</f>
      </c>
      <c r="Z93" s="20">
        <f>""</f>
      </c>
      <c r="AA93" s="20">
        <f>""</f>
      </c>
      <c r="AB93" s="20">
        <f>""</f>
      </c>
    </row>
    <row r="94" s="127">
      <c r="A94" s="14" t="n">
        <v>94</v>
      </c>
      <c r="B94" s="211">
        <f>IFERROR(IF([2]对账明细接口!$B$94=0,"",[2]对账明细接口!$B$94),"")</f>
        <v>46268.0</v>
      </c>
      <c r="C94" s="16" t="str">
        <f>IFERROR(IF([2]对账明细接口!$C$94=0,"",[2]对账明细接口!$C$94),"")</f>
        <v>热合曼</v>
      </c>
      <c r="D94" s="16" t="str">
        <f>IFERROR(IF([2]对账明细接口!$D$94=0,"",[2]对账明细接口!$D$94),"")</f>
        <v>周转筐－领用出库</v>
      </c>
      <c r="E94" s="16" t="str">
        <f>IFERROR(IF([2]对账明细接口!$E$94=0,"",[2]对账明细接口!$E$94),"")</f>
        <v>NO:0001069</v>
      </c>
      <c r="F94" s="16" t="str">
        <f>IFERROR(IF([2]对账明细接口!$F$94=0,"",[2]对账明细接口!$F$94),"")</f>
        <v>公司红周转筐</v>
      </c>
      <c r="G94" s="16">
        <f>IFERROR(IF([2]对账明细接口!$G$94=0,"",[2]对账明细接口!$G$94),"")</f>
      </c>
      <c r="H94" s="176">
        <f>IFERROR(IF([2]对账明细接口!$H$94=0,"",[2]对账明细接口!$H$94),"")</f>
        <v>846</v>
      </c>
      <c r="I94" s="16" t="str">
        <f>IFERROR(IF([2]对账明细接口!$I$94=0,"",[2]对账明细接口!$I$94),"")</f>
        <v>个</v>
      </c>
      <c r="J94" s="177">
        <f>IFERROR(IF([2]对账明细接口!$J$94=0,"",[2]对账明细接口!$J$94),"")</f>
      </c>
      <c r="K94" s="177">
        <f>IFERROR(IF([2]对账明细接口!$K$94=0,"",[2]对账明细接口!$K$94),"")</f>
      </c>
      <c r="L94" s="16">
        <f>IFERROR(IF([2]对账明细接口!$L$94=0,"",[2]对账明细接口!$L$94),"")</f>
      </c>
      <c r="M94" s="16">
        <f>IFERROR(IF([2]对账明细接口!$M$94=0,"",[2]对账明细接口!$M$94),"")</f>
      </c>
      <c r="N94" s="19">
        <f>IF($C94="",0,1)</f>
        <v>1</v>
      </c>
      <c r="O94" s="19">
        <f>N(O93)+$N94</f>
        <v>91</v>
      </c>
      <c r="S94" s="20" t="str">
        <f>IFERROR(IF([2]对账明细接口!$N94=0,"",[2]对账明细接口!$N94),"")</f>
        <v>公司红周转筐</v>
      </c>
      <c r="T94" s="212">
        <f>IFERROR(IF([2]对账明细接口!$O94=0,"",[2]对账明细接口!$O94),"")</f>
        <v>846</v>
      </c>
      <c r="U94" s="212">
        <f>IFERROR(IF([2]对账明细接口!$P94=0,"",[2]对账明细接口!$P94),"")</f>
      </c>
      <c r="V94" s="212">
        <f>IFERROR(IF([2]对账明细接口!$Q94=0,"",[2]对账明细接口!$Q94),"")</f>
      </c>
      <c r="W94" s="20" t="str">
        <f>IFERROR(IF([2]对账明细接口!$R94=0,"",[2]对账明细接口!$R94),"")</f>
        <v>新A*G0554</v>
      </c>
      <c r="X94" s="20" t="str">
        <f>IFERROR(IF([2]对账明细接口!$S94=0,"",[2]对账明细接口!$S94),"")</f>
        <v>公司筐</v>
      </c>
      <c r="Y94" s="20">
        <f>""</f>
      </c>
      <c r="Z94" s="20">
        <f>""</f>
      </c>
      <c r="AA94" s="20">
        <f>""</f>
      </c>
      <c r="AB94" s="20">
        <f>""</f>
      </c>
    </row>
    <row r="95" s="127">
      <c r="A95" s="14" t="n">
        <v>95</v>
      </c>
      <c r="B95" s="211">
        <f>IFERROR(IF([2]对账明细接口!$B$95=0,"",[2]对账明细接口!$B$95),"")</f>
        <v>46268.0</v>
      </c>
      <c r="C95" s="16" t="str">
        <f>IFERROR(IF([2]对账明细接口!$C$95=0,"",[2]对账明细接口!$C$95),"")</f>
        <v>全修塑业</v>
      </c>
      <c r="D95" s="16" t="str">
        <f>IFERROR(IF([2]对账明细接口!$D$95=0,"",[2]对账明细接口!$D$95),"")</f>
        <v>周转筐－采购入库</v>
      </c>
      <c r="E95" s="16" t="str">
        <f>IFERROR(IF([2]对账明细接口!$E$95=0,"",[2]对账明细接口!$E$95),"")</f>
        <v>NO:0000747</v>
      </c>
      <c r="F95" s="16" t="str">
        <f>IFERROR(IF([2]对账明细接口!$F$95=0,"",[2]对账明细接口!$F$95),"")</f>
        <v>公司红周转筐</v>
      </c>
      <c r="G95" s="16">
        <f>IFERROR(IF([2]对账明细接口!$G$95=0,"",[2]对账明细接口!$G$95),"")</f>
      </c>
      <c r="H95" s="176">
        <f>IFERROR(IF([2]对账明细接口!$H$95=0,"",[2]对账明细接口!$H$95),"")</f>
        <v>960</v>
      </c>
      <c r="I95" s="16" t="str">
        <f>IFERROR(IF([2]对账明细接口!$I$95=0,"",[2]对账明细接口!$I$95),"")</f>
        <v>个</v>
      </c>
      <c r="J95" s="177">
        <f>IFERROR(IF([2]对账明细接口!$J$95=0,"",[2]对账明细接口!$J$95),"")</f>
      </c>
      <c r="K95" s="177">
        <f>IFERROR(IF([2]对账明细接口!$K$95=0,"",[2]对账明细接口!$K$95),"")</f>
        <v>9600</v>
      </c>
      <c r="L95" s="16" t="str">
        <f>IFERROR(IF([2]对账明细接口!$L$95=0,"",[2]对账明细接口!$L$95),"")</f>
        <v>未付款</v>
      </c>
      <c r="M95" s="16" t="str">
        <f>IFERROR(IF([2]对账明细接口!$M$95=0,"",[2]对账明细接口!$M$95),"")</f>
        <v>NO:2745243</v>
      </c>
      <c r="N95" s="19">
        <f>IF($C95="",0,1)</f>
        <v>1</v>
      </c>
      <c r="O95" s="19">
        <f>N(O94)+$N95</f>
        <v>92</v>
      </c>
      <c r="S95" s="20" t="str">
        <f>IFERROR(IF([2]对账明细接口!$N95=0,"",[2]对账明细接口!$N95),"")</f>
        <v>公司红周转筐</v>
      </c>
      <c r="T95" s="212">
        <f>IFERROR(IF([2]对账明细接口!$O95=0,"",[2]对账明细接口!$O95),"")</f>
      </c>
      <c r="U95" s="212">
        <f>IFERROR(IF([2]对账明细接口!$P95=0,"",[2]对账明细接口!$P95),"")</f>
      </c>
      <c r="V95" s="212">
        <f>IFERROR(IF([2]对账明细接口!$Q95=0,"",[2]对账明细接口!$Q95),"")</f>
        <v>960</v>
      </c>
      <c r="W95" s="20" t="str">
        <f>IFERROR(IF([2]对账明细接口!$R95=0,"",[2]对账明细接口!$R95),"")</f>
        <v>新N*49209</v>
      </c>
      <c r="X95" s="20" t="str">
        <f>IFERROR(IF([2]对账明细接口!$S95=0,"",[2]对账明细接口!$S95),"")</f>
        <v>公司筐</v>
      </c>
      <c r="Y95" s="20">
        <f>""</f>
      </c>
      <c r="Z95" s="20">
        <f>""</f>
      </c>
      <c r="AA95" s="20">
        <f>""</f>
      </c>
      <c r="AB95" s="20">
        <f>""</f>
      </c>
    </row>
    <row r="96" s="127">
      <c r="A96" s="14" t="n">
        <v>96</v>
      </c>
      <c r="B96" s="211">
        <f>IFERROR(IF([2]对账明细接口!$B$96=0,"",[2]对账明细接口!$B$96),"")</f>
        <v>46268.0</v>
      </c>
      <c r="C96" s="16" t="str">
        <f>IFERROR(IF([2]对账明细接口!$C$96=0,"",[2]对账明细接口!$C$96),"")</f>
        <v>王灵云</v>
      </c>
      <c r="D96" s="16" t="str">
        <f>IFERROR(IF([2]对账明细接口!$D$96=0,"",[2]对账明细接口!$D$96),"")</f>
        <v>周转筐－领用出库</v>
      </c>
      <c r="E96" s="16" t="str">
        <f>IFERROR(IF([2]对账明细接口!$E$96=0,"",[2]对账明细接口!$E$96),"")</f>
        <v>NO:0001072</v>
      </c>
      <c r="F96" s="16" t="str">
        <f>IFERROR(IF([2]对账明细接口!$F$96=0,"",[2]对账明细接口!$F$96),"")</f>
        <v>公司红周转筐</v>
      </c>
      <c r="G96" s="16">
        <f>IFERROR(IF([2]对账明细接口!$G$96=0,"",[2]对账明细接口!$G$96),"")</f>
      </c>
      <c r="H96" s="176">
        <f>IFERROR(IF([2]对账明细接口!$H$96=0,"",[2]对账明细接口!$H$96),"")</f>
        <v>960</v>
      </c>
      <c r="I96" s="16" t="str">
        <f>IFERROR(IF([2]对账明细接口!$I$96=0,"",[2]对账明细接口!$I$96),"")</f>
        <v>个</v>
      </c>
      <c r="J96" s="177">
        <f>IFERROR(IF([2]对账明细接口!$J$96=0,"",[2]对账明细接口!$J$96),"")</f>
      </c>
      <c r="K96" s="177">
        <f>IFERROR(IF([2]对账明细接口!$K$96=0,"",[2]对账明细接口!$K$96),"")</f>
      </c>
      <c r="L96" s="16">
        <f>IFERROR(IF([2]对账明细接口!$L$96=0,"",[2]对账明细接口!$L$96),"")</f>
      </c>
      <c r="M96" s="16">
        <f>IFERROR(IF([2]对账明细接口!$M$96=0,"",[2]对账明细接口!$M$96),"")</f>
      </c>
      <c r="N96" s="19">
        <f>IF($C96="",0,1)</f>
        <v>1</v>
      </c>
      <c r="O96" s="19">
        <f>N(O95)+$N96</f>
        <v>93</v>
      </c>
      <c r="S96" s="20" t="str">
        <f>IFERROR(IF([2]对账明细接口!$N96=0,"",[2]对账明细接口!$N96),"")</f>
        <v>公司红周转筐</v>
      </c>
      <c r="T96" s="212">
        <f>IFERROR(IF([2]对账明细接口!$O96=0,"",[2]对账明细接口!$O96),"")</f>
        <v>960</v>
      </c>
      <c r="U96" s="212">
        <f>IFERROR(IF([2]对账明细接口!$P96=0,"",[2]对账明细接口!$P96),"")</f>
      </c>
      <c r="V96" s="212">
        <f>IFERROR(IF([2]对账明细接口!$Q96=0,"",[2]对账明细接口!$Q96),"")</f>
      </c>
      <c r="W96" s="20" t="str">
        <f>IFERROR(IF([2]对账明细接口!$R96=0,"",[2]对账明细接口!$R96),"")</f>
        <v>新N*49209</v>
      </c>
      <c r="X96" s="20" t="str">
        <f>IFERROR(IF([2]对账明细接口!$S96=0,"",[2]对账明细接口!$S96),"")</f>
        <v>公司筐</v>
      </c>
      <c r="Y96" s="20">
        <f>""</f>
      </c>
      <c r="Z96" s="20">
        <f>""</f>
      </c>
      <c r="AA96" s="20">
        <f>""</f>
      </c>
      <c r="AB96" s="20">
        <f>""</f>
      </c>
    </row>
    <row r="97" s="127">
      <c r="A97" s="14" t="n">
        <v>97</v>
      </c>
      <c r="B97" s="211">
        <f>IFERROR(IF([2]对账明细接口!$B$97=0,"",[2]对账明细接口!$B$97),"")</f>
        <v>46268.0</v>
      </c>
      <c r="C97" s="16" t="str">
        <f>IFERROR(IF([2]对账明细接口!$C$97=0,"",[2]对账明细接口!$C$97),"")</f>
        <v>全修塑业</v>
      </c>
      <c r="D97" s="16" t="str">
        <f>IFERROR(IF([2]对账明细接口!$D$97=0,"",[2]对账明细接口!$D$97),"")</f>
        <v>周转筐－采购入库</v>
      </c>
      <c r="E97" s="16" t="str">
        <f>IFERROR(IF([2]对账明细接口!$E$97=0,"",[2]对账明细接口!$E$97),"")</f>
        <v>NO:0000748</v>
      </c>
      <c r="F97" s="16" t="str">
        <f>IFERROR(IF([2]对账明细接口!$F$97=0,"",[2]对账明细接口!$F$97),"")</f>
        <v>公司红周转筐</v>
      </c>
      <c r="G97" s="16">
        <f>IFERROR(IF([2]对账明细接口!$G$97=0,"",[2]对账明细接口!$G$97),"")</f>
      </c>
      <c r="H97" s="176">
        <f>IFERROR(IF([2]对账明细接口!$H$97=0,"",[2]对账明细接口!$H$97),"")</f>
        <v>846</v>
      </c>
      <c r="I97" s="16" t="str">
        <f>IFERROR(IF([2]对账明细接口!$I$97=0,"",[2]对账明细接口!$I$97),"")</f>
        <v>个</v>
      </c>
      <c r="J97" s="177">
        <f>IFERROR(IF([2]对账明细接口!$J$97=0,"",[2]对账明细接口!$J$97),"")</f>
      </c>
      <c r="K97" s="177">
        <f>IFERROR(IF([2]对账明细接口!$K$97=0,"",[2]对账明细接口!$K$97),"")</f>
        <v>8460</v>
      </c>
      <c r="L97" s="16" t="str">
        <f>IFERROR(IF([2]对账明细接口!$L$97=0,"",[2]对账明细接口!$L$97),"")</f>
        <v>未付款</v>
      </c>
      <c r="M97" s="16" t="str">
        <f>IFERROR(IF([2]对账明细接口!$M$97=0,"",[2]对账明细接口!$M$97),"")</f>
        <v>NO:2745244</v>
      </c>
      <c r="N97" s="19">
        <f>IF($C97="",0,1)</f>
        <v>1</v>
      </c>
      <c r="O97" s="19">
        <f>N(O96)+$N97</f>
        <v>94</v>
      </c>
      <c r="S97" s="20" t="str">
        <f>IFERROR(IF([2]对账明细接口!$N97=0,"",[2]对账明细接口!$N97),"")</f>
        <v>公司红周转筐</v>
      </c>
      <c r="T97" s="212">
        <f>IFERROR(IF([2]对账明细接口!$O97=0,"",[2]对账明细接口!$O97),"")</f>
      </c>
      <c r="U97" s="212">
        <f>IFERROR(IF([2]对账明细接口!$P97=0,"",[2]对账明细接口!$P97),"")</f>
      </c>
      <c r="V97" s="212">
        <f>IFERROR(IF([2]对账明细接口!$Q97=0,"",[2]对账明细接口!$Q97),"")</f>
        <v>846</v>
      </c>
      <c r="W97" s="20" t="str">
        <f>IFERROR(IF([2]对账明细接口!$R97=0,"",[2]对账明细接口!$R97),"")</f>
        <v>新A*G0554</v>
      </c>
      <c r="X97" s="20" t="str">
        <f>IFERROR(IF([2]对账明细接口!$S97=0,"",[2]对账明细接口!$S97),"")</f>
        <v>公司筐</v>
      </c>
      <c r="Y97" s="20">
        <f>""</f>
      </c>
      <c r="Z97" s="20">
        <f>""</f>
      </c>
      <c r="AA97" s="20">
        <f>""</f>
      </c>
      <c r="AB97" s="20">
        <f>""</f>
      </c>
    </row>
    <row r="98" s="127">
      <c r="A98" s="14" t="n">
        <v>98</v>
      </c>
      <c r="B98" s="211">
        <f>IFERROR(IF([2]对账明细接口!$B$98=0,"",[2]对账明细接口!$B$98),"")</f>
        <v>46268.0</v>
      </c>
      <c r="C98" s="16" t="str">
        <f>IFERROR(IF([2]对账明细接口!$C$98=0,"",[2]对账明细接口!$C$98),"")</f>
        <v>麦麦提</v>
      </c>
      <c r="D98" s="16" t="str">
        <f>IFERROR(IF([2]对账明细接口!$D$98=0,"",[2]对账明细接口!$D$98),"")</f>
        <v>周转筐－领用出库</v>
      </c>
      <c r="E98" s="16" t="str">
        <f>IFERROR(IF([2]对账明细接口!$E$98=0,"",[2]对账明细接口!$E$98),"")</f>
        <v>NO:0001074</v>
      </c>
      <c r="F98" s="16" t="str">
        <f>IFERROR(IF([2]对账明细接口!$F$98=0,"",[2]对账明细接口!$F$98),"")</f>
        <v>公司红周转筐</v>
      </c>
      <c r="G98" s="16">
        <f>IFERROR(IF([2]对账明细接口!$G$98=0,"",[2]对账明细接口!$G$98),"")</f>
      </c>
      <c r="H98" s="176">
        <f>IFERROR(IF([2]对账明细接口!$H$98=0,"",[2]对账明细接口!$H$98),"")</f>
        <v>846</v>
      </c>
      <c r="I98" s="16" t="str">
        <f>IFERROR(IF([2]对账明细接口!$I$98=0,"",[2]对账明细接口!$I$98),"")</f>
        <v>个</v>
      </c>
      <c r="J98" s="177">
        <f>IFERROR(IF([2]对账明细接口!$J$98=0,"",[2]对账明细接口!$J$98),"")</f>
      </c>
      <c r="K98" s="177">
        <f>IFERROR(IF([2]对账明细接口!$K$98=0,"",[2]对账明细接口!$K$98),"")</f>
      </c>
      <c r="L98" s="16">
        <f>IFERROR(IF([2]对账明细接口!$L$98=0,"",[2]对账明细接口!$L$98),"")</f>
      </c>
      <c r="M98" s="16">
        <f>IFERROR(IF([2]对账明细接口!$M$98=0,"",[2]对账明细接口!$M$98),"")</f>
      </c>
      <c r="N98" s="19">
        <f>IF($C98="",0,1)</f>
        <v>1</v>
      </c>
      <c r="O98" s="19">
        <f>N(O97)+$N98</f>
        <v>95</v>
      </c>
      <c r="S98" s="20" t="str">
        <f>IFERROR(IF([2]对账明细接口!$N98=0,"",[2]对账明细接口!$N98),"")</f>
        <v>公司红周转筐</v>
      </c>
      <c r="T98" s="212">
        <f>IFERROR(IF([2]对账明细接口!$O98=0,"",[2]对账明细接口!$O98),"")</f>
        <v>846</v>
      </c>
      <c r="U98" s="212">
        <f>IFERROR(IF([2]对账明细接口!$P98=0,"",[2]对账明细接口!$P98),"")</f>
      </c>
      <c r="V98" s="212">
        <f>IFERROR(IF([2]对账明细接口!$Q98=0,"",[2]对账明细接口!$Q98),"")</f>
      </c>
      <c r="W98" s="20" t="str">
        <f>IFERROR(IF([2]对账明细接口!$R98=0,"",[2]对账明细接口!$R98),"")</f>
        <v>新A*G0554</v>
      </c>
      <c r="X98" s="20" t="str">
        <f>IFERROR(IF([2]对账明细接口!$S98=0,"",[2]对账明细接口!$S98),"")</f>
        <v>公司筐</v>
      </c>
      <c r="Y98" s="20">
        <f>""</f>
      </c>
      <c r="Z98" s="20">
        <f>""</f>
      </c>
      <c r="AA98" s="20">
        <f>""</f>
      </c>
      <c r="AB98" s="20">
        <f>""</f>
      </c>
    </row>
    <row r="99" s="127">
      <c r="A99" s="14" t="n">
        <v>99</v>
      </c>
      <c r="B99" s="211">
        <f>IFERROR(IF([2]对账明细接口!$B$99=0,"",[2]对账明细接口!$B$99),"")</f>
        <v>46268.0</v>
      </c>
      <c r="C99" s="16" t="str">
        <f>IFERROR(IF([2]对账明细接口!$C$99=0,"",[2]对账明细接口!$C$99),"")</f>
        <v>全修塑业</v>
      </c>
      <c r="D99" s="16" t="str">
        <f>IFERROR(IF([2]对账明细接口!$D$99=0,"",[2]对账明细接口!$D$99),"")</f>
        <v>周转筐－采购入库</v>
      </c>
      <c r="E99" s="16" t="str">
        <f>IFERROR(IF([2]对账明细接口!$E$99=0,"",[2]对账明细接口!$E$99),"")</f>
        <v>NO:0000749</v>
      </c>
      <c r="F99" s="16" t="str">
        <f>IFERROR(IF([2]对账明细接口!$F$99=0,"",[2]对账明细接口!$F$99),"")</f>
        <v>公司红周转筐</v>
      </c>
      <c r="G99" s="16">
        <f>IFERROR(IF([2]对账明细接口!$G$99=0,"",[2]对账明细接口!$G$99),"")</f>
      </c>
      <c r="H99" s="176">
        <f>IFERROR(IF([2]对账明细接口!$H$99=0,"",[2]对账明细接口!$H$99),"")</f>
        <v>936</v>
      </c>
      <c r="I99" s="16" t="str">
        <f>IFERROR(IF([2]对账明细接口!$I$99=0,"",[2]对账明细接口!$I$99),"")</f>
        <v>个</v>
      </c>
      <c r="J99" s="177">
        <f>IFERROR(IF([2]对账明细接口!$J$99=0,"",[2]对账明细接口!$J$99),"")</f>
      </c>
      <c r="K99" s="177">
        <f>IFERROR(IF([2]对账明细接口!$K$99=0,"",[2]对账明细接口!$K$99),"")</f>
        <v>9360</v>
      </c>
      <c r="L99" s="16" t="str">
        <f>IFERROR(IF([2]对账明细接口!$L$99=0,"",[2]对账明细接口!$L$99),"")</f>
        <v>未付款</v>
      </c>
      <c r="M99" s="16" t="str">
        <f>IFERROR(IF([2]对账明细接口!$M$99=0,"",[2]对账明细接口!$M$99),"")</f>
        <v>NO:2745245</v>
      </c>
      <c r="N99" s="19">
        <f>IF($C99="",0,1)</f>
        <v>1</v>
      </c>
      <c r="O99" s="19">
        <f>N(O98)+$N99</f>
        <v>96</v>
      </c>
      <c r="S99" s="20" t="str">
        <f>IFERROR(IF([2]对账明细接口!$N99=0,"",[2]对账明细接口!$N99),"")</f>
        <v>公司红周转筐</v>
      </c>
      <c r="T99" s="212">
        <f>IFERROR(IF([2]对账明细接口!$O99=0,"",[2]对账明细接口!$O99),"")</f>
      </c>
      <c r="U99" s="212">
        <f>IFERROR(IF([2]对账明细接口!$P99=0,"",[2]对账明细接口!$P99),"")</f>
      </c>
      <c r="V99" s="212">
        <f>IFERROR(IF([2]对账明细接口!$Q99=0,"",[2]对账明细接口!$Q99),"")</f>
        <v>936</v>
      </c>
      <c r="W99" s="20" t="str">
        <f>IFERROR(IF([2]对账明细接口!$R99=0,"",[2]对账明细接口!$R99),"")</f>
        <v>新F*75240</v>
      </c>
      <c r="X99" s="20" t="str">
        <f>IFERROR(IF([2]对账明细接口!$S99=0,"",[2]对账明细接口!$S99),"")</f>
        <v>公司筐</v>
      </c>
      <c r="Y99" s="20">
        <f>""</f>
      </c>
      <c r="Z99" s="20">
        <f>""</f>
      </c>
      <c r="AA99" s="20">
        <f>""</f>
      </c>
      <c r="AB99" s="20">
        <f>""</f>
      </c>
    </row>
    <row r="100" s="127">
      <c r="A100" s="14" t="n">
        <v>100</v>
      </c>
      <c r="B100" s="211">
        <f>IFERROR(IF([2]对账明细接口!$B$100=0,"",[2]对账明细接口!$B$100),"")</f>
        <v>46268.0</v>
      </c>
      <c r="C100" s="16" t="str">
        <f>IFERROR(IF([2]对账明细接口!$C$100=0,"",[2]对账明细接口!$C$100),"")</f>
        <v>努尔敦</v>
      </c>
      <c r="D100" s="16" t="str">
        <f>IFERROR(IF([2]对账明细接口!$D$100=0,"",[2]对账明细接口!$D$100),"")</f>
        <v>周转筐－领用出库</v>
      </c>
      <c r="E100" s="16" t="str">
        <f>IFERROR(IF([2]对账明细接口!$E$100=0,"",[2]对账明细接口!$E$100),"")</f>
        <v>NO:0001075</v>
      </c>
      <c r="F100" s="16" t="str">
        <f>IFERROR(IF([2]对账明细接口!$F$100=0,"",[2]对账明细接口!$F$100),"")</f>
        <v>公司红周转筐</v>
      </c>
      <c r="G100" s="16">
        <f>IFERROR(IF([2]对账明细接口!$G$100=0,"",[2]对账明细接口!$G$100),"")</f>
      </c>
      <c r="H100" s="176">
        <f>IFERROR(IF([2]对账明细接口!$H$100=0,"",[2]对账明细接口!$H$100),"")</f>
        <v>936</v>
      </c>
      <c r="I100" s="16" t="str">
        <f>IFERROR(IF([2]对账明细接口!$I$100=0,"",[2]对账明细接口!$I$100),"")</f>
        <v>个</v>
      </c>
      <c r="J100" s="177">
        <f>IFERROR(IF([2]对账明细接口!$J$100=0,"",[2]对账明细接口!$J$100),"")</f>
      </c>
      <c r="K100" s="177">
        <f>IFERROR(IF([2]对账明细接口!$K$100=0,"",[2]对账明细接口!$K$100),"")</f>
      </c>
      <c r="L100" s="16">
        <f>IFERROR(IF([2]对账明细接口!$L$100=0,"",[2]对账明细接口!$L$100),"")</f>
      </c>
      <c r="M100" s="16">
        <f>IFERROR(IF([2]对账明细接口!$M$100=0,"",[2]对账明细接口!$M$100),"")</f>
      </c>
      <c r="N100" s="19">
        <f>IF($C100="",0,1)</f>
        <v>1</v>
      </c>
      <c r="O100" s="19">
        <f>N(O99)+$N100</f>
        <v>97</v>
      </c>
      <c r="S100" s="20" t="str">
        <f>IFERROR(IF([2]对账明细接口!$N100=0,"",[2]对账明细接口!$N100),"")</f>
        <v>公司红周转筐</v>
      </c>
      <c r="T100" s="212">
        <f>IFERROR(IF([2]对账明细接口!$O100=0,"",[2]对账明细接口!$O100),"")</f>
        <v>936</v>
      </c>
      <c r="U100" s="212">
        <f>IFERROR(IF([2]对账明细接口!$P100=0,"",[2]对账明细接口!$P100),"")</f>
      </c>
      <c r="V100" s="212">
        <f>IFERROR(IF([2]对账明细接口!$Q100=0,"",[2]对账明细接口!$Q100),"")</f>
      </c>
      <c r="W100" s="20" t="str">
        <f>IFERROR(IF([2]对账明细接口!$R100=0,"",[2]对账明细接口!$R100),"")</f>
        <v>新F*75240</v>
      </c>
      <c r="X100" s="20" t="str">
        <f>IFERROR(IF([2]对账明细接口!$S100=0,"",[2]对账明细接口!$S100),"")</f>
        <v>公司筐</v>
      </c>
      <c r="Y100" s="20">
        <f>""</f>
      </c>
      <c r="Z100" s="20">
        <f>""</f>
      </c>
      <c r="AA100" s="20">
        <f>""</f>
      </c>
      <c r="AB100" s="20">
        <f>""</f>
      </c>
    </row>
    <row r="101" s="127">
      <c r="A101" s="14" t="n">
        <v>101</v>
      </c>
      <c r="B101" s="211">
        <f>IFERROR(IF([2]对账明细接口!$B$101=0,"",[2]对账明细接口!$B$101),"")</f>
        <v>46269.0</v>
      </c>
      <c r="C101" s="16" t="str">
        <f>IFERROR(IF([2]对账明细接口!$C$101=0,"",[2]对账明细接口!$C$101),"")</f>
        <v>全修塑业</v>
      </c>
      <c r="D101" s="16" t="str">
        <f>IFERROR(IF([2]对账明细接口!$D$101=0,"",[2]对账明细接口!$D$101),"")</f>
        <v>周转筐－采购入库</v>
      </c>
      <c r="E101" s="16" t="str">
        <f>IFERROR(IF([2]对账明细接口!$E$101=0,"",[2]对账明细接口!$E$101),"")</f>
        <v>NO:0000750</v>
      </c>
      <c r="F101" s="16" t="str">
        <f>IFERROR(IF([2]对账明细接口!$F$101=0,"",[2]对账明细接口!$F$101),"")</f>
        <v>公司红周转筐</v>
      </c>
      <c r="G101" s="16">
        <f>IFERROR(IF([2]对账明细接口!$G$101=0,"",[2]对账明细接口!$G$101),"")</f>
      </c>
      <c r="H101" s="176">
        <f>IFERROR(IF([2]对账明细接口!$H$101=0,"",[2]对账明细接口!$H$101),"")</f>
        <v>960</v>
      </c>
      <c r="I101" s="16" t="str">
        <f>IFERROR(IF([2]对账明细接口!$I$101=0,"",[2]对账明细接口!$I$101),"")</f>
        <v>个</v>
      </c>
      <c r="J101" s="177">
        <f>IFERROR(IF([2]对账明细接口!$J$101=0,"",[2]对账明细接口!$J$101),"")</f>
      </c>
      <c r="K101" s="177">
        <f>IFERROR(IF([2]对账明细接口!$K$101=0,"",[2]对账明细接口!$K$101),"")</f>
        <v>9600</v>
      </c>
      <c r="L101" s="16" t="str">
        <f>IFERROR(IF([2]对账明细接口!$L$101=0,"",[2]对账明细接口!$L$101),"")</f>
        <v>未付款</v>
      </c>
      <c r="M101" s="16" t="str">
        <f>IFERROR(IF([2]对账明细接口!$M$101=0,"",[2]对账明细接口!$M$101),"")</f>
        <v>NO:2745247</v>
      </c>
      <c r="N101" s="19">
        <f>IF($C101="",0,1)</f>
        <v>1</v>
      </c>
      <c r="O101" s="19">
        <f>N(O100)+$N101</f>
        <v>98</v>
      </c>
      <c r="S101" s="20" t="str">
        <f>IFERROR(IF([2]对账明细接口!$N101=0,"",[2]对账明细接口!$N101),"")</f>
        <v>公司红周转筐</v>
      </c>
      <c r="T101" s="212">
        <f>IFERROR(IF([2]对账明细接口!$O101=0,"",[2]对账明细接口!$O101),"")</f>
      </c>
      <c r="U101" s="212">
        <f>IFERROR(IF([2]对账明细接口!$P101=0,"",[2]对账明细接口!$P101),"")</f>
      </c>
      <c r="V101" s="212">
        <f>IFERROR(IF([2]对账明细接口!$Q101=0,"",[2]对账明细接口!$Q101),"")</f>
        <v>960</v>
      </c>
      <c r="W101" s="20" t="str">
        <f>IFERROR(IF([2]对账明细接口!$R101=0,"",[2]对账明细接口!$R101),"")</f>
        <v>豫A*2737K</v>
      </c>
      <c r="X101" s="20" t="str">
        <f>IFERROR(IF([2]对账明细接口!$S101=0,"",[2]对账明细接口!$S101),"")</f>
        <v>公司筐</v>
      </c>
      <c r="Y101" s="20">
        <f>""</f>
      </c>
      <c r="Z101" s="20">
        <f>""</f>
      </c>
      <c r="AA101" s="20">
        <f>""</f>
      </c>
      <c r="AB101" s="20">
        <f>""</f>
      </c>
    </row>
    <row r="102" s="127">
      <c r="A102" s="14" t="n">
        <v>102</v>
      </c>
      <c r="B102" s="211">
        <f>IFERROR(IF([2]对账明细接口!$B$102=0,"",[2]对账明细接口!$B$102),"")</f>
        <v>46269.0</v>
      </c>
      <c r="C102" s="16" t="str">
        <f>IFERROR(IF([2]对账明细接口!$C$102=0,"",[2]对账明细接口!$C$102),"")</f>
        <v>荆建君</v>
      </c>
      <c r="D102" s="16" t="str">
        <f>IFERROR(IF([2]对账明细接口!$D$102=0,"",[2]对账明细接口!$D$102),"")</f>
        <v>周转筐－领用出库</v>
      </c>
      <c r="E102" s="16" t="str">
        <f>IFERROR(IF([2]对账明细接口!$E$102=0,"",[2]对账明细接口!$E$102),"")</f>
        <v>NO:0001077</v>
      </c>
      <c r="F102" s="16" t="str">
        <f>IFERROR(IF([2]对账明细接口!$F$102=0,"",[2]对账明细接口!$F$102),"")</f>
        <v>公司红周转筐</v>
      </c>
      <c r="G102" s="16">
        <f>IFERROR(IF([2]对账明细接口!$G$102=0,"",[2]对账明细接口!$G$102),"")</f>
      </c>
      <c r="H102" s="176">
        <f>IFERROR(IF([2]对账明细接口!$H$102=0,"",[2]对账明细接口!$H$102),"")</f>
        <v>960</v>
      </c>
      <c r="I102" s="16" t="str">
        <f>IFERROR(IF([2]对账明细接口!$I$102=0,"",[2]对账明细接口!$I$102),"")</f>
        <v>个</v>
      </c>
      <c r="J102" s="177">
        <f>IFERROR(IF([2]对账明细接口!$J$102=0,"",[2]对账明细接口!$J$102),"")</f>
      </c>
      <c r="K102" s="177">
        <f>IFERROR(IF([2]对账明细接口!$K$102=0,"",[2]对账明细接口!$K$102),"")</f>
      </c>
      <c r="L102" s="16">
        <f>IFERROR(IF([2]对账明细接口!$L$102=0,"",[2]对账明细接口!$L$102),"")</f>
      </c>
      <c r="M102" s="16">
        <f>IFERROR(IF([2]对账明细接口!$M$102=0,"",[2]对账明细接口!$M$102),"")</f>
      </c>
      <c r="N102" s="19">
        <f>IF($C102="",0,1)</f>
        <v>1</v>
      </c>
      <c r="O102" s="19">
        <f>N(O101)+$N102</f>
        <v>99</v>
      </c>
      <c r="S102" s="20" t="str">
        <f>IFERROR(IF([2]对账明细接口!$N102=0,"",[2]对账明细接口!$N102),"")</f>
        <v>公司红周转筐</v>
      </c>
      <c r="T102" s="212">
        <f>IFERROR(IF([2]对账明细接口!$O102=0,"",[2]对账明细接口!$O102),"")</f>
        <v>960</v>
      </c>
      <c r="U102" s="212">
        <f>IFERROR(IF([2]对账明细接口!$P102=0,"",[2]对账明细接口!$P102),"")</f>
      </c>
      <c r="V102" s="212">
        <f>IFERROR(IF([2]对账明细接口!$Q102=0,"",[2]对账明细接口!$Q102),"")</f>
      </c>
      <c r="W102" s="20" t="str">
        <f>IFERROR(IF([2]对账明细接口!$R102=0,"",[2]对账明细接口!$R102),"")</f>
        <v>豫A*2737K</v>
      </c>
      <c r="X102" s="20" t="str">
        <f>IFERROR(IF([2]对账明细接口!$S102=0,"",[2]对账明细接口!$S102),"")</f>
        <v>公司筐</v>
      </c>
      <c r="Y102" s="20">
        <f>""</f>
      </c>
      <c r="Z102" s="20">
        <f>""</f>
      </c>
      <c r="AA102" s="20">
        <f>""</f>
      </c>
      <c r="AB102" s="20">
        <f>""</f>
      </c>
    </row>
    <row r="103" s="127">
      <c r="A103" s="14" t="n">
        <v>103</v>
      </c>
      <c r="B103" s="211">
        <f>IFERROR(IF([2]对账明细接口!$B$103=0,"",[2]对账明细接口!$B$103),"")</f>
        <v>46269.0</v>
      </c>
      <c r="C103" s="16" t="str">
        <f>IFERROR(IF([2]对账明细接口!$C$103=0,"",[2]对账明细接口!$C$103),"")</f>
        <v>马锦祥</v>
      </c>
      <c r="D103" s="16" t="str">
        <f>IFERROR(IF([2]对账明细接口!$D$103=0,"",[2]对账明细接口!$D$103),"")</f>
        <v>周转筐－领用出库</v>
      </c>
      <c r="E103" s="16" t="str">
        <f>IFERROR(IF([2]对账明细接口!$E$103=0,"",[2]对账明细接口!$E$103),"")</f>
        <v>NO:0001076</v>
      </c>
      <c r="F103" s="16" t="str">
        <f>IFERROR(IF([2]对账明细接口!$F$103=0,"",[2]对账明细接口!$F$103),"")</f>
        <v>公司杂周转筐</v>
      </c>
      <c r="G103" s="16">
        <f>IFERROR(IF([2]对账明细接口!$G$103=0,"",[2]对账明细接口!$G$103),"")</f>
      </c>
      <c r="H103" s="176">
        <f>IFERROR(IF([2]对账明细接口!$H$103=0,"",[2]对账明细接口!$H$103),"")</f>
        <v>574</v>
      </c>
      <c r="I103" s="16" t="str">
        <f>IFERROR(IF([2]对账明细接口!$I$103=0,"",[2]对账明细接口!$I$103),"")</f>
        <v>个</v>
      </c>
      <c r="J103" s="177">
        <f>IFERROR(IF([2]对账明细接口!$J$103=0,"",[2]对账明细接口!$J$103),"")</f>
      </c>
      <c r="K103" s="177">
        <f>IFERROR(IF([2]对账明细接口!$K$103=0,"",[2]对账明细接口!$K$103),"")</f>
      </c>
      <c r="L103" s="16">
        <f>IFERROR(IF([2]对账明细接口!$L$103=0,"",[2]对账明细接口!$L$103),"")</f>
      </c>
      <c r="M103" s="16">
        <f>IFERROR(IF([2]对账明细接口!$M$103=0,"",[2]对账明细接口!$M$103),"")</f>
      </c>
      <c r="N103" s="19">
        <f>IF($C103="",0,1)</f>
        <v>1</v>
      </c>
      <c r="O103" s="19">
        <f>N(O102)+$N103</f>
        <v>100</v>
      </c>
      <c r="S103" s="20" t="str">
        <f>IFERROR(IF([2]对账明细接口!$N103=0,"",[2]对账明细接口!$N103),"")</f>
        <v>公司杂周转筐</v>
      </c>
      <c r="T103" s="212">
        <f>IFERROR(IF([2]对账明细接口!$O103=0,"",[2]对账明细接口!$O103),"")</f>
        <v>574</v>
      </c>
      <c r="U103" s="212">
        <f>IFERROR(IF([2]对账明细接口!$P103=0,"",[2]对账明细接口!$P103),"")</f>
      </c>
      <c r="V103" s="212">
        <f>IFERROR(IF([2]对账明细接口!$Q103=0,"",[2]对账明细接口!$Q103),"")</f>
      </c>
      <c r="W103" s="20" t="str">
        <f>IFERROR(IF([2]对账明细接口!$R103=0,"",[2]对账明细接口!$R103),"")</f>
        <v>新N*K7V85</v>
      </c>
      <c r="X103" s="20" t="str">
        <f>IFERROR(IF([2]对账明细接口!$S103=0,"",[2]对账明细接口!$S103),"")</f>
        <v>公司筐</v>
      </c>
      <c r="Y103" s="20">
        <f>""</f>
      </c>
      <c r="Z103" s="20">
        <f>""</f>
      </c>
      <c r="AA103" s="20">
        <f>""</f>
      </c>
      <c r="AB103" s="20">
        <f>""</f>
      </c>
    </row>
    <row r="104" s="127">
      <c r="A104" s="14" t="n">
        <v>104</v>
      </c>
      <c r="B104" s="211">
        <f>IFERROR(IF([2]对账明细接口!$B$104=0,"",[2]对账明细接口!$B$104),"")</f>
        <v>46269.0</v>
      </c>
      <c r="C104" s="16" t="str">
        <f>IFERROR(IF([2]对账明细接口!$C$104=0,"",[2]对账明细接口!$C$104),"")</f>
        <v>全修塑业</v>
      </c>
      <c r="D104" s="16" t="str">
        <f>IFERROR(IF([2]对账明细接口!$D$104=0,"",[2]对账明细接口!$D$104),"")</f>
        <v>周转筐－采购入库</v>
      </c>
      <c r="E104" s="16" t="str">
        <f>IFERROR(IF([2]对账明细接口!$E$104=0,"",[2]对账明细接口!$E$104),"")</f>
        <v>NO:0000751</v>
      </c>
      <c r="F104" s="16" t="str">
        <f>IFERROR(IF([2]对账明细接口!$F$104=0,"",[2]对账明细接口!$F$104),"")</f>
        <v>公司红周转筐</v>
      </c>
      <c r="G104" s="16">
        <f>IFERROR(IF([2]对账明细接口!$G$104=0,"",[2]对账明细接口!$G$104),"")</f>
      </c>
      <c r="H104" s="176">
        <f>IFERROR(IF([2]对账明细接口!$H$104=0,"",[2]对账明细接口!$H$104),"")</f>
        <v>936</v>
      </c>
      <c r="I104" s="16" t="str">
        <f>IFERROR(IF([2]对账明细接口!$I$104=0,"",[2]对账明细接口!$I$104),"")</f>
        <v>个</v>
      </c>
      <c r="J104" s="177">
        <f>IFERROR(IF([2]对账明细接口!$J$104=0,"",[2]对账明细接口!$J$104),"")</f>
      </c>
      <c r="K104" s="177">
        <f>IFERROR(IF([2]对账明细接口!$K$104=0,"",[2]对账明细接口!$K$104),"")</f>
        <v>9360</v>
      </c>
      <c r="L104" s="16" t="str">
        <f>IFERROR(IF([2]对账明细接口!$L$104=0,"",[2]对账明细接口!$L$104),"")</f>
        <v>未付款</v>
      </c>
      <c r="M104" s="16" t="str">
        <f>IFERROR(IF([2]对账明细接口!$M$104=0,"",[2]对账明细接口!$M$104),"")</f>
        <v>NO:2745248</v>
      </c>
      <c r="N104" s="19">
        <f>IF($C104="",0,1)</f>
        <v>1</v>
      </c>
      <c r="O104" s="19">
        <f>N(O103)+$N104</f>
        <v>101</v>
      </c>
      <c r="S104" s="20" t="str">
        <f>IFERROR(IF([2]对账明细接口!$N104=0,"",[2]对账明细接口!$N104),"")</f>
        <v>公司红周转筐</v>
      </c>
      <c r="T104" s="212">
        <f>IFERROR(IF([2]对账明细接口!$O104=0,"",[2]对账明细接口!$O104),"")</f>
      </c>
      <c r="U104" s="212">
        <f>IFERROR(IF([2]对账明细接口!$P104=0,"",[2]对账明细接口!$P104),"")</f>
      </c>
      <c r="V104" s="212">
        <f>IFERROR(IF([2]对账明细接口!$Q104=0,"",[2]对账明细接口!$Q104),"")</f>
        <v>936</v>
      </c>
      <c r="W104" s="20" t="str">
        <f>IFERROR(IF([2]对账明细接口!$R104=0,"",[2]对账明细接口!$R104),"")</f>
        <v>新F*75240</v>
      </c>
      <c r="X104" s="20" t="str">
        <f>IFERROR(IF([2]对账明细接口!$S104=0,"",[2]对账明细接口!$S104),"")</f>
        <v>公司筐</v>
      </c>
      <c r="Y104" s="20">
        <f>""</f>
      </c>
      <c r="Z104" s="20">
        <f>""</f>
      </c>
      <c r="AA104" s="20">
        <f>""</f>
      </c>
      <c r="AB104" s="20">
        <f>""</f>
      </c>
    </row>
    <row r="105" s="127">
      <c r="A105" s="14" t="n">
        <v>105</v>
      </c>
      <c r="B105" s="211">
        <f>IFERROR(IF([2]对账明细接口!$B$105=0,"",[2]对账明细接口!$B$105),"")</f>
        <v>46269.0</v>
      </c>
      <c r="C105" s="16" t="str">
        <f>IFERROR(IF([2]对账明细接口!$C$105=0,"",[2]对账明细接口!$C$105),"")</f>
        <v>努尔敦</v>
      </c>
      <c r="D105" s="16" t="str">
        <f>IFERROR(IF([2]对账明细接口!$D$105=0,"",[2]对账明细接口!$D$105),"")</f>
        <v>周转筐－领用出库</v>
      </c>
      <c r="E105" s="16" t="str">
        <f>IFERROR(IF([2]对账明细接口!$E$105=0,"",[2]对账明细接口!$E$105),"")</f>
        <v>NO:0001078</v>
      </c>
      <c r="F105" s="16" t="str">
        <f>IFERROR(IF([2]对账明细接口!$F$105=0,"",[2]对账明细接口!$F$105),"")</f>
        <v>公司红周转筐</v>
      </c>
      <c r="G105" s="16">
        <f>IFERROR(IF([2]对账明细接口!$G$105=0,"",[2]对账明细接口!$G$105),"")</f>
      </c>
      <c r="H105" s="176">
        <f>IFERROR(IF([2]对账明细接口!$H$105=0,"",[2]对账明细接口!$H$105),"")</f>
        <v>936</v>
      </c>
      <c r="I105" s="16" t="str">
        <f>IFERROR(IF([2]对账明细接口!$I$105=0,"",[2]对账明细接口!$I$105),"")</f>
        <v>个</v>
      </c>
      <c r="J105" s="177">
        <f>IFERROR(IF([2]对账明细接口!$J$105=0,"",[2]对账明细接口!$J$105),"")</f>
      </c>
      <c r="K105" s="177">
        <f>IFERROR(IF([2]对账明细接口!$K$105=0,"",[2]对账明细接口!$K$105),"")</f>
      </c>
      <c r="L105" s="16">
        <f>IFERROR(IF([2]对账明细接口!$L$105=0,"",[2]对账明细接口!$L$105),"")</f>
      </c>
      <c r="M105" s="16">
        <f>IFERROR(IF([2]对账明细接口!$M$105=0,"",[2]对账明细接口!$M$105),"")</f>
      </c>
      <c r="N105" s="19">
        <f>IF($C105="",0,1)</f>
        <v>1</v>
      </c>
      <c r="O105" s="19">
        <f>N(O104)+$N105</f>
        <v>102</v>
      </c>
      <c r="S105" s="20" t="str">
        <f>IFERROR(IF([2]对账明细接口!$N105=0,"",[2]对账明细接口!$N105),"")</f>
        <v>公司红周转筐</v>
      </c>
      <c r="T105" s="212">
        <f>IFERROR(IF([2]对账明细接口!$O105=0,"",[2]对账明细接口!$O105),"")</f>
        <v>936</v>
      </c>
      <c r="U105" s="212">
        <f>IFERROR(IF([2]对账明细接口!$P105=0,"",[2]对账明细接口!$P105),"")</f>
      </c>
      <c r="V105" s="212">
        <f>IFERROR(IF([2]对账明细接口!$Q105=0,"",[2]对账明细接口!$Q105),"")</f>
      </c>
      <c r="W105" s="20" t="str">
        <f>IFERROR(IF([2]对账明细接口!$R105=0,"",[2]对账明细接口!$R105),"")</f>
        <v>新F*75240</v>
      </c>
      <c r="X105" s="20" t="str">
        <f>IFERROR(IF([2]对账明细接口!$S105=0,"",[2]对账明细接口!$S105),"")</f>
        <v>公司筐</v>
      </c>
      <c r="Y105" s="20">
        <f>""</f>
      </c>
      <c r="Z105" s="20">
        <f>""</f>
      </c>
      <c r="AA105" s="20">
        <f>""</f>
      </c>
      <c r="AB105" s="20">
        <f>""</f>
      </c>
    </row>
    <row r="106" s="127">
      <c r="A106" s="14" t="n">
        <v>106</v>
      </c>
      <c r="B106" s="211">
        <f>IFERROR(IF([2]对账明细接口!$B$106=0,"",[2]对账明细接口!$B$106),"")</f>
        <v>46269.0</v>
      </c>
      <c r="C106" s="16" t="str">
        <f>IFERROR(IF([2]对账明细接口!$C$106=0,"",[2]对账明细接口!$C$106),"")</f>
        <v>全修塑业</v>
      </c>
      <c r="D106" s="16" t="str">
        <f>IFERROR(IF([2]对账明细接口!$D$106=0,"",[2]对账明细接口!$D$106),"")</f>
        <v>周转筐－采购入库</v>
      </c>
      <c r="E106" s="16" t="str">
        <f>IFERROR(IF([2]对账明细接口!$E$106=0,"",[2]对账明细接口!$E$106),"")</f>
        <v>NO:0000753</v>
      </c>
      <c r="F106" s="16" t="str">
        <f>IFERROR(IF([2]对账明细接口!$F$106=0,"",[2]对账明细接口!$F$106),"")</f>
        <v>公司红周转筐</v>
      </c>
      <c r="G106" s="16">
        <f>IFERROR(IF([2]对账明细接口!$G$106=0,"",[2]对账明细接口!$G$106),"")</f>
      </c>
      <c r="H106" s="176">
        <f>IFERROR(IF([2]对账明细接口!$H$106=0,"",[2]对账明细接口!$H$106),"")</f>
        <v>582</v>
      </c>
      <c r="I106" s="16" t="str">
        <f>IFERROR(IF([2]对账明细接口!$I$106=0,"",[2]对账明细接口!$I$106),"")</f>
        <v>个</v>
      </c>
      <c r="J106" s="177">
        <f>IFERROR(IF([2]对账明细接口!$J$106=0,"",[2]对账明细接口!$J$106),"")</f>
      </c>
      <c r="K106" s="177">
        <f>IFERROR(IF([2]对账明细接口!$K$106=0,"",[2]对账明细接口!$K$106),"")</f>
        <v>5820</v>
      </c>
      <c r="L106" s="16" t="str">
        <f>IFERROR(IF([2]对账明细接口!$L$106=0,"",[2]对账明细接口!$L$106),"")</f>
        <v>未付款</v>
      </c>
      <c r="M106" s="16" t="str">
        <f>IFERROR(IF([2]对账明细接口!$M$106=0,"",[2]对账明细接口!$M$106),"")</f>
        <v>NO:2745249</v>
      </c>
      <c r="N106" s="19">
        <f>IF($C106="",0,1)</f>
        <v>1</v>
      </c>
      <c r="O106" s="19">
        <f>N(O105)+$N106</f>
        <v>103</v>
      </c>
      <c r="S106" s="20" t="str">
        <f>IFERROR(IF([2]对账明细接口!$N106=0,"",[2]对账明细接口!$N106),"")</f>
        <v>公司红周转筐</v>
      </c>
      <c r="T106" s="212">
        <f>IFERROR(IF([2]对账明细接口!$O106=0,"",[2]对账明细接口!$O106),"")</f>
      </c>
      <c r="U106" s="212">
        <f>IFERROR(IF([2]对账明细接口!$P106=0,"",[2]对账明细接口!$P106),"")</f>
      </c>
      <c r="V106" s="212">
        <f>IFERROR(IF([2]对账明细接口!$Q106=0,"",[2]对账明细接口!$Q106),"")</f>
        <v>582</v>
      </c>
      <c r="W106" s="20" t="str">
        <f>IFERROR(IF([2]对账明细接口!$R106=0,"",[2]对账明细接口!$R106),"")</f>
        <v>豫A*2737K</v>
      </c>
      <c r="X106" s="20" t="str">
        <f>IFERROR(IF([2]对账明细接口!$S106=0,"",[2]对账明细接口!$S106),"")</f>
        <v>公司筐</v>
      </c>
      <c r="Y106" s="20">
        <f>""</f>
      </c>
      <c r="Z106" s="20">
        <f>""</f>
      </c>
      <c r="AA106" s="20">
        <f>""</f>
      </c>
      <c r="AB106" s="20">
        <f>""</f>
      </c>
    </row>
    <row r="107" s="127">
      <c r="A107" s="14" t="n">
        <v>107</v>
      </c>
      <c r="B107" s="211">
        <f>IFERROR(IF([2]对账明细接口!$B$107=0,"",[2]对账明细接口!$B$107),"")</f>
        <v>46269.0</v>
      </c>
      <c r="C107" s="16" t="str">
        <f>IFERROR(IF([2]对账明细接口!$C$107=0,"",[2]对账明细接口!$C$107),"")</f>
        <v>荆建君</v>
      </c>
      <c r="D107" s="16" t="str">
        <f>IFERROR(IF([2]对账明细接口!$D$107=0,"",[2]对账明细接口!$D$107),"")</f>
        <v>周转筐－领用出库</v>
      </c>
      <c r="E107" s="16" t="str">
        <f>IFERROR(IF([2]对账明细接口!$E$107=0,"",[2]对账明细接口!$E$107),"")</f>
        <v>NO:0001079</v>
      </c>
      <c r="F107" s="16" t="str">
        <f>IFERROR(IF([2]对账明细接口!$F$107=0,"",[2]对账明细接口!$F$107),"")</f>
        <v>公司红周转筐</v>
      </c>
      <c r="G107" s="16">
        <f>IFERROR(IF([2]对账明细接口!$G$107=0,"",[2]对账明细接口!$G$107),"")</f>
      </c>
      <c r="H107" s="176">
        <f>IFERROR(IF([2]对账明细接口!$H$107=0,"",[2]对账明细接口!$H$107),"")</f>
        <v>582</v>
      </c>
      <c r="I107" s="16" t="str">
        <f>IFERROR(IF([2]对账明细接口!$I$107=0,"",[2]对账明细接口!$I$107),"")</f>
        <v>个</v>
      </c>
      <c r="J107" s="177">
        <f>IFERROR(IF([2]对账明细接口!$J$107=0,"",[2]对账明细接口!$J$107),"")</f>
      </c>
      <c r="K107" s="177">
        <f>IFERROR(IF([2]对账明细接口!$K$107=0,"",[2]对账明细接口!$K$107),"")</f>
      </c>
      <c r="L107" s="16">
        <f>IFERROR(IF([2]对账明细接口!$L$107=0,"",[2]对账明细接口!$L$107),"")</f>
      </c>
      <c r="M107" s="16">
        <f>IFERROR(IF([2]对账明细接口!$M$107=0,"",[2]对账明细接口!$M$107),"")</f>
      </c>
      <c r="N107" s="19">
        <f>IF($C107="",0,1)</f>
        <v>1</v>
      </c>
      <c r="O107" s="19">
        <f>N(O106)+$N107</f>
        <v>104</v>
      </c>
      <c r="S107" s="20" t="str">
        <f>IFERROR(IF([2]对账明细接口!$N107=0,"",[2]对账明细接口!$N107),"")</f>
        <v>公司红周转筐</v>
      </c>
      <c r="T107" s="212">
        <f>IFERROR(IF([2]对账明细接口!$O107=0,"",[2]对账明细接口!$O107),"")</f>
        <v>582</v>
      </c>
      <c r="U107" s="212">
        <f>IFERROR(IF([2]对账明细接口!$P107=0,"",[2]对账明细接口!$P107),"")</f>
      </c>
      <c r="V107" s="212">
        <f>IFERROR(IF([2]对账明细接口!$Q107=0,"",[2]对账明细接口!$Q107),"")</f>
      </c>
      <c r="W107" s="20" t="str">
        <f>IFERROR(IF([2]对账明细接口!$R107=0,"",[2]对账明细接口!$R107),"")</f>
        <v>豫A*2737K</v>
      </c>
      <c r="X107" s="20" t="str">
        <f>IFERROR(IF([2]对账明细接口!$S107=0,"",[2]对账明细接口!$S107),"")</f>
        <v>公司筐</v>
      </c>
      <c r="Y107" s="20">
        <f>""</f>
      </c>
      <c r="Z107" s="20">
        <f>""</f>
      </c>
      <c r="AA107" s="20">
        <f>""</f>
      </c>
      <c r="AB107" s="20">
        <f>""</f>
      </c>
    </row>
    <row r="108" s="127">
      <c r="A108" s="14" t="n">
        <v>108</v>
      </c>
      <c r="B108" s="211">
        <f>IFERROR(IF([2]对账明细接口!$B$108=0,"",[2]对账明细接口!$B$108),"")</f>
        <v>46270.0</v>
      </c>
      <c r="C108" s="16" t="str">
        <f>IFERROR(IF([2]对账明细接口!$C$108=0,"",[2]对账明细接口!$C$108),"")</f>
        <v>王浩</v>
      </c>
      <c r="D108" s="16" t="str">
        <f>IFERROR(IF([2]对账明细接口!$D$108=0,"",[2]对账明细接口!$D$108),"")</f>
        <v>周转筐－领用出库</v>
      </c>
      <c r="E108" s="16" t="str">
        <f>IFERROR(IF([2]对账明细接口!$E$108=0,"",[2]对账明细接口!$E$108),"")</f>
        <v>NO:0001086</v>
      </c>
      <c r="F108" s="16" t="str">
        <f>IFERROR(IF([2]对账明细接口!$F$108=0,"",[2]对账明细接口!$F$108),"")</f>
        <v>公司一次性筐</v>
      </c>
      <c r="G108" s="16">
        <f>IFERROR(IF([2]对账明细接口!$G$108=0,"",[2]对账明细接口!$G$108),"")</f>
      </c>
      <c r="H108" s="176">
        <f>IFERROR(IF([2]对账明细接口!$H$108=0,"",[2]对账明细接口!$H$108),"")</f>
        <v>1320</v>
      </c>
      <c r="I108" s="16" t="str">
        <f>IFERROR(IF([2]对账明细接口!$I$108=0,"",[2]对账明细接口!$I$108),"")</f>
        <v>个</v>
      </c>
      <c r="J108" s="177">
        <f>IFERROR(IF([2]对账明细接口!$J$108=0,"",[2]对账明细接口!$J$108),"")</f>
      </c>
      <c r="K108" s="177">
        <f>IFERROR(IF([2]对账明细接口!$K$108=0,"",[2]对账明细接口!$K$108),"")</f>
      </c>
      <c r="L108" s="16">
        <f>IFERROR(IF([2]对账明细接口!$L$108=0,"",[2]对账明细接口!$L$108),"")</f>
      </c>
      <c r="M108" s="16">
        <f>IFERROR(IF([2]对账明细接口!$M$108=0,"",[2]对账明细接口!$M$108),"")</f>
      </c>
      <c r="N108" s="19">
        <f>IF($C108="",0,1)</f>
        <v>1</v>
      </c>
      <c r="O108" s="19">
        <f>N(O107)+$N108</f>
        <v>105</v>
      </c>
      <c r="S108" s="20" t="str">
        <f>IFERROR(IF([2]对账明细接口!$N108=0,"",[2]对账明细接口!$N108),"")</f>
        <v>公司一次性筐</v>
      </c>
      <c r="T108" s="212">
        <f>IFERROR(IF([2]对账明细接口!$O108=0,"",[2]对账明细接口!$O108),"")</f>
        <v>1320</v>
      </c>
      <c r="U108" s="212">
        <f>IFERROR(IF([2]对账明细接口!$P108=0,"",[2]对账明细接口!$P108),"")</f>
      </c>
      <c r="V108" s="212">
        <f>IFERROR(IF([2]对账明细接口!$Q108=0,"",[2]对账明细接口!$Q108),"")</f>
      </c>
      <c r="W108" s="20" t="str">
        <f>IFERROR(IF([2]对账明细接口!$R108=0,"",[2]对账明细接口!$R108),"")</f>
        <v>新M*79997</v>
      </c>
      <c r="X108" s="20" t="str">
        <f>IFERROR(IF([2]对账明细接口!$S108=0,"",[2]对账明细接口!$S108),"")</f>
        <v>公司筐</v>
      </c>
      <c r="Y108" s="20">
        <f>""</f>
      </c>
      <c r="Z108" s="20">
        <f>""</f>
      </c>
      <c r="AA108" s="20">
        <f>""</f>
      </c>
      <c r="AB108" s="20">
        <f>""</f>
      </c>
    </row>
    <row r="109" s="127">
      <c r="A109" s="14" t="n">
        <v>109</v>
      </c>
      <c r="B109" s="211">
        <f>IFERROR(IF([2]对账明细接口!$B$109=0,"",[2]对账明细接口!$B$109),"")</f>
        <v>46271.0</v>
      </c>
      <c r="C109" s="16" t="str">
        <f>IFERROR(IF([2]对账明细接口!$C$109=0,"",[2]对账明细接口!$C$109),"")</f>
        <v>贾建国</v>
      </c>
      <c r="D109" s="16" t="str">
        <f>IFERROR(IF([2]对账明细接口!$D$109=0,"",[2]对账明细接口!$D$109),"")</f>
        <v>周转筐－领用出库</v>
      </c>
      <c r="E109" s="16" t="str">
        <f>IFERROR(IF([2]对账明细接口!$E$109=0,"",[2]对账明细接口!$E$109),"")</f>
        <v>NO:0001087</v>
      </c>
      <c r="F109" s="16" t="str">
        <f>IFERROR(IF([2]对账明细接口!$F$109=0,"",[2]对账明细接口!$F$109),"")</f>
        <v>公司新周转筐</v>
      </c>
      <c r="G109" s="16">
        <f>IFERROR(IF([2]对账明细接口!$G$109=0,"",[2]对账明细接口!$G$109),"")</f>
      </c>
      <c r="H109" s="176">
        <f>IFERROR(IF([2]对账明细接口!$H$109=0,"",[2]对账明细接口!$H$109),"")</f>
        <v>252</v>
      </c>
      <c r="I109" s="16" t="str">
        <f>IFERROR(IF([2]对账明细接口!$I$109=0,"",[2]对账明细接口!$I$109),"")</f>
        <v>个</v>
      </c>
      <c r="J109" s="177">
        <f>IFERROR(IF([2]对账明细接口!$J$109=0,"",[2]对账明细接口!$J$109),"")</f>
      </c>
      <c r="K109" s="177">
        <f>IFERROR(IF([2]对账明细接口!$K$109=0,"",[2]对账明细接口!$K$109),"")</f>
      </c>
      <c r="L109" s="16">
        <f>IFERROR(IF([2]对账明细接口!$L$109=0,"",[2]对账明细接口!$L$109),"")</f>
      </c>
      <c r="M109" s="16">
        <f>IFERROR(IF([2]对账明细接口!$M$109=0,"",[2]对账明细接口!$M$109),"")</f>
      </c>
      <c r="N109" s="19">
        <f>IF($C109="",0,1)</f>
        <v>1</v>
      </c>
      <c r="O109" s="19">
        <f>N(O108)+$N109</f>
        <v>106</v>
      </c>
      <c r="S109" s="20" t="str">
        <f>IFERROR(IF([2]对账明细接口!$N109=0,"",[2]对账明细接口!$N109),"")</f>
        <v>公司新周转筐</v>
      </c>
      <c r="T109" s="212">
        <f>IFERROR(IF([2]对账明细接口!$O109=0,"",[2]对账明细接口!$O109),"")</f>
        <v>252</v>
      </c>
      <c r="U109" s="212">
        <f>IFERROR(IF([2]对账明细接口!$P109=0,"",[2]对账明细接口!$P109),"")</f>
      </c>
      <c r="V109" s="212">
        <f>IFERROR(IF([2]对账明细接口!$Q109=0,"",[2]对账明细接口!$Q109),"")</f>
      </c>
      <c r="W109" s="20" t="str">
        <f>IFERROR(IF([2]对账明细接口!$R109=0,"",[2]对账明细接口!$R109),"")</f>
        <v>新N*56508</v>
      </c>
      <c r="X109" s="20" t="str">
        <f>IFERROR(IF([2]对账明细接口!$S109=0,"",[2]对账明细接口!$S109),"")</f>
        <v>公司筐</v>
      </c>
      <c r="Y109" s="20">
        <f>""</f>
      </c>
      <c r="Z109" s="20">
        <f>""</f>
      </c>
      <c r="AA109" s="20">
        <f>""</f>
      </c>
      <c r="AB109" s="20">
        <f>""</f>
      </c>
    </row>
    <row r="110" s="127">
      <c r="A110" s="14" t="n">
        <v>110</v>
      </c>
      <c r="B110" s="211">
        <f>IFERROR(IF([2]对账明细接口!$B$110=0,"",[2]对账明细接口!$B$110),"")</f>
        <v>46272.0</v>
      </c>
      <c r="C110" s="16" t="str">
        <f>IFERROR(IF([2]对账明细接口!$C$110=0,"",[2]对账明细接口!$C$110),"")</f>
        <v>全修塑业</v>
      </c>
      <c r="D110" s="16" t="str">
        <f>IFERROR(IF([2]对账明细接口!$D$110=0,"",[2]对账明细接口!$D$110),"")</f>
        <v>周转筐－采购入库</v>
      </c>
      <c r="E110" s="16" t="str">
        <f>IFERROR(IF([2]对账明细接口!$E$110=0,"",[2]对账明细接口!$E$110),"")</f>
        <v>NO:0000755</v>
      </c>
      <c r="F110" s="16" t="str">
        <f>IFERROR(IF([2]对账明细接口!$F$110=0,"",[2]对账明细接口!$F$110),"")</f>
        <v>公司红周转筐</v>
      </c>
      <c r="G110" s="16">
        <f>IFERROR(IF([2]对账明细接口!$G$110=0,"",[2]对账明细接口!$G$110),"")</f>
      </c>
      <c r="H110" s="176">
        <f>IFERROR(IF([2]对账明细接口!$H$110=0,"",[2]对账明细接口!$H$110),"")</f>
        <v>846</v>
      </c>
      <c r="I110" s="16" t="str">
        <f>IFERROR(IF([2]对账明细接口!$I$110=0,"",[2]对账明细接口!$I$110),"")</f>
        <v>个</v>
      </c>
      <c r="J110" s="177">
        <f>IFERROR(IF([2]对账明细接口!$J$110=0,"",[2]对账明细接口!$J$110),"")</f>
      </c>
      <c r="K110" s="177">
        <f>IFERROR(IF([2]对账明细接口!$K$110=0,"",[2]对账明细接口!$K$110),"")</f>
        <v>8460</v>
      </c>
      <c r="L110" s="16" t="str">
        <f>IFERROR(IF([2]对账明细接口!$L$110=0,"",[2]对账明细接口!$L$110),"")</f>
        <v>未付款</v>
      </c>
      <c r="M110" s="16" t="str">
        <f>IFERROR(IF([2]对账明细接口!$M$110=0,"",[2]对账明细接口!$M$110),"")</f>
        <v>NO:2745250</v>
      </c>
      <c r="N110" s="19">
        <f>IF($C110="",0,1)</f>
        <v>1</v>
      </c>
      <c r="O110" s="19">
        <f>N(O109)+$N110</f>
        <v>107</v>
      </c>
      <c r="S110" s="20" t="str">
        <f>IFERROR(IF([2]对账明细接口!$N110=0,"",[2]对账明细接口!$N110),"")</f>
        <v>公司红周转筐</v>
      </c>
      <c r="T110" s="212">
        <f>IFERROR(IF([2]对账明细接口!$O110=0,"",[2]对账明细接口!$O110),"")</f>
      </c>
      <c r="U110" s="212">
        <f>IFERROR(IF([2]对账明细接口!$P110=0,"",[2]对账明细接口!$P110),"")</f>
      </c>
      <c r="V110" s="212">
        <f>IFERROR(IF([2]对账明细接口!$Q110=0,"",[2]对账明细接口!$Q110),"")</f>
        <v>846</v>
      </c>
      <c r="W110" s="20" t="str">
        <f>IFERROR(IF([2]对账明细接口!$R110=0,"",[2]对账明细接口!$R110),"")</f>
        <v>新A*G0554</v>
      </c>
      <c r="X110" s="20" t="str">
        <f>IFERROR(IF([2]对账明细接口!$S110=0,"",[2]对账明细接口!$S110),"")</f>
        <v>公司筐</v>
      </c>
      <c r="Y110" s="20">
        <f>""</f>
      </c>
      <c r="Z110" s="20">
        <f>""</f>
      </c>
      <c r="AA110" s="20">
        <f>""</f>
      </c>
      <c r="AB110" s="20">
        <f>""</f>
      </c>
    </row>
    <row r="111" s="127">
      <c r="A111" s="14" t="n">
        <v>111</v>
      </c>
      <c r="B111" s="211">
        <f>IFERROR(IF([2]对账明细接口!$B$111=0,"",[2]对账明细接口!$B$111),"")</f>
        <v>46272.0</v>
      </c>
      <c r="C111" s="16" t="str">
        <f>IFERROR(IF([2]对账明细接口!$C$111=0,"",[2]对账明细接口!$C$111),"")</f>
        <v>麦麦提</v>
      </c>
      <c r="D111" s="16" t="str">
        <f>IFERROR(IF([2]对账明细接口!$D$111=0,"",[2]对账明细接口!$D$111),"")</f>
        <v>周转筐－领用出库</v>
      </c>
      <c r="E111" s="16" t="str">
        <f>IFERROR(IF([2]对账明细接口!$E$111=0,"",[2]对账明细接口!$E$111),"")</f>
        <v>NO:0001089</v>
      </c>
      <c r="F111" s="16" t="str">
        <f>IFERROR(IF([2]对账明细接口!$F$111=0,"",[2]对账明细接口!$F$111),"")</f>
        <v>公司红周转筐</v>
      </c>
      <c r="G111" s="16">
        <f>IFERROR(IF([2]对账明细接口!$G$111=0,"",[2]对账明细接口!$G$111),"")</f>
      </c>
      <c r="H111" s="176">
        <f>IFERROR(IF([2]对账明细接口!$H$111=0,"",[2]对账明细接口!$H$111),"")</f>
        <v>846</v>
      </c>
      <c r="I111" s="16" t="str">
        <f>IFERROR(IF([2]对账明细接口!$I$111=0,"",[2]对账明细接口!$I$111),"")</f>
        <v>个</v>
      </c>
      <c r="J111" s="177">
        <f>IFERROR(IF([2]对账明细接口!$J$111=0,"",[2]对账明细接口!$J$111),"")</f>
      </c>
      <c r="K111" s="177">
        <f>IFERROR(IF([2]对账明细接口!$K$111=0,"",[2]对账明细接口!$K$111),"")</f>
      </c>
      <c r="L111" s="16">
        <f>IFERROR(IF([2]对账明细接口!$L$111=0,"",[2]对账明细接口!$L$111),"")</f>
      </c>
      <c r="M111" s="16">
        <f>IFERROR(IF([2]对账明细接口!$M$111=0,"",[2]对账明细接口!$M$111),"")</f>
      </c>
      <c r="N111" s="19">
        <f>IF($C111="",0,1)</f>
        <v>1</v>
      </c>
      <c r="O111" s="19">
        <f>N(O110)+$N111</f>
        <v>108</v>
      </c>
      <c r="S111" s="20" t="str">
        <f>IFERROR(IF([2]对账明细接口!$N111=0,"",[2]对账明细接口!$N111),"")</f>
        <v>公司红周转筐</v>
      </c>
      <c r="T111" s="212">
        <f>IFERROR(IF([2]对账明细接口!$O111=0,"",[2]对账明细接口!$O111),"")</f>
        <v>846</v>
      </c>
      <c r="U111" s="212">
        <f>IFERROR(IF([2]对账明细接口!$P111=0,"",[2]对账明细接口!$P111),"")</f>
      </c>
      <c r="V111" s="212">
        <f>IFERROR(IF([2]对账明细接口!$Q111=0,"",[2]对账明细接口!$Q111),"")</f>
      </c>
      <c r="W111" s="20" t="str">
        <f>IFERROR(IF([2]对账明细接口!$R111=0,"",[2]对账明细接口!$R111),"")</f>
        <v>新A*G0554</v>
      </c>
      <c r="X111" s="20" t="str">
        <f>IFERROR(IF([2]对账明细接口!$S111=0,"",[2]对账明细接口!$S111),"")</f>
        <v>公司筐</v>
      </c>
      <c r="Y111" s="20">
        <f>""</f>
      </c>
      <c r="Z111" s="20">
        <f>""</f>
      </c>
      <c r="AA111" s="20">
        <f>""</f>
      </c>
      <c r="AB111" s="20">
        <f>""</f>
      </c>
    </row>
    <row r="112" s="127">
      <c r="A112" s="14" t="n">
        <v>112</v>
      </c>
      <c r="B112" s="211">
        <f>IFERROR(IF([2]对账明细接口!$B$112=0,"",[2]对账明细接口!$B$112),"")</f>
        <v>46272.0</v>
      </c>
      <c r="C112" s="16" t="str">
        <f>IFERROR(IF([2]对账明细接口!$C$112=0,"",[2]对账明细接口!$C$112),"")</f>
        <v>全修塑业</v>
      </c>
      <c r="D112" s="16" t="str">
        <f>IFERROR(IF([2]对账明细接口!$D$112=0,"",[2]对账明细接口!$D$112),"")</f>
        <v>周转筐－采购入库</v>
      </c>
      <c r="E112" s="16" t="str">
        <f>IFERROR(IF([2]对账明细接口!$E$112=0,"",[2]对账明细接口!$E$112),"")</f>
        <v>NO:0000759</v>
      </c>
      <c r="F112" s="16" t="str">
        <f>IFERROR(IF([2]对账明细接口!$F$112=0,"",[2]对账明细接口!$F$112),"")</f>
        <v>公司红周转筐</v>
      </c>
      <c r="G112" s="16">
        <f>IFERROR(IF([2]对账明细接口!$G$112=0,"",[2]对账明细接口!$G$112),"")</f>
      </c>
      <c r="H112" s="176">
        <f>IFERROR(IF([2]对账明细接口!$H$112=0,"",[2]对账明细接口!$H$112),"")</f>
        <v>846</v>
      </c>
      <c r="I112" s="16" t="str">
        <f>IFERROR(IF([2]对账明细接口!$I$112=0,"",[2]对账明细接口!$I$112),"")</f>
        <v>个</v>
      </c>
      <c r="J112" s="177">
        <f>IFERROR(IF([2]对账明细接口!$J$112=0,"",[2]对账明细接口!$J$112),"")</f>
      </c>
      <c r="K112" s="177">
        <f>IFERROR(IF([2]对账明细接口!$K$112=0,"",[2]对账明细接口!$K$112),"")</f>
        <v>8460</v>
      </c>
      <c r="L112" s="16" t="str">
        <f>IFERROR(IF([2]对账明细接口!$L$112=0,"",[2]对账明细接口!$L$112),"")</f>
        <v>未付款</v>
      </c>
      <c r="M112" s="16" t="str">
        <f>IFERROR(IF([2]对账明细接口!$M$112=0,"",[2]对账明细接口!$M$112),"")</f>
        <v>NO:2745251</v>
      </c>
      <c r="N112" s="19">
        <f>IF($C112="",0,1)</f>
        <v>1</v>
      </c>
      <c r="O112" s="19">
        <f>N(O111)+$N112</f>
        <v>109</v>
      </c>
      <c r="S112" s="20" t="str">
        <f>IFERROR(IF([2]对账明细接口!$N112=0,"",[2]对账明细接口!$N112),"")</f>
        <v>公司红周转筐</v>
      </c>
      <c r="T112" s="212">
        <f>IFERROR(IF([2]对账明细接口!$O112=0,"",[2]对账明细接口!$O112),"")</f>
      </c>
      <c r="U112" s="212">
        <f>IFERROR(IF([2]对账明细接口!$P112=0,"",[2]对账明细接口!$P112),"")</f>
      </c>
      <c r="V112" s="212">
        <f>IFERROR(IF([2]对账明细接口!$Q112=0,"",[2]对账明细接口!$Q112),"")</f>
        <v>846</v>
      </c>
      <c r="W112" s="20" t="str">
        <f>IFERROR(IF([2]对账明细接口!$R112=0,"",[2]对账明细接口!$R112),"")</f>
        <v>新A*G0554</v>
      </c>
      <c r="X112" s="20" t="str">
        <f>IFERROR(IF([2]对账明细接口!$S112=0,"",[2]对账明细接口!$S112),"")</f>
        <v>公司筐</v>
      </c>
      <c r="Y112" s="20">
        <f>""</f>
      </c>
      <c r="Z112" s="20">
        <f>""</f>
      </c>
      <c r="AA112" s="20">
        <f>""</f>
      </c>
      <c r="AB112" s="20">
        <f>""</f>
      </c>
    </row>
    <row r="113" s="127">
      <c r="A113" s="14" t="n">
        <v>113</v>
      </c>
      <c r="B113" s="211">
        <f>IFERROR(IF([2]对账明细接口!$B$113=0,"",[2]对账明细接口!$B$113),"")</f>
        <v>46272.0</v>
      </c>
      <c r="C113" s="16" t="str">
        <f>IFERROR(IF([2]对账明细接口!$C$113=0,"",[2]对账明细接口!$C$113),"")</f>
        <v>马锦祥</v>
      </c>
      <c r="D113" s="16" t="str">
        <f>IFERROR(IF([2]对账明细接口!$D$113=0,"",[2]对账明细接口!$D$113),"")</f>
        <v>周转筐－领用出库</v>
      </c>
      <c r="E113" s="16" t="str">
        <f>IFERROR(IF([2]对账明细接口!$E$113=0,"",[2]对账明细接口!$E$113),"")</f>
        <v>NO:0001090</v>
      </c>
      <c r="F113" s="16" t="str">
        <f>IFERROR(IF([2]对账明细接口!$F$113=0,"",[2]对账明细接口!$F$113),"")</f>
        <v>公司杂周转筐</v>
      </c>
      <c r="G113" s="16">
        <f>IFERROR(IF([2]对账明细接口!$G$113=0,"",[2]对账明细接口!$G$113),"")</f>
      </c>
      <c r="H113" s="176">
        <f>IFERROR(IF([2]对账明细接口!$H$113=0,"",[2]对账明细接口!$H$113),"")</f>
        <v>588</v>
      </c>
      <c r="I113" s="16" t="str">
        <f>IFERROR(IF([2]对账明细接口!$I$113=0,"",[2]对账明细接口!$I$113),"")</f>
        <v>个</v>
      </c>
      <c r="J113" s="177">
        <f>IFERROR(IF([2]对账明细接口!$J$113=0,"",[2]对账明细接口!$J$113),"")</f>
      </c>
      <c r="K113" s="177">
        <f>IFERROR(IF([2]对账明细接口!$K$113=0,"",[2]对账明细接口!$K$113),"")</f>
      </c>
      <c r="L113" s="16">
        <f>IFERROR(IF([2]对账明细接口!$L$113=0,"",[2]对账明细接口!$L$113),"")</f>
      </c>
      <c r="M113" s="16">
        <f>IFERROR(IF([2]对账明细接口!$M$113=0,"",[2]对账明细接口!$M$113),"")</f>
      </c>
      <c r="N113" s="19">
        <f>IF($C113="",0,1)</f>
        <v>1</v>
      </c>
      <c r="O113" s="19">
        <f>N(O112)+$N113</f>
        <v>110</v>
      </c>
      <c r="S113" s="20" t="str">
        <f>IFERROR(IF([2]对账明细接口!$N113=0,"",[2]对账明细接口!$N113),"")</f>
        <v>公司杂周转筐</v>
      </c>
      <c r="T113" s="212">
        <f>IFERROR(IF([2]对账明细接口!$O113=0,"",[2]对账明细接口!$O113),"")</f>
        <v>588</v>
      </c>
      <c r="U113" s="212">
        <f>IFERROR(IF([2]对账明细接口!$P113=0,"",[2]对账明细接口!$P113),"")</f>
      </c>
      <c r="V113" s="212">
        <f>IFERROR(IF([2]对账明细接口!$Q113=0,"",[2]对账明细接口!$Q113),"")</f>
      </c>
      <c r="W113" s="20" t="str">
        <f>IFERROR(IF([2]对账明细接口!$R113=0,"",[2]对账明细接口!$R113),"")</f>
        <v>新N*K7V85</v>
      </c>
      <c r="X113" s="20" t="str">
        <f>IFERROR(IF([2]对账明细接口!$S113=0,"",[2]对账明细接口!$S113),"")</f>
        <v>公司筐</v>
      </c>
      <c r="Y113" s="20">
        <f>""</f>
      </c>
      <c r="Z113" s="20">
        <f>""</f>
      </c>
      <c r="AA113" s="20">
        <f>""</f>
      </c>
      <c r="AB113" s="20">
        <f>""</f>
      </c>
    </row>
    <row r="114" s="127">
      <c r="A114" s="14" t="n">
        <v>114</v>
      </c>
      <c r="B114" s="211">
        <f>IFERROR(IF([2]对账明细接口!$B$114=0,"",[2]对账明细接口!$B$114),"")</f>
        <v>46272.0</v>
      </c>
      <c r="C114" s="16" t="str">
        <f>IFERROR(IF([2]对账明细接口!$C$114=0,"",[2]对账明细接口!$C$114),"")</f>
        <v>贾建国</v>
      </c>
      <c r="D114" s="16" t="str">
        <f>IFERROR(IF([2]对账明细接口!$D$114=0,"",[2]对账明细接口!$D$114),"")</f>
        <v>周转筐－领用出库</v>
      </c>
      <c r="E114" s="16" t="str">
        <f>IFERROR(IF([2]对账明细接口!$E$114=0,"",[2]对账明细接口!$E$114),"")</f>
        <v>NO:0001092</v>
      </c>
      <c r="F114" s="16" t="str">
        <f>IFERROR(IF([2]对账明细接口!$F$114=0,"",[2]对账明细接口!$F$114),"")</f>
        <v>公司新周转筐</v>
      </c>
      <c r="G114" s="16">
        <f>IFERROR(IF([2]对账明细接口!$G$114=0,"",[2]对账明细接口!$G$114),"")</f>
      </c>
      <c r="H114" s="176">
        <f>IFERROR(IF([2]对账明细接口!$H$114=0,"",[2]对账明细接口!$H$114),"")</f>
        <v>759</v>
      </c>
      <c r="I114" s="16" t="str">
        <f>IFERROR(IF([2]对账明细接口!$I$114=0,"",[2]对账明细接口!$I$114),"")</f>
        <v>个</v>
      </c>
      <c r="J114" s="177">
        <f>IFERROR(IF([2]对账明细接口!$J$114=0,"",[2]对账明细接口!$J$114),"")</f>
      </c>
      <c r="K114" s="177">
        <f>IFERROR(IF([2]对账明细接口!$K$114=0,"",[2]对账明细接口!$K$114),"")</f>
      </c>
      <c r="L114" s="16">
        <f>IFERROR(IF([2]对账明细接口!$L$114=0,"",[2]对账明细接口!$L$114),"")</f>
      </c>
      <c r="M114" s="16">
        <f>IFERROR(IF([2]对账明细接口!$M$114=0,"",[2]对账明细接口!$M$114),"")</f>
      </c>
      <c r="N114" s="19">
        <f>IF($C114="",0,1)</f>
        <v>1</v>
      </c>
      <c r="O114" s="19">
        <f>N(O113)+$N114</f>
        <v>111</v>
      </c>
      <c r="S114" s="20" t="str">
        <f>IFERROR(IF([2]对账明细接口!$N114=0,"",[2]对账明细接口!$N114),"")</f>
        <v>公司新周转筐</v>
      </c>
      <c r="T114" s="212">
        <f>IFERROR(IF([2]对账明细接口!$O114=0,"",[2]对账明细接口!$O114),"")</f>
        <v>759</v>
      </c>
      <c r="U114" s="212">
        <f>IFERROR(IF([2]对账明细接口!$P114=0,"",[2]对账明细接口!$P114),"")</f>
      </c>
      <c r="V114" s="212">
        <f>IFERROR(IF([2]对账明细接口!$Q114=0,"",[2]对账明细接口!$Q114),"")</f>
      </c>
      <c r="W114" s="20" t="str">
        <f>IFERROR(IF([2]对账明细接口!$R114=0,"",[2]对账明细接口!$R114),"")</f>
        <v>豫Q*H5591</v>
      </c>
      <c r="X114" s="20" t="str">
        <f>IFERROR(IF([2]对账明细接口!$S114=0,"",[2]对账明细接口!$S114),"")</f>
        <v>公司筐</v>
      </c>
      <c r="Y114" s="20">
        <f>""</f>
      </c>
      <c r="Z114" s="20">
        <f>""</f>
      </c>
      <c r="AA114" s="20">
        <f>""</f>
      </c>
      <c r="AB114" s="20">
        <f>""</f>
      </c>
    </row>
    <row r="115" s="127">
      <c r="A115" s="14" t="n">
        <v>115</v>
      </c>
      <c r="B115" s="211">
        <f>IFERROR(IF([2]对账明细接口!$B$115=0,"",[2]对账明细接口!$B$115),"")</f>
        <v>46272.0</v>
      </c>
      <c r="C115" s="16" t="str">
        <f>IFERROR(IF([2]对账明细接口!$C$115=0,"",[2]对账明细接口!$C$115),"")</f>
        <v>热合曼</v>
      </c>
      <c r="D115" s="16" t="str">
        <f>IFERROR(IF([2]对账明细接口!$D$115=0,"",[2]对账明细接口!$D$115),"")</f>
        <v>周转筐－领用出库</v>
      </c>
      <c r="E115" s="16" t="str">
        <f>IFERROR(IF([2]对账明细接口!$E$115=0,"",[2]对账明细接口!$E$115),"")</f>
        <v>NO:0001094</v>
      </c>
      <c r="F115" s="16" t="str">
        <f>IFERROR(IF([2]对账明细接口!$F$115=0,"",[2]对账明细接口!$F$115),"")</f>
        <v>公司红周转筐</v>
      </c>
      <c r="G115" s="16">
        <f>IFERROR(IF([2]对账明细接口!$G$115=0,"",[2]对账明细接口!$G$115),"")</f>
      </c>
      <c r="H115" s="176">
        <f>IFERROR(IF([2]对账明细接口!$H$115=0,"",[2]对账明细接口!$H$115),"")</f>
        <v>846</v>
      </c>
      <c r="I115" s="16" t="str">
        <f>IFERROR(IF([2]对账明细接口!$I$115=0,"",[2]对账明细接口!$I$115),"")</f>
        <v>个</v>
      </c>
      <c r="J115" s="177">
        <f>IFERROR(IF([2]对账明细接口!$J$115=0,"",[2]对账明细接口!$J$115),"")</f>
      </c>
      <c r="K115" s="177">
        <f>IFERROR(IF([2]对账明细接口!$K$115=0,"",[2]对账明细接口!$K$115),"")</f>
      </c>
      <c r="L115" s="16">
        <f>IFERROR(IF([2]对账明细接口!$L$115=0,"",[2]对账明细接口!$L$115),"")</f>
      </c>
      <c r="M115" s="16">
        <f>IFERROR(IF([2]对账明细接口!$M$115=0,"",[2]对账明细接口!$M$115),"")</f>
      </c>
      <c r="N115" s="19">
        <f>IF($C115="",0,1)</f>
        <v>1</v>
      </c>
      <c r="O115" s="19">
        <f>N(O114)+$N115</f>
        <v>112</v>
      </c>
      <c r="S115" s="20" t="str">
        <f>IFERROR(IF([2]对账明细接口!$N115=0,"",[2]对账明细接口!$N115),"")</f>
        <v>公司红周转筐</v>
      </c>
      <c r="T115" s="212">
        <f>IFERROR(IF([2]对账明细接口!$O115=0,"",[2]对账明细接口!$O115),"")</f>
        <v>846</v>
      </c>
      <c r="U115" s="212">
        <f>IFERROR(IF([2]对账明细接口!$P115=0,"",[2]对账明细接口!$P115),"")</f>
      </c>
      <c r="V115" s="212">
        <f>IFERROR(IF([2]对账明细接口!$Q115=0,"",[2]对账明细接口!$Q115),"")</f>
      </c>
      <c r="W115" s="20" t="str">
        <f>IFERROR(IF([2]对账明细接口!$R115=0,"",[2]对账明细接口!$R115),"")</f>
        <v>新A*G0554</v>
      </c>
      <c r="X115" s="20" t="str">
        <f>IFERROR(IF([2]对账明细接口!$S115=0,"",[2]对账明细接口!$S115),"")</f>
        <v>公司筐</v>
      </c>
      <c r="Y115" s="20">
        <f>""</f>
      </c>
      <c r="Z115" s="20">
        <f>""</f>
      </c>
      <c r="AA115" s="20">
        <f>""</f>
      </c>
      <c r="AB115" s="20">
        <f>""</f>
      </c>
    </row>
    <row r="116" s="127">
      <c r="A116" s="14" t="n">
        <v>116</v>
      </c>
      <c r="B116" s="211">
        <f>IFERROR(IF([2]对账明细接口!$B$116=0,"",[2]对账明细接口!$B$116),"")</f>
        <v>46273.0</v>
      </c>
      <c r="C116" s="16" t="str">
        <f>IFERROR(IF([2]对账明细接口!$C$116=0,"",[2]对账明细接口!$C$116),"")</f>
        <v>王照雪</v>
      </c>
      <c r="D116" s="16" t="str">
        <f>IFERROR(IF([2]对账明细接口!$D$116=0,"",[2]对账明细接口!$D$116),"")</f>
        <v>周转筐－退回入库</v>
      </c>
      <c r="E116" s="16" t="str">
        <f>IFERROR(IF([2]对账明细接口!$E$116=0,"",[2]对账明细接口!$E$116),"")</f>
        <v>NO:0000761</v>
      </c>
      <c r="F116" s="16" t="str">
        <f>IFERROR(IF([2]对账明细接口!$F$116=0,"",[2]对账明细接口!$F$116),"")</f>
        <v>公司杂周转筐</v>
      </c>
      <c r="G116" s="16">
        <f>IFERROR(IF([2]对账明细接口!$G$116=0,"",[2]对账明细接口!$G$116),"")</f>
      </c>
      <c r="H116" s="176">
        <f>IFERROR(IF([2]对账明细接口!$H$116=0,"",[2]对账明细接口!$H$116),"")</f>
        <v>2</v>
      </c>
      <c r="I116" s="16" t="str">
        <f>IFERROR(IF([2]对账明细接口!$I$116=0,"",[2]对账明细接口!$I$116),"")</f>
        <v>个</v>
      </c>
      <c r="J116" s="177">
        <f>IFERROR(IF([2]对账明细接口!$J$116=0,"",[2]对账明细接口!$J$116),"")</f>
      </c>
      <c r="K116" s="177">
        <f>IFERROR(IF([2]对账明细接口!$K$116=0,"",[2]对账明细接口!$K$116),"")</f>
      </c>
      <c r="L116" s="16">
        <f>IFERROR(IF([2]对账明细接口!$L$116=0,"",[2]对账明细接口!$L$116),"")</f>
      </c>
      <c r="M116" s="16" t="str">
        <f>IFERROR(IF([2]对账明细接口!$M$116=0,"",[2]对账明细接口!$M$116),"")</f>
        <v>装扎伤电商退回</v>
      </c>
      <c r="N116" s="19">
        <f>IF($C116="",0,1)</f>
        <v>1</v>
      </c>
      <c r="O116" s="19">
        <f>N(O115)+$N116</f>
        <v>113</v>
      </c>
      <c r="S116" s="20" t="str">
        <f>IFERROR(IF([2]对账明细接口!$N116=0,"",[2]对账明细接口!$N116),"")</f>
        <v>公司杂周转筐</v>
      </c>
      <c r="T116" s="212">
        <f>IFERROR(IF([2]对账明细接口!$O116=0,"",[2]对账明细接口!$O116),"")</f>
      </c>
      <c r="U116" s="212">
        <f>IFERROR(IF([2]对账明细接口!$P116=0,"",[2]对账明细接口!$P116),"")</f>
        <v>2</v>
      </c>
      <c r="V116" s="212">
        <f>IFERROR(IF([2]对账明细接口!$Q116=0,"",[2]对账明细接口!$Q116),"")</f>
      </c>
      <c r="W116" s="20">
        <f>IFERROR(IF([2]对账明细接口!$R116=0,"",[2]对账明细接口!$R116),"")</f>
      </c>
      <c r="X116" s="20" t="str">
        <f>IFERROR(IF([2]对账明细接口!$S116=0,"",[2]对账明细接口!$S116),"")</f>
        <v>公司筐</v>
      </c>
      <c r="Y116" s="20">
        <f>""</f>
      </c>
      <c r="Z116" s="20">
        <f>""</f>
      </c>
      <c r="AA116" s="20">
        <f>""</f>
      </c>
      <c r="AB116" s="20">
        <f>""</f>
      </c>
    </row>
    <row r="117" s="127">
      <c r="A117" s="14" t="n">
        <v>117</v>
      </c>
      <c r="B117" s="211">
        <f>IFERROR(IF([2]对账明细接口!$B$117=0,"",[2]对账明细接口!$B$117),"")</f>
        <v>46274.0</v>
      </c>
      <c r="C117" s="16" t="str">
        <f>IFERROR(IF([2]对账明细接口!$C$117=0,"",[2]对账明细接口!$C$117),"")</f>
        <v>王照雪</v>
      </c>
      <c r="D117" s="16" t="str">
        <f>IFERROR(IF([2]对账明细接口!$D$117=0,"",[2]对账明细接口!$D$117),"")</f>
        <v>周转筐－领用出库</v>
      </c>
      <c r="E117" s="16" t="str">
        <f>IFERROR(IF([2]对账明细接口!$E$117=0,"",[2]对账明细接口!$E$117),"")</f>
        <v>NO:0001098</v>
      </c>
      <c r="F117" s="16" t="str">
        <f>IFERROR(IF([2]对账明细接口!$F$117=0,"",[2]对账明细接口!$F$117),"")</f>
        <v>公司一次性筐</v>
      </c>
      <c r="G117" s="16">
        <f>IFERROR(IF([2]对账明细接口!$G$117=0,"",[2]对账明细接口!$G$117),"")</f>
      </c>
      <c r="H117" s="176">
        <f>IFERROR(IF([2]对账明细接口!$H$117=0,"",[2]对账明细接口!$H$117),"")</f>
        <v>423</v>
      </c>
      <c r="I117" s="16" t="str">
        <f>IFERROR(IF([2]对账明细接口!$I$117=0,"",[2]对账明细接口!$I$117),"")</f>
        <v>个</v>
      </c>
      <c r="J117" s="177">
        <f>IFERROR(IF([2]对账明细接口!$J$117=0,"",[2]对账明细接口!$J$117),"")</f>
      </c>
      <c r="K117" s="177">
        <f>IFERROR(IF([2]对账明细接口!$K$117=0,"",[2]对账明细接口!$K$117),"")</f>
      </c>
      <c r="L117" s="16">
        <f>IFERROR(IF([2]对账明细接口!$L$117=0,"",[2]对账明细接口!$L$117),"")</f>
      </c>
      <c r="M117" s="16">
        <f>IFERROR(IF([2]对账明细接口!$M$117=0,"",[2]对账明细接口!$M$117),"")</f>
      </c>
      <c r="N117" s="19">
        <f>IF($C117="",0,1)</f>
        <v>1</v>
      </c>
      <c r="O117" s="19">
        <f>N(O116)+$N117</f>
        <v>114</v>
      </c>
      <c r="S117" s="20" t="str">
        <f>IFERROR(IF([2]对账明细接口!$N117=0,"",[2]对账明细接口!$N117),"")</f>
        <v>公司一次性筐</v>
      </c>
      <c r="T117" s="212">
        <f>IFERROR(IF([2]对账明细接口!$O117=0,"",[2]对账明细接口!$O117),"")</f>
        <v>423</v>
      </c>
      <c r="U117" s="212">
        <f>IFERROR(IF([2]对账明细接口!$P117=0,"",[2]对账明细接口!$P117),"")</f>
      </c>
      <c r="V117" s="212">
        <f>IFERROR(IF([2]对账明细接口!$Q117=0,"",[2]对账明细接口!$Q117),"")</f>
      </c>
      <c r="W117" s="20" t="str">
        <f>IFERROR(IF([2]对账明细接口!$R117=0,"",[2]对账明细接口!$R117),"")</f>
        <v>豫L*88X19</v>
      </c>
      <c r="X117" s="20" t="str">
        <f>IFERROR(IF([2]对账明细接口!$S117=0,"",[2]对账明细接口!$S117),"")</f>
        <v>公司筐</v>
      </c>
      <c r="Y117" s="20">
        <f>""</f>
      </c>
      <c r="Z117" s="20">
        <f>""</f>
      </c>
      <c r="AA117" s="20">
        <f>""</f>
      </c>
      <c r="AB117" s="20">
        <f>""</f>
      </c>
    </row>
    <row r="118" s="127">
      <c r="A118" s="14" t="n">
        <v>118</v>
      </c>
      <c r="B118" s="211">
        <f>IFERROR(IF([2]对账明细接口!$B$118=0,"",[2]对账明细接口!$B$118),"")</f>
        <v>46274.0</v>
      </c>
      <c r="C118" s="16" t="str">
        <f>IFERROR(IF([2]对账明细接口!$C$118=0,"",[2]对账明细接口!$C$118),"")</f>
        <v>吐尔逊</v>
      </c>
      <c r="D118" s="16" t="str">
        <f>IFERROR(IF([2]对账明细接口!$D$118=0,"",[2]对账明细接口!$D$118),"")</f>
        <v>周转筐－领用出库</v>
      </c>
      <c r="E118" s="16" t="str">
        <f>IFERROR(IF([2]对账明细接口!$E$118=0,"",[2]对账明细接口!$E$118),"")</f>
        <v>NO:0001099</v>
      </c>
      <c r="F118" s="16" t="str">
        <f>IFERROR(IF([2]对账明细接口!$F$118=0,"",[2]对账明细接口!$F$118),"")</f>
        <v>公司一次性筐</v>
      </c>
      <c r="G118" s="16">
        <f>IFERROR(IF([2]对账明细接口!$G$118=0,"",[2]对账明细接口!$G$118),"")</f>
      </c>
      <c r="H118" s="176">
        <f>IFERROR(IF([2]对账明细接口!$H$118=0,"",[2]对账明细接口!$H$118),"")</f>
        <v>1008</v>
      </c>
      <c r="I118" s="16" t="str">
        <f>IFERROR(IF([2]对账明细接口!$I$118=0,"",[2]对账明细接口!$I$118),"")</f>
        <v>个</v>
      </c>
      <c r="J118" s="177">
        <f>IFERROR(IF([2]对账明细接口!$J$118=0,"",[2]对账明细接口!$J$118),"")</f>
      </c>
      <c r="K118" s="177">
        <f>IFERROR(IF([2]对账明细接口!$K$118=0,"",[2]对账明细接口!$K$118),"")</f>
      </c>
      <c r="L118" s="16">
        <f>IFERROR(IF([2]对账明细接口!$L$118=0,"",[2]对账明细接口!$L$118),"")</f>
      </c>
      <c r="M118" s="16">
        <f>IFERROR(IF([2]对账明细接口!$M$118=0,"",[2]对账明细接口!$M$118),"")</f>
      </c>
      <c r="N118" s="19">
        <f>IF($C118="",0,1)</f>
        <v>1</v>
      </c>
      <c r="O118" s="19">
        <f>N(O117)+$N118</f>
        <v>115</v>
      </c>
      <c r="S118" s="20" t="str">
        <f>IFERROR(IF([2]对账明细接口!$N118=0,"",[2]对账明细接口!$N118),"")</f>
        <v>公司一次性筐</v>
      </c>
      <c r="T118" s="212">
        <f>IFERROR(IF([2]对账明细接口!$O118=0,"",[2]对账明细接口!$O118),"")</f>
        <v>1008</v>
      </c>
      <c r="U118" s="212">
        <f>IFERROR(IF([2]对账明细接口!$P118=0,"",[2]对账明细接口!$P118),"")</f>
      </c>
      <c r="V118" s="212">
        <f>IFERROR(IF([2]对账明细接口!$Q118=0,"",[2]对账明细接口!$Q118),"")</f>
      </c>
      <c r="W118" s="20" t="str">
        <f>IFERROR(IF([2]对账明细接口!$R118=0,"",[2]对账明细接口!$R118),"")</f>
        <v>新M*87613</v>
      </c>
      <c r="X118" s="20" t="str">
        <f>IFERROR(IF([2]对账明细接口!$S118=0,"",[2]对账明细接口!$S118),"")</f>
        <v>公司筐</v>
      </c>
      <c r="Y118" s="20">
        <f>""</f>
      </c>
      <c r="Z118" s="20">
        <f>""</f>
      </c>
      <c r="AA118" s="20">
        <f>""</f>
      </c>
      <c r="AB118" s="20">
        <f>""</f>
      </c>
    </row>
    <row r="119" s="127">
      <c r="A119" s="14" t="n">
        <v>119</v>
      </c>
      <c r="B119" s="211">
        <f>IFERROR(IF([2]对账明细接口!$B$119=0,"",[2]对账明细接口!$B$119),"")</f>
        <v>46274.0</v>
      </c>
      <c r="C119" s="16" t="str">
        <f>IFERROR(IF([2]对账明细接口!$C$119=0,"",[2]对账明细接口!$C$119),"")</f>
        <v>全修塑业</v>
      </c>
      <c r="D119" s="16" t="str">
        <f>IFERROR(IF([2]对账明细接口!$D$119=0,"",[2]对账明细接口!$D$119),"")</f>
        <v>周转筐－采购入库</v>
      </c>
      <c r="E119" s="16" t="str">
        <f>IFERROR(IF([2]对账明细接口!$E$119=0,"",[2]对账明细接口!$E$119),"")</f>
        <v>NO:0000763</v>
      </c>
      <c r="F119" s="16" t="str">
        <f>IFERROR(IF([2]对账明细接口!$F$119=0,"",[2]对账明细接口!$F$119),"")</f>
        <v>公司红周转筐</v>
      </c>
      <c r="G119" s="16">
        <f>IFERROR(IF([2]对账明细接口!$G$119=0,"",[2]对账明细接口!$G$119),"")</f>
      </c>
      <c r="H119" s="176">
        <f>IFERROR(IF([2]对账明细接口!$H$119=0,"",[2]对账明细接口!$H$119),"")</f>
        <v>378</v>
      </c>
      <c r="I119" s="16" t="str">
        <f>IFERROR(IF([2]对账明细接口!$I$119=0,"",[2]对账明细接口!$I$119),"")</f>
        <v>个</v>
      </c>
      <c r="J119" s="177">
        <f>IFERROR(IF([2]对账明细接口!$J$119=0,"",[2]对账明细接口!$J$119),"")</f>
      </c>
      <c r="K119" s="177">
        <f>IFERROR(IF([2]对账明细接口!$K$119=0,"",[2]对账明细接口!$K$119),"")</f>
        <v>3780</v>
      </c>
      <c r="L119" s="16" t="str">
        <f>IFERROR(IF([2]对账明细接口!$L$119=0,"",[2]对账明细接口!$L$119),"")</f>
        <v>未付款</v>
      </c>
      <c r="M119" s="16" t="str">
        <f>IFERROR(IF([2]对账明细接口!$M$119=0,"",[2]对账明细接口!$M$119),"")</f>
        <v>NO:2745254</v>
      </c>
      <c r="N119" s="19">
        <f>IF($C119="",0,1)</f>
        <v>1</v>
      </c>
      <c r="O119" s="19">
        <f>N(O118)+$N119</f>
        <v>116</v>
      </c>
      <c r="S119" s="20" t="str">
        <f>IFERROR(IF([2]对账明细接口!$N119=0,"",[2]对账明细接口!$N119),"")</f>
        <v>公司红周转筐</v>
      </c>
      <c r="T119" s="212">
        <f>IFERROR(IF([2]对账明细接口!$O119=0,"",[2]对账明细接口!$O119),"")</f>
      </c>
      <c r="U119" s="212">
        <f>IFERROR(IF([2]对账明细接口!$P119=0,"",[2]对账明细接口!$P119),"")</f>
      </c>
      <c r="V119" s="212">
        <f>IFERROR(IF([2]对账明细接口!$Q119=0,"",[2]对账明细接口!$Q119),"")</f>
        <v>378</v>
      </c>
      <c r="W119" s="20" t="str">
        <f>IFERROR(IF([2]对账明细接口!$R119=0,"",[2]对账明细接口!$R119),"")</f>
        <v>新N*X8S48</v>
      </c>
      <c r="X119" s="20" t="str">
        <f>IFERROR(IF([2]对账明细接口!$S119=0,"",[2]对账明细接口!$S119),"")</f>
        <v>公司筐</v>
      </c>
      <c r="Y119" s="20">
        <f>""</f>
      </c>
      <c r="Z119" s="20">
        <f>""</f>
      </c>
      <c r="AA119" s="20">
        <f>""</f>
      </c>
      <c r="AB119" s="20">
        <f>""</f>
      </c>
    </row>
    <row r="120" s="127">
      <c r="A120" s="14" t="n">
        <v>120</v>
      </c>
      <c r="B120" s="211">
        <f>IFERROR(IF([2]对账明细接口!$B$120=0,"",[2]对账明细接口!$B$120),"")</f>
        <v>46274.0</v>
      </c>
      <c r="C120" s="16" t="str">
        <f>IFERROR(IF([2]对账明细接口!$C$120=0,"",[2]对账明细接口!$C$120),"")</f>
        <v>全修塑业</v>
      </c>
      <c r="D120" s="16" t="str">
        <f>IFERROR(IF([2]对账明细接口!$D$120=0,"",[2]对账明细接口!$D$120),"")</f>
        <v>周转筐－采购入库</v>
      </c>
      <c r="E120" s="16" t="str">
        <f>IFERROR(IF([2]对账明细接口!$E$120=0,"",[2]对账明细接口!$E$120),"")</f>
        <v>NO:0000765</v>
      </c>
      <c r="F120" s="16" t="str">
        <f>IFERROR(IF([2]对账明细接口!$F$120=0,"",[2]对账明细接口!$F$120),"")</f>
        <v>公司红周转筐</v>
      </c>
      <c r="G120" s="16">
        <f>IFERROR(IF([2]对账明细接口!$G$120=0,"",[2]对账明细接口!$G$120),"")</f>
      </c>
      <c r="H120" s="176">
        <f>IFERROR(IF([2]对账明细接口!$H$120=0,"",[2]对账明细接口!$H$120),"")</f>
        <v>759</v>
      </c>
      <c r="I120" s="16" t="str">
        <f>IFERROR(IF([2]对账明细接口!$I$120=0,"",[2]对账明细接口!$I$120),"")</f>
        <v>个</v>
      </c>
      <c r="J120" s="177">
        <f>IFERROR(IF([2]对账明细接口!$J$120=0,"",[2]对账明细接口!$J$120),"")</f>
      </c>
      <c r="K120" s="177">
        <f>IFERROR(IF([2]对账明细接口!$K$120=0,"",[2]对账明细接口!$K$120),"")</f>
        <v>7590</v>
      </c>
      <c r="L120" s="16" t="str">
        <f>IFERROR(IF([2]对账明细接口!$L$120=0,"",[2]对账明细接口!$L$120),"")</f>
        <v>未付款</v>
      </c>
      <c r="M120" s="16" t="str">
        <f>IFERROR(IF([2]对账明细接口!$M$120=0,"",[2]对账明细接口!$M$120),"")</f>
        <v>NO:0017201</v>
      </c>
      <c r="N120" s="19">
        <f>IF($C120="",0,1)</f>
        <v>1</v>
      </c>
      <c r="O120" s="19">
        <f>N(O119)+$N120</f>
        <v>117</v>
      </c>
      <c r="S120" s="20" t="str">
        <f>IFERROR(IF([2]对账明细接口!$N120=0,"",[2]对账明细接口!$N120),"")</f>
        <v>公司红周转筐</v>
      </c>
      <c r="T120" s="212">
        <f>IFERROR(IF([2]对账明细接口!$O120=0,"",[2]对账明细接口!$O120),"")</f>
      </c>
      <c r="U120" s="212">
        <f>IFERROR(IF([2]对账明细接口!$P120=0,"",[2]对账明细接口!$P120),"")</f>
      </c>
      <c r="V120" s="212">
        <f>IFERROR(IF([2]对账明细接口!$Q120=0,"",[2]对账明细接口!$Q120),"")</f>
        <v>759</v>
      </c>
      <c r="W120" s="20" t="str">
        <f>IFERROR(IF([2]对账明细接口!$R120=0,"",[2]对账明细接口!$R120),"")</f>
        <v>豫A*2737K</v>
      </c>
      <c r="X120" s="20" t="str">
        <f>IFERROR(IF([2]对账明细接口!$S120=0,"",[2]对账明细接口!$S120),"")</f>
        <v>公司筐</v>
      </c>
      <c r="Y120" s="20">
        <f>""</f>
      </c>
      <c r="Z120" s="20">
        <f>""</f>
      </c>
      <c r="AA120" s="20">
        <f>""</f>
      </c>
      <c r="AB120" s="20">
        <f>""</f>
      </c>
    </row>
    <row r="121" s="127">
      <c r="A121" s="14" t="n">
        <v>121</v>
      </c>
      <c r="B121" s="211">
        <f>IFERROR(IF([2]对账明细接口!$B$121=0,"",[2]对账明细接口!$B$121),"")</f>
        <v>46274.0</v>
      </c>
      <c r="C121" s="16" t="str">
        <f>IFERROR(IF([2]对账明细接口!$C$121=0,"",[2]对账明细接口!$C$121),"")</f>
        <v>全修塑业</v>
      </c>
      <c r="D121" s="16" t="str">
        <f>IFERROR(IF([2]对账明细接口!$D$121=0,"",[2]对账明细接口!$D$121),"")</f>
        <v>周转筐－采购入库</v>
      </c>
      <c r="E121" s="16" t="str">
        <f>IFERROR(IF([2]对账明细接口!$E$121=0,"",[2]对账明细接口!$E$121),"")</f>
        <v>NO:0000766</v>
      </c>
      <c r="F121" s="16" t="str">
        <f>IFERROR(IF([2]对账明细接口!$F$121=0,"",[2]对账明细接口!$F$121),"")</f>
        <v>公司红周转筐</v>
      </c>
      <c r="G121" s="16">
        <f>IFERROR(IF([2]对账明细接口!$G$121=0,"",[2]对账明细接口!$G$121),"")</f>
      </c>
      <c r="H121" s="176">
        <f>IFERROR(IF([2]对账明细接口!$H$121=0,"",[2]对账明细接口!$H$121),"")</f>
        <v>846</v>
      </c>
      <c r="I121" s="16" t="str">
        <f>IFERROR(IF([2]对账明细接口!$I$121=0,"",[2]对账明细接口!$I$121),"")</f>
        <v>个</v>
      </c>
      <c r="J121" s="177">
        <f>IFERROR(IF([2]对账明细接口!$J$121=0,"",[2]对账明细接口!$J$121),"")</f>
      </c>
      <c r="K121" s="177">
        <f>IFERROR(IF([2]对账明细接口!$K$121=0,"",[2]对账明细接口!$K$121),"")</f>
        <v>8460</v>
      </c>
      <c r="L121" s="16" t="str">
        <f>IFERROR(IF([2]对账明细接口!$L$121=0,"",[2]对账明细接口!$L$121),"")</f>
        <v>未付款</v>
      </c>
      <c r="M121" s="16" t="str">
        <f>IFERROR(IF([2]对账明细接口!$M$121=0,"",[2]对账明细接口!$M$121),"")</f>
        <v>NO:0017203</v>
      </c>
      <c r="N121" s="19">
        <f>IF($C121="",0,1)</f>
        <v>1</v>
      </c>
      <c r="O121" s="19">
        <f>N(O120)+$N121</f>
        <v>118</v>
      </c>
      <c r="S121" s="20" t="str">
        <f>IFERROR(IF([2]对账明细接口!$N121=0,"",[2]对账明细接口!$N121),"")</f>
        <v>公司红周转筐</v>
      </c>
      <c r="T121" s="212">
        <f>IFERROR(IF([2]对账明细接口!$O121=0,"",[2]对账明细接口!$O121),"")</f>
      </c>
      <c r="U121" s="212">
        <f>IFERROR(IF([2]对账明细接口!$P121=0,"",[2]对账明细接口!$P121),"")</f>
      </c>
      <c r="V121" s="212">
        <f>IFERROR(IF([2]对账明细接口!$Q121=0,"",[2]对账明细接口!$Q121),"")</f>
        <v>846</v>
      </c>
      <c r="W121" s="20" t="str">
        <f>IFERROR(IF([2]对账明细接口!$R121=0,"",[2]对账明细接口!$R121),"")</f>
        <v>新A*G0554</v>
      </c>
      <c r="X121" s="20" t="str">
        <f>IFERROR(IF([2]对账明细接口!$S121=0,"",[2]对账明细接口!$S121),"")</f>
        <v>公司筐</v>
      </c>
      <c r="Y121" s="20">
        <f>""</f>
      </c>
      <c r="Z121" s="20">
        <f>""</f>
      </c>
      <c r="AA121" s="20">
        <f>""</f>
      </c>
      <c r="AB121" s="20">
        <f>""</f>
      </c>
    </row>
    <row r="122" s="127">
      <c r="A122" s="14" t="n">
        <v>122</v>
      </c>
      <c r="B122" s="211">
        <f>IFERROR(IF([2]对账明细接口!$B$122=0,"",[2]对账明细接口!$B$122),"")</f>
        <v>46274.0</v>
      </c>
      <c r="C122" s="16" t="str">
        <f>IFERROR(IF([2]对账明细接口!$C$122=0,"",[2]对账明细接口!$C$122),"")</f>
        <v>吐尔洪</v>
      </c>
      <c r="D122" s="16" t="str">
        <f>IFERROR(IF([2]对账明细接口!$D$122=0,"",[2]对账明细接口!$D$122),"")</f>
        <v>周转筐－领用出库</v>
      </c>
      <c r="E122" s="16" t="str">
        <f>IFERROR(IF([2]对账明细接口!$E$122=0,"",[2]对账明细接口!$E$122),"")</f>
        <v>NO:0001102</v>
      </c>
      <c r="F122" s="16" t="str">
        <f>IFERROR(IF([2]对账明细接口!$F$122=0,"",[2]对账明细接口!$F$122),"")</f>
        <v>公司红周转筐</v>
      </c>
      <c r="G122" s="16">
        <f>IFERROR(IF([2]对账明细接口!$G$122=0,"",[2]对账明细接口!$G$122),"")</f>
      </c>
      <c r="H122" s="176">
        <f>IFERROR(IF([2]对账明细接口!$H$122=0,"",[2]对账明细接口!$H$122),"")</f>
        <v>378</v>
      </c>
      <c r="I122" s="16" t="str">
        <f>IFERROR(IF([2]对账明细接口!$I$122=0,"",[2]对账明细接口!$I$122),"")</f>
        <v>个</v>
      </c>
      <c r="J122" s="177">
        <f>IFERROR(IF([2]对账明细接口!$J$122=0,"",[2]对账明细接口!$J$122),"")</f>
      </c>
      <c r="K122" s="177">
        <f>IFERROR(IF([2]对账明细接口!$K$122=0,"",[2]对账明细接口!$K$122),"")</f>
      </c>
      <c r="L122" s="16">
        <f>IFERROR(IF([2]对账明细接口!$L$122=0,"",[2]对账明细接口!$L$122),"")</f>
      </c>
      <c r="M122" s="16">
        <f>IFERROR(IF([2]对账明细接口!$M$122=0,"",[2]对账明细接口!$M$122),"")</f>
      </c>
      <c r="N122" s="19">
        <f>IF($C122="",0,1)</f>
        <v>1</v>
      </c>
      <c r="O122" s="19">
        <f>N(O121)+$N122</f>
        <v>119</v>
      </c>
      <c r="S122" s="20" t="str">
        <f>IFERROR(IF([2]对账明细接口!$N122=0,"",[2]对账明细接口!$N122),"")</f>
        <v>公司红周转筐</v>
      </c>
      <c r="T122" s="212">
        <f>IFERROR(IF([2]对账明细接口!$O122=0,"",[2]对账明细接口!$O122),"")</f>
        <v>378</v>
      </c>
      <c r="U122" s="212">
        <f>IFERROR(IF([2]对账明细接口!$P122=0,"",[2]对账明细接口!$P122),"")</f>
      </c>
      <c r="V122" s="212">
        <f>IFERROR(IF([2]对账明细接口!$Q122=0,"",[2]对账明细接口!$Q122),"")</f>
      </c>
      <c r="W122" s="20" t="str">
        <f>IFERROR(IF([2]对账明细接口!$R122=0,"",[2]对账明细接口!$R122),"")</f>
        <v>新N*X8S48</v>
      </c>
      <c r="X122" s="20" t="str">
        <f>IFERROR(IF([2]对账明细接口!$S122=0,"",[2]对账明细接口!$S122),"")</f>
        <v>公司筐</v>
      </c>
      <c r="Y122" s="20">
        <f>""</f>
      </c>
      <c r="Z122" s="20">
        <f>""</f>
      </c>
      <c r="AA122" s="20">
        <f>""</f>
      </c>
      <c r="AB122" s="20">
        <f>""</f>
      </c>
    </row>
    <row r="123" s="127">
      <c r="A123" s="14" t="n">
        <v>123</v>
      </c>
      <c r="B123" s="211">
        <f>IFERROR(IF([2]对账明细接口!$B$123=0,"",[2]对账明细接口!$B$123),"")</f>
        <v>46274.0</v>
      </c>
      <c r="C123" s="16" t="str">
        <f>IFERROR(IF([2]对账明细接口!$C$123=0,"",[2]对账明细接口!$C$123),"")</f>
        <v>荆建君</v>
      </c>
      <c r="D123" s="16" t="str">
        <f>IFERROR(IF([2]对账明细接口!$D$123=0,"",[2]对账明细接口!$D$123),"")</f>
        <v>周转筐－领用出库</v>
      </c>
      <c r="E123" s="16" t="str">
        <f>IFERROR(IF([2]对账明细接口!$E$123=0,"",[2]对账明细接口!$E$123),"")</f>
        <v>NO:0001105</v>
      </c>
      <c r="F123" s="16" t="str">
        <f>IFERROR(IF([2]对账明细接口!$F$123=0,"",[2]对账明细接口!$F$123),"")</f>
        <v>公司红周转筐</v>
      </c>
      <c r="G123" s="16">
        <f>IFERROR(IF([2]对账明细接口!$G$123=0,"",[2]对账明细接口!$G$123),"")</f>
      </c>
      <c r="H123" s="176">
        <f>IFERROR(IF([2]对账明细接口!$H$123=0,"",[2]对账明细接口!$H$123),"")</f>
        <v>759</v>
      </c>
      <c r="I123" s="16" t="str">
        <f>IFERROR(IF([2]对账明细接口!$I$123=0,"",[2]对账明细接口!$I$123),"")</f>
        <v>个</v>
      </c>
      <c r="J123" s="177">
        <f>IFERROR(IF([2]对账明细接口!$J$123=0,"",[2]对账明细接口!$J$123),"")</f>
      </c>
      <c r="K123" s="177">
        <f>IFERROR(IF([2]对账明细接口!$K$123=0,"",[2]对账明细接口!$K$123),"")</f>
      </c>
      <c r="L123" s="16">
        <f>IFERROR(IF([2]对账明细接口!$L$123=0,"",[2]对账明细接口!$L$123),"")</f>
      </c>
      <c r="M123" s="16">
        <f>IFERROR(IF([2]对账明细接口!$M$123=0,"",[2]对账明细接口!$M$123),"")</f>
      </c>
      <c r="N123" s="19">
        <f>IF($C123="",0,1)</f>
        <v>1</v>
      </c>
      <c r="O123" s="19">
        <f>N(O122)+$N123</f>
        <v>120</v>
      </c>
      <c r="S123" s="20" t="str">
        <f>IFERROR(IF([2]对账明细接口!$N123=0,"",[2]对账明细接口!$N123),"")</f>
        <v>公司红周转筐</v>
      </c>
      <c r="T123" s="212">
        <f>IFERROR(IF([2]对账明细接口!$O123=0,"",[2]对账明细接口!$O123),"")</f>
        <v>759</v>
      </c>
      <c r="U123" s="212">
        <f>IFERROR(IF([2]对账明细接口!$P123=0,"",[2]对账明细接口!$P123),"")</f>
      </c>
      <c r="V123" s="212">
        <f>IFERROR(IF([2]对账明细接口!$Q123=0,"",[2]对账明细接口!$Q123),"")</f>
      </c>
      <c r="W123" s="20" t="str">
        <f>IFERROR(IF([2]对账明细接口!$R123=0,"",[2]对账明细接口!$R123),"")</f>
        <v>豫A*2737K</v>
      </c>
      <c r="X123" s="20" t="str">
        <f>IFERROR(IF([2]对账明细接口!$S123=0,"",[2]对账明细接口!$S123),"")</f>
        <v>公司筐</v>
      </c>
      <c r="Y123" s="20">
        <f>""</f>
      </c>
      <c r="Z123" s="20">
        <f>""</f>
      </c>
      <c r="AA123" s="20">
        <f>""</f>
      </c>
      <c r="AB123" s="20">
        <f>""</f>
      </c>
    </row>
    <row r="124" s="127">
      <c r="A124" s="14" t="n">
        <v>124</v>
      </c>
      <c r="B124" s="211">
        <f>IFERROR(IF([2]对账明细接口!$B$124=0,"",[2]对账明细接口!$B$124),"")</f>
        <v>46274.0</v>
      </c>
      <c r="C124" s="16" t="str">
        <f>IFERROR(IF([2]对账明细接口!$C$124=0,"",[2]对账明细接口!$C$124),"")</f>
        <v>麦麦提</v>
      </c>
      <c r="D124" s="16" t="str">
        <f>IFERROR(IF([2]对账明细接口!$D$124=0,"",[2]对账明细接口!$D$124),"")</f>
        <v>周转筐－领用出库</v>
      </c>
      <c r="E124" s="16" t="str">
        <f>IFERROR(IF([2]对账明细接口!$E$124=0,"",[2]对账明细接口!$E$124),"")</f>
        <v>NO:0001106</v>
      </c>
      <c r="F124" s="16" t="str">
        <f>IFERROR(IF([2]对账明细接口!$F$124=0,"",[2]对账明细接口!$F$124),"")</f>
        <v>公司红周转筐</v>
      </c>
      <c r="G124" s="16">
        <f>IFERROR(IF([2]对账明细接口!$G$124=0,"",[2]对账明细接口!$G$124),"")</f>
      </c>
      <c r="H124" s="176">
        <f>IFERROR(IF([2]对账明细接口!$H$124=0,"",[2]对账明细接口!$H$124),"")</f>
        <v>846</v>
      </c>
      <c r="I124" s="16" t="str">
        <f>IFERROR(IF([2]对账明细接口!$I$124=0,"",[2]对账明细接口!$I$124),"")</f>
        <v>个</v>
      </c>
      <c r="J124" s="177">
        <f>IFERROR(IF([2]对账明细接口!$J$124=0,"",[2]对账明细接口!$J$124),"")</f>
      </c>
      <c r="K124" s="177">
        <f>IFERROR(IF([2]对账明细接口!$K$124=0,"",[2]对账明细接口!$K$124),"")</f>
      </c>
      <c r="L124" s="16">
        <f>IFERROR(IF([2]对账明细接口!$L$124=0,"",[2]对账明细接口!$L$124),"")</f>
      </c>
      <c r="M124" s="16">
        <f>IFERROR(IF([2]对账明细接口!$M$124=0,"",[2]对账明细接口!$M$124),"")</f>
      </c>
      <c r="N124" s="19">
        <f>IF($C124="",0,1)</f>
        <v>1</v>
      </c>
      <c r="O124" s="19">
        <f>N(O123)+$N124</f>
        <v>121</v>
      </c>
      <c r="S124" s="20" t="str">
        <f>IFERROR(IF([2]对账明细接口!$N124=0,"",[2]对账明细接口!$N124),"")</f>
        <v>公司红周转筐</v>
      </c>
      <c r="T124" s="212">
        <f>IFERROR(IF([2]对账明细接口!$O124=0,"",[2]对账明细接口!$O124),"")</f>
        <v>846</v>
      </c>
      <c r="U124" s="212">
        <f>IFERROR(IF([2]对账明细接口!$P124=0,"",[2]对账明细接口!$P124),"")</f>
      </c>
      <c r="V124" s="212">
        <f>IFERROR(IF([2]对账明细接口!$Q124=0,"",[2]对账明细接口!$Q124),"")</f>
      </c>
      <c r="W124" s="20" t="str">
        <f>IFERROR(IF([2]对账明细接口!$R124=0,"",[2]对账明细接口!$R124),"")</f>
        <v>新A*G0554</v>
      </c>
      <c r="X124" s="20" t="str">
        <f>IFERROR(IF([2]对账明细接口!$S124=0,"",[2]对账明细接口!$S124),"")</f>
        <v>公司筐</v>
      </c>
      <c r="Y124" s="20">
        <f>""</f>
      </c>
      <c r="Z124" s="20">
        <f>""</f>
      </c>
      <c r="AA124" s="20">
        <f>""</f>
      </c>
      <c r="AB124" s="20">
        <f>""</f>
      </c>
    </row>
    <row r="125" s="127">
      <c r="A125" s="14" t="n">
        <v>125</v>
      </c>
      <c r="B125" s="211">
        <f>IFERROR(IF([2]对账明细接口!$B$125=0,"",[2]对账明细接口!$B$125),"")</f>
        <v>46275.0</v>
      </c>
      <c r="C125" s="16" t="str">
        <f>IFERROR(IF([2]对账明细接口!$C$125=0,"",[2]对账明细接口!$C$125),"")</f>
        <v>王照雪</v>
      </c>
      <c r="D125" s="16" t="str">
        <f>IFERROR(IF([2]对账明细接口!$D$125=0,"",[2]对账明细接口!$D$125),"")</f>
        <v>周转筐－领用出库</v>
      </c>
      <c r="E125" s="16" t="str">
        <f>IFERROR(IF([2]对账明细接口!$E$125=0,"",[2]对账明细接口!$E$125),"")</f>
        <v>NO:0001107</v>
      </c>
      <c r="F125" s="16" t="str">
        <f>IFERROR(IF([2]对账明细接口!$F$125=0,"",[2]对账明细接口!$F$125),"")</f>
        <v>公司一次性筐</v>
      </c>
      <c r="G125" s="16">
        <f>IFERROR(IF([2]对账明细接口!$G$125=0,"",[2]对账明细接口!$G$125),"")</f>
      </c>
      <c r="H125" s="176">
        <f>IFERROR(IF([2]对账明细接口!$H$125=0,"",[2]对账明细接口!$H$125),"")</f>
        <v>423</v>
      </c>
      <c r="I125" s="16" t="str">
        <f>IFERROR(IF([2]对账明细接口!$I$125=0,"",[2]对账明细接口!$I$125),"")</f>
        <v>个</v>
      </c>
      <c r="J125" s="177">
        <f>IFERROR(IF([2]对账明细接口!$J$125=0,"",[2]对账明细接口!$J$125),"")</f>
      </c>
      <c r="K125" s="177">
        <f>IFERROR(IF([2]对账明细接口!$K$125=0,"",[2]对账明细接口!$K$125),"")</f>
      </c>
      <c r="L125" s="16">
        <f>IFERROR(IF([2]对账明细接口!$L$125=0,"",[2]对账明细接口!$L$125),"")</f>
      </c>
      <c r="M125" s="16">
        <f>IFERROR(IF([2]对账明细接口!$M$125=0,"",[2]对账明细接口!$M$125),"")</f>
      </c>
      <c r="N125" s="19">
        <f>IF($C125="",0,1)</f>
        <v>1</v>
      </c>
      <c r="O125" s="19">
        <f>N(O124)+$N125</f>
        <v>122</v>
      </c>
      <c r="S125" s="20" t="str">
        <f>IFERROR(IF([2]对账明细接口!$N125=0,"",[2]对账明细接口!$N125),"")</f>
        <v>公司一次性筐</v>
      </c>
      <c r="T125" s="212">
        <f>IFERROR(IF([2]对账明细接口!$O125=0,"",[2]对账明细接口!$O125),"")</f>
        <v>423</v>
      </c>
      <c r="U125" s="212">
        <f>IFERROR(IF([2]对账明细接口!$P125=0,"",[2]对账明细接口!$P125),"")</f>
      </c>
      <c r="V125" s="212">
        <f>IFERROR(IF([2]对账明细接口!$Q125=0,"",[2]对账明细接口!$Q125),"")</f>
      </c>
      <c r="W125" s="20" t="str">
        <f>IFERROR(IF([2]对账明细接口!$R125=0,"",[2]对账明细接口!$R125),"")</f>
        <v>豫L*88X19</v>
      </c>
      <c r="X125" s="20" t="str">
        <f>IFERROR(IF([2]对账明细接口!$S125=0,"",[2]对账明细接口!$S125),"")</f>
        <v>公司筐</v>
      </c>
      <c r="Y125" s="20">
        <f>""</f>
      </c>
      <c r="Z125" s="20">
        <f>""</f>
      </c>
      <c r="AA125" s="20">
        <f>""</f>
      </c>
      <c r="AB125" s="20">
        <f>""</f>
      </c>
    </row>
    <row r="126" s="127">
      <c r="A126" s="14" t="n">
        <v>126</v>
      </c>
      <c r="B126" s="211">
        <f>IFERROR(IF([2]对账明细接口!$B$126=0,"",[2]对账明细接口!$B$126),"")</f>
        <v>46275.0</v>
      </c>
      <c r="C126" s="16" t="str">
        <f>IFERROR(IF([2]对账明细接口!$C$126=0,"",[2]对账明细接口!$C$126),"")</f>
        <v>全修塑业</v>
      </c>
      <c r="D126" s="16" t="str">
        <f>IFERROR(IF([2]对账明细接口!$D$126=0,"",[2]对账明细接口!$D$126),"")</f>
        <v>周转筐－采购入库</v>
      </c>
      <c r="E126" s="16" t="str">
        <f>IFERROR(IF([2]对账明细接口!$E$126=0,"",[2]对账明细接口!$E$126),"")</f>
        <v>NO:0000771</v>
      </c>
      <c r="F126" s="16" t="str">
        <f>IFERROR(IF([2]对账明细接口!$F$126=0,"",[2]对账明细接口!$F$126),"")</f>
        <v>公司红周转筐</v>
      </c>
      <c r="G126" s="16">
        <f>IFERROR(IF([2]对账明细接口!$G$126=0,"",[2]对账明细接口!$G$126),"")</f>
      </c>
      <c r="H126" s="176">
        <f>IFERROR(IF([2]对账明细接口!$H$126=0,"",[2]对账明细接口!$H$126),"")</f>
        <v>960</v>
      </c>
      <c r="I126" s="16" t="str">
        <f>IFERROR(IF([2]对账明细接口!$I$126=0,"",[2]对账明细接口!$I$126),"")</f>
        <v>个</v>
      </c>
      <c r="J126" s="177">
        <f>IFERROR(IF([2]对账明细接口!$J$126=0,"",[2]对账明细接口!$J$126),"")</f>
      </c>
      <c r="K126" s="177">
        <f>IFERROR(IF([2]对账明细接口!$K$126=0,"",[2]对账明细接口!$K$126),"")</f>
        <v>9600</v>
      </c>
      <c r="L126" s="16" t="str">
        <f>IFERROR(IF([2]对账明细接口!$L$126=0,"",[2]对账明细接口!$L$126),"")</f>
        <v>未付款</v>
      </c>
      <c r="M126" s="16" t="str">
        <f>IFERROR(IF([2]对账明细接口!$M$126=0,"",[2]对账明细接口!$M$126),"")</f>
        <v>NO:0017204</v>
      </c>
      <c r="N126" s="19">
        <f>IF($C126="",0,1)</f>
        <v>1</v>
      </c>
      <c r="O126" s="19">
        <f>N(O125)+$N126</f>
        <v>123</v>
      </c>
      <c r="S126" s="20" t="str">
        <f>IFERROR(IF([2]对账明细接口!$N126=0,"",[2]对账明细接口!$N126),"")</f>
        <v>公司红周转筐</v>
      </c>
      <c r="T126" s="212">
        <f>IFERROR(IF([2]对账明细接口!$O126=0,"",[2]对账明细接口!$O126),"")</f>
      </c>
      <c r="U126" s="212">
        <f>IFERROR(IF([2]对账明细接口!$P126=0,"",[2]对账明细接口!$P126),"")</f>
      </c>
      <c r="V126" s="212">
        <f>IFERROR(IF([2]对账明细接口!$Q126=0,"",[2]对账明细接口!$Q126),"")</f>
        <v>960</v>
      </c>
      <c r="W126" s="20" t="str">
        <f>IFERROR(IF([2]对账明细接口!$R126=0,"",[2]对账明细接口!$R126),"")</f>
        <v>新N*49209</v>
      </c>
      <c r="X126" s="20" t="str">
        <f>IFERROR(IF([2]对账明细接口!$S126=0,"",[2]对账明细接口!$S126),"")</f>
        <v>公司筐</v>
      </c>
      <c r="Y126" s="20">
        <f>""</f>
      </c>
      <c r="Z126" s="20">
        <f>""</f>
      </c>
      <c r="AA126" s="20">
        <f>""</f>
      </c>
      <c r="AB126" s="20">
        <f>""</f>
      </c>
    </row>
    <row r="127" s="127">
      <c r="A127" s="14" t="n">
        <v>127</v>
      </c>
      <c r="B127" s="211">
        <f>IFERROR(IF([2]对账明细接口!$B$127=0,"",[2]对账明细接口!$B$127),"")</f>
        <v>46275.0</v>
      </c>
      <c r="C127" s="16" t="str">
        <f>IFERROR(IF([2]对账明细接口!$C$127=0,"",[2]对账明细接口!$C$127),"")</f>
        <v>王灵云</v>
      </c>
      <c r="D127" s="16" t="str">
        <f>IFERROR(IF([2]对账明细接口!$D$127=0,"",[2]对账明细接口!$D$127),"")</f>
        <v>周转筐－领用出库</v>
      </c>
      <c r="E127" s="16" t="str">
        <f>IFERROR(IF([2]对账明细接口!$E$127=0,"",[2]对账明细接口!$E$127),"")</f>
        <v>NO:0001108</v>
      </c>
      <c r="F127" s="16" t="str">
        <f>IFERROR(IF([2]对账明细接口!$F$127=0,"",[2]对账明细接口!$F$127),"")</f>
        <v>公司红周转筐</v>
      </c>
      <c r="G127" s="16">
        <f>IFERROR(IF([2]对账明细接口!$G$127=0,"",[2]对账明细接口!$G$127),"")</f>
      </c>
      <c r="H127" s="176">
        <f>IFERROR(IF([2]对账明细接口!$H$127=0,"",[2]对账明细接口!$H$127),"")</f>
        <v>960</v>
      </c>
      <c r="I127" s="16" t="str">
        <f>IFERROR(IF([2]对账明细接口!$I$127=0,"",[2]对账明细接口!$I$127),"")</f>
        <v>个</v>
      </c>
      <c r="J127" s="177">
        <f>IFERROR(IF([2]对账明细接口!$J$127=0,"",[2]对账明细接口!$J$127),"")</f>
      </c>
      <c r="K127" s="177">
        <f>IFERROR(IF([2]对账明细接口!$K$127=0,"",[2]对账明细接口!$K$127),"")</f>
      </c>
      <c r="L127" s="16">
        <f>IFERROR(IF([2]对账明细接口!$L$127=0,"",[2]对账明细接口!$L$127),"")</f>
      </c>
      <c r="M127" s="16">
        <f>IFERROR(IF([2]对账明细接口!$M$127=0,"",[2]对账明细接口!$M$127),"")</f>
      </c>
      <c r="N127" s="19">
        <f>IF($C127="",0,1)</f>
        <v>1</v>
      </c>
      <c r="O127" s="19">
        <f>N(O126)+$N127</f>
        <v>124</v>
      </c>
      <c r="S127" s="20" t="str">
        <f>IFERROR(IF([2]对账明细接口!$N127=0,"",[2]对账明细接口!$N127),"")</f>
        <v>公司红周转筐</v>
      </c>
      <c r="T127" s="212">
        <f>IFERROR(IF([2]对账明细接口!$O127=0,"",[2]对账明细接口!$O127),"")</f>
        <v>960</v>
      </c>
      <c r="U127" s="212">
        <f>IFERROR(IF([2]对账明细接口!$P127=0,"",[2]对账明细接口!$P127),"")</f>
      </c>
      <c r="V127" s="212">
        <f>IFERROR(IF([2]对账明细接口!$Q127=0,"",[2]对账明细接口!$Q127),"")</f>
      </c>
      <c r="W127" s="20" t="str">
        <f>IFERROR(IF([2]对账明细接口!$R127=0,"",[2]对账明细接口!$R127),"")</f>
        <v>新N*49209</v>
      </c>
      <c r="X127" s="20" t="str">
        <f>IFERROR(IF([2]对账明细接口!$S127=0,"",[2]对账明细接口!$S127),"")</f>
        <v>公司筐</v>
      </c>
      <c r="Y127" s="20">
        <f>""</f>
      </c>
      <c r="Z127" s="20">
        <f>""</f>
      </c>
      <c r="AA127" s="20">
        <f>""</f>
      </c>
      <c r="AB127" s="20">
        <f>""</f>
      </c>
    </row>
    <row r="128" s="127">
      <c r="A128" s="14" t="n">
        <v>128</v>
      </c>
      <c r="B128" s="211">
        <f>IFERROR(IF([2]对账明细接口!$B$128=0,"",[2]对账明细接口!$B$128),"")</f>
        <v>46275.0</v>
      </c>
      <c r="C128" s="16" t="str">
        <f>IFERROR(IF([2]对账明细接口!$C$128=0,"",[2]对账明细接口!$C$128),"")</f>
        <v>全修塑业</v>
      </c>
      <c r="D128" s="16" t="str">
        <f>IFERROR(IF([2]对账明细接口!$D$128=0,"",[2]对账明细接口!$D$128),"")</f>
        <v>周转筐－采购入库</v>
      </c>
      <c r="E128" s="16" t="str">
        <f>IFERROR(IF([2]对账明细接口!$E$128=0,"",[2]对账明细接口!$E$128),"")</f>
        <v>NO:0000774</v>
      </c>
      <c r="F128" s="16" t="str">
        <f>IFERROR(IF([2]对账明细接口!$F$128=0,"",[2]对账明细接口!$F$128),"")</f>
        <v>公司红周转筐</v>
      </c>
      <c r="G128" s="16">
        <f>IFERROR(IF([2]对账明细接口!$G$128=0,"",[2]对账明细接口!$G$128),"")</f>
      </c>
      <c r="H128" s="176">
        <f>IFERROR(IF([2]对账明细接口!$H$128=0,"",[2]对账明细接口!$H$128),"")</f>
        <v>369</v>
      </c>
      <c r="I128" s="16" t="str">
        <f>IFERROR(IF([2]对账明细接口!$I$128=0,"",[2]对账明细接口!$I$128),"")</f>
        <v>个</v>
      </c>
      <c r="J128" s="177">
        <f>IFERROR(IF([2]对账明细接口!$J$128=0,"",[2]对账明细接口!$J$128),"")</f>
      </c>
      <c r="K128" s="177">
        <f>IFERROR(IF([2]对账明细接口!$K$128=0,"",[2]对账明细接口!$K$128),"")</f>
        <v>3690</v>
      </c>
      <c r="L128" s="16" t="str">
        <f>IFERROR(IF([2]对账明细接口!$L$128=0,"",[2]对账明细接口!$L$128),"")</f>
        <v>未付款</v>
      </c>
      <c r="M128" s="16" t="str">
        <f>IFERROR(IF([2]对账明细接口!$M$128=0,"",[2]对账明细接口!$M$128),"")</f>
        <v>NO:0017205</v>
      </c>
      <c r="N128" s="19">
        <f>IF($C128="",0,1)</f>
        <v>1</v>
      </c>
      <c r="O128" s="19">
        <f>N(O127)+$N128</f>
        <v>125</v>
      </c>
      <c r="S128" s="20" t="str">
        <f>IFERROR(IF([2]对账明细接口!$N128=0,"",[2]对账明细接口!$N128),"")</f>
        <v>公司红周转筐</v>
      </c>
      <c r="T128" s="212">
        <f>IFERROR(IF([2]对账明细接口!$O128=0,"",[2]对账明细接口!$O128),"")</f>
      </c>
      <c r="U128" s="212">
        <f>IFERROR(IF([2]对账明细接口!$P128=0,"",[2]对账明细接口!$P128),"")</f>
      </c>
      <c r="V128" s="212">
        <f>IFERROR(IF([2]对账明细接口!$Q128=0,"",[2]对账明细接口!$Q128),"")</f>
        <v>369</v>
      </c>
      <c r="W128" s="20" t="str">
        <f>IFERROR(IF([2]对账明细接口!$R128=0,"",[2]对账明细接口!$R128),"")</f>
        <v>新N*X8S48</v>
      </c>
      <c r="X128" s="20" t="str">
        <f>IFERROR(IF([2]对账明细接口!$S128=0,"",[2]对账明细接口!$S128),"")</f>
        <v>公司筐</v>
      </c>
      <c r="Y128" s="20">
        <f>""</f>
      </c>
      <c r="Z128" s="20">
        <f>""</f>
      </c>
      <c r="AA128" s="20">
        <f>""</f>
      </c>
      <c r="AB128" s="20">
        <f>""</f>
      </c>
    </row>
    <row r="129" s="127">
      <c r="A129" s="14" t="n">
        <v>129</v>
      </c>
      <c r="B129" s="211">
        <f>IFERROR(IF([2]对账明细接口!$B$129=0,"",[2]对账明细接口!$B$129),"")</f>
        <v>46275.0</v>
      </c>
      <c r="C129" s="16" t="str">
        <f>IFERROR(IF([2]对账明细接口!$C$129=0,"",[2]对账明细接口!$C$129),"")</f>
        <v>吐尔洪</v>
      </c>
      <c r="D129" s="16" t="str">
        <f>IFERROR(IF([2]对账明细接口!$D$129=0,"",[2]对账明细接口!$D$129),"")</f>
        <v>周转筐－领用出库</v>
      </c>
      <c r="E129" s="16" t="str">
        <f>IFERROR(IF([2]对账明细接口!$E$129=0,"",[2]对账明细接口!$E$129),"")</f>
        <v>NO:0001110</v>
      </c>
      <c r="F129" s="16" t="str">
        <f>IFERROR(IF([2]对账明细接口!$F$129=0,"",[2]对账明细接口!$F$129),"")</f>
        <v>公司红周转筐</v>
      </c>
      <c r="G129" s="16">
        <f>IFERROR(IF([2]对账明细接口!$G$129=0,"",[2]对账明细接口!$G$129),"")</f>
      </c>
      <c r="H129" s="176">
        <f>IFERROR(IF([2]对账明细接口!$H$129=0,"",[2]对账明细接口!$H$129),"")</f>
        <v>369</v>
      </c>
      <c r="I129" s="16" t="str">
        <f>IFERROR(IF([2]对账明细接口!$I$129=0,"",[2]对账明细接口!$I$129),"")</f>
        <v>个</v>
      </c>
      <c r="J129" s="177">
        <f>IFERROR(IF([2]对账明细接口!$J$129=0,"",[2]对账明细接口!$J$129),"")</f>
      </c>
      <c r="K129" s="177">
        <f>IFERROR(IF([2]对账明细接口!$K$129=0,"",[2]对账明细接口!$K$129),"")</f>
      </c>
      <c r="L129" s="16">
        <f>IFERROR(IF([2]对账明细接口!$L$129=0,"",[2]对账明细接口!$L$129),"")</f>
      </c>
      <c r="M129" s="16">
        <f>IFERROR(IF([2]对账明细接口!$M$129=0,"",[2]对账明细接口!$M$129),"")</f>
      </c>
      <c r="N129" s="19">
        <f>IF($C129="",0,1)</f>
        <v>1</v>
      </c>
      <c r="O129" s="19">
        <f>N(O128)+$N129</f>
        <v>126</v>
      </c>
      <c r="S129" s="20" t="str">
        <f>IFERROR(IF([2]对账明细接口!$N129=0,"",[2]对账明细接口!$N129),"")</f>
        <v>公司红周转筐</v>
      </c>
      <c r="T129" s="212">
        <f>IFERROR(IF([2]对账明细接口!$O129=0,"",[2]对账明细接口!$O129),"")</f>
        <v>369</v>
      </c>
      <c r="U129" s="212">
        <f>IFERROR(IF([2]对账明细接口!$P129=0,"",[2]对账明细接口!$P129),"")</f>
      </c>
      <c r="V129" s="212">
        <f>IFERROR(IF([2]对账明细接口!$Q129=0,"",[2]对账明细接口!$Q129),"")</f>
      </c>
      <c r="W129" s="20" t="str">
        <f>IFERROR(IF([2]对账明细接口!$R129=0,"",[2]对账明细接口!$R129),"")</f>
        <v>新N*X8S48</v>
      </c>
      <c r="X129" s="20" t="str">
        <f>IFERROR(IF([2]对账明细接口!$S129=0,"",[2]对账明细接口!$S129),"")</f>
        <v>公司筐</v>
      </c>
      <c r="Y129" s="20">
        <f>""</f>
      </c>
      <c r="Z129" s="20">
        <f>""</f>
      </c>
      <c r="AA129" s="20">
        <f>""</f>
      </c>
      <c r="AB129" s="20">
        <f>""</f>
      </c>
    </row>
    <row r="130" s="127">
      <c r="A130" s="14" t="n">
        <v>130</v>
      </c>
      <c r="B130" s="211">
        <f>IFERROR(IF([2]对账明细接口!$B$130=0,"",[2]对账明细接口!$B$130),"")</f>
        <v>46276.0</v>
      </c>
      <c r="C130" s="16" t="str">
        <f>IFERROR(IF([2]对账明细接口!$C$130=0,"",[2]对账明细接口!$C$130),"")</f>
        <v>全修塑业</v>
      </c>
      <c r="D130" s="16" t="str">
        <f>IFERROR(IF([2]对账明细接口!$D$130=0,"",[2]对账明细接口!$D$130),"")</f>
        <v>周转筐－采购入库</v>
      </c>
      <c r="E130" s="16" t="str">
        <f>IFERROR(IF([2]对账明细接口!$E$130=0,"",[2]对账明细接口!$E$130),"")</f>
        <v>NO:0000778</v>
      </c>
      <c r="F130" s="16" t="str">
        <f>IFERROR(IF([2]对账明细接口!$F$130=0,"",[2]对账明细接口!$F$130),"")</f>
        <v>公司红周转筐</v>
      </c>
      <c r="G130" s="16">
        <f>IFERROR(IF([2]对账明细接口!$G$130=0,"",[2]对账明细接口!$G$130),"")</f>
      </c>
      <c r="H130" s="176">
        <f>IFERROR(IF([2]对账明细接口!$H$130=0,"",[2]对账明细接口!$H$130),"")</f>
        <v>846</v>
      </c>
      <c r="I130" s="16" t="str">
        <f>IFERROR(IF([2]对账明细接口!$I$130=0,"",[2]对账明细接口!$I$130),"")</f>
        <v>个</v>
      </c>
      <c r="J130" s="177">
        <f>IFERROR(IF([2]对账明细接口!$J$130=0,"",[2]对账明细接口!$J$130),"")</f>
      </c>
      <c r="K130" s="177">
        <f>IFERROR(IF([2]对账明细接口!$K$130=0,"",[2]对账明细接口!$K$130),"")</f>
        <v>8460</v>
      </c>
      <c r="L130" s="16" t="str">
        <f>IFERROR(IF([2]对账明细接口!$L$130=0,"",[2]对账明细接口!$L$130),"")</f>
        <v>未付款</v>
      </c>
      <c r="M130" s="16" t="str">
        <f>IFERROR(IF([2]对账明细接口!$M$130=0,"",[2]对账明细接口!$M$130),"")</f>
        <v>NO:0017207</v>
      </c>
      <c r="N130" s="19">
        <f>IF($C130="",0,1)</f>
        <v>1</v>
      </c>
      <c r="O130" s="19">
        <f>N(O129)+$N130</f>
        <v>127</v>
      </c>
      <c r="S130" s="20" t="str">
        <f>IFERROR(IF([2]对账明细接口!$N130=0,"",[2]对账明细接口!$N130),"")</f>
        <v>公司红周转筐</v>
      </c>
      <c r="T130" s="212">
        <f>IFERROR(IF([2]对账明细接口!$O130=0,"",[2]对账明细接口!$O130),"")</f>
      </c>
      <c r="U130" s="212">
        <f>IFERROR(IF([2]对账明细接口!$P130=0,"",[2]对账明细接口!$P130),"")</f>
      </c>
      <c r="V130" s="212">
        <f>IFERROR(IF([2]对账明细接口!$Q130=0,"",[2]对账明细接口!$Q130),"")</f>
        <v>846</v>
      </c>
      <c r="W130" s="20" t="str">
        <f>IFERROR(IF([2]对账明细接口!$R130=0,"",[2]对账明细接口!$R130),"")</f>
        <v>新A*G0554</v>
      </c>
      <c r="X130" s="20" t="str">
        <f>IFERROR(IF([2]对账明细接口!$S130=0,"",[2]对账明细接口!$S130),"")</f>
        <v>公司筐</v>
      </c>
      <c r="Y130" s="20">
        <f>""</f>
      </c>
      <c r="Z130" s="20">
        <f>""</f>
      </c>
      <c r="AA130" s="20">
        <f>""</f>
      </c>
      <c r="AB130" s="20">
        <f>""</f>
      </c>
    </row>
    <row r="131" s="127">
      <c r="A131" s="14" t="n">
        <v>131</v>
      </c>
      <c r="B131" s="211">
        <f>IFERROR(IF([2]对账明细接口!$B$131=0,"",[2]对账明细接口!$B$131),"")</f>
        <v>46276.0</v>
      </c>
      <c r="C131" s="16" t="str">
        <f>IFERROR(IF([2]对账明细接口!$C$131=0,"",[2]对账明细接口!$C$131),"")</f>
        <v>麦麦提</v>
      </c>
      <c r="D131" s="16" t="str">
        <f>IFERROR(IF([2]对账明细接口!$D$131=0,"",[2]对账明细接口!$D$131),"")</f>
        <v>周转筐－领用出库</v>
      </c>
      <c r="E131" s="16" t="str">
        <f>IFERROR(IF([2]对账明细接口!$E$131=0,"",[2]对账明细接口!$E$131),"")</f>
        <v>NO:0001113</v>
      </c>
      <c r="F131" s="16" t="str">
        <f>IFERROR(IF([2]对账明细接口!$F$131=0,"",[2]对账明细接口!$F$131),"")</f>
        <v>公司红周转筐</v>
      </c>
      <c r="G131" s="16">
        <f>IFERROR(IF([2]对账明细接口!$G$131=0,"",[2]对账明细接口!$G$131),"")</f>
      </c>
      <c r="H131" s="176">
        <f>IFERROR(IF([2]对账明细接口!$H$131=0,"",[2]对账明细接口!$H$131),"")</f>
        <v>846</v>
      </c>
      <c r="I131" s="16" t="str">
        <f>IFERROR(IF([2]对账明细接口!$I$131=0,"",[2]对账明细接口!$I$131),"")</f>
        <v>个</v>
      </c>
      <c r="J131" s="177">
        <f>IFERROR(IF([2]对账明细接口!$J$131=0,"",[2]对账明细接口!$J$131),"")</f>
      </c>
      <c r="K131" s="177">
        <f>IFERROR(IF([2]对账明细接口!$K$131=0,"",[2]对账明细接口!$K$131),"")</f>
      </c>
      <c r="L131" s="16">
        <f>IFERROR(IF([2]对账明细接口!$L$131=0,"",[2]对账明细接口!$L$131),"")</f>
      </c>
      <c r="M131" s="16">
        <f>IFERROR(IF([2]对账明细接口!$M$131=0,"",[2]对账明细接口!$M$131),"")</f>
      </c>
      <c r="N131" s="19">
        <f>IF($C131="",0,1)</f>
        <v>1</v>
      </c>
      <c r="O131" s="19">
        <f>N(O130)+$N131</f>
        <v>128</v>
      </c>
      <c r="S131" s="20" t="str">
        <f>IFERROR(IF([2]对账明细接口!$N131=0,"",[2]对账明细接口!$N131),"")</f>
        <v>公司红周转筐</v>
      </c>
      <c r="T131" s="212">
        <f>IFERROR(IF([2]对账明细接口!$O131=0,"",[2]对账明细接口!$O131),"")</f>
        <v>846</v>
      </c>
      <c r="U131" s="212">
        <f>IFERROR(IF([2]对账明细接口!$P131=0,"",[2]对账明细接口!$P131),"")</f>
      </c>
      <c r="V131" s="212">
        <f>IFERROR(IF([2]对账明细接口!$Q131=0,"",[2]对账明细接口!$Q131),"")</f>
      </c>
      <c r="W131" s="20" t="str">
        <f>IFERROR(IF([2]对账明细接口!$R131=0,"",[2]对账明细接口!$R131),"")</f>
        <v>新A*G0554</v>
      </c>
      <c r="X131" s="20" t="str">
        <f>IFERROR(IF([2]对账明细接口!$S131=0,"",[2]对账明细接口!$S131),"")</f>
        <v>公司筐</v>
      </c>
      <c r="Y131" s="20">
        <f>""</f>
      </c>
      <c r="Z131" s="20">
        <f>""</f>
      </c>
      <c r="AA131" s="20">
        <f>""</f>
      </c>
      <c r="AB131" s="20">
        <f>""</f>
      </c>
    </row>
    <row r="132" s="127">
      <c r="A132" s="14" t="n">
        <v>132</v>
      </c>
      <c r="B132" s="211">
        <f>IFERROR(IF([2]对账明细接口!$B$132=0,"",[2]对账明细接口!$B$132),"")</f>
        <v>46276.0</v>
      </c>
      <c r="C132" s="16" t="str">
        <f>IFERROR(IF([2]对账明细接口!$C$132=0,"",[2]对账明细接口!$C$132),"")</f>
        <v>全修塑业</v>
      </c>
      <c r="D132" s="16" t="str">
        <f>IFERROR(IF([2]对账明细接口!$D$132=0,"",[2]对账明细接口!$D$132),"")</f>
        <v>周转筐－采购入库</v>
      </c>
      <c r="E132" s="16" t="str">
        <f>IFERROR(IF([2]对账明细接口!$E$132=0,"",[2]对账明细接口!$E$132),"")</f>
        <v>NO:0000784</v>
      </c>
      <c r="F132" s="16" t="str">
        <f>IFERROR(IF([2]对账明细接口!$F$132=0,"",[2]对账明细接口!$F$132),"")</f>
        <v>公司红周转筐</v>
      </c>
      <c r="G132" s="16">
        <f>IFERROR(IF([2]对账明细接口!$G$132=0,"",[2]对账明细接口!$G$132),"")</f>
      </c>
      <c r="H132" s="176">
        <f>IFERROR(IF([2]对账明细接口!$H$132=0,"",[2]对账明细接口!$H$132),"")</f>
        <v>936</v>
      </c>
      <c r="I132" s="16" t="str">
        <f>IFERROR(IF([2]对账明细接口!$I$132=0,"",[2]对账明细接口!$I$132),"")</f>
        <v>个</v>
      </c>
      <c r="J132" s="177">
        <f>IFERROR(IF([2]对账明细接口!$J$132=0,"",[2]对账明细接口!$J$132),"")</f>
      </c>
      <c r="K132" s="177">
        <f>IFERROR(IF([2]对账明细接口!$K$132=0,"",[2]对账明细接口!$K$132),"")</f>
        <v>9360</v>
      </c>
      <c r="L132" s="16" t="str">
        <f>IFERROR(IF([2]对账明细接口!$L$132=0,"",[2]对账明细接口!$L$132),"")</f>
        <v>未付款</v>
      </c>
      <c r="M132" s="16" t="str">
        <f>IFERROR(IF([2]对账明细接口!$M$132=0,"",[2]对账明细接口!$M$132),"")</f>
        <v>NO:0017209</v>
      </c>
      <c r="N132" s="19">
        <f>IF($C132="",0,1)</f>
        <v>1</v>
      </c>
      <c r="O132" s="19">
        <f>N(O131)+$N132</f>
        <v>129</v>
      </c>
      <c r="S132" s="20" t="str">
        <f>IFERROR(IF([2]对账明细接口!$N132=0,"",[2]对账明细接口!$N132),"")</f>
        <v>公司红周转筐</v>
      </c>
      <c r="T132" s="212">
        <f>IFERROR(IF([2]对账明细接口!$O132=0,"",[2]对账明细接口!$O132),"")</f>
      </c>
      <c r="U132" s="212">
        <f>IFERROR(IF([2]对账明细接口!$P132=0,"",[2]对账明细接口!$P132),"")</f>
      </c>
      <c r="V132" s="212">
        <f>IFERROR(IF([2]对账明细接口!$Q132=0,"",[2]对账明细接口!$Q132),"")</f>
        <v>936</v>
      </c>
      <c r="W132" s="20" t="str">
        <f>IFERROR(IF([2]对账明细接口!$R132=0,"",[2]对账明细接口!$R132),"")</f>
        <v>新F*75240</v>
      </c>
      <c r="X132" s="20" t="str">
        <f>IFERROR(IF([2]对账明细接口!$S132=0,"",[2]对账明细接口!$S132),"")</f>
        <v>公司筐</v>
      </c>
      <c r="Y132" s="20">
        <f>""</f>
      </c>
      <c r="Z132" s="20">
        <f>""</f>
      </c>
      <c r="AA132" s="20">
        <f>""</f>
      </c>
      <c r="AB132" s="20">
        <f>""</f>
      </c>
    </row>
    <row r="133" s="127">
      <c r="A133" s="14" t="n">
        <v>133</v>
      </c>
      <c r="B133" s="211">
        <f>IFERROR(IF([2]对账明细接口!$B$133=0,"",[2]对账明细接口!$B$133),"")</f>
        <v>46276.0</v>
      </c>
      <c r="C133" s="16" t="str">
        <f>IFERROR(IF([2]对账明细接口!$C$133=0,"",[2]对账明细接口!$C$133),"")</f>
        <v>马锦祥</v>
      </c>
      <c r="D133" s="16" t="str">
        <f>IFERROR(IF([2]对账明细接口!$D$133=0,"",[2]对账明细接口!$D$133),"")</f>
        <v>周转筐－领用出库</v>
      </c>
      <c r="E133" s="16" t="str">
        <f>IFERROR(IF([2]对账明细接口!$E$133=0,"",[2]对账明细接口!$E$133),"")</f>
        <v>NO:0001114</v>
      </c>
      <c r="F133" s="16" t="str">
        <f>IFERROR(IF([2]对账明细接口!$F$133=0,"",[2]对账明细接口!$F$133),"")</f>
        <v>公司杂周转筐</v>
      </c>
      <c r="G133" s="16">
        <f>IFERROR(IF([2]对账明细接口!$G$133=0,"",[2]对账明细接口!$G$133),"")</f>
      </c>
      <c r="H133" s="176">
        <f>IFERROR(IF([2]对账明细接口!$H$133=0,"",[2]对账明细接口!$H$133),"")</f>
        <v>588</v>
      </c>
      <c r="I133" s="16" t="str">
        <f>IFERROR(IF([2]对账明细接口!$I$133=0,"",[2]对账明细接口!$I$133),"")</f>
        <v>个</v>
      </c>
      <c r="J133" s="177">
        <f>IFERROR(IF([2]对账明细接口!$J$133=0,"",[2]对账明细接口!$J$133),"")</f>
      </c>
      <c r="K133" s="177">
        <f>IFERROR(IF([2]对账明细接口!$K$133=0,"",[2]对账明细接口!$K$133),"")</f>
      </c>
      <c r="L133" s="16">
        <f>IFERROR(IF([2]对账明细接口!$L$133=0,"",[2]对账明细接口!$L$133),"")</f>
      </c>
      <c r="M133" s="16">
        <f>IFERROR(IF([2]对账明细接口!$M$133=0,"",[2]对账明细接口!$M$133),"")</f>
      </c>
      <c r="N133" s="19">
        <f>IF($C133="",0,1)</f>
        <v>1</v>
      </c>
      <c r="O133" s="19">
        <f>N(O132)+$N133</f>
        <v>130</v>
      </c>
      <c r="S133" s="20" t="str">
        <f>IFERROR(IF([2]对账明细接口!$N133=0,"",[2]对账明细接口!$N133),"")</f>
        <v>公司杂周转筐</v>
      </c>
      <c r="T133" s="212">
        <f>IFERROR(IF([2]对账明细接口!$O133=0,"",[2]对账明细接口!$O133),"")</f>
        <v>588</v>
      </c>
      <c r="U133" s="212">
        <f>IFERROR(IF([2]对账明细接口!$P133=0,"",[2]对账明细接口!$P133),"")</f>
      </c>
      <c r="V133" s="212">
        <f>IFERROR(IF([2]对账明细接口!$Q133=0,"",[2]对账明细接口!$Q133),"")</f>
      </c>
      <c r="W133" s="20" t="str">
        <f>IFERROR(IF([2]对账明细接口!$R133=0,"",[2]对账明细接口!$R133),"")</f>
        <v>新N*K7V85</v>
      </c>
      <c r="X133" s="20" t="str">
        <f>IFERROR(IF([2]对账明细接口!$S133=0,"",[2]对账明细接口!$S133),"")</f>
        <v>公司筐</v>
      </c>
      <c r="Y133" s="20">
        <f>""</f>
      </c>
      <c r="Z133" s="20">
        <f>""</f>
      </c>
      <c r="AA133" s="20">
        <f>""</f>
      </c>
      <c r="AB133" s="20">
        <f>""</f>
      </c>
    </row>
    <row r="134" s="127">
      <c r="A134" s="14" t="n">
        <v>134</v>
      </c>
      <c r="B134" s="211">
        <f>IFERROR(IF([2]对账明细接口!$B$134=0,"",[2]对账明细接口!$B$134),"")</f>
        <v>46276.0</v>
      </c>
      <c r="C134" s="16" t="str">
        <f>IFERROR(IF([2]对账明细接口!$C$134=0,"",[2]对账明细接口!$C$134),"")</f>
        <v>王照雪</v>
      </c>
      <c r="D134" s="16" t="str">
        <f>IFERROR(IF([2]对账明细接口!$D$134=0,"",[2]对账明细接口!$D$134),"")</f>
        <v>周转筐－领用出库</v>
      </c>
      <c r="E134" s="16" t="str">
        <f>IFERROR(IF([2]对账明细接口!$E$134=0,"",[2]对账明细接口!$E$134),"")</f>
        <v>NO:0001115</v>
      </c>
      <c r="F134" s="16" t="str">
        <f>IFERROR(IF([2]对账明细接口!$F$134=0,"",[2]对账明细接口!$F$134),"")</f>
        <v>公司杂周转筐</v>
      </c>
      <c r="G134" s="16">
        <f>IFERROR(IF([2]对账明细接口!$G$134=0,"",[2]对账明细接口!$G$134),"")</f>
      </c>
      <c r="H134" s="176">
        <f>IFERROR(IF([2]对账明细接口!$H$134=0,"",[2]对账明细接口!$H$134),"")</f>
        <v>213</v>
      </c>
      <c r="I134" s="16" t="str">
        <f>IFERROR(IF([2]对账明细接口!$I$134=0,"",[2]对账明细接口!$I$134),"")</f>
        <v>个</v>
      </c>
      <c r="J134" s="177">
        <f>IFERROR(IF([2]对账明细接口!$J$134=0,"",[2]对账明细接口!$J$134),"")</f>
      </c>
      <c r="K134" s="177">
        <f>IFERROR(IF([2]对账明细接口!$K$134=0,"",[2]对账明细接口!$K$134),"")</f>
      </c>
      <c r="L134" s="16">
        <f>IFERROR(IF([2]对账明细接口!$L$134=0,"",[2]对账明细接口!$L$134),"")</f>
      </c>
      <c r="M134" s="16">
        <f>IFERROR(IF([2]对账明细接口!$M$134=0,"",[2]对账明细接口!$M$134),"")</f>
      </c>
      <c r="N134" s="19">
        <f>IF($C134="",0,1)</f>
        <v>1</v>
      </c>
      <c r="O134" s="19">
        <f>N(O133)+$N134</f>
        <v>131</v>
      </c>
      <c r="S134" s="20" t="str">
        <f>IFERROR(IF([2]对账明细接口!$N134=0,"",[2]对账明细接口!$N134),"")</f>
        <v>公司杂周转筐</v>
      </c>
      <c r="T134" s="212">
        <f>IFERROR(IF([2]对账明细接口!$O134=0,"",[2]对账明细接口!$O134),"")</f>
        <v>213</v>
      </c>
      <c r="U134" s="212">
        <f>IFERROR(IF([2]对账明细接口!$P134=0,"",[2]对账明细接口!$P134),"")</f>
      </c>
      <c r="V134" s="212">
        <f>IFERROR(IF([2]对账明细接口!$Q134=0,"",[2]对账明细接口!$Q134),"")</f>
      </c>
      <c r="W134" s="20" t="str">
        <f>IFERROR(IF([2]对账明细接口!$R134=0,"",[2]对账明细接口!$R134),"")</f>
        <v>豫L*88X19</v>
      </c>
      <c r="X134" s="20" t="str">
        <f>IFERROR(IF([2]对账明细接口!$S134=0,"",[2]对账明细接口!$S134),"")</f>
        <v>公司筐</v>
      </c>
      <c r="Y134" s="20">
        <f>""</f>
      </c>
      <c r="Z134" s="20">
        <f>""</f>
      </c>
      <c r="AA134" s="20">
        <f>""</f>
      </c>
      <c r="AB134" s="20">
        <f>""</f>
      </c>
    </row>
    <row r="135" s="127">
      <c r="A135" s="14" t="n">
        <v>135</v>
      </c>
      <c r="B135" s="211">
        <f>IFERROR(IF([2]对账明细接口!$B$135=0,"",[2]对账明细接口!$B$135),"")</f>
        <v>46276.0</v>
      </c>
      <c r="C135" s="16" t="str">
        <f>IFERROR(IF([2]对账明细接口!$C$135=0,"",[2]对账明细接口!$C$135),"")</f>
        <v>王照雪</v>
      </c>
      <c r="D135" s="16" t="str">
        <f>IFERROR(IF([2]对账明细接口!$D$135=0,"",[2]对账明细接口!$D$135),"")</f>
        <v>周转筐－领用出库</v>
      </c>
      <c r="E135" s="16" t="str">
        <f>IFERROR(IF([2]对账明细接口!$E$135=0,"",[2]对账明细接口!$E$135),"")</f>
        <v>NO:0001116</v>
      </c>
      <c r="F135" s="16" t="str">
        <f>IFERROR(IF([2]对账明细接口!$F$135=0,"",[2]对账明细接口!$F$135),"")</f>
        <v>公司杂周转筐</v>
      </c>
      <c r="G135" s="16">
        <f>IFERROR(IF([2]对账明细接口!$G$135=0,"",[2]对账明细接口!$G$135),"")</f>
      </c>
      <c r="H135" s="176">
        <f>IFERROR(IF([2]对账明细接口!$H$135=0,"",[2]对账明细接口!$H$135),"")</f>
        <v>423</v>
      </c>
      <c r="I135" s="16" t="str">
        <f>IFERROR(IF([2]对账明细接口!$I$135=0,"",[2]对账明细接口!$I$135),"")</f>
        <v>个</v>
      </c>
      <c r="J135" s="177">
        <f>IFERROR(IF([2]对账明细接口!$J$135=0,"",[2]对账明细接口!$J$135),"")</f>
      </c>
      <c r="K135" s="177">
        <f>IFERROR(IF([2]对账明细接口!$K$135=0,"",[2]对账明细接口!$K$135),"")</f>
      </c>
      <c r="L135" s="16">
        <f>IFERROR(IF([2]对账明细接口!$L$135=0,"",[2]对账明细接口!$L$135),"")</f>
      </c>
      <c r="M135" s="16">
        <f>IFERROR(IF([2]对账明细接口!$M$135=0,"",[2]对账明细接口!$M$135),"")</f>
      </c>
      <c r="N135" s="19">
        <f>IF($C135="",0,1)</f>
        <v>1</v>
      </c>
      <c r="O135" s="19">
        <f>N(O134)+$N135</f>
        <v>132</v>
      </c>
      <c r="S135" s="20" t="str">
        <f>IFERROR(IF([2]对账明细接口!$N135=0,"",[2]对账明细接口!$N135),"")</f>
        <v>公司杂周转筐</v>
      </c>
      <c r="T135" s="212">
        <f>IFERROR(IF([2]对账明细接口!$O135=0,"",[2]对账明细接口!$O135),"")</f>
        <v>423</v>
      </c>
      <c r="U135" s="212">
        <f>IFERROR(IF([2]对账明细接口!$P135=0,"",[2]对账明细接口!$P135),"")</f>
      </c>
      <c r="V135" s="212">
        <f>IFERROR(IF([2]对账明细接口!$Q135=0,"",[2]对账明细接口!$Q135),"")</f>
      </c>
      <c r="W135" s="20" t="str">
        <f>IFERROR(IF([2]对账明细接口!$R135=0,"",[2]对账明细接口!$R135),"")</f>
        <v>豫L*88X19</v>
      </c>
      <c r="X135" s="20" t="str">
        <f>IFERROR(IF([2]对账明细接口!$S135=0,"",[2]对账明细接口!$S135),"")</f>
        <v>公司筐</v>
      </c>
      <c r="Y135" s="20">
        <f>""</f>
      </c>
      <c r="Z135" s="20">
        <f>""</f>
      </c>
      <c r="AA135" s="20">
        <f>""</f>
      </c>
      <c r="AB135" s="20">
        <f>""</f>
      </c>
    </row>
    <row r="136" s="127">
      <c r="A136" s="14" t="n">
        <v>136</v>
      </c>
      <c r="B136" s="211">
        <f>IFERROR(IF([2]对账明细接口!$B$136=0,"",[2]对账明细接口!$B$136),"")</f>
        <v>46276.0</v>
      </c>
      <c r="C136" s="16" t="str">
        <f>IFERROR(IF([2]对账明细接口!$C$136=0,"",[2]对账明细接口!$C$136),"")</f>
        <v>努尔敦</v>
      </c>
      <c r="D136" s="16" t="str">
        <f>IFERROR(IF([2]对账明细接口!$D$136=0,"",[2]对账明细接口!$D$136),"")</f>
        <v>周转筐－领用出库</v>
      </c>
      <c r="E136" s="16" t="str">
        <f>IFERROR(IF([2]对账明细接口!$E$136=0,"",[2]对账明细接口!$E$136),"")</f>
        <v>NO:0001118</v>
      </c>
      <c r="F136" s="16" t="str">
        <f>IFERROR(IF([2]对账明细接口!$F$136=0,"",[2]对账明细接口!$F$136),"")</f>
        <v>公司红周转筐</v>
      </c>
      <c r="G136" s="16">
        <f>IFERROR(IF([2]对账明细接口!$G$136=0,"",[2]对账明细接口!$G$136),"")</f>
      </c>
      <c r="H136" s="176">
        <f>IFERROR(IF([2]对账明细接口!$H$136=0,"",[2]对账明细接口!$H$136),"")</f>
        <v>936</v>
      </c>
      <c r="I136" s="16" t="str">
        <f>IFERROR(IF([2]对账明细接口!$I$136=0,"",[2]对账明细接口!$I$136),"")</f>
        <v>个</v>
      </c>
      <c r="J136" s="177">
        <f>IFERROR(IF([2]对账明细接口!$J$136=0,"",[2]对账明细接口!$J$136),"")</f>
      </c>
      <c r="K136" s="177">
        <f>IFERROR(IF([2]对账明细接口!$K$136=0,"",[2]对账明细接口!$K$136),"")</f>
      </c>
      <c r="L136" s="16">
        <f>IFERROR(IF([2]对账明细接口!$L$136=0,"",[2]对账明细接口!$L$136),"")</f>
      </c>
      <c r="M136" s="16">
        <f>IFERROR(IF([2]对账明细接口!$M$136=0,"",[2]对账明细接口!$M$136),"")</f>
      </c>
      <c r="N136" s="19">
        <f>IF($C136="",0,1)</f>
        <v>1</v>
      </c>
      <c r="O136" s="19">
        <f>N(O135)+$N136</f>
        <v>133</v>
      </c>
      <c r="S136" s="20" t="str">
        <f>IFERROR(IF([2]对账明细接口!$N136=0,"",[2]对账明细接口!$N136),"")</f>
        <v>公司红周转筐</v>
      </c>
      <c r="T136" s="212">
        <f>IFERROR(IF([2]对账明细接口!$O136=0,"",[2]对账明细接口!$O136),"")</f>
        <v>936</v>
      </c>
      <c r="U136" s="212">
        <f>IFERROR(IF([2]对账明细接口!$P136=0,"",[2]对账明细接口!$P136),"")</f>
      </c>
      <c r="V136" s="212">
        <f>IFERROR(IF([2]对账明细接口!$Q136=0,"",[2]对账明细接口!$Q136),"")</f>
      </c>
      <c r="W136" s="20" t="str">
        <f>IFERROR(IF([2]对账明细接口!$R136=0,"",[2]对账明细接口!$R136),"")</f>
        <v>新F*75240</v>
      </c>
      <c r="X136" s="20" t="str">
        <f>IFERROR(IF([2]对账明细接口!$S136=0,"",[2]对账明细接口!$S136),"")</f>
        <v>公司筐</v>
      </c>
      <c r="Y136" s="20">
        <f>""</f>
      </c>
      <c r="Z136" s="20">
        <f>""</f>
      </c>
      <c r="AA136" s="20">
        <f>""</f>
      </c>
      <c r="AB136" s="20">
        <f>""</f>
      </c>
    </row>
    <row r="137" s="127">
      <c r="A137" s="14" t="n">
        <v>137</v>
      </c>
      <c r="B137" s="211">
        <f>IFERROR(IF([2]对账明细接口!$B$137=0,"",[2]对账明细接口!$B$137),"")</f>
        <v>46276.0</v>
      </c>
      <c r="C137" s="16" t="str">
        <f>IFERROR(IF([2]对账明细接口!$C$137=0,"",[2]对账明细接口!$C$137),"")</f>
        <v>全修塑业</v>
      </c>
      <c r="D137" s="16" t="str">
        <f>IFERROR(IF([2]对账明细接口!$D$137=0,"",[2]对账明细接口!$D$137),"")</f>
        <v>周转筐－采购入库</v>
      </c>
      <c r="E137" s="16" t="str">
        <f>IFERROR(IF([2]对账明细接口!$E$137=0,"",[2]对账明细接口!$E$137),"")</f>
        <v>NO:0000785</v>
      </c>
      <c r="F137" s="16" t="str">
        <f>IFERROR(IF([2]对账明细接口!$F$137=0,"",[2]对账明细接口!$F$137),"")</f>
        <v>公司红周转筐</v>
      </c>
      <c r="G137" s="16">
        <f>IFERROR(IF([2]对账明细接口!$G$137=0,"",[2]对账明细接口!$G$137),"")</f>
      </c>
      <c r="H137" s="176">
        <f>IFERROR(IF([2]对账明细接口!$H$137=0,"",[2]对账明细接口!$H$137),"")</f>
        <v>846</v>
      </c>
      <c r="I137" s="16" t="str">
        <f>IFERROR(IF([2]对账明细接口!$I$137=0,"",[2]对账明细接口!$I$137),"")</f>
        <v>个</v>
      </c>
      <c r="J137" s="177">
        <f>IFERROR(IF([2]对账明细接口!$J$137=0,"",[2]对账明细接口!$J$137),"")</f>
      </c>
      <c r="K137" s="177">
        <f>IFERROR(IF([2]对账明细接口!$K$137=0,"",[2]对账明细接口!$K$137),"")</f>
        <v>8460</v>
      </c>
      <c r="L137" s="16" t="str">
        <f>IFERROR(IF([2]对账明细接口!$L$137=0,"",[2]对账明细接口!$L$137),"")</f>
        <v>未付款</v>
      </c>
      <c r="M137" s="16" t="str">
        <f>IFERROR(IF([2]对账明细接口!$M$137=0,"",[2]对账明细接口!$M$137),"")</f>
        <v>NO:0017211</v>
      </c>
      <c r="N137" s="19">
        <f>IF($C137="",0,1)</f>
        <v>1</v>
      </c>
      <c r="O137" s="19">
        <f>N(O136)+$N137</f>
        <v>134</v>
      </c>
      <c r="S137" s="20" t="str">
        <f>IFERROR(IF([2]对账明细接口!$N137=0,"",[2]对账明细接口!$N137),"")</f>
        <v>公司红周转筐</v>
      </c>
      <c r="T137" s="212">
        <f>IFERROR(IF([2]对账明细接口!$O137=0,"",[2]对账明细接口!$O137),"")</f>
      </c>
      <c r="U137" s="212">
        <f>IFERROR(IF([2]对账明细接口!$P137=0,"",[2]对账明细接口!$P137),"")</f>
      </c>
      <c r="V137" s="212">
        <f>IFERROR(IF([2]对账明细接口!$Q137=0,"",[2]对账明细接口!$Q137),"")</f>
        <v>846</v>
      </c>
      <c r="W137" s="20" t="str">
        <f>IFERROR(IF([2]对账明细接口!$R137=0,"",[2]对账明细接口!$R137),"")</f>
        <v>新A*G0554</v>
      </c>
      <c r="X137" s="20" t="str">
        <f>IFERROR(IF([2]对账明细接口!$S137=0,"",[2]对账明细接口!$S137),"")</f>
        <v>公司筐</v>
      </c>
      <c r="Y137" s="20">
        <f>""</f>
      </c>
      <c r="Z137" s="20">
        <f>""</f>
      </c>
      <c r="AA137" s="20">
        <f>""</f>
      </c>
      <c r="AB137" s="20">
        <f>""</f>
      </c>
    </row>
    <row r="138" s="127">
      <c r="A138" s="14" t="n">
        <v>138</v>
      </c>
      <c r="B138" s="211">
        <f>IFERROR(IF([2]对账明细接口!$B$138=0,"",[2]对账明细接口!$B$138),"")</f>
        <v>46276.0</v>
      </c>
      <c r="C138" s="16" t="str">
        <f>IFERROR(IF([2]对账明细接口!$C$138=0,"",[2]对账明细接口!$C$138),"")</f>
        <v>热合曼</v>
      </c>
      <c r="D138" s="16" t="str">
        <f>IFERROR(IF([2]对账明细接口!$D$138=0,"",[2]对账明细接口!$D$138),"")</f>
        <v>周转筐－领用出库</v>
      </c>
      <c r="E138" s="16" t="str">
        <f>IFERROR(IF([2]对账明细接口!$E$138=0,"",[2]对账明细接口!$E$138),"")</f>
        <v>NO:0001120</v>
      </c>
      <c r="F138" s="16" t="str">
        <f>IFERROR(IF([2]对账明细接口!$F$138=0,"",[2]对账明细接口!$F$138),"")</f>
        <v>公司红周转筐</v>
      </c>
      <c r="G138" s="16">
        <f>IFERROR(IF([2]对账明细接口!$G$138=0,"",[2]对账明细接口!$G$138),"")</f>
      </c>
      <c r="H138" s="176">
        <f>IFERROR(IF([2]对账明细接口!$H$138=0,"",[2]对账明细接口!$H$138),"")</f>
        <v>846</v>
      </c>
      <c r="I138" s="16" t="str">
        <f>IFERROR(IF([2]对账明细接口!$I$138=0,"",[2]对账明细接口!$I$138),"")</f>
        <v>个</v>
      </c>
      <c r="J138" s="177">
        <f>IFERROR(IF([2]对账明细接口!$J$138=0,"",[2]对账明细接口!$J$138),"")</f>
      </c>
      <c r="K138" s="177">
        <f>IFERROR(IF([2]对账明细接口!$K$138=0,"",[2]对账明细接口!$K$138),"")</f>
      </c>
      <c r="L138" s="16">
        <f>IFERROR(IF([2]对账明细接口!$L$138=0,"",[2]对账明细接口!$L$138),"")</f>
      </c>
      <c r="M138" s="16">
        <f>IFERROR(IF([2]对账明细接口!$M$138=0,"",[2]对账明细接口!$M$138),"")</f>
      </c>
      <c r="N138" s="19">
        <f>IF($C138="",0,1)</f>
        <v>1</v>
      </c>
      <c r="O138" s="19">
        <f>N(O137)+$N138</f>
        <v>135</v>
      </c>
      <c r="S138" s="20" t="str">
        <f>IFERROR(IF([2]对账明细接口!$N138=0,"",[2]对账明细接口!$N138),"")</f>
        <v>公司红周转筐</v>
      </c>
      <c r="T138" s="212">
        <f>IFERROR(IF([2]对账明细接口!$O138=0,"",[2]对账明细接口!$O138),"")</f>
        <v>846</v>
      </c>
      <c r="U138" s="212">
        <f>IFERROR(IF([2]对账明细接口!$P138=0,"",[2]对账明细接口!$P138),"")</f>
      </c>
      <c r="V138" s="212">
        <f>IFERROR(IF([2]对账明细接口!$Q138=0,"",[2]对账明细接口!$Q138),"")</f>
      </c>
      <c r="W138" s="20" t="str">
        <f>IFERROR(IF([2]对账明细接口!$R138=0,"",[2]对账明细接口!$R138),"")</f>
        <v>新A*G0554</v>
      </c>
      <c r="X138" s="20" t="str">
        <f>IFERROR(IF([2]对账明细接口!$S138=0,"",[2]对账明细接口!$S138),"")</f>
        <v>公司筐</v>
      </c>
      <c r="Y138" s="20">
        <f>""</f>
      </c>
      <c r="Z138" s="20">
        <f>""</f>
      </c>
      <c r="AA138" s="20">
        <f>""</f>
      </c>
      <c r="AB138" s="20">
        <f>""</f>
      </c>
    </row>
    <row r="139" s="127">
      <c r="A139" s="14" t="n">
        <v>139</v>
      </c>
      <c r="B139" s="211">
        <f>IFERROR(IF([2]对账明细接口!$B$139=0,"",[2]对账明细接口!$B$139),"")</f>
        <v>46276.0</v>
      </c>
      <c r="C139" s="16" t="str">
        <f>IFERROR(IF([2]对账明细接口!$C$139=0,"",[2]对账明细接口!$C$139),"")</f>
        <v>全修塑业</v>
      </c>
      <c r="D139" s="16" t="str">
        <f>IFERROR(IF([2]对账明细接口!$D$139=0,"",[2]对账明细接口!$D$139),"")</f>
        <v>周转筐－采购入库</v>
      </c>
      <c r="E139" s="16" t="str">
        <f>IFERROR(IF([2]对账明细接口!$E$139=0,"",[2]对账明细接口!$E$139),"")</f>
        <v>NO:0000788</v>
      </c>
      <c r="F139" s="16" t="str">
        <f>IFERROR(IF([2]对账明细接口!$F$139=0,"",[2]对账明细接口!$F$139),"")</f>
        <v>公司红周转筐</v>
      </c>
      <c r="G139" s="16">
        <f>IFERROR(IF([2]对账明细接口!$G$139=0,"",[2]对账明细接口!$G$139),"")</f>
      </c>
      <c r="H139" s="176">
        <f>IFERROR(IF([2]对账明细接口!$H$139=0,"",[2]对账明细接口!$H$139),"")</f>
        <v>378</v>
      </c>
      <c r="I139" s="16" t="str">
        <f>IFERROR(IF([2]对账明细接口!$I$139=0,"",[2]对账明细接口!$I$139),"")</f>
        <v>个</v>
      </c>
      <c r="J139" s="177">
        <f>IFERROR(IF([2]对账明细接口!$J$139=0,"",[2]对账明细接口!$J$139),"")</f>
      </c>
      <c r="K139" s="177">
        <f>IFERROR(IF([2]对账明细接口!$K$139=0,"",[2]对账明细接口!$K$139),"")</f>
        <v>3780</v>
      </c>
      <c r="L139" s="16" t="str">
        <f>IFERROR(IF([2]对账明细接口!$L$139=0,"",[2]对账明细接口!$L$139),"")</f>
        <v>未付款</v>
      </c>
      <c r="M139" s="16" t="str">
        <f>IFERROR(IF([2]对账明细接口!$M$139=0,"",[2]对账明细接口!$M$139),"")</f>
        <v>NO:0017212</v>
      </c>
      <c r="N139" s="19">
        <f>IF($C139="",0,1)</f>
        <v>1</v>
      </c>
      <c r="O139" s="19">
        <f>N(O138)+$N139</f>
        <v>136</v>
      </c>
      <c r="S139" s="20" t="str">
        <f>IFERROR(IF([2]对账明细接口!$N139=0,"",[2]对账明细接口!$N139),"")</f>
        <v>公司红周转筐</v>
      </c>
      <c r="T139" s="212">
        <f>IFERROR(IF([2]对账明细接口!$O139=0,"",[2]对账明细接口!$O139),"")</f>
      </c>
      <c r="U139" s="212">
        <f>IFERROR(IF([2]对账明细接口!$P139=0,"",[2]对账明细接口!$P139),"")</f>
      </c>
      <c r="V139" s="212">
        <f>IFERROR(IF([2]对账明细接口!$Q139=0,"",[2]对账明细接口!$Q139),"")</f>
        <v>378</v>
      </c>
      <c r="W139" s="20" t="str">
        <f>IFERROR(IF([2]对账明细接口!$R139=0,"",[2]对账明细接口!$R139),"")</f>
        <v>新N*X8S48</v>
      </c>
      <c r="X139" s="20" t="str">
        <f>IFERROR(IF([2]对账明细接口!$S139=0,"",[2]对账明细接口!$S139),"")</f>
        <v>公司筐</v>
      </c>
      <c r="Y139" s="20">
        <f>""</f>
      </c>
      <c r="Z139" s="20">
        <f>""</f>
      </c>
      <c r="AA139" s="20">
        <f>""</f>
      </c>
      <c r="AB139" s="20">
        <f>""</f>
      </c>
    </row>
    <row r="140" s="127">
      <c r="A140" s="14" t="n">
        <v>140</v>
      </c>
      <c r="B140" s="211">
        <f>IFERROR(IF([2]对账明细接口!$B$140=0,"",[2]对账明细接口!$B$140),"")</f>
        <v>46276.0</v>
      </c>
      <c r="C140" s="16" t="str">
        <f>IFERROR(IF([2]对账明细接口!$C$140=0,"",[2]对账明细接口!$C$140),"")</f>
        <v>吐尔洪</v>
      </c>
      <c r="D140" s="16" t="str">
        <f>IFERROR(IF([2]对账明细接口!$D$140=0,"",[2]对账明细接口!$D$140),"")</f>
        <v>周转筐－领用出库</v>
      </c>
      <c r="E140" s="16" t="str">
        <f>IFERROR(IF([2]对账明细接口!$E$140=0,"",[2]对账明细接口!$E$140),"")</f>
        <v>NO:0001122</v>
      </c>
      <c r="F140" s="16" t="str">
        <f>IFERROR(IF([2]对账明细接口!$F$140=0,"",[2]对账明细接口!$F$140),"")</f>
        <v>公司红周转筐</v>
      </c>
      <c r="G140" s="16">
        <f>IFERROR(IF([2]对账明细接口!$G$140=0,"",[2]对账明细接口!$G$140),"")</f>
      </c>
      <c r="H140" s="176">
        <f>IFERROR(IF([2]对账明细接口!$H$140=0,"",[2]对账明细接口!$H$140),"")</f>
        <v>378</v>
      </c>
      <c r="I140" s="16" t="str">
        <f>IFERROR(IF([2]对账明细接口!$I$140=0,"",[2]对账明细接口!$I$140),"")</f>
        <v>个</v>
      </c>
      <c r="J140" s="177">
        <f>IFERROR(IF([2]对账明细接口!$J$140=0,"",[2]对账明细接口!$J$140),"")</f>
      </c>
      <c r="K140" s="177">
        <f>IFERROR(IF([2]对账明细接口!$K$140=0,"",[2]对账明细接口!$K$140),"")</f>
      </c>
      <c r="L140" s="16">
        <f>IFERROR(IF([2]对账明细接口!$L$140=0,"",[2]对账明细接口!$L$140),"")</f>
      </c>
      <c r="M140" s="16">
        <f>IFERROR(IF([2]对账明细接口!$M$140=0,"",[2]对账明细接口!$M$140),"")</f>
      </c>
      <c r="N140" s="19">
        <f>IF($C140="",0,1)</f>
        <v>1</v>
      </c>
      <c r="O140" s="19">
        <f>N(O139)+$N140</f>
        <v>137</v>
      </c>
      <c r="S140" s="20" t="str">
        <f>IFERROR(IF([2]对账明细接口!$N140=0,"",[2]对账明细接口!$N140),"")</f>
        <v>公司红周转筐</v>
      </c>
      <c r="T140" s="212">
        <f>IFERROR(IF([2]对账明细接口!$O140=0,"",[2]对账明细接口!$O140),"")</f>
        <v>378</v>
      </c>
      <c r="U140" s="212">
        <f>IFERROR(IF([2]对账明细接口!$P140=0,"",[2]对账明细接口!$P140),"")</f>
      </c>
      <c r="V140" s="212">
        <f>IFERROR(IF([2]对账明细接口!$Q140=0,"",[2]对账明细接口!$Q140),"")</f>
      </c>
      <c r="W140" s="20" t="str">
        <f>IFERROR(IF([2]对账明细接口!$R140=0,"",[2]对账明细接口!$R140),"")</f>
        <v>新N*X8S48</v>
      </c>
      <c r="X140" s="20" t="str">
        <f>IFERROR(IF([2]对账明细接口!$S140=0,"",[2]对账明细接口!$S140),"")</f>
        <v>公司筐</v>
      </c>
      <c r="Y140" s="20">
        <f>""</f>
      </c>
      <c r="Z140" s="20">
        <f>""</f>
      </c>
      <c r="AA140" s="20">
        <f>""</f>
      </c>
      <c r="AB140" s="20">
        <f>""</f>
      </c>
    </row>
    <row r="141" s="127">
      <c r="A141" s="14" t="n">
        <v>141</v>
      </c>
      <c r="B141" s="211">
        <f>IFERROR(IF([2]对账明细接口!$B$141=0,"",[2]对账明细接口!$B$141),"")</f>
        <v>46277.0</v>
      </c>
      <c r="C141" s="16" t="str">
        <f>IFERROR(IF([2]对账明细接口!$C$141=0,"",[2]对账明细接口!$C$141),"")</f>
        <v>王照雪</v>
      </c>
      <c r="D141" s="16" t="str">
        <f>IFERROR(IF([2]对账明细接口!$D$141=0,"",[2]对账明细接口!$D$141),"")</f>
        <v>周转筐－退回入库</v>
      </c>
      <c r="E141" s="16" t="str">
        <f>IFERROR(IF([2]对账明细接口!$E$141=0,"",[2]对账明细接口!$E$141),"")</f>
        <v>NO:0000789</v>
      </c>
      <c r="F141" s="16" t="str">
        <f>IFERROR(IF([2]对账明细接口!$F$141=0,"",[2]对账明细接口!$F$141),"")</f>
        <v>公司一次性筐</v>
      </c>
      <c r="G141" s="16">
        <f>IFERROR(IF([2]对账明细接口!$G$141=0,"",[2]对账明细接口!$G$141),"")</f>
      </c>
      <c r="H141" s="176">
        <f>IFERROR(IF([2]对账明细接口!$H$141=0,"",[2]对账明细接口!$H$141),"")</f>
        <v>1</v>
      </c>
      <c r="I141" s="16" t="str">
        <f>IFERROR(IF([2]对账明细接口!$I$141=0,"",[2]对账明细接口!$I$141),"")</f>
        <v>个</v>
      </c>
      <c r="J141" s="177">
        <f>IFERROR(IF([2]对账明细接口!$J$141=0,"",[2]对账明细接口!$J$141),"")</f>
      </c>
      <c r="K141" s="177">
        <f>IFERROR(IF([2]对账明细接口!$K$141=0,"",[2]对账明细接口!$K$141),"")</f>
      </c>
      <c r="L141" s="16">
        <f>IFERROR(IF([2]对账明细接口!$L$141=0,"",[2]对账明细接口!$L$141),"")</f>
      </c>
      <c r="M141" s="16">
        <f>IFERROR(IF([2]对账明细接口!$M$141=0,"",[2]对账明细接口!$M$141),"")</f>
      </c>
      <c r="N141" s="19">
        <f>IF($C141="",0,1)</f>
        <v>1</v>
      </c>
      <c r="O141" s="19">
        <f>N(O140)+$N141</f>
        <v>138</v>
      </c>
      <c r="S141" s="20" t="str">
        <f>IFERROR(IF([2]对账明细接口!$N141=0,"",[2]对账明细接口!$N141),"")</f>
        <v>公司一次性筐</v>
      </c>
      <c r="T141" s="212">
        <f>IFERROR(IF([2]对账明细接口!$O141=0,"",[2]对账明细接口!$O141),"")</f>
      </c>
      <c r="U141" s="212">
        <f>IFERROR(IF([2]对账明细接口!$P141=0,"",[2]对账明细接口!$P141),"")</f>
        <v>1</v>
      </c>
      <c r="V141" s="212">
        <f>IFERROR(IF([2]对账明细接口!$Q141=0,"",[2]对账明细接口!$Q141),"")</f>
      </c>
      <c r="W141" s="20" t="str">
        <f>IFERROR(IF([2]对账明细接口!$R141=0,"",[2]对账明细接口!$R141),"")</f>
        <v>豫L*88X19</v>
      </c>
      <c r="X141" s="20" t="str">
        <f>IFERROR(IF([2]对账明细接口!$S141=0,"",[2]对账明细接口!$S141),"")</f>
        <v>公司筐</v>
      </c>
      <c r="Y141" s="20">
        <f>""</f>
      </c>
      <c r="Z141" s="20">
        <f>""</f>
      </c>
      <c r="AA141" s="20">
        <f>""</f>
      </c>
      <c r="AB141" s="20">
        <f>""</f>
      </c>
    </row>
    <row r="142" s="127">
      <c r="A142" s="14" t="n">
        <v>142</v>
      </c>
      <c r="B142" s="211">
        <f>IFERROR(IF([2]对账明细接口!$B$142=0,"",[2]对账明细接口!$B$142),"")</f>
        <v>46277.0</v>
      </c>
      <c r="C142" s="16" t="str">
        <f>IFERROR(IF([2]对账明细接口!$C$142=0,"",[2]对账明细接口!$C$142),"")</f>
        <v>王照雪</v>
      </c>
      <c r="D142" s="16" t="str">
        <f>IFERROR(IF([2]对账明细接口!$D$142=0,"",[2]对账明细接口!$D$142),"")</f>
        <v>周转筐－退回入库</v>
      </c>
      <c r="E142" s="16" t="str">
        <f>IFERROR(IF([2]对账明细接口!$E$142=0,"",[2]对账明细接口!$E$142),"")</f>
        <v>NO:0000792</v>
      </c>
      <c r="F142" s="16" t="str">
        <f>IFERROR(IF([2]对账明细接口!$F$142=0,"",[2]对账明细接口!$F$142),"")</f>
        <v>公司杂周转筐</v>
      </c>
      <c r="G142" s="16">
        <f>IFERROR(IF([2]对账明细接口!$G$142=0,"",[2]对账明细接口!$G$142),"")</f>
      </c>
      <c r="H142" s="176">
        <f>IFERROR(IF([2]对账明细接口!$H$142=0,"",[2]对账明细接口!$H$142),"")</f>
        <v>45</v>
      </c>
      <c r="I142" s="16" t="str">
        <f>IFERROR(IF([2]对账明细接口!$I$142=0,"",[2]对账明细接口!$I$142),"")</f>
        <v>个</v>
      </c>
      <c r="J142" s="177">
        <f>IFERROR(IF([2]对账明细接口!$J$142=0,"",[2]对账明细接口!$J$142),"")</f>
      </c>
      <c r="K142" s="177">
        <f>IFERROR(IF([2]对账明细接口!$K$142=0,"",[2]对账明细接口!$K$142),"")</f>
      </c>
      <c r="L142" s="16">
        <f>IFERROR(IF([2]对账明细接口!$L$142=0,"",[2]对账明细接口!$L$142),"")</f>
      </c>
      <c r="M142" s="16">
        <f>IFERROR(IF([2]对账明细接口!$M$142=0,"",[2]对账明细接口!$M$142),"")</f>
      </c>
      <c r="N142" s="19">
        <f>IF($C142="",0,1)</f>
        <v>1</v>
      </c>
      <c r="O142" s="19">
        <f>N(O141)+$N142</f>
        <v>139</v>
      </c>
      <c r="S142" s="20" t="str">
        <f>IFERROR(IF([2]对账明细接口!$N142=0,"",[2]对账明细接口!$N142),"")</f>
        <v>公司杂周转筐</v>
      </c>
      <c r="T142" s="212">
        <f>IFERROR(IF([2]对账明细接口!$O142=0,"",[2]对账明细接口!$O142),"")</f>
      </c>
      <c r="U142" s="212">
        <f>IFERROR(IF([2]对账明细接口!$P142=0,"",[2]对账明细接口!$P142),"")</f>
        <v>45</v>
      </c>
      <c r="V142" s="212">
        <f>IFERROR(IF([2]对账明细接口!$Q142=0,"",[2]对账明细接口!$Q142),"")</f>
      </c>
      <c r="W142" s="20" t="str">
        <f>IFERROR(IF([2]对账明细接口!$R142=0,"",[2]对账明细接口!$R142),"")</f>
        <v>豫L*88X19</v>
      </c>
      <c r="X142" s="20" t="str">
        <f>IFERROR(IF([2]对账明细接口!$S142=0,"",[2]对账明细接口!$S142),"")</f>
        <v>公司筐</v>
      </c>
      <c r="Y142" s="20">
        <f>""</f>
      </c>
      <c r="Z142" s="20">
        <f>""</f>
      </c>
      <c r="AA142" s="20">
        <f>""</f>
      </c>
      <c r="AB142" s="20">
        <f>""</f>
      </c>
    </row>
    <row r="143" s="127">
      <c r="A143" s="14" t="n">
        <v>143</v>
      </c>
      <c r="B143" s="211">
        <f>IFERROR(IF([2]对账明细接口!$B$143=0,"",[2]对账明细接口!$B$143),"")</f>
        <v>46277.0</v>
      </c>
      <c r="C143" s="16" t="str">
        <f>IFERROR(IF([2]对账明细接口!$C$143=0,"",[2]对账明细接口!$C$143),"")</f>
        <v>全修塑业</v>
      </c>
      <c r="D143" s="16" t="str">
        <f>IFERROR(IF([2]对账明细接口!$D$143=0,"",[2]对账明细接口!$D$143),"")</f>
        <v>周转筐－采购入库</v>
      </c>
      <c r="E143" s="16" t="str">
        <f>IFERROR(IF([2]对账明细接口!$E$143=0,"",[2]对账明细接口!$E$143),"")</f>
        <v>NO:0000795</v>
      </c>
      <c r="F143" s="16" t="str">
        <f>IFERROR(IF([2]对账明细接口!$F$143=0,"",[2]对账明细接口!$F$143),"")</f>
        <v>公司红周转筐</v>
      </c>
      <c r="G143" s="16">
        <f>IFERROR(IF([2]对账明细接口!$G$143=0,"",[2]对账明细接口!$G$143),"")</f>
      </c>
      <c r="H143" s="176">
        <f>IFERROR(IF([2]对账明细接口!$H$143=0,"",[2]对账明细接口!$H$143),"")</f>
        <v>846</v>
      </c>
      <c r="I143" s="16" t="str">
        <f>IFERROR(IF([2]对账明细接口!$I$143=0,"",[2]对账明细接口!$I$143),"")</f>
        <v>个</v>
      </c>
      <c r="J143" s="177">
        <f>IFERROR(IF([2]对账明细接口!$J$143=0,"",[2]对账明细接口!$J$143),"")</f>
      </c>
      <c r="K143" s="177">
        <f>IFERROR(IF([2]对账明细接口!$K$143=0,"",[2]对账明细接口!$K$143),"")</f>
        <v>8460</v>
      </c>
      <c r="L143" s="16" t="str">
        <f>IFERROR(IF([2]对账明细接口!$L$143=0,"",[2]对账明细接口!$L$143),"")</f>
        <v>未付款</v>
      </c>
      <c r="M143" s="16" t="str">
        <f>IFERROR(IF([2]对账明细接口!$M$143=0,"",[2]对账明细接口!$M$143),"")</f>
        <v>NO:0017213</v>
      </c>
      <c r="N143" s="19">
        <f>IF($C143="",0,1)</f>
        <v>1</v>
      </c>
      <c r="O143" s="19">
        <f>N(O142)+$N143</f>
        <v>140</v>
      </c>
      <c r="S143" s="20" t="str">
        <f>IFERROR(IF([2]对账明细接口!$N143=0,"",[2]对账明细接口!$N143),"")</f>
        <v>公司红周转筐</v>
      </c>
      <c r="T143" s="212">
        <f>IFERROR(IF([2]对账明细接口!$O143=0,"",[2]对账明细接口!$O143),"")</f>
      </c>
      <c r="U143" s="212">
        <f>IFERROR(IF([2]对账明细接口!$P143=0,"",[2]对账明细接口!$P143),"")</f>
      </c>
      <c r="V143" s="212">
        <f>IFERROR(IF([2]对账明细接口!$Q143=0,"",[2]对账明细接口!$Q143),"")</f>
        <v>846</v>
      </c>
      <c r="W143" s="20" t="str">
        <f>IFERROR(IF([2]对账明细接口!$R143=0,"",[2]对账明细接口!$R143),"")</f>
        <v>新A*G0554</v>
      </c>
      <c r="X143" s="20" t="str">
        <f>IFERROR(IF([2]对账明细接口!$S143=0,"",[2]对账明细接口!$S143),"")</f>
        <v>公司筐</v>
      </c>
      <c r="Y143" s="20">
        <f>""</f>
      </c>
      <c r="Z143" s="20">
        <f>""</f>
      </c>
      <c r="AA143" s="20">
        <f>""</f>
      </c>
      <c r="AB143" s="20">
        <f>""</f>
      </c>
    </row>
    <row r="144" s="127">
      <c r="A144" s="14" t="n">
        <v>144</v>
      </c>
      <c r="B144" s="211">
        <f>IFERROR(IF([2]对账明细接口!$B$144=0,"",[2]对账明细接口!$B$144),"")</f>
        <v>46277.0</v>
      </c>
      <c r="C144" s="16" t="str">
        <f>IFERROR(IF([2]对账明细接口!$C$144=0,"",[2]对账明细接口!$C$144),"")</f>
        <v>麦麦提</v>
      </c>
      <c r="D144" s="16" t="str">
        <f>IFERROR(IF([2]对账明细接口!$D$144=0,"",[2]对账明细接口!$D$144),"")</f>
        <v>周转筐－领用出库</v>
      </c>
      <c r="E144" s="16" t="str">
        <f>IFERROR(IF([2]对账明细接口!$E$144=0,"",[2]对账明细接口!$E$144),"")</f>
        <v>NO:0001125</v>
      </c>
      <c r="F144" s="16" t="str">
        <f>IFERROR(IF([2]对账明细接口!$F$144=0,"",[2]对账明细接口!$F$144),"")</f>
        <v>公司红周转筐</v>
      </c>
      <c r="G144" s="16">
        <f>IFERROR(IF([2]对账明细接口!$G$144=0,"",[2]对账明细接口!$G$144),"")</f>
      </c>
      <c r="H144" s="176">
        <f>IFERROR(IF([2]对账明细接口!$H$144=0,"",[2]对账明细接口!$H$144),"")</f>
        <v>846</v>
      </c>
      <c r="I144" s="16" t="str">
        <f>IFERROR(IF([2]对账明细接口!$I$144=0,"",[2]对账明细接口!$I$144),"")</f>
        <v>个</v>
      </c>
      <c r="J144" s="177">
        <f>IFERROR(IF([2]对账明细接口!$J$144=0,"",[2]对账明细接口!$J$144),"")</f>
      </c>
      <c r="K144" s="177">
        <f>IFERROR(IF([2]对账明细接口!$K$144=0,"",[2]对账明细接口!$K$144),"")</f>
      </c>
      <c r="L144" s="16">
        <f>IFERROR(IF([2]对账明细接口!$L$144=0,"",[2]对账明细接口!$L$144),"")</f>
      </c>
      <c r="M144" s="16">
        <f>IFERROR(IF([2]对账明细接口!$M$144=0,"",[2]对账明细接口!$M$144),"")</f>
      </c>
      <c r="N144" s="19">
        <f>IF($C144="",0,1)</f>
        <v>1</v>
      </c>
      <c r="O144" s="19">
        <f>N(O143)+$N144</f>
        <v>141</v>
      </c>
      <c r="S144" s="20" t="str">
        <f>IFERROR(IF([2]对账明细接口!$N144=0,"",[2]对账明细接口!$N144),"")</f>
        <v>公司红周转筐</v>
      </c>
      <c r="T144" s="212">
        <f>IFERROR(IF([2]对账明细接口!$O144=0,"",[2]对账明细接口!$O144),"")</f>
        <v>846</v>
      </c>
      <c r="U144" s="212">
        <f>IFERROR(IF([2]对账明细接口!$P144=0,"",[2]对账明细接口!$P144),"")</f>
      </c>
      <c r="V144" s="212">
        <f>IFERROR(IF([2]对账明细接口!$Q144=0,"",[2]对账明细接口!$Q144),"")</f>
      </c>
      <c r="W144" s="20" t="str">
        <f>IFERROR(IF([2]对账明细接口!$R144=0,"",[2]对账明细接口!$R144),"")</f>
        <v>新A*G0554</v>
      </c>
      <c r="X144" s="20" t="str">
        <f>IFERROR(IF([2]对账明细接口!$S144=0,"",[2]对账明细接口!$S144),"")</f>
        <v>公司筐</v>
      </c>
      <c r="Y144" s="20">
        <f>""</f>
      </c>
      <c r="Z144" s="20">
        <f>""</f>
      </c>
      <c r="AA144" s="20">
        <f>""</f>
      </c>
      <c r="AB144" s="20">
        <f>""</f>
      </c>
    </row>
    <row r="145" s="127">
      <c r="A145" s="14" t="n">
        <v>145</v>
      </c>
      <c r="B145" s="211">
        <f>IFERROR(IF([2]对账明细接口!$B$145=0,"",[2]对账明细接口!$B$145),"")</f>
        <v>46278.0</v>
      </c>
      <c r="C145" s="16" t="str">
        <f>IFERROR(IF([2]对账明细接口!$C$145=0,"",[2]对账明细接口!$C$145),"")</f>
        <v>全修塑业</v>
      </c>
      <c r="D145" s="16" t="str">
        <f>IFERROR(IF([2]对账明细接口!$D$145=0,"",[2]对账明细接口!$D$145),"")</f>
        <v>周转筐－采购入库</v>
      </c>
      <c r="E145" s="16" t="str">
        <f>IFERROR(IF([2]对账明细接口!$E$145=0,"",[2]对账明细接口!$E$145),"")</f>
        <v>NO:0000798</v>
      </c>
      <c r="F145" s="16" t="str">
        <f>IFERROR(IF([2]对账明细接口!$F$145=0,"",[2]对账明细接口!$F$145),"")</f>
        <v>公司红周转筐</v>
      </c>
      <c r="G145" s="16">
        <f>IFERROR(IF([2]对账明细接口!$G$145=0,"",[2]对账明细接口!$G$145),"")</f>
      </c>
      <c r="H145" s="176">
        <f>IFERROR(IF([2]对账明细接口!$H$145=0,"",[2]对账明细接口!$H$145),"")</f>
        <v>960</v>
      </c>
      <c r="I145" s="16" t="str">
        <f>IFERROR(IF([2]对账明细接口!$I$145=0,"",[2]对账明细接口!$I$145),"")</f>
        <v>个</v>
      </c>
      <c r="J145" s="177">
        <f>IFERROR(IF([2]对账明细接口!$J$145=0,"",[2]对账明细接口!$J$145),"")</f>
      </c>
      <c r="K145" s="177">
        <f>IFERROR(IF([2]对账明细接口!$K$145=0,"",[2]对账明细接口!$K$145),"")</f>
        <v>9600</v>
      </c>
      <c r="L145" s="16" t="str">
        <f>IFERROR(IF([2]对账明细接口!$L$145=0,"",[2]对账明细接口!$L$145),"")</f>
        <v>未付款</v>
      </c>
      <c r="M145" s="16" t="str">
        <f>IFERROR(IF([2]对账明细接口!$M$145=0,"",[2]对账明细接口!$M$145),"")</f>
        <v>NO:0017215</v>
      </c>
      <c r="N145" s="19">
        <f>IF($C145="",0,1)</f>
        <v>1</v>
      </c>
      <c r="O145" s="19">
        <f>N(O144)+$N145</f>
        <v>142</v>
      </c>
      <c r="S145" s="20" t="str">
        <f>IFERROR(IF([2]对账明细接口!$N145=0,"",[2]对账明细接口!$N145),"")</f>
        <v>公司红周转筐</v>
      </c>
      <c r="T145" s="212">
        <f>IFERROR(IF([2]对账明细接口!$O145=0,"",[2]对账明细接口!$O145),"")</f>
      </c>
      <c r="U145" s="212">
        <f>IFERROR(IF([2]对账明细接口!$P145=0,"",[2]对账明细接口!$P145),"")</f>
      </c>
      <c r="V145" s="212">
        <f>IFERROR(IF([2]对账明细接口!$Q145=0,"",[2]对账明细接口!$Q145),"")</f>
        <v>960</v>
      </c>
      <c r="W145" s="20" t="str">
        <f>IFERROR(IF([2]对账明细接口!$R145=0,"",[2]对账明细接口!$R145),"")</f>
        <v>新N*49209</v>
      </c>
      <c r="X145" s="20" t="str">
        <f>IFERROR(IF([2]对账明细接口!$S145=0,"",[2]对账明细接口!$S145),"")</f>
        <v>公司筐</v>
      </c>
      <c r="Y145" s="20">
        <f>""</f>
      </c>
      <c r="Z145" s="20">
        <f>""</f>
      </c>
      <c r="AA145" s="20">
        <f>""</f>
      </c>
      <c r="AB145" s="20">
        <f>""</f>
      </c>
    </row>
    <row r="146" s="127">
      <c r="A146" s="14" t="n">
        <v>146</v>
      </c>
      <c r="B146" s="211">
        <f>IFERROR(IF([2]对账明细接口!$B$146=0,"",[2]对账明细接口!$B$146),"")</f>
        <v>46278.0</v>
      </c>
      <c r="C146" s="16" t="str">
        <f>IFERROR(IF([2]对账明细接口!$C$146=0,"",[2]对账明细接口!$C$146),"")</f>
        <v>王照雪</v>
      </c>
      <c r="D146" s="16" t="str">
        <f>IFERROR(IF([2]对账明细接口!$D$146=0,"",[2]对账明细接口!$D$146),"")</f>
        <v>周转筐－领用出库</v>
      </c>
      <c r="E146" s="16" t="str">
        <f>IFERROR(IF([2]对账明细接口!$E$146=0,"",[2]对账明细接口!$E$146),"")</f>
        <v>NO:0001129</v>
      </c>
      <c r="F146" s="16" t="str">
        <f>IFERROR(IF([2]对账明细接口!$F$146=0,"",[2]对账明细接口!$F$146),"")</f>
        <v>公司杂周转筐</v>
      </c>
      <c r="G146" s="16">
        <f>IFERROR(IF([2]对账明细接口!$G$146=0,"",[2]对账明细接口!$G$146),"")</f>
      </c>
      <c r="H146" s="176">
        <f>IFERROR(IF([2]对账明细接口!$H$146=0,"",[2]对账明细接口!$H$146),"")</f>
        <v>423</v>
      </c>
      <c r="I146" s="16" t="str">
        <f>IFERROR(IF([2]对账明细接口!$I$146=0,"",[2]对账明细接口!$I$146),"")</f>
        <v>个</v>
      </c>
      <c r="J146" s="177">
        <f>IFERROR(IF([2]对账明细接口!$J$146=0,"",[2]对账明细接口!$J$146),"")</f>
      </c>
      <c r="K146" s="177">
        <f>IFERROR(IF([2]对账明细接口!$K$146=0,"",[2]对账明细接口!$K$146),"")</f>
      </c>
      <c r="L146" s="16">
        <f>IFERROR(IF([2]对账明细接口!$L$146=0,"",[2]对账明细接口!$L$146),"")</f>
      </c>
      <c r="M146" s="16">
        <f>IFERROR(IF([2]对账明细接口!$M$146=0,"",[2]对账明细接口!$M$146),"")</f>
      </c>
      <c r="N146" s="19">
        <f>IF($C146="",0,1)</f>
        <v>1</v>
      </c>
      <c r="O146" s="19">
        <f>N(O145)+$N146</f>
        <v>143</v>
      </c>
      <c r="S146" s="20" t="str">
        <f>IFERROR(IF([2]对账明细接口!$N146=0,"",[2]对账明细接口!$N146),"")</f>
        <v>公司杂周转筐</v>
      </c>
      <c r="T146" s="212">
        <f>IFERROR(IF([2]对账明细接口!$O146=0,"",[2]对账明细接口!$O146),"")</f>
        <v>423</v>
      </c>
      <c r="U146" s="212">
        <f>IFERROR(IF([2]对账明细接口!$P146=0,"",[2]对账明细接口!$P146),"")</f>
      </c>
      <c r="V146" s="212">
        <f>IFERROR(IF([2]对账明细接口!$Q146=0,"",[2]对账明细接口!$Q146),"")</f>
      </c>
      <c r="W146" s="20" t="str">
        <f>IFERROR(IF([2]对账明细接口!$R146=0,"",[2]对账明细接口!$R146),"")</f>
        <v>豫L*88X19</v>
      </c>
      <c r="X146" s="20" t="str">
        <f>IFERROR(IF([2]对账明细接口!$S146=0,"",[2]对账明细接口!$S146),"")</f>
        <v>公司筐</v>
      </c>
      <c r="Y146" s="20">
        <f>""</f>
      </c>
      <c r="Z146" s="20">
        <f>""</f>
      </c>
      <c r="AA146" s="20">
        <f>""</f>
      </c>
      <c r="AB146" s="20">
        <f>""</f>
      </c>
    </row>
    <row r="147" s="127">
      <c r="A147" s="14" t="n">
        <v>147</v>
      </c>
      <c r="B147" s="211">
        <f>IFERROR(IF([2]对账明细接口!$B$147=0,"",[2]对账明细接口!$B$147),"")</f>
        <v>46278.0</v>
      </c>
      <c r="C147" s="16" t="str">
        <f>IFERROR(IF([2]对账明细接口!$C$147=0,"",[2]对账明细接口!$C$147),"")</f>
        <v>王灵云</v>
      </c>
      <c r="D147" s="16" t="str">
        <f>IFERROR(IF([2]对账明细接口!$D$147=0,"",[2]对账明细接口!$D$147),"")</f>
        <v>周转筐－领用出库</v>
      </c>
      <c r="E147" s="16" t="str">
        <f>IFERROR(IF([2]对账明细接口!$E$147=0,"",[2]对账明细接口!$E$147),"")</f>
        <v>NO:0001130</v>
      </c>
      <c r="F147" s="16" t="str">
        <f>IFERROR(IF([2]对账明细接口!$F$147=0,"",[2]对账明细接口!$F$147),"")</f>
        <v>公司红周转筐</v>
      </c>
      <c r="G147" s="16">
        <f>IFERROR(IF([2]对账明细接口!$G$147=0,"",[2]对账明细接口!$G$147),"")</f>
      </c>
      <c r="H147" s="176">
        <f>IFERROR(IF([2]对账明细接口!$H$147=0,"",[2]对账明细接口!$H$147),"")</f>
        <v>960</v>
      </c>
      <c r="I147" s="16" t="str">
        <f>IFERROR(IF([2]对账明细接口!$I$147=0,"",[2]对账明细接口!$I$147),"")</f>
        <v>个</v>
      </c>
      <c r="J147" s="177">
        <f>IFERROR(IF([2]对账明细接口!$J$147=0,"",[2]对账明细接口!$J$147),"")</f>
      </c>
      <c r="K147" s="177">
        <f>IFERROR(IF([2]对账明细接口!$K$147=0,"",[2]对账明细接口!$K$147),"")</f>
      </c>
      <c r="L147" s="16">
        <f>IFERROR(IF([2]对账明细接口!$L$147=0,"",[2]对账明细接口!$L$147),"")</f>
      </c>
      <c r="M147" s="16">
        <f>IFERROR(IF([2]对账明细接口!$M$147=0,"",[2]对账明细接口!$M$147),"")</f>
      </c>
      <c r="N147" s="19">
        <f>IF($C147="",0,1)</f>
        <v>1</v>
      </c>
      <c r="O147" s="19">
        <f>N(O146)+$N147</f>
        <v>144</v>
      </c>
      <c r="S147" s="20" t="str">
        <f>IFERROR(IF([2]对账明细接口!$N147=0,"",[2]对账明细接口!$N147),"")</f>
        <v>公司红周转筐</v>
      </c>
      <c r="T147" s="212">
        <f>IFERROR(IF([2]对账明细接口!$O147=0,"",[2]对账明细接口!$O147),"")</f>
        <v>960</v>
      </c>
      <c r="U147" s="212">
        <f>IFERROR(IF([2]对账明细接口!$P147=0,"",[2]对账明细接口!$P147),"")</f>
      </c>
      <c r="V147" s="212">
        <f>IFERROR(IF([2]对账明细接口!$Q147=0,"",[2]对账明细接口!$Q147),"")</f>
      </c>
      <c r="W147" s="20" t="str">
        <f>IFERROR(IF([2]对账明细接口!$R147=0,"",[2]对账明细接口!$R147),"")</f>
        <v>新N*49209</v>
      </c>
      <c r="X147" s="20" t="str">
        <f>IFERROR(IF([2]对账明细接口!$S147=0,"",[2]对账明细接口!$S147),"")</f>
        <v>公司筐</v>
      </c>
      <c r="Y147" s="20">
        <f>""</f>
      </c>
      <c r="Z147" s="20">
        <f>""</f>
      </c>
      <c r="AA147" s="20">
        <f>""</f>
      </c>
      <c r="AB147" s="20">
        <f>""</f>
      </c>
    </row>
    <row r="148" s="127">
      <c r="A148" s="14" t="n">
        <v>148</v>
      </c>
      <c r="B148" s="211">
        <f>IFERROR(IF([2]对账明细接口!$B$148=0,"",[2]对账明细接口!$B$148),"")</f>
        <v>46278.0</v>
      </c>
      <c r="C148" s="16" t="str">
        <f>IFERROR(IF([2]对账明细接口!$C$148=0,"",[2]对账明细接口!$C$148),"")</f>
        <v>马锦祥</v>
      </c>
      <c r="D148" s="16" t="str">
        <f>IFERROR(IF([2]对账明细接口!$D$148=0,"",[2]对账明细接口!$D$148),"")</f>
        <v>周转筐－领用出库</v>
      </c>
      <c r="E148" s="16" t="str">
        <f>IFERROR(IF([2]对账明细接口!$E$148=0,"",[2]对账明细接口!$E$148),"")</f>
        <v>NO:0001131</v>
      </c>
      <c r="F148" s="16" t="str">
        <f>IFERROR(IF([2]对账明细接口!$F$148=0,"",[2]对账明细接口!$F$148),"")</f>
        <v>公司杂周转筐</v>
      </c>
      <c r="G148" s="16">
        <f>IFERROR(IF([2]对账明细接口!$G$148=0,"",[2]对账明细接口!$G$148),"")</f>
      </c>
      <c r="H148" s="176">
        <f>IFERROR(IF([2]对账明细接口!$H$148=0,"",[2]对账明细接口!$H$148),"")</f>
        <v>588</v>
      </c>
      <c r="I148" s="16" t="str">
        <f>IFERROR(IF([2]对账明细接口!$I$148=0,"",[2]对账明细接口!$I$148),"")</f>
        <v>个</v>
      </c>
      <c r="J148" s="177">
        <f>IFERROR(IF([2]对账明细接口!$J$148=0,"",[2]对账明细接口!$J$148),"")</f>
      </c>
      <c r="K148" s="177">
        <f>IFERROR(IF([2]对账明细接口!$K$148=0,"",[2]对账明细接口!$K$148),"")</f>
      </c>
      <c r="L148" s="16">
        <f>IFERROR(IF([2]对账明细接口!$L$148=0,"",[2]对账明细接口!$L$148),"")</f>
      </c>
      <c r="M148" s="16">
        <f>IFERROR(IF([2]对账明细接口!$M$148=0,"",[2]对账明细接口!$M$148),"")</f>
      </c>
      <c r="N148" s="19">
        <f>IF($C148="",0,1)</f>
        <v>1</v>
      </c>
      <c r="O148" s="19">
        <f>N(O147)+$N148</f>
        <v>145</v>
      </c>
      <c r="S148" s="20" t="str">
        <f>IFERROR(IF([2]对账明细接口!$N148=0,"",[2]对账明细接口!$N148),"")</f>
        <v>公司杂周转筐</v>
      </c>
      <c r="T148" s="212">
        <f>IFERROR(IF([2]对账明细接口!$O148=0,"",[2]对账明细接口!$O148),"")</f>
        <v>588</v>
      </c>
      <c r="U148" s="212">
        <f>IFERROR(IF([2]对账明细接口!$P148=0,"",[2]对账明细接口!$P148),"")</f>
      </c>
      <c r="V148" s="212">
        <f>IFERROR(IF([2]对账明细接口!$Q148=0,"",[2]对账明细接口!$Q148),"")</f>
      </c>
      <c r="W148" s="20" t="str">
        <f>IFERROR(IF([2]对账明细接口!$R148=0,"",[2]对账明细接口!$R148),"")</f>
        <v>新N*K7V85</v>
      </c>
      <c r="X148" s="20" t="str">
        <f>IFERROR(IF([2]对账明细接口!$S148=0,"",[2]对账明细接口!$S148),"")</f>
        <v>公司筐</v>
      </c>
      <c r="Y148" s="20">
        <f>""</f>
      </c>
      <c r="Z148" s="20">
        <f>""</f>
      </c>
      <c r="AA148" s="20">
        <f>""</f>
      </c>
      <c r="AB148" s="20">
        <f>""</f>
      </c>
    </row>
    <row r="149" s="127">
      <c r="A149" s="14" t="n">
        <v>149</v>
      </c>
      <c r="B149" s="211">
        <f>IFERROR(IF([2]对账明细接口!$B$149=0,"",[2]对账明细接口!$B$149),"")</f>
        <v>46278.0</v>
      </c>
      <c r="C149" s="16" t="str">
        <f>IFERROR(IF([2]对账明细接口!$C$149=0,"",[2]对账明细接口!$C$149),"")</f>
        <v>全修塑业</v>
      </c>
      <c r="D149" s="16" t="str">
        <f>IFERROR(IF([2]对账明细接口!$D$149=0,"",[2]对账明细接口!$D$149),"")</f>
        <v>周转筐－采购入库</v>
      </c>
      <c r="E149" s="16" t="str">
        <f>IFERROR(IF([2]对账明细接口!$E$149=0,"",[2]对账明细接口!$E$149),"")</f>
        <v>NO:0000853</v>
      </c>
      <c r="F149" s="16" t="str">
        <f>IFERROR(IF([2]对账明细接口!$F$149=0,"",[2]对账明细接口!$F$149),"")</f>
        <v>公司红周转筐</v>
      </c>
      <c r="G149" s="16">
        <f>IFERROR(IF([2]对账明细接口!$G$149=0,"",[2]对账明细接口!$G$149),"")</f>
      </c>
      <c r="H149" s="176">
        <f>IFERROR(IF([2]对账明细接口!$H$149=0,"",[2]对账明细接口!$H$149),"")</f>
        <v>960</v>
      </c>
      <c r="I149" s="16" t="str">
        <f>IFERROR(IF([2]对账明细接口!$I$149=0,"",[2]对账明细接口!$I$149),"")</f>
        <v>个</v>
      </c>
      <c r="J149" s="177">
        <f>IFERROR(IF([2]对账明细接口!$J$149=0,"",[2]对账明细接口!$J$149),"")</f>
      </c>
      <c r="K149" s="177">
        <f>IFERROR(IF([2]对账明细接口!$K$149=0,"",[2]对账明细接口!$K$149),"")</f>
        <v>9600</v>
      </c>
      <c r="L149" s="16" t="str">
        <f>IFERROR(IF([2]对账明细接口!$L$149=0,"",[2]对账明细接口!$L$149),"")</f>
        <v>未付款</v>
      </c>
      <c r="M149" s="16" t="str">
        <f>IFERROR(IF([2]对账明细接口!$M$149=0,"",[2]对账明细接口!$M$149),"")</f>
        <v>NO:0017217</v>
      </c>
      <c r="N149" s="19">
        <f>IF($C149="",0,1)</f>
        <v>1</v>
      </c>
      <c r="O149" s="19">
        <f>N(O148)+$N149</f>
        <v>146</v>
      </c>
      <c r="S149" s="20" t="str">
        <f>IFERROR(IF([2]对账明细接口!$N149=0,"",[2]对账明细接口!$N149),"")</f>
        <v>公司红周转筐</v>
      </c>
      <c r="T149" s="212">
        <f>IFERROR(IF([2]对账明细接口!$O149=0,"",[2]对账明细接口!$O149),"")</f>
      </c>
      <c r="U149" s="212">
        <f>IFERROR(IF([2]对账明细接口!$P149=0,"",[2]对账明细接口!$P149),"")</f>
      </c>
      <c r="V149" s="212">
        <f>IFERROR(IF([2]对账明细接口!$Q149=0,"",[2]对账明细接口!$Q149),"")</f>
        <v>960</v>
      </c>
      <c r="W149" s="20" t="str">
        <f>IFERROR(IF([2]对账明细接口!$R149=0,"",[2]对账明细接口!$R149),"")</f>
        <v>新N*49209</v>
      </c>
      <c r="X149" s="20" t="str">
        <f>IFERROR(IF([2]对账明细接口!$S149=0,"",[2]对账明细接口!$S149),"")</f>
        <v>公司筐</v>
      </c>
      <c r="Y149" s="20">
        <f>""</f>
      </c>
      <c r="Z149" s="20">
        <f>""</f>
      </c>
      <c r="AA149" s="20">
        <f>""</f>
      </c>
      <c r="AB149" s="20">
        <f>""</f>
      </c>
    </row>
    <row r="150" s="127">
      <c r="A150" s="14" t="n">
        <v>150</v>
      </c>
      <c r="B150" s="211">
        <f>IFERROR(IF([2]对账明细接口!$B$150=0,"",[2]对账明细接口!$B$150),"")</f>
        <v>46278.0</v>
      </c>
      <c r="C150" s="16" t="str">
        <f>IFERROR(IF([2]对账明细接口!$C$150=0,"",[2]对账明细接口!$C$150),"")</f>
        <v>王灵云</v>
      </c>
      <c r="D150" s="16" t="str">
        <f>IFERROR(IF([2]对账明细接口!$D$150=0,"",[2]对账明细接口!$D$150),"")</f>
        <v>周转筐－领用出库</v>
      </c>
      <c r="E150" s="16" t="str">
        <f>IFERROR(IF([2]对账明细接口!$E$150=0,"",[2]对账明细接口!$E$150),"")</f>
        <v>NO:0001135</v>
      </c>
      <c r="F150" s="16" t="str">
        <f>IFERROR(IF([2]对账明细接口!$F$150=0,"",[2]对账明细接口!$F$150),"")</f>
        <v>公司红周转筐</v>
      </c>
      <c r="G150" s="16">
        <f>IFERROR(IF([2]对账明细接口!$G$150=0,"",[2]对账明细接口!$G$150),"")</f>
      </c>
      <c r="H150" s="176">
        <f>IFERROR(IF([2]对账明细接口!$H$150=0,"",[2]对账明细接口!$H$150),"")</f>
        <v>960</v>
      </c>
      <c r="I150" s="16" t="str">
        <f>IFERROR(IF([2]对账明细接口!$I$150=0,"",[2]对账明细接口!$I$150),"")</f>
        <v>个</v>
      </c>
      <c r="J150" s="177">
        <f>IFERROR(IF([2]对账明细接口!$J$150=0,"",[2]对账明细接口!$J$150),"")</f>
      </c>
      <c r="K150" s="177">
        <f>IFERROR(IF([2]对账明细接口!$K$150=0,"",[2]对账明细接口!$K$150),"")</f>
      </c>
      <c r="L150" s="16">
        <f>IFERROR(IF([2]对账明细接口!$L$150=0,"",[2]对账明细接口!$L$150),"")</f>
      </c>
      <c r="M150" s="16">
        <f>IFERROR(IF([2]对账明细接口!$M$150=0,"",[2]对账明细接口!$M$150),"")</f>
      </c>
      <c r="N150" s="19">
        <f>IF($C150="",0,1)</f>
        <v>1</v>
      </c>
      <c r="O150" s="19">
        <f>N(O149)+$N150</f>
        <v>147</v>
      </c>
      <c r="S150" s="20" t="str">
        <f>IFERROR(IF([2]对账明细接口!$N150=0,"",[2]对账明细接口!$N150),"")</f>
        <v>公司红周转筐</v>
      </c>
      <c r="T150" s="212">
        <f>IFERROR(IF([2]对账明细接口!$O150=0,"",[2]对账明细接口!$O150),"")</f>
        <v>960</v>
      </c>
      <c r="U150" s="212">
        <f>IFERROR(IF([2]对账明细接口!$P150=0,"",[2]对账明细接口!$P150),"")</f>
      </c>
      <c r="V150" s="212">
        <f>IFERROR(IF([2]对账明细接口!$Q150=0,"",[2]对账明细接口!$Q150),"")</f>
      </c>
      <c r="W150" s="20" t="str">
        <f>IFERROR(IF([2]对账明细接口!$R150=0,"",[2]对账明细接口!$R150),"")</f>
        <v>新N*49209</v>
      </c>
      <c r="X150" s="20" t="str">
        <f>IFERROR(IF([2]对账明细接口!$S150=0,"",[2]对账明细接口!$S150),"")</f>
        <v>公司筐</v>
      </c>
      <c r="Y150" s="20">
        <f>""</f>
      </c>
      <c r="Z150" s="20">
        <f>""</f>
      </c>
      <c r="AA150" s="20">
        <f>""</f>
      </c>
      <c r="AB150" s="20">
        <f>""</f>
      </c>
    </row>
    <row r="151" s="127">
      <c r="A151" s="14" t="n">
        <v>151</v>
      </c>
      <c r="B151" s="211">
        <f>IFERROR(IF([2]对账明细接口!$B$151=0,"",[2]对账明细接口!$B$151),"")</f>
        <v>46278.0</v>
      </c>
      <c r="C151" s="16" t="str">
        <f>IFERROR(IF([2]对账明细接口!$C$151=0,"",[2]对账明细接口!$C$151),"")</f>
        <v>李现东</v>
      </c>
      <c r="D151" s="16" t="str">
        <f>IFERROR(IF([2]对账明细接口!$D$151=0,"",[2]对账明细接口!$D$151),"")</f>
        <v>周转筐－领用出库</v>
      </c>
      <c r="E151" s="16" t="str">
        <f>IFERROR(IF([2]对账明细接口!$E$151=0,"",[2]对账明细接口!$E$151),"")</f>
        <v>NO:0001137</v>
      </c>
      <c r="F151" s="16" t="str">
        <f>IFERROR(IF([2]对账明细接口!$F$151=0,"",[2]对账明细接口!$F$151),"")</f>
        <v>公司杂周转筐</v>
      </c>
      <c r="G151" s="16">
        <f>IFERROR(IF([2]对账明细接口!$G$151=0,"",[2]对账明细接口!$G$151),"")</f>
      </c>
      <c r="H151" s="176">
        <f>IFERROR(IF([2]对账明细接口!$H$151=0,"",[2]对账明细接口!$H$151),"")</f>
        <v>711</v>
      </c>
      <c r="I151" s="16" t="str">
        <f>IFERROR(IF([2]对账明细接口!$I$151=0,"",[2]对账明细接口!$I$151),"")</f>
        <v>个</v>
      </c>
      <c r="J151" s="177">
        <f>IFERROR(IF([2]对账明细接口!$J$151=0,"",[2]对账明细接口!$J$151),"")</f>
      </c>
      <c r="K151" s="177">
        <f>IFERROR(IF([2]对账明细接口!$K$151=0,"",[2]对账明细接口!$K$151),"")</f>
      </c>
      <c r="L151" s="16">
        <f>IFERROR(IF([2]对账明细接口!$L$151=0,"",[2]对账明细接口!$L$151),"")</f>
      </c>
      <c r="M151" s="16" t="str">
        <f>IFERROR(IF([2]对账明细接口!$M$151=0,"",[2]对账明细接口!$M$151),"")</f>
        <v>李现东</v>
      </c>
      <c r="N151" s="19">
        <f>IF($C151="",0,1)</f>
        <v>1</v>
      </c>
      <c r="O151" s="19">
        <f>N(O150)+$N151</f>
        <v>148</v>
      </c>
      <c r="S151" s="20" t="str">
        <f>IFERROR(IF([2]对账明细接口!$N151=0,"",[2]对账明细接口!$N151),"")</f>
        <v>公司杂周转筐</v>
      </c>
      <c r="T151" s="212">
        <f>IFERROR(IF([2]对账明细接口!$O151=0,"",[2]对账明细接口!$O151),"")</f>
        <v>711</v>
      </c>
      <c r="U151" s="212">
        <f>IFERROR(IF([2]对账明细接口!$P151=0,"",[2]对账明细接口!$P151),"")</f>
      </c>
      <c r="V151" s="212">
        <f>IFERROR(IF([2]对账明细接口!$Q151=0,"",[2]对账明细接口!$Q151),"")</f>
      </c>
      <c r="W151" s="20" t="str">
        <f>IFERROR(IF([2]对账明细接口!$R151=0,"",[2]对账明细接口!$R151),"")</f>
        <v>新N*53045</v>
      </c>
      <c r="X151" s="20" t="str">
        <f>IFERROR(IF([2]对账明细接口!$S151=0,"",[2]对账明细接口!$S151),"")</f>
        <v>公司筐</v>
      </c>
      <c r="Y151" s="20">
        <f>""</f>
      </c>
      <c r="Z151" s="20">
        <f>""</f>
      </c>
      <c r="AA151" s="20">
        <f>""</f>
      </c>
      <c r="AB151" s="20">
        <f>""</f>
      </c>
    </row>
    <row r="152" s="127">
      <c r="A152" s="14" t="n">
        <v>152</v>
      </c>
      <c r="B152" s="211">
        <f>IFERROR(IF([2]对账明细接口!$B$152=0,"",[2]对账明细接口!$B$152),"")</f>
        <v>46279.0</v>
      </c>
      <c r="C152" s="16" t="str">
        <f>IFERROR(IF([2]对账明细接口!$C$152=0,"",[2]对账明细接口!$C$152),"")</f>
        <v>李现东</v>
      </c>
      <c r="D152" s="16" t="str">
        <f>IFERROR(IF([2]对账明细接口!$D$152=0,"",[2]对账明细接口!$D$152),"")</f>
        <v>周转筐－领用出库</v>
      </c>
      <c r="E152" s="16" t="str">
        <f>IFERROR(IF([2]对账明细接口!$E$152=0,"",[2]对账明细接口!$E$152),"")</f>
        <v>NO:0001140</v>
      </c>
      <c r="F152" s="16" t="str">
        <f>IFERROR(IF([2]对账明细接口!$F$152=0,"",[2]对账明细接口!$F$152),"")</f>
        <v>公司杂周转筐</v>
      </c>
      <c r="G152" s="16">
        <f>IFERROR(IF([2]对账明细接口!$G$152=0,"",[2]对账明细接口!$G$152),"")</f>
      </c>
      <c r="H152" s="176">
        <f>IFERROR(IF([2]对账明细接口!$H$152=0,"",[2]对账明细接口!$H$152),"")</f>
        <v>702</v>
      </c>
      <c r="I152" s="16" t="str">
        <f>IFERROR(IF([2]对账明细接口!$I$152=0,"",[2]对账明细接口!$I$152),"")</f>
        <v>个</v>
      </c>
      <c r="J152" s="177">
        <f>IFERROR(IF([2]对账明细接口!$J$152=0,"",[2]对账明细接口!$J$152),"")</f>
      </c>
      <c r="K152" s="177">
        <f>IFERROR(IF([2]对账明细接口!$K$152=0,"",[2]对账明细接口!$K$152),"")</f>
      </c>
      <c r="L152" s="16">
        <f>IFERROR(IF([2]对账明细接口!$L$152=0,"",[2]对账明细接口!$L$152),"")</f>
      </c>
      <c r="M152" s="16" t="str">
        <f>IFERROR(IF([2]对账明细接口!$M$152=0,"",[2]对账明细接口!$M$152),"")</f>
        <v>李现东</v>
      </c>
      <c r="N152" s="19">
        <f>IF($C152="",0,1)</f>
        <v>1</v>
      </c>
      <c r="O152" s="19">
        <f>N(O151)+$N152</f>
        <v>149</v>
      </c>
      <c r="S152" s="20" t="str">
        <f>IFERROR(IF([2]对账明细接口!$N152=0,"",[2]对账明细接口!$N152),"")</f>
        <v>公司杂周转筐</v>
      </c>
      <c r="T152" s="212">
        <f>IFERROR(IF([2]对账明细接口!$O152=0,"",[2]对账明细接口!$O152),"")</f>
        <v>702</v>
      </c>
      <c r="U152" s="212">
        <f>IFERROR(IF([2]对账明细接口!$P152=0,"",[2]对账明细接口!$P152),"")</f>
      </c>
      <c r="V152" s="212">
        <f>IFERROR(IF([2]对账明细接口!$Q152=0,"",[2]对账明细接口!$Q152),"")</f>
      </c>
      <c r="W152" s="20" t="str">
        <f>IFERROR(IF([2]对账明细接口!$R152=0,"",[2]对账明细接口!$R152),"")</f>
        <v>新N*53045</v>
      </c>
      <c r="X152" s="20" t="str">
        <f>IFERROR(IF([2]对账明细接口!$S152=0,"",[2]对账明细接口!$S152),"")</f>
        <v>公司筐</v>
      </c>
      <c r="Y152" s="20">
        <f>""</f>
      </c>
      <c r="Z152" s="20">
        <f>""</f>
      </c>
      <c r="AA152" s="20">
        <f>""</f>
      </c>
      <c r="AB152" s="20">
        <f>""</f>
      </c>
    </row>
    <row r="153" s="127">
      <c r="A153" s="14" t="n">
        <v>153</v>
      </c>
      <c r="B153" s="211">
        <f>IFERROR(IF([2]对账明细接口!$B$153=0,"",[2]对账明细接口!$B$153),"")</f>
        <v>46279.0</v>
      </c>
      <c r="C153" s="16" t="str">
        <f>IFERROR(IF([2]对账明细接口!$C$153=0,"",[2]对账明细接口!$C$153),"")</f>
        <v>全修塑业</v>
      </c>
      <c r="D153" s="16" t="str">
        <f>IFERROR(IF([2]对账明细接口!$D$153=0,"",[2]对账明细接口!$D$153),"")</f>
        <v>周转筐－采购入库</v>
      </c>
      <c r="E153" s="16" t="str">
        <f>IFERROR(IF([2]对账明细接口!$E$153=0,"",[2]对账明细接口!$E$153),"")</f>
        <v>NO:0000857</v>
      </c>
      <c r="F153" s="16" t="str">
        <f>IFERROR(IF([2]对账明细接口!$F$153=0,"",[2]对账明细接口!$F$153),"")</f>
        <v>公司红周转筐</v>
      </c>
      <c r="G153" s="16">
        <f>IFERROR(IF([2]对账明细接口!$G$153=0,"",[2]对账明细接口!$G$153),"")</f>
      </c>
      <c r="H153" s="176">
        <f>IFERROR(IF([2]对账明细接口!$H$153=0,"",[2]对账明细接口!$H$153),"")</f>
        <v>960</v>
      </c>
      <c r="I153" s="16" t="str">
        <f>IFERROR(IF([2]对账明细接口!$I$153=0,"",[2]对账明细接口!$I$153),"")</f>
        <v>个</v>
      </c>
      <c r="J153" s="177">
        <f>IFERROR(IF([2]对账明细接口!$J$153=0,"",[2]对账明细接口!$J$153),"")</f>
      </c>
      <c r="K153" s="177">
        <f>IFERROR(IF([2]对账明细接口!$K$153=0,"",[2]对账明细接口!$K$153),"")</f>
        <v>9600</v>
      </c>
      <c r="L153" s="16" t="str">
        <f>IFERROR(IF([2]对账明细接口!$L$153=0,"",[2]对账明细接口!$L$153),"")</f>
        <v>未付款</v>
      </c>
      <c r="M153" s="16" t="str">
        <f>IFERROR(IF([2]对账明细接口!$M$153=0,"",[2]对账明细接口!$M$153),"")</f>
        <v>NO:0017220</v>
      </c>
      <c r="N153" s="19">
        <f>IF($C153="",0,1)</f>
        <v>1</v>
      </c>
      <c r="O153" s="19">
        <f>N(O152)+$N153</f>
        <v>150</v>
      </c>
      <c r="S153" s="20" t="str">
        <f>IFERROR(IF([2]对账明细接口!$N153=0,"",[2]对账明细接口!$N153),"")</f>
        <v>公司红周转筐</v>
      </c>
      <c r="T153" s="212">
        <f>IFERROR(IF([2]对账明细接口!$O153=0,"",[2]对账明细接口!$O153),"")</f>
      </c>
      <c r="U153" s="212">
        <f>IFERROR(IF([2]对账明细接口!$P153=0,"",[2]对账明细接口!$P153),"")</f>
      </c>
      <c r="V153" s="212">
        <f>IFERROR(IF([2]对账明细接口!$Q153=0,"",[2]对账明细接口!$Q153),"")</f>
        <v>960</v>
      </c>
      <c r="W153" s="20" t="str">
        <f>IFERROR(IF([2]对账明细接口!$R153=0,"",[2]对账明细接口!$R153),"")</f>
        <v>新F*75240</v>
      </c>
      <c r="X153" s="20" t="str">
        <f>IFERROR(IF([2]对账明细接口!$S153=0,"",[2]对账明细接口!$S153),"")</f>
        <v>公司筐</v>
      </c>
      <c r="Y153" s="20">
        <f>""</f>
      </c>
      <c r="Z153" s="20">
        <f>""</f>
      </c>
      <c r="AA153" s="20">
        <f>""</f>
      </c>
      <c r="AB153" s="20">
        <f>""</f>
      </c>
    </row>
    <row r="154" s="127">
      <c r="A154" s="14" t="n">
        <v>154</v>
      </c>
      <c r="B154" s="211">
        <f>IFERROR(IF([2]对账明细接口!$B$154=0,"",[2]对账明细接口!$B$154),"")</f>
        <v>46279.0</v>
      </c>
      <c r="C154" s="16" t="str">
        <f>IFERROR(IF([2]对账明细接口!$C$154=0,"",[2]对账明细接口!$C$154),"")</f>
        <v>努尔敦</v>
      </c>
      <c r="D154" s="16" t="str">
        <f>IFERROR(IF([2]对账明细接口!$D$154=0,"",[2]对账明细接口!$D$154),"")</f>
        <v>周转筐－领用出库</v>
      </c>
      <c r="E154" s="16" t="str">
        <f>IFERROR(IF([2]对账明细接口!$E$154=0,"",[2]对账明细接口!$E$154),"")</f>
        <v>NO:0001143</v>
      </c>
      <c r="F154" s="16" t="str">
        <f>IFERROR(IF([2]对账明细接口!$F$154=0,"",[2]对账明细接口!$F$154),"")</f>
        <v>公司红周转筐</v>
      </c>
      <c r="G154" s="16">
        <f>IFERROR(IF([2]对账明细接口!$G$154=0,"",[2]对账明细接口!$G$154),"")</f>
      </c>
      <c r="H154" s="176">
        <f>IFERROR(IF([2]对账明细接口!$H$154=0,"",[2]对账明细接口!$H$154),"")</f>
        <v>960</v>
      </c>
      <c r="I154" s="16" t="str">
        <f>IFERROR(IF([2]对账明细接口!$I$154=0,"",[2]对账明细接口!$I$154),"")</f>
        <v>个</v>
      </c>
      <c r="J154" s="177">
        <f>IFERROR(IF([2]对账明细接口!$J$154=0,"",[2]对账明细接口!$J$154),"")</f>
      </c>
      <c r="K154" s="177">
        <f>IFERROR(IF([2]对账明细接口!$K$154=0,"",[2]对账明细接口!$K$154),"")</f>
      </c>
      <c r="L154" s="16">
        <f>IFERROR(IF([2]对账明细接口!$L$154=0,"",[2]对账明细接口!$L$154),"")</f>
      </c>
      <c r="M154" s="16">
        <f>IFERROR(IF([2]对账明细接口!$M$154=0,"",[2]对账明细接口!$M$154),"")</f>
      </c>
      <c r="N154" s="19">
        <f>IF($C154="",0,1)</f>
        <v>1</v>
      </c>
      <c r="O154" s="19">
        <f>N(O153)+$N154</f>
        <v>151</v>
      </c>
      <c r="S154" s="20" t="str">
        <f>IFERROR(IF([2]对账明细接口!$N154=0,"",[2]对账明细接口!$N154),"")</f>
        <v>公司红周转筐</v>
      </c>
      <c r="T154" s="212">
        <f>IFERROR(IF([2]对账明细接口!$O154=0,"",[2]对账明细接口!$O154),"")</f>
        <v>960</v>
      </c>
      <c r="U154" s="212">
        <f>IFERROR(IF([2]对账明细接口!$P154=0,"",[2]对账明细接口!$P154),"")</f>
      </c>
      <c r="V154" s="212">
        <f>IFERROR(IF([2]对账明细接口!$Q154=0,"",[2]对账明细接口!$Q154),"")</f>
      </c>
      <c r="W154" s="20" t="str">
        <f>IFERROR(IF([2]对账明细接口!$R154=0,"",[2]对账明细接口!$R154),"")</f>
        <v>新F*75240</v>
      </c>
      <c r="X154" s="20" t="str">
        <f>IFERROR(IF([2]对账明细接口!$S154=0,"",[2]对账明细接口!$S154),"")</f>
        <v>公司筐</v>
      </c>
      <c r="Y154" s="20">
        <f>""</f>
      </c>
      <c r="Z154" s="20">
        <f>""</f>
      </c>
      <c r="AA154" s="20">
        <f>""</f>
      </c>
      <c r="AB154" s="20">
        <f>""</f>
      </c>
    </row>
    <row r="155" s="127">
      <c r="A155" s="14" t="n">
        <v>155</v>
      </c>
      <c r="B155" s="211">
        <f>IFERROR(IF([2]对账明细接口!$B$155=0,"",[2]对账明细接口!$B$155),"")</f>
        <v>46280.0</v>
      </c>
      <c r="C155" s="16" t="str">
        <f>IFERROR(IF([2]对账明细接口!$C$155=0,"",[2]对账明细接口!$C$155),"")</f>
        <v>全修塑业</v>
      </c>
      <c r="D155" s="16" t="str">
        <f>IFERROR(IF([2]对账明细接口!$D$155=0,"",[2]对账明细接口!$D$155),"")</f>
        <v>周转筐－采购入库</v>
      </c>
      <c r="E155" s="16" t="str">
        <f>IFERROR(IF([2]对账明细接口!$E$155=0,"",[2]对账明细接口!$E$155),"")</f>
        <v>NO:0000863</v>
      </c>
      <c r="F155" s="16" t="str">
        <f>IFERROR(IF([2]对账明细接口!$F$155=0,"",[2]对账明细接口!$F$155),"")</f>
        <v>公司红周转筐</v>
      </c>
      <c r="G155" s="16">
        <f>IFERROR(IF([2]对账明细接口!$G$155=0,"",[2]对账明细接口!$G$155),"")</f>
      </c>
      <c r="H155" s="176">
        <f>IFERROR(IF([2]对账明细接口!$H$155=0,"",[2]对账明细接口!$H$155),"")</f>
        <v>720</v>
      </c>
      <c r="I155" s="16" t="str">
        <f>IFERROR(IF([2]对账明细接口!$I$155=0,"",[2]对账明细接口!$I$155),"")</f>
        <v>个</v>
      </c>
      <c r="J155" s="177">
        <f>IFERROR(IF([2]对账明细接口!$J$155=0,"",[2]对账明细接口!$J$155),"")</f>
      </c>
      <c r="K155" s="177">
        <f>IFERROR(IF([2]对账明细接口!$K$155=0,"",[2]对账明细接口!$K$155),"")</f>
        <v>7200</v>
      </c>
      <c r="L155" s="16" t="str">
        <f>IFERROR(IF([2]对账明细接口!$L$155=0,"",[2]对账明细接口!$L$155),"")</f>
        <v>未付款</v>
      </c>
      <c r="M155" s="16" t="str">
        <f>IFERROR(IF([2]对账明细接口!$M$155=0,"",[2]对账明细接口!$M$155),"")</f>
        <v>NO:0017222</v>
      </c>
      <c r="N155" s="19">
        <f>IF($C155="",0,1)</f>
        <v>1</v>
      </c>
      <c r="O155" s="19">
        <f>N(O154)+$N155</f>
        <v>152</v>
      </c>
      <c r="S155" s="20" t="str">
        <f>IFERROR(IF([2]对账明细接口!$N155=0,"",[2]对账明细接口!$N155),"")</f>
        <v>公司红周转筐</v>
      </c>
      <c r="T155" s="212">
        <f>IFERROR(IF([2]对账明细接口!$O155=0,"",[2]对账明细接口!$O155),"")</f>
      </c>
      <c r="U155" s="212">
        <f>IFERROR(IF([2]对账明细接口!$P155=0,"",[2]对账明细接口!$P155),"")</f>
      </c>
      <c r="V155" s="212">
        <f>IFERROR(IF([2]对账明细接口!$Q155=0,"",[2]对账明细接口!$Q155),"")</f>
        <v>720</v>
      </c>
      <c r="W155" s="20" t="str">
        <f>IFERROR(IF([2]对账明细接口!$R155=0,"",[2]对账明细接口!$R155),"")</f>
        <v>豫A*2737K</v>
      </c>
      <c r="X155" s="20" t="str">
        <f>IFERROR(IF([2]对账明细接口!$S155=0,"",[2]对账明细接口!$S155),"")</f>
        <v>公司筐</v>
      </c>
      <c r="Y155" s="20">
        <f>""</f>
      </c>
      <c r="Z155" s="20">
        <f>""</f>
      </c>
      <c r="AA155" s="20">
        <f>""</f>
      </c>
      <c r="AB155" s="20">
        <f>""</f>
      </c>
    </row>
    <row r="156" s="127">
      <c r="A156" s="14" t="n">
        <v>156</v>
      </c>
      <c r="B156" s="211">
        <f>IFERROR(IF([2]对账明细接口!$B$156=0,"",[2]对账明细接口!$B$156),"")</f>
        <v>46280.0</v>
      </c>
      <c r="C156" s="16" t="str">
        <f>IFERROR(IF([2]对账明细接口!$C$156=0,"",[2]对账明细接口!$C$156),"")</f>
        <v>王照雪</v>
      </c>
      <c r="D156" s="16" t="str">
        <f>IFERROR(IF([2]对账明细接口!$D$156=0,"",[2]对账明细接口!$D$156),"")</f>
        <v>周转筐－领用出库</v>
      </c>
      <c r="E156" s="16" t="str">
        <f>IFERROR(IF([2]对账明细接口!$E$156=0,"",[2]对账明细接口!$E$156),"")</f>
        <v>NO:0001141</v>
      </c>
      <c r="F156" s="16" t="str">
        <f>IFERROR(IF([2]对账明细接口!$F$156=0,"",[2]对账明细接口!$F$156),"")</f>
        <v>公司杂周转筐</v>
      </c>
      <c r="G156" s="16">
        <f>IFERROR(IF([2]对账明细接口!$G$156=0,"",[2]对账明细接口!$G$156),"")</f>
      </c>
      <c r="H156" s="176">
        <f>IFERROR(IF([2]对账明细接口!$H$156=0,"",[2]对账明细接口!$H$156),"")</f>
        <v>423</v>
      </c>
      <c r="I156" s="16" t="str">
        <f>IFERROR(IF([2]对账明细接口!$I$156=0,"",[2]对账明细接口!$I$156),"")</f>
        <v>个</v>
      </c>
      <c r="J156" s="177">
        <f>IFERROR(IF([2]对账明细接口!$J$156=0,"",[2]对账明细接口!$J$156),"")</f>
      </c>
      <c r="K156" s="177">
        <f>IFERROR(IF([2]对账明细接口!$K$156=0,"",[2]对账明细接口!$K$156),"")</f>
      </c>
      <c r="L156" s="16">
        <f>IFERROR(IF([2]对账明细接口!$L$156=0,"",[2]对账明细接口!$L$156),"")</f>
      </c>
      <c r="M156" s="16">
        <f>IFERROR(IF([2]对账明细接口!$M$156=0,"",[2]对账明细接口!$M$156),"")</f>
      </c>
      <c r="N156" s="19">
        <f>IF($C156="",0,1)</f>
        <v>1</v>
      </c>
      <c r="O156" s="19">
        <f>N(O155)+$N156</f>
        <v>153</v>
      </c>
      <c r="S156" s="20" t="str">
        <f>IFERROR(IF([2]对账明细接口!$N156=0,"",[2]对账明细接口!$N156),"")</f>
        <v>公司杂周转筐</v>
      </c>
      <c r="T156" s="212">
        <f>IFERROR(IF([2]对账明细接口!$O156=0,"",[2]对账明细接口!$O156),"")</f>
        <v>423</v>
      </c>
      <c r="U156" s="212">
        <f>IFERROR(IF([2]对账明细接口!$P156=0,"",[2]对账明细接口!$P156),"")</f>
      </c>
      <c r="V156" s="212">
        <f>IFERROR(IF([2]对账明细接口!$Q156=0,"",[2]对账明细接口!$Q156),"")</f>
      </c>
      <c r="W156" s="20" t="str">
        <f>IFERROR(IF([2]对账明细接口!$R156=0,"",[2]对账明细接口!$R156),"")</f>
        <v>豫L*88X19</v>
      </c>
      <c r="X156" s="20" t="str">
        <f>IFERROR(IF([2]对账明细接口!$S156=0,"",[2]对账明细接口!$S156),"")</f>
        <v>公司筐</v>
      </c>
      <c r="Y156" s="20">
        <f>""</f>
      </c>
      <c r="Z156" s="20">
        <f>""</f>
      </c>
      <c r="AA156" s="20">
        <f>""</f>
      </c>
      <c r="AB156" s="20">
        <f>""</f>
      </c>
    </row>
    <row r="157" s="127">
      <c r="A157" s="14" t="n">
        <v>157</v>
      </c>
      <c r="B157" s="211">
        <f>IFERROR(IF([2]对账明细接口!$B$157=0,"",[2]对账明细接口!$B$157),"")</f>
        <v>46280.0</v>
      </c>
      <c r="C157" s="16" t="str">
        <f>IFERROR(IF([2]对账明细接口!$C$157=0,"",[2]对账明细接口!$C$157),"")</f>
        <v>荆建君</v>
      </c>
      <c r="D157" s="16" t="str">
        <f>IFERROR(IF([2]对账明细接口!$D$157=0,"",[2]对账明细接口!$D$157),"")</f>
        <v>周转筐－领用出库</v>
      </c>
      <c r="E157" s="16" t="str">
        <f>IFERROR(IF([2]对账明细接口!$E$157=0,"",[2]对账明细接口!$E$157),"")</f>
        <v>NO:0001145</v>
      </c>
      <c r="F157" s="16" t="str">
        <f>IFERROR(IF([2]对账明细接口!$F$157=0,"",[2]对账明细接口!$F$157),"")</f>
        <v>公司红周转筐</v>
      </c>
      <c r="G157" s="16">
        <f>IFERROR(IF([2]对账明细接口!$G$157=0,"",[2]对账明细接口!$G$157),"")</f>
      </c>
      <c r="H157" s="176">
        <f>IFERROR(IF([2]对账明细接口!$H$157=0,"",[2]对账明细接口!$H$157),"")</f>
        <v>720</v>
      </c>
      <c r="I157" s="16" t="str">
        <f>IFERROR(IF([2]对账明细接口!$I$157=0,"",[2]对账明细接口!$I$157),"")</f>
        <v>个</v>
      </c>
      <c r="J157" s="177">
        <f>IFERROR(IF([2]对账明细接口!$J$157=0,"",[2]对账明细接口!$J$157),"")</f>
      </c>
      <c r="K157" s="177">
        <f>IFERROR(IF([2]对账明细接口!$K$157=0,"",[2]对账明细接口!$K$157),"")</f>
      </c>
      <c r="L157" s="16">
        <f>IFERROR(IF([2]对账明细接口!$L$157=0,"",[2]对账明细接口!$L$157),"")</f>
      </c>
      <c r="M157" s="16">
        <f>IFERROR(IF([2]对账明细接口!$M$157=0,"",[2]对账明细接口!$M$157),"")</f>
      </c>
      <c r="N157" s="19">
        <f>IF($C157="",0,1)</f>
        <v>1</v>
      </c>
      <c r="O157" s="19">
        <f>N(O156)+$N157</f>
        <v>154</v>
      </c>
      <c r="S157" s="20" t="str">
        <f>IFERROR(IF([2]对账明细接口!$N157=0,"",[2]对账明细接口!$N157),"")</f>
        <v>公司红周转筐</v>
      </c>
      <c r="T157" s="212">
        <f>IFERROR(IF([2]对账明细接口!$O157=0,"",[2]对账明细接口!$O157),"")</f>
        <v>720</v>
      </c>
      <c r="U157" s="212">
        <f>IFERROR(IF([2]对账明细接口!$P157=0,"",[2]对账明细接口!$P157),"")</f>
      </c>
      <c r="V157" s="212">
        <f>IFERROR(IF([2]对账明细接口!$Q157=0,"",[2]对账明细接口!$Q157),"")</f>
      </c>
      <c r="W157" s="20" t="str">
        <f>IFERROR(IF([2]对账明细接口!$R157=0,"",[2]对账明细接口!$R157),"")</f>
        <v>豫A*2737K</v>
      </c>
      <c r="X157" s="20" t="str">
        <f>IFERROR(IF([2]对账明细接口!$S157=0,"",[2]对账明细接口!$S157),"")</f>
        <v>公司筐</v>
      </c>
      <c r="Y157" s="20">
        <f>""</f>
      </c>
      <c r="Z157" s="20">
        <f>""</f>
      </c>
      <c r="AA157" s="20">
        <f>""</f>
      </c>
      <c r="AB157" s="20">
        <f>""</f>
      </c>
    </row>
    <row r="158" s="127">
      <c r="A158" s="14" t="n">
        <v>158</v>
      </c>
      <c r="B158" s="211">
        <f>IFERROR(IF([2]对账明细接口!$B$158=0,"",[2]对账明细接口!$B$158),"")</f>
        <v>46280.0</v>
      </c>
      <c r="C158" s="16" t="str">
        <f>IFERROR(IF([2]对账明细接口!$C$158=0,"",[2]对账明细接口!$C$158),"")</f>
        <v>全修塑业</v>
      </c>
      <c r="D158" s="16" t="str">
        <f>IFERROR(IF([2]对账明细接口!$D$158=0,"",[2]对账明细接口!$D$158),"")</f>
        <v>周转筐－采购入库</v>
      </c>
      <c r="E158" s="16" t="str">
        <f>IFERROR(IF([2]对账明细接口!$E$158=0,"",[2]对账明细接口!$E$158),"")</f>
        <v>NO:0000866</v>
      </c>
      <c r="F158" s="16" t="str">
        <f>IFERROR(IF([2]对账明细接口!$F$158=0,"",[2]对账明细接口!$F$158),"")</f>
        <v>公司红周转筐</v>
      </c>
      <c r="G158" s="16">
        <f>IFERROR(IF([2]对账明细接口!$G$158=0,"",[2]对账明细接口!$G$158),"")</f>
      </c>
      <c r="H158" s="176">
        <f>IFERROR(IF([2]对账明细接口!$H$158=0,"",[2]对账明细接口!$H$158),"")</f>
        <v>960</v>
      </c>
      <c r="I158" s="16" t="str">
        <f>IFERROR(IF([2]对账明细接口!$I$158=0,"",[2]对账明细接口!$I$158),"")</f>
        <v>个</v>
      </c>
      <c r="J158" s="177">
        <f>IFERROR(IF([2]对账明细接口!$J$158=0,"",[2]对账明细接口!$J$158),"")</f>
      </c>
      <c r="K158" s="177">
        <f>IFERROR(IF([2]对账明细接口!$K$158=0,"",[2]对账明细接口!$K$158),"")</f>
        <v>9600</v>
      </c>
      <c r="L158" s="16" t="str">
        <f>IFERROR(IF([2]对账明细接口!$L$158=0,"",[2]对账明细接口!$L$158),"")</f>
        <v>未付款</v>
      </c>
      <c r="M158" s="16" t="str">
        <f>IFERROR(IF([2]对账明细接口!$M$158=0,"",[2]对账明细接口!$M$158),"")</f>
        <v>NO:0017223</v>
      </c>
      <c r="N158" s="19">
        <f>IF($C158="",0,1)</f>
        <v>1</v>
      </c>
      <c r="O158" s="19">
        <f>N(O157)+$N158</f>
        <v>155</v>
      </c>
      <c r="S158" s="20" t="str">
        <f>IFERROR(IF([2]对账明细接口!$N158=0,"",[2]对账明细接口!$N158),"")</f>
        <v>公司红周转筐</v>
      </c>
      <c r="T158" s="212">
        <f>IFERROR(IF([2]对账明细接口!$O158=0,"",[2]对账明细接口!$O158),"")</f>
      </c>
      <c r="U158" s="212">
        <f>IFERROR(IF([2]对账明细接口!$P158=0,"",[2]对账明细接口!$P158),"")</f>
      </c>
      <c r="V158" s="212">
        <f>IFERROR(IF([2]对账明细接口!$Q158=0,"",[2]对账明细接口!$Q158),"")</f>
        <v>960</v>
      </c>
      <c r="W158" s="20" t="str">
        <f>IFERROR(IF([2]对账明细接口!$R158=0,"",[2]对账明细接口!$R158),"")</f>
        <v>新N*49209</v>
      </c>
      <c r="X158" s="20" t="str">
        <f>IFERROR(IF([2]对账明细接口!$S158=0,"",[2]对账明细接口!$S158),"")</f>
        <v>公司筐</v>
      </c>
      <c r="Y158" s="20">
        <f>""</f>
      </c>
      <c r="Z158" s="20">
        <f>""</f>
      </c>
      <c r="AA158" s="20">
        <f>""</f>
      </c>
      <c r="AB158" s="20">
        <f>""</f>
      </c>
    </row>
    <row r="159" s="127">
      <c r="A159" s="14" t="n">
        <v>159</v>
      </c>
      <c r="B159" s="211">
        <f>IFERROR(IF([2]对账明细接口!$B$159=0,"",[2]对账明细接口!$B$159),"")</f>
        <v>46280.0</v>
      </c>
      <c r="C159" s="16" t="str">
        <f>IFERROR(IF([2]对账明细接口!$C$159=0,"",[2]对账明细接口!$C$159),"")</f>
        <v>王灵云</v>
      </c>
      <c r="D159" s="16" t="str">
        <f>IFERROR(IF([2]对账明细接口!$D$159=0,"",[2]对账明细接口!$D$159),"")</f>
        <v>周转筐－领用出库</v>
      </c>
      <c r="E159" s="16" t="str">
        <f>IFERROR(IF([2]对账明细接口!$E$159=0,"",[2]对账明细接口!$E$159),"")</f>
        <v>NO:0001146</v>
      </c>
      <c r="F159" s="16" t="str">
        <f>IFERROR(IF([2]对账明细接口!$F$159=0,"",[2]对账明细接口!$F$159),"")</f>
        <v>公司红周转筐</v>
      </c>
      <c r="G159" s="16">
        <f>IFERROR(IF([2]对账明细接口!$G$159=0,"",[2]对账明细接口!$G$159),"")</f>
      </c>
      <c r="H159" s="176">
        <f>IFERROR(IF([2]对账明细接口!$H$159=0,"",[2]对账明细接口!$H$159),"")</f>
        <v>960</v>
      </c>
      <c r="I159" s="16" t="str">
        <f>IFERROR(IF([2]对账明细接口!$I$159=0,"",[2]对账明细接口!$I$159),"")</f>
        <v>个</v>
      </c>
      <c r="J159" s="177">
        <f>IFERROR(IF([2]对账明细接口!$J$159=0,"",[2]对账明细接口!$J$159),"")</f>
      </c>
      <c r="K159" s="177">
        <f>IFERROR(IF([2]对账明细接口!$K$159=0,"",[2]对账明细接口!$K$159),"")</f>
      </c>
      <c r="L159" s="16">
        <f>IFERROR(IF([2]对账明细接口!$L$159=0,"",[2]对账明细接口!$L$159),"")</f>
      </c>
      <c r="M159" s="16">
        <f>IFERROR(IF([2]对账明细接口!$M$159=0,"",[2]对账明细接口!$M$159),"")</f>
      </c>
      <c r="N159" s="19">
        <f>IF($C159="",0,1)</f>
        <v>1</v>
      </c>
      <c r="O159" s="19">
        <f>N(O158)+$N159</f>
        <v>156</v>
      </c>
      <c r="S159" s="20" t="str">
        <f>IFERROR(IF([2]对账明细接口!$N159=0,"",[2]对账明细接口!$N159),"")</f>
        <v>公司红周转筐</v>
      </c>
      <c r="T159" s="212">
        <f>IFERROR(IF([2]对账明细接口!$O159=0,"",[2]对账明细接口!$O159),"")</f>
        <v>960</v>
      </c>
      <c r="U159" s="212">
        <f>IFERROR(IF([2]对账明细接口!$P159=0,"",[2]对账明细接口!$P159),"")</f>
      </c>
      <c r="V159" s="212">
        <f>IFERROR(IF([2]对账明细接口!$Q159=0,"",[2]对账明细接口!$Q159),"")</f>
      </c>
      <c r="W159" s="20" t="str">
        <f>IFERROR(IF([2]对账明细接口!$R159=0,"",[2]对账明细接口!$R159),"")</f>
        <v>新N*49209</v>
      </c>
      <c r="X159" s="20" t="str">
        <f>IFERROR(IF([2]对账明细接口!$S159=0,"",[2]对账明细接口!$S159),"")</f>
        <v>公司筐</v>
      </c>
      <c r="Y159" s="20">
        <f>""</f>
      </c>
      <c r="Z159" s="20">
        <f>""</f>
      </c>
      <c r="AA159" s="20">
        <f>""</f>
      </c>
      <c r="AB159" s="20">
        <f>""</f>
      </c>
    </row>
    <row r="160" s="127">
      <c r="A160" s="14" t="n">
        <v>160</v>
      </c>
      <c r="B160" s="211">
        <f>IFERROR(IF([2]对账明细接口!$B$160=0,"",[2]对账明细接口!$B$160),"")</f>
        <v>46280.0</v>
      </c>
      <c r="C160" s="16" t="str">
        <f>IFERROR(IF([2]对账明细接口!$C$160=0,"",[2]对账明细接口!$C$160),"")</f>
        <v>全修塑业</v>
      </c>
      <c r="D160" s="16" t="str">
        <f>IFERROR(IF([2]对账明细接口!$D$160=0,"",[2]对账明细接口!$D$160),"")</f>
        <v>周转筐－采购入库</v>
      </c>
      <c r="E160" s="16" t="str">
        <f>IFERROR(IF([2]对账明细接口!$E$160=0,"",[2]对账明细接口!$E$160),"")</f>
        <v>NO:0000875</v>
      </c>
      <c r="F160" s="16" t="str">
        <f>IFERROR(IF([2]对账明细接口!$F$160=0,"",[2]对账明细接口!$F$160),"")</f>
        <v>公司红周转筐</v>
      </c>
      <c r="G160" s="16">
        <f>IFERROR(IF([2]对账明细接口!$G$160=0,"",[2]对账明细接口!$G$160),"")</f>
      </c>
      <c r="H160" s="176">
        <f>IFERROR(IF([2]对账明细接口!$H$160=0,"",[2]对账明细接口!$H$160),"")</f>
        <v>846</v>
      </c>
      <c r="I160" s="16" t="str">
        <f>IFERROR(IF([2]对账明细接口!$I$160=0,"",[2]对账明细接口!$I$160),"")</f>
        <v>个</v>
      </c>
      <c r="J160" s="177">
        <f>IFERROR(IF([2]对账明细接口!$J$160=0,"",[2]对账明细接口!$J$160),"")</f>
      </c>
      <c r="K160" s="177">
        <f>IFERROR(IF([2]对账明细接口!$K$160=0,"",[2]对账明细接口!$K$160),"")</f>
        <v>8460</v>
      </c>
      <c r="L160" s="16" t="str">
        <f>IFERROR(IF([2]对账明细接口!$L$160=0,"",[2]对账明细接口!$L$160),"")</f>
        <v>未付款</v>
      </c>
      <c r="M160" s="16" t="str">
        <f>IFERROR(IF([2]对账明细接口!$M$160=0,"",[2]对账明细接口!$M$160),"")</f>
        <v>NO:0017225</v>
      </c>
      <c r="N160" s="19">
        <f>IF($C160="",0,1)</f>
        <v>1</v>
      </c>
      <c r="O160" s="19">
        <f>N(O159)+$N160</f>
        <v>157</v>
      </c>
      <c r="S160" s="20" t="str">
        <f>IFERROR(IF([2]对账明细接口!$N160=0,"",[2]对账明细接口!$N160),"")</f>
        <v>公司红周转筐</v>
      </c>
      <c r="T160" s="212">
        <f>IFERROR(IF([2]对账明细接口!$O160=0,"",[2]对账明细接口!$O160),"")</f>
      </c>
      <c r="U160" s="212">
        <f>IFERROR(IF([2]对账明细接口!$P160=0,"",[2]对账明细接口!$P160),"")</f>
      </c>
      <c r="V160" s="212">
        <f>IFERROR(IF([2]对账明细接口!$Q160=0,"",[2]对账明细接口!$Q160),"")</f>
        <v>846</v>
      </c>
      <c r="W160" s="20" t="str">
        <f>IFERROR(IF([2]对账明细接口!$R160=0,"",[2]对账明细接口!$R160),"")</f>
        <v>新A*G0554</v>
      </c>
      <c r="X160" s="20" t="str">
        <f>IFERROR(IF([2]对账明细接口!$S160=0,"",[2]对账明细接口!$S160),"")</f>
        <v>公司筐</v>
      </c>
      <c r="Y160" s="20">
        <f>""</f>
      </c>
      <c r="Z160" s="20">
        <f>""</f>
      </c>
      <c r="AA160" s="20">
        <f>""</f>
      </c>
      <c r="AB160" s="20">
        <f>""</f>
      </c>
    </row>
    <row r="161" s="127">
      <c r="A161" s="14" t="n">
        <v>161</v>
      </c>
      <c r="B161" s="211">
        <f>IFERROR(IF([2]对账明细接口!$B$161=0,"",[2]对账明细接口!$B$161),"")</f>
        <v>46280.0</v>
      </c>
      <c r="C161" s="16" t="str">
        <f>IFERROR(IF([2]对账明细接口!$C$161=0,"",[2]对账明细接口!$C$161),"")</f>
        <v>热合曼</v>
      </c>
      <c r="D161" s="16" t="str">
        <f>IFERROR(IF([2]对账明细接口!$D$161=0,"",[2]对账明细接口!$D$161),"")</f>
        <v>周转筐－领用出库</v>
      </c>
      <c r="E161" s="16" t="str">
        <f>IFERROR(IF([2]对账明细接口!$E$161=0,"",[2]对账明细接口!$E$161),"")</f>
        <v>NO:0001149</v>
      </c>
      <c r="F161" s="16" t="str">
        <f>IFERROR(IF([2]对账明细接口!$F$161=0,"",[2]对账明细接口!$F$161),"")</f>
        <v>公司红周转筐</v>
      </c>
      <c r="G161" s="16">
        <f>IFERROR(IF([2]对账明细接口!$G$161=0,"",[2]对账明细接口!$G$161),"")</f>
      </c>
      <c r="H161" s="176">
        <f>IFERROR(IF([2]对账明细接口!$H$161=0,"",[2]对账明细接口!$H$161),"")</f>
        <v>846</v>
      </c>
      <c r="I161" s="16" t="str">
        <f>IFERROR(IF([2]对账明细接口!$I$161=0,"",[2]对账明细接口!$I$161),"")</f>
        <v>个</v>
      </c>
      <c r="J161" s="177">
        <f>IFERROR(IF([2]对账明细接口!$J$161=0,"",[2]对账明细接口!$J$161),"")</f>
      </c>
      <c r="K161" s="177">
        <f>IFERROR(IF([2]对账明细接口!$K$161=0,"",[2]对账明细接口!$K$161),"")</f>
      </c>
      <c r="L161" s="16">
        <f>IFERROR(IF([2]对账明细接口!$L$161=0,"",[2]对账明细接口!$L$161),"")</f>
      </c>
      <c r="M161" s="16">
        <f>IFERROR(IF([2]对账明细接口!$M$161=0,"",[2]对账明细接口!$M$161),"")</f>
      </c>
      <c r="N161" s="19">
        <f>IF($C161="",0,1)</f>
        <v>1</v>
      </c>
      <c r="O161" s="19">
        <f>N(O160)+$N161</f>
        <v>158</v>
      </c>
      <c r="S161" s="20" t="str">
        <f>IFERROR(IF([2]对账明细接口!$N161=0,"",[2]对账明细接口!$N161),"")</f>
        <v>公司红周转筐</v>
      </c>
      <c r="T161" s="212">
        <f>IFERROR(IF([2]对账明细接口!$O161=0,"",[2]对账明细接口!$O161),"")</f>
        <v>846</v>
      </c>
      <c r="U161" s="212">
        <f>IFERROR(IF([2]对账明细接口!$P161=0,"",[2]对账明细接口!$P161),"")</f>
      </c>
      <c r="V161" s="212">
        <f>IFERROR(IF([2]对账明细接口!$Q161=0,"",[2]对账明细接口!$Q161),"")</f>
      </c>
      <c r="W161" s="20" t="str">
        <f>IFERROR(IF([2]对账明细接口!$R161=0,"",[2]对账明细接口!$R161),"")</f>
        <v>新A*G0554</v>
      </c>
      <c r="X161" s="20" t="str">
        <f>IFERROR(IF([2]对账明细接口!$S161=0,"",[2]对账明细接口!$S161),"")</f>
        <v>公司筐</v>
      </c>
      <c r="Y161" s="20">
        <f>""</f>
      </c>
      <c r="Z161" s="20">
        <f>""</f>
      </c>
      <c r="AA161" s="20">
        <f>""</f>
      </c>
      <c r="AB161" s="20">
        <f>""</f>
      </c>
    </row>
    <row r="162" s="127">
      <c r="A162" s="14" t="n">
        <v>162</v>
      </c>
      <c r="B162" s="211">
        <f>IFERROR(IF([2]对账明细接口!$B$162=0,"",[2]对账明细接口!$B$162),"")</f>
        <v>46280.0</v>
      </c>
      <c r="C162" s="16" t="str">
        <f>IFERROR(IF([2]对账明细接口!$C$162=0,"",[2]对账明细接口!$C$162),"")</f>
        <v>全修塑业</v>
      </c>
      <c r="D162" s="16" t="str">
        <f>IFERROR(IF([2]对账明细接口!$D$162=0,"",[2]对账明细接口!$D$162),"")</f>
        <v>周转筐－采购入库</v>
      </c>
      <c r="E162" s="16" t="str">
        <f>IFERROR(IF([2]对账明细接口!$E$162=0,"",[2]对账明细接口!$E$162),"")</f>
        <v>NO:0000877</v>
      </c>
      <c r="F162" s="16" t="str">
        <f>IFERROR(IF([2]对账明细接口!$F$162=0,"",[2]对账明细接口!$F$162),"")</f>
        <v>公司红周转筐</v>
      </c>
      <c r="G162" s="16">
        <f>IFERROR(IF([2]对账明细接口!$G$162=0,"",[2]对账明细接口!$G$162),"")</f>
      </c>
      <c r="H162" s="176">
        <f>IFERROR(IF([2]对账明细接口!$H$162=0,"",[2]对账明细接口!$H$162),"")</f>
        <v>960</v>
      </c>
      <c r="I162" s="16" t="str">
        <f>IFERROR(IF([2]对账明细接口!$I$162=0,"",[2]对账明细接口!$I$162),"")</f>
        <v>个</v>
      </c>
      <c r="J162" s="177">
        <f>IFERROR(IF([2]对账明细接口!$J$162=0,"",[2]对账明细接口!$J$162),"")</f>
      </c>
      <c r="K162" s="177">
        <f>IFERROR(IF([2]对账明细接口!$K$162=0,"",[2]对账明细接口!$K$162),"")</f>
        <v>9600</v>
      </c>
      <c r="L162" s="16" t="str">
        <f>IFERROR(IF([2]对账明细接口!$L$162=0,"",[2]对账明细接口!$L$162),"")</f>
        <v>未付款</v>
      </c>
      <c r="M162" s="16" t="str">
        <f>IFERROR(IF([2]对账明细接口!$M$162=0,"",[2]对账明细接口!$M$162),"")</f>
        <v>NO:0017224</v>
      </c>
      <c r="N162" s="19">
        <f>IF($C162="",0,1)</f>
        <v>1</v>
      </c>
      <c r="O162" s="19">
        <f>N(O161)+$N162</f>
        <v>159</v>
      </c>
      <c r="S162" s="20" t="str">
        <f>IFERROR(IF([2]对账明细接口!$N162=0,"",[2]对账明细接口!$N162),"")</f>
        <v>公司红周转筐</v>
      </c>
      <c r="T162" s="212">
        <f>IFERROR(IF([2]对账明细接口!$O162=0,"",[2]对账明细接口!$O162),"")</f>
      </c>
      <c r="U162" s="212">
        <f>IFERROR(IF([2]对账明细接口!$P162=0,"",[2]对账明细接口!$P162),"")</f>
      </c>
      <c r="V162" s="212">
        <f>IFERROR(IF([2]对账明细接口!$Q162=0,"",[2]对账明细接口!$Q162),"")</f>
        <v>960</v>
      </c>
      <c r="W162" s="20" t="str">
        <f>IFERROR(IF([2]对账明细接口!$R162=0,"",[2]对账明细接口!$R162),"")</f>
        <v>新F*75240</v>
      </c>
      <c r="X162" s="20" t="str">
        <f>IFERROR(IF([2]对账明细接口!$S162=0,"",[2]对账明细接口!$S162),"")</f>
        <v>公司筐</v>
      </c>
      <c r="Y162" s="20">
        <f>""</f>
      </c>
      <c r="Z162" s="20">
        <f>""</f>
      </c>
      <c r="AA162" s="20">
        <f>""</f>
      </c>
      <c r="AB162" s="20">
        <f>""</f>
      </c>
    </row>
    <row r="163" s="127">
      <c r="A163" s="14" t="n">
        <v>163</v>
      </c>
      <c r="B163" s="211">
        <f>IFERROR(IF([2]对账明细接口!$B$163=0,"",[2]对账明细接口!$B$163),"")</f>
        <v>46280.0</v>
      </c>
      <c r="C163" s="16" t="str">
        <f>IFERROR(IF([2]对账明细接口!$C$163=0,"",[2]对账明细接口!$C$163),"")</f>
        <v>努尔敦</v>
      </c>
      <c r="D163" s="16" t="str">
        <f>IFERROR(IF([2]对账明细接口!$D$163=0,"",[2]对账明细接口!$D$163),"")</f>
        <v>周转筐－领用出库</v>
      </c>
      <c r="E163" s="16" t="str">
        <f>IFERROR(IF([2]对账明细接口!$E$163=0,"",[2]对账明细接口!$E$163),"")</f>
        <v>NO:0001148</v>
      </c>
      <c r="F163" s="16" t="str">
        <f>IFERROR(IF([2]对账明细接口!$F$163=0,"",[2]对账明细接口!$F$163),"")</f>
        <v>公司红周转筐</v>
      </c>
      <c r="G163" s="16">
        <f>IFERROR(IF([2]对账明细接口!$G$163=0,"",[2]对账明细接口!$G$163),"")</f>
      </c>
      <c r="H163" s="176">
        <f>IFERROR(IF([2]对账明细接口!$H$163=0,"",[2]对账明细接口!$H$163),"")</f>
        <v>960</v>
      </c>
      <c r="I163" s="16" t="str">
        <f>IFERROR(IF([2]对账明细接口!$I$163=0,"",[2]对账明细接口!$I$163),"")</f>
        <v>个</v>
      </c>
      <c r="J163" s="177">
        <f>IFERROR(IF([2]对账明细接口!$J$163=0,"",[2]对账明细接口!$J$163),"")</f>
      </c>
      <c r="K163" s="177">
        <f>IFERROR(IF([2]对账明细接口!$K$163=0,"",[2]对账明细接口!$K$163),"")</f>
      </c>
      <c r="L163" s="16">
        <f>IFERROR(IF([2]对账明细接口!$L$163=0,"",[2]对账明细接口!$L$163),"")</f>
      </c>
      <c r="M163" s="16">
        <f>IFERROR(IF([2]对账明细接口!$M$163=0,"",[2]对账明细接口!$M$163),"")</f>
      </c>
      <c r="N163" s="19">
        <f>IF($C163="",0,1)</f>
        <v>1</v>
      </c>
      <c r="O163" s="19">
        <f>N(O162)+$N163</f>
        <v>160</v>
      </c>
      <c r="S163" s="20" t="str">
        <f>IFERROR(IF([2]对账明细接口!$N163=0,"",[2]对账明细接口!$N163),"")</f>
        <v>公司红周转筐</v>
      </c>
      <c r="T163" s="212">
        <f>IFERROR(IF([2]对账明细接口!$O163=0,"",[2]对账明细接口!$O163),"")</f>
        <v>960</v>
      </c>
      <c r="U163" s="212">
        <f>IFERROR(IF([2]对账明细接口!$P163=0,"",[2]对账明细接口!$P163),"")</f>
      </c>
      <c r="V163" s="212">
        <f>IFERROR(IF([2]对账明细接口!$Q163=0,"",[2]对账明细接口!$Q163),"")</f>
      </c>
      <c r="W163" s="20" t="str">
        <f>IFERROR(IF([2]对账明细接口!$R163=0,"",[2]对账明细接口!$R163),"")</f>
        <v>新F*75240</v>
      </c>
      <c r="X163" s="20" t="str">
        <f>IFERROR(IF([2]对账明细接口!$S163=0,"",[2]对账明细接口!$S163),"")</f>
        <v>公司筐</v>
      </c>
      <c r="Y163" s="20">
        <f>""</f>
      </c>
      <c r="Z163" s="20">
        <f>""</f>
      </c>
      <c r="AA163" s="20">
        <f>""</f>
      </c>
      <c r="AB163" s="20">
        <f>""</f>
      </c>
    </row>
    <row r="164" s="127">
      <c r="A164" s="14" t="n">
        <v>164</v>
      </c>
      <c r="B164" s="211">
        <f>IFERROR(IF([2]对账明细接口!$B$164=0,"",[2]对账明细接口!$B$164),"")</f>
        <v>46280.0</v>
      </c>
      <c r="C164" s="16" t="str">
        <f>IFERROR(IF([2]对账明细接口!$C$164=0,"",[2]对账明细接口!$C$164),"")</f>
        <v>李现东</v>
      </c>
      <c r="D164" s="16" t="str">
        <f>IFERROR(IF([2]对账明细接口!$D$164=0,"",[2]对账明细接口!$D$164),"")</f>
        <v>周转筐－退回入库</v>
      </c>
      <c r="E164" s="16" t="str">
        <f>IFERROR(IF([2]对账明细接口!$E$164=0,"",[2]对账明细接口!$E$164),"")</f>
        <v>NO:0000876</v>
      </c>
      <c r="F164" s="16" t="str">
        <f>IFERROR(IF([2]对账明细接口!$F$164=0,"",[2]对账明细接口!$F$164),"")</f>
        <v>公司杂周转筐</v>
      </c>
      <c r="G164" s="16">
        <f>IFERROR(IF([2]对账明细接口!$G$164=0,"",[2]对账明细接口!$G$164),"")</f>
      </c>
      <c r="H164" s="176">
        <f>IFERROR(IF([2]对账明细接口!$H$164=0,"",[2]对账明细接口!$H$164),"")</f>
        <v>18</v>
      </c>
      <c r="I164" s="16" t="str">
        <f>IFERROR(IF([2]对账明细接口!$I$164=0,"",[2]对账明细接口!$I$164),"")</f>
        <v>个</v>
      </c>
      <c r="J164" s="177">
        <f>IFERROR(IF([2]对账明细接口!$J$164=0,"",[2]对账明细接口!$J$164),"")</f>
      </c>
      <c r="K164" s="177">
        <f>IFERROR(IF([2]对账明细接口!$K$164=0,"",[2]对账明细接口!$K$164),"")</f>
      </c>
      <c r="L164" s="16">
        <f>IFERROR(IF([2]对账明细接口!$L$164=0,"",[2]对账明细接口!$L$164),"")</f>
      </c>
      <c r="M164" s="16" t="str">
        <f>IFERROR(IF([2]对账明细接口!$M$164=0,"",[2]对账明细接口!$M$164),"")</f>
        <v>烂筐退回</v>
      </c>
      <c r="N164" s="19">
        <f>IF($C164="",0,1)</f>
        <v>1</v>
      </c>
      <c r="O164" s="19">
        <f>N(O163)+$N164</f>
        <v>161</v>
      </c>
      <c r="S164" s="20" t="str">
        <f>IFERROR(IF([2]对账明细接口!$N164=0,"",[2]对账明细接口!$N164),"")</f>
        <v>公司杂周转筐</v>
      </c>
      <c r="T164" s="212">
        <f>IFERROR(IF([2]对账明细接口!$O164=0,"",[2]对账明细接口!$O164),"")</f>
      </c>
      <c r="U164" s="212">
        <f>IFERROR(IF([2]对账明细接口!$P164=0,"",[2]对账明细接口!$P164),"")</f>
        <v>18</v>
      </c>
      <c r="V164" s="212">
        <f>IFERROR(IF([2]对账明细接口!$Q164=0,"",[2]对账明细接口!$Q164),"")</f>
      </c>
      <c r="W164" s="20" t="str">
        <f>IFERROR(IF([2]对账明细接口!$R164=0,"",[2]对账明细接口!$R164),"")</f>
        <v>新N*53045</v>
      </c>
      <c r="X164" s="20" t="str">
        <f>IFERROR(IF([2]对账明细接口!$S164=0,"",[2]对账明细接口!$S164),"")</f>
        <v>公司筐</v>
      </c>
      <c r="Y164" s="20">
        <f>""</f>
      </c>
      <c r="Z164" s="20">
        <f>""</f>
      </c>
      <c r="AA164" s="20">
        <f>""</f>
      </c>
      <c r="AB164" s="20">
        <f>""</f>
      </c>
    </row>
    <row r="165" s="127">
      <c r="A165" s="14" t="n">
        <v>165</v>
      </c>
      <c r="B165" s="211">
        <f>IFERROR(IF([2]对账明细接口!$B$165=0,"",[2]对账明细接口!$B$165),"")</f>
        <v>46281.0</v>
      </c>
      <c r="C165" s="16" t="str">
        <f>IFERROR(IF([2]对账明细接口!$C$165=0,"",[2]对账明细接口!$C$165),"")</f>
        <v>全修塑业</v>
      </c>
      <c r="D165" s="16" t="str">
        <f>IFERROR(IF([2]对账明细接口!$D$165=0,"",[2]对账明细接口!$D$165),"")</f>
        <v>周转筐－采购入库</v>
      </c>
      <c r="E165" s="16" t="str">
        <f>IFERROR(IF([2]对账明细接口!$E$165=0,"",[2]对账明细接口!$E$165),"")</f>
        <v>NO:0000879</v>
      </c>
      <c r="F165" s="16" t="str">
        <f>IFERROR(IF([2]对账明细接口!$F$165=0,"",[2]对账明细接口!$F$165),"")</f>
        <v>公司红周转筐</v>
      </c>
      <c r="G165" s="16">
        <f>IFERROR(IF([2]对账明细接口!$G$165=0,"",[2]对账明细接口!$G$165),"")</f>
      </c>
      <c r="H165" s="176">
        <f>IFERROR(IF([2]对账明细接口!$H$165=0,"",[2]对账明细接口!$H$165),"")</f>
        <v>315</v>
      </c>
      <c r="I165" s="16" t="str">
        <f>IFERROR(IF([2]对账明细接口!$I$165=0,"",[2]对账明细接口!$I$165),"")</f>
        <v>个</v>
      </c>
      <c r="J165" s="177">
        <f>IFERROR(IF([2]对账明细接口!$J$165=0,"",[2]对账明细接口!$J$165),"")</f>
      </c>
      <c r="K165" s="177">
        <f>IFERROR(IF([2]对账明细接口!$K$165=0,"",[2]对账明细接口!$K$165),"")</f>
        <v>3150</v>
      </c>
      <c r="L165" s="16" t="str">
        <f>IFERROR(IF([2]对账明细接口!$L$165=0,"",[2]对账明细接口!$L$165),"")</f>
        <v>未付款</v>
      </c>
      <c r="M165" s="16" t="str">
        <f>IFERROR(IF([2]对账明细接口!$M$165=0,"",[2]对账明细接口!$M$165),"")</f>
        <v>NO:0017226</v>
      </c>
      <c r="N165" s="19">
        <f>IF($C165="",0,1)</f>
        <v>1</v>
      </c>
      <c r="O165" s="19">
        <f>N(O164)+$N165</f>
        <v>162</v>
      </c>
      <c r="S165" s="20" t="str">
        <f>IFERROR(IF([2]对账明细接口!$N165=0,"",[2]对账明细接口!$N165),"")</f>
        <v>公司红周转筐</v>
      </c>
      <c r="T165" s="212">
        <f>IFERROR(IF([2]对账明细接口!$O165=0,"",[2]对账明细接口!$O165),"")</f>
      </c>
      <c r="U165" s="212">
        <f>IFERROR(IF([2]对账明细接口!$P165=0,"",[2]对账明细接口!$P165),"")</f>
      </c>
      <c r="V165" s="212">
        <f>IFERROR(IF([2]对账明细接口!$Q165=0,"",[2]对账明细接口!$Q165),"")</f>
        <v>315</v>
      </c>
      <c r="W165" s="20" t="str">
        <f>IFERROR(IF([2]对账明细接口!$R165=0,"",[2]对账明细接口!$R165),"")</f>
        <v>新N*X8S48</v>
      </c>
      <c r="X165" s="20" t="str">
        <f>IFERROR(IF([2]对账明细接口!$S165=0,"",[2]对账明细接口!$S165),"")</f>
        <v>公司筐</v>
      </c>
      <c r="Y165" s="20">
        <f>""</f>
      </c>
      <c r="Z165" s="20">
        <f>""</f>
      </c>
      <c r="AA165" s="20">
        <f>""</f>
      </c>
      <c r="AB165" s="20">
        <f>""</f>
      </c>
    </row>
    <row r="166" s="127">
      <c r="A166" s="14" t="n">
        <v>166</v>
      </c>
      <c r="B166" s="211">
        <f>IFERROR(IF([2]对账明细接口!$B$166=0,"",[2]对账明细接口!$B$166),"")</f>
        <v>46281.0</v>
      </c>
      <c r="C166" s="16" t="str">
        <f>IFERROR(IF([2]对账明细接口!$C$166=0,"",[2]对账明细接口!$C$166),"")</f>
        <v>吐尔洪</v>
      </c>
      <c r="D166" s="16" t="str">
        <f>IFERROR(IF([2]对账明细接口!$D$166=0,"",[2]对账明细接口!$D$166),"")</f>
        <v>周转筐－领用出库</v>
      </c>
      <c r="E166" s="16" t="str">
        <f>IFERROR(IF([2]对账明细接口!$E$166=0,"",[2]对账明细接口!$E$166),"")</f>
        <v>NO:0001153</v>
      </c>
      <c r="F166" s="16" t="str">
        <f>IFERROR(IF([2]对账明细接口!$F$166=0,"",[2]对账明细接口!$F$166),"")</f>
        <v>公司红周转筐</v>
      </c>
      <c r="G166" s="16">
        <f>IFERROR(IF([2]对账明细接口!$G$166=0,"",[2]对账明细接口!$G$166),"")</f>
      </c>
      <c r="H166" s="176">
        <f>IFERROR(IF([2]对账明细接口!$H$166=0,"",[2]对账明细接口!$H$166),"")</f>
        <v>315</v>
      </c>
      <c r="I166" s="16" t="str">
        <f>IFERROR(IF([2]对账明细接口!$I$166=0,"",[2]对账明细接口!$I$166),"")</f>
        <v>个</v>
      </c>
      <c r="J166" s="177">
        <f>IFERROR(IF([2]对账明细接口!$J$166=0,"",[2]对账明细接口!$J$166),"")</f>
      </c>
      <c r="K166" s="177">
        <f>IFERROR(IF([2]对账明细接口!$K$166=0,"",[2]对账明细接口!$K$166),"")</f>
      </c>
      <c r="L166" s="16">
        <f>IFERROR(IF([2]对账明细接口!$L$166=0,"",[2]对账明细接口!$L$166),"")</f>
      </c>
      <c r="M166" s="16">
        <f>IFERROR(IF([2]对账明细接口!$M$166=0,"",[2]对账明细接口!$M$166),"")</f>
      </c>
      <c r="N166" s="19">
        <f>IF($C166="",0,1)</f>
        <v>1</v>
      </c>
      <c r="O166" s="19">
        <f>N(O165)+$N166</f>
        <v>163</v>
      </c>
      <c r="S166" s="20" t="str">
        <f>IFERROR(IF([2]对账明细接口!$N166=0,"",[2]对账明细接口!$N166),"")</f>
        <v>公司红周转筐</v>
      </c>
      <c r="T166" s="212">
        <f>IFERROR(IF([2]对账明细接口!$O166=0,"",[2]对账明细接口!$O166),"")</f>
        <v>315</v>
      </c>
      <c r="U166" s="212">
        <f>IFERROR(IF([2]对账明细接口!$P166=0,"",[2]对账明细接口!$P166),"")</f>
      </c>
      <c r="V166" s="212">
        <f>IFERROR(IF([2]对账明细接口!$Q166=0,"",[2]对账明细接口!$Q166),"")</f>
      </c>
      <c r="W166" s="20" t="str">
        <f>IFERROR(IF([2]对账明细接口!$R166=0,"",[2]对账明细接口!$R166),"")</f>
        <v>新N*X8S48</v>
      </c>
      <c r="X166" s="20" t="str">
        <f>IFERROR(IF([2]对账明细接口!$S166=0,"",[2]对账明细接口!$S166),"")</f>
        <v>公司筐</v>
      </c>
      <c r="Y166" s="20">
        <f>""</f>
      </c>
      <c r="Z166" s="20">
        <f>""</f>
      </c>
      <c r="AA166" s="20">
        <f>""</f>
      </c>
      <c r="AB166" s="20">
        <f>""</f>
      </c>
    </row>
    <row r="167" s="127">
      <c r="A167" s="14" t="n">
        <v>167</v>
      </c>
      <c r="B167" s="211">
        <f>IFERROR(IF([2]对账明细接口!$B$167=0,"",[2]对账明细接口!$B$167),"")</f>
        <v>46281.0</v>
      </c>
      <c r="C167" s="16" t="str">
        <f>IFERROR(IF([2]对账明细接口!$C$167=0,"",[2]对账明细接口!$C$167),"")</f>
        <v>全修塑业</v>
      </c>
      <c r="D167" s="16" t="str">
        <f>IFERROR(IF([2]对账明细接口!$D$167=0,"",[2]对账明细接口!$D$167),"")</f>
        <v>周转筐－采购入库</v>
      </c>
      <c r="E167" s="16" t="str">
        <f>IFERROR(IF([2]对账明细接口!$E$167=0,"",[2]对账明细接口!$E$167),"")</f>
        <v>NO:0000884</v>
      </c>
      <c r="F167" s="16" t="str">
        <f>IFERROR(IF([2]对账明细接口!$F$167=0,"",[2]对账明细接口!$F$167),"")</f>
        <v>公司红周转筐</v>
      </c>
      <c r="G167" s="16">
        <f>IFERROR(IF([2]对账明细接口!$G$167=0,"",[2]对账明细接口!$G$167),"")</f>
      </c>
      <c r="H167" s="176">
        <f>IFERROR(IF([2]对账明细接口!$H$167=0,"",[2]对账明细接口!$H$167),"")</f>
        <v>936</v>
      </c>
      <c r="I167" s="16" t="str">
        <f>IFERROR(IF([2]对账明细接口!$I$167=0,"",[2]对账明细接口!$I$167),"")</f>
        <v>个</v>
      </c>
      <c r="J167" s="177">
        <f>IFERROR(IF([2]对账明细接口!$J$167=0,"",[2]对账明细接口!$J$167),"")</f>
      </c>
      <c r="K167" s="177">
        <f>IFERROR(IF([2]对账明细接口!$K$167=0,"",[2]对账明细接口!$K$167),"")</f>
        <v>9360</v>
      </c>
      <c r="L167" s="16" t="str">
        <f>IFERROR(IF([2]对账明细接口!$L$167=0,"",[2]对账明细接口!$L$167),"")</f>
        <v>未付款</v>
      </c>
      <c r="M167" s="16" t="str">
        <f>IFERROR(IF([2]对账明细接口!$M$167=0,"",[2]对账明细接口!$M$167),"")</f>
        <v>NO:0017227</v>
      </c>
      <c r="N167" s="19">
        <f>IF($C167="",0,1)</f>
        <v>1</v>
      </c>
      <c r="O167" s="19">
        <f>N(O166)+$N167</f>
        <v>164</v>
      </c>
      <c r="S167" s="20" t="str">
        <f>IFERROR(IF([2]对账明细接口!$N167=0,"",[2]对账明细接口!$N167),"")</f>
        <v>公司红周转筐</v>
      </c>
      <c r="T167" s="212">
        <f>IFERROR(IF([2]对账明细接口!$O167=0,"",[2]对账明细接口!$O167),"")</f>
      </c>
      <c r="U167" s="212">
        <f>IFERROR(IF([2]对账明细接口!$P167=0,"",[2]对账明细接口!$P167),"")</f>
      </c>
      <c r="V167" s="212">
        <f>IFERROR(IF([2]对账明细接口!$Q167=0,"",[2]对账明细接口!$Q167),"")</f>
        <v>936</v>
      </c>
      <c r="W167" s="20" t="str">
        <f>IFERROR(IF([2]对账明细接口!$R167=0,"",[2]对账明细接口!$R167),"")</f>
        <v>新F*75240</v>
      </c>
      <c r="X167" s="20" t="str">
        <f>IFERROR(IF([2]对账明细接口!$S167=0,"",[2]对账明细接口!$S167),"")</f>
        <v>公司筐</v>
      </c>
      <c r="Y167" s="20">
        <f>""</f>
      </c>
      <c r="Z167" s="20">
        <f>""</f>
      </c>
      <c r="AA167" s="20">
        <f>""</f>
      </c>
      <c r="AB167" s="20">
        <f>""</f>
      </c>
    </row>
    <row r="168" s="127">
      <c r="A168" s="14" t="n">
        <v>168</v>
      </c>
      <c r="B168" s="211">
        <f>IFERROR(IF([2]对账明细接口!$B$168=0,"",[2]对账明细接口!$B$168),"")</f>
        <v>46281.0</v>
      </c>
      <c r="C168" s="16" t="str">
        <f>IFERROR(IF([2]对账明细接口!$C$168=0,"",[2]对账明细接口!$C$168),"")</f>
        <v>全修塑业</v>
      </c>
      <c r="D168" s="16" t="str">
        <f>IFERROR(IF([2]对账明细接口!$D$168=0,"",[2]对账明细接口!$D$168),"")</f>
        <v>周转筐－采购入库</v>
      </c>
      <c r="E168" s="16" t="str">
        <f>IFERROR(IF([2]对账明细接口!$E$168=0,"",[2]对账明细接口!$E$168),"")</f>
        <v>NO:0000885</v>
      </c>
      <c r="F168" s="16" t="str">
        <f>IFERROR(IF([2]对账明细接口!$F$168=0,"",[2]对账明细接口!$F$168),"")</f>
        <v>公司红周转筐</v>
      </c>
      <c r="G168" s="16">
        <f>IFERROR(IF([2]对账明细接口!$G$168=0,"",[2]对账明细接口!$G$168),"")</f>
      </c>
      <c r="H168" s="176">
        <f>IFERROR(IF([2]对账明细接口!$H$168=0,"",[2]对账明细接口!$H$168),"")</f>
        <v>960</v>
      </c>
      <c r="I168" s="16" t="str">
        <f>IFERROR(IF([2]对账明细接口!$I$168=0,"",[2]对账明细接口!$I$168),"")</f>
        <v>个</v>
      </c>
      <c r="J168" s="177">
        <f>IFERROR(IF([2]对账明细接口!$J$168=0,"",[2]对账明细接口!$J$168),"")</f>
      </c>
      <c r="K168" s="177">
        <f>IFERROR(IF([2]对账明细接口!$K$168=0,"",[2]对账明细接口!$K$168),"")</f>
        <v>9600</v>
      </c>
      <c r="L168" s="16" t="str">
        <f>IFERROR(IF([2]对账明细接口!$L$168=0,"",[2]对账明细接口!$L$168),"")</f>
        <v>未付款</v>
      </c>
      <c r="M168" s="16" t="str">
        <f>IFERROR(IF([2]对账明细接口!$M$168=0,"",[2]对账明细接口!$M$168),"")</f>
        <v>NO:0017228</v>
      </c>
      <c r="N168" s="19">
        <f>IF($C168="",0,1)</f>
        <v>1</v>
      </c>
      <c r="O168" s="19">
        <f>N(O167)+$N168</f>
        <v>165</v>
      </c>
      <c r="S168" s="20" t="str">
        <f>IFERROR(IF([2]对账明细接口!$N168=0,"",[2]对账明细接口!$N168),"")</f>
        <v>公司红周转筐</v>
      </c>
      <c r="T168" s="212">
        <f>IFERROR(IF([2]对账明细接口!$O168=0,"",[2]对账明细接口!$O168),"")</f>
      </c>
      <c r="U168" s="212">
        <f>IFERROR(IF([2]对账明细接口!$P168=0,"",[2]对账明细接口!$P168),"")</f>
      </c>
      <c r="V168" s="212">
        <f>IFERROR(IF([2]对账明细接口!$Q168=0,"",[2]对账明细接口!$Q168),"")</f>
        <v>960</v>
      </c>
      <c r="W168" s="20" t="str">
        <f>IFERROR(IF([2]对账明细接口!$R168=0,"",[2]对账明细接口!$R168),"")</f>
        <v>新A*G0554</v>
      </c>
      <c r="X168" s="20" t="str">
        <f>IFERROR(IF([2]对账明细接口!$S168=0,"",[2]对账明细接口!$S168),"")</f>
        <v>公司筐</v>
      </c>
      <c r="Y168" s="20">
        <f>""</f>
      </c>
      <c r="Z168" s="20">
        <f>""</f>
      </c>
      <c r="AA168" s="20">
        <f>""</f>
      </c>
      <c r="AB168" s="20">
        <f>""</f>
      </c>
    </row>
    <row r="169" s="127">
      <c r="A169" s="14" t="n">
        <v>169</v>
      </c>
      <c r="B169" s="211">
        <f>IFERROR(IF([2]对账明细接口!$B$169=0,"",[2]对账明细接口!$B$169),"")</f>
        <v>46281.0</v>
      </c>
      <c r="C169" s="16" t="str">
        <f>IFERROR(IF([2]对账明细接口!$C$169=0,"",[2]对账明细接口!$C$169),"")</f>
        <v>努尔敦</v>
      </c>
      <c r="D169" s="16" t="str">
        <f>IFERROR(IF([2]对账明细接口!$D$169=0,"",[2]对账明细接口!$D$169),"")</f>
        <v>周转筐－领用出库</v>
      </c>
      <c r="E169" s="16" t="str">
        <f>IFERROR(IF([2]对账明细接口!$E$169=0,"",[2]对账明细接口!$E$169),"")</f>
        <v>NO:0001155</v>
      </c>
      <c r="F169" s="16" t="str">
        <f>IFERROR(IF([2]对账明细接口!$F$169=0,"",[2]对账明细接口!$F$169),"")</f>
        <v>公司红周转筐</v>
      </c>
      <c r="G169" s="16">
        <f>IFERROR(IF([2]对账明细接口!$G$169=0,"",[2]对账明细接口!$G$169),"")</f>
      </c>
      <c r="H169" s="176">
        <f>IFERROR(IF([2]对账明细接口!$H$169=0,"",[2]对账明细接口!$H$169),"")</f>
        <v>936</v>
      </c>
      <c r="I169" s="16" t="str">
        <f>IFERROR(IF([2]对账明细接口!$I$169=0,"",[2]对账明细接口!$I$169),"")</f>
        <v>个</v>
      </c>
      <c r="J169" s="177">
        <f>IFERROR(IF([2]对账明细接口!$J$169=0,"",[2]对账明细接口!$J$169),"")</f>
      </c>
      <c r="K169" s="177">
        <f>IFERROR(IF([2]对账明细接口!$K$169=0,"",[2]对账明细接口!$K$169),"")</f>
      </c>
      <c r="L169" s="16">
        <f>IFERROR(IF([2]对账明细接口!$L$169=0,"",[2]对账明细接口!$L$169),"")</f>
      </c>
      <c r="M169" s="16">
        <f>IFERROR(IF([2]对账明细接口!$M$169=0,"",[2]对账明细接口!$M$169),"")</f>
      </c>
      <c r="N169" s="19">
        <f>IF($C169="",0,1)</f>
        <v>1</v>
      </c>
      <c r="O169" s="19">
        <f>N(O168)+$N169</f>
        <v>166</v>
      </c>
      <c r="S169" s="20" t="str">
        <f>IFERROR(IF([2]对账明细接口!$N169=0,"",[2]对账明细接口!$N169),"")</f>
        <v>公司红周转筐</v>
      </c>
      <c r="T169" s="212">
        <f>IFERROR(IF([2]对账明细接口!$O169=0,"",[2]对账明细接口!$O169),"")</f>
        <v>936</v>
      </c>
      <c r="U169" s="212">
        <f>IFERROR(IF([2]对账明细接口!$P169=0,"",[2]对账明细接口!$P169),"")</f>
      </c>
      <c r="V169" s="212">
        <f>IFERROR(IF([2]对账明细接口!$Q169=0,"",[2]对账明细接口!$Q169),"")</f>
      </c>
      <c r="W169" s="20" t="str">
        <f>IFERROR(IF([2]对账明细接口!$R169=0,"",[2]对账明细接口!$R169),"")</f>
        <v>新F*75240</v>
      </c>
      <c r="X169" s="20" t="str">
        <f>IFERROR(IF([2]对账明细接口!$S169=0,"",[2]对账明细接口!$S169),"")</f>
        <v>公司筐</v>
      </c>
      <c r="Y169" s="20">
        <f>""</f>
      </c>
      <c r="Z169" s="20">
        <f>""</f>
      </c>
      <c r="AA169" s="20">
        <f>""</f>
      </c>
      <c r="AB169" s="20">
        <f>""</f>
      </c>
    </row>
    <row r="170" s="127">
      <c r="A170" s="14" t="n">
        <v>170</v>
      </c>
      <c r="B170" s="211">
        <f>IFERROR(IF([2]对账明细接口!$B$170=0,"",[2]对账明细接口!$B$170),"")</f>
        <v>46281.0</v>
      </c>
      <c r="C170" s="16" t="str">
        <f>IFERROR(IF([2]对账明细接口!$C$170=0,"",[2]对账明细接口!$C$170),"")</f>
        <v>麦麦提</v>
      </c>
      <c r="D170" s="16" t="str">
        <f>IFERROR(IF([2]对账明细接口!$D$170=0,"",[2]对账明细接口!$D$170),"")</f>
        <v>周转筐－领用出库</v>
      </c>
      <c r="E170" s="16" t="str">
        <f>IFERROR(IF([2]对账明细接口!$E$170=0,"",[2]对账明细接口!$E$170),"")</f>
        <v>NO:0001156</v>
      </c>
      <c r="F170" s="16" t="str">
        <f>IFERROR(IF([2]对账明细接口!$F$170=0,"",[2]对账明细接口!$F$170),"")</f>
        <v>公司红周转筐</v>
      </c>
      <c r="G170" s="16">
        <f>IFERROR(IF([2]对账明细接口!$G$170=0,"",[2]对账明细接口!$G$170),"")</f>
      </c>
      <c r="H170" s="176">
        <f>IFERROR(IF([2]对账明细接口!$H$170=0,"",[2]对账明细接口!$H$170),"")</f>
        <v>960</v>
      </c>
      <c r="I170" s="16" t="str">
        <f>IFERROR(IF([2]对账明细接口!$I$170=0,"",[2]对账明细接口!$I$170),"")</f>
        <v>个</v>
      </c>
      <c r="J170" s="177">
        <f>IFERROR(IF([2]对账明细接口!$J$170=0,"",[2]对账明细接口!$J$170),"")</f>
      </c>
      <c r="K170" s="177">
        <f>IFERROR(IF([2]对账明细接口!$K$170=0,"",[2]对账明细接口!$K$170),"")</f>
      </c>
      <c r="L170" s="16">
        <f>IFERROR(IF([2]对账明细接口!$L$170=0,"",[2]对账明细接口!$L$170),"")</f>
      </c>
      <c r="M170" s="16">
        <f>IFERROR(IF([2]对账明细接口!$M$170=0,"",[2]对账明细接口!$M$170),"")</f>
      </c>
      <c r="N170" s="19">
        <f>IF($C170="",0,1)</f>
        <v>1</v>
      </c>
      <c r="O170" s="19">
        <f>N(O169)+$N170</f>
        <v>167</v>
      </c>
      <c r="S170" s="20" t="str">
        <f>IFERROR(IF([2]对账明细接口!$N170=0,"",[2]对账明细接口!$N170),"")</f>
        <v>公司红周转筐</v>
      </c>
      <c r="T170" s="212">
        <f>IFERROR(IF([2]对账明细接口!$O170=0,"",[2]对账明细接口!$O170),"")</f>
        <v>960</v>
      </c>
      <c r="U170" s="212">
        <f>IFERROR(IF([2]对账明细接口!$P170=0,"",[2]对账明细接口!$P170),"")</f>
      </c>
      <c r="V170" s="212">
        <f>IFERROR(IF([2]对账明细接口!$Q170=0,"",[2]对账明细接口!$Q170),"")</f>
      </c>
      <c r="W170" s="20" t="str">
        <f>IFERROR(IF([2]对账明细接口!$R170=0,"",[2]对账明细接口!$R170),"")</f>
        <v>新A*G0554</v>
      </c>
      <c r="X170" s="20" t="str">
        <f>IFERROR(IF([2]对账明细接口!$S170=0,"",[2]对账明细接口!$S170),"")</f>
        <v>公司筐</v>
      </c>
      <c r="Y170" s="20">
        <f>""</f>
      </c>
      <c r="Z170" s="20">
        <f>""</f>
      </c>
      <c r="AA170" s="20">
        <f>""</f>
      </c>
      <c r="AB170" s="20">
        <f>""</f>
      </c>
    </row>
    <row r="171" s="127">
      <c r="A171" s="14" t="n">
        <v>171</v>
      </c>
      <c r="B171" s="211">
        <f>IFERROR(IF([2]对账明细接口!$B$171=0,"",[2]对账明细接口!$B$171),"")</f>
        <v>46282.0</v>
      </c>
      <c r="C171" s="16" t="str">
        <f>IFERROR(IF([2]对账明细接口!$C$171=0,"",[2]对账明细接口!$C$171),"")</f>
        <v>王照雪</v>
      </c>
      <c r="D171" s="16" t="str">
        <f>IFERROR(IF([2]对账明细接口!$D$171=0,"",[2]对账明细接口!$D$171),"")</f>
        <v>周转筐－领用出库</v>
      </c>
      <c r="E171" s="16" t="str">
        <f>IFERROR(IF([2]对账明细接口!$E$171=0,"",[2]对账明细接口!$E$171),"")</f>
        <v>NO:0001157</v>
      </c>
      <c r="F171" s="16" t="str">
        <f>IFERROR(IF([2]对账明细接口!$F$171=0,"",[2]对账明细接口!$F$171),"")</f>
        <v>公司杂周转筐</v>
      </c>
      <c r="G171" s="16">
        <f>IFERROR(IF([2]对账明细接口!$G$171=0,"",[2]对账明细接口!$G$171),"")</f>
      </c>
      <c r="H171" s="176">
        <f>IFERROR(IF([2]对账明细接口!$H$171=0,"",[2]对账明细接口!$H$171),"")</f>
        <v>288</v>
      </c>
      <c r="I171" s="16" t="str">
        <f>IFERROR(IF([2]对账明细接口!$I$171=0,"",[2]对账明细接口!$I$171),"")</f>
        <v>个</v>
      </c>
      <c r="J171" s="177">
        <f>IFERROR(IF([2]对账明细接口!$J$171=0,"",[2]对账明细接口!$J$171),"")</f>
      </c>
      <c r="K171" s="177">
        <f>IFERROR(IF([2]对账明细接口!$K$171=0,"",[2]对账明细接口!$K$171),"")</f>
      </c>
      <c r="L171" s="16">
        <f>IFERROR(IF([2]对账明细接口!$L$171=0,"",[2]对账明细接口!$L$171),"")</f>
      </c>
      <c r="M171" s="16">
        <f>IFERROR(IF([2]对账明细接口!$M$171=0,"",[2]对账明细接口!$M$171),"")</f>
      </c>
      <c r="N171" s="19">
        <f>IF($C171="",0,1)</f>
        <v>1</v>
      </c>
      <c r="O171" s="19">
        <f>N(O170)+$N171</f>
        <v>168</v>
      </c>
      <c r="S171" s="20" t="str">
        <f>IFERROR(IF([2]对账明细接口!$N171=0,"",[2]对账明细接口!$N171),"")</f>
        <v>公司杂周转筐</v>
      </c>
      <c r="T171" s="212">
        <f>IFERROR(IF([2]对账明细接口!$O171=0,"",[2]对账明细接口!$O171),"")</f>
        <v>288</v>
      </c>
      <c r="U171" s="212">
        <f>IFERROR(IF([2]对账明细接口!$P171=0,"",[2]对账明细接口!$P171),"")</f>
      </c>
      <c r="V171" s="212">
        <f>IFERROR(IF([2]对账明细接口!$Q171=0,"",[2]对账明细接口!$Q171),"")</f>
      </c>
      <c r="W171" s="20" t="str">
        <f>IFERROR(IF([2]对账明细接口!$R171=0,"",[2]对账明细接口!$R171),"")</f>
        <v>豫L*88X19</v>
      </c>
      <c r="X171" s="20" t="str">
        <f>IFERROR(IF([2]对账明细接口!$S171=0,"",[2]对账明细接口!$S171),"")</f>
        <v>公司筐</v>
      </c>
      <c r="Y171" s="20">
        <f>""</f>
      </c>
      <c r="Z171" s="20">
        <f>""</f>
      </c>
      <c r="AA171" s="20">
        <f>""</f>
      </c>
      <c r="AB171" s="20">
        <f>""</f>
      </c>
    </row>
    <row r="172" s="127">
      <c r="A172" s="14" t="n">
        <v>172</v>
      </c>
      <c r="B172" s="211">
        <f>IFERROR(IF([2]对账明细接口!$B$172=0,"",[2]对账明细接口!$B$172),"")</f>
        <v>46282.0</v>
      </c>
      <c r="C172" s="16" t="str">
        <f>IFERROR(IF([2]对账明细接口!$C$172=0,"",[2]对账明细接口!$C$172),"")</f>
        <v>全修塑业</v>
      </c>
      <c r="D172" s="16" t="str">
        <f>IFERROR(IF([2]对账明细接口!$D$172=0,"",[2]对账明细接口!$D$172),"")</f>
        <v>周转筐－采购入库</v>
      </c>
      <c r="E172" s="16" t="str">
        <f>IFERROR(IF([2]对账明细接口!$E$172=0,"",[2]对账明细接口!$E$172),"")</f>
        <v>NO:0000887</v>
      </c>
      <c r="F172" s="16" t="str">
        <f>IFERROR(IF([2]对账明细接口!$F$172=0,"",[2]对账明细接口!$F$172),"")</f>
        <v>公司红周转筐</v>
      </c>
      <c r="G172" s="16">
        <f>IFERROR(IF([2]对账明细接口!$G$172=0,"",[2]对账明细接口!$G$172),"")</f>
      </c>
      <c r="H172" s="176">
        <f>IFERROR(IF([2]对账明细接口!$H$172=0,"",[2]对账明细接口!$H$172),"")</f>
        <v>936</v>
      </c>
      <c r="I172" s="16" t="str">
        <f>IFERROR(IF([2]对账明细接口!$I$172=0,"",[2]对账明细接口!$I$172),"")</f>
        <v>个</v>
      </c>
      <c r="J172" s="177">
        <f>IFERROR(IF([2]对账明细接口!$J$172=0,"",[2]对账明细接口!$J$172),"")</f>
      </c>
      <c r="K172" s="177">
        <f>IFERROR(IF([2]对账明细接口!$K$172=0,"",[2]对账明细接口!$K$172),"")</f>
        <v>9360</v>
      </c>
      <c r="L172" s="16" t="str">
        <f>IFERROR(IF([2]对账明细接口!$L$172=0,"",[2]对账明细接口!$L$172),"")</f>
        <v>未付款</v>
      </c>
      <c r="M172" s="16" t="str">
        <f>IFERROR(IF([2]对账明细接口!$M$172=0,"",[2]对账明细接口!$M$172),"")</f>
        <v>NO:0017229</v>
      </c>
      <c r="N172" s="19">
        <f>IF($C172="",0,1)</f>
        <v>1</v>
      </c>
      <c r="O172" s="19">
        <f>N(O171)+$N172</f>
        <v>169</v>
      </c>
      <c r="S172" s="20" t="str">
        <f>IFERROR(IF([2]对账明细接口!$N172=0,"",[2]对账明细接口!$N172),"")</f>
        <v>公司红周转筐</v>
      </c>
      <c r="T172" s="212">
        <f>IFERROR(IF([2]对账明细接口!$O172=0,"",[2]对账明细接口!$O172),"")</f>
      </c>
      <c r="U172" s="212">
        <f>IFERROR(IF([2]对账明细接口!$P172=0,"",[2]对账明细接口!$P172),"")</f>
      </c>
      <c r="V172" s="212">
        <f>IFERROR(IF([2]对账明细接口!$Q172=0,"",[2]对账明细接口!$Q172),"")</f>
        <v>936</v>
      </c>
      <c r="W172" s="20" t="str">
        <f>IFERROR(IF([2]对账明细接口!$R172=0,"",[2]对账明细接口!$R172),"")</f>
        <v>新N*49209</v>
      </c>
      <c r="X172" s="20" t="str">
        <f>IFERROR(IF([2]对账明细接口!$S172=0,"",[2]对账明细接口!$S172),"")</f>
        <v>公司筐</v>
      </c>
      <c r="Y172" s="20">
        <f>""</f>
      </c>
      <c r="Z172" s="20">
        <f>""</f>
      </c>
      <c r="AA172" s="20">
        <f>""</f>
      </c>
      <c r="AB172" s="20">
        <f>""</f>
      </c>
    </row>
    <row r="173" s="127">
      <c r="A173" s="14" t="n">
        <v>173</v>
      </c>
      <c r="B173" s="211">
        <f>IFERROR(IF([2]对账明细接口!$B$173=0,"",[2]对账明细接口!$B$173),"")</f>
        <v>46282.0</v>
      </c>
      <c r="C173" s="16" t="str">
        <f>IFERROR(IF([2]对账明细接口!$C$173=0,"",[2]对账明细接口!$C$173),"")</f>
        <v>全修塑业</v>
      </c>
      <c r="D173" s="16" t="str">
        <f>IFERROR(IF([2]对账明细接口!$D$173=0,"",[2]对账明细接口!$D$173),"")</f>
        <v>周转筐－采购入库</v>
      </c>
      <c r="E173" s="16" t="str">
        <f>IFERROR(IF([2]对账明细接口!$E$173=0,"",[2]对账明细接口!$E$173),"")</f>
        <v>NO:0000889</v>
      </c>
      <c r="F173" s="16" t="str">
        <f>IFERROR(IF([2]对账明细接口!$F$173=0,"",[2]对账明细接口!$F$173),"")</f>
        <v>公司红周转筐</v>
      </c>
      <c r="G173" s="16">
        <f>IFERROR(IF([2]对账明细接口!$G$173=0,"",[2]对账明细接口!$G$173),"")</f>
      </c>
      <c r="H173" s="176">
        <f>IFERROR(IF([2]对账明细接口!$H$173=0,"",[2]对账明细接口!$H$173),"")</f>
        <v>801</v>
      </c>
      <c r="I173" s="16" t="str">
        <f>IFERROR(IF([2]对账明细接口!$I$173=0,"",[2]对账明细接口!$I$173),"")</f>
        <v>个</v>
      </c>
      <c r="J173" s="177">
        <f>IFERROR(IF([2]对账明细接口!$J$173=0,"",[2]对账明细接口!$J$173),"")</f>
      </c>
      <c r="K173" s="177">
        <f>IFERROR(IF([2]对账明细接口!$K$173=0,"",[2]对账明细接口!$K$173),"")</f>
        <v>8010</v>
      </c>
      <c r="L173" s="16" t="str">
        <f>IFERROR(IF([2]对账明细接口!$L$173=0,"",[2]对账明细接口!$L$173),"")</f>
        <v>未付款</v>
      </c>
      <c r="M173" s="16" t="str">
        <f>IFERROR(IF([2]对账明细接口!$M$173=0,"",[2]对账明细接口!$M$173),"")</f>
        <v>NO:0017231</v>
      </c>
      <c r="N173" s="19">
        <f>IF($C173="",0,1)</f>
        <v>1</v>
      </c>
      <c r="O173" s="19">
        <f>N(O172)+$N173</f>
        <v>170</v>
      </c>
      <c r="S173" s="20" t="str">
        <f>IFERROR(IF([2]对账明细接口!$N173=0,"",[2]对账明细接口!$N173),"")</f>
        <v>公司红周转筐</v>
      </c>
      <c r="T173" s="212">
        <f>IFERROR(IF([2]对账明细接口!$O173=0,"",[2]对账明细接口!$O173),"")</f>
      </c>
      <c r="U173" s="212">
        <f>IFERROR(IF([2]对账明细接口!$P173=0,"",[2]对账明细接口!$P173),"")</f>
      </c>
      <c r="V173" s="212">
        <f>IFERROR(IF([2]对账明细接口!$Q173=0,"",[2]对账明细接口!$Q173),"")</f>
        <v>801</v>
      </c>
      <c r="W173" s="20" t="str">
        <f>IFERROR(IF([2]对账明细接口!$R173=0,"",[2]对账明细接口!$R173),"")</f>
        <v>新N*49209</v>
      </c>
      <c r="X173" s="20" t="str">
        <f>IFERROR(IF([2]对账明细接口!$S173=0,"",[2]对账明细接口!$S173),"")</f>
        <v>公司筐</v>
      </c>
      <c r="Y173" s="20">
        <f>""</f>
      </c>
      <c r="Z173" s="20">
        <f>""</f>
      </c>
      <c r="AA173" s="20">
        <f>""</f>
      </c>
      <c r="AB173" s="20">
        <f>""</f>
      </c>
    </row>
    <row r="174" s="127">
      <c r="A174" s="14" t="n">
        <v>174</v>
      </c>
      <c r="B174" s="211">
        <f>IFERROR(IF([2]对账明细接口!$B$174=0,"",[2]对账明细接口!$B$174),"")</f>
        <v>46282.0</v>
      </c>
      <c r="C174" s="16" t="str">
        <f>IFERROR(IF([2]对账明细接口!$C$174=0,"",[2]对账明细接口!$C$174),"")</f>
        <v>全修塑业</v>
      </c>
      <c r="D174" s="16" t="str">
        <f>IFERROR(IF([2]对账明细接口!$D$174=0,"",[2]对账明细接口!$D$174),"")</f>
        <v>周转筐－采购入库</v>
      </c>
      <c r="E174" s="16" t="str">
        <f>IFERROR(IF([2]对账明细接口!$E$174=0,"",[2]对账明细接口!$E$174),"")</f>
        <v>NO:0000890</v>
      </c>
      <c r="F174" s="16" t="str">
        <f>IFERROR(IF([2]对账明细接口!$F$174=0,"",[2]对账明细接口!$F$174),"")</f>
        <v>公司红周转筐</v>
      </c>
      <c r="G174" s="16">
        <f>IFERROR(IF([2]对账明细接口!$G$174=0,"",[2]对账明细接口!$G$174),"")</f>
      </c>
      <c r="H174" s="176">
        <f>IFERROR(IF([2]对账明细接口!$H$174=0,"",[2]对账明细接口!$H$174),"")</f>
        <v>846</v>
      </c>
      <c r="I174" s="16" t="str">
        <f>IFERROR(IF([2]对账明细接口!$I$174=0,"",[2]对账明细接口!$I$174),"")</f>
        <v>个</v>
      </c>
      <c r="J174" s="177">
        <f>IFERROR(IF([2]对账明细接口!$J$174=0,"",[2]对账明细接口!$J$174),"")</f>
      </c>
      <c r="K174" s="177">
        <f>IFERROR(IF([2]对账明细接口!$K$174=0,"",[2]对账明细接口!$K$174),"")</f>
        <v>8460</v>
      </c>
      <c r="L174" s="16" t="str">
        <f>IFERROR(IF([2]对账明细接口!$L$174=0,"",[2]对账明细接口!$L$174),"")</f>
        <v>未付款</v>
      </c>
      <c r="M174" s="16" t="str">
        <f>IFERROR(IF([2]对账明细接口!$M$174=0,"",[2]对账明细接口!$M$174),"")</f>
        <v>NO:0017232</v>
      </c>
      <c r="N174" s="19">
        <f>IF($C174="",0,1)</f>
        <v>1</v>
      </c>
      <c r="O174" s="19">
        <f>N(O173)+$N174</f>
        <v>171</v>
      </c>
      <c r="S174" s="20" t="str">
        <f>IFERROR(IF([2]对账明细接口!$N174=0,"",[2]对账明细接口!$N174),"")</f>
        <v>公司红周转筐</v>
      </c>
      <c r="T174" s="212">
        <f>IFERROR(IF([2]对账明细接口!$O174=0,"",[2]对账明细接口!$O174),"")</f>
      </c>
      <c r="U174" s="212">
        <f>IFERROR(IF([2]对账明细接口!$P174=0,"",[2]对账明细接口!$P174),"")</f>
      </c>
      <c r="V174" s="212">
        <f>IFERROR(IF([2]对账明细接口!$Q174=0,"",[2]对账明细接口!$Q174),"")</f>
        <v>846</v>
      </c>
      <c r="W174" s="20" t="str">
        <f>IFERROR(IF([2]对账明细接口!$R174=0,"",[2]对账明细接口!$R174),"")</f>
        <v>新A*G0554</v>
      </c>
      <c r="X174" s="20" t="str">
        <f>IFERROR(IF([2]对账明细接口!$S174=0,"",[2]对账明细接口!$S174),"")</f>
        <v>公司筐</v>
      </c>
      <c r="Y174" s="20">
        <f>""</f>
      </c>
      <c r="Z174" s="20">
        <f>""</f>
      </c>
      <c r="AA174" s="20">
        <f>""</f>
      </c>
      <c r="AB174" s="20">
        <f>""</f>
      </c>
    </row>
    <row r="175" s="127">
      <c r="A175" s="14" t="n">
        <v>175</v>
      </c>
      <c r="B175" s="211">
        <f>IFERROR(IF([2]对账明细接口!$B$175=0,"",[2]对账明细接口!$B$175),"")</f>
        <v>46282.0</v>
      </c>
      <c r="C175" s="16" t="str">
        <f>IFERROR(IF([2]对账明细接口!$C$175=0,"",[2]对账明细接口!$C$175),"")</f>
        <v>王灵云</v>
      </c>
      <c r="D175" s="16" t="str">
        <f>IFERROR(IF([2]对账明细接口!$D$175=0,"",[2]对账明细接口!$D$175),"")</f>
        <v>周转筐－领用出库</v>
      </c>
      <c r="E175" s="16" t="str">
        <f>IFERROR(IF([2]对账明细接口!$E$175=0,"",[2]对账明细接口!$E$175),"")</f>
        <v>NO:0001160</v>
      </c>
      <c r="F175" s="16" t="str">
        <f>IFERROR(IF([2]对账明细接口!$F$175=0,"",[2]对账明细接口!$F$175),"")</f>
        <v>公司红周转筐</v>
      </c>
      <c r="G175" s="16">
        <f>IFERROR(IF([2]对账明细接口!$G$175=0,"",[2]对账明细接口!$G$175),"")</f>
      </c>
      <c r="H175" s="176">
        <f>IFERROR(IF([2]对账明细接口!$H$175=0,"",[2]对账明细接口!$H$175),"")</f>
        <v>936</v>
      </c>
      <c r="I175" s="16" t="str">
        <f>IFERROR(IF([2]对账明细接口!$I$175=0,"",[2]对账明细接口!$I$175),"")</f>
        <v>个</v>
      </c>
      <c r="J175" s="177">
        <f>IFERROR(IF([2]对账明细接口!$J$175=0,"",[2]对账明细接口!$J$175),"")</f>
      </c>
      <c r="K175" s="177">
        <f>IFERROR(IF([2]对账明细接口!$K$175=0,"",[2]对账明细接口!$K$175),"")</f>
      </c>
      <c r="L175" s="16">
        <f>IFERROR(IF([2]对账明细接口!$L$175=0,"",[2]对账明细接口!$L$175),"")</f>
      </c>
      <c r="M175" s="16">
        <f>IFERROR(IF([2]对账明细接口!$M$175=0,"",[2]对账明细接口!$M$175),"")</f>
      </c>
      <c r="N175" s="19">
        <f>IF($C175="",0,1)</f>
        <v>1</v>
      </c>
      <c r="O175" s="19">
        <f>N(O174)+$N175</f>
        <v>172</v>
      </c>
      <c r="S175" s="20" t="str">
        <f>IFERROR(IF([2]对账明细接口!$N175=0,"",[2]对账明细接口!$N175),"")</f>
        <v>公司红周转筐</v>
      </c>
      <c r="T175" s="212">
        <f>IFERROR(IF([2]对账明细接口!$O175=0,"",[2]对账明细接口!$O175),"")</f>
        <v>936</v>
      </c>
      <c r="U175" s="212">
        <f>IFERROR(IF([2]对账明细接口!$P175=0,"",[2]对账明细接口!$P175),"")</f>
      </c>
      <c r="V175" s="212">
        <f>IFERROR(IF([2]对账明细接口!$Q175=0,"",[2]对账明细接口!$Q175),"")</f>
      </c>
      <c r="W175" s="20" t="str">
        <f>IFERROR(IF([2]对账明细接口!$R175=0,"",[2]对账明细接口!$R175),"")</f>
        <v>新N*49209</v>
      </c>
      <c r="X175" s="20" t="str">
        <f>IFERROR(IF([2]对账明细接口!$S175=0,"",[2]对账明细接口!$S175),"")</f>
        <v>公司筐</v>
      </c>
      <c r="Y175" s="20">
        <f>""</f>
      </c>
      <c r="Z175" s="20">
        <f>""</f>
      </c>
      <c r="AA175" s="20">
        <f>""</f>
      </c>
      <c r="AB175" s="20">
        <f>""</f>
      </c>
    </row>
    <row r="176" s="127">
      <c r="A176" s="14" t="n">
        <v>176</v>
      </c>
      <c r="B176" s="211">
        <f>IFERROR(IF([2]对账明细接口!$B$176=0,"",[2]对账明细接口!$B$176),"")</f>
        <v>46282.0</v>
      </c>
      <c r="C176" s="16" t="str">
        <f>IFERROR(IF([2]对账明细接口!$C$176=0,"",[2]对账明细接口!$C$176),"")</f>
        <v>王照雪</v>
      </c>
      <c r="D176" s="16" t="str">
        <f>IFERROR(IF([2]对账明细接口!$D$176=0,"",[2]对账明细接口!$D$176),"")</f>
        <v>周转筐－领用出库</v>
      </c>
      <c r="E176" s="16" t="str">
        <f>IFERROR(IF([2]对账明细接口!$E$176=0,"",[2]对账明细接口!$E$176),"")</f>
        <v>NO:0001164</v>
      </c>
      <c r="F176" s="16" t="str">
        <f>IFERROR(IF([2]对账明细接口!$F$176=0,"",[2]对账明细接口!$F$176),"")</f>
        <v>公司一次性筐</v>
      </c>
      <c r="G176" s="16">
        <f>IFERROR(IF([2]对账明细接口!$G$176=0,"",[2]对账明细接口!$G$176),"")</f>
      </c>
      <c r="H176" s="176">
        <f>IFERROR(IF([2]对账明细接口!$H$176=0,"",[2]对账明细接口!$H$176),"")</f>
        <v>423</v>
      </c>
      <c r="I176" s="16" t="str">
        <f>IFERROR(IF([2]对账明细接口!$I$176=0,"",[2]对账明细接口!$I$176),"")</f>
        <v>个</v>
      </c>
      <c r="J176" s="177">
        <f>IFERROR(IF([2]对账明细接口!$J$176=0,"",[2]对账明细接口!$J$176),"")</f>
      </c>
      <c r="K176" s="177">
        <f>IFERROR(IF([2]对账明细接口!$K$176=0,"",[2]对账明细接口!$K$176),"")</f>
      </c>
      <c r="L176" s="16">
        <f>IFERROR(IF([2]对账明细接口!$L$176=0,"",[2]对账明细接口!$L$176),"")</f>
      </c>
      <c r="M176" s="16">
        <f>IFERROR(IF([2]对账明细接口!$M$176=0,"",[2]对账明细接口!$M$176),"")</f>
      </c>
      <c r="N176" s="19">
        <f>IF($C176="",0,1)</f>
        <v>1</v>
      </c>
      <c r="O176" s="19">
        <f>N(O175)+$N176</f>
        <v>173</v>
      </c>
      <c r="S176" s="20" t="str">
        <f>IFERROR(IF([2]对账明细接口!$N176=0,"",[2]对账明细接口!$N176),"")</f>
        <v>公司一次性筐</v>
      </c>
      <c r="T176" s="212">
        <f>IFERROR(IF([2]对账明细接口!$O176=0,"",[2]对账明细接口!$O176),"")</f>
        <v>423</v>
      </c>
      <c r="U176" s="212">
        <f>IFERROR(IF([2]对账明细接口!$P176=0,"",[2]对账明细接口!$P176),"")</f>
      </c>
      <c r="V176" s="212">
        <f>IFERROR(IF([2]对账明细接口!$Q176=0,"",[2]对账明细接口!$Q176),"")</f>
      </c>
      <c r="W176" s="20" t="str">
        <f>IFERROR(IF([2]对账明细接口!$R176=0,"",[2]对账明细接口!$R176),"")</f>
        <v>豫L*88X19</v>
      </c>
      <c r="X176" s="20" t="str">
        <f>IFERROR(IF([2]对账明细接口!$S176=0,"",[2]对账明细接口!$S176),"")</f>
        <v>公司筐</v>
      </c>
      <c r="Y176" s="20">
        <f>""</f>
      </c>
      <c r="Z176" s="20">
        <f>""</f>
      </c>
      <c r="AA176" s="20">
        <f>""</f>
      </c>
      <c r="AB176" s="20">
        <f>""</f>
      </c>
    </row>
    <row r="177" s="127">
      <c r="A177" s="14" t="n">
        <v>177</v>
      </c>
      <c r="B177" s="211">
        <f>IFERROR(IF([2]对账明细接口!$B$177=0,"",[2]对账明细接口!$B$177),"")</f>
        <v>46282.0</v>
      </c>
      <c r="C177" s="16" t="str">
        <f>IFERROR(IF([2]对账明细接口!$C$177=0,"",[2]对账明细接口!$C$177),"")</f>
        <v>王灵云</v>
      </c>
      <c r="D177" s="16" t="str">
        <f>IFERROR(IF([2]对账明细接口!$D$177=0,"",[2]对账明细接口!$D$177),"")</f>
        <v>周转筐－领用出库</v>
      </c>
      <c r="E177" s="16" t="str">
        <f>IFERROR(IF([2]对账明细接口!$E$177=0,"",[2]对账明细接口!$E$177),"")</f>
        <v>NO:0001167</v>
      </c>
      <c r="F177" s="16" t="str">
        <f>IFERROR(IF([2]对账明细接口!$F$177=0,"",[2]对账明细接口!$F$177),"")</f>
        <v>公司红周转筐</v>
      </c>
      <c r="G177" s="16">
        <f>IFERROR(IF([2]对账明细接口!$G$177=0,"",[2]对账明细接口!$G$177),"")</f>
      </c>
      <c r="H177" s="176">
        <f>IFERROR(IF([2]对账明细接口!$H$177=0,"",[2]对账明细接口!$H$177),"")</f>
        <v>801</v>
      </c>
      <c r="I177" s="16" t="str">
        <f>IFERROR(IF([2]对账明细接口!$I$177=0,"",[2]对账明细接口!$I$177),"")</f>
        <v>个</v>
      </c>
      <c r="J177" s="177">
        <f>IFERROR(IF([2]对账明细接口!$J$177=0,"",[2]对账明细接口!$J$177),"")</f>
      </c>
      <c r="K177" s="177">
        <f>IFERROR(IF([2]对账明细接口!$K$177=0,"",[2]对账明细接口!$K$177),"")</f>
      </c>
      <c r="L177" s="16">
        <f>IFERROR(IF([2]对账明细接口!$L$177=0,"",[2]对账明细接口!$L$177),"")</f>
      </c>
      <c r="M177" s="16">
        <f>IFERROR(IF([2]对账明细接口!$M$177=0,"",[2]对账明细接口!$M$177),"")</f>
      </c>
      <c r="N177" s="19">
        <f>IF($C177="",0,1)</f>
        <v>1</v>
      </c>
      <c r="O177" s="19">
        <f>N(O176)+$N177</f>
        <v>174</v>
      </c>
      <c r="S177" s="20" t="str">
        <f>IFERROR(IF([2]对账明细接口!$N177=0,"",[2]对账明细接口!$N177),"")</f>
        <v>公司红周转筐</v>
      </c>
      <c r="T177" s="212">
        <f>IFERROR(IF([2]对账明细接口!$O177=0,"",[2]对账明细接口!$O177),"")</f>
        <v>801</v>
      </c>
      <c r="U177" s="212">
        <f>IFERROR(IF([2]对账明细接口!$P177=0,"",[2]对账明细接口!$P177),"")</f>
      </c>
      <c r="V177" s="212">
        <f>IFERROR(IF([2]对账明细接口!$Q177=0,"",[2]对账明细接口!$Q177),"")</f>
      </c>
      <c r="W177" s="20" t="str">
        <f>IFERROR(IF([2]对账明细接口!$R177=0,"",[2]对账明细接口!$R177),"")</f>
        <v>新N*49209</v>
      </c>
      <c r="X177" s="20" t="str">
        <f>IFERROR(IF([2]对账明细接口!$S177=0,"",[2]对账明细接口!$S177),"")</f>
        <v>公司筐</v>
      </c>
      <c r="Y177" s="20">
        <f>""</f>
      </c>
      <c r="Z177" s="20">
        <f>""</f>
      </c>
      <c r="AA177" s="20">
        <f>""</f>
      </c>
      <c r="AB177" s="20">
        <f>""</f>
      </c>
    </row>
    <row r="178" s="127">
      <c r="A178" s="14" t="n">
        <v>178</v>
      </c>
      <c r="B178" s="211">
        <f>IFERROR(IF([2]对账明细接口!$B$178=0,"",[2]对账明细接口!$B$178),"")</f>
        <v>46282.0</v>
      </c>
      <c r="C178" s="16" t="str">
        <f>IFERROR(IF([2]对账明细接口!$C$178=0,"",[2]对账明细接口!$C$178),"")</f>
        <v>热合曼</v>
      </c>
      <c r="D178" s="16" t="str">
        <f>IFERROR(IF([2]对账明细接口!$D$178=0,"",[2]对账明细接口!$D$178),"")</f>
        <v>周转筐－领用出库</v>
      </c>
      <c r="E178" s="16" t="str">
        <f>IFERROR(IF([2]对账明细接口!$E$178=0,"",[2]对账明细接口!$E$178),"")</f>
        <v>NO:0001169</v>
      </c>
      <c r="F178" s="16" t="str">
        <f>IFERROR(IF([2]对账明细接口!$F$178=0,"",[2]对账明细接口!$F$178),"")</f>
        <v>公司红周转筐</v>
      </c>
      <c r="G178" s="16">
        <f>IFERROR(IF([2]对账明细接口!$G$178=0,"",[2]对账明细接口!$G$178),"")</f>
      </c>
      <c r="H178" s="176">
        <f>IFERROR(IF([2]对账明细接口!$H$178=0,"",[2]对账明细接口!$H$178),"")</f>
        <v>846</v>
      </c>
      <c r="I178" s="16" t="str">
        <f>IFERROR(IF([2]对账明细接口!$I$178=0,"",[2]对账明细接口!$I$178),"")</f>
        <v>个</v>
      </c>
      <c r="J178" s="177">
        <f>IFERROR(IF([2]对账明细接口!$J$178=0,"",[2]对账明细接口!$J$178),"")</f>
      </c>
      <c r="K178" s="177">
        <f>IFERROR(IF([2]对账明细接口!$K$178=0,"",[2]对账明细接口!$K$178),"")</f>
      </c>
      <c r="L178" s="16">
        <f>IFERROR(IF([2]对账明细接口!$L$178=0,"",[2]对账明细接口!$L$178),"")</f>
      </c>
      <c r="M178" s="16">
        <f>IFERROR(IF([2]对账明细接口!$M$178=0,"",[2]对账明细接口!$M$178),"")</f>
      </c>
      <c r="N178" s="19">
        <f>IF($C178="",0,1)</f>
        <v>1</v>
      </c>
      <c r="O178" s="19">
        <f>N(O177)+$N178</f>
        <v>175</v>
      </c>
      <c r="S178" s="20" t="str">
        <f>IFERROR(IF([2]对账明细接口!$N178=0,"",[2]对账明细接口!$N178),"")</f>
        <v>公司红周转筐</v>
      </c>
      <c r="T178" s="212">
        <f>IFERROR(IF([2]对账明细接口!$O178=0,"",[2]对账明细接口!$O178),"")</f>
        <v>846</v>
      </c>
      <c r="U178" s="212">
        <f>IFERROR(IF([2]对账明细接口!$P178=0,"",[2]对账明细接口!$P178),"")</f>
      </c>
      <c r="V178" s="212">
        <f>IFERROR(IF([2]对账明细接口!$Q178=0,"",[2]对账明细接口!$Q178),"")</f>
      </c>
      <c r="W178" s="20" t="str">
        <f>IFERROR(IF([2]对账明细接口!$R178=0,"",[2]对账明细接口!$R178),"")</f>
        <v>新A*G0554</v>
      </c>
      <c r="X178" s="20" t="str">
        <f>IFERROR(IF([2]对账明细接口!$S178=0,"",[2]对账明细接口!$S178),"")</f>
        <v>公司筐</v>
      </c>
      <c r="Y178" s="20">
        <f>""</f>
      </c>
      <c r="Z178" s="20">
        <f>""</f>
      </c>
      <c r="AA178" s="20">
        <f>""</f>
      </c>
      <c r="AB178" s="20">
        <f>""</f>
      </c>
    </row>
    <row r="179" s="127">
      <c r="A179" s="14" t="n">
        <v>179</v>
      </c>
      <c r="B179" s="211">
        <f>IFERROR(IF([2]对账明细接口!$B$179=0,"",[2]对账明细接口!$B$179),"")</f>
        <v>46282.0</v>
      </c>
      <c r="C179" s="16" t="str">
        <f>IFERROR(IF([2]对账明细接口!$C$179=0,"",[2]对账明细接口!$C$179),"")</f>
        <v>全修塑业</v>
      </c>
      <c r="D179" s="16" t="str">
        <f>IFERROR(IF([2]对账明细接口!$D$179=0,"",[2]对账明细接口!$D$179),"")</f>
        <v>周转筐－采购入库</v>
      </c>
      <c r="E179" s="16" t="str">
        <f>IFERROR(IF([2]对账明细接口!$E$179=0,"",[2]对账明细接口!$E$179),"")</f>
        <v>NO:0000894</v>
      </c>
      <c r="F179" s="16" t="str">
        <f>IFERROR(IF([2]对账明细接口!$F$179=0,"",[2]对账明细接口!$F$179),"")</f>
        <v>公司红周转筐</v>
      </c>
      <c r="G179" s="16">
        <f>IFERROR(IF([2]对账明细接口!$G$179=0,"",[2]对账明细接口!$G$179),"")</f>
      </c>
      <c r="H179" s="176">
        <f>IFERROR(IF([2]对账明细接口!$H$179=0,"",[2]对账明细接口!$H$179),"")</f>
        <v>504</v>
      </c>
      <c r="I179" s="16" t="str">
        <f>IFERROR(IF([2]对账明细接口!$I$179=0,"",[2]对账明细接口!$I$179),"")</f>
        <v>个</v>
      </c>
      <c r="J179" s="177">
        <f>IFERROR(IF([2]对账明细接口!$J$179=0,"",[2]对账明细接口!$J$179),"")</f>
      </c>
      <c r="K179" s="177">
        <f>IFERROR(IF([2]对账明细接口!$K$179=0,"",[2]对账明细接口!$K$179),"")</f>
        <v>5040</v>
      </c>
      <c r="L179" s="16" t="str">
        <f>IFERROR(IF([2]对账明细接口!$L$179=0,"",[2]对账明细接口!$L$179),"")</f>
        <v>未付款</v>
      </c>
      <c r="M179" s="16" t="str">
        <f>IFERROR(IF([2]对账明细接口!$M$179=0,"",[2]对账明细接口!$M$179),"")</f>
        <v>NO:0017234</v>
      </c>
      <c r="N179" s="19">
        <f>IF($C179="",0,1)</f>
        <v>1</v>
      </c>
      <c r="O179" s="19">
        <f>N(O178)+$N179</f>
        <v>176</v>
      </c>
      <c r="S179" s="20" t="str">
        <f>IFERROR(IF([2]对账明细接口!$N179=0,"",[2]对账明细接口!$N179),"")</f>
        <v>公司红周转筐</v>
      </c>
      <c r="T179" s="212">
        <f>IFERROR(IF([2]对账明细接口!$O179=0,"",[2]对账明细接口!$O179),"")</f>
      </c>
      <c r="U179" s="212">
        <f>IFERROR(IF([2]对账明细接口!$P179=0,"",[2]对账明细接口!$P179),"")</f>
      </c>
      <c r="V179" s="212">
        <f>IFERROR(IF([2]对账明细接口!$Q179=0,"",[2]对账明细接口!$Q179),"")</f>
        <v>504</v>
      </c>
      <c r="W179" s="20" t="str">
        <f>IFERROR(IF([2]对账明细接口!$R179=0,"",[2]对账明细接口!$R179),"")</f>
        <v>新N*F0M01</v>
      </c>
      <c r="X179" s="20" t="str">
        <f>IFERROR(IF([2]对账明细接口!$S179=0,"",[2]对账明细接口!$S179),"")</f>
        <v>公司筐</v>
      </c>
      <c r="Y179" s="20">
        <f>""</f>
      </c>
      <c r="Z179" s="20">
        <f>""</f>
      </c>
      <c r="AA179" s="20">
        <f>""</f>
      </c>
      <c r="AB179" s="20">
        <f>""</f>
      </c>
    </row>
    <row r="180" s="127">
      <c r="A180" s="14" t="n">
        <v>180</v>
      </c>
      <c r="B180" s="211">
        <f>IFERROR(IF([2]对账明细接口!$B$180=0,"",[2]对账明细接口!$B$180),"")</f>
        <v>46282.0</v>
      </c>
      <c r="C180" s="16" t="str">
        <f>IFERROR(IF([2]对账明细接口!$C$180=0,"",[2]对账明细接口!$C$180),"")</f>
        <v>努尔敦</v>
      </c>
      <c r="D180" s="16" t="str">
        <f>IFERROR(IF([2]对账明细接口!$D$180=0,"",[2]对账明细接口!$D$180),"")</f>
        <v>周转筐－领用出库</v>
      </c>
      <c r="E180" s="16" t="str">
        <f>IFERROR(IF([2]对账明细接口!$E$180=0,"",[2]对账明细接口!$E$180),"")</f>
        <v>NO:0001170</v>
      </c>
      <c r="F180" s="16" t="str">
        <f>IFERROR(IF([2]对账明细接口!$F$180=0,"",[2]对账明细接口!$F$180),"")</f>
        <v>公司红周转筐</v>
      </c>
      <c r="G180" s="16">
        <f>IFERROR(IF([2]对账明细接口!$G$180=0,"",[2]对账明细接口!$G$180),"")</f>
      </c>
      <c r="H180" s="176">
        <f>IFERROR(IF([2]对账明细接口!$H$180=0,"",[2]对账明细接口!$H$180),"")</f>
        <v>504</v>
      </c>
      <c r="I180" s="16" t="str">
        <f>IFERROR(IF([2]对账明细接口!$I$180=0,"",[2]对账明细接口!$I$180),"")</f>
        <v>个</v>
      </c>
      <c r="J180" s="177">
        <f>IFERROR(IF([2]对账明细接口!$J$180=0,"",[2]对账明细接口!$J$180),"")</f>
      </c>
      <c r="K180" s="177">
        <f>IFERROR(IF([2]对账明细接口!$K$180=0,"",[2]对账明细接口!$K$180),"")</f>
      </c>
      <c r="L180" s="16">
        <f>IFERROR(IF([2]对账明细接口!$L$180=0,"",[2]对账明细接口!$L$180),"")</f>
      </c>
      <c r="M180" s="16">
        <f>IFERROR(IF([2]对账明细接口!$M$180=0,"",[2]对账明细接口!$M$180),"")</f>
      </c>
      <c r="N180" s="19">
        <f>IF($C180="",0,1)</f>
        <v>1</v>
      </c>
      <c r="O180" s="19">
        <f>N(O179)+$N180</f>
        <v>177</v>
      </c>
      <c r="S180" s="20" t="str">
        <f>IFERROR(IF([2]对账明细接口!$N180=0,"",[2]对账明细接口!$N180),"")</f>
        <v>公司红周转筐</v>
      </c>
      <c r="T180" s="212">
        <f>IFERROR(IF([2]对账明细接口!$O180=0,"",[2]对账明细接口!$O180),"")</f>
        <v>504</v>
      </c>
      <c r="U180" s="212">
        <f>IFERROR(IF([2]对账明细接口!$P180=0,"",[2]对账明细接口!$P180),"")</f>
      </c>
      <c r="V180" s="212">
        <f>IFERROR(IF([2]对账明细接口!$Q180=0,"",[2]对账明细接口!$Q180),"")</f>
      </c>
      <c r="W180" s="20" t="str">
        <f>IFERROR(IF([2]对账明细接口!$R180=0,"",[2]对账明细接口!$R180),"")</f>
        <v>新N*F0M01</v>
      </c>
      <c r="X180" s="20" t="str">
        <f>IFERROR(IF([2]对账明细接口!$S180=0,"",[2]对账明细接口!$S180),"")</f>
        <v>公司筐</v>
      </c>
      <c r="Y180" s="20">
        <f>""</f>
      </c>
      <c r="Z180" s="20">
        <f>""</f>
      </c>
      <c r="AA180" s="20">
        <f>""</f>
      </c>
      <c r="AB180" s="20">
        <f>""</f>
      </c>
    </row>
    <row r="181" s="127">
      <c r="A181" s="14" t="n">
        <v>181</v>
      </c>
      <c r="B181" s="211">
        <f>IFERROR(IF([2]对账明细接口!$B$181=0,"",[2]对账明细接口!$B$181),"")</f>
        <v>46282.0</v>
      </c>
      <c r="C181" s="16" t="str">
        <f>IFERROR(IF([2]对账明细接口!$C$181=0,"",[2]对账明细接口!$C$181),"")</f>
        <v>努尔敦</v>
      </c>
      <c r="D181" s="16" t="str">
        <f>IFERROR(IF([2]对账明细接口!$D$181=0,"",[2]对账明细接口!$D$181),"")</f>
        <v>周转筐－领用出库</v>
      </c>
      <c r="E181" s="16" t="str">
        <f>IFERROR(IF([2]对账明细接口!$E$181=0,"",[2]对账明细接口!$E$181),"")</f>
        <v>NO:0001171</v>
      </c>
      <c r="F181" s="16" t="str">
        <f>IFERROR(IF([2]对账明细接口!$F$181=0,"",[2]对账明细接口!$F$181),"")</f>
        <v>公司红周转筐</v>
      </c>
      <c r="G181" s="16">
        <f>IFERROR(IF([2]对账明细接口!$G$181=0,"",[2]对账明细接口!$G$181),"")</f>
      </c>
      <c r="H181" s="176">
        <f>IFERROR(IF([2]对账明细接口!$H$181=0,"",[2]对账明细接口!$H$181),"")</f>
        <v>344</v>
      </c>
      <c r="I181" s="16" t="str">
        <f>IFERROR(IF([2]对账明细接口!$I$181=0,"",[2]对账明细接口!$I$181),"")</f>
        <v>个</v>
      </c>
      <c r="J181" s="177">
        <f>IFERROR(IF([2]对账明细接口!$J$181=0,"",[2]对账明细接口!$J$181),"")</f>
      </c>
      <c r="K181" s="177">
        <f>IFERROR(IF([2]对账明细接口!$K$181=0,"",[2]对账明细接口!$K$181),"")</f>
      </c>
      <c r="L181" s="16">
        <f>IFERROR(IF([2]对账明细接口!$L$181=0,"",[2]对账明细接口!$L$181),"")</f>
      </c>
      <c r="M181" s="16">
        <f>IFERROR(IF([2]对账明细接口!$M$181=0,"",[2]对账明细接口!$M$181),"")</f>
      </c>
      <c r="N181" s="19">
        <f>IF($C181="",0,1)</f>
        <v>1</v>
      </c>
      <c r="O181" s="19">
        <f>N(O180)+$N181</f>
        <v>178</v>
      </c>
      <c r="S181" s="20" t="str">
        <f>IFERROR(IF([2]对账明细接口!$N181=0,"",[2]对账明细接口!$N181),"")</f>
        <v>公司红周转筐</v>
      </c>
      <c r="T181" s="212">
        <f>IFERROR(IF([2]对账明细接口!$O181=0,"",[2]对账明细接口!$O181),"")</f>
        <v>344</v>
      </c>
      <c r="U181" s="212">
        <f>IFERROR(IF([2]对账明细接口!$P181=0,"",[2]对账明细接口!$P181),"")</f>
      </c>
      <c r="V181" s="212">
        <f>IFERROR(IF([2]对账明细接口!$Q181=0,"",[2]对账明细接口!$Q181),"")</f>
      </c>
      <c r="W181" s="20" t="str">
        <f>IFERROR(IF([2]对账明细接口!$R181=0,"",[2]对账明细接口!$R181),"")</f>
        <v>新F*75240</v>
      </c>
      <c r="X181" s="20" t="str">
        <f>IFERROR(IF([2]对账明细接口!$S181=0,"",[2]对账明细接口!$S181),"")</f>
        <v>公司筐</v>
      </c>
      <c r="Y181" s="20">
        <f>""</f>
      </c>
      <c r="Z181" s="20">
        <f>""</f>
      </c>
      <c r="AA181" s="20">
        <f>""</f>
      </c>
      <c r="AB181" s="20">
        <f>""</f>
      </c>
    </row>
    <row r="182" s="127">
      <c r="A182" s="14" t="n">
        <v>182</v>
      </c>
      <c r="B182" s="211">
        <f>IFERROR(IF([2]对账明细接口!$B$182=0,"",[2]对账明细接口!$B$182),"")</f>
        <v>46282.0</v>
      </c>
      <c r="C182" s="16" t="str">
        <f>IFERROR(IF([2]对账明细接口!$C$182=0,"",[2]对账明细接口!$C$182),"")</f>
        <v>王照雪</v>
      </c>
      <c r="D182" s="16" t="str">
        <f>IFERROR(IF([2]对账明细接口!$D$182=0,"",[2]对账明细接口!$D$182),"")</f>
        <v>周转筐－退回入库</v>
      </c>
      <c r="E182" s="16" t="str">
        <f>IFERROR(IF([2]对账明细接口!$E$182=0,"",[2]对账明细接口!$E$182),"")</f>
        <v>NO:0000899</v>
      </c>
      <c r="F182" s="16" t="str">
        <f>IFERROR(IF([2]对账明细接口!$F$182=0,"",[2]对账明细接口!$F$182),"")</f>
        <v>公司杂周转筐</v>
      </c>
      <c r="G182" s="16">
        <f>IFERROR(IF([2]对账明细接口!$G$182=0,"",[2]对账明细接口!$G$182),"")</f>
      </c>
      <c r="H182" s="176">
        <f>IFERROR(IF([2]对账明细接口!$H$182=0,"",[2]对账明细接口!$H$182),"")</f>
        <v>4</v>
      </c>
      <c r="I182" s="16" t="str">
        <f>IFERROR(IF([2]对账明细接口!$I$182=0,"",[2]对账明细接口!$I$182),"")</f>
        <v>个</v>
      </c>
      <c r="J182" s="177">
        <f>IFERROR(IF([2]对账明细接口!$J$182=0,"",[2]对账明细接口!$J$182),"")</f>
      </c>
      <c r="K182" s="177">
        <f>IFERROR(IF([2]对账明细接口!$K$182=0,"",[2]对账明细接口!$K$182),"")</f>
      </c>
      <c r="L182" s="16">
        <f>IFERROR(IF([2]对账明细接口!$L$182=0,"",[2]对账明细接口!$L$182),"")</f>
      </c>
      <c r="M182" s="16" t="str">
        <f>IFERROR(IF([2]对账明细接口!$M$182=0,"",[2]对账明细接口!$M$182),"")</f>
        <v>电商退回</v>
      </c>
      <c r="N182" s="19">
        <f>IF($C182="",0,1)</f>
        <v>1</v>
      </c>
      <c r="O182" s="19">
        <f>N(O181)+$N182</f>
        <v>179</v>
      </c>
      <c r="S182" s="20" t="str">
        <f>IFERROR(IF([2]对账明细接口!$N182=0,"",[2]对账明细接口!$N182),"")</f>
        <v>公司杂周转筐</v>
      </c>
      <c r="T182" s="212">
        <f>IFERROR(IF([2]对账明细接口!$O182=0,"",[2]对账明细接口!$O182),"")</f>
      </c>
      <c r="U182" s="212">
        <f>IFERROR(IF([2]对账明细接口!$P182=0,"",[2]对账明细接口!$P182),"")</f>
        <v>4</v>
      </c>
      <c r="V182" s="212">
        <f>IFERROR(IF([2]对账明细接口!$Q182=0,"",[2]对账明细接口!$Q182),"")</f>
      </c>
      <c r="W182" s="20">
        <f>IFERROR(IF([2]对账明细接口!$R182=0,"",[2]对账明细接口!$R182),"")</f>
      </c>
      <c r="X182" s="20" t="str">
        <f>IFERROR(IF([2]对账明细接口!$S182=0,"",[2]对账明细接口!$S182),"")</f>
        <v>公司筐</v>
      </c>
      <c r="Y182" s="20">
        <f>""</f>
      </c>
      <c r="Z182" s="20">
        <f>""</f>
      </c>
      <c r="AA182" s="20">
        <f>""</f>
      </c>
      <c r="AB182" s="20">
        <f>""</f>
      </c>
    </row>
    <row r="183" s="127">
      <c r="A183" s="14" t="n">
        <v>183</v>
      </c>
      <c r="B183" s="211">
        <f>IFERROR(IF([2]对账明细接口!$B$183=0,"",[2]对账明细接口!$B$183),"")</f>
        <v>46283.0</v>
      </c>
      <c r="C183" s="16" t="str">
        <f>IFERROR(IF([2]对账明细接口!$C$183=0,"",[2]对账明细接口!$C$183),"")</f>
        <v>王照雪</v>
      </c>
      <c r="D183" s="16" t="str">
        <f>IFERROR(IF([2]对账明细接口!$D$183=0,"",[2]对账明细接口!$D$183),"")</f>
        <v>周转筐－领用出库</v>
      </c>
      <c r="E183" s="16" t="str">
        <f>IFERROR(IF([2]对账明细接口!$E$183=0,"",[2]对账明细接口!$E$183),"")</f>
        <v>NO:0001174</v>
      </c>
      <c r="F183" s="16" t="str">
        <f>IFERROR(IF([2]对账明细接口!$F$183=0,"",[2]对账明细接口!$F$183),"")</f>
        <v>公司杂周转筐</v>
      </c>
      <c r="G183" s="16">
        <f>IFERROR(IF([2]对账明细接口!$G$183=0,"",[2]对账明细接口!$G$183),"")</f>
      </c>
      <c r="H183" s="176">
        <f>IFERROR(IF([2]对账明细接口!$H$183=0,"",[2]对账明细接口!$H$183),"")</f>
        <v>423</v>
      </c>
      <c r="I183" s="16" t="str">
        <f>IFERROR(IF([2]对账明细接口!$I$183=0,"",[2]对账明细接口!$I$183),"")</f>
        <v>个</v>
      </c>
      <c r="J183" s="177">
        <f>IFERROR(IF([2]对账明细接口!$J$183=0,"",[2]对账明细接口!$J$183),"")</f>
      </c>
      <c r="K183" s="177">
        <f>IFERROR(IF([2]对账明细接口!$K$183=0,"",[2]对账明细接口!$K$183),"")</f>
      </c>
      <c r="L183" s="16">
        <f>IFERROR(IF([2]对账明细接口!$L$183=0,"",[2]对账明细接口!$L$183),"")</f>
      </c>
      <c r="M183" s="16">
        <f>IFERROR(IF([2]对账明细接口!$M$183=0,"",[2]对账明细接口!$M$183),"")</f>
      </c>
      <c r="N183" s="19">
        <f>IF($C183="",0,1)</f>
        <v>1</v>
      </c>
      <c r="O183" s="19">
        <f>N(O182)+$N183</f>
        <v>180</v>
      </c>
      <c r="S183" s="20" t="str">
        <f>IFERROR(IF([2]对账明细接口!$N183=0,"",[2]对账明细接口!$N183),"")</f>
        <v>公司杂周转筐</v>
      </c>
      <c r="T183" s="212">
        <f>IFERROR(IF([2]对账明细接口!$O183=0,"",[2]对账明细接口!$O183),"")</f>
        <v>423</v>
      </c>
      <c r="U183" s="212">
        <f>IFERROR(IF([2]对账明细接口!$P183=0,"",[2]对账明细接口!$P183),"")</f>
      </c>
      <c r="V183" s="212">
        <f>IFERROR(IF([2]对账明细接口!$Q183=0,"",[2]对账明细接口!$Q183),"")</f>
      </c>
      <c r="W183" s="20" t="str">
        <f>IFERROR(IF([2]对账明细接口!$R183=0,"",[2]对账明细接口!$R183),"")</f>
        <v>豫L*88X19</v>
      </c>
      <c r="X183" s="20" t="str">
        <f>IFERROR(IF([2]对账明细接口!$S183=0,"",[2]对账明细接口!$S183),"")</f>
        <v>公司筐</v>
      </c>
      <c r="Y183" s="20">
        <f>""</f>
      </c>
      <c r="Z183" s="20">
        <f>""</f>
      </c>
      <c r="AA183" s="20">
        <f>""</f>
      </c>
      <c r="AB183" s="20">
        <f>""</f>
      </c>
    </row>
    <row r="184" s="127">
      <c r="A184" s="14" t="n">
        <v>184</v>
      </c>
      <c r="B184" s="211">
        <f>IFERROR(IF([2]对账明细接口!$B$184=0,"",[2]对账明细接口!$B$184),"")</f>
        <v>46283.0</v>
      </c>
      <c r="C184" s="16" t="str">
        <f>IFERROR(IF([2]对账明细接口!$C$184=0,"",[2]对账明细接口!$C$184),"")</f>
        <v>全修塑业</v>
      </c>
      <c r="D184" s="16" t="str">
        <f>IFERROR(IF([2]对账明细接口!$D$184=0,"",[2]对账明细接口!$D$184),"")</f>
        <v>周转筐－采购入库</v>
      </c>
      <c r="E184" s="16" t="str">
        <f>IFERROR(IF([2]对账明细接口!$E$184=0,"",[2]对账明细接口!$E$184),"")</f>
        <v>NO:0000900</v>
      </c>
      <c r="F184" s="16" t="str">
        <f>IFERROR(IF([2]对账明细接口!$F$184=0,"",[2]对账明细接口!$F$184),"")</f>
        <v>公司红周转筐</v>
      </c>
      <c r="G184" s="16">
        <f>IFERROR(IF([2]对账明细接口!$G$184=0,"",[2]对账明细接口!$G$184),"")</f>
      </c>
      <c r="H184" s="176">
        <f>IFERROR(IF([2]对账明细接口!$H$184=0,"",[2]对账明细接口!$H$184),"")</f>
        <v>960</v>
      </c>
      <c r="I184" s="16" t="str">
        <f>IFERROR(IF([2]对账明细接口!$I$184=0,"",[2]对账明细接口!$I$184),"")</f>
        <v>个</v>
      </c>
      <c r="J184" s="177">
        <f>IFERROR(IF([2]对账明细接口!$J$184=0,"",[2]对账明细接口!$J$184),"")</f>
      </c>
      <c r="K184" s="177">
        <f>IFERROR(IF([2]对账明细接口!$K$184=0,"",[2]对账明细接口!$K$184),"")</f>
        <v>9600</v>
      </c>
      <c r="L184" s="16" t="str">
        <f>IFERROR(IF([2]对账明细接口!$L$184=0,"",[2]对账明细接口!$L$184),"")</f>
        <v>未付款</v>
      </c>
      <c r="M184" s="16" t="str">
        <f>IFERROR(IF([2]对账明细接口!$M$184=0,"",[2]对账明细接口!$M$184),"")</f>
        <v>NO:0017235</v>
      </c>
      <c r="N184" s="19">
        <f>IF($C184="",0,1)</f>
        <v>1</v>
      </c>
      <c r="O184" s="19">
        <f>N(O183)+$N184</f>
        <v>181</v>
      </c>
      <c r="S184" s="20" t="str">
        <f>IFERROR(IF([2]对账明细接口!$N184=0,"",[2]对账明细接口!$N184),"")</f>
        <v>公司红周转筐</v>
      </c>
      <c r="T184" s="212">
        <f>IFERROR(IF([2]对账明细接口!$O184=0,"",[2]对账明细接口!$O184),"")</f>
      </c>
      <c r="U184" s="212">
        <f>IFERROR(IF([2]对账明细接口!$P184=0,"",[2]对账明细接口!$P184),"")</f>
      </c>
      <c r="V184" s="212">
        <f>IFERROR(IF([2]对账明细接口!$Q184=0,"",[2]对账明细接口!$Q184),"")</f>
        <v>960</v>
      </c>
      <c r="W184" s="20" t="str">
        <f>IFERROR(IF([2]对账明细接口!$R184=0,"",[2]对账明细接口!$R184),"")</f>
        <v>新N*49209</v>
      </c>
      <c r="X184" s="20" t="str">
        <f>IFERROR(IF([2]对账明细接口!$S184=0,"",[2]对账明细接口!$S184),"")</f>
        <v>公司筐</v>
      </c>
      <c r="Y184" s="20">
        <f>""</f>
      </c>
      <c r="Z184" s="20">
        <f>""</f>
      </c>
      <c r="AA184" s="20">
        <f>""</f>
      </c>
      <c r="AB184" s="20">
        <f>""</f>
      </c>
    </row>
    <row r="185" s="127">
      <c r="A185" s="14" t="n">
        <v>185</v>
      </c>
      <c r="B185" s="211">
        <f>IFERROR(IF([2]对账明细接口!$B$185=0,"",[2]对账明细接口!$B$185),"")</f>
        <v>46283.0</v>
      </c>
      <c r="C185" s="16" t="str">
        <f>IFERROR(IF([2]对账明细接口!$C$185=0,"",[2]对账明细接口!$C$185),"")</f>
        <v>桂疆</v>
      </c>
      <c r="D185" s="16" t="str">
        <f>IFERROR(IF([2]对账明细接口!$D$185=0,"",[2]对账明细接口!$D$185),"")</f>
        <v>周转筐－采购入库</v>
      </c>
      <c r="E185" s="16" t="str">
        <f>IFERROR(IF([2]对账明细接口!$E$185=0,"",[2]对账明细接口!$E$185),"")</f>
        <v>NO:0000904</v>
      </c>
      <c r="F185" s="16" t="str">
        <f>IFERROR(IF([2]对账明细接口!$F$185=0,"",[2]对账明细接口!$F$185),"")</f>
        <v>大托盘</v>
      </c>
      <c r="G185" s="16">
        <f>IFERROR(IF([2]对账明细接口!$G$185=0,"",[2]对账明细接口!$G$185),"")</f>
      </c>
      <c r="H185" s="176">
        <f>IFERROR(IF([2]对账明细接口!$H$185=0,"",[2]对账明细接口!$H$185),"")</f>
        <v>210</v>
      </c>
      <c r="I185" s="16" t="str">
        <f>IFERROR(IF([2]对账明细接口!$I$185=0,"",[2]对账明细接口!$I$185),"")</f>
        <v>个</v>
      </c>
      <c r="J185" s="177">
        <f>IFERROR(IF([2]对账明细接口!$J$185=0,"",[2]对账明细接口!$J$185),"")</f>
      </c>
      <c r="K185" s="177">
        <f>IFERROR(IF([2]对账明细接口!$K$185=0,"",[2]对账明细接口!$K$185),"")</f>
        <v>8400</v>
      </c>
      <c r="L185" s="16" t="str">
        <f>IFERROR(IF([2]对账明细接口!$L$185=0,"",[2]对账明细接口!$L$185),"")</f>
        <v>已付款</v>
      </c>
      <c r="M185" s="16" t="str">
        <f>IFERROR(IF([2]对账明细接口!$M$185=0,"",[2]对账明细接口!$M$185),"")</f>
        <v>实付8000元整</v>
      </c>
      <c r="N185" s="19">
        <f>IF($C185="",0,1)</f>
        <v>1</v>
      </c>
      <c r="O185" s="19">
        <f>N(O184)+$N185</f>
        <v>182</v>
      </c>
      <c r="S185" s="20" t="str">
        <f>IFERROR(IF([2]对账明细接口!$N185=0,"",[2]对账明细接口!$N185),"")</f>
        <v>大托盘</v>
      </c>
      <c r="T185" s="212">
        <f>IFERROR(IF([2]对账明细接口!$O185=0,"",[2]对账明细接口!$O185),"")</f>
      </c>
      <c r="U185" s="212">
        <f>IFERROR(IF([2]对账明细接口!$P185=0,"",[2]对账明细接口!$P185),"")</f>
      </c>
      <c r="V185" s="212">
        <f>IFERROR(IF([2]对账明细接口!$Q185=0,"",[2]对账明细接口!$Q185),"")</f>
        <v>210</v>
      </c>
      <c r="W185" s="20">
        <f>IFERROR(IF([2]对账明细接口!$R185=0,"",[2]对账明细接口!$R185),"")</f>
      </c>
      <c r="X185" s="20" t="str">
        <f>IFERROR(IF([2]对账明细接口!$S185=0,"",[2]对账明细接口!$S185),"")</f>
        <v>公司筐</v>
      </c>
      <c r="Y185" s="20">
        <f>""</f>
      </c>
      <c r="Z185" s="20">
        <f>""</f>
      </c>
      <c r="AA185" s="20">
        <f>""</f>
      </c>
      <c r="AB185" s="20">
        <f>""</f>
      </c>
    </row>
    <row r="186" s="127">
      <c r="A186" s="14" t="n">
        <v>186</v>
      </c>
      <c r="B186" s="211">
        <f>IFERROR(IF([2]对账明细接口!$B$186=0,"",[2]对账明细接口!$B$186),"")</f>
        <v>46283.0</v>
      </c>
      <c r="C186" s="16" t="str">
        <f>IFERROR(IF([2]对账明细接口!$C$186=0,"",[2]对账明细接口!$C$186),"")</f>
        <v>王灵云</v>
      </c>
      <c r="D186" s="16" t="str">
        <f>IFERROR(IF([2]对账明细接口!$D$186=0,"",[2]对账明细接口!$D$186),"")</f>
        <v>周转筐－领用出库</v>
      </c>
      <c r="E186" s="16" t="str">
        <f>IFERROR(IF([2]对账明细接口!$E$186=0,"",[2]对账明细接口!$E$186),"")</f>
        <v>NO:0001176</v>
      </c>
      <c r="F186" s="16" t="str">
        <f>IFERROR(IF([2]对账明细接口!$F$186=0,"",[2]对账明细接口!$F$186),"")</f>
        <v>公司红周转筐</v>
      </c>
      <c r="G186" s="16">
        <f>IFERROR(IF([2]对账明细接口!$G$186=0,"",[2]对账明细接口!$G$186),"")</f>
      </c>
      <c r="H186" s="176">
        <f>IFERROR(IF([2]对账明细接口!$H$186=0,"",[2]对账明细接口!$H$186),"")</f>
        <v>960</v>
      </c>
      <c r="I186" s="16" t="str">
        <f>IFERROR(IF([2]对账明细接口!$I$186=0,"",[2]对账明细接口!$I$186),"")</f>
        <v>个</v>
      </c>
      <c r="J186" s="177">
        <f>IFERROR(IF([2]对账明细接口!$J$186=0,"",[2]对账明细接口!$J$186),"")</f>
      </c>
      <c r="K186" s="177">
        <f>IFERROR(IF([2]对账明细接口!$K$186=0,"",[2]对账明细接口!$K$186),"")</f>
      </c>
      <c r="L186" s="16">
        <f>IFERROR(IF([2]对账明细接口!$L$186=0,"",[2]对账明细接口!$L$186),"")</f>
      </c>
      <c r="M186" s="16">
        <f>IFERROR(IF([2]对账明细接口!$M$186=0,"",[2]对账明细接口!$M$186),"")</f>
      </c>
      <c r="N186" s="19">
        <f>IF($C186="",0,1)</f>
        <v>1</v>
      </c>
      <c r="O186" s="19">
        <f>N(O185)+$N186</f>
        <v>183</v>
      </c>
      <c r="S186" s="20" t="str">
        <f>IFERROR(IF([2]对账明细接口!$N186=0,"",[2]对账明细接口!$N186),"")</f>
        <v>公司红周转筐</v>
      </c>
      <c r="T186" s="212">
        <f>IFERROR(IF([2]对账明细接口!$O186=0,"",[2]对账明细接口!$O186),"")</f>
        <v>960</v>
      </c>
      <c r="U186" s="212">
        <f>IFERROR(IF([2]对账明细接口!$P186=0,"",[2]对账明细接口!$P186),"")</f>
      </c>
      <c r="V186" s="212">
        <f>IFERROR(IF([2]对账明细接口!$Q186=0,"",[2]对账明细接口!$Q186),"")</f>
      </c>
      <c r="W186" s="20" t="str">
        <f>IFERROR(IF([2]对账明细接口!$R186=0,"",[2]对账明细接口!$R186),"")</f>
        <v>新N*49209</v>
      </c>
      <c r="X186" s="20" t="str">
        <f>IFERROR(IF([2]对账明细接口!$S186=0,"",[2]对账明细接口!$S186),"")</f>
        <v>公司筐</v>
      </c>
      <c r="Y186" s="20">
        <f>""</f>
      </c>
      <c r="Z186" s="20">
        <f>""</f>
      </c>
      <c r="AA186" s="20">
        <f>""</f>
      </c>
      <c r="AB186" s="20">
        <f>""</f>
      </c>
    </row>
    <row r="187" s="127">
      <c r="A187" s="14" t="n">
        <v>187</v>
      </c>
      <c r="B187" s="211">
        <f>IFERROR(IF([2]对账明细接口!$B$187=0,"",[2]对账明细接口!$B$187),"")</f>
        <v>46283.0</v>
      </c>
      <c r="C187" s="16" t="str">
        <f>IFERROR(IF([2]对账明细接口!$C$187=0,"",[2]对账明细接口!$C$187),"")</f>
        <v>王照雪</v>
      </c>
      <c r="D187" s="16" t="str">
        <f>IFERROR(IF([2]对账明细接口!$D$187=0,"",[2]对账明细接口!$D$187),"")</f>
        <v>周转筐－领用出库</v>
      </c>
      <c r="E187" s="16" t="str">
        <f>IFERROR(IF([2]对账明细接口!$E$187=0,"",[2]对账明细接口!$E$187),"")</f>
        <v>NO:0001178</v>
      </c>
      <c r="F187" s="16" t="str">
        <f>IFERROR(IF([2]对账明细接口!$F$187=0,"",[2]对账明细接口!$F$187),"")</f>
        <v>公司一次性筐</v>
      </c>
      <c r="G187" s="16">
        <f>IFERROR(IF([2]对账明细接口!$G$187=0,"",[2]对账明细接口!$G$187),"")</f>
      </c>
      <c r="H187" s="176">
        <f>IFERROR(IF([2]对账明细接口!$H$187=0,"",[2]对账明细接口!$H$187),"")</f>
        <v>423</v>
      </c>
      <c r="I187" s="16" t="str">
        <f>IFERROR(IF([2]对账明细接口!$I$187=0,"",[2]对账明细接口!$I$187),"")</f>
        <v>个</v>
      </c>
      <c r="J187" s="177">
        <f>IFERROR(IF([2]对账明细接口!$J$187=0,"",[2]对账明细接口!$J$187),"")</f>
      </c>
      <c r="K187" s="177">
        <f>IFERROR(IF([2]对账明细接口!$K$187=0,"",[2]对账明细接口!$K$187),"")</f>
      </c>
      <c r="L187" s="16">
        <f>IFERROR(IF([2]对账明细接口!$L$187=0,"",[2]对账明细接口!$L$187),"")</f>
      </c>
      <c r="M187" s="16">
        <f>IFERROR(IF([2]对账明细接口!$M$187=0,"",[2]对账明细接口!$M$187),"")</f>
      </c>
      <c r="N187" s="19">
        <f>IF($C187="",0,1)</f>
        <v>1</v>
      </c>
      <c r="O187" s="19">
        <f>N(O186)+$N187</f>
        <v>184</v>
      </c>
      <c r="S187" s="20" t="str">
        <f>IFERROR(IF([2]对账明细接口!$N187=0,"",[2]对账明细接口!$N187),"")</f>
        <v>公司一次性筐</v>
      </c>
      <c r="T187" s="212">
        <f>IFERROR(IF([2]对账明细接口!$O187=0,"",[2]对账明细接口!$O187),"")</f>
        <v>423</v>
      </c>
      <c r="U187" s="212">
        <f>IFERROR(IF([2]对账明细接口!$P187=0,"",[2]对账明细接口!$P187),"")</f>
      </c>
      <c r="V187" s="212">
        <f>IFERROR(IF([2]对账明细接口!$Q187=0,"",[2]对账明细接口!$Q187),"")</f>
      </c>
      <c r="W187" s="20" t="str">
        <f>IFERROR(IF([2]对账明细接口!$R187=0,"",[2]对账明细接口!$R187),"")</f>
        <v>豫L*88X19</v>
      </c>
      <c r="X187" s="20" t="str">
        <f>IFERROR(IF([2]对账明细接口!$S187=0,"",[2]对账明细接口!$S187),"")</f>
        <v>公司筐</v>
      </c>
      <c r="Y187" s="20">
        <f>""</f>
      </c>
      <c r="Z187" s="20">
        <f>""</f>
      </c>
      <c r="AA187" s="20">
        <f>""</f>
      </c>
      <c r="AB187" s="20">
        <f>""</f>
      </c>
    </row>
    <row r="188" s="127">
      <c r="A188" s="14" t="n">
        <v>188</v>
      </c>
      <c r="B188" s="211">
        <f>IFERROR(IF([2]对账明细接口!$B$188=0,"",[2]对账明细接口!$B$188),"")</f>
        <v>46284.0</v>
      </c>
      <c r="C188" s="16" t="str">
        <f>IFERROR(IF([2]对账明细接口!$C$188=0,"",[2]对账明细接口!$C$188),"")</f>
        <v>全修塑业</v>
      </c>
      <c r="D188" s="16" t="str">
        <f>IFERROR(IF([2]对账明细接口!$D$188=0,"",[2]对账明细接口!$D$188),"")</f>
        <v>周转筐－采购入库</v>
      </c>
      <c r="E188" s="16" t="str">
        <f>IFERROR(IF([2]对账明细接口!$E$188=0,"",[2]对账明细接口!$E$188),"")</f>
        <v>NO:0000906</v>
      </c>
      <c r="F188" s="16" t="str">
        <f>IFERROR(IF([2]对账明细接口!$F$188=0,"",[2]对账明细接口!$F$188),"")</f>
        <v>公司红周转筐</v>
      </c>
      <c r="G188" s="16">
        <f>IFERROR(IF([2]对账明细接口!$G$188=0,"",[2]对账明细接口!$G$188),"")</f>
      </c>
      <c r="H188" s="176">
        <f>IFERROR(IF([2]对账明细接口!$H$188=0,"",[2]对账明细接口!$H$188),"")</f>
        <v>720</v>
      </c>
      <c r="I188" s="16" t="str">
        <f>IFERROR(IF([2]对账明细接口!$I$188=0,"",[2]对账明细接口!$I$188),"")</f>
        <v>个</v>
      </c>
      <c r="J188" s="177">
        <f>IFERROR(IF([2]对账明细接口!$J$188=0,"",[2]对账明细接口!$J$188),"")</f>
      </c>
      <c r="K188" s="177">
        <f>IFERROR(IF([2]对账明细接口!$K$188=0,"",[2]对账明细接口!$K$188),"")</f>
        <v>7200</v>
      </c>
      <c r="L188" s="16" t="str">
        <f>IFERROR(IF([2]对账明细接口!$L$188=0,"",[2]对账明细接口!$L$188),"")</f>
        <v>未付款</v>
      </c>
      <c r="M188" s="16" t="str">
        <f>IFERROR(IF([2]对账明细接口!$M$188=0,"",[2]对账明细接口!$M$188),"")</f>
        <v>NO:0017239</v>
      </c>
      <c r="N188" s="19">
        <f>IF($C188="",0,1)</f>
        <v>1</v>
      </c>
      <c r="O188" s="19">
        <f>N(O187)+$N188</f>
        <v>185</v>
      </c>
      <c r="S188" s="20" t="str">
        <f>IFERROR(IF([2]对账明细接口!$N188=0,"",[2]对账明细接口!$N188),"")</f>
        <v>公司红周转筐</v>
      </c>
      <c r="T188" s="212">
        <f>IFERROR(IF([2]对账明细接口!$O188=0,"",[2]对账明细接口!$O188),"")</f>
      </c>
      <c r="U188" s="212">
        <f>IFERROR(IF([2]对账明细接口!$P188=0,"",[2]对账明细接口!$P188),"")</f>
      </c>
      <c r="V188" s="212">
        <f>IFERROR(IF([2]对账明细接口!$Q188=0,"",[2]对账明细接口!$Q188),"")</f>
        <v>720</v>
      </c>
      <c r="W188" s="20" t="str">
        <f>IFERROR(IF([2]对账明细接口!$R188=0,"",[2]对账明细接口!$R188),"")</f>
        <v>豫A*2737K</v>
      </c>
      <c r="X188" s="20" t="str">
        <f>IFERROR(IF([2]对账明细接口!$S188=0,"",[2]对账明细接口!$S188),"")</f>
        <v>公司筐</v>
      </c>
      <c r="Y188" s="20">
        <f>""</f>
      </c>
      <c r="Z188" s="20">
        <f>""</f>
      </c>
      <c r="AA188" s="20">
        <f>""</f>
      </c>
      <c r="AB188" s="20">
        <f>""</f>
      </c>
    </row>
    <row r="189" s="127">
      <c r="A189" s="14" t="n">
        <v>189</v>
      </c>
      <c r="B189" s="211">
        <f>IFERROR(IF([2]对账明细接口!$B$189=0,"",[2]对账明细接口!$B$189),"")</f>
        <v>46284.0</v>
      </c>
      <c r="C189" s="16" t="str">
        <f>IFERROR(IF([2]对账明细接口!$C$189=0,"",[2]对账明细接口!$C$189),"")</f>
        <v>吐尔洪</v>
      </c>
      <c r="D189" s="16" t="str">
        <f>IFERROR(IF([2]对账明细接口!$D$189=0,"",[2]对账明细接口!$D$189),"")</f>
        <v>周转筐－退回入库</v>
      </c>
      <c r="E189" s="16" t="str">
        <f>IFERROR(IF([2]对账明细接口!$E$189=0,"",[2]对账明细接口!$E$189),"")</f>
        <v>NO:0000907</v>
      </c>
      <c r="F189" s="16" t="str">
        <f>IFERROR(IF([2]对账明细接口!$F$189=0,"",[2]对账明细接口!$F$189),"")</f>
        <v>公司红周转筐</v>
      </c>
      <c r="G189" s="16">
        <f>IFERROR(IF([2]对账明细接口!$G$189=0,"",[2]对账明细接口!$G$189),"")</f>
      </c>
      <c r="H189" s="176">
        <f>IFERROR(IF([2]对账明细接口!$H$189=0,"",[2]对账明细接口!$H$189),"")</f>
        <v>189</v>
      </c>
      <c r="I189" s="16" t="str">
        <f>IFERROR(IF([2]对账明细接口!$I$189=0,"",[2]对账明细接口!$I$189),"")</f>
        <v>个</v>
      </c>
      <c r="J189" s="177">
        <f>IFERROR(IF([2]对账明细接口!$J$189=0,"",[2]对账明细接口!$J$189),"")</f>
      </c>
      <c r="K189" s="177">
        <f>IFERROR(IF([2]对账明细接口!$K$189=0,"",[2]对账明细接口!$K$189),"")</f>
      </c>
      <c r="L189" s="16">
        <f>IFERROR(IF([2]对账明细接口!$L$189=0,"",[2]对账明细接口!$L$189),"")</f>
      </c>
      <c r="M189" s="16">
        <f>IFERROR(IF([2]对账明细接口!$M$189=0,"",[2]对账明细接口!$M$189),"")</f>
      </c>
      <c r="N189" s="19">
        <f>IF($C189="",0,1)</f>
        <v>1</v>
      </c>
      <c r="O189" s="19">
        <f>N(O188)+$N189</f>
        <v>186</v>
      </c>
      <c r="S189" s="20" t="str">
        <f>IFERROR(IF([2]对账明细接口!$N189=0,"",[2]对账明细接口!$N189),"")</f>
        <v>公司红周转筐</v>
      </c>
      <c r="T189" s="212">
        <f>IFERROR(IF([2]对账明细接口!$O189=0,"",[2]对账明细接口!$O189),"")</f>
      </c>
      <c r="U189" s="212">
        <f>IFERROR(IF([2]对账明细接口!$P189=0,"",[2]对账明细接口!$P189),"")</f>
        <v>189</v>
      </c>
      <c r="V189" s="212">
        <f>IFERROR(IF([2]对账明细接口!$Q189=0,"",[2]对账明细接口!$Q189),"")</f>
      </c>
      <c r="W189" s="20" t="str">
        <f>IFERROR(IF([2]对账明细接口!$R189=0,"",[2]对账明细接口!$R189),"")</f>
        <v>新N*X8S48</v>
      </c>
      <c r="X189" s="20" t="str">
        <f>IFERROR(IF([2]对账明细接口!$S189=0,"",[2]对账明细接口!$S189),"")</f>
        <v>公司筐</v>
      </c>
      <c r="Y189" s="20">
        <f>""</f>
      </c>
      <c r="Z189" s="20">
        <f>""</f>
      </c>
      <c r="AA189" s="20">
        <f>""</f>
      </c>
      <c r="AB189" s="20">
        <f>""</f>
      </c>
    </row>
    <row r="190" s="127">
      <c r="A190" s="14" t="n">
        <v>190</v>
      </c>
      <c r="B190" s="211">
        <f>IFERROR(IF([2]对账明细接口!$B$190=0,"",[2]对账明细接口!$B$190),"")</f>
        <v>46284.0</v>
      </c>
      <c r="C190" s="16" t="str">
        <f>IFERROR(IF([2]对账明细接口!$C$190=0,"",[2]对账明细接口!$C$190),"")</f>
        <v>马锦祥</v>
      </c>
      <c r="D190" s="16" t="str">
        <f>IFERROR(IF([2]对账明细接口!$D$190=0,"",[2]对账明细接口!$D$190),"")</f>
        <v>周转筐－退回入库</v>
      </c>
      <c r="E190" s="16" t="str">
        <f>IFERROR(IF([2]对账明细接口!$E$190=0,"",[2]对账明细接口!$E$190),"")</f>
        <v>NO:0000911</v>
      </c>
      <c r="F190" s="16" t="str">
        <f>IFERROR(IF([2]对账明细接口!$F$190=0,"",[2]对账明细接口!$F$190),"")</f>
        <v>公司杂周转筐</v>
      </c>
      <c r="G190" s="16">
        <f>IFERROR(IF([2]对账明细接口!$G$190=0,"",[2]对账明细接口!$G$190),"")</f>
      </c>
      <c r="H190" s="176">
        <f>IFERROR(IF([2]对账明细接口!$H$190=0,"",[2]对账明细接口!$H$190),"")</f>
        <v>87</v>
      </c>
      <c r="I190" s="16" t="str">
        <f>IFERROR(IF([2]对账明细接口!$I$190=0,"",[2]对账明细接口!$I$190),"")</f>
        <v>个</v>
      </c>
      <c r="J190" s="177">
        <f>IFERROR(IF([2]对账明细接口!$J$190=0,"",[2]对账明细接口!$J$190),"")</f>
      </c>
      <c r="K190" s="177">
        <f>IFERROR(IF([2]对账明细接口!$K$190=0,"",[2]对账明细接口!$K$190),"")</f>
      </c>
      <c r="L190" s="16">
        <f>IFERROR(IF([2]对账明细接口!$L$190=0,"",[2]对账明细接口!$L$190),"")</f>
      </c>
      <c r="M190" s="16" t="str">
        <f>IFERROR(IF([2]对账明细接口!$M$190=0,"",[2]对账明细接口!$M$190),"")</f>
        <v>坏筐退回</v>
      </c>
      <c r="N190" s="19">
        <f>IF($C190="",0,1)</f>
        <v>1</v>
      </c>
      <c r="O190" s="19">
        <f>N(O189)+$N190</f>
        <v>187</v>
      </c>
      <c r="S190" s="20" t="str">
        <f>IFERROR(IF([2]对账明细接口!$N190=0,"",[2]对账明细接口!$N190),"")</f>
        <v>公司杂周转筐</v>
      </c>
      <c r="T190" s="212">
        <f>IFERROR(IF([2]对账明细接口!$O190=0,"",[2]对账明细接口!$O190),"")</f>
      </c>
      <c r="U190" s="212">
        <f>IFERROR(IF([2]对账明细接口!$P190=0,"",[2]对账明细接口!$P190),"")</f>
        <v>87</v>
      </c>
      <c r="V190" s="212">
        <f>IFERROR(IF([2]对账明细接口!$Q190=0,"",[2]对账明细接口!$Q190),"")</f>
      </c>
      <c r="W190" s="20" t="str">
        <f>IFERROR(IF([2]对账明细接口!$R190=0,"",[2]对账明细接口!$R190),"")</f>
        <v>新N*K7V85</v>
      </c>
      <c r="X190" s="20" t="str">
        <f>IFERROR(IF([2]对账明细接口!$S190=0,"",[2]对账明细接口!$S190),"")</f>
        <v>公司筐</v>
      </c>
      <c r="Y190" s="20">
        <f>""</f>
      </c>
      <c r="Z190" s="20">
        <f>""</f>
      </c>
      <c r="AA190" s="20">
        <f>""</f>
      </c>
      <c r="AB190" s="20">
        <f>""</f>
      </c>
    </row>
    <row r="191" s="127">
      <c r="A191" s="14" t="n">
        <v>191</v>
      </c>
      <c r="B191" s="211">
        <f>IFERROR(IF([2]对账明细接口!$B$191=0,"",[2]对账明细接口!$B$191),"")</f>
        <v>46284.0</v>
      </c>
      <c r="C191" s="16" t="str">
        <f>IFERROR(IF([2]对账明细接口!$C$191=0,"",[2]对账明细接口!$C$191),"")</f>
        <v>全修塑业</v>
      </c>
      <c r="D191" s="16" t="str">
        <f>IFERROR(IF([2]对账明细接口!$D$191=0,"",[2]对账明细接口!$D$191),"")</f>
        <v>周转筐－采购入库</v>
      </c>
      <c r="E191" s="16" t="str">
        <f>IFERROR(IF([2]对账明细接口!$E$191=0,"",[2]对账明细接口!$E$191),"")</f>
        <v>NO:0000912</v>
      </c>
      <c r="F191" s="16" t="str">
        <f>IFERROR(IF([2]对账明细接口!$F$191=0,"",[2]对账明细接口!$F$191),"")</f>
        <v>公司红周转筐</v>
      </c>
      <c r="G191" s="16">
        <f>IFERROR(IF([2]对账明细接口!$G$191=0,"",[2]对账明细接口!$G$191),"")</f>
      </c>
      <c r="H191" s="176">
        <f>IFERROR(IF([2]对账明细接口!$H$191=0,"",[2]对账明细接口!$H$191),"")</f>
        <v>846</v>
      </c>
      <c r="I191" s="16" t="str">
        <f>IFERROR(IF([2]对账明细接口!$I$191=0,"",[2]对账明细接口!$I$191),"")</f>
        <v>个</v>
      </c>
      <c r="J191" s="177">
        <f>IFERROR(IF([2]对账明细接口!$J$191=0,"",[2]对账明细接口!$J$191),"")</f>
      </c>
      <c r="K191" s="177">
        <f>IFERROR(IF([2]对账明细接口!$K$191=0,"",[2]对账明细接口!$K$191),"")</f>
        <v>8460</v>
      </c>
      <c r="L191" s="16" t="str">
        <f>IFERROR(IF([2]对账明细接口!$L$191=0,"",[2]对账明细接口!$L$191),"")</f>
        <v>未付款</v>
      </c>
      <c r="M191" s="16" t="str">
        <f>IFERROR(IF([2]对账明细接口!$M$191=0,"",[2]对账明细接口!$M$191),"")</f>
        <v>NO:0017240</v>
      </c>
      <c r="N191" s="19">
        <f>IF($C191="",0,1)</f>
        <v>1</v>
      </c>
      <c r="O191" s="19">
        <f>N(O190)+$N191</f>
        <v>188</v>
      </c>
      <c r="S191" s="20" t="str">
        <f>IFERROR(IF([2]对账明细接口!$N191=0,"",[2]对账明细接口!$N191),"")</f>
        <v>公司红周转筐</v>
      </c>
      <c r="T191" s="212">
        <f>IFERROR(IF([2]对账明细接口!$O191=0,"",[2]对账明细接口!$O191),"")</f>
      </c>
      <c r="U191" s="212">
        <f>IFERROR(IF([2]对账明细接口!$P191=0,"",[2]对账明细接口!$P191),"")</f>
      </c>
      <c r="V191" s="212">
        <f>IFERROR(IF([2]对账明细接口!$Q191=0,"",[2]对账明细接口!$Q191),"")</f>
        <v>846</v>
      </c>
      <c r="W191" s="20" t="str">
        <f>IFERROR(IF([2]对账明细接口!$R191=0,"",[2]对账明细接口!$R191),"")</f>
        <v>新A*G0554</v>
      </c>
      <c r="X191" s="20" t="str">
        <f>IFERROR(IF([2]对账明细接口!$S191=0,"",[2]对账明细接口!$S191),"")</f>
        <v>公司筐</v>
      </c>
      <c r="Y191" s="20">
        <f>""</f>
      </c>
      <c r="Z191" s="20">
        <f>""</f>
      </c>
      <c r="AA191" s="20">
        <f>""</f>
      </c>
      <c r="AB191" s="20">
        <f>""</f>
      </c>
    </row>
    <row r="192" s="127">
      <c r="A192" s="14" t="n">
        <v>192</v>
      </c>
      <c r="B192" s="211">
        <f>IFERROR(IF([2]对账明细接口!$B$192=0,"",[2]对账明细接口!$B$192),"")</f>
        <v>46284.0</v>
      </c>
      <c r="C192" s="16" t="str">
        <f>IFERROR(IF([2]对账明细接口!$C$192=0,"",[2]对账明细接口!$C$192),"")</f>
        <v>荆建君</v>
      </c>
      <c r="D192" s="16" t="str">
        <f>IFERROR(IF([2]对账明细接口!$D$192=0,"",[2]对账明细接口!$D$192),"")</f>
        <v>周转筐－领用出库</v>
      </c>
      <c r="E192" s="16" t="str">
        <f>IFERROR(IF([2]对账明细接口!$E$192=0,"",[2]对账明细接口!$E$192),"")</f>
        <v>NO:0001181</v>
      </c>
      <c r="F192" s="16" t="str">
        <f>IFERROR(IF([2]对账明细接口!$F$192=0,"",[2]对账明细接口!$F$192),"")</f>
        <v>公司红周转筐</v>
      </c>
      <c r="G192" s="16">
        <f>IFERROR(IF([2]对账明细接口!$G$192=0,"",[2]对账明细接口!$G$192),"")</f>
      </c>
      <c r="H192" s="176">
        <f>IFERROR(IF([2]对账明细接口!$H$192=0,"",[2]对账明细接口!$H$192),"")</f>
        <v>720</v>
      </c>
      <c r="I192" s="16" t="str">
        <f>IFERROR(IF([2]对账明细接口!$I$192=0,"",[2]对账明细接口!$I$192),"")</f>
        <v>个</v>
      </c>
      <c r="J192" s="177">
        <f>IFERROR(IF([2]对账明细接口!$J$192=0,"",[2]对账明细接口!$J$192),"")</f>
      </c>
      <c r="K192" s="177">
        <f>IFERROR(IF([2]对账明细接口!$K$192=0,"",[2]对账明细接口!$K$192),"")</f>
      </c>
      <c r="L192" s="16">
        <f>IFERROR(IF([2]对账明细接口!$L$192=0,"",[2]对账明细接口!$L$192),"")</f>
      </c>
      <c r="M192" s="16">
        <f>IFERROR(IF([2]对账明细接口!$M$192=0,"",[2]对账明细接口!$M$192),"")</f>
      </c>
      <c r="N192" s="19">
        <f>IF($C192="",0,1)</f>
        <v>1</v>
      </c>
      <c r="O192" s="19">
        <f>N(O191)+$N192</f>
        <v>189</v>
      </c>
      <c r="S192" s="20" t="str">
        <f>IFERROR(IF([2]对账明细接口!$N192=0,"",[2]对账明细接口!$N192),"")</f>
        <v>公司红周转筐</v>
      </c>
      <c r="T192" s="212">
        <f>IFERROR(IF([2]对账明细接口!$O192=0,"",[2]对账明细接口!$O192),"")</f>
        <v>720</v>
      </c>
      <c r="U192" s="212">
        <f>IFERROR(IF([2]对账明细接口!$P192=0,"",[2]对账明细接口!$P192),"")</f>
      </c>
      <c r="V192" s="212">
        <f>IFERROR(IF([2]对账明细接口!$Q192=0,"",[2]对账明细接口!$Q192),"")</f>
      </c>
      <c r="W192" s="20" t="str">
        <f>IFERROR(IF([2]对账明细接口!$R192=0,"",[2]对账明细接口!$R192),"")</f>
        <v>豫A*2737K</v>
      </c>
      <c r="X192" s="20" t="str">
        <f>IFERROR(IF([2]对账明细接口!$S192=0,"",[2]对账明细接口!$S192),"")</f>
        <v>公司筐</v>
      </c>
      <c r="Y192" s="20">
        <f>""</f>
      </c>
      <c r="Z192" s="20">
        <f>""</f>
      </c>
      <c r="AA192" s="20">
        <f>""</f>
      </c>
      <c r="AB192" s="20">
        <f>""</f>
      </c>
    </row>
    <row r="193" s="127">
      <c r="A193" s="14" t="n">
        <v>193</v>
      </c>
      <c r="B193" s="211">
        <f>IFERROR(IF([2]对账明细接口!$B$193=0,"",[2]对账明细接口!$B$193),"")</f>
        <v>46284.0</v>
      </c>
      <c r="C193" s="16" t="str">
        <f>IFERROR(IF([2]对账明细接口!$C$193=0,"",[2]对账明细接口!$C$193),"")</f>
        <v>吐尔洪</v>
      </c>
      <c r="D193" s="16" t="str">
        <f>IFERROR(IF([2]对账明细接口!$D$193=0,"",[2]对账明细接口!$D$193),"")</f>
        <v>周转筐－销售出库</v>
      </c>
      <c r="E193" s="16" t="str">
        <f>IFERROR(IF([2]对账明细接口!$E$193=0,"",[2]对账明细接口!$E$193),"")</f>
        <v>NO:0001183</v>
      </c>
      <c r="F193" s="16" t="str">
        <f>IFERROR(IF([2]对账明细接口!$F$193=0,"",[2]对账明细接口!$F$193),"")</f>
        <v>公司红周转筐</v>
      </c>
      <c r="G193" s="16">
        <f>IFERROR(IF([2]对账明细接口!$G$193=0,"",[2]对账明细接口!$G$193),"")</f>
      </c>
      <c r="H193" s="176">
        <f>IFERROR(IF([2]对账明细接口!$H$193=0,"",[2]对账明细接口!$H$193),"")</f>
        <v>49</v>
      </c>
      <c r="I193" s="16" t="str">
        <f>IFERROR(IF([2]对账明细接口!$I$193=0,"",[2]对账明细接口!$I$193),"")</f>
        <v>个</v>
      </c>
      <c r="J193" s="177">
        <f>IFERROR(IF([2]对账明细接口!$J$193=0,"",[2]对账明细接口!$J$193),"")</f>
      </c>
      <c r="K193" s="177">
        <f>IFERROR(IF([2]对账明细接口!$K$193=0,"",[2]对账明细接口!$K$193),"")</f>
        <v>588</v>
      </c>
      <c r="L193" s="16" t="str">
        <f>IFERROR(IF([2]对账明细接口!$L$193=0,"",[2]对账明细接口!$L$193),"")</f>
        <v>已收讫</v>
      </c>
      <c r="M193" s="16" t="str">
        <f>IFERROR(IF([2]对账明细接口!$M$193=0,"",[2]对账明细接口!$M$193),"")</f>
        <v>发出未退回-出售</v>
      </c>
      <c r="N193" s="19">
        <f>IF($C193="",0,1)</f>
        <v>1</v>
      </c>
      <c r="O193" s="19">
        <f>N(O192)+$N193</f>
        <v>190</v>
      </c>
      <c r="S193" s="20" t="str">
        <f>IFERROR(IF([2]对账明细接口!$N193=0,"",[2]对账明细接口!$N193),"")</f>
        <v>公司红周转筐</v>
      </c>
      <c r="T193" s="212">
        <f>IFERROR(IF([2]对账明细接口!$O193=0,"",[2]对账明细接口!$O193),"")</f>
      </c>
      <c r="U193" s="212">
        <f>IFERROR(IF([2]对账明细接口!$P193=0,"",[2]对账明细接口!$P193),"")</f>
      </c>
      <c r="V193" s="212">
        <f>IFERROR(IF([2]对账明细接口!$Q193=0,"",[2]对账明细接口!$Q193),"")</f>
      </c>
      <c r="W193" s="20" t="str">
        <f>IFERROR(IF([2]对账明细接口!$R193=0,"",[2]对账明细接口!$R193),"")</f>
        <v>新N*X8S48</v>
      </c>
      <c r="X193" s="20" t="str">
        <f>IFERROR(IF([2]对账明细接口!$S193=0,"",[2]对账明细接口!$S193),"")</f>
        <v>公司筐</v>
      </c>
      <c r="Y193" s="20">
        <f>""</f>
      </c>
      <c r="Z193" s="20">
        <f>""</f>
      </c>
      <c r="AA193" s="20">
        <f>""</f>
      </c>
      <c r="AB193" s="20">
        <f>""</f>
      </c>
    </row>
    <row r="194" s="127">
      <c r="A194" s="14" t="n">
        <v>194</v>
      </c>
      <c r="B194" s="211">
        <f>IFERROR(IF([2]对账明细接口!$B$194=0,"",[2]对账明细接口!$B$194),"")</f>
        <v>46284.0</v>
      </c>
      <c r="C194" s="16" t="str">
        <f>IFERROR(IF([2]对账明细接口!$C$194=0,"",[2]对账明细接口!$C$194),"")</f>
        <v>热合曼</v>
      </c>
      <c r="D194" s="16" t="str">
        <f>IFERROR(IF([2]对账明细接口!$D$194=0,"",[2]对账明细接口!$D$194),"")</f>
        <v>周转筐－领用出库</v>
      </c>
      <c r="E194" s="16" t="str">
        <f>IFERROR(IF([2]对账明细接口!$E$194=0,"",[2]对账明细接口!$E$194),"")</f>
        <v>NO:0001184</v>
      </c>
      <c r="F194" s="16" t="str">
        <f>IFERROR(IF([2]对账明细接口!$F$194=0,"",[2]对账明细接口!$F$194),"")</f>
        <v>公司红周转筐</v>
      </c>
      <c r="G194" s="16">
        <f>IFERROR(IF([2]对账明细接口!$G$194=0,"",[2]对账明细接口!$G$194),"")</f>
      </c>
      <c r="H194" s="176">
        <f>IFERROR(IF([2]对账明细接口!$H$194=0,"",[2]对账明细接口!$H$194),"")</f>
        <v>846</v>
      </c>
      <c r="I194" s="16" t="str">
        <f>IFERROR(IF([2]对账明细接口!$I$194=0,"",[2]对账明细接口!$I$194),"")</f>
        <v>个</v>
      </c>
      <c r="J194" s="177">
        <f>IFERROR(IF([2]对账明细接口!$J$194=0,"",[2]对账明细接口!$J$194),"")</f>
      </c>
      <c r="K194" s="177">
        <f>IFERROR(IF([2]对账明细接口!$K$194=0,"",[2]对账明细接口!$K$194),"")</f>
      </c>
      <c r="L194" s="16">
        <f>IFERROR(IF([2]对账明细接口!$L$194=0,"",[2]对账明细接口!$L$194),"")</f>
      </c>
      <c r="M194" s="16">
        <f>IFERROR(IF([2]对账明细接口!$M$194=0,"",[2]对账明细接口!$M$194),"")</f>
      </c>
      <c r="N194" s="19">
        <f>IF($C194="",0,1)</f>
        <v>1</v>
      </c>
      <c r="O194" s="19">
        <f>N(O193)+$N194</f>
        <v>191</v>
      </c>
      <c r="S194" s="20" t="str">
        <f>IFERROR(IF([2]对账明细接口!$N194=0,"",[2]对账明细接口!$N194),"")</f>
        <v>公司红周转筐</v>
      </c>
      <c r="T194" s="212">
        <f>IFERROR(IF([2]对账明细接口!$O194=0,"",[2]对账明细接口!$O194),"")</f>
        <v>846</v>
      </c>
      <c r="U194" s="212">
        <f>IFERROR(IF([2]对账明细接口!$P194=0,"",[2]对账明细接口!$P194),"")</f>
      </c>
      <c r="V194" s="212">
        <f>IFERROR(IF([2]对账明细接口!$Q194=0,"",[2]对账明细接口!$Q194),"")</f>
      </c>
      <c r="W194" s="20" t="str">
        <f>IFERROR(IF([2]对账明细接口!$R194=0,"",[2]对账明细接口!$R194),"")</f>
        <v>新A*G0554</v>
      </c>
      <c r="X194" s="20" t="str">
        <f>IFERROR(IF([2]对账明细接口!$S194=0,"",[2]对账明细接口!$S194),"")</f>
        <v>公司筐</v>
      </c>
      <c r="Y194" s="20">
        <f>""</f>
      </c>
      <c r="Z194" s="20">
        <f>""</f>
      </c>
      <c r="AA194" s="20">
        <f>""</f>
      </c>
      <c r="AB194" s="20">
        <f>""</f>
      </c>
    </row>
    <row r="195" s="127">
      <c r="A195" s="14" t="n">
        <v>195</v>
      </c>
      <c r="B195" s="211">
        <f>IFERROR(IF([2]对账明细接口!$B$195=0,"",[2]对账明细接口!$B$195),"")</f>
        <v>46284.0</v>
      </c>
      <c r="C195" s="16" t="str">
        <f>IFERROR(IF([2]对账明细接口!$C$195=0,"",[2]对账明细接口!$C$195),"")</f>
        <v>全修塑业</v>
      </c>
      <c r="D195" s="16" t="str">
        <f>IFERROR(IF([2]对账明细接口!$D$195=0,"",[2]对账明细接口!$D$195),"")</f>
        <v>周转筐－采购入库</v>
      </c>
      <c r="E195" s="16" t="str">
        <f>IFERROR(IF([2]对账明细接口!$E$195=0,"",[2]对账明细接口!$E$195),"")</f>
        <v>NO:0000914</v>
      </c>
      <c r="F195" s="16" t="str">
        <f>IFERROR(IF([2]对账明细接口!$F$195=0,"",[2]对账明细接口!$F$195),"")</f>
        <v>公司红周转筐</v>
      </c>
      <c r="G195" s="16">
        <f>IFERROR(IF([2]对账明细接口!$G$195=0,"",[2]对账明细接口!$G$195),"")</f>
      </c>
      <c r="H195" s="176">
        <f>IFERROR(IF([2]对账明细接口!$H$195=0,"",[2]对账明细接口!$H$195),"")</f>
        <v>960</v>
      </c>
      <c r="I195" s="16" t="str">
        <f>IFERROR(IF([2]对账明细接口!$I$195=0,"",[2]对账明细接口!$I$195),"")</f>
        <v>个</v>
      </c>
      <c r="J195" s="177">
        <f>IFERROR(IF([2]对账明细接口!$J$195=0,"",[2]对账明细接口!$J$195),"")</f>
      </c>
      <c r="K195" s="177">
        <f>IFERROR(IF([2]对账明细接口!$K$195=0,"",[2]对账明细接口!$K$195),"")</f>
        <v>9600</v>
      </c>
      <c r="L195" s="16" t="str">
        <f>IFERROR(IF([2]对账明细接口!$L$195=0,"",[2]对账明细接口!$L$195),"")</f>
        <v>未付款</v>
      </c>
      <c r="M195" s="16" t="str">
        <f>IFERROR(IF([2]对账明细接口!$M$195=0,"",[2]对账明细接口!$M$195),"")</f>
        <v>NO:0017241</v>
      </c>
      <c r="N195" s="19">
        <f>IF($C195="",0,1)</f>
        <v>1</v>
      </c>
      <c r="O195" s="19">
        <f>N(O194)+$N195</f>
        <v>192</v>
      </c>
      <c r="S195" s="20" t="str">
        <f>IFERROR(IF([2]对账明细接口!$N195=0,"",[2]对账明细接口!$N195),"")</f>
        <v>公司红周转筐</v>
      </c>
      <c r="T195" s="212">
        <f>IFERROR(IF([2]对账明细接口!$O195=0,"",[2]对账明细接口!$O195),"")</f>
      </c>
      <c r="U195" s="212">
        <f>IFERROR(IF([2]对账明细接口!$P195=0,"",[2]对账明细接口!$P195),"")</f>
      </c>
      <c r="V195" s="212">
        <f>IFERROR(IF([2]对账明细接口!$Q195=0,"",[2]对账明细接口!$Q195),"")</f>
        <v>960</v>
      </c>
      <c r="W195" s="20" t="str">
        <f>IFERROR(IF([2]对账明细接口!$R195=0,"",[2]对账明细接口!$R195),"")</f>
        <v>新N*49209</v>
      </c>
      <c r="X195" s="20" t="str">
        <f>IFERROR(IF([2]对账明细接口!$S195=0,"",[2]对账明细接口!$S195),"")</f>
        <v>公司筐</v>
      </c>
      <c r="Y195" s="20">
        <f>""</f>
      </c>
      <c r="Z195" s="20">
        <f>""</f>
      </c>
      <c r="AA195" s="20">
        <f>""</f>
      </c>
      <c r="AB195" s="20">
        <f>""</f>
      </c>
    </row>
    <row r="196" s="127">
      <c r="A196" s="14" t="n">
        <v>196</v>
      </c>
      <c r="B196" s="211">
        <f>IFERROR(IF([2]对账明细接口!$B$196=0,"",[2]对账明细接口!$B$196),"")</f>
        <v>46284.0</v>
      </c>
      <c r="C196" s="16" t="str">
        <f>IFERROR(IF([2]对账明细接口!$C$196=0,"",[2]对账明细接口!$C$196),"")</f>
        <v>王灵云</v>
      </c>
      <c r="D196" s="16" t="str">
        <f>IFERROR(IF([2]对账明细接口!$D$196=0,"",[2]对账明细接口!$D$196),"")</f>
        <v>周转筐－领用出库</v>
      </c>
      <c r="E196" s="16" t="str">
        <f>IFERROR(IF([2]对账明细接口!$E$196=0,"",[2]对账明细接口!$E$196),"")</f>
        <v>NO:0001186</v>
      </c>
      <c r="F196" s="16" t="str">
        <f>IFERROR(IF([2]对账明细接口!$F$196=0,"",[2]对账明细接口!$F$196),"")</f>
        <v>公司红周转筐</v>
      </c>
      <c r="G196" s="16">
        <f>IFERROR(IF([2]对账明细接口!$G$196=0,"",[2]对账明细接口!$G$196),"")</f>
      </c>
      <c r="H196" s="176">
        <f>IFERROR(IF([2]对账明细接口!$H$196=0,"",[2]对账明细接口!$H$196),"")</f>
        <v>960</v>
      </c>
      <c r="I196" s="16" t="str">
        <f>IFERROR(IF([2]对账明细接口!$I$196=0,"",[2]对账明细接口!$I$196),"")</f>
        <v>个</v>
      </c>
      <c r="J196" s="177">
        <f>IFERROR(IF([2]对账明细接口!$J$196=0,"",[2]对账明细接口!$J$196),"")</f>
      </c>
      <c r="K196" s="177">
        <f>IFERROR(IF([2]对账明细接口!$K$196=0,"",[2]对账明细接口!$K$196),"")</f>
      </c>
      <c r="L196" s="16">
        <f>IFERROR(IF([2]对账明细接口!$L$196=0,"",[2]对账明细接口!$L$196),"")</f>
      </c>
      <c r="M196" s="16">
        <f>IFERROR(IF([2]对账明细接口!$M$196=0,"",[2]对账明细接口!$M$196),"")</f>
      </c>
      <c r="N196" s="19">
        <f>IF($C196="",0,1)</f>
        <v>1</v>
      </c>
      <c r="O196" s="19">
        <f>N(O195)+$N196</f>
        <v>193</v>
      </c>
      <c r="S196" s="20" t="str">
        <f>IFERROR(IF([2]对账明细接口!$N196=0,"",[2]对账明细接口!$N196),"")</f>
        <v>公司红周转筐</v>
      </c>
      <c r="T196" s="212">
        <f>IFERROR(IF([2]对账明细接口!$O196=0,"",[2]对账明细接口!$O196),"")</f>
        <v>960</v>
      </c>
      <c r="U196" s="212">
        <f>IFERROR(IF([2]对账明细接口!$P196=0,"",[2]对账明细接口!$P196),"")</f>
      </c>
      <c r="V196" s="212">
        <f>IFERROR(IF([2]对账明细接口!$Q196=0,"",[2]对账明细接口!$Q196),"")</f>
      </c>
      <c r="W196" s="20" t="str">
        <f>IFERROR(IF([2]对账明细接口!$R196=0,"",[2]对账明细接口!$R196),"")</f>
        <v>新N*49209</v>
      </c>
      <c r="X196" s="20" t="str">
        <f>IFERROR(IF([2]对账明细接口!$S196=0,"",[2]对账明细接口!$S196),"")</f>
        <v>公司筐</v>
      </c>
      <c r="Y196" s="20">
        <f>""</f>
      </c>
      <c r="Z196" s="20">
        <f>""</f>
      </c>
      <c r="AA196" s="20">
        <f>""</f>
      </c>
      <c r="AB196" s="20">
        <f>""</f>
      </c>
    </row>
    <row r="197" s="127">
      <c r="A197" s="14" t="n">
        <v>197</v>
      </c>
      <c r="B197" s="211">
        <f>IFERROR(IF([2]对账明细接口!$B$197=0,"",[2]对账明细接口!$B$197),"")</f>
        <v>46284.0</v>
      </c>
      <c r="C197" s="16" t="str">
        <f>IFERROR(IF([2]对账明细接口!$C$197=0,"",[2]对账明细接口!$C$197),"")</f>
        <v>王照雪</v>
      </c>
      <c r="D197" s="16" t="str">
        <f>IFERROR(IF([2]对账明细接口!$D$197=0,"",[2]对账明细接口!$D$197),"")</f>
        <v>周转筐－领用出库</v>
      </c>
      <c r="E197" s="16" t="str">
        <f>IFERROR(IF([2]对账明细接口!$E$197=0,"",[2]对账明细接口!$E$197),"")</f>
        <v>NO:0001189</v>
      </c>
      <c r="F197" s="16" t="str">
        <f>IFERROR(IF([2]对账明细接口!$F$197=0,"",[2]对账明细接口!$F$197),"")</f>
        <v>公司一次性筐</v>
      </c>
      <c r="G197" s="16">
        <f>IFERROR(IF([2]对账明细接口!$G$197=0,"",[2]对账明细接口!$G$197),"")</f>
      </c>
      <c r="H197" s="176">
        <f>IFERROR(IF([2]对账明细接口!$H$197=0,"",[2]对账明细接口!$H$197),"")</f>
        <v>423</v>
      </c>
      <c r="I197" s="16" t="str">
        <f>IFERROR(IF([2]对账明细接口!$I$197=0,"",[2]对账明细接口!$I$197),"")</f>
        <v>个</v>
      </c>
      <c r="J197" s="177">
        <f>IFERROR(IF([2]对账明细接口!$J$197=0,"",[2]对账明细接口!$J$197),"")</f>
      </c>
      <c r="K197" s="177">
        <f>IFERROR(IF([2]对账明细接口!$K$197=0,"",[2]对账明细接口!$K$197),"")</f>
      </c>
      <c r="L197" s="16">
        <f>IFERROR(IF([2]对账明细接口!$L$197=0,"",[2]对账明细接口!$L$197),"")</f>
      </c>
      <c r="M197" s="16">
        <f>IFERROR(IF([2]对账明细接口!$M$197=0,"",[2]对账明细接口!$M$197),"")</f>
      </c>
      <c r="N197" s="19">
        <f>IF($C197="",0,1)</f>
        <v>1</v>
      </c>
      <c r="O197" s="19">
        <f>N(O196)+$N197</f>
        <v>194</v>
      </c>
      <c r="S197" s="20" t="str">
        <f>IFERROR(IF([2]对账明细接口!$N197=0,"",[2]对账明细接口!$N197),"")</f>
        <v>公司一次性筐</v>
      </c>
      <c r="T197" s="212">
        <f>IFERROR(IF([2]对账明细接口!$O197=0,"",[2]对账明细接口!$O197),"")</f>
        <v>423</v>
      </c>
      <c r="U197" s="212">
        <f>IFERROR(IF([2]对账明细接口!$P197=0,"",[2]对账明细接口!$P197),"")</f>
      </c>
      <c r="V197" s="212">
        <f>IFERROR(IF([2]对账明细接口!$Q197=0,"",[2]对账明细接口!$Q197),"")</f>
      </c>
      <c r="W197" s="20" t="str">
        <f>IFERROR(IF([2]对账明细接口!$R197=0,"",[2]对账明细接口!$R197),"")</f>
        <v>豫L*88X19</v>
      </c>
      <c r="X197" s="20" t="str">
        <f>IFERROR(IF([2]对账明细接口!$S197=0,"",[2]对账明细接口!$S197),"")</f>
        <v>公司筐</v>
      </c>
      <c r="Y197" s="20">
        <f>""</f>
      </c>
      <c r="Z197" s="20">
        <f>""</f>
      </c>
      <c r="AA197" s="20">
        <f>""</f>
      </c>
      <c r="AB197" s="20">
        <f>""</f>
      </c>
    </row>
    <row r="198" s="127">
      <c r="A198" s="14" t="n">
        <v>198</v>
      </c>
      <c r="B198" s="211">
        <f>IFERROR(IF([2]对账明细接口!$B$198=0,"",[2]对账明细接口!$B$198),"")</f>
        <v>46284.0</v>
      </c>
      <c r="C198" s="16" t="str">
        <f>IFERROR(IF([2]对账明细接口!$C$198=0,"",[2]对账明细接口!$C$198),"")</f>
        <v>全修塑业</v>
      </c>
      <c r="D198" s="16" t="str">
        <f>IFERROR(IF([2]对账明细接口!$D$198=0,"",[2]对账明细接口!$D$198),"")</f>
        <v>周转筐－采购入库</v>
      </c>
      <c r="E198" s="16" t="str">
        <f>IFERROR(IF([2]对账明细接口!$E$198=0,"",[2]对账明细接口!$E$198),"")</f>
        <v>NO:0000917</v>
      </c>
      <c r="F198" s="16" t="str">
        <f>IFERROR(IF([2]对账明细接口!$F$198=0,"",[2]对账明细接口!$F$198),"")</f>
        <v>公司红周转筐</v>
      </c>
      <c r="G198" s="16">
        <f>IFERROR(IF([2]对账明细接口!$G$198=0,"",[2]对账明细接口!$G$198),"")</f>
      </c>
      <c r="H198" s="176">
        <f>IFERROR(IF([2]对账明细接口!$H$198=0,"",[2]对账明细接口!$H$198),"")</f>
        <v>504</v>
      </c>
      <c r="I198" s="16" t="str">
        <f>IFERROR(IF([2]对账明细接口!$I$198=0,"",[2]对账明细接口!$I$198),"")</f>
        <v>个</v>
      </c>
      <c r="J198" s="177">
        <f>IFERROR(IF([2]对账明细接口!$J$198=0,"",[2]对账明细接口!$J$198),"")</f>
      </c>
      <c r="K198" s="177">
        <f>IFERROR(IF([2]对账明细接口!$K$198=0,"",[2]对账明细接口!$K$198),"")</f>
        <v>5040</v>
      </c>
      <c r="L198" s="16" t="str">
        <f>IFERROR(IF([2]对账明细接口!$L$198=0,"",[2]对账明细接口!$L$198),"")</f>
        <v>未付款</v>
      </c>
      <c r="M198" s="16" t="str">
        <f>IFERROR(IF([2]对账明细接口!$M$198=0,"",[2]对账明细接口!$M$198),"")</f>
        <v>NO:0017242</v>
      </c>
      <c r="N198" s="19">
        <f>IF($C198="",0,1)</f>
        <v>1</v>
      </c>
      <c r="O198" s="19">
        <f>N(O197)+$N198</f>
        <v>195</v>
      </c>
      <c r="S198" s="20" t="str">
        <f>IFERROR(IF([2]对账明细接口!$N198=0,"",[2]对账明细接口!$N198),"")</f>
        <v>公司红周转筐</v>
      </c>
      <c r="T198" s="212">
        <f>IFERROR(IF([2]对账明细接口!$O198=0,"",[2]对账明细接口!$O198),"")</f>
      </c>
      <c r="U198" s="212">
        <f>IFERROR(IF([2]对账明细接口!$P198=0,"",[2]对账明细接口!$P198),"")</f>
      </c>
      <c r="V198" s="212">
        <f>IFERROR(IF([2]对账明细接口!$Q198=0,"",[2]对账明细接口!$Q198),"")</f>
        <v>504</v>
      </c>
      <c r="W198" s="20" t="str">
        <f>IFERROR(IF([2]对账明细接口!$R198=0,"",[2]对账明细接口!$R198),"")</f>
        <v>新N*F0M01</v>
      </c>
      <c r="X198" s="20" t="str">
        <f>IFERROR(IF([2]对账明细接口!$S198=0,"",[2]对账明细接口!$S198),"")</f>
        <v>公司筐</v>
      </c>
      <c r="Y198" s="20">
        <f>""</f>
      </c>
      <c r="Z198" s="20">
        <f>""</f>
      </c>
      <c r="AA198" s="20">
        <f>""</f>
      </c>
      <c r="AB198" s="20">
        <f>""</f>
      </c>
    </row>
    <row r="199" s="127">
      <c r="A199" s="14" t="n">
        <v>199</v>
      </c>
      <c r="B199" s="211">
        <f>IFERROR(IF([2]对账明细接口!$B$199=0,"",[2]对账明细接口!$B$199),"")</f>
        <v>46284.0</v>
      </c>
      <c r="C199" s="16" t="str">
        <f>IFERROR(IF([2]对账明细接口!$C$199=0,"",[2]对账明细接口!$C$199),"")</f>
        <v>全修塑业</v>
      </c>
      <c r="D199" s="16" t="str">
        <f>IFERROR(IF([2]对账明细接口!$D$199=0,"",[2]对账明细接口!$D$199),"")</f>
        <v>周转筐－采购入库</v>
      </c>
      <c r="E199" s="16" t="str">
        <f>IFERROR(IF([2]对账明细接口!$E$199=0,"",[2]对账明细接口!$E$199),"")</f>
        <v>NO:0000919</v>
      </c>
      <c r="F199" s="16" t="str">
        <f>IFERROR(IF([2]对账明细接口!$F$199=0,"",[2]对账明细接口!$F$199),"")</f>
        <v>公司红周转筐</v>
      </c>
      <c r="G199" s="16">
        <f>IFERROR(IF([2]对账明细接口!$G$199=0,"",[2]对账明细接口!$G$199),"")</f>
      </c>
      <c r="H199" s="176">
        <f>IFERROR(IF([2]对账明细接口!$H$199=0,"",[2]对账明细接口!$H$199),"")</f>
        <v>720</v>
      </c>
      <c r="I199" s="16" t="str">
        <f>IFERROR(IF([2]对账明细接口!$I$199=0,"",[2]对账明细接口!$I$199),"")</f>
        <v>个</v>
      </c>
      <c r="J199" s="177">
        <f>IFERROR(IF([2]对账明细接口!$J$199=0,"",[2]对账明细接口!$J$199),"")</f>
      </c>
      <c r="K199" s="177">
        <f>IFERROR(IF([2]对账明细接口!$K$199=0,"",[2]对账明细接口!$K$199),"")</f>
        <v>7200</v>
      </c>
      <c r="L199" s="16" t="str">
        <f>IFERROR(IF([2]对账明细接口!$L$199=0,"",[2]对账明细接口!$L$199),"")</f>
        <v>未付款</v>
      </c>
      <c r="M199" s="16" t="str">
        <f>IFERROR(IF([2]对账明细接口!$M$199=0,"",[2]对账明细接口!$M$199),"")</f>
        <v>NO:0017243</v>
      </c>
      <c r="N199" s="19">
        <f>IF($C199="",0,1)</f>
        <v>1</v>
      </c>
      <c r="O199" s="19">
        <f>N(O198)+$N199</f>
        <v>196</v>
      </c>
      <c r="S199" s="20" t="str">
        <f>IFERROR(IF([2]对账明细接口!$N199=0,"",[2]对账明细接口!$N199),"")</f>
        <v>公司红周转筐</v>
      </c>
      <c r="T199" s="212">
        <f>IFERROR(IF([2]对账明细接口!$O199=0,"",[2]对账明细接口!$O199),"")</f>
      </c>
      <c r="U199" s="212">
        <f>IFERROR(IF([2]对账明细接口!$P199=0,"",[2]对账明细接口!$P199),"")</f>
      </c>
      <c r="V199" s="212">
        <f>IFERROR(IF([2]对账明细接口!$Q199=0,"",[2]对账明细接口!$Q199),"")</f>
        <v>720</v>
      </c>
      <c r="W199" s="20" t="str">
        <f>IFERROR(IF([2]对账明细接口!$R199=0,"",[2]对账明细接口!$R199),"")</f>
        <v>新R*37010</v>
      </c>
      <c r="X199" s="20" t="str">
        <f>IFERROR(IF([2]对账明细接口!$S199=0,"",[2]对账明细接口!$S199),"")</f>
        <v>公司筐</v>
      </c>
      <c r="Y199" s="20">
        <f>""</f>
      </c>
      <c r="Z199" s="20">
        <f>""</f>
      </c>
      <c r="AA199" s="20">
        <f>""</f>
      </c>
      <c r="AB199" s="20">
        <f>""</f>
      </c>
    </row>
    <row r="200" s="127">
      <c r="A200" s="14" t="n">
        <v>200</v>
      </c>
      <c r="B200" s="211">
        <f>IFERROR(IF([2]对账明细接口!$B$200=0,"",[2]对账明细接口!$B$200),"")</f>
        <v>46284.0</v>
      </c>
      <c r="C200" s="16" t="str">
        <f>IFERROR(IF([2]对账明细接口!$C$200=0,"",[2]对账明细接口!$C$200),"")</f>
        <v>全修塑业</v>
      </c>
      <c r="D200" s="16" t="str">
        <f>IFERROR(IF([2]对账明细接口!$D$200=0,"",[2]对账明细接口!$D$200),"")</f>
        <v>周转筐－采购入库</v>
      </c>
      <c r="E200" s="16" t="str">
        <f>IFERROR(IF([2]对账明细接口!$E$200=0,"",[2]对账明细接口!$E$200),"")</f>
        <v>NO:0000921</v>
      </c>
      <c r="F200" s="16" t="str">
        <f>IFERROR(IF([2]对账明细接口!$F$200=0,"",[2]对账明细接口!$F$200),"")</f>
        <v>公司红周转筐</v>
      </c>
      <c r="G200" s="16">
        <f>IFERROR(IF([2]对账明细接口!$G$200=0,"",[2]对账明细接口!$G$200),"")</f>
      </c>
      <c r="H200" s="176">
        <f>IFERROR(IF([2]对账明细接口!$H$200=0,"",[2]对账明细接口!$H$200),"")</f>
        <v>960</v>
      </c>
      <c r="I200" s="16" t="str">
        <f>IFERROR(IF([2]对账明细接口!$I$200=0,"",[2]对账明细接口!$I$200),"")</f>
        <v>个</v>
      </c>
      <c r="J200" s="177">
        <f>IFERROR(IF([2]对账明细接口!$J$200=0,"",[2]对账明细接口!$J$200),"")</f>
      </c>
      <c r="K200" s="177">
        <f>IFERROR(IF([2]对账明细接口!$K$200=0,"",[2]对账明细接口!$K$200),"")</f>
        <v>9600</v>
      </c>
      <c r="L200" s="16" t="str">
        <f>IFERROR(IF([2]对账明细接口!$L$200=0,"",[2]对账明细接口!$L$200),"")</f>
        <v>未付款</v>
      </c>
      <c r="M200" s="16" t="str">
        <f>IFERROR(IF([2]对账明细接口!$M$200=0,"",[2]对账明细接口!$M$200),"")</f>
        <v>NO:0017244</v>
      </c>
      <c r="N200" s="19">
        <f>IF($C200="",0,1)</f>
        <v>1</v>
      </c>
      <c r="O200" s="19">
        <f>N(O199)+$N200</f>
        <v>197</v>
      </c>
      <c r="S200" s="20" t="str">
        <f>IFERROR(IF([2]对账明细接口!$N200=0,"",[2]对账明细接口!$N200),"")</f>
        <v>公司红周转筐</v>
      </c>
      <c r="T200" s="212">
        <f>IFERROR(IF([2]对账明细接口!$O200=0,"",[2]对账明细接口!$O200),"")</f>
      </c>
      <c r="U200" s="212">
        <f>IFERROR(IF([2]对账明细接口!$P200=0,"",[2]对账明细接口!$P200),"")</f>
      </c>
      <c r="V200" s="212">
        <f>IFERROR(IF([2]对账明细接口!$Q200=0,"",[2]对账明细接口!$Q200),"")</f>
        <v>960</v>
      </c>
      <c r="W200" s="20" t="str">
        <f>IFERROR(IF([2]对账明细接口!$R200=0,"",[2]对账明细接口!$R200),"")</f>
        <v>新F*75240</v>
      </c>
      <c r="X200" s="20" t="str">
        <f>IFERROR(IF([2]对账明细接口!$S200=0,"",[2]对账明细接口!$S200),"")</f>
        <v>公司筐</v>
      </c>
      <c r="Y200" s="20">
        <f>""</f>
      </c>
      <c r="Z200" s="20">
        <f>""</f>
      </c>
      <c r="AA200" s="20">
        <f>""</f>
      </c>
      <c r="AB200" s="20">
        <f>""</f>
      </c>
    </row>
    <row r="201" s="127">
      <c r="A201" s="14" t="n">
        <v>201</v>
      </c>
      <c r="B201" s="211">
        <f>IFERROR(IF([2]对账明细接口!$B$201=0,"",[2]对账明细接口!$B$201),"")</f>
        <v>46284.0</v>
      </c>
      <c r="C201" s="16" t="str">
        <f>IFERROR(IF([2]对账明细接口!$C$201=0,"",[2]对账明细接口!$C$201),"")</f>
        <v>努尔敦</v>
      </c>
      <c r="D201" s="16" t="str">
        <f>IFERROR(IF([2]对账明细接口!$D$201=0,"",[2]对账明细接口!$D$201),"")</f>
        <v>周转筐－领用出库</v>
      </c>
      <c r="E201" s="16" t="str">
        <f>IFERROR(IF([2]对账明细接口!$E$201=0,"",[2]对账明细接口!$E$201),"")</f>
        <v>NO:0001190</v>
      </c>
      <c r="F201" s="16" t="str">
        <f>IFERROR(IF([2]对账明细接口!$F$201=0,"",[2]对账明细接口!$F$201),"")</f>
        <v>公司红周转筐</v>
      </c>
      <c r="G201" s="16">
        <f>IFERROR(IF([2]对账明细接口!$G$201=0,"",[2]对账明细接口!$G$201),"")</f>
      </c>
      <c r="H201" s="176">
        <f>IFERROR(IF([2]对账明细接口!$H$201=0,"",[2]对账明细接口!$H$201),"")</f>
        <v>504</v>
      </c>
      <c r="I201" s="16" t="str">
        <f>IFERROR(IF([2]对账明细接口!$I$201=0,"",[2]对账明细接口!$I$201),"")</f>
        <v>个</v>
      </c>
      <c r="J201" s="177">
        <f>IFERROR(IF([2]对账明细接口!$J$201=0,"",[2]对账明细接口!$J$201),"")</f>
      </c>
      <c r="K201" s="177">
        <f>IFERROR(IF([2]对账明细接口!$K$201=0,"",[2]对账明细接口!$K$201),"")</f>
      </c>
      <c r="L201" s="16">
        <f>IFERROR(IF([2]对账明细接口!$L$201=0,"",[2]对账明细接口!$L$201),"")</f>
      </c>
      <c r="M201" s="16" t="str">
        <f>IFERROR(IF([2]对账明细接口!$M$201=0,"",[2]对账明细接口!$M$201),"")</f>
        <v>阿布都</v>
      </c>
      <c r="N201" s="19">
        <f>IF($C201="",0,1)</f>
        <v>1</v>
      </c>
      <c r="O201" s="19">
        <f>N(O200)+$N201</f>
        <v>198</v>
      </c>
      <c r="S201" s="20" t="str">
        <f>IFERROR(IF([2]对账明细接口!$N201=0,"",[2]对账明细接口!$N201),"")</f>
        <v>公司红周转筐</v>
      </c>
      <c r="T201" s="212">
        <f>IFERROR(IF([2]对账明细接口!$O201=0,"",[2]对账明细接口!$O201),"")</f>
        <v>504</v>
      </c>
      <c r="U201" s="212">
        <f>IFERROR(IF([2]对账明细接口!$P201=0,"",[2]对账明细接口!$P201),"")</f>
      </c>
      <c r="V201" s="212">
        <f>IFERROR(IF([2]对账明细接口!$Q201=0,"",[2]对账明细接口!$Q201),"")</f>
      </c>
      <c r="W201" s="20" t="str">
        <f>IFERROR(IF([2]对账明细接口!$R201=0,"",[2]对账明细接口!$R201),"")</f>
        <v>新N*F0M01</v>
      </c>
      <c r="X201" s="20" t="str">
        <f>IFERROR(IF([2]对账明细接口!$S201=0,"",[2]对账明细接口!$S201),"")</f>
        <v>公司筐</v>
      </c>
      <c r="Y201" s="20">
        <f>""</f>
      </c>
      <c r="Z201" s="20">
        <f>""</f>
      </c>
      <c r="AA201" s="20">
        <f>""</f>
      </c>
      <c r="AB201" s="20">
        <f>""</f>
      </c>
    </row>
    <row r="202" s="127">
      <c r="A202" s="14" t="n">
        <v>202</v>
      </c>
      <c r="B202" s="211">
        <f>IFERROR(IF([2]对账明细接口!$B$202=0,"",[2]对账明细接口!$B$202),"")</f>
        <v>46284.0</v>
      </c>
      <c r="C202" s="16" t="str">
        <f>IFERROR(IF([2]对账明细接口!$C$202=0,"",[2]对账明细接口!$C$202),"")</f>
        <v>贾建国</v>
      </c>
      <c r="D202" s="16" t="str">
        <f>IFERROR(IF([2]对账明细接口!$D$202=0,"",[2]对账明细接口!$D$202),"")</f>
        <v>周转筐－领用出库</v>
      </c>
      <c r="E202" s="16" t="str">
        <f>IFERROR(IF([2]对账明细接口!$E$202=0,"",[2]对账明细接口!$E$202),"")</f>
        <v>NO:0001191</v>
      </c>
      <c r="F202" s="16" t="str">
        <f>IFERROR(IF([2]对账明细接口!$F$202=0,"",[2]对账明细接口!$F$202),"")</f>
        <v>公司新周转筐</v>
      </c>
      <c r="G202" s="16">
        <f>IFERROR(IF([2]对账明细接口!$G$202=0,"",[2]对账明细接口!$G$202),"")</f>
      </c>
      <c r="H202" s="176">
        <f>IFERROR(IF([2]对账明细接口!$H$202=0,"",[2]对账明细接口!$H$202),"")</f>
        <v>301</v>
      </c>
      <c r="I202" s="16" t="str">
        <f>IFERROR(IF([2]对账明细接口!$I$202=0,"",[2]对账明细接口!$I$202),"")</f>
        <v>个</v>
      </c>
      <c r="J202" s="177">
        <f>IFERROR(IF([2]对账明细接口!$J$202=0,"",[2]对账明细接口!$J$202),"")</f>
      </c>
      <c r="K202" s="177">
        <f>IFERROR(IF([2]对账明细接口!$K$202=0,"",[2]对账明细接口!$K$202),"")</f>
      </c>
      <c r="L202" s="16">
        <f>IFERROR(IF([2]对账明细接口!$L$202=0,"",[2]对账明细接口!$L$202),"")</f>
      </c>
      <c r="M202" s="16">
        <f>IFERROR(IF([2]对账明细接口!$M$202=0,"",[2]对账明细接口!$M$202),"")</f>
      </c>
      <c r="N202" s="19">
        <f>IF($C202="",0,1)</f>
        <v>1</v>
      </c>
      <c r="O202" s="19">
        <f>N(O201)+$N202</f>
        <v>199</v>
      </c>
      <c r="S202" s="20" t="str">
        <f>IFERROR(IF([2]对账明细接口!$N202=0,"",[2]对账明细接口!$N202),"")</f>
        <v>公司新周转筐</v>
      </c>
      <c r="T202" s="212">
        <f>IFERROR(IF([2]对账明细接口!$O202=0,"",[2]对账明细接口!$O202),"")</f>
        <v>301</v>
      </c>
      <c r="U202" s="212">
        <f>IFERROR(IF([2]对账明细接口!$P202=0,"",[2]对账明细接口!$P202),"")</f>
      </c>
      <c r="V202" s="212">
        <f>IFERROR(IF([2]对账明细接口!$Q202=0,"",[2]对账明细接口!$Q202),"")</f>
      </c>
      <c r="W202" s="20" t="str">
        <f>IFERROR(IF([2]对账明细接口!$R202=0,"",[2]对账明细接口!$R202),"")</f>
        <v>新N*48236</v>
      </c>
      <c r="X202" s="20" t="str">
        <f>IFERROR(IF([2]对账明细接口!$S202=0,"",[2]对账明细接口!$S202),"")</f>
        <v>公司筐</v>
      </c>
      <c r="Y202" s="20">
        <f>""</f>
      </c>
      <c r="Z202" s="20">
        <f>""</f>
      </c>
      <c r="AA202" s="20">
        <f>""</f>
      </c>
      <c r="AB202" s="20">
        <f>""</f>
      </c>
    </row>
    <row r="203" s="127">
      <c r="A203" s="14" t="n">
        <v>203</v>
      </c>
      <c r="B203" s="211">
        <f>IFERROR(IF([2]对账明细接口!$B$203=0,"",[2]对账明细接口!$B$203),"")</f>
        <v>46284.0</v>
      </c>
      <c r="C203" s="16" t="str">
        <f>IFERROR(IF([2]对账明细接口!$C$203=0,"",[2]对账明细接口!$C$203),"")</f>
        <v>李现东</v>
      </c>
      <c r="D203" s="16" t="str">
        <f>IFERROR(IF([2]对账明细接口!$D$203=0,"",[2]对账明细接口!$D$203),"")</f>
        <v>周转筐－领用出库</v>
      </c>
      <c r="E203" s="16" t="str">
        <f>IFERROR(IF([2]对账明细接口!$E$203=0,"",[2]对账明细接口!$E$203),"")</f>
        <v>NO:0001192</v>
      </c>
      <c r="F203" s="16" t="str">
        <f>IFERROR(IF([2]对账明细接口!$F$203=0,"",[2]对账明细接口!$F$203),"")</f>
        <v>公司杂周转筐</v>
      </c>
      <c r="G203" s="16">
        <f>IFERROR(IF([2]对账明细接口!$G$203=0,"",[2]对账明细接口!$G$203),"")</f>
      </c>
      <c r="H203" s="176">
        <f>IFERROR(IF([2]对账明细接口!$H$203=0,"",[2]对账明细接口!$H$203),"")</f>
        <v>936</v>
      </c>
      <c r="I203" s="16" t="str">
        <f>IFERROR(IF([2]对账明细接口!$I$203=0,"",[2]对账明细接口!$I$203),"")</f>
        <v>个</v>
      </c>
      <c r="J203" s="177">
        <f>IFERROR(IF([2]对账明细接口!$J$203=0,"",[2]对账明细接口!$J$203),"")</f>
      </c>
      <c r="K203" s="177">
        <f>IFERROR(IF([2]对账明细接口!$K$203=0,"",[2]对账明细接口!$K$203),"")</f>
      </c>
      <c r="L203" s="16">
        <f>IFERROR(IF([2]对账明细接口!$L$203=0,"",[2]对账明细接口!$L$203),"")</f>
      </c>
      <c r="M203" s="16" t="str">
        <f>IFERROR(IF([2]对账明细接口!$M$203=0,"",[2]对账明细接口!$M$203),"")</f>
        <v>李现东</v>
      </c>
      <c r="N203" s="19">
        <f>IF($C203="",0,1)</f>
        <v>1</v>
      </c>
      <c r="O203" s="19">
        <f>N(O202)+$N203</f>
        <v>200</v>
      </c>
      <c r="S203" s="20" t="str">
        <f>IFERROR(IF([2]对账明细接口!$N203=0,"",[2]对账明细接口!$N203),"")</f>
        <v>公司杂周转筐</v>
      </c>
      <c r="T203" s="212">
        <f>IFERROR(IF([2]对账明细接口!$O203=0,"",[2]对账明细接口!$O203),"")</f>
        <v>936</v>
      </c>
      <c r="U203" s="212">
        <f>IFERROR(IF([2]对账明细接口!$P203=0,"",[2]对账明细接口!$P203),"")</f>
      </c>
      <c r="V203" s="212">
        <f>IFERROR(IF([2]对账明细接口!$Q203=0,"",[2]对账明细接口!$Q203),"")</f>
      </c>
      <c r="W203" s="20" t="str">
        <f>IFERROR(IF([2]对账明细接口!$R203=0,"",[2]对账明细接口!$R203),"")</f>
        <v>新N*53045</v>
      </c>
      <c r="X203" s="20" t="str">
        <f>IFERROR(IF([2]对账明细接口!$S203=0,"",[2]对账明细接口!$S203),"")</f>
        <v>公司筐</v>
      </c>
      <c r="Y203" s="20">
        <f>""</f>
      </c>
      <c r="Z203" s="20">
        <f>""</f>
      </c>
      <c r="AA203" s="20">
        <f>""</f>
      </c>
      <c r="AB203" s="20">
        <f>""</f>
      </c>
    </row>
    <row r="204" s="127">
      <c r="A204" s="14" t="n">
        <v>204</v>
      </c>
      <c r="B204" s="211">
        <f>IFERROR(IF([2]对账明细接口!$B$204=0,"",[2]对账明细接口!$B$204),"")</f>
        <v>46284.0</v>
      </c>
      <c r="C204" s="16" t="str">
        <f>IFERROR(IF([2]对账明细接口!$C$204=0,"",[2]对账明细接口!$C$204),"")</f>
        <v>麦麦提</v>
      </c>
      <c r="D204" s="16" t="str">
        <f>IFERROR(IF([2]对账明细接口!$D$204=0,"",[2]对账明细接口!$D$204),"")</f>
        <v>周转筐－领用出库</v>
      </c>
      <c r="E204" s="16" t="str">
        <f>IFERROR(IF([2]对账明细接口!$E$204=0,"",[2]对账明细接口!$E$204),"")</f>
        <v>NO:0001193</v>
      </c>
      <c r="F204" s="16" t="str">
        <f>IFERROR(IF([2]对账明细接口!$F$204=0,"",[2]对账明细接口!$F$204),"")</f>
        <v>公司红周转筐</v>
      </c>
      <c r="G204" s="16">
        <f>IFERROR(IF([2]对账明细接口!$G$204=0,"",[2]对账明细接口!$G$204),"")</f>
      </c>
      <c r="H204" s="176">
        <f>IFERROR(IF([2]对账明细接口!$H$204=0,"",[2]对账明细接口!$H$204),"")</f>
        <v>720</v>
      </c>
      <c r="I204" s="16" t="str">
        <f>IFERROR(IF([2]对账明细接口!$I$204=0,"",[2]对账明细接口!$I$204),"")</f>
        <v>个</v>
      </c>
      <c r="J204" s="177">
        <f>IFERROR(IF([2]对账明细接口!$J$204=0,"",[2]对账明细接口!$J$204),"")</f>
      </c>
      <c r="K204" s="177">
        <f>IFERROR(IF([2]对账明细接口!$K$204=0,"",[2]对账明细接口!$K$204),"")</f>
      </c>
      <c r="L204" s="16">
        <f>IFERROR(IF([2]对账明细接口!$L$204=0,"",[2]对账明细接口!$L$204),"")</f>
      </c>
      <c r="M204" s="16">
        <f>IFERROR(IF([2]对账明细接口!$M$204=0,"",[2]对账明细接口!$M$204),"")</f>
      </c>
      <c r="N204" s="19">
        <f>IF($C204="",0,1)</f>
        <v>1</v>
      </c>
      <c r="O204" s="19">
        <f>N(O203)+$N204</f>
        <v>201</v>
      </c>
      <c r="S204" s="20" t="str">
        <f>IFERROR(IF([2]对账明细接口!$N204=0,"",[2]对账明细接口!$N204),"")</f>
        <v>公司红周转筐</v>
      </c>
      <c r="T204" s="212">
        <f>IFERROR(IF([2]对账明细接口!$O204=0,"",[2]对账明细接口!$O204),"")</f>
        <v>720</v>
      </c>
      <c r="U204" s="212">
        <f>IFERROR(IF([2]对账明细接口!$P204=0,"",[2]对账明细接口!$P204),"")</f>
      </c>
      <c r="V204" s="212">
        <f>IFERROR(IF([2]对账明细接口!$Q204=0,"",[2]对账明细接口!$Q204),"")</f>
      </c>
      <c r="W204" s="20" t="str">
        <f>IFERROR(IF([2]对账明细接口!$R204=0,"",[2]对账明细接口!$R204),"")</f>
        <v>新R*37010</v>
      </c>
      <c r="X204" s="20" t="str">
        <f>IFERROR(IF([2]对账明细接口!$S204=0,"",[2]对账明细接口!$S204),"")</f>
        <v>公司筐</v>
      </c>
      <c r="Y204" s="20">
        <f>""</f>
      </c>
      <c r="Z204" s="20">
        <f>""</f>
      </c>
      <c r="AA204" s="20">
        <f>""</f>
      </c>
      <c r="AB204" s="20">
        <f>""</f>
      </c>
    </row>
    <row r="205" s="127">
      <c r="A205" s="14" t="n">
        <v>205</v>
      </c>
      <c r="B205" s="211">
        <f>IFERROR(IF([2]对账明细接口!$B$205=0,"",[2]对账明细接口!$B$205),"")</f>
        <v>46284.0</v>
      </c>
      <c r="C205" s="16" t="str">
        <f>IFERROR(IF([2]对账明细接口!$C$205=0,"",[2]对账明细接口!$C$205),"")</f>
        <v>努尔敦</v>
      </c>
      <c r="D205" s="16" t="str">
        <f>IFERROR(IF([2]对账明细接口!$D$205=0,"",[2]对账明细接口!$D$205),"")</f>
        <v>周转筐－领用出库</v>
      </c>
      <c r="E205" s="16" t="str">
        <f>IFERROR(IF([2]对账明细接口!$E$205=0,"",[2]对账明细接口!$E$205),"")</f>
        <v>NO:0001194</v>
      </c>
      <c r="F205" s="16" t="str">
        <f>IFERROR(IF([2]对账明细接口!$F$205=0,"",[2]对账明细接口!$F$205),"")</f>
        <v>公司红周转筐</v>
      </c>
      <c r="G205" s="16">
        <f>IFERROR(IF([2]对账明细接口!$G$205=0,"",[2]对账明细接口!$G$205),"")</f>
      </c>
      <c r="H205" s="176">
        <f>IFERROR(IF([2]对账明细接口!$H$205=0,"",[2]对账明细接口!$H$205),"")</f>
        <v>960</v>
      </c>
      <c r="I205" s="16" t="str">
        <f>IFERROR(IF([2]对账明细接口!$I$205=0,"",[2]对账明细接口!$I$205),"")</f>
        <v>个</v>
      </c>
      <c r="J205" s="177">
        <f>IFERROR(IF([2]对账明细接口!$J$205=0,"",[2]对账明细接口!$J$205),"")</f>
      </c>
      <c r="K205" s="177">
        <f>IFERROR(IF([2]对账明细接口!$K$205=0,"",[2]对账明细接口!$K$205),"")</f>
      </c>
      <c r="L205" s="16">
        <f>IFERROR(IF([2]对账明细接口!$L$205=0,"",[2]对账明细接口!$L$205),"")</f>
      </c>
      <c r="M205" s="16">
        <f>IFERROR(IF([2]对账明细接口!$M$205=0,"",[2]对账明细接口!$M$205),"")</f>
      </c>
      <c r="N205" s="19">
        <f>IF($C205="",0,1)</f>
        <v>1</v>
      </c>
      <c r="O205" s="19">
        <f>N(O204)+$N205</f>
        <v>202</v>
      </c>
      <c r="S205" s="20" t="str">
        <f>IFERROR(IF([2]对账明细接口!$N205=0,"",[2]对账明细接口!$N205),"")</f>
        <v>公司红周转筐</v>
      </c>
      <c r="T205" s="212">
        <f>IFERROR(IF([2]对账明细接口!$O205=0,"",[2]对账明细接口!$O205),"")</f>
        <v>960</v>
      </c>
      <c r="U205" s="212">
        <f>IFERROR(IF([2]对账明细接口!$P205=0,"",[2]对账明细接口!$P205),"")</f>
      </c>
      <c r="V205" s="212">
        <f>IFERROR(IF([2]对账明细接口!$Q205=0,"",[2]对账明细接口!$Q205),"")</f>
      </c>
      <c r="W205" s="20" t="str">
        <f>IFERROR(IF([2]对账明细接口!$R205=0,"",[2]对账明细接口!$R205),"")</f>
        <v>新F*75240</v>
      </c>
      <c r="X205" s="20" t="str">
        <f>IFERROR(IF([2]对账明细接口!$S205=0,"",[2]对账明细接口!$S205),"")</f>
        <v>公司筐</v>
      </c>
      <c r="Y205" s="20">
        <f>""</f>
      </c>
      <c r="Z205" s="20">
        <f>""</f>
      </c>
      <c r="AA205" s="20">
        <f>""</f>
      </c>
      <c r="AB205" s="20">
        <f>""</f>
      </c>
    </row>
    <row r="206" s="127">
      <c r="A206" s="14" t="n">
        <v>206</v>
      </c>
      <c r="B206" s="211">
        <f>IFERROR(IF([2]对账明细接口!$B$206=0,"",[2]对账明细接口!$B$206),"")</f>
        <v>46285.0</v>
      </c>
      <c r="C206" s="16" t="str">
        <f>IFERROR(IF([2]对账明细接口!$C$206=0,"",[2]对账明细接口!$C$206),"")</f>
        <v>王照雪</v>
      </c>
      <c r="D206" s="16" t="str">
        <f>IFERROR(IF([2]对账明细接口!$D$206=0,"",[2]对账明细接口!$D$206),"")</f>
        <v>周转筐－领用出库</v>
      </c>
      <c r="E206" s="16" t="str">
        <f>IFERROR(IF([2]对账明细接口!$E$206=0,"",[2]对账明细接口!$E$206),"")</f>
        <v>NO:0001198</v>
      </c>
      <c r="F206" s="16" t="str">
        <f>IFERROR(IF([2]对账明细接口!$F$206=0,"",[2]对账明细接口!$F$206),"")</f>
        <v>公司杂周转筐</v>
      </c>
      <c r="G206" s="16">
        <f>IFERROR(IF([2]对账明细接口!$G$206=0,"",[2]对账明细接口!$G$206),"")</f>
      </c>
      <c r="H206" s="176">
        <f>IFERROR(IF([2]对账明细接口!$H$206=0,"",[2]对账明细接口!$H$206),"")</f>
        <v>213</v>
      </c>
      <c r="I206" s="16" t="str">
        <f>IFERROR(IF([2]对账明细接口!$I$206=0,"",[2]对账明细接口!$I$206),"")</f>
        <v>个</v>
      </c>
      <c r="J206" s="177">
        <f>IFERROR(IF([2]对账明细接口!$J$206=0,"",[2]对账明细接口!$J$206),"")</f>
      </c>
      <c r="K206" s="177">
        <f>IFERROR(IF([2]对账明细接口!$K$206=0,"",[2]对账明细接口!$K$206),"")</f>
      </c>
      <c r="L206" s="16">
        <f>IFERROR(IF([2]对账明细接口!$L$206=0,"",[2]对账明细接口!$L$206),"")</f>
      </c>
      <c r="M206" s="16">
        <f>IFERROR(IF([2]对账明细接口!$M$206=0,"",[2]对账明细接口!$M$206),"")</f>
      </c>
      <c r="N206" s="19">
        <f>IF($C206="",0,1)</f>
        <v>1</v>
      </c>
      <c r="O206" s="19">
        <f>N(O205)+$N206</f>
        <v>203</v>
      </c>
      <c r="S206" s="20" t="str">
        <f>IFERROR(IF([2]对账明细接口!$N206=0,"",[2]对账明细接口!$N206),"")</f>
        <v>公司杂周转筐</v>
      </c>
      <c r="T206" s="212">
        <f>IFERROR(IF([2]对账明细接口!$O206=0,"",[2]对账明细接口!$O206),"")</f>
        <v>213</v>
      </c>
      <c r="U206" s="212">
        <f>IFERROR(IF([2]对账明细接口!$P206=0,"",[2]对账明细接口!$P206),"")</f>
      </c>
      <c r="V206" s="212">
        <f>IFERROR(IF([2]对账明细接口!$Q206=0,"",[2]对账明细接口!$Q206),"")</f>
      </c>
      <c r="W206" s="20" t="str">
        <f>IFERROR(IF([2]对账明细接口!$R206=0,"",[2]对账明细接口!$R206),"")</f>
        <v>豫L*88X19</v>
      </c>
      <c r="X206" s="20" t="str">
        <f>IFERROR(IF([2]对账明细接口!$S206=0,"",[2]对账明细接口!$S206),"")</f>
        <v>公司筐</v>
      </c>
      <c r="Y206" s="20">
        <f>""</f>
      </c>
      <c r="Z206" s="20">
        <f>""</f>
      </c>
      <c r="AA206" s="20">
        <f>""</f>
      </c>
      <c r="AB206" s="20">
        <f>""</f>
      </c>
    </row>
    <row r="207" s="127">
      <c r="A207" s="14" t="n">
        <v>207</v>
      </c>
      <c r="B207" s="211">
        <f>IFERROR(IF([2]对账明细接口!$B$207=0,"",[2]对账明细接口!$B$207),"")</f>
        <v>46285.0</v>
      </c>
      <c r="C207" s="16" t="str">
        <f>IFERROR(IF([2]对账明细接口!$C$207=0,"",[2]对账明细接口!$C$207),"")</f>
        <v>全修塑业</v>
      </c>
      <c r="D207" s="16" t="str">
        <f>IFERROR(IF([2]对账明细接口!$D$207=0,"",[2]对账明细接口!$D$207),"")</f>
        <v>周转筐－采购入库</v>
      </c>
      <c r="E207" s="16" t="str">
        <f>IFERROR(IF([2]对账明细接口!$E$207=0,"",[2]对账明细接口!$E$207),"")</f>
        <v>NO:0000925</v>
      </c>
      <c r="F207" s="16" t="str">
        <f>IFERROR(IF([2]对账明细接口!$F$207=0,"",[2]对账明细接口!$F$207),"")</f>
        <v>公司红周转筐</v>
      </c>
      <c r="G207" s="16">
        <f>IFERROR(IF([2]对账明细接口!$G$207=0,"",[2]对账明细接口!$G$207),"")</f>
      </c>
      <c r="H207" s="176">
        <f>IFERROR(IF([2]对账明细接口!$H$207=0,"",[2]对账明细接口!$H$207),"")</f>
        <v>936</v>
      </c>
      <c r="I207" s="16" t="str">
        <f>IFERROR(IF([2]对账明细接口!$I$207=0,"",[2]对账明细接口!$I$207),"")</f>
        <v>个</v>
      </c>
      <c r="J207" s="177">
        <f>IFERROR(IF([2]对账明细接口!$J$207=0,"",[2]对账明细接口!$J$207),"")</f>
      </c>
      <c r="K207" s="177">
        <f>IFERROR(IF([2]对账明细接口!$K$207=0,"",[2]对账明细接口!$K$207),"")</f>
        <v>9360</v>
      </c>
      <c r="L207" s="16" t="str">
        <f>IFERROR(IF([2]对账明细接口!$L$207=0,"",[2]对账明细接口!$L$207),"")</f>
        <v>未付款</v>
      </c>
      <c r="M207" s="16" t="str">
        <f>IFERROR(IF([2]对账明细接口!$M$207=0,"",[2]对账明细接口!$M$207),"")</f>
        <v>NO:0017246</v>
      </c>
      <c r="N207" s="19">
        <f>IF($C207="",0,1)</f>
        <v>1</v>
      </c>
      <c r="O207" s="19">
        <f>N(O206)+$N207</f>
        <v>204</v>
      </c>
      <c r="S207" s="20" t="str">
        <f>IFERROR(IF([2]对账明细接口!$N207=0,"",[2]对账明细接口!$N207),"")</f>
        <v>公司红周转筐</v>
      </c>
      <c r="T207" s="212">
        <f>IFERROR(IF([2]对账明细接口!$O207=0,"",[2]对账明细接口!$O207),"")</f>
      </c>
      <c r="U207" s="212">
        <f>IFERROR(IF([2]对账明细接口!$P207=0,"",[2]对账明细接口!$P207),"")</f>
      </c>
      <c r="V207" s="212">
        <f>IFERROR(IF([2]对账明细接口!$Q207=0,"",[2]对账明细接口!$Q207),"")</f>
        <v>936</v>
      </c>
      <c r="W207" s="20" t="str">
        <f>IFERROR(IF([2]对账明细接口!$R207=0,"",[2]对账明细接口!$R207),"")</f>
        <v>新F*75240</v>
      </c>
      <c r="X207" s="20" t="str">
        <f>IFERROR(IF([2]对账明细接口!$S207=0,"",[2]对账明细接口!$S207),"")</f>
        <v>公司筐</v>
      </c>
      <c r="Y207" s="20">
        <f>""</f>
      </c>
      <c r="Z207" s="20">
        <f>""</f>
      </c>
      <c r="AA207" s="20">
        <f>""</f>
      </c>
      <c r="AB207" s="20">
        <f>""</f>
      </c>
    </row>
    <row r="208" s="127">
      <c r="A208" s="14" t="n">
        <v>208</v>
      </c>
      <c r="B208" s="211">
        <f>IFERROR(IF([2]对账明细接口!$B$208=0,"",[2]对账明细接口!$B$208),"")</f>
        <v>46285.0</v>
      </c>
      <c r="C208" s="16" t="str">
        <f>IFERROR(IF([2]对账明细接口!$C$208=0,"",[2]对账明细接口!$C$208),"")</f>
        <v>努尔敦</v>
      </c>
      <c r="D208" s="16" t="str">
        <f>IFERROR(IF([2]对账明细接口!$D$208=0,"",[2]对账明细接口!$D$208),"")</f>
        <v>周转筐－领用出库</v>
      </c>
      <c r="E208" s="16" t="str">
        <f>IFERROR(IF([2]对账明细接口!$E$208=0,"",[2]对账明细接口!$E$208),"")</f>
        <v>NO:0001200</v>
      </c>
      <c r="F208" s="16" t="str">
        <f>IFERROR(IF([2]对账明细接口!$F$208=0,"",[2]对账明细接口!$F$208),"")</f>
        <v>公司红周转筐</v>
      </c>
      <c r="G208" s="16">
        <f>IFERROR(IF([2]对账明细接口!$G$208=0,"",[2]对账明细接口!$G$208),"")</f>
      </c>
      <c r="H208" s="176">
        <f>IFERROR(IF([2]对账明细接口!$H$208=0,"",[2]对账明细接口!$H$208),"")</f>
        <v>936</v>
      </c>
      <c r="I208" s="16" t="str">
        <f>IFERROR(IF([2]对账明细接口!$I$208=0,"",[2]对账明细接口!$I$208),"")</f>
        <v>个</v>
      </c>
      <c r="J208" s="177">
        <f>IFERROR(IF([2]对账明细接口!$J$208=0,"",[2]对账明细接口!$J$208),"")</f>
      </c>
      <c r="K208" s="177">
        <f>IFERROR(IF([2]对账明细接口!$K$208=0,"",[2]对账明细接口!$K$208),"")</f>
      </c>
      <c r="L208" s="16">
        <f>IFERROR(IF([2]对账明细接口!$L$208=0,"",[2]对账明细接口!$L$208),"")</f>
      </c>
      <c r="M208" s="16">
        <f>IFERROR(IF([2]对账明细接口!$M$208=0,"",[2]对账明细接口!$M$208),"")</f>
      </c>
      <c r="N208" s="19">
        <f>IF($C208="",0,1)</f>
        <v>1</v>
      </c>
      <c r="O208" s="19">
        <f>N(O207)+$N208</f>
        <v>205</v>
      </c>
      <c r="S208" s="20" t="str">
        <f>IFERROR(IF([2]对账明细接口!$N208=0,"",[2]对账明细接口!$N208),"")</f>
        <v>公司红周转筐</v>
      </c>
      <c r="T208" s="212">
        <f>IFERROR(IF([2]对账明细接口!$O208=0,"",[2]对账明细接口!$O208),"")</f>
        <v>936</v>
      </c>
      <c r="U208" s="212">
        <f>IFERROR(IF([2]对账明细接口!$P208=0,"",[2]对账明细接口!$P208),"")</f>
      </c>
      <c r="V208" s="212">
        <f>IFERROR(IF([2]对账明细接口!$Q208=0,"",[2]对账明细接口!$Q208),"")</f>
      </c>
      <c r="W208" s="20" t="str">
        <f>IFERROR(IF([2]对账明细接口!$R208=0,"",[2]对账明细接口!$R208),"")</f>
        <v>新F*75240</v>
      </c>
      <c r="X208" s="20" t="str">
        <f>IFERROR(IF([2]对账明细接口!$S208=0,"",[2]对账明细接口!$S208),"")</f>
        <v>公司筐</v>
      </c>
      <c r="Y208" s="20">
        <f>""</f>
      </c>
      <c r="Z208" s="20">
        <f>""</f>
      </c>
      <c r="AA208" s="20">
        <f>""</f>
      </c>
      <c r="AB208" s="20">
        <f>""</f>
      </c>
    </row>
    <row r="209" s="127">
      <c r="A209" s="14" t="n">
        <v>209</v>
      </c>
      <c r="B209" s="211">
        <f>IFERROR(IF([2]对账明细接口!$B$209=0,"",[2]对账明细接口!$B$209),"")</f>
        <v>46285.0</v>
      </c>
      <c r="C209" s="16" t="str">
        <f>IFERROR(IF([2]对账明细接口!$C$209=0,"",[2]对账明细接口!$C$209),"")</f>
        <v>王照雪</v>
      </c>
      <c r="D209" s="16" t="str">
        <f>IFERROR(IF([2]对账明细接口!$D$209=0,"",[2]对账明细接口!$D$209),"")</f>
        <v>周转筐－领用出库</v>
      </c>
      <c r="E209" s="16" t="str">
        <f>IFERROR(IF([2]对账明细接口!$E$209=0,"",[2]对账明细接口!$E$209),"")</f>
        <v>NO:0001203</v>
      </c>
      <c r="F209" s="16" t="str">
        <f>IFERROR(IF([2]对账明细接口!$F$209=0,"",[2]对账明细接口!$F$209),"")</f>
        <v>公司一次性筐</v>
      </c>
      <c r="G209" s="16">
        <f>IFERROR(IF([2]对账明细接口!$G$209=0,"",[2]对账明细接口!$G$209),"")</f>
      </c>
      <c r="H209" s="176">
        <f>IFERROR(IF([2]对账明细接口!$H$209=0,"",[2]对账明细接口!$H$209),"")</f>
        <v>423</v>
      </c>
      <c r="I209" s="16" t="str">
        <f>IFERROR(IF([2]对账明细接口!$I$209=0,"",[2]对账明细接口!$I$209),"")</f>
        <v>个</v>
      </c>
      <c r="J209" s="177">
        <f>IFERROR(IF([2]对账明细接口!$J$209=0,"",[2]对账明细接口!$J$209),"")</f>
      </c>
      <c r="K209" s="177">
        <f>IFERROR(IF([2]对账明细接口!$K$209=0,"",[2]对账明细接口!$K$209),"")</f>
      </c>
      <c r="L209" s="16">
        <f>IFERROR(IF([2]对账明细接口!$L$209=0,"",[2]对账明细接口!$L$209),"")</f>
      </c>
      <c r="M209" s="16">
        <f>IFERROR(IF([2]对账明细接口!$M$209=0,"",[2]对账明细接口!$M$209),"")</f>
      </c>
      <c r="N209" s="19">
        <f>IF($C209="",0,1)</f>
        <v>1</v>
      </c>
      <c r="O209" s="19">
        <f>N(O208)+$N209</f>
        <v>206</v>
      </c>
      <c r="S209" s="20" t="str">
        <f>IFERROR(IF([2]对账明细接口!$N209=0,"",[2]对账明细接口!$N209),"")</f>
        <v>公司一次性筐</v>
      </c>
      <c r="T209" s="212">
        <f>IFERROR(IF([2]对账明细接口!$O209=0,"",[2]对账明细接口!$O209),"")</f>
        <v>423</v>
      </c>
      <c r="U209" s="212">
        <f>IFERROR(IF([2]对账明细接口!$P209=0,"",[2]对账明细接口!$P209),"")</f>
      </c>
      <c r="V209" s="212">
        <f>IFERROR(IF([2]对账明细接口!$Q209=0,"",[2]对账明细接口!$Q209),"")</f>
      </c>
      <c r="W209" s="20" t="str">
        <f>IFERROR(IF([2]对账明细接口!$R209=0,"",[2]对账明细接口!$R209),"")</f>
        <v>豫L*88X19</v>
      </c>
      <c r="X209" s="20" t="str">
        <f>IFERROR(IF([2]对账明细接口!$S209=0,"",[2]对账明细接口!$S209),"")</f>
        <v>公司筐</v>
      </c>
      <c r="Y209" s="20">
        <f>""</f>
      </c>
      <c r="Z209" s="20">
        <f>""</f>
      </c>
      <c r="AA209" s="20">
        <f>""</f>
      </c>
      <c r="AB209" s="20">
        <f>""</f>
      </c>
    </row>
    <row r="210" s="127">
      <c r="A210" s="14" t="n">
        <v>210</v>
      </c>
      <c r="B210" s="211">
        <f>IFERROR(IF([2]对账明细接口!$B$210=0,"",[2]对账明细接口!$B$210),"")</f>
        <v>46285.0</v>
      </c>
      <c r="C210" s="16" t="str">
        <f>IFERROR(IF([2]对账明细接口!$C$210=0,"",[2]对账明细接口!$C$210),"")</f>
        <v>全修塑业</v>
      </c>
      <c r="D210" s="16" t="str">
        <f>IFERROR(IF([2]对账明细接口!$D$210=0,"",[2]对账明细接口!$D$210),"")</f>
        <v>周转筐－采购入库</v>
      </c>
      <c r="E210" s="16" t="str">
        <f>IFERROR(IF([2]对账明细接口!$E$210=0,"",[2]对账明细接口!$E$210),"")</f>
        <v>NO:0000929</v>
      </c>
      <c r="F210" s="16" t="str">
        <f>IFERROR(IF([2]对账明细接口!$F$210=0,"",[2]对账明细接口!$F$210),"")</f>
        <v>公司红周转筐</v>
      </c>
      <c r="G210" s="16">
        <f>IFERROR(IF([2]对账明细接口!$G$210=0,"",[2]对账明细接口!$G$210),"")</f>
      </c>
      <c r="H210" s="176">
        <f>IFERROR(IF([2]对账明细接口!$H$210=0,"",[2]对账明细接口!$H$210),"")</f>
        <v>960</v>
      </c>
      <c r="I210" s="16" t="str">
        <f>IFERROR(IF([2]对账明细接口!$I$210=0,"",[2]对账明细接口!$I$210),"")</f>
        <v>个</v>
      </c>
      <c r="J210" s="177">
        <f>IFERROR(IF([2]对账明细接口!$J$210=0,"",[2]对账明细接口!$J$210),"")</f>
      </c>
      <c r="K210" s="177">
        <f>IFERROR(IF([2]对账明细接口!$K$210=0,"",[2]对账明细接口!$K$210),"")</f>
        <v>9600</v>
      </c>
      <c r="L210" s="16" t="str">
        <f>IFERROR(IF([2]对账明细接口!$L$210=0,"",[2]对账明细接口!$L$210),"")</f>
        <v>未付款</v>
      </c>
      <c r="M210" s="16" t="str">
        <f>IFERROR(IF([2]对账明细接口!$M$210=0,"",[2]对账明细接口!$M$210),"")</f>
        <v>NO:0017247</v>
      </c>
      <c r="N210" s="19">
        <f>IF($C210="",0,1)</f>
        <v>1</v>
      </c>
      <c r="O210" s="19">
        <f>N(O209)+$N210</f>
        <v>207</v>
      </c>
      <c r="S210" s="20" t="str">
        <f>IFERROR(IF([2]对账明细接口!$N210=0,"",[2]对账明细接口!$N210),"")</f>
        <v>公司红周转筐</v>
      </c>
      <c r="T210" s="212">
        <f>IFERROR(IF([2]对账明细接口!$O210=0,"",[2]对账明细接口!$O210),"")</f>
      </c>
      <c r="U210" s="212">
        <f>IFERROR(IF([2]对账明细接口!$P210=0,"",[2]对账明细接口!$P210),"")</f>
      </c>
      <c r="V210" s="212">
        <f>IFERROR(IF([2]对账明细接口!$Q210=0,"",[2]对账明细接口!$Q210),"")</f>
        <v>960</v>
      </c>
      <c r="W210" s="20" t="str">
        <f>IFERROR(IF([2]对账明细接口!$R210=0,"",[2]对账明细接口!$R210),"")</f>
        <v>新N*49209</v>
      </c>
      <c r="X210" s="20" t="str">
        <f>IFERROR(IF([2]对账明细接口!$S210=0,"",[2]对账明细接口!$S210),"")</f>
        <v>公司筐</v>
      </c>
      <c r="Y210" s="20">
        <f>""</f>
      </c>
      <c r="Z210" s="20">
        <f>""</f>
      </c>
      <c r="AA210" s="20">
        <f>""</f>
      </c>
      <c r="AB210" s="20">
        <f>""</f>
      </c>
    </row>
    <row r="211" s="127">
      <c r="A211" s="14" t="n">
        <v>211</v>
      </c>
      <c r="B211" s="211">
        <f>IFERROR(IF([2]对账明细接口!$B$211=0,"",[2]对账明细接口!$B$211),"")</f>
        <v>46285.0</v>
      </c>
      <c r="C211" s="16" t="str">
        <f>IFERROR(IF([2]对账明细接口!$C$211=0,"",[2]对账明细接口!$C$211),"")</f>
        <v>王灵云</v>
      </c>
      <c r="D211" s="16" t="str">
        <f>IFERROR(IF([2]对账明细接口!$D$211=0,"",[2]对账明细接口!$D$211),"")</f>
        <v>周转筐－领用出库</v>
      </c>
      <c r="E211" s="16" t="str">
        <f>IFERROR(IF([2]对账明细接口!$E$211=0,"",[2]对账明细接口!$E$211),"")</f>
        <v>NO:0001204</v>
      </c>
      <c r="F211" s="16" t="str">
        <f>IFERROR(IF([2]对账明细接口!$F$211=0,"",[2]对账明细接口!$F$211),"")</f>
        <v>公司红周转筐</v>
      </c>
      <c r="G211" s="16">
        <f>IFERROR(IF([2]对账明细接口!$G$211=0,"",[2]对账明细接口!$G$211),"")</f>
      </c>
      <c r="H211" s="176">
        <f>IFERROR(IF([2]对账明细接口!$H$211=0,"",[2]对账明细接口!$H$211),"")</f>
        <v>960</v>
      </c>
      <c r="I211" s="16" t="str">
        <f>IFERROR(IF([2]对账明细接口!$I$211=0,"",[2]对账明细接口!$I$211),"")</f>
        <v>个</v>
      </c>
      <c r="J211" s="177">
        <f>IFERROR(IF([2]对账明细接口!$J$211=0,"",[2]对账明细接口!$J$211),"")</f>
      </c>
      <c r="K211" s="177">
        <f>IFERROR(IF([2]对账明细接口!$K$211=0,"",[2]对账明细接口!$K$211),"")</f>
      </c>
      <c r="L211" s="16">
        <f>IFERROR(IF([2]对账明细接口!$L$211=0,"",[2]对账明细接口!$L$211),"")</f>
      </c>
      <c r="M211" s="16">
        <f>IFERROR(IF([2]对账明细接口!$M$211=0,"",[2]对账明细接口!$M$211),"")</f>
      </c>
      <c r="N211" s="19">
        <f>IF($C211="",0,1)</f>
        <v>1</v>
      </c>
      <c r="O211" s="19">
        <f>N(O210)+$N211</f>
        <v>208</v>
      </c>
      <c r="S211" s="20" t="str">
        <f>IFERROR(IF([2]对账明细接口!$N211=0,"",[2]对账明细接口!$N211),"")</f>
        <v>公司红周转筐</v>
      </c>
      <c r="T211" s="212">
        <f>IFERROR(IF([2]对账明细接口!$O211=0,"",[2]对账明细接口!$O211),"")</f>
        <v>960</v>
      </c>
      <c r="U211" s="212">
        <f>IFERROR(IF([2]对账明细接口!$P211=0,"",[2]对账明细接口!$P211),"")</f>
      </c>
      <c r="V211" s="212">
        <f>IFERROR(IF([2]对账明细接口!$Q211=0,"",[2]对账明细接口!$Q211),"")</f>
      </c>
      <c r="W211" s="20" t="str">
        <f>IFERROR(IF([2]对账明细接口!$R211=0,"",[2]对账明细接口!$R211),"")</f>
        <v>新N*49209</v>
      </c>
      <c r="X211" s="20" t="str">
        <f>IFERROR(IF([2]对账明细接口!$S211=0,"",[2]对账明细接口!$S211),"")</f>
        <v>公司筐</v>
      </c>
      <c r="Y211" s="20">
        <f>""</f>
      </c>
      <c r="Z211" s="20">
        <f>""</f>
      </c>
      <c r="AA211" s="20">
        <f>""</f>
      </c>
      <c r="AB211" s="20">
        <f>""</f>
      </c>
    </row>
    <row r="212" s="127">
      <c r="A212" s="14" t="n">
        <v>212</v>
      </c>
      <c r="B212" s="211">
        <f>IFERROR(IF([2]对账明细接口!$B$212=0,"",[2]对账明细接口!$B$212),"")</f>
        <v>46286.0</v>
      </c>
      <c r="C212" s="16" t="str">
        <f>IFERROR(IF([2]对账明细接口!$C$212=0,"",[2]对账明细接口!$C$212),"")</f>
        <v>全修塑业</v>
      </c>
      <c r="D212" s="16" t="str">
        <f>IFERROR(IF([2]对账明细接口!$D$212=0,"",[2]对账明细接口!$D$212),"")</f>
        <v>周转筐－采购入库</v>
      </c>
      <c r="E212" s="16" t="str">
        <f>IFERROR(IF([2]对账明细接口!$E$212=0,"",[2]对账明细接口!$E$212),"")</f>
        <v>NO:0000932</v>
      </c>
      <c r="F212" s="16" t="str">
        <f>IFERROR(IF([2]对账明细接口!$F$212=0,"",[2]对账明细接口!$F$212),"")</f>
        <v>公司红周转筐</v>
      </c>
      <c r="G212" s="16">
        <f>IFERROR(IF([2]对账明细接口!$G$212=0,"",[2]对账明细接口!$G$212),"")</f>
      </c>
      <c r="H212" s="176">
        <f>IFERROR(IF([2]对账明细接口!$H$212=0,"",[2]对账明细接口!$H$212),"")</f>
        <v>960</v>
      </c>
      <c r="I212" s="16" t="str">
        <f>IFERROR(IF([2]对账明细接口!$I$212=0,"",[2]对账明细接口!$I$212),"")</f>
        <v>个</v>
      </c>
      <c r="J212" s="177">
        <f>IFERROR(IF([2]对账明细接口!$J$212=0,"",[2]对账明细接口!$J$212),"")</f>
      </c>
      <c r="K212" s="177">
        <f>IFERROR(IF([2]对账明细接口!$K$212=0,"",[2]对账明细接口!$K$212),"")</f>
        <v>9600</v>
      </c>
      <c r="L212" s="16" t="str">
        <f>IFERROR(IF([2]对账明细接口!$L$212=0,"",[2]对账明细接口!$L$212),"")</f>
        <v>未付款</v>
      </c>
      <c r="M212" s="16" t="str">
        <f>IFERROR(IF([2]对账明细接口!$M$212=0,"",[2]对账明细接口!$M$212),"")</f>
        <v>NO:0017249</v>
      </c>
      <c r="N212" s="19">
        <f>IF($C212="",0,1)</f>
        <v>1</v>
      </c>
      <c r="O212" s="19">
        <f>N(O211)+$N212</f>
        <v>209</v>
      </c>
      <c r="S212" s="20" t="str">
        <f>IFERROR(IF([2]对账明细接口!$N212=0,"",[2]对账明细接口!$N212),"")</f>
        <v>公司红周转筐</v>
      </c>
      <c r="T212" s="212">
        <f>IFERROR(IF([2]对账明细接口!$O212=0,"",[2]对账明细接口!$O212),"")</f>
      </c>
      <c r="U212" s="212">
        <f>IFERROR(IF([2]对账明细接口!$P212=0,"",[2]对账明细接口!$P212),"")</f>
      </c>
      <c r="V212" s="212">
        <f>IFERROR(IF([2]对账明细接口!$Q212=0,"",[2]对账明细接口!$Q212),"")</f>
        <v>960</v>
      </c>
      <c r="W212" s="20" t="str">
        <f>IFERROR(IF([2]对账明细接口!$R212=0,"",[2]对账明细接口!$R212),"")</f>
        <v>新F*75240</v>
      </c>
      <c r="X212" s="20" t="str">
        <f>IFERROR(IF([2]对账明细接口!$S212=0,"",[2]对账明细接口!$S212),"")</f>
        <v>公司筐</v>
      </c>
      <c r="Y212" s="20">
        <f>""</f>
      </c>
      <c r="Z212" s="20">
        <f>""</f>
      </c>
      <c r="AA212" s="20">
        <f>""</f>
      </c>
      <c r="AB212" s="20">
        <f>""</f>
      </c>
    </row>
    <row r="213" s="127">
      <c r="A213" s="14" t="n">
        <v>213</v>
      </c>
      <c r="B213" s="211">
        <f>IFERROR(IF([2]对账明细接口!$B$213=0,"",[2]对账明细接口!$B$213),"")</f>
        <v>46286.0</v>
      </c>
      <c r="C213" s="16" t="str">
        <f>IFERROR(IF([2]对账明细接口!$C$213=0,"",[2]对账明细接口!$C$213),"")</f>
        <v>全修塑业</v>
      </c>
      <c r="D213" s="16" t="str">
        <f>IFERROR(IF([2]对账明细接口!$D$213=0,"",[2]对账明细接口!$D$213),"")</f>
        <v>周转筐－采购入库</v>
      </c>
      <c r="E213" s="16" t="str">
        <f>IFERROR(IF([2]对账明细接口!$E$213=0,"",[2]对账明细接口!$E$213),"")</f>
        <v>NO:0000933</v>
      </c>
      <c r="F213" s="16" t="str">
        <f>IFERROR(IF([2]对账明细接口!$F$213=0,"",[2]对账明细接口!$F$213),"")</f>
        <v>公司红周转筐</v>
      </c>
      <c r="G213" s="16">
        <f>IFERROR(IF([2]对账明细接口!$G$213=0,"",[2]对账明细接口!$G$213),"")</f>
      </c>
      <c r="H213" s="176">
        <f>IFERROR(IF([2]对账明细接口!$H$213=0,"",[2]对账明细接口!$H$213),"")</f>
        <v>720</v>
      </c>
      <c r="I213" s="16" t="str">
        <f>IFERROR(IF([2]对账明细接口!$I$213=0,"",[2]对账明细接口!$I$213),"")</f>
        <v>个</v>
      </c>
      <c r="J213" s="177">
        <f>IFERROR(IF([2]对账明细接口!$J$213=0,"",[2]对账明细接口!$J$213),"")</f>
      </c>
      <c r="K213" s="177">
        <f>IFERROR(IF([2]对账明细接口!$K$213=0,"",[2]对账明细接口!$K$213),"")</f>
        <v>7200</v>
      </c>
      <c r="L213" s="16" t="str">
        <f>IFERROR(IF([2]对账明细接口!$L$213=0,"",[2]对账明细接口!$L$213),"")</f>
        <v>未付款</v>
      </c>
      <c r="M213" s="16" t="str">
        <f>IFERROR(IF([2]对账明细接口!$M$213=0,"",[2]对账明细接口!$M$213),"")</f>
        <v>NO:0017250</v>
      </c>
      <c r="N213" s="19">
        <f>IF($C213="",0,1)</f>
        <v>1</v>
      </c>
      <c r="O213" s="19">
        <f>N(O212)+$N213</f>
        <v>210</v>
      </c>
      <c r="S213" s="20" t="str">
        <f>IFERROR(IF([2]对账明细接口!$N213=0,"",[2]对账明细接口!$N213),"")</f>
        <v>公司红周转筐</v>
      </c>
      <c r="T213" s="212">
        <f>IFERROR(IF([2]对账明细接口!$O213=0,"",[2]对账明细接口!$O213),"")</f>
      </c>
      <c r="U213" s="212">
        <f>IFERROR(IF([2]对账明细接口!$P213=0,"",[2]对账明细接口!$P213),"")</f>
      </c>
      <c r="V213" s="212">
        <f>IFERROR(IF([2]对账明细接口!$Q213=0,"",[2]对账明细接口!$Q213),"")</f>
        <v>720</v>
      </c>
      <c r="W213" s="20" t="str">
        <f>IFERROR(IF([2]对账明细接口!$R213=0,"",[2]对账明细接口!$R213),"")</f>
        <v>豫A*2737K</v>
      </c>
      <c r="X213" s="20" t="str">
        <f>IFERROR(IF([2]对账明细接口!$S213=0,"",[2]对账明细接口!$S213),"")</f>
        <v>公司筐</v>
      </c>
      <c r="Y213" s="20">
        <f>""</f>
      </c>
      <c r="Z213" s="20">
        <f>""</f>
      </c>
      <c r="AA213" s="20">
        <f>""</f>
      </c>
      <c r="AB213" s="20">
        <f>""</f>
      </c>
    </row>
    <row r="214" s="127">
      <c r="A214" s="14" t="n">
        <v>214</v>
      </c>
      <c r="B214" s="211">
        <f>IFERROR(IF([2]对账明细接口!$B$214=0,"",[2]对账明细接口!$B$214),"")</f>
        <v>46286.0</v>
      </c>
      <c r="C214" s="16" t="str">
        <f>IFERROR(IF([2]对账明细接口!$C$214=0,"",[2]对账明细接口!$C$214),"")</f>
        <v>努尔敦</v>
      </c>
      <c r="D214" s="16" t="str">
        <f>IFERROR(IF([2]对账明细接口!$D$214=0,"",[2]对账明细接口!$D$214),"")</f>
        <v>周转筐－领用出库</v>
      </c>
      <c r="E214" s="16" t="str">
        <f>IFERROR(IF([2]对账明细接口!$E$214=0,"",[2]对账明细接口!$E$214),"")</f>
        <v>NO:0001207</v>
      </c>
      <c r="F214" s="16" t="str">
        <f>IFERROR(IF([2]对账明细接口!$F$214=0,"",[2]对账明细接口!$F$214),"")</f>
        <v>公司红周转筐</v>
      </c>
      <c r="G214" s="16">
        <f>IFERROR(IF([2]对账明细接口!$G$214=0,"",[2]对账明细接口!$G$214),"")</f>
      </c>
      <c r="H214" s="176">
        <f>IFERROR(IF([2]对账明细接口!$H$214=0,"",[2]对账明细接口!$H$214),"")</f>
        <v>960</v>
      </c>
      <c r="I214" s="16" t="str">
        <f>IFERROR(IF([2]对账明细接口!$I$214=0,"",[2]对账明细接口!$I$214),"")</f>
        <v>个</v>
      </c>
      <c r="J214" s="177">
        <f>IFERROR(IF([2]对账明细接口!$J$214=0,"",[2]对账明细接口!$J$214),"")</f>
      </c>
      <c r="K214" s="177">
        <f>IFERROR(IF([2]对账明细接口!$K$214=0,"",[2]对账明细接口!$K$214),"")</f>
      </c>
      <c r="L214" s="16">
        <f>IFERROR(IF([2]对账明细接口!$L$214=0,"",[2]对账明细接口!$L$214),"")</f>
      </c>
      <c r="M214" s="16">
        <f>IFERROR(IF([2]对账明细接口!$M$214=0,"",[2]对账明细接口!$M$214),"")</f>
      </c>
      <c r="N214" s="19">
        <f>IF($C214="",0,1)</f>
        <v>1</v>
      </c>
      <c r="O214" s="19">
        <f>N(O213)+$N214</f>
        <v>211</v>
      </c>
      <c r="S214" s="20" t="str">
        <f>IFERROR(IF([2]对账明细接口!$N214=0,"",[2]对账明细接口!$N214),"")</f>
        <v>公司红周转筐</v>
      </c>
      <c r="T214" s="212">
        <f>IFERROR(IF([2]对账明细接口!$O214=0,"",[2]对账明细接口!$O214),"")</f>
        <v>960</v>
      </c>
      <c r="U214" s="212">
        <f>IFERROR(IF([2]对账明细接口!$P214=0,"",[2]对账明细接口!$P214),"")</f>
      </c>
      <c r="V214" s="212">
        <f>IFERROR(IF([2]对账明细接口!$Q214=0,"",[2]对账明细接口!$Q214),"")</f>
      </c>
      <c r="W214" s="20" t="str">
        <f>IFERROR(IF([2]对账明细接口!$R214=0,"",[2]对账明细接口!$R214),"")</f>
        <v>新F*75240</v>
      </c>
      <c r="X214" s="20" t="str">
        <f>IFERROR(IF([2]对账明细接口!$S214=0,"",[2]对账明细接口!$S214),"")</f>
        <v>公司筐</v>
      </c>
      <c r="Y214" s="20">
        <f>""</f>
      </c>
      <c r="Z214" s="20">
        <f>""</f>
      </c>
      <c r="AA214" s="20">
        <f>""</f>
      </c>
      <c r="AB214" s="20">
        <f>""</f>
      </c>
    </row>
    <row r="215" s="127">
      <c r="A215" s="14" t="n">
        <v>215</v>
      </c>
      <c r="B215" s="211">
        <f>IFERROR(IF([2]对账明细接口!$B$215=0,"",[2]对账明细接口!$B$215),"")</f>
        <v>46286.0</v>
      </c>
      <c r="C215" s="16" t="str">
        <f>IFERROR(IF([2]对账明细接口!$C$215=0,"",[2]对账明细接口!$C$215),"")</f>
        <v>荆建君</v>
      </c>
      <c r="D215" s="16" t="str">
        <f>IFERROR(IF([2]对账明细接口!$D$215=0,"",[2]对账明细接口!$D$215),"")</f>
        <v>周转筐－领用出库</v>
      </c>
      <c r="E215" s="16" t="str">
        <f>IFERROR(IF([2]对账明细接口!$E$215=0,"",[2]对账明细接口!$E$215),"")</f>
        <v>NO:0001208</v>
      </c>
      <c r="F215" s="16" t="str">
        <f>IFERROR(IF([2]对账明细接口!$F$215=0,"",[2]对账明细接口!$F$215),"")</f>
        <v>公司红周转筐</v>
      </c>
      <c r="G215" s="16">
        <f>IFERROR(IF([2]对账明细接口!$G$215=0,"",[2]对账明细接口!$G$215),"")</f>
      </c>
      <c r="H215" s="176">
        <f>IFERROR(IF([2]对账明细接口!$H$215=0,"",[2]对账明细接口!$H$215),"")</f>
        <v>720</v>
      </c>
      <c r="I215" s="16" t="str">
        <f>IFERROR(IF([2]对账明细接口!$I$215=0,"",[2]对账明细接口!$I$215),"")</f>
        <v>个</v>
      </c>
      <c r="J215" s="177">
        <f>IFERROR(IF([2]对账明细接口!$J$215=0,"",[2]对账明细接口!$J$215),"")</f>
      </c>
      <c r="K215" s="177">
        <f>IFERROR(IF([2]对账明细接口!$K$215=0,"",[2]对账明细接口!$K$215),"")</f>
      </c>
      <c r="L215" s="16">
        <f>IFERROR(IF([2]对账明细接口!$L$215=0,"",[2]对账明细接口!$L$215),"")</f>
      </c>
      <c r="M215" s="16">
        <f>IFERROR(IF([2]对账明细接口!$M$215=0,"",[2]对账明细接口!$M$215),"")</f>
      </c>
      <c r="N215" s="19">
        <f>IF($C215="",0,1)</f>
        <v>1</v>
      </c>
      <c r="O215" s="19">
        <f>N(O214)+$N215</f>
        <v>212</v>
      </c>
      <c r="S215" s="20" t="str">
        <f>IFERROR(IF([2]对账明细接口!$N215=0,"",[2]对账明细接口!$N215),"")</f>
        <v>公司红周转筐</v>
      </c>
      <c r="T215" s="212">
        <f>IFERROR(IF([2]对账明细接口!$O215=0,"",[2]对账明细接口!$O215),"")</f>
        <v>720</v>
      </c>
      <c r="U215" s="212">
        <f>IFERROR(IF([2]对账明细接口!$P215=0,"",[2]对账明细接口!$P215),"")</f>
      </c>
      <c r="V215" s="212">
        <f>IFERROR(IF([2]对账明细接口!$Q215=0,"",[2]对账明细接口!$Q215),"")</f>
      </c>
      <c r="W215" s="20" t="str">
        <f>IFERROR(IF([2]对账明细接口!$R215=0,"",[2]对账明细接口!$R215),"")</f>
        <v>豫A*2737K</v>
      </c>
      <c r="X215" s="20" t="str">
        <f>IFERROR(IF([2]对账明细接口!$S215=0,"",[2]对账明细接口!$S215),"")</f>
        <v>公司筐</v>
      </c>
      <c r="Y215" s="20">
        <f>""</f>
      </c>
      <c r="Z215" s="20">
        <f>""</f>
      </c>
      <c r="AA215" s="20">
        <f>""</f>
      </c>
      <c r="AB215" s="20">
        <f>""</f>
      </c>
    </row>
    <row r="216" s="127">
      <c r="A216" s="14" t="n">
        <v>216</v>
      </c>
      <c r="B216" s="211">
        <f>IFERROR(IF([2]对账明细接口!$B$216=0,"",[2]对账明细接口!$B$216),"")</f>
        <v>46286.0</v>
      </c>
      <c r="C216" s="16" t="str">
        <f>IFERROR(IF([2]对账明细接口!$C$216=0,"",[2]对账明细接口!$C$216),"")</f>
        <v>全修塑业</v>
      </c>
      <c r="D216" s="16" t="str">
        <f>IFERROR(IF([2]对账明细接口!$D$216=0,"",[2]对账明细接口!$D$216),"")</f>
        <v>周转筐－采购入库</v>
      </c>
      <c r="E216" s="16" t="str">
        <f>IFERROR(IF([2]对账明细接口!$E$216=0,"",[2]对账明细接口!$E$216),"")</f>
        <v>NO:0000937</v>
      </c>
      <c r="F216" s="16" t="str">
        <f>IFERROR(IF([2]对账明细接口!$F$216=0,"",[2]对账明细接口!$F$216),"")</f>
        <v>公司红周转筐</v>
      </c>
      <c r="G216" s="16">
        <f>IFERROR(IF([2]对账明细接口!$G$216=0,"",[2]对账明细接口!$G$216),"")</f>
      </c>
      <c r="H216" s="176">
        <f>IFERROR(IF([2]对账明细接口!$H$216=0,"",[2]对账明细接口!$H$216),"")</f>
        <v>852</v>
      </c>
      <c r="I216" s="16" t="str">
        <f>IFERROR(IF([2]对账明细接口!$I$216=0,"",[2]对账明细接口!$I$216),"")</f>
        <v>个</v>
      </c>
      <c r="J216" s="177">
        <f>IFERROR(IF([2]对账明细接口!$J$216=0,"",[2]对账明细接口!$J$216),"")</f>
      </c>
      <c r="K216" s="177">
        <f>IFERROR(IF([2]对账明细接口!$K$216=0,"",[2]对账明细接口!$K$216),"")</f>
        <v>8520</v>
      </c>
      <c r="L216" s="16" t="str">
        <f>IFERROR(IF([2]对账明细接口!$L$216=0,"",[2]对账明细接口!$L$216),"")</f>
        <v>未付款</v>
      </c>
      <c r="M216" s="16" t="str">
        <f>IFERROR(IF([2]对账明细接口!$M$216=0,"",[2]对账明细接口!$M$216),"")</f>
        <v>NO:0005253</v>
      </c>
      <c r="N216" s="19">
        <f>IF($C216="",0,1)</f>
        <v>1</v>
      </c>
      <c r="O216" s="19">
        <f>N(O215)+$N216</f>
        <v>213</v>
      </c>
      <c r="S216" s="20" t="str">
        <f>IFERROR(IF([2]对账明细接口!$N216=0,"",[2]对账明细接口!$N216),"")</f>
        <v>公司红周转筐</v>
      </c>
      <c r="T216" s="212">
        <f>IFERROR(IF([2]对账明细接口!$O216=0,"",[2]对账明细接口!$O216),"")</f>
      </c>
      <c r="U216" s="212">
        <f>IFERROR(IF([2]对账明细接口!$P216=0,"",[2]对账明细接口!$P216),"")</f>
      </c>
      <c r="V216" s="212">
        <f>IFERROR(IF([2]对账明细接口!$Q216=0,"",[2]对账明细接口!$Q216),"")</f>
        <v>852</v>
      </c>
      <c r="W216" s="20" t="str">
        <f>IFERROR(IF([2]对账明细接口!$R216=0,"",[2]对账明细接口!$R216),"")</f>
        <v>新R*37010</v>
      </c>
      <c r="X216" s="20" t="str">
        <f>IFERROR(IF([2]对账明细接口!$S216=0,"",[2]对账明细接口!$S216),"")</f>
        <v>公司筐</v>
      </c>
      <c r="Y216" s="20">
        <f>""</f>
      </c>
      <c r="Z216" s="20">
        <f>""</f>
      </c>
      <c r="AA216" s="20">
        <f>""</f>
      </c>
      <c r="AB216" s="20">
        <f>""</f>
      </c>
    </row>
    <row r="217" s="127">
      <c r="A217" s="14" t="n">
        <v>217</v>
      </c>
      <c r="B217" s="211">
        <f>IFERROR(IF([2]对账明细接口!$B$217=0,"",[2]对账明细接口!$B$217),"")</f>
        <v>46286.0</v>
      </c>
      <c r="C217" s="16" t="str">
        <f>IFERROR(IF([2]对账明细接口!$C$217=0,"",[2]对账明细接口!$C$217),"")</f>
        <v>全修塑业</v>
      </c>
      <c r="D217" s="16" t="str">
        <f>IFERROR(IF([2]对账明细接口!$D$217=0,"",[2]对账明细接口!$D$217),"")</f>
        <v>周转筐－采购入库</v>
      </c>
      <c r="E217" s="16" t="str">
        <f>IFERROR(IF([2]对账明细接口!$E$217=0,"",[2]对账明细接口!$E$217),"")</f>
        <v>NO:0000938</v>
      </c>
      <c r="F217" s="16" t="str">
        <f>IFERROR(IF([2]对账明细接口!$F$217=0,"",[2]对账明细接口!$F$217),"")</f>
        <v>公司红周转筐</v>
      </c>
      <c r="G217" s="16">
        <f>IFERROR(IF([2]对账明细接口!$G$217=0,"",[2]对账明细接口!$G$217),"")</f>
      </c>
      <c r="H217" s="176">
        <f>IFERROR(IF([2]对账明细接口!$H$217=0,"",[2]对账明细接口!$H$217),"")</f>
        <v>960</v>
      </c>
      <c r="I217" s="16" t="str">
        <f>IFERROR(IF([2]对账明细接口!$I$217=0,"",[2]对账明细接口!$I$217),"")</f>
        <v>个</v>
      </c>
      <c r="J217" s="177">
        <f>IFERROR(IF([2]对账明细接口!$J$217=0,"",[2]对账明细接口!$J$217),"")</f>
      </c>
      <c r="K217" s="177">
        <f>IFERROR(IF([2]对账明细接口!$K$217=0,"",[2]对账明细接口!$K$217),"")</f>
        <v>9600</v>
      </c>
      <c r="L217" s="16" t="str">
        <f>IFERROR(IF([2]对账明细接口!$L$217=0,"",[2]对账明细接口!$L$217),"")</f>
        <v>未付款</v>
      </c>
      <c r="M217" s="16" t="str">
        <f>IFERROR(IF([2]对账明细接口!$M$217=0,"",[2]对账明细接口!$M$217),"")</f>
        <v>NO:0005254</v>
      </c>
      <c r="N217" s="19">
        <f>IF($C217="",0,1)</f>
        <v>1</v>
      </c>
      <c r="O217" s="19">
        <f>N(O216)+$N217</f>
        <v>214</v>
      </c>
      <c r="S217" s="20" t="str">
        <f>IFERROR(IF([2]对账明细接口!$N217=0,"",[2]对账明细接口!$N217),"")</f>
        <v>公司红周转筐</v>
      </c>
      <c r="T217" s="212">
        <f>IFERROR(IF([2]对账明细接口!$O217=0,"",[2]对账明细接口!$O217),"")</f>
      </c>
      <c r="U217" s="212">
        <f>IFERROR(IF([2]对账明细接口!$P217=0,"",[2]对账明细接口!$P217),"")</f>
      </c>
      <c r="V217" s="212">
        <f>IFERROR(IF([2]对账明细接口!$Q217=0,"",[2]对账明细接口!$Q217),"")</f>
        <v>960</v>
      </c>
      <c r="W217" s="20" t="str">
        <f>IFERROR(IF([2]对账明细接口!$R217=0,"",[2]对账明细接口!$R217),"")</f>
        <v>新N*49209</v>
      </c>
      <c r="X217" s="20" t="str">
        <f>IFERROR(IF([2]对账明细接口!$S217=0,"",[2]对账明细接口!$S217),"")</f>
        <v>公司筐</v>
      </c>
      <c r="Y217" s="20">
        <f>""</f>
      </c>
      <c r="Z217" s="20">
        <f>""</f>
      </c>
      <c r="AA217" s="20">
        <f>""</f>
      </c>
      <c r="AB217" s="20">
        <f>""</f>
      </c>
    </row>
    <row r="218" s="127">
      <c r="A218" s="14" t="n">
        <v>218</v>
      </c>
      <c r="B218" s="211">
        <f>IFERROR(IF([2]对账明细接口!$B$218=0,"",[2]对账明细接口!$B$218),"")</f>
        <v>46286.0</v>
      </c>
      <c r="C218" s="16" t="str">
        <f>IFERROR(IF([2]对账明细接口!$C$218=0,"",[2]对账明细接口!$C$218),"")</f>
        <v>热合曼</v>
      </c>
      <c r="D218" s="16" t="str">
        <f>IFERROR(IF([2]对账明细接口!$D$218=0,"",[2]对账明细接口!$D$218),"")</f>
        <v>周转筐－领用出库</v>
      </c>
      <c r="E218" s="16" t="str">
        <f>IFERROR(IF([2]对账明细接口!$E$218=0,"",[2]对账明细接口!$E$218),"")</f>
        <v>NO:0001209</v>
      </c>
      <c r="F218" s="16" t="str">
        <f>IFERROR(IF([2]对账明细接口!$F$218=0,"",[2]对账明细接口!$F$218),"")</f>
        <v>公司红周转筐</v>
      </c>
      <c r="G218" s="16">
        <f>IFERROR(IF([2]对账明细接口!$G$218=0,"",[2]对账明细接口!$G$218),"")</f>
      </c>
      <c r="H218" s="176">
        <f>IFERROR(IF([2]对账明细接口!$H$218=0,"",[2]对账明细接口!$H$218),"")</f>
        <v>852</v>
      </c>
      <c r="I218" s="16" t="str">
        <f>IFERROR(IF([2]对账明细接口!$I$218=0,"",[2]对账明细接口!$I$218),"")</f>
        <v>个</v>
      </c>
      <c r="J218" s="177">
        <f>IFERROR(IF([2]对账明细接口!$J$218=0,"",[2]对账明细接口!$J$218),"")</f>
      </c>
      <c r="K218" s="177">
        <f>IFERROR(IF([2]对账明细接口!$K$218=0,"",[2]对账明细接口!$K$218),"")</f>
      </c>
      <c r="L218" s="16">
        <f>IFERROR(IF([2]对账明细接口!$L$218=0,"",[2]对账明细接口!$L$218),"")</f>
      </c>
      <c r="M218" s="16">
        <f>IFERROR(IF([2]对账明细接口!$M$218=0,"",[2]对账明细接口!$M$218),"")</f>
      </c>
      <c r="N218" s="19">
        <f>IF($C218="",0,1)</f>
        <v>1</v>
      </c>
      <c r="O218" s="19">
        <f>N(O217)+$N218</f>
        <v>215</v>
      </c>
      <c r="S218" s="20" t="str">
        <f>IFERROR(IF([2]对账明细接口!$N218=0,"",[2]对账明细接口!$N218),"")</f>
        <v>公司红周转筐</v>
      </c>
      <c r="T218" s="212">
        <f>IFERROR(IF([2]对账明细接口!$O218=0,"",[2]对账明细接口!$O218),"")</f>
        <v>852</v>
      </c>
      <c r="U218" s="212">
        <f>IFERROR(IF([2]对账明细接口!$P218=0,"",[2]对账明细接口!$P218),"")</f>
      </c>
      <c r="V218" s="212">
        <f>IFERROR(IF([2]对账明细接口!$Q218=0,"",[2]对账明细接口!$Q218),"")</f>
      </c>
      <c r="W218" s="20" t="str">
        <f>IFERROR(IF([2]对账明细接口!$R218=0,"",[2]对账明细接口!$R218),"")</f>
        <v>新R*37010</v>
      </c>
      <c r="X218" s="20" t="str">
        <f>IFERROR(IF([2]对账明细接口!$S218=0,"",[2]对账明细接口!$S218),"")</f>
        <v>公司筐</v>
      </c>
      <c r="Y218" s="20">
        <f>""</f>
      </c>
      <c r="Z218" s="20">
        <f>""</f>
      </c>
      <c r="AA218" s="20">
        <f>""</f>
      </c>
      <c r="AB218" s="20">
        <f>""</f>
      </c>
    </row>
    <row r="219" s="127">
      <c r="A219" s="14" t="n">
        <v>219</v>
      </c>
      <c r="B219" s="211">
        <f>IFERROR(IF([2]对账明细接口!$B$219=0,"",[2]对账明细接口!$B$219),"")</f>
        <v>46286.0</v>
      </c>
      <c r="C219" s="16" t="str">
        <f>IFERROR(IF([2]对账明细接口!$C$219=0,"",[2]对账明细接口!$C$219),"")</f>
        <v>王灵云</v>
      </c>
      <c r="D219" s="16" t="str">
        <f>IFERROR(IF([2]对账明细接口!$D$219=0,"",[2]对账明细接口!$D$219),"")</f>
        <v>周转筐－领用出库</v>
      </c>
      <c r="E219" s="16" t="str">
        <f>IFERROR(IF([2]对账明细接口!$E$219=0,"",[2]对账明细接口!$E$219),"")</f>
        <v>NO:0001210</v>
      </c>
      <c r="F219" s="16" t="str">
        <f>IFERROR(IF([2]对账明细接口!$F$219=0,"",[2]对账明细接口!$F$219),"")</f>
        <v>公司红周转筐</v>
      </c>
      <c r="G219" s="16">
        <f>IFERROR(IF([2]对账明细接口!$G$219=0,"",[2]对账明细接口!$G$219),"")</f>
      </c>
      <c r="H219" s="176">
        <f>IFERROR(IF([2]对账明细接口!$H$219=0,"",[2]对账明细接口!$H$219),"")</f>
        <v>960</v>
      </c>
      <c r="I219" s="16" t="str">
        <f>IFERROR(IF([2]对账明细接口!$I$219=0,"",[2]对账明细接口!$I$219),"")</f>
        <v>个</v>
      </c>
      <c r="J219" s="177">
        <f>IFERROR(IF([2]对账明细接口!$J$219=0,"",[2]对账明细接口!$J$219),"")</f>
      </c>
      <c r="K219" s="177">
        <f>IFERROR(IF([2]对账明细接口!$K$219=0,"",[2]对账明细接口!$K$219),"")</f>
      </c>
      <c r="L219" s="16">
        <f>IFERROR(IF([2]对账明细接口!$L$219=0,"",[2]对账明细接口!$L$219),"")</f>
      </c>
      <c r="M219" s="16">
        <f>IFERROR(IF([2]对账明细接口!$M$219=0,"",[2]对账明细接口!$M$219),"")</f>
      </c>
      <c r="N219" s="19">
        <f>IF($C219="",0,1)</f>
        <v>1</v>
      </c>
      <c r="O219" s="19">
        <f>N(O218)+$N219</f>
        <v>216</v>
      </c>
      <c r="S219" s="20" t="str">
        <f>IFERROR(IF([2]对账明细接口!$N219=0,"",[2]对账明细接口!$N219),"")</f>
        <v>公司红周转筐</v>
      </c>
      <c r="T219" s="212">
        <f>IFERROR(IF([2]对账明细接口!$O219=0,"",[2]对账明细接口!$O219),"")</f>
        <v>960</v>
      </c>
      <c r="U219" s="212">
        <f>IFERROR(IF([2]对账明细接口!$P219=0,"",[2]对账明细接口!$P219),"")</f>
      </c>
      <c r="V219" s="212">
        <f>IFERROR(IF([2]对账明细接口!$Q219=0,"",[2]对账明细接口!$Q219),"")</f>
      </c>
      <c r="W219" s="20" t="str">
        <f>IFERROR(IF([2]对账明细接口!$R219=0,"",[2]对账明细接口!$R219),"")</f>
        <v>新N*49209</v>
      </c>
      <c r="X219" s="20" t="str">
        <f>IFERROR(IF([2]对账明细接口!$S219=0,"",[2]对账明细接口!$S219),"")</f>
        <v>公司筐</v>
      </c>
      <c r="Y219" s="20">
        <f>""</f>
      </c>
      <c r="Z219" s="20">
        <f>""</f>
      </c>
      <c r="AA219" s="20">
        <f>""</f>
      </c>
      <c r="AB219" s="20">
        <f>""</f>
      </c>
    </row>
    <row r="220" s="127">
      <c r="A220" s="14" t="n">
        <v>220</v>
      </c>
      <c r="B220" s="211">
        <f>IFERROR(IF([2]对账明细接口!$B$220=0,"",[2]对账明细接口!$B$220),"")</f>
        <v>46287.0</v>
      </c>
      <c r="C220" s="16" t="str">
        <f>IFERROR(IF([2]对账明细接口!$C$220=0,"",[2]对账明细接口!$C$220),"")</f>
        <v>艾海提</v>
      </c>
      <c r="D220" s="16" t="str">
        <f>IFERROR(IF([2]对账明细接口!$D$220=0,"",[2]对账明细接口!$D$220),"")</f>
        <v>周转筐－领用出库</v>
      </c>
      <c r="E220" s="16" t="str">
        <f>IFERROR(IF([2]对账明细接口!$E$220=0,"",[2]对账明细接口!$E$220),"")</f>
        <v>NO:0001215</v>
      </c>
      <c r="F220" s="16" t="str">
        <f>IFERROR(IF([2]对账明细接口!$F$220=0,"",[2]对账明细接口!$F$220),"")</f>
        <v>公司红周转筐</v>
      </c>
      <c r="G220" s="16">
        <f>IFERROR(IF([2]对账明细接口!$G$220=0,"",[2]对账明细接口!$G$220),"")</f>
      </c>
      <c r="H220" s="176">
        <f>IFERROR(IF([2]对账明细接口!$H$220=0,"",[2]对账明细接口!$H$220),"")</f>
        <v>321</v>
      </c>
      <c r="I220" s="16" t="str">
        <f>IFERROR(IF([2]对账明细接口!$I$220=0,"",[2]对账明细接口!$I$220),"")</f>
        <v>个</v>
      </c>
      <c r="J220" s="177">
        <f>IFERROR(IF([2]对账明细接口!$J$220=0,"",[2]对账明细接口!$J$220),"")</f>
      </c>
      <c r="K220" s="177">
        <f>IFERROR(IF([2]对账明细接口!$K$220=0,"",[2]对账明细接口!$K$220),"")</f>
      </c>
      <c r="L220" s="16">
        <f>IFERROR(IF([2]对账明细接口!$L$220=0,"",[2]对账明细接口!$L$220),"")</f>
      </c>
      <c r="M220" s="16">
        <f>IFERROR(IF([2]对账明细接口!$M$220=0,"",[2]对账明细接口!$M$220),"")</f>
      </c>
      <c r="N220" s="19">
        <f>IF($C220="",0,1)</f>
        <v>1</v>
      </c>
      <c r="O220" s="19">
        <f>N(O219)+$N220</f>
        <v>217</v>
      </c>
      <c r="S220" s="20" t="str">
        <f>IFERROR(IF([2]对账明细接口!$N220=0,"",[2]对账明细接口!$N220),"")</f>
        <v>公司红周转筐</v>
      </c>
      <c r="T220" s="212">
        <f>IFERROR(IF([2]对账明细接口!$O220=0,"",[2]对账明细接口!$O220),"")</f>
        <v>321</v>
      </c>
      <c r="U220" s="212">
        <f>IFERROR(IF([2]对账明细接口!$P220=0,"",[2]对账明细接口!$P220),"")</f>
      </c>
      <c r="V220" s="212">
        <f>IFERROR(IF([2]对账明细接口!$Q220=0,"",[2]对账明细接口!$Q220),"")</f>
      </c>
      <c r="W220" s="20" t="str">
        <f>IFERROR(IF([2]对账明细接口!$R220=0,"",[2]对账明细接口!$R220),"")</f>
        <v>新N*WX586</v>
      </c>
      <c r="X220" s="20" t="str">
        <f>IFERROR(IF([2]对账明细接口!$S220=0,"",[2]对账明细接口!$S220),"")</f>
        <v>公司筐</v>
      </c>
      <c r="Y220" s="20">
        <f>""</f>
      </c>
      <c r="Z220" s="20">
        <f>""</f>
      </c>
      <c r="AA220" s="20">
        <f>""</f>
      </c>
      <c r="AB220" s="20">
        <f>""</f>
      </c>
    </row>
    <row r="221" s="127">
      <c r="A221" s="14" t="n">
        <v>221</v>
      </c>
      <c r="B221" s="211">
        <f>IFERROR(IF([2]对账明细接口!$B$221=0,"",[2]对账明细接口!$B$221),"")</f>
        <v>46287.0</v>
      </c>
      <c r="C221" s="16" t="str">
        <f>IFERROR(IF([2]对账明细接口!$C$221=0,"",[2]对账明细接口!$C$221),"")</f>
        <v>王浩</v>
      </c>
      <c r="D221" s="16" t="str">
        <f>IFERROR(IF([2]对账明细接口!$D$221=0,"",[2]对账明细接口!$D$221),"")</f>
        <v>周转筐－退回入库</v>
      </c>
      <c r="E221" s="16" t="str">
        <f>IFERROR(IF([2]对账明细接口!$E$221=0,"",[2]对账明细接口!$E$221),"")</f>
        <v>NO:0000950</v>
      </c>
      <c r="F221" s="16" t="str">
        <f>IFERROR(IF([2]对账明细接口!$F$221=0,"",[2]对账明细接口!$F$221),"")</f>
        <v>公司一次性筐</v>
      </c>
      <c r="G221" s="16">
        <f>IFERROR(IF([2]对账明细接口!$G$221=0,"",[2]对账明细接口!$G$221),"")</f>
      </c>
      <c r="H221" s="176">
        <f>IFERROR(IF([2]对账明细接口!$H$221=0,"",[2]对账明细接口!$H$221),"")</f>
        <v>24</v>
      </c>
      <c r="I221" s="16" t="str">
        <f>IFERROR(IF([2]对账明细接口!$I$221=0,"",[2]对账明细接口!$I$221),"")</f>
        <v>个</v>
      </c>
      <c r="J221" s="177">
        <f>IFERROR(IF([2]对账明细接口!$J$221=0,"",[2]对账明细接口!$J$221),"")</f>
      </c>
      <c r="K221" s="177">
        <f>IFERROR(IF([2]对账明细接口!$K$221=0,"",[2]对账明细接口!$K$221),"")</f>
      </c>
      <c r="L221" s="16">
        <f>IFERROR(IF([2]对账明细接口!$L$221=0,"",[2]对账明细接口!$L$221),"")</f>
      </c>
      <c r="M221" s="16" t="str">
        <f>IFERROR(IF([2]对账明细接口!$M$221=0,"",[2]对账明细接口!$M$221),"")</f>
        <v>坏筐退回</v>
      </c>
      <c r="N221" s="19">
        <f>IF($C221="",0,1)</f>
        <v>1</v>
      </c>
      <c r="O221" s="19">
        <f>N(O220)+$N221</f>
        <v>218</v>
      </c>
      <c r="S221" s="20" t="str">
        <f>IFERROR(IF([2]对账明细接口!$N221=0,"",[2]对账明细接口!$N221),"")</f>
        <v>公司一次性筐</v>
      </c>
      <c r="T221" s="212">
        <f>IFERROR(IF([2]对账明细接口!$O221=0,"",[2]对账明细接口!$O221),"")</f>
      </c>
      <c r="U221" s="212">
        <f>IFERROR(IF([2]对账明细接口!$P221=0,"",[2]对账明细接口!$P221),"")</f>
        <v>24</v>
      </c>
      <c r="V221" s="212">
        <f>IFERROR(IF([2]对账明细接口!$Q221=0,"",[2]对账明细接口!$Q221),"")</f>
      </c>
      <c r="W221" s="20" t="str">
        <f>IFERROR(IF([2]对账明细接口!$R221=0,"",[2]对账明细接口!$R221),"")</f>
        <v>新A*G1620</v>
      </c>
      <c r="X221" s="20" t="str">
        <f>IFERROR(IF([2]对账明细接口!$S221=0,"",[2]对账明细接口!$S221),"")</f>
        <v>公司筐</v>
      </c>
      <c r="Y221" s="20">
        <f>""</f>
      </c>
      <c r="Z221" s="20">
        <f>""</f>
      </c>
      <c r="AA221" s="20">
        <f>""</f>
      </c>
      <c r="AB221" s="20">
        <f>""</f>
      </c>
    </row>
    <row r="222" s="127">
      <c r="A222" s="14" t="n">
        <v>222</v>
      </c>
      <c r="B222" s="211">
        <f>IFERROR(IF([2]对账明细接口!$B$222=0,"",[2]对账明细接口!$B$222),"")</f>
        <v>46287.0</v>
      </c>
      <c r="C222" s="16" t="str">
        <f>IFERROR(IF([2]对账明细接口!$C$222=0,"",[2]对账明细接口!$C$222),"")</f>
        <v>全修塑业</v>
      </c>
      <c r="D222" s="16" t="str">
        <f>IFERROR(IF([2]对账明细接口!$D$222=0,"",[2]对账明细接口!$D$222),"")</f>
        <v>周转筐－采购入库</v>
      </c>
      <c r="E222" s="16" t="str">
        <f>IFERROR(IF([2]对账明细接口!$E$222=0,"",[2]对账明细接口!$E$222),"")</f>
        <v>NO:0000951</v>
      </c>
      <c r="F222" s="16" t="str">
        <f>IFERROR(IF([2]对账明细接口!$F$222=0,"",[2]对账明细接口!$F$222),"")</f>
        <v>公司红周转筐</v>
      </c>
      <c r="G222" s="16">
        <f>IFERROR(IF([2]对账明细接口!$G$222=0,"",[2]对账明细接口!$G$222),"")</f>
      </c>
      <c r="H222" s="176">
        <f>IFERROR(IF([2]对账明细接口!$H$222=0,"",[2]对账明细接口!$H$222),"")</f>
        <v>960</v>
      </c>
      <c r="I222" s="16" t="str">
        <f>IFERROR(IF([2]对账明细接口!$I$222=0,"",[2]对账明细接口!$I$222),"")</f>
        <v>个</v>
      </c>
      <c r="J222" s="177">
        <f>IFERROR(IF([2]对账明细接口!$J$222=0,"",[2]对账明细接口!$J$222),"")</f>
      </c>
      <c r="K222" s="177">
        <f>IFERROR(IF([2]对账明细接口!$K$222=0,"",[2]对账明细接口!$K$222),"")</f>
        <v>9600</v>
      </c>
      <c r="L222" s="16" t="str">
        <f>IFERROR(IF([2]对账明细接口!$L$222=0,"",[2]对账明细接口!$L$222),"")</f>
        <v>未付款</v>
      </c>
      <c r="M222" s="16" t="str">
        <f>IFERROR(IF([2]对账明细接口!$M$222=0,"",[2]对账明细接口!$M$222),"")</f>
        <v>NO:0005255</v>
      </c>
      <c r="N222" s="19">
        <f>IF($C222="",0,1)</f>
        <v>1</v>
      </c>
      <c r="O222" s="19">
        <f>N(O221)+$N222</f>
        <v>219</v>
      </c>
      <c r="S222" s="20" t="str">
        <f>IFERROR(IF([2]对账明细接口!$N222=0,"",[2]对账明细接口!$N222),"")</f>
        <v>公司红周转筐</v>
      </c>
      <c r="T222" s="212">
        <f>IFERROR(IF([2]对账明细接口!$O222=0,"",[2]对账明细接口!$O222),"")</f>
      </c>
      <c r="U222" s="212">
        <f>IFERROR(IF([2]对账明细接口!$P222=0,"",[2]对账明细接口!$P222),"")</f>
      </c>
      <c r="V222" s="212">
        <f>IFERROR(IF([2]对账明细接口!$Q222=0,"",[2]对账明细接口!$Q222),"")</f>
        <v>960</v>
      </c>
      <c r="W222" s="20" t="str">
        <f>IFERROR(IF([2]对账明细接口!$R222=0,"",[2]对账明细接口!$R222),"")</f>
        <v>新N*49209</v>
      </c>
      <c r="X222" s="20" t="str">
        <f>IFERROR(IF([2]对账明细接口!$S222=0,"",[2]对账明细接口!$S222),"")</f>
        <v>公司筐</v>
      </c>
      <c r="Y222" s="20">
        <f>""</f>
      </c>
      <c r="Z222" s="20">
        <f>""</f>
      </c>
      <c r="AA222" s="20">
        <f>""</f>
      </c>
      <c r="AB222" s="20">
        <f>""</f>
      </c>
    </row>
    <row r="223" s="127">
      <c r="A223" s="14" t="n">
        <v>223</v>
      </c>
      <c r="B223" s="211">
        <f>IFERROR(IF([2]对账明细接口!$B$223=0,"",[2]对账明细接口!$B$223),"")</f>
        <v>46287.0</v>
      </c>
      <c r="C223" s="16" t="str">
        <f>IFERROR(IF([2]对账明细接口!$C$223=0,"",[2]对账明细接口!$C$223),"")</f>
        <v>王灵云</v>
      </c>
      <c r="D223" s="16" t="str">
        <f>IFERROR(IF([2]对账明细接口!$D$223=0,"",[2]对账明细接口!$D$223),"")</f>
        <v>周转筐－领用出库</v>
      </c>
      <c r="E223" s="16" t="str">
        <f>IFERROR(IF([2]对账明细接口!$E$223=0,"",[2]对账明细接口!$E$223),"")</f>
        <v>NO:0001217</v>
      </c>
      <c r="F223" s="16" t="str">
        <f>IFERROR(IF([2]对账明细接口!$F$223=0,"",[2]对账明细接口!$F$223),"")</f>
        <v>公司红周转筐</v>
      </c>
      <c r="G223" s="16">
        <f>IFERROR(IF([2]对账明细接口!$G$223=0,"",[2]对账明细接口!$G$223),"")</f>
      </c>
      <c r="H223" s="176">
        <f>IFERROR(IF([2]对账明细接口!$H$223=0,"",[2]对账明细接口!$H$223),"")</f>
        <v>960</v>
      </c>
      <c r="I223" s="16" t="str">
        <f>IFERROR(IF([2]对账明细接口!$I$223=0,"",[2]对账明细接口!$I$223),"")</f>
        <v>个</v>
      </c>
      <c r="J223" s="177">
        <f>IFERROR(IF([2]对账明细接口!$J$223=0,"",[2]对账明细接口!$J$223),"")</f>
      </c>
      <c r="K223" s="177">
        <f>IFERROR(IF([2]对账明细接口!$K$223=0,"",[2]对账明细接口!$K$223),"")</f>
      </c>
      <c r="L223" s="16">
        <f>IFERROR(IF([2]对账明细接口!$L$223=0,"",[2]对账明细接口!$L$223),"")</f>
      </c>
      <c r="M223" s="16">
        <f>IFERROR(IF([2]对账明细接口!$M$223=0,"",[2]对账明细接口!$M$223),"")</f>
      </c>
      <c r="N223" s="19">
        <f>IF($C223="",0,1)</f>
        <v>1</v>
      </c>
      <c r="O223" s="19">
        <f>N(O222)+$N223</f>
        <v>220</v>
      </c>
      <c r="S223" s="20" t="str">
        <f>IFERROR(IF([2]对账明细接口!$N223=0,"",[2]对账明细接口!$N223),"")</f>
        <v>公司红周转筐</v>
      </c>
      <c r="T223" s="212">
        <f>IFERROR(IF([2]对账明细接口!$O223=0,"",[2]对账明细接口!$O223),"")</f>
        <v>960</v>
      </c>
      <c r="U223" s="212">
        <f>IFERROR(IF([2]对账明细接口!$P223=0,"",[2]对账明细接口!$P223),"")</f>
      </c>
      <c r="V223" s="212">
        <f>IFERROR(IF([2]对账明细接口!$Q223=0,"",[2]对账明细接口!$Q223),"")</f>
      </c>
      <c r="W223" s="20" t="str">
        <f>IFERROR(IF([2]对账明细接口!$R223=0,"",[2]对账明细接口!$R223),"")</f>
        <v>新N*49209</v>
      </c>
      <c r="X223" s="20" t="str">
        <f>IFERROR(IF([2]对账明细接口!$S223=0,"",[2]对账明细接口!$S223),"")</f>
        <v>公司筐</v>
      </c>
      <c r="Y223" s="20">
        <f>""</f>
      </c>
      <c r="Z223" s="20">
        <f>""</f>
      </c>
      <c r="AA223" s="20">
        <f>""</f>
      </c>
      <c r="AB223" s="20">
        <f>""</f>
      </c>
    </row>
    <row r="224" s="127">
      <c r="A224" s="14" t="n">
        <v>224</v>
      </c>
      <c r="B224" s="211">
        <f>IFERROR(IF([2]对账明细接口!$B$224=0,"",[2]对账明细接口!$B$224),"")</f>
        <v>46287.0</v>
      </c>
      <c r="C224" s="16" t="str">
        <f>IFERROR(IF([2]对账明细接口!$C$224=0,"",[2]对账明细接口!$C$224),"")</f>
        <v>王照雪</v>
      </c>
      <c r="D224" s="16" t="str">
        <f>IFERROR(IF([2]对账明细接口!$D$224=0,"",[2]对账明细接口!$D$224),"")</f>
        <v>周转筐－退回入库</v>
      </c>
      <c r="E224" s="16" t="str">
        <f>IFERROR(IF([2]对账明细接口!$E$224=0,"",[2]对账明细接口!$E$224),"")</f>
        <v>NO:0000952</v>
      </c>
      <c r="F224" s="16" t="str">
        <f>IFERROR(IF([2]对账明细接口!$F$224=0,"",[2]对账明细接口!$F$224),"")</f>
        <v>公司一次性筐</v>
      </c>
      <c r="G224" s="16">
        <f>IFERROR(IF([2]对账明细接口!$G$224=0,"",[2]对账明细接口!$G$224),"")</f>
      </c>
      <c r="H224" s="176">
        <f>IFERROR(IF([2]对账明细接口!$H$224=0,"",[2]对账明细接口!$H$224),"")</f>
        <v>363</v>
      </c>
      <c r="I224" s="16" t="str">
        <f>IFERROR(IF([2]对账明细接口!$I$224=0,"",[2]对账明细接口!$I$224),"")</f>
        <v>个</v>
      </c>
      <c r="J224" s="177">
        <f>IFERROR(IF([2]对账明细接口!$J$224=0,"",[2]对账明细接口!$J$224),"")</f>
      </c>
      <c r="K224" s="177">
        <f>IFERROR(IF([2]对账明细接口!$K$224=0,"",[2]对账明细接口!$K$224),"")</f>
      </c>
      <c r="L224" s="16">
        <f>IFERROR(IF([2]对账明细接口!$L$224=0,"",[2]对账明细接口!$L$224),"")</f>
      </c>
      <c r="M224" s="16" t="str">
        <f>IFERROR(IF([2]对账明细接口!$M$224=0,"",[2]对账明细接口!$M$224),"")</f>
        <v>坏筐退回15</v>
      </c>
      <c r="N224" s="19">
        <f>IF($C224="",0,1)</f>
        <v>1</v>
      </c>
      <c r="O224" s="19">
        <f>N(O223)+$N224</f>
        <v>221</v>
      </c>
      <c r="S224" s="20" t="str">
        <f>IFERROR(IF([2]对账明细接口!$N224=0,"",[2]对账明细接口!$N224),"")</f>
        <v>公司一次性筐</v>
      </c>
      <c r="T224" s="212">
        <f>IFERROR(IF([2]对账明细接口!$O224=0,"",[2]对账明细接口!$O224),"")</f>
      </c>
      <c r="U224" s="212">
        <f>IFERROR(IF([2]对账明细接口!$P224=0,"",[2]对账明细接口!$P224),"")</f>
        <v>363</v>
      </c>
      <c r="V224" s="212">
        <f>IFERROR(IF([2]对账明细接口!$Q224=0,"",[2]对账明细接口!$Q224),"")</f>
      </c>
      <c r="W224" s="20" t="str">
        <f>IFERROR(IF([2]对账明细接口!$R224=0,"",[2]对账明细接口!$R224),"")</f>
        <v>豫L*88X19</v>
      </c>
      <c r="X224" s="20" t="str">
        <f>IFERROR(IF([2]对账明细接口!$S224=0,"",[2]对账明细接口!$S224),"")</f>
        <v>公司筐</v>
      </c>
      <c r="Y224" s="20">
        <f>""</f>
      </c>
      <c r="Z224" s="20">
        <f>""</f>
      </c>
      <c r="AA224" s="20">
        <f>""</f>
      </c>
      <c r="AB224" s="20">
        <f>""</f>
      </c>
    </row>
    <row r="225" s="127">
      <c r="A225" s="14" t="n">
        <v>225</v>
      </c>
      <c r="B225" s="211">
        <f>IFERROR(IF([2]对账明细接口!$B$225=0,"",[2]对账明细接口!$B$225),"")</f>
        <v>46287.0</v>
      </c>
      <c r="C225" s="16" t="str">
        <f>IFERROR(IF([2]对账明细接口!$C$225=0,"",[2]对账明细接口!$C$225),"")</f>
        <v>王照雪</v>
      </c>
      <c r="D225" s="16" t="str">
        <f>IFERROR(IF([2]对账明细接口!$D$225=0,"",[2]对账明细接口!$D$225),"")</f>
        <v>周转筐－领用出库</v>
      </c>
      <c r="E225" s="16" t="str">
        <f>IFERROR(IF([2]对账明细接口!$E$225=0,"",[2]对账明细接口!$E$225),"")</f>
        <v>NO:0001219</v>
      </c>
      <c r="F225" s="16" t="str">
        <f>IFERROR(IF([2]对账明细接口!$F$225=0,"",[2]对账明细接口!$F$225),"")</f>
        <v>公司杂周转筐</v>
      </c>
      <c r="G225" s="16">
        <f>IFERROR(IF([2]对账明细接口!$G$225=0,"",[2]对账明细接口!$G$225),"")</f>
      </c>
      <c r="H225" s="176">
        <f>IFERROR(IF([2]对账明细接口!$H$225=0,"",[2]对账明细接口!$H$225),"")</f>
        <v>423</v>
      </c>
      <c r="I225" s="16" t="str">
        <f>IFERROR(IF([2]对账明细接口!$I$225=0,"",[2]对账明细接口!$I$225),"")</f>
        <v>个</v>
      </c>
      <c r="J225" s="177">
        <f>IFERROR(IF([2]对账明细接口!$J$225=0,"",[2]对账明细接口!$J$225),"")</f>
      </c>
      <c r="K225" s="177">
        <f>IFERROR(IF([2]对账明细接口!$K$225=0,"",[2]对账明细接口!$K$225),"")</f>
      </c>
      <c r="L225" s="16">
        <f>IFERROR(IF([2]对账明细接口!$L$225=0,"",[2]对账明细接口!$L$225),"")</f>
      </c>
      <c r="M225" s="16">
        <f>IFERROR(IF([2]对账明细接口!$M$225=0,"",[2]对账明细接口!$M$225),"")</f>
      </c>
      <c r="N225" s="19">
        <f>IF($C225="",0,1)</f>
        <v>1</v>
      </c>
      <c r="O225" s="19">
        <f>N(O224)+$N225</f>
        <v>222</v>
      </c>
      <c r="S225" s="20" t="str">
        <f>IFERROR(IF([2]对账明细接口!$N225=0,"",[2]对账明细接口!$N225),"")</f>
        <v>公司杂周转筐</v>
      </c>
      <c r="T225" s="212">
        <f>IFERROR(IF([2]对账明细接口!$O225=0,"",[2]对账明细接口!$O225),"")</f>
        <v>423</v>
      </c>
      <c r="U225" s="212">
        <f>IFERROR(IF([2]对账明细接口!$P225=0,"",[2]对账明细接口!$P225),"")</f>
      </c>
      <c r="V225" s="212">
        <f>IFERROR(IF([2]对账明细接口!$Q225=0,"",[2]对账明细接口!$Q225),"")</f>
      </c>
      <c r="W225" s="20" t="str">
        <f>IFERROR(IF([2]对账明细接口!$R225=0,"",[2]对账明细接口!$R225),"")</f>
        <v>豫L*88X19</v>
      </c>
      <c r="X225" s="20" t="str">
        <f>IFERROR(IF([2]对账明细接口!$S225=0,"",[2]对账明细接口!$S225),"")</f>
        <v>公司筐</v>
      </c>
      <c r="Y225" s="20">
        <f>""</f>
      </c>
      <c r="Z225" s="20">
        <f>""</f>
      </c>
      <c r="AA225" s="20">
        <f>""</f>
      </c>
      <c r="AB225" s="20">
        <f>""</f>
      </c>
    </row>
    <row r="226" s="127">
      <c r="A226" s="14" t="n">
        <v>226</v>
      </c>
      <c r="B226" s="211">
        <f>IFERROR(IF([2]对账明细接口!$B$226=0,"",[2]对账明细接口!$B$226),"")</f>
        <v>46288.0</v>
      </c>
      <c r="C226" s="16" t="str">
        <f>IFERROR(IF([2]对账明细接口!$C$226=0,"",[2]对账明细接口!$C$226),"")</f>
        <v>热合曼</v>
      </c>
      <c r="D226" s="16" t="str">
        <f>IFERROR(IF([2]对账明细接口!$D$226=0,"",[2]对账明细接口!$D$226),"")</f>
        <v>周转筐－领用出库</v>
      </c>
      <c r="E226" s="16" t="str">
        <f>IFERROR(IF([2]对账明细接口!$E$226=0,"",[2]对账明细接口!$E$226),"")</f>
        <v>NO:0001222</v>
      </c>
      <c r="F226" s="16" t="str">
        <f>IFERROR(IF([2]对账明细接口!$F$226=0,"",[2]对账明细接口!$F$226),"")</f>
        <v>公司红周转筐</v>
      </c>
      <c r="G226" s="16">
        <f>IFERROR(IF([2]对账明细接口!$G$226=0,"",[2]对账明细接口!$G$226),"")</f>
      </c>
      <c r="H226" s="176">
        <f>IFERROR(IF([2]对账明细接口!$H$226=0,"",[2]对账明细接口!$H$226),"")</f>
        <v>864</v>
      </c>
      <c r="I226" s="16" t="str">
        <f>IFERROR(IF([2]对账明细接口!$I$226=0,"",[2]对账明细接口!$I$226),"")</f>
        <v>个</v>
      </c>
      <c r="J226" s="177">
        <f>IFERROR(IF([2]对账明细接口!$J$226=0,"",[2]对账明细接口!$J$226),"")</f>
      </c>
      <c r="K226" s="177">
        <f>IFERROR(IF([2]对账明细接口!$K$226=0,"",[2]对账明细接口!$K$226),"")</f>
      </c>
      <c r="L226" s="16">
        <f>IFERROR(IF([2]对账明细接口!$L$226=0,"",[2]对账明细接口!$L$226),"")</f>
      </c>
      <c r="M226" s="16">
        <f>IFERROR(IF([2]对账明细接口!$M$226=0,"",[2]对账明细接口!$M$226),"")</f>
      </c>
      <c r="N226" s="19">
        <f>IF($C226="",0,1)</f>
        <v>1</v>
      </c>
      <c r="O226" s="19">
        <f>N(O225)+$N226</f>
        <v>223</v>
      </c>
      <c r="S226" s="20" t="str">
        <f>IFERROR(IF([2]对账明细接口!$N226=0,"",[2]对账明细接口!$N226),"")</f>
        <v>公司红周转筐</v>
      </c>
      <c r="T226" s="212">
        <f>IFERROR(IF([2]对账明细接口!$O226=0,"",[2]对账明细接口!$O226),"")</f>
        <v>864</v>
      </c>
      <c r="U226" s="212">
        <f>IFERROR(IF([2]对账明细接口!$P226=0,"",[2]对账明细接口!$P226),"")</f>
      </c>
      <c r="V226" s="212">
        <f>IFERROR(IF([2]对账明细接口!$Q226=0,"",[2]对账明细接口!$Q226),"")</f>
      </c>
      <c r="W226" s="20" t="str">
        <f>IFERROR(IF([2]对账明细接口!$R226=0,"",[2]对账明细接口!$R226),"")</f>
        <v>新R*37010</v>
      </c>
      <c r="X226" s="20" t="str">
        <f>IFERROR(IF([2]对账明细接口!$S226=0,"",[2]对账明细接口!$S226),"")</f>
        <v>公司筐</v>
      </c>
      <c r="Y226" s="20">
        <f>""</f>
      </c>
      <c r="Z226" s="20">
        <f>""</f>
      </c>
      <c r="AA226" s="20">
        <f>""</f>
      </c>
      <c r="AB226" s="20">
        <f>""</f>
      </c>
    </row>
    <row r="227" s="127">
      <c r="A227" s="14" t="n">
        <v>227</v>
      </c>
      <c r="B227" s="211">
        <f>IFERROR(IF([2]对账明细接口!$B$227=0,"",[2]对账明细接口!$B$227),"")</f>
        <v>46288.0</v>
      </c>
      <c r="C227" s="16" t="str">
        <f>IFERROR(IF([2]对账明细接口!$C$227=0,"",[2]对账明细接口!$C$227),"")</f>
        <v>荆建君</v>
      </c>
      <c r="D227" s="16" t="str">
        <f>IFERROR(IF([2]对账明细接口!$D$227=0,"",[2]对账明细接口!$D$227),"")</f>
        <v>周转筐－领用出库</v>
      </c>
      <c r="E227" s="16" t="str">
        <f>IFERROR(IF([2]对账明细接口!$E$227=0,"",[2]对账明细接口!$E$227),"")</f>
        <v>NO:0001223</v>
      </c>
      <c r="F227" s="16" t="str">
        <f>IFERROR(IF([2]对账明细接口!$F$227=0,"",[2]对账明细接口!$F$227),"")</f>
        <v>公司红周转筐</v>
      </c>
      <c r="G227" s="16">
        <f>IFERROR(IF([2]对账明细接口!$G$227=0,"",[2]对账明细接口!$G$227),"")</f>
      </c>
      <c r="H227" s="176">
        <f>IFERROR(IF([2]对账明细接口!$H$227=0,"",[2]对账明细接口!$H$227),"")</f>
        <v>720</v>
      </c>
      <c r="I227" s="16" t="str">
        <f>IFERROR(IF([2]对账明细接口!$I$227=0,"",[2]对账明细接口!$I$227),"")</f>
        <v>个</v>
      </c>
      <c r="J227" s="177">
        <f>IFERROR(IF([2]对账明细接口!$J$227=0,"",[2]对账明细接口!$J$227),"")</f>
      </c>
      <c r="K227" s="177">
        <f>IFERROR(IF([2]对账明细接口!$K$227=0,"",[2]对账明细接口!$K$227),"")</f>
      </c>
      <c r="L227" s="16">
        <f>IFERROR(IF([2]对账明细接口!$L$227=0,"",[2]对账明细接口!$L$227),"")</f>
      </c>
      <c r="M227" s="16">
        <f>IFERROR(IF([2]对账明细接口!$M$227=0,"",[2]对账明细接口!$M$227),"")</f>
      </c>
      <c r="N227" s="19">
        <f>IF($C227="",0,1)</f>
        <v>1</v>
      </c>
      <c r="O227" s="19">
        <f>N(O226)+$N227</f>
        <v>224</v>
      </c>
      <c r="S227" s="20" t="str">
        <f>IFERROR(IF([2]对账明细接口!$N227=0,"",[2]对账明细接口!$N227),"")</f>
        <v>公司红周转筐</v>
      </c>
      <c r="T227" s="212">
        <f>IFERROR(IF([2]对账明细接口!$O227=0,"",[2]对账明细接口!$O227),"")</f>
        <v>720</v>
      </c>
      <c r="U227" s="212">
        <f>IFERROR(IF([2]对账明细接口!$P227=0,"",[2]对账明细接口!$P227),"")</f>
      </c>
      <c r="V227" s="212">
        <f>IFERROR(IF([2]对账明细接口!$Q227=0,"",[2]对账明细接口!$Q227),"")</f>
      </c>
      <c r="W227" s="20" t="str">
        <f>IFERROR(IF([2]对账明细接口!$R227=0,"",[2]对账明细接口!$R227),"")</f>
        <v>豫A*2737K</v>
      </c>
      <c r="X227" s="20" t="str">
        <f>IFERROR(IF([2]对账明细接口!$S227=0,"",[2]对账明细接口!$S227),"")</f>
        <v>公司筐</v>
      </c>
      <c r="Y227" s="20">
        <f>""</f>
      </c>
      <c r="Z227" s="20">
        <f>""</f>
      </c>
      <c r="AA227" s="20">
        <f>""</f>
      </c>
      <c r="AB227" s="20">
        <f>""</f>
      </c>
    </row>
    <row r="228" s="127">
      <c r="A228" s="14" t="n">
        <v>228</v>
      </c>
      <c r="B228" s="211">
        <f>IFERROR(IF([2]对账明细接口!$B$228=0,"",[2]对账明细接口!$B$228),"")</f>
        <v>46288.0</v>
      </c>
      <c r="C228" s="16" t="str">
        <f>IFERROR(IF([2]对账明细接口!$C$228=0,"",[2]对账明细接口!$C$228),"")</f>
        <v>全修塑业</v>
      </c>
      <c r="D228" s="16" t="str">
        <f>IFERROR(IF([2]对账明细接口!$D$228=0,"",[2]对账明细接口!$D$228),"")</f>
        <v>周转筐－采购入库</v>
      </c>
      <c r="E228" s="16" t="str">
        <f>IFERROR(IF([2]对账明细接口!$E$228=0,"",[2]对账明细接口!$E$228),"")</f>
        <v>NO:0000955</v>
      </c>
      <c r="F228" s="16" t="str">
        <f>IFERROR(IF([2]对账明细接口!$F$228=0,"",[2]对账明细接口!$F$228),"")</f>
        <v>公司红周转筐</v>
      </c>
      <c r="G228" s="16">
        <f>IFERROR(IF([2]对账明细接口!$G$228=0,"",[2]对账明细接口!$G$228),"")</f>
      </c>
      <c r="H228" s="176">
        <f>IFERROR(IF([2]对账明细接口!$H$228=0,"",[2]对账明细接口!$H$228),"")</f>
        <v>600</v>
      </c>
      <c r="I228" s="16" t="str">
        <f>IFERROR(IF([2]对账明细接口!$I$228=0,"",[2]对账明细接口!$I$228),"")</f>
        <v>个</v>
      </c>
      <c r="J228" s="177">
        <f>IFERROR(IF([2]对账明细接口!$J$228=0,"",[2]对账明细接口!$J$228),"")</f>
      </c>
      <c r="K228" s="177">
        <f>IFERROR(IF([2]对账明细接口!$K$228=0,"",[2]对账明细接口!$K$228),"")</f>
        <v>6000</v>
      </c>
      <c r="L228" s="16" t="str">
        <f>IFERROR(IF([2]对账明细接口!$L$228=0,"",[2]对账明细接口!$L$228),"")</f>
        <v>未付款</v>
      </c>
      <c r="M228" s="16" t="str">
        <f>IFERROR(IF([2]对账明细接口!$M$228=0,"",[2]对账明细接口!$M$228),"")</f>
        <v>NO:0005256</v>
      </c>
      <c r="N228" s="19">
        <f>IF($C228="",0,1)</f>
        <v>1</v>
      </c>
      <c r="O228" s="19">
        <f>N(O227)+$N228</f>
        <v>225</v>
      </c>
      <c r="S228" s="20" t="str">
        <f>IFERROR(IF([2]对账明细接口!$N228=0,"",[2]对账明细接口!$N228),"")</f>
        <v>公司红周转筐</v>
      </c>
      <c r="T228" s="212">
        <f>IFERROR(IF([2]对账明细接口!$O228=0,"",[2]对账明细接口!$O228),"")</f>
      </c>
      <c r="U228" s="212">
        <f>IFERROR(IF([2]对账明细接口!$P228=0,"",[2]对账明细接口!$P228),"")</f>
      </c>
      <c r="V228" s="212">
        <f>IFERROR(IF([2]对账明细接口!$Q228=0,"",[2]对账明细接口!$Q228),"")</f>
        <v>600</v>
      </c>
      <c r="W228" s="20" t="str">
        <f>IFERROR(IF([2]对账明细接口!$R228=0,"",[2]对账明细接口!$R228),"")</f>
        <v>新N*49209</v>
      </c>
      <c r="X228" s="20" t="str">
        <f>IFERROR(IF([2]对账明细接口!$S228=0,"",[2]对账明细接口!$S228),"")</f>
        <v>公司筐</v>
      </c>
      <c r="Y228" s="20">
        <f>""</f>
      </c>
      <c r="Z228" s="20">
        <f>""</f>
      </c>
      <c r="AA228" s="20">
        <f>""</f>
      </c>
      <c r="AB228" s="20">
        <f>""</f>
      </c>
    </row>
    <row r="229" s="127">
      <c r="A229" s="14" t="n">
        <v>229</v>
      </c>
      <c r="B229" s="211">
        <f>IFERROR(IF([2]对账明细接口!$B$229=0,"",[2]对账明细接口!$B$229),"")</f>
        <v>46288.0</v>
      </c>
      <c r="C229" s="16" t="str">
        <f>IFERROR(IF([2]对账明细接口!$C$229=0,"",[2]对账明细接口!$C$229),"")</f>
        <v>王灵云</v>
      </c>
      <c r="D229" s="16" t="str">
        <f>IFERROR(IF([2]对账明细接口!$D$229=0,"",[2]对账明细接口!$D$229),"")</f>
        <v>周转筐－领用出库</v>
      </c>
      <c r="E229" s="16" t="str">
        <f>IFERROR(IF([2]对账明细接口!$E$229=0,"",[2]对账明细接口!$E$229),"")</f>
        <v>NO:0001224</v>
      </c>
      <c r="F229" s="16" t="str">
        <f>IFERROR(IF([2]对账明细接口!$F$229=0,"",[2]对账明细接口!$F$229),"")</f>
        <v>公司红周转筐</v>
      </c>
      <c r="G229" s="16">
        <f>IFERROR(IF([2]对账明细接口!$G$229=0,"",[2]对账明细接口!$G$229),"")</f>
      </c>
      <c r="H229" s="176">
        <f>IFERROR(IF([2]对账明细接口!$H$229=0,"",[2]对账明细接口!$H$229),"")</f>
        <v>600</v>
      </c>
      <c r="I229" s="16" t="str">
        <f>IFERROR(IF([2]对账明细接口!$I$229=0,"",[2]对账明细接口!$I$229),"")</f>
        <v>个</v>
      </c>
      <c r="J229" s="177">
        <f>IFERROR(IF([2]对账明细接口!$J$229=0,"",[2]对账明细接口!$J$229),"")</f>
      </c>
      <c r="K229" s="177">
        <f>IFERROR(IF([2]对账明细接口!$K$229=0,"",[2]对账明细接口!$K$229),"")</f>
      </c>
      <c r="L229" s="16">
        <f>IFERROR(IF([2]对账明细接口!$L$229=0,"",[2]对账明细接口!$L$229),"")</f>
      </c>
      <c r="M229" s="16">
        <f>IFERROR(IF([2]对账明细接口!$M$229=0,"",[2]对账明细接口!$M$229),"")</f>
      </c>
      <c r="N229" s="19">
        <f>IF($C229="",0,1)</f>
        <v>1</v>
      </c>
      <c r="O229" s="19">
        <f>N(O228)+$N229</f>
        <v>226</v>
      </c>
      <c r="S229" s="20" t="str">
        <f>IFERROR(IF([2]对账明细接口!$N229=0,"",[2]对账明细接口!$N229),"")</f>
        <v>公司红周转筐</v>
      </c>
      <c r="T229" s="212">
        <f>IFERROR(IF([2]对账明细接口!$O229=0,"",[2]对账明细接口!$O229),"")</f>
        <v>600</v>
      </c>
      <c r="U229" s="212">
        <f>IFERROR(IF([2]对账明细接口!$P229=0,"",[2]对账明细接口!$P229),"")</f>
      </c>
      <c r="V229" s="212">
        <f>IFERROR(IF([2]对账明细接口!$Q229=0,"",[2]对账明细接口!$Q229),"")</f>
      </c>
      <c r="W229" s="20" t="str">
        <f>IFERROR(IF([2]对账明细接口!$R229=0,"",[2]对账明细接口!$R229),"")</f>
        <v>新N*49209</v>
      </c>
      <c r="X229" s="20" t="str">
        <f>IFERROR(IF([2]对账明细接口!$S229=0,"",[2]对账明细接口!$S229),"")</f>
        <v>公司筐</v>
      </c>
      <c r="Y229" s="20">
        <f>""</f>
      </c>
      <c r="Z229" s="20">
        <f>""</f>
      </c>
      <c r="AA229" s="20">
        <f>""</f>
      </c>
      <c r="AB229" s="20">
        <f>""</f>
      </c>
    </row>
    <row r="230" s="127">
      <c r="A230" s="14" t="n">
        <v>230</v>
      </c>
      <c r="B230" s="211">
        <f>IFERROR(IF([2]对账明细接口!$B$230=0,"",[2]对账明细接口!$B$230),"")</f>
        <v>46288.0</v>
      </c>
      <c r="C230" s="16" t="str">
        <f>IFERROR(IF([2]对账明细接口!$C$230=0,"",[2]对账明细接口!$C$230),"")</f>
        <v>王照雪</v>
      </c>
      <c r="D230" s="16" t="str">
        <f>IFERROR(IF([2]对账明细接口!$D$230=0,"",[2]对账明细接口!$D$230),"")</f>
        <v>周转筐－退回入库</v>
      </c>
      <c r="E230" s="16" t="str">
        <f>IFERROR(IF([2]对账明细接口!$E$230=0,"",[2]对账明细接口!$E$230),"")</f>
        <v>NO:0000956</v>
      </c>
      <c r="F230" s="16" t="str">
        <f>IFERROR(IF([2]对账明细接口!$F$230=0,"",[2]对账明细接口!$F$230),"")</f>
        <v>公司杂周转筐</v>
      </c>
      <c r="G230" s="16">
        <f>IFERROR(IF([2]对账明细接口!$G$230=0,"",[2]对账明细接口!$G$230),"")</f>
      </c>
      <c r="H230" s="176">
        <f>IFERROR(IF([2]对账明细接口!$H$230=0,"",[2]对账明细接口!$H$230),"")</f>
        <v>7</v>
      </c>
      <c r="I230" s="16" t="str">
        <f>IFERROR(IF([2]对账明细接口!$I$230=0,"",[2]对账明细接口!$I$230),"")</f>
        <v>个</v>
      </c>
      <c r="J230" s="177">
        <f>IFERROR(IF([2]对账明细接口!$J$230=0,"",[2]对账明细接口!$J$230),"")</f>
      </c>
      <c r="K230" s="177">
        <f>IFERROR(IF([2]对账明细接口!$K$230=0,"",[2]对账明细接口!$K$230),"")</f>
      </c>
      <c r="L230" s="16">
        <f>IFERROR(IF([2]对账明细接口!$L$230=0,"",[2]对账明细接口!$L$230),"")</f>
      </c>
      <c r="M230" s="16" t="str">
        <f>IFERROR(IF([2]对账明细接口!$M$230=0,"",[2]对账明细接口!$M$230),"")</f>
        <v>坏筐退回</v>
      </c>
      <c r="N230" s="19">
        <f>IF($C230="",0,1)</f>
        <v>1</v>
      </c>
      <c r="O230" s="19">
        <f>N(O229)+$N230</f>
        <v>227</v>
      </c>
      <c r="S230" s="20" t="str">
        <f>IFERROR(IF([2]对账明细接口!$N230=0,"",[2]对账明细接口!$N230),"")</f>
        <v>公司杂周转筐</v>
      </c>
      <c r="T230" s="212">
        <f>IFERROR(IF([2]对账明细接口!$O230=0,"",[2]对账明细接口!$O230),"")</f>
      </c>
      <c r="U230" s="212">
        <f>IFERROR(IF([2]对账明细接口!$P230=0,"",[2]对账明细接口!$P230),"")</f>
        <v>7</v>
      </c>
      <c r="V230" s="212">
        <f>IFERROR(IF([2]对账明细接口!$Q230=0,"",[2]对账明细接口!$Q230),"")</f>
      </c>
      <c r="W230" s="20" t="str">
        <f>IFERROR(IF([2]对账明细接口!$R230=0,"",[2]对账明细接口!$R230),"")</f>
        <v>豫L*88X19</v>
      </c>
      <c r="X230" s="20" t="str">
        <f>IFERROR(IF([2]对账明细接口!$S230=0,"",[2]对账明细接口!$S230),"")</f>
        <v>公司筐</v>
      </c>
      <c r="Y230" s="20">
        <f>""</f>
      </c>
      <c r="Z230" s="20">
        <f>""</f>
      </c>
      <c r="AA230" s="20">
        <f>""</f>
      </c>
      <c r="AB230" s="20">
        <f>""</f>
      </c>
    </row>
    <row r="231" s="127">
      <c r="A231" s="14" t="n">
        <v>231</v>
      </c>
      <c r="B231" s="211">
        <f>IFERROR(IF([2]对账明细接口!$B$231=0,"",[2]对账明细接口!$B$231),"")</f>
        <v>46288.0</v>
      </c>
      <c r="C231" s="16" t="str">
        <f>IFERROR(IF([2]对账明细接口!$C$231=0,"",[2]对账明细接口!$C$231),"")</f>
        <v>艾海提</v>
      </c>
      <c r="D231" s="16" t="str">
        <f>IFERROR(IF([2]对账明细接口!$D$231=0,"",[2]对账明细接口!$D$231),"")</f>
        <v>周转筐－退回入库</v>
      </c>
      <c r="E231" s="16" t="str">
        <f>IFERROR(IF([2]对账明细接口!$E$231=0,"",[2]对账明细接口!$E$231),"")</f>
        <v>NO:0000957</v>
      </c>
      <c r="F231" s="16" t="str">
        <f>IFERROR(IF([2]对账明细接口!$F$231=0,"",[2]对账明细接口!$F$231),"")</f>
        <v>公司红周转筐</v>
      </c>
      <c r="G231" s="16">
        <f>IFERROR(IF([2]对账明细接口!$G$231=0,"",[2]对账明细接口!$G$231),"")</f>
      </c>
      <c r="H231" s="176">
        <f>IFERROR(IF([2]对账明细接口!$H$231=0,"",[2]对账明细接口!$H$231),"")</f>
        <v>2</v>
      </c>
      <c r="I231" s="16" t="str">
        <f>IFERROR(IF([2]对账明细接口!$I$231=0,"",[2]对账明细接口!$I$231),"")</f>
        <v>个</v>
      </c>
      <c r="J231" s="177">
        <f>IFERROR(IF([2]对账明细接口!$J$231=0,"",[2]对账明细接口!$J$231),"")</f>
      </c>
      <c r="K231" s="177">
        <f>IFERROR(IF([2]对账明细接口!$K$231=0,"",[2]对账明细接口!$K$231),"")</f>
      </c>
      <c r="L231" s="16">
        <f>IFERROR(IF([2]对账明细接口!$L$231=0,"",[2]对账明细接口!$L$231),"")</f>
      </c>
      <c r="M231" s="16" t="str">
        <f>IFERROR(IF([2]对账明细接口!$M$231=0,"",[2]对账明细接口!$M$231),"")</f>
        <v>退回</v>
      </c>
      <c r="N231" s="19">
        <f>IF($C231="",0,1)</f>
        <v>1</v>
      </c>
      <c r="O231" s="19">
        <f>N(O230)+$N231</f>
        <v>228</v>
      </c>
      <c r="S231" s="20" t="str">
        <f>IFERROR(IF([2]对账明细接口!$N231=0,"",[2]对账明细接口!$N231),"")</f>
        <v>公司红周转筐</v>
      </c>
      <c r="T231" s="212">
        <f>IFERROR(IF([2]对账明细接口!$O231=0,"",[2]对账明细接口!$O231),"")</f>
      </c>
      <c r="U231" s="212">
        <f>IFERROR(IF([2]对账明细接口!$P231=0,"",[2]对账明细接口!$P231),"")</f>
        <v>2</v>
      </c>
      <c r="V231" s="212">
        <f>IFERROR(IF([2]对账明细接口!$Q231=0,"",[2]对账明细接口!$Q231),"")</f>
      </c>
      <c r="W231" s="20" t="str">
        <f>IFERROR(IF([2]对账明细接口!$R231=0,"",[2]对账明细接口!$R231),"")</f>
        <v>新N*WX586</v>
      </c>
      <c r="X231" s="20" t="str">
        <f>IFERROR(IF([2]对账明细接口!$S231=0,"",[2]对账明细接口!$S231),"")</f>
        <v>公司筐</v>
      </c>
      <c r="Y231" s="20">
        <f>""</f>
      </c>
      <c r="Z231" s="20">
        <f>""</f>
      </c>
      <c r="AA231" s="20">
        <f>""</f>
      </c>
      <c r="AB231" s="20">
        <f>""</f>
      </c>
    </row>
    <row r="232" s="127">
      <c r="A232" s="14" t="n">
        <v>232</v>
      </c>
      <c r="B232" s="211">
        <f>IFERROR(IF([2]对账明细接口!$B$232=0,"",[2]对账明细接口!$B$232),"")</f>
        <v>46288.0</v>
      </c>
      <c r="C232" s="16" t="str">
        <f>IFERROR(IF([2]对账明细接口!$C$232=0,"",[2]对账明细接口!$C$232),"")</f>
        <v>全修塑业</v>
      </c>
      <c r="D232" s="16" t="str">
        <f>IFERROR(IF([2]对账明细接口!$D$232=0,"",[2]对账明细接口!$D$232),"")</f>
        <v>周转筐－采购入库</v>
      </c>
      <c r="E232" s="16" t="str">
        <f>IFERROR(IF([2]对账明细接口!$E$232=0,"",[2]对账明细接口!$E$232),"")</f>
        <v>NO:0000962</v>
      </c>
      <c r="F232" s="16" t="str">
        <f>IFERROR(IF([2]对账明细接口!$F$232=0,"",[2]对账明细接口!$F$232),"")</f>
        <v>公司红周转筐</v>
      </c>
      <c r="G232" s="16">
        <f>IFERROR(IF([2]对账明细接口!$G$232=0,"",[2]对账明细接口!$G$232),"")</f>
      </c>
      <c r="H232" s="176">
        <f>IFERROR(IF([2]对账明细接口!$H$232=0,"",[2]对账明细接口!$H$232),"")</f>
        <v>960</v>
      </c>
      <c r="I232" s="16" t="str">
        <f>IFERROR(IF([2]对账明细接口!$I$232=0,"",[2]对账明细接口!$I$232),"")</f>
        <v>个</v>
      </c>
      <c r="J232" s="177">
        <f>IFERROR(IF([2]对账明细接口!$J$232=0,"",[2]对账明细接口!$J$232),"")</f>
      </c>
      <c r="K232" s="177">
        <f>IFERROR(IF([2]对账明细接口!$K$232=0,"",[2]对账明细接口!$K$232),"")</f>
        <v>9600</v>
      </c>
      <c r="L232" s="16" t="str">
        <f>IFERROR(IF([2]对账明细接口!$L$232=0,"",[2]对账明细接口!$L$232),"")</f>
        <v>未付款</v>
      </c>
      <c r="M232" s="16" t="str">
        <f>IFERROR(IF([2]对账明细接口!$M$232=0,"",[2]对账明细接口!$M$232),"")</f>
        <v>NO:0005257</v>
      </c>
      <c r="N232" s="19">
        <f>IF($C232="",0,1)</f>
        <v>1</v>
      </c>
      <c r="O232" s="19">
        <f>N(O231)+$N232</f>
        <v>229</v>
      </c>
      <c r="S232" s="20" t="str">
        <f>IFERROR(IF([2]对账明细接口!$N232=0,"",[2]对账明细接口!$N232),"")</f>
        <v>公司红周转筐</v>
      </c>
      <c r="T232" s="212">
        <f>IFERROR(IF([2]对账明细接口!$O232=0,"",[2]对账明细接口!$O232),"")</f>
      </c>
      <c r="U232" s="212">
        <f>IFERROR(IF([2]对账明细接口!$P232=0,"",[2]对账明细接口!$P232),"")</f>
      </c>
      <c r="V232" s="212">
        <f>IFERROR(IF([2]对账明细接口!$Q232=0,"",[2]对账明细接口!$Q232),"")</f>
        <v>960</v>
      </c>
      <c r="W232" s="20" t="str">
        <f>IFERROR(IF([2]对账明细接口!$R232=0,"",[2]对账明细接口!$R232),"")</f>
        <v>新R*37010</v>
      </c>
      <c r="X232" s="20" t="str">
        <f>IFERROR(IF([2]对账明细接口!$S232=0,"",[2]对账明细接口!$S232),"")</f>
        <v>公司筐</v>
      </c>
      <c r="Y232" s="20">
        <f>""</f>
      </c>
      <c r="Z232" s="20">
        <f>""</f>
      </c>
      <c r="AA232" s="20">
        <f>""</f>
      </c>
      <c r="AB232" s="20">
        <f>""</f>
      </c>
    </row>
    <row r="233" s="127">
      <c r="A233" s="14" t="n">
        <v>233</v>
      </c>
      <c r="B233" s="211">
        <f>IFERROR(IF([2]对账明细接口!$B$233=0,"",[2]对账明细接口!$B$233),"")</f>
        <v>46288.0</v>
      </c>
      <c r="C233" s="16" t="str">
        <f>IFERROR(IF([2]对账明细接口!$C$233=0,"",[2]对账明细接口!$C$233),"")</f>
        <v>麦麦提</v>
      </c>
      <c r="D233" s="16" t="str">
        <f>IFERROR(IF([2]对账明细接口!$D$233=0,"",[2]对账明细接口!$D$233),"")</f>
        <v>周转筐－领用出库</v>
      </c>
      <c r="E233" s="16" t="str">
        <f>IFERROR(IF([2]对账明细接口!$E$233=0,"",[2]对账明细接口!$E$233),"")</f>
        <v>NO:0001227</v>
      </c>
      <c r="F233" s="16" t="str">
        <f>IFERROR(IF([2]对账明细接口!$F$233=0,"",[2]对账明细接口!$F$233),"")</f>
        <v>公司红周转筐</v>
      </c>
      <c r="G233" s="16">
        <f>IFERROR(IF([2]对账明细接口!$G$233=0,"",[2]对账明细接口!$G$233),"")</f>
      </c>
      <c r="H233" s="176">
        <f>IFERROR(IF([2]对账明细接口!$H$233=0,"",[2]对账明细接口!$H$233),"")</f>
        <v>960</v>
      </c>
      <c r="I233" s="16" t="str">
        <f>IFERROR(IF([2]对账明细接口!$I$233=0,"",[2]对账明细接口!$I$233),"")</f>
        <v>个</v>
      </c>
      <c r="J233" s="177">
        <f>IFERROR(IF([2]对账明细接口!$J$233=0,"",[2]对账明细接口!$J$233),"")</f>
      </c>
      <c r="K233" s="177">
        <f>IFERROR(IF([2]对账明细接口!$K$233=0,"",[2]对账明细接口!$K$233),"")</f>
      </c>
      <c r="L233" s="16">
        <f>IFERROR(IF([2]对账明细接口!$L$233=0,"",[2]对账明细接口!$L$233),"")</f>
      </c>
      <c r="M233" s="16">
        <f>IFERROR(IF([2]对账明细接口!$M$233=0,"",[2]对账明细接口!$M$233),"")</f>
      </c>
      <c r="N233" s="19">
        <f>IF($C233="",0,1)</f>
        <v>1</v>
      </c>
      <c r="O233" s="19">
        <f>N(O232)+$N233</f>
        <v>230</v>
      </c>
      <c r="S233" s="20" t="str">
        <f>IFERROR(IF([2]对账明细接口!$N233=0,"",[2]对账明细接口!$N233),"")</f>
        <v>公司红周转筐</v>
      </c>
      <c r="T233" s="212">
        <f>IFERROR(IF([2]对账明细接口!$O233=0,"",[2]对账明细接口!$O233),"")</f>
        <v>960</v>
      </c>
      <c r="U233" s="212">
        <f>IFERROR(IF([2]对账明细接口!$P233=0,"",[2]对账明细接口!$P233),"")</f>
      </c>
      <c r="V233" s="212">
        <f>IFERROR(IF([2]对账明细接口!$Q233=0,"",[2]对账明细接口!$Q233),"")</f>
      </c>
      <c r="W233" s="20" t="str">
        <f>IFERROR(IF([2]对账明细接口!$R233=0,"",[2]对账明细接口!$R233),"")</f>
        <v>新R*37010</v>
      </c>
      <c r="X233" s="20" t="str">
        <f>IFERROR(IF([2]对账明细接口!$S233=0,"",[2]对账明细接口!$S233),"")</f>
        <v>公司筐</v>
      </c>
      <c r="Y233" s="20">
        <f>""</f>
      </c>
      <c r="Z233" s="20">
        <f>""</f>
      </c>
      <c r="AA233" s="20">
        <f>""</f>
      </c>
      <c r="AB233" s="20">
        <f>""</f>
      </c>
    </row>
    <row r="234" s="127">
      <c r="A234" s="14" t="n">
        <v>234</v>
      </c>
      <c r="B234" s="211">
        <f>IFERROR(IF([2]对账明细接口!$B$234=0,"",[2]对账明细接口!$B$234),"")</f>
        <v>46289.0</v>
      </c>
      <c r="C234" s="16" t="str">
        <f>IFERROR(IF([2]对账明细接口!$C$234=0,"",[2]对账明细接口!$C$234),"")</f>
        <v>全修塑业</v>
      </c>
      <c r="D234" s="16" t="str">
        <f>IFERROR(IF([2]对账明细接口!$D$234=0,"",[2]对账明细接口!$D$234),"")</f>
        <v>周转筐－采购入库</v>
      </c>
      <c r="E234" s="16" t="str">
        <f>IFERROR(IF([2]对账明细接口!$E$234=0,"",[2]对账明细接口!$E$234),"")</f>
        <v>NO:0000968</v>
      </c>
      <c r="F234" s="16" t="str">
        <f>IFERROR(IF([2]对账明细接口!$F$234=0,"",[2]对账明细接口!$F$234),"")</f>
        <v>公司红周转筐</v>
      </c>
      <c r="G234" s="16">
        <f>IFERROR(IF([2]对账明细接口!$G$234=0,"",[2]对账明细接口!$G$234),"")</f>
      </c>
      <c r="H234" s="176">
        <f>IFERROR(IF([2]对账明细接口!$H$234=0,"",[2]对账明细接口!$H$234),"")</f>
        <v>960</v>
      </c>
      <c r="I234" s="16" t="str">
        <f>IFERROR(IF([2]对账明细接口!$I$234=0,"",[2]对账明细接口!$I$234),"")</f>
        <v>个</v>
      </c>
      <c r="J234" s="177">
        <f>IFERROR(IF([2]对账明细接口!$J$234=0,"",[2]对账明细接口!$J$234),"")</f>
      </c>
      <c r="K234" s="177">
        <f>IFERROR(IF([2]对账明细接口!$K$234=0,"",[2]对账明细接口!$K$234),"")</f>
        <v>9600</v>
      </c>
      <c r="L234" s="16" t="str">
        <f>IFERROR(IF([2]对账明细接口!$L$234=0,"",[2]对账明细接口!$L$234),"")</f>
        <v>未付款</v>
      </c>
      <c r="M234" s="16" t="str">
        <f>IFERROR(IF([2]对账明细接口!$M$234=0,"",[2]对账明细接口!$M$234),"")</f>
        <v>NO:0005258</v>
      </c>
      <c r="N234" s="19">
        <f>IF($C234="",0,1)</f>
        <v>1</v>
      </c>
      <c r="O234" s="19">
        <f>N(O233)+$N234</f>
        <v>231</v>
      </c>
      <c r="S234" s="20" t="str">
        <f>IFERROR(IF([2]对账明细接口!$N234=0,"",[2]对账明细接口!$N234),"")</f>
        <v>公司红周转筐</v>
      </c>
      <c r="T234" s="212">
        <f>IFERROR(IF([2]对账明细接口!$O234=0,"",[2]对账明细接口!$O234),"")</f>
      </c>
      <c r="U234" s="212">
        <f>IFERROR(IF([2]对账明细接口!$P234=0,"",[2]对账明细接口!$P234),"")</f>
      </c>
      <c r="V234" s="212">
        <f>IFERROR(IF([2]对账明细接口!$Q234=0,"",[2]对账明细接口!$Q234),"")</f>
        <v>960</v>
      </c>
      <c r="W234" s="20" t="str">
        <f>IFERROR(IF([2]对账明细接口!$R234=0,"",[2]对账明细接口!$R234),"")</f>
        <v>新F*75240</v>
      </c>
      <c r="X234" s="20" t="str">
        <f>IFERROR(IF([2]对账明细接口!$S234=0,"",[2]对账明细接口!$S234),"")</f>
        <v>公司筐</v>
      </c>
      <c r="Y234" s="20">
        <f>""</f>
      </c>
      <c r="Z234" s="20">
        <f>""</f>
      </c>
      <c r="AA234" s="20">
        <f>""</f>
      </c>
      <c r="AB234" s="20">
        <f>""</f>
      </c>
    </row>
    <row r="235" s="127">
      <c r="A235" s="14" t="n">
        <v>235</v>
      </c>
      <c r="B235" s="211">
        <f>IFERROR(IF([2]对账明细接口!$B$235=0,"",[2]对账明细接口!$B$235),"")</f>
        <v>46289.0</v>
      </c>
      <c r="C235" s="16" t="str">
        <f>IFERROR(IF([2]对账明细接口!$C$235=0,"",[2]对账明细接口!$C$235),"")</f>
        <v>全修塑业</v>
      </c>
      <c r="D235" s="16" t="str">
        <f>IFERROR(IF([2]对账明细接口!$D$235=0,"",[2]对账明细接口!$D$235),"")</f>
        <v>周转筐－采购入库</v>
      </c>
      <c r="E235" s="16" t="str">
        <f>IFERROR(IF([2]对账明细接口!$E$235=0,"",[2]对账明细接口!$E$235),"")</f>
        <v>NO:0000969</v>
      </c>
      <c r="F235" s="16" t="str">
        <f>IFERROR(IF([2]对账明细接口!$F$235=0,"",[2]对账明细接口!$F$235),"")</f>
        <v>公司红周转筐</v>
      </c>
      <c r="G235" s="16">
        <f>IFERROR(IF([2]对账明细接口!$G$235=0,"",[2]对账明细接口!$G$235),"")</f>
      </c>
      <c r="H235" s="176">
        <f>IFERROR(IF([2]对账明细接口!$H$235=0,"",[2]对账明细接口!$H$235),"")</f>
        <v>504</v>
      </c>
      <c r="I235" s="16" t="str">
        <f>IFERROR(IF([2]对账明细接口!$I$235=0,"",[2]对账明细接口!$I$235),"")</f>
        <v>个</v>
      </c>
      <c r="J235" s="177">
        <f>IFERROR(IF([2]对账明细接口!$J$235=0,"",[2]对账明细接口!$J$235),"")</f>
      </c>
      <c r="K235" s="177">
        <f>IFERROR(IF([2]对账明细接口!$K$235=0,"",[2]对账明细接口!$K$235),"")</f>
        <v>5040</v>
      </c>
      <c r="L235" s="16" t="str">
        <f>IFERROR(IF([2]对账明细接口!$L$235=0,"",[2]对账明细接口!$L$235),"")</f>
        <v>未付款</v>
      </c>
      <c r="M235" s="16" t="str">
        <f>IFERROR(IF([2]对账明细接口!$M$235=0,"",[2]对账明细接口!$M$235),"")</f>
        <v>NO:0005259</v>
      </c>
      <c r="N235" s="19">
        <f>IF($C235="",0,1)</f>
        <v>1</v>
      </c>
      <c r="O235" s="19">
        <f>N(O234)+$N235</f>
        <v>232</v>
      </c>
      <c r="S235" s="20" t="str">
        <f>IFERROR(IF([2]对账明细接口!$N235=0,"",[2]对账明细接口!$N235),"")</f>
        <v>公司红周转筐</v>
      </c>
      <c r="T235" s="212">
        <f>IFERROR(IF([2]对账明细接口!$O235=0,"",[2]对账明细接口!$O235),"")</f>
      </c>
      <c r="U235" s="212">
        <f>IFERROR(IF([2]对账明细接口!$P235=0,"",[2]对账明细接口!$P235),"")</f>
      </c>
      <c r="V235" s="212">
        <f>IFERROR(IF([2]对账明细接口!$Q235=0,"",[2]对账明细接口!$Q235),"")</f>
        <v>504</v>
      </c>
      <c r="W235" s="20" t="str">
        <f>IFERROR(IF([2]对账明细接口!$R235=0,"",[2]对账明细接口!$R235),"")</f>
        <v>新N*F0M01</v>
      </c>
      <c r="X235" s="20" t="str">
        <f>IFERROR(IF([2]对账明细接口!$S235=0,"",[2]对账明细接口!$S235),"")</f>
        <v>公司筐</v>
      </c>
      <c r="Y235" s="20">
        <f>""</f>
      </c>
      <c r="Z235" s="20">
        <f>""</f>
      </c>
      <c r="AA235" s="20">
        <f>""</f>
      </c>
      <c r="AB235" s="20">
        <f>""</f>
      </c>
    </row>
    <row r="236" s="127">
      <c r="A236" s="14" t="n">
        <v>236</v>
      </c>
      <c r="B236" s="211">
        <f>IFERROR(IF([2]对账明细接口!$B$236=0,"",[2]对账明细接口!$B$236),"")</f>
        <v>46289.0</v>
      </c>
      <c r="C236" s="16" t="str">
        <f>IFERROR(IF([2]对账明细接口!$C$236=0,"",[2]对账明细接口!$C$236),"")</f>
        <v>努尔敦</v>
      </c>
      <c r="D236" s="16" t="str">
        <f>IFERROR(IF([2]对账明细接口!$D$236=0,"",[2]对账明细接口!$D$236),"")</f>
        <v>周转筐－领用出库</v>
      </c>
      <c r="E236" s="16" t="str">
        <f>IFERROR(IF([2]对账明细接口!$E$236=0,"",[2]对账明细接口!$E$236),"")</f>
        <v>NO:0001229</v>
      </c>
      <c r="F236" s="16" t="str">
        <f>IFERROR(IF([2]对账明细接口!$F$236=0,"",[2]对账明细接口!$F$236),"")</f>
        <v>公司红周转筐</v>
      </c>
      <c r="G236" s="16">
        <f>IFERROR(IF([2]对账明细接口!$G$236=0,"",[2]对账明细接口!$G$236),"")</f>
      </c>
      <c r="H236" s="176">
        <f>IFERROR(IF([2]对账明细接口!$H$236=0,"",[2]对账明细接口!$H$236),"")</f>
        <v>960</v>
      </c>
      <c r="I236" s="16" t="str">
        <f>IFERROR(IF([2]对账明细接口!$I$236=0,"",[2]对账明细接口!$I$236),"")</f>
        <v>个</v>
      </c>
      <c r="J236" s="177">
        <f>IFERROR(IF([2]对账明细接口!$J$236=0,"",[2]对账明细接口!$J$236),"")</f>
      </c>
      <c r="K236" s="177">
        <f>IFERROR(IF([2]对账明细接口!$K$236=0,"",[2]对账明细接口!$K$236),"")</f>
      </c>
      <c r="L236" s="16">
        <f>IFERROR(IF([2]对账明细接口!$L$236=0,"",[2]对账明细接口!$L$236),"")</f>
      </c>
      <c r="M236" s="16">
        <f>IFERROR(IF([2]对账明细接口!$M$236=0,"",[2]对账明细接口!$M$236),"")</f>
      </c>
      <c r="N236" s="19">
        <f>IF($C236="",0,1)</f>
        <v>1</v>
      </c>
      <c r="O236" s="19">
        <f>N(O235)+$N236</f>
        <v>233</v>
      </c>
      <c r="S236" s="20" t="str">
        <f>IFERROR(IF([2]对账明细接口!$N236=0,"",[2]对账明细接口!$N236),"")</f>
        <v>公司红周转筐</v>
      </c>
      <c r="T236" s="212">
        <f>IFERROR(IF([2]对账明细接口!$O236=0,"",[2]对账明细接口!$O236),"")</f>
        <v>960</v>
      </c>
      <c r="U236" s="212">
        <f>IFERROR(IF([2]对账明细接口!$P236=0,"",[2]对账明细接口!$P236),"")</f>
      </c>
      <c r="V236" s="212">
        <f>IFERROR(IF([2]对账明细接口!$Q236=0,"",[2]对账明细接口!$Q236),"")</f>
      </c>
      <c r="W236" s="20" t="str">
        <f>IFERROR(IF([2]对账明细接口!$R236=0,"",[2]对账明细接口!$R236),"")</f>
        <v>新F*75240</v>
      </c>
      <c r="X236" s="20" t="str">
        <f>IFERROR(IF([2]对账明细接口!$S236=0,"",[2]对账明细接口!$S236),"")</f>
        <v>公司筐</v>
      </c>
      <c r="Y236" s="20">
        <f>""</f>
      </c>
      <c r="Z236" s="20">
        <f>""</f>
      </c>
      <c r="AA236" s="20">
        <f>""</f>
      </c>
      <c r="AB236" s="20">
        <f>""</f>
      </c>
    </row>
    <row r="237" s="127">
      <c r="A237" s="14" t="n">
        <v>237</v>
      </c>
      <c r="B237" s="211">
        <f>IFERROR(IF([2]对账明细接口!$B$237=0,"",[2]对账明细接口!$B$237),"")</f>
        <v>46289.0</v>
      </c>
      <c r="C237" s="16" t="str">
        <f>IFERROR(IF([2]对账明细接口!$C$237=0,"",[2]对账明细接口!$C$237),"")</f>
        <v>努尔敦</v>
      </c>
      <c r="D237" s="16" t="str">
        <f>IFERROR(IF([2]对账明细接口!$D$237=0,"",[2]对账明细接口!$D$237),"")</f>
        <v>周转筐－领用出库</v>
      </c>
      <c r="E237" s="16" t="str">
        <f>IFERROR(IF([2]对账明细接口!$E$237=0,"",[2]对账明细接口!$E$237),"")</f>
        <v>NO:0001230</v>
      </c>
      <c r="F237" s="16" t="str">
        <f>IFERROR(IF([2]对账明细接口!$F$237=0,"",[2]对账明细接口!$F$237),"")</f>
        <v>公司红周转筐</v>
      </c>
      <c r="G237" s="16">
        <f>IFERROR(IF([2]对账明细接口!$G$237=0,"",[2]对账明细接口!$G$237),"")</f>
      </c>
      <c r="H237" s="176">
        <f>IFERROR(IF([2]对账明细接口!$H$237=0,"",[2]对账明细接口!$H$237),"")</f>
        <v>504</v>
      </c>
      <c r="I237" s="16" t="str">
        <f>IFERROR(IF([2]对账明细接口!$I$237=0,"",[2]对账明细接口!$I$237),"")</f>
        <v>个</v>
      </c>
      <c r="J237" s="177">
        <f>IFERROR(IF([2]对账明细接口!$J$237=0,"",[2]对账明细接口!$J$237),"")</f>
      </c>
      <c r="K237" s="177">
        <f>IFERROR(IF([2]对账明细接口!$K$237=0,"",[2]对账明细接口!$K$237),"")</f>
      </c>
      <c r="L237" s="16">
        <f>IFERROR(IF([2]对账明细接口!$L$237=0,"",[2]对账明细接口!$L$237),"")</f>
      </c>
      <c r="M237" s="16" t="str">
        <f>IFERROR(IF([2]对账明细接口!$M$237=0,"",[2]对账明细接口!$M$237),"")</f>
        <v>阿布都</v>
      </c>
      <c r="N237" s="19">
        <f>IF($C237="",0,1)</f>
        <v>1</v>
      </c>
      <c r="O237" s="19">
        <f>N(O236)+$N237</f>
        <v>234</v>
      </c>
      <c r="S237" s="20" t="str">
        <f>IFERROR(IF([2]对账明细接口!$N237=0,"",[2]对账明细接口!$N237),"")</f>
        <v>公司红周转筐</v>
      </c>
      <c r="T237" s="212">
        <f>IFERROR(IF([2]对账明细接口!$O237=0,"",[2]对账明细接口!$O237),"")</f>
        <v>504</v>
      </c>
      <c r="U237" s="212">
        <f>IFERROR(IF([2]对账明细接口!$P237=0,"",[2]对账明细接口!$P237),"")</f>
      </c>
      <c r="V237" s="212">
        <f>IFERROR(IF([2]对账明细接口!$Q237=0,"",[2]对账明细接口!$Q237),"")</f>
      </c>
      <c r="W237" s="20" t="str">
        <f>IFERROR(IF([2]对账明细接口!$R237=0,"",[2]对账明细接口!$R237),"")</f>
        <v>新N*F0M01</v>
      </c>
      <c r="X237" s="20" t="str">
        <f>IFERROR(IF([2]对账明细接口!$S237=0,"",[2]对账明细接口!$S237),"")</f>
        <v>公司筐</v>
      </c>
      <c r="Y237" s="20">
        <f>""</f>
      </c>
      <c r="Z237" s="20">
        <f>""</f>
      </c>
      <c r="AA237" s="20">
        <f>""</f>
      </c>
      <c r="AB237" s="20">
        <f>""</f>
      </c>
    </row>
    <row r="238" s="127">
      <c r="A238" s="14" t="n">
        <v>238</v>
      </c>
      <c r="B238" s="211">
        <f>IFERROR(IF([2]对账明细接口!$B$238=0,"",[2]对账明细接口!$B$238),"")</f>
        <v>46289.0</v>
      </c>
      <c r="C238" s="16" t="str">
        <f>IFERROR(IF([2]对账明细接口!$C$238=0,"",[2]对账明细接口!$C$238),"")</f>
        <v>全修塑业</v>
      </c>
      <c r="D238" s="16" t="str">
        <f>IFERROR(IF([2]对账明细接口!$D$238=0,"",[2]对账明细接口!$D$238),"")</f>
        <v>周转筐－采购入库</v>
      </c>
      <c r="E238" s="16" t="str">
        <f>IFERROR(IF([2]对账明细接口!$E$238=0,"",[2]对账明细接口!$E$238),"")</f>
        <v>NO:0000972</v>
      </c>
      <c r="F238" s="16" t="str">
        <f>IFERROR(IF([2]对账明细接口!$F$238=0,"",[2]对账明细接口!$F$238),"")</f>
        <v>公司红周转筐</v>
      </c>
      <c r="G238" s="16">
        <f>IFERROR(IF([2]对账明细接口!$G$238=0,"",[2]对账明细接口!$G$238),"")</f>
      </c>
      <c r="H238" s="176">
        <f>IFERROR(IF([2]对账明细接口!$H$238=0,"",[2]对账明细接口!$H$238),"")</f>
        <v>936</v>
      </c>
      <c r="I238" s="16" t="str">
        <f>IFERROR(IF([2]对账明细接口!$I$238=0,"",[2]对账明细接口!$I$238),"")</f>
        <v>个</v>
      </c>
      <c r="J238" s="177">
        <f>IFERROR(IF([2]对账明细接口!$J$238=0,"",[2]对账明细接口!$J$238),"")</f>
      </c>
      <c r="K238" s="177">
        <f>IFERROR(IF([2]对账明细接口!$K$238=0,"",[2]对账明细接口!$K$238),"")</f>
        <v>9360</v>
      </c>
      <c r="L238" s="16" t="str">
        <f>IFERROR(IF([2]对账明细接口!$L$238=0,"",[2]对账明细接口!$L$238),"")</f>
        <v>未付款</v>
      </c>
      <c r="M238" s="16" t="str">
        <f>IFERROR(IF([2]对账明细接口!$M$238=0,"",[2]对账明细接口!$M$238),"")</f>
        <v>NO:0005260</v>
      </c>
      <c r="N238" s="19">
        <f>IF($C238="",0,1)</f>
        <v>1</v>
      </c>
      <c r="O238" s="19">
        <f>N(O237)+$N238</f>
        <v>235</v>
      </c>
      <c r="S238" s="20" t="str">
        <f>IFERROR(IF([2]对账明细接口!$N238=0,"",[2]对账明细接口!$N238),"")</f>
        <v>公司红周转筐</v>
      </c>
      <c r="T238" s="212">
        <f>IFERROR(IF([2]对账明细接口!$O238=0,"",[2]对账明细接口!$O238),"")</f>
      </c>
      <c r="U238" s="212">
        <f>IFERROR(IF([2]对账明细接口!$P238=0,"",[2]对账明细接口!$P238),"")</f>
      </c>
      <c r="V238" s="212">
        <f>IFERROR(IF([2]对账明细接口!$Q238=0,"",[2]对账明细接口!$Q238),"")</f>
        <v>936</v>
      </c>
      <c r="W238" s="20" t="str">
        <f>IFERROR(IF([2]对账明细接口!$R238=0,"",[2]对账明细接口!$R238),"")</f>
        <v>新F*75240</v>
      </c>
      <c r="X238" s="20" t="str">
        <f>IFERROR(IF([2]对账明细接口!$S238=0,"",[2]对账明细接口!$S238),"")</f>
        <v>公司筐</v>
      </c>
      <c r="Y238" s="20">
        <f>""</f>
      </c>
      <c r="Z238" s="20">
        <f>""</f>
      </c>
      <c r="AA238" s="20">
        <f>""</f>
      </c>
      <c r="AB238" s="20">
        <f>""</f>
      </c>
    </row>
    <row r="239" s="127">
      <c r="A239" s="14" t="n">
        <v>239</v>
      </c>
      <c r="B239" s="211">
        <f>IFERROR(IF([2]对账明细接口!$B$239=0,"",[2]对账明细接口!$B$239),"")</f>
        <v>46289.0</v>
      </c>
      <c r="C239" s="16" t="str">
        <f>IFERROR(IF([2]对账明细接口!$C$239=0,"",[2]对账明细接口!$C$239),"")</f>
        <v>努尔敦</v>
      </c>
      <c r="D239" s="16" t="str">
        <f>IFERROR(IF([2]对账明细接口!$D$239=0,"",[2]对账明细接口!$D$239),"")</f>
        <v>周转筐－领用出库</v>
      </c>
      <c r="E239" s="16" t="str">
        <f>IFERROR(IF([2]对账明细接口!$E$239=0,"",[2]对账明细接口!$E$239),"")</f>
        <v>NO:0001231</v>
      </c>
      <c r="F239" s="16" t="str">
        <f>IFERROR(IF([2]对账明细接口!$F$239=0,"",[2]对账明细接口!$F$239),"")</f>
        <v>公司红周转筐</v>
      </c>
      <c r="G239" s="16">
        <f>IFERROR(IF([2]对账明细接口!$G$239=0,"",[2]对账明细接口!$G$239),"")</f>
      </c>
      <c r="H239" s="176">
        <f>IFERROR(IF([2]对账明细接口!$H$239=0,"",[2]对账明细接口!$H$239),"")</f>
        <v>960</v>
      </c>
      <c r="I239" s="16" t="str">
        <f>IFERROR(IF([2]对账明细接口!$I$239=0,"",[2]对账明细接口!$I$239),"")</f>
        <v>个</v>
      </c>
      <c r="J239" s="177">
        <f>IFERROR(IF([2]对账明细接口!$J$239=0,"",[2]对账明细接口!$J$239),"")</f>
      </c>
      <c r="K239" s="177">
        <f>IFERROR(IF([2]对账明细接口!$K$239=0,"",[2]对账明细接口!$K$239),"")</f>
      </c>
      <c r="L239" s="16">
        <f>IFERROR(IF([2]对账明细接口!$L$239=0,"",[2]对账明细接口!$L$239),"")</f>
      </c>
      <c r="M239" s="16">
        <f>IFERROR(IF([2]对账明细接口!$M$239=0,"",[2]对账明细接口!$M$239),"")</f>
      </c>
      <c r="N239" s="19">
        <f>IF($C239="",0,1)</f>
        <v>1</v>
      </c>
      <c r="O239" s="19">
        <f>N(O238)+$N239</f>
        <v>236</v>
      </c>
      <c r="S239" s="20" t="str">
        <f>IFERROR(IF([2]对账明细接口!$N239=0,"",[2]对账明细接口!$N239),"")</f>
        <v>公司红周转筐</v>
      </c>
      <c r="T239" s="212">
        <f>IFERROR(IF([2]对账明细接口!$O239=0,"",[2]对账明细接口!$O239),"")</f>
        <v>960</v>
      </c>
      <c r="U239" s="212">
        <f>IFERROR(IF([2]对账明细接口!$P239=0,"",[2]对账明细接口!$P239),"")</f>
      </c>
      <c r="V239" s="212">
        <f>IFERROR(IF([2]对账明细接口!$Q239=0,"",[2]对账明细接口!$Q239),"")</f>
      </c>
      <c r="W239" s="20" t="str">
        <f>IFERROR(IF([2]对账明细接口!$R239=0,"",[2]对账明细接口!$R239),"")</f>
        <v>新F*75240</v>
      </c>
      <c r="X239" s="20" t="str">
        <f>IFERROR(IF([2]对账明细接口!$S239=0,"",[2]对账明细接口!$S239),"")</f>
        <v>公司筐</v>
      </c>
      <c r="Y239" s="20">
        <f>""</f>
      </c>
      <c r="Z239" s="20">
        <f>""</f>
      </c>
      <c r="AA239" s="20">
        <f>""</f>
      </c>
      <c r="AB239" s="20">
        <f>""</f>
      </c>
    </row>
    <row r="240" s="127">
      <c r="A240" s="14" t="n">
        <v>240</v>
      </c>
      <c r="B240" s="211">
        <f>IFERROR(IF([2]对账明细接口!$B$240=0,"",[2]对账明细接口!$B$240),"")</f>
        <v>46289.0</v>
      </c>
      <c r="C240" s="16" t="str">
        <f>IFERROR(IF([2]对账明细接口!$C$240=0,"",[2]对账明细接口!$C$240),"")</f>
        <v>全修塑业</v>
      </c>
      <c r="D240" s="16" t="str">
        <f>IFERROR(IF([2]对账明细接口!$D$240=0,"",[2]对账明细接口!$D$240),"")</f>
        <v>周转筐－采购入库</v>
      </c>
      <c r="E240" s="16" t="str">
        <f>IFERROR(IF([2]对账明细接口!$E$240=0,"",[2]对账明细接口!$E$240),"")</f>
        <v>NO:0000977</v>
      </c>
      <c r="F240" s="16" t="str">
        <f>IFERROR(IF([2]对账明细接口!$F$240=0,"",[2]对账明细接口!$F$240),"")</f>
        <v>公司红周转筐</v>
      </c>
      <c r="G240" s="16">
        <f>IFERROR(IF([2]对账明细接口!$G$240=0,"",[2]对账明细接口!$G$240),"")</f>
      </c>
      <c r="H240" s="176">
        <f>IFERROR(IF([2]对账明细接口!$H$240=0,"",[2]对账明细接口!$H$240),"")</f>
        <v>315</v>
      </c>
      <c r="I240" s="16" t="str">
        <f>IFERROR(IF([2]对账明细接口!$I$240=0,"",[2]对账明细接口!$I$240),"")</f>
        <v>个</v>
      </c>
      <c r="J240" s="177">
        <f>IFERROR(IF([2]对账明细接口!$J$240=0,"",[2]对账明细接口!$J$240),"")</f>
      </c>
      <c r="K240" s="177">
        <f>IFERROR(IF([2]对账明细接口!$K$240=0,"",[2]对账明细接口!$K$240),"")</f>
        <v>3150</v>
      </c>
      <c r="L240" s="16" t="str">
        <f>IFERROR(IF([2]对账明细接口!$L$240=0,"",[2]对账明细接口!$L$240),"")</f>
        <v>未付款</v>
      </c>
      <c r="M240" s="16" t="str">
        <f>IFERROR(IF([2]对账明细接口!$M$240=0,"",[2]对账明细接口!$M$240),"")</f>
        <v>NO:0005261</v>
      </c>
      <c r="N240" s="19">
        <f>IF($C240="",0,1)</f>
        <v>1</v>
      </c>
      <c r="O240" s="19">
        <f>N(O239)+$N240</f>
        <v>237</v>
      </c>
      <c r="S240" s="20" t="str">
        <f>IFERROR(IF([2]对账明细接口!$N240=0,"",[2]对账明细接口!$N240),"")</f>
        <v>公司红周转筐</v>
      </c>
      <c r="T240" s="212">
        <f>IFERROR(IF([2]对账明细接口!$O240=0,"",[2]对账明细接口!$O240),"")</f>
      </c>
      <c r="U240" s="212">
        <f>IFERROR(IF([2]对账明细接口!$P240=0,"",[2]对账明细接口!$P240),"")</f>
      </c>
      <c r="V240" s="212">
        <f>IFERROR(IF([2]对账明细接口!$Q240=0,"",[2]对账明细接口!$Q240),"")</f>
        <v>315</v>
      </c>
      <c r="W240" s="20" t="str">
        <f>IFERROR(IF([2]对账明细接口!$R240=0,"",[2]对账明细接口!$R240),"")</f>
        <v>新N*X8S48</v>
      </c>
      <c r="X240" s="20" t="str">
        <f>IFERROR(IF([2]对账明细接口!$S240=0,"",[2]对账明细接口!$S240),"")</f>
        <v>公司筐</v>
      </c>
      <c r="Y240" s="20">
        <f>""</f>
      </c>
      <c r="Z240" s="20">
        <f>""</f>
      </c>
      <c r="AA240" s="20">
        <f>""</f>
      </c>
      <c r="AB240" s="20">
        <f>""</f>
      </c>
    </row>
    <row r="241" s="127">
      <c r="A241" s="14" t="n">
        <v>241</v>
      </c>
      <c r="B241" s="211">
        <f>IFERROR(IF([2]对账明细接口!$B$241=0,"",[2]对账明细接口!$B$241),"")</f>
        <v>46289.0</v>
      </c>
      <c r="C241" s="16" t="str">
        <f>IFERROR(IF([2]对账明细接口!$C$241=0,"",[2]对账明细接口!$C$241),"")</f>
        <v>吐尔地</v>
      </c>
      <c r="D241" s="16" t="str">
        <f>IFERROR(IF([2]对账明细接口!$D$241=0,"",[2]对账明细接口!$D$241),"")</f>
        <v>周转筐－领用出库</v>
      </c>
      <c r="E241" s="16" t="str">
        <f>IFERROR(IF([2]对账明细接口!$E$241=0,"",[2]对账明细接口!$E$241),"")</f>
        <v>NO:0001234</v>
      </c>
      <c r="F241" s="16" t="str">
        <f>IFERROR(IF([2]对账明细接口!$F$241=0,"",[2]对账明细接口!$F$241),"")</f>
        <v>公司红周转筐</v>
      </c>
      <c r="G241" s="16">
        <f>IFERROR(IF([2]对账明细接口!$G$241=0,"",[2]对账明细接口!$G$241),"")</f>
      </c>
      <c r="H241" s="176">
        <f>IFERROR(IF([2]对账明细接口!$H$241=0,"",[2]对账明细接口!$H$241),"")</f>
        <v>315</v>
      </c>
      <c r="I241" s="16" t="str">
        <f>IFERROR(IF([2]对账明细接口!$I$241=0,"",[2]对账明细接口!$I$241),"")</f>
        <v>个</v>
      </c>
      <c r="J241" s="177">
        <f>IFERROR(IF([2]对账明细接口!$J$241=0,"",[2]对账明细接口!$J$241),"")</f>
      </c>
      <c r="K241" s="177">
        <f>IFERROR(IF([2]对账明细接口!$K$241=0,"",[2]对账明细接口!$K$241),"")</f>
      </c>
      <c r="L241" s="16">
        <f>IFERROR(IF([2]对账明细接口!$L$241=0,"",[2]对账明细接口!$L$241),"")</f>
      </c>
      <c r="M241" s="16">
        <f>IFERROR(IF([2]对账明细接口!$M$241=0,"",[2]对账明细接口!$M$241),"")</f>
      </c>
      <c r="N241" s="19">
        <f>IF($C241="",0,1)</f>
        <v>1</v>
      </c>
      <c r="O241" s="19">
        <f>N(O240)+$N241</f>
        <v>238</v>
      </c>
      <c r="S241" s="20" t="str">
        <f>IFERROR(IF([2]对账明细接口!$N241=0,"",[2]对账明细接口!$N241),"")</f>
        <v>公司红周转筐</v>
      </c>
      <c r="T241" s="212">
        <f>IFERROR(IF([2]对账明细接口!$O241=0,"",[2]对账明细接口!$O241),"")</f>
        <v>315</v>
      </c>
      <c r="U241" s="212">
        <f>IFERROR(IF([2]对账明细接口!$P241=0,"",[2]对账明细接口!$P241),"")</f>
      </c>
      <c r="V241" s="212">
        <f>IFERROR(IF([2]对账明细接口!$Q241=0,"",[2]对账明细接口!$Q241),"")</f>
      </c>
      <c r="W241" s="20" t="str">
        <f>IFERROR(IF([2]对账明细接口!$R241=0,"",[2]对账明细接口!$R241),"")</f>
        <v>新N*X8S48</v>
      </c>
      <c r="X241" s="20" t="str">
        <f>IFERROR(IF([2]对账明细接口!$S241=0,"",[2]对账明细接口!$S241),"")</f>
        <v>公司筐</v>
      </c>
      <c r="Y241" s="20">
        <f>""</f>
      </c>
      <c r="Z241" s="20">
        <f>""</f>
      </c>
      <c r="AA241" s="20">
        <f>""</f>
      </c>
      <c r="AB241" s="20">
        <f>""</f>
      </c>
    </row>
    <row r="242" s="127">
      <c r="A242" s="14" t="n">
        <v>242</v>
      </c>
      <c r="B242" s="211">
        <f>IFERROR(IF([2]对账明细接口!$B$242=0,"",[2]对账明细接口!$B$242),"")</f>
        <v>46289.0</v>
      </c>
      <c r="C242" s="16" t="str">
        <f>IFERROR(IF([2]对账明细接口!$C$242=0,"",[2]对账明细接口!$C$242),"")</f>
        <v>麦麦提</v>
      </c>
      <c r="D242" s="16" t="str">
        <f>IFERROR(IF([2]对账明细接口!$D$242=0,"",[2]对账明细接口!$D$242),"")</f>
        <v>周转筐－领用出库</v>
      </c>
      <c r="E242" s="16" t="str">
        <f>IFERROR(IF([2]对账明细接口!$E$242=0,"",[2]对账明细接口!$E$242),"")</f>
        <v>NO:0001235</v>
      </c>
      <c r="F242" s="16" t="str">
        <f>IFERROR(IF([2]对账明细接口!$F$242=0,"",[2]对账明细接口!$F$242),"")</f>
        <v>公司红周转筐</v>
      </c>
      <c r="G242" s="16">
        <f>IFERROR(IF([2]对账明细接口!$G$242=0,"",[2]对账明细接口!$G$242),"")</f>
      </c>
      <c r="H242" s="176">
        <f>IFERROR(IF([2]对账明细接口!$H$242=0,"",[2]对账明细接口!$H$242),"")</f>
        <v>720</v>
      </c>
      <c r="I242" s="16" t="str">
        <f>IFERROR(IF([2]对账明细接口!$I$242=0,"",[2]对账明细接口!$I$242),"")</f>
        <v>个</v>
      </c>
      <c r="J242" s="177">
        <f>IFERROR(IF([2]对账明细接口!$J$242=0,"",[2]对账明细接口!$J$242),"")</f>
      </c>
      <c r="K242" s="177">
        <f>IFERROR(IF([2]对账明细接口!$K$242=0,"",[2]对账明细接口!$K$242),"")</f>
      </c>
      <c r="L242" s="16">
        <f>IFERROR(IF([2]对账明细接口!$L$242=0,"",[2]对账明细接口!$L$242),"")</f>
      </c>
      <c r="M242" s="16">
        <f>IFERROR(IF([2]对账明细接口!$M$242=0,"",[2]对账明细接口!$M$242),"")</f>
      </c>
      <c r="N242" s="19">
        <f>IF($C242="",0,1)</f>
        <v>1</v>
      </c>
      <c r="O242" s="19">
        <f>N(O241)+$N242</f>
        <v>239</v>
      </c>
      <c r="S242" s="20" t="str">
        <f>IFERROR(IF([2]对账明细接口!$N242=0,"",[2]对账明细接口!$N242),"")</f>
        <v>公司红周转筐</v>
      </c>
      <c r="T242" s="212">
        <f>IFERROR(IF([2]对账明细接口!$O242=0,"",[2]对账明细接口!$O242),"")</f>
        <v>720</v>
      </c>
      <c r="U242" s="212">
        <f>IFERROR(IF([2]对账明细接口!$P242=0,"",[2]对账明细接口!$P242),"")</f>
      </c>
      <c r="V242" s="212">
        <f>IFERROR(IF([2]对账明细接口!$Q242=0,"",[2]对账明细接口!$Q242),"")</f>
      </c>
      <c r="W242" s="20" t="str">
        <f>IFERROR(IF([2]对账明细接口!$R242=0,"",[2]对账明细接口!$R242),"")</f>
        <v>新R*37010</v>
      </c>
      <c r="X242" s="20" t="str">
        <f>IFERROR(IF([2]对账明细接口!$S242=0,"",[2]对账明细接口!$S242),"")</f>
        <v>公司筐</v>
      </c>
      <c r="Y242" s="20">
        <f>""</f>
      </c>
      <c r="Z242" s="20">
        <f>""</f>
      </c>
      <c r="AA242" s="20">
        <f>""</f>
      </c>
      <c r="AB242" s="20">
        <f>""</f>
      </c>
    </row>
    <row r="243" s="127">
      <c r="A243" s="14" t="n">
        <v>243</v>
      </c>
      <c r="B243" s="211">
        <f>IFERROR(IF([2]对账明细接口!$B$243=0,"",[2]对账明细接口!$B$243),"")</f>
        <v>46290.0</v>
      </c>
      <c r="C243" s="16" t="str">
        <f>IFERROR(IF([2]对账明细接口!$C$243=0,"",[2]对账明细接口!$C$243),"")</f>
        <v>荆建君</v>
      </c>
      <c r="D243" s="16" t="str">
        <f>IFERROR(IF([2]对账明细接口!$D$243=0,"",[2]对账明细接口!$D$243),"")</f>
        <v>周转筐－领用出库</v>
      </c>
      <c r="E243" s="16" t="str">
        <f>IFERROR(IF([2]对账明细接口!$E$243=0,"",[2]对账明细接口!$E$243),"")</f>
        <v>NO:0001236</v>
      </c>
      <c r="F243" s="16" t="str">
        <f>IFERROR(IF([2]对账明细接口!$F$243=0,"",[2]对账明细接口!$F$243),"")</f>
        <v>公司红周转筐</v>
      </c>
      <c r="G243" s="16">
        <f>IFERROR(IF([2]对账明细接口!$G$243=0,"",[2]对账明细接口!$G$243),"")</f>
      </c>
      <c r="H243" s="176">
        <f>IFERROR(IF([2]对账明细接口!$H$243=0,"",[2]对账明细接口!$H$243),"")</f>
        <v>480</v>
      </c>
      <c r="I243" s="16" t="str">
        <f>IFERROR(IF([2]对账明细接口!$I$243=0,"",[2]对账明细接口!$I$243),"")</f>
        <v>个</v>
      </c>
      <c r="J243" s="177">
        <f>IFERROR(IF([2]对账明细接口!$J$243=0,"",[2]对账明细接口!$J$243),"")</f>
      </c>
      <c r="K243" s="177">
        <f>IFERROR(IF([2]对账明细接口!$K$243=0,"",[2]对账明细接口!$K$243),"")</f>
      </c>
      <c r="L243" s="16">
        <f>IFERROR(IF([2]对账明细接口!$L$243=0,"",[2]对账明细接口!$L$243),"")</f>
      </c>
      <c r="M243" s="16">
        <f>IFERROR(IF([2]对账明细接口!$M$243=0,"",[2]对账明细接口!$M$243),"")</f>
      </c>
      <c r="N243" s="19">
        <f>IF($C243="",0,1)</f>
        <v>1</v>
      </c>
      <c r="O243" s="19">
        <f>N(O242)+$N243</f>
        <v>240</v>
      </c>
      <c r="S243" s="20" t="str">
        <f>IFERROR(IF([2]对账明细接口!$N243=0,"",[2]对账明细接口!$N243),"")</f>
        <v>公司红周转筐</v>
      </c>
      <c r="T243" s="212">
        <f>IFERROR(IF([2]对账明细接口!$O243=0,"",[2]对账明细接口!$O243),"")</f>
        <v>480</v>
      </c>
      <c r="U243" s="212">
        <f>IFERROR(IF([2]对账明细接口!$P243=0,"",[2]对账明细接口!$P243),"")</f>
      </c>
      <c r="V243" s="212">
        <f>IFERROR(IF([2]对账明细接口!$Q243=0,"",[2]对账明细接口!$Q243),"")</f>
      </c>
      <c r="W243" s="20" t="str">
        <f>IFERROR(IF([2]对账明细接口!$R243=0,"",[2]对账明细接口!$R243),"")</f>
        <v>豫A*2737K</v>
      </c>
      <c r="X243" s="20" t="str">
        <f>IFERROR(IF([2]对账明细接口!$S243=0,"",[2]对账明细接口!$S243),"")</f>
        <v>公司筐</v>
      </c>
      <c r="Y243" s="20">
        <f>""</f>
      </c>
      <c r="Z243" s="20">
        <f>""</f>
      </c>
      <c r="AA243" s="20">
        <f>""</f>
      </c>
      <c r="AB243" s="20">
        <f>""</f>
      </c>
    </row>
    <row r="244" s="127">
      <c r="A244" s="14" t="n">
        <v>244</v>
      </c>
      <c r="B244" s="211">
        <f>IFERROR(IF([2]对账明细接口!$B$244=0,"",[2]对账明细接口!$B$244),"")</f>
        <v>46290.0</v>
      </c>
      <c r="C244" s="16" t="str">
        <f>IFERROR(IF([2]对账明细接口!$C$244=0,"",[2]对账明细接口!$C$244),"")</f>
        <v>李现东</v>
      </c>
      <c r="D244" s="16" t="str">
        <f>IFERROR(IF([2]对账明细接口!$D$244=0,"",[2]对账明细接口!$D$244),"")</f>
        <v>周转筐－退回入库</v>
      </c>
      <c r="E244" s="16" t="str">
        <f>IFERROR(IF([2]对账明细接口!$E$244=0,"",[2]对账明细接口!$E$244),"")</f>
        <v>NO:0000976</v>
      </c>
      <c r="F244" s="16" t="str">
        <f>IFERROR(IF([2]对账明细接口!$F$244=0,"",[2]对账明细接口!$F$244),"")</f>
        <v>公司杂周转筐</v>
      </c>
      <c r="G244" s="16">
        <f>IFERROR(IF([2]对账明细接口!$G$244=0,"",[2]对账明细接口!$G$244),"")</f>
      </c>
      <c r="H244" s="176">
        <f>IFERROR(IF([2]对账明细接口!$H$244=0,"",[2]对账明细接口!$H$244),"")</f>
        <v>939</v>
      </c>
      <c r="I244" s="16" t="str">
        <f>IFERROR(IF([2]对账明细接口!$I$244=0,"",[2]对账明细接口!$I$244),"")</f>
        <v>个</v>
      </c>
      <c r="J244" s="177">
        <f>IFERROR(IF([2]对账明细接口!$J$244=0,"",[2]对账明细接口!$J$244),"")</f>
      </c>
      <c r="K244" s="177">
        <f>IFERROR(IF([2]对账明细接口!$K$244=0,"",[2]对账明细接口!$K$244),"")</f>
      </c>
      <c r="L244" s="16">
        <f>IFERROR(IF([2]对账明细接口!$L$244=0,"",[2]对账明细接口!$L$244),"")</f>
      </c>
      <c r="M244" s="16" t="str">
        <f>IFERROR(IF([2]对账明细接口!$M$244=0,"",[2]对账明细接口!$M$244),"")</f>
        <v>退回库</v>
      </c>
      <c r="N244" s="19">
        <f>IF($C244="",0,1)</f>
        <v>1</v>
      </c>
      <c r="O244" s="19">
        <f>N(O243)+$N244</f>
        <v>241</v>
      </c>
      <c r="S244" s="20" t="str">
        <f>IFERROR(IF([2]对账明细接口!$N244=0,"",[2]对账明细接口!$N244),"")</f>
        <v>公司杂周转筐</v>
      </c>
      <c r="T244" s="212">
        <f>IFERROR(IF([2]对账明细接口!$O244=0,"",[2]对账明细接口!$O244),"")</f>
      </c>
      <c r="U244" s="212">
        <f>IFERROR(IF([2]对账明细接口!$P244=0,"",[2]对账明细接口!$P244),"")</f>
        <v>939</v>
      </c>
      <c r="V244" s="212">
        <f>IFERROR(IF([2]对账明细接口!$Q244=0,"",[2]对账明细接口!$Q244),"")</f>
      </c>
      <c r="W244" s="20" t="str">
        <f>IFERROR(IF([2]对账明细接口!$R244=0,"",[2]对账明细接口!$R244),"")</f>
        <v>新N*53045</v>
      </c>
      <c r="X244" s="20" t="str">
        <f>IFERROR(IF([2]对账明细接口!$S244=0,"",[2]对账明细接口!$S244),"")</f>
        <v>公司筐</v>
      </c>
      <c r="Y244" s="20">
        <f>""</f>
      </c>
      <c r="Z244" s="20">
        <f>""</f>
      </c>
      <c r="AA244" s="20">
        <f>""</f>
      </c>
      <c r="AB244" s="20">
        <f>""</f>
      </c>
    </row>
    <row r="245" s="127">
      <c r="A245" s="14" t="n">
        <v>245</v>
      </c>
      <c r="B245" s="211">
        <f>IFERROR(IF([2]对账明细接口!$B$245=0,"",[2]对账明细接口!$B$245),"")</f>
        <v>46290.0</v>
      </c>
      <c r="C245" s="16" t="str">
        <f>IFERROR(IF([2]对账明细接口!$C$245=0,"",[2]对账明细接口!$C$245),"")</f>
        <v>吐尔地</v>
      </c>
      <c r="D245" s="16" t="str">
        <f>IFERROR(IF([2]对账明细接口!$D$245=0,"",[2]对账明细接口!$D$245),"")</f>
        <v>周转筐－领用出库</v>
      </c>
      <c r="E245" s="16" t="str">
        <f>IFERROR(IF([2]对账明细接口!$E$245=0,"",[2]对账明细接口!$E$245),"")</f>
        <v>NO:0001238</v>
      </c>
      <c r="F245" s="16" t="str">
        <f>IFERROR(IF([2]对账明细接口!$F$245=0,"",[2]对账明细接口!$F$245),"")</f>
        <v>公司红周转筐</v>
      </c>
      <c r="G245" s="16">
        <f>IFERROR(IF([2]对账明细接口!$G$245=0,"",[2]对账明细接口!$G$245),"")</f>
      </c>
      <c r="H245" s="176">
        <f>IFERROR(IF([2]对账明细接口!$H$245=0,"",[2]对账明细接口!$H$245),"")</f>
        <v>319</v>
      </c>
      <c r="I245" s="16" t="str">
        <f>IFERROR(IF([2]对账明细接口!$I$245=0,"",[2]对账明细接口!$I$245),"")</f>
        <v>个</v>
      </c>
      <c r="J245" s="177">
        <f>IFERROR(IF([2]对账明细接口!$J$245=0,"",[2]对账明细接口!$J$245),"")</f>
      </c>
      <c r="K245" s="177">
        <f>IFERROR(IF([2]对账明细接口!$K$245=0,"",[2]对账明细接口!$K$245),"")</f>
      </c>
      <c r="L245" s="16">
        <f>IFERROR(IF([2]对账明细接口!$L$245=0,"",[2]对账明细接口!$L$245),"")</f>
      </c>
      <c r="M245" s="16">
        <f>IFERROR(IF([2]对账明细接口!$M$245=0,"",[2]对账明细接口!$M$245),"")</f>
      </c>
      <c r="N245" s="19">
        <f>IF($C245="",0,1)</f>
        <v>1</v>
      </c>
      <c r="O245" s="19">
        <f>N(O244)+$N245</f>
        <v>242</v>
      </c>
      <c r="S245" s="20" t="str">
        <f>IFERROR(IF([2]对账明细接口!$N245=0,"",[2]对账明细接口!$N245),"")</f>
        <v>公司红周转筐</v>
      </c>
      <c r="T245" s="212">
        <f>IFERROR(IF([2]对账明细接口!$O245=0,"",[2]对账明细接口!$O245),"")</f>
        <v>319</v>
      </c>
      <c r="U245" s="212">
        <f>IFERROR(IF([2]对账明细接口!$P245=0,"",[2]对账明细接口!$P245),"")</f>
      </c>
      <c r="V245" s="212">
        <f>IFERROR(IF([2]对账明细接口!$Q245=0,"",[2]对账明细接口!$Q245),"")</f>
      </c>
      <c r="W245" s="20" t="str">
        <f>IFERROR(IF([2]对账明细接口!$R245=0,"",[2]对账明细接口!$R245),"")</f>
        <v>新N*X8S48</v>
      </c>
      <c r="X245" s="20" t="str">
        <f>IFERROR(IF([2]对账明细接口!$S245=0,"",[2]对账明细接口!$S245),"")</f>
        <v>公司筐</v>
      </c>
      <c r="Y245" s="20">
        <f>""</f>
      </c>
      <c r="Z245" s="20">
        <f>""</f>
      </c>
      <c r="AA245" s="20">
        <f>""</f>
      </c>
      <c r="AB245" s="20">
        <f>""</f>
      </c>
    </row>
    <row r="246" s="127">
      <c r="A246" s="14" t="n">
        <v>246</v>
      </c>
      <c r="B246" s="211">
        <f>IFERROR(IF([2]对账明细接口!$B$246=0,"",[2]对账明细接口!$B$246),"")</f>
        <v>46291.0</v>
      </c>
      <c r="C246" s="16" t="str">
        <f>IFERROR(IF([2]对账明细接口!$C$246=0,"",[2]对账明细接口!$C$246),"")</f>
        <v>全修塑业</v>
      </c>
      <c r="D246" s="16" t="str">
        <f>IFERROR(IF([2]对账明细接口!$D$246=0,"",[2]对账明细接口!$D$246),"")</f>
        <v>周转筐－采购入库</v>
      </c>
      <c r="E246" s="16" t="str">
        <f>IFERROR(IF([2]对账明细接口!$E$246=0,"",[2]对账明细接口!$E$246),"")</f>
        <v>NO:0000987</v>
      </c>
      <c r="F246" s="16" t="str">
        <f>IFERROR(IF([2]对账明细接口!$F$246=0,"",[2]对账明细接口!$F$246),"")</f>
        <v>公司红周转筐</v>
      </c>
      <c r="G246" s="16">
        <f>IFERROR(IF([2]对账明细接口!$G$246=0,"",[2]对账明细接口!$G$246),"")</f>
      </c>
      <c r="H246" s="176">
        <f>IFERROR(IF([2]对账明细接口!$H$246=0,"",[2]对账明细接口!$H$246),"")</f>
        <v>501</v>
      </c>
      <c r="I246" s="16" t="str">
        <f>IFERROR(IF([2]对账明细接口!$I$246=0,"",[2]对账明细接口!$I$246),"")</f>
        <v>个</v>
      </c>
      <c r="J246" s="177">
        <f>IFERROR(IF([2]对账明细接口!$J$246=0,"",[2]对账明细接口!$J$246),"")</f>
      </c>
      <c r="K246" s="177">
        <f>IFERROR(IF([2]对账明细接口!$K$246=0,"",[2]对账明细接口!$K$246),"")</f>
        <v>5010</v>
      </c>
      <c r="L246" s="16" t="str">
        <f>IFERROR(IF([2]对账明细接口!$L$246=0,"",[2]对账明细接口!$L$246),"")</f>
        <v>未付款</v>
      </c>
      <c r="M246" s="16" t="str">
        <f>IFERROR(IF([2]对账明细接口!$M$246=0,"",[2]对账明细接口!$M$246),"")</f>
        <v>NO:0005262</v>
      </c>
      <c r="N246" s="19">
        <f>IF($C246="",0,1)</f>
        <v>1</v>
      </c>
      <c r="O246" s="19">
        <f>N(O245)+$N246</f>
        <v>243</v>
      </c>
      <c r="S246" s="20" t="str">
        <f>IFERROR(IF([2]对账明细接口!$N246=0,"",[2]对账明细接口!$N246),"")</f>
        <v>公司红周转筐</v>
      </c>
      <c r="T246" s="212">
        <f>IFERROR(IF([2]对账明细接口!$O246=0,"",[2]对账明细接口!$O246),"")</f>
      </c>
      <c r="U246" s="212">
        <f>IFERROR(IF([2]对账明细接口!$P246=0,"",[2]对账明细接口!$P246),"")</f>
      </c>
      <c r="V246" s="212">
        <f>IFERROR(IF([2]对账明细接口!$Q246=0,"",[2]对账明细接口!$Q246),"")</f>
        <v>501</v>
      </c>
      <c r="W246" s="20" t="str">
        <f>IFERROR(IF([2]对账明细接口!$R246=0,"",[2]对账明细接口!$R246),"")</f>
        <v>新N*49209</v>
      </c>
      <c r="X246" s="20" t="str">
        <f>IFERROR(IF([2]对账明细接口!$S246=0,"",[2]对账明细接口!$S246),"")</f>
        <v>公司筐</v>
      </c>
      <c r="Y246" s="20">
        <f>""</f>
      </c>
      <c r="Z246" s="20">
        <f>""</f>
      </c>
      <c r="AA246" s="20">
        <f>""</f>
      </c>
      <c r="AB246" s="20">
        <f>""</f>
      </c>
    </row>
    <row r="247" s="127">
      <c r="A247" s="14" t="n">
        <v>247</v>
      </c>
      <c r="B247" s="211">
        <f>IFERROR(IF([2]对账明细接口!$B$247=0,"",[2]对账明细接口!$B$247),"")</f>
        <v>46292.0</v>
      </c>
      <c r="C247" s="16" t="str">
        <f>IFERROR(IF([2]对账明细接口!$C$247=0,"",[2]对账明细接口!$C$247),"")</f>
        <v>王灵云</v>
      </c>
      <c r="D247" s="16" t="str">
        <f>IFERROR(IF([2]对账明细接口!$D$247=0,"",[2]对账明细接口!$D$247),"")</f>
        <v>周转筐－领用出库</v>
      </c>
      <c r="E247" s="16" t="str">
        <f>IFERROR(IF([2]对账明细接口!$E$247=0,"",[2]对账明细接口!$E$247),"")</f>
        <v>NO:0001242</v>
      </c>
      <c r="F247" s="16" t="str">
        <f>IFERROR(IF([2]对账明细接口!$F$247=0,"",[2]对账明细接口!$F$247),"")</f>
        <v>公司红周转筐</v>
      </c>
      <c r="G247" s="16">
        <f>IFERROR(IF([2]对账明细接口!$G$247=0,"",[2]对账明细接口!$G$247),"")</f>
      </c>
      <c r="H247" s="176">
        <f>IFERROR(IF([2]对账明细接口!$H$247=0,"",[2]对账明细接口!$H$247),"")</f>
        <v>501</v>
      </c>
      <c r="I247" s="16" t="str">
        <f>IFERROR(IF([2]对账明细接口!$I$247=0,"",[2]对账明细接口!$I$247),"")</f>
        <v>个</v>
      </c>
      <c r="J247" s="177">
        <f>IFERROR(IF([2]对账明细接口!$J$247=0,"",[2]对账明细接口!$J$247),"")</f>
      </c>
      <c r="K247" s="177">
        <f>IFERROR(IF([2]对账明细接口!$K$247=0,"",[2]对账明细接口!$K$247),"")</f>
      </c>
      <c r="L247" s="16">
        <f>IFERROR(IF([2]对账明细接口!$L$247=0,"",[2]对账明细接口!$L$247),"")</f>
      </c>
      <c r="M247" s="16">
        <f>IFERROR(IF([2]对账明细接口!$M$247=0,"",[2]对账明细接口!$M$247),"")</f>
      </c>
      <c r="N247" s="19">
        <f>IF($C247="",0,1)</f>
        <v>1</v>
      </c>
      <c r="O247" s="19">
        <f>N(O246)+$N247</f>
        <v>244</v>
      </c>
      <c r="S247" s="20" t="str">
        <f>IFERROR(IF([2]对账明细接口!$N247=0,"",[2]对账明细接口!$N247),"")</f>
        <v>公司红周转筐</v>
      </c>
      <c r="T247" s="212">
        <f>IFERROR(IF([2]对账明细接口!$O247=0,"",[2]对账明细接口!$O247),"")</f>
        <v>501</v>
      </c>
      <c r="U247" s="212">
        <f>IFERROR(IF([2]对账明细接口!$P247=0,"",[2]对账明细接口!$P247),"")</f>
      </c>
      <c r="V247" s="212">
        <f>IFERROR(IF([2]对账明细接口!$Q247=0,"",[2]对账明细接口!$Q247),"")</f>
      </c>
      <c r="W247" s="20" t="str">
        <f>IFERROR(IF([2]对账明细接口!$R247=0,"",[2]对账明细接口!$R247),"")</f>
        <v>新N*49209</v>
      </c>
      <c r="X247" s="20" t="str">
        <f>IFERROR(IF([2]对账明细接口!$S247=0,"",[2]对账明细接口!$S247),"")</f>
        <v>公司筐</v>
      </c>
      <c r="Y247" s="20">
        <f>""</f>
      </c>
      <c r="Z247" s="20">
        <f>""</f>
      </c>
      <c r="AA247" s="20">
        <f>""</f>
      </c>
      <c r="AB247" s="20">
        <f>""</f>
      </c>
    </row>
    <row r="248" s="127">
      <c r="A248" s="14" t="n">
        <v>248</v>
      </c>
      <c r="B248" s="211">
        <f>IFERROR(IF([2]对账明细接口!$B$248=0,"",[2]对账明细接口!$B$248),"")</f>
        <v>46292.0</v>
      </c>
      <c r="C248" s="16" t="str">
        <f>IFERROR(IF([2]对账明细接口!$C$248=0,"",[2]对账明细接口!$C$248),"")</f>
        <v>热合曼</v>
      </c>
      <c r="D248" s="16" t="str">
        <f>IFERROR(IF([2]对账明细接口!$D$248=0,"",[2]对账明细接口!$D$248),"")</f>
        <v>周转筐－退回入库</v>
      </c>
      <c r="E248" s="16" t="str">
        <f>IFERROR(IF([2]对账明细接口!$E$248=0,"",[2]对账明细接口!$E$248),"")</f>
        <v>NO:0000989</v>
      </c>
      <c r="F248" s="16" t="str">
        <f>IFERROR(IF([2]对账明细接口!$F$248=0,"",[2]对账明细接口!$F$248),"")</f>
        <v>公司红周转筐</v>
      </c>
      <c r="G248" s="16">
        <f>IFERROR(IF([2]对账明细接口!$G$248=0,"",[2]对账明细接口!$G$248),"")</f>
      </c>
      <c r="H248" s="176">
        <f>IFERROR(IF([2]对账明细接口!$H$248=0,"",[2]对账明细接口!$H$248),"")</f>
        <v>96</v>
      </c>
      <c r="I248" s="16" t="str">
        <f>IFERROR(IF([2]对账明细接口!$I$248=0,"",[2]对账明细接口!$I$248),"")</f>
        <v>个</v>
      </c>
      <c r="J248" s="177">
        <f>IFERROR(IF([2]对账明细接口!$J$248=0,"",[2]对账明细接口!$J$248),"")</f>
      </c>
      <c r="K248" s="177">
        <f>IFERROR(IF([2]对账明细接口!$K$248=0,"",[2]对账明细接口!$K$248),"")</f>
      </c>
      <c r="L248" s="16">
        <f>IFERROR(IF([2]对账明细接口!$L$248=0,"",[2]对账明细接口!$L$248),"")</f>
      </c>
      <c r="M248" s="16" t="str">
        <f>IFERROR(IF([2]对账明细接口!$M$248=0,"",[2]对账明细接口!$M$248),"")</f>
        <v>艾海提</v>
      </c>
      <c r="N248" s="19">
        <f>IF($C248="",0,1)</f>
        <v>1</v>
      </c>
      <c r="O248" s="19">
        <f>N(O247)+$N248</f>
        <v>245</v>
      </c>
      <c r="S248" s="20" t="str">
        <f>IFERROR(IF([2]对账明细接口!$N248=0,"",[2]对账明细接口!$N248),"")</f>
        <v>公司红周转筐</v>
      </c>
      <c r="T248" s="212">
        <f>IFERROR(IF([2]对账明细接口!$O248=0,"",[2]对账明细接口!$O248),"")</f>
      </c>
      <c r="U248" s="212">
        <f>IFERROR(IF([2]对账明细接口!$P248=0,"",[2]对账明细接口!$P248),"")</f>
        <v>96</v>
      </c>
      <c r="V248" s="212">
        <f>IFERROR(IF([2]对账明细接口!$Q248=0,"",[2]对账明细接口!$Q248),"")</f>
      </c>
      <c r="W248" s="20" t="str">
        <f>IFERROR(IF([2]对账明细接口!$R248=0,"",[2]对账明细接口!$R248),"")</f>
        <v>新N*WX586</v>
      </c>
      <c r="X248" s="20" t="str">
        <f>IFERROR(IF([2]对账明细接口!$S248=0,"",[2]对账明细接口!$S248),"")</f>
        <v>公司筐</v>
      </c>
      <c r="Y248" s="20">
        <f>""</f>
      </c>
      <c r="Z248" s="20">
        <f>""</f>
      </c>
      <c r="AA248" s="20">
        <f>""</f>
      </c>
      <c r="AB248" s="20">
        <f>""</f>
      </c>
    </row>
    <row r="249" s="127">
      <c r="A249" s="14" t="n">
        <v>249</v>
      </c>
      <c r="B249" s="211">
        <f>IFERROR(IF([2]对账明细接口!$B$249=0,"",[2]对账明细接口!$B$249),"")</f>
        <v>46292.0</v>
      </c>
      <c r="C249" s="16" t="str">
        <f>IFERROR(IF([2]对账明细接口!$C$249=0,"",[2]对账明细接口!$C$249),"")</f>
        <v>全修塑业</v>
      </c>
      <c r="D249" s="16" t="str">
        <f>IFERROR(IF([2]对账明细接口!$D$249=0,"",[2]对账明细接口!$D$249),"")</f>
        <v>周转筐－采购入库</v>
      </c>
      <c r="E249" s="16" t="str">
        <f>IFERROR(IF([2]对账明细接口!$E$249=0,"",[2]对账明细接口!$E$249),"")</f>
        <v>NO:0000996</v>
      </c>
      <c r="F249" s="16" t="str">
        <f>IFERROR(IF([2]对账明细接口!$F$249=0,"",[2]对账明细接口!$F$249),"")</f>
        <v>公司红周转筐</v>
      </c>
      <c r="G249" s="16">
        <f>IFERROR(IF([2]对账明细接口!$G$249=0,"",[2]对账明细接口!$G$249),"")</f>
      </c>
      <c r="H249" s="176">
        <f>IFERROR(IF([2]对账明细接口!$H$249=0,"",[2]对账明细接口!$H$249),"")</f>
        <v>504</v>
      </c>
      <c r="I249" s="16" t="str">
        <f>IFERROR(IF([2]对账明细接口!$I$249=0,"",[2]对账明细接口!$I$249),"")</f>
        <v>个</v>
      </c>
      <c r="J249" s="177">
        <f>IFERROR(IF([2]对账明细接口!$J$249=0,"",[2]对账明细接口!$J$249),"")</f>
      </c>
      <c r="K249" s="177">
        <f>IFERROR(IF([2]对账明细接口!$K$249=0,"",[2]对账明细接口!$K$249),"")</f>
        <v>5040</v>
      </c>
      <c r="L249" s="16" t="str">
        <f>IFERROR(IF([2]对账明细接口!$L$249=0,"",[2]对账明细接口!$L$249),"")</f>
        <v>未付款</v>
      </c>
      <c r="M249" s="16" t="str">
        <f>IFERROR(IF([2]对账明细接口!$M$249=0,"",[2]对账明细接口!$M$249),"")</f>
        <v>NO:0005264</v>
      </c>
      <c r="N249" s="19">
        <f>IF($C249="",0,1)</f>
        <v>1</v>
      </c>
      <c r="O249" s="19">
        <f>N(O248)+$N249</f>
        <v>246</v>
      </c>
      <c r="S249" s="20" t="str">
        <f>IFERROR(IF([2]对账明细接口!$N249=0,"",[2]对账明细接口!$N249),"")</f>
        <v>公司红周转筐</v>
      </c>
      <c r="T249" s="212">
        <f>IFERROR(IF([2]对账明细接口!$O249=0,"",[2]对账明细接口!$O249),"")</f>
      </c>
      <c r="U249" s="212">
        <f>IFERROR(IF([2]对账明细接口!$P249=0,"",[2]对账明细接口!$P249),"")</f>
      </c>
      <c r="V249" s="212">
        <f>IFERROR(IF([2]对账明细接口!$Q249=0,"",[2]对账明细接口!$Q249),"")</f>
        <v>504</v>
      </c>
      <c r="W249" s="20" t="str">
        <f>IFERROR(IF([2]对账明细接口!$R249=0,"",[2]对账明细接口!$R249),"")</f>
        <v>新N*F0M01</v>
      </c>
      <c r="X249" s="20" t="str">
        <f>IFERROR(IF([2]对账明细接口!$S249=0,"",[2]对账明细接口!$S249),"")</f>
        <v>公司筐</v>
      </c>
      <c r="Y249" s="20">
        <f>""</f>
      </c>
      <c r="Z249" s="20">
        <f>""</f>
      </c>
      <c r="AA249" s="20">
        <f>""</f>
      </c>
      <c r="AB249" s="20">
        <f>""</f>
      </c>
    </row>
    <row r="250" s="127">
      <c r="A250" s="14" t="n">
        <v>250</v>
      </c>
      <c r="B250" s="211">
        <f>IFERROR(IF([2]对账明细接口!$B$250=0,"",[2]对账明细接口!$B$250),"")</f>
        <v>46292.0</v>
      </c>
      <c r="C250" s="16" t="str">
        <f>IFERROR(IF([2]对账明细接口!$C$250=0,"",[2]对账明细接口!$C$250),"")</f>
        <v>努尔敦</v>
      </c>
      <c r="D250" s="16" t="str">
        <f>IFERROR(IF([2]对账明细接口!$D$250=0,"",[2]对账明细接口!$D$250),"")</f>
        <v>周转筐－领用出库</v>
      </c>
      <c r="E250" s="16" t="str">
        <f>IFERROR(IF([2]对账明细接口!$E$250=0,"",[2]对账明细接口!$E$250),"")</f>
        <v>NO:0001243</v>
      </c>
      <c r="F250" s="16" t="str">
        <f>IFERROR(IF([2]对账明细接口!$F$250=0,"",[2]对账明细接口!$F$250),"")</f>
        <v>公司红周转筐</v>
      </c>
      <c r="G250" s="16">
        <f>IFERROR(IF([2]对账明细接口!$G$250=0,"",[2]对账明细接口!$G$250),"")</f>
      </c>
      <c r="H250" s="176">
        <f>IFERROR(IF([2]对账明细接口!$H$250=0,"",[2]对账明细接口!$H$250),"")</f>
        <v>504</v>
      </c>
      <c r="I250" s="16" t="str">
        <f>IFERROR(IF([2]对账明细接口!$I$250=0,"",[2]对账明细接口!$I$250),"")</f>
        <v>个</v>
      </c>
      <c r="J250" s="177">
        <f>IFERROR(IF([2]对账明细接口!$J$250=0,"",[2]对账明细接口!$J$250),"")</f>
      </c>
      <c r="K250" s="177">
        <f>IFERROR(IF([2]对账明细接口!$K$250=0,"",[2]对账明细接口!$K$250),"")</f>
      </c>
      <c r="L250" s="16">
        <f>IFERROR(IF([2]对账明细接口!$L$250=0,"",[2]对账明细接口!$L$250),"")</f>
      </c>
      <c r="M250" s="16" t="str">
        <f>IFERROR(IF([2]对账明细接口!$M$250=0,"",[2]对账明细接口!$M$250),"")</f>
        <v>红筐+绿筐</v>
      </c>
      <c r="N250" s="19">
        <f>IF($C250="",0,1)</f>
        <v>1</v>
      </c>
      <c r="O250" s="19">
        <f>N(O249)+$N250</f>
        <v>247</v>
      </c>
      <c r="S250" s="20" t="str">
        <f>IFERROR(IF([2]对账明细接口!$N250=0,"",[2]对账明细接口!$N250),"")</f>
        <v>公司红周转筐</v>
      </c>
      <c r="T250" s="212">
        <f>IFERROR(IF([2]对账明细接口!$O250=0,"",[2]对账明细接口!$O250),"")</f>
        <v>504</v>
      </c>
      <c r="U250" s="212">
        <f>IFERROR(IF([2]对账明细接口!$P250=0,"",[2]对账明细接口!$P250),"")</f>
      </c>
      <c r="V250" s="212">
        <f>IFERROR(IF([2]对账明细接口!$Q250=0,"",[2]对账明细接口!$Q250),"")</f>
      </c>
      <c r="W250" s="20" t="str">
        <f>IFERROR(IF([2]对账明细接口!$R250=0,"",[2]对账明细接口!$R250),"")</f>
        <v>新N*F0M01</v>
      </c>
      <c r="X250" s="20" t="str">
        <f>IFERROR(IF([2]对账明细接口!$S250=0,"",[2]对账明细接口!$S250),"")</f>
        <v>公司筐</v>
      </c>
      <c r="Y250" s="20">
        <f>""</f>
      </c>
      <c r="Z250" s="20">
        <f>""</f>
      </c>
      <c r="AA250" s="20">
        <f>""</f>
      </c>
      <c r="AB250" s="20">
        <f>""</f>
      </c>
    </row>
    <row r="251" s="127">
      <c r="A251" s="14" t="n">
        <v>251</v>
      </c>
      <c r="B251" s="211">
        <f>IFERROR(IF([2]对账明细接口!$B$251=0,"",[2]对账明细接口!$B$251),"")</f>
        <v>46292.0</v>
      </c>
      <c r="C251" s="16" t="str">
        <f>IFERROR(IF([2]对账明细接口!$C$251=0,"",[2]对账明细接口!$C$251),"")</f>
        <v>贾建国</v>
      </c>
      <c r="D251" s="16" t="str">
        <f>IFERROR(IF([2]对账明细接口!$D$251=0,"",[2]对账明细接口!$D$251),"")</f>
        <v>周转筐－退回入库</v>
      </c>
      <c r="E251" s="16" t="str">
        <f>IFERROR(IF([2]对账明细接口!$E$251=0,"",[2]对账明细接口!$E$251),"")</f>
        <v>NO:0000998</v>
      </c>
      <c r="F251" s="16" t="str">
        <f>IFERROR(IF([2]对账明细接口!$F$251=0,"",[2]对账明细接口!$F$251),"")</f>
        <v>公司新周转筐</v>
      </c>
      <c r="G251" s="16">
        <f>IFERROR(IF([2]对账明细接口!$G$251=0,"",[2]对账明细接口!$G$251),"")</f>
      </c>
      <c r="H251" s="176">
        <f>IFERROR(IF([2]对账明细接口!$H$251=0,"",[2]对账明细接口!$H$251),"")</f>
        <v>759</v>
      </c>
      <c r="I251" s="16" t="str">
        <f>IFERROR(IF([2]对账明细接口!$I$251=0,"",[2]对账明细接口!$I$251),"")</f>
        <v>个</v>
      </c>
      <c r="J251" s="177">
        <f>IFERROR(IF([2]对账明细接口!$J$251=0,"",[2]对账明细接口!$J$251),"")</f>
      </c>
      <c r="K251" s="177">
        <f>IFERROR(IF([2]对账明细接口!$K$251=0,"",[2]对账明细接口!$K$251),"")</f>
      </c>
      <c r="L251" s="16">
        <f>IFERROR(IF([2]对账明细接口!$L$251=0,"",[2]对账明细接口!$L$251),"")</f>
      </c>
      <c r="M251" s="16">
        <f>IFERROR(IF([2]对账明细接口!$M$251=0,"",[2]对账明细接口!$M$251),"")</f>
      </c>
      <c r="N251" s="19">
        <f>IF($C251="",0,1)</f>
        <v>1</v>
      </c>
      <c r="O251" s="19">
        <f>N(O250)+$N251</f>
        <v>248</v>
      </c>
      <c r="S251" s="20" t="str">
        <f>IFERROR(IF([2]对账明细接口!$N251=0,"",[2]对账明细接口!$N251),"")</f>
        <v>公司新周转筐</v>
      </c>
      <c r="T251" s="212">
        <f>IFERROR(IF([2]对账明细接口!$O251=0,"",[2]对账明细接口!$O251),"")</f>
      </c>
      <c r="U251" s="212">
        <f>IFERROR(IF([2]对账明细接口!$P251=0,"",[2]对账明细接口!$P251),"")</f>
        <v>759</v>
      </c>
      <c r="V251" s="212">
        <f>IFERROR(IF([2]对账明细接口!$Q251=0,"",[2]对账明细接口!$Q251),"")</f>
      </c>
      <c r="W251" s="20" t="str">
        <f>IFERROR(IF([2]对账明细接口!$R251=0,"",[2]对账明细接口!$R251),"")</f>
        <v>新N*48236</v>
      </c>
      <c r="X251" s="20" t="str">
        <f>IFERROR(IF([2]对账明细接口!$S251=0,"",[2]对账明细接口!$S251),"")</f>
        <v>公司筐</v>
      </c>
      <c r="Y251" s="20">
        <f>""</f>
      </c>
      <c r="Z251" s="20">
        <f>""</f>
      </c>
      <c r="AA251" s="20">
        <f>""</f>
      </c>
      <c r="AB251" s="20">
        <f>""</f>
      </c>
    </row>
    <row r="252" s="127">
      <c r="A252" s="14" t="n">
        <v>252</v>
      </c>
      <c r="B252" s="211">
        <f>IFERROR(IF([2]对账明细接口!$B$252=0,"",[2]对账明细接口!$B$252),"")</f>
        <v>46292.0</v>
      </c>
      <c r="C252" s="16" t="str">
        <f>IFERROR(IF([2]对账明细接口!$C$252=0,"",[2]对账明细接口!$C$252),"")</f>
        <v>王灵云</v>
      </c>
      <c r="D252" s="16" t="str">
        <f>IFERROR(IF([2]对账明细接口!$D$252=0,"",[2]对账明细接口!$D$252),"")</f>
        <v>周转筐－退回入库</v>
      </c>
      <c r="E252" s="16" t="str">
        <f>IFERROR(IF([2]对账明细接口!$E$252=0,"",[2]对账明细接口!$E$252),"")</f>
        <v>NO:0001000</v>
      </c>
      <c r="F252" s="16" t="str">
        <f>IFERROR(IF([2]对账明细接口!$F$252=0,"",[2]对账明细接口!$F$252),"")</f>
        <v>公司红周转筐</v>
      </c>
      <c r="G252" s="16">
        <f>IFERROR(IF([2]对账明细接口!$G$252=0,"",[2]对账明细接口!$G$252),"")</f>
      </c>
      <c r="H252" s="176">
        <f>IFERROR(IF([2]对账明细接口!$H$252=0,"",[2]对账明细接口!$H$252),"")</f>
        <v>118</v>
      </c>
      <c r="I252" s="16" t="str">
        <f>IFERROR(IF([2]对账明细接口!$I$252=0,"",[2]对账明细接口!$I$252),"")</f>
        <v>个</v>
      </c>
      <c r="J252" s="177">
        <f>IFERROR(IF([2]对账明细接口!$J$252=0,"",[2]对账明细接口!$J$252),"")</f>
      </c>
      <c r="K252" s="177">
        <f>IFERROR(IF([2]对账明细接口!$K$252=0,"",[2]对账明细接口!$K$252),"")</f>
      </c>
      <c r="L252" s="16">
        <f>IFERROR(IF([2]对账明细接口!$L$252=0,"",[2]对账明细接口!$L$252),"")</f>
      </c>
      <c r="M252" s="16">
        <f>IFERROR(IF([2]对账明细接口!$M$252=0,"",[2]对账明细接口!$M$252),"")</f>
      </c>
      <c r="N252" s="19">
        <f>IF($C252="",0,1)</f>
        <v>1</v>
      </c>
      <c r="O252" s="19">
        <f>N(O251)+$N252</f>
        <v>249</v>
      </c>
      <c r="S252" s="20" t="str">
        <f>IFERROR(IF([2]对账明细接口!$N252=0,"",[2]对账明细接口!$N252),"")</f>
        <v>公司红周转筐</v>
      </c>
      <c r="T252" s="212">
        <f>IFERROR(IF([2]对账明细接口!$O252=0,"",[2]对账明细接口!$O252),"")</f>
      </c>
      <c r="U252" s="212">
        <f>IFERROR(IF([2]对账明细接口!$P252=0,"",[2]对账明细接口!$P252),"")</f>
        <v>118</v>
      </c>
      <c r="V252" s="212">
        <f>IFERROR(IF([2]对账明细接口!$Q252=0,"",[2]对账明细接口!$Q252),"")</f>
      </c>
      <c r="W252" s="20" t="str">
        <f>IFERROR(IF([2]对账明细接口!$R252=0,"",[2]对账明细接口!$R252),"")</f>
        <v>新N*49209</v>
      </c>
      <c r="X252" s="20" t="str">
        <f>IFERROR(IF([2]对账明细接口!$S252=0,"",[2]对账明细接口!$S252),"")</f>
        <v>公司筐</v>
      </c>
      <c r="Y252" s="20">
        <f>""</f>
      </c>
      <c r="Z252" s="20">
        <f>""</f>
      </c>
      <c r="AA252" s="20">
        <f>""</f>
      </c>
      <c r="AB252" s="20">
        <f>""</f>
      </c>
    </row>
    <row r="253" s="127">
      <c r="A253" s="14" t="n">
        <v>253</v>
      </c>
      <c r="B253" s="211">
        <f>IFERROR(IF([2]对账明细接口!$B$253=0,"",[2]对账明细接口!$B$253),"")</f>
        <v>46292.0</v>
      </c>
      <c r="C253" s="16" t="str">
        <f>IFERROR(IF([2]对账明细接口!$C$253=0,"",[2]对账明细接口!$C$253),"")</f>
        <v>荆建君</v>
      </c>
      <c r="D253" s="16" t="str">
        <f>IFERROR(IF([2]对账明细接口!$D$253=0,"",[2]对账明细接口!$D$253),"")</f>
        <v>周转筐－退回入库</v>
      </c>
      <c r="E253" s="16" t="str">
        <f>IFERROR(IF([2]对账明细接口!$E$253=0,"",[2]对账明细接口!$E$253),"")</f>
        <v>NO:0001001</v>
      </c>
      <c r="F253" s="16" t="str">
        <f>IFERROR(IF([2]对账明细接口!$F$253=0,"",[2]对账明细接口!$F$253),"")</f>
        <v>公司红周转筐</v>
      </c>
      <c r="G253" s="16">
        <f>IFERROR(IF([2]对账明细接口!$G$253=0,"",[2]对账明细接口!$G$253),"")</f>
      </c>
      <c r="H253" s="176">
        <f>IFERROR(IF([2]对账明细接口!$H$253=0,"",[2]对账明细接口!$H$253),"")</f>
        <v>56</v>
      </c>
      <c r="I253" s="16" t="str">
        <f>IFERROR(IF([2]对账明细接口!$I$253=0,"",[2]对账明细接口!$I$253),"")</f>
        <v>个</v>
      </c>
      <c r="J253" s="177">
        <f>IFERROR(IF([2]对账明细接口!$J$253=0,"",[2]对账明细接口!$J$253),"")</f>
      </c>
      <c r="K253" s="177">
        <f>IFERROR(IF([2]对账明细接口!$K$253=0,"",[2]对账明细接口!$K$253),"")</f>
      </c>
      <c r="L253" s="16">
        <f>IFERROR(IF([2]对账明细接口!$L$253=0,"",[2]对账明细接口!$L$253),"")</f>
      </c>
      <c r="M253" s="16">
        <f>IFERROR(IF([2]对账明细接口!$M$253=0,"",[2]对账明细接口!$M$253),"")</f>
      </c>
      <c r="N253" s="19">
        <f>IF($C253="",0,1)</f>
        <v>1</v>
      </c>
      <c r="O253" s="19">
        <f>N(O252)+$N253</f>
        <v>250</v>
      </c>
      <c r="S253" s="20" t="str">
        <f>IFERROR(IF([2]对账明细接口!$N253=0,"",[2]对账明细接口!$N253),"")</f>
        <v>公司红周转筐</v>
      </c>
      <c r="T253" s="212">
        <f>IFERROR(IF([2]对账明细接口!$O253=0,"",[2]对账明细接口!$O253),"")</f>
      </c>
      <c r="U253" s="212">
        <f>IFERROR(IF([2]对账明细接口!$P253=0,"",[2]对账明细接口!$P253),"")</f>
        <v>56</v>
      </c>
      <c r="V253" s="212">
        <f>IFERROR(IF([2]对账明细接口!$Q253=0,"",[2]对账明细接口!$Q253),"")</f>
      </c>
      <c r="W253" s="20" t="str">
        <f>IFERROR(IF([2]对账明细接口!$R253=0,"",[2]对账明细接口!$R253),"")</f>
        <v>豫A*2737K</v>
      </c>
      <c r="X253" s="20" t="str">
        <f>IFERROR(IF([2]对账明细接口!$S253=0,"",[2]对账明细接口!$S253),"")</f>
        <v>公司筐</v>
      </c>
      <c r="Y253" s="20">
        <f>""</f>
      </c>
      <c r="Z253" s="20">
        <f>""</f>
      </c>
      <c r="AA253" s="20">
        <f>""</f>
      </c>
      <c r="AB253" s="20">
        <f>""</f>
      </c>
    </row>
    <row r="254" s="127">
      <c r="A254" s="14" t="n">
        <v>254</v>
      </c>
      <c r="B254" s="211">
        <f>IFERROR(IF([2]对账明细接口!$B$254=0,"",[2]对账明细接口!$B$254),"")</f>
        <v>46292.0</v>
      </c>
      <c r="C254" s="16" t="str">
        <f>IFERROR(IF([2]对账明细接口!$C$254=0,"",[2]对账明细接口!$C$254),"")</f>
        <v>全修塑业</v>
      </c>
      <c r="D254" s="16" t="str">
        <f>IFERROR(IF([2]对账明细接口!$D$254=0,"",[2]对账明细接口!$D$254),"")</f>
        <v>周转筐－采购入库</v>
      </c>
      <c r="E254" s="16" t="str">
        <f>IFERROR(IF([2]对账明细接口!$E$254=0,"",[2]对账明细接口!$E$254),"")</f>
        <v>NO:0001002</v>
      </c>
      <c r="F254" s="16" t="str">
        <f>IFERROR(IF([2]对账明细接口!$F$254=0,"",[2]对账明细接口!$F$254),"")</f>
        <v>公司红周转筐</v>
      </c>
      <c r="G254" s="16">
        <f>IFERROR(IF([2]对账明细接口!$G$254=0,"",[2]对账明细接口!$G$254),"")</f>
      </c>
      <c r="H254" s="176">
        <f>IFERROR(IF([2]对账明细接口!$H$254=0,"",[2]对账明细接口!$H$254),"")</f>
        <v>702</v>
      </c>
      <c r="I254" s="16" t="str">
        <f>IFERROR(IF([2]对账明细接口!$I$254=0,"",[2]对账明细接口!$I$254),"")</f>
        <v>个</v>
      </c>
      <c r="J254" s="177">
        <f>IFERROR(IF([2]对账明细接口!$J$254=0,"",[2]对账明细接口!$J$254),"")</f>
      </c>
      <c r="K254" s="177">
        <f>IFERROR(IF([2]对账明细接口!$K$254=0,"",[2]对账明细接口!$K$254),"")</f>
        <v>7020</v>
      </c>
      <c r="L254" s="16" t="str">
        <f>IFERROR(IF([2]对账明细接口!$L$254=0,"",[2]对账明细接口!$L$254),"")</f>
        <v>未付款</v>
      </c>
      <c r="M254" s="16" t="str">
        <f>IFERROR(IF([2]对账明细接口!$M$254=0,"",[2]对账明细接口!$M$254),"")</f>
        <v>NO:0005266</v>
      </c>
      <c r="N254" s="19">
        <f>IF($C254="",0,1)</f>
        <v>1</v>
      </c>
      <c r="O254" s="19">
        <f>N(O253)+$N254</f>
        <v>251</v>
      </c>
      <c r="S254" s="20" t="str">
        <f>IFERROR(IF([2]对账明细接口!$N254=0,"",[2]对账明细接口!$N254),"")</f>
        <v>公司红周转筐</v>
      </c>
      <c r="T254" s="212">
        <f>IFERROR(IF([2]对账明细接口!$O254=0,"",[2]对账明细接口!$O254),"")</f>
      </c>
      <c r="U254" s="212">
        <f>IFERROR(IF([2]对账明细接口!$P254=0,"",[2]对账明细接口!$P254),"")</f>
      </c>
      <c r="V254" s="212">
        <f>IFERROR(IF([2]对账明细接口!$Q254=0,"",[2]对账明细接口!$Q254),"")</f>
        <v>702</v>
      </c>
      <c r="W254" s="20" t="str">
        <f>IFERROR(IF([2]对账明细接口!$R254=0,"",[2]对账明细接口!$R254),"")</f>
        <v>新F*75240</v>
      </c>
      <c r="X254" s="20" t="str">
        <f>IFERROR(IF([2]对账明细接口!$S254=0,"",[2]对账明细接口!$S254),"")</f>
        <v>公司筐</v>
      </c>
      <c r="Y254" s="20">
        <f>""</f>
      </c>
      <c r="Z254" s="20">
        <f>""</f>
      </c>
      <c r="AA254" s="20">
        <f>""</f>
      </c>
      <c r="AB254" s="20">
        <f>""</f>
      </c>
    </row>
    <row r="255" s="127">
      <c r="A255" s="14" t="n">
        <v>255</v>
      </c>
      <c r="B255" s="211">
        <f>IFERROR(IF([2]对账明细接口!$B$255=0,"",[2]对账明细接口!$B$255),"")</f>
        <v>46292.0</v>
      </c>
      <c r="C255" s="16" t="str">
        <f>IFERROR(IF([2]对账明细接口!$C$255=0,"",[2]对账明细接口!$C$255),"")</f>
        <v>努尔敦</v>
      </c>
      <c r="D255" s="16" t="str">
        <f>IFERROR(IF([2]对账明细接口!$D$255=0,"",[2]对账明细接口!$D$255),"")</f>
        <v>周转筐－领用出库</v>
      </c>
      <c r="E255" s="16" t="str">
        <f>IFERROR(IF([2]对账明细接口!$E$255=0,"",[2]对账明细接口!$E$255),"")</f>
        <v>NO:0001248</v>
      </c>
      <c r="F255" s="16" t="str">
        <f>IFERROR(IF([2]对账明细接口!$F$255=0,"",[2]对账明细接口!$F$255),"")</f>
        <v>公司红周转筐</v>
      </c>
      <c r="G255" s="16">
        <f>IFERROR(IF([2]对账明细接口!$G$255=0,"",[2]对账明细接口!$G$255),"")</f>
      </c>
      <c r="H255" s="176">
        <f>IFERROR(IF([2]对账明细接口!$H$255=0,"",[2]对账明细接口!$H$255),"")</f>
        <v>702</v>
      </c>
      <c r="I255" s="16" t="str">
        <f>IFERROR(IF([2]对账明细接口!$I$255=0,"",[2]对账明细接口!$I$255),"")</f>
        <v>个</v>
      </c>
      <c r="J255" s="177">
        <f>IFERROR(IF([2]对账明细接口!$J$255=0,"",[2]对账明细接口!$J$255),"")</f>
      </c>
      <c r="K255" s="177">
        <f>IFERROR(IF([2]对账明细接口!$K$255=0,"",[2]对账明细接口!$K$255),"")</f>
      </c>
      <c r="L255" s="16">
        <f>IFERROR(IF([2]对账明细接口!$L$255=0,"",[2]对账明细接口!$L$255),"")</f>
      </c>
      <c r="M255" s="16" t="str">
        <f>IFERROR(IF([2]对账明细接口!$M$255=0,"",[2]对账明细接口!$M$255),"")</f>
        <v>绿筐</v>
      </c>
      <c r="N255" s="19">
        <f>IF($C255="",0,1)</f>
        <v>1</v>
      </c>
      <c r="O255" s="19">
        <f>N(O254)+$N255</f>
        <v>252</v>
      </c>
      <c r="S255" s="20" t="str">
        <f>IFERROR(IF([2]对账明细接口!$N255=0,"",[2]对账明细接口!$N255),"")</f>
        <v>公司红周转筐</v>
      </c>
      <c r="T255" s="212">
        <f>IFERROR(IF([2]对账明细接口!$O255=0,"",[2]对账明细接口!$O255),"")</f>
        <v>702</v>
      </c>
      <c r="U255" s="212">
        <f>IFERROR(IF([2]对账明细接口!$P255=0,"",[2]对账明细接口!$P255),"")</f>
      </c>
      <c r="V255" s="212">
        <f>IFERROR(IF([2]对账明细接口!$Q255=0,"",[2]对账明细接口!$Q255),"")</f>
      </c>
      <c r="W255" s="20" t="str">
        <f>IFERROR(IF([2]对账明细接口!$R255=0,"",[2]对账明细接口!$R255),"")</f>
        <v>新F*75240</v>
      </c>
      <c r="X255" s="20" t="str">
        <f>IFERROR(IF([2]对账明细接口!$S255=0,"",[2]对账明细接口!$S255),"")</f>
        <v>公司筐</v>
      </c>
      <c r="Y255" s="20">
        <f>""</f>
      </c>
      <c r="Z255" s="20">
        <f>""</f>
      </c>
      <c r="AA255" s="20">
        <f>""</f>
      </c>
      <c r="AB255" s="20">
        <f>""</f>
      </c>
    </row>
    <row r="256" s="127">
      <c r="A256" s="14" t="n">
        <v>256</v>
      </c>
      <c r="B256" s="211">
        <f>IFERROR(IF([2]对账明细接口!$B$256=0,"",[2]对账明细接口!$B$256),"")</f>
        <v>46292.0</v>
      </c>
      <c r="C256" s="16" t="str">
        <f>IFERROR(IF([2]对账明细接口!$C$256=0,"",[2]对账明细接口!$C$256),"")</f>
        <v>麦麦提</v>
      </c>
      <c r="D256" s="16" t="str">
        <f>IFERROR(IF([2]对账明细接口!$D$256=0,"",[2]对账明细接口!$D$256),"")</f>
        <v>周转筐－领用出库</v>
      </c>
      <c r="E256" s="16" t="str">
        <f>IFERROR(IF([2]对账明细接口!$E$256=0,"",[2]对账明细接口!$E$256),"")</f>
        <v>NO:0001247</v>
      </c>
      <c r="F256" s="16" t="str">
        <f>IFERROR(IF([2]对账明细接口!$F$256=0,"",[2]对账明细接口!$F$256),"")</f>
        <v>公司红周转筐</v>
      </c>
      <c r="G256" s="16">
        <f>IFERROR(IF([2]对账明细接口!$G$256=0,"",[2]对账明细接口!$G$256),"")</f>
      </c>
      <c r="H256" s="176">
        <f>IFERROR(IF([2]对账明细接口!$H$256=0,"",[2]对账明细接口!$H$256),"")</f>
        <v>720</v>
      </c>
      <c r="I256" s="16" t="str">
        <f>IFERROR(IF([2]对账明细接口!$I$256=0,"",[2]对账明细接口!$I$256),"")</f>
        <v>个</v>
      </c>
      <c r="J256" s="177">
        <f>IFERROR(IF([2]对账明细接口!$J$256=0,"",[2]对账明细接口!$J$256),"")</f>
      </c>
      <c r="K256" s="177">
        <f>IFERROR(IF([2]对账明细接口!$K$256=0,"",[2]对账明细接口!$K$256),"")</f>
      </c>
      <c r="L256" s="16">
        <f>IFERROR(IF([2]对账明细接口!$L$256=0,"",[2]对账明细接口!$L$256),"")</f>
      </c>
      <c r="M256" s="16">
        <f>IFERROR(IF([2]对账明细接口!$M$256=0,"",[2]对账明细接口!$M$256),"")</f>
      </c>
      <c r="N256" s="19">
        <f>IF($C256="",0,1)</f>
        <v>1</v>
      </c>
      <c r="O256" s="19">
        <f>N(O255)+$N256</f>
        <v>253</v>
      </c>
      <c r="S256" s="20" t="str">
        <f>IFERROR(IF([2]对账明细接口!$N256=0,"",[2]对账明细接口!$N256),"")</f>
        <v>公司红周转筐</v>
      </c>
      <c r="T256" s="212">
        <f>IFERROR(IF([2]对账明细接口!$O256=0,"",[2]对账明细接口!$O256),"")</f>
        <v>720</v>
      </c>
      <c r="U256" s="212">
        <f>IFERROR(IF([2]对账明细接口!$P256=0,"",[2]对账明细接口!$P256),"")</f>
      </c>
      <c r="V256" s="212">
        <f>IFERROR(IF([2]对账明细接口!$Q256=0,"",[2]对账明细接口!$Q256),"")</f>
      </c>
      <c r="W256" s="20" t="str">
        <f>IFERROR(IF([2]对账明细接口!$R256=0,"",[2]对账明细接口!$R256),"")</f>
        <v>新R*37010</v>
      </c>
      <c r="X256" s="20" t="str">
        <f>IFERROR(IF([2]对账明细接口!$S256=0,"",[2]对账明细接口!$S256),"")</f>
        <v>公司筐</v>
      </c>
      <c r="Y256" s="20">
        <f>""</f>
      </c>
      <c r="Z256" s="20">
        <f>""</f>
      </c>
      <c r="AA256" s="20">
        <f>""</f>
      </c>
      <c r="AB256" s="20">
        <f>""</f>
      </c>
    </row>
    <row r="257" s="127">
      <c r="A257" s="14" t="n">
        <v>257</v>
      </c>
      <c r="B257" s="211">
        <f>IFERROR(IF([2]对账明细接口!$B$257=0,"",[2]对账明细接口!$B$257),"")</f>
        <v>46293.0</v>
      </c>
      <c r="C257" s="16" t="str">
        <f>IFERROR(IF([2]对账明细接口!$C$257=0,"",[2]对账明细接口!$C$257),"")</f>
        <v>吐尔地</v>
      </c>
      <c r="D257" s="16" t="str">
        <f>IFERROR(IF([2]对账明细接口!$D$257=0,"",[2]对账明细接口!$D$257),"")</f>
        <v>周转筐－领用出库</v>
      </c>
      <c r="E257" s="16" t="str">
        <f>IFERROR(IF([2]对账明细接口!$E$257=0,"",[2]对账明细接口!$E$257),"")</f>
        <v>NO:0001250</v>
      </c>
      <c r="F257" s="16" t="str">
        <f>IFERROR(IF([2]对账明细接口!$F$257=0,"",[2]对账明细接口!$F$257),"")</f>
        <v>公司红周转筐</v>
      </c>
      <c r="G257" s="16">
        <f>IFERROR(IF([2]对账明细接口!$G$257=0,"",[2]对账明细接口!$G$257),"")</f>
      </c>
      <c r="H257" s="176">
        <f>IFERROR(IF([2]对账明细接口!$H$257=0,"",[2]对账明细接口!$H$257),"")</f>
        <v>288</v>
      </c>
      <c r="I257" s="16" t="str">
        <f>IFERROR(IF([2]对账明细接口!$I$257=0,"",[2]对账明细接口!$I$257),"")</f>
        <v>个</v>
      </c>
      <c r="J257" s="177">
        <f>IFERROR(IF([2]对账明细接口!$J$257=0,"",[2]对账明细接口!$J$257),"")</f>
      </c>
      <c r="K257" s="177">
        <f>IFERROR(IF([2]对账明细接口!$K$257=0,"",[2]对账明细接口!$K$257),"")</f>
      </c>
      <c r="L257" s="16">
        <f>IFERROR(IF([2]对账明细接口!$L$257=0,"",[2]对账明细接口!$L$257),"")</f>
      </c>
      <c r="M257" s="16">
        <f>IFERROR(IF([2]对账明细接口!$M$257=0,"",[2]对账明细接口!$M$257),"")</f>
      </c>
      <c r="N257" s="19">
        <f>IF($C257="",0,1)</f>
        <v>1</v>
      </c>
      <c r="O257" s="19">
        <f>N(O256)+$N257</f>
        <v>254</v>
      </c>
      <c r="S257" s="20" t="str">
        <f>IFERROR(IF([2]对账明细接口!$N257=0,"",[2]对账明细接口!$N257),"")</f>
        <v>公司红周转筐</v>
      </c>
      <c r="T257" s="212">
        <f>IFERROR(IF([2]对账明细接口!$O257=0,"",[2]对账明细接口!$O257),"")</f>
        <v>288</v>
      </c>
      <c r="U257" s="212">
        <f>IFERROR(IF([2]对账明细接口!$P257=0,"",[2]对账明细接口!$P257),"")</f>
      </c>
      <c r="V257" s="212">
        <f>IFERROR(IF([2]对账明细接口!$Q257=0,"",[2]对账明细接口!$Q257),"")</f>
      </c>
      <c r="W257" s="20" t="str">
        <f>IFERROR(IF([2]对账明细接口!$R257=0,"",[2]对账明细接口!$R257),"")</f>
        <v>新N*X8S48</v>
      </c>
      <c r="X257" s="20" t="str">
        <f>IFERROR(IF([2]对账明细接口!$S257=0,"",[2]对账明细接口!$S257),"")</f>
        <v>公司筐</v>
      </c>
      <c r="Y257" s="20">
        <f>""</f>
      </c>
      <c r="Z257" s="20">
        <f>""</f>
      </c>
      <c r="AA257" s="20">
        <f>""</f>
      </c>
      <c r="AB257" s="20">
        <f>""</f>
      </c>
    </row>
    <row r="258" s="127">
      <c r="A258" s="14" t="n">
        <v>258</v>
      </c>
      <c r="B258" s="211">
        <f>IFERROR(IF([2]对账明细接口!$B$258=0,"",[2]对账明细接口!$B$258),"")</f>
        <v>46293.0</v>
      </c>
      <c r="C258" s="16" t="str">
        <f>IFERROR(IF([2]对账明细接口!$C$258=0,"",[2]对账明细接口!$C$258),"")</f>
        <v>热合曼</v>
      </c>
      <c r="D258" s="16" t="str">
        <f>IFERROR(IF([2]对账明细接口!$D$258=0,"",[2]对账明细接口!$D$258),"")</f>
        <v>周转筐－退回入库</v>
      </c>
      <c r="E258" s="16" t="str">
        <f>IFERROR(IF([2]对账明细接口!$E$258=0,"",[2]对账明细接口!$E$258),"")</f>
        <v>NO:0001006</v>
      </c>
      <c r="F258" s="16" t="str">
        <f>IFERROR(IF([2]对账明细接口!$F$258=0,"",[2]对账明细接口!$F$258),"")</f>
        <v>公司红周转筐</v>
      </c>
      <c r="G258" s="16">
        <f>IFERROR(IF([2]对账明细接口!$G$258=0,"",[2]对账明细接口!$G$258),"")</f>
      </c>
      <c r="H258" s="176">
        <f>IFERROR(IF([2]对账明细接口!$H$258=0,"",[2]对账明细接口!$H$258),"")</f>
        <v>113</v>
      </c>
      <c r="I258" s="16" t="str">
        <f>IFERROR(IF([2]对账明细接口!$I$258=0,"",[2]对账明细接口!$I$258),"")</f>
        <v>个</v>
      </c>
      <c r="J258" s="177">
        <f>IFERROR(IF([2]对账明细接口!$J$258=0,"",[2]对账明细接口!$J$258),"")</f>
      </c>
      <c r="K258" s="177">
        <f>IFERROR(IF([2]对账明细接口!$K$258=0,"",[2]对账明细接口!$K$258),"")</f>
      </c>
      <c r="L258" s="16">
        <f>IFERROR(IF([2]对账明细接口!$L$258=0,"",[2]对账明细接口!$L$258),"")</f>
      </c>
      <c r="M258" s="16">
        <f>IFERROR(IF([2]对账明细接口!$M$258=0,"",[2]对账明细接口!$M$258),"")</f>
      </c>
      <c r="N258" s="19">
        <f>IF($C258="",0,1)</f>
        <v>1</v>
      </c>
      <c r="O258" s="19">
        <f>N(O257)+$N258</f>
        <v>255</v>
      </c>
      <c r="S258" s="20" t="str">
        <f>IFERROR(IF([2]对账明细接口!$N258=0,"",[2]对账明细接口!$N258),"")</f>
        <v>公司红周转筐</v>
      </c>
      <c r="T258" s="212">
        <f>IFERROR(IF([2]对账明细接口!$O258=0,"",[2]对账明细接口!$O258),"")</f>
      </c>
      <c r="U258" s="212">
        <f>IFERROR(IF([2]对账明细接口!$P258=0,"",[2]对账明细接口!$P258),"")</f>
        <v>113</v>
      </c>
      <c r="V258" s="212">
        <f>IFERROR(IF([2]对账明细接口!$Q258=0,"",[2]对账明细接口!$Q258),"")</f>
      </c>
      <c r="W258" s="20" t="str">
        <f>IFERROR(IF([2]对账明细接口!$R258=0,"",[2]对账明细接口!$R258),"")</f>
        <v>新R*37010</v>
      </c>
      <c r="X258" s="20" t="str">
        <f>IFERROR(IF([2]对账明细接口!$S258=0,"",[2]对账明细接口!$S258),"")</f>
        <v>公司筐</v>
      </c>
      <c r="Y258" s="20">
        <f>""</f>
      </c>
      <c r="Z258" s="20">
        <f>""</f>
      </c>
      <c r="AA258" s="20">
        <f>""</f>
      </c>
      <c r="AB258" s="20">
        <f>""</f>
      </c>
    </row>
    <row r="259" s="127">
      <c r="A259" s="14" t="n">
        <v>259</v>
      </c>
      <c r="B259" s="211">
        <f>IFERROR(IF([2]对账明细接口!$B$259=0,"",[2]对账明细接口!$B$259),"")</f>
        <v>46293.0</v>
      </c>
      <c r="C259" s="16" t="str">
        <f>IFERROR(IF([2]对账明细接口!$C$259=0,"",[2]对账明细接口!$C$259),"")</f>
        <v>麦麦提</v>
      </c>
      <c r="D259" s="16" t="str">
        <f>IFERROR(IF([2]对账明细接口!$D$259=0,"",[2]对账明细接口!$D$259),"")</f>
        <v>周转筐－领用出库</v>
      </c>
      <c r="E259" s="16" t="str">
        <f>IFERROR(IF([2]对账明细接口!$E$259=0,"",[2]对账明细接口!$E$259),"")</f>
        <v>NO:0001276</v>
      </c>
      <c r="F259" s="16" t="str">
        <f>IFERROR(IF([2]对账明细接口!$F$259=0,"",[2]对账明细接口!$F$259),"")</f>
        <v>公司红周转筐</v>
      </c>
      <c r="G259" s="16">
        <f>IFERROR(IF([2]对账明细接口!$G$259=0,"",[2]对账明细接口!$G$259),"")</f>
      </c>
      <c r="H259" s="176">
        <f>IFERROR(IF([2]对账明细接口!$H$259=0,"",[2]对账明细接口!$H$259),"")</f>
        <v>678</v>
      </c>
      <c r="I259" s="16" t="str">
        <f>IFERROR(IF([2]对账明细接口!$I$259=0,"",[2]对账明细接口!$I$259),"")</f>
        <v>个</v>
      </c>
      <c r="J259" s="177">
        <f>IFERROR(IF([2]对账明细接口!$J$259=0,"",[2]对账明细接口!$J$259),"")</f>
      </c>
      <c r="K259" s="177">
        <f>IFERROR(IF([2]对账明细接口!$K$259=0,"",[2]对账明细接口!$K$259),"")</f>
      </c>
      <c r="L259" s="16">
        <f>IFERROR(IF([2]对账明细接口!$L$259=0,"",[2]对账明细接口!$L$259),"")</f>
      </c>
      <c r="M259" s="16">
        <f>IFERROR(IF([2]对账明细接口!$M$259=0,"",[2]对账明细接口!$M$259),"")</f>
      </c>
      <c r="N259" s="19">
        <f>IF($C259="",0,1)</f>
        <v>1</v>
      </c>
      <c r="O259" s="19">
        <f>N(O258)+$N259</f>
        <v>256</v>
      </c>
      <c r="S259" s="20" t="str">
        <f>IFERROR(IF([2]对账明细接口!$N259=0,"",[2]对账明细接口!$N259),"")</f>
        <v>公司红周转筐</v>
      </c>
      <c r="T259" s="212">
        <f>IFERROR(IF([2]对账明细接口!$O259=0,"",[2]对账明细接口!$O259),"")</f>
        <v>678</v>
      </c>
      <c r="U259" s="212">
        <f>IFERROR(IF([2]对账明细接口!$P259=0,"",[2]对账明细接口!$P259),"")</f>
      </c>
      <c r="V259" s="212">
        <f>IFERROR(IF([2]对账明细接口!$Q259=0,"",[2]对账明细接口!$Q259),"")</f>
      </c>
      <c r="W259" s="20" t="str">
        <f>IFERROR(IF([2]对账明细接口!$R259=0,"",[2]对账明细接口!$R259),"")</f>
        <v>新R*37010</v>
      </c>
      <c r="X259" s="20" t="str">
        <f>IFERROR(IF([2]对账明细接口!$S259=0,"",[2]对账明细接口!$S259),"")</f>
        <v>公司筐</v>
      </c>
      <c r="Y259" s="20">
        <f>""</f>
      </c>
      <c r="Z259" s="20">
        <f>""</f>
      </c>
      <c r="AA259" s="20">
        <f>""</f>
      </c>
      <c r="AB259" s="20">
        <f>""</f>
      </c>
    </row>
    <row r="260" s="127">
      <c r="A260" s="14" t="n">
        <v>260</v>
      </c>
      <c r="B260" s="211">
        <f>IFERROR(IF([2]对账明细接口!$B$260=0,"",[2]对账明细接口!$B$260),"")</f>
        <v>46277.0</v>
      </c>
      <c r="C260" s="16" t="str">
        <f>IFERROR(IF([2]对账明细接口!$C$260=0,"",[2]对账明细接口!$C$260),"")</f>
        <v>王照雪</v>
      </c>
      <c r="D260" s="16" t="str">
        <f>IFERROR(IF([2]对账明细接口!$D$260=0,"",[2]对账明细接口!$D$260),"")</f>
        <v>客户自备筐－</v>
      </c>
      <c r="E260" s="16">
        <f>IFERROR(IF([2]对账明细接口!$E$260=0,"",[2]对账明细接口!$E$260),"")</f>
      </c>
      <c r="F260" s="16" t="str">
        <f>IFERROR(IF([2]对账明细接口!$F$260=0,"",[2]对账明细接口!$F$260),"")</f>
        <v>自备一次性筐</v>
      </c>
      <c r="G260" s="16">
        <f>IFERROR(IF([2]对账明细接口!$G$260=0,"",[2]对账明细接口!$G$260),"")</f>
      </c>
      <c r="H260" s="176">
        <f>IFERROR(IF([2]对账明细接口!$H$260=0,"",[2]对账明细接口!$H$260),"")</f>
        <v>1000</v>
      </c>
      <c r="I260" s="16" t="str">
        <f>IFERROR(IF([2]对账明细接口!$I$260=0,"",[2]对账明细接口!$I$260),"")</f>
        <v>个</v>
      </c>
      <c r="J260" s="177">
        <f>IFERROR(IF([2]对账明细接口!$J$260=0,"",[2]对账明细接口!$J$260),"")</f>
      </c>
      <c r="K260" s="177">
        <f>IFERROR(IF([2]对账明细接口!$K$260=0,"",[2]对账明细接口!$K$260),"")</f>
      </c>
      <c r="L260" s="16">
        <f>IFERROR(IF([2]对账明细接口!$L$260=0,"",[2]对账明细接口!$L$260),"")</f>
      </c>
      <c r="M260" s="16" t="str">
        <f>IFERROR(IF([2]对账明细接口!$M$260=0,"",[2]对账明细接口!$M$260),"")</f>
        <v>黑筐</v>
      </c>
      <c r="N260" s="19">
        <f>IF($C260="",0,1)</f>
        <v>1</v>
      </c>
      <c r="O260" s="19">
        <f>N(O259)+$N260</f>
        <v>257</v>
      </c>
      <c r="S260" s="20" t="str">
        <f>IFERROR(IF([2]对账明细接口!$N260=0,"",[2]对账明细接口!$N260),"")</f>
        <v>自备一次性筐</v>
      </c>
      <c r="T260" s="212">
        <f>IFERROR(IF([2]对账明细接口!$O260=0,"",[2]对账明细接口!$O260),"")</f>
      </c>
      <c r="U260" s="212">
        <f>IFERROR(IF([2]对账明细接口!$P260=0,"",[2]对账明细接口!$P260),"")</f>
      </c>
      <c r="V260" s="212">
        <f>IFERROR(IF([2]对账明细接口!$Q260=0,"",[2]对账明细接口!$Q260),"")</f>
        <v>1000</v>
      </c>
      <c r="W260" s="20">
        <f>IFERROR(IF([2]对账明细接口!$R260=0,"",[2]对账明细接口!$R260),"")</f>
      </c>
      <c r="X260" s="20" t="str">
        <f>IFERROR(IF([2]对账明细接口!$S260=0,"",[2]对账明细接口!$S260),"")</f>
        <v>自备筐</v>
      </c>
      <c r="Y260" s="20">
        <f>""</f>
      </c>
      <c r="Z260" s="20">
        <f>""</f>
      </c>
      <c r="AA260" s="20">
        <f>""</f>
      </c>
      <c r="AB260" s="20">
        <f>""</f>
      </c>
    </row>
    <row r="261" s="127">
      <c r="A261" s="14" t="n">
        <v>261</v>
      </c>
      <c r="B261" s="211">
        <f>IFERROR(IF([2]对账明细接口!$B$261=0,"",[2]对账明细接口!$B$261),"")</f>
        <v>46278.0</v>
      </c>
      <c r="C261" s="16" t="str">
        <f>IFERROR(IF([2]对账明细接口!$C$261=0,"",[2]对账明细接口!$C$261),"")</f>
        <v>王照雪</v>
      </c>
      <c r="D261" s="16" t="str">
        <f>IFERROR(IF([2]对账明细接口!$D$261=0,"",[2]对账明细接口!$D$261),"")</f>
        <v>客户自备筐－拉扎伤果</v>
      </c>
      <c r="E261" s="16" t="str">
        <f>IFERROR(IF([2]对账明细接口!$E$261=0,"",[2]对账明细接口!$E$261),"")</f>
        <v>NO:0001134</v>
      </c>
      <c r="F261" s="16" t="str">
        <f>IFERROR(IF([2]对账明细接口!$F$261=0,"",[2]对账明细接口!$F$261),"")</f>
        <v>自备一次性筐</v>
      </c>
      <c r="G261" s="16">
        <f>IFERROR(IF([2]对账明细接口!$G$261=0,"",[2]对账明细接口!$G$261),"")</f>
      </c>
      <c r="H261" s="176">
        <f>IFERROR(IF([2]对账明细接口!$H$261=0,"",[2]对账明细接口!$H$261),"")</f>
        <v>12</v>
      </c>
      <c r="I261" s="16" t="str">
        <f>IFERROR(IF([2]对账明细接口!$I$261=0,"",[2]对账明细接口!$I$261),"")</f>
        <v>个</v>
      </c>
      <c r="J261" s="177">
        <f>IFERROR(IF([2]对账明细接口!$J$261=0,"",[2]对账明细接口!$J$261),"")</f>
      </c>
      <c r="K261" s="177">
        <f>IFERROR(IF([2]对账明细接口!$K$261=0,"",[2]对账明细接口!$K$261),"")</f>
      </c>
      <c r="L261" s="16">
        <f>IFERROR(IF([2]对账明细接口!$L$261=0,"",[2]对账明细接口!$L$261),"")</f>
      </c>
      <c r="M261" s="16" t="str">
        <f>IFERROR(IF([2]对账明细接口!$M$261=0,"",[2]对账明细接口!$M$261),"")</f>
        <v>黑筐</v>
      </c>
      <c r="N261" s="19">
        <f>IF($C261="",0,1)</f>
        <v>1</v>
      </c>
      <c r="O261" s="19">
        <f>N(O260)+$N261</f>
        <v>258</v>
      </c>
      <c r="S261" s="20" t="str">
        <f>IFERROR(IF([2]对账明细接口!$N261=0,"",[2]对账明细接口!$N261),"")</f>
        <v>自备一次性筐</v>
      </c>
      <c r="T261" s="212">
        <f>IFERROR(IF([2]对账明细接口!$O261=0,"",[2]对账明细接口!$O261),"")</f>
        <v>12</v>
      </c>
      <c r="U261" s="212">
        <f>IFERROR(IF([2]对账明细接口!$P261=0,"",[2]对账明细接口!$P261),"")</f>
      </c>
      <c r="V261" s="212">
        <f>IFERROR(IF([2]对账明细接口!$Q261=0,"",[2]对账明细接口!$Q261),"")</f>
      </c>
      <c r="W261" s="20" t="str">
        <f>IFERROR(IF([2]对账明细接口!$R261=0,"",[2]对账明细接口!$R261),"")</f>
        <v>新R*45654</v>
      </c>
      <c r="X261" s="20" t="str">
        <f>IFERROR(IF([2]对账明细接口!$S261=0,"",[2]对账明细接口!$S261),"")</f>
        <v>自备筐</v>
      </c>
      <c r="Y261" s="20">
        <f>""</f>
      </c>
      <c r="Z261" s="20">
        <f>""</f>
      </c>
      <c r="AA261" s="20">
        <f>""</f>
      </c>
      <c r="AB261" s="20">
        <f>""</f>
      </c>
    </row>
    <row r="262" s="127">
      <c r="A262" s="14" t="n">
        <v>262</v>
      </c>
      <c r="B262" s="211">
        <f>IFERROR(IF([2]对账明细接口!$B$262=0,"",[2]对账明细接口!$B$262),"")</f>
        <v>46280.0</v>
      </c>
      <c r="C262" s="16" t="str">
        <f>IFERROR(IF([2]对账明细接口!$C$262=0,"",[2]对账明细接口!$C$262),"")</f>
        <v>麦麦提</v>
      </c>
      <c r="D262" s="16" t="str">
        <f>IFERROR(IF([2]对账明细接口!$D$262=0,"",[2]对账明细接口!$D$262),"")</f>
        <v>客户自备筐－</v>
      </c>
      <c r="E262" s="16">
        <f>IFERROR(IF([2]对账明细接口!$E$262=0,"",[2]对账明细接口!$E$262),"")</f>
      </c>
      <c r="F262" s="16" t="str">
        <f>IFERROR(IF([2]对账明细接口!$F$262=0,"",[2]对账明细接口!$F$262),"")</f>
        <v>自备一次性筐</v>
      </c>
      <c r="G262" s="16">
        <f>IFERROR(IF([2]对账明细接口!$G$262=0,"",[2]对账明细接口!$G$262),"")</f>
      </c>
      <c r="H262" s="176">
        <f>IFERROR(IF([2]对账明细接口!$H$262=0,"",[2]对账明细接口!$H$262),"")</f>
        <v>546</v>
      </c>
      <c r="I262" s="16" t="str">
        <f>IFERROR(IF([2]对账明细接口!$I$262=0,"",[2]对账明细接口!$I$262),"")</f>
        <v>个</v>
      </c>
      <c r="J262" s="177">
        <f>IFERROR(IF([2]对账明细接口!$J$262=0,"",[2]对账明细接口!$J$262),"")</f>
      </c>
      <c r="K262" s="177">
        <f>IFERROR(IF([2]对账明细接口!$K$262=0,"",[2]对账明细接口!$K$262),"")</f>
      </c>
      <c r="L262" s="16">
        <f>IFERROR(IF([2]对账明细接口!$L$262=0,"",[2]对账明细接口!$L$262),"")</f>
      </c>
      <c r="M262" s="16" t="str">
        <f>IFERROR(IF([2]对账明细接口!$M$262=0,"",[2]对账明细接口!$M$262),"")</f>
        <v>蓝筐</v>
      </c>
      <c r="N262" s="19">
        <f>IF($C262="",0,1)</f>
        <v>1</v>
      </c>
      <c r="O262" s="19">
        <f>N(O261)+$N262</f>
        <v>259</v>
      </c>
      <c r="S262" s="20" t="str">
        <f>IFERROR(IF([2]对账明细接口!$N262=0,"",[2]对账明细接口!$N262),"")</f>
        <v>自备一次性筐</v>
      </c>
      <c r="T262" s="212">
        <f>IFERROR(IF([2]对账明细接口!$O262=0,"",[2]对账明细接口!$O262),"")</f>
      </c>
      <c r="U262" s="212">
        <f>IFERROR(IF([2]对账明细接口!$P262=0,"",[2]对账明细接口!$P262),"")</f>
      </c>
      <c r="V262" s="212">
        <f>IFERROR(IF([2]对账明细接口!$Q262=0,"",[2]对账明细接口!$Q262),"")</f>
        <v>546</v>
      </c>
      <c r="W262" s="20">
        <f>IFERROR(IF([2]对账明细接口!$R262=0,"",[2]对账明细接口!$R262),"")</f>
      </c>
      <c r="X262" s="20" t="str">
        <f>IFERROR(IF([2]对账明细接口!$S262=0,"",[2]对账明细接口!$S262),"")</f>
        <v>自备筐</v>
      </c>
      <c r="Y262" s="20">
        <f>""</f>
      </c>
      <c r="Z262" s="20">
        <f>""</f>
      </c>
      <c r="AA262" s="20">
        <f>""</f>
      </c>
      <c r="AB262" s="20">
        <f>""</f>
      </c>
    </row>
    <row r="263" s="127">
      <c r="A263" s="14" t="n">
        <v>263</v>
      </c>
      <c r="B263" s="211">
        <f>IFERROR(IF([2]对账明细接口!$B$263=0,"",[2]对账明细接口!$B$263),"")</f>
        <v>46281.0</v>
      </c>
      <c r="C263" s="16" t="str">
        <f>IFERROR(IF([2]对账明细接口!$C$263=0,"",[2]对账明细接口!$C$263),"")</f>
        <v>王灵云</v>
      </c>
      <c r="D263" s="16" t="str">
        <f>IFERROR(IF([2]对账明细接口!$D$263=0,"",[2]对账明细接口!$D$263),"")</f>
        <v>客户自备筐－</v>
      </c>
      <c r="E263" s="16">
        <f>IFERROR(IF([2]对账明细接口!$E$263=0,"",[2]对账明细接口!$E$263),"")</f>
      </c>
      <c r="F263" s="16" t="str">
        <f>IFERROR(IF([2]对账明细接口!$F$263=0,"",[2]对账明细接口!$F$263),"")</f>
        <v>自备一次性筐</v>
      </c>
      <c r="G263" s="16">
        <f>IFERROR(IF([2]对账明细接口!$G$263=0,"",[2]对账明细接口!$G$263),"")</f>
      </c>
      <c r="H263" s="176">
        <f>IFERROR(IF([2]对账明细接口!$H$263=0,"",[2]对账明细接口!$H$263),"")</f>
        <v>1000</v>
      </c>
      <c r="I263" s="16" t="str">
        <f>IFERROR(IF([2]对账明细接口!$I$263=0,"",[2]对账明细接口!$I$263),"")</f>
        <v>个</v>
      </c>
      <c r="J263" s="177">
        <f>IFERROR(IF([2]对账明细接口!$J$263=0,"",[2]对账明细接口!$J$263),"")</f>
      </c>
      <c r="K263" s="177">
        <f>IFERROR(IF([2]对账明细接口!$K$263=0,"",[2]对账明细接口!$K$263),"")</f>
      </c>
      <c r="L263" s="16">
        <f>IFERROR(IF([2]对账明细接口!$L$263=0,"",[2]对账明细接口!$L$263),"")</f>
      </c>
      <c r="M263" s="16" t="str">
        <f>IFERROR(IF([2]对账明细接口!$M$263=0,"",[2]对账明细接口!$M$263),"")</f>
        <v>黑筐</v>
      </c>
      <c r="N263" s="19">
        <f>IF($C263="",0,1)</f>
        <v>1</v>
      </c>
      <c r="O263" s="19">
        <f>N(O262)+$N263</f>
        <v>260</v>
      </c>
      <c r="S263" s="20" t="str">
        <f>IFERROR(IF([2]对账明细接口!$N263=0,"",[2]对账明细接口!$N263),"")</f>
        <v>自备一次性筐</v>
      </c>
      <c r="T263" s="212">
        <f>IFERROR(IF([2]对账明细接口!$O263=0,"",[2]对账明细接口!$O263),"")</f>
      </c>
      <c r="U263" s="212">
        <f>IFERROR(IF([2]对账明细接口!$P263=0,"",[2]对账明细接口!$P263),"")</f>
      </c>
      <c r="V263" s="212">
        <f>IFERROR(IF([2]对账明细接口!$Q263=0,"",[2]对账明细接口!$Q263),"")</f>
        <v>1000</v>
      </c>
      <c r="W263" s="20">
        <f>IFERROR(IF([2]对账明细接口!$R263=0,"",[2]对账明细接口!$R263),"")</f>
      </c>
      <c r="X263" s="20" t="str">
        <f>IFERROR(IF([2]对账明细接口!$S263=0,"",[2]对账明细接口!$S263),"")</f>
        <v>自备筐</v>
      </c>
      <c r="Y263" s="20">
        <f>""</f>
      </c>
      <c r="Z263" s="20">
        <f>""</f>
      </c>
      <c r="AA263" s="20">
        <f>""</f>
      </c>
      <c r="AB263" s="20">
        <f>""</f>
      </c>
    </row>
    <row r="264" s="127">
      <c r="A264" s="14" t="n">
        <v>264</v>
      </c>
      <c r="B264" s="211">
        <f>IFERROR(IF([2]对账明细接口!$B$264=0,"",[2]对账明细接口!$B$264),"")</f>
        <v>46282.0</v>
      </c>
      <c r="C264" s="16" t="str">
        <f>IFERROR(IF([2]对账明细接口!$C$264=0,"",[2]对账明细接口!$C$264),"")</f>
        <v>麦麦提</v>
      </c>
      <c r="D264" s="16" t="str">
        <f>IFERROR(IF([2]对账明细接口!$D$264=0,"",[2]对账明细接口!$D$264),"")</f>
        <v>客户自备筐－</v>
      </c>
      <c r="E264" s="16">
        <f>IFERROR(IF([2]对账明细接口!$E$264=0,"",[2]对账明细接口!$E$264),"")</f>
      </c>
      <c r="F264" s="16" t="str">
        <f>IFERROR(IF([2]对账明细接口!$F$264=0,"",[2]对账明细接口!$F$264),"")</f>
        <v>自备一次性筐</v>
      </c>
      <c r="G264" s="16">
        <f>IFERROR(IF([2]对账明细接口!$G$264=0,"",[2]对账明细接口!$G$264),"")</f>
      </c>
      <c r="H264" s="176">
        <f>IFERROR(IF([2]对账明细接口!$H$264=0,"",[2]对账明细接口!$H$264),"")</f>
        <v>546</v>
      </c>
      <c r="I264" s="16" t="str">
        <f>IFERROR(IF([2]对账明细接口!$I$264=0,"",[2]对账明细接口!$I$264),"")</f>
        <v>个</v>
      </c>
      <c r="J264" s="177">
        <f>IFERROR(IF([2]对账明细接口!$J$264=0,"",[2]对账明细接口!$J$264),"")</f>
      </c>
      <c r="K264" s="177">
        <f>IFERROR(IF([2]对账明细接口!$K$264=0,"",[2]对账明细接口!$K$264),"")</f>
      </c>
      <c r="L264" s="16">
        <f>IFERROR(IF([2]对账明细接口!$L$264=0,"",[2]对账明细接口!$L$264),"")</f>
      </c>
      <c r="M264" s="16" t="str">
        <f>IFERROR(IF([2]对账明细接口!$M$264=0,"",[2]对账明细接口!$M$264),"")</f>
        <v>蓝筐</v>
      </c>
      <c r="N264" s="19">
        <f>IF($C264="",0,1)</f>
        <v>1</v>
      </c>
      <c r="O264" s="19">
        <f>N(O263)+$N264</f>
        <v>261</v>
      </c>
      <c r="S264" s="20" t="str">
        <f>IFERROR(IF([2]对账明细接口!$N264=0,"",[2]对账明细接口!$N264),"")</f>
        <v>自备一次性筐</v>
      </c>
      <c r="T264" s="212">
        <f>IFERROR(IF([2]对账明细接口!$O264=0,"",[2]对账明细接口!$O264),"")</f>
      </c>
      <c r="U264" s="212">
        <f>IFERROR(IF([2]对账明细接口!$P264=0,"",[2]对账明细接口!$P264),"")</f>
      </c>
      <c r="V264" s="212">
        <f>IFERROR(IF([2]对账明细接口!$Q264=0,"",[2]对账明细接口!$Q264),"")</f>
        <v>546</v>
      </c>
      <c r="W264" s="20">
        <f>IFERROR(IF([2]对账明细接口!$R264=0,"",[2]对账明细接口!$R264),"")</f>
      </c>
      <c r="X264" s="20" t="str">
        <f>IFERROR(IF([2]对账明细接口!$S264=0,"",[2]对账明细接口!$S264),"")</f>
        <v>自备筐</v>
      </c>
      <c r="Y264" s="20">
        <f>""</f>
      </c>
      <c r="Z264" s="20">
        <f>""</f>
      </c>
      <c r="AA264" s="20">
        <f>""</f>
      </c>
      <c r="AB264" s="20">
        <f>""</f>
      </c>
    </row>
    <row r="265" s="127">
      <c r="A265" s="14" t="n">
        <v>265</v>
      </c>
      <c r="B265" s="211">
        <f>IFERROR(IF([2]对账明细接口!$B$265=0,"",[2]对账明细接口!$B$265),"")</f>
        <v>46283.0</v>
      </c>
      <c r="C265" s="16" t="str">
        <f>IFERROR(IF([2]对账明细接口!$C$265=0,"",[2]对账明细接口!$C$265),"")</f>
        <v>王照雪</v>
      </c>
      <c r="D265" s="16" t="str">
        <f>IFERROR(IF([2]对账明细接口!$D$265=0,"",[2]对账明细接口!$D$265),"")</f>
        <v>客户自备筐－</v>
      </c>
      <c r="E265" s="16">
        <f>IFERROR(IF([2]对账明细接口!$E$265=0,"",[2]对账明细接口!$E$265),"")</f>
      </c>
      <c r="F265" s="16" t="str">
        <f>IFERROR(IF([2]对账明细接口!$F$265=0,"",[2]对账明细接口!$F$265),"")</f>
        <v>自备一次性筐</v>
      </c>
      <c r="G265" s="16">
        <f>IFERROR(IF([2]对账明细接口!$G$265=0,"",[2]对账明细接口!$G$265),"")</f>
      </c>
      <c r="H265" s="176">
        <f>IFERROR(IF([2]对账明细接口!$H$265=0,"",[2]对账明细接口!$H$265),"")</f>
        <v>548</v>
      </c>
      <c r="I265" s="16" t="str">
        <f>IFERROR(IF([2]对账明细接口!$I$265=0,"",[2]对账明细接口!$I$265),"")</f>
        <v>个</v>
      </c>
      <c r="J265" s="177">
        <f>IFERROR(IF([2]对账明细接口!$J$265=0,"",[2]对账明细接口!$J$265),"")</f>
      </c>
      <c r="K265" s="177">
        <f>IFERROR(IF([2]对账明细接口!$K$265=0,"",[2]对账明细接口!$K$265),"")</f>
      </c>
      <c r="L265" s="16">
        <f>IFERROR(IF([2]对账明细接口!$L$265=0,"",[2]对账明细接口!$L$265),"")</f>
      </c>
      <c r="M265" s="16" t="str">
        <f>IFERROR(IF([2]对账明细接口!$M$265=0,"",[2]对账明细接口!$M$265),"")</f>
        <v>黑筐</v>
      </c>
      <c r="N265" s="19">
        <f>IF($C265="",0,1)</f>
        <v>1</v>
      </c>
      <c r="O265" s="19">
        <f>N(O264)+$N265</f>
        <v>262</v>
      </c>
      <c r="S265" s="20" t="str">
        <f>IFERROR(IF([2]对账明细接口!$N265=0,"",[2]对账明细接口!$N265),"")</f>
        <v>自备一次性筐</v>
      </c>
      <c r="T265" s="212">
        <f>IFERROR(IF([2]对账明细接口!$O265=0,"",[2]对账明细接口!$O265),"")</f>
        <v>48</v>
      </c>
      <c r="U265" s="212">
        <f>IFERROR(IF([2]对账明细接口!$P265=0,"",[2]对账明细接口!$P265),"")</f>
      </c>
      <c r="V265" s="212">
        <f>IFERROR(IF([2]对账明细接口!$Q265=0,"",[2]对账明细接口!$Q265),"")</f>
        <v>500</v>
      </c>
      <c r="W265" s="20">
        <f>IFERROR(IF([2]对账明细接口!$R265=0,"",[2]对账明细接口!$R265),"")</f>
      </c>
      <c r="X265" s="20" t="str">
        <f>IFERROR(IF([2]对账明细接口!$S265=0,"",[2]对账明细接口!$S265),"")</f>
        <v>自备筐</v>
      </c>
      <c r="Y265" s="20">
        <f>""</f>
      </c>
      <c r="Z265" s="20">
        <f>""</f>
      </c>
      <c r="AA265" s="20">
        <f>""</f>
      </c>
      <c r="AB265" s="20">
        <f>""</f>
      </c>
    </row>
    <row r="266" s="127">
      <c r="A266" s="14" t="n">
        <v>266</v>
      </c>
      <c r="B266" s="211">
        <f>IFERROR(IF([2]对账明细接口!$B$266=0,"",[2]对账明细接口!$B$266),"")</f>
        <v>46286.0</v>
      </c>
      <c r="C266" s="16" t="str">
        <f>IFERROR(IF([2]对账明细接口!$C$266=0,"",[2]对账明细接口!$C$266),"")</f>
        <v>王灵云</v>
      </c>
      <c r="D266" s="16" t="str">
        <f>IFERROR(IF([2]对账明细接口!$D$266=0,"",[2]对账明细接口!$D$266),"")</f>
        <v>客户自备筐－</v>
      </c>
      <c r="E266" s="16">
        <f>IFERROR(IF([2]对账明细接口!$E$266=0,"",[2]对账明细接口!$E$266),"")</f>
      </c>
      <c r="F266" s="16" t="str">
        <f>IFERROR(IF([2]对账明细接口!$F$266=0,"",[2]对账明细接口!$F$266),"")</f>
        <v>自备一次性筐</v>
      </c>
      <c r="G266" s="16">
        <f>IFERROR(IF([2]对账明细接口!$G$266=0,"",[2]对账明细接口!$G$266),"")</f>
      </c>
      <c r="H266" s="176">
        <f>IFERROR(IF([2]对账明细接口!$H$266=0,"",[2]对账明细接口!$H$266),"")</f>
        <v>1000</v>
      </c>
      <c r="I266" s="16" t="str">
        <f>IFERROR(IF([2]对账明细接口!$I$266=0,"",[2]对账明细接口!$I$266),"")</f>
        <v>个</v>
      </c>
      <c r="J266" s="177">
        <f>IFERROR(IF([2]对账明细接口!$J$266=0,"",[2]对账明细接口!$J$266),"")</f>
      </c>
      <c r="K266" s="177">
        <f>IFERROR(IF([2]对账明细接口!$K$266=0,"",[2]对账明细接口!$K$266),"")</f>
      </c>
      <c r="L266" s="16">
        <f>IFERROR(IF([2]对账明细接口!$L$266=0,"",[2]对账明细接口!$L$266),"")</f>
      </c>
      <c r="M266" s="16" t="str">
        <f>IFERROR(IF([2]对账明细接口!$M$266=0,"",[2]对账明细接口!$M$266),"")</f>
        <v>黑筐</v>
      </c>
      <c r="N266" s="19">
        <f>IF($C266="",0,1)</f>
        <v>1</v>
      </c>
      <c r="O266" s="19">
        <f>N(O265)+$N266</f>
        <v>263</v>
      </c>
      <c r="S266" s="20" t="str">
        <f>IFERROR(IF([2]对账明细接口!$N266=0,"",[2]对账明细接口!$N266),"")</f>
        <v>自备一次性筐</v>
      </c>
      <c r="T266" s="212">
        <f>IFERROR(IF([2]对账明细接口!$O266=0,"",[2]对账明细接口!$O266),"")</f>
      </c>
      <c r="U266" s="212">
        <f>IFERROR(IF([2]对账明细接口!$P266=0,"",[2]对账明细接口!$P266),"")</f>
      </c>
      <c r="V266" s="212">
        <f>IFERROR(IF([2]对账明细接口!$Q266=0,"",[2]对账明细接口!$Q266),"")</f>
        <v>1000</v>
      </c>
      <c r="W266" s="20">
        <f>IFERROR(IF([2]对账明细接口!$R266=0,"",[2]对账明细接口!$R266),"")</f>
      </c>
      <c r="X266" s="20" t="str">
        <f>IFERROR(IF([2]对账明细接口!$S266=0,"",[2]对账明细接口!$S266),"")</f>
        <v>自备筐</v>
      </c>
      <c r="Y266" s="20">
        <f>""</f>
      </c>
      <c r="Z266" s="20">
        <f>""</f>
      </c>
      <c r="AA266" s="20">
        <f>""</f>
      </c>
      <c r="AB266" s="20">
        <f>""</f>
      </c>
    </row>
    <row r="267" s="127">
      <c r="A267" s="14" t="n">
        <v>267</v>
      </c>
      <c r="B267" s="211">
        <f>IFERROR(IF([2]对账明细接口!$B$267=0,"",[2]对账明细接口!$B$267),"")</f>
        <v>46287.0</v>
      </c>
      <c r="C267" s="16" t="str">
        <f>IFERROR(IF([2]对账明细接口!$C$267=0,"",[2]对账明细接口!$C$267),"")</f>
        <v>麦麦提</v>
      </c>
      <c r="D267" s="16" t="str">
        <f>IFERROR(IF([2]对账明细接口!$D$267=0,"",[2]对账明细接口!$D$267),"")</f>
        <v>客户自备筐－</v>
      </c>
      <c r="E267" s="16">
        <f>IFERROR(IF([2]对账明细接口!$E$267=0,"",[2]对账明细接口!$E$267),"")</f>
      </c>
      <c r="F267" s="16" t="str">
        <f>IFERROR(IF([2]对账明细接口!$F$267=0,"",[2]对账明细接口!$F$267),"")</f>
        <v>自备一次性筐</v>
      </c>
      <c r="G267" s="16">
        <f>IFERROR(IF([2]对账明细接口!$G$267=0,"",[2]对账明细接口!$G$267),"")</f>
      </c>
      <c r="H267" s="176">
        <f>IFERROR(IF([2]对账明细接口!$H$267=0,"",[2]对账明细接口!$H$267),"")</f>
        <v>200</v>
      </c>
      <c r="I267" s="16" t="str">
        <f>IFERROR(IF([2]对账明细接口!$I$267=0,"",[2]对账明细接口!$I$267),"")</f>
        <v>个</v>
      </c>
      <c r="J267" s="177">
        <f>IFERROR(IF([2]对账明细接口!$J$267=0,"",[2]对账明细接口!$J$267),"")</f>
      </c>
      <c r="K267" s="177">
        <f>IFERROR(IF([2]对账明细接口!$K$267=0,"",[2]对账明细接口!$K$267),"")</f>
      </c>
      <c r="L267" s="16">
        <f>IFERROR(IF([2]对账明细接口!$L$267=0,"",[2]对账明细接口!$L$267),"")</f>
      </c>
      <c r="M267" s="16" t="str">
        <f>IFERROR(IF([2]对账明细接口!$M$267=0,"",[2]对账明细接口!$M$267),"")</f>
        <v>黑筐</v>
      </c>
      <c r="N267" s="19">
        <f>IF($C267="",0,1)</f>
        <v>1</v>
      </c>
      <c r="O267" s="19">
        <f>N(O266)+$N267</f>
        <v>264</v>
      </c>
      <c r="S267" s="20" t="str">
        <f>IFERROR(IF([2]对账明细接口!$N267=0,"",[2]对账明细接口!$N267),"")</f>
        <v>自备一次性筐</v>
      </c>
      <c r="T267" s="212">
        <f>IFERROR(IF([2]对账明细接口!$O267=0,"",[2]对账明细接口!$O267),"")</f>
      </c>
      <c r="U267" s="212">
        <f>IFERROR(IF([2]对账明细接口!$P267=0,"",[2]对账明细接口!$P267),"")</f>
      </c>
      <c r="V267" s="212">
        <f>IFERROR(IF([2]对账明细接口!$Q267=0,"",[2]对账明细接口!$Q267),"")</f>
        <v>200</v>
      </c>
      <c r="W267" s="20">
        <f>IFERROR(IF([2]对账明细接口!$R267=0,"",[2]对账明细接口!$R267),"")</f>
      </c>
      <c r="X267" s="20" t="str">
        <f>IFERROR(IF([2]对账明细接口!$S267=0,"",[2]对账明细接口!$S267),"")</f>
        <v>自备筐</v>
      </c>
      <c r="Y267" s="20">
        <f>""</f>
      </c>
      <c r="Z267" s="20">
        <f>""</f>
      </c>
      <c r="AA267" s="20">
        <f>""</f>
      </c>
      <c r="AB267" s="20">
        <f>""</f>
      </c>
    </row>
    <row r="268" s="127">
      <c r="A268" s="14" t="n">
        <v>268</v>
      </c>
      <c r="B268" s="211">
        <f>IFERROR(IF([2]对账明细接口!$B$268=0,"",[2]对账明细接口!$B$268),"")</f>
        <v>46287.0</v>
      </c>
      <c r="C268" s="16" t="str">
        <f>IFERROR(IF([2]对账明细接口!$C$268=0,"",[2]对账明细接口!$C$268),"")</f>
        <v>王浩</v>
      </c>
      <c r="D268" s="16" t="str">
        <f>IFERROR(IF([2]对账明细接口!$D$268=0,"",[2]对账明细接口!$D$268),"")</f>
        <v>客户自备筐－</v>
      </c>
      <c r="E268" s="16" t="str">
        <f>IFERROR(IF([2]对账明细接口!$E$268=0,"",[2]对账明细接口!$E$268),"")</f>
        <v>NO:0000950</v>
      </c>
      <c r="F268" s="16" t="str">
        <f>IFERROR(IF([2]对账明细接口!$F$268=0,"",[2]对账明细接口!$F$268),"")</f>
        <v>自备杂周转筐</v>
      </c>
      <c r="G268" s="16">
        <f>IFERROR(IF([2]对账明细接口!$G$268=0,"",[2]对账明细接口!$G$268),"")</f>
      </c>
      <c r="H268" s="176">
        <f>IFERROR(IF([2]对账明细接口!$H$268=0,"",[2]对账明细接口!$H$268),"")</f>
        <v>39</v>
      </c>
      <c r="I268" s="16" t="str">
        <f>IFERROR(IF([2]对账明细接口!$I$268=0,"",[2]对账明细接口!$I$268),"")</f>
        <v>个</v>
      </c>
      <c r="J268" s="177">
        <f>IFERROR(IF([2]对账明细接口!$J$268=0,"",[2]对账明细接口!$J$268),"")</f>
      </c>
      <c r="K268" s="177">
        <f>IFERROR(IF([2]对账明细接口!$K$268=0,"",[2]对账明细接口!$K$268),"")</f>
      </c>
      <c r="L268" s="16">
        <f>IFERROR(IF([2]对账明细接口!$L$268=0,"",[2]对账明细接口!$L$268),"")</f>
      </c>
      <c r="M268" s="16" t="str">
        <f>IFERROR(IF([2]对账明细接口!$M$268=0,"",[2]对账明细接口!$M$268),"")</f>
        <v>自备白周转筐</v>
      </c>
      <c r="N268" s="19">
        <f>IF($C268="",0,1)</f>
        <v>1</v>
      </c>
      <c r="O268" s="19">
        <f>N(O267)+$N268</f>
        <v>265</v>
      </c>
      <c r="S268" s="20" t="str">
        <f>IFERROR(IF([2]对账明细接口!$N268=0,"",[2]对账明细接口!$N268),"")</f>
        <v>自备杂周转筐</v>
      </c>
      <c r="T268" s="212">
        <f>IFERROR(IF([2]对账明细接口!$O268=0,"",[2]对账明细接口!$O268),"")</f>
      </c>
      <c r="U268" s="212">
        <f>IFERROR(IF([2]对账明细接口!$P268=0,"",[2]对账明细接口!$P268),"")</f>
      </c>
      <c r="V268" s="212">
        <f>IFERROR(IF([2]对账明细接口!$Q268=0,"",[2]对账明细接口!$Q268),"")</f>
        <v>39</v>
      </c>
      <c r="W268" s="20" t="str">
        <f>IFERROR(IF([2]对账明细接口!$R268=0,"",[2]对账明细接口!$R268),"")</f>
        <v>新A*G1620</v>
      </c>
      <c r="X268" s="20" t="str">
        <f>IFERROR(IF([2]对账明细接口!$S268=0,"",[2]对账明细接口!$S268),"")</f>
        <v>自备筐</v>
      </c>
      <c r="Y268" s="20">
        <f>""</f>
      </c>
      <c r="Z268" s="20">
        <f>""</f>
      </c>
      <c r="AA268" s="20">
        <f>""</f>
      </c>
      <c r="AB268" s="20">
        <f>""</f>
      </c>
    </row>
    <row r="269" s="127">
      <c r="A269" s="14" t="n">
        <v>269</v>
      </c>
      <c r="B269" s="211">
        <f>IFERROR(IF([2]对账明细接口!$B$269=0,"",[2]对账明细接口!$B$269),"")</f>
        <v>46287.0</v>
      </c>
      <c r="C269" s="16" t="str">
        <f>IFERROR(IF([2]对账明细接口!$C$269=0,"",[2]对账明细接口!$C$269),"")</f>
        <v>王灵云</v>
      </c>
      <c r="D269" s="16" t="str">
        <f>IFERROR(IF([2]对账明细接口!$D$269=0,"",[2]对账明细接口!$D$269),"")</f>
        <v>客户自备筐－</v>
      </c>
      <c r="E269" s="16">
        <f>IFERROR(IF([2]对账明细接口!$E$269=0,"",[2]对账明细接口!$E$269),"")</f>
      </c>
      <c r="F269" s="16" t="str">
        <f>IFERROR(IF([2]对账明细接口!$F$269=0,"",[2]对账明细接口!$F$269),"")</f>
        <v>自备一次性筐</v>
      </c>
      <c r="G269" s="16">
        <f>IFERROR(IF([2]对账明细接口!$G$269=0,"",[2]对账明细接口!$G$269),"")</f>
      </c>
      <c r="H269" s="176">
        <f>IFERROR(IF([2]对账明细接口!$H$269=0,"",[2]对账明细接口!$H$269),"")</f>
        <v>1000</v>
      </c>
      <c r="I269" s="16" t="str">
        <f>IFERROR(IF([2]对账明细接口!$I$269=0,"",[2]对账明细接口!$I$269),"")</f>
        <v>个</v>
      </c>
      <c r="J269" s="177">
        <f>IFERROR(IF([2]对账明细接口!$J$269=0,"",[2]对账明细接口!$J$269),"")</f>
      </c>
      <c r="K269" s="177">
        <f>IFERROR(IF([2]对账明细接口!$K$269=0,"",[2]对账明细接口!$K$269),"")</f>
      </c>
      <c r="L269" s="16">
        <f>IFERROR(IF([2]对账明细接口!$L$269=0,"",[2]对账明细接口!$L$269),"")</f>
      </c>
      <c r="M269" s="16" t="str">
        <f>IFERROR(IF([2]对账明细接口!$M$269=0,"",[2]对账明细接口!$M$269),"")</f>
        <v>黑筐</v>
      </c>
      <c r="N269" s="19">
        <f>IF($C269="",0,1)</f>
        <v>1</v>
      </c>
      <c r="O269" s="19">
        <f>N(O268)+$N269</f>
        <v>266</v>
      </c>
      <c r="S269" s="20" t="str">
        <f>IFERROR(IF([2]对账明细接口!$N269=0,"",[2]对账明细接口!$N269),"")</f>
        <v>自备一次性筐</v>
      </c>
      <c r="T269" s="212">
        <f>IFERROR(IF([2]对账明细接口!$O269=0,"",[2]对账明细接口!$O269),"")</f>
      </c>
      <c r="U269" s="212">
        <f>IFERROR(IF([2]对账明细接口!$P269=0,"",[2]对账明细接口!$P269),"")</f>
      </c>
      <c r="V269" s="212">
        <f>IFERROR(IF([2]对账明细接口!$Q269=0,"",[2]对账明细接口!$Q269),"")</f>
        <v>1000</v>
      </c>
      <c r="W269" s="20">
        <f>IFERROR(IF([2]对账明细接口!$R269=0,"",[2]对账明细接口!$R269),"")</f>
      </c>
      <c r="X269" s="20" t="str">
        <f>IFERROR(IF([2]对账明细接口!$S269=0,"",[2]对账明细接口!$S269),"")</f>
        <v>自备筐</v>
      </c>
      <c r="Y269" s="20">
        <f>""</f>
      </c>
      <c r="Z269" s="20">
        <f>""</f>
      </c>
      <c r="AA269" s="20">
        <f>""</f>
      </c>
      <c r="AB269" s="20">
        <f>""</f>
      </c>
    </row>
    <row r="270" s="127">
      <c r="A270" s="14" t="n">
        <v>270</v>
      </c>
      <c r="B270" s="211">
        <f>IFERROR(IF([2]对账明细接口!$B$270=0,"",[2]对账明细接口!$B$270),"")</f>
        <v>46291.0</v>
      </c>
      <c r="C270" s="16" t="str">
        <f>IFERROR(IF([2]对账明细接口!$C$270=0,"",[2]对账明细接口!$C$270),"")</f>
        <v>王灵云</v>
      </c>
      <c r="D270" s="16" t="str">
        <f>IFERROR(IF([2]对账明细接口!$D$270=0,"",[2]对账明细接口!$D$270),"")</f>
        <v>客户自备筐－</v>
      </c>
      <c r="E270" s="16">
        <f>IFERROR(IF([2]对账明细接口!$E$270=0,"",[2]对账明细接口!$E$270),"")</f>
      </c>
      <c r="F270" s="16" t="str">
        <f>IFERROR(IF([2]对账明细接口!$F$270=0,"",[2]对账明细接口!$F$270),"")</f>
        <v>自备一次性筐</v>
      </c>
      <c r="G270" s="16">
        <f>IFERROR(IF([2]对账明细接口!$G$270=0,"",[2]对账明细接口!$G$270),"")</f>
      </c>
      <c r="H270" s="176">
        <f>IFERROR(IF([2]对账明细接口!$H$270=0,"",[2]对账明细接口!$H$270),"")</f>
        <v>1000</v>
      </c>
      <c r="I270" s="16" t="str">
        <f>IFERROR(IF([2]对账明细接口!$I$270=0,"",[2]对账明细接口!$I$270),"")</f>
        <v>个</v>
      </c>
      <c r="J270" s="177">
        <f>IFERROR(IF([2]对账明细接口!$J$270=0,"",[2]对账明细接口!$J$270),"")</f>
      </c>
      <c r="K270" s="177">
        <f>IFERROR(IF([2]对账明细接口!$K$270=0,"",[2]对账明细接口!$K$270),"")</f>
      </c>
      <c r="L270" s="16">
        <f>IFERROR(IF([2]对账明细接口!$L$270=0,"",[2]对账明细接口!$L$270),"")</f>
      </c>
      <c r="M270" s="16" t="str">
        <f>IFERROR(IF([2]对账明细接口!$M$270=0,"",[2]对账明细接口!$M$270),"")</f>
        <v>黑筐</v>
      </c>
      <c r="N270" s="19">
        <f>IF($C270="",0,1)</f>
        <v>1</v>
      </c>
      <c r="O270" s="19">
        <f>N(O269)+$N270</f>
        <v>267</v>
      </c>
      <c r="S270" s="20" t="str">
        <f>IFERROR(IF([2]对账明细接口!$N270=0,"",[2]对账明细接口!$N270),"")</f>
        <v>自备一次性筐</v>
      </c>
      <c r="T270" s="212">
        <f>IFERROR(IF([2]对账明细接口!$O270=0,"",[2]对账明细接口!$O270),"")</f>
      </c>
      <c r="U270" s="212">
        <f>IFERROR(IF([2]对账明细接口!$P270=0,"",[2]对账明细接口!$P270),"")</f>
      </c>
      <c r="V270" s="212">
        <f>IFERROR(IF([2]对账明细接口!$Q270=0,"",[2]对账明细接口!$Q270),"")</f>
        <v>1000</v>
      </c>
      <c r="W270" s="20">
        <f>IFERROR(IF([2]对账明细接口!$R270=0,"",[2]对账明细接口!$R270),"")</f>
      </c>
      <c r="X270" s="20" t="str">
        <f>IFERROR(IF([2]对账明细接口!$S270=0,"",[2]对账明细接口!$S270),"")</f>
        <v>自备筐</v>
      </c>
      <c r="Y270" s="20">
        <f>""</f>
      </c>
      <c r="Z270" s="20">
        <f>""</f>
      </c>
      <c r="AA270" s="20">
        <f>""</f>
      </c>
      <c r="AB270" s="20">
        <f>""</f>
      </c>
    </row>
    <row r="271" s="127">
      <c r="A271" s="14" t="n">
        <v>271</v>
      </c>
      <c r="B271" s="211">
        <f>IFERROR(IF([2]对账明细接口!$B$271=0,"",[2]对账明细接口!$B$271),"")</f>
        <v>46292.0</v>
      </c>
      <c r="C271" s="16" t="str">
        <f>IFERROR(IF([2]对账明细接口!$C$271=0,"",[2]对账明细接口!$C$271),"")</f>
        <v>金龙</v>
      </c>
      <c r="D271" s="16" t="str">
        <f>IFERROR(IF([2]对账明细接口!$D$271=0,"",[2]对账明细接口!$D$271),"")</f>
        <v>客户自备筐－</v>
      </c>
      <c r="E271" s="16">
        <f>IFERROR(IF([2]对账明细接口!$E$271=0,"",[2]对账明细接口!$E$271),"")</f>
      </c>
      <c r="F271" s="16" t="str">
        <f>IFERROR(IF([2]对账明细接口!$F$271=0,"",[2]对账明细接口!$F$271),"")</f>
        <v>自备一次性筐</v>
      </c>
      <c r="G271" s="16">
        <f>IFERROR(IF([2]对账明细接口!$G$271=0,"",[2]对账明细接口!$G$271),"")</f>
      </c>
      <c r="H271" s="176">
        <f>IFERROR(IF([2]对账明细接口!$H$271=0,"",[2]对账明细接口!$H$271),"")</f>
        <v>1000</v>
      </c>
      <c r="I271" s="16" t="str">
        <f>IFERROR(IF([2]对账明细接口!$I$271=0,"",[2]对账明细接口!$I$271),"")</f>
        <v>个</v>
      </c>
      <c r="J271" s="177">
        <f>IFERROR(IF([2]对账明细接口!$J$271=0,"",[2]对账明细接口!$J$271),"")</f>
      </c>
      <c r="K271" s="177">
        <f>IFERROR(IF([2]对账明细接口!$K$271=0,"",[2]对账明细接口!$K$271),"")</f>
      </c>
      <c r="L271" s="16">
        <f>IFERROR(IF([2]对账明细接口!$L$271=0,"",[2]对账明细接口!$L$271),"")</f>
      </c>
      <c r="M271" s="16" t="str">
        <f>IFERROR(IF([2]对账明细接口!$M$271=0,"",[2]对账明细接口!$M$271),"")</f>
        <v>黑筐</v>
      </c>
      <c r="N271" s="19">
        <f>IF($C271="",0,1)</f>
        <v>1</v>
      </c>
      <c r="O271" s="19">
        <f>N(O270)+$N271</f>
        <v>268</v>
      </c>
      <c r="S271" s="20" t="str">
        <f>IFERROR(IF([2]对账明细接口!$N271=0,"",[2]对账明细接口!$N271),"")</f>
        <v>自备一次性筐</v>
      </c>
      <c r="T271" s="212">
        <f>IFERROR(IF([2]对账明细接口!$O271=0,"",[2]对账明细接口!$O271),"")</f>
      </c>
      <c r="U271" s="212">
        <f>IFERROR(IF([2]对账明细接口!$P271=0,"",[2]对账明细接口!$P271),"")</f>
      </c>
      <c r="V271" s="212">
        <f>IFERROR(IF([2]对账明细接口!$Q271=0,"",[2]对账明细接口!$Q271),"")</f>
        <v>1000</v>
      </c>
      <c r="W271" s="20">
        <f>IFERROR(IF([2]对账明细接口!$R271=0,"",[2]对账明细接口!$R271),"")</f>
      </c>
      <c r="X271" s="20" t="str">
        <f>IFERROR(IF([2]对账明细接口!$S271=0,"",[2]对账明细接口!$S271),"")</f>
        <v>自备筐</v>
      </c>
      <c r="Y271" s="20">
        <f>""</f>
      </c>
      <c r="Z271" s="20">
        <f>""</f>
      </c>
      <c r="AA271" s="20">
        <f>""</f>
      </c>
      <c r="AB271" s="20">
        <f>""</f>
      </c>
    </row>
    <row r="272" s="127">
      <c r="A272" s="14" t="n">
        <v>272</v>
      </c>
      <c r="B272" s="211">
        <f>IFERROR(IF([2]对账明细接口!$B$272=0,"",[2]对账明细接口!$B$272),"")</f>
        <v>46280.0</v>
      </c>
      <c r="C272" s="16" t="str">
        <f>IFERROR(IF([2]对账明细接口!$C$272=0,"",[2]对账明细接口!$C$272),"")</f>
        <v>王照雪</v>
      </c>
      <c r="D272" s="16" t="str">
        <f>IFERROR(IF([2]对账明细接口!$D$272=0,"",[2]对账明细接口!$D$272),"")</f>
        <v>次果筐/托盘－领用出库</v>
      </c>
      <c r="E272" s="16" t="str">
        <f>IFERROR(IF([2]对账明细接口!$E$272=0,"",[2]对账明细接口!$E$272),"")</f>
        <v>NO:0001147</v>
      </c>
      <c r="F272" s="16" t="str">
        <f>IFERROR(IF([2]对账明细接口!$F$272=0,"",[2]对账明细接口!$F$272),"")</f>
        <v>大托盘</v>
      </c>
      <c r="G272" s="16">
        <f>IFERROR(IF([2]对账明细接口!$G$272=0,"",[2]对账明细接口!$G$272),"")</f>
      </c>
      <c r="H272" s="176">
        <f>IFERROR(IF([2]对账明细接口!$H$272=0,"",[2]对账明细接口!$H$272),"")</f>
        <v>1</v>
      </c>
      <c r="I272" s="16" t="str">
        <f>IFERROR(IF([2]对账明细接口!$I$272=0,"",[2]对账明细接口!$I$272),"")</f>
        <v>个</v>
      </c>
      <c r="J272" s="177">
        <f>IFERROR(IF([2]对账明细接口!$J$272=0,"",[2]对账明细接口!$J$272),"")</f>
      </c>
      <c r="K272" s="177">
        <f>IFERROR(IF([2]对账明细接口!$K$272=0,"",[2]对账明细接口!$K$272),"")</f>
        <v>100</v>
      </c>
      <c r="L272" s="16">
        <f>IFERROR(IF([2]对账明细接口!$L$272=0,"",[2]对账明细接口!$L$272),"")</f>
      </c>
      <c r="M272" s="16">
        <f>IFERROR(IF([2]对账明细接口!$M$272=0,"",[2]对账明细接口!$M$272),"")</f>
      </c>
      <c r="N272" s="19">
        <f>IF($C272="",0,1)</f>
        <v>1</v>
      </c>
      <c r="O272" s="19">
        <f>N(O271)+$N272</f>
        <v>269</v>
      </c>
      <c r="S272" s="20" t="str">
        <f>IFERROR(IF([2]对账明细接口!$N272=0,"",[2]对账明细接口!$N272),"")</f>
        <v>大托盘</v>
      </c>
      <c r="T272" s="212">
        <f>IFERROR(IF([2]对账明细接口!$O272=0,"",[2]对账明细接口!$O272),"")</f>
        <v>1</v>
      </c>
      <c r="U272" s="212">
        <f>IFERROR(IF([2]对账明细接口!$P272=0,"",[2]对账明细接口!$P272),"")</f>
      </c>
      <c r="V272" s="212">
        <f>IFERROR(IF([2]对账明细接口!$Q272=0,"",[2]对账明细接口!$Q272),"")</f>
      </c>
      <c r="W272" s="20" t="str">
        <f>IFERROR(IF([2]对账明细接口!$R272=0,"",[2]对账明细接口!$R272),"")</f>
        <v>新N*V5L92</v>
      </c>
      <c r="X272" s="20" t="str">
        <f>IFERROR(IF([2]对账明细接口!$S272=0,"",[2]对账明细接口!$S272),"")</f>
        <v>公司筐</v>
      </c>
      <c r="Y272" s="20">
        <f>""</f>
      </c>
      <c r="Z272" s="20">
        <f>""</f>
      </c>
      <c r="AA272" s="20">
        <f>""</f>
      </c>
      <c r="AB272" s="20">
        <f>""</f>
      </c>
    </row>
    <row r="273" s="127">
      <c r="A273" s="14" t="n">
        <v>273</v>
      </c>
      <c r="B273" s="211">
        <f>IFERROR(IF([2]对账明细接口!$B$273=0,"",[2]对账明细接口!$B$273),"")</f>
        <v>46281.0</v>
      </c>
      <c r="C273" s="16" t="str">
        <f>IFERROR(IF([2]对账明细接口!$C$273=0,"",[2]对账明细接口!$C$273),"")</f>
        <v>王照雪</v>
      </c>
      <c r="D273" s="16" t="str">
        <f>IFERROR(IF([2]对账明细接口!$D$273=0,"",[2]对账明细接口!$D$273),"")</f>
        <v>次果筐/托盘－退回入库</v>
      </c>
      <c r="E273" s="16" t="str">
        <f>IFERROR(IF([2]对账明细接口!$E$273=0,"",[2]对账明细接口!$E$273),"")</f>
        <v>NO:0000880</v>
      </c>
      <c r="F273" s="16" t="str">
        <f>IFERROR(IF([2]对账明细接口!$F$273=0,"",[2]对账明细接口!$F$273),"")</f>
        <v>大托盘</v>
      </c>
      <c r="G273" s="16">
        <f>IFERROR(IF([2]对账明细接口!$G$273=0,"",[2]对账明细接口!$G$273),"")</f>
      </c>
      <c r="H273" s="176">
        <f>IFERROR(IF([2]对账明细接口!$H$273=0,"",[2]对账明细接口!$H$273),"")</f>
        <v>1</v>
      </c>
      <c r="I273" s="16" t="str">
        <f>IFERROR(IF([2]对账明细接口!$I$273=0,"",[2]对账明细接口!$I$273),"")</f>
        <v>个</v>
      </c>
      <c r="J273" s="177">
        <f>IFERROR(IF([2]对账明细接口!$J$273=0,"",[2]对账明细接口!$J$273),"")</f>
      </c>
      <c r="K273" s="177">
        <f>IFERROR(IF([2]对账明细接口!$K$273=0,"",[2]对账明细接口!$K$273),"")</f>
      </c>
      <c r="L273" s="16">
        <f>IFERROR(IF([2]对账明细接口!$L$273=0,"",[2]对账明细接口!$L$273),"")</f>
      </c>
      <c r="M273" s="16" t="str">
        <f>IFERROR(IF([2]对账明细接口!$M$273=0,"",[2]对账明细接口!$M$273),"")</f>
        <v>电商退回</v>
      </c>
      <c r="N273" s="19">
        <f>IF($C273="",0,1)</f>
        <v>1</v>
      </c>
      <c r="O273" s="19">
        <f>N(O272)+$N273</f>
        <v>270</v>
      </c>
      <c r="S273" s="20" t="str">
        <f>IFERROR(IF([2]对账明细接口!$N273=0,"",[2]对账明细接口!$N273),"")</f>
        <v>大托盘</v>
      </c>
      <c r="T273" s="212">
        <f>IFERROR(IF([2]对账明细接口!$O273=0,"",[2]对账明细接口!$O273),"")</f>
      </c>
      <c r="U273" s="212">
        <f>IFERROR(IF([2]对账明细接口!$P273=0,"",[2]对账明细接口!$P273),"")</f>
        <v>1</v>
      </c>
      <c r="V273" s="212">
        <f>IFERROR(IF([2]对账明细接口!$Q273=0,"",[2]对账明细接口!$Q273),"")</f>
      </c>
      <c r="W273" s="20" t="str">
        <f>IFERROR(IF([2]对账明细接口!$R273=0,"",[2]对账明细接口!$R273),"")</f>
        <v>豫N*P269J</v>
      </c>
      <c r="X273" s="20" t="str">
        <f>IFERROR(IF([2]对账明细接口!$S273=0,"",[2]对账明细接口!$S273),"")</f>
        <v>公司筐</v>
      </c>
      <c r="Y273" s="20">
        <f>""</f>
      </c>
      <c r="Z273" s="20">
        <f>""</f>
      </c>
      <c r="AA273" s="20">
        <f>""</f>
      </c>
      <c r="AB273" s="20">
        <f>""</f>
      </c>
    </row>
    <row r="274" s="127">
      <c r="A274" s="14" t="n">
        <v>274</v>
      </c>
      <c r="B274" s="211">
        <f>IFERROR(IF([2]对账明细接口!$B$274=0,"",[2]对账明细接口!$B$274),"")</f>
        <v>46282.0</v>
      </c>
      <c r="C274" s="16" t="str">
        <f>IFERROR(IF([2]对账明细接口!$C$274=0,"",[2]对账明细接口!$C$274),"")</f>
        <v>王照雪</v>
      </c>
      <c r="D274" s="16" t="str">
        <f>IFERROR(IF([2]对账明细接口!$D$274=0,"",[2]对账明细接口!$D$274),"")</f>
        <v>次果筐/托盘－领用出库</v>
      </c>
      <c r="E274" s="16" t="str">
        <f>IFERROR(IF([2]对账明细接口!$E$274=0,"",[2]对账明细接口!$E$274),"")</f>
        <v>NO:0001166</v>
      </c>
      <c r="F274" s="16" t="str">
        <f>IFERROR(IF([2]对账明细接口!$F$274=0,"",[2]对账明细接口!$F$274),"")</f>
        <v>公司杂周转筐</v>
      </c>
      <c r="G274" s="16">
        <f>IFERROR(IF([2]对账明细接口!$G$274=0,"",[2]对账明细接口!$G$274),"")</f>
      </c>
      <c r="H274" s="176">
        <f>IFERROR(IF([2]对账明细接口!$H$274=0,"",[2]对账明细接口!$H$274),"")</f>
        <v>25</v>
      </c>
      <c r="I274" s="16" t="str">
        <f>IFERROR(IF([2]对账明细接口!$I$274=0,"",[2]对账明细接口!$I$274),"")</f>
        <v>个</v>
      </c>
      <c r="J274" s="177">
        <f>IFERROR(IF([2]对账明细接口!$J$274=0,"",[2]对账明细接口!$J$274),"")</f>
      </c>
      <c r="K274" s="177">
        <f>IFERROR(IF([2]对账明细接口!$K$274=0,"",[2]对账明细接口!$K$274),"")</f>
        <v>375</v>
      </c>
      <c r="L274" s="16">
        <f>IFERROR(IF([2]对账明细接口!$L$274=0,"",[2]对账明细接口!$L$274),"")</f>
      </c>
      <c r="M274" s="16">
        <f>IFERROR(IF([2]对账明细接口!$M$274=0,"",[2]对账明细接口!$M$274),"")</f>
      </c>
      <c r="N274" s="19">
        <f>IF($C274="",0,1)</f>
        <v>1</v>
      </c>
      <c r="O274" s="19">
        <f>N(O273)+$N274</f>
        <v>271</v>
      </c>
      <c r="S274" s="20" t="str">
        <f>IFERROR(IF([2]对账明细接口!$N274=0,"",[2]对账明细接口!$N274),"")</f>
        <v>公司杂周转筐</v>
      </c>
      <c r="T274" s="212">
        <f>IFERROR(IF([2]对账明细接口!$O274=0,"",[2]对账明细接口!$O274),"")</f>
        <v>25</v>
      </c>
      <c r="U274" s="212">
        <f>IFERROR(IF([2]对账明细接口!$P274=0,"",[2]对账明细接口!$P274),"")</f>
      </c>
      <c r="V274" s="212">
        <f>IFERROR(IF([2]对账明细接口!$Q274=0,"",[2]对账明细接口!$Q274),"")</f>
      </c>
      <c r="W274" s="20" t="str">
        <f>IFERROR(IF([2]对账明细接口!$R274=0,"",[2]对账明细接口!$R274),"")</f>
        <v>新N*GG901</v>
      </c>
      <c r="X274" s="20" t="str">
        <f>IFERROR(IF([2]对账明细接口!$S274=0,"",[2]对账明细接口!$S274),"")</f>
        <v>公司筐</v>
      </c>
      <c r="Y274" s="20">
        <f>""</f>
      </c>
      <c r="Z274" s="20">
        <f>""</f>
      </c>
      <c r="AA274" s="20">
        <f>""</f>
      </c>
      <c r="AB274" s="20">
        <f>""</f>
      </c>
    </row>
    <row r="275" s="127">
      <c r="A275" s="14" t="n">
        <v>275</v>
      </c>
      <c r="B275" s="211">
        <f>IFERROR(IF([2]对账明细接口!$B$275=0,"",[2]对账明细接口!$B$275),"")</f>
        <v>46286.0</v>
      </c>
      <c r="C275" s="16" t="str">
        <f>IFERROR(IF([2]对账明细接口!$C$275=0,"",[2]对账明细接口!$C$275),"")</f>
        <v>王照雪</v>
      </c>
      <c r="D275" s="16" t="str">
        <f>IFERROR(IF([2]对账明细接口!$D$275=0,"",[2]对账明细接口!$D$275),"")</f>
        <v>次果筐/托盘－退回入库</v>
      </c>
      <c r="E275" s="16" t="str">
        <f>IFERROR(IF([2]对账明细接口!$E$275=0,"",[2]对账明细接口!$E$275),"")</f>
        <v>NO:0000939</v>
      </c>
      <c r="F275" s="16" t="str">
        <f>IFERROR(IF([2]对账明细接口!$F$275=0,"",[2]对账明细接口!$F$275),"")</f>
        <v>公司杂周转筐</v>
      </c>
      <c r="G275" s="16">
        <f>IFERROR(IF([2]对账明细接口!$G$275=0,"",[2]对账明细接口!$G$275),"")</f>
      </c>
      <c r="H275" s="176">
        <f>IFERROR(IF([2]对账明细接口!$H$275=0,"",[2]对账明细接口!$H$275),"")</f>
        <v>25</v>
      </c>
      <c r="I275" s="16" t="str">
        <f>IFERROR(IF([2]对账明细接口!$I$275=0,"",[2]对账明细接口!$I$275),"")</f>
        <v>个</v>
      </c>
      <c r="J275" s="177">
        <f>IFERROR(IF([2]对账明细接口!$J$275=0,"",[2]对账明细接口!$J$275),"")</f>
      </c>
      <c r="K275" s="177">
        <f>IFERROR(IF([2]对账明细接口!$K$275=0,"",[2]对账明细接口!$K$275),"")</f>
        <v>25</v>
      </c>
      <c r="L275" s="16" t="str">
        <f>IFERROR(IF([2]对账明细接口!$L$275=0,"",[2]对账明细接口!$L$275),"")</f>
        <v>已收讫</v>
      </c>
      <c r="M275" s="16">
        <f>IFERROR(IF([2]对账明细接口!$M$275=0,"",[2]对账明细接口!$M$275),"")</f>
      </c>
      <c r="N275" s="19">
        <f>IF($C275="",0,1)</f>
        <v>1</v>
      </c>
      <c r="O275" s="19">
        <f>N(O274)+$N275</f>
        <v>272</v>
      </c>
      <c r="S275" s="20" t="str">
        <f>IFERROR(IF([2]对账明细接口!$N275=0,"",[2]对账明细接口!$N275),"")</f>
        <v>公司杂周转筐</v>
      </c>
      <c r="T275" s="212">
        <f>IFERROR(IF([2]对账明细接口!$O275=0,"",[2]对账明细接口!$O275),"")</f>
      </c>
      <c r="U275" s="212">
        <f>IFERROR(IF([2]对账明细接口!$P275=0,"",[2]对账明细接口!$P275),"")</f>
        <v>25</v>
      </c>
      <c r="V275" s="212">
        <f>IFERROR(IF([2]对账明细接口!$Q275=0,"",[2]对账明细接口!$Q275),"")</f>
      </c>
      <c r="W275" s="20" t="str">
        <f>IFERROR(IF([2]对账明细接口!$R275=0,"",[2]对账明细接口!$R275),"")</f>
        <v>新N*GG901</v>
      </c>
      <c r="X275" s="20" t="str">
        <f>IFERROR(IF([2]对账明细接口!$S275=0,"",[2]对账明细接口!$S275),"")</f>
        <v>公司筐</v>
      </c>
      <c r="Y275" s="20">
        <f>""</f>
      </c>
      <c r="Z275" s="20">
        <f>""</f>
      </c>
      <c r="AA275" s="20">
        <f>""</f>
      </c>
      <c r="AB275" s="20">
        <f>""</f>
      </c>
    </row>
    <row r="276" s="127">
      <c r="A276" s="14" t="n">
        <v>276</v>
      </c>
      <c r="B276" s="211">
        <f>IFERROR(IF([2]对账明细接口!$B$276=0,"",[2]对账明细接口!$B$276),"")</f>
      </c>
      <c r="C276" s="16">
        <f>IFERROR(IF([2]对账明细接口!$C$276=0,"",[2]对账明细接口!$C$276),"")</f>
      </c>
      <c r="D276" s="16">
        <f>IFERROR(IF([2]对账明细接口!$D$276=0,"",[2]对账明细接口!$D$276),"")</f>
      </c>
      <c r="E276" s="16">
        <f>IFERROR(IF([2]对账明细接口!$E$276=0,"",[2]对账明细接口!$E$276),"")</f>
      </c>
      <c r="F276" s="16">
        <f>IFERROR(IF([2]对账明细接口!$F$276=0,"",[2]对账明细接口!$F$276),"")</f>
      </c>
      <c r="G276" s="16">
        <f>IFERROR(IF([2]对账明细接口!$G$276=0,"",[2]对账明细接口!$G$276),"")</f>
      </c>
      <c r="H276" s="176">
        <f>IFERROR(IF([2]对账明细接口!$H$276=0,"",[2]对账明细接口!$H$276),"")</f>
      </c>
      <c r="I276" s="16">
        <f>IFERROR(IF([2]对账明细接口!$I$276=0,"",[2]对账明细接口!$I$276),"")</f>
      </c>
      <c r="J276" s="177">
        <f>IFERROR(IF([2]对账明细接口!$J$276=0,"",[2]对账明细接口!$J$276),"")</f>
      </c>
      <c r="K276" s="177">
        <f>IFERROR(IF([2]对账明细接口!$K$276=0,"",[2]对账明细接口!$K$276),"")</f>
      </c>
      <c r="L276" s="16">
        <f>IFERROR(IF([2]对账明细接口!$L$276=0,"",[2]对账明细接口!$L$276),"")</f>
      </c>
      <c r="M276" s="16">
        <f>IFERROR(IF([2]对账明细接口!$M$276=0,"",[2]对账明细接口!$M$276),"")</f>
      </c>
      <c r="N276" s="19">
        <f>IF($C276="",0,1)</f>
        <v>0</v>
      </c>
      <c r="O276" s="19">
        <f>N(O275)+$N276</f>
        <v>272</v>
      </c>
      <c r="S276" s="20">
        <f>IFERROR(IF([2]对账明细接口!$N276=0,"",[2]对账明细接口!$N276),"")</f>
      </c>
      <c r="T276" s="212">
        <f>IFERROR(IF([2]对账明细接口!$O276=0,"",[2]对账明细接口!$O276),"")</f>
      </c>
      <c r="U276" s="212">
        <f>IFERROR(IF([2]对账明细接口!$P276=0,"",[2]对账明细接口!$P276),"")</f>
      </c>
      <c r="V276" s="212">
        <f>IFERROR(IF([2]对账明细接口!$Q276=0,"",[2]对账明细接口!$Q276),"")</f>
      </c>
      <c r="W276" s="20">
        <f>IFERROR(IF([2]对账明细接口!$R276=0,"",[2]对账明细接口!$R276),"")</f>
      </c>
      <c r="X276" s="20">
        <f>IFERROR(IF([2]对账明细接口!$S276=0,"",[2]对账明细接口!$S276),"")</f>
      </c>
      <c r="Y276" s="20">
        <f>""</f>
      </c>
      <c r="Z276" s="20">
        <f>""</f>
      </c>
      <c r="AA276" s="20">
        <f>""</f>
      </c>
      <c r="AB276" s="20">
        <f>""</f>
      </c>
    </row>
    <row r="277" s="127">
      <c r="A277" s="14" t="n">
        <v>277</v>
      </c>
      <c r="B277" s="211">
        <f>IFERROR(IF([2]对账明细接口!$B$277=0,"",[2]对账明细接口!$B$277),"")</f>
      </c>
      <c r="C277" s="16">
        <f>IFERROR(IF([2]对账明细接口!$C$277=0,"",[2]对账明细接口!$C$277),"")</f>
      </c>
      <c r="D277" s="16">
        <f>IFERROR(IF([2]对账明细接口!$D$277=0,"",[2]对账明细接口!$D$277),"")</f>
      </c>
      <c r="E277" s="16">
        <f>IFERROR(IF([2]对账明细接口!$E$277=0,"",[2]对账明细接口!$E$277),"")</f>
      </c>
      <c r="F277" s="16">
        <f>IFERROR(IF([2]对账明细接口!$F$277=0,"",[2]对账明细接口!$F$277),"")</f>
      </c>
      <c r="G277" s="16">
        <f>IFERROR(IF([2]对账明细接口!$G$277=0,"",[2]对账明细接口!$G$277),"")</f>
      </c>
      <c r="H277" s="176">
        <f>IFERROR(IF([2]对账明细接口!$H$277=0,"",[2]对账明细接口!$H$277),"")</f>
      </c>
      <c r="I277" s="16">
        <f>IFERROR(IF([2]对账明细接口!$I$277=0,"",[2]对账明细接口!$I$277),"")</f>
      </c>
      <c r="J277" s="177">
        <f>IFERROR(IF([2]对账明细接口!$J$277=0,"",[2]对账明细接口!$J$277),"")</f>
      </c>
      <c r="K277" s="177">
        <f>IFERROR(IF([2]对账明细接口!$K$277=0,"",[2]对账明细接口!$K$277),"")</f>
      </c>
      <c r="L277" s="16">
        <f>IFERROR(IF([2]对账明细接口!$L$277=0,"",[2]对账明细接口!$L$277),"")</f>
      </c>
      <c r="M277" s="16">
        <f>IFERROR(IF([2]对账明细接口!$M$277=0,"",[2]对账明细接口!$M$277),"")</f>
      </c>
      <c r="N277" s="19">
        <f>IF($C277="",0,1)</f>
        <v>0</v>
      </c>
      <c r="O277" s="19">
        <f>N(O276)+$N277</f>
        <v>272</v>
      </c>
      <c r="S277" s="20">
        <f>IFERROR(IF([2]对账明细接口!$N277=0,"",[2]对账明细接口!$N277),"")</f>
      </c>
      <c r="T277" s="212">
        <f>IFERROR(IF([2]对账明细接口!$O277=0,"",[2]对账明细接口!$O277),"")</f>
      </c>
      <c r="U277" s="212">
        <f>IFERROR(IF([2]对账明细接口!$P277=0,"",[2]对账明细接口!$P277),"")</f>
      </c>
      <c r="V277" s="212">
        <f>IFERROR(IF([2]对账明细接口!$Q277=0,"",[2]对账明细接口!$Q277),"")</f>
      </c>
      <c r="W277" s="20">
        <f>IFERROR(IF([2]对账明细接口!$R277=0,"",[2]对账明细接口!$R277),"")</f>
      </c>
      <c r="X277" s="20">
        <f>IFERROR(IF([2]对账明细接口!$S277=0,"",[2]对账明细接口!$S277),"")</f>
      </c>
      <c r="Y277" s="20">
        <f>""</f>
      </c>
      <c r="Z277" s="20">
        <f>""</f>
      </c>
      <c r="AA277" s="20">
        <f>""</f>
      </c>
      <c r="AB277" s="20">
        <f>""</f>
      </c>
    </row>
    <row r="278" s="127">
      <c r="A278" s="14" t="n">
        <v>278</v>
      </c>
      <c r="B278" s="211">
        <f>IFERROR(IF([2]对账明细接口!$B$278=0,"",[2]对账明细接口!$B$278),"")</f>
      </c>
      <c r="C278" s="16">
        <f>IFERROR(IF([2]对账明细接口!$C$278=0,"",[2]对账明细接口!$C$278),"")</f>
      </c>
      <c r="D278" s="16">
        <f>IFERROR(IF([2]对账明细接口!$D$278=0,"",[2]对账明细接口!$D$278),"")</f>
      </c>
      <c r="E278" s="16">
        <f>IFERROR(IF([2]对账明细接口!$E$278=0,"",[2]对账明细接口!$E$278),"")</f>
      </c>
      <c r="F278" s="16">
        <f>IFERROR(IF([2]对账明细接口!$F$278=0,"",[2]对账明细接口!$F$278),"")</f>
      </c>
      <c r="G278" s="16">
        <f>IFERROR(IF([2]对账明细接口!$G$278=0,"",[2]对账明细接口!$G$278),"")</f>
      </c>
      <c r="H278" s="176">
        <f>IFERROR(IF([2]对账明细接口!$H$278=0,"",[2]对账明细接口!$H$278),"")</f>
      </c>
      <c r="I278" s="16">
        <f>IFERROR(IF([2]对账明细接口!$I$278=0,"",[2]对账明细接口!$I$278),"")</f>
      </c>
      <c r="J278" s="177">
        <f>IFERROR(IF([2]对账明细接口!$J$278=0,"",[2]对账明细接口!$J$278),"")</f>
      </c>
      <c r="K278" s="177">
        <f>IFERROR(IF([2]对账明细接口!$K$278=0,"",[2]对账明细接口!$K$278),"")</f>
      </c>
      <c r="L278" s="16">
        <f>IFERROR(IF([2]对账明细接口!$L$278=0,"",[2]对账明细接口!$L$278),"")</f>
      </c>
      <c r="M278" s="16">
        <f>IFERROR(IF([2]对账明细接口!$M$278=0,"",[2]对账明细接口!$M$278),"")</f>
      </c>
      <c r="N278" s="19">
        <f>IF($C278="",0,1)</f>
        <v>0</v>
      </c>
      <c r="O278" s="19">
        <f>N(O277)+$N278</f>
        <v>272</v>
      </c>
      <c r="S278" s="20">
        <f>IFERROR(IF([2]对账明细接口!$N278=0,"",[2]对账明细接口!$N278),"")</f>
      </c>
      <c r="T278" s="212">
        <f>IFERROR(IF([2]对账明细接口!$O278=0,"",[2]对账明细接口!$O278),"")</f>
      </c>
      <c r="U278" s="212">
        <f>IFERROR(IF([2]对账明细接口!$P278=0,"",[2]对账明细接口!$P278),"")</f>
      </c>
      <c r="V278" s="212">
        <f>IFERROR(IF([2]对账明细接口!$Q278=0,"",[2]对账明细接口!$Q278),"")</f>
      </c>
      <c r="W278" s="20">
        <f>IFERROR(IF([2]对账明细接口!$R278=0,"",[2]对账明细接口!$R278),"")</f>
      </c>
      <c r="X278" s="20">
        <f>IFERROR(IF([2]对账明细接口!$S278=0,"",[2]对账明细接口!$S278),"")</f>
      </c>
      <c r="Y278" s="20">
        <f>""</f>
      </c>
      <c r="Z278" s="20">
        <f>""</f>
      </c>
      <c r="AA278" s="20">
        <f>""</f>
      </c>
      <c r="AB278" s="20">
        <f>""</f>
      </c>
    </row>
    <row r="279" s="127">
      <c r="A279" s="14" t="n">
        <v>279</v>
      </c>
      <c r="B279" s="211">
        <f>IFERROR(IF([2]对账明细接口!$B$279=0,"",[2]对账明细接口!$B$279),"")</f>
      </c>
      <c r="C279" s="16">
        <f>IFERROR(IF([2]对账明细接口!$C$279=0,"",[2]对账明细接口!$C$279),"")</f>
      </c>
      <c r="D279" s="16">
        <f>IFERROR(IF([2]对账明细接口!$D$279=0,"",[2]对账明细接口!$D$279),"")</f>
      </c>
      <c r="E279" s="16">
        <f>IFERROR(IF([2]对账明细接口!$E$279=0,"",[2]对账明细接口!$E$279),"")</f>
      </c>
      <c r="F279" s="16">
        <f>IFERROR(IF([2]对账明细接口!$F$279=0,"",[2]对账明细接口!$F$279),"")</f>
      </c>
      <c r="G279" s="16">
        <f>IFERROR(IF([2]对账明细接口!$G$279=0,"",[2]对账明细接口!$G$279),"")</f>
      </c>
      <c r="H279" s="176">
        <f>IFERROR(IF([2]对账明细接口!$H$279=0,"",[2]对账明细接口!$H$279),"")</f>
      </c>
      <c r="I279" s="16">
        <f>IFERROR(IF([2]对账明细接口!$I$279=0,"",[2]对账明细接口!$I$279),"")</f>
      </c>
      <c r="J279" s="177">
        <f>IFERROR(IF([2]对账明细接口!$J$279=0,"",[2]对账明细接口!$J$279),"")</f>
      </c>
      <c r="K279" s="177">
        <f>IFERROR(IF([2]对账明细接口!$K$279=0,"",[2]对账明细接口!$K$279),"")</f>
      </c>
      <c r="L279" s="16">
        <f>IFERROR(IF([2]对账明细接口!$L$279=0,"",[2]对账明细接口!$L$279),"")</f>
      </c>
      <c r="M279" s="16">
        <f>IFERROR(IF([2]对账明细接口!$M$279=0,"",[2]对账明细接口!$M$279),"")</f>
      </c>
      <c r="N279" s="19">
        <f>IF($C279="",0,1)</f>
        <v>0</v>
      </c>
      <c r="O279" s="19">
        <f>N(O278)+$N279</f>
        <v>272</v>
      </c>
      <c r="S279" s="20">
        <f>IFERROR(IF([2]对账明细接口!$N279=0,"",[2]对账明细接口!$N279),"")</f>
      </c>
      <c r="T279" s="212">
        <f>IFERROR(IF([2]对账明细接口!$O279=0,"",[2]对账明细接口!$O279),"")</f>
      </c>
      <c r="U279" s="212">
        <f>IFERROR(IF([2]对账明细接口!$P279=0,"",[2]对账明细接口!$P279),"")</f>
      </c>
      <c r="V279" s="212">
        <f>IFERROR(IF([2]对账明细接口!$Q279=0,"",[2]对账明细接口!$Q279),"")</f>
      </c>
      <c r="W279" s="20">
        <f>IFERROR(IF([2]对账明细接口!$R279=0,"",[2]对账明细接口!$R279),"")</f>
      </c>
      <c r="X279" s="20">
        <f>IFERROR(IF([2]对账明细接口!$S279=0,"",[2]对账明细接口!$S279),"")</f>
      </c>
      <c r="Y279" s="20">
        <f>""</f>
      </c>
      <c r="Z279" s="20">
        <f>""</f>
      </c>
      <c r="AA279" s="20">
        <f>""</f>
      </c>
      <c r="AB279" s="20">
        <f>""</f>
      </c>
    </row>
    <row r="280" s="127">
      <c r="A280" s="14" t="n">
        <v>280</v>
      </c>
      <c r="B280" s="211">
        <f>IFERROR(IF([2]对账明细接口!$B$280=0,"",[2]对账明细接口!$B$280),"")</f>
      </c>
      <c r="C280" s="16">
        <f>IFERROR(IF([2]对账明细接口!$C$280=0,"",[2]对账明细接口!$C$280),"")</f>
      </c>
      <c r="D280" s="16">
        <f>IFERROR(IF([2]对账明细接口!$D$280=0,"",[2]对账明细接口!$D$280),"")</f>
      </c>
      <c r="E280" s="16">
        <f>IFERROR(IF([2]对账明细接口!$E$280=0,"",[2]对账明细接口!$E$280),"")</f>
      </c>
      <c r="F280" s="16">
        <f>IFERROR(IF([2]对账明细接口!$F$280=0,"",[2]对账明细接口!$F$280),"")</f>
      </c>
      <c r="G280" s="16">
        <f>IFERROR(IF([2]对账明细接口!$G$280=0,"",[2]对账明细接口!$G$280),"")</f>
      </c>
      <c r="H280" s="176">
        <f>IFERROR(IF([2]对账明细接口!$H$280=0,"",[2]对账明细接口!$H$280),"")</f>
      </c>
      <c r="I280" s="16">
        <f>IFERROR(IF([2]对账明细接口!$I$280=0,"",[2]对账明细接口!$I$280),"")</f>
      </c>
      <c r="J280" s="177">
        <f>IFERROR(IF([2]对账明细接口!$J$280=0,"",[2]对账明细接口!$J$280),"")</f>
      </c>
      <c r="K280" s="177">
        <f>IFERROR(IF([2]对账明细接口!$K$280=0,"",[2]对账明细接口!$K$280),"")</f>
      </c>
      <c r="L280" s="16">
        <f>IFERROR(IF([2]对账明细接口!$L$280=0,"",[2]对账明细接口!$L$280),"")</f>
      </c>
      <c r="M280" s="16">
        <f>IFERROR(IF([2]对账明细接口!$M$280=0,"",[2]对账明细接口!$M$280),"")</f>
      </c>
      <c r="N280" s="19">
        <f>IF($C280="",0,1)</f>
        <v>0</v>
      </c>
      <c r="O280" s="19">
        <f>N(O279)+$N280</f>
        <v>272</v>
      </c>
      <c r="S280" s="20">
        <f>IFERROR(IF([2]对账明细接口!$N280=0,"",[2]对账明细接口!$N280),"")</f>
      </c>
      <c r="T280" s="212">
        <f>IFERROR(IF([2]对账明细接口!$O280=0,"",[2]对账明细接口!$O280),"")</f>
      </c>
      <c r="U280" s="212">
        <f>IFERROR(IF([2]对账明细接口!$P280=0,"",[2]对账明细接口!$P280),"")</f>
      </c>
      <c r="V280" s="212">
        <f>IFERROR(IF([2]对账明细接口!$Q280=0,"",[2]对账明细接口!$Q280),"")</f>
      </c>
      <c r="W280" s="20">
        <f>IFERROR(IF([2]对账明细接口!$R280=0,"",[2]对账明细接口!$R280),"")</f>
      </c>
      <c r="X280" s="20">
        <f>IFERROR(IF([2]对账明细接口!$S280=0,"",[2]对账明细接口!$S280),"")</f>
      </c>
      <c r="Y280" s="20">
        <f>""</f>
      </c>
      <c r="Z280" s="20">
        <f>""</f>
      </c>
      <c r="AA280" s="20">
        <f>""</f>
      </c>
      <c r="AB280" s="20">
        <f>""</f>
      </c>
    </row>
    <row r="281" s="127">
      <c r="A281" s="14" t="n">
        <v>281</v>
      </c>
      <c r="B281" s="211">
        <f>IFERROR(IF([2]对账明细接口!$B$281=0,"",[2]对账明细接口!$B$281),"")</f>
      </c>
      <c r="C281" s="16">
        <f>IFERROR(IF([2]对账明细接口!$C$281=0,"",[2]对账明细接口!$C$281),"")</f>
      </c>
      <c r="D281" s="16">
        <f>IFERROR(IF([2]对账明细接口!$D$281=0,"",[2]对账明细接口!$D$281),"")</f>
      </c>
      <c r="E281" s="16">
        <f>IFERROR(IF([2]对账明细接口!$E$281=0,"",[2]对账明细接口!$E$281),"")</f>
      </c>
      <c r="F281" s="16">
        <f>IFERROR(IF([2]对账明细接口!$F$281=0,"",[2]对账明细接口!$F$281),"")</f>
      </c>
      <c r="G281" s="16">
        <f>IFERROR(IF([2]对账明细接口!$G$281=0,"",[2]对账明细接口!$G$281),"")</f>
      </c>
      <c r="H281" s="176">
        <f>IFERROR(IF([2]对账明细接口!$H$281=0,"",[2]对账明细接口!$H$281),"")</f>
      </c>
      <c r="I281" s="16">
        <f>IFERROR(IF([2]对账明细接口!$I$281=0,"",[2]对账明细接口!$I$281),"")</f>
      </c>
      <c r="J281" s="177">
        <f>IFERROR(IF([2]对账明细接口!$J$281=0,"",[2]对账明细接口!$J$281),"")</f>
      </c>
      <c r="K281" s="177">
        <f>IFERROR(IF([2]对账明细接口!$K$281=0,"",[2]对账明细接口!$K$281),"")</f>
      </c>
      <c r="L281" s="16">
        <f>IFERROR(IF([2]对账明细接口!$L$281=0,"",[2]对账明细接口!$L$281),"")</f>
      </c>
      <c r="M281" s="16">
        <f>IFERROR(IF([2]对账明细接口!$M$281=0,"",[2]对账明细接口!$M$281),"")</f>
      </c>
      <c r="N281" s="19">
        <f>IF($C281="",0,1)</f>
        <v>0</v>
      </c>
      <c r="O281" s="19">
        <f>N(O280)+$N281</f>
        <v>272</v>
      </c>
      <c r="S281" s="20">
        <f>IFERROR(IF([2]对账明细接口!$N281=0,"",[2]对账明细接口!$N281),"")</f>
      </c>
      <c r="T281" s="212">
        <f>IFERROR(IF([2]对账明细接口!$O281=0,"",[2]对账明细接口!$O281),"")</f>
      </c>
      <c r="U281" s="212">
        <f>IFERROR(IF([2]对账明细接口!$P281=0,"",[2]对账明细接口!$P281),"")</f>
      </c>
      <c r="V281" s="212">
        <f>IFERROR(IF([2]对账明细接口!$Q281=0,"",[2]对账明细接口!$Q281),"")</f>
      </c>
      <c r="W281" s="20">
        <f>IFERROR(IF([2]对账明细接口!$R281=0,"",[2]对账明细接口!$R281),"")</f>
      </c>
      <c r="X281" s="20">
        <f>IFERROR(IF([2]对账明细接口!$S281=0,"",[2]对账明细接口!$S281),"")</f>
      </c>
      <c r="Y281" s="20">
        <f>""</f>
      </c>
      <c r="Z281" s="20">
        <f>""</f>
      </c>
      <c r="AA281" s="20">
        <f>""</f>
      </c>
      <c r="AB281" s="20">
        <f>""</f>
      </c>
    </row>
    <row r="282" s="127">
      <c r="A282" s="14" t="n">
        <v>282</v>
      </c>
      <c r="B282" s="211">
        <f>IFERROR(IF([2]对账明细接口!$B$282=0,"",[2]对账明细接口!$B$282),"")</f>
      </c>
      <c r="C282" s="16">
        <f>IFERROR(IF([2]对账明细接口!$C$282=0,"",[2]对账明细接口!$C$282),"")</f>
      </c>
      <c r="D282" s="16">
        <f>IFERROR(IF([2]对账明细接口!$D$282=0,"",[2]对账明细接口!$D$282),"")</f>
      </c>
      <c r="E282" s="16">
        <f>IFERROR(IF([2]对账明细接口!$E$282=0,"",[2]对账明细接口!$E$282),"")</f>
      </c>
      <c r="F282" s="16">
        <f>IFERROR(IF([2]对账明细接口!$F$282=0,"",[2]对账明细接口!$F$282),"")</f>
      </c>
      <c r="G282" s="16">
        <f>IFERROR(IF([2]对账明细接口!$G$282=0,"",[2]对账明细接口!$G$282),"")</f>
      </c>
      <c r="H282" s="176">
        <f>IFERROR(IF([2]对账明细接口!$H$282=0,"",[2]对账明细接口!$H$282),"")</f>
      </c>
      <c r="I282" s="16">
        <f>IFERROR(IF([2]对账明细接口!$I$282=0,"",[2]对账明细接口!$I$282),"")</f>
      </c>
      <c r="J282" s="177">
        <f>IFERROR(IF([2]对账明细接口!$J$282=0,"",[2]对账明细接口!$J$282),"")</f>
      </c>
      <c r="K282" s="177">
        <f>IFERROR(IF([2]对账明细接口!$K$282=0,"",[2]对账明细接口!$K$282),"")</f>
      </c>
      <c r="L282" s="16">
        <f>IFERROR(IF([2]对账明细接口!$L$282=0,"",[2]对账明细接口!$L$282),"")</f>
      </c>
      <c r="M282" s="16">
        <f>IFERROR(IF([2]对账明细接口!$M$282=0,"",[2]对账明细接口!$M$282),"")</f>
      </c>
      <c r="N282" s="19">
        <f>IF($C282="",0,1)</f>
        <v>0</v>
      </c>
      <c r="O282" s="19">
        <f>N(O281)+$N282</f>
        <v>272</v>
      </c>
      <c r="S282" s="20">
        <f>IFERROR(IF([2]对账明细接口!$N282=0,"",[2]对账明细接口!$N282),"")</f>
      </c>
      <c r="T282" s="212">
        <f>IFERROR(IF([2]对账明细接口!$O282=0,"",[2]对账明细接口!$O282),"")</f>
      </c>
      <c r="U282" s="212">
        <f>IFERROR(IF([2]对账明细接口!$P282=0,"",[2]对账明细接口!$P282),"")</f>
      </c>
      <c r="V282" s="212">
        <f>IFERROR(IF([2]对账明细接口!$Q282=0,"",[2]对账明细接口!$Q282),"")</f>
      </c>
      <c r="W282" s="20">
        <f>IFERROR(IF([2]对账明细接口!$R282=0,"",[2]对账明细接口!$R282),"")</f>
      </c>
      <c r="X282" s="20">
        <f>IFERROR(IF([2]对账明细接口!$S282=0,"",[2]对账明细接口!$S282),"")</f>
      </c>
      <c r="Y282" s="20">
        <f>""</f>
      </c>
      <c r="Z282" s="20">
        <f>""</f>
      </c>
      <c r="AA282" s="20">
        <f>""</f>
      </c>
      <c r="AB282" s="20">
        <f>""</f>
      </c>
    </row>
    <row r="283" s="127">
      <c r="A283" s="14" t="n">
        <v>283</v>
      </c>
      <c r="B283" s="211">
        <f>IFERROR(IF([2]对账明细接口!$B$283=0,"",[2]对账明细接口!$B$283),"")</f>
      </c>
      <c r="C283" s="16">
        <f>IFERROR(IF([2]对账明细接口!$C$283=0,"",[2]对账明细接口!$C$283),"")</f>
      </c>
      <c r="D283" s="16">
        <f>IFERROR(IF([2]对账明细接口!$D$283=0,"",[2]对账明细接口!$D$283),"")</f>
      </c>
      <c r="E283" s="16">
        <f>IFERROR(IF([2]对账明细接口!$E$283=0,"",[2]对账明细接口!$E$283),"")</f>
      </c>
      <c r="F283" s="16">
        <f>IFERROR(IF([2]对账明细接口!$F$283=0,"",[2]对账明细接口!$F$283),"")</f>
      </c>
      <c r="G283" s="16">
        <f>IFERROR(IF([2]对账明细接口!$G$283=0,"",[2]对账明细接口!$G$283),"")</f>
      </c>
      <c r="H283" s="176">
        <f>IFERROR(IF([2]对账明细接口!$H$283=0,"",[2]对账明细接口!$H$283),"")</f>
      </c>
      <c r="I283" s="16">
        <f>IFERROR(IF([2]对账明细接口!$I$283=0,"",[2]对账明细接口!$I$283),"")</f>
      </c>
      <c r="J283" s="177">
        <f>IFERROR(IF([2]对账明细接口!$J$283=0,"",[2]对账明细接口!$J$283),"")</f>
      </c>
      <c r="K283" s="177">
        <f>IFERROR(IF([2]对账明细接口!$K$283=0,"",[2]对账明细接口!$K$283),"")</f>
      </c>
      <c r="L283" s="16">
        <f>IFERROR(IF([2]对账明细接口!$L$283=0,"",[2]对账明细接口!$L$283),"")</f>
      </c>
      <c r="M283" s="16">
        <f>IFERROR(IF([2]对账明细接口!$M$283=0,"",[2]对账明细接口!$M$283),"")</f>
      </c>
      <c r="N283" s="19">
        <f>IF($C283="",0,1)</f>
        <v>0</v>
      </c>
      <c r="O283" s="19">
        <f>N(O282)+$N283</f>
        <v>272</v>
      </c>
      <c r="S283" s="20">
        <f>IFERROR(IF([2]对账明细接口!$N283=0,"",[2]对账明细接口!$N283),"")</f>
      </c>
      <c r="T283" s="212">
        <f>IFERROR(IF([2]对账明细接口!$O283=0,"",[2]对账明细接口!$O283),"")</f>
      </c>
      <c r="U283" s="212">
        <f>IFERROR(IF([2]对账明细接口!$P283=0,"",[2]对账明细接口!$P283),"")</f>
      </c>
      <c r="V283" s="212">
        <f>IFERROR(IF([2]对账明细接口!$Q283=0,"",[2]对账明细接口!$Q283),"")</f>
      </c>
      <c r="W283" s="20">
        <f>IFERROR(IF([2]对账明细接口!$R283=0,"",[2]对账明细接口!$R283),"")</f>
      </c>
      <c r="X283" s="20">
        <f>IFERROR(IF([2]对账明细接口!$S283=0,"",[2]对账明细接口!$S283),"")</f>
      </c>
      <c r="Y283" s="20">
        <f>""</f>
      </c>
      <c r="Z283" s="20">
        <f>""</f>
      </c>
      <c r="AA283" s="20">
        <f>""</f>
      </c>
      <c r="AB283" s="20">
        <f>""</f>
      </c>
    </row>
    <row r="284" s="127">
      <c r="A284" s="14" t="n">
        <v>284</v>
      </c>
      <c r="B284" s="211">
        <f>IFERROR(IF([2]对账明细接口!$B$284=0,"",[2]对账明细接口!$B$284),"")</f>
      </c>
      <c r="C284" s="16">
        <f>IFERROR(IF([2]对账明细接口!$C$284=0,"",[2]对账明细接口!$C$284),"")</f>
      </c>
      <c r="D284" s="16">
        <f>IFERROR(IF([2]对账明细接口!$D$284=0,"",[2]对账明细接口!$D$284),"")</f>
      </c>
      <c r="E284" s="16">
        <f>IFERROR(IF([2]对账明细接口!$E$284=0,"",[2]对账明细接口!$E$284),"")</f>
      </c>
      <c r="F284" s="16">
        <f>IFERROR(IF([2]对账明细接口!$F$284=0,"",[2]对账明细接口!$F$284),"")</f>
      </c>
      <c r="G284" s="16">
        <f>IFERROR(IF([2]对账明细接口!$G$284=0,"",[2]对账明细接口!$G$284),"")</f>
      </c>
      <c r="H284" s="176">
        <f>IFERROR(IF([2]对账明细接口!$H$284=0,"",[2]对账明细接口!$H$284),"")</f>
      </c>
      <c r="I284" s="16">
        <f>IFERROR(IF([2]对账明细接口!$I$284=0,"",[2]对账明细接口!$I$284),"")</f>
      </c>
      <c r="J284" s="177">
        <f>IFERROR(IF([2]对账明细接口!$J$284=0,"",[2]对账明细接口!$J$284),"")</f>
      </c>
      <c r="K284" s="177">
        <f>IFERROR(IF([2]对账明细接口!$K$284=0,"",[2]对账明细接口!$K$284),"")</f>
      </c>
      <c r="L284" s="16">
        <f>IFERROR(IF([2]对账明细接口!$L$284=0,"",[2]对账明细接口!$L$284),"")</f>
      </c>
      <c r="M284" s="16">
        <f>IFERROR(IF([2]对账明细接口!$M$284=0,"",[2]对账明细接口!$M$284),"")</f>
      </c>
      <c r="N284" s="19">
        <f>IF($C284="",0,1)</f>
        <v>0</v>
      </c>
      <c r="O284" s="19">
        <f>N(O283)+$N284</f>
        <v>272</v>
      </c>
      <c r="S284" s="20">
        <f>IFERROR(IF([2]对账明细接口!$N284=0,"",[2]对账明细接口!$N284),"")</f>
      </c>
      <c r="T284" s="212">
        <f>IFERROR(IF([2]对账明细接口!$O284=0,"",[2]对账明细接口!$O284),"")</f>
      </c>
      <c r="U284" s="212">
        <f>IFERROR(IF([2]对账明细接口!$P284=0,"",[2]对账明细接口!$P284),"")</f>
      </c>
      <c r="V284" s="212">
        <f>IFERROR(IF([2]对账明细接口!$Q284=0,"",[2]对账明细接口!$Q284),"")</f>
      </c>
      <c r="W284" s="20">
        <f>IFERROR(IF([2]对账明细接口!$R284=0,"",[2]对账明细接口!$R284),"")</f>
      </c>
      <c r="X284" s="20">
        <f>IFERROR(IF([2]对账明细接口!$S284=0,"",[2]对账明细接口!$S284),"")</f>
      </c>
      <c r="Y284" s="20">
        <f>""</f>
      </c>
      <c r="Z284" s="20">
        <f>""</f>
      </c>
      <c r="AA284" s="20">
        <f>""</f>
      </c>
      <c r="AB284" s="20">
        <f>""</f>
      </c>
    </row>
    <row r="285" s="127">
      <c r="A285" s="14" t="n">
        <v>285</v>
      </c>
      <c r="B285" s="211">
        <f>IFERROR(IF([2]对账明细接口!$B$285=0,"",[2]对账明细接口!$B$285),"")</f>
      </c>
      <c r="C285" s="16">
        <f>IFERROR(IF([2]对账明细接口!$C$285=0,"",[2]对账明细接口!$C$285),"")</f>
      </c>
      <c r="D285" s="16">
        <f>IFERROR(IF([2]对账明细接口!$D$285=0,"",[2]对账明细接口!$D$285),"")</f>
      </c>
      <c r="E285" s="16">
        <f>IFERROR(IF([2]对账明细接口!$E$285=0,"",[2]对账明细接口!$E$285),"")</f>
      </c>
      <c r="F285" s="16">
        <f>IFERROR(IF([2]对账明细接口!$F$285=0,"",[2]对账明细接口!$F$285),"")</f>
      </c>
      <c r="G285" s="16">
        <f>IFERROR(IF([2]对账明细接口!$G$285=0,"",[2]对账明细接口!$G$285),"")</f>
      </c>
      <c r="H285" s="176">
        <f>IFERROR(IF([2]对账明细接口!$H$285=0,"",[2]对账明细接口!$H$285),"")</f>
      </c>
      <c r="I285" s="16">
        <f>IFERROR(IF([2]对账明细接口!$I$285=0,"",[2]对账明细接口!$I$285),"")</f>
      </c>
      <c r="J285" s="177">
        <f>IFERROR(IF([2]对账明细接口!$J$285=0,"",[2]对账明细接口!$J$285),"")</f>
      </c>
      <c r="K285" s="177">
        <f>IFERROR(IF([2]对账明细接口!$K$285=0,"",[2]对账明细接口!$K$285),"")</f>
      </c>
      <c r="L285" s="16">
        <f>IFERROR(IF([2]对账明细接口!$L$285=0,"",[2]对账明细接口!$L$285),"")</f>
      </c>
      <c r="M285" s="16">
        <f>IFERROR(IF([2]对账明细接口!$M$285=0,"",[2]对账明细接口!$M$285),"")</f>
      </c>
      <c r="N285" s="19">
        <f>IF($C285="",0,1)</f>
        <v>0</v>
      </c>
      <c r="O285" s="19">
        <f>N(O284)+$N285</f>
        <v>272</v>
      </c>
      <c r="S285" s="20">
        <f>IFERROR(IF([2]对账明细接口!$N285=0,"",[2]对账明细接口!$N285),"")</f>
      </c>
      <c r="T285" s="212">
        <f>IFERROR(IF([2]对账明细接口!$O285=0,"",[2]对账明细接口!$O285),"")</f>
      </c>
      <c r="U285" s="212">
        <f>IFERROR(IF([2]对账明细接口!$P285=0,"",[2]对账明细接口!$P285),"")</f>
      </c>
      <c r="V285" s="212">
        <f>IFERROR(IF([2]对账明细接口!$Q285=0,"",[2]对账明细接口!$Q285),"")</f>
      </c>
      <c r="W285" s="20">
        <f>IFERROR(IF([2]对账明细接口!$R285=0,"",[2]对账明细接口!$R285),"")</f>
      </c>
      <c r="X285" s="20">
        <f>IFERROR(IF([2]对账明细接口!$S285=0,"",[2]对账明细接口!$S285),"")</f>
      </c>
      <c r="Y285" s="20">
        <f>""</f>
      </c>
      <c r="Z285" s="20">
        <f>""</f>
      </c>
      <c r="AA285" s="20">
        <f>""</f>
      </c>
      <c r="AB285" s="20">
        <f>""</f>
      </c>
    </row>
    <row r="286" s="127">
      <c r="A286" s="14" t="n">
        <v>286</v>
      </c>
      <c r="B286" s="211">
        <f>IFERROR(IF([2]对账明细接口!$B$286=0,"",[2]对账明细接口!$B$286),"")</f>
      </c>
      <c r="C286" s="16">
        <f>IFERROR(IF([2]对账明细接口!$C$286=0,"",[2]对账明细接口!$C$286),"")</f>
      </c>
      <c r="D286" s="16">
        <f>IFERROR(IF([2]对账明细接口!$D$286=0,"",[2]对账明细接口!$D$286),"")</f>
      </c>
      <c r="E286" s="16">
        <f>IFERROR(IF([2]对账明细接口!$E$286=0,"",[2]对账明细接口!$E$286),"")</f>
      </c>
      <c r="F286" s="16">
        <f>IFERROR(IF([2]对账明细接口!$F$286=0,"",[2]对账明细接口!$F$286),"")</f>
      </c>
      <c r="G286" s="16">
        <f>IFERROR(IF([2]对账明细接口!$G$286=0,"",[2]对账明细接口!$G$286),"")</f>
      </c>
      <c r="H286" s="176">
        <f>IFERROR(IF([2]对账明细接口!$H$286=0,"",[2]对账明细接口!$H$286),"")</f>
      </c>
      <c r="I286" s="16">
        <f>IFERROR(IF([2]对账明细接口!$I$286=0,"",[2]对账明细接口!$I$286),"")</f>
      </c>
      <c r="J286" s="177">
        <f>IFERROR(IF([2]对账明细接口!$J$286=0,"",[2]对账明细接口!$J$286),"")</f>
      </c>
      <c r="K286" s="177">
        <f>IFERROR(IF([2]对账明细接口!$K$286=0,"",[2]对账明细接口!$K$286),"")</f>
      </c>
      <c r="L286" s="16">
        <f>IFERROR(IF([2]对账明细接口!$L$286=0,"",[2]对账明细接口!$L$286),"")</f>
      </c>
      <c r="M286" s="16">
        <f>IFERROR(IF([2]对账明细接口!$M$286=0,"",[2]对账明细接口!$M$286),"")</f>
      </c>
      <c r="N286" s="19">
        <f>IF($C286="",0,1)</f>
        <v>0</v>
      </c>
      <c r="O286" s="19">
        <f>N(O285)+$N286</f>
        <v>272</v>
      </c>
      <c r="S286" s="20">
        <f>IFERROR(IF([2]对账明细接口!$N286=0,"",[2]对账明细接口!$N286),"")</f>
      </c>
      <c r="T286" s="212">
        <f>IFERROR(IF([2]对账明细接口!$O286=0,"",[2]对账明细接口!$O286),"")</f>
      </c>
      <c r="U286" s="212">
        <f>IFERROR(IF([2]对账明细接口!$P286=0,"",[2]对账明细接口!$P286),"")</f>
      </c>
      <c r="V286" s="212">
        <f>IFERROR(IF([2]对账明细接口!$Q286=0,"",[2]对账明细接口!$Q286),"")</f>
      </c>
      <c r="W286" s="20">
        <f>IFERROR(IF([2]对账明细接口!$R286=0,"",[2]对账明细接口!$R286),"")</f>
      </c>
      <c r="X286" s="20">
        <f>IFERROR(IF([2]对账明细接口!$S286=0,"",[2]对账明细接口!$S286),"")</f>
      </c>
      <c r="Y286" s="20">
        <f>""</f>
      </c>
      <c r="Z286" s="20">
        <f>""</f>
      </c>
      <c r="AA286" s="20">
        <f>""</f>
      </c>
      <c r="AB286" s="20">
        <f>""</f>
      </c>
    </row>
    <row r="287" s="127">
      <c r="A287" s="14" t="n">
        <v>287</v>
      </c>
      <c r="B287" s="211">
        <f>IFERROR(IF([2]对账明细接口!$B$287=0,"",[2]对账明细接口!$B$287),"")</f>
      </c>
      <c r="C287" s="16">
        <f>IFERROR(IF([2]对账明细接口!$C$287=0,"",[2]对账明细接口!$C$287),"")</f>
      </c>
      <c r="D287" s="16">
        <f>IFERROR(IF([2]对账明细接口!$D$287=0,"",[2]对账明细接口!$D$287),"")</f>
      </c>
      <c r="E287" s="16">
        <f>IFERROR(IF([2]对账明细接口!$E$287=0,"",[2]对账明细接口!$E$287),"")</f>
      </c>
      <c r="F287" s="16">
        <f>IFERROR(IF([2]对账明细接口!$F$287=0,"",[2]对账明细接口!$F$287),"")</f>
      </c>
      <c r="G287" s="16">
        <f>IFERROR(IF([2]对账明细接口!$G$287=0,"",[2]对账明细接口!$G$287),"")</f>
      </c>
      <c r="H287" s="176">
        <f>IFERROR(IF([2]对账明细接口!$H$287=0,"",[2]对账明细接口!$H$287),"")</f>
      </c>
      <c r="I287" s="16">
        <f>IFERROR(IF([2]对账明细接口!$I$287=0,"",[2]对账明细接口!$I$287),"")</f>
      </c>
      <c r="J287" s="177">
        <f>IFERROR(IF([2]对账明细接口!$J$287=0,"",[2]对账明细接口!$J$287),"")</f>
      </c>
      <c r="K287" s="177">
        <f>IFERROR(IF([2]对账明细接口!$K$287=0,"",[2]对账明细接口!$K$287),"")</f>
      </c>
      <c r="L287" s="16">
        <f>IFERROR(IF([2]对账明细接口!$L$287=0,"",[2]对账明细接口!$L$287),"")</f>
      </c>
      <c r="M287" s="16">
        <f>IFERROR(IF([2]对账明细接口!$M$287=0,"",[2]对账明细接口!$M$287),"")</f>
      </c>
      <c r="N287" s="19">
        <f>IF($C287="",0,1)</f>
        <v>0</v>
      </c>
      <c r="O287" s="19">
        <f>N(O286)+$N287</f>
        <v>272</v>
      </c>
      <c r="S287" s="20">
        <f>IFERROR(IF([2]对账明细接口!$N287=0,"",[2]对账明细接口!$N287),"")</f>
      </c>
      <c r="T287" s="212">
        <f>IFERROR(IF([2]对账明细接口!$O287=0,"",[2]对账明细接口!$O287),"")</f>
      </c>
      <c r="U287" s="212">
        <f>IFERROR(IF([2]对账明细接口!$P287=0,"",[2]对账明细接口!$P287),"")</f>
      </c>
      <c r="V287" s="212">
        <f>IFERROR(IF([2]对账明细接口!$Q287=0,"",[2]对账明细接口!$Q287),"")</f>
      </c>
      <c r="W287" s="20">
        <f>IFERROR(IF([2]对账明细接口!$R287=0,"",[2]对账明细接口!$R287),"")</f>
      </c>
      <c r="X287" s="20">
        <f>IFERROR(IF([2]对账明细接口!$S287=0,"",[2]对账明细接口!$S287),"")</f>
      </c>
      <c r="Y287" s="20">
        <f>""</f>
      </c>
      <c r="Z287" s="20">
        <f>""</f>
      </c>
      <c r="AA287" s="20">
        <f>""</f>
      </c>
      <c r="AB287" s="20">
        <f>""</f>
      </c>
    </row>
    <row r="288" s="127">
      <c r="A288" s="14" t="n">
        <v>288</v>
      </c>
      <c r="B288" s="211">
        <f>IFERROR(IF([2]对账明细接口!$B$288=0,"",[2]对账明细接口!$B$288),"")</f>
      </c>
      <c r="C288" s="16">
        <f>IFERROR(IF([2]对账明细接口!$C$288=0,"",[2]对账明细接口!$C$288),"")</f>
      </c>
      <c r="D288" s="16">
        <f>IFERROR(IF([2]对账明细接口!$D$288=0,"",[2]对账明细接口!$D$288),"")</f>
      </c>
      <c r="E288" s="16">
        <f>IFERROR(IF([2]对账明细接口!$E$288=0,"",[2]对账明细接口!$E$288),"")</f>
      </c>
      <c r="F288" s="16">
        <f>IFERROR(IF([2]对账明细接口!$F$288=0,"",[2]对账明细接口!$F$288),"")</f>
      </c>
      <c r="G288" s="16">
        <f>IFERROR(IF([2]对账明细接口!$G$288=0,"",[2]对账明细接口!$G$288),"")</f>
      </c>
      <c r="H288" s="176">
        <f>IFERROR(IF([2]对账明细接口!$H$288=0,"",[2]对账明细接口!$H$288),"")</f>
      </c>
      <c r="I288" s="16">
        <f>IFERROR(IF([2]对账明细接口!$I$288=0,"",[2]对账明细接口!$I$288),"")</f>
      </c>
      <c r="J288" s="177">
        <f>IFERROR(IF([2]对账明细接口!$J$288=0,"",[2]对账明细接口!$J$288),"")</f>
      </c>
      <c r="K288" s="177">
        <f>IFERROR(IF([2]对账明细接口!$K$288=0,"",[2]对账明细接口!$K$288),"")</f>
      </c>
      <c r="L288" s="16">
        <f>IFERROR(IF([2]对账明细接口!$L$288=0,"",[2]对账明细接口!$L$288),"")</f>
      </c>
      <c r="M288" s="16">
        <f>IFERROR(IF([2]对账明细接口!$M$288=0,"",[2]对账明细接口!$M$288),"")</f>
      </c>
      <c r="N288" s="19">
        <f>IF($C288="",0,1)</f>
        <v>0</v>
      </c>
      <c r="O288" s="19">
        <f>N(O287)+$N288</f>
        <v>272</v>
      </c>
      <c r="S288" s="20">
        <f>IFERROR(IF([2]对账明细接口!$N288=0,"",[2]对账明细接口!$N288),"")</f>
      </c>
      <c r="T288" s="212">
        <f>IFERROR(IF([2]对账明细接口!$O288=0,"",[2]对账明细接口!$O288),"")</f>
      </c>
      <c r="U288" s="212">
        <f>IFERROR(IF([2]对账明细接口!$P288=0,"",[2]对账明细接口!$P288),"")</f>
      </c>
      <c r="V288" s="212">
        <f>IFERROR(IF([2]对账明细接口!$Q288=0,"",[2]对账明细接口!$Q288),"")</f>
      </c>
      <c r="W288" s="20">
        <f>IFERROR(IF([2]对账明细接口!$R288=0,"",[2]对账明细接口!$R288),"")</f>
      </c>
      <c r="X288" s="20">
        <f>IFERROR(IF([2]对账明细接口!$S288=0,"",[2]对账明细接口!$S288),"")</f>
      </c>
      <c r="Y288" s="20">
        <f>""</f>
      </c>
      <c r="Z288" s="20">
        <f>""</f>
      </c>
      <c r="AA288" s="20">
        <f>""</f>
      </c>
      <c r="AB288" s="20">
        <f>""</f>
      </c>
    </row>
    <row r="289" s="127">
      <c r="A289" s="14" t="n">
        <v>289</v>
      </c>
      <c r="B289" s="211">
        <f>IFERROR(IF([2]对账明细接口!$B$289=0,"",[2]对账明细接口!$B$289),"")</f>
      </c>
      <c r="C289" s="16">
        <f>IFERROR(IF([2]对账明细接口!$C$289=0,"",[2]对账明细接口!$C$289),"")</f>
      </c>
      <c r="D289" s="16">
        <f>IFERROR(IF([2]对账明细接口!$D$289=0,"",[2]对账明细接口!$D$289),"")</f>
      </c>
      <c r="E289" s="16">
        <f>IFERROR(IF([2]对账明细接口!$E$289=0,"",[2]对账明细接口!$E$289),"")</f>
      </c>
      <c r="F289" s="16">
        <f>IFERROR(IF([2]对账明细接口!$F$289=0,"",[2]对账明细接口!$F$289),"")</f>
      </c>
      <c r="G289" s="16">
        <f>IFERROR(IF([2]对账明细接口!$G$289=0,"",[2]对账明细接口!$G$289),"")</f>
      </c>
      <c r="H289" s="176">
        <f>IFERROR(IF([2]对账明细接口!$H$289=0,"",[2]对账明细接口!$H$289),"")</f>
      </c>
      <c r="I289" s="16">
        <f>IFERROR(IF([2]对账明细接口!$I$289=0,"",[2]对账明细接口!$I$289),"")</f>
      </c>
      <c r="J289" s="177">
        <f>IFERROR(IF([2]对账明细接口!$J$289=0,"",[2]对账明细接口!$J$289),"")</f>
      </c>
      <c r="K289" s="177">
        <f>IFERROR(IF([2]对账明细接口!$K$289=0,"",[2]对账明细接口!$K$289),"")</f>
      </c>
      <c r="L289" s="16">
        <f>IFERROR(IF([2]对账明细接口!$L$289=0,"",[2]对账明细接口!$L$289),"")</f>
      </c>
      <c r="M289" s="16">
        <f>IFERROR(IF([2]对账明细接口!$M$289=0,"",[2]对账明细接口!$M$289),"")</f>
      </c>
      <c r="N289" s="19">
        <f>IF($C289="",0,1)</f>
        <v>0</v>
      </c>
      <c r="O289" s="19">
        <f>N(O288)+$N289</f>
        <v>272</v>
      </c>
      <c r="S289" s="20">
        <f>IFERROR(IF([2]对账明细接口!$N289=0,"",[2]对账明细接口!$N289),"")</f>
      </c>
      <c r="T289" s="212">
        <f>IFERROR(IF([2]对账明细接口!$O289=0,"",[2]对账明细接口!$O289),"")</f>
      </c>
      <c r="U289" s="212">
        <f>IFERROR(IF([2]对账明细接口!$P289=0,"",[2]对账明细接口!$P289),"")</f>
      </c>
      <c r="V289" s="212">
        <f>IFERROR(IF([2]对账明细接口!$Q289=0,"",[2]对账明细接口!$Q289),"")</f>
      </c>
      <c r="W289" s="20">
        <f>IFERROR(IF([2]对账明细接口!$R289=0,"",[2]对账明细接口!$R289),"")</f>
      </c>
      <c r="X289" s="20">
        <f>IFERROR(IF([2]对账明细接口!$S289=0,"",[2]对账明细接口!$S289),"")</f>
      </c>
      <c r="Y289" s="20">
        <f>""</f>
      </c>
      <c r="Z289" s="20">
        <f>""</f>
      </c>
      <c r="AA289" s="20">
        <f>""</f>
      </c>
      <c r="AB289" s="20">
        <f>""</f>
      </c>
    </row>
    <row r="290" s="127">
      <c r="A290" s="14" t="n">
        <v>290</v>
      </c>
      <c r="B290" s="211">
        <f>IFERROR(IF([2]对账明细接口!$B$290=0,"",[2]对账明细接口!$B$290),"")</f>
      </c>
      <c r="C290" s="16">
        <f>IFERROR(IF([2]对账明细接口!$C$290=0,"",[2]对账明细接口!$C$290),"")</f>
      </c>
      <c r="D290" s="16">
        <f>IFERROR(IF([2]对账明细接口!$D$290=0,"",[2]对账明细接口!$D$290),"")</f>
      </c>
      <c r="E290" s="16">
        <f>IFERROR(IF([2]对账明细接口!$E$290=0,"",[2]对账明细接口!$E$290),"")</f>
      </c>
      <c r="F290" s="16">
        <f>IFERROR(IF([2]对账明细接口!$F$290=0,"",[2]对账明细接口!$F$290),"")</f>
      </c>
      <c r="G290" s="16">
        <f>IFERROR(IF([2]对账明细接口!$G$290=0,"",[2]对账明细接口!$G$290),"")</f>
      </c>
      <c r="H290" s="176">
        <f>IFERROR(IF([2]对账明细接口!$H$290=0,"",[2]对账明细接口!$H$290),"")</f>
      </c>
      <c r="I290" s="16">
        <f>IFERROR(IF([2]对账明细接口!$I$290=0,"",[2]对账明细接口!$I$290),"")</f>
      </c>
      <c r="J290" s="177">
        <f>IFERROR(IF([2]对账明细接口!$J$290=0,"",[2]对账明细接口!$J$290),"")</f>
      </c>
      <c r="K290" s="177">
        <f>IFERROR(IF([2]对账明细接口!$K$290=0,"",[2]对账明细接口!$K$290),"")</f>
      </c>
      <c r="L290" s="16">
        <f>IFERROR(IF([2]对账明细接口!$L$290=0,"",[2]对账明细接口!$L$290),"")</f>
      </c>
      <c r="M290" s="16">
        <f>IFERROR(IF([2]对账明细接口!$M$290=0,"",[2]对账明细接口!$M$290),"")</f>
      </c>
      <c r="N290" s="19">
        <f>IF($C290="",0,1)</f>
        <v>0</v>
      </c>
      <c r="O290" s="19">
        <f>N(O289)+$N290</f>
        <v>272</v>
      </c>
      <c r="S290" s="20">
        <f>IFERROR(IF([2]对账明细接口!$N290=0,"",[2]对账明细接口!$N290),"")</f>
      </c>
      <c r="T290" s="212">
        <f>IFERROR(IF([2]对账明细接口!$O290=0,"",[2]对账明细接口!$O290),"")</f>
      </c>
      <c r="U290" s="212">
        <f>IFERROR(IF([2]对账明细接口!$P290=0,"",[2]对账明细接口!$P290),"")</f>
      </c>
      <c r="V290" s="212">
        <f>IFERROR(IF([2]对账明细接口!$Q290=0,"",[2]对账明细接口!$Q290),"")</f>
      </c>
      <c r="W290" s="20">
        <f>IFERROR(IF([2]对账明细接口!$R290=0,"",[2]对账明细接口!$R290),"")</f>
      </c>
      <c r="X290" s="20">
        <f>IFERROR(IF([2]对账明细接口!$S290=0,"",[2]对账明细接口!$S290),"")</f>
      </c>
      <c r="Y290" s="20">
        <f>""</f>
      </c>
      <c r="Z290" s="20">
        <f>""</f>
      </c>
      <c r="AA290" s="20">
        <f>""</f>
      </c>
      <c r="AB290" s="20">
        <f>""</f>
      </c>
    </row>
    <row r="291" s="127">
      <c r="A291" s="14" t="n">
        <v>291</v>
      </c>
      <c r="B291" s="211">
        <f>IFERROR(IF([2]对账明细接口!$B$291=0,"",[2]对账明细接口!$B$291),"")</f>
      </c>
      <c r="C291" s="16">
        <f>IFERROR(IF([2]对账明细接口!$C$291=0,"",[2]对账明细接口!$C$291),"")</f>
      </c>
      <c r="D291" s="16">
        <f>IFERROR(IF([2]对账明细接口!$D$291=0,"",[2]对账明细接口!$D$291),"")</f>
      </c>
      <c r="E291" s="16">
        <f>IFERROR(IF([2]对账明细接口!$E$291=0,"",[2]对账明细接口!$E$291),"")</f>
      </c>
      <c r="F291" s="16">
        <f>IFERROR(IF([2]对账明细接口!$F$291=0,"",[2]对账明细接口!$F$291),"")</f>
      </c>
      <c r="G291" s="16">
        <f>IFERROR(IF([2]对账明细接口!$G$291=0,"",[2]对账明细接口!$G$291),"")</f>
      </c>
      <c r="H291" s="176">
        <f>IFERROR(IF([2]对账明细接口!$H$291=0,"",[2]对账明细接口!$H$291),"")</f>
      </c>
      <c r="I291" s="16">
        <f>IFERROR(IF([2]对账明细接口!$I$291=0,"",[2]对账明细接口!$I$291),"")</f>
      </c>
      <c r="J291" s="177">
        <f>IFERROR(IF([2]对账明细接口!$J$291=0,"",[2]对账明细接口!$J$291),"")</f>
      </c>
      <c r="K291" s="177">
        <f>IFERROR(IF([2]对账明细接口!$K$291=0,"",[2]对账明细接口!$K$291),"")</f>
      </c>
      <c r="L291" s="16">
        <f>IFERROR(IF([2]对账明细接口!$L$291=0,"",[2]对账明细接口!$L$291),"")</f>
      </c>
      <c r="M291" s="16">
        <f>IFERROR(IF([2]对账明细接口!$M$291=0,"",[2]对账明细接口!$M$291),"")</f>
      </c>
      <c r="N291" s="19">
        <f>IF($C291="",0,1)</f>
        <v>0</v>
      </c>
      <c r="O291" s="19">
        <f>N(O290)+$N291</f>
        <v>272</v>
      </c>
      <c r="S291" s="20">
        <f>IFERROR(IF([2]对账明细接口!$N291=0,"",[2]对账明细接口!$N291),"")</f>
      </c>
      <c r="T291" s="212">
        <f>IFERROR(IF([2]对账明细接口!$O291=0,"",[2]对账明细接口!$O291),"")</f>
      </c>
      <c r="U291" s="212">
        <f>IFERROR(IF([2]对账明细接口!$P291=0,"",[2]对账明细接口!$P291),"")</f>
      </c>
      <c r="V291" s="212">
        <f>IFERROR(IF([2]对账明细接口!$Q291=0,"",[2]对账明细接口!$Q291),"")</f>
      </c>
      <c r="W291" s="20">
        <f>IFERROR(IF([2]对账明细接口!$R291=0,"",[2]对账明细接口!$R291),"")</f>
      </c>
      <c r="X291" s="20">
        <f>IFERROR(IF([2]对账明细接口!$S291=0,"",[2]对账明细接口!$S291),"")</f>
      </c>
      <c r="Y291" s="20">
        <f>""</f>
      </c>
      <c r="Z291" s="20">
        <f>""</f>
      </c>
      <c r="AA291" s="20">
        <f>""</f>
      </c>
      <c r="AB291" s="20">
        <f>""</f>
      </c>
    </row>
    <row r="292" s="127">
      <c r="A292" s="14" t="n">
        <v>292</v>
      </c>
      <c r="B292" s="211">
        <f>IFERROR(IF([2]对账明细接口!$B$292=0,"",[2]对账明细接口!$B$292),"")</f>
      </c>
      <c r="C292" s="16">
        <f>IFERROR(IF([2]对账明细接口!$C$292=0,"",[2]对账明细接口!$C$292),"")</f>
      </c>
      <c r="D292" s="16">
        <f>IFERROR(IF([2]对账明细接口!$D$292=0,"",[2]对账明细接口!$D$292),"")</f>
      </c>
      <c r="E292" s="16">
        <f>IFERROR(IF([2]对账明细接口!$E$292=0,"",[2]对账明细接口!$E$292),"")</f>
      </c>
      <c r="F292" s="16">
        <f>IFERROR(IF([2]对账明细接口!$F$292=0,"",[2]对账明细接口!$F$292),"")</f>
      </c>
      <c r="G292" s="16">
        <f>IFERROR(IF([2]对账明细接口!$G$292=0,"",[2]对账明细接口!$G$292),"")</f>
      </c>
      <c r="H292" s="176">
        <f>IFERROR(IF([2]对账明细接口!$H$292=0,"",[2]对账明细接口!$H$292),"")</f>
      </c>
      <c r="I292" s="16">
        <f>IFERROR(IF([2]对账明细接口!$I$292=0,"",[2]对账明细接口!$I$292),"")</f>
      </c>
      <c r="J292" s="177">
        <f>IFERROR(IF([2]对账明细接口!$J$292=0,"",[2]对账明细接口!$J$292),"")</f>
      </c>
      <c r="K292" s="177">
        <f>IFERROR(IF([2]对账明细接口!$K$292=0,"",[2]对账明细接口!$K$292),"")</f>
      </c>
      <c r="L292" s="16">
        <f>IFERROR(IF([2]对账明细接口!$L$292=0,"",[2]对账明细接口!$L$292),"")</f>
      </c>
      <c r="M292" s="16">
        <f>IFERROR(IF([2]对账明细接口!$M$292=0,"",[2]对账明细接口!$M$292),"")</f>
      </c>
      <c r="N292" s="19">
        <f>IF($C292="",0,1)</f>
        <v>0</v>
      </c>
      <c r="O292" s="19">
        <f>N(O291)+$N292</f>
        <v>272</v>
      </c>
      <c r="S292" s="20">
        <f>IFERROR(IF([2]对账明细接口!$N292=0,"",[2]对账明细接口!$N292),"")</f>
      </c>
      <c r="T292" s="212">
        <f>IFERROR(IF([2]对账明细接口!$O292=0,"",[2]对账明细接口!$O292),"")</f>
      </c>
      <c r="U292" s="212">
        <f>IFERROR(IF([2]对账明细接口!$P292=0,"",[2]对账明细接口!$P292),"")</f>
      </c>
      <c r="V292" s="212">
        <f>IFERROR(IF([2]对账明细接口!$Q292=0,"",[2]对账明细接口!$Q292),"")</f>
      </c>
      <c r="W292" s="20">
        <f>IFERROR(IF([2]对账明细接口!$R292=0,"",[2]对账明细接口!$R292),"")</f>
      </c>
      <c r="X292" s="20">
        <f>IFERROR(IF([2]对账明细接口!$S292=0,"",[2]对账明细接口!$S292),"")</f>
      </c>
      <c r="Y292" s="20">
        <f>""</f>
      </c>
      <c r="Z292" s="20">
        <f>""</f>
      </c>
      <c r="AA292" s="20">
        <f>""</f>
      </c>
      <c r="AB292" s="20">
        <f>""</f>
      </c>
    </row>
    <row r="293" s="127">
      <c r="A293" s="14" t="n">
        <v>293</v>
      </c>
      <c r="B293" s="211">
        <f>IFERROR(IF([2]对账明细接口!$B$293=0,"",[2]对账明细接口!$B$293),"")</f>
      </c>
      <c r="C293" s="16">
        <f>IFERROR(IF([2]对账明细接口!$C$293=0,"",[2]对账明细接口!$C$293),"")</f>
      </c>
      <c r="D293" s="16">
        <f>IFERROR(IF([2]对账明细接口!$D$293=0,"",[2]对账明细接口!$D$293),"")</f>
      </c>
      <c r="E293" s="16">
        <f>IFERROR(IF([2]对账明细接口!$E$293=0,"",[2]对账明细接口!$E$293),"")</f>
      </c>
      <c r="F293" s="16">
        <f>IFERROR(IF([2]对账明细接口!$F$293=0,"",[2]对账明细接口!$F$293),"")</f>
      </c>
      <c r="G293" s="16">
        <f>IFERROR(IF([2]对账明细接口!$G$293=0,"",[2]对账明细接口!$G$293),"")</f>
      </c>
      <c r="H293" s="176">
        <f>IFERROR(IF([2]对账明细接口!$H$293=0,"",[2]对账明细接口!$H$293),"")</f>
      </c>
      <c r="I293" s="16">
        <f>IFERROR(IF([2]对账明细接口!$I$293=0,"",[2]对账明细接口!$I$293),"")</f>
      </c>
      <c r="J293" s="177">
        <f>IFERROR(IF([2]对账明细接口!$J$293=0,"",[2]对账明细接口!$J$293),"")</f>
      </c>
      <c r="K293" s="177">
        <f>IFERROR(IF([2]对账明细接口!$K$293=0,"",[2]对账明细接口!$K$293),"")</f>
      </c>
      <c r="L293" s="16">
        <f>IFERROR(IF([2]对账明细接口!$L$293=0,"",[2]对账明细接口!$L$293),"")</f>
      </c>
      <c r="M293" s="16">
        <f>IFERROR(IF([2]对账明细接口!$M$293=0,"",[2]对账明细接口!$M$293),"")</f>
      </c>
      <c r="N293" s="19">
        <f>IF($C293="",0,1)</f>
        <v>0</v>
      </c>
      <c r="O293" s="19">
        <f>N(O292)+$N293</f>
        <v>272</v>
      </c>
      <c r="S293" s="20">
        <f>IFERROR(IF([2]对账明细接口!$N293=0,"",[2]对账明细接口!$N293),"")</f>
      </c>
      <c r="T293" s="212">
        <f>IFERROR(IF([2]对账明细接口!$O293=0,"",[2]对账明细接口!$O293),"")</f>
      </c>
      <c r="U293" s="212">
        <f>IFERROR(IF([2]对账明细接口!$P293=0,"",[2]对账明细接口!$P293),"")</f>
      </c>
      <c r="V293" s="212">
        <f>IFERROR(IF([2]对账明细接口!$Q293=0,"",[2]对账明细接口!$Q293),"")</f>
      </c>
      <c r="W293" s="20">
        <f>IFERROR(IF([2]对账明细接口!$R293=0,"",[2]对账明细接口!$R293),"")</f>
      </c>
      <c r="X293" s="20">
        <f>IFERROR(IF([2]对账明细接口!$S293=0,"",[2]对账明细接口!$S293),"")</f>
      </c>
      <c r="Y293" s="20">
        <f>""</f>
      </c>
      <c r="Z293" s="20">
        <f>""</f>
      </c>
      <c r="AA293" s="20">
        <f>""</f>
      </c>
      <c r="AB293" s="20">
        <f>""</f>
      </c>
    </row>
    <row r="294" s="127">
      <c r="A294" s="14" t="n">
        <v>294</v>
      </c>
      <c r="B294" s="211">
        <f>IFERROR(IF([2]对账明细接口!$B$294=0,"",[2]对账明细接口!$B$294),"")</f>
      </c>
      <c r="C294" s="16">
        <f>IFERROR(IF([2]对账明细接口!$C$294=0,"",[2]对账明细接口!$C$294),"")</f>
      </c>
      <c r="D294" s="16">
        <f>IFERROR(IF([2]对账明细接口!$D$294=0,"",[2]对账明细接口!$D$294),"")</f>
      </c>
      <c r="E294" s="16">
        <f>IFERROR(IF([2]对账明细接口!$E$294=0,"",[2]对账明细接口!$E$294),"")</f>
      </c>
      <c r="F294" s="16">
        <f>IFERROR(IF([2]对账明细接口!$F$294=0,"",[2]对账明细接口!$F$294),"")</f>
      </c>
      <c r="G294" s="16">
        <f>IFERROR(IF([2]对账明细接口!$G$294=0,"",[2]对账明细接口!$G$294),"")</f>
      </c>
      <c r="H294" s="176">
        <f>IFERROR(IF([2]对账明细接口!$H$294=0,"",[2]对账明细接口!$H$294),"")</f>
      </c>
      <c r="I294" s="16">
        <f>IFERROR(IF([2]对账明细接口!$I$294=0,"",[2]对账明细接口!$I$294),"")</f>
      </c>
      <c r="J294" s="177">
        <f>IFERROR(IF([2]对账明细接口!$J$294=0,"",[2]对账明细接口!$J$294),"")</f>
      </c>
      <c r="K294" s="177">
        <f>IFERROR(IF([2]对账明细接口!$K$294=0,"",[2]对账明细接口!$K$294),"")</f>
      </c>
      <c r="L294" s="16">
        <f>IFERROR(IF([2]对账明细接口!$L$294=0,"",[2]对账明细接口!$L$294),"")</f>
      </c>
      <c r="M294" s="16">
        <f>IFERROR(IF([2]对账明细接口!$M$294=0,"",[2]对账明细接口!$M$294),"")</f>
      </c>
      <c r="N294" s="19">
        <f>IF($C294="",0,1)</f>
        <v>0</v>
      </c>
      <c r="O294" s="19">
        <f>N(O293)+$N294</f>
        <v>272</v>
      </c>
      <c r="S294" s="20">
        <f>IFERROR(IF([2]对账明细接口!$N294=0,"",[2]对账明细接口!$N294),"")</f>
      </c>
      <c r="T294" s="212">
        <f>IFERROR(IF([2]对账明细接口!$O294=0,"",[2]对账明细接口!$O294),"")</f>
      </c>
      <c r="U294" s="212">
        <f>IFERROR(IF([2]对账明细接口!$P294=0,"",[2]对账明细接口!$P294),"")</f>
      </c>
      <c r="V294" s="212">
        <f>IFERROR(IF([2]对账明细接口!$Q294=0,"",[2]对账明细接口!$Q294),"")</f>
      </c>
      <c r="W294" s="20">
        <f>IFERROR(IF([2]对账明细接口!$R294=0,"",[2]对账明细接口!$R294),"")</f>
      </c>
      <c r="X294" s="20">
        <f>IFERROR(IF([2]对账明细接口!$S294=0,"",[2]对账明细接口!$S294),"")</f>
      </c>
      <c r="Y294" s="20">
        <f>""</f>
      </c>
      <c r="Z294" s="20">
        <f>""</f>
      </c>
      <c r="AA294" s="20">
        <f>""</f>
      </c>
      <c r="AB294" s="20">
        <f>""</f>
      </c>
    </row>
    <row r="295" s="127">
      <c r="A295" s="14" t="n">
        <v>295</v>
      </c>
      <c r="B295" s="211">
        <f>IFERROR(IF([2]对账明细接口!$B$295=0,"",[2]对账明细接口!$B$295),"")</f>
      </c>
      <c r="C295" s="16">
        <f>IFERROR(IF([2]对账明细接口!$C$295=0,"",[2]对账明细接口!$C$295),"")</f>
      </c>
      <c r="D295" s="16">
        <f>IFERROR(IF([2]对账明细接口!$D$295=0,"",[2]对账明细接口!$D$295),"")</f>
      </c>
      <c r="E295" s="16">
        <f>IFERROR(IF([2]对账明细接口!$E$295=0,"",[2]对账明细接口!$E$295),"")</f>
      </c>
      <c r="F295" s="16">
        <f>IFERROR(IF([2]对账明细接口!$F$295=0,"",[2]对账明细接口!$F$295),"")</f>
      </c>
      <c r="G295" s="16">
        <f>IFERROR(IF([2]对账明细接口!$G$295=0,"",[2]对账明细接口!$G$295),"")</f>
      </c>
      <c r="H295" s="176">
        <f>IFERROR(IF([2]对账明细接口!$H$295=0,"",[2]对账明细接口!$H$295),"")</f>
      </c>
      <c r="I295" s="16">
        <f>IFERROR(IF([2]对账明细接口!$I$295=0,"",[2]对账明细接口!$I$295),"")</f>
      </c>
      <c r="J295" s="177">
        <f>IFERROR(IF([2]对账明细接口!$J$295=0,"",[2]对账明细接口!$J$295),"")</f>
      </c>
      <c r="K295" s="177">
        <f>IFERROR(IF([2]对账明细接口!$K$295=0,"",[2]对账明细接口!$K$295),"")</f>
      </c>
      <c r="L295" s="16">
        <f>IFERROR(IF([2]对账明细接口!$L$295=0,"",[2]对账明细接口!$L$295),"")</f>
      </c>
      <c r="M295" s="16">
        <f>IFERROR(IF([2]对账明细接口!$M$295=0,"",[2]对账明细接口!$M$295),"")</f>
      </c>
      <c r="N295" s="19">
        <f>IF($C295="",0,1)</f>
        <v>0</v>
      </c>
      <c r="O295" s="19">
        <f>N(O294)+$N295</f>
        <v>272</v>
      </c>
      <c r="S295" s="20">
        <f>IFERROR(IF([2]对账明细接口!$N295=0,"",[2]对账明细接口!$N295),"")</f>
      </c>
      <c r="T295" s="212">
        <f>IFERROR(IF([2]对账明细接口!$O295=0,"",[2]对账明细接口!$O295),"")</f>
      </c>
      <c r="U295" s="212">
        <f>IFERROR(IF([2]对账明细接口!$P295=0,"",[2]对账明细接口!$P295),"")</f>
      </c>
      <c r="V295" s="212">
        <f>IFERROR(IF([2]对账明细接口!$Q295=0,"",[2]对账明细接口!$Q295),"")</f>
      </c>
      <c r="W295" s="20">
        <f>IFERROR(IF([2]对账明细接口!$R295=0,"",[2]对账明细接口!$R295),"")</f>
      </c>
      <c r="X295" s="20">
        <f>IFERROR(IF([2]对账明细接口!$S295=0,"",[2]对账明细接口!$S295),"")</f>
      </c>
      <c r="Y295" s="20">
        <f>""</f>
      </c>
      <c r="Z295" s="20">
        <f>""</f>
      </c>
      <c r="AA295" s="20">
        <f>""</f>
      </c>
      <c r="AB295" s="20">
        <f>""</f>
      </c>
    </row>
    <row r="296" s="127">
      <c r="A296" s="14" t="n">
        <v>296</v>
      </c>
      <c r="B296" s="211">
        <f>IFERROR(IF([2]对账明细接口!$B$296=0,"",[2]对账明细接口!$B$296),"")</f>
      </c>
      <c r="C296" s="16">
        <f>IFERROR(IF([2]对账明细接口!$C$296=0,"",[2]对账明细接口!$C$296),"")</f>
      </c>
      <c r="D296" s="16">
        <f>IFERROR(IF([2]对账明细接口!$D$296=0,"",[2]对账明细接口!$D$296),"")</f>
      </c>
      <c r="E296" s="16">
        <f>IFERROR(IF([2]对账明细接口!$E$296=0,"",[2]对账明细接口!$E$296),"")</f>
      </c>
      <c r="F296" s="16">
        <f>IFERROR(IF([2]对账明细接口!$F$296=0,"",[2]对账明细接口!$F$296),"")</f>
      </c>
      <c r="G296" s="16">
        <f>IFERROR(IF([2]对账明细接口!$G$296=0,"",[2]对账明细接口!$G$296),"")</f>
      </c>
      <c r="H296" s="176">
        <f>IFERROR(IF([2]对账明细接口!$H$296=0,"",[2]对账明细接口!$H$296),"")</f>
      </c>
      <c r="I296" s="16">
        <f>IFERROR(IF([2]对账明细接口!$I$296=0,"",[2]对账明细接口!$I$296),"")</f>
      </c>
      <c r="J296" s="177">
        <f>IFERROR(IF([2]对账明细接口!$J$296=0,"",[2]对账明细接口!$J$296),"")</f>
      </c>
      <c r="K296" s="177">
        <f>IFERROR(IF([2]对账明细接口!$K$296=0,"",[2]对账明细接口!$K$296),"")</f>
      </c>
      <c r="L296" s="16">
        <f>IFERROR(IF([2]对账明细接口!$L$296=0,"",[2]对账明细接口!$L$296),"")</f>
      </c>
      <c r="M296" s="16">
        <f>IFERROR(IF([2]对账明细接口!$M$296=0,"",[2]对账明细接口!$M$296),"")</f>
      </c>
      <c r="N296" s="19">
        <f>IF($C296="",0,1)</f>
        <v>0</v>
      </c>
      <c r="O296" s="19">
        <f>N(O295)+$N296</f>
        <v>272</v>
      </c>
      <c r="S296" s="20">
        <f>IFERROR(IF([2]对账明细接口!$N296=0,"",[2]对账明细接口!$N296),"")</f>
      </c>
      <c r="T296" s="212">
        <f>IFERROR(IF([2]对账明细接口!$O296=0,"",[2]对账明细接口!$O296),"")</f>
      </c>
      <c r="U296" s="212">
        <f>IFERROR(IF([2]对账明细接口!$P296=0,"",[2]对账明细接口!$P296),"")</f>
      </c>
      <c r="V296" s="212">
        <f>IFERROR(IF([2]对账明细接口!$Q296=0,"",[2]对账明细接口!$Q296),"")</f>
      </c>
      <c r="W296" s="20">
        <f>IFERROR(IF([2]对账明细接口!$R296=0,"",[2]对账明细接口!$R296),"")</f>
      </c>
      <c r="X296" s="20">
        <f>IFERROR(IF([2]对账明细接口!$S296=0,"",[2]对账明细接口!$S296),"")</f>
      </c>
      <c r="Y296" s="20">
        <f>""</f>
      </c>
      <c r="Z296" s="20">
        <f>""</f>
      </c>
      <c r="AA296" s="20">
        <f>""</f>
      </c>
      <c r="AB296" s="20">
        <f>""</f>
      </c>
    </row>
    <row r="297" s="127">
      <c r="A297" s="14" t="n">
        <v>297</v>
      </c>
      <c r="B297" s="211">
        <f>IFERROR(IF([2]对账明细接口!$B$297=0,"",[2]对账明细接口!$B$297),"")</f>
      </c>
      <c r="C297" s="16">
        <f>IFERROR(IF([2]对账明细接口!$C$297=0,"",[2]对账明细接口!$C$297),"")</f>
      </c>
      <c r="D297" s="16">
        <f>IFERROR(IF([2]对账明细接口!$D$297=0,"",[2]对账明细接口!$D$297),"")</f>
      </c>
      <c r="E297" s="16">
        <f>IFERROR(IF([2]对账明细接口!$E$297=0,"",[2]对账明细接口!$E$297),"")</f>
      </c>
      <c r="F297" s="16">
        <f>IFERROR(IF([2]对账明细接口!$F$297=0,"",[2]对账明细接口!$F$297),"")</f>
      </c>
      <c r="G297" s="16">
        <f>IFERROR(IF([2]对账明细接口!$G$297=0,"",[2]对账明细接口!$G$297),"")</f>
      </c>
      <c r="H297" s="176">
        <f>IFERROR(IF([2]对账明细接口!$H$297=0,"",[2]对账明细接口!$H$297),"")</f>
      </c>
      <c r="I297" s="16">
        <f>IFERROR(IF([2]对账明细接口!$I$297=0,"",[2]对账明细接口!$I$297),"")</f>
      </c>
      <c r="J297" s="177">
        <f>IFERROR(IF([2]对账明细接口!$J$297=0,"",[2]对账明细接口!$J$297),"")</f>
      </c>
      <c r="K297" s="177">
        <f>IFERROR(IF([2]对账明细接口!$K$297=0,"",[2]对账明细接口!$K$297),"")</f>
      </c>
      <c r="L297" s="16">
        <f>IFERROR(IF([2]对账明细接口!$L$297=0,"",[2]对账明细接口!$L$297),"")</f>
      </c>
      <c r="M297" s="16">
        <f>IFERROR(IF([2]对账明细接口!$M$297=0,"",[2]对账明细接口!$M$297),"")</f>
      </c>
      <c r="N297" s="19">
        <f>IF($C297="",0,1)</f>
        <v>0</v>
      </c>
      <c r="O297" s="19">
        <f>N(O296)+$N297</f>
        <v>272</v>
      </c>
      <c r="S297" s="20">
        <f>IFERROR(IF([2]对账明细接口!$N297=0,"",[2]对账明细接口!$N297),"")</f>
      </c>
      <c r="T297" s="212">
        <f>IFERROR(IF([2]对账明细接口!$O297=0,"",[2]对账明细接口!$O297),"")</f>
      </c>
      <c r="U297" s="212">
        <f>IFERROR(IF([2]对账明细接口!$P297=0,"",[2]对账明细接口!$P297),"")</f>
      </c>
      <c r="V297" s="212">
        <f>IFERROR(IF([2]对账明细接口!$Q297=0,"",[2]对账明细接口!$Q297),"")</f>
      </c>
      <c r="W297" s="20">
        <f>IFERROR(IF([2]对账明细接口!$R297=0,"",[2]对账明细接口!$R297),"")</f>
      </c>
      <c r="X297" s="20">
        <f>IFERROR(IF([2]对账明细接口!$S297=0,"",[2]对账明细接口!$S297),"")</f>
      </c>
      <c r="Y297" s="20">
        <f>""</f>
      </c>
      <c r="Z297" s="20">
        <f>""</f>
      </c>
      <c r="AA297" s="20">
        <f>""</f>
      </c>
      <c r="AB297" s="20">
        <f>""</f>
      </c>
    </row>
    <row r="298" s="127">
      <c r="A298" s="14" t="n">
        <v>298</v>
      </c>
      <c r="B298" s="211">
        <f>IFERROR(IF([2]对账明细接口!$B$298=0,"",[2]对账明细接口!$B$298),"")</f>
      </c>
      <c r="C298" s="16">
        <f>IFERROR(IF([2]对账明细接口!$C$298=0,"",[2]对账明细接口!$C$298),"")</f>
      </c>
      <c r="D298" s="16">
        <f>IFERROR(IF([2]对账明细接口!$D$298=0,"",[2]对账明细接口!$D$298),"")</f>
      </c>
      <c r="E298" s="16">
        <f>IFERROR(IF([2]对账明细接口!$E$298=0,"",[2]对账明细接口!$E$298),"")</f>
      </c>
      <c r="F298" s="16">
        <f>IFERROR(IF([2]对账明细接口!$F$298=0,"",[2]对账明细接口!$F$298),"")</f>
      </c>
      <c r="G298" s="16">
        <f>IFERROR(IF([2]对账明细接口!$G$298=0,"",[2]对账明细接口!$G$298),"")</f>
      </c>
      <c r="H298" s="176">
        <f>IFERROR(IF([2]对账明细接口!$H$298=0,"",[2]对账明细接口!$H$298),"")</f>
      </c>
      <c r="I298" s="16">
        <f>IFERROR(IF([2]对账明细接口!$I$298=0,"",[2]对账明细接口!$I$298),"")</f>
      </c>
      <c r="J298" s="177">
        <f>IFERROR(IF([2]对账明细接口!$J$298=0,"",[2]对账明细接口!$J$298),"")</f>
      </c>
      <c r="K298" s="177">
        <f>IFERROR(IF([2]对账明细接口!$K$298=0,"",[2]对账明细接口!$K$298),"")</f>
      </c>
      <c r="L298" s="16">
        <f>IFERROR(IF([2]对账明细接口!$L$298=0,"",[2]对账明细接口!$L$298),"")</f>
      </c>
      <c r="M298" s="16">
        <f>IFERROR(IF([2]对账明细接口!$M$298=0,"",[2]对账明细接口!$M$298),"")</f>
      </c>
      <c r="N298" s="19">
        <f>IF($C298="",0,1)</f>
        <v>0</v>
      </c>
      <c r="O298" s="19">
        <f>N(O297)+$N298</f>
        <v>272</v>
      </c>
      <c r="S298" s="20">
        <f>IFERROR(IF([2]对账明细接口!$N298=0,"",[2]对账明细接口!$N298),"")</f>
      </c>
      <c r="T298" s="212">
        <f>IFERROR(IF([2]对账明细接口!$O298=0,"",[2]对账明细接口!$O298),"")</f>
      </c>
      <c r="U298" s="212">
        <f>IFERROR(IF([2]对账明细接口!$P298=0,"",[2]对账明细接口!$P298),"")</f>
      </c>
      <c r="V298" s="212">
        <f>IFERROR(IF([2]对账明细接口!$Q298=0,"",[2]对账明细接口!$Q298),"")</f>
      </c>
      <c r="W298" s="20">
        <f>IFERROR(IF([2]对账明细接口!$R298=0,"",[2]对账明细接口!$R298),"")</f>
      </c>
      <c r="X298" s="20">
        <f>IFERROR(IF([2]对账明细接口!$S298=0,"",[2]对账明细接口!$S298),"")</f>
      </c>
      <c r="Y298" s="20">
        <f>""</f>
      </c>
      <c r="Z298" s="20">
        <f>""</f>
      </c>
      <c r="AA298" s="20">
        <f>""</f>
      </c>
      <c r="AB298" s="20">
        <f>""</f>
      </c>
    </row>
    <row r="299" s="127">
      <c r="A299" s="14" t="n">
        <v>299</v>
      </c>
      <c r="B299" s="211">
        <f>IFERROR(IF([2]对账明细接口!$B$299=0,"",[2]对账明细接口!$B$299),"")</f>
      </c>
      <c r="C299" s="16">
        <f>IFERROR(IF([2]对账明细接口!$C$299=0,"",[2]对账明细接口!$C$299),"")</f>
      </c>
      <c r="D299" s="16">
        <f>IFERROR(IF([2]对账明细接口!$D$299=0,"",[2]对账明细接口!$D$299),"")</f>
      </c>
      <c r="E299" s="16">
        <f>IFERROR(IF([2]对账明细接口!$E$299=0,"",[2]对账明细接口!$E$299),"")</f>
      </c>
      <c r="F299" s="16">
        <f>IFERROR(IF([2]对账明细接口!$F$299=0,"",[2]对账明细接口!$F$299),"")</f>
      </c>
      <c r="G299" s="16">
        <f>IFERROR(IF([2]对账明细接口!$G$299=0,"",[2]对账明细接口!$G$299),"")</f>
      </c>
      <c r="H299" s="176">
        <f>IFERROR(IF([2]对账明细接口!$H$299=0,"",[2]对账明细接口!$H$299),"")</f>
      </c>
      <c r="I299" s="16">
        <f>IFERROR(IF([2]对账明细接口!$I$299=0,"",[2]对账明细接口!$I$299),"")</f>
      </c>
      <c r="J299" s="177">
        <f>IFERROR(IF([2]对账明细接口!$J$299=0,"",[2]对账明细接口!$J$299),"")</f>
      </c>
      <c r="K299" s="177">
        <f>IFERROR(IF([2]对账明细接口!$K$299=0,"",[2]对账明细接口!$K$299),"")</f>
      </c>
      <c r="L299" s="16">
        <f>IFERROR(IF([2]对账明细接口!$L$299=0,"",[2]对账明细接口!$L$299),"")</f>
      </c>
      <c r="M299" s="16">
        <f>IFERROR(IF([2]对账明细接口!$M$299=0,"",[2]对账明细接口!$M$299),"")</f>
      </c>
      <c r="N299" s="19">
        <f>IF($C299="",0,1)</f>
        <v>0</v>
      </c>
      <c r="O299" s="19">
        <f>N(O298)+$N299</f>
        <v>272</v>
      </c>
      <c r="S299" s="20">
        <f>IFERROR(IF([2]对账明细接口!$N299=0,"",[2]对账明细接口!$N299),"")</f>
      </c>
      <c r="T299" s="212">
        <f>IFERROR(IF([2]对账明细接口!$O299=0,"",[2]对账明细接口!$O299),"")</f>
      </c>
      <c r="U299" s="212">
        <f>IFERROR(IF([2]对账明细接口!$P299=0,"",[2]对账明细接口!$P299),"")</f>
      </c>
      <c r="V299" s="212">
        <f>IFERROR(IF([2]对账明细接口!$Q299=0,"",[2]对账明细接口!$Q299),"")</f>
      </c>
      <c r="W299" s="20">
        <f>IFERROR(IF([2]对账明细接口!$R299=0,"",[2]对账明细接口!$R299),"")</f>
      </c>
      <c r="X299" s="20">
        <f>IFERROR(IF([2]对账明细接口!$S299=0,"",[2]对账明细接口!$S299),"")</f>
      </c>
      <c r="Y299" s="20">
        <f>""</f>
      </c>
      <c r="Z299" s="20">
        <f>""</f>
      </c>
      <c r="AA299" s="20">
        <f>""</f>
      </c>
      <c r="AB299" s="20">
        <f>""</f>
      </c>
    </row>
    <row r="300" s="127">
      <c r="A300" s="14" t="n">
        <v>300</v>
      </c>
      <c r="B300" s="211">
        <f>IFERROR(IF([2]对账明细接口!$B$300=0,"",[2]对账明细接口!$B$300),"")</f>
      </c>
      <c r="C300" s="16">
        <f>IFERROR(IF([2]对账明细接口!$C$300=0,"",[2]对账明细接口!$C$300),"")</f>
      </c>
      <c r="D300" s="16">
        <f>IFERROR(IF([2]对账明细接口!$D$300=0,"",[2]对账明细接口!$D$300),"")</f>
      </c>
      <c r="E300" s="16">
        <f>IFERROR(IF([2]对账明细接口!$E$300=0,"",[2]对账明细接口!$E$300),"")</f>
      </c>
      <c r="F300" s="16">
        <f>IFERROR(IF([2]对账明细接口!$F$300=0,"",[2]对账明细接口!$F$300),"")</f>
      </c>
      <c r="G300" s="16">
        <f>IFERROR(IF([2]对账明细接口!$G$300=0,"",[2]对账明细接口!$G$300),"")</f>
      </c>
      <c r="H300" s="176">
        <f>IFERROR(IF([2]对账明细接口!$H$300=0,"",[2]对账明细接口!$H$300),"")</f>
      </c>
      <c r="I300" s="16">
        <f>IFERROR(IF([2]对账明细接口!$I$300=0,"",[2]对账明细接口!$I$300),"")</f>
      </c>
      <c r="J300" s="177">
        <f>IFERROR(IF([2]对账明细接口!$J$300=0,"",[2]对账明细接口!$J$300),"")</f>
      </c>
      <c r="K300" s="177">
        <f>IFERROR(IF([2]对账明细接口!$K$300=0,"",[2]对账明细接口!$K$300),"")</f>
      </c>
      <c r="L300" s="16">
        <f>IFERROR(IF([2]对账明细接口!$L$300=0,"",[2]对账明细接口!$L$300),"")</f>
      </c>
      <c r="M300" s="16">
        <f>IFERROR(IF([2]对账明细接口!$M$300=0,"",[2]对账明细接口!$M$300),"")</f>
      </c>
      <c r="N300" s="19">
        <f>IF($C300="",0,1)</f>
        <v>0</v>
      </c>
      <c r="O300" s="19">
        <f>N(O299)+$N300</f>
        <v>272</v>
      </c>
      <c r="S300" s="20">
        <f>IFERROR(IF([2]对账明细接口!$N300=0,"",[2]对账明细接口!$N300),"")</f>
      </c>
      <c r="T300" s="212">
        <f>IFERROR(IF([2]对账明细接口!$O300=0,"",[2]对账明细接口!$O300),"")</f>
      </c>
      <c r="U300" s="212">
        <f>IFERROR(IF([2]对账明细接口!$P300=0,"",[2]对账明细接口!$P300),"")</f>
      </c>
      <c r="V300" s="212">
        <f>IFERROR(IF([2]对账明细接口!$Q300=0,"",[2]对账明细接口!$Q300),"")</f>
      </c>
      <c r="W300" s="20">
        <f>IFERROR(IF([2]对账明细接口!$R300=0,"",[2]对账明细接口!$R300),"")</f>
      </c>
      <c r="X300" s="20">
        <f>IFERROR(IF([2]对账明细接口!$S300=0,"",[2]对账明细接口!$S300),"")</f>
      </c>
      <c r="Y300" s="20">
        <f>""</f>
      </c>
      <c r="Z300" s="20">
        <f>""</f>
      </c>
      <c r="AA300" s="20">
        <f>""</f>
      </c>
      <c r="AB300" s="20">
        <f>""</f>
      </c>
    </row>
    <row r="301" s="127">
      <c r="A301" s="14" t="n">
        <v>301</v>
      </c>
      <c r="B301" s="211">
        <f>IFERROR(IF([2]对账明细接口!$B$301=0,"",[2]对账明细接口!$B$301),"")</f>
      </c>
      <c r="C301" s="16">
        <f>IFERROR(IF([2]对账明细接口!$C$301=0,"",[2]对账明细接口!$C$301),"")</f>
      </c>
      <c r="D301" s="16">
        <f>IFERROR(IF([2]对账明细接口!$D$301=0,"",[2]对账明细接口!$D$301),"")</f>
      </c>
      <c r="E301" s="16">
        <f>IFERROR(IF([2]对账明细接口!$E$301=0,"",[2]对账明细接口!$E$301),"")</f>
      </c>
      <c r="F301" s="16">
        <f>IFERROR(IF([2]对账明细接口!$F$301=0,"",[2]对账明细接口!$F$301),"")</f>
      </c>
      <c r="G301" s="16">
        <f>IFERROR(IF([2]对账明细接口!$G$301=0,"",[2]对账明细接口!$G$301),"")</f>
      </c>
      <c r="H301" s="176">
        <f>IFERROR(IF([2]对账明细接口!$H$301=0,"",[2]对账明细接口!$H$301),"")</f>
      </c>
      <c r="I301" s="16">
        <f>IFERROR(IF([2]对账明细接口!$I$301=0,"",[2]对账明细接口!$I$301),"")</f>
      </c>
      <c r="J301" s="177">
        <f>IFERROR(IF([2]对账明细接口!$J$301=0,"",[2]对账明细接口!$J$301),"")</f>
      </c>
      <c r="K301" s="177">
        <f>IFERROR(IF([2]对账明细接口!$K$301=0,"",[2]对账明细接口!$K$301),"")</f>
      </c>
      <c r="L301" s="16">
        <f>IFERROR(IF([2]对账明细接口!$L$301=0,"",[2]对账明细接口!$L$301),"")</f>
      </c>
      <c r="M301" s="16">
        <f>IFERROR(IF([2]对账明细接口!$M$301=0,"",[2]对账明细接口!$M$301),"")</f>
      </c>
      <c r="N301" s="19">
        <f>IF($C301="",0,1)</f>
        <v>0</v>
      </c>
      <c r="O301" s="19">
        <f>N(O300)+$N301</f>
        <v>272</v>
      </c>
      <c r="S301" s="20">
        <f>IFERROR(IF([2]对账明细接口!$N301=0,"",[2]对账明细接口!$N301),"")</f>
      </c>
      <c r="T301" s="212">
        <f>IFERROR(IF([2]对账明细接口!$O301=0,"",[2]对账明细接口!$O301),"")</f>
      </c>
      <c r="U301" s="212">
        <f>IFERROR(IF([2]对账明细接口!$P301=0,"",[2]对账明细接口!$P301),"")</f>
      </c>
      <c r="V301" s="212">
        <f>IFERROR(IF([2]对账明细接口!$Q301=0,"",[2]对账明细接口!$Q301),"")</f>
      </c>
      <c r="W301" s="20">
        <f>IFERROR(IF([2]对账明细接口!$R301=0,"",[2]对账明细接口!$R301),"")</f>
      </c>
      <c r="X301" s="20">
        <f>IFERROR(IF([2]对账明细接口!$S301=0,"",[2]对账明细接口!$S301),"")</f>
      </c>
      <c r="Y301" s="20">
        <f>""</f>
      </c>
      <c r="Z301" s="20">
        <f>""</f>
      </c>
      <c r="AA301" s="20">
        <f>""</f>
      </c>
      <c r="AB301" s="20">
        <f>""</f>
      </c>
    </row>
    <row r="302" s="127">
      <c r="A302" s="14" t="n">
        <v>302</v>
      </c>
      <c r="B302" s="211">
        <f>IFERROR(IF([2]对账明细接口!$B$302=0,"",[2]对账明细接口!$B$302),"")</f>
      </c>
      <c r="C302" s="16">
        <f>IFERROR(IF([2]对账明细接口!$C$302=0,"",[2]对账明细接口!$C$302),"")</f>
      </c>
      <c r="D302" s="16">
        <f>IFERROR(IF([2]对账明细接口!$D$302=0,"",[2]对账明细接口!$D$302),"")</f>
      </c>
      <c r="E302" s="16">
        <f>IFERROR(IF([2]对账明细接口!$E$302=0,"",[2]对账明细接口!$E$302),"")</f>
      </c>
      <c r="F302" s="16">
        <f>IFERROR(IF([2]对账明细接口!$F$302=0,"",[2]对账明细接口!$F$302),"")</f>
      </c>
      <c r="G302" s="16">
        <f>IFERROR(IF([2]对账明细接口!$G$302=0,"",[2]对账明细接口!$G$302),"")</f>
      </c>
      <c r="H302" s="176">
        <f>IFERROR(IF([2]对账明细接口!$H$302=0,"",[2]对账明细接口!$H$302),"")</f>
      </c>
      <c r="I302" s="16">
        <f>IFERROR(IF([2]对账明细接口!$I$302=0,"",[2]对账明细接口!$I$302),"")</f>
      </c>
      <c r="J302" s="177">
        <f>IFERROR(IF([2]对账明细接口!$J$302=0,"",[2]对账明细接口!$J$302),"")</f>
      </c>
      <c r="K302" s="177">
        <f>IFERROR(IF([2]对账明细接口!$K$302=0,"",[2]对账明细接口!$K$302),"")</f>
      </c>
      <c r="L302" s="16">
        <f>IFERROR(IF([2]对账明细接口!$L$302=0,"",[2]对账明细接口!$L$302),"")</f>
      </c>
      <c r="M302" s="16">
        <f>IFERROR(IF([2]对账明细接口!$M$302=0,"",[2]对账明细接口!$M$302),"")</f>
      </c>
      <c r="N302" s="19">
        <f>IF($C302="",0,1)</f>
        <v>0</v>
      </c>
      <c r="O302" s="19">
        <f>N(O301)+$N302</f>
        <v>272</v>
      </c>
      <c r="S302" s="20">
        <f>IFERROR(IF([2]对账明细接口!$N302=0,"",[2]对账明细接口!$N302),"")</f>
      </c>
      <c r="T302" s="212">
        <f>IFERROR(IF([2]对账明细接口!$O302=0,"",[2]对账明细接口!$O302),"")</f>
      </c>
      <c r="U302" s="212">
        <f>IFERROR(IF([2]对账明细接口!$P302=0,"",[2]对账明细接口!$P302),"")</f>
      </c>
      <c r="V302" s="212">
        <f>IFERROR(IF([2]对账明细接口!$Q302=0,"",[2]对账明细接口!$Q302),"")</f>
      </c>
      <c r="W302" s="20">
        <f>IFERROR(IF([2]对账明细接口!$R302=0,"",[2]对账明细接口!$R302),"")</f>
      </c>
      <c r="X302" s="20">
        <f>IFERROR(IF([2]对账明细接口!$S302=0,"",[2]对账明细接口!$S302),"")</f>
      </c>
      <c r="Y302" s="20">
        <f>""</f>
      </c>
      <c r="Z302" s="20">
        <f>""</f>
      </c>
      <c r="AA302" s="20">
        <f>""</f>
      </c>
      <c r="AB302" s="20">
        <f>""</f>
      </c>
    </row>
    <row r="303" s="127">
      <c r="A303" s="14" t="n">
        <v>303</v>
      </c>
      <c r="B303" s="211">
        <f>IFERROR(IF([2]对账明细接口!$B$303=0,"",[2]对账明细接口!$B$303),"")</f>
      </c>
      <c r="C303" s="16">
        <f>IFERROR(IF([2]对账明细接口!$C$303=0,"",[2]对账明细接口!$C$303),"")</f>
      </c>
      <c r="D303" s="16">
        <f>IFERROR(IF([2]对账明细接口!$D$303=0,"",[2]对账明细接口!$D$303),"")</f>
      </c>
      <c r="E303" s="16">
        <f>IFERROR(IF([2]对账明细接口!$E$303=0,"",[2]对账明细接口!$E$303),"")</f>
      </c>
      <c r="F303" s="16">
        <f>IFERROR(IF([2]对账明细接口!$F$303=0,"",[2]对账明细接口!$F$303),"")</f>
      </c>
      <c r="G303" s="16">
        <f>IFERROR(IF([2]对账明细接口!$G$303=0,"",[2]对账明细接口!$G$303),"")</f>
      </c>
      <c r="H303" s="176">
        <f>IFERROR(IF([2]对账明细接口!$H$303=0,"",[2]对账明细接口!$H$303),"")</f>
      </c>
      <c r="I303" s="16">
        <f>IFERROR(IF([2]对账明细接口!$I$303=0,"",[2]对账明细接口!$I$303),"")</f>
      </c>
      <c r="J303" s="177">
        <f>IFERROR(IF([2]对账明细接口!$J$303=0,"",[2]对账明细接口!$J$303),"")</f>
      </c>
      <c r="K303" s="177">
        <f>IFERROR(IF([2]对账明细接口!$K$303=0,"",[2]对账明细接口!$K$303),"")</f>
      </c>
      <c r="L303" s="16">
        <f>IFERROR(IF([2]对账明细接口!$L$303=0,"",[2]对账明细接口!$L$303),"")</f>
      </c>
      <c r="M303" s="16">
        <f>IFERROR(IF([2]对账明细接口!$M$303=0,"",[2]对账明细接口!$M$303),"")</f>
      </c>
      <c r="N303" s="19">
        <f>IF($C303="",0,1)</f>
        <v>0</v>
      </c>
      <c r="O303" s="19">
        <f>N(O302)+$N303</f>
        <v>272</v>
      </c>
      <c r="S303" s="20">
        <f>IFERROR(IF([2]对账明细接口!$N303=0,"",[2]对账明细接口!$N303),"")</f>
      </c>
      <c r="T303" s="212">
        <f>IFERROR(IF([2]对账明细接口!$O303=0,"",[2]对账明细接口!$O303),"")</f>
      </c>
      <c r="U303" s="212">
        <f>IFERROR(IF([2]对账明细接口!$P303=0,"",[2]对账明细接口!$P303),"")</f>
      </c>
      <c r="V303" s="212">
        <f>IFERROR(IF([2]对账明细接口!$Q303=0,"",[2]对账明细接口!$Q303),"")</f>
      </c>
      <c r="W303" s="20">
        <f>IFERROR(IF([2]对账明细接口!$R303=0,"",[2]对账明细接口!$R303),"")</f>
      </c>
      <c r="X303" s="20">
        <f>IFERROR(IF([2]对账明细接口!$S303=0,"",[2]对账明细接口!$S303),"")</f>
      </c>
      <c r="Y303" s="20">
        <f>""</f>
      </c>
      <c r="Z303" s="20">
        <f>""</f>
      </c>
      <c r="AA303" s="20">
        <f>""</f>
      </c>
      <c r="AB303" s="20">
        <f>""</f>
      </c>
    </row>
    <row r="304" s="127">
      <c r="A304" s="14" t="n">
        <v>304</v>
      </c>
      <c r="B304" s="211">
        <f>IFERROR(IF([2]对账明细接口!$B$304=0,"",[2]对账明细接口!$B$304),"")</f>
      </c>
      <c r="C304" s="16">
        <f>IFERROR(IF([2]对账明细接口!$C$304=0,"",[2]对账明细接口!$C$304),"")</f>
      </c>
      <c r="D304" s="16">
        <f>IFERROR(IF([2]对账明细接口!$D$304=0,"",[2]对账明细接口!$D$304),"")</f>
      </c>
      <c r="E304" s="16">
        <f>IFERROR(IF([2]对账明细接口!$E$304=0,"",[2]对账明细接口!$E$304),"")</f>
      </c>
      <c r="F304" s="16">
        <f>IFERROR(IF([2]对账明细接口!$F$304=0,"",[2]对账明细接口!$F$304),"")</f>
      </c>
      <c r="G304" s="16">
        <f>IFERROR(IF([2]对账明细接口!$G$304=0,"",[2]对账明细接口!$G$304),"")</f>
      </c>
      <c r="H304" s="176">
        <f>IFERROR(IF([2]对账明细接口!$H$304=0,"",[2]对账明细接口!$H$304),"")</f>
      </c>
      <c r="I304" s="16">
        <f>IFERROR(IF([2]对账明细接口!$I$304=0,"",[2]对账明细接口!$I$304),"")</f>
      </c>
      <c r="J304" s="177">
        <f>IFERROR(IF([2]对账明细接口!$J$304=0,"",[2]对账明细接口!$J$304),"")</f>
      </c>
      <c r="K304" s="177">
        <f>IFERROR(IF([2]对账明细接口!$K$304=0,"",[2]对账明细接口!$K$304),"")</f>
      </c>
      <c r="L304" s="16">
        <f>IFERROR(IF([2]对账明细接口!$L$304=0,"",[2]对账明细接口!$L$304),"")</f>
      </c>
      <c r="M304" s="16">
        <f>IFERROR(IF([2]对账明细接口!$M$304=0,"",[2]对账明细接口!$M$304),"")</f>
      </c>
      <c r="N304" s="19">
        <f>IF($C304="",0,1)</f>
        <v>0</v>
      </c>
      <c r="O304" s="19">
        <f>N(O303)+$N304</f>
        <v>272</v>
      </c>
      <c r="S304" s="20">
        <f>IFERROR(IF([2]对账明细接口!$N304=0,"",[2]对账明细接口!$N304),"")</f>
      </c>
      <c r="T304" s="212">
        <f>IFERROR(IF([2]对账明细接口!$O304=0,"",[2]对账明细接口!$O304),"")</f>
      </c>
      <c r="U304" s="212">
        <f>IFERROR(IF([2]对账明细接口!$P304=0,"",[2]对账明细接口!$P304),"")</f>
      </c>
      <c r="V304" s="212">
        <f>IFERROR(IF([2]对账明细接口!$Q304=0,"",[2]对账明细接口!$Q304),"")</f>
      </c>
      <c r="W304" s="20">
        <f>IFERROR(IF([2]对账明细接口!$R304=0,"",[2]对账明细接口!$R304),"")</f>
      </c>
      <c r="X304" s="20">
        <f>IFERROR(IF([2]对账明细接口!$S304=0,"",[2]对账明细接口!$S304),"")</f>
      </c>
      <c r="Y304" s="20">
        <f>""</f>
      </c>
      <c r="Z304" s="20">
        <f>""</f>
      </c>
      <c r="AA304" s="20">
        <f>""</f>
      </c>
      <c r="AB304" s="20">
        <f>""</f>
      </c>
    </row>
    <row r="305" s="127">
      <c r="A305" s="14" t="n">
        <v>305</v>
      </c>
      <c r="B305" s="211">
        <f>IFERROR(IF([2]对账明细接口!$B$305=0,"",[2]对账明细接口!$B$305),"")</f>
      </c>
      <c r="C305" s="16">
        <f>IFERROR(IF([2]对账明细接口!$C$305=0,"",[2]对账明细接口!$C$305),"")</f>
      </c>
      <c r="D305" s="16">
        <f>IFERROR(IF([2]对账明细接口!$D$305=0,"",[2]对账明细接口!$D$305),"")</f>
      </c>
      <c r="E305" s="16">
        <f>IFERROR(IF([2]对账明细接口!$E$305=0,"",[2]对账明细接口!$E$305),"")</f>
      </c>
      <c r="F305" s="16">
        <f>IFERROR(IF([2]对账明细接口!$F$305=0,"",[2]对账明细接口!$F$305),"")</f>
      </c>
      <c r="G305" s="16">
        <f>IFERROR(IF([2]对账明细接口!$G$305=0,"",[2]对账明细接口!$G$305),"")</f>
      </c>
      <c r="H305" s="176">
        <f>IFERROR(IF([2]对账明细接口!$H$305=0,"",[2]对账明细接口!$H$305),"")</f>
      </c>
      <c r="I305" s="16">
        <f>IFERROR(IF([2]对账明细接口!$I$305=0,"",[2]对账明细接口!$I$305),"")</f>
      </c>
      <c r="J305" s="177">
        <f>IFERROR(IF([2]对账明细接口!$J$305=0,"",[2]对账明细接口!$J$305),"")</f>
      </c>
      <c r="K305" s="177">
        <f>IFERROR(IF([2]对账明细接口!$K$305=0,"",[2]对账明细接口!$K$305),"")</f>
      </c>
      <c r="L305" s="16">
        <f>IFERROR(IF([2]对账明细接口!$L$305=0,"",[2]对账明细接口!$L$305),"")</f>
      </c>
      <c r="M305" s="16">
        <f>IFERROR(IF([2]对账明细接口!$M$305=0,"",[2]对账明细接口!$M$305),"")</f>
      </c>
      <c r="N305" s="19">
        <f>IF($C305="",0,1)</f>
        <v>0</v>
      </c>
      <c r="O305" s="19">
        <f>N(O304)+$N305</f>
        <v>272</v>
      </c>
      <c r="S305" s="20">
        <f>IFERROR(IF([2]对账明细接口!$N305=0,"",[2]对账明细接口!$N305),"")</f>
      </c>
      <c r="T305" s="212">
        <f>IFERROR(IF([2]对账明细接口!$O305=0,"",[2]对账明细接口!$O305),"")</f>
      </c>
      <c r="U305" s="212">
        <f>IFERROR(IF([2]对账明细接口!$P305=0,"",[2]对账明细接口!$P305),"")</f>
      </c>
      <c r="V305" s="212">
        <f>IFERROR(IF([2]对账明细接口!$Q305=0,"",[2]对账明细接口!$Q305),"")</f>
      </c>
      <c r="W305" s="20">
        <f>IFERROR(IF([2]对账明细接口!$R305=0,"",[2]对账明细接口!$R305),"")</f>
      </c>
      <c r="X305" s="20">
        <f>IFERROR(IF([2]对账明细接口!$S305=0,"",[2]对账明细接口!$S305),"")</f>
      </c>
      <c r="Y305" s="20">
        <f>""</f>
      </c>
      <c r="Z305" s="20">
        <f>""</f>
      </c>
      <c r="AA305" s="20">
        <f>""</f>
      </c>
      <c r="AB305" s="20">
        <f>""</f>
      </c>
    </row>
    <row r="306" s="127">
      <c r="A306" s="14" t="n">
        <v>306</v>
      </c>
      <c r="B306" s="211">
        <f>IFERROR(IF([2]对账明细接口!$B$306=0,"",[2]对账明细接口!$B$306),"")</f>
      </c>
      <c r="C306" s="16">
        <f>IFERROR(IF([2]对账明细接口!$C$306=0,"",[2]对账明细接口!$C$306),"")</f>
      </c>
      <c r="D306" s="16">
        <f>IFERROR(IF([2]对账明细接口!$D$306=0,"",[2]对账明细接口!$D$306),"")</f>
      </c>
      <c r="E306" s="16">
        <f>IFERROR(IF([2]对账明细接口!$E$306=0,"",[2]对账明细接口!$E$306),"")</f>
      </c>
      <c r="F306" s="16">
        <f>IFERROR(IF([2]对账明细接口!$F$306=0,"",[2]对账明细接口!$F$306),"")</f>
      </c>
      <c r="G306" s="16">
        <f>IFERROR(IF([2]对账明细接口!$G$306=0,"",[2]对账明细接口!$G$306),"")</f>
      </c>
      <c r="H306" s="176">
        <f>IFERROR(IF([2]对账明细接口!$H$306=0,"",[2]对账明细接口!$H$306),"")</f>
      </c>
      <c r="I306" s="16">
        <f>IFERROR(IF([2]对账明细接口!$I$306=0,"",[2]对账明细接口!$I$306),"")</f>
      </c>
      <c r="J306" s="177">
        <f>IFERROR(IF([2]对账明细接口!$J$306=0,"",[2]对账明细接口!$J$306),"")</f>
      </c>
      <c r="K306" s="177">
        <f>IFERROR(IF([2]对账明细接口!$K$306=0,"",[2]对账明细接口!$K$306),"")</f>
      </c>
      <c r="L306" s="16">
        <f>IFERROR(IF([2]对账明细接口!$L$306=0,"",[2]对账明细接口!$L$306),"")</f>
      </c>
      <c r="M306" s="16">
        <f>IFERROR(IF([2]对账明细接口!$M$306=0,"",[2]对账明细接口!$M$306),"")</f>
      </c>
      <c r="N306" s="19">
        <f>IF($C306="",0,1)</f>
        <v>0</v>
      </c>
      <c r="O306" s="19">
        <f>N(O305)+$N306</f>
        <v>272</v>
      </c>
      <c r="S306" s="20">
        <f>IFERROR(IF([2]对账明细接口!$N306=0,"",[2]对账明细接口!$N306),"")</f>
      </c>
      <c r="T306" s="212">
        <f>IFERROR(IF([2]对账明细接口!$O306=0,"",[2]对账明细接口!$O306),"")</f>
      </c>
      <c r="U306" s="212">
        <f>IFERROR(IF([2]对账明细接口!$P306=0,"",[2]对账明细接口!$P306),"")</f>
      </c>
      <c r="V306" s="212">
        <f>IFERROR(IF([2]对账明细接口!$Q306=0,"",[2]对账明细接口!$Q306),"")</f>
      </c>
      <c r="W306" s="20">
        <f>IFERROR(IF([2]对账明细接口!$R306=0,"",[2]对账明细接口!$R306),"")</f>
      </c>
      <c r="X306" s="20">
        <f>IFERROR(IF([2]对账明细接口!$S306=0,"",[2]对账明细接口!$S306),"")</f>
      </c>
      <c r="Y306" s="20">
        <f>""</f>
      </c>
      <c r="Z306" s="20">
        <f>""</f>
      </c>
      <c r="AA306" s="20">
        <f>""</f>
      </c>
      <c r="AB306" s="20">
        <f>""</f>
      </c>
    </row>
    <row r="307" s="127">
      <c r="A307" s="14" t="n">
        <v>307</v>
      </c>
      <c r="B307" s="211">
        <f>IFERROR(IF([2]对账明细接口!$B$307=0,"",[2]对账明细接口!$B$307),"")</f>
      </c>
      <c r="C307" s="16">
        <f>IFERROR(IF([2]对账明细接口!$C$307=0,"",[2]对账明细接口!$C$307),"")</f>
      </c>
      <c r="D307" s="16">
        <f>IFERROR(IF([2]对账明细接口!$D$307=0,"",[2]对账明细接口!$D$307),"")</f>
      </c>
      <c r="E307" s="16">
        <f>IFERROR(IF([2]对账明细接口!$E$307=0,"",[2]对账明细接口!$E$307),"")</f>
      </c>
      <c r="F307" s="16">
        <f>IFERROR(IF([2]对账明细接口!$F$307=0,"",[2]对账明细接口!$F$307),"")</f>
      </c>
      <c r="G307" s="16">
        <f>IFERROR(IF([2]对账明细接口!$G$307=0,"",[2]对账明细接口!$G$307),"")</f>
      </c>
      <c r="H307" s="176">
        <f>IFERROR(IF([2]对账明细接口!$H$307=0,"",[2]对账明细接口!$H$307),"")</f>
      </c>
      <c r="I307" s="16">
        <f>IFERROR(IF([2]对账明细接口!$I$307=0,"",[2]对账明细接口!$I$307),"")</f>
      </c>
      <c r="J307" s="177">
        <f>IFERROR(IF([2]对账明细接口!$J$307=0,"",[2]对账明细接口!$J$307),"")</f>
      </c>
      <c r="K307" s="177">
        <f>IFERROR(IF([2]对账明细接口!$K$307=0,"",[2]对账明细接口!$K$307),"")</f>
      </c>
      <c r="L307" s="16">
        <f>IFERROR(IF([2]对账明细接口!$L$307=0,"",[2]对账明细接口!$L$307),"")</f>
      </c>
      <c r="M307" s="16">
        <f>IFERROR(IF([2]对账明细接口!$M$307=0,"",[2]对账明细接口!$M$307),"")</f>
      </c>
      <c r="N307" s="19">
        <f>IF($C307="",0,1)</f>
        <v>0</v>
      </c>
      <c r="O307" s="19">
        <f>N(O306)+$N307</f>
        <v>272</v>
      </c>
      <c r="S307" s="20">
        <f>IFERROR(IF([2]对账明细接口!$N307=0,"",[2]对账明细接口!$N307),"")</f>
      </c>
      <c r="T307" s="212">
        <f>IFERROR(IF([2]对账明细接口!$O307=0,"",[2]对账明细接口!$O307),"")</f>
      </c>
      <c r="U307" s="212">
        <f>IFERROR(IF([2]对账明细接口!$P307=0,"",[2]对账明细接口!$P307),"")</f>
      </c>
      <c r="V307" s="212">
        <f>IFERROR(IF([2]对账明细接口!$Q307=0,"",[2]对账明细接口!$Q307),"")</f>
      </c>
      <c r="W307" s="20">
        <f>IFERROR(IF([2]对账明细接口!$R307=0,"",[2]对账明细接口!$R307),"")</f>
      </c>
      <c r="X307" s="20">
        <f>IFERROR(IF([2]对账明细接口!$S307=0,"",[2]对账明细接口!$S307),"")</f>
      </c>
      <c r="Y307" s="20">
        <f>""</f>
      </c>
      <c r="Z307" s="20">
        <f>""</f>
      </c>
      <c r="AA307" s="20">
        <f>""</f>
      </c>
      <c r="AB307" s="20">
        <f>""</f>
      </c>
    </row>
    <row r="308" s="127">
      <c r="A308" s="14" t="n">
        <v>308</v>
      </c>
      <c r="B308" s="211">
        <f>IFERROR(IF([2]对账明细接口!$B$308=0,"",[2]对账明细接口!$B$308),"")</f>
      </c>
      <c r="C308" s="16">
        <f>IFERROR(IF([2]对账明细接口!$C$308=0,"",[2]对账明细接口!$C$308),"")</f>
      </c>
      <c r="D308" s="16">
        <f>IFERROR(IF([2]对账明细接口!$D$308=0,"",[2]对账明细接口!$D$308),"")</f>
      </c>
      <c r="E308" s="16">
        <f>IFERROR(IF([2]对账明细接口!$E$308=0,"",[2]对账明细接口!$E$308),"")</f>
      </c>
      <c r="F308" s="16">
        <f>IFERROR(IF([2]对账明细接口!$F$308=0,"",[2]对账明细接口!$F$308),"")</f>
      </c>
      <c r="G308" s="16">
        <f>IFERROR(IF([2]对账明细接口!$G$308=0,"",[2]对账明细接口!$G$308),"")</f>
      </c>
      <c r="H308" s="176">
        <f>IFERROR(IF([2]对账明细接口!$H$308=0,"",[2]对账明细接口!$H$308),"")</f>
      </c>
      <c r="I308" s="16">
        <f>IFERROR(IF([2]对账明细接口!$I$308=0,"",[2]对账明细接口!$I$308),"")</f>
      </c>
      <c r="J308" s="177">
        <f>IFERROR(IF([2]对账明细接口!$J$308=0,"",[2]对账明细接口!$J$308),"")</f>
      </c>
      <c r="K308" s="177">
        <f>IFERROR(IF([2]对账明细接口!$K$308=0,"",[2]对账明细接口!$K$308),"")</f>
      </c>
      <c r="L308" s="16">
        <f>IFERROR(IF([2]对账明细接口!$L$308=0,"",[2]对账明细接口!$L$308),"")</f>
      </c>
      <c r="M308" s="16">
        <f>IFERROR(IF([2]对账明细接口!$M$308=0,"",[2]对账明细接口!$M$308),"")</f>
      </c>
      <c r="N308" s="19">
        <f>IF($C308="",0,1)</f>
        <v>0</v>
      </c>
      <c r="O308" s="19">
        <f>N(O307)+$N308</f>
        <v>272</v>
      </c>
      <c r="S308" s="20">
        <f>IFERROR(IF([2]对账明细接口!$N308=0,"",[2]对账明细接口!$N308),"")</f>
      </c>
      <c r="T308" s="212">
        <f>IFERROR(IF([2]对账明细接口!$O308=0,"",[2]对账明细接口!$O308),"")</f>
      </c>
      <c r="U308" s="212">
        <f>IFERROR(IF([2]对账明细接口!$P308=0,"",[2]对账明细接口!$P308),"")</f>
      </c>
      <c r="V308" s="212">
        <f>IFERROR(IF([2]对账明细接口!$Q308=0,"",[2]对账明细接口!$Q308),"")</f>
      </c>
      <c r="W308" s="20">
        <f>IFERROR(IF([2]对账明细接口!$R308=0,"",[2]对账明细接口!$R308),"")</f>
      </c>
      <c r="X308" s="20">
        <f>IFERROR(IF([2]对账明细接口!$S308=0,"",[2]对账明细接口!$S308),"")</f>
      </c>
      <c r="Y308" s="20">
        <f>""</f>
      </c>
      <c r="Z308" s="20">
        <f>""</f>
      </c>
      <c r="AA308" s="20">
        <f>""</f>
      </c>
      <c r="AB308" s="20">
        <f>""</f>
      </c>
    </row>
    <row r="309" s="127">
      <c r="A309" s="14" t="n">
        <v>309</v>
      </c>
      <c r="B309" s="211">
        <f>IFERROR(IF([2]对账明细接口!$B$309=0,"",[2]对账明细接口!$B$309),"")</f>
      </c>
      <c r="C309" s="16">
        <f>IFERROR(IF([2]对账明细接口!$C$309=0,"",[2]对账明细接口!$C$309),"")</f>
      </c>
      <c r="D309" s="16">
        <f>IFERROR(IF([2]对账明细接口!$D$309=0,"",[2]对账明细接口!$D$309),"")</f>
      </c>
      <c r="E309" s="16">
        <f>IFERROR(IF([2]对账明细接口!$E$309=0,"",[2]对账明细接口!$E$309),"")</f>
      </c>
      <c r="F309" s="16">
        <f>IFERROR(IF([2]对账明细接口!$F$309=0,"",[2]对账明细接口!$F$309),"")</f>
      </c>
      <c r="G309" s="16">
        <f>IFERROR(IF([2]对账明细接口!$G$309=0,"",[2]对账明细接口!$G$309),"")</f>
      </c>
      <c r="H309" s="176">
        <f>IFERROR(IF([2]对账明细接口!$H$309=0,"",[2]对账明细接口!$H$309),"")</f>
      </c>
      <c r="I309" s="16">
        <f>IFERROR(IF([2]对账明细接口!$I$309=0,"",[2]对账明细接口!$I$309),"")</f>
      </c>
      <c r="J309" s="177">
        <f>IFERROR(IF([2]对账明细接口!$J$309=0,"",[2]对账明细接口!$J$309),"")</f>
      </c>
      <c r="K309" s="177">
        <f>IFERROR(IF([2]对账明细接口!$K$309=0,"",[2]对账明细接口!$K$309),"")</f>
      </c>
      <c r="L309" s="16">
        <f>IFERROR(IF([2]对账明细接口!$L$309=0,"",[2]对账明细接口!$L$309),"")</f>
      </c>
      <c r="M309" s="16">
        <f>IFERROR(IF([2]对账明细接口!$M$309=0,"",[2]对账明细接口!$M$309),"")</f>
      </c>
      <c r="N309" s="19">
        <f>IF($C309="",0,1)</f>
        <v>0</v>
      </c>
      <c r="O309" s="19">
        <f>N(O308)+$N309</f>
        <v>272</v>
      </c>
      <c r="S309" s="20">
        <f>IFERROR(IF([2]对账明细接口!$N309=0,"",[2]对账明细接口!$N309),"")</f>
      </c>
      <c r="T309" s="212">
        <f>IFERROR(IF([2]对账明细接口!$O309=0,"",[2]对账明细接口!$O309),"")</f>
      </c>
      <c r="U309" s="212">
        <f>IFERROR(IF([2]对账明细接口!$P309=0,"",[2]对账明细接口!$P309),"")</f>
      </c>
      <c r="V309" s="212">
        <f>IFERROR(IF([2]对账明细接口!$Q309=0,"",[2]对账明细接口!$Q309),"")</f>
      </c>
      <c r="W309" s="20">
        <f>IFERROR(IF([2]对账明细接口!$R309=0,"",[2]对账明细接口!$R309),"")</f>
      </c>
      <c r="X309" s="20">
        <f>IFERROR(IF([2]对账明细接口!$S309=0,"",[2]对账明细接口!$S309),"")</f>
      </c>
      <c r="Y309" s="20">
        <f>""</f>
      </c>
      <c r="Z309" s="20">
        <f>""</f>
      </c>
      <c r="AA309" s="20">
        <f>""</f>
      </c>
      <c r="AB309" s="20">
        <f>""</f>
      </c>
    </row>
    <row r="310" s="127">
      <c r="A310" s="14" t="n">
        <v>310</v>
      </c>
      <c r="B310" s="211">
        <f>IFERROR(IF([2]对账明细接口!$B$310=0,"",[2]对账明细接口!$B$310),"")</f>
      </c>
      <c r="C310" s="16">
        <f>IFERROR(IF([2]对账明细接口!$C$310=0,"",[2]对账明细接口!$C$310),"")</f>
      </c>
      <c r="D310" s="16">
        <f>IFERROR(IF([2]对账明细接口!$D$310=0,"",[2]对账明细接口!$D$310),"")</f>
      </c>
      <c r="E310" s="16">
        <f>IFERROR(IF([2]对账明细接口!$E$310=0,"",[2]对账明细接口!$E$310),"")</f>
      </c>
      <c r="F310" s="16">
        <f>IFERROR(IF([2]对账明细接口!$F$310=0,"",[2]对账明细接口!$F$310),"")</f>
      </c>
      <c r="G310" s="16">
        <f>IFERROR(IF([2]对账明细接口!$G$310=0,"",[2]对账明细接口!$G$310),"")</f>
      </c>
      <c r="H310" s="176">
        <f>IFERROR(IF([2]对账明细接口!$H$310=0,"",[2]对账明细接口!$H$310),"")</f>
      </c>
      <c r="I310" s="16">
        <f>IFERROR(IF([2]对账明细接口!$I$310=0,"",[2]对账明细接口!$I$310),"")</f>
      </c>
      <c r="J310" s="177">
        <f>IFERROR(IF([2]对账明细接口!$J$310=0,"",[2]对账明细接口!$J$310),"")</f>
      </c>
      <c r="K310" s="177">
        <f>IFERROR(IF([2]对账明细接口!$K$310=0,"",[2]对账明细接口!$K$310),"")</f>
      </c>
      <c r="L310" s="16">
        <f>IFERROR(IF([2]对账明细接口!$L$310=0,"",[2]对账明细接口!$L$310),"")</f>
      </c>
      <c r="M310" s="16">
        <f>IFERROR(IF([2]对账明细接口!$M$310=0,"",[2]对账明细接口!$M$310),"")</f>
      </c>
      <c r="N310" s="19">
        <f>IF($C310="",0,1)</f>
        <v>0</v>
      </c>
      <c r="O310" s="19">
        <f>N(O309)+$N310</f>
        <v>272</v>
      </c>
      <c r="S310" s="20">
        <f>IFERROR(IF([2]对账明细接口!$N310=0,"",[2]对账明细接口!$N310),"")</f>
      </c>
      <c r="T310" s="212">
        <f>IFERROR(IF([2]对账明细接口!$O310=0,"",[2]对账明细接口!$O310),"")</f>
      </c>
      <c r="U310" s="212">
        <f>IFERROR(IF([2]对账明细接口!$P310=0,"",[2]对账明细接口!$P310),"")</f>
      </c>
      <c r="V310" s="212">
        <f>IFERROR(IF([2]对账明细接口!$Q310=0,"",[2]对账明细接口!$Q310),"")</f>
      </c>
      <c r="W310" s="20">
        <f>IFERROR(IF([2]对账明细接口!$R310=0,"",[2]对账明细接口!$R310),"")</f>
      </c>
      <c r="X310" s="20">
        <f>IFERROR(IF([2]对账明细接口!$S310=0,"",[2]对账明细接口!$S310),"")</f>
      </c>
      <c r="Y310" s="20">
        <f>""</f>
      </c>
      <c r="Z310" s="20">
        <f>""</f>
      </c>
      <c r="AA310" s="20">
        <f>""</f>
      </c>
      <c r="AB310" s="20">
        <f>""</f>
      </c>
    </row>
    <row r="311" s="127">
      <c r="A311" s="14" t="n">
        <v>311</v>
      </c>
      <c r="B311" s="211">
        <f>IFERROR(IF([2]对账明细接口!$B$311=0,"",[2]对账明细接口!$B$311),"")</f>
      </c>
      <c r="C311" s="16">
        <f>IFERROR(IF([2]对账明细接口!$C$311=0,"",[2]对账明细接口!$C$311),"")</f>
      </c>
      <c r="D311" s="16">
        <f>IFERROR(IF([2]对账明细接口!$D$311=0,"",[2]对账明细接口!$D$311),"")</f>
      </c>
      <c r="E311" s="16">
        <f>IFERROR(IF([2]对账明细接口!$E$311=0,"",[2]对账明细接口!$E$311),"")</f>
      </c>
      <c r="F311" s="16">
        <f>IFERROR(IF([2]对账明细接口!$F$311=0,"",[2]对账明细接口!$F$311),"")</f>
      </c>
      <c r="G311" s="16">
        <f>IFERROR(IF([2]对账明细接口!$G$311=0,"",[2]对账明细接口!$G$311),"")</f>
      </c>
      <c r="H311" s="176">
        <f>IFERROR(IF([2]对账明细接口!$H$311=0,"",[2]对账明细接口!$H$311),"")</f>
      </c>
      <c r="I311" s="16">
        <f>IFERROR(IF([2]对账明细接口!$I$311=0,"",[2]对账明细接口!$I$311),"")</f>
      </c>
      <c r="J311" s="177">
        <f>IFERROR(IF([2]对账明细接口!$J$311=0,"",[2]对账明细接口!$J$311),"")</f>
      </c>
      <c r="K311" s="177">
        <f>IFERROR(IF([2]对账明细接口!$K$311=0,"",[2]对账明细接口!$K$311),"")</f>
      </c>
      <c r="L311" s="16">
        <f>IFERROR(IF([2]对账明细接口!$L$311=0,"",[2]对账明细接口!$L$311),"")</f>
      </c>
      <c r="M311" s="16">
        <f>IFERROR(IF([2]对账明细接口!$M$311=0,"",[2]对账明细接口!$M$311),"")</f>
      </c>
      <c r="N311" s="19">
        <f>IF($C311="",0,1)</f>
        <v>0</v>
      </c>
      <c r="O311" s="19">
        <f>N(O310)+$N311</f>
        <v>272</v>
      </c>
      <c r="S311" s="20">
        <f>IFERROR(IF([2]对账明细接口!$N311=0,"",[2]对账明细接口!$N311),"")</f>
      </c>
      <c r="T311" s="212">
        <f>IFERROR(IF([2]对账明细接口!$O311=0,"",[2]对账明细接口!$O311),"")</f>
      </c>
      <c r="U311" s="212">
        <f>IFERROR(IF([2]对账明细接口!$P311=0,"",[2]对账明细接口!$P311),"")</f>
      </c>
      <c r="V311" s="212">
        <f>IFERROR(IF([2]对账明细接口!$Q311=0,"",[2]对账明细接口!$Q311),"")</f>
      </c>
      <c r="W311" s="20">
        <f>IFERROR(IF([2]对账明细接口!$R311=0,"",[2]对账明细接口!$R311),"")</f>
      </c>
      <c r="X311" s="20">
        <f>IFERROR(IF([2]对账明细接口!$S311=0,"",[2]对账明细接口!$S311),"")</f>
      </c>
      <c r="Y311" s="20">
        <f>""</f>
      </c>
      <c r="Z311" s="20">
        <f>""</f>
      </c>
      <c r="AA311" s="20">
        <f>""</f>
      </c>
      <c r="AB311" s="20">
        <f>""</f>
      </c>
    </row>
    <row r="312" s="127">
      <c r="A312" s="14" t="n">
        <v>312</v>
      </c>
      <c r="B312" s="211">
        <f>IFERROR(IF([2]对账明细接口!$B$312=0,"",[2]对账明细接口!$B$312),"")</f>
      </c>
      <c r="C312" s="16">
        <f>IFERROR(IF([2]对账明细接口!$C$312=0,"",[2]对账明细接口!$C$312),"")</f>
      </c>
      <c r="D312" s="16">
        <f>IFERROR(IF([2]对账明细接口!$D$312=0,"",[2]对账明细接口!$D$312),"")</f>
      </c>
      <c r="E312" s="16">
        <f>IFERROR(IF([2]对账明细接口!$E$312=0,"",[2]对账明细接口!$E$312),"")</f>
      </c>
      <c r="F312" s="16">
        <f>IFERROR(IF([2]对账明细接口!$F$312=0,"",[2]对账明细接口!$F$312),"")</f>
      </c>
      <c r="G312" s="16">
        <f>IFERROR(IF([2]对账明细接口!$G$312=0,"",[2]对账明细接口!$G$312),"")</f>
      </c>
      <c r="H312" s="176">
        <f>IFERROR(IF([2]对账明细接口!$H$312=0,"",[2]对账明细接口!$H$312),"")</f>
      </c>
      <c r="I312" s="16">
        <f>IFERROR(IF([2]对账明细接口!$I$312=0,"",[2]对账明细接口!$I$312),"")</f>
      </c>
      <c r="J312" s="177">
        <f>IFERROR(IF([2]对账明细接口!$J$312=0,"",[2]对账明细接口!$J$312),"")</f>
      </c>
      <c r="K312" s="177">
        <f>IFERROR(IF([2]对账明细接口!$K$312=0,"",[2]对账明细接口!$K$312),"")</f>
      </c>
      <c r="L312" s="16">
        <f>IFERROR(IF([2]对账明细接口!$L$312=0,"",[2]对账明细接口!$L$312),"")</f>
      </c>
      <c r="M312" s="16">
        <f>IFERROR(IF([2]对账明细接口!$M$312=0,"",[2]对账明细接口!$M$312),"")</f>
      </c>
      <c r="N312" s="19">
        <f>IF($C312="",0,1)</f>
        <v>0</v>
      </c>
      <c r="O312" s="19">
        <f>N(O311)+$N312</f>
        <v>272</v>
      </c>
      <c r="S312" s="20">
        <f>IFERROR(IF([2]对账明细接口!$N312=0,"",[2]对账明细接口!$N312),"")</f>
      </c>
      <c r="T312" s="212">
        <f>IFERROR(IF([2]对账明细接口!$O312=0,"",[2]对账明细接口!$O312),"")</f>
      </c>
      <c r="U312" s="212">
        <f>IFERROR(IF([2]对账明细接口!$P312=0,"",[2]对账明细接口!$P312),"")</f>
      </c>
      <c r="V312" s="212">
        <f>IFERROR(IF([2]对账明细接口!$Q312=0,"",[2]对账明细接口!$Q312),"")</f>
      </c>
      <c r="W312" s="20">
        <f>IFERROR(IF([2]对账明细接口!$R312=0,"",[2]对账明细接口!$R312),"")</f>
      </c>
      <c r="X312" s="20">
        <f>IFERROR(IF([2]对账明细接口!$S312=0,"",[2]对账明细接口!$S312),"")</f>
      </c>
      <c r="Y312" s="20">
        <f>""</f>
      </c>
      <c r="Z312" s="20">
        <f>""</f>
      </c>
      <c r="AA312" s="20">
        <f>""</f>
      </c>
      <c r="AB312" s="20">
        <f>""</f>
      </c>
    </row>
    <row r="313" s="127">
      <c r="A313" s="14" t="n">
        <v>313</v>
      </c>
      <c r="B313" s="211">
        <f>IFERROR(IF([2]对账明细接口!$B$313=0,"",[2]对账明细接口!$B$313),"")</f>
      </c>
      <c r="C313" s="16">
        <f>IFERROR(IF([2]对账明细接口!$C$313=0,"",[2]对账明细接口!$C$313),"")</f>
      </c>
      <c r="D313" s="16">
        <f>IFERROR(IF([2]对账明细接口!$D$313=0,"",[2]对账明细接口!$D$313),"")</f>
      </c>
      <c r="E313" s="16">
        <f>IFERROR(IF([2]对账明细接口!$E$313=0,"",[2]对账明细接口!$E$313),"")</f>
      </c>
      <c r="F313" s="16">
        <f>IFERROR(IF([2]对账明细接口!$F$313=0,"",[2]对账明细接口!$F$313),"")</f>
      </c>
      <c r="G313" s="16">
        <f>IFERROR(IF([2]对账明细接口!$G$313=0,"",[2]对账明细接口!$G$313),"")</f>
      </c>
      <c r="H313" s="176">
        <f>IFERROR(IF([2]对账明细接口!$H$313=0,"",[2]对账明细接口!$H$313),"")</f>
      </c>
      <c r="I313" s="16">
        <f>IFERROR(IF([2]对账明细接口!$I$313=0,"",[2]对账明细接口!$I$313),"")</f>
      </c>
      <c r="J313" s="177">
        <f>IFERROR(IF([2]对账明细接口!$J$313=0,"",[2]对账明细接口!$J$313),"")</f>
      </c>
      <c r="K313" s="177">
        <f>IFERROR(IF([2]对账明细接口!$K$313=0,"",[2]对账明细接口!$K$313),"")</f>
      </c>
      <c r="L313" s="16">
        <f>IFERROR(IF([2]对账明细接口!$L$313=0,"",[2]对账明细接口!$L$313),"")</f>
      </c>
      <c r="M313" s="16">
        <f>IFERROR(IF([2]对账明细接口!$M$313=0,"",[2]对账明细接口!$M$313),"")</f>
      </c>
      <c r="N313" s="19">
        <f>IF($C313="",0,1)</f>
        <v>0</v>
      </c>
      <c r="O313" s="19">
        <f>N(O312)+$N313</f>
        <v>272</v>
      </c>
      <c r="S313" s="20">
        <f>IFERROR(IF([2]对账明细接口!$N313=0,"",[2]对账明细接口!$N313),"")</f>
      </c>
      <c r="T313" s="212">
        <f>IFERROR(IF([2]对账明细接口!$O313=0,"",[2]对账明细接口!$O313),"")</f>
      </c>
      <c r="U313" s="212">
        <f>IFERROR(IF([2]对账明细接口!$P313=0,"",[2]对账明细接口!$P313),"")</f>
      </c>
      <c r="V313" s="212">
        <f>IFERROR(IF([2]对账明细接口!$Q313=0,"",[2]对账明细接口!$Q313),"")</f>
      </c>
      <c r="W313" s="20">
        <f>IFERROR(IF([2]对账明细接口!$R313=0,"",[2]对账明细接口!$R313),"")</f>
      </c>
      <c r="X313" s="20">
        <f>IFERROR(IF([2]对账明细接口!$S313=0,"",[2]对账明细接口!$S313),"")</f>
      </c>
      <c r="Y313" s="20">
        <f>""</f>
      </c>
      <c r="Z313" s="20">
        <f>""</f>
      </c>
      <c r="AA313" s="20">
        <f>""</f>
      </c>
      <c r="AB313" s="20">
        <f>""</f>
      </c>
    </row>
    <row r="314" s="127">
      <c r="A314" s="14" t="n">
        <v>314</v>
      </c>
      <c r="B314" s="211">
        <f>IFERROR(IF([2]对账明细接口!$B$314=0,"",[2]对账明细接口!$B$314),"")</f>
      </c>
      <c r="C314" s="16">
        <f>IFERROR(IF([2]对账明细接口!$C$314=0,"",[2]对账明细接口!$C$314),"")</f>
      </c>
      <c r="D314" s="16">
        <f>IFERROR(IF([2]对账明细接口!$D$314=0,"",[2]对账明细接口!$D$314),"")</f>
      </c>
      <c r="E314" s="16">
        <f>IFERROR(IF([2]对账明细接口!$E$314=0,"",[2]对账明细接口!$E$314),"")</f>
      </c>
      <c r="F314" s="16">
        <f>IFERROR(IF([2]对账明细接口!$F$314=0,"",[2]对账明细接口!$F$314),"")</f>
      </c>
      <c r="G314" s="16">
        <f>IFERROR(IF([2]对账明细接口!$G$314=0,"",[2]对账明细接口!$G$314),"")</f>
      </c>
      <c r="H314" s="176">
        <f>IFERROR(IF([2]对账明细接口!$H$314=0,"",[2]对账明细接口!$H$314),"")</f>
      </c>
      <c r="I314" s="16">
        <f>IFERROR(IF([2]对账明细接口!$I$314=0,"",[2]对账明细接口!$I$314),"")</f>
      </c>
      <c r="J314" s="177">
        <f>IFERROR(IF([2]对账明细接口!$J$314=0,"",[2]对账明细接口!$J$314),"")</f>
      </c>
      <c r="K314" s="177">
        <f>IFERROR(IF([2]对账明细接口!$K$314=0,"",[2]对账明细接口!$K$314),"")</f>
      </c>
      <c r="L314" s="16">
        <f>IFERROR(IF([2]对账明细接口!$L$314=0,"",[2]对账明细接口!$L$314),"")</f>
      </c>
      <c r="M314" s="16">
        <f>IFERROR(IF([2]对账明细接口!$M$314=0,"",[2]对账明细接口!$M$314),"")</f>
      </c>
      <c r="N314" s="19">
        <f>IF($C314="",0,1)</f>
        <v>0</v>
      </c>
      <c r="O314" s="19">
        <f>N(O313)+$N314</f>
        <v>272</v>
      </c>
      <c r="S314" s="20">
        <f>IFERROR(IF([2]对账明细接口!$N314=0,"",[2]对账明细接口!$N314),"")</f>
      </c>
      <c r="T314" s="212">
        <f>IFERROR(IF([2]对账明细接口!$O314=0,"",[2]对账明细接口!$O314),"")</f>
      </c>
      <c r="U314" s="212">
        <f>IFERROR(IF([2]对账明细接口!$P314=0,"",[2]对账明细接口!$P314),"")</f>
      </c>
      <c r="V314" s="212">
        <f>IFERROR(IF([2]对账明细接口!$Q314=0,"",[2]对账明细接口!$Q314),"")</f>
      </c>
      <c r="W314" s="20">
        <f>IFERROR(IF([2]对账明细接口!$R314=0,"",[2]对账明细接口!$R314),"")</f>
      </c>
      <c r="X314" s="20">
        <f>IFERROR(IF([2]对账明细接口!$S314=0,"",[2]对账明细接口!$S314),"")</f>
      </c>
      <c r="Y314" s="20">
        <f>""</f>
      </c>
      <c r="Z314" s="20">
        <f>""</f>
      </c>
      <c r="AA314" s="20">
        <f>""</f>
      </c>
      <c r="AB314" s="20">
        <f>""</f>
      </c>
    </row>
    <row r="315" s="127">
      <c r="A315" s="14" t="n">
        <v>315</v>
      </c>
      <c r="B315" s="211">
        <f>IFERROR(IF([2]对账明细接口!$B$315=0,"",[2]对账明细接口!$B$315),"")</f>
      </c>
      <c r="C315" s="16">
        <f>IFERROR(IF([2]对账明细接口!$C$315=0,"",[2]对账明细接口!$C$315),"")</f>
      </c>
      <c r="D315" s="16">
        <f>IFERROR(IF([2]对账明细接口!$D$315=0,"",[2]对账明细接口!$D$315),"")</f>
      </c>
      <c r="E315" s="16">
        <f>IFERROR(IF([2]对账明细接口!$E$315=0,"",[2]对账明细接口!$E$315),"")</f>
      </c>
      <c r="F315" s="16">
        <f>IFERROR(IF([2]对账明细接口!$F$315=0,"",[2]对账明细接口!$F$315),"")</f>
      </c>
      <c r="G315" s="16">
        <f>IFERROR(IF([2]对账明细接口!$G$315=0,"",[2]对账明细接口!$G$315),"")</f>
      </c>
      <c r="H315" s="176">
        <f>IFERROR(IF([2]对账明细接口!$H$315=0,"",[2]对账明细接口!$H$315),"")</f>
      </c>
      <c r="I315" s="16">
        <f>IFERROR(IF([2]对账明细接口!$I$315=0,"",[2]对账明细接口!$I$315),"")</f>
      </c>
      <c r="J315" s="177">
        <f>IFERROR(IF([2]对账明细接口!$J$315=0,"",[2]对账明细接口!$J$315),"")</f>
      </c>
      <c r="K315" s="177">
        <f>IFERROR(IF([2]对账明细接口!$K$315=0,"",[2]对账明细接口!$K$315),"")</f>
      </c>
      <c r="L315" s="16">
        <f>IFERROR(IF([2]对账明细接口!$L$315=0,"",[2]对账明细接口!$L$315),"")</f>
      </c>
      <c r="M315" s="16">
        <f>IFERROR(IF([2]对账明细接口!$M$315=0,"",[2]对账明细接口!$M$315),"")</f>
      </c>
      <c r="N315" s="19">
        <f>IF($C315="",0,1)</f>
        <v>0</v>
      </c>
      <c r="O315" s="19">
        <f>N(O314)+$N315</f>
        <v>272</v>
      </c>
      <c r="S315" s="20">
        <f>IFERROR(IF([2]对账明细接口!$N315=0,"",[2]对账明细接口!$N315),"")</f>
      </c>
      <c r="T315" s="212">
        <f>IFERROR(IF([2]对账明细接口!$O315=0,"",[2]对账明细接口!$O315),"")</f>
      </c>
      <c r="U315" s="212">
        <f>IFERROR(IF([2]对账明细接口!$P315=0,"",[2]对账明细接口!$P315),"")</f>
      </c>
      <c r="V315" s="212">
        <f>IFERROR(IF([2]对账明细接口!$Q315=0,"",[2]对账明细接口!$Q315),"")</f>
      </c>
      <c r="W315" s="20">
        <f>IFERROR(IF([2]对账明细接口!$R315=0,"",[2]对账明细接口!$R315),"")</f>
      </c>
      <c r="X315" s="20">
        <f>IFERROR(IF([2]对账明细接口!$S315=0,"",[2]对账明细接口!$S315),"")</f>
      </c>
      <c r="Y315" s="20">
        <f>""</f>
      </c>
      <c r="Z315" s="20">
        <f>""</f>
      </c>
      <c r="AA315" s="20">
        <f>""</f>
      </c>
      <c r="AB315" s="20">
        <f>""</f>
      </c>
    </row>
    <row r="316" s="127">
      <c r="A316" s="14" t="n">
        <v>316</v>
      </c>
      <c r="B316" s="211">
        <f>IFERROR(IF([2]对账明细接口!$B$316=0,"",[2]对账明细接口!$B$316),"")</f>
      </c>
      <c r="C316" s="16">
        <f>IFERROR(IF([2]对账明细接口!$C$316=0,"",[2]对账明细接口!$C$316),"")</f>
      </c>
      <c r="D316" s="16">
        <f>IFERROR(IF([2]对账明细接口!$D$316=0,"",[2]对账明细接口!$D$316),"")</f>
      </c>
      <c r="E316" s="16">
        <f>IFERROR(IF([2]对账明细接口!$E$316=0,"",[2]对账明细接口!$E$316),"")</f>
      </c>
      <c r="F316" s="16">
        <f>IFERROR(IF([2]对账明细接口!$F$316=0,"",[2]对账明细接口!$F$316),"")</f>
      </c>
      <c r="G316" s="16">
        <f>IFERROR(IF([2]对账明细接口!$G$316=0,"",[2]对账明细接口!$G$316),"")</f>
      </c>
      <c r="H316" s="176">
        <f>IFERROR(IF([2]对账明细接口!$H$316=0,"",[2]对账明细接口!$H$316),"")</f>
      </c>
      <c r="I316" s="16">
        <f>IFERROR(IF([2]对账明细接口!$I$316=0,"",[2]对账明细接口!$I$316),"")</f>
      </c>
      <c r="J316" s="177">
        <f>IFERROR(IF([2]对账明细接口!$J$316=0,"",[2]对账明细接口!$J$316),"")</f>
      </c>
      <c r="K316" s="177">
        <f>IFERROR(IF([2]对账明细接口!$K$316=0,"",[2]对账明细接口!$K$316),"")</f>
      </c>
      <c r="L316" s="16">
        <f>IFERROR(IF([2]对账明细接口!$L$316=0,"",[2]对账明细接口!$L$316),"")</f>
      </c>
      <c r="M316" s="16">
        <f>IFERROR(IF([2]对账明细接口!$M$316=0,"",[2]对账明细接口!$M$316),"")</f>
      </c>
      <c r="N316" s="19">
        <f>IF($C316="",0,1)</f>
        <v>0</v>
      </c>
      <c r="O316" s="19">
        <f>N(O315)+$N316</f>
        <v>272</v>
      </c>
      <c r="S316" s="20">
        <f>IFERROR(IF([2]对账明细接口!$N316=0,"",[2]对账明细接口!$N316),"")</f>
      </c>
      <c r="T316" s="212">
        <f>IFERROR(IF([2]对账明细接口!$O316=0,"",[2]对账明细接口!$O316),"")</f>
      </c>
      <c r="U316" s="212">
        <f>IFERROR(IF([2]对账明细接口!$P316=0,"",[2]对账明细接口!$P316),"")</f>
      </c>
      <c r="V316" s="212">
        <f>IFERROR(IF([2]对账明细接口!$Q316=0,"",[2]对账明细接口!$Q316),"")</f>
      </c>
      <c r="W316" s="20">
        <f>IFERROR(IF([2]对账明细接口!$R316=0,"",[2]对账明细接口!$R316),"")</f>
      </c>
      <c r="X316" s="20">
        <f>IFERROR(IF([2]对账明细接口!$S316=0,"",[2]对账明细接口!$S316),"")</f>
      </c>
      <c r="Y316" s="20">
        <f>""</f>
      </c>
      <c r="Z316" s="20">
        <f>""</f>
      </c>
      <c r="AA316" s="20">
        <f>""</f>
      </c>
      <c r="AB316" s="20">
        <f>""</f>
      </c>
    </row>
    <row r="317" s="127">
      <c r="A317" s="14" t="n">
        <v>317</v>
      </c>
      <c r="B317" s="211">
        <f>IFERROR(IF([2]对账明细接口!$B$317=0,"",[2]对账明细接口!$B$317),"")</f>
      </c>
      <c r="C317" s="16">
        <f>IFERROR(IF([2]对账明细接口!$C$317=0,"",[2]对账明细接口!$C$317),"")</f>
      </c>
      <c r="D317" s="16">
        <f>IFERROR(IF([2]对账明细接口!$D$317=0,"",[2]对账明细接口!$D$317),"")</f>
      </c>
      <c r="E317" s="16">
        <f>IFERROR(IF([2]对账明细接口!$E$317=0,"",[2]对账明细接口!$E$317),"")</f>
      </c>
      <c r="F317" s="16">
        <f>IFERROR(IF([2]对账明细接口!$F$317=0,"",[2]对账明细接口!$F$317),"")</f>
      </c>
      <c r="G317" s="16">
        <f>IFERROR(IF([2]对账明细接口!$G$317=0,"",[2]对账明细接口!$G$317),"")</f>
      </c>
      <c r="H317" s="176">
        <f>IFERROR(IF([2]对账明细接口!$H$317=0,"",[2]对账明细接口!$H$317),"")</f>
      </c>
      <c r="I317" s="16">
        <f>IFERROR(IF([2]对账明细接口!$I$317=0,"",[2]对账明细接口!$I$317),"")</f>
      </c>
      <c r="J317" s="177">
        <f>IFERROR(IF([2]对账明细接口!$J$317=0,"",[2]对账明细接口!$J$317),"")</f>
      </c>
      <c r="K317" s="177">
        <f>IFERROR(IF([2]对账明细接口!$K$317=0,"",[2]对账明细接口!$K$317),"")</f>
      </c>
      <c r="L317" s="16">
        <f>IFERROR(IF([2]对账明细接口!$L$317=0,"",[2]对账明细接口!$L$317),"")</f>
      </c>
      <c r="M317" s="16">
        <f>IFERROR(IF([2]对账明细接口!$M$317=0,"",[2]对账明细接口!$M$317),"")</f>
      </c>
      <c r="N317" s="19">
        <f>IF($C317="",0,1)</f>
        <v>0</v>
      </c>
      <c r="O317" s="19">
        <f>N(O316)+$N317</f>
        <v>272</v>
      </c>
      <c r="S317" s="20">
        <f>IFERROR(IF([2]对账明细接口!$N317=0,"",[2]对账明细接口!$N317),"")</f>
      </c>
      <c r="T317" s="212">
        <f>IFERROR(IF([2]对账明细接口!$O317=0,"",[2]对账明细接口!$O317),"")</f>
      </c>
      <c r="U317" s="212">
        <f>IFERROR(IF([2]对账明细接口!$P317=0,"",[2]对账明细接口!$P317),"")</f>
      </c>
      <c r="V317" s="212">
        <f>IFERROR(IF([2]对账明细接口!$Q317=0,"",[2]对账明细接口!$Q317),"")</f>
      </c>
      <c r="W317" s="20">
        <f>IFERROR(IF([2]对账明细接口!$R317=0,"",[2]对账明细接口!$R317),"")</f>
      </c>
      <c r="X317" s="20">
        <f>IFERROR(IF([2]对账明细接口!$S317=0,"",[2]对账明细接口!$S317),"")</f>
      </c>
      <c r="Y317" s="20">
        <f>""</f>
      </c>
      <c r="Z317" s="20">
        <f>""</f>
      </c>
      <c r="AA317" s="20">
        <f>""</f>
      </c>
      <c r="AB317" s="20">
        <f>""</f>
      </c>
    </row>
    <row r="318" s="127">
      <c r="A318" s="14" t="n">
        <v>318</v>
      </c>
      <c r="B318" s="211">
        <f>IFERROR(IF([2]对账明细接口!$B$318=0,"",[2]对账明细接口!$B$318),"")</f>
      </c>
      <c r="C318" s="16">
        <f>IFERROR(IF([2]对账明细接口!$C$318=0,"",[2]对账明细接口!$C$318),"")</f>
      </c>
      <c r="D318" s="16">
        <f>IFERROR(IF([2]对账明细接口!$D$318=0,"",[2]对账明细接口!$D$318),"")</f>
      </c>
      <c r="E318" s="16">
        <f>IFERROR(IF([2]对账明细接口!$E$318=0,"",[2]对账明细接口!$E$318),"")</f>
      </c>
      <c r="F318" s="16">
        <f>IFERROR(IF([2]对账明细接口!$F$318=0,"",[2]对账明细接口!$F$318),"")</f>
      </c>
      <c r="G318" s="16">
        <f>IFERROR(IF([2]对账明细接口!$G$318=0,"",[2]对账明细接口!$G$318),"")</f>
      </c>
      <c r="H318" s="176">
        <f>IFERROR(IF([2]对账明细接口!$H$318=0,"",[2]对账明细接口!$H$318),"")</f>
      </c>
      <c r="I318" s="16">
        <f>IFERROR(IF([2]对账明细接口!$I$318=0,"",[2]对账明细接口!$I$318),"")</f>
      </c>
      <c r="J318" s="177">
        <f>IFERROR(IF([2]对账明细接口!$J$318=0,"",[2]对账明细接口!$J$318),"")</f>
      </c>
      <c r="K318" s="177">
        <f>IFERROR(IF([2]对账明细接口!$K$318=0,"",[2]对账明细接口!$K$318),"")</f>
      </c>
      <c r="L318" s="16">
        <f>IFERROR(IF([2]对账明细接口!$L$318=0,"",[2]对账明细接口!$L$318),"")</f>
      </c>
      <c r="M318" s="16">
        <f>IFERROR(IF([2]对账明细接口!$M$318=0,"",[2]对账明细接口!$M$318),"")</f>
      </c>
      <c r="N318" s="19">
        <f>IF($C318="",0,1)</f>
        <v>0</v>
      </c>
      <c r="O318" s="19">
        <f>N(O317)+$N318</f>
        <v>272</v>
      </c>
      <c r="S318" s="20">
        <f>IFERROR(IF([2]对账明细接口!$N318=0,"",[2]对账明细接口!$N318),"")</f>
      </c>
      <c r="T318" s="212">
        <f>IFERROR(IF([2]对账明细接口!$O318=0,"",[2]对账明细接口!$O318),"")</f>
      </c>
      <c r="U318" s="212">
        <f>IFERROR(IF([2]对账明细接口!$P318=0,"",[2]对账明细接口!$P318),"")</f>
      </c>
      <c r="V318" s="212">
        <f>IFERROR(IF([2]对账明细接口!$Q318=0,"",[2]对账明细接口!$Q318),"")</f>
      </c>
      <c r="W318" s="20">
        <f>IFERROR(IF([2]对账明细接口!$R318=0,"",[2]对账明细接口!$R318),"")</f>
      </c>
      <c r="X318" s="20">
        <f>IFERROR(IF([2]对账明细接口!$S318=0,"",[2]对账明细接口!$S318),"")</f>
      </c>
      <c r="Y318" s="20">
        <f>""</f>
      </c>
      <c r="Z318" s="20">
        <f>""</f>
      </c>
      <c r="AA318" s="20">
        <f>""</f>
      </c>
      <c r="AB318" s="20">
        <f>""</f>
      </c>
    </row>
    <row r="319" s="127">
      <c r="A319" s="14" t="n">
        <v>319</v>
      </c>
      <c r="B319" s="211">
        <f>IFERROR(IF([2]对账明细接口!$B$319=0,"",[2]对账明细接口!$B$319),"")</f>
      </c>
      <c r="C319" s="16">
        <f>IFERROR(IF([2]对账明细接口!$C$319=0,"",[2]对账明细接口!$C$319),"")</f>
      </c>
      <c r="D319" s="16">
        <f>IFERROR(IF([2]对账明细接口!$D$319=0,"",[2]对账明细接口!$D$319),"")</f>
      </c>
      <c r="E319" s="16">
        <f>IFERROR(IF([2]对账明细接口!$E$319=0,"",[2]对账明细接口!$E$319),"")</f>
      </c>
      <c r="F319" s="16">
        <f>IFERROR(IF([2]对账明细接口!$F$319=0,"",[2]对账明细接口!$F$319),"")</f>
      </c>
      <c r="G319" s="16">
        <f>IFERROR(IF([2]对账明细接口!$G$319=0,"",[2]对账明细接口!$G$319),"")</f>
      </c>
      <c r="H319" s="176">
        <f>IFERROR(IF([2]对账明细接口!$H$319=0,"",[2]对账明细接口!$H$319),"")</f>
      </c>
      <c r="I319" s="16">
        <f>IFERROR(IF([2]对账明细接口!$I$319=0,"",[2]对账明细接口!$I$319),"")</f>
      </c>
      <c r="J319" s="177">
        <f>IFERROR(IF([2]对账明细接口!$J$319=0,"",[2]对账明细接口!$J$319),"")</f>
      </c>
      <c r="K319" s="177">
        <f>IFERROR(IF([2]对账明细接口!$K$319=0,"",[2]对账明细接口!$K$319),"")</f>
      </c>
      <c r="L319" s="16">
        <f>IFERROR(IF([2]对账明细接口!$L$319=0,"",[2]对账明细接口!$L$319),"")</f>
      </c>
      <c r="M319" s="16">
        <f>IFERROR(IF([2]对账明细接口!$M$319=0,"",[2]对账明细接口!$M$319),"")</f>
      </c>
      <c r="N319" s="19">
        <f>IF($C319="",0,1)</f>
        <v>0</v>
      </c>
      <c r="O319" s="19">
        <f>N(O318)+$N319</f>
        <v>272</v>
      </c>
      <c r="S319" s="20">
        <f>IFERROR(IF([2]对账明细接口!$N319=0,"",[2]对账明细接口!$N319),"")</f>
      </c>
      <c r="T319" s="212">
        <f>IFERROR(IF([2]对账明细接口!$O319=0,"",[2]对账明细接口!$O319),"")</f>
      </c>
      <c r="U319" s="212">
        <f>IFERROR(IF([2]对账明细接口!$P319=0,"",[2]对账明细接口!$P319),"")</f>
      </c>
      <c r="V319" s="212">
        <f>IFERROR(IF([2]对账明细接口!$Q319=0,"",[2]对账明细接口!$Q319),"")</f>
      </c>
      <c r="W319" s="20">
        <f>IFERROR(IF([2]对账明细接口!$R319=0,"",[2]对账明细接口!$R319),"")</f>
      </c>
      <c r="X319" s="20">
        <f>IFERROR(IF([2]对账明细接口!$S319=0,"",[2]对账明细接口!$S319),"")</f>
      </c>
      <c r="Y319" s="20">
        <f>""</f>
      </c>
      <c r="Z319" s="20">
        <f>""</f>
      </c>
      <c r="AA319" s="20">
        <f>""</f>
      </c>
      <c r="AB319" s="20">
        <f>""</f>
      </c>
    </row>
    <row r="320" s="127">
      <c r="A320" s="14" t="n">
        <v>320</v>
      </c>
      <c r="B320" s="211">
        <f>IFERROR(IF([2]对账明细接口!$B$320=0,"",[2]对账明细接口!$B$320),"")</f>
      </c>
      <c r="C320" s="16">
        <f>IFERROR(IF([2]对账明细接口!$C$320=0,"",[2]对账明细接口!$C$320),"")</f>
      </c>
      <c r="D320" s="16">
        <f>IFERROR(IF([2]对账明细接口!$D$320=0,"",[2]对账明细接口!$D$320),"")</f>
      </c>
      <c r="E320" s="16">
        <f>IFERROR(IF([2]对账明细接口!$E$320=0,"",[2]对账明细接口!$E$320),"")</f>
      </c>
      <c r="F320" s="16">
        <f>IFERROR(IF([2]对账明细接口!$F$320=0,"",[2]对账明细接口!$F$320),"")</f>
      </c>
      <c r="G320" s="16">
        <f>IFERROR(IF([2]对账明细接口!$G$320=0,"",[2]对账明细接口!$G$320),"")</f>
      </c>
      <c r="H320" s="176">
        <f>IFERROR(IF([2]对账明细接口!$H$320=0,"",[2]对账明细接口!$H$320),"")</f>
      </c>
      <c r="I320" s="16">
        <f>IFERROR(IF([2]对账明细接口!$I$320=0,"",[2]对账明细接口!$I$320),"")</f>
      </c>
      <c r="J320" s="177">
        <f>IFERROR(IF([2]对账明细接口!$J$320=0,"",[2]对账明细接口!$J$320),"")</f>
      </c>
      <c r="K320" s="177">
        <f>IFERROR(IF([2]对账明细接口!$K$320=0,"",[2]对账明细接口!$K$320),"")</f>
      </c>
      <c r="L320" s="16">
        <f>IFERROR(IF([2]对账明细接口!$L$320=0,"",[2]对账明细接口!$L$320),"")</f>
      </c>
      <c r="M320" s="16">
        <f>IFERROR(IF([2]对账明细接口!$M$320=0,"",[2]对账明细接口!$M$320),"")</f>
      </c>
      <c r="N320" s="19">
        <f>IF($C320="",0,1)</f>
        <v>0</v>
      </c>
      <c r="O320" s="19">
        <f>N(O319)+$N320</f>
        <v>272</v>
      </c>
      <c r="S320" s="20">
        <f>IFERROR(IF([2]对账明细接口!$N320=0,"",[2]对账明细接口!$N320),"")</f>
      </c>
      <c r="T320" s="212">
        <f>IFERROR(IF([2]对账明细接口!$O320=0,"",[2]对账明细接口!$O320),"")</f>
      </c>
      <c r="U320" s="212">
        <f>IFERROR(IF([2]对账明细接口!$P320=0,"",[2]对账明细接口!$P320),"")</f>
      </c>
      <c r="V320" s="212">
        <f>IFERROR(IF([2]对账明细接口!$Q320=0,"",[2]对账明细接口!$Q320),"")</f>
      </c>
      <c r="W320" s="20">
        <f>IFERROR(IF([2]对账明细接口!$R320=0,"",[2]对账明细接口!$R320),"")</f>
      </c>
      <c r="X320" s="20">
        <f>IFERROR(IF([2]对账明细接口!$S320=0,"",[2]对账明细接口!$S320),"")</f>
      </c>
      <c r="Y320" s="20">
        <f>""</f>
      </c>
      <c r="Z320" s="20">
        <f>""</f>
      </c>
      <c r="AA320" s="20">
        <f>""</f>
      </c>
      <c r="AB320" s="20">
        <f>""</f>
      </c>
    </row>
    <row r="321" s="127">
      <c r="A321" s="14" t="n">
        <v>321</v>
      </c>
      <c r="B321" s="211">
        <f>IFERROR(IF([2]对账明细接口!$B$321=0,"",[2]对账明细接口!$B$321),"")</f>
      </c>
      <c r="C321" s="16">
        <f>IFERROR(IF([2]对账明细接口!$C$321=0,"",[2]对账明细接口!$C$321),"")</f>
      </c>
      <c r="D321" s="16">
        <f>IFERROR(IF([2]对账明细接口!$D$321=0,"",[2]对账明细接口!$D$321),"")</f>
      </c>
      <c r="E321" s="16">
        <f>IFERROR(IF([2]对账明细接口!$E$321=0,"",[2]对账明细接口!$E$321),"")</f>
      </c>
      <c r="F321" s="16">
        <f>IFERROR(IF([2]对账明细接口!$F$321=0,"",[2]对账明细接口!$F$321),"")</f>
      </c>
      <c r="G321" s="16">
        <f>IFERROR(IF([2]对账明细接口!$G$321=0,"",[2]对账明细接口!$G$321),"")</f>
      </c>
      <c r="H321" s="176">
        <f>IFERROR(IF([2]对账明细接口!$H$321=0,"",[2]对账明细接口!$H$321),"")</f>
      </c>
      <c r="I321" s="16">
        <f>IFERROR(IF([2]对账明细接口!$I$321=0,"",[2]对账明细接口!$I$321),"")</f>
      </c>
      <c r="J321" s="177">
        <f>IFERROR(IF([2]对账明细接口!$J$321=0,"",[2]对账明细接口!$J$321),"")</f>
      </c>
      <c r="K321" s="177">
        <f>IFERROR(IF([2]对账明细接口!$K$321=0,"",[2]对账明细接口!$K$321),"")</f>
      </c>
      <c r="L321" s="16">
        <f>IFERROR(IF([2]对账明细接口!$L$321=0,"",[2]对账明细接口!$L$321),"")</f>
      </c>
      <c r="M321" s="16">
        <f>IFERROR(IF([2]对账明细接口!$M$321=0,"",[2]对账明细接口!$M$321),"")</f>
      </c>
      <c r="N321" s="19">
        <f>IF($C321="",0,1)</f>
        <v>0</v>
      </c>
      <c r="O321" s="19">
        <f>N(O320)+$N321</f>
        <v>272</v>
      </c>
      <c r="S321" s="20">
        <f>IFERROR(IF([2]对账明细接口!$N321=0,"",[2]对账明细接口!$N321),"")</f>
      </c>
      <c r="T321" s="212">
        <f>IFERROR(IF([2]对账明细接口!$O321=0,"",[2]对账明细接口!$O321),"")</f>
      </c>
      <c r="U321" s="212">
        <f>IFERROR(IF([2]对账明细接口!$P321=0,"",[2]对账明细接口!$P321),"")</f>
      </c>
      <c r="V321" s="212">
        <f>IFERROR(IF([2]对账明细接口!$Q321=0,"",[2]对账明细接口!$Q321),"")</f>
      </c>
      <c r="W321" s="20">
        <f>IFERROR(IF([2]对账明细接口!$R321=0,"",[2]对账明细接口!$R321),"")</f>
      </c>
      <c r="X321" s="20">
        <f>IFERROR(IF([2]对账明细接口!$S321=0,"",[2]对账明细接口!$S321),"")</f>
      </c>
      <c r="Y321" s="20">
        <f>""</f>
      </c>
      <c r="Z321" s="20">
        <f>""</f>
      </c>
      <c r="AA321" s="20">
        <f>""</f>
      </c>
      <c r="AB321" s="20">
        <f>""</f>
      </c>
    </row>
    <row r="322" s="127">
      <c r="A322" s="14" t="n">
        <v>322</v>
      </c>
      <c r="B322" s="211">
        <f>IFERROR(IF([2]对账明细接口!$B$322=0,"",[2]对账明细接口!$B$322),"")</f>
      </c>
      <c r="C322" s="16">
        <f>IFERROR(IF([2]对账明细接口!$C$322=0,"",[2]对账明细接口!$C$322),"")</f>
      </c>
      <c r="D322" s="16">
        <f>IFERROR(IF([2]对账明细接口!$D$322=0,"",[2]对账明细接口!$D$322),"")</f>
      </c>
      <c r="E322" s="16">
        <f>IFERROR(IF([2]对账明细接口!$E$322=0,"",[2]对账明细接口!$E$322),"")</f>
      </c>
      <c r="F322" s="16">
        <f>IFERROR(IF([2]对账明细接口!$F$322=0,"",[2]对账明细接口!$F$322),"")</f>
      </c>
      <c r="G322" s="16">
        <f>IFERROR(IF([2]对账明细接口!$G$322=0,"",[2]对账明细接口!$G$322),"")</f>
      </c>
      <c r="H322" s="176">
        <f>IFERROR(IF([2]对账明细接口!$H$322=0,"",[2]对账明细接口!$H$322),"")</f>
      </c>
      <c r="I322" s="16">
        <f>IFERROR(IF([2]对账明细接口!$I$322=0,"",[2]对账明细接口!$I$322),"")</f>
      </c>
      <c r="J322" s="177">
        <f>IFERROR(IF([2]对账明细接口!$J$322=0,"",[2]对账明细接口!$J$322),"")</f>
      </c>
      <c r="K322" s="177">
        <f>IFERROR(IF([2]对账明细接口!$K$322=0,"",[2]对账明细接口!$K$322),"")</f>
      </c>
      <c r="L322" s="16">
        <f>IFERROR(IF([2]对账明细接口!$L$322=0,"",[2]对账明细接口!$L$322),"")</f>
      </c>
      <c r="M322" s="16">
        <f>IFERROR(IF([2]对账明细接口!$M$322=0,"",[2]对账明细接口!$M$322),"")</f>
      </c>
      <c r="N322" s="19">
        <f>IF($C322="",0,1)</f>
        <v>0</v>
      </c>
      <c r="O322" s="19">
        <f>N(O321)+$N322</f>
        <v>272</v>
      </c>
      <c r="S322" s="20">
        <f>IFERROR(IF([2]对账明细接口!$N322=0,"",[2]对账明细接口!$N322),"")</f>
      </c>
      <c r="T322" s="212">
        <f>IFERROR(IF([2]对账明细接口!$O322=0,"",[2]对账明细接口!$O322),"")</f>
      </c>
      <c r="U322" s="212">
        <f>IFERROR(IF([2]对账明细接口!$P322=0,"",[2]对账明细接口!$P322),"")</f>
      </c>
      <c r="V322" s="212">
        <f>IFERROR(IF([2]对账明细接口!$Q322=0,"",[2]对账明细接口!$Q322),"")</f>
      </c>
      <c r="W322" s="20">
        <f>IFERROR(IF([2]对账明细接口!$R322=0,"",[2]对账明细接口!$R322),"")</f>
      </c>
      <c r="X322" s="20">
        <f>IFERROR(IF([2]对账明细接口!$S322=0,"",[2]对账明细接口!$S322),"")</f>
      </c>
      <c r="Y322" s="20">
        <f>""</f>
      </c>
      <c r="Z322" s="20">
        <f>""</f>
      </c>
      <c r="AA322" s="20">
        <f>""</f>
      </c>
      <c r="AB322" s="20">
        <f>""</f>
      </c>
    </row>
    <row r="323" s="127">
      <c r="A323" s="14" t="n">
        <v>323</v>
      </c>
      <c r="B323" s="211">
        <f>IFERROR(IF([2]对账明细接口!$B$323=0,"",[2]对账明细接口!$B$323),"")</f>
      </c>
      <c r="C323" s="16">
        <f>IFERROR(IF([2]对账明细接口!$C$323=0,"",[2]对账明细接口!$C$323),"")</f>
      </c>
      <c r="D323" s="16">
        <f>IFERROR(IF([2]对账明细接口!$D$323=0,"",[2]对账明细接口!$D$323),"")</f>
      </c>
      <c r="E323" s="16">
        <f>IFERROR(IF([2]对账明细接口!$E$323=0,"",[2]对账明细接口!$E$323),"")</f>
      </c>
      <c r="F323" s="16">
        <f>IFERROR(IF([2]对账明细接口!$F$323=0,"",[2]对账明细接口!$F$323),"")</f>
      </c>
      <c r="G323" s="16">
        <f>IFERROR(IF([2]对账明细接口!$G$323=0,"",[2]对账明细接口!$G$323),"")</f>
      </c>
      <c r="H323" s="176">
        <f>IFERROR(IF([2]对账明细接口!$H$323=0,"",[2]对账明细接口!$H$323),"")</f>
      </c>
      <c r="I323" s="16">
        <f>IFERROR(IF([2]对账明细接口!$I$323=0,"",[2]对账明细接口!$I$323),"")</f>
      </c>
      <c r="J323" s="177">
        <f>IFERROR(IF([2]对账明细接口!$J$323=0,"",[2]对账明细接口!$J$323),"")</f>
      </c>
      <c r="K323" s="177">
        <f>IFERROR(IF([2]对账明细接口!$K$323=0,"",[2]对账明细接口!$K$323),"")</f>
      </c>
      <c r="L323" s="16">
        <f>IFERROR(IF([2]对账明细接口!$L$323=0,"",[2]对账明细接口!$L$323),"")</f>
      </c>
      <c r="M323" s="16">
        <f>IFERROR(IF([2]对账明细接口!$M$323=0,"",[2]对账明细接口!$M$323),"")</f>
      </c>
      <c r="N323" s="19">
        <f>IF($C323="",0,1)</f>
        <v>0</v>
      </c>
      <c r="O323" s="19">
        <f>N(O322)+$N323</f>
        <v>272</v>
      </c>
      <c r="S323" s="20">
        <f>IFERROR(IF([2]对账明细接口!$N323=0,"",[2]对账明细接口!$N323),"")</f>
      </c>
      <c r="T323" s="212">
        <f>IFERROR(IF([2]对账明细接口!$O323=0,"",[2]对账明细接口!$O323),"")</f>
      </c>
      <c r="U323" s="212">
        <f>IFERROR(IF([2]对账明细接口!$P323=0,"",[2]对账明细接口!$P323),"")</f>
      </c>
      <c r="V323" s="212">
        <f>IFERROR(IF([2]对账明细接口!$Q323=0,"",[2]对账明细接口!$Q323),"")</f>
      </c>
      <c r="W323" s="20">
        <f>IFERROR(IF([2]对账明细接口!$R323=0,"",[2]对账明细接口!$R323),"")</f>
      </c>
      <c r="X323" s="20">
        <f>IFERROR(IF([2]对账明细接口!$S323=0,"",[2]对账明细接口!$S323),"")</f>
      </c>
      <c r="Y323" s="20">
        <f>""</f>
      </c>
      <c r="Z323" s="20">
        <f>""</f>
      </c>
      <c r="AA323" s="20">
        <f>""</f>
      </c>
      <c r="AB323" s="20">
        <f>""</f>
      </c>
    </row>
    <row r="324" s="127">
      <c r="A324" s="14" t="n">
        <v>324</v>
      </c>
      <c r="B324" s="211">
        <f>IFERROR(IF([2]对账明细接口!$B$324=0,"",[2]对账明细接口!$B$324),"")</f>
      </c>
      <c r="C324" s="16">
        <f>IFERROR(IF([2]对账明细接口!$C$324=0,"",[2]对账明细接口!$C$324),"")</f>
      </c>
      <c r="D324" s="16">
        <f>IFERROR(IF([2]对账明细接口!$D$324=0,"",[2]对账明细接口!$D$324),"")</f>
      </c>
      <c r="E324" s="16">
        <f>IFERROR(IF([2]对账明细接口!$E$324=0,"",[2]对账明细接口!$E$324),"")</f>
      </c>
      <c r="F324" s="16">
        <f>IFERROR(IF([2]对账明细接口!$F$324=0,"",[2]对账明细接口!$F$324),"")</f>
      </c>
      <c r="G324" s="16">
        <f>IFERROR(IF([2]对账明细接口!$G$324=0,"",[2]对账明细接口!$G$324),"")</f>
      </c>
      <c r="H324" s="176">
        <f>IFERROR(IF([2]对账明细接口!$H$324=0,"",[2]对账明细接口!$H$324),"")</f>
      </c>
      <c r="I324" s="16">
        <f>IFERROR(IF([2]对账明细接口!$I$324=0,"",[2]对账明细接口!$I$324),"")</f>
      </c>
      <c r="J324" s="177">
        <f>IFERROR(IF([2]对账明细接口!$J$324=0,"",[2]对账明细接口!$J$324),"")</f>
      </c>
      <c r="K324" s="177">
        <f>IFERROR(IF([2]对账明细接口!$K$324=0,"",[2]对账明细接口!$K$324),"")</f>
      </c>
      <c r="L324" s="16">
        <f>IFERROR(IF([2]对账明细接口!$L$324=0,"",[2]对账明细接口!$L$324),"")</f>
      </c>
      <c r="M324" s="16">
        <f>IFERROR(IF([2]对账明细接口!$M$324=0,"",[2]对账明细接口!$M$324),"")</f>
      </c>
      <c r="N324" s="19">
        <f>IF($C324="",0,1)</f>
        <v>0</v>
      </c>
      <c r="O324" s="19">
        <f>N(O323)+$N324</f>
        <v>272</v>
      </c>
      <c r="S324" s="20">
        <f>IFERROR(IF([2]对账明细接口!$N324=0,"",[2]对账明细接口!$N324),"")</f>
      </c>
      <c r="T324" s="212">
        <f>IFERROR(IF([2]对账明细接口!$O324=0,"",[2]对账明细接口!$O324),"")</f>
      </c>
      <c r="U324" s="212">
        <f>IFERROR(IF([2]对账明细接口!$P324=0,"",[2]对账明细接口!$P324),"")</f>
      </c>
      <c r="V324" s="212">
        <f>IFERROR(IF([2]对账明细接口!$Q324=0,"",[2]对账明细接口!$Q324),"")</f>
      </c>
      <c r="W324" s="20">
        <f>IFERROR(IF([2]对账明细接口!$R324=0,"",[2]对账明细接口!$R324),"")</f>
      </c>
      <c r="X324" s="20">
        <f>IFERROR(IF([2]对账明细接口!$S324=0,"",[2]对账明细接口!$S324),"")</f>
      </c>
      <c r="Y324" s="20">
        <f>""</f>
      </c>
      <c r="Z324" s="20">
        <f>""</f>
      </c>
      <c r="AA324" s="20">
        <f>""</f>
      </c>
      <c r="AB324" s="20">
        <f>""</f>
      </c>
    </row>
    <row r="325" s="127">
      <c r="A325" s="14" t="n">
        <v>325</v>
      </c>
      <c r="B325" s="211">
        <f>IFERROR(IF([2]对账明细接口!$B$325=0,"",[2]对账明细接口!$B$325),"")</f>
      </c>
      <c r="C325" s="16">
        <f>IFERROR(IF([2]对账明细接口!$C$325=0,"",[2]对账明细接口!$C$325),"")</f>
      </c>
      <c r="D325" s="16">
        <f>IFERROR(IF([2]对账明细接口!$D$325=0,"",[2]对账明细接口!$D$325),"")</f>
      </c>
      <c r="E325" s="16">
        <f>IFERROR(IF([2]对账明细接口!$E$325=0,"",[2]对账明细接口!$E$325),"")</f>
      </c>
      <c r="F325" s="16">
        <f>IFERROR(IF([2]对账明细接口!$F$325=0,"",[2]对账明细接口!$F$325),"")</f>
      </c>
      <c r="G325" s="16">
        <f>IFERROR(IF([2]对账明细接口!$G$325=0,"",[2]对账明细接口!$G$325),"")</f>
      </c>
      <c r="H325" s="176">
        <f>IFERROR(IF([2]对账明细接口!$H$325=0,"",[2]对账明细接口!$H$325),"")</f>
      </c>
      <c r="I325" s="16">
        <f>IFERROR(IF([2]对账明细接口!$I$325=0,"",[2]对账明细接口!$I$325),"")</f>
      </c>
      <c r="J325" s="177">
        <f>IFERROR(IF([2]对账明细接口!$J$325=0,"",[2]对账明细接口!$J$325),"")</f>
      </c>
      <c r="K325" s="177">
        <f>IFERROR(IF([2]对账明细接口!$K$325=0,"",[2]对账明细接口!$K$325),"")</f>
      </c>
      <c r="L325" s="16">
        <f>IFERROR(IF([2]对账明细接口!$L$325=0,"",[2]对账明细接口!$L$325),"")</f>
      </c>
      <c r="M325" s="16">
        <f>IFERROR(IF([2]对账明细接口!$M$325=0,"",[2]对账明细接口!$M$325),"")</f>
      </c>
      <c r="N325" s="19">
        <f>IF($C325="",0,1)</f>
        <v>0</v>
      </c>
      <c r="O325" s="19">
        <f>N(O324)+$N325</f>
        <v>272</v>
      </c>
      <c r="S325" s="20">
        <f>IFERROR(IF([2]对账明细接口!$N325=0,"",[2]对账明细接口!$N325),"")</f>
      </c>
      <c r="T325" s="212">
        <f>IFERROR(IF([2]对账明细接口!$O325=0,"",[2]对账明细接口!$O325),"")</f>
      </c>
      <c r="U325" s="212">
        <f>IFERROR(IF([2]对账明细接口!$P325=0,"",[2]对账明细接口!$P325),"")</f>
      </c>
      <c r="V325" s="212">
        <f>IFERROR(IF([2]对账明细接口!$Q325=0,"",[2]对账明细接口!$Q325),"")</f>
      </c>
      <c r="W325" s="20">
        <f>IFERROR(IF([2]对账明细接口!$R325=0,"",[2]对账明细接口!$R325),"")</f>
      </c>
      <c r="X325" s="20">
        <f>IFERROR(IF([2]对账明细接口!$S325=0,"",[2]对账明细接口!$S325),"")</f>
      </c>
      <c r="Y325" s="20">
        <f>""</f>
      </c>
      <c r="Z325" s="20">
        <f>""</f>
      </c>
      <c r="AA325" s="20">
        <f>""</f>
      </c>
      <c r="AB325" s="20">
        <f>""</f>
      </c>
    </row>
    <row r="326" s="127">
      <c r="A326" s="14" t="n">
        <v>326</v>
      </c>
      <c r="B326" s="211">
        <f>IFERROR(IF([2]对账明细接口!$B$326=0,"",[2]对账明细接口!$B$326),"")</f>
      </c>
      <c r="C326" s="16">
        <f>IFERROR(IF([2]对账明细接口!$C$326=0,"",[2]对账明细接口!$C$326),"")</f>
      </c>
      <c r="D326" s="16">
        <f>IFERROR(IF([2]对账明细接口!$D$326=0,"",[2]对账明细接口!$D$326),"")</f>
      </c>
      <c r="E326" s="16">
        <f>IFERROR(IF([2]对账明细接口!$E$326=0,"",[2]对账明细接口!$E$326),"")</f>
      </c>
      <c r="F326" s="16">
        <f>IFERROR(IF([2]对账明细接口!$F$326=0,"",[2]对账明细接口!$F$326),"")</f>
      </c>
      <c r="G326" s="16">
        <f>IFERROR(IF([2]对账明细接口!$G$326=0,"",[2]对账明细接口!$G$326),"")</f>
      </c>
      <c r="H326" s="176">
        <f>IFERROR(IF([2]对账明细接口!$H$326=0,"",[2]对账明细接口!$H$326),"")</f>
      </c>
      <c r="I326" s="16">
        <f>IFERROR(IF([2]对账明细接口!$I$326=0,"",[2]对账明细接口!$I$326),"")</f>
      </c>
      <c r="J326" s="177">
        <f>IFERROR(IF([2]对账明细接口!$J$326=0,"",[2]对账明细接口!$J$326),"")</f>
      </c>
      <c r="K326" s="177">
        <f>IFERROR(IF([2]对账明细接口!$K$326=0,"",[2]对账明细接口!$K$326),"")</f>
      </c>
      <c r="L326" s="16">
        <f>IFERROR(IF([2]对账明细接口!$L$326=0,"",[2]对账明细接口!$L$326),"")</f>
      </c>
      <c r="M326" s="16">
        <f>IFERROR(IF([2]对账明细接口!$M$326=0,"",[2]对账明细接口!$M$326),"")</f>
      </c>
      <c r="N326" s="19">
        <f>IF($C326="",0,1)</f>
        <v>0</v>
      </c>
      <c r="O326" s="19">
        <f>N(O325)+$N326</f>
        <v>272</v>
      </c>
      <c r="S326" s="20">
        <f>IFERROR(IF([2]对账明细接口!$N326=0,"",[2]对账明细接口!$N326),"")</f>
      </c>
      <c r="T326" s="212">
        <f>IFERROR(IF([2]对账明细接口!$O326=0,"",[2]对账明细接口!$O326),"")</f>
      </c>
      <c r="U326" s="212">
        <f>IFERROR(IF([2]对账明细接口!$P326=0,"",[2]对账明细接口!$P326),"")</f>
      </c>
      <c r="V326" s="212">
        <f>IFERROR(IF([2]对账明细接口!$Q326=0,"",[2]对账明细接口!$Q326),"")</f>
      </c>
      <c r="W326" s="20">
        <f>IFERROR(IF([2]对账明细接口!$R326=0,"",[2]对账明细接口!$R326),"")</f>
      </c>
      <c r="X326" s="20">
        <f>IFERROR(IF([2]对账明细接口!$S326=0,"",[2]对账明细接口!$S326),"")</f>
      </c>
      <c r="Y326" s="20">
        <f>""</f>
      </c>
      <c r="Z326" s="20">
        <f>""</f>
      </c>
      <c r="AA326" s="20">
        <f>""</f>
      </c>
      <c r="AB326" s="20">
        <f>""</f>
      </c>
    </row>
    <row r="327" s="127">
      <c r="A327" s="14" t="n">
        <v>327</v>
      </c>
      <c r="B327" s="211">
        <f>IFERROR(IF([2]对账明细接口!$B$327=0,"",[2]对账明细接口!$B$327),"")</f>
      </c>
      <c r="C327" s="16">
        <f>IFERROR(IF([2]对账明细接口!$C$327=0,"",[2]对账明细接口!$C$327),"")</f>
      </c>
      <c r="D327" s="16">
        <f>IFERROR(IF([2]对账明细接口!$D$327=0,"",[2]对账明细接口!$D$327),"")</f>
      </c>
      <c r="E327" s="16">
        <f>IFERROR(IF([2]对账明细接口!$E$327=0,"",[2]对账明细接口!$E$327),"")</f>
      </c>
      <c r="F327" s="16">
        <f>IFERROR(IF([2]对账明细接口!$F$327=0,"",[2]对账明细接口!$F$327),"")</f>
      </c>
      <c r="G327" s="16">
        <f>IFERROR(IF([2]对账明细接口!$G$327=0,"",[2]对账明细接口!$G$327),"")</f>
      </c>
      <c r="H327" s="176">
        <f>IFERROR(IF([2]对账明细接口!$H$327=0,"",[2]对账明细接口!$H$327),"")</f>
      </c>
      <c r="I327" s="16">
        <f>IFERROR(IF([2]对账明细接口!$I$327=0,"",[2]对账明细接口!$I$327),"")</f>
      </c>
      <c r="J327" s="177">
        <f>IFERROR(IF([2]对账明细接口!$J$327=0,"",[2]对账明细接口!$J$327),"")</f>
      </c>
      <c r="K327" s="177">
        <f>IFERROR(IF([2]对账明细接口!$K$327=0,"",[2]对账明细接口!$K$327),"")</f>
      </c>
      <c r="L327" s="16">
        <f>IFERROR(IF([2]对账明细接口!$L$327=0,"",[2]对账明细接口!$L$327),"")</f>
      </c>
      <c r="M327" s="16">
        <f>IFERROR(IF([2]对账明细接口!$M$327=0,"",[2]对账明细接口!$M$327),"")</f>
      </c>
      <c r="N327" s="19">
        <f>IF($C327="",0,1)</f>
        <v>0</v>
      </c>
      <c r="O327" s="19">
        <f>N(O326)+$N327</f>
        <v>272</v>
      </c>
      <c r="S327" s="20">
        <f>IFERROR(IF([2]对账明细接口!$N327=0,"",[2]对账明细接口!$N327),"")</f>
      </c>
      <c r="T327" s="212">
        <f>IFERROR(IF([2]对账明细接口!$O327=0,"",[2]对账明细接口!$O327),"")</f>
      </c>
      <c r="U327" s="212">
        <f>IFERROR(IF([2]对账明细接口!$P327=0,"",[2]对账明细接口!$P327),"")</f>
      </c>
      <c r="V327" s="212">
        <f>IFERROR(IF([2]对账明细接口!$Q327=0,"",[2]对账明细接口!$Q327),"")</f>
      </c>
      <c r="W327" s="20">
        <f>IFERROR(IF([2]对账明细接口!$R327=0,"",[2]对账明细接口!$R327),"")</f>
      </c>
      <c r="X327" s="20">
        <f>IFERROR(IF([2]对账明细接口!$S327=0,"",[2]对账明细接口!$S327),"")</f>
      </c>
      <c r="Y327" s="20">
        <f>""</f>
      </c>
      <c r="Z327" s="20">
        <f>""</f>
      </c>
      <c r="AA327" s="20">
        <f>""</f>
      </c>
      <c r="AB327" s="20">
        <f>""</f>
      </c>
    </row>
    <row r="328" s="127">
      <c r="A328" s="14" t="n">
        <v>328</v>
      </c>
      <c r="B328" s="211">
        <f>IFERROR(IF([2]对账明细接口!$B$328=0,"",[2]对账明细接口!$B$328),"")</f>
      </c>
      <c r="C328" s="16">
        <f>IFERROR(IF([2]对账明细接口!$C$328=0,"",[2]对账明细接口!$C$328),"")</f>
      </c>
      <c r="D328" s="16">
        <f>IFERROR(IF([2]对账明细接口!$D$328=0,"",[2]对账明细接口!$D$328),"")</f>
      </c>
      <c r="E328" s="16">
        <f>IFERROR(IF([2]对账明细接口!$E$328=0,"",[2]对账明细接口!$E$328),"")</f>
      </c>
      <c r="F328" s="16">
        <f>IFERROR(IF([2]对账明细接口!$F$328=0,"",[2]对账明细接口!$F$328),"")</f>
      </c>
      <c r="G328" s="16">
        <f>IFERROR(IF([2]对账明细接口!$G$328=0,"",[2]对账明细接口!$G$328),"")</f>
      </c>
      <c r="H328" s="176">
        <f>IFERROR(IF([2]对账明细接口!$H$328=0,"",[2]对账明细接口!$H$328),"")</f>
      </c>
      <c r="I328" s="16">
        <f>IFERROR(IF([2]对账明细接口!$I$328=0,"",[2]对账明细接口!$I$328),"")</f>
      </c>
      <c r="J328" s="177">
        <f>IFERROR(IF([2]对账明细接口!$J$328=0,"",[2]对账明细接口!$J$328),"")</f>
      </c>
      <c r="K328" s="177">
        <f>IFERROR(IF([2]对账明细接口!$K$328=0,"",[2]对账明细接口!$K$328),"")</f>
      </c>
      <c r="L328" s="16">
        <f>IFERROR(IF([2]对账明细接口!$L$328=0,"",[2]对账明细接口!$L$328),"")</f>
      </c>
      <c r="M328" s="16">
        <f>IFERROR(IF([2]对账明细接口!$M$328=0,"",[2]对账明细接口!$M$328),"")</f>
      </c>
      <c r="N328" s="19">
        <f>IF($C328="",0,1)</f>
        <v>0</v>
      </c>
      <c r="O328" s="19">
        <f>N(O327)+$N328</f>
        <v>272</v>
      </c>
      <c r="S328" s="20">
        <f>IFERROR(IF([2]对账明细接口!$N328=0,"",[2]对账明细接口!$N328),"")</f>
      </c>
      <c r="T328" s="212">
        <f>IFERROR(IF([2]对账明细接口!$O328=0,"",[2]对账明细接口!$O328),"")</f>
      </c>
      <c r="U328" s="212">
        <f>IFERROR(IF([2]对账明细接口!$P328=0,"",[2]对账明细接口!$P328),"")</f>
      </c>
      <c r="V328" s="212">
        <f>IFERROR(IF([2]对账明细接口!$Q328=0,"",[2]对账明细接口!$Q328),"")</f>
      </c>
      <c r="W328" s="20">
        <f>IFERROR(IF([2]对账明细接口!$R328=0,"",[2]对账明细接口!$R328),"")</f>
      </c>
      <c r="X328" s="20">
        <f>IFERROR(IF([2]对账明细接口!$S328=0,"",[2]对账明细接口!$S328),"")</f>
      </c>
      <c r="Y328" s="20">
        <f>""</f>
      </c>
      <c r="Z328" s="20">
        <f>""</f>
      </c>
      <c r="AA328" s="20">
        <f>""</f>
      </c>
      <c r="AB328" s="20">
        <f>""</f>
      </c>
    </row>
    <row r="329" s="127">
      <c r="A329" s="14" t="n">
        <v>329</v>
      </c>
      <c r="B329" s="211">
        <f>IFERROR(IF([2]对账明细接口!$B$329=0,"",[2]对账明细接口!$B$329),"")</f>
      </c>
      <c r="C329" s="16">
        <f>IFERROR(IF([2]对账明细接口!$C$329=0,"",[2]对账明细接口!$C$329),"")</f>
      </c>
      <c r="D329" s="16">
        <f>IFERROR(IF([2]对账明细接口!$D$329=0,"",[2]对账明细接口!$D$329),"")</f>
      </c>
      <c r="E329" s="16">
        <f>IFERROR(IF([2]对账明细接口!$E$329=0,"",[2]对账明细接口!$E$329),"")</f>
      </c>
      <c r="F329" s="16">
        <f>IFERROR(IF([2]对账明细接口!$F$329=0,"",[2]对账明细接口!$F$329),"")</f>
      </c>
      <c r="G329" s="16">
        <f>IFERROR(IF([2]对账明细接口!$G$329=0,"",[2]对账明细接口!$G$329),"")</f>
      </c>
      <c r="H329" s="176">
        <f>IFERROR(IF([2]对账明细接口!$H$329=0,"",[2]对账明细接口!$H$329),"")</f>
      </c>
      <c r="I329" s="16">
        <f>IFERROR(IF([2]对账明细接口!$I$329=0,"",[2]对账明细接口!$I$329),"")</f>
      </c>
      <c r="J329" s="177">
        <f>IFERROR(IF([2]对账明细接口!$J$329=0,"",[2]对账明细接口!$J$329),"")</f>
      </c>
      <c r="K329" s="177">
        <f>IFERROR(IF([2]对账明细接口!$K$329=0,"",[2]对账明细接口!$K$329),"")</f>
      </c>
      <c r="L329" s="16">
        <f>IFERROR(IF([2]对账明细接口!$L$329=0,"",[2]对账明细接口!$L$329),"")</f>
      </c>
      <c r="M329" s="16">
        <f>IFERROR(IF([2]对账明细接口!$M$329=0,"",[2]对账明细接口!$M$329),"")</f>
      </c>
      <c r="N329" s="19">
        <f>IF($C329="",0,1)</f>
        <v>0</v>
      </c>
      <c r="O329" s="19">
        <f>N(O328)+$N329</f>
        <v>272</v>
      </c>
      <c r="S329" s="20">
        <f>IFERROR(IF([2]对账明细接口!$N329=0,"",[2]对账明细接口!$N329),"")</f>
      </c>
      <c r="T329" s="212">
        <f>IFERROR(IF([2]对账明细接口!$O329=0,"",[2]对账明细接口!$O329),"")</f>
      </c>
      <c r="U329" s="212">
        <f>IFERROR(IF([2]对账明细接口!$P329=0,"",[2]对账明细接口!$P329),"")</f>
      </c>
      <c r="V329" s="212">
        <f>IFERROR(IF([2]对账明细接口!$Q329=0,"",[2]对账明细接口!$Q329),"")</f>
      </c>
      <c r="W329" s="20">
        <f>IFERROR(IF([2]对账明细接口!$R329=0,"",[2]对账明细接口!$R329),"")</f>
      </c>
      <c r="X329" s="20">
        <f>IFERROR(IF([2]对账明细接口!$S329=0,"",[2]对账明细接口!$S329),"")</f>
      </c>
      <c r="Y329" s="20">
        <f>""</f>
      </c>
      <c r="Z329" s="20">
        <f>""</f>
      </c>
      <c r="AA329" s="20">
        <f>""</f>
      </c>
      <c r="AB329" s="20">
        <f>""</f>
      </c>
    </row>
    <row r="330" s="127">
      <c r="A330" s="14" t="n">
        <v>330</v>
      </c>
      <c r="B330" s="211">
        <f>IFERROR(IF([2]对账明细接口!$B$330=0,"",[2]对账明细接口!$B$330),"")</f>
      </c>
      <c r="C330" s="16">
        <f>IFERROR(IF([2]对账明细接口!$C$330=0,"",[2]对账明细接口!$C$330),"")</f>
      </c>
      <c r="D330" s="16">
        <f>IFERROR(IF([2]对账明细接口!$D$330=0,"",[2]对账明细接口!$D$330),"")</f>
      </c>
      <c r="E330" s="16">
        <f>IFERROR(IF([2]对账明细接口!$E$330=0,"",[2]对账明细接口!$E$330),"")</f>
      </c>
      <c r="F330" s="16">
        <f>IFERROR(IF([2]对账明细接口!$F$330=0,"",[2]对账明细接口!$F$330),"")</f>
      </c>
      <c r="G330" s="16">
        <f>IFERROR(IF([2]对账明细接口!$G$330=0,"",[2]对账明细接口!$G$330),"")</f>
      </c>
      <c r="H330" s="176">
        <f>IFERROR(IF([2]对账明细接口!$H$330=0,"",[2]对账明细接口!$H$330),"")</f>
      </c>
      <c r="I330" s="16">
        <f>IFERROR(IF([2]对账明细接口!$I$330=0,"",[2]对账明细接口!$I$330),"")</f>
      </c>
      <c r="J330" s="177">
        <f>IFERROR(IF([2]对账明细接口!$J$330=0,"",[2]对账明细接口!$J$330),"")</f>
      </c>
      <c r="K330" s="177">
        <f>IFERROR(IF([2]对账明细接口!$K$330=0,"",[2]对账明细接口!$K$330),"")</f>
      </c>
      <c r="L330" s="16">
        <f>IFERROR(IF([2]对账明细接口!$L$330=0,"",[2]对账明细接口!$L$330),"")</f>
      </c>
      <c r="M330" s="16">
        <f>IFERROR(IF([2]对账明细接口!$M$330=0,"",[2]对账明细接口!$M$330),"")</f>
      </c>
      <c r="N330" s="19">
        <f>IF($C330="",0,1)</f>
        <v>0</v>
      </c>
      <c r="O330" s="19">
        <f>N(O329)+$N330</f>
        <v>272</v>
      </c>
      <c r="S330" s="20">
        <f>IFERROR(IF([2]对账明细接口!$N330=0,"",[2]对账明细接口!$N330),"")</f>
      </c>
      <c r="T330" s="212">
        <f>IFERROR(IF([2]对账明细接口!$O330=0,"",[2]对账明细接口!$O330),"")</f>
      </c>
      <c r="U330" s="212">
        <f>IFERROR(IF([2]对账明细接口!$P330=0,"",[2]对账明细接口!$P330),"")</f>
      </c>
      <c r="V330" s="212">
        <f>IFERROR(IF([2]对账明细接口!$Q330=0,"",[2]对账明细接口!$Q330),"")</f>
      </c>
      <c r="W330" s="20">
        <f>IFERROR(IF([2]对账明细接口!$R330=0,"",[2]对账明细接口!$R330),"")</f>
      </c>
      <c r="X330" s="20">
        <f>IFERROR(IF([2]对账明细接口!$S330=0,"",[2]对账明细接口!$S330),"")</f>
      </c>
      <c r="Y330" s="20">
        <f>""</f>
      </c>
      <c r="Z330" s="20">
        <f>""</f>
      </c>
      <c r="AA330" s="20">
        <f>""</f>
      </c>
      <c r="AB330" s="20">
        <f>""</f>
      </c>
    </row>
    <row r="331" s="127">
      <c r="A331" s="14" t="n">
        <v>331</v>
      </c>
      <c r="B331" s="211">
        <f>IFERROR(IF([2]对账明细接口!$B$331=0,"",[2]对账明细接口!$B$331),"")</f>
      </c>
      <c r="C331" s="16">
        <f>IFERROR(IF([2]对账明细接口!$C$331=0,"",[2]对账明细接口!$C$331),"")</f>
      </c>
      <c r="D331" s="16">
        <f>IFERROR(IF([2]对账明细接口!$D$331=0,"",[2]对账明细接口!$D$331),"")</f>
      </c>
      <c r="E331" s="16">
        <f>IFERROR(IF([2]对账明细接口!$E$331=0,"",[2]对账明细接口!$E$331),"")</f>
      </c>
      <c r="F331" s="16">
        <f>IFERROR(IF([2]对账明细接口!$F$331=0,"",[2]对账明细接口!$F$331),"")</f>
      </c>
      <c r="G331" s="16">
        <f>IFERROR(IF([2]对账明细接口!$G$331=0,"",[2]对账明细接口!$G$331),"")</f>
      </c>
      <c r="H331" s="176">
        <f>IFERROR(IF([2]对账明细接口!$H$331=0,"",[2]对账明细接口!$H$331),"")</f>
      </c>
      <c r="I331" s="16">
        <f>IFERROR(IF([2]对账明细接口!$I$331=0,"",[2]对账明细接口!$I$331),"")</f>
      </c>
      <c r="J331" s="177">
        <f>IFERROR(IF([2]对账明细接口!$J$331=0,"",[2]对账明细接口!$J$331),"")</f>
      </c>
      <c r="K331" s="177">
        <f>IFERROR(IF([2]对账明细接口!$K$331=0,"",[2]对账明细接口!$K$331),"")</f>
      </c>
      <c r="L331" s="16">
        <f>IFERROR(IF([2]对账明细接口!$L$331=0,"",[2]对账明细接口!$L$331),"")</f>
      </c>
      <c r="M331" s="16">
        <f>IFERROR(IF([2]对账明细接口!$M$331=0,"",[2]对账明细接口!$M$331),"")</f>
      </c>
      <c r="N331" s="19">
        <f>IF($C331="",0,1)</f>
        <v>0</v>
      </c>
      <c r="O331" s="19">
        <f>N(O330)+$N331</f>
        <v>272</v>
      </c>
      <c r="S331" s="20">
        <f>IFERROR(IF([2]对账明细接口!$N331=0,"",[2]对账明细接口!$N331),"")</f>
      </c>
      <c r="T331" s="212">
        <f>IFERROR(IF([2]对账明细接口!$O331=0,"",[2]对账明细接口!$O331),"")</f>
      </c>
      <c r="U331" s="212">
        <f>IFERROR(IF([2]对账明细接口!$P331=0,"",[2]对账明细接口!$P331),"")</f>
      </c>
      <c r="V331" s="212">
        <f>IFERROR(IF([2]对账明细接口!$Q331=0,"",[2]对账明细接口!$Q331),"")</f>
      </c>
      <c r="W331" s="20">
        <f>IFERROR(IF([2]对账明细接口!$R331=0,"",[2]对账明细接口!$R331),"")</f>
      </c>
      <c r="X331" s="20">
        <f>IFERROR(IF([2]对账明细接口!$S331=0,"",[2]对账明细接口!$S331),"")</f>
      </c>
      <c r="Y331" s="20">
        <f>""</f>
      </c>
      <c r="Z331" s="20">
        <f>""</f>
      </c>
      <c r="AA331" s="20">
        <f>""</f>
      </c>
      <c r="AB331" s="20">
        <f>""</f>
      </c>
    </row>
    <row r="332" s="127">
      <c r="A332" s="14" t="n">
        <v>332</v>
      </c>
      <c r="B332" s="211">
        <f>IFERROR(IF([2]对账明细接口!$B$332=0,"",[2]对账明细接口!$B$332),"")</f>
      </c>
      <c r="C332" s="16">
        <f>IFERROR(IF([2]对账明细接口!$C$332=0,"",[2]对账明细接口!$C$332),"")</f>
      </c>
      <c r="D332" s="16">
        <f>IFERROR(IF([2]对账明细接口!$D$332=0,"",[2]对账明细接口!$D$332),"")</f>
      </c>
      <c r="E332" s="16">
        <f>IFERROR(IF([2]对账明细接口!$E$332=0,"",[2]对账明细接口!$E$332),"")</f>
      </c>
      <c r="F332" s="16">
        <f>IFERROR(IF([2]对账明细接口!$F$332=0,"",[2]对账明细接口!$F$332),"")</f>
      </c>
      <c r="G332" s="16">
        <f>IFERROR(IF([2]对账明细接口!$G$332=0,"",[2]对账明细接口!$G$332),"")</f>
      </c>
      <c r="H332" s="176">
        <f>IFERROR(IF([2]对账明细接口!$H$332=0,"",[2]对账明细接口!$H$332),"")</f>
      </c>
      <c r="I332" s="16">
        <f>IFERROR(IF([2]对账明细接口!$I$332=0,"",[2]对账明细接口!$I$332),"")</f>
      </c>
      <c r="J332" s="177">
        <f>IFERROR(IF([2]对账明细接口!$J$332=0,"",[2]对账明细接口!$J$332),"")</f>
      </c>
      <c r="K332" s="177">
        <f>IFERROR(IF([2]对账明细接口!$K$332=0,"",[2]对账明细接口!$K$332),"")</f>
      </c>
      <c r="L332" s="16">
        <f>IFERROR(IF([2]对账明细接口!$L$332=0,"",[2]对账明细接口!$L$332),"")</f>
      </c>
      <c r="M332" s="16">
        <f>IFERROR(IF([2]对账明细接口!$M$332=0,"",[2]对账明细接口!$M$332),"")</f>
      </c>
      <c r="N332" s="19">
        <f>IF($C332="",0,1)</f>
        <v>0</v>
      </c>
      <c r="O332" s="19">
        <f>N(O331)+$N332</f>
        <v>272</v>
      </c>
      <c r="S332" s="20">
        <f>IFERROR(IF([2]对账明细接口!$N332=0,"",[2]对账明细接口!$N332),"")</f>
      </c>
      <c r="T332" s="212">
        <f>IFERROR(IF([2]对账明细接口!$O332=0,"",[2]对账明细接口!$O332),"")</f>
      </c>
      <c r="U332" s="212">
        <f>IFERROR(IF([2]对账明细接口!$P332=0,"",[2]对账明细接口!$P332),"")</f>
      </c>
      <c r="V332" s="212">
        <f>IFERROR(IF([2]对账明细接口!$Q332=0,"",[2]对账明细接口!$Q332),"")</f>
      </c>
      <c r="W332" s="20">
        <f>IFERROR(IF([2]对账明细接口!$R332=0,"",[2]对账明细接口!$R332),"")</f>
      </c>
      <c r="X332" s="20">
        <f>IFERROR(IF([2]对账明细接口!$S332=0,"",[2]对账明细接口!$S332),"")</f>
      </c>
      <c r="Y332" s="20">
        <f>""</f>
      </c>
      <c r="Z332" s="20">
        <f>""</f>
      </c>
      <c r="AA332" s="20">
        <f>""</f>
      </c>
      <c r="AB332" s="20">
        <f>""</f>
      </c>
    </row>
    <row r="333" s="127">
      <c r="A333" s="14" t="n">
        <v>333</v>
      </c>
      <c r="B333" s="211">
        <f>IFERROR(IF([2]对账明细接口!$B$333=0,"",[2]对账明细接口!$B$333),"")</f>
      </c>
      <c r="C333" s="16">
        <f>IFERROR(IF([2]对账明细接口!$C$333=0,"",[2]对账明细接口!$C$333),"")</f>
      </c>
      <c r="D333" s="16">
        <f>IFERROR(IF([2]对账明细接口!$D$333=0,"",[2]对账明细接口!$D$333),"")</f>
      </c>
      <c r="E333" s="16">
        <f>IFERROR(IF([2]对账明细接口!$E$333=0,"",[2]对账明细接口!$E$333),"")</f>
      </c>
      <c r="F333" s="16">
        <f>IFERROR(IF([2]对账明细接口!$F$333=0,"",[2]对账明细接口!$F$333),"")</f>
      </c>
      <c r="G333" s="16">
        <f>IFERROR(IF([2]对账明细接口!$G$333=0,"",[2]对账明细接口!$G$333),"")</f>
      </c>
      <c r="H333" s="176">
        <f>IFERROR(IF([2]对账明细接口!$H$333=0,"",[2]对账明细接口!$H$333),"")</f>
      </c>
      <c r="I333" s="16">
        <f>IFERROR(IF([2]对账明细接口!$I$333=0,"",[2]对账明细接口!$I$333),"")</f>
      </c>
      <c r="J333" s="177">
        <f>IFERROR(IF([2]对账明细接口!$J$333=0,"",[2]对账明细接口!$J$333),"")</f>
      </c>
      <c r="K333" s="177">
        <f>IFERROR(IF([2]对账明细接口!$K$333=0,"",[2]对账明细接口!$K$333),"")</f>
      </c>
      <c r="L333" s="16">
        <f>IFERROR(IF([2]对账明细接口!$L$333=0,"",[2]对账明细接口!$L$333),"")</f>
      </c>
      <c r="M333" s="16">
        <f>IFERROR(IF([2]对账明细接口!$M$333=0,"",[2]对账明细接口!$M$333),"")</f>
      </c>
      <c r="N333" s="19">
        <f>IF($C333="",0,1)</f>
        <v>0</v>
      </c>
      <c r="O333" s="19">
        <f>N(O332)+$N333</f>
        <v>272</v>
      </c>
      <c r="S333" s="20">
        <f>IFERROR(IF([2]对账明细接口!$N333=0,"",[2]对账明细接口!$N333),"")</f>
      </c>
      <c r="T333" s="212">
        <f>IFERROR(IF([2]对账明细接口!$O333=0,"",[2]对账明细接口!$O333),"")</f>
      </c>
      <c r="U333" s="212">
        <f>IFERROR(IF([2]对账明细接口!$P333=0,"",[2]对账明细接口!$P333),"")</f>
      </c>
      <c r="V333" s="212">
        <f>IFERROR(IF([2]对账明细接口!$Q333=0,"",[2]对账明细接口!$Q333),"")</f>
      </c>
      <c r="W333" s="20">
        <f>IFERROR(IF([2]对账明细接口!$R333=0,"",[2]对账明细接口!$R333),"")</f>
      </c>
      <c r="X333" s="20">
        <f>IFERROR(IF([2]对账明细接口!$S333=0,"",[2]对账明细接口!$S333),"")</f>
      </c>
      <c r="Y333" s="20">
        <f>""</f>
      </c>
      <c r="Z333" s="20">
        <f>""</f>
      </c>
      <c r="AA333" s="20">
        <f>""</f>
      </c>
      <c r="AB333" s="20">
        <f>""</f>
      </c>
    </row>
    <row r="334" s="127">
      <c r="A334" s="14" t="n">
        <v>334</v>
      </c>
      <c r="B334" s="211">
        <f>IFERROR(IF([2]对账明细接口!$B$334=0,"",[2]对账明细接口!$B$334),"")</f>
      </c>
      <c r="C334" s="16">
        <f>IFERROR(IF([2]对账明细接口!$C$334=0,"",[2]对账明细接口!$C$334),"")</f>
      </c>
      <c r="D334" s="16">
        <f>IFERROR(IF([2]对账明细接口!$D$334=0,"",[2]对账明细接口!$D$334),"")</f>
      </c>
      <c r="E334" s="16">
        <f>IFERROR(IF([2]对账明细接口!$E$334=0,"",[2]对账明细接口!$E$334),"")</f>
      </c>
      <c r="F334" s="16">
        <f>IFERROR(IF([2]对账明细接口!$F$334=0,"",[2]对账明细接口!$F$334),"")</f>
      </c>
      <c r="G334" s="16">
        <f>IFERROR(IF([2]对账明细接口!$G$334=0,"",[2]对账明细接口!$G$334),"")</f>
      </c>
      <c r="H334" s="176">
        <f>IFERROR(IF([2]对账明细接口!$H$334=0,"",[2]对账明细接口!$H$334),"")</f>
      </c>
      <c r="I334" s="16">
        <f>IFERROR(IF([2]对账明细接口!$I$334=0,"",[2]对账明细接口!$I$334),"")</f>
      </c>
      <c r="J334" s="177">
        <f>IFERROR(IF([2]对账明细接口!$J$334=0,"",[2]对账明细接口!$J$334),"")</f>
      </c>
      <c r="K334" s="177">
        <f>IFERROR(IF([2]对账明细接口!$K$334=0,"",[2]对账明细接口!$K$334),"")</f>
      </c>
      <c r="L334" s="16">
        <f>IFERROR(IF([2]对账明细接口!$L$334=0,"",[2]对账明细接口!$L$334),"")</f>
      </c>
      <c r="M334" s="16">
        <f>IFERROR(IF([2]对账明细接口!$M$334=0,"",[2]对账明细接口!$M$334),"")</f>
      </c>
      <c r="N334" s="19">
        <f>IF($C334="",0,1)</f>
        <v>0</v>
      </c>
      <c r="O334" s="19">
        <f>N(O333)+$N334</f>
        <v>272</v>
      </c>
      <c r="S334" s="20">
        <f>IFERROR(IF([2]对账明细接口!$N334=0,"",[2]对账明细接口!$N334),"")</f>
      </c>
      <c r="T334" s="212">
        <f>IFERROR(IF([2]对账明细接口!$O334=0,"",[2]对账明细接口!$O334),"")</f>
      </c>
      <c r="U334" s="212">
        <f>IFERROR(IF([2]对账明细接口!$P334=0,"",[2]对账明细接口!$P334),"")</f>
      </c>
      <c r="V334" s="212">
        <f>IFERROR(IF([2]对账明细接口!$Q334=0,"",[2]对账明细接口!$Q334),"")</f>
      </c>
      <c r="W334" s="20">
        <f>IFERROR(IF([2]对账明细接口!$R334=0,"",[2]对账明细接口!$R334),"")</f>
      </c>
      <c r="X334" s="20">
        <f>IFERROR(IF([2]对账明细接口!$S334=0,"",[2]对账明细接口!$S334),"")</f>
      </c>
      <c r="Y334" s="20">
        <f>""</f>
      </c>
      <c r="Z334" s="20">
        <f>""</f>
      </c>
      <c r="AA334" s="20">
        <f>""</f>
      </c>
      <c r="AB334" s="20">
        <f>""</f>
      </c>
    </row>
    <row r="335" s="127">
      <c r="A335" s="14" t="n">
        <v>335</v>
      </c>
      <c r="B335" s="211">
        <f>IFERROR(IF([2]对账明细接口!$B$335=0,"",[2]对账明细接口!$B$335),"")</f>
      </c>
      <c r="C335" s="16">
        <f>IFERROR(IF([2]对账明细接口!$C$335=0,"",[2]对账明细接口!$C$335),"")</f>
      </c>
      <c r="D335" s="16">
        <f>IFERROR(IF([2]对账明细接口!$D$335=0,"",[2]对账明细接口!$D$335),"")</f>
      </c>
      <c r="E335" s="16">
        <f>IFERROR(IF([2]对账明细接口!$E$335=0,"",[2]对账明细接口!$E$335),"")</f>
      </c>
      <c r="F335" s="16">
        <f>IFERROR(IF([2]对账明细接口!$F$335=0,"",[2]对账明细接口!$F$335),"")</f>
      </c>
      <c r="G335" s="16">
        <f>IFERROR(IF([2]对账明细接口!$G$335=0,"",[2]对账明细接口!$G$335),"")</f>
      </c>
      <c r="H335" s="176">
        <f>IFERROR(IF([2]对账明细接口!$H$335=0,"",[2]对账明细接口!$H$335),"")</f>
      </c>
      <c r="I335" s="16">
        <f>IFERROR(IF([2]对账明细接口!$I$335=0,"",[2]对账明细接口!$I$335),"")</f>
      </c>
      <c r="J335" s="177">
        <f>IFERROR(IF([2]对账明细接口!$J$335=0,"",[2]对账明细接口!$J$335),"")</f>
      </c>
      <c r="K335" s="177">
        <f>IFERROR(IF([2]对账明细接口!$K$335=0,"",[2]对账明细接口!$K$335),"")</f>
      </c>
      <c r="L335" s="16">
        <f>IFERROR(IF([2]对账明细接口!$L$335=0,"",[2]对账明细接口!$L$335),"")</f>
      </c>
      <c r="M335" s="16">
        <f>IFERROR(IF([2]对账明细接口!$M$335=0,"",[2]对账明细接口!$M$335),"")</f>
      </c>
      <c r="N335" s="19">
        <f>IF($C335="",0,1)</f>
        <v>0</v>
      </c>
      <c r="O335" s="19">
        <f>N(O334)+$N335</f>
        <v>272</v>
      </c>
      <c r="S335" s="20">
        <f>IFERROR(IF([2]对账明细接口!$N335=0,"",[2]对账明细接口!$N335),"")</f>
      </c>
      <c r="T335" s="212">
        <f>IFERROR(IF([2]对账明细接口!$O335=0,"",[2]对账明细接口!$O335),"")</f>
      </c>
      <c r="U335" s="212">
        <f>IFERROR(IF([2]对账明细接口!$P335=0,"",[2]对账明细接口!$P335),"")</f>
      </c>
      <c r="V335" s="212">
        <f>IFERROR(IF([2]对账明细接口!$Q335=0,"",[2]对账明细接口!$Q335),"")</f>
      </c>
      <c r="W335" s="20">
        <f>IFERROR(IF([2]对账明细接口!$R335=0,"",[2]对账明细接口!$R335),"")</f>
      </c>
      <c r="X335" s="20">
        <f>IFERROR(IF([2]对账明细接口!$S335=0,"",[2]对账明细接口!$S335),"")</f>
      </c>
      <c r="Y335" s="20">
        <f>""</f>
      </c>
      <c r="Z335" s="20">
        <f>""</f>
      </c>
      <c r="AA335" s="20">
        <f>""</f>
      </c>
      <c r="AB335" s="20">
        <f>""</f>
      </c>
    </row>
    <row r="336" s="127">
      <c r="A336" s="14" t="n">
        <v>336</v>
      </c>
      <c r="B336" s="211">
        <f>IFERROR(IF([2]对账明细接口!$B$336=0,"",[2]对账明细接口!$B$336),"")</f>
      </c>
      <c r="C336" s="16">
        <f>IFERROR(IF([2]对账明细接口!$C$336=0,"",[2]对账明细接口!$C$336),"")</f>
      </c>
      <c r="D336" s="16">
        <f>IFERROR(IF([2]对账明细接口!$D$336=0,"",[2]对账明细接口!$D$336),"")</f>
      </c>
      <c r="E336" s="16">
        <f>IFERROR(IF([2]对账明细接口!$E$336=0,"",[2]对账明细接口!$E$336),"")</f>
      </c>
      <c r="F336" s="16">
        <f>IFERROR(IF([2]对账明细接口!$F$336=0,"",[2]对账明细接口!$F$336),"")</f>
      </c>
      <c r="G336" s="16">
        <f>IFERROR(IF([2]对账明细接口!$G$336=0,"",[2]对账明细接口!$G$336),"")</f>
      </c>
      <c r="H336" s="176">
        <f>IFERROR(IF([2]对账明细接口!$H$336=0,"",[2]对账明细接口!$H$336),"")</f>
      </c>
      <c r="I336" s="16">
        <f>IFERROR(IF([2]对账明细接口!$I$336=0,"",[2]对账明细接口!$I$336),"")</f>
      </c>
      <c r="J336" s="177">
        <f>IFERROR(IF([2]对账明细接口!$J$336=0,"",[2]对账明细接口!$J$336),"")</f>
      </c>
      <c r="K336" s="177">
        <f>IFERROR(IF([2]对账明细接口!$K$336=0,"",[2]对账明细接口!$K$336),"")</f>
      </c>
      <c r="L336" s="16">
        <f>IFERROR(IF([2]对账明细接口!$L$336=0,"",[2]对账明细接口!$L$336),"")</f>
      </c>
      <c r="M336" s="16">
        <f>IFERROR(IF([2]对账明细接口!$M$336=0,"",[2]对账明细接口!$M$336),"")</f>
      </c>
      <c r="N336" s="19">
        <f>IF($C336="",0,1)</f>
        <v>0</v>
      </c>
      <c r="O336" s="19">
        <f>N(O335)+$N336</f>
        <v>272</v>
      </c>
      <c r="S336" s="20">
        <f>IFERROR(IF([2]对账明细接口!$N336=0,"",[2]对账明细接口!$N336),"")</f>
      </c>
      <c r="T336" s="212">
        <f>IFERROR(IF([2]对账明细接口!$O336=0,"",[2]对账明细接口!$O336),"")</f>
      </c>
      <c r="U336" s="212">
        <f>IFERROR(IF([2]对账明细接口!$P336=0,"",[2]对账明细接口!$P336),"")</f>
      </c>
      <c r="V336" s="212">
        <f>IFERROR(IF([2]对账明细接口!$Q336=0,"",[2]对账明细接口!$Q336),"")</f>
      </c>
      <c r="W336" s="20">
        <f>IFERROR(IF([2]对账明细接口!$R336=0,"",[2]对账明细接口!$R336),"")</f>
      </c>
      <c r="X336" s="20">
        <f>IFERROR(IF([2]对账明细接口!$S336=0,"",[2]对账明细接口!$S336),"")</f>
      </c>
      <c r="Y336" s="20">
        <f>""</f>
      </c>
      <c r="Z336" s="20">
        <f>""</f>
      </c>
      <c r="AA336" s="20">
        <f>""</f>
      </c>
      <c r="AB336" s="20">
        <f>""</f>
      </c>
    </row>
    <row r="337" s="127">
      <c r="A337" s="14" t="n">
        <v>337</v>
      </c>
      <c r="B337" s="211">
        <f>IFERROR(IF([2]对账明细接口!$B$337=0,"",[2]对账明细接口!$B$337),"")</f>
      </c>
      <c r="C337" s="16">
        <f>IFERROR(IF([2]对账明细接口!$C$337=0,"",[2]对账明细接口!$C$337),"")</f>
      </c>
      <c r="D337" s="16">
        <f>IFERROR(IF([2]对账明细接口!$D$337=0,"",[2]对账明细接口!$D$337),"")</f>
      </c>
      <c r="E337" s="16">
        <f>IFERROR(IF([2]对账明细接口!$E$337=0,"",[2]对账明细接口!$E$337),"")</f>
      </c>
      <c r="F337" s="16">
        <f>IFERROR(IF([2]对账明细接口!$F$337=0,"",[2]对账明细接口!$F$337),"")</f>
      </c>
      <c r="G337" s="16">
        <f>IFERROR(IF([2]对账明细接口!$G$337=0,"",[2]对账明细接口!$G$337),"")</f>
      </c>
      <c r="H337" s="176">
        <f>IFERROR(IF([2]对账明细接口!$H$337=0,"",[2]对账明细接口!$H$337),"")</f>
      </c>
      <c r="I337" s="16">
        <f>IFERROR(IF([2]对账明细接口!$I$337=0,"",[2]对账明细接口!$I$337),"")</f>
      </c>
      <c r="J337" s="177">
        <f>IFERROR(IF([2]对账明细接口!$J$337=0,"",[2]对账明细接口!$J$337),"")</f>
      </c>
      <c r="K337" s="177">
        <f>IFERROR(IF([2]对账明细接口!$K$337=0,"",[2]对账明细接口!$K$337),"")</f>
      </c>
      <c r="L337" s="16">
        <f>IFERROR(IF([2]对账明细接口!$L$337=0,"",[2]对账明细接口!$L$337),"")</f>
      </c>
      <c r="M337" s="16">
        <f>IFERROR(IF([2]对账明细接口!$M$337=0,"",[2]对账明细接口!$M$337),"")</f>
      </c>
      <c r="N337" s="19">
        <f>IF($C337="",0,1)</f>
        <v>0</v>
      </c>
      <c r="O337" s="19">
        <f>N(O336)+$N337</f>
        <v>272</v>
      </c>
      <c r="S337" s="20">
        <f>IFERROR(IF([2]对账明细接口!$N337=0,"",[2]对账明细接口!$N337),"")</f>
      </c>
      <c r="T337" s="212">
        <f>IFERROR(IF([2]对账明细接口!$O337=0,"",[2]对账明细接口!$O337),"")</f>
      </c>
      <c r="U337" s="212">
        <f>IFERROR(IF([2]对账明细接口!$P337=0,"",[2]对账明细接口!$P337),"")</f>
      </c>
      <c r="V337" s="212">
        <f>IFERROR(IF([2]对账明细接口!$Q337=0,"",[2]对账明细接口!$Q337),"")</f>
      </c>
      <c r="W337" s="20">
        <f>IFERROR(IF([2]对账明细接口!$R337=0,"",[2]对账明细接口!$R337),"")</f>
      </c>
      <c r="X337" s="20">
        <f>IFERROR(IF([2]对账明细接口!$S337=0,"",[2]对账明细接口!$S337),"")</f>
      </c>
      <c r="Y337" s="20">
        <f>""</f>
      </c>
      <c r="Z337" s="20">
        <f>""</f>
      </c>
      <c r="AA337" s="20">
        <f>""</f>
      </c>
      <c r="AB337" s="20">
        <f>""</f>
      </c>
    </row>
    <row r="338" s="127">
      <c r="A338" s="14" t="n">
        <v>338</v>
      </c>
      <c r="B338" s="211">
        <f>IFERROR(IF([2]对账明细接口!$B$338=0,"",[2]对账明细接口!$B$338),"")</f>
      </c>
      <c r="C338" s="16">
        <f>IFERROR(IF([2]对账明细接口!$C$338=0,"",[2]对账明细接口!$C$338),"")</f>
      </c>
      <c r="D338" s="16">
        <f>IFERROR(IF([2]对账明细接口!$D$338=0,"",[2]对账明细接口!$D$338),"")</f>
      </c>
      <c r="E338" s="16">
        <f>IFERROR(IF([2]对账明细接口!$E$338=0,"",[2]对账明细接口!$E$338),"")</f>
      </c>
      <c r="F338" s="16">
        <f>IFERROR(IF([2]对账明细接口!$F$338=0,"",[2]对账明细接口!$F$338),"")</f>
      </c>
      <c r="G338" s="16">
        <f>IFERROR(IF([2]对账明细接口!$G$338=0,"",[2]对账明细接口!$G$338),"")</f>
      </c>
      <c r="H338" s="176">
        <f>IFERROR(IF([2]对账明细接口!$H$338=0,"",[2]对账明细接口!$H$338),"")</f>
      </c>
      <c r="I338" s="16">
        <f>IFERROR(IF([2]对账明细接口!$I$338=0,"",[2]对账明细接口!$I$338),"")</f>
      </c>
      <c r="J338" s="177">
        <f>IFERROR(IF([2]对账明细接口!$J$338=0,"",[2]对账明细接口!$J$338),"")</f>
      </c>
      <c r="K338" s="177">
        <f>IFERROR(IF([2]对账明细接口!$K$338=0,"",[2]对账明细接口!$K$338),"")</f>
      </c>
      <c r="L338" s="16">
        <f>IFERROR(IF([2]对账明细接口!$L$338=0,"",[2]对账明细接口!$L$338),"")</f>
      </c>
      <c r="M338" s="16">
        <f>IFERROR(IF([2]对账明细接口!$M$338=0,"",[2]对账明细接口!$M$338),"")</f>
      </c>
      <c r="N338" s="19">
        <f>IF($C338="",0,1)</f>
        <v>0</v>
      </c>
      <c r="O338" s="19">
        <f>N(O337)+$N338</f>
        <v>272</v>
      </c>
      <c r="S338" s="20">
        <f>IFERROR(IF([2]对账明细接口!$N338=0,"",[2]对账明细接口!$N338),"")</f>
      </c>
      <c r="T338" s="212">
        <f>IFERROR(IF([2]对账明细接口!$O338=0,"",[2]对账明细接口!$O338),"")</f>
      </c>
      <c r="U338" s="212">
        <f>IFERROR(IF([2]对账明细接口!$P338=0,"",[2]对账明细接口!$P338),"")</f>
      </c>
      <c r="V338" s="212">
        <f>IFERROR(IF([2]对账明细接口!$Q338=0,"",[2]对账明细接口!$Q338),"")</f>
      </c>
      <c r="W338" s="20">
        <f>IFERROR(IF([2]对账明细接口!$R338=0,"",[2]对账明细接口!$R338),"")</f>
      </c>
      <c r="X338" s="20">
        <f>IFERROR(IF([2]对账明细接口!$S338=0,"",[2]对账明细接口!$S338),"")</f>
      </c>
      <c r="Y338" s="20">
        <f>""</f>
      </c>
      <c r="Z338" s="20">
        <f>""</f>
      </c>
      <c r="AA338" s="20">
        <f>""</f>
      </c>
      <c r="AB338" s="20">
        <f>""</f>
      </c>
    </row>
    <row r="339" s="127">
      <c r="A339" s="14" t="n">
        <v>339</v>
      </c>
      <c r="B339" s="211">
        <f>IFERROR(IF([2]对账明细接口!$B$339=0,"",[2]对账明细接口!$B$339),"")</f>
      </c>
      <c r="C339" s="16">
        <f>IFERROR(IF([2]对账明细接口!$C$339=0,"",[2]对账明细接口!$C$339),"")</f>
      </c>
      <c r="D339" s="16">
        <f>IFERROR(IF([2]对账明细接口!$D$339=0,"",[2]对账明细接口!$D$339),"")</f>
      </c>
      <c r="E339" s="16">
        <f>IFERROR(IF([2]对账明细接口!$E$339=0,"",[2]对账明细接口!$E$339),"")</f>
      </c>
      <c r="F339" s="16">
        <f>IFERROR(IF([2]对账明细接口!$F$339=0,"",[2]对账明细接口!$F$339),"")</f>
      </c>
      <c r="G339" s="16">
        <f>IFERROR(IF([2]对账明细接口!$G$339=0,"",[2]对账明细接口!$G$339),"")</f>
      </c>
      <c r="H339" s="176">
        <f>IFERROR(IF([2]对账明细接口!$H$339=0,"",[2]对账明细接口!$H$339),"")</f>
      </c>
      <c r="I339" s="16">
        <f>IFERROR(IF([2]对账明细接口!$I$339=0,"",[2]对账明细接口!$I$339),"")</f>
      </c>
      <c r="J339" s="177">
        <f>IFERROR(IF([2]对账明细接口!$J$339=0,"",[2]对账明细接口!$J$339),"")</f>
      </c>
      <c r="K339" s="177">
        <f>IFERROR(IF([2]对账明细接口!$K$339=0,"",[2]对账明细接口!$K$339),"")</f>
      </c>
      <c r="L339" s="16">
        <f>IFERROR(IF([2]对账明细接口!$L$339=0,"",[2]对账明细接口!$L$339),"")</f>
      </c>
      <c r="M339" s="16">
        <f>IFERROR(IF([2]对账明细接口!$M$339=0,"",[2]对账明细接口!$M$339),"")</f>
      </c>
      <c r="N339" s="19">
        <f>IF($C339="",0,1)</f>
        <v>0</v>
      </c>
      <c r="O339" s="19">
        <f>N(O338)+$N339</f>
        <v>272</v>
      </c>
      <c r="S339" s="20">
        <f>IFERROR(IF([2]对账明细接口!$N339=0,"",[2]对账明细接口!$N339),"")</f>
      </c>
      <c r="T339" s="212">
        <f>IFERROR(IF([2]对账明细接口!$O339=0,"",[2]对账明细接口!$O339),"")</f>
      </c>
      <c r="U339" s="212">
        <f>IFERROR(IF([2]对账明细接口!$P339=0,"",[2]对账明细接口!$P339),"")</f>
      </c>
      <c r="V339" s="212">
        <f>IFERROR(IF([2]对账明细接口!$Q339=0,"",[2]对账明细接口!$Q339),"")</f>
      </c>
      <c r="W339" s="20">
        <f>IFERROR(IF([2]对账明细接口!$R339=0,"",[2]对账明细接口!$R339),"")</f>
      </c>
      <c r="X339" s="20">
        <f>IFERROR(IF([2]对账明细接口!$S339=0,"",[2]对账明细接口!$S339),"")</f>
      </c>
      <c r="Y339" s="20">
        <f>""</f>
      </c>
      <c r="Z339" s="20">
        <f>""</f>
      </c>
      <c r="AA339" s="20">
        <f>""</f>
      </c>
      <c r="AB339" s="20">
        <f>""</f>
      </c>
    </row>
    <row r="340" s="127">
      <c r="A340" s="14" t="n">
        <v>340</v>
      </c>
      <c r="B340" s="211">
        <f>IFERROR(IF([2]对账明细接口!$B$340=0,"",[2]对账明细接口!$B$340),"")</f>
      </c>
      <c r="C340" s="16">
        <f>IFERROR(IF([2]对账明细接口!$C$340=0,"",[2]对账明细接口!$C$340),"")</f>
      </c>
      <c r="D340" s="16">
        <f>IFERROR(IF([2]对账明细接口!$D$340=0,"",[2]对账明细接口!$D$340),"")</f>
      </c>
      <c r="E340" s="16">
        <f>IFERROR(IF([2]对账明细接口!$E$340=0,"",[2]对账明细接口!$E$340),"")</f>
      </c>
      <c r="F340" s="16">
        <f>IFERROR(IF([2]对账明细接口!$F$340=0,"",[2]对账明细接口!$F$340),"")</f>
      </c>
      <c r="G340" s="16">
        <f>IFERROR(IF([2]对账明细接口!$G$340=0,"",[2]对账明细接口!$G$340),"")</f>
      </c>
      <c r="H340" s="176">
        <f>IFERROR(IF([2]对账明细接口!$H$340=0,"",[2]对账明细接口!$H$340),"")</f>
      </c>
      <c r="I340" s="16">
        <f>IFERROR(IF([2]对账明细接口!$I$340=0,"",[2]对账明细接口!$I$340),"")</f>
      </c>
      <c r="J340" s="177">
        <f>IFERROR(IF([2]对账明细接口!$J$340=0,"",[2]对账明细接口!$J$340),"")</f>
      </c>
      <c r="K340" s="177">
        <f>IFERROR(IF([2]对账明细接口!$K$340=0,"",[2]对账明细接口!$K$340),"")</f>
      </c>
      <c r="L340" s="16">
        <f>IFERROR(IF([2]对账明细接口!$L$340=0,"",[2]对账明细接口!$L$340),"")</f>
      </c>
      <c r="M340" s="16">
        <f>IFERROR(IF([2]对账明细接口!$M$340=0,"",[2]对账明细接口!$M$340),"")</f>
      </c>
      <c r="N340" s="19">
        <f>IF($C340="",0,1)</f>
        <v>0</v>
      </c>
      <c r="O340" s="19">
        <f>N(O339)+$N340</f>
        <v>272</v>
      </c>
      <c r="S340" s="20">
        <f>IFERROR(IF([2]对账明细接口!$N340=0,"",[2]对账明细接口!$N340),"")</f>
      </c>
      <c r="T340" s="212">
        <f>IFERROR(IF([2]对账明细接口!$O340=0,"",[2]对账明细接口!$O340),"")</f>
      </c>
      <c r="U340" s="212">
        <f>IFERROR(IF([2]对账明细接口!$P340=0,"",[2]对账明细接口!$P340),"")</f>
      </c>
      <c r="V340" s="212">
        <f>IFERROR(IF([2]对账明细接口!$Q340=0,"",[2]对账明细接口!$Q340),"")</f>
      </c>
      <c r="W340" s="20">
        <f>IFERROR(IF([2]对账明细接口!$R340=0,"",[2]对账明细接口!$R340),"")</f>
      </c>
      <c r="X340" s="20">
        <f>IFERROR(IF([2]对账明细接口!$S340=0,"",[2]对账明细接口!$S340),"")</f>
      </c>
      <c r="Y340" s="20">
        <f>""</f>
      </c>
      <c r="Z340" s="20">
        <f>""</f>
      </c>
      <c r="AA340" s="20">
        <f>""</f>
      </c>
      <c r="AB340" s="20">
        <f>""</f>
      </c>
    </row>
    <row r="341" s="127">
      <c r="A341" s="14" t="n">
        <v>341</v>
      </c>
      <c r="B341" s="211">
        <f>IFERROR(IF([2]对账明细接口!$B$341=0,"",[2]对账明细接口!$B$341),"")</f>
      </c>
      <c r="C341" s="16">
        <f>IFERROR(IF([2]对账明细接口!$C$341=0,"",[2]对账明细接口!$C$341),"")</f>
      </c>
      <c r="D341" s="16">
        <f>IFERROR(IF([2]对账明细接口!$D$341=0,"",[2]对账明细接口!$D$341),"")</f>
      </c>
      <c r="E341" s="16">
        <f>IFERROR(IF([2]对账明细接口!$E$341=0,"",[2]对账明细接口!$E$341),"")</f>
      </c>
      <c r="F341" s="16">
        <f>IFERROR(IF([2]对账明细接口!$F$341=0,"",[2]对账明细接口!$F$341),"")</f>
      </c>
      <c r="G341" s="16">
        <f>IFERROR(IF([2]对账明细接口!$G$341=0,"",[2]对账明细接口!$G$341),"")</f>
      </c>
      <c r="H341" s="176">
        <f>IFERROR(IF([2]对账明细接口!$H$341=0,"",[2]对账明细接口!$H$341),"")</f>
      </c>
      <c r="I341" s="16">
        <f>IFERROR(IF([2]对账明细接口!$I$341=0,"",[2]对账明细接口!$I$341),"")</f>
      </c>
      <c r="J341" s="177">
        <f>IFERROR(IF([2]对账明细接口!$J$341=0,"",[2]对账明细接口!$J$341),"")</f>
      </c>
      <c r="K341" s="177">
        <f>IFERROR(IF([2]对账明细接口!$K$341=0,"",[2]对账明细接口!$K$341),"")</f>
      </c>
      <c r="L341" s="16">
        <f>IFERROR(IF([2]对账明细接口!$L$341=0,"",[2]对账明细接口!$L$341),"")</f>
      </c>
      <c r="M341" s="16">
        <f>IFERROR(IF([2]对账明细接口!$M$341=0,"",[2]对账明细接口!$M$341),"")</f>
      </c>
      <c r="N341" s="19">
        <f>IF($C341="",0,1)</f>
        <v>0</v>
      </c>
      <c r="O341" s="19">
        <f>N(O340)+$N341</f>
        <v>272</v>
      </c>
      <c r="S341" s="20">
        <f>IFERROR(IF([2]对账明细接口!$N341=0,"",[2]对账明细接口!$N341),"")</f>
      </c>
      <c r="T341" s="212">
        <f>IFERROR(IF([2]对账明细接口!$O341=0,"",[2]对账明细接口!$O341),"")</f>
      </c>
      <c r="U341" s="212">
        <f>IFERROR(IF([2]对账明细接口!$P341=0,"",[2]对账明细接口!$P341),"")</f>
      </c>
      <c r="V341" s="212">
        <f>IFERROR(IF([2]对账明细接口!$Q341=0,"",[2]对账明细接口!$Q341),"")</f>
      </c>
      <c r="W341" s="20">
        <f>IFERROR(IF([2]对账明细接口!$R341=0,"",[2]对账明细接口!$R341),"")</f>
      </c>
      <c r="X341" s="20">
        <f>IFERROR(IF([2]对账明细接口!$S341=0,"",[2]对账明细接口!$S341),"")</f>
      </c>
      <c r="Y341" s="20">
        <f>""</f>
      </c>
      <c r="Z341" s="20">
        <f>""</f>
      </c>
      <c r="AA341" s="20">
        <f>""</f>
      </c>
      <c r="AB341" s="20">
        <f>""</f>
      </c>
    </row>
    <row r="342" s="127">
      <c r="A342" s="14" t="n">
        <v>342</v>
      </c>
      <c r="B342" s="211">
        <f>IFERROR(IF([2]对账明细接口!$B$342=0,"",[2]对账明细接口!$B$342),"")</f>
      </c>
      <c r="C342" s="16">
        <f>IFERROR(IF([2]对账明细接口!$C$342=0,"",[2]对账明细接口!$C$342),"")</f>
      </c>
      <c r="D342" s="16">
        <f>IFERROR(IF([2]对账明细接口!$D$342=0,"",[2]对账明细接口!$D$342),"")</f>
      </c>
      <c r="E342" s="16">
        <f>IFERROR(IF([2]对账明细接口!$E$342=0,"",[2]对账明细接口!$E$342),"")</f>
      </c>
      <c r="F342" s="16">
        <f>IFERROR(IF([2]对账明细接口!$F$342=0,"",[2]对账明细接口!$F$342),"")</f>
      </c>
      <c r="G342" s="16">
        <f>IFERROR(IF([2]对账明细接口!$G$342=0,"",[2]对账明细接口!$G$342),"")</f>
      </c>
      <c r="H342" s="176">
        <f>IFERROR(IF([2]对账明细接口!$H$342=0,"",[2]对账明细接口!$H$342),"")</f>
      </c>
      <c r="I342" s="16">
        <f>IFERROR(IF([2]对账明细接口!$I$342=0,"",[2]对账明细接口!$I$342),"")</f>
      </c>
      <c r="J342" s="177">
        <f>IFERROR(IF([2]对账明细接口!$J$342=0,"",[2]对账明细接口!$J$342),"")</f>
      </c>
      <c r="K342" s="177">
        <f>IFERROR(IF([2]对账明细接口!$K$342=0,"",[2]对账明细接口!$K$342),"")</f>
      </c>
      <c r="L342" s="16">
        <f>IFERROR(IF([2]对账明细接口!$L$342=0,"",[2]对账明细接口!$L$342),"")</f>
      </c>
      <c r="M342" s="16">
        <f>IFERROR(IF([2]对账明细接口!$M$342=0,"",[2]对账明细接口!$M$342),"")</f>
      </c>
      <c r="N342" s="19">
        <f>IF($C342="",0,1)</f>
        <v>0</v>
      </c>
      <c r="O342" s="19">
        <f>N(O341)+$N342</f>
        <v>272</v>
      </c>
      <c r="S342" s="20">
        <f>IFERROR(IF([2]对账明细接口!$N342=0,"",[2]对账明细接口!$N342),"")</f>
      </c>
      <c r="T342" s="212">
        <f>IFERROR(IF([2]对账明细接口!$O342=0,"",[2]对账明细接口!$O342),"")</f>
      </c>
      <c r="U342" s="212">
        <f>IFERROR(IF([2]对账明细接口!$P342=0,"",[2]对账明细接口!$P342),"")</f>
      </c>
      <c r="V342" s="212">
        <f>IFERROR(IF([2]对账明细接口!$Q342=0,"",[2]对账明细接口!$Q342),"")</f>
      </c>
      <c r="W342" s="20">
        <f>IFERROR(IF([2]对账明细接口!$R342=0,"",[2]对账明细接口!$R342),"")</f>
      </c>
      <c r="X342" s="20">
        <f>IFERROR(IF([2]对账明细接口!$S342=0,"",[2]对账明细接口!$S342),"")</f>
      </c>
      <c r="Y342" s="20">
        <f>""</f>
      </c>
      <c r="Z342" s="20">
        <f>""</f>
      </c>
      <c r="AA342" s="20">
        <f>""</f>
      </c>
      <c r="AB342" s="20">
        <f>""</f>
      </c>
    </row>
    <row r="343" s="127">
      <c r="A343" s="14" t="n">
        <v>343</v>
      </c>
      <c r="B343" s="211">
        <f>IFERROR(IF([2]对账明细接口!$B$343=0,"",[2]对账明细接口!$B$343),"")</f>
      </c>
      <c r="C343" s="16">
        <f>IFERROR(IF([2]对账明细接口!$C$343=0,"",[2]对账明细接口!$C$343),"")</f>
      </c>
      <c r="D343" s="16">
        <f>IFERROR(IF([2]对账明细接口!$D$343=0,"",[2]对账明细接口!$D$343),"")</f>
      </c>
      <c r="E343" s="16">
        <f>IFERROR(IF([2]对账明细接口!$E$343=0,"",[2]对账明细接口!$E$343),"")</f>
      </c>
      <c r="F343" s="16">
        <f>IFERROR(IF([2]对账明细接口!$F$343=0,"",[2]对账明细接口!$F$343),"")</f>
      </c>
      <c r="G343" s="16">
        <f>IFERROR(IF([2]对账明细接口!$G$343=0,"",[2]对账明细接口!$G$343),"")</f>
      </c>
      <c r="H343" s="176">
        <f>IFERROR(IF([2]对账明细接口!$H$343=0,"",[2]对账明细接口!$H$343),"")</f>
      </c>
      <c r="I343" s="16">
        <f>IFERROR(IF([2]对账明细接口!$I$343=0,"",[2]对账明细接口!$I$343),"")</f>
      </c>
      <c r="J343" s="177">
        <f>IFERROR(IF([2]对账明细接口!$J$343=0,"",[2]对账明细接口!$J$343),"")</f>
      </c>
      <c r="K343" s="177">
        <f>IFERROR(IF([2]对账明细接口!$K$343=0,"",[2]对账明细接口!$K$343),"")</f>
      </c>
      <c r="L343" s="16">
        <f>IFERROR(IF([2]对账明细接口!$L$343=0,"",[2]对账明细接口!$L$343),"")</f>
      </c>
      <c r="M343" s="16">
        <f>IFERROR(IF([2]对账明细接口!$M$343=0,"",[2]对账明细接口!$M$343),"")</f>
      </c>
      <c r="N343" s="19">
        <f>IF($C343="",0,1)</f>
        <v>0</v>
      </c>
      <c r="O343" s="19">
        <f>N(O342)+$N343</f>
        <v>272</v>
      </c>
      <c r="S343" s="20">
        <f>IFERROR(IF([2]对账明细接口!$N343=0,"",[2]对账明细接口!$N343),"")</f>
      </c>
      <c r="T343" s="212">
        <f>IFERROR(IF([2]对账明细接口!$O343=0,"",[2]对账明细接口!$O343),"")</f>
      </c>
      <c r="U343" s="212">
        <f>IFERROR(IF([2]对账明细接口!$P343=0,"",[2]对账明细接口!$P343),"")</f>
      </c>
      <c r="V343" s="212">
        <f>IFERROR(IF([2]对账明细接口!$Q343=0,"",[2]对账明细接口!$Q343),"")</f>
      </c>
      <c r="W343" s="20">
        <f>IFERROR(IF([2]对账明细接口!$R343=0,"",[2]对账明细接口!$R343),"")</f>
      </c>
      <c r="X343" s="20">
        <f>IFERROR(IF([2]对账明细接口!$S343=0,"",[2]对账明细接口!$S343),"")</f>
      </c>
      <c r="Y343" s="20">
        <f>""</f>
      </c>
      <c r="Z343" s="20">
        <f>""</f>
      </c>
      <c r="AA343" s="20">
        <f>""</f>
      </c>
      <c r="AB343" s="20">
        <f>""</f>
      </c>
    </row>
    <row r="344" s="127">
      <c r="A344" s="14" t="n">
        <v>344</v>
      </c>
      <c r="B344" s="211">
        <f>IFERROR(IF([2]对账明细接口!$B$344=0,"",[2]对账明细接口!$B$344),"")</f>
      </c>
      <c r="C344" s="16">
        <f>IFERROR(IF([2]对账明细接口!$C$344=0,"",[2]对账明细接口!$C$344),"")</f>
      </c>
      <c r="D344" s="16">
        <f>IFERROR(IF([2]对账明细接口!$D$344=0,"",[2]对账明细接口!$D$344),"")</f>
      </c>
      <c r="E344" s="16">
        <f>IFERROR(IF([2]对账明细接口!$E$344=0,"",[2]对账明细接口!$E$344),"")</f>
      </c>
      <c r="F344" s="16">
        <f>IFERROR(IF([2]对账明细接口!$F$344=0,"",[2]对账明细接口!$F$344),"")</f>
      </c>
      <c r="G344" s="16">
        <f>IFERROR(IF([2]对账明细接口!$G$344=0,"",[2]对账明细接口!$G$344),"")</f>
      </c>
      <c r="H344" s="176">
        <f>IFERROR(IF([2]对账明细接口!$H$344=0,"",[2]对账明细接口!$H$344),"")</f>
      </c>
      <c r="I344" s="16">
        <f>IFERROR(IF([2]对账明细接口!$I$344=0,"",[2]对账明细接口!$I$344),"")</f>
      </c>
      <c r="J344" s="177">
        <f>IFERROR(IF([2]对账明细接口!$J$344=0,"",[2]对账明细接口!$J$344),"")</f>
      </c>
      <c r="K344" s="177">
        <f>IFERROR(IF([2]对账明细接口!$K$344=0,"",[2]对账明细接口!$K$344),"")</f>
      </c>
      <c r="L344" s="16">
        <f>IFERROR(IF([2]对账明细接口!$L$344=0,"",[2]对账明细接口!$L$344),"")</f>
      </c>
      <c r="M344" s="16">
        <f>IFERROR(IF([2]对账明细接口!$M$344=0,"",[2]对账明细接口!$M$344),"")</f>
      </c>
      <c r="N344" s="19">
        <f>IF($C344="",0,1)</f>
        <v>0</v>
      </c>
      <c r="O344" s="19">
        <f>N(O343)+$N344</f>
        <v>272</v>
      </c>
      <c r="S344" s="20">
        <f>IFERROR(IF([2]对账明细接口!$N344=0,"",[2]对账明细接口!$N344),"")</f>
      </c>
      <c r="T344" s="212">
        <f>IFERROR(IF([2]对账明细接口!$O344=0,"",[2]对账明细接口!$O344),"")</f>
      </c>
      <c r="U344" s="212">
        <f>IFERROR(IF([2]对账明细接口!$P344=0,"",[2]对账明细接口!$P344),"")</f>
      </c>
      <c r="V344" s="212">
        <f>IFERROR(IF([2]对账明细接口!$Q344=0,"",[2]对账明细接口!$Q344),"")</f>
      </c>
      <c r="W344" s="20">
        <f>IFERROR(IF([2]对账明细接口!$R344=0,"",[2]对账明细接口!$R344),"")</f>
      </c>
      <c r="X344" s="20">
        <f>IFERROR(IF([2]对账明细接口!$S344=0,"",[2]对账明细接口!$S344),"")</f>
      </c>
      <c r="Y344" s="20">
        <f>""</f>
      </c>
      <c r="Z344" s="20">
        <f>""</f>
      </c>
      <c r="AA344" s="20">
        <f>""</f>
      </c>
      <c r="AB344" s="20">
        <f>""</f>
      </c>
    </row>
    <row r="345" s="127">
      <c r="A345" s="14" t="n">
        <v>345</v>
      </c>
      <c r="B345" s="211">
        <f>IFERROR(IF([2]对账明细接口!$B$345=0,"",[2]对账明细接口!$B$345),"")</f>
      </c>
      <c r="C345" s="16">
        <f>IFERROR(IF([2]对账明细接口!$C$345=0,"",[2]对账明细接口!$C$345),"")</f>
      </c>
      <c r="D345" s="16">
        <f>IFERROR(IF([2]对账明细接口!$D$345=0,"",[2]对账明细接口!$D$345),"")</f>
      </c>
      <c r="E345" s="16">
        <f>IFERROR(IF([2]对账明细接口!$E$345=0,"",[2]对账明细接口!$E$345),"")</f>
      </c>
      <c r="F345" s="16">
        <f>IFERROR(IF([2]对账明细接口!$F$345=0,"",[2]对账明细接口!$F$345),"")</f>
      </c>
      <c r="G345" s="16">
        <f>IFERROR(IF([2]对账明细接口!$G$345=0,"",[2]对账明细接口!$G$345),"")</f>
      </c>
      <c r="H345" s="176">
        <f>IFERROR(IF([2]对账明细接口!$H$345=0,"",[2]对账明细接口!$H$345),"")</f>
      </c>
      <c r="I345" s="16">
        <f>IFERROR(IF([2]对账明细接口!$I$345=0,"",[2]对账明细接口!$I$345),"")</f>
      </c>
      <c r="J345" s="177">
        <f>IFERROR(IF([2]对账明细接口!$J$345=0,"",[2]对账明细接口!$J$345),"")</f>
      </c>
      <c r="K345" s="177">
        <f>IFERROR(IF([2]对账明细接口!$K$345=0,"",[2]对账明细接口!$K$345),"")</f>
      </c>
      <c r="L345" s="16">
        <f>IFERROR(IF([2]对账明细接口!$L$345=0,"",[2]对账明细接口!$L$345),"")</f>
      </c>
      <c r="M345" s="16">
        <f>IFERROR(IF([2]对账明细接口!$M$345=0,"",[2]对账明细接口!$M$345),"")</f>
      </c>
      <c r="N345" s="19">
        <f>IF($C345="",0,1)</f>
        <v>0</v>
      </c>
      <c r="O345" s="19">
        <f>N(O344)+$N345</f>
        <v>272</v>
      </c>
      <c r="S345" s="20">
        <f>IFERROR(IF([2]对账明细接口!$N345=0,"",[2]对账明细接口!$N345),"")</f>
      </c>
      <c r="T345" s="212">
        <f>IFERROR(IF([2]对账明细接口!$O345=0,"",[2]对账明细接口!$O345),"")</f>
      </c>
      <c r="U345" s="212">
        <f>IFERROR(IF([2]对账明细接口!$P345=0,"",[2]对账明细接口!$P345),"")</f>
      </c>
      <c r="V345" s="212">
        <f>IFERROR(IF([2]对账明细接口!$Q345=0,"",[2]对账明细接口!$Q345),"")</f>
      </c>
      <c r="W345" s="20">
        <f>IFERROR(IF([2]对账明细接口!$R345=0,"",[2]对账明细接口!$R345),"")</f>
      </c>
      <c r="X345" s="20">
        <f>IFERROR(IF([2]对账明细接口!$S345=0,"",[2]对账明细接口!$S345),"")</f>
      </c>
      <c r="Y345" s="20">
        <f>""</f>
      </c>
      <c r="Z345" s="20">
        <f>""</f>
      </c>
      <c r="AA345" s="20">
        <f>""</f>
      </c>
      <c r="AB345" s="20">
        <f>""</f>
      </c>
    </row>
    <row r="346" s="127">
      <c r="A346" s="14" t="n">
        <v>346</v>
      </c>
      <c r="B346" s="211">
        <f>IFERROR(IF([2]对账明细接口!$B$346=0,"",[2]对账明细接口!$B$346),"")</f>
      </c>
      <c r="C346" s="16">
        <f>IFERROR(IF([2]对账明细接口!$C$346=0,"",[2]对账明细接口!$C$346),"")</f>
      </c>
      <c r="D346" s="16">
        <f>IFERROR(IF([2]对账明细接口!$D$346=0,"",[2]对账明细接口!$D$346),"")</f>
      </c>
      <c r="E346" s="16">
        <f>IFERROR(IF([2]对账明细接口!$E$346=0,"",[2]对账明细接口!$E$346),"")</f>
      </c>
      <c r="F346" s="16">
        <f>IFERROR(IF([2]对账明细接口!$F$346=0,"",[2]对账明细接口!$F$346),"")</f>
      </c>
      <c r="G346" s="16">
        <f>IFERROR(IF([2]对账明细接口!$G$346=0,"",[2]对账明细接口!$G$346),"")</f>
      </c>
      <c r="H346" s="176">
        <f>IFERROR(IF([2]对账明细接口!$H$346=0,"",[2]对账明细接口!$H$346),"")</f>
      </c>
      <c r="I346" s="16">
        <f>IFERROR(IF([2]对账明细接口!$I$346=0,"",[2]对账明细接口!$I$346),"")</f>
      </c>
      <c r="J346" s="177">
        <f>IFERROR(IF([2]对账明细接口!$J$346=0,"",[2]对账明细接口!$J$346),"")</f>
      </c>
      <c r="K346" s="177">
        <f>IFERROR(IF([2]对账明细接口!$K$346=0,"",[2]对账明细接口!$K$346),"")</f>
      </c>
      <c r="L346" s="16">
        <f>IFERROR(IF([2]对账明细接口!$L$346=0,"",[2]对账明细接口!$L$346),"")</f>
      </c>
      <c r="M346" s="16">
        <f>IFERROR(IF([2]对账明细接口!$M$346=0,"",[2]对账明细接口!$M$346),"")</f>
      </c>
      <c r="N346" s="19">
        <f>IF($C346="",0,1)</f>
        <v>0</v>
      </c>
      <c r="O346" s="19">
        <f>N(O345)+$N346</f>
        <v>272</v>
      </c>
      <c r="S346" s="20">
        <f>IFERROR(IF([2]对账明细接口!$N346=0,"",[2]对账明细接口!$N346),"")</f>
      </c>
      <c r="T346" s="212">
        <f>IFERROR(IF([2]对账明细接口!$O346=0,"",[2]对账明细接口!$O346),"")</f>
      </c>
      <c r="U346" s="212">
        <f>IFERROR(IF([2]对账明细接口!$P346=0,"",[2]对账明细接口!$P346),"")</f>
      </c>
      <c r="V346" s="212">
        <f>IFERROR(IF([2]对账明细接口!$Q346=0,"",[2]对账明细接口!$Q346),"")</f>
      </c>
      <c r="W346" s="20">
        <f>IFERROR(IF([2]对账明细接口!$R346=0,"",[2]对账明细接口!$R346),"")</f>
      </c>
      <c r="X346" s="20">
        <f>IFERROR(IF([2]对账明细接口!$S346=0,"",[2]对账明细接口!$S346),"")</f>
      </c>
      <c r="Y346" s="20">
        <f>""</f>
      </c>
      <c r="Z346" s="20">
        <f>""</f>
      </c>
      <c r="AA346" s="20">
        <f>""</f>
      </c>
      <c r="AB346" s="20">
        <f>""</f>
      </c>
    </row>
    <row r="347" s="127">
      <c r="A347" s="14" t="n">
        <v>347</v>
      </c>
      <c r="B347" s="211">
        <f>IFERROR(IF([2]对账明细接口!$B$347=0,"",[2]对账明细接口!$B$347),"")</f>
      </c>
      <c r="C347" s="16">
        <f>IFERROR(IF([2]对账明细接口!$C$347=0,"",[2]对账明细接口!$C$347),"")</f>
      </c>
      <c r="D347" s="16">
        <f>IFERROR(IF([2]对账明细接口!$D$347=0,"",[2]对账明细接口!$D$347),"")</f>
      </c>
      <c r="E347" s="16">
        <f>IFERROR(IF([2]对账明细接口!$E$347=0,"",[2]对账明细接口!$E$347),"")</f>
      </c>
      <c r="F347" s="16">
        <f>IFERROR(IF([2]对账明细接口!$F$347=0,"",[2]对账明细接口!$F$347),"")</f>
      </c>
      <c r="G347" s="16">
        <f>IFERROR(IF([2]对账明细接口!$G$347=0,"",[2]对账明细接口!$G$347),"")</f>
      </c>
      <c r="H347" s="176">
        <f>IFERROR(IF([2]对账明细接口!$H$347=0,"",[2]对账明细接口!$H$347),"")</f>
      </c>
      <c r="I347" s="16">
        <f>IFERROR(IF([2]对账明细接口!$I$347=0,"",[2]对账明细接口!$I$347),"")</f>
      </c>
      <c r="J347" s="177">
        <f>IFERROR(IF([2]对账明细接口!$J$347=0,"",[2]对账明细接口!$J$347),"")</f>
      </c>
      <c r="K347" s="177">
        <f>IFERROR(IF([2]对账明细接口!$K$347=0,"",[2]对账明细接口!$K$347),"")</f>
      </c>
      <c r="L347" s="16">
        <f>IFERROR(IF([2]对账明细接口!$L$347=0,"",[2]对账明细接口!$L$347),"")</f>
      </c>
      <c r="M347" s="16">
        <f>IFERROR(IF([2]对账明细接口!$M$347=0,"",[2]对账明细接口!$M$347),"")</f>
      </c>
      <c r="N347" s="19">
        <f>IF($C347="",0,1)</f>
        <v>0</v>
      </c>
      <c r="O347" s="19">
        <f>N(O346)+$N347</f>
        <v>272</v>
      </c>
      <c r="S347" s="20">
        <f>IFERROR(IF([2]对账明细接口!$N347=0,"",[2]对账明细接口!$N347),"")</f>
      </c>
      <c r="T347" s="212">
        <f>IFERROR(IF([2]对账明细接口!$O347=0,"",[2]对账明细接口!$O347),"")</f>
      </c>
      <c r="U347" s="212">
        <f>IFERROR(IF([2]对账明细接口!$P347=0,"",[2]对账明细接口!$P347),"")</f>
      </c>
      <c r="V347" s="212">
        <f>IFERROR(IF([2]对账明细接口!$Q347=0,"",[2]对账明细接口!$Q347),"")</f>
      </c>
      <c r="W347" s="20">
        <f>IFERROR(IF([2]对账明细接口!$R347=0,"",[2]对账明细接口!$R347),"")</f>
      </c>
      <c r="X347" s="20">
        <f>IFERROR(IF([2]对账明细接口!$S347=0,"",[2]对账明细接口!$S347),"")</f>
      </c>
      <c r="Y347" s="20">
        <f>""</f>
      </c>
      <c r="Z347" s="20">
        <f>""</f>
      </c>
      <c r="AA347" s="20">
        <f>""</f>
      </c>
      <c r="AB347" s="20">
        <f>""</f>
      </c>
    </row>
    <row r="348" s="127">
      <c r="A348" s="14" t="n">
        <v>348</v>
      </c>
      <c r="B348" s="211">
        <f>IFERROR(IF([2]对账明细接口!$B$348=0,"",[2]对账明细接口!$B$348),"")</f>
      </c>
      <c r="C348" s="16">
        <f>IFERROR(IF([2]对账明细接口!$C$348=0,"",[2]对账明细接口!$C$348),"")</f>
      </c>
      <c r="D348" s="16">
        <f>IFERROR(IF([2]对账明细接口!$D$348=0,"",[2]对账明细接口!$D$348),"")</f>
      </c>
      <c r="E348" s="16">
        <f>IFERROR(IF([2]对账明细接口!$E$348=0,"",[2]对账明细接口!$E$348),"")</f>
      </c>
      <c r="F348" s="16">
        <f>IFERROR(IF([2]对账明细接口!$F$348=0,"",[2]对账明细接口!$F$348),"")</f>
      </c>
      <c r="G348" s="16">
        <f>IFERROR(IF([2]对账明细接口!$G$348=0,"",[2]对账明细接口!$G$348),"")</f>
      </c>
      <c r="H348" s="176">
        <f>IFERROR(IF([2]对账明细接口!$H$348=0,"",[2]对账明细接口!$H$348),"")</f>
      </c>
      <c r="I348" s="16">
        <f>IFERROR(IF([2]对账明细接口!$I$348=0,"",[2]对账明细接口!$I$348),"")</f>
      </c>
      <c r="J348" s="177">
        <f>IFERROR(IF([2]对账明细接口!$J$348=0,"",[2]对账明细接口!$J$348),"")</f>
      </c>
      <c r="K348" s="177">
        <f>IFERROR(IF([2]对账明细接口!$K$348=0,"",[2]对账明细接口!$K$348),"")</f>
      </c>
      <c r="L348" s="16">
        <f>IFERROR(IF([2]对账明细接口!$L$348=0,"",[2]对账明细接口!$L$348),"")</f>
      </c>
      <c r="M348" s="16">
        <f>IFERROR(IF([2]对账明细接口!$M$348=0,"",[2]对账明细接口!$M$348),"")</f>
      </c>
      <c r="N348" s="19">
        <f>IF($C348="",0,1)</f>
        <v>0</v>
      </c>
      <c r="O348" s="19">
        <f>N(O347)+$N348</f>
        <v>272</v>
      </c>
      <c r="S348" s="20">
        <f>IFERROR(IF([2]对账明细接口!$N348=0,"",[2]对账明细接口!$N348),"")</f>
      </c>
      <c r="T348" s="212">
        <f>IFERROR(IF([2]对账明细接口!$O348=0,"",[2]对账明细接口!$O348),"")</f>
      </c>
      <c r="U348" s="212">
        <f>IFERROR(IF([2]对账明细接口!$P348=0,"",[2]对账明细接口!$P348),"")</f>
      </c>
      <c r="V348" s="212">
        <f>IFERROR(IF([2]对账明细接口!$Q348=0,"",[2]对账明细接口!$Q348),"")</f>
      </c>
      <c r="W348" s="20">
        <f>IFERROR(IF([2]对账明细接口!$R348=0,"",[2]对账明细接口!$R348),"")</f>
      </c>
      <c r="X348" s="20">
        <f>IFERROR(IF([2]对账明细接口!$S348=0,"",[2]对账明细接口!$S348),"")</f>
      </c>
      <c r="Y348" s="20">
        <f>""</f>
      </c>
      <c r="Z348" s="20">
        <f>""</f>
      </c>
      <c r="AA348" s="20">
        <f>""</f>
      </c>
      <c r="AB348" s="20">
        <f>""</f>
      </c>
    </row>
    <row r="349" s="127">
      <c r="A349" s="14" t="n">
        <v>349</v>
      </c>
      <c r="B349" s="211">
        <f>IFERROR(IF([2]对账明细接口!$B$349=0,"",[2]对账明细接口!$B$349),"")</f>
      </c>
      <c r="C349" s="16">
        <f>IFERROR(IF([2]对账明细接口!$C$349=0,"",[2]对账明细接口!$C$349),"")</f>
      </c>
      <c r="D349" s="16">
        <f>IFERROR(IF([2]对账明细接口!$D$349=0,"",[2]对账明细接口!$D$349),"")</f>
      </c>
      <c r="E349" s="16">
        <f>IFERROR(IF([2]对账明细接口!$E$349=0,"",[2]对账明细接口!$E$349),"")</f>
      </c>
      <c r="F349" s="16">
        <f>IFERROR(IF([2]对账明细接口!$F$349=0,"",[2]对账明细接口!$F$349),"")</f>
      </c>
      <c r="G349" s="16">
        <f>IFERROR(IF([2]对账明细接口!$G$349=0,"",[2]对账明细接口!$G$349),"")</f>
      </c>
      <c r="H349" s="176">
        <f>IFERROR(IF([2]对账明细接口!$H$349=0,"",[2]对账明细接口!$H$349),"")</f>
      </c>
      <c r="I349" s="16">
        <f>IFERROR(IF([2]对账明细接口!$I$349=0,"",[2]对账明细接口!$I$349),"")</f>
      </c>
      <c r="J349" s="177">
        <f>IFERROR(IF([2]对账明细接口!$J$349=0,"",[2]对账明细接口!$J$349),"")</f>
      </c>
      <c r="K349" s="177">
        <f>IFERROR(IF([2]对账明细接口!$K$349=0,"",[2]对账明细接口!$K$349),"")</f>
      </c>
      <c r="L349" s="16">
        <f>IFERROR(IF([2]对账明细接口!$L$349=0,"",[2]对账明细接口!$L$349),"")</f>
      </c>
      <c r="M349" s="16">
        <f>IFERROR(IF([2]对账明细接口!$M$349=0,"",[2]对账明细接口!$M$349),"")</f>
      </c>
      <c r="N349" s="19">
        <f>IF($C349="",0,1)</f>
        <v>0</v>
      </c>
      <c r="O349" s="19">
        <f>N(O348)+$N349</f>
        <v>272</v>
      </c>
      <c r="S349" s="20">
        <f>IFERROR(IF([2]对账明细接口!$N349=0,"",[2]对账明细接口!$N349),"")</f>
      </c>
      <c r="T349" s="212">
        <f>IFERROR(IF([2]对账明细接口!$O349=0,"",[2]对账明细接口!$O349),"")</f>
      </c>
      <c r="U349" s="212">
        <f>IFERROR(IF([2]对账明细接口!$P349=0,"",[2]对账明细接口!$P349),"")</f>
      </c>
      <c r="V349" s="212">
        <f>IFERROR(IF([2]对账明细接口!$Q349=0,"",[2]对账明细接口!$Q349),"")</f>
      </c>
      <c r="W349" s="20">
        <f>IFERROR(IF([2]对账明细接口!$R349=0,"",[2]对账明细接口!$R349),"")</f>
      </c>
      <c r="X349" s="20">
        <f>IFERROR(IF([2]对账明细接口!$S349=0,"",[2]对账明细接口!$S349),"")</f>
      </c>
      <c r="Y349" s="20">
        <f>""</f>
      </c>
      <c r="Z349" s="20">
        <f>""</f>
      </c>
      <c r="AA349" s="20">
        <f>""</f>
      </c>
      <c r="AB349" s="20">
        <f>""</f>
      </c>
    </row>
    <row r="350" s="127">
      <c r="A350" s="14" t="n">
        <v>350</v>
      </c>
      <c r="B350" s="211">
        <f>IFERROR(IF([2]对账明细接口!$B$350=0,"",[2]对账明细接口!$B$350),"")</f>
      </c>
      <c r="C350" s="16">
        <f>IFERROR(IF([2]对账明细接口!$C$350=0,"",[2]对账明细接口!$C$350),"")</f>
      </c>
      <c r="D350" s="16">
        <f>IFERROR(IF([2]对账明细接口!$D$350=0,"",[2]对账明细接口!$D$350),"")</f>
      </c>
      <c r="E350" s="16">
        <f>IFERROR(IF([2]对账明细接口!$E$350=0,"",[2]对账明细接口!$E$350),"")</f>
      </c>
      <c r="F350" s="16">
        <f>IFERROR(IF([2]对账明细接口!$F$350=0,"",[2]对账明细接口!$F$350),"")</f>
      </c>
      <c r="G350" s="16">
        <f>IFERROR(IF([2]对账明细接口!$G$350=0,"",[2]对账明细接口!$G$350),"")</f>
      </c>
      <c r="H350" s="176">
        <f>IFERROR(IF([2]对账明细接口!$H$350=0,"",[2]对账明细接口!$H$350),"")</f>
      </c>
      <c r="I350" s="16">
        <f>IFERROR(IF([2]对账明细接口!$I$350=0,"",[2]对账明细接口!$I$350),"")</f>
      </c>
      <c r="J350" s="177">
        <f>IFERROR(IF([2]对账明细接口!$J$350=0,"",[2]对账明细接口!$J$350),"")</f>
      </c>
      <c r="K350" s="177">
        <f>IFERROR(IF([2]对账明细接口!$K$350=0,"",[2]对账明细接口!$K$350),"")</f>
      </c>
      <c r="L350" s="16">
        <f>IFERROR(IF([2]对账明细接口!$L$350=0,"",[2]对账明细接口!$L$350),"")</f>
      </c>
      <c r="M350" s="16">
        <f>IFERROR(IF([2]对账明细接口!$M$350=0,"",[2]对账明细接口!$M$350),"")</f>
      </c>
      <c r="N350" s="19">
        <f>IF($C350="",0,1)</f>
        <v>0</v>
      </c>
      <c r="O350" s="19">
        <f>N(O349)+$N350</f>
        <v>272</v>
      </c>
      <c r="S350" s="20">
        <f>IFERROR(IF([2]对账明细接口!$N350=0,"",[2]对账明细接口!$N350),"")</f>
      </c>
      <c r="T350" s="212">
        <f>IFERROR(IF([2]对账明细接口!$O350=0,"",[2]对账明细接口!$O350),"")</f>
      </c>
      <c r="U350" s="212">
        <f>IFERROR(IF([2]对账明细接口!$P350=0,"",[2]对账明细接口!$P350),"")</f>
      </c>
      <c r="V350" s="212">
        <f>IFERROR(IF([2]对账明细接口!$Q350=0,"",[2]对账明细接口!$Q350),"")</f>
      </c>
      <c r="W350" s="20">
        <f>IFERROR(IF([2]对账明细接口!$R350=0,"",[2]对账明细接口!$R350),"")</f>
      </c>
      <c r="X350" s="20">
        <f>IFERROR(IF([2]对账明细接口!$S350=0,"",[2]对账明细接口!$S350),"")</f>
      </c>
      <c r="Y350" s="20">
        <f>""</f>
      </c>
      <c r="Z350" s="20">
        <f>""</f>
      </c>
      <c r="AA350" s="20">
        <f>""</f>
      </c>
      <c r="AB350" s="20">
        <f>""</f>
      </c>
    </row>
    <row r="351" s="127">
      <c r="A351" s="14" t="n">
        <v>351</v>
      </c>
      <c r="B351" s="211">
        <f>IFERROR(IF([2]对账明细接口!$B$351=0,"",[2]对账明细接口!$B$351),"")</f>
      </c>
      <c r="C351" s="16">
        <f>IFERROR(IF([2]对账明细接口!$C$351=0,"",[2]对账明细接口!$C$351),"")</f>
      </c>
      <c r="D351" s="16">
        <f>IFERROR(IF([2]对账明细接口!$D$351=0,"",[2]对账明细接口!$D$351),"")</f>
      </c>
      <c r="E351" s="16">
        <f>IFERROR(IF([2]对账明细接口!$E$351=0,"",[2]对账明细接口!$E$351),"")</f>
      </c>
      <c r="F351" s="16">
        <f>IFERROR(IF([2]对账明细接口!$F$351=0,"",[2]对账明细接口!$F$351),"")</f>
      </c>
      <c r="G351" s="16">
        <f>IFERROR(IF([2]对账明细接口!$G$351=0,"",[2]对账明细接口!$G$351),"")</f>
      </c>
      <c r="H351" s="176">
        <f>IFERROR(IF([2]对账明细接口!$H$351=0,"",[2]对账明细接口!$H$351),"")</f>
      </c>
      <c r="I351" s="16">
        <f>IFERROR(IF([2]对账明细接口!$I$351=0,"",[2]对账明细接口!$I$351),"")</f>
      </c>
      <c r="J351" s="177">
        <f>IFERROR(IF([2]对账明细接口!$J$351=0,"",[2]对账明细接口!$J$351),"")</f>
      </c>
      <c r="K351" s="177">
        <f>IFERROR(IF([2]对账明细接口!$K$351=0,"",[2]对账明细接口!$K$351),"")</f>
      </c>
      <c r="L351" s="16">
        <f>IFERROR(IF([2]对账明细接口!$L$351=0,"",[2]对账明细接口!$L$351),"")</f>
      </c>
      <c r="M351" s="16">
        <f>IFERROR(IF([2]对账明细接口!$M$351=0,"",[2]对账明细接口!$M$351),"")</f>
      </c>
      <c r="N351" s="19">
        <f>IF($C351="",0,1)</f>
        <v>0</v>
      </c>
      <c r="O351" s="19">
        <f>N(O350)+$N351</f>
        <v>272</v>
      </c>
      <c r="S351" s="20">
        <f>IFERROR(IF([2]对账明细接口!$N351=0,"",[2]对账明细接口!$N351),"")</f>
      </c>
      <c r="T351" s="212">
        <f>IFERROR(IF([2]对账明细接口!$O351=0,"",[2]对账明细接口!$O351),"")</f>
      </c>
      <c r="U351" s="212">
        <f>IFERROR(IF([2]对账明细接口!$P351=0,"",[2]对账明细接口!$P351),"")</f>
      </c>
      <c r="V351" s="212">
        <f>IFERROR(IF([2]对账明细接口!$Q351=0,"",[2]对账明细接口!$Q351),"")</f>
      </c>
      <c r="W351" s="20">
        <f>IFERROR(IF([2]对账明细接口!$R351=0,"",[2]对账明细接口!$R351),"")</f>
      </c>
      <c r="X351" s="20">
        <f>IFERROR(IF([2]对账明细接口!$S351=0,"",[2]对账明细接口!$S351),"")</f>
      </c>
      <c r="Y351" s="20">
        <f>""</f>
      </c>
      <c r="Z351" s="20">
        <f>""</f>
      </c>
      <c r="AA351" s="20">
        <f>""</f>
      </c>
      <c r="AB351" s="20">
        <f>""</f>
      </c>
    </row>
    <row r="352" s="127">
      <c r="A352" s="14" t="n">
        <v>352</v>
      </c>
      <c r="B352" s="211">
        <f>IFERROR(IF([2]对账明细接口!$B$352=0,"",[2]对账明细接口!$B$352),"")</f>
      </c>
      <c r="C352" s="16">
        <f>IFERROR(IF([2]对账明细接口!$C$352=0,"",[2]对账明细接口!$C$352),"")</f>
      </c>
      <c r="D352" s="16">
        <f>IFERROR(IF([2]对账明细接口!$D$352=0,"",[2]对账明细接口!$D$352),"")</f>
      </c>
      <c r="E352" s="16">
        <f>IFERROR(IF([2]对账明细接口!$E$352=0,"",[2]对账明细接口!$E$352),"")</f>
      </c>
      <c r="F352" s="16">
        <f>IFERROR(IF([2]对账明细接口!$F$352=0,"",[2]对账明细接口!$F$352),"")</f>
      </c>
      <c r="G352" s="16">
        <f>IFERROR(IF([2]对账明细接口!$G$352=0,"",[2]对账明细接口!$G$352),"")</f>
      </c>
      <c r="H352" s="176">
        <f>IFERROR(IF([2]对账明细接口!$H$352=0,"",[2]对账明细接口!$H$352),"")</f>
      </c>
      <c r="I352" s="16">
        <f>IFERROR(IF([2]对账明细接口!$I$352=0,"",[2]对账明细接口!$I$352),"")</f>
      </c>
      <c r="J352" s="177">
        <f>IFERROR(IF([2]对账明细接口!$J$352=0,"",[2]对账明细接口!$J$352),"")</f>
      </c>
      <c r="K352" s="177">
        <f>IFERROR(IF([2]对账明细接口!$K$352=0,"",[2]对账明细接口!$K$352),"")</f>
      </c>
      <c r="L352" s="16">
        <f>IFERROR(IF([2]对账明细接口!$L$352=0,"",[2]对账明细接口!$L$352),"")</f>
      </c>
      <c r="M352" s="16">
        <f>IFERROR(IF([2]对账明细接口!$M$352=0,"",[2]对账明细接口!$M$352),"")</f>
      </c>
      <c r="N352" s="19">
        <f>IF($C352="",0,1)</f>
        <v>0</v>
      </c>
      <c r="O352" s="19">
        <f>N(O351)+$N352</f>
        <v>272</v>
      </c>
      <c r="S352" s="20">
        <f>IFERROR(IF([2]对账明细接口!$N352=0,"",[2]对账明细接口!$N352),"")</f>
      </c>
      <c r="T352" s="212">
        <f>IFERROR(IF([2]对账明细接口!$O352=0,"",[2]对账明细接口!$O352),"")</f>
      </c>
      <c r="U352" s="212">
        <f>IFERROR(IF([2]对账明细接口!$P352=0,"",[2]对账明细接口!$P352),"")</f>
      </c>
      <c r="V352" s="212">
        <f>IFERROR(IF([2]对账明细接口!$Q352=0,"",[2]对账明细接口!$Q352),"")</f>
      </c>
      <c r="W352" s="20">
        <f>IFERROR(IF([2]对账明细接口!$R352=0,"",[2]对账明细接口!$R352),"")</f>
      </c>
      <c r="X352" s="20">
        <f>IFERROR(IF([2]对账明细接口!$S352=0,"",[2]对账明细接口!$S352),"")</f>
      </c>
      <c r="Y352" s="20">
        <f>""</f>
      </c>
      <c r="Z352" s="20">
        <f>""</f>
      </c>
      <c r="AA352" s="20">
        <f>""</f>
      </c>
      <c r="AB352" s="20">
        <f>""</f>
      </c>
    </row>
    <row r="353" s="127">
      <c r="A353" s="14" t="n">
        <v>353</v>
      </c>
      <c r="B353" s="211">
        <f>IFERROR(IF([2]对账明细接口!$B$353=0,"",[2]对账明细接口!$B$353),"")</f>
      </c>
      <c r="C353" s="16">
        <f>IFERROR(IF([2]对账明细接口!$C$353=0,"",[2]对账明细接口!$C$353),"")</f>
      </c>
      <c r="D353" s="16">
        <f>IFERROR(IF([2]对账明细接口!$D$353=0,"",[2]对账明细接口!$D$353),"")</f>
      </c>
      <c r="E353" s="16">
        <f>IFERROR(IF([2]对账明细接口!$E$353=0,"",[2]对账明细接口!$E$353),"")</f>
      </c>
      <c r="F353" s="16">
        <f>IFERROR(IF([2]对账明细接口!$F$353=0,"",[2]对账明细接口!$F$353),"")</f>
      </c>
      <c r="G353" s="16">
        <f>IFERROR(IF([2]对账明细接口!$G$353=0,"",[2]对账明细接口!$G$353),"")</f>
      </c>
      <c r="H353" s="176">
        <f>IFERROR(IF([2]对账明细接口!$H$353=0,"",[2]对账明细接口!$H$353),"")</f>
      </c>
      <c r="I353" s="16">
        <f>IFERROR(IF([2]对账明细接口!$I$353=0,"",[2]对账明细接口!$I$353),"")</f>
      </c>
      <c r="J353" s="177">
        <f>IFERROR(IF([2]对账明细接口!$J$353=0,"",[2]对账明细接口!$J$353),"")</f>
      </c>
      <c r="K353" s="177">
        <f>IFERROR(IF([2]对账明细接口!$K$353=0,"",[2]对账明细接口!$K$353),"")</f>
      </c>
      <c r="L353" s="16">
        <f>IFERROR(IF([2]对账明细接口!$L$353=0,"",[2]对账明细接口!$L$353),"")</f>
      </c>
      <c r="M353" s="16">
        <f>IFERROR(IF([2]对账明细接口!$M$353=0,"",[2]对账明细接口!$M$353),"")</f>
      </c>
      <c r="N353" s="19">
        <f>IF($C353="",0,1)</f>
        <v>0</v>
      </c>
      <c r="O353" s="19">
        <f>N(O352)+$N353</f>
        <v>272</v>
      </c>
      <c r="S353" s="20">
        <f>IFERROR(IF([2]对账明细接口!$N353=0,"",[2]对账明细接口!$N353),"")</f>
      </c>
      <c r="T353" s="212">
        <f>IFERROR(IF([2]对账明细接口!$O353=0,"",[2]对账明细接口!$O353),"")</f>
      </c>
      <c r="U353" s="212">
        <f>IFERROR(IF([2]对账明细接口!$P353=0,"",[2]对账明细接口!$P353),"")</f>
      </c>
      <c r="V353" s="212">
        <f>IFERROR(IF([2]对账明细接口!$Q353=0,"",[2]对账明细接口!$Q353),"")</f>
      </c>
      <c r="W353" s="20">
        <f>IFERROR(IF([2]对账明细接口!$R353=0,"",[2]对账明细接口!$R353),"")</f>
      </c>
      <c r="X353" s="20">
        <f>IFERROR(IF([2]对账明细接口!$S353=0,"",[2]对账明细接口!$S353),"")</f>
      </c>
      <c r="Y353" s="20">
        <f>""</f>
      </c>
      <c r="Z353" s="20">
        <f>""</f>
      </c>
      <c r="AA353" s="20">
        <f>""</f>
      </c>
      <c r="AB353" s="20">
        <f>""</f>
      </c>
    </row>
    <row r="354" s="127">
      <c r="A354" s="14" t="n">
        <v>354</v>
      </c>
      <c r="B354" s="211">
        <f>IFERROR(IF([2]对账明细接口!$B$354=0,"",[2]对账明细接口!$B$354),"")</f>
      </c>
      <c r="C354" s="16">
        <f>IFERROR(IF([2]对账明细接口!$C$354=0,"",[2]对账明细接口!$C$354),"")</f>
      </c>
      <c r="D354" s="16">
        <f>IFERROR(IF([2]对账明细接口!$D$354=0,"",[2]对账明细接口!$D$354),"")</f>
      </c>
      <c r="E354" s="16">
        <f>IFERROR(IF([2]对账明细接口!$E$354=0,"",[2]对账明细接口!$E$354),"")</f>
      </c>
      <c r="F354" s="16">
        <f>IFERROR(IF([2]对账明细接口!$F$354=0,"",[2]对账明细接口!$F$354),"")</f>
      </c>
      <c r="G354" s="16">
        <f>IFERROR(IF([2]对账明细接口!$G$354=0,"",[2]对账明细接口!$G$354),"")</f>
      </c>
      <c r="H354" s="176">
        <f>IFERROR(IF([2]对账明细接口!$H$354=0,"",[2]对账明细接口!$H$354),"")</f>
      </c>
      <c r="I354" s="16">
        <f>IFERROR(IF([2]对账明细接口!$I$354=0,"",[2]对账明细接口!$I$354),"")</f>
      </c>
      <c r="J354" s="177">
        <f>IFERROR(IF([2]对账明细接口!$J$354=0,"",[2]对账明细接口!$J$354),"")</f>
      </c>
      <c r="K354" s="177">
        <f>IFERROR(IF([2]对账明细接口!$K$354=0,"",[2]对账明细接口!$K$354),"")</f>
      </c>
      <c r="L354" s="16">
        <f>IFERROR(IF([2]对账明细接口!$L$354=0,"",[2]对账明细接口!$L$354),"")</f>
      </c>
      <c r="M354" s="16">
        <f>IFERROR(IF([2]对账明细接口!$M$354=0,"",[2]对账明细接口!$M$354),"")</f>
      </c>
      <c r="N354" s="19">
        <f>IF($C354="",0,1)</f>
        <v>0</v>
      </c>
      <c r="O354" s="19">
        <f>N(O353)+$N354</f>
        <v>272</v>
      </c>
      <c r="S354" s="20">
        <f>IFERROR(IF([2]对账明细接口!$N354=0,"",[2]对账明细接口!$N354),"")</f>
      </c>
      <c r="T354" s="212">
        <f>IFERROR(IF([2]对账明细接口!$O354=0,"",[2]对账明细接口!$O354),"")</f>
      </c>
      <c r="U354" s="212">
        <f>IFERROR(IF([2]对账明细接口!$P354=0,"",[2]对账明细接口!$P354),"")</f>
      </c>
      <c r="V354" s="212">
        <f>IFERROR(IF([2]对账明细接口!$Q354=0,"",[2]对账明细接口!$Q354),"")</f>
      </c>
      <c r="W354" s="20">
        <f>IFERROR(IF([2]对账明细接口!$R354=0,"",[2]对账明细接口!$R354),"")</f>
      </c>
      <c r="X354" s="20">
        <f>IFERROR(IF([2]对账明细接口!$S354=0,"",[2]对账明细接口!$S354),"")</f>
      </c>
      <c r="Y354" s="20">
        <f>""</f>
      </c>
      <c r="Z354" s="20">
        <f>""</f>
      </c>
      <c r="AA354" s="20">
        <f>""</f>
      </c>
      <c r="AB354" s="20">
        <f>""</f>
      </c>
    </row>
    <row r="355" s="127">
      <c r="A355" s="14" t="n">
        <v>355</v>
      </c>
      <c r="B355" s="211">
        <f>IFERROR(IF([2]对账明细接口!$B$355=0,"",[2]对账明细接口!$B$355),"")</f>
      </c>
      <c r="C355" s="16">
        <f>IFERROR(IF([2]对账明细接口!$C$355=0,"",[2]对账明细接口!$C$355),"")</f>
      </c>
      <c r="D355" s="16">
        <f>IFERROR(IF([2]对账明细接口!$D$355=0,"",[2]对账明细接口!$D$355),"")</f>
      </c>
      <c r="E355" s="16">
        <f>IFERROR(IF([2]对账明细接口!$E$355=0,"",[2]对账明细接口!$E$355),"")</f>
      </c>
      <c r="F355" s="16">
        <f>IFERROR(IF([2]对账明细接口!$F$355=0,"",[2]对账明细接口!$F$355),"")</f>
      </c>
      <c r="G355" s="16">
        <f>IFERROR(IF([2]对账明细接口!$G$355=0,"",[2]对账明细接口!$G$355),"")</f>
      </c>
      <c r="H355" s="176">
        <f>IFERROR(IF([2]对账明细接口!$H$355=0,"",[2]对账明细接口!$H$355),"")</f>
      </c>
      <c r="I355" s="16">
        <f>IFERROR(IF([2]对账明细接口!$I$355=0,"",[2]对账明细接口!$I$355),"")</f>
      </c>
      <c r="J355" s="177">
        <f>IFERROR(IF([2]对账明细接口!$J$355=0,"",[2]对账明细接口!$J$355),"")</f>
      </c>
      <c r="K355" s="177">
        <f>IFERROR(IF([2]对账明细接口!$K$355=0,"",[2]对账明细接口!$K$355),"")</f>
      </c>
      <c r="L355" s="16">
        <f>IFERROR(IF([2]对账明细接口!$L$355=0,"",[2]对账明细接口!$L$355),"")</f>
      </c>
      <c r="M355" s="16">
        <f>IFERROR(IF([2]对账明细接口!$M$355=0,"",[2]对账明细接口!$M$355),"")</f>
      </c>
      <c r="N355" s="19">
        <f>IF($C355="",0,1)</f>
        <v>0</v>
      </c>
      <c r="O355" s="19">
        <f>N(O354)+$N355</f>
        <v>272</v>
      </c>
      <c r="S355" s="20">
        <f>IFERROR(IF([2]对账明细接口!$N355=0,"",[2]对账明细接口!$N355),"")</f>
      </c>
      <c r="T355" s="212">
        <f>IFERROR(IF([2]对账明细接口!$O355=0,"",[2]对账明细接口!$O355),"")</f>
      </c>
      <c r="U355" s="212">
        <f>IFERROR(IF([2]对账明细接口!$P355=0,"",[2]对账明细接口!$P355),"")</f>
      </c>
      <c r="V355" s="212">
        <f>IFERROR(IF([2]对账明细接口!$Q355=0,"",[2]对账明细接口!$Q355),"")</f>
      </c>
      <c r="W355" s="20">
        <f>IFERROR(IF([2]对账明细接口!$R355=0,"",[2]对账明细接口!$R355),"")</f>
      </c>
      <c r="X355" s="20">
        <f>IFERROR(IF([2]对账明细接口!$S355=0,"",[2]对账明细接口!$S355),"")</f>
      </c>
      <c r="Y355" s="20">
        <f>""</f>
      </c>
      <c r="Z355" s="20">
        <f>""</f>
      </c>
      <c r="AA355" s="20">
        <f>""</f>
      </c>
      <c r="AB355" s="20">
        <f>""</f>
      </c>
    </row>
    <row r="356" s="127">
      <c r="A356" s="14" t="n">
        <v>356</v>
      </c>
      <c r="B356" s="211">
        <f>IFERROR(IF([2]对账明细接口!$B$356=0,"",[2]对账明细接口!$B$356),"")</f>
      </c>
      <c r="C356" s="16">
        <f>IFERROR(IF([2]对账明细接口!$C$356=0,"",[2]对账明细接口!$C$356),"")</f>
      </c>
      <c r="D356" s="16">
        <f>IFERROR(IF([2]对账明细接口!$D$356=0,"",[2]对账明细接口!$D$356),"")</f>
      </c>
      <c r="E356" s="16">
        <f>IFERROR(IF([2]对账明细接口!$E$356=0,"",[2]对账明细接口!$E$356),"")</f>
      </c>
      <c r="F356" s="16">
        <f>IFERROR(IF([2]对账明细接口!$F$356=0,"",[2]对账明细接口!$F$356),"")</f>
      </c>
      <c r="G356" s="16">
        <f>IFERROR(IF([2]对账明细接口!$G$356=0,"",[2]对账明细接口!$G$356),"")</f>
      </c>
      <c r="H356" s="176">
        <f>IFERROR(IF([2]对账明细接口!$H$356=0,"",[2]对账明细接口!$H$356),"")</f>
      </c>
      <c r="I356" s="16">
        <f>IFERROR(IF([2]对账明细接口!$I$356=0,"",[2]对账明细接口!$I$356),"")</f>
      </c>
      <c r="J356" s="177">
        <f>IFERROR(IF([2]对账明细接口!$J$356=0,"",[2]对账明细接口!$J$356),"")</f>
      </c>
      <c r="K356" s="177">
        <f>IFERROR(IF([2]对账明细接口!$K$356=0,"",[2]对账明细接口!$K$356),"")</f>
      </c>
      <c r="L356" s="16">
        <f>IFERROR(IF([2]对账明细接口!$L$356=0,"",[2]对账明细接口!$L$356),"")</f>
      </c>
      <c r="M356" s="16">
        <f>IFERROR(IF([2]对账明细接口!$M$356=0,"",[2]对账明细接口!$M$356),"")</f>
      </c>
      <c r="N356" s="19">
        <f>IF($C356="",0,1)</f>
        <v>0</v>
      </c>
      <c r="O356" s="19">
        <f>N(O355)+$N356</f>
        <v>272</v>
      </c>
      <c r="S356" s="20">
        <f>IFERROR(IF([2]对账明细接口!$N356=0,"",[2]对账明细接口!$N356),"")</f>
      </c>
      <c r="T356" s="212">
        <f>IFERROR(IF([2]对账明细接口!$O356=0,"",[2]对账明细接口!$O356),"")</f>
      </c>
      <c r="U356" s="212">
        <f>IFERROR(IF([2]对账明细接口!$P356=0,"",[2]对账明细接口!$P356),"")</f>
      </c>
      <c r="V356" s="212">
        <f>IFERROR(IF([2]对账明细接口!$Q356=0,"",[2]对账明细接口!$Q356),"")</f>
      </c>
      <c r="W356" s="20">
        <f>IFERROR(IF([2]对账明细接口!$R356=0,"",[2]对账明细接口!$R356),"")</f>
      </c>
      <c r="X356" s="20">
        <f>IFERROR(IF([2]对账明细接口!$S356=0,"",[2]对账明细接口!$S356),"")</f>
      </c>
      <c r="Y356" s="20">
        <f>""</f>
      </c>
      <c r="Z356" s="20">
        <f>""</f>
      </c>
      <c r="AA356" s="20">
        <f>""</f>
      </c>
      <c r="AB356" s="20">
        <f>""</f>
      </c>
    </row>
    <row r="357" s="127">
      <c r="A357" s="14" t="n">
        <v>357</v>
      </c>
      <c r="B357" s="211">
        <f>IFERROR(IF([2]对账明细接口!$B$357=0,"",[2]对账明细接口!$B$357),"")</f>
      </c>
      <c r="C357" s="16">
        <f>IFERROR(IF([2]对账明细接口!$C$357=0,"",[2]对账明细接口!$C$357),"")</f>
      </c>
      <c r="D357" s="16">
        <f>IFERROR(IF([2]对账明细接口!$D$357=0,"",[2]对账明细接口!$D$357),"")</f>
      </c>
      <c r="E357" s="16">
        <f>IFERROR(IF([2]对账明细接口!$E$357=0,"",[2]对账明细接口!$E$357),"")</f>
      </c>
      <c r="F357" s="16">
        <f>IFERROR(IF([2]对账明细接口!$F$357=0,"",[2]对账明细接口!$F$357),"")</f>
      </c>
      <c r="G357" s="16">
        <f>IFERROR(IF([2]对账明细接口!$G$357=0,"",[2]对账明细接口!$G$357),"")</f>
      </c>
      <c r="H357" s="176">
        <f>IFERROR(IF([2]对账明细接口!$H$357=0,"",[2]对账明细接口!$H$357),"")</f>
      </c>
      <c r="I357" s="16">
        <f>IFERROR(IF([2]对账明细接口!$I$357=0,"",[2]对账明细接口!$I$357),"")</f>
      </c>
      <c r="J357" s="177">
        <f>IFERROR(IF([2]对账明细接口!$J$357=0,"",[2]对账明细接口!$J$357),"")</f>
      </c>
      <c r="K357" s="177">
        <f>IFERROR(IF([2]对账明细接口!$K$357=0,"",[2]对账明细接口!$K$357),"")</f>
      </c>
      <c r="L357" s="16">
        <f>IFERROR(IF([2]对账明细接口!$L$357=0,"",[2]对账明细接口!$L$357),"")</f>
      </c>
      <c r="M357" s="16">
        <f>IFERROR(IF([2]对账明细接口!$M$357=0,"",[2]对账明细接口!$M$357),"")</f>
      </c>
      <c r="N357" s="19">
        <f>IF($C357="",0,1)</f>
        <v>0</v>
      </c>
      <c r="O357" s="19">
        <f>N(O356)+$N357</f>
        <v>272</v>
      </c>
      <c r="S357" s="20">
        <f>IFERROR(IF([2]对账明细接口!$N357=0,"",[2]对账明细接口!$N357),"")</f>
      </c>
      <c r="T357" s="212">
        <f>IFERROR(IF([2]对账明细接口!$O357=0,"",[2]对账明细接口!$O357),"")</f>
      </c>
      <c r="U357" s="212">
        <f>IFERROR(IF([2]对账明细接口!$P357=0,"",[2]对账明细接口!$P357),"")</f>
      </c>
      <c r="V357" s="212">
        <f>IFERROR(IF([2]对账明细接口!$Q357=0,"",[2]对账明细接口!$Q357),"")</f>
      </c>
      <c r="W357" s="20">
        <f>IFERROR(IF([2]对账明细接口!$R357=0,"",[2]对账明细接口!$R357),"")</f>
      </c>
      <c r="X357" s="20">
        <f>IFERROR(IF([2]对账明细接口!$S357=0,"",[2]对账明细接口!$S357),"")</f>
      </c>
      <c r="Y357" s="20">
        <f>""</f>
      </c>
      <c r="Z357" s="20">
        <f>""</f>
      </c>
      <c r="AA357" s="20">
        <f>""</f>
      </c>
      <c r="AB357" s="20">
        <f>""</f>
      </c>
    </row>
    <row r="358" s="127">
      <c r="A358" s="14" t="n">
        <v>358</v>
      </c>
      <c r="B358" s="211">
        <f>IFERROR(IF([2]对账明细接口!$B$358=0,"",[2]对账明细接口!$B$358),"")</f>
      </c>
      <c r="C358" s="16">
        <f>IFERROR(IF([2]对账明细接口!$C$358=0,"",[2]对账明细接口!$C$358),"")</f>
      </c>
      <c r="D358" s="16">
        <f>IFERROR(IF([2]对账明细接口!$D$358=0,"",[2]对账明细接口!$D$358),"")</f>
      </c>
      <c r="E358" s="16">
        <f>IFERROR(IF([2]对账明细接口!$E$358=0,"",[2]对账明细接口!$E$358),"")</f>
      </c>
      <c r="F358" s="16">
        <f>IFERROR(IF([2]对账明细接口!$F$358=0,"",[2]对账明细接口!$F$358),"")</f>
      </c>
      <c r="G358" s="16">
        <f>IFERROR(IF([2]对账明细接口!$G$358=0,"",[2]对账明细接口!$G$358),"")</f>
      </c>
      <c r="H358" s="176">
        <f>IFERROR(IF([2]对账明细接口!$H$358=0,"",[2]对账明细接口!$H$358),"")</f>
      </c>
      <c r="I358" s="16">
        <f>IFERROR(IF([2]对账明细接口!$I$358=0,"",[2]对账明细接口!$I$358),"")</f>
      </c>
      <c r="J358" s="177">
        <f>IFERROR(IF([2]对账明细接口!$J$358=0,"",[2]对账明细接口!$J$358),"")</f>
      </c>
      <c r="K358" s="177">
        <f>IFERROR(IF([2]对账明细接口!$K$358=0,"",[2]对账明细接口!$K$358),"")</f>
      </c>
      <c r="L358" s="16">
        <f>IFERROR(IF([2]对账明细接口!$L$358=0,"",[2]对账明细接口!$L$358),"")</f>
      </c>
      <c r="M358" s="16">
        <f>IFERROR(IF([2]对账明细接口!$M$358=0,"",[2]对账明细接口!$M$358),"")</f>
      </c>
      <c r="N358" s="19">
        <f>IF($C358="",0,1)</f>
        <v>0</v>
      </c>
      <c r="O358" s="19">
        <f>N(O357)+$N358</f>
        <v>272</v>
      </c>
      <c r="S358" s="20">
        <f>IFERROR(IF([2]对账明细接口!$N358=0,"",[2]对账明细接口!$N358),"")</f>
      </c>
      <c r="T358" s="212">
        <f>IFERROR(IF([2]对账明细接口!$O358=0,"",[2]对账明细接口!$O358),"")</f>
      </c>
      <c r="U358" s="212">
        <f>IFERROR(IF([2]对账明细接口!$P358=0,"",[2]对账明细接口!$P358),"")</f>
      </c>
      <c r="V358" s="212">
        <f>IFERROR(IF([2]对账明细接口!$Q358=0,"",[2]对账明细接口!$Q358),"")</f>
      </c>
      <c r="W358" s="20">
        <f>IFERROR(IF([2]对账明细接口!$R358=0,"",[2]对账明细接口!$R358),"")</f>
      </c>
      <c r="X358" s="20">
        <f>IFERROR(IF([2]对账明细接口!$S358=0,"",[2]对账明细接口!$S358),"")</f>
      </c>
      <c r="Y358" s="20">
        <f>""</f>
      </c>
      <c r="Z358" s="20">
        <f>""</f>
      </c>
      <c r="AA358" s="20">
        <f>""</f>
      </c>
      <c r="AB358" s="20">
        <f>""</f>
      </c>
    </row>
    <row r="359" s="127">
      <c r="A359" s="14" t="n">
        <v>359</v>
      </c>
      <c r="B359" s="211">
        <f>IFERROR(IF([2]对账明细接口!$B$359=0,"",[2]对账明细接口!$B$359),"")</f>
      </c>
      <c r="C359" s="16">
        <f>IFERROR(IF([2]对账明细接口!$C$359=0,"",[2]对账明细接口!$C$359),"")</f>
      </c>
      <c r="D359" s="16">
        <f>IFERROR(IF([2]对账明细接口!$D$359=0,"",[2]对账明细接口!$D$359),"")</f>
      </c>
      <c r="E359" s="16">
        <f>IFERROR(IF([2]对账明细接口!$E$359=0,"",[2]对账明细接口!$E$359),"")</f>
      </c>
      <c r="F359" s="16">
        <f>IFERROR(IF([2]对账明细接口!$F$359=0,"",[2]对账明细接口!$F$359),"")</f>
      </c>
      <c r="G359" s="16">
        <f>IFERROR(IF([2]对账明细接口!$G$359=0,"",[2]对账明细接口!$G$359),"")</f>
      </c>
      <c r="H359" s="176">
        <f>IFERROR(IF([2]对账明细接口!$H$359=0,"",[2]对账明细接口!$H$359),"")</f>
      </c>
      <c r="I359" s="16">
        <f>IFERROR(IF([2]对账明细接口!$I$359=0,"",[2]对账明细接口!$I$359),"")</f>
      </c>
      <c r="J359" s="177">
        <f>IFERROR(IF([2]对账明细接口!$J$359=0,"",[2]对账明细接口!$J$359),"")</f>
      </c>
      <c r="K359" s="177">
        <f>IFERROR(IF([2]对账明细接口!$K$359=0,"",[2]对账明细接口!$K$359),"")</f>
      </c>
      <c r="L359" s="16">
        <f>IFERROR(IF([2]对账明细接口!$L$359=0,"",[2]对账明细接口!$L$359),"")</f>
      </c>
      <c r="M359" s="16">
        <f>IFERROR(IF([2]对账明细接口!$M$359=0,"",[2]对账明细接口!$M$359),"")</f>
      </c>
      <c r="N359" s="19">
        <f>IF($C359="",0,1)</f>
        <v>0</v>
      </c>
      <c r="O359" s="19">
        <f>N(O358)+$N359</f>
        <v>272</v>
      </c>
      <c r="S359" s="20">
        <f>IFERROR(IF([2]对账明细接口!$N359=0,"",[2]对账明细接口!$N359),"")</f>
      </c>
      <c r="T359" s="212">
        <f>IFERROR(IF([2]对账明细接口!$O359=0,"",[2]对账明细接口!$O359),"")</f>
      </c>
      <c r="U359" s="212">
        <f>IFERROR(IF([2]对账明细接口!$P359=0,"",[2]对账明细接口!$P359),"")</f>
      </c>
      <c r="V359" s="212">
        <f>IFERROR(IF([2]对账明细接口!$Q359=0,"",[2]对账明细接口!$Q359),"")</f>
      </c>
      <c r="W359" s="20">
        <f>IFERROR(IF([2]对账明细接口!$R359=0,"",[2]对账明细接口!$R359),"")</f>
      </c>
      <c r="X359" s="20">
        <f>IFERROR(IF([2]对账明细接口!$S359=0,"",[2]对账明细接口!$S359),"")</f>
      </c>
      <c r="Y359" s="20">
        <f>""</f>
      </c>
      <c r="Z359" s="20">
        <f>""</f>
      </c>
      <c r="AA359" s="20">
        <f>""</f>
      </c>
      <c r="AB359" s="20">
        <f>""</f>
      </c>
    </row>
    <row r="360" s="127">
      <c r="A360" s="14" t="n">
        <v>360</v>
      </c>
      <c r="B360" s="211">
        <f>IFERROR(IF([2]对账明细接口!$B$360=0,"",[2]对账明细接口!$B$360),"")</f>
      </c>
      <c r="C360" s="16">
        <f>IFERROR(IF([2]对账明细接口!$C$360=0,"",[2]对账明细接口!$C$360),"")</f>
      </c>
      <c r="D360" s="16">
        <f>IFERROR(IF([2]对账明细接口!$D$360=0,"",[2]对账明细接口!$D$360),"")</f>
      </c>
      <c r="E360" s="16">
        <f>IFERROR(IF([2]对账明细接口!$E$360=0,"",[2]对账明细接口!$E$360),"")</f>
      </c>
      <c r="F360" s="16">
        <f>IFERROR(IF([2]对账明细接口!$F$360=0,"",[2]对账明细接口!$F$360),"")</f>
      </c>
      <c r="G360" s="16">
        <f>IFERROR(IF([2]对账明细接口!$G$360=0,"",[2]对账明细接口!$G$360),"")</f>
      </c>
      <c r="H360" s="176">
        <f>IFERROR(IF([2]对账明细接口!$H$360=0,"",[2]对账明细接口!$H$360),"")</f>
      </c>
      <c r="I360" s="16">
        <f>IFERROR(IF([2]对账明细接口!$I$360=0,"",[2]对账明细接口!$I$360),"")</f>
      </c>
      <c r="J360" s="177">
        <f>IFERROR(IF([2]对账明细接口!$J$360=0,"",[2]对账明细接口!$J$360),"")</f>
      </c>
      <c r="K360" s="177">
        <f>IFERROR(IF([2]对账明细接口!$K$360=0,"",[2]对账明细接口!$K$360),"")</f>
      </c>
      <c r="L360" s="16">
        <f>IFERROR(IF([2]对账明细接口!$L$360=0,"",[2]对账明细接口!$L$360),"")</f>
      </c>
      <c r="M360" s="16">
        <f>IFERROR(IF([2]对账明细接口!$M$360=0,"",[2]对账明细接口!$M$360),"")</f>
      </c>
      <c r="N360" s="19">
        <f>IF($C360="",0,1)</f>
        <v>0</v>
      </c>
      <c r="O360" s="19">
        <f>N(O359)+$N360</f>
        <v>272</v>
      </c>
      <c r="S360" s="20">
        <f>IFERROR(IF([2]对账明细接口!$N360=0,"",[2]对账明细接口!$N360),"")</f>
      </c>
      <c r="T360" s="212">
        <f>IFERROR(IF([2]对账明细接口!$O360=0,"",[2]对账明细接口!$O360),"")</f>
      </c>
      <c r="U360" s="212">
        <f>IFERROR(IF([2]对账明细接口!$P360=0,"",[2]对账明细接口!$P360),"")</f>
      </c>
      <c r="V360" s="212">
        <f>IFERROR(IF([2]对账明细接口!$Q360=0,"",[2]对账明细接口!$Q360),"")</f>
      </c>
      <c r="W360" s="20">
        <f>IFERROR(IF([2]对账明细接口!$R360=0,"",[2]对账明细接口!$R360),"")</f>
      </c>
      <c r="X360" s="20">
        <f>IFERROR(IF([2]对账明细接口!$S360=0,"",[2]对账明细接口!$S360),"")</f>
      </c>
      <c r="Y360" s="20">
        <f>""</f>
      </c>
      <c r="Z360" s="20">
        <f>""</f>
      </c>
      <c r="AA360" s="20">
        <f>""</f>
      </c>
      <c r="AB360" s="20">
        <f>""</f>
      </c>
    </row>
    <row r="361" s="127">
      <c r="A361" s="14" t="n">
        <v>361</v>
      </c>
      <c r="B361" s="211">
        <f>IFERROR(IF([2]对账明细接口!$B$361=0,"",[2]对账明细接口!$B$361),"")</f>
      </c>
      <c r="C361" s="16">
        <f>IFERROR(IF([2]对账明细接口!$C$361=0,"",[2]对账明细接口!$C$361),"")</f>
      </c>
      <c r="D361" s="16">
        <f>IFERROR(IF([2]对账明细接口!$D$361=0,"",[2]对账明细接口!$D$361),"")</f>
      </c>
      <c r="E361" s="16">
        <f>IFERROR(IF([2]对账明细接口!$E$361=0,"",[2]对账明细接口!$E$361),"")</f>
      </c>
      <c r="F361" s="16">
        <f>IFERROR(IF([2]对账明细接口!$F$361=0,"",[2]对账明细接口!$F$361),"")</f>
      </c>
      <c r="G361" s="16">
        <f>IFERROR(IF([2]对账明细接口!$G$361=0,"",[2]对账明细接口!$G$361),"")</f>
      </c>
      <c r="H361" s="176">
        <f>IFERROR(IF([2]对账明细接口!$H$361=0,"",[2]对账明细接口!$H$361),"")</f>
      </c>
      <c r="I361" s="16">
        <f>IFERROR(IF([2]对账明细接口!$I$361=0,"",[2]对账明细接口!$I$361),"")</f>
      </c>
      <c r="J361" s="177">
        <f>IFERROR(IF([2]对账明细接口!$J$361=0,"",[2]对账明细接口!$J$361),"")</f>
      </c>
      <c r="K361" s="177">
        <f>IFERROR(IF([2]对账明细接口!$K$361=0,"",[2]对账明细接口!$K$361),"")</f>
      </c>
      <c r="L361" s="16">
        <f>IFERROR(IF([2]对账明细接口!$L$361=0,"",[2]对账明细接口!$L$361),"")</f>
      </c>
      <c r="M361" s="16">
        <f>IFERROR(IF([2]对账明细接口!$M$361=0,"",[2]对账明细接口!$M$361),"")</f>
      </c>
      <c r="N361" s="19">
        <f>IF($C361="",0,1)</f>
        <v>0</v>
      </c>
      <c r="O361" s="19">
        <f>N(O360)+$N361</f>
        <v>272</v>
      </c>
      <c r="S361" s="20">
        <f>IFERROR(IF([2]对账明细接口!$N361=0,"",[2]对账明细接口!$N361),"")</f>
      </c>
      <c r="T361" s="212">
        <f>IFERROR(IF([2]对账明细接口!$O361=0,"",[2]对账明细接口!$O361),"")</f>
      </c>
      <c r="U361" s="212">
        <f>IFERROR(IF([2]对账明细接口!$P361=0,"",[2]对账明细接口!$P361),"")</f>
      </c>
      <c r="V361" s="212">
        <f>IFERROR(IF([2]对账明细接口!$Q361=0,"",[2]对账明细接口!$Q361),"")</f>
      </c>
      <c r="W361" s="20">
        <f>IFERROR(IF([2]对账明细接口!$R361=0,"",[2]对账明细接口!$R361),"")</f>
      </c>
      <c r="X361" s="20">
        <f>IFERROR(IF([2]对账明细接口!$S361=0,"",[2]对账明细接口!$S361),"")</f>
      </c>
      <c r="Y361" s="20">
        <f>""</f>
      </c>
      <c r="Z361" s="20">
        <f>""</f>
      </c>
      <c r="AA361" s="20">
        <f>""</f>
      </c>
      <c r="AB361" s="20">
        <f>""</f>
      </c>
    </row>
    <row r="362" s="127">
      <c r="A362" s="14" t="n">
        <v>362</v>
      </c>
      <c r="B362" s="211">
        <f>IFERROR(IF([2]对账明细接口!$B$362=0,"",[2]对账明细接口!$B$362),"")</f>
      </c>
      <c r="C362" s="16">
        <f>IFERROR(IF([2]对账明细接口!$C$362=0,"",[2]对账明细接口!$C$362),"")</f>
      </c>
      <c r="D362" s="16">
        <f>IFERROR(IF([2]对账明细接口!$D$362=0,"",[2]对账明细接口!$D$362),"")</f>
      </c>
      <c r="E362" s="16">
        <f>IFERROR(IF([2]对账明细接口!$E$362=0,"",[2]对账明细接口!$E$362),"")</f>
      </c>
      <c r="F362" s="16">
        <f>IFERROR(IF([2]对账明细接口!$F$362=0,"",[2]对账明细接口!$F$362),"")</f>
      </c>
      <c r="G362" s="16">
        <f>IFERROR(IF([2]对账明细接口!$G$362=0,"",[2]对账明细接口!$G$362),"")</f>
      </c>
      <c r="H362" s="176">
        <f>IFERROR(IF([2]对账明细接口!$H$362=0,"",[2]对账明细接口!$H$362),"")</f>
      </c>
      <c r="I362" s="16">
        <f>IFERROR(IF([2]对账明细接口!$I$362=0,"",[2]对账明细接口!$I$362),"")</f>
      </c>
      <c r="J362" s="177">
        <f>IFERROR(IF([2]对账明细接口!$J$362=0,"",[2]对账明细接口!$J$362),"")</f>
      </c>
      <c r="K362" s="177">
        <f>IFERROR(IF([2]对账明细接口!$K$362=0,"",[2]对账明细接口!$K$362),"")</f>
      </c>
      <c r="L362" s="16">
        <f>IFERROR(IF([2]对账明细接口!$L$362=0,"",[2]对账明细接口!$L$362),"")</f>
      </c>
      <c r="M362" s="16">
        <f>IFERROR(IF([2]对账明细接口!$M$362=0,"",[2]对账明细接口!$M$362),"")</f>
      </c>
      <c r="N362" s="19">
        <f>IF($C362="",0,1)</f>
        <v>0</v>
      </c>
      <c r="O362" s="19">
        <f>N(O361)+$N362</f>
        <v>272</v>
      </c>
      <c r="S362" s="20">
        <f>IFERROR(IF([2]对账明细接口!$N362=0,"",[2]对账明细接口!$N362),"")</f>
      </c>
      <c r="T362" s="212">
        <f>IFERROR(IF([2]对账明细接口!$O362=0,"",[2]对账明细接口!$O362),"")</f>
      </c>
      <c r="U362" s="212">
        <f>IFERROR(IF([2]对账明细接口!$P362=0,"",[2]对账明细接口!$P362),"")</f>
      </c>
      <c r="V362" s="212">
        <f>IFERROR(IF([2]对账明细接口!$Q362=0,"",[2]对账明细接口!$Q362),"")</f>
      </c>
      <c r="W362" s="20">
        <f>IFERROR(IF([2]对账明细接口!$R362=0,"",[2]对账明细接口!$R362),"")</f>
      </c>
      <c r="X362" s="20">
        <f>IFERROR(IF([2]对账明细接口!$S362=0,"",[2]对账明细接口!$S362),"")</f>
      </c>
      <c r="Y362" s="20">
        <f>""</f>
      </c>
      <c r="Z362" s="20">
        <f>""</f>
      </c>
      <c r="AA362" s="20">
        <f>""</f>
      </c>
      <c r="AB362" s="20">
        <f>""</f>
      </c>
    </row>
    <row r="363" s="127">
      <c r="A363" s="14" t="n">
        <v>363</v>
      </c>
      <c r="B363" s="211">
        <f>IFERROR(IF([2]对账明细接口!$B$363=0,"",[2]对账明细接口!$B$363),"")</f>
      </c>
      <c r="C363" s="16">
        <f>IFERROR(IF([2]对账明细接口!$C$363=0,"",[2]对账明细接口!$C$363),"")</f>
      </c>
      <c r="D363" s="16">
        <f>IFERROR(IF([2]对账明细接口!$D$363=0,"",[2]对账明细接口!$D$363),"")</f>
      </c>
      <c r="E363" s="16">
        <f>IFERROR(IF([2]对账明细接口!$E$363=0,"",[2]对账明细接口!$E$363),"")</f>
      </c>
      <c r="F363" s="16">
        <f>IFERROR(IF([2]对账明细接口!$F$363=0,"",[2]对账明细接口!$F$363),"")</f>
      </c>
      <c r="G363" s="16">
        <f>IFERROR(IF([2]对账明细接口!$G$363=0,"",[2]对账明细接口!$G$363),"")</f>
      </c>
      <c r="H363" s="176">
        <f>IFERROR(IF([2]对账明细接口!$H$363=0,"",[2]对账明细接口!$H$363),"")</f>
      </c>
      <c r="I363" s="16">
        <f>IFERROR(IF([2]对账明细接口!$I$363=0,"",[2]对账明细接口!$I$363),"")</f>
      </c>
      <c r="J363" s="177">
        <f>IFERROR(IF([2]对账明细接口!$J$363=0,"",[2]对账明细接口!$J$363),"")</f>
      </c>
      <c r="K363" s="177">
        <f>IFERROR(IF([2]对账明细接口!$K$363=0,"",[2]对账明细接口!$K$363),"")</f>
      </c>
      <c r="L363" s="16">
        <f>IFERROR(IF([2]对账明细接口!$L$363=0,"",[2]对账明细接口!$L$363),"")</f>
      </c>
      <c r="M363" s="16">
        <f>IFERROR(IF([2]对账明细接口!$M$363=0,"",[2]对账明细接口!$M$363),"")</f>
      </c>
      <c r="N363" s="19">
        <f>IF($C363="",0,1)</f>
        <v>0</v>
      </c>
      <c r="O363" s="19">
        <f>N(O362)+$N363</f>
        <v>272</v>
      </c>
      <c r="S363" s="20">
        <f>IFERROR(IF([2]对账明细接口!$N363=0,"",[2]对账明细接口!$N363),"")</f>
      </c>
      <c r="T363" s="212">
        <f>IFERROR(IF([2]对账明细接口!$O363=0,"",[2]对账明细接口!$O363),"")</f>
      </c>
      <c r="U363" s="212">
        <f>IFERROR(IF([2]对账明细接口!$P363=0,"",[2]对账明细接口!$P363),"")</f>
      </c>
      <c r="V363" s="212">
        <f>IFERROR(IF([2]对账明细接口!$Q363=0,"",[2]对账明细接口!$Q363),"")</f>
      </c>
      <c r="W363" s="20">
        <f>IFERROR(IF([2]对账明细接口!$R363=0,"",[2]对账明细接口!$R363),"")</f>
      </c>
      <c r="X363" s="20">
        <f>IFERROR(IF([2]对账明细接口!$S363=0,"",[2]对账明细接口!$S363),"")</f>
      </c>
      <c r="Y363" s="20">
        <f>""</f>
      </c>
      <c r="Z363" s="20">
        <f>""</f>
      </c>
      <c r="AA363" s="20">
        <f>""</f>
      </c>
      <c r="AB363" s="20">
        <f>""</f>
      </c>
    </row>
    <row r="364" s="127">
      <c r="A364" s="14" t="n">
        <v>364</v>
      </c>
      <c r="B364" s="211">
        <f>IFERROR(IF([2]对账明细接口!$B$364=0,"",[2]对账明细接口!$B$364),"")</f>
      </c>
      <c r="C364" s="16">
        <f>IFERROR(IF([2]对账明细接口!$C$364=0,"",[2]对账明细接口!$C$364),"")</f>
      </c>
      <c r="D364" s="16">
        <f>IFERROR(IF([2]对账明细接口!$D$364=0,"",[2]对账明细接口!$D$364),"")</f>
      </c>
      <c r="E364" s="16">
        <f>IFERROR(IF([2]对账明细接口!$E$364=0,"",[2]对账明细接口!$E$364),"")</f>
      </c>
      <c r="F364" s="16">
        <f>IFERROR(IF([2]对账明细接口!$F$364=0,"",[2]对账明细接口!$F$364),"")</f>
      </c>
      <c r="G364" s="16">
        <f>IFERROR(IF([2]对账明细接口!$G$364=0,"",[2]对账明细接口!$G$364),"")</f>
      </c>
      <c r="H364" s="176">
        <f>IFERROR(IF([2]对账明细接口!$H$364=0,"",[2]对账明细接口!$H$364),"")</f>
      </c>
      <c r="I364" s="16">
        <f>IFERROR(IF([2]对账明细接口!$I$364=0,"",[2]对账明细接口!$I$364),"")</f>
      </c>
      <c r="J364" s="177">
        <f>IFERROR(IF([2]对账明细接口!$J$364=0,"",[2]对账明细接口!$J$364),"")</f>
      </c>
      <c r="K364" s="177">
        <f>IFERROR(IF([2]对账明细接口!$K$364=0,"",[2]对账明细接口!$K$364),"")</f>
      </c>
      <c r="L364" s="16">
        <f>IFERROR(IF([2]对账明细接口!$L$364=0,"",[2]对账明细接口!$L$364),"")</f>
      </c>
      <c r="M364" s="16">
        <f>IFERROR(IF([2]对账明细接口!$M$364=0,"",[2]对账明细接口!$M$364),"")</f>
      </c>
      <c r="N364" s="19">
        <f>IF($C364="",0,1)</f>
        <v>0</v>
      </c>
      <c r="O364" s="19">
        <f>N(O363)+$N364</f>
        <v>272</v>
      </c>
      <c r="S364" s="20">
        <f>IFERROR(IF([2]对账明细接口!$N364=0,"",[2]对账明细接口!$N364),"")</f>
      </c>
      <c r="T364" s="212">
        <f>IFERROR(IF([2]对账明细接口!$O364=0,"",[2]对账明细接口!$O364),"")</f>
      </c>
      <c r="U364" s="212">
        <f>IFERROR(IF([2]对账明细接口!$P364=0,"",[2]对账明细接口!$P364),"")</f>
      </c>
      <c r="V364" s="212">
        <f>IFERROR(IF([2]对账明细接口!$Q364=0,"",[2]对账明细接口!$Q364),"")</f>
      </c>
      <c r="W364" s="20">
        <f>IFERROR(IF([2]对账明细接口!$R364=0,"",[2]对账明细接口!$R364),"")</f>
      </c>
      <c r="X364" s="20">
        <f>IFERROR(IF([2]对账明细接口!$S364=0,"",[2]对账明细接口!$S364),"")</f>
      </c>
      <c r="Y364" s="20">
        <f>""</f>
      </c>
      <c r="Z364" s="20">
        <f>""</f>
      </c>
      <c r="AA364" s="20">
        <f>""</f>
      </c>
      <c r="AB364" s="20">
        <f>""</f>
      </c>
    </row>
    <row r="365" s="127">
      <c r="A365" s="14" t="n">
        <v>365</v>
      </c>
      <c r="B365" s="211">
        <f>IFERROR(IF([2]对账明细接口!$B$365=0,"",[2]对账明细接口!$B$365),"")</f>
      </c>
      <c r="C365" s="16">
        <f>IFERROR(IF([2]对账明细接口!$C$365=0,"",[2]对账明细接口!$C$365),"")</f>
      </c>
      <c r="D365" s="16">
        <f>IFERROR(IF([2]对账明细接口!$D$365=0,"",[2]对账明细接口!$D$365),"")</f>
      </c>
      <c r="E365" s="16">
        <f>IFERROR(IF([2]对账明细接口!$E$365=0,"",[2]对账明细接口!$E$365),"")</f>
      </c>
      <c r="F365" s="16">
        <f>IFERROR(IF([2]对账明细接口!$F$365=0,"",[2]对账明细接口!$F$365),"")</f>
      </c>
      <c r="G365" s="16">
        <f>IFERROR(IF([2]对账明细接口!$G$365=0,"",[2]对账明细接口!$G$365),"")</f>
      </c>
      <c r="H365" s="176">
        <f>IFERROR(IF([2]对账明细接口!$H$365=0,"",[2]对账明细接口!$H$365),"")</f>
      </c>
      <c r="I365" s="16">
        <f>IFERROR(IF([2]对账明细接口!$I$365=0,"",[2]对账明细接口!$I$365),"")</f>
      </c>
      <c r="J365" s="177">
        <f>IFERROR(IF([2]对账明细接口!$J$365=0,"",[2]对账明细接口!$J$365),"")</f>
      </c>
      <c r="K365" s="177">
        <f>IFERROR(IF([2]对账明细接口!$K$365=0,"",[2]对账明细接口!$K$365),"")</f>
      </c>
      <c r="L365" s="16">
        <f>IFERROR(IF([2]对账明细接口!$L$365=0,"",[2]对账明细接口!$L$365),"")</f>
      </c>
      <c r="M365" s="16">
        <f>IFERROR(IF([2]对账明细接口!$M$365=0,"",[2]对账明细接口!$M$365),"")</f>
      </c>
      <c r="N365" s="19">
        <f>IF($C365="",0,1)</f>
        <v>0</v>
      </c>
      <c r="O365" s="19">
        <f>N(O364)+$N365</f>
        <v>272</v>
      </c>
      <c r="S365" s="20">
        <f>IFERROR(IF([2]对账明细接口!$N365=0,"",[2]对账明细接口!$N365),"")</f>
      </c>
      <c r="T365" s="212">
        <f>IFERROR(IF([2]对账明细接口!$O365=0,"",[2]对账明细接口!$O365),"")</f>
      </c>
      <c r="U365" s="212">
        <f>IFERROR(IF([2]对账明细接口!$P365=0,"",[2]对账明细接口!$P365),"")</f>
      </c>
      <c r="V365" s="212">
        <f>IFERROR(IF([2]对账明细接口!$Q365=0,"",[2]对账明细接口!$Q365),"")</f>
      </c>
      <c r="W365" s="20">
        <f>IFERROR(IF([2]对账明细接口!$R365=0,"",[2]对账明细接口!$R365),"")</f>
      </c>
      <c r="X365" s="20">
        <f>IFERROR(IF([2]对账明细接口!$S365=0,"",[2]对账明细接口!$S365),"")</f>
      </c>
      <c r="Y365" s="20">
        <f>""</f>
      </c>
      <c r="Z365" s="20">
        <f>""</f>
      </c>
      <c r="AA365" s="20">
        <f>""</f>
      </c>
      <c r="AB365" s="20">
        <f>""</f>
      </c>
    </row>
    <row r="366" s="127">
      <c r="A366" s="14" t="n">
        <v>366</v>
      </c>
      <c r="B366" s="211">
        <f>IFERROR(IF([2]对账明细接口!$B$366=0,"",[2]对账明细接口!$B$366),"")</f>
      </c>
      <c r="C366" s="16">
        <f>IFERROR(IF([2]对账明细接口!$C$366=0,"",[2]对账明细接口!$C$366),"")</f>
      </c>
      <c r="D366" s="16">
        <f>IFERROR(IF([2]对账明细接口!$D$366=0,"",[2]对账明细接口!$D$366),"")</f>
      </c>
      <c r="E366" s="16">
        <f>IFERROR(IF([2]对账明细接口!$E$366=0,"",[2]对账明细接口!$E$366),"")</f>
      </c>
      <c r="F366" s="16">
        <f>IFERROR(IF([2]对账明细接口!$F$366=0,"",[2]对账明细接口!$F$366),"")</f>
      </c>
      <c r="G366" s="16">
        <f>IFERROR(IF([2]对账明细接口!$G$366=0,"",[2]对账明细接口!$G$366),"")</f>
      </c>
      <c r="H366" s="176">
        <f>IFERROR(IF([2]对账明细接口!$H$366=0,"",[2]对账明细接口!$H$366),"")</f>
      </c>
      <c r="I366" s="16">
        <f>IFERROR(IF([2]对账明细接口!$I$366=0,"",[2]对账明细接口!$I$366),"")</f>
      </c>
      <c r="J366" s="177">
        <f>IFERROR(IF([2]对账明细接口!$J$366=0,"",[2]对账明细接口!$J$366),"")</f>
      </c>
      <c r="K366" s="177">
        <f>IFERROR(IF([2]对账明细接口!$K$366=0,"",[2]对账明细接口!$K$366),"")</f>
      </c>
      <c r="L366" s="16">
        <f>IFERROR(IF([2]对账明细接口!$L$366=0,"",[2]对账明细接口!$L$366),"")</f>
      </c>
      <c r="M366" s="16">
        <f>IFERROR(IF([2]对账明细接口!$M$366=0,"",[2]对账明细接口!$M$366),"")</f>
      </c>
      <c r="N366" s="19">
        <f>IF($C366="",0,1)</f>
        <v>0</v>
      </c>
      <c r="O366" s="19">
        <f>N(O365)+$N366</f>
        <v>272</v>
      </c>
      <c r="S366" s="20">
        <f>IFERROR(IF([2]对账明细接口!$N366=0,"",[2]对账明细接口!$N366),"")</f>
      </c>
      <c r="T366" s="212">
        <f>IFERROR(IF([2]对账明细接口!$O366=0,"",[2]对账明细接口!$O366),"")</f>
      </c>
      <c r="U366" s="212">
        <f>IFERROR(IF([2]对账明细接口!$P366=0,"",[2]对账明细接口!$P366),"")</f>
      </c>
      <c r="V366" s="212">
        <f>IFERROR(IF([2]对账明细接口!$Q366=0,"",[2]对账明细接口!$Q366),"")</f>
      </c>
      <c r="W366" s="20">
        <f>IFERROR(IF([2]对账明细接口!$R366=0,"",[2]对账明细接口!$R366),"")</f>
      </c>
      <c r="X366" s="20">
        <f>IFERROR(IF([2]对账明细接口!$S366=0,"",[2]对账明细接口!$S366),"")</f>
      </c>
      <c r="Y366" s="20">
        <f>""</f>
      </c>
      <c r="Z366" s="20">
        <f>""</f>
      </c>
      <c r="AA366" s="20">
        <f>""</f>
      </c>
      <c r="AB366" s="20">
        <f>""</f>
      </c>
    </row>
    <row r="367" s="127">
      <c r="A367" s="14" t="n">
        <v>367</v>
      </c>
      <c r="B367" s="211">
        <f>IFERROR(IF([2]对账明细接口!$B$367=0,"",[2]对账明细接口!$B$367),"")</f>
      </c>
      <c r="C367" s="16">
        <f>IFERROR(IF([2]对账明细接口!$C$367=0,"",[2]对账明细接口!$C$367),"")</f>
      </c>
      <c r="D367" s="16">
        <f>IFERROR(IF([2]对账明细接口!$D$367=0,"",[2]对账明细接口!$D$367),"")</f>
      </c>
      <c r="E367" s="16">
        <f>IFERROR(IF([2]对账明细接口!$E$367=0,"",[2]对账明细接口!$E$367),"")</f>
      </c>
      <c r="F367" s="16">
        <f>IFERROR(IF([2]对账明细接口!$F$367=0,"",[2]对账明细接口!$F$367),"")</f>
      </c>
      <c r="G367" s="16">
        <f>IFERROR(IF([2]对账明细接口!$G$367=0,"",[2]对账明细接口!$G$367),"")</f>
      </c>
      <c r="H367" s="176">
        <f>IFERROR(IF([2]对账明细接口!$H$367=0,"",[2]对账明细接口!$H$367),"")</f>
      </c>
      <c r="I367" s="16">
        <f>IFERROR(IF([2]对账明细接口!$I$367=0,"",[2]对账明细接口!$I$367),"")</f>
      </c>
      <c r="J367" s="177">
        <f>IFERROR(IF([2]对账明细接口!$J$367=0,"",[2]对账明细接口!$J$367),"")</f>
      </c>
      <c r="K367" s="177">
        <f>IFERROR(IF([2]对账明细接口!$K$367=0,"",[2]对账明细接口!$K$367),"")</f>
      </c>
      <c r="L367" s="16">
        <f>IFERROR(IF([2]对账明细接口!$L$367=0,"",[2]对账明细接口!$L$367),"")</f>
      </c>
      <c r="M367" s="16">
        <f>IFERROR(IF([2]对账明细接口!$M$367=0,"",[2]对账明细接口!$M$367),"")</f>
      </c>
      <c r="N367" s="19">
        <f>IF($C367="",0,1)</f>
        <v>0</v>
      </c>
      <c r="O367" s="19">
        <f>N(O366)+$N367</f>
        <v>272</v>
      </c>
      <c r="S367" s="20">
        <f>IFERROR(IF([2]对账明细接口!$N367=0,"",[2]对账明细接口!$N367),"")</f>
      </c>
      <c r="T367" s="212">
        <f>IFERROR(IF([2]对账明细接口!$O367=0,"",[2]对账明细接口!$O367),"")</f>
      </c>
      <c r="U367" s="212">
        <f>IFERROR(IF([2]对账明细接口!$P367=0,"",[2]对账明细接口!$P367),"")</f>
      </c>
      <c r="V367" s="212">
        <f>IFERROR(IF([2]对账明细接口!$Q367=0,"",[2]对账明细接口!$Q367),"")</f>
      </c>
      <c r="W367" s="20">
        <f>IFERROR(IF([2]对账明细接口!$R367=0,"",[2]对账明细接口!$R367),"")</f>
      </c>
      <c r="X367" s="20">
        <f>IFERROR(IF([2]对账明细接口!$S367=0,"",[2]对账明细接口!$S367),"")</f>
      </c>
      <c r="Y367" s="20">
        <f>""</f>
      </c>
      <c r="Z367" s="20">
        <f>""</f>
      </c>
      <c r="AA367" s="20">
        <f>""</f>
      </c>
      <c r="AB367" s="20">
        <f>""</f>
      </c>
    </row>
    <row r="368" s="127">
      <c r="A368" s="14" t="n">
        <v>368</v>
      </c>
      <c r="B368" s="211">
        <f>IFERROR(IF([2]对账明细接口!$B$368=0,"",[2]对账明细接口!$B$368),"")</f>
      </c>
      <c r="C368" s="16">
        <f>IFERROR(IF([2]对账明细接口!$C$368=0,"",[2]对账明细接口!$C$368),"")</f>
      </c>
      <c r="D368" s="16">
        <f>IFERROR(IF([2]对账明细接口!$D$368=0,"",[2]对账明细接口!$D$368),"")</f>
      </c>
      <c r="E368" s="16">
        <f>IFERROR(IF([2]对账明细接口!$E$368=0,"",[2]对账明细接口!$E$368),"")</f>
      </c>
      <c r="F368" s="16">
        <f>IFERROR(IF([2]对账明细接口!$F$368=0,"",[2]对账明细接口!$F$368),"")</f>
      </c>
      <c r="G368" s="16">
        <f>IFERROR(IF([2]对账明细接口!$G$368=0,"",[2]对账明细接口!$G$368),"")</f>
      </c>
      <c r="H368" s="176">
        <f>IFERROR(IF([2]对账明细接口!$H$368=0,"",[2]对账明细接口!$H$368),"")</f>
      </c>
      <c r="I368" s="16">
        <f>IFERROR(IF([2]对账明细接口!$I$368=0,"",[2]对账明细接口!$I$368),"")</f>
      </c>
      <c r="J368" s="177">
        <f>IFERROR(IF([2]对账明细接口!$J$368=0,"",[2]对账明细接口!$J$368),"")</f>
      </c>
      <c r="K368" s="177">
        <f>IFERROR(IF([2]对账明细接口!$K$368=0,"",[2]对账明细接口!$K$368),"")</f>
      </c>
      <c r="L368" s="16">
        <f>IFERROR(IF([2]对账明细接口!$L$368=0,"",[2]对账明细接口!$L$368),"")</f>
      </c>
      <c r="M368" s="16">
        <f>IFERROR(IF([2]对账明细接口!$M$368=0,"",[2]对账明细接口!$M$368),"")</f>
      </c>
      <c r="N368" s="19">
        <f>IF($C368="",0,1)</f>
        <v>0</v>
      </c>
      <c r="O368" s="19">
        <f>N(O367)+$N368</f>
        <v>272</v>
      </c>
      <c r="S368" s="20">
        <f>IFERROR(IF([2]对账明细接口!$N368=0,"",[2]对账明细接口!$N368),"")</f>
      </c>
      <c r="T368" s="212">
        <f>IFERROR(IF([2]对账明细接口!$O368=0,"",[2]对账明细接口!$O368),"")</f>
      </c>
      <c r="U368" s="212">
        <f>IFERROR(IF([2]对账明细接口!$P368=0,"",[2]对账明细接口!$P368),"")</f>
      </c>
      <c r="V368" s="212">
        <f>IFERROR(IF([2]对账明细接口!$Q368=0,"",[2]对账明细接口!$Q368),"")</f>
      </c>
      <c r="W368" s="20">
        <f>IFERROR(IF([2]对账明细接口!$R368=0,"",[2]对账明细接口!$R368),"")</f>
      </c>
      <c r="X368" s="20">
        <f>IFERROR(IF([2]对账明细接口!$S368=0,"",[2]对账明细接口!$S368),"")</f>
      </c>
      <c r="Y368" s="20">
        <f>""</f>
      </c>
      <c r="Z368" s="20">
        <f>""</f>
      </c>
      <c r="AA368" s="20">
        <f>""</f>
      </c>
      <c r="AB368" s="20">
        <f>""</f>
      </c>
    </row>
    <row r="369" s="127">
      <c r="A369" s="14" t="n">
        <v>369</v>
      </c>
      <c r="B369" s="211">
        <f>IFERROR(IF([2]对账明细接口!$B$369=0,"",[2]对账明细接口!$B$369),"")</f>
      </c>
      <c r="C369" s="16">
        <f>IFERROR(IF([2]对账明细接口!$C$369=0,"",[2]对账明细接口!$C$369),"")</f>
      </c>
      <c r="D369" s="16">
        <f>IFERROR(IF([2]对账明细接口!$D$369=0,"",[2]对账明细接口!$D$369),"")</f>
      </c>
      <c r="E369" s="16">
        <f>IFERROR(IF([2]对账明细接口!$E$369=0,"",[2]对账明细接口!$E$369),"")</f>
      </c>
      <c r="F369" s="16">
        <f>IFERROR(IF([2]对账明细接口!$F$369=0,"",[2]对账明细接口!$F$369),"")</f>
      </c>
      <c r="G369" s="16">
        <f>IFERROR(IF([2]对账明细接口!$G$369=0,"",[2]对账明细接口!$G$369),"")</f>
      </c>
      <c r="H369" s="176">
        <f>IFERROR(IF([2]对账明细接口!$H$369=0,"",[2]对账明细接口!$H$369),"")</f>
      </c>
      <c r="I369" s="16">
        <f>IFERROR(IF([2]对账明细接口!$I$369=0,"",[2]对账明细接口!$I$369),"")</f>
      </c>
      <c r="J369" s="177">
        <f>IFERROR(IF([2]对账明细接口!$J$369=0,"",[2]对账明细接口!$J$369),"")</f>
      </c>
      <c r="K369" s="177">
        <f>IFERROR(IF([2]对账明细接口!$K$369=0,"",[2]对账明细接口!$K$369),"")</f>
      </c>
      <c r="L369" s="16">
        <f>IFERROR(IF([2]对账明细接口!$L$369=0,"",[2]对账明细接口!$L$369),"")</f>
      </c>
      <c r="M369" s="16">
        <f>IFERROR(IF([2]对账明细接口!$M$369=0,"",[2]对账明细接口!$M$369),"")</f>
      </c>
      <c r="N369" s="19">
        <f>IF($C369="",0,1)</f>
        <v>0</v>
      </c>
      <c r="O369" s="19">
        <f>N(O368)+$N369</f>
        <v>272</v>
      </c>
      <c r="S369" s="20">
        <f>IFERROR(IF([2]对账明细接口!$N369=0,"",[2]对账明细接口!$N369),"")</f>
      </c>
      <c r="T369" s="212">
        <f>IFERROR(IF([2]对账明细接口!$O369=0,"",[2]对账明细接口!$O369),"")</f>
      </c>
      <c r="U369" s="212">
        <f>IFERROR(IF([2]对账明细接口!$P369=0,"",[2]对账明细接口!$P369),"")</f>
      </c>
      <c r="V369" s="212">
        <f>IFERROR(IF([2]对账明细接口!$Q369=0,"",[2]对账明细接口!$Q369),"")</f>
      </c>
      <c r="W369" s="20">
        <f>IFERROR(IF([2]对账明细接口!$R369=0,"",[2]对账明细接口!$R369),"")</f>
      </c>
      <c r="X369" s="20">
        <f>IFERROR(IF([2]对账明细接口!$S369=0,"",[2]对账明细接口!$S369),"")</f>
      </c>
      <c r="Y369" s="20">
        <f>""</f>
      </c>
      <c r="Z369" s="20">
        <f>""</f>
      </c>
      <c r="AA369" s="20">
        <f>""</f>
      </c>
      <c r="AB369" s="20">
        <f>""</f>
      </c>
    </row>
    <row r="370" s="127">
      <c r="A370" s="14" t="n">
        <v>370</v>
      </c>
      <c r="B370" s="211">
        <f>IFERROR(IF([2]对账明细接口!$B$370=0,"",[2]对账明细接口!$B$370),"")</f>
      </c>
      <c r="C370" s="16">
        <f>IFERROR(IF([2]对账明细接口!$C$370=0,"",[2]对账明细接口!$C$370),"")</f>
      </c>
      <c r="D370" s="16">
        <f>IFERROR(IF([2]对账明细接口!$D$370=0,"",[2]对账明细接口!$D$370),"")</f>
      </c>
      <c r="E370" s="16">
        <f>IFERROR(IF([2]对账明细接口!$E$370=0,"",[2]对账明细接口!$E$370),"")</f>
      </c>
      <c r="F370" s="16">
        <f>IFERROR(IF([2]对账明细接口!$F$370=0,"",[2]对账明细接口!$F$370),"")</f>
      </c>
      <c r="G370" s="16">
        <f>IFERROR(IF([2]对账明细接口!$G$370=0,"",[2]对账明细接口!$G$370),"")</f>
      </c>
      <c r="H370" s="176">
        <f>IFERROR(IF([2]对账明细接口!$H$370=0,"",[2]对账明细接口!$H$370),"")</f>
      </c>
      <c r="I370" s="16">
        <f>IFERROR(IF([2]对账明细接口!$I$370=0,"",[2]对账明细接口!$I$370),"")</f>
      </c>
      <c r="J370" s="177">
        <f>IFERROR(IF([2]对账明细接口!$J$370=0,"",[2]对账明细接口!$J$370),"")</f>
      </c>
      <c r="K370" s="177">
        <f>IFERROR(IF([2]对账明细接口!$K$370=0,"",[2]对账明细接口!$K$370),"")</f>
      </c>
      <c r="L370" s="16">
        <f>IFERROR(IF([2]对账明细接口!$L$370=0,"",[2]对账明细接口!$L$370),"")</f>
      </c>
      <c r="M370" s="16">
        <f>IFERROR(IF([2]对账明细接口!$M$370=0,"",[2]对账明细接口!$M$370),"")</f>
      </c>
      <c r="N370" s="19">
        <f>IF($C370="",0,1)</f>
        <v>0</v>
      </c>
      <c r="O370" s="19">
        <f>N(O369)+$N370</f>
        <v>272</v>
      </c>
      <c r="S370" s="20">
        <f>IFERROR(IF([2]对账明细接口!$N370=0,"",[2]对账明细接口!$N370),"")</f>
      </c>
      <c r="T370" s="212">
        <f>IFERROR(IF([2]对账明细接口!$O370=0,"",[2]对账明细接口!$O370),"")</f>
      </c>
      <c r="U370" s="212">
        <f>IFERROR(IF([2]对账明细接口!$P370=0,"",[2]对账明细接口!$P370),"")</f>
      </c>
      <c r="V370" s="212">
        <f>IFERROR(IF([2]对账明细接口!$Q370=0,"",[2]对账明细接口!$Q370),"")</f>
      </c>
      <c r="W370" s="20">
        <f>IFERROR(IF([2]对账明细接口!$R370=0,"",[2]对账明细接口!$R370),"")</f>
      </c>
      <c r="X370" s="20">
        <f>IFERROR(IF([2]对账明细接口!$S370=0,"",[2]对账明细接口!$S370),"")</f>
      </c>
      <c r="Y370" s="20">
        <f>""</f>
      </c>
      <c r="Z370" s="20">
        <f>""</f>
      </c>
      <c r="AA370" s="20">
        <f>""</f>
      </c>
      <c r="AB370" s="20">
        <f>""</f>
      </c>
    </row>
    <row r="371" s="127">
      <c r="A371" s="14" t="n">
        <v>371</v>
      </c>
      <c r="B371" s="211">
        <f>IFERROR(IF([2]对账明细接口!$B$371=0,"",[2]对账明细接口!$B$371),"")</f>
      </c>
      <c r="C371" s="16">
        <f>IFERROR(IF([2]对账明细接口!$C$371=0,"",[2]对账明细接口!$C$371),"")</f>
      </c>
      <c r="D371" s="16">
        <f>IFERROR(IF([2]对账明细接口!$D$371=0,"",[2]对账明细接口!$D$371),"")</f>
      </c>
      <c r="E371" s="16">
        <f>IFERROR(IF([2]对账明细接口!$E$371=0,"",[2]对账明细接口!$E$371),"")</f>
      </c>
      <c r="F371" s="16">
        <f>IFERROR(IF([2]对账明细接口!$F$371=0,"",[2]对账明细接口!$F$371),"")</f>
      </c>
      <c r="G371" s="16">
        <f>IFERROR(IF([2]对账明细接口!$G$371=0,"",[2]对账明细接口!$G$371),"")</f>
      </c>
      <c r="H371" s="176">
        <f>IFERROR(IF([2]对账明细接口!$H$371=0,"",[2]对账明细接口!$H$371),"")</f>
      </c>
      <c r="I371" s="16">
        <f>IFERROR(IF([2]对账明细接口!$I$371=0,"",[2]对账明细接口!$I$371),"")</f>
      </c>
      <c r="J371" s="177">
        <f>IFERROR(IF([2]对账明细接口!$J$371=0,"",[2]对账明细接口!$J$371),"")</f>
      </c>
      <c r="K371" s="177">
        <f>IFERROR(IF([2]对账明细接口!$K$371=0,"",[2]对账明细接口!$K$371),"")</f>
      </c>
      <c r="L371" s="16">
        <f>IFERROR(IF([2]对账明细接口!$L$371=0,"",[2]对账明细接口!$L$371),"")</f>
      </c>
      <c r="M371" s="16">
        <f>IFERROR(IF([2]对账明细接口!$M$371=0,"",[2]对账明细接口!$M$371),"")</f>
      </c>
      <c r="N371" s="19">
        <f>IF($C371="",0,1)</f>
        <v>0</v>
      </c>
      <c r="O371" s="19">
        <f>N(O370)+$N371</f>
        <v>272</v>
      </c>
      <c r="S371" s="20">
        <f>IFERROR(IF([2]对账明细接口!$N371=0,"",[2]对账明细接口!$N371),"")</f>
      </c>
      <c r="T371" s="212">
        <f>IFERROR(IF([2]对账明细接口!$O371=0,"",[2]对账明细接口!$O371),"")</f>
      </c>
      <c r="U371" s="212">
        <f>IFERROR(IF([2]对账明细接口!$P371=0,"",[2]对账明细接口!$P371),"")</f>
      </c>
      <c r="V371" s="212">
        <f>IFERROR(IF([2]对账明细接口!$Q371=0,"",[2]对账明细接口!$Q371),"")</f>
      </c>
      <c r="W371" s="20">
        <f>IFERROR(IF([2]对账明细接口!$R371=0,"",[2]对账明细接口!$R371),"")</f>
      </c>
      <c r="X371" s="20">
        <f>IFERROR(IF([2]对账明细接口!$S371=0,"",[2]对账明细接口!$S371),"")</f>
      </c>
      <c r="Y371" s="20">
        <f>""</f>
      </c>
      <c r="Z371" s="20">
        <f>""</f>
      </c>
      <c r="AA371" s="20">
        <f>""</f>
      </c>
      <c r="AB371" s="20">
        <f>""</f>
      </c>
    </row>
    <row r="372" s="127">
      <c r="A372" s="14" t="n">
        <v>372</v>
      </c>
      <c r="B372" s="211">
        <f>IFERROR(IF([2]对账明细接口!$B$372=0,"",[2]对账明细接口!$B$372),"")</f>
      </c>
      <c r="C372" s="16">
        <f>IFERROR(IF([2]对账明细接口!$C$372=0,"",[2]对账明细接口!$C$372),"")</f>
      </c>
      <c r="D372" s="16">
        <f>IFERROR(IF([2]对账明细接口!$D$372=0,"",[2]对账明细接口!$D$372),"")</f>
      </c>
      <c r="E372" s="16">
        <f>IFERROR(IF([2]对账明细接口!$E$372=0,"",[2]对账明细接口!$E$372),"")</f>
      </c>
      <c r="F372" s="16">
        <f>IFERROR(IF([2]对账明细接口!$F$372=0,"",[2]对账明细接口!$F$372),"")</f>
      </c>
      <c r="G372" s="16">
        <f>IFERROR(IF([2]对账明细接口!$G$372=0,"",[2]对账明细接口!$G$372),"")</f>
      </c>
      <c r="H372" s="176">
        <f>IFERROR(IF([2]对账明细接口!$H$372=0,"",[2]对账明细接口!$H$372),"")</f>
      </c>
      <c r="I372" s="16">
        <f>IFERROR(IF([2]对账明细接口!$I$372=0,"",[2]对账明细接口!$I$372),"")</f>
      </c>
      <c r="J372" s="177">
        <f>IFERROR(IF([2]对账明细接口!$J$372=0,"",[2]对账明细接口!$J$372),"")</f>
      </c>
      <c r="K372" s="177">
        <f>IFERROR(IF([2]对账明细接口!$K$372=0,"",[2]对账明细接口!$K$372),"")</f>
      </c>
      <c r="L372" s="16">
        <f>IFERROR(IF([2]对账明细接口!$L$372=0,"",[2]对账明细接口!$L$372),"")</f>
      </c>
      <c r="M372" s="16">
        <f>IFERROR(IF([2]对账明细接口!$M$372=0,"",[2]对账明细接口!$M$372),"")</f>
      </c>
      <c r="N372" s="19">
        <f>IF($C372="",0,1)</f>
        <v>0</v>
      </c>
      <c r="O372" s="19">
        <f>N(O371)+$N372</f>
        <v>272</v>
      </c>
      <c r="S372" s="20">
        <f>IFERROR(IF([2]对账明细接口!$N372=0,"",[2]对账明细接口!$N372),"")</f>
      </c>
      <c r="T372" s="212">
        <f>IFERROR(IF([2]对账明细接口!$O372=0,"",[2]对账明细接口!$O372),"")</f>
      </c>
      <c r="U372" s="212">
        <f>IFERROR(IF([2]对账明细接口!$P372=0,"",[2]对账明细接口!$P372),"")</f>
      </c>
      <c r="V372" s="212">
        <f>IFERROR(IF([2]对账明细接口!$Q372=0,"",[2]对账明细接口!$Q372),"")</f>
      </c>
      <c r="W372" s="20">
        <f>IFERROR(IF([2]对账明细接口!$R372=0,"",[2]对账明细接口!$R372),"")</f>
      </c>
      <c r="X372" s="20">
        <f>IFERROR(IF([2]对账明细接口!$S372=0,"",[2]对账明细接口!$S372),"")</f>
      </c>
      <c r="Y372" s="20">
        <f>""</f>
      </c>
      <c r="Z372" s="20">
        <f>""</f>
      </c>
      <c r="AA372" s="20">
        <f>""</f>
      </c>
      <c r="AB372" s="20">
        <f>""</f>
      </c>
    </row>
    <row r="373" s="127">
      <c r="A373" s="14" t="n">
        <v>373</v>
      </c>
      <c r="B373" s="211">
        <f>IFERROR(IF([2]对账明细接口!$B$373=0,"",[2]对账明细接口!$B$373),"")</f>
      </c>
      <c r="C373" s="16">
        <f>IFERROR(IF([2]对账明细接口!$C$373=0,"",[2]对账明细接口!$C$373),"")</f>
      </c>
      <c r="D373" s="16">
        <f>IFERROR(IF([2]对账明细接口!$D$373=0,"",[2]对账明细接口!$D$373),"")</f>
      </c>
      <c r="E373" s="16">
        <f>IFERROR(IF([2]对账明细接口!$E$373=0,"",[2]对账明细接口!$E$373),"")</f>
      </c>
      <c r="F373" s="16">
        <f>IFERROR(IF([2]对账明细接口!$F$373=0,"",[2]对账明细接口!$F$373),"")</f>
      </c>
      <c r="G373" s="16">
        <f>IFERROR(IF([2]对账明细接口!$G$373=0,"",[2]对账明细接口!$G$373),"")</f>
      </c>
      <c r="H373" s="176">
        <f>IFERROR(IF([2]对账明细接口!$H$373=0,"",[2]对账明细接口!$H$373),"")</f>
      </c>
      <c r="I373" s="16">
        <f>IFERROR(IF([2]对账明细接口!$I$373=0,"",[2]对账明细接口!$I$373),"")</f>
      </c>
      <c r="J373" s="177">
        <f>IFERROR(IF([2]对账明细接口!$J$373=0,"",[2]对账明细接口!$J$373),"")</f>
      </c>
      <c r="K373" s="177">
        <f>IFERROR(IF([2]对账明细接口!$K$373=0,"",[2]对账明细接口!$K$373),"")</f>
      </c>
      <c r="L373" s="16">
        <f>IFERROR(IF([2]对账明细接口!$L$373=0,"",[2]对账明细接口!$L$373),"")</f>
      </c>
      <c r="M373" s="16">
        <f>IFERROR(IF([2]对账明细接口!$M$373=0,"",[2]对账明细接口!$M$373),"")</f>
      </c>
      <c r="N373" s="19">
        <f>IF($C373="",0,1)</f>
        <v>0</v>
      </c>
      <c r="O373" s="19">
        <f>N(O372)+$N373</f>
        <v>272</v>
      </c>
      <c r="S373" s="20">
        <f>IFERROR(IF([2]对账明细接口!$N373=0,"",[2]对账明细接口!$N373),"")</f>
      </c>
      <c r="T373" s="212">
        <f>IFERROR(IF([2]对账明细接口!$O373=0,"",[2]对账明细接口!$O373),"")</f>
      </c>
      <c r="U373" s="212">
        <f>IFERROR(IF([2]对账明细接口!$P373=0,"",[2]对账明细接口!$P373),"")</f>
      </c>
      <c r="V373" s="212">
        <f>IFERROR(IF([2]对账明细接口!$Q373=0,"",[2]对账明细接口!$Q373),"")</f>
      </c>
      <c r="W373" s="20">
        <f>IFERROR(IF([2]对账明细接口!$R373=0,"",[2]对账明细接口!$R373),"")</f>
      </c>
      <c r="X373" s="20">
        <f>IFERROR(IF([2]对账明细接口!$S373=0,"",[2]对账明细接口!$S373),"")</f>
      </c>
      <c r="Y373" s="20">
        <f>""</f>
      </c>
      <c r="Z373" s="20">
        <f>""</f>
      </c>
      <c r="AA373" s="20">
        <f>""</f>
      </c>
      <c r="AB373" s="20">
        <f>""</f>
      </c>
    </row>
    <row r="374" s="127">
      <c r="A374" s="14" t="n">
        <v>374</v>
      </c>
      <c r="B374" s="211">
        <f>IFERROR(IF([2]对账明细接口!$B$374=0,"",[2]对账明细接口!$B$374),"")</f>
      </c>
      <c r="C374" s="16">
        <f>IFERROR(IF([2]对账明细接口!$C$374=0,"",[2]对账明细接口!$C$374),"")</f>
      </c>
      <c r="D374" s="16">
        <f>IFERROR(IF([2]对账明细接口!$D$374=0,"",[2]对账明细接口!$D$374),"")</f>
      </c>
      <c r="E374" s="16">
        <f>IFERROR(IF([2]对账明细接口!$E$374=0,"",[2]对账明细接口!$E$374),"")</f>
      </c>
      <c r="F374" s="16">
        <f>IFERROR(IF([2]对账明细接口!$F$374=0,"",[2]对账明细接口!$F$374),"")</f>
      </c>
      <c r="G374" s="16">
        <f>IFERROR(IF([2]对账明细接口!$G$374=0,"",[2]对账明细接口!$G$374),"")</f>
      </c>
      <c r="H374" s="176">
        <f>IFERROR(IF([2]对账明细接口!$H$374=0,"",[2]对账明细接口!$H$374),"")</f>
      </c>
      <c r="I374" s="16">
        <f>IFERROR(IF([2]对账明细接口!$I$374=0,"",[2]对账明细接口!$I$374),"")</f>
      </c>
      <c r="J374" s="177">
        <f>IFERROR(IF([2]对账明细接口!$J$374=0,"",[2]对账明细接口!$J$374),"")</f>
      </c>
      <c r="K374" s="177">
        <f>IFERROR(IF([2]对账明细接口!$K$374=0,"",[2]对账明细接口!$K$374),"")</f>
      </c>
      <c r="L374" s="16">
        <f>IFERROR(IF([2]对账明细接口!$L$374=0,"",[2]对账明细接口!$L$374),"")</f>
      </c>
      <c r="M374" s="16">
        <f>IFERROR(IF([2]对账明细接口!$M$374=0,"",[2]对账明细接口!$M$374),"")</f>
      </c>
      <c r="N374" s="19">
        <f>IF($C374="",0,1)</f>
        <v>0</v>
      </c>
      <c r="O374" s="19">
        <f>N(O373)+$N374</f>
        <v>272</v>
      </c>
      <c r="S374" s="20">
        <f>IFERROR(IF([2]对账明细接口!$N374=0,"",[2]对账明细接口!$N374),"")</f>
      </c>
      <c r="T374" s="212">
        <f>IFERROR(IF([2]对账明细接口!$O374=0,"",[2]对账明细接口!$O374),"")</f>
      </c>
      <c r="U374" s="212">
        <f>IFERROR(IF([2]对账明细接口!$P374=0,"",[2]对账明细接口!$P374),"")</f>
      </c>
      <c r="V374" s="212">
        <f>IFERROR(IF([2]对账明细接口!$Q374=0,"",[2]对账明细接口!$Q374),"")</f>
      </c>
      <c r="W374" s="20">
        <f>IFERROR(IF([2]对账明细接口!$R374=0,"",[2]对账明细接口!$R374),"")</f>
      </c>
      <c r="X374" s="20">
        <f>IFERROR(IF([2]对账明细接口!$S374=0,"",[2]对账明细接口!$S374),"")</f>
      </c>
      <c r="Y374" s="20">
        <f>""</f>
      </c>
      <c r="Z374" s="20">
        <f>""</f>
      </c>
      <c r="AA374" s="20">
        <f>""</f>
      </c>
      <c r="AB374" s="20">
        <f>""</f>
      </c>
    </row>
    <row r="375" s="127">
      <c r="A375" s="14" t="n">
        <v>375</v>
      </c>
      <c r="B375" s="211">
        <f>IFERROR(IF([2]对账明细接口!$B$375=0,"",[2]对账明细接口!$B$375),"")</f>
      </c>
      <c r="C375" s="16">
        <f>IFERROR(IF([2]对账明细接口!$C$375=0,"",[2]对账明细接口!$C$375),"")</f>
      </c>
      <c r="D375" s="16">
        <f>IFERROR(IF([2]对账明细接口!$D$375=0,"",[2]对账明细接口!$D$375),"")</f>
      </c>
      <c r="E375" s="16">
        <f>IFERROR(IF([2]对账明细接口!$E$375=0,"",[2]对账明细接口!$E$375),"")</f>
      </c>
      <c r="F375" s="16">
        <f>IFERROR(IF([2]对账明细接口!$F$375=0,"",[2]对账明细接口!$F$375),"")</f>
      </c>
      <c r="G375" s="16">
        <f>IFERROR(IF([2]对账明细接口!$G$375=0,"",[2]对账明细接口!$G$375),"")</f>
      </c>
      <c r="H375" s="176">
        <f>IFERROR(IF([2]对账明细接口!$H$375=0,"",[2]对账明细接口!$H$375),"")</f>
      </c>
      <c r="I375" s="16">
        <f>IFERROR(IF([2]对账明细接口!$I$375=0,"",[2]对账明细接口!$I$375),"")</f>
      </c>
      <c r="J375" s="177">
        <f>IFERROR(IF([2]对账明细接口!$J$375=0,"",[2]对账明细接口!$J$375),"")</f>
      </c>
      <c r="K375" s="177">
        <f>IFERROR(IF([2]对账明细接口!$K$375=0,"",[2]对账明细接口!$K$375),"")</f>
      </c>
      <c r="L375" s="16">
        <f>IFERROR(IF([2]对账明细接口!$L$375=0,"",[2]对账明细接口!$L$375),"")</f>
      </c>
      <c r="M375" s="16">
        <f>IFERROR(IF([2]对账明细接口!$M$375=0,"",[2]对账明细接口!$M$375),"")</f>
      </c>
      <c r="N375" s="19">
        <f>IF($C375="",0,1)</f>
        <v>0</v>
      </c>
      <c r="O375" s="19">
        <f>N(O374)+$N375</f>
        <v>272</v>
      </c>
      <c r="S375" s="20">
        <f>IFERROR(IF([2]对账明细接口!$N375=0,"",[2]对账明细接口!$N375),"")</f>
      </c>
      <c r="T375" s="212">
        <f>IFERROR(IF([2]对账明细接口!$O375=0,"",[2]对账明细接口!$O375),"")</f>
      </c>
      <c r="U375" s="212">
        <f>IFERROR(IF([2]对账明细接口!$P375=0,"",[2]对账明细接口!$P375),"")</f>
      </c>
      <c r="V375" s="212">
        <f>IFERROR(IF([2]对账明细接口!$Q375=0,"",[2]对账明细接口!$Q375),"")</f>
      </c>
      <c r="W375" s="20">
        <f>IFERROR(IF([2]对账明细接口!$R375=0,"",[2]对账明细接口!$R375),"")</f>
      </c>
      <c r="X375" s="20">
        <f>IFERROR(IF([2]对账明细接口!$S375=0,"",[2]对账明细接口!$S375),"")</f>
      </c>
      <c r="Y375" s="20">
        <f>""</f>
      </c>
      <c r="Z375" s="20">
        <f>""</f>
      </c>
      <c r="AA375" s="20">
        <f>""</f>
      </c>
      <c r="AB375" s="20">
        <f>""</f>
      </c>
    </row>
    <row r="376" s="127">
      <c r="A376" s="14" t="n">
        <v>376</v>
      </c>
      <c r="B376" s="211">
        <f>IFERROR(IF([2]对账明细接口!$B$376=0,"",[2]对账明细接口!$B$376),"")</f>
      </c>
      <c r="C376" s="16">
        <f>IFERROR(IF([2]对账明细接口!$C$376=0,"",[2]对账明细接口!$C$376),"")</f>
      </c>
      <c r="D376" s="16">
        <f>IFERROR(IF([2]对账明细接口!$D$376=0,"",[2]对账明细接口!$D$376),"")</f>
      </c>
      <c r="E376" s="16">
        <f>IFERROR(IF([2]对账明细接口!$E$376=0,"",[2]对账明细接口!$E$376),"")</f>
      </c>
      <c r="F376" s="16">
        <f>IFERROR(IF([2]对账明细接口!$F$376=0,"",[2]对账明细接口!$F$376),"")</f>
      </c>
      <c r="G376" s="16">
        <f>IFERROR(IF([2]对账明细接口!$G$376=0,"",[2]对账明细接口!$G$376),"")</f>
      </c>
      <c r="H376" s="176">
        <f>IFERROR(IF([2]对账明细接口!$H$376=0,"",[2]对账明细接口!$H$376),"")</f>
      </c>
      <c r="I376" s="16">
        <f>IFERROR(IF([2]对账明细接口!$I$376=0,"",[2]对账明细接口!$I$376),"")</f>
      </c>
      <c r="J376" s="177">
        <f>IFERROR(IF([2]对账明细接口!$J$376=0,"",[2]对账明细接口!$J$376),"")</f>
      </c>
      <c r="K376" s="177">
        <f>IFERROR(IF([2]对账明细接口!$K$376=0,"",[2]对账明细接口!$K$376),"")</f>
      </c>
      <c r="L376" s="16">
        <f>IFERROR(IF([2]对账明细接口!$L$376=0,"",[2]对账明细接口!$L$376),"")</f>
      </c>
      <c r="M376" s="16">
        <f>IFERROR(IF([2]对账明细接口!$M$376=0,"",[2]对账明细接口!$M$376),"")</f>
      </c>
      <c r="N376" s="19">
        <f>IF($C376="",0,1)</f>
        <v>0</v>
      </c>
      <c r="O376" s="19">
        <f>N(O375)+$N376</f>
        <v>272</v>
      </c>
      <c r="S376" s="20">
        <f>IFERROR(IF([2]对账明细接口!$N376=0,"",[2]对账明细接口!$N376),"")</f>
      </c>
      <c r="T376" s="212">
        <f>IFERROR(IF([2]对账明细接口!$O376=0,"",[2]对账明细接口!$O376),"")</f>
      </c>
      <c r="U376" s="212">
        <f>IFERROR(IF([2]对账明细接口!$P376=0,"",[2]对账明细接口!$P376),"")</f>
      </c>
      <c r="V376" s="212">
        <f>IFERROR(IF([2]对账明细接口!$Q376=0,"",[2]对账明细接口!$Q376),"")</f>
      </c>
      <c r="W376" s="20">
        <f>IFERROR(IF([2]对账明细接口!$R376=0,"",[2]对账明细接口!$R376),"")</f>
      </c>
      <c r="X376" s="20">
        <f>IFERROR(IF([2]对账明细接口!$S376=0,"",[2]对账明细接口!$S376),"")</f>
      </c>
      <c r="Y376" s="20">
        <f>""</f>
      </c>
      <c r="Z376" s="20">
        <f>""</f>
      </c>
      <c r="AA376" s="20">
        <f>""</f>
      </c>
      <c r="AB376" s="20">
        <f>""</f>
      </c>
    </row>
    <row r="377" s="127">
      <c r="A377" s="14" t="n">
        <v>377</v>
      </c>
      <c r="B377" s="211">
        <f>IFERROR(IF([2]对账明细接口!$B$377=0,"",[2]对账明细接口!$B$377),"")</f>
      </c>
      <c r="C377" s="16">
        <f>IFERROR(IF([2]对账明细接口!$C$377=0,"",[2]对账明细接口!$C$377),"")</f>
      </c>
      <c r="D377" s="16">
        <f>IFERROR(IF([2]对账明细接口!$D$377=0,"",[2]对账明细接口!$D$377),"")</f>
      </c>
      <c r="E377" s="16">
        <f>IFERROR(IF([2]对账明细接口!$E$377=0,"",[2]对账明细接口!$E$377),"")</f>
      </c>
      <c r="F377" s="16">
        <f>IFERROR(IF([2]对账明细接口!$F$377=0,"",[2]对账明细接口!$F$377),"")</f>
      </c>
      <c r="G377" s="16">
        <f>IFERROR(IF([2]对账明细接口!$G$377=0,"",[2]对账明细接口!$G$377),"")</f>
      </c>
      <c r="H377" s="176">
        <f>IFERROR(IF([2]对账明细接口!$H$377=0,"",[2]对账明细接口!$H$377),"")</f>
      </c>
      <c r="I377" s="16">
        <f>IFERROR(IF([2]对账明细接口!$I$377=0,"",[2]对账明细接口!$I$377),"")</f>
      </c>
      <c r="J377" s="177">
        <f>IFERROR(IF([2]对账明细接口!$J$377=0,"",[2]对账明细接口!$J$377),"")</f>
      </c>
      <c r="K377" s="177">
        <f>IFERROR(IF([2]对账明细接口!$K$377=0,"",[2]对账明细接口!$K$377),"")</f>
      </c>
      <c r="L377" s="16">
        <f>IFERROR(IF([2]对账明细接口!$L$377=0,"",[2]对账明细接口!$L$377),"")</f>
      </c>
      <c r="M377" s="16">
        <f>IFERROR(IF([2]对账明细接口!$M$377=0,"",[2]对账明细接口!$M$377),"")</f>
      </c>
      <c r="N377" s="19">
        <f>IF($C377="",0,1)</f>
        <v>0</v>
      </c>
      <c r="O377" s="19">
        <f>N(O376)+$N377</f>
        <v>272</v>
      </c>
      <c r="S377" s="20">
        <f>IFERROR(IF([2]对账明细接口!$N377=0,"",[2]对账明细接口!$N377),"")</f>
      </c>
      <c r="T377" s="212">
        <f>IFERROR(IF([2]对账明细接口!$O377=0,"",[2]对账明细接口!$O377),"")</f>
      </c>
      <c r="U377" s="212">
        <f>IFERROR(IF([2]对账明细接口!$P377=0,"",[2]对账明细接口!$P377),"")</f>
      </c>
      <c r="V377" s="212">
        <f>IFERROR(IF([2]对账明细接口!$Q377=0,"",[2]对账明细接口!$Q377),"")</f>
      </c>
      <c r="W377" s="20">
        <f>IFERROR(IF([2]对账明细接口!$R377=0,"",[2]对账明细接口!$R377),"")</f>
      </c>
      <c r="X377" s="20">
        <f>IFERROR(IF([2]对账明细接口!$S377=0,"",[2]对账明细接口!$S377),"")</f>
      </c>
      <c r="Y377" s="20">
        <f>""</f>
      </c>
      <c r="Z377" s="20">
        <f>""</f>
      </c>
      <c r="AA377" s="20">
        <f>""</f>
      </c>
      <c r="AB377" s="20">
        <f>""</f>
      </c>
    </row>
    <row r="378" s="127">
      <c r="A378" s="14" t="n">
        <v>378</v>
      </c>
      <c r="B378" s="211">
        <f>IFERROR(IF([2]对账明细接口!$B$378=0,"",[2]对账明细接口!$B$378),"")</f>
      </c>
      <c r="C378" s="16">
        <f>IFERROR(IF([2]对账明细接口!$C$378=0,"",[2]对账明细接口!$C$378),"")</f>
      </c>
      <c r="D378" s="16">
        <f>IFERROR(IF([2]对账明细接口!$D$378=0,"",[2]对账明细接口!$D$378),"")</f>
      </c>
      <c r="E378" s="16">
        <f>IFERROR(IF([2]对账明细接口!$E$378=0,"",[2]对账明细接口!$E$378),"")</f>
      </c>
      <c r="F378" s="16">
        <f>IFERROR(IF([2]对账明细接口!$F$378=0,"",[2]对账明细接口!$F$378),"")</f>
      </c>
      <c r="G378" s="16">
        <f>IFERROR(IF([2]对账明细接口!$G$378=0,"",[2]对账明细接口!$G$378),"")</f>
      </c>
      <c r="H378" s="176">
        <f>IFERROR(IF([2]对账明细接口!$H$378=0,"",[2]对账明细接口!$H$378),"")</f>
      </c>
      <c r="I378" s="16">
        <f>IFERROR(IF([2]对账明细接口!$I$378=0,"",[2]对账明细接口!$I$378),"")</f>
      </c>
      <c r="J378" s="177">
        <f>IFERROR(IF([2]对账明细接口!$J$378=0,"",[2]对账明细接口!$J$378),"")</f>
      </c>
      <c r="K378" s="177">
        <f>IFERROR(IF([2]对账明细接口!$K$378=0,"",[2]对账明细接口!$K$378),"")</f>
      </c>
      <c r="L378" s="16">
        <f>IFERROR(IF([2]对账明细接口!$L$378=0,"",[2]对账明细接口!$L$378),"")</f>
      </c>
      <c r="M378" s="16">
        <f>IFERROR(IF([2]对账明细接口!$M$378=0,"",[2]对账明细接口!$M$378),"")</f>
      </c>
      <c r="N378" s="19">
        <f>IF($C378="",0,1)</f>
        <v>0</v>
      </c>
      <c r="O378" s="19">
        <f>N(O377)+$N378</f>
        <v>272</v>
      </c>
      <c r="S378" s="20">
        <f>IFERROR(IF([2]对账明细接口!$N378=0,"",[2]对账明细接口!$N378),"")</f>
      </c>
      <c r="T378" s="212">
        <f>IFERROR(IF([2]对账明细接口!$O378=0,"",[2]对账明细接口!$O378),"")</f>
      </c>
      <c r="U378" s="212">
        <f>IFERROR(IF([2]对账明细接口!$P378=0,"",[2]对账明细接口!$P378),"")</f>
      </c>
      <c r="V378" s="212">
        <f>IFERROR(IF([2]对账明细接口!$Q378=0,"",[2]对账明细接口!$Q378),"")</f>
      </c>
      <c r="W378" s="20">
        <f>IFERROR(IF([2]对账明细接口!$R378=0,"",[2]对账明细接口!$R378),"")</f>
      </c>
      <c r="X378" s="20">
        <f>IFERROR(IF([2]对账明细接口!$S378=0,"",[2]对账明细接口!$S378),"")</f>
      </c>
      <c r="Y378" s="20">
        <f>""</f>
      </c>
      <c r="Z378" s="20">
        <f>""</f>
      </c>
      <c r="AA378" s="20">
        <f>""</f>
      </c>
      <c r="AB378" s="20">
        <f>""</f>
      </c>
    </row>
    <row r="379" s="127">
      <c r="A379" s="14" t="n">
        <v>379</v>
      </c>
      <c r="B379" s="211">
        <f>IFERROR(IF([2]对账明细接口!$B$379=0,"",[2]对账明细接口!$B$379),"")</f>
      </c>
      <c r="C379" s="16">
        <f>IFERROR(IF([2]对账明细接口!$C$379=0,"",[2]对账明细接口!$C$379),"")</f>
      </c>
      <c r="D379" s="16">
        <f>IFERROR(IF([2]对账明细接口!$D$379=0,"",[2]对账明细接口!$D$379),"")</f>
      </c>
      <c r="E379" s="16">
        <f>IFERROR(IF([2]对账明细接口!$E$379=0,"",[2]对账明细接口!$E$379),"")</f>
      </c>
      <c r="F379" s="16">
        <f>IFERROR(IF([2]对账明细接口!$F$379=0,"",[2]对账明细接口!$F$379),"")</f>
      </c>
      <c r="G379" s="16">
        <f>IFERROR(IF([2]对账明细接口!$G$379=0,"",[2]对账明细接口!$G$379),"")</f>
      </c>
      <c r="H379" s="176">
        <f>IFERROR(IF([2]对账明细接口!$H$379=0,"",[2]对账明细接口!$H$379),"")</f>
      </c>
      <c r="I379" s="16">
        <f>IFERROR(IF([2]对账明细接口!$I$379=0,"",[2]对账明细接口!$I$379),"")</f>
      </c>
      <c r="J379" s="177">
        <f>IFERROR(IF([2]对账明细接口!$J$379=0,"",[2]对账明细接口!$J$379),"")</f>
      </c>
      <c r="K379" s="177">
        <f>IFERROR(IF([2]对账明细接口!$K$379=0,"",[2]对账明细接口!$K$379),"")</f>
      </c>
      <c r="L379" s="16">
        <f>IFERROR(IF([2]对账明细接口!$L$379=0,"",[2]对账明细接口!$L$379),"")</f>
      </c>
      <c r="M379" s="16">
        <f>IFERROR(IF([2]对账明细接口!$M$379=0,"",[2]对账明细接口!$M$379),"")</f>
      </c>
      <c r="N379" s="19">
        <f>IF($C379="",0,1)</f>
        <v>0</v>
      </c>
      <c r="O379" s="19">
        <f>N(O378)+$N379</f>
        <v>272</v>
      </c>
      <c r="S379" s="20">
        <f>IFERROR(IF([2]对账明细接口!$N379=0,"",[2]对账明细接口!$N379),"")</f>
      </c>
      <c r="T379" s="212">
        <f>IFERROR(IF([2]对账明细接口!$O379=0,"",[2]对账明细接口!$O379),"")</f>
      </c>
      <c r="U379" s="212">
        <f>IFERROR(IF([2]对账明细接口!$P379=0,"",[2]对账明细接口!$P379),"")</f>
      </c>
      <c r="V379" s="212">
        <f>IFERROR(IF([2]对账明细接口!$Q379=0,"",[2]对账明细接口!$Q379),"")</f>
      </c>
      <c r="W379" s="20">
        <f>IFERROR(IF([2]对账明细接口!$R379=0,"",[2]对账明细接口!$R379),"")</f>
      </c>
      <c r="X379" s="20">
        <f>IFERROR(IF([2]对账明细接口!$S379=0,"",[2]对账明细接口!$S379),"")</f>
      </c>
      <c r="Y379" s="20">
        <f>""</f>
      </c>
      <c r="Z379" s="20">
        <f>""</f>
      </c>
      <c r="AA379" s="20">
        <f>""</f>
      </c>
      <c r="AB379" s="20">
        <f>""</f>
      </c>
    </row>
    <row r="380" s="127">
      <c r="A380" s="14" t="n">
        <v>380</v>
      </c>
      <c r="B380" s="211">
        <f>IFERROR(IF([2]对账明细接口!$B$380=0,"",[2]对账明细接口!$B$380),"")</f>
      </c>
      <c r="C380" s="16">
        <f>IFERROR(IF([2]对账明细接口!$C$380=0,"",[2]对账明细接口!$C$380),"")</f>
      </c>
      <c r="D380" s="16">
        <f>IFERROR(IF([2]对账明细接口!$D$380=0,"",[2]对账明细接口!$D$380),"")</f>
      </c>
      <c r="E380" s="16">
        <f>IFERROR(IF([2]对账明细接口!$E$380=0,"",[2]对账明细接口!$E$380),"")</f>
      </c>
      <c r="F380" s="16">
        <f>IFERROR(IF([2]对账明细接口!$F$380=0,"",[2]对账明细接口!$F$380),"")</f>
      </c>
      <c r="G380" s="16">
        <f>IFERROR(IF([2]对账明细接口!$G$380=0,"",[2]对账明细接口!$G$380),"")</f>
      </c>
      <c r="H380" s="176">
        <f>IFERROR(IF([2]对账明细接口!$H$380=0,"",[2]对账明细接口!$H$380),"")</f>
      </c>
      <c r="I380" s="16">
        <f>IFERROR(IF([2]对账明细接口!$I$380=0,"",[2]对账明细接口!$I$380),"")</f>
      </c>
      <c r="J380" s="177">
        <f>IFERROR(IF([2]对账明细接口!$J$380=0,"",[2]对账明细接口!$J$380),"")</f>
      </c>
      <c r="K380" s="177">
        <f>IFERROR(IF([2]对账明细接口!$K$380=0,"",[2]对账明细接口!$K$380),"")</f>
      </c>
      <c r="L380" s="16">
        <f>IFERROR(IF([2]对账明细接口!$L$380=0,"",[2]对账明细接口!$L$380),"")</f>
      </c>
      <c r="M380" s="16">
        <f>IFERROR(IF([2]对账明细接口!$M$380=0,"",[2]对账明细接口!$M$380),"")</f>
      </c>
      <c r="N380" s="19">
        <f>IF($C380="",0,1)</f>
        <v>0</v>
      </c>
      <c r="O380" s="19">
        <f>N(O379)+$N380</f>
        <v>272</v>
      </c>
      <c r="S380" s="20">
        <f>IFERROR(IF([2]对账明细接口!$N380=0,"",[2]对账明细接口!$N380),"")</f>
      </c>
      <c r="T380" s="212">
        <f>IFERROR(IF([2]对账明细接口!$O380=0,"",[2]对账明细接口!$O380),"")</f>
      </c>
      <c r="U380" s="212">
        <f>IFERROR(IF([2]对账明细接口!$P380=0,"",[2]对账明细接口!$P380),"")</f>
      </c>
      <c r="V380" s="212">
        <f>IFERROR(IF([2]对账明细接口!$Q380=0,"",[2]对账明细接口!$Q380),"")</f>
      </c>
      <c r="W380" s="20">
        <f>IFERROR(IF([2]对账明细接口!$R380=0,"",[2]对账明细接口!$R380),"")</f>
      </c>
      <c r="X380" s="20">
        <f>IFERROR(IF([2]对账明细接口!$S380=0,"",[2]对账明细接口!$S380),"")</f>
      </c>
      <c r="Y380" s="20">
        <f>""</f>
      </c>
      <c r="Z380" s="20">
        <f>""</f>
      </c>
      <c r="AA380" s="20">
        <f>""</f>
      </c>
      <c r="AB380" s="20">
        <f>""</f>
      </c>
    </row>
    <row r="381" s="127">
      <c r="A381" s="14" t="n">
        <v>381</v>
      </c>
      <c r="B381" s="211">
        <f>IFERROR(IF([2]对账明细接口!$B$381=0,"",[2]对账明细接口!$B$381),"")</f>
      </c>
      <c r="C381" s="16">
        <f>IFERROR(IF([2]对账明细接口!$C$381=0,"",[2]对账明细接口!$C$381),"")</f>
      </c>
      <c r="D381" s="16">
        <f>IFERROR(IF([2]对账明细接口!$D$381=0,"",[2]对账明细接口!$D$381),"")</f>
      </c>
      <c r="E381" s="16">
        <f>IFERROR(IF([2]对账明细接口!$E$381=0,"",[2]对账明细接口!$E$381),"")</f>
      </c>
      <c r="F381" s="16">
        <f>IFERROR(IF([2]对账明细接口!$F$381=0,"",[2]对账明细接口!$F$381),"")</f>
      </c>
      <c r="G381" s="16">
        <f>IFERROR(IF([2]对账明细接口!$G$381=0,"",[2]对账明细接口!$G$381),"")</f>
      </c>
      <c r="H381" s="176">
        <f>IFERROR(IF([2]对账明细接口!$H$381=0,"",[2]对账明细接口!$H$381),"")</f>
      </c>
      <c r="I381" s="16">
        <f>IFERROR(IF([2]对账明细接口!$I$381=0,"",[2]对账明细接口!$I$381),"")</f>
      </c>
      <c r="J381" s="177">
        <f>IFERROR(IF([2]对账明细接口!$J$381=0,"",[2]对账明细接口!$J$381),"")</f>
      </c>
      <c r="K381" s="177">
        <f>IFERROR(IF([2]对账明细接口!$K$381=0,"",[2]对账明细接口!$K$381),"")</f>
      </c>
      <c r="L381" s="16">
        <f>IFERROR(IF([2]对账明细接口!$L$381=0,"",[2]对账明细接口!$L$381),"")</f>
      </c>
      <c r="M381" s="16">
        <f>IFERROR(IF([2]对账明细接口!$M$381=0,"",[2]对账明细接口!$M$381),"")</f>
      </c>
      <c r="N381" s="19">
        <f>IF($C381="",0,1)</f>
        <v>0</v>
      </c>
      <c r="O381" s="19">
        <f>N(O380)+$N381</f>
        <v>272</v>
      </c>
      <c r="S381" s="20">
        <f>IFERROR(IF([2]对账明细接口!$N381=0,"",[2]对账明细接口!$N381),"")</f>
      </c>
      <c r="T381" s="212">
        <f>IFERROR(IF([2]对账明细接口!$O381=0,"",[2]对账明细接口!$O381),"")</f>
      </c>
      <c r="U381" s="212">
        <f>IFERROR(IF([2]对账明细接口!$P381=0,"",[2]对账明细接口!$P381),"")</f>
      </c>
      <c r="V381" s="212">
        <f>IFERROR(IF([2]对账明细接口!$Q381=0,"",[2]对账明细接口!$Q381),"")</f>
      </c>
      <c r="W381" s="20">
        <f>IFERROR(IF([2]对账明细接口!$R381=0,"",[2]对账明细接口!$R381),"")</f>
      </c>
      <c r="X381" s="20">
        <f>IFERROR(IF([2]对账明细接口!$S381=0,"",[2]对账明细接口!$S381),"")</f>
      </c>
      <c r="Y381" s="20">
        <f>""</f>
      </c>
      <c r="Z381" s="20">
        <f>""</f>
      </c>
      <c r="AA381" s="20">
        <f>""</f>
      </c>
      <c r="AB381" s="20">
        <f>""</f>
      </c>
    </row>
    <row r="382" s="127">
      <c r="A382" s="14" t="n">
        <v>382</v>
      </c>
      <c r="B382" s="211">
        <f>IFERROR(IF([2]对账明细接口!$B$382=0,"",[2]对账明细接口!$B$382),"")</f>
      </c>
      <c r="C382" s="16">
        <f>IFERROR(IF([2]对账明细接口!$C$382=0,"",[2]对账明细接口!$C$382),"")</f>
      </c>
      <c r="D382" s="16">
        <f>IFERROR(IF([2]对账明细接口!$D$382=0,"",[2]对账明细接口!$D$382),"")</f>
      </c>
      <c r="E382" s="16">
        <f>IFERROR(IF([2]对账明细接口!$E$382=0,"",[2]对账明细接口!$E$382),"")</f>
      </c>
      <c r="F382" s="16">
        <f>IFERROR(IF([2]对账明细接口!$F$382=0,"",[2]对账明细接口!$F$382),"")</f>
      </c>
      <c r="G382" s="16">
        <f>IFERROR(IF([2]对账明细接口!$G$382=0,"",[2]对账明细接口!$G$382),"")</f>
      </c>
      <c r="H382" s="176">
        <f>IFERROR(IF([2]对账明细接口!$H$382=0,"",[2]对账明细接口!$H$382),"")</f>
      </c>
      <c r="I382" s="16">
        <f>IFERROR(IF([2]对账明细接口!$I$382=0,"",[2]对账明细接口!$I$382),"")</f>
      </c>
      <c r="J382" s="177">
        <f>IFERROR(IF([2]对账明细接口!$J$382=0,"",[2]对账明细接口!$J$382),"")</f>
      </c>
      <c r="K382" s="177">
        <f>IFERROR(IF([2]对账明细接口!$K$382=0,"",[2]对账明细接口!$K$382),"")</f>
      </c>
      <c r="L382" s="16">
        <f>IFERROR(IF([2]对账明细接口!$L$382=0,"",[2]对账明细接口!$L$382),"")</f>
      </c>
      <c r="M382" s="16">
        <f>IFERROR(IF([2]对账明细接口!$M$382=0,"",[2]对账明细接口!$M$382),"")</f>
      </c>
      <c r="N382" s="19">
        <f>IF($C382="",0,1)</f>
        <v>0</v>
      </c>
      <c r="O382" s="19">
        <f>N(O381)+$N382</f>
        <v>272</v>
      </c>
      <c r="S382" s="20">
        <f>IFERROR(IF([2]对账明细接口!$N382=0,"",[2]对账明细接口!$N382),"")</f>
      </c>
      <c r="T382" s="212">
        <f>IFERROR(IF([2]对账明细接口!$O382=0,"",[2]对账明细接口!$O382),"")</f>
      </c>
      <c r="U382" s="212">
        <f>IFERROR(IF([2]对账明细接口!$P382=0,"",[2]对账明细接口!$P382),"")</f>
      </c>
      <c r="V382" s="212">
        <f>IFERROR(IF([2]对账明细接口!$Q382=0,"",[2]对账明细接口!$Q382),"")</f>
      </c>
      <c r="W382" s="20">
        <f>IFERROR(IF([2]对账明细接口!$R382=0,"",[2]对账明细接口!$R382),"")</f>
      </c>
      <c r="X382" s="20">
        <f>IFERROR(IF([2]对账明细接口!$S382=0,"",[2]对账明细接口!$S382),"")</f>
      </c>
      <c r="Y382" s="20">
        <f>""</f>
      </c>
      <c r="Z382" s="20">
        <f>""</f>
      </c>
      <c r="AA382" s="20">
        <f>""</f>
      </c>
      <c r="AB382" s="20">
        <f>""</f>
      </c>
    </row>
    <row r="383" s="127">
      <c r="A383" s="14" t="n">
        <v>383</v>
      </c>
      <c r="B383" s="211">
        <f>IFERROR(IF([2]对账明细接口!$B$383=0,"",[2]对账明细接口!$B$383),"")</f>
      </c>
      <c r="C383" s="16">
        <f>IFERROR(IF([2]对账明细接口!$C$383=0,"",[2]对账明细接口!$C$383),"")</f>
      </c>
      <c r="D383" s="16">
        <f>IFERROR(IF([2]对账明细接口!$D$383=0,"",[2]对账明细接口!$D$383),"")</f>
      </c>
      <c r="E383" s="16">
        <f>IFERROR(IF([2]对账明细接口!$E$383=0,"",[2]对账明细接口!$E$383),"")</f>
      </c>
      <c r="F383" s="16">
        <f>IFERROR(IF([2]对账明细接口!$F$383=0,"",[2]对账明细接口!$F$383),"")</f>
      </c>
      <c r="G383" s="16">
        <f>IFERROR(IF([2]对账明细接口!$G$383=0,"",[2]对账明细接口!$G$383),"")</f>
      </c>
      <c r="H383" s="176">
        <f>IFERROR(IF([2]对账明细接口!$H$383=0,"",[2]对账明细接口!$H$383),"")</f>
      </c>
      <c r="I383" s="16">
        <f>IFERROR(IF([2]对账明细接口!$I$383=0,"",[2]对账明细接口!$I$383),"")</f>
      </c>
      <c r="J383" s="177">
        <f>IFERROR(IF([2]对账明细接口!$J$383=0,"",[2]对账明细接口!$J$383),"")</f>
      </c>
      <c r="K383" s="177">
        <f>IFERROR(IF([2]对账明细接口!$K$383=0,"",[2]对账明细接口!$K$383),"")</f>
      </c>
      <c r="L383" s="16">
        <f>IFERROR(IF([2]对账明细接口!$L$383=0,"",[2]对账明细接口!$L$383),"")</f>
      </c>
      <c r="M383" s="16">
        <f>IFERROR(IF([2]对账明细接口!$M$383=0,"",[2]对账明细接口!$M$383),"")</f>
      </c>
      <c r="N383" s="19">
        <f>IF($C383="",0,1)</f>
        <v>0</v>
      </c>
      <c r="O383" s="19">
        <f>N(O382)+$N383</f>
        <v>272</v>
      </c>
      <c r="S383" s="20">
        <f>IFERROR(IF([2]对账明细接口!$N383=0,"",[2]对账明细接口!$N383),"")</f>
      </c>
      <c r="T383" s="212">
        <f>IFERROR(IF([2]对账明细接口!$O383=0,"",[2]对账明细接口!$O383),"")</f>
      </c>
      <c r="U383" s="212">
        <f>IFERROR(IF([2]对账明细接口!$P383=0,"",[2]对账明细接口!$P383),"")</f>
      </c>
      <c r="V383" s="212">
        <f>IFERROR(IF([2]对账明细接口!$Q383=0,"",[2]对账明细接口!$Q383),"")</f>
      </c>
      <c r="W383" s="20">
        <f>IFERROR(IF([2]对账明细接口!$R383=0,"",[2]对账明细接口!$R383),"")</f>
      </c>
      <c r="X383" s="20">
        <f>IFERROR(IF([2]对账明细接口!$S383=0,"",[2]对账明细接口!$S383),"")</f>
      </c>
      <c r="Y383" s="20">
        <f>""</f>
      </c>
      <c r="Z383" s="20">
        <f>""</f>
      </c>
      <c r="AA383" s="20">
        <f>""</f>
      </c>
      <c r="AB383" s="20">
        <f>""</f>
      </c>
    </row>
    <row r="384" s="127">
      <c r="A384" s="14" t="n">
        <v>384</v>
      </c>
      <c r="B384" s="211">
        <f>IFERROR(IF([2]对账明细接口!$B$384=0,"",[2]对账明细接口!$B$384),"")</f>
      </c>
      <c r="C384" s="16">
        <f>IFERROR(IF([2]对账明细接口!$C$384=0,"",[2]对账明细接口!$C$384),"")</f>
      </c>
      <c r="D384" s="16">
        <f>IFERROR(IF([2]对账明细接口!$D$384=0,"",[2]对账明细接口!$D$384),"")</f>
      </c>
      <c r="E384" s="16">
        <f>IFERROR(IF([2]对账明细接口!$E$384=0,"",[2]对账明细接口!$E$384),"")</f>
      </c>
      <c r="F384" s="16">
        <f>IFERROR(IF([2]对账明细接口!$F$384=0,"",[2]对账明细接口!$F$384),"")</f>
      </c>
      <c r="G384" s="16">
        <f>IFERROR(IF([2]对账明细接口!$G$384=0,"",[2]对账明细接口!$G$384),"")</f>
      </c>
      <c r="H384" s="176">
        <f>IFERROR(IF([2]对账明细接口!$H$384=0,"",[2]对账明细接口!$H$384),"")</f>
      </c>
      <c r="I384" s="16">
        <f>IFERROR(IF([2]对账明细接口!$I$384=0,"",[2]对账明细接口!$I$384),"")</f>
      </c>
      <c r="J384" s="177">
        <f>IFERROR(IF([2]对账明细接口!$J$384=0,"",[2]对账明细接口!$J$384),"")</f>
      </c>
      <c r="K384" s="177">
        <f>IFERROR(IF([2]对账明细接口!$K$384=0,"",[2]对账明细接口!$K$384),"")</f>
      </c>
      <c r="L384" s="16">
        <f>IFERROR(IF([2]对账明细接口!$L$384=0,"",[2]对账明细接口!$L$384),"")</f>
      </c>
      <c r="M384" s="16">
        <f>IFERROR(IF([2]对账明细接口!$M$384=0,"",[2]对账明细接口!$M$384),"")</f>
      </c>
      <c r="N384" s="19">
        <f>IF($C384="",0,1)</f>
        <v>0</v>
      </c>
      <c r="O384" s="19">
        <f>N(O383)+$N384</f>
        <v>272</v>
      </c>
      <c r="S384" s="20">
        <f>IFERROR(IF([2]对账明细接口!$N384=0,"",[2]对账明细接口!$N384),"")</f>
      </c>
      <c r="T384" s="212">
        <f>IFERROR(IF([2]对账明细接口!$O384=0,"",[2]对账明细接口!$O384),"")</f>
      </c>
      <c r="U384" s="212">
        <f>IFERROR(IF([2]对账明细接口!$P384=0,"",[2]对账明细接口!$P384),"")</f>
      </c>
      <c r="V384" s="212">
        <f>IFERROR(IF([2]对账明细接口!$Q384=0,"",[2]对账明细接口!$Q384),"")</f>
      </c>
      <c r="W384" s="20">
        <f>IFERROR(IF([2]对账明细接口!$R384=0,"",[2]对账明细接口!$R384),"")</f>
      </c>
      <c r="X384" s="20">
        <f>IFERROR(IF([2]对账明细接口!$S384=0,"",[2]对账明细接口!$S384),"")</f>
      </c>
      <c r="Y384" s="20">
        <f>""</f>
      </c>
      <c r="Z384" s="20">
        <f>""</f>
      </c>
      <c r="AA384" s="20">
        <f>""</f>
      </c>
      <c r="AB384" s="20">
        <f>""</f>
      </c>
    </row>
    <row r="385" s="127">
      <c r="A385" s="14" t="n">
        <v>385</v>
      </c>
      <c r="B385" s="211">
        <f>IFERROR(IF([2]对账明细接口!$B$385=0,"",[2]对账明细接口!$B$385),"")</f>
      </c>
      <c r="C385" s="16">
        <f>IFERROR(IF([2]对账明细接口!$C$385=0,"",[2]对账明细接口!$C$385),"")</f>
      </c>
      <c r="D385" s="16">
        <f>IFERROR(IF([2]对账明细接口!$D$385=0,"",[2]对账明细接口!$D$385),"")</f>
      </c>
      <c r="E385" s="16">
        <f>IFERROR(IF([2]对账明细接口!$E$385=0,"",[2]对账明细接口!$E$385),"")</f>
      </c>
      <c r="F385" s="16">
        <f>IFERROR(IF([2]对账明细接口!$F$385=0,"",[2]对账明细接口!$F$385),"")</f>
      </c>
      <c r="G385" s="16">
        <f>IFERROR(IF([2]对账明细接口!$G$385=0,"",[2]对账明细接口!$G$385),"")</f>
      </c>
      <c r="H385" s="176">
        <f>IFERROR(IF([2]对账明细接口!$H$385=0,"",[2]对账明细接口!$H$385),"")</f>
      </c>
      <c r="I385" s="16">
        <f>IFERROR(IF([2]对账明细接口!$I$385=0,"",[2]对账明细接口!$I$385),"")</f>
      </c>
      <c r="J385" s="177">
        <f>IFERROR(IF([2]对账明细接口!$J$385=0,"",[2]对账明细接口!$J$385),"")</f>
      </c>
      <c r="K385" s="177">
        <f>IFERROR(IF([2]对账明细接口!$K$385=0,"",[2]对账明细接口!$K$385),"")</f>
      </c>
      <c r="L385" s="16">
        <f>IFERROR(IF([2]对账明细接口!$L$385=0,"",[2]对账明细接口!$L$385),"")</f>
      </c>
      <c r="M385" s="16">
        <f>IFERROR(IF([2]对账明细接口!$M$385=0,"",[2]对账明细接口!$M$385),"")</f>
      </c>
      <c r="N385" s="19">
        <f>IF($C385="",0,1)</f>
        <v>0</v>
      </c>
      <c r="O385" s="19">
        <f>N(O384)+$N385</f>
        <v>272</v>
      </c>
      <c r="S385" s="20">
        <f>IFERROR(IF([2]对账明细接口!$N385=0,"",[2]对账明细接口!$N385),"")</f>
      </c>
      <c r="T385" s="212">
        <f>IFERROR(IF([2]对账明细接口!$O385=0,"",[2]对账明细接口!$O385),"")</f>
      </c>
      <c r="U385" s="212">
        <f>IFERROR(IF([2]对账明细接口!$P385=0,"",[2]对账明细接口!$P385),"")</f>
      </c>
      <c r="V385" s="212">
        <f>IFERROR(IF([2]对账明细接口!$Q385=0,"",[2]对账明细接口!$Q385),"")</f>
      </c>
      <c r="W385" s="20">
        <f>IFERROR(IF([2]对账明细接口!$R385=0,"",[2]对账明细接口!$R385),"")</f>
      </c>
      <c r="X385" s="20">
        <f>IFERROR(IF([2]对账明细接口!$S385=0,"",[2]对账明细接口!$S385),"")</f>
      </c>
      <c r="Y385" s="20">
        <f>""</f>
      </c>
      <c r="Z385" s="20">
        <f>""</f>
      </c>
      <c r="AA385" s="20">
        <f>""</f>
      </c>
      <c r="AB385" s="20">
        <f>""</f>
      </c>
    </row>
    <row r="386" s="127">
      <c r="A386" s="14" t="n">
        <v>386</v>
      </c>
      <c r="B386" s="211">
        <f>IFERROR(IF([2]对账明细接口!$B$386=0,"",[2]对账明细接口!$B$386),"")</f>
      </c>
      <c r="C386" s="16">
        <f>IFERROR(IF([2]对账明细接口!$C$386=0,"",[2]对账明细接口!$C$386),"")</f>
      </c>
      <c r="D386" s="16">
        <f>IFERROR(IF([2]对账明细接口!$D$386=0,"",[2]对账明细接口!$D$386),"")</f>
      </c>
      <c r="E386" s="16">
        <f>IFERROR(IF([2]对账明细接口!$E$386=0,"",[2]对账明细接口!$E$386),"")</f>
      </c>
      <c r="F386" s="16">
        <f>IFERROR(IF([2]对账明细接口!$F$386=0,"",[2]对账明细接口!$F$386),"")</f>
      </c>
      <c r="G386" s="16">
        <f>IFERROR(IF([2]对账明细接口!$G$386=0,"",[2]对账明细接口!$G$386),"")</f>
      </c>
      <c r="H386" s="176">
        <f>IFERROR(IF([2]对账明细接口!$H$386=0,"",[2]对账明细接口!$H$386),"")</f>
      </c>
      <c r="I386" s="16">
        <f>IFERROR(IF([2]对账明细接口!$I$386=0,"",[2]对账明细接口!$I$386),"")</f>
      </c>
      <c r="J386" s="177">
        <f>IFERROR(IF([2]对账明细接口!$J$386=0,"",[2]对账明细接口!$J$386),"")</f>
      </c>
      <c r="K386" s="177">
        <f>IFERROR(IF([2]对账明细接口!$K$386=0,"",[2]对账明细接口!$K$386),"")</f>
      </c>
      <c r="L386" s="16">
        <f>IFERROR(IF([2]对账明细接口!$L$386=0,"",[2]对账明细接口!$L$386),"")</f>
      </c>
      <c r="M386" s="16">
        <f>IFERROR(IF([2]对账明细接口!$M$386=0,"",[2]对账明细接口!$M$386),"")</f>
      </c>
      <c r="N386" s="19">
        <f>IF($C386="",0,1)</f>
        <v>0</v>
      </c>
      <c r="O386" s="19">
        <f>N(O385)+$N386</f>
        <v>272</v>
      </c>
      <c r="S386" s="20">
        <f>IFERROR(IF([2]对账明细接口!$N386=0,"",[2]对账明细接口!$N386),"")</f>
      </c>
      <c r="T386" s="212">
        <f>IFERROR(IF([2]对账明细接口!$O386=0,"",[2]对账明细接口!$O386),"")</f>
      </c>
      <c r="U386" s="212">
        <f>IFERROR(IF([2]对账明细接口!$P386=0,"",[2]对账明细接口!$P386),"")</f>
      </c>
      <c r="V386" s="212">
        <f>IFERROR(IF([2]对账明细接口!$Q386=0,"",[2]对账明细接口!$Q386),"")</f>
      </c>
      <c r="W386" s="20">
        <f>IFERROR(IF([2]对账明细接口!$R386=0,"",[2]对账明细接口!$R386),"")</f>
      </c>
      <c r="X386" s="20">
        <f>IFERROR(IF([2]对账明细接口!$S386=0,"",[2]对账明细接口!$S386),"")</f>
      </c>
      <c r="Y386" s="20">
        <f>""</f>
      </c>
      <c r="Z386" s="20">
        <f>""</f>
      </c>
      <c r="AA386" s="20">
        <f>""</f>
      </c>
      <c r="AB386" s="20">
        <f>""</f>
      </c>
    </row>
    <row r="387" s="127">
      <c r="A387" s="14" t="n">
        <v>387</v>
      </c>
      <c r="B387" s="211">
        <f>IFERROR(IF([2]对账明细接口!$B$387=0,"",[2]对账明细接口!$B$387),"")</f>
      </c>
      <c r="C387" s="16">
        <f>IFERROR(IF([2]对账明细接口!$C$387=0,"",[2]对账明细接口!$C$387),"")</f>
      </c>
      <c r="D387" s="16">
        <f>IFERROR(IF([2]对账明细接口!$D$387=0,"",[2]对账明细接口!$D$387),"")</f>
      </c>
      <c r="E387" s="16">
        <f>IFERROR(IF([2]对账明细接口!$E$387=0,"",[2]对账明细接口!$E$387),"")</f>
      </c>
      <c r="F387" s="16">
        <f>IFERROR(IF([2]对账明细接口!$F$387=0,"",[2]对账明细接口!$F$387),"")</f>
      </c>
      <c r="G387" s="16">
        <f>IFERROR(IF([2]对账明细接口!$G$387=0,"",[2]对账明细接口!$G$387),"")</f>
      </c>
      <c r="H387" s="176">
        <f>IFERROR(IF([2]对账明细接口!$H$387=0,"",[2]对账明细接口!$H$387),"")</f>
      </c>
      <c r="I387" s="16">
        <f>IFERROR(IF([2]对账明细接口!$I$387=0,"",[2]对账明细接口!$I$387),"")</f>
      </c>
      <c r="J387" s="177">
        <f>IFERROR(IF([2]对账明细接口!$J$387=0,"",[2]对账明细接口!$J$387),"")</f>
      </c>
      <c r="K387" s="177">
        <f>IFERROR(IF([2]对账明细接口!$K$387=0,"",[2]对账明细接口!$K$387),"")</f>
      </c>
      <c r="L387" s="16">
        <f>IFERROR(IF([2]对账明细接口!$L$387=0,"",[2]对账明细接口!$L$387),"")</f>
      </c>
      <c r="M387" s="16">
        <f>IFERROR(IF([2]对账明细接口!$M$387=0,"",[2]对账明细接口!$M$387),"")</f>
      </c>
      <c r="N387" s="19">
        <f>IF($C387="",0,1)</f>
        <v>0</v>
      </c>
      <c r="O387" s="19">
        <f>N(O386)+$N387</f>
        <v>272</v>
      </c>
      <c r="S387" s="20">
        <f>IFERROR(IF([2]对账明细接口!$N387=0,"",[2]对账明细接口!$N387),"")</f>
      </c>
      <c r="T387" s="212">
        <f>IFERROR(IF([2]对账明细接口!$O387=0,"",[2]对账明细接口!$O387),"")</f>
      </c>
      <c r="U387" s="212">
        <f>IFERROR(IF([2]对账明细接口!$P387=0,"",[2]对账明细接口!$P387),"")</f>
      </c>
      <c r="V387" s="212">
        <f>IFERROR(IF([2]对账明细接口!$Q387=0,"",[2]对账明细接口!$Q387),"")</f>
      </c>
      <c r="W387" s="20">
        <f>IFERROR(IF([2]对账明细接口!$R387=0,"",[2]对账明细接口!$R387),"")</f>
      </c>
      <c r="X387" s="20">
        <f>IFERROR(IF([2]对账明细接口!$S387=0,"",[2]对账明细接口!$S387),"")</f>
      </c>
      <c r="Y387" s="20">
        <f>""</f>
      </c>
      <c r="Z387" s="20">
        <f>""</f>
      </c>
      <c r="AA387" s="20">
        <f>""</f>
      </c>
      <c r="AB387" s="20">
        <f>""</f>
      </c>
    </row>
    <row r="388" s="127">
      <c r="A388" s="14" t="n">
        <v>388</v>
      </c>
      <c r="B388" s="211">
        <f>IFERROR(IF([2]对账明细接口!$B$388=0,"",[2]对账明细接口!$B$388),"")</f>
      </c>
      <c r="C388" s="16">
        <f>IFERROR(IF([2]对账明细接口!$C$388=0,"",[2]对账明细接口!$C$388),"")</f>
      </c>
      <c r="D388" s="16">
        <f>IFERROR(IF([2]对账明细接口!$D$388=0,"",[2]对账明细接口!$D$388),"")</f>
      </c>
      <c r="E388" s="16">
        <f>IFERROR(IF([2]对账明细接口!$E$388=0,"",[2]对账明细接口!$E$388),"")</f>
      </c>
      <c r="F388" s="16">
        <f>IFERROR(IF([2]对账明细接口!$F$388=0,"",[2]对账明细接口!$F$388),"")</f>
      </c>
      <c r="G388" s="16">
        <f>IFERROR(IF([2]对账明细接口!$G$388=0,"",[2]对账明细接口!$G$388),"")</f>
      </c>
      <c r="H388" s="176">
        <f>IFERROR(IF([2]对账明细接口!$H$388=0,"",[2]对账明细接口!$H$388),"")</f>
      </c>
      <c r="I388" s="16">
        <f>IFERROR(IF([2]对账明细接口!$I$388=0,"",[2]对账明细接口!$I$388),"")</f>
      </c>
      <c r="J388" s="177">
        <f>IFERROR(IF([2]对账明细接口!$J$388=0,"",[2]对账明细接口!$J$388),"")</f>
      </c>
      <c r="K388" s="177">
        <f>IFERROR(IF([2]对账明细接口!$K$388=0,"",[2]对账明细接口!$K$388),"")</f>
      </c>
      <c r="L388" s="16">
        <f>IFERROR(IF([2]对账明细接口!$L$388=0,"",[2]对账明细接口!$L$388),"")</f>
      </c>
      <c r="M388" s="16">
        <f>IFERROR(IF([2]对账明细接口!$M$388=0,"",[2]对账明细接口!$M$388),"")</f>
      </c>
      <c r="N388" s="19">
        <f>IF($C388="",0,1)</f>
        <v>0</v>
      </c>
      <c r="O388" s="19">
        <f>N(O387)+$N388</f>
        <v>272</v>
      </c>
      <c r="S388" s="20">
        <f>IFERROR(IF([2]对账明细接口!$N388=0,"",[2]对账明细接口!$N388),"")</f>
      </c>
      <c r="T388" s="212">
        <f>IFERROR(IF([2]对账明细接口!$O388=0,"",[2]对账明细接口!$O388),"")</f>
      </c>
      <c r="U388" s="212">
        <f>IFERROR(IF([2]对账明细接口!$P388=0,"",[2]对账明细接口!$P388),"")</f>
      </c>
      <c r="V388" s="212">
        <f>IFERROR(IF([2]对账明细接口!$Q388=0,"",[2]对账明细接口!$Q388),"")</f>
      </c>
      <c r="W388" s="20">
        <f>IFERROR(IF([2]对账明细接口!$R388=0,"",[2]对账明细接口!$R388),"")</f>
      </c>
      <c r="X388" s="20">
        <f>IFERROR(IF([2]对账明细接口!$S388=0,"",[2]对账明细接口!$S388),"")</f>
      </c>
      <c r="Y388" s="20">
        <f>""</f>
      </c>
      <c r="Z388" s="20">
        <f>""</f>
      </c>
      <c r="AA388" s="20">
        <f>""</f>
      </c>
      <c r="AB388" s="20">
        <f>""</f>
      </c>
    </row>
    <row r="389" s="127">
      <c r="A389" s="14" t="n">
        <v>389</v>
      </c>
      <c r="B389" s="211">
        <f>IFERROR(IF([2]对账明细接口!$B$389=0,"",[2]对账明细接口!$B$389),"")</f>
      </c>
      <c r="C389" s="16">
        <f>IFERROR(IF([2]对账明细接口!$C$389=0,"",[2]对账明细接口!$C$389),"")</f>
      </c>
      <c r="D389" s="16">
        <f>IFERROR(IF([2]对账明细接口!$D$389=0,"",[2]对账明细接口!$D$389),"")</f>
      </c>
      <c r="E389" s="16">
        <f>IFERROR(IF([2]对账明细接口!$E$389=0,"",[2]对账明细接口!$E$389),"")</f>
      </c>
      <c r="F389" s="16">
        <f>IFERROR(IF([2]对账明细接口!$F$389=0,"",[2]对账明细接口!$F$389),"")</f>
      </c>
      <c r="G389" s="16">
        <f>IFERROR(IF([2]对账明细接口!$G$389=0,"",[2]对账明细接口!$G$389),"")</f>
      </c>
      <c r="H389" s="176">
        <f>IFERROR(IF([2]对账明细接口!$H$389=0,"",[2]对账明细接口!$H$389),"")</f>
      </c>
      <c r="I389" s="16">
        <f>IFERROR(IF([2]对账明细接口!$I$389=0,"",[2]对账明细接口!$I$389),"")</f>
      </c>
      <c r="J389" s="177">
        <f>IFERROR(IF([2]对账明细接口!$J$389=0,"",[2]对账明细接口!$J$389),"")</f>
      </c>
      <c r="K389" s="177">
        <f>IFERROR(IF([2]对账明细接口!$K$389=0,"",[2]对账明细接口!$K$389),"")</f>
      </c>
      <c r="L389" s="16">
        <f>IFERROR(IF([2]对账明细接口!$L$389=0,"",[2]对账明细接口!$L$389),"")</f>
      </c>
      <c r="M389" s="16">
        <f>IFERROR(IF([2]对账明细接口!$M$389=0,"",[2]对账明细接口!$M$389),"")</f>
      </c>
      <c r="N389" s="19">
        <f>IF($C389="",0,1)</f>
        <v>0</v>
      </c>
      <c r="O389" s="19">
        <f>N(O388)+$N389</f>
        <v>272</v>
      </c>
      <c r="S389" s="20">
        <f>IFERROR(IF([2]对账明细接口!$N389=0,"",[2]对账明细接口!$N389),"")</f>
      </c>
      <c r="T389" s="212">
        <f>IFERROR(IF([2]对账明细接口!$O389=0,"",[2]对账明细接口!$O389),"")</f>
      </c>
      <c r="U389" s="212">
        <f>IFERROR(IF([2]对账明细接口!$P389=0,"",[2]对账明细接口!$P389),"")</f>
      </c>
      <c r="V389" s="212">
        <f>IFERROR(IF([2]对账明细接口!$Q389=0,"",[2]对账明细接口!$Q389),"")</f>
      </c>
      <c r="W389" s="20">
        <f>IFERROR(IF([2]对账明细接口!$R389=0,"",[2]对账明细接口!$R389),"")</f>
      </c>
      <c r="X389" s="20">
        <f>IFERROR(IF([2]对账明细接口!$S389=0,"",[2]对账明细接口!$S389),"")</f>
      </c>
      <c r="Y389" s="20">
        <f>""</f>
      </c>
      <c r="Z389" s="20">
        <f>""</f>
      </c>
      <c r="AA389" s="20">
        <f>""</f>
      </c>
      <c r="AB389" s="20">
        <f>""</f>
      </c>
    </row>
    <row r="390" s="127">
      <c r="A390" s="14" t="n">
        <v>390</v>
      </c>
      <c r="B390" s="211">
        <f>IFERROR(IF([2]对账明细接口!$B$390=0,"",[2]对账明细接口!$B$390),"")</f>
      </c>
      <c r="C390" s="16">
        <f>IFERROR(IF([2]对账明细接口!$C$390=0,"",[2]对账明细接口!$C$390),"")</f>
      </c>
      <c r="D390" s="16">
        <f>IFERROR(IF([2]对账明细接口!$D$390=0,"",[2]对账明细接口!$D$390),"")</f>
      </c>
      <c r="E390" s="16">
        <f>IFERROR(IF([2]对账明细接口!$E$390=0,"",[2]对账明细接口!$E$390),"")</f>
      </c>
      <c r="F390" s="16">
        <f>IFERROR(IF([2]对账明细接口!$F$390=0,"",[2]对账明细接口!$F$390),"")</f>
      </c>
      <c r="G390" s="16">
        <f>IFERROR(IF([2]对账明细接口!$G$390=0,"",[2]对账明细接口!$G$390),"")</f>
      </c>
      <c r="H390" s="176">
        <f>IFERROR(IF([2]对账明细接口!$H$390=0,"",[2]对账明细接口!$H$390),"")</f>
      </c>
      <c r="I390" s="16">
        <f>IFERROR(IF([2]对账明细接口!$I$390=0,"",[2]对账明细接口!$I$390),"")</f>
      </c>
      <c r="J390" s="177">
        <f>IFERROR(IF([2]对账明细接口!$J$390=0,"",[2]对账明细接口!$J$390),"")</f>
      </c>
      <c r="K390" s="177">
        <f>IFERROR(IF([2]对账明细接口!$K$390=0,"",[2]对账明细接口!$K$390),"")</f>
      </c>
      <c r="L390" s="16">
        <f>IFERROR(IF([2]对账明细接口!$L$390=0,"",[2]对账明细接口!$L$390),"")</f>
      </c>
      <c r="M390" s="16">
        <f>IFERROR(IF([2]对账明细接口!$M$390=0,"",[2]对账明细接口!$M$390),"")</f>
      </c>
      <c r="N390" s="19">
        <f>IF($C390="",0,1)</f>
        <v>0</v>
      </c>
      <c r="O390" s="19">
        <f>N(O389)+$N390</f>
        <v>272</v>
      </c>
      <c r="S390" s="20">
        <f>IFERROR(IF([2]对账明细接口!$N390=0,"",[2]对账明细接口!$N390),"")</f>
      </c>
      <c r="T390" s="212">
        <f>IFERROR(IF([2]对账明细接口!$O390=0,"",[2]对账明细接口!$O390),"")</f>
      </c>
      <c r="U390" s="212">
        <f>IFERROR(IF([2]对账明细接口!$P390=0,"",[2]对账明细接口!$P390),"")</f>
      </c>
      <c r="V390" s="212">
        <f>IFERROR(IF([2]对账明细接口!$Q390=0,"",[2]对账明细接口!$Q390),"")</f>
      </c>
      <c r="W390" s="20">
        <f>IFERROR(IF([2]对账明细接口!$R390=0,"",[2]对账明细接口!$R390),"")</f>
      </c>
      <c r="X390" s="20">
        <f>IFERROR(IF([2]对账明细接口!$S390=0,"",[2]对账明细接口!$S390),"")</f>
      </c>
      <c r="Y390" s="20">
        <f>""</f>
      </c>
      <c r="Z390" s="20">
        <f>""</f>
      </c>
      <c r="AA390" s="20">
        <f>""</f>
      </c>
      <c r="AB390" s="20">
        <f>""</f>
      </c>
    </row>
    <row r="391" s="127">
      <c r="A391" s="14" t="n">
        <v>391</v>
      </c>
      <c r="B391" s="211">
        <f>IFERROR(IF([2]对账明细接口!$B$391=0,"",[2]对账明细接口!$B$391),"")</f>
      </c>
      <c r="C391" s="16">
        <f>IFERROR(IF([2]对账明细接口!$C$391=0,"",[2]对账明细接口!$C$391),"")</f>
      </c>
      <c r="D391" s="16">
        <f>IFERROR(IF([2]对账明细接口!$D$391=0,"",[2]对账明细接口!$D$391),"")</f>
      </c>
      <c r="E391" s="16">
        <f>IFERROR(IF([2]对账明细接口!$E$391=0,"",[2]对账明细接口!$E$391),"")</f>
      </c>
      <c r="F391" s="16">
        <f>IFERROR(IF([2]对账明细接口!$F$391=0,"",[2]对账明细接口!$F$391),"")</f>
      </c>
      <c r="G391" s="16">
        <f>IFERROR(IF([2]对账明细接口!$G$391=0,"",[2]对账明细接口!$G$391),"")</f>
      </c>
      <c r="H391" s="176">
        <f>IFERROR(IF([2]对账明细接口!$H$391=0,"",[2]对账明细接口!$H$391),"")</f>
      </c>
      <c r="I391" s="16">
        <f>IFERROR(IF([2]对账明细接口!$I$391=0,"",[2]对账明细接口!$I$391),"")</f>
      </c>
      <c r="J391" s="177">
        <f>IFERROR(IF([2]对账明细接口!$J$391=0,"",[2]对账明细接口!$J$391),"")</f>
      </c>
      <c r="K391" s="177">
        <f>IFERROR(IF([2]对账明细接口!$K$391=0,"",[2]对账明细接口!$K$391),"")</f>
      </c>
      <c r="L391" s="16">
        <f>IFERROR(IF([2]对账明细接口!$L$391=0,"",[2]对账明细接口!$L$391),"")</f>
      </c>
      <c r="M391" s="16">
        <f>IFERROR(IF([2]对账明细接口!$M$391=0,"",[2]对账明细接口!$M$391),"")</f>
      </c>
      <c r="N391" s="19">
        <f>IF($C391="",0,1)</f>
        <v>0</v>
      </c>
      <c r="O391" s="19">
        <f>N(O390)+$N391</f>
        <v>272</v>
      </c>
      <c r="S391" s="20">
        <f>IFERROR(IF([2]对账明细接口!$N391=0,"",[2]对账明细接口!$N391),"")</f>
      </c>
      <c r="T391" s="212">
        <f>IFERROR(IF([2]对账明细接口!$O391=0,"",[2]对账明细接口!$O391),"")</f>
      </c>
      <c r="U391" s="212">
        <f>IFERROR(IF([2]对账明细接口!$P391=0,"",[2]对账明细接口!$P391),"")</f>
      </c>
      <c r="V391" s="212">
        <f>IFERROR(IF([2]对账明细接口!$Q391=0,"",[2]对账明细接口!$Q391),"")</f>
      </c>
      <c r="W391" s="20">
        <f>IFERROR(IF([2]对账明细接口!$R391=0,"",[2]对账明细接口!$R391),"")</f>
      </c>
      <c r="X391" s="20">
        <f>IFERROR(IF([2]对账明细接口!$S391=0,"",[2]对账明细接口!$S391),"")</f>
      </c>
      <c r="Y391" s="20">
        <f>""</f>
      </c>
      <c r="Z391" s="20">
        <f>""</f>
      </c>
      <c r="AA391" s="20">
        <f>""</f>
      </c>
      <c r="AB391" s="20">
        <f>""</f>
      </c>
    </row>
    <row r="392" s="127">
      <c r="A392" s="14" t="n">
        <v>392</v>
      </c>
      <c r="B392" s="211">
        <f>IFERROR(IF([2]对账明细接口!$B$392=0,"",[2]对账明细接口!$B$392),"")</f>
      </c>
      <c r="C392" s="16">
        <f>IFERROR(IF([2]对账明细接口!$C$392=0,"",[2]对账明细接口!$C$392),"")</f>
      </c>
      <c r="D392" s="16">
        <f>IFERROR(IF([2]对账明细接口!$D$392=0,"",[2]对账明细接口!$D$392),"")</f>
      </c>
      <c r="E392" s="16">
        <f>IFERROR(IF([2]对账明细接口!$E$392=0,"",[2]对账明细接口!$E$392),"")</f>
      </c>
      <c r="F392" s="16">
        <f>IFERROR(IF([2]对账明细接口!$F$392=0,"",[2]对账明细接口!$F$392),"")</f>
      </c>
      <c r="G392" s="16">
        <f>IFERROR(IF([2]对账明细接口!$G$392=0,"",[2]对账明细接口!$G$392),"")</f>
      </c>
      <c r="H392" s="176">
        <f>IFERROR(IF([2]对账明细接口!$H$392=0,"",[2]对账明细接口!$H$392),"")</f>
      </c>
      <c r="I392" s="16">
        <f>IFERROR(IF([2]对账明细接口!$I$392=0,"",[2]对账明细接口!$I$392),"")</f>
      </c>
      <c r="J392" s="177">
        <f>IFERROR(IF([2]对账明细接口!$J$392=0,"",[2]对账明细接口!$J$392),"")</f>
      </c>
      <c r="K392" s="177">
        <f>IFERROR(IF([2]对账明细接口!$K$392=0,"",[2]对账明细接口!$K$392),"")</f>
      </c>
      <c r="L392" s="16">
        <f>IFERROR(IF([2]对账明细接口!$L$392=0,"",[2]对账明细接口!$L$392),"")</f>
      </c>
      <c r="M392" s="16">
        <f>IFERROR(IF([2]对账明细接口!$M$392=0,"",[2]对账明细接口!$M$392),"")</f>
      </c>
      <c r="N392" s="19">
        <f>IF($C392="",0,1)</f>
        <v>0</v>
      </c>
      <c r="O392" s="19">
        <f>N(O391)+$N392</f>
        <v>272</v>
      </c>
      <c r="S392" s="20">
        <f>IFERROR(IF([2]对账明细接口!$N392=0,"",[2]对账明细接口!$N392),"")</f>
      </c>
      <c r="T392" s="212">
        <f>IFERROR(IF([2]对账明细接口!$O392=0,"",[2]对账明细接口!$O392),"")</f>
      </c>
      <c r="U392" s="212">
        <f>IFERROR(IF([2]对账明细接口!$P392=0,"",[2]对账明细接口!$P392),"")</f>
      </c>
      <c r="V392" s="212">
        <f>IFERROR(IF([2]对账明细接口!$Q392=0,"",[2]对账明细接口!$Q392),"")</f>
      </c>
      <c r="W392" s="20">
        <f>IFERROR(IF([2]对账明细接口!$R392=0,"",[2]对账明细接口!$R392),"")</f>
      </c>
      <c r="X392" s="20">
        <f>IFERROR(IF([2]对账明细接口!$S392=0,"",[2]对账明细接口!$S392),"")</f>
      </c>
      <c r="Y392" s="20">
        <f>""</f>
      </c>
      <c r="Z392" s="20">
        <f>""</f>
      </c>
      <c r="AA392" s="20">
        <f>""</f>
      </c>
      <c r="AB392" s="20">
        <f>""</f>
      </c>
    </row>
    <row r="393" s="127">
      <c r="A393" s="14" t="n">
        <v>393</v>
      </c>
      <c r="B393" s="211">
        <f>IFERROR(IF([2]对账明细接口!$B$393=0,"",[2]对账明细接口!$B$393),"")</f>
      </c>
      <c r="C393" s="16">
        <f>IFERROR(IF([2]对账明细接口!$C$393=0,"",[2]对账明细接口!$C$393),"")</f>
      </c>
      <c r="D393" s="16">
        <f>IFERROR(IF([2]对账明细接口!$D$393=0,"",[2]对账明细接口!$D$393),"")</f>
      </c>
      <c r="E393" s="16">
        <f>IFERROR(IF([2]对账明细接口!$E$393=0,"",[2]对账明细接口!$E$393),"")</f>
      </c>
      <c r="F393" s="16">
        <f>IFERROR(IF([2]对账明细接口!$F$393=0,"",[2]对账明细接口!$F$393),"")</f>
      </c>
      <c r="G393" s="16">
        <f>IFERROR(IF([2]对账明细接口!$G$393=0,"",[2]对账明细接口!$G$393),"")</f>
      </c>
      <c r="H393" s="176">
        <f>IFERROR(IF([2]对账明细接口!$H$393=0,"",[2]对账明细接口!$H$393),"")</f>
      </c>
      <c r="I393" s="16">
        <f>IFERROR(IF([2]对账明细接口!$I$393=0,"",[2]对账明细接口!$I$393),"")</f>
      </c>
      <c r="J393" s="177">
        <f>IFERROR(IF([2]对账明细接口!$J$393=0,"",[2]对账明细接口!$J$393),"")</f>
      </c>
      <c r="K393" s="177">
        <f>IFERROR(IF([2]对账明细接口!$K$393=0,"",[2]对账明细接口!$K$393),"")</f>
      </c>
      <c r="L393" s="16">
        <f>IFERROR(IF([2]对账明细接口!$L$393=0,"",[2]对账明细接口!$L$393),"")</f>
      </c>
      <c r="M393" s="16">
        <f>IFERROR(IF([2]对账明细接口!$M$393=0,"",[2]对账明细接口!$M$393),"")</f>
      </c>
      <c r="N393" s="19">
        <f>IF($C393="",0,1)</f>
        <v>0</v>
      </c>
      <c r="O393" s="19">
        <f>N(O392)+$N393</f>
        <v>272</v>
      </c>
      <c r="S393" s="20">
        <f>IFERROR(IF([2]对账明细接口!$N393=0,"",[2]对账明细接口!$N393),"")</f>
      </c>
      <c r="T393" s="212">
        <f>IFERROR(IF([2]对账明细接口!$O393=0,"",[2]对账明细接口!$O393),"")</f>
      </c>
      <c r="U393" s="212">
        <f>IFERROR(IF([2]对账明细接口!$P393=0,"",[2]对账明细接口!$P393),"")</f>
      </c>
      <c r="V393" s="212">
        <f>IFERROR(IF([2]对账明细接口!$Q393=0,"",[2]对账明细接口!$Q393),"")</f>
      </c>
      <c r="W393" s="20">
        <f>IFERROR(IF([2]对账明细接口!$R393=0,"",[2]对账明细接口!$R393),"")</f>
      </c>
      <c r="X393" s="20">
        <f>IFERROR(IF([2]对账明细接口!$S393=0,"",[2]对账明细接口!$S393),"")</f>
      </c>
      <c r="Y393" s="20">
        <f>""</f>
      </c>
      <c r="Z393" s="20">
        <f>""</f>
      </c>
      <c r="AA393" s="20">
        <f>""</f>
      </c>
      <c r="AB393" s="20">
        <f>""</f>
      </c>
    </row>
    <row r="394" s="127">
      <c r="A394" s="14" t="n">
        <v>394</v>
      </c>
      <c r="B394" s="211">
        <f>IFERROR(IF([2]对账明细接口!$B$394=0,"",[2]对账明细接口!$B$394),"")</f>
      </c>
      <c r="C394" s="16">
        <f>IFERROR(IF([2]对账明细接口!$C$394=0,"",[2]对账明细接口!$C$394),"")</f>
      </c>
      <c r="D394" s="16">
        <f>IFERROR(IF([2]对账明细接口!$D$394=0,"",[2]对账明细接口!$D$394),"")</f>
      </c>
      <c r="E394" s="16">
        <f>IFERROR(IF([2]对账明细接口!$E$394=0,"",[2]对账明细接口!$E$394),"")</f>
      </c>
      <c r="F394" s="16">
        <f>IFERROR(IF([2]对账明细接口!$F$394=0,"",[2]对账明细接口!$F$394),"")</f>
      </c>
      <c r="G394" s="16">
        <f>IFERROR(IF([2]对账明细接口!$G$394=0,"",[2]对账明细接口!$G$394),"")</f>
      </c>
      <c r="H394" s="176">
        <f>IFERROR(IF([2]对账明细接口!$H$394=0,"",[2]对账明细接口!$H$394),"")</f>
      </c>
      <c r="I394" s="16">
        <f>IFERROR(IF([2]对账明细接口!$I$394=0,"",[2]对账明细接口!$I$394),"")</f>
      </c>
      <c r="J394" s="177">
        <f>IFERROR(IF([2]对账明细接口!$J$394=0,"",[2]对账明细接口!$J$394),"")</f>
      </c>
      <c r="K394" s="177">
        <f>IFERROR(IF([2]对账明细接口!$K$394=0,"",[2]对账明细接口!$K$394),"")</f>
      </c>
      <c r="L394" s="16">
        <f>IFERROR(IF([2]对账明细接口!$L$394=0,"",[2]对账明细接口!$L$394),"")</f>
      </c>
      <c r="M394" s="16">
        <f>IFERROR(IF([2]对账明细接口!$M$394=0,"",[2]对账明细接口!$M$394),"")</f>
      </c>
      <c r="N394" s="19">
        <f>IF($C394="",0,1)</f>
        <v>0</v>
      </c>
      <c r="O394" s="19">
        <f>N(O393)+$N394</f>
        <v>272</v>
      </c>
      <c r="S394" s="20">
        <f>IFERROR(IF([2]对账明细接口!$N394=0,"",[2]对账明细接口!$N394),"")</f>
      </c>
      <c r="T394" s="212">
        <f>IFERROR(IF([2]对账明细接口!$O394=0,"",[2]对账明细接口!$O394),"")</f>
      </c>
      <c r="U394" s="212">
        <f>IFERROR(IF([2]对账明细接口!$P394=0,"",[2]对账明细接口!$P394),"")</f>
      </c>
      <c r="V394" s="212">
        <f>IFERROR(IF([2]对账明细接口!$Q394=0,"",[2]对账明细接口!$Q394),"")</f>
      </c>
      <c r="W394" s="20">
        <f>IFERROR(IF([2]对账明细接口!$R394=0,"",[2]对账明细接口!$R394),"")</f>
      </c>
      <c r="X394" s="20">
        <f>IFERROR(IF([2]对账明细接口!$S394=0,"",[2]对账明细接口!$S394),"")</f>
      </c>
      <c r="Y394" s="20">
        <f>""</f>
      </c>
      <c r="Z394" s="20">
        <f>""</f>
      </c>
      <c r="AA394" s="20">
        <f>""</f>
      </c>
      <c r="AB394" s="20">
        <f>""</f>
      </c>
    </row>
    <row r="395" s="127">
      <c r="A395" s="14" t="n">
        <v>395</v>
      </c>
      <c r="B395" s="211">
        <f>IFERROR(IF([2]对账明细接口!$B$395=0,"",[2]对账明细接口!$B$395),"")</f>
      </c>
      <c r="C395" s="16">
        <f>IFERROR(IF([2]对账明细接口!$C$395=0,"",[2]对账明细接口!$C$395),"")</f>
      </c>
      <c r="D395" s="16">
        <f>IFERROR(IF([2]对账明细接口!$D$395=0,"",[2]对账明细接口!$D$395),"")</f>
      </c>
      <c r="E395" s="16">
        <f>IFERROR(IF([2]对账明细接口!$E$395=0,"",[2]对账明细接口!$E$395),"")</f>
      </c>
      <c r="F395" s="16">
        <f>IFERROR(IF([2]对账明细接口!$F$395=0,"",[2]对账明细接口!$F$395),"")</f>
      </c>
      <c r="G395" s="16">
        <f>IFERROR(IF([2]对账明细接口!$G$395=0,"",[2]对账明细接口!$G$395),"")</f>
      </c>
      <c r="H395" s="176">
        <f>IFERROR(IF([2]对账明细接口!$H$395=0,"",[2]对账明细接口!$H$395),"")</f>
      </c>
      <c r="I395" s="16">
        <f>IFERROR(IF([2]对账明细接口!$I$395=0,"",[2]对账明细接口!$I$395),"")</f>
      </c>
      <c r="J395" s="177">
        <f>IFERROR(IF([2]对账明细接口!$J$395=0,"",[2]对账明细接口!$J$395),"")</f>
      </c>
      <c r="K395" s="177">
        <f>IFERROR(IF([2]对账明细接口!$K$395=0,"",[2]对账明细接口!$K$395),"")</f>
      </c>
      <c r="L395" s="16">
        <f>IFERROR(IF([2]对账明细接口!$L$395=0,"",[2]对账明细接口!$L$395),"")</f>
      </c>
      <c r="M395" s="16">
        <f>IFERROR(IF([2]对账明细接口!$M$395=0,"",[2]对账明细接口!$M$395),"")</f>
      </c>
      <c r="N395" s="19">
        <f>IF($C395="",0,1)</f>
        <v>0</v>
      </c>
      <c r="O395" s="19">
        <f>N(O394)+$N395</f>
        <v>272</v>
      </c>
      <c r="S395" s="20">
        <f>IFERROR(IF([2]对账明细接口!$N395=0,"",[2]对账明细接口!$N395),"")</f>
      </c>
      <c r="T395" s="212">
        <f>IFERROR(IF([2]对账明细接口!$O395=0,"",[2]对账明细接口!$O395),"")</f>
      </c>
      <c r="U395" s="212">
        <f>IFERROR(IF([2]对账明细接口!$P395=0,"",[2]对账明细接口!$P395),"")</f>
      </c>
      <c r="V395" s="212">
        <f>IFERROR(IF([2]对账明细接口!$Q395=0,"",[2]对账明细接口!$Q395),"")</f>
      </c>
      <c r="W395" s="20">
        <f>IFERROR(IF([2]对账明细接口!$R395=0,"",[2]对账明细接口!$R395),"")</f>
      </c>
      <c r="X395" s="20">
        <f>IFERROR(IF([2]对账明细接口!$S395=0,"",[2]对账明细接口!$S395),"")</f>
      </c>
      <c r="Y395" s="20">
        <f>""</f>
      </c>
      <c r="Z395" s="20">
        <f>""</f>
      </c>
      <c r="AA395" s="20">
        <f>""</f>
      </c>
      <c r="AB395" s="20">
        <f>""</f>
      </c>
    </row>
    <row r="396" s="127">
      <c r="A396" s="14" t="n">
        <v>396</v>
      </c>
      <c r="B396" s="211">
        <f>IFERROR(IF([2]对账明细接口!$B$396=0,"",[2]对账明细接口!$B$396),"")</f>
      </c>
      <c r="C396" s="16">
        <f>IFERROR(IF([2]对账明细接口!$C$396=0,"",[2]对账明细接口!$C$396),"")</f>
      </c>
      <c r="D396" s="16">
        <f>IFERROR(IF([2]对账明细接口!$D$396=0,"",[2]对账明细接口!$D$396),"")</f>
      </c>
      <c r="E396" s="16">
        <f>IFERROR(IF([2]对账明细接口!$E$396=0,"",[2]对账明细接口!$E$396),"")</f>
      </c>
      <c r="F396" s="16">
        <f>IFERROR(IF([2]对账明细接口!$F$396=0,"",[2]对账明细接口!$F$396),"")</f>
      </c>
      <c r="G396" s="16">
        <f>IFERROR(IF([2]对账明细接口!$G$396=0,"",[2]对账明细接口!$G$396),"")</f>
      </c>
      <c r="H396" s="176">
        <f>IFERROR(IF([2]对账明细接口!$H$396=0,"",[2]对账明细接口!$H$396),"")</f>
      </c>
      <c r="I396" s="16">
        <f>IFERROR(IF([2]对账明细接口!$I$396=0,"",[2]对账明细接口!$I$396),"")</f>
      </c>
      <c r="J396" s="177">
        <f>IFERROR(IF([2]对账明细接口!$J$396=0,"",[2]对账明细接口!$J$396),"")</f>
      </c>
      <c r="K396" s="177">
        <f>IFERROR(IF([2]对账明细接口!$K$396=0,"",[2]对账明细接口!$K$396),"")</f>
      </c>
      <c r="L396" s="16">
        <f>IFERROR(IF([2]对账明细接口!$L$396=0,"",[2]对账明细接口!$L$396),"")</f>
      </c>
      <c r="M396" s="16">
        <f>IFERROR(IF([2]对账明细接口!$M$396=0,"",[2]对账明细接口!$M$396),"")</f>
      </c>
      <c r="N396" s="19">
        <f>IF($C396="",0,1)</f>
        <v>0</v>
      </c>
      <c r="O396" s="19">
        <f>N(O395)+$N396</f>
        <v>272</v>
      </c>
      <c r="S396" s="20">
        <f>IFERROR(IF([2]对账明细接口!$N396=0,"",[2]对账明细接口!$N396),"")</f>
      </c>
      <c r="T396" s="212">
        <f>IFERROR(IF([2]对账明细接口!$O396=0,"",[2]对账明细接口!$O396),"")</f>
      </c>
      <c r="U396" s="212">
        <f>IFERROR(IF([2]对账明细接口!$P396=0,"",[2]对账明细接口!$P396),"")</f>
      </c>
      <c r="V396" s="212">
        <f>IFERROR(IF([2]对账明细接口!$Q396=0,"",[2]对账明细接口!$Q396),"")</f>
      </c>
      <c r="W396" s="20">
        <f>IFERROR(IF([2]对账明细接口!$R396=0,"",[2]对账明细接口!$R396),"")</f>
      </c>
      <c r="X396" s="20">
        <f>IFERROR(IF([2]对账明细接口!$S396=0,"",[2]对账明细接口!$S396),"")</f>
      </c>
      <c r="Y396" s="20">
        <f>""</f>
      </c>
      <c r="Z396" s="20">
        <f>""</f>
      </c>
      <c r="AA396" s="20">
        <f>""</f>
      </c>
      <c r="AB396" s="20">
        <f>""</f>
      </c>
    </row>
    <row r="397" s="127">
      <c r="A397" s="14" t="n">
        <v>397</v>
      </c>
      <c r="B397" s="211">
        <f>IFERROR(IF([2]对账明细接口!$B$397=0,"",[2]对账明细接口!$B$397),"")</f>
      </c>
      <c r="C397" s="16">
        <f>IFERROR(IF([2]对账明细接口!$C$397=0,"",[2]对账明细接口!$C$397),"")</f>
      </c>
      <c r="D397" s="16">
        <f>IFERROR(IF([2]对账明细接口!$D$397=0,"",[2]对账明细接口!$D$397),"")</f>
      </c>
      <c r="E397" s="16">
        <f>IFERROR(IF([2]对账明细接口!$E$397=0,"",[2]对账明细接口!$E$397),"")</f>
      </c>
      <c r="F397" s="16">
        <f>IFERROR(IF([2]对账明细接口!$F$397=0,"",[2]对账明细接口!$F$397),"")</f>
      </c>
      <c r="G397" s="16">
        <f>IFERROR(IF([2]对账明细接口!$G$397=0,"",[2]对账明细接口!$G$397),"")</f>
      </c>
      <c r="H397" s="176">
        <f>IFERROR(IF([2]对账明细接口!$H$397=0,"",[2]对账明细接口!$H$397),"")</f>
      </c>
      <c r="I397" s="16">
        <f>IFERROR(IF([2]对账明细接口!$I$397=0,"",[2]对账明细接口!$I$397),"")</f>
      </c>
      <c r="J397" s="177">
        <f>IFERROR(IF([2]对账明细接口!$J$397=0,"",[2]对账明细接口!$J$397),"")</f>
      </c>
      <c r="K397" s="177">
        <f>IFERROR(IF([2]对账明细接口!$K$397=0,"",[2]对账明细接口!$K$397),"")</f>
      </c>
      <c r="L397" s="16">
        <f>IFERROR(IF([2]对账明细接口!$L$397=0,"",[2]对账明细接口!$L$397),"")</f>
      </c>
      <c r="M397" s="16">
        <f>IFERROR(IF([2]对账明细接口!$M$397=0,"",[2]对账明细接口!$M$397),"")</f>
      </c>
      <c r="N397" s="19">
        <f>IF($C397="",0,1)</f>
        <v>0</v>
      </c>
      <c r="O397" s="19">
        <f>N(O396)+$N397</f>
        <v>272</v>
      </c>
      <c r="S397" s="20">
        <f>IFERROR(IF([2]对账明细接口!$N397=0,"",[2]对账明细接口!$N397),"")</f>
      </c>
      <c r="T397" s="212">
        <f>IFERROR(IF([2]对账明细接口!$O397=0,"",[2]对账明细接口!$O397),"")</f>
      </c>
      <c r="U397" s="212">
        <f>IFERROR(IF([2]对账明细接口!$P397=0,"",[2]对账明细接口!$P397),"")</f>
      </c>
      <c r="V397" s="212">
        <f>IFERROR(IF([2]对账明细接口!$Q397=0,"",[2]对账明细接口!$Q397),"")</f>
      </c>
      <c r="W397" s="20">
        <f>IFERROR(IF([2]对账明细接口!$R397=0,"",[2]对账明细接口!$R397),"")</f>
      </c>
      <c r="X397" s="20">
        <f>IFERROR(IF([2]对账明细接口!$S397=0,"",[2]对账明细接口!$S397),"")</f>
      </c>
      <c r="Y397" s="20">
        <f>""</f>
      </c>
      <c r="Z397" s="20">
        <f>""</f>
      </c>
      <c r="AA397" s="20">
        <f>""</f>
      </c>
      <c r="AB397" s="20">
        <f>""</f>
      </c>
    </row>
    <row r="398" s="127">
      <c r="A398" s="14" t="n">
        <v>398</v>
      </c>
      <c r="B398" s="211">
        <f>IFERROR(IF([2]对账明细接口!$B$398=0,"",[2]对账明细接口!$B$398),"")</f>
      </c>
      <c r="C398" s="16">
        <f>IFERROR(IF([2]对账明细接口!$C$398=0,"",[2]对账明细接口!$C$398),"")</f>
      </c>
      <c r="D398" s="16">
        <f>IFERROR(IF([2]对账明细接口!$D$398=0,"",[2]对账明细接口!$D$398),"")</f>
      </c>
      <c r="E398" s="16">
        <f>IFERROR(IF([2]对账明细接口!$E$398=0,"",[2]对账明细接口!$E$398),"")</f>
      </c>
      <c r="F398" s="16">
        <f>IFERROR(IF([2]对账明细接口!$F$398=0,"",[2]对账明细接口!$F$398),"")</f>
      </c>
      <c r="G398" s="16">
        <f>IFERROR(IF([2]对账明细接口!$G$398=0,"",[2]对账明细接口!$G$398),"")</f>
      </c>
      <c r="H398" s="176">
        <f>IFERROR(IF([2]对账明细接口!$H$398=0,"",[2]对账明细接口!$H$398),"")</f>
      </c>
      <c r="I398" s="16">
        <f>IFERROR(IF([2]对账明细接口!$I$398=0,"",[2]对账明细接口!$I$398),"")</f>
      </c>
      <c r="J398" s="177">
        <f>IFERROR(IF([2]对账明细接口!$J$398=0,"",[2]对账明细接口!$J$398),"")</f>
      </c>
      <c r="K398" s="177">
        <f>IFERROR(IF([2]对账明细接口!$K$398=0,"",[2]对账明细接口!$K$398),"")</f>
      </c>
      <c r="L398" s="16">
        <f>IFERROR(IF([2]对账明细接口!$L$398=0,"",[2]对账明细接口!$L$398),"")</f>
      </c>
      <c r="M398" s="16">
        <f>IFERROR(IF([2]对账明细接口!$M$398=0,"",[2]对账明细接口!$M$398),"")</f>
      </c>
      <c r="N398" s="19">
        <f>IF($C398="",0,1)</f>
        <v>0</v>
      </c>
      <c r="O398" s="19">
        <f>N(O397)+$N398</f>
        <v>272</v>
      </c>
      <c r="S398" s="20">
        <f>IFERROR(IF([2]对账明细接口!$N398=0,"",[2]对账明细接口!$N398),"")</f>
      </c>
      <c r="T398" s="212">
        <f>IFERROR(IF([2]对账明细接口!$O398=0,"",[2]对账明细接口!$O398),"")</f>
      </c>
      <c r="U398" s="212">
        <f>IFERROR(IF([2]对账明细接口!$P398=0,"",[2]对账明细接口!$P398),"")</f>
      </c>
      <c r="V398" s="212">
        <f>IFERROR(IF([2]对账明细接口!$Q398=0,"",[2]对账明细接口!$Q398),"")</f>
      </c>
      <c r="W398" s="20">
        <f>IFERROR(IF([2]对账明细接口!$R398=0,"",[2]对账明细接口!$R398),"")</f>
      </c>
      <c r="X398" s="20">
        <f>IFERROR(IF([2]对账明细接口!$S398=0,"",[2]对账明细接口!$S398),"")</f>
      </c>
      <c r="Y398" s="20">
        <f>""</f>
      </c>
      <c r="Z398" s="20">
        <f>""</f>
      </c>
      <c r="AA398" s="20">
        <f>""</f>
      </c>
      <c r="AB398" s="20">
        <f>""</f>
      </c>
    </row>
    <row r="399" s="127">
      <c r="A399" s="14" t="n">
        <v>399</v>
      </c>
      <c r="B399" s="211">
        <f>IFERROR(IF([2]对账明细接口!$B$399=0,"",[2]对账明细接口!$B$399),"")</f>
      </c>
      <c r="C399" s="16">
        <f>IFERROR(IF([2]对账明细接口!$C$399=0,"",[2]对账明细接口!$C$399),"")</f>
      </c>
      <c r="D399" s="16">
        <f>IFERROR(IF([2]对账明细接口!$D$399=0,"",[2]对账明细接口!$D$399),"")</f>
      </c>
      <c r="E399" s="16">
        <f>IFERROR(IF([2]对账明细接口!$E$399=0,"",[2]对账明细接口!$E$399),"")</f>
      </c>
      <c r="F399" s="16">
        <f>IFERROR(IF([2]对账明细接口!$F$399=0,"",[2]对账明细接口!$F$399),"")</f>
      </c>
      <c r="G399" s="16">
        <f>IFERROR(IF([2]对账明细接口!$G$399=0,"",[2]对账明细接口!$G$399),"")</f>
      </c>
      <c r="H399" s="176">
        <f>IFERROR(IF([2]对账明细接口!$H$399=0,"",[2]对账明细接口!$H$399),"")</f>
      </c>
      <c r="I399" s="16">
        <f>IFERROR(IF([2]对账明细接口!$I$399=0,"",[2]对账明细接口!$I$399),"")</f>
      </c>
      <c r="J399" s="177">
        <f>IFERROR(IF([2]对账明细接口!$J$399=0,"",[2]对账明细接口!$J$399),"")</f>
      </c>
      <c r="K399" s="177">
        <f>IFERROR(IF([2]对账明细接口!$K$399=0,"",[2]对账明细接口!$K$399),"")</f>
      </c>
      <c r="L399" s="16">
        <f>IFERROR(IF([2]对账明细接口!$L$399=0,"",[2]对账明细接口!$L$399),"")</f>
      </c>
      <c r="M399" s="16">
        <f>IFERROR(IF([2]对账明细接口!$M$399=0,"",[2]对账明细接口!$M$399),"")</f>
      </c>
      <c r="N399" s="19">
        <f>IF($C399="",0,1)</f>
        <v>0</v>
      </c>
      <c r="O399" s="19">
        <f>N(O398)+$N399</f>
        <v>272</v>
      </c>
      <c r="S399" s="20">
        <f>IFERROR(IF([2]对账明细接口!$N399=0,"",[2]对账明细接口!$N399),"")</f>
      </c>
      <c r="T399" s="212">
        <f>IFERROR(IF([2]对账明细接口!$O399=0,"",[2]对账明细接口!$O399),"")</f>
      </c>
      <c r="U399" s="212">
        <f>IFERROR(IF([2]对账明细接口!$P399=0,"",[2]对账明细接口!$P399),"")</f>
      </c>
      <c r="V399" s="212">
        <f>IFERROR(IF([2]对账明细接口!$Q399=0,"",[2]对账明细接口!$Q399),"")</f>
      </c>
      <c r="W399" s="20">
        <f>IFERROR(IF([2]对账明细接口!$R399=0,"",[2]对账明细接口!$R399),"")</f>
      </c>
      <c r="X399" s="20">
        <f>IFERROR(IF([2]对账明细接口!$S399=0,"",[2]对账明细接口!$S399),"")</f>
      </c>
      <c r="Y399" s="20">
        <f>""</f>
      </c>
      <c r="Z399" s="20">
        <f>""</f>
      </c>
      <c r="AA399" s="20">
        <f>""</f>
      </c>
      <c r="AB399" s="20">
        <f>""</f>
      </c>
    </row>
    <row r="400" s="127">
      <c r="A400" s="14" t="n">
        <v>400</v>
      </c>
      <c r="B400" s="211">
        <f>IFERROR(IF([2]对账明细接口!$B$400=0,"",[2]对账明细接口!$B$400),"")</f>
      </c>
      <c r="C400" s="16">
        <f>IFERROR(IF([2]对账明细接口!$C$400=0,"",[2]对账明细接口!$C$400),"")</f>
      </c>
      <c r="D400" s="16">
        <f>IFERROR(IF([2]对账明细接口!$D$400=0,"",[2]对账明细接口!$D$400),"")</f>
      </c>
      <c r="E400" s="16">
        <f>IFERROR(IF([2]对账明细接口!$E$400=0,"",[2]对账明细接口!$E$400),"")</f>
      </c>
      <c r="F400" s="16">
        <f>IFERROR(IF([2]对账明细接口!$F$400=0,"",[2]对账明细接口!$F$400),"")</f>
      </c>
      <c r="G400" s="16">
        <f>IFERROR(IF([2]对账明细接口!$G$400=0,"",[2]对账明细接口!$G$400),"")</f>
      </c>
      <c r="H400" s="176">
        <f>IFERROR(IF([2]对账明细接口!$H$400=0,"",[2]对账明细接口!$H$400),"")</f>
      </c>
      <c r="I400" s="16">
        <f>IFERROR(IF([2]对账明细接口!$I$400=0,"",[2]对账明细接口!$I$400),"")</f>
      </c>
      <c r="J400" s="177">
        <f>IFERROR(IF([2]对账明细接口!$J$400=0,"",[2]对账明细接口!$J$400),"")</f>
      </c>
      <c r="K400" s="177">
        <f>IFERROR(IF([2]对账明细接口!$K$400=0,"",[2]对账明细接口!$K$400),"")</f>
      </c>
      <c r="L400" s="16">
        <f>IFERROR(IF([2]对账明细接口!$L$400=0,"",[2]对账明细接口!$L$400),"")</f>
      </c>
      <c r="M400" s="16">
        <f>IFERROR(IF([2]对账明细接口!$M$400=0,"",[2]对账明细接口!$M$400),"")</f>
      </c>
      <c r="N400" s="19">
        <f>IF($C400="",0,1)</f>
        <v>0</v>
      </c>
      <c r="O400" s="19">
        <f>N(O399)+$N400</f>
        <v>272</v>
      </c>
      <c r="S400" s="20">
        <f>IFERROR(IF([2]对账明细接口!$N400=0,"",[2]对账明细接口!$N400),"")</f>
      </c>
      <c r="T400" s="212">
        <f>IFERROR(IF([2]对账明细接口!$O400=0,"",[2]对账明细接口!$O400),"")</f>
      </c>
      <c r="U400" s="212">
        <f>IFERROR(IF([2]对账明细接口!$P400=0,"",[2]对账明细接口!$P400),"")</f>
      </c>
      <c r="V400" s="212">
        <f>IFERROR(IF([2]对账明细接口!$Q400=0,"",[2]对账明细接口!$Q400),"")</f>
      </c>
      <c r="W400" s="20">
        <f>IFERROR(IF([2]对账明细接口!$R400=0,"",[2]对账明细接口!$R400),"")</f>
      </c>
      <c r="X400" s="20">
        <f>IFERROR(IF([2]对账明细接口!$S400=0,"",[2]对账明细接口!$S400),"")</f>
      </c>
      <c r="Y400" s="20">
        <f>""</f>
      </c>
      <c r="Z400" s="20">
        <f>""</f>
      </c>
      <c r="AA400" s="20">
        <f>""</f>
      </c>
      <c r="AB400" s="20">
        <f>""</f>
      </c>
    </row>
    <row r="401" s="127">
      <c r="A401" s="14" t="n">
        <v>401</v>
      </c>
      <c r="B401" s="211">
        <f>IFERROR(IF([2]对账明细接口!$B$401=0,"",[2]对账明细接口!$B$401),"")</f>
      </c>
      <c r="C401" s="16">
        <f>IFERROR(IF([2]对账明细接口!$C$401=0,"",[2]对账明细接口!$C$401),"")</f>
      </c>
      <c r="D401" s="16">
        <f>IFERROR(IF([2]对账明细接口!$D$401=0,"",[2]对账明细接口!$D$401),"")</f>
      </c>
      <c r="E401" s="16">
        <f>IFERROR(IF([2]对账明细接口!$E$401=0,"",[2]对账明细接口!$E$401),"")</f>
      </c>
      <c r="F401" s="16">
        <f>IFERROR(IF([2]对账明细接口!$F$401=0,"",[2]对账明细接口!$F$401),"")</f>
      </c>
      <c r="G401" s="16">
        <f>IFERROR(IF([2]对账明细接口!$G$401=0,"",[2]对账明细接口!$G$401),"")</f>
      </c>
      <c r="H401" s="176">
        <f>IFERROR(IF([2]对账明细接口!$H$401=0,"",[2]对账明细接口!$H$401),"")</f>
      </c>
      <c r="I401" s="16">
        <f>IFERROR(IF([2]对账明细接口!$I$401=0,"",[2]对账明细接口!$I$401),"")</f>
      </c>
      <c r="J401" s="177">
        <f>IFERROR(IF([2]对账明细接口!$J$401=0,"",[2]对账明细接口!$J$401),"")</f>
      </c>
      <c r="K401" s="177">
        <f>IFERROR(IF([2]对账明细接口!$K$401=0,"",[2]对账明细接口!$K$401),"")</f>
      </c>
      <c r="L401" s="16">
        <f>IFERROR(IF([2]对账明细接口!$L$401=0,"",[2]对账明细接口!$L$401),"")</f>
      </c>
      <c r="M401" s="16">
        <f>IFERROR(IF([2]对账明细接口!$M$401=0,"",[2]对账明细接口!$M$401),"")</f>
      </c>
      <c r="N401" s="19">
        <f>IF($C401="",0,1)</f>
        <v>0</v>
      </c>
      <c r="O401" s="19">
        <f>N(O400)+$N401</f>
        <v>272</v>
      </c>
      <c r="S401" s="20">
        <f>IFERROR(IF([2]对账明细接口!$N401=0,"",[2]对账明细接口!$N401),"")</f>
      </c>
      <c r="T401" s="212">
        <f>IFERROR(IF([2]对账明细接口!$O401=0,"",[2]对账明细接口!$O401),"")</f>
      </c>
      <c r="U401" s="212">
        <f>IFERROR(IF([2]对账明细接口!$P401=0,"",[2]对账明细接口!$P401),"")</f>
      </c>
      <c r="V401" s="212">
        <f>IFERROR(IF([2]对账明细接口!$Q401=0,"",[2]对账明细接口!$Q401),"")</f>
      </c>
      <c r="W401" s="20">
        <f>IFERROR(IF([2]对账明细接口!$R401=0,"",[2]对账明细接口!$R401),"")</f>
      </c>
      <c r="X401" s="20">
        <f>IFERROR(IF([2]对账明细接口!$S401=0,"",[2]对账明细接口!$S401),"")</f>
      </c>
      <c r="Y401" s="20">
        <f>""</f>
      </c>
      <c r="Z401" s="20">
        <f>""</f>
      </c>
      <c r="AA401" s="20">
        <f>""</f>
      </c>
      <c r="AB401" s="20">
        <f>""</f>
      </c>
    </row>
    <row r="402" s="127">
      <c r="A402" s="14" t="n">
        <v>402</v>
      </c>
      <c r="B402" s="211">
        <f>IFERROR(IF([2]对账明细接口!$B$402=0,"",[2]对账明细接口!$B$402),"")</f>
      </c>
      <c r="C402" s="16">
        <f>IFERROR(IF([2]对账明细接口!$C$402=0,"",[2]对账明细接口!$C$402),"")</f>
      </c>
      <c r="D402" s="16">
        <f>IFERROR(IF([2]对账明细接口!$D$402=0,"",[2]对账明细接口!$D$402),"")</f>
      </c>
      <c r="E402" s="16">
        <f>IFERROR(IF([2]对账明细接口!$E$402=0,"",[2]对账明细接口!$E$402),"")</f>
      </c>
      <c r="F402" s="16">
        <f>IFERROR(IF([2]对账明细接口!$F$402=0,"",[2]对账明细接口!$F$402),"")</f>
      </c>
      <c r="G402" s="16">
        <f>IFERROR(IF([2]对账明细接口!$G$402=0,"",[2]对账明细接口!$G$402),"")</f>
      </c>
      <c r="H402" s="176">
        <f>IFERROR(IF([2]对账明细接口!$H$402=0,"",[2]对账明细接口!$H$402),"")</f>
      </c>
      <c r="I402" s="16">
        <f>IFERROR(IF([2]对账明细接口!$I$402=0,"",[2]对账明细接口!$I$402),"")</f>
      </c>
      <c r="J402" s="177">
        <f>IFERROR(IF([2]对账明细接口!$J$402=0,"",[2]对账明细接口!$J$402),"")</f>
      </c>
      <c r="K402" s="177">
        <f>IFERROR(IF([2]对账明细接口!$K$402=0,"",[2]对账明细接口!$K$402),"")</f>
      </c>
      <c r="L402" s="16">
        <f>IFERROR(IF([2]对账明细接口!$L$402=0,"",[2]对账明细接口!$L$402),"")</f>
      </c>
      <c r="M402" s="16">
        <f>IFERROR(IF([2]对账明细接口!$M$402=0,"",[2]对账明细接口!$M$402),"")</f>
      </c>
      <c r="N402" s="19">
        <f>IF($C402="",0,1)</f>
        <v>0</v>
      </c>
      <c r="O402" s="19">
        <f>N(O401)+$N402</f>
        <v>272</v>
      </c>
      <c r="S402" s="20">
        <f>IFERROR(IF([2]对账明细接口!$N402=0,"",[2]对账明细接口!$N402),"")</f>
      </c>
      <c r="T402" s="212">
        <f>IFERROR(IF([2]对账明细接口!$O402=0,"",[2]对账明细接口!$O402),"")</f>
      </c>
      <c r="U402" s="212">
        <f>IFERROR(IF([2]对账明细接口!$P402=0,"",[2]对账明细接口!$P402),"")</f>
      </c>
      <c r="V402" s="212">
        <f>IFERROR(IF([2]对账明细接口!$Q402=0,"",[2]对账明细接口!$Q402),"")</f>
      </c>
      <c r="W402" s="20">
        <f>IFERROR(IF([2]对账明细接口!$R402=0,"",[2]对账明细接口!$R402),"")</f>
      </c>
      <c r="X402" s="20">
        <f>IFERROR(IF([2]对账明细接口!$S402=0,"",[2]对账明细接口!$S402),"")</f>
      </c>
      <c r="Y402" s="20">
        <f>""</f>
      </c>
      <c r="Z402" s="20">
        <f>""</f>
      </c>
      <c r="AA402" s="20">
        <f>""</f>
      </c>
      <c r="AB402" s="20">
        <f>""</f>
      </c>
    </row>
    <row r="403" s="127">
      <c r="A403" s="14" t="n">
        <v>403</v>
      </c>
      <c r="B403" s="211">
        <f>IFERROR(IF([2]对账明细接口!$B$403=0,"",[2]对账明细接口!$B$403),"")</f>
      </c>
      <c r="C403" s="16">
        <f>IFERROR(IF([2]对账明细接口!$C$403=0,"",[2]对账明细接口!$C$403),"")</f>
      </c>
      <c r="D403" s="16">
        <f>IFERROR(IF([2]对账明细接口!$D$403=0,"",[2]对账明细接口!$D$403),"")</f>
      </c>
      <c r="E403" s="16">
        <f>IFERROR(IF([2]对账明细接口!$E$403=0,"",[2]对账明细接口!$E$403),"")</f>
      </c>
      <c r="F403" s="16">
        <f>IFERROR(IF([2]对账明细接口!$F$403=0,"",[2]对账明细接口!$F$403),"")</f>
      </c>
      <c r="G403" s="16">
        <f>IFERROR(IF([2]对账明细接口!$G$403=0,"",[2]对账明细接口!$G$403),"")</f>
      </c>
      <c r="H403" s="176">
        <f>IFERROR(IF([2]对账明细接口!$H$403=0,"",[2]对账明细接口!$H$403),"")</f>
      </c>
      <c r="I403" s="16">
        <f>IFERROR(IF([2]对账明细接口!$I$403=0,"",[2]对账明细接口!$I$403),"")</f>
      </c>
      <c r="J403" s="177">
        <f>IFERROR(IF([2]对账明细接口!$J$403=0,"",[2]对账明细接口!$J$403),"")</f>
      </c>
      <c r="K403" s="177">
        <f>IFERROR(IF([2]对账明细接口!$K$403=0,"",[2]对账明细接口!$K$403),"")</f>
      </c>
      <c r="L403" s="16">
        <f>IFERROR(IF([2]对账明细接口!$L$403=0,"",[2]对账明细接口!$L$403),"")</f>
      </c>
      <c r="M403" s="16">
        <f>IFERROR(IF([2]对账明细接口!$M$403=0,"",[2]对账明细接口!$M$403),"")</f>
      </c>
      <c r="N403" s="19">
        <f>IF($C403="",0,1)</f>
        <v>0</v>
      </c>
      <c r="O403" s="19">
        <f>N(O402)+$N403</f>
        <v>272</v>
      </c>
      <c r="S403" s="20">
        <f>IFERROR(IF([2]对账明细接口!$N403=0,"",[2]对账明细接口!$N403),"")</f>
      </c>
      <c r="T403" s="212">
        <f>IFERROR(IF([2]对账明细接口!$O403=0,"",[2]对账明细接口!$O403),"")</f>
      </c>
      <c r="U403" s="212">
        <f>IFERROR(IF([2]对账明细接口!$P403=0,"",[2]对账明细接口!$P403),"")</f>
      </c>
      <c r="V403" s="212">
        <f>IFERROR(IF([2]对账明细接口!$Q403=0,"",[2]对账明细接口!$Q403),"")</f>
      </c>
      <c r="W403" s="20">
        <f>IFERROR(IF([2]对账明细接口!$R403=0,"",[2]对账明细接口!$R403),"")</f>
      </c>
      <c r="X403" s="20">
        <f>IFERROR(IF([2]对账明细接口!$S403=0,"",[2]对账明细接口!$S403),"")</f>
      </c>
      <c r="Y403" s="20">
        <f>""</f>
      </c>
      <c r="Z403" s="20">
        <f>""</f>
      </c>
      <c r="AA403" s="20">
        <f>""</f>
      </c>
      <c r="AB403" s="20">
        <f>""</f>
      </c>
    </row>
    <row r="404" s="127">
      <c r="A404" s="14" t="n">
        <v>404</v>
      </c>
      <c r="B404" s="211">
        <f>IFERROR(IF([2]对账明细接口!$B$404=0,"",[2]对账明细接口!$B$404),"")</f>
      </c>
      <c r="C404" s="16">
        <f>IFERROR(IF([2]对账明细接口!$C$404=0,"",[2]对账明细接口!$C$404),"")</f>
      </c>
      <c r="D404" s="16">
        <f>IFERROR(IF([2]对账明细接口!$D$404=0,"",[2]对账明细接口!$D$404),"")</f>
      </c>
      <c r="E404" s="16">
        <f>IFERROR(IF([2]对账明细接口!$E$404=0,"",[2]对账明细接口!$E$404),"")</f>
      </c>
      <c r="F404" s="16">
        <f>IFERROR(IF([2]对账明细接口!$F$404=0,"",[2]对账明细接口!$F$404),"")</f>
      </c>
      <c r="G404" s="16">
        <f>IFERROR(IF([2]对账明细接口!$G$404=0,"",[2]对账明细接口!$G$404),"")</f>
      </c>
      <c r="H404" s="176">
        <f>IFERROR(IF([2]对账明细接口!$H$404=0,"",[2]对账明细接口!$H$404),"")</f>
      </c>
      <c r="I404" s="16">
        <f>IFERROR(IF([2]对账明细接口!$I$404=0,"",[2]对账明细接口!$I$404),"")</f>
      </c>
      <c r="J404" s="177">
        <f>IFERROR(IF([2]对账明细接口!$J$404=0,"",[2]对账明细接口!$J$404),"")</f>
      </c>
      <c r="K404" s="177">
        <f>IFERROR(IF([2]对账明细接口!$K$404=0,"",[2]对账明细接口!$K$404),"")</f>
      </c>
      <c r="L404" s="16">
        <f>IFERROR(IF([2]对账明细接口!$L$404=0,"",[2]对账明细接口!$L$404),"")</f>
      </c>
      <c r="M404" s="16">
        <f>IFERROR(IF([2]对账明细接口!$M$404=0,"",[2]对账明细接口!$M$404),"")</f>
      </c>
      <c r="N404" s="19">
        <f>IF($C404="",0,1)</f>
        <v>0</v>
      </c>
      <c r="O404" s="19">
        <f>N(O403)+$N404</f>
        <v>272</v>
      </c>
      <c r="S404" s="20">
        <f>IFERROR(IF([2]对账明细接口!$N404=0,"",[2]对账明细接口!$N404),"")</f>
      </c>
      <c r="T404" s="212">
        <f>IFERROR(IF([2]对账明细接口!$O404=0,"",[2]对账明细接口!$O404),"")</f>
      </c>
      <c r="U404" s="212">
        <f>IFERROR(IF([2]对账明细接口!$P404=0,"",[2]对账明细接口!$P404),"")</f>
      </c>
      <c r="V404" s="212">
        <f>IFERROR(IF([2]对账明细接口!$Q404=0,"",[2]对账明细接口!$Q404),"")</f>
      </c>
      <c r="W404" s="20">
        <f>IFERROR(IF([2]对账明细接口!$R404=0,"",[2]对账明细接口!$R404),"")</f>
      </c>
      <c r="X404" s="20">
        <f>IFERROR(IF([2]对账明细接口!$S404=0,"",[2]对账明细接口!$S404),"")</f>
      </c>
      <c r="Y404" s="20">
        <f>""</f>
      </c>
      <c r="Z404" s="20">
        <f>""</f>
      </c>
      <c r="AA404" s="20">
        <f>""</f>
      </c>
      <c r="AB404" s="20">
        <f>""</f>
      </c>
    </row>
    <row r="405" s="127">
      <c r="A405" s="14" t="n">
        <v>405</v>
      </c>
      <c r="B405" s="211">
        <f>IFERROR(IF([2]对账明细接口!$B$405=0,"",[2]对账明细接口!$B$405),"")</f>
      </c>
      <c r="C405" s="16">
        <f>IFERROR(IF([2]对账明细接口!$C$405=0,"",[2]对账明细接口!$C$405),"")</f>
      </c>
      <c r="D405" s="16">
        <f>IFERROR(IF([2]对账明细接口!$D$405=0,"",[2]对账明细接口!$D$405),"")</f>
      </c>
      <c r="E405" s="16">
        <f>IFERROR(IF([2]对账明细接口!$E$405=0,"",[2]对账明细接口!$E$405),"")</f>
      </c>
      <c r="F405" s="16">
        <f>IFERROR(IF([2]对账明细接口!$F$405=0,"",[2]对账明细接口!$F$405),"")</f>
      </c>
      <c r="G405" s="16">
        <f>IFERROR(IF([2]对账明细接口!$G$405=0,"",[2]对账明细接口!$G$405),"")</f>
      </c>
      <c r="H405" s="176">
        <f>IFERROR(IF([2]对账明细接口!$H$405=0,"",[2]对账明细接口!$H$405),"")</f>
      </c>
      <c r="I405" s="16">
        <f>IFERROR(IF([2]对账明细接口!$I$405=0,"",[2]对账明细接口!$I$405),"")</f>
      </c>
      <c r="J405" s="177">
        <f>IFERROR(IF([2]对账明细接口!$J$405=0,"",[2]对账明细接口!$J$405),"")</f>
      </c>
      <c r="K405" s="177">
        <f>IFERROR(IF([2]对账明细接口!$K$405=0,"",[2]对账明细接口!$K$405),"")</f>
      </c>
      <c r="L405" s="16">
        <f>IFERROR(IF([2]对账明细接口!$L$405=0,"",[2]对账明细接口!$L$405),"")</f>
      </c>
      <c r="M405" s="16">
        <f>IFERROR(IF([2]对账明细接口!$M$405=0,"",[2]对账明细接口!$M$405),"")</f>
      </c>
      <c r="N405" s="19">
        <f>IF($C405="",0,1)</f>
        <v>0</v>
      </c>
      <c r="O405" s="19">
        <f>N(O404)+$N405</f>
        <v>272</v>
      </c>
      <c r="S405" s="20">
        <f>IFERROR(IF([2]对账明细接口!$N405=0,"",[2]对账明细接口!$N405),"")</f>
      </c>
      <c r="T405" s="212">
        <f>IFERROR(IF([2]对账明细接口!$O405=0,"",[2]对账明细接口!$O405),"")</f>
      </c>
      <c r="U405" s="212">
        <f>IFERROR(IF([2]对账明细接口!$P405=0,"",[2]对账明细接口!$P405),"")</f>
      </c>
      <c r="V405" s="212">
        <f>IFERROR(IF([2]对账明细接口!$Q405=0,"",[2]对账明细接口!$Q405),"")</f>
      </c>
      <c r="W405" s="20">
        <f>IFERROR(IF([2]对账明细接口!$R405=0,"",[2]对账明细接口!$R405),"")</f>
      </c>
      <c r="X405" s="20">
        <f>IFERROR(IF([2]对账明细接口!$S405=0,"",[2]对账明细接口!$S405),"")</f>
      </c>
      <c r="Y405" s="20">
        <f>""</f>
      </c>
      <c r="Z405" s="20">
        <f>""</f>
      </c>
      <c r="AA405" s="20">
        <f>""</f>
      </c>
      <c r="AB405" s="20">
        <f>""</f>
      </c>
    </row>
    <row r="406" s="127">
      <c r="A406" s="14" t="n">
        <v>406</v>
      </c>
      <c r="B406" s="211">
        <f>IFERROR(IF([2]对账明细接口!$B$406=0,"",[2]对账明细接口!$B$406),"")</f>
      </c>
      <c r="C406" s="16">
        <f>IFERROR(IF([2]对账明细接口!$C$406=0,"",[2]对账明细接口!$C$406),"")</f>
      </c>
      <c r="D406" s="16">
        <f>IFERROR(IF([2]对账明细接口!$D$406=0,"",[2]对账明细接口!$D$406),"")</f>
      </c>
      <c r="E406" s="16">
        <f>IFERROR(IF([2]对账明细接口!$E$406=0,"",[2]对账明细接口!$E$406),"")</f>
      </c>
      <c r="F406" s="16">
        <f>IFERROR(IF([2]对账明细接口!$F$406=0,"",[2]对账明细接口!$F$406),"")</f>
      </c>
      <c r="G406" s="16">
        <f>IFERROR(IF([2]对账明细接口!$G$406=0,"",[2]对账明细接口!$G$406),"")</f>
      </c>
      <c r="H406" s="176">
        <f>IFERROR(IF([2]对账明细接口!$H$406=0,"",[2]对账明细接口!$H$406),"")</f>
      </c>
      <c r="I406" s="16">
        <f>IFERROR(IF([2]对账明细接口!$I$406=0,"",[2]对账明细接口!$I$406),"")</f>
      </c>
      <c r="J406" s="177">
        <f>IFERROR(IF([2]对账明细接口!$J$406=0,"",[2]对账明细接口!$J$406),"")</f>
      </c>
      <c r="K406" s="177">
        <f>IFERROR(IF([2]对账明细接口!$K$406=0,"",[2]对账明细接口!$K$406),"")</f>
      </c>
      <c r="L406" s="16">
        <f>IFERROR(IF([2]对账明细接口!$L$406=0,"",[2]对账明细接口!$L$406),"")</f>
      </c>
      <c r="M406" s="16">
        <f>IFERROR(IF([2]对账明细接口!$M$406=0,"",[2]对账明细接口!$M$406),"")</f>
      </c>
      <c r="N406" s="19">
        <f>IF($C406="",0,1)</f>
        <v>0</v>
      </c>
      <c r="O406" s="19">
        <f>N(O405)+$N406</f>
        <v>272</v>
      </c>
      <c r="S406" s="20">
        <f>IFERROR(IF([2]对账明细接口!$N406=0,"",[2]对账明细接口!$N406),"")</f>
      </c>
      <c r="T406" s="212">
        <f>IFERROR(IF([2]对账明细接口!$O406=0,"",[2]对账明细接口!$O406),"")</f>
      </c>
      <c r="U406" s="212">
        <f>IFERROR(IF([2]对账明细接口!$P406=0,"",[2]对账明细接口!$P406),"")</f>
      </c>
      <c r="V406" s="212">
        <f>IFERROR(IF([2]对账明细接口!$Q406=0,"",[2]对账明细接口!$Q406),"")</f>
      </c>
      <c r="W406" s="20">
        <f>IFERROR(IF([2]对账明细接口!$R406=0,"",[2]对账明细接口!$R406),"")</f>
      </c>
      <c r="X406" s="20">
        <f>IFERROR(IF([2]对账明细接口!$S406=0,"",[2]对账明细接口!$S406),"")</f>
      </c>
      <c r="Y406" s="20">
        <f>""</f>
      </c>
      <c r="Z406" s="20">
        <f>""</f>
      </c>
      <c r="AA406" s="20">
        <f>""</f>
      </c>
      <c r="AB406" s="20">
        <f>""</f>
      </c>
    </row>
    <row r="407" s="127">
      <c r="A407" s="14" t="n">
        <v>407</v>
      </c>
      <c r="B407" s="211">
        <f>IFERROR(IF([2]对账明细接口!$B$407=0,"",[2]对账明细接口!$B$407),"")</f>
      </c>
      <c r="C407" s="16">
        <f>IFERROR(IF([2]对账明细接口!$C$407=0,"",[2]对账明细接口!$C$407),"")</f>
      </c>
      <c r="D407" s="16">
        <f>IFERROR(IF([2]对账明细接口!$D$407=0,"",[2]对账明细接口!$D$407),"")</f>
      </c>
      <c r="E407" s="16">
        <f>IFERROR(IF([2]对账明细接口!$E$407=0,"",[2]对账明细接口!$E$407),"")</f>
      </c>
      <c r="F407" s="16">
        <f>IFERROR(IF([2]对账明细接口!$F$407=0,"",[2]对账明细接口!$F$407),"")</f>
      </c>
      <c r="G407" s="16">
        <f>IFERROR(IF([2]对账明细接口!$G$407=0,"",[2]对账明细接口!$G$407),"")</f>
      </c>
      <c r="H407" s="176">
        <f>IFERROR(IF([2]对账明细接口!$H$407=0,"",[2]对账明细接口!$H$407),"")</f>
      </c>
      <c r="I407" s="16">
        <f>IFERROR(IF([2]对账明细接口!$I$407=0,"",[2]对账明细接口!$I$407),"")</f>
      </c>
      <c r="J407" s="177">
        <f>IFERROR(IF([2]对账明细接口!$J$407=0,"",[2]对账明细接口!$J$407),"")</f>
      </c>
      <c r="K407" s="177">
        <f>IFERROR(IF([2]对账明细接口!$K$407=0,"",[2]对账明细接口!$K$407),"")</f>
      </c>
      <c r="L407" s="16">
        <f>IFERROR(IF([2]对账明细接口!$L$407=0,"",[2]对账明细接口!$L$407),"")</f>
      </c>
      <c r="M407" s="16">
        <f>IFERROR(IF([2]对账明细接口!$M$407=0,"",[2]对账明细接口!$M$407),"")</f>
      </c>
      <c r="N407" s="19">
        <f>IF($C407="",0,1)</f>
        <v>0</v>
      </c>
      <c r="O407" s="19">
        <f>N(O406)+$N407</f>
        <v>272</v>
      </c>
      <c r="S407" s="20">
        <f>IFERROR(IF([2]对账明细接口!$N407=0,"",[2]对账明细接口!$N407),"")</f>
      </c>
      <c r="T407" s="212">
        <f>IFERROR(IF([2]对账明细接口!$O407=0,"",[2]对账明细接口!$O407),"")</f>
      </c>
      <c r="U407" s="212">
        <f>IFERROR(IF([2]对账明细接口!$P407=0,"",[2]对账明细接口!$P407),"")</f>
      </c>
      <c r="V407" s="212">
        <f>IFERROR(IF([2]对账明细接口!$Q407=0,"",[2]对账明细接口!$Q407),"")</f>
      </c>
      <c r="W407" s="20">
        <f>IFERROR(IF([2]对账明细接口!$R407=0,"",[2]对账明细接口!$R407),"")</f>
      </c>
      <c r="X407" s="20">
        <f>IFERROR(IF([2]对账明细接口!$S407=0,"",[2]对账明细接口!$S407),"")</f>
      </c>
      <c r="Y407" s="20">
        <f>""</f>
      </c>
      <c r="Z407" s="20">
        <f>""</f>
      </c>
      <c r="AA407" s="20">
        <f>""</f>
      </c>
      <c r="AB407" s="20">
        <f>""</f>
      </c>
    </row>
    <row r="408" s="127">
      <c r="A408" s="14" t="n">
        <v>408</v>
      </c>
      <c r="B408" s="211">
        <f>IFERROR(IF([2]对账明细接口!$B$408=0,"",[2]对账明细接口!$B$408),"")</f>
      </c>
      <c r="C408" s="16">
        <f>IFERROR(IF([2]对账明细接口!$C$408=0,"",[2]对账明细接口!$C$408),"")</f>
      </c>
      <c r="D408" s="16">
        <f>IFERROR(IF([2]对账明细接口!$D$408=0,"",[2]对账明细接口!$D$408),"")</f>
      </c>
      <c r="E408" s="16">
        <f>IFERROR(IF([2]对账明细接口!$E$408=0,"",[2]对账明细接口!$E$408),"")</f>
      </c>
      <c r="F408" s="16">
        <f>IFERROR(IF([2]对账明细接口!$F$408=0,"",[2]对账明细接口!$F$408),"")</f>
      </c>
      <c r="G408" s="16">
        <f>IFERROR(IF([2]对账明细接口!$G$408=0,"",[2]对账明细接口!$G$408),"")</f>
      </c>
      <c r="H408" s="176">
        <f>IFERROR(IF([2]对账明细接口!$H$408=0,"",[2]对账明细接口!$H$408),"")</f>
      </c>
      <c r="I408" s="16">
        <f>IFERROR(IF([2]对账明细接口!$I$408=0,"",[2]对账明细接口!$I$408),"")</f>
      </c>
      <c r="J408" s="177">
        <f>IFERROR(IF([2]对账明细接口!$J$408=0,"",[2]对账明细接口!$J$408),"")</f>
      </c>
      <c r="K408" s="177">
        <f>IFERROR(IF([2]对账明细接口!$K$408=0,"",[2]对账明细接口!$K$408),"")</f>
      </c>
      <c r="L408" s="16">
        <f>IFERROR(IF([2]对账明细接口!$L$408=0,"",[2]对账明细接口!$L$408),"")</f>
      </c>
      <c r="M408" s="16">
        <f>IFERROR(IF([2]对账明细接口!$M$408=0,"",[2]对账明细接口!$M$408),"")</f>
      </c>
      <c r="N408" s="19">
        <f>IF($C408="",0,1)</f>
        <v>0</v>
      </c>
      <c r="O408" s="19">
        <f>N(O407)+$N408</f>
        <v>272</v>
      </c>
      <c r="S408" s="20">
        <f>IFERROR(IF([2]对账明细接口!$N408=0,"",[2]对账明细接口!$N408),"")</f>
      </c>
      <c r="T408" s="212">
        <f>IFERROR(IF([2]对账明细接口!$O408=0,"",[2]对账明细接口!$O408),"")</f>
      </c>
      <c r="U408" s="212">
        <f>IFERROR(IF([2]对账明细接口!$P408=0,"",[2]对账明细接口!$P408),"")</f>
      </c>
      <c r="V408" s="212">
        <f>IFERROR(IF([2]对账明细接口!$Q408=0,"",[2]对账明细接口!$Q408),"")</f>
      </c>
      <c r="W408" s="20">
        <f>IFERROR(IF([2]对账明细接口!$R408=0,"",[2]对账明细接口!$R408),"")</f>
      </c>
      <c r="X408" s="20">
        <f>IFERROR(IF([2]对账明细接口!$S408=0,"",[2]对账明细接口!$S408),"")</f>
      </c>
      <c r="Y408" s="20">
        <f>""</f>
      </c>
      <c r="Z408" s="20">
        <f>""</f>
      </c>
      <c r="AA408" s="20">
        <f>""</f>
      </c>
      <c r="AB408" s="20">
        <f>""</f>
      </c>
    </row>
    <row r="409" s="127">
      <c r="A409" s="14" t="n">
        <v>409</v>
      </c>
      <c r="B409" s="211">
        <f>IFERROR(IF([2]对账明细接口!$B$409=0,"",[2]对账明细接口!$B$409),"")</f>
      </c>
      <c r="C409" s="16">
        <f>IFERROR(IF([2]对账明细接口!$C$409=0,"",[2]对账明细接口!$C$409),"")</f>
      </c>
      <c r="D409" s="16">
        <f>IFERROR(IF([2]对账明细接口!$D$409=0,"",[2]对账明细接口!$D$409),"")</f>
      </c>
      <c r="E409" s="16">
        <f>IFERROR(IF([2]对账明细接口!$E$409=0,"",[2]对账明细接口!$E$409),"")</f>
      </c>
      <c r="F409" s="16">
        <f>IFERROR(IF([2]对账明细接口!$F$409=0,"",[2]对账明细接口!$F$409),"")</f>
      </c>
      <c r="G409" s="16">
        <f>IFERROR(IF([2]对账明细接口!$G$409=0,"",[2]对账明细接口!$G$409),"")</f>
      </c>
      <c r="H409" s="176">
        <f>IFERROR(IF([2]对账明细接口!$H$409=0,"",[2]对账明细接口!$H$409),"")</f>
      </c>
      <c r="I409" s="16">
        <f>IFERROR(IF([2]对账明细接口!$I$409=0,"",[2]对账明细接口!$I$409),"")</f>
      </c>
      <c r="J409" s="177">
        <f>IFERROR(IF([2]对账明细接口!$J$409=0,"",[2]对账明细接口!$J$409),"")</f>
      </c>
      <c r="K409" s="177">
        <f>IFERROR(IF([2]对账明细接口!$K$409=0,"",[2]对账明细接口!$K$409),"")</f>
      </c>
      <c r="L409" s="16">
        <f>IFERROR(IF([2]对账明细接口!$L$409=0,"",[2]对账明细接口!$L$409),"")</f>
      </c>
      <c r="M409" s="16">
        <f>IFERROR(IF([2]对账明细接口!$M$409=0,"",[2]对账明细接口!$M$409),"")</f>
      </c>
      <c r="N409" s="19">
        <f>IF($C409="",0,1)</f>
        <v>0</v>
      </c>
      <c r="O409" s="19">
        <f>N(O408)+$N409</f>
        <v>272</v>
      </c>
      <c r="S409" s="20">
        <f>IFERROR(IF([2]对账明细接口!$N409=0,"",[2]对账明细接口!$N409),"")</f>
      </c>
      <c r="T409" s="212">
        <f>IFERROR(IF([2]对账明细接口!$O409=0,"",[2]对账明细接口!$O409),"")</f>
      </c>
      <c r="U409" s="212">
        <f>IFERROR(IF([2]对账明细接口!$P409=0,"",[2]对账明细接口!$P409),"")</f>
      </c>
      <c r="V409" s="212">
        <f>IFERROR(IF([2]对账明细接口!$Q409=0,"",[2]对账明细接口!$Q409),"")</f>
      </c>
      <c r="W409" s="20">
        <f>IFERROR(IF([2]对账明细接口!$R409=0,"",[2]对账明细接口!$R409),"")</f>
      </c>
      <c r="X409" s="20">
        <f>IFERROR(IF([2]对账明细接口!$S409=0,"",[2]对账明细接口!$S409),"")</f>
      </c>
      <c r="Y409" s="20">
        <f>""</f>
      </c>
      <c r="Z409" s="20">
        <f>""</f>
      </c>
      <c r="AA409" s="20">
        <f>""</f>
      </c>
      <c r="AB409" s="20">
        <f>""</f>
      </c>
    </row>
    <row r="410" s="127">
      <c r="A410" s="14" t="n">
        <v>410</v>
      </c>
      <c r="B410" s="211">
        <f>IFERROR(IF([2]对账明细接口!$B$410=0,"",[2]对账明细接口!$B$410),"")</f>
      </c>
      <c r="C410" s="16">
        <f>IFERROR(IF([2]对账明细接口!$C$410=0,"",[2]对账明细接口!$C$410),"")</f>
      </c>
      <c r="D410" s="16">
        <f>IFERROR(IF([2]对账明细接口!$D$410=0,"",[2]对账明细接口!$D$410),"")</f>
      </c>
      <c r="E410" s="16">
        <f>IFERROR(IF([2]对账明细接口!$E$410=0,"",[2]对账明细接口!$E$410),"")</f>
      </c>
      <c r="F410" s="16">
        <f>IFERROR(IF([2]对账明细接口!$F$410=0,"",[2]对账明细接口!$F$410),"")</f>
      </c>
      <c r="G410" s="16">
        <f>IFERROR(IF([2]对账明细接口!$G$410=0,"",[2]对账明细接口!$G$410),"")</f>
      </c>
      <c r="H410" s="176">
        <f>IFERROR(IF([2]对账明细接口!$H$410=0,"",[2]对账明细接口!$H$410),"")</f>
      </c>
      <c r="I410" s="16">
        <f>IFERROR(IF([2]对账明细接口!$I$410=0,"",[2]对账明细接口!$I$410),"")</f>
      </c>
      <c r="J410" s="177">
        <f>IFERROR(IF([2]对账明细接口!$J$410=0,"",[2]对账明细接口!$J$410),"")</f>
      </c>
      <c r="K410" s="177">
        <f>IFERROR(IF([2]对账明细接口!$K$410=0,"",[2]对账明细接口!$K$410),"")</f>
      </c>
      <c r="L410" s="16">
        <f>IFERROR(IF([2]对账明细接口!$L$410=0,"",[2]对账明细接口!$L$410),"")</f>
      </c>
      <c r="M410" s="16">
        <f>IFERROR(IF([2]对账明细接口!$M$410=0,"",[2]对账明细接口!$M$410),"")</f>
      </c>
      <c r="N410" s="19">
        <f>IF($C410="",0,1)</f>
        <v>0</v>
      </c>
      <c r="O410" s="19">
        <f>N(O409)+$N410</f>
        <v>272</v>
      </c>
      <c r="S410" s="20">
        <f>IFERROR(IF([2]对账明细接口!$N410=0,"",[2]对账明细接口!$N410),"")</f>
      </c>
      <c r="T410" s="212">
        <f>IFERROR(IF([2]对账明细接口!$O410=0,"",[2]对账明细接口!$O410),"")</f>
      </c>
      <c r="U410" s="212">
        <f>IFERROR(IF([2]对账明细接口!$P410=0,"",[2]对账明细接口!$P410),"")</f>
      </c>
      <c r="V410" s="212">
        <f>IFERROR(IF([2]对账明细接口!$Q410=0,"",[2]对账明细接口!$Q410),"")</f>
      </c>
      <c r="W410" s="20">
        <f>IFERROR(IF([2]对账明细接口!$R410=0,"",[2]对账明细接口!$R410),"")</f>
      </c>
      <c r="X410" s="20">
        <f>IFERROR(IF([2]对账明细接口!$S410=0,"",[2]对账明细接口!$S410),"")</f>
      </c>
      <c r="Y410" s="20">
        <f>""</f>
      </c>
      <c r="Z410" s="20">
        <f>""</f>
      </c>
      <c r="AA410" s="20">
        <f>""</f>
      </c>
      <c r="AB410" s="20">
        <f>""</f>
      </c>
    </row>
    <row r="411" s="127">
      <c r="A411" s="14" t="n">
        <v>411</v>
      </c>
      <c r="B411" s="211">
        <f>IFERROR(IF([2]对账明细接口!$B$411=0,"",[2]对账明细接口!$B$411),"")</f>
      </c>
      <c r="C411" s="16">
        <f>IFERROR(IF([2]对账明细接口!$C$411=0,"",[2]对账明细接口!$C$411),"")</f>
      </c>
      <c r="D411" s="16">
        <f>IFERROR(IF([2]对账明细接口!$D$411=0,"",[2]对账明细接口!$D$411),"")</f>
      </c>
      <c r="E411" s="16">
        <f>IFERROR(IF([2]对账明细接口!$E$411=0,"",[2]对账明细接口!$E$411),"")</f>
      </c>
      <c r="F411" s="16">
        <f>IFERROR(IF([2]对账明细接口!$F$411=0,"",[2]对账明细接口!$F$411),"")</f>
      </c>
      <c r="G411" s="16">
        <f>IFERROR(IF([2]对账明细接口!$G$411=0,"",[2]对账明细接口!$G$411),"")</f>
      </c>
      <c r="H411" s="176">
        <f>IFERROR(IF([2]对账明细接口!$H$411=0,"",[2]对账明细接口!$H$411),"")</f>
      </c>
      <c r="I411" s="16">
        <f>IFERROR(IF([2]对账明细接口!$I$411=0,"",[2]对账明细接口!$I$411),"")</f>
      </c>
      <c r="J411" s="177">
        <f>IFERROR(IF([2]对账明细接口!$J$411=0,"",[2]对账明细接口!$J$411),"")</f>
      </c>
      <c r="K411" s="177">
        <f>IFERROR(IF([2]对账明细接口!$K$411=0,"",[2]对账明细接口!$K$411),"")</f>
      </c>
      <c r="L411" s="16">
        <f>IFERROR(IF([2]对账明细接口!$L$411=0,"",[2]对账明细接口!$L$411),"")</f>
      </c>
      <c r="M411" s="16">
        <f>IFERROR(IF([2]对账明细接口!$M$411=0,"",[2]对账明细接口!$M$411),"")</f>
      </c>
      <c r="N411" s="19">
        <f>IF($C411="",0,1)</f>
        <v>0</v>
      </c>
      <c r="O411" s="19">
        <f>N(O410)+$N411</f>
        <v>272</v>
      </c>
      <c r="S411" s="20">
        <f>IFERROR(IF([2]对账明细接口!$N411=0,"",[2]对账明细接口!$N411),"")</f>
      </c>
      <c r="T411" s="212">
        <f>IFERROR(IF([2]对账明细接口!$O411=0,"",[2]对账明细接口!$O411),"")</f>
      </c>
      <c r="U411" s="212">
        <f>IFERROR(IF([2]对账明细接口!$P411=0,"",[2]对账明细接口!$P411),"")</f>
      </c>
      <c r="V411" s="212">
        <f>IFERROR(IF([2]对账明细接口!$Q411=0,"",[2]对账明细接口!$Q411),"")</f>
      </c>
      <c r="W411" s="20">
        <f>IFERROR(IF([2]对账明细接口!$R411=0,"",[2]对账明细接口!$R411),"")</f>
      </c>
      <c r="X411" s="20">
        <f>IFERROR(IF([2]对账明细接口!$S411=0,"",[2]对账明细接口!$S411),"")</f>
      </c>
      <c r="Y411" s="20">
        <f>""</f>
      </c>
      <c r="Z411" s="20">
        <f>""</f>
      </c>
      <c r="AA411" s="20">
        <f>""</f>
      </c>
      <c r="AB411" s="20">
        <f>""</f>
      </c>
    </row>
    <row r="412" s="127">
      <c r="A412" s="14" t="n">
        <v>412</v>
      </c>
      <c r="B412" s="211">
        <f>IFERROR(IF([2]对账明细接口!$B$412=0,"",[2]对账明细接口!$B$412),"")</f>
      </c>
      <c r="C412" s="16">
        <f>IFERROR(IF([2]对账明细接口!$C$412=0,"",[2]对账明细接口!$C$412),"")</f>
      </c>
      <c r="D412" s="16">
        <f>IFERROR(IF([2]对账明细接口!$D$412=0,"",[2]对账明细接口!$D$412),"")</f>
      </c>
      <c r="E412" s="16">
        <f>IFERROR(IF([2]对账明细接口!$E$412=0,"",[2]对账明细接口!$E$412),"")</f>
      </c>
      <c r="F412" s="16">
        <f>IFERROR(IF([2]对账明细接口!$F$412=0,"",[2]对账明细接口!$F$412),"")</f>
      </c>
      <c r="G412" s="16">
        <f>IFERROR(IF([2]对账明细接口!$G$412=0,"",[2]对账明细接口!$G$412),"")</f>
      </c>
      <c r="H412" s="176">
        <f>IFERROR(IF([2]对账明细接口!$H$412=0,"",[2]对账明细接口!$H$412),"")</f>
      </c>
      <c r="I412" s="16">
        <f>IFERROR(IF([2]对账明细接口!$I$412=0,"",[2]对账明细接口!$I$412),"")</f>
      </c>
      <c r="J412" s="177">
        <f>IFERROR(IF([2]对账明细接口!$J$412=0,"",[2]对账明细接口!$J$412),"")</f>
      </c>
      <c r="K412" s="177">
        <f>IFERROR(IF([2]对账明细接口!$K$412=0,"",[2]对账明细接口!$K$412),"")</f>
      </c>
      <c r="L412" s="16">
        <f>IFERROR(IF([2]对账明细接口!$L$412=0,"",[2]对账明细接口!$L$412),"")</f>
      </c>
      <c r="M412" s="16">
        <f>IFERROR(IF([2]对账明细接口!$M$412=0,"",[2]对账明细接口!$M$412),"")</f>
      </c>
      <c r="N412" s="19">
        <f>IF($C412="",0,1)</f>
        <v>0</v>
      </c>
      <c r="O412" s="19">
        <f>N(O411)+$N412</f>
        <v>272</v>
      </c>
      <c r="S412" s="20">
        <f>IFERROR(IF([2]对账明细接口!$N412=0,"",[2]对账明细接口!$N412),"")</f>
      </c>
      <c r="T412" s="212">
        <f>IFERROR(IF([2]对账明细接口!$O412=0,"",[2]对账明细接口!$O412),"")</f>
      </c>
      <c r="U412" s="212">
        <f>IFERROR(IF([2]对账明细接口!$P412=0,"",[2]对账明细接口!$P412),"")</f>
      </c>
      <c r="V412" s="212">
        <f>IFERROR(IF([2]对账明细接口!$Q412=0,"",[2]对账明细接口!$Q412),"")</f>
      </c>
      <c r="W412" s="20">
        <f>IFERROR(IF([2]对账明细接口!$R412=0,"",[2]对账明细接口!$R412),"")</f>
      </c>
      <c r="X412" s="20">
        <f>IFERROR(IF([2]对账明细接口!$S412=0,"",[2]对账明细接口!$S412),"")</f>
      </c>
      <c r="Y412" s="20">
        <f>""</f>
      </c>
      <c r="Z412" s="20">
        <f>""</f>
      </c>
      <c r="AA412" s="20">
        <f>""</f>
      </c>
      <c r="AB412" s="20">
        <f>""</f>
      </c>
    </row>
    <row r="413" s="127">
      <c r="A413" s="14" t="n">
        <v>413</v>
      </c>
      <c r="B413" s="211">
        <f>IFERROR(IF([2]对账明细接口!$B$413=0,"",[2]对账明细接口!$B$413),"")</f>
      </c>
      <c r="C413" s="16">
        <f>IFERROR(IF([2]对账明细接口!$C$413=0,"",[2]对账明细接口!$C$413),"")</f>
      </c>
      <c r="D413" s="16">
        <f>IFERROR(IF([2]对账明细接口!$D$413=0,"",[2]对账明细接口!$D$413),"")</f>
      </c>
      <c r="E413" s="16">
        <f>IFERROR(IF([2]对账明细接口!$E$413=0,"",[2]对账明细接口!$E$413),"")</f>
      </c>
      <c r="F413" s="16">
        <f>IFERROR(IF([2]对账明细接口!$F$413=0,"",[2]对账明细接口!$F$413),"")</f>
      </c>
      <c r="G413" s="16">
        <f>IFERROR(IF([2]对账明细接口!$G$413=0,"",[2]对账明细接口!$G$413),"")</f>
      </c>
      <c r="H413" s="176">
        <f>IFERROR(IF([2]对账明细接口!$H$413=0,"",[2]对账明细接口!$H$413),"")</f>
      </c>
      <c r="I413" s="16">
        <f>IFERROR(IF([2]对账明细接口!$I$413=0,"",[2]对账明细接口!$I$413),"")</f>
      </c>
      <c r="J413" s="177">
        <f>IFERROR(IF([2]对账明细接口!$J$413=0,"",[2]对账明细接口!$J$413),"")</f>
      </c>
      <c r="K413" s="177">
        <f>IFERROR(IF([2]对账明细接口!$K$413=0,"",[2]对账明细接口!$K$413),"")</f>
      </c>
      <c r="L413" s="16">
        <f>IFERROR(IF([2]对账明细接口!$L$413=0,"",[2]对账明细接口!$L$413),"")</f>
      </c>
      <c r="M413" s="16">
        <f>IFERROR(IF([2]对账明细接口!$M$413=0,"",[2]对账明细接口!$M$413),"")</f>
      </c>
      <c r="N413" s="19">
        <f>IF($C413="",0,1)</f>
        <v>0</v>
      </c>
      <c r="O413" s="19">
        <f>N(O412)+$N413</f>
        <v>272</v>
      </c>
      <c r="S413" s="20">
        <f>IFERROR(IF([2]对账明细接口!$N413=0,"",[2]对账明细接口!$N413),"")</f>
      </c>
      <c r="T413" s="212">
        <f>IFERROR(IF([2]对账明细接口!$O413=0,"",[2]对账明细接口!$O413),"")</f>
      </c>
      <c r="U413" s="212">
        <f>IFERROR(IF([2]对账明细接口!$P413=0,"",[2]对账明细接口!$P413),"")</f>
      </c>
      <c r="V413" s="212">
        <f>IFERROR(IF([2]对账明细接口!$Q413=0,"",[2]对账明细接口!$Q413),"")</f>
      </c>
      <c r="W413" s="20">
        <f>IFERROR(IF([2]对账明细接口!$R413=0,"",[2]对账明细接口!$R413),"")</f>
      </c>
      <c r="X413" s="20">
        <f>IFERROR(IF([2]对账明细接口!$S413=0,"",[2]对账明细接口!$S413),"")</f>
      </c>
      <c r="Y413" s="20">
        <f>""</f>
      </c>
      <c r="Z413" s="20">
        <f>""</f>
      </c>
      <c r="AA413" s="20">
        <f>""</f>
      </c>
      <c r="AB413" s="20">
        <f>""</f>
      </c>
    </row>
    <row r="414" s="127">
      <c r="A414" s="14" t="n">
        <v>414</v>
      </c>
      <c r="B414" s="211">
        <f>IFERROR(IF([2]对账明细接口!$B$414=0,"",[2]对账明细接口!$B$414),"")</f>
      </c>
      <c r="C414" s="16">
        <f>IFERROR(IF([2]对账明细接口!$C$414=0,"",[2]对账明细接口!$C$414),"")</f>
      </c>
      <c r="D414" s="16">
        <f>IFERROR(IF([2]对账明细接口!$D$414=0,"",[2]对账明细接口!$D$414),"")</f>
      </c>
      <c r="E414" s="16">
        <f>IFERROR(IF([2]对账明细接口!$E$414=0,"",[2]对账明细接口!$E$414),"")</f>
      </c>
      <c r="F414" s="16">
        <f>IFERROR(IF([2]对账明细接口!$F$414=0,"",[2]对账明细接口!$F$414),"")</f>
      </c>
      <c r="G414" s="16">
        <f>IFERROR(IF([2]对账明细接口!$G$414=0,"",[2]对账明细接口!$G$414),"")</f>
      </c>
      <c r="H414" s="176">
        <f>IFERROR(IF([2]对账明细接口!$H$414=0,"",[2]对账明细接口!$H$414),"")</f>
      </c>
      <c r="I414" s="16">
        <f>IFERROR(IF([2]对账明细接口!$I$414=0,"",[2]对账明细接口!$I$414),"")</f>
      </c>
      <c r="J414" s="177">
        <f>IFERROR(IF([2]对账明细接口!$J$414=0,"",[2]对账明细接口!$J$414),"")</f>
      </c>
      <c r="K414" s="177">
        <f>IFERROR(IF([2]对账明细接口!$K$414=0,"",[2]对账明细接口!$K$414),"")</f>
      </c>
      <c r="L414" s="16">
        <f>IFERROR(IF([2]对账明细接口!$L$414=0,"",[2]对账明细接口!$L$414),"")</f>
      </c>
      <c r="M414" s="16">
        <f>IFERROR(IF([2]对账明细接口!$M$414=0,"",[2]对账明细接口!$M$414),"")</f>
      </c>
      <c r="N414" s="19">
        <f>IF($C414="",0,1)</f>
        <v>0</v>
      </c>
      <c r="O414" s="19">
        <f>N(O413)+$N414</f>
        <v>272</v>
      </c>
      <c r="S414" s="20">
        <f>IFERROR(IF([2]对账明细接口!$N414=0,"",[2]对账明细接口!$N414),"")</f>
      </c>
      <c r="T414" s="212">
        <f>IFERROR(IF([2]对账明细接口!$O414=0,"",[2]对账明细接口!$O414),"")</f>
      </c>
      <c r="U414" s="212">
        <f>IFERROR(IF([2]对账明细接口!$P414=0,"",[2]对账明细接口!$P414),"")</f>
      </c>
      <c r="V414" s="212">
        <f>IFERROR(IF([2]对账明细接口!$Q414=0,"",[2]对账明细接口!$Q414),"")</f>
      </c>
      <c r="W414" s="20">
        <f>IFERROR(IF([2]对账明细接口!$R414=0,"",[2]对账明细接口!$R414),"")</f>
      </c>
      <c r="X414" s="20">
        <f>IFERROR(IF([2]对账明细接口!$S414=0,"",[2]对账明细接口!$S414),"")</f>
      </c>
      <c r="Y414" s="20">
        <f>""</f>
      </c>
      <c r="Z414" s="20">
        <f>""</f>
      </c>
      <c r="AA414" s="20">
        <f>""</f>
      </c>
      <c r="AB414" s="20">
        <f>""</f>
      </c>
    </row>
    <row r="415" s="127">
      <c r="A415" s="14" t="n">
        <v>415</v>
      </c>
      <c r="B415" s="211">
        <f>IFERROR(IF([2]对账明细接口!$B$415=0,"",[2]对账明细接口!$B$415),"")</f>
      </c>
      <c r="C415" s="16">
        <f>IFERROR(IF([2]对账明细接口!$C$415=0,"",[2]对账明细接口!$C$415),"")</f>
      </c>
      <c r="D415" s="16">
        <f>IFERROR(IF([2]对账明细接口!$D$415=0,"",[2]对账明细接口!$D$415),"")</f>
      </c>
      <c r="E415" s="16">
        <f>IFERROR(IF([2]对账明细接口!$E$415=0,"",[2]对账明细接口!$E$415),"")</f>
      </c>
      <c r="F415" s="16">
        <f>IFERROR(IF([2]对账明细接口!$F$415=0,"",[2]对账明细接口!$F$415),"")</f>
      </c>
      <c r="G415" s="16">
        <f>IFERROR(IF([2]对账明细接口!$G$415=0,"",[2]对账明细接口!$G$415),"")</f>
      </c>
      <c r="H415" s="176">
        <f>IFERROR(IF([2]对账明细接口!$H$415=0,"",[2]对账明细接口!$H$415),"")</f>
      </c>
      <c r="I415" s="16">
        <f>IFERROR(IF([2]对账明细接口!$I$415=0,"",[2]对账明细接口!$I$415),"")</f>
      </c>
      <c r="J415" s="177">
        <f>IFERROR(IF([2]对账明细接口!$J$415=0,"",[2]对账明细接口!$J$415),"")</f>
      </c>
      <c r="K415" s="177">
        <f>IFERROR(IF([2]对账明细接口!$K$415=0,"",[2]对账明细接口!$K$415),"")</f>
      </c>
      <c r="L415" s="16">
        <f>IFERROR(IF([2]对账明细接口!$L$415=0,"",[2]对账明细接口!$L$415),"")</f>
      </c>
      <c r="M415" s="16">
        <f>IFERROR(IF([2]对账明细接口!$M$415=0,"",[2]对账明细接口!$M$415),"")</f>
      </c>
      <c r="N415" s="19">
        <f>IF($C415="",0,1)</f>
        <v>0</v>
      </c>
      <c r="O415" s="19">
        <f>N(O414)+$N415</f>
        <v>272</v>
      </c>
      <c r="S415" s="20">
        <f>IFERROR(IF([2]对账明细接口!$N415=0,"",[2]对账明细接口!$N415),"")</f>
      </c>
      <c r="T415" s="212">
        <f>IFERROR(IF([2]对账明细接口!$O415=0,"",[2]对账明细接口!$O415),"")</f>
      </c>
      <c r="U415" s="212">
        <f>IFERROR(IF([2]对账明细接口!$P415=0,"",[2]对账明细接口!$P415),"")</f>
      </c>
      <c r="V415" s="212">
        <f>IFERROR(IF([2]对账明细接口!$Q415=0,"",[2]对账明细接口!$Q415),"")</f>
      </c>
      <c r="W415" s="20">
        <f>IFERROR(IF([2]对账明细接口!$R415=0,"",[2]对账明细接口!$R415),"")</f>
      </c>
      <c r="X415" s="20">
        <f>IFERROR(IF([2]对账明细接口!$S415=0,"",[2]对账明细接口!$S415),"")</f>
      </c>
      <c r="Y415" s="20">
        <f>""</f>
      </c>
      <c r="Z415" s="20">
        <f>""</f>
      </c>
      <c r="AA415" s="20">
        <f>""</f>
      </c>
      <c r="AB415" s="20">
        <f>""</f>
      </c>
    </row>
    <row r="416" s="127">
      <c r="A416" s="14" t="n">
        <v>416</v>
      </c>
      <c r="B416" s="211">
        <f>IFERROR(IF([2]对账明细接口!$B$416=0,"",[2]对账明细接口!$B$416),"")</f>
      </c>
      <c r="C416" s="16">
        <f>IFERROR(IF([2]对账明细接口!$C$416=0,"",[2]对账明细接口!$C$416),"")</f>
      </c>
      <c r="D416" s="16">
        <f>IFERROR(IF([2]对账明细接口!$D$416=0,"",[2]对账明细接口!$D$416),"")</f>
      </c>
      <c r="E416" s="16">
        <f>IFERROR(IF([2]对账明细接口!$E$416=0,"",[2]对账明细接口!$E$416),"")</f>
      </c>
      <c r="F416" s="16">
        <f>IFERROR(IF([2]对账明细接口!$F$416=0,"",[2]对账明细接口!$F$416),"")</f>
      </c>
      <c r="G416" s="16">
        <f>IFERROR(IF([2]对账明细接口!$G$416=0,"",[2]对账明细接口!$G$416),"")</f>
      </c>
      <c r="H416" s="176">
        <f>IFERROR(IF([2]对账明细接口!$H$416=0,"",[2]对账明细接口!$H$416),"")</f>
      </c>
      <c r="I416" s="16">
        <f>IFERROR(IF([2]对账明细接口!$I$416=0,"",[2]对账明细接口!$I$416),"")</f>
      </c>
      <c r="J416" s="177">
        <f>IFERROR(IF([2]对账明细接口!$J$416=0,"",[2]对账明细接口!$J$416),"")</f>
      </c>
      <c r="K416" s="177">
        <f>IFERROR(IF([2]对账明细接口!$K$416=0,"",[2]对账明细接口!$K$416),"")</f>
      </c>
      <c r="L416" s="16">
        <f>IFERROR(IF([2]对账明细接口!$L$416=0,"",[2]对账明细接口!$L$416),"")</f>
      </c>
      <c r="M416" s="16">
        <f>IFERROR(IF([2]对账明细接口!$M$416=0,"",[2]对账明细接口!$M$416),"")</f>
      </c>
      <c r="N416" s="19">
        <f>IF($C416="",0,1)</f>
        <v>0</v>
      </c>
      <c r="O416" s="19">
        <f>N(O415)+$N416</f>
        <v>272</v>
      </c>
      <c r="S416" s="20">
        <f>IFERROR(IF([2]对账明细接口!$N416=0,"",[2]对账明细接口!$N416),"")</f>
      </c>
      <c r="T416" s="212">
        <f>IFERROR(IF([2]对账明细接口!$O416=0,"",[2]对账明细接口!$O416),"")</f>
      </c>
      <c r="U416" s="212">
        <f>IFERROR(IF([2]对账明细接口!$P416=0,"",[2]对账明细接口!$P416),"")</f>
      </c>
      <c r="V416" s="212">
        <f>IFERROR(IF([2]对账明细接口!$Q416=0,"",[2]对账明细接口!$Q416),"")</f>
      </c>
      <c r="W416" s="20">
        <f>IFERROR(IF([2]对账明细接口!$R416=0,"",[2]对账明细接口!$R416),"")</f>
      </c>
      <c r="X416" s="20">
        <f>IFERROR(IF([2]对账明细接口!$S416=0,"",[2]对账明细接口!$S416),"")</f>
      </c>
      <c r="Y416" s="20">
        <f>""</f>
      </c>
      <c r="Z416" s="20">
        <f>""</f>
      </c>
      <c r="AA416" s="20">
        <f>""</f>
      </c>
      <c r="AB416" s="20">
        <f>""</f>
      </c>
    </row>
    <row r="417" s="127">
      <c r="A417" s="14" t="n">
        <v>417</v>
      </c>
      <c r="B417" s="211">
        <f>IFERROR(IF([2]对账明细接口!$B$417=0,"",[2]对账明细接口!$B$417),"")</f>
      </c>
      <c r="C417" s="16">
        <f>IFERROR(IF([2]对账明细接口!$C$417=0,"",[2]对账明细接口!$C$417),"")</f>
      </c>
      <c r="D417" s="16">
        <f>IFERROR(IF([2]对账明细接口!$D$417=0,"",[2]对账明细接口!$D$417),"")</f>
      </c>
      <c r="E417" s="16">
        <f>IFERROR(IF([2]对账明细接口!$E$417=0,"",[2]对账明细接口!$E$417),"")</f>
      </c>
      <c r="F417" s="16">
        <f>IFERROR(IF([2]对账明细接口!$F$417=0,"",[2]对账明细接口!$F$417),"")</f>
      </c>
      <c r="G417" s="16">
        <f>IFERROR(IF([2]对账明细接口!$G$417=0,"",[2]对账明细接口!$G$417),"")</f>
      </c>
      <c r="H417" s="176">
        <f>IFERROR(IF([2]对账明细接口!$H$417=0,"",[2]对账明细接口!$H$417),"")</f>
      </c>
      <c r="I417" s="16">
        <f>IFERROR(IF([2]对账明细接口!$I$417=0,"",[2]对账明细接口!$I$417),"")</f>
      </c>
      <c r="J417" s="177">
        <f>IFERROR(IF([2]对账明细接口!$J$417=0,"",[2]对账明细接口!$J$417),"")</f>
      </c>
      <c r="K417" s="177">
        <f>IFERROR(IF([2]对账明细接口!$K$417=0,"",[2]对账明细接口!$K$417),"")</f>
      </c>
      <c r="L417" s="16">
        <f>IFERROR(IF([2]对账明细接口!$L$417=0,"",[2]对账明细接口!$L$417),"")</f>
      </c>
      <c r="M417" s="16">
        <f>IFERROR(IF([2]对账明细接口!$M$417=0,"",[2]对账明细接口!$M$417),"")</f>
      </c>
      <c r="N417" s="19">
        <f>IF($C417="",0,1)</f>
        <v>0</v>
      </c>
      <c r="O417" s="19">
        <f>N(O416)+$N417</f>
        <v>272</v>
      </c>
      <c r="S417" s="20">
        <f>IFERROR(IF([2]对账明细接口!$N417=0,"",[2]对账明细接口!$N417),"")</f>
      </c>
      <c r="T417" s="212">
        <f>IFERROR(IF([2]对账明细接口!$O417=0,"",[2]对账明细接口!$O417),"")</f>
      </c>
      <c r="U417" s="212">
        <f>IFERROR(IF([2]对账明细接口!$P417=0,"",[2]对账明细接口!$P417),"")</f>
      </c>
      <c r="V417" s="212">
        <f>IFERROR(IF([2]对账明细接口!$Q417=0,"",[2]对账明细接口!$Q417),"")</f>
      </c>
      <c r="W417" s="20">
        <f>IFERROR(IF([2]对账明细接口!$R417=0,"",[2]对账明细接口!$R417),"")</f>
      </c>
      <c r="X417" s="20">
        <f>IFERROR(IF([2]对账明细接口!$S417=0,"",[2]对账明细接口!$S417),"")</f>
      </c>
      <c r="Y417" s="20">
        <f>""</f>
      </c>
      <c r="Z417" s="20">
        <f>""</f>
      </c>
      <c r="AA417" s="20">
        <f>""</f>
      </c>
      <c r="AB417" s="20">
        <f>""</f>
      </c>
    </row>
    <row r="418" s="127">
      <c r="A418" s="14" t="n">
        <v>418</v>
      </c>
      <c r="B418" s="211">
        <f>IFERROR(IF([2]对账明细接口!$B$418=0,"",[2]对账明细接口!$B$418),"")</f>
      </c>
      <c r="C418" s="16">
        <f>IFERROR(IF([2]对账明细接口!$C$418=0,"",[2]对账明细接口!$C$418),"")</f>
      </c>
      <c r="D418" s="16">
        <f>IFERROR(IF([2]对账明细接口!$D$418=0,"",[2]对账明细接口!$D$418),"")</f>
      </c>
      <c r="E418" s="16">
        <f>IFERROR(IF([2]对账明细接口!$E$418=0,"",[2]对账明细接口!$E$418),"")</f>
      </c>
      <c r="F418" s="16">
        <f>IFERROR(IF([2]对账明细接口!$F$418=0,"",[2]对账明细接口!$F$418),"")</f>
      </c>
      <c r="G418" s="16">
        <f>IFERROR(IF([2]对账明细接口!$G$418=0,"",[2]对账明细接口!$G$418),"")</f>
      </c>
      <c r="H418" s="176">
        <f>IFERROR(IF([2]对账明细接口!$H$418=0,"",[2]对账明细接口!$H$418),"")</f>
      </c>
      <c r="I418" s="16">
        <f>IFERROR(IF([2]对账明细接口!$I$418=0,"",[2]对账明细接口!$I$418),"")</f>
      </c>
      <c r="J418" s="177">
        <f>IFERROR(IF([2]对账明细接口!$J$418=0,"",[2]对账明细接口!$J$418),"")</f>
      </c>
      <c r="K418" s="177">
        <f>IFERROR(IF([2]对账明细接口!$K$418=0,"",[2]对账明细接口!$K$418),"")</f>
      </c>
      <c r="L418" s="16">
        <f>IFERROR(IF([2]对账明细接口!$L$418=0,"",[2]对账明细接口!$L$418),"")</f>
      </c>
      <c r="M418" s="16">
        <f>IFERROR(IF([2]对账明细接口!$M$418=0,"",[2]对账明细接口!$M$418),"")</f>
      </c>
      <c r="N418" s="19">
        <f>IF($C418="",0,1)</f>
        <v>0</v>
      </c>
      <c r="O418" s="19">
        <f>N(O417)+$N418</f>
        <v>272</v>
      </c>
      <c r="S418" s="20">
        <f>IFERROR(IF([2]对账明细接口!$N418=0,"",[2]对账明细接口!$N418),"")</f>
      </c>
      <c r="T418" s="212">
        <f>IFERROR(IF([2]对账明细接口!$O418=0,"",[2]对账明细接口!$O418),"")</f>
      </c>
      <c r="U418" s="212">
        <f>IFERROR(IF([2]对账明细接口!$P418=0,"",[2]对账明细接口!$P418),"")</f>
      </c>
      <c r="V418" s="212">
        <f>IFERROR(IF([2]对账明细接口!$Q418=0,"",[2]对账明细接口!$Q418),"")</f>
      </c>
      <c r="W418" s="20">
        <f>IFERROR(IF([2]对账明细接口!$R418=0,"",[2]对账明细接口!$R418),"")</f>
      </c>
      <c r="X418" s="20">
        <f>IFERROR(IF([2]对账明细接口!$S418=0,"",[2]对账明细接口!$S418),"")</f>
      </c>
      <c r="Y418" s="20">
        <f>""</f>
      </c>
      <c r="Z418" s="20">
        <f>""</f>
      </c>
      <c r="AA418" s="20">
        <f>""</f>
      </c>
      <c r="AB418" s="20">
        <f>""</f>
      </c>
    </row>
    <row r="419" s="127">
      <c r="A419" s="14" t="n">
        <v>419</v>
      </c>
      <c r="B419" s="211">
        <f>IFERROR(IF([2]对账明细接口!$B$419=0,"",[2]对账明细接口!$B$419),"")</f>
      </c>
      <c r="C419" s="16">
        <f>IFERROR(IF([2]对账明细接口!$C$419=0,"",[2]对账明细接口!$C$419),"")</f>
      </c>
      <c r="D419" s="16">
        <f>IFERROR(IF([2]对账明细接口!$D$419=0,"",[2]对账明细接口!$D$419),"")</f>
      </c>
      <c r="E419" s="16">
        <f>IFERROR(IF([2]对账明细接口!$E$419=0,"",[2]对账明细接口!$E$419),"")</f>
      </c>
      <c r="F419" s="16">
        <f>IFERROR(IF([2]对账明细接口!$F$419=0,"",[2]对账明细接口!$F$419),"")</f>
      </c>
      <c r="G419" s="16">
        <f>IFERROR(IF([2]对账明细接口!$G$419=0,"",[2]对账明细接口!$G$419),"")</f>
      </c>
      <c r="H419" s="176">
        <f>IFERROR(IF([2]对账明细接口!$H$419=0,"",[2]对账明细接口!$H$419),"")</f>
      </c>
      <c r="I419" s="16">
        <f>IFERROR(IF([2]对账明细接口!$I$419=0,"",[2]对账明细接口!$I$419),"")</f>
      </c>
      <c r="J419" s="177">
        <f>IFERROR(IF([2]对账明细接口!$J$419=0,"",[2]对账明细接口!$J$419),"")</f>
      </c>
      <c r="K419" s="177">
        <f>IFERROR(IF([2]对账明细接口!$K$419=0,"",[2]对账明细接口!$K$419),"")</f>
      </c>
      <c r="L419" s="16">
        <f>IFERROR(IF([2]对账明细接口!$L$419=0,"",[2]对账明细接口!$L$419),"")</f>
      </c>
      <c r="M419" s="16">
        <f>IFERROR(IF([2]对账明细接口!$M$419=0,"",[2]对账明细接口!$M$419),"")</f>
      </c>
      <c r="N419" s="19">
        <f>IF($C419="",0,1)</f>
        <v>0</v>
      </c>
      <c r="O419" s="19">
        <f>N(O418)+$N419</f>
        <v>272</v>
      </c>
      <c r="S419" s="20">
        <f>IFERROR(IF([2]对账明细接口!$N419=0,"",[2]对账明细接口!$N419),"")</f>
      </c>
      <c r="T419" s="212">
        <f>IFERROR(IF([2]对账明细接口!$O419=0,"",[2]对账明细接口!$O419),"")</f>
      </c>
      <c r="U419" s="212">
        <f>IFERROR(IF([2]对账明细接口!$P419=0,"",[2]对账明细接口!$P419),"")</f>
      </c>
      <c r="V419" s="212">
        <f>IFERROR(IF([2]对账明细接口!$Q419=0,"",[2]对账明细接口!$Q419),"")</f>
      </c>
      <c r="W419" s="20">
        <f>IFERROR(IF([2]对账明细接口!$R419=0,"",[2]对账明细接口!$R419),"")</f>
      </c>
      <c r="X419" s="20">
        <f>IFERROR(IF([2]对账明细接口!$S419=0,"",[2]对账明细接口!$S419),"")</f>
      </c>
      <c r="Y419" s="20">
        <f>""</f>
      </c>
      <c r="Z419" s="20">
        <f>""</f>
      </c>
      <c r="AA419" s="20">
        <f>""</f>
      </c>
      <c r="AB419" s="20">
        <f>""</f>
      </c>
    </row>
    <row r="420" s="127">
      <c r="A420" s="14" t="n">
        <v>420</v>
      </c>
      <c r="B420" s="211">
        <f>IFERROR(IF([2]对账明细接口!$B$420=0,"",[2]对账明细接口!$B$420),"")</f>
      </c>
      <c r="C420" s="16">
        <f>IFERROR(IF([2]对账明细接口!$C$420=0,"",[2]对账明细接口!$C$420),"")</f>
      </c>
      <c r="D420" s="16">
        <f>IFERROR(IF([2]对账明细接口!$D$420=0,"",[2]对账明细接口!$D$420),"")</f>
      </c>
      <c r="E420" s="16">
        <f>IFERROR(IF([2]对账明细接口!$E$420=0,"",[2]对账明细接口!$E$420),"")</f>
      </c>
      <c r="F420" s="16">
        <f>IFERROR(IF([2]对账明细接口!$F$420=0,"",[2]对账明细接口!$F$420),"")</f>
      </c>
      <c r="G420" s="16">
        <f>IFERROR(IF([2]对账明细接口!$G$420=0,"",[2]对账明细接口!$G$420),"")</f>
      </c>
      <c r="H420" s="176">
        <f>IFERROR(IF([2]对账明细接口!$H$420=0,"",[2]对账明细接口!$H$420),"")</f>
      </c>
      <c r="I420" s="16">
        <f>IFERROR(IF([2]对账明细接口!$I$420=0,"",[2]对账明细接口!$I$420),"")</f>
      </c>
      <c r="J420" s="177">
        <f>IFERROR(IF([2]对账明细接口!$J$420=0,"",[2]对账明细接口!$J$420),"")</f>
      </c>
      <c r="K420" s="177">
        <f>IFERROR(IF([2]对账明细接口!$K$420=0,"",[2]对账明细接口!$K$420),"")</f>
      </c>
      <c r="L420" s="16">
        <f>IFERROR(IF([2]对账明细接口!$L$420=0,"",[2]对账明细接口!$L$420),"")</f>
      </c>
      <c r="M420" s="16">
        <f>IFERROR(IF([2]对账明细接口!$M$420=0,"",[2]对账明细接口!$M$420),"")</f>
      </c>
      <c r="N420" s="19">
        <f>IF($C420="",0,1)</f>
        <v>0</v>
      </c>
      <c r="O420" s="19">
        <f>N(O419)+$N420</f>
        <v>272</v>
      </c>
      <c r="S420" s="20">
        <f>IFERROR(IF([2]对账明细接口!$N420=0,"",[2]对账明细接口!$N420),"")</f>
      </c>
      <c r="T420" s="212">
        <f>IFERROR(IF([2]对账明细接口!$O420=0,"",[2]对账明细接口!$O420),"")</f>
      </c>
      <c r="U420" s="212">
        <f>IFERROR(IF([2]对账明细接口!$P420=0,"",[2]对账明细接口!$P420),"")</f>
      </c>
      <c r="V420" s="212">
        <f>IFERROR(IF([2]对账明细接口!$Q420=0,"",[2]对账明细接口!$Q420),"")</f>
      </c>
      <c r="W420" s="20">
        <f>IFERROR(IF([2]对账明细接口!$R420=0,"",[2]对账明细接口!$R420),"")</f>
      </c>
      <c r="X420" s="20">
        <f>IFERROR(IF([2]对账明细接口!$S420=0,"",[2]对账明细接口!$S420),"")</f>
      </c>
      <c r="Y420" s="20">
        <f>""</f>
      </c>
      <c r="Z420" s="20">
        <f>""</f>
      </c>
      <c r="AA420" s="20">
        <f>""</f>
      </c>
      <c r="AB420" s="20">
        <f>""</f>
      </c>
    </row>
    <row r="421" s="127">
      <c r="A421" s="14" t="n">
        <v>421</v>
      </c>
      <c r="B421" s="211">
        <f>IFERROR(IF([2]对账明细接口!$B$421=0,"",[2]对账明细接口!$B$421),"")</f>
      </c>
      <c r="C421" s="16">
        <f>IFERROR(IF([2]对账明细接口!$C$421=0,"",[2]对账明细接口!$C$421),"")</f>
      </c>
      <c r="D421" s="16">
        <f>IFERROR(IF([2]对账明细接口!$D$421=0,"",[2]对账明细接口!$D$421),"")</f>
      </c>
      <c r="E421" s="16">
        <f>IFERROR(IF([2]对账明细接口!$E$421=0,"",[2]对账明细接口!$E$421),"")</f>
      </c>
      <c r="F421" s="16">
        <f>IFERROR(IF([2]对账明细接口!$F$421=0,"",[2]对账明细接口!$F$421),"")</f>
      </c>
      <c r="G421" s="16">
        <f>IFERROR(IF([2]对账明细接口!$G$421=0,"",[2]对账明细接口!$G$421),"")</f>
      </c>
      <c r="H421" s="176">
        <f>IFERROR(IF([2]对账明细接口!$H$421=0,"",[2]对账明细接口!$H$421),"")</f>
      </c>
      <c r="I421" s="16">
        <f>IFERROR(IF([2]对账明细接口!$I$421=0,"",[2]对账明细接口!$I$421),"")</f>
      </c>
      <c r="J421" s="177">
        <f>IFERROR(IF([2]对账明细接口!$J$421=0,"",[2]对账明细接口!$J$421),"")</f>
      </c>
      <c r="K421" s="177">
        <f>IFERROR(IF([2]对账明细接口!$K$421=0,"",[2]对账明细接口!$K$421),"")</f>
      </c>
      <c r="L421" s="16">
        <f>IFERROR(IF([2]对账明细接口!$L$421=0,"",[2]对账明细接口!$L$421),"")</f>
      </c>
      <c r="M421" s="16">
        <f>IFERROR(IF([2]对账明细接口!$M$421=0,"",[2]对账明细接口!$M$421),"")</f>
      </c>
      <c r="N421" s="19">
        <f>IF($C421="",0,1)</f>
        <v>0</v>
      </c>
      <c r="O421" s="19">
        <f>N(O420)+$N421</f>
        <v>272</v>
      </c>
      <c r="S421" s="20">
        <f>IFERROR(IF([2]对账明细接口!$N421=0,"",[2]对账明细接口!$N421),"")</f>
      </c>
      <c r="T421" s="212">
        <f>IFERROR(IF([2]对账明细接口!$O421=0,"",[2]对账明细接口!$O421),"")</f>
      </c>
      <c r="U421" s="212">
        <f>IFERROR(IF([2]对账明细接口!$P421=0,"",[2]对账明细接口!$P421),"")</f>
      </c>
      <c r="V421" s="212">
        <f>IFERROR(IF([2]对账明细接口!$Q421=0,"",[2]对账明细接口!$Q421),"")</f>
      </c>
      <c r="W421" s="20">
        <f>IFERROR(IF([2]对账明细接口!$R421=0,"",[2]对账明细接口!$R421),"")</f>
      </c>
      <c r="X421" s="20">
        <f>IFERROR(IF([2]对账明细接口!$S421=0,"",[2]对账明细接口!$S421),"")</f>
      </c>
      <c r="Y421" s="20">
        <f>""</f>
      </c>
      <c r="Z421" s="20">
        <f>""</f>
      </c>
      <c r="AA421" s="20">
        <f>""</f>
      </c>
      <c r="AB421" s="20">
        <f>""</f>
      </c>
    </row>
    <row r="422" s="127">
      <c r="A422" s="14" t="n">
        <v>422</v>
      </c>
      <c r="B422" s="211">
        <f>IFERROR(IF([2]对账明细接口!$B$422=0,"",[2]对账明细接口!$B$422),"")</f>
      </c>
      <c r="C422" s="16">
        <f>IFERROR(IF([2]对账明细接口!$C$422=0,"",[2]对账明细接口!$C$422),"")</f>
      </c>
      <c r="D422" s="16">
        <f>IFERROR(IF([2]对账明细接口!$D$422=0,"",[2]对账明细接口!$D$422),"")</f>
      </c>
      <c r="E422" s="16">
        <f>IFERROR(IF([2]对账明细接口!$E$422=0,"",[2]对账明细接口!$E$422),"")</f>
      </c>
      <c r="F422" s="16">
        <f>IFERROR(IF([2]对账明细接口!$F$422=0,"",[2]对账明细接口!$F$422),"")</f>
      </c>
      <c r="G422" s="16">
        <f>IFERROR(IF([2]对账明细接口!$G$422=0,"",[2]对账明细接口!$G$422),"")</f>
      </c>
      <c r="H422" s="176">
        <f>IFERROR(IF([2]对账明细接口!$H$422=0,"",[2]对账明细接口!$H$422),"")</f>
      </c>
      <c r="I422" s="16">
        <f>IFERROR(IF([2]对账明细接口!$I$422=0,"",[2]对账明细接口!$I$422),"")</f>
      </c>
      <c r="J422" s="177">
        <f>IFERROR(IF([2]对账明细接口!$J$422=0,"",[2]对账明细接口!$J$422),"")</f>
      </c>
      <c r="K422" s="177">
        <f>IFERROR(IF([2]对账明细接口!$K$422=0,"",[2]对账明细接口!$K$422),"")</f>
      </c>
      <c r="L422" s="16">
        <f>IFERROR(IF([2]对账明细接口!$L$422=0,"",[2]对账明细接口!$L$422),"")</f>
      </c>
      <c r="M422" s="16">
        <f>IFERROR(IF([2]对账明细接口!$M$422=0,"",[2]对账明细接口!$M$422),"")</f>
      </c>
      <c r="N422" s="19">
        <f>IF($C422="",0,1)</f>
        <v>0</v>
      </c>
      <c r="O422" s="19">
        <f>N(O421)+$N422</f>
        <v>272</v>
      </c>
      <c r="S422" s="20">
        <f>IFERROR(IF([2]对账明细接口!$N422=0,"",[2]对账明细接口!$N422),"")</f>
      </c>
      <c r="T422" s="212">
        <f>IFERROR(IF([2]对账明细接口!$O422=0,"",[2]对账明细接口!$O422),"")</f>
      </c>
      <c r="U422" s="212">
        <f>IFERROR(IF([2]对账明细接口!$P422=0,"",[2]对账明细接口!$P422),"")</f>
      </c>
      <c r="V422" s="212">
        <f>IFERROR(IF([2]对账明细接口!$Q422=0,"",[2]对账明细接口!$Q422),"")</f>
      </c>
      <c r="W422" s="20">
        <f>IFERROR(IF([2]对账明细接口!$R422=0,"",[2]对账明细接口!$R422),"")</f>
      </c>
      <c r="X422" s="20">
        <f>IFERROR(IF([2]对账明细接口!$S422=0,"",[2]对账明细接口!$S422),"")</f>
      </c>
      <c r="Y422" s="20">
        <f>""</f>
      </c>
      <c r="Z422" s="20">
        <f>""</f>
      </c>
      <c r="AA422" s="20">
        <f>""</f>
      </c>
      <c r="AB422" s="20">
        <f>""</f>
      </c>
    </row>
    <row r="423" s="127">
      <c r="A423" s="14" t="n">
        <v>423</v>
      </c>
      <c r="B423" s="211">
        <f>IFERROR(IF([2]对账明细接口!$B$423=0,"",[2]对账明细接口!$B$423),"")</f>
      </c>
      <c r="C423" s="16">
        <f>IFERROR(IF([2]对账明细接口!$C$423=0,"",[2]对账明细接口!$C$423),"")</f>
      </c>
      <c r="D423" s="16">
        <f>IFERROR(IF([2]对账明细接口!$D$423=0,"",[2]对账明细接口!$D$423),"")</f>
      </c>
      <c r="E423" s="16">
        <f>IFERROR(IF([2]对账明细接口!$E$423=0,"",[2]对账明细接口!$E$423),"")</f>
      </c>
      <c r="F423" s="16">
        <f>IFERROR(IF([2]对账明细接口!$F$423=0,"",[2]对账明细接口!$F$423),"")</f>
      </c>
      <c r="G423" s="16">
        <f>IFERROR(IF([2]对账明细接口!$G$423=0,"",[2]对账明细接口!$G$423),"")</f>
      </c>
      <c r="H423" s="176">
        <f>IFERROR(IF([2]对账明细接口!$H$423=0,"",[2]对账明细接口!$H$423),"")</f>
      </c>
      <c r="I423" s="16">
        <f>IFERROR(IF([2]对账明细接口!$I$423=0,"",[2]对账明细接口!$I$423),"")</f>
      </c>
      <c r="J423" s="177">
        <f>IFERROR(IF([2]对账明细接口!$J$423=0,"",[2]对账明细接口!$J$423),"")</f>
      </c>
      <c r="K423" s="177">
        <f>IFERROR(IF([2]对账明细接口!$K$423=0,"",[2]对账明细接口!$K$423),"")</f>
      </c>
      <c r="L423" s="16">
        <f>IFERROR(IF([2]对账明细接口!$L$423=0,"",[2]对账明细接口!$L$423),"")</f>
      </c>
      <c r="M423" s="16">
        <f>IFERROR(IF([2]对账明细接口!$M$423=0,"",[2]对账明细接口!$M$423),"")</f>
      </c>
      <c r="N423" s="19">
        <f>IF($C423="",0,1)</f>
        <v>0</v>
      </c>
      <c r="O423" s="19">
        <f>N(O422)+$N423</f>
        <v>272</v>
      </c>
      <c r="S423" s="20">
        <f>IFERROR(IF([2]对账明细接口!$N423=0,"",[2]对账明细接口!$N423),"")</f>
      </c>
      <c r="T423" s="212">
        <f>IFERROR(IF([2]对账明细接口!$O423=0,"",[2]对账明细接口!$O423),"")</f>
      </c>
      <c r="U423" s="212">
        <f>IFERROR(IF([2]对账明细接口!$P423=0,"",[2]对账明细接口!$P423),"")</f>
      </c>
      <c r="V423" s="212">
        <f>IFERROR(IF([2]对账明细接口!$Q423=0,"",[2]对账明细接口!$Q423),"")</f>
      </c>
      <c r="W423" s="20">
        <f>IFERROR(IF([2]对账明细接口!$R423=0,"",[2]对账明细接口!$R423),"")</f>
      </c>
      <c r="X423" s="20">
        <f>IFERROR(IF([2]对账明细接口!$S423=0,"",[2]对账明细接口!$S423),"")</f>
      </c>
      <c r="Y423" s="20">
        <f>""</f>
      </c>
      <c r="Z423" s="20">
        <f>""</f>
      </c>
      <c r="AA423" s="20">
        <f>""</f>
      </c>
      <c r="AB423" s="20">
        <f>""</f>
      </c>
    </row>
    <row r="424" s="127">
      <c r="A424" s="14" t="n">
        <v>424</v>
      </c>
      <c r="B424" s="211">
        <f>IFERROR(IF([2]对账明细接口!$B$424=0,"",[2]对账明细接口!$B$424),"")</f>
      </c>
      <c r="C424" s="16">
        <f>IFERROR(IF([2]对账明细接口!$C$424=0,"",[2]对账明细接口!$C$424),"")</f>
      </c>
      <c r="D424" s="16">
        <f>IFERROR(IF([2]对账明细接口!$D$424=0,"",[2]对账明细接口!$D$424),"")</f>
      </c>
      <c r="E424" s="16">
        <f>IFERROR(IF([2]对账明细接口!$E$424=0,"",[2]对账明细接口!$E$424),"")</f>
      </c>
      <c r="F424" s="16">
        <f>IFERROR(IF([2]对账明细接口!$F$424=0,"",[2]对账明细接口!$F$424),"")</f>
      </c>
      <c r="G424" s="16">
        <f>IFERROR(IF([2]对账明细接口!$G$424=0,"",[2]对账明细接口!$G$424),"")</f>
      </c>
      <c r="H424" s="176">
        <f>IFERROR(IF([2]对账明细接口!$H$424=0,"",[2]对账明细接口!$H$424),"")</f>
      </c>
      <c r="I424" s="16">
        <f>IFERROR(IF([2]对账明细接口!$I$424=0,"",[2]对账明细接口!$I$424),"")</f>
      </c>
      <c r="J424" s="177">
        <f>IFERROR(IF([2]对账明细接口!$J$424=0,"",[2]对账明细接口!$J$424),"")</f>
      </c>
      <c r="K424" s="177">
        <f>IFERROR(IF([2]对账明细接口!$K$424=0,"",[2]对账明细接口!$K$424),"")</f>
      </c>
      <c r="L424" s="16">
        <f>IFERROR(IF([2]对账明细接口!$L$424=0,"",[2]对账明细接口!$L$424),"")</f>
      </c>
      <c r="M424" s="16">
        <f>IFERROR(IF([2]对账明细接口!$M$424=0,"",[2]对账明细接口!$M$424),"")</f>
      </c>
      <c r="N424" s="19">
        <f>IF($C424="",0,1)</f>
        <v>0</v>
      </c>
      <c r="O424" s="19">
        <f>N(O423)+$N424</f>
        <v>272</v>
      </c>
      <c r="S424" s="20">
        <f>IFERROR(IF([2]对账明细接口!$N424=0,"",[2]对账明细接口!$N424),"")</f>
      </c>
      <c r="T424" s="212">
        <f>IFERROR(IF([2]对账明细接口!$O424=0,"",[2]对账明细接口!$O424),"")</f>
      </c>
      <c r="U424" s="212">
        <f>IFERROR(IF([2]对账明细接口!$P424=0,"",[2]对账明细接口!$P424),"")</f>
      </c>
      <c r="V424" s="212">
        <f>IFERROR(IF([2]对账明细接口!$Q424=0,"",[2]对账明细接口!$Q424),"")</f>
      </c>
      <c r="W424" s="20">
        <f>IFERROR(IF([2]对账明细接口!$R424=0,"",[2]对账明细接口!$R424),"")</f>
      </c>
      <c r="X424" s="20">
        <f>IFERROR(IF([2]对账明细接口!$S424=0,"",[2]对账明细接口!$S424),"")</f>
      </c>
      <c r="Y424" s="20">
        <f>""</f>
      </c>
      <c r="Z424" s="20">
        <f>""</f>
      </c>
      <c r="AA424" s="20">
        <f>""</f>
      </c>
      <c r="AB424" s="20">
        <f>""</f>
      </c>
    </row>
    <row r="425" s="127">
      <c r="A425" s="14" t="n">
        <v>425</v>
      </c>
      <c r="B425" s="211">
        <f>IFERROR(IF([2]对账明细接口!$B$425=0,"",[2]对账明细接口!$B$425),"")</f>
      </c>
      <c r="C425" s="16">
        <f>IFERROR(IF([2]对账明细接口!$C$425=0,"",[2]对账明细接口!$C$425),"")</f>
      </c>
      <c r="D425" s="16">
        <f>IFERROR(IF([2]对账明细接口!$D$425=0,"",[2]对账明细接口!$D$425),"")</f>
      </c>
      <c r="E425" s="16">
        <f>IFERROR(IF([2]对账明细接口!$E$425=0,"",[2]对账明细接口!$E$425),"")</f>
      </c>
      <c r="F425" s="16">
        <f>IFERROR(IF([2]对账明细接口!$F$425=0,"",[2]对账明细接口!$F$425),"")</f>
      </c>
      <c r="G425" s="16">
        <f>IFERROR(IF([2]对账明细接口!$G$425=0,"",[2]对账明细接口!$G$425),"")</f>
      </c>
      <c r="H425" s="176">
        <f>IFERROR(IF([2]对账明细接口!$H$425=0,"",[2]对账明细接口!$H$425),"")</f>
      </c>
      <c r="I425" s="16">
        <f>IFERROR(IF([2]对账明细接口!$I$425=0,"",[2]对账明细接口!$I$425),"")</f>
      </c>
      <c r="J425" s="177">
        <f>IFERROR(IF([2]对账明细接口!$J$425=0,"",[2]对账明细接口!$J$425),"")</f>
      </c>
      <c r="K425" s="177">
        <f>IFERROR(IF([2]对账明细接口!$K$425=0,"",[2]对账明细接口!$K$425),"")</f>
      </c>
      <c r="L425" s="16">
        <f>IFERROR(IF([2]对账明细接口!$L$425=0,"",[2]对账明细接口!$L$425),"")</f>
      </c>
      <c r="M425" s="16">
        <f>IFERROR(IF([2]对账明细接口!$M$425=0,"",[2]对账明细接口!$M$425),"")</f>
      </c>
      <c r="N425" s="19">
        <f>IF($C425="",0,1)</f>
        <v>0</v>
      </c>
      <c r="O425" s="19">
        <f>N(O424)+$N425</f>
        <v>272</v>
      </c>
      <c r="S425" s="20">
        <f>IFERROR(IF([2]对账明细接口!$N425=0,"",[2]对账明细接口!$N425),"")</f>
      </c>
      <c r="T425" s="212">
        <f>IFERROR(IF([2]对账明细接口!$O425=0,"",[2]对账明细接口!$O425),"")</f>
      </c>
      <c r="U425" s="212">
        <f>IFERROR(IF([2]对账明细接口!$P425=0,"",[2]对账明细接口!$P425),"")</f>
      </c>
      <c r="V425" s="212">
        <f>IFERROR(IF([2]对账明细接口!$Q425=0,"",[2]对账明细接口!$Q425),"")</f>
      </c>
      <c r="W425" s="20">
        <f>IFERROR(IF([2]对账明细接口!$R425=0,"",[2]对账明细接口!$R425),"")</f>
      </c>
      <c r="X425" s="20">
        <f>IFERROR(IF([2]对账明细接口!$S425=0,"",[2]对账明细接口!$S425),"")</f>
      </c>
      <c r="Y425" s="20">
        <f>""</f>
      </c>
      <c r="Z425" s="20">
        <f>""</f>
      </c>
      <c r="AA425" s="20">
        <f>""</f>
      </c>
      <c r="AB425" s="20">
        <f>""</f>
      </c>
    </row>
    <row r="426" s="127">
      <c r="A426" s="14" t="n">
        <v>426</v>
      </c>
      <c r="B426" s="211">
        <f>IFERROR(IF([2]对账明细接口!$B$426=0,"",[2]对账明细接口!$B$426),"")</f>
      </c>
      <c r="C426" s="16">
        <f>IFERROR(IF([2]对账明细接口!$C$426=0,"",[2]对账明细接口!$C$426),"")</f>
      </c>
      <c r="D426" s="16">
        <f>IFERROR(IF([2]对账明细接口!$D$426=0,"",[2]对账明细接口!$D$426),"")</f>
      </c>
      <c r="E426" s="16">
        <f>IFERROR(IF([2]对账明细接口!$E$426=0,"",[2]对账明细接口!$E$426),"")</f>
      </c>
      <c r="F426" s="16">
        <f>IFERROR(IF([2]对账明细接口!$F$426=0,"",[2]对账明细接口!$F$426),"")</f>
      </c>
      <c r="G426" s="16">
        <f>IFERROR(IF([2]对账明细接口!$G$426=0,"",[2]对账明细接口!$G$426),"")</f>
      </c>
      <c r="H426" s="176">
        <f>IFERROR(IF([2]对账明细接口!$H$426=0,"",[2]对账明细接口!$H$426),"")</f>
      </c>
      <c r="I426" s="16">
        <f>IFERROR(IF([2]对账明细接口!$I$426=0,"",[2]对账明细接口!$I$426),"")</f>
      </c>
      <c r="J426" s="177">
        <f>IFERROR(IF([2]对账明细接口!$J$426=0,"",[2]对账明细接口!$J$426),"")</f>
      </c>
      <c r="K426" s="177">
        <f>IFERROR(IF([2]对账明细接口!$K$426=0,"",[2]对账明细接口!$K$426),"")</f>
      </c>
      <c r="L426" s="16">
        <f>IFERROR(IF([2]对账明细接口!$L$426=0,"",[2]对账明细接口!$L$426),"")</f>
      </c>
      <c r="M426" s="16">
        <f>IFERROR(IF([2]对账明细接口!$M$426=0,"",[2]对账明细接口!$M$426),"")</f>
      </c>
      <c r="N426" s="19">
        <f>IF($C426="",0,1)</f>
        <v>0</v>
      </c>
      <c r="O426" s="19">
        <f>N(O425)+$N426</f>
        <v>272</v>
      </c>
      <c r="S426" s="20">
        <f>IFERROR(IF([2]对账明细接口!$N426=0,"",[2]对账明细接口!$N426),"")</f>
      </c>
      <c r="T426" s="212">
        <f>IFERROR(IF([2]对账明细接口!$O426=0,"",[2]对账明细接口!$O426),"")</f>
      </c>
      <c r="U426" s="212">
        <f>IFERROR(IF([2]对账明细接口!$P426=0,"",[2]对账明细接口!$P426),"")</f>
      </c>
      <c r="V426" s="212">
        <f>IFERROR(IF([2]对账明细接口!$Q426=0,"",[2]对账明细接口!$Q426),"")</f>
      </c>
      <c r="W426" s="20">
        <f>IFERROR(IF([2]对账明细接口!$R426=0,"",[2]对账明细接口!$R426),"")</f>
      </c>
      <c r="X426" s="20">
        <f>IFERROR(IF([2]对账明细接口!$S426=0,"",[2]对账明细接口!$S426),"")</f>
      </c>
      <c r="Y426" s="20">
        <f>""</f>
      </c>
      <c r="Z426" s="20">
        <f>""</f>
      </c>
      <c r="AA426" s="20">
        <f>""</f>
      </c>
      <c r="AB426" s="20">
        <f>""</f>
      </c>
    </row>
    <row r="427" s="127">
      <c r="A427" s="14" t="n">
        <v>427</v>
      </c>
      <c r="B427" s="211">
        <f>IFERROR(IF([2]对账明细接口!$B$427=0,"",[2]对账明细接口!$B$427),"")</f>
      </c>
      <c r="C427" s="16">
        <f>IFERROR(IF([2]对账明细接口!$C$427=0,"",[2]对账明细接口!$C$427),"")</f>
      </c>
      <c r="D427" s="16">
        <f>IFERROR(IF([2]对账明细接口!$D$427=0,"",[2]对账明细接口!$D$427),"")</f>
      </c>
      <c r="E427" s="16">
        <f>IFERROR(IF([2]对账明细接口!$E$427=0,"",[2]对账明细接口!$E$427),"")</f>
      </c>
      <c r="F427" s="16">
        <f>IFERROR(IF([2]对账明细接口!$F$427=0,"",[2]对账明细接口!$F$427),"")</f>
      </c>
      <c r="G427" s="16">
        <f>IFERROR(IF([2]对账明细接口!$G$427=0,"",[2]对账明细接口!$G$427),"")</f>
      </c>
      <c r="H427" s="176">
        <f>IFERROR(IF([2]对账明细接口!$H$427=0,"",[2]对账明细接口!$H$427),"")</f>
      </c>
      <c r="I427" s="16">
        <f>IFERROR(IF([2]对账明细接口!$I$427=0,"",[2]对账明细接口!$I$427),"")</f>
      </c>
      <c r="J427" s="177">
        <f>IFERROR(IF([2]对账明细接口!$J$427=0,"",[2]对账明细接口!$J$427),"")</f>
      </c>
      <c r="K427" s="177">
        <f>IFERROR(IF([2]对账明细接口!$K$427=0,"",[2]对账明细接口!$K$427),"")</f>
      </c>
      <c r="L427" s="16">
        <f>IFERROR(IF([2]对账明细接口!$L$427=0,"",[2]对账明细接口!$L$427),"")</f>
      </c>
      <c r="M427" s="16">
        <f>IFERROR(IF([2]对账明细接口!$M$427=0,"",[2]对账明细接口!$M$427),"")</f>
      </c>
      <c r="N427" s="19">
        <f>IF($C427="",0,1)</f>
        <v>0</v>
      </c>
      <c r="O427" s="19">
        <f>N(O426)+$N427</f>
        <v>272</v>
      </c>
      <c r="S427" s="20">
        <f>IFERROR(IF([2]对账明细接口!$N427=0,"",[2]对账明细接口!$N427),"")</f>
      </c>
      <c r="T427" s="212">
        <f>IFERROR(IF([2]对账明细接口!$O427=0,"",[2]对账明细接口!$O427),"")</f>
      </c>
      <c r="U427" s="212">
        <f>IFERROR(IF([2]对账明细接口!$P427=0,"",[2]对账明细接口!$P427),"")</f>
      </c>
      <c r="V427" s="212">
        <f>IFERROR(IF([2]对账明细接口!$Q427=0,"",[2]对账明细接口!$Q427),"")</f>
      </c>
      <c r="W427" s="20">
        <f>IFERROR(IF([2]对账明细接口!$R427=0,"",[2]对账明细接口!$R427),"")</f>
      </c>
      <c r="X427" s="20">
        <f>IFERROR(IF([2]对账明细接口!$S427=0,"",[2]对账明细接口!$S427),"")</f>
      </c>
      <c r="Y427" s="20">
        <f>""</f>
      </c>
      <c r="Z427" s="20">
        <f>""</f>
      </c>
      <c r="AA427" s="20">
        <f>""</f>
      </c>
      <c r="AB427" s="20">
        <f>""</f>
      </c>
    </row>
    <row r="428" s="127">
      <c r="A428" s="14" t="n">
        <v>428</v>
      </c>
      <c r="B428" s="211">
        <f>IFERROR(IF([2]对账明细接口!$B$428=0,"",[2]对账明细接口!$B$428),"")</f>
      </c>
      <c r="C428" s="16">
        <f>IFERROR(IF([2]对账明细接口!$C$428=0,"",[2]对账明细接口!$C$428),"")</f>
      </c>
      <c r="D428" s="16">
        <f>IFERROR(IF([2]对账明细接口!$D$428=0,"",[2]对账明细接口!$D$428),"")</f>
      </c>
      <c r="E428" s="16">
        <f>IFERROR(IF([2]对账明细接口!$E$428=0,"",[2]对账明细接口!$E$428),"")</f>
      </c>
      <c r="F428" s="16">
        <f>IFERROR(IF([2]对账明细接口!$F$428=0,"",[2]对账明细接口!$F$428),"")</f>
      </c>
      <c r="G428" s="16">
        <f>IFERROR(IF([2]对账明细接口!$G$428=0,"",[2]对账明细接口!$G$428),"")</f>
      </c>
      <c r="H428" s="176">
        <f>IFERROR(IF([2]对账明细接口!$H$428=0,"",[2]对账明细接口!$H$428),"")</f>
      </c>
      <c r="I428" s="16">
        <f>IFERROR(IF([2]对账明细接口!$I$428=0,"",[2]对账明细接口!$I$428),"")</f>
      </c>
      <c r="J428" s="177">
        <f>IFERROR(IF([2]对账明细接口!$J$428=0,"",[2]对账明细接口!$J$428),"")</f>
      </c>
      <c r="K428" s="177">
        <f>IFERROR(IF([2]对账明细接口!$K$428=0,"",[2]对账明细接口!$K$428),"")</f>
      </c>
      <c r="L428" s="16">
        <f>IFERROR(IF([2]对账明细接口!$L$428=0,"",[2]对账明细接口!$L$428),"")</f>
      </c>
      <c r="M428" s="16">
        <f>IFERROR(IF([2]对账明细接口!$M$428=0,"",[2]对账明细接口!$M$428),"")</f>
      </c>
      <c r="N428" s="19">
        <f>IF($C428="",0,1)</f>
        <v>0</v>
      </c>
      <c r="O428" s="19">
        <f>N(O427)+$N428</f>
        <v>272</v>
      </c>
      <c r="S428" s="20">
        <f>IFERROR(IF([2]对账明细接口!$N428=0,"",[2]对账明细接口!$N428),"")</f>
      </c>
      <c r="T428" s="212">
        <f>IFERROR(IF([2]对账明细接口!$O428=0,"",[2]对账明细接口!$O428),"")</f>
      </c>
      <c r="U428" s="212">
        <f>IFERROR(IF([2]对账明细接口!$P428=0,"",[2]对账明细接口!$P428),"")</f>
      </c>
      <c r="V428" s="212">
        <f>IFERROR(IF([2]对账明细接口!$Q428=0,"",[2]对账明细接口!$Q428),"")</f>
      </c>
      <c r="W428" s="20">
        <f>IFERROR(IF([2]对账明细接口!$R428=0,"",[2]对账明细接口!$R428),"")</f>
      </c>
      <c r="X428" s="20">
        <f>IFERROR(IF([2]对账明细接口!$S428=0,"",[2]对账明细接口!$S428),"")</f>
      </c>
      <c r="Y428" s="20">
        <f>""</f>
      </c>
      <c r="Z428" s="20">
        <f>""</f>
      </c>
      <c r="AA428" s="20">
        <f>""</f>
      </c>
      <c r="AB428" s="20">
        <f>""</f>
      </c>
    </row>
    <row r="429" s="127">
      <c r="A429" s="14" t="n">
        <v>429</v>
      </c>
      <c r="B429" s="211">
        <f>IFERROR(IF([2]对账明细接口!$B$429=0,"",[2]对账明细接口!$B$429),"")</f>
      </c>
      <c r="C429" s="16">
        <f>IFERROR(IF([2]对账明细接口!$C$429=0,"",[2]对账明细接口!$C$429),"")</f>
      </c>
      <c r="D429" s="16">
        <f>IFERROR(IF([2]对账明细接口!$D$429=0,"",[2]对账明细接口!$D$429),"")</f>
      </c>
      <c r="E429" s="16">
        <f>IFERROR(IF([2]对账明细接口!$E$429=0,"",[2]对账明细接口!$E$429),"")</f>
      </c>
      <c r="F429" s="16">
        <f>IFERROR(IF([2]对账明细接口!$F$429=0,"",[2]对账明细接口!$F$429),"")</f>
      </c>
      <c r="G429" s="16">
        <f>IFERROR(IF([2]对账明细接口!$G$429=0,"",[2]对账明细接口!$G$429),"")</f>
      </c>
      <c r="H429" s="176">
        <f>IFERROR(IF([2]对账明细接口!$H$429=0,"",[2]对账明细接口!$H$429),"")</f>
      </c>
      <c r="I429" s="16">
        <f>IFERROR(IF([2]对账明细接口!$I$429=0,"",[2]对账明细接口!$I$429),"")</f>
      </c>
      <c r="J429" s="177">
        <f>IFERROR(IF([2]对账明细接口!$J$429=0,"",[2]对账明细接口!$J$429),"")</f>
      </c>
      <c r="K429" s="177">
        <f>IFERROR(IF([2]对账明细接口!$K$429=0,"",[2]对账明细接口!$K$429),"")</f>
      </c>
      <c r="L429" s="16">
        <f>IFERROR(IF([2]对账明细接口!$L$429=0,"",[2]对账明细接口!$L$429),"")</f>
      </c>
      <c r="M429" s="16">
        <f>IFERROR(IF([2]对账明细接口!$M$429=0,"",[2]对账明细接口!$M$429),"")</f>
      </c>
      <c r="N429" s="19">
        <f>IF($C429="",0,1)</f>
        <v>0</v>
      </c>
      <c r="O429" s="19">
        <f>N(O428)+$N429</f>
        <v>272</v>
      </c>
      <c r="S429" s="20">
        <f>IFERROR(IF([2]对账明细接口!$N429=0,"",[2]对账明细接口!$N429),"")</f>
      </c>
      <c r="T429" s="212">
        <f>IFERROR(IF([2]对账明细接口!$O429=0,"",[2]对账明细接口!$O429),"")</f>
      </c>
      <c r="U429" s="212">
        <f>IFERROR(IF([2]对账明细接口!$P429=0,"",[2]对账明细接口!$P429),"")</f>
      </c>
      <c r="V429" s="212">
        <f>IFERROR(IF([2]对账明细接口!$Q429=0,"",[2]对账明细接口!$Q429),"")</f>
      </c>
      <c r="W429" s="20">
        <f>IFERROR(IF([2]对账明细接口!$R429=0,"",[2]对账明细接口!$R429),"")</f>
      </c>
      <c r="X429" s="20">
        <f>IFERROR(IF([2]对账明细接口!$S429=0,"",[2]对账明细接口!$S429),"")</f>
      </c>
      <c r="Y429" s="20">
        <f>""</f>
      </c>
      <c r="Z429" s="20">
        <f>""</f>
      </c>
      <c r="AA429" s="20">
        <f>""</f>
      </c>
      <c r="AB429" s="20">
        <f>""</f>
      </c>
    </row>
    <row r="430" s="127">
      <c r="A430" s="14" t="n">
        <v>430</v>
      </c>
      <c r="B430" s="211">
        <f>IFERROR(IF([2]对账明细接口!$B$430=0,"",[2]对账明细接口!$B$430),"")</f>
      </c>
      <c r="C430" s="16">
        <f>IFERROR(IF([2]对账明细接口!$C$430=0,"",[2]对账明细接口!$C$430),"")</f>
      </c>
      <c r="D430" s="16">
        <f>IFERROR(IF([2]对账明细接口!$D$430=0,"",[2]对账明细接口!$D$430),"")</f>
      </c>
      <c r="E430" s="16">
        <f>IFERROR(IF([2]对账明细接口!$E$430=0,"",[2]对账明细接口!$E$430),"")</f>
      </c>
      <c r="F430" s="16">
        <f>IFERROR(IF([2]对账明细接口!$F$430=0,"",[2]对账明细接口!$F$430),"")</f>
      </c>
      <c r="G430" s="16">
        <f>IFERROR(IF([2]对账明细接口!$G$430=0,"",[2]对账明细接口!$G$430),"")</f>
      </c>
      <c r="H430" s="176">
        <f>IFERROR(IF([2]对账明细接口!$H$430=0,"",[2]对账明细接口!$H$430),"")</f>
      </c>
      <c r="I430" s="16">
        <f>IFERROR(IF([2]对账明细接口!$I$430=0,"",[2]对账明细接口!$I$430),"")</f>
      </c>
      <c r="J430" s="177">
        <f>IFERROR(IF([2]对账明细接口!$J$430=0,"",[2]对账明细接口!$J$430),"")</f>
      </c>
      <c r="K430" s="177">
        <f>IFERROR(IF([2]对账明细接口!$K$430=0,"",[2]对账明细接口!$K$430),"")</f>
      </c>
      <c r="L430" s="16">
        <f>IFERROR(IF([2]对账明细接口!$L$430=0,"",[2]对账明细接口!$L$430),"")</f>
      </c>
      <c r="M430" s="16">
        <f>IFERROR(IF([2]对账明细接口!$M$430=0,"",[2]对账明细接口!$M$430),"")</f>
      </c>
      <c r="N430" s="19">
        <f>IF($C430="",0,1)</f>
        <v>0</v>
      </c>
      <c r="O430" s="19">
        <f>N(O429)+$N430</f>
        <v>272</v>
      </c>
      <c r="S430" s="20">
        <f>IFERROR(IF([2]对账明细接口!$N430=0,"",[2]对账明细接口!$N430),"")</f>
      </c>
      <c r="T430" s="212">
        <f>IFERROR(IF([2]对账明细接口!$O430=0,"",[2]对账明细接口!$O430),"")</f>
      </c>
      <c r="U430" s="212">
        <f>IFERROR(IF([2]对账明细接口!$P430=0,"",[2]对账明细接口!$P430),"")</f>
      </c>
      <c r="V430" s="212">
        <f>IFERROR(IF([2]对账明细接口!$Q430=0,"",[2]对账明细接口!$Q430),"")</f>
      </c>
      <c r="W430" s="20">
        <f>IFERROR(IF([2]对账明细接口!$R430=0,"",[2]对账明细接口!$R430),"")</f>
      </c>
      <c r="X430" s="20">
        <f>IFERROR(IF([2]对账明细接口!$S430=0,"",[2]对账明细接口!$S430),"")</f>
      </c>
      <c r="Y430" s="20">
        <f>""</f>
      </c>
      <c r="Z430" s="20">
        <f>""</f>
      </c>
      <c r="AA430" s="20">
        <f>""</f>
      </c>
      <c r="AB430" s="20">
        <f>""</f>
      </c>
    </row>
    <row r="431" s="127">
      <c r="A431" s="14" t="n">
        <v>431</v>
      </c>
      <c r="B431" s="211">
        <f>IFERROR(IF([2]对账明细接口!$B$431=0,"",[2]对账明细接口!$B$431),"")</f>
      </c>
      <c r="C431" s="16">
        <f>IFERROR(IF([2]对账明细接口!$C$431=0,"",[2]对账明细接口!$C$431),"")</f>
      </c>
      <c r="D431" s="16">
        <f>IFERROR(IF([2]对账明细接口!$D$431=0,"",[2]对账明细接口!$D$431),"")</f>
      </c>
      <c r="E431" s="16">
        <f>IFERROR(IF([2]对账明细接口!$E$431=0,"",[2]对账明细接口!$E$431),"")</f>
      </c>
      <c r="F431" s="16">
        <f>IFERROR(IF([2]对账明细接口!$F$431=0,"",[2]对账明细接口!$F$431),"")</f>
      </c>
      <c r="G431" s="16">
        <f>IFERROR(IF([2]对账明细接口!$G$431=0,"",[2]对账明细接口!$G$431),"")</f>
      </c>
      <c r="H431" s="176">
        <f>IFERROR(IF([2]对账明细接口!$H$431=0,"",[2]对账明细接口!$H$431),"")</f>
      </c>
      <c r="I431" s="16">
        <f>IFERROR(IF([2]对账明细接口!$I$431=0,"",[2]对账明细接口!$I$431),"")</f>
      </c>
      <c r="J431" s="177">
        <f>IFERROR(IF([2]对账明细接口!$J$431=0,"",[2]对账明细接口!$J$431),"")</f>
      </c>
      <c r="K431" s="177">
        <f>IFERROR(IF([2]对账明细接口!$K$431=0,"",[2]对账明细接口!$K$431),"")</f>
      </c>
      <c r="L431" s="16">
        <f>IFERROR(IF([2]对账明细接口!$L$431=0,"",[2]对账明细接口!$L$431),"")</f>
      </c>
      <c r="M431" s="16">
        <f>IFERROR(IF([2]对账明细接口!$M$431=0,"",[2]对账明细接口!$M$431),"")</f>
      </c>
      <c r="N431" s="19">
        <f>IF($C431="",0,1)</f>
        <v>0</v>
      </c>
      <c r="O431" s="19">
        <f>N(O430)+$N431</f>
        <v>272</v>
      </c>
      <c r="S431" s="20">
        <f>IFERROR(IF([2]对账明细接口!$N431=0,"",[2]对账明细接口!$N431),"")</f>
      </c>
      <c r="T431" s="212">
        <f>IFERROR(IF([2]对账明细接口!$O431=0,"",[2]对账明细接口!$O431),"")</f>
      </c>
      <c r="U431" s="212">
        <f>IFERROR(IF([2]对账明细接口!$P431=0,"",[2]对账明细接口!$P431),"")</f>
      </c>
      <c r="V431" s="212">
        <f>IFERROR(IF([2]对账明细接口!$Q431=0,"",[2]对账明细接口!$Q431),"")</f>
      </c>
      <c r="W431" s="20">
        <f>IFERROR(IF([2]对账明细接口!$R431=0,"",[2]对账明细接口!$R431),"")</f>
      </c>
      <c r="X431" s="20">
        <f>IFERROR(IF([2]对账明细接口!$S431=0,"",[2]对账明细接口!$S431),"")</f>
      </c>
      <c r="Y431" s="20">
        <f>""</f>
      </c>
      <c r="Z431" s="20">
        <f>""</f>
      </c>
      <c r="AA431" s="20">
        <f>""</f>
      </c>
      <c r="AB431" s="20">
        <f>""</f>
      </c>
    </row>
    <row r="432" s="127">
      <c r="A432" s="14" t="n">
        <v>432</v>
      </c>
      <c r="B432" s="211">
        <f>IFERROR(IF([2]对账明细接口!$B$432=0,"",[2]对账明细接口!$B$432),"")</f>
      </c>
      <c r="C432" s="16">
        <f>IFERROR(IF([2]对账明细接口!$C$432=0,"",[2]对账明细接口!$C$432),"")</f>
      </c>
      <c r="D432" s="16">
        <f>IFERROR(IF([2]对账明细接口!$D$432=0,"",[2]对账明细接口!$D$432),"")</f>
      </c>
      <c r="E432" s="16">
        <f>IFERROR(IF([2]对账明细接口!$E$432=0,"",[2]对账明细接口!$E$432),"")</f>
      </c>
      <c r="F432" s="16">
        <f>IFERROR(IF([2]对账明细接口!$F$432=0,"",[2]对账明细接口!$F$432),"")</f>
      </c>
      <c r="G432" s="16">
        <f>IFERROR(IF([2]对账明细接口!$G$432=0,"",[2]对账明细接口!$G$432),"")</f>
      </c>
      <c r="H432" s="176">
        <f>IFERROR(IF([2]对账明细接口!$H$432=0,"",[2]对账明细接口!$H$432),"")</f>
      </c>
      <c r="I432" s="16">
        <f>IFERROR(IF([2]对账明细接口!$I$432=0,"",[2]对账明细接口!$I$432),"")</f>
      </c>
      <c r="J432" s="177">
        <f>IFERROR(IF([2]对账明细接口!$J$432=0,"",[2]对账明细接口!$J$432),"")</f>
      </c>
      <c r="K432" s="177">
        <f>IFERROR(IF([2]对账明细接口!$K$432=0,"",[2]对账明细接口!$K$432),"")</f>
      </c>
      <c r="L432" s="16">
        <f>IFERROR(IF([2]对账明细接口!$L$432=0,"",[2]对账明细接口!$L$432),"")</f>
      </c>
      <c r="M432" s="16">
        <f>IFERROR(IF([2]对账明细接口!$M$432=0,"",[2]对账明细接口!$M$432),"")</f>
      </c>
      <c r="N432" s="19">
        <f>IF($C432="",0,1)</f>
        <v>0</v>
      </c>
      <c r="O432" s="19">
        <f>N(O431)+$N432</f>
        <v>272</v>
      </c>
      <c r="S432" s="20">
        <f>IFERROR(IF([2]对账明细接口!$N432=0,"",[2]对账明细接口!$N432),"")</f>
      </c>
      <c r="T432" s="212">
        <f>IFERROR(IF([2]对账明细接口!$O432=0,"",[2]对账明细接口!$O432),"")</f>
      </c>
      <c r="U432" s="212">
        <f>IFERROR(IF([2]对账明细接口!$P432=0,"",[2]对账明细接口!$P432),"")</f>
      </c>
      <c r="V432" s="212">
        <f>IFERROR(IF([2]对账明细接口!$Q432=0,"",[2]对账明细接口!$Q432),"")</f>
      </c>
      <c r="W432" s="20">
        <f>IFERROR(IF([2]对账明细接口!$R432=0,"",[2]对账明细接口!$R432),"")</f>
      </c>
      <c r="X432" s="20">
        <f>IFERROR(IF([2]对账明细接口!$S432=0,"",[2]对账明细接口!$S432),"")</f>
      </c>
      <c r="Y432" s="20">
        <f>""</f>
      </c>
      <c r="Z432" s="20">
        <f>""</f>
      </c>
      <c r="AA432" s="20">
        <f>""</f>
      </c>
      <c r="AB432" s="20">
        <f>""</f>
      </c>
    </row>
    <row r="433" s="127">
      <c r="A433" s="14" t="n">
        <v>433</v>
      </c>
      <c r="B433" s="211">
        <f>IFERROR(IF([2]对账明细接口!$B$433=0,"",[2]对账明细接口!$B$433),"")</f>
      </c>
      <c r="C433" s="16">
        <f>IFERROR(IF([2]对账明细接口!$C$433=0,"",[2]对账明细接口!$C$433),"")</f>
      </c>
      <c r="D433" s="16">
        <f>IFERROR(IF([2]对账明细接口!$D$433=0,"",[2]对账明细接口!$D$433),"")</f>
      </c>
      <c r="E433" s="16">
        <f>IFERROR(IF([2]对账明细接口!$E$433=0,"",[2]对账明细接口!$E$433),"")</f>
      </c>
      <c r="F433" s="16">
        <f>IFERROR(IF([2]对账明细接口!$F$433=0,"",[2]对账明细接口!$F$433),"")</f>
      </c>
      <c r="G433" s="16">
        <f>IFERROR(IF([2]对账明细接口!$G$433=0,"",[2]对账明细接口!$G$433),"")</f>
      </c>
      <c r="H433" s="176">
        <f>IFERROR(IF([2]对账明细接口!$H$433=0,"",[2]对账明细接口!$H$433),"")</f>
      </c>
      <c r="I433" s="16">
        <f>IFERROR(IF([2]对账明细接口!$I$433=0,"",[2]对账明细接口!$I$433),"")</f>
      </c>
      <c r="J433" s="177">
        <f>IFERROR(IF([2]对账明细接口!$J$433=0,"",[2]对账明细接口!$J$433),"")</f>
      </c>
      <c r="K433" s="177">
        <f>IFERROR(IF([2]对账明细接口!$K$433=0,"",[2]对账明细接口!$K$433),"")</f>
      </c>
      <c r="L433" s="16">
        <f>IFERROR(IF([2]对账明细接口!$L$433=0,"",[2]对账明细接口!$L$433),"")</f>
      </c>
      <c r="M433" s="16">
        <f>IFERROR(IF([2]对账明细接口!$M$433=0,"",[2]对账明细接口!$M$433),"")</f>
      </c>
      <c r="N433" s="19">
        <f>IF($C433="",0,1)</f>
        <v>0</v>
      </c>
      <c r="O433" s="19">
        <f>N(O432)+$N433</f>
        <v>272</v>
      </c>
      <c r="S433" s="20">
        <f>IFERROR(IF([2]对账明细接口!$N433=0,"",[2]对账明细接口!$N433),"")</f>
      </c>
      <c r="T433" s="212">
        <f>IFERROR(IF([2]对账明细接口!$O433=0,"",[2]对账明细接口!$O433),"")</f>
      </c>
      <c r="U433" s="212">
        <f>IFERROR(IF([2]对账明细接口!$P433=0,"",[2]对账明细接口!$P433),"")</f>
      </c>
      <c r="V433" s="212">
        <f>IFERROR(IF([2]对账明细接口!$Q433=0,"",[2]对账明细接口!$Q433),"")</f>
      </c>
      <c r="W433" s="20">
        <f>IFERROR(IF([2]对账明细接口!$R433=0,"",[2]对账明细接口!$R433),"")</f>
      </c>
      <c r="X433" s="20">
        <f>IFERROR(IF([2]对账明细接口!$S433=0,"",[2]对账明细接口!$S433),"")</f>
      </c>
      <c r="Y433" s="20">
        <f>""</f>
      </c>
      <c r="Z433" s="20">
        <f>""</f>
      </c>
      <c r="AA433" s="20">
        <f>""</f>
      </c>
      <c r="AB433" s="20">
        <f>""</f>
      </c>
    </row>
    <row r="434" s="127">
      <c r="A434" s="14" t="n">
        <v>434</v>
      </c>
      <c r="B434" s="211">
        <f>IFERROR(IF([2]对账明细接口!$B$434=0,"",[2]对账明细接口!$B$434),"")</f>
      </c>
      <c r="C434" s="16">
        <f>IFERROR(IF([2]对账明细接口!$C$434=0,"",[2]对账明细接口!$C$434),"")</f>
      </c>
      <c r="D434" s="16">
        <f>IFERROR(IF([2]对账明细接口!$D$434=0,"",[2]对账明细接口!$D$434),"")</f>
      </c>
      <c r="E434" s="16">
        <f>IFERROR(IF([2]对账明细接口!$E$434=0,"",[2]对账明细接口!$E$434),"")</f>
      </c>
      <c r="F434" s="16">
        <f>IFERROR(IF([2]对账明细接口!$F$434=0,"",[2]对账明细接口!$F$434),"")</f>
      </c>
      <c r="G434" s="16">
        <f>IFERROR(IF([2]对账明细接口!$G$434=0,"",[2]对账明细接口!$G$434),"")</f>
      </c>
      <c r="H434" s="176">
        <f>IFERROR(IF([2]对账明细接口!$H$434=0,"",[2]对账明细接口!$H$434),"")</f>
      </c>
      <c r="I434" s="16">
        <f>IFERROR(IF([2]对账明细接口!$I$434=0,"",[2]对账明细接口!$I$434),"")</f>
      </c>
      <c r="J434" s="177">
        <f>IFERROR(IF([2]对账明细接口!$J$434=0,"",[2]对账明细接口!$J$434),"")</f>
      </c>
      <c r="K434" s="177">
        <f>IFERROR(IF([2]对账明细接口!$K$434=0,"",[2]对账明细接口!$K$434),"")</f>
      </c>
      <c r="L434" s="16">
        <f>IFERROR(IF([2]对账明细接口!$L$434=0,"",[2]对账明细接口!$L$434),"")</f>
      </c>
      <c r="M434" s="16">
        <f>IFERROR(IF([2]对账明细接口!$M$434=0,"",[2]对账明细接口!$M$434),"")</f>
      </c>
      <c r="N434" s="19">
        <f>IF($C434="",0,1)</f>
        <v>0</v>
      </c>
      <c r="O434" s="19">
        <f>N(O433)+$N434</f>
        <v>272</v>
      </c>
      <c r="S434" s="20">
        <f>IFERROR(IF([2]对账明细接口!$N434=0,"",[2]对账明细接口!$N434),"")</f>
      </c>
      <c r="T434" s="212">
        <f>IFERROR(IF([2]对账明细接口!$O434=0,"",[2]对账明细接口!$O434),"")</f>
      </c>
      <c r="U434" s="212">
        <f>IFERROR(IF([2]对账明细接口!$P434=0,"",[2]对账明细接口!$P434),"")</f>
      </c>
      <c r="V434" s="212">
        <f>IFERROR(IF([2]对账明细接口!$Q434=0,"",[2]对账明细接口!$Q434),"")</f>
      </c>
      <c r="W434" s="20">
        <f>IFERROR(IF([2]对账明细接口!$R434=0,"",[2]对账明细接口!$R434),"")</f>
      </c>
      <c r="X434" s="20">
        <f>IFERROR(IF([2]对账明细接口!$S434=0,"",[2]对账明细接口!$S434),"")</f>
      </c>
      <c r="Y434" s="20">
        <f>""</f>
      </c>
      <c r="Z434" s="20">
        <f>""</f>
      </c>
      <c r="AA434" s="20">
        <f>""</f>
      </c>
      <c r="AB434" s="20">
        <f>""</f>
      </c>
    </row>
    <row r="435" s="127">
      <c r="A435" s="14" t="n">
        <v>435</v>
      </c>
      <c r="B435" s="211">
        <f>IFERROR(IF([2]对账明细接口!$B$435=0,"",[2]对账明细接口!$B$435),"")</f>
      </c>
      <c r="C435" s="16">
        <f>IFERROR(IF([2]对账明细接口!$C$435=0,"",[2]对账明细接口!$C$435),"")</f>
      </c>
      <c r="D435" s="16">
        <f>IFERROR(IF([2]对账明细接口!$D$435=0,"",[2]对账明细接口!$D$435),"")</f>
      </c>
      <c r="E435" s="16">
        <f>IFERROR(IF([2]对账明细接口!$E$435=0,"",[2]对账明细接口!$E$435),"")</f>
      </c>
      <c r="F435" s="16">
        <f>IFERROR(IF([2]对账明细接口!$F$435=0,"",[2]对账明细接口!$F$435),"")</f>
      </c>
      <c r="G435" s="16">
        <f>IFERROR(IF([2]对账明细接口!$G$435=0,"",[2]对账明细接口!$G$435),"")</f>
      </c>
      <c r="H435" s="176">
        <f>IFERROR(IF([2]对账明细接口!$H$435=0,"",[2]对账明细接口!$H$435),"")</f>
      </c>
      <c r="I435" s="16">
        <f>IFERROR(IF([2]对账明细接口!$I$435=0,"",[2]对账明细接口!$I$435),"")</f>
      </c>
      <c r="J435" s="177">
        <f>IFERROR(IF([2]对账明细接口!$J$435=0,"",[2]对账明细接口!$J$435),"")</f>
      </c>
      <c r="K435" s="177">
        <f>IFERROR(IF([2]对账明细接口!$K$435=0,"",[2]对账明细接口!$K$435),"")</f>
      </c>
      <c r="L435" s="16">
        <f>IFERROR(IF([2]对账明细接口!$L$435=0,"",[2]对账明细接口!$L$435),"")</f>
      </c>
      <c r="M435" s="16">
        <f>IFERROR(IF([2]对账明细接口!$M$435=0,"",[2]对账明细接口!$M$435),"")</f>
      </c>
      <c r="N435" s="19">
        <f>IF($C435="",0,1)</f>
        <v>0</v>
      </c>
      <c r="O435" s="19">
        <f>N(O434)+$N435</f>
        <v>272</v>
      </c>
      <c r="S435" s="20">
        <f>IFERROR(IF([2]对账明细接口!$N435=0,"",[2]对账明细接口!$N435),"")</f>
      </c>
      <c r="T435" s="212">
        <f>IFERROR(IF([2]对账明细接口!$O435=0,"",[2]对账明细接口!$O435),"")</f>
      </c>
      <c r="U435" s="212">
        <f>IFERROR(IF([2]对账明细接口!$P435=0,"",[2]对账明细接口!$P435),"")</f>
      </c>
      <c r="V435" s="212">
        <f>IFERROR(IF([2]对账明细接口!$Q435=0,"",[2]对账明细接口!$Q435),"")</f>
      </c>
      <c r="W435" s="20">
        <f>IFERROR(IF([2]对账明细接口!$R435=0,"",[2]对账明细接口!$R435),"")</f>
      </c>
      <c r="X435" s="20">
        <f>IFERROR(IF([2]对账明细接口!$S435=0,"",[2]对账明细接口!$S435),"")</f>
      </c>
      <c r="Y435" s="20">
        <f>""</f>
      </c>
      <c r="Z435" s="20">
        <f>""</f>
      </c>
      <c r="AA435" s="20">
        <f>""</f>
      </c>
      <c r="AB435" s="20">
        <f>""</f>
      </c>
    </row>
    <row r="436" s="127">
      <c r="A436" s="14" t="n">
        <v>436</v>
      </c>
      <c r="B436" s="211">
        <f>IFERROR(IF([2]对账明细接口!$B$436=0,"",[2]对账明细接口!$B$436),"")</f>
      </c>
      <c r="C436" s="16">
        <f>IFERROR(IF([2]对账明细接口!$C$436=0,"",[2]对账明细接口!$C$436),"")</f>
      </c>
      <c r="D436" s="16">
        <f>IFERROR(IF([2]对账明细接口!$D$436=0,"",[2]对账明细接口!$D$436),"")</f>
      </c>
      <c r="E436" s="16">
        <f>IFERROR(IF([2]对账明细接口!$E$436=0,"",[2]对账明细接口!$E$436),"")</f>
      </c>
      <c r="F436" s="16">
        <f>IFERROR(IF([2]对账明细接口!$F$436=0,"",[2]对账明细接口!$F$436),"")</f>
      </c>
      <c r="G436" s="16">
        <f>IFERROR(IF([2]对账明细接口!$G$436=0,"",[2]对账明细接口!$G$436),"")</f>
      </c>
      <c r="H436" s="176">
        <f>IFERROR(IF([2]对账明细接口!$H$436=0,"",[2]对账明细接口!$H$436),"")</f>
      </c>
      <c r="I436" s="16">
        <f>IFERROR(IF([2]对账明细接口!$I$436=0,"",[2]对账明细接口!$I$436),"")</f>
      </c>
      <c r="J436" s="177">
        <f>IFERROR(IF([2]对账明细接口!$J$436=0,"",[2]对账明细接口!$J$436),"")</f>
      </c>
      <c r="K436" s="177">
        <f>IFERROR(IF([2]对账明细接口!$K$436=0,"",[2]对账明细接口!$K$436),"")</f>
      </c>
      <c r="L436" s="16">
        <f>IFERROR(IF([2]对账明细接口!$L$436=0,"",[2]对账明细接口!$L$436),"")</f>
      </c>
      <c r="M436" s="16">
        <f>IFERROR(IF([2]对账明细接口!$M$436=0,"",[2]对账明细接口!$M$436),"")</f>
      </c>
      <c r="N436" s="19">
        <f>IF($C436="",0,1)</f>
        <v>0</v>
      </c>
      <c r="O436" s="19">
        <f>N(O435)+$N436</f>
        <v>272</v>
      </c>
      <c r="S436" s="20">
        <f>IFERROR(IF([2]对账明细接口!$N436=0,"",[2]对账明细接口!$N436),"")</f>
      </c>
      <c r="T436" s="212">
        <f>IFERROR(IF([2]对账明细接口!$O436=0,"",[2]对账明细接口!$O436),"")</f>
      </c>
      <c r="U436" s="212">
        <f>IFERROR(IF([2]对账明细接口!$P436=0,"",[2]对账明细接口!$P436),"")</f>
      </c>
      <c r="V436" s="212">
        <f>IFERROR(IF([2]对账明细接口!$Q436=0,"",[2]对账明细接口!$Q436),"")</f>
      </c>
      <c r="W436" s="20">
        <f>IFERROR(IF([2]对账明细接口!$R436=0,"",[2]对账明细接口!$R436),"")</f>
      </c>
      <c r="X436" s="20">
        <f>IFERROR(IF([2]对账明细接口!$S436=0,"",[2]对账明细接口!$S436),"")</f>
      </c>
      <c r="Y436" s="20">
        <f>""</f>
      </c>
      <c r="Z436" s="20">
        <f>""</f>
      </c>
      <c r="AA436" s="20">
        <f>""</f>
      </c>
      <c r="AB436" s="20">
        <f>""</f>
      </c>
    </row>
    <row r="437" s="127">
      <c r="A437" s="14" t="n">
        <v>437</v>
      </c>
      <c r="B437" s="211">
        <f>IFERROR(IF([2]对账明细接口!$B$437=0,"",[2]对账明细接口!$B$437),"")</f>
      </c>
      <c r="C437" s="16">
        <f>IFERROR(IF([2]对账明细接口!$C$437=0,"",[2]对账明细接口!$C$437),"")</f>
      </c>
      <c r="D437" s="16">
        <f>IFERROR(IF([2]对账明细接口!$D$437=0,"",[2]对账明细接口!$D$437),"")</f>
      </c>
      <c r="E437" s="16">
        <f>IFERROR(IF([2]对账明细接口!$E$437=0,"",[2]对账明细接口!$E$437),"")</f>
      </c>
      <c r="F437" s="16">
        <f>IFERROR(IF([2]对账明细接口!$F$437=0,"",[2]对账明细接口!$F$437),"")</f>
      </c>
      <c r="G437" s="16">
        <f>IFERROR(IF([2]对账明细接口!$G$437=0,"",[2]对账明细接口!$G$437),"")</f>
      </c>
      <c r="H437" s="176">
        <f>IFERROR(IF([2]对账明细接口!$H$437=0,"",[2]对账明细接口!$H$437),"")</f>
      </c>
      <c r="I437" s="16">
        <f>IFERROR(IF([2]对账明细接口!$I$437=0,"",[2]对账明细接口!$I$437),"")</f>
      </c>
      <c r="J437" s="177">
        <f>IFERROR(IF([2]对账明细接口!$J$437=0,"",[2]对账明细接口!$J$437),"")</f>
      </c>
      <c r="K437" s="177">
        <f>IFERROR(IF([2]对账明细接口!$K$437=0,"",[2]对账明细接口!$K$437),"")</f>
      </c>
      <c r="L437" s="16">
        <f>IFERROR(IF([2]对账明细接口!$L$437=0,"",[2]对账明细接口!$L$437),"")</f>
      </c>
      <c r="M437" s="16">
        <f>IFERROR(IF([2]对账明细接口!$M$437=0,"",[2]对账明细接口!$M$437),"")</f>
      </c>
      <c r="N437" s="19">
        <f>IF($C437="",0,1)</f>
        <v>0</v>
      </c>
      <c r="O437" s="19">
        <f>N(O436)+$N437</f>
        <v>272</v>
      </c>
      <c r="S437" s="20">
        <f>IFERROR(IF([2]对账明细接口!$N437=0,"",[2]对账明细接口!$N437),"")</f>
      </c>
      <c r="T437" s="212">
        <f>IFERROR(IF([2]对账明细接口!$O437=0,"",[2]对账明细接口!$O437),"")</f>
      </c>
      <c r="U437" s="212">
        <f>IFERROR(IF([2]对账明细接口!$P437=0,"",[2]对账明细接口!$P437),"")</f>
      </c>
      <c r="V437" s="212">
        <f>IFERROR(IF([2]对账明细接口!$Q437=0,"",[2]对账明细接口!$Q437),"")</f>
      </c>
      <c r="W437" s="20">
        <f>IFERROR(IF([2]对账明细接口!$R437=0,"",[2]对账明细接口!$R437),"")</f>
      </c>
      <c r="X437" s="20">
        <f>IFERROR(IF([2]对账明细接口!$S437=0,"",[2]对账明细接口!$S437),"")</f>
      </c>
      <c r="Y437" s="20">
        <f>""</f>
      </c>
      <c r="Z437" s="20">
        <f>""</f>
      </c>
      <c r="AA437" s="20">
        <f>""</f>
      </c>
      <c r="AB437" s="20">
        <f>""</f>
      </c>
    </row>
    <row r="438" s="127">
      <c r="A438" s="14" t="n">
        <v>438</v>
      </c>
      <c r="B438" s="211">
        <f>IFERROR(IF([2]对账明细接口!$B$438=0,"",[2]对账明细接口!$B$438),"")</f>
      </c>
      <c r="C438" s="16">
        <f>IFERROR(IF([2]对账明细接口!$C$438=0,"",[2]对账明细接口!$C$438),"")</f>
      </c>
      <c r="D438" s="16">
        <f>IFERROR(IF([2]对账明细接口!$D$438=0,"",[2]对账明细接口!$D$438),"")</f>
      </c>
      <c r="E438" s="16">
        <f>IFERROR(IF([2]对账明细接口!$E$438=0,"",[2]对账明细接口!$E$438),"")</f>
      </c>
      <c r="F438" s="16">
        <f>IFERROR(IF([2]对账明细接口!$F$438=0,"",[2]对账明细接口!$F$438),"")</f>
      </c>
      <c r="G438" s="16">
        <f>IFERROR(IF([2]对账明细接口!$G$438=0,"",[2]对账明细接口!$G$438),"")</f>
      </c>
      <c r="H438" s="176">
        <f>IFERROR(IF([2]对账明细接口!$H$438=0,"",[2]对账明细接口!$H$438),"")</f>
      </c>
      <c r="I438" s="16">
        <f>IFERROR(IF([2]对账明细接口!$I$438=0,"",[2]对账明细接口!$I$438),"")</f>
      </c>
      <c r="J438" s="177">
        <f>IFERROR(IF([2]对账明细接口!$J$438=0,"",[2]对账明细接口!$J$438),"")</f>
      </c>
      <c r="K438" s="177">
        <f>IFERROR(IF([2]对账明细接口!$K$438=0,"",[2]对账明细接口!$K$438),"")</f>
      </c>
      <c r="L438" s="16">
        <f>IFERROR(IF([2]对账明细接口!$L$438=0,"",[2]对账明细接口!$L$438),"")</f>
      </c>
      <c r="M438" s="16">
        <f>IFERROR(IF([2]对账明细接口!$M$438=0,"",[2]对账明细接口!$M$438),"")</f>
      </c>
      <c r="N438" s="19">
        <f>IF($C438="",0,1)</f>
        <v>0</v>
      </c>
      <c r="O438" s="19">
        <f>N(O437)+$N438</f>
        <v>272</v>
      </c>
      <c r="S438" s="20">
        <f>IFERROR(IF([2]对账明细接口!$N438=0,"",[2]对账明细接口!$N438),"")</f>
      </c>
      <c r="T438" s="212">
        <f>IFERROR(IF([2]对账明细接口!$O438=0,"",[2]对账明细接口!$O438),"")</f>
      </c>
      <c r="U438" s="212">
        <f>IFERROR(IF([2]对账明细接口!$P438=0,"",[2]对账明细接口!$P438),"")</f>
      </c>
      <c r="V438" s="212">
        <f>IFERROR(IF([2]对账明细接口!$Q438=0,"",[2]对账明细接口!$Q438),"")</f>
      </c>
      <c r="W438" s="20">
        <f>IFERROR(IF([2]对账明细接口!$R438=0,"",[2]对账明细接口!$R438),"")</f>
      </c>
      <c r="X438" s="20">
        <f>IFERROR(IF([2]对账明细接口!$S438=0,"",[2]对账明细接口!$S438),"")</f>
      </c>
      <c r="Y438" s="20">
        <f>""</f>
      </c>
      <c r="Z438" s="20">
        <f>""</f>
      </c>
      <c r="AA438" s="20">
        <f>""</f>
      </c>
      <c r="AB438" s="20">
        <f>""</f>
      </c>
    </row>
    <row r="439" s="127">
      <c r="A439" s="14" t="n">
        <v>439</v>
      </c>
      <c r="B439" s="211">
        <f>IFERROR(IF([2]对账明细接口!$B$439=0,"",[2]对账明细接口!$B$439),"")</f>
      </c>
      <c r="C439" s="16">
        <f>IFERROR(IF([2]对账明细接口!$C$439=0,"",[2]对账明细接口!$C$439),"")</f>
      </c>
      <c r="D439" s="16">
        <f>IFERROR(IF([2]对账明细接口!$D$439=0,"",[2]对账明细接口!$D$439),"")</f>
      </c>
      <c r="E439" s="16">
        <f>IFERROR(IF([2]对账明细接口!$E$439=0,"",[2]对账明细接口!$E$439),"")</f>
      </c>
      <c r="F439" s="16">
        <f>IFERROR(IF([2]对账明细接口!$F$439=0,"",[2]对账明细接口!$F$439),"")</f>
      </c>
      <c r="G439" s="16">
        <f>IFERROR(IF([2]对账明细接口!$G$439=0,"",[2]对账明细接口!$G$439),"")</f>
      </c>
      <c r="H439" s="176">
        <f>IFERROR(IF([2]对账明细接口!$H$439=0,"",[2]对账明细接口!$H$439),"")</f>
      </c>
      <c r="I439" s="16">
        <f>IFERROR(IF([2]对账明细接口!$I$439=0,"",[2]对账明细接口!$I$439),"")</f>
      </c>
      <c r="J439" s="177">
        <f>IFERROR(IF([2]对账明细接口!$J$439=0,"",[2]对账明细接口!$J$439),"")</f>
      </c>
      <c r="K439" s="177">
        <f>IFERROR(IF([2]对账明细接口!$K$439=0,"",[2]对账明细接口!$K$439),"")</f>
      </c>
      <c r="L439" s="16">
        <f>IFERROR(IF([2]对账明细接口!$L$439=0,"",[2]对账明细接口!$L$439),"")</f>
      </c>
      <c r="M439" s="16">
        <f>IFERROR(IF([2]对账明细接口!$M$439=0,"",[2]对账明细接口!$M$439),"")</f>
      </c>
      <c r="N439" s="19">
        <f>IF($C439="",0,1)</f>
        <v>0</v>
      </c>
      <c r="O439" s="19">
        <f>N(O438)+$N439</f>
        <v>272</v>
      </c>
      <c r="S439" s="20">
        <f>IFERROR(IF([2]对账明细接口!$N439=0,"",[2]对账明细接口!$N439),"")</f>
      </c>
      <c r="T439" s="212">
        <f>IFERROR(IF([2]对账明细接口!$O439=0,"",[2]对账明细接口!$O439),"")</f>
      </c>
      <c r="U439" s="212">
        <f>IFERROR(IF([2]对账明细接口!$P439=0,"",[2]对账明细接口!$P439),"")</f>
      </c>
      <c r="V439" s="212">
        <f>IFERROR(IF([2]对账明细接口!$Q439=0,"",[2]对账明细接口!$Q439),"")</f>
      </c>
      <c r="W439" s="20">
        <f>IFERROR(IF([2]对账明细接口!$R439=0,"",[2]对账明细接口!$R439),"")</f>
      </c>
      <c r="X439" s="20">
        <f>IFERROR(IF([2]对账明细接口!$S439=0,"",[2]对账明细接口!$S439),"")</f>
      </c>
      <c r="Y439" s="20">
        <f>""</f>
      </c>
      <c r="Z439" s="20">
        <f>""</f>
      </c>
      <c r="AA439" s="20">
        <f>""</f>
      </c>
      <c r="AB439" s="20">
        <f>""</f>
      </c>
    </row>
    <row r="440" s="127">
      <c r="A440" s="14" t="n">
        <v>440</v>
      </c>
      <c r="B440" s="211">
        <f>IFERROR(IF([2]对账明细接口!$B$440=0,"",[2]对账明细接口!$B$440),"")</f>
      </c>
      <c r="C440" s="16">
        <f>IFERROR(IF([2]对账明细接口!$C$440=0,"",[2]对账明细接口!$C$440),"")</f>
      </c>
      <c r="D440" s="16">
        <f>IFERROR(IF([2]对账明细接口!$D$440=0,"",[2]对账明细接口!$D$440),"")</f>
      </c>
      <c r="E440" s="16">
        <f>IFERROR(IF([2]对账明细接口!$E$440=0,"",[2]对账明细接口!$E$440),"")</f>
      </c>
      <c r="F440" s="16">
        <f>IFERROR(IF([2]对账明细接口!$F$440=0,"",[2]对账明细接口!$F$440),"")</f>
      </c>
      <c r="G440" s="16">
        <f>IFERROR(IF([2]对账明细接口!$G$440=0,"",[2]对账明细接口!$G$440),"")</f>
      </c>
      <c r="H440" s="176">
        <f>IFERROR(IF([2]对账明细接口!$H$440=0,"",[2]对账明细接口!$H$440),"")</f>
      </c>
      <c r="I440" s="16">
        <f>IFERROR(IF([2]对账明细接口!$I$440=0,"",[2]对账明细接口!$I$440),"")</f>
      </c>
      <c r="J440" s="177">
        <f>IFERROR(IF([2]对账明细接口!$J$440=0,"",[2]对账明细接口!$J$440),"")</f>
      </c>
      <c r="K440" s="177">
        <f>IFERROR(IF([2]对账明细接口!$K$440=0,"",[2]对账明细接口!$K$440),"")</f>
      </c>
      <c r="L440" s="16">
        <f>IFERROR(IF([2]对账明细接口!$L$440=0,"",[2]对账明细接口!$L$440),"")</f>
      </c>
      <c r="M440" s="16">
        <f>IFERROR(IF([2]对账明细接口!$M$440=0,"",[2]对账明细接口!$M$440),"")</f>
      </c>
      <c r="N440" s="19">
        <f>IF($C440="",0,1)</f>
        <v>0</v>
      </c>
      <c r="O440" s="19">
        <f>N(O439)+$N440</f>
        <v>272</v>
      </c>
      <c r="S440" s="20">
        <f>IFERROR(IF([2]对账明细接口!$N440=0,"",[2]对账明细接口!$N440),"")</f>
      </c>
      <c r="T440" s="212">
        <f>IFERROR(IF([2]对账明细接口!$O440=0,"",[2]对账明细接口!$O440),"")</f>
      </c>
      <c r="U440" s="212">
        <f>IFERROR(IF([2]对账明细接口!$P440=0,"",[2]对账明细接口!$P440),"")</f>
      </c>
      <c r="V440" s="212">
        <f>IFERROR(IF([2]对账明细接口!$Q440=0,"",[2]对账明细接口!$Q440),"")</f>
      </c>
      <c r="W440" s="20">
        <f>IFERROR(IF([2]对账明细接口!$R440=0,"",[2]对账明细接口!$R440),"")</f>
      </c>
      <c r="X440" s="20">
        <f>IFERROR(IF([2]对账明细接口!$S440=0,"",[2]对账明细接口!$S440),"")</f>
      </c>
      <c r="Y440" s="20">
        <f>""</f>
      </c>
      <c r="Z440" s="20">
        <f>""</f>
      </c>
      <c r="AA440" s="20">
        <f>""</f>
      </c>
      <c r="AB440" s="20">
        <f>""</f>
      </c>
    </row>
    <row r="441" s="127">
      <c r="A441" s="14" t="n">
        <v>441</v>
      </c>
      <c r="B441" s="211">
        <f>IFERROR(IF([2]对账明细接口!$B$441=0,"",[2]对账明细接口!$B$441),"")</f>
      </c>
      <c r="C441" s="16">
        <f>IFERROR(IF([2]对账明细接口!$C$441=0,"",[2]对账明细接口!$C$441),"")</f>
      </c>
      <c r="D441" s="16">
        <f>IFERROR(IF([2]对账明细接口!$D$441=0,"",[2]对账明细接口!$D$441),"")</f>
      </c>
      <c r="E441" s="16">
        <f>IFERROR(IF([2]对账明细接口!$E$441=0,"",[2]对账明细接口!$E$441),"")</f>
      </c>
      <c r="F441" s="16">
        <f>IFERROR(IF([2]对账明细接口!$F$441=0,"",[2]对账明细接口!$F$441),"")</f>
      </c>
      <c r="G441" s="16">
        <f>IFERROR(IF([2]对账明细接口!$G$441=0,"",[2]对账明细接口!$G$441),"")</f>
      </c>
      <c r="H441" s="176">
        <f>IFERROR(IF([2]对账明细接口!$H$441=0,"",[2]对账明细接口!$H$441),"")</f>
      </c>
      <c r="I441" s="16">
        <f>IFERROR(IF([2]对账明细接口!$I$441=0,"",[2]对账明细接口!$I$441),"")</f>
      </c>
      <c r="J441" s="177">
        <f>IFERROR(IF([2]对账明细接口!$J$441=0,"",[2]对账明细接口!$J$441),"")</f>
      </c>
      <c r="K441" s="177">
        <f>IFERROR(IF([2]对账明细接口!$K$441=0,"",[2]对账明细接口!$K$441),"")</f>
      </c>
      <c r="L441" s="16">
        <f>IFERROR(IF([2]对账明细接口!$L$441=0,"",[2]对账明细接口!$L$441),"")</f>
      </c>
      <c r="M441" s="16">
        <f>IFERROR(IF([2]对账明细接口!$M$441=0,"",[2]对账明细接口!$M$441),"")</f>
      </c>
      <c r="N441" s="19">
        <f>IF($C441="",0,1)</f>
        <v>0</v>
      </c>
      <c r="O441" s="19">
        <f>N(O440)+$N441</f>
        <v>272</v>
      </c>
      <c r="S441" s="20">
        <f>IFERROR(IF([2]对账明细接口!$N441=0,"",[2]对账明细接口!$N441),"")</f>
      </c>
      <c r="T441" s="212">
        <f>IFERROR(IF([2]对账明细接口!$O441=0,"",[2]对账明细接口!$O441),"")</f>
      </c>
      <c r="U441" s="212">
        <f>IFERROR(IF([2]对账明细接口!$P441=0,"",[2]对账明细接口!$P441),"")</f>
      </c>
      <c r="V441" s="212">
        <f>IFERROR(IF([2]对账明细接口!$Q441=0,"",[2]对账明细接口!$Q441),"")</f>
      </c>
      <c r="W441" s="20">
        <f>IFERROR(IF([2]对账明细接口!$R441=0,"",[2]对账明细接口!$R441),"")</f>
      </c>
      <c r="X441" s="20">
        <f>IFERROR(IF([2]对账明细接口!$S441=0,"",[2]对账明细接口!$S441),"")</f>
      </c>
      <c r="Y441" s="20">
        <f>""</f>
      </c>
      <c r="Z441" s="20">
        <f>""</f>
      </c>
      <c r="AA441" s="20">
        <f>""</f>
      </c>
      <c r="AB441" s="20">
        <f>""</f>
      </c>
    </row>
    <row r="442" s="127">
      <c r="A442" s="14" t="n">
        <v>442</v>
      </c>
      <c r="B442" s="211">
        <f>IFERROR(IF([2]对账明细接口!$B$442=0,"",[2]对账明细接口!$B$442),"")</f>
      </c>
      <c r="C442" s="16">
        <f>IFERROR(IF([2]对账明细接口!$C$442=0,"",[2]对账明细接口!$C$442),"")</f>
      </c>
      <c r="D442" s="16">
        <f>IFERROR(IF([2]对账明细接口!$D$442=0,"",[2]对账明细接口!$D$442),"")</f>
      </c>
      <c r="E442" s="16">
        <f>IFERROR(IF([2]对账明细接口!$E$442=0,"",[2]对账明细接口!$E$442),"")</f>
      </c>
      <c r="F442" s="16">
        <f>IFERROR(IF([2]对账明细接口!$F$442=0,"",[2]对账明细接口!$F$442),"")</f>
      </c>
      <c r="G442" s="16">
        <f>IFERROR(IF([2]对账明细接口!$G$442=0,"",[2]对账明细接口!$G$442),"")</f>
      </c>
      <c r="H442" s="176">
        <f>IFERROR(IF([2]对账明细接口!$H$442=0,"",[2]对账明细接口!$H$442),"")</f>
      </c>
      <c r="I442" s="16">
        <f>IFERROR(IF([2]对账明细接口!$I$442=0,"",[2]对账明细接口!$I$442),"")</f>
      </c>
      <c r="J442" s="177">
        <f>IFERROR(IF([2]对账明细接口!$J$442=0,"",[2]对账明细接口!$J$442),"")</f>
      </c>
      <c r="K442" s="177">
        <f>IFERROR(IF([2]对账明细接口!$K$442=0,"",[2]对账明细接口!$K$442),"")</f>
      </c>
      <c r="L442" s="16">
        <f>IFERROR(IF([2]对账明细接口!$L$442=0,"",[2]对账明细接口!$L$442),"")</f>
      </c>
      <c r="M442" s="16">
        <f>IFERROR(IF([2]对账明细接口!$M$442=0,"",[2]对账明细接口!$M$442),"")</f>
      </c>
      <c r="N442" s="19">
        <f>IF($C442="",0,1)</f>
        <v>0</v>
      </c>
      <c r="O442" s="19">
        <f>N(O441)+$N442</f>
        <v>272</v>
      </c>
      <c r="S442" s="20">
        <f>IFERROR(IF([2]对账明细接口!$N442=0,"",[2]对账明细接口!$N442),"")</f>
      </c>
      <c r="T442" s="212">
        <f>IFERROR(IF([2]对账明细接口!$O442=0,"",[2]对账明细接口!$O442),"")</f>
      </c>
      <c r="U442" s="212">
        <f>IFERROR(IF([2]对账明细接口!$P442=0,"",[2]对账明细接口!$P442),"")</f>
      </c>
      <c r="V442" s="212">
        <f>IFERROR(IF([2]对账明细接口!$Q442=0,"",[2]对账明细接口!$Q442),"")</f>
      </c>
      <c r="W442" s="20">
        <f>IFERROR(IF([2]对账明细接口!$R442=0,"",[2]对账明细接口!$R442),"")</f>
      </c>
      <c r="X442" s="20">
        <f>IFERROR(IF([2]对账明细接口!$S442=0,"",[2]对账明细接口!$S442),"")</f>
      </c>
      <c r="Y442" s="20">
        <f>""</f>
      </c>
      <c r="Z442" s="20">
        <f>""</f>
      </c>
      <c r="AA442" s="20">
        <f>""</f>
      </c>
      <c r="AB442" s="20">
        <f>""</f>
      </c>
    </row>
    <row r="443" s="127">
      <c r="A443" s="14" t="n">
        <v>443</v>
      </c>
      <c r="B443" s="211">
        <f>IFERROR(IF([2]对账明细接口!$B$443=0,"",[2]对账明细接口!$B$443),"")</f>
      </c>
      <c r="C443" s="16">
        <f>IFERROR(IF([2]对账明细接口!$C$443=0,"",[2]对账明细接口!$C$443),"")</f>
      </c>
      <c r="D443" s="16">
        <f>IFERROR(IF([2]对账明细接口!$D$443=0,"",[2]对账明细接口!$D$443),"")</f>
      </c>
      <c r="E443" s="16">
        <f>IFERROR(IF([2]对账明细接口!$E$443=0,"",[2]对账明细接口!$E$443),"")</f>
      </c>
      <c r="F443" s="16">
        <f>IFERROR(IF([2]对账明细接口!$F$443=0,"",[2]对账明细接口!$F$443),"")</f>
      </c>
      <c r="G443" s="16">
        <f>IFERROR(IF([2]对账明细接口!$G$443=0,"",[2]对账明细接口!$G$443),"")</f>
      </c>
      <c r="H443" s="176">
        <f>IFERROR(IF([2]对账明细接口!$H$443=0,"",[2]对账明细接口!$H$443),"")</f>
      </c>
      <c r="I443" s="16">
        <f>IFERROR(IF([2]对账明细接口!$I$443=0,"",[2]对账明细接口!$I$443),"")</f>
      </c>
      <c r="J443" s="177">
        <f>IFERROR(IF([2]对账明细接口!$J$443=0,"",[2]对账明细接口!$J$443),"")</f>
      </c>
      <c r="K443" s="177">
        <f>IFERROR(IF([2]对账明细接口!$K$443=0,"",[2]对账明细接口!$K$443),"")</f>
      </c>
      <c r="L443" s="16">
        <f>IFERROR(IF([2]对账明细接口!$L$443=0,"",[2]对账明细接口!$L$443),"")</f>
      </c>
      <c r="M443" s="16">
        <f>IFERROR(IF([2]对账明细接口!$M$443=0,"",[2]对账明细接口!$M$443),"")</f>
      </c>
      <c r="N443" s="19">
        <f>IF($C443="",0,1)</f>
        <v>0</v>
      </c>
      <c r="O443" s="19">
        <f>N(O442)+$N443</f>
        <v>272</v>
      </c>
      <c r="S443" s="20">
        <f>IFERROR(IF([2]对账明细接口!$N443=0,"",[2]对账明细接口!$N443),"")</f>
      </c>
      <c r="T443" s="212">
        <f>IFERROR(IF([2]对账明细接口!$O443=0,"",[2]对账明细接口!$O443),"")</f>
      </c>
      <c r="U443" s="212">
        <f>IFERROR(IF([2]对账明细接口!$P443=0,"",[2]对账明细接口!$P443),"")</f>
      </c>
      <c r="V443" s="212">
        <f>IFERROR(IF([2]对账明细接口!$Q443=0,"",[2]对账明细接口!$Q443),"")</f>
      </c>
      <c r="W443" s="20">
        <f>IFERROR(IF([2]对账明细接口!$R443=0,"",[2]对账明细接口!$R443),"")</f>
      </c>
      <c r="X443" s="20">
        <f>IFERROR(IF([2]对账明细接口!$S443=0,"",[2]对账明细接口!$S443),"")</f>
      </c>
      <c r="Y443" s="20">
        <f>""</f>
      </c>
      <c r="Z443" s="20">
        <f>""</f>
      </c>
      <c r="AA443" s="20">
        <f>""</f>
      </c>
      <c r="AB443" s="20">
        <f>""</f>
      </c>
    </row>
    <row r="444" s="127">
      <c r="A444" s="14" t="n">
        <v>444</v>
      </c>
      <c r="B444" s="211">
        <f>IFERROR(IF([2]对账明细接口!$B$444=0,"",[2]对账明细接口!$B$444),"")</f>
      </c>
      <c r="C444" s="16">
        <f>IFERROR(IF([2]对账明细接口!$C$444=0,"",[2]对账明细接口!$C$444),"")</f>
      </c>
      <c r="D444" s="16">
        <f>IFERROR(IF([2]对账明细接口!$D$444=0,"",[2]对账明细接口!$D$444),"")</f>
      </c>
      <c r="E444" s="16">
        <f>IFERROR(IF([2]对账明细接口!$E$444=0,"",[2]对账明细接口!$E$444),"")</f>
      </c>
      <c r="F444" s="16">
        <f>IFERROR(IF([2]对账明细接口!$F$444=0,"",[2]对账明细接口!$F$444),"")</f>
      </c>
      <c r="G444" s="16">
        <f>IFERROR(IF([2]对账明细接口!$G$444=0,"",[2]对账明细接口!$G$444),"")</f>
      </c>
      <c r="H444" s="176">
        <f>IFERROR(IF([2]对账明细接口!$H$444=0,"",[2]对账明细接口!$H$444),"")</f>
      </c>
      <c r="I444" s="16">
        <f>IFERROR(IF([2]对账明细接口!$I$444=0,"",[2]对账明细接口!$I$444),"")</f>
      </c>
      <c r="J444" s="177">
        <f>IFERROR(IF([2]对账明细接口!$J$444=0,"",[2]对账明细接口!$J$444),"")</f>
      </c>
      <c r="K444" s="177">
        <f>IFERROR(IF([2]对账明细接口!$K$444=0,"",[2]对账明细接口!$K$444),"")</f>
      </c>
      <c r="L444" s="16">
        <f>IFERROR(IF([2]对账明细接口!$L$444=0,"",[2]对账明细接口!$L$444),"")</f>
      </c>
      <c r="M444" s="16">
        <f>IFERROR(IF([2]对账明细接口!$M$444=0,"",[2]对账明细接口!$M$444),"")</f>
      </c>
      <c r="N444" s="19">
        <f>IF($C444="",0,1)</f>
        <v>0</v>
      </c>
      <c r="O444" s="19">
        <f>N(O443)+$N444</f>
        <v>272</v>
      </c>
      <c r="S444" s="20">
        <f>IFERROR(IF([2]对账明细接口!$N444=0,"",[2]对账明细接口!$N444),"")</f>
      </c>
      <c r="T444" s="212">
        <f>IFERROR(IF([2]对账明细接口!$O444=0,"",[2]对账明细接口!$O444),"")</f>
      </c>
      <c r="U444" s="212">
        <f>IFERROR(IF([2]对账明细接口!$P444=0,"",[2]对账明细接口!$P444),"")</f>
      </c>
      <c r="V444" s="212">
        <f>IFERROR(IF([2]对账明细接口!$Q444=0,"",[2]对账明细接口!$Q444),"")</f>
      </c>
      <c r="W444" s="20">
        <f>IFERROR(IF([2]对账明细接口!$R444=0,"",[2]对账明细接口!$R444),"")</f>
      </c>
      <c r="X444" s="20">
        <f>IFERROR(IF([2]对账明细接口!$S444=0,"",[2]对账明细接口!$S444),"")</f>
      </c>
      <c r="Y444" s="20">
        <f>""</f>
      </c>
      <c r="Z444" s="20">
        <f>""</f>
      </c>
      <c r="AA444" s="20">
        <f>""</f>
      </c>
      <c r="AB444" s="20">
        <f>""</f>
      </c>
    </row>
    <row r="445" s="127">
      <c r="A445" s="14" t="n">
        <v>445</v>
      </c>
      <c r="B445" s="211">
        <f>IFERROR(IF([2]对账明细接口!$B$445=0,"",[2]对账明细接口!$B$445),"")</f>
      </c>
      <c r="C445" s="16">
        <f>IFERROR(IF([2]对账明细接口!$C$445=0,"",[2]对账明细接口!$C$445),"")</f>
      </c>
      <c r="D445" s="16">
        <f>IFERROR(IF([2]对账明细接口!$D$445=0,"",[2]对账明细接口!$D$445),"")</f>
      </c>
      <c r="E445" s="16">
        <f>IFERROR(IF([2]对账明细接口!$E$445=0,"",[2]对账明细接口!$E$445),"")</f>
      </c>
      <c r="F445" s="16">
        <f>IFERROR(IF([2]对账明细接口!$F$445=0,"",[2]对账明细接口!$F$445),"")</f>
      </c>
      <c r="G445" s="16">
        <f>IFERROR(IF([2]对账明细接口!$G$445=0,"",[2]对账明细接口!$G$445),"")</f>
      </c>
      <c r="H445" s="176">
        <f>IFERROR(IF([2]对账明细接口!$H$445=0,"",[2]对账明细接口!$H$445),"")</f>
      </c>
      <c r="I445" s="16">
        <f>IFERROR(IF([2]对账明细接口!$I$445=0,"",[2]对账明细接口!$I$445),"")</f>
      </c>
      <c r="J445" s="177">
        <f>IFERROR(IF([2]对账明细接口!$J$445=0,"",[2]对账明细接口!$J$445),"")</f>
      </c>
      <c r="K445" s="177">
        <f>IFERROR(IF([2]对账明细接口!$K$445=0,"",[2]对账明细接口!$K$445),"")</f>
      </c>
      <c r="L445" s="16">
        <f>IFERROR(IF([2]对账明细接口!$L$445=0,"",[2]对账明细接口!$L$445),"")</f>
      </c>
      <c r="M445" s="16">
        <f>IFERROR(IF([2]对账明细接口!$M$445=0,"",[2]对账明细接口!$M$445),"")</f>
      </c>
      <c r="N445" s="19">
        <f>IF($C445="",0,1)</f>
        <v>0</v>
      </c>
      <c r="O445" s="19">
        <f>N(O444)+$N445</f>
        <v>272</v>
      </c>
      <c r="S445" s="20">
        <f>IFERROR(IF([2]对账明细接口!$N445=0,"",[2]对账明细接口!$N445),"")</f>
      </c>
      <c r="T445" s="212">
        <f>IFERROR(IF([2]对账明细接口!$O445=0,"",[2]对账明细接口!$O445),"")</f>
      </c>
      <c r="U445" s="212">
        <f>IFERROR(IF([2]对账明细接口!$P445=0,"",[2]对账明细接口!$P445),"")</f>
      </c>
      <c r="V445" s="212">
        <f>IFERROR(IF([2]对账明细接口!$Q445=0,"",[2]对账明细接口!$Q445),"")</f>
      </c>
      <c r="W445" s="20">
        <f>IFERROR(IF([2]对账明细接口!$R445=0,"",[2]对账明细接口!$R445),"")</f>
      </c>
      <c r="X445" s="20">
        <f>IFERROR(IF([2]对账明细接口!$S445=0,"",[2]对账明细接口!$S445),"")</f>
      </c>
      <c r="Y445" s="20">
        <f>""</f>
      </c>
      <c r="Z445" s="20">
        <f>""</f>
      </c>
      <c r="AA445" s="20">
        <f>""</f>
      </c>
      <c r="AB445" s="20">
        <f>""</f>
      </c>
    </row>
    <row r="446" s="127">
      <c r="A446" s="14" t="n">
        <v>446</v>
      </c>
      <c r="B446" s="211">
        <f>IFERROR(IF([2]对账明细接口!$B$446=0,"",[2]对账明细接口!$B$446),"")</f>
      </c>
      <c r="C446" s="16">
        <f>IFERROR(IF([2]对账明细接口!$C$446=0,"",[2]对账明细接口!$C$446),"")</f>
      </c>
      <c r="D446" s="16">
        <f>IFERROR(IF([2]对账明细接口!$D$446=0,"",[2]对账明细接口!$D$446),"")</f>
      </c>
      <c r="E446" s="16">
        <f>IFERROR(IF([2]对账明细接口!$E$446=0,"",[2]对账明细接口!$E$446),"")</f>
      </c>
      <c r="F446" s="16">
        <f>IFERROR(IF([2]对账明细接口!$F$446=0,"",[2]对账明细接口!$F$446),"")</f>
      </c>
      <c r="G446" s="16">
        <f>IFERROR(IF([2]对账明细接口!$G$446=0,"",[2]对账明细接口!$G$446),"")</f>
      </c>
      <c r="H446" s="176">
        <f>IFERROR(IF([2]对账明细接口!$H$446=0,"",[2]对账明细接口!$H$446),"")</f>
      </c>
      <c r="I446" s="16">
        <f>IFERROR(IF([2]对账明细接口!$I$446=0,"",[2]对账明细接口!$I$446),"")</f>
      </c>
      <c r="J446" s="177">
        <f>IFERROR(IF([2]对账明细接口!$J$446=0,"",[2]对账明细接口!$J$446),"")</f>
      </c>
      <c r="K446" s="177">
        <f>IFERROR(IF([2]对账明细接口!$K$446=0,"",[2]对账明细接口!$K$446),"")</f>
      </c>
      <c r="L446" s="16">
        <f>IFERROR(IF([2]对账明细接口!$L$446=0,"",[2]对账明细接口!$L$446),"")</f>
      </c>
      <c r="M446" s="16">
        <f>IFERROR(IF([2]对账明细接口!$M$446=0,"",[2]对账明细接口!$M$446),"")</f>
      </c>
      <c r="N446" s="19">
        <f>IF($C446="",0,1)</f>
        <v>0</v>
      </c>
      <c r="O446" s="19">
        <f>N(O445)+$N446</f>
        <v>272</v>
      </c>
      <c r="S446" s="20">
        <f>IFERROR(IF([2]对账明细接口!$N446=0,"",[2]对账明细接口!$N446),"")</f>
      </c>
      <c r="T446" s="212">
        <f>IFERROR(IF([2]对账明细接口!$O446=0,"",[2]对账明细接口!$O446),"")</f>
      </c>
      <c r="U446" s="212">
        <f>IFERROR(IF([2]对账明细接口!$P446=0,"",[2]对账明细接口!$P446),"")</f>
      </c>
      <c r="V446" s="212">
        <f>IFERROR(IF([2]对账明细接口!$Q446=0,"",[2]对账明细接口!$Q446),"")</f>
      </c>
      <c r="W446" s="20">
        <f>IFERROR(IF([2]对账明细接口!$R446=0,"",[2]对账明细接口!$R446),"")</f>
      </c>
      <c r="X446" s="20">
        <f>IFERROR(IF([2]对账明细接口!$S446=0,"",[2]对账明细接口!$S446),"")</f>
      </c>
      <c r="Y446" s="20">
        <f>""</f>
      </c>
      <c r="Z446" s="20">
        <f>""</f>
      </c>
      <c r="AA446" s="20">
        <f>""</f>
      </c>
      <c r="AB446" s="20">
        <f>""</f>
      </c>
    </row>
    <row r="447" s="127">
      <c r="A447" s="14" t="n">
        <v>447</v>
      </c>
      <c r="B447" s="211">
        <f>IFERROR(IF([2]对账明细接口!$B$447=0,"",[2]对账明细接口!$B$447),"")</f>
      </c>
      <c r="C447" s="16">
        <f>IFERROR(IF([2]对账明细接口!$C$447=0,"",[2]对账明细接口!$C$447),"")</f>
      </c>
      <c r="D447" s="16">
        <f>IFERROR(IF([2]对账明细接口!$D$447=0,"",[2]对账明细接口!$D$447),"")</f>
      </c>
      <c r="E447" s="16">
        <f>IFERROR(IF([2]对账明细接口!$E$447=0,"",[2]对账明细接口!$E$447),"")</f>
      </c>
      <c r="F447" s="16">
        <f>IFERROR(IF([2]对账明细接口!$F$447=0,"",[2]对账明细接口!$F$447),"")</f>
      </c>
      <c r="G447" s="16">
        <f>IFERROR(IF([2]对账明细接口!$G$447=0,"",[2]对账明细接口!$G$447),"")</f>
      </c>
      <c r="H447" s="176">
        <f>IFERROR(IF([2]对账明细接口!$H$447=0,"",[2]对账明细接口!$H$447),"")</f>
      </c>
      <c r="I447" s="16">
        <f>IFERROR(IF([2]对账明细接口!$I$447=0,"",[2]对账明细接口!$I$447),"")</f>
      </c>
      <c r="J447" s="177">
        <f>IFERROR(IF([2]对账明细接口!$J$447=0,"",[2]对账明细接口!$J$447),"")</f>
      </c>
      <c r="K447" s="177">
        <f>IFERROR(IF([2]对账明细接口!$K$447=0,"",[2]对账明细接口!$K$447),"")</f>
      </c>
      <c r="L447" s="16">
        <f>IFERROR(IF([2]对账明细接口!$L$447=0,"",[2]对账明细接口!$L$447),"")</f>
      </c>
      <c r="M447" s="16">
        <f>IFERROR(IF([2]对账明细接口!$M$447=0,"",[2]对账明细接口!$M$447),"")</f>
      </c>
      <c r="N447" s="19">
        <f>IF($C447="",0,1)</f>
        <v>0</v>
      </c>
      <c r="O447" s="19">
        <f>N(O446)+$N447</f>
        <v>272</v>
      </c>
      <c r="S447" s="20">
        <f>IFERROR(IF([2]对账明细接口!$N447=0,"",[2]对账明细接口!$N447),"")</f>
      </c>
      <c r="T447" s="212">
        <f>IFERROR(IF([2]对账明细接口!$O447=0,"",[2]对账明细接口!$O447),"")</f>
      </c>
      <c r="U447" s="212">
        <f>IFERROR(IF([2]对账明细接口!$P447=0,"",[2]对账明细接口!$P447),"")</f>
      </c>
      <c r="V447" s="212">
        <f>IFERROR(IF([2]对账明细接口!$Q447=0,"",[2]对账明细接口!$Q447),"")</f>
      </c>
      <c r="W447" s="20">
        <f>IFERROR(IF([2]对账明细接口!$R447=0,"",[2]对账明细接口!$R447),"")</f>
      </c>
      <c r="X447" s="20">
        <f>IFERROR(IF([2]对账明细接口!$S447=0,"",[2]对账明细接口!$S447),"")</f>
      </c>
      <c r="Y447" s="20">
        <f>""</f>
      </c>
      <c r="Z447" s="20">
        <f>""</f>
      </c>
      <c r="AA447" s="20">
        <f>""</f>
      </c>
      <c r="AB447" s="20">
        <f>""</f>
      </c>
    </row>
    <row r="448" s="127">
      <c r="A448" s="14" t="n">
        <v>448</v>
      </c>
      <c r="B448" s="211">
        <f>IFERROR(IF([2]对账明细接口!$B$448=0,"",[2]对账明细接口!$B$448),"")</f>
      </c>
      <c r="C448" s="16">
        <f>IFERROR(IF([2]对账明细接口!$C$448=0,"",[2]对账明细接口!$C$448),"")</f>
      </c>
      <c r="D448" s="16">
        <f>IFERROR(IF([2]对账明细接口!$D$448=0,"",[2]对账明细接口!$D$448),"")</f>
      </c>
      <c r="E448" s="16">
        <f>IFERROR(IF([2]对账明细接口!$E$448=0,"",[2]对账明细接口!$E$448),"")</f>
      </c>
      <c r="F448" s="16">
        <f>IFERROR(IF([2]对账明细接口!$F$448=0,"",[2]对账明细接口!$F$448),"")</f>
      </c>
      <c r="G448" s="16">
        <f>IFERROR(IF([2]对账明细接口!$G$448=0,"",[2]对账明细接口!$G$448),"")</f>
      </c>
      <c r="H448" s="176">
        <f>IFERROR(IF([2]对账明细接口!$H$448=0,"",[2]对账明细接口!$H$448),"")</f>
      </c>
      <c r="I448" s="16">
        <f>IFERROR(IF([2]对账明细接口!$I$448=0,"",[2]对账明细接口!$I$448),"")</f>
      </c>
      <c r="J448" s="177">
        <f>IFERROR(IF([2]对账明细接口!$J$448=0,"",[2]对账明细接口!$J$448),"")</f>
      </c>
      <c r="K448" s="177">
        <f>IFERROR(IF([2]对账明细接口!$K$448=0,"",[2]对账明细接口!$K$448),"")</f>
      </c>
      <c r="L448" s="16">
        <f>IFERROR(IF([2]对账明细接口!$L$448=0,"",[2]对账明细接口!$L$448),"")</f>
      </c>
      <c r="M448" s="16">
        <f>IFERROR(IF([2]对账明细接口!$M$448=0,"",[2]对账明细接口!$M$448),"")</f>
      </c>
      <c r="N448" s="19">
        <f>IF($C448="",0,1)</f>
        <v>0</v>
      </c>
      <c r="O448" s="19">
        <f>N(O447)+$N448</f>
        <v>272</v>
      </c>
      <c r="S448" s="20">
        <f>IFERROR(IF([2]对账明细接口!$N448=0,"",[2]对账明细接口!$N448),"")</f>
      </c>
      <c r="T448" s="212">
        <f>IFERROR(IF([2]对账明细接口!$O448=0,"",[2]对账明细接口!$O448),"")</f>
      </c>
      <c r="U448" s="212">
        <f>IFERROR(IF([2]对账明细接口!$P448=0,"",[2]对账明细接口!$P448),"")</f>
      </c>
      <c r="V448" s="212">
        <f>IFERROR(IF([2]对账明细接口!$Q448=0,"",[2]对账明细接口!$Q448),"")</f>
      </c>
      <c r="W448" s="20">
        <f>IFERROR(IF([2]对账明细接口!$R448=0,"",[2]对账明细接口!$R448),"")</f>
      </c>
      <c r="X448" s="20">
        <f>IFERROR(IF([2]对账明细接口!$S448=0,"",[2]对账明细接口!$S448),"")</f>
      </c>
      <c r="Y448" s="20">
        <f>""</f>
      </c>
      <c r="Z448" s="20">
        <f>""</f>
      </c>
      <c r="AA448" s="20">
        <f>""</f>
      </c>
      <c r="AB448" s="20">
        <f>""</f>
      </c>
    </row>
    <row r="449" s="127">
      <c r="A449" s="14" t="n">
        <v>449</v>
      </c>
      <c r="B449" s="211">
        <f>IFERROR(IF([2]对账明细接口!$B$449=0,"",[2]对账明细接口!$B$449),"")</f>
      </c>
      <c r="C449" s="16">
        <f>IFERROR(IF([2]对账明细接口!$C$449=0,"",[2]对账明细接口!$C$449),"")</f>
      </c>
      <c r="D449" s="16">
        <f>IFERROR(IF([2]对账明细接口!$D$449=0,"",[2]对账明细接口!$D$449),"")</f>
      </c>
      <c r="E449" s="16">
        <f>IFERROR(IF([2]对账明细接口!$E$449=0,"",[2]对账明细接口!$E$449),"")</f>
      </c>
      <c r="F449" s="16">
        <f>IFERROR(IF([2]对账明细接口!$F$449=0,"",[2]对账明细接口!$F$449),"")</f>
      </c>
      <c r="G449" s="16">
        <f>IFERROR(IF([2]对账明细接口!$G$449=0,"",[2]对账明细接口!$G$449),"")</f>
      </c>
      <c r="H449" s="176">
        <f>IFERROR(IF([2]对账明细接口!$H$449=0,"",[2]对账明细接口!$H$449),"")</f>
      </c>
      <c r="I449" s="16">
        <f>IFERROR(IF([2]对账明细接口!$I$449=0,"",[2]对账明细接口!$I$449),"")</f>
      </c>
      <c r="J449" s="177">
        <f>IFERROR(IF([2]对账明细接口!$J$449=0,"",[2]对账明细接口!$J$449),"")</f>
      </c>
      <c r="K449" s="177">
        <f>IFERROR(IF([2]对账明细接口!$K$449=0,"",[2]对账明细接口!$K$449),"")</f>
      </c>
      <c r="L449" s="16">
        <f>IFERROR(IF([2]对账明细接口!$L$449=0,"",[2]对账明细接口!$L$449),"")</f>
      </c>
      <c r="M449" s="16">
        <f>IFERROR(IF([2]对账明细接口!$M$449=0,"",[2]对账明细接口!$M$449),"")</f>
      </c>
      <c r="N449" s="19">
        <f>IF($C449="",0,1)</f>
        <v>0</v>
      </c>
      <c r="O449" s="19">
        <f>N(O448)+$N449</f>
        <v>272</v>
      </c>
      <c r="S449" s="20">
        <f>IFERROR(IF([2]对账明细接口!$N449=0,"",[2]对账明细接口!$N449),"")</f>
      </c>
      <c r="T449" s="212">
        <f>IFERROR(IF([2]对账明细接口!$O449=0,"",[2]对账明细接口!$O449),"")</f>
      </c>
      <c r="U449" s="212">
        <f>IFERROR(IF([2]对账明细接口!$P449=0,"",[2]对账明细接口!$P449),"")</f>
      </c>
      <c r="V449" s="212">
        <f>IFERROR(IF([2]对账明细接口!$Q449=0,"",[2]对账明细接口!$Q449),"")</f>
      </c>
      <c r="W449" s="20">
        <f>IFERROR(IF([2]对账明细接口!$R449=0,"",[2]对账明细接口!$R449),"")</f>
      </c>
      <c r="X449" s="20">
        <f>IFERROR(IF([2]对账明细接口!$S449=0,"",[2]对账明细接口!$S449),"")</f>
      </c>
      <c r="Y449" s="20">
        <f>""</f>
      </c>
      <c r="Z449" s="20">
        <f>""</f>
      </c>
      <c r="AA449" s="20">
        <f>""</f>
      </c>
      <c r="AB449" s="20">
        <f>""</f>
      </c>
    </row>
    <row r="450" s="127">
      <c r="A450" s="14" t="n">
        <v>450</v>
      </c>
      <c r="B450" s="211">
        <f>IFERROR(IF([2]对账明细接口!$B$450=0,"",[2]对账明细接口!$B$450),"")</f>
      </c>
      <c r="C450" s="16">
        <f>IFERROR(IF([2]对账明细接口!$C$450=0,"",[2]对账明细接口!$C$450),"")</f>
      </c>
      <c r="D450" s="16">
        <f>IFERROR(IF([2]对账明细接口!$D$450=0,"",[2]对账明细接口!$D$450),"")</f>
      </c>
      <c r="E450" s="16">
        <f>IFERROR(IF([2]对账明细接口!$E$450=0,"",[2]对账明细接口!$E$450),"")</f>
      </c>
      <c r="F450" s="16">
        <f>IFERROR(IF([2]对账明细接口!$F$450=0,"",[2]对账明细接口!$F$450),"")</f>
      </c>
      <c r="G450" s="16">
        <f>IFERROR(IF([2]对账明细接口!$G$450=0,"",[2]对账明细接口!$G$450),"")</f>
      </c>
      <c r="H450" s="176">
        <f>IFERROR(IF([2]对账明细接口!$H$450=0,"",[2]对账明细接口!$H$450),"")</f>
      </c>
      <c r="I450" s="16">
        <f>IFERROR(IF([2]对账明细接口!$I$450=0,"",[2]对账明细接口!$I$450),"")</f>
      </c>
      <c r="J450" s="177">
        <f>IFERROR(IF([2]对账明细接口!$J$450=0,"",[2]对账明细接口!$J$450),"")</f>
      </c>
      <c r="K450" s="177">
        <f>IFERROR(IF([2]对账明细接口!$K$450=0,"",[2]对账明细接口!$K$450),"")</f>
      </c>
      <c r="L450" s="16">
        <f>IFERROR(IF([2]对账明细接口!$L$450=0,"",[2]对账明细接口!$L$450),"")</f>
      </c>
      <c r="M450" s="16">
        <f>IFERROR(IF([2]对账明细接口!$M$450=0,"",[2]对账明细接口!$M$450),"")</f>
      </c>
      <c r="N450" s="19">
        <f>IF($C450="",0,1)</f>
        <v>0</v>
      </c>
      <c r="O450" s="19">
        <f>N(O449)+$N450</f>
        <v>272</v>
      </c>
      <c r="S450" s="20">
        <f>IFERROR(IF([2]对账明细接口!$N450=0,"",[2]对账明细接口!$N450),"")</f>
      </c>
      <c r="T450" s="212">
        <f>IFERROR(IF([2]对账明细接口!$O450=0,"",[2]对账明细接口!$O450),"")</f>
      </c>
      <c r="U450" s="212">
        <f>IFERROR(IF([2]对账明细接口!$P450=0,"",[2]对账明细接口!$P450),"")</f>
      </c>
      <c r="V450" s="212">
        <f>IFERROR(IF([2]对账明细接口!$Q450=0,"",[2]对账明细接口!$Q450),"")</f>
      </c>
      <c r="W450" s="20">
        <f>IFERROR(IF([2]对账明细接口!$R450=0,"",[2]对账明细接口!$R450),"")</f>
      </c>
      <c r="X450" s="20">
        <f>IFERROR(IF([2]对账明细接口!$S450=0,"",[2]对账明细接口!$S450),"")</f>
      </c>
      <c r="Y450" s="20">
        <f>""</f>
      </c>
      <c r="Z450" s="20">
        <f>""</f>
      </c>
      <c r="AA450" s="20">
        <f>""</f>
      </c>
      <c r="AB450" s="20">
        <f>""</f>
      </c>
    </row>
    <row r="451" s="127">
      <c r="A451" s="14" t="n">
        <v>451</v>
      </c>
      <c r="B451" s="211">
        <f>IFERROR(IF([2]对账明细接口!$B$451=0,"",[2]对账明细接口!$B$451),"")</f>
      </c>
      <c r="C451" s="16">
        <f>IFERROR(IF([2]对账明细接口!$C$451=0,"",[2]对账明细接口!$C$451),"")</f>
      </c>
      <c r="D451" s="16">
        <f>IFERROR(IF([2]对账明细接口!$D$451=0,"",[2]对账明细接口!$D$451),"")</f>
      </c>
      <c r="E451" s="16">
        <f>IFERROR(IF([2]对账明细接口!$E$451=0,"",[2]对账明细接口!$E$451),"")</f>
      </c>
      <c r="F451" s="16">
        <f>IFERROR(IF([2]对账明细接口!$F$451=0,"",[2]对账明细接口!$F$451),"")</f>
      </c>
      <c r="G451" s="16">
        <f>IFERROR(IF([2]对账明细接口!$G$451=0,"",[2]对账明细接口!$G$451),"")</f>
      </c>
      <c r="H451" s="176">
        <f>IFERROR(IF([2]对账明细接口!$H$451=0,"",[2]对账明细接口!$H$451),"")</f>
      </c>
      <c r="I451" s="16">
        <f>IFERROR(IF([2]对账明细接口!$I$451=0,"",[2]对账明细接口!$I$451),"")</f>
      </c>
      <c r="J451" s="177">
        <f>IFERROR(IF([2]对账明细接口!$J$451=0,"",[2]对账明细接口!$J$451),"")</f>
      </c>
      <c r="K451" s="177">
        <f>IFERROR(IF([2]对账明细接口!$K$451=0,"",[2]对账明细接口!$K$451),"")</f>
      </c>
      <c r="L451" s="16">
        <f>IFERROR(IF([2]对账明细接口!$L$451=0,"",[2]对账明细接口!$L$451),"")</f>
      </c>
      <c r="M451" s="16">
        <f>IFERROR(IF([2]对账明细接口!$M$451=0,"",[2]对账明细接口!$M$451),"")</f>
      </c>
      <c r="N451" s="19">
        <f>IF($C451="",0,1)</f>
        <v>0</v>
      </c>
      <c r="O451" s="19">
        <f>N(O450)+$N451</f>
        <v>272</v>
      </c>
      <c r="S451" s="20">
        <f>IFERROR(IF([2]对账明细接口!$N451=0,"",[2]对账明细接口!$N451),"")</f>
      </c>
      <c r="T451" s="212">
        <f>IFERROR(IF([2]对账明细接口!$O451=0,"",[2]对账明细接口!$O451),"")</f>
      </c>
      <c r="U451" s="212">
        <f>IFERROR(IF([2]对账明细接口!$P451=0,"",[2]对账明细接口!$P451),"")</f>
      </c>
      <c r="V451" s="212">
        <f>IFERROR(IF([2]对账明细接口!$Q451=0,"",[2]对账明细接口!$Q451),"")</f>
      </c>
      <c r="W451" s="20">
        <f>IFERROR(IF([2]对账明细接口!$R451=0,"",[2]对账明细接口!$R451),"")</f>
      </c>
      <c r="X451" s="20">
        <f>IFERROR(IF([2]对账明细接口!$S451=0,"",[2]对账明细接口!$S451),"")</f>
      </c>
      <c r="Y451" s="20">
        <f>""</f>
      </c>
      <c r="Z451" s="20">
        <f>""</f>
      </c>
      <c r="AA451" s="20">
        <f>""</f>
      </c>
      <c r="AB451" s="20">
        <f>""</f>
      </c>
    </row>
    <row r="452" s="127">
      <c r="A452" s="14" t="n">
        <v>452</v>
      </c>
      <c r="B452" s="211">
        <f>IFERROR(IF([2]对账明细接口!$B$452=0,"",[2]对账明细接口!$B$452),"")</f>
      </c>
      <c r="C452" s="16">
        <f>IFERROR(IF([2]对账明细接口!$C$452=0,"",[2]对账明细接口!$C$452),"")</f>
      </c>
      <c r="D452" s="16">
        <f>IFERROR(IF([2]对账明细接口!$D$452=0,"",[2]对账明细接口!$D$452),"")</f>
      </c>
      <c r="E452" s="16">
        <f>IFERROR(IF([2]对账明细接口!$E$452=0,"",[2]对账明细接口!$E$452),"")</f>
      </c>
      <c r="F452" s="16">
        <f>IFERROR(IF([2]对账明细接口!$F$452=0,"",[2]对账明细接口!$F$452),"")</f>
      </c>
      <c r="G452" s="16">
        <f>IFERROR(IF([2]对账明细接口!$G$452=0,"",[2]对账明细接口!$G$452),"")</f>
      </c>
      <c r="H452" s="176">
        <f>IFERROR(IF([2]对账明细接口!$H$452=0,"",[2]对账明细接口!$H$452),"")</f>
      </c>
      <c r="I452" s="16">
        <f>IFERROR(IF([2]对账明细接口!$I$452=0,"",[2]对账明细接口!$I$452),"")</f>
      </c>
      <c r="J452" s="177">
        <f>IFERROR(IF([2]对账明细接口!$J$452=0,"",[2]对账明细接口!$J$452),"")</f>
      </c>
      <c r="K452" s="177">
        <f>IFERROR(IF([2]对账明细接口!$K$452=0,"",[2]对账明细接口!$K$452),"")</f>
      </c>
      <c r="L452" s="16">
        <f>IFERROR(IF([2]对账明细接口!$L$452=0,"",[2]对账明细接口!$L$452),"")</f>
      </c>
      <c r="M452" s="16">
        <f>IFERROR(IF([2]对账明细接口!$M$452=0,"",[2]对账明细接口!$M$452),"")</f>
      </c>
      <c r="N452" s="19">
        <f>IF($C452="",0,1)</f>
        <v>0</v>
      </c>
      <c r="O452" s="19">
        <f>N(O451)+$N452</f>
        <v>272</v>
      </c>
      <c r="S452" s="20">
        <f>IFERROR(IF([2]对账明细接口!$N452=0,"",[2]对账明细接口!$N452),"")</f>
      </c>
      <c r="T452" s="212">
        <f>IFERROR(IF([2]对账明细接口!$O452=0,"",[2]对账明细接口!$O452),"")</f>
      </c>
      <c r="U452" s="212">
        <f>IFERROR(IF([2]对账明细接口!$P452=0,"",[2]对账明细接口!$P452),"")</f>
      </c>
      <c r="V452" s="212">
        <f>IFERROR(IF([2]对账明细接口!$Q452=0,"",[2]对账明细接口!$Q452),"")</f>
      </c>
      <c r="W452" s="20">
        <f>IFERROR(IF([2]对账明细接口!$R452=0,"",[2]对账明细接口!$R452),"")</f>
      </c>
      <c r="X452" s="20">
        <f>IFERROR(IF([2]对账明细接口!$S452=0,"",[2]对账明细接口!$S452),"")</f>
      </c>
      <c r="Y452" s="20">
        <f>""</f>
      </c>
      <c r="Z452" s="20">
        <f>""</f>
      </c>
      <c r="AA452" s="20">
        <f>""</f>
      </c>
      <c r="AB452" s="20">
        <f>""</f>
      </c>
    </row>
    <row r="453" s="127">
      <c r="A453" s="14" t="n">
        <v>453</v>
      </c>
      <c r="B453" s="211">
        <f>IFERROR(IF([2]对账明细接口!$B$453=0,"",[2]对账明细接口!$B$453),"")</f>
      </c>
      <c r="C453" s="16">
        <f>IFERROR(IF([2]对账明细接口!$C$453=0,"",[2]对账明细接口!$C$453),"")</f>
      </c>
      <c r="D453" s="16">
        <f>IFERROR(IF([2]对账明细接口!$D$453=0,"",[2]对账明细接口!$D$453),"")</f>
      </c>
      <c r="E453" s="16">
        <f>IFERROR(IF([2]对账明细接口!$E$453=0,"",[2]对账明细接口!$E$453),"")</f>
      </c>
      <c r="F453" s="16">
        <f>IFERROR(IF([2]对账明细接口!$F$453=0,"",[2]对账明细接口!$F$453),"")</f>
      </c>
      <c r="G453" s="16">
        <f>IFERROR(IF([2]对账明细接口!$G$453=0,"",[2]对账明细接口!$G$453),"")</f>
      </c>
      <c r="H453" s="176">
        <f>IFERROR(IF([2]对账明细接口!$H$453=0,"",[2]对账明细接口!$H$453),"")</f>
      </c>
      <c r="I453" s="16">
        <f>IFERROR(IF([2]对账明细接口!$I$453=0,"",[2]对账明细接口!$I$453),"")</f>
      </c>
      <c r="J453" s="177">
        <f>IFERROR(IF([2]对账明细接口!$J$453=0,"",[2]对账明细接口!$J$453),"")</f>
      </c>
      <c r="K453" s="177">
        <f>IFERROR(IF([2]对账明细接口!$K$453=0,"",[2]对账明细接口!$K$453),"")</f>
      </c>
      <c r="L453" s="16">
        <f>IFERROR(IF([2]对账明细接口!$L$453=0,"",[2]对账明细接口!$L$453),"")</f>
      </c>
      <c r="M453" s="16">
        <f>IFERROR(IF([2]对账明细接口!$M$453=0,"",[2]对账明细接口!$M$453),"")</f>
      </c>
      <c r="N453" s="19">
        <f>IF($C453="",0,1)</f>
        <v>0</v>
      </c>
      <c r="O453" s="19">
        <f>N(O452)+$N453</f>
        <v>272</v>
      </c>
      <c r="S453" s="20">
        <f>IFERROR(IF([2]对账明细接口!$N453=0,"",[2]对账明细接口!$N453),"")</f>
      </c>
      <c r="T453" s="212">
        <f>IFERROR(IF([2]对账明细接口!$O453=0,"",[2]对账明细接口!$O453),"")</f>
      </c>
      <c r="U453" s="212">
        <f>IFERROR(IF([2]对账明细接口!$P453=0,"",[2]对账明细接口!$P453),"")</f>
      </c>
      <c r="V453" s="212">
        <f>IFERROR(IF([2]对账明细接口!$Q453=0,"",[2]对账明细接口!$Q453),"")</f>
      </c>
      <c r="W453" s="20">
        <f>IFERROR(IF([2]对账明细接口!$R453=0,"",[2]对账明细接口!$R453),"")</f>
      </c>
      <c r="X453" s="20">
        <f>IFERROR(IF([2]对账明细接口!$S453=0,"",[2]对账明细接口!$S453),"")</f>
      </c>
      <c r="Y453" s="20">
        <f>""</f>
      </c>
      <c r="Z453" s="20">
        <f>""</f>
      </c>
      <c r="AA453" s="20">
        <f>""</f>
      </c>
      <c r="AB453" s="20">
        <f>""</f>
      </c>
    </row>
    <row r="454" s="127">
      <c r="A454" s="14" t="n">
        <v>454</v>
      </c>
      <c r="B454" s="211">
        <f>IFERROR(IF([2]对账明细接口!$B$454=0,"",[2]对账明细接口!$B$454),"")</f>
      </c>
      <c r="C454" s="16">
        <f>IFERROR(IF([2]对账明细接口!$C$454=0,"",[2]对账明细接口!$C$454),"")</f>
      </c>
      <c r="D454" s="16">
        <f>IFERROR(IF([2]对账明细接口!$D$454=0,"",[2]对账明细接口!$D$454),"")</f>
      </c>
      <c r="E454" s="16">
        <f>IFERROR(IF([2]对账明细接口!$E$454=0,"",[2]对账明细接口!$E$454),"")</f>
      </c>
      <c r="F454" s="16">
        <f>IFERROR(IF([2]对账明细接口!$F$454=0,"",[2]对账明细接口!$F$454),"")</f>
      </c>
      <c r="G454" s="16">
        <f>IFERROR(IF([2]对账明细接口!$G$454=0,"",[2]对账明细接口!$G$454),"")</f>
      </c>
      <c r="H454" s="176">
        <f>IFERROR(IF([2]对账明细接口!$H$454=0,"",[2]对账明细接口!$H$454),"")</f>
      </c>
      <c r="I454" s="16">
        <f>IFERROR(IF([2]对账明细接口!$I$454=0,"",[2]对账明细接口!$I$454),"")</f>
      </c>
      <c r="J454" s="177">
        <f>IFERROR(IF([2]对账明细接口!$J$454=0,"",[2]对账明细接口!$J$454),"")</f>
      </c>
      <c r="K454" s="177">
        <f>IFERROR(IF([2]对账明细接口!$K$454=0,"",[2]对账明细接口!$K$454),"")</f>
      </c>
      <c r="L454" s="16">
        <f>IFERROR(IF([2]对账明细接口!$L$454=0,"",[2]对账明细接口!$L$454),"")</f>
      </c>
      <c r="M454" s="16">
        <f>IFERROR(IF([2]对账明细接口!$M$454=0,"",[2]对账明细接口!$M$454),"")</f>
      </c>
      <c r="N454" s="19">
        <f>IF($C454="",0,1)</f>
        <v>0</v>
      </c>
      <c r="O454" s="19">
        <f>N(O453)+$N454</f>
        <v>272</v>
      </c>
      <c r="S454" s="20">
        <f>IFERROR(IF([2]对账明细接口!$N454=0,"",[2]对账明细接口!$N454),"")</f>
      </c>
      <c r="T454" s="212">
        <f>IFERROR(IF([2]对账明细接口!$O454=0,"",[2]对账明细接口!$O454),"")</f>
      </c>
      <c r="U454" s="212">
        <f>IFERROR(IF([2]对账明细接口!$P454=0,"",[2]对账明细接口!$P454),"")</f>
      </c>
      <c r="V454" s="212">
        <f>IFERROR(IF([2]对账明细接口!$Q454=0,"",[2]对账明细接口!$Q454),"")</f>
      </c>
      <c r="W454" s="20">
        <f>IFERROR(IF([2]对账明细接口!$R454=0,"",[2]对账明细接口!$R454),"")</f>
      </c>
      <c r="X454" s="20">
        <f>IFERROR(IF([2]对账明细接口!$S454=0,"",[2]对账明细接口!$S454),"")</f>
      </c>
      <c r="Y454" s="20">
        <f>""</f>
      </c>
      <c r="Z454" s="20">
        <f>""</f>
      </c>
      <c r="AA454" s="20">
        <f>""</f>
      </c>
      <c r="AB454" s="20">
        <f>""</f>
      </c>
    </row>
    <row r="455" s="127">
      <c r="A455" s="14" t="n">
        <v>455</v>
      </c>
      <c r="B455" s="211">
        <f>IFERROR(IF([2]对账明细接口!$B$455=0,"",[2]对账明细接口!$B$455),"")</f>
      </c>
      <c r="C455" s="16">
        <f>IFERROR(IF([2]对账明细接口!$C$455=0,"",[2]对账明细接口!$C$455),"")</f>
      </c>
      <c r="D455" s="16">
        <f>IFERROR(IF([2]对账明细接口!$D$455=0,"",[2]对账明细接口!$D$455),"")</f>
      </c>
      <c r="E455" s="16">
        <f>IFERROR(IF([2]对账明细接口!$E$455=0,"",[2]对账明细接口!$E$455),"")</f>
      </c>
      <c r="F455" s="16">
        <f>IFERROR(IF([2]对账明细接口!$F$455=0,"",[2]对账明细接口!$F$455),"")</f>
      </c>
      <c r="G455" s="16">
        <f>IFERROR(IF([2]对账明细接口!$G$455=0,"",[2]对账明细接口!$G$455),"")</f>
      </c>
      <c r="H455" s="176">
        <f>IFERROR(IF([2]对账明细接口!$H$455=0,"",[2]对账明细接口!$H$455),"")</f>
      </c>
      <c r="I455" s="16">
        <f>IFERROR(IF([2]对账明细接口!$I$455=0,"",[2]对账明细接口!$I$455),"")</f>
      </c>
      <c r="J455" s="177">
        <f>IFERROR(IF([2]对账明细接口!$J$455=0,"",[2]对账明细接口!$J$455),"")</f>
      </c>
      <c r="K455" s="177">
        <f>IFERROR(IF([2]对账明细接口!$K$455=0,"",[2]对账明细接口!$K$455),"")</f>
      </c>
      <c r="L455" s="16">
        <f>IFERROR(IF([2]对账明细接口!$L$455=0,"",[2]对账明细接口!$L$455),"")</f>
      </c>
      <c r="M455" s="16">
        <f>IFERROR(IF([2]对账明细接口!$M$455=0,"",[2]对账明细接口!$M$455),"")</f>
      </c>
      <c r="N455" s="19">
        <f>IF($C455="",0,1)</f>
        <v>0</v>
      </c>
      <c r="O455" s="19">
        <f>N(O454)+$N455</f>
        <v>272</v>
      </c>
      <c r="S455" s="20">
        <f>IFERROR(IF([2]对账明细接口!$N455=0,"",[2]对账明细接口!$N455),"")</f>
      </c>
      <c r="T455" s="212">
        <f>IFERROR(IF([2]对账明细接口!$O455=0,"",[2]对账明细接口!$O455),"")</f>
      </c>
      <c r="U455" s="212">
        <f>IFERROR(IF([2]对账明细接口!$P455=0,"",[2]对账明细接口!$P455),"")</f>
      </c>
      <c r="V455" s="212">
        <f>IFERROR(IF([2]对账明细接口!$Q455=0,"",[2]对账明细接口!$Q455),"")</f>
      </c>
      <c r="W455" s="20">
        <f>IFERROR(IF([2]对账明细接口!$R455=0,"",[2]对账明细接口!$R455),"")</f>
      </c>
      <c r="X455" s="20">
        <f>IFERROR(IF([2]对账明细接口!$S455=0,"",[2]对账明细接口!$S455),"")</f>
      </c>
      <c r="Y455" s="20">
        <f>""</f>
      </c>
      <c r="Z455" s="20">
        <f>""</f>
      </c>
      <c r="AA455" s="20">
        <f>""</f>
      </c>
      <c r="AB455" s="20">
        <f>""</f>
      </c>
    </row>
    <row r="456" s="127">
      <c r="A456" s="14" t="n">
        <v>456</v>
      </c>
      <c r="B456" s="211">
        <f>IFERROR(IF([2]对账明细接口!$B$456=0,"",[2]对账明细接口!$B$456),"")</f>
      </c>
      <c r="C456" s="16">
        <f>IFERROR(IF([2]对账明细接口!$C$456=0,"",[2]对账明细接口!$C$456),"")</f>
      </c>
      <c r="D456" s="16">
        <f>IFERROR(IF([2]对账明细接口!$D$456=0,"",[2]对账明细接口!$D$456),"")</f>
      </c>
      <c r="E456" s="16">
        <f>IFERROR(IF([2]对账明细接口!$E$456=0,"",[2]对账明细接口!$E$456),"")</f>
      </c>
      <c r="F456" s="16">
        <f>IFERROR(IF([2]对账明细接口!$F$456=0,"",[2]对账明细接口!$F$456),"")</f>
      </c>
      <c r="G456" s="16">
        <f>IFERROR(IF([2]对账明细接口!$G$456=0,"",[2]对账明细接口!$G$456),"")</f>
      </c>
      <c r="H456" s="176">
        <f>IFERROR(IF([2]对账明细接口!$H$456=0,"",[2]对账明细接口!$H$456),"")</f>
      </c>
      <c r="I456" s="16">
        <f>IFERROR(IF([2]对账明细接口!$I$456=0,"",[2]对账明细接口!$I$456),"")</f>
      </c>
      <c r="J456" s="177">
        <f>IFERROR(IF([2]对账明细接口!$J$456=0,"",[2]对账明细接口!$J$456),"")</f>
      </c>
      <c r="K456" s="177">
        <f>IFERROR(IF([2]对账明细接口!$K$456=0,"",[2]对账明细接口!$K$456),"")</f>
      </c>
      <c r="L456" s="16">
        <f>IFERROR(IF([2]对账明细接口!$L$456=0,"",[2]对账明细接口!$L$456),"")</f>
      </c>
      <c r="M456" s="16">
        <f>IFERROR(IF([2]对账明细接口!$M$456=0,"",[2]对账明细接口!$M$456),"")</f>
      </c>
      <c r="N456" s="19">
        <f>IF($C456="",0,1)</f>
        <v>0</v>
      </c>
      <c r="O456" s="19">
        <f>N(O455)+$N456</f>
        <v>272</v>
      </c>
      <c r="S456" s="20">
        <f>IFERROR(IF([2]对账明细接口!$N456=0,"",[2]对账明细接口!$N456),"")</f>
      </c>
      <c r="T456" s="212">
        <f>IFERROR(IF([2]对账明细接口!$O456=0,"",[2]对账明细接口!$O456),"")</f>
      </c>
      <c r="U456" s="212">
        <f>IFERROR(IF([2]对账明细接口!$P456=0,"",[2]对账明细接口!$P456),"")</f>
      </c>
      <c r="V456" s="212">
        <f>IFERROR(IF([2]对账明细接口!$Q456=0,"",[2]对账明细接口!$Q456),"")</f>
      </c>
      <c r="W456" s="20">
        <f>IFERROR(IF([2]对账明细接口!$R456=0,"",[2]对账明细接口!$R456),"")</f>
      </c>
      <c r="X456" s="20">
        <f>IFERROR(IF([2]对账明细接口!$S456=0,"",[2]对账明细接口!$S456),"")</f>
      </c>
      <c r="Y456" s="20">
        <f>""</f>
      </c>
      <c r="Z456" s="20">
        <f>""</f>
      </c>
      <c r="AA456" s="20">
        <f>""</f>
      </c>
      <c r="AB456" s="20">
        <f>""</f>
      </c>
    </row>
    <row r="457" s="127">
      <c r="A457" s="14" t="n">
        <v>457</v>
      </c>
      <c r="B457" s="211">
        <f>IFERROR(IF([2]对账明细接口!$B$457=0,"",[2]对账明细接口!$B$457),"")</f>
      </c>
      <c r="C457" s="16">
        <f>IFERROR(IF([2]对账明细接口!$C$457=0,"",[2]对账明细接口!$C$457),"")</f>
      </c>
      <c r="D457" s="16">
        <f>IFERROR(IF([2]对账明细接口!$D$457=0,"",[2]对账明细接口!$D$457),"")</f>
      </c>
      <c r="E457" s="16">
        <f>IFERROR(IF([2]对账明细接口!$E$457=0,"",[2]对账明细接口!$E$457),"")</f>
      </c>
      <c r="F457" s="16">
        <f>IFERROR(IF([2]对账明细接口!$F$457=0,"",[2]对账明细接口!$F$457),"")</f>
      </c>
      <c r="G457" s="16">
        <f>IFERROR(IF([2]对账明细接口!$G$457=0,"",[2]对账明细接口!$G$457),"")</f>
      </c>
      <c r="H457" s="176">
        <f>IFERROR(IF([2]对账明细接口!$H$457=0,"",[2]对账明细接口!$H$457),"")</f>
      </c>
      <c r="I457" s="16">
        <f>IFERROR(IF([2]对账明细接口!$I$457=0,"",[2]对账明细接口!$I$457),"")</f>
      </c>
      <c r="J457" s="177">
        <f>IFERROR(IF([2]对账明细接口!$J$457=0,"",[2]对账明细接口!$J$457),"")</f>
      </c>
      <c r="K457" s="177">
        <f>IFERROR(IF([2]对账明细接口!$K$457=0,"",[2]对账明细接口!$K$457),"")</f>
      </c>
      <c r="L457" s="16">
        <f>IFERROR(IF([2]对账明细接口!$L$457=0,"",[2]对账明细接口!$L$457),"")</f>
      </c>
      <c r="M457" s="16">
        <f>IFERROR(IF([2]对账明细接口!$M$457=0,"",[2]对账明细接口!$M$457),"")</f>
      </c>
      <c r="N457" s="19">
        <f>IF($C457="",0,1)</f>
        <v>0</v>
      </c>
      <c r="O457" s="19">
        <f>N(O456)+$N457</f>
        <v>272</v>
      </c>
      <c r="S457" s="20">
        <f>IFERROR(IF([2]对账明细接口!$N457=0,"",[2]对账明细接口!$N457),"")</f>
      </c>
      <c r="T457" s="212">
        <f>IFERROR(IF([2]对账明细接口!$O457=0,"",[2]对账明细接口!$O457),"")</f>
      </c>
      <c r="U457" s="212">
        <f>IFERROR(IF([2]对账明细接口!$P457=0,"",[2]对账明细接口!$P457),"")</f>
      </c>
      <c r="V457" s="212">
        <f>IFERROR(IF([2]对账明细接口!$Q457=0,"",[2]对账明细接口!$Q457),"")</f>
      </c>
      <c r="W457" s="20">
        <f>IFERROR(IF([2]对账明细接口!$R457=0,"",[2]对账明细接口!$R457),"")</f>
      </c>
      <c r="X457" s="20">
        <f>IFERROR(IF([2]对账明细接口!$S457=0,"",[2]对账明细接口!$S457),"")</f>
      </c>
      <c r="Y457" s="20">
        <f>""</f>
      </c>
      <c r="Z457" s="20">
        <f>""</f>
      </c>
      <c r="AA457" s="20">
        <f>""</f>
      </c>
      <c r="AB457" s="20">
        <f>""</f>
      </c>
    </row>
    <row r="458" s="127">
      <c r="A458" s="14" t="n">
        <v>458</v>
      </c>
      <c r="B458" s="211">
        <f>IFERROR(IF([2]对账明细接口!$B$458=0,"",[2]对账明细接口!$B$458),"")</f>
      </c>
      <c r="C458" s="16">
        <f>IFERROR(IF([2]对账明细接口!$C$458=0,"",[2]对账明细接口!$C$458),"")</f>
      </c>
      <c r="D458" s="16">
        <f>IFERROR(IF([2]对账明细接口!$D$458=0,"",[2]对账明细接口!$D$458),"")</f>
      </c>
      <c r="E458" s="16">
        <f>IFERROR(IF([2]对账明细接口!$E$458=0,"",[2]对账明细接口!$E$458),"")</f>
      </c>
      <c r="F458" s="16">
        <f>IFERROR(IF([2]对账明细接口!$F$458=0,"",[2]对账明细接口!$F$458),"")</f>
      </c>
      <c r="G458" s="16">
        <f>IFERROR(IF([2]对账明细接口!$G$458=0,"",[2]对账明细接口!$G$458),"")</f>
      </c>
      <c r="H458" s="176">
        <f>IFERROR(IF([2]对账明细接口!$H$458=0,"",[2]对账明细接口!$H$458),"")</f>
      </c>
      <c r="I458" s="16">
        <f>IFERROR(IF([2]对账明细接口!$I$458=0,"",[2]对账明细接口!$I$458),"")</f>
      </c>
      <c r="J458" s="177">
        <f>IFERROR(IF([2]对账明细接口!$J$458=0,"",[2]对账明细接口!$J$458),"")</f>
      </c>
      <c r="K458" s="177">
        <f>IFERROR(IF([2]对账明细接口!$K$458=0,"",[2]对账明细接口!$K$458),"")</f>
      </c>
      <c r="L458" s="16">
        <f>IFERROR(IF([2]对账明细接口!$L$458=0,"",[2]对账明细接口!$L$458),"")</f>
      </c>
      <c r="M458" s="16">
        <f>IFERROR(IF([2]对账明细接口!$M$458=0,"",[2]对账明细接口!$M$458),"")</f>
      </c>
      <c r="N458" s="19">
        <f>IF($C458="",0,1)</f>
        <v>0</v>
      </c>
      <c r="O458" s="19">
        <f>N(O457)+$N458</f>
        <v>272</v>
      </c>
      <c r="S458" s="20">
        <f>IFERROR(IF([2]对账明细接口!$N458=0,"",[2]对账明细接口!$N458),"")</f>
      </c>
      <c r="T458" s="212">
        <f>IFERROR(IF([2]对账明细接口!$O458=0,"",[2]对账明细接口!$O458),"")</f>
      </c>
      <c r="U458" s="212">
        <f>IFERROR(IF([2]对账明细接口!$P458=0,"",[2]对账明细接口!$P458),"")</f>
      </c>
      <c r="V458" s="212">
        <f>IFERROR(IF([2]对账明细接口!$Q458=0,"",[2]对账明细接口!$Q458),"")</f>
      </c>
      <c r="W458" s="20">
        <f>IFERROR(IF([2]对账明细接口!$R458=0,"",[2]对账明细接口!$R458),"")</f>
      </c>
      <c r="X458" s="20">
        <f>IFERROR(IF([2]对账明细接口!$S458=0,"",[2]对账明细接口!$S458),"")</f>
      </c>
      <c r="Y458" s="20">
        <f>""</f>
      </c>
      <c r="Z458" s="20">
        <f>""</f>
      </c>
      <c r="AA458" s="20">
        <f>""</f>
      </c>
      <c r="AB458" s="20">
        <f>""</f>
      </c>
    </row>
    <row r="459" s="127">
      <c r="A459" s="14" t="n">
        <v>459</v>
      </c>
      <c r="B459" s="211">
        <f>IFERROR(IF([2]对账明细接口!$B$459=0,"",[2]对账明细接口!$B$459),"")</f>
      </c>
      <c r="C459" s="16">
        <f>IFERROR(IF([2]对账明细接口!$C$459=0,"",[2]对账明细接口!$C$459),"")</f>
      </c>
      <c r="D459" s="16">
        <f>IFERROR(IF([2]对账明细接口!$D$459=0,"",[2]对账明细接口!$D$459),"")</f>
      </c>
      <c r="E459" s="16">
        <f>IFERROR(IF([2]对账明细接口!$E$459=0,"",[2]对账明细接口!$E$459),"")</f>
      </c>
      <c r="F459" s="16">
        <f>IFERROR(IF([2]对账明细接口!$F$459=0,"",[2]对账明细接口!$F$459),"")</f>
      </c>
      <c r="G459" s="16">
        <f>IFERROR(IF([2]对账明细接口!$G$459=0,"",[2]对账明细接口!$G$459),"")</f>
      </c>
      <c r="H459" s="176">
        <f>IFERROR(IF([2]对账明细接口!$H$459=0,"",[2]对账明细接口!$H$459),"")</f>
      </c>
      <c r="I459" s="16">
        <f>IFERROR(IF([2]对账明细接口!$I$459=0,"",[2]对账明细接口!$I$459),"")</f>
      </c>
      <c r="J459" s="177">
        <f>IFERROR(IF([2]对账明细接口!$J$459=0,"",[2]对账明细接口!$J$459),"")</f>
      </c>
      <c r="K459" s="177">
        <f>IFERROR(IF([2]对账明细接口!$K$459=0,"",[2]对账明细接口!$K$459),"")</f>
      </c>
      <c r="L459" s="16">
        <f>IFERROR(IF([2]对账明细接口!$L$459=0,"",[2]对账明细接口!$L$459),"")</f>
      </c>
      <c r="M459" s="16">
        <f>IFERROR(IF([2]对账明细接口!$M$459=0,"",[2]对账明细接口!$M$459),"")</f>
      </c>
      <c r="N459" s="19">
        <f>IF($C459="",0,1)</f>
        <v>0</v>
      </c>
      <c r="O459" s="19">
        <f>N(O458)+$N459</f>
        <v>272</v>
      </c>
      <c r="S459" s="20">
        <f>IFERROR(IF([2]对账明细接口!$N459=0,"",[2]对账明细接口!$N459),"")</f>
      </c>
      <c r="T459" s="212">
        <f>IFERROR(IF([2]对账明细接口!$O459=0,"",[2]对账明细接口!$O459),"")</f>
      </c>
      <c r="U459" s="212">
        <f>IFERROR(IF([2]对账明细接口!$P459=0,"",[2]对账明细接口!$P459),"")</f>
      </c>
      <c r="V459" s="212">
        <f>IFERROR(IF([2]对账明细接口!$Q459=0,"",[2]对账明细接口!$Q459),"")</f>
      </c>
      <c r="W459" s="20">
        <f>IFERROR(IF([2]对账明细接口!$R459=0,"",[2]对账明细接口!$R459),"")</f>
      </c>
      <c r="X459" s="20">
        <f>IFERROR(IF([2]对账明细接口!$S459=0,"",[2]对账明细接口!$S459),"")</f>
      </c>
      <c r="Y459" s="20">
        <f>""</f>
      </c>
      <c r="Z459" s="20">
        <f>""</f>
      </c>
      <c r="AA459" s="20">
        <f>""</f>
      </c>
      <c r="AB459" s="20">
        <f>""</f>
      </c>
    </row>
    <row r="460" s="127">
      <c r="A460" s="14" t="n">
        <v>460</v>
      </c>
      <c r="B460" s="211">
        <f>IFERROR(IF([2]对账明细接口!$B$460=0,"",[2]对账明细接口!$B$460),"")</f>
      </c>
      <c r="C460" s="16">
        <f>IFERROR(IF([2]对账明细接口!$C$460=0,"",[2]对账明细接口!$C$460),"")</f>
      </c>
      <c r="D460" s="16">
        <f>IFERROR(IF([2]对账明细接口!$D$460=0,"",[2]对账明细接口!$D$460),"")</f>
      </c>
      <c r="E460" s="16">
        <f>IFERROR(IF([2]对账明细接口!$E$460=0,"",[2]对账明细接口!$E$460),"")</f>
      </c>
      <c r="F460" s="16">
        <f>IFERROR(IF([2]对账明细接口!$F$460=0,"",[2]对账明细接口!$F$460),"")</f>
      </c>
      <c r="G460" s="16">
        <f>IFERROR(IF([2]对账明细接口!$G$460=0,"",[2]对账明细接口!$G$460),"")</f>
      </c>
      <c r="H460" s="176">
        <f>IFERROR(IF([2]对账明细接口!$H$460=0,"",[2]对账明细接口!$H$460),"")</f>
      </c>
      <c r="I460" s="16">
        <f>IFERROR(IF([2]对账明细接口!$I$460=0,"",[2]对账明细接口!$I$460),"")</f>
      </c>
      <c r="J460" s="177">
        <f>IFERROR(IF([2]对账明细接口!$J$460=0,"",[2]对账明细接口!$J$460),"")</f>
      </c>
      <c r="K460" s="177">
        <f>IFERROR(IF([2]对账明细接口!$K$460=0,"",[2]对账明细接口!$K$460),"")</f>
      </c>
      <c r="L460" s="16">
        <f>IFERROR(IF([2]对账明细接口!$L$460=0,"",[2]对账明细接口!$L$460),"")</f>
      </c>
      <c r="M460" s="16">
        <f>IFERROR(IF([2]对账明细接口!$M$460=0,"",[2]对账明细接口!$M$460),"")</f>
      </c>
      <c r="N460" s="19">
        <f>IF($C460="",0,1)</f>
        <v>0</v>
      </c>
      <c r="O460" s="19">
        <f>N(O459)+$N460</f>
        <v>272</v>
      </c>
      <c r="S460" s="20">
        <f>IFERROR(IF([2]对账明细接口!$N460=0,"",[2]对账明细接口!$N460),"")</f>
      </c>
      <c r="T460" s="212">
        <f>IFERROR(IF([2]对账明细接口!$O460=0,"",[2]对账明细接口!$O460),"")</f>
      </c>
      <c r="U460" s="212">
        <f>IFERROR(IF([2]对账明细接口!$P460=0,"",[2]对账明细接口!$P460),"")</f>
      </c>
      <c r="V460" s="212">
        <f>IFERROR(IF([2]对账明细接口!$Q460=0,"",[2]对账明细接口!$Q460),"")</f>
      </c>
      <c r="W460" s="20">
        <f>IFERROR(IF([2]对账明细接口!$R460=0,"",[2]对账明细接口!$R460),"")</f>
      </c>
      <c r="X460" s="20">
        <f>IFERROR(IF([2]对账明细接口!$S460=0,"",[2]对账明细接口!$S460),"")</f>
      </c>
      <c r="Y460" s="20">
        <f>""</f>
      </c>
      <c r="Z460" s="20">
        <f>""</f>
      </c>
      <c r="AA460" s="20">
        <f>""</f>
      </c>
      <c r="AB460" s="20">
        <f>""</f>
      </c>
    </row>
    <row r="461" s="127">
      <c r="A461" s="14" t="n">
        <v>461</v>
      </c>
      <c r="B461" s="211">
        <f>IFERROR(IF([2]对账明细接口!$B$461=0,"",[2]对账明细接口!$B$461),"")</f>
      </c>
      <c r="C461" s="16">
        <f>IFERROR(IF([2]对账明细接口!$C$461=0,"",[2]对账明细接口!$C$461),"")</f>
      </c>
      <c r="D461" s="16">
        <f>IFERROR(IF([2]对账明细接口!$D$461=0,"",[2]对账明细接口!$D$461),"")</f>
      </c>
      <c r="E461" s="16">
        <f>IFERROR(IF([2]对账明细接口!$E$461=0,"",[2]对账明细接口!$E$461),"")</f>
      </c>
      <c r="F461" s="16">
        <f>IFERROR(IF([2]对账明细接口!$F$461=0,"",[2]对账明细接口!$F$461),"")</f>
      </c>
      <c r="G461" s="16">
        <f>IFERROR(IF([2]对账明细接口!$G$461=0,"",[2]对账明细接口!$G$461),"")</f>
      </c>
      <c r="H461" s="176">
        <f>IFERROR(IF([2]对账明细接口!$H$461=0,"",[2]对账明细接口!$H$461),"")</f>
      </c>
      <c r="I461" s="16">
        <f>IFERROR(IF([2]对账明细接口!$I$461=0,"",[2]对账明细接口!$I$461),"")</f>
      </c>
      <c r="J461" s="177">
        <f>IFERROR(IF([2]对账明细接口!$J$461=0,"",[2]对账明细接口!$J$461),"")</f>
      </c>
      <c r="K461" s="177">
        <f>IFERROR(IF([2]对账明细接口!$K$461=0,"",[2]对账明细接口!$K$461),"")</f>
      </c>
      <c r="L461" s="16">
        <f>IFERROR(IF([2]对账明细接口!$L$461=0,"",[2]对账明细接口!$L$461),"")</f>
      </c>
      <c r="M461" s="16">
        <f>IFERROR(IF([2]对账明细接口!$M$461=0,"",[2]对账明细接口!$M$461),"")</f>
      </c>
      <c r="N461" s="19">
        <f>IF($C461="",0,1)</f>
        <v>0</v>
      </c>
      <c r="O461" s="19">
        <f>N(O460)+$N461</f>
        <v>272</v>
      </c>
      <c r="S461" s="20">
        <f>IFERROR(IF([2]对账明细接口!$N461=0,"",[2]对账明细接口!$N461),"")</f>
      </c>
      <c r="T461" s="212">
        <f>IFERROR(IF([2]对账明细接口!$O461=0,"",[2]对账明细接口!$O461),"")</f>
      </c>
      <c r="U461" s="212">
        <f>IFERROR(IF([2]对账明细接口!$P461=0,"",[2]对账明细接口!$P461),"")</f>
      </c>
      <c r="V461" s="212">
        <f>IFERROR(IF([2]对账明细接口!$Q461=0,"",[2]对账明细接口!$Q461),"")</f>
      </c>
      <c r="W461" s="20">
        <f>IFERROR(IF([2]对账明细接口!$R461=0,"",[2]对账明细接口!$R461),"")</f>
      </c>
      <c r="X461" s="20">
        <f>IFERROR(IF([2]对账明细接口!$S461=0,"",[2]对账明细接口!$S461),"")</f>
      </c>
      <c r="Y461" s="20">
        <f>""</f>
      </c>
      <c r="Z461" s="20">
        <f>""</f>
      </c>
      <c r="AA461" s="20">
        <f>""</f>
      </c>
      <c r="AB461" s="20">
        <f>""</f>
      </c>
    </row>
    <row r="462" s="127">
      <c r="A462" s="14" t="n">
        <v>462</v>
      </c>
      <c r="B462" s="211">
        <f>IFERROR(IF([2]对账明细接口!$B$462=0,"",[2]对账明细接口!$B$462),"")</f>
      </c>
      <c r="C462" s="16">
        <f>IFERROR(IF([2]对账明细接口!$C$462=0,"",[2]对账明细接口!$C$462),"")</f>
      </c>
      <c r="D462" s="16">
        <f>IFERROR(IF([2]对账明细接口!$D$462=0,"",[2]对账明细接口!$D$462),"")</f>
      </c>
      <c r="E462" s="16">
        <f>IFERROR(IF([2]对账明细接口!$E$462=0,"",[2]对账明细接口!$E$462),"")</f>
      </c>
      <c r="F462" s="16">
        <f>IFERROR(IF([2]对账明细接口!$F$462=0,"",[2]对账明细接口!$F$462),"")</f>
      </c>
      <c r="G462" s="16">
        <f>IFERROR(IF([2]对账明细接口!$G$462=0,"",[2]对账明细接口!$G$462),"")</f>
      </c>
      <c r="H462" s="176">
        <f>IFERROR(IF([2]对账明细接口!$H$462=0,"",[2]对账明细接口!$H$462),"")</f>
      </c>
      <c r="I462" s="16">
        <f>IFERROR(IF([2]对账明细接口!$I$462=0,"",[2]对账明细接口!$I$462),"")</f>
      </c>
      <c r="J462" s="177">
        <f>IFERROR(IF([2]对账明细接口!$J$462=0,"",[2]对账明细接口!$J$462),"")</f>
      </c>
      <c r="K462" s="177">
        <f>IFERROR(IF([2]对账明细接口!$K$462=0,"",[2]对账明细接口!$K$462),"")</f>
      </c>
      <c r="L462" s="16">
        <f>IFERROR(IF([2]对账明细接口!$L$462=0,"",[2]对账明细接口!$L$462),"")</f>
      </c>
      <c r="M462" s="16">
        <f>IFERROR(IF([2]对账明细接口!$M$462=0,"",[2]对账明细接口!$M$462),"")</f>
      </c>
      <c r="N462" s="19">
        <f>IF($C462="",0,1)</f>
        <v>0</v>
      </c>
      <c r="O462" s="19">
        <f>N(O461)+$N462</f>
        <v>272</v>
      </c>
      <c r="S462" s="20">
        <f>IFERROR(IF([2]对账明细接口!$N462=0,"",[2]对账明细接口!$N462),"")</f>
      </c>
      <c r="T462" s="212">
        <f>IFERROR(IF([2]对账明细接口!$O462=0,"",[2]对账明细接口!$O462),"")</f>
      </c>
      <c r="U462" s="212">
        <f>IFERROR(IF([2]对账明细接口!$P462=0,"",[2]对账明细接口!$P462),"")</f>
      </c>
      <c r="V462" s="212">
        <f>IFERROR(IF([2]对账明细接口!$Q462=0,"",[2]对账明细接口!$Q462),"")</f>
      </c>
      <c r="W462" s="20">
        <f>IFERROR(IF([2]对账明细接口!$R462=0,"",[2]对账明细接口!$R462),"")</f>
      </c>
      <c r="X462" s="20">
        <f>IFERROR(IF([2]对账明细接口!$S462=0,"",[2]对账明细接口!$S462),"")</f>
      </c>
      <c r="Y462" s="20">
        <f>""</f>
      </c>
      <c r="Z462" s="20">
        <f>""</f>
      </c>
      <c r="AA462" s="20">
        <f>""</f>
      </c>
      <c r="AB462" s="20">
        <f>""</f>
      </c>
    </row>
    <row r="463" s="127">
      <c r="A463" s="14" t="n">
        <v>463</v>
      </c>
      <c r="B463" s="211">
        <f>IFERROR(IF([2]对账明细接口!$B$463=0,"",[2]对账明细接口!$B$463),"")</f>
      </c>
      <c r="C463" s="16">
        <f>IFERROR(IF([2]对账明细接口!$C$463=0,"",[2]对账明细接口!$C$463),"")</f>
      </c>
      <c r="D463" s="16">
        <f>IFERROR(IF([2]对账明细接口!$D$463=0,"",[2]对账明细接口!$D$463),"")</f>
      </c>
      <c r="E463" s="16">
        <f>IFERROR(IF([2]对账明细接口!$E$463=0,"",[2]对账明细接口!$E$463),"")</f>
      </c>
      <c r="F463" s="16">
        <f>IFERROR(IF([2]对账明细接口!$F$463=0,"",[2]对账明细接口!$F$463),"")</f>
      </c>
      <c r="G463" s="16">
        <f>IFERROR(IF([2]对账明细接口!$G$463=0,"",[2]对账明细接口!$G$463),"")</f>
      </c>
      <c r="H463" s="176">
        <f>IFERROR(IF([2]对账明细接口!$H$463=0,"",[2]对账明细接口!$H$463),"")</f>
      </c>
      <c r="I463" s="16">
        <f>IFERROR(IF([2]对账明细接口!$I$463=0,"",[2]对账明细接口!$I$463),"")</f>
      </c>
      <c r="J463" s="177">
        <f>IFERROR(IF([2]对账明细接口!$J$463=0,"",[2]对账明细接口!$J$463),"")</f>
      </c>
      <c r="K463" s="177">
        <f>IFERROR(IF([2]对账明细接口!$K$463=0,"",[2]对账明细接口!$K$463),"")</f>
      </c>
      <c r="L463" s="16">
        <f>IFERROR(IF([2]对账明细接口!$L$463=0,"",[2]对账明细接口!$L$463),"")</f>
      </c>
      <c r="M463" s="16">
        <f>IFERROR(IF([2]对账明细接口!$M$463=0,"",[2]对账明细接口!$M$463),"")</f>
      </c>
      <c r="N463" s="19">
        <f>IF($C463="",0,1)</f>
        <v>0</v>
      </c>
      <c r="O463" s="19">
        <f>N(O462)+$N463</f>
        <v>272</v>
      </c>
      <c r="S463" s="20">
        <f>IFERROR(IF([2]对账明细接口!$N463=0,"",[2]对账明细接口!$N463),"")</f>
      </c>
      <c r="T463" s="212">
        <f>IFERROR(IF([2]对账明细接口!$O463=0,"",[2]对账明细接口!$O463),"")</f>
      </c>
      <c r="U463" s="212">
        <f>IFERROR(IF([2]对账明细接口!$P463=0,"",[2]对账明细接口!$P463),"")</f>
      </c>
      <c r="V463" s="212">
        <f>IFERROR(IF([2]对账明细接口!$Q463=0,"",[2]对账明细接口!$Q463),"")</f>
      </c>
      <c r="W463" s="20">
        <f>IFERROR(IF([2]对账明细接口!$R463=0,"",[2]对账明细接口!$R463),"")</f>
      </c>
      <c r="X463" s="20">
        <f>IFERROR(IF([2]对账明细接口!$S463=0,"",[2]对账明细接口!$S463),"")</f>
      </c>
      <c r="Y463" s="20">
        <f>""</f>
      </c>
      <c r="Z463" s="20">
        <f>""</f>
      </c>
      <c r="AA463" s="20">
        <f>""</f>
      </c>
      <c r="AB463" s="20">
        <f>""</f>
      </c>
    </row>
    <row r="464" s="127">
      <c r="A464" s="14" t="n">
        <v>464</v>
      </c>
      <c r="B464" s="211">
        <f>IFERROR(IF([2]对账明细接口!$B$464=0,"",[2]对账明细接口!$B$464),"")</f>
      </c>
      <c r="C464" s="16">
        <f>IFERROR(IF([2]对账明细接口!$C$464=0,"",[2]对账明细接口!$C$464),"")</f>
      </c>
      <c r="D464" s="16">
        <f>IFERROR(IF([2]对账明细接口!$D$464=0,"",[2]对账明细接口!$D$464),"")</f>
      </c>
      <c r="E464" s="16">
        <f>IFERROR(IF([2]对账明细接口!$E$464=0,"",[2]对账明细接口!$E$464),"")</f>
      </c>
      <c r="F464" s="16">
        <f>IFERROR(IF([2]对账明细接口!$F$464=0,"",[2]对账明细接口!$F$464),"")</f>
      </c>
      <c r="G464" s="16">
        <f>IFERROR(IF([2]对账明细接口!$G$464=0,"",[2]对账明细接口!$G$464),"")</f>
      </c>
      <c r="H464" s="176">
        <f>IFERROR(IF([2]对账明细接口!$H$464=0,"",[2]对账明细接口!$H$464),"")</f>
      </c>
      <c r="I464" s="16">
        <f>IFERROR(IF([2]对账明细接口!$I$464=0,"",[2]对账明细接口!$I$464),"")</f>
      </c>
      <c r="J464" s="177">
        <f>IFERROR(IF([2]对账明细接口!$J$464=0,"",[2]对账明细接口!$J$464),"")</f>
      </c>
      <c r="K464" s="177">
        <f>IFERROR(IF([2]对账明细接口!$K$464=0,"",[2]对账明细接口!$K$464),"")</f>
      </c>
      <c r="L464" s="16">
        <f>IFERROR(IF([2]对账明细接口!$L$464=0,"",[2]对账明细接口!$L$464),"")</f>
      </c>
      <c r="M464" s="16">
        <f>IFERROR(IF([2]对账明细接口!$M$464=0,"",[2]对账明细接口!$M$464),"")</f>
      </c>
      <c r="N464" s="19">
        <f>IF($C464="",0,1)</f>
        <v>0</v>
      </c>
      <c r="O464" s="19">
        <f>N(O463)+$N464</f>
        <v>272</v>
      </c>
      <c r="S464" s="20">
        <f>IFERROR(IF([2]对账明细接口!$N464=0,"",[2]对账明细接口!$N464),"")</f>
      </c>
      <c r="T464" s="212">
        <f>IFERROR(IF([2]对账明细接口!$O464=0,"",[2]对账明细接口!$O464),"")</f>
      </c>
      <c r="U464" s="212">
        <f>IFERROR(IF([2]对账明细接口!$P464=0,"",[2]对账明细接口!$P464),"")</f>
      </c>
      <c r="V464" s="212">
        <f>IFERROR(IF([2]对账明细接口!$Q464=0,"",[2]对账明细接口!$Q464),"")</f>
      </c>
      <c r="W464" s="20">
        <f>IFERROR(IF([2]对账明细接口!$R464=0,"",[2]对账明细接口!$R464),"")</f>
      </c>
      <c r="X464" s="20">
        <f>IFERROR(IF([2]对账明细接口!$S464=0,"",[2]对账明细接口!$S464),"")</f>
      </c>
      <c r="Y464" s="20">
        <f>""</f>
      </c>
      <c r="Z464" s="20">
        <f>""</f>
      </c>
      <c r="AA464" s="20">
        <f>""</f>
      </c>
      <c r="AB464" s="20">
        <f>""</f>
      </c>
    </row>
    <row r="465" s="127">
      <c r="A465" s="14" t="n">
        <v>465</v>
      </c>
      <c r="B465" s="211">
        <f>IFERROR(IF([2]对账明细接口!$B$465=0,"",[2]对账明细接口!$B$465),"")</f>
      </c>
      <c r="C465" s="16">
        <f>IFERROR(IF([2]对账明细接口!$C$465=0,"",[2]对账明细接口!$C$465),"")</f>
      </c>
      <c r="D465" s="16">
        <f>IFERROR(IF([2]对账明细接口!$D$465=0,"",[2]对账明细接口!$D$465),"")</f>
      </c>
      <c r="E465" s="16">
        <f>IFERROR(IF([2]对账明细接口!$E$465=0,"",[2]对账明细接口!$E$465),"")</f>
      </c>
      <c r="F465" s="16">
        <f>IFERROR(IF([2]对账明细接口!$F$465=0,"",[2]对账明细接口!$F$465),"")</f>
      </c>
      <c r="G465" s="16">
        <f>IFERROR(IF([2]对账明细接口!$G$465=0,"",[2]对账明细接口!$G$465),"")</f>
      </c>
      <c r="H465" s="176">
        <f>IFERROR(IF([2]对账明细接口!$H$465=0,"",[2]对账明细接口!$H$465),"")</f>
      </c>
      <c r="I465" s="16">
        <f>IFERROR(IF([2]对账明细接口!$I$465=0,"",[2]对账明细接口!$I$465),"")</f>
      </c>
      <c r="J465" s="177">
        <f>IFERROR(IF([2]对账明细接口!$J$465=0,"",[2]对账明细接口!$J$465),"")</f>
      </c>
      <c r="K465" s="177">
        <f>IFERROR(IF([2]对账明细接口!$K$465=0,"",[2]对账明细接口!$K$465),"")</f>
      </c>
      <c r="L465" s="16">
        <f>IFERROR(IF([2]对账明细接口!$L$465=0,"",[2]对账明细接口!$L$465),"")</f>
      </c>
      <c r="M465" s="16">
        <f>IFERROR(IF([2]对账明细接口!$M$465=0,"",[2]对账明细接口!$M$465),"")</f>
      </c>
      <c r="N465" s="19">
        <f>IF($C465="",0,1)</f>
        <v>0</v>
      </c>
      <c r="O465" s="19">
        <f>N(O464)+$N465</f>
        <v>272</v>
      </c>
      <c r="S465" s="20">
        <f>IFERROR(IF([2]对账明细接口!$N465=0,"",[2]对账明细接口!$N465),"")</f>
      </c>
      <c r="T465" s="212">
        <f>IFERROR(IF([2]对账明细接口!$O465=0,"",[2]对账明细接口!$O465),"")</f>
      </c>
      <c r="U465" s="212">
        <f>IFERROR(IF([2]对账明细接口!$P465=0,"",[2]对账明细接口!$P465),"")</f>
      </c>
      <c r="V465" s="212">
        <f>IFERROR(IF([2]对账明细接口!$Q465=0,"",[2]对账明细接口!$Q465),"")</f>
      </c>
      <c r="W465" s="20">
        <f>IFERROR(IF([2]对账明细接口!$R465=0,"",[2]对账明细接口!$R465),"")</f>
      </c>
      <c r="X465" s="20">
        <f>IFERROR(IF([2]对账明细接口!$S465=0,"",[2]对账明细接口!$S465),"")</f>
      </c>
      <c r="Y465" s="20">
        <f>""</f>
      </c>
      <c r="Z465" s="20">
        <f>""</f>
      </c>
      <c r="AA465" s="20">
        <f>""</f>
      </c>
      <c r="AB465" s="20">
        <f>""</f>
      </c>
    </row>
    <row r="466" s="127">
      <c r="A466" s="14" t="n">
        <v>466</v>
      </c>
      <c r="B466" s="211">
        <f>IFERROR(IF([2]对账明细接口!$B$466=0,"",[2]对账明细接口!$B$466),"")</f>
      </c>
      <c r="C466" s="16">
        <f>IFERROR(IF([2]对账明细接口!$C$466=0,"",[2]对账明细接口!$C$466),"")</f>
      </c>
      <c r="D466" s="16">
        <f>IFERROR(IF([2]对账明细接口!$D$466=0,"",[2]对账明细接口!$D$466),"")</f>
      </c>
      <c r="E466" s="16">
        <f>IFERROR(IF([2]对账明细接口!$E$466=0,"",[2]对账明细接口!$E$466),"")</f>
      </c>
      <c r="F466" s="16">
        <f>IFERROR(IF([2]对账明细接口!$F$466=0,"",[2]对账明细接口!$F$466),"")</f>
      </c>
      <c r="G466" s="16">
        <f>IFERROR(IF([2]对账明细接口!$G$466=0,"",[2]对账明细接口!$G$466),"")</f>
      </c>
      <c r="H466" s="176">
        <f>IFERROR(IF([2]对账明细接口!$H$466=0,"",[2]对账明细接口!$H$466),"")</f>
      </c>
      <c r="I466" s="16">
        <f>IFERROR(IF([2]对账明细接口!$I$466=0,"",[2]对账明细接口!$I$466),"")</f>
      </c>
      <c r="J466" s="177">
        <f>IFERROR(IF([2]对账明细接口!$J$466=0,"",[2]对账明细接口!$J$466),"")</f>
      </c>
      <c r="K466" s="177">
        <f>IFERROR(IF([2]对账明细接口!$K$466=0,"",[2]对账明细接口!$K$466),"")</f>
      </c>
      <c r="L466" s="16">
        <f>IFERROR(IF([2]对账明细接口!$L$466=0,"",[2]对账明细接口!$L$466),"")</f>
      </c>
      <c r="M466" s="16">
        <f>IFERROR(IF([2]对账明细接口!$M$466=0,"",[2]对账明细接口!$M$466),"")</f>
      </c>
      <c r="N466" s="19">
        <f>IF($C466="",0,1)</f>
        <v>0</v>
      </c>
      <c r="O466" s="19">
        <f>N(O465)+$N466</f>
        <v>272</v>
      </c>
      <c r="S466" s="20">
        <f>IFERROR(IF([2]对账明细接口!$N466=0,"",[2]对账明细接口!$N466),"")</f>
      </c>
      <c r="T466" s="212">
        <f>IFERROR(IF([2]对账明细接口!$O466=0,"",[2]对账明细接口!$O466),"")</f>
      </c>
      <c r="U466" s="212">
        <f>IFERROR(IF([2]对账明细接口!$P466=0,"",[2]对账明细接口!$P466),"")</f>
      </c>
      <c r="V466" s="212">
        <f>IFERROR(IF([2]对账明细接口!$Q466=0,"",[2]对账明细接口!$Q466),"")</f>
      </c>
      <c r="W466" s="20">
        <f>IFERROR(IF([2]对账明细接口!$R466=0,"",[2]对账明细接口!$R466),"")</f>
      </c>
      <c r="X466" s="20">
        <f>IFERROR(IF([2]对账明细接口!$S466=0,"",[2]对账明细接口!$S466),"")</f>
      </c>
      <c r="Y466" s="20">
        <f>""</f>
      </c>
      <c r="Z466" s="20">
        <f>""</f>
      </c>
      <c r="AA466" s="20">
        <f>""</f>
      </c>
      <c r="AB466" s="20">
        <f>""</f>
      </c>
    </row>
    <row r="467" s="127">
      <c r="A467" s="14" t="n">
        <v>467</v>
      </c>
      <c r="B467" s="211">
        <f>IFERROR(IF([2]对账明细接口!$B$467=0,"",[2]对账明细接口!$B$467),"")</f>
      </c>
      <c r="C467" s="16">
        <f>IFERROR(IF([2]对账明细接口!$C$467=0,"",[2]对账明细接口!$C$467),"")</f>
      </c>
      <c r="D467" s="16">
        <f>IFERROR(IF([2]对账明细接口!$D$467=0,"",[2]对账明细接口!$D$467),"")</f>
      </c>
      <c r="E467" s="16">
        <f>IFERROR(IF([2]对账明细接口!$E$467=0,"",[2]对账明细接口!$E$467),"")</f>
      </c>
      <c r="F467" s="16">
        <f>IFERROR(IF([2]对账明细接口!$F$467=0,"",[2]对账明细接口!$F$467),"")</f>
      </c>
      <c r="G467" s="16">
        <f>IFERROR(IF([2]对账明细接口!$G$467=0,"",[2]对账明细接口!$G$467),"")</f>
      </c>
      <c r="H467" s="176">
        <f>IFERROR(IF([2]对账明细接口!$H$467=0,"",[2]对账明细接口!$H$467),"")</f>
      </c>
      <c r="I467" s="16">
        <f>IFERROR(IF([2]对账明细接口!$I$467=0,"",[2]对账明细接口!$I$467),"")</f>
      </c>
      <c r="J467" s="177">
        <f>IFERROR(IF([2]对账明细接口!$J$467=0,"",[2]对账明细接口!$J$467),"")</f>
      </c>
      <c r="K467" s="177">
        <f>IFERROR(IF([2]对账明细接口!$K$467=0,"",[2]对账明细接口!$K$467),"")</f>
      </c>
      <c r="L467" s="16">
        <f>IFERROR(IF([2]对账明细接口!$L$467=0,"",[2]对账明细接口!$L$467),"")</f>
      </c>
      <c r="M467" s="16">
        <f>IFERROR(IF([2]对账明细接口!$M$467=0,"",[2]对账明细接口!$M$467),"")</f>
      </c>
      <c r="N467" s="19">
        <f>IF($C467="",0,1)</f>
        <v>0</v>
      </c>
      <c r="O467" s="19">
        <f>N(O466)+$N467</f>
        <v>272</v>
      </c>
      <c r="S467" s="20">
        <f>IFERROR(IF([2]对账明细接口!$N467=0,"",[2]对账明细接口!$N467),"")</f>
      </c>
      <c r="T467" s="212">
        <f>IFERROR(IF([2]对账明细接口!$O467=0,"",[2]对账明细接口!$O467),"")</f>
      </c>
      <c r="U467" s="212">
        <f>IFERROR(IF([2]对账明细接口!$P467=0,"",[2]对账明细接口!$P467),"")</f>
      </c>
      <c r="V467" s="212">
        <f>IFERROR(IF([2]对账明细接口!$Q467=0,"",[2]对账明细接口!$Q467),"")</f>
      </c>
      <c r="W467" s="20">
        <f>IFERROR(IF([2]对账明细接口!$R467=0,"",[2]对账明细接口!$R467),"")</f>
      </c>
      <c r="X467" s="20">
        <f>IFERROR(IF([2]对账明细接口!$S467=0,"",[2]对账明细接口!$S467),"")</f>
      </c>
      <c r="Y467" s="20">
        <f>""</f>
      </c>
      <c r="Z467" s="20">
        <f>""</f>
      </c>
      <c r="AA467" s="20">
        <f>""</f>
      </c>
      <c r="AB467" s="20">
        <f>""</f>
      </c>
    </row>
    <row r="468" s="127">
      <c r="A468" s="14" t="n">
        <v>468</v>
      </c>
      <c r="B468" s="211">
        <f>IFERROR(IF([2]对账明细接口!$B$468=0,"",[2]对账明细接口!$B$468),"")</f>
      </c>
      <c r="C468" s="16">
        <f>IFERROR(IF([2]对账明细接口!$C$468=0,"",[2]对账明细接口!$C$468),"")</f>
      </c>
      <c r="D468" s="16">
        <f>IFERROR(IF([2]对账明细接口!$D$468=0,"",[2]对账明细接口!$D$468),"")</f>
      </c>
      <c r="E468" s="16">
        <f>IFERROR(IF([2]对账明细接口!$E$468=0,"",[2]对账明细接口!$E$468),"")</f>
      </c>
      <c r="F468" s="16">
        <f>IFERROR(IF([2]对账明细接口!$F$468=0,"",[2]对账明细接口!$F$468),"")</f>
      </c>
      <c r="G468" s="16">
        <f>IFERROR(IF([2]对账明细接口!$G$468=0,"",[2]对账明细接口!$G$468),"")</f>
      </c>
      <c r="H468" s="176">
        <f>IFERROR(IF([2]对账明细接口!$H$468=0,"",[2]对账明细接口!$H$468),"")</f>
      </c>
      <c r="I468" s="16">
        <f>IFERROR(IF([2]对账明细接口!$I$468=0,"",[2]对账明细接口!$I$468),"")</f>
      </c>
      <c r="J468" s="177">
        <f>IFERROR(IF([2]对账明细接口!$J$468=0,"",[2]对账明细接口!$J$468),"")</f>
      </c>
      <c r="K468" s="177">
        <f>IFERROR(IF([2]对账明细接口!$K$468=0,"",[2]对账明细接口!$K$468),"")</f>
      </c>
      <c r="L468" s="16">
        <f>IFERROR(IF([2]对账明细接口!$L$468=0,"",[2]对账明细接口!$L$468),"")</f>
      </c>
      <c r="M468" s="16">
        <f>IFERROR(IF([2]对账明细接口!$M$468=0,"",[2]对账明细接口!$M$468),"")</f>
      </c>
      <c r="N468" s="19">
        <f>IF($C468="",0,1)</f>
        <v>0</v>
      </c>
      <c r="O468" s="19">
        <f>N(O467)+$N468</f>
        <v>272</v>
      </c>
      <c r="S468" s="20">
        <f>IFERROR(IF([2]对账明细接口!$N468=0,"",[2]对账明细接口!$N468),"")</f>
      </c>
      <c r="T468" s="212">
        <f>IFERROR(IF([2]对账明细接口!$O468=0,"",[2]对账明细接口!$O468),"")</f>
      </c>
      <c r="U468" s="212">
        <f>IFERROR(IF([2]对账明细接口!$P468=0,"",[2]对账明细接口!$P468),"")</f>
      </c>
      <c r="V468" s="212">
        <f>IFERROR(IF([2]对账明细接口!$Q468=0,"",[2]对账明细接口!$Q468),"")</f>
      </c>
      <c r="W468" s="20">
        <f>IFERROR(IF([2]对账明细接口!$R468=0,"",[2]对账明细接口!$R468),"")</f>
      </c>
      <c r="X468" s="20">
        <f>IFERROR(IF([2]对账明细接口!$S468=0,"",[2]对账明细接口!$S468),"")</f>
      </c>
      <c r="Y468" s="20">
        <f>""</f>
      </c>
      <c r="Z468" s="20">
        <f>""</f>
      </c>
      <c r="AA468" s="20">
        <f>""</f>
      </c>
      <c r="AB468" s="20">
        <f>""</f>
      </c>
    </row>
    <row r="469" s="127">
      <c r="A469" s="14" t="n">
        <v>469</v>
      </c>
      <c r="B469" s="211">
        <f>IFERROR(IF([2]对账明细接口!$B$469=0,"",[2]对账明细接口!$B$469),"")</f>
      </c>
      <c r="C469" s="16">
        <f>IFERROR(IF([2]对账明细接口!$C$469=0,"",[2]对账明细接口!$C$469),"")</f>
      </c>
      <c r="D469" s="16">
        <f>IFERROR(IF([2]对账明细接口!$D$469=0,"",[2]对账明细接口!$D$469),"")</f>
      </c>
      <c r="E469" s="16">
        <f>IFERROR(IF([2]对账明细接口!$E$469=0,"",[2]对账明细接口!$E$469),"")</f>
      </c>
      <c r="F469" s="16">
        <f>IFERROR(IF([2]对账明细接口!$F$469=0,"",[2]对账明细接口!$F$469),"")</f>
      </c>
      <c r="G469" s="16">
        <f>IFERROR(IF([2]对账明细接口!$G$469=0,"",[2]对账明细接口!$G$469),"")</f>
      </c>
      <c r="H469" s="176">
        <f>IFERROR(IF([2]对账明细接口!$H$469=0,"",[2]对账明细接口!$H$469),"")</f>
      </c>
      <c r="I469" s="16">
        <f>IFERROR(IF([2]对账明细接口!$I$469=0,"",[2]对账明细接口!$I$469),"")</f>
      </c>
      <c r="J469" s="177">
        <f>IFERROR(IF([2]对账明细接口!$J$469=0,"",[2]对账明细接口!$J$469),"")</f>
      </c>
      <c r="K469" s="177">
        <f>IFERROR(IF([2]对账明细接口!$K$469=0,"",[2]对账明细接口!$K$469),"")</f>
      </c>
      <c r="L469" s="16">
        <f>IFERROR(IF([2]对账明细接口!$L$469=0,"",[2]对账明细接口!$L$469),"")</f>
      </c>
      <c r="M469" s="16">
        <f>IFERROR(IF([2]对账明细接口!$M$469=0,"",[2]对账明细接口!$M$469),"")</f>
      </c>
      <c r="N469" s="19">
        <f>IF($C469="",0,1)</f>
        <v>0</v>
      </c>
      <c r="O469" s="19">
        <f>N(O468)+$N469</f>
        <v>272</v>
      </c>
      <c r="S469" s="20">
        <f>IFERROR(IF([2]对账明细接口!$N469=0,"",[2]对账明细接口!$N469),"")</f>
      </c>
      <c r="T469" s="212">
        <f>IFERROR(IF([2]对账明细接口!$O469=0,"",[2]对账明细接口!$O469),"")</f>
      </c>
      <c r="U469" s="212">
        <f>IFERROR(IF([2]对账明细接口!$P469=0,"",[2]对账明细接口!$P469),"")</f>
      </c>
      <c r="V469" s="212">
        <f>IFERROR(IF([2]对账明细接口!$Q469=0,"",[2]对账明细接口!$Q469),"")</f>
      </c>
      <c r="W469" s="20">
        <f>IFERROR(IF([2]对账明细接口!$R469=0,"",[2]对账明细接口!$R469),"")</f>
      </c>
      <c r="X469" s="20">
        <f>IFERROR(IF([2]对账明细接口!$S469=0,"",[2]对账明细接口!$S469),"")</f>
      </c>
      <c r="Y469" s="20">
        <f>""</f>
      </c>
      <c r="Z469" s="20">
        <f>""</f>
      </c>
      <c r="AA469" s="20">
        <f>""</f>
      </c>
      <c r="AB469" s="20">
        <f>""</f>
      </c>
    </row>
    <row r="470" s="127">
      <c r="A470" s="14" t="n">
        <v>470</v>
      </c>
      <c r="B470" s="211">
        <f>IFERROR(IF([2]对账明细接口!$B$470=0,"",[2]对账明细接口!$B$470),"")</f>
      </c>
      <c r="C470" s="16">
        <f>IFERROR(IF([2]对账明细接口!$C$470=0,"",[2]对账明细接口!$C$470),"")</f>
      </c>
      <c r="D470" s="16">
        <f>IFERROR(IF([2]对账明细接口!$D$470=0,"",[2]对账明细接口!$D$470),"")</f>
      </c>
      <c r="E470" s="16">
        <f>IFERROR(IF([2]对账明细接口!$E$470=0,"",[2]对账明细接口!$E$470),"")</f>
      </c>
      <c r="F470" s="16">
        <f>IFERROR(IF([2]对账明细接口!$F$470=0,"",[2]对账明细接口!$F$470),"")</f>
      </c>
      <c r="G470" s="16">
        <f>IFERROR(IF([2]对账明细接口!$G$470=0,"",[2]对账明细接口!$G$470),"")</f>
      </c>
      <c r="H470" s="176">
        <f>IFERROR(IF([2]对账明细接口!$H$470=0,"",[2]对账明细接口!$H$470),"")</f>
      </c>
      <c r="I470" s="16">
        <f>IFERROR(IF([2]对账明细接口!$I$470=0,"",[2]对账明细接口!$I$470),"")</f>
      </c>
      <c r="J470" s="177">
        <f>IFERROR(IF([2]对账明细接口!$J$470=0,"",[2]对账明细接口!$J$470),"")</f>
      </c>
      <c r="K470" s="177">
        <f>IFERROR(IF([2]对账明细接口!$K$470=0,"",[2]对账明细接口!$K$470),"")</f>
      </c>
      <c r="L470" s="16">
        <f>IFERROR(IF([2]对账明细接口!$L$470=0,"",[2]对账明细接口!$L$470),"")</f>
      </c>
      <c r="M470" s="16">
        <f>IFERROR(IF([2]对账明细接口!$M$470=0,"",[2]对账明细接口!$M$470),"")</f>
      </c>
      <c r="N470" s="19">
        <f>IF($C470="",0,1)</f>
        <v>0</v>
      </c>
      <c r="O470" s="19">
        <f>N(O469)+$N470</f>
        <v>272</v>
      </c>
      <c r="S470" s="20">
        <f>IFERROR(IF([2]对账明细接口!$N470=0,"",[2]对账明细接口!$N470),"")</f>
      </c>
      <c r="T470" s="212">
        <f>IFERROR(IF([2]对账明细接口!$O470=0,"",[2]对账明细接口!$O470),"")</f>
      </c>
      <c r="U470" s="212">
        <f>IFERROR(IF([2]对账明细接口!$P470=0,"",[2]对账明细接口!$P470),"")</f>
      </c>
      <c r="V470" s="212">
        <f>IFERROR(IF([2]对账明细接口!$Q470=0,"",[2]对账明细接口!$Q470),"")</f>
      </c>
      <c r="W470" s="20">
        <f>IFERROR(IF([2]对账明细接口!$R470=0,"",[2]对账明细接口!$R470),"")</f>
      </c>
      <c r="X470" s="20">
        <f>IFERROR(IF([2]对账明细接口!$S470=0,"",[2]对账明细接口!$S470),"")</f>
      </c>
      <c r="Y470" s="20">
        <f>""</f>
      </c>
      <c r="Z470" s="20">
        <f>""</f>
      </c>
      <c r="AA470" s="20">
        <f>""</f>
      </c>
      <c r="AB470" s="20">
        <f>""</f>
      </c>
    </row>
    <row r="471" s="127">
      <c r="A471" s="14" t="n">
        <v>471</v>
      </c>
      <c r="B471" s="211">
        <f>IFERROR(IF([2]对账明细接口!$B$471=0,"",[2]对账明细接口!$B$471),"")</f>
      </c>
      <c r="C471" s="16">
        <f>IFERROR(IF([2]对账明细接口!$C$471=0,"",[2]对账明细接口!$C$471),"")</f>
      </c>
      <c r="D471" s="16">
        <f>IFERROR(IF([2]对账明细接口!$D$471=0,"",[2]对账明细接口!$D$471),"")</f>
      </c>
      <c r="E471" s="16">
        <f>IFERROR(IF([2]对账明细接口!$E$471=0,"",[2]对账明细接口!$E$471),"")</f>
      </c>
      <c r="F471" s="16">
        <f>IFERROR(IF([2]对账明细接口!$F$471=0,"",[2]对账明细接口!$F$471),"")</f>
      </c>
      <c r="G471" s="16">
        <f>IFERROR(IF([2]对账明细接口!$G$471=0,"",[2]对账明细接口!$G$471),"")</f>
      </c>
      <c r="H471" s="176">
        <f>IFERROR(IF([2]对账明细接口!$H$471=0,"",[2]对账明细接口!$H$471),"")</f>
      </c>
      <c r="I471" s="16">
        <f>IFERROR(IF([2]对账明细接口!$I$471=0,"",[2]对账明细接口!$I$471),"")</f>
      </c>
      <c r="J471" s="177">
        <f>IFERROR(IF([2]对账明细接口!$J$471=0,"",[2]对账明细接口!$J$471),"")</f>
      </c>
      <c r="K471" s="177">
        <f>IFERROR(IF([2]对账明细接口!$K$471=0,"",[2]对账明细接口!$K$471),"")</f>
      </c>
      <c r="L471" s="16">
        <f>IFERROR(IF([2]对账明细接口!$L$471=0,"",[2]对账明细接口!$L$471),"")</f>
      </c>
      <c r="M471" s="16">
        <f>IFERROR(IF([2]对账明细接口!$M$471=0,"",[2]对账明细接口!$M$471),"")</f>
      </c>
      <c r="N471" s="19">
        <f>IF($C471="",0,1)</f>
        <v>0</v>
      </c>
      <c r="O471" s="19">
        <f>N(O470)+$N471</f>
        <v>272</v>
      </c>
      <c r="S471" s="20">
        <f>IFERROR(IF([2]对账明细接口!$N471=0,"",[2]对账明细接口!$N471),"")</f>
      </c>
      <c r="T471" s="212">
        <f>IFERROR(IF([2]对账明细接口!$O471=0,"",[2]对账明细接口!$O471),"")</f>
      </c>
      <c r="U471" s="212">
        <f>IFERROR(IF([2]对账明细接口!$P471=0,"",[2]对账明细接口!$P471),"")</f>
      </c>
      <c r="V471" s="212">
        <f>IFERROR(IF([2]对账明细接口!$Q471=0,"",[2]对账明细接口!$Q471),"")</f>
      </c>
      <c r="W471" s="20">
        <f>IFERROR(IF([2]对账明细接口!$R471=0,"",[2]对账明细接口!$R471),"")</f>
      </c>
      <c r="X471" s="20">
        <f>IFERROR(IF([2]对账明细接口!$S471=0,"",[2]对账明细接口!$S471),"")</f>
      </c>
      <c r="Y471" s="20">
        <f>""</f>
      </c>
      <c r="Z471" s="20">
        <f>""</f>
      </c>
      <c r="AA471" s="20">
        <f>""</f>
      </c>
      <c r="AB471" s="20">
        <f>""</f>
      </c>
    </row>
    <row r="472" s="127">
      <c r="A472" s="14" t="n">
        <v>472</v>
      </c>
      <c r="B472" s="211">
        <f>IFERROR(IF([2]对账明细接口!$B$472=0,"",[2]对账明细接口!$B$472),"")</f>
      </c>
      <c r="C472" s="16">
        <f>IFERROR(IF([2]对账明细接口!$C$472=0,"",[2]对账明细接口!$C$472),"")</f>
      </c>
      <c r="D472" s="16">
        <f>IFERROR(IF([2]对账明细接口!$D$472=0,"",[2]对账明细接口!$D$472),"")</f>
      </c>
      <c r="E472" s="16">
        <f>IFERROR(IF([2]对账明细接口!$E$472=0,"",[2]对账明细接口!$E$472),"")</f>
      </c>
      <c r="F472" s="16">
        <f>IFERROR(IF([2]对账明细接口!$F$472=0,"",[2]对账明细接口!$F$472),"")</f>
      </c>
      <c r="G472" s="16">
        <f>IFERROR(IF([2]对账明细接口!$G$472=0,"",[2]对账明细接口!$G$472),"")</f>
      </c>
      <c r="H472" s="176">
        <f>IFERROR(IF([2]对账明细接口!$H$472=0,"",[2]对账明细接口!$H$472),"")</f>
      </c>
      <c r="I472" s="16">
        <f>IFERROR(IF([2]对账明细接口!$I$472=0,"",[2]对账明细接口!$I$472),"")</f>
      </c>
      <c r="J472" s="177">
        <f>IFERROR(IF([2]对账明细接口!$J$472=0,"",[2]对账明细接口!$J$472),"")</f>
      </c>
      <c r="K472" s="177">
        <f>IFERROR(IF([2]对账明细接口!$K$472=0,"",[2]对账明细接口!$K$472),"")</f>
      </c>
      <c r="L472" s="16">
        <f>IFERROR(IF([2]对账明细接口!$L$472=0,"",[2]对账明细接口!$L$472),"")</f>
      </c>
      <c r="M472" s="16">
        <f>IFERROR(IF([2]对账明细接口!$M$472=0,"",[2]对账明细接口!$M$472),"")</f>
      </c>
      <c r="N472" s="19">
        <f>IF($C472="",0,1)</f>
        <v>0</v>
      </c>
      <c r="O472" s="19">
        <f>N(O471)+$N472</f>
        <v>272</v>
      </c>
      <c r="S472" s="20">
        <f>IFERROR(IF([2]对账明细接口!$N472=0,"",[2]对账明细接口!$N472),"")</f>
      </c>
      <c r="T472" s="212">
        <f>IFERROR(IF([2]对账明细接口!$O472=0,"",[2]对账明细接口!$O472),"")</f>
      </c>
      <c r="U472" s="212">
        <f>IFERROR(IF([2]对账明细接口!$P472=0,"",[2]对账明细接口!$P472),"")</f>
      </c>
      <c r="V472" s="212">
        <f>IFERROR(IF([2]对账明细接口!$Q472=0,"",[2]对账明细接口!$Q472),"")</f>
      </c>
      <c r="W472" s="20">
        <f>IFERROR(IF([2]对账明细接口!$R472=0,"",[2]对账明细接口!$R472),"")</f>
      </c>
      <c r="X472" s="20">
        <f>IFERROR(IF([2]对账明细接口!$S472=0,"",[2]对账明细接口!$S472),"")</f>
      </c>
      <c r="Y472" s="20">
        <f>""</f>
      </c>
      <c r="Z472" s="20">
        <f>""</f>
      </c>
      <c r="AA472" s="20">
        <f>""</f>
      </c>
      <c r="AB472" s="20">
        <f>""</f>
      </c>
    </row>
    <row r="473" s="127">
      <c r="A473" s="14" t="n">
        <v>473</v>
      </c>
      <c r="B473" s="211">
        <f>IFERROR(IF([2]对账明细接口!$B$473=0,"",[2]对账明细接口!$B$473),"")</f>
      </c>
      <c r="C473" s="16">
        <f>IFERROR(IF([2]对账明细接口!$C$473=0,"",[2]对账明细接口!$C$473),"")</f>
      </c>
      <c r="D473" s="16">
        <f>IFERROR(IF([2]对账明细接口!$D$473=0,"",[2]对账明细接口!$D$473),"")</f>
      </c>
      <c r="E473" s="16">
        <f>IFERROR(IF([2]对账明细接口!$E$473=0,"",[2]对账明细接口!$E$473),"")</f>
      </c>
      <c r="F473" s="16">
        <f>IFERROR(IF([2]对账明细接口!$F$473=0,"",[2]对账明细接口!$F$473),"")</f>
      </c>
      <c r="G473" s="16">
        <f>IFERROR(IF([2]对账明细接口!$G$473=0,"",[2]对账明细接口!$G$473),"")</f>
      </c>
      <c r="H473" s="176">
        <f>IFERROR(IF([2]对账明细接口!$H$473=0,"",[2]对账明细接口!$H$473),"")</f>
      </c>
      <c r="I473" s="16">
        <f>IFERROR(IF([2]对账明细接口!$I$473=0,"",[2]对账明细接口!$I$473),"")</f>
      </c>
      <c r="J473" s="177">
        <f>IFERROR(IF([2]对账明细接口!$J$473=0,"",[2]对账明细接口!$J$473),"")</f>
      </c>
      <c r="K473" s="177">
        <f>IFERROR(IF([2]对账明细接口!$K$473=0,"",[2]对账明细接口!$K$473),"")</f>
      </c>
      <c r="L473" s="16">
        <f>IFERROR(IF([2]对账明细接口!$L$473=0,"",[2]对账明细接口!$L$473),"")</f>
      </c>
      <c r="M473" s="16">
        <f>IFERROR(IF([2]对账明细接口!$M$473=0,"",[2]对账明细接口!$M$473),"")</f>
      </c>
      <c r="N473" s="19">
        <f>IF($C473="",0,1)</f>
        <v>0</v>
      </c>
      <c r="O473" s="19">
        <f>N(O472)+$N473</f>
        <v>272</v>
      </c>
      <c r="S473" s="20">
        <f>IFERROR(IF([2]对账明细接口!$N473=0,"",[2]对账明细接口!$N473),"")</f>
      </c>
      <c r="T473" s="212">
        <f>IFERROR(IF([2]对账明细接口!$O473=0,"",[2]对账明细接口!$O473),"")</f>
      </c>
      <c r="U473" s="212">
        <f>IFERROR(IF([2]对账明细接口!$P473=0,"",[2]对账明细接口!$P473),"")</f>
      </c>
      <c r="V473" s="212">
        <f>IFERROR(IF([2]对账明细接口!$Q473=0,"",[2]对账明细接口!$Q473),"")</f>
      </c>
      <c r="W473" s="20">
        <f>IFERROR(IF([2]对账明细接口!$R473=0,"",[2]对账明细接口!$R473),"")</f>
      </c>
      <c r="X473" s="20">
        <f>IFERROR(IF([2]对账明细接口!$S473=0,"",[2]对账明细接口!$S473),"")</f>
      </c>
      <c r="Y473" s="20">
        <f>""</f>
      </c>
      <c r="Z473" s="20">
        <f>""</f>
      </c>
      <c r="AA473" s="20">
        <f>""</f>
      </c>
      <c r="AB473" s="20">
        <f>""</f>
      </c>
    </row>
    <row r="474" s="127">
      <c r="A474" s="14" t="n">
        <v>474</v>
      </c>
      <c r="B474" s="211">
        <f>IFERROR(IF([2]对账明细接口!$B$474=0,"",[2]对账明细接口!$B$474),"")</f>
      </c>
      <c r="C474" s="16">
        <f>IFERROR(IF([2]对账明细接口!$C$474=0,"",[2]对账明细接口!$C$474),"")</f>
      </c>
      <c r="D474" s="16">
        <f>IFERROR(IF([2]对账明细接口!$D$474=0,"",[2]对账明细接口!$D$474),"")</f>
      </c>
      <c r="E474" s="16">
        <f>IFERROR(IF([2]对账明细接口!$E$474=0,"",[2]对账明细接口!$E$474),"")</f>
      </c>
      <c r="F474" s="16">
        <f>IFERROR(IF([2]对账明细接口!$F$474=0,"",[2]对账明细接口!$F$474),"")</f>
      </c>
      <c r="G474" s="16">
        <f>IFERROR(IF([2]对账明细接口!$G$474=0,"",[2]对账明细接口!$G$474),"")</f>
      </c>
      <c r="H474" s="176">
        <f>IFERROR(IF([2]对账明细接口!$H$474=0,"",[2]对账明细接口!$H$474),"")</f>
      </c>
      <c r="I474" s="16">
        <f>IFERROR(IF([2]对账明细接口!$I$474=0,"",[2]对账明细接口!$I$474),"")</f>
      </c>
      <c r="J474" s="177">
        <f>IFERROR(IF([2]对账明细接口!$J$474=0,"",[2]对账明细接口!$J$474),"")</f>
      </c>
      <c r="K474" s="177">
        <f>IFERROR(IF([2]对账明细接口!$K$474=0,"",[2]对账明细接口!$K$474),"")</f>
      </c>
      <c r="L474" s="16">
        <f>IFERROR(IF([2]对账明细接口!$L$474=0,"",[2]对账明细接口!$L$474),"")</f>
      </c>
      <c r="M474" s="16">
        <f>IFERROR(IF([2]对账明细接口!$M$474=0,"",[2]对账明细接口!$M$474),"")</f>
      </c>
      <c r="N474" s="19">
        <f>IF($C474="",0,1)</f>
        <v>0</v>
      </c>
      <c r="O474" s="19">
        <f>N(O473)+$N474</f>
        <v>272</v>
      </c>
      <c r="S474" s="20">
        <f>IFERROR(IF([2]对账明细接口!$N474=0,"",[2]对账明细接口!$N474),"")</f>
      </c>
      <c r="T474" s="212">
        <f>IFERROR(IF([2]对账明细接口!$O474=0,"",[2]对账明细接口!$O474),"")</f>
      </c>
      <c r="U474" s="212">
        <f>IFERROR(IF([2]对账明细接口!$P474=0,"",[2]对账明细接口!$P474),"")</f>
      </c>
      <c r="V474" s="212">
        <f>IFERROR(IF([2]对账明细接口!$Q474=0,"",[2]对账明细接口!$Q474),"")</f>
      </c>
      <c r="W474" s="20">
        <f>IFERROR(IF([2]对账明细接口!$R474=0,"",[2]对账明细接口!$R474),"")</f>
      </c>
      <c r="X474" s="20">
        <f>IFERROR(IF([2]对账明细接口!$S474=0,"",[2]对账明细接口!$S474),"")</f>
      </c>
      <c r="Y474" s="20">
        <f>""</f>
      </c>
      <c r="Z474" s="20">
        <f>""</f>
      </c>
      <c r="AA474" s="20">
        <f>""</f>
      </c>
      <c r="AB474" s="20">
        <f>""</f>
      </c>
    </row>
    <row r="475" s="127">
      <c r="A475" s="14" t="n">
        <v>475</v>
      </c>
      <c r="B475" s="211">
        <f>IFERROR(IF([2]对账明细接口!$B$475=0,"",[2]对账明细接口!$B$475),"")</f>
      </c>
      <c r="C475" s="16">
        <f>IFERROR(IF([2]对账明细接口!$C$475=0,"",[2]对账明细接口!$C$475),"")</f>
      </c>
      <c r="D475" s="16">
        <f>IFERROR(IF([2]对账明细接口!$D$475=0,"",[2]对账明细接口!$D$475),"")</f>
      </c>
      <c r="E475" s="16">
        <f>IFERROR(IF([2]对账明细接口!$E$475=0,"",[2]对账明细接口!$E$475),"")</f>
      </c>
      <c r="F475" s="16">
        <f>IFERROR(IF([2]对账明细接口!$F$475=0,"",[2]对账明细接口!$F$475),"")</f>
      </c>
      <c r="G475" s="16">
        <f>IFERROR(IF([2]对账明细接口!$G$475=0,"",[2]对账明细接口!$G$475),"")</f>
      </c>
      <c r="H475" s="176">
        <f>IFERROR(IF([2]对账明细接口!$H$475=0,"",[2]对账明细接口!$H$475),"")</f>
      </c>
      <c r="I475" s="16">
        <f>IFERROR(IF([2]对账明细接口!$I$475=0,"",[2]对账明细接口!$I$475),"")</f>
      </c>
      <c r="J475" s="177">
        <f>IFERROR(IF([2]对账明细接口!$J$475=0,"",[2]对账明细接口!$J$475),"")</f>
      </c>
      <c r="K475" s="177">
        <f>IFERROR(IF([2]对账明细接口!$K$475=0,"",[2]对账明细接口!$K$475),"")</f>
      </c>
      <c r="L475" s="16">
        <f>IFERROR(IF([2]对账明细接口!$L$475=0,"",[2]对账明细接口!$L$475),"")</f>
      </c>
      <c r="M475" s="16">
        <f>IFERROR(IF([2]对账明细接口!$M$475=0,"",[2]对账明细接口!$M$475),"")</f>
      </c>
      <c r="N475" s="19">
        <f>IF($C475="",0,1)</f>
        <v>0</v>
      </c>
      <c r="O475" s="19">
        <f>N(O474)+$N475</f>
        <v>272</v>
      </c>
      <c r="S475" s="20">
        <f>IFERROR(IF([2]对账明细接口!$N475=0,"",[2]对账明细接口!$N475),"")</f>
      </c>
      <c r="T475" s="212">
        <f>IFERROR(IF([2]对账明细接口!$O475=0,"",[2]对账明细接口!$O475),"")</f>
      </c>
      <c r="U475" s="212">
        <f>IFERROR(IF([2]对账明细接口!$P475=0,"",[2]对账明细接口!$P475),"")</f>
      </c>
      <c r="V475" s="212">
        <f>IFERROR(IF([2]对账明细接口!$Q475=0,"",[2]对账明细接口!$Q475),"")</f>
      </c>
      <c r="W475" s="20">
        <f>IFERROR(IF([2]对账明细接口!$R475=0,"",[2]对账明细接口!$R475),"")</f>
      </c>
      <c r="X475" s="20">
        <f>IFERROR(IF([2]对账明细接口!$S475=0,"",[2]对账明细接口!$S475),"")</f>
      </c>
      <c r="Y475" s="20">
        <f>""</f>
      </c>
      <c r="Z475" s="20">
        <f>""</f>
      </c>
      <c r="AA475" s="20">
        <f>""</f>
      </c>
      <c r="AB475" s="20">
        <f>""</f>
      </c>
    </row>
    <row r="476" s="127">
      <c r="A476" s="14" t="n">
        <v>476</v>
      </c>
      <c r="B476" s="211">
        <f>IFERROR(IF([2]对账明细接口!$B$476=0,"",[2]对账明细接口!$B$476),"")</f>
      </c>
      <c r="C476" s="16">
        <f>IFERROR(IF([2]对账明细接口!$C$476=0,"",[2]对账明细接口!$C$476),"")</f>
      </c>
      <c r="D476" s="16">
        <f>IFERROR(IF([2]对账明细接口!$D$476=0,"",[2]对账明细接口!$D$476),"")</f>
      </c>
      <c r="E476" s="16">
        <f>IFERROR(IF([2]对账明细接口!$E$476=0,"",[2]对账明细接口!$E$476),"")</f>
      </c>
      <c r="F476" s="16">
        <f>IFERROR(IF([2]对账明细接口!$F$476=0,"",[2]对账明细接口!$F$476),"")</f>
      </c>
      <c r="G476" s="16">
        <f>IFERROR(IF([2]对账明细接口!$G$476=0,"",[2]对账明细接口!$G$476),"")</f>
      </c>
      <c r="H476" s="176">
        <f>IFERROR(IF([2]对账明细接口!$H$476=0,"",[2]对账明细接口!$H$476),"")</f>
      </c>
      <c r="I476" s="16">
        <f>IFERROR(IF([2]对账明细接口!$I$476=0,"",[2]对账明细接口!$I$476),"")</f>
      </c>
      <c r="J476" s="177">
        <f>IFERROR(IF([2]对账明细接口!$J$476=0,"",[2]对账明细接口!$J$476),"")</f>
      </c>
      <c r="K476" s="177">
        <f>IFERROR(IF([2]对账明细接口!$K$476=0,"",[2]对账明细接口!$K$476),"")</f>
      </c>
      <c r="L476" s="16">
        <f>IFERROR(IF([2]对账明细接口!$L$476=0,"",[2]对账明细接口!$L$476),"")</f>
      </c>
      <c r="M476" s="16">
        <f>IFERROR(IF([2]对账明细接口!$M$476=0,"",[2]对账明细接口!$M$476),"")</f>
      </c>
      <c r="N476" s="19">
        <f>IF($C476="",0,1)</f>
        <v>0</v>
      </c>
      <c r="O476" s="19">
        <f>N(O475)+$N476</f>
        <v>272</v>
      </c>
      <c r="S476" s="20">
        <f>IFERROR(IF([2]对账明细接口!$N476=0,"",[2]对账明细接口!$N476),"")</f>
      </c>
      <c r="T476" s="212">
        <f>IFERROR(IF([2]对账明细接口!$O476=0,"",[2]对账明细接口!$O476),"")</f>
      </c>
      <c r="U476" s="212">
        <f>IFERROR(IF([2]对账明细接口!$P476=0,"",[2]对账明细接口!$P476),"")</f>
      </c>
      <c r="V476" s="212">
        <f>IFERROR(IF([2]对账明细接口!$Q476=0,"",[2]对账明细接口!$Q476),"")</f>
      </c>
      <c r="W476" s="20">
        <f>IFERROR(IF([2]对账明细接口!$R476=0,"",[2]对账明细接口!$R476),"")</f>
      </c>
      <c r="X476" s="20">
        <f>IFERROR(IF([2]对账明细接口!$S476=0,"",[2]对账明细接口!$S476),"")</f>
      </c>
      <c r="Y476" s="20">
        <f>""</f>
      </c>
      <c r="Z476" s="20">
        <f>""</f>
      </c>
      <c r="AA476" s="20">
        <f>""</f>
      </c>
      <c r="AB476" s="20">
        <f>""</f>
      </c>
    </row>
    <row r="477" s="127">
      <c r="A477" s="14" t="n">
        <v>477</v>
      </c>
      <c r="B477" s="211">
        <f>IFERROR(IF([2]对账明细接口!$B$477=0,"",[2]对账明细接口!$B$477),"")</f>
      </c>
      <c r="C477" s="16">
        <f>IFERROR(IF([2]对账明细接口!$C$477=0,"",[2]对账明细接口!$C$477),"")</f>
      </c>
      <c r="D477" s="16">
        <f>IFERROR(IF([2]对账明细接口!$D$477=0,"",[2]对账明细接口!$D$477),"")</f>
      </c>
      <c r="E477" s="16">
        <f>IFERROR(IF([2]对账明细接口!$E$477=0,"",[2]对账明细接口!$E$477),"")</f>
      </c>
      <c r="F477" s="16">
        <f>IFERROR(IF([2]对账明细接口!$F$477=0,"",[2]对账明细接口!$F$477),"")</f>
      </c>
      <c r="G477" s="16">
        <f>IFERROR(IF([2]对账明细接口!$G$477=0,"",[2]对账明细接口!$G$477),"")</f>
      </c>
      <c r="H477" s="176">
        <f>IFERROR(IF([2]对账明细接口!$H$477=0,"",[2]对账明细接口!$H$477),"")</f>
      </c>
      <c r="I477" s="16">
        <f>IFERROR(IF([2]对账明细接口!$I$477=0,"",[2]对账明细接口!$I$477),"")</f>
      </c>
      <c r="J477" s="177">
        <f>IFERROR(IF([2]对账明细接口!$J$477=0,"",[2]对账明细接口!$J$477),"")</f>
      </c>
      <c r="K477" s="177">
        <f>IFERROR(IF([2]对账明细接口!$K$477=0,"",[2]对账明细接口!$K$477),"")</f>
      </c>
      <c r="L477" s="16">
        <f>IFERROR(IF([2]对账明细接口!$L$477=0,"",[2]对账明细接口!$L$477),"")</f>
      </c>
      <c r="M477" s="16">
        <f>IFERROR(IF([2]对账明细接口!$M$477=0,"",[2]对账明细接口!$M$477),"")</f>
      </c>
      <c r="N477" s="19">
        <f>IF($C477="",0,1)</f>
        <v>0</v>
      </c>
      <c r="O477" s="19">
        <f>N(O476)+$N477</f>
        <v>272</v>
      </c>
      <c r="S477" s="20">
        <f>IFERROR(IF([2]对账明细接口!$N477=0,"",[2]对账明细接口!$N477),"")</f>
      </c>
      <c r="T477" s="212">
        <f>IFERROR(IF([2]对账明细接口!$O477=0,"",[2]对账明细接口!$O477),"")</f>
      </c>
      <c r="U477" s="212">
        <f>IFERROR(IF([2]对账明细接口!$P477=0,"",[2]对账明细接口!$P477),"")</f>
      </c>
      <c r="V477" s="212">
        <f>IFERROR(IF([2]对账明细接口!$Q477=0,"",[2]对账明细接口!$Q477),"")</f>
      </c>
      <c r="W477" s="20">
        <f>IFERROR(IF([2]对账明细接口!$R477=0,"",[2]对账明细接口!$R477),"")</f>
      </c>
      <c r="X477" s="20">
        <f>IFERROR(IF([2]对账明细接口!$S477=0,"",[2]对账明细接口!$S477),"")</f>
      </c>
      <c r="Y477" s="20">
        <f>""</f>
      </c>
      <c r="Z477" s="20">
        <f>""</f>
      </c>
      <c r="AA477" s="20">
        <f>""</f>
      </c>
      <c r="AB477" s="20">
        <f>""</f>
      </c>
    </row>
    <row r="478" s="127">
      <c r="A478" s="14" t="n">
        <v>478</v>
      </c>
      <c r="B478" s="211">
        <f>IFERROR(IF([2]对账明细接口!$B$478=0,"",[2]对账明细接口!$B$478),"")</f>
      </c>
      <c r="C478" s="16">
        <f>IFERROR(IF([2]对账明细接口!$C$478=0,"",[2]对账明细接口!$C$478),"")</f>
      </c>
      <c r="D478" s="16">
        <f>IFERROR(IF([2]对账明细接口!$D$478=0,"",[2]对账明细接口!$D$478),"")</f>
      </c>
      <c r="E478" s="16">
        <f>IFERROR(IF([2]对账明细接口!$E$478=0,"",[2]对账明细接口!$E$478),"")</f>
      </c>
      <c r="F478" s="16">
        <f>IFERROR(IF([2]对账明细接口!$F$478=0,"",[2]对账明细接口!$F$478),"")</f>
      </c>
      <c r="G478" s="16">
        <f>IFERROR(IF([2]对账明细接口!$G$478=0,"",[2]对账明细接口!$G$478),"")</f>
      </c>
      <c r="H478" s="176">
        <f>IFERROR(IF([2]对账明细接口!$H$478=0,"",[2]对账明细接口!$H$478),"")</f>
      </c>
      <c r="I478" s="16">
        <f>IFERROR(IF([2]对账明细接口!$I$478=0,"",[2]对账明细接口!$I$478),"")</f>
      </c>
      <c r="J478" s="177">
        <f>IFERROR(IF([2]对账明细接口!$J$478=0,"",[2]对账明细接口!$J$478),"")</f>
      </c>
      <c r="K478" s="177">
        <f>IFERROR(IF([2]对账明细接口!$K$478=0,"",[2]对账明细接口!$K$478),"")</f>
      </c>
      <c r="L478" s="16">
        <f>IFERROR(IF([2]对账明细接口!$L$478=0,"",[2]对账明细接口!$L$478),"")</f>
      </c>
      <c r="M478" s="16">
        <f>IFERROR(IF([2]对账明细接口!$M$478=0,"",[2]对账明细接口!$M$478),"")</f>
      </c>
      <c r="N478" s="19">
        <f>IF($C478="",0,1)</f>
        <v>0</v>
      </c>
      <c r="O478" s="19">
        <f>N(O477)+$N478</f>
        <v>272</v>
      </c>
      <c r="S478" s="20">
        <f>IFERROR(IF([2]对账明细接口!$N478=0,"",[2]对账明细接口!$N478),"")</f>
      </c>
      <c r="T478" s="212">
        <f>IFERROR(IF([2]对账明细接口!$O478=0,"",[2]对账明细接口!$O478),"")</f>
      </c>
      <c r="U478" s="212">
        <f>IFERROR(IF([2]对账明细接口!$P478=0,"",[2]对账明细接口!$P478),"")</f>
      </c>
      <c r="V478" s="212">
        <f>IFERROR(IF([2]对账明细接口!$Q478=0,"",[2]对账明细接口!$Q478),"")</f>
      </c>
      <c r="W478" s="20">
        <f>IFERROR(IF([2]对账明细接口!$R478=0,"",[2]对账明细接口!$R478),"")</f>
      </c>
      <c r="X478" s="20">
        <f>IFERROR(IF([2]对账明细接口!$S478=0,"",[2]对账明细接口!$S478),"")</f>
      </c>
      <c r="Y478" s="20">
        <f>""</f>
      </c>
      <c r="Z478" s="20">
        <f>""</f>
      </c>
      <c r="AA478" s="20">
        <f>""</f>
      </c>
      <c r="AB478" s="20">
        <f>""</f>
      </c>
    </row>
    <row r="479" s="127">
      <c r="A479" s="14" t="n">
        <v>479</v>
      </c>
      <c r="B479" s="211">
        <f>IFERROR(IF([2]对账明细接口!$B$479=0,"",[2]对账明细接口!$B$479),"")</f>
      </c>
      <c r="C479" s="16">
        <f>IFERROR(IF([2]对账明细接口!$C$479=0,"",[2]对账明细接口!$C$479),"")</f>
      </c>
      <c r="D479" s="16">
        <f>IFERROR(IF([2]对账明细接口!$D$479=0,"",[2]对账明细接口!$D$479),"")</f>
      </c>
      <c r="E479" s="16">
        <f>IFERROR(IF([2]对账明细接口!$E$479=0,"",[2]对账明细接口!$E$479),"")</f>
      </c>
      <c r="F479" s="16">
        <f>IFERROR(IF([2]对账明细接口!$F$479=0,"",[2]对账明细接口!$F$479),"")</f>
      </c>
      <c r="G479" s="16">
        <f>IFERROR(IF([2]对账明细接口!$G$479=0,"",[2]对账明细接口!$G$479),"")</f>
      </c>
      <c r="H479" s="176">
        <f>IFERROR(IF([2]对账明细接口!$H$479=0,"",[2]对账明细接口!$H$479),"")</f>
      </c>
      <c r="I479" s="16">
        <f>IFERROR(IF([2]对账明细接口!$I$479=0,"",[2]对账明细接口!$I$479),"")</f>
      </c>
      <c r="J479" s="177">
        <f>IFERROR(IF([2]对账明细接口!$J$479=0,"",[2]对账明细接口!$J$479),"")</f>
      </c>
      <c r="K479" s="177">
        <f>IFERROR(IF([2]对账明细接口!$K$479=0,"",[2]对账明细接口!$K$479),"")</f>
      </c>
      <c r="L479" s="16">
        <f>IFERROR(IF([2]对账明细接口!$L$479=0,"",[2]对账明细接口!$L$479),"")</f>
      </c>
      <c r="M479" s="16">
        <f>IFERROR(IF([2]对账明细接口!$M$479=0,"",[2]对账明细接口!$M$479),"")</f>
      </c>
      <c r="N479" s="19">
        <f>IF($C479="",0,1)</f>
        <v>0</v>
      </c>
      <c r="O479" s="19">
        <f>N(O478)+$N479</f>
        <v>272</v>
      </c>
      <c r="S479" s="20">
        <f>IFERROR(IF([2]对账明细接口!$N479=0,"",[2]对账明细接口!$N479),"")</f>
      </c>
      <c r="T479" s="212">
        <f>IFERROR(IF([2]对账明细接口!$O479=0,"",[2]对账明细接口!$O479),"")</f>
      </c>
      <c r="U479" s="212">
        <f>IFERROR(IF([2]对账明细接口!$P479=0,"",[2]对账明细接口!$P479),"")</f>
      </c>
      <c r="V479" s="212">
        <f>IFERROR(IF([2]对账明细接口!$Q479=0,"",[2]对账明细接口!$Q479),"")</f>
      </c>
      <c r="W479" s="20">
        <f>IFERROR(IF([2]对账明细接口!$R479=0,"",[2]对账明细接口!$R479),"")</f>
      </c>
      <c r="X479" s="20">
        <f>IFERROR(IF([2]对账明细接口!$S479=0,"",[2]对账明细接口!$S479),"")</f>
      </c>
      <c r="Y479" s="20">
        <f>""</f>
      </c>
      <c r="Z479" s="20">
        <f>""</f>
      </c>
      <c r="AA479" s="20">
        <f>""</f>
      </c>
      <c r="AB479" s="20">
        <f>""</f>
      </c>
    </row>
    <row r="480" s="127">
      <c r="A480" s="14" t="n">
        <v>480</v>
      </c>
      <c r="B480" s="211">
        <f>IFERROR(IF([2]对账明细接口!$B$480=0,"",[2]对账明细接口!$B$480),"")</f>
      </c>
      <c r="C480" s="16">
        <f>IFERROR(IF([2]对账明细接口!$C$480=0,"",[2]对账明细接口!$C$480),"")</f>
      </c>
      <c r="D480" s="16">
        <f>IFERROR(IF([2]对账明细接口!$D$480=0,"",[2]对账明细接口!$D$480),"")</f>
      </c>
      <c r="E480" s="16">
        <f>IFERROR(IF([2]对账明细接口!$E$480=0,"",[2]对账明细接口!$E$480),"")</f>
      </c>
      <c r="F480" s="16">
        <f>IFERROR(IF([2]对账明细接口!$F$480=0,"",[2]对账明细接口!$F$480),"")</f>
      </c>
      <c r="G480" s="16">
        <f>IFERROR(IF([2]对账明细接口!$G$480=0,"",[2]对账明细接口!$G$480),"")</f>
      </c>
      <c r="H480" s="176">
        <f>IFERROR(IF([2]对账明细接口!$H$480=0,"",[2]对账明细接口!$H$480),"")</f>
      </c>
      <c r="I480" s="16">
        <f>IFERROR(IF([2]对账明细接口!$I$480=0,"",[2]对账明细接口!$I$480),"")</f>
      </c>
      <c r="J480" s="177">
        <f>IFERROR(IF([2]对账明细接口!$J$480=0,"",[2]对账明细接口!$J$480),"")</f>
      </c>
      <c r="K480" s="177">
        <f>IFERROR(IF([2]对账明细接口!$K$480=0,"",[2]对账明细接口!$K$480),"")</f>
      </c>
      <c r="L480" s="16">
        <f>IFERROR(IF([2]对账明细接口!$L$480=0,"",[2]对账明细接口!$L$480),"")</f>
      </c>
      <c r="M480" s="16">
        <f>IFERROR(IF([2]对账明细接口!$M$480=0,"",[2]对账明细接口!$M$480),"")</f>
      </c>
      <c r="N480" s="19">
        <f>IF($C480="",0,1)</f>
        <v>0</v>
      </c>
      <c r="O480" s="19">
        <f>N(O479)+$N480</f>
        <v>272</v>
      </c>
      <c r="S480" s="20">
        <f>IFERROR(IF([2]对账明细接口!$N480=0,"",[2]对账明细接口!$N480),"")</f>
      </c>
      <c r="T480" s="212">
        <f>IFERROR(IF([2]对账明细接口!$O480=0,"",[2]对账明细接口!$O480),"")</f>
      </c>
      <c r="U480" s="212">
        <f>IFERROR(IF([2]对账明细接口!$P480=0,"",[2]对账明细接口!$P480),"")</f>
      </c>
      <c r="V480" s="212">
        <f>IFERROR(IF([2]对账明细接口!$Q480=0,"",[2]对账明细接口!$Q480),"")</f>
      </c>
      <c r="W480" s="20">
        <f>IFERROR(IF([2]对账明细接口!$R480=0,"",[2]对账明细接口!$R480),"")</f>
      </c>
      <c r="X480" s="20">
        <f>IFERROR(IF([2]对账明细接口!$S480=0,"",[2]对账明细接口!$S480),"")</f>
      </c>
      <c r="Y480" s="20">
        <f>""</f>
      </c>
      <c r="Z480" s="20">
        <f>""</f>
      </c>
      <c r="AA480" s="20">
        <f>""</f>
      </c>
      <c r="AB480" s="20">
        <f>""</f>
      </c>
    </row>
    <row r="481" s="127">
      <c r="A481" s="14" t="n">
        <v>481</v>
      </c>
      <c r="B481" s="211">
        <f>IFERROR(IF([2]对账明细接口!$B$481=0,"",[2]对账明细接口!$B$481),"")</f>
      </c>
      <c r="C481" s="16">
        <f>IFERROR(IF([2]对账明细接口!$C$481=0,"",[2]对账明细接口!$C$481),"")</f>
      </c>
      <c r="D481" s="16">
        <f>IFERROR(IF([2]对账明细接口!$D$481=0,"",[2]对账明细接口!$D$481),"")</f>
      </c>
      <c r="E481" s="16">
        <f>IFERROR(IF([2]对账明细接口!$E$481=0,"",[2]对账明细接口!$E$481),"")</f>
      </c>
      <c r="F481" s="16">
        <f>IFERROR(IF([2]对账明细接口!$F$481=0,"",[2]对账明细接口!$F$481),"")</f>
      </c>
      <c r="G481" s="16">
        <f>IFERROR(IF([2]对账明细接口!$G$481=0,"",[2]对账明细接口!$G$481),"")</f>
      </c>
      <c r="H481" s="176">
        <f>IFERROR(IF([2]对账明细接口!$H$481=0,"",[2]对账明细接口!$H$481),"")</f>
      </c>
      <c r="I481" s="16">
        <f>IFERROR(IF([2]对账明细接口!$I$481=0,"",[2]对账明细接口!$I$481),"")</f>
      </c>
      <c r="J481" s="177">
        <f>IFERROR(IF([2]对账明细接口!$J$481=0,"",[2]对账明细接口!$J$481),"")</f>
      </c>
      <c r="K481" s="177">
        <f>IFERROR(IF([2]对账明细接口!$K$481=0,"",[2]对账明细接口!$K$481),"")</f>
      </c>
      <c r="L481" s="16">
        <f>IFERROR(IF([2]对账明细接口!$L$481=0,"",[2]对账明细接口!$L$481),"")</f>
      </c>
      <c r="M481" s="16">
        <f>IFERROR(IF([2]对账明细接口!$M$481=0,"",[2]对账明细接口!$M$481),"")</f>
      </c>
      <c r="N481" s="19">
        <f>IF($C481="",0,1)</f>
        <v>0</v>
      </c>
      <c r="O481" s="19">
        <f>N(O480)+$N481</f>
        <v>272</v>
      </c>
      <c r="S481" s="20">
        <f>IFERROR(IF([2]对账明细接口!$N481=0,"",[2]对账明细接口!$N481),"")</f>
      </c>
      <c r="T481" s="212">
        <f>IFERROR(IF([2]对账明细接口!$O481=0,"",[2]对账明细接口!$O481),"")</f>
      </c>
      <c r="U481" s="212">
        <f>IFERROR(IF([2]对账明细接口!$P481=0,"",[2]对账明细接口!$P481),"")</f>
      </c>
      <c r="V481" s="212">
        <f>IFERROR(IF([2]对账明细接口!$Q481=0,"",[2]对账明细接口!$Q481),"")</f>
      </c>
      <c r="W481" s="20">
        <f>IFERROR(IF([2]对账明细接口!$R481=0,"",[2]对账明细接口!$R481),"")</f>
      </c>
      <c r="X481" s="20">
        <f>IFERROR(IF([2]对账明细接口!$S481=0,"",[2]对账明细接口!$S481),"")</f>
      </c>
      <c r="Y481" s="20">
        <f>""</f>
      </c>
      <c r="Z481" s="20">
        <f>""</f>
      </c>
      <c r="AA481" s="20">
        <f>""</f>
      </c>
      <c r="AB481" s="20">
        <f>""</f>
      </c>
    </row>
    <row r="482" s="127">
      <c r="A482" s="14" t="n">
        <v>482</v>
      </c>
      <c r="B482" s="211">
        <f>IFERROR(IF([2]对账明细接口!$B$482=0,"",[2]对账明细接口!$B$482),"")</f>
      </c>
      <c r="C482" s="16">
        <f>IFERROR(IF([2]对账明细接口!$C$482=0,"",[2]对账明细接口!$C$482),"")</f>
      </c>
      <c r="D482" s="16">
        <f>IFERROR(IF([2]对账明细接口!$D$482=0,"",[2]对账明细接口!$D$482),"")</f>
      </c>
      <c r="E482" s="16">
        <f>IFERROR(IF([2]对账明细接口!$E$482=0,"",[2]对账明细接口!$E$482),"")</f>
      </c>
      <c r="F482" s="16">
        <f>IFERROR(IF([2]对账明细接口!$F$482=0,"",[2]对账明细接口!$F$482),"")</f>
      </c>
      <c r="G482" s="16">
        <f>IFERROR(IF([2]对账明细接口!$G$482=0,"",[2]对账明细接口!$G$482),"")</f>
      </c>
      <c r="H482" s="176">
        <f>IFERROR(IF([2]对账明细接口!$H$482=0,"",[2]对账明细接口!$H$482),"")</f>
      </c>
      <c r="I482" s="16">
        <f>IFERROR(IF([2]对账明细接口!$I$482=0,"",[2]对账明细接口!$I$482),"")</f>
      </c>
      <c r="J482" s="177">
        <f>IFERROR(IF([2]对账明细接口!$J$482=0,"",[2]对账明细接口!$J$482),"")</f>
      </c>
      <c r="K482" s="177">
        <f>IFERROR(IF([2]对账明细接口!$K$482=0,"",[2]对账明细接口!$K$482),"")</f>
      </c>
      <c r="L482" s="16">
        <f>IFERROR(IF([2]对账明细接口!$L$482=0,"",[2]对账明细接口!$L$482),"")</f>
      </c>
      <c r="M482" s="16">
        <f>IFERROR(IF([2]对账明细接口!$M$482=0,"",[2]对账明细接口!$M$482),"")</f>
      </c>
      <c r="N482" s="19">
        <f>IF($C482="",0,1)</f>
        <v>0</v>
      </c>
      <c r="O482" s="19">
        <f>N(O481)+$N482</f>
        <v>272</v>
      </c>
      <c r="S482" s="20">
        <f>IFERROR(IF([2]对账明细接口!$N482=0,"",[2]对账明细接口!$N482),"")</f>
      </c>
      <c r="T482" s="212">
        <f>IFERROR(IF([2]对账明细接口!$O482=0,"",[2]对账明细接口!$O482),"")</f>
      </c>
      <c r="U482" s="212">
        <f>IFERROR(IF([2]对账明细接口!$P482=0,"",[2]对账明细接口!$P482),"")</f>
      </c>
      <c r="V482" s="212">
        <f>IFERROR(IF([2]对账明细接口!$Q482=0,"",[2]对账明细接口!$Q482),"")</f>
      </c>
      <c r="W482" s="20">
        <f>IFERROR(IF([2]对账明细接口!$R482=0,"",[2]对账明细接口!$R482),"")</f>
      </c>
      <c r="X482" s="20">
        <f>IFERROR(IF([2]对账明细接口!$S482=0,"",[2]对账明细接口!$S482),"")</f>
      </c>
      <c r="Y482" s="20">
        <f>""</f>
      </c>
      <c r="Z482" s="20">
        <f>""</f>
      </c>
      <c r="AA482" s="20">
        <f>""</f>
      </c>
      <c r="AB482" s="20">
        <f>""</f>
      </c>
    </row>
    <row r="483" s="127">
      <c r="A483" s="14" t="n">
        <v>483</v>
      </c>
      <c r="B483" s="211">
        <f>IFERROR(IF([2]对账明细接口!$B$483=0,"",[2]对账明细接口!$B$483),"")</f>
      </c>
      <c r="C483" s="16">
        <f>IFERROR(IF([2]对账明细接口!$C$483=0,"",[2]对账明细接口!$C$483),"")</f>
      </c>
      <c r="D483" s="16">
        <f>IFERROR(IF([2]对账明细接口!$D$483=0,"",[2]对账明细接口!$D$483),"")</f>
      </c>
      <c r="E483" s="16">
        <f>IFERROR(IF([2]对账明细接口!$E$483=0,"",[2]对账明细接口!$E$483),"")</f>
      </c>
      <c r="F483" s="16">
        <f>IFERROR(IF([2]对账明细接口!$F$483=0,"",[2]对账明细接口!$F$483),"")</f>
      </c>
      <c r="G483" s="16">
        <f>IFERROR(IF([2]对账明细接口!$G$483=0,"",[2]对账明细接口!$G$483),"")</f>
      </c>
      <c r="H483" s="176">
        <f>IFERROR(IF([2]对账明细接口!$H$483=0,"",[2]对账明细接口!$H$483),"")</f>
      </c>
      <c r="I483" s="16">
        <f>IFERROR(IF([2]对账明细接口!$I$483=0,"",[2]对账明细接口!$I$483),"")</f>
      </c>
      <c r="J483" s="177">
        <f>IFERROR(IF([2]对账明细接口!$J$483=0,"",[2]对账明细接口!$J$483),"")</f>
      </c>
      <c r="K483" s="177">
        <f>IFERROR(IF([2]对账明细接口!$K$483=0,"",[2]对账明细接口!$K$483),"")</f>
      </c>
      <c r="L483" s="16">
        <f>IFERROR(IF([2]对账明细接口!$L$483=0,"",[2]对账明细接口!$L$483),"")</f>
      </c>
      <c r="M483" s="16">
        <f>IFERROR(IF([2]对账明细接口!$M$483=0,"",[2]对账明细接口!$M$483),"")</f>
      </c>
      <c r="N483" s="19">
        <f>IF($C483="",0,1)</f>
        <v>0</v>
      </c>
      <c r="O483" s="19">
        <f>N(O482)+$N483</f>
        <v>272</v>
      </c>
      <c r="S483" s="20">
        <f>IFERROR(IF([2]对账明细接口!$N483=0,"",[2]对账明细接口!$N483),"")</f>
      </c>
      <c r="T483" s="212">
        <f>IFERROR(IF([2]对账明细接口!$O483=0,"",[2]对账明细接口!$O483),"")</f>
      </c>
      <c r="U483" s="212">
        <f>IFERROR(IF([2]对账明细接口!$P483=0,"",[2]对账明细接口!$P483),"")</f>
      </c>
      <c r="V483" s="212">
        <f>IFERROR(IF([2]对账明细接口!$Q483=0,"",[2]对账明细接口!$Q483),"")</f>
      </c>
      <c r="W483" s="20">
        <f>IFERROR(IF([2]对账明细接口!$R483=0,"",[2]对账明细接口!$R483),"")</f>
      </c>
      <c r="X483" s="20">
        <f>IFERROR(IF([2]对账明细接口!$S483=0,"",[2]对账明细接口!$S483),"")</f>
      </c>
      <c r="Y483" s="20">
        <f>""</f>
      </c>
      <c r="Z483" s="20">
        <f>""</f>
      </c>
      <c r="AA483" s="20">
        <f>""</f>
      </c>
      <c r="AB483" s="20">
        <f>""</f>
      </c>
    </row>
    <row r="484" s="127">
      <c r="A484" s="14" t="n">
        <v>484</v>
      </c>
      <c r="B484" s="211">
        <f>IFERROR(IF([2]对账明细接口!$B$484=0,"",[2]对账明细接口!$B$484),"")</f>
      </c>
      <c r="C484" s="16">
        <f>IFERROR(IF([2]对账明细接口!$C$484=0,"",[2]对账明细接口!$C$484),"")</f>
      </c>
      <c r="D484" s="16">
        <f>IFERROR(IF([2]对账明细接口!$D$484=0,"",[2]对账明细接口!$D$484),"")</f>
      </c>
      <c r="E484" s="16">
        <f>IFERROR(IF([2]对账明细接口!$E$484=0,"",[2]对账明细接口!$E$484),"")</f>
      </c>
      <c r="F484" s="16">
        <f>IFERROR(IF([2]对账明细接口!$F$484=0,"",[2]对账明细接口!$F$484),"")</f>
      </c>
      <c r="G484" s="16">
        <f>IFERROR(IF([2]对账明细接口!$G$484=0,"",[2]对账明细接口!$G$484),"")</f>
      </c>
      <c r="H484" s="176">
        <f>IFERROR(IF([2]对账明细接口!$H$484=0,"",[2]对账明细接口!$H$484),"")</f>
      </c>
      <c r="I484" s="16">
        <f>IFERROR(IF([2]对账明细接口!$I$484=0,"",[2]对账明细接口!$I$484),"")</f>
      </c>
      <c r="J484" s="177">
        <f>IFERROR(IF([2]对账明细接口!$J$484=0,"",[2]对账明细接口!$J$484),"")</f>
      </c>
      <c r="K484" s="177">
        <f>IFERROR(IF([2]对账明细接口!$K$484=0,"",[2]对账明细接口!$K$484),"")</f>
      </c>
      <c r="L484" s="16">
        <f>IFERROR(IF([2]对账明细接口!$L$484=0,"",[2]对账明细接口!$L$484),"")</f>
      </c>
      <c r="M484" s="16">
        <f>IFERROR(IF([2]对账明细接口!$M$484=0,"",[2]对账明细接口!$M$484),"")</f>
      </c>
      <c r="N484" s="19">
        <f>IF($C484="",0,1)</f>
        <v>0</v>
      </c>
      <c r="O484" s="19">
        <f>N(O483)+$N484</f>
        <v>272</v>
      </c>
      <c r="S484" s="20">
        <f>IFERROR(IF([2]对账明细接口!$N484=0,"",[2]对账明细接口!$N484),"")</f>
      </c>
      <c r="T484" s="212">
        <f>IFERROR(IF([2]对账明细接口!$O484=0,"",[2]对账明细接口!$O484),"")</f>
      </c>
      <c r="U484" s="212">
        <f>IFERROR(IF([2]对账明细接口!$P484=0,"",[2]对账明细接口!$P484),"")</f>
      </c>
      <c r="V484" s="212">
        <f>IFERROR(IF([2]对账明细接口!$Q484=0,"",[2]对账明细接口!$Q484),"")</f>
      </c>
      <c r="W484" s="20">
        <f>IFERROR(IF([2]对账明细接口!$R484=0,"",[2]对账明细接口!$R484),"")</f>
      </c>
      <c r="X484" s="20">
        <f>IFERROR(IF([2]对账明细接口!$S484=0,"",[2]对账明细接口!$S484),"")</f>
      </c>
      <c r="Y484" s="20">
        <f>""</f>
      </c>
      <c r="Z484" s="20">
        <f>""</f>
      </c>
      <c r="AA484" s="20">
        <f>""</f>
      </c>
      <c r="AB484" s="20">
        <f>""</f>
      </c>
    </row>
    <row r="485" s="127">
      <c r="A485" s="14" t="n">
        <v>485</v>
      </c>
      <c r="B485" s="211">
        <f>IFERROR(IF([2]对账明细接口!$B$485=0,"",[2]对账明细接口!$B$485),"")</f>
      </c>
      <c r="C485" s="16">
        <f>IFERROR(IF([2]对账明细接口!$C$485=0,"",[2]对账明细接口!$C$485),"")</f>
      </c>
      <c r="D485" s="16">
        <f>IFERROR(IF([2]对账明细接口!$D$485=0,"",[2]对账明细接口!$D$485),"")</f>
      </c>
      <c r="E485" s="16">
        <f>IFERROR(IF([2]对账明细接口!$E$485=0,"",[2]对账明细接口!$E$485),"")</f>
      </c>
      <c r="F485" s="16">
        <f>IFERROR(IF([2]对账明细接口!$F$485=0,"",[2]对账明细接口!$F$485),"")</f>
      </c>
      <c r="G485" s="16">
        <f>IFERROR(IF([2]对账明细接口!$G$485=0,"",[2]对账明细接口!$G$485),"")</f>
      </c>
      <c r="H485" s="176">
        <f>IFERROR(IF([2]对账明细接口!$H$485=0,"",[2]对账明细接口!$H$485),"")</f>
      </c>
      <c r="I485" s="16">
        <f>IFERROR(IF([2]对账明细接口!$I$485=0,"",[2]对账明细接口!$I$485),"")</f>
      </c>
      <c r="J485" s="177">
        <f>IFERROR(IF([2]对账明细接口!$J$485=0,"",[2]对账明细接口!$J$485),"")</f>
      </c>
      <c r="K485" s="177">
        <f>IFERROR(IF([2]对账明细接口!$K$485=0,"",[2]对账明细接口!$K$485),"")</f>
      </c>
      <c r="L485" s="16">
        <f>IFERROR(IF([2]对账明细接口!$L$485=0,"",[2]对账明细接口!$L$485),"")</f>
      </c>
      <c r="M485" s="16">
        <f>IFERROR(IF([2]对账明细接口!$M$485=0,"",[2]对账明细接口!$M$485),"")</f>
      </c>
      <c r="N485" s="19">
        <f>IF($C485="",0,1)</f>
        <v>0</v>
      </c>
      <c r="O485" s="19">
        <f>N(O484)+$N485</f>
        <v>272</v>
      </c>
      <c r="S485" s="20">
        <f>IFERROR(IF([2]对账明细接口!$N485=0,"",[2]对账明细接口!$N485),"")</f>
      </c>
      <c r="T485" s="212">
        <f>IFERROR(IF([2]对账明细接口!$O485=0,"",[2]对账明细接口!$O485),"")</f>
      </c>
      <c r="U485" s="212">
        <f>IFERROR(IF([2]对账明细接口!$P485=0,"",[2]对账明细接口!$P485),"")</f>
      </c>
      <c r="V485" s="212">
        <f>IFERROR(IF([2]对账明细接口!$Q485=0,"",[2]对账明细接口!$Q485),"")</f>
      </c>
      <c r="W485" s="20">
        <f>IFERROR(IF([2]对账明细接口!$R485=0,"",[2]对账明细接口!$R485),"")</f>
      </c>
      <c r="X485" s="20">
        <f>IFERROR(IF([2]对账明细接口!$S485=0,"",[2]对账明细接口!$S485),"")</f>
      </c>
      <c r="Y485" s="20">
        <f>""</f>
      </c>
      <c r="Z485" s="20">
        <f>""</f>
      </c>
      <c r="AA485" s="20">
        <f>""</f>
      </c>
      <c r="AB485" s="20">
        <f>""</f>
      </c>
    </row>
    <row r="486" s="127">
      <c r="A486" s="14" t="n">
        <v>486</v>
      </c>
      <c r="B486" s="211">
        <f>IFERROR(IF([2]对账明细接口!$B$486=0,"",[2]对账明细接口!$B$486),"")</f>
      </c>
      <c r="C486" s="16">
        <f>IFERROR(IF([2]对账明细接口!$C$486=0,"",[2]对账明细接口!$C$486),"")</f>
      </c>
      <c r="D486" s="16">
        <f>IFERROR(IF([2]对账明细接口!$D$486=0,"",[2]对账明细接口!$D$486),"")</f>
      </c>
      <c r="E486" s="16">
        <f>IFERROR(IF([2]对账明细接口!$E$486=0,"",[2]对账明细接口!$E$486),"")</f>
      </c>
      <c r="F486" s="16">
        <f>IFERROR(IF([2]对账明细接口!$F$486=0,"",[2]对账明细接口!$F$486),"")</f>
      </c>
      <c r="G486" s="16">
        <f>IFERROR(IF([2]对账明细接口!$G$486=0,"",[2]对账明细接口!$G$486),"")</f>
      </c>
      <c r="H486" s="176">
        <f>IFERROR(IF([2]对账明细接口!$H$486=0,"",[2]对账明细接口!$H$486),"")</f>
      </c>
      <c r="I486" s="16">
        <f>IFERROR(IF([2]对账明细接口!$I$486=0,"",[2]对账明细接口!$I$486),"")</f>
      </c>
      <c r="J486" s="177">
        <f>IFERROR(IF([2]对账明细接口!$J$486=0,"",[2]对账明细接口!$J$486),"")</f>
      </c>
      <c r="K486" s="177">
        <f>IFERROR(IF([2]对账明细接口!$K$486=0,"",[2]对账明细接口!$K$486),"")</f>
      </c>
      <c r="L486" s="16">
        <f>IFERROR(IF([2]对账明细接口!$L$486=0,"",[2]对账明细接口!$L$486),"")</f>
      </c>
      <c r="M486" s="16">
        <f>IFERROR(IF([2]对账明细接口!$M$486=0,"",[2]对账明细接口!$M$486),"")</f>
      </c>
      <c r="N486" s="19">
        <f>IF($C486="",0,1)</f>
        <v>0</v>
      </c>
      <c r="O486" s="19">
        <f>N(O485)+$N486</f>
        <v>272</v>
      </c>
      <c r="S486" s="20">
        <f>IFERROR(IF([2]对账明细接口!$N486=0,"",[2]对账明细接口!$N486),"")</f>
      </c>
      <c r="T486" s="212">
        <f>IFERROR(IF([2]对账明细接口!$O486=0,"",[2]对账明细接口!$O486),"")</f>
      </c>
      <c r="U486" s="212">
        <f>IFERROR(IF([2]对账明细接口!$P486=0,"",[2]对账明细接口!$P486),"")</f>
      </c>
      <c r="V486" s="212">
        <f>IFERROR(IF([2]对账明细接口!$Q486=0,"",[2]对账明细接口!$Q486),"")</f>
      </c>
      <c r="W486" s="20">
        <f>IFERROR(IF([2]对账明细接口!$R486=0,"",[2]对账明细接口!$R486),"")</f>
      </c>
      <c r="X486" s="20">
        <f>IFERROR(IF([2]对账明细接口!$S486=0,"",[2]对账明细接口!$S486),"")</f>
      </c>
      <c r="Y486" s="20">
        <f>""</f>
      </c>
      <c r="Z486" s="20">
        <f>""</f>
      </c>
      <c r="AA486" s="20">
        <f>""</f>
      </c>
      <c r="AB486" s="20">
        <f>""</f>
      </c>
    </row>
    <row r="487" s="127">
      <c r="A487" s="14" t="n">
        <v>487</v>
      </c>
      <c r="B487" s="211">
        <f>IFERROR(IF([2]对账明细接口!$B$487=0,"",[2]对账明细接口!$B$487),"")</f>
      </c>
      <c r="C487" s="16">
        <f>IFERROR(IF([2]对账明细接口!$C$487=0,"",[2]对账明细接口!$C$487),"")</f>
      </c>
      <c r="D487" s="16">
        <f>IFERROR(IF([2]对账明细接口!$D$487=0,"",[2]对账明细接口!$D$487),"")</f>
      </c>
      <c r="E487" s="16">
        <f>IFERROR(IF([2]对账明细接口!$E$487=0,"",[2]对账明细接口!$E$487),"")</f>
      </c>
      <c r="F487" s="16">
        <f>IFERROR(IF([2]对账明细接口!$F$487=0,"",[2]对账明细接口!$F$487),"")</f>
      </c>
      <c r="G487" s="16">
        <f>IFERROR(IF([2]对账明细接口!$G$487=0,"",[2]对账明细接口!$G$487),"")</f>
      </c>
      <c r="H487" s="176">
        <f>IFERROR(IF([2]对账明细接口!$H$487=0,"",[2]对账明细接口!$H$487),"")</f>
      </c>
      <c r="I487" s="16">
        <f>IFERROR(IF([2]对账明细接口!$I$487=0,"",[2]对账明细接口!$I$487),"")</f>
      </c>
      <c r="J487" s="177">
        <f>IFERROR(IF([2]对账明细接口!$J$487=0,"",[2]对账明细接口!$J$487),"")</f>
      </c>
      <c r="K487" s="177">
        <f>IFERROR(IF([2]对账明细接口!$K$487=0,"",[2]对账明细接口!$K$487),"")</f>
      </c>
      <c r="L487" s="16">
        <f>IFERROR(IF([2]对账明细接口!$L$487=0,"",[2]对账明细接口!$L$487),"")</f>
      </c>
      <c r="M487" s="16">
        <f>IFERROR(IF([2]对账明细接口!$M$487=0,"",[2]对账明细接口!$M$487),"")</f>
      </c>
      <c r="N487" s="19">
        <f>IF($C487="",0,1)</f>
        <v>0</v>
      </c>
      <c r="O487" s="19">
        <f>N(O486)+$N487</f>
        <v>272</v>
      </c>
      <c r="S487" s="20">
        <f>IFERROR(IF([2]对账明细接口!$N487=0,"",[2]对账明细接口!$N487),"")</f>
      </c>
      <c r="T487" s="212">
        <f>IFERROR(IF([2]对账明细接口!$O487=0,"",[2]对账明细接口!$O487),"")</f>
      </c>
      <c r="U487" s="212">
        <f>IFERROR(IF([2]对账明细接口!$P487=0,"",[2]对账明细接口!$P487),"")</f>
      </c>
      <c r="V487" s="212">
        <f>IFERROR(IF([2]对账明细接口!$Q487=0,"",[2]对账明细接口!$Q487),"")</f>
      </c>
      <c r="W487" s="20">
        <f>IFERROR(IF([2]对账明细接口!$R487=0,"",[2]对账明细接口!$R487),"")</f>
      </c>
      <c r="X487" s="20">
        <f>IFERROR(IF([2]对账明细接口!$S487=0,"",[2]对账明细接口!$S487),"")</f>
      </c>
      <c r="Y487" s="20">
        <f>""</f>
      </c>
      <c r="Z487" s="20">
        <f>""</f>
      </c>
      <c r="AA487" s="20">
        <f>""</f>
      </c>
      <c r="AB487" s="20">
        <f>""</f>
      </c>
    </row>
    <row r="488" s="127">
      <c r="A488" s="14" t="n">
        <v>488</v>
      </c>
      <c r="B488" s="211">
        <f>IFERROR(IF([2]对账明细接口!$B$488=0,"",[2]对账明细接口!$B$488),"")</f>
      </c>
      <c r="C488" s="16">
        <f>IFERROR(IF([2]对账明细接口!$C$488=0,"",[2]对账明细接口!$C$488),"")</f>
      </c>
      <c r="D488" s="16">
        <f>IFERROR(IF([2]对账明细接口!$D$488=0,"",[2]对账明细接口!$D$488),"")</f>
      </c>
      <c r="E488" s="16">
        <f>IFERROR(IF([2]对账明细接口!$E$488=0,"",[2]对账明细接口!$E$488),"")</f>
      </c>
      <c r="F488" s="16">
        <f>IFERROR(IF([2]对账明细接口!$F$488=0,"",[2]对账明细接口!$F$488),"")</f>
      </c>
      <c r="G488" s="16">
        <f>IFERROR(IF([2]对账明细接口!$G$488=0,"",[2]对账明细接口!$G$488),"")</f>
      </c>
      <c r="H488" s="176">
        <f>IFERROR(IF([2]对账明细接口!$H$488=0,"",[2]对账明细接口!$H$488),"")</f>
      </c>
      <c r="I488" s="16">
        <f>IFERROR(IF([2]对账明细接口!$I$488=0,"",[2]对账明细接口!$I$488),"")</f>
      </c>
      <c r="J488" s="177">
        <f>IFERROR(IF([2]对账明细接口!$J$488=0,"",[2]对账明细接口!$J$488),"")</f>
      </c>
      <c r="K488" s="177">
        <f>IFERROR(IF([2]对账明细接口!$K$488=0,"",[2]对账明细接口!$K$488),"")</f>
      </c>
      <c r="L488" s="16">
        <f>IFERROR(IF([2]对账明细接口!$L$488=0,"",[2]对账明细接口!$L$488),"")</f>
      </c>
      <c r="M488" s="16">
        <f>IFERROR(IF([2]对账明细接口!$M$488=0,"",[2]对账明细接口!$M$488),"")</f>
      </c>
      <c r="N488" s="19">
        <f>IF($C488="",0,1)</f>
        <v>0</v>
      </c>
      <c r="O488" s="19">
        <f>N(O487)+$N488</f>
        <v>272</v>
      </c>
      <c r="S488" s="20">
        <f>IFERROR(IF([2]对账明细接口!$N488=0,"",[2]对账明细接口!$N488),"")</f>
      </c>
      <c r="T488" s="212">
        <f>IFERROR(IF([2]对账明细接口!$O488=0,"",[2]对账明细接口!$O488),"")</f>
      </c>
      <c r="U488" s="212">
        <f>IFERROR(IF([2]对账明细接口!$P488=0,"",[2]对账明细接口!$P488),"")</f>
      </c>
      <c r="V488" s="212">
        <f>IFERROR(IF([2]对账明细接口!$Q488=0,"",[2]对账明细接口!$Q488),"")</f>
      </c>
      <c r="W488" s="20">
        <f>IFERROR(IF([2]对账明细接口!$R488=0,"",[2]对账明细接口!$R488),"")</f>
      </c>
      <c r="X488" s="20">
        <f>IFERROR(IF([2]对账明细接口!$S488=0,"",[2]对账明细接口!$S488),"")</f>
      </c>
      <c r="Y488" s="20">
        <f>""</f>
      </c>
      <c r="Z488" s="20">
        <f>""</f>
      </c>
      <c r="AA488" s="20">
        <f>""</f>
      </c>
      <c r="AB488" s="20">
        <f>""</f>
      </c>
    </row>
    <row r="489" s="127">
      <c r="A489" s="14" t="n">
        <v>489</v>
      </c>
      <c r="B489" s="211">
        <f>IFERROR(IF([2]对账明细接口!$B$489=0,"",[2]对账明细接口!$B$489),"")</f>
      </c>
      <c r="C489" s="16">
        <f>IFERROR(IF([2]对账明细接口!$C$489=0,"",[2]对账明细接口!$C$489),"")</f>
      </c>
      <c r="D489" s="16">
        <f>IFERROR(IF([2]对账明细接口!$D$489=0,"",[2]对账明细接口!$D$489),"")</f>
      </c>
      <c r="E489" s="16">
        <f>IFERROR(IF([2]对账明细接口!$E$489=0,"",[2]对账明细接口!$E$489),"")</f>
      </c>
      <c r="F489" s="16">
        <f>IFERROR(IF([2]对账明细接口!$F$489=0,"",[2]对账明细接口!$F$489),"")</f>
      </c>
      <c r="G489" s="16">
        <f>IFERROR(IF([2]对账明细接口!$G$489=0,"",[2]对账明细接口!$G$489),"")</f>
      </c>
      <c r="H489" s="176">
        <f>IFERROR(IF([2]对账明细接口!$H$489=0,"",[2]对账明细接口!$H$489),"")</f>
      </c>
      <c r="I489" s="16">
        <f>IFERROR(IF([2]对账明细接口!$I$489=0,"",[2]对账明细接口!$I$489),"")</f>
      </c>
      <c r="J489" s="177">
        <f>IFERROR(IF([2]对账明细接口!$J$489=0,"",[2]对账明细接口!$J$489),"")</f>
      </c>
      <c r="K489" s="177">
        <f>IFERROR(IF([2]对账明细接口!$K$489=0,"",[2]对账明细接口!$K$489),"")</f>
      </c>
      <c r="L489" s="16">
        <f>IFERROR(IF([2]对账明细接口!$L$489=0,"",[2]对账明细接口!$L$489),"")</f>
      </c>
      <c r="M489" s="16">
        <f>IFERROR(IF([2]对账明细接口!$M$489=0,"",[2]对账明细接口!$M$489),"")</f>
      </c>
      <c r="N489" s="19">
        <f>IF($C489="",0,1)</f>
        <v>0</v>
      </c>
      <c r="O489" s="19">
        <f>N(O488)+$N489</f>
        <v>272</v>
      </c>
      <c r="S489" s="20">
        <f>IFERROR(IF([2]对账明细接口!$N489=0,"",[2]对账明细接口!$N489),"")</f>
      </c>
      <c r="T489" s="212">
        <f>IFERROR(IF([2]对账明细接口!$O489=0,"",[2]对账明细接口!$O489),"")</f>
      </c>
      <c r="U489" s="212">
        <f>IFERROR(IF([2]对账明细接口!$P489=0,"",[2]对账明细接口!$P489),"")</f>
      </c>
      <c r="V489" s="212">
        <f>IFERROR(IF([2]对账明细接口!$Q489=0,"",[2]对账明细接口!$Q489),"")</f>
      </c>
      <c r="W489" s="20">
        <f>IFERROR(IF([2]对账明细接口!$R489=0,"",[2]对账明细接口!$R489),"")</f>
      </c>
      <c r="X489" s="20">
        <f>IFERROR(IF([2]对账明细接口!$S489=0,"",[2]对账明细接口!$S489),"")</f>
      </c>
      <c r="Y489" s="20">
        <f>""</f>
      </c>
      <c r="Z489" s="20">
        <f>""</f>
      </c>
      <c r="AA489" s="20">
        <f>""</f>
      </c>
      <c r="AB489" s="20">
        <f>""</f>
      </c>
    </row>
    <row r="490" s="127">
      <c r="A490" s="14" t="n">
        <v>490</v>
      </c>
      <c r="B490" s="211">
        <f>IFERROR(IF([2]对账明细接口!$B$490=0,"",[2]对账明细接口!$B$490),"")</f>
      </c>
      <c r="C490" s="16">
        <f>IFERROR(IF([2]对账明细接口!$C$490=0,"",[2]对账明细接口!$C$490),"")</f>
      </c>
      <c r="D490" s="16">
        <f>IFERROR(IF([2]对账明细接口!$D$490=0,"",[2]对账明细接口!$D$490),"")</f>
      </c>
      <c r="E490" s="16">
        <f>IFERROR(IF([2]对账明细接口!$E$490=0,"",[2]对账明细接口!$E$490),"")</f>
      </c>
      <c r="F490" s="16">
        <f>IFERROR(IF([2]对账明细接口!$F$490=0,"",[2]对账明细接口!$F$490),"")</f>
      </c>
      <c r="G490" s="16">
        <f>IFERROR(IF([2]对账明细接口!$G$490=0,"",[2]对账明细接口!$G$490),"")</f>
      </c>
      <c r="H490" s="176">
        <f>IFERROR(IF([2]对账明细接口!$H$490=0,"",[2]对账明细接口!$H$490),"")</f>
      </c>
      <c r="I490" s="16">
        <f>IFERROR(IF([2]对账明细接口!$I$490=0,"",[2]对账明细接口!$I$490),"")</f>
      </c>
      <c r="J490" s="177">
        <f>IFERROR(IF([2]对账明细接口!$J$490=0,"",[2]对账明细接口!$J$490),"")</f>
      </c>
      <c r="K490" s="177">
        <f>IFERROR(IF([2]对账明细接口!$K$490=0,"",[2]对账明细接口!$K$490),"")</f>
      </c>
      <c r="L490" s="16">
        <f>IFERROR(IF([2]对账明细接口!$L$490=0,"",[2]对账明细接口!$L$490),"")</f>
      </c>
      <c r="M490" s="16">
        <f>IFERROR(IF([2]对账明细接口!$M$490=0,"",[2]对账明细接口!$M$490),"")</f>
      </c>
      <c r="N490" s="19">
        <f>IF($C490="",0,1)</f>
        <v>0</v>
      </c>
      <c r="O490" s="19">
        <f>N(O489)+$N490</f>
        <v>272</v>
      </c>
      <c r="S490" s="20">
        <f>IFERROR(IF([2]对账明细接口!$N490=0,"",[2]对账明细接口!$N490),"")</f>
      </c>
      <c r="T490" s="212">
        <f>IFERROR(IF([2]对账明细接口!$O490=0,"",[2]对账明细接口!$O490),"")</f>
      </c>
      <c r="U490" s="212">
        <f>IFERROR(IF([2]对账明细接口!$P490=0,"",[2]对账明细接口!$P490),"")</f>
      </c>
      <c r="V490" s="212">
        <f>IFERROR(IF([2]对账明细接口!$Q490=0,"",[2]对账明细接口!$Q490),"")</f>
      </c>
      <c r="W490" s="20">
        <f>IFERROR(IF([2]对账明细接口!$R490=0,"",[2]对账明细接口!$R490),"")</f>
      </c>
      <c r="X490" s="20">
        <f>IFERROR(IF([2]对账明细接口!$S490=0,"",[2]对账明细接口!$S490),"")</f>
      </c>
      <c r="Y490" s="20">
        <f>""</f>
      </c>
      <c r="Z490" s="20">
        <f>""</f>
      </c>
      <c r="AA490" s="20">
        <f>""</f>
      </c>
      <c r="AB490" s="20">
        <f>""</f>
      </c>
    </row>
    <row r="491" s="127">
      <c r="A491" s="14" t="n">
        <v>491</v>
      </c>
      <c r="B491" s="211">
        <f>IFERROR(IF([2]对账明细接口!$B$491=0,"",[2]对账明细接口!$B$491),"")</f>
      </c>
      <c r="C491" s="16">
        <f>IFERROR(IF([2]对账明细接口!$C$491=0,"",[2]对账明细接口!$C$491),"")</f>
      </c>
      <c r="D491" s="16">
        <f>IFERROR(IF([2]对账明细接口!$D$491=0,"",[2]对账明细接口!$D$491),"")</f>
      </c>
      <c r="E491" s="16">
        <f>IFERROR(IF([2]对账明细接口!$E$491=0,"",[2]对账明细接口!$E$491),"")</f>
      </c>
      <c r="F491" s="16">
        <f>IFERROR(IF([2]对账明细接口!$F$491=0,"",[2]对账明细接口!$F$491),"")</f>
      </c>
      <c r="G491" s="16">
        <f>IFERROR(IF([2]对账明细接口!$G$491=0,"",[2]对账明细接口!$G$491),"")</f>
      </c>
      <c r="H491" s="176">
        <f>IFERROR(IF([2]对账明细接口!$H$491=0,"",[2]对账明细接口!$H$491),"")</f>
      </c>
      <c r="I491" s="16">
        <f>IFERROR(IF([2]对账明细接口!$I$491=0,"",[2]对账明细接口!$I$491),"")</f>
      </c>
      <c r="J491" s="177">
        <f>IFERROR(IF([2]对账明细接口!$J$491=0,"",[2]对账明细接口!$J$491),"")</f>
      </c>
      <c r="K491" s="177">
        <f>IFERROR(IF([2]对账明细接口!$K$491=0,"",[2]对账明细接口!$K$491),"")</f>
      </c>
      <c r="L491" s="16">
        <f>IFERROR(IF([2]对账明细接口!$L$491=0,"",[2]对账明细接口!$L$491),"")</f>
      </c>
      <c r="M491" s="16">
        <f>IFERROR(IF([2]对账明细接口!$M$491=0,"",[2]对账明细接口!$M$491),"")</f>
      </c>
      <c r="N491" s="19">
        <f>IF($C491="",0,1)</f>
        <v>0</v>
      </c>
      <c r="O491" s="19">
        <f>N(O490)+$N491</f>
        <v>272</v>
      </c>
      <c r="S491" s="20">
        <f>IFERROR(IF([2]对账明细接口!$N491=0,"",[2]对账明细接口!$N491),"")</f>
      </c>
      <c r="T491" s="212">
        <f>IFERROR(IF([2]对账明细接口!$O491=0,"",[2]对账明细接口!$O491),"")</f>
      </c>
      <c r="U491" s="212">
        <f>IFERROR(IF([2]对账明细接口!$P491=0,"",[2]对账明细接口!$P491),"")</f>
      </c>
      <c r="V491" s="212">
        <f>IFERROR(IF([2]对账明细接口!$Q491=0,"",[2]对账明细接口!$Q491),"")</f>
      </c>
      <c r="W491" s="20">
        <f>IFERROR(IF([2]对账明细接口!$R491=0,"",[2]对账明细接口!$R491),"")</f>
      </c>
      <c r="X491" s="20">
        <f>IFERROR(IF([2]对账明细接口!$S491=0,"",[2]对账明细接口!$S491),"")</f>
      </c>
      <c r="Y491" s="20">
        <f>""</f>
      </c>
      <c r="Z491" s="20">
        <f>""</f>
      </c>
      <c r="AA491" s="20">
        <f>""</f>
      </c>
      <c r="AB491" s="20">
        <f>""</f>
      </c>
    </row>
    <row r="492" s="127">
      <c r="A492" s="14" t="n">
        <v>492</v>
      </c>
      <c r="B492" s="211">
        <f>IFERROR(IF([2]对账明细接口!$B$492=0,"",[2]对账明细接口!$B$492),"")</f>
      </c>
      <c r="C492" s="16">
        <f>IFERROR(IF([2]对账明细接口!$C$492=0,"",[2]对账明细接口!$C$492),"")</f>
      </c>
      <c r="D492" s="16">
        <f>IFERROR(IF([2]对账明细接口!$D$492=0,"",[2]对账明细接口!$D$492),"")</f>
      </c>
      <c r="E492" s="16">
        <f>IFERROR(IF([2]对账明细接口!$E$492=0,"",[2]对账明细接口!$E$492),"")</f>
      </c>
      <c r="F492" s="16">
        <f>IFERROR(IF([2]对账明细接口!$F$492=0,"",[2]对账明细接口!$F$492),"")</f>
      </c>
      <c r="G492" s="16">
        <f>IFERROR(IF([2]对账明细接口!$G$492=0,"",[2]对账明细接口!$G$492),"")</f>
      </c>
      <c r="H492" s="176">
        <f>IFERROR(IF([2]对账明细接口!$H$492=0,"",[2]对账明细接口!$H$492),"")</f>
      </c>
      <c r="I492" s="16">
        <f>IFERROR(IF([2]对账明细接口!$I$492=0,"",[2]对账明细接口!$I$492),"")</f>
      </c>
      <c r="J492" s="177">
        <f>IFERROR(IF([2]对账明细接口!$J$492=0,"",[2]对账明细接口!$J$492),"")</f>
      </c>
      <c r="K492" s="177">
        <f>IFERROR(IF([2]对账明细接口!$K$492=0,"",[2]对账明细接口!$K$492),"")</f>
      </c>
      <c r="L492" s="16">
        <f>IFERROR(IF([2]对账明细接口!$L$492=0,"",[2]对账明细接口!$L$492),"")</f>
      </c>
      <c r="M492" s="16">
        <f>IFERROR(IF([2]对账明细接口!$M$492=0,"",[2]对账明细接口!$M$492),"")</f>
      </c>
      <c r="N492" s="19">
        <f>IF($C492="",0,1)</f>
        <v>0</v>
      </c>
      <c r="O492" s="19">
        <f>N(O491)+$N492</f>
        <v>272</v>
      </c>
      <c r="S492" s="20">
        <f>IFERROR(IF([2]对账明细接口!$N492=0,"",[2]对账明细接口!$N492),"")</f>
      </c>
      <c r="T492" s="212">
        <f>IFERROR(IF([2]对账明细接口!$O492=0,"",[2]对账明细接口!$O492),"")</f>
      </c>
      <c r="U492" s="212">
        <f>IFERROR(IF([2]对账明细接口!$P492=0,"",[2]对账明细接口!$P492),"")</f>
      </c>
      <c r="V492" s="212">
        <f>IFERROR(IF([2]对账明细接口!$Q492=0,"",[2]对账明细接口!$Q492),"")</f>
      </c>
      <c r="W492" s="20">
        <f>IFERROR(IF([2]对账明细接口!$R492=0,"",[2]对账明细接口!$R492),"")</f>
      </c>
      <c r="X492" s="20">
        <f>IFERROR(IF([2]对账明细接口!$S492=0,"",[2]对账明细接口!$S492),"")</f>
      </c>
      <c r="Y492" s="20">
        <f>""</f>
      </c>
      <c r="Z492" s="20">
        <f>""</f>
      </c>
      <c r="AA492" s="20">
        <f>""</f>
      </c>
      <c r="AB492" s="20">
        <f>""</f>
      </c>
    </row>
    <row r="493" s="127">
      <c r="A493" s="14" t="n">
        <v>493</v>
      </c>
      <c r="B493" s="211">
        <f>IFERROR(IF([2]对账明细接口!$B$493=0,"",[2]对账明细接口!$B$493),"")</f>
      </c>
      <c r="C493" s="16">
        <f>IFERROR(IF([2]对账明细接口!$C$493=0,"",[2]对账明细接口!$C$493),"")</f>
      </c>
      <c r="D493" s="16">
        <f>IFERROR(IF([2]对账明细接口!$D$493=0,"",[2]对账明细接口!$D$493),"")</f>
      </c>
      <c r="E493" s="16">
        <f>IFERROR(IF([2]对账明细接口!$E$493=0,"",[2]对账明细接口!$E$493),"")</f>
      </c>
      <c r="F493" s="16">
        <f>IFERROR(IF([2]对账明细接口!$F$493=0,"",[2]对账明细接口!$F$493),"")</f>
      </c>
      <c r="G493" s="16">
        <f>IFERROR(IF([2]对账明细接口!$G$493=0,"",[2]对账明细接口!$G$493),"")</f>
      </c>
      <c r="H493" s="176">
        <f>IFERROR(IF([2]对账明细接口!$H$493=0,"",[2]对账明细接口!$H$493),"")</f>
      </c>
      <c r="I493" s="16">
        <f>IFERROR(IF([2]对账明细接口!$I$493=0,"",[2]对账明细接口!$I$493),"")</f>
      </c>
      <c r="J493" s="177">
        <f>IFERROR(IF([2]对账明细接口!$J$493=0,"",[2]对账明细接口!$J$493),"")</f>
      </c>
      <c r="K493" s="177">
        <f>IFERROR(IF([2]对账明细接口!$K$493=0,"",[2]对账明细接口!$K$493),"")</f>
      </c>
      <c r="L493" s="16">
        <f>IFERROR(IF([2]对账明细接口!$L$493=0,"",[2]对账明细接口!$L$493),"")</f>
      </c>
      <c r="M493" s="16">
        <f>IFERROR(IF([2]对账明细接口!$M$493=0,"",[2]对账明细接口!$M$493),"")</f>
      </c>
      <c r="N493" s="19">
        <f>IF($C493="",0,1)</f>
        <v>0</v>
      </c>
      <c r="O493" s="19">
        <f>N(O492)+$N493</f>
        <v>272</v>
      </c>
      <c r="S493" s="20">
        <f>IFERROR(IF([2]对账明细接口!$N493=0,"",[2]对账明细接口!$N493),"")</f>
      </c>
      <c r="T493" s="212">
        <f>IFERROR(IF([2]对账明细接口!$O493=0,"",[2]对账明细接口!$O493),"")</f>
      </c>
      <c r="U493" s="212">
        <f>IFERROR(IF([2]对账明细接口!$P493=0,"",[2]对账明细接口!$P493),"")</f>
      </c>
      <c r="V493" s="212">
        <f>IFERROR(IF([2]对账明细接口!$Q493=0,"",[2]对账明细接口!$Q493),"")</f>
      </c>
      <c r="W493" s="20">
        <f>IFERROR(IF([2]对账明细接口!$R493=0,"",[2]对账明细接口!$R493),"")</f>
      </c>
      <c r="X493" s="20">
        <f>IFERROR(IF([2]对账明细接口!$S493=0,"",[2]对账明细接口!$S493),"")</f>
      </c>
      <c r="Y493" s="20">
        <f>""</f>
      </c>
      <c r="Z493" s="20">
        <f>""</f>
      </c>
      <c r="AA493" s="20">
        <f>""</f>
      </c>
      <c r="AB493" s="20">
        <f>""</f>
      </c>
    </row>
    <row r="494" s="127">
      <c r="A494" s="14" t="n">
        <v>494</v>
      </c>
      <c r="B494" s="211">
        <f>IFERROR(IF([2]对账明细接口!$B$494=0,"",[2]对账明细接口!$B$494),"")</f>
      </c>
      <c r="C494" s="16">
        <f>IFERROR(IF([2]对账明细接口!$C$494=0,"",[2]对账明细接口!$C$494),"")</f>
      </c>
      <c r="D494" s="16">
        <f>IFERROR(IF([2]对账明细接口!$D$494=0,"",[2]对账明细接口!$D$494),"")</f>
      </c>
      <c r="E494" s="16">
        <f>IFERROR(IF([2]对账明细接口!$E$494=0,"",[2]对账明细接口!$E$494),"")</f>
      </c>
      <c r="F494" s="16">
        <f>IFERROR(IF([2]对账明细接口!$F$494=0,"",[2]对账明细接口!$F$494),"")</f>
      </c>
      <c r="G494" s="16">
        <f>IFERROR(IF([2]对账明细接口!$G$494=0,"",[2]对账明细接口!$G$494),"")</f>
      </c>
      <c r="H494" s="176">
        <f>IFERROR(IF([2]对账明细接口!$H$494=0,"",[2]对账明细接口!$H$494),"")</f>
      </c>
      <c r="I494" s="16">
        <f>IFERROR(IF([2]对账明细接口!$I$494=0,"",[2]对账明细接口!$I$494),"")</f>
      </c>
      <c r="J494" s="177">
        <f>IFERROR(IF([2]对账明细接口!$J$494=0,"",[2]对账明细接口!$J$494),"")</f>
      </c>
      <c r="K494" s="177">
        <f>IFERROR(IF([2]对账明细接口!$K$494=0,"",[2]对账明细接口!$K$494),"")</f>
      </c>
      <c r="L494" s="16">
        <f>IFERROR(IF([2]对账明细接口!$L$494=0,"",[2]对账明细接口!$L$494),"")</f>
      </c>
      <c r="M494" s="16">
        <f>IFERROR(IF([2]对账明细接口!$M$494=0,"",[2]对账明细接口!$M$494),"")</f>
      </c>
      <c r="N494" s="19">
        <f>IF($C494="",0,1)</f>
        <v>0</v>
      </c>
      <c r="O494" s="19">
        <f>N(O493)+$N494</f>
        <v>272</v>
      </c>
      <c r="S494" s="20">
        <f>IFERROR(IF([2]对账明细接口!$N494=0,"",[2]对账明细接口!$N494),"")</f>
      </c>
      <c r="T494" s="212">
        <f>IFERROR(IF([2]对账明细接口!$O494=0,"",[2]对账明细接口!$O494),"")</f>
      </c>
      <c r="U494" s="212">
        <f>IFERROR(IF([2]对账明细接口!$P494=0,"",[2]对账明细接口!$P494),"")</f>
      </c>
      <c r="V494" s="212">
        <f>IFERROR(IF([2]对账明细接口!$Q494=0,"",[2]对账明细接口!$Q494),"")</f>
      </c>
      <c r="W494" s="20">
        <f>IFERROR(IF([2]对账明细接口!$R494=0,"",[2]对账明细接口!$R494),"")</f>
      </c>
      <c r="X494" s="20">
        <f>IFERROR(IF([2]对账明细接口!$S494=0,"",[2]对账明细接口!$S494),"")</f>
      </c>
      <c r="Y494" s="20">
        <f>""</f>
      </c>
      <c r="Z494" s="20">
        <f>""</f>
      </c>
      <c r="AA494" s="20">
        <f>""</f>
      </c>
      <c r="AB494" s="20">
        <f>""</f>
      </c>
    </row>
    <row r="495" s="127">
      <c r="A495" s="14" t="n">
        <v>495</v>
      </c>
      <c r="B495" s="211">
        <f>IFERROR(IF([2]对账明细接口!$B$495=0,"",[2]对账明细接口!$B$495),"")</f>
      </c>
      <c r="C495" s="16">
        <f>IFERROR(IF([2]对账明细接口!$C$495=0,"",[2]对账明细接口!$C$495),"")</f>
      </c>
      <c r="D495" s="16">
        <f>IFERROR(IF([2]对账明细接口!$D$495=0,"",[2]对账明细接口!$D$495),"")</f>
      </c>
      <c r="E495" s="16">
        <f>IFERROR(IF([2]对账明细接口!$E$495=0,"",[2]对账明细接口!$E$495),"")</f>
      </c>
      <c r="F495" s="16">
        <f>IFERROR(IF([2]对账明细接口!$F$495=0,"",[2]对账明细接口!$F$495),"")</f>
      </c>
      <c r="G495" s="16">
        <f>IFERROR(IF([2]对账明细接口!$G$495=0,"",[2]对账明细接口!$G$495),"")</f>
      </c>
      <c r="H495" s="176">
        <f>IFERROR(IF([2]对账明细接口!$H$495=0,"",[2]对账明细接口!$H$495),"")</f>
      </c>
      <c r="I495" s="16">
        <f>IFERROR(IF([2]对账明细接口!$I$495=0,"",[2]对账明细接口!$I$495),"")</f>
      </c>
      <c r="J495" s="177">
        <f>IFERROR(IF([2]对账明细接口!$J$495=0,"",[2]对账明细接口!$J$495),"")</f>
      </c>
      <c r="K495" s="177">
        <f>IFERROR(IF([2]对账明细接口!$K$495=0,"",[2]对账明细接口!$K$495),"")</f>
      </c>
      <c r="L495" s="16">
        <f>IFERROR(IF([2]对账明细接口!$L$495=0,"",[2]对账明细接口!$L$495),"")</f>
      </c>
      <c r="M495" s="16">
        <f>IFERROR(IF([2]对账明细接口!$M$495=0,"",[2]对账明细接口!$M$495),"")</f>
      </c>
      <c r="N495" s="19">
        <f>IF($C495="",0,1)</f>
        <v>0</v>
      </c>
      <c r="O495" s="19">
        <f>N(O494)+$N495</f>
        <v>272</v>
      </c>
      <c r="S495" s="20">
        <f>IFERROR(IF([2]对账明细接口!$N495=0,"",[2]对账明细接口!$N495),"")</f>
      </c>
      <c r="T495" s="212">
        <f>IFERROR(IF([2]对账明细接口!$O495=0,"",[2]对账明细接口!$O495),"")</f>
      </c>
      <c r="U495" s="212">
        <f>IFERROR(IF([2]对账明细接口!$P495=0,"",[2]对账明细接口!$P495),"")</f>
      </c>
      <c r="V495" s="212">
        <f>IFERROR(IF([2]对账明细接口!$Q495=0,"",[2]对账明细接口!$Q495),"")</f>
      </c>
      <c r="W495" s="20">
        <f>IFERROR(IF([2]对账明细接口!$R495=0,"",[2]对账明细接口!$R495),"")</f>
      </c>
      <c r="X495" s="20">
        <f>IFERROR(IF([2]对账明细接口!$S495=0,"",[2]对账明细接口!$S495),"")</f>
      </c>
      <c r="Y495" s="20">
        <f>""</f>
      </c>
      <c r="Z495" s="20">
        <f>""</f>
      </c>
      <c r="AA495" s="20">
        <f>""</f>
      </c>
      <c r="AB495" s="20">
        <f>""</f>
      </c>
    </row>
    <row r="496" s="127">
      <c r="A496" s="14" t="n">
        <v>496</v>
      </c>
      <c r="B496" s="211">
        <f>IFERROR(IF([2]对账明细接口!$B$496=0,"",[2]对账明细接口!$B$496),"")</f>
      </c>
      <c r="C496" s="16">
        <f>IFERROR(IF([2]对账明细接口!$C$496=0,"",[2]对账明细接口!$C$496),"")</f>
      </c>
      <c r="D496" s="16">
        <f>IFERROR(IF([2]对账明细接口!$D$496=0,"",[2]对账明细接口!$D$496),"")</f>
      </c>
      <c r="E496" s="16">
        <f>IFERROR(IF([2]对账明细接口!$E$496=0,"",[2]对账明细接口!$E$496),"")</f>
      </c>
      <c r="F496" s="16">
        <f>IFERROR(IF([2]对账明细接口!$F$496=0,"",[2]对账明细接口!$F$496),"")</f>
      </c>
      <c r="G496" s="16">
        <f>IFERROR(IF([2]对账明细接口!$G$496=0,"",[2]对账明细接口!$G$496),"")</f>
      </c>
      <c r="H496" s="176">
        <f>IFERROR(IF([2]对账明细接口!$H$496=0,"",[2]对账明细接口!$H$496),"")</f>
      </c>
      <c r="I496" s="16">
        <f>IFERROR(IF([2]对账明细接口!$I$496=0,"",[2]对账明细接口!$I$496),"")</f>
      </c>
      <c r="J496" s="177">
        <f>IFERROR(IF([2]对账明细接口!$J$496=0,"",[2]对账明细接口!$J$496),"")</f>
      </c>
      <c r="K496" s="177">
        <f>IFERROR(IF([2]对账明细接口!$K$496=0,"",[2]对账明细接口!$K$496),"")</f>
      </c>
      <c r="L496" s="16">
        <f>IFERROR(IF([2]对账明细接口!$L$496=0,"",[2]对账明细接口!$L$496),"")</f>
      </c>
      <c r="M496" s="16">
        <f>IFERROR(IF([2]对账明细接口!$M$496=0,"",[2]对账明细接口!$M$496),"")</f>
      </c>
      <c r="N496" s="19">
        <f>IF($C496="",0,1)</f>
        <v>0</v>
      </c>
      <c r="O496" s="19">
        <f>N(O495)+$N496</f>
        <v>272</v>
      </c>
      <c r="S496" s="20">
        <f>IFERROR(IF([2]对账明细接口!$N496=0,"",[2]对账明细接口!$N496),"")</f>
      </c>
      <c r="T496" s="212">
        <f>IFERROR(IF([2]对账明细接口!$O496=0,"",[2]对账明细接口!$O496),"")</f>
      </c>
      <c r="U496" s="212">
        <f>IFERROR(IF([2]对账明细接口!$P496=0,"",[2]对账明细接口!$P496),"")</f>
      </c>
      <c r="V496" s="212">
        <f>IFERROR(IF([2]对账明细接口!$Q496=0,"",[2]对账明细接口!$Q496),"")</f>
      </c>
      <c r="W496" s="20">
        <f>IFERROR(IF([2]对账明细接口!$R496=0,"",[2]对账明细接口!$R496),"")</f>
      </c>
      <c r="X496" s="20">
        <f>IFERROR(IF([2]对账明细接口!$S496=0,"",[2]对账明细接口!$S496),"")</f>
      </c>
      <c r="Y496" s="20">
        <f>""</f>
      </c>
      <c r="Z496" s="20">
        <f>""</f>
      </c>
      <c r="AA496" s="20">
        <f>""</f>
      </c>
      <c r="AB496" s="20">
        <f>""</f>
      </c>
    </row>
    <row r="497" s="127">
      <c r="A497" s="14" t="n">
        <v>497</v>
      </c>
      <c r="B497" s="211">
        <f>IFERROR(IF([2]对账明细接口!$B$497=0,"",[2]对账明细接口!$B$497),"")</f>
      </c>
      <c r="C497" s="16">
        <f>IFERROR(IF([2]对账明细接口!$C$497=0,"",[2]对账明细接口!$C$497),"")</f>
      </c>
      <c r="D497" s="16">
        <f>IFERROR(IF([2]对账明细接口!$D$497=0,"",[2]对账明细接口!$D$497),"")</f>
      </c>
      <c r="E497" s="16">
        <f>IFERROR(IF([2]对账明细接口!$E$497=0,"",[2]对账明细接口!$E$497),"")</f>
      </c>
      <c r="F497" s="16">
        <f>IFERROR(IF([2]对账明细接口!$F$497=0,"",[2]对账明细接口!$F$497),"")</f>
      </c>
      <c r="G497" s="16">
        <f>IFERROR(IF([2]对账明细接口!$G$497=0,"",[2]对账明细接口!$G$497),"")</f>
      </c>
      <c r="H497" s="176">
        <f>IFERROR(IF([2]对账明细接口!$H$497=0,"",[2]对账明细接口!$H$497),"")</f>
      </c>
      <c r="I497" s="16">
        <f>IFERROR(IF([2]对账明细接口!$I$497=0,"",[2]对账明细接口!$I$497),"")</f>
      </c>
      <c r="J497" s="177">
        <f>IFERROR(IF([2]对账明细接口!$J$497=0,"",[2]对账明细接口!$J$497),"")</f>
      </c>
      <c r="K497" s="177">
        <f>IFERROR(IF([2]对账明细接口!$K$497=0,"",[2]对账明细接口!$K$497),"")</f>
      </c>
      <c r="L497" s="16">
        <f>IFERROR(IF([2]对账明细接口!$L$497=0,"",[2]对账明细接口!$L$497),"")</f>
      </c>
      <c r="M497" s="16">
        <f>IFERROR(IF([2]对账明细接口!$M$497=0,"",[2]对账明细接口!$M$497),"")</f>
      </c>
      <c r="N497" s="19">
        <f>IF($C497="",0,1)</f>
        <v>0</v>
      </c>
      <c r="O497" s="19">
        <f>N(O496)+$N497</f>
        <v>272</v>
      </c>
      <c r="S497" s="20">
        <f>IFERROR(IF([2]对账明细接口!$N497=0,"",[2]对账明细接口!$N497),"")</f>
      </c>
      <c r="T497" s="212">
        <f>IFERROR(IF([2]对账明细接口!$O497=0,"",[2]对账明细接口!$O497),"")</f>
      </c>
      <c r="U497" s="212">
        <f>IFERROR(IF([2]对账明细接口!$P497=0,"",[2]对账明细接口!$P497),"")</f>
      </c>
      <c r="V497" s="212">
        <f>IFERROR(IF([2]对账明细接口!$Q497=0,"",[2]对账明细接口!$Q497),"")</f>
      </c>
      <c r="W497" s="20">
        <f>IFERROR(IF([2]对账明细接口!$R497=0,"",[2]对账明细接口!$R497),"")</f>
      </c>
      <c r="X497" s="20">
        <f>IFERROR(IF([2]对账明细接口!$S497=0,"",[2]对账明细接口!$S497),"")</f>
      </c>
      <c r="Y497" s="20">
        <f>""</f>
      </c>
      <c r="Z497" s="20">
        <f>""</f>
      </c>
      <c r="AA497" s="20">
        <f>""</f>
      </c>
      <c r="AB497" s="20">
        <f>""</f>
      </c>
    </row>
    <row r="498" s="127">
      <c r="A498" s="14" t="n">
        <v>498</v>
      </c>
      <c r="B498" s="211">
        <f>IFERROR(IF([2]对账明细接口!$B$498=0,"",[2]对账明细接口!$B$498),"")</f>
      </c>
      <c r="C498" s="16">
        <f>IFERROR(IF([2]对账明细接口!$C$498=0,"",[2]对账明细接口!$C$498),"")</f>
      </c>
      <c r="D498" s="16">
        <f>IFERROR(IF([2]对账明细接口!$D$498=0,"",[2]对账明细接口!$D$498),"")</f>
      </c>
      <c r="E498" s="16">
        <f>IFERROR(IF([2]对账明细接口!$E$498=0,"",[2]对账明细接口!$E$498),"")</f>
      </c>
      <c r="F498" s="16">
        <f>IFERROR(IF([2]对账明细接口!$F$498=0,"",[2]对账明细接口!$F$498),"")</f>
      </c>
      <c r="G498" s="16">
        <f>IFERROR(IF([2]对账明细接口!$G$498=0,"",[2]对账明细接口!$G$498),"")</f>
      </c>
      <c r="H498" s="176">
        <f>IFERROR(IF([2]对账明细接口!$H$498=0,"",[2]对账明细接口!$H$498),"")</f>
      </c>
      <c r="I498" s="16">
        <f>IFERROR(IF([2]对账明细接口!$I$498=0,"",[2]对账明细接口!$I$498),"")</f>
      </c>
      <c r="J498" s="177">
        <f>IFERROR(IF([2]对账明细接口!$J$498=0,"",[2]对账明细接口!$J$498),"")</f>
      </c>
      <c r="K498" s="177">
        <f>IFERROR(IF([2]对账明细接口!$K$498=0,"",[2]对账明细接口!$K$498),"")</f>
      </c>
      <c r="L498" s="16">
        <f>IFERROR(IF([2]对账明细接口!$L$498=0,"",[2]对账明细接口!$L$498),"")</f>
      </c>
      <c r="M498" s="16">
        <f>IFERROR(IF([2]对账明细接口!$M$498=0,"",[2]对账明细接口!$M$498),"")</f>
      </c>
      <c r="N498" s="19">
        <f>IF($C498="",0,1)</f>
        <v>0</v>
      </c>
      <c r="O498" s="19">
        <f>N(O497)+$N498</f>
        <v>272</v>
      </c>
      <c r="S498" s="20">
        <f>IFERROR(IF([2]对账明细接口!$N498=0,"",[2]对账明细接口!$N498),"")</f>
      </c>
      <c r="T498" s="212">
        <f>IFERROR(IF([2]对账明细接口!$O498=0,"",[2]对账明细接口!$O498),"")</f>
      </c>
      <c r="U498" s="212">
        <f>IFERROR(IF([2]对账明细接口!$P498=0,"",[2]对账明细接口!$P498),"")</f>
      </c>
      <c r="V498" s="212">
        <f>IFERROR(IF([2]对账明细接口!$Q498=0,"",[2]对账明细接口!$Q498),"")</f>
      </c>
      <c r="W498" s="20">
        <f>IFERROR(IF([2]对账明细接口!$R498=0,"",[2]对账明细接口!$R498),"")</f>
      </c>
      <c r="X498" s="20">
        <f>IFERROR(IF([2]对账明细接口!$S498=0,"",[2]对账明细接口!$S498),"")</f>
      </c>
      <c r="Y498" s="20">
        <f>""</f>
      </c>
      <c r="Z498" s="20">
        <f>""</f>
      </c>
      <c r="AA498" s="20">
        <f>""</f>
      </c>
      <c r="AB498" s="20">
        <f>""</f>
      </c>
    </row>
    <row r="499" s="127">
      <c r="A499" s="14" t="n">
        <v>499</v>
      </c>
      <c r="B499" s="211">
        <f>IFERROR(IF([2]对账明细接口!$B$499=0,"",[2]对账明细接口!$B$499),"")</f>
      </c>
      <c r="C499" s="16">
        <f>IFERROR(IF([2]对账明细接口!$C$499=0,"",[2]对账明细接口!$C$499),"")</f>
      </c>
      <c r="D499" s="16">
        <f>IFERROR(IF([2]对账明细接口!$D$499=0,"",[2]对账明细接口!$D$499),"")</f>
      </c>
      <c r="E499" s="16">
        <f>IFERROR(IF([2]对账明细接口!$E$499=0,"",[2]对账明细接口!$E$499),"")</f>
      </c>
      <c r="F499" s="16">
        <f>IFERROR(IF([2]对账明细接口!$F$499=0,"",[2]对账明细接口!$F$499),"")</f>
      </c>
      <c r="G499" s="16">
        <f>IFERROR(IF([2]对账明细接口!$G$499=0,"",[2]对账明细接口!$G$499),"")</f>
      </c>
      <c r="H499" s="176">
        <f>IFERROR(IF([2]对账明细接口!$H$499=0,"",[2]对账明细接口!$H$499),"")</f>
      </c>
      <c r="I499" s="16">
        <f>IFERROR(IF([2]对账明细接口!$I$499=0,"",[2]对账明细接口!$I$499),"")</f>
      </c>
      <c r="J499" s="177">
        <f>IFERROR(IF([2]对账明细接口!$J$499=0,"",[2]对账明细接口!$J$499),"")</f>
      </c>
      <c r="K499" s="177">
        <f>IFERROR(IF([2]对账明细接口!$K$499=0,"",[2]对账明细接口!$K$499),"")</f>
      </c>
      <c r="L499" s="16">
        <f>IFERROR(IF([2]对账明细接口!$L$499=0,"",[2]对账明细接口!$L$499),"")</f>
      </c>
      <c r="M499" s="16">
        <f>IFERROR(IF([2]对账明细接口!$M$499=0,"",[2]对账明细接口!$M$499),"")</f>
      </c>
      <c r="N499" s="19">
        <f>IF($C499="",0,1)</f>
        <v>0</v>
      </c>
      <c r="O499" s="19">
        <f>N(O498)+$N499</f>
        <v>272</v>
      </c>
      <c r="S499" s="20">
        <f>IFERROR(IF([2]对账明细接口!$N499=0,"",[2]对账明细接口!$N499),"")</f>
      </c>
      <c r="T499" s="212">
        <f>IFERROR(IF([2]对账明细接口!$O499=0,"",[2]对账明细接口!$O499),"")</f>
      </c>
      <c r="U499" s="212">
        <f>IFERROR(IF([2]对账明细接口!$P499=0,"",[2]对账明细接口!$P499),"")</f>
      </c>
      <c r="V499" s="212">
        <f>IFERROR(IF([2]对账明细接口!$Q499=0,"",[2]对账明细接口!$Q499),"")</f>
      </c>
      <c r="W499" s="20">
        <f>IFERROR(IF([2]对账明细接口!$R499=0,"",[2]对账明细接口!$R499),"")</f>
      </c>
      <c r="X499" s="20">
        <f>IFERROR(IF([2]对账明细接口!$S499=0,"",[2]对账明细接口!$S499),"")</f>
      </c>
      <c r="Y499" s="20">
        <f>""</f>
      </c>
      <c r="Z499" s="20">
        <f>""</f>
      </c>
      <c r="AA499" s="20">
        <f>""</f>
      </c>
      <c r="AB499" s="20">
        <f>""</f>
      </c>
    </row>
    <row r="500" s="127">
      <c r="A500" s="14" t="n">
        <v>500</v>
      </c>
      <c r="B500" s="211">
        <f>IFERROR(IF([2]对账明细接口!$B$500=0,"",[2]对账明细接口!$B$500),"")</f>
      </c>
      <c r="C500" s="16">
        <f>IFERROR(IF([2]对账明细接口!$C$500=0,"",[2]对账明细接口!$C$500),"")</f>
      </c>
      <c r="D500" s="16">
        <f>IFERROR(IF([2]对账明细接口!$D$500=0,"",[2]对账明细接口!$D$500),"")</f>
      </c>
      <c r="E500" s="16">
        <f>IFERROR(IF([2]对账明细接口!$E$500=0,"",[2]对账明细接口!$E$500),"")</f>
      </c>
      <c r="F500" s="16">
        <f>IFERROR(IF([2]对账明细接口!$F$500=0,"",[2]对账明细接口!$F$500),"")</f>
      </c>
      <c r="G500" s="16">
        <f>IFERROR(IF([2]对账明细接口!$G$500=0,"",[2]对账明细接口!$G$500),"")</f>
      </c>
      <c r="H500" s="176">
        <f>IFERROR(IF([2]对账明细接口!$H$500=0,"",[2]对账明细接口!$H$500),"")</f>
      </c>
      <c r="I500" s="16">
        <f>IFERROR(IF([2]对账明细接口!$I$500=0,"",[2]对账明细接口!$I$500),"")</f>
      </c>
      <c r="J500" s="177">
        <f>IFERROR(IF([2]对账明细接口!$J$500=0,"",[2]对账明细接口!$J$500),"")</f>
      </c>
      <c r="K500" s="177">
        <f>IFERROR(IF([2]对账明细接口!$K$500=0,"",[2]对账明细接口!$K$500),"")</f>
      </c>
      <c r="L500" s="16">
        <f>IFERROR(IF([2]对账明细接口!$L$500=0,"",[2]对账明细接口!$L$500),"")</f>
      </c>
      <c r="M500" s="16">
        <f>IFERROR(IF([2]对账明细接口!$M$500=0,"",[2]对账明细接口!$M$500),"")</f>
      </c>
      <c r="N500" s="19">
        <f>IF($C500="",0,1)</f>
        <v>0</v>
      </c>
      <c r="O500" s="19">
        <f>N(O499)+$N500</f>
        <v>272</v>
      </c>
      <c r="S500" s="20">
        <f>IFERROR(IF([2]对账明细接口!$N500=0,"",[2]对账明细接口!$N500),"")</f>
      </c>
      <c r="T500" s="212">
        <f>IFERROR(IF([2]对账明细接口!$O500=0,"",[2]对账明细接口!$O500),"")</f>
      </c>
      <c r="U500" s="212">
        <f>IFERROR(IF([2]对账明细接口!$P500=0,"",[2]对账明细接口!$P500),"")</f>
      </c>
      <c r="V500" s="212">
        <f>IFERROR(IF([2]对账明细接口!$Q500=0,"",[2]对账明细接口!$Q500),"")</f>
      </c>
      <c r="W500" s="20">
        <f>IFERROR(IF([2]对账明细接口!$R500=0,"",[2]对账明细接口!$R500),"")</f>
      </c>
      <c r="X500" s="20">
        <f>IFERROR(IF([2]对账明细接口!$S500=0,"",[2]对账明细接口!$S500),"")</f>
      </c>
      <c r="Y500" s="20">
        <f>""</f>
      </c>
      <c r="Z500" s="20">
        <f>""</f>
      </c>
      <c r="AA500" s="20">
        <f>""</f>
      </c>
      <c r="AB500" s="20">
        <f>""</f>
      </c>
    </row>
    <row r="501" s="127">
      <c r="A501" s="14" t="n">
        <v>501</v>
      </c>
      <c r="B501" s="211">
        <f>IFERROR(IF([2]对账明细接口!$B$501=0,"",[2]对账明细接口!$B$501),"")</f>
      </c>
      <c r="C501" s="16">
        <f>IFERROR(IF([2]对账明细接口!$C$501=0,"",[2]对账明细接口!$C$501),"")</f>
      </c>
      <c r="D501" s="16">
        <f>IFERROR(IF([2]对账明细接口!$D$501=0,"",[2]对账明细接口!$D$501),"")</f>
      </c>
      <c r="E501" s="16">
        <f>IFERROR(IF([2]对账明细接口!$E$501=0,"",[2]对账明细接口!$E$501),"")</f>
      </c>
      <c r="F501" s="16">
        <f>IFERROR(IF([2]对账明细接口!$F$501=0,"",[2]对账明细接口!$F$501),"")</f>
      </c>
      <c r="G501" s="16">
        <f>IFERROR(IF([2]对账明细接口!$G$501=0,"",[2]对账明细接口!$G$501),"")</f>
      </c>
      <c r="H501" s="176">
        <f>IFERROR(IF([2]对账明细接口!$H$501=0,"",[2]对账明细接口!$H$501),"")</f>
      </c>
      <c r="I501" s="16">
        <f>IFERROR(IF([2]对账明细接口!$I$501=0,"",[2]对账明细接口!$I$501),"")</f>
      </c>
      <c r="J501" s="177">
        <f>IFERROR(IF([2]对账明细接口!$J$501=0,"",[2]对账明细接口!$J$501),"")</f>
      </c>
      <c r="K501" s="177">
        <f>IFERROR(IF([2]对账明细接口!$K$501=0,"",[2]对账明细接口!$K$501),"")</f>
      </c>
      <c r="L501" s="16">
        <f>IFERROR(IF([2]对账明细接口!$L$501=0,"",[2]对账明细接口!$L$501),"")</f>
      </c>
      <c r="M501" s="16">
        <f>IFERROR(IF([2]对账明细接口!$M$501=0,"",[2]对账明细接口!$M$501),"")</f>
      </c>
      <c r="N501" s="19">
        <f>IF($C501="",0,1)</f>
        <v>0</v>
      </c>
      <c r="O501" s="19">
        <f>N(O500)+$N501</f>
        <v>272</v>
      </c>
      <c r="S501" s="20">
        <f>IFERROR(IF([2]对账明细接口!$N501=0,"",[2]对账明细接口!$N501),"")</f>
      </c>
      <c r="T501" s="212">
        <f>IFERROR(IF([2]对账明细接口!$O501=0,"",[2]对账明细接口!$O501),"")</f>
      </c>
      <c r="U501" s="212">
        <f>IFERROR(IF([2]对账明细接口!$P501=0,"",[2]对账明细接口!$P501),"")</f>
      </c>
      <c r="V501" s="212">
        <f>IFERROR(IF([2]对账明细接口!$Q501=0,"",[2]对账明细接口!$Q501),"")</f>
      </c>
      <c r="W501" s="20">
        <f>IFERROR(IF([2]对账明细接口!$R501=0,"",[2]对账明细接口!$R501),"")</f>
      </c>
      <c r="X501" s="20">
        <f>IFERROR(IF([2]对账明细接口!$S501=0,"",[2]对账明细接口!$S501),"")</f>
      </c>
      <c r="Y501" s="20">
        <f>""</f>
      </c>
      <c r="Z501" s="20">
        <f>""</f>
      </c>
      <c r="AA501" s="20">
        <f>""</f>
      </c>
      <c r="AB501" s="20">
        <f>""</f>
      </c>
    </row>
    <row r="502" s="127">
      <c r="A502" s="14" t="n">
        <v>502</v>
      </c>
      <c r="B502" s="211">
        <f>IFERROR(IF([2]对账明细接口!$B$502=0,"",[2]对账明细接口!$B$502),"")</f>
      </c>
      <c r="C502" s="16">
        <f>IFERROR(IF([2]对账明细接口!$C$502=0,"",[2]对账明细接口!$C$502),"")</f>
      </c>
      <c r="D502" s="16">
        <f>IFERROR(IF([2]对账明细接口!$D$502=0,"",[2]对账明细接口!$D$502),"")</f>
      </c>
      <c r="E502" s="16">
        <f>IFERROR(IF([2]对账明细接口!$E$502=0,"",[2]对账明细接口!$E$502),"")</f>
      </c>
      <c r="F502" s="16">
        <f>IFERROR(IF([2]对账明细接口!$F$502=0,"",[2]对账明细接口!$F$502),"")</f>
      </c>
      <c r="G502" s="16">
        <f>IFERROR(IF([2]对账明细接口!$G$502=0,"",[2]对账明细接口!$G$502),"")</f>
      </c>
      <c r="H502" s="176">
        <f>IFERROR(IF([2]对账明细接口!$H$502=0,"",[2]对账明细接口!$H$502),"")</f>
      </c>
      <c r="I502" s="16">
        <f>IFERROR(IF([2]对账明细接口!$I$502=0,"",[2]对账明细接口!$I$502),"")</f>
      </c>
      <c r="J502" s="177">
        <f>IFERROR(IF([2]对账明细接口!$J$502=0,"",[2]对账明细接口!$J$502),"")</f>
      </c>
      <c r="K502" s="177">
        <f>IFERROR(IF([2]对账明细接口!$K$502=0,"",[2]对账明细接口!$K$502),"")</f>
      </c>
      <c r="L502" s="16">
        <f>IFERROR(IF([2]对账明细接口!$L$502=0,"",[2]对账明细接口!$L$502),"")</f>
      </c>
      <c r="M502" s="16">
        <f>IFERROR(IF([2]对账明细接口!$M$502=0,"",[2]对账明细接口!$M$502),"")</f>
      </c>
      <c r="N502" s="19">
        <f>IF($C502="",0,1)</f>
        <v>0</v>
      </c>
      <c r="O502" s="19">
        <f>N(O501)+$N502</f>
        <v>272</v>
      </c>
      <c r="S502" s="20">
        <f>IFERROR(IF([2]对账明细接口!$N502=0,"",[2]对账明细接口!$N502),"")</f>
      </c>
      <c r="T502" s="212">
        <f>IFERROR(IF([2]对账明细接口!$O502=0,"",[2]对账明细接口!$O502),"")</f>
      </c>
      <c r="U502" s="212">
        <f>IFERROR(IF([2]对账明细接口!$P502=0,"",[2]对账明细接口!$P502),"")</f>
      </c>
      <c r="V502" s="212">
        <f>IFERROR(IF([2]对账明细接口!$Q502=0,"",[2]对账明细接口!$Q502),"")</f>
      </c>
      <c r="W502" s="20">
        <f>IFERROR(IF([2]对账明细接口!$R502=0,"",[2]对账明细接口!$R502),"")</f>
      </c>
      <c r="X502" s="20">
        <f>IFERROR(IF([2]对账明细接口!$S502=0,"",[2]对账明细接口!$S502),"")</f>
      </c>
      <c r="Y502" s="20">
        <f>""</f>
      </c>
      <c r="Z502" s="20">
        <f>""</f>
      </c>
      <c r="AA502" s="20">
        <f>""</f>
      </c>
      <c r="AB502" s="20">
        <f>""</f>
      </c>
    </row>
    <row r="503" s="127">
      <c r="A503" s="14" t="n">
        <v>503</v>
      </c>
      <c r="B503" s="211">
        <f>IFERROR(IF([2]对账明细接口!$B$503=0,"",[2]对账明细接口!$B$503),"")</f>
      </c>
      <c r="C503" s="16">
        <f>IFERROR(IF([2]对账明细接口!$C$503=0,"",[2]对账明细接口!$C$503),"")</f>
      </c>
      <c r="D503" s="16">
        <f>IFERROR(IF([2]对账明细接口!$D$503=0,"",[2]对账明细接口!$D$503),"")</f>
      </c>
      <c r="E503" s="16">
        <f>IFERROR(IF([2]对账明细接口!$E$503=0,"",[2]对账明细接口!$E$503),"")</f>
      </c>
      <c r="F503" s="16">
        <f>IFERROR(IF([2]对账明细接口!$F$503=0,"",[2]对账明细接口!$F$503),"")</f>
      </c>
      <c r="G503" s="16">
        <f>IFERROR(IF([2]对账明细接口!$G$503=0,"",[2]对账明细接口!$G$503),"")</f>
      </c>
      <c r="H503" s="176">
        <f>IFERROR(IF([2]对账明细接口!$H$503=0,"",[2]对账明细接口!$H$503),"")</f>
      </c>
      <c r="I503" s="16">
        <f>IFERROR(IF([2]对账明细接口!$I$503=0,"",[2]对账明细接口!$I$503),"")</f>
      </c>
      <c r="J503" s="177">
        <f>IFERROR(IF([2]对账明细接口!$J$503=0,"",[2]对账明细接口!$J$503),"")</f>
      </c>
      <c r="K503" s="177">
        <f>IFERROR(IF([2]对账明细接口!$K$503=0,"",[2]对账明细接口!$K$503),"")</f>
      </c>
      <c r="L503" s="16">
        <f>IFERROR(IF([2]对账明细接口!$L$503=0,"",[2]对账明细接口!$L$503),"")</f>
      </c>
      <c r="M503" s="16">
        <f>IFERROR(IF([2]对账明细接口!$M$503=0,"",[2]对账明细接口!$M$503),"")</f>
      </c>
      <c r="N503" s="19">
        <f>IF($C503="",0,1)</f>
        <v>0</v>
      </c>
      <c r="O503" s="19">
        <f>N(O502)+$N503</f>
        <v>272</v>
      </c>
      <c r="S503" s="20">
        <f>IFERROR(IF([2]对账明细接口!$N503=0,"",[2]对账明细接口!$N503),"")</f>
      </c>
      <c r="T503" s="212">
        <f>IFERROR(IF([2]对账明细接口!$O503=0,"",[2]对账明细接口!$O503),"")</f>
      </c>
      <c r="U503" s="212">
        <f>IFERROR(IF([2]对账明细接口!$P503=0,"",[2]对账明细接口!$P503),"")</f>
      </c>
      <c r="V503" s="212">
        <f>IFERROR(IF([2]对账明细接口!$Q503=0,"",[2]对账明细接口!$Q503),"")</f>
      </c>
      <c r="W503" s="20">
        <f>IFERROR(IF([2]对账明细接口!$R503=0,"",[2]对账明细接口!$R503),"")</f>
      </c>
      <c r="X503" s="20">
        <f>IFERROR(IF([2]对账明细接口!$S503=0,"",[2]对账明细接口!$S503),"")</f>
      </c>
      <c r="Y503" s="20">
        <f>""</f>
      </c>
      <c r="Z503" s="20">
        <f>""</f>
      </c>
      <c r="AA503" s="20">
        <f>""</f>
      </c>
      <c r="AB503" s="20">
        <f>""</f>
      </c>
    </row>
    <row r="504" s="127">
      <c r="A504" s="14" t="n">
        <v>504</v>
      </c>
      <c r="B504" s="211">
        <f>IFERROR(IF([2]对账明细接口!$B$504=0,"",[2]对账明细接口!$B$504),"")</f>
      </c>
      <c r="C504" s="16">
        <f>IFERROR(IF([2]对账明细接口!$C$504=0,"",[2]对账明细接口!$C$504),"")</f>
      </c>
      <c r="D504" s="16">
        <f>IFERROR(IF([2]对账明细接口!$D$504=0,"",[2]对账明细接口!$D$504),"")</f>
      </c>
      <c r="E504" s="16">
        <f>IFERROR(IF([2]对账明细接口!$E$504=0,"",[2]对账明细接口!$E$504),"")</f>
      </c>
      <c r="F504" s="16">
        <f>IFERROR(IF([2]对账明细接口!$F$504=0,"",[2]对账明细接口!$F$504),"")</f>
      </c>
      <c r="G504" s="16">
        <f>IFERROR(IF([2]对账明细接口!$G$504=0,"",[2]对账明细接口!$G$504),"")</f>
      </c>
      <c r="H504" s="176">
        <f>IFERROR(IF([2]对账明细接口!$H$504=0,"",[2]对账明细接口!$H$504),"")</f>
      </c>
      <c r="I504" s="16">
        <f>IFERROR(IF([2]对账明细接口!$I$504=0,"",[2]对账明细接口!$I$504),"")</f>
      </c>
      <c r="J504" s="177">
        <f>IFERROR(IF([2]对账明细接口!$J$504=0,"",[2]对账明细接口!$J$504),"")</f>
      </c>
      <c r="K504" s="177">
        <f>IFERROR(IF([2]对账明细接口!$K$504=0,"",[2]对账明细接口!$K$504),"")</f>
      </c>
      <c r="L504" s="16">
        <f>IFERROR(IF([2]对账明细接口!$L$504=0,"",[2]对账明细接口!$L$504),"")</f>
      </c>
      <c r="M504" s="16">
        <f>IFERROR(IF([2]对账明细接口!$M$504=0,"",[2]对账明细接口!$M$504),"")</f>
      </c>
      <c r="N504" s="19">
        <f>IF($C504="",0,1)</f>
        <v>0</v>
      </c>
      <c r="O504" s="19">
        <f>N(O503)+$N504</f>
        <v>272</v>
      </c>
      <c r="S504" s="20">
        <f>IFERROR(IF([2]对账明细接口!$N504=0,"",[2]对账明细接口!$N504),"")</f>
      </c>
      <c r="T504" s="212">
        <f>IFERROR(IF([2]对账明细接口!$O504=0,"",[2]对账明细接口!$O504),"")</f>
      </c>
      <c r="U504" s="212">
        <f>IFERROR(IF([2]对账明细接口!$P504=0,"",[2]对账明细接口!$P504),"")</f>
      </c>
      <c r="V504" s="212">
        <f>IFERROR(IF([2]对账明细接口!$Q504=0,"",[2]对账明细接口!$Q504),"")</f>
      </c>
      <c r="W504" s="20">
        <f>IFERROR(IF([2]对账明细接口!$R504=0,"",[2]对账明细接口!$R504),"")</f>
      </c>
      <c r="X504" s="20">
        <f>IFERROR(IF([2]对账明细接口!$S504=0,"",[2]对账明细接口!$S504),"")</f>
      </c>
      <c r="Y504" s="20">
        <f>""</f>
      </c>
      <c r="Z504" s="20">
        <f>""</f>
      </c>
      <c r="AA504" s="20">
        <f>""</f>
      </c>
      <c r="AB504" s="20">
        <f>""</f>
      </c>
    </row>
    <row r="505" s="127">
      <c r="A505" s="14" t="n">
        <v>505</v>
      </c>
      <c r="B505" s="211">
        <f>IFERROR(IF([2]对账明细接口!$B$505=0,"",[2]对账明细接口!$B$505),"")</f>
      </c>
      <c r="C505" s="16">
        <f>IFERROR(IF([2]对账明细接口!$C$505=0,"",[2]对账明细接口!$C$505),"")</f>
      </c>
      <c r="D505" s="16">
        <f>IFERROR(IF([2]对账明细接口!$D$505=0,"",[2]对账明细接口!$D$505),"")</f>
      </c>
      <c r="E505" s="16">
        <f>IFERROR(IF([2]对账明细接口!$E$505=0,"",[2]对账明细接口!$E$505),"")</f>
      </c>
      <c r="F505" s="16">
        <f>IFERROR(IF([2]对账明细接口!$F$505=0,"",[2]对账明细接口!$F$505),"")</f>
      </c>
      <c r="G505" s="16">
        <f>IFERROR(IF([2]对账明细接口!$G$505=0,"",[2]对账明细接口!$G$505),"")</f>
      </c>
      <c r="H505" s="176">
        <f>IFERROR(IF([2]对账明细接口!$H$505=0,"",[2]对账明细接口!$H$505),"")</f>
      </c>
      <c r="I505" s="16">
        <f>IFERROR(IF([2]对账明细接口!$I$505=0,"",[2]对账明细接口!$I$505),"")</f>
      </c>
      <c r="J505" s="177">
        <f>IFERROR(IF([2]对账明细接口!$J$505=0,"",[2]对账明细接口!$J$505),"")</f>
      </c>
      <c r="K505" s="177">
        <f>IFERROR(IF([2]对账明细接口!$K$505=0,"",[2]对账明细接口!$K$505),"")</f>
      </c>
      <c r="L505" s="16">
        <f>IFERROR(IF([2]对账明细接口!$L$505=0,"",[2]对账明细接口!$L$505),"")</f>
      </c>
      <c r="M505" s="16">
        <f>IFERROR(IF([2]对账明细接口!$M$505=0,"",[2]对账明细接口!$M$505),"")</f>
      </c>
      <c r="N505" s="19">
        <f>IF($C505="",0,1)</f>
        <v>0</v>
      </c>
      <c r="O505" s="19">
        <f>N(O504)+$N505</f>
        <v>272</v>
      </c>
      <c r="S505" s="20">
        <f>IFERROR(IF([2]对账明细接口!$N505=0,"",[2]对账明细接口!$N505),"")</f>
      </c>
      <c r="T505" s="212">
        <f>IFERROR(IF([2]对账明细接口!$O505=0,"",[2]对账明细接口!$O505),"")</f>
      </c>
      <c r="U505" s="212">
        <f>IFERROR(IF([2]对账明细接口!$P505=0,"",[2]对账明细接口!$P505),"")</f>
      </c>
      <c r="V505" s="212">
        <f>IFERROR(IF([2]对账明细接口!$Q505=0,"",[2]对账明细接口!$Q505),"")</f>
      </c>
      <c r="W505" s="20">
        <f>IFERROR(IF([2]对账明细接口!$R505=0,"",[2]对账明细接口!$R505),"")</f>
      </c>
      <c r="X505" s="20">
        <f>IFERROR(IF([2]对账明细接口!$S505=0,"",[2]对账明细接口!$S505),"")</f>
      </c>
      <c r="Y505" s="20">
        <f>""</f>
      </c>
      <c r="Z505" s="20">
        <f>""</f>
      </c>
      <c r="AA505" s="20">
        <f>""</f>
      </c>
      <c r="AB505" s="20">
        <f>""</f>
      </c>
    </row>
    <row r="506" s="127">
      <c r="A506" s="14" t="n">
        <v>506</v>
      </c>
      <c r="B506" s="211">
        <f>IFERROR(IF([2]对账明细接口!$B$506=0,"",[2]对账明细接口!$B$506),"")</f>
      </c>
      <c r="C506" s="16">
        <f>IFERROR(IF([2]对账明细接口!$C$506=0,"",[2]对账明细接口!$C$506),"")</f>
      </c>
      <c r="D506" s="16">
        <f>IFERROR(IF([2]对账明细接口!$D$506=0,"",[2]对账明细接口!$D$506),"")</f>
      </c>
      <c r="E506" s="16">
        <f>IFERROR(IF([2]对账明细接口!$E$506=0,"",[2]对账明细接口!$E$506),"")</f>
      </c>
      <c r="F506" s="16">
        <f>IFERROR(IF([2]对账明细接口!$F$506=0,"",[2]对账明细接口!$F$506),"")</f>
      </c>
      <c r="G506" s="16">
        <f>IFERROR(IF([2]对账明细接口!$G$506=0,"",[2]对账明细接口!$G$506),"")</f>
      </c>
      <c r="H506" s="176">
        <f>IFERROR(IF([2]对账明细接口!$H$506=0,"",[2]对账明细接口!$H$506),"")</f>
      </c>
      <c r="I506" s="16">
        <f>IFERROR(IF([2]对账明细接口!$I$506=0,"",[2]对账明细接口!$I$506),"")</f>
      </c>
      <c r="J506" s="177">
        <f>IFERROR(IF([2]对账明细接口!$J$506=0,"",[2]对账明细接口!$J$506),"")</f>
      </c>
      <c r="K506" s="177">
        <f>IFERROR(IF([2]对账明细接口!$K$506=0,"",[2]对账明细接口!$K$506),"")</f>
      </c>
      <c r="L506" s="16">
        <f>IFERROR(IF([2]对账明细接口!$L$506=0,"",[2]对账明细接口!$L$506),"")</f>
      </c>
      <c r="M506" s="16">
        <f>IFERROR(IF([2]对账明细接口!$M$506=0,"",[2]对账明细接口!$M$506),"")</f>
      </c>
      <c r="N506" s="19">
        <f>IF($C506="",0,1)</f>
        <v>0</v>
      </c>
      <c r="O506" s="19">
        <f>N(O505)+$N506</f>
        <v>272</v>
      </c>
      <c r="S506" s="20">
        <f>IFERROR(IF([2]对账明细接口!$N506=0,"",[2]对账明细接口!$N506),"")</f>
      </c>
      <c r="T506" s="212">
        <f>IFERROR(IF([2]对账明细接口!$O506=0,"",[2]对账明细接口!$O506),"")</f>
      </c>
      <c r="U506" s="212">
        <f>IFERROR(IF([2]对账明细接口!$P506=0,"",[2]对账明细接口!$P506),"")</f>
      </c>
      <c r="V506" s="212">
        <f>IFERROR(IF([2]对账明细接口!$Q506=0,"",[2]对账明细接口!$Q506),"")</f>
      </c>
      <c r="W506" s="20">
        <f>IFERROR(IF([2]对账明细接口!$R506=0,"",[2]对账明细接口!$R506),"")</f>
      </c>
      <c r="X506" s="20">
        <f>IFERROR(IF([2]对账明细接口!$S506=0,"",[2]对账明细接口!$S506),"")</f>
      </c>
      <c r="Y506" s="20">
        <f>""</f>
      </c>
      <c r="Z506" s="20">
        <f>""</f>
      </c>
      <c r="AA506" s="20">
        <f>""</f>
      </c>
      <c r="AB506" s="20">
        <f>""</f>
      </c>
    </row>
    <row r="507" s="127">
      <c r="A507" s="14" t="n">
        <v>507</v>
      </c>
      <c r="B507" s="211">
        <f>IFERROR(IF([2]对账明细接口!$B$507=0,"",[2]对账明细接口!$B$507),"")</f>
      </c>
      <c r="C507" s="16">
        <f>IFERROR(IF([2]对账明细接口!$C$507=0,"",[2]对账明细接口!$C$507),"")</f>
      </c>
      <c r="D507" s="16">
        <f>IFERROR(IF([2]对账明细接口!$D$507=0,"",[2]对账明细接口!$D$507),"")</f>
      </c>
      <c r="E507" s="16">
        <f>IFERROR(IF([2]对账明细接口!$E$507=0,"",[2]对账明细接口!$E$507),"")</f>
      </c>
      <c r="F507" s="16">
        <f>IFERROR(IF([2]对账明细接口!$F$507=0,"",[2]对账明细接口!$F$507),"")</f>
      </c>
      <c r="G507" s="16">
        <f>IFERROR(IF([2]对账明细接口!$G$507=0,"",[2]对账明细接口!$G$507),"")</f>
      </c>
      <c r="H507" s="176">
        <f>IFERROR(IF([2]对账明细接口!$H$507=0,"",[2]对账明细接口!$H$507),"")</f>
      </c>
      <c r="I507" s="16">
        <f>IFERROR(IF([2]对账明细接口!$I$507=0,"",[2]对账明细接口!$I$507),"")</f>
      </c>
      <c r="J507" s="177">
        <f>IFERROR(IF([2]对账明细接口!$J$507=0,"",[2]对账明细接口!$J$507),"")</f>
      </c>
      <c r="K507" s="177">
        <f>IFERROR(IF([2]对账明细接口!$K$507=0,"",[2]对账明细接口!$K$507),"")</f>
      </c>
      <c r="L507" s="16">
        <f>IFERROR(IF([2]对账明细接口!$L$507=0,"",[2]对账明细接口!$L$507),"")</f>
      </c>
      <c r="M507" s="16">
        <f>IFERROR(IF([2]对账明细接口!$M$507=0,"",[2]对账明细接口!$M$507),"")</f>
      </c>
      <c r="N507" s="19">
        <f>IF($C507="",0,1)</f>
        <v>0</v>
      </c>
      <c r="O507" s="19">
        <f>N(O506)+$N507</f>
        <v>272</v>
      </c>
      <c r="S507" s="20">
        <f>IFERROR(IF([2]对账明细接口!$N507=0,"",[2]对账明细接口!$N507),"")</f>
      </c>
      <c r="T507" s="212">
        <f>IFERROR(IF([2]对账明细接口!$O507=0,"",[2]对账明细接口!$O507),"")</f>
      </c>
      <c r="U507" s="212">
        <f>IFERROR(IF([2]对账明细接口!$P507=0,"",[2]对账明细接口!$P507),"")</f>
      </c>
      <c r="V507" s="212">
        <f>IFERROR(IF([2]对账明细接口!$Q507=0,"",[2]对账明细接口!$Q507),"")</f>
      </c>
      <c r="W507" s="20">
        <f>IFERROR(IF([2]对账明细接口!$R507=0,"",[2]对账明细接口!$R507),"")</f>
      </c>
      <c r="X507" s="20">
        <f>IFERROR(IF([2]对账明细接口!$S507=0,"",[2]对账明细接口!$S507),"")</f>
      </c>
      <c r="Y507" s="20">
        <f>""</f>
      </c>
      <c r="Z507" s="20">
        <f>""</f>
      </c>
      <c r="AA507" s="20">
        <f>""</f>
      </c>
      <c r="AB507" s="20">
        <f>""</f>
      </c>
    </row>
    <row r="508" s="127">
      <c r="A508" s="14" t="n">
        <v>508</v>
      </c>
      <c r="B508" s="211">
        <f>IFERROR(IF([2]对账明细接口!$B$508=0,"",[2]对账明细接口!$B$508),"")</f>
      </c>
      <c r="C508" s="16">
        <f>IFERROR(IF([2]对账明细接口!$C$508=0,"",[2]对账明细接口!$C$508),"")</f>
      </c>
      <c r="D508" s="16">
        <f>IFERROR(IF([2]对账明细接口!$D$508=0,"",[2]对账明细接口!$D$508),"")</f>
      </c>
      <c r="E508" s="16">
        <f>IFERROR(IF([2]对账明细接口!$E$508=0,"",[2]对账明细接口!$E$508),"")</f>
      </c>
      <c r="F508" s="16">
        <f>IFERROR(IF([2]对账明细接口!$F$508=0,"",[2]对账明细接口!$F$508),"")</f>
      </c>
      <c r="G508" s="16">
        <f>IFERROR(IF([2]对账明细接口!$G$508=0,"",[2]对账明细接口!$G$508),"")</f>
      </c>
      <c r="H508" s="176">
        <f>IFERROR(IF([2]对账明细接口!$H$508=0,"",[2]对账明细接口!$H$508),"")</f>
      </c>
      <c r="I508" s="16">
        <f>IFERROR(IF([2]对账明细接口!$I$508=0,"",[2]对账明细接口!$I$508),"")</f>
      </c>
      <c r="J508" s="177">
        <f>IFERROR(IF([2]对账明细接口!$J$508=0,"",[2]对账明细接口!$J$508),"")</f>
      </c>
      <c r="K508" s="177">
        <f>IFERROR(IF([2]对账明细接口!$K$508=0,"",[2]对账明细接口!$K$508),"")</f>
      </c>
      <c r="L508" s="16">
        <f>IFERROR(IF([2]对账明细接口!$L$508=0,"",[2]对账明细接口!$L$508),"")</f>
      </c>
      <c r="M508" s="16">
        <f>IFERROR(IF([2]对账明细接口!$M$508=0,"",[2]对账明细接口!$M$508),"")</f>
      </c>
      <c r="N508" s="19">
        <f>IF($C508="",0,1)</f>
        <v>0</v>
      </c>
      <c r="O508" s="19">
        <f>N(O507)+$N508</f>
        <v>272</v>
      </c>
      <c r="S508" s="20">
        <f>IFERROR(IF([2]对账明细接口!$N508=0,"",[2]对账明细接口!$N508),"")</f>
      </c>
      <c r="T508" s="212">
        <f>IFERROR(IF([2]对账明细接口!$O508=0,"",[2]对账明细接口!$O508),"")</f>
      </c>
      <c r="U508" s="212">
        <f>IFERROR(IF([2]对账明细接口!$P508=0,"",[2]对账明细接口!$P508),"")</f>
      </c>
      <c r="V508" s="212">
        <f>IFERROR(IF([2]对账明细接口!$Q508=0,"",[2]对账明细接口!$Q508),"")</f>
      </c>
      <c r="W508" s="20">
        <f>IFERROR(IF([2]对账明细接口!$R508=0,"",[2]对账明细接口!$R508),"")</f>
      </c>
      <c r="X508" s="20">
        <f>IFERROR(IF([2]对账明细接口!$S508=0,"",[2]对账明细接口!$S508),"")</f>
      </c>
      <c r="Y508" s="20">
        <f>""</f>
      </c>
      <c r="Z508" s="20">
        <f>""</f>
      </c>
      <c r="AA508" s="20">
        <f>""</f>
      </c>
      <c r="AB508" s="20">
        <f>""</f>
      </c>
    </row>
    <row r="509" s="127">
      <c r="A509" s="14" t="n">
        <v>509</v>
      </c>
      <c r="B509" s="211">
        <f>IFERROR(IF([2]对账明细接口!$B$509=0,"",[2]对账明细接口!$B$509),"")</f>
      </c>
      <c r="C509" s="16">
        <f>IFERROR(IF([2]对账明细接口!$C$509=0,"",[2]对账明细接口!$C$509),"")</f>
      </c>
      <c r="D509" s="16">
        <f>IFERROR(IF([2]对账明细接口!$D$509=0,"",[2]对账明细接口!$D$509),"")</f>
      </c>
      <c r="E509" s="16">
        <f>IFERROR(IF([2]对账明细接口!$E$509=0,"",[2]对账明细接口!$E$509),"")</f>
      </c>
      <c r="F509" s="16">
        <f>IFERROR(IF([2]对账明细接口!$F$509=0,"",[2]对账明细接口!$F$509),"")</f>
      </c>
      <c r="G509" s="16">
        <f>IFERROR(IF([2]对账明细接口!$G$509=0,"",[2]对账明细接口!$G$509),"")</f>
      </c>
      <c r="H509" s="176">
        <f>IFERROR(IF([2]对账明细接口!$H$509=0,"",[2]对账明细接口!$H$509),"")</f>
      </c>
      <c r="I509" s="16">
        <f>IFERROR(IF([2]对账明细接口!$I$509=0,"",[2]对账明细接口!$I$509),"")</f>
      </c>
      <c r="J509" s="177">
        <f>IFERROR(IF([2]对账明细接口!$J$509=0,"",[2]对账明细接口!$J$509),"")</f>
      </c>
      <c r="K509" s="177">
        <f>IFERROR(IF([2]对账明细接口!$K$509=0,"",[2]对账明细接口!$K$509),"")</f>
      </c>
      <c r="L509" s="16">
        <f>IFERROR(IF([2]对账明细接口!$L$509=0,"",[2]对账明细接口!$L$509),"")</f>
      </c>
      <c r="M509" s="16">
        <f>IFERROR(IF([2]对账明细接口!$M$509=0,"",[2]对账明细接口!$M$509),"")</f>
      </c>
      <c r="N509" s="19">
        <f>IF($C509="",0,1)</f>
        <v>0</v>
      </c>
      <c r="O509" s="19">
        <f>N(O508)+$N509</f>
        <v>272</v>
      </c>
      <c r="S509" s="20">
        <f>IFERROR(IF([2]对账明细接口!$N509=0,"",[2]对账明细接口!$N509),"")</f>
      </c>
      <c r="T509" s="212">
        <f>IFERROR(IF([2]对账明细接口!$O509=0,"",[2]对账明细接口!$O509),"")</f>
      </c>
      <c r="U509" s="212">
        <f>IFERROR(IF([2]对账明细接口!$P509=0,"",[2]对账明细接口!$P509),"")</f>
      </c>
      <c r="V509" s="212">
        <f>IFERROR(IF([2]对账明细接口!$Q509=0,"",[2]对账明细接口!$Q509),"")</f>
      </c>
      <c r="W509" s="20">
        <f>IFERROR(IF([2]对账明细接口!$R509=0,"",[2]对账明细接口!$R509),"")</f>
      </c>
      <c r="X509" s="20">
        <f>IFERROR(IF([2]对账明细接口!$S509=0,"",[2]对账明细接口!$S509),"")</f>
      </c>
      <c r="Y509" s="20">
        <f>""</f>
      </c>
      <c r="Z509" s="20">
        <f>""</f>
      </c>
      <c r="AA509" s="20">
        <f>""</f>
      </c>
      <c r="AB509" s="20">
        <f>""</f>
      </c>
    </row>
    <row r="510" s="127">
      <c r="A510" s="14" t="n">
        <v>510</v>
      </c>
      <c r="B510" s="211">
        <f>IFERROR(IF([2]对账明细接口!$B$510=0,"",[2]对账明细接口!$B$510),"")</f>
      </c>
      <c r="C510" s="16">
        <f>IFERROR(IF([2]对账明细接口!$C$510=0,"",[2]对账明细接口!$C$510),"")</f>
      </c>
      <c r="D510" s="16">
        <f>IFERROR(IF([2]对账明细接口!$D$510=0,"",[2]对账明细接口!$D$510),"")</f>
      </c>
      <c r="E510" s="16">
        <f>IFERROR(IF([2]对账明细接口!$E$510=0,"",[2]对账明细接口!$E$510),"")</f>
      </c>
      <c r="F510" s="16">
        <f>IFERROR(IF([2]对账明细接口!$F$510=0,"",[2]对账明细接口!$F$510),"")</f>
      </c>
      <c r="G510" s="16">
        <f>IFERROR(IF([2]对账明细接口!$G$510=0,"",[2]对账明细接口!$G$510),"")</f>
      </c>
      <c r="H510" s="176">
        <f>IFERROR(IF([2]对账明细接口!$H$510=0,"",[2]对账明细接口!$H$510),"")</f>
      </c>
      <c r="I510" s="16">
        <f>IFERROR(IF([2]对账明细接口!$I$510=0,"",[2]对账明细接口!$I$510),"")</f>
      </c>
      <c r="J510" s="177">
        <f>IFERROR(IF([2]对账明细接口!$J$510=0,"",[2]对账明细接口!$J$510),"")</f>
      </c>
      <c r="K510" s="177">
        <f>IFERROR(IF([2]对账明细接口!$K$510=0,"",[2]对账明细接口!$K$510),"")</f>
      </c>
      <c r="L510" s="16">
        <f>IFERROR(IF([2]对账明细接口!$L$510=0,"",[2]对账明细接口!$L$510),"")</f>
      </c>
      <c r="M510" s="16">
        <f>IFERROR(IF([2]对账明细接口!$M$510=0,"",[2]对账明细接口!$M$510),"")</f>
      </c>
      <c r="N510" s="19">
        <f>IF($C510="",0,1)</f>
        <v>0</v>
      </c>
      <c r="O510" s="19">
        <f>N(O509)+$N510</f>
        <v>272</v>
      </c>
      <c r="S510" s="20">
        <f>IFERROR(IF([2]对账明细接口!$N510=0,"",[2]对账明细接口!$N510),"")</f>
      </c>
      <c r="T510" s="212">
        <f>IFERROR(IF([2]对账明细接口!$O510=0,"",[2]对账明细接口!$O510),"")</f>
      </c>
      <c r="U510" s="212">
        <f>IFERROR(IF([2]对账明细接口!$P510=0,"",[2]对账明细接口!$P510),"")</f>
      </c>
      <c r="V510" s="212">
        <f>IFERROR(IF([2]对账明细接口!$Q510=0,"",[2]对账明细接口!$Q510),"")</f>
      </c>
      <c r="W510" s="20">
        <f>IFERROR(IF([2]对账明细接口!$R510=0,"",[2]对账明细接口!$R510),"")</f>
      </c>
      <c r="X510" s="20">
        <f>IFERROR(IF([2]对账明细接口!$S510=0,"",[2]对账明细接口!$S510),"")</f>
      </c>
      <c r="Y510" s="20">
        <f>""</f>
      </c>
      <c r="Z510" s="20">
        <f>""</f>
      </c>
      <c r="AA510" s="20">
        <f>""</f>
      </c>
      <c r="AB510" s="20">
        <f>""</f>
      </c>
    </row>
    <row r="511" s="127">
      <c r="A511" s="14" t="n">
        <v>511</v>
      </c>
      <c r="B511" s="211">
        <f>IFERROR(IF([2]对账明细接口!$B$511=0,"",[2]对账明细接口!$B$511),"")</f>
      </c>
      <c r="C511" s="16">
        <f>IFERROR(IF([2]对账明细接口!$C$511=0,"",[2]对账明细接口!$C$511),"")</f>
      </c>
      <c r="D511" s="16">
        <f>IFERROR(IF([2]对账明细接口!$D$511=0,"",[2]对账明细接口!$D$511),"")</f>
      </c>
      <c r="E511" s="16">
        <f>IFERROR(IF([2]对账明细接口!$E$511=0,"",[2]对账明细接口!$E$511),"")</f>
      </c>
      <c r="F511" s="16">
        <f>IFERROR(IF([2]对账明细接口!$F$511=0,"",[2]对账明细接口!$F$511),"")</f>
      </c>
      <c r="G511" s="16">
        <f>IFERROR(IF([2]对账明细接口!$G$511=0,"",[2]对账明细接口!$G$511),"")</f>
      </c>
      <c r="H511" s="176">
        <f>IFERROR(IF([2]对账明细接口!$H$511=0,"",[2]对账明细接口!$H$511),"")</f>
      </c>
      <c r="I511" s="16">
        <f>IFERROR(IF([2]对账明细接口!$I$511=0,"",[2]对账明细接口!$I$511),"")</f>
      </c>
      <c r="J511" s="177">
        <f>IFERROR(IF([2]对账明细接口!$J$511=0,"",[2]对账明细接口!$J$511),"")</f>
      </c>
      <c r="K511" s="177">
        <f>IFERROR(IF([2]对账明细接口!$K$511=0,"",[2]对账明细接口!$K$511),"")</f>
      </c>
      <c r="L511" s="16">
        <f>IFERROR(IF([2]对账明细接口!$L$511=0,"",[2]对账明细接口!$L$511),"")</f>
      </c>
      <c r="M511" s="16">
        <f>IFERROR(IF([2]对账明细接口!$M$511=0,"",[2]对账明细接口!$M$511),"")</f>
      </c>
      <c r="N511" s="19">
        <f>IF($C511="",0,1)</f>
        <v>0</v>
      </c>
      <c r="O511" s="19">
        <f>N(O510)+$N511</f>
        <v>272</v>
      </c>
      <c r="S511" s="20">
        <f>IFERROR(IF([2]对账明细接口!$N511=0,"",[2]对账明细接口!$N511),"")</f>
      </c>
      <c r="T511" s="212">
        <f>IFERROR(IF([2]对账明细接口!$O511=0,"",[2]对账明细接口!$O511),"")</f>
      </c>
      <c r="U511" s="212">
        <f>IFERROR(IF([2]对账明细接口!$P511=0,"",[2]对账明细接口!$P511),"")</f>
      </c>
      <c r="V511" s="212">
        <f>IFERROR(IF([2]对账明细接口!$Q511=0,"",[2]对账明细接口!$Q511),"")</f>
      </c>
      <c r="W511" s="20">
        <f>IFERROR(IF([2]对账明细接口!$R511=0,"",[2]对账明细接口!$R511),"")</f>
      </c>
      <c r="X511" s="20">
        <f>IFERROR(IF([2]对账明细接口!$S511=0,"",[2]对账明细接口!$S511),"")</f>
      </c>
      <c r="Y511" s="20">
        <f>""</f>
      </c>
      <c r="Z511" s="20">
        <f>""</f>
      </c>
      <c r="AA511" s="20">
        <f>""</f>
      </c>
      <c r="AB511" s="20">
        <f>""</f>
      </c>
    </row>
    <row r="512" s="127">
      <c r="A512" s="14" t="n">
        <v>512</v>
      </c>
      <c r="B512" s="211">
        <f>IFERROR(IF([2]对账明细接口!$B$512=0,"",[2]对账明细接口!$B$512),"")</f>
      </c>
      <c r="C512" s="16">
        <f>IFERROR(IF([2]对账明细接口!$C$512=0,"",[2]对账明细接口!$C$512),"")</f>
      </c>
      <c r="D512" s="16">
        <f>IFERROR(IF([2]对账明细接口!$D$512=0,"",[2]对账明细接口!$D$512),"")</f>
      </c>
      <c r="E512" s="16">
        <f>IFERROR(IF([2]对账明细接口!$E$512=0,"",[2]对账明细接口!$E$512),"")</f>
      </c>
      <c r="F512" s="16">
        <f>IFERROR(IF([2]对账明细接口!$F$512=0,"",[2]对账明细接口!$F$512),"")</f>
      </c>
      <c r="G512" s="16">
        <f>IFERROR(IF([2]对账明细接口!$G$512=0,"",[2]对账明细接口!$G$512),"")</f>
      </c>
      <c r="H512" s="176">
        <f>IFERROR(IF([2]对账明细接口!$H$512=0,"",[2]对账明细接口!$H$512),"")</f>
      </c>
      <c r="I512" s="16">
        <f>IFERROR(IF([2]对账明细接口!$I$512=0,"",[2]对账明细接口!$I$512),"")</f>
      </c>
      <c r="J512" s="177">
        <f>IFERROR(IF([2]对账明细接口!$J$512=0,"",[2]对账明细接口!$J$512),"")</f>
      </c>
      <c r="K512" s="177">
        <f>IFERROR(IF([2]对账明细接口!$K$512=0,"",[2]对账明细接口!$K$512),"")</f>
      </c>
      <c r="L512" s="16">
        <f>IFERROR(IF([2]对账明细接口!$L$512=0,"",[2]对账明细接口!$L$512),"")</f>
      </c>
      <c r="M512" s="16">
        <f>IFERROR(IF([2]对账明细接口!$M$512=0,"",[2]对账明细接口!$M$512),"")</f>
      </c>
      <c r="N512" s="19">
        <f>IF($C512="",0,1)</f>
        <v>0</v>
      </c>
      <c r="O512" s="19">
        <f>N(O511)+$N512</f>
        <v>272</v>
      </c>
      <c r="S512" s="20">
        <f>IFERROR(IF([2]对账明细接口!$N512=0,"",[2]对账明细接口!$N512),"")</f>
      </c>
      <c r="T512" s="212">
        <f>IFERROR(IF([2]对账明细接口!$O512=0,"",[2]对账明细接口!$O512),"")</f>
      </c>
      <c r="U512" s="212">
        <f>IFERROR(IF([2]对账明细接口!$P512=0,"",[2]对账明细接口!$P512),"")</f>
      </c>
      <c r="V512" s="212">
        <f>IFERROR(IF([2]对账明细接口!$Q512=0,"",[2]对账明细接口!$Q512),"")</f>
      </c>
      <c r="W512" s="20">
        <f>IFERROR(IF([2]对账明细接口!$R512=0,"",[2]对账明细接口!$R512),"")</f>
      </c>
      <c r="X512" s="20">
        <f>IFERROR(IF([2]对账明细接口!$S512=0,"",[2]对账明细接口!$S512),"")</f>
      </c>
      <c r="Y512" s="20">
        <f>""</f>
      </c>
      <c r="Z512" s="20">
        <f>""</f>
      </c>
      <c r="AA512" s="20">
        <f>""</f>
      </c>
      <c r="AB512" s="20">
        <f>""</f>
      </c>
    </row>
    <row r="513" s="127">
      <c r="A513" s="14" t="n">
        <v>513</v>
      </c>
      <c r="B513" s="211">
        <f>IFERROR(IF([2]对账明细接口!$B$513=0,"",[2]对账明细接口!$B$513),"")</f>
      </c>
      <c r="C513" s="16">
        <f>IFERROR(IF([2]对账明细接口!$C$513=0,"",[2]对账明细接口!$C$513),"")</f>
      </c>
      <c r="D513" s="16">
        <f>IFERROR(IF([2]对账明细接口!$D$513=0,"",[2]对账明细接口!$D$513),"")</f>
      </c>
      <c r="E513" s="16">
        <f>IFERROR(IF([2]对账明细接口!$E$513=0,"",[2]对账明细接口!$E$513),"")</f>
      </c>
      <c r="F513" s="16">
        <f>IFERROR(IF([2]对账明细接口!$F$513=0,"",[2]对账明细接口!$F$513),"")</f>
      </c>
      <c r="G513" s="16">
        <f>IFERROR(IF([2]对账明细接口!$G$513=0,"",[2]对账明细接口!$G$513),"")</f>
      </c>
      <c r="H513" s="176">
        <f>IFERROR(IF([2]对账明细接口!$H$513=0,"",[2]对账明细接口!$H$513),"")</f>
      </c>
      <c r="I513" s="16">
        <f>IFERROR(IF([2]对账明细接口!$I$513=0,"",[2]对账明细接口!$I$513),"")</f>
      </c>
      <c r="J513" s="177">
        <f>IFERROR(IF([2]对账明细接口!$J$513=0,"",[2]对账明细接口!$J$513),"")</f>
      </c>
      <c r="K513" s="177">
        <f>IFERROR(IF([2]对账明细接口!$K$513=0,"",[2]对账明细接口!$K$513),"")</f>
      </c>
      <c r="L513" s="16">
        <f>IFERROR(IF([2]对账明细接口!$L$513=0,"",[2]对账明细接口!$L$513),"")</f>
      </c>
      <c r="M513" s="16">
        <f>IFERROR(IF([2]对账明细接口!$M$513=0,"",[2]对账明细接口!$M$513),"")</f>
      </c>
      <c r="N513" s="19">
        <f>IF($C513="",0,1)</f>
        <v>0</v>
      </c>
      <c r="O513" s="19">
        <f>N(O512)+$N513</f>
        <v>272</v>
      </c>
      <c r="S513" s="20">
        <f>IFERROR(IF([2]对账明细接口!$N513=0,"",[2]对账明细接口!$N513),"")</f>
      </c>
      <c r="T513" s="212">
        <f>IFERROR(IF([2]对账明细接口!$O513=0,"",[2]对账明细接口!$O513),"")</f>
      </c>
      <c r="U513" s="212">
        <f>IFERROR(IF([2]对账明细接口!$P513=0,"",[2]对账明细接口!$P513),"")</f>
      </c>
      <c r="V513" s="212">
        <f>IFERROR(IF([2]对账明细接口!$Q513=0,"",[2]对账明细接口!$Q513),"")</f>
      </c>
      <c r="W513" s="20">
        <f>IFERROR(IF([2]对账明细接口!$R513=0,"",[2]对账明细接口!$R513),"")</f>
      </c>
      <c r="X513" s="20">
        <f>IFERROR(IF([2]对账明细接口!$S513=0,"",[2]对账明细接口!$S513),"")</f>
      </c>
      <c r="Y513" s="20">
        <f>""</f>
      </c>
      <c r="Z513" s="20">
        <f>""</f>
      </c>
      <c r="AA513" s="20">
        <f>""</f>
      </c>
      <c r="AB513" s="20">
        <f>""</f>
      </c>
    </row>
    <row r="514" s="127">
      <c r="A514" s="14" t="n">
        <v>514</v>
      </c>
      <c r="B514" s="211">
        <f>IFERROR(IF([2]对账明细接口!$B$514=0,"",[2]对账明细接口!$B$514),"")</f>
      </c>
      <c r="C514" s="16">
        <f>IFERROR(IF([2]对账明细接口!$C$514=0,"",[2]对账明细接口!$C$514),"")</f>
      </c>
      <c r="D514" s="16">
        <f>IFERROR(IF([2]对账明细接口!$D$514=0,"",[2]对账明细接口!$D$514),"")</f>
      </c>
      <c r="E514" s="16">
        <f>IFERROR(IF([2]对账明细接口!$E$514=0,"",[2]对账明细接口!$E$514),"")</f>
      </c>
      <c r="F514" s="16">
        <f>IFERROR(IF([2]对账明细接口!$F$514=0,"",[2]对账明细接口!$F$514),"")</f>
      </c>
      <c r="G514" s="16">
        <f>IFERROR(IF([2]对账明细接口!$G$514=0,"",[2]对账明细接口!$G$514),"")</f>
      </c>
      <c r="H514" s="176">
        <f>IFERROR(IF([2]对账明细接口!$H$514=0,"",[2]对账明细接口!$H$514),"")</f>
      </c>
      <c r="I514" s="16">
        <f>IFERROR(IF([2]对账明细接口!$I$514=0,"",[2]对账明细接口!$I$514),"")</f>
      </c>
      <c r="J514" s="177">
        <f>IFERROR(IF([2]对账明细接口!$J$514=0,"",[2]对账明细接口!$J$514),"")</f>
      </c>
      <c r="K514" s="177">
        <f>IFERROR(IF([2]对账明细接口!$K$514=0,"",[2]对账明细接口!$K$514),"")</f>
      </c>
      <c r="L514" s="16">
        <f>IFERROR(IF([2]对账明细接口!$L$514=0,"",[2]对账明细接口!$L$514),"")</f>
      </c>
      <c r="M514" s="16">
        <f>IFERROR(IF([2]对账明细接口!$M$514=0,"",[2]对账明细接口!$M$514),"")</f>
      </c>
      <c r="N514" s="19">
        <f>IF($C514="",0,1)</f>
        <v>0</v>
      </c>
      <c r="O514" s="19">
        <f>N(O513)+$N514</f>
        <v>272</v>
      </c>
      <c r="S514" s="20">
        <f>IFERROR(IF([2]对账明细接口!$N514=0,"",[2]对账明细接口!$N514),"")</f>
      </c>
      <c r="T514" s="212">
        <f>IFERROR(IF([2]对账明细接口!$O514=0,"",[2]对账明细接口!$O514),"")</f>
      </c>
      <c r="U514" s="212">
        <f>IFERROR(IF([2]对账明细接口!$P514=0,"",[2]对账明细接口!$P514),"")</f>
      </c>
      <c r="V514" s="212">
        <f>IFERROR(IF([2]对账明细接口!$Q514=0,"",[2]对账明细接口!$Q514),"")</f>
      </c>
      <c r="W514" s="20">
        <f>IFERROR(IF([2]对账明细接口!$R514=0,"",[2]对账明细接口!$R514),"")</f>
      </c>
      <c r="X514" s="20">
        <f>IFERROR(IF([2]对账明细接口!$S514=0,"",[2]对账明细接口!$S514),"")</f>
      </c>
      <c r="Y514" s="20">
        <f>""</f>
      </c>
      <c r="Z514" s="20">
        <f>""</f>
      </c>
      <c r="AA514" s="20">
        <f>""</f>
      </c>
      <c r="AB514" s="20">
        <f>""</f>
      </c>
    </row>
    <row r="515" s="127">
      <c r="A515" s="14" t="n">
        <v>515</v>
      </c>
      <c r="B515" s="211">
        <f>IFERROR(IF([2]对账明细接口!$B$515=0,"",[2]对账明细接口!$B$515),"")</f>
      </c>
      <c r="C515" s="16">
        <f>IFERROR(IF([2]对账明细接口!$C$515=0,"",[2]对账明细接口!$C$515),"")</f>
      </c>
      <c r="D515" s="16">
        <f>IFERROR(IF([2]对账明细接口!$D$515=0,"",[2]对账明细接口!$D$515),"")</f>
      </c>
      <c r="E515" s="16">
        <f>IFERROR(IF([2]对账明细接口!$E$515=0,"",[2]对账明细接口!$E$515),"")</f>
      </c>
      <c r="F515" s="16">
        <f>IFERROR(IF([2]对账明细接口!$F$515=0,"",[2]对账明细接口!$F$515),"")</f>
      </c>
      <c r="G515" s="16">
        <f>IFERROR(IF([2]对账明细接口!$G$515=0,"",[2]对账明细接口!$G$515),"")</f>
      </c>
      <c r="H515" s="176">
        <f>IFERROR(IF([2]对账明细接口!$H$515=0,"",[2]对账明细接口!$H$515),"")</f>
      </c>
      <c r="I515" s="16">
        <f>IFERROR(IF([2]对账明细接口!$I$515=0,"",[2]对账明细接口!$I$515),"")</f>
      </c>
      <c r="J515" s="177">
        <f>IFERROR(IF([2]对账明细接口!$J$515=0,"",[2]对账明细接口!$J$515),"")</f>
      </c>
      <c r="K515" s="177">
        <f>IFERROR(IF([2]对账明细接口!$K$515=0,"",[2]对账明细接口!$K$515),"")</f>
      </c>
      <c r="L515" s="16">
        <f>IFERROR(IF([2]对账明细接口!$L$515=0,"",[2]对账明细接口!$L$515),"")</f>
      </c>
      <c r="M515" s="16">
        <f>IFERROR(IF([2]对账明细接口!$M$515=0,"",[2]对账明细接口!$M$515),"")</f>
      </c>
      <c r="N515" s="19">
        <f>IF($C515="",0,1)</f>
        <v>0</v>
      </c>
      <c r="O515" s="19">
        <f>N(O514)+$N515</f>
        <v>272</v>
      </c>
      <c r="S515" s="20">
        <f>IFERROR(IF([2]对账明细接口!$N515=0,"",[2]对账明细接口!$N515),"")</f>
      </c>
      <c r="T515" s="212">
        <f>IFERROR(IF([2]对账明细接口!$O515=0,"",[2]对账明细接口!$O515),"")</f>
      </c>
      <c r="U515" s="212">
        <f>IFERROR(IF([2]对账明细接口!$P515=0,"",[2]对账明细接口!$P515),"")</f>
      </c>
      <c r="V515" s="212">
        <f>IFERROR(IF([2]对账明细接口!$Q515=0,"",[2]对账明细接口!$Q515),"")</f>
      </c>
      <c r="W515" s="20">
        <f>IFERROR(IF([2]对账明细接口!$R515=0,"",[2]对账明细接口!$R515),"")</f>
      </c>
      <c r="X515" s="20">
        <f>IFERROR(IF([2]对账明细接口!$S515=0,"",[2]对账明细接口!$S515),"")</f>
      </c>
      <c r="Y515" s="20">
        <f>""</f>
      </c>
      <c r="Z515" s="20">
        <f>""</f>
      </c>
      <c r="AA515" s="20">
        <f>""</f>
      </c>
      <c r="AB515" s="20">
        <f>""</f>
      </c>
    </row>
    <row r="516" s="127">
      <c r="A516" s="14" t="n">
        <v>516</v>
      </c>
      <c r="B516" s="211">
        <f>IFERROR(IF([2]对账明细接口!$B$516=0,"",[2]对账明细接口!$B$516),"")</f>
      </c>
      <c r="C516" s="16">
        <f>IFERROR(IF([2]对账明细接口!$C$516=0,"",[2]对账明细接口!$C$516),"")</f>
      </c>
      <c r="D516" s="16">
        <f>IFERROR(IF([2]对账明细接口!$D$516=0,"",[2]对账明细接口!$D$516),"")</f>
      </c>
      <c r="E516" s="16">
        <f>IFERROR(IF([2]对账明细接口!$E$516=0,"",[2]对账明细接口!$E$516),"")</f>
      </c>
      <c r="F516" s="16">
        <f>IFERROR(IF([2]对账明细接口!$F$516=0,"",[2]对账明细接口!$F$516),"")</f>
      </c>
      <c r="G516" s="16">
        <f>IFERROR(IF([2]对账明细接口!$G$516=0,"",[2]对账明细接口!$G$516),"")</f>
      </c>
      <c r="H516" s="176">
        <f>IFERROR(IF([2]对账明细接口!$H$516=0,"",[2]对账明细接口!$H$516),"")</f>
      </c>
      <c r="I516" s="16">
        <f>IFERROR(IF([2]对账明细接口!$I$516=0,"",[2]对账明细接口!$I$516),"")</f>
      </c>
      <c r="J516" s="177">
        <f>IFERROR(IF([2]对账明细接口!$J$516=0,"",[2]对账明细接口!$J$516),"")</f>
      </c>
      <c r="K516" s="177">
        <f>IFERROR(IF([2]对账明细接口!$K$516=0,"",[2]对账明细接口!$K$516),"")</f>
      </c>
      <c r="L516" s="16">
        <f>IFERROR(IF([2]对账明细接口!$L$516=0,"",[2]对账明细接口!$L$516),"")</f>
      </c>
      <c r="M516" s="16">
        <f>IFERROR(IF([2]对账明细接口!$M$516=0,"",[2]对账明细接口!$M$516),"")</f>
      </c>
      <c r="N516" s="19">
        <f>IF($C516="",0,1)</f>
        <v>0</v>
      </c>
      <c r="O516" s="19">
        <f>N(O515)+$N516</f>
        <v>272</v>
      </c>
      <c r="S516" s="20">
        <f>IFERROR(IF([2]对账明细接口!$N516=0,"",[2]对账明细接口!$N516),"")</f>
      </c>
      <c r="T516" s="212">
        <f>IFERROR(IF([2]对账明细接口!$O516=0,"",[2]对账明细接口!$O516),"")</f>
      </c>
      <c r="U516" s="212">
        <f>IFERROR(IF([2]对账明细接口!$P516=0,"",[2]对账明细接口!$P516),"")</f>
      </c>
      <c r="V516" s="212">
        <f>IFERROR(IF([2]对账明细接口!$Q516=0,"",[2]对账明细接口!$Q516),"")</f>
      </c>
      <c r="W516" s="20">
        <f>IFERROR(IF([2]对账明细接口!$R516=0,"",[2]对账明细接口!$R516),"")</f>
      </c>
      <c r="X516" s="20">
        <f>IFERROR(IF([2]对账明细接口!$S516=0,"",[2]对账明细接口!$S516),"")</f>
      </c>
      <c r="Y516" s="20">
        <f>""</f>
      </c>
      <c r="Z516" s="20">
        <f>""</f>
      </c>
      <c r="AA516" s="20">
        <f>""</f>
      </c>
      <c r="AB516" s="20">
        <f>""</f>
      </c>
    </row>
    <row r="517" s="127">
      <c r="A517" s="14" t="n">
        <v>517</v>
      </c>
      <c r="B517" s="211">
        <f>IFERROR(IF([2]对账明细接口!$B$517=0,"",[2]对账明细接口!$B$517),"")</f>
      </c>
      <c r="C517" s="16">
        <f>IFERROR(IF([2]对账明细接口!$C$517=0,"",[2]对账明细接口!$C$517),"")</f>
      </c>
      <c r="D517" s="16">
        <f>IFERROR(IF([2]对账明细接口!$D$517=0,"",[2]对账明细接口!$D$517),"")</f>
      </c>
      <c r="E517" s="16">
        <f>IFERROR(IF([2]对账明细接口!$E$517=0,"",[2]对账明细接口!$E$517),"")</f>
      </c>
      <c r="F517" s="16">
        <f>IFERROR(IF([2]对账明细接口!$F$517=0,"",[2]对账明细接口!$F$517),"")</f>
      </c>
      <c r="G517" s="16">
        <f>IFERROR(IF([2]对账明细接口!$G$517=0,"",[2]对账明细接口!$G$517),"")</f>
      </c>
      <c r="H517" s="176">
        <f>IFERROR(IF([2]对账明细接口!$H$517=0,"",[2]对账明细接口!$H$517),"")</f>
      </c>
      <c r="I517" s="16">
        <f>IFERROR(IF([2]对账明细接口!$I$517=0,"",[2]对账明细接口!$I$517),"")</f>
      </c>
      <c r="J517" s="177">
        <f>IFERROR(IF([2]对账明细接口!$J$517=0,"",[2]对账明细接口!$J$517),"")</f>
      </c>
      <c r="K517" s="177">
        <f>IFERROR(IF([2]对账明细接口!$K$517=0,"",[2]对账明细接口!$K$517),"")</f>
      </c>
      <c r="L517" s="16">
        <f>IFERROR(IF([2]对账明细接口!$L$517=0,"",[2]对账明细接口!$L$517),"")</f>
      </c>
      <c r="M517" s="16">
        <f>IFERROR(IF([2]对账明细接口!$M$517=0,"",[2]对账明细接口!$M$517),"")</f>
      </c>
      <c r="N517" s="19">
        <f>IF($C517="",0,1)</f>
        <v>0</v>
      </c>
      <c r="O517" s="19">
        <f>N(O516)+$N517</f>
        <v>272</v>
      </c>
      <c r="S517" s="20">
        <f>IFERROR(IF([2]对账明细接口!$N517=0,"",[2]对账明细接口!$N517),"")</f>
      </c>
      <c r="T517" s="212">
        <f>IFERROR(IF([2]对账明细接口!$O517=0,"",[2]对账明细接口!$O517),"")</f>
      </c>
      <c r="U517" s="212">
        <f>IFERROR(IF([2]对账明细接口!$P517=0,"",[2]对账明细接口!$P517),"")</f>
      </c>
      <c r="V517" s="212">
        <f>IFERROR(IF([2]对账明细接口!$Q517=0,"",[2]对账明细接口!$Q517),"")</f>
      </c>
      <c r="W517" s="20">
        <f>IFERROR(IF([2]对账明细接口!$R517=0,"",[2]对账明细接口!$R517),"")</f>
      </c>
      <c r="X517" s="20">
        <f>IFERROR(IF([2]对账明细接口!$S517=0,"",[2]对账明细接口!$S517),"")</f>
      </c>
      <c r="Y517" s="20">
        <f>""</f>
      </c>
      <c r="Z517" s="20">
        <f>""</f>
      </c>
      <c r="AA517" s="20">
        <f>""</f>
      </c>
      <c r="AB517" s="20">
        <f>""</f>
      </c>
    </row>
    <row r="518" s="127">
      <c r="A518" s="14" t="n">
        <v>518</v>
      </c>
      <c r="B518" s="211">
        <f>IFERROR(IF([2]对账明细接口!$B$518=0,"",[2]对账明细接口!$B$518),"")</f>
      </c>
      <c r="C518" s="16">
        <f>IFERROR(IF([2]对账明细接口!$C$518=0,"",[2]对账明细接口!$C$518),"")</f>
      </c>
      <c r="D518" s="16">
        <f>IFERROR(IF([2]对账明细接口!$D$518=0,"",[2]对账明细接口!$D$518),"")</f>
      </c>
      <c r="E518" s="16">
        <f>IFERROR(IF([2]对账明细接口!$E$518=0,"",[2]对账明细接口!$E$518),"")</f>
      </c>
      <c r="F518" s="16">
        <f>IFERROR(IF([2]对账明细接口!$F$518=0,"",[2]对账明细接口!$F$518),"")</f>
      </c>
      <c r="G518" s="16">
        <f>IFERROR(IF([2]对账明细接口!$G$518=0,"",[2]对账明细接口!$G$518),"")</f>
      </c>
      <c r="H518" s="176">
        <f>IFERROR(IF([2]对账明细接口!$H$518=0,"",[2]对账明细接口!$H$518),"")</f>
      </c>
      <c r="I518" s="16">
        <f>IFERROR(IF([2]对账明细接口!$I$518=0,"",[2]对账明细接口!$I$518),"")</f>
      </c>
      <c r="J518" s="177">
        <f>IFERROR(IF([2]对账明细接口!$J$518=0,"",[2]对账明细接口!$J$518),"")</f>
      </c>
      <c r="K518" s="177">
        <f>IFERROR(IF([2]对账明细接口!$K$518=0,"",[2]对账明细接口!$K$518),"")</f>
      </c>
      <c r="L518" s="16">
        <f>IFERROR(IF([2]对账明细接口!$L$518=0,"",[2]对账明细接口!$L$518),"")</f>
      </c>
      <c r="M518" s="16">
        <f>IFERROR(IF([2]对账明细接口!$M$518=0,"",[2]对账明细接口!$M$518),"")</f>
      </c>
      <c r="N518" s="19">
        <f>IF($C518="",0,1)</f>
        <v>0</v>
      </c>
      <c r="O518" s="19">
        <f>N(O517)+$N518</f>
        <v>272</v>
      </c>
      <c r="S518" s="20">
        <f>IFERROR(IF([2]对账明细接口!$N518=0,"",[2]对账明细接口!$N518),"")</f>
      </c>
      <c r="T518" s="212">
        <f>IFERROR(IF([2]对账明细接口!$O518=0,"",[2]对账明细接口!$O518),"")</f>
      </c>
      <c r="U518" s="212">
        <f>IFERROR(IF([2]对账明细接口!$P518=0,"",[2]对账明细接口!$P518),"")</f>
      </c>
      <c r="V518" s="212">
        <f>IFERROR(IF([2]对账明细接口!$Q518=0,"",[2]对账明细接口!$Q518),"")</f>
      </c>
      <c r="W518" s="20">
        <f>IFERROR(IF([2]对账明细接口!$R518=0,"",[2]对账明细接口!$R518),"")</f>
      </c>
      <c r="X518" s="20">
        <f>IFERROR(IF([2]对账明细接口!$S518=0,"",[2]对账明细接口!$S518),"")</f>
      </c>
      <c r="Y518" s="20">
        <f>""</f>
      </c>
      <c r="Z518" s="20">
        <f>""</f>
      </c>
      <c r="AA518" s="20">
        <f>""</f>
      </c>
      <c r="AB518" s="20">
        <f>""</f>
      </c>
    </row>
    <row r="519" s="127">
      <c r="A519" s="14" t="n">
        <v>519</v>
      </c>
      <c r="B519" s="211">
        <f>IFERROR(IF([2]对账明细接口!$B$519=0,"",[2]对账明细接口!$B$519),"")</f>
      </c>
      <c r="C519" s="16">
        <f>IFERROR(IF([2]对账明细接口!$C$519=0,"",[2]对账明细接口!$C$519),"")</f>
      </c>
      <c r="D519" s="16">
        <f>IFERROR(IF([2]对账明细接口!$D$519=0,"",[2]对账明细接口!$D$519),"")</f>
      </c>
      <c r="E519" s="16">
        <f>IFERROR(IF([2]对账明细接口!$E$519=0,"",[2]对账明细接口!$E$519),"")</f>
      </c>
      <c r="F519" s="16">
        <f>IFERROR(IF([2]对账明细接口!$F$519=0,"",[2]对账明细接口!$F$519),"")</f>
      </c>
      <c r="G519" s="16">
        <f>IFERROR(IF([2]对账明细接口!$G$519=0,"",[2]对账明细接口!$G$519),"")</f>
      </c>
      <c r="H519" s="176">
        <f>IFERROR(IF([2]对账明细接口!$H$519=0,"",[2]对账明细接口!$H$519),"")</f>
      </c>
      <c r="I519" s="16">
        <f>IFERROR(IF([2]对账明细接口!$I$519=0,"",[2]对账明细接口!$I$519),"")</f>
      </c>
      <c r="J519" s="177">
        <f>IFERROR(IF([2]对账明细接口!$J$519=0,"",[2]对账明细接口!$J$519),"")</f>
      </c>
      <c r="K519" s="177">
        <f>IFERROR(IF([2]对账明细接口!$K$519=0,"",[2]对账明细接口!$K$519),"")</f>
      </c>
      <c r="L519" s="16">
        <f>IFERROR(IF([2]对账明细接口!$L$519=0,"",[2]对账明细接口!$L$519),"")</f>
      </c>
      <c r="M519" s="16">
        <f>IFERROR(IF([2]对账明细接口!$M$519=0,"",[2]对账明细接口!$M$519),"")</f>
      </c>
      <c r="N519" s="19">
        <f>IF($C519="",0,1)</f>
        <v>0</v>
      </c>
      <c r="O519" s="19">
        <f>N(O518)+$N519</f>
        <v>272</v>
      </c>
      <c r="S519" s="20">
        <f>IFERROR(IF([2]对账明细接口!$N519=0,"",[2]对账明细接口!$N519),"")</f>
      </c>
      <c r="T519" s="212">
        <f>IFERROR(IF([2]对账明细接口!$O519=0,"",[2]对账明细接口!$O519),"")</f>
      </c>
      <c r="U519" s="212">
        <f>IFERROR(IF([2]对账明细接口!$P519=0,"",[2]对账明细接口!$P519),"")</f>
      </c>
      <c r="V519" s="212">
        <f>IFERROR(IF([2]对账明细接口!$Q519=0,"",[2]对账明细接口!$Q519),"")</f>
      </c>
      <c r="W519" s="20">
        <f>IFERROR(IF([2]对账明细接口!$R519=0,"",[2]对账明细接口!$R519),"")</f>
      </c>
      <c r="X519" s="20">
        <f>IFERROR(IF([2]对账明细接口!$S519=0,"",[2]对账明细接口!$S519),"")</f>
      </c>
      <c r="Y519" s="20">
        <f>""</f>
      </c>
      <c r="Z519" s="20">
        <f>""</f>
      </c>
      <c r="AA519" s="20">
        <f>""</f>
      </c>
      <c r="AB519" s="20">
        <f>""</f>
      </c>
    </row>
    <row r="520" s="127">
      <c r="A520" s="14" t="n">
        <v>520</v>
      </c>
      <c r="B520" s="211">
        <f>IFERROR(IF([2]对账明细接口!$B$520=0,"",[2]对账明细接口!$B$520),"")</f>
      </c>
      <c r="C520" s="16">
        <f>IFERROR(IF([2]对账明细接口!$C$520=0,"",[2]对账明细接口!$C$520),"")</f>
      </c>
      <c r="D520" s="16">
        <f>IFERROR(IF([2]对账明细接口!$D$520=0,"",[2]对账明细接口!$D$520),"")</f>
      </c>
      <c r="E520" s="16">
        <f>IFERROR(IF([2]对账明细接口!$E$520=0,"",[2]对账明细接口!$E$520),"")</f>
      </c>
      <c r="F520" s="16">
        <f>IFERROR(IF([2]对账明细接口!$F$520=0,"",[2]对账明细接口!$F$520),"")</f>
      </c>
      <c r="G520" s="16">
        <f>IFERROR(IF([2]对账明细接口!$G$520=0,"",[2]对账明细接口!$G$520),"")</f>
      </c>
      <c r="H520" s="176">
        <f>IFERROR(IF([2]对账明细接口!$H$520=0,"",[2]对账明细接口!$H$520),"")</f>
      </c>
      <c r="I520" s="16">
        <f>IFERROR(IF([2]对账明细接口!$I$520=0,"",[2]对账明细接口!$I$520),"")</f>
      </c>
      <c r="J520" s="177">
        <f>IFERROR(IF([2]对账明细接口!$J$520=0,"",[2]对账明细接口!$J$520),"")</f>
      </c>
      <c r="K520" s="177">
        <f>IFERROR(IF([2]对账明细接口!$K$520=0,"",[2]对账明细接口!$K$520),"")</f>
      </c>
      <c r="L520" s="16">
        <f>IFERROR(IF([2]对账明细接口!$L$520=0,"",[2]对账明细接口!$L$520),"")</f>
      </c>
      <c r="M520" s="16">
        <f>IFERROR(IF([2]对账明细接口!$M$520=0,"",[2]对账明细接口!$M$520),"")</f>
      </c>
      <c r="N520" s="19">
        <f>IF($C520="",0,1)</f>
        <v>0</v>
      </c>
      <c r="O520" s="19">
        <f>N(O519)+$N520</f>
        <v>272</v>
      </c>
      <c r="S520" s="20">
        <f>IFERROR(IF([2]对账明细接口!$N520=0,"",[2]对账明细接口!$N520),"")</f>
      </c>
      <c r="T520" s="212">
        <f>IFERROR(IF([2]对账明细接口!$O520=0,"",[2]对账明细接口!$O520),"")</f>
      </c>
      <c r="U520" s="212">
        <f>IFERROR(IF([2]对账明细接口!$P520=0,"",[2]对账明细接口!$P520),"")</f>
      </c>
      <c r="V520" s="212">
        <f>IFERROR(IF([2]对账明细接口!$Q520=0,"",[2]对账明细接口!$Q520),"")</f>
      </c>
      <c r="W520" s="20">
        <f>IFERROR(IF([2]对账明细接口!$R520=0,"",[2]对账明细接口!$R520),"")</f>
      </c>
      <c r="X520" s="20">
        <f>IFERROR(IF([2]对账明细接口!$S520=0,"",[2]对账明细接口!$S520),"")</f>
      </c>
      <c r="Y520" s="20">
        <f>""</f>
      </c>
      <c r="Z520" s="20">
        <f>""</f>
      </c>
      <c r="AA520" s="20">
        <f>""</f>
      </c>
      <c r="AB520" s="20">
        <f>""</f>
      </c>
    </row>
    <row r="521" s="127">
      <c r="A521" s="14" t="n">
        <v>521</v>
      </c>
      <c r="B521" s="211">
        <f>IFERROR(IF([2]对账明细接口!$B$521=0,"",[2]对账明细接口!$B$521),"")</f>
      </c>
      <c r="C521" s="16">
        <f>IFERROR(IF([2]对账明细接口!$C$521=0,"",[2]对账明细接口!$C$521),"")</f>
      </c>
      <c r="D521" s="16">
        <f>IFERROR(IF([2]对账明细接口!$D$521=0,"",[2]对账明细接口!$D$521),"")</f>
      </c>
      <c r="E521" s="16">
        <f>IFERROR(IF([2]对账明细接口!$E$521=0,"",[2]对账明细接口!$E$521),"")</f>
      </c>
      <c r="F521" s="16">
        <f>IFERROR(IF([2]对账明细接口!$F$521=0,"",[2]对账明细接口!$F$521),"")</f>
      </c>
      <c r="G521" s="16">
        <f>IFERROR(IF([2]对账明细接口!$G$521=0,"",[2]对账明细接口!$G$521),"")</f>
      </c>
      <c r="H521" s="176">
        <f>IFERROR(IF([2]对账明细接口!$H$521=0,"",[2]对账明细接口!$H$521),"")</f>
      </c>
      <c r="I521" s="16">
        <f>IFERROR(IF([2]对账明细接口!$I$521=0,"",[2]对账明细接口!$I$521),"")</f>
      </c>
      <c r="J521" s="177">
        <f>IFERROR(IF([2]对账明细接口!$J$521=0,"",[2]对账明细接口!$J$521),"")</f>
      </c>
      <c r="K521" s="177">
        <f>IFERROR(IF([2]对账明细接口!$K$521=0,"",[2]对账明细接口!$K$521),"")</f>
      </c>
      <c r="L521" s="16">
        <f>IFERROR(IF([2]对账明细接口!$L$521=0,"",[2]对账明细接口!$L$521),"")</f>
      </c>
      <c r="M521" s="16">
        <f>IFERROR(IF([2]对账明细接口!$M$521=0,"",[2]对账明细接口!$M$521),"")</f>
      </c>
      <c r="N521" s="19">
        <f>IF($C521="",0,1)</f>
        <v>0</v>
      </c>
      <c r="O521" s="19">
        <f>N(O520)+$N521</f>
        <v>272</v>
      </c>
      <c r="S521" s="20">
        <f>IFERROR(IF([2]对账明细接口!$N521=0,"",[2]对账明细接口!$N521),"")</f>
      </c>
      <c r="T521" s="212">
        <f>IFERROR(IF([2]对账明细接口!$O521=0,"",[2]对账明细接口!$O521),"")</f>
      </c>
      <c r="U521" s="212">
        <f>IFERROR(IF([2]对账明细接口!$P521=0,"",[2]对账明细接口!$P521),"")</f>
      </c>
      <c r="V521" s="212">
        <f>IFERROR(IF([2]对账明细接口!$Q521=0,"",[2]对账明细接口!$Q521),"")</f>
      </c>
      <c r="W521" s="20">
        <f>IFERROR(IF([2]对账明细接口!$R521=0,"",[2]对账明细接口!$R521),"")</f>
      </c>
      <c r="X521" s="20">
        <f>IFERROR(IF([2]对账明细接口!$S521=0,"",[2]对账明细接口!$S521),"")</f>
      </c>
      <c r="Y521" s="20">
        <f>""</f>
      </c>
      <c r="Z521" s="20">
        <f>""</f>
      </c>
      <c r="AA521" s="20">
        <f>""</f>
      </c>
      <c r="AB521" s="20">
        <f>""</f>
      </c>
    </row>
    <row r="522" s="127">
      <c r="A522" s="14" t="n">
        <v>522</v>
      </c>
      <c r="B522" s="211">
        <f>IFERROR(IF([2]对账明细接口!$B$522=0,"",[2]对账明细接口!$B$522),"")</f>
      </c>
      <c r="C522" s="16">
        <f>IFERROR(IF([2]对账明细接口!$C$522=0,"",[2]对账明细接口!$C$522),"")</f>
      </c>
      <c r="D522" s="16">
        <f>IFERROR(IF([2]对账明细接口!$D$522=0,"",[2]对账明细接口!$D$522),"")</f>
      </c>
      <c r="E522" s="16">
        <f>IFERROR(IF([2]对账明细接口!$E$522=0,"",[2]对账明细接口!$E$522),"")</f>
      </c>
      <c r="F522" s="16">
        <f>IFERROR(IF([2]对账明细接口!$F$522=0,"",[2]对账明细接口!$F$522),"")</f>
      </c>
      <c r="G522" s="16">
        <f>IFERROR(IF([2]对账明细接口!$G$522=0,"",[2]对账明细接口!$G$522),"")</f>
      </c>
      <c r="H522" s="176">
        <f>IFERROR(IF([2]对账明细接口!$H$522=0,"",[2]对账明细接口!$H$522),"")</f>
      </c>
      <c r="I522" s="16">
        <f>IFERROR(IF([2]对账明细接口!$I$522=0,"",[2]对账明细接口!$I$522),"")</f>
      </c>
      <c r="J522" s="177">
        <f>IFERROR(IF([2]对账明细接口!$J$522=0,"",[2]对账明细接口!$J$522),"")</f>
      </c>
      <c r="K522" s="177">
        <f>IFERROR(IF([2]对账明细接口!$K$522=0,"",[2]对账明细接口!$K$522),"")</f>
      </c>
      <c r="L522" s="16">
        <f>IFERROR(IF([2]对账明细接口!$L$522=0,"",[2]对账明细接口!$L$522),"")</f>
      </c>
      <c r="M522" s="16">
        <f>IFERROR(IF([2]对账明细接口!$M$522=0,"",[2]对账明细接口!$M$522),"")</f>
      </c>
      <c r="N522" s="19">
        <f>IF($C522="",0,1)</f>
        <v>0</v>
      </c>
      <c r="O522" s="19">
        <f>N(O521)+$N522</f>
        <v>272</v>
      </c>
      <c r="S522" s="20">
        <f>IFERROR(IF([2]对账明细接口!$N522=0,"",[2]对账明细接口!$N522),"")</f>
      </c>
      <c r="T522" s="212">
        <f>IFERROR(IF([2]对账明细接口!$O522=0,"",[2]对账明细接口!$O522),"")</f>
      </c>
      <c r="U522" s="212">
        <f>IFERROR(IF([2]对账明细接口!$P522=0,"",[2]对账明细接口!$P522),"")</f>
      </c>
      <c r="V522" s="212">
        <f>IFERROR(IF([2]对账明细接口!$Q522=0,"",[2]对账明细接口!$Q522),"")</f>
      </c>
      <c r="W522" s="20">
        <f>IFERROR(IF([2]对账明细接口!$R522=0,"",[2]对账明细接口!$R522),"")</f>
      </c>
      <c r="X522" s="20">
        <f>IFERROR(IF([2]对账明细接口!$S522=0,"",[2]对账明细接口!$S522),"")</f>
      </c>
      <c r="Y522" s="20">
        <f>""</f>
      </c>
      <c r="Z522" s="20">
        <f>""</f>
      </c>
      <c r="AA522" s="20">
        <f>""</f>
      </c>
      <c r="AB522" s="20">
        <f>""</f>
      </c>
    </row>
    <row r="523" s="127">
      <c r="A523" s="14" t="n">
        <v>523</v>
      </c>
      <c r="B523" s="211">
        <f>IFERROR(IF([2]对账明细接口!$B$523=0,"",[2]对账明细接口!$B$523),"")</f>
      </c>
      <c r="C523" s="16">
        <f>IFERROR(IF([2]对账明细接口!$C$523=0,"",[2]对账明细接口!$C$523),"")</f>
      </c>
      <c r="D523" s="16">
        <f>IFERROR(IF([2]对账明细接口!$D$523=0,"",[2]对账明细接口!$D$523),"")</f>
      </c>
      <c r="E523" s="16">
        <f>IFERROR(IF([2]对账明细接口!$E$523=0,"",[2]对账明细接口!$E$523),"")</f>
      </c>
      <c r="F523" s="16">
        <f>IFERROR(IF([2]对账明细接口!$F$523=0,"",[2]对账明细接口!$F$523),"")</f>
      </c>
      <c r="G523" s="16">
        <f>IFERROR(IF([2]对账明细接口!$G$523=0,"",[2]对账明细接口!$G$523),"")</f>
      </c>
      <c r="H523" s="176">
        <f>IFERROR(IF([2]对账明细接口!$H$523=0,"",[2]对账明细接口!$H$523),"")</f>
      </c>
      <c r="I523" s="16">
        <f>IFERROR(IF([2]对账明细接口!$I$523=0,"",[2]对账明细接口!$I$523),"")</f>
      </c>
      <c r="J523" s="177">
        <f>IFERROR(IF([2]对账明细接口!$J$523=0,"",[2]对账明细接口!$J$523),"")</f>
      </c>
      <c r="K523" s="177">
        <f>IFERROR(IF([2]对账明细接口!$K$523=0,"",[2]对账明细接口!$K$523),"")</f>
      </c>
      <c r="L523" s="16">
        <f>IFERROR(IF([2]对账明细接口!$L$523=0,"",[2]对账明细接口!$L$523),"")</f>
      </c>
      <c r="M523" s="16">
        <f>IFERROR(IF([2]对账明细接口!$M$523=0,"",[2]对账明细接口!$M$523),"")</f>
      </c>
      <c r="N523" s="19">
        <f>IF($C523="",0,1)</f>
        <v>0</v>
      </c>
      <c r="O523" s="19">
        <f>N(O522)+$N523</f>
        <v>272</v>
      </c>
      <c r="S523" s="20">
        <f>IFERROR(IF([2]对账明细接口!$N523=0,"",[2]对账明细接口!$N523),"")</f>
      </c>
      <c r="T523" s="212">
        <f>IFERROR(IF([2]对账明细接口!$O523=0,"",[2]对账明细接口!$O523),"")</f>
      </c>
      <c r="U523" s="212">
        <f>IFERROR(IF([2]对账明细接口!$P523=0,"",[2]对账明细接口!$P523),"")</f>
      </c>
      <c r="V523" s="212">
        <f>IFERROR(IF([2]对账明细接口!$Q523=0,"",[2]对账明细接口!$Q523),"")</f>
      </c>
      <c r="W523" s="20">
        <f>IFERROR(IF([2]对账明细接口!$R523=0,"",[2]对账明细接口!$R523),"")</f>
      </c>
      <c r="X523" s="20">
        <f>IFERROR(IF([2]对账明细接口!$S523=0,"",[2]对账明细接口!$S523),"")</f>
      </c>
      <c r="Y523" s="20">
        <f>""</f>
      </c>
      <c r="Z523" s="20">
        <f>""</f>
      </c>
      <c r="AA523" s="20">
        <f>""</f>
      </c>
      <c r="AB523" s="20">
        <f>""</f>
      </c>
    </row>
    <row r="524" s="127">
      <c r="A524" s="14" t="n">
        <v>524</v>
      </c>
      <c r="B524" s="211">
        <f>IFERROR(IF([2]对账明细接口!$B$524=0,"",[2]对账明细接口!$B$524),"")</f>
      </c>
      <c r="C524" s="16">
        <f>IFERROR(IF([2]对账明细接口!$C$524=0,"",[2]对账明细接口!$C$524),"")</f>
      </c>
      <c r="D524" s="16">
        <f>IFERROR(IF([2]对账明细接口!$D$524=0,"",[2]对账明细接口!$D$524),"")</f>
      </c>
      <c r="E524" s="16">
        <f>IFERROR(IF([2]对账明细接口!$E$524=0,"",[2]对账明细接口!$E$524),"")</f>
      </c>
      <c r="F524" s="16">
        <f>IFERROR(IF([2]对账明细接口!$F$524=0,"",[2]对账明细接口!$F$524),"")</f>
      </c>
      <c r="G524" s="16">
        <f>IFERROR(IF([2]对账明细接口!$G$524=0,"",[2]对账明细接口!$G$524),"")</f>
      </c>
      <c r="H524" s="176">
        <f>IFERROR(IF([2]对账明细接口!$H$524=0,"",[2]对账明细接口!$H$524),"")</f>
      </c>
      <c r="I524" s="16">
        <f>IFERROR(IF([2]对账明细接口!$I$524=0,"",[2]对账明细接口!$I$524),"")</f>
      </c>
      <c r="J524" s="177">
        <f>IFERROR(IF([2]对账明细接口!$J$524=0,"",[2]对账明细接口!$J$524),"")</f>
      </c>
      <c r="K524" s="177">
        <f>IFERROR(IF([2]对账明细接口!$K$524=0,"",[2]对账明细接口!$K$524),"")</f>
      </c>
      <c r="L524" s="16">
        <f>IFERROR(IF([2]对账明细接口!$L$524=0,"",[2]对账明细接口!$L$524),"")</f>
      </c>
      <c r="M524" s="16">
        <f>IFERROR(IF([2]对账明细接口!$M$524=0,"",[2]对账明细接口!$M$524),"")</f>
      </c>
      <c r="N524" s="19">
        <f>IF($C524="",0,1)</f>
        <v>0</v>
      </c>
      <c r="O524" s="19">
        <f>N(O523)+$N524</f>
        <v>272</v>
      </c>
      <c r="S524" s="20">
        <f>IFERROR(IF([2]对账明细接口!$N524=0,"",[2]对账明细接口!$N524),"")</f>
      </c>
      <c r="T524" s="212">
        <f>IFERROR(IF([2]对账明细接口!$O524=0,"",[2]对账明细接口!$O524),"")</f>
      </c>
      <c r="U524" s="212">
        <f>IFERROR(IF([2]对账明细接口!$P524=0,"",[2]对账明细接口!$P524),"")</f>
      </c>
      <c r="V524" s="212">
        <f>IFERROR(IF([2]对账明细接口!$Q524=0,"",[2]对账明细接口!$Q524),"")</f>
      </c>
      <c r="W524" s="20">
        <f>IFERROR(IF([2]对账明细接口!$R524=0,"",[2]对账明细接口!$R524),"")</f>
      </c>
      <c r="X524" s="20">
        <f>IFERROR(IF([2]对账明细接口!$S524=0,"",[2]对账明细接口!$S524),"")</f>
      </c>
      <c r="Y524" s="20">
        <f>""</f>
      </c>
      <c r="Z524" s="20">
        <f>""</f>
      </c>
      <c r="AA524" s="20">
        <f>""</f>
      </c>
      <c r="AB524" s="20">
        <f>""</f>
      </c>
    </row>
    <row r="525" s="127">
      <c r="A525" s="14" t="n">
        <v>525</v>
      </c>
      <c r="B525" s="211">
        <f>IFERROR(IF([2]对账明细接口!$B$525=0,"",[2]对账明细接口!$B$525),"")</f>
      </c>
      <c r="C525" s="16">
        <f>IFERROR(IF([2]对账明细接口!$C$525=0,"",[2]对账明细接口!$C$525),"")</f>
      </c>
      <c r="D525" s="16">
        <f>IFERROR(IF([2]对账明细接口!$D$525=0,"",[2]对账明细接口!$D$525),"")</f>
      </c>
      <c r="E525" s="16">
        <f>IFERROR(IF([2]对账明细接口!$E$525=0,"",[2]对账明细接口!$E$525),"")</f>
      </c>
      <c r="F525" s="16">
        <f>IFERROR(IF([2]对账明细接口!$F$525=0,"",[2]对账明细接口!$F$525),"")</f>
      </c>
      <c r="G525" s="16">
        <f>IFERROR(IF([2]对账明细接口!$G$525=0,"",[2]对账明细接口!$G$525),"")</f>
      </c>
      <c r="H525" s="176">
        <f>IFERROR(IF([2]对账明细接口!$H$525=0,"",[2]对账明细接口!$H$525),"")</f>
      </c>
      <c r="I525" s="16">
        <f>IFERROR(IF([2]对账明细接口!$I$525=0,"",[2]对账明细接口!$I$525),"")</f>
      </c>
      <c r="J525" s="177">
        <f>IFERROR(IF([2]对账明细接口!$J$525=0,"",[2]对账明细接口!$J$525),"")</f>
      </c>
      <c r="K525" s="177">
        <f>IFERROR(IF([2]对账明细接口!$K$525=0,"",[2]对账明细接口!$K$525),"")</f>
      </c>
      <c r="L525" s="16">
        <f>IFERROR(IF([2]对账明细接口!$L$525=0,"",[2]对账明细接口!$L$525),"")</f>
      </c>
      <c r="M525" s="16">
        <f>IFERROR(IF([2]对账明细接口!$M$525=0,"",[2]对账明细接口!$M$525),"")</f>
      </c>
      <c r="N525" s="19">
        <f>IF($C525="",0,1)</f>
        <v>0</v>
      </c>
      <c r="O525" s="19">
        <f>N(O524)+$N525</f>
        <v>272</v>
      </c>
      <c r="S525" s="20">
        <f>IFERROR(IF([2]对账明细接口!$N525=0,"",[2]对账明细接口!$N525),"")</f>
      </c>
      <c r="T525" s="212">
        <f>IFERROR(IF([2]对账明细接口!$O525=0,"",[2]对账明细接口!$O525),"")</f>
      </c>
      <c r="U525" s="212">
        <f>IFERROR(IF([2]对账明细接口!$P525=0,"",[2]对账明细接口!$P525),"")</f>
      </c>
      <c r="V525" s="212">
        <f>IFERROR(IF([2]对账明细接口!$Q525=0,"",[2]对账明细接口!$Q525),"")</f>
      </c>
      <c r="W525" s="20">
        <f>IFERROR(IF([2]对账明细接口!$R525=0,"",[2]对账明细接口!$R525),"")</f>
      </c>
      <c r="X525" s="20">
        <f>IFERROR(IF([2]对账明细接口!$S525=0,"",[2]对账明细接口!$S525),"")</f>
      </c>
      <c r="Y525" s="20">
        <f>""</f>
      </c>
      <c r="Z525" s="20">
        <f>""</f>
      </c>
      <c r="AA525" s="20">
        <f>""</f>
      </c>
      <c r="AB525" s="20">
        <f>""</f>
      </c>
    </row>
    <row r="526" s="127">
      <c r="A526" s="14" t="n">
        <v>526</v>
      </c>
      <c r="B526" s="211">
        <f>IFERROR(IF([2]对账明细接口!$B$526=0,"",[2]对账明细接口!$B$526),"")</f>
      </c>
      <c r="C526" s="16">
        <f>IFERROR(IF([2]对账明细接口!$C$526=0,"",[2]对账明细接口!$C$526),"")</f>
      </c>
      <c r="D526" s="16">
        <f>IFERROR(IF([2]对账明细接口!$D$526=0,"",[2]对账明细接口!$D$526),"")</f>
      </c>
      <c r="E526" s="16">
        <f>IFERROR(IF([2]对账明细接口!$E$526=0,"",[2]对账明细接口!$E$526),"")</f>
      </c>
      <c r="F526" s="16">
        <f>IFERROR(IF([2]对账明细接口!$F$526=0,"",[2]对账明细接口!$F$526),"")</f>
      </c>
      <c r="G526" s="16">
        <f>IFERROR(IF([2]对账明细接口!$G$526=0,"",[2]对账明细接口!$G$526),"")</f>
      </c>
      <c r="H526" s="176">
        <f>IFERROR(IF([2]对账明细接口!$H$526=0,"",[2]对账明细接口!$H$526),"")</f>
      </c>
      <c r="I526" s="16">
        <f>IFERROR(IF([2]对账明细接口!$I$526=0,"",[2]对账明细接口!$I$526),"")</f>
      </c>
      <c r="J526" s="177">
        <f>IFERROR(IF([2]对账明细接口!$J$526=0,"",[2]对账明细接口!$J$526),"")</f>
      </c>
      <c r="K526" s="177">
        <f>IFERROR(IF([2]对账明细接口!$K$526=0,"",[2]对账明细接口!$K$526),"")</f>
      </c>
      <c r="L526" s="16">
        <f>IFERROR(IF([2]对账明细接口!$L$526=0,"",[2]对账明细接口!$L$526),"")</f>
      </c>
      <c r="M526" s="16">
        <f>IFERROR(IF([2]对账明细接口!$M$526=0,"",[2]对账明细接口!$M$526),"")</f>
      </c>
      <c r="N526" s="19">
        <f>IF($C526="",0,1)</f>
        <v>0</v>
      </c>
      <c r="O526" s="19">
        <f>N(O525)+$N526</f>
        <v>272</v>
      </c>
      <c r="S526" s="20">
        <f>IFERROR(IF([2]对账明细接口!$N526=0,"",[2]对账明细接口!$N526),"")</f>
      </c>
      <c r="T526" s="212">
        <f>IFERROR(IF([2]对账明细接口!$O526=0,"",[2]对账明细接口!$O526),"")</f>
      </c>
      <c r="U526" s="212">
        <f>IFERROR(IF([2]对账明细接口!$P526=0,"",[2]对账明细接口!$P526),"")</f>
      </c>
      <c r="V526" s="212">
        <f>IFERROR(IF([2]对账明细接口!$Q526=0,"",[2]对账明细接口!$Q526),"")</f>
      </c>
      <c r="W526" s="20">
        <f>IFERROR(IF([2]对账明细接口!$R526=0,"",[2]对账明细接口!$R526),"")</f>
      </c>
      <c r="X526" s="20">
        <f>IFERROR(IF([2]对账明细接口!$S526=0,"",[2]对账明细接口!$S526),"")</f>
      </c>
      <c r="Y526" s="20">
        <f>""</f>
      </c>
      <c r="Z526" s="20">
        <f>""</f>
      </c>
      <c r="AA526" s="20">
        <f>""</f>
      </c>
      <c r="AB526" s="20">
        <f>""</f>
      </c>
    </row>
    <row r="527" s="127">
      <c r="A527" s="14" t="n">
        <v>527</v>
      </c>
      <c r="B527" s="211">
        <f>IFERROR(IF([2]对账明细接口!$B$527=0,"",[2]对账明细接口!$B$527),"")</f>
      </c>
      <c r="C527" s="16">
        <f>IFERROR(IF([2]对账明细接口!$C$527=0,"",[2]对账明细接口!$C$527),"")</f>
      </c>
      <c r="D527" s="16">
        <f>IFERROR(IF([2]对账明细接口!$D$527=0,"",[2]对账明细接口!$D$527),"")</f>
      </c>
      <c r="E527" s="16">
        <f>IFERROR(IF([2]对账明细接口!$E$527=0,"",[2]对账明细接口!$E$527),"")</f>
      </c>
      <c r="F527" s="16">
        <f>IFERROR(IF([2]对账明细接口!$F$527=0,"",[2]对账明细接口!$F$527),"")</f>
      </c>
      <c r="G527" s="16">
        <f>IFERROR(IF([2]对账明细接口!$G$527=0,"",[2]对账明细接口!$G$527),"")</f>
      </c>
      <c r="H527" s="176">
        <f>IFERROR(IF([2]对账明细接口!$H$527=0,"",[2]对账明细接口!$H$527),"")</f>
      </c>
      <c r="I527" s="16">
        <f>IFERROR(IF([2]对账明细接口!$I$527=0,"",[2]对账明细接口!$I$527),"")</f>
      </c>
      <c r="J527" s="177">
        <f>IFERROR(IF([2]对账明细接口!$J$527=0,"",[2]对账明细接口!$J$527),"")</f>
      </c>
      <c r="K527" s="177">
        <f>IFERROR(IF([2]对账明细接口!$K$527=0,"",[2]对账明细接口!$K$527),"")</f>
      </c>
      <c r="L527" s="16">
        <f>IFERROR(IF([2]对账明细接口!$L$527=0,"",[2]对账明细接口!$L$527),"")</f>
      </c>
      <c r="M527" s="16">
        <f>IFERROR(IF([2]对账明细接口!$M$527=0,"",[2]对账明细接口!$M$527),"")</f>
      </c>
      <c r="N527" s="19">
        <f>IF($C527="",0,1)</f>
        <v>0</v>
      </c>
      <c r="O527" s="19">
        <f>N(O526)+$N527</f>
        <v>272</v>
      </c>
      <c r="S527" s="20">
        <f>IFERROR(IF([2]对账明细接口!$N527=0,"",[2]对账明细接口!$N527),"")</f>
      </c>
      <c r="T527" s="212">
        <f>IFERROR(IF([2]对账明细接口!$O527=0,"",[2]对账明细接口!$O527),"")</f>
      </c>
      <c r="U527" s="212">
        <f>IFERROR(IF([2]对账明细接口!$P527=0,"",[2]对账明细接口!$P527),"")</f>
      </c>
      <c r="V527" s="212">
        <f>IFERROR(IF([2]对账明细接口!$Q527=0,"",[2]对账明细接口!$Q527),"")</f>
      </c>
      <c r="W527" s="20">
        <f>IFERROR(IF([2]对账明细接口!$R527=0,"",[2]对账明细接口!$R527),"")</f>
      </c>
      <c r="X527" s="20">
        <f>IFERROR(IF([2]对账明细接口!$S527=0,"",[2]对账明细接口!$S527),"")</f>
      </c>
      <c r="Y527" s="20">
        <f>""</f>
      </c>
      <c r="Z527" s="20">
        <f>""</f>
      </c>
      <c r="AA527" s="20">
        <f>""</f>
      </c>
      <c r="AB527" s="20">
        <f>""</f>
      </c>
    </row>
    <row r="528" s="127">
      <c r="A528" s="14" t="n">
        <v>528</v>
      </c>
      <c r="B528" s="211">
        <f>IFERROR(IF([2]对账明细接口!$B$528=0,"",[2]对账明细接口!$B$528),"")</f>
      </c>
      <c r="C528" s="16">
        <f>IFERROR(IF([2]对账明细接口!$C$528=0,"",[2]对账明细接口!$C$528),"")</f>
      </c>
      <c r="D528" s="16">
        <f>IFERROR(IF([2]对账明细接口!$D$528=0,"",[2]对账明细接口!$D$528),"")</f>
      </c>
      <c r="E528" s="16">
        <f>IFERROR(IF([2]对账明细接口!$E$528=0,"",[2]对账明细接口!$E$528),"")</f>
      </c>
      <c r="F528" s="16">
        <f>IFERROR(IF([2]对账明细接口!$F$528=0,"",[2]对账明细接口!$F$528),"")</f>
      </c>
      <c r="G528" s="16">
        <f>IFERROR(IF([2]对账明细接口!$G$528=0,"",[2]对账明细接口!$G$528),"")</f>
      </c>
      <c r="H528" s="176">
        <f>IFERROR(IF([2]对账明细接口!$H$528=0,"",[2]对账明细接口!$H$528),"")</f>
      </c>
      <c r="I528" s="16">
        <f>IFERROR(IF([2]对账明细接口!$I$528=0,"",[2]对账明细接口!$I$528),"")</f>
      </c>
      <c r="J528" s="177">
        <f>IFERROR(IF([2]对账明细接口!$J$528=0,"",[2]对账明细接口!$J$528),"")</f>
      </c>
      <c r="K528" s="177">
        <f>IFERROR(IF([2]对账明细接口!$K$528=0,"",[2]对账明细接口!$K$528),"")</f>
      </c>
      <c r="L528" s="16">
        <f>IFERROR(IF([2]对账明细接口!$L$528=0,"",[2]对账明细接口!$L$528),"")</f>
      </c>
      <c r="M528" s="16">
        <f>IFERROR(IF([2]对账明细接口!$M$528=0,"",[2]对账明细接口!$M$528),"")</f>
      </c>
      <c r="N528" s="19">
        <f>IF($C528="",0,1)</f>
        <v>0</v>
      </c>
      <c r="O528" s="19">
        <f>N(O527)+$N528</f>
        <v>272</v>
      </c>
      <c r="S528" s="20">
        <f>IFERROR(IF([2]对账明细接口!$N528=0,"",[2]对账明细接口!$N528),"")</f>
      </c>
      <c r="T528" s="212">
        <f>IFERROR(IF([2]对账明细接口!$O528=0,"",[2]对账明细接口!$O528),"")</f>
      </c>
      <c r="U528" s="212">
        <f>IFERROR(IF([2]对账明细接口!$P528=0,"",[2]对账明细接口!$P528),"")</f>
      </c>
      <c r="V528" s="212">
        <f>IFERROR(IF([2]对账明细接口!$Q528=0,"",[2]对账明细接口!$Q528),"")</f>
      </c>
      <c r="W528" s="20">
        <f>IFERROR(IF([2]对账明细接口!$R528=0,"",[2]对账明细接口!$R528),"")</f>
      </c>
      <c r="X528" s="20">
        <f>IFERROR(IF([2]对账明细接口!$S528=0,"",[2]对账明细接口!$S528),"")</f>
      </c>
      <c r="Y528" s="20">
        <f>""</f>
      </c>
      <c r="Z528" s="20">
        <f>""</f>
      </c>
      <c r="AA528" s="20">
        <f>""</f>
      </c>
      <c r="AB528" s="20">
        <f>""</f>
      </c>
    </row>
    <row r="529" s="127">
      <c r="A529" s="14" t="n">
        <v>529</v>
      </c>
      <c r="B529" s="211">
        <f>IFERROR(IF([2]对账明细接口!$B$529=0,"",[2]对账明细接口!$B$529),"")</f>
      </c>
      <c r="C529" s="16">
        <f>IFERROR(IF([2]对账明细接口!$C$529=0,"",[2]对账明细接口!$C$529),"")</f>
      </c>
      <c r="D529" s="16">
        <f>IFERROR(IF([2]对账明细接口!$D$529=0,"",[2]对账明细接口!$D$529),"")</f>
      </c>
      <c r="E529" s="16">
        <f>IFERROR(IF([2]对账明细接口!$E$529=0,"",[2]对账明细接口!$E$529),"")</f>
      </c>
      <c r="F529" s="16">
        <f>IFERROR(IF([2]对账明细接口!$F$529=0,"",[2]对账明细接口!$F$529),"")</f>
      </c>
      <c r="G529" s="16">
        <f>IFERROR(IF([2]对账明细接口!$G$529=0,"",[2]对账明细接口!$G$529),"")</f>
      </c>
      <c r="H529" s="176">
        <f>IFERROR(IF([2]对账明细接口!$H$529=0,"",[2]对账明细接口!$H$529),"")</f>
      </c>
      <c r="I529" s="16">
        <f>IFERROR(IF([2]对账明细接口!$I$529=0,"",[2]对账明细接口!$I$529),"")</f>
      </c>
      <c r="J529" s="177">
        <f>IFERROR(IF([2]对账明细接口!$J$529=0,"",[2]对账明细接口!$J$529),"")</f>
      </c>
      <c r="K529" s="177">
        <f>IFERROR(IF([2]对账明细接口!$K$529=0,"",[2]对账明细接口!$K$529),"")</f>
      </c>
      <c r="L529" s="16">
        <f>IFERROR(IF([2]对账明细接口!$L$529=0,"",[2]对账明细接口!$L$529),"")</f>
      </c>
      <c r="M529" s="16">
        <f>IFERROR(IF([2]对账明细接口!$M$529=0,"",[2]对账明细接口!$M$529),"")</f>
      </c>
      <c r="N529" s="19">
        <f>IF($C529="",0,1)</f>
        <v>0</v>
      </c>
      <c r="O529" s="19">
        <f>N(O528)+$N529</f>
        <v>272</v>
      </c>
      <c r="S529" s="20">
        <f>IFERROR(IF([2]对账明细接口!$N529=0,"",[2]对账明细接口!$N529),"")</f>
      </c>
      <c r="T529" s="212">
        <f>IFERROR(IF([2]对账明细接口!$O529=0,"",[2]对账明细接口!$O529),"")</f>
      </c>
      <c r="U529" s="212">
        <f>IFERROR(IF([2]对账明细接口!$P529=0,"",[2]对账明细接口!$P529),"")</f>
      </c>
      <c r="V529" s="212">
        <f>IFERROR(IF([2]对账明细接口!$Q529=0,"",[2]对账明细接口!$Q529),"")</f>
      </c>
      <c r="W529" s="20">
        <f>IFERROR(IF([2]对账明细接口!$R529=0,"",[2]对账明细接口!$R529),"")</f>
      </c>
      <c r="X529" s="20">
        <f>IFERROR(IF([2]对账明细接口!$S529=0,"",[2]对账明细接口!$S529),"")</f>
      </c>
      <c r="Y529" s="20">
        <f>""</f>
      </c>
      <c r="Z529" s="20">
        <f>""</f>
      </c>
      <c r="AA529" s="20">
        <f>""</f>
      </c>
      <c r="AB529" s="20">
        <f>""</f>
      </c>
    </row>
    <row r="530" s="127">
      <c r="A530" s="14" t="n">
        <v>530</v>
      </c>
      <c r="B530" s="211">
        <f>IFERROR(IF([2]对账明细接口!$B$530=0,"",[2]对账明细接口!$B$530),"")</f>
      </c>
      <c r="C530" s="16">
        <f>IFERROR(IF([2]对账明细接口!$C$530=0,"",[2]对账明细接口!$C$530),"")</f>
      </c>
      <c r="D530" s="16">
        <f>IFERROR(IF([2]对账明细接口!$D$530=0,"",[2]对账明细接口!$D$530),"")</f>
      </c>
      <c r="E530" s="16">
        <f>IFERROR(IF([2]对账明细接口!$E$530=0,"",[2]对账明细接口!$E$530),"")</f>
      </c>
      <c r="F530" s="16">
        <f>IFERROR(IF([2]对账明细接口!$F$530=0,"",[2]对账明细接口!$F$530),"")</f>
      </c>
      <c r="G530" s="16">
        <f>IFERROR(IF([2]对账明细接口!$G$530=0,"",[2]对账明细接口!$G$530),"")</f>
      </c>
      <c r="H530" s="176">
        <f>IFERROR(IF([2]对账明细接口!$H$530=0,"",[2]对账明细接口!$H$530),"")</f>
      </c>
      <c r="I530" s="16">
        <f>IFERROR(IF([2]对账明细接口!$I$530=0,"",[2]对账明细接口!$I$530),"")</f>
      </c>
      <c r="J530" s="177">
        <f>IFERROR(IF([2]对账明细接口!$J$530=0,"",[2]对账明细接口!$J$530),"")</f>
      </c>
      <c r="K530" s="177">
        <f>IFERROR(IF([2]对账明细接口!$K$530=0,"",[2]对账明细接口!$K$530),"")</f>
      </c>
      <c r="L530" s="16">
        <f>IFERROR(IF([2]对账明细接口!$L$530=0,"",[2]对账明细接口!$L$530),"")</f>
      </c>
      <c r="M530" s="16">
        <f>IFERROR(IF([2]对账明细接口!$M$530=0,"",[2]对账明细接口!$M$530),"")</f>
      </c>
      <c r="N530" s="19">
        <f>IF($C530="",0,1)</f>
        <v>0</v>
      </c>
      <c r="O530" s="19">
        <f>N(O529)+$N530</f>
        <v>272</v>
      </c>
      <c r="S530" s="20">
        <f>IFERROR(IF([2]对账明细接口!$N530=0,"",[2]对账明细接口!$N530),"")</f>
      </c>
      <c r="T530" s="212">
        <f>IFERROR(IF([2]对账明细接口!$O530=0,"",[2]对账明细接口!$O530),"")</f>
      </c>
      <c r="U530" s="212">
        <f>IFERROR(IF([2]对账明细接口!$P530=0,"",[2]对账明细接口!$P530),"")</f>
      </c>
      <c r="V530" s="212">
        <f>IFERROR(IF([2]对账明细接口!$Q530=0,"",[2]对账明细接口!$Q530),"")</f>
      </c>
      <c r="W530" s="20">
        <f>IFERROR(IF([2]对账明细接口!$R530=0,"",[2]对账明细接口!$R530),"")</f>
      </c>
      <c r="X530" s="20">
        <f>IFERROR(IF([2]对账明细接口!$S530=0,"",[2]对账明细接口!$S530),"")</f>
      </c>
      <c r="Y530" s="20">
        <f>""</f>
      </c>
      <c r="Z530" s="20">
        <f>""</f>
      </c>
      <c r="AA530" s="20">
        <f>""</f>
      </c>
      <c r="AB530" s="20">
        <f>""</f>
      </c>
    </row>
    <row r="531" s="127">
      <c r="A531" s="14" t="n">
        <v>531</v>
      </c>
      <c r="B531" s="211">
        <f>IFERROR(IF([2]对账明细接口!$B$531=0,"",[2]对账明细接口!$B$531),"")</f>
      </c>
      <c r="C531" s="16">
        <f>IFERROR(IF([2]对账明细接口!$C$531=0,"",[2]对账明细接口!$C$531),"")</f>
      </c>
      <c r="D531" s="16">
        <f>IFERROR(IF([2]对账明细接口!$D$531=0,"",[2]对账明细接口!$D$531),"")</f>
      </c>
      <c r="E531" s="16">
        <f>IFERROR(IF([2]对账明细接口!$E$531=0,"",[2]对账明细接口!$E$531),"")</f>
      </c>
      <c r="F531" s="16">
        <f>IFERROR(IF([2]对账明细接口!$F$531=0,"",[2]对账明细接口!$F$531),"")</f>
      </c>
      <c r="G531" s="16">
        <f>IFERROR(IF([2]对账明细接口!$G$531=0,"",[2]对账明细接口!$G$531),"")</f>
      </c>
      <c r="H531" s="176">
        <f>IFERROR(IF([2]对账明细接口!$H$531=0,"",[2]对账明细接口!$H$531),"")</f>
      </c>
      <c r="I531" s="16">
        <f>IFERROR(IF([2]对账明细接口!$I$531=0,"",[2]对账明细接口!$I$531),"")</f>
      </c>
      <c r="J531" s="177">
        <f>IFERROR(IF([2]对账明细接口!$J$531=0,"",[2]对账明细接口!$J$531),"")</f>
      </c>
      <c r="K531" s="177">
        <f>IFERROR(IF([2]对账明细接口!$K$531=0,"",[2]对账明细接口!$K$531),"")</f>
      </c>
      <c r="L531" s="16">
        <f>IFERROR(IF([2]对账明细接口!$L$531=0,"",[2]对账明细接口!$L$531),"")</f>
      </c>
      <c r="M531" s="16">
        <f>IFERROR(IF([2]对账明细接口!$M$531=0,"",[2]对账明细接口!$M$531),"")</f>
      </c>
      <c r="N531" s="19">
        <f>IF($C531="",0,1)</f>
        <v>0</v>
      </c>
      <c r="O531" s="19">
        <f>N(O530)+$N531</f>
        <v>272</v>
      </c>
      <c r="S531" s="20">
        <f>IFERROR(IF([2]对账明细接口!$N531=0,"",[2]对账明细接口!$N531),"")</f>
      </c>
      <c r="T531" s="212">
        <f>IFERROR(IF([2]对账明细接口!$O531=0,"",[2]对账明细接口!$O531),"")</f>
      </c>
      <c r="U531" s="212">
        <f>IFERROR(IF([2]对账明细接口!$P531=0,"",[2]对账明细接口!$P531),"")</f>
      </c>
      <c r="V531" s="212">
        <f>IFERROR(IF([2]对账明细接口!$Q531=0,"",[2]对账明细接口!$Q531),"")</f>
      </c>
      <c r="W531" s="20">
        <f>IFERROR(IF([2]对账明细接口!$R531=0,"",[2]对账明细接口!$R531),"")</f>
      </c>
      <c r="X531" s="20">
        <f>IFERROR(IF([2]对账明细接口!$S531=0,"",[2]对账明细接口!$S531),"")</f>
      </c>
      <c r="Y531" s="20">
        <f>""</f>
      </c>
      <c r="Z531" s="20">
        <f>""</f>
      </c>
      <c r="AA531" s="20">
        <f>""</f>
      </c>
      <c r="AB531" s="20">
        <f>""</f>
      </c>
    </row>
    <row r="532" s="127">
      <c r="A532" s="14" t="n">
        <v>532</v>
      </c>
      <c r="B532" s="211">
        <f>IFERROR(IF([2]对账明细接口!$B$532=0,"",[2]对账明细接口!$B$532),"")</f>
      </c>
      <c r="C532" s="16">
        <f>IFERROR(IF([2]对账明细接口!$C$532=0,"",[2]对账明细接口!$C$532),"")</f>
      </c>
      <c r="D532" s="16">
        <f>IFERROR(IF([2]对账明细接口!$D$532=0,"",[2]对账明细接口!$D$532),"")</f>
      </c>
      <c r="E532" s="16">
        <f>IFERROR(IF([2]对账明细接口!$E$532=0,"",[2]对账明细接口!$E$532),"")</f>
      </c>
      <c r="F532" s="16">
        <f>IFERROR(IF([2]对账明细接口!$F$532=0,"",[2]对账明细接口!$F$532),"")</f>
      </c>
      <c r="G532" s="16">
        <f>IFERROR(IF([2]对账明细接口!$G$532=0,"",[2]对账明细接口!$G$532),"")</f>
      </c>
      <c r="H532" s="176">
        <f>IFERROR(IF([2]对账明细接口!$H$532=0,"",[2]对账明细接口!$H$532),"")</f>
      </c>
      <c r="I532" s="16">
        <f>IFERROR(IF([2]对账明细接口!$I$532=0,"",[2]对账明细接口!$I$532),"")</f>
      </c>
      <c r="J532" s="177">
        <f>IFERROR(IF([2]对账明细接口!$J$532=0,"",[2]对账明细接口!$J$532),"")</f>
      </c>
      <c r="K532" s="177">
        <f>IFERROR(IF([2]对账明细接口!$K$532=0,"",[2]对账明细接口!$K$532),"")</f>
      </c>
      <c r="L532" s="16">
        <f>IFERROR(IF([2]对账明细接口!$L$532=0,"",[2]对账明细接口!$L$532),"")</f>
      </c>
      <c r="M532" s="16">
        <f>IFERROR(IF([2]对账明细接口!$M$532=0,"",[2]对账明细接口!$M$532),"")</f>
      </c>
      <c r="N532" s="19">
        <f>IF($C532="",0,1)</f>
        <v>0</v>
      </c>
      <c r="O532" s="19">
        <f>N(O531)+$N532</f>
        <v>272</v>
      </c>
      <c r="S532" s="20">
        <f>IFERROR(IF([2]对账明细接口!$N532=0,"",[2]对账明细接口!$N532),"")</f>
      </c>
      <c r="T532" s="212">
        <f>IFERROR(IF([2]对账明细接口!$O532=0,"",[2]对账明细接口!$O532),"")</f>
      </c>
      <c r="U532" s="212">
        <f>IFERROR(IF([2]对账明细接口!$P532=0,"",[2]对账明细接口!$P532),"")</f>
      </c>
      <c r="V532" s="212">
        <f>IFERROR(IF([2]对账明细接口!$Q532=0,"",[2]对账明细接口!$Q532),"")</f>
      </c>
      <c r="W532" s="20">
        <f>IFERROR(IF([2]对账明细接口!$R532=0,"",[2]对账明细接口!$R532),"")</f>
      </c>
      <c r="X532" s="20">
        <f>IFERROR(IF([2]对账明细接口!$S532=0,"",[2]对账明细接口!$S532),"")</f>
      </c>
      <c r="Y532" s="20">
        <f>""</f>
      </c>
      <c r="Z532" s="20">
        <f>""</f>
      </c>
      <c r="AA532" s="20">
        <f>""</f>
      </c>
      <c r="AB532" s="20">
        <f>""</f>
      </c>
    </row>
    <row r="533" s="127">
      <c r="A533" s="14" t="n">
        <v>533</v>
      </c>
      <c r="B533" s="211">
        <f>IFERROR(IF([2]对账明细接口!$B$533=0,"",[2]对账明细接口!$B$533),"")</f>
      </c>
      <c r="C533" s="16">
        <f>IFERROR(IF([2]对账明细接口!$C$533=0,"",[2]对账明细接口!$C$533),"")</f>
      </c>
      <c r="D533" s="16">
        <f>IFERROR(IF([2]对账明细接口!$D$533=0,"",[2]对账明细接口!$D$533),"")</f>
      </c>
      <c r="E533" s="16">
        <f>IFERROR(IF([2]对账明细接口!$E$533=0,"",[2]对账明细接口!$E$533),"")</f>
      </c>
      <c r="F533" s="16">
        <f>IFERROR(IF([2]对账明细接口!$F$533=0,"",[2]对账明细接口!$F$533),"")</f>
      </c>
      <c r="G533" s="16">
        <f>IFERROR(IF([2]对账明细接口!$G$533=0,"",[2]对账明细接口!$G$533),"")</f>
      </c>
      <c r="H533" s="176">
        <f>IFERROR(IF([2]对账明细接口!$H$533=0,"",[2]对账明细接口!$H$533),"")</f>
      </c>
      <c r="I533" s="16">
        <f>IFERROR(IF([2]对账明细接口!$I$533=0,"",[2]对账明细接口!$I$533),"")</f>
      </c>
      <c r="J533" s="177">
        <f>IFERROR(IF([2]对账明细接口!$J$533=0,"",[2]对账明细接口!$J$533),"")</f>
      </c>
      <c r="K533" s="177">
        <f>IFERROR(IF([2]对账明细接口!$K$533=0,"",[2]对账明细接口!$K$533),"")</f>
      </c>
      <c r="L533" s="16">
        <f>IFERROR(IF([2]对账明细接口!$L$533=0,"",[2]对账明细接口!$L$533),"")</f>
      </c>
      <c r="M533" s="16">
        <f>IFERROR(IF([2]对账明细接口!$M$533=0,"",[2]对账明细接口!$M$533),"")</f>
      </c>
      <c r="N533" s="19">
        <f>IF($C533="",0,1)</f>
        <v>0</v>
      </c>
      <c r="O533" s="19">
        <f>N(O532)+$N533</f>
        <v>272</v>
      </c>
      <c r="S533" s="20">
        <f>IFERROR(IF([2]对账明细接口!$N533=0,"",[2]对账明细接口!$N533),"")</f>
      </c>
      <c r="T533" s="212">
        <f>IFERROR(IF([2]对账明细接口!$O533=0,"",[2]对账明细接口!$O533),"")</f>
      </c>
      <c r="U533" s="212">
        <f>IFERROR(IF([2]对账明细接口!$P533=0,"",[2]对账明细接口!$P533),"")</f>
      </c>
      <c r="V533" s="212">
        <f>IFERROR(IF([2]对账明细接口!$Q533=0,"",[2]对账明细接口!$Q533),"")</f>
      </c>
      <c r="W533" s="20">
        <f>IFERROR(IF([2]对账明细接口!$R533=0,"",[2]对账明细接口!$R533),"")</f>
      </c>
      <c r="X533" s="20">
        <f>IFERROR(IF([2]对账明细接口!$S533=0,"",[2]对账明细接口!$S533),"")</f>
      </c>
      <c r="Y533" s="20">
        <f>""</f>
      </c>
      <c r="Z533" s="20">
        <f>""</f>
      </c>
      <c r="AA533" s="20">
        <f>""</f>
      </c>
      <c r="AB533" s="20">
        <f>""</f>
      </c>
    </row>
    <row r="534" s="127">
      <c r="A534" s="14" t="n">
        <v>534</v>
      </c>
      <c r="B534" s="211">
        <f>IFERROR(IF([2]对账明细接口!$B$534=0,"",[2]对账明细接口!$B$534),"")</f>
      </c>
      <c r="C534" s="16">
        <f>IFERROR(IF([2]对账明细接口!$C$534=0,"",[2]对账明细接口!$C$534),"")</f>
      </c>
      <c r="D534" s="16">
        <f>IFERROR(IF([2]对账明细接口!$D$534=0,"",[2]对账明细接口!$D$534),"")</f>
      </c>
      <c r="E534" s="16">
        <f>IFERROR(IF([2]对账明细接口!$E$534=0,"",[2]对账明细接口!$E$534),"")</f>
      </c>
      <c r="F534" s="16">
        <f>IFERROR(IF([2]对账明细接口!$F$534=0,"",[2]对账明细接口!$F$534),"")</f>
      </c>
      <c r="G534" s="16">
        <f>IFERROR(IF([2]对账明细接口!$G$534=0,"",[2]对账明细接口!$G$534),"")</f>
      </c>
      <c r="H534" s="176">
        <f>IFERROR(IF([2]对账明细接口!$H$534=0,"",[2]对账明细接口!$H$534),"")</f>
      </c>
      <c r="I534" s="16">
        <f>IFERROR(IF([2]对账明细接口!$I$534=0,"",[2]对账明细接口!$I$534),"")</f>
      </c>
      <c r="J534" s="177">
        <f>IFERROR(IF([2]对账明细接口!$J$534=0,"",[2]对账明细接口!$J$534),"")</f>
      </c>
      <c r="K534" s="177">
        <f>IFERROR(IF([2]对账明细接口!$K$534=0,"",[2]对账明细接口!$K$534),"")</f>
      </c>
      <c r="L534" s="16">
        <f>IFERROR(IF([2]对账明细接口!$L$534=0,"",[2]对账明细接口!$L$534),"")</f>
      </c>
      <c r="M534" s="16">
        <f>IFERROR(IF([2]对账明细接口!$M$534=0,"",[2]对账明细接口!$M$534),"")</f>
      </c>
      <c r="N534" s="19">
        <f>IF($C534="",0,1)</f>
        <v>0</v>
      </c>
      <c r="O534" s="19">
        <f>N(O533)+$N534</f>
        <v>272</v>
      </c>
      <c r="S534" s="20">
        <f>IFERROR(IF([2]对账明细接口!$N534=0,"",[2]对账明细接口!$N534),"")</f>
      </c>
      <c r="T534" s="212">
        <f>IFERROR(IF([2]对账明细接口!$O534=0,"",[2]对账明细接口!$O534),"")</f>
      </c>
      <c r="U534" s="212">
        <f>IFERROR(IF([2]对账明细接口!$P534=0,"",[2]对账明细接口!$P534),"")</f>
      </c>
      <c r="V534" s="212">
        <f>IFERROR(IF([2]对账明细接口!$Q534=0,"",[2]对账明细接口!$Q534),"")</f>
      </c>
      <c r="W534" s="20">
        <f>IFERROR(IF([2]对账明细接口!$R534=0,"",[2]对账明细接口!$R534),"")</f>
      </c>
      <c r="X534" s="20">
        <f>IFERROR(IF([2]对账明细接口!$S534=0,"",[2]对账明细接口!$S534),"")</f>
      </c>
      <c r="Y534" s="20">
        <f>""</f>
      </c>
      <c r="Z534" s="20">
        <f>""</f>
      </c>
      <c r="AA534" s="20">
        <f>""</f>
      </c>
      <c r="AB534" s="20">
        <f>""</f>
      </c>
    </row>
    <row r="535" s="127">
      <c r="A535" s="14" t="n">
        <v>535</v>
      </c>
      <c r="B535" s="211">
        <f>IFERROR(IF([2]对账明细接口!$B$535=0,"",[2]对账明细接口!$B$535),"")</f>
      </c>
      <c r="C535" s="16">
        <f>IFERROR(IF([2]对账明细接口!$C$535=0,"",[2]对账明细接口!$C$535),"")</f>
      </c>
      <c r="D535" s="16">
        <f>IFERROR(IF([2]对账明细接口!$D$535=0,"",[2]对账明细接口!$D$535),"")</f>
      </c>
      <c r="E535" s="16">
        <f>IFERROR(IF([2]对账明细接口!$E$535=0,"",[2]对账明细接口!$E$535),"")</f>
      </c>
      <c r="F535" s="16">
        <f>IFERROR(IF([2]对账明细接口!$F$535=0,"",[2]对账明细接口!$F$535),"")</f>
      </c>
      <c r="G535" s="16">
        <f>IFERROR(IF([2]对账明细接口!$G$535=0,"",[2]对账明细接口!$G$535),"")</f>
      </c>
      <c r="H535" s="176">
        <f>IFERROR(IF([2]对账明细接口!$H$535=0,"",[2]对账明细接口!$H$535),"")</f>
      </c>
      <c r="I535" s="16">
        <f>IFERROR(IF([2]对账明细接口!$I$535=0,"",[2]对账明细接口!$I$535),"")</f>
      </c>
      <c r="J535" s="177">
        <f>IFERROR(IF([2]对账明细接口!$J$535=0,"",[2]对账明细接口!$J$535),"")</f>
      </c>
      <c r="K535" s="177">
        <f>IFERROR(IF([2]对账明细接口!$K$535=0,"",[2]对账明细接口!$K$535),"")</f>
      </c>
      <c r="L535" s="16">
        <f>IFERROR(IF([2]对账明细接口!$L$535=0,"",[2]对账明细接口!$L$535),"")</f>
      </c>
      <c r="M535" s="16">
        <f>IFERROR(IF([2]对账明细接口!$M$535=0,"",[2]对账明细接口!$M$535),"")</f>
      </c>
      <c r="N535" s="19">
        <f>IF($C535="",0,1)</f>
        <v>0</v>
      </c>
      <c r="O535" s="19">
        <f>N(O534)+$N535</f>
        <v>272</v>
      </c>
      <c r="S535" s="20">
        <f>IFERROR(IF([2]对账明细接口!$N535=0,"",[2]对账明细接口!$N535),"")</f>
      </c>
      <c r="T535" s="212">
        <f>IFERROR(IF([2]对账明细接口!$O535=0,"",[2]对账明细接口!$O535),"")</f>
      </c>
      <c r="U535" s="212">
        <f>IFERROR(IF([2]对账明细接口!$P535=0,"",[2]对账明细接口!$P535),"")</f>
      </c>
      <c r="V535" s="212">
        <f>IFERROR(IF([2]对账明细接口!$Q535=0,"",[2]对账明细接口!$Q535),"")</f>
      </c>
      <c r="W535" s="20">
        <f>IFERROR(IF([2]对账明细接口!$R535=0,"",[2]对账明细接口!$R535),"")</f>
      </c>
      <c r="X535" s="20">
        <f>IFERROR(IF([2]对账明细接口!$S535=0,"",[2]对账明细接口!$S535),"")</f>
      </c>
      <c r="Y535" s="20">
        <f>""</f>
      </c>
      <c r="Z535" s="20">
        <f>""</f>
      </c>
      <c r="AA535" s="20">
        <f>""</f>
      </c>
      <c r="AB535" s="20">
        <f>""</f>
      </c>
    </row>
    <row r="536" s="127">
      <c r="A536" s="14" t="n">
        <v>536</v>
      </c>
      <c r="B536" s="211">
        <f>IFERROR(IF([2]对账明细接口!$B$536=0,"",[2]对账明细接口!$B$536),"")</f>
      </c>
      <c r="C536" s="16">
        <f>IFERROR(IF([2]对账明细接口!$C$536=0,"",[2]对账明细接口!$C$536),"")</f>
      </c>
      <c r="D536" s="16">
        <f>IFERROR(IF([2]对账明细接口!$D$536=0,"",[2]对账明细接口!$D$536),"")</f>
      </c>
      <c r="E536" s="16">
        <f>IFERROR(IF([2]对账明细接口!$E$536=0,"",[2]对账明细接口!$E$536),"")</f>
      </c>
      <c r="F536" s="16">
        <f>IFERROR(IF([2]对账明细接口!$F$536=0,"",[2]对账明细接口!$F$536),"")</f>
      </c>
      <c r="G536" s="16">
        <f>IFERROR(IF([2]对账明细接口!$G$536=0,"",[2]对账明细接口!$G$536),"")</f>
      </c>
      <c r="H536" s="176">
        <f>IFERROR(IF([2]对账明细接口!$H$536=0,"",[2]对账明细接口!$H$536),"")</f>
      </c>
      <c r="I536" s="16">
        <f>IFERROR(IF([2]对账明细接口!$I$536=0,"",[2]对账明细接口!$I$536),"")</f>
      </c>
      <c r="J536" s="177">
        <f>IFERROR(IF([2]对账明细接口!$J$536=0,"",[2]对账明细接口!$J$536),"")</f>
      </c>
      <c r="K536" s="177">
        <f>IFERROR(IF([2]对账明细接口!$K$536=0,"",[2]对账明细接口!$K$536),"")</f>
      </c>
      <c r="L536" s="16">
        <f>IFERROR(IF([2]对账明细接口!$L$536=0,"",[2]对账明细接口!$L$536),"")</f>
      </c>
      <c r="M536" s="16">
        <f>IFERROR(IF([2]对账明细接口!$M$536=0,"",[2]对账明细接口!$M$536),"")</f>
      </c>
      <c r="N536" s="19">
        <f>IF($C536="",0,1)</f>
        <v>0</v>
      </c>
      <c r="O536" s="19">
        <f>N(O535)+$N536</f>
        <v>272</v>
      </c>
      <c r="S536" s="20">
        <f>IFERROR(IF([2]对账明细接口!$N536=0,"",[2]对账明细接口!$N536),"")</f>
      </c>
      <c r="T536" s="212">
        <f>IFERROR(IF([2]对账明细接口!$O536=0,"",[2]对账明细接口!$O536),"")</f>
      </c>
      <c r="U536" s="212">
        <f>IFERROR(IF([2]对账明细接口!$P536=0,"",[2]对账明细接口!$P536),"")</f>
      </c>
      <c r="V536" s="212">
        <f>IFERROR(IF([2]对账明细接口!$Q536=0,"",[2]对账明细接口!$Q536),"")</f>
      </c>
      <c r="W536" s="20">
        <f>IFERROR(IF([2]对账明细接口!$R536=0,"",[2]对账明细接口!$R536),"")</f>
      </c>
      <c r="X536" s="20">
        <f>IFERROR(IF([2]对账明细接口!$S536=0,"",[2]对账明细接口!$S536),"")</f>
      </c>
      <c r="Y536" s="20">
        <f>""</f>
      </c>
      <c r="Z536" s="20">
        <f>""</f>
      </c>
      <c r="AA536" s="20">
        <f>""</f>
      </c>
      <c r="AB536" s="20">
        <f>""</f>
      </c>
    </row>
    <row r="537" s="127">
      <c r="A537" s="14" t="n">
        <v>537</v>
      </c>
      <c r="B537" s="211">
        <f>IFERROR(IF([2]对账明细接口!$B$537=0,"",[2]对账明细接口!$B$537),"")</f>
      </c>
      <c r="C537" s="16">
        <f>IFERROR(IF([2]对账明细接口!$C$537=0,"",[2]对账明细接口!$C$537),"")</f>
      </c>
      <c r="D537" s="16">
        <f>IFERROR(IF([2]对账明细接口!$D$537=0,"",[2]对账明细接口!$D$537),"")</f>
      </c>
      <c r="E537" s="16">
        <f>IFERROR(IF([2]对账明细接口!$E$537=0,"",[2]对账明细接口!$E$537),"")</f>
      </c>
      <c r="F537" s="16">
        <f>IFERROR(IF([2]对账明细接口!$F$537=0,"",[2]对账明细接口!$F$537),"")</f>
      </c>
      <c r="G537" s="16">
        <f>IFERROR(IF([2]对账明细接口!$G$537=0,"",[2]对账明细接口!$G$537),"")</f>
      </c>
      <c r="H537" s="176">
        <f>IFERROR(IF([2]对账明细接口!$H$537=0,"",[2]对账明细接口!$H$537),"")</f>
      </c>
      <c r="I537" s="16">
        <f>IFERROR(IF([2]对账明细接口!$I$537=0,"",[2]对账明细接口!$I$537),"")</f>
      </c>
      <c r="J537" s="177">
        <f>IFERROR(IF([2]对账明细接口!$J$537=0,"",[2]对账明细接口!$J$537),"")</f>
      </c>
      <c r="K537" s="177">
        <f>IFERROR(IF([2]对账明细接口!$K$537=0,"",[2]对账明细接口!$K$537),"")</f>
      </c>
      <c r="L537" s="16">
        <f>IFERROR(IF([2]对账明细接口!$L$537=0,"",[2]对账明细接口!$L$537),"")</f>
      </c>
      <c r="M537" s="16">
        <f>IFERROR(IF([2]对账明细接口!$M$537=0,"",[2]对账明细接口!$M$537),"")</f>
      </c>
      <c r="N537" s="19">
        <f>IF($C537="",0,1)</f>
        <v>0</v>
      </c>
      <c r="O537" s="19">
        <f>N(O536)+$N537</f>
        <v>272</v>
      </c>
      <c r="S537" s="20">
        <f>IFERROR(IF([2]对账明细接口!$N537=0,"",[2]对账明细接口!$N537),"")</f>
      </c>
      <c r="T537" s="212">
        <f>IFERROR(IF([2]对账明细接口!$O537=0,"",[2]对账明细接口!$O537),"")</f>
      </c>
      <c r="U537" s="212">
        <f>IFERROR(IF([2]对账明细接口!$P537=0,"",[2]对账明细接口!$P537),"")</f>
      </c>
      <c r="V537" s="212">
        <f>IFERROR(IF([2]对账明细接口!$Q537=0,"",[2]对账明细接口!$Q537),"")</f>
      </c>
      <c r="W537" s="20">
        <f>IFERROR(IF([2]对账明细接口!$R537=0,"",[2]对账明细接口!$R537),"")</f>
      </c>
      <c r="X537" s="20">
        <f>IFERROR(IF([2]对账明细接口!$S537=0,"",[2]对账明细接口!$S537),"")</f>
      </c>
      <c r="Y537" s="20">
        <f>""</f>
      </c>
      <c r="Z537" s="20">
        <f>""</f>
      </c>
      <c r="AA537" s="20">
        <f>""</f>
      </c>
      <c r="AB537" s="20">
        <f>""</f>
      </c>
    </row>
    <row r="538" s="127">
      <c r="A538" s="14" t="n">
        <v>538</v>
      </c>
      <c r="B538" s="211">
        <f>IFERROR(IF([2]对账明细接口!$B$538=0,"",[2]对账明细接口!$B$538),"")</f>
      </c>
      <c r="C538" s="16">
        <f>IFERROR(IF([2]对账明细接口!$C$538=0,"",[2]对账明细接口!$C$538),"")</f>
      </c>
      <c r="D538" s="16">
        <f>IFERROR(IF([2]对账明细接口!$D$538=0,"",[2]对账明细接口!$D$538),"")</f>
      </c>
      <c r="E538" s="16">
        <f>IFERROR(IF([2]对账明细接口!$E$538=0,"",[2]对账明细接口!$E$538),"")</f>
      </c>
      <c r="F538" s="16">
        <f>IFERROR(IF([2]对账明细接口!$F$538=0,"",[2]对账明细接口!$F$538),"")</f>
      </c>
      <c r="G538" s="16">
        <f>IFERROR(IF([2]对账明细接口!$G$538=0,"",[2]对账明细接口!$G$538),"")</f>
      </c>
      <c r="H538" s="176">
        <f>IFERROR(IF([2]对账明细接口!$H$538=0,"",[2]对账明细接口!$H$538),"")</f>
      </c>
      <c r="I538" s="16">
        <f>IFERROR(IF([2]对账明细接口!$I$538=0,"",[2]对账明细接口!$I$538),"")</f>
      </c>
      <c r="J538" s="177">
        <f>IFERROR(IF([2]对账明细接口!$J$538=0,"",[2]对账明细接口!$J$538),"")</f>
      </c>
      <c r="K538" s="177">
        <f>IFERROR(IF([2]对账明细接口!$K$538=0,"",[2]对账明细接口!$K$538),"")</f>
      </c>
      <c r="L538" s="16">
        <f>IFERROR(IF([2]对账明细接口!$L$538=0,"",[2]对账明细接口!$L$538),"")</f>
      </c>
      <c r="M538" s="16">
        <f>IFERROR(IF([2]对账明细接口!$M$538=0,"",[2]对账明细接口!$M$538),"")</f>
      </c>
      <c r="N538" s="19">
        <f>IF($C538="",0,1)</f>
        <v>0</v>
      </c>
      <c r="O538" s="19">
        <f>N(O537)+$N538</f>
        <v>272</v>
      </c>
      <c r="S538" s="20">
        <f>IFERROR(IF([2]对账明细接口!$N538=0,"",[2]对账明细接口!$N538),"")</f>
      </c>
      <c r="T538" s="212">
        <f>IFERROR(IF([2]对账明细接口!$O538=0,"",[2]对账明细接口!$O538),"")</f>
      </c>
      <c r="U538" s="212">
        <f>IFERROR(IF([2]对账明细接口!$P538=0,"",[2]对账明细接口!$P538),"")</f>
      </c>
      <c r="V538" s="212">
        <f>IFERROR(IF([2]对账明细接口!$Q538=0,"",[2]对账明细接口!$Q538),"")</f>
      </c>
      <c r="W538" s="20">
        <f>IFERROR(IF([2]对账明细接口!$R538=0,"",[2]对账明细接口!$R538),"")</f>
      </c>
      <c r="X538" s="20">
        <f>IFERROR(IF([2]对账明细接口!$S538=0,"",[2]对账明细接口!$S538),"")</f>
      </c>
      <c r="Y538" s="20">
        <f>""</f>
      </c>
      <c r="Z538" s="20">
        <f>""</f>
      </c>
      <c r="AA538" s="20">
        <f>""</f>
      </c>
      <c r="AB538" s="20">
        <f>""</f>
      </c>
    </row>
    <row r="539" s="127">
      <c r="A539" s="14" t="n">
        <v>539</v>
      </c>
      <c r="B539" s="211">
        <f>IFERROR(IF([2]对账明细接口!$B$539=0,"",[2]对账明细接口!$B$539),"")</f>
      </c>
      <c r="C539" s="16">
        <f>IFERROR(IF([2]对账明细接口!$C$539=0,"",[2]对账明细接口!$C$539),"")</f>
      </c>
      <c r="D539" s="16">
        <f>IFERROR(IF([2]对账明细接口!$D$539=0,"",[2]对账明细接口!$D$539),"")</f>
      </c>
      <c r="E539" s="16">
        <f>IFERROR(IF([2]对账明细接口!$E$539=0,"",[2]对账明细接口!$E$539),"")</f>
      </c>
      <c r="F539" s="16">
        <f>IFERROR(IF([2]对账明细接口!$F$539=0,"",[2]对账明细接口!$F$539),"")</f>
      </c>
      <c r="G539" s="16">
        <f>IFERROR(IF([2]对账明细接口!$G$539=0,"",[2]对账明细接口!$G$539),"")</f>
      </c>
      <c r="H539" s="176">
        <f>IFERROR(IF([2]对账明细接口!$H$539=0,"",[2]对账明细接口!$H$539),"")</f>
      </c>
      <c r="I539" s="16">
        <f>IFERROR(IF([2]对账明细接口!$I$539=0,"",[2]对账明细接口!$I$539),"")</f>
      </c>
      <c r="J539" s="177">
        <f>IFERROR(IF([2]对账明细接口!$J$539=0,"",[2]对账明细接口!$J$539),"")</f>
      </c>
      <c r="K539" s="177">
        <f>IFERROR(IF([2]对账明细接口!$K$539=0,"",[2]对账明细接口!$K$539),"")</f>
      </c>
      <c r="L539" s="16">
        <f>IFERROR(IF([2]对账明细接口!$L$539=0,"",[2]对账明细接口!$L$539),"")</f>
      </c>
      <c r="M539" s="16">
        <f>IFERROR(IF([2]对账明细接口!$M$539=0,"",[2]对账明细接口!$M$539),"")</f>
      </c>
      <c r="N539" s="19">
        <f>IF($C539="",0,1)</f>
        <v>0</v>
      </c>
      <c r="O539" s="19">
        <f>N(O538)+$N539</f>
        <v>272</v>
      </c>
      <c r="S539" s="20">
        <f>IFERROR(IF([2]对账明细接口!$N539=0,"",[2]对账明细接口!$N539),"")</f>
      </c>
      <c r="T539" s="212">
        <f>IFERROR(IF([2]对账明细接口!$O539=0,"",[2]对账明细接口!$O539),"")</f>
      </c>
      <c r="U539" s="212">
        <f>IFERROR(IF([2]对账明细接口!$P539=0,"",[2]对账明细接口!$P539),"")</f>
      </c>
      <c r="V539" s="212">
        <f>IFERROR(IF([2]对账明细接口!$Q539=0,"",[2]对账明细接口!$Q539),"")</f>
      </c>
      <c r="W539" s="20">
        <f>IFERROR(IF([2]对账明细接口!$R539=0,"",[2]对账明细接口!$R539),"")</f>
      </c>
      <c r="X539" s="20">
        <f>IFERROR(IF([2]对账明细接口!$S539=0,"",[2]对账明细接口!$S539),"")</f>
      </c>
      <c r="Y539" s="20">
        <f>""</f>
      </c>
      <c r="Z539" s="20">
        <f>""</f>
      </c>
      <c r="AA539" s="20">
        <f>""</f>
      </c>
      <c r="AB539" s="20">
        <f>""</f>
      </c>
    </row>
    <row r="540" s="127">
      <c r="A540" s="14" t="n">
        <v>540</v>
      </c>
      <c r="B540" s="211">
        <f>IFERROR(IF([2]对账明细接口!$B$540=0,"",[2]对账明细接口!$B$540),"")</f>
      </c>
      <c r="C540" s="16">
        <f>IFERROR(IF([2]对账明细接口!$C$540=0,"",[2]对账明细接口!$C$540),"")</f>
      </c>
      <c r="D540" s="16">
        <f>IFERROR(IF([2]对账明细接口!$D$540=0,"",[2]对账明细接口!$D$540),"")</f>
      </c>
      <c r="E540" s="16">
        <f>IFERROR(IF([2]对账明细接口!$E$540=0,"",[2]对账明细接口!$E$540),"")</f>
      </c>
      <c r="F540" s="16">
        <f>IFERROR(IF([2]对账明细接口!$F$540=0,"",[2]对账明细接口!$F$540),"")</f>
      </c>
      <c r="G540" s="16">
        <f>IFERROR(IF([2]对账明细接口!$G$540=0,"",[2]对账明细接口!$G$540),"")</f>
      </c>
      <c r="H540" s="176">
        <f>IFERROR(IF([2]对账明细接口!$H$540=0,"",[2]对账明细接口!$H$540),"")</f>
      </c>
      <c r="I540" s="16">
        <f>IFERROR(IF([2]对账明细接口!$I$540=0,"",[2]对账明细接口!$I$540),"")</f>
      </c>
      <c r="J540" s="177">
        <f>IFERROR(IF([2]对账明细接口!$J$540=0,"",[2]对账明细接口!$J$540),"")</f>
      </c>
      <c r="K540" s="177">
        <f>IFERROR(IF([2]对账明细接口!$K$540=0,"",[2]对账明细接口!$K$540),"")</f>
      </c>
      <c r="L540" s="16">
        <f>IFERROR(IF([2]对账明细接口!$L$540=0,"",[2]对账明细接口!$L$540),"")</f>
      </c>
      <c r="M540" s="16">
        <f>IFERROR(IF([2]对账明细接口!$M$540=0,"",[2]对账明细接口!$M$540),"")</f>
      </c>
      <c r="N540" s="19">
        <f>IF($C540="",0,1)</f>
        <v>0</v>
      </c>
      <c r="O540" s="19">
        <f>N(O539)+$N540</f>
        <v>272</v>
      </c>
      <c r="S540" s="20">
        <f>IFERROR(IF([2]对账明细接口!$N540=0,"",[2]对账明细接口!$N540),"")</f>
      </c>
      <c r="T540" s="212">
        <f>IFERROR(IF([2]对账明细接口!$O540=0,"",[2]对账明细接口!$O540),"")</f>
      </c>
      <c r="U540" s="212">
        <f>IFERROR(IF([2]对账明细接口!$P540=0,"",[2]对账明细接口!$P540),"")</f>
      </c>
      <c r="V540" s="212">
        <f>IFERROR(IF([2]对账明细接口!$Q540=0,"",[2]对账明细接口!$Q540),"")</f>
      </c>
      <c r="W540" s="20">
        <f>IFERROR(IF([2]对账明细接口!$R540=0,"",[2]对账明细接口!$R540),"")</f>
      </c>
      <c r="X540" s="20">
        <f>IFERROR(IF([2]对账明细接口!$S540=0,"",[2]对账明细接口!$S540),"")</f>
      </c>
      <c r="Y540" s="20">
        <f>""</f>
      </c>
      <c r="Z540" s="20">
        <f>""</f>
      </c>
      <c r="AA540" s="20">
        <f>""</f>
      </c>
      <c r="AB540" s="20">
        <f>""</f>
      </c>
    </row>
    <row r="541" s="127">
      <c r="A541" s="14" t="n">
        <v>541</v>
      </c>
      <c r="B541" s="211">
        <f>IFERROR(IF([2]对账明细接口!$B$541=0,"",[2]对账明细接口!$B$541),"")</f>
      </c>
      <c r="C541" s="16">
        <f>IFERROR(IF([2]对账明细接口!$C$541=0,"",[2]对账明细接口!$C$541),"")</f>
      </c>
      <c r="D541" s="16">
        <f>IFERROR(IF([2]对账明细接口!$D$541=0,"",[2]对账明细接口!$D$541),"")</f>
      </c>
      <c r="E541" s="16">
        <f>IFERROR(IF([2]对账明细接口!$E$541=0,"",[2]对账明细接口!$E$541),"")</f>
      </c>
      <c r="F541" s="16">
        <f>IFERROR(IF([2]对账明细接口!$F$541=0,"",[2]对账明细接口!$F$541),"")</f>
      </c>
      <c r="G541" s="16">
        <f>IFERROR(IF([2]对账明细接口!$G$541=0,"",[2]对账明细接口!$G$541),"")</f>
      </c>
      <c r="H541" s="176">
        <f>IFERROR(IF([2]对账明细接口!$H$541=0,"",[2]对账明细接口!$H$541),"")</f>
      </c>
      <c r="I541" s="16">
        <f>IFERROR(IF([2]对账明细接口!$I$541=0,"",[2]对账明细接口!$I$541),"")</f>
      </c>
      <c r="J541" s="177">
        <f>IFERROR(IF([2]对账明细接口!$J$541=0,"",[2]对账明细接口!$J$541),"")</f>
      </c>
      <c r="K541" s="177">
        <f>IFERROR(IF([2]对账明细接口!$K$541=0,"",[2]对账明细接口!$K$541),"")</f>
      </c>
      <c r="L541" s="16">
        <f>IFERROR(IF([2]对账明细接口!$L$541=0,"",[2]对账明细接口!$L$541),"")</f>
      </c>
      <c r="M541" s="16">
        <f>IFERROR(IF([2]对账明细接口!$M$541=0,"",[2]对账明细接口!$M$541),"")</f>
      </c>
      <c r="N541" s="19">
        <f>IF($C541="",0,1)</f>
        <v>0</v>
      </c>
      <c r="O541" s="19">
        <f>N(O540)+$N541</f>
        <v>272</v>
      </c>
      <c r="S541" s="20">
        <f>IFERROR(IF([2]对账明细接口!$N541=0,"",[2]对账明细接口!$N541),"")</f>
      </c>
      <c r="T541" s="212">
        <f>IFERROR(IF([2]对账明细接口!$O541=0,"",[2]对账明细接口!$O541),"")</f>
      </c>
      <c r="U541" s="212">
        <f>IFERROR(IF([2]对账明细接口!$P541=0,"",[2]对账明细接口!$P541),"")</f>
      </c>
      <c r="V541" s="212">
        <f>IFERROR(IF([2]对账明细接口!$Q541=0,"",[2]对账明细接口!$Q541),"")</f>
      </c>
      <c r="W541" s="20">
        <f>IFERROR(IF([2]对账明细接口!$R541=0,"",[2]对账明细接口!$R541),"")</f>
      </c>
      <c r="X541" s="20">
        <f>IFERROR(IF([2]对账明细接口!$S541=0,"",[2]对账明细接口!$S541),"")</f>
      </c>
      <c r="Y541" s="20">
        <f>""</f>
      </c>
      <c r="Z541" s="20">
        <f>""</f>
      </c>
      <c r="AA541" s="20">
        <f>""</f>
      </c>
      <c r="AB541" s="20">
        <f>""</f>
      </c>
    </row>
    <row r="542" s="127">
      <c r="A542" s="14" t="n">
        <v>542</v>
      </c>
      <c r="B542" s="211">
        <f>IFERROR(IF([2]对账明细接口!$B$542=0,"",[2]对账明细接口!$B$542),"")</f>
      </c>
      <c r="C542" s="16">
        <f>IFERROR(IF([2]对账明细接口!$C$542=0,"",[2]对账明细接口!$C$542),"")</f>
      </c>
      <c r="D542" s="16">
        <f>IFERROR(IF([2]对账明细接口!$D$542=0,"",[2]对账明细接口!$D$542),"")</f>
      </c>
      <c r="E542" s="16">
        <f>IFERROR(IF([2]对账明细接口!$E$542=0,"",[2]对账明细接口!$E$542),"")</f>
      </c>
      <c r="F542" s="16">
        <f>IFERROR(IF([2]对账明细接口!$F$542=0,"",[2]对账明细接口!$F$542),"")</f>
      </c>
      <c r="G542" s="16">
        <f>IFERROR(IF([2]对账明细接口!$G$542=0,"",[2]对账明细接口!$G$542),"")</f>
      </c>
      <c r="H542" s="176">
        <f>IFERROR(IF([2]对账明细接口!$H$542=0,"",[2]对账明细接口!$H$542),"")</f>
      </c>
      <c r="I542" s="16">
        <f>IFERROR(IF([2]对账明细接口!$I$542=0,"",[2]对账明细接口!$I$542),"")</f>
      </c>
      <c r="J542" s="177">
        <f>IFERROR(IF([2]对账明细接口!$J$542=0,"",[2]对账明细接口!$J$542),"")</f>
      </c>
      <c r="K542" s="177">
        <f>IFERROR(IF([2]对账明细接口!$K$542=0,"",[2]对账明细接口!$K$542),"")</f>
      </c>
      <c r="L542" s="16">
        <f>IFERROR(IF([2]对账明细接口!$L$542=0,"",[2]对账明细接口!$L$542),"")</f>
      </c>
      <c r="M542" s="16">
        <f>IFERROR(IF([2]对账明细接口!$M$542=0,"",[2]对账明细接口!$M$542),"")</f>
      </c>
      <c r="N542" s="19">
        <f>IF($C542="",0,1)</f>
        <v>0</v>
      </c>
      <c r="O542" s="19">
        <f>N(O541)+$N542</f>
        <v>272</v>
      </c>
      <c r="S542" s="20">
        <f>IFERROR(IF([2]对账明细接口!$N542=0,"",[2]对账明细接口!$N542),"")</f>
      </c>
      <c r="T542" s="212">
        <f>IFERROR(IF([2]对账明细接口!$O542=0,"",[2]对账明细接口!$O542),"")</f>
      </c>
      <c r="U542" s="212">
        <f>IFERROR(IF([2]对账明细接口!$P542=0,"",[2]对账明细接口!$P542),"")</f>
      </c>
      <c r="V542" s="212">
        <f>IFERROR(IF([2]对账明细接口!$Q542=0,"",[2]对账明细接口!$Q542),"")</f>
      </c>
      <c r="W542" s="20">
        <f>IFERROR(IF([2]对账明细接口!$R542=0,"",[2]对账明细接口!$R542),"")</f>
      </c>
      <c r="X542" s="20">
        <f>IFERROR(IF([2]对账明细接口!$S542=0,"",[2]对账明细接口!$S542),"")</f>
      </c>
      <c r="Y542" s="20">
        <f>""</f>
      </c>
      <c r="Z542" s="20">
        <f>""</f>
      </c>
      <c r="AA542" s="20">
        <f>""</f>
      </c>
      <c r="AB542" s="20">
        <f>""</f>
      </c>
    </row>
    <row r="543" s="127">
      <c r="A543" s="14" t="n">
        <v>543</v>
      </c>
      <c r="B543" s="211">
        <f>IFERROR(IF([2]对账明细接口!$B$543=0,"",[2]对账明细接口!$B$543),"")</f>
      </c>
      <c r="C543" s="16">
        <f>IFERROR(IF([2]对账明细接口!$C$543=0,"",[2]对账明细接口!$C$543),"")</f>
      </c>
      <c r="D543" s="16">
        <f>IFERROR(IF([2]对账明细接口!$D$543=0,"",[2]对账明细接口!$D$543),"")</f>
      </c>
      <c r="E543" s="16">
        <f>IFERROR(IF([2]对账明细接口!$E$543=0,"",[2]对账明细接口!$E$543),"")</f>
      </c>
      <c r="F543" s="16">
        <f>IFERROR(IF([2]对账明细接口!$F$543=0,"",[2]对账明细接口!$F$543),"")</f>
      </c>
      <c r="G543" s="16">
        <f>IFERROR(IF([2]对账明细接口!$G$543=0,"",[2]对账明细接口!$G$543),"")</f>
      </c>
      <c r="H543" s="176">
        <f>IFERROR(IF([2]对账明细接口!$H$543=0,"",[2]对账明细接口!$H$543),"")</f>
      </c>
      <c r="I543" s="16">
        <f>IFERROR(IF([2]对账明细接口!$I$543=0,"",[2]对账明细接口!$I$543),"")</f>
      </c>
      <c r="J543" s="177">
        <f>IFERROR(IF([2]对账明细接口!$J$543=0,"",[2]对账明细接口!$J$543),"")</f>
      </c>
      <c r="K543" s="177">
        <f>IFERROR(IF([2]对账明细接口!$K$543=0,"",[2]对账明细接口!$K$543),"")</f>
      </c>
      <c r="L543" s="16">
        <f>IFERROR(IF([2]对账明细接口!$L$543=0,"",[2]对账明细接口!$L$543),"")</f>
      </c>
      <c r="M543" s="16">
        <f>IFERROR(IF([2]对账明细接口!$M$543=0,"",[2]对账明细接口!$M$543),"")</f>
      </c>
      <c r="N543" s="19">
        <f>IF($C543="",0,1)</f>
        <v>0</v>
      </c>
      <c r="O543" s="19">
        <f>N(O542)+$N543</f>
        <v>272</v>
      </c>
      <c r="S543" s="20">
        <f>IFERROR(IF([2]对账明细接口!$N543=0,"",[2]对账明细接口!$N543),"")</f>
      </c>
      <c r="T543" s="212">
        <f>IFERROR(IF([2]对账明细接口!$O543=0,"",[2]对账明细接口!$O543),"")</f>
      </c>
      <c r="U543" s="212">
        <f>IFERROR(IF([2]对账明细接口!$P543=0,"",[2]对账明细接口!$P543),"")</f>
      </c>
      <c r="V543" s="212">
        <f>IFERROR(IF([2]对账明细接口!$Q543=0,"",[2]对账明细接口!$Q543),"")</f>
      </c>
      <c r="W543" s="20">
        <f>IFERROR(IF([2]对账明细接口!$R543=0,"",[2]对账明细接口!$R543),"")</f>
      </c>
      <c r="X543" s="20">
        <f>IFERROR(IF([2]对账明细接口!$S543=0,"",[2]对账明细接口!$S543),"")</f>
      </c>
      <c r="Y543" s="20">
        <f>""</f>
      </c>
      <c r="Z543" s="20">
        <f>""</f>
      </c>
      <c r="AA543" s="20">
        <f>""</f>
      </c>
      <c r="AB543" s="20">
        <f>""</f>
      </c>
    </row>
    <row r="544" s="127">
      <c r="A544" s="14" t="n">
        <v>544</v>
      </c>
      <c r="B544" s="211">
        <f>IFERROR(IF([2]对账明细接口!$B$544=0,"",[2]对账明细接口!$B$544),"")</f>
      </c>
      <c r="C544" s="16">
        <f>IFERROR(IF([2]对账明细接口!$C$544=0,"",[2]对账明细接口!$C$544),"")</f>
      </c>
      <c r="D544" s="16">
        <f>IFERROR(IF([2]对账明细接口!$D$544=0,"",[2]对账明细接口!$D$544),"")</f>
      </c>
      <c r="E544" s="16">
        <f>IFERROR(IF([2]对账明细接口!$E$544=0,"",[2]对账明细接口!$E$544),"")</f>
      </c>
      <c r="F544" s="16">
        <f>IFERROR(IF([2]对账明细接口!$F$544=0,"",[2]对账明细接口!$F$544),"")</f>
      </c>
      <c r="G544" s="16">
        <f>IFERROR(IF([2]对账明细接口!$G$544=0,"",[2]对账明细接口!$G$544),"")</f>
      </c>
      <c r="H544" s="176">
        <f>IFERROR(IF([2]对账明细接口!$H$544=0,"",[2]对账明细接口!$H$544),"")</f>
      </c>
      <c r="I544" s="16">
        <f>IFERROR(IF([2]对账明细接口!$I$544=0,"",[2]对账明细接口!$I$544),"")</f>
      </c>
      <c r="J544" s="177">
        <f>IFERROR(IF([2]对账明细接口!$J$544=0,"",[2]对账明细接口!$J$544),"")</f>
      </c>
      <c r="K544" s="177">
        <f>IFERROR(IF([2]对账明细接口!$K$544=0,"",[2]对账明细接口!$K$544),"")</f>
      </c>
      <c r="L544" s="16">
        <f>IFERROR(IF([2]对账明细接口!$L$544=0,"",[2]对账明细接口!$L$544),"")</f>
      </c>
      <c r="M544" s="16">
        <f>IFERROR(IF([2]对账明细接口!$M$544=0,"",[2]对账明细接口!$M$544),"")</f>
      </c>
      <c r="N544" s="19">
        <f>IF($C544="",0,1)</f>
        <v>0</v>
      </c>
      <c r="O544" s="19">
        <f>N(O543)+$N544</f>
        <v>272</v>
      </c>
      <c r="S544" s="20">
        <f>IFERROR(IF([2]对账明细接口!$N544=0,"",[2]对账明细接口!$N544),"")</f>
      </c>
      <c r="T544" s="212">
        <f>IFERROR(IF([2]对账明细接口!$O544=0,"",[2]对账明细接口!$O544),"")</f>
      </c>
      <c r="U544" s="212">
        <f>IFERROR(IF([2]对账明细接口!$P544=0,"",[2]对账明细接口!$P544),"")</f>
      </c>
      <c r="V544" s="212">
        <f>IFERROR(IF([2]对账明细接口!$Q544=0,"",[2]对账明细接口!$Q544),"")</f>
      </c>
      <c r="W544" s="20">
        <f>IFERROR(IF([2]对账明细接口!$R544=0,"",[2]对账明细接口!$R544),"")</f>
      </c>
      <c r="X544" s="20">
        <f>IFERROR(IF([2]对账明细接口!$S544=0,"",[2]对账明细接口!$S544),"")</f>
      </c>
      <c r="Y544" s="20">
        <f>""</f>
      </c>
      <c r="Z544" s="20">
        <f>""</f>
      </c>
      <c r="AA544" s="20">
        <f>""</f>
      </c>
      <c r="AB544" s="20">
        <f>""</f>
      </c>
    </row>
    <row r="545" s="127">
      <c r="A545" s="14" t="n">
        <v>545</v>
      </c>
      <c r="B545" s="211">
        <f>IFERROR(IF([2]对账明细接口!$B$545=0,"",[2]对账明细接口!$B$545),"")</f>
      </c>
      <c r="C545" s="16">
        <f>IFERROR(IF([2]对账明细接口!$C$545=0,"",[2]对账明细接口!$C$545),"")</f>
      </c>
      <c r="D545" s="16">
        <f>IFERROR(IF([2]对账明细接口!$D$545=0,"",[2]对账明细接口!$D$545),"")</f>
      </c>
      <c r="E545" s="16">
        <f>IFERROR(IF([2]对账明细接口!$E$545=0,"",[2]对账明细接口!$E$545),"")</f>
      </c>
      <c r="F545" s="16">
        <f>IFERROR(IF([2]对账明细接口!$F$545=0,"",[2]对账明细接口!$F$545),"")</f>
      </c>
      <c r="G545" s="16">
        <f>IFERROR(IF([2]对账明细接口!$G$545=0,"",[2]对账明细接口!$G$545),"")</f>
      </c>
      <c r="H545" s="176">
        <f>IFERROR(IF([2]对账明细接口!$H$545=0,"",[2]对账明细接口!$H$545),"")</f>
      </c>
      <c r="I545" s="16">
        <f>IFERROR(IF([2]对账明细接口!$I$545=0,"",[2]对账明细接口!$I$545),"")</f>
      </c>
      <c r="J545" s="177">
        <f>IFERROR(IF([2]对账明细接口!$J$545=0,"",[2]对账明细接口!$J$545),"")</f>
      </c>
      <c r="K545" s="177">
        <f>IFERROR(IF([2]对账明细接口!$K$545=0,"",[2]对账明细接口!$K$545),"")</f>
      </c>
      <c r="L545" s="16">
        <f>IFERROR(IF([2]对账明细接口!$L$545=0,"",[2]对账明细接口!$L$545),"")</f>
      </c>
      <c r="M545" s="16">
        <f>IFERROR(IF([2]对账明细接口!$M$545=0,"",[2]对账明细接口!$M$545),"")</f>
      </c>
      <c r="N545" s="19">
        <f>IF($C545="",0,1)</f>
        <v>0</v>
      </c>
      <c r="O545" s="19">
        <f>N(O544)+$N545</f>
        <v>272</v>
      </c>
      <c r="S545" s="20">
        <f>IFERROR(IF([2]对账明细接口!$N545=0,"",[2]对账明细接口!$N545),"")</f>
      </c>
      <c r="T545" s="212">
        <f>IFERROR(IF([2]对账明细接口!$O545=0,"",[2]对账明细接口!$O545),"")</f>
      </c>
      <c r="U545" s="212">
        <f>IFERROR(IF([2]对账明细接口!$P545=0,"",[2]对账明细接口!$P545),"")</f>
      </c>
      <c r="V545" s="212">
        <f>IFERROR(IF([2]对账明细接口!$Q545=0,"",[2]对账明细接口!$Q545),"")</f>
      </c>
      <c r="W545" s="20">
        <f>IFERROR(IF([2]对账明细接口!$R545=0,"",[2]对账明细接口!$R545),"")</f>
      </c>
      <c r="X545" s="20">
        <f>IFERROR(IF([2]对账明细接口!$S545=0,"",[2]对账明细接口!$S545),"")</f>
      </c>
      <c r="Y545" s="20">
        <f>""</f>
      </c>
      <c r="Z545" s="20">
        <f>""</f>
      </c>
      <c r="AA545" s="20">
        <f>""</f>
      </c>
      <c r="AB545" s="20">
        <f>""</f>
      </c>
    </row>
    <row r="546" s="127">
      <c r="A546" s="14" t="n">
        <v>546</v>
      </c>
      <c r="B546" s="211">
        <f>IFERROR(IF([2]对账明细接口!$B$546=0,"",[2]对账明细接口!$B$546),"")</f>
      </c>
      <c r="C546" s="16">
        <f>IFERROR(IF([2]对账明细接口!$C$546=0,"",[2]对账明细接口!$C$546),"")</f>
      </c>
      <c r="D546" s="16">
        <f>IFERROR(IF([2]对账明细接口!$D$546=0,"",[2]对账明细接口!$D$546),"")</f>
      </c>
      <c r="E546" s="16">
        <f>IFERROR(IF([2]对账明细接口!$E$546=0,"",[2]对账明细接口!$E$546),"")</f>
      </c>
      <c r="F546" s="16">
        <f>IFERROR(IF([2]对账明细接口!$F$546=0,"",[2]对账明细接口!$F$546),"")</f>
      </c>
      <c r="G546" s="16">
        <f>IFERROR(IF([2]对账明细接口!$G$546=0,"",[2]对账明细接口!$G$546),"")</f>
      </c>
      <c r="H546" s="176">
        <f>IFERROR(IF([2]对账明细接口!$H$546=0,"",[2]对账明细接口!$H$546),"")</f>
      </c>
      <c r="I546" s="16">
        <f>IFERROR(IF([2]对账明细接口!$I$546=0,"",[2]对账明细接口!$I$546),"")</f>
      </c>
      <c r="J546" s="177">
        <f>IFERROR(IF([2]对账明细接口!$J$546=0,"",[2]对账明细接口!$J$546),"")</f>
      </c>
      <c r="K546" s="177">
        <f>IFERROR(IF([2]对账明细接口!$K$546=0,"",[2]对账明细接口!$K$546),"")</f>
      </c>
      <c r="L546" s="16">
        <f>IFERROR(IF([2]对账明细接口!$L$546=0,"",[2]对账明细接口!$L$546),"")</f>
      </c>
      <c r="M546" s="16">
        <f>IFERROR(IF([2]对账明细接口!$M$546=0,"",[2]对账明细接口!$M$546),"")</f>
      </c>
      <c r="N546" s="19">
        <f>IF($C546="",0,1)</f>
        <v>0</v>
      </c>
      <c r="O546" s="19">
        <f>N(O545)+$N546</f>
        <v>272</v>
      </c>
      <c r="S546" s="20">
        <f>IFERROR(IF([2]对账明细接口!$N546=0,"",[2]对账明细接口!$N546),"")</f>
      </c>
      <c r="T546" s="212">
        <f>IFERROR(IF([2]对账明细接口!$O546=0,"",[2]对账明细接口!$O546),"")</f>
      </c>
      <c r="U546" s="212">
        <f>IFERROR(IF([2]对账明细接口!$P546=0,"",[2]对账明细接口!$P546),"")</f>
      </c>
      <c r="V546" s="212">
        <f>IFERROR(IF([2]对账明细接口!$Q546=0,"",[2]对账明细接口!$Q546),"")</f>
      </c>
      <c r="W546" s="20">
        <f>IFERROR(IF([2]对账明细接口!$R546=0,"",[2]对账明细接口!$R546),"")</f>
      </c>
      <c r="X546" s="20">
        <f>IFERROR(IF([2]对账明细接口!$S546=0,"",[2]对账明细接口!$S546),"")</f>
      </c>
      <c r="Y546" s="20">
        <f>""</f>
      </c>
      <c r="Z546" s="20">
        <f>""</f>
      </c>
      <c r="AA546" s="20">
        <f>""</f>
      </c>
      <c r="AB546" s="20">
        <f>""</f>
      </c>
    </row>
    <row r="547" s="127">
      <c r="A547" s="14" t="n">
        <v>547</v>
      </c>
      <c r="B547" s="211">
        <f>IFERROR(IF([2]对账明细接口!$B$547=0,"",[2]对账明细接口!$B$547),"")</f>
      </c>
      <c r="C547" s="16">
        <f>IFERROR(IF([2]对账明细接口!$C$547=0,"",[2]对账明细接口!$C$547),"")</f>
      </c>
      <c r="D547" s="16">
        <f>IFERROR(IF([2]对账明细接口!$D$547=0,"",[2]对账明细接口!$D$547),"")</f>
      </c>
      <c r="E547" s="16">
        <f>IFERROR(IF([2]对账明细接口!$E$547=0,"",[2]对账明细接口!$E$547),"")</f>
      </c>
      <c r="F547" s="16">
        <f>IFERROR(IF([2]对账明细接口!$F$547=0,"",[2]对账明细接口!$F$547),"")</f>
      </c>
      <c r="G547" s="16">
        <f>IFERROR(IF([2]对账明细接口!$G$547=0,"",[2]对账明细接口!$G$547),"")</f>
      </c>
      <c r="H547" s="176">
        <f>IFERROR(IF([2]对账明细接口!$H$547=0,"",[2]对账明细接口!$H$547),"")</f>
      </c>
      <c r="I547" s="16">
        <f>IFERROR(IF([2]对账明细接口!$I$547=0,"",[2]对账明细接口!$I$547),"")</f>
      </c>
      <c r="J547" s="177">
        <f>IFERROR(IF([2]对账明细接口!$J$547=0,"",[2]对账明细接口!$J$547),"")</f>
      </c>
      <c r="K547" s="177">
        <f>IFERROR(IF([2]对账明细接口!$K$547=0,"",[2]对账明细接口!$K$547),"")</f>
      </c>
      <c r="L547" s="16">
        <f>IFERROR(IF([2]对账明细接口!$L$547=0,"",[2]对账明细接口!$L$547),"")</f>
      </c>
      <c r="M547" s="16">
        <f>IFERROR(IF([2]对账明细接口!$M$547=0,"",[2]对账明细接口!$M$547),"")</f>
      </c>
      <c r="N547" s="19">
        <f>IF($C547="",0,1)</f>
        <v>0</v>
      </c>
      <c r="O547" s="19">
        <f>N(O546)+$N547</f>
        <v>272</v>
      </c>
      <c r="S547" s="20">
        <f>IFERROR(IF([2]对账明细接口!$N547=0,"",[2]对账明细接口!$N547),"")</f>
      </c>
      <c r="T547" s="212">
        <f>IFERROR(IF([2]对账明细接口!$O547=0,"",[2]对账明细接口!$O547),"")</f>
      </c>
      <c r="U547" s="212">
        <f>IFERROR(IF([2]对账明细接口!$P547=0,"",[2]对账明细接口!$P547),"")</f>
      </c>
      <c r="V547" s="212">
        <f>IFERROR(IF([2]对账明细接口!$Q547=0,"",[2]对账明细接口!$Q547),"")</f>
      </c>
      <c r="W547" s="20">
        <f>IFERROR(IF([2]对账明细接口!$R547=0,"",[2]对账明细接口!$R547),"")</f>
      </c>
      <c r="X547" s="20">
        <f>IFERROR(IF([2]对账明细接口!$S547=0,"",[2]对账明细接口!$S547),"")</f>
      </c>
      <c r="Y547" s="20">
        <f>""</f>
      </c>
      <c r="Z547" s="20">
        <f>""</f>
      </c>
      <c r="AA547" s="20">
        <f>""</f>
      </c>
      <c r="AB547" s="20">
        <f>""</f>
      </c>
    </row>
    <row r="548" s="127">
      <c r="A548" s="14" t="n">
        <v>548</v>
      </c>
      <c r="B548" s="211">
        <f>IFERROR(IF([2]对账明细接口!$B$548=0,"",[2]对账明细接口!$B$548),"")</f>
      </c>
      <c r="C548" s="16">
        <f>IFERROR(IF([2]对账明细接口!$C$548=0,"",[2]对账明细接口!$C$548),"")</f>
      </c>
      <c r="D548" s="16">
        <f>IFERROR(IF([2]对账明细接口!$D$548=0,"",[2]对账明细接口!$D$548),"")</f>
      </c>
      <c r="E548" s="16">
        <f>IFERROR(IF([2]对账明细接口!$E$548=0,"",[2]对账明细接口!$E$548),"")</f>
      </c>
      <c r="F548" s="16">
        <f>IFERROR(IF([2]对账明细接口!$F$548=0,"",[2]对账明细接口!$F$548),"")</f>
      </c>
      <c r="G548" s="16">
        <f>IFERROR(IF([2]对账明细接口!$G$548=0,"",[2]对账明细接口!$G$548),"")</f>
      </c>
      <c r="H548" s="176">
        <f>IFERROR(IF([2]对账明细接口!$H$548=0,"",[2]对账明细接口!$H$548),"")</f>
      </c>
      <c r="I548" s="16">
        <f>IFERROR(IF([2]对账明细接口!$I$548=0,"",[2]对账明细接口!$I$548),"")</f>
      </c>
      <c r="J548" s="177">
        <f>IFERROR(IF([2]对账明细接口!$J$548=0,"",[2]对账明细接口!$J$548),"")</f>
      </c>
      <c r="K548" s="177">
        <f>IFERROR(IF([2]对账明细接口!$K$548=0,"",[2]对账明细接口!$K$548),"")</f>
      </c>
      <c r="L548" s="16">
        <f>IFERROR(IF([2]对账明细接口!$L$548=0,"",[2]对账明细接口!$L$548),"")</f>
      </c>
      <c r="M548" s="16">
        <f>IFERROR(IF([2]对账明细接口!$M$548=0,"",[2]对账明细接口!$M$548),"")</f>
      </c>
      <c r="N548" s="19">
        <f>IF($C548="",0,1)</f>
        <v>0</v>
      </c>
      <c r="O548" s="19">
        <f>N(O547)+$N548</f>
        <v>272</v>
      </c>
      <c r="S548" s="20">
        <f>IFERROR(IF([2]对账明细接口!$N548=0,"",[2]对账明细接口!$N548),"")</f>
      </c>
      <c r="T548" s="212">
        <f>IFERROR(IF([2]对账明细接口!$O548=0,"",[2]对账明细接口!$O548),"")</f>
      </c>
      <c r="U548" s="212">
        <f>IFERROR(IF([2]对账明细接口!$P548=0,"",[2]对账明细接口!$P548),"")</f>
      </c>
      <c r="V548" s="212">
        <f>IFERROR(IF([2]对账明细接口!$Q548=0,"",[2]对账明细接口!$Q548),"")</f>
      </c>
      <c r="W548" s="20">
        <f>IFERROR(IF([2]对账明细接口!$R548=0,"",[2]对账明细接口!$R548),"")</f>
      </c>
      <c r="X548" s="20">
        <f>IFERROR(IF([2]对账明细接口!$S548=0,"",[2]对账明细接口!$S548),"")</f>
      </c>
      <c r="Y548" s="20">
        <f>""</f>
      </c>
      <c r="Z548" s="20">
        <f>""</f>
      </c>
      <c r="AA548" s="20">
        <f>""</f>
      </c>
      <c r="AB548" s="20">
        <f>""</f>
      </c>
    </row>
    <row r="549" s="127">
      <c r="A549" s="14" t="n">
        <v>549</v>
      </c>
      <c r="B549" s="211">
        <f>IFERROR(IF([2]对账明细接口!$B$549=0,"",[2]对账明细接口!$B$549),"")</f>
      </c>
      <c r="C549" s="16">
        <f>IFERROR(IF([2]对账明细接口!$C$549=0,"",[2]对账明细接口!$C$549),"")</f>
      </c>
      <c r="D549" s="16">
        <f>IFERROR(IF([2]对账明细接口!$D$549=0,"",[2]对账明细接口!$D$549),"")</f>
      </c>
      <c r="E549" s="16">
        <f>IFERROR(IF([2]对账明细接口!$E$549=0,"",[2]对账明细接口!$E$549),"")</f>
      </c>
      <c r="F549" s="16">
        <f>IFERROR(IF([2]对账明细接口!$F$549=0,"",[2]对账明细接口!$F$549),"")</f>
      </c>
      <c r="G549" s="16">
        <f>IFERROR(IF([2]对账明细接口!$G$549=0,"",[2]对账明细接口!$G$549),"")</f>
      </c>
      <c r="H549" s="176">
        <f>IFERROR(IF([2]对账明细接口!$H$549=0,"",[2]对账明细接口!$H$549),"")</f>
      </c>
      <c r="I549" s="16">
        <f>IFERROR(IF([2]对账明细接口!$I$549=0,"",[2]对账明细接口!$I$549),"")</f>
      </c>
      <c r="J549" s="177">
        <f>IFERROR(IF([2]对账明细接口!$J$549=0,"",[2]对账明细接口!$J$549),"")</f>
      </c>
      <c r="K549" s="177">
        <f>IFERROR(IF([2]对账明细接口!$K$549=0,"",[2]对账明细接口!$K$549),"")</f>
      </c>
      <c r="L549" s="16">
        <f>IFERROR(IF([2]对账明细接口!$L$549=0,"",[2]对账明细接口!$L$549),"")</f>
      </c>
      <c r="M549" s="16">
        <f>IFERROR(IF([2]对账明细接口!$M$549=0,"",[2]对账明细接口!$M$549),"")</f>
      </c>
      <c r="N549" s="19">
        <f>IF($C549="",0,1)</f>
        <v>0</v>
      </c>
      <c r="O549" s="19">
        <f>N(O548)+$N549</f>
        <v>272</v>
      </c>
      <c r="S549" s="20">
        <f>IFERROR(IF([2]对账明细接口!$N549=0,"",[2]对账明细接口!$N549),"")</f>
      </c>
      <c r="T549" s="212">
        <f>IFERROR(IF([2]对账明细接口!$O549=0,"",[2]对账明细接口!$O549),"")</f>
      </c>
      <c r="U549" s="212">
        <f>IFERROR(IF([2]对账明细接口!$P549=0,"",[2]对账明细接口!$P549),"")</f>
      </c>
      <c r="V549" s="212">
        <f>IFERROR(IF([2]对账明细接口!$Q549=0,"",[2]对账明细接口!$Q549),"")</f>
      </c>
      <c r="W549" s="20">
        <f>IFERROR(IF([2]对账明细接口!$R549=0,"",[2]对账明细接口!$R549),"")</f>
      </c>
      <c r="X549" s="20">
        <f>IFERROR(IF([2]对账明细接口!$S549=0,"",[2]对账明细接口!$S549),"")</f>
      </c>
      <c r="Y549" s="20">
        <f>""</f>
      </c>
      <c r="Z549" s="20">
        <f>""</f>
      </c>
      <c r="AA549" s="20">
        <f>""</f>
      </c>
      <c r="AB549" s="20">
        <f>""</f>
      </c>
    </row>
    <row r="550" s="127">
      <c r="A550" s="14" t="n">
        <v>550</v>
      </c>
      <c r="B550" s="211">
        <f>IFERROR(IF([2]对账明细接口!$B$550=0,"",[2]对账明细接口!$B$550),"")</f>
      </c>
      <c r="C550" s="16">
        <f>IFERROR(IF([2]对账明细接口!$C$550=0,"",[2]对账明细接口!$C$550),"")</f>
      </c>
      <c r="D550" s="16">
        <f>IFERROR(IF([2]对账明细接口!$D$550=0,"",[2]对账明细接口!$D$550),"")</f>
      </c>
      <c r="E550" s="16">
        <f>IFERROR(IF([2]对账明细接口!$E$550=0,"",[2]对账明细接口!$E$550),"")</f>
      </c>
      <c r="F550" s="16">
        <f>IFERROR(IF([2]对账明细接口!$F$550=0,"",[2]对账明细接口!$F$550),"")</f>
      </c>
      <c r="G550" s="16">
        <f>IFERROR(IF([2]对账明细接口!$G$550=0,"",[2]对账明细接口!$G$550),"")</f>
      </c>
      <c r="H550" s="176">
        <f>IFERROR(IF([2]对账明细接口!$H$550=0,"",[2]对账明细接口!$H$550),"")</f>
      </c>
      <c r="I550" s="16">
        <f>IFERROR(IF([2]对账明细接口!$I$550=0,"",[2]对账明细接口!$I$550),"")</f>
      </c>
      <c r="J550" s="177">
        <f>IFERROR(IF([2]对账明细接口!$J$550=0,"",[2]对账明细接口!$J$550),"")</f>
      </c>
      <c r="K550" s="177">
        <f>IFERROR(IF([2]对账明细接口!$K$550=0,"",[2]对账明细接口!$K$550),"")</f>
      </c>
      <c r="L550" s="16">
        <f>IFERROR(IF([2]对账明细接口!$L$550=0,"",[2]对账明细接口!$L$550),"")</f>
      </c>
      <c r="M550" s="16">
        <f>IFERROR(IF([2]对账明细接口!$M$550=0,"",[2]对账明细接口!$M$550),"")</f>
      </c>
      <c r="N550" s="19">
        <f>IF($C550="",0,1)</f>
        <v>0</v>
      </c>
      <c r="O550" s="19">
        <f>N(O549)+$N550</f>
        <v>272</v>
      </c>
      <c r="S550" s="20">
        <f>IFERROR(IF([2]对账明细接口!$N550=0,"",[2]对账明细接口!$N550),"")</f>
      </c>
      <c r="T550" s="212">
        <f>IFERROR(IF([2]对账明细接口!$O550=0,"",[2]对账明细接口!$O550),"")</f>
      </c>
      <c r="U550" s="212">
        <f>IFERROR(IF([2]对账明细接口!$P550=0,"",[2]对账明细接口!$P550),"")</f>
      </c>
      <c r="V550" s="212">
        <f>IFERROR(IF([2]对账明细接口!$Q550=0,"",[2]对账明细接口!$Q550),"")</f>
      </c>
      <c r="W550" s="20">
        <f>IFERROR(IF([2]对账明细接口!$R550=0,"",[2]对账明细接口!$R550),"")</f>
      </c>
      <c r="X550" s="20">
        <f>IFERROR(IF([2]对账明细接口!$S550=0,"",[2]对账明细接口!$S550),"")</f>
      </c>
      <c r="Y550" s="20">
        <f>""</f>
      </c>
      <c r="Z550" s="20">
        <f>""</f>
      </c>
      <c r="AA550" s="20">
        <f>""</f>
      </c>
      <c r="AB550" s="20">
        <f>""</f>
      </c>
    </row>
    <row r="551" s="127">
      <c r="A551" s="14" t="n">
        <v>551</v>
      </c>
      <c r="B551" s="211">
        <f>IFERROR(IF([2]对账明细接口!$B$551=0,"",[2]对账明细接口!$B$551),"")</f>
      </c>
      <c r="C551" s="16">
        <f>IFERROR(IF([2]对账明细接口!$C$551=0,"",[2]对账明细接口!$C$551),"")</f>
      </c>
      <c r="D551" s="16">
        <f>IFERROR(IF([2]对账明细接口!$D$551=0,"",[2]对账明细接口!$D$551),"")</f>
      </c>
      <c r="E551" s="16">
        <f>IFERROR(IF([2]对账明细接口!$E$551=0,"",[2]对账明细接口!$E$551),"")</f>
      </c>
      <c r="F551" s="16">
        <f>IFERROR(IF([2]对账明细接口!$F$551=0,"",[2]对账明细接口!$F$551),"")</f>
      </c>
      <c r="G551" s="16">
        <f>IFERROR(IF([2]对账明细接口!$G$551=0,"",[2]对账明细接口!$G$551),"")</f>
      </c>
      <c r="H551" s="176">
        <f>IFERROR(IF([2]对账明细接口!$H$551=0,"",[2]对账明细接口!$H$551),"")</f>
      </c>
      <c r="I551" s="16">
        <f>IFERROR(IF([2]对账明细接口!$I$551=0,"",[2]对账明细接口!$I$551),"")</f>
      </c>
      <c r="J551" s="177">
        <f>IFERROR(IF([2]对账明细接口!$J$551=0,"",[2]对账明细接口!$J$551),"")</f>
      </c>
      <c r="K551" s="177">
        <f>IFERROR(IF([2]对账明细接口!$K$551=0,"",[2]对账明细接口!$K$551),"")</f>
      </c>
      <c r="L551" s="16">
        <f>IFERROR(IF([2]对账明细接口!$L$551=0,"",[2]对账明细接口!$L$551),"")</f>
      </c>
      <c r="M551" s="16">
        <f>IFERROR(IF([2]对账明细接口!$M$551=0,"",[2]对账明细接口!$M$551),"")</f>
      </c>
      <c r="N551" s="19">
        <f>IF($C551="",0,1)</f>
        <v>0</v>
      </c>
      <c r="O551" s="19">
        <f>N(O550)+$N551</f>
        <v>272</v>
      </c>
      <c r="S551" s="20">
        <f>IFERROR(IF([2]对账明细接口!$N551=0,"",[2]对账明细接口!$N551),"")</f>
      </c>
      <c r="T551" s="212">
        <f>IFERROR(IF([2]对账明细接口!$O551=0,"",[2]对账明细接口!$O551),"")</f>
      </c>
      <c r="U551" s="212">
        <f>IFERROR(IF([2]对账明细接口!$P551=0,"",[2]对账明细接口!$P551),"")</f>
      </c>
      <c r="V551" s="212">
        <f>IFERROR(IF([2]对账明细接口!$Q551=0,"",[2]对账明细接口!$Q551),"")</f>
      </c>
      <c r="W551" s="20">
        <f>IFERROR(IF([2]对账明细接口!$R551=0,"",[2]对账明细接口!$R551),"")</f>
      </c>
      <c r="X551" s="20">
        <f>IFERROR(IF([2]对账明细接口!$S551=0,"",[2]对账明细接口!$S551),"")</f>
      </c>
      <c r="Y551" s="20">
        <f>""</f>
      </c>
      <c r="Z551" s="20">
        <f>""</f>
      </c>
      <c r="AA551" s="20">
        <f>""</f>
      </c>
      <c r="AB551" s="20">
        <f>""</f>
      </c>
    </row>
    <row r="552" s="127">
      <c r="A552" s="14" t="n">
        <v>552</v>
      </c>
      <c r="B552" s="211">
        <f>IFERROR(IF([2]对账明细接口!$B$552=0,"",[2]对账明细接口!$B$552),"")</f>
      </c>
      <c r="C552" s="16">
        <f>IFERROR(IF([2]对账明细接口!$C$552=0,"",[2]对账明细接口!$C$552),"")</f>
      </c>
      <c r="D552" s="16">
        <f>IFERROR(IF([2]对账明细接口!$D$552=0,"",[2]对账明细接口!$D$552),"")</f>
      </c>
      <c r="E552" s="16">
        <f>IFERROR(IF([2]对账明细接口!$E$552=0,"",[2]对账明细接口!$E$552),"")</f>
      </c>
      <c r="F552" s="16">
        <f>IFERROR(IF([2]对账明细接口!$F$552=0,"",[2]对账明细接口!$F$552),"")</f>
      </c>
      <c r="G552" s="16">
        <f>IFERROR(IF([2]对账明细接口!$G$552=0,"",[2]对账明细接口!$G$552),"")</f>
      </c>
      <c r="H552" s="176">
        <f>IFERROR(IF([2]对账明细接口!$H$552=0,"",[2]对账明细接口!$H$552),"")</f>
      </c>
      <c r="I552" s="16">
        <f>IFERROR(IF([2]对账明细接口!$I$552=0,"",[2]对账明细接口!$I$552),"")</f>
      </c>
      <c r="J552" s="177">
        <f>IFERROR(IF([2]对账明细接口!$J$552=0,"",[2]对账明细接口!$J$552),"")</f>
      </c>
      <c r="K552" s="177">
        <f>IFERROR(IF([2]对账明细接口!$K$552=0,"",[2]对账明细接口!$K$552),"")</f>
      </c>
      <c r="L552" s="16">
        <f>IFERROR(IF([2]对账明细接口!$L$552=0,"",[2]对账明细接口!$L$552),"")</f>
      </c>
      <c r="M552" s="16">
        <f>IFERROR(IF([2]对账明细接口!$M$552=0,"",[2]对账明细接口!$M$552),"")</f>
      </c>
      <c r="N552" s="19">
        <f>IF($C552="",0,1)</f>
        <v>0</v>
      </c>
      <c r="O552" s="19">
        <f>N(O551)+$N552</f>
        <v>272</v>
      </c>
      <c r="S552" s="20">
        <f>IFERROR(IF([2]对账明细接口!$N552=0,"",[2]对账明细接口!$N552),"")</f>
      </c>
      <c r="T552" s="212">
        <f>IFERROR(IF([2]对账明细接口!$O552=0,"",[2]对账明细接口!$O552),"")</f>
      </c>
      <c r="U552" s="212">
        <f>IFERROR(IF([2]对账明细接口!$P552=0,"",[2]对账明细接口!$P552),"")</f>
      </c>
      <c r="V552" s="212">
        <f>IFERROR(IF([2]对账明细接口!$Q552=0,"",[2]对账明细接口!$Q552),"")</f>
      </c>
      <c r="W552" s="20">
        <f>IFERROR(IF([2]对账明细接口!$R552=0,"",[2]对账明细接口!$R552),"")</f>
      </c>
      <c r="X552" s="20">
        <f>IFERROR(IF([2]对账明细接口!$S552=0,"",[2]对账明细接口!$S552),"")</f>
      </c>
      <c r="Y552" s="20">
        <f>""</f>
      </c>
      <c r="Z552" s="20">
        <f>""</f>
      </c>
      <c r="AA552" s="20">
        <f>""</f>
      </c>
      <c r="AB552" s="20">
        <f>""</f>
      </c>
    </row>
    <row r="553" s="127">
      <c r="A553" s="14" t="n">
        <v>553</v>
      </c>
      <c r="B553" s="211">
        <f>IFERROR(IF([2]对账明细接口!$B$553=0,"",[2]对账明细接口!$B$553),"")</f>
      </c>
      <c r="C553" s="16">
        <f>IFERROR(IF([2]对账明细接口!$C$553=0,"",[2]对账明细接口!$C$553),"")</f>
      </c>
      <c r="D553" s="16">
        <f>IFERROR(IF([2]对账明细接口!$D$553=0,"",[2]对账明细接口!$D$553),"")</f>
      </c>
      <c r="E553" s="16">
        <f>IFERROR(IF([2]对账明细接口!$E$553=0,"",[2]对账明细接口!$E$553),"")</f>
      </c>
      <c r="F553" s="16">
        <f>IFERROR(IF([2]对账明细接口!$F$553=0,"",[2]对账明细接口!$F$553),"")</f>
      </c>
      <c r="G553" s="16">
        <f>IFERROR(IF([2]对账明细接口!$G$553=0,"",[2]对账明细接口!$G$553),"")</f>
      </c>
      <c r="H553" s="176">
        <f>IFERROR(IF([2]对账明细接口!$H$553=0,"",[2]对账明细接口!$H$553),"")</f>
      </c>
      <c r="I553" s="16">
        <f>IFERROR(IF([2]对账明细接口!$I$553=0,"",[2]对账明细接口!$I$553),"")</f>
      </c>
      <c r="J553" s="177">
        <f>IFERROR(IF([2]对账明细接口!$J$553=0,"",[2]对账明细接口!$J$553),"")</f>
      </c>
      <c r="K553" s="177">
        <f>IFERROR(IF([2]对账明细接口!$K$553=0,"",[2]对账明细接口!$K$553),"")</f>
      </c>
      <c r="L553" s="16">
        <f>IFERROR(IF([2]对账明细接口!$L$553=0,"",[2]对账明细接口!$L$553),"")</f>
      </c>
      <c r="M553" s="16">
        <f>IFERROR(IF([2]对账明细接口!$M$553=0,"",[2]对账明细接口!$M$553),"")</f>
      </c>
      <c r="N553" s="19">
        <f>IF($C553="",0,1)</f>
        <v>0</v>
      </c>
      <c r="O553" s="19">
        <f>N(O552)+$N553</f>
        <v>272</v>
      </c>
      <c r="S553" s="20">
        <f>IFERROR(IF([2]对账明细接口!$N553=0,"",[2]对账明细接口!$N553),"")</f>
      </c>
      <c r="T553" s="212">
        <f>IFERROR(IF([2]对账明细接口!$O553=0,"",[2]对账明细接口!$O553),"")</f>
      </c>
      <c r="U553" s="212">
        <f>IFERROR(IF([2]对账明细接口!$P553=0,"",[2]对账明细接口!$P553),"")</f>
      </c>
      <c r="V553" s="212">
        <f>IFERROR(IF([2]对账明细接口!$Q553=0,"",[2]对账明细接口!$Q553),"")</f>
      </c>
      <c r="W553" s="20">
        <f>IFERROR(IF([2]对账明细接口!$R553=0,"",[2]对账明细接口!$R553),"")</f>
      </c>
      <c r="X553" s="20">
        <f>IFERROR(IF([2]对账明细接口!$S553=0,"",[2]对账明细接口!$S553),"")</f>
      </c>
      <c r="Y553" s="20">
        <f>""</f>
      </c>
      <c r="Z553" s="20">
        <f>""</f>
      </c>
      <c r="AA553" s="20">
        <f>""</f>
      </c>
      <c r="AB553" s="20">
        <f>""</f>
      </c>
    </row>
    <row r="554" s="127">
      <c r="A554" s="14" t="n">
        <v>554</v>
      </c>
      <c r="B554" s="211">
        <f>IFERROR(IF([2]对账明细接口!$B$554=0,"",[2]对账明细接口!$B$554),"")</f>
      </c>
      <c r="C554" s="16">
        <f>IFERROR(IF([2]对账明细接口!$C$554=0,"",[2]对账明细接口!$C$554),"")</f>
      </c>
      <c r="D554" s="16">
        <f>IFERROR(IF([2]对账明细接口!$D$554=0,"",[2]对账明细接口!$D$554),"")</f>
      </c>
      <c r="E554" s="16">
        <f>IFERROR(IF([2]对账明细接口!$E$554=0,"",[2]对账明细接口!$E$554),"")</f>
      </c>
      <c r="F554" s="16">
        <f>IFERROR(IF([2]对账明细接口!$F$554=0,"",[2]对账明细接口!$F$554),"")</f>
      </c>
      <c r="G554" s="16">
        <f>IFERROR(IF([2]对账明细接口!$G$554=0,"",[2]对账明细接口!$G$554),"")</f>
      </c>
      <c r="H554" s="176">
        <f>IFERROR(IF([2]对账明细接口!$H$554=0,"",[2]对账明细接口!$H$554),"")</f>
      </c>
      <c r="I554" s="16">
        <f>IFERROR(IF([2]对账明细接口!$I$554=0,"",[2]对账明细接口!$I$554),"")</f>
      </c>
      <c r="J554" s="177">
        <f>IFERROR(IF([2]对账明细接口!$J$554=0,"",[2]对账明细接口!$J$554),"")</f>
      </c>
      <c r="K554" s="177">
        <f>IFERROR(IF([2]对账明细接口!$K$554=0,"",[2]对账明细接口!$K$554),"")</f>
      </c>
      <c r="L554" s="16">
        <f>IFERROR(IF([2]对账明细接口!$L$554=0,"",[2]对账明细接口!$L$554),"")</f>
      </c>
      <c r="M554" s="16">
        <f>IFERROR(IF([2]对账明细接口!$M$554=0,"",[2]对账明细接口!$M$554),"")</f>
      </c>
      <c r="N554" s="19">
        <f>IF($C554="",0,1)</f>
        <v>0</v>
      </c>
      <c r="O554" s="19">
        <f>N(O553)+$N554</f>
        <v>272</v>
      </c>
      <c r="S554" s="20">
        <f>IFERROR(IF([2]对账明细接口!$N554=0,"",[2]对账明细接口!$N554),"")</f>
      </c>
      <c r="T554" s="212">
        <f>IFERROR(IF([2]对账明细接口!$O554=0,"",[2]对账明细接口!$O554),"")</f>
      </c>
      <c r="U554" s="212">
        <f>IFERROR(IF([2]对账明细接口!$P554=0,"",[2]对账明细接口!$P554),"")</f>
      </c>
      <c r="V554" s="212">
        <f>IFERROR(IF([2]对账明细接口!$Q554=0,"",[2]对账明细接口!$Q554),"")</f>
      </c>
      <c r="W554" s="20">
        <f>IFERROR(IF([2]对账明细接口!$R554=0,"",[2]对账明细接口!$R554),"")</f>
      </c>
      <c r="X554" s="20">
        <f>IFERROR(IF([2]对账明细接口!$S554=0,"",[2]对账明细接口!$S554),"")</f>
      </c>
      <c r="Y554" s="20">
        <f>""</f>
      </c>
      <c r="Z554" s="20">
        <f>""</f>
      </c>
      <c r="AA554" s="20">
        <f>""</f>
      </c>
      <c r="AB554" s="20">
        <f>""</f>
      </c>
    </row>
    <row r="555" s="127">
      <c r="A555" s="14" t="n">
        <v>555</v>
      </c>
      <c r="B555" s="211">
        <f>IFERROR(IF([2]对账明细接口!$B$555=0,"",[2]对账明细接口!$B$555),"")</f>
      </c>
      <c r="C555" s="16">
        <f>IFERROR(IF([2]对账明细接口!$C$555=0,"",[2]对账明细接口!$C$555),"")</f>
      </c>
      <c r="D555" s="16">
        <f>IFERROR(IF([2]对账明细接口!$D$555=0,"",[2]对账明细接口!$D$555),"")</f>
      </c>
      <c r="E555" s="16">
        <f>IFERROR(IF([2]对账明细接口!$E$555=0,"",[2]对账明细接口!$E$555),"")</f>
      </c>
      <c r="F555" s="16">
        <f>IFERROR(IF([2]对账明细接口!$F$555=0,"",[2]对账明细接口!$F$555),"")</f>
      </c>
      <c r="G555" s="16">
        <f>IFERROR(IF([2]对账明细接口!$G$555=0,"",[2]对账明细接口!$G$555),"")</f>
      </c>
      <c r="H555" s="176">
        <f>IFERROR(IF([2]对账明细接口!$H$555=0,"",[2]对账明细接口!$H$555),"")</f>
      </c>
      <c r="I555" s="16">
        <f>IFERROR(IF([2]对账明细接口!$I$555=0,"",[2]对账明细接口!$I$555),"")</f>
      </c>
      <c r="J555" s="177">
        <f>IFERROR(IF([2]对账明细接口!$J$555=0,"",[2]对账明细接口!$J$555),"")</f>
      </c>
      <c r="K555" s="177">
        <f>IFERROR(IF([2]对账明细接口!$K$555=0,"",[2]对账明细接口!$K$555),"")</f>
      </c>
      <c r="L555" s="16">
        <f>IFERROR(IF([2]对账明细接口!$L$555=0,"",[2]对账明细接口!$L$555),"")</f>
      </c>
      <c r="M555" s="16">
        <f>IFERROR(IF([2]对账明细接口!$M$555=0,"",[2]对账明细接口!$M$555),"")</f>
      </c>
      <c r="N555" s="19">
        <f>IF($C555="",0,1)</f>
        <v>0</v>
      </c>
      <c r="O555" s="19">
        <f>N(O554)+$N555</f>
        <v>272</v>
      </c>
      <c r="S555" s="20">
        <f>IFERROR(IF([2]对账明细接口!$N555=0,"",[2]对账明细接口!$N555),"")</f>
      </c>
      <c r="T555" s="212">
        <f>IFERROR(IF([2]对账明细接口!$O555=0,"",[2]对账明细接口!$O555),"")</f>
      </c>
      <c r="U555" s="212">
        <f>IFERROR(IF([2]对账明细接口!$P555=0,"",[2]对账明细接口!$P555),"")</f>
      </c>
      <c r="V555" s="212">
        <f>IFERROR(IF([2]对账明细接口!$Q555=0,"",[2]对账明细接口!$Q555),"")</f>
      </c>
      <c r="W555" s="20">
        <f>IFERROR(IF([2]对账明细接口!$R555=0,"",[2]对账明细接口!$R555),"")</f>
      </c>
      <c r="X555" s="20">
        <f>IFERROR(IF([2]对账明细接口!$S555=0,"",[2]对账明细接口!$S555),"")</f>
      </c>
      <c r="Y555" s="20">
        <f>""</f>
      </c>
      <c r="Z555" s="20">
        <f>""</f>
      </c>
      <c r="AA555" s="20">
        <f>""</f>
      </c>
      <c r="AB555" s="20">
        <f>""</f>
      </c>
    </row>
    <row r="556" s="127">
      <c r="A556" s="14" t="n">
        <v>556</v>
      </c>
      <c r="B556" s="211">
        <f>IFERROR(IF([2]对账明细接口!$B$556=0,"",[2]对账明细接口!$B$556),"")</f>
      </c>
      <c r="C556" s="16">
        <f>IFERROR(IF([2]对账明细接口!$C$556=0,"",[2]对账明细接口!$C$556),"")</f>
      </c>
      <c r="D556" s="16">
        <f>IFERROR(IF([2]对账明细接口!$D$556=0,"",[2]对账明细接口!$D$556),"")</f>
      </c>
      <c r="E556" s="16">
        <f>IFERROR(IF([2]对账明细接口!$E$556=0,"",[2]对账明细接口!$E$556),"")</f>
      </c>
      <c r="F556" s="16">
        <f>IFERROR(IF([2]对账明细接口!$F$556=0,"",[2]对账明细接口!$F$556),"")</f>
      </c>
      <c r="G556" s="16">
        <f>IFERROR(IF([2]对账明细接口!$G$556=0,"",[2]对账明细接口!$G$556),"")</f>
      </c>
      <c r="H556" s="176">
        <f>IFERROR(IF([2]对账明细接口!$H$556=0,"",[2]对账明细接口!$H$556),"")</f>
      </c>
      <c r="I556" s="16">
        <f>IFERROR(IF([2]对账明细接口!$I$556=0,"",[2]对账明细接口!$I$556),"")</f>
      </c>
      <c r="J556" s="177">
        <f>IFERROR(IF([2]对账明细接口!$J$556=0,"",[2]对账明细接口!$J$556),"")</f>
      </c>
      <c r="K556" s="177">
        <f>IFERROR(IF([2]对账明细接口!$K$556=0,"",[2]对账明细接口!$K$556),"")</f>
      </c>
      <c r="L556" s="16">
        <f>IFERROR(IF([2]对账明细接口!$L$556=0,"",[2]对账明细接口!$L$556),"")</f>
      </c>
      <c r="M556" s="16">
        <f>IFERROR(IF([2]对账明细接口!$M$556=0,"",[2]对账明细接口!$M$556),"")</f>
      </c>
      <c r="N556" s="19">
        <f>IF($C556="",0,1)</f>
        <v>0</v>
      </c>
      <c r="O556" s="19">
        <f>N(O555)+$N556</f>
        <v>272</v>
      </c>
      <c r="S556" s="20">
        <f>IFERROR(IF([2]对账明细接口!$N556=0,"",[2]对账明细接口!$N556),"")</f>
      </c>
      <c r="T556" s="212">
        <f>IFERROR(IF([2]对账明细接口!$O556=0,"",[2]对账明细接口!$O556),"")</f>
      </c>
      <c r="U556" s="212">
        <f>IFERROR(IF([2]对账明细接口!$P556=0,"",[2]对账明细接口!$P556),"")</f>
      </c>
      <c r="V556" s="212">
        <f>IFERROR(IF([2]对账明细接口!$Q556=0,"",[2]对账明细接口!$Q556),"")</f>
      </c>
      <c r="W556" s="20">
        <f>IFERROR(IF([2]对账明细接口!$R556=0,"",[2]对账明细接口!$R556),"")</f>
      </c>
      <c r="X556" s="20">
        <f>IFERROR(IF([2]对账明细接口!$S556=0,"",[2]对账明细接口!$S556),"")</f>
      </c>
      <c r="Y556" s="20">
        <f>""</f>
      </c>
      <c r="Z556" s="20">
        <f>""</f>
      </c>
      <c r="AA556" s="20">
        <f>""</f>
      </c>
      <c r="AB556" s="20">
        <f>""</f>
      </c>
    </row>
    <row r="557" s="127">
      <c r="A557" s="14" t="n">
        <v>557</v>
      </c>
      <c r="B557" s="211">
        <f>IFERROR(IF([2]对账明细接口!$B$557=0,"",[2]对账明细接口!$B$557),"")</f>
      </c>
      <c r="C557" s="16">
        <f>IFERROR(IF([2]对账明细接口!$C$557=0,"",[2]对账明细接口!$C$557),"")</f>
      </c>
      <c r="D557" s="16">
        <f>IFERROR(IF([2]对账明细接口!$D$557=0,"",[2]对账明细接口!$D$557),"")</f>
      </c>
      <c r="E557" s="16">
        <f>IFERROR(IF([2]对账明细接口!$E$557=0,"",[2]对账明细接口!$E$557),"")</f>
      </c>
      <c r="F557" s="16">
        <f>IFERROR(IF([2]对账明细接口!$F$557=0,"",[2]对账明细接口!$F$557),"")</f>
      </c>
      <c r="G557" s="16">
        <f>IFERROR(IF([2]对账明细接口!$G$557=0,"",[2]对账明细接口!$G$557),"")</f>
      </c>
      <c r="H557" s="176">
        <f>IFERROR(IF([2]对账明细接口!$H$557=0,"",[2]对账明细接口!$H$557),"")</f>
      </c>
      <c r="I557" s="16">
        <f>IFERROR(IF([2]对账明细接口!$I$557=0,"",[2]对账明细接口!$I$557),"")</f>
      </c>
      <c r="J557" s="177">
        <f>IFERROR(IF([2]对账明细接口!$J$557=0,"",[2]对账明细接口!$J$557),"")</f>
      </c>
      <c r="K557" s="177">
        <f>IFERROR(IF([2]对账明细接口!$K$557=0,"",[2]对账明细接口!$K$557),"")</f>
      </c>
      <c r="L557" s="16">
        <f>IFERROR(IF([2]对账明细接口!$L$557=0,"",[2]对账明细接口!$L$557),"")</f>
      </c>
      <c r="M557" s="16">
        <f>IFERROR(IF([2]对账明细接口!$M$557=0,"",[2]对账明细接口!$M$557),"")</f>
      </c>
      <c r="N557" s="19">
        <f>IF($C557="",0,1)</f>
        <v>0</v>
      </c>
      <c r="O557" s="19">
        <f>N(O556)+$N557</f>
        <v>272</v>
      </c>
      <c r="S557" s="20">
        <f>IFERROR(IF([2]对账明细接口!$N557=0,"",[2]对账明细接口!$N557),"")</f>
      </c>
      <c r="T557" s="212">
        <f>IFERROR(IF([2]对账明细接口!$O557=0,"",[2]对账明细接口!$O557),"")</f>
      </c>
      <c r="U557" s="212">
        <f>IFERROR(IF([2]对账明细接口!$P557=0,"",[2]对账明细接口!$P557),"")</f>
      </c>
      <c r="V557" s="212">
        <f>IFERROR(IF([2]对账明细接口!$Q557=0,"",[2]对账明细接口!$Q557),"")</f>
      </c>
      <c r="W557" s="20">
        <f>IFERROR(IF([2]对账明细接口!$R557=0,"",[2]对账明细接口!$R557),"")</f>
      </c>
      <c r="X557" s="20">
        <f>IFERROR(IF([2]对账明细接口!$S557=0,"",[2]对账明细接口!$S557),"")</f>
      </c>
      <c r="Y557" s="20">
        <f>""</f>
      </c>
      <c r="Z557" s="20">
        <f>""</f>
      </c>
      <c r="AA557" s="20">
        <f>""</f>
      </c>
      <c r="AB557" s="20">
        <f>""</f>
      </c>
    </row>
    <row r="558" s="127">
      <c r="A558" s="14" t="n">
        <v>558</v>
      </c>
      <c r="B558" s="211">
        <f>IFERROR(IF([2]对账明细接口!$B$558=0,"",[2]对账明细接口!$B$558),"")</f>
      </c>
      <c r="C558" s="16">
        <f>IFERROR(IF([2]对账明细接口!$C$558=0,"",[2]对账明细接口!$C$558),"")</f>
      </c>
      <c r="D558" s="16">
        <f>IFERROR(IF([2]对账明细接口!$D$558=0,"",[2]对账明细接口!$D$558),"")</f>
      </c>
      <c r="E558" s="16">
        <f>IFERROR(IF([2]对账明细接口!$E$558=0,"",[2]对账明细接口!$E$558),"")</f>
      </c>
      <c r="F558" s="16">
        <f>IFERROR(IF([2]对账明细接口!$F$558=0,"",[2]对账明细接口!$F$558),"")</f>
      </c>
      <c r="G558" s="16">
        <f>IFERROR(IF([2]对账明细接口!$G$558=0,"",[2]对账明细接口!$G$558),"")</f>
      </c>
      <c r="H558" s="176">
        <f>IFERROR(IF([2]对账明细接口!$H$558=0,"",[2]对账明细接口!$H$558),"")</f>
      </c>
      <c r="I558" s="16">
        <f>IFERROR(IF([2]对账明细接口!$I$558=0,"",[2]对账明细接口!$I$558),"")</f>
      </c>
      <c r="J558" s="177">
        <f>IFERROR(IF([2]对账明细接口!$J$558=0,"",[2]对账明细接口!$J$558),"")</f>
      </c>
      <c r="K558" s="177">
        <f>IFERROR(IF([2]对账明细接口!$K$558=0,"",[2]对账明细接口!$K$558),"")</f>
      </c>
      <c r="L558" s="16">
        <f>IFERROR(IF([2]对账明细接口!$L$558=0,"",[2]对账明细接口!$L$558),"")</f>
      </c>
      <c r="M558" s="16">
        <f>IFERROR(IF([2]对账明细接口!$M$558=0,"",[2]对账明细接口!$M$558),"")</f>
      </c>
      <c r="N558" s="19">
        <f>IF($C558="",0,1)</f>
        <v>0</v>
      </c>
      <c r="O558" s="19">
        <f>N(O557)+$N558</f>
        <v>272</v>
      </c>
      <c r="S558" s="20">
        <f>IFERROR(IF([2]对账明细接口!$N558=0,"",[2]对账明细接口!$N558),"")</f>
      </c>
      <c r="T558" s="212">
        <f>IFERROR(IF([2]对账明细接口!$O558=0,"",[2]对账明细接口!$O558),"")</f>
      </c>
      <c r="U558" s="212">
        <f>IFERROR(IF([2]对账明细接口!$P558=0,"",[2]对账明细接口!$P558),"")</f>
      </c>
      <c r="V558" s="212">
        <f>IFERROR(IF([2]对账明细接口!$Q558=0,"",[2]对账明细接口!$Q558),"")</f>
      </c>
      <c r="W558" s="20">
        <f>IFERROR(IF([2]对账明细接口!$R558=0,"",[2]对账明细接口!$R558),"")</f>
      </c>
      <c r="X558" s="20">
        <f>IFERROR(IF([2]对账明细接口!$S558=0,"",[2]对账明细接口!$S558),"")</f>
      </c>
      <c r="Y558" s="20">
        <f>""</f>
      </c>
      <c r="Z558" s="20">
        <f>""</f>
      </c>
      <c r="AA558" s="20">
        <f>""</f>
      </c>
      <c r="AB558" s="20">
        <f>""</f>
      </c>
    </row>
    <row r="559" s="127">
      <c r="A559" s="14" t="n">
        <v>559</v>
      </c>
      <c r="B559" s="211">
        <f>IFERROR(IF([2]对账明细接口!$B$559=0,"",[2]对账明细接口!$B$559),"")</f>
      </c>
      <c r="C559" s="16">
        <f>IFERROR(IF([2]对账明细接口!$C$559=0,"",[2]对账明细接口!$C$559),"")</f>
      </c>
      <c r="D559" s="16">
        <f>IFERROR(IF([2]对账明细接口!$D$559=0,"",[2]对账明细接口!$D$559),"")</f>
      </c>
      <c r="E559" s="16">
        <f>IFERROR(IF([2]对账明细接口!$E$559=0,"",[2]对账明细接口!$E$559),"")</f>
      </c>
      <c r="F559" s="16">
        <f>IFERROR(IF([2]对账明细接口!$F$559=0,"",[2]对账明细接口!$F$559),"")</f>
      </c>
      <c r="G559" s="16">
        <f>IFERROR(IF([2]对账明细接口!$G$559=0,"",[2]对账明细接口!$G$559),"")</f>
      </c>
      <c r="H559" s="176">
        <f>IFERROR(IF([2]对账明细接口!$H$559=0,"",[2]对账明细接口!$H$559),"")</f>
      </c>
      <c r="I559" s="16">
        <f>IFERROR(IF([2]对账明细接口!$I$559=0,"",[2]对账明细接口!$I$559),"")</f>
      </c>
      <c r="J559" s="177">
        <f>IFERROR(IF([2]对账明细接口!$J$559=0,"",[2]对账明细接口!$J$559),"")</f>
      </c>
      <c r="K559" s="177">
        <f>IFERROR(IF([2]对账明细接口!$K$559=0,"",[2]对账明细接口!$K$559),"")</f>
      </c>
      <c r="L559" s="16">
        <f>IFERROR(IF([2]对账明细接口!$L$559=0,"",[2]对账明细接口!$L$559),"")</f>
      </c>
      <c r="M559" s="16">
        <f>IFERROR(IF([2]对账明细接口!$M$559=0,"",[2]对账明细接口!$M$559),"")</f>
      </c>
      <c r="N559" s="19">
        <f>IF($C559="",0,1)</f>
        <v>0</v>
      </c>
      <c r="O559" s="19">
        <f>N(O558)+$N559</f>
        <v>272</v>
      </c>
      <c r="S559" s="20">
        <f>IFERROR(IF([2]对账明细接口!$N559=0,"",[2]对账明细接口!$N559),"")</f>
      </c>
      <c r="T559" s="212">
        <f>IFERROR(IF([2]对账明细接口!$O559=0,"",[2]对账明细接口!$O559),"")</f>
      </c>
      <c r="U559" s="212">
        <f>IFERROR(IF([2]对账明细接口!$P559=0,"",[2]对账明细接口!$P559),"")</f>
      </c>
      <c r="V559" s="212">
        <f>IFERROR(IF([2]对账明细接口!$Q559=0,"",[2]对账明细接口!$Q559),"")</f>
      </c>
      <c r="W559" s="20">
        <f>IFERROR(IF([2]对账明细接口!$R559=0,"",[2]对账明细接口!$R559),"")</f>
      </c>
      <c r="X559" s="20">
        <f>IFERROR(IF([2]对账明细接口!$S559=0,"",[2]对账明细接口!$S559),"")</f>
      </c>
      <c r="Y559" s="20">
        <f>""</f>
      </c>
      <c r="Z559" s="20">
        <f>""</f>
      </c>
      <c r="AA559" s="20">
        <f>""</f>
      </c>
      <c r="AB559" s="20">
        <f>""</f>
      </c>
    </row>
    <row r="560" s="127">
      <c r="A560" s="14" t="n">
        <v>560</v>
      </c>
      <c r="B560" s="211">
        <f>IFERROR(IF([2]对账明细接口!$B$560=0,"",[2]对账明细接口!$B$560),"")</f>
      </c>
      <c r="C560" s="16">
        <f>IFERROR(IF([2]对账明细接口!$C$560=0,"",[2]对账明细接口!$C$560),"")</f>
      </c>
      <c r="D560" s="16">
        <f>IFERROR(IF([2]对账明细接口!$D$560=0,"",[2]对账明细接口!$D$560),"")</f>
      </c>
      <c r="E560" s="16">
        <f>IFERROR(IF([2]对账明细接口!$E$560=0,"",[2]对账明细接口!$E$560),"")</f>
      </c>
      <c r="F560" s="16">
        <f>IFERROR(IF([2]对账明细接口!$F$560=0,"",[2]对账明细接口!$F$560),"")</f>
      </c>
      <c r="G560" s="16">
        <f>IFERROR(IF([2]对账明细接口!$G$560=0,"",[2]对账明细接口!$G$560),"")</f>
      </c>
      <c r="H560" s="176">
        <f>IFERROR(IF([2]对账明细接口!$H$560=0,"",[2]对账明细接口!$H$560),"")</f>
      </c>
      <c r="I560" s="16">
        <f>IFERROR(IF([2]对账明细接口!$I$560=0,"",[2]对账明细接口!$I$560),"")</f>
      </c>
      <c r="J560" s="177">
        <f>IFERROR(IF([2]对账明细接口!$J$560=0,"",[2]对账明细接口!$J$560),"")</f>
      </c>
      <c r="K560" s="177">
        <f>IFERROR(IF([2]对账明细接口!$K$560=0,"",[2]对账明细接口!$K$560),"")</f>
      </c>
      <c r="L560" s="16">
        <f>IFERROR(IF([2]对账明细接口!$L$560=0,"",[2]对账明细接口!$L$560),"")</f>
      </c>
      <c r="M560" s="16">
        <f>IFERROR(IF([2]对账明细接口!$M$560=0,"",[2]对账明细接口!$M$560),"")</f>
      </c>
      <c r="N560" s="19">
        <f>IF($C560="",0,1)</f>
        <v>0</v>
      </c>
      <c r="O560" s="19">
        <f>N(O559)+$N560</f>
        <v>272</v>
      </c>
      <c r="S560" s="20">
        <f>IFERROR(IF([2]对账明细接口!$N560=0,"",[2]对账明细接口!$N560),"")</f>
      </c>
      <c r="T560" s="212">
        <f>IFERROR(IF([2]对账明细接口!$O560=0,"",[2]对账明细接口!$O560),"")</f>
      </c>
      <c r="U560" s="212">
        <f>IFERROR(IF([2]对账明细接口!$P560=0,"",[2]对账明细接口!$P560),"")</f>
      </c>
      <c r="V560" s="212">
        <f>IFERROR(IF([2]对账明细接口!$Q560=0,"",[2]对账明细接口!$Q560),"")</f>
      </c>
      <c r="W560" s="20">
        <f>IFERROR(IF([2]对账明细接口!$R560=0,"",[2]对账明细接口!$R560),"")</f>
      </c>
      <c r="X560" s="20">
        <f>IFERROR(IF([2]对账明细接口!$S560=0,"",[2]对账明细接口!$S560),"")</f>
      </c>
      <c r="Y560" s="20">
        <f>""</f>
      </c>
      <c r="Z560" s="20">
        <f>""</f>
      </c>
      <c r="AA560" s="20">
        <f>""</f>
      </c>
      <c r="AB560" s="20">
        <f>""</f>
      </c>
    </row>
    <row r="561" s="127">
      <c r="A561" s="14" t="n">
        <v>561</v>
      </c>
      <c r="B561" s="211">
        <f>IFERROR(IF([2]对账明细接口!$B$561=0,"",[2]对账明细接口!$B$561),"")</f>
      </c>
      <c r="C561" s="16">
        <f>IFERROR(IF([2]对账明细接口!$C$561=0,"",[2]对账明细接口!$C$561),"")</f>
      </c>
      <c r="D561" s="16">
        <f>IFERROR(IF([2]对账明细接口!$D$561=0,"",[2]对账明细接口!$D$561),"")</f>
      </c>
      <c r="E561" s="16">
        <f>IFERROR(IF([2]对账明细接口!$E$561=0,"",[2]对账明细接口!$E$561),"")</f>
      </c>
      <c r="F561" s="16">
        <f>IFERROR(IF([2]对账明细接口!$F$561=0,"",[2]对账明细接口!$F$561),"")</f>
      </c>
      <c r="G561" s="16">
        <f>IFERROR(IF([2]对账明细接口!$G$561=0,"",[2]对账明细接口!$G$561),"")</f>
      </c>
      <c r="H561" s="176">
        <f>IFERROR(IF([2]对账明细接口!$H$561=0,"",[2]对账明细接口!$H$561),"")</f>
      </c>
      <c r="I561" s="16">
        <f>IFERROR(IF([2]对账明细接口!$I$561=0,"",[2]对账明细接口!$I$561),"")</f>
      </c>
      <c r="J561" s="177">
        <f>IFERROR(IF([2]对账明细接口!$J$561=0,"",[2]对账明细接口!$J$561),"")</f>
      </c>
      <c r="K561" s="177">
        <f>IFERROR(IF([2]对账明细接口!$K$561=0,"",[2]对账明细接口!$K$561),"")</f>
      </c>
      <c r="L561" s="16">
        <f>IFERROR(IF([2]对账明细接口!$L$561=0,"",[2]对账明细接口!$L$561),"")</f>
      </c>
      <c r="M561" s="16">
        <f>IFERROR(IF([2]对账明细接口!$M$561=0,"",[2]对账明细接口!$M$561),"")</f>
      </c>
      <c r="N561" s="19">
        <f>IF($C561="",0,1)</f>
        <v>0</v>
      </c>
      <c r="O561" s="19">
        <f>N(O560)+$N561</f>
        <v>272</v>
      </c>
      <c r="S561" s="20">
        <f>IFERROR(IF([2]对账明细接口!$N561=0,"",[2]对账明细接口!$N561),"")</f>
      </c>
      <c r="T561" s="212">
        <f>IFERROR(IF([2]对账明细接口!$O561=0,"",[2]对账明细接口!$O561),"")</f>
      </c>
      <c r="U561" s="212">
        <f>IFERROR(IF([2]对账明细接口!$P561=0,"",[2]对账明细接口!$P561),"")</f>
      </c>
      <c r="V561" s="212">
        <f>IFERROR(IF([2]对账明细接口!$Q561=0,"",[2]对账明细接口!$Q561),"")</f>
      </c>
      <c r="W561" s="20">
        <f>IFERROR(IF([2]对账明细接口!$R561=0,"",[2]对账明细接口!$R561),"")</f>
      </c>
      <c r="X561" s="20">
        <f>IFERROR(IF([2]对账明细接口!$S561=0,"",[2]对账明细接口!$S561),"")</f>
      </c>
      <c r="Y561" s="20">
        <f>""</f>
      </c>
      <c r="Z561" s="20">
        <f>""</f>
      </c>
      <c r="AA561" s="20">
        <f>""</f>
      </c>
      <c r="AB561" s="20">
        <f>""</f>
      </c>
    </row>
    <row r="562" s="127">
      <c r="A562" s="14" t="n">
        <v>562</v>
      </c>
      <c r="B562" s="211">
        <f>IFERROR(IF([2]对账明细接口!$B$562=0,"",[2]对账明细接口!$B$562),"")</f>
      </c>
      <c r="C562" s="16">
        <f>IFERROR(IF([2]对账明细接口!$C$562=0,"",[2]对账明细接口!$C$562),"")</f>
      </c>
      <c r="D562" s="16">
        <f>IFERROR(IF([2]对账明细接口!$D$562=0,"",[2]对账明细接口!$D$562),"")</f>
      </c>
      <c r="E562" s="16">
        <f>IFERROR(IF([2]对账明细接口!$E$562=0,"",[2]对账明细接口!$E$562),"")</f>
      </c>
      <c r="F562" s="16">
        <f>IFERROR(IF([2]对账明细接口!$F$562=0,"",[2]对账明细接口!$F$562),"")</f>
      </c>
      <c r="G562" s="16">
        <f>IFERROR(IF([2]对账明细接口!$G$562=0,"",[2]对账明细接口!$G$562),"")</f>
      </c>
      <c r="H562" s="176">
        <f>IFERROR(IF([2]对账明细接口!$H$562=0,"",[2]对账明细接口!$H$562),"")</f>
      </c>
      <c r="I562" s="16">
        <f>IFERROR(IF([2]对账明细接口!$I$562=0,"",[2]对账明细接口!$I$562),"")</f>
      </c>
      <c r="J562" s="177">
        <f>IFERROR(IF([2]对账明细接口!$J$562=0,"",[2]对账明细接口!$J$562),"")</f>
      </c>
      <c r="K562" s="177">
        <f>IFERROR(IF([2]对账明细接口!$K$562=0,"",[2]对账明细接口!$K$562),"")</f>
      </c>
      <c r="L562" s="16">
        <f>IFERROR(IF([2]对账明细接口!$L$562=0,"",[2]对账明细接口!$L$562),"")</f>
      </c>
      <c r="M562" s="16">
        <f>IFERROR(IF([2]对账明细接口!$M$562=0,"",[2]对账明细接口!$M$562),"")</f>
      </c>
      <c r="N562" s="19">
        <f>IF($C562="",0,1)</f>
        <v>0</v>
      </c>
      <c r="O562" s="19">
        <f>N(O561)+$N562</f>
        <v>272</v>
      </c>
      <c r="S562" s="20">
        <f>IFERROR(IF([2]对账明细接口!$N562=0,"",[2]对账明细接口!$N562),"")</f>
      </c>
      <c r="T562" s="212">
        <f>IFERROR(IF([2]对账明细接口!$O562=0,"",[2]对账明细接口!$O562),"")</f>
      </c>
      <c r="U562" s="212">
        <f>IFERROR(IF([2]对账明细接口!$P562=0,"",[2]对账明细接口!$P562),"")</f>
      </c>
      <c r="V562" s="212">
        <f>IFERROR(IF([2]对账明细接口!$Q562=0,"",[2]对账明细接口!$Q562),"")</f>
      </c>
      <c r="W562" s="20">
        <f>IFERROR(IF([2]对账明细接口!$R562=0,"",[2]对账明细接口!$R562),"")</f>
      </c>
      <c r="X562" s="20">
        <f>IFERROR(IF([2]对账明细接口!$S562=0,"",[2]对账明细接口!$S562),"")</f>
      </c>
      <c r="Y562" s="20">
        <f>""</f>
      </c>
      <c r="Z562" s="20">
        <f>""</f>
      </c>
      <c r="AA562" s="20">
        <f>""</f>
      </c>
      <c r="AB562" s="20">
        <f>""</f>
      </c>
    </row>
    <row r="563" s="127">
      <c r="A563" s="14" t="n">
        <v>563</v>
      </c>
      <c r="B563" s="211">
        <f>IFERROR(IF([2]对账明细接口!$B$563=0,"",[2]对账明细接口!$B$563),"")</f>
      </c>
      <c r="C563" s="16">
        <f>IFERROR(IF([2]对账明细接口!$C$563=0,"",[2]对账明细接口!$C$563),"")</f>
      </c>
      <c r="D563" s="16">
        <f>IFERROR(IF([2]对账明细接口!$D$563=0,"",[2]对账明细接口!$D$563),"")</f>
      </c>
      <c r="E563" s="16">
        <f>IFERROR(IF([2]对账明细接口!$E$563=0,"",[2]对账明细接口!$E$563),"")</f>
      </c>
      <c r="F563" s="16">
        <f>IFERROR(IF([2]对账明细接口!$F$563=0,"",[2]对账明细接口!$F$563),"")</f>
      </c>
      <c r="G563" s="16">
        <f>IFERROR(IF([2]对账明细接口!$G$563=0,"",[2]对账明细接口!$G$563),"")</f>
      </c>
      <c r="H563" s="176">
        <f>IFERROR(IF([2]对账明细接口!$H$563=0,"",[2]对账明细接口!$H$563),"")</f>
      </c>
      <c r="I563" s="16">
        <f>IFERROR(IF([2]对账明细接口!$I$563=0,"",[2]对账明细接口!$I$563),"")</f>
      </c>
      <c r="J563" s="177">
        <f>IFERROR(IF([2]对账明细接口!$J$563=0,"",[2]对账明细接口!$J$563),"")</f>
      </c>
      <c r="K563" s="177">
        <f>IFERROR(IF([2]对账明细接口!$K$563=0,"",[2]对账明细接口!$K$563),"")</f>
      </c>
      <c r="L563" s="16">
        <f>IFERROR(IF([2]对账明细接口!$L$563=0,"",[2]对账明细接口!$L$563),"")</f>
      </c>
      <c r="M563" s="16">
        <f>IFERROR(IF([2]对账明细接口!$M$563=0,"",[2]对账明细接口!$M$563),"")</f>
      </c>
      <c r="N563" s="19">
        <f>IF($C563="",0,1)</f>
        <v>0</v>
      </c>
      <c r="O563" s="19">
        <f>N(O562)+$N563</f>
        <v>272</v>
      </c>
      <c r="S563" s="20">
        <f>IFERROR(IF([2]对账明细接口!$N563=0,"",[2]对账明细接口!$N563),"")</f>
      </c>
      <c r="T563" s="212">
        <f>IFERROR(IF([2]对账明细接口!$O563=0,"",[2]对账明细接口!$O563),"")</f>
      </c>
      <c r="U563" s="212">
        <f>IFERROR(IF([2]对账明细接口!$P563=0,"",[2]对账明细接口!$P563),"")</f>
      </c>
      <c r="V563" s="212">
        <f>IFERROR(IF([2]对账明细接口!$Q563=0,"",[2]对账明细接口!$Q563),"")</f>
      </c>
      <c r="W563" s="20">
        <f>IFERROR(IF([2]对账明细接口!$R563=0,"",[2]对账明细接口!$R563),"")</f>
      </c>
      <c r="X563" s="20">
        <f>IFERROR(IF([2]对账明细接口!$S563=0,"",[2]对账明细接口!$S563),"")</f>
      </c>
      <c r="Y563" s="20">
        <f>""</f>
      </c>
      <c r="Z563" s="20">
        <f>""</f>
      </c>
      <c r="AA563" s="20">
        <f>""</f>
      </c>
      <c r="AB563" s="20">
        <f>""</f>
      </c>
    </row>
    <row r="564" s="127">
      <c r="A564" s="14" t="n">
        <v>564</v>
      </c>
      <c r="B564" s="211">
        <f>IFERROR(IF([2]对账明细接口!$B$564=0,"",[2]对账明细接口!$B$564),"")</f>
      </c>
      <c r="C564" s="16">
        <f>IFERROR(IF([2]对账明细接口!$C$564=0,"",[2]对账明细接口!$C$564),"")</f>
      </c>
      <c r="D564" s="16">
        <f>IFERROR(IF([2]对账明细接口!$D$564=0,"",[2]对账明细接口!$D$564),"")</f>
      </c>
      <c r="E564" s="16">
        <f>IFERROR(IF([2]对账明细接口!$E$564=0,"",[2]对账明细接口!$E$564),"")</f>
      </c>
      <c r="F564" s="16">
        <f>IFERROR(IF([2]对账明细接口!$F$564=0,"",[2]对账明细接口!$F$564),"")</f>
      </c>
      <c r="G564" s="16">
        <f>IFERROR(IF([2]对账明细接口!$G$564=0,"",[2]对账明细接口!$G$564),"")</f>
      </c>
      <c r="H564" s="176">
        <f>IFERROR(IF([2]对账明细接口!$H$564=0,"",[2]对账明细接口!$H$564),"")</f>
      </c>
      <c r="I564" s="16">
        <f>IFERROR(IF([2]对账明细接口!$I$564=0,"",[2]对账明细接口!$I$564),"")</f>
      </c>
      <c r="J564" s="177">
        <f>IFERROR(IF([2]对账明细接口!$J$564=0,"",[2]对账明细接口!$J$564),"")</f>
      </c>
      <c r="K564" s="177">
        <f>IFERROR(IF([2]对账明细接口!$K$564=0,"",[2]对账明细接口!$K$564),"")</f>
      </c>
      <c r="L564" s="16">
        <f>IFERROR(IF([2]对账明细接口!$L$564=0,"",[2]对账明细接口!$L$564),"")</f>
      </c>
      <c r="M564" s="16">
        <f>IFERROR(IF([2]对账明细接口!$M$564=0,"",[2]对账明细接口!$M$564),"")</f>
      </c>
      <c r="N564" s="19">
        <f>IF($C564="",0,1)</f>
        <v>0</v>
      </c>
      <c r="O564" s="19">
        <f>N(O563)+$N564</f>
        <v>272</v>
      </c>
      <c r="S564" s="20">
        <f>IFERROR(IF([2]对账明细接口!$N564=0,"",[2]对账明细接口!$N564),"")</f>
      </c>
      <c r="T564" s="212">
        <f>IFERROR(IF([2]对账明细接口!$O564=0,"",[2]对账明细接口!$O564),"")</f>
      </c>
      <c r="U564" s="212">
        <f>IFERROR(IF([2]对账明细接口!$P564=0,"",[2]对账明细接口!$P564),"")</f>
      </c>
      <c r="V564" s="212">
        <f>IFERROR(IF([2]对账明细接口!$Q564=0,"",[2]对账明细接口!$Q564),"")</f>
      </c>
      <c r="W564" s="20">
        <f>IFERROR(IF([2]对账明细接口!$R564=0,"",[2]对账明细接口!$R564),"")</f>
      </c>
      <c r="X564" s="20">
        <f>IFERROR(IF([2]对账明细接口!$S564=0,"",[2]对账明细接口!$S564),"")</f>
      </c>
      <c r="Y564" s="20">
        <f>""</f>
      </c>
      <c r="Z564" s="20">
        <f>""</f>
      </c>
      <c r="AA564" s="20">
        <f>""</f>
      </c>
      <c r="AB564" s="20">
        <f>""</f>
      </c>
    </row>
    <row r="565" s="127">
      <c r="A565" s="14" t="n">
        <v>565</v>
      </c>
      <c r="B565" s="211">
        <f>IFERROR(IF([2]对账明细接口!$B$565=0,"",[2]对账明细接口!$B$565),"")</f>
      </c>
      <c r="C565" s="16">
        <f>IFERROR(IF([2]对账明细接口!$C$565=0,"",[2]对账明细接口!$C$565),"")</f>
      </c>
      <c r="D565" s="16">
        <f>IFERROR(IF([2]对账明细接口!$D$565=0,"",[2]对账明细接口!$D$565),"")</f>
      </c>
      <c r="E565" s="16">
        <f>IFERROR(IF([2]对账明细接口!$E$565=0,"",[2]对账明细接口!$E$565),"")</f>
      </c>
      <c r="F565" s="16">
        <f>IFERROR(IF([2]对账明细接口!$F$565=0,"",[2]对账明细接口!$F$565),"")</f>
      </c>
      <c r="G565" s="16">
        <f>IFERROR(IF([2]对账明细接口!$G$565=0,"",[2]对账明细接口!$G$565),"")</f>
      </c>
      <c r="H565" s="176">
        <f>IFERROR(IF([2]对账明细接口!$H$565=0,"",[2]对账明细接口!$H$565),"")</f>
      </c>
      <c r="I565" s="16">
        <f>IFERROR(IF([2]对账明细接口!$I$565=0,"",[2]对账明细接口!$I$565),"")</f>
      </c>
      <c r="J565" s="177">
        <f>IFERROR(IF([2]对账明细接口!$J$565=0,"",[2]对账明细接口!$J$565),"")</f>
      </c>
      <c r="K565" s="177">
        <f>IFERROR(IF([2]对账明细接口!$K$565=0,"",[2]对账明细接口!$K$565),"")</f>
      </c>
      <c r="L565" s="16">
        <f>IFERROR(IF([2]对账明细接口!$L$565=0,"",[2]对账明细接口!$L$565),"")</f>
      </c>
      <c r="M565" s="16">
        <f>IFERROR(IF([2]对账明细接口!$M$565=0,"",[2]对账明细接口!$M$565),"")</f>
      </c>
      <c r="N565" s="19">
        <f>IF($C565="",0,1)</f>
        <v>0</v>
      </c>
      <c r="O565" s="19">
        <f>N(O564)+$N565</f>
        <v>272</v>
      </c>
      <c r="S565" s="20">
        <f>IFERROR(IF([2]对账明细接口!$N565=0,"",[2]对账明细接口!$N565),"")</f>
      </c>
      <c r="T565" s="212">
        <f>IFERROR(IF([2]对账明细接口!$O565=0,"",[2]对账明细接口!$O565),"")</f>
      </c>
      <c r="U565" s="212">
        <f>IFERROR(IF([2]对账明细接口!$P565=0,"",[2]对账明细接口!$P565),"")</f>
      </c>
      <c r="V565" s="212">
        <f>IFERROR(IF([2]对账明细接口!$Q565=0,"",[2]对账明细接口!$Q565),"")</f>
      </c>
      <c r="W565" s="20">
        <f>IFERROR(IF([2]对账明细接口!$R565=0,"",[2]对账明细接口!$R565),"")</f>
      </c>
      <c r="X565" s="20">
        <f>IFERROR(IF([2]对账明细接口!$S565=0,"",[2]对账明细接口!$S565),"")</f>
      </c>
      <c r="Y565" s="20">
        <f>""</f>
      </c>
      <c r="Z565" s="20">
        <f>""</f>
      </c>
      <c r="AA565" s="20">
        <f>""</f>
      </c>
      <c r="AB565" s="20">
        <f>""</f>
      </c>
    </row>
    <row r="566" s="127">
      <c r="A566" s="14" t="n">
        <v>566</v>
      </c>
      <c r="B566" s="211">
        <f>IFERROR(IF([2]对账明细接口!$B$566=0,"",[2]对账明细接口!$B$566),"")</f>
      </c>
      <c r="C566" s="16">
        <f>IFERROR(IF([2]对账明细接口!$C$566=0,"",[2]对账明细接口!$C$566),"")</f>
      </c>
      <c r="D566" s="16">
        <f>IFERROR(IF([2]对账明细接口!$D$566=0,"",[2]对账明细接口!$D$566),"")</f>
      </c>
      <c r="E566" s="16">
        <f>IFERROR(IF([2]对账明细接口!$E$566=0,"",[2]对账明细接口!$E$566),"")</f>
      </c>
      <c r="F566" s="16">
        <f>IFERROR(IF([2]对账明细接口!$F$566=0,"",[2]对账明细接口!$F$566),"")</f>
      </c>
      <c r="G566" s="16">
        <f>IFERROR(IF([2]对账明细接口!$G$566=0,"",[2]对账明细接口!$G$566),"")</f>
      </c>
      <c r="H566" s="176">
        <f>IFERROR(IF([2]对账明细接口!$H$566=0,"",[2]对账明细接口!$H$566),"")</f>
      </c>
      <c r="I566" s="16">
        <f>IFERROR(IF([2]对账明细接口!$I$566=0,"",[2]对账明细接口!$I$566),"")</f>
      </c>
      <c r="J566" s="177">
        <f>IFERROR(IF([2]对账明细接口!$J$566=0,"",[2]对账明细接口!$J$566),"")</f>
      </c>
      <c r="K566" s="177">
        <f>IFERROR(IF([2]对账明细接口!$K$566=0,"",[2]对账明细接口!$K$566),"")</f>
      </c>
      <c r="L566" s="16">
        <f>IFERROR(IF([2]对账明细接口!$L$566=0,"",[2]对账明细接口!$L$566),"")</f>
      </c>
      <c r="M566" s="16">
        <f>IFERROR(IF([2]对账明细接口!$M$566=0,"",[2]对账明细接口!$M$566),"")</f>
      </c>
      <c r="N566" s="19">
        <f>IF($C566="",0,1)</f>
        <v>0</v>
      </c>
      <c r="O566" s="19">
        <f>N(O565)+$N566</f>
        <v>272</v>
      </c>
      <c r="S566" s="20">
        <f>IFERROR(IF([2]对账明细接口!$N566=0,"",[2]对账明细接口!$N566),"")</f>
      </c>
      <c r="T566" s="212">
        <f>IFERROR(IF([2]对账明细接口!$O566=0,"",[2]对账明细接口!$O566),"")</f>
      </c>
      <c r="U566" s="212">
        <f>IFERROR(IF([2]对账明细接口!$P566=0,"",[2]对账明细接口!$P566),"")</f>
      </c>
      <c r="V566" s="212">
        <f>IFERROR(IF([2]对账明细接口!$Q566=0,"",[2]对账明细接口!$Q566),"")</f>
      </c>
      <c r="W566" s="20">
        <f>IFERROR(IF([2]对账明细接口!$R566=0,"",[2]对账明细接口!$R566),"")</f>
      </c>
      <c r="X566" s="20">
        <f>IFERROR(IF([2]对账明细接口!$S566=0,"",[2]对账明细接口!$S566),"")</f>
      </c>
      <c r="Y566" s="20">
        <f>""</f>
      </c>
      <c r="Z566" s="20">
        <f>""</f>
      </c>
      <c r="AA566" s="20">
        <f>""</f>
      </c>
      <c r="AB566" s="20">
        <f>""</f>
      </c>
    </row>
    <row r="567" s="127">
      <c r="A567" s="14" t="n">
        <v>567</v>
      </c>
      <c r="B567" s="211">
        <f>IFERROR(IF([2]对账明细接口!$B$567=0,"",[2]对账明细接口!$B$567),"")</f>
      </c>
      <c r="C567" s="16">
        <f>IFERROR(IF([2]对账明细接口!$C$567=0,"",[2]对账明细接口!$C$567),"")</f>
      </c>
      <c r="D567" s="16">
        <f>IFERROR(IF([2]对账明细接口!$D$567=0,"",[2]对账明细接口!$D$567),"")</f>
      </c>
      <c r="E567" s="16">
        <f>IFERROR(IF([2]对账明细接口!$E$567=0,"",[2]对账明细接口!$E$567),"")</f>
      </c>
      <c r="F567" s="16">
        <f>IFERROR(IF([2]对账明细接口!$F$567=0,"",[2]对账明细接口!$F$567),"")</f>
      </c>
      <c r="G567" s="16">
        <f>IFERROR(IF([2]对账明细接口!$G$567=0,"",[2]对账明细接口!$G$567),"")</f>
      </c>
      <c r="H567" s="176">
        <f>IFERROR(IF([2]对账明细接口!$H$567=0,"",[2]对账明细接口!$H$567),"")</f>
      </c>
      <c r="I567" s="16">
        <f>IFERROR(IF([2]对账明细接口!$I$567=0,"",[2]对账明细接口!$I$567),"")</f>
      </c>
      <c r="J567" s="177">
        <f>IFERROR(IF([2]对账明细接口!$J$567=0,"",[2]对账明细接口!$J$567),"")</f>
      </c>
      <c r="K567" s="177">
        <f>IFERROR(IF([2]对账明细接口!$K$567=0,"",[2]对账明细接口!$K$567),"")</f>
      </c>
      <c r="L567" s="16">
        <f>IFERROR(IF([2]对账明细接口!$L$567=0,"",[2]对账明细接口!$L$567),"")</f>
      </c>
      <c r="M567" s="16">
        <f>IFERROR(IF([2]对账明细接口!$M$567=0,"",[2]对账明细接口!$M$567),"")</f>
      </c>
      <c r="N567" s="19">
        <f>IF($C567="",0,1)</f>
        <v>0</v>
      </c>
      <c r="O567" s="19">
        <f>N(O566)+$N567</f>
        <v>272</v>
      </c>
      <c r="S567" s="20">
        <f>IFERROR(IF([2]对账明细接口!$N567=0,"",[2]对账明细接口!$N567),"")</f>
      </c>
      <c r="T567" s="212">
        <f>IFERROR(IF([2]对账明细接口!$O567=0,"",[2]对账明细接口!$O567),"")</f>
      </c>
      <c r="U567" s="212">
        <f>IFERROR(IF([2]对账明细接口!$P567=0,"",[2]对账明细接口!$P567),"")</f>
      </c>
      <c r="V567" s="212">
        <f>IFERROR(IF([2]对账明细接口!$Q567=0,"",[2]对账明细接口!$Q567),"")</f>
      </c>
      <c r="W567" s="20">
        <f>IFERROR(IF([2]对账明细接口!$R567=0,"",[2]对账明细接口!$R567),"")</f>
      </c>
      <c r="X567" s="20">
        <f>IFERROR(IF([2]对账明细接口!$S567=0,"",[2]对账明细接口!$S567),"")</f>
      </c>
      <c r="Y567" s="20">
        <f>""</f>
      </c>
      <c r="Z567" s="20">
        <f>""</f>
      </c>
      <c r="AA567" s="20">
        <f>""</f>
      </c>
      <c r="AB567" s="20">
        <f>""</f>
      </c>
    </row>
    <row r="568" s="127">
      <c r="A568" s="14" t="n">
        <v>568</v>
      </c>
      <c r="B568" s="211">
        <f>IFERROR(IF([2]对账明细接口!$B$568=0,"",[2]对账明细接口!$B$568),"")</f>
      </c>
      <c r="C568" s="16">
        <f>IFERROR(IF([2]对账明细接口!$C$568=0,"",[2]对账明细接口!$C$568),"")</f>
      </c>
      <c r="D568" s="16">
        <f>IFERROR(IF([2]对账明细接口!$D$568=0,"",[2]对账明细接口!$D$568),"")</f>
      </c>
      <c r="E568" s="16">
        <f>IFERROR(IF([2]对账明细接口!$E$568=0,"",[2]对账明细接口!$E$568),"")</f>
      </c>
      <c r="F568" s="16">
        <f>IFERROR(IF([2]对账明细接口!$F$568=0,"",[2]对账明细接口!$F$568),"")</f>
      </c>
      <c r="G568" s="16">
        <f>IFERROR(IF([2]对账明细接口!$G$568=0,"",[2]对账明细接口!$G$568),"")</f>
      </c>
      <c r="H568" s="176">
        <f>IFERROR(IF([2]对账明细接口!$H$568=0,"",[2]对账明细接口!$H$568),"")</f>
      </c>
      <c r="I568" s="16">
        <f>IFERROR(IF([2]对账明细接口!$I$568=0,"",[2]对账明细接口!$I$568),"")</f>
      </c>
      <c r="J568" s="177">
        <f>IFERROR(IF([2]对账明细接口!$J$568=0,"",[2]对账明细接口!$J$568),"")</f>
      </c>
      <c r="K568" s="177">
        <f>IFERROR(IF([2]对账明细接口!$K$568=0,"",[2]对账明细接口!$K$568),"")</f>
      </c>
      <c r="L568" s="16">
        <f>IFERROR(IF([2]对账明细接口!$L$568=0,"",[2]对账明细接口!$L$568),"")</f>
      </c>
      <c r="M568" s="16">
        <f>IFERROR(IF([2]对账明细接口!$M$568=0,"",[2]对账明细接口!$M$568),"")</f>
      </c>
      <c r="N568" s="19">
        <f>IF($C568="",0,1)</f>
        <v>0</v>
      </c>
      <c r="O568" s="19">
        <f>N(O567)+$N568</f>
        <v>272</v>
      </c>
      <c r="S568" s="20">
        <f>IFERROR(IF([2]对账明细接口!$N568=0,"",[2]对账明细接口!$N568),"")</f>
      </c>
      <c r="T568" s="212">
        <f>IFERROR(IF([2]对账明细接口!$O568=0,"",[2]对账明细接口!$O568),"")</f>
      </c>
      <c r="U568" s="212">
        <f>IFERROR(IF([2]对账明细接口!$P568=0,"",[2]对账明细接口!$P568),"")</f>
      </c>
      <c r="V568" s="212">
        <f>IFERROR(IF([2]对账明细接口!$Q568=0,"",[2]对账明细接口!$Q568),"")</f>
      </c>
      <c r="W568" s="20">
        <f>IFERROR(IF([2]对账明细接口!$R568=0,"",[2]对账明细接口!$R568),"")</f>
      </c>
      <c r="X568" s="20">
        <f>IFERROR(IF([2]对账明细接口!$S568=0,"",[2]对账明细接口!$S568),"")</f>
      </c>
      <c r="Y568" s="20">
        <f>""</f>
      </c>
      <c r="Z568" s="20">
        <f>""</f>
      </c>
      <c r="AA568" s="20">
        <f>""</f>
      </c>
      <c r="AB568" s="20">
        <f>""</f>
      </c>
    </row>
    <row r="569" s="127">
      <c r="A569" s="14" t="n">
        <v>569</v>
      </c>
      <c r="B569" s="211">
        <f>IFERROR(IF([2]对账明细接口!$B$569=0,"",[2]对账明细接口!$B$569),"")</f>
      </c>
      <c r="C569" s="16">
        <f>IFERROR(IF([2]对账明细接口!$C$569=0,"",[2]对账明细接口!$C$569),"")</f>
      </c>
      <c r="D569" s="16">
        <f>IFERROR(IF([2]对账明细接口!$D$569=0,"",[2]对账明细接口!$D$569),"")</f>
      </c>
      <c r="E569" s="16">
        <f>IFERROR(IF([2]对账明细接口!$E$569=0,"",[2]对账明细接口!$E$569),"")</f>
      </c>
      <c r="F569" s="16">
        <f>IFERROR(IF([2]对账明细接口!$F$569=0,"",[2]对账明细接口!$F$569),"")</f>
      </c>
      <c r="G569" s="16">
        <f>IFERROR(IF([2]对账明细接口!$G$569=0,"",[2]对账明细接口!$G$569),"")</f>
      </c>
      <c r="H569" s="176">
        <f>IFERROR(IF([2]对账明细接口!$H$569=0,"",[2]对账明细接口!$H$569),"")</f>
      </c>
      <c r="I569" s="16">
        <f>IFERROR(IF([2]对账明细接口!$I$569=0,"",[2]对账明细接口!$I$569),"")</f>
      </c>
      <c r="J569" s="177">
        <f>IFERROR(IF([2]对账明细接口!$J$569=0,"",[2]对账明细接口!$J$569),"")</f>
      </c>
      <c r="K569" s="177">
        <f>IFERROR(IF([2]对账明细接口!$K$569=0,"",[2]对账明细接口!$K$569),"")</f>
      </c>
      <c r="L569" s="16">
        <f>IFERROR(IF([2]对账明细接口!$L$569=0,"",[2]对账明细接口!$L$569),"")</f>
      </c>
      <c r="M569" s="16">
        <f>IFERROR(IF([2]对账明细接口!$M$569=0,"",[2]对账明细接口!$M$569),"")</f>
      </c>
      <c r="N569" s="19">
        <f>IF($C569="",0,1)</f>
        <v>0</v>
      </c>
      <c r="O569" s="19">
        <f>N(O568)+$N569</f>
        <v>272</v>
      </c>
      <c r="S569" s="20">
        <f>IFERROR(IF([2]对账明细接口!$N569=0,"",[2]对账明细接口!$N569),"")</f>
      </c>
      <c r="T569" s="212">
        <f>IFERROR(IF([2]对账明细接口!$O569=0,"",[2]对账明细接口!$O569),"")</f>
      </c>
      <c r="U569" s="212">
        <f>IFERROR(IF([2]对账明细接口!$P569=0,"",[2]对账明细接口!$P569),"")</f>
      </c>
      <c r="V569" s="212">
        <f>IFERROR(IF([2]对账明细接口!$Q569=0,"",[2]对账明细接口!$Q569),"")</f>
      </c>
      <c r="W569" s="20">
        <f>IFERROR(IF([2]对账明细接口!$R569=0,"",[2]对账明细接口!$R569),"")</f>
      </c>
      <c r="X569" s="20">
        <f>IFERROR(IF([2]对账明细接口!$S569=0,"",[2]对账明细接口!$S569),"")</f>
      </c>
      <c r="Y569" s="20">
        <f>""</f>
      </c>
      <c r="Z569" s="20">
        <f>""</f>
      </c>
      <c r="AA569" s="20">
        <f>""</f>
      </c>
      <c r="AB569" s="20">
        <f>""</f>
      </c>
    </row>
    <row r="570" s="127">
      <c r="A570" s="14" t="n">
        <v>570</v>
      </c>
      <c r="B570" s="211">
        <f>IFERROR(IF([2]对账明细接口!$B$570=0,"",[2]对账明细接口!$B$570),"")</f>
      </c>
      <c r="C570" s="16">
        <f>IFERROR(IF([2]对账明细接口!$C$570=0,"",[2]对账明细接口!$C$570),"")</f>
      </c>
      <c r="D570" s="16">
        <f>IFERROR(IF([2]对账明细接口!$D$570=0,"",[2]对账明细接口!$D$570),"")</f>
      </c>
      <c r="E570" s="16">
        <f>IFERROR(IF([2]对账明细接口!$E$570=0,"",[2]对账明细接口!$E$570),"")</f>
      </c>
      <c r="F570" s="16">
        <f>IFERROR(IF([2]对账明细接口!$F$570=0,"",[2]对账明细接口!$F$570),"")</f>
      </c>
      <c r="G570" s="16">
        <f>IFERROR(IF([2]对账明细接口!$G$570=0,"",[2]对账明细接口!$G$570),"")</f>
      </c>
      <c r="H570" s="176">
        <f>IFERROR(IF([2]对账明细接口!$H$570=0,"",[2]对账明细接口!$H$570),"")</f>
      </c>
      <c r="I570" s="16">
        <f>IFERROR(IF([2]对账明细接口!$I$570=0,"",[2]对账明细接口!$I$570),"")</f>
      </c>
      <c r="J570" s="177">
        <f>IFERROR(IF([2]对账明细接口!$J$570=0,"",[2]对账明细接口!$J$570),"")</f>
      </c>
      <c r="K570" s="177">
        <f>IFERROR(IF([2]对账明细接口!$K$570=0,"",[2]对账明细接口!$K$570),"")</f>
      </c>
      <c r="L570" s="16">
        <f>IFERROR(IF([2]对账明细接口!$L$570=0,"",[2]对账明细接口!$L$570),"")</f>
      </c>
      <c r="M570" s="16">
        <f>IFERROR(IF([2]对账明细接口!$M$570=0,"",[2]对账明细接口!$M$570),"")</f>
      </c>
      <c r="N570" s="19">
        <f>IF($C570="",0,1)</f>
        <v>0</v>
      </c>
      <c r="O570" s="19">
        <f>N(O569)+$N570</f>
        <v>272</v>
      </c>
      <c r="S570" s="20">
        <f>IFERROR(IF([2]对账明细接口!$N570=0,"",[2]对账明细接口!$N570),"")</f>
      </c>
      <c r="T570" s="212">
        <f>IFERROR(IF([2]对账明细接口!$O570=0,"",[2]对账明细接口!$O570),"")</f>
      </c>
      <c r="U570" s="212">
        <f>IFERROR(IF([2]对账明细接口!$P570=0,"",[2]对账明细接口!$P570),"")</f>
      </c>
      <c r="V570" s="212">
        <f>IFERROR(IF([2]对账明细接口!$Q570=0,"",[2]对账明细接口!$Q570),"")</f>
      </c>
      <c r="W570" s="20">
        <f>IFERROR(IF([2]对账明细接口!$R570=0,"",[2]对账明细接口!$R570),"")</f>
      </c>
      <c r="X570" s="20">
        <f>IFERROR(IF([2]对账明细接口!$S570=0,"",[2]对账明细接口!$S570),"")</f>
      </c>
      <c r="Y570" s="20">
        <f>""</f>
      </c>
      <c r="Z570" s="20">
        <f>""</f>
      </c>
      <c r="AA570" s="20">
        <f>""</f>
      </c>
      <c r="AB570" s="20">
        <f>""</f>
      </c>
    </row>
    <row r="571" s="127">
      <c r="A571" s="14" t="n">
        <v>571</v>
      </c>
      <c r="B571" s="211">
        <f>IFERROR(IF([2]对账明细接口!$B$571=0,"",[2]对账明细接口!$B$571),"")</f>
      </c>
      <c r="C571" s="16">
        <f>IFERROR(IF([2]对账明细接口!$C$571=0,"",[2]对账明细接口!$C$571),"")</f>
      </c>
      <c r="D571" s="16">
        <f>IFERROR(IF([2]对账明细接口!$D$571=0,"",[2]对账明细接口!$D$571),"")</f>
      </c>
      <c r="E571" s="16">
        <f>IFERROR(IF([2]对账明细接口!$E$571=0,"",[2]对账明细接口!$E$571),"")</f>
      </c>
      <c r="F571" s="16">
        <f>IFERROR(IF([2]对账明细接口!$F$571=0,"",[2]对账明细接口!$F$571),"")</f>
      </c>
      <c r="G571" s="16">
        <f>IFERROR(IF([2]对账明细接口!$G$571=0,"",[2]对账明细接口!$G$571),"")</f>
      </c>
      <c r="H571" s="176">
        <f>IFERROR(IF([2]对账明细接口!$H$571=0,"",[2]对账明细接口!$H$571),"")</f>
      </c>
      <c r="I571" s="16">
        <f>IFERROR(IF([2]对账明细接口!$I$571=0,"",[2]对账明细接口!$I$571),"")</f>
      </c>
      <c r="J571" s="177">
        <f>IFERROR(IF([2]对账明细接口!$J$571=0,"",[2]对账明细接口!$J$571),"")</f>
      </c>
      <c r="K571" s="177">
        <f>IFERROR(IF([2]对账明细接口!$K$571=0,"",[2]对账明细接口!$K$571),"")</f>
      </c>
      <c r="L571" s="16">
        <f>IFERROR(IF([2]对账明细接口!$L$571=0,"",[2]对账明细接口!$L$571),"")</f>
      </c>
      <c r="M571" s="16">
        <f>IFERROR(IF([2]对账明细接口!$M$571=0,"",[2]对账明细接口!$M$571),"")</f>
      </c>
      <c r="N571" s="19">
        <f>IF($C571="",0,1)</f>
        <v>0</v>
      </c>
      <c r="O571" s="19">
        <f>N(O570)+$N571</f>
        <v>272</v>
      </c>
      <c r="S571" s="20">
        <f>IFERROR(IF([2]对账明细接口!$N571=0,"",[2]对账明细接口!$N571),"")</f>
      </c>
      <c r="T571" s="212">
        <f>IFERROR(IF([2]对账明细接口!$O571=0,"",[2]对账明细接口!$O571),"")</f>
      </c>
      <c r="U571" s="212">
        <f>IFERROR(IF([2]对账明细接口!$P571=0,"",[2]对账明细接口!$P571),"")</f>
      </c>
      <c r="V571" s="212">
        <f>IFERROR(IF([2]对账明细接口!$Q571=0,"",[2]对账明细接口!$Q571),"")</f>
      </c>
      <c r="W571" s="20">
        <f>IFERROR(IF([2]对账明细接口!$R571=0,"",[2]对账明细接口!$R571),"")</f>
      </c>
      <c r="X571" s="20">
        <f>IFERROR(IF([2]对账明细接口!$S571=0,"",[2]对账明细接口!$S571),"")</f>
      </c>
      <c r="Y571" s="20">
        <f>""</f>
      </c>
      <c r="Z571" s="20">
        <f>""</f>
      </c>
      <c r="AA571" s="20">
        <f>""</f>
      </c>
      <c r="AB571" s="20">
        <f>""</f>
      </c>
    </row>
    <row r="572" s="127">
      <c r="A572" s="14" t="n">
        <v>572</v>
      </c>
      <c r="B572" s="211">
        <f>IFERROR(IF([2]对账明细接口!$B$572=0,"",[2]对账明细接口!$B$572),"")</f>
      </c>
      <c r="C572" s="16">
        <f>IFERROR(IF([2]对账明细接口!$C$572=0,"",[2]对账明细接口!$C$572),"")</f>
      </c>
      <c r="D572" s="16">
        <f>IFERROR(IF([2]对账明细接口!$D$572=0,"",[2]对账明细接口!$D$572),"")</f>
      </c>
      <c r="E572" s="16">
        <f>IFERROR(IF([2]对账明细接口!$E$572=0,"",[2]对账明细接口!$E$572),"")</f>
      </c>
      <c r="F572" s="16">
        <f>IFERROR(IF([2]对账明细接口!$F$572=0,"",[2]对账明细接口!$F$572),"")</f>
      </c>
      <c r="G572" s="16">
        <f>IFERROR(IF([2]对账明细接口!$G$572=0,"",[2]对账明细接口!$G$572),"")</f>
      </c>
      <c r="H572" s="176">
        <f>IFERROR(IF([2]对账明细接口!$H$572=0,"",[2]对账明细接口!$H$572),"")</f>
      </c>
      <c r="I572" s="16">
        <f>IFERROR(IF([2]对账明细接口!$I$572=0,"",[2]对账明细接口!$I$572),"")</f>
      </c>
      <c r="J572" s="177">
        <f>IFERROR(IF([2]对账明细接口!$J$572=0,"",[2]对账明细接口!$J$572),"")</f>
      </c>
      <c r="K572" s="177">
        <f>IFERROR(IF([2]对账明细接口!$K$572=0,"",[2]对账明细接口!$K$572),"")</f>
      </c>
      <c r="L572" s="16">
        <f>IFERROR(IF([2]对账明细接口!$L$572=0,"",[2]对账明细接口!$L$572),"")</f>
      </c>
      <c r="M572" s="16">
        <f>IFERROR(IF([2]对账明细接口!$M$572=0,"",[2]对账明细接口!$M$572),"")</f>
      </c>
      <c r="N572" s="19">
        <f>IF($C572="",0,1)</f>
        <v>0</v>
      </c>
      <c r="O572" s="19">
        <f>N(O571)+$N572</f>
        <v>272</v>
      </c>
      <c r="S572" s="20">
        <f>IFERROR(IF([2]对账明细接口!$N572=0,"",[2]对账明细接口!$N572),"")</f>
      </c>
      <c r="T572" s="212">
        <f>IFERROR(IF([2]对账明细接口!$O572=0,"",[2]对账明细接口!$O572),"")</f>
      </c>
      <c r="U572" s="212">
        <f>IFERROR(IF([2]对账明细接口!$P572=0,"",[2]对账明细接口!$P572),"")</f>
      </c>
      <c r="V572" s="212">
        <f>IFERROR(IF([2]对账明细接口!$Q572=0,"",[2]对账明细接口!$Q572),"")</f>
      </c>
      <c r="W572" s="20">
        <f>IFERROR(IF([2]对账明细接口!$R572=0,"",[2]对账明细接口!$R572),"")</f>
      </c>
      <c r="X572" s="20">
        <f>IFERROR(IF([2]对账明细接口!$S572=0,"",[2]对账明细接口!$S572),"")</f>
      </c>
      <c r="Y572" s="20">
        <f>""</f>
      </c>
      <c r="Z572" s="20">
        <f>""</f>
      </c>
      <c r="AA572" s="20">
        <f>""</f>
      </c>
      <c r="AB572" s="20">
        <f>""</f>
      </c>
    </row>
    <row r="573" s="127">
      <c r="A573" s="14" t="n">
        <v>573</v>
      </c>
      <c r="B573" s="211">
        <f>IFERROR(IF([2]对账明细接口!$B$573=0,"",[2]对账明细接口!$B$573),"")</f>
      </c>
      <c r="C573" s="16">
        <f>IFERROR(IF([2]对账明细接口!$C$573=0,"",[2]对账明细接口!$C$573),"")</f>
      </c>
      <c r="D573" s="16">
        <f>IFERROR(IF([2]对账明细接口!$D$573=0,"",[2]对账明细接口!$D$573),"")</f>
      </c>
      <c r="E573" s="16">
        <f>IFERROR(IF([2]对账明细接口!$E$573=0,"",[2]对账明细接口!$E$573),"")</f>
      </c>
      <c r="F573" s="16">
        <f>IFERROR(IF([2]对账明细接口!$F$573=0,"",[2]对账明细接口!$F$573),"")</f>
      </c>
      <c r="G573" s="16">
        <f>IFERROR(IF([2]对账明细接口!$G$573=0,"",[2]对账明细接口!$G$573),"")</f>
      </c>
      <c r="H573" s="176">
        <f>IFERROR(IF([2]对账明细接口!$H$573=0,"",[2]对账明细接口!$H$573),"")</f>
      </c>
      <c r="I573" s="16">
        <f>IFERROR(IF([2]对账明细接口!$I$573=0,"",[2]对账明细接口!$I$573),"")</f>
      </c>
      <c r="J573" s="177">
        <f>IFERROR(IF([2]对账明细接口!$J$573=0,"",[2]对账明细接口!$J$573),"")</f>
      </c>
      <c r="K573" s="177">
        <f>IFERROR(IF([2]对账明细接口!$K$573=0,"",[2]对账明细接口!$K$573),"")</f>
      </c>
      <c r="L573" s="16">
        <f>IFERROR(IF([2]对账明细接口!$L$573=0,"",[2]对账明细接口!$L$573),"")</f>
      </c>
      <c r="M573" s="16">
        <f>IFERROR(IF([2]对账明细接口!$M$573=0,"",[2]对账明细接口!$M$573),"")</f>
      </c>
      <c r="N573" s="19">
        <f>IF($C573="",0,1)</f>
        <v>0</v>
      </c>
      <c r="O573" s="19">
        <f>N(O572)+$N573</f>
        <v>272</v>
      </c>
      <c r="S573" s="20">
        <f>IFERROR(IF([2]对账明细接口!$N573=0,"",[2]对账明细接口!$N573),"")</f>
      </c>
      <c r="T573" s="212">
        <f>IFERROR(IF([2]对账明细接口!$O573=0,"",[2]对账明细接口!$O573),"")</f>
      </c>
      <c r="U573" s="212">
        <f>IFERROR(IF([2]对账明细接口!$P573=0,"",[2]对账明细接口!$P573),"")</f>
      </c>
      <c r="V573" s="212">
        <f>IFERROR(IF([2]对账明细接口!$Q573=0,"",[2]对账明细接口!$Q573),"")</f>
      </c>
      <c r="W573" s="20">
        <f>IFERROR(IF([2]对账明细接口!$R573=0,"",[2]对账明细接口!$R573),"")</f>
      </c>
      <c r="X573" s="20">
        <f>IFERROR(IF([2]对账明细接口!$S573=0,"",[2]对账明细接口!$S573),"")</f>
      </c>
      <c r="Y573" s="20">
        <f>""</f>
      </c>
      <c r="Z573" s="20">
        <f>""</f>
      </c>
      <c r="AA573" s="20">
        <f>""</f>
      </c>
      <c r="AB573" s="20">
        <f>""</f>
      </c>
    </row>
    <row r="574" s="127">
      <c r="A574" s="14" t="n">
        <v>574</v>
      </c>
      <c r="B574" s="211">
        <f>IFERROR(IF([2]对账明细接口!$B$574=0,"",[2]对账明细接口!$B$574),"")</f>
      </c>
      <c r="C574" s="16">
        <f>IFERROR(IF([2]对账明细接口!$C$574=0,"",[2]对账明细接口!$C$574),"")</f>
      </c>
      <c r="D574" s="16">
        <f>IFERROR(IF([2]对账明细接口!$D$574=0,"",[2]对账明细接口!$D$574),"")</f>
      </c>
      <c r="E574" s="16">
        <f>IFERROR(IF([2]对账明细接口!$E$574=0,"",[2]对账明细接口!$E$574),"")</f>
      </c>
      <c r="F574" s="16">
        <f>IFERROR(IF([2]对账明细接口!$F$574=0,"",[2]对账明细接口!$F$574),"")</f>
      </c>
      <c r="G574" s="16">
        <f>IFERROR(IF([2]对账明细接口!$G$574=0,"",[2]对账明细接口!$G$574),"")</f>
      </c>
      <c r="H574" s="176">
        <f>IFERROR(IF([2]对账明细接口!$H$574=0,"",[2]对账明细接口!$H$574),"")</f>
      </c>
      <c r="I574" s="16">
        <f>IFERROR(IF([2]对账明细接口!$I$574=0,"",[2]对账明细接口!$I$574),"")</f>
      </c>
      <c r="J574" s="177">
        <f>IFERROR(IF([2]对账明细接口!$J$574=0,"",[2]对账明细接口!$J$574),"")</f>
      </c>
      <c r="K574" s="177">
        <f>IFERROR(IF([2]对账明细接口!$K$574=0,"",[2]对账明细接口!$K$574),"")</f>
      </c>
      <c r="L574" s="16">
        <f>IFERROR(IF([2]对账明细接口!$L$574=0,"",[2]对账明细接口!$L$574),"")</f>
      </c>
      <c r="M574" s="16">
        <f>IFERROR(IF([2]对账明细接口!$M$574=0,"",[2]对账明细接口!$M$574),"")</f>
      </c>
      <c r="N574" s="19">
        <f>IF($C574="",0,1)</f>
        <v>0</v>
      </c>
      <c r="O574" s="19">
        <f>N(O573)+$N574</f>
        <v>272</v>
      </c>
      <c r="S574" s="20">
        <f>IFERROR(IF([2]对账明细接口!$N574=0,"",[2]对账明细接口!$N574),"")</f>
      </c>
      <c r="T574" s="212">
        <f>IFERROR(IF([2]对账明细接口!$O574=0,"",[2]对账明细接口!$O574),"")</f>
      </c>
      <c r="U574" s="212">
        <f>IFERROR(IF([2]对账明细接口!$P574=0,"",[2]对账明细接口!$P574),"")</f>
      </c>
      <c r="V574" s="212">
        <f>IFERROR(IF([2]对账明细接口!$Q574=0,"",[2]对账明细接口!$Q574),"")</f>
      </c>
      <c r="W574" s="20">
        <f>IFERROR(IF([2]对账明细接口!$R574=0,"",[2]对账明细接口!$R574),"")</f>
      </c>
      <c r="X574" s="20">
        <f>IFERROR(IF([2]对账明细接口!$S574=0,"",[2]对账明细接口!$S574),"")</f>
      </c>
      <c r="Y574" s="20">
        <f>""</f>
      </c>
      <c r="Z574" s="20">
        <f>""</f>
      </c>
      <c r="AA574" s="20">
        <f>""</f>
      </c>
      <c r="AB574" s="20">
        <f>""</f>
      </c>
    </row>
    <row r="575" s="127">
      <c r="A575" s="14" t="n">
        <v>575</v>
      </c>
      <c r="B575" s="211">
        <f>IFERROR(IF([2]对账明细接口!$B$575=0,"",[2]对账明细接口!$B$575),"")</f>
      </c>
      <c r="C575" s="16">
        <f>IFERROR(IF([2]对账明细接口!$C$575=0,"",[2]对账明细接口!$C$575),"")</f>
      </c>
      <c r="D575" s="16">
        <f>IFERROR(IF([2]对账明细接口!$D$575=0,"",[2]对账明细接口!$D$575),"")</f>
      </c>
      <c r="E575" s="16">
        <f>IFERROR(IF([2]对账明细接口!$E$575=0,"",[2]对账明细接口!$E$575),"")</f>
      </c>
      <c r="F575" s="16">
        <f>IFERROR(IF([2]对账明细接口!$F$575=0,"",[2]对账明细接口!$F$575),"")</f>
      </c>
      <c r="G575" s="16">
        <f>IFERROR(IF([2]对账明细接口!$G$575=0,"",[2]对账明细接口!$G$575),"")</f>
      </c>
      <c r="H575" s="176">
        <f>IFERROR(IF([2]对账明细接口!$H$575=0,"",[2]对账明细接口!$H$575),"")</f>
      </c>
      <c r="I575" s="16">
        <f>IFERROR(IF([2]对账明细接口!$I$575=0,"",[2]对账明细接口!$I$575),"")</f>
      </c>
      <c r="J575" s="177">
        <f>IFERROR(IF([2]对账明细接口!$J$575=0,"",[2]对账明细接口!$J$575),"")</f>
      </c>
      <c r="K575" s="177">
        <f>IFERROR(IF([2]对账明细接口!$K$575=0,"",[2]对账明细接口!$K$575),"")</f>
      </c>
      <c r="L575" s="16">
        <f>IFERROR(IF([2]对账明细接口!$L$575=0,"",[2]对账明细接口!$L$575),"")</f>
      </c>
      <c r="M575" s="16">
        <f>IFERROR(IF([2]对账明细接口!$M$575=0,"",[2]对账明细接口!$M$575),"")</f>
      </c>
      <c r="N575" s="19">
        <f>IF($C575="",0,1)</f>
        <v>0</v>
      </c>
      <c r="O575" s="19">
        <f>N(O574)+$N575</f>
        <v>272</v>
      </c>
      <c r="S575" s="20">
        <f>IFERROR(IF([2]对账明细接口!$N575=0,"",[2]对账明细接口!$N575),"")</f>
      </c>
      <c r="T575" s="212">
        <f>IFERROR(IF([2]对账明细接口!$O575=0,"",[2]对账明细接口!$O575),"")</f>
      </c>
      <c r="U575" s="212">
        <f>IFERROR(IF([2]对账明细接口!$P575=0,"",[2]对账明细接口!$P575),"")</f>
      </c>
      <c r="V575" s="212">
        <f>IFERROR(IF([2]对账明细接口!$Q575=0,"",[2]对账明细接口!$Q575),"")</f>
      </c>
      <c r="W575" s="20">
        <f>IFERROR(IF([2]对账明细接口!$R575=0,"",[2]对账明细接口!$R575),"")</f>
      </c>
      <c r="X575" s="20">
        <f>IFERROR(IF([2]对账明细接口!$S575=0,"",[2]对账明细接口!$S575),"")</f>
      </c>
      <c r="Y575" s="20">
        <f>""</f>
      </c>
      <c r="Z575" s="20">
        <f>""</f>
      </c>
      <c r="AA575" s="20">
        <f>""</f>
      </c>
      <c r="AB575" s="20">
        <f>""</f>
      </c>
    </row>
    <row r="576" s="127">
      <c r="A576" s="14" t="n">
        <v>576</v>
      </c>
      <c r="B576" s="211">
        <f>IFERROR(IF([2]对账明细接口!$B$576=0,"",[2]对账明细接口!$B$576),"")</f>
      </c>
      <c r="C576" s="16">
        <f>IFERROR(IF([2]对账明细接口!$C$576=0,"",[2]对账明细接口!$C$576),"")</f>
      </c>
      <c r="D576" s="16">
        <f>IFERROR(IF([2]对账明细接口!$D$576=0,"",[2]对账明细接口!$D$576),"")</f>
      </c>
      <c r="E576" s="16">
        <f>IFERROR(IF([2]对账明细接口!$E$576=0,"",[2]对账明细接口!$E$576),"")</f>
      </c>
      <c r="F576" s="16">
        <f>IFERROR(IF([2]对账明细接口!$F$576=0,"",[2]对账明细接口!$F$576),"")</f>
      </c>
      <c r="G576" s="16">
        <f>IFERROR(IF([2]对账明细接口!$G$576=0,"",[2]对账明细接口!$G$576),"")</f>
      </c>
      <c r="H576" s="176">
        <f>IFERROR(IF([2]对账明细接口!$H$576=0,"",[2]对账明细接口!$H$576),"")</f>
      </c>
      <c r="I576" s="16">
        <f>IFERROR(IF([2]对账明细接口!$I$576=0,"",[2]对账明细接口!$I$576),"")</f>
      </c>
      <c r="J576" s="177">
        <f>IFERROR(IF([2]对账明细接口!$J$576=0,"",[2]对账明细接口!$J$576),"")</f>
      </c>
      <c r="K576" s="177">
        <f>IFERROR(IF([2]对账明细接口!$K$576=0,"",[2]对账明细接口!$K$576),"")</f>
      </c>
      <c r="L576" s="16">
        <f>IFERROR(IF([2]对账明细接口!$L$576=0,"",[2]对账明细接口!$L$576),"")</f>
      </c>
      <c r="M576" s="16">
        <f>IFERROR(IF([2]对账明细接口!$M$576=0,"",[2]对账明细接口!$M$576),"")</f>
      </c>
      <c r="N576" s="19">
        <f>IF($C576="",0,1)</f>
        <v>0</v>
      </c>
      <c r="O576" s="19">
        <f>N(O575)+$N576</f>
        <v>272</v>
      </c>
      <c r="S576" s="20">
        <f>IFERROR(IF([2]对账明细接口!$N576=0,"",[2]对账明细接口!$N576),"")</f>
      </c>
      <c r="T576" s="212">
        <f>IFERROR(IF([2]对账明细接口!$O576=0,"",[2]对账明细接口!$O576),"")</f>
      </c>
      <c r="U576" s="212">
        <f>IFERROR(IF([2]对账明细接口!$P576=0,"",[2]对账明细接口!$P576),"")</f>
      </c>
      <c r="V576" s="212">
        <f>IFERROR(IF([2]对账明细接口!$Q576=0,"",[2]对账明细接口!$Q576),"")</f>
      </c>
      <c r="W576" s="20">
        <f>IFERROR(IF([2]对账明细接口!$R576=0,"",[2]对账明细接口!$R576),"")</f>
      </c>
      <c r="X576" s="20">
        <f>IFERROR(IF([2]对账明细接口!$S576=0,"",[2]对账明细接口!$S576),"")</f>
      </c>
      <c r="Y576" s="20">
        <f>""</f>
      </c>
      <c r="Z576" s="20">
        <f>""</f>
      </c>
      <c r="AA576" s="20">
        <f>""</f>
      </c>
      <c r="AB576" s="20">
        <f>""</f>
      </c>
    </row>
    <row r="577" s="127">
      <c r="A577" s="14" t="n">
        <v>577</v>
      </c>
      <c r="B577" s="211">
        <f>IFERROR(IF([2]对账明细接口!$B$577=0,"",[2]对账明细接口!$B$577),"")</f>
      </c>
      <c r="C577" s="16">
        <f>IFERROR(IF([2]对账明细接口!$C$577=0,"",[2]对账明细接口!$C$577),"")</f>
      </c>
      <c r="D577" s="16">
        <f>IFERROR(IF([2]对账明细接口!$D$577=0,"",[2]对账明细接口!$D$577),"")</f>
      </c>
      <c r="E577" s="16">
        <f>IFERROR(IF([2]对账明细接口!$E$577=0,"",[2]对账明细接口!$E$577),"")</f>
      </c>
      <c r="F577" s="16">
        <f>IFERROR(IF([2]对账明细接口!$F$577=0,"",[2]对账明细接口!$F$577),"")</f>
      </c>
      <c r="G577" s="16">
        <f>IFERROR(IF([2]对账明细接口!$G$577=0,"",[2]对账明细接口!$G$577),"")</f>
      </c>
      <c r="H577" s="176">
        <f>IFERROR(IF([2]对账明细接口!$H$577=0,"",[2]对账明细接口!$H$577),"")</f>
      </c>
      <c r="I577" s="16">
        <f>IFERROR(IF([2]对账明细接口!$I$577=0,"",[2]对账明细接口!$I$577),"")</f>
      </c>
      <c r="J577" s="177">
        <f>IFERROR(IF([2]对账明细接口!$J$577=0,"",[2]对账明细接口!$J$577),"")</f>
      </c>
      <c r="K577" s="177">
        <f>IFERROR(IF([2]对账明细接口!$K$577=0,"",[2]对账明细接口!$K$577),"")</f>
      </c>
      <c r="L577" s="16">
        <f>IFERROR(IF([2]对账明细接口!$L$577=0,"",[2]对账明细接口!$L$577),"")</f>
      </c>
      <c r="M577" s="16">
        <f>IFERROR(IF([2]对账明细接口!$M$577=0,"",[2]对账明细接口!$M$577),"")</f>
      </c>
      <c r="N577" s="19">
        <f>IF($C577="",0,1)</f>
        <v>0</v>
      </c>
      <c r="O577" s="19">
        <f>N(O576)+$N577</f>
        <v>272</v>
      </c>
      <c r="S577" s="20">
        <f>IFERROR(IF([2]对账明细接口!$N577=0,"",[2]对账明细接口!$N577),"")</f>
      </c>
      <c r="T577" s="212">
        <f>IFERROR(IF([2]对账明细接口!$O577=0,"",[2]对账明细接口!$O577),"")</f>
      </c>
      <c r="U577" s="212">
        <f>IFERROR(IF([2]对账明细接口!$P577=0,"",[2]对账明细接口!$P577),"")</f>
      </c>
      <c r="V577" s="212">
        <f>IFERROR(IF([2]对账明细接口!$Q577=0,"",[2]对账明细接口!$Q577),"")</f>
      </c>
      <c r="W577" s="20">
        <f>IFERROR(IF([2]对账明细接口!$R577=0,"",[2]对账明细接口!$R577),"")</f>
      </c>
      <c r="X577" s="20">
        <f>IFERROR(IF([2]对账明细接口!$S577=0,"",[2]对账明细接口!$S577),"")</f>
      </c>
      <c r="Y577" s="20">
        <f>""</f>
      </c>
      <c r="Z577" s="20">
        <f>""</f>
      </c>
      <c r="AA577" s="20">
        <f>""</f>
      </c>
      <c r="AB577" s="20">
        <f>""</f>
      </c>
    </row>
    <row r="578" s="127">
      <c r="A578" s="14" t="n">
        <v>578</v>
      </c>
      <c r="B578" s="211">
        <f>IFERROR(IF([2]对账明细接口!$B$578=0,"",[2]对账明细接口!$B$578),"")</f>
      </c>
      <c r="C578" s="16">
        <f>IFERROR(IF([2]对账明细接口!$C$578=0,"",[2]对账明细接口!$C$578),"")</f>
      </c>
      <c r="D578" s="16">
        <f>IFERROR(IF([2]对账明细接口!$D$578=0,"",[2]对账明细接口!$D$578),"")</f>
      </c>
      <c r="E578" s="16">
        <f>IFERROR(IF([2]对账明细接口!$E$578=0,"",[2]对账明细接口!$E$578),"")</f>
      </c>
      <c r="F578" s="16">
        <f>IFERROR(IF([2]对账明细接口!$F$578=0,"",[2]对账明细接口!$F$578),"")</f>
      </c>
      <c r="G578" s="16">
        <f>IFERROR(IF([2]对账明细接口!$G$578=0,"",[2]对账明细接口!$G$578),"")</f>
      </c>
      <c r="H578" s="176">
        <f>IFERROR(IF([2]对账明细接口!$H$578=0,"",[2]对账明细接口!$H$578),"")</f>
      </c>
      <c r="I578" s="16">
        <f>IFERROR(IF([2]对账明细接口!$I$578=0,"",[2]对账明细接口!$I$578),"")</f>
      </c>
      <c r="J578" s="177">
        <f>IFERROR(IF([2]对账明细接口!$J$578=0,"",[2]对账明细接口!$J$578),"")</f>
      </c>
      <c r="K578" s="177">
        <f>IFERROR(IF([2]对账明细接口!$K$578=0,"",[2]对账明细接口!$K$578),"")</f>
      </c>
      <c r="L578" s="16">
        <f>IFERROR(IF([2]对账明细接口!$L$578=0,"",[2]对账明细接口!$L$578),"")</f>
      </c>
      <c r="M578" s="16">
        <f>IFERROR(IF([2]对账明细接口!$M$578=0,"",[2]对账明细接口!$M$578),"")</f>
      </c>
      <c r="N578" s="19">
        <f>IF($C578="",0,1)</f>
        <v>0</v>
      </c>
      <c r="O578" s="19">
        <f>N(O577)+$N578</f>
        <v>272</v>
      </c>
      <c r="S578" s="20">
        <f>IFERROR(IF([2]对账明细接口!$N578=0,"",[2]对账明细接口!$N578),"")</f>
      </c>
      <c r="T578" s="212">
        <f>IFERROR(IF([2]对账明细接口!$O578=0,"",[2]对账明细接口!$O578),"")</f>
      </c>
      <c r="U578" s="212">
        <f>IFERROR(IF([2]对账明细接口!$P578=0,"",[2]对账明细接口!$P578),"")</f>
      </c>
      <c r="V578" s="212">
        <f>IFERROR(IF([2]对账明细接口!$Q578=0,"",[2]对账明细接口!$Q578),"")</f>
      </c>
      <c r="W578" s="20">
        <f>IFERROR(IF([2]对账明细接口!$R578=0,"",[2]对账明细接口!$R578),"")</f>
      </c>
      <c r="X578" s="20">
        <f>IFERROR(IF([2]对账明细接口!$S578=0,"",[2]对账明细接口!$S578),"")</f>
      </c>
      <c r="Y578" s="20">
        <f>""</f>
      </c>
      <c r="Z578" s="20">
        <f>""</f>
      </c>
      <c r="AA578" s="20">
        <f>""</f>
      </c>
      <c r="AB578" s="20">
        <f>""</f>
      </c>
    </row>
    <row r="579" s="127">
      <c r="A579" s="14" t="n">
        <v>579</v>
      </c>
      <c r="B579" s="211">
        <f>IFERROR(IF([2]对账明细接口!$B$579=0,"",[2]对账明细接口!$B$579),"")</f>
      </c>
      <c r="C579" s="16">
        <f>IFERROR(IF([2]对账明细接口!$C$579=0,"",[2]对账明细接口!$C$579),"")</f>
      </c>
      <c r="D579" s="16">
        <f>IFERROR(IF([2]对账明细接口!$D$579=0,"",[2]对账明细接口!$D$579),"")</f>
      </c>
      <c r="E579" s="16">
        <f>IFERROR(IF([2]对账明细接口!$E$579=0,"",[2]对账明细接口!$E$579),"")</f>
      </c>
      <c r="F579" s="16">
        <f>IFERROR(IF([2]对账明细接口!$F$579=0,"",[2]对账明细接口!$F$579),"")</f>
      </c>
      <c r="G579" s="16">
        <f>IFERROR(IF([2]对账明细接口!$G$579=0,"",[2]对账明细接口!$G$579),"")</f>
      </c>
      <c r="H579" s="176">
        <f>IFERROR(IF([2]对账明细接口!$H$579=0,"",[2]对账明细接口!$H$579),"")</f>
      </c>
      <c r="I579" s="16">
        <f>IFERROR(IF([2]对账明细接口!$I$579=0,"",[2]对账明细接口!$I$579),"")</f>
      </c>
      <c r="J579" s="177">
        <f>IFERROR(IF([2]对账明细接口!$J$579=0,"",[2]对账明细接口!$J$579),"")</f>
      </c>
      <c r="K579" s="177">
        <f>IFERROR(IF([2]对账明细接口!$K$579=0,"",[2]对账明细接口!$K$579),"")</f>
      </c>
      <c r="L579" s="16">
        <f>IFERROR(IF([2]对账明细接口!$L$579=0,"",[2]对账明细接口!$L$579),"")</f>
      </c>
      <c r="M579" s="16">
        <f>IFERROR(IF([2]对账明细接口!$M$579=0,"",[2]对账明细接口!$M$579),"")</f>
      </c>
      <c r="N579" s="19">
        <f>IF($C579="",0,1)</f>
        <v>0</v>
      </c>
      <c r="O579" s="19">
        <f>N(O578)+$N579</f>
        <v>272</v>
      </c>
      <c r="S579" s="20">
        <f>IFERROR(IF([2]对账明细接口!$N579=0,"",[2]对账明细接口!$N579),"")</f>
      </c>
      <c r="T579" s="212">
        <f>IFERROR(IF([2]对账明细接口!$O579=0,"",[2]对账明细接口!$O579),"")</f>
      </c>
      <c r="U579" s="212">
        <f>IFERROR(IF([2]对账明细接口!$P579=0,"",[2]对账明细接口!$P579),"")</f>
      </c>
      <c r="V579" s="212">
        <f>IFERROR(IF([2]对账明细接口!$Q579=0,"",[2]对账明细接口!$Q579),"")</f>
      </c>
      <c r="W579" s="20">
        <f>IFERROR(IF([2]对账明细接口!$R579=0,"",[2]对账明细接口!$R579),"")</f>
      </c>
      <c r="X579" s="20">
        <f>IFERROR(IF([2]对账明细接口!$S579=0,"",[2]对账明细接口!$S579),"")</f>
      </c>
      <c r="Y579" s="20">
        <f>""</f>
      </c>
      <c r="Z579" s="20">
        <f>""</f>
      </c>
      <c r="AA579" s="20">
        <f>""</f>
      </c>
      <c r="AB579" s="20">
        <f>""</f>
      </c>
    </row>
    <row r="580" s="127">
      <c r="A580" s="14" t="n">
        <v>580</v>
      </c>
      <c r="B580" s="211">
        <f>IFERROR(IF([2]对账明细接口!$B$580=0,"",[2]对账明细接口!$B$580),"")</f>
      </c>
      <c r="C580" s="16">
        <f>IFERROR(IF([2]对账明细接口!$C$580=0,"",[2]对账明细接口!$C$580),"")</f>
      </c>
      <c r="D580" s="16">
        <f>IFERROR(IF([2]对账明细接口!$D$580=0,"",[2]对账明细接口!$D$580),"")</f>
      </c>
      <c r="E580" s="16">
        <f>IFERROR(IF([2]对账明细接口!$E$580=0,"",[2]对账明细接口!$E$580),"")</f>
      </c>
      <c r="F580" s="16">
        <f>IFERROR(IF([2]对账明细接口!$F$580=0,"",[2]对账明细接口!$F$580),"")</f>
      </c>
      <c r="G580" s="16">
        <f>IFERROR(IF([2]对账明细接口!$G$580=0,"",[2]对账明细接口!$G$580),"")</f>
      </c>
      <c r="H580" s="176">
        <f>IFERROR(IF([2]对账明细接口!$H$580=0,"",[2]对账明细接口!$H$580),"")</f>
      </c>
      <c r="I580" s="16">
        <f>IFERROR(IF([2]对账明细接口!$I$580=0,"",[2]对账明细接口!$I$580),"")</f>
      </c>
      <c r="J580" s="177">
        <f>IFERROR(IF([2]对账明细接口!$J$580=0,"",[2]对账明细接口!$J$580),"")</f>
      </c>
      <c r="K580" s="177">
        <f>IFERROR(IF([2]对账明细接口!$K$580=0,"",[2]对账明细接口!$K$580),"")</f>
      </c>
      <c r="L580" s="16">
        <f>IFERROR(IF([2]对账明细接口!$L$580=0,"",[2]对账明细接口!$L$580),"")</f>
      </c>
      <c r="M580" s="16">
        <f>IFERROR(IF([2]对账明细接口!$M$580=0,"",[2]对账明细接口!$M$580),"")</f>
      </c>
      <c r="N580" s="19">
        <f>IF($C580="",0,1)</f>
        <v>0</v>
      </c>
      <c r="O580" s="19">
        <f>N(O579)+$N580</f>
        <v>272</v>
      </c>
      <c r="S580" s="20">
        <f>IFERROR(IF([2]对账明细接口!$N580=0,"",[2]对账明细接口!$N580),"")</f>
      </c>
      <c r="T580" s="212">
        <f>IFERROR(IF([2]对账明细接口!$O580=0,"",[2]对账明细接口!$O580),"")</f>
      </c>
      <c r="U580" s="212">
        <f>IFERROR(IF([2]对账明细接口!$P580=0,"",[2]对账明细接口!$P580),"")</f>
      </c>
      <c r="V580" s="212">
        <f>IFERROR(IF([2]对账明细接口!$Q580=0,"",[2]对账明细接口!$Q580),"")</f>
      </c>
      <c r="W580" s="20">
        <f>IFERROR(IF([2]对账明细接口!$R580=0,"",[2]对账明细接口!$R580),"")</f>
      </c>
      <c r="X580" s="20">
        <f>IFERROR(IF([2]对账明细接口!$S580=0,"",[2]对账明细接口!$S580),"")</f>
      </c>
      <c r="Y580" s="20">
        <f>""</f>
      </c>
      <c r="Z580" s="20">
        <f>""</f>
      </c>
      <c r="AA580" s="20">
        <f>""</f>
      </c>
      <c r="AB580" s="20">
        <f>""</f>
      </c>
    </row>
    <row r="581" s="127">
      <c r="A581" s="14" t="n">
        <v>581</v>
      </c>
      <c r="B581" s="211">
        <f>IFERROR(IF([2]对账明细接口!$B$581=0,"",[2]对账明细接口!$B$581),"")</f>
      </c>
      <c r="C581" s="16">
        <f>IFERROR(IF([2]对账明细接口!$C$581=0,"",[2]对账明细接口!$C$581),"")</f>
      </c>
      <c r="D581" s="16">
        <f>IFERROR(IF([2]对账明细接口!$D$581=0,"",[2]对账明细接口!$D$581),"")</f>
      </c>
      <c r="E581" s="16">
        <f>IFERROR(IF([2]对账明细接口!$E$581=0,"",[2]对账明细接口!$E$581),"")</f>
      </c>
      <c r="F581" s="16">
        <f>IFERROR(IF([2]对账明细接口!$F$581=0,"",[2]对账明细接口!$F$581),"")</f>
      </c>
      <c r="G581" s="16">
        <f>IFERROR(IF([2]对账明细接口!$G$581=0,"",[2]对账明细接口!$G$581),"")</f>
      </c>
      <c r="H581" s="176">
        <f>IFERROR(IF([2]对账明细接口!$H$581=0,"",[2]对账明细接口!$H$581),"")</f>
      </c>
      <c r="I581" s="16">
        <f>IFERROR(IF([2]对账明细接口!$I$581=0,"",[2]对账明细接口!$I$581),"")</f>
      </c>
      <c r="J581" s="177">
        <f>IFERROR(IF([2]对账明细接口!$J$581=0,"",[2]对账明细接口!$J$581),"")</f>
      </c>
      <c r="K581" s="177">
        <f>IFERROR(IF([2]对账明细接口!$K$581=0,"",[2]对账明细接口!$K$581),"")</f>
      </c>
      <c r="L581" s="16">
        <f>IFERROR(IF([2]对账明细接口!$L$581=0,"",[2]对账明细接口!$L$581),"")</f>
      </c>
      <c r="M581" s="16">
        <f>IFERROR(IF([2]对账明细接口!$M$581=0,"",[2]对账明细接口!$M$581),"")</f>
      </c>
      <c r="N581" s="19">
        <f>IF($C581="",0,1)</f>
        <v>0</v>
      </c>
      <c r="O581" s="19">
        <f>N(O580)+$N581</f>
        <v>272</v>
      </c>
      <c r="S581" s="20">
        <f>IFERROR(IF([2]对账明细接口!$N581=0,"",[2]对账明细接口!$N581),"")</f>
      </c>
      <c r="T581" s="212">
        <f>IFERROR(IF([2]对账明细接口!$O581=0,"",[2]对账明细接口!$O581),"")</f>
      </c>
      <c r="U581" s="212">
        <f>IFERROR(IF([2]对账明细接口!$P581=0,"",[2]对账明细接口!$P581),"")</f>
      </c>
      <c r="V581" s="212">
        <f>IFERROR(IF([2]对账明细接口!$Q581=0,"",[2]对账明细接口!$Q581),"")</f>
      </c>
      <c r="W581" s="20">
        <f>IFERROR(IF([2]对账明细接口!$R581=0,"",[2]对账明细接口!$R581),"")</f>
      </c>
      <c r="X581" s="20">
        <f>IFERROR(IF([2]对账明细接口!$S581=0,"",[2]对账明细接口!$S581),"")</f>
      </c>
      <c r="Y581" s="20">
        <f>""</f>
      </c>
      <c r="Z581" s="20">
        <f>""</f>
      </c>
      <c r="AA581" s="20">
        <f>""</f>
      </c>
      <c r="AB581" s="20">
        <f>""</f>
      </c>
    </row>
    <row r="582" s="127">
      <c r="A582" s="14" t="n">
        <v>582</v>
      </c>
      <c r="B582" s="211">
        <f>IFERROR(IF([2]对账明细接口!$B$582=0,"",[2]对账明细接口!$B$582),"")</f>
      </c>
      <c r="C582" s="16">
        <f>IFERROR(IF([2]对账明细接口!$C$582=0,"",[2]对账明细接口!$C$582),"")</f>
      </c>
      <c r="D582" s="16">
        <f>IFERROR(IF([2]对账明细接口!$D$582=0,"",[2]对账明细接口!$D$582),"")</f>
      </c>
      <c r="E582" s="16">
        <f>IFERROR(IF([2]对账明细接口!$E$582=0,"",[2]对账明细接口!$E$582),"")</f>
      </c>
      <c r="F582" s="16">
        <f>IFERROR(IF([2]对账明细接口!$F$582=0,"",[2]对账明细接口!$F$582),"")</f>
      </c>
      <c r="G582" s="16">
        <f>IFERROR(IF([2]对账明细接口!$G$582=0,"",[2]对账明细接口!$G$582),"")</f>
      </c>
      <c r="H582" s="176">
        <f>IFERROR(IF([2]对账明细接口!$H$582=0,"",[2]对账明细接口!$H$582),"")</f>
      </c>
      <c r="I582" s="16">
        <f>IFERROR(IF([2]对账明细接口!$I$582=0,"",[2]对账明细接口!$I$582),"")</f>
      </c>
      <c r="J582" s="177">
        <f>IFERROR(IF([2]对账明细接口!$J$582=0,"",[2]对账明细接口!$J$582),"")</f>
      </c>
      <c r="K582" s="177">
        <f>IFERROR(IF([2]对账明细接口!$K$582=0,"",[2]对账明细接口!$K$582),"")</f>
      </c>
      <c r="L582" s="16">
        <f>IFERROR(IF([2]对账明细接口!$L$582=0,"",[2]对账明细接口!$L$582),"")</f>
      </c>
      <c r="M582" s="16">
        <f>IFERROR(IF([2]对账明细接口!$M$582=0,"",[2]对账明细接口!$M$582),"")</f>
      </c>
      <c r="N582" s="19">
        <f>IF($C582="",0,1)</f>
        <v>0</v>
      </c>
      <c r="O582" s="19">
        <f>N(O581)+$N582</f>
        <v>272</v>
      </c>
      <c r="S582" s="20">
        <f>IFERROR(IF([2]对账明细接口!$N582=0,"",[2]对账明细接口!$N582),"")</f>
      </c>
      <c r="T582" s="212">
        <f>IFERROR(IF([2]对账明细接口!$O582=0,"",[2]对账明细接口!$O582),"")</f>
      </c>
      <c r="U582" s="212">
        <f>IFERROR(IF([2]对账明细接口!$P582=0,"",[2]对账明细接口!$P582),"")</f>
      </c>
      <c r="V582" s="212">
        <f>IFERROR(IF([2]对账明细接口!$Q582=0,"",[2]对账明细接口!$Q582),"")</f>
      </c>
      <c r="W582" s="20">
        <f>IFERROR(IF([2]对账明细接口!$R582=0,"",[2]对账明细接口!$R582),"")</f>
      </c>
      <c r="X582" s="20">
        <f>IFERROR(IF([2]对账明细接口!$S582=0,"",[2]对账明细接口!$S582),"")</f>
      </c>
      <c r="Y582" s="20">
        <f>""</f>
      </c>
      <c r="Z582" s="20">
        <f>""</f>
      </c>
      <c r="AA582" s="20">
        <f>""</f>
      </c>
      <c r="AB582" s="20">
        <f>""</f>
      </c>
    </row>
    <row r="583" s="127">
      <c r="A583" s="14" t="n">
        <v>583</v>
      </c>
      <c r="B583" s="211">
        <f>IFERROR(IF([2]对账明细接口!$B$583=0,"",[2]对账明细接口!$B$583),"")</f>
      </c>
      <c r="C583" s="16">
        <f>IFERROR(IF([2]对账明细接口!$C$583=0,"",[2]对账明细接口!$C$583),"")</f>
      </c>
      <c r="D583" s="16">
        <f>IFERROR(IF([2]对账明细接口!$D$583=0,"",[2]对账明细接口!$D$583),"")</f>
      </c>
      <c r="E583" s="16">
        <f>IFERROR(IF([2]对账明细接口!$E$583=0,"",[2]对账明细接口!$E$583),"")</f>
      </c>
      <c r="F583" s="16">
        <f>IFERROR(IF([2]对账明细接口!$F$583=0,"",[2]对账明细接口!$F$583),"")</f>
      </c>
      <c r="G583" s="16">
        <f>IFERROR(IF([2]对账明细接口!$G$583=0,"",[2]对账明细接口!$G$583),"")</f>
      </c>
      <c r="H583" s="176">
        <f>IFERROR(IF([2]对账明细接口!$H$583=0,"",[2]对账明细接口!$H$583),"")</f>
      </c>
      <c r="I583" s="16">
        <f>IFERROR(IF([2]对账明细接口!$I$583=0,"",[2]对账明细接口!$I$583),"")</f>
      </c>
      <c r="J583" s="177">
        <f>IFERROR(IF([2]对账明细接口!$J$583=0,"",[2]对账明细接口!$J$583),"")</f>
      </c>
      <c r="K583" s="177">
        <f>IFERROR(IF([2]对账明细接口!$K$583=0,"",[2]对账明细接口!$K$583),"")</f>
      </c>
      <c r="L583" s="16">
        <f>IFERROR(IF([2]对账明细接口!$L$583=0,"",[2]对账明细接口!$L$583),"")</f>
      </c>
      <c r="M583" s="16">
        <f>IFERROR(IF([2]对账明细接口!$M$583=0,"",[2]对账明细接口!$M$583),"")</f>
      </c>
      <c r="N583" s="19">
        <f>IF($C583="",0,1)</f>
        <v>0</v>
      </c>
      <c r="O583" s="19">
        <f>N(O582)+$N583</f>
        <v>272</v>
      </c>
      <c r="S583" s="20">
        <f>IFERROR(IF([2]对账明细接口!$N583=0,"",[2]对账明细接口!$N583),"")</f>
      </c>
      <c r="T583" s="212">
        <f>IFERROR(IF([2]对账明细接口!$O583=0,"",[2]对账明细接口!$O583),"")</f>
      </c>
      <c r="U583" s="212">
        <f>IFERROR(IF([2]对账明细接口!$P583=0,"",[2]对账明细接口!$P583),"")</f>
      </c>
      <c r="V583" s="212">
        <f>IFERROR(IF([2]对账明细接口!$Q583=0,"",[2]对账明细接口!$Q583),"")</f>
      </c>
      <c r="W583" s="20">
        <f>IFERROR(IF([2]对账明细接口!$R583=0,"",[2]对账明细接口!$R583),"")</f>
      </c>
      <c r="X583" s="20">
        <f>IFERROR(IF([2]对账明细接口!$S583=0,"",[2]对账明细接口!$S583),"")</f>
      </c>
      <c r="Y583" s="20">
        <f>""</f>
      </c>
      <c r="Z583" s="20">
        <f>""</f>
      </c>
      <c r="AA583" s="20">
        <f>""</f>
      </c>
      <c r="AB583" s="20">
        <f>""</f>
      </c>
    </row>
    <row r="584" s="127">
      <c r="A584" s="14" t="n">
        <v>584</v>
      </c>
      <c r="B584" s="211">
        <f>IFERROR(IF([2]对账明细接口!$B$584=0,"",[2]对账明细接口!$B$584),"")</f>
      </c>
      <c r="C584" s="16">
        <f>IFERROR(IF([2]对账明细接口!$C$584=0,"",[2]对账明细接口!$C$584),"")</f>
      </c>
      <c r="D584" s="16">
        <f>IFERROR(IF([2]对账明细接口!$D$584=0,"",[2]对账明细接口!$D$584),"")</f>
      </c>
      <c r="E584" s="16">
        <f>IFERROR(IF([2]对账明细接口!$E$584=0,"",[2]对账明细接口!$E$584),"")</f>
      </c>
      <c r="F584" s="16">
        <f>IFERROR(IF([2]对账明细接口!$F$584=0,"",[2]对账明细接口!$F$584),"")</f>
      </c>
      <c r="G584" s="16">
        <f>IFERROR(IF([2]对账明细接口!$G$584=0,"",[2]对账明细接口!$G$584),"")</f>
      </c>
      <c r="H584" s="176">
        <f>IFERROR(IF([2]对账明细接口!$H$584=0,"",[2]对账明细接口!$H$584),"")</f>
      </c>
      <c r="I584" s="16">
        <f>IFERROR(IF([2]对账明细接口!$I$584=0,"",[2]对账明细接口!$I$584),"")</f>
      </c>
      <c r="J584" s="177">
        <f>IFERROR(IF([2]对账明细接口!$J$584=0,"",[2]对账明细接口!$J$584),"")</f>
      </c>
      <c r="K584" s="177">
        <f>IFERROR(IF([2]对账明细接口!$K$584=0,"",[2]对账明细接口!$K$584),"")</f>
      </c>
      <c r="L584" s="16">
        <f>IFERROR(IF([2]对账明细接口!$L$584=0,"",[2]对账明细接口!$L$584),"")</f>
      </c>
      <c r="M584" s="16">
        <f>IFERROR(IF([2]对账明细接口!$M$584=0,"",[2]对账明细接口!$M$584),"")</f>
      </c>
      <c r="N584" s="19">
        <f>IF($C584="",0,1)</f>
        <v>0</v>
      </c>
      <c r="O584" s="19">
        <f>N(O583)+$N584</f>
        <v>272</v>
      </c>
      <c r="S584" s="20">
        <f>IFERROR(IF([2]对账明细接口!$N584=0,"",[2]对账明细接口!$N584),"")</f>
      </c>
      <c r="T584" s="212">
        <f>IFERROR(IF([2]对账明细接口!$O584=0,"",[2]对账明细接口!$O584),"")</f>
      </c>
      <c r="U584" s="212">
        <f>IFERROR(IF([2]对账明细接口!$P584=0,"",[2]对账明细接口!$P584),"")</f>
      </c>
      <c r="V584" s="212">
        <f>IFERROR(IF([2]对账明细接口!$Q584=0,"",[2]对账明细接口!$Q584),"")</f>
      </c>
      <c r="W584" s="20">
        <f>IFERROR(IF([2]对账明细接口!$R584=0,"",[2]对账明细接口!$R584),"")</f>
      </c>
      <c r="X584" s="20">
        <f>IFERROR(IF([2]对账明细接口!$S584=0,"",[2]对账明细接口!$S584),"")</f>
      </c>
      <c r="Y584" s="20">
        <f>""</f>
      </c>
      <c r="Z584" s="20">
        <f>""</f>
      </c>
      <c r="AA584" s="20">
        <f>""</f>
      </c>
      <c r="AB584" s="20">
        <f>""</f>
      </c>
    </row>
    <row r="585" s="127">
      <c r="A585" s="14" t="n">
        <v>585</v>
      </c>
      <c r="B585" s="211">
        <f>IFERROR(IF([2]对账明细接口!$B$585=0,"",[2]对账明细接口!$B$585),"")</f>
      </c>
      <c r="C585" s="16">
        <f>IFERROR(IF([2]对账明细接口!$C$585=0,"",[2]对账明细接口!$C$585),"")</f>
      </c>
      <c r="D585" s="16">
        <f>IFERROR(IF([2]对账明细接口!$D$585=0,"",[2]对账明细接口!$D$585),"")</f>
      </c>
      <c r="E585" s="16">
        <f>IFERROR(IF([2]对账明细接口!$E$585=0,"",[2]对账明细接口!$E$585),"")</f>
      </c>
      <c r="F585" s="16">
        <f>IFERROR(IF([2]对账明细接口!$F$585=0,"",[2]对账明细接口!$F$585),"")</f>
      </c>
      <c r="G585" s="16">
        <f>IFERROR(IF([2]对账明细接口!$G$585=0,"",[2]对账明细接口!$G$585),"")</f>
      </c>
      <c r="H585" s="176">
        <f>IFERROR(IF([2]对账明细接口!$H$585=0,"",[2]对账明细接口!$H$585),"")</f>
      </c>
      <c r="I585" s="16">
        <f>IFERROR(IF([2]对账明细接口!$I$585=0,"",[2]对账明细接口!$I$585),"")</f>
      </c>
      <c r="J585" s="177">
        <f>IFERROR(IF([2]对账明细接口!$J$585=0,"",[2]对账明细接口!$J$585),"")</f>
      </c>
      <c r="K585" s="177">
        <f>IFERROR(IF([2]对账明细接口!$K$585=0,"",[2]对账明细接口!$K$585),"")</f>
      </c>
      <c r="L585" s="16">
        <f>IFERROR(IF([2]对账明细接口!$L$585=0,"",[2]对账明细接口!$L$585),"")</f>
      </c>
      <c r="M585" s="16">
        <f>IFERROR(IF([2]对账明细接口!$M$585=0,"",[2]对账明细接口!$M$585),"")</f>
      </c>
      <c r="N585" s="19">
        <f>IF($C585="",0,1)</f>
        <v>0</v>
      </c>
      <c r="O585" s="19">
        <f>N(O584)+$N585</f>
        <v>272</v>
      </c>
      <c r="S585" s="20">
        <f>IFERROR(IF([2]对账明细接口!$N585=0,"",[2]对账明细接口!$N585),"")</f>
      </c>
      <c r="T585" s="212">
        <f>IFERROR(IF([2]对账明细接口!$O585=0,"",[2]对账明细接口!$O585),"")</f>
      </c>
      <c r="U585" s="212">
        <f>IFERROR(IF([2]对账明细接口!$P585=0,"",[2]对账明细接口!$P585),"")</f>
      </c>
      <c r="V585" s="212">
        <f>IFERROR(IF([2]对账明细接口!$Q585=0,"",[2]对账明细接口!$Q585),"")</f>
      </c>
      <c r="W585" s="20">
        <f>IFERROR(IF([2]对账明细接口!$R585=0,"",[2]对账明细接口!$R585),"")</f>
      </c>
      <c r="X585" s="20">
        <f>IFERROR(IF([2]对账明细接口!$S585=0,"",[2]对账明细接口!$S585),"")</f>
      </c>
      <c r="Y585" s="20">
        <f>""</f>
      </c>
      <c r="Z585" s="20">
        <f>""</f>
      </c>
      <c r="AA585" s="20">
        <f>""</f>
      </c>
      <c r="AB585" s="20">
        <f>""</f>
      </c>
    </row>
    <row r="586" s="127">
      <c r="A586" s="14" t="n">
        <v>586</v>
      </c>
      <c r="B586" s="211">
        <f>IFERROR(IF([2]对账明细接口!$B$586=0,"",[2]对账明细接口!$B$586),"")</f>
      </c>
      <c r="C586" s="16">
        <f>IFERROR(IF([2]对账明细接口!$C$586=0,"",[2]对账明细接口!$C$586),"")</f>
      </c>
      <c r="D586" s="16">
        <f>IFERROR(IF([2]对账明细接口!$D$586=0,"",[2]对账明细接口!$D$586),"")</f>
      </c>
      <c r="E586" s="16">
        <f>IFERROR(IF([2]对账明细接口!$E$586=0,"",[2]对账明细接口!$E$586),"")</f>
      </c>
      <c r="F586" s="16">
        <f>IFERROR(IF([2]对账明细接口!$F$586=0,"",[2]对账明细接口!$F$586),"")</f>
      </c>
      <c r="G586" s="16">
        <f>IFERROR(IF([2]对账明细接口!$G$586=0,"",[2]对账明细接口!$G$586),"")</f>
      </c>
      <c r="H586" s="176">
        <f>IFERROR(IF([2]对账明细接口!$H$586=0,"",[2]对账明细接口!$H$586),"")</f>
      </c>
      <c r="I586" s="16">
        <f>IFERROR(IF([2]对账明细接口!$I$586=0,"",[2]对账明细接口!$I$586),"")</f>
      </c>
      <c r="J586" s="177">
        <f>IFERROR(IF([2]对账明细接口!$J$586=0,"",[2]对账明细接口!$J$586),"")</f>
      </c>
      <c r="K586" s="177">
        <f>IFERROR(IF([2]对账明细接口!$K$586=0,"",[2]对账明细接口!$K$586),"")</f>
      </c>
      <c r="L586" s="16">
        <f>IFERROR(IF([2]对账明细接口!$L$586=0,"",[2]对账明细接口!$L$586),"")</f>
      </c>
      <c r="M586" s="16">
        <f>IFERROR(IF([2]对账明细接口!$M$586=0,"",[2]对账明细接口!$M$586),"")</f>
      </c>
      <c r="N586" s="19">
        <f>IF($C586="",0,1)</f>
        <v>0</v>
      </c>
      <c r="O586" s="19">
        <f>N(O585)+$N586</f>
        <v>272</v>
      </c>
      <c r="S586" s="20">
        <f>IFERROR(IF([2]对账明细接口!$N586=0,"",[2]对账明细接口!$N586),"")</f>
      </c>
      <c r="T586" s="212">
        <f>IFERROR(IF([2]对账明细接口!$O586=0,"",[2]对账明细接口!$O586),"")</f>
      </c>
      <c r="U586" s="212">
        <f>IFERROR(IF([2]对账明细接口!$P586=0,"",[2]对账明细接口!$P586),"")</f>
      </c>
      <c r="V586" s="212">
        <f>IFERROR(IF([2]对账明细接口!$Q586=0,"",[2]对账明细接口!$Q586),"")</f>
      </c>
      <c r="W586" s="20">
        <f>IFERROR(IF([2]对账明细接口!$R586=0,"",[2]对账明细接口!$R586),"")</f>
      </c>
      <c r="X586" s="20">
        <f>IFERROR(IF([2]对账明细接口!$S586=0,"",[2]对账明细接口!$S586),"")</f>
      </c>
      <c r="Y586" s="20">
        <f>""</f>
      </c>
      <c r="Z586" s="20">
        <f>""</f>
      </c>
      <c r="AA586" s="20">
        <f>""</f>
      </c>
      <c r="AB586" s="20">
        <f>""</f>
      </c>
    </row>
    <row r="587" s="127">
      <c r="A587" s="14" t="n">
        <v>587</v>
      </c>
      <c r="B587" s="211">
        <f>IFERROR(IF([2]对账明细接口!$B$587=0,"",[2]对账明细接口!$B$587),"")</f>
      </c>
      <c r="C587" s="16">
        <f>IFERROR(IF([2]对账明细接口!$C$587=0,"",[2]对账明细接口!$C$587),"")</f>
      </c>
      <c r="D587" s="16">
        <f>IFERROR(IF([2]对账明细接口!$D$587=0,"",[2]对账明细接口!$D$587),"")</f>
      </c>
      <c r="E587" s="16">
        <f>IFERROR(IF([2]对账明细接口!$E$587=0,"",[2]对账明细接口!$E$587),"")</f>
      </c>
      <c r="F587" s="16">
        <f>IFERROR(IF([2]对账明细接口!$F$587=0,"",[2]对账明细接口!$F$587),"")</f>
      </c>
      <c r="G587" s="16">
        <f>IFERROR(IF([2]对账明细接口!$G$587=0,"",[2]对账明细接口!$G$587),"")</f>
      </c>
      <c r="H587" s="176">
        <f>IFERROR(IF([2]对账明细接口!$H$587=0,"",[2]对账明细接口!$H$587),"")</f>
      </c>
      <c r="I587" s="16">
        <f>IFERROR(IF([2]对账明细接口!$I$587=0,"",[2]对账明细接口!$I$587),"")</f>
      </c>
      <c r="J587" s="177">
        <f>IFERROR(IF([2]对账明细接口!$J$587=0,"",[2]对账明细接口!$J$587),"")</f>
      </c>
      <c r="K587" s="177">
        <f>IFERROR(IF([2]对账明细接口!$K$587=0,"",[2]对账明细接口!$K$587),"")</f>
      </c>
      <c r="L587" s="16">
        <f>IFERROR(IF([2]对账明细接口!$L$587=0,"",[2]对账明细接口!$L$587),"")</f>
      </c>
      <c r="M587" s="16">
        <f>IFERROR(IF([2]对账明细接口!$M$587=0,"",[2]对账明细接口!$M$587),"")</f>
      </c>
      <c r="N587" s="19">
        <f>IF($C587="",0,1)</f>
        <v>0</v>
      </c>
      <c r="O587" s="19">
        <f>N(O586)+$N587</f>
        <v>272</v>
      </c>
      <c r="S587" s="20">
        <f>IFERROR(IF([2]对账明细接口!$N587=0,"",[2]对账明细接口!$N587),"")</f>
      </c>
      <c r="T587" s="212">
        <f>IFERROR(IF([2]对账明细接口!$O587=0,"",[2]对账明细接口!$O587),"")</f>
      </c>
      <c r="U587" s="212">
        <f>IFERROR(IF([2]对账明细接口!$P587=0,"",[2]对账明细接口!$P587),"")</f>
      </c>
      <c r="V587" s="212">
        <f>IFERROR(IF([2]对账明细接口!$Q587=0,"",[2]对账明细接口!$Q587),"")</f>
      </c>
      <c r="W587" s="20">
        <f>IFERROR(IF([2]对账明细接口!$R587=0,"",[2]对账明细接口!$R587),"")</f>
      </c>
      <c r="X587" s="20">
        <f>IFERROR(IF([2]对账明细接口!$S587=0,"",[2]对账明细接口!$S587),"")</f>
      </c>
      <c r="Y587" s="20">
        <f>""</f>
      </c>
      <c r="Z587" s="20">
        <f>""</f>
      </c>
      <c r="AA587" s="20">
        <f>""</f>
      </c>
      <c r="AB587" s="20">
        <f>""</f>
      </c>
    </row>
    <row r="588" s="127">
      <c r="A588" s="14" t="n">
        <v>588</v>
      </c>
      <c r="B588" s="211">
        <f>IFERROR(IF([2]对账明细接口!$B$588=0,"",[2]对账明细接口!$B$588),"")</f>
      </c>
      <c r="C588" s="16">
        <f>IFERROR(IF([2]对账明细接口!$C$588=0,"",[2]对账明细接口!$C$588),"")</f>
      </c>
      <c r="D588" s="16">
        <f>IFERROR(IF([2]对账明细接口!$D$588=0,"",[2]对账明细接口!$D$588),"")</f>
      </c>
      <c r="E588" s="16">
        <f>IFERROR(IF([2]对账明细接口!$E$588=0,"",[2]对账明细接口!$E$588),"")</f>
      </c>
      <c r="F588" s="16">
        <f>IFERROR(IF([2]对账明细接口!$F$588=0,"",[2]对账明细接口!$F$588),"")</f>
      </c>
      <c r="G588" s="16">
        <f>IFERROR(IF([2]对账明细接口!$G$588=0,"",[2]对账明细接口!$G$588),"")</f>
      </c>
      <c r="H588" s="176">
        <f>IFERROR(IF([2]对账明细接口!$H$588=0,"",[2]对账明细接口!$H$588),"")</f>
      </c>
      <c r="I588" s="16">
        <f>IFERROR(IF([2]对账明细接口!$I$588=0,"",[2]对账明细接口!$I$588),"")</f>
      </c>
      <c r="J588" s="177">
        <f>IFERROR(IF([2]对账明细接口!$J$588=0,"",[2]对账明细接口!$J$588),"")</f>
      </c>
      <c r="K588" s="177">
        <f>IFERROR(IF([2]对账明细接口!$K$588=0,"",[2]对账明细接口!$K$588),"")</f>
      </c>
      <c r="L588" s="16">
        <f>IFERROR(IF([2]对账明细接口!$L$588=0,"",[2]对账明细接口!$L$588),"")</f>
      </c>
      <c r="M588" s="16">
        <f>IFERROR(IF([2]对账明细接口!$M$588=0,"",[2]对账明细接口!$M$588),"")</f>
      </c>
      <c r="N588" s="19">
        <f>IF($C588="",0,1)</f>
        <v>0</v>
      </c>
      <c r="O588" s="19">
        <f>N(O587)+$N588</f>
        <v>272</v>
      </c>
      <c r="S588" s="20">
        <f>IFERROR(IF([2]对账明细接口!$N588=0,"",[2]对账明细接口!$N588),"")</f>
      </c>
      <c r="T588" s="212">
        <f>IFERROR(IF([2]对账明细接口!$O588=0,"",[2]对账明细接口!$O588),"")</f>
      </c>
      <c r="U588" s="212">
        <f>IFERROR(IF([2]对账明细接口!$P588=0,"",[2]对账明细接口!$P588),"")</f>
      </c>
      <c r="V588" s="212">
        <f>IFERROR(IF([2]对账明细接口!$Q588=0,"",[2]对账明细接口!$Q588),"")</f>
      </c>
      <c r="W588" s="20">
        <f>IFERROR(IF([2]对账明细接口!$R588=0,"",[2]对账明细接口!$R588),"")</f>
      </c>
      <c r="X588" s="20">
        <f>IFERROR(IF([2]对账明细接口!$S588=0,"",[2]对账明细接口!$S588),"")</f>
      </c>
      <c r="Y588" s="20">
        <f>""</f>
      </c>
      <c r="Z588" s="20">
        <f>""</f>
      </c>
      <c r="AA588" s="20">
        <f>""</f>
      </c>
      <c r="AB588" s="20">
        <f>""</f>
      </c>
    </row>
    <row r="589" s="127">
      <c r="A589" s="14" t="n">
        <v>589</v>
      </c>
      <c r="B589" s="211">
        <f>IFERROR(IF([2]对账明细接口!$B$589=0,"",[2]对账明细接口!$B$589),"")</f>
      </c>
      <c r="C589" s="16">
        <f>IFERROR(IF([2]对账明细接口!$C$589=0,"",[2]对账明细接口!$C$589),"")</f>
      </c>
      <c r="D589" s="16">
        <f>IFERROR(IF([2]对账明细接口!$D$589=0,"",[2]对账明细接口!$D$589),"")</f>
      </c>
      <c r="E589" s="16">
        <f>IFERROR(IF([2]对账明细接口!$E$589=0,"",[2]对账明细接口!$E$589),"")</f>
      </c>
      <c r="F589" s="16">
        <f>IFERROR(IF([2]对账明细接口!$F$589=0,"",[2]对账明细接口!$F$589),"")</f>
      </c>
      <c r="G589" s="16">
        <f>IFERROR(IF([2]对账明细接口!$G$589=0,"",[2]对账明细接口!$G$589),"")</f>
      </c>
      <c r="H589" s="176">
        <f>IFERROR(IF([2]对账明细接口!$H$589=0,"",[2]对账明细接口!$H$589),"")</f>
      </c>
      <c r="I589" s="16">
        <f>IFERROR(IF([2]对账明细接口!$I$589=0,"",[2]对账明细接口!$I$589),"")</f>
      </c>
      <c r="J589" s="177">
        <f>IFERROR(IF([2]对账明细接口!$J$589=0,"",[2]对账明细接口!$J$589),"")</f>
      </c>
      <c r="K589" s="177">
        <f>IFERROR(IF([2]对账明细接口!$K$589=0,"",[2]对账明细接口!$K$589),"")</f>
      </c>
      <c r="L589" s="16">
        <f>IFERROR(IF([2]对账明细接口!$L$589=0,"",[2]对账明细接口!$L$589),"")</f>
      </c>
      <c r="M589" s="16">
        <f>IFERROR(IF([2]对账明细接口!$M$589=0,"",[2]对账明细接口!$M$589),"")</f>
      </c>
      <c r="N589" s="19">
        <f>IF($C589="",0,1)</f>
        <v>0</v>
      </c>
      <c r="O589" s="19">
        <f>N(O588)+$N589</f>
        <v>272</v>
      </c>
      <c r="S589" s="20">
        <f>IFERROR(IF([2]对账明细接口!$N589=0,"",[2]对账明细接口!$N589),"")</f>
      </c>
      <c r="T589" s="212">
        <f>IFERROR(IF([2]对账明细接口!$O589=0,"",[2]对账明细接口!$O589),"")</f>
      </c>
      <c r="U589" s="212">
        <f>IFERROR(IF([2]对账明细接口!$P589=0,"",[2]对账明细接口!$P589),"")</f>
      </c>
      <c r="V589" s="212">
        <f>IFERROR(IF([2]对账明细接口!$Q589=0,"",[2]对账明细接口!$Q589),"")</f>
      </c>
      <c r="W589" s="20">
        <f>IFERROR(IF([2]对账明细接口!$R589=0,"",[2]对账明细接口!$R589),"")</f>
      </c>
      <c r="X589" s="20">
        <f>IFERROR(IF([2]对账明细接口!$S589=0,"",[2]对账明细接口!$S589),"")</f>
      </c>
      <c r="Y589" s="20">
        <f>""</f>
      </c>
      <c r="Z589" s="20">
        <f>""</f>
      </c>
      <c r="AA589" s="20">
        <f>""</f>
      </c>
      <c r="AB589" s="20">
        <f>""</f>
      </c>
    </row>
    <row r="590" s="127">
      <c r="A590" s="14" t="n">
        <v>590</v>
      </c>
      <c r="B590" s="211">
        <f>IFERROR(IF([2]对账明细接口!$B$590=0,"",[2]对账明细接口!$B$590),"")</f>
      </c>
      <c r="C590" s="16">
        <f>IFERROR(IF([2]对账明细接口!$C$590=0,"",[2]对账明细接口!$C$590),"")</f>
      </c>
      <c r="D590" s="16">
        <f>IFERROR(IF([2]对账明细接口!$D$590=0,"",[2]对账明细接口!$D$590),"")</f>
      </c>
      <c r="E590" s="16">
        <f>IFERROR(IF([2]对账明细接口!$E$590=0,"",[2]对账明细接口!$E$590),"")</f>
      </c>
      <c r="F590" s="16">
        <f>IFERROR(IF([2]对账明细接口!$F$590=0,"",[2]对账明细接口!$F$590),"")</f>
      </c>
      <c r="G590" s="16">
        <f>IFERROR(IF([2]对账明细接口!$G$590=0,"",[2]对账明细接口!$G$590),"")</f>
      </c>
      <c r="H590" s="176">
        <f>IFERROR(IF([2]对账明细接口!$H$590=0,"",[2]对账明细接口!$H$590),"")</f>
      </c>
      <c r="I590" s="16">
        <f>IFERROR(IF([2]对账明细接口!$I$590=0,"",[2]对账明细接口!$I$590),"")</f>
      </c>
      <c r="J590" s="177">
        <f>IFERROR(IF([2]对账明细接口!$J$590=0,"",[2]对账明细接口!$J$590),"")</f>
      </c>
      <c r="K590" s="177">
        <f>IFERROR(IF([2]对账明细接口!$K$590=0,"",[2]对账明细接口!$K$590),"")</f>
      </c>
      <c r="L590" s="16">
        <f>IFERROR(IF([2]对账明细接口!$L$590=0,"",[2]对账明细接口!$L$590),"")</f>
      </c>
      <c r="M590" s="16">
        <f>IFERROR(IF([2]对账明细接口!$M$590=0,"",[2]对账明细接口!$M$590),"")</f>
      </c>
      <c r="N590" s="19">
        <f>IF($C590="",0,1)</f>
        <v>0</v>
      </c>
      <c r="O590" s="19">
        <f>N(O589)+$N590</f>
        <v>272</v>
      </c>
      <c r="S590" s="20">
        <f>IFERROR(IF([2]对账明细接口!$N590=0,"",[2]对账明细接口!$N590),"")</f>
      </c>
      <c r="T590" s="212">
        <f>IFERROR(IF([2]对账明细接口!$O590=0,"",[2]对账明细接口!$O590),"")</f>
      </c>
      <c r="U590" s="212">
        <f>IFERROR(IF([2]对账明细接口!$P590=0,"",[2]对账明细接口!$P590),"")</f>
      </c>
      <c r="V590" s="212">
        <f>IFERROR(IF([2]对账明细接口!$Q590=0,"",[2]对账明细接口!$Q590),"")</f>
      </c>
      <c r="W590" s="20">
        <f>IFERROR(IF([2]对账明细接口!$R590=0,"",[2]对账明细接口!$R590),"")</f>
      </c>
      <c r="X590" s="20">
        <f>IFERROR(IF([2]对账明细接口!$S590=0,"",[2]对账明细接口!$S590),"")</f>
      </c>
      <c r="Y590" s="20">
        <f>""</f>
      </c>
      <c r="Z590" s="20">
        <f>""</f>
      </c>
      <c r="AA590" s="20">
        <f>""</f>
      </c>
      <c r="AB590" s="20">
        <f>""</f>
      </c>
    </row>
    <row r="591" s="127">
      <c r="A591" s="14" t="n">
        <v>591</v>
      </c>
      <c r="B591" s="211">
        <f>IFERROR(IF([2]对账明细接口!$B$591=0,"",[2]对账明细接口!$B$591),"")</f>
      </c>
      <c r="C591" s="16">
        <f>IFERROR(IF([2]对账明细接口!$C$591=0,"",[2]对账明细接口!$C$591),"")</f>
      </c>
      <c r="D591" s="16">
        <f>IFERROR(IF([2]对账明细接口!$D$591=0,"",[2]对账明细接口!$D$591),"")</f>
      </c>
      <c r="E591" s="16">
        <f>IFERROR(IF([2]对账明细接口!$E$591=0,"",[2]对账明细接口!$E$591),"")</f>
      </c>
      <c r="F591" s="16">
        <f>IFERROR(IF([2]对账明细接口!$F$591=0,"",[2]对账明细接口!$F$591),"")</f>
      </c>
      <c r="G591" s="16">
        <f>IFERROR(IF([2]对账明细接口!$G$591=0,"",[2]对账明细接口!$G$591),"")</f>
      </c>
      <c r="H591" s="176">
        <f>IFERROR(IF([2]对账明细接口!$H$591=0,"",[2]对账明细接口!$H$591),"")</f>
      </c>
      <c r="I591" s="16">
        <f>IFERROR(IF([2]对账明细接口!$I$591=0,"",[2]对账明细接口!$I$591),"")</f>
      </c>
      <c r="J591" s="177">
        <f>IFERROR(IF([2]对账明细接口!$J$591=0,"",[2]对账明细接口!$J$591),"")</f>
      </c>
      <c r="K591" s="177">
        <f>IFERROR(IF([2]对账明细接口!$K$591=0,"",[2]对账明细接口!$K$591),"")</f>
      </c>
      <c r="L591" s="16">
        <f>IFERROR(IF([2]对账明细接口!$L$591=0,"",[2]对账明细接口!$L$591),"")</f>
      </c>
      <c r="M591" s="16">
        <f>IFERROR(IF([2]对账明细接口!$M$591=0,"",[2]对账明细接口!$M$591),"")</f>
      </c>
      <c r="N591" s="19">
        <f>IF($C591="",0,1)</f>
        <v>0</v>
      </c>
      <c r="O591" s="19">
        <f>N(O590)+$N591</f>
        <v>272</v>
      </c>
      <c r="S591" s="20">
        <f>IFERROR(IF([2]对账明细接口!$N591=0,"",[2]对账明细接口!$N591),"")</f>
      </c>
      <c r="T591" s="212">
        <f>IFERROR(IF([2]对账明细接口!$O591=0,"",[2]对账明细接口!$O591),"")</f>
      </c>
      <c r="U591" s="212">
        <f>IFERROR(IF([2]对账明细接口!$P591=0,"",[2]对账明细接口!$P591),"")</f>
      </c>
      <c r="V591" s="212">
        <f>IFERROR(IF([2]对账明细接口!$Q591=0,"",[2]对账明细接口!$Q591),"")</f>
      </c>
      <c r="W591" s="20">
        <f>IFERROR(IF([2]对账明细接口!$R591=0,"",[2]对账明细接口!$R591),"")</f>
      </c>
      <c r="X591" s="20">
        <f>IFERROR(IF([2]对账明细接口!$S591=0,"",[2]对账明细接口!$S591),"")</f>
      </c>
      <c r="Y591" s="20">
        <f>""</f>
      </c>
      <c r="Z591" s="20">
        <f>""</f>
      </c>
      <c r="AA591" s="20">
        <f>""</f>
      </c>
      <c r="AB591" s="20">
        <f>""</f>
      </c>
    </row>
    <row r="592" s="127">
      <c r="A592" s="14" t="n">
        <v>592</v>
      </c>
      <c r="B592" s="211">
        <f>IFERROR(IF([2]对账明细接口!$B$592=0,"",[2]对账明细接口!$B$592),"")</f>
      </c>
      <c r="C592" s="16">
        <f>IFERROR(IF([2]对账明细接口!$C$592=0,"",[2]对账明细接口!$C$592),"")</f>
      </c>
      <c r="D592" s="16">
        <f>IFERROR(IF([2]对账明细接口!$D$592=0,"",[2]对账明细接口!$D$592),"")</f>
      </c>
      <c r="E592" s="16">
        <f>IFERROR(IF([2]对账明细接口!$E$592=0,"",[2]对账明细接口!$E$592),"")</f>
      </c>
      <c r="F592" s="16">
        <f>IFERROR(IF([2]对账明细接口!$F$592=0,"",[2]对账明细接口!$F$592),"")</f>
      </c>
      <c r="G592" s="16">
        <f>IFERROR(IF([2]对账明细接口!$G$592=0,"",[2]对账明细接口!$G$592),"")</f>
      </c>
      <c r="H592" s="176">
        <f>IFERROR(IF([2]对账明细接口!$H$592=0,"",[2]对账明细接口!$H$592),"")</f>
      </c>
      <c r="I592" s="16">
        <f>IFERROR(IF([2]对账明细接口!$I$592=0,"",[2]对账明细接口!$I$592),"")</f>
      </c>
      <c r="J592" s="177">
        <f>IFERROR(IF([2]对账明细接口!$J$592=0,"",[2]对账明细接口!$J$592),"")</f>
      </c>
      <c r="K592" s="177">
        <f>IFERROR(IF([2]对账明细接口!$K$592=0,"",[2]对账明细接口!$K$592),"")</f>
      </c>
      <c r="L592" s="16">
        <f>IFERROR(IF([2]对账明细接口!$L$592=0,"",[2]对账明细接口!$L$592),"")</f>
      </c>
      <c r="M592" s="16">
        <f>IFERROR(IF([2]对账明细接口!$M$592=0,"",[2]对账明细接口!$M$592),"")</f>
      </c>
      <c r="N592" s="19">
        <f>IF($C592="",0,1)</f>
        <v>0</v>
      </c>
      <c r="O592" s="19">
        <f>N(O591)+$N592</f>
        <v>272</v>
      </c>
      <c r="S592" s="20">
        <f>IFERROR(IF([2]对账明细接口!$N592=0,"",[2]对账明细接口!$N592),"")</f>
      </c>
      <c r="T592" s="212">
        <f>IFERROR(IF([2]对账明细接口!$O592=0,"",[2]对账明细接口!$O592),"")</f>
      </c>
      <c r="U592" s="212">
        <f>IFERROR(IF([2]对账明细接口!$P592=0,"",[2]对账明细接口!$P592),"")</f>
      </c>
      <c r="V592" s="212">
        <f>IFERROR(IF([2]对账明细接口!$Q592=0,"",[2]对账明细接口!$Q592),"")</f>
      </c>
      <c r="W592" s="20">
        <f>IFERROR(IF([2]对账明细接口!$R592=0,"",[2]对账明细接口!$R592),"")</f>
      </c>
      <c r="X592" s="20">
        <f>IFERROR(IF([2]对账明细接口!$S592=0,"",[2]对账明细接口!$S592),"")</f>
      </c>
      <c r="Y592" s="20">
        <f>""</f>
      </c>
      <c r="Z592" s="20">
        <f>""</f>
      </c>
      <c r="AA592" s="20">
        <f>""</f>
      </c>
      <c r="AB592" s="20">
        <f>""</f>
      </c>
    </row>
    <row r="593" s="127">
      <c r="A593" s="14" t="n">
        <v>593</v>
      </c>
      <c r="B593" s="211">
        <f>IFERROR(IF([2]对账明细接口!$B$593=0,"",[2]对账明细接口!$B$593),"")</f>
      </c>
      <c r="C593" s="16">
        <f>IFERROR(IF([2]对账明细接口!$C$593=0,"",[2]对账明细接口!$C$593),"")</f>
      </c>
      <c r="D593" s="16">
        <f>IFERROR(IF([2]对账明细接口!$D$593=0,"",[2]对账明细接口!$D$593),"")</f>
      </c>
      <c r="E593" s="16">
        <f>IFERROR(IF([2]对账明细接口!$E$593=0,"",[2]对账明细接口!$E$593),"")</f>
      </c>
      <c r="F593" s="16">
        <f>IFERROR(IF([2]对账明细接口!$F$593=0,"",[2]对账明细接口!$F$593),"")</f>
      </c>
      <c r="G593" s="16">
        <f>IFERROR(IF([2]对账明细接口!$G$593=0,"",[2]对账明细接口!$G$593),"")</f>
      </c>
      <c r="H593" s="176">
        <f>IFERROR(IF([2]对账明细接口!$H$593=0,"",[2]对账明细接口!$H$593),"")</f>
      </c>
      <c r="I593" s="16">
        <f>IFERROR(IF([2]对账明细接口!$I$593=0,"",[2]对账明细接口!$I$593),"")</f>
      </c>
      <c r="J593" s="177">
        <f>IFERROR(IF([2]对账明细接口!$J$593=0,"",[2]对账明细接口!$J$593),"")</f>
      </c>
      <c r="K593" s="177">
        <f>IFERROR(IF([2]对账明细接口!$K$593=0,"",[2]对账明细接口!$K$593),"")</f>
      </c>
      <c r="L593" s="16">
        <f>IFERROR(IF([2]对账明细接口!$L$593=0,"",[2]对账明细接口!$L$593),"")</f>
      </c>
      <c r="M593" s="16">
        <f>IFERROR(IF([2]对账明细接口!$M$593=0,"",[2]对账明细接口!$M$593),"")</f>
      </c>
      <c r="N593" s="19">
        <f>IF($C593="",0,1)</f>
        <v>0</v>
      </c>
      <c r="O593" s="19">
        <f>N(O592)+$N593</f>
        <v>272</v>
      </c>
      <c r="S593" s="20">
        <f>IFERROR(IF([2]对账明细接口!$N593=0,"",[2]对账明细接口!$N593),"")</f>
      </c>
      <c r="T593" s="212">
        <f>IFERROR(IF([2]对账明细接口!$O593=0,"",[2]对账明细接口!$O593),"")</f>
      </c>
      <c r="U593" s="212">
        <f>IFERROR(IF([2]对账明细接口!$P593=0,"",[2]对账明细接口!$P593),"")</f>
      </c>
      <c r="V593" s="212">
        <f>IFERROR(IF([2]对账明细接口!$Q593=0,"",[2]对账明细接口!$Q593),"")</f>
      </c>
      <c r="W593" s="20">
        <f>IFERROR(IF([2]对账明细接口!$R593=0,"",[2]对账明细接口!$R593),"")</f>
      </c>
      <c r="X593" s="20">
        <f>IFERROR(IF([2]对账明细接口!$S593=0,"",[2]对账明细接口!$S593),"")</f>
      </c>
      <c r="Y593" s="20">
        <f>""</f>
      </c>
      <c r="Z593" s="20">
        <f>""</f>
      </c>
      <c r="AA593" s="20">
        <f>""</f>
      </c>
      <c r="AB593" s="20">
        <f>""</f>
      </c>
    </row>
    <row r="594" s="127">
      <c r="A594" s="14" t="n">
        <v>594</v>
      </c>
      <c r="B594" s="211">
        <f>IFERROR(IF([2]对账明细接口!$B$594=0,"",[2]对账明细接口!$B$594),"")</f>
      </c>
      <c r="C594" s="16">
        <f>IFERROR(IF([2]对账明细接口!$C$594=0,"",[2]对账明细接口!$C$594),"")</f>
      </c>
      <c r="D594" s="16">
        <f>IFERROR(IF([2]对账明细接口!$D$594=0,"",[2]对账明细接口!$D$594),"")</f>
      </c>
      <c r="E594" s="16">
        <f>IFERROR(IF([2]对账明细接口!$E$594=0,"",[2]对账明细接口!$E$594),"")</f>
      </c>
      <c r="F594" s="16">
        <f>IFERROR(IF([2]对账明细接口!$F$594=0,"",[2]对账明细接口!$F$594),"")</f>
      </c>
      <c r="G594" s="16">
        <f>IFERROR(IF([2]对账明细接口!$G$594=0,"",[2]对账明细接口!$G$594),"")</f>
      </c>
      <c r="H594" s="176">
        <f>IFERROR(IF([2]对账明细接口!$H$594=0,"",[2]对账明细接口!$H$594),"")</f>
      </c>
      <c r="I594" s="16">
        <f>IFERROR(IF([2]对账明细接口!$I$594=0,"",[2]对账明细接口!$I$594),"")</f>
      </c>
      <c r="J594" s="177">
        <f>IFERROR(IF([2]对账明细接口!$J$594=0,"",[2]对账明细接口!$J$594),"")</f>
      </c>
      <c r="K594" s="177">
        <f>IFERROR(IF([2]对账明细接口!$K$594=0,"",[2]对账明细接口!$K$594),"")</f>
      </c>
      <c r="L594" s="16">
        <f>IFERROR(IF([2]对账明细接口!$L$594=0,"",[2]对账明细接口!$L$594),"")</f>
      </c>
      <c r="M594" s="16">
        <f>IFERROR(IF([2]对账明细接口!$M$594=0,"",[2]对账明细接口!$M$594),"")</f>
      </c>
      <c r="N594" s="19">
        <f>IF($C594="",0,1)</f>
        <v>0</v>
      </c>
      <c r="O594" s="19">
        <f>N(O593)+$N594</f>
        <v>272</v>
      </c>
      <c r="S594" s="20">
        <f>IFERROR(IF([2]对账明细接口!$N594=0,"",[2]对账明细接口!$N594),"")</f>
      </c>
      <c r="T594" s="212">
        <f>IFERROR(IF([2]对账明细接口!$O594=0,"",[2]对账明细接口!$O594),"")</f>
      </c>
      <c r="U594" s="212">
        <f>IFERROR(IF([2]对账明细接口!$P594=0,"",[2]对账明细接口!$P594),"")</f>
      </c>
      <c r="V594" s="212">
        <f>IFERROR(IF([2]对账明细接口!$Q594=0,"",[2]对账明细接口!$Q594),"")</f>
      </c>
      <c r="W594" s="20">
        <f>IFERROR(IF([2]对账明细接口!$R594=0,"",[2]对账明细接口!$R594),"")</f>
      </c>
      <c r="X594" s="20">
        <f>IFERROR(IF([2]对账明细接口!$S594=0,"",[2]对账明细接口!$S594),"")</f>
      </c>
      <c r="Y594" s="20">
        <f>""</f>
      </c>
      <c r="Z594" s="20">
        <f>""</f>
      </c>
      <c r="AA594" s="20">
        <f>""</f>
      </c>
      <c r="AB594" s="20">
        <f>""</f>
      </c>
    </row>
    <row r="595" s="127">
      <c r="A595" s="14" t="n">
        <v>595</v>
      </c>
      <c r="B595" s="211">
        <f>IFERROR(IF([2]对账明细接口!$B$595=0,"",[2]对账明细接口!$B$595),"")</f>
      </c>
      <c r="C595" s="16">
        <f>IFERROR(IF([2]对账明细接口!$C$595=0,"",[2]对账明细接口!$C$595),"")</f>
      </c>
      <c r="D595" s="16">
        <f>IFERROR(IF([2]对账明细接口!$D$595=0,"",[2]对账明细接口!$D$595),"")</f>
      </c>
      <c r="E595" s="16">
        <f>IFERROR(IF([2]对账明细接口!$E$595=0,"",[2]对账明细接口!$E$595),"")</f>
      </c>
      <c r="F595" s="16">
        <f>IFERROR(IF([2]对账明细接口!$F$595=0,"",[2]对账明细接口!$F$595),"")</f>
      </c>
      <c r="G595" s="16">
        <f>IFERROR(IF([2]对账明细接口!$G$595=0,"",[2]对账明细接口!$G$595),"")</f>
      </c>
      <c r="H595" s="176">
        <f>IFERROR(IF([2]对账明细接口!$H$595=0,"",[2]对账明细接口!$H$595),"")</f>
      </c>
      <c r="I595" s="16">
        <f>IFERROR(IF([2]对账明细接口!$I$595=0,"",[2]对账明细接口!$I$595),"")</f>
      </c>
      <c r="J595" s="177">
        <f>IFERROR(IF([2]对账明细接口!$J$595=0,"",[2]对账明细接口!$J$595),"")</f>
      </c>
      <c r="K595" s="177">
        <f>IFERROR(IF([2]对账明细接口!$K$595=0,"",[2]对账明细接口!$K$595),"")</f>
      </c>
      <c r="L595" s="16">
        <f>IFERROR(IF([2]对账明细接口!$L$595=0,"",[2]对账明细接口!$L$595),"")</f>
      </c>
      <c r="M595" s="16">
        <f>IFERROR(IF([2]对账明细接口!$M$595=0,"",[2]对账明细接口!$M$595),"")</f>
      </c>
      <c r="N595" s="19">
        <f>IF($C595="",0,1)</f>
        <v>0</v>
      </c>
      <c r="O595" s="19">
        <f>N(O594)+$N595</f>
        <v>272</v>
      </c>
      <c r="S595" s="20">
        <f>IFERROR(IF([2]对账明细接口!$N595=0,"",[2]对账明细接口!$N595),"")</f>
      </c>
      <c r="T595" s="212">
        <f>IFERROR(IF([2]对账明细接口!$O595=0,"",[2]对账明细接口!$O595),"")</f>
      </c>
      <c r="U595" s="212">
        <f>IFERROR(IF([2]对账明细接口!$P595=0,"",[2]对账明细接口!$P595),"")</f>
      </c>
      <c r="V595" s="212">
        <f>IFERROR(IF([2]对账明细接口!$Q595=0,"",[2]对账明细接口!$Q595),"")</f>
      </c>
      <c r="W595" s="20">
        <f>IFERROR(IF([2]对账明细接口!$R595=0,"",[2]对账明细接口!$R595),"")</f>
      </c>
      <c r="X595" s="20">
        <f>IFERROR(IF([2]对账明细接口!$S595=0,"",[2]对账明细接口!$S595),"")</f>
      </c>
      <c r="Y595" s="20">
        <f>""</f>
      </c>
      <c r="Z595" s="20">
        <f>""</f>
      </c>
      <c r="AA595" s="20">
        <f>""</f>
      </c>
      <c r="AB595" s="20">
        <f>""</f>
      </c>
    </row>
    <row r="596" s="127">
      <c r="A596" s="14" t="n">
        <v>596</v>
      </c>
      <c r="B596" s="211">
        <f>IFERROR(IF([2]对账明细接口!$B$596=0,"",[2]对账明细接口!$B$596),"")</f>
      </c>
      <c r="C596" s="16">
        <f>IFERROR(IF([2]对账明细接口!$C$596=0,"",[2]对账明细接口!$C$596),"")</f>
      </c>
      <c r="D596" s="16">
        <f>IFERROR(IF([2]对账明细接口!$D$596=0,"",[2]对账明细接口!$D$596),"")</f>
      </c>
      <c r="E596" s="16">
        <f>IFERROR(IF([2]对账明细接口!$E$596=0,"",[2]对账明细接口!$E$596),"")</f>
      </c>
      <c r="F596" s="16">
        <f>IFERROR(IF([2]对账明细接口!$F$596=0,"",[2]对账明细接口!$F$596),"")</f>
      </c>
      <c r="G596" s="16">
        <f>IFERROR(IF([2]对账明细接口!$G$596=0,"",[2]对账明细接口!$G$596),"")</f>
      </c>
      <c r="H596" s="176">
        <f>IFERROR(IF([2]对账明细接口!$H$596=0,"",[2]对账明细接口!$H$596),"")</f>
      </c>
      <c r="I596" s="16">
        <f>IFERROR(IF([2]对账明细接口!$I$596=0,"",[2]对账明细接口!$I$596),"")</f>
      </c>
      <c r="J596" s="177">
        <f>IFERROR(IF([2]对账明细接口!$J$596=0,"",[2]对账明细接口!$J$596),"")</f>
      </c>
      <c r="K596" s="177">
        <f>IFERROR(IF([2]对账明细接口!$K$596=0,"",[2]对账明细接口!$K$596),"")</f>
      </c>
      <c r="L596" s="16">
        <f>IFERROR(IF([2]对账明细接口!$L$596=0,"",[2]对账明细接口!$L$596),"")</f>
      </c>
      <c r="M596" s="16">
        <f>IFERROR(IF([2]对账明细接口!$M$596=0,"",[2]对账明细接口!$M$596),"")</f>
      </c>
      <c r="N596" s="19">
        <f>IF($C596="",0,1)</f>
        <v>0</v>
      </c>
      <c r="O596" s="19">
        <f>N(O595)+$N596</f>
        <v>272</v>
      </c>
      <c r="S596" s="20">
        <f>IFERROR(IF([2]对账明细接口!$N596=0,"",[2]对账明细接口!$N596),"")</f>
      </c>
      <c r="T596" s="212">
        <f>IFERROR(IF([2]对账明细接口!$O596=0,"",[2]对账明细接口!$O596),"")</f>
      </c>
      <c r="U596" s="212">
        <f>IFERROR(IF([2]对账明细接口!$P596=0,"",[2]对账明细接口!$P596),"")</f>
      </c>
      <c r="V596" s="212">
        <f>IFERROR(IF([2]对账明细接口!$Q596=0,"",[2]对账明细接口!$Q596),"")</f>
      </c>
      <c r="W596" s="20">
        <f>IFERROR(IF([2]对账明细接口!$R596=0,"",[2]对账明细接口!$R596),"")</f>
      </c>
      <c r="X596" s="20">
        <f>IFERROR(IF([2]对账明细接口!$S596=0,"",[2]对账明细接口!$S596),"")</f>
      </c>
      <c r="Y596" s="20">
        <f>""</f>
      </c>
      <c r="Z596" s="20">
        <f>""</f>
      </c>
      <c r="AA596" s="20">
        <f>""</f>
      </c>
      <c r="AB596" s="20">
        <f>""</f>
      </c>
    </row>
    <row r="597" s="127">
      <c r="A597" s="14" t="n">
        <v>597</v>
      </c>
      <c r="B597" s="211">
        <f>IFERROR(IF([2]对账明细接口!$B$597=0,"",[2]对账明细接口!$B$597),"")</f>
      </c>
      <c r="C597" s="16">
        <f>IFERROR(IF([2]对账明细接口!$C$597=0,"",[2]对账明细接口!$C$597),"")</f>
      </c>
      <c r="D597" s="16">
        <f>IFERROR(IF([2]对账明细接口!$D$597=0,"",[2]对账明细接口!$D$597),"")</f>
      </c>
      <c r="E597" s="16">
        <f>IFERROR(IF([2]对账明细接口!$E$597=0,"",[2]对账明细接口!$E$597),"")</f>
      </c>
      <c r="F597" s="16">
        <f>IFERROR(IF([2]对账明细接口!$F$597=0,"",[2]对账明细接口!$F$597),"")</f>
      </c>
      <c r="G597" s="16">
        <f>IFERROR(IF([2]对账明细接口!$G$597=0,"",[2]对账明细接口!$G$597),"")</f>
      </c>
      <c r="H597" s="176">
        <f>IFERROR(IF([2]对账明细接口!$H$597=0,"",[2]对账明细接口!$H$597),"")</f>
      </c>
      <c r="I597" s="16">
        <f>IFERROR(IF([2]对账明细接口!$I$597=0,"",[2]对账明细接口!$I$597),"")</f>
      </c>
      <c r="J597" s="177">
        <f>IFERROR(IF([2]对账明细接口!$J$597=0,"",[2]对账明细接口!$J$597),"")</f>
      </c>
      <c r="K597" s="177">
        <f>IFERROR(IF([2]对账明细接口!$K$597=0,"",[2]对账明细接口!$K$597),"")</f>
      </c>
      <c r="L597" s="16">
        <f>IFERROR(IF([2]对账明细接口!$L$597=0,"",[2]对账明细接口!$L$597),"")</f>
      </c>
      <c r="M597" s="16">
        <f>IFERROR(IF([2]对账明细接口!$M$597=0,"",[2]对账明细接口!$M$597),"")</f>
      </c>
      <c r="N597" s="19">
        <f>IF($C597="",0,1)</f>
        <v>0</v>
      </c>
      <c r="O597" s="19">
        <f>N(O596)+$N597</f>
        <v>272</v>
      </c>
      <c r="S597" s="20">
        <f>IFERROR(IF([2]对账明细接口!$N597=0,"",[2]对账明细接口!$N597),"")</f>
      </c>
      <c r="T597" s="212">
        <f>IFERROR(IF([2]对账明细接口!$O597=0,"",[2]对账明细接口!$O597),"")</f>
      </c>
      <c r="U597" s="212">
        <f>IFERROR(IF([2]对账明细接口!$P597=0,"",[2]对账明细接口!$P597),"")</f>
      </c>
      <c r="V597" s="212">
        <f>IFERROR(IF([2]对账明细接口!$Q597=0,"",[2]对账明细接口!$Q597),"")</f>
      </c>
      <c r="W597" s="20">
        <f>IFERROR(IF([2]对账明细接口!$R597=0,"",[2]对账明细接口!$R597),"")</f>
      </c>
      <c r="X597" s="20">
        <f>IFERROR(IF([2]对账明细接口!$S597=0,"",[2]对账明细接口!$S597),"")</f>
      </c>
      <c r="Y597" s="20">
        <f>""</f>
      </c>
      <c r="Z597" s="20">
        <f>""</f>
      </c>
      <c r="AA597" s="20">
        <f>""</f>
      </c>
      <c r="AB597" s="20">
        <f>""</f>
      </c>
    </row>
    <row r="598" s="127">
      <c r="A598" s="14" t="n">
        <v>598</v>
      </c>
      <c r="B598" s="211">
        <f>IFERROR(IF([2]对账明细接口!$B$598=0,"",[2]对账明细接口!$B$598),"")</f>
      </c>
      <c r="C598" s="16">
        <f>IFERROR(IF([2]对账明细接口!$C$598=0,"",[2]对账明细接口!$C$598),"")</f>
      </c>
      <c r="D598" s="16">
        <f>IFERROR(IF([2]对账明细接口!$D$598=0,"",[2]对账明细接口!$D$598),"")</f>
      </c>
      <c r="E598" s="16">
        <f>IFERROR(IF([2]对账明细接口!$E$598=0,"",[2]对账明细接口!$E$598),"")</f>
      </c>
      <c r="F598" s="16">
        <f>IFERROR(IF([2]对账明细接口!$F$598=0,"",[2]对账明细接口!$F$598),"")</f>
      </c>
      <c r="G598" s="16">
        <f>IFERROR(IF([2]对账明细接口!$G$598=0,"",[2]对账明细接口!$G$598),"")</f>
      </c>
      <c r="H598" s="176">
        <f>IFERROR(IF([2]对账明细接口!$H$598=0,"",[2]对账明细接口!$H$598),"")</f>
      </c>
      <c r="I598" s="16">
        <f>IFERROR(IF([2]对账明细接口!$I$598=0,"",[2]对账明细接口!$I$598),"")</f>
      </c>
      <c r="J598" s="177">
        <f>IFERROR(IF([2]对账明细接口!$J$598=0,"",[2]对账明细接口!$J$598),"")</f>
      </c>
      <c r="K598" s="177">
        <f>IFERROR(IF([2]对账明细接口!$K$598=0,"",[2]对账明细接口!$K$598),"")</f>
      </c>
      <c r="L598" s="16">
        <f>IFERROR(IF([2]对账明细接口!$L$598=0,"",[2]对账明细接口!$L$598),"")</f>
      </c>
      <c r="M598" s="16">
        <f>IFERROR(IF([2]对账明细接口!$M$598=0,"",[2]对账明细接口!$M$598),"")</f>
      </c>
      <c r="N598" s="19">
        <f>IF($C598="",0,1)</f>
        <v>0</v>
      </c>
      <c r="O598" s="19">
        <f>N(O597)+$N598</f>
        <v>272</v>
      </c>
      <c r="S598" s="20">
        <f>IFERROR(IF([2]对账明细接口!$N598=0,"",[2]对账明细接口!$N598),"")</f>
      </c>
      <c r="T598" s="212">
        <f>IFERROR(IF([2]对账明细接口!$O598=0,"",[2]对账明细接口!$O598),"")</f>
      </c>
      <c r="U598" s="212">
        <f>IFERROR(IF([2]对账明细接口!$P598=0,"",[2]对账明细接口!$P598),"")</f>
      </c>
      <c r="V598" s="212">
        <f>IFERROR(IF([2]对账明细接口!$Q598=0,"",[2]对账明细接口!$Q598),"")</f>
      </c>
      <c r="W598" s="20">
        <f>IFERROR(IF([2]对账明细接口!$R598=0,"",[2]对账明细接口!$R598),"")</f>
      </c>
      <c r="X598" s="20">
        <f>IFERROR(IF([2]对账明细接口!$S598=0,"",[2]对账明细接口!$S598),"")</f>
      </c>
      <c r="Y598" s="20">
        <f>""</f>
      </c>
      <c r="Z598" s="20">
        <f>""</f>
      </c>
      <c r="AA598" s="20">
        <f>""</f>
      </c>
      <c r="AB598" s="20">
        <f>""</f>
      </c>
    </row>
    <row r="599" s="127">
      <c r="A599" s="14" t="n">
        <v>599</v>
      </c>
      <c r="B599" s="211">
        <f>IFERROR(IF([2]对账明细接口!$B$599=0,"",[2]对账明细接口!$B$599),"")</f>
      </c>
      <c r="C599" s="16">
        <f>IFERROR(IF([2]对账明细接口!$C$599=0,"",[2]对账明细接口!$C$599),"")</f>
      </c>
      <c r="D599" s="16">
        <f>IFERROR(IF([2]对账明细接口!$D$599=0,"",[2]对账明细接口!$D$599),"")</f>
      </c>
      <c r="E599" s="16">
        <f>IFERROR(IF([2]对账明细接口!$E$599=0,"",[2]对账明细接口!$E$599),"")</f>
      </c>
      <c r="F599" s="16">
        <f>IFERROR(IF([2]对账明细接口!$F$599=0,"",[2]对账明细接口!$F$599),"")</f>
      </c>
      <c r="G599" s="16">
        <f>IFERROR(IF([2]对账明细接口!$G$599=0,"",[2]对账明细接口!$G$599),"")</f>
      </c>
      <c r="H599" s="176">
        <f>IFERROR(IF([2]对账明细接口!$H$599=0,"",[2]对账明细接口!$H$599),"")</f>
      </c>
      <c r="I599" s="16">
        <f>IFERROR(IF([2]对账明细接口!$I$599=0,"",[2]对账明细接口!$I$599),"")</f>
      </c>
      <c r="J599" s="177">
        <f>IFERROR(IF([2]对账明细接口!$J$599=0,"",[2]对账明细接口!$J$599),"")</f>
      </c>
      <c r="K599" s="177">
        <f>IFERROR(IF([2]对账明细接口!$K$599=0,"",[2]对账明细接口!$K$599),"")</f>
      </c>
      <c r="L599" s="16">
        <f>IFERROR(IF([2]对账明细接口!$L$599=0,"",[2]对账明细接口!$L$599),"")</f>
      </c>
      <c r="M599" s="16">
        <f>IFERROR(IF([2]对账明细接口!$M$599=0,"",[2]对账明细接口!$M$599),"")</f>
      </c>
      <c r="N599" s="19">
        <f>IF($C599="",0,1)</f>
        <v>0</v>
      </c>
      <c r="O599" s="19">
        <f>N(O598)+$N599</f>
        <v>272</v>
      </c>
      <c r="S599" s="20">
        <f>IFERROR(IF([2]对账明细接口!$N599=0,"",[2]对账明细接口!$N599),"")</f>
      </c>
      <c r="T599" s="212">
        <f>IFERROR(IF([2]对账明细接口!$O599=0,"",[2]对账明细接口!$O599),"")</f>
      </c>
      <c r="U599" s="212">
        <f>IFERROR(IF([2]对账明细接口!$P599=0,"",[2]对账明细接口!$P599),"")</f>
      </c>
      <c r="V599" s="212">
        <f>IFERROR(IF([2]对账明细接口!$Q599=0,"",[2]对账明细接口!$Q599),"")</f>
      </c>
      <c r="W599" s="20">
        <f>IFERROR(IF([2]对账明细接口!$R599=0,"",[2]对账明细接口!$R599),"")</f>
      </c>
      <c r="X599" s="20">
        <f>IFERROR(IF([2]对账明细接口!$S599=0,"",[2]对账明细接口!$S599),"")</f>
      </c>
      <c r="Y599" s="20">
        <f>""</f>
      </c>
      <c r="Z599" s="20">
        <f>""</f>
      </c>
      <c r="AA599" s="20">
        <f>""</f>
      </c>
      <c r="AB599" s="20">
        <f>""</f>
      </c>
    </row>
    <row r="600" s="127">
      <c r="A600" s="14" t="n">
        <v>600</v>
      </c>
      <c r="B600" s="211">
        <f>IFERROR(IF([2]对账明细接口!$B$600=0,"",[2]对账明细接口!$B$600),"")</f>
      </c>
      <c r="C600" s="16">
        <f>IFERROR(IF([2]对账明细接口!$C$600=0,"",[2]对账明细接口!$C$600),"")</f>
      </c>
      <c r="D600" s="16">
        <f>IFERROR(IF([2]对账明细接口!$D$600=0,"",[2]对账明细接口!$D$600),"")</f>
      </c>
      <c r="E600" s="16">
        <f>IFERROR(IF([2]对账明细接口!$E$600=0,"",[2]对账明细接口!$E$600),"")</f>
      </c>
      <c r="F600" s="16">
        <f>IFERROR(IF([2]对账明细接口!$F$600=0,"",[2]对账明细接口!$F$600),"")</f>
      </c>
      <c r="G600" s="16">
        <f>IFERROR(IF([2]对账明细接口!$G$600=0,"",[2]对账明细接口!$G$600),"")</f>
      </c>
      <c r="H600" s="176">
        <f>IFERROR(IF([2]对账明细接口!$H$600=0,"",[2]对账明细接口!$H$600),"")</f>
      </c>
      <c r="I600" s="16">
        <f>IFERROR(IF([2]对账明细接口!$I$600=0,"",[2]对账明细接口!$I$600),"")</f>
      </c>
      <c r="J600" s="177">
        <f>IFERROR(IF([2]对账明细接口!$J$600=0,"",[2]对账明细接口!$J$600),"")</f>
      </c>
      <c r="K600" s="177">
        <f>IFERROR(IF([2]对账明细接口!$K$600=0,"",[2]对账明细接口!$K$600),"")</f>
      </c>
      <c r="L600" s="16">
        <f>IFERROR(IF([2]对账明细接口!$L$600=0,"",[2]对账明细接口!$L$600),"")</f>
      </c>
      <c r="M600" s="16">
        <f>IFERROR(IF([2]对账明细接口!$M$600=0,"",[2]对账明细接口!$M$600),"")</f>
      </c>
      <c r="N600" s="19">
        <f>IF($C600="",0,1)</f>
        <v>0</v>
      </c>
      <c r="O600" s="19">
        <f>N(O599)+$N600</f>
        <v>272</v>
      </c>
      <c r="S600" s="20">
        <f>IFERROR(IF([2]对账明细接口!$N600=0,"",[2]对账明细接口!$N600),"")</f>
      </c>
      <c r="T600" s="212">
        <f>IFERROR(IF([2]对账明细接口!$O600=0,"",[2]对账明细接口!$O600),"")</f>
      </c>
      <c r="U600" s="212">
        <f>IFERROR(IF([2]对账明细接口!$P600=0,"",[2]对账明细接口!$P600),"")</f>
      </c>
      <c r="V600" s="212">
        <f>IFERROR(IF([2]对账明细接口!$Q600=0,"",[2]对账明细接口!$Q600),"")</f>
      </c>
      <c r="W600" s="20">
        <f>IFERROR(IF([2]对账明细接口!$R600=0,"",[2]对账明细接口!$R600),"")</f>
      </c>
      <c r="X600" s="20">
        <f>IFERROR(IF([2]对账明细接口!$S600=0,"",[2]对账明细接口!$S600),"")</f>
      </c>
      <c r="Y600" s="20">
        <f>""</f>
      </c>
      <c r="Z600" s="20">
        <f>""</f>
      </c>
      <c r="AA600" s="20">
        <f>""</f>
      </c>
      <c r="AB600" s="20">
        <f>""</f>
      </c>
    </row>
    <row r="601" s="127">
      <c r="A601" s="14" t="n">
        <v>601</v>
      </c>
      <c r="B601" s="211">
        <f>IFERROR(IF([2]对账明细接口!$B$601=0,"",[2]对账明细接口!$B$601),"")</f>
      </c>
      <c r="C601" s="16">
        <f>IFERROR(IF([2]对账明细接口!$C$601=0,"",[2]对账明细接口!$C$601),"")</f>
      </c>
      <c r="D601" s="16">
        <f>IFERROR(IF([2]对账明细接口!$D$601=0,"",[2]对账明细接口!$D$601),"")</f>
      </c>
      <c r="E601" s="16">
        <f>IFERROR(IF([2]对账明细接口!$E$601=0,"",[2]对账明细接口!$E$601),"")</f>
      </c>
      <c r="F601" s="16">
        <f>IFERROR(IF([2]对账明细接口!$F$601=0,"",[2]对账明细接口!$F$601),"")</f>
      </c>
      <c r="G601" s="16">
        <f>IFERROR(IF([2]对账明细接口!$G$601=0,"",[2]对账明细接口!$G$601),"")</f>
      </c>
      <c r="H601" s="176">
        <f>IFERROR(IF([2]对账明细接口!$H$601=0,"",[2]对账明细接口!$H$601),"")</f>
      </c>
      <c r="I601" s="16">
        <f>IFERROR(IF([2]对账明细接口!$I$601=0,"",[2]对账明细接口!$I$601),"")</f>
      </c>
      <c r="J601" s="177">
        <f>IFERROR(IF([2]对账明细接口!$J$601=0,"",[2]对账明细接口!$J$601),"")</f>
      </c>
      <c r="K601" s="177">
        <f>IFERROR(IF([2]对账明细接口!$K$601=0,"",[2]对账明细接口!$K$601),"")</f>
      </c>
      <c r="L601" s="16">
        <f>IFERROR(IF([2]对账明细接口!$L$601=0,"",[2]对账明细接口!$L$601),"")</f>
      </c>
      <c r="M601" s="16">
        <f>IFERROR(IF([2]对账明细接口!$M$601=0,"",[2]对账明细接口!$M$601),"")</f>
      </c>
      <c r="N601" s="19">
        <f>IF($C601="",0,1)</f>
        <v>0</v>
      </c>
      <c r="O601" s="19">
        <f>N(O600)+$N601</f>
        <v>272</v>
      </c>
      <c r="S601" s="20">
        <f>IFERROR(IF([2]对账明细接口!$N601=0,"",[2]对账明细接口!$N601),"")</f>
      </c>
      <c r="T601" s="212">
        <f>IFERROR(IF([2]对账明细接口!$O601=0,"",[2]对账明细接口!$O601),"")</f>
      </c>
      <c r="U601" s="212">
        <f>IFERROR(IF([2]对账明细接口!$P601=0,"",[2]对账明细接口!$P601),"")</f>
      </c>
      <c r="V601" s="212">
        <f>IFERROR(IF([2]对账明细接口!$Q601=0,"",[2]对账明细接口!$Q601),"")</f>
      </c>
      <c r="W601" s="20">
        <f>IFERROR(IF([2]对账明细接口!$R601=0,"",[2]对账明细接口!$R601),"")</f>
      </c>
      <c r="X601" s="20">
        <f>IFERROR(IF([2]对账明细接口!$S601=0,"",[2]对账明细接口!$S601),"")</f>
      </c>
      <c r="Y601" s="20">
        <f>""</f>
      </c>
      <c r="Z601" s="20">
        <f>""</f>
      </c>
      <c r="AA601" s="20">
        <f>""</f>
      </c>
      <c r="AB601" s="20">
        <f>""</f>
      </c>
    </row>
    <row r="602" s="127">
      <c r="A602" s="14" t="n">
        <v>602</v>
      </c>
      <c r="B602" s="211">
        <f>IFERROR(IF([2]对账明细接口!$B$602=0,"",[2]对账明细接口!$B$602),"")</f>
      </c>
      <c r="C602" s="16">
        <f>IFERROR(IF([2]对账明细接口!$C$602=0,"",[2]对账明细接口!$C$602),"")</f>
      </c>
      <c r="D602" s="16">
        <f>IFERROR(IF([2]对账明细接口!$D$602=0,"",[2]对账明细接口!$D$602),"")</f>
      </c>
      <c r="E602" s="16">
        <f>IFERROR(IF([2]对账明细接口!$E$602=0,"",[2]对账明细接口!$E$602),"")</f>
      </c>
      <c r="F602" s="16">
        <f>IFERROR(IF([2]对账明细接口!$F$602=0,"",[2]对账明细接口!$F$602),"")</f>
      </c>
      <c r="G602" s="16">
        <f>IFERROR(IF([2]对账明细接口!$G$602=0,"",[2]对账明细接口!$G$602),"")</f>
      </c>
      <c r="H602" s="176">
        <f>IFERROR(IF([2]对账明细接口!$H$602=0,"",[2]对账明细接口!$H$602),"")</f>
      </c>
      <c r="I602" s="16">
        <f>IFERROR(IF([2]对账明细接口!$I$602=0,"",[2]对账明细接口!$I$602),"")</f>
      </c>
      <c r="J602" s="177">
        <f>IFERROR(IF([2]对账明细接口!$J$602=0,"",[2]对账明细接口!$J$602),"")</f>
      </c>
      <c r="K602" s="177">
        <f>IFERROR(IF([2]对账明细接口!$K$602=0,"",[2]对账明细接口!$K$602),"")</f>
      </c>
      <c r="L602" s="16">
        <f>IFERROR(IF([2]对账明细接口!$L$602=0,"",[2]对账明细接口!$L$602),"")</f>
      </c>
      <c r="M602" s="16">
        <f>IFERROR(IF([2]对账明细接口!$M$602=0,"",[2]对账明细接口!$M$602),"")</f>
      </c>
      <c r="N602" s="19">
        <f>IF($C602="",0,1)</f>
        <v>0</v>
      </c>
      <c r="O602" s="19">
        <f>N(O601)+$N602</f>
        <v>272</v>
      </c>
      <c r="S602" s="20">
        <f>IFERROR(IF([2]对账明细接口!$N602=0,"",[2]对账明细接口!$N602),"")</f>
      </c>
      <c r="T602" s="212">
        <f>IFERROR(IF([2]对账明细接口!$O602=0,"",[2]对账明细接口!$O602),"")</f>
      </c>
      <c r="U602" s="212">
        <f>IFERROR(IF([2]对账明细接口!$P602=0,"",[2]对账明细接口!$P602),"")</f>
      </c>
      <c r="V602" s="212">
        <f>IFERROR(IF([2]对账明细接口!$Q602=0,"",[2]对账明细接口!$Q602),"")</f>
      </c>
      <c r="W602" s="20">
        <f>IFERROR(IF([2]对账明细接口!$R602=0,"",[2]对账明细接口!$R602),"")</f>
      </c>
      <c r="X602" s="20">
        <f>IFERROR(IF([2]对账明细接口!$S602=0,"",[2]对账明细接口!$S602),"")</f>
      </c>
      <c r="Y602" s="20">
        <f>""</f>
      </c>
      <c r="Z602" s="20">
        <f>""</f>
      </c>
      <c r="AA602" s="20">
        <f>""</f>
      </c>
      <c r="AB602" s="20">
        <f>""</f>
      </c>
    </row>
    <row r="603" s="127">
      <c r="A603" s="14" t="n">
        <v>603</v>
      </c>
      <c r="B603" s="211">
        <f>IFERROR(IF([2]对账明细接口!$B$603=0,"",[2]对账明细接口!$B$603),"")</f>
      </c>
      <c r="C603" s="16">
        <f>IFERROR(IF([2]对账明细接口!$C$603=0,"",[2]对账明细接口!$C$603),"")</f>
      </c>
      <c r="D603" s="16">
        <f>IFERROR(IF([2]对账明细接口!$D$603=0,"",[2]对账明细接口!$D$603),"")</f>
      </c>
      <c r="E603" s="16">
        <f>IFERROR(IF([2]对账明细接口!$E$603=0,"",[2]对账明细接口!$E$603),"")</f>
      </c>
      <c r="F603" s="16">
        <f>IFERROR(IF([2]对账明细接口!$F$603=0,"",[2]对账明细接口!$F$603),"")</f>
      </c>
      <c r="G603" s="16">
        <f>IFERROR(IF([2]对账明细接口!$G$603=0,"",[2]对账明细接口!$G$603),"")</f>
      </c>
      <c r="H603" s="176">
        <f>IFERROR(IF([2]对账明细接口!$H$603=0,"",[2]对账明细接口!$H$603),"")</f>
      </c>
      <c r="I603" s="16">
        <f>IFERROR(IF([2]对账明细接口!$I$603=0,"",[2]对账明细接口!$I$603),"")</f>
      </c>
      <c r="J603" s="177">
        <f>IFERROR(IF([2]对账明细接口!$J$603=0,"",[2]对账明细接口!$J$603),"")</f>
      </c>
      <c r="K603" s="177">
        <f>IFERROR(IF([2]对账明细接口!$K$603=0,"",[2]对账明细接口!$K$603),"")</f>
      </c>
      <c r="L603" s="16">
        <f>IFERROR(IF([2]对账明细接口!$L$603=0,"",[2]对账明细接口!$L$603),"")</f>
      </c>
      <c r="M603" s="16">
        <f>IFERROR(IF([2]对账明细接口!$M$603=0,"",[2]对账明细接口!$M$603),"")</f>
      </c>
      <c r="N603" s="19">
        <f>IF($C603="",0,1)</f>
        <v>0</v>
      </c>
      <c r="O603" s="19">
        <f>N(O602)+$N603</f>
        <v>272</v>
      </c>
      <c r="S603" s="20">
        <f>IFERROR(IF([2]对账明细接口!$N603=0,"",[2]对账明细接口!$N603),"")</f>
      </c>
      <c r="T603" s="212">
        <f>IFERROR(IF([2]对账明细接口!$O603=0,"",[2]对账明细接口!$O603),"")</f>
      </c>
      <c r="U603" s="212">
        <f>IFERROR(IF([2]对账明细接口!$P603=0,"",[2]对账明细接口!$P603),"")</f>
      </c>
      <c r="V603" s="212">
        <f>IFERROR(IF([2]对账明细接口!$Q603=0,"",[2]对账明细接口!$Q603),"")</f>
      </c>
      <c r="W603" s="20">
        <f>IFERROR(IF([2]对账明细接口!$R603=0,"",[2]对账明细接口!$R603),"")</f>
      </c>
      <c r="X603" s="20">
        <f>IFERROR(IF([2]对账明细接口!$S603=0,"",[2]对账明细接口!$S603),"")</f>
      </c>
      <c r="Y603" s="20">
        <f>""</f>
      </c>
      <c r="Z603" s="20">
        <f>""</f>
      </c>
      <c r="AA603" s="20">
        <f>""</f>
      </c>
      <c r="AB603" s="20">
        <f>""</f>
      </c>
    </row>
    <row r="604" s="127">
      <c r="A604" s="14" t="n">
        <v>604</v>
      </c>
      <c r="B604" s="211">
        <f>IFERROR(IF([2]对账明细接口!$B$604=0,"",[2]对账明细接口!$B$604),"")</f>
      </c>
      <c r="C604" s="16">
        <f>IFERROR(IF([2]对账明细接口!$C$604=0,"",[2]对账明细接口!$C$604),"")</f>
      </c>
      <c r="D604" s="16">
        <f>IFERROR(IF([2]对账明细接口!$D$604=0,"",[2]对账明细接口!$D$604),"")</f>
      </c>
      <c r="E604" s="16">
        <f>IFERROR(IF([2]对账明细接口!$E$604=0,"",[2]对账明细接口!$E$604),"")</f>
      </c>
      <c r="F604" s="16">
        <f>IFERROR(IF([2]对账明细接口!$F$604=0,"",[2]对账明细接口!$F$604),"")</f>
      </c>
      <c r="G604" s="16">
        <f>IFERROR(IF([2]对账明细接口!$G$604=0,"",[2]对账明细接口!$G$604),"")</f>
      </c>
      <c r="H604" s="176">
        <f>IFERROR(IF([2]对账明细接口!$H$604=0,"",[2]对账明细接口!$H$604),"")</f>
      </c>
      <c r="I604" s="16">
        <f>IFERROR(IF([2]对账明细接口!$I$604=0,"",[2]对账明细接口!$I$604),"")</f>
      </c>
      <c r="J604" s="177">
        <f>IFERROR(IF([2]对账明细接口!$J$604=0,"",[2]对账明细接口!$J$604),"")</f>
      </c>
      <c r="K604" s="177">
        <f>IFERROR(IF([2]对账明细接口!$K$604=0,"",[2]对账明细接口!$K$604),"")</f>
      </c>
      <c r="L604" s="16">
        <f>IFERROR(IF([2]对账明细接口!$L$604=0,"",[2]对账明细接口!$L$604),"")</f>
      </c>
      <c r="M604" s="16">
        <f>IFERROR(IF([2]对账明细接口!$M$604=0,"",[2]对账明细接口!$M$604),"")</f>
      </c>
      <c r="N604" s="19">
        <f>IF($C604="",0,1)</f>
        <v>0</v>
      </c>
      <c r="O604" s="19">
        <f>N(O603)+$N604</f>
        <v>272</v>
      </c>
      <c r="S604" s="20">
        <f>IFERROR(IF([2]对账明细接口!$N604=0,"",[2]对账明细接口!$N604),"")</f>
      </c>
      <c r="T604" s="212">
        <f>IFERROR(IF([2]对账明细接口!$O604=0,"",[2]对账明细接口!$O604),"")</f>
      </c>
      <c r="U604" s="212">
        <f>IFERROR(IF([2]对账明细接口!$P604=0,"",[2]对账明细接口!$P604),"")</f>
      </c>
      <c r="V604" s="212">
        <f>IFERROR(IF([2]对账明细接口!$Q604=0,"",[2]对账明细接口!$Q604),"")</f>
      </c>
      <c r="W604" s="20">
        <f>IFERROR(IF([2]对账明细接口!$R604=0,"",[2]对账明细接口!$R604),"")</f>
      </c>
      <c r="X604" s="20">
        <f>IFERROR(IF([2]对账明细接口!$S604=0,"",[2]对账明细接口!$S604),"")</f>
      </c>
      <c r="Y604" s="20">
        <f>""</f>
      </c>
      <c r="Z604" s="20">
        <f>""</f>
      </c>
      <c r="AA604" s="20">
        <f>""</f>
      </c>
      <c r="AB604" s="20">
        <f>""</f>
      </c>
    </row>
    <row r="605" s="127">
      <c r="A605" s="14" t="n">
        <v>605</v>
      </c>
      <c r="B605" s="211">
        <f>IFERROR(IF([2]对账明细接口!$B$605=0,"",[2]对账明细接口!$B$605),"")</f>
      </c>
      <c r="C605" s="16">
        <f>IFERROR(IF([2]对账明细接口!$C$605=0,"",[2]对账明细接口!$C$605),"")</f>
      </c>
      <c r="D605" s="16">
        <f>IFERROR(IF([2]对账明细接口!$D$605=0,"",[2]对账明细接口!$D$605),"")</f>
      </c>
      <c r="E605" s="16">
        <f>IFERROR(IF([2]对账明细接口!$E$605=0,"",[2]对账明细接口!$E$605),"")</f>
      </c>
      <c r="F605" s="16">
        <f>IFERROR(IF([2]对账明细接口!$F$605=0,"",[2]对账明细接口!$F$605),"")</f>
      </c>
      <c r="G605" s="16">
        <f>IFERROR(IF([2]对账明细接口!$G$605=0,"",[2]对账明细接口!$G$605),"")</f>
      </c>
      <c r="H605" s="176">
        <f>IFERROR(IF([2]对账明细接口!$H$605=0,"",[2]对账明细接口!$H$605),"")</f>
      </c>
      <c r="I605" s="16">
        <f>IFERROR(IF([2]对账明细接口!$I$605=0,"",[2]对账明细接口!$I$605),"")</f>
      </c>
      <c r="J605" s="177">
        <f>IFERROR(IF([2]对账明细接口!$J$605=0,"",[2]对账明细接口!$J$605),"")</f>
      </c>
      <c r="K605" s="177">
        <f>IFERROR(IF([2]对账明细接口!$K$605=0,"",[2]对账明细接口!$K$605),"")</f>
      </c>
      <c r="L605" s="16">
        <f>IFERROR(IF([2]对账明细接口!$L$605=0,"",[2]对账明细接口!$L$605),"")</f>
      </c>
      <c r="M605" s="16">
        <f>IFERROR(IF([2]对账明细接口!$M$605=0,"",[2]对账明细接口!$M$605),"")</f>
      </c>
      <c r="N605" s="19">
        <f>IF($C605="",0,1)</f>
        <v>0</v>
      </c>
      <c r="O605" s="19">
        <f>N(O604)+$N605</f>
        <v>272</v>
      </c>
      <c r="S605" s="20">
        <f>IFERROR(IF([2]对账明细接口!$N605=0,"",[2]对账明细接口!$N605),"")</f>
      </c>
      <c r="T605" s="212">
        <f>IFERROR(IF([2]对账明细接口!$O605=0,"",[2]对账明细接口!$O605),"")</f>
      </c>
      <c r="U605" s="212">
        <f>IFERROR(IF([2]对账明细接口!$P605=0,"",[2]对账明细接口!$P605),"")</f>
      </c>
      <c r="V605" s="212">
        <f>IFERROR(IF([2]对账明细接口!$Q605=0,"",[2]对账明细接口!$Q605),"")</f>
      </c>
      <c r="W605" s="20">
        <f>IFERROR(IF([2]对账明细接口!$R605=0,"",[2]对账明细接口!$R605),"")</f>
      </c>
      <c r="X605" s="20">
        <f>IFERROR(IF([2]对账明细接口!$S605=0,"",[2]对账明细接口!$S605),"")</f>
      </c>
      <c r="Y605" s="20">
        <f>""</f>
      </c>
      <c r="Z605" s="20">
        <f>""</f>
      </c>
      <c r="AA605" s="20">
        <f>""</f>
      </c>
      <c r="AB605" s="20">
        <f>""</f>
      </c>
    </row>
    <row r="606" s="127">
      <c r="A606" s="14" t="n">
        <v>606</v>
      </c>
      <c r="B606" s="211">
        <f>IFERROR(IF([2]对账明细接口!$B$606=0,"",[2]对账明细接口!$B$606),"")</f>
      </c>
      <c r="C606" s="16">
        <f>IFERROR(IF([2]对账明细接口!$C$606=0,"",[2]对账明细接口!$C$606),"")</f>
      </c>
      <c r="D606" s="16">
        <f>IFERROR(IF([2]对账明细接口!$D$606=0,"",[2]对账明细接口!$D$606),"")</f>
      </c>
      <c r="E606" s="16">
        <f>IFERROR(IF([2]对账明细接口!$E$606=0,"",[2]对账明细接口!$E$606),"")</f>
      </c>
      <c r="F606" s="16">
        <f>IFERROR(IF([2]对账明细接口!$F$606=0,"",[2]对账明细接口!$F$606),"")</f>
      </c>
      <c r="G606" s="16">
        <f>IFERROR(IF([2]对账明细接口!$G$606=0,"",[2]对账明细接口!$G$606),"")</f>
      </c>
      <c r="H606" s="176">
        <f>IFERROR(IF([2]对账明细接口!$H$606=0,"",[2]对账明细接口!$H$606),"")</f>
      </c>
      <c r="I606" s="16">
        <f>IFERROR(IF([2]对账明细接口!$I$606=0,"",[2]对账明细接口!$I$606),"")</f>
      </c>
      <c r="J606" s="177">
        <f>IFERROR(IF([2]对账明细接口!$J$606=0,"",[2]对账明细接口!$J$606),"")</f>
      </c>
      <c r="K606" s="177">
        <f>IFERROR(IF([2]对账明细接口!$K$606=0,"",[2]对账明细接口!$K$606),"")</f>
      </c>
      <c r="L606" s="16">
        <f>IFERROR(IF([2]对账明细接口!$L$606=0,"",[2]对账明细接口!$L$606),"")</f>
      </c>
      <c r="M606" s="16">
        <f>IFERROR(IF([2]对账明细接口!$M$606=0,"",[2]对账明细接口!$M$606),"")</f>
      </c>
      <c r="N606" s="19">
        <f>IF($C606="",0,1)</f>
        <v>0</v>
      </c>
      <c r="O606" s="19">
        <f>N(O605)+$N606</f>
        <v>272</v>
      </c>
      <c r="S606" s="20">
        <f>IFERROR(IF([2]对账明细接口!$N606=0,"",[2]对账明细接口!$N606),"")</f>
      </c>
      <c r="T606" s="212">
        <f>IFERROR(IF([2]对账明细接口!$O606=0,"",[2]对账明细接口!$O606),"")</f>
      </c>
      <c r="U606" s="212">
        <f>IFERROR(IF([2]对账明细接口!$P606=0,"",[2]对账明细接口!$P606),"")</f>
      </c>
      <c r="V606" s="212">
        <f>IFERROR(IF([2]对账明细接口!$Q606=0,"",[2]对账明细接口!$Q606),"")</f>
      </c>
      <c r="W606" s="20">
        <f>IFERROR(IF([2]对账明细接口!$R606=0,"",[2]对账明细接口!$R606),"")</f>
      </c>
      <c r="X606" s="20">
        <f>IFERROR(IF([2]对账明细接口!$S606=0,"",[2]对账明细接口!$S606),"")</f>
      </c>
      <c r="Y606" s="20">
        <f>""</f>
      </c>
      <c r="Z606" s="20">
        <f>""</f>
      </c>
      <c r="AA606" s="20">
        <f>""</f>
      </c>
      <c r="AB606" s="20">
        <f>""</f>
      </c>
    </row>
    <row r="607" s="127">
      <c r="A607" s="14" t="n">
        <v>607</v>
      </c>
      <c r="B607" s="211">
        <f>IFERROR(IF([2]对账明细接口!$B$607=0,"",[2]对账明细接口!$B$607),"")</f>
      </c>
      <c r="C607" s="16">
        <f>IFERROR(IF([2]对账明细接口!$C$607=0,"",[2]对账明细接口!$C$607),"")</f>
      </c>
      <c r="D607" s="16">
        <f>IFERROR(IF([2]对账明细接口!$D$607=0,"",[2]对账明细接口!$D$607),"")</f>
      </c>
      <c r="E607" s="16">
        <f>IFERROR(IF([2]对账明细接口!$E$607=0,"",[2]对账明细接口!$E$607),"")</f>
      </c>
      <c r="F607" s="16">
        <f>IFERROR(IF([2]对账明细接口!$F$607=0,"",[2]对账明细接口!$F$607),"")</f>
      </c>
      <c r="G607" s="16">
        <f>IFERROR(IF([2]对账明细接口!$G$607=0,"",[2]对账明细接口!$G$607),"")</f>
      </c>
      <c r="H607" s="176">
        <f>IFERROR(IF([2]对账明细接口!$H$607=0,"",[2]对账明细接口!$H$607),"")</f>
      </c>
      <c r="I607" s="16">
        <f>IFERROR(IF([2]对账明细接口!$I$607=0,"",[2]对账明细接口!$I$607),"")</f>
      </c>
      <c r="J607" s="177">
        <f>IFERROR(IF([2]对账明细接口!$J$607=0,"",[2]对账明细接口!$J$607),"")</f>
      </c>
      <c r="K607" s="177">
        <f>IFERROR(IF([2]对账明细接口!$K$607=0,"",[2]对账明细接口!$K$607),"")</f>
      </c>
      <c r="L607" s="16">
        <f>IFERROR(IF([2]对账明细接口!$L$607=0,"",[2]对账明细接口!$L$607),"")</f>
      </c>
      <c r="M607" s="16">
        <f>IFERROR(IF([2]对账明细接口!$M$607=0,"",[2]对账明细接口!$M$607),"")</f>
      </c>
      <c r="N607" s="19">
        <f>IF($C607="",0,1)</f>
        <v>0</v>
      </c>
      <c r="O607" s="19">
        <f>N(O606)+$N607</f>
        <v>272</v>
      </c>
      <c r="S607" s="20">
        <f>IFERROR(IF([2]对账明细接口!$N607=0,"",[2]对账明细接口!$N607),"")</f>
      </c>
      <c r="T607" s="212">
        <f>IFERROR(IF([2]对账明细接口!$O607=0,"",[2]对账明细接口!$O607),"")</f>
      </c>
      <c r="U607" s="212">
        <f>IFERROR(IF([2]对账明细接口!$P607=0,"",[2]对账明细接口!$P607),"")</f>
      </c>
      <c r="V607" s="212">
        <f>IFERROR(IF([2]对账明细接口!$Q607=0,"",[2]对账明细接口!$Q607),"")</f>
      </c>
      <c r="W607" s="20">
        <f>IFERROR(IF([2]对账明细接口!$R607=0,"",[2]对账明细接口!$R607),"")</f>
      </c>
      <c r="X607" s="20">
        <f>IFERROR(IF([2]对账明细接口!$S607=0,"",[2]对账明细接口!$S607),"")</f>
      </c>
      <c r="Y607" s="20">
        <f>""</f>
      </c>
      <c r="Z607" s="20">
        <f>""</f>
      </c>
      <c r="AA607" s="20">
        <f>""</f>
      </c>
      <c r="AB607" s="20">
        <f>""</f>
      </c>
    </row>
    <row r="608" s="127">
      <c r="A608" s="14" t="n">
        <v>608</v>
      </c>
      <c r="B608" s="211">
        <f>IFERROR(IF([2]对账明细接口!$B$608=0,"",[2]对账明细接口!$B$608),"")</f>
      </c>
      <c r="C608" s="16">
        <f>IFERROR(IF([2]对账明细接口!$C$608=0,"",[2]对账明细接口!$C$608),"")</f>
      </c>
      <c r="D608" s="16">
        <f>IFERROR(IF([2]对账明细接口!$D$608=0,"",[2]对账明细接口!$D$608),"")</f>
      </c>
      <c r="E608" s="16">
        <f>IFERROR(IF([2]对账明细接口!$E$608=0,"",[2]对账明细接口!$E$608),"")</f>
      </c>
      <c r="F608" s="16">
        <f>IFERROR(IF([2]对账明细接口!$F$608=0,"",[2]对账明细接口!$F$608),"")</f>
      </c>
      <c r="G608" s="16">
        <f>IFERROR(IF([2]对账明细接口!$G$608=0,"",[2]对账明细接口!$G$608),"")</f>
      </c>
      <c r="H608" s="176">
        <f>IFERROR(IF([2]对账明细接口!$H$608=0,"",[2]对账明细接口!$H$608),"")</f>
      </c>
      <c r="I608" s="16">
        <f>IFERROR(IF([2]对账明细接口!$I$608=0,"",[2]对账明细接口!$I$608),"")</f>
      </c>
      <c r="J608" s="177">
        <f>IFERROR(IF([2]对账明细接口!$J$608=0,"",[2]对账明细接口!$J$608),"")</f>
      </c>
      <c r="K608" s="177">
        <f>IFERROR(IF([2]对账明细接口!$K$608=0,"",[2]对账明细接口!$K$608),"")</f>
      </c>
      <c r="L608" s="16">
        <f>IFERROR(IF([2]对账明细接口!$L$608=0,"",[2]对账明细接口!$L$608),"")</f>
      </c>
      <c r="M608" s="16">
        <f>IFERROR(IF([2]对账明细接口!$M$608=0,"",[2]对账明细接口!$M$608),"")</f>
      </c>
      <c r="N608" s="19">
        <f>IF($C608="",0,1)</f>
        <v>0</v>
      </c>
      <c r="O608" s="19">
        <f>N(O607)+$N608</f>
        <v>272</v>
      </c>
      <c r="S608" s="20">
        <f>IFERROR(IF([2]对账明细接口!$N608=0,"",[2]对账明细接口!$N608),"")</f>
      </c>
      <c r="T608" s="212">
        <f>IFERROR(IF([2]对账明细接口!$O608=0,"",[2]对账明细接口!$O608),"")</f>
      </c>
      <c r="U608" s="212">
        <f>IFERROR(IF([2]对账明细接口!$P608=0,"",[2]对账明细接口!$P608),"")</f>
      </c>
      <c r="V608" s="212">
        <f>IFERROR(IF([2]对账明细接口!$Q608=0,"",[2]对账明细接口!$Q608),"")</f>
      </c>
      <c r="W608" s="20">
        <f>IFERROR(IF([2]对账明细接口!$R608=0,"",[2]对账明细接口!$R608),"")</f>
      </c>
      <c r="X608" s="20">
        <f>IFERROR(IF([2]对账明细接口!$S608=0,"",[2]对账明细接口!$S608),"")</f>
      </c>
      <c r="Y608" s="20">
        <f>""</f>
      </c>
      <c r="Z608" s="20">
        <f>""</f>
      </c>
      <c r="AA608" s="20">
        <f>""</f>
      </c>
      <c r="AB608" s="20">
        <f>""</f>
      </c>
    </row>
    <row r="609" s="127">
      <c r="A609" s="14" t="n">
        <v>609</v>
      </c>
      <c r="B609" s="211">
        <f>IFERROR(IF([2]对账明细接口!$B$609=0,"",[2]对账明细接口!$B$609),"")</f>
      </c>
      <c r="C609" s="16">
        <f>IFERROR(IF([2]对账明细接口!$C$609=0,"",[2]对账明细接口!$C$609),"")</f>
      </c>
      <c r="D609" s="16">
        <f>IFERROR(IF([2]对账明细接口!$D$609=0,"",[2]对账明细接口!$D$609),"")</f>
      </c>
      <c r="E609" s="16">
        <f>IFERROR(IF([2]对账明细接口!$E$609=0,"",[2]对账明细接口!$E$609),"")</f>
      </c>
      <c r="F609" s="16">
        <f>IFERROR(IF([2]对账明细接口!$F$609=0,"",[2]对账明细接口!$F$609),"")</f>
      </c>
      <c r="G609" s="16">
        <f>IFERROR(IF([2]对账明细接口!$G$609=0,"",[2]对账明细接口!$G$609),"")</f>
      </c>
      <c r="H609" s="176">
        <f>IFERROR(IF([2]对账明细接口!$H$609=0,"",[2]对账明细接口!$H$609),"")</f>
      </c>
      <c r="I609" s="16">
        <f>IFERROR(IF([2]对账明细接口!$I$609=0,"",[2]对账明细接口!$I$609),"")</f>
      </c>
      <c r="J609" s="177">
        <f>IFERROR(IF([2]对账明细接口!$J$609=0,"",[2]对账明细接口!$J$609),"")</f>
      </c>
      <c r="K609" s="177">
        <f>IFERROR(IF([2]对账明细接口!$K$609=0,"",[2]对账明细接口!$K$609),"")</f>
      </c>
      <c r="L609" s="16">
        <f>IFERROR(IF([2]对账明细接口!$L$609=0,"",[2]对账明细接口!$L$609),"")</f>
      </c>
      <c r="M609" s="16">
        <f>IFERROR(IF([2]对账明细接口!$M$609=0,"",[2]对账明细接口!$M$609),"")</f>
      </c>
      <c r="N609" s="19">
        <f>IF($C609="",0,1)</f>
        <v>0</v>
      </c>
      <c r="O609" s="19">
        <f>N(O608)+$N609</f>
        <v>272</v>
      </c>
      <c r="S609" s="20">
        <f>IFERROR(IF([2]对账明细接口!$N609=0,"",[2]对账明细接口!$N609),"")</f>
      </c>
      <c r="T609" s="212">
        <f>IFERROR(IF([2]对账明细接口!$O609=0,"",[2]对账明细接口!$O609),"")</f>
      </c>
      <c r="U609" s="212">
        <f>IFERROR(IF([2]对账明细接口!$P609=0,"",[2]对账明细接口!$P609),"")</f>
      </c>
      <c r="V609" s="212">
        <f>IFERROR(IF([2]对账明细接口!$Q609=0,"",[2]对账明细接口!$Q609),"")</f>
      </c>
      <c r="W609" s="20">
        <f>IFERROR(IF([2]对账明细接口!$R609=0,"",[2]对账明细接口!$R609),"")</f>
      </c>
      <c r="X609" s="20">
        <f>IFERROR(IF([2]对账明细接口!$S609=0,"",[2]对账明细接口!$S609),"")</f>
      </c>
      <c r="Y609" s="20">
        <f>""</f>
      </c>
      <c r="Z609" s="20">
        <f>""</f>
      </c>
      <c r="AA609" s="20">
        <f>""</f>
      </c>
      <c r="AB609" s="20">
        <f>""</f>
      </c>
    </row>
    <row r="610" s="127">
      <c r="A610" s="14" t="n">
        <v>610</v>
      </c>
      <c r="B610" s="211">
        <f>IFERROR(IF([2]对账明细接口!$B$610=0,"",[2]对账明细接口!$B$610),"")</f>
      </c>
      <c r="C610" s="16">
        <f>IFERROR(IF([2]对账明细接口!$C$610=0,"",[2]对账明细接口!$C$610),"")</f>
      </c>
      <c r="D610" s="16">
        <f>IFERROR(IF([2]对账明细接口!$D$610=0,"",[2]对账明细接口!$D$610),"")</f>
      </c>
      <c r="E610" s="16">
        <f>IFERROR(IF([2]对账明细接口!$E$610=0,"",[2]对账明细接口!$E$610),"")</f>
      </c>
      <c r="F610" s="16">
        <f>IFERROR(IF([2]对账明细接口!$F$610=0,"",[2]对账明细接口!$F$610),"")</f>
      </c>
      <c r="G610" s="16">
        <f>IFERROR(IF([2]对账明细接口!$G$610=0,"",[2]对账明细接口!$G$610),"")</f>
      </c>
      <c r="H610" s="176">
        <f>IFERROR(IF([2]对账明细接口!$H$610=0,"",[2]对账明细接口!$H$610),"")</f>
      </c>
      <c r="I610" s="16">
        <f>IFERROR(IF([2]对账明细接口!$I$610=0,"",[2]对账明细接口!$I$610),"")</f>
      </c>
      <c r="J610" s="177">
        <f>IFERROR(IF([2]对账明细接口!$J$610=0,"",[2]对账明细接口!$J$610),"")</f>
      </c>
      <c r="K610" s="177">
        <f>IFERROR(IF([2]对账明细接口!$K$610=0,"",[2]对账明细接口!$K$610),"")</f>
      </c>
      <c r="L610" s="16">
        <f>IFERROR(IF([2]对账明细接口!$L$610=0,"",[2]对账明细接口!$L$610),"")</f>
      </c>
      <c r="M610" s="16">
        <f>IFERROR(IF([2]对账明细接口!$M$610=0,"",[2]对账明细接口!$M$610),"")</f>
      </c>
      <c r="N610" s="19">
        <f>IF($C610="",0,1)</f>
        <v>0</v>
      </c>
      <c r="O610" s="19">
        <f>N(O609)+$N610</f>
        <v>272</v>
      </c>
      <c r="S610" s="20">
        <f>IFERROR(IF([2]对账明细接口!$N610=0,"",[2]对账明细接口!$N610),"")</f>
      </c>
      <c r="T610" s="212">
        <f>IFERROR(IF([2]对账明细接口!$O610=0,"",[2]对账明细接口!$O610),"")</f>
      </c>
      <c r="U610" s="212">
        <f>IFERROR(IF([2]对账明细接口!$P610=0,"",[2]对账明细接口!$P610),"")</f>
      </c>
      <c r="V610" s="212">
        <f>IFERROR(IF([2]对账明细接口!$Q610=0,"",[2]对账明细接口!$Q610),"")</f>
      </c>
      <c r="W610" s="20">
        <f>IFERROR(IF([2]对账明细接口!$R610=0,"",[2]对账明细接口!$R610),"")</f>
      </c>
      <c r="X610" s="20">
        <f>IFERROR(IF([2]对账明细接口!$S610=0,"",[2]对账明细接口!$S610),"")</f>
      </c>
      <c r="Y610" s="20">
        <f>""</f>
      </c>
      <c r="Z610" s="20">
        <f>""</f>
      </c>
      <c r="AA610" s="20">
        <f>""</f>
      </c>
      <c r="AB610" s="20">
        <f>""</f>
      </c>
    </row>
    <row r="611" s="127">
      <c r="A611" s="14" t="n">
        <v>611</v>
      </c>
      <c r="B611" s="211">
        <f>IFERROR(IF([2]对账明细接口!$B$611=0,"",[2]对账明细接口!$B$611),"")</f>
      </c>
      <c r="C611" s="16">
        <f>IFERROR(IF([2]对账明细接口!$C$611=0,"",[2]对账明细接口!$C$611),"")</f>
      </c>
      <c r="D611" s="16">
        <f>IFERROR(IF([2]对账明细接口!$D$611=0,"",[2]对账明细接口!$D$611),"")</f>
      </c>
      <c r="E611" s="16">
        <f>IFERROR(IF([2]对账明细接口!$E$611=0,"",[2]对账明细接口!$E$611),"")</f>
      </c>
      <c r="F611" s="16">
        <f>IFERROR(IF([2]对账明细接口!$F$611=0,"",[2]对账明细接口!$F$611),"")</f>
      </c>
      <c r="G611" s="16">
        <f>IFERROR(IF([2]对账明细接口!$G$611=0,"",[2]对账明细接口!$G$611),"")</f>
      </c>
      <c r="H611" s="176">
        <f>IFERROR(IF([2]对账明细接口!$H$611=0,"",[2]对账明细接口!$H$611),"")</f>
      </c>
      <c r="I611" s="16">
        <f>IFERROR(IF([2]对账明细接口!$I$611=0,"",[2]对账明细接口!$I$611),"")</f>
      </c>
      <c r="J611" s="177">
        <f>IFERROR(IF([2]对账明细接口!$J$611=0,"",[2]对账明细接口!$J$611),"")</f>
      </c>
      <c r="K611" s="177">
        <f>IFERROR(IF([2]对账明细接口!$K$611=0,"",[2]对账明细接口!$K$611),"")</f>
      </c>
      <c r="L611" s="16">
        <f>IFERROR(IF([2]对账明细接口!$L$611=0,"",[2]对账明细接口!$L$611),"")</f>
      </c>
      <c r="M611" s="16">
        <f>IFERROR(IF([2]对账明细接口!$M$611=0,"",[2]对账明细接口!$M$611),"")</f>
      </c>
      <c r="N611" s="19">
        <f>IF($C611="",0,1)</f>
        <v>0</v>
      </c>
      <c r="O611" s="19">
        <f>N(O610)+$N611</f>
        <v>272</v>
      </c>
      <c r="S611" s="20">
        <f>IFERROR(IF([2]对账明细接口!$N611=0,"",[2]对账明细接口!$N611),"")</f>
      </c>
      <c r="T611" s="212">
        <f>IFERROR(IF([2]对账明细接口!$O611=0,"",[2]对账明细接口!$O611),"")</f>
      </c>
      <c r="U611" s="212">
        <f>IFERROR(IF([2]对账明细接口!$P611=0,"",[2]对账明细接口!$P611),"")</f>
      </c>
      <c r="V611" s="212">
        <f>IFERROR(IF([2]对账明细接口!$Q611=0,"",[2]对账明细接口!$Q611),"")</f>
      </c>
      <c r="W611" s="20">
        <f>IFERROR(IF([2]对账明细接口!$R611=0,"",[2]对账明细接口!$R611),"")</f>
      </c>
      <c r="X611" s="20">
        <f>IFERROR(IF([2]对账明细接口!$S611=0,"",[2]对账明细接口!$S611),"")</f>
      </c>
      <c r="Y611" s="20">
        <f>""</f>
      </c>
      <c r="Z611" s="20">
        <f>""</f>
      </c>
      <c r="AA611" s="20">
        <f>""</f>
      </c>
      <c r="AB611" s="20">
        <f>""</f>
      </c>
    </row>
    <row r="612" s="127">
      <c r="A612" s="14" t="n">
        <v>612</v>
      </c>
      <c r="B612" s="211">
        <f>IFERROR(IF([2]对账明细接口!$B$612=0,"",[2]对账明细接口!$B$612),"")</f>
      </c>
      <c r="C612" s="16">
        <f>IFERROR(IF([2]对账明细接口!$C$612=0,"",[2]对账明细接口!$C$612),"")</f>
      </c>
      <c r="D612" s="16">
        <f>IFERROR(IF([2]对账明细接口!$D$612=0,"",[2]对账明细接口!$D$612),"")</f>
      </c>
      <c r="E612" s="16">
        <f>IFERROR(IF([2]对账明细接口!$E$612=0,"",[2]对账明细接口!$E$612),"")</f>
      </c>
      <c r="F612" s="16">
        <f>IFERROR(IF([2]对账明细接口!$F$612=0,"",[2]对账明细接口!$F$612),"")</f>
      </c>
      <c r="G612" s="16">
        <f>IFERROR(IF([2]对账明细接口!$G$612=0,"",[2]对账明细接口!$G$612),"")</f>
      </c>
      <c r="H612" s="176">
        <f>IFERROR(IF([2]对账明细接口!$H$612=0,"",[2]对账明细接口!$H$612),"")</f>
      </c>
      <c r="I612" s="16">
        <f>IFERROR(IF([2]对账明细接口!$I$612=0,"",[2]对账明细接口!$I$612),"")</f>
      </c>
      <c r="J612" s="177">
        <f>IFERROR(IF([2]对账明细接口!$J$612=0,"",[2]对账明细接口!$J$612),"")</f>
      </c>
      <c r="K612" s="177">
        <f>IFERROR(IF([2]对账明细接口!$K$612=0,"",[2]对账明细接口!$K$612),"")</f>
      </c>
      <c r="L612" s="16">
        <f>IFERROR(IF([2]对账明细接口!$L$612=0,"",[2]对账明细接口!$L$612),"")</f>
      </c>
      <c r="M612" s="16">
        <f>IFERROR(IF([2]对账明细接口!$M$612=0,"",[2]对账明细接口!$M$612),"")</f>
      </c>
      <c r="N612" s="19">
        <f>IF($C612="",0,1)</f>
        <v>0</v>
      </c>
      <c r="O612" s="19">
        <f>N(O611)+$N612</f>
        <v>272</v>
      </c>
      <c r="S612" s="20">
        <f>IFERROR(IF([2]对账明细接口!$N612=0,"",[2]对账明细接口!$N612),"")</f>
      </c>
      <c r="T612" s="212">
        <f>IFERROR(IF([2]对账明细接口!$O612=0,"",[2]对账明细接口!$O612),"")</f>
      </c>
      <c r="U612" s="212">
        <f>IFERROR(IF([2]对账明细接口!$P612=0,"",[2]对账明细接口!$P612),"")</f>
      </c>
      <c r="V612" s="212">
        <f>IFERROR(IF([2]对账明细接口!$Q612=0,"",[2]对账明细接口!$Q612),"")</f>
      </c>
      <c r="W612" s="20">
        <f>IFERROR(IF([2]对账明细接口!$R612=0,"",[2]对账明细接口!$R612),"")</f>
      </c>
      <c r="X612" s="20">
        <f>IFERROR(IF([2]对账明细接口!$S612=0,"",[2]对账明细接口!$S612),"")</f>
      </c>
      <c r="Y612" s="20">
        <f>""</f>
      </c>
      <c r="Z612" s="20">
        <f>""</f>
      </c>
      <c r="AA612" s="20">
        <f>""</f>
      </c>
      <c r="AB612" s="20">
        <f>""</f>
      </c>
    </row>
    <row r="613" s="127">
      <c r="A613" s="14" t="n">
        <v>613</v>
      </c>
      <c r="B613" s="211">
        <f>IFERROR(IF([2]对账明细接口!$B$613=0,"",[2]对账明细接口!$B$613),"")</f>
      </c>
      <c r="C613" s="16">
        <f>IFERROR(IF([2]对账明细接口!$C$613=0,"",[2]对账明细接口!$C$613),"")</f>
      </c>
      <c r="D613" s="16">
        <f>IFERROR(IF([2]对账明细接口!$D$613=0,"",[2]对账明细接口!$D$613),"")</f>
      </c>
      <c r="E613" s="16">
        <f>IFERROR(IF([2]对账明细接口!$E$613=0,"",[2]对账明细接口!$E$613),"")</f>
      </c>
      <c r="F613" s="16">
        <f>IFERROR(IF([2]对账明细接口!$F$613=0,"",[2]对账明细接口!$F$613),"")</f>
      </c>
      <c r="G613" s="16">
        <f>IFERROR(IF([2]对账明细接口!$G$613=0,"",[2]对账明细接口!$G$613),"")</f>
      </c>
      <c r="H613" s="176">
        <f>IFERROR(IF([2]对账明细接口!$H$613=0,"",[2]对账明细接口!$H$613),"")</f>
      </c>
      <c r="I613" s="16">
        <f>IFERROR(IF([2]对账明细接口!$I$613=0,"",[2]对账明细接口!$I$613),"")</f>
      </c>
      <c r="J613" s="177">
        <f>IFERROR(IF([2]对账明细接口!$J$613=0,"",[2]对账明细接口!$J$613),"")</f>
      </c>
      <c r="K613" s="177">
        <f>IFERROR(IF([2]对账明细接口!$K$613=0,"",[2]对账明细接口!$K$613),"")</f>
      </c>
      <c r="L613" s="16">
        <f>IFERROR(IF([2]对账明细接口!$L$613=0,"",[2]对账明细接口!$L$613),"")</f>
      </c>
      <c r="M613" s="16">
        <f>IFERROR(IF([2]对账明细接口!$M$613=0,"",[2]对账明细接口!$M$613),"")</f>
      </c>
      <c r="N613" s="19">
        <f>IF($C613="",0,1)</f>
        <v>0</v>
      </c>
      <c r="O613" s="19">
        <f>N(O612)+$N613</f>
        <v>272</v>
      </c>
      <c r="S613" s="20">
        <f>IFERROR(IF([2]对账明细接口!$N613=0,"",[2]对账明细接口!$N613),"")</f>
      </c>
      <c r="T613" s="212">
        <f>IFERROR(IF([2]对账明细接口!$O613=0,"",[2]对账明细接口!$O613),"")</f>
      </c>
      <c r="U613" s="212">
        <f>IFERROR(IF([2]对账明细接口!$P613=0,"",[2]对账明细接口!$P613),"")</f>
      </c>
      <c r="V613" s="212">
        <f>IFERROR(IF([2]对账明细接口!$Q613=0,"",[2]对账明细接口!$Q613),"")</f>
      </c>
      <c r="W613" s="20">
        <f>IFERROR(IF([2]对账明细接口!$R613=0,"",[2]对账明细接口!$R613),"")</f>
      </c>
      <c r="X613" s="20">
        <f>IFERROR(IF([2]对账明细接口!$S613=0,"",[2]对账明细接口!$S613),"")</f>
      </c>
      <c r="Y613" s="20">
        <f>""</f>
      </c>
      <c r="Z613" s="20">
        <f>""</f>
      </c>
      <c r="AA613" s="20">
        <f>""</f>
      </c>
      <c r="AB613" s="20">
        <f>""</f>
      </c>
    </row>
    <row r="614" s="127">
      <c r="A614" s="14" t="n">
        <v>614</v>
      </c>
      <c r="B614" s="211">
        <f>IFERROR(IF([2]对账明细接口!$B$614=0,"",[2]对账明细接口!$B$614),"")</f>
      </c>
      <c r="C614" s="16">
        <f>IFERROR(IF([2]对账明细接口!$C$614=0,"",[2]对账明细接口!$C$614),"")</f>
      </c>
      <c r="D614" s="16">
        <f>IFERROR(IF([2]对账明细接口!$D$614=0,"",[2]对账明细接口!$D$614),"")</f>
      </c>
      <c r="E614" s="16">
        <f>IFERROR(IF([2]对账明细接口!$E$614=0,"",[2]对账明细接口!$E$614),"")</f>
      </c>
      <c r="F614" s="16">
        <f>IFERROR(IF([2]对账明细接口!$F$614=0,"",[2]对账明细接口!$F$614),"")</f>
      </c>
      <c r="G614" s="16">
        <f>IFERROR(IF([2]对账明细接口!$G$614=0,"",[2]对账明细接口!$G$614),"")</f>
      </c>
      <c r="H614" s="176">
        <f>IFERROR(IF([2]对账明细接口!$H$614=0,"",[2]对账明细接口!$H$614),"")</f>
      </c>
      <c r="I614" s="16">
        <f>IFERROR(IF([2]对账明细接口!$I$614=0,"",[2]对账明细接口!$I$614),"")</f>
      </c>
      <c r="J614" s="177">
        <f>IFERROR(IF([2]对账明细接口!$J$614=0,"",[2]对账明细接口!$J$614),"")</f>
      </c>
      <c r="K614" s="177">
        <f>IFERROR(IF([2]对账明细接口!$K$614=0,"",[2]对账明细接口!$K$614),"")</f>
      </c>
      <c r="L614" s="16">
        <f>IFERROR(IF([2]对账明细接口!$L$614=0,"",[2]对账明细接口!$L$614),"")</f>
      </c>
      <c r="M614" s="16">
        <f>IFERROR(IF([2]对账明细接口!$M$614=0,"",[2]对账明细接口!$M$614),"")</f>
      </c>
      <c r="N614" s="19">
        <f>IF($C614="",0,1)</f>
        <v>0</v>
      </c>
      <c r="O614" s="19">
        <f>N(O613)+$N614</f>
        <v>272</v>
      </c>
      <c r="S614" s="20">
        <f>IFERROR(IF([2]对账明细接口!$N614=0,"",[2]对账明细接口!$N614),"")</f>
      </c>
      <c r="T614" s="212">
        <f>IFERROR(IF([2]对账明细接口!$O614=0,"",[2]对账明细接口!$O614),"")</f>
      </c>
      <c r="U614" s="212">
        <f>IFERROR(IF([2]对账明细接口!$P614=0,"",[2]对账明细接口!$P614),"")</f>
      </c>
      <c r="V614" s="212">
        <f>IFERROR(IF([2]对账明细接口!$Q614=0,"",[2]对账明细接口!$Q614),"")</f>
      </c>
      <c r="W614" s="20">
        <f>IFERROR(IF([2]对账明细接口!$R614=0,"",[2]对账明细接口!$R614),"")</f>
      </c>
      <c r="X614" s="20">
        <f>IFERROR(IF([2]对账明细接口!$S614=0,"",[2]对账明细接口!$S614),"")</f>
      </c>
      <c r="Y614" s="20">
        <f>""</f>
      </c>
      <c r="Z614" s="20">
        <f>""</f>
      </c>
      <c r="AA614" s="20">
        <f>""</f>
      </c>
      <c r="AB614" s="20">
        <f>""</f>
      </c>
    </row>
    <row r="615" s="127">
      <c r="A615" s="14" t="n">
        <v>615</v>
      </c>
      <c r="B615" s="211">
        <f>IFERROR(IF([2]对账明细接口!$B$615=0,"",[2]对账明细接口!$B$615),"")</f>
      </c>
      <c r="C615" s="16">
        <f>IFERROR(IF([2]对账明细接口!$C$615=0,"",[2]对账明细接口!$C$615),"")</f>
      </c>
      <c r="D615" s="16">
        <f>IFERROR(IF([2]对账明细接口!$D$615=0,"",[2]对账明细接口!$D$615),"")</f>
      </c>
      <c r="E615" s="16">
        <f>IFERROR(IF([2]对账明细接口!$E$615=0,"",[2]对账明细接口!$E$615),"")</f>
      </c>
      <c r="F615" s="16">
        <f>IFERROR(IF([2]对账明细接口!$F$615=0,"",[2]对账明细接口!$F$615),"")</f>
      </c>
      <c r="G615" s="16">
        <f>IFERROR(IF([2]对账明细接口!$G$615=0,"",[2]对账明细接口!$G$615),"")</f>
      </c>
      <c r="H615" s="176">
        <f>IFERROR(IF([2]对账明细接口!$H$615=0,"",[2]对账明细接口!$H$615),"")</f>
      </c>
      <c r="I615" s="16">
        <f>IFERROR(IF([2]对账明细接口!$I$615=0,"",[2]对账明细接口!$I$615),"")</f>
      </c>
      <c r="J615" s="177">
        <f>IFERROR(IF([2]对账明细接口!$J$615=0,"",[2]对账明细接口!$J$615),"")</f>
      </c>
      <c r="K615" s="177">
        <f>IFERROR(IF([2]对账明细接口!$K$615=0,"",[2]对账明细接口!$K$615),"")</f>
      </c>
      <c r="L615" s="16">
        <f>IFERROR(IF([2]对账明细接口!$L$615=0,"",[2]对账明细接口!$L$615),"")</f>
      </c>
      <c r="M615" s="16">
        <f>IFERROR(IF([2]对账明细接口!$M$615=0,"",[2]对账明细接口!$M$615),"")</f>
      </c>
      <c r="N615" s="19">
        <f>IF($C615="",0,1)</f>
        <v>0</v>
      </c>
      <c r="O615" s="19">
        <f>N(O614)+$N615</f>
        <v>272</v>
      </c>
      <c r="S615" s="20">
        <f>IFERROR(IF([2]对账明细接口!$N615=0,"",[2]对账明细接口!$N615),"")</f>
      </c>
      <c r="T615" s="212">
        <f>IFERROR(IF([2]对账明细接口!$O615=0,"",[2]对账明细接口!$O615),"")</f>
      </c>
      <c r="U615" s="212">
        <f>IFERROR(IF([2]对账明细接口!$P615=0,"",[2]对账明细接口!$P615),"")</f>
      </c>
      <c r="V615" s="212">
        <f>IFERROR(IF([2]对账明细接口!$Q615=0,"",[2]对账明细接口!$Q615),"")</f>
      </c>
      <c r="W615" s="20">
        <f>IFERROR(IF([2]对账明细接口!$R615=0,"",[2]对账明细接口!$R615),"")</f>
      </c>
      <c r="X615" s="20">
        <f>IFERROR(IF([2]对账明细接口!$S615=0,"",[2]对账明细接口!$S615),"")</f>
      </c>
      <c r="Y615" s="20">
        <f>""</f>
      </c>
      <c r="Z615" s="20">
        <f>""</f>
      </c>
      <c r="AA615" s="20">
        <f>""</f>
      </c>
      <c r="AB615" s="20">
        <f>""</f>
      </c>
    </row>
    <row r="616" s="127">
      <c r="A616" s="14" t="n">
        <v>616</v>
      </c>
      <c r="B616" s="211">
        <f>IFERROR(IF([2]对账明细接口!$B$616=0,"",[2]对账明细接口!$B$616),"")</f>
      </c>
      <c r="C616" s="16">
        <f>IFERROR(IF([2]对账明细接口!$C$616=0,"",[2]对账明细接口!$C$616),"")</f>
      </c>
      <c r="D616" s="16">
        <f>IFERROR(IF([2]对账明细接口!$D$616=0,"",[2]对账明细接口!$D$616),"")</f>
      </c>
      <c r="E616" s="16">
        <f>IFERROR(IF([2]对账明细接口!$E$616=0,"",[2]对账明细接口!$E$616),"")</f>
      </c>
      <c r="F616" s="16">
        <f>IFERROR(IF([2]对账明细接口!$F$616=0,"",[2]对账明细接口!$F$616),"")</f>
      </c>
      <c r="G616" s="16">
        <f>IFERROR(IF([2]对账明细接口!$G$616=0,"",[2]对账明细接口!$G$616),"")</f>
      </c>
      <c r="H616" s="176">
        <f>IFERROR(IF([2]对账明细接口!$H$616=0,"",[2]对账明细接口!$H$616),"")</f>
      </c>
      <c r="I616" s="16">
        <f>IFERROR(IF([2]对账明细接口!$I$616=0,"",[2]对账明细接口!$I$616),"")</f>
      </c>
      <c r="J616" s="177">
        <f>IFERROR(IF([2]对账明细接口!$J$616=0,"",[2]对账明细接口!$J$616),"")</f>
      </c>
      <c r="K616" s="177">
        <f>IFERROR(IF([2]对账明细接口!$K$616=0,"",[2]对账明细接口!$K$616),"")</f>
      </c>
      <c r="L616" s="16">
        <f>IFERROR(IF([2]对账明细接口!$L$616=0,"",[2]对账明细接口!$L$616),"")</f>
      </c>
      <c r="M616" s="16">
        <f>IFERROR(IF([2]对账明细接口!$M$616=0,"",[2]对账明细接口!$M$616),"")</f>
      </c>
      <c r="N616" s="19">
        <f>IF($C616="",0,1)</f>
        <v>0</v>
      </c>
      <c r="O616" s="19">
        <f>N(O615)+$N616</f>
        <v>272</v>
      </c>
      <c r="S616" s="20">
        <f>IFERROR(IF([2]对账明细接口!$N616=0,"",[2]对账明细接口!$N616),"")</f>
      </c>
      <c r="T616" s="212">
        <f>IFERROR(IF([2]对账明细接口!$O616=0,"",[2]对账明细接口!$O616),"")</f>
      </c>
      <c r="U616" s="212">
        <f>IFERROR(IF([2]对账明细接口!$P616=0,"",[2]对账明细接口!$P616),"")</f>
      </c>
      <c r="V616" s="212">
        <f>IFERROR(IF([2]对账明细接口!$Q616=0,"",[2]对账明细接口!$Q616),"")</f>
      </c>
      <c r="W616" s="20">
        <f>IFERROR(IF([2]对账明细接口!$R616=0,"",[2]对账明细接口!$R616),"")</f>
      </c>
      <c r="X616" s="20">
        <f>IFERROR(IF([2]对账明细接口!$S616=0,"",[2]对账明细接口!$S616),"")</f>
      </c>
      <c r="Y616" s="20">
        <f>""</f>
      </c>
      <c r="Z616" s="20">
        <f>""</f>
      </c>
      <c r="AA616" s="20">
        <f>""</f>
      </c>
      <c r="AB616" s="20">
        <f>""</f>
      </c>
    </row>
    <row r="617" s="127">
      <c r="A617" s="14" t="n">
        <v>617</v>
      </c>
      <c r="B617" s="211">
        <f>IFERROR(IF([2]对账明细接口!$B$617=0,"",[2]对账明细接口!$B$617),"")</f>
      </c>
      <c r="C617" s="16">
        <f>IFERROR(IF([2]对账明细接口!$C$617=0,"",[2]对账明细接口!$C$617),"")</f>
      </c>
      <c r="D617" s="16">
        <f>IFERROR(IF([2]对账明细接口!$D$617=0,"",[2]对账明细接口!$D$617),"")</f>
      </c>
      <c r="E617" s="16">
        <f>IFERROR(IF([2]对账明细接口!$E$617=0,"",[2]对账明细接口!$E$617),"")</f>
      </c>
      <c r="F617" s="16">
        <f>IFERROR(IF([2]对账明细接口!$F$617=0,"",[2]对账明细接口!$F$617),"")</f>
      </c>
      <c r="G617" s="16">
        <f>IFERROR(IF([2]对账明细接口!$G$617=0,"",[2]对账明细接口!$G$617),"")</f>
      </c>
      <c r="H617" s="176">
        <f>IFERROR(IF([2]对账明细接口!$H$617=0,"",[2]对账明细接口!$H$617),"")</f>
      </c>
      <c r="I617" s="16">
        <f>IFERROR(IF([2]对账明细接口!$I$617=0,"",[2]对账明细接口!$I$617),"")</f>
      </c>
      <c r="J617" s="177">
        <f>IFERROR(IF([2]对账明细接口!$J$617=0,"",[2]对账明细接口!$J$617),"")</f>
      </c>
      <c r="K617" s="177">
        <f>IFERROR(IF([2]对账明细接口!$K$617=0,"",[2]对账明细接口!$K$617),"")</f>
      </c>
      <c r="L617" s="16">
        <f>IFERROR(IF([2]对账明细接口!$L$617=0,"",[2]对账明细接口!$L$617),"")</f>
      </c>
      <c r="M617" s="16">
        <f>IFERROR(IF([2]对账明细接口!$M$617=0,"",[2]对账明细接口!$M$617),"")</f>
      </c>
      <c r="N617" s="19">
        <f>IF($C617="",0,1)</f>
        <v>0</v>
      </c>
      <c r="O617" s="19">
        <f>N(O616)+$N617</f>
        <v>272</v>
      </c>
      <c r="S617" s="20">
        <f>IFERROR(IF([2]对账明细接口!$N617=0,"",[2]对账明细接口!$N617),"")</f>
      </c>
      <c r="T617" s="212">
        <f>IFERROR(IF([2]对账明细接口!$O617=0,"",[2]对账明细接口!$O617),"")</f>
      </c>
      <c r="U617" s="212">
        <f>IFERROR(IF([2]对账明细接口!$P617=0,"",[2]对账明细接口!$P617),"")</f>
      </c>
      <c r="V617" s="212">
        <f>IFERROR(IF([2]对账明细接口!$Q617=0,"",[2]对账明细接口!$Q617),"")</f>
      </c>
      <c r="W617" s="20">
        <f>IFERROR(IF([2]对账明细接口!$R617=0,"",[2]对账明细接口!$R617),"")</f>
      </c>
      <c r="X617" s="20">
        <f>IFERROR(IF([2]对账明细接口!$S617=0,"",[2]对账明细接口!$S617),"")</f>
      </c>
      <c r="Y617" s="20">
        <f>""</f>
      </c>
      <c r="Z617" s="20">
        <f>""</f>
      </c>
      <c r="AA617" s="20">
        <f>""</f>
      </c>
      <c r="AB617" s="20">
        <f>""</f>
      </c>
    </row>
    <row r="618" s="127">
      <c r="A618" s="14" t="n">
        <v>618</v>
      </c>
      <c r="B618" s="211">
        <f>IFERROR(IF([2]对账明细接口!$B$618=0,"",[2]对账明细接口!$B$618),"")</f>
      </c>
      <c r="C618" s="16">
        <f>IFERROR(IF([2]对账明细接口!$C$618=0,"",[2]对账明细接口!$C$618),"")</f>
      </c>
      <c r="D618" s="16">
        <f>IFERROR(IF([2]对账明细接口!$D$618=0,"",[2]对账明细接口!$D$618),"")</f>
      </c>
      <c r="E618" s="16">
        <f>IFERROR(IF([2]对账明细接口!$E$618=0,"",[2]对账明细接口!$E$618),"")</f>
      </c>
      <c r="F618" s="16">
        <f>IFERROR(IF([2]对账明细接口!$F$618=0,"",[2]对账明细接口!$F$618),"")</f>
      </c>
      <c r="G618" s="16">
        <f>IFERROR(IF([2]对账明细接口!$G$618=0,"",[2]对账明细接口!$G$618),"")</f>
      </c>
      <c r="H618" s="176">
        <f>IFERROR(IF([2]对账明细接口!$H$618=0,"",[2]对账明细接口!$H$618),"")</f>
      </c>
      <c r="I618" s="16">
        <f>IFERROR(IF([2]对账明细接口!$I$618=0,"",[2]对账明细接口!$I$618),"")</f>
      </c>
      <c r="J618" s="177">
        <f>IFERROR(IF([2]对账明细接口!$J$618=0,"",[2]对账明细接口!$J$618),"")</f>
      </c>
      <c r="K618" s="177">
        <f>IFERROR(IF([2]对账明细接口!$K$618=0,"",[2]对账明细接口!$K$618),"")</f>
      </c>
      <c r="L618" s="16">
        <f>IFERROR(IF([2]对账明细接口!$L$618=0,"",[2]对账明细接口!$L$618),"")</f>
      </c>
      <c r="M618" s="16">
        <f>IFERROR(IF([2]对账明细接口!$M$618=0,"",[2]对账明细接口!$M$618),"")</f>
      </c>
      <c r="N618" s="19">
        <f>IF($C618="",0,1)</f>
        <v>0</v>
      </c>
      <c r="O618" s="19">
        <f>N(O617)+$N618</f>
        <v>272</v>
      </c>
      <c r="S618" s="20">
        <f>IFERROR(IF([2]对账明细接口!$N618=0,"",[2]对账明细接口!$N618),"")</f>
      </c>
      <c r="T618" s="212">
        <f>IFERROR(IF([2]对账明细接口!$O618=0,"",[2]对账明细接口!$O618),"")</f>
      </c>
      <c r="U618" s="212">
        <f>IFERROR(IF([2]对账明细接口!$P618=0,"",[2]对账明细接口!$P618),"")</f>
      </c>
      <c r="V618" s="212">
        <f>IFERROR(IF([2]对账明细接口!$Q618=0,"",[2]对账明细接口!$Q618),"")</f>
      </c>
      <c r="W618" s="20">
        <f>IFERROR(IF([2]对账明细接口!$R618=0,"",[2]对账明细接口!$R618),"")</f>
      </c>
      <c r="X618" s="20">
        <f>IFERROR(IF([2]对账明细接口!$S618=0,"",[2]对账明细接口!$S618),"")</f>
      </c>
      <c r="Y618" s="20">
        <f>""</f>
      </c>
      <c r="Z618" s="20">
        <f>""</f>
      </c>
      <c r="AA618" s="20">
        <f>""</f>
      </c>
      <c r="AB618" s="20">
        <f>""</f>
      </c>
    </row>
    <row r="619" s="127">
      <c r="A619" s="14" t="n">
        <v>619</v>
      </c>
      <c r="B619" s="211">
        <f>IFERROR(IF([2]对账明细接口!$B$619=0,"",[2]对账明细接口!$B$619),"")</f>
      </c>
      <c r="C619" s="16">
        <f>IFERROR(IF([2]对账明细接口!$C$619=0,"",[2]对账明细接口!$C$619),"")</f>
      </c>
      <c r="D619" s="16">
        <f>IFERROR(IF([2]对账明细接口!$D$619=0,"",[2]对账明细接口!$D$619),"")</f>
      </c>
      <c r="E619" s="16">
        <f>IFERROR(IF([2]对账明细接口!$E$619=0,"",[2]对账明细接口!$E$619),"")</f>
      </c>
      <c r="F619" s="16">
        <f>IFERROR(IF([2]对账明细接口!$F$619=0,"",[2]对账明细接口!$F$619),"")</f>
      </c>
      <c r="G619" s="16">
        <f>IFERROR(IF([2]对账明细接口!$G$619=0,"",[2]对账明细接口!$G$619),"")</f>
      </c>
      <c r="H619" s="176">
        <f>IFERROR(IF([2]对账明细接口!$H$619=0,"",[2]对账明细接口!$H$619),"")</f>
      </c>
      <c r="I619" s="16">
        <f>IFERROR(IF([2]对账明细接口!$I$619=0,"",[2]对账明细接口!$I$619),"")</f>
      </c>
      <c r="J619" s="177">
        <f>IFERROR(IF([2]对账明细接口!$J$619=0,"",[2]对账明细接口!$J$619),"")</f>
      </c>
      <c r="K619" s="177">
        <f>IFERROR(IF([2]对账明细接口!$K$619=0,"",[2]对账明细接口!$K$619),"")</f>
      </c>
      <c r="L619" s="16">
        <f>IFERROR(IF([2]对账明细接口!$L$619=0,"",[2]对账明细接口!$L$619),"")</f>
      </c>
      <c r="M619" s="16">
        <f>IFERROR(IF([2]对账明细接口!$M$619=0,"",[2]对账明细接口!$M$619),"")</f>
      </c>
      <c r="N619" s="19">
        <f>IF($C619="",0,1)</f>
        <v>0</v>
      </c>
      <c r="O619" s="19">
        <f>N(O618)+$N619</f>
        <v>272</v>
      </c>
      <c r="S619" s="20">
        <f>IFERROR(IF([2]对账明细接口!$N619=0,"",[2]对账明细接口!$N619),"")</f>
      </c>
      <c r="T619" s="212">
        <f>IFERROR(IF([2]对账明细接口!$O619=0,"",[2]对账明细接口!$O619),"")</f>
      </c>
      <c r="U619" s="212">
        <f>IFERROR(IF([2]对账明细接口!$P619=0,"",[2]对账明细接口!$P619),"")</f>
      </c>
      <c r="V619" s="212">
        <f>IFERROR(IF([2]对账明细接口!$Q619=0,"",[2]对账明细接口!$Q619),"")</f>
      </c>
      <c r="W619" s="20">
        <f>IFERROR(IF([2]对账明细接口!$R619=0,"",[2]对账明细接口!$R619),"")</f>
      </c>
      <c r="X619" s="20">
        <f>IFERROR(IF([2]对账明细接口!$S619=0,"",[2]对账明细接口!$S619),"")</f>
      </c>
      <c r="Y619" s="20">
        <f>""</f>
      </c>
      <c r="Z619" s="20">
        <f>""</f>
      </c>
      <c r="AA619" s="20">
        <f>""</f>
      </c>
      <c r="AB619" s="20">
        <f>""</f>
      </c>
    </row>
    <row r="620" s="127">
      <c r="A620" s="14" t="n">
        <v>620</v>
      </c>
      <c r="B620" s="211">
        <f>IFERROR(IF([2]对账明细接口!$B$620=0,"",[2]对账明细接口!$B$620),"")</f>
      </c>
      <c r="C620" s="16">
        <f>IFERROR(IF([2]对账明细接口!$C$620=0,"",[2]对账明细接口!$C$620),"")</f>
      </c>
      <c r="D620" s="16">
        <f>IFERROR(IF([2]对账明细接口!$D$620=0,"",[2]对账明细接口!$D$620),"")</f>
      </c>
      <c r="E620" s="16">
        <f>IFERROR(IF([2]对账明细接口!$E$620=0,"",[2]对账明细接口!$E$620),"")</f>
      </c>
      <c r="F620" s="16">
        <f>IFERROR(IF([2]对账明细接口!$F$620=0,"",[2]对账明细接口!$F$620),"")</f>
      </c>
      <c r="G620" s="16">
        <f>IFERROR(IF([2]对账明细接口!$G$620=0,"",[2]对账明细接口!$G$620),"")</f>
      </c>
      <c r="H620" s="176">
        <f>IFERROR(IF([2]对账明细接口!$H$620=0,"",[2]对账明细接口!$H$620),"")</f>
      </c>
      <c r="I620" s="16">
        <f>IFERROR(IF([2]对账明细接口!$I$620=0,"",[2]对账明细接口!$I$620),"")</f>
      </c>
      <c r="J620" s="177">
        <f>IFERROR(IF([2]对账明细接口!$J$620=0,"",[2]对账明细接口!$J$620),"")</f>
      </c>
      <c r="K620" s="177">
        <f>IFERROR(IF([2]对账明细接口!$K$620=0,"",[2]对账明细接口!$K$620),"")</f>
      </c>
      <c r="L620" s="16">
        <f>IFERROR(IF([2]对账明细接口!$L$620=0,"",[2]对账明细接口!$L$620),"")</f>
      </c>
      <c r="M620" s="16">
        <f>IFERROR(IF([2]对账明细接口!$M$620=0,"",[2]对账明细接口!$M$620),"")</f>
      </c>
      <c r="N620" s="19">
        <f>IF($C620="",0,1)</f>
        <v>0</v>
      </c>
      <c r="O620" s="19">
        <f>N(O619)+$N620</f>
        <v>272</v>
      </c>
      <c r="S620" s="20">
        <f>IFERROR(IF([2]对账明细接口!$N620=0,"",[2]对账明细接口!$N620),"")</f>
      </c>
      <c r="T620" s="212">
        <f>IFERROR(IF([2]对账明细接口!$O620=0,"",[2]对账明细接口!$O620),"")</f>
      </c>
      <c r="U620" s="212">
        <f>IFERROR(IF([2]对账明细接口!$P620=0,"",[2]对账明细接口!$P620),"")</f>
      </c>
      <c r="V620" s="212">
        <f>IFERROR(IF([2]对账明细接口!$Q620=0,"",[2]对账明细接口!$Q620),"")</f>
      </c>
      <c r="W620" s="20">
        <f>IFERROR(IF([2]对账明细接口!$R620=0,"",[2]对账明细接口!$R620),"")</f>
      </c>
      <c r="X620" s="20">
        <f>IFERROR(IF([2]对账明细接口!$S620=0,"",[2]对账明细接口!$S620),"")</f>
      </c>
      <c r="Y620" s="20">
        <f>""</f>
      </c>
      <c r="Z620" s="20">
        <f>""</f>
      </c>
      <c r="AA620" s="20">
        <f>""</f>
      </c>
      <c r="AB620" s="20">
        <f>""</f>
      </c>
    </row>
    <row r="621" s="127">
      <c r="A621" s="14" t="n">
        <v>621</v>
      </c>
      <c r="B621" s="211">
        <f>IFERROR(IF([2]对账明细接口!$B$621=0,"",[2]对账明细接口!$B$621),"")</f>
      </c>
      <c r="C621" s="16">
        <f>IFERROR(IF([2]对账明细接口!$C$621=0,"",[2]对账明细接口!$C$621),"")</f>
      </c>
      <c r="D621" s="16">
        <f>IFERROR(IF([2]对账明细接口!$D$621=0,"",[2]对账明细接口!$D$621),"")</f>
      </c>
      <c r="E621" s="16">
        <f>IFERROR(IF([2]对账明细接口!$E$621=0,"",[2]对账明细接口!$E$621),"")</f>
      </c>
      <c r="F621" s="16">
        <f>IFERROR(IF([2]对账明细接口!$F$621=0,"",[2]对账明细接口!$F$621),"")</f>
      </c>
      <c r="G621" s="16">
        <f>IFERROR(IF([2]对账明细接口!$G$621=0,"",[2]对账明细接口!$G$621),"")</f>
      </c>
      <c r="H621" s="176">
        <f>IFERROR(IF([2]对账明细接口!$H$621=0,"",[2]对账明细接口!$H$621),"")</f>
      </c>
      <c r="I621" s="16">
        <f>IFERROR(IF([2]对账明细接口!$I$621=0,"",[2]对账明细接口!$I$621),"")</f>
      </c>
      <c r="J621" s="177">
        <f>IFERROR(IF([2]对账明细接口!$J$621=0,"",[2]对账明细接口!$J$621),"")</f>
      </c>
      <c r="K621" s="177">
        <f>IFERROR(IF([2]对账明细接口!$K$621=0,"",[2]对账明细接口!$K$621),"")</f>
      </c>
      <c r="L621" s="16">
        <f>IFERROR(IF([2]对账明细接口!$L$621=0,"",[2]对账明细接口!$L$621),"")</f>
      </c>
      <c r="M621" s="16">
        <f>IFERROR(IF([2]对账明细接口!$M$621=0,"",[2]对账明细接口!$M$621),"")</f>
      </c>
      <c r="N621" s="19">
        <f>IF($C621="",0,1)</f>
        <v>0</v>
      </c>
      <c r="O621" s="19">
        <f>N(O620)+$N621</f>
        <v>272</v>
      </c>
      <c r="S621" s="20">
        <f>IFERROR(IF([2]对账明细接口!$N621=0,"",[2]对账明细接口!$N621),"")</f>
      </c>
      <c r="T621" s="212">
        <f>IFERROR(IF([2]对账明细接口!$O621=0,"",[2]对账明细接口!$O621),"")</f>
      </c>
      <c r="U621" s="212">
        <f>IFERROR(IF([2]对账明细接口!$P621=0,"",[2]对账明细接口!$P621),"")</f>
      </c>
      <c r="V621" s="212">
        <f>IFERROR(IF([2]对账明细接口!$Q621=0,"",[2]对账明细接口!$Q621),"")</f>
      </c>
      <c r="W621" s="20">
        <f>IFERROR(IF([2]对账明细接口!$R621=0,"",[2]对账明细接口!$R621),"")</f>
      </c>
      <c r="X621" s="20">
        <f>IFERROR(IF([2]对账明细接口!$S621=0,"",[2]对账明细接口!$S621),"")</f>
      </c>
      <c r="Y621" s="20">
        <f>""</f>
      </c>
      <c r="Z621" s="20">
        <f>""</f>
      </c>
      <c r="AA621" s="20">
        <f>""</f>
      </c>
      <c r="AB621" s="20">
        <f>""</f>
      </c>
    </row>
    <row r="622" s="127">
      <c r="A622" s="14" t="n">
        <v>622</v>
      </c>
      <c r="B622" s="211">
        <f>IFERROR(IF([2]对账明细接口!$B$622=0,"",[2]对账明细接口!$B$622),"")</f>
      </c>
      <c r="C622" s="16">
        <f>IFERROR(IF([2]对账明细接口!$C$622=0,"",[2]对账明细接口!$C$622),"")</f>
      </c>
      <c r="D622" s="16">
        <f>IFERROR(IF([2]对账明细接口!$D$622=0,"",[2]对账明细接口!$D$622),"")</f>
      </c>
      <c r="E622" s="16">
        <f>IFERROR(IF([2]对账明细接口!$E$622=0,"",[2]对账明细接口!$E$622),"")</f>
      </c>
      <c r="F622" s="16">
        <f>IFERROR(IF([2]对账明细接口!$F$622=0,"",[2]对账明细接口!$F$622),"")</f>
      </c>
      <c r="G622" s="16">
        <f>IFERROR(IF([2]对账明细接口!$G$622=0,"",[2]对账明细接口!$G$622),"")</f>
      </c>
      <c r="H622" s="176">
        <f>IFERROR(IF([2]对账明细接口!$H$622=0,"",[2]对账明细接口!$H$622),"")</f>
      </c>
      <c r="I622" s="16">
        <f>IFERROR(IF([2]对账明细接口!$I$622=0,"",[2]对账明细接口!$I$622),"")</f>
      </c>
      <c r="J622" s="177">
        <f>IFERROR(IF([2]对账明细接口!$J$622=0,"",[2]对账明细接口!$J$622),"")</f>
      </c>
      <c r="K622" s="177">
        <f>IFERROR(IF([2]对账明细接口!$K$622=0,"",[2]对账明细接口!$K$622),"")</f>
      </c>
      <c r="L622" s="16">
        <f>IFERROR(IF([2]对账明细接口!$L$622=0,"",[2]对账明细接口!$L$622),"")</f>
      </c>
      <c r="M622" s="16">
        <f>IFERROR(IF([2]对账明细接口!$M$622=0,"",[2]对账明细接口!$M$622),"")</f>
      </c>
      <c r="N622" s="19">
        <f>IF($C622="",0,1)</f>
        <v>0</v>
      </c>
      <c r="O622" s="19">
        <f>N(O621)+$N622</f>
        <v>272</v>
      </c>
      <c r="S622" s="20">
        <f>IFERROR(IF([2]对账明细接口!$N622=0,"",[2]对账明细接口!$N622),"")</f>
      </c>
      <c r="T622" s="212">
        <f>IFERROR(IF([2]对账明细接口!$O622=0,"",[2]对账明细接口!$O622),"")</f>
      </c>
      <c r="U622" s="212">
        <f>IFERROR(IF([2]对账明细接口!$P622=0,"",[2]对账明细接口!$P622),"")</f>
      </c>
      <c r="V622" s="212">
        <f>IFERROR(IF([2]对账明细接口!$Q622=0,"",[2]对账明细接口!$Q622),"")</f>
      </c>
      <c r="W622" s="20">
        <f>IFERROR(IF([2]对账明细接口!$R622=0,"",[2]对账明细接口!$R622),"")</f>
      </c>
      <c r="X622" s="20">
        <f>IFERROR(IF([2]对账明细接口!$S622=0,"",[2]对账明细接口!$S622),"")</f>
      </c>
      <c r="Y622" s="20">
        <f>""</f>
      </c>
      <c r="Z622" s="20">
        <f>""</f>
      </c>
      <c r="AA622" s="20">
        <f>""</f>
      </c>
      <c r="AB622" s="20">
        <f>""</f>
      </c>
    </row>
    <row r="623" s="127">
      <c r="A623" s="14" t="n">
        <v>623</v>
      </c>
      <c r="B623" s="211">
        <f>IFERROR(IF([2]对账明细接口!$B$623=0,"",[2]对账明细接口!$B$623),"")</f>
      </c>
      <c r="C623" s="16">
        <f>IFERROR(IF([2]对账明细接口!$C$623=0,"",[2]对账明细接口!$C$623),"")</f>
      </c>
      <c r="D623" s="16">
        <f>IFERROR(IF([2]对账明细接口!$D$623=0,"",[2]对账明细接口!$D$623),"")</f>
      </c>
      <c r="E623" s="16">
        <f>IFERROR(IF([2]对账明细接口!$E$623=0,"",[2]对账明细接口!$E$623),"")</f>
      </c>
      <c r="F623" s="16">
        <f>IFERROR(IF([2]对账明细接口!$F$623=0,"",[2]对账明细接口!$F$623),"")</f>
      </c>
      <c r="G623" s="16">
        <f>IFERROR(IF([2]对账明细接口!$G$623=0,"",[2]对账明细接口!$G$623),"")</f>
      </c>
      <c r="H623" s="176">
        <f>IFERROR(IF([2]对账明细接口!$H$623=0,"",[2]对账明细接口!$H$623),"")</f>
      </c>
      <c r="I623" s="16">
        <f>IFERROR(IF([2]对账明细接口!$I$623=0,"",[2]对账明细接口!$I$623),"")</f>
      </c>
      <c r="J623" s="177">
        <f>IFERROR(IF([2]对账明细接口!$J$623=0,"",[2]对账明细接口!$J$623),"")</f>
      </c>
      <c r="K623" s="177">
        <f>IFERROR(IF([2]对账明细接口!$K$623=0,"",[2]对账明细接口!$K$623),"")</f>
      </c>
      <c r="L623" s="16">
        <f>IFERROR(IF([2]对账明细接口!$L$623=0,"",[2]对账明细接口!$L$623),"")</f>
      </c>
      <c r="M623" s="16">
        <f>IFERROR(IF([2]对账明细接口!$M$623=0,"",[2]对账明细接口!$M$623),"")</f>
      </c>
      <c r="N623" s="19">
        <f>IF($C623="",0,1)</f>
        <v>0</v>
      </c>
      <c r="O623" s="19">
        <f>N(O622)+$N623</f>
        <v>272</v>
      </c>
      <c r="S623" s="20">
        <f>IFERROR(IF([2]对账明细接口!$N623=0,"",[2]对账明细接口!$N623),"")</f>
      </c>
      <c r="T623" s="212">
        <f>IFERROR(IF([2]对账明细接口!$O623=0,"",[2]对账明细接口!$O623),"")</f>
      </c>
      <c r="U623" s="212">
        <f>IFERROR(IF([2]对账明细接口!$P623=0,"",[2]对账明细接口!$P623),"")</f>
      </c>
      <c r="V623" s="212">
        <f>IFERROR(IF([2]对账明细接口!$Q623=0,"",[2]对账明细接口!$Q623),"")</f>
      </c>
      <c r="W623" s="20">
        <f>IFERROR(IF([2]对账明细接口!$R623=0,"",[2]对账明细接口!$R623),"")</f>
      </c>
      <c r="X623" s="20">
        <f>IFERROR(IF([2]对账明细接口!$S623=0,"",[2]对账明细接口!$S623),"")</f>
      </c>
      <c r="Y623" s="20">
        <f>""</f>
      </c>
      <c r="Z623" s="20">
        <f>""</f>
      </c>
      <c r="AA623" s="20">
        <f>""</f>
      </c>
      <c r="AB623" s="20">
        <f>""</f>
      </c>
    </row>
    <row r="624" s="127">
      <c r="A624" s="14" t="n">
        <v>624</v>
      </c>
      <c r="B624" s="211">
        <f>IFERROR(IF([2]对账明细接口!$B$624=0,"",[2]对账明细接口!$B$624),"")</f>
      </c>
      <c r="C624" s="16">
        <f>IFERROR(IF([2]对账明细接口!$C$624=0,"",[2]对账明细接口!$C$624),"")</f>
      </c>
      <c r="D624" s="16">
        <f>IFERROR(IF([2]对账明细接口!$D$624=0,"",[2]对账明细接口!$D$624),"")</f>
      </c>
      <c r="E624" s="16">
        <f>IFERROR(IF([2]对账明细接口!$E$624=0,"",[2]对账明细接口!$E$624),"")</f>
      </c>
      <c r="F624" s="16">
        <f>IFERROR(IF([2]对账明细接口!$F$624=0,"",[2]对账明细接口!$F$624),"")</f>
      </c>
      <c r="G624" s="16">
        <f>IFERROR(IF([2]对账明细接口!$G$624=0,"",[2]对账明细接口!$G$624),"")</f>
      </c>
      <c r="H624" s="176">
        <f>IFERROR(IF([2]对账明细接口!$H$624=0,"",[2]对账明细接口!$H$624),"")</f>
      </c>
      <c r="I624" s="16">
        <f>IFERROR(IF([2]对账明细接口!$I$624=0,"",[2]对账明细接口!$I$624),"")</f>
      </c>
      <c r="J624" s="177">
        <f>IFERROR(IF([2]对账明细接口!$J$624=0,"",[2]对账明细接口!$J$624),"")</f>
      </c>
      <c r="K624" s="177">
        <f>IFERROR(IF([2]对账明细接口!$K$624=0,"",[2]对账明细接口!$K$624),"")</f>
      </c>
      <c r="L624" s="16">
        <f>IFERROR(IF([2]对账明细接口!$L$624=0,"",[2]对账明细接口!$L$624),"")</f>
      </c>
      <c r="M624" s="16">
        <f>IFERROR(IF([2]对账明细接口!$M$624=0,"",[2]对账明细接口!$M$624),"")</f>
      </c>
      <c r="N624" s="19">
        <f>IF($C624="",0,1)</f>
        <v>0</v>
      </c>
      <c r="O624" s="19">
        <f>N(O623)+$N624</f>
        <v>272</v>
      </c>
      <c r="S624" s="20">
        <f>IFERROR(IF([2]对账明细接口!$N624=0,"",[2]对账明细接口!$N624),"")</f>
      </c>
      <c r="T624" s="212">
        <f>IFERROR(IF([2]对账明细接口!$O624=0,"",[2]对账明细接口!$O624),"")</f>
      </c>
      <c r="U624" s="212">
        <f>IFERROR(IF([2]对账明细接口!$P624=0,"",[2]对账明细接口!$P624),"")</f>
      </c>
      <c r="V624" s="212">
        <f>IFERROR(IF([2]对账明细接口!$Q624=0,"",[2]对账明细接口!$Q624),"")</f>
      </c>
      <c r="W624" s="20">
        <f>IFERROR(IF([2]对账明细接口!$R624=0,"",[2]对账明细接口!$R624),"")</f>
      </c>
      <c r="X624" s="20">
        <f>IFERROR(IF([2]对账明细接口!$S624=0,"",[2]对账明细接口!$S624),"")</f>
      </c>
      <c r="Y624" s="20">
        <f>""</f>
      </c>
      <c r="Z624" s="20">
        <f>""</f>
      </c>
      <c r="AA624" s="20">
        <f>""</f>
      </c>
      <c r="AB624" s="20">
        <f>""</f>
      </c>
    </row>
    <row r="625" s="127">
      <c r="A625" s="14" t="n">
        <v>625</v>
      </c>
      <c r="B625" s="211">
        <f>IFERROR(IF([2]对账明细接口!$B$625=0,"",[2]对账明细接口!$B$625),"")</f>
      </c>
      <c r="C625" s="16">
        <f>IFERROR(IF([2]对账明细接口!$C$625=0,"",[2]对账明细接口!$C$625),"")</f>
      </c>
      <c r="D625" s="16">
        <f>IFERROR(IF([2]对账明细接口!$D$625=0,"",[2]对账明细接口!$D$625),"")</f>
      </c>
      <c r="E625" s="16">
        <f>IFERROR(IF([2]对账明细接口!$E$625=0,"",[2]对账明细接口!$E$625),"")</f>
      </c>
      <c r="F625" s="16">
        <f>IFERROR(IF([2]对账明细接口!$F$625=0,"",[2]对账明细接口!$F$625),"")</f>
      </c>
      <c r="G625" s="16">
        <f>IFERROR(IF([2]对账明细接口!$G$625=0,"",[2]对账明细接口!$G$625),"")</f>
      </c>
      <c r="H625" s="176">
        <f>IFERROR(IF([2]对账明细接口!$H$625=0,"",[2]对账明细接口!$H$625),"")</f>
      </c>
      <c r="I625" s="16">
        <f>IFERROR(IF([2]对账明细接口!$I$625=0,"",[2]对账明细接口!$I$625),"")</f>
      </c>
      <c r="J625" s="177">
        <f>IFERROR(IF([2]对账明细接口!$J$625=0,"",[2]对账明细接口!$J$625),"")</f>
      </c>
      <c r="K625" s="177">
        <f>IFERROR(IF([2]对账明细接口!$K$625=0,"",[2]对账明细接口!$K$625),"")</f>
      </c>
      <c r="L625" s="16">
        <f>IFERROR(IF([2]对账明细接口!$L$625=0,"",[2]对账明细接口!$L$625),"")</f>
      </c>
      <c r="M625" s="16">
        <f>IFERROR(IF([2]对账明细接口!$M$625=0,"",[2]对账明细接口!$M$625),"")</f>
      </c>
      <c r="N625" s="19">
        <f>IF($C625="",0,1)</f>
        <v>0</v>
      </c>
      <c r="O625" s="19">
        <f>N(O624)+$N625</f>
        <v>272</v>
      </c>
      <c r="S625" s="20">
        <f>IFERROR(IF([2]对账明细接口!$N625=0,"",[2]对账明细接口!$N625),"")</f>
      </c>
      <c r="T625" s="212">
        <f>IFERROR(IF([2]对账明细接口!$O625=0,"",[2]对账明细接口!$O625),"")</f>
      </c>
      <c r="U625" s="212">
        <f>IFERROR(IF([2]对账明细接口!$P625=0,"",[2]对账明细接口!$P625),"")</f>
      </c>
      <c r="V625" s="212">
        <f>IFERROR(IF([2]对账明细接口!$Q625=0,"",[2]对账明细接口!$Q625),"")</f>
      </c>
      <c r="W625" s="20">
        <f>IFERROR(IF([2]对账明细接口!$R625=0,"",[2]对账明细接口!$R625),"")</f>
      </c>
      <c r="X625" s="20">
        <f>IFERROR(IF([2]对账明细接口!$S625=0,"",[2]对账明细接口!$S625),"")</f>
      </c>
      <c r="Y625" s="20">
        <f>""</f>
      </c>
      <c r="Z625" s="20">
        <f>""</f>
      </c>
      <c r="AA625" s="20">
        <f>""</f>
      </c>
      <c r="AB625" s="20">
        <f>""</f>
      </c>
    </row>
    <row r="626" s="127">
      <c r="A626" s="14" t="n">
        <v>626</v>
      </c>
      <c r="B626" s="211">
        <f>IFERROR(IF([2]对账明细接口!$B$626=0,"",[2]对账明细接口!$B$626),"")</f>
      </c>
      <c r="C626" s="16">
        <f>IFERROR(IF([2]对账明细接口!$C$626=0,"",[2]对账明细接口!$C$626),"")</f>
      </c>
      <c r="D626" s="16">
        <f>IFERROR(IF([2]对账明细接口!$D$626=0,"",[2]对账明细接口!$D$626),"")</f>
      </c>
      <c r="E626" s="16">
        <f>IFERROR(IF([2]对账明细接口!$E$626=0,"",[2]对账明细接口!$E$626),"")</f>
      </c>
      <c r="F626" s="16">
        <f>IFERROR(IF([2]对账明细接口!$F$626=0,"",[2]对账明细接口!$F$626),"")</f>
      </c>
      <c r="G626" s="16">
        <f>IFERROR(IF([2]对账明细接口!$G$626=0,"",[2]对账明细接口!$G$626),"")</f>
      </c>
      <c r="H626" s="176">
        <f>IFERROR(IF([2]对账明细接口!$H$626=0,"",[2]对账明细接口!$H$626),"")</f>
      </c>
      <c r="I626" s="16">
        <f>IFERROR(IF([2]对账明细接口!$I$626=0,"",[2]对账明细接口!$I$626),"")</f>
      </c>
      <c r="J626" s="177">
        <f>IFERROR(IF([2]对账明细接口!$J$626=0,"",[2]对账明细接口!$J$626),"")</f>
      </c>
      <c r="K626" s="177">
        <f>IFERROR(IF([2]对账明细接口!$K$626=0,"",[2]对账明细接口!$K$626),"")</f>
      </c>
      <c r="L626" s="16">
        <f>IFERROR(IF([2]对账明细接口!$L$626=0,"",[2]对账明细接口!$L$626),"")</f>
      </c>
      <c r="M626" s="16">
        <f>IFERROR(IF([2]对账明细接口!$M$626=0,"",[2]对账明细接口!$M$626),"")</f>
      </c>
      <c r="N626" s="19">
        <f>IF($C626="",0,1)</f>
        <v>0</v>
      </c>
      <c r="O626" s="19">
        <f>N(O625)+$N626</f>
        <v>272</v>
      </c>
      <c r="S626" s="20">
        <f>IFERROR(IF([2]对账明细接口!$N626=0,"",[2]对账明细接口!$N626),"")</f>
      </c>
      <c r="T626" s="212">
        <f>IFERROR(IF([2]对账明细接口!$O626=0,"",[2]对账明细接口!$O626),"")</f>
      </c>
      <c r="U626" s="212">
        <f>IFERROR(IF([2]对账明细接口!$P626=0,"",[2]对账明细接口!$P626),"")</f>
      </c>
      <c r="V626" s="212">
        <f>IFERROR(IF([2]对账明细接口!$Q626=0,"",[2]对账明细接口!$Q626),"")</f>
      </c>
      <c r="W626" s="20">
        <f>IFERROR(IF([2]对账明细接口!$R626=0,"",[2]对账明细接口!$R626),"")</f>
      </c>
      <c r="X626" s="20">
        <f>IFERROR(IF([2]对账明细接口!$S626=0,"",[2]对账明细接口!$S626),"")</f>
      </c>
      <c r="Y626" s="20">
        <f>""</f>
      </c>
      <c r="Z626" s="20">
        <f>""</f>
      </c>
      <c r="AA626" s="20">
        <f>""</f>
      </c>
      <c r="AB626" s="20">
        <f>""</f>
      </c>
    </row>
    <row r="627" s="127">
      <c r="A627" s="14" t="n">
        <v>627</v>
      </c>
      <c r="B627" s="211">
        <f>IFERROR(IF([2]对账明细接口!$B$627=0,"",[2]对账明细接口!$B$627),"")</f>
      </c>
      <c r="C627" s="16">
        <f>IFERROR(IF([2]对账明细接口!$C$627=0,"",[2]对账明细接口!$C$627),"")</f>
      </c>
      <c r="D627" s="16">
        <f>IFERROR(IF([2]对账明细接口!$D$627=0,"",[2]对账明细接口!$D$627),"")</f>
      </c>
      <c r="E627" s="16">
        <f>IFERROR(IF([2]对账明细接口!$E$627=0,"",[2]对账明细接口!$E$627),"")</f>
      </c>
      <c r="F627" s="16">
        <f>IFERROR(IF([2]对账明细接口!$F$627=0,"",[2]对账明细接口!$F$627),"")</f>
      </c>
      <c r="G627" s="16">
        <f>IFERROR(IF([2]对账明细接口!$G$627=0,"",[2]对账明细接口!$G$627),"")</f>
      </c>
      <c r="H627" s="176">
        <f>IFERROR(IF([2]对账明细接口!$H$627=0,"",[2]对账明细接口!$H$627),"")</f>
      </c>
      <c r="I627" s="16">
        <f>IFERROR(IF([2]对账明细接口!$I$627=0,"",[2]对账明细接口!$I$627),"")</f>
      </c>
      <c r="J627" s="177">
        <f>IFERROR(IF([2]对账明细接口!$J$627=0,"",[2]对账明细接口!$J$627),"")</f>
      </c>
      <c r="K627" s="177">
        <f>IFERROR(IF([2]对账明细接口!$K$627=0,"",[2]对账明细接口!$K$627),"")</f>
      </c>
      <c r="L627" s="16">
        <f>IFERROR(IF([2]对账明细接口!$L$627=0,"",[2]对账明细接口!$L$627),"")</f>
      </c>
      <c r="M627" s="16">
        <f>IFERROR(IF([2]对账明细接口!$M$627=0,"",[2]对账明细接口!$M$627),"")</f>
      </c>
      <c r="N627" s="19">
        <f>IF($C627="",0,1)</f>
        <v>0</v>
      </c>
      <c r="O627" s="19">
        <f>N(O626)+$N627</f>
        <v>272</v>
      </c>
      <c r="S627" s="20">
        <f>IFERROR(IF([2]对账明细接口!$N627=0,"",[2]对账明细接口!$N627),"")</f>
      </c>
      <c r="T627" s="212">
        <f>IFERROR(IF([2]对账明细接口!$O627=0,"",[2]对账明细接口!$O627),"")</f>
      </c>
      <c r="U627" s="212">
        <f>IFERROR(IF([2]对账明细接口!$P627=0,"",[2]对账明细接口!$P627),"")</f>
      </c>
      <c r="V627" s="212">
        <f>IFERROR(IF([2]对账明细接口!$Q627=0,"",[2]对账明细接口!$Q627),"")</f>
      </c>
      <c r="W627" s="20">
        <f>IFERROR(IF([2]对账明细接口!$R627=0,"",[2]对账明细接口!$R627),"")</f>
      </c>
      <c r="X627" s="20">
        <f>IFERROR(IF([2]对账明细接口!$S627=0,"",[2]对账明细接口!$S627),"")</f>
      </c>
      <c r="Y627" s="20">
        <f>""</f>
      </c>
      <c r="Z627" s="20">
        <f>""</f>
      </c>
      <c r="AA627" s="20">
        <f>""</f>
      </c>
      <c r="AB627" s="20">
        <f>""</f>
      </c>
    </row>
    <row r="628" s="127">
      <c r="A628" s="14" t="n">
        <v>628</v>
      </c>
      <c r="B628" s="211">
        <f>IFERROR(IF([2]对账明细接口!$B$628=0,"",[2]对账明细接口!$B$628),"")</f>
      </c>
      <c r="C628" s="16">
        <f>IFERROR(IF([2]对账明细接口!$C$628=0,"",[2]对账明细接口!$C$628),"")</f>
      </c>
      <c r="D628" s="16">
        <f>IFERROR(IF([2]对账明细接口!$D$628=0,"",[2]对账明细接口!$D$628),"")</f>
      </c>
      <c r="E628" s="16">
        <f>IFERROR(IF([2]对账明细接口!$E$628=0,"",[2]对账明细接口!$E$628),"")</f>
      </c>
      <c r="F628" s="16">
        <f>IFERROR(IF([2]对账明细接口!$F$628=0,"",[2]对账明细接口!$F$628),"")</f>
      </c>
      <c r="G628" s="16">
        <f>IFERROR(IF([2]对账明细接口!$G$628=0,"",[2]对账明细接口!$G$628),"")</f>
      </c>
      <c r="H628" s="176">
        <f>IFERROR(IF([2]对账明细接口!$H$628=0,"",[2]对账明细接口!$H$628),"")</f>
      </c>
      <c r="I628" s="16">
        <f>IFERROR(IF([2]对账明细接口!$I$628=0,"",[2]对账明细接口!$I$628),"")</f>
      </c>
      <c r="J628" s="177">
        <f>IFERROR(IF([2]对账明细接口!$J$628=0,"",[2]对账明细接口!$J$628),"")</f>
      </c>
      <c r="K628" s="177">
        <f>IFERROR(IF([2]对账明细接口!$K$628=0,"",[2]对账明细接口!$K$628),"")</f>
      </c>
      <c r="L628" s="16">
        <f>IFERROR(IF([2]对账明细接口!$L$628=0,"",[2]对账明细接口!$L$628),"")</f>
      </c>
      <c r="M628" s="16">
        <f>IFERROR(IF([2]对账明细接口!$M$628=0,"",[2]对账明细接口!$M$628),"")</f>
      </c>
      <c r="N628" s="19">
        <f>IF($C628="",0,1)</f>
        <v>0</v>
      </c>
      <c r="O628" s="19">
        <f>N(O627)+$N628</f>
        <v>272</v>
      </c>
      <c r="S628" s="20">
        <f>IFERROR(IF([2]对账明细接口!$N628=0,"",[2]对账明细接口!$N628),"")</f>
      </c>
      <c r="T628" s="212">
        <f>IFERROR(IF([2]对账明细接口!$O628=0,"",[2]对账明细接口!$O628),"")</f>
      </c>
      <c r="U628" s="212">
        <f>IFERROR(IF([2]对账明细接口!$P628=0,"",[2]对账明细接口!$P628),"")</f>
      </c>
      <c r="V628" s="212">
        <f>IFERROR(IF([2]对账明细接口!$Q628=0,"",[2]对账明细接口!$Q628),"")</f>
      </c>
      <c r="W628" s="20">
        <f>IFERROR(IF([2]对账明细接口!$R628=0,"",[2]对账明细接口!$R628),"")</f>
      </c>
      <c r="X628" s="20">
        <f>IFERROR(IF([2]对账明细接口!$S628=0,"",[2]对账明细接口!$S628),"")</f>
      </c>
      <c r="Y628" s="20">
        <f>""</f>
      </c>
      <c r="Z628" s="20">
        <f>""</f>
      </c>
      <c r="AA628" s="20">
        <f>""</f>
      </c>
      <c r="AB628" s="20">
        <f>""</f>
      </c>
    </row>
    <row r="629" s="127">
      <c r="A629" s="14" t="n">
        <v>629</v>
      </c>
      <c r="B629" s="211">
        <f>IFERROR(IF([2]对账明细接口!$B$629=0,"",[2]对账明细接口!$B$629),"")</f>
      </c>
      <c r="C629" s="16">
        <f>IFERROR(IF([2]对账明细接口!$C$629=0,"",[2]对账明细接口!$C$629),"")</f>
      </c>
      <c r="D629" s="16">
        <f>IFERROR(IF([2]对账明细接口!$D$629=0,"",[2]对账明细接口!$D$629),"")</f>
      </c>
      <c r="E629" s="16">
        <f>IFERROR(IF([2]对账明细接口!$E$629=0,"",[2]对账明细接口!$E$629),"")</f>
      </c>
      <c r="F629" s="16">
        <f>IFERROR(IF([2]对账明细接口!$F$629=0,"",[2]对账明细接口!$F$629),"")</f>
      </c>
      <c r="G629" s="16">
        <f>IFERROR(IF([2]对账明细接口!$G$629=0,"",[2]对账明细接口!$G$629),"")</f>
      </c>
      <c r="H629" s="176">
        <f>IFERROR(IF([2]对账明细接口!$H$629=0,"",[2]对账明细接口!$H$629),"")</f>
      </c>
      <c r="I629" s="16">
        <f>IFERROR(IF([2]对账明细接口!$I$629=0,"",[2]对账明细接口!$I$629),"")</f>
      </c>
      <c r="J629" s="177">
        <f>IFERROR(IF([2]对账明细接口!$J$629=0,"",[2]对账明细接口!$J$629),"")</f>
      </c>
      <c r="K629" s="177">
        <f>IFERROR(IF([2]对账明细接口!$K$629=0,"",[2]对账明细接口!$K$629),"")</f>
      </c>
      <c r="L629" s="16">
        <f>IFERROR(IF([2]对账明细接口!$L$629=0,"",[2]对账明细接口!$L$629),"")</f>
      </c>
      <c r="M629" s="16">
        <f>IFERROR(IF([2]对账明细接口!$M$629=0,"",[2]对账明细接口!$M$629),"")</f>
      </c>
      <c r="N629" s="19">
        <f>IF($C629="",0,1)</f>
        <v>0</v>
      </c>
      <c r="O629" s="19">
        <f>N(O628)+$N629</f>
        <v>272</v>
      </c>
      <c r="S629" s="20">
        <f>IFERROR(IF([2]对账明细接口!$N629=0,"",[2]对账明细接口!$N629),"")</f>
      </c>
      <c r="T629" s="212">
        <f>IFERROR(IF([2]对账明细接口!$O629=0,"",[2]对账明细接口!$O629),"")</f>
      </c>
      <c r="U629" s="212">
        <f>IFERROR(IF([2]对账明细接口!$P629=0,"",[2]对账明细接口!$P629),"")</f>
      </c>
      <c r="V629" s="212">
        <f>IFERROR(IF([2]对账明细接口!$Q629=0,"",[2]对账明细接口!$Q629),"")</f>
      </c>
      <c r="W629" s="20">
        <f>IFERROR(IF([2]对账明细接口!$R629=0,"",[2]对账明细接口!$R629),"")</f>
      </c>
      <c r="X629" s="20">
        <f>IFERROR(IF([2]对账明细接口!$S629=0,"",[2]对账明细接口!$S629),"")</f>
      </c>
      <c r="Y629" s="20">
        <f>""</f>
      </c>
      <c r="Z629" s="20">
        <f>""</f>
      </c>
      <c r="AA629" s="20">
        <f>""</f>
      </c>
      <c r="AB629" s="20">
        <f>""</f>
      </c>
    </row>
    <row r="630" s="127">
      <c r="A630" s="14" t="n">
        <v>630</v>
      </c>
      <c r="B630" s="211">
        <f>IFERROR(IF([2]对账明细接口!$B$630=0,"",[2]对账明细接口!$B$630),"")</f>
      </c>
      <c r="C630" s="16">
        <f>IFERROR(IF([2]对账明细接口!$C$630=0,"",[2]对账明细接口!$C$630),"")</f>
      </c>
      <c r="D630" s="16">
        <f>IFERROR(IF([2]对账明细接口!$D$630=0,"",[2]对账明细接口!$D$630),"")</f>
      </c>
      <c r="E630" s="16">
        <f>IFERROR(IF([2]对账明细接口!$E$630=0,"",[2]对账明细接口!$E$630),"")</f>
      </c>
      <c r="F630" s="16">
        <f>IFERROR(IF([2]对账明细接口!$F$630=0,"",[2]对账明细接口!$F$630),"")</f>
      </c>
      <c r="G630" s="16">
        <f>IFERROR(IF([2]对账明细接口!$G$630=0,"",[2]对账明细接口!$G$630),"")</f>
      </c>
      <c r="H630" s="176">
        <f>IFERROR(IF([2]对账明细接口!$H$630=0,"",[2]对账明细接口!$H$630),"")</f>
      </c>
      <c r="I630" s="16">
        <f>IFERROR(IF([2]对账明细接口!$I$630=0,"",[2]对账明细接口!$I$630),"")</f>
      </c>
      <c r="J630" s="177">
        <f>IFERROR(IF([2]对账明细接口!$J$630=0,"",[2]对账明细接口!$J$630),"")</f>
      </c>
      <c r="K630" s="177">
        <f>IFERROR(IF([2]对账明细接口!$K$630=0,"",[2]对账明细接口!$K$630),"")</f>
      </c>
      <c r="L630" s="16">
        <f>IFERROR(IF([2]对账明细接口!$L$630=0,"",[2]对账明细接口!$L$630),"")</f>
      </c>
      <c r="M630" s="16">
        <f>IFERROR(IF([2]对账明细接口!$M$630=0,"",[2]对账明细接口!$M$630),"")</f>
      </c>
      <c r="N630" s="19">
        <f>IF($C630="",0,1)</f>
        <v>0</v>
      </c>
      <c r="O630" s="19">
        <f>N(O629)+$N630</f>
        <v>272</v>
      </c>
      <c r="S630" s="20">
        <f>IFERROR(IF([2]对账明细接口!$N630=0,"",[2]对账明细接口!$N630),"")</f>
      </c>
      <c r="T630" s="212">
        <f>IFERROR(IF([2]对账明细接口!$O630=0,"",[2]对账明细接口!$O630),"")</f>
      </c>
      <c r="U630" s="212">
        <f>IFERROR(IF([2]对账明细接口!$P630=0,"",[2]对账明细接口!$P630),"")</f>
      </c>
      <c r="V630" s="212">
        <f>IFERROR(IF([2]对账明细接口!$Q630=0,"",[2]对账明细接口!$Q630),"")</f>
      </c>
      <c r="W630" s="20">
        <f>IFERROR(IF([2]对账明细接口!$R630=0,"",[2]对账明细接口!$R630),"")</f>
      </c>
      <c r="X630" s="20">
        <f>IFERROR(IF([2]对账明细接口!$S630=0,"",[2]对账明细接口!$S630),"")</f>
      </c>
      <c r="Y630" s="20">
        <f>""</f>
      </c>
      <c r="Z630" s="20">
        <f>""</f>
      </c>
      <c r="AA630" s="20">
        <f>""</f>
      </c>
      <c r="AB630" s="20">
        <f>""</f>
      </c>
    </row>
    <row r="631" s="127">
      <c r="A631" s="14" t="n">
        <v>631</v>
      </c>
      <c r="B631" s="211">
        <f>IFERROR(IF([2]对账明细接口!$B$631=0,"",[2]对账明细接口!$B$631),"")</f>
      </c>
      <c r="C631" s="16">
        <f>IFERROR(IF([2]对账明细接口!$C$631=0,"",[2]对账明细接口!$C$631),"")</f>
      </c>
      <c r="D631" s="16">
        <f>IFERROR(IF([2]对账明细接口!$D$631=0,"",[2]对账明细接口!$D$631),"")</f>
      </c>
      <c r="E631" s="16">
        <f>IFERROR(IF([2]对账明细接口!$E$631=0,"",[2]对账明细接口!$E$631),"")</f>
      </c>
      <c r="F631" s="16">
        <f>IFERROR(IF([2]对账明细接口!$F$631=0,"",[2]对账明细接口!$F$631),"")</f>
      </c>
      <c r="G631" s="16">
        <f>IFERROR(IF([2]对账明细接口!$G$631=0,"",[2]对账明细接口!$G$631),"")</f>
      </c>
      <c r="H631" s="176">
        <f>IFERROR(IF([2]对账明细接口!$H$631=0,"",[2]对账明细接口!$H$631),"")</f>
      </c>
      <c r="I631" s="16">
        <f>IFERROR(IF([2]对账明细接口!$I$631=0,"",[2]对账明细接口!$I$631),"")</f>
      </c>
      <c r="J631" s="177">
        <f>IFERROR(IF([2]对账明细接口!$J$631=0,"",[2]对账明细接口!$J$631),"")</f>
      </c>
      <c r="K631" s="177">
        <f>IFERROR(IF([2]对账明细接口!$K$631=0,"",[2]对账明细接口!$K$631),"")</f>
      </c>
      <c r="L631" s="16">
        <f>IFERROR(IF([2]对账明细接口!$L$631=0,"",[2]对账明细接口!$L$631),"")</f>
      </c>
      <c r="M631" s="16">
        <f>IFERROR(IF([2]对账明细接口!$M$631=0,"",[2]对账明细接口!$M$631),"")</f>
      </c>
      <c r="N631" s="19">
        <f>IF($C631="",0,1)</f>
        <v>0</v>
      </c>
      <c r="O631" s="19">
        <f>N(O630)+$N631</f>
        <v>272</v>
      </c>
      <c r="S631" s="20">
        <f>IFERROR(IF([2]对账明细接口!$N631=0,"",[2]对账明细接口!$N631),"")</f>
      </c>
      <c r="T631" s="212">
        <f>IFERROR(IF([2]对账明细接口!$O631=0,"",[2]对账明细接口!$O631),"")</f>
      </c>
      <c r="U631" s="212">
        <f>IFERROR(IF([2]对账明细接口!$P631=0,"",[2]对账明细接口!$P631),"")</f>
      </c>
      <c r="V631" s="212">
        <f>IFERROR(IF([2]对账明细接口!$Q631=0,"",[2]对账明细接口!$Q631),"")</f>
      </c>
      <c r="W631" s="20">
        <f>IFERROR(IF([2]对账明细接口!$R631=0,"",[2]对账明细接口!$R631),"")</f>
      </c>
      <c r="X631" s="20">
        <f>IFERROR(IF([2]对账明细接口!$S631=0,"",[2]对账明细接口!$S631),"")</f>
      </c>
      <c r="Y631" s="20">
        <f>""</f>
      </c>
      <c r="Z631" s="20">
        <f>""</f>
      </c>
      <c r="AA631" s="20">
        <f>""</f>
      </c>
      <c r="AB631" s="20">
        <f>""</f>
      </c>
    </row>
    <row r="632" s="127">
      <c r="A632" s="14" t="n">
        <v>632</v>
      </c>
      <c r="B632" s="211">
        <f>IFERROR(IF([2]对账明细接口!$B$632=0,"",[2]对账明细接口!$B$632),"")</f>
      </c>
      <c r="C632" s="16">
        <f>IFERROR(IF([2]对账明细接口!$C$632=0,"",[2]对账明细接口!$C$632),"")</f>
      </c>
      <c r="D632" s="16">
        <f>IFERROR(IF([2]对账明细接口!$D$632=0,"",[2]对账明细接口!$D$632),"")</f>
      </c>
      <c r="E632" s="16">
        <f>IFERROR(IF([2]对账明细接口!$E$632=0,"",[2]对账明细接口!$E$632),"")</f>
      </c>
      <c r="F632" s="16">
        <f>IFERROR(IF([2]对账明细接口!$F$632=0,"",[2]对账明细接口!$F$632),"")</f>
      </c>
      <c r="G632" s="16">
        <f>IFERROR(IF([2]对账明细接口!$G$632=0,"",[2]对账明细接口!$G$632),"")</f>
      </c>
      <c r="H632" s="176">
        <f>IFERROR(IF([2]对账明细接口!$H$632=0,"",[2]对账明细接口!$H$632),"")</f>
      </c>
      <c r="I632" s="16">
        <f>IFERROR(IF([2]对账明细接口!$I$632=0,"",[2]对账明细接口!$I$632),"")</f>
      </c>
      <c r="J632" s="177">
        <f>IFERROR(IF([2]对账明细接口!$J$632=0,"",[2]对账明细接口!$J$632),"")</f>
      </c>
      <c r="K632" s="177">
        <f>IFERROR(IF([2]对账明细接口!$K$632=0,"",[2]对账明细接口!$K$632),"")</f>
      </c>
      <c r="L632" s="16">
        <f>IFERROR(IF([2]对账明细接口!$L$632=0,"",[2]对账明细接口!$L$632),"")</f>
      </c>
      <c r="M632" s="16">
        <f>IFERROR(IF([2]对账明细接口!$M$632=0,"",[2]对账明细接口!$M$632),"")</f>
      </c>
      <c r="N632" s="19">
        <f>IF($C632="",0,1)</f>
        <v>0</v>
      </c>
      <c r="O632" s="19">
        <f>N(O631)+$N632</f>
        <v>272</v>
      </c>
      <c r="S632" s="20">
        <f>IFERROR(IF([2]对账明细接口!$N632=0,"",[2]对账明细接口!$N632),"")</f>
      </c>
      <c r="T632" s="212">
        <f>IFERROR(IF([2]对账明细接口!$O632=0,"",[2]对账明细接口!$O632),"")</f>
      </c>
      <c r="U632" s="212">
        <f>IFERROR(IF([2]对账明细接口!$P632=0,"",[2]对账明细接口!$P632),"")</f>
      </c>
      <c r="V632" s="212">
        <f>IFERROR(IF([2]对账明细接口!$Q632=0,"",[2]对账明细接口!$Q632),"")</f>
      </c>
      <c r="W632" s="20">
        <f>IFERROR(IF([2]对账明细接口!$R632=0,"",[2]对账明细接口!$R632),"")</f>
      </c>
      <c r="X632" s="20">
        <f>IFERROR(IF([2]对账明细接口!$S632=0,"",[2]对账明细接口!$S632),"")</f>
      </c>
      <c r="Y632" s="20">
        <f>""</f>
      </c>
      <c r="Z632" s="20">
        <f>""</f>
      </c>
      <c r="AA632" s="20">
        <f>""</f>
      </c>
      <c r="AB632" s="20">
        <f>""</f>
      </c>
    </row>
    <row r="633" s="127">
      <c r="A633" s="14" t="n">
        <v>633</v>
      </c>
      <c r="B633" s="211">
        <f>IFERROR(IF([2]对账明细接口!$B$633=0,"",[2]对账明细接口!$B$633),"")</f>
      </c>
      <c r="C633" s="16">
        <f>IFERROR(IF([2]对账明细接口!$C$633=0,"",[2]对账明细接口!$C$633),"")</f>
      </c>
      <c r="D633" s="16">
        <f>IFERROR(IF([2]对账明细接口!$D$633=0,"",[2]对账明细接口!$D$633),"")</f>
      </c>
      <c r="E633" s="16">
        <f>IFERROR(IF([2]对账明细接口!$E$633=0,"",[2]对账明细接口!$E$633),"")</f>
      </c>
      <c r="F633" s="16">
        <f>IFERROR(IF([2]对账明细接口!$F$633=0,"",[2]对账明细接口!$F$633),"")</f>
      </c>
      <c r="G633" s="16">
        <f>IFERROR(IF([2]对账明细接口!$G$633=0,"",[2]对账明细接口!$G$633),"")</f>
      </c>
      <c r="H633" s="176">
        <f>IFERROR(IF([2]对账明细接口!$H$633=0,"",[2]对账明细接口!$H$633),"")</f>
      </c>
      <c r="I633" s="16">
        <f>IFERROR(IF([2]对账明细接口!$I$633=0,"",[2]对账明细接口!$I$633),"")</f>
      </c>
      <c r="J633" s="177">
        <f>IFERROR(IF([2]对账明细接口!$J$633=0,"",[2]对账明细接口!$J$633),"")</f>
      </c>
      <c r="K633" s="177">
        <f>IFERROR(IF([2]对账明细接口!$K$633=0,"",[2]对账明细接口!$K$633),"")</f>
      </c>
      <c r="L633" s="16">
        <f>IFERROR(IF([2]对账明细接口!$L$633=0,"",[2]对账明细接口!$L$633),"")</f>
      </c>
      <c r="M633" s="16">
        <f>IFERROR(IF([2]对账明细接口!$M$633=0,"",[2]对账明细接口!$M$633),"")</f>
      </c>
      <c r="N633" s="19">
        <f>IF($C633="",0,1)</f>
        <v>0</v>
      </c>
      <c r="O633" s="19">
        <f>N(O632)+$N633</f>
        <v>272</v>
      </c>
      <c r="S633" s="20">
        <f>IFERROR(IF([2]对账明细接口!$N633=0,"",[2]对账明细接口!$N633),"")</f>
      </c>
      <c r="T633" s="212">
        <f>IFERROR(IF([2]对账明细接口!$O633=0,"",[2]对账明细接口!$O633),"")</f>
      </c>
      <c r="U633" s="212">
        <f>IFERROR(IF([2]对账明细接口!$P633=0,"",[2]对账明细接口!$P633),"")</f>
      </c>
      <c r="V633" s="212">
        <f>IFERROR(IF([2]对账明细接口!$Q633=0,"",[2]对账明细接口!$Q633),"")</f>
      </c>
      <c r="W633" s="20">
        <f>IFERROR(IF([2]对账明细接口!$R633=0,"",[2]对账明细接口!$R633),"")</f>
      </c>
      <c r="X633" s="20">
        <f>IFERROR(IF([2]对账明细接口!$S633=0,"",[2]对账明细接口!$S633),"")</f>
      </c>
      <c r="Y633" s="20">
        <f>""</f>
      </c>
      <c r="Z633" s="20">
        <f>""</f>
      </c>
      <c r="AA633" s="20">
        <f>""</f>
      </c>
      <c r="AB633" s="20">
        <f>""</f>
      </c>
    </row>
    <row r="634" s="127">
      <c r="A634" s="14" t="n">
        <v>634</v>
      </c>
      <c r="B634" s="211">
        <f>IFERROR(IF([2]对账明细接口!$B$634=0,"",[2]对账明细接口!$B$634),"")</f>
      </c>
      <c r="C634" s="16">
        <f>IFERROR(IF([2]对账明细接口!$C$634=0,"",[2]对账明细接口!$C$634),"")</f>
      </c>
      <c r="D634" s="16">
        <f>IFERROR(IF([2]对账明细接口!$D$634=0,"",[2]对账明细接口!$D$634),"")</f>
      </c>
      <c r="E634" s="16">
        <f>IFERROR(IF([2]对账明细接口!$E$634=0,"",[2]对账明细接口!$E$634),"")</f>
      </c>
      <c r="F634" s="16">
        <f>IFERROR(IF([2]对账明细接口!$F$634=0,"",[2]对账明细接口!$F$634),"")</f>
      </c>
      <c r="G634" s="16">
        <f>IFERROR(IF([2]对账明细接口!$G$634=0,"",[2]对账明细接口!$G$634),"")</f>
      </c>
      <c r="H634" s="176">
        <f>IFERROR(IF([2]对账明细接口!$H$634=0,"",[2]对账明细接口!$H$634),"")</f>
      </c>
      <c r="I634" s="16">
        <f>IFERROR(IF([2]对账明细接口!$I$634=0,"",[2]对账明细接口!$I$634),"")</f>
      </c>
      <c r="J634" s="177">
        <f>IFERROR(IF([2]对账明细接口!$J$634=0,"",[2]对账明细接口!$J$634),"")</f>
      </c>
      <c r="K634" s="177">
        <f>IFERROR(IF([2]对账明细接口!$K$634=0,"",[2]对账明细接口!$K$634),"")</f>
      </c>
      <c r="L634" s="16">
        <f>IFERROR(IF([2]对账明细接口!$L$634=0,"",[2]对账明细接口!$L$634),"")</f>
      </c>
      <c r="M634" s="16">
        <f>IFERROR(IF([2]对账明细接口!$M$634=0,"",[2]对账明细接口!$M$634),"")</f>
      </c>
      <c r="N634" s="19">
        <f>IF($C634="",0,1)</f>
        <v>0</v>
      </c>
      <c r="O634" s="19">
        <f>N(O633)+$N634</f>
        <v>272</v>
      </c>
      <c r="S634" s="20">
        <f>IFERROR(IF([2]对账明细接口!$N634=0,"",[2]对账明细接口!$N634),"")</f>
      </c>
      <c r="T634" s="212">
        <f>IFERROR(IF([2]对账明细接口!$O634=0,"",[2]对账明细接口!$O634),"")</f>
      </c>
      <c r="U634" s="212">
        <f>IFERROR(IF([2]对账明细接口!$P634=0,"",[2]对账明细接口!$P634),"")</f>
      </c>
      <c r="V634" s="212">
        <f>IFERROR(IF([2]对账明细接口!$Q634=0,"",[2]对账明细接口!$Q634),"")</f>
      </c>
      <c r="W634" s="20">
        <f>IFERROR(IF([2]对账明细接口!$R634=0,"",[2]对账明细接口!$R634),"")</f>
      </c>
      <c r="X634" s="20">
        <f>IFERROR(IF([2]对账明细接口!$S634=0,"",[2]对账明细接口!$S634),"")</f>
      </c>
      <c r="Y634" s="20">
        <f>""</f>
      </c>
      <c r="Z634" s="20">
        <f>""</f>
      </c>
      <c r="AA634" s="20">
        <f>""</f>
      </c>
      <c r="AB634" s="20">
        <f>""</f>
      </c>
    </row>
    <row r="635" s="127">
      <c r="A635" s="14" t="n">
        <v>635</v>
      </c>
      <c r="B635" s="211">
        <f>IFERROR(IF([2]对账明细接口!$B$635=0,"",[2]对账明细接口!$B$635),"")</f>
      </c>
      <c r="C635" s="16">
        <f>IFERROR(IF([2]对账明细接口!$C$635=0,"",[2]对账明细接口!$C$635),"")</f>
      </c>
      <c r="D635" s="16">
        <f>IFERROR(IF([2]对账明细接口!$D$635=0,"",[2]对账明细接口!$D$635),"")</f>
      </c>
      <c r="E635" s="16">
        <f>IFERROR(IF([2]对账明细接口!$E$635=0,"",[2]对账明细接口!$E$635),"")</f>
      </c>
      <c r="F635" s="16">
        <f>IFERROR(IF([2]对账明细接口!$F$635=0,"",[2]对账明细接口!$F$635),"")</f>
      </c>
      <c r="G635" s="16">
        <f>IFERROR(IF([2]对账明细接口!$G$635=0,"",[2]对账明细接口!$G$635),"")</f>
      </c>
      <c r="H635" s="176">
        <f>IFERROR(IF([2]对账明细接口!$H$635=0,"",[2]对账明细接口!$H$635),"")</f>
      </c>
      <c r="I635" s="16">
        <f>IFERROR(IF([2]对账明细接口!$I$635=0,"",[2]对账明细接口!$I$635),"")</f>
      </c>
      <c r="J635" s="177">
        <f>IFERROR(IF([2]对账明细接口!$J$635=0,"",[2]对账明细接口!$J$635),"")</f>
      </c>
      <c r="K635" s="177">
        <f>IFERROR(IF([2]对账明细接口!$K$635=0,"",[2]对账明细接口!$K$635),"")</f>
      </c>
      <c r="L635" s="16">
        <f>IFERROR(IF([2]对账明细接口!$L$635=0,"",[2]对账明细接口!$L$635),"")</f>
      </c>
      <c r="M635" s="16">
        <f>IFERROR(IF([2]对账明细接口!$M$635=0,"",[2]对账明细接口!$M$635),"")</f>
      </c>
      <c r="N635" s="19">
        <f>IF($C635="",0,1)</f>
        <v>0</v>
      </c>
      <c r="O635" s="19">
        <f>N(O634)+$N635</f>
        <v>272</v>
      </c>
      <c r="S635" s="20">
        <f>IFERROR(IF([2]对账明细接口!$N635=0,"",[2]对账明细接口!$N635),"")</f>
      </c>
      <c r="T635" s="212">
        <f>IFERROR(IF([2]对账明细接口!$O635=0,"",[2]对账明细接口!$O635),"")</f>
      </c>
      <c r="U635" s="212">
        <f>IFERROR(IF([2]对账明细接口!$P635=0,"",[2]对账明细接口!$P635),"")</f>
      </c>
      <c r="V635" s="212">
        <f>IFERROR(IF([2]对账明细接口!$Q635=0,"",[2]对账明细接口!$Q635),"")</f>
      </c>
      <c r="W635" s="20">
        <f>IFERROR(IF([2]对账明细接口!$R635=0,"",[2]对账明细接口!$R635),"")</f>
      </c>
      <c r="X635" s="20">
        <f>IFERROR(IF([2]对账明细接口!$S635=0,"",[2]对账明细接口!$S635),"")</f>
      </c>
      <c r="Y635" s="20">
        <f>""</f>
      </c>
      <c r="Z635" s="20">
        <f>""</f>
      </c>
      <c r="AA635" s="20">
        <f>""</f>
      </c>
      <c r="AB635" s="20">
        <f>""</f>
      </c>
    </row>
    <row r="636" s="127">
      <c r="A636" s="14" t="n">
        <v>636</v>
      </c>
      <c r="B636" s="211">
        <f>IFERROR(IF([2]对账明细接口!$B$636=0,"",[2]对账明细接口!$B$636),"")</f>
      </c>
      <c r="C636" s="16">
        <f>IFERROR(IF([2]对账明细接口!$C$636=0,"",[2]对账明细接口!$C$636),"")</f>
      </c>
      <c r="D636" s="16">
        <f>IFERROR(IF([2]对账明细接口!$D$636=0,"",[2]对账明细接口!$D$636),"")</f>
      </c>
      <c r="E636" s="16">
        <f>IFERROR(IF([2]对账明细接口!$E$636=0,"",[2]对账明细接口!$E$636),"")</f>
      </c>
      <c r="F636" s="16">
        <f>IFERROR(IF([2]对账明细接口!$F$636=0,"",[2]对账明细接口!$F$636),"")</f>
      </c>
      <c r="G636" s="16">
        <f>IFERROR(IF([2]对账明细接口!$G$636=0,"",[2]对账明细接口!$G$636),"")</f>
      </c>
      <c r="H636" s="176">
        <f>IFERROR(IF([2]对账明细接口!$H$636=0,"",[2]对账明细接口!$H$636),"")</f>
      </c>
      <c r="I636" s="16">
        <f>IFERROR(IF([2]对账明细接口!$I$636=0,"",[2]对账明细接口!$I$636),"")</f>
      </c>
      <c r="J636" s="177">
        <f>IFERROR(IF([2]对账明细接口!$J$636=0,"",[2]对账明细接口!$J$636),"")</f>
      </c>
      <c r="K636" s="177">
        <f>IFERROR(IF([2]对账明细接口!$K$636=0,"",[2]对账明细接口!$K$636),"")</f>
      </c>
      <c r="L636" s="16">
        <f>IFERROR(IF([2]对账明细接口!$L$636=0,"",[2]对账明细接口!$L$636),"")</f>
      </c>
      <c r="M636" s="16">
        <f>IFERROR(IF([2]对账明细接口!$M$636=0,"",[2]对账明细接口!$M$636),"")</f>
      </c>
      <c r="N636" s="19">
        <f>IF($C636="",0,1)</f>
        <v>0</v>
      </c>
      <c r="O636" s="19">
        <f>N(O635)+$N636</f>
        <v>272</v>
      </c>
      <c r="S636" s="20">
        <f>IFERROR(IF([2]对账明细接口!$N636=0,"",[2]对账明细接口!$N636),"")</f>
      </c>
      <c r="T636" s="212">
        <f>IFERROR(IF([2]对账明细接口!$O636=0,"",[2]对账明细接口!$O636),"")</f>
      </c>
      <c r="U636" s="212">
        <f>IFERROR(IF([2]对账明细接口!$P636=0,"",[2]对账明细接口!$P636),"")</f>
      </c>
      <c r="V636" s="212">
        <f>IFERROR(IF([2]对账明细接口!$Q636=0,"",[2]对账明细接口!$Q636),"")</f>
      </c>
      <c r="W636" s="20">
        <f>IFERROR(IF([2]对账明细接口!$R636=0,"",[2]对账明细接口!$R636),"")</f>
      </c>
      <c r="X636" s="20">
        <f>IFERROR(IF([2]对账明细接口!$S636=0,"",[2]对账明细接口!$S636),"")</f>
      </c>
      <c r="Y636" s="20">
        <f>""</f>
      </c>
      <c r="Z636" s="20">
        <f>""</f>
      </c>
      <c r="AA636" s="20">
        <f>""</f>
      </c>
      <c r="AB636" s="20">
        <f>""</f>
      </c>
    </row>
    <row r="637" s="127">
      <c r="A637" s="14" t="n">
        <v>637</v>
      </c>
      <c r="B637" s="211">
        <f>IFERROR(IF([2]对账明细接口!$B$637=0,"",[2]对账明细接口!$B$637),"")</f>
      </c>
      <c r="C637" s="16">
        <f>IFERROR(IF([2]对账明细接口!$C$637=0,"",[2]对账明细接口!$C$637),"")</f>
      </c>
      <c r="D637" s="16">
        <f>IFERROR(IF([2]对账明细接口!$D$637=0,"",[2]对账明细接口!$D$637),"")</f>
      </c>
      <c r="E637" s="16">
        <f>IFERROR(IF([2]对账明细接口!$E$637=0,"",[2]对账明细接口!$E$637),"")</f>
      </c>
      <c r="F637" s="16">
        <f>IFERROR(IF([2]对账明细接口!$F$637=0,"",[2]对账明细接口!$F$637),"")</f>
      </c>
      <c r="G637" s="16">
        <f>IFERROR(IF([2]对账明细接口!$G$637=0,"",[2]对账明细接口!$G$637),"")</f>
      </c>
      <c r="H637" s="176">
        <f>IFERROR(IF([2]对账明细接口!$H$637=0,"",[2]对账明细接口!$H$637),"")</f>
      </c>
      <c r="I637" s="16">
        <f>IFERROR(IF([2]对账明细接口!$I$637=0,"",[2]对账明细接口!$I$637),"")</f>
      </c>
      <c r="J637" s="177">
        <f>IFERROR(IF([2]对账明细接口!$J$637=0,"",[2]对账明细接口!$J$637),"")</f>
      </c>
      <c r="K637" s="177">
        <f>IFERROR(IF([2]对账明细接口!$K$637=0,"",[2]对账明细接口!$K$637),"")</f>
      </c>
      <c r="L637" s="16">
        <f>IFERROR(IF([2]对账明细接口!$L$637=0,"",[2]对账明细接口!$L$637),"")</f>
      </c>
      <c r="M637" s="16">
        <f>IFERROR(IF([2]对账明细接口!$M$637=0,"",[2]对账明细接口!$M$637),"")</f>
      </c>
      <c r="N637" s="19">
        <f>IF($C637="",0,1)</f>
        <v>0</v>
      </c>
      <c r="O637" s="19">
        <f>N(O636)+$N637</f>
        <v>272</v>
      </c>
      <c r="S637" s="20">
        <f>IFERROR(IF([2]对账明细接口!$N637=0,"",[2]对账明细接口!$N637),"")</f>
      </c>
      <c r="T637" s="212">
        <f>IFERROR(IF([2]对账明细接口!$O637=0,"",[2]对账明细接口!$O637),"")</f>
      </c>
      <c r="U637" s="212">
        <f>IFERROR(IF([2]对账明细接口!$P637=0,"",[2]对账明细接口!$P637),"")</f>
      </c>
      <c r="V637" s="212">
        <f>IFERROR(IF([2]对账明细接口!$Q637=0,"",[2]对账明细接口!$Q637),"")</f>
      </c>
      <c r="W637" s="20">
        <f>IFERROR(IF([2]对账明细接口!$R637=0,"",[2]对账明细接口!$R637),"")</f>
      </c>
      <c r="X637" s="20">
        <f>IFERROR(IF([2]对账明细接口!$S637=0,"",[2]对账明细接口!$S637),"")</f>
      </c>
      <c r="Y637" s="20">
        <f>""</f>
      </c>
      <c r="Z637" s="20">
        <f>""</f>
      </c>
      <c r="AA637" s="20">
        <f>""</f>
      </c>
      <c r="AB637" s="20">
        <f>""</f>
      </c>
    </row>
    <row r="638" s="127">
      <c r="A638" s="14" t="n">
        <v>638</v>
      </c>
      <c r="B638" s="211">
        <f>IFERROR(IF([2]对账明细接口!$B$638=0,"",[2]对账明细接口!$B$638),"")</f>
      </c>
      <c r="C638" s="16">
        <f>IFERROR(IF([2]对账明细接口!$C$638=0,"",[2]对账明细接口!$C$638),"")</f>
      </c>
      <c r="D638" s="16">
        <f>IFERROR(IF([2]对账明细接口!$D$638=0,"",[2]对账明细接口!$D$638),"")</f>
      </c>
      <c r="E638" s="16">
        <f>IFERROR(IF([2]对账明细接口!$E$638=0,"",[2]对账明细接口!$E$638),"")</f>
      </c>
      <c r="F638" s="16">
        <f>IFERROR(IF([2]对账明细接口!$F$638=0,"",[2]对账明细接口!$F$638),"")</f>
      </c>
      <c r="G638" s="16">
        <f>IFERROR(IF([2]对账明细接口!$G$638=0,"",[2]对账明细接口!$G$638),"")</f>
      </c>
      <c r="H638" s="176">
        <f>IFERROR(IF([2]对账明细接口!$H$638=0,"",[2]对账明细接口!$H$638),"")</f>
      </c>
      <c r="I638" s="16">
        <f>IFERROR(IF([2]对账明细接口!$I$638=0,"",[2]对账明细接口!$I$638),"")</f>
      </c>
      <c r="J638" s="177">
        <f>IFERROR(IF([2]对账明细接口!$J$638=0,"",[2]对账明细接口!$J$638),"")</f>
      </c>
      <c r="K638" s="177">
        <f>IFERROR(IF([2]对账明细接口!$K$638=0,"",[2]对账明细接口!$K$638),"")</f>
      </c>
      <c r="L638" s="16">
        <f>IFERROR(IF([2]对账明细接口!$L$638=0,"",[2]对账明细接口!$L$638),"")</f>
      </c>
      <c r="M638" s="16">
        <f>IFERROR(IF([2]对账明细接口!$M$638=0,"",[2]对账明细接口!$M$638),"")</f>
      </c>
      <c r="N638" s="19">
        <f>IF($C638="",0,1)</f>
        <v>0</v>
      </c>
      <c r="O638" s="19">
        <f>N(O637)+$N638</f>
        <v>272</v>
      </c>
      <c r="S638" s="20">
        <f>IFERROR(IF([2]对账明细接口!$N638=0,"",[2]对账明细接口!$N638),"")</f>
      </c>
      <c r="T638" s="212">
        <f>IFERROR(IF([2]对账明细接口!$O638=0,"",[2]对账明细接口!$O638),"")</f>
      </c>
      <c r="U638" s="212">
        <f>IFERROR(IF([2]对账明细接口!$P638=0,"",[2]对账明细接口!$P638),"")</f>
      </c>
      <c r="V638" s="212">
        <f>IFERROR(IF([2]对账明细接口!$Q638=0,"",[2]对账明细接口!$Q638),"")</f>
      </c>
      <c r="W638" s="20">
        <f>IFERROR(IF([2]对账明细接口!$R638=0,"",[2]对账明细接口!$R638),"")</f>
      </c>
      <c r="X638" s="20">
        <f>IFERROR(IF([2]对账明细接口!$S638=0,"",[2]对账明细接口!$S638),"")</f>
      </c>
      <c r="Y638" s="20">
        <f>""</f>
      </c>
      <c r="Z638" s="20">
        <f>""</f>
      </c>
      <c r="AA638" s="20">
        <f>""</f>
      </c>
      <c r="AB638" s="20">
        <f>""</f>
      </c>
    </row>
    <row r="639" s="127">
      <c r="A639" s="14" t="n">
        <v>639</v>
      </c>
      <c r="B639" s="211">
        <f>IFERROR(IF([2]对账明细接口!$B$639=0,"",[2]对账明细接口!$B$639),"")</f>
      </c>
      <c r="C639" s="16">
        <f>IFERROR(IF([2]对账明细接口!$C$639=0,"",[2]对账明细接口!$C$639),"")</f>
      </c>
      <c r="D639" s="16">
        <f>IFERROR(IF([2]对账明细接口!$D$639=0,"",[2]对账明细接口!$D$639),"")</f>
      </c>
      <c r="E639" s="16">
        <f>IFERROR(IF([2]对账明细接口!$E$639=0,"",[2]对账明细接口!$E$639),"")</f>
      </c>
      <c r="F639" s="16">
        <f>IFERROR(IF([2]对账明细接口!$F$639=0,"",[2]对账明细接口!$F$639),"")</f>
      </c>
      <c r="G639" s="16">
        <f>IFERROR(IF([2]对账明细接口!$G$639=0,"",[2]对账明细接口!$G$639),"")</f>
      </c>
      <c r="H639" s="176">
        <f>IFERROR(IF([2]对账明细接口!$H$639=0,"",[2]对账明细接口!$H$639),"")</f>
      </c>
      <c r="I639" s="16">
        <f>IFERROR(IF([2]对账明细接口!$I$639=0,"",[2]对账明细接口!$I$639),"")</f>
      </c>
      <c r="J639" s="177">
        <f>IFERROR(IF([2]对账明细接口!$J$639=0,"",[2]对账明细接口!$J$639),"")</f>
      </c>
      <c r="K639" s="177">
        <f>IFERROR(IF([2]对账明细接口!$K$639=0,"",[2]对账明细接口!$K$639),"")</f>
      </c>
      <c r="L639" s="16">
        <f>IFERROR(IF([2]对账明细接口!$L$639=0,"",[2]对账明细接口!$L$639),"")</f>
      </c>
      <c r="M639" s="16">
        <f>IFERROR(IF([2]对账明细接口!$M$639=0,"",[2]对账明细接口!$M$639),"")</f>
      </c>
      <c r="N639" s="19">
        <f>IF($C639="",0,1)</f>
        <v>0</v>
      </c>
      <c r="O639" s="19">
        <f>N(O638)+$N639</f>
        <v>272</v>
      </c>
      <c r="S639" s="20">
        <f>IFERROR(IF([2]对账明细接口!$N639=0,"",[2]对账明细接口!$N639),"")</f>
      </c>
      <c r="T639" s="212">
        <f>IFERROR(IF([2]对账明细接口!$O639=0,"",[2]对账明细接口!$O639),"")</f>
      </c>
      <c r="U639" s="212">
        <f>IFERROR(IF([2]对账明细接口!$P639=0,"",[2]对账明细接口!$P639),"")</f>
      </c>
      <c r="V639" s="212">
        <f>IFERROR(IF([2]对账明细接口!$Q639=0,"",[2]对账明细接口!$Q639),"")</f>
      </c>
      <c r="W639" s="20">
        <f>IFERROR(IF([2]对账明细接口!$R639=0,"",[2]对账明细接口!$R639),"")</f>
      </c>
      <c r="X639" s="20">
        <f>IFERROR(IF([2]对账明细接口!$S639=0,"",[2]对账明细接口!$S639),"")</f>
      </c>
      <c r="Y639" s="20">
        <f>""</f>
      </c>
      <c r="Z639" s="20">
        <f>""</f>
      </c>
      <c r="AA639" s="20">
        <f>""</f>
      </c>
      <c r="AB639" s="20">
        <f>""</f>
      </c>
    </row>
    <row r="640" s="127">
      <c r="A640" s="14" t="n">
        <v>640</v>
      </c>
      <c r="B640" s="211">
        <f>IFERROR(IF([2]对账明细接口!$B$640=0,"",[2]对账明细接口!$B$640),"")</f>
      </c>
      <c r="C640" s="16">
        <f>IFERROR(IF([2]对账明细接口!$C$640=0,"",[2]对账明细接口!$C$640),"")</f>
      </c>
      <c r="D640" s="16">
        <f>IFERROR(IF([2]对账明细接口!$D$640=0,"",[2]对账明细接口!$D$640),"")</f>
      </c>
      <c r="E640" s="16">
        <f>IFERROR(IF([2]对账明细接口!$E$640=0,"",[2]对账明细接口!$E$640),"")</f>
      </c>
      <c r="F640" s="16">
        <f>IFERROR(IF([2]对账明细接口!$F$640=0,"",[2]对账明细接口!$F$640),"")</f>
      </c>
      <c r="G640" s="16">
        <f>IFERROR(IF([2]对账明细接口!$G$640=0,"",[2]对账明细接口!$G$640),"")</f>
      </c>
      <c r="H640" s="176">
        <f>IFERROR(IF([2]对账明细接口!$H$640=0,"",[2]对账明细接口!$H$640),"")</f>
      </c>
      <c r="I640" s="16">
        <f>IFERROR(IF([2]对账明细接口!$I$640=0,"",[2]对账明细接口!$I$640),"")</f>
      </c>
      <c r="J640" s="177">
        <f>IFERROR(IF([2]对账明细接口!$J$640=0,"",[2]对账明细接口!$J$640),"")</f>
      </c>
      <c r="K640" s="177">
        <f>IFERROR(IF([2]对账明细接口!$K$640=0,"",[2]对账明细接口!$K$640),"")</f>
      </c>
      <c r="L640" s="16">
        <f>IFERROR(IF([2]对账明细接口!$L$640=0,"",[2]对账明细接口!$L$640),"")</f>
      </c>
      <c r="M640" s="16">
        <f>IFERROR(IF([2]对账明细接口!$M$640=0,"",[2]对账明细接口!$M$640),"")</f>
      </c>
      <c r="N640" s="19">
        <f>IF($C640="",0,1)</f>
        <v>0</v>
      </c>
      <c r="O640" s="19">
        <f>N(O639)+$N640</f>
        <v>272</v>
      </c>
      <c r="S640" s="20">
        <f>IFERROR(IF([2]对账明细接口!$N640=0,"",[2]对账明细接口!$N640),"")</f>
      </c>
      <c r="T640" s="212">
        <f>IFERROR(IF([2]对账明细接口!$O640=0,"",[2]对账明细接口!$O640),"")</f>
      </c>
      <c r="U640" s="212">
        <f>IFERROR(IF([2]对账明细接口!$P640=0,"",[2]对账明细接口!$P640),"")</f>
      </c>
      <c r="V640" s="212">
        <f>IFERROR(IF([2]对账明细接口!$Q640=0,"",[2]对账明细接口!$Q640),"")</f>
      </c>
      <c r="W640" s="20">
        <f>IFERROR(IF([2]对账明细接口!$R640=0,"",[2]对账明细接口!$R640),"")</f>
      </c>
      <c r="X640" s="20">
        <f>IFERROR(IF([2]对账明细接口!$S640=0,"",[2]对账明细接口!$S640),"")</f>
      </c>
      <c r="Y640" s="20">
        <f>""</f>
      </c>
      <c r="Z640" s="20">
        <f>""</f>
      </c>
      <c r="AA640" s="20">
        <f>""</f>
      </c>
      <c r="AB640" s="20">
        <f>""</f>
      </c>
    </row>
    <row r="641" s="127">
      <c r="A641" s="14" t="n">
        <v>641</v>
      </c>
      <c r="B641" s="211">
        <f>IFERROR(IF([2]对账明细接口!$B$641=0,"",[2]对账明细接口!$B$641),"")</f>
      </c>
      <c r="C641" s="16">
        <f>IFERROR(IF([2]对账明细接口!$C$641=0,"",[2]对账明细接口!$C$641),"")</f>
      </c>
      <c r="D641" s="16">
        <f>IFERROR(IF([2]对账明细接口!$D$641=0,"",[2]对账明细接口!$D$641),"")</f>
      </c>
      <c r="E641" s="16">
        <f>IFERROR(IF([2]对账明细接口!$E$641=0,"",[2]对账明细接口!$E$641),"")</f>
      </c>
      <c r="F641" s="16">
        <f>IFERROR(IF([2]对账明细接口!$F$641=0,"",[2]对账明细接口!$F$641),"")</f>
      </c>
      <c r="G641" s="16">
        <f>IFERROR(IF([2]对账明细接口!$G$641=0,"",[2]对账明细接口!$G$641),"")</f>
      </c>
      <c r="H641" s="176">
        <f>IFERROR(IF([2]对账明细接口!$H$641=0,"",[2]对账明细接口!$H$641),"")</f>
      </c>
      <c r="I641" s="16">
        <f>IFERROR(IF([2]对账明细接口!$I$641=0,"",[2]对账明细接口!$I$641),"")</f>
      </c>
      <c r="J641" s="177">
        <f>IFERROR(IF([2]对账明细接口!$J$641=0,"",[2]对账明细接口!$J$641),"")</f>
      </c>
      <c r="K641" s="177">
        <f>IFERROR(IF([2]对账明细接口!$K$641=0,"",[2]对账明细接口!$K$641),"")</f>
      </c>
      <c r="L641" s="16">
        <f>IFERROR(IF([2]对账明细接口!$L$641=0,"",[2]对账明细接口!$L$641),"")</f>
      </c>
      <c r="M641" s="16">
        <f>IFERROR(IF([2]对账明细接口!$M$641=0,"",[2]对账明细接口!$M$641),"")</f>
      </c>
      <c r="N641" s="19">
        <f>IF($C641="",0,1)</f>
        <v>0</v>
      </c>
      <c r="O641" s="19">
        <f>N(O640)+$N641</f>
        <v>272</v>
      </c>
      <c r="S641" s="20">
        <f>IFERROR(IF([2]对账明细接口!$N641=0,"",[2]对账明细接口!$N641),"")</f>
      </c>
      <c r="T641" s="212">
        <f>IFERROR(IF([2]对账明细接口!$O641=0,"",[2]对账明细接口!$O641),"")</f>
      </c>
      <c r="U641" s="212">
        <f>IFERROR(IF([2]对账明细接口!$P641=0,"",[2]对账明细接口!$P641),"")</f>
      </c>
      <c r="V641" s="212">
        <f>IFERROR(IF([2]对账明细接口!$Q641=0,"",[2]对账明细接口!$Q641),"")</f>
      </c>
      <c r="W641" s="20">
        <f>IFERROR(IF([2]对账明细接口!$R641=0,"",[2]对账明细接口!$R641),"")</f>
      </c>
      <c r="X641" s="20">
        <f>IFERROR(IF([2]对账明细接口!$S641=0,"",[2]对账明细接口!$S641),"")</f>
      </c>
      <c r="Y641" s="20">
        <f>""</f>
      </c>
      <c r="Z641" s="20">
        <f>""</f>
      </c>
      <c r="AA641" s="20">
        <f>""</f>
      </c>
      <c r="AB641" s="20">
        <f>""</f>
      </c>
    </row>
    <row r="642" s="127">
      <c r="A642" s="14" t="n">
        <v>642</v>
      </c>
      <c r="B642" s="211">
        <f>IFERROR(IF([2]对账明细接口!$B$642=0,"",[2]对账明细接口!$B$642),"")</f>
      </c>
      <c r="C642" s="16">
        <f>IFERROR(IF([2]对账明细接口!$C$642=0,"",[2]对账明细接口!$C$642),"")</f>
      </c>
      <c r="D642" s="16">
        <f>IFERROR(IF([2]对账明细接口!$D$642=0,"",[2]对账明细接口!$D$642),"")</f>
      </c>
      <c r="E642" s="16">
        <f>IFERROR(IF([2]对账明细接口!$E$642=0,"",[2]对账明细接口!$E$642),"")</f>
      </c>
      <c r="F642" s="16">
        <f>IFERROR(IF([2]对账明细接口!$F$642=0,"",[2]对账明细接口!$F$642),"")</f>
      </c>
      <c r="G642" s="16">
        <f>IFERROR(IF([2]对账明细接口!$G$642=0,"",[2]对账明细接口!$G$642),"")</f>
      </c>
      <c r="H642" s="176">
        <f>IFERROR(IF([2]对账明细接口!$H$642=0,"",[2]对账明细接口!$H$642),"")</f>
      </c>
      <c r="I642" s="16">
        <f>IFERROR(IF([2]对账明细接口!$I$642=0,"",[2]对账明细接口!$I$642),"")</f>
      </c>
      <c r="J642" s="177">
        <f>IFERROR(IF([2]对账明细接口!$J$642=0,"",[2]对账明细接口!$J$642),"")</f>
      </c>
      <c r="K642" s="177">
        <f>IFERROR(IF([2]对账明细接口!$K$642=0,"",[2]对账明细接口!$K$642),"")</f>
      </c>
      <c r="L642" s="16">
        <f>IFERROR(IF([2]对账明细接口!$L$642=0,"",[2]对账明细接口!$L$642),"")</f>
      </c>
      <c r="M642" s="16">
        <f>IFERROR(IF([2]对账明细接口!$M$642=0,"",[2]对账明细接口!$M$642),"")</f>
      </c>
      <c r="N642" s="19">
        <f>IF($C642="",0,1)</f>
        <v>0</v>
      </c>
      <c r="O642" s="19">
        <f>N(O641)+$N642</f>
        <v>272</v>
      </c>
      <c r="S642" s="20">
        <f>IFERROR(IF([2]对账明细接口!$N642=0,"",[2]对账明细接口!$N642),"")</f>
      </c>
      <c r="T642" s="212">
        <f>IFERROR(IF([2]对账明细接口!$O642=0,"",[2]对账明细接口!$O642),"")</f>
      </c>
      <c r="U642" s="212">
        <f>IFERROR(IF([2]对账明细接口!$P642=0,"",[2]对账明细接口!$P642),"")</f>
      </c>
      <c r="V642" s="212">
        <f>IFERROR(IF([2]对账明细接口!$Q642=0,"",[2]对账明细接口!$Q642),"")</f>
      </c>
      <c r="W642" s="20">
        <f>IFERROR(IF([2]对账明细接口!$R642=0,"",[2]对账明细接口!$R642),"")</f>
      </c>
      <c r="X642" s="20">
        <f>IFERROR(IF([2]对账明细接口!$S642=0,"",[2]对账明细接口!$S642),"")</f>
      </c>
      <c r="Y642" s="20">
        <f>""</f>
      </c>
      <c r="Z642" s="20">
        <f>""</f>
      </c>
      <c r="AA642" s="20">
        <f>""</f>
      </c>
      <c r="AB642" s="20">
        <f>""</f>
      </c>
    </row>
    <row r="643" s="127">
      <c r="A643" s="14" t="n">
        <v>643</v>
      </c>
      <c r="B643" s="211">
        <f>IFERROR(IF([2]对账明细接口!$B$643=0,"",[2]对账明细接口!$B$643),"")</f>
      </c>
      <c r="C643" s="16">
        <f>IFERROR(IF([2]对账明细接口!$C$643=0,"",[2]对账明细接口!$C$643),"")</f>
      </c>
      <c r="D643" s="16">
        <f>IFERROR(IF([2]对账明细接口!$D$643=0,"",[2]对账明细接口!$D$643),"")</f>
      </c>
      <c r="E643" s="16">
        <f>IFERROR(IF([2]对账明细接口!$E$643=0,"",[2]对账明细接口!$E$643),"")</f>
      </c>
      <c r="F643" s="16">
        <f>IFERROR(IF([2]对账明细接口!$F$643=0,"",[2]对账明细接口!$F$643),"")</f>
      </c>
      <c r="G643" s="16">
        <f>IFERROR(IF([2]对账明细接口!$G$643=0,"",[2]对账明细接口!$G$643),"")</f>
      </c>
      <c r="H643" s="176">
        <f>IFERROR(IF([2]对账明细接口!$H$643=0,"",[2]对账明细接口!$H$643),"")</f>
      </c>
      <c r="I643" s="16">
        <f>IFERROR(IF([2]对账明细接口!$I$643=0,"",[2]对账明细接口!$I$643),"")</f>
      </c>
      <c r="J643" s="177">
        <f>IFERROR(IF([2]对账明细接口!$J$643=0,"",[2]对账明细接口!$J$643),"")</f>
      </c>
      <c r="K643" s="177">
        <f>IFERROR(IF([2]对账明细接口!$K$643=0,"",[2]对账明细接口!$K$643),"")</f>
      </c>
      <c r="L643" s="16">
        <f>IFERROR(IF([2]对账明细接口!$L$643=0,"",[2]对账明细接口!$L$643),"")</f>
      </c>
      <c r="M643" s="16">
        <f>IFERROR(IF([2]对账明细接口!$M$643=0,"",[2]对账明细接口!$M$643),"")</f>
      </c>
      <c r="N643" s="19">
        <f>IF($C643="",0,1)</f>
        <v>0</v>
      </c>
      <c r="O643" s="19">
        <f>N(O642)+$N643</f>
        <v>272</v>
      </c>
      <c r="S643" s="20">
        <f>IFERROR(IF([2]对账明细接口!$N643=0,"",[2]对账明细接口!$N643),"")</f>
      </c>
      <c r="T643" s="212">
        <f>IFERROR(IF([2]对账明细接口!$O643=0,"",[2]对账明细接口!$O643),"")</f>
      </c>
      <c r="U643" s="212">
        <f>IFERROR(IF([2]对账明细接口!$P643=0,"",[2]对账明细接口!$P643),"")</f>
      </c>
      <c r="V643" s="212">
        <f>IFERROR(IF([2]对账明细接口!$Q643=0,"",[2]对账明细接口!$Q643),"")</f>
      </c>
      <c r="W643" s="20">
        <f>IFERROR(IF([2]对账明细接口!$R643=0,"",[2]对账明细接口!$R643),"")</f>
      </c>
      <c r="X643" s="20">
        <f>IFERROR(IF([2]对账明细接口!$S643=0,"",[2]对账明细接口!$S643),"")</f>
      </c>
      <c r="Y643" s="20">
        <f>""</f>
      </c>
      <c r="Z643" s="20">
        <f>""</f>
      </c>
      <c r="AA643" s="20">
        <f>""</f>
      </c>
      <c r="AB643" s="20">
        <f>""</f>
      </c>
    </row>
    <row r="644" s="127">
      <c r="A644" s="14" t="n">
        <v>644</v>
      </c>
      <c r="B644" s="211">
        <f>IFERROR(IF([2]对账明细接口!$B$644=0,"",[2]对账明细接口!$B$644),"")</f>
      </c>
      <c r="C644" s="16">
        <f>IFERROR(IF([2]对账明细接口!$C$644=0,"",[2]对账明细接口!$C$644),"")</f>
      </c>
      <c r="D644" s="16">
        <f>IFERROR(IF([2]对账明细接口!$D$644=0,"",[2]对账明细接口!$D$644),"")</f>
      </c>
      <c r="E644" s="16">
        <f>IFERROR(IF([2]对账明细接口!$E$644=0,"",[2]对账明细接口!$E$644),"")</f>
      </c>
      <c r="F644" s="16">
        <f>IFERROR(IF([2]对账明细接口!$F$644=0,"",[2]对账明细接口!$F$644),"")</f>
      </c>
      <c r="G644" s="16">
        <f>IFERROR(IF([2]对账明细接口!$G$644=0,"",[2]对账明细接口!$G$644),"")</f>
      </c>
      <c r="H644" s="176">
        <f>IFERROR(IF([2]对账明细接口!$H$644=0,"",[2]对账明细接口!$H$644),"")</f>
      </c>
      <c r="I644" s="16">
        <f>IFERROR(IF([2]对账明细接口!$I$644=0,"",[2]对账明细接口!$I$644),"")</f>
      </c>
      <c r="J644" s="177">
        <f>IFERROR(IF([2]对账明细接口!$J$644=0,"",[2]对账明细接口!$J$644),"")</f>
      </c>
      <c r="K644" s="177">
        <f>IFERROR(IF([2]对账明细接口!$K$644=0,"",[2]对账明细接口!$K$644),"")</f>
      </c>
      <c r="L644" s="16">
        <f>IFERROR(IF([2]对账明细接口!$L$644=0,"",[2]对账明细接口!$L$644),"")</f>
      </c>
      <c r="M644" s="16">
        <f>IFERROR(IF([2]对账明细接口!$M$644=0,"",[2]对账明细接口!$M$644),"")</f>
      </c>
      <c r="N644" s="19">
        <f>IF($C644="",0,1)</f>
        <v>0</v>
      </c>
      <c r="O644" s="19">
        <f>N(O643)+$N644</f>
        <v>272</v>
      </c>
      <c r="S644" s="20">
        <f>IFERROR(IF([2]对账明细接口!$N644=0,"",[2]对账明细接口!$N644),"")</f>
      </c>
      <c r="T644" s="212">
        <f>IFERROR(IF([2]对账明细接口!$O644=0,"",[2]对账明细接口!$O644),"")</f>
      </c>
      <c r="U644" s="212">
        <f>IFERROR(IF([2]对账明细接口!$P644=0,"",[2]对账明细接口!$P644),"")</f>
      </c>
      <c r="V644" s="212">
        <f>IFERROR(IF([2]对账明细接口!$Q644=0,"",[2]对账明细接口!$Q644),"")</f>
      </c>
      <c r="W644" s="20">
        <f>IFERROR(IF([2]对账明细接口!$R644=0,"",[2]对账明细接口!$R644),"")</f>
      </c>
      <c r="X644" s="20">
        <f>IFERROR(IF([2]对账明细接口!$S644=0,"",[2]对账明细接口!$S644),"")</f>
      </c>
      <c r="Y644" s="20">
        <f>""</f>
      </c>
      <c r="Z644" s="20">
        <f>""</f>
      </c>
      <c r="AA644" s="20">
        <f>""</f>
      </c>
      <c r="AB644" s="20">
        <f>""</f>
      </c>
    </row>
    <row r="645" s="127">
      <c r="A645" s="14" t="n">
        <v>645</v>
      </c>
      <c r="B645" s="211">
        <f>IFERROR(IF([2]对账明细接口!$B$645=0,"",[2]对账明细接口!$B$645),"")</f>
      </c>
      <c r="C645" s="16">
        <f>IFERROR(IF([2]对账明细接口!$C$645=0,"",[2]对账明细接口!$C$645),"")</f>
      </c>
      <c r="D645" s="16">
        <f>IFERROR(IF([2]对账明细接口!$D$645=0,"",[2]对账明细接口!$D$645),"")</f>
      </c>
      <c r="E645" s="16">
        <f>IFERROR(IF([2]对账明细接口!$E$645=0,"",[2]对账明细接口!$E$645),"")</f>
      </c>
      <c r="F645" s="16">
        <f>IFERROR(IF([2]对账明细接口!$F$645=0,"",[2]对账明细接口!$F$645),"")</f>
      </c>
      <c r="G645" s="16">
        <f>IFERROR(IF([2]对账明细接口!$G$645=0,"",[2]对账明细接口!$G$645),"")</f>
      </c>
      <c r="H645" s="176">
        <f>IFERROR(IF([2]对账明细接口!$H$645=0,"",[2]对账明细接口!$H$645),"")</f>
      </c>
      <c r="I645" s="16">
        <f>IFERROR(IF([2]对账明细接口!$I$645=0,"",[2]对账明细接口!$I$645),"")</f>
      </c>
      <c r="J645" s="177">
        <f>IFERROR(IF([2]对账明细接口!$J$645=0,"",[2]对账明细接口!$J$645),"")</f>
      </c>
      <c r="K645" s="177">
        <f>IFERROR(IF([2]对账明细接口!$K$645=0,"",[2]对账明细接口!$K$645),"")</f>
      </c>
      <c r="L645" s="16">
        <f>IFERROR(IF([2]对账明细接口!$L$645=0,"",[2]对账明细接口!$L$645),"")</f>
      </c>
      <c r="M645" s="16">
        <f>IFERROR(IF([2]对账明细接口!$M$645=0,"",[2]对账明细接口!$M$645),"")</f>
      </c>
      <c r="N645" s="19">
        <f>IF($C645="",0,1)</f>
        <v>0</v>
      </c>
      <c r="O645" s="19">
        <f>N(O644)+$N645</f>
        <v>272</v>
      </c>
      <c r="S645" s="20">
        <f>IFERROR(IF([2]对账明细接口!$N645=0,"",[2]对账明细接口!$N645),"")</f>
      </c>
      <c r="T645" s="212">
        <f>IFERROR(IF([2]对账明细接口!$O645=0,"",[2]对账明细接口!$O645),"")</f>
      </c>
      <c r="U645" s="212">
        <f>IFERROR(IF([2]对账明细接口!$P645=0,"",[2]对账明细接口!$P645),"")</f>
      </c>
      <c r="V645" s="212">
        <f>IFERROR(IF([2]对账明细接口!$Q645=0,"",[2]对账明细接口!$Q645),"")</f>
      </c>
      <c r="W645" s="20">
        <f>IFERROR(IF([2]对账明细接口!$R645=0,"",[2]对账明细接口!$R645),"")</f>
      </c>
      <c r="X645" s="20">
        <f>IFERROR(IF([2]对账明细接口!$S645=0,"",[2]对账明细接口!$S645),"")</f>
      </c>
      <c r="Y645" s="20">
        <f>""</f>
      </c>
      <c r="Z645" s="20">
        <f>""</f>
      </c>
      <c r="AA645" s="20">
        <f>""</f>
      </c>
      <c r="AB645" s="20">
        <f>""</f>
      </c>
    </row>
    <row r="646" s="127">
      <c r="A646" s="14" t="n">
        <v>646</v>
      </c>
      <c r="B646" s="211">
        <f>IFERROR(IF([2]对账明细接口!$B$646=0,"",[2]对账明细接口!$B$646),"")</f>
      </c>
      <c r="C646" s="16">
        <f>IFERROR(IF([2]对账明细接口!$C$646=0,"",[2]对账明细接口!$C$646),"")</f>
      </c>
      <c r="D646" s="16">
        <f>IFERROR(IF([2]对账明细接口!$D$646=0,"",[2]对账明细接口!$D$646),"")</f>
      </c>
      <c r="E646" s="16">
        <f>IFERROR(IF([2]对账明细接口!$E$646=0,"",[2]对账明细接口!$E$646),"")</f>
      </c>
      <c r="F646" s="16">
        <f>IFERROR(IF([2]对账明细接口!$F$646=0,"",[2]对账明细接口!$F$646),"")</f>
      </c>
      <c r="G646" s="16">
        <f>IFERROR(IF([2]对账明细接口!$G$646=0,"",[2]对账明细接口!$G$646),"")</f>
      </c>
      <c r="H646" s="176">
        <f>IFERROR(IF([2]对账明细接口!$H$646=0,"",[2]对账明细接口!$H$646),"")</f>
      </c>
      <c r="I646" s="16">
        <f>IFERROR(IF([2]对账明细接口!$I$646=0,"",[2]对账明细接口!$I$646),"")</f>
      </c>
      <c r="J646" s="177">
        <f>IFERROR(IF([2]对账明细接口!$J$646=0,"",[2]对账明细接口!$J$646),"")</f>
      </c>
      <c r="K646" s="177">
        <f>IFERROR(IF([2]对账明细接口!$K$646=0,"",[2]对账明细接口!$K$646),"")</f>
      </c>
      <c r="L646" s="16">
        <f>IFERROR(IF([2]对账明细接口!$L$646=0,"",[2]对账明细接口!$L$646),"")</f>
      </c>
      <c r="M646" s="16">
        <f>IFERROR(IF([2]对账明细接口!$M$646=0,"",[2]对账明细接口!$M$646),"")</f>
      </c>
      <c r="N646" s="19">
        <f>IF($C646="",0,1)</f>
        <v>0</v>
      </c>
      <c r="O646" s="19">
        <f>N(O645)+$N646</f>
        <v>272</v>
      </c>
      <c r="S646" s="20">
        <f>IFERROR(IF([2]对账明细接口!$N646=0,"",[2]对账明细接口!$N646),"")</f>
      </c>
      <c r="T646" s="212">
        <f>IFERROR(IF([2]对账明细接口!$O646=0,"",[2]对账明细接口!$O646),"")</f>
      </c>
      <c r="U646" s="212">
        <f>IFERROR(IF([2]对账明细接口!$P646=0,"",[2]对账明细接口!$P646),"")</f>
      </c>
      <c r="V646" s="212">
        <f>IFERROR(IF([2]对账明细接口!$Q646=0,"",[2]对账明细接口!$Q646),"")</f>
      </c>
      <c r="W646" s="20">
        <f>IFERROR(IF([2]对账明细接口!$R646=0,"",[2]对账明细接口!$R646),"")</f>
      </c>
      <c r="X646" s="20">
        <f>IFERROR(IF([2]对账明细接口!$S646=0,"",[2]对账明细接口!$S646),"")</f>
      </c>
      <c r="Y646" s="20">
        <f>""</f>
      </c>
      <c r="Z646" s="20">
        <f>""</f>
      </c>
      <c r="AA646" s="20">
        <f>""</f>
      </c>
      <c r="AB646" s="20">
        <f>""</f>
      </c>
    </row>
    <row r="647" s="127">
      <c r="A647" s="14" t="n">
        <v>647</v>
      </c>
      <c r="B647" s="211">
        <f>IFERROR(IF([2]对账明细接口!$B$647=0,"",[2]对账明细接口!$B$647),"")</f>
      </c>
      <c r="C647" s="16">
        <f>IFERROR(IF([2]对账明细接口!$C$647=0,"",[2]对账明细接口!$C$647),"")</f>
      </c>
      <c r="D647" s="16">
        <f>IFERROR(IF([2]对账明细接口!$D$647=0,"",[2]对账明细接口!$D$647),"")</f>
      </c>
      <c r="E647" s="16">
        <f>IFERROR(IF([2]对账明细接口!$E$647=0,"",[2]对账明细接口!$E$647),"")</f>
      </c>
      <c r="F647" s="16">
        <f>IFERROR(IF([2]对账明细接口!$F$647=0,"",[2]对账明细接口!$F$647),"")</f>
      </c>
      <c r="G647" s="16">
        <f>IFERROR(IF([2]对账明细接口!$G$647=0,"",[2]对账明细接口!$G$647),"")</f>
      </c>
      <c r="H647" s="176">
        <f>IFERROR(IF([2]对账明细接口!$H$647=0,"",[2]对账明细接口!$H$647),"")</f>
      </c>
      <c r="I647" s="16">
        <f>IFERROR(IF([2]对账明细接口!$I$647=0,"",[2]对账明细接口!$I$647),"")</f>
      </c>
      <c r="J647" s="177">
        <f>IFERROR(IF([2]对账明细接口!$J$647=0,"",[2]对账明细接口!$J$647),"")</f>
      </c>
      <c r="K647" s="177">
        <f>IFERROR(IF([2]对账明细接口!$K$647=0,"",[2]对账明细接口!$K$647),"")</f>
      </c>
      <c r="L647" s="16">
        <f>IFERROR(IF([2]对账明细接口!$L$647=0,"",[2]对账明细接口!$L$647),"")</f>
      </c>
      <c r="M647" s="16">
        <f>IFERROR(IF([2]对账明细接口!$M$647=0,"",[2]对账明细接口!$M$647),"")</f>
      </c>
      <c r="N647" s="19">
        <f>IF($C647="",0,1)</f>
        <v>0</v>
      </c>
      <c r="O647" s="19">
        <f>N(O646)+$N647</f>
        <v>272</v>
      </c>
      <c r="S647" s="20">
        <f>IFERROR(IF([2]对账明细接口!$N647=0,"",[2]对账明细接口!$N647),"")</f>
      </c>
      <c r="T647" s="212">
        <f>IFERROR(IF([2]对账明细接口!$O647=0,"",[2]对账明细接口!$O647),"")</f>
      </c>
      <c r="U647" s="212">
        <f>IFERROR(IF([2]对账明细接口!$P647=0,"",[2]对账明细接口!$P647),"")</f>
      </c>
      <c r="V647" s="212">
        <f>IFERROR(IF([2]对账明细接口!$Q647=0,"",[2]对账明细接口!$Q647),"")</f>
      </c>
      <c r="W647" s="20">
        <f>IFERROR(IF([2]对账明细接口!$R647=0,"",[2]对账明细接口!$R647),"")</f>
      </c>
      <c r="X647" s="20">
        <f>IFERROR(IF([2]对账明细接口!$S647=0,"",[2]对账明细接口!$S647),"")</f>
      </c>
      <c r="Y647" s="20">
        <f>""</f>
      </c>
      <c r="Z647" s="20">
        <f>""</f>
      </c>
      <c r="AA647" s="20">
        <f>""</f>
      </c>
      <c r="AB647" s="20">
        <f>""</f>
      </c>
    </row>
    <row r="648" s="127">
      <c r="A648" s="14" t="n">
        <v>648</v>
      </c>
      <c r="B648" s="211">
        <f>IFERROR(IF([2]对账明细接口!$B$648=0,"",[2]对账明细接口!$B$648),"")</f>
      </c>
      <c r="C648" s="16">
        <f>IFERROR(IF([2]对账明细接口!$C$648=0,"",[2]对账明细接口!$C$648),"")</f>
      </c>
      <c r="D648" s="16">
        <f>IFERROR(IF([2]对账明细接口!$D$648=0,"",[2]对账明细接口!$D$648),"")</f>
      </c>
      <c r="E648" s="16">
        <f>IFERROR(IF([2]对账明细接口!$E$648=0,"",[2]对账明细接口!$E$648),"")</f>
      </c>
      <c r="F648" s="16">
        <f>IFERROR(IF([2]对账明细接口!$F$648=0,"",[2]对账明细接口!$F$648),"")</f>
      </c>
      <c r="G648" s="16">
        <f>IFERROR(IF([2]对账明细接口!$G$648=0,"",[2]对账明细接口!$G$648),"")</f>
      </c>
      <c r="H648" s="176">
        <f>IFERROR(IF([2]对账明细接口!$H$648=0,"",[2]对账明细接口!$H$648),"")</f>
      </c>
      <c r="I648" s="16">
        <f>IFERROR(IF([2]对账明细接口!$I$648=0,"",[2]对账明细接口!$I$648),"")</f>
      </c>
      <c r="J648" s="177">
        <f>IFERROR(IF([2]对账明细接口!$J$648=0,"",[2]对账明细接口!$J$648),"")</f>
      </c>
      <c r="K648" s="177">
        <f>IFERROR(IF([2]对账明细接口!$K$648=0,"",[2]对账明细接口!$K$648),"")</f>
      </c>
      <c r="L648" s="16">
        <f>IFERROR(IF([2]对账明细接口!$L$648=0,"",[2]对账明细接口!$L$648),"")</f>
      </c>
      <c r="M648" s="16">
        <f>IFERROR(IF([2]对账明细接口!$M$648=0,"",[2]对账明细接口!$M$648),"")</f>
      </c>
      <c r="N648" s="19">
        <f>IF($C648="",0,1)</f>
        <v>0</v>
      </c>
      <c r="O648" s="19">
        <f>N(O647)+$N648</f>
        <v>272</v>
      </c>
      <c r="S648" s="20">
        <f>IFERROR(IF([2]对账明细接口!$N648=0,"",[2]对账明细接口!$N648),"")</f>
      </c>
      <c r="T648" s="212">
        <f>IFERROR(IF([2]对账明细接口!$O648=0,"",[2]对账明细接口!$O648),"")</f>
      </c>
      <c r="U648" s="212">
        <f>IFERROR(IF([2]对账明细接口!$P648=0,"",[2]对账明细接口!$P648),"")</f>
      </c>
      <c r="V648" s="212">
        <f>IFERROR(IF([2]对账明细接口!$Q648=0,"",[2]对账明细接口!$Q648),"")</f>
      </c>
      <c r="W648" s="20">
        <f>IFERROR(IF([2]对账明细接口!$R648=0,"",[2]对账明细接口!$R648),"")</f>
      </c>
      <c r="X648" s="20">
        <f>IFERROR(IF([2]对账明细接口!$S648=0,"",[2]对账明细接口!$S648),"")</f>
      </c>
      <c r="Y648" s="20">
        <f>""</f>
      </c>
      <c r="Z648" s="20">
        <f>""</f>
      </c>
      <c r="AA648" s="20">
        <f>""</f>
      </c>
      <c r="AB648" s="20">
        <f>""</f>
      </c>
    </row>
    <row r="649" s="127">
      <c r="A649" s="14" t="n">
        <v>649</v>
      </c>
      <c r="B649" s="211">
        <f>IFERROR(IF([2]对账明细接口!$B$649=0,"",[2]对账明细接口!$B$649),"")</f>
      </c>
      <c r="C649" s="16">
        <f>IFERROR(IF([2]对账明细接口!$C$649=0,"",[2]对账明细接口!$C$649),"")</f>
      </c>
      <c r="D649" s="16">
        <f>IFERROR(IF([2]对账明细接口!$D$649=0,"",[2]对账明细接口!$D$649),"")</f>
      </c>
      <c r="E649" s="16">
        <f>IFERROR(IF([2]对账明细接口!$E$649=0,"",[2]对账明细接口!$E$649),"")</f>
      </c>
      <c r="F649" s="16">
        <f>IFERROR(IF([2]对账明细接口!$F$649=0,"",[2]对账明细接口!$F$649),"")</f>
      </c>
      <c r="G649" s="16">
        <f>IFERROR(IF([2]对账明细接口!$G$649=0,"",[2]对账明细接口!$G$649),"")</f>
      </c>
      <c r="H649" s="176">
        <f>IFERROR(IF([2]对账明细接口!$H$649=0,"",[2]对账明细接口!$H$649),"")</f>
      </c>
      <c r="I649" s="16">
        <f>IFERROR(IF([2]对账明细接口!$I$649=0,"",[2]对账明细接口!$I$649),"")</f>
      </c>
      <c r="J649" s="177">
        <f>IFERROR(IF([2]对账明细接口!$J$649=0,"",[2]对账明细接口!$J$649),"")</f>
      </c>
      <c r="K649" s="177">
        <f>IFERROR(IF([2]对账明细接口!$K$649=0,"",[2]对账明细接口!$K$649),"")</f>
      </c>
      <c r="L649" s="16">
        <f>IFERROR(IF([2]对账明细接口!$L$649=0,"",[2]对账明细接口!$L$649),"")</f>
      </c>
      <c r="M649" s="16">
        <f>IFERROR(IF([2]对账明细接口!$M$649=0,"",[2]对账明细接口!$M$649),"")</f>
      </c>
      <c r="N649" s="19">
        <f>IF($C649="",0,1)</f>
        <v>0</v>
      </c>
      <c r="O649" s="19">
        <f>N(O648)+$N649</f>
        <v>272</v>
      </c>
      <c r="S649" s="20">
        <f>IFERROR(IF([2]对账明细接口!$N649=0,"",[2]对账明细接口!$N649),"")</f>
      </c>
      <c r="T649" s="212">
        <f>IFERROR(IF([2]对账明细接口!$O649=0,"",[2]对账明细接口!$O649),"")</f>
      </c>
      <c r="U649" s="212">
        <f>IFERROR(IF([2]对账明细接口!$P649=0,"",[2]对账明细接口!$P649),"")</f>
      </c>
      <c r="V649" s="212">
        <f>IFERROR(IF([2]对账明细接口!$Q649=0,"",[2]对账明细接口!$Q649),"")</f>
      </c>
      <c r="W649" s="20">
        <f>IFERROR(IF([2]对账明细接口!$R649=0,"",[2]对账明细接口!$R649),"")</f>
      </c>
      <c r="X649" s="20">
        <f>IFERROR(IF([2]对账明细接口!$S649=0,"",[2]对账明细接口!$S649),"")</f>
      </c>
      <c r="Y649" s="20">
        <f>""</f>
      </c>
      <c r="Z649" s="20">
        <f>""</f>
      </c>
      <c r="AA649" s="20">
        <f>""</f>
      </c>
      <c r="AB649" s="20">
        <f>""</f>
      </c>
    </row>
    <row r="650" s="127">
      <c r="A650" s="14" t="n">
        <v>650</v>
      </c>
      <c r="B650" s="211">
        <f>IFERROR(IF([2]对账明细接口!$B$650=0,"",[2]对账明细接口!$B$650),"")</f>
      </c>
      <c r="C650" s="16">
        <f>IFERROR(IF([2]对账明细接口!$C$650=0,"",[2]对账明细接口!$C$650),"")</f>
      </c>
      <c r="D650" s="16">
        <f>IFERROR(IF([2]对账明细接口!$D$650=0,"",[2]对账明细接口!$D$650),"")</f>
      </c>
      <c r="E650" s="16">
        <f>IFERROR(IF([2]对账明细接口!$E$650=0,"",[2]对账明细接口!$E$650),"")</f>
      </c>
      <c r="F650" s="16">
        <f>IFERROR(IF([2]对账明细接口!$F$650=0,"",[2]对账明细接口!$F$650),"")</f>
      </c>
      <c r="G650" s="16">
        <f>IFERROR(IF([2]对账明细接口!$G$650=0,"",[2]对账明细接口!$G$650),"")</f>
      </c>
      <c r="H650" s="176">
        <f>IFERROR(IF([2]对账明细接口!$H$650=0,"",[2]对账明细接口!$H$650),"")</f>
      </c>
      <c r="I650" s="16">
        <f>IFERROR(IF([2]对账明细接口!$I$650=0,"",[2]对账明细接口!$I$650),"")</f>
      </c>
      <c r="J650" s="177">
        <f>IFERROR(IF([2]对账明细接口!$J$650=0,"",[2]对账明细接口!$J$650),"")</f>
      </c>
      <c r="K650" s="177">
        <f>IFERROR(IF([2]对账明细接口!$K$650=0,"",[2]对账明细接口!$K$650),"")</f>
      </c>
      <c r="L650" s="16">
        <f>IFERROR(IF([2]对账明细接口!$L$650=0,"",[2]对账明细接口!$L$650),"")</f>
      </c>
      <c r="M650" s="16">
        <f>IFERROR(IF([2]对账明细接口!$M$650=0,"",[2]对账明细接口!$M$650),"")</f>
      </c>
      <c r="N650" s="19">
        <f>IF($C650="",0,1)</f>
        <v>0</v>
      </c>
      <c r="O650" s="19">
        <f>N(O649)+$N650</f>
        <v>272</v>
      </c>
      <c r="S650" s="20">
        <f>IFERROR(IF([2]对账明细接口!$N650=0,"",[2]对账明细接口!$N650),"")</f>
      </c>
      <c r="T650" s="212">
        <f>IFERROR(IF([2]对账明细接口!$O650=0,"",[2]对账明细接口!$O650),"")</f>
      </c>
      <c r="U650" s="212">
        <f>IFERROR(IF([2]对账明细接口!$P650=0,"",[2]对账明细接口!$P650),"")</f>
      </c>
      <c r="V650" s="212">
        <f>IFERROR(IF([2]对账明细接口!$Q650=0,"",[2]对账明细接口!$Q650),"")</f>
      </c>
      <c r="W650" s="20">
        <f>IFERROR(IF([2]对账明细接口!$R650=0,"",[2]对账明细接口!$R650),"")</f>
      </c>
      <c r="X650" s="20">
        <f>IFERROR(IF([2]对账明细接口!$S650=0,"",[2]对账明细接口!$S650),"")</f>
      </c>
      <c r="Y650" s="20">
        <f>""</f>
      </c>
      <c r="Z650" s="20">
        <f>""</f>
      </c>
      <c r="AA650" s="20">
        <f>""</f>
      </c>
      <c r="AB650" s="20">
        <f>""</f>
      </c>
    </row>
    <row r="651" s="127">
      <c r="A651" s="14" t="n">
        <v>651</v>
      </c>
      <c r="B651" s="211">
        <f>IFERROR(IF([2]对账明细接口!$B$651=0,"",[2]对账明细接口!$B$651),"")</f>
      </c>
      <c r="C651" s="16">
        <f>IFERROR(IF([2]对账明细接口!$C$651=0,"",[2]对账明细接口!$C$651),"")</f>
      </c>
      <c r="D651" s="16">
        <f>IFERROR(IF([2]对账明细接口!$D$651=0,"",[2]对账明细接口!$D$651),"")</f>
      </c>
      <c r="E651" s="16">
        <f>IFERROR(IF([2]对账明细接口!$E$651=0,"",[2]对账明细接口!$E$651),"")</f>
      </c>
      <c r="F651" s="16">
        <f>IFERROR(IF([2]对账明细接口!$F$651=0,"",[2]对账明细接口!$F$651),"")</f>
      </c>
      <c r="G651" s="16">
        <f>IFERROR(IF([2]对账明细接口!$G$651=0,"",[2]对账明细接口!$G$651),"")</f>
      </c>
      <c r="H651" s="176">
        <f>IFERROR(IF([2]对账明细接口!$H$651=0,"",[2]对账明细接口!$H$651),"")</f>
      </c>
      <c r="I651" s="16">
        <f>IFERROR(IF([2]对账明细接口!$I$651=0,"",[2]对账明细接口!$I$651),"")</f>
      </c>
      <c r="J651" s="177">
        <f>IFERROR(IF([2]对账明细接口!$J$651=0,"",[2]对账明细接口!$J$651),"")</f>
      </c>
      <c r="K651" s="177">
        <f>IFERROR(IF([2]对账明细接口!$K$651=0,"",[2]对账明细接口!$K$651),"")</f>
      </c>
      <c r="L651" s="16">
        <f>IFERROR(IF([2]对账明细接口!$L$651=0,"",[2]对账明细接口!$L$651),"")</f>
      </c>
      <c r="M651" s="16">
        <f>IFERROR(IF([2]对账明细接口!$M$651=0,"",[2]对账明细接口!$M$651),"")</f>
      </c>
      <c r="N651" s="19">
        <f>IF($C651="",0,1)</f>
        <v>0</v>
      </c>
      <c r="O651" s="19">
        <f>N(O650)+$N651</f>
        <v>272</v>
      </c>
      <c r="S651" s="20">
        <f>IFERROR(IF([2]对账明细接口!$N651=0,"",[2]对账明细接口!$N651),"")</f>
      </c>
      <c r="T651" s="212">
        <f>IFERROR(IF([2]对账明细接口!$O651=0,"",[2]对账明细接口!$O651),"")</f>
      </c>
      <c r="U651" s="212">
        <f>IFERROR(IF([2]对账明细接口!$P651=0,"",[2]对账明细接口!$P651),"")</f>
      </c>
      <c r="V651" s="212">
        <f>IFERROR(IF([2]对账明细接口!$Q651=0,"",[2]对账明细接口!$Q651),"")</f>
      </c>
      <c r="W651" s="20">
        <f>IFERROR(IF([2]对账明细接口!$R651=0,"",[2]对账明细接口!$R651),"")</f>
      </c>
      <c r="X651" s="20">
        <f>IFERROR(IF([2]对账明细接口!$S651=0,"",[2]对账明细接口!$S651),"")</f>
      </c>
      <c r="Y651" s="20">
        <f>""</f>
      </c>
      <c r="Z651" s="20">
        <f>""</f>
      </c>
      <c r="AA651" s="20">
        <f>""</f>
      </c>
      <c r="AB651" s="20">
        <f>""</f>
      </c>
    </row>
    <row r="652" s="127">
      <c r="A652" s="14" t="n">
        <v>652</v>
      </c>
      <c r="B652" s="211">
        <f>IFERROR(IF([2]对账明细接口!$B$652=0,"",[2]对账明细接口!$B$652),"")</f>
      </c>
      <c r="C652" s="16">
        <f>IFERROR(IF([2]对账明细接口!$C$652=0,"",[2]对账明细接口!$C$652),"")</f>
      </c>
      <c r="D652" s="16">
        <f>IFERROR(IF([2]对账明细接口!$D$652=0,"",[2]对账明细接口!$D$652),"")</f>
      </c>
      <c r="E652" s="16">
        <f>IFERROR(IF([2]对账明细接口!$E$652=0,"",[2]对账明细接口!$E$652),"")</f>
      </c>
      <c r="F652" s="16">
        <f>IFERROR(IF([2]对账明细接口!$F$652=0,"",[2]对账明细接口!$F$652),"")</f>
      </c>
      <c r="G652" s="16">
        <f>IFERROR(IF([2]对账明细接口!$G$652=0,"",[2]对账明细接口!$G$652),"")</f>
      </c>
      <c r="H652" s="176">
        <f>IFERROR(IF([2]对账明细接口!$H$652=0,"",[2]对账明细接口!$H$652),"")</f>
      </c>
      <c r="I652" s="16">
        <f>IFERROR(IF([2]对账明细接口!$I$652=0,"",[2]对账明细接口!$I$652),"")</f>
      </c>
      <c r="J652" s="177">
        <f>IFERROR(IF([2]对账明细接口!$J$652=0,"",[2]对账明细接口!$J$652),"")</f>
      </c>
      <c r="K652" s="177">
        <f>IFERROR(IF([2]对账明细接口!$K$652=0,"",[2]对账明细接口!$K$652),"")</f>
      </c>
      <c r="L652" s="16">
        <f>IFERROR(IF([2]对账明细接口!$L$652=0,"",[2]对账明细接口!$L$652),"")</f>
      </c>
      <c r="M652" s="16">
        <f>IFERROR(IF([2]对账明细接口!$M$652=0,"",[2]对账明细接口!$M$652),"")</f>
      </c>
      <c r="N652" s="19">
        <f>IF($C652="",0,1)</f>
        <v>0</v>
      </c>
      <c r="O652" s="19">
        <f>N(O651)+$N652</f>
        <v>272</v>
      </c>
      <c r="S652" s="20">
        <f>IFERROR(IF([2]对账明细接口!$N652=0,"",[2]对账明细接口!$N652),"")</f>
      </c>
      <c r="T652" s="212">
        <f>IFERROR(IF([2]对账明细接口!$O652=0,"",[2]对账明细接口!$O652),"")</f>
      </c>
      <c r="U652" s="212">
        <f>IFERROR(IF([2]对账明细接口!$P652=0,"",[2]对账明细接口!$P652),"")</f>
      </c>
      <c r="V652" s="212">
        <f>IFERROR(IF([2]对账明细接口!$Q652=0,"",[2]对账明细接口!$Q652),"")</f>
      </c>
      <c r="W652" s="20">
        <f>IFERROR(IF([2]对账明细接口!$R652=0,"",[2]对账明细接口!$R652),"")</f>
      </c>
      <c r="X652" s="20">
        <f>IFERROR(IF([2]对账明细接口!$S652=0,"",[2]对账明细接口!$S652),"")</f>
      </c>
      <c r="Y652" s="20">
        <f>""</f>
      </c>
      <c r="Z652" s="20">
        <f>""</f>
      </c>
      <c r="AA652" s="20">
        <f>""</f>
      </c>
      <c r="AB652" s="20">
        <f>""</f>
      </c>
    </row>
    <row r="653" s="127">
      <c r="A653" s="14" t="n">
        <v>653</v>
      </c>
      <c r="B653" s="211">
        <f>IFERROR(IF([2]对账明细接口!$B$653=0,"",[2]对账明细接口!$B$653),"")</f>
      </c>
      <c r="C653" s="16">
        <f>IFERROR(IF([2]对账明细接口!$C$653=0,"",[2]对账明细接口!$C$653),"")</f>
      </c>
      <c r="D653" s="16">
        <f>IFERROR(IF([2]对账明细接口!$D$653=0,"",[2]对账明细接口!$D$653),"")</f>
      </c>
      <c r="E653" s="16">
        <f>IFERROR(IF([2]对账明细接口!$E$653=0,"",[2]对账明细接口!$E$653),"")</f>
      </c>
      <c r="F653" s="16">
        <f>IFERROR(IF([2]对账明细接口!$F$653=0,"",[2]对账明细接口!$F$653),"")</f>
      </c>
      <c r="G653" s="16">
        <f>IFERROR(IF([2]对账明细接口!$G$653=0,"",[2]对账明细接口!$G$653),"")</f>
      </c>
      <c r="H653" s="176">
        <f>IFERROR(IF([2]对账明细接口!$H$653=0,"",[2]对账明细接口!$H$653),"")</f>
      </c>
      <c r="I653" s="16">
        <f>IFERROR(IF([2]对账明细接口!$I$653=0,"",[2]对账明细接口!$I$653),"")</f>
      </c>
      <c r="J653" s="177">
        <f>IFERROR(IF([2]对账明细接口!$J$653=0,"",[2]对账明细接口!$J$653),"")</f>
      </c>
      <c r="K653" s="177">
        <f>IFERROR(IF([2]对账明细接口!$K$653=0,"",[2]对账明细接口!$K$653),"")</f>
      </c>
      <c r="L653" s="16">
        <f>IFERROR(IF([2]对账明细接口!$L$653=0,"",[2]对账明细接口!$L$653),"")</f>
      </c>
      <c r="M653" s="16">
        <f>IFERROR(IF([2]对账明细接口!$M$653=0,"",[2]对账明细接口!$M$653),"")</f>
      </c>
      <c r="N653" s="19">
        <f>IF($C653="",0,1)</f>
        <v>0</v>
      </c>
      <c r="O653" s="19">
        <f>N(O652)+$N653</f>
        <v>272</v>
      </c>
      <c r="S653" s="20">
        <f>IFERROR(IF([2]对账明细接口!$N653=0,"",[2]对账明细接口!$N653),"")</f>
      </c>
      <c r="T653" s="212">
        <f>IFERROR(IF([2]对账明细接口!$O653=0,"",[2]对账明细接口!$O653),"")</f>
      </c>
      <c r="U653" s="212">
        <f>IFERROR(IF([2]对账明细接口!$P653=0,"",[2]对账明细接口!$P653),"")</f>
      </c>
      <c r="V653" s="212">
        <f>IFERROR(IF([2]对账明细接口!$Q653=0,"",[2]对账明细接口!$Q653),"")</f>
      </c>
      <c r="W653" s="20">
        <f>IFERROR(IF([2]对账明细接口!$R653=0,"",[2]对账明细接口!$R653),"")</f>
      </c>
      <c r="X653" s="20">
        <f>IFERROR(IF([2]对账明细接口!$S653=0,"",[2]对账明细接口!$S653),"")</f>
      </c>
      <c r="Y653" s="20">
        <f>""</f>
      </c>
      <c r="Z653" s="20">
        <f>""</f>
      </c>
      <c r="AA653" s="20">
        <f>""</f>
      </c>
      <c r="AB653" s="20">
        <f>""</f>
      </c>
    </row>
    <row r="654" s="127">
      <c r="A654" s="14" t="n">
        <v>654</v>
      </c>
      <c r="B654" s="211">
        <f>IFERROR(IF([2]对账明细接口!$B$654=0,"",[2]对账明细接口!$B$654),"")</f>
      </c>
      <c r="C654" s="16">
        <f>IFERROR(IF([2]对账明细接口!$C$654=0,"",[2]对账明细接口!$C$654),"")</f>
      </c>
      <c r="D654" s="16">
        <f>IFERROR(IF([2]对账明细接口!$D$654=0,"",[2]对账明细接口!$D$654),"")</f>
      </c>
      <c r="E654" s="16">
        <f>IFERROR(IF([2]对账明细接口!$E$654=0,"",[2]对账明细接口!$E$654),"")</f>
      </c>
      <c r="F654" s="16">
        <f>IFERROR(IF([2]对账明细接口!$F$654=0,"",[2]对账明细接口!$F$654),"")</f>
      </c>
      <c r="G654" s="16">
        <f>IFERROR(IF([2]对账明细接口!$G$654=0,"",[2]对账明细接口!$G$654),"")</f>
      </c>
      <c r="H654" s="176">
        <f>IFERROR(IF([2]对账明细接口!$H$654=0,"",[2]对账明细接口!$H$654),"")</f>
      </c>
      <c r="I654" s="16">
        <f>IFERROR(IF([2]对账明细接口!$I$654=0,"",[2]对账明细接口!$I$654),"")</f>
      </c>
      <c r="J654" s="177">
        <f>IFERROR(IF([2]对账明细接口!$J$654=0,"",[2]对账明细接口!$J$654),"")</f>
      </c>
      <c r="K654" s="177">
        <f>IFERROR(IF([2]对账明细接口!$K$654=0,"",[2]对账明细接口!$K$654),"")</f>
      </c>
      <c r="L654" s="16">
        <f>IFERROR(IF([2]对账明细接口!$L$654=0,"",[2]对账明细接口!$L$654),"")</f>
      </c>
      <c r="M654" s="16">
        <f>IFERROR(IF([2]对账明细接口!$M$654=0,"",[2]对账明细接口!$M$654),"")</f>
      </c>
      <c r="N654" s="19">
        <f>IF($C654="",0,1)</f>
        <v>0</v>
      </c>
      <c r="O654" s="19">
        <f>N(O653)+$N654</f>
        <v>272</v>
      </c>
      <c r="S654" s="20">
        <f>IFERROR(IF([2]对账明细接口!$N654=0,"",[2]对账明细接口!$N654),"")</f>
      </c>
      <c r="T654" s="212">
        <f>IFERROR(IF([2]对账明细接口!$O654=0,"",[2]对账明细接口!$O654),"")</f>
      </c>
      <c r="U654" s="212">
        <f>IFERROR(IF([2]对账明细接口!$P654=0,"",[2]对账明细接口!$P654),"")</f>
      </c>
      <c r="V654" s="212">
        <f>IFERROR(IF([2]对账明细接口!$Q654=0,"",[2]对账明细接口!$Q654),"")</f>
      </c>
      <c r="W654" s="20">
        <f>IFERROR(IF([2]对账明细接口!$R654=0,"",[2]对账明细接口!$R654),"")</f>
      </c>
      <c r="X654" s="20">
        <f>IFERROR(IF([2]对账明细接口!$S654=0,"",[2]对账明细接口!$S654),"")</f>
      </c>
      <c r="Y654" s="20">
        <f>""</f>
      </c>
      <c r="Z654" s="20">
        <f>""</f>
      </c>
      <c r="AA654" s="20">
        <f>""</f>
      </c>
      <c r="AB654" s="20">
        <f>""</f>
      </c>
    </row>
    <row r="655" s="127">
      <c r="A655" s="14" t="n">
        <v>655</v>
      </c>
      <c r="B655" s="211">
        <f>IFERROR(IF([2]对账明细接口!$B$655=0,"",[2]对账明细接口!$B$655),"")</f>
      </c>
      <c r="C655" s="16">
        <f>IFERROR(IF([2]对账明细接口!$C$655=0,"",[2]对账明细接口!$C$655),"")</f>
      </c>
      <c r="D655" s="16">
        <f>IFERROR(IF([2]对账明细接口!$D$655=0,"",[2]对账明细接口!$D$655),"")</f>
      </c>
      <c r="E655" s="16">
        <f>IFERROR(IF([2]对账明细接口!$E$655=0,"",[2]对账明细接口!$E$655),"")</f>
      </c>
      <c r="F655" s="16">
        <f>IFERROR(IF([2]对账明细接口!$F$655=0,"",[2]对账明细接口!$F$655),"")</f>
      </c>
      <c r="G655" s="16">
        <f>IFERROR(IF([2]对账明细接口!$G$655=0,"",[2]对账明细接口!$G$655),"")</f>
      </c>
      <c r="H655" s="176">
        <f>IFERROR(IF([2]对账明细接口!$H$655=0,"",[2]对账明细接口!$H$655),"")</f>
      </c>
      <c r="I655" s="16">
        <f>IFERROR(IF([2]对账明细接口!$I$655=0,"",[2]对账明细接口!$I$655),"")</f>
      </c>
      <c r="J655" s="177">
        <f>IFERROR(IF([2]对账明细接口!$J$655=0,"",[2]对账明细接口!$J$655),"")</f>
      </c>
      <c r="K655" s="177">
        <f>IFERROR(IF([2]对账明细接口!$K$655=0,"",[2]对账明细接口!$K$655),"")</f>
      </c>
      <c r="L655" s="16">
        <f>IFERROR(IF([2]对账明细接口!$L$655=0,"",[2]对账明细接口!$L$655),"")</f>
      </c>
      <c r="M655" s="16">
        <f>IFERROR(IF([2]对账明细接口!$M$655=0,"",[2]对账明细接口!$M$655),"")</f>
      </c>
      <c r="N655" s="19">
        <f>IF($C655="",0,1)</f>
        <v>0</v>
      </c>
      <c r="O655" s="19">
        <f>N(O654)+$N655</f>
        <v>272</v>
      </c>
      <c r="S655" s="20">
        <f>IFERROR(IF([2]对账明细接口!$N655=0,"",[2]对账明细接口!$N655),"")</f>
      </c>
      <c r="T655" s="212">
        <f>IFERROR(IF([2]对账明细接口!$O655=0,"",[2]对账明细接口!$O655),"")</f>
      </c>
      <c r="U655" s="212">
        <f>IFERROR(IF([2]对账明细接口!$P655=0,"",[2]对账明细接口!$P655),"")</f>
      </c>
      <c r="V655" s="212">
        <f>IFERROR(IF([2]对账明细接口!$Q655=0,"",[2]对账明细接口!$Q655),"")</f>
      </c>
      <c r="W655" s="20">
        <f>IFERROR(IF([2]对账明细接口!$R655=0,"",[2]对账明细接口!$R655),"")</f>
      </c>
      <c r="X655" s="20">
        <f>IFERROR(IF([2]对账明细接口!$S655=0,"",[2]对账明细接口!$S655),"")</f>
      </c>
      <c r="Y655" s="20">
        <f>""</f>
      </c>
      <c r="Z655" s="20">
        <f>""</f>
      </c>
      <c r="AA655" s="20">
        <f>""</f>
      </c>
      <c r="AB655" s="20">
        <f>""</f>
      </c>
    </row>
    <row r="656" s="127">
      <c r="A656" s="14" t="n">
        <v>656</v>
      </c>
      <c r="B656" s="211">
        <f>IFERROR(IF([2]对账明细接口!$B$656=0,"",[2]对账明细接口!$B$656),"")</f>
      </c>
      <c r="C656" s="16">
        <f>IFERROR(IF([2]对账明细接口!$C$656=0,"",[2]对账明细接口!$C$656),"")</f>
      </c>
      <c r="D656" s="16">
        <f>IFERROR(IF([2]对账明细接口!$D$656=0,"",[2]对账明细接口!$D$656),"")</f>
      </c>
      <c r="E656" s="16">
        <f>IFERROR(IF([2]对账明细接口!$E$656=0,"",[2]对账明细接口!$E$656),"")</f>
      </c>
      <c r="F656" s="16">
        <f>IFERROR(IF([2]对账明细接口!$F$656=0,"",[2]对账明细接口!$F$656),"")</f>
      </c>
      <c r="G656" s="16">
        <f>IFERROR(IF([2]对账明细接口!$G$656=0,"",[2]对账明细接口!$G$656),"")</f>
      </c>
      <c r="H656" s="176">
        <f>IFERROR(IF([2]对账明细接口!$H$656=0,"",[2]对账明细接口!$H$656),"")</f>
      </c>
      <c r="I656" s="16">
        <f>IFERROR(IF([2]对账明细接口!$I$656=0,"",[2]对账明细接口!$I$656),"")</f>
      </c>
      <c r="J656" s="177">
        <f>IFERROR(IF([2]对账明细接口!$J$656=0,"",[2]对账明细接口!$J$656),"")</f>
      </c>
      <c r="K656" s="177">
        <f>IFERROR(IF([2]对账明细接口!$K$656=0,"",[2]对账明细接口!$K$656),"")</f>
      </c>
      <c r="L656" s="16">
        <f>IFERROR(IF([2]对账明细接口!$L$656=0,"",[2]对账明细接口!$L$656),"")</f>
      </c>
      <c r="M656" s="16">
        <f>IFERROR(IF([2]对账明细接口!$M$656=0,"",[2]对账明细接口!$M$656),"")</f>
      </c>
      <c r="N656" s="19">
        <f>IF($C656="",0,1)</f>
        <v>0</v>
      </c>
      <c r="O656" s="19">
        <f>N(O655)+$N656</f>
        <v>272</v>
      </c>
      <c r="S656" s="20">
        <f>IFERROR(IF([2]对账明细接口!$N656=0,"",[2]对账明细接口!$N656),"")</f>
      </c>
      <c r="T656" s="212">
        <f>IFERROR(IF([2]对账明细接口!$O656=0,"",[2]对账明细接口!$O656),"")</f>
      </c>
      <c r="U656" s="212">
        <f>IFERROR(IF([2]对账明细接口!$P656=0,"",[2]对账明细接口!$P656),"")</f>
      </c>
      <c r="V656" s="212">
        <f>IFERROR(IF([2]对账明细接口!$Q656=0,"",[2]对账明细接口!$Q656),"")</f>
      </c>
      <c r="W656" s="20">
        <f>IFERROR(IF([2]对账明细接口!$R656=0,"",[2]对账明细接口!$R656),"")</f>
      </c>
      <c r="X656" s="20">
        <f>IFERROR(IF([2]对账明细接口!$S656=0,"",[2]对账明细接口!$S656),"")</f>
      </c>
      <c r="Y656" s="20">
        <f>""</f>
      </c>
      <c r="Z656" s="20">
        <f>""</f>
      </c>
      <c r="AA656" s="20">
        <f>""</f>
      </c>
      <c r="AB656" s="20">
        <f>""</f>
      </c>
    </row>
    <row r="657" s="127">
      <c r="A657" s="14" t="n">
        <v>657</v>
      </c>
      <c r="B657" s="211">
        <f>IFERROR(IF([2]对账明细接口!$B$657=0,"",[2]对账明细接口!$B$657),"")</f>
      </c>
      <c r="C657" s="16">
        <f>IFERROR(IF([2]对账明细接口!$C$657=0,"",[2]对账明细接口!$C$657),"")</f>
      </c>
      <c r="D657" s="16">
        <f>IFERROR(IF([2]对账明细接口!$D$657=0,"",[2]对账明细接口!$D$657),"")</f>
      </c>
      <c r="E657" s="16">
        <f>IFERROR(IF([2]对账明细接口!$E$657=0,"",[2]对账明细接口!$E$657),"")</f>
      </c>
      <c r="F657" s="16">
        <f>IFERROR(IF([2]对账明细接口!$F$657=0,"",[2]对账明细接口!$F$657),"")</f>
      </c>
      <c r="G657" s="16">
        <f>IFERROR(IF([2]对账明细接口!$G$657=0,"",[2]对账明细接口!$G$657),"")</f>
      </c>
      <c r="H657" s="176">
        <f>IFERROR(IF([2]对账明细接口!$H$657=0,"",[2]对账明细接口!$H$657),"")</f>
      </c>
      <c r="I657" s="16">
        <f>IFERROR(IF([2]对账明细接口!$I$657=0,"",[2]对账明细接口!$I$657),"")</f>
      </c>
      <c r="J657" s="177">
        <f>IFERROR(IF([2]对账明细接口!$J$657=0,"",[2]对账明细接口!$J$657),"")</f>
      </c>
      <c r="K657" s="177">
        <f>IFERROR(IF([2]对账明细接口!$K$657=0,"",[2]对账明细接口!$K$657),"")</f>
      </c>
      <c r="L657" s="16">
        <f>IFERROR(IF([2]对账明细接口!$L$657=0,"",[2]对账明细接口!$L$657),"")</f>
      </c>
      <c r="M657" s="16">
        <f>IFERROR(IF([2]对账明细接口!$M$657=0,"",[2]对账明细接口!$M$657),"")</f>
      </c>
      <c r="N657" s="19">
        <f>IF($C657="",0,1)</f>
        <v>0</v>
      </c>
      <c r="O657" s="19">
        <f>N(O656)+$N657</f>
        <v>272</v>
      </c>
      <c r="S657" s="20">
        <f>IFERROR(IF([2]对账明细接口!$N657=0,"",[2]对账明细接口!$N657),"")</f>
      </c>
      <c r="T657" s="212">
        <f>IFERROR(IF([2]对账明细接口!$O657=0,"",[2]对账明细接口!$O657),"")</f>
      </c>
      <c r="U657" s="212">
        <f>IFERROR(IF([2]对账明细接口!$P657=0,"",[2]对账明细接口!$P657),"")</f>
      </c>
      <c r="V657" s="212">
        <f>IFERROR(IF([2]对账明细接口!$Q657=0,"",[2]对账明细接口!$Q657),"")</f>
      </c>
      <c r="W657" s="20">
        <f>IFERROR(IF([2]对账明细接口!$R657=0,"",[2]对账明细接口!$R657),"")</f>
      </c>
      <c r="X657" s="20">
        <f>IFERROR(IF([2]对账明细接口!$S657=0,"",[2]对账明细接口!$S657),"")</f>
      </c>
      <c r="Y657" s="20">
        <f>""</f>
      </c>
      <c r="Z657" s="20">
        <f>""</f>
      </c>
      <c r="AA657" s="20">
        <f>""</f>
      </c>
      <c r="AB657" s="20">
        <f>""</f>
      </c>
    </row>
    <row r="658" s="127">
      <c r="A658" s="14" t="n">
        <v>658</v>
      </c>
      <c r="B658" s="211">
        <f>IFERROR(IF([2]对账明细接口!$B$658=0,"",[2]对账明细接口!$B$658),"")</f>
      </c>
      <c r="C658" s="16">
        <f>IFERROR(IF([2]对账明细接口!$C$658=0,"",[2]对账明细接口!$C$658),"")</f>
      </c>
      <c r="D658" s="16">
        <f>IFERROR(IF([2]对账明细接口!$D$658=0,"",[2]对账明细接口!$D$658),"")</f>
      </c>
      <c r="E658" s="16">
        <f>IFERROR(IF([2]对账明细接口!$E$658=0,"",[2]对账明细接口!$E$658),"")</f>
      </c>
      <c r="F658" s="16">
        <f>IFERROR(IF([2]对账明细接口!$F$658=0,"",[2]对账明细接口!$F$658),"")</f>
      </c>
      <c r="G658" s="16">
        <f>IFERROR(IF([2]对账明细接口!$G$658=0,"",[2]对账明细接口!$G$658),"")</f>
      </c>
      <c r="H658" s="176">
        <f>IFERROR(IF([2]对账明细接口!$H$658=0,"",[2]对账明细接口!$H$658),"")</f>
      </c>
      <c r="I658" s="16">
        <f>IFERROR(IF([2]对账明细接口!$I$658=0,"",[2]对账明细接口!$I$658),"")</f>
      </c>
      <c r="J658" s="177">
        <f>IFERROR(IF([2]对账明细接口!$J$658=0,"",[2]对账明细接口!$J$658),"")</f>
      </c>
      <c r="K658" s="177">
        <f>IFERROR(IF([2]对账明细接口!$K$658=0,"",[2]对账明细接口!$K$658),"")</f>
      </c>
      <c r="L658" s="16">
        <f>IFERROR(IF([2]对账明细接口!$L$658=0,"",[2]对账明细接口!$L$658),"")</f>
      </c>
      <c r="M658" s="16">
        <f>IFERROR(IF([2]对账明细接口!$M$658=0,"",[2]对账明细接口!$M$658),"")</f>
      </c>
      <c r="N658" s="19">
        <f>IF($C658="",0,1)</f>
        <v>0</v>
      </c>
      <c r="O658" s="19">
        <f>N(O657)+$N658</f>
        <v>272</v>
      </c>
      <c r="S658" s="20">
        <f>IFERROR(IF([2]对账明细接口!$N658=0,"",[2]对账明细接口!$N658),"")</f>
      </c>
      <c r="T658" s="212">
        <f>IFERROR(IF([2]对账明细接口!$O658=0,"",[2]对账明细接口!$O658),"")</f>
      </c>
      <c r="U658" s="212">
        <f>IFERROR(IF([2]对账明细接口!$P658=0,"",[2]对账明细接口!$P658),"")</f>
      </c>
      <c r="V658" s="212">
        <f>IFERROR(IF([2]对账明细接口!$Q658=0,"",[2]对账明细接口!$Q658),"")</f>
      </c>
      <c r="W658" s="20">
        <f>IFERROR(IF([2]对账明细接口!$R658=0,"",[2]对账明细接口!$R658),"")</f>
      </c>
      <c r="X658" s="20">
        <f>IFERROR(IF([2]对账明细接口!$S658=0,"",[2]对账明细接口!$S658),"")</f>
      </c>
      <c r="Y658" s="20">
        <f>""</f>
      </c>
      <c r="Z658" s="20">
        <f>""</f>
      </c>
      <c r="AA658" s="20">
        <f>""</f>
      </c>
      <c r="AB658" s="20">
        <f>""</f>
      </c>
    </row>
    <row r="659" s="127">
      <c r="A659" s="14" t="n">
        <v>659</v>
      </c>
      <c r="B659" s="211">
        <f>IFERROR(IF([2]对账明细接口!$B$659=0,"",[2]对账明细接口!$B$659),"")</f>
      </c>
      <c r="C659" s="16">
        <f>IFERROR(IF([2]对账明细接口!$C$659=0,"",[2]对账明细接口!$C$659),"")</f>
      </c>
      <c r="D659" s="16">
        <f>IFERROR(IF([2]对账明细接口!$D$659=0,"",[2]对账明细接口!$D$659),"")</f>
      </c>
      <c r="E659" s="16">
        <f>IFERROR(IF([2]对账明细接口!$E$659=0,"",[2]对账明细接口!$E$659),"")</f>
      </c>
      <c r="F659" s="16">
        <f>IFERROR(IF([2]对账明细接口!$F$659=0,"",[2]对账明细接口!$F$659),"")</f>
      </c>
      <c r="G659" s="16">
        <f>IFERROR(IF([2]对账明细接口!$G$659=0,"",[2]对账明细接口!$G$659),"")</f>
      </c>
      <c r="H659" s="176">
        <f>IFERROR(IF([2]对账明细接口!$H$659=0,"",[2]对账明细接口!$H$659),"")</f>
      </c>
      <c r="I659" s="16">
        <f>IFERROR(IF([2]对账明细接口!$I$659=0,"",[2]对账明细接口!$I$659),"")</f>
      </c>
      <c r="J659" s="177">
        <f>IFERROR(IF([2]对账明细接口!$J$659=0,"",[2]对账明细接口!$J$659),"")</f>
      </c>
      <c r="K659" s="177">
        <f>IFERROR(IF([2]对账明细接口!$K$659=0,"",[2]对账明细接口!$K$659),"")</f>
      </c>
      <c r="L659" s="16">
        <f>IFERROR(IF([2]对账明细接口!$L$659=0,"",[2]对账明细接口!$L$659),"")</f>
      </c>
      <c r="M659" s="16">
        <f>IFERROR(IF([2]对账明细接口!$M$659=0,"",[2]对账明细接口!$M$659),"")</f>
      </c>
      <c r="N659" s="19">
        <f>IF($C659="",0,1)</f>
        <v>0</v>
      </c>
      <c r="O659" s="19">
        <f>N(O658)+$N659</f>
        <v>272</v>
      </c>
      <c r="S659" s="20">
        <f>IFERROR(IF([2]对账明细接口!$N659=0,"",[2]对账明细接口!$N659),"")</f>
      </c>
      <c r="T659" s="212">
        <f>IFERROR(IF([2]对账明细接口!$O659=0,"",[2]对账明细接口!$O659),"")</f>
      </c>
      <c r="U659" s="212">
        <f>IFERROR(IF([2]对账明细接口!$P659=0,"",[2]对账明细接口!$P659),"")</f>
      </c>
      <c r="V659" s="212">
        <f>IFERROR(IF([2]对账明细接口!$Q659=0,"",[2]对账明细接口!$Q659),"")</f>
      </c>
      <c r="W659" s="20">
        <f>IFERROR(IF([2]对账明细接口!$R659=0,"",[2]对账明细接口!$R659),"")</f>
      </c>
      <c r="X659" s="20">
        <f>IFERROR(IF([2]对账明细接口!$S659=0,"",[2]对账明细接口!$S659),"")</f>
      </c>
      <c r="Y659" s="20">
        <f>""</f>
      </c>
      <c r="Z659" s="20">
        <f>""</f>
      </c>
      <c r="AA659" s="20">
        <f>""</f>
      </c>
      <c r="AB659" s="20">
        <f>""</f>
      </c>
    </row>
    <row r="660" s="127">
      <c r="A660" s="14" t="n">
        <v>660</v>
      </c>
      <c r="B660" s="211">
        <f>IFERROR(IF([2]对账明细接口!$B$660=0,"",[2]对账明细接口!$B$660),"")</f>
      </c>
      <c r="C660" s="16">
        <f>IFERROR(IF([2]对账明细接口!$C$660=0,"",[2]对账明细接口!$C$660),"")</f>
      </c>
      <c r="D660" s="16">
        <f>IFERROR(IF([2]对账明细接口!$D$660=0,"",[2]对账明细接口!$D$660),"")</f>
      </c>
      <c r="E660" s="16">
        <f>IFERROR(IF([2]对账明细接口!$E$660=0,"",[2]对账明细接口!$E$660),"")</f>
      </c>
      <c r="F660" s="16">
        <f>IFERROR(IF([2]对账明细接口!$F$660=0,"",[2]对账明细接口!$F$660),"")</f>
      </c>
      <c r="G660" s="16">
        <f>IFERROR(IF([2]对账明细接口!$G$660=0,"",[2]对账明细接口!$G$660),"")</f>
      </c>
      <c r="H660" s="176">
        <f>IFERROR(IF([2]对账明细接口!$H$660=0,"",[2]对账明细接口!$H$660),"")</f>
      </c>
      <c r="I660" s="16">
        <f>IFERROR(IF([2]对账明细接口!$I$660=0,"",[2]对账明细接口!$I$660),"")</f>
      </c>
      <c r="J660" s="177">
        <f>IFERROR(IF([2]对账明细接口!$J$660=0,"",[2]对账明细接口!$J$660),"")</f>
      </c>
      <c r="K660" s="177">
        <f>IFERROR(IF([2]对账明细接口!$K$660=0,"",[2]对账明细接口!$K$660),"")</f>
      </c>
      <c r="L660" s="16">
        <f>IFERROR(IF([2]对账明细接口!$L$660=0,"",[2]对账明细接口!$L$660),"")</f>
      </c>
      <c r="M660" s="16">
        <f>IFERROR(IF([2]对账明细接口!$M$660=0,"",[2]对账明细接口!$M$660),"")</f>
      </c>
      <c r="N660" s="19">
        <f>IF($C660="",0,1)</f>
        <v>0</v>
      </c>
      <c r="O660" s="19">
        <f>N(O659)+$N660</f>
        <v>272</v>
      </c>
      <c r="S660" s="20">
        <f>IFERROR(IF([2]对账明细接口!$N660=0,"",[2]对账明细接口!$N660),"")</f>
      </c>
      <c r="T660" s="212">
        <f>IFERROR(IF([2]对账明细接口!$O660=0,"",[2]对账明细接口!$O660),"")</f>
      </c>
      <c r="U660" s="212">
        <f>IFERROR(IF([2]对账明细接口!$P660=0,"",[2]对账明细接口!$P660),"")</f>
      </c>
      <c r="V660" s="212">
        <f>IFERROR(IF([2]对账明细接口!$Q660=0,"",[2]对账明细接口!$Q660),"")</f>
      </c>
      <c r="W660" s="20">
        <f>IFERROR(IF([2]对账明细接口!$R660=0,"",[2]对账明细接口!$R660),"")</f>
      </c>
      <c r="X660" s="20">
        <f>IFERROR(IF([2]对账明细接口!$S660=0,"",[2]对账明细接口!$S660),"")</f>
      </c>
      <c r="Y660" s="20">
        <f>""</f>
      </c>
      <c r="Z660" s="20">
        <f>""</f>
      </c>
      <c r="AA660" s="20">
        <f>""</f>
      </c>
      <c r="AB660" s="20">
        <f>""</f>
      </c>
    </row>
    <row r="661" s="127">
      <c r="A661" s="14" t="n">
        <v>661</v>
      </c>
      <c r="B661" s="211">
        <f>IFERROR(IF([2]对账明细接口!$B$661=0,"",[2]对账明细接口!$B$661),"")</f>
      </c>
      <c r="C661" s="16">
        <f>IFERROR(IF([2]对账明细接口!$C$661=0,"",[2]对账明细接口!$C$661),"")</f>
      </c>
      <c r="D661" s="16">
        <f>IFERROR(IF([2]对账明细接口!$D$661=0,"",[2]对账明细接口!$D$661),"")</f>
      </c>
      <c r="E661" s="16">
        <f>IFERROR(IF([2]对账明细接口!$E$661=0,"",[2]对账明细接口!$E$661),"")</f>
      </c>
      <c r="F661" s="16">
        <f>IFERROR(IF([2]对账明细接口!$F$661=0,"",[2]对账明细接口!$F$661),"")</f>
      </c>
      <c r="G661" s="16">
        <f>IFERROR(IF([2]对账明细接口!$G$661=0,"",[2]对账明细接口!$G$661),"")</f>
      </c>
      <c r="H661" s="176">
        <f>IFERROR(IF([2]对账明细接口!$H$661=0,"",[2]对账明细接口!$H$661),"")</f>
      </c>
      <c r="I661" s="16">
        <f>IFERROR(IF([2]对账明细接口!$I$661=0,"",[2]对账明细接口!$I$661),"")</f>
      </c>
      <c r="J661" s="177">
        <f>IFERROR(IF([2]对账明细接口!$J$661=0,"",[2]对账明细接口!$J$661),"")</f>
      </c>
      <c r="K661" s="177">
        <f>IFERROR(IF([2]对账明细接口!$K$661=0,"",[2]对账明细接口!$K$661),"")</f>
      </c>
      <c r="L661" s="16">
        <f>IFERROR(IF([2]对账明细接口!$L$661=0,"",[2]对账明细接口!$L$661),"")</f>
      </c>
      <c r="M661" s="16">
        <f>IFERROR(IF([2]对账明细接口!$M$661=0,"",[2]对账明细接口!$M$661),"")</f>
      </c>
      <c r="N661" s="19">
        <f>IF($C661="",0,1)</f>
        <v>0</v>
      </c>
      <c r="O661" s="19">
        <f>N(O660)+$N661</f>
        <v>272</v>
      </c>
      <c r="S661" s="20">
        <f>IFERROR(IF([2]对账明细接口!$N661=0,"",[2]对账明细接口!$N661),"")</f>
      </c>
      <c r="T661" s="212">
        <f>IFERROR(IF([2]对账明细接口!$O661=0,"",[2]对账明细接口!$O661),"")</f>
      </c>
      <c r="U661" s="212">
        <f>IFERROR(IF([2]对账明细接口!$P661=0,"",[2]对账明细接口!$P661),"")</f>
      </c>
      <c r="V661" s="212">
        <f>IFERROR(IF([2]对账明细接口!$Q661=0,"",[2]对账明细接口!$Q661),"")</f>
      </c>
      <c r="W661" s="20">
        <f>IFERROR(IF([2]对账明细接口!$R661=0,"",[2]对账明细接口!$R661),"")</f>
      </c>
      <c r="X661" s="20">
        <f>IFERROR(IF([2]对账明细接口!$S661=0,"",[2]对账明细接口!$S661),"")</f>
      </c>
      <c r="Y661" s="20">
        <f>""</f>
      </c>
      <c r="Z661" s="20">
        <f>""</f>
      </c>
      <c r="AA661" s="20">
        <f>""</f>
      </c>
      <c r="AB661" s="20">
        <f>""</f>
      </c>
    </row>
    <row r="662" s="127">
      <c r="A662" s="14" t="n">
        <v>662</v>
      </c>
      <c r="B662" s="211">
        <f>IFERROR(IF([2]对账明细接口!$B$662=0,"",[2]对账明细接口!$B$662),"")</f>
      </c>
      <c r="C662" s="16">
        <f>IFERROR(IF([2]对账明细接口!$C$662=0,"",[2]对账明细接口!$C$662),"")</f>
      </c>
      <c r="D662" s="16">
        <f>IFERROR(IF([2]对账明细接口!$D$662=0,"",[2]对账明细接口!$D$662),"")</f>
      </c>
      <c r="E662" s="16">
        <f>IFERROR(IF([2]对账明细接口!$E$662=0,"",[2]对账明细接口!$E$662),"")</f>
      </c>
      <c r="F662" s="16">
        <f>IFERROR(IF([2]对账明细接口!$F$662=0,"",[2]对账明细接口!$F$662),"")</f>
      </c>
      <c r="G662" s="16">
        <f>IFERROR(IF([2]对账明细接口!$G$662=0,"",[2]对账明细接口!$G$662),"")</f>
      </c>
      <c r="H662" s="176">
        <f>IFERROR(IF([2]对账明细接口!$H$662=0,"",[2]对账明细接口!$H$662),"")</f>
      </c>
      <c r="I662" s="16">
        <f>IFERROR(IF([2]对账明细接口!$I$662=0,"",[2]对账明细接口!$I$662),"")</f>
      </c>
      <c r="J662" s="177">
        <f>IFERROR(IF([2]对账明细接口!$J$662=0,"",[2]对账明细接口!$J$662),"")</f>
      </c>
      <c r="K662" s="177">
        <f>IFERROR(IF([2]对账明细接口!$K$662=0,"",[2]对账明细接口!$K$662),"")</f>
      </c>
      <c r="L662" s="16">
        <f>IFERROR(IF([2]对账明细接口!$L$662=0,"",[2]对账明细接口!$L$662),"")</f>
      </c>
      <c r="M662" s="16">
        <f>IFERROR(IF([2]对账明细接口!$M$662=0,"",[2]对账明细接口!$M$662),"")</f>
      </c>
      <c r="N662" s="19">
        <f>IF($C662="",0,1)</f>
        <v>0</v>
      </c>
      <c r="O662" s="19">
        <f>N(O661)+$N662</f>
        <v>272</v>
      </c>
      <c r="S662" s="20">
        <f>IFERROR(IF([2]对账明细接口!$N662=0,"",[2]对账明细接口!$N662),"")</f>
      </c>
      <c r="T662" s="212">
        <f>IFERROR(IF([2]对账明细接口!$O662=0,"",[2]对账明细接口!$O662),"")</f>
      </c>
      <c r="U662" s="212">
        <f>IFERROR(IF([2]对账明细接口!$P662=0,"",[2]对账明细接口!$P662),"")</f>
      </c>
      <c r="V662" s="212">
        <f>IFERROR(IF([2]对账明细接口!$Q662=0,"",[2]对账明细接口!$Q662),"")</f>
      </c>
      <c r="W662" s="20">
        <f>IFERROR(IF([2]对账明细接口!$R662=0,"",[2]对账明细接口!$R662),"")</f>
      </c>
      <c r="X662" s="20">
        <f>IFERROR(IF([2]对账明细接口!$S662=0,"",[2]对账明细接口!$S662),"")</f>
      </c>
      <c r="Y662" s="20">
        <f>""</f>
      </c>
      <c r="Z662" s="20">
        <f>""</f>
      </c>
      <c r="AA662" s="20">
        <f>""</f>
      </c>
      <c r="AB662" s="20">
        <f>""</f>
      </c>
    </row>
    <row r="663" s="127">
      <c r="A663" s="14" t="n">
        <v>663</v>
      </c>
      <c r="B663" s="211">
        <f>IFERROR(IF([2]对账明细接口!$B$663=0,"",[2]对账明细接口!$B$663),"")</f>
      </c>
      <c r="C663" s="16">
        <f>IFERROR(IF([2]对账明细接口!$C$663=0,"",[2]对账明细接口!$C$663),"")</f>
      </c>
      <c r="D663" s="16">
        <f>IFERROR(IF([2]对账明细接口!$D$663=0,"",[2]对账明细接口!$D$663),"")</f>
      </c>
      <c r="E663" s="16">
        <f>IFERROR(IF([2]对账明细接口!$E$663=0,"",[2]对账明细接口!$E$663),"")</f>
      </c>
      <c r="F663" s="16">
        <f>IFERROR(IF([2]对账明细接口!$F$663=0,"",[2]对账明细接口!$F$663),"")</f>
      </c>
      <c r="G663" s="16">
        <f>IFERROR(IF([2]对账明细接口!$G$663=0,"",[2]对账明细接口!$G$663),"")</f>
      </c>
      <c r="H663" s="176">
        <f>IFERROR(IF([2]对账明细接口!$H$663=0,"",[2]对账明细接口!$H$663),"")</f>
      </c>
      <c r="I663" s="16">
        <f>IFERROR(IF([2]对账明细接口!$I$663=0,"",[2]对账明细接口!$I$663),"")</f>
      </c>
      <c r="J663" s="177">
        <f>IFERROR(IF([2]对账明细接口!$J$663=0,"",[2]对账明细接口!$J$663),"")</f>
      </c>
      <c r="K663" s="177">
        <f>IFERROR(IF([2]对账明细接口!$K$663=0,"",[2]对账明细接口!$K$663),"")</f>
      </c>
      <c r="L663" s="16">
        <f>IFERROR(IF([2]对账明细接口!$L$663=0,"",[2]对账明细接口!$L$663),"")</f>
      </c>
      <c r="M663" s="16">
        <f>IFERROR(IF([2]对账明细接口!$M$663=0,"",[2]对账明细接口!$M$663),"")</f>
      </c>
      <c r="N663" s="19">
        <f>IF($C663="",0,1)</f>
        <v>0</v>
      </c>
      <c r="O663" s="19">
        <f>N(O662)+$N663</f>
        <v>272</v>
      </c>
      <c r="S663" s="20">
        <f>IFERROR(IF([2]对账明细接口!$N663=0,"",[2]对账明细接口!$N663),"")</f>
      </c>
      <c r="T663" s="212">
        <f>IFERROR(IF([2]对账明细接口!$O663=0,"",[2]对账明细接口!$O663),"")</f>
      </c>
      <c r="U663" s="212">
        <f>IFERROR(IF([2]对账明细接口!$P663=0,"",[2]对账明细接口!$P663),"")</f>
      </c>
      <c r="V663" s="212">
        <f>IFERROR(IF([2]对账明细接口!$Q663=0,"",[2]对账明细接口!$Q663),"")</f>
      </c>
      <c r="W663" s="20">
        <f>IFERROR(IF([2]对账明细接口!$R663=0,"",[2]对账明细接口!$R663),"")</f>
      </c>
      <c r="X663" s="20">
        <f>IFERROR(IF([2]对账明细接口!$S663=0,"",[2]对账明细接口!$S663),"")</f>
      </c>
      <c r="Y663" s="20">
        <f>""</f>
      </c>
      <c r="Z663" s="20">
        <f>""</f>
      </c>
      <c r="AA663" s="20">
        <f>""</f>
      </c>
      <c r="AB663" s="20">
        <f>""</f>
      </c>
    </row>
    <row r="664" s="127">
      <c r="A664" s="14" t="n">
        <v>664</v>
      </c>
      <c r="B664" s="211">
        <f>IFERROR(IF([2]对账明细接口!$B$664=0,"",[2]对账明细接口!$B$664),"")</f>
      </c>
      <c r="C664" s="16">
        <f>IFERROR(IF([2]对账明细接口!$C$664=0,"",[2]对账明细接口!$C$664),"")</f>
      </c>
      <c r="D664" s="16">
        <f>IFERROR(IF([2]对账明细接口!$D$664=0,"",[2]对账明细接口!$D$664),"")</f>
      </c>
      <c r="E664" s="16">
        <f>IFERROR(IF([2]对账明细接口!$E$664=0,"",[2]对账明细接口!$E$664),"")</f>
      </c>
      <c r="F664" s="16">
        <f>IFERROR(IF([2]对账明细接口!$F$664=0,"",[2]对账明细接口!$F$664),"")</f>
      </c>
      <c r="G664" s="16">
        <f>IFERROR(IF([2]对账明细接口!$G$664=0,"",[2]对账明细接口!$G$664),"")</f>
      </c>
      <c r="H664" s="176">
        <f>IFERROR(IF([2]对账明细接口!$H$664=0,"",[2]对账明细接口!$H$664),"")</f>
      </c>
      <c r="I664" s="16">
        <f>IFERROR(IF([2]对账明细接口!$I$664=0,"",[2]对账明细接口!$I$664),"")</f>
      </c>
      <c r="J664" s="177">
        <f>IFERROR(IF([2]对账明细接口!$J$664=0,"",[2]对账明细接口!$J$664),"")</f>
      </c>
      <c r="K664" s="177">
        <f>IFERROR(IF([2]对账明细接口!$K$664=0,"",[2]对账明细接口!$K$664),"")</f>
      </c>
      <c r="L664" s="16">
        <f>IFERROR(IF([2]对账明细接口!$L$664=0,"",[2]对账明细接口!$L$664),"")</f>
      </c>
      <c r="M664" s="16">
        <f>IFERROR(IF([2]对账明细接口!$M$664=0,"",[2]对账明细接口!$M$664),"")</f>
      </c>
      <c r="N664" s="19">
        <f>IF($C664="",0,1)</f>
        <v>0</v>
      </c>
      <c r="O664" s="19">
        <f>N(O663)+$N664</f>
        <v>272</v>
      </c>
      <c r="S664" s="20">
        <f>IFERROR(IF([2]对账明细接口!$N664=0,"",[2]对账明细接口!$N664),"")</f>
      </c>
      <c r="T664" s="212">
        <f>IFERROR(IF([2]对账明细接口!$O664=0,"",[2]对账明细接口!$O664),"")</f>
      </c>
      <c r="U664" s="212">
        <f>IFERROR(IF([2]对账明细接口!$P664=0,"",[2]对账明细接口!$P664),"")</f>
      </c>
      <c r="V664" s="212">
        <f>IFERROR(IF([2]对账明细接口!$Q664=0,"",[2]对账明细接口!$Q664),"")</f>
      </c>
      <c r="W664" s="20">
        <f>IFERROR(IF([2]对账明细接口!$R664=0,"",[2]对账明细接口!$R664),"")</f>
      </c>
      <c r="X664" s="20">
        <f>IFERROR(IF([2]对账明细接口!$S664=0,"",[2]对账明细接口!$S664),"")</f>
      </c>
      <c r="Y664" s="20">
        <f>""</f>
      </c>
      <c r="Z664" s="20">
        <f>""</f>
      </c>
      <c r="AA664" s="20">
        <f>""</f>
      </c>
      <c r="AB664" s="20">
        <f>""</f>
      </c>
    </row>
    <row r="665" s="127">
      <c r="A665" s="14" t="n">
        <v>665</v>
      </c>
      <c r="B665" s="211">
        <f>IFERROR(IF([2]对账明细接口!$B$665=0,"",[2]对账明细接口!$B$665),"")</f>
      </c>
      <c r="C665" s="16">
        <f>IFERROR(IF([2]对账明细接口!$C$665=0,"",[2]对账明细接口!$C$665),"")</f>
      </c>
      <c r="D665" s="16">
        <f>IFERROR(IF([2]对账明细接口!$D$665=0,"",[2]对账明细接口!$D$665),"")</f>
      </c>
      <c r="E665" s="16">
        <f>IFERROR(IF([2]对账明细接口!$E$665=0,"",[2]对账明细接口!$E$665),"")</f>
      </c>
      <c r="F665" s="16">
        <f>IFERROR(IF([2]对账明细接口!$F$665=0,"",[2]对账明细接口!$F$665),"")</f>
      </c>
      <c r="G665" s="16">
        <f>IFERROR(IF([2]对账明细接口!$G$665=0,"",[2]对账明细接口!$G$665),"")</f>
      </c>
      <c r="H665" s="176">
        <f>IFERROR(IF([2]对账明细接口!$H$665=0,"",[2]对账明细接口!$H$665),"")</f>
      </c>
      <c r="I665" s="16">
        <f>IFERROR(IF([2]对账明细接口!$I$665=0,"",[2]对账明细接口!$I$665),"")</f>
      </c>
      <c r="J665" s="177">
        <f>IFERROR(IF([2]对账明细接口!$J$665=0,"",[2]对账明细接口!$J$665),"")</f>
      </c>
      <c r="K665" s="177">
        <f>IFERROR(IF([2]对账明细接口!$K$665=0,"",[2]对账明细接口!$K$665),"")</f>
      </c>
      <c r="L665" s="16">
        <f>IFERROR(IF([2]对账明细接口!$L$665=0,"",[2]对账明细接口!$L$665),"")</f>
      </c>
      <c r="M665" s="16">
        <f>IFERROR(IF([2]对账明细接口!$M$665=0,"",[2]对账明细接口!$M$665),"")</f>
      </c>
      <c r="N665" s="19">
        <f>IF($C665="",0,1)</f>
        <v>0</v>
      </c>
      <c r="O665" s="19">
        <f>N(O664)+$N665</f>
        <v>272</v>
      </c>
      <c r="S665" s="20">
        <f>IFERROR(IF([2]对账明细接口!$N665=0,"",[2]对账明细接口!$N665),"")</f>
      </c>
      <c r="T665" s="212">
        <f>IFERROR(IF([2]对账明细接口!$O665=0,"",[2]对账明细接口!$O665),"")</f>
      </c>
      <c r="U665" s="212">
        <f>IFERROR(IF([2]对账明细接口!$P665=0,"",[2]对账明细接口!$P665),"")</f>
      </c>
      <c r="V665" s="212">
        <f>IFERROR(IF([2]对账明细接口!$Q665=0,"",[2]对账明细接口!$Q665),"")</f>
      </c>
      <c r="W665" s="20">
        <f>IFERROR(IF([2]对账明细接口!$R665=0,"",[2]对账明细接口!$R665),"")</f>
      </c>
      <c r="X665" s="20">
        <f>IFERROR(IF([2]对账明细接口!$S665=0,"",[2]对账明细接口!$S665),"")</f>
      </c>
      <c r="Y665" s="20">
        <f>""</f>
      </c>
      <c r="Z665" s="20">
        <f>""</f>
      </c>
      <c r="AA665" s="20">
        <f>""</f>
      </c>
      <c r="AB665" s="20">
        <f>""</f>
      </c>
    </row>
    <row r="666" s="127">
      <c r="A666" s="14" t="n">
        <v>666</v>
      </c>
      <c r="B666" s="211">
        <f>IFERROR(IF([2]对账明细接口!$B$666=0,"",[2]对账明细接口!$B$666),"")</f>
      </c>
      <c r="C666" s="16">
        <f>IFERROR(IF([2]对账明细接口!$C$666=0,"",[2]对账明细接口!$C$666),"")</f>
      </c>
      <c r="D666" s="16">
        <f>IFERROR(IF([2]对账明细接口!$D$666=0,"",[2]对账明细接口!$D$666),"")</f>
      </c>
      <c r="E666" s="16">
        <f>IFERROR(IF([2]对账明细接口!$E$666=0,"",[2]对账明细接口!$E$666),"")</f>
      </c>
      <c r="F666" s="16">
        <f>IFERROR(IF([2]对账明细接口!$F$666=0,"",[2]对账明细接口!$F$666),"")</f>
      </c>
      <c r="G666" s="16">
        <f>IFERROR(IF([2]对账明细接口!$G$666=0,"",[2]对账明细接口!$G$666),"")</f>
      </c>
      <c r="H666" s="176">
        <f>IFERROR(IF([2]对账明细接口!$H$666=0,"",[2]对账明细接口!$H$666),"")</f>
      </c>
      <c r="I666" s="16">
        <f>IFERROR(IF([2]对账明细接口!$I$666=0,"",[2]对账明细接口!$I$666),"")</f>
      </c>
      <c r="J666" s="177">
        <f>IFERROR(IF([2]对账明细接口!$J$666=0,"",[2]对账明细接口!$J$666),"")</f>
      </c>
      <c r="K666" s="177">
        <f>IFERROR(IF([2]对账明细接口!$K$666=0,"",[2]对账明细接口!$K$666),"")</f>
      </c>
      <c r="L666" s="16">
        <f>IFERROR(IF([2]对账明细接口!$L$666=0,"",[2]对账明细接口!$L$666),"")</f>
      </c>
      <c r="M666" s="16">
        <f>IFERROR(IF([2]对账明细接口!$M$666=0,"",[2]对账明细接口!$M$666),"")</f>
      </c>
      <c r="N666" s="19">
        <f>IF($C666="",0,1)</f>
        <v>0</v>
      </c>
      <c r="O666" s="19">
        <f>N(O665)+$N666</f>
        <v>272</v>
      </c>
      <c r="S666" s="20">
        <f>IFERROR(IF([2]对账明细接口!$N666=0,"",[2]对账明细接口!$N666),"")</f>
      </c>
      <c r="T666" s="212">
        <f>IFERROR(IF([2]对账明细接口!$O666=0,"",[2]对账明细接口!$O666),"")</f>
      </c>
      <c r="U666" s="212">
        <f>IFERROR(IF([2]对账明细接口!$P666=0,"",[2]对账明细接口!$P666),"")</f>
      </c>
      <c r="V666" s="212">
        <f>IFERROR(IF([2]对账明细接口!$Q666=0,"",[2]对账明细接口!$Q666),"")</f>
      </c>
      <c r="W666" s="20">
        <f>IFERROR(IF([2]对账明细接口!$R666=0,"",[2]对账明细接口!$R666),"")</f>
      </c>
      <c r="X666" s="20">
        <f>IFERROR(IF([2]对账明细接口!$S666=0,"",[2]对账明细接口!$S666),"")</f>
      </c>
      <c r="Y666" s="20">
        <f>""</f>
      </c>
      <c r="Z666" s="20">
        <f>""</f>
      </c>
      <c r="AA666" s="20">
        <f>""</f>
      </c>
      <c r="AB666" s="20">
        <f>""</f>
      </c>
    </row>
    <row r="667" s="127">
      <c r="A667" s="14" t="n">
        <v>667</v>
      </c>
      <c r="B667" s="211">
        <f>IFERROR(IF([2]对账明细接口!$B$667=0,"",[2]对账明细接口!$B$667),"")</f>
      </c>
      <c r="C667" s="16">
        <f>IFERROR(IF([2]对账明细接口!$C$667=0,"",[2]对账明细接口!$C$667),"")</f>
      </c>
      <c r="D667" s="16">
        <f>IFERROR(IF([2]对账明细接口!$D$667=0,"",[2]对账明细接口!$D$667),"")</f>
      </c>
      <c r="E667" s="16">
        <f>IFERROR(IF([2]对账明细接口!$E$667=0,"",[2]对账明细接口!$E$667),"")</f>
      </c>
      <c r="F667" s="16">
        <f>IFERROR(IF([2]对账明细接口!$F$667=0,"",[2]对账明细接口!$F$667),"")</f>
      </c>
      <c r="G667" s="16">
        <f>IFERROR(IF([2]对账明细接口!$G$667=0,"",[2]对账明细接口!$G$667),"")</f>
      </c>
      <c r="H667" s="176">
        <f>IFERROR(IF([2]对账明细接口!$H$667=0,"",[2]对账明细接口!$H$667),"")</f>
      </c>
      <c r="I667" s="16">
        <f>IFERROR(IF([2]对账明细接口!$I$667=0,"",[2]对账明细接口!$I$667),"")</f>
      </c>
      <c r="J667" s="177">
        <f>IFERROR(IF([2]对账明细接口!$J$667=0,"",[2]对账明细接口!$J$667),"")</f>
      </c>
      <c r="K667" s="177">
        <f>IFERROR(IF([2]对账明细接口!$K$667=0,"",[2]对账明细接口!$K$667),"")</f>
      </c>
      <c r="L667" s="16">
        <f>IFERROR(IF([2]对账明细接口!$L$667=0,"",[2]对账明细接口!$L$667),"")</f>
      </c>
      <c r="M667" s="16">
        <f>IFERROR(IF([2]对账明细接口!$M$667=0,"",[2]对账明细接口!$M$667),"")</f>
      </c>
      <c r="N667" s="19">
        <f>IF($C667="",0,1)</f>
        <v>0</v>
      </c>
      <c r="O667" s="19">
        <f>N(O666)+$N667</f>
        <v>272</v>
      </c>
      <c r="S667" s="20">
        <f>IFERROR(IF([2]对账明细接口!$N667=0,"",[2]对账明细接口!$N667),"")</f>
      </c>
      <c r="T667" s="212">
        <f>IFERROR(IF([2]对账明细接口!$O667=0,"",[2]对账明细接口!$O667),"")</f>
      </c>
      <c r="U667" s="212">
        <f>IFERROR(IF([2]对账明细接口!$P667=0,"",[2]对账明细接口!$P667),"")</f>
      </c>
      <c r="V667" s="212">
        <f>IFERROR(IF([2]对账明细接口!$Q667=0,"",[2]对账明细接口!$Q667),"")</f>
      </c>
      <c r="W667" s="20">
        <f>IFERROR(IF([2]对账明细接口!$R667=0,"",[2]对账明细接口!$R667),"")</f>
      </c>
      <c r="X667" s="20">
        <f>IFERROR(IF([2]对账明细接口!$S667=0,"",[2]对账明细接口!$S667),"")</f>
      </c>
      <c r="Y667" s="20">
        <f>""</f>
      </c>
      <c r="Z667" s="20">
        <f>""</f>
      </c>
      <c r="AA667" s="20">
        <f>""</f>
      </c>
      <c r="AB667" s="20">
        <f>""</f>
      </c>
    </row>
    <row r="668" s="127">
      <c r="A668" s="14" t="n">
        <v>668</v>
      </c>
      <c r="B668" s="211">
        <f>IFERROR(IF([2]对账明细接口!$B$668=0,"",[2]对账明细接口!$B$668),"")</f>
      </c>
      <c r="C668" s="16">
        <f>IFERROR(IF([2]对账明细接口!$C$668=0,"",[2]对账明细接口!$C$668),"")</f>
      </c>
      <c r="D668" s="16">
        <f>IFERROR(IF([2]对账明细接口!$D$668=0,"",[2]对账明细接口!$D$668),"")</f>
      </c>
      <c r="E668" s="16">
        <f>IFERROR(IF([2]对账明细接口!$E$668=0,"",[2]对账明细接口!$E$668),"")</f>
      </c>
      <c r="F668" s="16">
        <f>IFERROR(IF([2]对账明细接口!$F$668=0,"",[2]对账明细接口!$F$668),"")</f>
      </c>
      <c r="G668" s="16">
        <f>IFERROR(IF([2]对账明细接口!$G$668=0,"",[2]对账明细接口!$G$668),"")</f>
      </c>
      <c r="H668" s="176">
        <f>IFERROR(IF([2]对账明细接口!$H$668=0,"",[2]对账明细接口!$H$668),"")</f>
      </c>
      <c r="I668" s="16">
        <f>IFERROR(IF([2]对账明细接口!$I$668=0,"",[2]对账明细接口!$I$668),"")</f>
      </c>
      <c r="J668" s="177">
        <f>IFERROR(IF([2]对账明细接口!$J$668=0,"",[2]对账明细接口!$J$668),"")</f>
      </c>
      <c r="K668" s="177">
        <f>IFERROR(IF([2]对账明细接口!$K$668=0,"",[2]对账明细接口!$K$668),"")</f>
      </c>
      <c r="L668" s="16">
        <f>IFERROR(IF([2]对账明细接口!$L$668=0,"",[2]对账明细接口!$L$668),"")</f>
      </c>
      <c r="M668" s="16">
        <f>IFERROR(IF([2]对账明细接口!$M$668=0,"",[2]对账明细接口!$M$668),"")</f>
      </c>
      <c r="N668" s="19">
        <f>IF($C668="",0,1)</f>
        <v>0</v>
      </c>
      <c r="O668" s="19">
        <f>N(O667)+$N668</f>
        <v>272</v>
      </c>
      <c r="S668" s="20">
        <f>IFERROR(IF([2]对账明细接口!$N668=0,"",[2]对账明细接口!$N668),"")</f>
      </c>
      <c r="T668" s="212">
        <f>IFERROR(IF([2]对账明细接口!$O668=0,"",[2]对账明细接口!$O668),"")</f>
      </c>
      <c r="U668" s="212">
        <f>IFERROR(IF([2]对账明细接口!$P668=0,"",[2]对账明细接口!$P668),"")</f>
      </c>
      <c r="V668" s="212">
        <f>IFERROR(IF([2]对账明细接口!$Q668=0,"",[2]对账明细接口!$Q668),"")</f>
      </c>
      <c r="W668" s="20">
        <f>IFERROR(IF([2]对账明细接口!$R668=0,"",[2]对账明细接口!$R668),"")</f>
      </c>
      <c r="X668" s="20">
        <f>IFERROR(IF([2]对账明细接口!$S668=0,"",[2]对账明细接口!$S668),"")</f>
      </c>
      <c r="Y668" s="20">
        <f>""</f>
      </c>
      <c r="Z668" s="20">
        <f>""</f>
      </c>
      <c r="AA668" s="20">
        <f>""</f>
      </c>
      <c r="AB668" s="20">
        <f>""</f>
      </c>
    </row>
    <row r="669" s="127">
      <c r="A669" s="14" t="n">
        <v>669</v>
      </c>
      <c r="B669" s="211">
        <f>IFERROR(IF([2]对账明细接口!$B$669=0,"",[2]对账明细接口!$B$669),"")</f>
      </c>
      <c r="C669" s="16">
        <f>IFERROR(IF([2]对账明细接口!$C$669=0,"",[2]对账明细接口!$C$669),"")</f>
      </c>
      <c r="D669" s="16">
        <f>IFERROR(IF([2]对账明细接口!$D$669=0,"",[2]对账明细接口!$D$669),"")</f>
      </c>
      <c r="E669" s="16">
        <f>IFERROR(IF([2]对账明细接口!$E$669=0,"",[2]对账明细接口!$E$669),"")</f>
      </c>
      <c r="F669" s="16">
        <f>IFERROR(IF([2]对账明细接口!$F$669=0,"",[2]对账明细接口!$F$669),"")</f>
      </c>
      <c r="G669" s="16">
        <f>IFERROR(IF([2]对账明细接口!$G$669=0,"",[2]对账明细接口!$G$669),"")</f>
      </c>
      <c r="H669" s="176">
        <f>IFERROR(IF([2]对账明细接口!$H$669=0,"",[2]对账明细接口!$H$669),"")</f>
      </c>
      <c r="I669" s="16">
        <f>IFERROR(IF([2]对账明细接口!$I$669=0,"",[2]对账明细接口!$I$669),"")</f>
      </c>
      <c r="J669" s="177">
        <f>IFERROR(IF([2]对账明细接口!$J$669=0,"",[2]对账明细接口!$J$669),"")</f>
      </c>
      <c r="K669" s="177">
        <f>IFERROR(IF([2]对账明细接口!$K$669=0,"",[2]对账明细接口!$K$669),"")</f>
      </c>
      <c r="L669" s="16">
        <f>IFERROR(IF([2]对账明细接口!$L$669=0,"",[2]对账明细接口!$L$669),"")</f>
      </c>
      <c r="M669" s="16">
        <f>IFERROR(IF([2]对账明细接口!$M$669=0,"",[2]对账明细接口!$M$669),"")</f>
      </c>
      <c r="N669" s="19">
        <f>IF($C669="",0,1)</f>
        <v>0</v>
      </c>
      <c r="O669" s="19">
        <f>N(O668)+$N669</f>
        <v>272</v>
      </c>
      <c r="S669" s="20">
        <f>IFERROR(IF([2]对账明细接口!$N669=0,"",[2]对账明细接口!$N669),"")</f>
      </c>
      <c r="T669" s="212">
        <f>IFERROR(IF([2]对账明细接口!$O669=0,"",[2]对账明细接口!$O669),"")</f>
      </c>
      <c r="U669" s="212">
        <f>IFERROR(IF([2]对账明细接口!$P669=0,"",[2]对账明细接口!$P669),"")</f>
      </c>
      <c r="V669" s="212">
        <f>IFERROR(IF([2]对账明细接口!$Q669=0,"",[2]对账明细接口!$Q669),"")</f>
      </c>
      <c r="W669" s="20">
        <f>IFERROR(IF([2]对账明细接口!$R669=0,"",[2]对账明细接口!$R669),"")</f>
      </c>
      <c r="X669" s="20">
        <f>IFERROR(IF([2]对账明细接口!$S669=0,"",[2]对账明细接口!$S669),"")</f>
      </c>
      <c r="Y669" s="20">
        <f>""</f>
      </c>
      <c r="Z669" s="20">
        <f>""</f>
      </c>
      <c r="AA669" s="20">
        <f>""</f>
      </c>
      <c r="AB669" s="20">
        <f>""</f>
      </c>
    </row>
    <row r="670" s="127">
      <c r="A670" s="14" t="n">
        <v>670</v>
      </c>
      <c r="B670" s="211">
        <f>IFERROR(IF([2]对账明细接口!$B$670=0,"",[2]对账明细接口!$B$670),"")</f>
      </c>
      <c r="C670" s="16">
        <f>IFERROR(IF([2]对账明细接口!$C$670=0,"",[2]对账明细接口!$C$670),"")</f>
      </c>
      <c r="D670" s="16">
        <f>IFERROR(IF([2]对账明细接口!$D$670=0,"",[2]对账明细接口!$D$670),"")</f>
      </c>
      <c r="E670" s="16">
        <f>IFERROR(IF([2]对账明细接口!$E$670=0,"",[2]对账明细接口!$E$670),"")</f>
      </c>
      <c r="F670" s="16">
        <f>IFERROR(IF([2]对账明细接口!$F$670=0,"",[2]对账明细接口!$F$670),"")</f>
      </c>
      <c r="G670" s="16">
        <f>IFERROR(IF([2]对账明细接口!$G$670=0,"",[2]对账明细接口!$G$670),"")</f>
      </c>
      <c r="H670" s="176">
        <f>IFERROR(IF([2]对账明细接口!$H$670=0,"",[2]对账明细接口!$H$670),"")</f>
      </c>
      <c r="I670" s="16">
        <f>IFERROR(IF([2]对账明细接口!$I$670=0,"",[2]对账明细接口!$I$670),"")</f>
      </c>
      <c r="J670" s="177">
        <f>IFERROR(IF([2]对账明细接口!$J$670=0,"",[2]对账明细接口!$J$670),"")</f>
      </c>
      <c r="K670" s="177">
        <f>IFERROR(IF([2]对账明细接口!$K$670=0,"",[2]对账明细接口!$K$670),"")</f>
      </c>
      <c r="L670" s="16">
        <f>IFERROR(IF([2]对账明细接口!$L$670=0,"",[2]对账明细接口!$L$670),"")</f>
      </c>
      <c r="M670" s="16">
        <f>IFERROR(IF([2]对账明细接口!$M$670=0,"",[2]对账明细接口!$M$670),"")</f>
      </c>
      <c r="N670" s="19">
        <f>IF($C670="",0,1)</f>
        <v>0</v>
      </c>
      <c r="O670" s="19">
        <f>N(O669)+$N670</f>
        <v>272</v>
      </c>
      <c r="S670" s="20">
        <f>IFERROR(IF([2]对账明细接口!$N670=0,"",[2]对账明细接口!$N670),"")</f>
      </c>
      <c r="T670" s="212">
        <f>IFERROR(IF([2]对账明细接口!$O670=0,"",[2]对账明细接口!$O670),"")</f>
      </c>
      <c r="U670" s="212">
        <f>IFERROR(IF([2]对账明细接口!$P670=0,"",[2]对账明细接口!$P670),"")</f>
      </c>
      <c r="V670" s="212">
        <f>IFERROR(IF([2]对账明细接口!$Q670=0,"",[2]对账明细接口!$Q670),"")</f>
      </c>
      <c r="W670" s="20">
        <f>IFERROR(IF([2]对账明细接口!$R670=0,"",[2]对账明细接口!$R670),"")</f>
      </c>
      <c r="X670" s="20">
        <f>IFERROR(IF([2]对账明细接口!$S670=0,"",[2]对账明细接口!$S670),"")</f>
      </c>
      <c r="Y670" s="20">
        <f>""</f>
      </c>
      <c r="Z670" s="20">
        <f>""</f>
      </c>
      <c r="AA670" s="20">
        <f>""</f>
      </c>
      <c r="AB670" s="20">
        <f>""</f>
      </c>
    </row>
    <row r="671" s="127">
      <c r="A671" s="14" t="n">
        <v>671</v>
      </c>
      <c r="B671" s="211">
        <f>IFERROR(IF([2]对账明细接口!$B$671=0,"",[2]对账明细接口!$B$671),"")</f>
      </c>
      <c r="C671" s="16">
        <f>IFERROR(IF([2]对账明细接口!$C$671=0,"",[2]对账明细接口!$C$671),"")</f>
      </c>
      <c r="D671" s="16">
        <f>IFERROR(IF([2]对账明细接口!$D$671=0,"",[2]对账明细接口!$D$671),"")</f>
      </c>
      <c r="E671" s="16">
        <f>IFERROR(IF([2]对账明细接口!$E$671=0,"",[2]对账明细接口!$E$671),"")</f>
      </c>
      <c r="F671" s="16">
        <f>IFERROR(IF([2]对账明细接口!$F$671=0,"",[2]对账明细接口!$F$671),"")</f>
      </c>
      <c r="G671" s="16">
        <f>IFERROR(IF([2]对账明细接口!$G$671=0,"",[2]对账明细接口!$G$671),"")</f>
      </c>
      <c r="H671" s="176">
        <f>IFERROR(IF([2]对账明细接口!$H$671=0,"",[2]对账明细接口!$H$671),"")</f>
      </c>
      <c r="I671" s="16">
        <f>IFERROR(IF([2]对账明细接口!$I$671=0,"",[2]对账明细接口!$I$671),"")</f>
      </c>
      <c r="J671" s="177">
        <f>IFERROR(IF([2]对账明细接口!$J$671=0,"",[2]对账明细接口!$J$671),"")</f>
      </c>
      <c r="K671" s="177">
        <f>IFERROR(IF([2]对账明细接口!$K$671=0,"",[2]对账明细接口!$K$671),"")</f>
      </c>
      <c r="L671" s="16">
        <f>IFERROR(IF([2]对账明细接口!$L$671=0,"",[2]对账明细接口!$L$671),"")</f>
      </c>
      <c r="M671" s="16">
        <f>IFERROR(IF([2]对账明细接口!$M$671=0,"",[2]对账明细接口!$M$671),"")</f>
      </c>
      <c r="N671" s="19">
        <f>IF($C671="",0,1)</f>
        <v>0</v>
      </c>
      <c r="O671" s="19">
        <f>N(O670)+$N671</f>
        <v>272</v>
      </c>
      <c r="S671" s="20">
        <f>IFERROR(IF([2]对账明细接口!$N671=0,"",[2]对账明细接口!$N671),"")</f>
      </c>
      <c r="T671" s="212">
        <f>IFERROR(IF([2]对账明细接口!$O671=0,"",[2]对账明细接口!$O671),"")</f>
      </c>
      <c r="U671" s="212">
        <f>IFERROR(IF([2]对账明细接口!$P671=0,"",[2]对账明细接口!$P671),"")</f>
      </c>
      <c r="V671" s="212">
        <f>IFERROR(IF([2]对账明细接口!$Q671=0,"",[2]对账明细接口!$Q671),"")</f>
      </c>
      <c r="W671" s="20">
        <f>IFERROR(IF([2]对账明细接口!$R671=0,"",[2]对账明细接口!$R671),"")</f>
      </c>
      <c r="X671" s="20">
        <f>IFERROR(IF([2]对账明细接口!$S671=0,"",[2]对账明细接口!$S671),"")</f>
      </c>
      <c r="Y671" s="20">
        <f>""</f>
      </c>
      <c r="Z671" s="20">
        <f>""</f>
      </c>
      <c r="AA671" s="20">
        <f>""</f>
      </c>
      <c r="AB671" s="20">
        <f>""</f>
      </c>
    </row>
    <row r="672" s="127">
      <c r="A672" s="14" t="n">
        <v>672</v>
      </c>
      <c r="B672" s="211">
        <f>IFERROR(IF([2]对账明细接口!$B$672=0,"",[2]对账明细接口!$B$672),"")</f>
      </c>
      <c r="C672" s="16">
        <f>IFERROR(IF([2]对账明细接口!$C$672=0,"",[2]对账明细接口!$C$672),"")</f>
      </c>
      <c r="D672" s="16">
        <f>IFERROR(IF([2]对账明细接口!$D$672=0,"",[2]对账明细接口!$D$672),"")</f>
      </c>
      <c r="E672" s="16">
        <f>IFERROR(IF([2]对账明细接口!$E$672=0,"",[2]对账明细接口!$E$672),"")</f>
      </c>
      <c r="F672" s="16">
        <f>IFERROR(IF([2]对账明细接口!$F$672=0,"",[2]对账明细接口!$F$672),"")</f>
      </c>
      <c r="G672" s="16">
        <f>IFERROR(IF([2]对账明细接口!$G$672=0,"",[2]对账明细接口!$G$672),"")</f>
      </c>
      <c r="H672" s="176">
        <f>IFERROR(IF([2]对账明细接口!$H$672=0,"",[2]对账明细接口!$H$672),"")</f>
      </c>
      <c r="I672" s="16">
        <f>IFERROR(IF([2]对账明细接口!$I$672=0,"",[2]对账明细接口!$I$672),"")</f>
      </c>
      <c r="J672" s="177">
        <f>IFERROR(IF([2]对账明细接口!$J$672=0,"",[2]对账明细接口!$J$672),"")</f>
      </c>
      <c r="K672" s="177">
        <f>IFERROR(IF([2]对账明细接口!$K$672=0,"",[2]对账明细接口!$K$672),"")</f>
      </c>
      <c r="L672" s="16">
        <f>IFERROR(IF([2]对账明细接口!$L$672=0,"",[2]对账明细接口!$L$672),"")</f>
      </c>
      <c r="M672" s="16">
        <f>IFERROR(IF([2]对账明细接口!$M$672=0,"",[2]对账明细接口!$M$672),"")</f>
      </c>
      <c r="N672" s="19">
        <f>IF($C672="",0,1)</f>
        <v>0</v>
      </c>
      <c r="O672" s="19">
        <f>N(O671)+$N672</f>
        <v>272</v>
      </c>
      <c r="S672" s="20">
        <f>IFERROR(IF([2]对账明细接口!$N672=0,"",[2]对账明细接口!$N672),"")</f>
      </c>
      <c r="T672" s="212">
        <f>IFERROR(IF([2]对账明细接口!$O672=0,"",[2]对账明细接口!$O672),"")</f>
      </c>
      <c r="U672" s="212">
        <f>IFERROR(IF([2]对账明细接口!$P672=0,"",[2]对账明细接口!$P672),"")</f>
      </c>
      <c r="V672" s="212">
        <f>IFERROR(IF([2]对账明细接口!$Q672=0,"",[2]对账明细接口!$Q672),"")</f>
      </c>
      <c r="W672" s="20">
        <f>IFERROR(IF([2]对账明细接口!$R672=0,"",[2]对账明细接口!$R672),"")</f>
      </c>
      <c r="X672" s="20">
        <f>IFERROR(IF([2]对账明细接口!$S672=0,"",[2]对账明细接口!$S672),"")</f>
      </c>
      <c r="Y672" s="20">
        <f>""</f>
      </c>
      <c r="Z672" s="20">
        <f>""</f>
      </c>
      <c r="AA672" s="20">
        <f>""</f>
      </c>
      <c r="AB672" s="20">
        <f>""</f>
      </c>
    </row>
    <row r="673" s="127">
      <c r="A673" s="14" t="n">
        <v>673</v>
      </c>
      <c r="B673" s="211">
        <f>IFERROR(IF([2]对账明细接口!$B$673=0,"",[2]对账明细接口!$B$673),"")</f>
      </c>
      <c r="C673" s="16">
        <f>IFERROR(IF([2]对账明细接口!$C$673=0,"",[2]对账明细接口!$C$673),"")</f>
      </c>
      <c r="D673" s="16">
        <f>IFERROR(IF([2]对账明细接口!$D$673=0,"",[2]对账明细接口!$D$673),"")</f>
      </c>
      <c r="E673" s="16">
        <f>IFERROR(IF([2]对账明细接口!$E$673=0,"",[2]对账明细接口!$E$673),"")</f>
      </c>
      <c r="F673" s="16">
        <f>IFERROR(IF([2]对账明细接口!$F$673=0,"",[2]对账明细接口!$F$673),"")</f>
      </c>
      <c r="G673" s="16">
        <f>IFERROR(IF([2]对账明细接口!$G$673=0,"",[2]对账明细接口!$G$673),"")</f>
      </c>
      <c r="H673" s="176">
        <f>IFERROR(IF([2]对账明细接口!$H$673=0,"",[2]对账明细接口!$H$673),"")</f>
      </c>
      <c r="I673" s="16">
        <f>IFERROR(IF([2]对账明细接口!$I$673=0,"",[2]对账明细接口!$I$673),"")</f>
      </c>
      <c r="J673" s="177">
        <f>IFERROR(IF([2]对账明细接口!$J$673=0,"",[2]对账明细接口!$J$673),"")</f>
      </c>
      <c r="K673" s="177">
        <f>IFERROR(IF([2]对账明细接口!$K$673=0,"",[2]对账明细接口!$K$673),"")</f>
      </c>
      <c r="L673" s="16">
        <f>IFERROR(IF([2]对账明细接口!$L$673=0,"",[2]对账明细接口!$L$673),"")</f>
      </c>
      <c r="M673" s="16">
        <f>IFERROR(IF([2]对账明细接口!$M$673=0,"",[2]对账明细接口!$M$673),"")</f>
      </c>
      <c r="N673" s="19">
        <f>IF($C673="",0,1)</f>
        <v>0</v>
      </c>
      <c r="O673" s="19">
        <f>N(O672)+$N673</f>
        <v>272</v>
      </c>
      <c r="S673" s="20">
        <f>IFERROR(IF([2]对账明细接口!$N673=0,"",[2]对账明细接口!$N673),"")</f>
      </c>
      <c r="T673" s="212">
        <f>IFERROR(IF([2]对账明细接口!$O673=0,"",[2]对账明细接口!$O673),"")</f>
      </c>
      <c r="U673" s="212">
        <f>IFERROR(IF([2]对账明细接口!$P673=0,"",[2]对账明细接口!$P673),"")</f>
      </c>
      <c r="V673" s="212">
        <f>IFERROR(IF([2]对账明细接口!$Q673=0,"",[2]对账明细接口!$Q673),"")</f>
      </c>
      <c r="W673" s="20">
        <f>IFERROR(IF([2]对账明细接口!$R673=0,"",[2]对账明细接口!$R673),"")</f>
      </c>
      <c r="X673" s="20">
        <f>IFERROR(IF([2]对账明细接口!$S673=0,"",[2]对账明细接口!$S673),"")</f>
      </c>
      <c r="Y673" s="20">
        <f>""</f>
      </c>
      <c r="Z673" s="20">
        <f>""</f>
      </c>
      <c r="AA673" s="20">
        <f>""</f>
      </c>
      <c r="AB673" s="20">
        <f>""</f>
      </c>
    </row>
    <row r="674" s="127">
      <c r="A674" s="14" t="n">
        <v>674</v>
      </c>
      <c r="B674" s="211">
        <f>IFERROR(IF([2]对账明细接口!$B$674=0,"",[2]对账明细接口!$B$674),"")</f>
      </c>
      <c r="C674" s="16">
        <f>IFERROR(IF([2]对账明细接口!$C$674=0,"",[2]对账明细接口!$C$674),"")</f>
      </c>
      <c r="D674" s="16">
        <f>IFERROR(IF([2]对账明细接口!$D$674=0,"",[2]对账明细接口!$D$674),"")</f>
      </c>
      <c r="E674" s="16">
        <f>IFERROR(IF([2]对账明细接口!$E$674=0,"",[2]对账明细接口!$E$674),"")</f>
      </c>
      <c r="F674" s="16">
        <f>IFERROR(IF([2]对账明细接口!$F$674=0,"",[2]对账明细接口!$F$674),"")</f>
      </c>
      <c r="G674" s="16">
        <f>IFERROR(IF([2]对账明细接口!$G$674=0,"",[2]对账明细接口!$G$674),"")</f>
      </c>
      <c r="H674" s="176">
        <f>IFERROR(IF([2]对账明细接口!$H$674=0,"",[2]对账明细接口!$H$674),"")</f>
      </c>
      <c r="I674" s="16">
        <f>IFERROR(IF([2]对账明细接口!$I$674=0,"",[2]对账明细接口!$I$674),"")</f>
      </c>
      <c r="J674" s="177">
        <f>IFERROR(IF([2]对账明细接口!$J$674=0,"",[2]对账明细接口!$J$674),"")</f>
      </c>
      <c r="K674" s="177">
        <f>IFERROR(IF([2]对账明细接口!$K$674=0,"",[2]对账明细接口!$K$674),"")</f>
      </c>
      <c r="L674" s="16">
        <f>IFERROR(IF([2]对账明细接口!$L$674=0,"",[2]对账明细接口!$L$674),"")</f>
      </c>
      <c r="M674" s="16">
        <f>IFERROR(IF([2]对账明细接口!$M$674=0,"",[2]对账明细接口!$M$674),"")</f>
      </c>
      <c r="N674" s="19">
        <f>IF($C674="",0,1)</f>
        <v>0</v>
      </c>
      <c r="O674" s="19">
        <f>N(O673)+$N674</f>
        <v>272</v>
      </c>
      <c r="S674" s="20">
        <f>IFERROR(IF([2]对账明细接口!$N674=0,"",[2]对账明细接口!$N674),"")</f>
      </c>
      <c r="T674" s="212">
        <f>IFERROR(IF([2]对账明细接口!$O674=0,"",[2]对账明细接口!$O674),"")</f>
      </c>
      <c r="U674" s="212">
        <f>IFERROR(IF([2]对账明细接口!$P674=0,"",[2]对账明细接口!$P674),"")</f>
      </c>
      <c r="V674" s="212">
        <f>IFERROR(IF([2]对账明细接口!$Q674=0,"",[2]对账明细接口!$Q674),"")</f>
      </c>
      <c r="W674" s="20">
        <f>IFERROR(IF([2]对账明细接口!$R674=0,"",[2]对账明细接口!$R674),"")</f>
      </c>
      <c r="X674" s="20">
        <f>IFERROR(IF([2]对账明细接口!$S674=0,"",[2]对账明细接口!$S674),"")</f>
      </c>
      <c r="Y674" s="20">
        <f>""</f>
      </c>
      <c r="Z674" s="20">
        <f>""</f>
      </c>
      <c r="AA674" s="20">
        <f>""</f>
      </c>
      <c r="AB674" s="20">
        <f>""</f>
      </c>
    </row>
    <row r="675" s="127">
      <c r="A675" s="14" t="n">
        <v>675</v>
      </c>
      <c r="B675" s="211">
        <f>IFERROR(IF([2]对账明细接口!$B$675=0,"",[2]对账明细接口!$B$675),"")</f>
      </c>
      <c r="C675" s="16">
        <f>IFERROR(IF([2]对账明细接口!$C$675=0,"",[2]对账明细接口!$C$675),"")</f>
      </c>
      <c r="D675" s="16">
        <f>IFERROR(IF([2]对账明细接口!$D$675=0,"",[2]对账明细接口!$D$675),"")</f>
      </c>
      <c r="E675" s="16">
        <f>IFERROR(IF([2]对账明细接口!$E$675=0,"",[2]对账明细接口!$E$675),"")</f>
      </c>
      <c r="F675" s="16">
        <f>IFERROR(IF([2]对账明细接口!$F$675=0,"",[2]对账明细接口!$F$675),"")</f>
      </c>
      <c r="G675" s="16">
        <f>IFERROR(IF([2]对账明细接口!$G$675=0,"",[2]对账明细接口!$G$675),"")</f>
      </c>
      <c r="H675" s="176">
        <f>IFERROR(IF([2]对账明细接口!$H$675=0,"",[2]对账明细接口!$H$675),"")</f>
      </c>
      <c r="I675" s="16">
        <f>IFERROR(IF([2]对账明细接口!$I$675=0,"",[2]对账明细接口!$I$675),"")</f>
      </c>
      <c r="J675" s="177">
        <f>IFERROR(IF([2]对账明细接口!$J$675=0,"",[2]对账明细接口!$J$675),"")</f>
      </c>
      <c r="K675" s="177">
        <f>IFERROR(IF([2]对账明细接口!$K$675=0,"",[2]对账明细接口!$K$675),"")</f>
      </c>
      <c r="L675" s="16">
        <f>IFERROR(IF([2]对账明细接口!$L$675=0,"",[2]对账明细接口!$L$675),"")</f>
      </c>
      <c r="M675" s="16">
        <f>IFERROR(IF([2]对账明细接口!$M$675=0,"",[2]对账明细接口!$M$675),"")</f>
      </c>
      <c r="N675" s="19">
        <f>IF($C675="",0,1)</f>
        <v>0</v>
      </c>
      <c r="O675" s="19">
        <f>N(O674)+$N675</f>
        <v>272</v>
      </c>
      <c r="S675" s="20">
        <f>IFERROR(IF([2]对账明细接口!$N675=0,"",[2]对账明细接口!$N675),"")</f>
      </c>
      <c r="T675" s="212">
        <f>IFERROR(IF([2]对账明细接口!$O675=0,"",[2]对账明细接口!$O675),"")</f>
      </c>
      <c r="U675" s="212">
        <f>IFERROR(IF([2]对账明细接口!$P675=0,"",[2]对账明细接口!$P675),"")</f>
      </c>
      <c r="V675" s="212">
        <f>IFERROR(IF([2]对账明细接口!$Q675=0,"",[2]对账明细接口!$Q675),"")</f>
      </c>
      <c r="W675" s="20">
        <f>IFERROR(IF([2]对账明细接口!$R675=0,"",[2]对账明细接口!$R675),"")</f>
      </c>
      <c r="X675" s="20">
        <f>IFERROR(IF([2]对账明细接口!$S675=0,"",[2]对账明细接口!$S675),"")</f>
      </c>
      <c r="Y675" s="20">
        <f>""</f>
      </c>
      <c r="Z675" s="20">
        <f>""</f>
      </c>
      <c r="AA675" s="20">
        <f>""</f>
      </c>
      <c r="AB675" s="20">
        <f>""</f>
      </c>
    </row>
    <row r="676" s="127">
      <c r="A676" s="14" t="n">
        <v>676</v>
      </c>
      <c r="B676" s="211">
        <f>IFERROR(IF([2]对账明细接口!$B$676=0,"",[2]对账明细接口!$B$676),"")</f>
      </c>
      <c r="C676" s="16">
        <f>IFERROR(IF([2]对账明细接口!$C$676=0,"",[2]对账明细接口!$C$676),"")</f>
      </c>
      <c r="D676" s="16">
        <f>IFERROR(IF([2]对账明细接口!$D$676=0,"",[2]对账明细接口!$D$676),"")</f>
      </c>
      <c r="E676" s="16">
        <f>IFERROR(IF([2]对账明细接口!$E$676=0,"",[2]对账明细接口!$E$676),"")</f>
      </c>
      <c r="F676" s="16">
        <f>IFERROR(IF([2]对账明细接口!$F$676=0,"",[2]对账明细接口!$F$676),"")</f>
      </c>
      <c r="G676" s="16">
        <f>IFERROR(IF([2]对账明细接口!$G$676=0,"",[2]对账明细接口!$G$676),"")</f>
      </c>
      <c r="H676" s="176">
        <f>IFERROR(IF([2]对账明细接口!$H$676=0,"",[2]对账明细接口!$H$676),"")</f>
      </c>
      <c r="I676" s="16">
        <f>IFERROR(IF([2]对账明细接口!$I$676=0,"",[2]对账明细接口!$I$676),"")</f>
      </c>
      <c r="J676" s="177">
        <f>IFERROR(IF([2]对账明细接口!$J$676=0,"",[2]对账明细接口!$J$676),"")</f>
      </c>
      <c r="K676" s="177">
        <f>IFERROR(IF([2]对账明细接口!$K$676=0,"",[2]对账明细接口!$K$676),"")</f>
      </c>
      <c r="L676" s="16">
        <f>IFERROR(IF([2]对账明细接口!$L$676=0,"",[2]对账明细接口!$L$676),"")</f>
      </c>
      <c r="M676" s="16">
        <f>IFERROR(IF([2]对账明细接口!$M$676=0,"",[2]对账明细接口!$M$676),"")</f>
      </c>
      <c r="N676" s="19">
        <f>IF($C676="",0,1)</f>
        <v>0</v>
      </c>
      <c r="O676" s="19">
        <f>N(O675)+$N676</f>
        <v>272</v>
      </c>
      <c r="S676" s="20">
        <f>IFERROR(IF([2]对账明细接口!$N676=0,"",[2]对账明细接口!$N676),"")</f>
      </c>
      <c r="T676" s="212">
        <f>IFERROR(IF([2]对账明细接口!$O676=0,"",[2]对账明细接口!$O676),"")</f>
      </c>
      <c r="U676" s="212">
        <f>IFERROR(IF([2]对账明细接口!$P676=0,"",[2]对账明细接口!$P676),"")</f>
      </c>
      <c r="V676" s="212">
        <f>IFERROR(IF([2]对账明细接口!$Q676=0,"",[2]对账明细接口!$Q676),"")</f>
      </c>
      <c r="W676" s="20">
        <f>IFERROR(IF([2]对账明细接口!$R676=0,"",[2]对账明细接口!$R676),"")</f>
      </c>
      <c r="X676" s="20">
        <f>IFERROR(IF([2]对账明细接口!$S676=0,"",[2]对账明细接口!$S676),"")</f>
      </c>
      <c r="Y676" s="20">
        <f>""</f>
      </c>
      <c r="Z676" s="20">
        <f>""</f>
      </c>
      <c r="AA676" s="20">
        <f>""</f>
      </c>
      <c r="AB676" s="20">
        <f>""</f>
      </c>
    </row>
    <row r="677" s="127">
      <c r="A677" s="14" t="n">
        <v>677</v>
      </c>
      <c r="B677" s="211">
        <f>IFERROR(IF([2]对账明细接口!$B$677=0,"",[2]对账明细接口!$B$677),"")</f>
      </c>
      <c r="C677" s="16">
        <f>IFERROR(IF([2]对账明细接口!$C$677=0,"",[2]对账明细接口!$C$677),"")</f>
      </c>
      <c r="D677" s="16">
        <f>IFERROR(IF([2]对账明细接口!$D$677=0,"",[2]对账明细接口!$D$677),"")</f>
      </c>
      <c r="E677" s="16">
        <f>IFERROR(IF([2]对账明细接口!$E$677=0,"",[2]对账明细接口!$E$677),"")</f>
      </c>
      <c r="F677" s="16">
        <f>IFERROR(IF([2]对账明细接口!$F$677=0,"",[2]对账明细接口!$F$677),"")</f>
      </c>
      <c r="G677" s="16">
        <f>IFERROR(IF([2]对账明细接口!$G$677=0,"",[2]对账明细接口!$G$677),"")</f>
      </c>
      <c r="H677" s="176">
        <f>IFERROR(IF([2]对账明细接口!$H$677=0,"",[2]对账明细接口!$H$677),"")</f>
      </c>
      <c r="I677" s="16">
        <f>IFERROR(IF([2]对账明细接口!$I$677=0,"",[2]对账明细接口!$I$677),"")</f>
      </c>
      <c r="J677" s="177">
        <f>IFERROR(IF([2]对账明细接口!$J$677=0,"",[2]对账明细接口!$J$677),"")</f>
      </c>
      <c r="K677" s="177">
        <f>IFERROR(IF([2]对账明细接口!$K$677=0,"",[2]对账明细接口!$K$677),"")</f>
      </c>
      <c r="L677" s="16">
        <f>IFERROR(IF([2]对账明细接口!$L$677=0,"",[2]对账明细接口!$L$677),"")</f>
      </c>
      <c r="M677" s="16">
        <f>IFERROR(IF([2]对账明细接口!$M$677=0,"",[2]对账明细接口!$M$677),"")</f>
      </c>
      <c r="N677" s="19">
        <f>IF($C677="",0,1)</f>
        <v>0</v>
      </c>
      <c r="O677" s="19">
        <f>N(O676)+$N677</f>
        <v>272</v>
      </c>
      <c r="S677" s="20">
        <f>IFERROR(IF([2]对账明细接口!$N677=0,"",[2]对账明细接口!$N677),"")</f>
      </c>
      <c r="T677" s="212">
        <f>IFERROR(IF([2]对账明细接口!$O677=0,"",[2]对账明细接口!$O677),"")</f>
      </c>
      <c r="U677" s="212">
        <f>IFERROR(IF([2]对账明细接口!$P677=0,"",[2]对账明细接口!$P677),"")</f>
      </c>
      <c r="V677" s="212">
        <f>IFERROR(IF([2]对账明细接口!$Q677=0,"",[2]对账明细接口!$Q677),"")</f>
      </c>
      <c r="W677" s="20">
        <f>IFERROR(IF([2]对账明细接口!$R677=0,"",[2]对账明细接口!$R677),"")</f>
      </c>
      <c r="X677" s="20">
        <f>IFERROR(IF([2]对账明细接口!$S677=0,"",[2]对账明细接口!$S677),"")</f>
      </c>
      <c r="Y677" s="20">
        <f>""</f>
      </c>
      <c r="Z677" s="20">
        <f>""</f>
      </c>
      <c r="AA677" s="20">
        <f>""</f>
      </c>
      <c r="AB677" s="20">
        <f>""</f>
      </c>
    </row>
    <row r="678" s="127">
      <c r="A678" s="14" t="n">
        <v>678</v>
      </c>
      <c r="B678" s="211">
        <f>IFERROR(IF([2]对账明细接口!$B$678=0,"",[2]对账明细接口!$B$678),"")</f>
      </c>
      <c r="C678" s="16">
        <f>IFERROR(IF([2]对账明细接口!$C$678=0,"",[2]对账明细接口!$C$678),"")</f>
      </c>
      <c r="D678" s="16">
        <f>IFERROR(IF([2]对账明细接口!$D$678=0,"",[2]对账明细接口!$D$678),"")</f>
      </c>
      <c r="E678" s="16">
        <f>IFERROR(IF([2]对账明细接口!$E$678=0,"",[2]对账明细接口!$E$678),"")</f>
      </c>
      <c r="F678" s="16">
        <f>IFERROR(IF([2]对账明细接口!$F$678=0,"",[2]对账明细接口!$F$678),"")</f>
      </c>
      <c r="G678" s="16">
        <f>IFERROR(IF([2]对账明细接口!$G$678=0,"",[2]对账明细接口!$G$678),"")</f>
      </c>
      <c r="H678" s="176">
        <f>IFERROR(IF([2]对账明细接口!$H$678=0,"",[2]对账明细接口!$H$678),"")</f>
      </c>
      <c r="I678" s="16">
        <f>IFERROR(IF([2]对账明细接口!$I$678=0,"",[2]对账明细接口!$I$678),"")</f>
      </c>
      <c r="J678" s="177">
        <f>IFERROR(IF([2]对账明细接口!$J$678=0,"",[2]对账明细接口!$J$678),"")</f>
      </c>
      <c r="K678" s="177">
        <f>IFERROR(IF([2]对账明细接口!$K$678=0,"",[2]对账明细接口!$K$678),"")</f>
      </c>
      <c r="L678" s="16">
        <f>IFERROR(IF([2]对账明细接口!$L$678=0,"",[2]对账明细接口!$L$678),"")</f>
      </c>
      <c r="M678" s="16">
        <f>IFERROR(IF([2]对账明细接口!$M$678=0,"",[2]对账明细接口!$M$678),"")</f>
      </c>
      <c r="N678" s="19">
        <f>IF($C678="",0,1)</f>
        <v>0</v>
      </c>
      <c r="O678" s="19">
        <f>N(O677)+$N678</f>
        <v>272</v>
      </c>
      <c r="S678" s="20">
        <f>IFERROR(IF([2]对账明细接口!$N678=0,"",[2]对账明细接口!$N678),"")</f>
      </c>
      <c r="T678" s="212">
        <f>IFERROR(IF([2]对账明细接口!$O678=0,"",[2]对账明细接口!$O678),"")</f>
      </c>
      <c r="U678" s="212">
        <f>IFERROR(IF([2]对账明细接口!$P678=0,"",[2]对账明细接口!$P678),"")</f>
      </c>
      <c r="V678" s="212">
        <f>IFERROR(IF([2]对账明细接口!$Q678=0,"",[2]对账明细接口!$Q678),"")</f>
      </c>
      <c r="W678" s="20">
        <f>IFERROR(IF([2]对账明细接口!$R678=0,"",[2]对账明细接口!$R678),"")</f>
      </c>
      <c r="X678" s="20">
        <f>IFERROR(IF([2]对账明细接口!$S678=0,"",[2]对账明细接口!$S678),"")</f>
      </c>
      <c r="Y678" s="20">
        <f>""</f>
      </c>
      <c r="Z678" s="20">
        <f>""</f>
      </c>
      <c r="AA678" s="20">
        <f>""</f>
      </c>
      <c r="AB678" s="20">
        <f>""</f>
      </c>
    </row>
    <row r="679" s="127">
      <c r="A679" s="14" t="n">
        <v>679</v>
      </c>
      <c r="B679" s="211">
        <f>IFERROR(IF([2]对账明细接口!$B$679=0,"",[2]对账明细接口!$B$679),"")</f>
      </c>
      <c r="C679" s="16">
        <f>IFERROR(IF([2]对账明细接口!$C$679=0,"",[2]对账明细接口!$C$679),"")</f>
      </c>
      <c r="D679" s="16">
        <f>IFERROR(IF([2]对账明细接口!$D$679=0,"",[2]对账明细接口!$D$679),"")</f>
      </c>
      <c r="E679" s="16">
        <f>IFERROR(IF([2]对账明细接口!$E$679=0,"",[2]对账明细接口!$E$679),"")</f>
      </c>
      <c r="F679" s="16">
        <f>IFERROR(IF([2]对账明细接口!$F$679=0,"",[2]对账明细接口!$F$679),"")</f>
      </c>
      <c r="G679" s="16">
        <f>IFERROR(IF([2]对账明细接口!$G$679=0,"",[2]对账明细接口!$G$679),"")</f>
      </c>
      <c r="H679" s="176">
        <f>IFERROR(IF([2]对账明细接口!$H$679=0,"",[2]对账明细接口!$H$679),"")</f>
      </c>
      <c r="I679" s="16">
        <f>IFERROR(IF([2]对账明细接口!$I$679=0,"",[2]对账明细接口!$I$679),"")</f>
      </c>
      <c r="J679" s="177">
        <f>IFERROR(IF([2]对账明细接口!$J$679=0,"",[2]对账明细接口!$J$679),"")</f>
      </c>
      <c r="K679" s="177">
        <f>IFERROR(IF([2]对账明细接口!$K$679=0,"",[2]对账明细接口!$K$679),"")</f>
      </c>
      <c r="L679" s="16">
        <f>IFERROR(IF([2]对账明细接口!$L$679=0,"",[2]对账明细接口!$L$679),"")</f>
      </c>
      <c r="M679" s="16">
        <f>IFERROR(IF([2]对账明细接口!$M$679=0,"",[2]对账明细接口!$M$679),"")</f>
      </c>
      <c r="N679" s="19">
        <f>IF($C679="",0,1)</f>
        <v>0</v>
      </c>
      <c r="O679" s="19">
        <f>N(O678)+$N679</f>
        <v>272</v>
      </c>
      <c r="S679" s="20">
        <f>IFERROR(IF([2]对账明细接口!$N679=0,"",[2]对账明细接口!$N679),"")</f>
      </c>
      <c r="T679" s="212">
        <f>IFERROR(IF([2]对账明细接口!$O679=0,"",[2]对账明细接口!$O679),"")</f>
      </c>
      <c r="U679" s="212">
        <f>IFERROR(IF([2]对账明细接口!$P679=0,"",[2]对账明细接口!$P679),"")</f>
      </c>
      <c r="V679" s="212">
        <f>IFERROR(IF([2]对账明细接口!$Q679=0,"",[2]对账明细接口!$Q679),"")</f>
      </c>
      <c r="W679" s="20">
        <f>IFERROR(IF([2]对账明细接口!$R679=0,"",[2]对账明细接口!$R679),"")</f>
      </c>
      <c r="X679" s="20">
        <f>IFERROR(IF([2]对账明细接口!$S679=0,"",[2]对账明细接口!$S679),"")</f>
      </c>
      <c r="Y679" s="20">
        <f>""</f>
      </c>
      <c r="Z679" s="20">
        <f>""</f>
      </c>
      <c r="AA679" s="20">
        <f>""</f>
      </c>
      <c r="AB679" s="20">
        <f>""</f>
      </c>
    </row>
    <row r="680" s="127">
      <c r="A680" s="14" t="n">
        <v>680</v>
      </c>
      <c r="B680" s="211">
        <f>IFERROR(IF([2]对账明细接口!$B$680=0,"",[2]对账明细接口!$B$680),"")</f>
      </c>
      <c r="C680" s="16">
        <f>IFERROR(IF([2]对账明细接口!$C$680=0,"",[2]对账明细接口!$C$680),"")</f>
      </c>
      <c r="D680" s="16">
        <f>IFERROR(IF([2]对账明细接口!$D$680=0,"",[2]对账明细接口!$D$680),"")</f>
      </c>
      <c r="E680" s="16">
        <f>IFERROR(IF([2]对账明细接口!$E$680=0,"",[2]对账明细接口!$E$680),"")</f>
      </c>
      <c r="F680" s="16">
        <f>IFERROR(IF([2]对账明细接口!$F$680=0,"",[2]对账明细接口!$F$680),"")</f>
      </c>
      <c r="G680" s="16">
        <f>IFERROR(IF([2]对账明细接口!$G$680=0,"",[2]对账明细接口!$G$680),"")</f>
      </c>
      <c r="H680" s="176">
        <f>IFERROR(IF([2]对账明细接口!$H$680=0,"",[2]对账明细接口!$H$680),"")</f>
      </c>
      <c r="I680" s="16">
        <f>IFERROR(IF([2]对账明细接口!$I$680=0,"",[2]对账明细接口!$I$680),"")</f>
      </c>
      <c r="J680" s="177">
        <f>IFERROR(IF([2]对账明细接口!$J$680=0,"",[2]对账明细接口!$J$680),"")</f>
      </c>
      <c r="K680" s="177">
        <f>IFERROR(IF([2]对账明细接口!$K$680=0,"",[2]对账明细接口!$K$680),"")</f>
      </c>
      <c r="L680" s="16">
        <f>IFERROR(IF([2]对账明细接口!$L$680=0,"",[2]对账明细接口!$L$680),"")</f>
      </c>
      <c r="M680" s="16">
        <f>IFERROR(IF([2]对账明细接口!$M$680=0,"",[2]对账明细接口!$M$680),"")</f>
      </c>
      <c r="N680" s="19">
        <f>IF($C680="",0,1)</f>
        <v>0</v>
      </c>
      <c r="O680" s="19">
        <f>N(O679)+$N680</f>
        <v>272</v>
      </c>
      <c r="S680" s="20">
        <f>IFERROR(IF([2]对账明细接口!$N680=0,"",[2]对账明细接口!$N680),"")</f>
      </c>
      <c r="T680" s="212">
        <f>IFERROR(IF([2]对账明细接口!$O680=0,"",[2]对账明细接口!$O680),"")</f>
      </c>
      <c r="U680" s="212">
        <f>IFERROR(IF([2]对账明细接口!$P680=0,"",[2]对账明细接口!$P680),"")</f>
      </c>
      <c r="V680" s="212">
        <f>IFERROR(IF([2]对账明细接口!$Q680=0,"",[2]对账明细接口!$Q680),"")</f>
      </c>
      <c r="W680" s="20">
        <f>IFERROR(IF([2]对账明细接口!$R680=0,"",[2]对账明细接口!$R680),"")</f>
      </c>
      <c r="X680" s="20">
        <f>IFERROR(IF([2]对账明细接口!$S680=0,"",[2]对账明细接口!$S680),"")</f>
      </c>
      <c r="Y680" s="20">
        <f>""</f>
      </c>
      <c r="Z680" s="20">
        <f>""</f>
      </c>
      <c r="AA680" s="20">
        <f>""</f>
      </c>
      <c r="AB680" s="20">
        <f>""</f>
      </c>
    </row>
    <row r="681" s="127">
      <c r="A681" s="14" t="n">
        <v>681</v>
      </c>
      <c r="B681" s="211">
        <f>IFERROR(IF([2]对账明细接口!$B$681=0,"",[2]对账明细接口!$B$681),"")</f>
      </c>
      <c r="C681" s="16">
        <f>IFERROR(IF([2]对账明细接口!$C$681=0,"",[2]对账明细接口!$C$681),"")</f>
      </c>
      <c r="D681" s="16">
        <f>IFERROR(IF([2]对账明细接口!$D$681=0,"",[2]对账明细接口!$D$681),"")</f>
      </c>
      <c r="E681" s="16">
        <f>IFERROR(IF([2]对账明细接口!$E$681=0,"",[2]对账明细接口!$E$681),"")</f>
      </c>
      <c r="F681" s="16">
        <f>IFERROR(IF([2]对账明细接口!$F$681=0,"",[2]对账明细接口!$F$681),"")</f>
      </c>
      <c r="G681" s="16">
        <f>IFERROR(IF([2]对账明细接口!$G$681=0,"",[2]对账明细接口!$G$681),"")</f>
      </c>
      <c r="H681" s="176">
        <f>IFERROR(IF([2]对账明细接口!$H$681=0,"",[2]对账明细接口!$H$681),"")</f>
      </c>
      <c r="I681" s="16">
        <f>IFERROR(IF([2]对账明细接口!$I$681=0,"",[2]对账明细接口!$I$681),"")</f>
      </c>
      <c r="J681" s="177">
        <f>IFERROR(IF([2]对账明细接口!$J$681=0,"",[2]对账明细接口!$J$681),"")</f>
      </c>
      <c r="K681" s="177">
        <f>IFERROR(IF([2]对账明细接口!$K$681=0,"",[2]对账明细接口!$K$681),"")</f>
      </c>
      <c r="L681" s="16">
        <f>IFERROR(IF([2]对账明细接口!$L$681=0,"",[2]对账明细接口!$L$681),"")</f>
      </c>
      <c r="M681" s="16">
        <f>IFERROR(IF([2]对账明细接口!$M$681=0,"",[2]对账明细接口!$M$681),"")</f>
      </c>
      <c r="N681" s="19">
        <f>IF($C681="",0,1)</f>
        <v>0</v>
      </c>
      <c r="O681" s="19">
        <f>N(O680)+$N681</f>
        <v>272</v>
      </c>
      <c r="S681" s="20">
        <f>IFERROR(IF([2]对账明细接口!$N681=0,"",[2]对账明细接口!$N681),"")</f>
      </c>
      <c r="T681" s="212">
        <f>IFERROR(IF([2]对账明细接口!$O681=0,"",[2]对账明细接口!$O681),"")</f>
      </c>
      <c r="U681" s="212">
        <f>IFERROR(IF([2]对账明细接口!$P681=0,"",[2]对账明细接口!$P681),"")</f>
      </c>
      <c r="V681" s="212">
        <f>IFERROR(IF([2]对账明细接口!$Q681=0,"",[2]对账明细接口!$Q681),"")</f>
      </c>
      <c r="W681" s="20">
        <f>IFERROR(IF([2]对账明细接口!$R681=0,"",[2]对账明细接口!$R681),"")</f>
      </c>
      <c r="X681" s="20">
        <f>IFERROR(IF([2]对账明细接口!$S681=0,"",[2]对账明细接口!$S681),"")</f>
      </c>
      <c r="Y681" s="20">
        <f>""</f>
      </c>
      <c r="Z681" s="20">
        <f>""</f>
      </c>
      <c r="AA681" s="20">
        <f>""</f>
      </c>
      <c r="AB681" s="20">
        <f>""</f>
      </c>
    </row>
    <row r="682" s="127">
      <c r="A682" s="14" t="n">
        <v>682</v>
      </c>
      <c r="B682" s="211">
        <f>IFERROR(IF([2]对账明细接口!$B$682=0,"",[2]对账明细接口!$B$682),"")</f>
      </c>
      <c r="C682" s="16">
        <f>IFERROR(IF([2]对账明细接口!$C$682=0,"",[2]对账明细接口!$C$682),"")</f>
      </c>
      <c r="D682" s="16">
        <f>IFERROR(IF([2]对账明细接口!$D$682=0,"",[2]对账明细接口!$D$682),"")</f>
      </c>
      <c r="E682" s="16">
        <f>IFERROR(IF([2]对账明细接口!$E$682=0,"",[2]对账明细接口!$E$682),"")</f>
      </c>
      <c r="F682" s="16">
        <f>IFERROR(IF([2]对账明细接口!$F$682=0,"",[2]对账明细接口!$F$682),"")</f>
      </c>
      <c r="G682" s="16">
        <f>IFERROR(IF([2]对账明细接口!$G$682=0,"",[2]对账明细接口!$G$682),"")</f>
      </c>
      <c r="H682" s="176">
        <f>IFERROR(IF([2]对账明细接口!$H$682=0,"",[2]对账明细接口!$H$682),"")</f>
      </c>
      <c r="I682" s="16">
        <f>IFERROR(IF([2]对账明细接口!$I$682=0,"",[2]对账明细接口!$I$682),"")</f>
      </c>
      <c r="J682" s="177">
        <f>IFERROR(IF([2]对账明细接口!$J$682=0,"",[2]对账明细接口!$J$682),"")</f>
      </c>
      <c r="K682" s="177">
        <f>IFERROR(IF([2]对账明细接口!$K$682=0,"",[2]对账明细接口!$K$682),"")</f>
      </c>
      <c r="L682" s="16">
        <f>IFERROR(IF([2]对账明细接口!$L$682=0,"",[2]对账明细接口!$L$682),"")</f>
      </c>
      <c r="M682" s="16">
        <f>IFERROR(IF([2]对账明细接口!$M$682=0,"",[2]对账明细接口!$M$682),"")</f>
      </c>
      <c r="N682" s="19">
        <f>IF($C682="",0,1)</f>
        <v>0</v>
      </c>
      <c r="O682" s="19">
        <f>N(O681)+$N682</f>
        <v>272</v>
      </c>
      <c r="S682" s="20">
        <f>IFERROR(IF([2]对账明细接口!$N682=0,"",[2]对账明细接口!$N682),"")</f>
      </c>
      <c r="T682" s="212">
        <f>IFERROR(IF([2]对账明细接口!$O682=0,"",[2]对账明细接口!$O682),"")</f>
      </c>
      <c r="U682" s="212">
        <f>IFERROR(IF([2]对账明细接口!$P682=0,"",[2]对账明细接口!$P682),"")</f>
      </c>
      <c r="V682" s="212">
        <f>IFERROR(IF([2]对账明细接口!$Q682=0,"",[2]对账明细接口!$Q682),"")</f>
      </c>
      <c r="W682" s="20">
        <f>IFERROR(IF([2]对账明细接口!$R682=0,"",[2]对账明细接口!$R682),"")</f>
      </c>
      <c r="X682" s="20">
        <f>IFERROR(IF([2]对账明细接口!$S682=0,"",[2]对账明细接口!$S682),"")</f>
      </c>
      <c r="Y682" s="20">
        <f>""</f>
      </c>
      <c r="Z682" s="20">
        <f>""</f>
      </c>
      <c r="AA682" s="20">
        <f>""</f>
      </c>
      <c r="AB682" s="20">
        <f>""</f>
      </c>
    </row>
    <row r="683" s="127">
      <c r="A683" s="14" t="n">
        <v>683</v>
      </c>
      <c r="B683" s="211">
        <f>IFERROR(IF([2]对账明细接口!$B$683=0,"",[2]对账明细接口!$B$683),"")</f>
      </c>
      <c r="C683" s="16">
        <f>IFERROR(IF([2]对账明细接口!$C$683=0,"",[2]对账明细接口!$C$683),"")</f>
      </c>
      <c r="D683" s="16">
        <f>IFERROR(IF([2]对账明细接口!$D$683=0,"",[2]对账明细接口!$D$683),"")</f>
      </c>
      <c r="E683" s="16">
        <f>IFERROR(IF([2]对账明细接口!$E$683=0,"",[2]对账明细接口!$E$683),"")</f>
      </c>
      <c r="F683" s="16">
        <f>IFERROR(IF([2]对账明细接口!$F$683=0,"",[2]对账明细接口!$F$683),"")</f>
      </c>
      <c r="G683" s="16">
        <f>IFERROR(IF([2]对账明细接口!$G$683=0,"",[2]对账明细接口!$G$683),"")</f>
      </c>
      <c r="H683" s="176">
        <f>IFERROR(IF([2]对账明细接口!$H$683=0,"",[2]对账明细接口!$H$683),"")</f>
      </c>
      <c r="I683" s="16">
        <f>IFERROR(IF([2]对账明细接口!$I$683=0,"",[2]对账明细接口!$I$683),"")</f>
      </c>
      <c r="J683" s="177">
        <f>IFERROR(IF([2]对账明细接口!$J$683=0,"",[2]对账明细接口!$J$683),"")</f>
      </c>
      <c r="K683" s="177">
        <f>IFERROR(IF([2]对账明细接口!$K$683=0,"",[2]对账明细接口!$K$683),"")</f>
      </c>
      <c r="L683" s="16">
        <f>IFERROR(IF([2]对账明细接口!$L$683=0,"",[2]对账明细接口!$L$683),"")</f>
      </c>
      <c r="M683" s="16">
        <f>IFERROR(IF([2]对账明细接口!$M$683=0,"",[2]对账明细接口!$M$683),"")</f>
      </c>
      <c r="N683" s="19">
        <f>IF($C683="",0,1)</f>
        <v>0</v>
      </c>
      <c r="O683" s="19">
        <f>N(O682)+$N683</f>
        <v>272</v>
      </c>
      <c r="S683" s="20">
        <f>IFERROR(IF([2]对账明细接口!$N683=0,"",[2]对账明细接口!$N683),"")</f>
      </c>
      <c r="T683" s="212">
        <f>IFERROR(IF([2]对账明细接口!$O683=0,"",[2]对账明细接口!$O683),"")</f>
      </c>
      <c r="U683" s="212">
        <f>IFERROR(IF([2]对账明细接口!$P683=0,"",[2]对账明细接口!$P683),"")</f>
      </c>
      <c r="V683" s="212">
        <f>IFERROR(IF([2]对账明细接口!$Q683=0,"",[2]对账明细接口!$Q683),"")</f>
      </c>
      <c r="W683" s="20">
        <f>IFERROR(IF([2]对账明细接口!$R683=0,"",[2]对账明细接口!$R683),"")</f>
      </c>
      <c r="X683" s="20">
        <f>IFERROR(IF([2]对账明细接口!$S683=0,"",[2]对账明细接口!$S683),"")</f>
      </c>
      <c r="Y683" s="20">
        <f>""</f>
      </c>
      <c r="Z683" s="20">
        <f>""</f>
      </c>
      <c r="AA683" s="20">
        <f>""</f>
      </c>
      <c r="AB683" s="20">
        <f>""</f>
      </c>
    </row>
    <row r="684" s="127">
      <c r="A684" s="14" t="n">
        <v>684</v>
      </c>
      <c r="B684" s="211">
        <f>IFERROR(IF([2]对账明细接口!$B$684=0,"",[2]对账明细接口!$B$684),"")</f>
      </c>
      <c r="C684" s="16">
        <f>IFERROR(IF([2]对账明细接口!$C$684=0,"",[2]对账明细接口!$C$684),"")</f>
      </c>
      <c r="D684" s="16">
        <f>IFERROR(IF([2]对账明细接口!$D$684=0,"",[2]对账明细接口!$D$684),"")</f>
      </c>
      <c r="E684" s="16">
        <f>IFERROR(IF([2]对账明细接口!$E$684=0,"",[2]对账明细接口!$E$684),"")</f>
      </c>
      <c r="F684" s="16">
        <f>IFERROR(IF([2]对账明细接口!$F$684=0,"",[2]对账明细接口!$F$684),"")</f>
      </c>
      <c r="G684" s="16">
        <f>IFERROR(IF([2]对账明细接口!$G$684=0,"",[2]对账明细接口!$G$684),"")</f>
      </c>
      <c r="H684" s="176">
        <f>IFERROR(IF([2]对账明细接口!$H$684=0,"",[2]对账明细接口!$H$684),"")</f>
      </c>
      <c r="I684" s="16">
        <f>IFERROR(IF([2]对账明细接口!$I$684=0,"",[2]对账明细接口!$I$684),"")</f>
      </c>
      <c r="J684" s="177">
        <f>IFERROR(IF([2]对账明细接口!$J$684=0,"",[2]对账明细接口!$J$684),"")</f>
      </c>
      <c r="K684" s="177">
        <f>IFERROR(IF([2]对账明细接口!$K$684=0,"",[2]对账明细接口!$K$684),"")</f>
      </c>
      <c r="L684" s="16">
        <f>IFERROR(IF([2]对账明细接口!$L$684=0,"",[2]对账明细接口!$L$684),"")</f>
      </c>
      <c r="M684" s="16">
        <f>IFERROR(IF([2]对账明细接口!$M$684=0,"",[2]对账明细接口!$M$684),"")</f>
      </c>
      <c r="N684" s="19">
        <f>IF($C684="",0,1)</f>
        <v>0</v>
      </c>
      <c r="O684" s="19">
        <f>N(O683)+$N684</f>
        <v>272</v>
      </c>
      <c r="S684" s="20">
        <f>IFERROR(IF([2]对账明细接口!$N684=0,"",[2]对账明细接口!$N684),"")</f>
      </c>
      <c r="T684" s="212">
        <f>IFERROR(IF([2]对账明细接口!$O684=0,"",[2]对账明细接口!$O684),"")</f>
      </c>
      <c r="U684" s="212">
        <f>IFERROR(IF([2]对账明细接口!$P684=0,"",[2]对账明细接口!$P684),"")</f>
      </c>
      <c r="V684" s="212">
        <f>IFERROR(IF([2]对账明细接口!$Q684=0,"",[2]对账明细接口!$Q684),"")</f>
      </c>
      <c r="W684" s="20">
        <f>IFERROR(IF([2]对账明细接口!$R684=0,"",[2]对账明细接口!$R684),"")</f>
      </c>
      <c r="X684" s="20">
        <f>IFERROR(IF([2]对账明细接口!$S684=0,"",[2]对账明细接口!$S684),"")</f>
      </c>
      <c r="Y684" s="20">
        <f>""</f>
      </c>
      <c r="Z684" s="20">
        <f>""</f>
      </c>
      <c r="AA684" s="20">
        <f>""</f>
      </c>
      <c r="AB684" s="20">
        <f>""</f>
      </c>
    </row>
    <row r="685" s="127">
      <c r="A685" s="14" t="n">
        <v>685</v>
      </c>
      <c r="B685" s="211">
        <f>IFERROR(IF([2]对账明细接口!$B$685=0,"",[2]对账明细接口!$B$685),"")</f>
      </c>
      <c r="C685" s="16">
        <f>IFERROR(IF([2]对账明细接口!$C$685=0,"",[2]对账明细接口!$C$685),"")</f>
      </c>
      <c r="D685" s="16">
        <f>IFERROR(IF([2]对账明细接口!$D$685=0,"",[2]对账明细接口!$D$685),"")</f>
      </c>
      <c r="E685" s="16">
        <f>IFERROR(IF([2]对账明细接口!$E$685=0,"",[2]对账明细接口!$E$685),"")</f>
      </c>
      <c r="F685" s="16">
        <f>IFERROR(IF([2]对账明细接口!$F$685=0,"",[2]对账明细接口!$F$685),"")</f>
      </c>
      <c r="G685" s="16">
        <f>IFERROR(IF([2]对账明细接口!$G$685=0,"",[2]对账明细接口!$G$685),"")</f>
      </c>
      <c r="H685" s="176">
        <f>IFERROR(IF([2]对账明细接口!$H$685=0,"",[2]对账明细接口!$H$685),"")</f>
      </c>
      <c r="I685" s="16">
        <f>IFERROR(IF([2]对账明细接口!$I$685=0,"",[2]对账明细接口!$I$685),"")</f>
      </c>
      <c r="J685" s="177">
        <f>IFERROR(IF([2]对账明细接口!$J$685=0,"",[2]对账明细接口!$J$685),"")</f>
      </c>
      <c r="K685" s="177">
        <f>IFERROR(IF([2]对账明细接口!$K$685=0,"",[2]对账明细接口!$K$685),"")</f>
      </c>
      <c r="L685" s="16">
        <f>IFERROR(IF([2]对账明细接口!$L$685=0,"",[2]对账明细接口!$L$685),"")</f>
      </c>
      <c r="M685" s="16">
        <f>IFERROR(IF([2]对账明细接口!$M$685=0,"",[2]对账明细接口!$M$685),"")</f>
      </c>
      <c r="N685" s="19">
        <f>IF($C685="",0,1)</f>
        <v>0</v>
      </c>
      <c r="O685" s="19">
        <f>N(O684)+$N685</f>
        <v>272</v>
      </c>
      <c r="S685" s="20">
        <f>IFERROR(IF([2]对账明细接口!$N685=0,"",[2]对账明细接口!$N685),"")</f>
      </c>
      <c r="T685" s="212">
        <f>IFERROR(IF([2]对账明细接口!$O685=0,"",[2]对账明细接口!$O685),"")</f>
      </c>
      <c r="U685" s="212">
        <f>IFERROR(IF([2]对账明细接口!$P685=0,"",[2]对账明细接口!$P685),"")</f>
      </c>
      <c r="V685" s="212">
        <f>IFERROR(IF([2]对账明细接口!$Q685=0,"",[2]对账明细接口!$Q685),"")</f>
      </c>
      <c r="W685" s="20">
        <f>IFERROR(IF([2]对账明细接口!$R685=0,"",[2]对账明细接口!$R685),"")</f>
      </c>
      <c r="X685" s="20">
        <f>IFERROR(IF([2]对账明细接口!$S685=0,"",[2]对账明细接口!$S685),"")</f>
      </c>
      <c r="Y685" s="20">
        <f>""</f>
      </c>
      <c r="Z685" s="20">
        <f>""</f>
      </c>
      <c r="AA685" s="20">
        <f>""</f>
      </c>
      <c r="AB685" s="20">
        <f>""</f>
      </c>
    </row>
    <row r="686" s="127">
      <c r="A686" s="14" t="n">
        <v>686</v>
      </c>
      <c r="B686" s="211">
        <f>IFERROR(IF([2]对账明细接口!$B$686=0,"",[2]对账明细接口!$B$686),"")</f>
      </c>
      <c r="C686" s="16">
        <f>IFERROR(IF([2]对账明细接口!$C$686=0,"",[2]对账明细接口!$C$686),"")</f>
      </c>
      <c r="D686" s="16">
        <f>IFERROR(IF([2]对账明细接口!$D$686=0,"",[2]对账明细接口!$D$686),"")</f>
      </c>
      <c r="E686" s="16">
        <f>IFERROR(IF([2]对账明细接口!$E$686=0,"",[2]对账明细接口!$E$686),"")</f>
      </c>
      <c r="F686" s="16">
        <f>IFERROR(IF([2]对账明细接口!$F$686=0,"",[2]对账明细接口!$F$686),"")</f>
      </c>
      <c r="G686" s="16">
        <f>IFERROR(IF([2]对账明细接口!$G$686=0,"",[2]对账明细接口!$G$686),"")</f>
      </c>
      <c r="H686" s="176">
        <f>IFERROR(IF([2]对账明细接口!$H$686=0,"",[2]对账明细接口!$H$686),"")</f>
      </c>
      <c r="I686" s="16">
        <f>IFERROR(IF([2]对账明细接口!$I$686=0,"",[2]对账明细接口!$I$686),"")</f>
      </c>
      <c r="J686" s="177">
        <f>IFERROR(IF([2]对账明细接口!$J$686=0,"",[2]对账明细接口!$J$686),"")</f>
      </c>
      <c r="K686" s="177">
        <f>IFERROR(IF([2]对账明细接口!$K$686=0,"",[2]对账明细接口!$K$686),"")</f>
      </c>
      <c r="L686" s="16">
        <f>IFERROR(IF([2]对账明细接口!$L$686=0,"",[2]对账明细接口!$L$686),"")</f>
      </c>
      <c r="M686" s="16">
        <f>IFERROR(IF([2]对账明细接口!$M$686=0,"",[2]对账明细接口!$M$686),"")</f>
      </c>
      <c r="N686" s="19">
        <f>IF($C686="",0,1)</f>
        <v>0</v>
      </c>
      <c r="O686" s="19">
        <f>N(O685)+$N686</f>
        <v>272</v>
      </c>
      <c r="S686" s="20">
        <f>IFERROR(IF([2]对账明细接口!$N686=0,"",[2]对账明细接口!$N686),"")</f>
      </c>
      <c r="T686" s="212">
        <f>IFERROR(IF([2]对账明细接口!$O686=0,"",[2]对账明细接口!$O686),"")</f>
      </c>
      <c r="U686" s="212">
        <f>IFERROR(IF([2]对账明细接口!$P686=0,"",[2]对账明细接口!$P686),"")</f>
      </c>
      <c r="V686" s="212">
        <f>IFERROR(IF([2]对账明细接口!$Q686=0,"",[2]对账明细接口!$Q686),"")</f>
      </c>
      <c r="W686" s="20">
        <f>IFERROR(IF([2]对账明细接口!$R686=0,"",[2]对账明细接口!$R686),"")</f>
      </c>
      <c r="X686" s="20">
        <f>IFERROR(IF([2]对账明细接口!$S686=0,"",[2]对账明细接口!$S686),"")</f>
      </c>
      <c r="Y686" s="20">
        <f>""</f>
      </c>
      <c r="Z686" s="20">
        <f>""</f>
      </c>
      <c r="AA686" s="20">
        <f>""</f>
      </c>
      <c r="AB686" s="20">
        <f>""</f>
      </c>
    </row>
    <row r="687" s="127">
      <c r="A687" s="14" t="n">
        <v>687</v>
      </c>
      <c r="B687" s="211">
        <f>IFERROR(IF([2]对账明细接口!$B$687=0,"",[2]对账明细接口!$B$687),"")</f>
      </c>
      <c r="C687" s="16">
        <f>IFERROR(IF([2]对账明细接口!$C$687=0,"",[2]对账明细接口!$C$687),"")</f>
      </c>
      <c r="D687" s="16">
        <f>IFERROR(IF([2]对账明细接口!$D$687=0,"",[2]对账明细接口!$D$687),"")</f>
      </c>
      <c r="E687" s="16">
        <f>IFERROR(IF([2]对账明细接口!$E$687=0,"",[2]对账明细接口!$E$687),"")</f>
      </c>
      <c r="F687" s="16">
        <f>IFERROR(IF([2]对账明细接口!$F$687=0,"",[2]对账明细接口!$F$687),"")</f>
      </c>
      <c r="G687" s="16">
        <f>IFERROR(IF([2]对账明细接口!$G$687=0,"",[2]对账明细接口!$G$687),"")</f>
      </c>
      <c r="H687" s="176">
        <f>IFERROR(IF([2]对账明细接口!$H$687=0,"",[2]对账明细接口!$H$687),"")</f>
      </c>
      <c r="I687" s="16">
        <f>IFERROR(IF([2]对账明细接口!$I$687=0,"",[2]对账明细接口!$I$687),"")</f>
      </c>
      <c r="J687" s="177">
        <f>IFERROR(IF([2]对账明细接口!$J$687=0,"",[2]对账明细接口!$J$687),"")</f>
      </c>
      <c r="K687" s="177">
        <f>IFERROR(IF([2]对账明细接口!$K$687=0,"",[2]对账明细接口!$K$687),"")</f>
      </c>
      <c r="L687" s="16">
        <f>IFERROR(IF([2]对账明细接口!$L$687=0,"",[2]对账明细接口!$L$687),"")</f>
      </c>
      <c r="M687" s="16">
        <f>IFERROR(IF([2]对账明细接口!$M$687=0,"",[2]对账明细接口!$M$687),"")</f>
      </c>
      <c r="N687" s="19">
        <f>IF($C687="",0,1)</f>
        <v>0</v>
      </c>
      <c r="O687" s="19">
        <f>N(O686)+$N687</f>
        <v>272</v>
      </c>
      <c r="S687" s="20">
        <f>IFERROR(IF([2]对账明细接口!$N687=0,"",[2]对账明细接口!$N687),"")</f>
      </c>
      <c r="T687" s="212">
        <f>IFERROR(IF([2]对账明细接口!$O687=0,"",[2]对账明细接口!$O687),"")</f>
      </c>
      <c r="U687" s="212">
        <f>IFERROR(IF([2]对账明细接口!$P687=0,"",[2]对账明细接口!$P687),"")</f>
      </c>
      <c r="V687" s="212">
        <f>IFERROR(IF([2]对账明细接口!$Q687=0,"",[2]对账明细接口!$Q687),"")</f>
      </c>
      <c r="W687" s="20">
        <f>IFERROR(IF([2]对账明细接口!$R687=0,"",[2]对账明细接口!$R687),"")</f>
      </c>
      <c r="X687" s="20">
        <f>IFERROR(IF([2]对账明细接口!$S687=0,"",[2]对账明细接口!$S687),"")</f>
      </c>
      <c r="Y687" s="20">
        <f>""</f>
      </c>
      <c r="Z687" s="20">
        <f>""</f>
      </c>
      <c r="AA687" s="20">
        <f>""</f>
      </c>
      <c r="AB687" s="20">
        <f>""</f>
      </c>
    </row>
    <row r="688" s="127">
      <c r="A688" s="14" t="n">
        <v>688</v>
      </c>
      <c r="B688" s="211">
        <f>IFERROR(IF([2]对账明细接口!$B$688=0,"",[2]对账明细接口!$B$688),"")</f>
      </c>
      <c r="C688" s="16">
        <f>IFERROR(IF([2]对账明细接口!$C$688=0,"",[2]对账明细接口!$C$688),"")</f>
      </c>
      <c r="D688" s="16">
        <f>IFERROR(IF([2]对账明细接口!$D$688=0,"",[2]对账明细接口!$D$688),"")</f>
      </c>
      <c r="E688" s="16">
        <f>IFERROR(IF([2]对账明细接口!$E$688=0,"",[2]对账明细接口!$E$688),"")</f>
      </c>
      <c r="F688" s="16">
        <f>IFERROR(IF([2]对账明细接口!$F$688=0,"",[2]对账明细接口!$F$688),"")</f>
      </c>
      <c r="G688" s="16">
        <f>IFERROR(IF([2]对账明细接口!$G$688=0,"",[2]对账明细接口!$G$688),"")</f>
      </c>
      <c r="H688" s="176">
        <f>IFERROR(IF([2]对账明细接口!$H$688=0,"",[2]对账明细接口!$H$688),"")</f>
      </c>
      <c r="I688" s="16">
        <f>IFERROR(IF([2]对账明细接口!$I$688=0,"",[2]对账明细接口!$I$688),"")</f>
      </c>
      <c r="J688" s="177">
        <f>IFERROR(IF([2]对账明细接口!$J$688=0,"",[2]对账明细接口!$J$688),"")</f>
      </c>
      <c r="K688" s="177">
        <f>IFERROR(IF([2]对账明细接口!$K$688=0,"",[2]对账明细接口!$K$688),"")</f>
      </c>
      <c r="L688" s="16">
        <f>IFERROR(IF([2]对账明细接口!$L$688=0,"",[2]对账明细接口!$L$688),"")</f>
      </c>
      <c r="M688" s="16">
        <f>IFERROR(IF([2]对账明细接口!$M$688=0,"",[2]对账明细接口!$M$688),"")</f>
      </c>
      <c r="N688" s="19">
        <f>IF($C688="",0,1)</f>
        <v>0</v>
      </c>
      <c r="O688" s="19">
        <f>N(O687)+$N688</f>
        <v>272</v>
      </c>
      <c r="S688" s="20">
        <f>IFERROR(IF([2]对账明细接口!$N688=0,"",[2]对账明细接口!$N688),"")</f>
      </c>
      <c r="T688" s="212">
        <f>IFERROR(IF([2]对账明细接口!$O688=0,"",[2]对账明细接口!$O688),"")</f>
      </c>
      <c r="U688" s="212">
        <f>IFERROR(IF([2]对账明细接口!$P688=0,"",[2]对账明细接口!$P688),"")</f>
      </c>
      <c r="V688" s="212">
        <f>IFERROR(IF([2]对账明细接口!$Q688=0,"",[2]对账明细接口!$Q688),"")</f>
      </c>
      <c r="W688" s="20">
        <f>IFERROR(IF([2]对账明细接口!$R688=0,"",[2]对账明细接口!$R688),"")</f>
      </c>
      <c r="X688" s="20">
        <f>IFERROR(IF([2]对账明细接口!$S688=0,"",[2]对账明细接口!$S688),"")</f>
      </c>
      <c r="Y688" s="20">
        <f>""</f>
      </c>
      <c r="Z688" s="20">
        <f>""</f>
      </c>
      <c r="AA688" s="20">
        <f>""</f>
      </c>
      <c r="AB688" s="20">
        <f>""</f>
      </c>
    </row>
    <row r="689" s="127">
      <c r="A689" s="14" t="n">
        <v>689</v>
      </c>
      <c r="B689" s="211">
        <f>IFERROR(IF([2]对账明细接口!$B$689=0,"",[2]对账明细接口!$B$689),"")</f>
      </c>
      <c r="C689" s="16">
        <f>IFERROR(IF([2]对账明细接口!$C$689=0,"",[2]对账明细接口!$C$689),"")</f>
      </c>
      <c r="D689" s="16">
        <f>IFERROR(IF([2]对账明细接口!$D$689=0,"",[2]对账明细接口!$D$689),"")</f>
      </c>
      <c r="E689" s="16">
        <f>IFERROR(IF([2]对账明细接口!$E$689=0,"",[2]对账明细接口!$E$689),"")</f>
      </c>
      <c r="F689" s="16">
        <f>IFERROR(IF([2]对账明细接口!$F$689=0,"",[2]对账明细接口!$F$689),"")</f>
      </c>
      <c r="G689" s="16">
        <f>IFERROR(IF([2]对账明细接口!$G$689=0,"",[2]对账明细接口!$G$689),"")</f>
      </c>
      <c r="H689" s="176">
        <f>IFERROR(IF([2]对账明细接口!$H$689=0,"",[2]对账明细接口!$H$689),"")</f>
      </c>
      <c r="I689" s="16">
        <f>IFERROR(IF([2]对账明细接口!$I$689=0,"",[2]对账明细接口!$I$689),"")</f>
      </c>
      <c r="J689" s="177">
        <f>IFERROR(IF([2]对账明细接口!$J$689=0,"",[2]对账明细接口!$J$689),"")</f>
      </c>
      <c r="K689" s="177">
        <f>IFERROR(IF([2]对账明细接口!$K$689=0,"",[2]对账明细接口!$K$689),"")</f>
      </c>
      <c r="L689" s="16">
        <f>IFERROR(IF([2]对账明细接口!$L$689=0,"",[2]对账明细接口!$L$689),"")</f>
      </c>
      <c r="M689" s="16">
        <f>IFERROR(IF([2]对账明细接口!$M$689=0,"",[2]对账明细接口!$M$689),"")</f>
      </c>
      <c r="N689" s="19">
        <f>IF($C689="",0,1)</f>
        <v>0</v>
      </c>
      <c r="O689" s="19">
        <f>N(O688)+$N689</f>
        <v>272</v>
      </c>
      <c r="S689" s="20">
        <f>IFERROR(IF([2]对账明细接口!$N689=0,"",[2]对账明细接口!$N689),"")</f>
      </c>
      <c r="T689" s="212">
        <f>IFERROR(IF([2]对账明细接口!$O689=0,"",[2]对账明细接口!$O689),"")</f>
      </c>
      <c r="U689" s="212">
        <f>IFERROR(IF([2]对账明细接口!$P689=0,"",[2]对账明细接口!$P689),"")</f>
      </c>
      <c r="V689" s="212">
        <f>IFERROR(IF([2]对账明细接口!$Q689=0,"",[2]对账明细接口!$Q689),"")</f>
      </c>
      <c r="W689" s="20">
        <f>IFERROR(IF([2]对账明细接口!$R689=0,"",[2]对账明细接口!$R689),"")</f>
      </c>
      <c r="X689" s="20">
        <f>IFERROR(IF([2]对账明细接口!$S689=0,"",[2]对账明细接口!$S689),"")</f>
      </c>
      <c r="Y689" s="20">
        <f>""</f>
      </c>
      <c r="Z689" s="20">
        <f>""</f>
      </c>
      <c r="AA689" s="20">
        <f>""</f>
      </c>
      <c r="AB689" s="20">
        <f>""</f>
      </c>
    </row>
    <row r="690" s="127">
      <c r="A690" s="14" t="n">
        <v>690</v>
      </c>
      <c r="B690" s="211">
        <f>IFERROR(IF([2]对账明细接口!$B$690=0,"",[2]对账明细接口!$B$690),"")</f>
      </c>
      <c r="C690" s="16">
        <f>IFERROR(IF([2]对账明细接口!$C$690=0,"",[2]对账明细接口!$C$690),"")</f>
      </c>
      <c r="D690" s="16">
        <f>IFERROR(IF([2]对账明细接口!$D$690=0,"",[2]对账明细接口!$D$690),"")</f>
      </c>
      <c r="E690" s="16">
        <f>IFERROR(IF([2]对账明细接口!$E$690=0,"",[2]对账明细接口!$E$690),"")</f>
      </c>
      <c r="F690" s="16">
        <f>IFERROR(IF([2]对账明细接口!$F$690=0,"",[2]对账明细接口!$F$690),"")</f>
      </c>
      <c r="G690" s="16">
        <f>IFERROR(IF([2]对账明细接口!$G$690=0,"",[2]对账明细接口!$G$690),"")</f>
      </c>
      <c r="H690" s="176">
        <f>IFERROR(IF([2]对账明细接口!$H$690=0,"",[2]对账明细接口!$H$690),"")</f>
      </c>
      <c r="I690" s="16">
        <f>IFERROR(IF([2]对账明细接口!$I$690=0,"",[2]对账明细接口!$I$690),"")</f>
      </c>
      <c r="J690" s="177">
        <f>IFERROR(IF([2]对账明细接口!$J$690=0,"",[2]对账明细接口!$J$690),"")</f>
      </c>
      <c r="K690" s="177">
        <f>IFERROR(IF([2]对账明细接口!$K$690=0,"",[2]对账明细接口!$K$690),"")</f>
      </c>
      <c r="L690" s="16">
        <f>IFERROR(IF([2]对账明细接口!$L$690=0,"",[2]对账明细接口!$L$690),"")</f>
      </c>
      <c r="M690" s="16">
        <f>IFERROR(IF([2]对账明细接口!$M$690=0,"",[2]对账明细接口!$M$690),"")</f>
      </c>
      <c r="N690" s="19">
        <f>IF($C690="",0,1)</f>
        <v>0</v>
      </c>
      <c r="O690" s="19">
        <f>N(O689)+$N690</f>
        <v>272</v>
      </c>
      <c r="S690" s="20">
        <f>IFERROR(IF([2]对账明细接口!$N690=0,"",[2]对账明细接口!$N690),"")</f>
      </c>
      <c r="T690" s="212">
        <f>IFERROR(IF([2]对账明细接口!$O690=0,"",[2]对账明细接口!$O690),"")</f>
      </c>
      <c r="U690" s="212">
        <f>IFERROR(IF([2]对账明细接口!$P690=0,"",[2]对账明细接口!$P690),"")</f>
      </c>
      <c r="V690" s="212">
        <f>IFERROR(IF([2]对账明细接口!$Q690=0,"",[2]对账明细接口!$Q690),"")</f>
      </c>
      <c r="W690" s="20">
        <f>IFERROR(IF([2]对账明细接口!$R690=0,"",[2]对账明细接口!$R690),"")</f>
      </c>
      <c r="X690" s="20">
        <f>IFERROR(IF([2]对账明细接口!$S690=0,"",[2]对账明细接口!$S690),"")</f>
      </c>
      <c r="Y690" s="20">
        <f>""</f>
      </c>
      <c r="Z690" s="20">
        <f>""</f>
      </c>
      <c r="AA690" s="20">
        <f>""</f>
      </c>
      <c r="AB690" s="20">
        <f>""</f>
      </c>
    </row>
    <row r="691" s="127">
      <c r="A691" s="14" t="n">
        <v>691</v>
      </c>
      <c r="B691" s="211">
        <f>IFERROR(IF([2]对账明细接口!$B$691=0,"",[2]对账明细接口!$B$691),"")</f>
      </c>
      <c r="C691" s="16">
        <f>IFERROR(IF([2]对账明细接口!$C$691=0,"",[2]对账明细接口!$C$691),"")</f>
      </c>
      <c r="D691" s="16">
        <f>IFERROR(IF([2]对账明细接口!$D$691=0,"",[2]对账明细接口!$D$691),"")</f>
      </c>
      <c r="E691" s="16">
        <f>IFERROR(IF([2]对账明细接口!$E$691=0,"",[2]对账明细接口!$E$691),"")</f>
      </c>
      <c r="F691" s="16">
        <f>IFERROR(IF([2]对账明细接口!$F$691=0,"",[2]对账明细接口!$F$691),"")</f>
      </c>
      <c r="G691" s="16">
        <f>IFERROR(IF([2]对账明细接口!$G$691=0,"",[2]对账明细接口!$G$691),"")</f>
      </c>
      <c r="H691" s="176">
        <f>IFERROR(IF([2]对账明细接口!$H$691=0,"",[2]对账明细接口!$H$691),"")</f>
      </c>
      <c r="I691" s="16">
        <f>IFERROR(IF([2]对账明细接口!$I$691=0,"",[2]对账明细接口!$I$691),"")</f>
      </c>
      <c r="J691" s="177">
        <f>IFERROR(IF([2]对账明细接口!$J$691=0,"",[2]对账明细接口!$J$691),"")</f>
      </c>
      <c r="K691" s="177">
        <f>IFERROR(IF([2]对账明细接口!$K$691=0,"",[2]对账明细接口!$K$691),"")</f>
      </c>
      <c r="L691" s="16">
        <f>IFERROR(IF([2]对账明细接口!$L$691=0,"",[2]对账明细接口!$L$691),"")</f>
      </c>
      <c r="M691" s="16">
        <f>IFERROR(IF([2]对账明细接口!$M$691=0,"",[2]对账明细接口!$M$691),"")</f>
      </c>
      <c r="N691" s="19">
        <f>IF($C691="",0,1)</f>
        <v>0</v>
      </c>
      <c r="O691" s="19">
        <f>N(O690)+$N691</f>
        <v>272</v>
      </c>
      <c r="S691" s="20">
        <f>IFERROR(IF([2]对账明细接口!$N691=0,"",[2]对账明细接口!$N691),"")</f>
      </c>
      <c r="T691" s="212">
        <f>IFERROR(IF([2]对账明细接口!$O691=0,"",[2]对账明细接口!$O691),"")</f>
      </c>
      <c r="U691" s="212">
        <f>IFERROR(IF([2]对账明细接口!$P691=0,"",[2]对账明细接口!$P691),"")</f>
      </c>
      <c r="V691" s="212">
        <f>IFERROR(IF([2]对账明细接口!$Q691=0,"",[2]对账明细接口!$Q691),"")</f>
      </c>
      <c r="W691" s="20">
        <f>IFERROR(IF([2]对账明细接口!$R691=0,"",[2]对账明细接口!$R691),"")</f>
      </c>
      <c r="X691" s="20">
        <f>IFERROR(IF([2]对账明细接口!$S691=0,"",[2]对账明细接口!$S691),"")</f>
      </c>
      <c r="Y691" s="20">
        <f>""</f>
      </c>
      <c r="Z691" s="20">
        <f>""</f>
      </c>
      <c r="AA691" s="20">
        <f>""</f>
      </c>
      <c r="AB691" s="20">
        <f>""</f>
      </c>
    </row>
    <row r="692" s="127">
      <c r="A692" s="14" t="n">
        <v>692</v>
      </c>
      <c r="B692" s="211">
        <f>IFERROR(IF([2]对账明细接口!$B$692=0,"",[2]对账明细接口!$B$692),"")</f>
      </c>
      <c r="C692" s="16">
        <f>IFERROR(IF([2]对账明细接口!$C$692=0,"",[2]对账明细接口!$C$692),"")</f>
      </c>
      <c r="D692" s="16">
        <f>IFERROR(IF([2]对账明细接口!$D$692=0,"",[2]对账明细接口!$D$692),"")</f>
      </c>
      <c r="E692" s="16">
        <f>IFERROR(IF([2]对账明细接口!$E$692=0,"",[2]对账明细接口!$E$692),"")</f>
      </c>
      <c r="F692" s="16">
        <f>IFERROR(IF([2]对账明细接口!$F$692=0,"",[2]对账明细接口!$F$692),"")</f>
      </c>
      <c r="G692" s="16">
        <f>IFERROR(IF([2]对账明细接口!$G$692=0,"",[2]对账明细接口!$G$692),"")</f>
      </c>
      <c r="H692" s="176">
        <f>IFERROR(IF([2]对账明细接口!$H$692=0,"",[2]对账明细接口!$H$692),"")</f>
      </c>
      <c r="I692" s="16">
        <f>IFERROR(IF([2]对账明细接口!$I$692=0,"",[2]对账明细接口!$I$692),"")</f>
      </c>
      <c r="J692" s="177">
        <f>IFERROR(IF([2]对账明细接口!$J$692=0,"",[2]对账明细接口!$J$692),"")</f>
      </c>
      <c r="K692" s="177">
        <f>IFERROR(IF([2]对账明细接口!$K$692=0,"",[2]对账明细接口!$K$692),"")</f>
      </c>
      <c r="L692" s="16">
        <f>IFERROR(IF([2]对账明细接口!$L$692=0,"",[2]对账明细接口!$L$692),"")</f>
      </c>
      <c r="M692" s="16">
        <f>IFERROR(IF([2]对账明细接口!$M$692=0,"",[2]对账明细接口!$M$692),"")</f>
      </c>
      <c r="N692" s="19">
        <f>IF($C692="",0,1)</f>
        <v>0</v>
      </c>
      <c r="O692" s="19">
        <f>N(O691)+$N692</f>
        <v>272</v>
      </c>
      <c r="S692" s="20">
        <f>IFERROR(IF([2]对账明细接口!$N692=0,"",[2]对账明细接口!$N692),"")</f>
      </c>
      <c r="T692" s="212">
        <f>IFERROR(IF([2]对账明细接口!$O692=0,"",[2]对账明细接口!$O692),"")</f>
      </c>
      <c r="U692" s="212">
        <f>IFERROR(IF([2]对账明细接口!$P692=0,"",[2]对账明细接口!$P692),"")</f>
      </c>
      <c r="V692" s="212">
        <f>IFERROR(IF([2]对账明细接口!$Q692=0,"",[2]对账明细接口!$Q692),"")</f>
      </c>
      <c r="W692" s="20">
        <f>IFERROR(IF([2]对账明细接口!$R692=0,"",[2]对账明细接口!$R692),"")</f>
      </c>
      <c r="X692" s="20">
        <f>IFERROR(IF([2]对账明细接口!$S692=0,"",[2]对账明细接口!$S692),"")</f>
      </c>
      <c r="Y692" s="20">
        <f>""</f>
      </c>
      <c r="Z692" s="20">
        <f>""</f>
      </c>
      <c r="AA692" s="20">
        <f>""</f>
      </c>
      <c r="AB692" s="20">
        <f>""</f>
      </c>
    </row>
    <row r="693" s="127">
      <c r="A693" s="14" t="n">
        <v>693</v>
      </c>
      <c r="B693" s="211">
        <f>IFERROR(IF([2]对账明细接口!$B$693=0,"",[2]对账明细接口!$B$693),"")</f>
      </c>
      <c r="C693" s="16">
        <f>IFERROR(IF([2]对账明细接口!$C$693=0,"",[2]对账明细接口!$C$693),"")</f>
      </c>
      <c r="D693" s="16">
        <f>IFERROR(IF([2]对账明细接口!$D$693=0,"",[2]对账明细接口!$D$693),"")</f>
      </c>
      <c r="E693" s="16">
        <f>IFERROR(IF([2]对账明细接口!$E$693=0,"",[2]对账明细接口!$E$693),"")</f>
      </c>
      <c r="F693" s="16">
        <f>IFERROR(IF([2]对账明细接口!$F$693=0,"",[2]对账明细接口!$F$693),"")</f>
      </c>
      <c r="G693" s="16">
        <f>IFERROR(IF([2]对账明细接口!$G$693=0,"",[2]对账明细接口!$G$693),"")</f>
      </c>
      <c r="H693" s="176">
        <f>IFERROR(IF([2]对账明细接口!$H$693=0,"",[2]对账明细接口!$H$693),"")</f>
      </c>
      <c r="I693" s="16">
        <f>IFERROR(IF([2]对账明细接口!$I$693=0,"",[2]对账明细接口!$I$693),"")</f>
      </c>
      <c r="J693" s="177">
        <f>IFERROR(IF([2]对账明细接口!$J$693=0,"",[2]对账明细接口!$J$693),"")</f>
      </c>
      <c r="K693" s="177">
        <f>IFERROR(IF([2]对账明细接口!$K$693=0,"",[2]对账明细接口!$K$693),"")</f>
      </c>
      <c r="L693" s="16">
        <f>IFERROR(IF([2]对账明细接口!$L$693=0,"",[2]对账明细接口!$L$693),"")</f>
      </c>
      <c r="M693" s="16">
        <f>IFERROR(IF([2]对账明细接口!$M$693=0,"",[2]对账明细接口!$M$693),"")</f>
      </c>
      <c r="N693" s="19">
        <f>IF($C693="",0,1)</f>
        <v>0</v>
      </c>
      <c r="O693" s="19">
        <f>N(O692)+$N693</f>
        <v>272</v>
      </c>
      <c r="S693" s="20">
        <f>IFERROR(IF([2]对账明细接口!$N693=0,"",[2]对账明细接口!$N693),"")</f>
      </c>
      <c r="T693" s="212">
        <f>IFERROR(IF([2]对账明细接口!$O693=0,"",[2]对账明细接口!$O693),"")</f>
      </c>
      <c r="U693" s="212">
        <f>IFERROR(IF([2]对账明细接口!$P693=0,"",[2]对账明细接口!$P693),"")</f>
      </c>
      <c r="V693" s="212">
        <f>IFERROR(IF([2]对账明细接口!$Q693=0,"",[2]对账明细接口!$Q693),"")</f>
      </c>
      <c r="W693" s="20">
        <f>IFERROR(IF([2]对账明细接口!$R693=0,"",[2]对账明细接口!$R693),"")</f>
      </c>
      <c r="X693" s="20">
        <f>IFERROR(IF([2]对账明细接口!$S693=0,"",[2]对账明细接口!$S693),"")</f>
      </c>
      <c r="Y693" s="20">
        <f>""</f>
      </c>
      <c r="Z693" s="20">
        <f>""</f>
      </c>
      <c r="AA693" s="20">
        <f>""</f>
      </c>
      <c r="AB693" s="20">
        <f>""</f>
      </c>
    </row>
    <row r="694" s="127">
      <c r="A694" s="14" t="n">
        <v>694</v>
      </c>
      <c r="B694" s="211">
        <f>IFERROR(IF([2]对账明细接口!$B$694=0,"",[2]对账明细接口!$B$694),"")</f>
      </c>
      <c r="C694" s="16">
        <f>IFERROR(IF([2]对账明细接口!$C$694=0,"",[2]对账明细接口!$C$694),"")</f>
      </c>
      <c r="D694" s="16">
        <f>IFERROR(IF([2]对账明细接口!$D$694=0,"",[2]对账明细接口!$D$694),"")</f>
      </c>
      <c r="E694" s="16">
        <f>IFERROR(IF([2]对账明细接口!$E$694=0,"",[2]对账明细接口!$E$694),"")</f>
      </c>
      <c r="F694" s="16">
        <f>IFERROR(IF([2]对账明细接口!$F$694=0,"",[2]对账明细接口!$F$694),"")</f>
      </c>
      <c r="G694" s="16">
        <f>IFERROR(IF([2]对账明细接口!$G$694=0,"",[2]对账明细接口!$G$694),"")</f>
      </c>
      <c r="H694" s="176">
        <f>IFERROR(IF([2]对账明细接口!$H$694=0,"",[2]对账明细接口!$H$694),"")</f>
      </c>
      <c r="I694" s="16">
        <f>IFERROR(IF([2]对账明细接口!$I$694=0,"",[2]对账明细接口!$I$694),"")</f>
      </c>
      <c r="J694" s="177">
        <f>IFERROR(IF([2]对账明细接口!$J$694=0,"",[2]对账明细接口!$J$694),"")</f>
      </c>
      <c r="K694" s="177">
        <f>IFERROR(IF([2]对账明细接口!$K$694=0,"",[2]对账明细接口!$K$694),"")</f>
      </c>
      <c r="L694" s="16">
        <f>IFERROR(IF([2]对账明细接口!$L$694=0,"",[2]对账明细接口!$L$694),"")</f>
      </c>
      <c r="M694" s="16">
        <f>IFERROR(IF([2]对账明细接口!$M$694=0,"",[2]对账明细接口!$M$694),"")</f>
      </c>
      <c r="N694" s="19">
        <f>IF($C694="",0,1)</f>
        <v>0</v>
      </c>
      <c r="O694" s="19">
        <f>N(O693)+$N694</f>
        <v>272</v>
      </c>
      <c r="S694" s="20">
        <f>IFERROR(IF([2]对账明细接口!$N694=0,"",[2]对账明细接口!$N694),"")</f>
      </c>
      <c r="T694" s="212">
        <f>IFERROR(IF([2]对账明细接口!$O694=0,"",[2]对账明细接口!$O694),"")</f>
      </c>
      <c r="U694" s="212">
        <f>IFERROR(IF([2]对账明细接口!$P694=0,"",[2]对账明细接口!$P694),"")</f>
      </c>
      <c r="V694" s="212">
        <f>IFERROR(IF([2]对账明细接口!$Q694=0,"",[2]对账明细接口!$Q694),"")</f>
      </c>
      <c r="W694" s="20">
        <f>IFERROR(IF([2]对账明细接口!$R694=0,"",[2]对账明细接口!$R694),"")</f>
      </c>
      <c r="X694" s="20">
        <f>IFERROR(IF([2]对账明细接口!$S694=0,"",[2]对账明细接口!$S694),"")</f>
      </c>
      <c r="Y694" s="20">
        <f>""</f>
      </c>
      <c r="Z694" s="20">
        <f>""</f>
      </c>
      <c r="AA694" s="20">
        <f>""</f>
      </c>
      <c r="AB694" s="20">
        <f>""</f>
      </c>
    </row>
    <row r="695" s="127">
      <c r="A695" s="14" t="n">
        <v>695</v>
      </c>
      <c r="B695" s="211">
        <f>IFERROR(IF([2]对账明细接口!$B$695=0,"",[2]对账明细接口!$B$695),"")</f>
      </c>
      <c r="C695" s="16">
        <f>IFERROR(IF([2]对账明细接口!$C$695=0,"",[2]对账明细接口!$C$695),"")</f>
      </c>
      <c r="D695" s="16">
        <f>IFERROR(IF([2]对账明细接口!$D$695=0,"",[2]对账明细接口!$D$695),"")</f>
      </c>
      <c r="E695" s="16">
        <f>IFERROR(IF([2]对账明细接口!$E$695=0,"",[2]对账明细接口!$E$695),"")</f>
      </c>
      <c r="F695" s="16">
        <f>IFERROR(IF([2]对账明细接口!$F$695=0,"",[2]对账明细接口!$F$695),"")</f>
      </c>
      <c r="G695" s="16">
        <f>IFERROR(IF([2]对账明细接口!$G$695=0,"",[2]对账明细接口!$G$695),"")</f>
      </c>
      <c r="H695" s="176">
        <f>IFERROR(IF([2]对账明细接口!$H$695=0,"",[2]对账明细接口!$H$695),"")</f>
      </c>
      <c r="I695" s="16">
        <f>IFERROR(IF([2]对账明细接口!$I$695=0,"",[2]对账明细接口!$I$695),"")</f>
      </c>
      <c r="J695" s="177">
        <f>IFERROR(IF([2]对账明细接口!$J$695=0,"",[2]对账明细接口!$J$695),"")</f>
      </c>
      <c r="K695" s="177">
        <f>IFERROR(IF([2]对账明细接口!$K$695=0,"",[2]对账明细接口!$K$695),"")</f>
      </c>
      <c r="L695" s="16">
        <f>IFERROR(IF([2]对账明细接口!$L$695=0,"",[2]对账明细接口!$L$695),"")</f>
      </c>
      <c r="M695" s="16">
        <f>IFERROR(IF([2]对账明细接口!$M$695=0,"",[2]对账明细接口!$M$695),"")</f>
      </c>
      <c r="N695" s="19">
        <f>IF($C695="",0,1)</f>
        <v>0</v>
      </c>
      <c r="O695" s="19">
        <f>N(O694)+$N695</f>
        <v>272</v>
      </c>
      <c r="S695" s="20">
        <f>IFERROR(IF([2]对账明细接口!$N695=0,"",[2]对账明细接口!$N695),"")</f>
      </c>
      <c r="T695" s="212">
        <f>IFERROR(IF([2]对账明细接口!$O695=0,"",[2]对账明细接口!$O695),"")</f>
      </c>
      <c r="U695" s="212">
        <f>IFERROR(IF([2]对账明细接口!$P695=0,"",[2]对账明细接口!$P695),"")</f>
      </c>
      <c r="V695" s="212">
        <f>IFERROR(IF([2]对账明细接口!$Q695=0,"",[2]对账明细接口!$Q695),"")</f>
      </c>
      <c r="W695" s="20">
        <f>IFERROR(IF([2]对账明细接口!$R695=0,"",[2]对账明细接口!$R695),"")</f>
      </c>
      <c r="X695" s="20">
        <f>IFERROR(IF([2]对账明细接口!$S695=0,"",[2]对账明细接口!$S695),"")</f>
      </c>
      <c r="Y695" s="20">
        <f>""</f>
      </c>
      <c r="Z695" s="20">
        <f>""</f>
      </c>
      <c r="AA695" s="20">
        <f>""</f>
      </c>
      <c r="AB695" s="20">
        <f>""</f>
      </c>
    </row>
    <row r="696" s="127">
      <c r="A696" s="14" t="n">
        <v>696</v>
      </c>
      <c r="B696" s="211">
        <f>IFERROR(IF([2]对账明细接口!$B$696=0,"",[2]对账明细接口!$B$696),"")</f>
      </c>
      <c r="C696" s="16">
        <f>IFERROR(IF([2]对账明细接口!$C$696=0,"",[2]对账明细接口!$C$696),"")</f>
      </c>
      <c r="D696" s="16">
        <f>IFERROR(IF([2]对账明细接口!$D$696=0,"",[2]对账明细接口!$D$696),"")</f>
      </c>
      <c r="E696" s="16">
        <f>IFERROR(IF([2]对账明细接口!$E$696=0,"",[2]对账明细接口!$E$696),"")</f>
      </c>
      <c r="F696" s="16">
        <f>IFERROR(IF([2]对账明细接口!$F$696=0,"",[2]对账明细接口!$F$696),"")</f>
      </c>
      <c r="G696" s="16">
        <f>IFERROR(IF([2]对账明细接口!$G$696=0,"",[2]对账明细接口!$G$696),"")</f>
      </c>
      <c r="H696" s="176">
        <f>IFERROR(IF([2]对账明细接口!$H$696=0,"",[2]对账明细接口!$H$696),"")</f>
      </c>
      <c r="I696" s="16">
        <f>IFERROR(IF([2]对账明细接口!$I$696=0,"",[2]对账明细接口!$I$696),"")</f>
      </c>
      <c r="J696" s="177">
        <f>IFERROR(IF([2]对账明细接口!$J$696=0,"",[2]对账明细接口!$J$696),"")</f>
      </c>
      <c r="K696" s="177">
        <f>IFERROR(IF([2]对账明细接口!$K$696=0,"",[2]对账明细接口!$K$696),"")</f>
      </c>
      <c r="L696" s="16">
        <f>IFERROR(IF([2]对账明细接口!$L$696=0,"",[2]对账明细接口!$L$696),"")</f>
      </c>
      <c r="M696" s="16">
        <f>IFERROR(IF([2]对账明细接口!$M$696=0,"",[2]对账明细接口!$M$696),"")</f>
      </c>
      <c r="N696" s="19">
        <f>IF($C696="",0,1)</f>
        <v>0</v>
      </c>
      <c r="O696" s="19">
        <f>N(O695)+$N696</f>
        <v>272</v>
      </c>
      <c r="S696" s="20">
        <f>IFERROR(IF([2]对账明细接口!$N696=0,"",[2]对账明细接口!$N696),"")</f>
      </c>
      <c r="T696" s="212">
        <f>IFERROR(IF([2]对账明细接口!$O696=0,"",[2]对账明细接口!$O696),"")</f>
      </c>
      <c r="U696" s="212">
        <f>IFERROR(IF([2]对账明细接口!$P696=0,"",[2]对账明细接口!$P696),"")</f>
      </c>
      <c r="V696" s="212">
        <f>IFERROR(IF([2]对账明细接口!$Q696=0,"",[2]对账明细接口!$Q696),"")</f>
      </c>
      <c r="W696" s="20">
        <f>IFERROR(IF([2]对账明细接口!$R696=0,"",[2]对账明细接口!$R696),"")</f>
      </c>
      <c r="X696" s="20">
        <f>IFERROR(IF([2]对账明细接口!$S696=0,"",[2]对账明细接口!$S696),"")</f>
      </c>
      <c r="Y696" s="20">
        <f>""</f>
      </c>
      <c r="Z696" s="20">
        <f>""</f>
      </c>
      <c r="AA696" s="20">
        <f>""</f>
      </c>
      <c r="AB696" s="20">
        <f>""</f>
      </c>
    </row>
    <row r="697" s="127">
      <c r="A697" s="14" t="n">
        <v>697</v>
      </c>
      <c r="B697" s="211">
        <f>IFERROR(IF([2]对账明细接口!$B$697=0,"",[2]对账明细接口!$B$697),"")</f>
      </c>
      <c r="C697" s="16">
        <f>IFERROR(IF([2]对账明细接口!$C$697=0,"",[2]对账明细接口!$C$697),"")</f>
      </c>
      <c r="D697" s="16">
        <f>IFERROR(IF([2]对账明细接口!$D$697=0,"",[2]对账明细接口!$D$697),"")</f>
      </c>
      <c r="E697" s="16">
        <f>IFERROR(IF([2]对账明细接口!$E$697=0,"",[2]对账明细接口!$E$697),"")</f>
      </c>
      <c r="F697" s="16">
        <f>IFERROR(IF([2]对账明细接口!$F$697=0,"",[2]对账明细接口!$F$697),"")</f>
      </c>
      <c r="G697" s="16">
        <f>IFERROR(IF([2]对账明细接口!$G$697=0,"",[2]对账明细接口!$G$697),"")</f>
      </c>
      <c r="H697" s="176">
        <f>IFERROR(IF([2]对账明细接口!$H$697=0,"",[2]对账明细接口!$H$697),"")</f>
      </c>
      <c r="I697" s="16">
        <f>IFERROR(IF([2]对账明细接口!$I$697=0,"",[2]对账明细接口!$I$697),"")</f>
      </c>
      <c r="J697" s="177">
        <f>IFERROR(IF([2]对账明细接口!$J$697=0,"",[2]对账明细接口!$J$697),"")</f>
      </c>
      <c r="K697" s="177">
        <f>IFERROR(IF([2]对账明细接口!$K$697=0,"",[2]对账明细接口!$K$697),"")</f>
      </c>
      <c r="L697" s="16">
        <f>IFERROR(IF([2]对账明细接口!$L$697=0,"",[2]对账明细接口!$L$697),"")</f>
      </c>
      <c r="M697" s="16">
        <f>IFERROR(IF([2]对账明细接口!$M$697=0,"",[2]对账明细接口!$M$697),"")</f>
      </c>
      <c r="N697" s="19">
        <f>IF($C697="",0,1)</f>
        <v>0</v>
      </c>
      <c r="O697" s="19">
        <f>N(O696)+$N697</f>
        <v>272</v>
      </c>
      <c r="S697" s="20">
        <f>IFERROR(IF([2]对账明细接口!$N697=0,"",[2]对账明细接口!$N697),"")</f>
      </c>
      <c r="T697" s="212">
        <f>IFERROR(IF([2]对账明细接口!$O697=0,"",[2]对账明细接口!$O697),"")</f>
      </c>
      <c r="U697" s="212">
        <f>IFERROR(IF([2]对账明细接口!$P697=0,"",[2]对账明细接口!$P697),"")</f>
      </c>
      <c r="V697" s="212">
        <f>IFERROR(IF([2]对账明细接口!$Q697=0,"",[2]对账明细接口!$Q697),"")</f>
      </c>
      <c r="W697" s="20">
        <f>IFERROR(IF([2]对账明细接口!$R697=0,"",[2]对账明细接口!$R697),"")</f>
      </c>
      <c r="X697" s="20">
        <f>IFERROR(IF([2]对账明细接口!$S697=0,"",[2]对账明细接口!$S697),"")</f>
      </c>
      <c r="Y697" s="20">
        <f>""</f>
      </c>
      <c r="Z697" s="20">
        <f>""</f>
      </c>
      <c r="AA697" s="20">
        <f>""</f>
      </c>
      <c r="AB697" s="20">
        <f>""</f>
      </c>
    </row>
    <row r="698" s="127">
      <c r="A698" s="14" t="n">
        <v>698</v>
      </c>
      <c r="B698" s="211">
        <f>IFERROR(IF([2]对账明细接口!$B$698=0,"",[2]对账明细接口!$B$698),"")</f>
      </c>
      <c r="C698" s="16">
        <f>IFERROR(IF([2]对账明细接口!$C$698=0,"",[2]对账明细接口!$C$698),"")</f>
      </c>
      <c r="D698" s="16">
        <f>IFERROR(IF([2]对账明细接口!$D$698=0,"",[2]对账明细接口!$D$698),"")</f>
      </c>
      <c r="E698" s="16">
        <f>IFERROR(IF([2]对账明细接口!$E$698=0,"",[2]对账明细接口!$E$698),"")</f>
      </c>
      <c r="F698" s="16">
        <f>IFERROR(IF([2]对账明细接口!$F$698=0,"",[2]对账明细接口!$F$698),"")</f>
      </c>
      <c r="G698" s="16">
        <f>IFERROR(IF([2]对账明细接口!$G$698=0,"",[2]对账明细接口!$G$698),"")</f>
      </c>
      <c r="H698" s="176">
        <f>IFERROR(IF([2]对账明细接口!$H$698=0,"",[2]对账明细接口!$H$698),"")</f>
      </c>
      <c r="I698" s="16">
        <f>IFERROR(IF([2]对账明细接口!$I$698=0,"",[2]对账明细接口!$I$698),"")</f>
      </c>
      <c r="J698" s="177">
        <f>IFERROR(IF([2]对账明细接口!$J$698=0,"",[2]对账明细接口!$J$698),"")</f>
      </c>
      <c r="K698" s="177">
        <f>IFERROR(IF([2]对账明细接口!$K$698=0,"",[2]对账明细接口!$K$698),"")</f>
      </c>
      <c r="L698" s="16">
        <f>IFERROR(IF([2]对账明细接口!$L$698=0,"",[2]对账明细接口!$L$698),"")</f>
      </c>
      <c r="M698" s="16">
        <f>IFERROR(IF([2]对账明细接口!$M$698=0,"",[2]对账明细接口!$M$698),"")</f>
      </c>
      <c r="N698" s="19">
        <f>IF($C698="",0,1)</f>
        <v>0</v>
      </c>
      <c r="O698" s="19">
        <f>N(O697)+$N698</f>
        <v>272</v>
      </c>
      <c r="S698" s="20">
        <f>IFERROR(IF([2]对账明细接口!$N698=0,"",[2]对账明细接口!$N698),"")</f>
      </c>
      <c r="T698" s="212">
        <f>IFERROR(IF([2]对账明细接口!$O698=0,"",[2]对账明细接口!$O698),"")</f>
      </c>
      <c r="U698" s="212">
        <f>IFERROR(IF([2]对账明细接口!$P698=0,"",[2]对账明细接口!$P698),"")</f>
      </c>
      <c r="V698" s="212">
        <f>IFERROR(IF([2]对账明细接口!$Q698=0,"",[2]对账明细接口!$Q698),"")</f>
      </c>
      <c r="W698" s="20">
        <f>IFERROR(IF([2]对账明细接口!$R698=0,"",[2]对账明细接口!$R698),"")</f>
      </c>
      <c r="X698" s="20">
        <f>IFERROR(IF([2]对账明细接口!$S698=0,"",[2]对账明细接口!$S698),"")</f>
      </c>
      <c r="Y698" s="20">
        <f>""</f>
      </c>
      <c r="Z698" s="20">
        <f>""</f>
      </c>
      <c r="AA698" s="20">
        <f>""</f>
      </c>
      <c r="AB698" s="20">
        <f>""</f>
      </c>
    </row>
    <row r="699" s="127">
      <c r="A699" s="14" t="n">
        <v>699</v>
      </c>
      <c r="B699" s="211">
        <f>IFERROR(IF([2]对账明细接口!$B$699=0,"",[2]对账明细接口!$B$699),"")</f>
      </c>
      <c r="C699" s="16">
        <f>IFERROR(IF([2]对账明细接口!$C$699=0,"",[2]对账明细接口!$C$699),"")</f>
      </c>
      <c r="D699" s="16">
        <f>IFERROR(IF([2]对账明细接口!$D$699=0,"",[2]对账明细接口!$D$699),"")</f>
      </c>
      <c r="E699" s="16">
        <f>IFERROR(IF([2]对账明细接口!$E$699=0,"",[2]对账明细接口!$E$699),"")</f>
      </c>
      <c r="F699" s="16">
        <f>IFERROR(IF([2]对账明细接口!$F$699=0,"",[2]对账明细接口!$F$699),"")</f>
      </c>
      <c r="G699" s="16">
        <f>IFERROR(IF([2]对账明细接口!$G$699=0,"",[2]对账明细接口!$G$699),"")</f>
      </c>
      <c r="H699" s="176">
        <f>IFERROR(IF([2]对账明细接口!$H$699=0,"",[2]对账明细接口!$H$699),"")</f>
      </c>
      <c r="I699" s="16">
        <f>IFERROR(IF([2]对账明细接口!$I$699=0,"",[2]对账明细接口!$I$699),"")</f>
      </c>
      <c r="J699" s="177">
        <f>IFERROR(IF([2]对账明细接口!$J$699=0,"",[2]对账明细接口!$J$699),"")</f>
      </c>
      <c r="K699" s="177">
        <f>IFERROR(IF([2]对账明细接口!$K$699=0,"",[2]对账明细接口!$K$699),"")</f>
      </c>
      <c r="L699" s="16">
        <f>IFERROR(IF([2]对账明细接口!$L$699=0,"",[2]对账明细接口!$L$699),"")</f>
      </c>
      <c r="M699" s="16">
        <f>IFERROR(IF([2]对账明细接口!$M$699=0,"",[2]对账明细接口!$M$699),"")</f>
      </c>
      <c r="N699" s="19">
        <f>IF($C699="",0,1)</f>
        <v>0</v>
      </c>
      <c r="O699" s="19">
        <f>N(O698)+$N699</f>
        <v>272</v>
      </c>
      <c r="S699" s="20">
        <f>IFERROR(IF([2]对账明细接口!$N699=0,"",[2]对账明细接口!$N699),"")</f>
      </c>
      <c r="T699" s="212">
        <f>IFERROR(IF([2]对账明细接口!$O699=0,"",[2]对账明细接口!$O699),"")</f>
      </c>
      <c r="U699" s="212">
        <f>IFERROR(IF([2]对账明细接口!$P699=0,"",[2]对账明细接口!$P699),"")</f>
      </c>
      <c r="V699" s="212">
        <f>IFERROR(IF([2]对账明细接口!$Q699=0,"",[2]对账明细接口!$Q699),"")</f>
      </c>
      <c r="W699" s="20">
        <f>IFERROR(IF([2]对账明细接口!$R699=0,"",[2]对账明细接口!$R699),"")</f>
      </c>
      <c r="X699" s="20">
        <f>IFERROR(IF([2]对账明细接口!$S699=0,"",[2]对账明细接口!$S699),"")</f>
      </c>
      <c r="Y699" s="20">
        <f>""</f>
      </c>
      <c r="Z699" s="20">
        <f>""</f>
      </c>
      <c r="AA699" s="20">
        <f>""</f>
      </c>
      <c r="AB699" s="20">
        <f>""</f>
      </c>
    </row>
    <row r="700" s="127">
      <c r="A700" s="14" t="n">
        <v>700</v>
      </c>
      <c r="B700" s="211">
        <f>IFERROR(IF([2]对账明细接口!$B$700=0,"",[2]对账明细接口!$B$700),"")</f>
      </c>
      <c r="C700" s="16">
        <f>IFERROR(IF([2]对账明细接口!$C$700=0,"",[2]对账明细接口!$C$700),"")</f>
      </c>
      <c r="D700" s="16">
        <f>IFERROR(IF([2]对账明细接口!$D$700=0,"",[2]对账明细接口!$D$700),"")</f>
      </c>
      <c r="E700" s="16">
        <f>IFERROR(IF([2]对账明细接口!$E$700=0,"",[2]对账明细接口!$E$700),"")</f>
      </c>
      <c r="F700" s="16">
        <f>IFERROR(IF([2]对账明细接口!$F$700=0,"",[2]对账明细接口!$F$700),"")</f>
      </c>
      <c r="G700" s="16">
        <f>IFERROR(IF([2]对账明细接口!$G$700=0,"",[2]对账明细接口!$G$700),"")</f>
      </c>
      <c r="H700" s="176">
        <f>IFERROR(IF([2]对账明细接口!$H$700=0,"",[2]对账明细接口!$H$700),"")</f>
      </c>
      <c r="I700" s="16">
        <f>IFERROR(IF([2]对账明细接口!$I$700=0,"",[2]对账明细接口!$I$700),"")</f>
      </c>
      <c r="J700" s="177">
        <f>IFERROR(IF([2]对账明细接口!$J$700=0,"",[2]对账明细接口!$J$700),"")</f>
      </c>
      <c r="K700" s="177">
        <f>IFERROR(IF([2]对账明细接口!$K$700=0,"",[2]对账明细接口!$K$700),"")</f>
      </c>
      <c r="L700" s="16">
        <f>IFERROR(IF([2]对账明细接口!$L$700=0,"",[2]对账明细接口!$L$700),"")</f>
      </c>
      <c r="M700" s="16">
        <f>IFERROR(IF([2]对账明细接口!$M$700=0,"",[2]对账明细接口!$M$700),"")</f>
      </c>
      <c r="N700" s="19">
        <f>IF($C700="",0,1)</f>
        <v>0</v>
      </c>
      <c r="O700" s="19">
        <f>N(O699)+$N700</f>
        <v>272</v>
      </c>
      <c r="S700" s="20">
        <f>IFERROR(IF([2]对账明细接口!$N700=0,"",[2]对账明细接口!$N700),"")</f>
      </c>
      <c r="T700" s="212">
        <f>IFERROR(IF([2]对账明细接口!$O700=0,"",[2]对账明细接口!$O700),"")</f>
      </c>
      <c r="U700" s="212">
        <f>IFERROR(IF([2]对账明细接口!$P700=0,"",[2]对账明细接口!$P700),"")</f>
      </c>
      <c r="V700" s="212">
        <f>IFERROR(IF([2]对账明细接口!$Q700=0,"",[2]对账明细接口!$Q700),"")</f>
      </c>
      <c r="W700" s="20">
        <f>IFERROR(IF([2]对账明细接口!$R700=0,"",[2]对账明细接口!$R700),"")</f>
      </c>
      <c r="X700" s="20">
        <f>IFERROR(IF([2]对账明细接口!$S700=0,"",[2]对账明细接口!$S700),"")</f>
      </c>
      <c r="Y700" s="20">
        <f>""</f>
      </c>
      <c r="Z700" s="20">
        <f>""</f>
      </c>
      <c r="AA700" s="20">
        <f>""</f>
      </c>
      <c r="AB700" s="20">
        <f>""</f>
      </c>
    </row>
    <row r="701" s="127">
      <c r="A701" s="14" t="n">
        <v>701</v>
      </c>
      <c r="B701" s="211">
        <f>IFERROR(IF([2]对账明细接口!$B$701=0,"",[2]对账明细接口!$B$701),"")</f>
      </c>
      <c r="C701" s="16">
        <f>IFERROR(IF([2]对账明细接口!$C$701=0,"",[2]对账明细接口!$C$701),"")</f>
      </c>
      <c r="D701" s="16">
        <f>IFERROR(IF([2]对账明细接口!$D$701=0,"",[2]对账明细接口!$D$701),"")</f>
      </c>
      <c r="E701" s="16">
        <f>IFERROR(IF([2]对账明细接口!$E$701=0,"",[2]对账明细接口!$E$701),"")</f>
      </c>
      <c r="F701" s="16">
        <f>IFERROR(IF([2]对账明细接口!$F$701=0,"",[2]对账明细接口!$F$701),"")</f>
      </c>
      <c r="G701" s="16">
        <f>IFERROR(IF([2]对账明细接口!$G$701=0,"",[2]对账明细接口!$G$701),"")</f>
      </c>
      <c r="H701" s="176">
        <f>IFERROR(IF([2]对账明细接口!$H$701=0,"",[2]对账明细接口!$H$701),"")</f>
      </c>
      <c r="I701" s="16">
        <f>IFERROR(IF([2]对账明细接口!$I$701=0,"",[2]对账明细接口!$I$701),"")</f>
      </c>
      <c r="J701" s="177">
        <f>IFERROR(IF([2]对账明细接口!$J$701=0,"",[2]对账明细接口!$J$701),"")</f>
      </c>
      <c r="K701" s="177">
        <f>IFERROR(IF([2]对账明细接口!$K$701=0,"",[2]对账明细接口!$K$701),"")</f>
      </c>
      <c r="L701" s="16">
        <f>IFERROR(IF([2]对账明细接口!$L$701=0,"",[2]对账明细接口!$L$701),"")</f>
      </c>
      <c r="M701" s="16">
        <f>IFERROR(IF([2]对账明细接口!$M$701=0,"",[2]对账明细接口!$M$701),"")</f>
      </c>
      <c r="N701" s="19">
        <f>IF($C701="",0,1)</f>
        <v>0</v>
      </c>
      <c r="O701" s="19">
        <f>N(O700)+$N701</f>
        <v>272</v>
      </c>
      <c r="S701" s="20">
        <f>IFERROR(IF([2]对账明细接口!$N701=0,"",[2]对账明细接口!$N701),"")</f>
      </c>
      <c r="T701" s="212">
        <f>IFERROR(IF([2]对账明细接口!$O701=0,"",[2]对账明细接口!$O701),"")</f>
      </c>
      <c r="U701" s="212">
        <f>IFERROR(IF([2]对账明细接口!$P701=0,"",[2]对账明细接口!$P701),"")</f>
      </c>
      <c r="V701" s="212">
        <f>IFERROR(IF([2]对账明细接口!$Q701=0,"",[2]对账明细接口!$Q701),"")</f>
      </c>
      <c r="W701" s="20">
        <f>IFERROR(IF([2]对账明细接口!$R701=0,"",[2]对账明细接口!$R701),"")</f>
      </c>
      <c r="X701" s="20">
        <f>IFERROR(IF([2]对账明细接口!$S701=0,"",[2]对账明细接口!$S701),"")</f>
      </c>
      <c r="Y701" s="20">
        <f>""</f>
      </c>
      <c r="Z701" s="20">
        <f>""</f>
      </c>
      <c r="AA701" s="20">
        <f>""</f>
      </c>
      <c r="AB701" s="20">
        <f>""</f>
      </c>
    </row>
    <row r="702" s="127">
      <c r="A702" s="14" t="n">
        <v>702</v>
      </c>
      <c r="B702" s="211">
        <f>IFERROR(IF([2]对账明细接口!$B$702=0,"",[2]对账明细接口!$B$702),"")</f>
      </c>
      <c r="C702" s="16">
        <f>IFERROR(IF([2]对账明细接口!$C$702=0,"",[2]对账明细接口!$C$702),"")</f>
      </c>
      <c r="D702" s="16">
        <f>IFERROR(IF([2]对账明细接口!$D$702=0,"",[2]对账明细接口!$D$702),"")</f>
      </c>
      <c r="E702" s="16">
        <f>IFERROR(IF([2]对账明细接口!$E$702=0,"",[2]对账明细接口!$E$702),"")</f>
      </c>
      <c r="F702" s="16">
        <f>IFERROR(IF([2]对账明细接口!$F$702=0,"",[2]对账明细接口!$F$702),"")</f>
      </c>
      <c r="G702" s="16">
        <f>IFERROR(IF([2]对账明细接口!$G$702=0,"",[2]对账明细接口!$G$702),"")</f>
      </c>
      <c r="H702" s="176">
        <f>IFERROR(IF([2]对账明细接口!$H$702=0,"",[2]对账明细接口!$H$702),"")</f>
      </c>
      <c r="I702" s="16">
        <f>IFERROR(IF([2]对账明细接口!$I$702=0,"",[2]对账明细接口!$I$702),"")</f>
      </c>
      <c r="J702" s="177">
        <f>IFERROR(IF([2]对账明细接口!$J$702=0,"",[2]对账明细接口!$J$702),"")</f>
      </c>
      <c r="K702" s="177">
        <f>IFERROR(IF([2]对账明细接口!$K$702=0,"",[2]对账明细接口!$K$702),"")</f>
      </c>
      <c r="L702" s="16">
        <f>IFERROR(IF([2]对账明细接口!$L$702=0,"",[2]对账明细接口!$L$702),"")</f>
      </c>
      <c r="M702" s="16">
        <f>IFERROR(IF([2]对账明细接口!$M$702=0,"",[2]对账明细接口!$M$702),"")</f>
      </c>
      <c r="N702" s="19">
        <f>IF($C702="",0,1)</f>
        <v>0</v>
      </c>
      <c r="O702" s="19">
        <f>N(O701)+$N702</f>
        <v>272</v>
      </c>
      <c r="S702" s="20">
        <f>IFERROR(IF([2]对账明细接口!$N702=0,"",[2]对账明细接口!$N702),"")</f>
      </c>
      <c r="T702" s="212">
        <f>IFERROR(IF([2]对账明细接口!$O702=0,"",[2]对账明细接口!$O702),"")</f>
      </c>
      <c r="U702" s="212">
        <f>IFERROR(IF([2]对账明细接口!$P702=0,"",[2]对账明细接口!$P702),"")</f>
      </c>
      <c r="V702" s="212">
        <f>IFERROR(IF([2]对账明细接口!$Q702=0,"",[2]对账明细接口!$Q702),"")</f>
      </c>
      <c r="W702" s="20">
        <f>IFERROR(IF([2]对账明细接口!$R702=0,"",[2]对账明细接口!$R702),"")</f>
      </c>
      <c r="X702" s="20">
        <f>IFERROR(IF([2]对账明细接口!$S702=0,"",[2]对账明细接口!$S702),"")</f>
      </c>
      <c r="Y702" s="20">
        <f>""</f>
      </c>
      <c r="Z702" s="20">
        <f>""</f>
      </c>
      <c r="AA702" s="20">
        <f>""</f>
      </c>
      <c r="AB702" s="20">
        <f>""</f>
      </c>
    </row>
    <row r="703" s="127">
      <c r="A703" s="14" t="n">
        <v>703</v>
      </c>
      <c r="B703" s="211">
        <f>IFERROR(IF([2]对账明细接口!$B$703=0,"",[2]对账明细接口!$B$703),"")</f>
      </c>
      <c r="C703" s="16">
        <f>IFERROR(IF([2]对账明细接口!$C$703=0,"",[2]对账明细接口!$C$703),"")</f>
      </c>
      <c r="D703" s="16">
        <f>IFERROR(IF([2]对账明细接口!$D$703=0,"",[2]对账明细接口!$D$703),"")</f>
      </c>
      <c r="E703" s="16">
        <f>IFERROR(IF([2]对账明细接口!$E$703=0,"",[2]对账明细接口!$E$703),"")</f>
      </c>
      <c r="F703" s="16">
        <f>IFERROR(IF([2]对账明细接口!$F$703=0,"",[2]对账明细接口!$F$703),"")</f>
      </c>
      <c r="G703" s="16">
        <f>IFERROR(IF([2]对账明细接口!$G$703=0,"",[2]对账明细接口!$G$703),"")</f>
      </c>
      <c r="H703" s="176">
        <f>IFERROR(IF([2]对账明细接口!$H$703=0,"",[2]对账明细接口!$H$703),"")</f>
      </c>
      <c r="I703" s="16">
        <f>IFERROR(IF([2]对账明细接口!$I$703=0,"",[2]对账明细接口!$I$703),"")</f>
      </c>
      <c r="J703" s="177">
        <f>IFERROR(IF([2]对账明细接口!$J$703=0,"",[2]对账明细接口!$J$703),"")</f>
      </c>
      <c r="K703" s="177">
        <f>IFERROR(IF([2]对账明细接口!$K$703=0,"",[2]对账明细接口!$K$703),"")</f>
      </c>
      <c r="L703" s="16">
        <f>IFERROR(IF([2]对账明细接口!$L$703=0,"",[2]对账明细接口!$L$703),"")</f>
      </c>
      <c r="M703" s="16">
        <f>IFERROR(IF([2]对账明细接口!$M$703=0,"",[2]对账明细接口!$M$703),"")</f>
      </c>
      <c r="N703" s="19">
        <f>IF($C703="",0,1)</f>
        <v>0</v>
      </c>
      <c r="O703" s="19">
        <f>N(O702)+$N703</f>
        <v>272</v>
      </c>
      <c r="S703" s="20">
        <f>IFERROR(IF([2]对账明细接口!$N703=0,"",[2]对账明细接口!$N703),"")</f>
      </c>
      <c r="T703" s="212">
        <f>IFERROR(IF([2]对账明细接口!$O703=0,"",[2]对账明细接口!$O703),"")</f>
      </c>
      <c r="U703" s="212">
        <f>IFERROR(IF([2]对账明细接口!$P703=0,"",[2]对账明细接口!$P703),"")</f>
      </c>
      <c r="V703" s="212">
        <f>IFERROR(IF([2]对账明细接口!$Q703=0,"",[2]对账明细接口!$Q703),"")</f>
      </c>
      <c r="W703" s="20">
        <f>IFERROR(IF([2]对账明细接口!$R703=0,"",[2]对账明细接口!$R703),"")</f>
      </c>
      <c r="X703" s="20">
        <f>IFERROR(IF([2]对账明细接口!$S703=0,"",[2]对账明细接口!$S703),"")</f>
      </c>
      <c r="Y703" s="20">
        <f>""</f>
      </c>
      <c r="Z703" s="20">
        <f>""</f>
      </c>
      <c r="AA703" s="20">
        <f>""</f>
      </c>
      <c r="AB703" s="20">
        <f>""</f>
      </c>
    </row>
    <row r="704" s="127">
      <c r="A704" s="14" t="n">
        <v>704</v>
      </c>
      <c r="B704" s="211">
        <f>IFERROR(IF([2]对账明细接口!$B$704=0,"",[2]对账明细接口!$B$704),"")</f>
      </c>
      <c r="C704" s="16">
        <f>IFERROR(IF([2]对账明细接口!$C$704=0,"",[2]对账明细接口!$C$704),"")</f>
      </c>
      <c r="D704" s="16">
        <f>IFERROR(IF([2]对账明细接口!$D$704=0,"",[2]对账明细接口!$D$704),"")</f>
      </c>
      <c r="E704" s="16">
        <f>IFERROR(IF([2]对账明细接口!$E$704=0,"",[2]对账明细接口!$E$704),"")</f>
      </c>
      <c r="F704" s="16">
        <f>IFERROR(IF([2]对账明细接口!$F$704=0,"",[2]对账明细接口!$F$704),"")</f>
      </c>
      <c r="G704" s="16">
        <f>IFERROR(IF([2]对账明细接口!$G$704=0,"",[2]对账明细接口!$G$704),"")</f>
      </c>
      <c r="H704" s="176">
        <f>IFERROR(IF([2]对账明细接口!$H$704=0,"",[2]对账明细接口!$H$704),"")</f>
      </c>
      <c r="I704" s="16">
        <f>IFERROR(IF([2]对账明细接口!$I$704=0,"",[2]对账明细接口!$I$704),"")</f>
      </c>
      <c r="J704" s="177">
        <f>IFERROR(IF([2]对账明细接口!$J$704=0,"",[2]对账明细接口!$J$704),"")</f>
      </c>
      <c r="K704" s="177">
        <f>IFERROR(IF([2]对账明细接口!$K$704=0,"",[2]对账明细接口!$K$704),"")</f>
      </c>
      <c r="L704" s="16">
        <f>IFERROR(IF([2]对账明细接口!$L$704=0,"",[2]对账明细接口!$L$704),"")</f>
      </c>
      <c r="M704" s="16">
        <f>IFERROR(IF([2]对账明细接口!$M$704=0,"",[2]对账明细接口!$M$704),"")</f>
      </c>
      <c r="N704" s="19">
        <f>IF($C704="",0,1)</f>
        <v>0</v>
      </c>
      <c r="O704" s="19">
        <f>N(O703)+$N704</f>
        <v>272</v>
      </c>
      <c r="S704" s="20">
        <f>IFERROR(IF([2]对账明细接口!$N704=0,"",[2]对账明细接口!$N704),"")</f>
      </c>
      <c r="T704" s="212">
        <f>IFERROR(IF([2]对账明细接口!$O704=0,"",[2]对账明细接口!$O704),"")</f>
      </c>
      <c r="U704" s="212">
        <f>IFERROR(IF([2]对账明细接口!$P704=0,"",[2]对账明细接口!$P704),"")</f>
      </c>
      <c r="V704" s="212">
        <f>IFERROR(IF([2]对账明细接口!$Q704=0,"",[2]对账明细接口!$Q704),"")</f>
      </c>
      <c r="W704" s="20">
        <f>IFERROR(IF([2]对账明细接口!$R704=0,"",[2]对账明细接口!$R704),"")</f>
      </c>
      <c r="X704" s="20">
        <f>IFERROR(IF([2]对账明细接口!$S704=0,"",[2]对账明细接口!$S704),"")</f>
      </c>
      <c r="Y704" s="20">
        <f>""</f>
      </c>
      <c r="Z704" s="20">
        <f>""</f>
      </c>
      <c r="AA704" s="20">
        <f>""</f>
      </c>
      <c r="AB704" s="20">
        <f>""</f>
      </c>
    </row>
    <row r="705" s="127">
      <c r="A705" s="14" t="n">
        <v>705</v>
      </c>
      <c r="B705" s="211">
        <f>IFERROR(IF([2]对账明细接口!$B$705=0,"",[2]对账明细接口!$B$705),"")</f>
      </c>
      <c r="C705" s="16">
        <f>IFERROR(IF([2]对账明细接口!$C$705=0,"",[2]对账明细接口!$C$705),"")</f>
      </c>
      <c r="D705" s="16">
        <f>IFERROR(IF([2]对账明细接口!$D$705=0,"",[2]对账明细接口!$D$705),"")</f>
      </c>
      <c r="E705" s="16">
        <f>IFERROR(IF([2]对账明细接口!$E$705=0,"",[2]对账明细接口!$E$705),"")</f>
      </c>
      <c r="F705" s="16">
        <f>IFERROR(IF([2]对账明细接口!$F$705=0,"",[2]对账明细接口!$F$705),"")</f>
      </c>
      <c r="G705" s="16">
        <f>IFERROR(IF([2]对账明细接口!$G$705=0,"",[2]对账明细接口!$G$705),"")</f>
      </c>
      <c r="H705" s="176">
        <f>IFERROR(IF([2]对账明细接口!$H$705=0,"",[2]对账明细接口!$H$705),"")</f>
      </c>
      <c r="I705" s="16">
        <f>IFERROR(IF([2]对账明细接口!$I$705=0,"",[2]对账明细接口!$I$705),"")</f>
      </c>
      <c r="J705" s="177">
        <f>IFERROR(IF([2]对账明细接口!$J$705=0,"",[2]对账明细接口!$J$705),"")</f>
      </c>
      <c r="K705" s="177">
        <f>IFERROR(IF([2]对账明细接口!$K$705=0,"",[2]对账明细接口!$K$705),"")</f>
      </c>
      <c r="L705" s="16">
        <f>IFERROR(IF([2]对账明细接口!$L$705=0,"",[2]对账明细接口!$L$705),"")</f>
      </c>
      <c r="M705" s="16">
        <f>IFERROR(IF([2]对账明细接口!$M$705=0,"",[2]对账明细接口!$M$705),"")</f>
      </c>
      <c r="N705" s="19">
        <f>IF($C705="",0,1)</f>
        <v>0</v>
      </c>
      <c r="O705" s="19">
        <f>N(O704)+$N705</f>
        <v>272</v>
      </c>
      <c r="S705" s="20">
        <f>IFERROR(IF([2]对账明细接口!$N705=0,"",[2]对账明细接口!$N705),"")</f>
      </c>
      <c r="T705" s="212">
        <f>IFERROR(IF([2]对账明细接口!$O705=0,"",[2]对账明细接口!$O705),"")</f>
      </c>
      <c r="U705" s="212">
        <f>IFERROR(IF([2]对账明细接口!$P705=0,"",[2]对账明细接口!$P705),"")</f>
      </c>
      <c r="V705" s="212">
        <f>IFERROR(IF([2]对账明细接口!$Q705=0,"",[2]对账明细接口!$Q705),"")</f>
      </c>
      <c r="W705" s="20">
        <f>IFERROR(IF([2]对账明细接口!$R705=0,"",[2]对账明细接口!$R705),"")</f>
      </c>
      <c r="X705" s="20">
        <f>IFERROR(IF([2]对账明细接口!$S705=0,"",[2]对账明细接口!$S705),"")</f>
      </c>
      <c r="Y705" s="20">
        <f>""</f>
      </c>
      <c r="Z705" s="20">
        <f>""</f>
      </c>
      <c r="AA705" s="20">
        <f>""</f>
      </c>
      <c r="AB705" s="20">
        <f>""</f>
      </c>
    </row>
    <row r="706" s="127">
      <c r="A706" s="14" t="n">
        <v>706</v>
      </c>
      <c r="B706" s="211">
        <f>IFERROR(IF([2]对账明细接口!$B$706=0,"",[2]对账明细接口!$B$706),"")</f>
      </c>
      <c r="C706" s="16">
        <f>IFERROR(IF([2]对账明细接口!$C$706=0,"",[2]对账明细接口!$C$706),"")</f>
      </c>
      <c r="D706" s="16">
        <f>IFERROR(IF([2]对账明细接口!$D$706=0,"",[2]对账明细接口!$D$706),"")</f>
      </c>
      <c r="E706" s="16">
        <f>IFERROR(IF([2]对账明细接口!$E$706=0,"",[2]对账明细接口!$E$706),"")</f>
      </c>
      <c r="F706" s="16">
        <f>IFERROR(IF([2]对账明细接口!$F$706=0,"",[2]对账明细接口!$F$706),"")</f>
      </c>
      <c r="G706" s="16">
        <f>IFERROR(IF([2]对账明细接口!$G$706=0,"",[2]对账明细接口!$G$706),"")</f>
      </c>
      <c r="H706" s="176">
        <f>IFERROR(IF([2]对账明细接口!$H$706=0,"",[2]对账明细接口!$H$706),"")</f>
      </c>
      <c r="I706" s="16">
        <f>IFERROR(IF([2]对账明细接口!$I$706=0,"",[2]对账明细接口!$I$706),"")</f>
      </c>
      <c r="J706" s="177">
        <f>IFERROR(IF([2]对账明细接口!$J$706=0,"",[2]对账明细接口!$J$706),"")</f>
      </c>
      <c r="K706" s="177">
        <f>IFERROR(IF([2]对账明细接口!$K$706=0,"",[2]对账明细接口!$K$706),"")</f>
      </c>
      <c r="L706" s="16">
        <f>IFERROR(IF([2]对账明细接口!$L$706=0,"",[2]对账明细接口!$L$706),"")</f>
      </c>
      <c r="M706" s="16">
        <f>IFERROR(IF([2]对账明细接口!$M$706=0,"",[2]对账明细接口!$M$706),"")</f>
      </c>
      <c r="N706" s="19">
        <f>IF($C706="",0,1)</f>
        <v>0</v>
      </c>
      <c r="O706" s="19">
        <f>N(O705)+$N706</f>
        <v>272</v>
      </c>
      <c r="S706" s="20">
        <f>IFERROR(IF([2]对账明细接口!$N706=0,"",[2]对账明细接口!$N706),"")</f>
      </c>
      <c r="T706" s="212">
        <f>IFERROR(IF([2]对账明细接口!$O706=0,"",[2]对账明细接口!$O706),"")</f>
      </c>
      <c r="U706" s="212">
        <f>IFERROR(IF([2]对账明细接口!$P706=0,"",[2]对账明细接口!$P706),"")</f>
      </c>
      <c r="V706" s="212">
        <f>IFERROR(IF([2]对账明细接口!$Q706=0,"",[2]对账明细接口!$Q706),"")</f>
      </c>
      <c r="W706" s="20">
        <f>IFERROR(IF([2]对账明细接口!$R706=0,"",[2]对账明细接口!$R706),"")</f>
      </c>
      <c r="X706" s="20">
        <f>IFERROR(IF([2]对账明细接口!$S706=0,"",[2]对账明细接口!$S706),"")</f>
      </c>
      <c r="Y706" s="20">
        <f>""</f>
      </c>
      <c r="Z706" s="20">
        <f>""</f>
      </c>
      <c r="AA706" s="20">
        <f>""</f>
      </c>
      <c r="AB706" s="20">
        <f>""</f>
      </c>
    </row>
    <row r="707" s="127">
      <c r="A707" s="14" t="n">
        <v>707</v>
      </c>
      <c r="B707" s="211">
        <f>IFERROR(IF([2]对账明细接口!$B$707=0,"",[2]对账明细接口!$B$707),"")</f>
      </c>
      <c r="C707" s="16">
        <f>IFERROR(IF([2]对账明细接口!$C$707=0,"",[2]对账明细接口!$C$707),"")</f>
      </c>
      <c r="D707" s="16">
        <f>IFERROR(IF([2]对账明细接口!$D$707=0,"",[2]对账明细接口!$D$707),"")</f>
      </c>
      <c r="E707" s="16">
        <f>IFERROR(IF([2]对账明细接口!$E$707=0,"",[2]对账明细接口!$E$707),"")</f>
      </c>
      <c r="F707" s="16">
        <f>IFERROR(IF([2]对账明细接口!$F$707=0,"",[2]对账明细接口!$F$707),"")</f>
      </c>
      <c r="G707" s="16">
        <f>IFERROR(IF([2]对账明细接口!$G$707=0,"",[2]对账明细接口!$G$707),"")</f>
      </c>
      <c r="H707" s="176">
        <f>IFERROR(IF([2]对账明细接口!$H$707=0,"",[2]对账明细接口!$H$707),"")</f>
      </c>
      <c r="I707" s="16">
        <f>IFERROR(IF([2]对账明细接口!$I$707=0,"",[2]对账明细接口!$I$707),"")</f>
      </c>
      <c r="J707" s="177">
        <f>IFERROR(IF([2]对账明细接口!$J$707=0,"",[2]对账明细接口!$J$707),"")</f>
      </c>
      <c r="K707" s="177">
        <f>IFERROR(IF([2]对账明细接口!$K$707=0,"",[2]对账明细接口!$K$707),"")</f>
      </c>
      <c r="L707" s="16">
        <f>IFERROR(IF([2]对账明细接口!$L$707=0,"",[2]对账明细接口!$L$707),"")</f>
      </c>
      <c r="M707" s="16">
        <f>IFERROR(IF([2]对账明细接口!$M$707=0,"",[2]对账明细接口!$M$707),"")</f>
      </c>
      <c r="N707" s="19">
        <f>IF($C707="",0,1)</f>
        <v>0</v>
      </c>
      <c r="O707" s="19">
        <f>N(O706)+$N707</f>
        <v>272</v>
      </c>
      <c r="S707" s="20">
        <f>IFERROR(IF([2]对账明细接口!$N707=0,"",[2]对账明细接口!$N707),"")</f>
      </c>
      <c r="T707" s="212">
        <f>IFERROR(IF([2]对账明细接口!$O707=0,"",[2]对账明细接口!$O707),"")</f>
      </c>
      <c r="U707" s="212">
        <f>IFERROR(IF([2]对账明细接口!$P707=0,"",[2]对账明细接口!$P707),"")</f>
      </c>
      <c r="V707" s="212">
        <f>IFERROR(IF([2]对账明细接口!$Q707=0,"",[2]对账明细接口!$Q707),"")</f>
      </c>
      <c r="W707" s="20">
        <f>IFERROR(IF([2]对账明细接口!$R707=0,"",[2]对账明细接口!$R707),"")</f>
      </c>
      <c r="X707" s="20">
        <f>IFERROR(IF([2]对账明细接口!$S707=0,"",[2]对账明细接口!$S707),"")</f>
      </c>
      <c r="Y707" s="20">
        <f>""</f>
      </c>
      <c r="Z707" s="20">
        <f>""</f>
      </c>
      <c r="AA707" s="20">
        <f>""</f>
      </c>
      <c r="AB707" s="20">
        <f>""</f>
      </c>
    </row>
    <row r="708" s="127">
      <c r="A708" s="14" t="n">
        <v>708</v>
      </c>
      <c r="B708" s="211">
        <f>IFERROR(IF([2]对账明细接口!$B$708=0,"",[2]对账明细接口!$B$708),"")</f>
      </c>
      <c r="C708" s="16">
        <f>IFERROR(IF([2]对账明细接口!$C$708=0,"",[2]对账明细接口!$C$708),"")</f>
      </c>
      <c r="D708" s="16">
        <f>IFERROR(IF([2]对账明细接口!$D$708=0,"",[2]对账明细接口!$D$708),"")</f>
      </c>
      <c r="E708" s="16">
        <f>IFERROR(IF([2]对账明细接口!$E$708=0,"",[2]对账明细接口!$E$708),"")</f>
      </c>
      <c r="F708" s="16">
        <f>IFERROR(IF([2]对账明细接口!$F$708=0,"",[2]对账明细接口!$F$708),"")</f>
      </c>
      <c r="G708" s="16">
        <f>IFERROR(IF([2]对账明细接口!$G$708=0,"",[2]对账明细接口!$G$708),"")</f>
      </c>
      <c r="H708" s="176">
        <f>IFERROR(IF([2]对账明细接口!$H$708=0,"",[2]对账明细接口!$H$708),"")</f>
      </c>
      <c r="I708" s="16">
        <f>IFERROR(IF([2]对账明细接口!$I$708=0,"",[2]对账明细接口!$I$708),"")</f>
      </c>
      <c r="J708" s="177">
        <f>IFERROR(IF([2]对账明细接口!$J$708=0,"",[2]对账明细接口!$J$708),"")</f>
      </c>
      <c r="K708" s="177">
        <f>IFERROR(IF([2]对账明细接口!$K$708=0,"",[2]对账明细接口!$K$708),"")</f>
      </c>
      <c r="L708" s="16">
        <f>IFERROR(IF([2]对账明细接口!$L$708=0,"",[2]对账明细接口!$L$708),"")</f>
      </c>
      <c r="M708" s="16">
        <f>IFERROR(IF([2]对账明细接口!$M$708=0,"",[2]对账明细接口!$M$708),"")</f>
      </c>
      <c r="N708" s="19">
        <f>IF($C708="",0,1)</f>
        <v>0</v>
      </c>
      <c r="O708" s="19">
        <f>N(O707)+$N708</f>
        <v>272</v>
      </c>
      <c r="S708" s="20">
        <f>IFERROR(IF([2]对账明细接口!$N708=0,"",[2]对账明细接口!$N708),"")</f>
      </c>
      <c r="T708" s="212">
        <f>IFERROR(IF([2]对账明细接口!$O708=0,"",[2]对账明细接口!$O708),"")</f>
      </c>
      <c r="U708" s="212">
        <f>IFERROR(IF([2]对账明细接口!$P708=0,"",[2]对账明细接口!$P708),"")</f>
      </c>
      <c r="V708" s="212">
        <f>IFERROR(IF([2]对账明细接口!$Q708=0,"",[2]对账明细接口!$Q708),"")</f>
      </c>
      <c r="W708" s="20">
        <f>IFERROR(IF([2]对账明细接口!$R708=0,"",[2]对账明细接口!$R708),"")</f>
      </c>
      <c r="X708" s="20">
        <f>IFERROR(IF([2]对账明细接口!$S708=0,"",[2]对账明细接口!$S708),"")</f>
      </c>
      <c r="Y708" s="20">
        <f>""</f>
      </c>
      <c r="Z708" s="20">
        <f>""</f>
      </c>
      <c r="AA708" s="20">
        <f>""</f>
      </c>
      <c r="AB708" s="20">
        <f>""</f>
      </c>
    </row>
    <row r="709" s="127">
      <c r="A709" s="14" t="n">
        <v>709</v>
      </c>
      <c r="B709" s="211">
        <f>IFERROR(IF([2]对账明细接口!$B$709=0,"",[2]对账明细接口!$B$709),"")</f>
      </c>
      <c r="C709" s="16">
        <f>IFERROR(IF([2]对账明细接口!$C$709=0,"",[2]对账明细接口!$C$709),"")</f>
      </c>
      <c r="D709" s="16">
        <f>IFERROR(IF([2]对账明细接口!$D$709=0,"",[2]对账明细接口!$D$709),"")</f>
      </c>
      <c r="E709" s="16">
        <f>IFERROR(IF([2]对账明细接口!$E$709=0,"",[2]对账明细接口!$E$709),"")</f>
      </c>
      <c r="F709" s="16">
        <f>IFERROR(IF([2]对账明细接口!$F$709=0,"",[2]对账明细接口!$F$709),"")</f>
      </c>
      <c r="G709" s="16">
        <f>IFERROR(IF([2]对账明细接口!$G$709=0,"",[2]对账明细接口!$G$709),"")</f>
      </c>
      <c r="H709" s="176">
        <f>IFERROR(IF([2]对账明细接口!$H$709=0,"",[2]对账明细接口!$H$709),"")</f>
      </c>
      <c r="I709" s="16">
        <f>IFERROR(IF([2]对账明细接口!$I$709=0,"",[2]对账明细接口!$I$709),"")</f>
      </c>
      <c r="J709" s="177">
        <f>IFERROR(IF([2]对账明细接口!$J$709=0,"",[2]对账明细接口!$J$709),"")</f>
      </c>
      <c r="K709" s="177">
        <f>IFERROR(IF([2]对账明细接口!$K$709=0,"",[2]对账明细接口!$K$709),"")</f>
      </c>
      <c r="L709" s="16">
        <f>IFERROR(IF([2]对账明细接口!$L$709=0,"",[2]对账明细接口!$L$709),"")</f>
      </c>
      <c r="M709" s="16">
        <f>IFERROR(IF([2]对账明细接口!$M$709=0,"",[2]对账明细接口!$M$709),"")</f>
      </c>
      <c r="N709" s="19">
        <f>IF($C709="",0,1)</f>
        <v>0</v>
      </c>
      <c r="O709" s="19">
        <f>N(O708)+$N709</f>
        <v>272</v>
      </c>
      <c r="S709" s="20">
        <f>IFERROR(IF([2]对账明细接口!$N709=0,"",[2]对账明细接口!$N709),"")</f>
      </c>
      <c r="T709" s="212">
        <f>IFERROR(IF([2]对账明细接口!$O709=0,"",[2]对账明细接口!$O709),"")</f>
      </c>
      <c r="U709" s="212">
        <f>IFERROR(IF([2]对账明细接口!$P709=0,"",[2]对账明细接口!$P709),"")</f>
      </c>
      <c r="V709" s="212">
        <f>IFERROR(IF([2]对账明细接口!$Q709=0,"",[2]对账明细接口!$Q709),"")</f>
      </c>
      <c r="W709" s="20">
        <f>IFERROR(IF([2]对账明细接口!$R709=0,"",[2]对账明细接口!$R709),"")</f>
      </c>
      <c r="X709" s="20">
        <f>IFERROR(IF([2]对账明细接口!$S709=0,"",[2]对账明细接口!$S709),"")</f>
      </c>
      <c r="Y709" s="20">
        <f>""</f>
      </c>
      <c r="Z709" s="20">
        <f>""</f>
      </c>
      <c r="AA709" s="20">
        <f>""</f>
      </c>
      <c r="AB709" s="20">
        <f>""</f>
      </c>
    </row>
    <row r="710" s="127">
      <c r="A710" s="14" t="n">
        <v>710</v>
      </c>
      <c r="B710" s="211">
        <f>IFERROR(IF([2]对账明细接口!$B$710=0,"",[2]对账明细接口!$B$710),"")</f>
      </c>
      <c r="C710" s="16">
        <f>IFERROR(IF([2]对账明细接口!$C$710=0,"",[2]对账明细接口!$C$710),"")</f>
      </c>
      <c r="D710" s="16">
        <f>IFERROR(IF([2]对账明细接口!$D$710=0,"",[2]对账明细接口!$D$710),"")</f>
      </c>
      <c r="E710" s="16">
        <f>IFERROR(IF([2]对账明细接口!$E$710=0,"",[2]对账明细接口!$E$710),"")</f>
      </c>
      <c r="F710" s="16">
        <f>IFERROR(IF([2]对账明细接口!$F$710=0,"",[2]对账明细接口!$F$710),"")</f>
      </c>
      <c r="G710" s="16">
        <f>IFERROR(IF([2]对账明细接口!$G$710=0,"",[2]对账明细接口!$G$710),"")</f>
      </c>
      <c r="H710" s="176">
        <f>IFERROR(IF([2]对账明细接口!$H$710=0,"",[2]对账明细接口!$H$710),"")</f>
      </c>
      <c r="I710" s="16">
        <f>IFERROR(IF([2]对账明细接口!$I$710=0,"",[2]对账明细接口!$I$710),"")</f>
      </c>
      <c r="J710" s="177">
        <f>IFERROR(IF([2]对账明细接口!$J$710=0,"",[2]对账明细接口!$J$710),"")</f>
      </c>
      <c r="K710" s="177">
        <f>IFERROR(IF([2]对账明细接口!$K$710=0,"",[2]对账明细接口!$K$710),"")</f>
      </c>
      <c r="L710" s="16">
        <f>IFERROR(IF([2]对账明细接口!$L$710=0,"",[2]对账明细接口!$L$710),"")</f>
      </c>
      <c r="M710" s="16">
        <f>IFERROR(IF([2]对账明细接口!$M$710=0,"",[2]对账明细接口!$M$710),"")</f>
      </c>
      <c r="N710" s="19">
        <f>IF($C710="",0,1)</f>
        <v>0</v>
      </c>
      <c r="O710" s="19">
        <f>N(O709)+$N710</f>
        <v>272</v>
      </c>
      <c r="S710" s="20">
        <f>IFERROR(IF([2]对账明细接口!$N710=0,"",[2]对账明细接口!$N710),"")</f>
      </c>
      <c r="T710" s="212">
        <f>IFERROR(IF([2]对账明细接口!$O710=0,"",[2]对账明细接口!$O710),"")</f>
      </c>
      <c r="U710" s="212">
        <f>IFERROR(IF([2]对账明细接口!$P710=0,"",[2]对账明细接口!$P710),"")</f>
      </c>
      <c r="V710" s="212">
        <f>IFERROR(IF([2]对账明细接口!$Q710=0,"",[2]对账明细接口!$Q710),"")</f>
      </c>
      <c r="W710" s="20">
        <f>IFERROR(IF([2]对账明细接口!$R710=0,"",[2]对账明细接口!$R710),"")</f>
      </c>
      <c r="X710" s="20">
        <f>IFERROR(IF([2]对账明细接口!$S710=0,"",[2]对账明细接口!$S710),"")</f>
      </c>
      <c r="Y710" s="20">
        <f>""</f>
      </c>
      <c r="Z710" s="20">
        <f>""</f>
      </c>
      <c r="AA710" s="20">
        <f>""</f>
      </c>
      <c r="AB710" s="20">
        <f>""</f>
      </c>
    </row>
    <row r="711" s="127">
      <c r="A711" s="14" t="n">
        <v>711</v>
      </c>
      <c r="B711" s="211">
        <f>IFERROR(IF([2]对账明细接口!$B$711=0,"",[2]对账明细接口!$B$711),"")</f>
      </c>
      <c r="C711" s="16">
        <f>IFERROR(IF([2]对账明细接口!$C$711=0,"",[2]对账明细接口!$C$711),"")</f>
      </c>
      <c r="D711" s="16">
        <f>IFERROR(IF([2]对账明细接口!$D$711=0,"",[2]对账明细接口!$D$711),"")</f>
      </c>
      <c r="E711" s="16">
        <f>IFERROR(IF([2]对账明细接口!$E$711=0,"",[2]对账明细接口!$E$711),"")</f>
      </c>
      <c r="F711" s="16">
        <f>IFERROR(IF([2]对账明细接口!$F$711=0,"",[2]对账明细接口!$F$711),"")</f>
      </c>
      <c r="G711" s="16">
        <f>IFERROR(IF([2]对账明细接口!$G$711=0,"",[2]对账明细接口!$G$711),"")</f>
      </c>
      <c r="H711" s="176">
        <f>IFERROR(IF([2]对账明细接口!$H$711=0,"",[2]对账明细接口!$H$711),"")</f>
      </c>
      <c r="I711" s="16">
        <f>IFERROR(IF([2]对账明细接口!$I$711=0,"",[2]对账明细接口!$I$711),"")</f>
      </c>
      <c r="J711" s="177">
        <f>IFERROR(IF([2]对账明细接口!$J$711=0,"",[2]对账明细接口!$J$711),"")</f>
      </c>
      <c r="K711" s="177">
        <f>IFERROR(IF([2]对账明细接口!$K$711=0,"",[2]对账明细接口!$K$711),"")</f>
      </c>
      <c r="L711" s="16">
        <f>IFERROR(IF([2]对账明细接口!$L$711=0,"",[2]对账明细接口!$L$711),"")</f>
      </c>
      <c r="M711" s="16">
        <f>IFERROR(IF([2]对账明细接口!$M$711=0,"",[2]对账明细接口!$M$711),"")</f>
      </c>
      <c r="N711" s="19">
        <f>IF($C711="",0,1)</f>
        <v>0</v>
      </c>
      <c r="O711" s="19">
        <f>N(O710)+$N711</f>
        <v>272</v>
      </c>
      <c r="S711" s="20">
        <f>IFERROR(IF([2]对账明细接口!$N711=0,"",[2]对账明细接口!$N711),"")</f>
      </c>
      <c r="T711" s="212">
        <f>IFERROR(IF([2]对账明细接口!$O711=0,"",[2]对账明细接口!$O711),"")</f>
      </c>
      <c r="U711" s="212">
        <f>IFERROR(IF([2]对账明细接口!$P711=0,"",[2]对账明细接口!$P711),"")</f>
      </c>
      <c r="V711" s="212">
        <f>IFERROR(IF([2]对账明细接口!$Q711=0,"",[2]对账明细接口!$Q711),"")</f>
      </c>
      <c r="W711" s="20">
        <f>IFERROR(IF([2]对账明细接口!$R711=0,"",[2]对账明细接口!$R711),"")</f>
      </c>
      <c r="X711" s="20">
        <f>IFERROR(IF([2]对账明细接口!$S711=0,"",[2]对账明细接口!$S711),"")</f>
      </c>
      <c r="Y711" s="20">
        <f>""</f>
      </c>
      <c r="Z711" s="20">
        <f>""</f>
      </c>
      <c r="AA711" s="20">
        <f>""</f>
      </c>
      <c r="AB711" s="20">
        <f>""</f>
      </c>
    </row>
    <row r="712" s="127">
      <c r="A712" s="14" t="n">
        <v>712</v>
      </c>
      <c r="B712" s="211">
        <f>IFERROR(IF([2]对账明细接口!$B$712=0,"",[2]对账明细接口!$B$712),"")</f>
      </c>
      <c r="C712" s="16">
        <f>IFERROR(IF([2]对账明细接口!$C$712=0,"",[2]对账明细接口!$C$712),"")</f>
      </c>
      <c r="D712" s="16">
        <f>IFERROR(IF([2]对账明细接口!$D$712=0,"",[2]对账明细接口!$D$712),"")</f>
      </c>
      <c r="E712" s="16">
        <f>IFERROR(IF([2]对账明细接口!$E$712=0,"",[2]对账明细接口!$E$712),"")</f>
      </c>
      <c r="F712" s="16">
        <f>IFERROR(IF([2]对账明细接口!$F$712=0,"",[2]对账明细接口!$F$712),"")</f>
      </c>
      <c r="G712" s="16">
        <f>IFERROR(IF([2]对账明细接口!$G$712=0,"",[2]对账明细接口!$G$712),"")</f>
      </c>
      <c r="H712" s="176">
        <f>IFERROR(IF([2]对账明细接口!$H$712=0,"",[2]对账明细接口!$H$712),"")</f>
      </c>
      <c r="I712" s="16">
        <f>IFERROR(IF([2]对账明细接口!$I$712=0,"",[2]对账明细接口!$I$712),"")</f>
      </c>
      <c r="J712" s="177">
        <f>IFERROR(IF([2]对账明细接口!$J$712=0,"",[2]对账明细接口!$J$712),"")</f>
      </c>
      <c r="K712" s="177">
        <f>IFERROR(IF([2]对账明细接口!$K$712=0,"",[2]对账明细接口!$K$712),"")</f>
      </c>
      <c r="L712" s="16">
        <f>IFERROR(IF([2]对账明细接口!$L$712=0,"",[2]对账明细接口!$L$712),"")</f>
      </c>
      <c r="M712" s="16">
        <f>IFERROR(IF([2]对账明细接口!$M$712=0,"",[2]对账明细接口!$M$712),"")</f>
      </c>
      <c r="N712" s="19">
        <f>IF($C712="",0,1)</f>
        <v>0</v>
      </c>
      <c r="O712" s="19">
        <f>N(O711)+$N712</f>
        <v>272</v>
      </c>
      <c r="S712" s="20">
        <f>IFERROR(IF([2]对账明细接口!$N712=0,"",[2]对账明细接口!$N712),"")</f>
      </c>
      <c r="T712" s="212">
        <f>IFERROR(IF([2]对账明细接口!$O712=0,"",[2]对账明细接口!$O712),"")</f>
      </c>
      <c r="U712" s="212">
        <f>IFERROR(IF([2]对账明细接口!$P712=0,"",[2]对账明细接口!$P712),"")</f>
      </c>
      <c r="V712" s="212">
        <f>IFERROR(IF([2]对账明细接口!$Q712=0,"",[2]对账明细接口!$Q712),"")</f>
      </c>
      <c r="W712" s="20">
        <f>IFERROR(IF([2]对账明细接口!$R712=0,"",[2]对账明细接口!$R712),"")</f>
      </c>
      <c r="X712" s="20">
        <f>IFERROR(IF([2]对账明细接口!$S712=0,"",[2]对账明细接口!$S712),"")</f>
      </c>
      <c r="Y712" s="20">
        <f>""</f>
      </c>
      <c r="Z712" s="20">
        <f>""</f>
      </c>
      <c r="AA712" s="20">
        <f>""</f>
      </c>
      <c r="AB712" s="20">
        <f>""</f>
      </c>
    </row>
    <row r="713" s="127">
      <c r="A713" s="14" t="n">
        <v>713</v>
      </c>
      <c r="B713" s="211">
        <f>IFERROR(IF([2]对账明细接口!$B$713=0,"",[2]对账明细接口!$B$713),"")</f>
      </c>
      <c r="C713" s="16">
        <f>IFERROR(IF([2]对账明细接口!$C$713=0,"",[2]对账明细接口!$C$713),"")</f>
      </c>
      <c r="D713" s="16">
        <f>IFERROR(IF([2]对账明细接口!$D$713=0,"",[2]对账明细接口!$D$713),"")</f>
      </c>
      <c r="E713" s="16">
        <f>IFERROR(IF([2]对账明细接口!$E$713=0,"",[2]对账明细接口!$E$713),"")</f>
      </c>
      <c r="F713" s="16">
        <f>IFERROR(IF([2]对账明细接口!$F$713=0,"",[2]对账明细接口!$F$713),"")</f>
      </c>
      <c r="G713" s="16">
        <f>IFERROR(IF([2]对账明细接口!$G$713=0,"",[2]对账明细接口!$G$713),"")</f>
      </c>
      <c r="H713" s="176">
        <f>IFERROR(IF([2]对账明细接口!$H$713=0,"",[2]对账明细接口!$H$713),"")</f>
      </c>
      <c r="I713" s="16">
        <f>IFERROR(IF([2]对账明细接口!$I$713=0,"",[2]对账明细接口!$I$713),"")</f>
      </c>
      <c r="J713" s="177">
        <f>IFERROR(IF([2]对账明细接口!$J$713=0,"",[2]对账明细接口!$J$713),"")</f>
      </c>
      <c r="K713" s="177">
        <f>IFERROR(IF([2]对账明细接口!$K$713=0,"",[2]对账明细接口!$K$713),"")</f>
      </c>
      <c r="L713" s="16">
        <f>IFERROR(IF([2]对账明细接口!$L$713=0,"",[2]对账明细接口!$L$713),"")</f>
      </c>
      <c r="M713" s="16">
        <f>IFERROR(IF([2]对账明细接口!$M$713=0,"",[2]对账明细接口!$M$713),"")</f>
      </c>
      <c r="N713" s="19">
        <f>IF($C713="",0,1)</f>
        <v>0</v>
      </c>
      <c r="O713" s="19">
        <f>N(O712)+$N713</f>
        <v>272</v>
      </c>
      <c r="S713" s="20">
        <f>IFERROR(IF([2]对账明细接口!$N713=0,"",[2]对账明细接口!$N713),"")</f>
      </c>
      <c r="T713" s="212">
        <f>IFERROR(IF([2]对账明细接口!$O713=0,"",[2]对账明细接口!$O713),"")</f>
      </c>
      <c r="U713" s="212">
        <f>IFERROR(IF([2]对账明细接口!$P713=0,"",[2]对账明细接口!$P713),"")</f>
      </c>
      <c r="V713" s="212">
        <f>IFERROR(IF([2]对账明细接口!$Q713=0,"",[2]对账明细接口!$Q713),"")</f>
      </c>
      <c r="W713" s="20">
        <f>IFERROR(IF([2]对账明细接口!$R713=0,"",[2]对账明细接口!$R713),"")</f>
      </c>
      <c r="X713" s="20">
        <f>IFERROR(IF([2]对账明细接口!$S713=0,"",[2]对账明细接口!$S713),"")</f>
      </c>
      <c r="Y713" s="20">
        <f>""</f>
      </c>
      <c r="Z713" s="20">
        <f>""</f>
      </c>
      <c r="AA713" s="20">
        <f>""</f>
      </c>
      <c r="AB713" s="20">
        <f>""</f>
      </c>
    </row>
    <row r="714" s="127">
      <c r="A714" s="14" t="n">
        <v>714</v>
      </c>
      <c r="B714" s="211">
        <f>IFERROR(IF([2]对账明细接口!$B$714=0,"",[2]对账明细接口!$B$714),"")</f>
      </c>
      <c r="C714" s="16">
        <f>IFERROR(IF([2]对账明细接口!$C$714=0,"",[2]对账明细接口!$C$714),"")</f>
      </c>
      <c r="D714" s="16">
        <f>IFERROR(IF([2]对账明细接口!$D$714=0,"",[2]对账明细接口!$D$714),"")</f>
      </c>
      <c r="E714" s="16">
        <f>IFERROR(IF([2]对账明细接口!$E$714=0,"",[2]对账明细接口!$E$714),"")</f>
      </c>
      <c r="F714" s="16">
        <f>IFERROR(IF([2]对账明细接口!$F$714=0,"",[2]对账明细接口!$F$714),"")</f>
      </c>
      <c r="G714" s="16">
        <f>IFERROR(IF([2]对账明细接口!$G$714=0,"",[2]对账明细接口!$G$714),"")</f>
      </c>
      <c r="H714" s="176">
        <f>IFERROR(IF([2]对账明细接口!$H$714=0,"",[2]对账明细接口!$H$714),"")</f>
      </c>
      <c r="I714" s="16">
        <f>IFERROR(IF([2]对账明细接口!$I$714=0,"",[2]对账明细接口!$I$714),"")</f>
      </c>
      <c r="J714" s="177">
        <f>IFERROR(IF([2]对账明细接口!$J$714=0,"",[2]对账明细接口!$J$714),"")</f>
      </c>
      <c r="K714" s="177">
        <f>IFERROR(IF([2]对账明细接口!$K$714=0,"",[2]对账明细接口!$K$714),"")</f>
      </c>
      <c r="L714" s="16">
        <f>IFERROR(IF([2]对账明细接口!$L$714=0,"",[2]对账明细接口!$L$714),"")</f>
      </c>
      <c r="M714" s="16">
        <f>IFERROR(IF([2]对账明细接口!$M$714=0,"",[2]对账明细接口!$M$714),"")</f>
      </c>
      <c r="N714" s="19">
        <f>IF($C714="",0,1)</f>
        <v>0</v>
      </c>
      <c r="O714" s="19">
        <f>N(O713)+$N714</f>
        <v>272</v>
      </c>
      <c r="S714" s="20">
        <f>IFERROR(IF([2]对账明细接口!$N714=0,"",[2]对账明细接口!$N714),"")</f>
      </c>
      <c r="T714" s="212">
        <f>IFERROR(IF([2]对账明细接口!$O714=0,"",[2]对账明细接口!$O714),"")</f>
      </c>
      <c r="U714" s="212">
        <f>IFERROR(IF([2]对账明细接口!$P714=0,"",[2]对账明细接口!$P714),"")</f>
      </c>
      <c r="V714" s="212">
        <f>IFERROR(IF([2]对账明细接口!$Q714=0,"",[2]对账明细接口!$Q714),"")</f>
      </c>
      <c r="W714" s="20">
        <f>IFERROR(IF([2]对账明细接口!$R714=0,"",[2]对账明细接口!$R714),"")</f>
      </c>
      <c r="X714" s="20">
        <f>IFERROR(IF([2]对账明细接口!$S714=0,"",[2]对账明细接口!$S714),"")</f>
      </c>
      <c r="Y714" s="20">
        <f>""</f>
      </c>
      <c r="Z714" s="20">
        <f>""</f>
      </c>
      <c r="AA714" s="20">
        <f>""</f>
      </c>
      <c r="AB714" s="20">
        <f>""</f>
      </c>
    </row>
    <row r="715" s="127">
      <c r="A715" s="14" t="n">
        <v>715</v>
      </c>
      <c r="B715" s="211">
        <f>IFERROR(IF([2]对账明细接口!$B$715=0,"",[2]对账明细接口!$B$715),"")</f>
      </c>
      <c r="C715" s="16">
        <f>IFERROR(IF([2]对账明细接口!$C$715=0,"",[2]对账明细接口!$C$715),"")</f>
      </c>
      <c r="D715" s="16">
        <f>IFERROR(IF([2]对账明细接口!$D$715=0,"",[2]对账明细接口!$D$715),"")</f>
      </c>
      <c r="E715" s="16">
        <f>IFERROR(IF([2]对账明细接口!$E$715=0,"",[2]对账明细接口!$E$715),"")</f>
      </c>
      <c r="F715" s="16">
        <f>IFERROR(IF([2]对账明细接口!$F$715=0,"",[2]对账明细接口!$F$715),"")</f>
      </c>
      <c r="G715" s="16">
        <f>IFERROR(IF([2]对账明细接口!$G$715=0,"",[2]对账明细接口!$G$715),"")</f>
      </c>
      <c r="H715" s="176">
        <f>IFERROR(IF([2]对账明细接口!$H$715=0,"",[2]对账明细接口!$H$715),"")</f>
      </c>
      <c r="I715" s="16">
        <f>IFERROR(IF([2]对账明细接口!$I$715=0,"",[2]对账明细接口!$I$715),"")</f>
      </c>
      <c r="J715" s="177">
        <f>IFERROR(IF([2]对账明细接口!$J$715=0,"",[2]对账明细接口!$J$715),"")</f>
      </c>
      <c r="K715" s="177">
        <f>IFERROR(IF([2]对账明细接口!$K$715=0,"",[2]对账明细接口!$K$715),"")</f>
      </c>
      <c r="L715" s="16">
        <f>IFERROR(IF([2]对账明细接口!$L$715=0,"",[2]对账明细接口!$L$715),"")</f>
      </c>
      <c r="M715" s="16">
        <f>IFERROR(IF([2]对账明细接口!$M$715=0,"",[2]对账明细接口!$M$715),"")</f>
      </c>
      <c r="N715" s="19">
        <f>IF($C715="",0,1)</f>
        <v>0</v>
      </c>
      <c r="O715" s="19">
        <f>N(O714)+$N715</f>
        <v>272</v>
      </c>
      <c r="S715" s="20">
        <f>IFERROR(IF([2]对账明细接口!$N715=0,"",[2]对账明细接口!$N715),"")</f>
      </c>
      <c r="T715" s="212">
        <f>IFERROR(IF([2]对账明细接口!$O715=0,"",[2]对账明细接口!$O715),"")</f>
      </c>
      <c r="U715" s="212">
        <f>IFERROR(IF([2]对账明细接口!$P715=0,"",[2]对账明细接口!$P715),"")</f>
      </c>
      <c r="V715" s="212">
        <f>IFERROR(IF([2]对账明细接口!$Q715=0,"",[2]对账明细接口!$Q715),"")</f>
      </c>
      <c r="W715" s="20">
        <f>IFERROR(IF([2]对账明细接口!$R715=0,"",[2]对账明细接口!$R715),"")</f>
      </c>
      <c r="X715" s="20">
        <f>IFERROR(IF([2]对账明细接口!$S715=0,"",[2]对账明细接口!$S715),"")</f>
      </c>
      <c r="Y715" s="20">
        <f>""</f>
      </c>
      <c r="Z715" s="20">
        <f>""</f>
      </c>
      <c r="AA715" s="20">
        <f>""</f>
      </c>
      <c r="AB715" s="20">
        <f>""</f>
      </c>
    </row>
    <row r="716" s="127">
      <c r="A716" s="14" t="n">
        <v>716</v>
      </c>
      <c r="B716" s="211">
        <f>IFERROR(IF([2]对账明细接口!$B$716=0,"",[2]对账明细接口!$B$716),"")</f>
      </c>
      <c r="C716" s="16">
        <f>IFERROR(IF([2]对账明细接口!$C$716=0,"",[2]对账明细接口!$C$716),"")</f>
      </c>
      <c r="D716" s="16">
        <f>IFERROR(IF([2]对账明细接口!$D$716=0,"",[2]对账明细接口!$D$716),"")</f>
      </c>
      <c r="E716" s="16">
        <f>IFERROR(IF([2]对账明细接口!$E$716=0,"",[2]对账明细接口!$E$716),"")</f>
      </c>
      <c r="F716" s="16">
        <f>IFERROR(IF([2]对账明细接口!$F$716=0,"",[2]对账明细接口!$F$716),"")</f>
      </c>
      <c r="G716" s="16">
        <f>IFERROR(IF([2]对账明细接口!$G$716=0,"",[2]对账明细接口!$G$716),"")</f>
      </c>
      <c r="H716" s="176">
        <f>IFERROR(IF([2]对账明细接口!$H$716=0,"",[2]对账明细接口!$H$716),"")</f>
      </c>
      <c r="I716" s="16">
        <f>IFERROR(IF([2]对账明细接口!$I$716=0,"",[2]对账明细接口!$I$716),"")</f>
      </c>
      <c r="J716" s="177">
        <f>IFERROR(IF([2]对账明细接口!$J$716=0,"",[2]对账明细接口!$J$716),"")</f>
      </c>
      <c r="K716" s="177">
        <f>IFERROR(IF([2]对账明细接口!$K$716=0,"",[2]对账明细接口!$K$716),"")</f>
      </c>
      <c r="L716" s="16">
        <f>IFERROR(IF([2]对账明细接口!$L$716=0,"",[2]对账明细接口!$L$716),"")</f>
      </c>
      <c r="M716" s="16">
        <f>IFERROR(IF([2]对账明细接口!$M$716=0,"",[2]对账明细接口!$M$716),"")</f>
      </c>
      <c r="N716" s="19">
        <f>IF($C716="",0,1)</f>
        <v>0</v>
      </c>
      <c r="O716" s="19">
        <f>N(O715)+$N716</f>
        <v>272</v>
      </c>
      <c r="S716" s="20">
        <f>IFERROR(IF([2]对账明细接口!$N716=0,"",[2]对账明细接口!$N716),"")</f>
      </c>
      <c r="T716" s="212">
        <f>IFERROR(IF([2]对账明细接口!$O716=0,"",[2]对账明细接口!$O716),"")</f>
      </c>
      <c r="U716" s="212">
        <f>IFERROR(IF([2]对账明细接口!$P716=0,"",[2]对账明细接口!$P716),"")</f>
      </c>
      <c r="V716" s="212">
        <f>IFERROR(IF([2]对账明细接口!$Q716=0,"",[2]对账明细接口!$Q716),"")</f>
      </c>
      <c r="W716" s="20">
        <f>IFERROR(IF([2]对账明细接口!$R716=0,"",[2]对账明细接口!$R716),"")</f>
      </c>
      <c r="X716" s="20">
        <f>IFERROR(IF([2]对账明细接口!$S716=0,"",[2]对账明细接口!$S716),"")</f>
      </c>
      <c r="Y716" s="20">
        <f>""</f>
      </c>
      <c r="Z716" s="20">
        <f>""</f>
      </c>
      <c r="AA716" s="20">
        <f>""</f>
      </c>
      <c r="AB716" s="20">
        <f>""</f>
      </c>
    </row>
    <row r="717" s="127">
      <c r="A717" s="14" t="n">
        <v>717</v>
      </c>
      <c r="B717" s="211">
        <f>IFERROR(IF([2]对账明细接口!$B$717=0,"",[2]对账明细接口!$B$717),"")</f>
      </c>
      <c r="C717" s="16">
        <f>IFERROR(IF([2]对账明细接口!$C$717=0,"",[2]对账明细接口!$C$717),"")</f>
      </c>
      <c r="D717" s="16">
        <f>IFERROR(IF([2]对账明细接口!$D$717=0,"",[2]对账明细接口!$D$717),"")</f>
      </c>
      <c r="E717" s="16">
        <f>IFERROR(IF([2]对账明细接口!$E$717=0,"",[2]对账明细接口!$E$717),"")</f>
      </c>
      <c r="F717" s="16">
        <f>IFERROR(IF([2]对账明细接口!$F$717=0,"",[2]对账明细接口!$F$717),"")</f>
      </c>
      <c r="G717" s="16">
        <f>IFERROR(IF([2]对账明细接口!$G$717=0,"",[2]对账明细接口!$G$717),"")</f>
      </c>
      <c r="H717" s="176">
        <f>IFERROR(IF([2]对账明细接口!$H$717=0,"",[2]对账明细接口!$H$717),"")</f>
      </c>
      <c r="I717" s="16">
        <f>IFERROR(IF([2]对账明细接口!$I$717=0,"",[2]对账明细接口!$I$717),"")</f>
      </c>
      <c r="J717" s="177">
        <f>IFERROR(IF([2]对账明细接口!$J$717=0,"",[2]对账明细接口!$J$717),"")</f>
      </c>
      <c r="K717" s="177">
        <f>IFERROR(IF([2]对账明细接口!$K$717=0,"",[2]对账明细接口!$K$717),"")</f>
      </c>
      <c r="L717" s="16">
        <f>IFERROR(IF([2]对账明细接口!$L$717=0,"",[2]对账明细接口!$L$717),"")</f>
      </c>
      <c r="M717" s="16">
        <f>IFERROR(IF([2]对账明细接口!$M$717=0,"",[2]对账明细接口!$M$717),"")</f>
      </c>
      <c r="N717" s="19">
        <f>IF($C717="",0,1)</f>
        <v>0</v>
      </c>
      <c r="O717" s="19">
        <f>N(O716)+$N717</f>
        <v>272</v>
      </c>
      <c r="S717" s="20">
        <f>IFERROR(IF([2]对账明细接口!$N717=0,"",[2]对账明细接口!$N717),"")</f>
      </c>
      <c r="T717" s="212">
        <f>IFERROR(IF([2]对账明细接口!$O717=0,"",[2]对账明细接口!$O717),"")</f>
      </c>
      <c r="U717" s="212">
        <f>IFERROR(IF([2]对账明细接口!$P717=0,"",[2]对账明细接口!$P717),"")</f>
      </c>
      <c r="V717" s="212">
        <f>IFERROR(IF([2]对账明细接口!$Q717=0,"",[2]对账明细接口!$Q717),"")</f>
      </c>
      <c r="W717" s="20">
        <f>IFERROR(IF([2]对账明细接口!$R717=0,"",[2]对账明细接口!$R717),"")</f>
      </c>
      <c r="X717" s="20">
        <f>IFERROR(IF([2]对账明细接口!$S717=0,"",[2]对账明细接口!$S717),"")</f>
      </c>
      <c r="Y717" s="20">
        <f>""</f>
      </c>
      <c r="Z717" s="20">
        <f>""</f>
      </c>
      <c r="AA717" s="20">
        <f>""</f>
      </c>
      <c r="AB717" s="20">
        <f>""</f>
      </c>
    </row>
    <row r="718" s="127">
      <c r="A718" s="14" t="n">
        <v>718</v>
      </c>
      <c r="B718" s="211">
        <f>IFERROR(IF([2]对账明细接口!$B$718=0,"",[2]对账明细接口!$B$718),"")</f>
      </c>
      <c r="C718" s="16">
        <f>IFERROR(IF([2]对账明细接口!$C$718=0,"",[2]对账明细接口!$C$718),"")</f>
      </c>
      <c r="D718" s="16">
        <f>IFERROR(IF([2]对账明细接口!$D$718=0,"",[2]对账明细接口!$D$718),"")</f>
      </c>
      <c r="E718" s="16">
        <f>IFERROR(IF([2]对账明细接口!$E$718=0,"",[2]对账明细接口!$E$718),"")</f>
      </c>
      <c r="F718" s="16">
        <f>IFERROR(IF([2]对账明细接口!$F$718=0,"",[2]对账明细接口!$F$718),"")</f>
      </c>
      <c r="G718" s="16">
        <f>IFERROR(IF([2]对账明细接口!$G$718=0,"",[2]对账明细接口!$G$718),"")</f>
      </c>
      <c r="H718" s="176">
        <f>IFERROR(IF([2]对账明细接口!$H$718=0,"",[2]对账明细接口!$H$718),"")</f>
      </c>
      <c r="I718" s="16">
        <f>IFERROR(IF([2]对账明细接口!$I$718=0,"",[2]对账明细接口!$I$718),"")</f>
      </c>
      <c r="J718" s="177">
        <f>IFERROR(IF([2]对账明细接口!$J$718=0,"",[2]对账明细接口!$J$718),"")</f>
      </c>
      <c r="K718" s="177">
        <f>IFERROR(IF([2]对账明细接口!$K$718=0,"",[2]对账明细接口!$K$718),"")</f>
      </c>
      <c r="L718" s="16">
        <f>IFERROR(IF([2]对账明细接口!$L$718=0,"",[2]对账明细接口!$L$718),"")</f>
      </c>
      <c r="M718" s="16">
        <f>IFERROR(IF([2]对账明细接口!$M$718=0,"",[2]对账明细接口!$M$718),"")</f>
      </c>
      <c r="N718" s="19">
        <f>IF($C718="",0,1)</f>
        <v>0</v>
      </c>
      <c r="O718" s="19">
        <f>N(O717)+$N718</f>
        <v>272</v>
      </c>
      <c r="S718" s="20">
        <f>IFERROR(IF([2]对账明细接口!$N718=0,"",[2]对账明细接口!$N718),"")</f>
      </c>
      <c r="T718" s="212">
        <f>IFERROR(IF([2]对账明细接口!$O718=0,"",[2]对账明细接口!$O718),"")</f>
      </c>
      <c r="U718" s="212">
        <f>IFERROR(IF([2]对账明细接口!$P718=0,"",[2]对账明细接口!$P718),"")</f>
      </c>
      <c r="V718" s="212">
        <f>IFERROR(IF([2]对账明细接口!$Q718=0,"",[2]对账明细接口!$Q718),"")</f>
      </c>
      <c r="W718" s="20">
        <f>IFERROR(IF([2]对账明细接口!$R718=0,"",[2]对账明细接口!$R718),"")</f>
      </c>
      <c r="X718" s="20">
        <f>IFERROR(IF([2]对账明细接口!$S718=0,"",[2]对账明细接口!$S718),"")</f>
      </c>
      <c r="Y718" s="20">
        <f>""</f>
      </c>
      <c r="Z718" s="20">
        <f>""</f>
      </c>
      <c r="AA718" s="20">
        <f>""</f>
      </c>
      <c r="AB718" s="20">
        <f>""</f>
      </c>
    </row>
    <row r="719" s="127">
      <c r="A719" s="14" t="n">
        <v>719</v>
      </c>
      <c r="B719" s="211">
        <f>IFERROR(IF([2]对账明细接口!$B$719=0,"",[2]对账明细接口!$B$719),"")</f>
      </c>
      <c r="C719" s="16">
        <f>IFERROR(IF([2]对账明细接口!$C$719=0,"",[2]对账明细接口!$C$719),"")</f>
      </c>
      <c r="D719" s="16">
        <f>IFERROR(IF([2]对账明细接口!$D$719=0,"",[2]对账明细接口!$D$719),"")</f>
      </c>
      <c r="E719" s="16">
        <f>IFERROR(IF([2]对账明细接口!$E$719=0,"",[2]对账明细接口!$E$719),"")</f>
      </c>
      <c r="F719" s="16">
        <f>IFERROR(IF([2]对账明细接口!$F$719=0,"",[2]对账明细接口!$F$719),"")</f>
      </c>
      <c r="G719" s="16">
        <f>IFERROR(IF([2]对账明细接口!$G$719=0,"",[2]对账明细接口!$G$719),"")</f>
      </c>
      <c r="H719" s="176">
        <f>IFERROR(IF([2]对账明细接口!$H$719=0,"",[2]对账明细接口!$H$719),"")</f>
      </c>
      <c r="I719" s="16">
        <f>IFERROR(IF([2]对账明细接口!$I$719=0,"",[2]对账明细接口!$I$719),"")</f>
      </c>
      <c r="J719" s="177">
        <f>IFERROR(IF([2]对账明细接口!$J$719=0,"",[2]对账明细接口!$J$719),"")</f>
      </c>
      <c r="K719" s="177">
        <f>IFERROR(IF([2]对账明细接口!$K$719=0,"",[2]对账明细接口!$K$719),"")</f>
      </c>
      <c r="L719" s="16">
        <f>IFERROR(IF([2]对账明细接口!$L$719=0,"",[2]对账明细接口!$L$719),"")</f>
      </c>
      <c r="M719" s="16">
        <f>IFERROR(IF([2]对账明细接口!$M$719=0,"",[2]对账明细接口!$M$719),"")</f>
      </c>
      <c r="N719" s="19">
        <f>IF($C719="",0,1)</f>
        <v>0</v>
      </c>
      <c r="O719" s="19">
        <f>N(O718)+$N719</f>
        <v>272</v>
      </c>
      <c r="S719" s="20">
        <f>IFERROR(IF([2]对账明细接口!$N719=0,"",[2]对账明细接口!$N719),"")</f>
      </c>
      <c r="T719" s="212">
        <f>IFERROR(IF([2]对账明细接口!$O719=0,"",[2]对账明细接口!$O719),"")</f>
      </c>
      <c r="U719" s="212">
        <f>IFERROR(IF([2]对账明细接口!$P719=0,"",[2]对账明细接口!$P719),"")</f>
      </c>
      <c r="V719" s="212">
        <f>IFERROR(IF([2]对账明细接口!$Q719=0,"",[2]对账明细接口!$Q719),"")</f>
      </c>
      <c r="W719" s="20">
        <f>IFERROR(IF([2]对账明细接口!$R719=0,"",[2]对账明细接口!$R719),"")</f>
      </c>
      <c r="X719" s="20">
        <f>IFERROR(IF([2]对账明细接口!$S719=0,"",[2]对账明细接口!$S719),"")</f>
      </c>
      <c r="Y719" s="20">
        <f>""</f>
      </c>
      <c r="Z719" s="20">
        <f>""</f>
      </c>
      <c r="AA719" s="20">
        <f>""</f>
      </c>
      <c r="AB719" s="20">
        <f>""</f>
      </c>
    </row>
    <row r="720" s="127">
      <c r="A720" s="14" t="n">
        <v>720</v>
      </c>
      <c r="B720" s="211">
        <f>IFERROR(IF([2]对账明细接口!$B$720=0,"",[2]对账明细接口!$B$720),"")</f>
      </c>
      <c r="C720" s="16">
        <f>IFERROR(IF([2]对账明细接口!$C$720=0,"",[2]对账明细接口!$C$720),"")</f>
      </c>
      <c r="D720" s="16">
        <f>IFERROR(IF([2]对账明细接口!$D$720=0,"",[2]对账明细接口!$D$720),"")</f>
      </c>
      <c r="E720" s="16">
        <f>IFERROR(IF([2]对账明细接口!$E$720=0,"",[2]对账明细接口!$E$720),"")</f>
      </c>
      <c r="F720" s="16">
        <f>IFERROR(IF([2]对账明细接口!$F$720=0,"",[2]对账明细接口!$F$720),"")</f>
      </c>
      <c r="G720" s="16">
        <f>IFERROR(IF([2]对账明细接口!$G$720=0,"",[2]对账明细接口!$G$720),"")</f>
      </c>
      <c r="H720" s="176">
        <f>IFERROR(IF([2]对账明细接口!$H$720=0,"",[2]对账明细接口!$H$720),"")</f>
      </c>
      <c r="I720" s="16">
        <f>IFERROR(IF([2]对账明细接口!$I$720=0,"",[2]对账明细接口!$I$720),"")</f>
      </c>
      <c r="J720" s="177">
        <f>IFERROR(IF([2]对账明细接口!$J$720=0,"",[2]对账明细接口!$J$720),"")</f>
      </c>
      <c r="K720" s="177">
        <f>IFERROR(IF([2]对账明细接口!$K$720=0,"",[2]对账明细接口!$K$720),"")</f>
      </c>
      <c r="L720" s="16">
        <f>IFERROR(IF([2]对账明细接口!$L$720=0,"",[2]对账明细接口!$L$720),"")</f>
      </c>
      <c r="M720" s="16">
        <f>IFERROR(IF([2]对账明细接口!$M$720=0,"",[2]对账明细接口!$M$720),"")</f>
      </c>
      <c r="N720" s="19">
        <f>IF($C720="",0,1)</f>
        <v>0</v>
      </c>
      <c r="O720" s="19">
        <f>N(O719)+$N720</f>
        <v>272</v>
      </c>
      <c r="S720" s="20">
        <f>IFERROR(IF([2]对账明细接口!$N720=0,"",[2]对账明细接口!$N720),"")</f>
      </c>
      <c r="T720" s="212">
        <f>IFERROR(IF([2]对账明细接口!$O720=0,"",[2]对账明细接口!$O720),"")</f>
      </c>
      <c r="U720" s="212">
        <f>IFERROR(IF([2]对账明细接口!$P720=0,"",[2]对账明细接口!$P720),"")</f>
      </c>
      <c r="V720" s="212">
        <f>IFERROR(IF([2]对账明细接口!$Q720=0,"",[2]对账明细接口!$Q720),"")</f>
      </c>
      <c r="W720" s="20">
        <f>IFERROR(IF([2]对账明细接口!$R720=0,"",[2]对账明细接口!$R720),"")</f>
      </c>
      <c r="X720" s="20">
        <f>IFERROR(IF([2]对账明细接口!$S720=0,"",[2]对账明细接口!$S720),"")</f>
      </c>
      <c r="Y720" s="20">
        <f>""</f>
      </c>
      <c r="Z720" s="20">
        <f>""</f>
      </c>
      <c r="AA720" s="20">
        <f>""</f>
      </c>
      <c r="AB720" s="20">
        <f>""</f>
      </c>
    </row>
    <row r="721" s="127">
      <c r="A721" s="14" t="n">
        <v>721</v>
      </c>
      <c r="B721" s="211">
        <f>IFERROR(IF([2]对账明细接口!$B$721=0,"",[2]对账明细接口!$B$721),"")</f>
      </c>
      <c r="C721" s="16">
        <f>IFERROR(IF([2]对账明细接口!$C$721=0,"",[2]对账明细接口!$C$721),"")</f>
      </c>
      <c r="D721" s="16">
        <f>IFERROR(IF([2]对账明细接口!$D$721=0,"",[2]对账明细接口!$D$721),"")</f>
      </c>
      <c r="E721" s="16">
        <f>IFERROR(IF([2]对账明细接口!$E$721=0,"",[2]对账明细接口!$E$721),"")</f>
      </c>
      <c r="F721" s="16">
        <f>IFERROR(IF([2]对账明细接口!$F$721=0,"",[2]对账明细接口!$F$721),"")</f>
      </c>
      <c r="G721" s="16">
        <f>IFERROR(IF([2]对账明细接口!$G$721=0,"",[2]对账明细接口!$G$721),"")</f>
      </c>
      <c r="H721" s="176">
        <f>IFERROR(IF([2]对账明细接口!$H$721=0,"",[2]对账明细接口!$H$721),"")</f>
      </c>
      <c r="I721" s="16">
        <f>IFERROR(IF([2]对账明细接口!$I$721=0,"",[2]对账明细接口!$I$721),"")</f>
      </c>
      <c r="J721" s="177">
        <f>IFERROR(IF([2]对账明细接口!$J$721=0,"",[2]对账明细接口!$J$721),"")</f>
      </c>
      <c r="K721" s="177">
        <f>IFERROR(IF([2]对账明细接口!$K$721=0,"",[2]对账明细接口!$K$721),"")</f>
      </c>
      <c r="L721" s="16">
        <f>IFERROR(IF([2]对账明细接口!$L$721=0,"",[2]对账明细接口!$L$721),"")</f>
      </c>
      <c r="M721" s="16">
        <f>IFERROR(IF([2]对账明细接口!$M$721=0,"",[2]对账明细接口!$M$721),"")</f>
      </c>
      <c r="N721" s="19">
        <f>IF($C721="",0,1)</f>
        <v>0</v>
      </c>
      <c r="O721" s="19">
        <f>N(O720)+$N721</f>
        <v>272</v>
      </c>
      <c r="S721" s="20">
        <f>IFERROR(IF([2]对账明细接口!$N721=0,"",[2]对账明细接口!$N721),"")</f>
      </c>
      <c r="T721" s="212">
        <f>IFERROR(IF([2]对账明细接口!$O721=0,"",[2]对账明细接口!$O721),"")</f>
      </c>
      <c r="U721" s="212">
        <f>IFERROR(IF([2]对账明细接口!$P721=0,"",[2]对账明细接口!$P721),"")</f>
      </c>
      <c r="V721" s="212">
        <f>IFERROR(IF([2]对账明细接口!$Q721=0,"",[2]对账明细接口!$Q721),"")</f>
      </c>
      <c r="W721" s="20">
        <f>IFERROR(IF([2]对账明细接口!$R721=0,"",[2]对账明细接口!$R721),"")</f>
      </c>
      <c r="X721" s="20">
        <f>IFERROR(IF([2]对账明细接口!$S721=0,"",[2]对账明细接口!$S721),"")</f>
      </c>
      <c r="Y721" s="20">
        <f>""</f>
      </c>
      <c r="Z721" s="20">
        <f>""</f>
      </c>
      <c r="AA721" s="20">
        <f>""</f>
      </c>
      <c r="AB721" s="20">
        <f>""</f>
      </c>
    </row>
    <row r="722" s="127">
      <c r="A722" s="14" t="n">
        <v>722</v>
      </c>
      <c r="B722" s="211">
        <f>IFERROR(IF([2]对账明细接口!$B$722=0,"",[2]对账明细接口!$B$722),"")</f>
      </c>
      <c r="C722" s="16">
        <f>IFERROR(IF([2]对账明细接口!$C$722=0,"",[2]对账明细接口!$C$722),"")</f>
      </c>
      <c r="D722" s="16">
        <f>IFERROR(IF([2]对账明细接口!$D$722=0,"",[2]对账明细接口!$D$722),"")</f>
      </c>
      <c r="E722" s="16">
        <f>IFERROR(IF([2]对账明细接口!$E$722=0,"",[2]对账明细接口!$E$722),"")</f>
      </c>
      <c r="F722" s="16">
        <f>IFERROR(IF([2]对账明细接口!$F$722=0,"",[2]对账明细接口!$F$722),"")</f>
      </c>
      <c r="G722" s="16">
        <f>IFERROR(IF([2]对账明细接口!$G$722=0,"",[2]对账明细接口!$G$722),"")</f>
      </c>
      <c r="H722" s="176">
        <f>IFERROR(IF([2]对账明细接口!$H$722=0,"",[2]对账明细接口!$H$722),"")</f>
      </c>
      <c r="I722" s="16">
        <f>IFERROR(IF([2]对账明细接口!$I$722=0,"",[2]对账明细接口!$I$722),"")</f>
      </c>
      <c r="J722" s="177">
        <f>IFERROR(IF([2]对账明细接口!$J$722=0,"",[2]对账明细接口!$J$722),"")</f>
      </c>
      <c r="K722" s="177">
        <f>IFERROR(IF([2]对账明细接口!$K$722=0,"",[2]对账明细接口!$K$722),"")</f>
      </c>
      <c r="L722" s="16">
        <f>IFERROR(IF([2]对账明细接口!$L$722=0,"",[2]对账明细接口!$L$722),"")</f>
      </c>
      <c r="M722" s="16">
        <f>IFERROR(IF([2]对账明细接口!$M$722=0,"",[2]对账明细接口!$M$722),"")</f>
      </c>
      <c r="N722" s="19">
        <f>IF($C722="",0,1)</f>
        <v>0</v>
      </c>
      <c r="O722" s="19">
        <f>N(O721)+$N722</f>
        <v>272</v>
      </c>
      <c r="S722" s="20">
        <f>IFERROR(IF([2]对账明细接口!$N722=0,"",[2]对账明细接口!$N722),"")</f>
      </c>
      <c r="T722" s="212">
        <f>IFERROR(IF([2]对账明细接口!$O722=0,"",[2]对账明细接口!$O722),"")</f>
      </c>
      <c r="U722" s="212">
        <f>IFERROR(IF([2]对账明细接口!$P722=0,"",[2]对账明细接口!$P722),"")</f>
      </c>
      <c r="V722" s="212">
        <f>IFERROR(IF([2]对账明细接口!$Q722=0,"",[2]对账明细接口!$Q722),"")</f>
      </c>
      <c r="W722" s="20">
        <f>IFERROR(IF([2]对账明细接口!$R722=0,"",[2]对账明细接口!$R722),"")</f>
      </c>
      <c r="X722" s="20">
        <f>IFERROR(IF([2]对账明细接口!$S722=0,"",[2]对账明细接口!$S722),"")</f>
      </c>
      <c r="Y722" s="20">
        <f>""</f>
      </c>
      <c r="Z722" s="20">
        <f>""</f>
      </c>
      <c r="AA722" s="20">
        <f>""</f>
      </c>
      <c r="AB722" s="20">
        <f>""</f>
      </c>
    </row>
    <row r="723" s="127">
      <c r="A723" s="14" t="n">
        <v>723</v>
      </c>
      <c r="B723" s="211">
        <f>IFERROR(IF([2]对账明细接口!$B$723=0,"",[2]对账明细接口!$B$723),"")</f>
      </c>
      <c r="C723" s="16">
        <f>IFERROR(IF([2]对账明细接口!$C$723=0,"",[2]对账明细接口!$C$723),"")</f>
      </c>
      <c r="D723" s="16">
        <f>IFERROR(IF([2]对账明细接口!$D$723=0,"",[2]对账明细接口!$D$723),"")</f>
      </c>
      <c r="E723" s="16">
        <f>IFERROR(IF([2]对账明细接口!$E$723=0,"",[2]对账明细接口!$E$723),"")</f>
      </c>
      <c r="F723" s="16">
        <f>IFERROR(IF([2]对账明细接口!$F$723=0,"",[2]对账明细接口!$F$723),"")</f>
      </c>
      <c r="G723" s="16">
        <f>IFERROR(IF([2]对账明细接口!$G$723=0,"",[2]对账明细接口!$G$723),"")</f>
      </c>
      <c r="H723" s="176">
        <f>IFERROR(IF([2]对账明细接口!$H$723=0,"",[2]对账明细接口!$H$723),"")</f>
      </c>
      <c r="I723" s="16">
        <f>IFERROR(IF([2]对账明细接口!$I$723=0,"",[2]对账明细接口!$I$723),"")</f>
      </c>
      <c r="J723" s="177">
        <f>IFERROR(IF([2]对账明细接口!$J$723=0,"",[2]对账明细接口!$J$723),"")</f>
      </c>
      <c r="K723" s="177">
        <f>IFERROR(IF([2]对账明细接口!$K$723=0,"",[2]对账明细接口!$K$723),"")</f>
      </c>
      <c r="L723" s="16">
        <f>IFERROR(IF([2]对账明细接口!$L$723=0,"",[2]对账明细接口!$L$723),"")</f>
      </c>
      <c r="M723" s="16">
        <f>IFERROR(IF([2]对账明细接口!$M$723=0,"",[2]对账明细接口!$M$723),"")</f>
      </c>
      <c r="N723" s="19">
        <f>IF($C723="",0,1)</f>
        <v>0</v>
      </c>
      <c r="O723" s="19">
        <f>N(O722)+$N723</f>
        <v>272</v>
      </c>
      <c r="S723" s="20">
        <f>IFERROR(IF([2]对账明细接口!$N723=0,"",[2]对账明细接口!$N723),"")</f>
      </c>
      <c r="T723" s="212">
        <f>IFERROR(IF([2]对账明细接口!$O723=0,"",[2]对账明细接口!$O723),"")</f>
      </c>
      <c r="U723" s="212">
        <f>IFERROR(IF([2]对账明细接口!$P723=0,"",[2]对账明细接口!$P723),"")</f>
      </c>
      <c r="V723" s="212">
        <f>IFERROR(IF([2]对账明细接口!$Q723=0,"",[2]对账明细接口!$Q723),"")</f>
      </c>
      <c r="W723" s="20">
        <f>IFERROR(IF([2]对账明细接口!$R723=0,"",[2]对账明细接口!$R723),"")</f>
      </c>
      <c r="X723" s="20">
        <f>IFERROR(IF([2]对账明细接口!$S723=0,"",[2]对账明细接口!$S723),"")</f>
      </c>
      <c r="Y723" s="20">
        <f>""</f>
      </c>
      <c r="Z723" s="20">
        <f>""</f>
      </c>
      <c r="AA723" s="20">
        <f>""</f>
      </c>
      <c r="AB723" s="20">
        <f>""</f>
      </c>
    </row>
    <row r="724" s="127">
      <c r="A724" s="14" t="n">
        <v>724</v>
      </c>
      <c r="B724" s="211">
        <f>IFERROR(IF([2]对账明细接口!$B$724=0,"",[2]对账明细接口!$B$724),"")</f>
      </c>
      <c r="C724" s="16">
        <f>IFERROR(IF([2]对账明细接口!$C$724=0,"",[2]对账明细接口!$C$724),"")</f>
      </c>
      <c r="D724" s="16">
        <f>IFERROR(IF([2]对账明细接口!$D$724=0,"",[2]对账明细接口!$D$724),"")</f>
      </c>
      <c r="E724" s="16">
        <f>IFERROR(IF([2]对账明细接口!$E$724=0,"",[2]对账明细接口!$E$724),"")</f>
      </c>
      <c r="F724" s="16">
        <f>IFERROR(IF([2]对账明细接口!$F$724=0,"",[2]对账明细接口!$F$724),"")</f>
      </c>
      <c r="G724" s="16">
        <f>IFERROR(IF([2]对账明细接口!$G$724=0,"",[2]对账明细接口!$G$724),"")</f>
      </c>
      <c r="H724" s="176">
        <f>IFERROR(IF([2]对账明细接口!$H$724=0,"",[2]对账明细接口!$H$724),"")</f>
      </c>
      <c r="I724" s="16">
        <f>IFERROR(IF([2]对账明细接口!$I$724=0,"",[2]对账明细接口!$I$724),"")</f>
      </c>
      <c r="J724" s="177">
        <f>IFERROR(IF([2]对账明细接口!$J$724=0,"",[2]对账明细接口!$J$724),"")</f>
      </c>
      <c r="K724" s="177">
        <f>IFERROR(IF([2]对账明细接口!$K$724=0,"",[2]对账明细接口!$K$724),"")</f>
      </c>
      <c r="L724" s="16">
        <f>IFERROR(IF([2]对账明细接口!$L$724=0,"",[2]对账明细接口!$L$724),"")</f>
      </c>
      <c r="M724" s="16">
        <f>IFERROR(IF([2]对账明细接口!$M$724=0,"",[2]对账明细接口!$M$724),"")</f>
      </c>
      <c r="N724" s="19">
        <f>IF($C724="",0,1)</f>
        <v>0</v>
      </c>
      <c r="O724" s="19">
        <f>N(O723)+$N724</f>
        <v>272</v>
      </c>
      <c r="S724" s="20">
        <f>IFERROR(IF([2]对账明细接口!$N724=0,"",[2]对账明细接口!$N724),"")</f>
      </c>
      <c r="T724" s="212">
        <f>IFERROR(IF([2]对账明细接口!$O724=0,"",[2]对账明细接口!$O724),"")</f>
      </c>
      <c r="U724" s="212">
        <f>IFERROR(IF([2]对账明细接口!$P724=0,"",[2]对账明细接口!$P724),"")</f>
      </c>
      <c r="V724" s="212">
        <f>IFERROR(IF([2]对账明细接口!$Q724=0,"",[2]对账明细接口!$Q724),"")</f>
      </c>
      <c r="W724" s="20">
        <f>IFERROR(IF([2]对账明细接口!$R724=0,"",[2]对账明细接口!$R724),"")</f>
      </c>
      <c r="X724" s="20">
        <f>IFERROR(IF([2]对账明细接口!$S724=0,"",[2]对账明细接口!$S724),"")</f>
      </c>
      <c r="Y724" s="20">
        <f>""</f>
      </c>
      <c r="Z724" s="20">
        <f>""</f>
      </c>
      <c r="AA724" s="20">
        <f>""</f>
      </c>
      <c r="AB724" s="20">
        <f>""</f>
      </c>
    </row>
    <row r="725" s="127">
      <c r="A725" s="14" t="n">
        <v>725</v>
      </c>
      <c r="B725" s="211">
        <f>IFERROR(IF([2]对账明细接口!$B$725=0,"",[2]对账明细接口!$B$725),"")</f>
      </c>
      <c r="C725" s="16">
        <f>IFERROR(IF([2]对账明细接口!$C$725=0,"",[2]对账明细接口!$C$725),"")</f>
      </c>
      <c r="D725" s="16">
        <f>IFERROR(IF([2]对账明细接口!$D$725=0,"",[2]对账明细接口!$D$725),"")</f>
      </c>
      <c r="E725" s="16">
        <f>IFERROR(IF([2]对账明细接口!$E$725=0,"",[2]对账明细接口!$E$725),"")</f>
      </c>
      <c r="F725" s="16">
        <f>IFERROR(IF([2]对账明细接口!$F$725=0,"",[2]对账明细接口!$F$725),"")</f>
      </c>
      <c r="G725" s="16">
        <f>IFERROR(IF([2]对账明细接口!$G$725=0,"",[2]对账明细接口!$G$725),"")</f>
      </c>
      <c r="H725" s="176">
        <f>IFERROR(IF([2]对账明细接口!$H$725=0,"",[2]对账明细接口!$H$725),"")</f>
      </c>
      <c r="I725" s="16">
        <f>IFERROR(IF([2]对账明细接口!$I$725=0,"",[2]对账明细接口!$I$725),"")</f>
      </c>
      <c r="J725" s="177">
        <f>IFERROR(IF([2]对账明细接口!$J$725=0,"",[2]对账明细接口!$J$725),"")</f>
      </c>
      <c r="K725" s="177">
        <f>IFERROR(IF([2]对账明细接口!$K$725=0,"",[2]对账明细接口!$K$725),"")</f>
      </c>
      <c r="L725" s="16">
        <f>IFERROR(IF([2]对账明细接口!$L$725=0,"",[2]对账明细接口!$L$725),"")</f>
      </c>
      <c r="M725" s="16">
        <f>IFERROR(IF([2]对账明细接口!$M$725=0,"",[2]对账明细接口!$M$725),"")</f>
      </c>
      <c r="N725" s="19">
        <f>IF($C725="",0,1)</f>
        <v>0</v>
      </c>
      <c r="O725" s="19">
        <f>N(O724)+$N725</f>
        <v>272</v>
      </c>
      <c r="S725" s="20">
        <f>IFERROR(IF([2]对账明细接口!$N725=0,"",[2]对账明细接口!$N725),"")</f>
      </c>
      <c r="T725" s="212">
        <f>IFERROR(IF([2]对账明细接口!$O725=0,"",[2]对账明细接口!$O725),"")</f>
      </c>
      <c r="U725" s="212">
        <f>IFERROR(IF([2]对账明细接口!$P725=0,"",[2]对账明细接口!$P725),"")</f>
      </c>
      <c r="V725" s="212">
        <f>IFERROR(IF([2]对账明细接口!$Q725=0,"",[2]对账明细接口!$Q725),"")</f>
      </c>
      <c r="W725" s="20">
        <f>IFERROR(IF([2]对账明细接口!$R725=0,"",[2]对账明细接口!$R725),"")</f>
      </c>
      <c r="X725" s="20">
        <f>IFERROR(IF([2]对账明细接口!$S725=0,"",[2]对账明细接口!$S725),"")</f>
      </c>
      <c r="Y725" s="20">
        <f>""</f>
      </c>
      <c r="Z725" s="20">
        <f>""</f>
      </c>
      <c r="AA725" s="20">
        <f>""</f>
      </c>
      <c r="AB725" s="20">
        <f>""</f>
      </c>
    </row>
    <row r="726" s="127">
      <c r="A726" s="14" t="n">
        <v>726</v>
      </c>
      <c r="B726" s="211">
        <f>IFERROR(IF([2]对账明细接口!$B$726=0,"",[2]对账明细接口!$B$726),"")</f>
      </c>
      <c r="C726" s="16">
        <f>IFERROR(IF([2]对账明细接口!$C$726=0,"",[2]对账明细接口!$C$726),"")</f>
      </c>
      <c r="D726" s="16">
        <f>IFERROR(IF([2]对账明细接口!$D$726=0,"",[2]对账明细接口!$D$726),"")</f>
      </c>
      <c r="E726" s="16">
        <f>IFERROR(IF([2]对账明细接口!$E$726=0,"",[2]对账明细接口!$E$726),"")</f>
      </c>
      <c r="F726" s="16">
        <f>IFERROR(IF([2]对账明细接口!$F$726=0,"",[2]对账明细接口!$F$726),"")</f>
      </c>
      <c r="G726" s="16">
        <f>IFERROR(IF([2]对账明细接口!$G$726=0,"",[2]对账明细接口!$G$726),"")</f>
      </c>
      <c r="H726" s="176">
        <f>IFERROR(IF([2]对账明细接口!$H$726=0,"",[2]对账明细接口!$H$726),"")</f>
      </c>
      <c r="I726" s="16">
        <f>IFERROR(IF([2]对账明细接口!$I$726=0,"",[2]对账明细接口!$I$726),"")</f>
      </c>
      <c r="J726" s="177">
        <f>IFERROR(IF([2]对账明细接口!$J$726=0,"",[2]对账明细接口!$J$726),"")</f>
      </c>
      <c r="K726" s="177">
        <f>IFERROR(IF([2]对账明细接口!$K$726=0,"",[2]对账明细接口!$K$726),"")</f>
      </c>
      <c r="L726" s="16">
        <f>IFERROR(IF([2]对账明细接口!$L$726=0,"",[2]对账明细接口!$L$726),"")</f>
      </c>
      <c r="M726" s="16">
        <f>IFERROR(IF([2]对账明细接口!$M$726=0,"",[2]对账明细接口!$M$726),"")</f>
      </c>
      <c r="N726" s="19">
        <f>IF($C726="",0,1)</f>
        <v>0</v>
      </c>
      <c r="O726" s="19">
        <f>N(O725)+$N726</f>
        <v>272</v>
      </c>
      <c r="S726" s="20">
        <f>IFERROR(IF([2]对账明细接口!$N726=0,"",[2]对账明细接口!$N726),"")</f>
      </c>
      <c r="T726" s="212">
        <f>IFERROR(IF([2]对账明细接口!$O726=0,"",[2]对账明细接口!$O726),"")</f>
      </c>
      <c r="U726" s="212">
        <f>IFERROR(IF([2]对账明细接口!$P726=0,"",[2]对账明细接口!$P726),"")</f>
      </c>
      <c r="V726" s="212">
        <f>IFERROR(IF([2]对账明细接口!$Q726=0,"",[2]对账明细接口!$Q726),"")</f>
      </c>
      <c r="W726" s="20">
        <f>IFERROR(IF([2]对账明细接口!$R726=0,"",[2]对账明细接口!$R726),"")</f>
      </c>
      <c r="X726" s="20">
        <f>IFERROR(IF([2]对账明细接口!$S726=0,"",[2]对账明细接口!$S726),"")</f>
      </c>
      <c r="Y726" s="20">
        <f>""</f>
      </c>
      <c r="Z726" s="20">
        <f>""</f>
      </c>
      <c r="AA726" s="20">
        <f>""</f>
      </c>
      <c r="AB726" s="20">
        <f>""</f>
      </c>
    </row>
    <row r="727" s="127">
      <c r="A727" s="14" t="n">
        <v>727</v>
      </c>
      <c r="B727" s="211">
        <f>IFERROR(IF([2]对账明细接口!$B$727=0,"",[2]对账明细接口!$B$727),"")</f>
      </c>
      <c r="C727" s="16">
        <f>IFERROR(IF([2]对账明细接口!$C$727=0,"",[2]对账明细接口!$C$727),"")</f>
      </c>
      <c r="D727" s="16">
        <f>IFERROR(IF([2]对账明细接口!$D$727=0,"",[2]对账明细接口!$D$727),"")</f>
      </c>
      <c r="E727" s="16">
        <f>IFERROR(IF([2]对账明细接口!$E$727=0,"",[2]对账明细接口!$E$727),"")</f>
      </c>
      <c r="F727" s="16">
        <f>IFERROR(IF([2]对账明细接口!$F$727=0,"",[2]对账明细接口!$F$727),"")</f>
      </c>
      <c r="G727" s="16">
        <f>IFERROR(IF([2]对账明细接口!$G$727=0,"",[2]对账明细接口!$G$727),"")</f>
      </c>
      <c r="H727" s="176">
        <f>IFERROR(IF([2]对账明细接口!$H$727=0,"",[2]对账明细接口!$H$727),"")</f>
      </c>
      <c r="I727" s="16">
        <f>IFERROR(IF([2]对账明细接口!$I$727=0,"",[2]对账明细接口!$I$727),"")</f>
      </c>
      <c r="J727" s="177">
        <f>IFERROR(IF([2]对账明细接口!$J$727=0,"",[2]对账明细接口!$J$727),"")</f>
      </c>
      <c r="K727" s="177">
        <f>IFERROR(IF([2]对账明细接口!$K$727=0,"",[2]对账明细接口!$K$727),"")</f>
      </c>
      <c r="L727" s="16">
        <f>IFERROR(IF([2]对账明细接口!$L$727=0,"",[2]对账明细接口!$L$727),"")</f>
      </c>
      <c r="M727" s="16">
        <f>IFERROR(IF([2]对账明细接口!$M$727=0,"",[2]对账明细接口!$M$727),"")</f>
      </c>
      <c r="N727" s="19">
        <f>IF($C727="",0,1)</f>
        <v>0</v>
      </c>
      <c r="O727" s="19">
        <f>N(O726)+$N727</f>
        <v>272</v>
      </c>
      <c r="S727" s="20">
        <f>IFERROR(IF([2]对账明细接口!$N727=0,"",[2]对账明细接口!$N727),"")</f>
      </c>
      <c r="T727" s="212">
        <f>IFERROR(IF([2]对账明细接口!$O727=0,"",[2]对账明细接口!$O727),"")</f>
      </c>
      <c r="U727" s="212">
        <f>IFERROR(IF([2]对账明细接口!$P727=0,"",[2]对账明细接口!$P727),"")</f>
      </c>
      <c r="V727" s="212">
        <f>IFERROR(IF([2]对账明细接口!$Q727=0,"",[2]对账明细接口!$Q727),"")</f>
      </c>
      <c r="W727" s="20">
        <f>IFERROR(IF([2]对账明细接口!$R727=0,"",[2]对账明细接口!$R727),"")</f>
      </c>
      <c r="X727" s="20">
        <f>IFERROR(IF([2]对账明细接口!$S727=0,"",[2]对账明细接口!$S727),"")</f>
      </c>
      <c r="Y727" s="20">
        <f>""</f>
      </c>
      <c r="Z727" s="20">
        <f>""</f>
      </c>
      <c r="AA727" s="20">
        <f>""</f>
      </c>
      <c r="AB727" s="20">
        <f>""</f>
      </c>
    </row>
    <row r="728" s="127">
      <c r="A728" s="14" t="n">
        <v>728</v>
      </c>
      <c r="B728" s="211">
        <f>IFERROR(IF([2]对账明细接口!$B$728=0,"",[2]对账明细接口!$B$728),"")</f>
      </c>
      <c r="C728" s="16">
        <f>IFERROR(IF([2]对账明细接口!$C$728=0,"",[2]对账明细接口!$C$728),"")</f>
      </c>
      <c r="D728" s="16">
        <f>IFERROR(IF([2]对账明细接口!$D$728=0,"",[2]对账明细接口!$D$728),"")</f>
      </c>
      <c r="E728" s="16">
        <f>IFERROR(IF([2]对账明细接口!$E$728=0,"",[2]对账明细接口!$E$728),"")</f>
      </c>
      <c r="F728" s="16">
        <f>IFERROR(IF([2]对账明细接口!$F$728=0,"",[2]对账明细接口!$F$728),"")</f>
      </c>
      <c r="G728" s="16">
        <f>IFERROR(IF([2]对账明细接口!$G$728=0,"",[2]对账明细接口!$G$728),"")</f>
      </c>
      <c r="H728" s="176">
        <f>IFERROR(IF([2]对账明细接口!$H$728=0,"",[2]对账明细接口!$H$728),"")</f>
      </c>
      <c r="I728" s="16">
        <f>IFERROR(IF([2]对账明细接口!$I$728=0,"",[2]对账明细接口!$I$728),"")</f>
      </c>
      <c r="J728" s="177">
        <f>IFERROR(IF([2]对账明细接口!$J$728=0,"",[2]对账明细接口!$J$728),"")</f>
      </c>
      <c r="K728" s="177">
        <f>IFERROR(IF([2]对账明细接口!$K$728=0,"",[2]对账明细接口!$K$728),"")</f>
      </c>
      <c r="L728" s="16">
        <f>IFERROR(IF([2]对账明细接口!$L$728=0,"",[2]对账明细接口!$L$728),"")</f>
      </c>
      <c r="M728" s="16">
        <f>IFERROR(IF([2]对账明细接口!$M$728=0,"",[2]对账明细接口!$M$728),"")</f>
      </c>
      <c r="N728" s="19">
        <f>IF($C728="",0,1)</f>
        <v>0</v>
      </c>
      <c r="O728" s="19">
        <f>N(O727)+$N728</f>
        <v>272</v>
      </c>
      <c r="S728" s="20">
        <f>IFERROR(IF([2]对账明细接口!$N728=0,"",[2]对账明细接口!$N728),"")</f>
      </c>
      <c r="T728" s="212">
        <f>IFERROR(IF([2]对账明细接口!$O728=0,"",[2]对账明细接口!$O728),"")</f>
      </c>
      <c r="U728" s="212">
        <f>IFERROR(IF([2]对账明细接口!$P728=0,"",[2]对账明细接口!$P728),"")</f>
      </c>
      <c r="V728" s="212">
        <f>IFERROR(IF([2]对账明细接口!$Q728=0,"",[2]对账明细接口!$Q728),"")</f>
      </c>
      <c r="W728" s="20">
        <f>IFERROR(IF([2]对账明细接口!$R728=0,"",[2]对账明细接口!$R728),"")</f>
      </c>
      <c r="X728" s="20">
        <f>IFERROR(IF([2]对账明细接口!$S728=0,"",[2]对账明细接口!$S728),"")</f>
      </c>
      <c r="Y728" s="20">
        <f>""</f>
      </c>
      <c r="Z728" s="20">
        <f>""</f>
      </c>
      <c r="AA728" s="20">
        <f>""</f>
      </c>
      <c r="AB728" s="20">
        <f>""</f>
      </c>
    </row>
    <row r="729" s="127">
      <c r="A729" s="14" t="n">
        <v>729</v>
      </c>
      <c r="B729" s="211">
        <f>IFERROR(IF([2]对账明细接口!$B$729=0,"",[2]对账明细接口!$B$729),"")</f>
      </c>
      <c r="C729" s="16">
        <f>IFERROR(IF([2]对账明细接口!$C$729=0,"",[2]对账明细接口!$C$729),"")</f>
      </c>
      <c r="D729" s="16">
        <f>IFERROR(IF([2]对账明细接口!$D$729=0,"",[2]对账明细接口!$D$729),"")</f>
      </c>
      <c r="E729" s="16">
        <f>IFERROR(IF([2]对账明细接口!$E$729=0,"",[2]对账明细接口!$E$729),"")</f>
      </c>
      <c r="F729" s="16">
        <f>IFERROR(IF([2]对账明细接口!$F$729=0,"",[2]对账明细接口!$F$729),"")</f>
      </c>
      <c r="G729" s="16">
        <f>IFERROR(IF([2]对账明细接口!$G$729=0,"",[2]对账明细接口!$G$729),"")</f>
      </c>
      <c r="H729" s="176">
        <f>IFERROR(IF([2]对账明细接口!$H$729=0,"",[2]对账明细接口!$H$729),"")</f>
      </c>
      <c r="I729" s="16">
        <f>IFERROR(IF([2]对账明细接口!$I$729=0,"",[2]对账明细接口!$I$729),"")</f>
      </c>
      <c r="J729" s="177">
        <f>IFERROR(IF([2]对账明细接口!$J$729=0,"",[2]对账明细接口!$J$729),"")</f>
      </c>
      <c r="K729" s="177">
        <f>IFERROR(IF([2]对账明细接口!$K$729=0,"",[2]对账明细接口!$K$729),"")</f>
      </c>
      <c r="L729" s="16">
        <f>IFERROR(IF([2]对账明细接口!$L$729=0,"",[2]对账明细接口!$L$729),"")</f>
      </c>
      <c r="M729" s="16">
        <f>IFERROR(IF([2]对账明细接口!$M$729=0,"",[2]对账明细接口!$M$729),"")</f>
      </c>
      <c r="N729" s="19">
        <f>IF($C729="",0,1)</f>
        <v>0</v>
      </c>
      <c r="O729" s="19">
        <f>N(O728)+$N729</f>
        <v>272</v>
      </c>
      <c r="S729" s="20">
        <f>IFERROR(IF([2]对账明细接口!$N729=0,"",[2]对账明细接口!$N729),"")</f>
      </c>
      <c r="T729" s="212">
        <f>IFERROR(IF([2]对账明细接口!$O729=0,"",[2]对账明细接口!$O729),"")</f>
      </c>
      <c r="U729" s="212">
        <f>IFERROR(IF([2]对账明细接口!$P729=0,"",[2]对账明细接口!$P729),"")</f>
      </c>
      <c r="V729" s="212">
        <f>IFERROR(IF([2]对账明细接口!$Q729=0,"",[2]对账明细接口!$Q729),"")</f>
      </c>
      <c r="W729" s="20">
        <f>IFERROR(IF([2]对账明细接口!$R729=0,"",[2]对账明细接口!$R729),"")</f>
      </c>
      <c r="X729" s="20">
        <f>IFERROR(IF([2]对账明细接口!$S729=0,"",[2]对账明细接口!$S729),"")</f>
      </c>
      <c r="Y729" s="20">
        <f>""</f>
      </c>
      <c r="Z729" s="20">
        <f>""</f>
      </c>
      <c r="AA729" s="20">
        <f>""</f>
      </c>
      <c r="AB729" s="20">
        <f>""</f>
      </c>
    </row>
    <row r="730" s="127">
      <c r="A730" s="14" t="n">
        <v>730</v>
      </c>
      <c r="B730" s="211">
        <f>IFERROR(IF([2]对账明细接口!$B$730=0,"",[2]对账明细接口!$B$730),"")</f>
      </c>
      <c r="C730" s="16">
        <f>IFERROR(IF([2]对账明细接口!$C$730=0,"",[2]对账明细接口!$C$730),"")</f>
      </c>
      <c r="D730" s="16">
        <f>IFERROR(IF([2]对账明细接口!$D$730=0,"",[2]对账明细接口!$D$730),"")</f>
      </c>
      <c r="E730" s="16">
        <f>IFERROR(IF([2]对账明细接口!$E$730=0,"",[2]对账明细接口!$E$730),"")</f>
      </c>
      <c r="F730" s="16">
        <f>IFERROR(IF([2]对账明细接口!$F$730=0,"",[2]对账明细接口!$F$730),"")</f>
      </c>
      <c r="G730" s="16">
        <f>IFERROR(IF([2]对账明细接口!$G$730=0,"",[2]对账明细接口!$G$730),"")</f>
      </c>
      <c r="H730" s="176">
        <f>IFERROR(IF([2]对账明细接口!$H$730=0,"",[2]对账明细接口!$H$730),"")</f>
      </c>
      <c r="I730" s="16">
        <f>IFERROR(IF([2]对账明细接口!$I$730=0,"",[2]对账明细接口!$I$730),"")</f>
      </c>
      <c r="J730" s="177">
        <f>IFERROR(IF([2]对账明细接口!$J$730=0,"",[2]对账明细接口!$J$730),"")</f>
      </c>
      <c r="K730" s="177">
        <f>IFERROR(IF([2]对账明细接口!$K$730=0,"",[2]对账明细接口!$K$730),"")</f>
      </c>
      <c r="L730" s="16">
        <f>IFERROR(IF([2]对账明细接口!$L$730=0,"",[2]对账明细接口!$L$730),"")</f>
      </c>
      <c r="M730" s="16">
        <f>IFERROR(IF([2]对账明细接口!$M$730=0,"",[2]对账明细接口!$M$730),"")</f>
      </c>
      <c r="N730" s="19">
        <f>IF($C730="",0,1)</f>
        <v>0</v>
      </c>
      <c r="O730" s="19">
        <f>N(O729)+$N730</f>
        <v>272</v>
      </c>
      <c r="S730" s="20">
        <f>IFERROR(IF([2]对账明细接口!$N730=0,"",[2]对账明细接口!$N730),"")</f>
      </c>
      <c r="T730" s="212">
        <f>IFERROR(IF([2]对账明细接口!$O730=0,"",[2]对账明细接口!$O730),"")</f>
      </c>
      <c r="U730" s="212">
        <f>IFERROR(IF([2]对账明细接口!$P730=0,"",[2]对账明细接口!$P730),"")</f>
      </c>
      <c r="V730" s="212">
        <f>IFERROR(IF([2]对账明细接口!$Q730=0,"",[2]对账明细接口!$Q730),"")</f>
      </c>
      <c r="W730" s="20">
        <f>IFERROR(IF([2]对账明细接口!$R730=0,"",[2]对账明细接口!$R730),"")</f>
      </c>
      <c r="X730" s="20">
        <f>IFERROR(IF([2]对账明细接口!$S730=0,"",[2]对账明细接口!$S730),"")</f>
      </c>
      <c r="Y730" s="20">
        <f>""</f>
      </c>
      <c r="Z730" s="20">
        <f>""</f>
      </c>
      <c r="AA730" s="20">
        <f>""</f>
      </c>
      <c r="AB730" s="20">
        <f>""</f>
      </c>
    </row>
    <row r="731" s="127">
      <c r="A731" s="14" t="n">
        <v>731</v>
      </c>
      <c r="B731" s="211">
        <f>IFERROR(IF([2]对账明细接口!$B$731=0,"",[2]对账明细接口!$B$731),"")</f>
      </c>
      <c r="C731" s="16">
        <f>IFERROR(IF([2]对账明细接口!$C$731=0,"",[2]对账明细接口!$C$731),"")</f>
      </c>
      <c r="D731" s="16">
        <f>IFERROR(IF([2]对账明细接口!$D$731=0,"",[2]对账明细接口!$D$731),"")</f>
      </c>
      <c r="E731" s="16">
        <f>IFERROR(IF([2]对账明细接口!$E$731=0,"",[2]对账明细接口!$E$731),"")</f>
      </c>
      <c r="F731" s="16">
        <f>IFERROR(IF([2]对账明细接口!$F$731=0,"",[2]对账明细接口!$F$731),"")</f>
      </c>
      <c r="G731" s="16">
        <f>IFERROR(IF([2]对账明细接口!$G$731=0,"",[2]对账明细接口!$G$731),"")</f>
      </c>
      <c r="H731" s="176">
        <f>IFERROR(IF([2]对账明细接口!$H$731=0,"",[2]对账明细接口!$H$731),"")</f>
      </c>
      <c r="I731" s="16">
        <f>IFERROR(IF([2]对账明细接口!$I$731=0,"",[2]对账明细接口!$I$731),"")</f>
      </c>
      <c r="J731" s="177">
        <f>IFERROR(IF([2]对账明细接口!$J$731=0,"",[2]对账明细接口!$J$731),"")</f>
      </c>
      <c r="K731" s="177">
        <f>IFERROR(IF([2]对账明细接口!$K$731=0,"",[2]对账明细接口!$K$731),"")</f>
      </c>
      <c r="L731" s="16">
        <f>IFERROR(IF([2]对账明细接口!$L$731=0,"",[2]对账明细接口!$L$731),"")</f>
      </c>
      <c r="M731" s="16">
        <f>IFERROR(IF([2]对账明细接口!$M$731=0,"",[2]对账明细接口!$M$731),"")</f>
      </c>
      <c r="N731" s="19">
        <f>IF($C731="",0,1)</f>
        <v>0</v>
      </c>
      <c r="O731" s="19">
        <f>N(O730)+$N731</f>
        <v>272</v>
      </c>
      <c r="S731" s="20">
        <f>IFERROR(IF([2]对账明细接口!$N731=0,"",[2]对账明细接口!$N731),"")</f>
      </c>
      <c r="T731" s="212">
        <f>IFERROR(IF([2]对账明细接口!$O731=0,"",[2]对账明细接口!$O731),"")</f>
      </c>
      <c r="U731" s="212">
        <f>IFERROR(IF([2]对账明细接口!$P731=0,"",[2]对账明细接口!$P731),"")</f>
      </c>
      <c r="V731" s="212">
        <f>IFERROR(IF([2]对账明细接口!$Q731=0,"",[2]对账明细接口!$Q731),"")</f>
      </c>
      <c r="W731" s="20">
        <f>IFERROR(IF([2]对账明细接口!$R731=0,"",[2]对账明细接口!$R731),"")</f>
      </c>
      <c r="X731" s="20">
        <f>IFERROR(IF([2]对账明细接口!$S731=0,"",[2]对账明细接口!$S731),"")</f>
      </c>
      <c r="Y731" s="20">
        <f>""</f>
      </c>
      <c r="Z731" s="20">
        <f>""</f>
      </c>
      <c r="AA731" s="20">
        <f>""</f>
      </c>
      <c r="AB731" s="20">
        <f>""</f>
      </c>
    </row>
    <row r="732" s="127">
      <c r="A732" s="14" t="n">
        <v>732</v>
      </c>
      <c r="B732" s="211">
        <f>IFERROR(IF([2]对账明细接口!$B$732=0,"",[2]对账明细接口!$B$732),"")</f>
      </c>
      <c r="C732" s="16">
        <f>IFERROR(IF([2]对账明细接口!$C$732=0,"",[2]对账明细接口!$C$732),"")</f>
      </c>
      <c r="D732" s="16">
        <f>IFERROR(IF([2]对账明细接口!$D$732=0,"",[2]对账明细接口!$D$732),"")</f>
      </c>
      <c r="E732" s="16">
        <f>IFERROR(IF([2]对账明细接口!$E$732=0,"",[2]对账明细接口!$E$732),"")</f>
      </c>
      <c r="F732" s="16">
        <f>IFERROR(IF([2]对账明细接口!$F$732=0,"",[2]对账明细接口!$F$732),"")</f>
      </c>
      <c r="G732" s="16">
        <f>IFERROR(IF([2]对账明细接口!$G$732=0,"",[2]对账明细接口!$G$732),"")</f>
      </c>
      <c r="H732" s="176">
        <f>IFERROR(IF([2]对账明细接口!$H$732=0,"",[2]对账明细接口!$H$732),"")</f>
      </c>
      <c r="I732" s="16">
        <f>IFERROR(IF([2]对账明细接口!$I$732=0,"",[2]对账明细接口!$I$732),"")</f>
      </c>
      <c r="J732" s="177">
        <f>IFERROR(IF([2]对账明细接口!$J$732=0,"",[2]对账明细接口!$J$732),"")</f>
      </c>
      <c r="K732" s="177">
        <f>IFERROR(IF([2]对账明细接口!$K$732=0,"",[2]对账明细接口!$K$732),"")</f>
      </c>
      <c r="L732" s="16">
        <f>IFERROR(IF([2]对账明细接口!$L$732=0,"",[2]对账明细接口!$L$732),"")</f>
      </c>
      <c r="M732" s="16">
        <f>IFERROR(IF([2]对账明细接口!$M$732=0,"",[2]对账明细接口!$M$732),"")</f>
      </c>
      <c r="N732" s="19">
        <f>IF($C732="",0,1)</f>
        <v>0</v>
      </c>
      <c r="O732" s="19">
        <f>N(O731)+$N732</f>
        <v>272</v>
      </c>
      <c r="S732" s="20">
        <f>IFERROR(IF([2]对账明细接口!$N732=0,"",[2]对账明细接口!$N732),"")</f>
      </c>
      <c r="T732" s="212">
        <f>IFERROR(IF([2]对账明细接口!$O732=0,"",[2]对账明细接口!$O732),"")</f>
      </c>
      <c r="U732" s="212">
        <f>IFERROR(IF([2]对账明细接口!$P732=0,"",[2]对账明细接口!$P732),"")</f>
      </c>
      <c r="V732" s="212">
        <f>IFERROR(IF([2]对账明细接口!$Q732=0,"",[2]对账明细接口!$Q732),"")</f>
      </c>
      <c r="W732" s="20">
        <f>IFERROR(IF([2]对账明细接口!$R732=0,"",[2]对账明细接口!$R732),"")</f>
      </c>
      <c r="X732" s="20">
        <f>IFERROR(IF([2]对账明细接口!$S732=0,"",[2]对账明细接口!$S732),"")</f>
      </c>
      <c r="Y732" s="20">
        <f>""</f>
      </c>
      <c r="Z732" s="20">
        <f>""</f>
      </c>
      <c r="AA732" s="20">
        <f>""</f>
      </c>
      <c r="AB732" s="20">
        <f>""</f>
      </c>
    </row>
    <row r="733" s="127">
      <c r="A733" s="14" t="n">
        <v>733</v>
      </c>
      <c r="B733" s="211">
        <f>IFERROR(IF([2]对账明细接口!$B$733=0,"",[2]对账明细接口!$B$733),"")</f>
      </c>
      <c r="C733" s="16">
        <f>IFERROR(IF([2]对账明细接口!$C$733=0,"",[2]对账明细接口!$C$733),"")</f>
      </c>
      <c r="D733" s="16">
        <f>IFERROR(IF([2]对账明细接口!$D$733=0,"",[2]对账明细接口!$D$733),"")</f>
      </c>
      <c r="E733" s="16">
        <f>IFERROR(IF([2]对账明细接口!$E$733=0,"",[2]对账明细接口!$E$733),"")</f>
      </c>
      <c r="F733" s="16">
        <f>IFERROR(IF([2]对账明细接口!$F$733=0,"",[2]对账明细接口!$F$733),"")</f>
      </c>
      <c r="G733" s="16">
        <f>IFERROR(IF([2]对账明细接口!$G$733=0,"",[2]对账明细接口!$G$733),"")</f>
      </c>
      <c r="H733" s="176">
        <f>IFERROR(IF([2]对账明细接口!$H$733=0,"",[2]对账明细接口!$H$733),"")</f>
      </c>
      <c r="I733" s="16">
        <f>IFERROR(IF([2]对账明细接口!$I$733=0,"",[2]对账明细接口!$I$733),"")</f>
      </c>
      <c r="J733" s="177">
        <f>IFERROR(IF([2]对账明细接口!$J$733=0,"",[2]对账明细接口!$J$733),"")</f>
      </c>
      <c r="K733" s="177">
        <f>IFERROR(IF([2]对账明细接口!$K$733=0,"",[2]对账明细接口!$K$733),"")</f>
      </c>
      <c r="L733" s="16">
        <f>IFERROR(IF([2]对账明细接口!$L$733=0,"",[2]对账明细接口!$L$733),"")</f>
      </c>
      <c r="M733" s="16">
        <f>IFERROR(IF([2]对账明细接口!$M$733=0,"",[2]对账明细接口!$M$733),"")</f>
      </c>
      <c r="N733" s="19">
        <f>IF($C733="",0,1)</f>
        <v>0</v>
      </c>
      <c r="O733" s="19">
        <f>N(O732)+$N733</f>
        <v>272</v>
      </c>
      <c r="S733" s="20">
        <f>IFERROR(IF([2]对账明细接口!$N733=0,"",[2]对账明细接口!$N733),"")</f>
      </c>
      <c r="T733" s="212">
        <f>IFERROR(IF([2]对账明细接口!$O733=0,"",[2]对账明细接口!$O733),"")</f>
      </c>
      <c r="U733" s="212">
        <f>IFERROR(IF([2]对账明细接口!$P733=0,"",[2]对账明细接口!$P733),"")</f>
      </c>
      <c r="V733" s="212">
        <f>IFERROR(IF([2]对账明细接口!$Q733=0,"",[2]对账明细接口!$Q733),"")</f>
      </c>
      <c r="W733" s="20">
        <f>IFERROR(IF([2]对账明细接口!$R733=0,"",[2]对账明细接口!$R733),"")</f>
      </c>
      <c r="X733" s="20">
        <f>IFERROR(IF([2]对账明细接口!$S733=0,"",[2]对账明细接口!$S733),"")</f>
      </c>
      <c r="Y733" s="20">
        <f>""</f>
      </c>
      <c r="Z733" s="20">
        <f>""</f>
      </c>
      <c r="AA733" s="20">
        <f>""</f>
      </c>
      <c r="AB733" s="20">
        <f>""</f>
      </c>
    </row>
    <row r="734" s="127">
      <c r="A734" s="14" t="n">
        <v>734</v>
      </c>
      <c r="B734" s="211">
        <f>IFERROR(IF([2]对账明细接口!$B$734=0,"",[2]对账明细接口!$B$734),"")</f>
      </c>
      <c r="C734" s="16">
        <f>IFERROR(IF([2]对账明细接口!$C$734=0,"",[2]对账明细接口!$C$734),"")</f>
      </c>
      <c r="D734" s="16">
        <f>IFERROR(IF([2]对账明细接口!$D$734=0,"",[2]对账明细接口!$D$734),"")</f>
      </c>
      <c r="E734" s="16">
        <f>IFERROR(IF([2]对账明细接口!$E$734=0,"",[2]对账明细接口!$E$734),"")</f>
      </c>
      <c r="F734" s="16">
        <f>IFERROR(IF([2]对账明细接口!$F$734=0,"",[2]对账明细接口!$F$734),"")</f>
      </c>
      <c r="G734" s="16">
        <f>IFERROR(IF([2]对账明细接口!$G$734=0,"",[2]对账明细接口!$G$734),"")</f>
      </c>
      <c r="H734" s="176">
        <f>IFERROR(IF([2]对账明细接口!$H$734=0,"",[2]对账明细接口!$H$734),"")</f>
      </c>
      <c r="I734" s="16">
        <f>IFERROR(IF([2]对账明细接口!$I$734=0,"",[2]对账明细接口!$I$734),"")</f>
      </c>
      <c r="J734" s="177">
        <f>IFERROR(IF([2]对账明细接口!$J$734=0,"",[2]对账明细接口!$J$734),"")</f>
      </c>
      <c r="K734" s="177">
        <f>IFERROR(IF([2]对账明细接口!$K$734=0,"",[2]对账明细接口!$K$734),"")</f>
      </c>
      <c r="L734" s="16">
        <f>IFERROR(IF([2]对账明细接口!$L$734=0,"",[2]对账明细接口!$L$734),"")</f>
      </c>
      <c r="M734" s="16">
        <f>IFERROR(IF([2]对账明细接口!$M$734=0,"",[2]对账明细接口!$M$734),"")</f>
      </c>
      <c r="N734" s="19">
        <f>IF($C734="",0,1)</f>
        <v>0</v>
      </c>
      <c r="O734" s="19">
        <f>N(O733)+$N734</f>
        <v>272</v>
      </c>
      <c r="S734" s="20">
        <f>IFERROR(IF([2]对账明细接口!$N734=0,"",[2]对账明细接口!$N734),"")</f>
      </c>
      <c r="T734" s="212">
        <f>IFERROR(IF([2]对账明细接口!$O734=0,"",[2]对账明细接口!$O734),"")</f>
      </c>
      <c r="U734" s="212">
        <f>IFERROR(IF([2]对账明细接口!$P734=0,"",[2]对账明细接口!$P734),"")</f>
      </c>
      <c r="V734" s="212">
        <f>IFERROR(IF([2]对账明细接口!$Q734=0,"",[2]对账明细接口!$Q734),"")</f>
      </c>
      <c r="W734" s="20">
        <f>IFERROR(IF([2]对账明细接口!$R734=0,"",[2]对账明细接口!$R734),"")</f>
      </c>
      <c r="X734" s="20">
        <f>IFERROR(IF([2]对账明细接口!$S734=0,"",[2]对账明细接口!$S734),"")</f>
      </c>
      <c r="Y734" s="20">
        <f>""</f>
      </c>
      <c r="Z734" s="20">
        <f>""</f>
      </c>
      <c r="AA734" s="20">
        <f>""</f>
      </c>
      <c r="AB734" s="20">
        <f>""</f>
      </c>
    </row>
    <row r="735" s="127">
      <c r="A735" s="14" t="n">
        <v>735</v>
      </c>
      <c r="B735" s="211">
        <f>IFERROR(IF([2]对账明细接口!$B$735=0,"",[2]对账明细接口!$B$735),"")</f>
      </c>
      <c r="C735" s="16">
        <f>IFERROR(IF([2]对账明细接口!$C$735=0,"",[2]对账明细接口!$C$735),"")</f>
      </c>
      <c r="D735" s="16">
        <f>IFERROR(IF([2]对账明细接口!$D$735=0,"",[2]对账明细接口!$D$735),"")</f>
      </c>
      <c r="E735" s="16">
        <f>IFERROR(IF([2]对账明细接口!$E$735=0,"",[2]对账明细接口!$E$735),"")</f>
      </c>
      <c r="F735" s="16">
        <f>IFERROR(IF([2]对账明细接口!$F$735=0,"",[2]对账明细接口!$F$735),"")</f>
      </c>
      <c r="G735" s="16">
        <f>IFERROR(IF([2]对账明细接口!$G$735=0,"",[2]对账明细接口!$G$735),"")</f>
      </c>
      <c r="H735" s="176">
        <f>IFERROR(IF([2]对账明细接口!$H$735=0,"",[2]对账明细接口!$H$735),"")</f>
      </c>
      <c r="I735" s="16">
        <f>IFERROR(IF([2]对账明细接口!$I$735=0,"",[2]对账明细接口!$I$735),"")</f>
      </c>
      <c r="J735" s="177">
        <f>IFERROR(IF([2]对账明细接口!$J$735=0,"",[2]对账明细接口!$J$735),"")</f>
      </c>
      <c r="K735" s="177">
        <f>IFERROR(IF([2]对账明细接口!$K$735=0,"",[2]对账明细接口!$K$735),"")</f>
      </c>
      <c r="L735" s="16">
        <f>IFERROR(IF([2]对账明细接口!$L$735=0,"",[2]对账明细接口!$L$735),"")</f>
      </c>
      <c r="M735" s="16">
        <f>IFERROR(IF([2]对账明细接口!$M$735=0,"",[2]对账明细接口!$M$735),"")</f>
      </c>
      <c r="N735" s="19">
        <f>IF($C735="",0,1)</f>
        <v>0</v>
      </c>
      <c r="O735" s="19">
        <f>N(O734)+$N735</f>
        <v>272</v>
      </c>
      <c r="S735" s="20">
        <f>IFERROR(IF([2]对账明细接口!$N735=0,"",[2]对账明细接口!$N735),"")</f>
      </c>
      <c r="T735" s="212">
        <f>IFERROR(IF([2]对账明细接口!$O735=0,"",[2]对账明细接口!$O735),"")</f>
      </c>
      <c r="U735" s="212">
        <f>IFERROR(IF([2]对账明细接口!$P735=0,"",[2]对账明细接口!$P735),"")</f>
      </c>
      <c r="V735" s="212">
        <f>IFERROR(IF([2]对账明细接口!$Q735=0,"",[2]对账明细接口!$Q735),"")</f>
      </c>
      <c r="W735" s="20">
        <f>IFERROR(IF([2]对账明细接口!$R735=0,"",[2]对账明细接口!$R735),"")</f>
      </c>
      <c r="X735" s="20">
        <f>IFERROR(IF([2]对账明细接口!$S735=0,"",[2]对账明细接口!$S735),"")</f>
      </c>
      <c r="Y735" s="20">
        <f>""</f>
      </c>
      <c r="Z735" s="20">
        <f>""</f>
      </c>
      <c r="AA735" s="20">
        <f>""</f>
      </c>
      <c r="AB735" s="20">
        <f>""</f>
      </c>
    </row>
    <row r="736" s="127">
      <c r="A736" s="14" t="n">
        <v>736</v>
      </c>
      <c r="B736" s="211">
        <f>IFERROR(IF([2]对账明细接口!$B$736=0,"",[2]对账明细接口!$B$736),"")</f>
      </c>
      <c r="C736" s="16">
        <f>IFERROR(IF([2]对账明细接口!$C$736=0,"",[2]对账明细接口!$C$736),"")</f>
      </c>
      <c r="D736" s="16">
        <f>IFERROR(IF([2]对账明细接口!$D$736=0,"",[2]对账明细接口!$D$736),"")</f>
      </c>
      <c r="E736" s="16">
        <f>IFERROR(IF([2]对账明细接口!$E$736=0,"",[2]对账明细接口!$E$736),"")</f>
      </c>
      <c r="F736" s="16">
        <f>IFERROR(IF([2]对账明细接口!$F$736=0,"",[2]对账明细接口!$F$736),"")</f>
      </c>
      <c r="G736" s="16">
        <f>IFERROR(IF([2]对账明细接口!$G$736=0,"",[2]对账明细接口!$G$736),"")</f>
      </c>
      <c r="H736" s="176">
        <f>IFERROR(IF([2]对账明细接口!$H$736=0,"",[2]对账明细接口!$H$736),"")</f>
      </c>
      <c r="I736" s="16">
        <f>IFERROR(IF([2]对账明细接口!$I$736=0,"",[2]对账明细接口!$I$736),"")</f>
      </c>
      <c r="J736" s="177">
        <f>IFERROR(IF([2]对账明细接口!$J$736=0,"",[2]对账明细接口!$J$736),"")</f>
      </c>
      <c r="K736" s="177">
        <f>IFERROR(IF([2]对账明细接口!$K$736=0,"",[2]对账明细接口!$K$736),"")</f>
      </c>
      <c r="L736" s="16">
        <f>IFERROR(IF([2]对账明细接口!$L$736=0,"",[2]对账明细接口!$L$736),"")</f>
      </c>
      <c r="M736" s="16">
        <f>IFERROR(IF([2]对账明细接口!$M$736=0,"",[2]对账明细接口!$M$736),"")</f>
      </c>
      <c r="N736" s="19">
        <f>IF($C736="",0,1)</f>
        <v>0</v>
      </c>
      <c r="O736" s="19">
        <f>N(O735)+$N736</f>
        <v>272</v>
      </c>
      <c r="S736" s="20">
        <f>IFERROR(IF([2]对账明细接口!$N736=0,"",[2]对账明细接口!$N736),"")</f>
      </c>
      <c r="T736" s="212">
        <f>IFERROR(IF([2]对账明细接口!$O736=0,"",[2]对账明细接口!$O736),"")</f>
      </c>
      <c r="U736" s="212">
        <f>IFERROR(IF([2]对账明细接口!$P736=0,"",[2]对账明细接口!$P736),"")</f>
      </c>
      <c r="V736" s="212">
        <f>IFERROR(IF([2]对账明细接口!$Q736=0,"",[2]对账明细接口!$Q736),"")</f>
      </c>
      <c r="W736" s="20">
        <f>IFERROR(IF([2]对账明细接口!$R736=0,"",[2]对账明细接口!$R736),"")</f>
      </c>
      <c r="X736" s="20">
        <f>IFERROR(IF([2]对账明细接口!$S736=0,"",[2]对账明细接口!$S736),"")</f>
      </c>
      <c r="Y736" s="20">
        <f>""</f>
      </c>
      <c r="Z736" s="20">
        <f>""</f>
      </c>
      <c r="AA736" s="20">
        <f>""</f>
      </c>
      <c r="AB736" s="20">
        <f>""</f>
      </c>
    </row>
    <row r="737" s="127">
      <c r="A737" s="14" t="n">
        <v>737</v>
      </c>
      <c r="B737" s="211">
        <f>IFERROR(IF([2]对账明细接口!$B$737=0,"",[2]对账明细接口!$B$737),"")</f>
      </c>
      <c r="C737" s="16">
        <f>IFERROR(IF([2]对账明细接口!$C$737=0,"",[2]对账明细接口!$C$737),"")</f>
      </c>
      <c r="D737" s="16">
        <f>IFERROR(IF([2]对账明细接口!$D$737=0,"",[2]对账明细接口!$D$737),"")</f>
      </c>
      <c r="E737" s="16">
        <f>IFERROR(IF([2]对账明细接口!$E$737=0,"",[2]对账明细接口!$E$737),"")</f>
      </c>
      <c r="F737" s="16">
        <f>IFERROR(IF([2]对账明细接口!$F$737=0,"",[2]对账明细接口!$F$737),"")</f>
      </c>
      <c r="G737" s="16">
        <f>IFERROR(IF([2]对账明细接口!$G$737=0,"",[2]对账明细接口!$G$737),"")</f>
      </c>
      <c r="H737" s="176">
        <f>IFERROR(IF([2]对账明细接口!$H$737=0,"",[2]对账明细接口!$H$737),"")</f>
      </c>
      <c r="I737" s="16">
        <f>IFERROR(IF([2]对账明细接口!$I$737=0,"",[2]对账明细接口!$I$737),"")</f>
      </c>
      <c r="J737" s="177">
        <f>IFERROR(IF([2]对账明细接口!$J$737=0,"",[2]对账明细接口!$J$737),"")</f>
      </c>
      <c r="K737" s="177">
        <f>IFERROR(IF([2]对账明细接口!$K$737=0,"",[2]对账明细接口!$K$737),"")</f>
      </c>
      <c r="L737" s="16">
        <f>IFERROR(IF([2]对账明细接口!$L$737=0,"",[2]对账明细接口!$L$737),"")</f>
      </c>
      <c r="M737" s="16">
        <f>IFERROR(IF([2]对账明细接口!$M$737=0,"",[2]对账明细接口!$M$737),"")</f>
      </c>
      <c r="N737" s="19">
        <f>IF($C737="",0,1)</f>
        <v>0</v>
      </c>
      <c r="O737" s="19">
        <f>N(O736)+$N737</f>
        <v>272</v>
      </c>
      <c r="S737" s="20">
        <f>IFERROR(IF([2]对账明细接口!$N737=0,"",[2]对账明细接口!$N737),"")</f>
      </c>
      <c r="T737" s="212">
        <f>IFERROR(IF([2]对账明细接口!$O737=0,"",[2]对账明细接口!$O737),"")</f>
      </c>
      <c r="U737" s="212">
        <f>IFERROR(IF([2]对账明细接口!$P737=0,"",[2]对账明细接口!$P737),"")</f>
      </c>
      <c r="V737" s="212">
        <f>IFERROR(IF([2]对账明细接口!$Q737=0,"",[2]对账明细接口!$Q737),"")</f>
      </c>
      <c r="W737" s="20">
        <f>IFERROR(IF([2]对账明细接口!$R737=0,"",[2]对账明细接口!$R737),"")</f>
      </c>
      <c r="X737" s="20">
        <f>IFERROR(IF([2]对账明细接口!$S737=0,"",[2]对账明细接口!$S737),"")</f>
      </c>
      <c r="Y737" s="20">
        <f>""</f>
      </c>
      <c r="Z737" s="20">
        <f>""</f>
      </c>
      <c r="AA737" s="20">
        <f>""</f>
      </c>
      <c r="AB737" s="20">
        <f>""</f>
      </c>
    </row>
    <row r="738" s="127">
      <c r="A738" s="14" t="n">
        <v>738</v>
      </c>
      <c r="B738" s="211">
        <f>IFERROR(IF([2]对账明细接口!$B$738=0,"",[2]对账明细接口!$B$738),"")</f>
      </c>
      <c r="C738" s="16">
        <f>IFERROR(IF([2]对账明细接口!$C$738=0,"",[2]对账明细接口!$C$738),"")</f>
      </c>
      <c r="D738" s="16">
        <f>IFERROR(IF([2]对账明细接口!$D$738=0,"",[2]对账明细接口!$D$738),"")</f>
      </c>
      <c r="E738" s="16">
        <f>IFERROR(IF([2]对账明细接口!$E$738=0,"",[2]对账明细接口!$E$738),"")</f>
      </c>
      <c r="F738" s="16">
        <f>IFERROR(IF([2]对账明细接口!$F$738=0,"",[2]对账明细接口!$F$738),"")</f>
      </c>
      <c r="G738" s="16">
        <f>IFERROR(IF([2]对账明细接口!$G$738=0,"",[2]对账明细接口!$G$738),"")</f>
      </c>
      <c r="H738" s="176">
        <f>IFERROR(IF([2]对账明细接口!$H$738=0,"",[2]对账明细接口!$H$738),"")</f>
      </c>
      <c r="I738" s="16">
        <f>IFERROR(IF([2]对账明细接口!$I$738=0,"",[2]对账明细接口!$I$738),"")</f>
      </c>
      <c r="J738" s="177">
        <f>IFERROR(IF([2]对账明细接口!$J$738=0,"",[2]对账明细接口!$J$738),"")</f>
      </c>
      <c r="K738" s="177">
        <f>IFERROR(IF([2]对账明细接口!$K$738=0,"",[2]对账明细接口!$K$738),"")</f>
      </c>
      <c r="L738" s="16">
        <f>IFERROR(IF([2]对账明细接口!$L$738=0,"",[2]对账明细接口!$L$738),"")</f>
      </c>
      <c r="M738" s="16">
        <f>IFERROR(IF([2]对账明细接口!$M$738=0,"",[2]对账明细接口!$M$738),"")</f>
      </c>
      <c r="N738" s="19">
        <f>IF($C738="",0,1)</f>
        <v>0</v>
      </c>
      <c r="O738" s="19">
        <f>N(O737)+$N738</f>
        <v>272</v>
      </c>
      <c r="S738" s="20">
        <f>IFERROR(IF([2]对账明细接口!$N738=0,"",[2]对账明细接口!$N738),"")</f>
      </c>
      <c r="T738" s="212">
        <f>IFERROR(IF([2]对账明细接口!$O738=0,"",[2]对账明细接口!$O738),"")</f>
      </c>
      <c r="U738" s="212">
        <f>IFERROR(IF([2]对账明细接口!$P738=0,"",[2]对账明细接口!$P738),"")</f>
      </c>
      <c r="V738" s="212">
        <f>IFERROR(IF([2]对账明细接口!$Q738=0,"",[2]对账明细接口!$Q738),"")</f>
      </c>
      <c r="W738" s="20">
        <f>IFERROR(IF([2]对账明细接口!$R738=0,"",[2]对账明细接口!$R738),"")</f>
      </c>
      <c r="X738" s="20">
        <f>IFERROR(IF([2]对账明细接口!$S738=0,"",[2]对账明细接口!$S738),"")</f>
      </c>
      <c r="Y738" s="20">
        <f>""</f>
      </c>
      <c r="Z738" s="20">
        <f>""</f>
      </c>
      <c r="AA738" s="20">
        <f>""</f>
      </c>
      <c r="AB738" s="20">
        <f>""</f>
      </c>
    </row>
    <row r="739" s="127">
      <c r="A739" s="14" t="n">
        <v>739</v>
      </c>
      <c r="B739" s="211">
        <f>IFERROR(IF([2]对账明细接口!$B$739=0,"",[2]对账明细接口!$B$739),"")</f>
      </c>
      <c r="C739" s="16">
        <f>IFERROR(IF([2]对账明细接口!$C$739=0,"",[2]对账明细接口!$C$739),"")</f>
      </c>
      <c r="D739" s="16">
        <f>IFERROR(IF([2]对账明细接口!$D$739=0,"",[2]对账明细接口!$D$739),"")</f>
      </c>
      <c r="E739" s="16">
        <f>IFERROR(IF([2]对账明细接口!$E$739=0,"",[2]对账明细接口!$E$739),"")</f>
      </c>
      <c r="F739" s="16">
        <f>IFERROR(IF([2]对账明细接口!$F$739=0,"",[2]对账明细接口!$F$739),"")</f>
      </c>
      <c r="G739" s="16">
        <f>IFERROR(IF([2]对账明细接口!$G$739=0,"",[2]对账明细接口!$G$739),"")</f>
      </c>
      <c r="H739" s="176">
        <f>IFERROR(IF([2]对账明细接口!$H$739=0,"",[2]对账明细接口!$H$739),"")</f>
      </c>
      <c r="I739" s="16">
        <f>IFERROR(IF([2]对账明细接口!$I$739=0,"",[2]对账明细接口!$I$739),"")</f>
      </c>
      <c r="J739" s="177">
        <f>IFERROR(IF([2]对账明细接口!$J$739=0,"",[2]对账明细接口!$J$739),"")</f>
      </c>
      <c r="K739" s="177">
        <f>IFERROR(IF([2]对账明细接口!$K$739=0,"",[2]对账明细接口!$K$739),"")</f>
      </c>
      <c r="L739" s="16">
        <f>IFERROR(IF([2]对账明细接口!$L$739=0,"",[2]对账明细接口!$L$739),"")</f>
      </c>
      <c r="M739" s="16">
        <f>IFERROR(IF([2]对账明细接口!$M$739=0,"",[2]对账明细接口!$M$739),"")</f>
      </c>
      <c r="N739" s="19">
        <f>IF($C739="",0,1)</f>
        <v>0</v>
      </c>
      <c r="O739" s="19">
        <f>N(O738)+$N739</f>
        <v>272</v>
      </c>
      <c r="S739" s="20">
        <f>IFERROR(IF([2]对账明细接口!$N739=0,"",[2]对账明细接口!$N739),"")</f>
      </c>
      <c r="T739" s="212">
        <f>IFERROR(IF([2]对账明细接口!$O739=0,"",[2]对账明细接口!$O739),"")</f>
      </c>
      <c r="U739" s="212">
        <f>IFERROR(IF([2]对账明细接口!$P739=0,"",[2]对账明细接口!$P739),"")</f>
      </c>
      <c r="V739" s="212">
        <f>IFERROR(IF([2]对账明细接口!$Q739=0,"",[2]对账明细接口!$Q739),"")</f>
      </c>
      <c r="W739" s="20">
        <f>IFERROR(IF([2]对账明细接口!$R739=0,"",[2]对账明细接口!$R739),"")</f>
      </c>
      <c r="X739" s="20">
        <f>IFERROR(IF([2]对账明细接口!$S739=0,"",[2]对账明细接口!$S739),"")</f>
      </c>
      <c r="Y739" s="20">
        <f>""</f>
      </c>
      <c r="Z739" s="20">
        <f>""</f>
      </c>
      <c r="AA739" s="20">
        <f>""</f>
      </c>
      <c r="AB739" s="20">
        <f>""</f>
      </c>
    </row>
    <row r="740" s="127">
      <c r="A740" s="14" t="n">
        <v>740</v>
      </c>
      <c r="B740" s="211">
        <f>IFERROR(IF([2]对账明细接口!$B$740=0,"",[2]对账明细接口!$B$740),"")</f>
      </c>
      <c r="C740" s="16">
        <f>IFERROR(IF([2]对账明细接口!$C$740=0,"",[2]对账明细接口!$C$740),"")</f>
      </c>
      <c r="D740" s="16">
        <f>IFERROR(IF([2]对账明细接口!$D$740=0,"",[2]对账明细接口!$D$740),"")</f>
      </c>
      <c r="E740" s="16">
        <f>IFERROR(IF([2]对账明细接口!$E$740=0,"",[2]对账明细接口!$E$740),"")</f>
      </c>
      <c r="F740" s="16">
        <f>IFERROR(IF([2]对账明细接口!$F$740=0,"",[2]对账明细接口!$F$740),"")</f>
      </c>
      <c r="G740" s="16">
        <f>IFERROR(IF([2]对账明细接口!$G$740=0,"",[2]对账明细接口!$G$740),"")</f>
      </c>
      <c r="H740" s="176">
        <f>IFERROR(IF([2]对账明细接口!$H$740=0,"",[2]对账明细接口!$H$740),"")</f>
      </c>
      <c r="I740" s="16">
        <f>IFERROR(IF([2]对账明细接口!$I$740=0,"",[2]对账明细接口!$I$740),"")</f>
      </c>
      <c r="J740" s="177">
        <f>IFERROR(IF([2]对账明细接口!$J$740=0,"",[2]对账明细接口!$J$740),"")</f>
      </c>
      <c r="K740" s="177">
        <f>IFERROR(IF([2]对账明细接口!$K$740=0,"",[2]对账明细接口!$K$740),"")</f>
      </c>
      <c r="L740" s="16">
        <f>IFERROR(IF([2]对账明细接口!$L$740=0,"",[2]对账明细接口!$L$740),"")</f>
      </c>
      <c r="M740" s="16">
        <f>IFERROR(IF([2]对账明细接口!$M$740=0,"",[2]对账明细接口!$M$740),"")</f>
      </c>
      <c r="N740" s="19">
        <f>IF($C740="",0,1)</f>
        <v>0</v>
      </c>
      <c r="O740" s="19">
        <f>N(O739)+$N740</f>
        <v>272</v>
      </c>
      <c r="S740" s="20">
        <f>IFERROR(IF([2]对账明细接口!$N740=0,"",[2]对账明细接口!$N740),"")</f>
      </c>
      <c r="T740" s="212">
        <f>IFERROR(IF([2]对账明细接口!$O740=0,"",[2]对账明细接口!$O740),"")</f>
      </c>
      <c r="U740" s="212">
        <f>IFERROR(IF([2]对账明细接口!$P740=0,"",[2]对账明细接口!$P740),"")</f>
      </c>
      <c r="V740" s="212">
        <f>IFERROR(IF([2]对账明细接口!$Q740=0,"",[2]对账明细接口!$Q740),"")</f>
      </c>
      <c r="W740" s="20">
        <f>IFERROR(IF([2]对账明细接口!$R740=0,"",[2]对账明细接口!$R740),"")</f>
      </c>
      <c r="X740" s="20">
        <f>IFERROR(IF([2]对账明细接口!$S740=0,"",[2]对账明细接口!$S740),"")</f>
      </c>
      <c r="Y740" s="20">
        <f>""</f>
      </c>
      <c r="Z740" s="20">
        <f>""</f>
      </c>
      <c r="AA740" s="20">
        <f>""</f>
      </c>
      <c r="AB740" s="20">
        <f>""</f>
      </c>
    </row>
    <row r="741" s="127">
      <c r="A741" s="14" t="n">
        <v>741</v>
      </c>
      <c r="B741" s="211">
        <f>IFERROR(IF([2]对账明细接口!$B$741=0,"",[2]对账明细接口!$B$741),"")</f>
      </c>
      <c r="C741" s="16">
        <f>IFERROR(IF([2]对账明细接口!$C$741=0,"",[2]对账明细接口!$C$741),"")</f>
      </c>
      <c r="D741" s="16">
        <f>IFERROR(IF([2]对账明细接口!$D$741=0,"",[2]对账明细接口!$D$741),"")</f>
      </c>
      <c r="E741" s="16">
        <f>IFERROR(IF([2]对账明细接口!$E$741=0,"",[2]对账明细接口!$E$741),"")</f>
      </c>
      <c r="F741" s="16">
        <f>IFERROR(IF([2]对账明细接口!$F$741=0,"",[2]对账明细接口!$F$741),"")</f>
      </c>
      <c r="G741" s="16">
        <f>IFERROR(IF([2]对账明细接口!$G$741=0,"",[2]对账明细接口!$G$741),"")</f>
      </c>
      <c r="H741" s="176">
        <f>IFERROR(IF([2]对账明细接口!$H$741=0,"",[2]对账明细接口!$H$741),"")</f>
      </c>
      <c r="I741" s="16">
        <f>IFERROR(IF([2]对账明细接口!$I$741=0,"",[2]对账明细接口!$I$741),"")</f>
      </c>
      <c r="J741" s="177">
        <f>IFERROR(IF([2]对账明细接口!$J$741=0,"",[2]对账明细接口!$J$741),"")</f>
      </c>
      <c r="K741" s="177">
        <f>IFERROR(IF([2]对账明细接口!$K$741=0,"",[2]对账明细接口!$K$741),"")</f>
      </c>
      <c r="L741" s="16">
        <f>IFERROR(IF([2]对账明细接口!$L$741=0,"",[2]对账明细接口!$L$741),"")</f>
      </c>
      <c r="M741" s="16">
        <f>IFERROR(IF([2]对账明细接口!$M$741=0,"",[2]对账明细接口!$M$741),"")</f>
      </c>
      <c r="N741" s="19">
        <f>IF($C741="",0,1)</f>
        <v>0</v>
      </c>
      <c r="O741" s="19">
        <f>N(O740)+$N741</f>
        <v>272</v>
      </c>
      <c r="S741" s="20">
        <f>IFERROR(IF([2]对账明细接口!$N741=0,"",[2]对账明细接口!$N741),"")</f>
      </c>
      <c r="T741" s="212">
        <f>IFERROR(IF([2]对账明细接口!$O741=0,"",[2]对账明细接口!$O741),"")</f>
      </c>
      <c r="U741" s="212">
        <f>IFERROR(IF([2]对账明细接口!$P741=0,"",[2]对账明细接口!$P741),"")</f>
      </c>
      <c r="V741" s="212">
        <f>IFERROR(IF([2]对账明细接口!$Q741=0,"",[2]对账明细接口!$Q741),"")</f>
      </c>
      <c r="W741" s="20">
        <f>IFERROR(IF([2]对账明细接口!$R741=0,"",[2]对账明细接口!$R741),"")</f>
      </c>
      <c r="X741" s="20">
        <f>IFERROR(IF([2]对账明细接口!$S741=0,"",[2]对账明细接口!$S741),"")</f>
      </c>
      <c r="Y741" s="20">
        <f>""</f>
      </c>
      <c r="Z741" s="20">
        <f>""</f>
      </c>
      <c r="AA741" s="20">
        <f>""</f>
      </c>
      <c r="AB741" s="20">
        <f>""</f>
      </c>
    </row>
    <row r="742" s="127">
      <c r="A742" s="14" t="n">
        <v>742</v>
      </c>
      <c r="B742" s="211">
        <f>IFERROR(IF([2]对账明细接口!$B$742=0,"",[2]对账明细接口!$B$742),"")</f>
      </c>
      <c r="C742" s="16">
        <f>IFERROR(IF([2]对账明细接口!$C$742=0,"",[2]对账明细接口!$C$742),"")</f>
      </c>
      <c r="D742" s="16">
        <f>IFERROR(IF([2]对账明细接口!$D$742=0,"",[2]对账明细接口!$D$742),"")</f>
      </c>
      <c r="E742" s="16">
        <f>IFERROR(IF([2]对账明细接口!$E$742=0,"",[2]对账明细接口!$E$742),"")</f>
      </c>
      <c r="F742" s="16">
        <f>IFERROR(IF([2]对账明细接口!$F$742=0,"",[2]对账明细接口!$F$742),"")</f>
      </c>
      <c r="G742" s="16">
        <f>IFERROR(IF([2]对账明细接口!$G$742=0,"",[2]对账明细接口!$G$742),"")</f>
      </c>
      <c r="H742" s="176">
        <f>IFERROR(IF([2]对账明细接口!$H$742=0,"",[2]对账明细接口!$H$742),"")</f>
      </c>
      <c r="I742" s="16">
        <f>IFERROR(IF([2]对账明细接口!$I$742=0,"",[2]对账明细接口!$I$742),"")</f>
      </c>
      <c r="J742" s="177">
        <f>IFERROR(IF([2]对账明细接口!$J$742=0,"",[2]对账明细接口!$J$742),"")</f>
      </c>
      <c r="K742" s="177">
        <f>IFERROR(IF([2]对账明细接口!$K$742=0,"",[2]对账明细接口!$K$742),"")</f>
      </c>
      <c r="L742" s="16">
        <f>IFERROR(IF([2]对账明细接口!$L$742=0,"",[2]对账明细接口!$L$742),"")</f>
      </c>
      <c r="M742" s="16">
        <f>IFERROR(IF([2]对账明细接口!$M$742=0,"",[2]对账明细接口!$M$742),"")</f>
      </c>
      <c r="N742" s="19">
        <f>IF($C742="",0,1)</f>
        <v>0</v>
      </c>
      <c r="O742" s="19">
        <f>N(O741)+$N742</f>
        <v>272</v>
      </c>
      <c r="S742" s="20">
        <f>IFERROR(IF([2]对账明细接口!$N742=0,"",[2]对账明细接口!$N742),"")</f>
      </c>
      <c r="T742" s="212">
        <f>IFERROR(IF([2]对账明细接口!$O742=0,"",[2]对账明细接口!$O742),"")</f>
      </c>
      <c r="U742" s="212">
        <f>IFERROR(IF([2]对账明细接口!$P742=0,"",[2]对账明细接口!$P742),"")</f>
      </c>
      <c r="V742" s="212">
        <f>IFERROR(IF([2]对账明细接口!$Q742=0,"",[2]对账明细接口!$Q742),"")</f>
      </c>
      <c r="W742" s="20">
        <f>IFERROR(IF([2]对账明细接口!$R742=0,"",[2]对账明细接口!$R742),"")</f>
      </c>
      <c r="X742" s="20">
        <f>IFERROR(IF([2]对账明细接口!$S742=0,"",[2]对账明细接口!$S742),"")</f>
      </c>
      <c r="Y742" s="20">
        <f>""</f>
      </c>
      <c r="Z742" s="20">
        <f>""</f>
      </c>
      <c r="AA742" s="20">
        <f>""</f>
      </c>
      <c r="AB742" s="20">
        <f>""</f>
      </c>
    </row>
    <row r="743" s="127">
      <c r="A743" s="14" t="n">
        <v>743</v>
      </c>
      <c r="B743" s="211">
        <f>IFERROR(IF([2]对账明细接口!$B$743=0,"",[2]对账明细接口!$B$743),"")</f>
      </c>
      <c r="C743" s="16">
        <f>IFERROR(IF([2]对账明细接口!$C$743=0,"",[2]对账明细接口!$C$743),"")</f>
      </c>
      <c r="D743" s="16">
        <f>IFERROR(IF([2]对账明细接口!$D$743=0,"",[2]对账明细接口!$D$743),"")</f>
      </c>
      <c r="E743" s="16">
        <f>IFERROR(IF([2]对账明细接口!$E$743=0,"",[2]对账明细接口!$E$743),"")</f>
      </c>
      <c r="F743" s="16">
        <f>IFERROR(IF([2]对账明细接口!$F$743=0,"",[2]对账明细接口!$F$743),"")</f>
      </c>
      <c r="G743" s="16">
        <f>IFERROR(IF([2]对账明细接口!$G$743=0,"",[2]对账明细接口!$G$743),"")</f>
      </c>
      <c r="H743" s="176">
        <f>IFERROR(IF([2]对账明细接口!$H$743=0,"",[2]对账明细接口!$H$743),"")</f>
      </c>
      <c r="I743" s="16">
        <f>IFERROR(IF([2]对账明细接口!$I$743=0,"",[2]对账明细接口!$I$743),"")</f>
      </c>
      <c r="J743" s="177">
        <f>IFERROR(IF([2]对账明细接口!$J$743=0,"",[2]对账明细接口!$J$743),"")</f>
      </c>
      <c r="K743" s="177">
        <f>IFERROR(IF([2]对账明细接口!$K$743=0,"",[2]对账明细接口!$K$743),"")</f>
      </c>
      <c r="L743" s="16">
        <f>IFERROR(IF([2]对账明细接口!$L$743=0,"",[2]对账明细接口!$L$743),"")</f>
      </c>
      <c r="M743" s="16">
        <f>IFERROR(IF([2]对账明细接口!$M$743=0,"",[2]对账明细接口!$M$743),"")</f>
      </c>
      <c r="N743" s="19">
        <f>IF($C743="",0,1)</f>
        <v>0</v>
      </c>
      <c r="O743" s="19">
        <f>N(O742)+$N743</f>
        <v>272</v>
      </c>
      <c r="S743" s="20">
        <f>IFERROR(IF([2]对账明细接口!$N743=0,"",[2]对账明细接口!$N743),"")</f>
      </c>
      <c r="T743" s="212">
        <f>IFERROR(IF([2]对账明细接口!$O743=0,"",[2]对账明细接口!$O743),"")</f>
      </c>
      <c r="U743" s="212">
        <f>IFERROR(IF([2]对账明细接口!$P743=0,"",[2]对账明细接口!$P743),"")</f>
      </c>
      <c r="V743" s="212">
        <f>IFERROR(IF([2]对账明细接口!$Q743=0,"",[2]对账明细接口!$Q743),"")</f>
      </c>
      <c r="W743" s="20">
        <f>IFERROR(IF([2]对账明细接口!$R743=0,"",[2]对账明细接口!$R743),"")</f>
      </c>
      <c r="X743" s="20">
        <f>IFERROR(IF([2]对账明细接口!$S743=0,"",[2]对账明细接口!$S743),"")</f>
      </c>
      <c r="Y743" s="20">
        <f>""</f>
      </c>
      <c r="Z743" s="20">
        <f>""</f>
      </c>
      <c r="AA743" s="20">
        <f>""</f>
      </c>
      <c r="AB743" s="20">
        <f>""</f>
      </c>
    </row>
    <row r="744" s="127">
      <c r="A744" s="14" t="n">
        <v>744</v>
      </c>
      <c r="B744" s="211">
        <f>IFERROR(IF([2]对账明细接口!$B$744=0,"",[2]对账明细接口!$B$744),"")</f>
      </c>
      <c r="C744" s="16">
        <f>IFERROR(IF([2]对账明细接口!$C$744=0,"",[2]对账明细接口!$C$744),"")</f>
      </c>
      <c r="D744" s="16">
        <f>IFERROR(IF([2]对账明细接口!$D$744=0,"",[2]对账明细接口!$D$744),"")</f>
      </c>
      <c r="E744" s="16">
        <f>IFERROR(IF([2]对账明细接口!$E$744=0,"",[2]对账明细接口!$E$744),"")</f>
      </c>
      <c r="F744" s="16">
        <f>IFERROR(IF([2]对账明细接口!$F$744=0,"",[2]对账明细接口!$F$744),"")</f>
      </c>
      <c r="G744" s="16">
        <f>IFERROR(IF([2]对账明细接口!$G$744=0,"",[2]对账明细接口!$G$744),"")</f>
      </c>
      <c r="H744" s="176">
        <f>IFERROR(IF([2]对账明细接口!$H$744=0,"",[2]对账明细接口!$H$744),"")</f>
      </c>
      <c r="I744" s="16">
        <f>IFERROR(IF([2]对账明细接口!$I$744=0,"",[2]对账明细接口!$I$744),"")</f>
      </c>
      <c r="J744" s="177">
        <f>IFERROR(IF([2]对账明细接口!$J$744=0,"",[2]对账明细接口!$J$744),"")</f>
      </c>
      <c r="K744" s="177">
        <f>IFERROR(IF([2]对账明细接口!$K$744=0,"",[2]对账明细接口!$K$744),"")</f>
      </c>
      <c r="L744" s="16">
        <f>IFERROR(IF([2]对账明细接口!$L$744=0,"",[2]对账明细接口!$L$744),"")</f>
      </c>
      <c r="M744" s="16">
        <f>IFERROR(IF([2]对账明细接口!$M$744=0,"",[2]对账明细接口!$M$744),"")</f>
      </c>
      <c r="N744" s="19">
        <f>IF($C744="",0,1)</f>
        <v>0</v>
      </c>
      <c r="O744" s="19">
        <f>N(O743)+$N744</f>
        <v>272</v>
      </c>
      <c r="S744" s="20">
        <f>IFERROR(IF([2]对账明细接口!$N744=0,"",[2]对账明细接口!$N744),"")</f>
      </c>
      <c r="T744" s="212">
        <f>IFERROR(IF([2]对账明细接口!$O744=0,"",[2]对账明细接口!$O744),"")</f>
      </c>
      <c r="U744" s="212">
        <f>IFERROR(IF([2]对账明细接口!$P744=0,"",[2]对账明细接口!$P744),"")</f>
      </c>
      <c r="V744" s="212">
        <f>IFERROR(IF([2]对账明细接口!$Q744=0,"",[2]对账明细接口!$Q744),"")</f>
      </c>
      <c r="W744" s="20">
        <f>IFERROR(IF([2]对账明细接口!$R744=0,"",[2]对账明细接口!$R744),"")</f>
      </c>
      <c r="X744" s="20">
        <f>IFERROR(IF([2]对账明细接口!$S744=0,"",[2]对账明细接口!$S744),"")</f>
      </c>
      <c r="Y744" s="20">
        <f>""</f>
      </c>
      <c r="Z744" s="20">
        <f>""</f>
      </c>
      <c r="AA744" s="20">
        <f>""</f>
      </c>
      <c r="AB744" s="20">
        <f>""</f>
      </c>
    </row>
    <row r="745" s="127">
      <c r="A745" s="14" t="n">
        <v>745</v>
      </c>
      <c r="B745" s="211">
        <f>IFERROR(IF([2]对账明细接口!$B$745=0,"",[2]对账明细接口!$B$745),"")</f>
      </c>
      <c r="C745" s="16">
        <f>IFERROR(IF([2]对账明细接口!$C$745=0,"",[2]对账明细接口!$C$745),"")</f>
      </c>
      <c r="D745" s="16">
        <f>IFERROR(IF([2]对账明细接口!$D$745=0,"",[2]对账明细接口!$D$745),"")</f>
      </c>
      <c r="E745" s="16">
        <f>IFERROR(IF([2]对账明细接口!$E$745=0,"",[2]对账明细接口!$E$745),"")</f>
      </c>
      <c r="F745" s="16">
        <f>IFERROR(IF([2]对账明细接口!$F$745=0,"",[2]对账明细接口!$F$745),"")</f>
      </c>
      <c r="G745" s="16">
        <f>IFERROR(IF([2]对账明细接口!$G$745=0,"",[2]对账明细接口!$G$745),"")</f>
      </c>
      <c r="H745" s="176">
        <f>IFERROR(IF([2]对账明细接口!$H$745=0,"",[2]对账明细接口!$H$745),"")</f>
      </c>
      <c r="I745" s="16">
        <f>IFERROR(IF([2]对账明细接口!$I$745=0,"",[2]对账明细接口!$I$745),"")</f>
      </c>
      <c r="J745" s="177">
        <f>IFERROR(IF([2]对账明细接口!$J$745=0,"",[2]对账明细接口!$J$745),"")</f>
      </c>
      <c r="K745" s="177">
        <f>IFERROR(IF([2]对账明细接口!$K$745=0,"",[2]对账明细接口!$K$745),"")</f>
      </c>
      <c r="L745" s="16">
        <f>IFERROR(IF([2]对账明细接口!$L$745=0,"",[2]对账明细接口!$L$745),"")</f>
      </c>
      <c r="M745" s="16">
        <f>IFERROR(IF([2]对账明细接口!$M$745=0,"",[2]对账明细接口!$M$745),"")</f>
      </c>
      <c r="N745" s="19">
        <f>IF($C745="",0,1)</f>
        <v>0</v>
      </c>
      <c r="O745" s="19">
        <f>N(O744)+$N745</f>
        <v>272</v>
      </c>
      <c r="S745" s="20">
        <f>IFERROR(IF([2]对账明细接口!$N745=0,"",[2]对账明细接口!$N745),"")</f>
      </c>
      <c r="T745" s="212">
        <f>IFERROR(IF([2]对账明细接口!$O745=0,"",[2]对账明细接口!$O745),"")</f>
      </c>
      <c r="U745" s="212">
        <f>IFERROR(IF([2]对账明细接口!$P745=0,"",[2]对账明细接口!$P745),"")</f>
      </c>
      <c r="V745" s="212">
        <f>IFERROR(IF([2]对账明细接口!$Q745=0,"",[2]对账明细接口!$Q745),"")</f>
      </c>
      <c r="W745" s="20">
        <f>IFERROR(IF([2]对账明细接口!$R745=0,"",[2]对账明细接口!$R745),"")</f>
      </c>
      <c r="X745" s="20">
        <f>IFERROR(IF([2]对账明细接口!$S745=0,"",[2]对账明细接口!$S745),"")</f>
      </c>
      <c r="Y745" s="20">
        <f>""</f>
      </c>
      <c r="Z745" s="20">
        <f>""</f>
      </c>
      <c r="AA745" s="20">
        <f>""</f>
      </c>
      <c r="AB745" s="20">
        <f>""</f>
      </c>
    </row>
    <row r="746" s="127">
      <c r="A746" s="14" t="n">
        <v>746</v>
      </c>
      <c r="B746" s="211">
        <f>IFERROR(IF([2]对账明细接口!$B$746=0,"",[2]对账明细接口!$B$746),"")</f>
      </c>
      <c r="C746" s="16">
        <f>IFERROR(IF([2]对账明细接口!$C$746=0,"",[2]对账明细接口!$C$746),"")</f>
      </c>
      <c r="D746" s="16">
        <f>IFERROR(IF([2]对账明细接口!$D$746=0,"",[2]对账明细接口!$D$746),"")</f>
      </c>
      <c r="E746" s="16">
        <f>IFERROR(IF([2]对账明细接口!$E$746=0,"",[2]对账明细接口!$E$746),"")</f>
      </c>
      <c r="F746" s="16">
        <f>IFERROR(IF([2]对账明细接口!$F$746=0,"",[2]对账明细接口!$F$746),"")</f>
      </c>
      <c r="G746" s="16">
        <f>IFERROR(IF([2]对账明细接口!$G$746=0,"",[2]对账明细接口!$G$746),"")</f>
      </c>
      <c r="H746" s="176">
        <f>IFERROR(IF([2]对账明细接口!$H$746=0,"",[2]对账明细接口!$H$746),"")</f>
      </c>
      <c r="I746" s="16">
        <f>IFERROR(IF([2]对账明细接口!$I$746=0,"",[2]对账明细接口!$I$746),"")</f>
      </c>
      <c r="J746" s="177">
        <f>IFERROR(IF([2]对账明细接口!$J$746=0,"",[2]对账明细接口!$J$746),"")</f>
      </c>
      <c r="K746" s="177">
        <f>IFERROR(IF([2]对账明细接口!$K$746=0,"",[2]对账明细接口!$K$746),"")</f>
      </c>
      <c r="L746" s="16">
        <f>IFERROR(IF([2]对账明细接口!$L$746=0,"",[2]对账明细接口!$L$746),"")</f>
      </c>
      <c r="M746" s="16">
        <f>IFERROR(IF([2]对账明细接口!$M$746=0,"",[2]对账明细接口!$M$746),"")</f>
      </c>
      <c r="N746" s="19">
        <f>IF($C746="",0,1)</f>
        <v>0</v>
      </c>
      <c r="O746" s="19">
        <f>N(O745)+$N746</f>
        <v>272</v>
      </c>
      <c r="S746" s="20">
        <f>IFERROR(IF([2]对账明细接口!$N746=0,"",[2]对账明细接口!$N746),"")</f>
      </c>
      <c r="T746" s="212">
        <f>IFERROR(IF([2]对账明细接口!$O746=0,"",[2]对账明细接口!$O746),"")</f>
      </c>
      <c r="U746" s="212">
        <f>IFERROR(IF([2]对账明细接口!$P746=0,"",[2]对账明细接口!$P746),"")</f>
      </c>
      <c r="V746" s="212">
        <f>IFERROR(IF([2]对账明细接口!$Q746=0,"",[2]对账明细接口!$Q746),"")</f>
      </c>
      <c r="W746" s="20">
        <f>IFERROR(IF([2]对账明细接口!$R746=0,"",[2]对账明细接口!$R746),"")</f>
      </c>
      <c r="X746" s="20">
        <f>IFERROR(IF([2]对账明细接口!$S746=0,"",[2]对账明细接口!$S746),"")</f>
      </c>
      <c r="Y746" s="20">
        <f>""</f>
      </c>
      <c r="Z746" s="20">
        <f>""</f>
      </c>
      <c r="AA746" s="20">
        <f>""</f>
      </c>
      <c r="AB746" s="20">
        <f>""</f>
      </c>
    </row>
    <row r="747" s="127">
      <c r="A747" s="14" t="n">
        <v>747</v>
      </c>
      <c r="B747" s="211">
        <f>IFERROR(IF([2]对账明细接口!$B$747=0,"",[2]对账明细接口!$B$747),"")</f>
      </c>
      <c r="C747" s="16">
        <f>IFERROR(IF([2]对账明细接口!$C$747=0,"",[2]对账明细接口!$C$747),"")</f>
      </c>
      <c r="D747" s="16">
        <f>IFERROR(IF([2]对账明细接口!$D$747=0,"",[2]对账明细接口!$D$747),"")</f>
      </c>
      <c r="E747" s="16">
        <f>IFERROR(IF([2]对账明细接口!$E$747=0,"",[2]对账明细接口!$E$747),"")</f>
      </c>
      <c r="F747" s="16">
        <f>IFERROR(IF([2]对账明细接口!$F$747=0,"",[2]对账明细接口!$F$747),"")</f>
      </c>
      <c r="G747" s="16">
        <f>IFERROR(IF([2]对账明细接口!$G$747=0,"",[2]对账明细接口!$G$747),"")</f>
      </c>
      <c r="H747" s="176">
        <f>IFERROR(IF([2]对账明细接口!$H$747=0,"",[2]对账明细接口!$H$747),"")</f>
      </c>
      <c r="I747" s="16">
        <f>IFERROR(IF([2]对账明细接口!$I$747=0,"",[2]对账明细接口!$I$747),"")</f>
      </c>
      <c r="J747" s="177">
        <f>IFERROR(IF([2]对账明细接口!$J$747=0,"",[2]对账明细接口!$J$747),"")</f>
      </c>
      <c r="K747" s="177">
        <f>IFERROR(IF([2]对账明细接口!$K$747=0,"",[2]对账明细接口!$K$747),"")</f>
      </c>
      <c r="L747" s="16">
        <f>IFERROR(IF([2]对账明细接口!$L$747=0,"",[2]对账明细接口!$L$747),"")</f>
      </c>
      <c r="M747" s="16">
        <f>IFERROR(IF([2]对账明细接口!$M$747=0,"",[2]对账明细接口!$M$747),"")</f>
      </c>
      <c r="N747" s="19">
        <f>IF($C747="",0,1)</f>
        <v>0</v>
      </c>
      <c r="O747" s="19">
        <f>N(O746)+$N747</f>
        <v>272</v>
      </c>
      <c r="S747" s="20">
        <f>IFERROR(IF([2]对账明细接口!$N747=0,"",[2]对账明细接口!$N747),"")</f>
      </c>
      <c r="T747" s="212">
        <f>IFERROR(IF([2]对账明细接口!$O747=0,"",[2]对账明细接口!$O747),"")</f>
      </c>
      <c r="U747" s="212">
        <f>IFERROR(IF([2]对账明细接口!$P747=0,"",[2]对账明细接口!$P747),"")</f>
      </c>
      <c r="V747" s="212">
        <f>IFERROR(IF([2]对账明细接口!$Q747=0,"",[2]对账明细接口!$Q747),"")</f>
      </c>
      <c r="W747" s="20">
        <f>IFERROR(IF([2]对账明细接口!$R747=0,"",[2]对账明细接口!$R747),"")</f>
      </c>
      <c r="X747" s="20">
        <f>IFERROR(IF([2]对账明细接口!$S747=0,"",[2]对账明细接口!$S747),"")</f>
      </c>
      <c r="Y747" s="20">
        <f>""</f>
      </c>
      <c r="Z747" s="20">
        <f>""</f>
      </c>
      <c r="AA747" s="20">
        <f>""</f>
      </c>
      <c r="AB747" s="20">
        <f>""</f>
      </c>
    </row>
    <row r="748" s="127">
      <c r="A748" s="14" t="n">
        <v>748</v>
      </c>
      <c r="B748" s="211">
        <f>IFERROR(IF([2]对账明细接口!$B$748=0,"",[2]对账明细接口!$B$748),"")</f>
      </c>
      <c r="C748" s="16">
        <f>IFERROR(IF([2]对账明细接口!$C$748=0,"",[2]对账明细接口!$C$748),"")</f>
      </c>
      <c r="D748" s="16">
        <f>IFERROR(IF([2]对账明细接口!$D$748=0,"",[2]对账明细接口!$D$748),"")</f>
      </c>
      <c r="E748" s="16">
        <f>IFERROR(IF([2]对账明细接口!$E$748=0,"",[2]对账明细接口!$E$748),"")</f>
      </c>
      <c r="F748" s="16">
        <f>IFERROR(IF([2]对账明细接口!$F$748=0,"",[2]对账明细接口!$F$748),"")</f>
      </c>
      <c r="G748" s="16">
        <f>IFERROR(IF([2]对账明细接口!$G$748=0,"",[2]对账明细接口!$G$748),"")</f>
      </c>
      <c r="H748" s="176">
        <f>IFERROR(IF([2]对账明细接口!$H$748=0,"",[2]对账明细接口!$H$748),"")</f>
      </c>
      <c r="I748" s="16">
        <f>IFERROR(IF([2]对账明细接口!$I$748=0,"",[2]对账明细接口!$I$748),"")</f>
      </c>
      <c r="J748" s="177">
        <f>IFERROR(IF([2]对账明细接口!$J$748=0,"",[2]对账明细接口!$J$748),"")</f>
      </c>
      <c r="K748" s="177">
        <f>IFERROR(IF([2]对账明细接口!$K$748=0,"",[2]对账明细接口!$K$748),"")</f>
      </c>
      <c r="L748" s="16">
        <f>IFERROR(IF([2]对账明细接口!$L$748=0,"",[2]对账明细接口!$L$748),"")</f>
      </c>
      <c r="M748" s="16">
        <f>IFERROR(IF([2]对账明细接口!$M$748=0,"",[2]对账明细接口!$M$748),"")</f>
      </c>
      <c r="N748" s="19">
        <f>IF($C748="",0,1)</f>
        <v>0</v>
      </c>
      <c r="O748" s="19">
        <f>N(O747)+$N748</f>
        <v>272</v>
      </c>
      <c r="S748" s="20">
        <f>IFERROR(IF([2]对账明细接口!$N748=0,"",[2]对账明细接口!$N748),"")</f>
      </c>
      <c r="T748" s="212">
        <f>IFERROR(IF([2]对账明细接口!$O748=0,"",[2]对账明细接口!$O748),"")</f>
      </c>
      <c r="U748" s="212">
        <f>IFERROR(IF([2]对账明细接口!$P748=0,"",[2]对账明细接口!$P748),"")</f>
      </c>
      <c r="V748" s="212">
        <f>IFERROR(IF([2]对账明细接口!$Q748=0,"",[2]对账明细接口!$Q748),"")</f>
      </c>
      <c r="W748" s="20">
        <f>IFERROR(IF([2]对账明细接口!$R748=0,"",[2]对账明细接口!$R748),"")</f>
      </c>
      <c r="X748" s="20">
        <f>IFERROR(IF([2]对账明细接口!$S748=0,"",[2]对账明细接口!$S748),"")</f>
      </c>
      <c r="Y748" s="20">
        <f>""</f>
      </c>
      <c r="Z748" s="20">
        <f>""</f>
      </c>
      <c r="AA748" s="20">
        <f>""</f>
      </c>
      <c r="AB748" s="20">
        <f>""</f>
      </c>
    </row>
    <row r="749" s="127">
      <c r="A749" s="14" t="n">
        <v>749</v>
      </c>
      <c r="B749" s="211">
        <f>IFERROR(IF([2]对账明细接口!$B$749=0,"",[2]对账明细接口!$B$749),"")</f>
      </c>
      <c r="C749" s="16">
        <f>IFERROR(IF([2]对账明细接口!$C$749=0,"",[2]对账明细接口!$C$749),"")</f>
      </c>
      <c r="D749" s="16">
        <f>IFERROR(IF([2]对账明细接口!$D$749=0,"",[2]对账明细接口!$D$749),"")</f>
      </c>
      <c r="E749" s="16">
        <f>IFERROR(IF([2]对账明细接口!$E$749=0,"",[2]对账明细接口!$E$749),"")</f>
      </c>
      <c r="F749" s="16">
        <f>IFERROR(IF([2]对账明细接口!$F$749=0,"",[2]对账明细接口!$F$749),"")</f>
      </c>
      <c r="G749" s="16">
        <f>IFERROR(IF([2]对账明细接口!$G$749=0,"",[2]对账明细接口!$G$749),"")</f>
      </c>
      <c r="H749" s="176">
        <f>IFERROR(IF([2]对账明细接口!$H$749=0,"",[2]对账明细接口!$H$749),"")</f>
      </c>
      <c r="I749" s="16">
        <f>IFERROR(IF([2]对账明细接口!$I$749=0,"",[2]对账明细接口!$I$749),"")</f>
      </c>
      <c r="J749" s="177">
        <f>IFERROR(IF([2]对账明细接口!$J$749=0,"",[2]对账明细接口!$J$749),"")</f>
      </c>
      <c r="K749" s="177">
        <f>IFERROR(IF([2]对账明细接口!$K$749=0,"",[2]对账明细接口!$K$749),"")</f>
      </c>
      <c r="L749" s="16">
        <f>IFERROR(IF([2]对账明细接口!$L$749=0,"",[2]对账明细接口!$L$749),"")</f>
      </c>
      <c r="M749" s="16">
        <f>IFERROR(IF([2]对账明细接口!$M$749=0,"",[2]对账明细接口!$M$749),"")</f>
      </c>
      <c r="N749" s="19">
        <f>IF($C749="",0,1)</f>
        <v>0</v>
      </c>
      <c r="O749" s="19">
        <f>N(O748)+$N749</f>
        <v>272</v>
      </c>
      <c r="S749" s="20">
        <f>IFERROR(IF([2]对账明细接口!$N749=0,"",[2]对账明细接口!$N749),"")</f>
      </c>
      <c r="T749" s="212">
        <f>IFERROR(IF([2]对账明细接口!$O749=0,"",[2]对账明细接口!$O749),"")</f>
      </c>
      <c r="U749" s="212">
        <f>IFERROR(IF([2]对账明细接口!$P749=0,"",[2]对账明细接口!$P749),"")</f>
      </c>
      <c r="V749" s="212">
        <f>IFERROR(IF([2]对账明细接口!$Q749=0,"",[2]对账明细接口!$Q749),"")</f>
      </c>
      <c r="W749" s="20">
        <f>IFERROR(IF([2]对账明细接口!$R749=0,"",[2]对账明细接口!$R749),"")</f>
      </c>
      <c r="X749" s="20">
        <f>IFERROR(IF([2]对账明细接口!$S749=0,"",[2]对账明细接口!$S749),"")</f>
      </c>
      <c r="Y749" s="20">
        <f>""</f>
      </c>
      <c r="Z749" s="20">
        <f>""</f>
      </c>
      <c r="AA749" s="20">
        <f>""</f>
      </c>
      <c r="AB749" s="20">
        <f>""</f>
      </c>
    </row>
    <row r="750" s="127">
      <c r="A750" s="14" t="n">
        <v>750</v>
      </c>
      <c r="B750" s="211">
        <f>IFERROR(IF([2]对账明细接口!$B$750=0,"",[2]对账明细接口!$B$750),"")</f>
      </c>
      <c r="C750" s="16">
        <f>IFERROR(IF([2]对账明细接口!$C$750=0,"",[2]对账明细接口!$C$750),"")</f>
      </c>
      <c r="D750" s="16">
        <f>IFERROR(IF([2]对账明细接口!$D$750=0,"",[2]对账明细接口!$D$750),"")</f>
      </c>
      <c r="E750" s="16">
        <f>IFERROR(IF([2]对账明细接口!$E$750=0,"",[2]对账明细接口!$E$750),"")</f>
      </c>
      <c r="F750" s="16">
        <f>IFERROR(IF([2]对账明细接口!$F$750=0,"",[2]对账明细接口!$F$750),"")</f>
      </c>
      <c r="G750" s="16">
        <f>IFERROR(IF([2]对账明细接口!$G$750=0,"",[2]对账明细接口!$G$750),"")</f>
      </c>
      <c r="H750" s="176">
        <f>IFERROR(IF([2]对账明细接口!$H$750=0,"",[2]对账明细接口!$H$750),"")</f>
      </c>
      <c r="I750" s="16">
        <f>IFERROR(IF([2]对账明细接口!$I$750=0,"",[2]对账明细接口!$I$750),"")</f>
      </c>
      <c r="J750" s="177">
        <f>IFERROR(IF([2]对账明细接口!$J$750=0,"",[2]对账明细接口!$J$750),"")</f>
      </c>
      <c r="K750" s="177">
        <f>IFERROR(IF([2]对账明细接口!$K$750=0,"",[2]对账明细接口!$K$750),"")</f>
      </c>
      <c r="L750" s="16">
        <f>IFERROR(IF([2]对账明细接口!$L$750=0,"",[2]对账明细接口!$L$750),"")</f>
      </c>
      <c r="M750" s="16">
        <f>IFERROR(IF([2]对账明细接口!$M$750=0,"",[2]对账明细接口!$M$750),"")</f>
      </c>
      <c r="N750" s="19">
        <f>IF($C750="",0,1)</f>
        <v>0</v>
      </c>
      <c r="O750" s="19">
        <f>N(O749)+$N750</f>
        <v>272</v>
      </c>
      <c r="S750" s="20">
        <f>IFERROR(IF([2]对账明细接口!$N750=0,"",[2]对账明细接口!$N750),"")</f>
      </c>
      <c r="T750" s="212">
        <f>IFERROR(IF([2]对账明细接口!$O750=0,"",[2]对账明细接口!$O750),"")</f>
      </c>
      <c r="U750" s="212">
        <f>IFERROR(IF([2]对账明细接口!$P750=0,"",[2]对账明细接口!$P750),"")</f>
      </c>
      <c r="V750" s="212">
        <f>IFERROR(IF([2]对账明细接口!$Q750=0,"",[2]对账明细接口!$Q750),"")</f>
      </c>
      <c r="W750" s="20">
        <f>IFERROR(IF([2]对账明细接口!$R750=0,"",[2]对账明细接口!$R750),"")</f>
      </c>
      <c r="X750" s="20">
        <f>IFERROR(IF([2]对账明细接口!$S750=0,"",[2]对账明细接口!$S750),"")</f>
      </c>
      <c r="Y750" s="20">
        <f>""</f>
      </c>
      <c r="Z750" s="20">
        <f>""</f>
      </c>
      <c r="AA750" s="20">
        <f>""</f>
      </c>
      <c r="AB750" s="20">
        <f>""</f>
      </c>
    </row>
    <row r="751" s="127">
      <c r="A751" s="14" t="n">
        <v>751</v>
      </c>
      <c r="B751" s="211">
        <f>IFERROR(IF([2]对账明细接口!$B$751=0,"",[2]对账明细接口!$B$751),"")</f>
      </c>
      <c r="C751" s="16">
        <f>IFERROR(IF([2]对账明细接口!$C$751=0,"",[2]对账明细接口!$C$751),"")</f>
      </c>
      <c r="D751" s="16">
        <f>IFERROR(IF([2]对账明细接口!$D$751=0,"",[2]对账明细接口!$D$751),"")</f>
      </c>
      <c r="E751" s="16">
        <f>IFERROR(IF([2]对账明细接口!$E$751=0,"",[2]对账明细接口!$E$751),"")</f>
      </c>
      <c r="F751" s="16">
        <f>IFERROR(IF([2]对账明细接口!$F$751=0,"",[2]对账明细接口!$F$751),"")</f>
      </c>
      <c r="G751" s="16">
        <f>IFERROR(IF([2]对账明细接口!$G$751=0,"",[2]对账明细接口!$G$751),"")</f>
      </c>
      <c r="H751" s="176">
        <f>IFERROR(IF([2]对账明细接口!$H$751=0,"",[2]对账明细接口!$H$751),"")</f>
      </c>
      <c r="I751" s="16">
        <f>IFERROR(IF([2]对账明细接口!$I$751=0,"",[2]对账明细接口!$I$751),"")</f>
      </c>
      <c r="J751" s="177">
        <f>IFERROR(IF([2]对账明细接口!$J$751=0,"",[2]对账明细接口!$J$751),"")</f>
      </c>
      <c r="K751" s="177">
        <f>IFERROR(IF([2]对账明细接口!$K$751=0,"",[2]对账明细接口!$K$751),"")</f>
      </c>
      <c r="L751" s="16">
        <f>IFERROR(IF([2]对账明细接口!$L$751=0,"",[2]对账明细接口!$L$751),"")</f>
      </c>
      <c r="M751" s="16">
        <f>IFERROR(IF([2]对账明细接口!$M$751=0,"",[2]对账明细接口!$M$751),"")</f>
      </c>
      <c r="N751" s="19">
        <f>IF($C751="",0,1)</f>
        <v>0</v>
      </c>
      <c r="O751" s="19">
        <f>N(O750)+$N751</f>
        <v>272</v>
      </c>
      <c r="S751" s="20">
        <f>IFERROR(IF([2]对账明细接口!$N751=0,"",[2]对账明细接口!$N751),"")</f>
      </c>
      <c r="T751" s="212">
        <f>IFERROR(IF([2]对账明细接口!$O751=0,"",[2]对账明细接口!$O751),"")</f>
      </c>
      <c r="U751" s="212">
        <f>IFERROR(IF([2]对账明细接口!$P751=0,"",[2]对账明细接口!$P751),"")</f>
      </c>
      <c r="V751" s="212">
        <f>IFERROR(IF([2]对账明细接口!$Q751=0,"",[2]对账明细接口!$Q751),"")</f>
      </c>
      <c r="W751" s="20">
        <f>IFERROR(IF([2]对账明细接口!$R751=0,"",[2]对账明细接口!$R751),"")</f>
      </c>
      <c r="X751" s="20">
        <f>IFERROR(IF([2]对账明细接口!$S751=0,"",[2]对账明细接口!$S751),"")</f>
      </c>
      <c r="Y751" s="20">
        <f>""</f>
      </c>
      <c r="Z751" s="20">
        <f>""</f>
      </c>
      <c r="AA751" s="20">
        <f>""</f>
      </c>
      <c r="AB751" s="20">
        <f>""</f>
      </c>
    </row>
    <row r="752" s="127">
      <c r="A752" s="14" t="n">
        <v>752</v>
      </c>
      <c r="B752" s="211">
        <f>IFERROR(IF([2]对账明细接口!$B$752=0,"",[2]对账明细接口!$B$752),"")</f>
      </c>
      <c r="C752" s="16">
        <f>IFERROR(IF([2]对账明细接口!$C$752=0,"",[2]对账明细接口!$C$752),"")</f>
      </c>
      <c r="D752" s="16">
        <f>IFERROR(IF([2]对账明细接口!$D$752=0,"",[2]对账明细接口!$D$752),"")</f>
      </c>
      <c r="E752" s="16">
        <f>IFERROR(IF([2]对账明细接口!$E$752=0,"",[2]对账明细接口!$E$752),"")</f>
      </c>
      <c r="F752" s="16">
        <f>IFERROR(IF([2]对账明细接口!$F$752=0,"",[2]对账明细接口!$F$752),"")</f>
      </c>
      <c r="G752" s="16">
        <f>IFERROR(IF([2]对账明细接口!$G$752=0,"",[2]对账明细接口!$G$752),"")</f>
      </c>
      <c r="H752" s="176">
        <f>IFERROR(IF([2]对账明细接口!$H$752=0,"",[2]对账明细接口!$H$752),"")</f>
      </c>
      <c r="I752" s="16">
        <f>IFERROR(IF([2]对账明细接口!$I$752=0,"",[2]对账明细接口!$I$752),"")</f>
      </c>
      <c r="J752" s="177">
        <f>IFERROR(IF([2]对账明细接口!$J$752=0,"",[2]对账明细接口!$J$752),"")</f>
      </c>
      <c r="K752" s="177">
        <f>IFERROR(IF([2]对账明细接口!$K$752=0,"",[2]对账明细接口!$K$752),"")</f>
      </c>
      <c r="L752" s="16">
        <f>IFERROR(IF([2]对账明细接口!$L$752=0,"",[2]对账明细接口!$L$752),"")</f>
      </c>
      <c r="M752" s="16">
        <f>IFERROR(IF([2]对账明细接口!$M$752=0,"",[2]对账明细接口!$M$752),"")</f>
      </c>
      <c r="N752" s="19">
        <f>IF($C752="",0,1)</f>
        <v>0</v>
      </c>
      <c r="O752" s="19">
        <f>N(O751)+$N752</f>
        <v>272</v>
      </c>
      <c r="S752" s="20">
        <f>IFERROR(IF([2]对账明细接口!$N752=0,"",[2]对账明细接口!$N752),"")</f>
      </c>
      <c r="T752" s="212">
        <f>IFERROR(IF([2]对账明细接口!$O752=0,"",[2]对账明细接口!$O752),"")</f>
      </c>
      <c r="U752" s="212">
        <f>IFERROR(IF([2]对账明细接口!$P752=0,"",[2]对账明细接口!$P752),"")</f>
      </c>
      <c r="V752" s="212">
        <f>IFERROR(IF([2]对账明细接口!$Q752=0,"",[2]对账明细接口!$Q752),"")</f>
      </c>
      <c r="W752" s="20">
        <f>IFERROR(IF([2]对账明细接口!$R752=0,"",[2]对账明细接口!$R752),"")</f>
      </c>
      <c r="X752" s="20">
        <f>IFERROR(IF([2]对账明细接口!$S752=0,"",[2]对账明细接口!$S752),"")</f>
      </c>
      <c r="Y752" s="20">
        <f>""</f>
      </c>
      <c r="Z752" s="20">
        <f>""</f>
      </c>
      <c r="AA752" s="20">
        <f>""</f>
      </c>
      <c r="AB752" s="20">
        <f>""</f>
      </c>
    </row>
    <row r="753" s="127">
      <c r="A753" s="14" t="n">
        <v>753</v>
      </c>
      <c r="B753" s="211">
        <f>IFERROR(IF([2]对账明细接口!$B$753=0,"",[2]对账明细接口!$B$753),"")</f>
      </c>
      <c r="C753" s="16">
        <f>IFERROR(IF([2]对账明细接口!$C$753=0,"",[2]对账明细接口!$C$753),"")</f>
      </c>
      <c r="D753" s="16">
        <f>IFERROR(IF([2]对账明细接口!$D$753=0,"",[2]对账明细接口!$D$753),"")</f>
      </c>
      <c r="E753" s="16">
        <f>IFERROR(IF([2]对账明细接口!$E$753=0,"",[2]对账明细接口!$E$753),"")</f>
      </c>
      <c r="F753" s="16">
        <f>IFERROR(IF([2]对账明细接口!$F$753=0,"",[2]对账明细接口!$F$753),"")</f>
      </c>
      <c r="G753" s="16">
        <f>IFERROR(IF([2]对账明细接口!$G$753=0,"",[2]对账明细接口!$G$753),"")</f>
      </c>
      <c r="H753" s="176">
        <f>IFERROR(IF([2]对账明细接口!$H$753=0,"",[2]对账明细接口!$H$753),"")</f>
      </c>
      <c r="I753" s="16">
        <f>IFERROR(IF([2]对账明细接口!$I$753=0,"",[2]对账明细接口!$I$753),"")</f>
      </c>
      <c r="J753" s="177">
        <f>IFERROR(IF([2]对账明细接口!$J$753=0,"",[2]对账明细接口!$J$753),"")</f>
      </c>
      <c r="K753" s="177">
        <f>IFERROR(IF([2]对账明细接口!$K$753=0,"",[2]对账明细接口!$K$753),"")</f>
      </c>
      <c r="L753" s="16">
        <f>IFERROR(IF([2]对账明细接口!$L$753=0,"",[2]对账明细接口!$L$753),"")</f>
      </c>
      <c r="M753" s="16">
        <f>IFERROR(IF([2]对账明细接口!$M$753=0,"",[2]对账明细接口!$M$753),"")</f>
      </c>
      <c r="N753" s="19">
        <f>IF($C753="",0,1)</f>
        <v>0</v>
      </c>
      <c r="O753" s="19">
        <f>N(O752)+$N753</f>
        <v>272</v>
      </c>
      <c r="S753" s="20">
        <f>IFERROR(IF([2]对账明细接口!$N753=0,"",[2]对账明细接口!$N753),"")</f>
      </c>
      <c r="T753" s="212">
        <f>IFERROR(IF([2]对账明细接口!$O753=0,"",[2]对账明细接口!$O753),"")</f>
      </c>
      <c r="U753" s="212">
        <f>IFERROR(IF([2]对账明细接口!$P753=0,"",[2]对账明细接口!$P753),"")</f>
      </c>
      <c r="V753" s="212">
        <f>IFERROR(IF([2]对账明细接口!$Q753=0,"",[2]对账明细接口!$Q753),"")</f>
      </c>
      <c r="W753" s="20">
        <f>IFERROR(IF([2]对账明细接口!$R753=0,"",[2]对账明细接口!$R753),"")</f>
      </c>
      <c r="X753" s="20">
        <f>IFERROR(IF([2]对账明细接口!$S753=0,"",[2]对账明细接口!$S753),"")</f>
      </c>
      <c r="Y753" s="20">
        <f>""</f>
      </c>
      <c r="Z753" s="20">
        <f>""</f>
      </c>
      <c r="AA753" s="20">
        <f>""</f>
      </c>
      <c r="AB753" s="20">
        <f>""</f>
      </c>
    </row>
    <row r="754" s="127">
      <c r="A754" s="14" t="n">
        <v>754</v>
      </c>
      <c r="B754" s="211">
        <f>IFERROR(IF([2]对账明细接口!$B$754=0,"",[2]对账明细接口!$B$754),"")</f>
      </c>
      <c r="C754" s="16">
        <f>IFERROR(IF([2]对账明细接口!$C$754=0,"",[2]对账明细接口!$C$754),"")</f>
      </c>
      <c r="D754" s="16">
        <f>IFERROR(IF([2]对账明细接口!$D$754=0,"",[2]对账明细接口!$D$754),"")</f>
      </c>
      <c r="E754" s="16">
        <f>IFERROR(IF([2]对账明细接口!$E$754=0,"",[2]对账明细接口!$E$754),"")</f>
      </c>
      <c r="F754" s="16">
        <f>IFERROR(IF([2]对账明细接口!$F$754=0,"",[2]对账明细接口!$F$754),"")</f>
      </c>
      <c r="G754" s="16">
        <f>IFERROR(IF([2]对账明细接口!$G$754=0,"",[2]对账明细接口!$G$754),"")</f>
      </c>
      <c r="H754" s="176">
        <f>IFERROR(IF([2]对账明细接口!$H$754=0,"",[2]对账明细接口!$H$754),"")</f>
      </c>
      <c r="I754" s="16">
        <f>IFERROR(IF([2]对账明细接口!$I$754=0,"",[2]对账明细接口!$I$754),"")</f>
      </c>
      <c r="J754" s="177">
        <f>IFERROR(IF([2]对账明细接口!$J$754=0,"",[2]对账明细接口!$J$754),"")</f>
      </c>
      <c r="K754" s="177">
        <f>IFERROR(IF([2]对账明细接口!$K$754=0,"",[2]对账明细接口!$K$754),"")</f>
      </c>
      <c r="L754" s="16">
        <f>IFERROR(IF([2]对账明细接口!$L$754=0,"",[2]对账明细接口!$L$754),"")</f>
      </c>
      <c r="M754" s="16">
        <f>IFERROR(IF([2]对账明细接口!$M$754=0,"",[2]对账明细接口!$M$754),"")</f>
      </c>
      <c r="N754" s="19">
        <f>IF($C754="",0,1)</f>
        <v>0</v>
      </c>
      <c r="O754" s="19">
        <f>N(O753)+$N754</f>
        <v>272</v>
      </c>
      <c r="S754" s="20">
        <f>IFERROR(IF([2]对账明细接口!$N754=0,"",[2]对账明细接口!$N754),"")</f>
      </c>
      <c r="T754" s="212">
        <f>IFERROR(IF([2]对账明细接口!$O754=0,"",[2]对账明细接口!$O754),"")</f>
      </c>
      <c r="U754" s="212">
        <f>IFERROR(IF([2]对账明细接口!$P754=0,"",[2]对账明细接口!$P754),"")</f>
      </c>
      <c r="V754" s="212">
        <f>IFERROR(IF([2]对账明细接口!$Q754=0,"",[2]对账明细接口!$Q754),"")</f>
      </c>
      <c r="W754" s="20">
        <f>IFERROR(IF([2]对账明细接口!$R754=0,"",[2]对账明细接口!$R754),"")</f>
      </c>
      <c r="X754" s="20">
        <f>IFERROR(IF([2]对账明细接口!$S754=0,"",[2]对账明细接口!$S754),"")</f>
      </c>
      <c r="Y754" s="20">
        <f>""</f>
      </c>
      <c r="Z754" s="20">
        <f>""</f>
      </c>
      <c r="AA754" s="20">
        <f>""</f>
      </c>
      <c r="AB754" s="20">
        <f>""</f>
      </c>
    </row>
    <row r="755" s="127">
      <c r="A755" s="14" t="n">
        <v>755</v>
      </c>
      <c r="B755" s="211">
        <f>IFERROR(IF([2]对账明细接口!$B$755=0,"",[2]对账明细接口!$B$755),"")</f>
      </c>
      <c r="C755" s="16">
        <f>IFERROR(IF([2]对账明细接口!$C$755=0,"",[2]对账明细接口!$C$755),"")</f>
      </c>
      <c r="D755" s="16">
        <f>IFERROR(IF([2]对账明细接口!$D$755=0,"",[2]对账明细接口!$D$755),"")</f>
      </c>
      <c r="E755" s="16">
        <f>IFERROR(IF([2]对账明细接口!$E$755=0,"",[2]对账明细接口!$E$755),"")</f>
      </c>
      <c r="F755" s="16">
        <f>IFERROR(IF([2]对账明细接口!$F$755=0,"",[2]对账明细接口!$F$755),"")</f>
      </c>
      <c r="G755" s="16">
        <f>IFERROR(IF([2]对账明细接口!$G$755=0,"",[2]对账明细接口!$G$755),"")</f>
      </c>
      <c r="H755" s="176">
        <f>IFERROR(IF([2]对账明细接口!$H$755=0,"",[2]对账明细接口!$H$755),"")</f>
      </c>
      <c r="I755" s="16">
        <f>IFERROR(IF([2]对账明细接口!$I$755=0,"",[2]对账明细接口!$I$755),"")</f>
      </c>
      <c r="J755" s="177">
        <f>IFERROR(IF([2]对账明细接口!$J$755=0,"",[2]对账明细接口!$J$755),"")</f>
      </c>
      <c r="K755" s="177">
        <f>IFERROR(IF([2]对账明细接口!$K$755=0,"",[2]对账明细接口!$K$755),"")</f>
      </c>
      <c r="L755" s="16">
        <f>IFERROR(IF([2]对账明细接口!$L$755=0,"",[2]对账明细接口!$L$755),"")</f>
      </c>
      <c r="M755" s="16">
        <f>IFERROR(IF([2]对账明细接口!$M$755=0,"",[2]对账明细接口!$M$755),"")</f>
      </c>
      <c r="N755" s="19">
        <f>IF($C755="",0,1)</f>
        <v>0</v>
      </c>
      <c r="O755" s="19">
        <f>N(O754)+$N755</f>
        <v>272</v>
      </c>
      <c r="S755" s="20">
        <f>IFERROR(IF([2]对账明细接口!$N755=0,"",[2]对账明细接口!$N755),"")</f>
      </c>
      <c r="T755" s="212">
        <f>IFERROR(IF([2]对账明细接口!$O755=0,"",[2]对账明细接口!$O755),"")</f>
      </c>
      <c r="U755" s="212">
        <f>IFERROR(IF([2]对账明细接口!$P755=0,"",[2]对账明细接口!$P755),"")</f>
      </c>
      <c r="V755" s="212">
        <f>IFERROR(IF([2]对账明细接口!$Q755=0,"",[2]对账明细接口!$Q755),"")</f>
      </c>
      <c r="W755" s="20">
        <f>IFERROR(IF([2]对账明细接口!$R755=0,"",[2]对账明细接口!$R755),"")</f>
      </c>
      <c r="X755" s="20">
        <f>IFERROR(IF([2]对账明细接口!$S755=0,"",[2]对账明细接口!$S755),"")</f>
      </c>
      <c r="Y755" s="20">
        <f>""</f>
      </c>
      <c r="Z755" s="20">
        <f>""</f>
      </c>
      <c r="AA755" s="20">
        <f>""</f>
      </c>
      <c r="AB755" s="20">
        <f>""</f>
      </c>
    </row>
    <row r="756" s="127">
      <c r="A756" s="14" t="n">
        <v>756</v>
      </c>
      <c r="B756" s="211">
        <f>IFERROR(IF([2]对账明细接口!$B$756=0,"",[2]对账明细接口!$B$756),"")</f>
      </c>
      <c r="C756" s="16">
        <f>IFERROR(IF([2]对账明细接口!$C$756=0,"",[2]对账明细接口!$C$756),"")</f>
      </c>
      <c r="D756" s="16">
        <f>IFERROR(IF([2]对账明细接口!$D$756=0,"",[2]对账明细接口!$D$756),"")</f>
      </c>
      <c r="E756" s="16">
        <f>IFERROR(IF([2]对账明细接口!$E$756=0,"",[2]对账明细接口!$E$756),"")</f>
      </c>
      <c r="F756" s="16">
        <f>IFERROR(IF([2]对账明细接口!$F$756=0,"",[2]对账明细接口!$F$756),"")</f>
      </c>
      <c r="G756" s="16">
        <f>IFERROR(IF([2]对账明细接口!$G$756=0,"",[2]对账明细接口!$G$756),"")</f>
      </c>
      <c r="H756" s="176">
        <f>IFERROR(IF([2]对账明细接口!$H$756=0,"",[2]对账明细接口!$H$756),"")</f>
      </c>
      <c r="I756" s="16">
        <f>IFERROR(IF([2]对账明细接口!$I$756=0,"",[2]对账明细接口!$I$756),"")</f>
      </c>
      <c r="J756" s="177">
        <f>IFERROR(IF([2]对账明细接口!$J$756=0,"",[2]对账明细接口!$J$756),"")</f>
      </c>
      <c r="K756" s="177">
        <f>IFERROR(IF([2]对账明细接口!$K$756=0,"",[2]对账明细接口!$K$756),"")</f>
      </c>
      <c r="L756" s="16">
        <f>IFERROR(IF([2]对账明细接口!$L$756=0,"",[2]对账明细接口!$L$756),"")</f>
      </c>
      <c r="M756" s="16">
        <f>IFERROR(IF([2]对账明细接口!$M$756=0,"",[2]对账明细接口!$M$756),"")</f>
      </c>
      <c r="N756" s="19">
        <f>IF($C756="",0,1)</f>
        <v>0</v>
      </c>
      <c r="O756" s="19">
        <f>N(O755)+$N756</f>
        <v>272</v>
      </c>
      <c r="S756" s="20">
        <f>IFERROR(IF([2]对账明细接口!$N756=0,"",[2]对账明细接口!$N756),"")</f>
      </c>
      <c r="T756" s="212">
        <f>IFERROR(IF([2]对账明细接口!$O756=0,"",[2]对账明细接口!$O756),"")</f>
      </c>
      <c r="U756" s="212">
        <f>IFERROR(IF([2]对账明细接口!$P756=0,"",[2]对账明细接口!$P756),"")</f>
      </c>
      <c r="V756" s="212">
        <f>IFERROR(IF([2]对账明细接口!$Q756=0,"",[2]对账明细接口!$Q756),"")</f>
      </c>
      <c r="W756" s="20">
        <f>IFERROR(IF([2]对账明细接口!$R756=0,"",[2]对账明细接口!$R756),"")</f>
      </c>
      <c r="X756" s="20">
        <f>IFERROR(IF([2]对账明细接口!$S756=0,"",[2]对账明细接口!$S756),"")</f>
      </c>
      <c r="Y756" s="20">
        <f>""</f>
      </c>
      <c r="Z756" s="20">
        <f>""</f>
      </c>
      <c r="AA756" s="20">
        <f>""</f>
      </c>
      <c r="AB756" s="20">
        <f>""</f>
      </c>
    </row>
    <row r="757" s="127">
      <c r="A757" s="14" t="n">
        <v>757</v>
      </c>
      <c r="B757" s="211">
        <f>IFERROR(IF([2]对账明细接口!$B$757=0,"",[2]对账明细接口!$B$757),"")</f>
      </c>
      <c r="C757" s="16">
        <f>IFERROR(IF([2]对账明细接口!$C$757=0,"",[2]对账明细接口!$C$757),"")</f>
      </c>
      <c r="D757" s="16">
        <f>IFERROR(IF([2]对账明细接口!$D$757=0,"",[2]对账明细接口!$D$757),"")</f>
      </c>
      <c r="E757" s="16">
        <f>IFERROR(IF([2]对账明细接口!$E$757=0,"",[2]对账明细接口!$E$757),"")</f>
      </c>
      <c r="F757" s="16">
        <f>IFERROR(IF([2]对账明细接口!$F$757=0,"",[2]对账明细接口!$F$757),"")</f>
      </c>
      <c r="G757" s="16">
        <f>IFERROR(IF([2]对账明细接口!$G$757=0,"",[2]对账明细接口!$G$757),"")</f>
      </c>
      <c r="H757" s="176">
        <f>IFERROR(IF([2]对账明细接口!$H$757=0,"",[2]对账明细接口!$H$757),"")</f>
      </c>
      <c r="I757" s="16">
        <f>IFERROR(IF([2]对账明细接口!$I$757=0,"",[2]对账明细接口!$I$757),"")</f>
      </c>
      <c r="J757" s="177">
        <f>IFERROR(IF([2]对账明细接口!$J$757=0,"",[2]对账明细接口!$J$757),"")</f>
      </c>
      <c r="K757" s="177">
        <f>IFERROR(IF([2]对账明细接口!$K$757=0,"",[2]对账明细接口!$K$757),"")</f>
      </c>
      <c r="L757" s="16">
        <f>IFERROR(IF([2]对账明细接口!$L$757=0,"",[2]对账明细接口!$L$757),"")</f>
      </c>
      <c r="M757" s="16">
        <f>IFERROR(IF([2]对账明细接口!$M$757=0,"",[2]对账明细接口!$M$757),"")</f>
      </c>
      <c r="N757" s="19">
        <f>IF($C757="",0,1)</f>
        <v>0</v>
      </c>
      <c r="O757" s="19">
        <f>N(O756)+$N757</f>
        <v>272</v>
      </c>
      <c r="S757" s="20">
        <f>IFERROR(IF([2]对账明细接口!$N757=0,"",[2]对账明细接口!$N757),"")</f>
      </c>
      <c r="T757" s="212">
        <f>IFERROR(IF([2]对账明细接口!$O757=0,"",[2]对账明细接口!$O757),"")</f>
      </c>
      <c r="U757" s="212">
        <f>IFERROR(IF([2]对账明细接口!$P757=0,"",[2]对账明细接口!$P757),"")</f>
      </c>
      <c r="V757" s="212">
        <f>IFERROR(IF([2]对账明细接口!$Q757=0,"",[2]对账明细接口!$Q757),"")</f>
      </c>
      <c r="W757" s="20">
        <f>IFERROR(IF([2]对账明细接口!$R757=0,"",[2]对账明细接口!$R757),"")</f>
      </c>
      <c r="X757" s="20">
        <f>IFERROR(IF([2]对账明细接口!$S757=0,"",[2]对账明细接口!$S757),"")</f>
      </c>
      <c r="Y757" s="20">
        <f>""</f>
      </c>
      <c r="Z757" s="20">
        <f>""</f>
      </c>
      <c r="AA757" s="20">
        <f>""</f>
      </c>
      <c r="AB757" s="20">
        <f>""</f>
      </c>
    </row>
    <row r="758" s="127">
      <c r="A758" s="14" t="n">
        <v>758</v>
      </c>
      <c r="B758" s="211">
        <f>IFERROR(IF([2]对账明细接口!$B$758=0,"",[2]对账明细接口!$B$758),"")</f>
      </c>
      <c r="C758" s="16">
        <f>IFERROR(IF([2]对账明细接口!$C$758=0,"",[2]对账明细接口!$C$758),"")</f>
      </c>
      <c r="D758" s="16">
        <f>IFERROR(IF([2]对账明细接口!$D$758=0,"",[2]对账明细接口!$D$758),"")</f>
      </c>
      <c r="E758" s="16">
        <f>IFERROR(IF([2]对账明细接口!$E$758=0,"",[2]对账明细接口!$E$758),"")</f>
      </c>
      <c r="F758" s="16">
        <f>IFERROR(IF([2]对账明细接口!$F$758=0,"",[2]对账明细接口!$F$758),"")</f>
      </c>
      <c r="G758" s="16">
        <f>IFERROR(IF([2]对账明细接口!$G$758=0,"",[2]对账明细接口!$G$758),"")</f>
      </c>
      <c r="H758" s="176">
        <f>IFERROR(IF([2]对账明细接口!$H$758=0,"",[2]对账明细接口!$H$758),"")</f>
      </c>
      <c r="I758" s="16">
        <f>IFERROR(IF([2]对账明细接口!$I$758=0,"",[2]对账明细接口!$I$758),"")</f>
      </c>
      <c r="J758" s="177">
        <f>IFERROR(IF([2]对账明细接口!$J$758=0,"",[2]对账明细接口!$J$758),"")</f>
      </c>
      <c r="K758" s="177">
        <f>IFERROR(IF([2]对账明细接口!$K$758=0,"",[2]对账明细接口!$K$758),"")</f>
      </c>
      <c r="L758" s="16">
        <f>IFERROR(IF([2]对账明细接口!$L$758=0,"",[2]对账明细接口!$L$758),"")</f>
      </c>
      <c r="M758" s="16">
        <f>IFERROR(IF([2]对账明细接口!$M$758=0,"",[2]对账明细接口!$M$758),"")</f>
      </c>
      <c r="N758" s="19">
        <f>IF($C758="",0,1)</f>
        <v>0</v>
      </c>
      <c r="O758" s="19">
        <f>N(O757)+$N758</f>
        <v>272</v>
      </c>
      <c r="S758" s="20">
        <f>IFERROR(IF([2]对账明细接口!$N758=0,"",[2]对账明细接口!$N758),"")</f>
      </c>
      <c r="T758" s="212">
        <f>IFERROR(IF([2]对账明细接口!$O758=0,"",[2]对账明细接口!$O758),"")</f>
      </c>
      <c r="U758" s="212">
        <f>IFERROR(IF([2]对账明细接口!$P758=0,"",[2]对账明细接口!$P758),"")</f>
      </c>
      <c r="V758" s="212">
        <f>IFERROR(IF([2]对账明细接口!$Q758=0,"",[2]对账明细接口!$Q758),"")</f>
      </c>
      <c r="W758" s="20">
        <f>IFERROR(IF([2]对账明细接口!$R758=0,"",[2]对账明细接口!$R758),"")</f>
      </c>
      <c r="X758" s="20">
        <f>IFERROR(IF([2]对账明细接口!$S758=0,"",[2]对账明细接口!$S758),"")</f>
      </c>
      <c r="Y758" s="20">
        <f>""</f>
      </c>
      <c r="Z758" s="20">
        <f>""</f>
      </c>
      <c r="AA758" s="20">
        <f>""</f>
      </c>
      <c r="AB758" s="20">
        <f>""</f>
      </c>
    </row>
    <row r="759" s="127">
      <c r="A759" s="14" t="n">
        <v>759</v>
      </c>
      <c r="B759" s="211">
        <f>IFERROR(IF([2]对账明细接口!$B$759=0,"",[2]对账明细接口!$B$759),"")</f>
      </c>
      <c r="C759" s="16">
        <f>IFERROR(IF([2]对账明细接口!$C$759=0,"",[2]对账明细接口!$C$759),"")</f>
      </c>
      <c r="D759" s="16">
        <f>IFERROR(IF([2]对账明细接口!$D$759=0,"",[2]对账明细接口!$D$759),"")</f>
      </c>
      <c r="E759" s="16">
        <f>IFERROR(IF([2]对账明细接口!$E$759=0,"",[2]对账明细接口!$E$759),"")</f>
      </c>
      <c r="F759" s="16">
        <f>IFERROR(IF([2]对账明细接口!$F$759=0,"",[2]对账明细接口!$F$759),"")</f>
      </c>
      <c r="G759" s="16">
        <f>IFERROR(IF([2]对账明细接口!$G$759=0,"",[2]对账明细接口!$G$759),"")</f>
      </c>
      <c r="H759" s="176">
        <f>IFERROR(IF([2]对账明细接口!$H$759=0,"",[2]对账明细接口!$H$759),"")</f>
      </c>
      <c r="I759" s="16">
        <f>IFERROR(IF([2]对账明细接口!$I$759=0,"",[2]对账明细接口!$I$759),"")</f>
      </c>
      <c r="J759" s="177">
        <f>IFERROR(IF([2]对账明细接口!$J$759=0,"",[2]对账明细接口!$J$759),"")</f>
      </c>
      <c r="K759" s="177">
        <f>IFERROR(IF([2]对账明细接口!$K$759=0,"",[2]对账明细接口!$K$759),"")</f>
      </c>
      <c r="L759" s="16">
        <f>IFERROR(IF([2]对账明细接口!$L$759=0,"",[2]对账明细接口!$L$759),"")</f>
      </c>
      <c r="M759" s="16">
        <f>IFERROR(IF([2]对账明细接口!$M$759=0,"",[2]对账明细接口!$M$759),"")</f>
      </c>
      <c r="N759" s="19">
        <f>IF($C759="",0,1)</f>
        <v>0</v>
      </c>
      <c r="O759" s="19">
        <f>N(O758)+$N759</f>
        <v>272</v>
      </c>
      <c r="S759" s="20">
        <f>IFERROR(IF([2]对账明细接口!$N759=0,"",[2]对账明细接口!$N759),"")</f>
      </c>
      <c r="T759" s="212">
        <f>IFERROR(IF([2]对账明细接口!$O759=0,"",[2]对账明细接口!$O759),"")</f>
      </c>
      <c r="U759" s="212">
        <f>IFERROR(IF([2]对账明细接口!$P759=0,"",[2]对账明细接口!$P759),"")</f>
      </c>
      <c r="V759" s="212">
        <f>IFERROR(IF([2]对账明细接口!$Q759=0,"",[2]对账明细接口!$Q759),"")</f>
      </c>
      <c r="W759" s="20">
        <f>IFERROR(IF([2]对账明细接口!$R759=0,"",[2]对账明细接口!$R759),"")</f>
      </c>
      <c r="X759" s="20">
        <f>IFERROR(IF([2]对账明细接口!$S759=0,"",[2]对账明细接口!$S759),"")</f>
      </c>
      <c r="Y759" s="20">
        <f>""</f>
      </c>
      <c r="Z759" s="20">
        <f>""</f>
      </c>
      <c r="AA759" s="20">
        <f>""</f>
      </c>
      <c r="AB759" s="20">
        <f>""</f>
      </c>
    </row>
    <row r="760" s="127">
      <c r="A760" s="14" t="n">
        <v>760</v>
      </c>
      <c r="B760" s="211">
        <f>IFERROR(IF([2]对账明细接口!$B$760=0,"",[2]对账明细接口!$B$760),"")</f>
      </c>
      <c r="C760" s="16">
        <f>IFERROR(IF([2]对账明细接口!$C$760=0,"",[2]对账明细接口!$C$760),"")</f>
      </c>
      <c r="D760" s="16">
        <f>IFERROR(IF([2]对账明细接口!$D$760=0,"",[2]对账明细接口!$D$760),"")</f>
      </c>
      <c r="E760" s="16">
        <f>IFERROR(IF([2]对账明细接口!$E$760=0,"",[2]对账明细接口!$E$760),"")</f>
      </c>
      <c r="F760" s="16">
        <f>IFERROR(IF([2]对账明细接口!$F$760=0,"",[2]对账明细接口!$F$760),"")</f>
      </c>
      <c r="G760" s="16">
        <f>IFERROR(IF([2]对账明细接口!$G$760=0,"",[2]对账明细接口!$G$760),"")</f>
      </c>
      <c r="H760" s="176">
        <f>IFERROR(IF([2]对账明细接口!$H$760=0,"",[2]对账明细接口!$H$760),"")</f>
      </c>
      <c r="I760" s="16">
        <f>IFERROR(IF([2]对账明细接口!$I$760=0,"",[2]对账明细接口!$I$760),"")</f>
      </c>
      <c r="J760" s="177">
        <f>IFERROR(IF([2]对账明细接口!$J$760=0,"",[2]对账明细接口!$J$760),"")</f>
      </c>
      <c r="K760" s="177">
        <f>IFERROR(IF([2]对账明细接口!$K$760=0,"",[2]对账明细接口!$K$760),"")</f>
      </c>
      <c r="L760" s="16">
        <f>IFERROR(IF([2]对账明细接口!$L$760=0,"",[2]对账明细接口!$L$760),"")</f>
      </c>
      <c r="M760" s="16">
        <f>IFERROR(IF([2]对账明细接口!$M$760=0,"",[2]对账明细接口!$M$760),"")</f>
      </c>
      <c r="N760" s="19">
        <f>IF($C760="",0,1)</f>
        <v>0</v>
      </c>
      <c r="O760" s="19">
        <f>N(O759)+$N760</f>
        <v>272</v>
      </c>
      <c r="S760" s="20">
        <f>IFERROR(IF([2]对账明细接口!$N760=0,"",[2]对账明细接口!$N760),"")</f>
      </c>
      <c r="T760" s="212">
        <f>IFERROR(IF([2]对账明细接口!$O760=0,"",[2]对账明细接口!$O760),"")</f>
      </c>
      <c r="U760" s="212">
        <f>IFERROR(IF([2]对账明细接口!$P760=0,"",[2]对账明细接口!$P760),"")</f>
      </c>
      <c r="V760" s="212">
        <f>IFERROR(IF([2]对账明细接口!$Q760=0,"",[2]对账明细接口!$Q760),"")</f>
      </c>
      <c r="W760" s="20">
        <f>IFERROR(IF([2]对账明细接口!$R760=0,"",[2]对账明细接口!$R760),"")</f>
      </c>
      <c r="X760" s="20">
        <f>IFERROR(IF([2]对账明细接口!$S760=0,"",[2]对账明细接口!$S760),"")</f>
      </c>
      <c r="Y760" s="20">
        <f>""</f>
      </c>
      <c r="Z760" s="20">
        <f>""</f>
      </c>
      <c r="AA760" s="20">
        <f>""</f>
      </c>
      <c r="AB760" s="20">
        <f>""</f>
      </c>
    </row>
    <row r="761" s="127">
      <c r="A761" s="14" t="n">
        <v>761</v>
      </c>
      <c r="B761" s="211">
        <f>IFERROR(IF([2]对账明细接口!$B$761=0,"",[2]对账明细接口!$B$761),"")</f>
      </c>
      <c r="C761" s="16">
        <f>IFERROR(IF([2]对账明细接口!$C$761=0,"",[2]对账明细接口!$C$761),"")</f>
      </c>
      <c r="D761" s="16">
        <f>IFERROR(IF([2]对账明细接口!$D$761=0,"",[2]对账明细接口!$D$761),"")</f>
      </c>
      <c r="E761" s="16">
        <f>IFERROR(IF([2]对账明细接口!$E$761=0,"",[2]对账明细接口!$E$761),"")</f>
      </c>
      <c r="F761" s="16">
        <f>IFERROR(IF([2]对账明细接口!$F$761=0,"",[2]对账明细接口!$F$761),"")</f>
      </c>
      <c r="G761" s="16">
        <f>IFERROR(IF([2]对账明细接口!$G$761=0,"",[2]对账明细接口!$G$761),"")</f>
      </c>
      <c r="H761" s="176">
        <f>IFERROR(IF([2]对账明细接口!$H$761=0,"",[2]对账明细接口!$H$761),"")</f>
      </c>
      <c r="I761" s="16">
        <f>IFERROR(IF([2]对账明细接口!$I$761=0,"",[2]对账明细接口!$I$761),"")</f>
      </c>
      <c r="J761" s="177">
        <f>IFERROR(IF([2]对账明细接口!$J$761=0,"",[2]对账明细接口!$J$761),"")</f>
      </c>
      <c r="K761" s="177">
        <f>IFERROR(IF([2]对账明细接口!$K$761=0,"",[2]对账明细接口!$K$761),"")</f>
      </c>
      <c r="L761" s="16">
        <f>IFERROR(IF([2]对账明细接口!$L$761=0,"",[2]对账明细接口!$L$761),"")</f>
      </c>
      <c r="M761" s="16">
        <f>IFERROR(IF([2]对账明细接口!$M$761=0,"",[2]对账明细接口!$M$761),"")</f>
      </c>
      <c r="N761" s="19">
        <f>IF($C761="",0,1)</f>
        <v>0</v>
      </c>
      <c r="O761" s="19">
        <f>N(O760)+$N761</f>
        <v>272</v>
      </c>
      <c r="S761" s="20">
        <f>IFERROR(IF([2]对账明细接口!$N761=0,"",[2]对账明细接口!$N761),"")</f>
      </c>
      <c r="T761" s="212">
        <f>IFERROR(IF([2]对账明细接口!$O761=0,"",[2]对账明细接口!$O761),"")</f>
      </c>
      <c r="U761" s="212">
        <f>IFERROR(IF([2]对账明细接口!$P761=0,"",[2]对账明细接口!$P761),"")</f>
      </c>
      <c r="V761" s="212">
        <f>IFERROR(IF([2]对账明细接口!$Q761=0,"",[2]对账明细接口!$Q761),"")</f>
      </c>
      <c r="W761" s="20">
        <f>IFERROR(IF([2]对账明细接口!$R761=0,"",[2]对账明细接口!$R761),"")</f>
      </c>
      <c r="X761" s="20">
        <f>IFERROR(IF([2]对账明细接口!$S761=0,"",[2]对账明细接口!$S761),"")</f>
      </c>
      <c r="Y761" s="20">
        <f>""</f>
      </c>
      <c r="Z761" s="20">
        <f>""</f>
      </c>
      <c r="AA761" s="20">
        <f>""</f>
      </c>
      <c r="AB761" s="20">
        <f>""</f>
      </c>
    </row>
    <row r="762" s="127">
      <c r="A762" s="14" t="n">
        <v>762</v>
      </c>
      <c r="B762" s="211">
        <f>IFERROR(IF([2]对账明细接口!$B$762=0,"",[2]对账明细接口!$B$762),"")</f>
      </c>
      <c r="C762" s="16">
        <f>IFERROR(IF([2]对账明细接口!$C$762=0,"",[2]对账明细接口!$C$762),"")</f>
      </c>
      <c r="D762" s="16">
        <f>IFERROR(IF([2]对账明细接口!$D$762=0,"",[2]对账明细接口!$D$762),"")</f>
      </c>
      <c r="E762" s="16">
        <f>IFERROR(IF([2]对账明细接口!$E$762=0,"",[2]对账明细接口!$E$762),"")</f>
      </c>
      <c r="F762" s="16">
        <f>IFERROR(IF([2]对账明细接口!$F$762=0,"",[2]对账明细接口!$F$762),"")</f>
      </c>
      <c r="G762" s="16">
        <f>IFERROR(IF([2]对账明细接口!$G$762=0,"",[2]对账明细接口!$G$762),"")</f>
      </c>
      <c r="H762" s="176">
        <f>IFERROR(IF([2]对账明细接口!$H$762=0,"",[2]对账明细接口!$H$762),"")</f>
      </c>
      <c r="I762" s="16">
        <f>IFERROR(IF([2]对账明细接口!$I$762=0,"",[2]对账明细接口!$I$762),"")</f>
      </c>
      <c r="J762" s="177">
        <f>IFERROR(IF([2]对账明细接口!$J$762=0,"",[2]对账明细接口!$J$762),"")</f>
      </c>
      <c r="K762" s="177">
        <f>IFERROR(IF([2]对账明细接口!$K$762=0,"",[2]对账明细接口!$K$762),"")</f>
      </c>
      <c r="L762" s="16">
        <f>IFERROR(IF([2]对账明细接口!$L$762=0,"",[2]对账明细接口!$L$762),"")</f>
      </c>
      <c r="M762" s="16">
        <f>IFERROR(IF([2]对账明细接口!$M$762=0,"",[2]对账明细接口!$M$762),"")</f>
      </c>
      <c r="N762" s="19">
        <f>IF($C762="",0,1)</f>
        <v>0</v>
      </c>
      <c r="O762" s="19">
        <f>N(O761)+$N762</f>
        <v>272</v>
      </c>
      <c r="S762" s="20">
        <f>IFERROR(IF([2]对账明细接口!$N762=0,"",[2]对账明细接口!$N762),"")</f>
      </c>
      <c r="T762" s="212">
        <f>IFERROR(IF([2]对账明细接口!$O762=0,"",[2]对账明细接口!$O762),"")</f>
      </c>
      <c r="U762" s="212">
        <f>IFERROR(IF([2]对账明细接口!$P762=0,"",[2]对账明细接口!$P762),"")</f>
      </c>
      <c r="V762" s="212">
        <f>IFERROR(IF([2]对账明细接口!$Q762=0,"",[2]对账明细接口!$Q762),"")</f>
      </c>
      <c r="W762" s="20">
        <f>IFERROR(IF([2]对账明细接口!$R762=0,"",[2]对账明细接口!$R762),"")</f>
      </c>
      <c r="X762" s="20">
        <f>IFERROR(IF([2]对账明细接口!$S762=0,"",[2]对账明细接口!$S762),"")</f>
      </c>
      <c r="Y762" s="20">
        <f>""</f>
      </c>
      <c r="Z762" s="20">
        <f>""</f>
      </c>
      <c r="AA762" s="20">
        <f>""</f>
      </c>
      <c r="AB762" s="20">
        <f>""</f>
      </c>
    </row>
    <row r="763" s="127">
      <c r="A763" s="14" t="n">
        <v>763</v>
      </c>
      <c r="B763" s="211">
        <f>IFERROR(IF([2]对账明细接口!$B$763=0,"",[2]对账明细接口!$B$763),"")</f>
      </c>
      <c r="C763" s="16">
        <f>IFERROR(IF([2]对账明细接口!$C$763=0,"",[2]对账明细接口!$C$763),"")</f>
      </c>
      <c r="D763" s="16">
        <f>IFERROR(IF([2]对账明细接口!$D$763=0,"",[2]对账明细接口!$D$763),"")</f>
      </c>
      <c r="E763" s="16">
        <f>IFERROR(IF([2]对账明细接口!$E$763=0,"",[2]对账明细接口!$E$763),"")</f>
      </c>
      <c r="F763" s="16">
        <f>IFERROR(IF([2]对账明细接口!$F$763=0,"",[2]对账明细接口!$F$763),"")</f>
      </c>
      <c r="G763" s="16">
        <f>IFERROR(IF([2]对账明细接口!$G$763=0,"",[2]对账明细接口!$G$763),"")</f>
      </c>
      <c r="H763" s="176">
        <f>IFERROR(IF([2]对账明细接口!$H$763=0,"",[2]对账明细接口!$H$763),"")</f>
      </c>
      <c r="I763" s="16">
        <f>IFERROR(IF([2]对账明细接口!$I$763=0,"",[2]对账明细接口!$I$763),"")</f>
      </c>
      <c r="J763" s="177">
        <f>IFERROR(IF([2]对账明细接口!$J$763=0,"",[2]对账明细接口!$J$763),"")</f>
      </c>
      <c r="K763" s="177">
        <f>IFERROR(IF([2]对账明细接口!$K$763=0,"",[2]对账明细接口!$K$763),"")</f>
      </c>
      <c r="L763" s="16">
        <f>IFERROR(IF([2]对账明细接口!$L$763=0,"",[2]对账明细接口!$L$763),"")</f>
      </c>
      <c r="M763" s="16">
        <f>IFERROR(IF([2]对账明细接口!$M$763=0,"",[2]对账明细接口!$M$763),"")</f>
      </c>
      <c r="N763" s="19">
        <f>IF($C763="",0,1)</f>
        <v>0</v>
      </c>
      <c r="O763" s="19">
        <f>N(O762)+$N763</f>
        <v>272</v>
      </c>
      <c r="S763" s="20">
        <f>IFERROR(IF([2]对账明细接口!$N763=0,"",[2]对账明细接口!$N763),"")</f>
      </c>
      <c r="T763" s="212">
        <f>IFERROR(IF([2]对账明细接口!$O763=0,"",[2]对账明细接口!$O763),"")</f>
      </c>
      <c r="U763" s="212">
        <f>IFERROR(IF([2]对账明细接口!$P763=0,"",[2]对账明细接口!$P763),"")</f>
      </c>
      <c r="V763" s="212">
        <f>IFERROR(IF([2]对账明细接口!$Q763=0,"",[2]对账明细接口!$Q763),"")</f>
      </c>
      <c r="W763" s="20">
        <f>IFERROR(IF([2]对账明细接口!$R763=0,"",[2]对账明细接口!$R763),"")</f>
      </c>
      <c r="X763" s="20">
        <f>IFERROR(IF([2]对账明细接口!$S763=0,"",[2]对账明细接口!$S763),"")</f>
      </c>
      <c r="Y763" s="20">
        <f>""</f>
      </c>
      <c r="Z763" s="20">
        <f>""</f>
      </c>
      <c r="AA763" s="20">
        <f>""</f>
      </c>
      <c r="AB763" s="20">
        <f>""</f>
      </c>
    </row>
    <row r="764" s="127">
      <c r="A764" s="14" t="n">
        <v>764</v>
      </c>
      <c r="B764" s="211">
        <f>IFERROR(IF([2]对账明细接口!$B$764=0,"",[2]对账明细接口!$B$764),"")</f>
      </c>
      <c r="C764" s="16">
        <f>IFERROR(IF([2]对账明细接口!$C$764=0,"",[2]对账明细接口!$C$764),"")</f>
      </c>
      <c r="D764" s="16">
        <f>IFERROR(IF([2]对账明细接口!$D$764=0,"",[2]对账明细接口!$D$764),"")</f>
      </c>
      <c r="E764" s="16">
        <f>IFERROR(IF([2]对账明细接口!$E$764=0,"",[2]对账明细接口!$E$764),"")</f>
      </c>
      <c r="F764" s="16">
        <f>IFERROR(IF([2]对账明细接口!$F$764=0,"",[2]对账明细接口!$F$764),"")</f>
      </c>
      <c r="G764" s="16">
        <f>IFERROR(IF([2]对账明细接口!$G$764=0,"",[2]对账明细接口!$G$764),"")</f>
      </c>
      <c r="H764" s="176">
        <f>IFERROR(IF([2]对账明细接口!$H$764=0,"",[2]对账明细接口!$H$764),"")</f>
      </c>
      <c r="I764" s="16">
        <f>IFERROR(IF([2]对账明细接口!$I$764=0,"",[2]对账明细接口!$I$764),"")</f>
      </c>
      <c r="J764" s="177">
        <f>IFERROR(IF([2]对账明细接口!$J$764=0,"",[2]对账明细接口!$J$764),"")</f>
      </c>
      <c r="K764" s="177">
        <f>IFERROR(IF([2]对账明细接口!$K$764=0,"",[2]对账明细接口!$K$764),"")</f>
      </c>
      <c r="L764" s="16">
        <f>IFERROR(IF([2]对账明细接口!$L$764=0,"",[2]对账明细接口!$L$764),"")</f>
      </c>
      <c r="M764" s="16">
        <f>IFERROR(IF([2]对账明细接口!$M$764=0,"",[2]对账明细接口!$M$764),"")</f>
      </c>
      <c r="N764" s="19">
        <f>IF($C764="",0,1)</f>
        <v>0</v>
      </c>
      <c r="O764" s="19">
        <f>N(O763)+$N764</f>
        <v>272</v>
      </c>
      <c r="S764" s="20">
        <f>IFERROR(IF([2]对账明细接口!$N764=0,"",[2]对账明细接口!$N764),"")</f>
      </c>
      <c r="T764" s="212">
        <f>IFERROR(IF([2]对账明细接口!$O764=0,"",[2]对账明细接口!$O764),"")</f>
      </c>
      <c r="U764" s="212">
        <f>IFERROR(IF([2]对账明细接口!$P764=0,"",[2]对账明细接口!$P764),"")</f>
      </c>
      <c r="V764" s="212">
        <f>IFERROR(IF([2]对账明细接口!$Q764=0,"",[2]对账明细接口!$Q764),"")</f>
      </c>
      <c r="W764" s="20">
        <f>IFERROR(IF([2]对账明细接口!$R764=0,"",[2]对账明细接口!$R764),"")</f>
      </c>
      <c r="X764" s="20">
        <f>IFERROR(IF([2]对账明细接口!$S764=0,"",[2]对账明细接口!$S764),"")</f>
      </c>
      <c r="Y764" s="20">
        <f>""</f>
      </c>
      <c r="Z764" s="20">
        <f>""</f>
      </c>
      <c r="AA764" s="20">
        <f>""</f>
      </c>
      <c r="AB764" s="20">
        <f>""</f>
      </c>
    </row>
    <row r="765" s="127">
      <c r="A765" s="14" t="n">
        <v>765</v>
      </c>
      <c r="B765" s="211">
        <f>IFERROR(IF([2]对账明细接口!$B$765=0,"",[2]对账明细接口!$B$765),"")</f>
      </c>
      <c r="C765" s="16">
        <f>IFERROR(IF([2]对账明细接口!$C$765=0,"",[2]对账明细接口!$C$765),"")</f>
      </c>
      <c r="D765" s="16">
        <f>IFERROR(IF([2]对账明细接口!$D$765=0,"",[2]对账明细接口!$D$765),"")</f>
      </c>
      <c r="E765" s="16">
        <f>IFERROR(IF([2]对账明细接口!$E$765=0,"",[2]对账明细接口!$E$765),"")</f>
      </c>
      <c r="F765" s="16">
        <f>IFERROR(IF([2]对账明细接口!$F$765=0,"",[2]对账明细接口!$F$765),"")</f>
      </c>
      <c r="G765" s="16">
        <f>IFERROR(IF([2]对账明细接口!$G$765=0,"",[2]对账明细接口!$G$765),"")</f>
      </c>
      <c r="H765" s="176">
        <f>IFERROR(IF([2]对账明细接口!$H$765=0,"",[2]对账明细接口!$H$765),"")</f>
      </c>
      <c r="I765" s="16">
        <f>IFERROR(IF([2]对账明细接口!$I$765=0,"",[2]对账明细接口!$I$765),"")</f>
      </c>
      <c r="J765" s="177">
        <f>IFERROR(IF([2]对账明细接口!$J$765=0,"",[2]对账明细接口!$J$765),"")</f>
      </c>
      <c r="K765" s="177">
        <f>IFERROR(IF([2]对账明细接口!$K$765=0,"",[2]对账明细接口!$K$765),"")</f>
      </c>
      <c r="L765" s="16">
        <f>IFERROR(IF([2]对账明细接口!$L$765=0,"",[2]对账明细接口!$L$765),"")</f>
      </c>
      <c r="M765" s="16">
        <f>IFERROR(IF([2]对账明细接口!$M$765=0,"",[2]对账明细接口!$M$765),"")</f>
      </c>
      <c r="N765" s="19">
        <f>IF($C765="",0,1)</f>
        <v>0</v>
      </c>
      <c r="O765" s="19">
        <f>N(O764)+$N765</f>
        <v>272</v>
      </c>
      <c r="S765" s="20">
        <f>IFERROR(IF([2]对账明细接口!$N765=0,"",[2]对账明细接口!$N765),"")</f>
      </c>
      <c r="T765" s="212">
        <f>IFERROR(IF([2]对账明细接口!$O765=0,"",[2]对账明细接口!$O765),"")</f>
      </c>
      <c r="U765" s="212">
        <f>IFERROR(IF([2]对账明细接口!$P765=0,"",[2]对账明细接口!$P765),"")</f>
      </c>
      <c r="V765" s="212">
        <f>IFERROR(IF([2]对账明细接口!$Q765=0,"",[2]对账明细接口!$Q765),"")</f>
      </c>
      <c r="W765" s="20">
        <f>IFERROR(IF([2]对账明细接口!$R765=0,"",[2]对账明细接口!$R765),"")</f>
      </c>
      <c r="X765" s="20">
        <f>IFERROR(IF([2]对账明细接口!$S765=0,"",[2]对账明细接口!$S765),"")</f>
      </c>
      <c r="Y765" s="20">
        <f>""</f>
      </c>
      <c r="Z765" s="20">
        <f>""</f>
      </c>
      <c r="AA765" s="20">
        <f>""</f>
      </c>
      <c r="AB765" s="20">
        <f>""</f>
      </c>
    </row>
    <row r="766" s="127">
      <c r="A766" s="14" t="n">
        <v>766</v>
      </c>
      <c r="B766" s="211">
        <f>IFERROR(IF([2]对账明细接口!$B$766=0,"",[2]对账明细接口!$B$766),"")</f>
      </c>
      <c r="C766" s="16">
        <f>IFERROR(IF([2]对账明细接口!$C$766=0,"",[2]对账明细接口!$C$766),"")</f>
      </c>
      <c r="D766" s="16">
        <f>IFERROR(IF([2]对账明细接口!$D$766=0,"",[2]对账明细接口!$D$766),"")</f>
      </c>
      <c r="E766" s="16">
        <f>IFERROR(IF([2]对账明细接口!$E$766=0,"",[2]对账明细接口!$E$766),"")</f>
      </c>
      <c r="F766" s="16">
        <f>IFERROR(IF([2]对账明细接口!$F$766=0,"",[2]对账明细接口!$F$766),"")</f>
      </c>
      <c r="G766" s="16">
        <f>IFERROR(IF([2]对账明细接口!$G$766=0,"",[2]对账明细接口!$G$766),"")</f>
      </c>
      <c r="H766" s="176">
        <f>IFERROR(IF([2]对账明细接口!$H$766=0,"",[2]对账明细接口!$H$766),"")</f>
      </c>
      <c r="I766" s="16">
        <f>IFERROR(IF([2]对账明细接口!$I$766=0,"",[2]对账明细接口!$I$766),"")</f>
      </c>
      <c r="J766" s="177">
        <f>IFERROR(IF([2]对账明细接口!$J$766=0,"",[2]对账明细接口!$J$766),"")</f>
      </c>
      <c r="K766" s="177">
        <f>IFERROR(IF([2]对账明细接口!$K$766=0,"",[2]对账明细接口!$K$766),"")</f>
      </c>
      <c r="L766" s="16">
        <f>IFERROR(IF([2]对账明细接口!$L$766=0,"",[2]对账明细接口!$L$766),"")</f>
      </c>
      <c r="M766" s="16">
        <f>IFERROR(IF([2]对账明细接口!$M$766=0,"",[2]对账明细接口!$M$766),"")</f>
      </c>
      <c r="N766" s="19">
        <f>IF($C766="",0,1)</f>
        <v>0</v>
      </c>
      <c r="O766" s="19">
        <f>N(O765)+$N766</f>
        <v>272</v>
      </c>
      <c r="S766" s="20">
        <f>IFERROR(IF([2]对账明细接口!$N766=0,"",[2]对账明细接口!$N766),"")</f>
      </c>
      <c r="T766" s="212">
        <f>IFERROR(IF([2]对账明细接口!$O766=0,"",[2]对账明细接口!$O766),"")</f>
      </c>
      <c r="U766" s="212">
        <f>IFERROR(IF([2]对账明细接口!$P766=0,"",[2]对账明细接口!$P766),"")</f>
      </c>
      <c r="V766" s="212">
        <f>IFERROR(IF([2]对账明细接口!$Q766=0,"",[2]对账明细接口!$Q766),"")</f>
      </c>
      <c r="W766" s="20">
        <f>IFERROR(IF([2]对账明细接口!$R766=0,"",[2]对账明细接口!$R766),"")</f>
      </c>
      <c r="X766" s="20">
        <f>IFERROR(IF([2]对账明细接口!$S766=0,"",[2]对账明细接口!$S766),"")</f>
      </c>
      <c r="Y766" s="20">
        <f>""</f>
      </c>
      <c r="Z766" s="20">
        <f>""</f>
      </c>
      <c r="AA766" s="20">
        <f>""</f>
      </c>
      <c r="AB766" s="20">
        <f>""</f>
      </c>
    </row>
    <row r="767" s="127">
      <c r="A767" s="14" t="n">
        <v>767</v>
      </c>
      <c r="B767" s="211">
        <f>IFERROR(IF([2]对账明细接口!$B$767=0,"",[2]对账明细接口!$B$767),"")</f>
      </c>
      <c r="C767" s="16">
        <f>IFERROR(IF([2]对账明细接口!$C$767=0,"",[2]对账明细接口!$C$767),"")</f>
      </c>
      <c r="D767" s="16">
        <f>IFERROR(IF([2]对账明细接口!$D$767=0,"",[2]对账明细接口!$D$767),"")</f>
      </c>
      <c r="E767" s="16">
        <f>IFERROR(IF([2]对账明细接口!$E$767=0,"",[2]对账明细接口!$E$767),"")</f>
      </c>
      <c r="F767" s="16">
        <f>IFERROR(IF([2]对账明细接口!$F$767=0,"",[2]对账明细接口!$F$767),"")</f>
      </c>
      <c r="G767" s="16">
        <f>IFERROR(IF([2]对账明细接口!$G$767=0,"",[2]对账明细接口!$G$767),"")</f>
      </c>
      <c r="H767" s="176">
        <f>IFERROR(IF([2]对账明细接口!$H$767=0,"",[2]对账明细接口!$H$767),"")</f>
      </c>
      <c r="I767" s="16">
        <f>IFERROR(IF([2]对账明细接口!$I$767=0,"",[2]对账明细接口!$I$767),"")</f>
      </c>
      <c r="J767" s="177">
        <f>IFERROR(IF([2]对账明细接口!$J$767=0,"",[2]对账明细接口!$J$767),"")</f>
      </c>
      <c r="K767" s="177">
        <f>IFERROR(IF([2]对账明细接口!$K$767=0,"",[2]对账明细接口!$K$767),"")</f>
      </c>
      <c r="L767" s="16">
        <f>IFERROR(IF([2]对账明细接口!$L$767=0,"",[2]对账明细接口!$L$767),"")</f>
      </c>
      <c r="M767" s="16">
        <f>IFERROR(IF([2]对账明细接口!$M$767=0,"",[2]对账明细接口!$M$767),"")</f>
      </c>
      <c r="N767" s="19">
        <f>IF($C767="",0,1)</f>
        <v>0</v>
      </c>
      <c r="O767" s="19">
        <f>N(O766)+$N767</f>
        <v>272</v>
      </c>
      <c r="S767" s="20">
        <f>IFERROR(IF([2]对账明细接口!$N767=0,"",[2]对账明细接口!$N767),"")</f>
      </c>
      <c r="T767" s="212">
        <f>IFERROR(IF([2]对账明细接口!$O767=0,"",[2]对账明细接口!$O767),"")</f>
      </c>
      <c r="U767" s="212">
        <f>IFERROR(IF([2]对账明细接口!$P767=0,"",[2]对账明细接口!$P767),"")</f>
      </c>
      <c r="V767" s="212">
        <f>IFERROR(IF([2]对账明细接口!$Q767=0,"",[2]对账明细接口!$Q767),"")</f>
      </c>
      <c r="W767" s="20">
        <f>IFERROR(IF([2]对账明细接口!$R767=0,"",[2]对账明细接口!$R767),"")</f>
      </c>
      <c r="X767" s="20">
        <f>IFERROR(IF([2]对账明细接口!$S767=0,"",[2]对账明细接口!$S767),"")</f>
      </c>
      <c r="Y767" s="20">
        <f>""</f>
      </c>
      <c r="Z767" s="20">
        <f>""</f>
      </c>
      <c r="AA767" s="20">
        <f>""</f>
      </c>
      <c r="AB767" s="20">
        <f>""</f>
      </c>
    </row>
    <row r="768" s="127">
      <c r="A768" s="14" t="n">
        <v>768</v>
      </c>
      <c r="B768" s="211">
        <f>IFERROR(IF([2]对账明细接口!$B$768=0,"",[2]对账明细接口!$B$768),"")</f>
      </c>
      <c r="C768" s="16">
        <f>IFERROR(IF([2]对账明细接口!$C$768=0,"",[2]对账明细接口!$C$768),"")</f>
      </c>
      <c r="D768" s="16">
        <f>IFERROR(IF([2]对账明细接口!$D$768=0,"",[2]对账明细接口!$D$768),"")</f>
      </c>
      <c r="E768" s="16">
        <f>IFERROR(IF([2]对账明细接口!$E$768=0,"",[2]对账明细接口!$E$768),"")</f>
      </c>
      <c r="F768" s="16">
        <f>IFERROR(IF([2]对账明细接口!$F$768=0,"",[2]对账明细接口!$F$768),"")</f>
      </c>
      <c r="G768" s="16">
        <f>IFERROR(IF([2]对账明细接口!$G$768=0,"",[2]对账明细接口!$G$768),"")</f>
      </c>
      <c r="H768" s="176">
        <f>IFERROR(IF([2]对账明细接口!$H$768=0,"",[2]对账明细接口!$H$768),"")</f>
      </c>
      <c r="I768" s="16">
        <f>IFERROR(IF([2]对账明细接口!$I$768=0,"",[2]对账明细接口!$I$768),"")</f>
      </c>
      <c r="J768" s="177">
        <f>IFERROR(IF([2]对账明细接口!$J$768=0,"",[2]对账明细接口!$J$768),"")</f>
      </c>
      <c r="K768" s="177">
        <f>IFERROR(IF([2]对账明细接口!$K$768=0,"",[2]对账明细接口!$K$768),"")</f>
      </c>
      <c r="L768" s="16">
        <f>IFERROR(IF([2]对账明细接口!$L$768=0,"",[2]对账明细接口!$L$768),"")</f>
      </c>
      <c r="M768" s="16">
        <f>IFERROR(IF([2]对账明细接口!$M$768=0,"",[2]对账明细接口!$M$768),"")</f>
      </c>
      <c r="N768" s="19">
        <f>IF($C768="",0,1)</f>
        <v>0</v>
      </c>
      <c r="O768" s="19">
        <f>N(O767)+$N768</f>
        <v>272</v>
      </c>
      <c r="S768" s="20">
        <f>IFERROR(IF([2]对账明细接口!$N768=0,"",[2]对账明细接口!$N768),"")</f>
      </c>
      <c r="T768" s="212">
        <f>IFERROR(IF([2]对账明细接口!$O768=0,"",[2]对账明细接口!$O768),"")</f>
      </c>
      <c r="U768" s="212">
        <f>IFERROR(IF([2]对账明细接口!$P768=0,"",[2]对账明细接口!$P768),"")</f>
      </c>
      <c r="V768" s="212">
        <f>IFERROR(IF([2]对账明细接口!$Q768=0,"",[2]对账明细接口!$Q768),"")</f>
      </c>
      <c r="W768" s="20">
        <f>IFERROR(IF([2]对账明细接口!$R768=0,"",[2]对账明细接口!$R768),"")</f>
      </c>
      <c r="X768" s="20">
        <f>IFERROR(IF([2]对账明细接口!$S768=0,"",[2]对账明细接口!$S768),"")</f>
      </c>
      <c r="Y768" s="20">
        <f>""</f>
      </c>
      <c r="Z768" s="20">
        <f>""</f>
      </c>
      <c r="AA768" s="20">
        <f>""</f>
      </c>
      <c r="AB768" s="20">
        <f>""</f>
      </c>
    </row>
    <row r="769" s="127">
      <c r="A769" s="14" t="n">
        <v>769</v>
      </c>
      <c r="B769" s="211">
        <f>IFERROR(IF([2]对账明细接口!$B$769=0,"",[2]对账明细接口!$B$769),"")</f>
      </c>
      <c r="C769" s="16">
        <f>IFERROR(IF([2]对账明细接口!$C$769=0,"",[2]对账明细接口!$C$769),"")</f>
      </c>
      <c r="D769" s="16">
        <f>IFERROR(IF([2]对账明细接口!$D$769=0,"",[2]对账明细接口!$D$769),"")</f>
      </c>
      <c r="E769" s="16">
        <f>IFERROR(IF([2]对账明细接口!$E$769=0,"",[2]对账明细接口!$E$769),"")</f>
      </c>
      <c r="F769" s="16">
        <f>IFERROR(IF([2]对账明细接口!$F$769=0,"",[2]对账明细接口!$F$769),"")</f>
      </c>
      <c r="G769" s="16">
        <f>IFERROR(IF([2]对账明细接口!$G$769=0,"",[2]对账明细接口!$G$769),"")</f>
      </c>
      <c r="H769" s="176">
        <f>IFERROR(IF([2]对账明细接口!$H$769=0,"",[2]对账明细接口!$H$769),"")</f>
      </c>
      <c r="I769" s="16">
        <f>IFERROR(IF([2]对账明细接口!$I$769=0,"",[2]对账明细接口!$I$769),"")</f>
      </c>
      <c r="J769" s="177">
        <f>IFERROR(IF([2]对账明细接口!$J$769=0,"",[2]对账明细接口!$J$769),"")</f>
      </c>
      <c r="K769" s="177">
        <f>IFERROR(IF([2]对账明细接口!$K$769=0,"",[2]对账明细接口!$K$769),"")</f>
      </c>
      <c r="L769" s="16">
        <f>IFERROR(IF([2]对账明细接口!$L$769=0,"",[2]对账明细接口!$L$769),"")</f>
      </c>
      <c r="M769" s="16">
        <f>IFERROR(IF([2]对账明细接口!$M$769=0,"",[2]对账明细接口!$M$769),"")</f>
      </c>
      <c r="N769" s="19">
        <f>IF($C769="",0,1)</f>
        <v>0</v>
      </c>
      <c r="O769" s="19">
        <f>N(O768)+$N769</f>
        <v>272</v>
      </c>
      <c r="S769" s="20">
        <f>IFERROR(IF([2]对账明细接口!$N769=0,"",[2]对账明细接口!$N769),"")</f>
      </c>
      <c r="T769" s="212">
        <f>IFERROR(IF([2]对账明细接口!$O769=0,"",[2]对账明细接口!$O769),"")</f>
      </c>
      <c r="U769" s="212">
        <f>IFERROR(IF([2]对账明细接口!$P769=0,"",[2]对账明细接口!$P769),"")</f>
      </c>
      <c r="V769" s="212">
        <f>IFERROR(IF([2]对账明细接口!$Q769=0,"",[2]对账明细接口!$Q769),"")</f>
      </c>
      <c r="W769" s="20">
        <f>IFERROR(IF([2]对账明细接口!$R769=0,"",[2]对账明细接口!$R769),"")</f>
      </c>
      <c r="X769" s="20">
        <f>IFERROR(IF([2]对账明细接口!$S769=0,"",[2]对账明细接口!$S769),"")</f>
      </c>
      <c r="Y769" s="20">
        <f>""</f>
      </c>
      <c r="Z769" s="20">
        <f>""</f>
      </c>
      <c r="AA769" s="20">
        <f>""</f>
      </c>
      <c r="AB769" s="20">
        <f>""</f>
      </c>
    </row>
    <row r="770" s="127">
      <c r="A770" s="14" t="n">
        <v>770</v>
      </c>
      <c r="B770" s="211">
        <f>IFERROR(IF([2]对账明细接口!$B$770=0,"",[2]对账明细接口!$B$770),"")</f>
      </c>
      <c r="C770" s="16">
        <f>IFERROR(IF([2]对账明细接口!$C$770=0,"",[2]对账明细接口!$C$770),"")</f>
      </c>
      <c r="D770" s="16">
        <f>IFERROR(IF([2]对账明细接口!$D$770=0,"",[2]对账明细接口!$D$770),"")</f>
      </c>
      <c r="E770" s="16">
        <f>IFERROR(IF([2]对账明细接口!$E$770=0,"",[2]对账明细接口!$E$770),"")</f>
      </c>
      <c r="F770" s="16">
        <f>IFERROR(IF([2]对账明细接口!$F$770=0,"",[2]对账明细接口!$F$770),"")</f>
      </c>
      <c r="G770" s="16">
        <f>IFERROR(IF([2]对账明细接口!$G$770=0,"",[2]对账明细接口!$G$770),"")</f>
      </c>
      <c r="H770" s="176">
        <f>IFERROR(IF([2]对账明细接口!$H$770=0,"",[2]对账明细接口!$H$770),"")</f>
      </c>
      <c r="I770" s="16">
        <f>IFERROR(IF([2]对账明细接口!$I$770=0,"",[2]对账明细接口!$I$770),"")</f>
      </c>
      <c r="J770" s="177">
        <f>IFERROR(IF([2]对账明细接口!$J$770=0,"",[2]对账明细接口!$J$770),"")</f>
      </c>
      <c r="K770" s="177">
        <f>IFERROR(IF([2]对账明细接口!$K$770=0,"",[2]对账明细接口!$K$770),"")</f>
      </c>
      <c r="L770" s="16">
        <f>IFERROR(IF([2]对账明细接口!$L$770=0,"",[2]对账明细接口!$L$770),"")</f>
      </c>
      <c r="M770" s="16">
        <f>IFERROR(IF([2]对账明细接口!$M$770=0,"",[2]对账明细接口!$M$770),"")</f>
      </c>
      <c r="N770" s="19">
        <f>IF($C770="",0,1)</f>
        <v>0</v>
      </c>
      <c r="O770" s="19">
        <f>N(O769)+$N770</f>
        <v>272</v>
      </c>
      <c r="S770" s="20">
        <f>IFERROR(IF([2]对账明细接口!$N770=0,"",[2]对账明细接口!$N770),"")</f>
      </c>
      <c r="T770" s="212">
        <f>IFERROR(IF([2]对账明细接口!$O770=0,"",[2]对账明细接口!$O770),"")</f>
      </c>
      <c r="U770" s="212">
        <f>IFERROR(IF([2]对账明细接口!$P770=0,"",[2]对账明细接口!$P770),"")</f>
      </c>
      <c r="V770" s="212">
        <f>IFERROR(IF([2]对账明细接口!$Q770=0,"",[2]对账明细接口!$Q770),"")</f>
      </c>
      <c r="W770" s="20">
        <f>IFERROR(IF([2]对账明细接口!$R770=0,"",[2]对账明细接口!$R770),"")</f>
      </c>
      <c r="X770" s="20">
        <f>IFERROR(IF([2]对账明细接口!$S770=0,"",[2]对账明细接口!$S770),"")</f>
      </c>
      <c r="Y770" s="20">
        <f>""</f>
      </c>
      <c r="Z770" s="20">
        <f>""</f>
      </c>
      <c r="AA770" s="20">
        <f>""</f>
      </c>
      <c r="AB770" s="20">
        <f>""</f>
      </c>
    </row>
    <row r="771" s="127">
      <c r="A771" s="14" t="n">
        <v>771</v>
      </c>
      <c r="B771" s="211">
        <f>IFERROR(IF([2]对账明细接口!$B$771=0,"",[2]对账明细接口!$B$771),"")</f>
      </c>
      <c r="C771" s="16">
        <f>IFERROR(IF([2]对账明细接口!$C$771=0,"",[2]对账明细接口!$C$771),"")</f>
      </c>
      <c r="D771" s="16">
        <f>IFERROR(IF([2]对账明细接口!$D$771=0,"",[2]对账明细接口!$D$771),"")</f>
      </c>
      <c r="E771" s="16">
        <f>IFERROR(IF([2]对账明细接口!$E$771=0,"",[2]对账明细接口!$E$771),"")</f>
      </c>
      <c r="F771" s="16">
        <f>IFERROR(IF([2]对账明细接口!$F$771=0,"",[2]对账明细接口!$F$771),"")</f>
      </c>
      <c r="G771" s="16">
        <f>IFERROR(IF([2]对账明细接口!$G$771=0,"",[2]对账明细接口!$G$771),"")</f>
      </c>
      <c r="H771" s="176">
        <f>IFERROR(IF([2]对账明细接口!$H$771=0,"",[2]对账明细接口!$H$771),"")</f>
      </c>
      <c r="I771" s="16">
        <f>IFERROR(IF([2]对账明细接口!$I$771=0,"",[2]对账明细接口!$I$771),"")</f>
      </c>
      <c r="J771" s="177">
        <f>IFERROR(IF([2]对账明细接口!$J$771=0,"",[2]对账明细接口!$J$771),"")</f>
      </c>
      <c r="K771" s="177">
        <f>IFERROR(IF([2]对账明细接口!$K$771=0,"",[2]对账明细接口!$K$771),"")</f>
      </c>
      <c r="L771" s="16">
        <f>IFERROR(IF([2]对账明细接口!$L$771=0,"",[2]对账明细接口!$L$771),"")</f>
      </c>
      <c r="M771" s="16">
        <f>IFERROR(IF([2]对账明细接口!$M$771=0,"",[2]对账明细接口!$M$771),"")</f>
      </c>
      <c r="N771" s="19">
        <f>IF($C771="",0,1)</f>
        <v>0</v>
      </c>
      <c r="O771" s="19">
        <f>N(O770)+$N771</f>
        <v>272</v>
      </c>
      <c r="S771" s="20">
        <f>IFERROR(IF([2]对账明细接口!$N771=0,"",[2]对账明细接口!$N771),"")</f>
      </c>
      <c r="T771" s="212">
        <f>IFERROR(IF([2]对账明细接口!$O771=0,"",[2]对账明细接口!$O771),"")</f>
      </c>
      <c r="U771" s="212">
        <f>IFERROR(IF([2]对账明细接口!$P771=0,"",[2]对账明细接口!$P771),"")</f>
      </c>
      <c r="V771" s="212">
        <f>IFERROR(IF([2]对账明细接口!$Q771=0,"",[2]对账明细接口!$Q771),"")</f>
      </c>
      <c r="W771" s="20">
        <f>IFERROR(IF([2]对账明细接口!$R771=0,"",[2]对账明细接口!$R771),"")</f>
      </c>
      <c r="X771" s="20">
        <f>IFERROR(IF([2]对账明细接口!$S771=0,"",[2]对账明细接口!$S771),"")</f>
      </c>
      <c r="Y771" s="20">
        <f>""</f>
      </c>
      <c r="Z771" s="20">
        <f>""</f>
      </c>
      <c r="AA771" s="20">
        <f>""</f>
      </c>
      <c r="AB771" s="20">
        <f>""</f>
      </c>
    </row>
    <row r="772" s="127">
      <c r="A772" s="14" t="n">
        <v>772</v>
      </c>
      <c r="B772" s="211">
        <f>IFERROR(IF([2]对账明细接口!$B$772=0,"",[2]对账明细接口!$B$772),"")</f>
      </c>
      <c r="C772" s="16">
        <f>IFERROR(IF([2]对账明细接口!$C$772=0,"",[2]对账明细接口!$C$772),"")</f>
      </c>
      <c r="D772" s="16">
        <f>IFERROR(IF([2]对账明细接口!$D$772=0,"",[2]对账明细接口!$D$772),"")</f>
      </c>
      <c r="E772" s="16">
        <f>IFERROR(IF([2]对账明细接口!$E$772=0,"",[2]对账明细接口!$E$772),"")</f>
      </c>
      <c r="F772" s="16">
        <f>IFERROR(IF([2]对账明细接口!$F$772=0,"",[2]对账明细接口!$F$772),"")</f>
      </c>
      <c r="G772" s="16">
        <f>IFERROR(IF([2]对账明细接口!$G$772=0,"",[2]对账明细接口!$G$772),"")</f>
      </c>
      <c r="H772" s="176">
        <f>IFERROR(IF([2]对账明细接口!$H$772=0,"",[2]对账明细接口!$H$772),"")</f>
      </c>
      <c r="I772" s="16">
        <f>IFERROR(IF([2]对账明细接口!$I$772=0,"",[2]对账明细接口!$I$772),"")</f>
      </c>
      <c r="J772" s="177">
        <f>IFERROR(IF([2]对账明细接口!$J$772=0,"",[2]对账明细接口!$J$772),"")</f>
      </c>
      <c r="K772" s="177">
        <f>IFERROR(IF([2]对账明细接口!$K$772=0,"",[2]对账明细接口!$K$772),"")</f>
      </c>
      <c r="L772" s="16">
        <f>IFERROR(IF([2]对账明细接口!$L$772=0,"",[2]对账明细接口!$L$772),"")</f>
      </c>
      <c r="M772" s="16">
        <f>IFERROR(IF([2]对账明细接口!$M$772=0,"",[2]对账明细接口!$M$772),"")</f>
      </c>
      <c r="N772" s="19">
        <f>IF($C772="",0,1)</f>
        <v>0</v>
      </c>
      <c r="O772" s="19">
        <f>N(O771)+$N772</f>
        <v>272</v>
      </c>
      <c r="S772" s="20">
        <f>IFERROR(IF([2]对账明细接口!$N772=0,"",[2]对账明细接口!$N772),"")</f>
      </c>
      <c r="T772" s="212">
        <f>IFERROR(IF([2]对账明细接口!$O772=0,"",[2]对账明细接口!$O772),"")</f>
      </c>
      <c r="U772" s="212">
        <f>IFERROR(IF([2]对账明细接口!$P772=0,"",[2]对账明细接口!$P772),"")</f>
      </c>
      <c r="V772" s="212">
        <f>IFERROR(IF([2]对账明细接口!$Q772=0,"",[2]对账明细接口!$Q772),"")</f>
      </c>
      <c r="W772" s="20">
        <f>IFERROR(IF([2]对账明细接口!$R772=0,"",[2]对账明细接口!$R772),"")</f>
      </c>
      <c r="X772" s="20">
        <f>IFERROR(IF([2]对账明细接口!$S772=0,"",[2]对账明细接口!$S772),"")</f>
      </c>
      <c r="Y772" s="20">
        <f>""</f>
      </c>
      <c r="Z772" s="20">
        <f>""</f>
      </c>
      <c r="AA772" s="20">
        <f>""</f>
      </c>
      <c r="AB772" s="20">
        <f>""</f>
      </c>
    </row>
    <row r="773" s="127">
      <c r="A773" s="14" t="n">
        <v>773</v>
      </c>
      <c r="B773" s="211">
        <f>IFERROR(IF([2]对账明细接口!$B$773=0,"",[2]对账明细接口!$B$773),"")</f>
      </c>
      <c r="C773" s="16">
        <f>IFERROR(IF([2]对账明细接口!$C$773=0,"",[2]对账明细接口!$C$773),"")</f>
      </c>
      <c r="D773" s="16">
        <f>IFERROR(IF([2]对账明细接口!$D$773=0,"",[2]对账明细接口!$D$773),"")</f>
      </c>
      <c r="E773" s="16">
        <f>IFERROR(IF([2]对账明细接口!$E$773=0,"",[2]对账明细接口!$E$773),"")</f>
      </c>
      <c r="F773" s="16">
        <f>IFERROR(IF([2]对账明细接口!$F$773=0,"",[2]对账明细接口!$F$773),"")</f>
      </c>
      <c r="G773" s="16">
        <f>IFERROR(IF([2]对账明细接口!$G$773=0,"",[2]对账明细接口!$G$773),"")</f>
      </c>
      <c r="H773" s="176">
        <f>IFERROR(IF([2]对账明细接口!$H$773=0,"",[2]对账明细接口!$H$773),"")</f>
      </c>
      <c r="I773" s="16">
        <f>IFERROR(IF([2]对账明细接口!$I$773=0,"",[2]对账明细接口!$I$773),"")</f>
      </c>
      <c r="J773" s="177">
        <f>IFERROR(IF([2]对账明细接口!$J$773=0,"",[2]对账明细接口!$J$773),"")</f>
      </c>
      <c r="K773" s="177">
        <f>IFERROR(IF([2]对账明细接口!$K$773=0,"",[2]对账明细接口!$K$773),"")</f>
      </c>
      <c r="L773" s="16">
        <f>IFERROR(IF([2]对账明细接口!$L$773=0,"",[2]对账明细接口!$L$773),"")</f>
      </c>
      <c r="M773" s="16">
        <f>IFERROR(IF([2]对账明细接口!$M$773=0,"",[2]对账明细接口!$M$773),"")</f>
      </c>
      <c r="N773" s="19">
        <f>IF($C773="",0,1)</f>
        <v>0</v>
      </c>
      <c r="O773" s="19">
        <f>N(O772)+$N773</f>
        <v>272</v>
      </c>
      <c r="S773" s="20">
        <f>IFERROR(IF([2]对账明细接口!$N773=0,"",[2]对账明细接口!$N773),"")</f>
      </c>
      <c r="T773" s="212">
        <f>IFERROR(IF([2]对账明细接口!$O773=0,"",[2]对账明细接口!$O773),"")</f>
      </c>
      <c r="U773" s="212">
        <f>IFERROR(IF([2]对账明细接口!$P773=0,"",[2]对账明细接口!$P773),"")</f>
      </c>
      <c r="V773" s="212">
        <f>IFERROR(IF([2]对账明细接口!$Q773=0,"",[2]对账明细接口!$Q773),"")</f>
      </c>
      <c r="W773" s="20">
        <f>IFERROR(IF([2]对账明细接口!$R773=0,"",[2]对账明细接口!$R773),"")</f>
      </c>
      <c r="X773" s="20">
        <f>IFERROR(IF([2]对账明细接口!$S773=0,"",[2]对账明细接口!$S773),"")</f>
      </c>
      <c r="Y773" s="20">
        <f>""</f>
      </c>
      <c r="Z773" s="20">
        <f>""</f>
      </c>
      <c r="AA773" s="20">
        <f>""</f>
      </c>
      <c r="AB773" s="20">
        <f>""</f>
      </c>
    </row>
    <row r="774" s="127">
      <c r="A774" s="14" t="n">
        <v>774</v>
      </c>
      <c r="B774" s="211">
        <f>IFERROR(IF([2]对账明细接口!$B$774=0,"",[2]对账明细接口!$B$774),"")</f>
      </c>
      <c r="C774" s="16">
        <f>IFERROR(IF([2]对账明细接口!$C$774=0,"",[2]对账明细接口!$C$774),"")</f>
      </c>
      <c r="D774" s="16">
        <f>IFERROR(IF([2]对账明细接口!$D$774=0,"",[2]对账明细接口!$D$774),"")</f>
      </c>
      <c r="E774" s="16">
        <f>IFERROR(IF([2]对账明细接口!$E$774=0,"",[2]对账明细接口!$E$774),"")</f>
      </c>
      <c r="F774" s="16">
        <f>IFERROR(IF([2]对账明细接口!$F$774=0,"",[2]对账明细接口!$F$774),"")</f>
      </c>
      <c r="G774" s="16">
        <f>IFERROR(IF([2]对账明细接口!$G$774=0,"",[2]对账明细接口!$G$774),"")</f>
      </c>
      <c r="H774" s="176">
        <f>IFERROR(IF([2]对账明细接口!$H$774=0,"",[2]对账明细接口!$H$774),"")</f>
      </c>
      <c r="I774" s="16">
        <f>IFERROR(IF([2]对账明细接口!$I$774=0,"",[2]对账明细接口!$I$774),"")</f>
      </c>
      <c r="J774" s="177">
        <f>IFERROR(IF([2]对账明细接口!$J$774=0,"",[2]对账明细接口!$J$774),"")</f>
      </c>
      <c r="K774" s="177">
        <f>IFERROR(IF([2]对账明细接口!$K$774=0,"",[2]对账明细接口!$K$774),"")</f>
      </c>
      <c r="L774" s="16">
        <f>IFERROR(IF([2]对账明细接口!$L$774=0,"",[2]对账明细接口!$L$774),"")</f>
      </c>
      <c r="M774" s="16">
        <f>IFERROR(IF([2]对账明细接口!$M$774=0,"",[2]对账明细接口!$M$774),"")</f>
      </c>
      <c r="N774" s="19">
        <f>IF($C774="",0,1)</f>
        <v>0</v>
      </c>
      <c r="O774" s="19">
        <f>N(O773)+$N774</f>
        <v>272</v>
      </c>
      <c r="S774" s="20">
        <f>IFERROR(IF([2]对账明细接口!$N774=0,"",[2]对账明细接口!$N774),"")</f>
      </c>
      <c r="T774" s="212">
        <f>IFERROR(IF([2]对账明细接口!$O774=0,"",[2]对账明细接口!$O774),"")</f>
      </c>
      <c r="U774" s="212">
        <f>IFERROR(IF([2]对账明细接口!$P774=0,"",[2]对账明细接口!$P774),"")</f>
      </c>
      <c r="V774" s="212">
        <f>IFERROR(IF([2]对账明细接口!$Q774=0,"",[2]对账明细接口!$Q774),"")</f>
      </c>
      <c r="W774" s="20">
        <f>IFERROR(IF([2]对账明细接口!$R774=0,"",[2]对账明细接口!$R774),"")</f>
      </c>
      <c r="X774" s="20">
        <f>IFERROR(IF([2]对账明细接口!$S774=0,"",[2]对账明细接口!$S774),"")</f>
      </c>
      <c r="Y774" s="20">
        <f>""</f>
      </c>
      <c r="Z774" s="20">
        <f>""</f>
      </c>
      <c r="AA774" s="20">
        <f>""</f>
      </c>
      <c r="AB774" s="20">
        <f>""</f>
      </c>
    </row>
    <row r="775" s="127">
      <c r="A775" s="14" t="n">
        <v>775</v>
      </c>
      <c r="B775" s="211">
        <f>IFERROR(IF([2]对账明细接口!$B$775=0,"",[2]对账明细接口!$B$775),"")</f>
      </c>
      <c r="C775" s="16">
        <f>IFERROR(IF([2]对账明细接口!$C$775=0,"",[2]对账明细接口!$C$775),"")</f>
      </c>
      <c r="D775" s="16">
        <f>IFERROR(IF([2]对账明细接口!$D$775=0,"",[2]对账明细接口!$D$775),"")</f>
      </c>
      <c r="E775" s="16">
        <f>IFERROR(IF([2]对账明细接口!$E$775=0,"",[2]对账明细接口!$E$775),"")</f>
      </c>
      <c r="F775" s="16">
        <f>IFERROR(IF([2]对账明细接口!$F$775=0,"",[2]对账明细接口!$F$775),"")</f>
      </c>
      <c r="G775" s="16">
        <f>IFERROR(IF([2]对账明细接口!$G$775=0,"",[2]对账明细接口!$G$775),"")</f>
      </c>
      <c r="H775" s="176">
        <f>IFERROR(IF([2]对账明细接口!$H$775=0,"",[2]对账明细接口!$H$775),"")</f>
      </c>
      <c r="I775" s="16">
        <f>IFERROR(IF([2]对账明细接口!$I$775=0,"",[2]对账明细接口!$I$775),"")</f>
      </c>
      <c r="J775" s="177">
        <f>IFERROR(IF([2]对账明细接口!$J$775=0,"",[2]对账明细接口!$J$775),"")</f>
      </c>
      <c r="K775" s="177">
        <f>IFERROR(IF([2]对账明细接口!$K$775=0,"",[2]对账明细接口!$K$775),"")</f>
      </c>
      <c r="L775" s="16">
        <f>IFERROR(IF([2]对账明细接口!$L$775=0,"",[2]对账明细接口!$L$775),"")</f>
      </c>
      <c r="M775" s="16">
        <f>IFERROR(IF([2]对账明细接口!$M$775=0,"",[2]对账明细接口!$M$775),"")</f>
      </c>
      <c r="N775" s="19">
        <f>IF($C775="",0,1)</f>
        <v>0</v>
      </c>
      <c r="O775" s="19">
        <f>N(O774)+$N775</f>
        <v>272</v>
      </c>
      <c r="S775" s="20">
        <f>IFERROR(IF([2]对账明细接口!$N775=0,"",[2]对账明细接口!$N775),"")</f>
      </c>
      <c r="T775" s="212">
        <f>IFERROR(IF([2]对账明细接口!$O775=0,"",[2]对账明细接口!$O775),"")</f>
      </c>
      <c r="U775" s="212">
        <f>IFERROR(IF([2]对账明细接口!$P775=0,"",[2]对账明细接口!$P775),"")</f>
      </c>
      <c r="V775" s="212">
        <f>IFERROR(IF([2]对账明细接口!$Q775=0,"",[2]对账明细接口!$Q775),"")</f>
      </c>
      <c r="W775" s="20">
        <f>IFERROR(IF([2]对账明细接口!$R775=0,"",[2]对账明细接口!$R775),"")</f>
      </c>
      <c r="X775" s="20">
        <f>IFERROR(IF([2]对账明细接口!$S775=0,"",[2]对账明细接口!$S775),"")</f>
      </c>
      <c r="Y775" s="20">
        <f>""</f>
      </c>
      <c r="Z775" s="20">
        <f>""</f>
      </c>
      <c r="AA775" s="20">
        <f>""</f>
      </c>
      <c r="AB775" s="20">
        <f>""</f>
      </c>
    </row>
    <row r="776" s="127">
      <c r="A776" s="14" t="n">
        <v>776</v>
      </c>
      <c r="B776" s="211">
        <f>IFERROR(IF([2]对账明细接口!$B$776=0,"",[2]对账明细接口!$B$776),"")</f>
      </c>
      <c r="C776" s="16">
        <f>IFERROR(IF([2]对账明细接口!$C$776=0,"",[2]对账明细接口!$C$776),"")</f>
      </c>
      <c r="D776" s="16">
        <f>IFERROR(IF([2]对账明细接口!$D$776=0,"",[2]对账明细接口!$D$776),"")</f>
      </c>
      <c r="E776" s="16">
        <f>IFERROR(IF([2]对账明细接口!$E$776=0,"",[2]对账明细接口!$E$776),"")</f>
      </c>
      <c r="F776" s="16">
        <f>IFERROR(IF([2]对账明细接口!$F$776=0,"",[2]对账明细接口!$F$776),"")</f>
      </c>
      <c r="G776" s="16">
        <f>IFERROR(IF([2]对账明细接口!$G$776=0,"",[2]对账明细接口!$G$776),"")</f>
      </c>
      <c r="H776" s="176">
        <f>IFERROR(IF([2]对账明细接口!$H$776=0,"",[2]对账明细接口!$H$776),"")</f>
      </c>
      <c r="I776" s="16">
        <f>IFERROR(IF([2]对账明细接口!$I$776=0,"",[2]对账明细接口!$I$776),"")</f>
      </c>
      <c r="J776" s="177">
        <f>IFERROR(IF([2]对账明细接口!$J$776=0,"",[2]对账明细接口!$J$776),"")</f>
      </c>
      <c r="K776" s="177">
        <f>IFERROR(IF([2]对账明细接口!$K$776=0,"",[2]对账明细接口!$K$776),"")</f>
      </c>
      <c r="L776" s="16">
        <f>IFERROR(IF([2]对账明细接口!$L$776=0,"",[2]对账明细接口!$L$776),"")</f>
      </c>
      <c r="M776" s="16">
        <f>IFERROR(IF([2]对账明细接口!$M$776=0,"",[2]对账明细接口!$M$776),"")</f>
      </c>
      <c r="N776" s="19">
        <f>IF($C776="",0,1)</f>
        <v>0</v>
      </c>
      <c r="O776" s="19">
        <f>N(O775)+$N776</f>
        <v>272</v>
      </c>
      <c r="S776" s="20">
        <f>IFERROR(IF([2]对账明细接口!$N776=0,"",[2]对账明细接口!$N776),"")</f>
      </c>
      <c r="T776" s="212">
        <f>IFERROR(IF([2]对账明细接口!$O776=0,"",[2]对账明细接口!$O776),"")</f>
      </c>
      <c r="U776" s="212">
        <f>IFERROR(IF([2]对账明细接口!$P776=0,"",[2]对账明细接口!$P776),"")</f>
      </c>
      <c r="V776" s="212">
        <f>IFERROR(IF([2]对账明细接口!$Q776=0,"",[2]对账明细接口!$Q776),"")</f>
      </c>
      <c r="W776" s="20">
        <f>IFERROR(IF([2]对账明细接口!$R776=0,"",[2]对账明细接口!$R776),"")</f>
      </c>
      <c r="X776" s="20">
        <f>IFERROR(IF([2]对账明细接口!$S776=0,"",[2]对账明细接口!$S776),"")</f>
      </c>
      <c r="Y776" s="20">
        <f>""</f>
      </c>
      <c r="Z776" s="20">
        <f>""</f>
      </c>
      <c r="AA776" s="20">
        <f>""</f>
      </c>
      <c r="AB776" s="20">
        <f>""</f>
      </c>
    </row>
    <row r="777" s="127">
      <c r="A777" s="14" t="n">
        <v>777</v>
      </c>
      <c r="B777" s="211">
        <f>IFERROR(IF([2]对账明细接口!$B$777=0,"",[2]对账明细接口!$B$777),"")</f>
      </c>
      <c r="C777" s="16">
        <f>IFERROR(IF([2]对账明细接口!$C$777=0,"",[2]对账明细接口!$C$777),"")</f>
      </c>
      <c r="D777" s="16">
        <f>IFERROR(IF([2]对账明细接口!$D$777=0,"",[2]对账明细接口!$D$777),"")</f>
      </c>
      <c r="E777" s="16">
        <f>IFERROR(IF([2]对账明细接口!$E$777=0,"",[2]对账明细接口!$E$777),"")</f>
      </c>
      <c r="F777" s="16">
        <f>IFERROR(IF([2]对账明细接口!$F$777=0,"",[2]对账明细接口!$F$777),"")</f>
      </c>
      <c r="G777" s="16">
        <f>IFERROR(IF([2]对账明细接口!$G$777=0,"",[2]对账明细接口!$G$777),"")</f>
      </c>
      <c r="H777" s="176">
        <f>IFERROR(IF([2]对账明细接口!$H$777=0,"",[2]对账明细接口!$H$777),"")</f>
      </c>
      <c r="I777" s="16">
        <f>IFERROR(IF([2]对账明细接口!$I$777=0,"",[2]对账明细接口!$I$777),"")</f>
      </c>
      <c r="J777" s="177">
        <f>IFERROR(IF([2]对账明细接口!$J$777=0,"",[2]对账明细接口!$J$777),"")</f>
      </c>
      <c r="K777" s="177">
        <f>IFERROR(IF([2]对账明细接口!$K$777=0,"",[2]对账明细接口!$K$777),"")</f>
      </c>
      <c r="L777" s="16">
        <f>IFERROR(IF([2]对账明细接口!$L$777=0,"",[2]对账明细接口!$L$777),"")</f>
      </c>
      <c r="M777" s="16">
        <f>IFERROR(IF([2]对账明细接口!$M$777=0,"",[2]对账明细接口!$M$777),"")</f>
      </c>
      <c r="N777" s="19">
        <f>IF($C777="",0,1)</f>
        <v>0</v>
      </c>
      <c r="O777" s="19">
        <f>N(O776)+$N777</f>
        <v>272</v>
      </c>
      <c r="S777" s="20">
        <f>IFERROR(IF([2]对账明细接口!$N777=0,"",[2]对账明细接口!$N777),"")</f>
      </c>
      <c r="T777" s="212">
        <f>IFERROR(IF([2]对账明细接口!$O777=0,"",[2]对账明细接口!$O777),"")</f>
      </c>
      <c r="U777" s="212">
        <f>IFERROR(IF([2]对账明细接口!$P777=0,"",[2]对账明细接口!$P777),"")</f>
      </c>
      <c r="V777" s="212">
        <f>IFERROR(IF([2]对账明细接口!$Q777=0,"",[2]对账明细接口!$Q777),"")</f>
      </c>
      <c r="W777" s="20">
        <f>IFERROR(IF([2]对账明细接口!$R777=0,"",[2]对账明细接口!$R777),"")</f>
      </c>
      <c r="X777" s="20">
        <f>IFERROR(IF([2]对账明细接口!$S777=0,"",[2]对账明细接口!$S777),"")</f>
      </c>
      <c r="Y777" s="20">
        <f>""</f>
      </c>
      <c r="Z777" s="20">
        <f>""</f>
      </c>
      <c r="AA777" s="20">
        <f>""</f>
      </c>
      <c r="AB777" s="20">
        <f>""</f>
      </c>
    </row>
    <row r="778" s="127">
      <c r="A778" s="14" t="n">
        <v>778</v>
      </c>
      <c r="B778" s="211">
        <f>IFERROR(IF([2]对账明细接口!$B$778=0,"",[2]对账明细接口!$B$778),"")</f>
      </c>
      <c r="C778" s="16">
        <f>IFERROR(IF([2]对账明细接口!$C$778=0,"",[2]对账明细接口!$C$778),"")</f>
      </c>
      <c r="D778" s="16">
        <f>IFERROR(IF([2]对账明细接口!$D$778=0,"",[2]对账明细接口!$D$778),"")</f>
      </c>
      <c r="E778" s="16">
        <f>IFERROR(IF([2]对账明细接口!$E$778=0,"",[2]对账明细接口!$E$778),"")</f>
      </c>
      <c r="F778" s="16">
        <f>IFERROR(IF([2]对账明细接口!$F$778=0,"",[2]对账明细接口!$F$778),"")</f>
      </c>
      <c r="G778" s="16">
        <f>IFERROR(IF([2]对账明细接口!$G$778=0,"",[2]对账明细接口!$G$778),"")</f>
      </c>
      <c r="H778" s="176">
        <f>IFERROR(IF([2]对账明细接口!$H$778=0,"",[2]对账明细接口!$H$778),"")</f>
      </c>
      <c r="I778" s="16">
        <f>IFERROR(IF([2]对账明细接口!$I$778=0,"",[2]对账明细接口!$I$778),"")</f>
      </c>
      <c r="J778" s="177">
        <f>IFERROR(IF([2]对账明细接口!$J$778=0,"",[2]对账明细接口!$J$778),"")</f>
      </c>
      <c r="K778" s="177">
        <f>IFERROR(IF([2]对账明细接口!$K$778=0,"",[2]对账明细接口!$K$778),"")</f>
      </c>
      <c r="L778" s="16">
        <f>IFERROR(IF([2]对账明细接口!$L$778=0,"",[2]对账明细接口!$L$778),"")</f>
      </c>
      <c r="M778" s="16">
        <f>IFERROR(IF([2]对账明细接口!$M$778=0,"",[2]对账明细接口!$M$778),"")</f>
      </c>
      <c r="N778" s="19">
        <f>IF($C778="",0,1)</f>
        <v>0</v>
      </c>
      <c r="O778" s="19">
        <f>N(O777)+$N778</f>
        <v>272</v>
      </c>
      <c r="S778" s="20">
        <f>IFERROR(IF([2]对账明细接口!$N778=0,"",[2]对账明细接口!$N778),"")</f>
      </c>
      <c r="T778" s="212">
        <f>IFERROR(IF([2]对账明细接口!$O778=0,"",[2]对账明细接口!$O778),"")</f>
      </c>
      <c r="U778" s="212">
        <f>IFERROR(IF([2]对账明细接口!$P778=0,"",[2]对账明细接口!$P778),"")</f>
      </c>
      <c r="V778" s="212">
        <f>IFERROR(IF([2]对账明细接口!$Q778=0,"",[2]对账明细接口!$Q778),"")</f>
      </c>
      <c r="W778" s="20">
        <f>IFERROR(IF([2]对账明细接口!$R778=0,"",[2]对账明细接口!$R778),"")</f>
      </c>
      <c r="X778" s="20">
        <f>IFERROR(IF([2]对账明细接口!$S778=0,"",[2]对账明细接口!$S778),"")</f>
      </c>
      <c r="Y778" s="20">
        <f>""</f>
      </c>
      <c r="Z778" s="20">
        <f>""</f>
      </c>
      <c r="AA778" s="20">
        <f>""</f>
      </c>
      <c r="AB778" s="20">
        <f>""</f>
      </c>
    </row>
    <row r="779" s="127">
      <c r="A779" s="14" t="n">
        <v>779</v>
      </c>
      <c r="B779" s="211">
        <f>IFERROR(IF([2]对账明细接口!$B$779=0,"",[2]对账明细接口!$B$779),"")</f>
      </c>
      <c r="C779" s="16">
        <f>IFERROR(IF([2]对账明细接口!$C$779=0,"",[2]对账明细接口!$C$779),"")</f>
      </c>
      <c r="D779" s="16">
        <f>IFERROR(IF([2]对账明细接口!$D$779=0,"",[2]对账明细接口!$D$779),"")</f>
      </c>
      <c r="E779" s="16">
        <f>IFERROR(IF([2]对账明细接口!$E$779=0,"",[2]对账明细接口!$E$779),"")</f>
      </c>
      <c r="F779" s="16">
        <f>IFERROR(IF([2]对账明细接口!$F$779=0,"",[2]对账明细接口!$F$779),"")</f>
      </c>
      <c r="G779" s="16">
        <f>IFERROR(IF([2]对账明细接口!$G$779=0,"",[2]对账明细接口!$G$779),"")</f>
      </c>
      <c r="H779" s="176">
        <f>IFERROR(IF([2]对账明细接口!$H$779=0,"",[2]对账明细接口!$H$779),"")</f>
      </c>
      <c r="I779" s="16">
        <f>IFERROR(IF([2]对账明细接口!$I$779=0,"",[2]对账明细接口!$I$779),"")</f>
      </c>
      <c r="J779" s="177">
        <f>IFERROR(IF([2]对账明细接口!$J$779=0,"",[2]对账明细接口!$J$779),"")</f>
      </c>
      <c r="K779" s="177">
        <f>IFERROR(IF([2]对账明细接口!$K$779=0,"",[2]对账明细接口!$K$779),"")</f>
      </c>
      <c r="L779" s="16">
        <f>IFERROR(IF([2]对账明细接口!$L$779=0,"",[2]对账明细接口!$L$779),"")</f>
      </c>
      <c r="M779" s="16">
        <f>IFERROR(IF([2]对账明细接口!$M$779=0,"",[2]对账明细接口!$M$779),"")</f>
      </c>
      <c r="N779" s="19">
        <f>IF($C779="",0,1)</f>
        <v>0</v>
      </c>
      <c r="O779" s="19">
        <f>N(O778)+$N779</f>
        <v>272</v>
      </c>
      <c r="S779" s="20">
        <f>IFERROR(IF([2]对账明细接口!$N779=0,"",[2]对账明细接口!$N779),"")</f>
      </c>
      <c r="T779" s="212">
        <f>IFERROR(IF([2]对账明细接口!$O779=0,"",[2]对账明细接口!$O779),"")</f>
      </c>
      <c r="U779" s="212">
        <f>IFERROR(IF([2]对账明细接口!$P779=0,"",[2]对账明细接口!$P779),"")</f>
      </c>
      <c r="V779" s="212">
        <f>IFERROR(IF([2]对账明细接口!$Q779=0,"",[2]对账明细接口!$Q779),"")</f>
      </c>
      <c r="W779" s="20">
        <f>IFERROR(IF([2]对账明细接口!$R779=0,"",[2]对账明细接口!$R779),"")</f>
      </c>
      <c r="X779" s="20">
        <f>IFERROR(IF([2]对账明细接口!$S779=0,"",[2]对账明细接口!$S779),"")</f>
      </c>
      <c r="Y779" s="20">
        <f>""</f>
      </c>
      <c r="Z779" s="20">
        <f>""</f>
      </c>
      <c r="AA779" s="20">
        <f>""</f>
      </c>
      <c r="AB779" s="20">
        <f>""</f>
      </c>
    </row>
    <row r="780" s="127">
      <c r="A780" s="14" t="n">
        <v>780</v>
      </c>
      <c r="B780" s="211">
        <f>IFERROR(IF([2]对账明细接口!$B$780=0,"",[2]对账明细接口!$B$780),"")</f>
      </c>
      <c r="C780" s="16">
        <f>IFERROR(IF([2]对账明细接口!$C$780=0,"",[2]对账明细接口!$C$780),"")</f>
      </c>
      <c r="D780" s="16">
        <f>IFERROR(IF([2]对账明细接口!$D$780=0,"",[2]对账明细接口!$D$780),"")</f>
      </c>
      <c r="E780" s="16">
        <f>IFERROR(IF([2]对账明细接口!$E$780=0,"",[2]对账明细接口!$E$780),"")</f>
      </c>
      <c r="F780" s="16">
        <f>IFERROR(IF([2]对账明细接口!$F$780=0,"",[2]对账明细接口!$F$780),"")</f>
      </c>
      <c r="G780" s="16">
        <f>IFERROR(IF([2]对账明细接口!$G$780=0,"",[2]对账明细接口!$G$780),"")</f>
      </c>
      <c r="H780" s="176">
        <f>IFERROR(IF([2]对账明细接口!$H$780=0,"",[2]对账明细接口!$H$780),"")</f>
      </c>
      <c r="I780" s="16">
        <f>IFERROR(IF([2]对账明细接口!$I$780=0,"",[2]对账明细接口!$I$780),"")</f>
      </c>
      <c r="J780" s="177">
        <f>IFERROR(IF([2]对账明细接口!$J$780=0,"",[2]对账明细接口!$J$780),"")</f>
      </c>
      <c r="K780" s="177">
        <f>IFERROR(IF([2]对账明细接口!$K$780=0,"",[2]对账明细接口!$K$780),"")</f>
      </c>
      <c r="L780" s="16">
        <f>IFERROR(IF([2]对账明细接口!$L$780=0,"",[2]对账明细接口!$L$780),"")</f>
      </c>
      <c r="M780" s="16">
        <f>IFERROR(IF([2]对账明细接口!$M$780=0,"",[2]对账明细接口!$M$780),"")</f>
      </c>
      <c r="N780" s="19">
        <f>IF($C780="",0,1)</f>
        <v>0</v>
      </c>
      <c r="O780" s="19">
        <f>N(O779)+$N780</f>
        <v>272</v>
      </c>
      <c r="S780" s="20">
        <f>IFERROR(IF([2]对账明细接口!$N780=0,"",[2]对账明细接口!$N780),"")</f>
      </c>
      <c r="T780" s="212">
        <f>IFERROR(IF([2]对账明细接口!$O780=0,"",[2]对账明细接口!$O780),"")</f>
      </c>
      <c r="U780" s="212">
        <f>IFERROR(IF([2]对账明细接口!$P780=0,"",[2]对账明细接口!$P780),"")</f>
      </c>
      <c r="V780" s="212">
        <f>IFERROR(IF([2]对账明细接口!$Q780=0,"",[2]对账明细接口!$Q780),"")</f>
      </c>
      <c r="W780" s="20">
        <f>IFERROR(IF([2]对账明细接口!$R780=0,"",[2]对账明细接口!$R780),"")</f>
      </c>
      <c r="X780" s="20">
        <f>IFERROR(IF([2]对账明细接口!$S780=0,"",[2]对账明细接口!$S780),"")</f>
      </c>
      <c r="Y780" s="20">
        <f>""</f>
      </c>
      <c r="Z780" s="20">
        <f>""</f>
      </c>
      <c r="AA780" s="20">
        <f>""</f>
      </c>
      <c r="AB780" s="20">
        <f>""</f>
      </c>
    </row>
    <row r="781" s="127">
      <c r="A781" s="14" t="n">
        <v>781</v>
      </c>
      <c r="B781" s="211">
        <f>IFERROR(IF([2]对账明细接口!$B$781=0,"",[2]对账明细接口!$B$781),"")</f>
      </c>
      <c r="C781" s="16">
        <f>IFERROR(IF([2]对账明细接口!$C$781=0,"",[2]对账明细接口!$C$781),"")</f>
      </c>
      <c r="D781" s="16">
        <f>IFERROR(IF([2]对账明细接口!$D$781=0,"",[2]对账明细接口!$D$781),"")</f>
      </c>
      <c r="E781" s="16">
        <f>IFERROR(IF([2]对账明细接口!$E$781=0,"",[2]对账明细接口!$E$781),"")</f>
      </c>
      <c r="F781" s="16">
        <f>IFERROR(IF([2]对账明细接口!$F$781=0,"",[2]对账明细接口!$F$781),"")</f>
      </c>
      <c r="G781" s="16">
        <f>IFERROR(IF([2]对账明细接口!$G$781=0,"",[2]对账明细接口!$G$781),"")</f>
      </c>
      <c r="H781" s="176">
        <f>IFERROR(IF([2]对账明细接口!$H$781=0,"",[2]对账明细接口!$H$781),"")</f>
      </c>
      <c r="I781" s="16">
        <f>IFERROR(IF([2]对账明细接口!$I$781=0,"",[2]对账明细接口!$I$781),"")</f>
      </c>
      <c r="J781" s="177">
        <f>IFERROR(IF([2]对账明细接口!$J$781=0,"",[2]对账明细接口!$J$781),"")</f>
      </c>
      <c r="K781" s="177">
        <f>IFERROR(IF([2]对账明细接口!$K$781=0,"",[2]对账明细接口!$K$781),"")</f>
      </c>
      <c r="L781" s="16">
        <f>IFERROR(IF([2]对账明细接口!$L$781=0,"",[2]对账明细接口!$L$781),"")</f>
      </c>
      <c r="M781" s="16">
        <f>IFERROR(IF([2]对账明细接口!$M$781=0,"",[2]对账明细接口!$M$781),"")</f>
      </c>
      <c r="N781" s="19">
        <f>IF($C781="",0,1)</f>
        <v>0</v>
      </c>
      <c r="O781" s="19">
        <f>N(O780)+$N781</f>
        <v>272</v>
      </c>
      <c r="S781" s="20">
        <f>IFERROR(IF([2]对账明细接口!$N781=0,"",[2]对账明细接口!$N781),"")</f>
      </c>
      <c r="T781" s="212">
        <f>IFERROR(IF([2]对账明细接口!$O781=0,"",[2]对账明细接口!$O781),"")</f>
      </c>
      <c r="U781" s="212">
        <f>IFERROR(IF([2]对账明细接口!$P781=0,"",[2]对账明细接口!$P781),"")</f>
      </c>
      <c r="V781" s="212">
        <f>IFERROR(IF([2]对账明细接口!$Q781=0,"",[2]对账明细接口!$Q781),"")</f>
      </c>
      <c r="W781" s="20">
        <f>IFERROR(IF([2]对账明细接口!$R781=0,"",[2]对账明细接口!$R781),"")</f>
      </c>
      <c r="X781" s="20">
        <f>IFERROR(IF([2]对账明细接口!$S781=0,"",[2]对账明细接口!$S781),"")</f>
      </c>
      <c r="Y781" s="20">
        <f>""</f>
      </c>
      <c r="Z781" s="20">
        <f>""</f>
      </c>
      <c r="AA781" s="20">
        <f>""</f>
      </c>
      <c r="AB781" s="20">
        <f>""</f>
      </c>
    </row>
    <row r="782" s="127">
      <c r="A782" s="14" t="n">
        <v>782</v>
      </c>
      <c r="B782" s="211">
        <f>IFERROR(IF([2]对账明细接口!$B$782=0,"",[2]对账明细接口!$B$782),"")</f>
      </c>
      <c r="C782" s="16">
        <f>IFERROR(IF([2]对账明细接口!$C$782=0,"",[2]对账明细接口!$C$782),"")</f>
      </c>
      <c r="D782" s="16">
        <f>IFERROR(IF([2]对账明细接口!$D$782=0,"",[2]对账明细接口!$D$782),"")</f>
      </c>
      <c r="E782" s="16">
        <f>IFERROR(IF([2]对账明细接口!$E$782=0,"",[2]对账明细接口!$E$782),"")</f>
      </c>
      <c r="F782" s="16">
        <f>IFERROR(IF([2]对账明细接口!$F$782=0,"",[2]对账明细接口!$F$782),"")</f>
      </c>
      <c r="G782" s="16">
        <f>IFERROR(IF([2]对账明细接口!$G$782=0,"",[2]对账明细接口!$G$782),"")</f>
      </c>
      <c r="H782" s="176">
        <f>IFERROR(IF([2]对账明细接口!$H$782=0,"",[2]对账明细接口!$H$782),"")</f>
      </c>
      <c r="I782" s="16">
        <f>IFERROR(IF([2]对账明细接口!$I$782=0,"",[2]对账明细接口!$I$782),"")</f>
      </c>
      <c r="J782" s="177">
        <f>IFERROR(IF([2]对账明细接口!$J$782=0,"",[2]对账明细接口!$J$782),"")</f>
      </c>
      <c r="K782" s="177">
        <f>IFERROR(IF([2]对账明细接口!$K$782=0,"",[2]对账明细接口!$K$782),"")</f>
      </c>
      <c r="L782" s="16">
        <f>IFERROR(IF([2]对账明细接口!$L$782=0,"",[2]对账明细接口!$L$782),"")</f>
      </c>
      <c r="M782" s="16">
        <f>IFERROR(IF([2]对账明细接口!$M$782=0,"",[2]对账明细接口!$M$782),"")</f>
      </c>
      <c r="N782" s="19">
        <f>IF($C782="",0,1)</f>
        <v>0</v>
      </c>
      <c r="O782" s="19">
        <f>N(O781)+$N782</f>
        <v>272</v>
      </c>
      <c r="S782" s="20">
        <f>IFERROR(IF([2]对账明细接口!$N782=0,"",[2]对账明细接口!$N782),"")</f>
      </c>
      <c r="T782" s="212">
        <f>IFERROR(IF([2]对账明细接口!$O782=0,"",[2]对账明细接口!$O782),"")</f>
      </c>
      <c r="U782" s="212">
        <f>IFERROR(IF([2]对账明细接口!$P782=0,"",[2]对账明细接口!$P782),"")</f>
      </c>
      <c r="V782" s="212">
        <f>IFERROR(IF([2]对账明细接口!$Q782=0,"",[2]对账明细接口!$Q782),"")</f>
      </c>
      <c r="W782" s="20">
        <f>IFERROR(IF([2]对账明细接口!$R782=0,"",[2]对账明细接口!$R782),"")</f>
      </c>
      <c r="X782" s="20">
        <f>IFERROR(IF([2]对账明细接口!$S782=0,"",[2]对账明细接口!$S782),"")</f>
      </c>
      <c r="Y782" s="20">
        <f>""</f>
      </c>
      <c r="Z782" s="20">
        <f>""</f>
      </c>
      <c r="AA782" s="20">
        <f>""</f>
      </c>
      <c r="AB782" s="20">
        <f>""</f>
      </c>
    </row>
    <row r="783" s="127">
      <c r="A783" s="14" t="n">
        <v>783</v>
      </c>
      <c r="B783" s="211">
        <f>IFERROR(IF([2]对账明细接口!$B$783=0,"",[2]对账明细接口!$B$783),"")</f>
      </c>
      <c r="C783" s="16">
        <f>IFERROR(IF([2]对账明细接口!$C$783=0,"",[2]对账明细接口!$C$783),"")</f>
      </c>
      <c r="D783" s="16">
        <f>IFERROR(IF([2]对账明细接口!$D$783=0,"",[2]对账明细接口!$D$783),"")</f>
      </c>
      <c r="E783" s="16">
        <f>IFERROR(IF([2]对账明细接口!$E$783=0,"",[2]对账明细接口!$E$783),"")</f>
      </c>
      <c r="F783" s="16">
        <f>IFERROR(IF([2]对账明细接口!$F$783=0,"",[2]对账明细接口!$F$783),"")</f>
      </c>
      <c r="G783" s="16">
        <f>IFERROR(IF([2]对账明细接口!$G$783=0,"",[2]对账明细接口!$G$783),"")</f>
      </c>
      <c r="H783" s="176">
        <f>IFERROR(IF([2]对账明细接口!$H$783=0,"",[2]对账明细接口!$H$783),"")</f>
      </c>
      <c r="I783" s="16">
        <f>IFERROR(IF([2]对账明细接口!$I$783=0,"",[2]对账明细接口!$I$783),"")</f>
      </c>
      <c r="J783" s="177">
        <f>IFERROR(IF([2]对账明细接口!$J$783=0,"",[2]对账明细接口!$J$783),"")</f>
      </c>
      <c r="K783" s="177">
        <f>IFERROR(IF([2]对账明细接口!$K$783=0,"",[2]对账明细接口!$K$783),"")</f>
      </c>
      <c r="L783" s="16">
        <f>IFERROR(IF([2]对账明细接口!$L$783=0,"",[2]对账明细接口!$L$783),"")</f>
      </c>
      <c r="M783" s="16">
        <f>IFERROR(IF([2]对账明细接口!$M$783=0,"",[2]对账明细接口!$M$783),"")</f>
      </c>
      <c r="N783" s="19">
        <f>IF($C783="",0,1)</f>
        <v>0</v>
      </c>
      <c r="O783" s="19">
        <f>N(O782)+$N783</f>
        <v>272</v>
      </c>
      <c r="S783" s="20">
        <f>IFERROR(IF([2]对账明细接口!$N783=0,"",[2]对账明细接口!$N783),"")</f>
      </c>
      <c r="T783" s="212">
        <f>IFERROR(IF([2]对账明细接口!$O783=0,"",[2]对账明细接口!$O783),"")</f>
      </c>
      <c r="U783" s="212">
        <f>IFERROR(IF([2]对账明细接口!$P783=0,"",[2]对账明细接口!$P783),"")</f>
      </c>
      <c r="V783" s="212">
        <f>IFERROR(IF([2]对账明细接口!$Q783=0,"",[2]对账明细接口!$Q783),"")</f>
      </c>
      <c r="W783" s="20">
        <f>IFERROR(IF([2]对账明细接口!$R783=0,"",[2]对账明细接口!$R783),"")</f>
      </c>
      <c r="X783" s="20">
        <f>IFERROR(IF([2]对账明细接口!$S783=0,"",[2]对账明细接口!$S783),"")</f>
      </c>
      <c r="Y783" s="20">
        <f>""</f>
      </c>
      <c r="Z783" s="20">
        <f>""</f>
      </c>
      <c r="AA783" s="20">
        <f>""</f>
      </c>
      <c r="AB783" s="20">
        <f>""</f>
      </c>
    </row>
    <row r="784" s="127">
      <c r="A784" s="14" t="n">
        <v>784</v>
      </c>
      <c r="B784" s="211">
        <f>IFERROR(IF([2]对账明细接口!$B$784=0,"",[2]对账明细接口!$B$784),"")</f>
      </c>
      <c r="C784" s="16">
        <f>IFERROR(IF([2]对账明细接口!$C$784=0,"",[2]对账明细接口!$C$784),"")</f>
      </c>
      <c r="D784" s="16">
        <f>IFERROR(IF([2]对账明细接口!$D$784=0,"",[2]对账明细接口!$D$784),"")</f>
      </c>
      <c r="E784" s="16">
        <f>IFERROR(IF([2]对账明细接口!$E$784=0,"",[2]对账明细接口!$E$784),"")</f>
      </c>
      <c r="F784" s="16">
        <f>IFERROR(IF([2]对账明细接口!$F$784=0,"",[2]对账明细接口!$F$784),"")</f>
      </c>
      <c r="G784" s="16">
        <f>IFERROR(IF([2]对账明细接口!$G$784=0,"",[2]对账明细接口!$G$784),"")</f>
      </c>
      <c r="H784" s="176">
        <f>IFERROR(IF([2]对账明细接口!$H$784=0,"",[2]对账明细接口!$H$784),"")</f>
      </c>
      <c r="I784" s="16">
        <f>IFERROR(IF([2]对账明细接口!$I$784=0,"",[2]对账明细接口!$I$784),"")</f>
      </c>
      <c r="J784" s="177">
        <f>IFERROR(IF([2]对账明细接口!$J$784=0,"",[2]对账明细接口!$J$784),"")</f>
      </c>
      <c r="K784" s="177">
        <f>IFERROR(IF([2]对账明细接口!$K$784=0,"",[2]对账明细接口!$K$784),"")</f>
      </c>
      <c r="L784" s="16">
        <f>IFERROR(IF([2]对账明细接口!$L$784=0,"",[2]对账明细接口!$L$784),"")</f>
      </c>
      <c r="M784" s="16">
        <f>IFERROR(IF([2]对账明细接口!$M$784=0,"",[2]对账明细接口!$M$784),"")</f>
      </c>
      <c r="N784" s="19">
        <f>IF($C784="",0,1)</f>
        <v>0</v>
      </c>
      <c r="O784" s="19">
        <f>N(O783)+$N784</f>
        <v>272</v>
      </c>
      <c r="S784" s="20">
        <f>IFERROR(IF([2]对账明细接口!$N784=0,"",[2]对账明细接口!$N784),"")</f>
      </c>
      <c r="T784" s="212">
        <f>IFERROR(IF([2]对账明细接口!$O784=0,"",[2]对账明细接口!$O784),"")</f>
      </c>
      <c r="U784" s="212">
        <f>IFERROR(IF([2]对账明细接口!$P784=0,"",[2]对账明细接口!$P784),"")</f>
      </c>
      <c r="V784" s="212">
        <f>IFERROR(IF([2]对账明细接口!$Q784=0,"",[2]对账明细接口!$Q784),"")</f>
      </c>
      <c r="W784" s="20">
        <f>IFERROR(IF([2]对账明细接口!$R784=0,"",[2]对账明细接口!$R784),"")</f>
      </c>
      <c r="X784" s="20">
        <f>IFERROR(IF([2]对账明细接口!$S784=0,"",[2]对账明细接口!$S784),"")</f>
      </c>
      <c r="Y784" s="20">
        <f>""</f>
      </c>
      <c r="Z784" s="20">
        <f>""</f>
      </c>
      <c r="AA784" s="20">
        <f>""</f>
      </c>
      <c r="AB784" s="20">
        <f>""</f>
      </c>
    </row>
    <row r="785" s="127">
      <c r="A785" s="14" t="n">
        <v>785</v>
      </c>
      <c r="B785" s="211">
        <f>IFERROR(IF([2]对账明细接口!$B$785=0,"",[2]对账明细接口!$B$785),"")</f>
      </c>
      <c r="C785" s="16">
        <f>IFERROR(IF([2]对账明细接口!$C$785=0,"",[2]对账明细接口!$C$785),"")</f>
      </c>
      <c r="D785" s="16">
        <f>IFERROR(IF([2]对账明细接口!$D$785=0,"",[2]对账明细接口!$D$785),"")</f>
      </c>
      <c r="E785" s="16">
        <f>IFERROR(IF([2]对账明细接口!$E$785=0,"",[2]对账明细接口!$E$785),"")</f>
      </c>
      <c r="F785" s="16">
        <f>IFERROR(IF([2]对账明细接口!$F$785=0,"",[2]对账明细接口!$F$785),"")</f>
      </c>
      <c r="G785" s="16">
        <f>IFERROR(IF([2]对账明细接口!$G$785=0,"",[2]对账明细接口!$G$785),"")</f>
      </c>
      <c r="H785" s="176">
        <f>IFERROR(IF([2]对账明细接口!$H$785=0,"",[2]对账明细接口!$H$785),"")</f>
      </c>
      <c r="I785" s="16">
        <f>IFERROR(IF([2]对账明细接口!$I$785=0,"",[2]对账明细接口!$I$785),"")</f>
      </c>
      <c r="J785" s="177">
        <f>IFERROR(IF([2]对账明细接口!$J$785=0,"",[2]对账明细接口!$J$785),"")</f>
      </c>
      <c r="K785" s="177">
        <f>IFERROR(IF([2]对账明细接口!$K$785=0,"",[2]对账明细接口!$K$785),"")</f>
      </c>
      <c r="L785" s="16">
        <f>IFERROR(IF([2]对账明细接口!$L$785=0,"",[2]对账明细接口!$L$785),"")</f>
      </c>
      <c r="M785" s="16">
        <f>IFERROR(IF([2]对账明细接口!$M$785=0,"",[2]对账明细接口!$M$785),"")</f>
      </c>
      <c r="N785" s="19">
        <f>IF($C785="",0,1)</f>
        <v>0</v>
      </c>
      <c r="O785" s="19">
        <f>N(O784)+$N785</f>
        <v>272</v>
      </c>
      <c r="S785" s="20">
        <f>IFERROR(IF([2]对账明细接口!$N785=0,"",[2]对账明细接口!$N785),"")</f>
      </c>
      <c r="T785" s="212">
        <f>IFERROR(IF([2]对账明细接口!$O785=0,"",[2]对账明细接口!$O785),"")</f>
      </c>
      <c r="U785" s="212">
        <f>IFERROR(IF([2]对账明细接口!$P785=0,"",[2]对账明细接口!$P785),"")</f>
      </c>
      <c r="V785" s="212">
        <f>IFERROR(IF([2]对账明细接口!$Q785=0,"",[2]对账明细接口!$Q785),"")</f>
      </c>
      <c r="W785" s="20">
        <f>IFERROR(IF([2]对账明细接口!$R785=0,"",[2]对账明细接口!$R785),"")</f>
      </c>
      <c r="X785" s="20">
        <f>IFERROR(IF([2]对账明细接口!$S785=0,"",[2]对账明细接口!$S785),"")</f>
      </c>
      <c r="Y785" s="20">
        <f>""</f>
      </c>
      <c r="Z785" s="20">
        <f>""</f>
      </c>
      <c r="AA785" s="20">
        <f>""</f>
      </c>
      <c r="AB785" s="20">
        <f>""</f>
      </c>
    </row>
    <row r="786" s="127">
      <c r="A786" s="14" t="n">
        <v>786</v>
      </c>
      <c r="B786" s="211">
        <f>IFERROR(IF([2]对账明细接口!$B$786=0,"",[2]对账明细接口!$B$786),"")</f>
      </c>
      <c r="C786" s="16">
        <f>IFERROR(IF([2]对账明细接口!$C$786=0,"",[2]对账明细接口!$C$786),"")</f>
      </c>
      <c r="D786" s="16">
        <f>IFERROR(IF([2]对账明细接口!$D$786=0,"",[2]对账明细接口!$D$786),"")</f>
      </c>
      <c r="E786" s="16">
        <f>IFERROR(IF([2]对账明细接口!$E$786=0,"",[2]对账明细接口!$E$786),"")</f>
      </c>
      <c r="F786" s="16">
        <f>IFERROR(IF([2]对账明细接口!$F$786=0,"",[2]对账明细接口!$F$786),"")</f>
      </c>
      <c r="G786" s="16">
        <f>IFERROR(IF([2]对账明细接口!$G$786=0,"",[2]对账明细接口!$G$786),"")</f>
      </c>
      <c r="H786" s="176">
        <f>IFERROR(IF([2]对账明细接口!$H$786=0,"",[2]对账明细接口!$H$786),"")</f>
      </c>
      <c r="I786" s="16">
        <f>IFERROR(IF([2]对账明细接口!$I$786=0,"",[2]对账明细接口!$I$786),"")</f>
      </c>
      <c r="J786" s="177">
        <f>IFERROR(IF([2]对账明细接口!$J$786=0,"",[2]对账明细接口!$J$786),"")</f>
      </c>
      <c r="K786" s="177">
        <f>IFERROR(IF([2]对账明细接口!$K$786=0,"",[2]对账明细接口!$K$786),"")</f>
      </c>
      <c r="L786" s="16">
        <f>IFERROR(IF([2]对账明细接口!$L$786=0,"",[2]对账明细接口!$L$786),"")</f>
      </c>
      <c r="M786" s="16">
        <f>IFERROR(IF([2]对账明细接口!$M$786=0,"",[2]对账明细接口!$M$786),"")</f>
      </c>
      <c r="N786" s="19">
        <f>IF($C786="",0,1)</f>
        <v>0</v>
      </c>
      <c r="O786" s="19">
        <f>N(O785)+$N786</f>
        <v>272</v>
      </c>
      <c r="S786" s="20">
        <f>IFERROR(IF([2]对账明细接口!$N786=0,"",[2]对账明细接口!$N786),"")</f>
      </c>
      <c r="T786" s="212">
        <f>IFERROR(IF([2]对账明细接口!$O786=0,"",[2]对账明细接口!$O786),"")</f>
      </c>
      <c r="U786" s="212">
        <f>IFERROR(IF([2]对账明细接口!$P786=0,"",[2]对账明细接口!$P786),"")</f>
      </c>
      <c r="V786" s="212">
        <f>IFERROR(IF([2]对账明细接口!$Q786=0,"",[2]对账明细接口!$Q786),"")</f>
      </c>
      <c r="W786" s="20">
        <f>IFERROR(IF([2]对账明细接口!$R786=0,"",[2]对账明细接口!$R786),"")</f>
      </c>
      <c r="X786" s="20">
        <f>IFERROR(IF([2]对账明细接口!$S786=0,"",[2]对账明细接口!$S786),"")</f>
      </c>
      <c r="Y786" s="20">
        <f>""</f>
      </c>
      <c r="Z786" s="20">
        <f>""</f>
      </c>
      <c r="AA786" s="20">
        <f>""</f>
      </c>
      <c r="AB786" s="20">
        <f>""</f>
      </c>
    </row>
    <row r="787" s="127">
      <c r="A787" s="14" t="n">
        <v>787</v>
      </c>
      <c r="B787" s="211">
        <f>IFERROR(IF([2]对账明细接口!$B$787=0,"",[2]对账明细接口!$B$787),"")</f>
      </c>
      <c r="C787" s="16">
        <f>IFERROR(IF([2]对账明细接口!$C$787=0,"",[2]对账明细接口!$C$787),"")</f>
      </c>
      <c r="D787" s="16">
        <f>IFERROR(IF([2]对账明细接口!$D$787=0,"",[2]对账明细接口!$D$787),"")</f>
      </c>
      <c r="E787" s="16">
        <f>IFERROR(IF([2]对账明细接口!$E$787=0,"",[2]对账明细接口!$E$787),"")</f>
      </c>
      <c r="F787" s="16">
        <f>IFERROR(IF([2]对账明细接口!$F$787=0,"",[2]对账明细接口!$F$787),"")</f>
      </c>
      <c r="G787" s="16">
        <f>IFERROR(IF([2]对账明细接口!$G$787=0,"",[2]对账明细接口!$G$787),"")</f>
      </c>
      <c r="H787" s="176">
        <f>IFERROR(IF([2]对账明细接口!$H$787=0,"",[2]对账明细接口!$H$787),"")</f>
      </c>
      <c r="I787" s="16">
        <f>IFERROR(IF([2]对账明细接口!$I$787=0,"",[2]对账明细接口!$I$787),"")</f>
      </c>
      <c r="J787" s="177">
        <f>IFERROR(IF([2]对账明细接口!$J$787=0,"",[2]对账明细接口!$J$787),"")</f>
      </c>
      <c r="K787" s="177">
        <f>IFERROR(IF([2]对账明细接口!$K$787=0,"",[2]对账明细接口!$K$787),"")</f>
      </c>
      <c r="L787" s="16">
        <f>IFERROR(IF([2]对账明细接口!$L$787=0,"",[2]对账明细接口!$L$787),"")</f>
      </c>
      <c r="M787" s="16">
        <f>IFERROR(IF([2]对账明细接口!$M$787=0,"",[2]对账明细接口!$M$787),"")</f>
      </c>
      <c r="N787" s="19">
        <f>IF($C787="",0,1)</f>
        <v>0</v>
      </c>
      <c r="O787" s="19">
        <f>N(O786)+$N787</f>
        <v>272</v>
      </c>
      <c r="S787" s="20">
        <f>IFERROR(IF([2]对账明细接口!$N787=0,"",[2]对账明细接口!$N787),"")</f>
      </c>
      <c r="T787" s="212">
        <f>IFERROR(IF([2]对账明细接口!$O787=0,"",[2]对账明细接口!$O787),"")</f>
      </c>
      <c r="U787" s="212">
        <f>IFERROR(IF([2]对账明细接口!$P787=0,"",[2]对账明细接口!$P787),"")</f>
      </c>
      <c r="V787" s="212">
        <f>IFERROR(IF([2]对账明细接口!$Q787=0,"",[2]对账明细接口!$Q787),"")</f>
      </c>
      <c r="W787" s="20">
        <f>IFERROR(IF([2]对账明细接口!$R787=0,"",[2]对账明细接口!$R787),"")</f>
      </c>
      <c r="X787" s="20">
        <f>IFERROR(IF([2]对账明细接口!$S787=0,"",[2]对账明细接口!$S787),"")</f>
      </c>
      <c r="Y787" s="20">
        <f>""</f>
      </c>
      <c r="Z787" s="20">
        <f>""</f>
      </c>
      <c r="AA787" s="20">
        <f>""</f>
      </c>
      <c r="AB787" s="20">
        <f>""</f>
      </c>
    </row>
    <row r="788" s="127">
      <c r="A788" s="14" t="n">
        <v>788</v>
      </c>
      <c r="B788" s="211">
        <f>IFERROR(IF([2]对账明细接口!$B$788=0,"",[2]对账明细接口!$B$788),"")</f>
      </c>
      <c r="C788" s="16">
        <f>IFERROR(IF([2]对账明细接口!$C$788=0,"",[2]对账明细接口!$C$788),"")</f>
      </c>
      <c r="D788" s="16">
        <f>IFERROR(IF([2]对账明细接口!$D$788=0,"",[2]对账明细接口!$D$788),"")</f>
      </c>
      <c r="E788" s="16">
        <f>IFERROR(IF([2]对账明细接口!$E$788=0,"",[2]对账明细接口!$E$788),"")</f>
      </c>
      <c r="F788" s="16">
        <f>IFERROR(IF([2]对账明细接口!$F$788=0,"",[2]对账明细接口!$F$788),"")</f>
      </c>
      <c r="G788" s="16">
        <f>IFERROR(IF([2]对账明细接口!$G$788=0,"",[2]对账明细接口!$G$788),"")</f>
      </c>
      <c r="H788" s="176">
        <f>IFERROR(IF([2]对账明细接口!$H$788=0,"",[2]对账明细接口!$H$788),"")</f>
      </c>
      <c r="I788" s="16">
        <f>IFERROR(IF([2]对账明细接口!$I$788=0,"",[2]对账明细接口!$I$788),"")</f>
      </c>
      <c r="J788" s="177">
        <f>IFERROR(IF([2]对账明细接口!$J$788=0,"",[2]对账明细接口!$J$788),"")</f>
      </c>
      <c r="K788" s="177">
        <f>IFERROR(IF([2]对账明细接口!$K$788=0,"",[2]对账明细接口!$K$788),"")</f>
      </c>
      <c r="L788" s="16">
        <f>IFERROR(IF([2]对账明细接口!$L$788=0,"",[2]对账明细接口!$L$788),"")</f>
      </c>
      <c r="M788" s="16">
        <f>IFERROR(IF([2]对账明细接口!$M$788=0,"",[2]对账明细接口!$M$788),"")</f>
      </c>
      <c r="N788" s="19">
        <f>IF($C788="",0,1)</f>
        <v>0</v>
      </c>
      <c r="O788" s="19">
        <f>N(O787)+$N788</f>
        <v>272</v>
      </c>
      <c r="S788" s="20">
        <f>IFERROR(IF([2]对账明细接口!$N788=0,"",[2]对账明细接口!$N788),"")</f>
      </c>
      <c r="T788" s="212">
        <f>IFERROR(IF([2]对账明细接口!$O788=0,"",[2]对账明细接口!$O788),"")</f>
      </c>
      <c r="U788" s="212">
        <f>IFERROR(IF([2]对账明细接口!$P788=0,"",[2]对账明细接口!$P788),"")</f>
      </c>
      <c r="V788" s="212">
        <f>IFERROR(IF([2]对账明细接口!$Q788=0,"",[2]对账明细接口!$Q788),"")</f>
      </c>
      <c r="W788" s="20">
        <f>IFERROR(IF([2]对账明细接口!$R788=0,"",[2]对账明细接口!$R788),"")</f>
      </c>
      <c r="X788" s="20">
        <f>IFERROR(IF([2]对账明细接口!$S788=0,"",[2]对账明细接口!$S788),"")</f>
      </c>
      <c r="Y788" s="20">
        <f>""</f>
      </c>
      <c r="Z788" s="20">
        <f>""</f>
      </c>
      <c r="AA788" s="20">
        <f>""</f>
      </c>
      <c r="AB788" s="20">
        <f>""</f>
      </c>
    </row>
    <row r="789" s="127">
      <c r="A789" s="14" t="n">
        <v>789</v>
      </c>
      <c r="B789" s="211">
        <f>IFERROR(IF([2]对账明细接口!$B$789=0,"",[2]对账明细接口!$B$789),"")</f>
      </c>
      <c r="C789" s="16">
        <f>IFERROR(IF([2]对账明细接口!$C$789=0,"",[2]对账明细接口!$C$789),"")</f>
      </c>
      <c r="D789" s="16">
        <f>IFERROR(IF([2]对账明细接口!$D$789=0,"",[2]对账明细接口!$D$789),"")</f>
      </c>
      <c r="E789" s="16">
        <f>IFERROR(IF([2]对账明细接口!$E$789=0,"",[2]对账明细接口!$E$789),"")</f>
      </c>
      <c r="F789" s="16">
        <f>IFERROR(IF([2]对账明细接口!$F$789=0,"",[2]对账明细接口!$F$789),"")</f>
      </c>
      <c r="G789" s="16">
        <f>IFERROR(IF([2]对账明细接口!$G$789=0,"",[2]对账明细接口!$G$789),"")</f>
      </c>
      <c r="H789" s="176">
        <f>IFERROR(IF([2]对账明细接口!$H$789=0,"",[2]对账明细接口!$H$789),"")</f>
      </c>
      <c r="I789" s="16">
        <f>IFERROR(IF([2]对账明细接口!$I$789=0,"",[2]对账明细接口!$I$789),"")</f>
      </c>
      <c r="J789" s="177">
        <f>IFERROR(IF([2]对账明细接口!$J$789=0,"",[2]对账明细接口!$J$789),"")</f>
      </c>
      <c r="K789" s="177">
        <f>IFERROR(IF([2]对账明细接口!$K$789=0,"",[2]对账明细接口!$K$789),"")</f>
      </c>
      <c r="L789" s="16">
        <f>IFERROR(IF([2]对账明细接口!$L$789=0,"",[2]对账明细接口!$L$789),"")</f>
      </c>
      <c r="M789" s="16">
        <f>IFERROR(IF([2]对账明细接口!$M$789=0,"",[2]对账明细接口!$M$789),"")</f>
      </c>
      <c r="N789" s="19">
        <f>IF($C789="",0,1)</f>
        <v>0</v>
      </c>
      <c r="O789" s="19">
        <f>N(O788)+$N789</f>
        <v>272</v>
      </c>
      <c r="S789" s="20">
        <f>IFERROR(IF([2]对账明细接口!$N789=0,"",[2]对账明细接口!$N789),"")</f>
      </c>
      <c r="T789" s="212">
        <f>IFERROR(IF([2]对账明细接口!$O789=0,"",[2]对账明细接口!$O789),"")</f>
      </c>
      <c r="U789" s="212">
        <f>IFERROR(IF([2]对账明细接口!$P789=0,"",[2]对账明细接口!$P789),"")</f>
      </c>
      <c r="V789" s="212">
        <f>IFERROR(IF([2]对账明细接口!$Q789=0,"",[2]对账明细接口!$Q789),"")</f>
      </c>
      <c r="W789" s="20">
        <f>IFERROR(IF([2]对账明细接口!$R789=0,"",[2]对账明细接口!$R789),"")</f>
      </c>
      <c r="X789" s="20">
        <f>IFERROR(IF([2]对账明细接口!$S789=0,"",[2]对账明细接口!$S789),"")</f>
      </c>
      <c r="Y789" s="20">
        <f>""</f>
      </c>
      <c r="Z789" s="20">
        <f>""</f>
      </c>
      <c r="AA789" s="20">
        <f>""</f>
      </c>
      <c r="AB789" s="20">
        <f>""</f>
      </c>
    </row>
    <row r="790" s="127">
      <c r="A790" s="14" t="n">
        <v>790</v>
      </c>
      <c r="B790" s="211">
        <f>IFERROR(IF([2]对账明细接口!$B$790=0,"",[2]对账明细接口!$B$790),"")</f>
      </c>
      <c r="C790" s="16">
        <f>IFERROR(IF([2]对账明细接口!$C$790=0,"",[2]对账明细接口!$C$790),"")</f>
      </c>
      <c r="D790" s="16">
        <f>IFERROR(IF([2]对账明细接口!$D$790=0,"",[2]对账明细接口!$D$790),"")</f>
      </c>
      <c r="E790" s="16">
        <f>IFERROR(IF([2]对账明细接口!$E$790=0,"",[2]对账明细接口!$E$790),"")</f>
      </c>
      <c r="F790" s="16">
        <f>IFERROR(IF([2]对账明细接口!$F$790=0,"",[2]对账明细接口!$F$790),"")</f>
      </c>
      <c r="G790" s="16">
        <f>IFERROR(IF([2]对账明细接口!$G$790=0,"",[2]对账明细接口!$G$790),"")</f>
      </c>
      <c r="H790" s="176">
        <f>IFERROR(IF([2]对账明细接口!$H$790=0,"",[2]对账明细接口!$H$790),"")</f>
      </c>
      <c r="I790" s="16">
        <f>IFERROR(IF([2]对账明细接口!$I$790=0,"",[2]对账明细接口!$I$790),"")</f>
      </c>
      <c r="J790" s="177">
        <f>IFERROR(IF([2]对账明细接口!$J$790=0,"",[2]对账明细接口!$J$790),"")</f>
      </c>
      <c r="K790" s="177">
        <f>IFERROR(IF([2]对账明细接口!$K$790=0,"",[2]对账明细接口!$K$790),"")</f>
      </c>
      <c r="L790" s="16">
        <f>IFERROR(IF([2]对账明细接口!$L$790=0,"",[2]对账明细接口!$L$790),"")</f>
      </c>
      <c r="M790" s="16">
        <f>IFERROR(IF([2]对账明细接口!$M$790=0,"",[2]对账明细接口!$M$790),"")</f>
      </c>
      <c r="N790" s="19">
        <f>IF($C790="",0,1)</f>
        <v>0</v>
      </c>
      <c r="O790" s="19">
        <f>N(O789)+$N790</f>
        <v>272</v>
      </c>
      <c r="S790" s="20">
        <f>IFERROR(IF([2]对账明细接口!$N790=0,"",[2]对账明细接口!$N790),"")</f>
      </c>
      <c r="T790" s="212">
        <f>IFERROR(IF([2]对账明细接口!$O790=0,"",[2]对账明细接口!$O790),"")</f>
      </c>
      <c r="U790" s="212">
        <f>IFERROR(IF([2]对账明细接口!$P790=0,"",[2]对账明细接口!$P790),"")</f>
      </c>
      <c r="V790" s="212">
        <f>IFERROR(IF([2]对账明细接口!$Q790=0,"",[2]对账明细接口!$Q790),"")</f>
      </c>
      <c r="W790" s="20">
        <f>IFERROR(IF([2]对账明细接口!$R790=0,"",[2]对账明细接口!$R790),"")</f>
      </c>
      <c r="X790" s="20">
        <f>IFERROR(IF([2]对账明细接口!$S790=0,"",[2]对账明细接口!$S790),"")</f>
      </c>
      <c r="Y790" s="20">
        <f>""</f>
      </c>
      <c r="Z790" s="20">
        <f>""</f>
      </c>
      <c r="AA790" s="20">
        <f>""</f>
      </c>
      <c r="AB790" s="20">
        <f>""</f>
      </c>
    </row>
    <row r="791" s="127">
      <c r="A791" s="14" t="n">
        <v>791</v>
      </c>
      <c r="B791" s="211">
        <f>IFERROR(IF([2]对账明细接口!$B$791=0,"",[2]对账明细接口!$B$791),"")</f>
      </c>
      <c r="C791" s="16">
        <f>IFERROR(IF([2]对账明细接口!$C$791=0,"",[2]对账明细接口!$C$791),"")</f>
      </c>
      <c r="D791" s="16">
        <f>IFERROR(IF([2]对账明细接口!$D$791=0,"",[2]对账明细接口!$D$791),"")</f>
      </c>
      <c r="E791" s="16">
        <f>IFERROR(IF([2]对账明细接口!$E$791=0,"",[2]对账明细接口!$E$791),"")</f>
      </c>
      <c r="F791" s="16">
        <f>IFERROR(IF([2]对账明细接口!$F$791=0,"",[2]对账明细接口!$F$791),"")</f>
      </c>
      <c r="G791" s="16">
        <f>IFERROR(IF([2]对账明细接口!$G$791=0,"",[2]对账明细接口!$G$791),"")</f>
      </c>
      <c r="H791" s="176">
        <f>IFERROR(IF([2]对账明细接口!$H$791=0,"",[2]对账明细接口!$H$791),"")</f>
      </c>
      <c r="I791" s="16">
        <f>IFERROR(IF([2]对账明细接口!$I$791=0,"",[2]对账明细接口!$I$791),"")</f>
      </c>
      <c r="J791" s="177">
        <f>IFERROR(IF([2]对账明细接口!$J$791=0,"",[2]对账明细接口!$J$791),"")</f>
      </c>
      <c r="K791" s="177">
        <f>IFERROR(IF([2]对账明细接口!$K$791=0,"",[2]对账明细接口!$K$791),"")</f>
      </c>
      <c r="L791" s="16">
        <f>IFERROR(IF([2]对账明细接口!$L$791=0,"",[2]对账明细接口!$L$791),"")</f>
      </c>
      <c r="M791" s="16">
        <f>IFERROR(IF([2]对账明细接口!$M$791=0,"",[2]对账明细接口!$M$791),"")</f>
      </c>
      <c r="N791" s="19">
        <f>IF($C791="",0,1)</f>
        <v>0</v>
      </c>
      <c r="O791" s="19">
        <f>N(O790)+$N791</f>
        <v>272</v>
      </c>
      <c r="S791" s="20">
        <f>IFERROR(IF([2]对账明细接口!$N791=0,"",[2]对账明细接口!$N791),"")</f>
      </c>
      <c r="T791" s="212">
        <f>IFERROR(IF([2]对账明细接口!$O791=0,"",[2]对账明细接口!$O791),"")</f>
      </c>
      <c r="U791" s="212">
        <f>IFERROR(IF([2]对账明细接口!$P791=0,"",[2]对账明细接口!$P791),"")</f>
      </c>
      <c r="V791" s="212">
        <f>IFERROR(IF([2]对账明细接口!$Q791=0,"",[2]对账明细接口!$Q791),"")</f>
      </c>
      <c r="W791" s="20">
        <f>IFERROR(IF([2]对账明细接口!$R791=0,"",[2]对账明细接口!$R791),"")</f>
      </c>
      <c r="X791" s="20">
        <f>IFERROR(IF([2]对账明细接口!$S791=0,"",[2]对账明细接口!$S791),"")</f>
      </c>
      <c r="Y791" s="20">
        <f>""</f>
      </c>
      <c r="Z791" s="20">
        <f>""</f>
      </c>
      <c r="AA791" s="20">
        <f>""</f>
      </c>
      <c r="AB791" s="20">
        <f>""</f>
      </c>
    </row>
    <row r="792" s="127">
      <c r="A792" s="14" t="n">
        <v>792</v>
      </c>
      <c r="B792" s="211">
        <f>IFERROR(IF([2]对账明细接口!$B$792=0,"",[2]对账明细接口!$B$792),"")</f>
      </c>
      <c r="C792" s="16">
        <f>IFERROR(IF([2]对账明细接口!$C$792=0,"",[2]对账明细接口!$C$792),"")</f>
      </c>
      <c r="D792" s="16">
        <f>IFERROR(IF([2]对账明细接口!$D$792=0,"",[2]对账明细接口!$D$792),"")</f>
      </c>
      <c r="E792" s="16">
        <f>IFERROR(IF([2]对账明细接口!$E$792=0,"",[2]对账明细接口!$E$792),"")</f>
      </c>
      <c r="F792" s="16">
        <f>IFERROR(IF([2]对账明细接口!$F$792=0,"",[2]对账明细接口!$F$792),"")</f>
      </c>
      <c r="G792" s="16">
        <f>IFERROR(IF([2]对账明细接口!$G$792=0,"",[2]对账明细接口!$G$792),"")</f>
      </c>
      <c r="H792" s="176">
        <f>IFERROR(IF([2]对账明细接口!$H$792=0,"",[2]对账明细接口!$H$792),"")</f>
      </c>
      <c r="I792" s="16">
        <f>IFERROR(IF([2]对账明细接口!$I$792=0,"",[2]对账明细接口!$I$792),"")</f>
      </c>
      <c r="J792" s="177">
        <f>IFERROR(IF([2]对账明细接口!$J$792=0,"",[2]对账明细接口!$J$792),"")</f>
      </c>
      <c r="K792" s="177">
        <f>IFERROR(IF([2]对账明细接口!$K$792=0,"",[2]对账明细接口!$K$792),"")</f>
      </c>
      <c r="L792" s="16">
        <f>IFERROR(IF([2]对账明细接口!$L$792=0,"",[2]对账明细接口!$L$792),"")</f>
      </c>
      <c r="M792" s="16">
        <f>IFERROR(IF([2]对账明细接口!$M$792=0,"",[2]对账明细接口!$M$792),"")</f>
      </c>
      <c r="N792" s="19">
        <f>IF($C792="",0,1)</f>
        <v>0</v>
      </c>
      <c r="O792" s="19">
        <f>N(O791)+$N792</f>
        <v>272</v>
      </c>
      <c r="S792" s="20">
        <f>IFERROR(IF([2]对账明细接口!$N792=0,"",[2]对账明细接口!$N792),"")</f>
      </c>
      <c r="T792" s="212">
        <f>IFERROR(IF([2]对账明细接口!$O792=0,"",[2]对账明细接口!$O792),"")</f>
      </c>
      <c r="U792" s="212">
        <f>IFERROR(IF([2]对账明细接口!$P792=0,"",[2]对账明细接口!$P792),"")</f>
      </c>
      <c r="V792" s="212">
        <f>IFERROR(IF([2]对账明细接口!$Q792=0,"",[2]对账明细接口!$Q792),"")</f>
      </c>
      <c r="W792" s="20">
        <f>IFERROR(IF([2]对账明细接口!$R792=0,"",[2]对账明细接口!$R792),"")</f>
      </c>
      <c r="X792" s="20">
        <f>IFERROR(IF([2]对账明细接口!$S792=0,"",[2]对账明细接口!$S792),"")</f>
      </c>
      <c r="Y792" s="20">
        <f>""</f>
      </c>
      <c r="Z792" s="20">
        <f>""</f>
      </c>
      <c r="AA792" s="20">
        <f>""</f>
      </c>
      <c r="AB792" s="20">
        <f>""</f>
      </c>
    </row>
    <row r="793" s="127">
      <c r="A793" s="14" t="n">
        <v>793</v>
      </c>
      <c r="B793" s="211">
        <f>IFERROR(IF([2]对账明细接口!$B$793=0,"",[2]对账明细接口!$B$793),"")</f>
      </c>
      <c r="C793" s="16">
        <f>IFERROR(IF([2]对账明细接口!$C$793=0,"",[2]对账明细接口!$C$793),"")</f>
      </c>
      <c r="D793" s="16">
        <f>IFERROR(IF([2]对账明细接口!$D$793=0,"",[2]对账明细接口!$D$793),"")</f>
      </c>
      <c r="E793" s="16">
        <f>IFERROR(IF([2]对账明细接口!$E$793=0,"",[2]对账明细接口!$E$793),"")</f>
      </c>
      <c r="F793" s="16">
        <f>IFERROR(IF([2]对账明细接口!$F$793=0,"",[2]对账明细接口!$F$793),"")</f>
      </c>
      <c r="G793" s="16">
        <f>IFERROR(IF([2]对账明细接口!$G$793=0,"",[2]对账明细接口!$G$793),"")</f>
      </c>
      <c r="H793" s="176">
        <f>IFERROR(IF([2]对账明细接口!$H$793=0,"",[2]对账明细接口!$H$793),"")</f>
      </c>
      <c r="I793" s="16">
        <f>IFERROR(IF([2]对账明细接口!$I$793=0,"",[2]对账明细接口!$I$793),"")</f>
      </c>
      <c r="J793" s="177">
        <f>IFERROR(IF([2]对账明细接口!$J$793=0,"",[2]对账明细接口!$J$793),"")</f>
      </c>
      <c r="K793" s="177">
        <f>IFERROR(IF([2]对账明细接口!$K$793=0,"",[2]对账明细接口!$K$793),"")</f>
      </c>
      <c r="L793" s="16">
        <f>IFERROR(IF([2]对账明细接口!$L$793=0,"",[2]对账明细接口!$L$793),"")</f>
      </c>
      <c r="M793" s="16">
        <f>IFERROR(IF([2]对账明细接口!$M$793=0,"",[2]对账明细接口!$M$793),"")</f>
      </c>
      <c r="N793" s="19">
        <f>IF($C793="",0,1)</f>
        <v>0</v>
      </c>
      <c r="O793" s="19">
        <f>N(O792)+$N793</f>
        <v>272</v>
      </c>
      <c r="S793" s="20">
        <f>IFERROR(IF([2]对账明细接口!$N793=0,"",[2]对账明细接口!$N793),"")</f>
      </c>
      <c r="T793" s="212">
        <f>IFERROR(IF([2]对账明细接口!$O793=0,"",[2]对账明细接口!$O793),"")</f>
      </c>
      <c r="U793" s="212">
        <f>IFERROR(IF([2]对账明细接口!$P793=0,"",[2]对账明细接口!$P793),"")</f>
      </c>
      <c r="V793" s="212">
        <f>IFERROR(IF([2]对账明细接口!$Q793=0,"",[2]对账明细接口!$Q793),"")</f>
      </c>
      <c r="W793" s="20">
        <f>IFERROR(IF([2]对账明细接口!$R793=0,"",[2]对账明细接口!$R793),"")</f>
      </c>
      <c r="X793" s="20">
        <f>IFERROR(IF([2]对账明细接口!$S793=0,"",[2]对账明细接口!$S793),"")</f>
      </c>
      <c r="Y793" s="20">
        <f>""</f>
      </c>
      <c r="Z793" s="20">
        <f>""</f>
      </c>
      <c r="AA793" s="20">
        <f>""</f>
      </c>
      <c r="AB793" s="20">
        <f>""</f>
      </c>
    </row>
    <row r="794" s="127">
      <c r="A794" s="14" t="n">
        <v>794</v>
      </c>
      <c r="B794" s="211">
        <f>IFERROR(IF([2]对账明细接口!$B$794=0,"",[2]对账明细接口!$B$794),"")</f>
      </c>
      <c r="C794" s="16">
        <f>IFERROR(IF([2]对账明细接口!$C$794=0,"",[2]对账明细接口!$C$794),"")</f>
      </c>
      <c r="D794" s="16">
        <f>IFERROR(IF([2]对账明细接口!$D$794=0,"",[2]对账明细接口!$D$794),"")</f>
      </c>
      <c r="E794" s="16">
        <f>IFERROR(IF([2]对账明细接口!$E$794=0,"",[2]对账明细接口!$E$794),"")</f>
      </c>
      <c r="F794" s="16">
        <f>IFERROR(IF([2]对账明细接口!$F$794=0,"",[2]对账明细接口!$F$794),"")</f>
      </c>
      <c r="G794" s="16">
        <f>IFERROR(IF([2]对账明细接口!$G$794=0,"",[2]对账明细接口!$G$794),"")</f>
      </c>
      <c r="H794" s="176">
        <f>IFERROR(IF([2]对账明细接口!$H$794=0,"",[2]对账明细接口!$H$794),"")</f>
      </c>
      <c r="I794" s="16">
        <f>IFERROR(IF([2]对账明细接口!$I$794=0,"",[2]对账明细接口!$I$794),"")</f>
      </c>
      <c r="J794" s="177">
        <f>IFERROR(IF([2]对账明细接口!$J$794=0,"",[2]对账明细接口!$J$794),"")</f>
      </c>
      <c r="K794" s="177">
        <f>IFERROR(IF([2]对账明细接口!$K$794=0,"",[2]对账明细接口!$K$794),"")</f>
      </c>
      <c r="L794" s="16">
        <f>IFERROR(IF([2]对账明细接口!$L$794=0,"",[2]对账明细接口!$L$794),"")</f>
      </c>
      <c r="M794" s="16">
        <f>IFERROR(IF([2]对账明细接口!$M$794=0,"",[2]对账明细接口!$M$794),"")</f>
      </c>
      <c r="N794" s="19">
        <f>IF($C794="",0,1)</f>
        <v>0</v>
      </c>
      <c r="O794" s="19">
        <f>N(O793)+$N794</f>
        <v>272</v>
      </c>
      <c r="S794" s="20">
        <f>IFERROR(IF([2]对账明细接口!$N794=0,"",[2]对账明细接口!$N794),"")</f>
      </c>
      <c r="T794" s="212">
        <f>IFERROR(IF([2]对账明细接口!$O794=0,"",[2]对账明细接口!$O794),"")</f>
      </c>
      <c r="U794" s="212">
        <f>IFERROR(IF([2]对账明细接口!$P794=0,"",[2]对账明细接口!$P794),"")</f>
      </c>
      <c r="V794" s="212">
        <f>IFERROR(IF([2]对账明细接口!$Q794=0,"",[2]对账明细接口!$Q794),"")</f>
      </c>
      <c r="W794" s="20">
        <f>IFERROR(IF([2]对账明细接口!$R794=0,"",[2]对账明细接口!$R794),"")</f>
      </c>
      <c r="X794" s="20">
        <f>IFERROR(IF([2]对账明细接口!$S794=0,"",[2]对账明细接口!$S794),"")</f>
      </c>
      <c r="Y794" s="20">
        <f>""</f>
      </c>
      <c r="Z794" s="20">
        <f>""</f>
      </c>
      <c r="AA794" s="20">
        <f>""</f>
      </c>
      <c r="AB794" s="20">
        <f>""</f>
      </c>
    </row>
    <row r="795" s="127">
      <c r="A795" s="14" t="n">
        <v>795</v>
      </c>
      <c r="B795" s="211">
        <f>IFERROR(IF([2]对账明细接口!$B$795=0,"",[2]对账明细接口!$B$795),"")</f>
      </c>
      <c r="C795" s="16">
        <f>IFERROR(IF([2]对账明细接口!$C$795=0,"",[2]对账明细接口!$C$795),"")</f>
      </c>
      <c r="D795" s="16">
        <f>IFERROR(IF([2]对账明细接口!$D$795=0,"",[2]对账明细接口!$D$795),"")</f>
      </c>
      <c r="E795" s="16">
        <f>IFERROR(IF([2]对账明细接口!$E$795=0,"",[2]对账明细接口!$E$795),"")</f>
      </c>
      <c r="F795" s="16">
        <f>IFERROR(IF([2]对账明细接口!$F$795=0,"",[2]对账明细接口!$F$795),"")</f>
      </c>
      <c r="G795" s="16">
        <f>IFERROR(IF([2]对账明细接口!$G$795=0,"",[2]对账明细接口!$G$795),"")</f>
      </c>
      <c r="H795" s="176">
        <f>IFERROR(IF([2]对账明细接口!$H$795=0,"",[2]对账明细接口!$H$795),"")</f>
      </c>
      <c r="I795" s="16">
        <f>IFERROR(IF([2]对账明细接口!$I$795=0,"",[2]对账明细接口!$I$795),"")</f>
      </c>
      <c r="J795" s="177">
        <f>IFERROR(IF([2]对账明细接口!$J$795=0,"",[2]对账明细接口!$J$795),"")</f>
      </c>
      <c r="K795" s="177">
        <f>IFERROR(IF([2]对账明细接口!$K$795=0,"",[2]对账明细接口!$K$795),"")</f>
      </c>
      <c r="L795" s="16">
        <f>IFERROR(IF([2]对账明细接口!$L$795=0,"",[2]对账明细接口!$L$795),"")</f>
      </c>
      <c r="M795" s="16">
        <f>IFERROR(IF([2]对账明细接口!$M$795=0,"",[2]对账明细接口!$M$795),"")</f>
      </c>
      <c r="N795" s="19">
        <f>IF($C795="",0,1)</f>
        <v>0</v>
      </c>
      <c r="O795" s="19">
        <f>N(O794)+$N795</f>
        <v>272</v>
      </c>
      <c r="S795" s="20">
        <f>IFERROR(IF([2]对账明细接口!$N795=0,"",[2]对账明细接口!$N795),"")</f>
      </c>
      <c r="T795" s="212">
        <f>IFERROR(IF([2]对账明细接口!$O795=0,"",[2]对账明细接口!$O795),"")</f>
      </c>
      <c r="U795" s="212">
        <f>IFERROR(IF([2]对账明细接口!$P795=0,"",[2]对账明细接口!$P795),"")</f>
      </c>
      <c r="V795" s="212">
        <f>IFERROR(IF([2]对账明细接口!$Q795=0,"",[2]对账明细接口!$Q795),"")</f>
      </c>
      <c r="W795" s="20">
        <f>IFERROR(IF([2]对账明细接口!$R795=0,"",[2]对账明细接口!$R795),"")</f>
      </c>
      <c r="X795" s="20">
        <f>IFERROR(IF([2]对账明细接口!$S795=0,"",[2]对账明细接口!$S795),"")</f>
      </c>
      <c r="Y795" s="20">
        <f>""</f>
      </c>
      <c r="Z795" s="20">
        <f>""</f>
      </c>
      <c r="AA795" s="20">
        <f>""</f>
      </c>
      <c r="AB795" s="20">
        <f>""</f>
      </c>
    </row>
    <row r="796" s="127">
      <c r="A796" s="14" t="n">
        <v>796</v>
      </c>
      <c r="B796" s="211">
        <f>IFERROR(IF([2]对账明细接口!$B$796=0,"",[2]对账明细接口!$B$796),"")</f>
      </c>
      <c r="C796" s="16">
        <f>IFERROR(IF([2]对账明细接口!$C$796=0,"",[2]对账明细接口!$C$796),"")</f>
      </c>
      <c r="D796" s="16">
        <f>IFERROR(IF([2]对账明细接口!$D$796=0,"",[2]对账明细接口!$D$796),"")</f>
      </c>
      <c r="E796" s="16">
        <f>IFERROR(IF([2]对账明细接口!$E$796=0,"",[2]对账明细接口!$E$796),"")</f>
      </c>
      <c r="F796" s="16">
        <f>IFERROR(IF([2]对账明细接口!$F$796=0,"",[2]对账明细接口!$F$796),"")</f>
      </c>
      <c r="G796" s="16">
        <f>IFERROR(IF([2]对账明细接口!$G$796=0,"",[2]对账明细接口!$G$796),"")</f>
      </c>
      <c r="H796" s="176">
        <f>IFERROR(IF([2]对账明细接口!$H$796=0,"",[2]对账明细接口!$H$796),"")</f>
      </c>
      <c r="I796" s="16">
        <f>IFERROR(IF([2]对账明细接口!$I$796=0,"",[2]对账明细接口!$I$796),"")</f>
      </c>
      <c r="J796" s="177">
        <f>IFERROR(IF([2]对账明细接口!$J$796=0,"",[2]对账明细接口!$J$796),"")</f>
      </c>
      <c r="K796" s="177">
        <f>IFERROR(IF([2]对账明细接口!$K$796=0,"",[2]对账明细接口!$K$796),"")</f>
      </c>
      <c r="L796" s="16">
        <f>IFERROR(IF([2]对账明细接口!$L$796=0,"",[2]对账明细接口!$L$796),"")</f>
      </c>
      <c r="M796" s="16">
        <f>IFERROR(IF([2]对账明细接口!$M$796=0,"",[2]对账明细接口!$M$796),"")</f>
      </c>
      <c r="N796" s="19">
        <f>IF($C796="",0,1)</f>
        <v>0</v>
      </c>
      <c r="O796" s="19">
        <f>N(O795)+$N796</f>
        <v>272</v>
      </c>
      <c r="S796" s="20">
        <f>IFERROR(IF([2]对账明细接口!$N796=0,"",[2]对账明细接口!$N796),"")</f>
      </c>
      <c r="T796" s="212">
        <f>IFERROR(IF([2]对账明细接口!$O796=0,"",[2]对账明细接口!$O796),"")</f>
      </c>
      <c r="U796" s="212">
        <f>IFERROR(IF([2]对账明细接口!$P796=0,"",[2]对账明细接口!$P796),"")</f>
      </c>
      <c r="V796" s="212">
        <f>IFERROR(IF([2]对账明细接口!$Q796=0,"",[2]对账明细接口!$Q796),"")</f>
      </c>
      <c r="W796" s="20">
        <f>IFERROR(IF([2]对账明细接口!$R796=0,"",[2]对账明细接口!$R796),"")</f>
      </c>
      <c r="X796" s="20">
        <f>IFERROR(IF([2]对账明细接口!$S796=0,"",[2]对账明细接口!$S796),"")</f>
      </c>
      <c r="Y796" s="20">
        <f>""</f>
      </c>
      <c r="Z796" s="20">
        <f>""</f>
      </c>
      <c r="AA796" s="20">
        <f>""</f>
      </c>
      <c r="AB796" s="20">
        <f>""</f>
      </c>
    </row>
    <row r="797" s="127">
      <c r="A797" s="14" t="n">
        <v>797</v>
      </c>
      <c r="B797" s="211">
        <f>IFERROR(IF([2]对账明细接口!$B$797=0,"",[2]对账明细接口!$B$797),"")</f>
      </c>
      <c r="C797" s="16">
        <f>IFERROR(IF([2]对账明细接口!$C$797=0,"",[2]对账明细接口!$C$797),"")</f>
      </c>
      <c r="D797" s="16">
        <f>IFERROR(IF([2]对账明细接口!$D$797=0,"",[2]对账明细接口!$D$797),"")</f>
      </c>
      <c r="E797" s="16">
        <f>IFERROR(IF([2]对账明细接口!$E$797=0,"",[2]对账明细接口!$E$797),"")</f>
      </c>
      <c r="F797" s="16">
        <f>IFERROR(IF([2]对账明细接口!$F$797=0,"",[2]对账明细接口!$F$797),"")</f>
      </c>
      <c r="G797" s="16">
        <f>IFERROR(IF([2]对账明细接口!$G$797=0,"",[2]对账明细接口!$G$797),"")</f>
      </c>
      <c r="H797" s="176">
        <f>IFERROR(IF([2]对账明细接口!$H$797=0,"",[2]对账明细接口!$H$797),"")</f>
      </c>
      <c r="I797" s="16">
        <f>IFERROR(IF([2]对账明细接口!$I$797=0,"",[2]对账明细接口!$I$797),"")</f>
      </c>
      <c r="J797" s="177">
        <f>IFERROR(IF([2]对账明细接口!$J$797=0,"",[2]对账明细接口!$J$797),"")</f>
      </c>
      <c r="K797" s="177">
        <f>IFERROR(IF([2]对账明细接口!$K$797=0,"",[2]对账明细接口!$K$797),"")</f>
      </c>
      <c r="L797" s="16">
        <f>IFERROR(IF([2]对账明细接口!$L$797=0,"",[2]对账明细接口!$L$797),"")</f>
      </c>
      <c r="M797" s="16">
        <f>IFERROR(IF([2]对账明细接口!$M$797=0,"",[2]对账明细接口!$M$797),"")</f>
      </c>
      <c r="N797" s="19">
        <f>IF($C797="",0,1)</f>
        <v>0</v>
      </c>
      <c r="O797" s="19">
        <f>N(O796)+$N797</f>
        <v>272</v>
      </c>
      <c r="S797" s="20">
        <f>IFERROR(IF([2]对账明细接口!$N797=0,"",[2]对账明细接口!$N797),"")</f>
      </c>
      <c r="T797" s="212">
        <f>IFERROR(IF([2]对账明细接口!$O797=0,"",[2]对账明细接口!$O797),"")</f>
      </c>
      <c r="U797" s="212">
        <f>IFERROR(IF([2]对账明细接口!$P797=0,"",[2]对账明细接口!$P797),"")</f>
      </c>
      <c r="V797" s="212">
        <f>IFERROR(IF([2]对账明细接口!$Q797=0,"",[2]对账明细接口!$Q797),"")</f>
      </c>
      <c r="W797" s="20">
        <f>IFERROR(IF([2]对账明细接口!$R797=0,"",[2]对账明细接口!$R797),"")</f>
      </c>
      <c r="X797" s="20">
        <f>IFERROR(IF([2]对账明细接口!$S797=0,"",[2]对账明细接口!$S797),"")</f>
      </c>
      <c r="Y797" s="20">
        <f>""</f>
      </c>
      <c r="Z797" s="20">
        <f>""</f>
      </c>
      <c r="AA797" s="20">
        <f>""</f>
      </c>
      <c r="AB797" s="20">
        <f>""</f>
      </c>
    </row>
    <row r="798" s="127">
      <c r="A798" s="14" t="n">
        <v>798</v>
      </c>
      <c r="B798" s="211">
        <f>IFERROR(IF([2]对账明细接口!$B$798=0,"",[2]对账明细接口!$B$798),"")</f>
      </c>
      <c r="C798" s="16">
        <f>IFERROR(IF([2]对账明细接口!$C$798=0,"",[2]对账明细接口!$C$798),"")</f>
      </c>
      <c r="D798" s="16">
        <f>IFERROR(IF([2]对账明细接口!$D$798=0,"",[2]对账明细接口!$D$798),"")</f>
      </c>
      <c r="E798" s="16">
        <f>IFERROR(IF([2]对账明细接口!$E$798=0,"",[2]对账明细接口!$E$798),"")</f>
      </c>
      <c r="F798" s="16">
        <f>IFERROR(IF([2]对账明细接口!$F$798=0,"",[2]对账明细接口!$F$798),"")</f>
      </c>
      <c r="G798" s="16">
        <f>IFERROR(IF([2]对账明细接口!$G$798=0,"",[2]对账明细接口!$G$798),"")</f>
      </c>
      <c r="H798" s="176">
        <f>IFERROR(IF([2]对账明细接口!$H$798=0,"",[2]对账明细接口!$H$798),"")</f>
      </c>
      <c r="I798" s="16">
        <f>IFERROR(IF([2]对账明细接口!$I$798=0,"",[2]对账明细接口!$I$798),"")</f>
      </c>
      <c r="J798" s="177">
        <f>IFERROR(IF([2]对账明细接口!$J$798=0,"",[2]对账明细接口!$J$798),"")</f>
      </c>
      <c r="K798" s="177">
        <f>IFERROR(IF([2]对账明细接口!$K$798=0,"",[2]对账明细接口!$K$798),"")</f>
      </c>
      <c r="L798" s="16">
        <f>IFERROR(IF([2]对账明细接口!$L$798=0,"",[2]对账明细接口!$L$798),"")</f>
      </c>
      <c r="M798" s="16">
        <f>IFERROR(IF([2]对账明细接口!$M$798=0,"",[2]对账明细接口!$M$798),"")</f>
      </c>
      <c r="N798" s="19">
        <f>IF($C798="",0,1)</f>
        <v>0</v>
      </c>
      <c r="O798" s="19">
        <f>N(O797)+$N798</f>
        <v>272</v>
      </c>
      <c r="S798" s="20">
        <f>IFERROR(IF([2]对账明细接口!$N798=0,"",[2]对账明细接口!$N798),"")</f>
      </c>
      <c r="T798" s="212">
        <f>IFERROR(IF([2]对账明细接口!$O798=0,"",[2]对账明细接口!$O798),"")</f>
      </c>
      <c r="U798" s="212">
        <f>IFERROR(IF([2]对账明细接口!$P798=0,"",[2]对账明细接口!$P798),"")</f>
      </c>
      <c r="V798" s="212">
        <f>IFERROR(IF([2]对账明细接口!$Q798=0,"",[2]对账明细接口!$Q798),"")</f>
      </c>
      <c r="W798" s="20">
        <f>IFERROR(IF([2]对账明细接口!$R798=0,"",[2]对账明细接口!$R798),"")</f>
      </c>
      <c r="X798" s="20">
        <f>IFERROR(IF([2]对账明细接口!$S798=0,"",[2]对账明细接口!$S798),"")</f>
      </c>
      <c r="Y798" s="20">
        <f>""</f>
      </c>
      <c r="Z798" s="20">
        <f>""</f>
      </c>
      <c r="AA798" s="20">
        <f>""</f>
      </c>
      <c r="AB798" s="20">
        <f>""</f>
      </c>
    </row>
    <row r="799" s="127">
      <c r="A799" s="14" t="n">
        <v>799</v>
      </c>
      <c r="B799" s="211">
        <f>IFERROR(IF([2]对账明细接口!$B$799=0,"",[2]对账明细接口!$B$799),"")</f>
      </c>
      <c r="C799" s="16">
        <f>IFERROR(IF([2]对账明细接口!$C$799=0,"",[2]对账明细接口!$C$799),"")</f>
      </c>
      <c r="D799" s="16">
        <f>IFERROR(IF([2]对账明细接口!$D$799=0,"",[2]对账明细接口!$D$799),"")</f>
      </c>
      <c r="E799" s="16">
        <f>IFERROR(IF([2]对账明细接口!$E$799=0,"",[2]对账明细接口!$E$799),"")</f>
      </c>
      <c r="F799" s="16">
        <f>IFERROR(IF([2]对账明细接口!$F$799=0,"",[2]对账明细接口!$F$799),"")</f>
      </c>
      <c r="G799" s="16">
        <f>IFERROR(IF([2]对账明细接口!$G$799=0,"",[2]对账明细接口!$G$799),"")</f>
      </c>
      <c r="H799" s="176">
        <f>IFERROR(IF([2]对账明细接口!$H$799=0,"",[2]对账明细接口!$H$799),"")</f>
      </c>
      <c r="I799" s="16">
        <f>IFERROR(IF([2]对账明细接口!$I$799=0,"",[2]对账明细接口!$I$799),"")</f>
      </c>
      <c r="J799" s="177">
        <f>IFERROR(IF([2]对账明细接口!$J$799=0,"",[2]对账明细接口!$J$799),"")</f>
      </c>
      <c r="K799" s="177">
        <f>IFERROR(IF([2]对账明细接口!$K$799=0,"",[2]对账明细接口!$K$799),"")</f>
      </c>
      <c r="L799" s="16">
        <f>IFERROR(IF([2]对账明细接口!$L$799=0,"",[2]对账明细接口!$L$799),"")</f>
      </c>
      <c r="M799" s="16">
        <f>IFERROR(IF([2]对账明细接口!$M$799=0,"",[2]对账明细接口!$M$799),"")</f>
      </c>
      <c r="N799" s="19">
        <f>IF($C799="",0,1)</f>
        <v>0</v>
      </c>
      <c r="O799" s="19">
        <f>N(O798)+$N799</f>
        <v>272</v>
      </c>
      <c r="S799" s="20">
        <f>IFERROR(IF([2]对账明细接口!$N799=0,"",[2]对账明细接口!$N799),"")</f>
      </c>
      <c r="T799" s="212">
        <f>IFERROR(IF([2]对账明细接口!$O799=0,"",[2]对账明细接口!$O799),"")</f>
      </c>
      <c r="U799" s="212">
        <f>IFERROR(IF([2]对账明细接口!$P799=0,"",[2]对账明细接口!$P799),"")</f>
      </c>
      <c r="V799" s="212">
        <f>IFERROR(IF([2]对账明细接口!$Q799=0,"",[2]对账明细接口!$Q799),"")</f>
      </c>
      <c r="W799" s="20">
        <f>IFERROR(IF([2]对账明细接口!$R799=0,"",[2]对账明细接口!$R799),"")</f>
      </c>
      <c r="X799" s="20">
        <f>IFERROR(IF([2]对账明细接口!$S799=0,"",[2]对账明细接口!$S799),"")</f>
      </c>
      <c r="Y799" s="20">
        <f>""</f>
      </c>
      <c r="Z799" s="20">
        <f>""</f>
      </c>
      <c r="AA799" s="20">
        <f>""</f>
      </c>
      <c r="AB799" s="20">
        <f>""</f>
      </c>
    </row>
    <row r="800" s="127">
      <c r="A800" s="14" t="n">
        <v>800</v>
      </c>
      <c r="B800" s="211">
        <f>IFERROR(IF([2]对账明细接口!$B$800=0,"",[2]对账明细接口!$B$800),"")</f>
      </c>
      <c r="C800" s="16">
        <f>IFERROR(IF([2]对账明细接口!$C$800=0,"",[2]对账明细接口!$C$800),"")</f>
      </c>
      <c r="D800" s="16">
        <f>IFERROR(IF([2]对账明细接口!$D$800=0,"",[2]对账明细接口!$D$800),"")</f>
      </c>
      <c r="E800" s="16">
        <f>IFERROR(IF([2]对账明细接口!$E$800=0,"",[2]对账明细接口!$E$800),"")</f>
      </c>
      <c r="F800" s="16">
        <f>IFERROR(IF([2]对账明细接口!$F$800=0,"",[2]对账明细接口!$F$800),"")</f>
      </c>
      <c r="G800" s="16">
        <f>IFERROR(IF([2]对账明细接口!$G$800=0,"",[2]对账明细接口!$G$800),"")</f>
      </c>
      <c r="H800" s="176">
        <f>IFERROR(IF([2]对账明细接口!$H$800=0,"",[2]对账明细接口!$H$800),"")</f>
      </c>
      <c r="I800" s="16">
        <f>IFERROR(IF([2]对账明细接口!$I$800=0,"",[2]对账明细接口!$I$800),"")</f>
      </c>
      <c r="J800" s="177">
        <f>IFERROR(IF([2]对账明细接口!$J$800=0,"",[2]对账明细接口!$J$800),"")</f>
      </c>
      <c r="K800" s="177">
        <f>IFERROR(IF([2]对账明细接口!$K$800=0,"",[2]对账明细接口!$K$800),"")</f>
      </c>
      <c r="L800" s="16">
        <f>IFERROR(IF([2]对账明细接口!$L$800=0,"",[2]对账明细接口!$L$800),"")</f>
      </c>
      <c r="M800" s="16">
        <f>IFERROR(IF([2]对账明细接口!$M$800=0,"",[2]对账明细接口!$M$800),"")</f>
      </c>
      <c r="N800" s="19">
        <f>IF($C800="",0,1)</f>
        <v>0</v>
      </c>
      <c r="O800" s="19">
        <f>N(O799)+$N800</f>
        <v>272</v>
      </c>
      <c r="S800" s="20">
        <f>IFERROR(IF([2]对账明细接口!$N800=0,"",[2]对账明细接口!$N800),"")</f>
      </c>
      <c r="T800" s="212">
        <f>IFERROR(IF([2]对账明细接口!$O800=0,"",[2]对账明细接口!$O800),"")</f>
      </c>
      <c r="U800" s="212">
        <f>IFERROR(IF([2]对账明细接口!$P800=0,"",[2]对账明细接口!$P800),"")</f>
      </c>
      <c r="V800" s="212">
        <f>IFERROR(IF([2]对账明细接口!$Q800=0,"",[2]对账明细接口!$Q800),"")</f>
      </c>
      <c r="W800" s="20">
        <f>IFERROR(IF([2]对账明细接口!$R800=0,"",[2]对账明细接口!$R800),"")</f>
      </c>
      <c r="X800" s="20">
        <f>IFERROR(IF([2]对账明细接口!$S800=0,"",[2]对账明细接口!$S800),"")</f>
      </c>
      <c r="Y800" s="20">
        <f>""</f>
      </c>
      <c r="Z800" s="20">
        <f>""</f>
      </c>
      <c r="AA800" s="20">
        <f>""</f>
      </c>
      <c r="AB800" s="20">
        <f>""</f>
      </c>
    </row>
    <row r="801" s="127">
      <c r="A801" s="14" t="n">
        <v>801</v>
      </c>
      <c r="B801" s="211">
        <f>IFERROR(IF([2]对账明细接口!$B$801=0,"",[2]对账明细接口!$B$801),"")</f>
      </c>
      <c r="C801" s="16">
        <f>IFERROR(IF([2]对账明细接口!$C$801=0,"",[2]对账明细接口!$C$801),"")</f>
      </c>
      <c r="D801" s="16">
        <f>IFERROR(IF([2]对账明细接口!$D$801=0,"",[2]对账明细接口!$D$801),"")</f>
      </c>
      <c r="E801" s="16">
        <f>IFERROR(IF([2]对账明细接口!$E$801=0,"",[2]对账明细接口!$E$801),"")</f>
      </c>
      <c r="F801" s="16">
        <f>IFERROR(IF([2]对账明细接口!$F$801=0,"",[2]对账明细接口!$F$801),"")</f>
      </c>
      <c r="G801" s="16">
        <f>IFERROR(IF([2]对账明细接口!$G$801=0,"",[2]对账明细接口!$G$801),"")</f>
      </c>
      <c r="H801" s="176">
        <f>IFERROR(IF([2]对账明细接口!$H$801=0,"",[2]对账明细接口!$H$801),"")</f>
      </c>
      <c r="I801" s="16">
        <f>IFERROR(IF([2]对账明细接口!$I$801=0,"",[2]对账明细接口!$I$801),"")</f>
      </c>
      <c r="J801" s="177">
        <f>IFERROR(IF([2]对账明细接口!$J$801=0,"",[2]对账明细接口!$J$801),"")</f>
      </c>
      <c r="K801" s="177">
        <f>IFERROR(IF([2]对账明细接口!$K$801=0,"",[2]对账明细接口!$K$801),"")</f>
      </c>
      <c r="L801" s="16">
        <f>IFERROR(IF([2]对账明细接口!$L$801=0,"",[2]对账明细接口!$L$801),"")</f>
      </c>
      <c r="M801" s="16">
        <f>IFERROR(IF([2]对账明细接口!$M$801=0,"",[2]对账明细接口!$M$801),"")</f>
      </c>
      <c r="N801" s="19">
        <f>IF($C801="",0,1)</f>
        <v>0</v>
      </c>
      <c r="O801" s="19">
        <f>N(O800)+$N801</f>
        <v>272</v>
      </c>
      <c r="S801" s="20">
        <f>IFERROR(IF([2]对账明细接口!$N801=0,"",[2]对账明细接口!$N801),"")</f>
      </c>
      <c r="T801" s="212">
        <f>IFERROR(IF([2]对账明细接口!$O801=0,"",[2]对账明细接口!$O801),"")</f>
      </c>
      <c r="U801" s="212">
        <f>IFERROR(IF([2]对账明细接口!$P801=0,"",[2]对账明细接口!$P801),"")</f>
      </c>
      <c r="V801" s="212">
        <f>IFERROR(IF([2]对账明细接口!$Q801=0,"",[2]对账明细接口!$Q801),"")</f>
      </c>
      <c r="W801" s="20">
        <f>IFERROR(IF([2]对账明细接口!$R801=0,"",[2]对账明细接口!$R801),"")</f>
      </c>
      <c r="X801" s="20">
        <f>IFERROR(IF([2]对账明细接口!$S801=0,"",[2]对账明细接口!$S801),"")</f>
      </c>
      <c r="Y801" s="20">
        <f>""</f>
      </c>
      <c r="Z801" s="20">
        <f>""</f>
      </c>
      <c r="AA801" s="20">
        <f>""</f>
      </c>
      <c r="AB801" s="20">
        <f>""</f>
      </c>
    </row>
    <row r="802" s="127">
      <c r="A802" s="14" t="n">
        <v>802</v>
      </c>
      <c r="B802" s="211">
        <f>IFERROR(IF([2]对账明细接口!$B$802=0,"",[2]对账明细接口!$B$802),"")</f>
      </c>
      <c r="C802" s="16">
        <f>IFERROR(IF([2]对账明细接口!$C$802=0,"",[2]对账明细接口!$C$802),"")</f>
      </c>
      <c r="D802" s="16">
        <f>IFERROR(IF([2]对账明细接口!$D$802=0,"",[2]对账明细接口!$D$802),"")</f>
      </c>
      <c r="E802" s="16">
        <f>IFERROR(IF([2]对账明细接口!$E$802=0,"",[2]对账明细接口!$E$802),"")</f>
      </c>
      <c r="F802" s="16">
        <f>IFERROR(IF([2]对账明细接口!$F$802=0,"",[2]对账明细接口!$F$802),"")</f>
      </c>
      <c r="G802" s="16">
        <f>IFERROR(IF([2]对账明细接口!$G$802=0,"",[2]对账明细接口!$G$802),"")</f>
      </c>
      <c r="H802" s="176">
        <f>IFERROR(IF([2]对账明细接口!$H$802=0,"",[2]对账明细接口!$H$802),"")</f>
      </c>
      <c r="I802" s="16">
        <f>IFERROR(IF([2]对账明细接口!$I$802=0,"",[2]对账明细接口!$I$802),"")</f>
      </c>
      <c r="J802" s="177">
        <f>IFERROR(IF([2]对账明细接口!$J$802=0,"",[2]对账明细接口!$J$802),"")</f>
      </c>
      <c r="K802" s="177">
        <f>IFERROR(IF([2]对账明细接口!$K$802=0,"",[2]对账明细接口!$K$802),"")</f>
      </c>
      <c r="L802" s="16">
        <f>IFERROR(IF([2]对账明细接口!$L$802=0,"",[2]对账明细接口!$L$802),"")</f>
      </c>
      <c r="M802" s="16">
        <f>IFERROR(IF([2]对账明细接口!$M$802=0,"",[2]对账明细接口!$M$802),"")</f>
      </c>
      <c r="N802" s="19">
        <f>IF($C802="",0,1)</f>
        <v>0</v>
      </c>
      <c r="O802" s="19">
        <f>N(O801)+$N802</f>
        <v>272</v>
      </c>
      <c r="S802" s="20">
        <f>IFERROR(IF([2]对账明细接口!$N802=0,"",[2]对账明细接口!$N802),"")</f>
      </c>
      <c r="T802" s="212">
        <f>IFERROR(IF([2]对账明细接口!$O802=0,"",[2]对账明细接口!$O802),"")</f>
      </c>
      <c r="U802" s="212">
        <f>IFERROR(IF([2]对账明细接口!$P802=0,"",[2]对账明细接口!$P802),"")</f>
      </c>
      <c r="V802" s="212">
        <f>IFERROR(IF([2]对账明细接口!$Q802=0,"",[2]对账明细接口!$Q802),"")</f>
      </c>
      <c r="W802" s="20">
        <f>IFERROR(IF([2]对账明细接口!$R802=0,"",[2]对账明细接口!$R802),"")</f>
      </c>
      <c r="X802" s="20">
        <f>IFERROR(IF([2]对账明细接口!$S802=0,"",[2]对账明细接口!$S802),"")</f>
      </c>
      <c r="Y802" s="20">
        <f>""</f>
      </c>
      <c r="Z802" s="20">
        <f>""</f>
      </c>
      <c r="AA802" s="20">
        <f>""</f>
      </c>
      <c r="AB802" s="20">
        <f>""</f>
      </c>
    </row>
    <row r="803" s="127">
      <c r="A803" s="14" t="n">
        <v>803</v>
      </c>
      <c r="B803" s="211">
        <f>IFERROR(IF([2]对账明细接口!$B$803=0,"",[2]对账明细接口!$B$803),"")</f>
      </c>
      <c r="C803" s="16">
        <f>IFERROR(IF([2]对账明细接口!$C$803=0,"",[2]对账明细接口!$C$803),"")</f>
      </c>
      <c r="D803" s="16">
        <f>IFERROR(IF([2]对账明细接口!$D$803=0,"",[2]对账明细接口!$D$803),"")</f>
      </c>
      <c r="E803" s="16">
        <f>IFERROR(IF([2]对账明细接口!$E$803=0,"",[2]对账明细接口!$E$803),"")</f>
      </c>
      <c r="F803" s="16">
        <f>IFERROR(IF([2]对账明细接口!$F$803=0,"",[2]对账明细接口!$F$803),"")</f>
      </c>
      <c r="G803" s="16">
        <f>IFERROR(IF([2]对账明细接口!$G$803=0,"",[2]对账明细接口!$G$803),"")</f>
      </c>
      <c r="H803" s="176">
        <f>IFERROR(IF([2]对账明细接口!$H$803=0,"",[2]对账明细接口!$H$803),"")</f>
      </c>
      <c r="I803" s="16">
        <f>IFERROR(IF([2]对账明细接口!$I$803=0,"",[2]对账明细接口!$I$803),"")</f>
      </c>
      <c r="J803" s="177">
        <f>IFERROR(IF([2]对账明细接口!$J$803=0,"",[2]对账明细接口!$J$803),"")</f>
      </c>
      <c r="K803" s="177">
        <f>IFERROR(IF([2]对账明细接口!$K$803=0,"",[2]对账明细接口!$K$803),"")</f>
      </c>
      <c r="L803" s="16">
        <f>IFERROR(IF([2]对账明细接口!$L$803=0,"",[2]对账明细接口!$L$803),"")</f>
      </c>
      <c r="M803" s="16">
        <f>IFERROR(IF([2]对账明细接口!$M$803=0,"",[2]对账明细接口!$M$803),"")</f>
      </c>
      <c r="N803" s="19">
        <f>IF($C803="",0,1)</f>
        <v>0</v>
      </c>
      <c r="O803" s="19">
        <f>N(O802)+$N803</f>
        <v>272</v>
      </c>
      <c r="S803" s="20">
        <f>IFERROR(IF([2]对账明细接口!$N803=0,"",[2]对账明细接口!$N803),"")</f>
      </c>
      <c r="T803" s="212">
        <f>IFERROR(IF([2]对账明细接口!$O803=0,"",[2]对账明细接口!$O803),"")</f>
      </c>
      <c r="U803" s="212">
        <f>IFERROR(IF([2]对账明细接口!$P803=0,"",[2]对账明细接口!$P803),"")</f>
      </c>
      <c r="V803" s="212">
        <f>IFERROR(IF([2]对账明细接口!$Q803=0,"",[2]对账明细接口!$Q803),"")</f>
      </c>
      <c r="W803" s="20">
        <f>IFERROR(IF([2]对账明细接口!$R803=0,"",[2]对账明细接口!$R803),"")</f>
      </c>
      <c r="X803" s="20">
        <f>IFERROR(IF([2]对账明细接口!$S803=0,"",[2]对账明细接口!$S803),"")</f>
      </c>
      <c r="Y803" s="20">
        <f>""</f>
      </c>
      <c r="Z803" s="20">
        <f>""</f>
      </c>
      <c r="AA803" s="20">
        <f>""</f>
      </c>
      <c r="AB803" s="20">
        <f>""</f>
      </c>
    </row>
    <row r="804" s="127">
      <c r="A804" s="14" t="n">
        <v>804</v>
      </c>
      <c r="B804" s="211">
        <f>IFERROR(IF([2]对账明细接口!$B$804=0,"",[2]对账明细接口!$B$804),"")</f>
      </c>
      <c r="C804" s="16">
        <f>IFERROR(IF([2]对账明细接口!$C$804=0,"",[2]对账明细接口!$C$804),"")</f>
      </c>
      <c r="D804" s="16">
        <f>IFERROR(IF([2]对账明细接口!$D$804=0,"",[2]对账明细接口!$D$804),"")</f>
      </c>
      <c r="E804" s="16">
        <f>IFERROR(IF([2]对账明细接口!$E$804=0,"",[2]对账明细接口!$E$804),"")</f>
      </c>
      <c r="F804" s="16">
        <f>IFERROR(IF([2]对账明细接口!$F$804=0,"",[2]对账明细接口!$F$804),"")</f>
      </c>
      <c r="G804" s="16">
        <f>IFERROR(IF([2]对账明细接口!$G$804=0,"",[2]对账明细接口!$G$804),"")</f>
      </c>
      <c r="H804" s="176">
        <f>IFERROR(IF([2]对账明细接口!$H$804=0,"",[2]对账明细接口!$H$804),"")</f>
      </c>
      <c r="I804" s="16">
        <f>IFERROR(IF([2]对账明细接口!$I$804=0,"",[2]对账明细接口!$I$804),"")</f>
      </c>
      <c r="J804" s="177">
        <f>IFERROR(IF([2]对账明细接口!$J$804=0,"",[2]对账明细接口!$J$804),"")</f>
      </c>
      <c r="K804" s="177">
        <f>IFERROR(IF([2]对账明细接口!$K$804=0,"",[2]对账明细接口!$K$804),"")</f>
      </c>
      <c r="L804" s="16">
        <f>IFERROR(IF([2]对账明细接口!$L$804=0,"",[2]对账明细接口!$L$804),"")</f>
      </c>
      <c r="M804" s="16">
        <f>IFERROR(IF([2]对账明细接口!$M$804=0,"",[2]对账明细接口!$M$804),"")</f>
      </c>
      <c r="N804" s="19">
        <f>IF($C804="",0,1)</f>
        <v>0</v>
      </c>
      <c r="O804" s="19">
        <f>N(O803)+$N804</f>
        <v>272</v>
      </c>
      <c r="S804" s="20">
        <f>IFERROR(IF([2]对账明细接口!$N804=0,"",[2]对账明细接口!$N804),"")</f>
      </c>
      <c r="T804" s="212">
        <f>IFERROR(IF([2]对账明细接口!$O804=0,"",[2]对账明细接口!$O804),"")</f>
      </c>
      <c r="U804" s="212">
        <f>IFERROR(IF([2]对账明细接口!$P804=0,"",[2]对账明细接口!$P804),"")</f>
      </c>
      <c r="V804" s="212">
        <f>IFERROR(IF([2]对账明细接口!$Q804=0,"",[2]对账明细接口!$Q804),"")</f>
      </c>
      <c r="W804" s="20">
        <f>IFERROR(IF([2]对账明细接口!$R804=0,"",[2]对账明细接口!$R804),"")</f>
      </c>
      <c r="X804" s="20">
        <f>IFERROR(IF([2]对账明细接口!$S804=0,"",[2]对账明细接口!$S804),"")</f>
      </c>
      <c r="Y804" s="20">
        <f>""</f>
      </c>
      <c r="Z804" s="20">
        <f>""</f>
      </c>
      <c r="AA804" s="20">
        <f>""</f>
      </c>
      <c r="AB804" s="20">
        <f>""</f>
      </c>
    </row>
    <row r="805" s="127">
      <c r="A805" s="14" t="n">
        <v>805</v>
      </c>
      <c r="B805" s="211">
        <f>IFERROR(IF([2]对账明细接口!$B$805=0,"",[2]对账明细接口!$B$805),"")</f>
      </c>
      <c r="C805" s="16">
        <f>IFERROR(IF([2]对账明细接口!$C$805=0,"",[2]对账明细接口!$C$805),"")</f>
      </c>
      <c r="D805" s="16">
        <f>IFERROR(IF([2]对账明细接口!$D$805=0,"",[2]对账明细接口!$D$805),"")</f>
      </c>
      <c r="E805" s="16">
        <f>IFERROR(IF([2]对账明细接口!$E$805=0,"",[2]对账明细接口!$E$805),"")</f>
      </c>
      <c r="F805" s="16">
        <f>IFERROR(IF([2]对账明细接口!$F$805=0,"",[2]对账明细接口!$F$805),"")</f>
      </c>
      <c r="G805" s="16">
        <f>IFERROR(IF([2]对账明细接口!$G$805=0,"",[2]对账明细接口!$G$805),"")</f>
      </c>
      <c r="H805" s="176">
        <f>IFERROR(IF([2]对账明细接口!$H$805=0,"",[2]对账明细接口!$H$805),"")</f>
      </c>
      <c r="I805" s="16">
        <f>IFERROR(IF([2]对账明细接口!$I$805=0,"",[2]对账明细接口!$I$805),"")</f>
      </c>
      <c r="J805" s="177">
        <f>IFERROR(IF([2]对账明细接口!$J$805=0,"",[2]对账明细接口!$J$805),"")</f>
      </c>
      <c r="K805" s="177">
        <f>IFERROR(IF([2]对账明细接口!$K$805=0,"",[2]对账明细接口!$K$805),"")</f>
      </c>
      <c r="L805" s="16">
        <f>IFERROR(IF([2]对账明细接口!$L$805=0,"",[2]对账明细接口!$L$805),"")</f>
      </c>
      <c r="M805" s="16">
        <f>IFERROR(IF([2]对账明细接口!$M$805=0,"",[2]对账明细接口!$M$805),"")</f>
      </c>
      <c r="N805" s="19">
        <f>IF($C805="",0,1)</f>
        <v>0</v>
      </c>
      <c r="O805" s="19">
        <f>N(O804)+$N805</f>
        <v>272</v>
      </c>
      <c r="S805" s="20">
        <f>IFERROR(IF([2]对账明细接口!$N805=0,"",[2]对账明细接口!$N805),"")</f>
      </c>
      <c r="T805" s="212">
        <f>IFERROR(IF([2]对账明细接口!$O805=0,"",[2]对账明细接口!$O805),"")</f>
      </c>
      <c r="U805" s="212">
        <f>IFERROR(IF([2]对账明细接口!$P805=0,"",[2]对账明细接口!$P805),"")</f>
      </c>
      <c r="V805" s="212">
        <f>IFERROR(IF([2]对账明细接口!$Q805=0,"",[2]对账明细接口!$Q805),"")</f>
      </c>
      <c r="W805" s="20">
        <f>IFERROR(IF([2]对账明细接口!$R805=0,"",[2]对账明细接口!$R805),"")</f>
      </c>
      <c r="X805" s="20">
        <f>IFERROR(IF([2]对账明细接口!$S805=0,"",[2]对账明细接口!$S805),"")</f>
      </c>
      <c r="Y805" s="20">
        <f>""</f>
      </c>
      <c r="Z805" s="20">
        <f>""</f>
      </c>
      <c r="AA805" s="20">
        <f>""</f>
      </c>
      <c r="AB805" s="20">
        <f>""</f>
      </c>
    </row>
    <row r="806" s="127">
      <c r="A806" s="14" t="n">
        <v>806</v>
      </c>
      <c r="B806" s="211">
        <f>IFERROR(IF([2]对账明细接口!$B$806=0,"",[2]对账明细接口!$B$806),"")</f>
      </c>
      <c r="C806" s="16">
        <f>IFERROR(IF([2]对账明细接口!$C$806=0,"",[2]对账明细接口!$C$806),"")</f>
      </c>
      <c r="D806" s="16">
        <f>IFERROR(IF([2]对账明细接口!$D$806=0,"",[2]对账明细接口!$D$806),"")</f>
      </c>
      <c r="E806" s="16">
        <f>IFERROR(IF([2]对账明细接口!$E$806=0,"",[2]对账明细接口!$E$806),"")</f>
      </c>
      <c r="F806" s="16">
        <f>IFERROR(IF([2]对账明细接口!$F$806=0,"",[2]对账明细接口!$F$806),"")</f>
      </c>
      <c r="G806" s="16">
        <f>IFERROR(IF([2]对账明细接口!$G$806=0,"",[2]对账明细接口!$G$806),"")</f>
      </c>
      <c r="H806" s="176">
        <f>IFERROR(IF([2]对账明细接口!$H$806=0,"",[2]对账明细接口!$H$806),"")</f>
      </c>
      <c r="I806" s="16">
        <f>IFERROR(IF([2]对账明细接口!$I$806=0,"",[2]对账明细接口!$I$806),"")</f>
      </c>
      <c r="J806" s="177">
        <f>IFERROR(IF([2]对账明细接口!$J$806=0,"",[2]对账明细接口!$J$806),"")</f>
      </c>
      <c r="K806" s="177">
        <f>IFERROR(IF([2]对账明细接口!$K$806=0,"",[2]对账明细接口!$K$806),"")</f>
      </c>
      <c r="L806" s="16">
        <f>IFERROR(IF([2]对账明细接口!$L$806=0,"",[2]对账明细接口!$L$806),"")</f>
      </c>
      <c r="M806" s="16">
        <f>IFERROR(IF([2]对账明细接口!$M$806=0,"",[2]对账明细接口!$M$806),"")</f>
      </c>
      <c r="N806" s="19">
        <f>IF($C806="",0,1)</f>
        <v>0</v>
      </c>
      <c r="O806" s="19">
        <f>N(O805)+$N806</f>
        <v>272</v>
      </c>
      <c r="S806" s="20">
        <f>IFERROR(IF([2]对账明细接口!$N806=0,"",[2]对账明细接口!$N806),"")</f>
      </c>
      <c r="T806" s="212">
        <f>IFERROR(IF([2]对账明细接口!$O806=0,"",[2]对账明细接口!$O806),"")</f>
      </c>
      <c r="U806" s="212">
        <f>IFERROR(IF([2]对账明细接口!$P806=0,"",[2]对账明细接口!$P806),"")</f>
      </c>
      <c r="V806" s="212">
        <f>IFERROR(IF([2]对账明细接口!$Q806=0,"",[2]对账明细接口!$Q806),"")</f>
      </c>
      <c r="W806" s="20">
        <f>IFERROR(IF([2]对账明细接口!$R806=0,"",[2]对账明细接口!$R806),"")</f>
      </c>
      <c r="X806" s="20">
        <f>IFERROR(IF([2]对账明细接口!$S806=0,"",[2]对账明细接口!$S806),"")</f>
      </c>
      <c r="Y806" s="20">
        <f>""</f>
      </c>
      <c r="Z806" s="20">
        <f>""</f>
      </c>
      <c r="AA806" s="20">
        <f>""</f>
      </c>
      <c r="AB806" s="20">
        <f>""</f>
      </c>
    </row>
    <row r="807" s="127">
      <c r="A807" s="14" t="n">
        <v>807</v>
      </c>
      <c r="B807" s="211">
        <f>IFERROR(IF([2]对账明细接口!$B$807=0,"",[2]对账明细接口!$B$807),"")</f>
      </c>
      <c r="C807" s="16">
        <f>IFERROR(IF([2]对账明细接口!$C$807=0,"",[2]对账明细接口!$C$807),"")</f>
      </c>
      <c r="D807" s="16">
        <f>IFERROR(IF([2]对账明细接口!$D$807=0,"",[2]对账明细接口!$D$807),"")</f>
      </c>
      <c r="E807" s="16">
        <f>IFERROR(IF([2]对账明细接口!$E$807=0,"",[2]对账明细接口!$E$807),"")</f>
      </c>
      <c r="F807" s="16">
        <f>IFERROR(IF([2]对账明细接口!$F$807=0,"",[2]对账明细接口!$F$807),"")</f>
      </c>
      <c r="G807" s="16">
        <f>IFERROR(IF([2]对账明细接口!$G$807=0,"",[2]对账明细接口!$G$807),"")</f>
      </c>
      <c r="H807" s="176">
        <f>IFERROR(IF([2]对账明细接口!$H$807=0,"",[2]对账明细接口!$H$807),"")</f>
      </c>
      <c r="I807" s="16">
        <f>IFERROR(IF([2]对账明细接口!$I$807=0,"",[2]对账明细接口!$I$807),"")</f>
      </c>
      <c r="J807" s="177">
        <f>IFERROR(IF([2]对账明细接口!$J$807=0,"",[2]对账明细接口!$J$807),"")</f>
      </c>
      <c r="K807" s="177">
        <f>IFERROR(IF([2]对账明细接口!$K$807=0,"",[2]对账明细接口!$K$807),"")</f>
      </c>
      <c r="L807" s="16">
        <f>IFERROR(IF([2]对账明细接口!$L$807=0,"",[2]对账明细接口!$L$807),"")</f>
      </c>
      <c r="M807" s="16">
        <f>IFERROR(IF([2]对账明细接口!$M$807=0,"",[2]对账明细接口!$M$807),"")</f>
      </c>
      <c r="N807" s="19">
        <f>IF($C807="",0,1)</f>
        <v>0</v>
      </c>
      <c r="O807" s="19">
        <f>N(O806)+$N807</f>
        <v>272</v>
      </c>
      <c r="S807" s="20">
        <f>IFERROR(IF([2]对账明细接口!$N807=0,"",[2]对账明细接口!$N807),"")</f>
      </c>
      <c r="T807" s="212">
        <f>IFERROR(IF([2]对账明细接口!$O807=0,"",[2]对账明细接口!$O807),"")</f>
      </c>
      <c r="U807" s="212">
        <f>IFERROR(IF([2]对账明细接口!$P807=0,"",[2]对账明细接口!$P807),"")</f>
      </c>
      <c r="V807" s="212">
        <f>IFERROR(IF([2]对账明细接口!$Q807=0,"",[2]对账明细接口!$Q807),"")</f>
      </c>
      <c r="W807" s="20">
        <f>IFERROR(IF([2]对账明细接口!$R807=0,"",[2]对账明细接口!$R807),"")</f>
      </c>
      <c r="X807" s="20">
        <f>IFERROR(IF([2]对账明细接口!$S807=0,"",[2]对账明细接口!$S807),"")</f>
      </c>
      <c r="Y807" s="20">
        <f>""</f>
      </c>
      <c r="Z807" s="20">
        <f>""</f>
      </c>
      <c r="AA807" s="20">
        <f>""</f>
      </c>
      <c r="AB807" s="20">
        <f>""</f>
      </c>
    </row>
    <row r="808" s="127">
      <c r="A808" s="14" t="n">
        <v>808</v>
      </c>
      <c r="B808" s="211">
        <f>IFERROR(IF([2]对账明细接口!$B$808=0,"",[2]对账明细接口!$B$808),"")</f>
      </c>
      <c r="C808" s="16">
        <f>IFERROR(IF([2]对账明细接口!$C$808=0,"",[2]对账明细接口!$C$808),"")</f>
      </c>
      <c r="D808" s="16">
        <f>IFERROR(IF([2]对账明细接口!$D$808=0,"",[2]对账明细接口!$D$808),"")</f>
      </c>
      <c r="E808" s="16">
        <f>IFERROR(IF([2]对账明细接口!$E$808=0,"",[2]对账明细接口!$E$808),"")</f>
      </c>
      <c r="F808" s="16">
        <f>IFERROR(IF([2]对账明细接口!$F$808=0,"",[2]对账明细接口!$F$808),"")</f>
      </c>
      <c r="G808" s="16">
        <f>IFERROR(IF([2]对账明细接口!$G$808=0,"",[2]对账明细接口!$G$808),"")</f>
      </c>
      <c r="H808" s="176">
        <f>IFERROR(IF([2]对账明细接口!$H$808=0,"",[2]对账明细接口!$H$808),"")</f>
      </c>
      <c r="I808" s="16">
        <f>IFERROR(IF([2]对账明细接口!$I$808=0,"",[2]对账明细接口!$I$808),"")</f>
      </c>
      <c r="J808" s="177">
        <f>IFERROR(IF([2]对账明细接口!$J$808=0,"",[2]对账明细接口!$J$808),"")</f>
      </c>
      <c r="K808" s="177">
        <f>IFERROR(IF([2]对账明细接口!$K$808=0,"",[2]对账明细接口!$K$808),"")</f>
      </c>
      <c r="L808" s="16">
        <f>IFERROR(IF([2]对账明细接口!$L$808=0,"",[2]对账明细接口!$L$808),"")</f>
      </c>
      <c r="M808" s="16">
        <f>IFERROR(IF([2]对账明细接口!$M$808=0,"",[2]对账明细接口!$M$808),"")</f>
      </c>
      <c r="N808" s="19">
        <f>IF($C808="",0,1)</f>
        <v>0</v>
      </c>
      <c r="O808" s="19">
        <f>N(O807)+$N808</f>
        <v>272</v>
      </c>
      <c r="S808" s="20">
        <f>IFERROR(IF([2]对账明细接口!$N808=0,"",[2]对账明细接口!$N808),"")</f>
      </c>
      <c r="T808" s="212">
        <f>IFERROR(IF([2]对账明细接口!$O808=0,"",[2]对账明细接口!$O808),"")</f>
      </c>
      <c r="U808" s="212">
        <f>IFERROR(IF([2]对账明细接口!$P808=0,"",[2]对账明细接口!$P808),"")</f>
      </c>
      <c r="V808" s="212">
        <f>IFERROR(IF([2]对账明细接口!$Q808=0,"",[2]对账明细接口!$Q808),"")</f>
      </c>
      <c r="W808" s="20">
        <f>IFERROR(IF([2]对账明细接口!$R808=0,"",[2]对账明细接口!$R808),"")</f>
      </c>
      <c r="X808" s="20">
        <f>IFERROR(IF([2]对账明细接口!$S808=0,"",[2]对账明细接口!$S808),"")</f>
      </c>
      <c r="Y808" s="20">
        <f>""</f>
      </c>
      <c r="Z808" s="20">
        <f>""</f>
      </c>
      <c r="AA808" s="20">
        <f>""</f>
      </c>
      <c r="AB808" s="20">
        <f>""</f>
      </c>
    </row>
    <row r="809" s="127">
      <c r="A809" s="14" t="n">
        <v>809</v>
      </c>
      <c r="B809" s="211">
        <f>IFERROR(IF([2]对账明细接口!$B$809=0,"",[2]对账明细接口!$B$809),"")</f>
      </c>
      <c r="C809" s="16">
        <f>IFERROR(IF([2]对账明细接口!$C$809=0,"",[2]对账明细接口!$C$809),"")</f>
      </c>
      <c r="D809" s="16">
        <f>IFERROR(IF([2]对账明细接口!$D$809=0,"",[2]对账明细接口!$D$809),"")</f>
      </c>
      <c r="E809" s="16">
        <f>IFERROR(IF([2]对账明细接口!$E$809=0,"",[2]对账明细接口!$E$809),"")</f>
      </c>
      <c r="F809" s="16">
        <f>IFERROR(IF([2]对账明细接口!$F$809=0,"",[2]对账明细接口!$F$809),"")</f>
      </c>
      <c r="G809" s="16">
        <f>IFERROR(IF([2]对账明细接口!$G$809=0,"",[2]对账明细接口!$G$809),"")</f>
      </c>
      <c r="H809" s="176">
        <f>IFERROR(IF([2]对账明细接口!$H$809=0,"",[2]对账明细接口!$H$809),"")</f>
      </c>
      <c r="I809" s="16">
        <f>IFERROR(IF([2]对账明细接口!$I$809=0,"",[2]对账明细接口!$I$809),"")</f>
      </c>
      <c r="J809" s="177">
        <f>IFERROR(IF([2]对账明细接口!$J$809=0,"",[2]对账明细接口!$J$809),"")</f>
      </c>
      <c r="K809" s="177">
        <f>IFERROR(IF([2]对账明细接口!$K$809=0,"",[2]对账明细接口!$K$809),"")</f>
      </c>
      <c r="L809" s="16">
        <f>IFERROR(IF([2]对账明细接口!$L$809=0,"",[2]对账明细接口!$L$809),"")</f>
      </c>
      <c r="M809" s="16">
        <f>IFERROR(IF([2]对账明细接口!$M$809=0,"",[2]对账明细接口!$M$809),"")</f>
      </c>
      <c r="N809" s="19">
        <f>IF($C809="",0,1)</f>
        <v>0</v>
      </c>
      <c r="O809" s="19">
        <f>N(O808)+$N809</f>
        <v>272</v>
      </c>
      <c r="S809" s="20">
        <f>IFERROR(IF([2]对账明细接口!$N809=0,"",[2]对账明细接口!$N809),"")</f>
      </c>
      <c r="T809" s="212">
        <f>IFERROR(IF([2]对账明细接口!$O809=0,"",[2]对账明细接口!$O809),"")</f>
      </c>
      <c r="U809" s="212">
        <f>IFERROR(IF([2]对账明细接口!$P809=0,"",[2]对账明细接口!$P809),"")</f>
      </c>
      <c r="V809" s="212">
        <f>IFERROR(IF([2]对账明细接口!$Q809=0,"",[2]对账明细接口!$Q809),"")</f>
      </c>
      <c r="W809" s="20">
        <f>IFERROR(IF([2]对账明细接口!$R809=0,"",[2]对账明细接口!$R809),"")</f>
      </c>
      <c r="X809" s="20">
        <f>IFERROR(IF([2]对账明细接口!$S809=0,"",[2]对账明细接口!$S809),"")</f>
      </c>
      <c r="Y809" s="20">
        <f>""</f>
      </c>
      <c r="Z809" s="20">
        <f>""</f>
      </c>
      <c r="AA809" s="20">
        <f>""</f>
      </c>
      <c r="AB809" s="20">
        <f>""</f>
      </c>
    </row>
    <row r="810" s="127">
      <c r="A810" s="14" t="n">
        <v>810</v>
      </c>
      <c r="B810" s="211">
        <f>IFERROR(IF([2]对账明细接口!$B$810=0,"",[2]对账明细接口!$B$810),"")</f>
      </c>
      <c r="C810" s="16">
        <f>IFERROR(IF([2]对账明细接口!$C$810=0,"",[2]对账明细接口!$C$810),"")</f>
      </c>
      <c r="D810" s="16">
        <f>IFERROR(IF([2]对账明细接口!$D$810=0,"",[2]对账明细接口!$D$810),"")</f>
      </c>
      <c r="E810" s="16">
        <f>IFERROR(IF([2]对账明细接口!$E$810=0,"",[2]对账明细接口!$E$810),"")</f>
      </c>
      <c r="F810" s="16">
        <f>IFERROR(IF([2]对账明细接口!$F$810=0,"",[2]对账明细接口!$F$810),"")</f>
      </c>
      <c r="G810" s="16">
        <f>IFERROR(IF([2]对账明细接口!$G$810=0,"",[2]对账明细接口!$G$810),"")</f>
      </c>
      <c r="H810" s="176">
        <f>IFERROR(IF([2]对账明细接口!$H$810=0,"",[2]对账明细接口!$H$810),"")</f>
      </c>
      <c r="I810" s="16">
        <f>IFERROR(IF([2]对账明细接口!$I$810=0,"",[2]对账明细接口!$I$810),"")</f>
      </c>
      <c r="J810" s="177">
        <f>IFERROR(IF([2]对账明细接口!$J$810=0,"",[2]对账明细接口!$J$810),"")</f>
      </c>
      <c r="K810" s="177">
        <f>IFERROR(IF([2]对账明细接口!$K$810=0,"",[2]对账明细接口!$K$810),"")</f>
      </c>
      <c r="L810" s="16">
        <f>IFERROR(IF([2]对账明细接口!$L$810=0,"",[2]对账明细接口!$L$810),"")</f>
      </c>
      <c r="M810" s="16">
        <f>IFERROR(IF([2]对账明细接口!$M$810=0,"",[2]对账明细接口!$M$810),"")</f>
      </c>
      <c r="N810" s="19">
        <f>IF($C810="",0,1)</f>
        <v>0</v>
      </c>
      <c r="O810" s="19">
        <f>N(O809)+$N810</f>
        <v>272</v>
      </c>
      <c r="S810" s="20">
        <f>IFERROR(IF([2]对账明细接口!$N810=0,"",[2]对账明细接口!$N810),"")</f>
      </c>
      <c r="T810" s="212">
        <f>IFERROR(IF([2]对账明细接口!$O810=0,"",[2]对账明细接口!$O810),"")</f>
      </c>
      <c r="U810" s="212">
        <f>IFERROR(IF([2]对账明细接口!$P810=0,"",[2]对账明细接口!$P810),"")</f>
      </c>
      <c r="V810" s="212">
        <f>IFERROR(IF([2]对账明细接口!$Q810=0,"",[2]对账明细接口!$Q810),"")</f>
      </c>
      <c r="W810" s="20">
        <f>IFERROR(IF([2]对账明细接口!$R810=0,"",[2]对账明细接口!$R810),"")</f>
      </c>
      <c r="X810" s="20">
        <f>IFERROR(IF([2]对账明细接口!$S810=0,"",[2]对账明细接口!$S810),"")</f>
      </c>
      <c r="Y810" s="20">
        <f>""</f>
      </c>
      <c r="Z810" s="20">
        <f>""</f>
      </c>
      <c r="AA810" s="20">
        <f>""</f>
      </c>
      <c r="AB810" s="20">
        <f>""</f>
      </c>
    </row>
    <row r="811" s="127">
      <c r="A811" s="14" t="n">
        <v>811</v>
      </c>
      <c r="B811" s="211">
        <f>IFERROR(IF([2]对账明细接口!$B$811=0,"",[2]对账明细接口!$B$811),"")</f>
      </c>
      <c r="C811" s="16">
        <f>IFERROR(IF([2]对账明细接口!$C$811=0,"",[2]对账明细接口!$C$811),"")</f>
      </c>
      <c r="D811" s="16">
        <f>IFERROR(IF([2]对账明细接口!$D$811=0,"",[2]对账明细接口!$D$811),"")</f>
      </c>
      <c r="E811" s="16">
        <f>IFERROR(IF([2]对账明细接口!$E$811=0,"",[2]对账明细接口!$E$811),"")</f>
      </c>
      <c r="F811" s="16">
        <f>IFERROR(IF([2]对账明细接口!$F$811=0,"",[2]对账明细接口!$F$811),"")</f>
      </c>
      <c r="G811" s="16">
        <f>IFERROR(IF([2]对账明细接口!$G$811=0,"",[2]对账明细接口!$G$811),"")</f>
      </c>
      <c r="H811" s="176">
        <f>IFERROR(IF([2]对账明细接口!$H$811=0,"",[2]对账明细接口!$H$811),"")</f>
      </c>
      <c r="I811" s="16">
        <f>IFERROR(IF([2]对账明细接口!$I$811=0,"",[2]对账明细接口!$I$811),"")</f>
      </c>
      <c r="J811" s="177">
        <f>IFERROR(IF([2]对账明细接口!$J$811=0,"",[2]对账明细接口!$J$811),"")</f>
      </c>
      <c r="K811" s="177">
        <f>IFERROR(IF([2]对账明细接口!$K$811=0,"",[2]对账明细接口!$K$811),"")</f>
      </c>
      <c r="L811" s="16">
        <f>IFERROR(IF([2]对账明细接口!$L$811=0,"",[2]对账明细接口!$L$811),"")</f>
      </c>
      <c r="M811" s="16">
        <f>IFERROR(IF([2]对账明细接口!$M$811=0,"",[2]对账明细接口!$M$811),"")</f>
      </c>
      <c r="N811" s="19">
        <f>IF($C811="",0,1)</f>
        <v>0</v>
      </c>
      <c r="O811" s="19">
        <f>N(O810)+$N811</f>
        <v>272</v>
      </c>
      <c r="S811" s="20">
        <f>IFERROR(IF([2]对账明细接口!$N811=0,"",[2]对账明细接口!$N811),"")</f>
      </c>
      <c r="T811" s="212">
        <f>IFERROR(IF([2]对账明细接口!$O811=0,"",[2]对账明细接口!$O811),"")</f>
      </c>
      <c r="U811" s="212">
        <f>IFERROR(IF([2]对账明细接口!$P811=0,"",[2]对账明细接口!$P811),"")</f>
      </c>
      <c r="V811" s="212">
        <f>IFERROR(IF([2]对账明细接口!$Q811=0,"",[2]对账明细接口!$Q811),"")</f>
      </c>
      <c r="W811" s="20">
        <f>IFERROR(IF([2]对账明细接口!$R811=0,"",[2]对账明细接口!$R811),"")</f>
      </c>
      <c r="X811" s="20">
        <f>IFERROR(IF([2]对账明细接口!$S811=0,"",[2]对账明细接口!$S811),"")</f>
      </c>
      <c r="Y811" s="20">
        <f>""</f>
      </c>
      <c r="Z811" s="20">
        <f>""</f>
      </c>
      <c r="AA811" s="20">
        <f>""</f>
      </c>
      <c r="AB811" s="20">
        <f>""</f>
      </c>
    </row>
    <row r="812" s="127">
      <c r="A812" s="14" t="n">
        <v>812</v>
      </c>
      <c r="B812" s="211">
        <f>IFERROR(IF([2]对账明细接口!$B$812=0,"",[2]对账明细接口!$B$812),"")</f>
      </c>
      <c r="C812" s="16">
        <f>IFERROR(IF([2]对账明细接口!$C$812=0,"",[2]对账明细接口!$C$812),"")</f>
      </c>
      <c r="D812" s="16">
        <f>IFERROR(IF([2]对账明细接口!$D$812=0,"",[2]对账明细接口!$D$812),"")</f>
      </c>
      <c r="E812" s="16">
        <f>IFERROR(IF([2]对账明细接口!$E$812=0,"",[2]对账明细接口!$E$812),"")</f>
      </c>
      <c r="F812" s="16">
        <f>IFERROR(IF([2]对账明细接口!$F$812=0,"",[2]对账明细接口!$F$812),"")</f>
      </c>
      <c r="G812" s="16">
        <f>IFERROR(IF([2]对账明细接口!$G$812=0,"",[2]对账明细接口!$G$812),"")</f>
      </c>
      <c r="H812" s="176">
        <f>IFERROR(IF([2]对账明细接口!$H$812=0,"",[2]对账明细接口!$H$812),"")</f>
      </c>
      <c r="I812" s="16">
        <f>IFERROR(IF([2]对账明细接口!$I$812=0,"",[2]对账明细接口!$I$812),"")</f>
      </c>
      <c r="J812" s="177">
        <f>IFERROR(IF([2]对账明细接口!$J$812=0,"",[2]对账明细接口!$J$812),"")</f>
      </c>
      <c r="K812" s="177">
        <f>IFERROR(IF([2]对账明细接口!$K$812=0,"",[2]对账明细接口!$K$812),"")</f>
      </c>
      <c r="L812" s="16">
        <f>IFERROR(IF([2]对账明细接口!$L$812=0,"",[2]对账明细接口!$L$812),"")</f>
      </c>
      <c r="M812" s="16">
        <f>IFERROR(IF([2]对账明细接口!$M$812=0,"",[2]对账明细接口!$M$812),"")</f>
      </c>
      <c r="N812" s="19">
        <f>IF($C812="",0,1)</f>
        <v>0</v>
      </c>
      <c r="O812" s="19">
        <f>N(O811)+$N812</f>
        <v>272</v>
      </c>
      <c r="S812" s="20">
        <f>IFERROR(IF([2]对账明细接口!$N812=0,"",[2]对账明细接口!$N812),"")</f>
      </c>
      <c r="T812" s="212">
        <f>IFERROR(IF([2]对账明细接口!$O812=0,"",[2]对账明细接口!$O812),"")</f>
      </c>
      <c r="U812" s="212">
        <f>IFERROR(IF([2]对账明细接口!$P812=0,"",[2]对账明细接口!$P812),"")</f>
      </c>
      <c r="V812" s="212">
        <f>IFERROR(IF([2]对账明细接口!$Q812=0,"",[2]对账明细接口!$Q812),"")</f>
      </c>
      <c r="W812" s="20">
        <f>IFERROR(IF([2]对账明细接口!$R812=0,"",[2]对账明细接口!$R812),"")</f>
      </c>
      <c r="X812" s="20">
        <f>IFERROR(IF([2]对账明细接口!$S812=0,"",[2]对账明细接口!$S812),"")</f>
      </c>
      <c r="Y812" s="20">
        <f>""</f>
      </c>
      <c r="Z812" s="20">
        <f>""</f>
      </c>
      <c r="AA812" s="20">
        <f>""</f>
      </c>
      <c r="AB812" s="20">
        <f>""</f>
      </c>
    </row>
    <row r="813" s="127">
      <c r="A813" s="14" t="n">
        <v>813</v>
      </c>
      <c r="B813" s="211">
        <f>IFERROR(IF([2]对账明细接口!$B$813=0,"",[2]对账明细接口!$B$813),"")</f>
      </c>
      <c r="C813" s="16">
        <f>IFERROR(IF([2]对账明细接口!$C$813=0,"",[2]对账明细接口!$C$813),"")</f>
      </c>
      <c r="D813" s="16">
        <f>IFERROR(IF([2]对账明细接口!$D$813=0,"",[2]对账明细接口!$D$813),"")</f>
      </c>
      <c r="E813" s="16">
        <f>IFERROR(IF([2]对账明细接口!$E$813=0,"",[2]对账明细接口!$E$813),"")</f>
      </c>
      <c r="F813" s="16">
        <f>IFERROR(IF([2]对账明细接口!$F$813=0,"",[2]对账明细接口!$F$813),"")</f>
      </c>
      <c r="G813" s="16">
        <f>IFERROR(IF([2]对账明细接口!$G$813=0,"",[2]对账明细接口!$G$813),"")</f>
      </c>
      <c r="H813" s="176">
        <f>IFERROR(IF([2]对账明细接口!$H$813=0,"",[2]对账明细接口!$H$813),"")</f>
      </c>
      <c r="I813" s="16">
        <f>IFERROR(IF([2]对账明细接口!$I$813=0,"",[2]对账明细接口!$I$813),"")</f>
      </c>
      <c r="J813" s="177">
        <f>IFERROR(IF([2]对账明细接口!$J$813=0,"",[2]对账明细接口!$J$813),"")</f>
      </c>
      <c r="K813" s="177">
        <f>IFERROR(IF([2]对账明细接口!$K$813=0,"",[2]对账明细接口!$K$813),"")</f>
      </c>
      <c r="L813" s="16">
        <f>IFERROR(IF([2]对账明细接口!$L$813=0,"",[2]对账明细接口!$L$813),"")</f>
      </c>
      <c r="M813" s="16">
        <f>IFERROR(IF([2]对账明细接口!$M$813=0,"",[2]对账明细接口!$M$813),"")</f>
      </c>
      <c r="N813" s="19">
        <f>IF($C813="",0,1)</f>
        <v>0</v>
      </c>
      <c r="O813" s="19">
        <f>N(O812)+$N813</f>
        <v>272</v>
      </c>
      <c r="S813" s="20">
        <f>IFERROR(IF([2]对账明细接口!$N813=0,"",[2]对账明细接口!$N813),"")</f>
      </c>
      <c r="T813" s="212">
        <f>IFERROR(IF([2]对账明细接口!$O813=0,"",[2]对账明细接口!$O813),"")</f>
      </c>
      <c r="U813" s="212">
        <f>IFERROR(IF([2]对账明细接口!$P813=0,"",[2]对账明细接口!$P813),"")</f>
      </c>
      <c r="V813" s="212">
        <f>IFERROR(IF([2]对账明细接口!$Q813=0,"",[2]对账明细接口!$Q813),"")</f>
      </c>
      <c r="W813" s="20">
        <f>IFERROR(IF([2]对账明细接口!$R813=0,"",[2]对账明细接口!$R813),"")</f>
      </c>
      <c r="X813" s="20">
        <f>IFERROR(IF([2]对账明细接口!$S813=0,"",[2]对账明细接口!$S813),"")</f>
      </c>
      <c r="Y813" s="20">
        <f>""</f>
      </c>
      <c r="Z813" s="20">
        <f>""</f>
      </c>
      <c r="AA813" s="20">
        <f>""</f>
      </c>
      <c r="AB813" s="20">
        <f>""</f>
      </c>
    </row>
    <row r="814" s="127">
      <c r="A814" s="14" t="n">
        <v>814</v>
      </c>
      <c r="B814" s="211">
        <f>IFERROR(IF([2]对账明细接口!$B$814=0,"",[2]对账明细接口!$B$814),"")</f>
      </c>
      <c r="C814" s="16">
        <f>IFERROR(IF([2]对账明细接口!$C$814=0,"",[2]对账明细接口!$C$814),"")</f>
      </c>
      <c r="D814" s="16">
        <f>IFERROR(IF([2]对账明细接口!$D$814=0,"",[2]对账明细接口!$D$814),"")</f>
      </c>
      <c r="E814" s="16">
        <f>IFERROR(IF([2]对账明细接口!$E$814=0,"",[2]对账明细接口!$E$814),"")</f>
      </c>
      <c r="F814" s="16">
        <f>IFERROR(IF([2]对账明细接口!$F$814=0,"",[2]对账明细接口!$F$814),"")</f>
      </c>
      <c r="G814" s="16">
        <f>IFERROR(IF([2]对账明细接口!$G$814=0,"",[2]对账明细接口!$G$814),"")</f>
      </c>
      <c r="H814" s="176">
        <f>IFERROR(IF([2]对账明细接口!$H$814=0,"",[2]对账明细接口!$H$814),"")</f>
      </c>
      <c r="I814" s="16">
        <f>IFERROR(IF([2]对账明细接口!$I$814=0,"",[2]对账明细接口!$I$814),"")</f>
      </c>
      <c r="J814" s="177">
        <f>IFERROR(IF([2]对账明细接口!$J$814=0,"",[2]对账明细接口!$J$814),"")</f>
      </c>
      <c r="K814" s="177">
        <f>IFERROR(IF([2]对账明细接口!$K$814=0,"",[2]对账明细接口!$K$814),"")</f>
      </c>
      <c r="L814" s="16">
        <f>IFERROR(IF([2]对账明细接口!$L$814=0,"",[2]对账明细接口!$L$814),"")</f>
      </c>
      <c r="M814" s="16">
        <f>IFERROR(IF([2]对账明细接口!$M$814=0,"",[2]对账明细接口!$M$814),"")</f>
      </c>
      <c r="N814" s="19">
        <f>IF($C814="",0,1)</f>
        <v>0</v>
      </c>
      <c r="O814" s="19">
        <f>N(O813)+$N814</f>
        <v>272</v>
      </c>
      <c r="S814" s="20">
        <f>IFERROR(IF([2]对账明细接口!$N814=0,"",[2]对账明细接口!$N814),"")</f>
      </c>
      <c r="T814" s="212">
        <f>IFERROR(IF([2]对账明细接口!$O814=0,"",[2]对账明细接口!$O814),"")</f>
      </c>
      <c r="U814" s="212">
        <f>IFERROR(IF([2]对账明细接口!$P814=0,"",[2]对账明细接口!$P814),"")</f>
      </c>
      <c r="V814" s="212">
        <f>IFERROR(IF([2]对账明细接口!$Q814=0,"",[2]对账明细接口!$Q814),"")</f>
      </c>
      <c r="W814" s="20">
        <f>IFERROR(IF([2]对账明细接口!$R814=0,"",[2]对账明细接口!$R814),"")</f>
      </c>
      <c r="X814" s="20">
        <f>IFERROR(IF([2]对账明细接口!$S814=0,"",[2]对账明细接口!$S814),"")</f>
      </c>
      <c r="Y814" s="20">
        <f>""</f>
      </c>
      <c r="Z814" s="20">
        <f>""</f>
      </c>
      <c r="AA814" s="20">
        <f>""</f>
      </c>
      <c r="AB814" s="20">
        <f>""</f>
      </c>
    </row>
    <row r="815" s="127">
      <c r="A815" s="14" t="n">
        <v>815</v>
      </c>
      <c r="B815" s="211">
        <f>IFERROR(IF([2]对账明细接口!$B$815=0,"",[2]对账明细接口!$B$815),"")</f>
      </c>
      <c r="C815" s="16">
        <f>IFERROR(IF([2]对账明细接口!$C$815=0,"",[2]对账明细接口!$C$815),"")</f>
      </c>
      <c r="D815" s="16">
        <f>IFERROR(IF([2]对账明细接口!$D$815=0,"",[2]对账明细接口!$D$815),"")</f>
      </c>
      <c r="E815" s="16">
        <f>IFERROR(IF([2]对账明细接口!$E$815=0,"",[2]对账明细接口!$E$815),"")</f>
      </c>
      <c r="F815" s="16">
        <f>IFERROR(IF([2]对账明细接口!$F$815=0,"",[2]对账明细接口!$F$815),"")</f>
      </c>
      <c r="G815" s="16">
        <f>IFERROR(IF([2]对账明细接口!$G$815=0,"",[2]对账明细接口!$G$815),"")</f>
      </c>
      <c r="H815" s="176">
        <f>IFERROR(IF([2]对账明细接口!$H$815=0,"",[2]对账明细接口!$H$815),"")</f>
      </c>
      <c r="I815" s="16">
        <f>IFERROR(IF([2]对账明细接口!$I$815=0,"",[2]对账明细接口!$I$815),"")</f>
      </c>
      <c r="J815" s="177">
        <f>IFERROR(IF([2]对账明细接口!$J$815=0,"",[2]对账明细接口!$J$815),"")</f>
      </c>
      <c r="K815" s="177">
        <f>IFERROR(IF([2]对账明细接口!$K$815=0,"",[2]对账明细接口!$K$815),"")</f>
      </c>
      <c r="L815" s="16">
        <f>IFERROR(IF([2]对账明细接口!$L$815=0,"",[2]对账明细接口!$L$815),"")</f>
      </c>
      <c r="M815" s="16">
        <f>IFERROR(IF([2]对账明细接口!$M$815=0,"",[2]对账明细接口!$M$815),"")</f>
      </c>
      <c r="N815" s="19">
        <f>IF($C815="",0,1)</f>
        <v>0</v>
      </c>
      <c r="O815" s="19">
        <f>N(O814)+$N815</f>
        <v>272</v>
      </c>
      <c r="S815" s="20">
        <f>IFERROR(IF([2]对账明细接口!$N815=0,"",[2]对账明细接口!$N815),"")</f>
      </c>
      <c r="T815" s="212">
        <f>IFERROR(IF([2]对账明细接口!$O815=0,"",[2]对账明细接口!$O815),"")</f>
      </c>
      <c r="U815" s="212">
        <f>IFERROR(IF([2]对账明细接口!$P815=0,"",[2]对账明细接口!$P815),"")</f>
      </c>
      <c r="V815" s="212">
        <f>IFERROR(IF([2]对账明细接口!$Q815=0,"",[2]对账明细接口!$Q815),"")</f>
      </c>
      <c r="W815" s="20">
        <f>IFERROR(IF([2]对账明细接口!$R815=0,"",[2]对账明细接口!$R815),"")</f>
      </c>
      <c r="X815" s="20">
        <f>IFERROR(IF([2]对账明细接口!$S815=0,"",[2]对账明细接口!$S815),"")</f>
      </c>
      <c r="Y815" s="20">
        <f>""</f>
      </c>
      <c r="Z815" s="20">
        <f>""</f>
      </c>
      <c r="AA815" s="20">
        <f>""</f>
      </c>
      <c r="AB815" s="20">
        <f>""</f>
      </c>
    </row>
    <row r="816" s="127">
      <c r="A816" s="14" t="n">
        <v>816</v>
      </c>
      <c r="B816" s="211">
        <f>IFERROR(IF([2]对账明细接口!$B$816=0,"",[2]对账明细接口!$B$816),"")</f>
      </c>
      <c r="C816" s="16">
        <f>IFERROR(IF([2]对账明细接口!$C$816=0,"",[2]对账明细接口!$C$816),"")</f>
      </c>
      <c r="D816" s="16">
        <f>IFERROR(IF([2]对账明细接口!$D$816=0,"",[2]对账明细接口!$D$816),"")</f>
      </c>
      <c r="E816" s="16">
        <f>IFERROR(IF([2]对账明细接口!$E$816=0,"",[2]对账明细接口!$E$816),"")</f>
      </c>
      <c r="F816" s="16">
        <f>IFERROR(IF([2]对账明细接口!$F$816=0,"",[2]对账明细接口!$F$816),"")</f>
      </c>
      <c r="G816" s="16">
        <f>IFERROR(IF([2]对账明细接口!$G$816=0,"",[2]对账明细接口!$G$816),"")</f>
      </c>
      <c r="H816" s="176">
        <f>IFERROR(IF([2]对账明细接口!$H$816=0,"",[2]对账明细接口!$H$816),"")</f>
      </c>
      <c r="I816" s="16">
        <f>IFERROR(IF([2]对账明细接口!$I$816=0,"",[2]对账明细接口!$I$816),"")</f>
      </c>
      <c r="J816" s="177">
        <f>IFERROR(IF([2]对账明细接口!$J$816=0,"",[2]对账明细接口!$J$816),"")</f>
      </c>
      <c r="K816" s="177">
        <f>IFERROR(IF([2]对账明细接口!$K$816=0,"",[2]对账明细接口!$K$816),"")</f>
      </c>
      <c r="L816" s="16">
        <f>IFERROR(IF([2]对账明细接口!$L$816=0,"",[2]对账明细接口!$L$816),"")</f>
      </c>
      <c r="M816" s="16">
        <f>IFERROR(IF([2]对账明细接口!$M$816=0,"",[2]对账明细接口!$M$816),"")</f>
      </c>
      <c r="N816" s="19">
        <f>IF($C816="",0,1)</f>
        <v>0</v>
      </c>
      <c r="O816" s="19">
        <f>N(O815)+$N816</f>
        <v>272</v>
      </c>
      <c r="S816" s="20">
        <f>IFERROR(IF([2]对账明细接口!$N816=0,"",[2]对账明细接口!$N816),"")</f>
      </c>
      <c r="T816" s="212">
        <f>IFERROR(IF([2]对账明细接口!$O816=0,"",[2]对账明细接口!$O816),"")</f>
      </c>
      <c r="U816" s="212">
        <f>IFERROR(IF([2]对账明细接口!$P816=0,"",[2]对账明细接口!$P816),"")</f>
      </c>
      <c r="V816" s="212">
        <f>IFERROR(IF([2]对账明细接口!$Q816=0,"",[2]对账明细接口!$Q816),"")</f>
      </c>
      <c r="W816" s="20">
        <f>IFERROR(IF([2]对账明细接口!$R816=0,"",[2]对账明细接口!$R816),"")</f>
      </c>
      <c r="X816" s="20">
        <f>IFERROR(IF([2]对账明细接口!$S816=0,"",[2]对账明细接口!$S816),"")</f>
      </c>
      <c r="Y816" s="20">
        <f>""</f>
      </c>
      <c r="Z816" s="20">
        <f>""</f>
      </c>
      <c r="AA816" s="20">
        <f>""</f>
      </c>
      <c r="AB816" s="20">
        <f>""</f>
      </c>
    </row>
    <row r="817" s="127">
      <c r="A817" s="14" t="n">
        <v>817</v>
      </c>
      <c r="B817" s="211">
        <f>IFERROR(IF([2]对账明细接口!$B$817=0,"",[2]对账明细接口!$B$817),"")</f>
      </c>
      <c r="C817" s="16">
        <f>IFERROR(IF([2]对账明细接口!$C$817=0,"",[2]对账明细接口!$C$817),"")</f>
      </c>
      <c r="D817" s="16">
        <f>IFERROR(IF([2]对账明细接口!$D$817=0,"",[2]对账明细接口!$D$817),"")</f>
      </c>
      <c r="E817" s="16">
        <f>IFERROR(IF([2]对账明细接口!$E$817=0,"",[2]对账明细接口!$E$817),"")</f>
      </c>
      <c r="F817" s="16">
        <f>IFERROR(IF([2]对账明细接口!$F$817=0,"",[2]对账明细接口!$F$817),"")</f>
      </c>
      <c r="G817" s="16">
        <f>IFERROR(IF([2]对账明细接口!$G$817=0,"",[2]对账明细接口!$G$817),"")</f>
      </c>
      <c r="H817" s="176">
        <f>IFERROR(IF([2]对账明细接口!$H$817=0,"",[2]对账明细接口!$H$817),"")</f>
      </c>
      <c r="I817" s="16">
        <f>IFERROR(IF([2]对账明细接口!$I$817=0,"",[2]对账明细接口!$I$817),"")</f>
      </c>
      <c r="J817" s="177">
        <f>IFERROR(IF([2]对账明细接口!$J$817=0,"",[2]对账明细接口!$J$817),"")</f>
      </c>
      <c r="K817" s="177">
        <f>IFERROR(IF([2]对账明细接口!$K$817=0,"",[2]对账明细接口!$K$817),"")</f>
      </c>
      <c r="L817" s="16">
        <f>IFERROR(IF([2]对账明细接口!$L$817=0,"",[2]对账明细接口!$L$817),"")</f>
      </c>
      <c r="M817" s="16">
        <f>IFERROR(IF([2]对账明细接口!$M$817=0,"",[2]对账明细接口!$M$817),"")</f>
      </c>
      <c r="N817" s="19">
        <f>IF($C817="",0,1)</f>
        <v>0</v>
      </c>
      <c r="O817" s="19">
        <f>N(O816)+$N817</f>
        <v>272</v>
      </c>
      <c r="S817" s="20">
        <f>IFERROR(IF([2]对账明细接口!$N817=0,"",[2]对账明细接口!$N817),"")</f>
      </c>
      <c r="T817" s="212">
        <f>IFERROR(IF([2]对账明细接口!$O817=0,"",[2]对账明细接口!$O817),"")</f>
      </c>
      <c r="U817" s="212">
        <f>IFERROR(IF([2]对账明细接口!$P817=0,"",[2]对账明细接口!$P817),"")</f>
      </c>
      <c r="V817" s="212">
        <f>IFERROR(IF([2]对账明细接口!$Q817=0,"",[2]对账明细接口!$Q817),"")</f>
      </c>
      <c r="W817" s="20">
        <f>IFERROR(IF([2]对账明细接口!$R817=0,"",[2]对账明细接口!$R817),"")</f>
      </c>
      <c r="X817" s="20">
        <f>IFERROR(IF([2]对账明细接口!$S817=0,"",[2]对账明细接口!$S817),"")</f>
      </c>
      <c r="Y817" s="20">
        <f>""</f>
      </c>
      <c r="Z817" s="20">
        <f>""</f>
      </c>
      <c r="AA817" s="20">
        <f>""</f>
      </c>
      <c r="AB817" s="20">
        <f>""</f>
      </c>
    </row>
    <row r="818" s="127">
      <c r="A818" s="14" t="n">
        <v>818</v>
      </c>
      <c r="B818" s="211">
        <f>IFERROR(IF([2]对账明细接口!$B$818=0,"",[2]对账明细接口!$B$818),"")</f>
      </c>
      <c r="C818" s="16">
        <f>IFERROR(IF([2]对账明细接口!$C$818=0,"",[2]对账明细接口!$C$818),"")</f>
      </c>
      <c r="D818" s="16">
        <f>IFERROR(IF([2]对账明细接口!$D$818=0,"",[2]对账明细接口!$D$818),"")</f>
      </c>
      <c r="E818" s="16">
        <f>IFERROR(IF([2]对账明细接口!$E$818=0,"",[2]对账明细接口!$E$818),"")</f>
      </c>
      <c r="F818" s="16">
        <f>IFERROR(IF([2]对账明细接口!$F$818=0,"",[2]对账明细接口!$F$818),"")</f>
      </c>
      <c r="G818" s="16">
        <f>IFERROR(IF([2]对账明细接口!$G$818=0,"",[2]对账明细接口!$G$818),"")</f>
      </c>
      <c r="H818" s="176">
        <f>IFERROR(IF([2]对账明细接口!$H$818=0,"",[2]对账明细接口!$H$818),"")</f>
      </c>
      <c r="I818" s="16">
        <f>IFERROR(IF([2]对账明细接口!$I$818=0,"",[2]对账明细接口!$I$818),"")</f>
      </c>
      <c r="J818" s="177">
        <f>IFERROR(IF([2]对账明细接口!$J$818=0,"",[2]对账明细接口!$J$818),"")</f>
      </c>
      <c r="K818" s="177">
        <f>IFERROR(IF([2]对账明细接口!$K$818=0,"",[2]对账明细接口!$K$818),"")</f>
      </c>
      <c r="L818" s="16">
        <f>IFERROR(IF([2]对账明细接口!$L$818=0,"",[2]对账明细接口!$L$818),"")</f>
      </c>
      <c r="M818" s="16">
        <f>IFERROR(IF([2]对账明细接口!$M$818=0,"",[2]对账明细接口!$M$818),"")</f>
      </c>
      <c r="N818" s="19">
        <f>IF($C818="",0,1)</f>
        <v>0</v>
      </c>
      <c r="O818" s="19">
        <f>N(O817)+$N818</f>
        <v>272</v>
      </c>
      <c r="S818" s="20">
        <f>IFERROR(IF([2]对账明细接口!$N818=0,"",[2]对账明细接口!$N818),"")</f>
      </c>
      <c r="T818" s="212">
        <f>IFERROR(IF([2]对账明细接口!$O818=0,"",[2]对账明细接口!$O818),"")</f>
      </c>
      <c r="U818" s="212">
        <f>IFERROR(IF([2]对账明细接口!$P818=0,"",[2]对账明细接口!$P818),"")</f>
      </c>
      <c r="V818" s="212">
        <f>IFERROR(IF([2]对账明细接口!$Q818=0,"",[2]对账明细接口!$Q818),"")</f>
      </c>
      <c r="W818" s="20">
        <f>IFERROR(IF([2]对账明细接口!$R818=0,"",[2]对账明细接口!$R818),"")</f>
      </c>
      <c r="X818" s="20">
        <f>IFERROR(IF([2]对账明细接口!$S818=0,"",[2]对账明细接口!$S818),"")</f>
      </c>
      <c r="Y818" s="20">
        <f>""</f>
      </c>
      <c r="Z818" s="20">
        <f>""</f>
      </c>
      <c r="AA818" s="20">
        <f>""</f>
      </c>
      <c r="AB818" s="20">
        <f>""</f>
      </c>
    </row>
    <row r="819" s="127">
      <c r="A819" s="14" t="n">
        <v>819</v>
      </c>
      <c r="B819" s="211">
        <f>IFERROR(IF([2]对账明细接口!$B$819=0,"",[2]对账明细接口!$B$819),"")</f>
      </c>
      <c r="C819" s="16">
        <f>IFERROR(IF([2]对账明细接口!$C$819=0,"",[2]对账明细接口!$C$819),"")</f>
      </c>
      <c r="D819" s="16">
        <f>IFERROR(IF([2]对账明细接口!$D$819=0,"",[2]对账明细接口!$D$819),"")</f>
      </c>
      <c r="E819" s="16">
        <f>IFERROR(IF([2]对账明细接口!$E$819=0,"",[2]对账明细接口!$E$819),"")</f>
      </c>
      <c r="F819" s="16">
        <f>IFERROR(IF([2]对账明细接口!$F$819=0,"",[2]对账明细接口!$F$819),"")</f>
      </c>
      <c r="G819" s="16">
        <f>IFERROR(IF([2]对账明细接口!$G$819=0,"",[2]对账明细接口!$G$819),"")</f>
      </c>
      <c r="H819" s="176">
        <f>IFERROR(IF([2]对账明细接口!$H$819=0,"",[2]对账明细接口!$H$819),"")</f>
      </c>
      <c r="I819" s="16">
        <f>IFERROR(IF([2]对账明细接口!$I$819=0,"",[2]对账明细接口!$I$819),"")</f>
      </c>
      <c r="J819" s="177">
        <f>IFERROR(IF([2]对账明细接口!$J$819=0,"",[2]对账明细接口!$J$819),"")</f>
      </c>
      <c r="K819" s="177">
        <f>IFERROR(IF([2]对账明细接口!$K$819=0,"",[2]对账明细接口!$K$819),"")</f>
      </c>
      <c r="L819" s="16">
        <f>IFERROR(IF([2]对账明细接口!$L$819=0,"",[2]对账明细接口!$L$819),"")</f>
      </c>
      <c r="M819" s="16">
        <f>IFERROR(IF([2]对账明细接口!$M$819=0,"",[2]对账明细接口!$M$819),"")</f>
      </c>
      <c r="N819" s="19">
        <f>IF($C819="",0,1)</f>
        <v>0</v>
      </c>
      <c r="O819" s="19">
        <f>N(O818)+$N819</f>
        <v>272</v>
      </c>
      <c r="S819" s="20">
        <f>IFERROR(IF([2]对账明细接口!$N819=0,"",[2]对账明细接口!$N819),"")</f>
      </c>
      <c r="T819" s="212">
        <f>IFERROR(IF([2]对账明细接口!$O819=0,"",[2]对账明细接口!$O819),"")</f>
      </c>
      <c r="U819" s="212">
        <f>IFERROR(IF([2]对账明细接口!$P819=0,"",[2]对账明细接口!$P819),"")</f>
      </c>
      <c r="V819" s="212">
        <f>IFERROR(IF([2]对账明细接口!$Q819=0,"",[2]对账明细接口!$Q819),"")</f>
      </c>
      <c r="W819" s="20">
        <f>IFERROR(IF([2]对账明细接口!$R819=0,"",[2]对账明细接口!$R819),"")</f>
      </c>
      <c r="X819" s="20">
        <f>IFERROR(IF([2]对账明细接口!$S819=0,"",[2]对账明细接口!$S819),"")</f>
      </c>
      <c r="Y819" s="20">
        <f>""</f>
      </c>
      <c r="Z819" s="20">
        <f>""</f>
      </c>
      <c r="AA819" s="20">
        <f>""</f>
      </c>
      <c r="AB819" s="20">
        <f>""</f>
      </c>
    </row>
    <row r="820" s="127">
      <c r="A820" s="14" t="n">
        <v>820</v>
      </c>
      <c r="B820" s="211">
        <f>IFERROR(IF([2]对账明细接口!$B$820=0,"",[2]对账明细接口!$B$820),"")</f>
      </c>
      <c r="C820" s="16">
        <f>IFERROR(IF([2]对账明细接口!$C$820=0,"",[2]对账明细接口!$C$820),"")</f>
      </c>
      <c r="D820" s="16">
        <f>IFERROR(IF([2]对账明细接口!$D$820=0,"",[2]对账明细接口!$D$820),"")</f>
      </c>
      <c r="E820" s="16">
        <f>IFERROR(IF([2]对账明细接口!$E$820=0,"",[2]对账明细接口!$E$820),"")</f>
      </c>
      <c r="F820" s="16">
        <f>IFERROR(IF([2]对账明细接口!$F$820=0,"",[2]对账明细接口!$F$820),"")</f>
      </c>
      <c r="G820" s="16">
        <f>IFERROR(IF([2]对账明细接口!$G$820=0,"",[2]对账明细接口!$G$820),"")</f>
      </c>
      <c r="H820" s="176">
        <f>IFERROR(IF([2]对账明细接口!$H$820=0,"",[2]对账明细接口!$H$820),"")</f>
      </c>
      <c r="I820" s="16">
        <f>IFERROR(IF([2]对账明细接口!$I$820=0,"",[2]对账明细接口!$I$820),"")</f>
      </c>
      <c r="J820" s="177">
        <f>IFERROR(IF([2]对账明细接口!$J$820=0,"",[2]对账明细接口!$J$820),"")</f>
      </c>
      <c r="K820" s="177">
        <f>IFERROR(IF([2]对账明细接口!$K$820=0,"",[2]对账明细接口!$K$820),"")</f>
      </c>
      <c r="L820" s="16">
        <f>IFERROR(IF([2]对账明细接口!$L$820=0,"",[2]对账明细接口!$L$820),"")</f>
      </c>
      <c r="M820" s="16">
        <f>IFERROR(IF([2]对账明细接口!$M$820=0,"",[2]对账明细接口!$M$820),"")</f>
      </c>
      <c r="N820" s="19">
        <f>IF($C820="",0,1)</f>
        <v>0</v>
      </c>
      <c r="O820" s="19">
        <f>N(O819)+$N820</f>
        <v>272</v>
      </c>
      <c r="S820" s="20">
        <f>IFERROR(IF([2]对账明细接口!$N820=0,"",[2]对账明细接口!$N820),"")</f>
      </c>
      <c r="T820" s="212">
        <f>IFERROR(IF([2]对账明细接口!$O820=0,"",[2]对账明细接口!$O820),"")</f>
      </c>
      <c r="U820" s="212">
        <f>IFERROR(IF([2]对账明细接口!$P820=0,"",[2]对账明细接口!$P820),"")</f>
      </c>
      <c r="V820" s="212">
        <f>IFERROR(IF([2]对账明细接口!$Q820=0,"",[2]对账明细接口!$Q820),"")</f>
      </c>
      <c r="W820" s="20">
        <f>IFERROR(IF([2]对账明细接口!$R820=0,"",[2]对账明细接口!$R820),"")</f>
      </c>
      <c r="X820" s="20">
        <f>IFERROR(IF([2]对账明细接口!$S820=0,"",[2]对账明细接口!$S820),"")</f>
      </c>
      <c r="Y820" s="20">
        <f>""</f>
      </c>
      <c r="Z820" s="20">
        <f>""</f>
      </c>
      <c r="AA820" s="20">
        <f>""</f>
      </c>
      <c r="AB820" s="20">
        <f>""</f>
      </c>
    </row>
    <row r="821" s="127">
      <c r="A821" s="14" t="n">
        <v>821</v>
      </c>
      <c r="B821" s="211">
        <f>IFERROR(IF([2]对账明细接口!$B$821=0,"",[2]对账明细接口!$B$821),"")</f>
      </c>
      <c r="C821" s="16">
        <f>IFERROR(IF([2]对账明细接口!$C$821=0,"",[2]对账明细接口!$C$821),"")</f>
      </c>
      <c r="D821" s="16">
        <f>IFERROR(IF([2]对账明细接口!$D$821=0,"",[2]对账明细接口!$D$821),"")</f>
      </c>
      <c r="E821" s="16">
        <f>IFERROR(IF([2]对账明细接口!$E$821=0,"",[2]对账明细接口!$E$821),"")</f>
      </c>
      <c r="F821" s="16">
        <f>IFERROR(IF([2]对账明细接口!$F$821=0,"",[2]对账明细接口!$F$821),"")</f>
      </c>
      <c r="G821" s="16">
        <f>IFERROR(IF([2]对账明细接口!$G$821=0,"",[2]对账明细接口!$G$821),"")</f>
      </c>
      <c r="H821" s="176">
        <f>IFERROR(IF([2]对账明细接口!$H$821=0,"",[2]对账明细接口!$H$821),"")</f>
      </c>
      <c r="I821" s="16">
        <f>IFERROR(IF([2]对账明细接口!$I$821=0,"",[2]对账明细接口!$I$821),"")</f>
      </c>
      <c r="J821" s="177">
        <f>IFERROR(IF([2]对账明细接口!$J$821=0,"",[2]对账明细接口!$J$821),"")</f>
      </c>
      <c r="K821" s="177">
        <f>IFERROR(IF([2]对账明细接口!$K$821=0,"",[2]对账明细接口!$K$821),"")</f>
      </c>
      <c r="L821" s="16">
        <f>IFERROR(IF([2]对账明细接口!$L$821=0,"",[2]对账明细接口!$L$821),"")</f>
      </c>
      <c r="M821" s="16">
        <f>IFERROR(IF([2]对账明细接口!$M$821=0,"",[2]对账明细接口!$M$821),"")</f>
      </c>
      <c r="N821" s="19">
        <f>IF($C821="",0,1)</f>
        <v>0</v>
      </c>
      <c r="O821" s="19">
        <f>N(O820)+$N821</f>
        <v>272</v>
      </c>
      <c r="S821" s="20">
        <f>IFERROR(IF([2]对账明细接口!$N821=0,"",[2]对账明细接口!$N821),"")</f>
      </c>
      <c r="T821" s="212">
        <f>IFERROR(IF([2]对账明细接口!$O821=0,"",[2]对账明细接口!$O821),"")</f>
      </c>
      <c r="U821" s="212">
        <f>IFERROR(IF([2]对账明细接口!$P821=0,"",[2]对账明细接口!$P821),"")</f>
      </c>
      <c r="V821" s="212">
        <f>IFERROR(IF([2]对账明细接口!$Q821=0,"",[2]对账明细接口!$Q821),"")</f>
      </c>
      <c r="W821" s="20">
        <f>IFERROR(IF([2]对账明细接口!$R821=0,"",[2]对账明细接口!$R821),"")</f>
      </c>
      <c r="X821" s="20">
        <f>IFERROR(IF([2]对账明细接口!$S821=0,"",[2]对账明细接口!$S821),"")</f>
      </c>
      <c r="Y821" s="20">
        <f>""</f>
      </c>
      <c r="Z821" s="20">
        <f>""</f>
      </c>
      <c r="AA821" s="20">
        <f>""</f>
      </c>
      <c r="AB821" s="20">
        <f>""</f>
      </c>
    </row>
    <row r="822" s="127">
      <c r="A822" s="14" t="n">
        <v>822</v>
      </c>
      <c r="B822" s="211">
        <f>IFERROR(IF([2]对账明细接口!$B$822=0,"",[2]对账明细接口!$B$822),"")</f>
      </c>
      <c r="C822" s="16">
        <f>IFERROR(IF([2]对账明细接口!$C$822=0,"",[2]对账明细接口!$C$822),"")</f>
      </c>
      <c r="D822" s="16">
        <f>IFERROR(IF([2]对账明细接口!$D$822=0,"",[2]对账明细接口!$D$822),"")</f>
      </c>
      <c r="E822" s="16">
        <f>IFERROR(IF([2]对账明细接口!$E$822=0,"",[2]对账明细接口!$E$822),"")</f>
      </c>
      <c r="F822" s="16">
        <f>IFERROR(IF([2]对账明细接口!$F$822=0,"",[2]对账明细接口!$F$822),"")</f>
      </c>
      <c r="G822" s="16">
        <f>IFERROR(IF([2]对账明细接口!$G$822=0,"",[2]对账明细接口!$G$822),"")</f>
      </c>
      <c r="H822" s="176">
        <f>IFERROR(IF([2]对账明细接口!$H$822=0,"",[2]对账明细接口!$H$822),"")</f>
      </c>
      <c r="I822" s="16">
        <f>IFERROR(IF([2]对账明细接口!$I$822=0,"",[2]对账明细接口!$I$822),"")</f>
      </c>
      <c r="J822" s="177">
        <f>IFERROR(IF([2]对账明细接口!$J$822=0,"",[2]对账明细接口!$J$822),"")</f>
      </c>
      <c r="K822" s="177">
        <f>IFERROR(IF([2]对账明细接口!$K$822=0,"",[2]对账明细接口!$K$822),"")</f>
      </c>
      <c r="L822" s="16">
        <f>IFERROR(IF([2]对账明细接口!$L$822=0,"",[2]对账明细接口!$L$822),"")</f>
      </c>
      <c r="M822" s="16">
        <f>IFERROR(IF([2]对账明细接口!$M$822=0,"",[2]对账明细接口!$M$822),"")</f>
      </c>
      <c r="N822" s="19">
        <f>IF($C822="",0,1)</f>
        <v>0</v>
      </c>
      <c r="O822" s="19">
        <f>N(O821)+$N822</f>
        <v>272</v>
      </c>
      <c r="S822" s="20">
        <f>IFERROR(IF([2]对账明细接口!$N822=0,"",[2]对账明细接口!$N822),"")</f>
      </c>
      <c r="T822" s="212">
        <f>IFERROR(IF([2]对账明细接口!$O822=0,"",[2]对账明细接口!$O822),"")</f>
      </c>
      <c r="U822" s="212">
        <f>IFERROR(IF([2]对账明细接口!$P822=0,"",[2]对账明细接口!$P822),"")</f>
      </c>
      <c r="V822" s="212">
        <f>IFERROR(IF([2]对账明细接口!$Q822=0,"",[2]对账明细接口!$Q822),"")</f>
      </c>
      <c r="W822" s="20">
        <f>IFERROR(IF([2]对账明细接口!$R822=0,"",[2]对账明细接口!$R822),"")</f>
      </c>
      <c r="X822" s="20">
        <f>IFERROR(IF([2]对账明细接口!$S822=0,"",[2]对账明细接口!$S822),"")</f>
      </c>
      <c r="Y822" s="20">
        <f>""</f>
      </c>
      <c r="Z822" s="20">
        <f>""</f>
      </c>
      <c r="AA822" s="20">
        <f>""</f>
      </c>
      <c r="AB822" s="20">
        <f>""</f>
      </c>
    </row>
    <row r="823" s="127">
      <c r="A823" s="14" t="n">
        <v>823</v>
      </c>
      <c r="B823" s="211">
        <f>IFERROR(IF([2]对账明细接口!$B$823=0,"",[2]对账明细接口!$B$823),"")</f>
      </c>
      <c r="C823" s="16">
        <f>IFERROR(IF([2]对账明细接口!$C$823=0,"",[2]对账明细接口!$C$823),"")</f>
      </c>
      <c r="D823" s="16">
        <f>IFERROR(IF([2]对账明细接口!$D$823=0,"",[2]对账明细接口!$D$823),"")</f>
      </c>
      <c r="E823" s="16">
        <f>IFERROR(IF([2]对账明细接口!$E$823=0,"",[2]对账明细接口!$E$823),"")</f>
      </c>
      <c r="F823" s="16">
        <f>IFERROR(IF([2]对账明细接口!$F$823=0,"",[2]对账明细接口!$F$823),"")</f>
      </c>
      <c r="G823" s="16">
        <f>IFERROR(IF([2]对账明细接口!$G$823=0,"",[2]对账明细接口!$G$823),"")</f>
      </c>
      <c r="H823" s="176">
        <f>IFERROR(IF([2]对账明细接口!$H$823=0,"",[2]对账明细接口!$H$823),"")</f>
      </c>
      <c r="I823" s="16">
        <f>IFERROR(IF([2]对账明细接口!$I$823=0,"",[2]对账明细接口!$I$823),"")</f>
      </c>
      <c r="J823" s="177">
        <f>IFERROR(IF([2]对账明细接口!$J$823=0,"",[2]对账明细接口!$J$823),"")</f>
      </c>
      <c r="K823" s="177">
        <f>IFERROR(IF([2]对账明细接口!$K$823=0,"",[2]对账明细接口!$K$823),"")</f>
      </c>
      <c r="L823" s="16">
        <f>IFERROR(IF([2]对账明细接口!$L$823=0,"",[2]对账明细接口!$L$823),"")</f>
      </c>
      <c r="M823" s="16">
        <f>IFERROR(IF([2]对账明细接口!$M$823=0,"",[2]对账明细接口!$M$823),"")</f>
      </c>
      <c r="N823" s="19">
        <f>IF($C823="",0,1)</f>
        <v>0</v>
      </c>
      <c r="O823" s="19">
        <f>N(O822)+$N823</f>
        <v>272</v>
      </c>
      <c r="S823" s="20">
        <f>IFERROR(IF([2]对账明细接口!$N823=0,"",[2]对账明细接口!$N823),"")</f>
      </c>
      <c r="T823" s="212">
        <f>IFERROR(IF([2]对账明细接口!$O823=0,"",[2]对账明细接口!$O823),"")</f>
      </c>
      <c r="U823" s="212">
        <f>IFERROR(IF([2]对账明细接口!$P823=0,"",[2]对账明细接口!$P823),"")</f>
      </c>
      <c r="V823" s="212">
        <f>IFERROR(IF([2]对账明细接口!$Q823=0,"",[2]对账明细接口!$Q823),"")</f>
      </c>
      <c r="W823" s="20">
        <f>IFERROR(IF([2]对账明细接口!$R823=0,"",[2]对账明细接口!$R823),"")</f>
      </c>
      <c r="X823" s="20">
        <f>IFERROR(IF([2]对账明细接口!$S823=0,"",[2]对账明细接口!$S823),"")</f>
      </c>
      <c r="Y823" s="20">
        <f>""</f>
      </c>
      <c r="Z823" s="20">
        <f>""</f>
      </c>
      <c r="AA823" s="20">
        <f>""</f>
      </c>
      <c r="AB823" s="20">
        <f>""</f>
      </c>
    </row>
    <row r="824" s="127">
      <c r="A824" s="14" t="n">
        <v>824</v>
      </c>
      <c r="B824" s="211">
        <f>IFERROR(IF([2]对账明细接口!$B$824=0,"",[2]对账明细接口!$B$824),"")</f>
      </c>
      <c r="C824" s="16">
        <f>IFERROR(IF([2]对账明细接口!$C$824=0,"",[2]对账明细接口!$C$824),"")</f>
      </c>
      <c r="D824" s="16">
        <f>IFERROR(IF([2]对账明细接口!$D$824=0,"",[2]对账明细接口!$D$824),"")</f>
      </c>
      <c r="E824" s="16">
        <f>IFERROR(IF([2]对账明细接口!$E$824=0,"",[2]对账明细接口!$E$824),"")</f>
      </c>
      <c r="F824" s="16">
        <f>IFERROR(IF([2]对账明细接口!$F$824=0,"",[2]对账明细接口!$F$824),"")</f>
      </c>
      <c r="G824" s="16">
        <f>IFERROR(IF([2]对账明细接口!$G$824=0,"",[2]对账明细接口!$G$824),"")</f>
      </c>
      <c r="H824" s="176">
        <f>IFERROR(IF([2]对账明细接口!$H$824=0,"",[2]对账明细接口!$H$824),"")</f>
      </c>
      <c r="I824" s="16">
        <f>IFERROR(IF([2]对账明细接口!$I$824=0,"",[2]对账明细接口!$I$824),"")</f>
      </c>
      <c r="J824" s="177">
        <f>IFERROR(IF([2]对账明细接口!$J$824=0,"",[2]对账明细接口!$J$824),"")</f>
      </c>
      <c r="K824" s="177">
        <f>IFERROR(IF([2]对账明细接口!$K$824=0,"",[2]对账明细接口!$K$824),"")</f>
      </c>
      <c r="L824" s="16">
        <f>IFERROR(IF([2]对账明细接口!$L$824=0,"",[2]对账明细接口!$L$824),"")</f>
      </c>
      <c r="M824" s="16">
        <f>IFERROR(IF([2]对账明细接口!$M$824=0,"",[2]对账明细接口!$M$824),"")</f>
      </c>
      <c r="N824" s="19">
        <f>IF($C824="",0,1)</f>
        <v>0</v>
      </c>
      <c r="O824" s="19">
        <f>N(O823)+$N824</f>
        <v>272</v>
      </c>
      <c r="S824" s="20">
        <f>IFERROR(IF([2]对账明细接口!$N824=0,"",[2]对账明细接口!$N824),"")</f>
      </c>
      <c r="T824" s="212">
        <f>IFERROR(IF([2]对账明细接口!$O824=0,"",[2]对账明细接口!$O824),"")</f>
      </c>
      <c r="U824" s="212">
        <f>IFERROR(IF([2]对账明细接口!$P824=0,"",[2]对账明细接口!$P824),"")</f>
      </c>
      <c r="V824" s="212">
        <f>IFERROR(IF([2]对账明细接口!$Q824=0,"",[2]对账明细接口!$Q824),"")</f>
      </c>
      <c r="W824" s="20">
        <f>IFERROR(IF([2]对账明细接口!$R824=0,"",[2]对账明细接口!$R824),"")</f>
      </c>
      <c r="X824" s="20">
        <f>IFERROR(IF([2]对账明细接口!$S824=0,"",[2]对账明细接口!$S824),"")</f>
      </c>
      <c r="Y824" s="20">
        <f>""</f>
      </c>
      <c r="Z824" s="20">
        <f>""</f>
      </c>
      <c r="AA824" s="20">
        <f>""</f>
      </c>
      <c r="AB824" s="20">
        <f>""</f>
      </c>
    </row>
    <row r="825" s="127">
      <c r="A825" s="14" t="n">
        <v>825</v>
      </c>
      <c r="B825" s="211">
        <f>IFERROR(IF([2]对账明细接口!$B$825=0,"",[2]对账明细接口!$B$825),"")</f>
      </c>
      <c r="C825" s="16">
        <f>IFERROR(IF([2]对账明细接口!$C$825=0,"",[2]对账明细接口!$C$825),"")</f>
      </c>
      <c r="D825" s="16">
        <f>IFERROR(IF([2]对账明细接口!$D$825=0,"",[2]对账明细接口!$D$825),"")</f>
      </c>
      <c r="E825" s="16">
        <f>IFERROR(IF([2]对账明细接口!$E$825=0,"",[2]对账明细接口!$E$825),"")</f>
      </c>
      <c r="F825" s="16">
        <f>IFERROR(IF([2]对账明细接口!$F$825=0,"",[2]对账明细接口!$F$825),"")</f>
      </c>
      <c r="G825" s="16">
        <f>IFERROR(IF([2]对账明细接口!$G$825=0,"",[2]对账明细接口!$G$825),"")</f>
      </c>
      <c r="H825" s="176">
        <f>IFERROR(IF([2]对账明细接口!$H$825=0,"",[2]对账明细接口!$H$825),"")</f>
      </c>
      <c r="I825" s="16">
        <f>IFERROR(IF([2]对账明细接口!$I$825=0,"",[2]对账明细接口!$I$825),"")</f>
      </c>
      <c r="J825" s="177">
        <f>IFERROR(IF([2]对账明细接口!$J$825=0,"",[2]对账明细接口!$J$825),"")</f>
      </c>
      <c r="K825" s="177">
        <f>IFERROR(IF([2]对账明细接口!$K$825=0,"",[2]对账明细接口!$K$825),"")</f>
      </c>
      <c r="L825" s="16">
        <f>IFERROR(IF([2]对账明细接口!$L$825=0,"",[2]对账明细接口!$L$825),"")</f>
      </c>
      <c r="M825" s="16">
        <f>IFERROR(IF([2]对账明细接口!$M$825=0,"",[2]对账明细接口!$M$825),"")</f>
      </c>
      <c r="N825" s="19">
        <f>IF($C825="",0,1)</f>
        <v>0</v>
      </c>
      <c r="O825" s="19">
        <f>N(O824)+$N825</f>
        <v>272</v>
      </c>
      <c r="S825" s="20">
        <f>IFERROR(IF([2]对账明细接口!$N825=0,"",[2]对账明细接口!$N825),"")</f>
      </c>
      <c r="T825" s="212">
        <f>IFERROR(IF([2]对账明细接口!$O825=0,"",[2]对账明细接口!$O825),"")</f>
      </c>
      <c r="U825" s="212">
        <f>IFERROR(IF([2]对账明细接口!$P825=0,"",[2]对账明细接口!$P825),"")</f>
      </c>
      <c r="V825" s="212">
        <f>IFERROR(IF([2]对账明细接口!$Q825=0,"",[2]对账明细接口!$Q825),"")</f>
      </c>
      <c r="W825" s="20">
        <f>IFERROR(IF([2]对账明细接口!$R825=0,"",[2]对账明细接口!$R825),"")</f>
      </c>
      <c r="X825" s="20">
        <f>IFERROR(IF([2]对账明细接口!$S825=0,"",[2]对账明细接口!$S825),"")</f>
      </c>
      <c r="Y825" s="20">
        <f>""</f>
      </c>
      <c r="Z825" s="20">
        <f>""</f>
      </c>
      <c r="AA825" s="20">
        <f>""</f>
      </c>
      <c r="AB825" s="20">
        <f>""</f>
      </c>
    </row>
    <row r="826" s="127">
      <c r="A826" s="14" t="n">
        <v>826</v>
      </c>
      <c r="B826" s="211">
        <f>IFERROR(IF([2]对账明细接口!$B$826=0,"",[2]对账明细接口!$B$826),"")</f>
      </c>
      <c r="C826" s="16">
        <f>IFERROR(IF([2]对账明细接口!$C$826=0,"",[2]对账明细接口!$C$826),"")</f>
      </c>
      <c r="D826" s="16">
        <f>IFERROR(IF([2]对账明细接口!$D$826=0,"",[2]对账明细接口!$D$826),"")</f>
      </c>
      <c r="E826" s="16">
        <f>IFERROR(IF([2]对账明细接口!$E$826=0,"",[2]对账明细接口!$E$826),"")</f>
      </c>
      <c r="F826" s="16">
        <f>IFERROR(IF([2]对账明细接口!$F$826=0,"",[2]对账明细接口!$F$826),"")</f>
      </c>
      <c r="G826" s="16">
        <f>IFERROR(IF([2]对账明细接口!$G$826=0,"",[2]对账明细接口!$G$826),"")</f>
      </c>
      <c r="H826" s="176">
        <f>IFERROR(IF([2]对账明细接口!$H$826=0,"",[2]对账明细接口!$H$826),"")</f>
      </c>
      <c r="I826" s="16">
        <f>IFERROR(IF([2]对账明细接口!$I$826=0,"",[2]对账明细接口!$I$826),"")</f>
      </c>
      <c r="J826" s="177">
        <f>IFERROR(IF([2]对账明细接口!$J$826=0,"",[2]对账明细接口!$J$826),"")</f>
      </c>
      <c r="K826" s="177">
        <f>IFERROR(IF([2]对账明细接口!$K$826=0,"",[2]对账明细接口!$K$826),"")</f>
      </c>
      <c r="L826" s="16">
        <f>IFERROR(IF([2]对账明细接口!$L$826=0,"",[2]对账明细接口!$L$826),"")</f>
      </c>
      <c r="M826" s="16">
        <f>IFERROR(IF([2]对账明细接口!$M$826=0,"",[2]对账明细接口!$M$826),"")</f>
      </c>
      <c r="N826" s="19">
        <f>IF($C826="",0,1)</f>
        <v>0</v>
      </c>
      <c r="O826" s="19">
        <f>N(O825)+$N826</f>
        <v>272</v>
      </c>
      <c r="S826" s="20">
        <f>IFERROR(IF([2]对账明细接口!$N826=0,"",[2]对账明细接口!$N826),"")</f>
      </c>
      <c r="T826" s="212">
        <f>IFERROR(IF([2]对账明细接口!$O826=0,"",[2]对账明细接口!$O826),"")</f>
      </c>
      <c r="U826" s="212">
        <f>IFERROR(IF([2]对账明细接口!$P826=0,"",[2]对账明细接口!$P826),"")</f>
      </c>
      <c r="V826" s="212">
        <f>IFERROR(IF([2]对账明细接口!$Q826=0,"",[2]对账明细接口!$Q826),"")</f>
      </c>
      <c r="W826" s="20">
        <f>IFERROR(IF([2]对账明细接口!$R826=0,"",[2]对账明细接口!$R826),"")</f>
      </c>
      <c r="X826" s="20">
        <f>IFERROR(IF([2]对账明细接口!$S826=0,"",[2]对账明细接口!$S826),"")</f>
      </c>
      <c r="Y826" s="20">
        <f>""</f>
      </c>
      <c r="Z826" s="20">
        <f>""</f>
      </c>
      <c r="AA826" s="20">
        <f>""</f>
      </c>
      <c r="AB826" s="20">
        <f>""</f>
      </c>
    </row>
    <row r="827" s="127">
      <c r="A827" s="14" t="n">
        <v>827</v>
      </c>
      <c r="B827" s="211">
        <f>IFERROR(IF([2]对账明细接口!$B$827=0,"",[2]对账明细接口!$B$827),"")</f>
      </c>
      <c r="C827" s="16">
        <f>IFERROR(IF([2]对账明细接口!$C$827=0,"",[2]对账明细接口!$C$827),"")</f>
      </c>
      <c r="D827" s="16">
        <f>IFERROR(IF([2]对账明细接口!$D$827=0,"",[2]对账明细接口!$D$827),"")</f>
      </c>
      <c r="E827" s="16">
        <f>IFERROR(IF([2]对账明细接口!$E$827=0,"",[2]对账明细接口!$E$827),"")</f>
      </c>
      <c r="F827" s="16">
        <f>IFERROR(IF([2]对账明细接口!$F$827=0,"",[2]对账明细接口!$F$827),"")</f>
      </c>
      <c r="G827" s="16">
        <f>IFERROR(IF([2]对账明细接口!$G$827=0,"",[2]对账明细接口!$G$827),"")</f>
      </c>
      <c r="H827" s="176">
        <f>IFERROR(IF([2]对账明细接口!$H$827=0,"",[2]对账明细接口!$H$827),"")</f>
      </c>
      <c r="I827" s="16">
        <f>IFERROR(IF([2]对账明细接口!$I$827=0,"",[2]对账明细接口!$I$827),"")</f>
      </c>
      <c r="J827" s="177">
        <f>IFERROR(IF([2]对账明细接口!$J$827=0,"",[2]对账明细接口!$J$827),"")</f>
      </c>
      <c r="K827" s="177">
        <f>IFERROR(IF([2]对账明细接口!$K$827=0,"",[2]对账明细接口!$K$827),"")</f>
      </c>
      <c r="L827" s="16">
        <f>IFERROR(IF([2]对账明细接口!$L$827=0,"",[2]对账明细接口!$L$827),"")</f>
      </c>
      <c r="M827" s="16">
        <f>IFERROR(IF([2]对账明细接口!$M$827=0,"",[2]对账明细接口!$M$827),"")</f>
      </c>
      <c r="N827" s="19">
        <f>IF($C827="",0,1)</f>
        <v>0</v>
      </c>
      <c r="O827" s="19">
        <f>N(O826)+$N827</f>
        <v>272</v>
      </c>
      <c r="S827" s="20">
        <f>IFERROR(IF([2]对账明细接口!$N827=0,"",[2]对账明细接口!$N827),"")</f>
      </c>
      <c r="T827" s="212">
        <f>IFERROR(IF([2]对账明细接口!$O827=0,"",[2]对账明细接口!$O827),"")</f>
      </c>
      <c r="U827" s="212">
        <f>IFERROR(IF([2]对账明细接口!$P827=0,"",[2]对账明细接口!$P827),"")</f>
      </c>
      <c r="V827" s="212">
        <f>IFERROR(IF([2]对账明细接口!$Q827=0,"",[2]对账明细接口!$Q827),"")</f>
      </c>
      <c r="W827" s="20">
        <f>IFERROR(IF([2]对账明细接口!$R827=0,"",[2]对账明细接口!$R827),"")</f>
      </c>
      <c r="X827" s="20">
        <f>IFERROR(IF([2]对账明细接口!$S827=0,"",[2]对账明细接口!$S827),"")</f>
      </c>
      <c r="Y827" s="20">
        <f>""</f>
      </c>
      <c r="Z827" s="20">
        <f>""</f>
      </c>
      <c r="AA827" s="20">
        <f>""</f>
      </c>
      <c r="AB827" s="20">
        <f>""</f>
      </c>
    </row>
    <row r="828" s="127">
      <c r="A828" s="14" t="n">
        <v>828</v>
      </c>
      <c r="B828" s="211">
        <f>IFERROR(IF([2]对账明细接口!$B$828=0,"",[2]对账明细接口!$B$828),"")</f>
      </c>
      <c r="C828" s="16">
        <f>IFERROR(IF([2]对账明细接口!$C$828=0,"",[2]对账明细接口!$C$828),"")</f>
      </c>
      <c r="D828" s="16">
        <f>IFERROR(IF([2]对账明细接口!$D$828=0,"",[2]对账明细接口!$D$828),"")</f>
      </c>
      <c r="E828" s="16">
        <f>IFERROR(IF([2]对账明细接口!$E$828=0,"",[2]对账明细接口!$E$828),"")</f>
      </c>
      <c r="F828" s="16">
        <f>IFERROR(IF([2]对账明细接口!$F$828=0,"",[2]对账明细接口!$F$828),"")</f>
      </c>
      <c r="G828" s="16">
        <f>IFERROR(IF([2]对账明细接口!$G$828=0,"",[2]对账明细接口!$G$828),"")</f>
      </c>
      <c r="H828" s="176">
        <f>IFERROR(IF([2]对账明细接口!$H$828=0,"",[2]对账明细接口!$H$828),"")</f>
      </c>
      <c r="I828" s="16">
        <f>IFERROR(IF([2]对账明细接口!$I$828=0,"",[2]对账明细接口!$I$828),"")</f>
      </c>
      <c r="J828" s="177">
        <f>IFERROR(IF([2]对账明细接口!$J$828=0,"",[2]对账明细接口!$J$828),"")</f>
      </c>
      <c r="K828" s="177">
        <f>IFERROR(IF([2]对账明细接口!$K$828=0,"",[2]对账明细接口!$K$828),"")</f>
      </c>
      <c r="L828" s="16">
        <f>IFERROR(IF([2]对账明细接口!$L$828=0,"",[2]对账明细接口!$L$828),"")</f>
      </c>
      <c r="M828" s="16">
        <f>IFERROR(IF([2]对账明细接口!$M$828=0,"",[2]对账明细接口!$M$828),"")</f>
      </c>
      <c r="N828" s="19">
        <f>IF($C828="",0,1)</f>
        <v>0</v>
      </c>
      <c r="O828" s="19">
        <f>N(O827)+$N828</f>
        <v>272</v>
      </c>
      <c r="S828" s="20">
        <f>IFERROR(IF([2]对账明细接口!$N828=0,"",[2]对账明细接口!$N828),"")</f>
      </c>
      <c r="T828" s="212">
        <f>IFERROR(IF([2]对账明细接口!$O828=0,"",[2]对账明细接口!$O828),"")</f>
      </c>
      <c r="U828" s="212">
        <f>IFERROR(IF([2]对账明细接口!$P828=0,"",[2]对账明细接口!$P828),"")</f>
      </c>
      <c r="V828" s="212">
        <f>IFERROR(IF([2]对账明细接口!$Q828=0,"",[2]对账明细接口!$Q828),"")</f>
      </c>
      <c r="W828" s="20">
        <f>IFERROR(IF([2]对账明细接口!$R828=0,"",[2]对账明细接口!$R828),"")</f>
      </c>
      <c r="X828" s="20">
        <f>IFERROR(IF([2]对账明细接口!$S828=0,"",[2]对账明细接口!$S828),"")</f>
      </c>
      <c r="Y828" s="20">
        <f>""</f>
      </c>
      <c r="Z828" s="20">
        <f>""</f>
      </c>
      <c r="AA828" s="20">
        <f>""</f>
      </c>
      <c r="AB828" s="20">
        <f>""</f>
      </c>
    </row>
    <row r="829" s="127">
      <c r="A829" s="14" t="n">
        <v>829</v>
      </c>
      <c r="B829" s="211">
        <f>IFERROR(IF([2]对账明细接口!$B$829=0,"",[2]对账明细接口!$B$829),"")</f>
      </c>
      <c r="C829" s="16">
        <f>IFERROR(IF([2]对账明细接口!$C$829=0,"",[2]对账明细接口!$C$829),"")</f>
      </c>
      <c r="D829" s="16">
        <f>IFERROR(IF([2]对账明细接口!$D$829=0,"",[2]对账明细接口!$D$829),"")</f>
      </c>
      <c r="E829" s="16">
        <f>IFERROR(IF([2]对账明细接口!$E$829=0,"",[2]对账明细接口!$E$829),"")</f>
      </c>
      <c r="F829" s="16">
        <f>IFERROR(IF([2]对账明细接口!$F$829=0,"",[2]对账明细接口!$F$829),"")</f>
      </c>
      <c r="G829" s="16">
        <f>IFERROR(IF([2]对账明细接口!$G$829=0,"",[2]对账明细接口!$G$829),"")</f>
      </c>
      <c r="H829" s="176">
        <f>IFERROR(IF([2]对账明细接口!$H$829=0,"",[2]对账明细接口!$H$829),"")</f>
      </c>
      <c r="I829" s="16">
        <f>IFERROR(IF([2]对账明细接口!$I$829=0,"",[2]对账明细接口!$I$829),"")</f>
      </c>
      <c r="J829" s="177">
        <f>IFERROR(IF([2]对账明细接口!$J$829=0,"",[2]对账明细接口!$J$829),"")</f>
      </c>
      <c r="K829" s="177">
        <f>IFERROR(IF([2]对账明细接口!$K$829=0,"",[2]对账明细接口!$K$829),"")</f>
      </c>
      <c r="L829" s="16">
        <f>IFERROR(IF([2]对账明细接口!$L$829=0,"",[2]对账明细接口!$L$829),"")</f>
      </c>
      <c r="M829" s="16">
        <f>IFERROR(IF([2]对账明细接口!$M$829=0,"",[2]对账明细接口!$M$829),"")</f>
      </c>
      <c r="N829" s="19">
        <f>IF($C829="",0,1)</f>
        <v>0</v>
      </c>
      <c r="O829" s="19">
        <f>N(O828)+$N829</f>
        <v>272</v>
      </c>
      <c r="S829" s="20">
        <f>IFERROR(IF([2]对账明细接口!$N829=0,"",[2]对账明细接口!$N829),"")</f>
      </c>
      <c r="T829" s="212">
        <f>IFERROR(IF([2]对账明细接口!$O829=0,"",[2]对账明细接口!$O829),"")</f>
      </c>
      <c r="U829" s="212">
        <f>IFERROR(IF([2]对账明细接口!$P829=0,"",[2]对账明细接口!$P829),"")</f>
      </c>
      <c r="V829" s="212">
        <f>IFERROR(IF([2]对账明细接口!$Q829=0,"",[2]对账明细接口!$Q829),"")</f>
      </c>
      <c r="W829" s="20">
        <f>IFERROR(IF([2]对账明细接口!$R829=0,"",[2]对账明细接口!$R829),"")</f>
      </c>
      <c r="X829" s="20">
        <f>IFERROR(IF([2]对账明细接口!$S829=0,"",[2]对账明细接口!$S829),"")</f>
      </c>
      <c r="Y829" s="20">
        <f>""</f>
      </c>
      <c r="Z829" s="20">
        <f>""</f>
      </c>
      <c r="AA829" s="20">
        <f>""</f>
      </c>
      <c r="AB829" s="20">
        <f>""</f>
      </c>
    </row>
    <row r="830" s="127">
      <c r="A830" s="14" t="n">
        <v>830</v>
      </c>
      <c r="B830" s="211">
        <f>IFERROR(IF([2]对账明细接口!$B$830=0,"",[2]对账明细接口!$B$830),"")</f>
      </c>
      <c r="C830" s="16">
        <f>IFERROR(IF([2]对账明细接口!$C$830=0,"",[2]对账明细接口!$C$830),"")</f>
      </c>
      <c r="D830" s="16">
        <f>IFERROR(IF([2]对账明细接口!$D$830=0,"",[2]对账明细接口!$D$830),"")</f>
      </c>
      <c r="E830" s="16">
        <f>IFERROR(IF([2]对账明细接口!$E$830=0,"",[2]对账明细接口!$E$830),"")</f>
      </c>
      <c r="F830" s="16">
        <f>IFERROR(IF([2]对账明细接口!$F$830=0,"",[2]对账明细接口!$F$830),"")</f>
      </c>
      <c r="G830" s="16">
        <f>IFERROR(IF([2]对账明细接口!$G$830=0,"",[2]对账明细接口!$G$830),"")</f>
      </c>
      <c r="H830" s="176">
        <f>IFERROR(IF([2]对账明细接口!$H$830=0,"",[2]对账明细接口!$H$830),"")</f>
      </c>
      <c r="I830" s="16">
        <f>IFERROR(IF([2]对账明细接口!$I$830=0,"",[2]对账明细接口!$I$830),"")</f>
      </c>
      <c r="J830" s="177">
        <f>IFERROR(IF([2]对账明细接口!$J$830=0,"",[2]对账明细接口!$J$830),"")</f>
      </c>
      <c r="K830" s="177">
        <f>IFERROR(IF([2]对账明细接口!$K$830=0,"",[2]对账明细接口!$K$830),"")</f>
      </c>
      <c r="L830" s="16">
        <f>IFERROR(IF([2]对账明细接口!$L$830=0,"",[2]对账明细接口!$L$830),"")</f>
      </c>
      <c r="M830" s="16">
        <f>IFERROR(IF([2]对账明细接口!$M$830=0,"",[2]对账明细接口!$M$830),"")</f>
      </c>
      <c r="N830" s="19">
        <f>IF($C830="",0,1)</f>
        <v>0</v>
      </c>
      <c r="O830" s="19">
        <f>N(O829)+$N830</f>
        <v>272</v>
      </c>
      <c r="S830" s="20">
        <f>IFERROR(IF([2]对账明细接口!$N830=0,"",[2]对账明细接口!$N830),"")</f>
      </c>
      <c r="T830" s="212">
        <f>IFERROR(IF([2]对账明细接口!$O830=0,"",[2]对账明细接口!$O830),"")</f>
      </c>
      <c r="U830" s="212">
        <f>IFERROR(IF([2]对账明细接口!$P830=0,"",[2]对账明细接口!$P830),"")</f>
      </c>
      <c r="V830" s="212">
        <f>IFERROR(IF([2]对账明细接口!$Q830=0,"",[2]对账明细接口!$Q830),"")</f>
      </c>
      <c r="W830" s="20">
        <f>IFERROR(IF([2]对账明细接口!$R830=0,"",[2]对账明细接口!$R830),"")</f>
      </c>
      <c r="X830" s="20">
        <f>IFERROR(IF([2]对账明细接口!$S830=0,"",[2]对账明细接口!$S830),"")</f>
      </c>
      <c r="Y830" s="20">
        <f>""</f>
      </c>
      <c r="Z830" s="20">
        <f>""</f>
      </c>
      <c r="AA830" s="20">
        <f>""</f>
      </c>
      <c r="AB830" s="20">
        <f>""</f>
      </c>
    </row>
    <row r="831" s="127">
      <c r="A831" s="14" t="n">
        <v>831</v>
      </c>
      <c r="B831" s="211">
        <f>IFERROR(IF([2]对账明细接口!$B$831=0,"",[2]对账明细接口!$B$831),"")</f>
      </c>
      <c r="C831" s="16">
        <f>IFERROR(IF([2]对账明细接口!$C$831=0,"",[2]对账明细接口!$C$831),"")</f>
      </c>
      <c r="D831" s="16">
        <f>IFERROR(IF([2]对账明细接口!$D$831=0,"",[2]对账明细接口!$D$831),"")</f>
      </c>
      <c r="E831" s="16">
        <f>IFERROR(IF([2]对账明细接口!$E$831=0,"",[2]对账明细接口!$E$831),"")</f>
      </c>
      <c r="F831" s="16">
        <f>IFERROR(IF([2]对账明细接口!$F$831=0,"",[2]对账明细接口!$F$831),"")</f>
      </c>
      <c r="G831" s="16">
        <f>IFERROR(IF([2]对账明细接口!$G$831=0,"",[2]对账明细接口!$G$831),"")</f>
      </c>
      <c r="H831" s="176">
        <f>IFERROR(IF([2]对账明细接口!$H$831=0,"",[2]对账明细接口!$H$831),"")</f>
      </c>
      <c r="I831" s="16">
        <f>IFERROR(IF([2]对账明细接口!$I$831=0,"",[2]对账明细接口!$I$831),"")</f>
      </c>
      <c r="J831" s="177">
        <f>IFERROR(IF([2]对账明细接口!$J$831=0,"",[2]对账明细接口!$J$831),"")</f>
      </c>
      <c r="K831" s="177">
        <f>IFERROR(IF([2]对账明细接口!$K$831=0,"",[2]对账明细接口!$K$831),"")</f>
      </c>
      <c r="L831" s="16">
        <f>IFERROR(IF([2]对账明细接口!$L$831=0,"",[2]对账明细接口!$L$831),"")</f>
      </c>
      <c r="M831" s="16">
        <f>IFERROR(IF([2]对账明细接口!$M$831=0,"",[2]对账明细接口!$M$831),"")</f>
      </c>
      <c r="N831" s="19">
        <f>IF($C831="",0,1)</f>
        <v>0</v>
      </c>
      <c r="O831" s="19">
        <f>N(O830)+$N831</f>
        <v>272</v>
      </c>
      <c r="S831" s="20">
        <f>IFERROR(IF([2]对账明细接口!$N831=0,"",[2]对账明细接口!$N831),"")</f>
      </c>
      <c r="T831" s="212">
        <f>IFERROR(IF([2]对账明细接口!$O831=0,"",[2]对账明细接口!$O831),"")</f>
      </c>
      <c r="U831" s="212">
        <f>IFERROR(IF([2]对账明细接口!$P831=0,"",[2]对账明细接口!$P831),"")</f>
      </c>
      <c r="V831" s="212">
        <f>IFERROR(IF([2]对账明细接口!$Q831=0,"",[2]对账明细接口!$Q831),"")</f>
      </c>
      <c r="W831" s="20">
        <f>IFERROR(IF([2]对账明细接口!$R831=0,"",[2]对账明细接口!$R831),"")</f>
      </c>
      <c r="X831" s="20">
        <f>IFERROR(IF([2]对账明细接口!$S831=0,"",[2]对账明细接口!$S831),"")</f>
      </c>
      <c r="Y831" s="20">
        <f>""</f>
      </c>
      <c r="Z831" s="20">
        <f>""</f>
      </c>
      <c r="AA831" s="20">
        <f>""</f>
      </c>
      <c r="AB831" s="20">
        <f>""</f>
      </c>
    </row>
    <row r="832" s="127">
      <c r="A832" s="14" t="n">
        <v>832</v>
      </c>
      <c r="B832" s="211">
        <f>IFERROR(IF([2]对账明细接口!$B$832=0,"",[2]对账明细接口!$B$832),"")</f>
      </c>
      <c r="C832" s="16">
        <f>IFERROR(IF([2]对账明细接口!$C$832=0,"",[2]对账明细接口!$C$832),"")</f>
      </c>
      <c r="D832" s="16">
        <f>IFERROR(IF([2]对账明细接口!$D$832=0,"",[2]对账明细接口!$D$832),"")</f>
      </c>
      <c r="E832" s="16">
        <f>IFERROR(IF([2]对账明细接口!$E$832=0,"",[2]对账明细接口!$E$832),"")</f>
      </c>
      <c r="F832" s="16">
        <f>IFERROR(IF([2]对账明细接口!$F$832=0,"",[2]对账明细接口!$F$832),"")</f>
      </c>
      <c r="G832" s="16">
        <f>IFERROR(IF([2]对账明细接口!$G$832=0,"",[2]对账明细接口!$G$832),"")</f>
      </c>
      <c r="H832" s="176">
        <f>IFERROR(IF([2]对账明细接口!$H$832=0,"",[2]对账明细接口!$H$832),"")</f>
      </c>
      <c r="I832" s="16">
        <f>IFERROR(IF([2]对账明细接口!$I$832=0,"",[2]对账明细接口!$I$832),"")</f>
      </c>
      <c r="J832" s="177">
        <f>IFERROR(IF([2]对账明细接口!$J$832=0,"",[2]对账明细接口!$J$832),"")</f>
      </c>
      <c r="K832" s="177">
        <f>IFERROR(IF([2]对账明细接口!$K$832=0,"",[2]对账明细接口!$K$832),"")</f>
      </c>
      <c r="L832" s="16">
        <f>IFERROR(IF([2]对账明细接口!$L$832=0,"",[2]对账明细接口!$L$832),"")</f>
      </c>
      <c r="M832" s="16">
        <f>IFERROR(IF([2]对账明细接口!$M$832=0,"",[2]对账明细接口!$M$832),"")</f>
      </c>
      <c r="N832" s="19">
        <f>IF($C832="",0,1)</f>
        <v>0</v>
      </c>
      <c r="O832" s="19">
        <f>N(O831)+$N832</f>
        <v>272</v>
      </c>
      <c r="S832" s="20">
        <f>IFERROR(IF([2]对账明细接口!$N832=0,"",[2]对账明细接口!$N832),"")</f>
      </c>
      <c r="T832" s="212">
        <f>IFERROR(IF([2]对账明细接口!$O832=0,"",[2]对账明细接口!$O832),"")</f>
      </c>
      <c r="U832" s="212">
        <f>IFERROR(IF([2]对账明细接口!$P832=0,"",[2]对账明细接口!$P832),"")</f>
      </c>
      <c r="V832" s="212">
        <f>IFERROR(IF([2]对账明细接口!$Q832=0,"",[2]对账明细接口!$Q832),"")</f>
      </c>
      <c r="W832" s="20">
        <f>IFERROR(IF([2]对账明细接口!$R832=0,"",[2]对账明细接口!$R832),"")</f>
      </c>
      <c r="X832" s="20">
        <f>IFERROR(IF([2]对账明细接口!$S832=0,"",[2]对账明细接口!$S832),"")</f>
      </c>
      <c r="Y832" s="20">
        <f>""</f>
      </c>
      <c r="Z832" s="20">
        <f>""</f>
      </c>
      <c r="AA832" s="20">
        <f>""</f>
      </c>
      <c r="AB832" s="20">
        <f>""</f>
      </c>
    </row>
    <row r="833" s="127">
      <c r="A833" s="14" t="n">
        <v>833</v>
      </c>
      <c r="B833" s="211">
        <f>IFERROR(IF([2]对账明细接口!$B$833=0,"",[2]对账明细接口!$B$833),"")</f>
      </c>
      <c r="C833" s="16">
        <f>IFERROR(IF([2]对账明细接口!$C$833=0,"",[2]对账明细接口!$C$833),"")</f>
      </c>
      <c r="D833" s="16">
        <f>IFERROR(IF([2]对账明细接口!$D$833=0,"",[2]对账明细接口!$D$833),"")</f>
      </c>
      <c r="E833" s="16">
        <f>IFERROR(IF([2]对账明细接口!$E$833=0,"",[2]对账明细接口!$E$833),"")</f>
      </c>
      <c r="F833" s="16">
        <f>IFERROR(IF([2]对账明细接口!$F$833=0,"",[2]对账明细接口!$F$833),"")</f>
      </c>
      <c r="G833" s="16">
        <f>IFERROR(IF([2]对账明细接口!$G$833=0,"",[2]对账明细接口!$G$833),"")</f>
      </c>
      <c r="H833" s="176">
        <f>IFERROR(IF([2]对账明细接口!$H$833=0,"",[2]对账明细接口!$H$833),"")</f>
      </c>
      <c r="I833" s="16">
        <f>IFERROR(IF([2]对账明细接口!$I$833=0,"",[2]对账明细接口!$I$833),"")</f>
      </c>
      <c r="J833" s="177">
        <f>IFERROR(IF([2]对账明细接口!$J$833=0,"",[2]对账明细接口!$J$833),"")</f>
      </c>
      <c r="K833" s="177">
        <f>IFERROR(IF([2]对账明细接口!$K$833=0,"",[2]对账明细接口!$K$833),"")</f>
      </c>
      <c r="L833" s="16">
        <f>IFERROR(IF([2]对账明细接口!$L$833=0,"",[2]对账明细接口!$L$833),"")</f>
      </c>
      <c r="M833" s="16">
        <f>IFERROR(IF([2]对账明细接口!$M$833=0,"",[2]对账明细接口!$M$833),"")</f>
      </c>
      <c r="N833" s="19">
        <f>IF($C833="",0,1)</f>
        <v>0</v>
      </c>
      <c r="O833" s="19">
        <f>N(O832)+$N833</f>
        <v>272</v>
      </c>
      <c r="S833" s="20">
        <f>IFERROR(IF([2]对账明细接口!$N833=0,"",[2]对账明细接口!$N833),"")</f>
      </c>
      <c r="T833" s="212">
        <f>IFERROR(IF([2]对账明细接口!$O833=0,"",[2]对账明细接口!$O833),"")</f>
      </c>
      <c r="U833" s="212">
        <f>IFERROR(IF([2]对账明细接口!$P833=0,"",[2]对账明细接口!$P833),"")</f>
      </c>
      <c r="V833" s="212">
        <f>IFERROR(IF([2]对账明细接口!$Q833=0,"",[2]对账明细接口!$Q833),"")</f>
      </c>
      <c r="W833" s="20">
        <f>IFERROR(IF([2]对账明细接口!$R833=0,"",[2]对账明细接口!$R833),"")</f>
      </c>
      <c r="X833" s="20">
        <f>IFERROR(IF([2]对账明细接口!$S833=0,"",[2]对账明细接口!$S833),"")</f>
      </c>
      <c r="Y833" s="20">
        <f>""</f>
      </c>
      <c r="Z833" s="20">
        <f>""</f>
      </c>
      <c r="AA833" s="20">
        <f>""</f>
      </c>
      <c r="AB833" s="20">
        <f>""</f>
      </c>
    </row>
    <row r="834" s="127">
      <c r="A834" s="14" t="n">
        <v>834</v>
      </c>
      <c r="B834" s="211">
        <f>IFERROR(IF([2]对账明细接口!$B$834=0,"",[2]对账明细接口!$B$834),"")</f>
      </c>
      <c r="C834" s="16">
        <f>IFERROR(IF([2]对账明细接口!$C$834=0,"",[2]对账明细接口!$C$834),"")</f>
      </c>
      <c r="D834" s="16">
        <f>IFERROR(IF([2]对账明细接口!$D$834=0,"",[2]对账明细接口!$D$834),"")</f>
      </c>
      <c r="E834" s="16">
        <f>IFERROR(IF([2]对账明细接口!$E$834=0,"",[2]对账明细接口!$E$834),"")</f>
      </c>
      <c r="F834" s="16">
        <f>IFERROR(IF([2]对账明细接口!$F$834=0,"",[2]对账明细接口!$F$834),"")</f>
      </c>
      <c r="G834" s="16">
        <f>IFERROR(IF([2]对账明细接口!$G$834=0,"",[2]对账明细接口!$G$834),"")</f>
      </c>
      <c r="H834" s="176">
        <f>IFERROR(IF([2]对账明细接口!$H$834=0,"",[2]对账明细接口!$H$834),"")</f>
      </c>
      <c r="I834" s="16">
        <f>IFERROR(IF([2]对账明细接口!$I$834=0,"",[2]对账明细接口!$I$834),"")</f>
      </c>
      <c r="J834" s="177">
        <f>IFERROR(IF([2]对账明细接口!$J$834=0,"",[2]对账明细接口!$J$834),"")</f>
      </c>
      <c r="K834" s="177">
        <f>IFERROR(IF([2]对账明细接口!$K$834=0,"",[2]对账明细接口!$K$834),"")</f>
      </c>
      <c r="L834" s="16">
        <f>IFERROR(IF([2]对账明细接口!$L$834=0,"",[2]对账明细接口!$L$834),"")</f>
      </c>
      <c r="M834" s="16">
        <f>IFERROR(IF([2]对账明细接口!$M$834=0,"",[2]对账明细接口!$M$834),"")</f>
      </c>
      <c r="N834" s="19">
        <f>IF($C834="",0,1)</f>
        <v>0</v>
      </c>
      <c r="O834" s="19">
        <f>N(O833)+$N834</f>
        <v>272</v>
      </c>
      <c r="S834" s="20">
        <f>IFERROR(IF([2]对账明细接口!$N834=0,"",[2]对账明细接口!$N834),"")</f>
      </c>
      <c r="T834" s="212">
        <f>IFERROR(IF([2]对账明细接口!$O834=0,"",[2]对账明细接口!$O834),"")</f>
      </c>
      <c r="U834" s="212">
        <f>IFERROR(IF([2]对账明细接口!$P834=0,"",[2]对账明细接口!$P834),"")</f>
      </c>
      <c r="V834" s="212">
        <f>IFERROR(IF([2]对账明细接口!$Q834=0,"",[2]对账明细接口!$Q834),"")</f>
      </c>
      <c r="W834" s="20">
        <f>IFERROR(IF([2]对账明细接口!$R834=0,"",[2]对账明细接口!$R834),"")</f>
      </c>
      <c r="X834" s="20">
        <f>IFERROR(IF([2]对账明细接口!$S834=0,"",[2]对账明细接口!$S834),"")</f>
      </c>
      <c r="Y834" s="20">
        <f>""</f>
      </c>
      <c r="Z834" s="20">
        <f>""</f>
      </c>
      <c r="AA834" s="20">
        <f>""</f>
      </c>
      <c r="AB834" s="20">
        <f>""</f>
      </c>
    </row>
    <row r="835" s="127">
      <c r="A835" s="14" t="n">
        <v>835</v>
      </c>
      <c r="B835" s="211">
        <f>IFERROR(IF([2]对账明细接口!$B$835=0,"",[2]对账明细接口!$B$835),"")</f>
      </c>
      <c r="C835" s="16">
        <f>IFERROR(IF([2]对账明细接口!$C$835=0,"",[2]对账明细接口!$C$835),"")</f>
      </c>
      <c r="D835" s="16">
        <f>IFERROR(IF([2]对账明细接口!$D$835=0,"",[2]对账明细接口!$D$835),"")</f>
      </c>
      <c r="E835" s="16">
        <f>IFERROR(IF([2]对账明细接口!$E$835=0,"",[2]对账明细接口!$E$835),"")</f>
      </c>
      <c r="F835" s="16">
        <f>IFERROR(IF([2]对账明细接口!$F$835=0,"",[2]对账明细接口!$F$835),"")</f>
      </c>
      <c r="G835" s="16">
        <f>IFERROR(IF([2]对账明细接口!$G$835=0,"",[2]对账明细接口!$G$835),"")</f>
      </c>
      <c r="H835" s="176">
        <f>IFERROR(IF([2]对账明细接口!$H$835=0,"",[2]对账明细接口!$H$835),"")</f>
      </c>
      <c r="I835" s="16">
        <f>IFERROR(IF([2]对账明细接口!$I$835=0,"",[2]对账明细接口!$I$835),"")</f>
      </c>
      <c r="J835" s="177">
        <f>IFERROR(IF([2]对账明细接口!$J$835=0,"",[2]对账明细接口!$J$835),"")</f>
      </c>
      <c r="K835" s="177">
        <f>IFERROR(IF([2]对账明细接口!$K$835=0,"",[2]对账明细接口!$K$835),"")</f>
      </c>
      <c r="L835" s="16">
        <f>IFERROR(IF([2]对账明细接口!$L$835=0,"",[2]对账明细接口!$L$835),"")</f>
      </c>
      <c r="M835" s="16">
        <f>IFERROR(IF([2]对账明细接口!$M$835=0,"",[2]对账明细接口!$M$835),"")</f>
      </c>
      <c r="N835" s="19">
        <f>IF($C835="",0,1)</f>
        <v>0</v>
      </c>
      <c r="O835" s="19">
        <f>N(O834)+$N835</f>
        <v>272</v>
      </c>
      <c r="S835" s="20">
        <f>IFERROR(IF([2]对账明细接口!$N835=0,"",[2]对账明细接口!$N835),"")</f>
      </c>
      <c r="T835" s="212">
        <f>IFERROR(IF([2]对账明细接口!$O835=0,"",[2]对账明细接口!$O835),"")</f>
      </c>
      <c r="U835" s="212">
        <f>IFERROR(IF([2]对账明细接口!$P835=0,"",[2]对账明细接口!$P835),"")</f>
      </c>
      <c r="V835" s="212">
        <f>IFERROR(IF([2]对账明细接口!$Q835=0,"",[2]对账明细接口!$Q835),"")</f>
      </c>
      <c r="W835" s="20">
        <f>IFERROR(IF([2]对账明细接口!$R835=0,"",[2]对账明细接口!$R835),"")</f>
      </c>
      <c r="X835" s="20">
        <f>IFERROR(IF([2]对账明细接口!$S835=0,"",[2]对账明细接口!$S835),"")</f>
      </c>
      <c r="Y835" s="20">
        <f>""</f>
      </c>
      <c r="Z835" s="20">
        <f>""</f>
      </c>
      <c r="AA835" s="20">
        <f>""</f>
      </c>
      <c r="AB835" s="20">
        <f>""</f>
      </c>
    </row>
    <row r="836" s="127">
      <c r="A836" s="14" t="n">
        <v>836</v>
      </c>
      <c r="B836" s="211">
        <f>IFERROR(IF([2]对账明细接口!$B$836=0,"",[2]对账明细接口!$B$836),"")</f>
      </c>
      <c r="C836" s="16">
        <f>IFERROR(IF([2]对账明细接口!$C$836=0,"",[2]对账明细接口!$C$836),"")</f>
      </c>
      <c r="D836" s="16">
        <f>IFERROR(IF([2]对账明细接口!$D$836=0,"",[2]对账明细接口!$D$836),"")</f>
      </c>
      <c r="E836" s="16">
        <f>IFERROR(IF([2]对账明细接口!$E$836=0,"",[2]对账明细接口!$E$836),"")</f>
      </c>
      <c r="F836" s="16">
        <f>IFERROR(IF([2]对账明细接口!$F$836=0,"",[2]对账明细接口!$F$836),"")</f>
      </c>
      <c r="G836" s="16">
        <f>IFERROR(IF([2]对账明细接口!$G$836=0,"",[2]对账明细接口!$G$836),"")</f>
      </c>
      <c r="H836" s="176">
        <f>IFERROR(IF([2]对账明细接口!$H$836=0,"",[2]对账明细接口!$H$836),"")</f>
      </c>
      <c r="I836" s="16">
        <f>IFERROR(IF([2]对账明细接口!$I$836=0,"",[2]对账明细接口!$I$836),"")</f>
      </c>
      <c r="J836" s="177">
        <f>IFERROR(IF([2]对账明细接口!$J$836=0,"",[2]对账明细接口!$J$836),"")</f>
      </c>
      <c r="K836" s="177">
        <f>IFERROR(IF([2]对账明细接口!$K$836=0,"",[2]对账明细接口!$K$836),"")</f>
      </c>
      <c r="L836" s="16">
        <f>IFERROR(IF([2]对账明细接口!$L$836=0,"",[2]对账明细接口!$L$836),"")</f>
      </c>
      <c r="M836" s="16">
        <f>IFERROR(IF([2]对账明细接口!$M$836=0,"",[2]对账明细接口!$M$836),"")</f>
      </c>
      <c r="N836" s="19">
        <f>IF($C836="",0,1)</f>
        <v>0</v>
      </c>
      <c r="O836" s="19">
        <f>N(O835)+$N836</f>
        <v>272</v>
      </c>
      <c r="S836" s="20">
        <f>IFERROR(IF([2]对账明细接口!$N836=0,"",[2]对账明细接口!$N836),"")</f>
      </c>
      <c r="T836" s="212">
        <f>IFERROR(IF([2]对账明细接口!$O836=0,"",[2]对账明细接口!$O836),"")</f>
      </c>
      <c r="U836" s="212">
        <f>IFERROR(IF([2]对账明细接口!$P836=0,"",[2]对账明细接口!$P836),"")</f>
      </c>
      <c r="V836" s="212">
        <f>IFERROR(IF([2]对账明细接口!$Q836=0,"",[2]对账明细接口!$Q836),"")</f>
      </c>
      <c r="W836" s="20">
        <f>IFERROR(IF([2]对账明细接口!$R836=0,"",[2]对账明细接口!$R836),"")</f>
      </c>
      <c r="X836" s="20">
        <f>IFERROR(IF([2]对账明细接口!$S836=0,"",[2]对账明细接口!$S836),"")</f>
      </c>
      <c r="Y836" s="20">
        <f>""</f>
      </c>
      <c r="Z836" s="20">
        <f>""</f>
      </c>
      <c r="AA836" s="20">
        <f>""</f>
      </c>
      <c r="AB836" s="20">
        <f>""</f>
      </c>
    </row>
    <row r="837" s="127">
      <c r="A837" s="14" t="n">
        <v>837</v>
      </c>
      <c r="B837" s="211">
        <f>IFERROR(IF([2]对账明细接口!$B$837=0,"",[2]对账明细接口!$B$837),"")</f>
      </c>
      <c r="C837" s="16">
        <f>IFERROR(IF([2]对账明细接口!$C$837=0,"",[2]对账明细接口!$C$837),"")</f>
      </c>
      <c r="D837" s="16">
        <f>IFERROR(IF([2]对账明细接口!$D$837=0,"",[2]对账明细接口!$D$837),"")</f>
      </c>
      <c r="E837" s="16">
        <f>IFERROR(IF([2]对账明细接口!$E$837=0,"",[2]对账明细接口!$E$837),"")</f>
      </c>
      <c r="F837" s="16">
        <f>IFERROR(IF([2]对账明细接口!$F$837=0,"",[2]对账明细接口!$F$837),"")</f>
      </c>
      <c r="G837" s="16">
        <f>IFERROR(IF([2]对账明细接口!$G$837=0,"",[2]对账明细接口!$G$837),"")</f>
      </c>
      <c r="H837" s="176">
        <f>IFERROR(IF([2]对账明细接口!$H$837=0,"",[2]对账明细接口!$H$837),"")</f>
      </c>
      <c r="I837" s="16">
        <f>IFERROR(IF([2]对账明细接口!$I$837=0,"",[2]对账明细接口!$I$837),"")</f>
      </c>
      <c r="J837" s="177">
        <f>IFERROR(IF([2]对账明细接口!$J$837=0,"",[2]对账明细接口!$J$837),"")</f>
      </c>
      <c r="K837" s="177">
        <f>IFERROR(IF([2]对账明细接口!$K$837=0,"",[2]对账明细接口!$K$837),"")</f>
      </c>
      <c r="L837" s="16">
        <f>IFERROR(IF([2]对账明细接口!$L$837=0,"",[2]对账明细接口!$L$837),"")</f>
      </c>
      <c r="M837" s="16">
        <f>IFERROR(IF([2]对账明细接口!$M$837=0,"",[2]对账明细接口!$M$837),"")</f>
      </c>
      <c r="N837" s="19">
        <f>IF($C837="",0,1)</f>
        <v>0</v>
      </c>
      <c r="O837" s="19">
        <f>N(O836)+$N837</f>
        <v>272</v>
      </c>
      <c r="S837" s="20">
        <f>IFERROR(IF([2]对账明细接口!$N837=0,"",[2]对账明细接口!$N837),"")</f>
      </c>
      <c r="T837" s="212">
        <f>IFERROR(IF([2]对账明细接口!$O837=0,"",[2]对账明细接口!$O837),"")</f>
      </c>
      <c r="U837" s="212">
        <f>IFERROR(IF([2]对账明细接口!$P837=0,"",[2]对账明细接口!$P837),"")</f>
      </c>
      <c r="V837" s="212">
        <f>IFERROR(IF([2]对账明细接口!$Q837=0,"",[2]对账明细接口!$Q837),"")</f>
      </c>
      <c r="W837" s="20">
        <f>IFERROR(IF([2]对账明细接口!$R837=0,"",[2]对账明细接口!$R837),"")</f>
      </c>
      <c r="X837" s="20">
        <f>IFERROR(IF([2]对账明细接口!$S837=0,"",[2]对账明细接口!$S837),"")</f>
      </c>
      <c r="Y837" s="20">
        <f>""</f>
      </c>
      <c r="Z837" s="20">
        <f>""</f>
      </c>
      <c r="AA837" s="20">
        <f>""</f>
      </c>
      <c r="AB837" s="20">
        <f>""</f>
      </c>
    </row>
    <row r="838" s="127">
      <c r="A838" s="14" t="n">
        <v>838</v>
      </c>
      <c r="B838" s="211">
        <f>IFERROR(IF([2]对账明细接口!$B$838=0,"",[2]对账明细接口!$B$838),"")</f>
      </c>
      <c r="C838" s="16">
        <f>IFERROR(IF([2]对账明细接口!$C$838=0,"",[2]对账明细接口!$C$838),"")</f>
      </c>
      <c r="D838" s="16">
        <f>IFERROR(IF([2]对账明细接口!$D$838=0,"",[2]对账明细接口!$D$838),"")</f>
      </c>
      <c r="E838" s="16">
        <f>IFERROR(IF([2]对账明细接口!$E$838=0,"",[2]对账明细接口!$E$838),"")</f>
      </c>
      <c r="F838" s="16">
        <f>IFERROR(IF([2]对账明细接口!$F$838=0,"",[2]对账明细接口!$F$838),"")</f>
      </c>
      <c r="G838" s="16">
        <f>IFERROR(IF([2]对账明细接口!$G$838=0,"",[2]对账明细接口!$G$838),"")</f>
      </c>
      <c r="H838" s="176">
        <f>IFERROR(IF([2]对账明细接口!$H$838=0,"",[2]对账明细接口!$H$838),"")</f>
      </c>
      <c r="I838" s="16">
        <f>IFERROR(IF([2]对账明细接口!$I$838=0,"",[2]对账明细接口!$I$838),"")</f>
      </c>
      <c r="J838" s="177">
        <f>IFERROR(IF([2]对账明细接口!$J$838=0,"",[2]对账明细接口!$J$838),"")</f>
      </c>
      <c r="K838" s="177">
        <f>IFERROR(IF([2]对账明细接口!$K$838=0,"",[2]对账明细接口!$K$838),"")</f>
      </c>
      <c r="L838" s="16">
        <f>IFERROR(IF([2]对账明细接口!$L$838=0,"",[2]对账明细接口!$L$838),"")</f>
      </c>
      <c r="M838" s="16">
        <f>IFERROR(IF([2]对账明细接口!$M$838=0,"",[2]对账明细接口!$M$838),"")</f>
      </c>
      <c r="N838" s="19">
        <f>IF($C838="",0,1)</f>
        <v>0</v>
      </c>
      <c r="O838" s="19">
        <f>N(O837)+$N838</f>
        <v>272</v>
      </c>
      <c r="S838" s="20">
        <f>IFERROR(IF([2]对账明细接口!$N838=0,"",[2]对账明细接口!$N838),"")</f>
      </c>
      <c r="T838" s="212">
        <f>IFERROR(IF([2]对账明细接口!$O838=0,"",[2]对账明细接口!$O838),"")</f>
      </c>
      <c r="U838" s="212">
        <f>IFERROR(IF([2]对账明细接口!$P838=0,"",[2]对账明细接口!$P838),"")</f>
      </c>
      <c r="V838" s="212">
        <f>IFERROR(IF([2]对账明细接口!$Q838=0,"",[2]对账明细接口!$Q838),"")</f>
      </c>
      <c r="W838" s="20">
        <f>IFERROR(IF([2]对账明细接口!$R838=0,"",[2]对账明细接口!$R838),"")</f>
      </c>
      <c r="X838" s="20">
        <f>IFERROR(IF([2]对账明细接口!$S838=0,"",[2]对账明细接口!$S838),"")</f>
      </c>
      <c r="Y838" s="20">
        <f>""</f>
      </c>
      <c r="Z838" s="20">
        <f>""</f>
      </c>
      <c r="AA838" s="20">
        <f>""</f>
      </c>
      <c r="AB838" s="20">
        <f>""</f>
      </c>
    </row>
    <row r="839" s="127">
      <c r="A839" s="14" t="n">
        <v>839</v>
      </c>
      <c r="B839" s="211">
        <f>IFERROR(IF([2]对账明细接口!$B$839=0,"",[2]对账明细接口!$B$839),"")</f>
      </c>
      <c r="C839" s="16">
        <f>IFERROR(IF([2]对账明细接口!$C$839=0,"",[2]对账明细接口!$C$839),"")</f>
      </c>
      <c r="D839" s="16">
        <f>IFERROR(IF([2]对账明细接口!$D$839=0,"",[2]对账明细接口!$D$839),"")</f>
      </c>
      <c r="E839" s="16">
        <f>IFERROR(IF([2]对账明细接口!$E$839=0,"",[2]对账明细接口!$E$839),"")</f>
      </c>
      <c r="F839" s="16">
        <f>IFERROR(IF([2]对账明细接口!$F$839=0,"",[2]对账明细接口!$F$839),"")</f>
      </c>
      <c r="G839" s="16">
        <f>IFERROR(IF([2]对账明细接口!$G$839=0,"",[2]对账明细接口!$G$839),"")</f>
      </c>
      <c r="H839" s="176">
        <f>IFERROR(IF([2]对账明细接口!$H$839=0,"",[2]对账明细接口!$H$839),"")</f>
      </c>
      <c r="I839" s="16">
        <f>IFERROR(IF([2]对账明细接口!$I$839=0,"",[2]对账明细接口!$I$839),"")</f>
      </c>
      <c r="J839" s="177">
        <f>IFERROR(IF([2]对账明细接口!$J$839=0,"",[2]对账明细接口!$J$839),"")</f>
      </c>
      <c r="K839" s="177">
        <f>IFERROR(IF([2]对账明细接口!$K$839=0,"",[2]对账明细接口!$K$839),"")</f>
      </c>
      <c r="L839" s="16">
        <f>IFERROR(IF([2]对账明细接口!$L$839=0,"",[2]对账明细接口!$L$839),"")</f>
      </c>
      <c r="M839" s="16">
        <f>IFERROR(IF([2]对账明细接口!$M$839=0,"",[2]对账明细接口!$M$839),"")</f>
      </c>
      <c r="N839" s="19">
        <f>IF($C839="",0,1)</f>
        <v>0</v>
      </c>
      <c r="O839" s="19">
        <f>N(O838)+$N839</f>
        <v>272</v>
      </c>
      <c r="S839" s="20">
        <f>IFERROR(IF([2]对账明细接口!$N839=0,"",[2]对账明细接口!$N839),"")</f>
      </c>
      <c r="T839" s="212">
        <f>IFERROR(IF([2]对账明细接口!$O839=0,"",[2]对账明细接口!$O839),"")</f>
      </c>
      <c r="U839" s="212">
        <f>IFERROR(IF([2]对账明细接口!$P839=0,"",[2]对账明细接口!$P839),"")</f>
      </c>
      <c r="V839" s="212">
        <f>IFERROR(IF([2]对账明细接口!$Q839=0,"",[2]对账明细接口!$Q839),"")</f>
      </c>
      <c r="W839" s="20">
        <f>IFERROR(IF([2]对账明细接口!$R839=0,"",[2]对账明细接口!$R839),"")</f>
      </c>
      <c r="X839" s="20">
        <f>IFERROR(IF([2]对账明细接口!$S839=0,"",[2]对账明细接口!$S839),"")</f>
      </c>
      <c r="Y839" s="20">
        <f>""</f>
      </c>
      <c r="Z839" s="20">
        <f>""</f>
      </c>
      <c r="AA839" s="20">
        <f>""</f>
      </c>
      <c r="AB839" s="20">
        <f>""</f>
      </c>
    </row>
    <row r="840" s="127">
      <c r="A840" s="14" t="n">
        <v>840</v>
      </c>
      <c r="B840" s="211">
        <f>IFERROR(IF([2]对账明细接口!$B$840=0,"",[2]对账明细接口!$B$840),"")</f>
      </c>
      <c r="C840" s="16">
        <f>IFERROR(IF([2]对账明细接口!$C$840=0,"",[2]对账明细接口!$C$840),"")</f>
      </c>
      <c r="D840" s="16">
        <f>IFERROR(IF([2]对账明细接口!$D$840=0,"",[2]对账明细接口!$D$840),"")</f>
      </c>
      <c r="E840" s="16">
        <f>IFERROR(IF([2]对账明细接口!$E$840=0,"",[2]对账明细接口!$E$840),"")</f>
      </c>
      <c r="F840" s="16">
        <f>IFERROR(IF([2]对账明细接口!$F$840=0,"",[2]对账明细接口!$F$840),"")</f>
      </c>
      <c r="G840" s="16">
        <f>IFERROR(IF([2]对账明细接口!$G$840=0,"",[2]对账明细接口!$G$840),"")</f>
      </c>
      <c r="H840" s="176">
        <f>IFERROR(IF([2]对账明细接口!$H$840=0,"",[2]对账明细接口!$H$840),"")</f>
      </c>
      <c r="I840" s="16">
        <f>IFERROR(IF([2]对账明细接口!$I$840=0,"",[2]对账明细接口!$I$840),"")</f>
      </c>
      <c r="J840" s="177">
        <f>IFERROR(IF([2]对账明细接口!$J$840=0,"",[2]对账明细接口!$J$840),"")</f>
      </c>
      <c r="K840" s="177">
        <f>IFERROR(IF([2]对账明细接口!$K$840=0,"",[2]对账明细接口!$K$840),"")</f>
      </c>
      <c r="L840" s="16">
        <f>IFERROR(IF([2]对账明细接口!$L$840=0,"",[2]对账明细接口!$L$840),"")</f>
      </c>
      <c r="M840" s="16">
        <f>IFERROR(IF([2]对账明细接口!$M$840=0,"",[2]对账明细接口!$M$840),"")</f>
      </c>
      <c r="N840" s="19">
        <f>IF($C840="",0,1)</f>
        <v>0</v>
      </c>
      <c r="O840" s="19">
        <f>N(O839)+$N840</f>
        <v>272</v>
      </c>
      <c r="S840" s="20">
        <f>IFERROR(IF([2]对账明细接口!$N840=0,"",[2]对账明细接口!$N840),"")</f>
      </c>
      <c r="T840" s="212">
        <f>IFERROR(IF([2]对账明细接口!$O840=0,"",[2]对账明细接口!$O840),"")</f>
      </c>
      <c r="U840" s="212">
        <f>IFERROR(IF([2]对账明细接口!$P840=0,"",[2]对账明细接口!$P840),"")</f>
      </c>
      <c r="V840" s="212">
        <f>IFERROR(IF([2]对账明细接口!$Q840=0,"",[2]对账明细接口!$Q840),"")</f>
      </c>
      <c r="W840" s="20">
        <f>IFERROR(IF([2]对账明细接口!$R840=0,"",[2]对账明细接口!$R840),"")</f>
      </c>
      <c r="X840" s="20">
        <f>IFERROR(IF([2]对账明细接口!$S840=0,"",[2]对账明细接口!$S840),"")</f>
      </c>
      <c r="Y840" s="20">
        <f>""</f>
      </c>
      <c r="Z840" s="20">
        <f>""</f>
      </c>
      <c r="AA840" s="20">
        <f>""</f>
      </c>
      <c r="AB840" s="20">
        <f>""</f>
      </c>
    </row>
    <row r="841" s="127">
      <c r="A841" s="14" t="n">
        <v>841</v>
      </c>
      <c r="B841" s="211">
        <f>IFERROR(IF([2]对账明细接口!$B$841=0,"",[2]对账明细接口!$B$841),"")</f>
      </c>
      <c r="C841" s="16">
        <f>IFERROR(IF([2]对账明细接口!$C$841=0,"",[2]对账明细接口!$C$841),"")</f>
      </c>
      <c r="D841" s="16">
        <f>IFERROR(IF([2]对账明细接口!$D$841=0,"",[2]对账明细接口!$D$841),"")</f>
      </c>
      <c r="E841" s="16">
        <f>IFERROR(IF([2]对账明细接口!$E$841=0,"",[2]对账明细接口!$E$841),"")</f>
      </c>
      <c r="F841" s="16">
        <f>IFERROR(IF([2]对账明细接口!$F$841=0,"",[2]对账明细接口!$F$841),"")</f>
      </c>
      <c r="G841" s="16">
        <f>IFERROR(IF([2]对账明细接口!$G$841=0,"",[2]对账明细接口!$G$841),"")</f>
      </c>
      <c r="H841" s="176">
        <f>IFERROR(IF([2]对账明细接口!$H$841=0,"",[2]对账明细接口!$H$841),"")</f>
      </c>
      <c r="I841" s="16">
        <f>IFERROR(IF([2]对账明细接口!$I$841=0,"",[2]对账明细接口!$I$841),"")</f>
      </c>
      <c r="J841" s="177">
        <f>IFERROR(IF([2]对账明细接口!$J$841=0,"",[2]对账明细接口!$J$841),"")</f>
      </c>
      <c r="K841" s="177">
        <f>IFERROR(IF([2]对账明细接口!$K$841=0,"",[2]对账明细接口!$K$841),"")</f>
      </c>
      <c r="L841" s="16">
        <f>IFERROR(IF([2]对账明细接口!$L$841=0,"",[2]对账明细接口!$L$841),"")</f>
      </c>
      <c r="M841" s="16">
        <f>IFERROR(IF([2]对账明细接口!$M$841=0,"",[2]对账明细接口!$M$841),"")</f>
      </c>
      <c r="N841" s="19">
        <f>IF($C841="",0,1)</f>
        <v>0</v>
      </c>
      <c r="O841" s="19">
        <f>N(O840)+$N841</f>
        <v>272</v>
      </c>
      <c r="S841" s="20">
        <f>IFERROR(IF([2]对账明细接口!$N841=0,"",[2]对账明细接口!$N841),"")</f>
      </c>
      <c r="T841" s="212">
        <f>IFERROR(IF([2]对账明细接口!$O841=0,"",[2]对账明细接口!$O841),"")</f>
      </c>
      <c r="U841" s="212">
        <f>IFERROR(IF([2]对账明细接口!$P841=0,"",[2]对账明细接口!$P841),"")</f>
      </c>
      <c r="V841" s="212">
        <f>IFERROR(IF([2]对账明细接口!$Q841=0,"",[2]对账明细接口!$Q841),"")</f>
      </c>
      <c r="W841" s="20">
        <f>IFERROR(IF([2]对账明细接口!$R841=0,"",[2]对账明细接口!$R841),"")</f>
      </c>
      <c r="X841" s="20">
        <f>IFERROR(IF([2]对账明细接口!$S841=0,"",[2]对账明细接口!$S841),"")</f>
      </c>
      <c r="Y841" s="20">
        <f>""</f>
      </c>
      <c r="Z841" s="20">
        <f>""</f>
      </c>
      <c r="AA841" s="20">
        <f>""</f>
      </c>
      <c r="AB841" s="20">
        <f>""</f>
      </c>
    </row>
    <row r="842" s="127">
      <c r="A842" s="14" t="n">
        <v>842</v>
      </c>
      <c r="B842" s="211">
        <f>IFERROR(IF([2]对账明细接口!$B$842=0,"",[2]对账明细接口!$B$842),"")</f>
      </c>
      <c r="C842" s="16">
        <f>IFERROR(IF([2]对账明细接口!$C$842=0,"",[2]对账明细接口!$C$842),"")</f>
      </c>
      <c r="D842" s="16">
        <f>IFERROR(IF([2]对账明细接口!$D$842=0,"",[2]对账明细接口!$D$842),"")</f>
      </c>
      <c r="E842" s="16">
        <f>IFERROR(IF([2]对账明细接口!$E$842=0,"",[2]对账明细接口!$E$842),"")</f>
      </c>
      <c r="F842" s="16">
        <f>IFERROR(IF([2]对账明细接口!$F$842=0,"",[2]对账明细接口!$F$842),"")</f>
      </c>
      <c r="G842" s="16">
        <f>IFERROR(IF([2]对账明细接口!$G$842=0,"",[2]对账明细接口!$G$842),"")</f>
      </c>
      <c r="H842" s="176">
        <f>IFERROR(IF([2]对账明细接口!$H$842=0,"",[2]对账明细接口!$H$842),"")</f>
      </c>
      <c r="I842" s="16">
        <f>IFERROR(IF([2]对账明细接口!$I$842=0,"",[2]对账明细接口!$I$842),"")</f>
      </c>
      <c r="J842" s="177">
        <f>IFERROR(IF([2]对账明细接口!$J$842=0,"",[2]对账明细接口!$J$842),"")</f>
      </c>
      <c r="K842" s="177">
        <f>IFERROR(IF([2]对账明细接口!$K$842=0,"",[2]对账明细接口!$K$842),"")</f>
      </c>
      <c r="L842" s="16">
        <f>IFERROR(IF([2]对账明细接口!$L$842=0,"",[2]对账明细接口!$L$842),"")</f>
      </c>
      <c r="M842" s="16">
        <f>IFERROR(IF([2]对账明细接口!$M$842=0,"",[2]对账明细接口!$M$842),"")</f>
      </c>
      <c r="N842" s="19">
        <f>IF($C842="",0,1)</f>
        <v>0</v>
      </c>
      <c r="O842" s="19">
        <f>N(O841)+$N842</f>
        <v>272</v>
      </c>
      <c r="S842" s="20">
        <f>IFERROR(IF([2]对账明细接口!$N842=0,"",[2]对账明细接口!$N842),"")</f>
      </c>
      <c r="T842" s="212">
        <f>IFERROR(IF([2]对账明细接口!$O842=0,"",[2]对账明细接口!$O842),"")</f>
      </c>
      <c r="U842" s="212">
        <f>IFERROR(IF([2]对账明细接口!$P842=0,"",[2]对账明细接口!$P842),"")</f>
      </c>
      <c r="V842" s="212">
        <f>IFERROR(IF([2]对账明细接口!$Q842=0,"",[2]对账明细接口!$Q842),"")</f>
      </c>
      <c r="W842" s="20">
        <f>IFERROR(IF([2]对账明细接口!$R842=0,"",[2]对账明细接口!$R842),"")</f>
      </c>
      <c r="X842" s="20">
        <f>IFERROR(IF([2]对账明细接口!$S842=0,"",[2]对账明细接口!$S842),"")</f>
      </c>
      <c r="Y842" s="20">
        <f>""</f>
      </c>
      <c r="Z842" s="20">
        <f>""</f>
      </c>
      <c r="AA842" s="20">
        <f>""</f>
      </c>
      <c r="AB842" s="20">
        <f>""</f>
      </c>
    </row>
    <row r="843" s="127">
      <c r="A843" s="14" t="n">
        <v>843</v>
      </c>
      <c r="B843" s="211">
        <f>IFERROR(IF([2]对账明细接口!$B$843=0,"",[2]对账明细接口!$B$843),"")</f>
      </c>
      <c r="C843" s="16">
        <f>IFERROR(IF([2]对账明细接口!$C$843=0,"",[2]对账明细接口!$C$843),"")</f>
      </c>
      <c r="D843" s="16">
        <f>IFERROR(IF([2]对账明细接口!$D$843=0,"",[2]对账明细接口!$D$843),"")</f>
      </c>
      <c r="E843" s="16">
        <f>IFERROR(IF([2]对账明细接口!$E$843=0,"",[2]对账明细接口!$E$843),"")</f>
      </c>
      <c r="F843" s="16">
        <f>IFERROR(IF([2]对账明细接口!$F$843=0,"",[2]对账明细接口!$F$843),"")</f>
      </c>
      <c r="G843" s="16">
        <f>IFERROR(IF([2]对账明细接口!$G$843=0,"",[2]对账明细接口!$G$843),"")</f>
      </c>
      <c r="H843" s="176">
        <f>IFERROR(IF([2]对账明细接口!$H$843=0,"",[2]对账明细接口!$H$843),"")</f>
      </c>
      <c r="I843" s="16">
        <f>IFERROR(IF([2]对账明细接口!$I$843=0,"",[2]对账明细接口!$I$843),"")</f>
      </c>
      <c r="J843" s="177">
        <f>IFERROR(IF([2]对账明细接口!$J$843=0,"",[2]对账明细接口!$J$843),"")</f>
      </c>
      <c r="K843" s="177">
        <f>IFERROR(IF([2]对账明细接口!$K$843=0,"",[2]对账明细接口!$K$843),"")</f>
      </c>
      <c r="L843" s="16">
        <f>IFERROR(IF([2]对账明细接口!$L$843=0,"",[2]对账明细接口!$L$843),"")</f>
      </c>
      <c r="M843" s="16">
        <f>IFERROR(IF([2]对账明细接口!$M$843=0,"",[2]对账明细接口!$M$843),"")</f>
      </c>
      <c r="N843" s="19">
        <f>IF($C843="",0,1)</f>
        <v>0</v>
      </c>
      <c r="O843" s="19">
        <f>N(O842)+$N843</f>
        <v>272</v>
      </c>
      <c r="S843" s="20">
        <f>IFERROR(IF([2]对账明细接口!$N843=0,"",[2]对账明细接口!$N843),"")</f>
      </c>
      <c r="T843" s="212">
        <f>IFERROR(IF([2]对账明细接口!$O843=0,"",[2]对账明细接口!$O843),"")</f>
      </c>
      <c r="U843" s="212">
        <f>IFERROR(IF([2]对账明细接口!$P843=0,"",[2]对账明细接口!$P843),"")</f>
      </c>
      <c r="V843" s="212">
        <f>IFERROR(IF([2]对账明细接口!$Q843=0,"",[2]对账明细接口!$Q843),"")</f>
      </c>
      <c r="W843" s="20">
        <f>IFERROR(IF([2]对账明细接口!$R843=0,"",[2]对账明细接口!$R843),"")</f>
      </c>
      <c r="X843" s="20">
        <f>IFERROR(IF([2]对账明细接口!$S843=0,"",[2]对账明细接口!$S843),"")</f>
      </c>
      <c r="Y843" s="20">
        <f>""</f>
      </c>
      <c r="Z843" s="20">
        <f>""</f>
      </c>
      <c r="AA843" s="20">
        <f>""</f>
      </c>
      <c r="AB843" s="20">
        <f>""</f>
      </c>
    </row>
    <row r="844" s="127">
      <c r="A844" s="14" t="n">
        <v>844</v>
      </c>
      <c r="B844" s="211">
        <f>IFERROR(IF([2]对账明细接口!$B$844=0,"",[2]对账明细接口!$B$844),"")</f>
      </c>
      <c r="C844" s="16">
        <f>IFERROR(IF([2]对账明细接口!$C$844=0,"",[2]对账明细接口!$C$844),"")</f>
      </c>
      <c r="D844" s="16">
        <f>IFERROR(IF([2]对账明细接口!$D$844=0,"",[2]对账明细接口!$D$844),"")</f>
      </c>
      <c r="E844" s="16">
        <f>IFERROR(IF([2]对账明细接口!$E$844=0,"",[2]对账明细接口!$E$844),"")</f>
      </c>
      <c r="F844" s="16">
        <f>IFERROR(IF([2]对账明细接口!$F$844=0,"",[2]对账明细接口!$F$844),"")</f>
      </c>
      <c r="G844" s="16">
        <f>IFERROR(IF([2]对账明细接口!$G$844=0,"",[2]对账明细接口!$G$844),"")</f>
      </c>
      <c r="H844" s="176">
        <f>IFERROR(IF([2]对账明细接口!$H$844=0,"",[2]对账明细接口!$H$844),"")</f>
      </c>
      <c r="I844" s="16">
        <f>IFERROR(IF([2]对账明细接口!$I$844=0,"",[2]对账明细接口!$I$844),"")</f>
      </c>
      <c r="J844" s="177">
        <f>IFERROR(IF([2]对账明细接口!$J$844=0,"",[2]对账明细接口!$J$844),"")</f>
      </c>
      <c r="K844" s="177">
        <f>IFERROR(IF([2]对账明细接口!$K$844=0,"",[2]对账明细接口!$K$844),"")</f>
      </c>
      <c r="L844" s="16">
        <f>IFERROR(IF([2]对账明细接口!$L$844=0,"",[2]对账明细接口!$L$844),"")</f>
      </c>
      <c r="M844" s="16">
        <f>IFERROR(IF([2]对账明细接口!$M$844=0,"",[2]对账明细接口!$M$844),"")</f>
      </c>
      <c r="N844" s="19">
        <f>IF($C844="",0,1)</f>
        <v>0</v>
      </c>
      <c r="O844" s="19">
        <f>N(O843)+$N844</f>
        <v>272</v>
      </c>
      <c r="S844" s="20">
        <f>IFERROR(IF([2]对账明细接口!$N844=0,"",[2]对账明细接口!$N844),"")</f>
      </c>
      <c r="T844" s="212">
        <f>IFERROR(IF([2]对账明细接口!$O844=0,"",[2]对账明细接口!$O844),"")</f>
      </c>
      <c r="U844" s="212">
        <f>IFERROR(IF([2]对账明细接口!$P844=0,"",[2]对账明细接口!$P844),"")</f>
      </c>
      <c r="V844" s="212">
        <f>IFERROR(IF([2]对账明细接口!$Q844=0,"",[2]对账明细接口!$Q844),"")</f>
      </c>
      <c r="W844" s="20">
        <f>IFERROR(IF([2]对账明细接口!$R844=0,"",[2]对账明细接口!$R844),"")</f>
      </c>
      <c r="X844" s="20">
        <f>IFERROR(IF([2]对账明细接口!$S844=0,"",[2]对账明细接口!$S844),"")</f>
      </c>
      <c r="Y844" s="20">
        <f>""</f>
      </c>
      <c r="Z844" s="20">
        <f>""</f>
      </c>
      <c r="AA844" s="20">
        <f>""</f>
      </c>
      <c r="AB844" s="20">
        <f>""</f>
      </c>
    </row>
    <row r="845" s="127">
      <c r="A845" s="14" t="n">
        <v>845</v>
      </c>
      <c r="B845" s="211">
        <f>IFERROR(IF([2]对账明细接口!$B$845=0,"",[2]对账明细接口!$B$845),"")</f>
      </c>
      <c r="C845" s="16">
        <f>IFERROR(IF([2]对账明细接口!$C$845=0,"",[2]对账明细接口!$C$845),"")</f>
      </c>
      <c r="D845" s="16">
        <f>IFERROR(IF([2]对账明细接口!$D$845=0,"",[2]对账明细接口!$D$845),"")</f>
      </c>
      <c r="E845" s="16">
        <f>IFERROR(IF([2]对账明细接口!$E$845=0,"",[2]对账明细接口!$E$845),"")</f>
      </c>
      <c r="F845" s="16">
        <f>IFERROR(IF([2]对账明细接口!$F$845=0,"",[2]对账明细接口!$F$845),"")</f>
      </c>
      <c r="G845" s="16">
        <f>IFERROR(IF([2]对账明细接口!$G$845=0,"",[2]对账明细接口!$G$845),"")</f>
      </c>
      <c r="H845" s="176">
        <f>IFERROR(IF([2]对账明细接口!$H$845=0,"",[2]对账明细接口!$H$845),"")</f>
      </c>
      <c r="I845" s="16">
        <f>IFERROR(IF([2]对账明细接口!$I$845=0,"",[2]对账明细接口!$I$845),"")</f>
      </c>
      <c r="J845" s="177">
        <f>IFERROR(IF([2]对账明细接口!$J$845=0,"",[2]对账明细接口!$J$845),"")</f>
      </c>
      <c r="K845" s="177">
        <f>IFERROR(IF([2]对账明细接口!$K$845=0,"",[2]对账明细接口!$K$845),"")</f>
      </c>
      <c r="L845" s="16">
        <f>IFERROR(IF([2]对账明细接口!$L$845=0,"",[2]对账明细接口!$L$845),"")</f>
      </c>
      <c r="M845" s="16">
        <f>IFERROR(IF([2]对账明细接口!$M$845=0,"",[2]对账明细接口!$M$845),"")</f>
      </c>
      <c r="N845" s="19">
        <f>IF($C845="",0,1)</f>
        <v>0</v>
      </c>
      <c r="O845" s="19">
        <f>N(O844)+$N845</f>
        <v>272</v>
      </c>
      <c r="S845" s="20">
        <f>IFERROR(IF([2]对账明细接口!$N845=0,"",[2]对账明细接口!$N845),"")</f>
      </c>
      <c r="T845" s="212">
        <f>IFERROR(IF([2]对账明细接口!$O845=0,"",[2]对账明细接口!$O845),"")</f>
      </c>
      <c r="U845" s="212">
        <f>IFERROR(IF([2]对账明细接口!$P845=0,"",[2]对账明细接口!$P845),"")</f>
      </c>
      <c r="V845" s="212">
        <f>IFERROR(IF([2]对账明细接口!$Q845=0,"",[2]对账明细接口!$Q845),"")</f>
      </c>
      <c r="W845" s="20">
        <f>IFERROR(IF([2]对账明细接口!$R845=0,"",[2]对账明细接口!$R845),"")</f>
      </c>
      <c r="X845" s="20">
        <f>IFERROR(IF([2]对账明细接口!$S845=0,"",[2]对账明细接口!$S845),"")</f>
      </c>
      <c r="Y845" s="20">
        <f>""</f>
      </c>
      <c r="Z845" s="20">
        <f>""</f>
      </c>
      <c r="AA845" s="20">
        <f>""</f>
      </c>
      <c r="AB845" s="20">
        <f>""</f>
      </c>
    </row>
    <row r="846" s="127">
      <c r="A846" s="14" t="n">
        <v>846</v>
      </c>
      <c r="B846" s="211">
        <f>IFERROR(IF([2]对账明细接口!$B$846=0,"",[2]对账明细接口!$B$846),"")</f>
      </c>
      <c r="C846" s="16">
        <f>IFERROR(IF([2]对账明细接口!$C$846=0,"",[2]对账明细接口!$C$846),"")</f>
      </c>
      <c r="D846" s="16">
        <f>IFERROR(IF([2]对账明细接口!$D$846=0,"",[2]对账明细接口!$D$846),"")</f>
      </c>
      <c r="E846" s="16">
        <f>IFERROR(IF([2]对账明细接口!$E$846=0,"",[2]对账明细接口!$E$846),"")</f>
      </c>
      <c r="F846" s="16">
        <f>IFERROR(IF([2]对账明细接口!$F$846=0,"",[2]对账明细接口!$F$846),"")</f>
      </c>
      <c r="G846" s="16">
        <f>IFERROR(IF([2]对账明细接口!$G$846=0,"",[2]对账明细接口!$G$846),"")</f>
      </c>
      <c r="H846" s="176">
        <f>IFERROR(IF([2]对账明细接口!$H$846=0,"",[2]对账明细接口!$H$846),"")</f>
      </c>
      <c r="I846" s="16">
        <f>IFERROR(IF([2]对账明细接口!$I$846=0,"",[2]对账明细接口!$I$846),"")</f>
      </c>
      <c r="J846" s="177">
        <f>IFERROR(IF([2]对账明细接口!$J$846=0,"",[2]对账明细接口!$J$846),"")</f>
      </c>
      <c r="K846" s="177">
        <f>IFERROR(IF([2]对账明细接口!$K$846=0,"",[2]对账明细接口!$K$846),"")</f>
      </c>
      <c r="L846" s="16">
        <f>IFERROR(IF([2]对账明细接口!$L$846=0,"",[2]对账明细接口!$L$846),"")</f>
      </c>
      <c r="M846" s="16">
        <f>IFERROR(IF([2]对账明细接口!$M$846=0,"",[2]对账明细接口!$M$846),"")</f>
      </c>
      <c r="N846" s="19">
        <f>IF($C846="",0,1)</f>
        <v>0</v>
      </c>
      <c r="O846" s="19">
        <f>N(O845)+$N846</f>
        <v>272</v>
      </c>
      <c r="S846" s="20">
        <f>IFERROR(IF([2]对账明细接口!$N846=0,"",[2]对账明细接口!$N846),"")</f>
      </c>
      <c r="T846" s="212">
        <f>IFERROR(IF([2]对账明细接口!$O846=0,"",[2]对账明细接口!$O846),"")</f>
      </c>
      <c r="U846" s="212">
        <f>IFERROR(IF([2]对账明细接口!$P846=0,"",[2]对账明细接口!$P846),"")</f>
      </c>
      <c r="V846" s="212">
        <f>IFERROR(IF([2]对账明细接口!$Q846=0,"",[2]对账明细接口!$Q846),"")</f>
      </c>
      <c r="W846" s="20">
        <f>IFERROR(IF([2]对账明细接口!$R846=0,"",[2]对账明细接口!$R846),"")</f>
      </c>
      <c r="X846" s="20">
        <f>IFERROR(IF([2]对账明细接口!$S846=0,"",[2]对账明细接口!$S846),"")</f>
      </c>
      <c r="Y846" s="20">
        <f>""</f>
      </c>
      <c r="Z846" s="20">
        <f>""</f>
      </c>
      <c r="AA846" s="20">
        <f>""</f>
      </c>
      <c r="AB846" s="20">
        <f>""</f>
      </c>
    </row>
    <row r="847" s="127">
      <c r="A847" s="14" t="n">
        <v>847</v>
      </c>
      <c r="B847" s="211">
        <f>IFERROR(IF([2]对账明细接口!$B$847=0,"",[2]对账明细接口!$B$847),"")</f>
      </c>
      <c r="C847" s="16">
        <f>IFERROR(IF([2]对账明细接口!$C$847=0,"",[2]对账明细接口!$C$847),"")</f>
      </c>
      <c r="D847" s="16">
        <f>IFERROR(IF([2]对账明细接口!$D$847=0,"",[2]对账明细接口!$D$847),"")</f>
      </c>
      <c r="E847" s="16">
        <f>IFERROR(IF([2]对账明细接口!$E$847=0,"",[2]对账明细接口!$E$847),"")</f>
      </c>
      <c r="F847" s="16">
        <f>IFERROR(IF([2]对账明细接口!$F$847=0,"",[2]对账明细接口!$F$847),"")</f>
      </c>
      <c r="G847" s="16">
        <f>IFERROR(IF([2]对账明细接口!$G$847=0,"",[2]对账明细接口!$G$847),"")</f>
      </c>
      <c r="H847" s="176">
        <f>IFERROR(IF([2]对账明细接口!$H$847=0,"",[2]对账明细接口!$H$847),"")</f>
      </c>
      <c r="I847" s="16">
        <f>IFERROR(IF([2]对账明细接口!$I$847=0,"",[2]对账明细接口!$I$847),"")</f>
      </c>
      <c r="J847" s="177">
        <f>IFERROR(IF([2]对账明细接口!$J$847=0,"",[2]对账明细接口!$J$847),"")</f>
      </c>
      <c r="K847" s="177">
        <f>IFERROR(IF([2]对账明细接口!$K$847=0,"",[2]对账明细接口!$K$847),"")</f>
      </c>
      <c r="L847" s="16">
        <f>IFERROR(IF([2]对账明细接口!$L$847=0,"",[2]对账明细接口!$L$847),"")</f>
      </c>
      <c r="M847" s="16">
        <f>IFERROR(IF([2]对账明细接口!$M$847=0,"",[2]对账明细接口!$M$847),"")</f>
      </c>
      <c r="N847" s="19">
        <f>IF($C847="",0,1)</f>
        <v>0</v>
      </c>
      <c r="O847" s="19">
        <f>N(O846)+$N847</f>
        <v>272</v>
      </c>
      <c r="S847" s="20">
        <f>IFERROR(IF([2]对账明细接口!$N847=0,"",[2]对账明细接口!$N847),"")</f>
      </c>
      <c r="T847" s="212">
        <f>IFERROR(IF([2]对账明细接口!$O847=0,"",[2]对账明细接口!$O847),"")</f>
      </c>
      <c r="U847" s="212">
        <f>IFERROR(IF([2]对账明细接口!$P847=0,"",[2]对账明细接口!$P847),"")</f>
      </c>
      <c r="V847" s="212">
        <f>IFERROR(IF([2]对账明细接口!$Q847=0,"",[2]对账明细接口!$Q847),"")</f>
      </c>
      <c r="W847" s="20">
        <f>IFERROR(IF([2]对账明细接口!$R847=0,"",[2]对账明细接口!$R847),"")</f>
      </c>
      <c r="X847" s="20">
        <f>IFERROR(IF([2]对账明细接口!$S847=0,"",[2]对账明细接口!$S847),"")</f>
      </c>
      <c r="Y847" s="20">
        <f>""</f>
      </c>
      <c r="Z847" s="20">
        <f>""</f>
      </c>
      <c r="AA847" s="20">
        <f>""</f>
      </c>
      <c r="AB847" s="20">
        <f>""</f>
      </c>
    </row>
    <row r="848" s="127">
      <c r="A848" s="14" t="n">
        <v>848</v>
      </c>
      <c r="B848" s="211">
        <f>IFERROR(IF([2]对账明细接口!$B$848=0,"",[2]对账明细接口!$B$848),"")</f>
      </c>
      <c r="C848" s="16">
        <f>IFERROR(IF([2]对账明细接口!$C$848=0,"",[2]对账明细接口!$C$848),"")</f>
      </c>
      <c r="D848" s="16">
        <f>IFERROR(IF([2]对账明细接口!$D$848=0,"",[2]对账明细接口!$D$848),"")</f>
      </c>
      <c r="E848" s="16">
        <f>IFERROR(IF([2]对账明细接口!$E$848=0,"",[2]对账明细接口!$E$848),"")</f>
      </c>
      <c r="F848" s="16">
        <f>IFERROR(IF([2]对账明细接口!$F$848=0,"",[2]对账明细接口!$F$848),"")</f>
      </c>
      <c r="G848" s="16">
        <f>IFERROR(IF([2]对账明细接口!$G$848=0,"",[2]对账明细接口!$G$848),"")</f>
      </c>
      <c r="H848" s="176">
        <f>IFERROR(IF([2]对账明细接口!$H$848=0,"",[2]对账明细接口!$H$848),"")</f>
      </c>
      <c r="I848" s="16">
        <f>IFERROR(IF([2]对账明细接口!$I$848=0,"",[2]对账明细接口!$I$848),"")</f>
      </c>
      <c r="J848" s="177">
        <f>IFERROR(IF([2]对账明细接口!$J$848=0,"",[2]对账明细接口!$J$848),"")</f>
      </c>
      <c r="K848" s="177">
        <f>IFERROR(IF([2]对账明细接口!$K$848=0,"",[2]对账明细接口!$K$848),"")</f>
      </c>
      <c r="L848" s="16">
        <f>IFERROR(IF([2]对账明细接口!$L$848=0,"",[2]对账明细接口!$L$848),"")</f>
      </c>
      <c r="M848" s="16">
        <f>IFERROR(IF([2]对账明细接口!$M$848=0,"",[2]对账明细接口!$M$848),"")</f>
      </c>
      <c r="N848" s="19">
        <f>IF($C848="",0,1)</f>
        <v>0</v>
      </c>
      <c r="O848" s="19">
        <f>N(O847)+$N848</f>
        <v>272</v>
      </c>
      <c r="S848" s="20">
        <f>IFERROR(IF([2]对账明细接口!$N848=0,"",[2]对账明细接口!$N848),"")</f>
      </c>
      <c r="T848" s="212">
        <f>IFERROR(IF([2]对账明细接口!$O848=0,"",[2]对账明细接口!$O848),"")</f>
      </c>
      <c r="U848" s="212">
        <f>IFERROR(IF([2]对账明细接口!$P848=0,"",[2]对账明细接口!$P848),"")</f>
      </c>
      <c r="V848" s="212">
        <f>IFERROR(IF([2]对账明细接口!$Q848=0,"",[2]对账明细接口!$Q848),"")</f>
      </c>
      <c r="W848" s="20">
        <f>IFERROR(IF([2]对账明细接口!$R848=0,"",[2]对账明细接口!$R848),"")</f>
      </c>
      <c r="X848" s="20">
        <f>IFERROR(IF([2]对账明细接口!$S848=0,"",[2]对账明细接口!$S848),"")</f>
      </c>
      <c r="Y848" s="20">
        <f>""</f>
      </c>
      <c r="Z848" s="20">
        <f>""</f>
      </c>
      <c r="AA848" s="20">
        <f>""</f>
      </c>
      <c r="AB848" s="20">
        <f>""</f>
      </c>
    </row>
    <row r="849" s="127">
      <c r="A849" s="14" t="n">
        <v>849</v>
      </c>
      <c r="B849" s="211">
        <f>IFERROR(IF([2]对账明细接口!$B$849=0,"",[2]对账明细接口!$B$849),"")</f>
      </c>
      <c r="C849" s="16">
        <f>IFERROR(IF([2]对账明细接口!$C$849=0,"",[2]对账明细接口!$C$849),"")</f>
      </c>
      <c r="D849" s="16">
        <f>IFERROR(IF([2]对账明细接口!$D$849=0,"",[2]对账明细接口!$D$849),"")</f>
      </c>
      <c r="E849" s="16">
        <f>IFERROR(IF([2]对账明细接口!$E$849=0,"",[2]对账明细接口!$E$849),"")</f>
      </c>
      <c r="F849" s="16">
        <f>IFERROR(IF([2]对账明细接口!$F$849=0,"",[2]对账明细接口!$F$849),"")</f>
      </c>
      <c r="G849" s="16">
        <f>IFERROR(IF([2]对账明细接口!$G$849=0,"",[2]对账明细接口!$G$849),"")</f>
      </c>
      <c r="H849" s="176">
        <f>IFERROR(IF([2]对账明细接口!$H$849=0,"",[2]对账明细接口!$H$849),"")</f>
      </c>
      <c r="I849" s="16">
        <f>IFERROR(IF([2]对账明细接口!$I$849=0,"",[2]对账明细接口!$I$849),"")</f>
      </c>
      <c r="J849" s="177">
        <f>IFERROR(IF([2]对账明细接口!$J$849=0,"",[2]对账明细接口!$J$849),"")</f>
      </c>
      <c r="K849" s="177">
        <f>IFERROR(IF([2]对账明细接口!$K$849=0,"",[2]对账明细接口!$K$849),"")</f>
      </c>
      <c r="L849" s="16">
        <f>IFERROR(IF([2]对账明细接口!$L$849=0,"",[2]对账明细接口!$L$849),"")</f>
      </c>
      <c r="M849" s="16">
        <f>IFERROR(IF([2]对账明细接口!$M$849=0,"",[2]对账明细接口!$M$849),"")</f>
      </c>
      <c r="N849" s="19">
        <f>IF($C849="",0,1)</f>
        <v>0</v>
      </c>
      <c r="O849" s="19">
        <f>N(O848)+$N849</f>
        <v>272</v>
      </c>
      <c r="S849" s="20">
        <f>IFERROR(IF([2]对账明细接口!$N849=0,"",[2]对账明细接口!$N849),"")</f>
      </c>
      <c r="T849" s="212">
        <f>IFERROR(IF([2]对账明细接口!$O849=0,"",[2]对账明细接口!$O849),"")</f>
      </c>
      <c r="U849" s="212">
        <f>IFERROR(IF([2]对账明细接口!$P849=0,"",[2]对账明细接口!$P849),"")</f>
      </c>
      <c r="V849" s="212">
        <f>IFERROR(IF([2]对账明细接口!$Q849=0,"",[2]对账明细接口!$Q849),"")</f>
      </c>
      <c r="W849" s="20">
        <f>IFERROR(IF([2]对账明细接口!$R849=0,"",[2]对账明细接口!$R849),"")</f>
      </c>
      <c r="X849" s="20">
        <f>IFERROR(IF([2]对账明细接口!$S849=0,"",[2]对账明细接口!$S849),"")</f>
      </c>
      <c r="Y849" s="20">
        <f>""</f>
      </c>
      <c r="Z849" s="20">
        <f>""</f>
      </c>
      <c r="AA849" s="20">
        <f>""</f>
      </c>
      <c r="AB849" s="20">
        <f>""</f>
      </c>
    </row>
    <row r="850" s="127">
      <c r="A850" s="14" t="n">
        <v>850</v>
      </c>
      <c r="B850" s="211">
        <f>IFERROR(IF([2]对账明细接口!$B$850=0,"",[2]对账明细接口!$B$850),"")</f>
      </c>
      <c r="C850" s="16">
        <f>IFERROR(IF([2]对账明细接口!$C$850=0,"",[2]对账明细接口!$C$850),"")</f>
      </c>
      <c r="D850" s="16">
        <f>IFERROR(IF([2]对账明细接口!$D$850=0,"",[2]对账明细接口!$D$850),"")</f>
      </c>
      <c r="E850" s="16">
        <f>IFERROR(IF([2]对账明细接口!$E$850=0,"",[2]对账明细接口!$E$850),"")</f>
      </c>
      <c r="F850" s="16">
        <f>IFERROR(IF([2]对账明细接口!$F$850=0,"",[2]对账明细接口!$F$850),"")</f>
      </c>
      <c r="G850" s="16">
        <f>IFERROR(IF([2]对账明细接口!$G$850=0,"",[2]对账明细接口!$G$850),"")</f>
      </c>
      <c r="H850" s="176">
        <f>IFERROR(IF([2]对账明细接口!$H$850=0,"",[2]对账明细接口!$H$850),"")</f>
      </c>
      <c r="I850" s="16">
        <f>IFERROR(IF([2]对账明细接口!$I$850=0,"",[2]对账明细接口!$I$850),"")</f>
      </c>
      <c r="J850" s="177">
        <f>IFERROR(IF([2]对账明细接口!$J$850=0,"",[2]对账明细接口!$J$850),"")</f>
      </c>
      <c r="K850" s="177">
        <f>IFERROR(IF([2]对账明细接口!$K$850=0,"",[2]对账明细接口!$K$850),"")</f>
      </c>
      <c r="L850" s="16">
        <f>IFERROR(IF([2]对账明细接口!$L$850=0,"",[2]对账明细接口!$L$850),"")</f>
      </c>
      <c r="M850" s="16">
        <f>IFERROR(IF([2]对账明细接口!$M$850=0,"",[2]对账明细接口!$M$850),"")</f>
      </c>
      <c r="N850" s="19">
        <f>IF($C850="",0,1)</f>
        <v>0</v>
      </c>
      <c r="O850" s="19">
        <f>N(O849)+$N850</f>
        <v>272</v>
      </c>
      <c r="S850" s="20">
        <f>IFERROR(IF([2]对账明细接口!$N850=0,"",[2]对账明细接口!$N850),"")</f>
      </c>
      <c r="T850" s="212">
        <f>IFERROR(IF([2]对账明细接口!$O850=0,"",[2]对账明细接口!$O850),"")</f>
      </c>
      <c r="U850" s="212">
        <f>IFERROR(IF([2]对账明细接口!$P850=0,"",[2]对账明细接口!$P850),"")</f>
      </c>
      <c r="V850" s="212">
        <f>IFERROR(IF([2]对账明细接口!$Q850=0,"",[2]对账明细接口!$Q850),"")</f>
      </c>
      <c r="W850" s="20">
        <f>IFERROR(IF([2]对账明细接口!$R850=0,"",[2]对账明细接口!$R850),"")</f>
      </c>
      <c r="X850" s="20">
        <f>IFERROR(IF([2]对账明细接口!$S850=0,"",[2]对账明细接口!$S850),"")</f>
      </c>
      <c r="Y850" s="20">
        <f>""</f>
      </c>
      <c r="Z850" s="20">
        <f>""</f>
      </c>
      <c r="AA850" s="20">
        <f>""</f>
      </c>
      <c r="AB850" s="20">
        <f>""</f>
      </c>
    </row>
    <row r="851" s="127">
      <c r="A851" s="14" t="n">
        <v>851</v>
      </c>
      <c r="B851" s="211">
        <f>IFERROR(IF([2]对账明细接口!$B$851=0,"",[2]对账明细接口!$B$851),"")</f>
      </c>
      <c r="C851" s="16">
        <f>IFERROR(IF([2]对账明细接口!$C$851=0,"",[2]对账明细接口!$C$851),"")</f>
      </c>
      <c r="D851" s="16">
        <f>IFERROR(IF([2]对账明细接口!$D$851=0,"",[2]对账明细接口!$D$851),"")</f>
      </c>
      <c r="E851" s="16">
        <f>IFERROR(IF([2]对账明细接口!$E$851=0,"",[2]对账明细接口!$E$851),"")</f>
      </c>
      <c r="F851" s="16">
        <f>IFERROR(IF([2]对账明细接口!$F$851=0,"",[2]对账明细接口!$F$851),"")</f>
      </c>
      <c r="G851" s="16">
        <f>IFERROR(IF([2]对账明细接口!$G$851=0,"",[2]对账明细接口!$G$851),"")</f>
      </c>
      <c r="H851" s="176">
        <f>IFERROR(IF([2]对账明细接口!$H$851=0,"",[2]对账明细接口!$H$851),"")</f>
      </c>
      <c r="I851" s="16">
        <f>IFERROR(IF([2]对账明细接口!$I$851=0,"",[2]对账明细接口!$I$851),"")</f>
      </c>
      <c r="J851" s="177">
        <f>IFERROR(IF([2]对账明细接口!$J$851=0,"",[2]对账明细接口!$J$851),"")</f>
      </c>
      <c r="K851" s="177">
        <f>IFERROR(IF([2]对账明细接口!$K$851=0,"",[2]对账明细接口!$K$851),"")</f>
      </c>
      <c r="L851" s="16">
        <f>IFERROR(IF([2]对账明细接口!$L$851=0,"",[2]对账明细接口!$L$851),"")</f>
      </c>
      <c r="M851" s="16">
        <f>IFERROR(IF([2]对账明细接口!$M$851=0,"",[2]对账明细接口!$M$851),"")</f>
      </c>
      <c r="N851" s="19">
        <f>IF($C851="",0,1)</f>
        <v>0</v>
      </c>
      <c r="O851" s="19">
        <f>N(O850)+$N851</f>
        <v>272</v>
      </c>
      <c r="S851" s="20">
        <f>IFERROR(IF([2]对账明细接口!$N851=0,"",[2]对账明细接口!$N851),"")</f>
      </c>
      <c r="T851" s="212">
        <f>IFERROR(IF([2]对账明细接口!$O851=0,"",[2]对账明细接口!$O851),"")</f>
      </c>
      <c r="U851" s="212">
        <f>IFERROR(IF([2]对账明细接口!$P851=0,"",[2]对账明细接口!$P851),"")</f>
      </c>
      <c r="V851" s="212">
        <f>IFERROR(IF([2]对账明细接口!$Q851=0,"",[2]对账明细接口!$Q851),"")</f>
      </c>
      <c r="W851" s="20">
        <f>IFERROR(IF([2]对账明细接口!$R851=0,"",[2]对账明细接口!$R851),"")</f>
      </c>
      <c r="X851" s="20">
        <f>IFERROR(IF([2]对账明细接口!$S851=0,"",[2]对账明细接口!$S851),"")</f>
      </c>
      <c r="Y851" s="20">
        <f>""</f>
      </c>
      <c r="Z851" s="20">
        <f>""</f>
      </c>
      <c r="AA851" s="20">
        <f>""</f>
      </c>
      <c r="AB851" s="20">
        <f>""</f>
      </c>
    </row>
    <row r="852" s="127">
      <c r="A852" s="14" t="n">
        <v>852</v>
      </c>
      <c r="B852" s="211">
        <f>IFERROR(IF([2]对账明细接口!$B$852=0,"",[2]对账明细接口!$B$852),"")</f>
      </c>
      <c r="C852" s="16">
        <f>IFERROR(IF([2]对账明细接口!$C$852=0,"",[2]对账明细接口!$C$852),"")</f>
      </c>
      <c r="D852" s="16">
        <f>IFERROR(IF([2]对账明细接口!$D$852=0,"",[2]对账明细接口!$D$852),"")</f>
      </c>
      <c r="E852" s="16">
        <f>IFERROR(IF([2]对账明细接口!$E$852=0,"",[2]对账明细接口!$E$852),"")</f>
      </c>
      <c r="F852" s="16">
        <f>IFERROR(IF([2]对账明细接口!$F$852=0,"",[2]对账明细接口!$F$852),"")</f>
      </c>
      <c r="G852" s="16">
        <f>IFERROR(IF([2]对账明细接口!$G$852=0,"",[2]对账明细接口!$G$852),"")</f>
      </c>
      <c r="H852" s="176">
        <f>IFERROR(IF([2]对账明细接口!$H$852=0,"",[2]对账明细接口!$H$852),"")</f>
      </c>
      <c r="I852" s="16">
        <f>IFERROR(IF([2]对账明细接口!$I$852=0,"",[2]对账明细接口!$I$852),"")</f>
      </c>
      <c r="J852" s="177">
        <f>IFERROR(IF([2]对账明细接口!$J$852=0,"",[2]对账明细接口!$J$852),"")</f>
      </c>
      <c r="K852" s="177">
        <f>IFERROR(IF([2]对账明细接口!$K$852=0,"",[2]对账明细接口!$K$852),"")</f>
      </c>
      <c r="L852" s="16">
        <f>IFERROR(IF([2]对账明细接口!$L$852=0,"",[2]对账明细接口!$L$852),"")</f>
      </c>
      <c r="M852" s="16">
        <f>IFERROR(IF([2]对账明细接口!$M$852=0,"",[2]对账明细接口!$M$852),"")</f>
      </c>
      <c r="N852" s="19">
        <f>IF($C852="",0,1)</f>
        <v>0</v>
      </c>
      <c r="O852" s="19">
        <f>N(O851)+$N852</f>
        <v>272</v>
      </c>
      <c r="S852" s="20">
        <f>IFERROR(IF([2]对账明细接口!$N852=0,"",[2]对账明细接口!$N852),"")</f>
      </c>
      <c r="T852" s="212">
        <f>IFERROR(IF([2]对账明细接口!$O852=0,"",[2]对账明细接口!$O852),"")</f>
      </c>
      <c r="U852" s="212">
        <f>IFERROR(IF([2]对账明细接口!$P852=0,"",[2]对账明细接口!$P852),"")</f>
      </c>
      <c r="V852" s="212">
        <f>IFERROR(IF([2]对账明细接口!$Q852=0,"",[2]对账明细接口!$Q852),"")</f>
      </c>
      <c r="W852" s="20">
        <f>IFERROR(IF([2]对账明细接口!$R852=0,"",[2]对账明细接口!$R852),"")</f>
      </c>
      <c r="X852" s="20">
        <f>IFERROR(IF([2]对账明细接口!$S852=0,"",[2]对账明细接口!$S852),"")</f>
      </c>
      <c r="Y852" s="20">
        <f>""</f>
      </c>
      <c r="Z852" s="20">
        <f>""</f>
      </c>
      <c r="AA852" s="20">
        <f>""</f>
      </c>
      <c r="AB852" s="20">
        <f>""</f>
      </c>
    </row>
    <row r="853" s="127">
      <c r="A853" s="14" t="n">
        <v>853</v>
      </c>
      <c r="B853" s="211">
        <f>IFERROR(IF([2]对账明细接口!$B$853=0,"",[2]对账明细接口!$B$853),"")</f>
      </c>
      <c r="C853" s="16">
        <f>IFERROR(IF([2]对账明细接口!$C$853=0,"",[2]对账明细接口!$C$853),"")</f>
      </c>
      <c r="D853" s="16">
        <f>IFERROR(IF([2]对账明细接口!$D$853=0,"",[2]对账明细接口!$D$853),"")</f>
      </c>
      <c r="E853" s="16">
        <f>IFERROR(IF([2]对账明细接口!$E$853=0,"",[2]对账明细接口!$E$853),"")</f>
      </c>
      <c r="F853" s="16">
        <f>IFERROR(IF([2]对账明细接口!$F$853=0,"",[2]对账明细接口!$F$853),"")</f>
      </c>
      <c r="G853" s="16">
        <f>IFERROR(IF([2]对账明细接口!$G$853=0,"",[2]对账明细接口!$G$853),"")</f>
      </c>
      <c r="H853" s="176">
        <f>IFERROR(IF([2]对账明细接口!$H$853=0,"",[2]对账明细接口!$H$853),"")</f>
      </c>
      <c r="I853" s="16">
        <f>IFERROR(IF([2]对账明细接口!$I$853=0,"",[2]对账明细接口!$I$853),"")</f>
      </c>
      <c r="J853" s="177">
        <f>IFERROR(IF([2]对账明细接口!$J$853=0,"",[2]对账明细接口!$J$853),"")</f>
      </c>
      <c r="K853" s="177">
        <f>IFERROR(IF([2]对账明细接口!$K$853=0,"",[2]对账明细接口!$K$853),"")</f>
      </c>
      <c r="L853" s="16">
        <f>IFERROR(IF([2]对账明细接口!$L$853=0,"",[2]对账明细接口!$L$853),"")</f>
      </c>
      <c r="M853" s="16">
        <f>IFERROR(IF([2]对账明细接口!$M$853=0,"",[2]对账明细接口!$M$853),"")</f>
      </c>
      <c r="N853" s="19">
        <f>IF($C853="",0,1)</f>
        <v>0</v>
      </c>
      <c r="O853" s="19">
        <f>N(O852)+$N853</f>
        <v>272</v>
      </c>
      <c r="S853" s="20">
        <f>IFERROR(IF([2]对账明细接口!$N853=0,"",[2]对账明细接口!$N853),"")</f>
      </c>
      <c r="T853" s="212">
        <f>IFERROR(IF([2]对账明细接口!$O853=0,"",[2]对账明细接口!$O853),"")</f>
      </c>
      <c r="U853" s="212">
        <f>IFERROR(IF([2]对账明细接口!$P853=0,"",[2]对账明细接口!$P853),"")</f>
      </c>
      <c r="V853" s="212">
        <f>IFERROR(IF([2]对账明细接口!$Q853=0,"",[2]对账明细接口!$Q853),"")</f>
      </c>
      <c r="W853" s="20">
        <f>IFERROR(IF([2]对账明细接口!$R853=0,"",[2]对账明细接口!$R853),"")</f>
      </c>
      <c r="X853" s="20">
        <f>IFERROR(IF([2]对账明细接口!$S853=0,"",[2]对账明细接口!$S853),"")</f>
      </c>
      <c r="Y853" s="20">
        <f>""</f>
      </c>
      <c r="Z853" s="20">
        <f>""</f>
      </c>
      <c r="AA853" s="20">
        <f>""</f>
      </c>
      <c r="AB853" s="20">
        <f>""</f>
      </c>
    </row>
    <row r="854" s="127">
      <c r="A854" s="14" t="n">
        <v>854</v>
      </c>
      <c r="B854" s="211">
        <f>IFERROR(IF([2]对账明细接口!$B$854=0,"",[2]对账明细接口!$B$854),"")</f>
      </c>
      <c r="C854" s="16">
        <f>IFERROR(IF([2]对账明细接口!$C$854=0,"",[2]对账明细接口!$C$854),"")</f>
      </c>
      <c r="D854" s="16">
        <f>IFERROR(IF([2]对账明细接口!$D$854=0,"",[2]对账明细接口!$D$854),"")</f>
      </c>
      <c r="E854" s="16">
        <f>IFERROR(IF([2]对账明细接口!$E$854=0,"",[2]对账明细接口!$E$854),"")</f>
      </c>
      <c r="F854" s="16">
        <f>IFERROR(IF([2]对账明细接口!$F$854=0,"",[2]对账明细接口!$F$854),"")</f>
      </c>
      <c r="G854" s="16">
        <f>IFERROR(IF([2]对账明细接口!$G$854=0,"",[2]对账明细接口!$G$854),"")</f>
      </c>
      <c r="H854" s="176">
        <f>IFERROR(IF([2]对账明细接口!$H$854=0,"",[2]对账明细接口!$H$854),"")</f>
      </c>
      <c r="I854" s="16">
        <f>IFERROR(IF([2]对账明细接口!$I$854=0,"",[2]对账明细接口!$I$854),"")</f>
      </c>
      <c r="J854" s="177">
        <f>IFERROR(IF([2]对账明细接口!$J$854=0,"",[2]对账明细接口!$J$854),"")</f>
      </c>
      <c r="K854" s="177">
        <f>IFERROR(IF([2]对账明细接口!$K$854=0,"",[2]对账明细接口!$K$854),"")</f>
      </c>
      <c r="L854" s="16">
        <f>IFERROR(IF([2]对账明细接口!$L$854=0,"",[2]对账明细接口!$L$854),"")</f>
      </c>
      <c r="M854" s="16">
        <f>IFERROR(IF([2]对账明细接口!$M$854=0,"",[2]对账明细接口!$M$854),"")</f>
      </c>
      <c r="N854" s="19">
        <f>IF($C854="",0,1)</f>
        <v>0</v>
      </c>
      <c r="O854" s="19">
        <f>N(O853)+$N854</f>
        <v>272</v>
      </c>
      <c r="S854" s="20">
        <f>IFERROR(IF([2]对账明细接口!$N854=0,"",[2]对账明细接口!$N854),"")</f>
      </c>
      <c r="T854" s="212">
        <f>IFERROR(IF([2]对账明细接口!$O854=0,"",[2]对账明细接口!$O854),"")</f>
      </c>
      <c r="U854" s="212">
        <f>IFERROR(IF([2]对账明细接口!$P854=0,"",[2]对账明细接口!$P854),"")</f>
      </c>
      <c r="V854" s="212">
        <f>IFERROR(IF([2]对账明细接口!$Q854=0,"",[2]对账明细接口!$Q854),"")</f>
      </c>
      <c r="W854" s="20">
        <f>IFERROR(IF([2]对账明细接口!$R854=0,"",[2]对账明细接口!$R854),"")</f>
      </c>
      <c r="X854" s="20">
        <f>IFERROR(IF([2]对账明细接口!$S854=0,"",[2]对账明细接口!$S854),"")</f>
      </c>
      <c r="Y854" s="20">
        <f>""</f>
      </c>
      <c r="Z854" s="20">
        <f>""</f>
      </c>
      <c r="AA854" s="20">
        <f>""</f>
      </c>
      <c r="AB854" s="20">
        <f>""</f>
      </c>
    </row>
    <row r="855" s="127">
      <c r="A855" s="14" t="n">
        <v>855</v>
      </c>
      <c r="B855" s="211">
        <f>IFERROR(IF([2]对账明细接口!$B$855=0,"",[2]对账明细接口!$B$855),"")</f>
      </c>
      <c r="C855" s="16">
        <f>IFERROR(IF([2]对账明细接口!$C$855=0,"",[2]对账明细接口!$C$855),"")</f>
      </c>
      <c r="D855" s="16">
        <f>IFERROR(IF([2]对账明细接口!$D$855=0,"",[2]对账明细接口!$D$855),"")</f>
      </c>
      <c r="E855" s="16">
        <f>IFERROR(IF([2]对账明细接口!$E$855=0,"",[2]对账明细接口!$E$855),"")</f>
      </c>
      <c r="F855" s="16">
        <f>IFERROR(IF([2]对账明细接口!$F$855=0,"",[2]对账明细接口!$F$855),"")</f>
      </c>
      <c r="G855" s="16">
        <f>IFERROR(IF([2]对账明细接口!$G$855=0,"",[2]对账明细接口!$G$855),"")</f>
      </c>
      <c r="H855" s="176">
        <f>IFERROR(IF([2]对账明细接口!$H$855=0,"",[2]对账明细接口!$H$855),"")</f>
      </c>
      <c r="I855" s="16">
        <f>IFERROR(IF([2]对账明细接口!$I$855=0,"",[2]对账明细接口!$I$855),"")</f>
      </c>
      <c r="J855" s="177">
        <f>IFERROR(IF([2]对账明细接口!$J$855=0,"",[2]对账明细接口!$J$855),"")</f>
      </c>
      <c r="K855" s="177">
        <f>IFERROR(IF([2]对账明细接口!$K$855=0,"",[2]对账明细接口!$K$855),"")</f>
      </c>
      <c r="L855" s="16">
        <f>IFERROR(IF([2]对账明细接口!$L$855=0,"",[2]对账明细接口!$L$855),"")</f>
      </c>
      <c r="M855" s="16">
        <f>IFERROR(IF([2]对账明细接口!$M$855=0,"",[2]对账明细接口!$M$855),"")</f>
      </c>
      <c r="N855" s="19">
        <f>IF($C855="",0,1)</f>
        <v>0</v>
      </c>
      <c r="O855" s="19">
        <f>N(O854)+$N855</f>
        <v>272</v>
      </c>
      <c r="S855" s="20">
        <f>IFERROR(IF([2]对账明细接口!$N855=0,"",[2]对账明细接口!$N855),"")</f>
      </c>
      <c r="T855" s="212">
        <f>IFERROR(IF([2]对账明细接口!$O855=0,"",[2]对账明细接口!$O855),"")</f>
      </c>
      <c r="U855" s="212">
        <f>IFERROR(IF([2]对账明细接口!$P855=0,"",[2]对账明细接口!$P855),"")</f>
      </c>
      <c r="V855" s="212">
        <f>IFERROR(IF([2]对账明细接口!$Q855=0,"",[2]对账明细接口!$Q855),"")</f>
      </c>
      <c r="W855" s="20">
        <f>IFERROR(IF([2]对账明细接口!$R855=0,"",[2]对账明细接口!$R855),"")</f>
      </c>
      <c r="X855" s="20">
        <f>IFERROR(IF([2]对账明细接口!$S855=0,"",[2]对账明细接口!$S855),"")</f>
      </c>
      <c r="Y855" s="20">
        <f>""</f>
      </c>
      <c r="Z855" s="20">
        <f>""</f>
      </c>
      <c r="AA855" s="20">
        <f>""</f>
      </c>
      <c r="AB855" s="20">
        <f>""</f>
      </c>
    </row>
    <row r="856" s="127">
      <c r="A856" s="14" t="n">
        <v>856</v>
      </c>
      <c r="B856" s="211">
        <f>IFERROR(IF([2]对账明细接口!$B$856=0,"",[2]对账明细接口!$B$856),"")</f>
      </c>
      <c r="C856" s="16">
        <f>IFERROR(IF([2]对账明细接口!$C$856=0,"",[2]对账明细接口!$C$856),"")</f>
      </c>
      <c r="D856" s="16">
        <f>IFERROR(IF([2]对账明细接口!$D$856=0,"",[2]对账明细接口!$D$856),"")</f>
      </c>
      <c r="E856" s="16">
        <f>IFERROR(IF([2]对账明细接口!$E$856=0,"",[2]对账明细接口!$E$856),"")</f>
      </c>
      <c r="F856" s="16">
        <f>IFERROR(IF([2]对账明细接口!$F$856=0,"",[2]对账明细接口!$F$856),"")</f>
      </c>
      <c r="G856" s="16">
        <f>IFERROR(IF([2]对账明细接口!$G$856=0,"",[2]对账明细接口!$G$856),"")</f>
      </c>
      <c r="H856" s="176">
        <f>IFERROR(IF([2]对账明细接口!$H$856=0,"",[2]对账明细接口!$H$856),"")</f>
      </c>
      <c r="I856" s="16">
        <f>IFERROR(IF([2]对账明细接口!$I$856=0,"",[2]对账明细接口!$I$856),"")</f>
      </c>
      <c r="J856" s="177">
        <f>IFERROR(IF([2]对账明细接口!$J$856=0,"",[2]对账明细接口!$J$856),"")</f>
      </c>
      <c r="K856" s="177">
        <f>IFERROR(IF([2]对账明细接口!$K$856=0,"",[2]对账明细接口!$K$856),"")</f>
      </c>
      <c r="L856" s="16">
        <f>IFERROR(IF([2]对账明细接口!$L$856=0,"",[2]对账明细接口!$L$856),"")</f>
      </c>
      <c r="M856" s="16">
        <f>IFERROR(IF([2]对账明细接口!$M$856=0,"",[2]对账明细接口!$M$856),"")</f>
      </c>
      <c r="N856" s="19">
        <f>IF($C856="",0,1)</f>
        <v>0</v>
      </c>
      <c r="O856" s="19">
        <f>N(O855)+$N856</f>
        <v>272</v>
      </c>
      <c r="S856" s="20">
        <f>IFERROR(IF([2]对账明细接口!$N856=0,"",[2]对账明细接口!$N856),"")</f>
      </c>
      <c r="T856" s="212">
        <f>IFERROR(IF([2]对账明细接口!$O856=0,"",[2]对账明细接口!$O856),"")</f>
      </c>
      <c r="U856" s="212">
        <f>IFERROR(IF([2]对账明细接口!$P856=0,"",[2]对账明细接口!$P856),"")</f>
      </c>
      <c r="V856" s="212">
        <f>IFERROR(IF([2]对账明细接口!$Q856=0,"",[2]对账明细接口!$Q856),"")</f>
      </c>
      <c r="W856" s="20">
        <f>IFERROR(IF([2]对账明细接口!$R856=0,"",[2]对账明细接口!$R856),"")</f>
      </c>
      <c r="X856" s="20">
        <f>IFERROR(IF([2]对账明细接口!$S856=0,"",[2]对账明细接口!$S856),"")</f>
      </c>
      <c r="Y856" s="20">
        <f>""</f>
      </c>
      <c r="Z856" s="20">
        <f>""</f>
      </c>
      <c r="AA856" s="20">
        <f>""</f>
      </c>
      <c r="AB856" s="20">
        <f>""</f>
      </c>
    </row>
    <row r="857" s="127">
      <c r="A857" s="14" t="n">
        <v>857</v>
      </c>
      <c r="B857" s="211">
        <f>IFERROR(IF([2]对账明细接口!$B$857=0,"",[2]对账明细接口!$B$857),"")</f>
      </c>
      <c r="C857" s="16">
        <f>IFERROR(IF([2]对账明细接口!$C$857=0,"",[2]对账明细接口!$C$857),"")</f>
      </c>
      <c r="D857" s="16">
        <f>IFERROR(IF([2]对账明细接口!$D$857=0,"",[2]对账明细接口!$D$857),"")</f>
      </c>
      <c r="E857" s="16">
        <f>IFERROR(IF([2]对账明细接口!$E$857=0,"",[2]对账明细接口!$E$857),"")</f>
      </c>
      <c r="F857" s="16">
        <f>IFERROR(IF([2]对账明细接口!$F$857=0,"",[2]对账明细接口!$F$857),"")</f>
      </c>
      <c r="G857" s="16">
        <f>IFERROR(IF([2]对账明细接口!$G$857=0,"",[2]对账明细接口!$G$857),"")</f>
      </c>
      <c r="H857" s="176">
        <f>IFERROR(IF([2]对账明细接口!$H$857=0,"",[2]对账明细接口!$H$857),"")</f>
      </c>
      <c r="I857" s="16">
        <f>IFERROR(IF([2]对账明细接口!$I$857=0,"",[2]对账明细接口!$I$857),"")</f>
      </c>
      <c r="J857" s="177">
        <f>IFERROR(IF([2]对账明细接口!$J$857=0,"",[2]对账明细接口!$J$857),"")</f>
      </c>
      <c r="K857" s="177">
        <f>IFERROR(IF([2]对账明细接口!$K$857=0,"",[2]对账明细接口!$K$857),"")</f>
      </c>
      <c r="L857" s="16">
        <f>IFERROR(IF([2]对账明细接口!$L$857=0,"",[2]对账明细接口!$L$857),"")</f>
      </c>
      <c r="M857" s="16">
        <f>IFERROR(IF([2]对账明细接口!$M$857=0,"",[2]对账明细接口!$M$857),"")</f>
      </c>
      <c r="N857" s="19">
        <f>IF($C857="",0,1)</f>
        <v>0</v>
      </c>
      <c r="O857" s="19">
        <f>N(O856)+$N857</f>
        <v>272</v>
      </c>
      <c r="S857" s="20">
        <f>IFERROR(IF([2]对账明细接口!$N857=0,"",[2]对账明细接口!$N857),"")</f>
      </c>
      <c r="T857" s="212">
        <f>IFERROR(IF([2]对账明细接口!$O857=0,"",[2]对账明细接口!$O857),"")</f>
      </c>
      <c r="U857" s="212">
        <f>IFERROR(IF([2]对账明细接口!$P857=0,"",[2]对账明细接口!$P857),"")</f>
      </c>
      <c r="V857" s="212">
        <f>IFERROR(IF([2]对账明细接口!$Q857=0,"",[2]对账明细接口!$Q857),"")</f>
      </c>
      <c r="W857" s="20">
        <f>IFERROR(IF([2]对账明细接口!$R857=0,"",[2]对账明细接口!$R857),"")</f>
      </c>
      <c r="X857" s="20">
        <f>IFERROR(IF([2]对账明细接口!$S857=0,"",[2]对账明细接口!$S857),"")</f>
      </c>
      <c r="Y857" s="20">
        <f>""</f>
      </c>
      <c r="Z857" s="20">
        <f>""</f>
      </c>
      <c r="AA857" s="20">
        <f>""</f>
      </c>
      <c r="AB857" s="20">
        <f>""</f>
      </c>
    </row>
    <row r="858" s="127">
      <c r="A858" s="14" t="n">
        <v>858</v>
      </c>
      <c r="B858" s="211">
        <f>IFERROR(IF([2]对账明细接口!$B$858=0,"",[2]对账明细接口!$B$858),"")</f>
      </c>
      <c r="C858" s="16">
        <f>IFERROR(IF([2]对账明细接口!$C$858=0,"",[2]对账明细接口!$C$858),"")</f>
      </c>
      <c r="D858" s="16">
        <f>IFERROR(IF([2]对账明细接口!$D$858=0,"",[2]对账明细接口!$D$858),"")</f>
      </c>
      <c r="E858" s="16">
        <f>IFERROR(IF([2]对账明细接口!$E$858=0,"",[2]对账明细接口!$E$858),"")</f>
      </c>
      <c r="F858" s="16">
        <f>IFERROR(IF([2]对账明细接口!$F$858=0,"",[2]对账明细接口!$F$858),"")</f>
      </c>
      <c r="G858" s="16">
        <f>IFERROR(IF([2]对账明细接口!$G$858=0,"",[2]对账明细接口!$G$858),"")</f>
      </c>
      <c r="H858" s="176">
        <f>IFERROR(IF([2]对账明细接口!$H$858=0,"",[2]对账明细接口!$H$858),"")</f>
      </c>
      <c r="I858" s="16">
        <f>IFERROR(IF([2]对账明细接口!$I$858=0,"",[2]对账明细接口!$I$858),"")</f>
      </c>
      <c r="J858" s="177">
        <f>IFERROR(IF([2]对账明细接口!$J$858=0,"",[2]对账明细接口!$J$858),"")</f>
      </c>
      <c r="K858" s="177">
        <f>IFERROR(IF([2]对账明细接口!$K$858=0,"",[2]对账明细接口!$K$858),"")</f>
      </c>
      <c r="L858" s="16">
        <f>IFERROR(IF([2]对账明细接口!$L$858=0,"",[2]对账明细接口!$L$858),"")</f>
      </c>
      <c r="M858" s="16">
        <f>IFERROR(IF([2]对账明细接口!$M$858=0,"",[2]对账明细接口!$M$858),"")</f>
      </c>
      <c r="N858" s="19">
        <f>IF($C858="",0,1)</f>
        <v>0</v>
      </c>
      <c r="O858" s="19">
        <f>N(O857)+$N858</f>
        <v>272</v>
      </c>
      <c r="S858" s="20">
        <f>IFERROR(IF([2]对账明细接口!$N858=0,"",[2]对账明细接口!$N858),"")</f>
      </c>
      <c r="T858" s="212">
        <f>IFERROR(IF([2]对账明细接口!$O858=0,"",[2]对账明细接口!$O858),"")</f>
      </c>
      <c r="U858" s="212">
        <f>IFERROR(IF([2]对账明细接口!$P858=0,"",[2]对账明细接口!$P858),"")</f>
      </c>
      <c r="V858" s="212">
        <f>IFERROR(IF([2]对账明细接口!$Q858=0,"",[2]对账明细接口!$Q858),"")</f>
      </c>
      <c r="W858" s="20">
        <f>IFERROR(IF([2]对账明细接口!$R858=0,"",[2]对账明细接口!$R858),"")</f>
      </c>
      <c r="X858" s="20">
        <f>IFERROR(IF([2]对账明细接口!$S858=0,"",[2]对账明细接口!$S858),"")</f>
      </c>
      <c r="Y858" s="20">
        <f>""</f>
      </c>
      <c r="Z858" s="20">
        <f>""</f>
      </c>
      <c r="AA858" s="20">
        <f>""</f>
      </c>
      <c r="AB858" s="20">
        <f>""</f>
      </c>
    </row>
    <row r="859" s="127">
      <c r="A859" s="14" t="n">
        <v>859</v>
      </c>
      <c r="B859" s="211">
        <f>IFERROR(IF([2]对账明细接口!$B$859=0,"",[2]对账明细接口!$B$859),"")</f>
      </c>
      <c r="C859" s="16">
        <f>IFERROR(IF([2]对账明细接口!$C$859=0,"",[2]对账明细接口!$C$859),"")</f>
      </c>
      <c r="D859" s="16">
        <f>IFERROR(IF([2]对账明细接口!$D$859=0,"",[2]对账明细接口!$D$859),"")</f>
      </c>
      <c r="E859" s="16">
        <f>IFERROR(IF([2]对账明细接口!$E$859=0,"",[2]对账明细接口!$E$859),"")</f>
      </c>
      <c r="F859" s="16">
        <f>IFERROR(IF([2]对账明细接口!$F$859=0,"",[2]对账明细接口!$F$859),"")</f>
      </c>
      <c r="G859" s="16">
        <f>IFERROR(IF([2]对账明细接口!$G$859=0,"",[2]对账明细接口!$G$859),"")</f>
      </c>
      <c r="H859" s="176">
        <f>IFERROR(IF([2]对账明细接口!$H$859=0,"",[2]对账明细接口!$H$859),"")</f>
      </c>
      <c r="I859" s="16">
        <f>IFERROR(IF([2]对账明细接口!$I$859=0,"",[2]对账明细接口!$I$859),"")</f>
      </c>
      <c r="J859" s="177">
        <f>IFERROR(IF([2]对账明细接口!$J$859=0,"",[2]对账明细接口!$J$859),"")</f>
      </c>
      <c r="K859" s="177">
        <f>IFERROR(IF([2]对账明细接口!$K$859=0,"",[2]对账明细接口!$K$859),"")</f>
      </c>
      <c r="L859" s="16">
        <f>IFERROR(IF([2]对账明细接口!$L$859=0,"",[2]对账明细接口!$L$859),"")</f>
      </c>
      <c r="M859" s="16">
        <f>IFERROR(IF([2]对账明细接口!$M$859=0,"",[2]对账明细接口!$M$859),"")</f>
      </c>
      <c r="N859" s="19">
        <f>IF($C859="",0,1)</f>
        <v>0</v>
      </c>
      <c r="O859" s="19">
        <f>N(O858)+$N859</f>
        <v>272</v>
      </c>
      <c r="S859" s="20">
        <f>IFERROR(IF([2]对账明细接口!$N859=0,"",[2]对账明细接口!$N859),"")</f>
      </c>
      <c r="T859" s="212">
        <f>IFERROR(IF([2]对账明细接口!$O859=0,"",[2]对账明细接口!$O859),"")</f>
      </c>
      <c r="U859" s="212">
        <f>IFERROR(IF([2]对账明细接口!$P859=0,"",[2]对账明细接口!$P859),"")</f>
      </c>
      <c r="V859" s="212">
        <f>IFERROR(IF([2]对账明细接口!$Q859=0,"",[2]对账明细接口!$Q859),"")</f>
      </c>
      <c r="W859" s="20">
        <f>IFERROR(IF([2]对账明细接口!$R859=0,"",[2]对账明细接口!$R859),"")</f>
      </c>
      <c r="X859" s="20">
        <f>IFERROR(IF([2]对账明细接口!$S859=0,"",[2]对账明细接口!$S859),"")</f>
      </c>
      <c r="Y859" s="20">
        <f>""</f>
      </c>
      <c r="Z859" s="20">
        <f>""</f>
      </c>
      <c r="AA859" s="20">
        <f>""</f>
      </c>
      <c r="AB859" s="20">
        <f>""</f>
      </c>
    </row>
    <row r="860" s="127">
      <c r="A860" s="14" t="n">
        <v>860</v>
      </c>
      <c r="B860" s="211">
        <f>IFERROR(IF([2]对账明细接口!$B$860=0,"",[2]对账明细接口!$B$860),"")</f>
      </c>
      <c r="C860" s="16">
        <f>IFERROR(IF([2]对账明细接口!$C$860=0,"",[2]对账明细接口!$C$860),"")</f>
      </c>
      <c r="D860" s="16">
        <f>IFERROR(IF([2]对账明细接口!$D$860=0,"",[2]对账明细接口!$D$860),"")</f>
      </c>
      <c r="E860" s="16">
        <f>IFERROR(IF([2]对账明细接口!$E$860=0,"",[2]对账明细接口!$E$860),"")</f>
      </c>
      <c r="F860" s="16">
        <f>IFERROR(IF([2]对账明细接口!$F$860=0,"",[2]对账明细接口!$F$860),"")</f>
      </c>
      <c r="G860" s="16">
        <f>IFERROR(IF([2]对账明细接口!$G$860=0,"",[2]对账明细接口!$G$860),"")</f>
      </c>
      <c r="H860" s="176">
        <f>IFERROR(IF([2]对账明细接口!$H$860=0,"",[2]对账明细接口!$H$860),"")</f>
      </c>
      <c r="I860" s="16">
        <f>IFERROR(IF([2]对账明细接口!$I$860=0,"",[2]对账明细接口!$I$860),"")</f>
      </c>
      <c r="J860" s="177">
        <f>IFERROR(IF([2]对账明细接口!$J$860=0,"",[2]对账明细接口!$J$860),"")</f>
      </c>
      <c r="K860" s="177">
        <f>IFERROR(IF([2]对账明细接口!$K$860=0,"",[2]对账明细接口!$K$860),"")</f>
      </c>
      <c r="L860" s="16">
        <f>IFERROR(IF([2]对账明细接口!$L$860=0,"",[2]对账明细接口!$L$860),"")</f>
      </c>
      <c r="M860" s="16">
        <f>IFERROR(IF([2]对账明细接口!$M$860=0,"",[2]对账明细接口!$M$860),"")</f>
      </c>
      <c r="N860" s="19">
        <f>IF($C860="",0,1)</f>
        <v>0</v>
      </c>
      <c r="O860" s="19">
        <f>N(O859)+$N860</f>
        <v>272</v>
      </c>
      <c r="S860" s="20">
        <f>IFERROR(IF([2]对账明细接口!$N860=0,"",[2]对账明细接口!$N860),"")</f>
      </c>
      <c r="T860" s="212">
        <f>IFERROR(IF([2]对账明细接口!$O860=0,"",[2]对账明细接口!$O860),"")</f>
      </c>
      <c r="U860" s="212">
        <f>IFERROR(IF([2]对账明细接口!$P860=0,"",[2]对账明细接口!$P860),"")</f>
      </c>
      <c r="V860" s="212">
        <f>IFERROR(IF([2]对账明细接口!$Q860=0,"",[2]对账明细接口!$Q860),"")</f>
      </c>
      <c r="W860" s="20">
        <f>IFERROR(IF([2]对账明细接口!$R860=0,"",[2]对账明细接口!$R860),"")</f>
      </c>
      <c r="X860" s="20">
        <f>IFERROR(IF([2]对账明细接口!$S860=0,"",[2]对账明细接口!$S860),"")</f>
      </c>
      <c r="Y860" s="20">
        <f>""</f>
      </c>
      <c r="Z860" s="20">
        <f>""</f>
      </c>
      <c r="AA860" s="20">
        <f>""</f>
      </c>
      <c r="AB860" s="20">
        <f>""</f>
      </c>
    </row>
    <row r="861" s="127">
      <c r="A861" s="14" t="n">
        <v>861</v>
      </c>
      <c r="B861" s="211">
        <f>IFERROR(IF([2]对账明细接口!$B$861=0,"",[2]对账明细接口!$B$861),"")</f>
      </c>
      <c r="C861" s="16">
        <f>IFERROR(IF([2]对账明细接口!$C$861=0,"",[2]对账明细接口!$C$861),"")</f>
      </c>
      <c r="D861" s="16">
        <f>IFERROR(IF([2]对账明细接口!$D$861=0,"",[2]对账明细接口!$D$861),"")</f>
      </c>
      <c r="E861" s="16">
        <f>IFERROR(IF([2]对账明细接口!$E$861=0,"",[2]对账明细接口!$E$861),"")</f>
      </c>
      <c r="F861" s="16">
        <f>IFERROR(IF([2]对账明细接口!$F$861=0,"",[2]对账明细接口!$F$861),"")</f>
      </c>
      <c r="G861" s="16">
        <f>IFERROR(IF([2]对账明细接口!$G$861=0,"",[2]对账明细接口!$G$861),"")</f>
      </c>
      <c r="H861" s="176">
        <f>IFERROR(IF([2]对账明细接口!$H$861=0,"",[2]对账明细接口!$H$861),"")</f>
      </c>
      <c r="I861" s="16">
        <f>IFERROR(IF([2]对账明细接口!$I$861=0,"",[2]对账明细接口!$I$861),"")</f>
      </c>
      <c r="J861" s="177">
        <f>IFERROR(IF([2]对账明细接口!$J$861=0,"",[2]对账明细接口!$J$861),"")</f>
      </c>
      <c r="K861" s="177">
        <f>IFERROR(IF([2]对账明细接口!$K$861=0,"",[2]对账明细接口!$K$861),"")</f>
      </c>
      <c r="L861" s="16">
        <f>IFERROR(IF([2]对账明细接口!$L$861=0,"",[2]对账明细接口!$L$861),"")</f>
      </c>
      <c r="M861" s="16">
        <f>IFERROR(IF([2]对账明细接口!$M$861=0,"",[2]对账明细接口!$M$861),"")</f>
      </c>
      <c r="N861" s="19">
        <f>IF($C861="",0,1)</f>
        <v>0</v>
      </c>
      <c r="O861" s="19">
        <f>N(O860)+$N861</f>
        <v>272</v>
      </c>
      <c r="S861" s="20">
        <f>IFERROR(IF([2]对账明细接口!$N861=0,"",[2]对账明细接口!$N861),"")</f>
      </c>
      <c r="T861" s="212">
        <f>IFERROR(IF([2]对账明细接口!$O861=0,"",[2]对账明细接口!$O861),"")</f>
      </c>
      <c r="U861" s="212">
        <f>IFERROR(IF([2]对账明细接口!$P861=0,"",[2]对账明细接口!$P861),"")</f>
      </c>
      <c r="V861" s="212">
        <f>IFERROR(IF([2]对账明细接口!$Q861=0,"",[2]对账明细接口!$Q861),"")</f>
      </c>
      <c r="W861" s="20">
        <f>IFERROR(IF([2]对账明细接口!$R861=0,"",[2]对账明细接口!$R861),"")</f>
      </c>
      <c r="X861" s="20">
        <f>IFERROR(IF([2]对账明细接口!$S861=0,"",[2]对账明细接口!$S861),"")</f>
      </c>
      <c r="Y861" s="20">
        <f>""</f>
      </c>
      <c r="Z861" s="20">
        <f>""</f>
      </c>
      <c r="AA861" s="20">
        <f>""</f>
      </c>
      <c r="AB861" s="20">
        <f>""</f>
      </c>
    </row>
    <row r="862" s="127">
      <c r="A862" s="14" t="n">
        <v>862</v>
      </c>
      <c r="B862" s="211">
        <f>IFERROR(IF([2]对账明细接口!$B$862=0,"",[2]对账明细接口!$B$862),"")</f>
      </c>
      <c r="C862" s="16">
        <f>IFERROR(IF([2]对账明细接口!$C$862=0,"",[2]对账明细接口!$C$862),"")</f>
      </c>
      <c r="D862" s="16">
        <f>IFERROR(IF([2]对账明细接口!$D$862=0,"",[2]对账明细接口!$D$862),"")</f>
      </c>
      <c r="E862" s="16">
        <f>IFERROR(IF([2]对账明细接口!$E$862=0,"",[2]对账明细接口!$E$862),"")</f>
      </c>
      <c r="F862" s="16">
        <f>IFERROR(IF([2]对账明细接口!$F$862=0,"",[2]对账明细接口!$F$862),"")</f>
      </c>
      <c r="G862" s="16">
        <f>IFERROR(IF([2]对账明细接口!$G$862=0,"",[2]对账明细接口!$G$862),"")</f>
      </c>
      <c r="H862" s="176">
        <f>IFERROR(IF([2]对账明细接口!$H$862=0,"",[2]对账明细接口!$H$862),"")</f>
      </c>
      <c r="I862" s="16">
        <f>IFERROR(IF([2]对账明细接口!$I$862=0,"",[2]对账明细接口!$I$862),"")</f>
      </c>
      <c r="J862" s="177">
        <f>IFERROR(IF([2]对账明细接口!$J$862=0,"",[2]对账明细接口!$J$862),"")</f>
      </c>
      <c r="K862" s="177">
        <f>IFERROR(IF([2]对账明细接口!$K$862=0,"",[2]对账明细接口!$K$862),"")</f>
      </c>
      <c r="L862" s="16">
        <f>IFERROR(IF([2]对账明细接口!$L$862=0,"",[2]对账明细接口!$L$862),"")</f>
      </c>
      <c r="M862" s="16">
        <f>IFERROR(IF([2]对账明细接口!$M$862=0,"",[2]对账明细接口!$M$862),"")</f>
      </c>
      <c r="N862" s="19">
        <f>IF($C862="",0,1)</f>
        <v>0</v>
      </c>
      <c r="O862" s="19">
        <f>N(O861)+$N862</f>
        <v>272</v>
      </c>
      <c r="S862" s="20">
        <f>IFERROR(IF([2]对账明细接口!$N862=0,"",[2]对账明细接口!$N862),"")</f>
      </c>
      <c r="T862" s="212">
        <f>IFERROR(IF([2]对账明细接口!$O862=0,"",[2]对账明细接口!$O862),"")</f>
      </c>
      <c r="U862" s="212">
        <f>IFERROR(IF([2]对账明细接口!$P862=0,"",[2]对账明细接口!$P862),"")</f>
      </c>
      <c r="V862" s="212">
        <f>IFERROR(IF([2]对账明细接口!$Q862=0,"",[2]对账明细接口!$Q862),"")</f>
      </c>
      <c r="W862" s="20">
        <f>IFERROR(IF([2]对账明细接口!$R862=0,"",[2]对账明细接口!$R862),"")</f>
      </c>
      <c r="X862" s="20">
        <f>IFERROR(IF([2]对账明细接口!$S862=0,"",[2]对账明细接口!$S862),"")</f>
      </c>
      <c r="Y862" s="20">
        <f>""</f>
      </c>
      <c r="Z862" s="20">
        <f>""</f>
      </c>
      <c r="AA862" s="20">
        <f>""</f>
      </c>
      <c r="AB862" s="20">
        <f>""</f>
      </c>
    </row>
    <row r="863" s="127">
      <c r="A863" s="14" t="n">
        <v>863</v>
      </c>
      <c r="B863" s="211">
        <f>IFERROR(IF([2]对账明细接口!$B$863=0,"",[2]对账明细接口!$B$863),"")</f>
      </c>
      <c r="C863" s="16">
        <f>IFERROR(IF([2]对账明细接口!$C$863=0,"",[2]对账明细接口!$C$863),"")</f>
      </c>
      <c r="D863" s="16">
        <f>IFERROR(IF([2]对账明细接口!$D$863=0,"",[2]对账明细接口!$D$863),"")</f>
      </c>
      <c r="E863" s="16">
        <f>IFERROR(IF([2]对账明细接口!$E$863=0,"",[2]对账明细接口!$E$863),"")</f>
      </c>
      <c r="F863" s="16">
        <f>IFERROR(IF([2]对账明细接口!$F$863=0,"",[2]对账明细接口!$F$863),"")</f>
      </c>
      <c r="G863" s="16">
        <f>IFERROR(IF([2]对账明细接口!$G$863=0,"",[2]对账明细接口!$G$863),"")</f>
      </c>
      <c r="H863" s="176">
        <f>IFERROR(IF([2]对账明细接口!$H$863=0,"",[2]对账明细接口!$H$863),"")</f>
      </c>
      <c r="I863" s="16">
        <f>IFERROR(IF([2]对账明细接口!$I$863=0,"",[2]对账明细接口!$I$863),"")</f>
      </c>
      <c r="J863" s="177">
        <f>IFERROR(IF([2]对账明细接口!$J$863=0,"",[2]对账明细接口!$J$863),"")</f>
      </c>
      <c r="K863" s="177">
        <f>IFERROR(IF([2]对账明细接口!$K$863=0,"",[2]对账明细接口!$K$863),"")</f>
      </c>
      <c r="L863" s="16">
        <f>IFERROR(IF([2]对账明细接口!$L$863=0,"",[2]对账明细接口!$L$863),"")</f>
      </c>
      <c r="M863" s="16">
        <f>IFERROR(IF([2]对账明细接口!$M$863=0,"",[2]对账明细接口!$M$863),"")</f>
      </c>
      <c r="N863" s="19">
        <f>IF($C863="",0,1)</f>
        <v>0</v>
      </c>
      <c r="O863" s="19">
        <f>N(O862)+$N863</f>
        <v>272</v>
      </c>
      <c r="S863" s="20">
        <f>IFERROR(IF([2]对账明细接口!$N863=0,"",[2]对账明细接口!$N863),"")</f>
      </c>
      <c r="T863" s="212">
        <f>IFERROR(IF([2]对账明细接口!$O863=0,"",[2]对账明细接口!$O863),"")</f>
      </c>
      <c r="U863" s="212">
        <f>IFERROR(IF([2]对账明细接口!$P863=0,"",[2]对账明细接口!$P863),"")</f>
      </c>
      <c r="V863" s="212">
        <f>IFERROR(IF([2]对账明细接口!$Q863=0,"",[2]对账明细接口!$Q863),"")</f>
      </c>
      <c r="W863" s="20">
        <f>IFERROR(IF([2]对账明细接口!$R863=0,"",[2]对账明细接口!$R863),"")</f>
      </c>
      <c r="X863" s="20">
        <f>IFERROR(IF([2]对账明细接口!$S863=0,"",[2]对账明细接口!$S863),"")</f>
      </c>
      <c r="Y863" s="20">
        <f>""</f>
      </c>
      <c r="Z863" s="20">
        <f>""</f>
      </c>
      <c r="AA863" s="20">
        <f>""</f>
      </c>
      <c r="AB863" s="20">
        <f>""</f>
      </c>
    </row>
    <row r="864" s="127">
      <c r="A864" s="14" t="n">
        <v>864</v>
      </c>
      <c r="B864" s="211">
        <f>IFERROR(IF([2]对账明细接口!$B$864=0,"",[2]对账明细接口!$B$864),"")</f>
      </c>
      <c r="C864" s="16">
        <f>IFERROR(IF([2]对账明细接口!$C$864=0,"",[2]对账明细接口!$C$864),"")</f>
      </c>
      <c r="D864" s="16">
        <f>IFERROR(IF([2]对账明细接口!$D$864=0,"",[2]对账明细接口!$D$864),"")</f>
      </c>
      <c r="E864" s="16">
        <f>IFERROR(IF([2]对账明细接口!$E$864=0,"",[2]对账明细接口!$E$864),"")</f>
      </c>
      <c r="F864" s="16">
        <f>IFERROR(IF([2]对账明细接口!$F$864=0,"",[2]对账明细接口!$F$864),"")</f>
      </c>
      <c r="G864" s="16">
        <f>IFERROR(IF([2]对账明细接口!$G$864=0,"",[2]对账明细接口!$G$864),"")</f>
      </c>
      <c r="H864" s="176">
        <f>IFERROR(IF([2]对账明细接口!$H$864=0,"",[2]对账明细接口!$H$864),"")</f>
      </c>
      <c r="I864" s="16">
        <f>IFERROR(IF([2]对账明细接口!$I$864=0,"",[2]对账明细接口!$I$864),"")</f>
      </c>
      <c r="J864" s="177">
        <f>IFERROR(IF([2]对账明细接口!$J$864=0,"",[2]对账明细接口!$J$864),"")</f>
      </c>
      <c r="K864" s="177">
        <f>IFERROR(IF([2]对账明细接口!$K$864=0,"",[2]对账明细接口!$K$864),"")</f>
      </c>
      <c r="L864" s="16">
        <f>IFERROR(IF([2]对账明细接口!$L$864=0,"",[2]对账明细接口!$L$864),"")</f>
      </c>
      <c r="M864" s="16">
        <f>IFERROR(IF([2]对账明细接口!$M$864=0,"",[2]对账明细接口!$M$864),"")</f>
      </c>
      <c r="N864" s="19">
        <f>IF($C864="",0,1)</f>
        <v>0</v>
      </c>
      <c r="O864" s="19">
        <f>N(O863)+$N864</f>
        <v>272</v>
      </c>
      <c r="S864" s="20">
        <f>IFERROR(IF([2]对账明细接口!$N864=0,"",[2]对账明细接口!$N864),"")</f>
      </c>
      <c r="T864" s="212">
        <f>IFERROR(IF([2]对账明细接口!$O864=0,"",[2]对账明细接口!$O864),"")</f>
      </c>
      <c r="U864" s="212">
        <f>IFERROR(IF([2]对账明细接口!$P864=0,"",[2]对账明细接口!$P864),"")</f>
      </c>
      <c r="V864" s="212">
        <f>IFERROR(IF([2]对账明细接口!$Q864=0,"",[2]对账明细接口!$Q864),"")</f>
      </c>
      <c r="W864" s="20">
        <f>IFERROR(IF([2]对账明细接口!$R864=0,"",[2]对账明细接口!$R864),"")</f>
      </c>
      <c r="X864" s="20">
        <f>IFERROR(IF([2]对账明细接口!$S864=0,"",[2]对账明细接口!$S864),"")</f>
      </c>
      <c r="Y864" s="20">
        <f>""</f>
      </c>
      <c r="Z864" s="20">
        <f>""</f>
      </c>
      <c r="AA864" s="20">
        <f>""</f>
      </c>
      <c r="AB864" s="20">
        <f>""</f>
      </c>
    </row>
    <row r="865" s="127">
      <c r="A865" s="14" t="n">
        <v>865</v>
      </c>
      <c r="B865" s="211">
        <f>IFERROR(IF([2]对账明细接口!$B$865=0,"",[2]对账明细接口!$B$865),"")</f>
      </c>
      <c r="C865" s="16">
        <f>IFERROR(IF([2]对账明细接口!$C$865=0,"",[2]对账明细接口!$C$865),"")</f>
      </c>
      <c r="D865" s="16">
        <f>IFERROR(IF([2]对账明细接口!$D$865=0,"",[2]对账明细接口!$D$865),"")</f>
      </c>
      <c r="E865" s="16">
        <f>IFERROR(IF([2]对账明细接口!$E$865=0,"",[2]对账明细接口!$E$865),"")</f>
      </c>
      <c r="F865" s="16">
        <f>IFERROR(IF([2]对账明细接口!$F$865=0,"",[2]对账明细接口!$F$865),"")</f>
      </c>
      <c r="G865" s="16">
        <f>IFERROR(IF([2]对账明细接口!$G$865=0,"",[2]对账明细接口!$G$865),"")</f>
      </c>
      <c r="H865" s="176">
        <f>IFERROR(IF([2]对账明细接口!$H$865=0,"",[2]对账明细接口!$H$865),"")</f>
      </c>
      <c r="I865" s="16">
        <f>IFERROR(IF([2]对账明细接口!$I$865=0,"",[2]对账明细接口!$I$865),"")</f>
      </c>
      <c r="J865" s="177">
        <f>IFERROR(IF([2]对账明细接口!$J$865=0,"",[2]对账明细接口!$J$865),"")</f>
      </c>
      <c r="K865" s="177">
        <f>IFERROR(IF([2]对账明细接口!$K$865=0,"",[2]对账明细接口!$K$865),"")</f>
      </c>
      <c r="L865" s="16">
        <f>IFERROR(IF([2]对账明细接口!$L$865=0,"",[2]对账明细接口!$L$865),"")</f>
      </c>
      <c r="M865" s="16">
        <f>IFERROR(IF([2]对账明细接口!$M$865=0,"",[2]对账明细接口!$M$865),"")</f>
      </c>
      <c r="N865" s="19">
        <f>IF($C865="",0,1)</f>
        <v>0</v>
      </c>
      <c r="O865" s="19">
        <f>N(O864)+$N865</f>
        <v>272</v>
      </c>
      <c r="S865" s="20">
        <f>IFERROR(IF([2]对账明细接口!$N865=0,"",[2]对账明细接口!$N865),"")</f>
      </c>
      <c r="T865" s="212">
        <f>IFERROR(IF([2]对账明细接口!$O865=0,"",[2]对账明细接口!$O865),"")</f>
      </c>
      <c r="U865" s="212">
        <f>IFERROR(IF([2]对账明细接口!$P865=0,"",[2]对账明细接口!$P865),"")</f>
      </c>
      <c r="V865" s="212">
        <f>IFERROR(IF([2]对账明细接口!$Q865=0,"",[2]对账明细接口!$Q865),"")</f>
      </c>
      <c r="W865" s="20">
        <f>IFERROR(IF([2]对账明细接口!$R865=0,"",[2]对账明细接口!$R865),"")</f>
      </c>
      <c r="X865" s="20">
        <f>IFERROR(IF([2]对账明细接口!$S865=0,"",[2]对账明细接口!$S865),"")</f>
      </c>
      <c r="Y865" s="20">
        <f>""</f>
      </c>
      <c r="Z865" s="20">
        <f>""</f>
      </c>
      <c r="AA865" s="20">
        <f>""</f>
      </c>
      <c r="AB865" s="20">
        <f>""</f>
      </c>
    </row>
    <row r="866" s="127">
      <c r="A866" s="14" t="n">
        <v>866</v>
      </c>
      <c r="B866" s="211">
        <f>IFERROR(IF([2]对账明细接口!$B$866=0,"",[2]对账明细接口!$B$866),"")</f>
      </c>
      <c r="C866" s="16">
        <f>IFERROR(IF([2]对账明细接口!$C$866=0,"",[2]对账明细接口!$C$866),"")</f>
      </c>
      <c r="D866" s="16">
        <f>IFERROR(IF([2]对账明细接口!$D$866=0,"",[2]对账明细接口!$D$866),"")</f>
      </c>
      <c r="E866" s="16">
        <f>IFERROR(IF([2]对账明细接口!$E$866=0,"",[2]对账明细接口!$E$866),"")</f>
      </c>
      <c r="F866" s="16">
        <f>IFERROR(IF([2]对账明细接口!$F$866=0,"",[2]对账明细接口!$F$866),"")</f>
      </c>
      <c r="G866" s="16">
        <f>IFERROR(IF([2]对账明细接口!$G$866=0,"",[2]对账明细接口!$G$866),"")</f>
      </c>
      <c r="H866" s="176">
        <f>IFERROR(IF([2]对账明细接口!$H$866=0,"",[2]对账明细接口!$H$866),"")</f>
      </c>
      <c r="I866" s="16">
        <f>IFERROR(IF([2]对账明细接口!$I$866=0,"",[2]对账明细接口!$I$866),"")</f>
      </c>
      <c r="J866" s="177">
        <f>IFERROR(IF([2]对账明细接口!$J$866=0,"",[2]对账明细接口!$J$866),"")</f>
      </c>
      <c r="K866" s="177">
        <f>IFERROR(IF([2]对账明细接口!$K$866=0,"",[2]对账明细接口!$K$866),"")</f>
      </c>
      <c r="L866" s="16">
        <f>IFERROR(IF([2]对账明细接口!$L$866=0,"",[2]对账明细接口!$L$866),"")</f>
      </c>
      <c r="M866" s="16">
        <f>IFERROR(IF([2]对账明细接口!$M$866=0,"",[2]对账明细接口!$M$866),"")</f>
      </c>
      <c r="N866" s="19">
        <f>IF($C866="",0,1)</f>
        <v>0</v>
      </c>
      <c r="O866" s="19">
        <f>N(O865)+$N866</f>
        <v>272</v>
      </c>
      <c r="S866" s="20">
        <f>IFERROR(IF([2]对账明细接口!$N866=0,"",[2]对账明细接口!$N866),"")</f>
      </c>
      <c r="T866" s="212">
        <f>IFERROR(IF([2]对账明细接口!$O866=0,"",[2]对账明细接口!$O866),"")</f>
      </c>
      <c r="U866" s="212">
        <f>IFERROR(IF([2]对账明细接口!$P866=0,"",[2]对账明细接口!$P866),"")</f>
      </c>
      <c r="V866" s="212">
        <f>IFERROR(IF([2]对账明细接口!$Q866=0,"",[2]对账明细接口!$Q866),"")</f>
      </c>
      <c r="W866" s="20">
        <f>IFERROR(IF([2]对账明细接口!$R866=0,"",[2]对账明细接口!$R866),"")</f>
      </c>
      <c r="X866" s="20">
        <f>IFERROR(IF([2]对账明细接口!$S866=0,"",[2]对账明细接口!$S866),"")</f>
      </c>
      <c r="Y866" s="20">
        <f>""</f>
      </c>
      <c r="Z866" s="20">
        <f>""</f>
      </c>
      <c r="AA866" s="20">
        <f>""</f>
      </c>
      <c r="AB866" s="20">
        <f>""</f>
      </c>
    </row>
    <row r="867" s="127">
      <c r="A867" s="14" t="n">
        <v>867</v>
      </c>
      <c r="B867" s="211">
        <f>IFERROR(IF([2]对账明细接口!$B$867=0,"",[2]对账明细接口!$B$867),"")</f>
      </c>
      <c r="C867" s="16">
        <f>IFERROR(IF([2]对账明细接口!$C$867=0,"",[2]对账明细接口!$C$867),"")</f>
      </c>
      <c r="D867" s="16">
        <f>IFERROR(IF([2]对账明细接口!$D$867=0,"",[2]对账明细接口!$D$867),"")</f>
      </c>
      <c r="E867" s="16">
        <f>IFERROR(IF([2]对账明细接口!$E$867=0,"",[2]对账明细接口!$E$867),"")</f>
      </c>
      <c r="F867" s="16">
        <f>IFERROR(IF([2]对账明细接口!$F$867=0,"",[2]对账明细接口!$F$867),"")</f>
      </c>
      <c r="G867" s="16">
        <f>IFERROR(IF([2]对账明细接口!$G$867=0,"",[2]对账明细接口!$G$867),"")</f>
      </c>
      <c r="H867" s="176">
        <f>IFERROR(IF([2]对账明细接口!$H$867=0,"",[2]对账明细接口!$H$867),"")</f>
      </c>
      <c r="I867" s="16">
        <f>IFERROR(IF([2]对账明细接口!$I$867=0,"",[2]对账明细接口!$I$867),"")</f>
      </c>
      <c r="J867" s="177">
        <f>IFERROR(IF([2]对账明细接口!$J$867=0,"",[2]对账明细接口!$J$867),"")</f>
      </c>
      <c r="K867" s="177">
        <f>IFERROR(IF([2]对账明细接口!$K$867=0,"",[2]对账明细接口!$K$867),"")</f>
      </c>
      <c r="L867" s="16">
        <f>IFERROR(IF([2]对账明细接口!$L$867=0,"",[2]对账明细接口!$L$867),"")</f>
      </c>
      <c r="M867" s="16">
        <f>IFERROR(IF([2]对账明细接口!$M$867=0,"",[2]对账明细接口!$M$867),"")</f>
      </c>
      <c r="N867" s="19">
        <f>IF($C867="",0,1)</f>
        <v>0</v>
      </c>
      <c r="O867" s="19">
        <f>N(O866)+$N867</f>
        <v>272</v>
      </c>
      <c r="S867" s="20">
        <f>IFERROR(IF([2]对账明细接口!$N867=0,"",[2]对账明细接口!$N867),"")</f>
      </c>
      <c r="T867" s="212">
        <f>IFERROR(IF([2]对账明细接口!$O867=0,"",[2]对账明细接口!$O867),"")</f>
      </c>
      <c r="U867" s="212">
        <f>IFERROR(IF([2]对账明细接口!$P867=0,"",[2]对账明细接口!$P867),"")</f>
      </c>
      <c r="V867" s="212">
        <f>IFERROR(IF([2]对账明细接口!$Q867=0,"",[2]对账明细接口!$Q867),"")</f>
      </c>
      <c r="W867" s="20">
        <f>IFERROR(IF([2]对账明细接口!$R867=0,"",[2]对账明细接口!$R867),"")</f>
      </c>
      <c r="X867" s="20">
        <f>IFERROR(IF([2]对账明细接口!$S867=0,"",[2]对账明细接口!$S867),"")</f>
      </c>
      <c r="Y867" s="20">
        <f>""</f>
      </c>
      <c r="Z867" s="20">
        <f>""</f>
      </c>
      <c r="AA867" s="20">
        <f>""</f>
      </c>
      <c r="AB867" s="20">
        <f>""</f>
      </c>
    </row>
    <row r="868" s="127">
      <c r="A868" s="14" t="n">
        <v>868</v>
      </c>
      <c r="B868" s="211">
        <f>IFERROR(IF([2]对账明细接口!$B$868=0,"",[2]对账明细接口!$B$868),"")</f>
      </c>
      <c r="C868" s="16">
        <f>IFERROR(IF([2]对账明细接口!$C$868=0,"",[2]对账明细接口!$C$868),"")</f>
      </c>
      <c r="D868" s="16">
        <f>IFERROR(IF([2]对账明细接口!$D$868=0,"",[2]对账明细接口!$D$868),"")</f>
      </c>
      <c r="E868" s="16">
        <f>IFERROR(IF([2]对账明细接口!$E$868=0,"",[2]对账明细接口!$E$868),"")</f>
      </c>
      <c r="F868" s="16">
        <f>IFERROR(IF([2]对账明细接口!$F$868=0,"",[2]对账明细接口!$F$868),"")</f>
      </c>
      <c r="G868" s="16">
        <f>IFERROR(IF([2]对账明细接口!$G$868=0,"",[2]对账明细接口!$G$868),"")</f>
      </c>
      <c r="H868" s="176">
        <f>IFERROR(IF([2]对账明细接口!$H$868=0,"",[2]对账明细接口!$H$868),"")</f>
      </c>
      <c r="I868" s="16">
        <f>IFERROR(IF([2]对账明细接口!$I$868=0,"",[2]对账明细接口!$I$868),"")</f>
      </c>
      <c r="J868" s="177">
        <f>IFERROR(IF([2]对账明细接口!$J$868=0,"",[2]对账明细接口!$J$868),"")</f>
      </c>
      <c r="K868" s="177">
        <f>IFERROR(IF([2]对账明细接口!$K$868=0,"",[2]对账明细接口!$K$868),"")</f>
      </c>
      <c r="L868" s="16">
        <f>IFERROR(IF([2]对账明细接口!$L$868=0,"",[2]对账明细接口!$L$868),"")</f>
      </c>
      <c r="M868" s="16">
        <f>IFERROR(IF([2]对账明细接口!$M$868=0,"",[2]对账明细接口!$M$868),"")</f>
      </c>
      <c r="N868" s="19">
        <f>IF($C868="",0,1)</f>
        <v>0</v>
      </c>
      <c r="O868" s="19">
        <f>N(O867)+$N868</f>
        <v>272</v>
      </c>
      <c r="S868" s="20">
        <f>IFERROR(IF([2]对账明细接口!$N868=0,"",[2]对账明细接口!$N868),"")</f>
      </c>
      <c r="T868" s="212">
        <f>IFERROR(IF([2]对账明细接口!$O868=0,"",[2]对账明细接口!$O868),"")</f>
      </c>
      <c r="U868" s="212">
        <f>IFERROR(IF([2]对账明细接口!$P868=0,"",[2]对账明细接口!$P868),"")</f>
      </c>
      <c r="V868" s="212">
        <f>IFERROR(IF([2]对账明细接口!$Q868=0,"",[2]对账明细接口!$Q868),"")</f>
      </c>
      <c r="W868" s="20">
        <f>IFERROR(IF([2]对账明细接口!$R868=0,"",[2]对账明细接口!$R868),"")</f>
      </c>
      <c r="X868" s="20">
        <f>IFERROR(IF([2]对账明细接口!$S868=0,"",[2]对账明细接口!$S868),"")</f>
      </c>
      <c r="Y868" s="20">
        <f>""</f>
      </c>
      <c r="Z868" s="20">
        <f>""</f>
      </c>
      <c r="AA868" s="20">
        <f>""</f>
      </c>
      <c r="AB868" s="20">
        <f>""</f>
      </c>
    </row>
    <row r="869" s="127">
      <c r="A869" s="14" t="n">
        <v>869</v>
      </c>
      <c r="B869" s="211">
        <f>IFERROR(IF([2]对账明细接口!$B$869=0,"",[2]对账明细接口!$B$869),"")</f>
      </c>
      <c r="C869" s="16">
        <f>IFERROR(IF([2]对账明细接口!$C$869=0,"",[2]对账明细接口!$C$869),"")</f>
      </c>
      <c r="D869" s="16">
        <f>IFERROR(IF([2]对账明细接口!$D$869=0,"",[2]对账明细接口!$D$869),"")</f>
      </c>
      <c r="E869" s="16">
        <f>IFERROR(IF([2]对账明细接口!$E$869=0,"",[2]对账明细接口!$E$869),"")</f>
      </c>
      <c r="F869" s="16">
        <f>IFERROR(IF([2]对账明细接口!$F$869=0,"",[2]对账明细接口!$F$869),"")</f>
      </c>
      <c r="G869" s="16">
        <f>IFERROR(IF([2]对账明细接口!$G$869=0,"",[2]对账明细接口!$G$869),"")</f>
      </c>
      <c r="H869" s="176">
        <f>IFERROR(IF([2]对账明细接口!$H$869=0,"",[2]对账明细接口!$H$869),"")</f>
      </c>
      <c r="I869" s="16">
        <f>IFERROR(IF([2]对账明细接口!$I$869=0,"",[2]对账明细接口!$I$869),"")</f>
      </c>
      <c r="J869" s="177">
        <f>IFERROR(IF([2]对账明细接口!$J$869=0,"",[2]对账明细接口!$J$869),"")</f>
      </c>
      <c r="K869" s="177">
        <f>IFERROR(IF([2]对账明细接口!$K$869=0,"",[2]对账明细接口!$K$869),"")</f>
      </c>
      <c r="L869" s="16">
        <f>IFERROR(IF([2]对账明细接口!$L$869=0,"",[2]对账明细接口!$L$869),"")</f>
      </c>
      <c r="M869" s="16">
        <f>IFERROR(IF([2]对账明细接口!$M$869=0,"",[2]对账明细接口!$M$869),"")</f>
      </c>
      <c r="N869" s="19">
        <f>IF($C869="",0,1)</f>
        <v>0</v>
      </c>
      <c r="O869" s="19">
        <f>N(O868)+$N869</f>
        <v>272</v>
      </c>
      <c r="S869" s="20">
        <f>IFERROR(IF([2]对账明细接口!$N869=0,"",[2]对账明细接口!$N869),"")</f>
      </c>
      <c r="T869" s="212">
        <f>IFERROR(IF([2]对账明细接口!$O869=0,"",[2]对账明细接口!$O869),"")</f>
      </c>
      <c r="U869" s="212">
        <f>IFERROR(IF([2]对账明细接口!$P869=0,"",[2]对账明细接口!$P869),"")</f>
      </c>
      <c r="V869" s="212">
        <f>IFERROR(IF([2]对账明细接口!$Q869=0,"",[2]对账明细接口!$Q869),"")</f>
      </c>
      <c r="W869" s="20">
        <f>IFERROR(IF([2]对账明细接口!$R869=0,"",[2]对账明细接口!$R869),"")</f>
      </c>
      <c r="X869" s="20">
        <f>IFERROR(IF([2]对账明细接口!$S869=0,"",[2]对账明细接口!$S869),"")</f>
      </c>
      <c r="Y869" s="20">
        <f>""</f>
      </c>
      <c r="Z869" s="20">
        <f>""</f>
      </c>
      <c r="AA869" s="20">
        <f>""</f>
      </c>
      <c r="AB869" s="20">
        <f>""</f>
      </c>
    </row>
    <row r="870" s="127">
      <c r="A870" s="14" t="n">
        <v>870</v>
      </c>
      <c r="B870" s="211">
        <f>IFERROR(IF([2]对账明细接口!$B$870=0,"",[2]对账明细接口!$B$870),"")</f>
      </c>
      <c r="C870" s="16">
        <f>IFERROR(IF([2]对账明细接口!$C$870=0,"",[2]对账明细接口!$C$870),"")</f>
      </c>
      <c r="D870" s="16">
        <f>IFERROR(IF([2]对账明细接口!$D$870=0,"",[2]对账明细接口!$D$870),"")</f>
      </c>
      <c r="E870" s="16">
        <f>IFERROR(IF([2]对账明细接口!$E$870=0,"",[2]对账明细接口!$E$870),"")</f>
      </c>
      <c r="F870" s="16">
        <f>IFERROR(IF([2]对账明细接口!$F$870=0,"",[2]对账明细接口!$F$870),"")</f>
      </c>
      <c r="G870" s="16">
        <f>IFERROR(IF([2]对账明细接口!$G$870=0,"",[2]对账明细接口!$G$870),"")</f>
      </c>
      <c r="H870" s="176">
        <f>IFERROR(IF([2]对账明细接口!$H$870=0,"",[2]对账明细接口!$H$870),"")</f>
      </c>
      <c r="I870" s="16">
        <f>IFERROR(IF([2]对账明细接口!$I$870=0,"",[2]对账明细接口!$I$870),"")</f>
      </c>
      <c r="J870" s="177">
        <f>IFERROR(IF([2]对账明细接口!$J$870=0,"",[2]对账明细接口!$J$870),"")</f>
      </c>
      <c r="K870" s="177">
        <f>IFERROR(IF([2]对账明细接口!$K$870=0,"",[2]对账明细接口!$K$870),"")</f>
      </c>
      <c r="L870" s="16">
        <f>IFERROR(IF([2]对账明细接口!$L$870=0,"",[2]对账明细接口!$L$870),"")</f>
      </c>
      <c r="M870" s="16">
        <f>IFERROR(IF([2]对账明细接口!$M$870=0,"",[2]对账明细接口!$M$870),"")</f>
      </c>
      <c r="N870" s="19">
        <f>IF($C870="",0,1)</f>
        <v>0</v>
      </c>
      <c r="O870" s="19">
        <f>N(O869)+$N870</f>
        <v>272</v>
      </c>
      <c r="S870" s="20">
        <f>IFERROR(IF([2]对账明细接口!$N870=0,"",[2]对账明细接口!$N870),"")</f>
      </c>
      <c r="T870" s="212">
        <f>IFERROR(IF([2]对账明细接口!$O870=0,"",[2]对账明细接口!$O870),"")</f>
      </c>
      <c r="U870" s="212">
        <f>IFERROR(IF([2]对账明细接口!$P870=0,"",[2]对账明细接口!$P870),"")</f>
      </c>
      <c r="V870" s="212">
        <f>IFERROR(IF([2]对账明细接口!$Q870=0,"",[2]对账明细接口!$Q870),"")</f>
      </c>
      <c r="W870" s="20">
        <f>IFERROR(IF([2]对账明细接口!$R870=0,"",[2]对账明细接口!$R870),"")</f>
      </c>
      <c r="X870" s="20">
        <f>IFERROR(IF([2]对账明细接口!$S870=0,"",[2]对账明细接口!$S870),"")</f>
      </c>
      <c r="Y870" s="20">
        <f>""</f>
      </c>
      <c r="Z870" s="20">
        <f>""</f>
      </c>
      <c r="AA870" s="20">
        <f>""</f>
      </c>
      <c r="AB870" s="20">
        <f>""</f>
      </c>
    </row>
    <row r="871" s="127">
      <c r="A871" s="14" t="n">
        <v>871</v>
      </c>
      <c r="B871" s="211">
        <f>IFERROR(IF([2]对账明细接口!$B$871=0,"",[2]对账明细接口!$B$871),"")</f>
      </c>
      <c r="C871" s="16">
        <f>IFERROR(IF([2]对账明细接口!$C$871=0,"",[2]对账明细接口!$C$871),"")</f>
      </c>
      <c r="D871" s="16">
        <f>IFERROR(IF([2]对账明细接口!$D$871=0,"",[2]对账明细接口!$D$871),"")</f>
      </c>
      <c r="E871" s="16">
        <f>IFERROR(IF([2]对账明细接口!$E$871=0,"",[2]对账明细接口!$E$871),"")</f>
      </c>
      <c r="F871" s="16">
        <f>IFERROR(IF([2]对账明细接口!$F$871=0,"",[2]对账明细接口!$F$871),"")</f>
      </c>
      <c r="G871" s="16">
        <f>IFERROR(IF([2]对账明细接口!$G$871=0,"",[2]对账明细接口!$G$871),"")</f>
      </c>
      <c r="H871" s="176">
        <f>IFERROR(IF([2]对账明细接口!$H$871=0,"",[2]对账明细接口!$H$871),"")</f>
      </c>
      <c r="I871" s="16">
        <f>IFERROR(IF([2]对账明细接口!$I$871=0,"",[2]对账明细接口!$I$871),"")</f>
      </c>
      <c r="J871" s="177">
        <f>IFERROR(IF([2]对账明细接口!$J$871=0,"",[2]对账明细接口!$J$871),"")</f>
      </c>
      <c r="K871" s="177">
        <f>IFERROR(IF([2]对账明细接口!$K$871=0,"",[2]对账明细接口!$K$871),"")</f>
      </c>
      <c r="L871" s="16">
        <f>IFERROR(IF([2]对账明细接口!$L$871=0,"",[2]对账明细接口!$L$871),"")</f>
      </c>
      <c r="M871" s="16">
        <f>IFERROR(IF([2]对账明细接口!$M$871=0,"",[2]对账明细接口!$M$871),"")</f>
      </c>
      <c r="N871" s="19">
        <f>IF($C871="",0,1)</f>
        <v>0</v>
      </c>
      <c r="O871" s="19">
        <f>N(O870)+$N871</f>
        <v>272</v>
      </c>
      <c r="S871" s="20">
        <f>IFERROR(IF([2]对账明细接口!$N871=0,"",[2]对账明细接口!$N871),"")</f>
      </c>
      <c r="T871" s="212">
        <f>IFERROR(IF([2]对账明细接口!$O871=0,"",[2]对账明细接口!$O871),"")</f>
      </c>
      <c r="U871" s="212">
        <f>IFERROR(IF([2]对账明细接口!$P871=0,"",[2]对账明细接口!$P871),"")</f>
      </c>
      <c r="V871" s="212">
        <f>IFERROR(IF([2]对账明细接口!$Q871=0,"",[2]对账明细接口!$Q871),"")</f>
      </c>
      <c r="W871" s="20">
        <f>IFERROR(IF([2]对账明细接口!$R871=0,"",[2]对账明细接口!$R871),"")</f>
      </c>
      <c r="X871" s="20">
        <f>IFERROR(IF([2]对账明细接口!$S871=0,"",[2]对账明细接口!$S871),"")</f>
      </c>
      <c r="Y871" s="20">
        <f>""</f>
      </c>
      <c r="Z871" s="20">
        <f>""</f>
      </c>
      <c r="AA871" s="20">
        <f>""</f>
      </c>
      <c r="AB871" s="20">
        <f>""</f>
      </c>
    </row>
    <row r="872" s="127">
      <c r="A872" s="14" t="n">
        <v>872</v>
      </c>
      <c r="B872" s="211">
        <f>IFERROR(IF([2]对账明细接口!$B$872=0,"",[2]对账明细接口!$B$872),"")</f>
      </c>
      <c r="C872" s="16">
        <f>IFERROR(IF([2]对账明细接口!$C$872=0,"",[2]对账明细接口!$C$872),"")</f>
      </c>
      <c r="D872" s="16">
        <f>IFERROR(IF([2]对账明细接口!$D$872=0,"",[2]对账明细接口!$D$872),"")</f>
      </c>
      <c r="E872" s="16">
        <f>IFERROR(IF([2]对账明细接口!$E$872=0,"",[2]对账明细接口!$E$872),"")</f>
      </c>
      <c r="F872" s="16">
        <f>IFERROR(IF([2]对账明细接口!$F$872=0,"",[2]对账明细接口!$F$872),"")</f>
      </c>
      <c r="G872" s="16">
        <f>IFERROR(IF([2]对账明细接口!$G$872=0,"",[2]对账明细接口!$G$872),"")</f>
      </c>
      <c r="H872" s="176">
        <f>IFERROR(IF([2]对账明细接口!$H$872=0,"",[2]对账明细接口!$H$872),"")</f>
      </c>
      <c r="I872" s="16">
        <f>IFERROR(IF([2]对账明细接口!$I$872=0,"",[2]对账明细接口!$I$872),"")</f>
      </c>
      <c r="J872" s="177">
        <f>IFERROR(IF([2]对账明细接口!$J$872=0,"",[2]对账明细接口!$J$872),"")</f>
      </c>
      <c r="K872" s="177">
        <f>IFERROR(IF([2]对账明细接口!$K$872=0,"",[2]对账明细接口!$K$872),"")</f>
      </c>
      <c r="L872" s="16">
        <f>IFERROR(IF([2]对账明细接口!$L$872=0,"",[2]对账明细接口!$L$872),"")</f>
      </c>
      <c r="M872" s="16">
        <f>IFERROR(IF([2]对账明细接口!$M$872=0,"",[2]对账明细接口!$M$872),"")</f>
      </c>
      <c r="N872" s="19">
        <f>IF($C872="",0,1)</f>
        <v>0</v>
      </c>
      <c r="O872" s="19">
        <f>N(O871)+$N872</f>
        <v>272</v>
      </c>
      <c r="S872" s="20">
        <f>IFERROR(IF([2]对账明细接口!$N872=0,"",[2]对账明细接口!$N872),"")</f>
      </c>
      <c r="T872" s="212">
        <f>IFERROR(IF([2]对账明细接口!$O872=0,"",[2]对账明细接口!$O872),"")</f>
      </c>
      <c r="U872" s="212">
        <f>IFERROR(IF([2]对账明细接口!$P872=0,"",[2]对账明细接口!$P872),"")</f>
      </c>
      <c r="V872" s="212">
        <f>IFERROR(IF([2]对账明细接口!$Q872=0,"",[2]对账明细接口!$Q872),"")</f>
      </c>
      <c r="W872" s="20">
        <f>IFERROR(IF([2]对账明细接口!$R872=0,"",[2]对账明细接口!$R872),"")</f>
      </c>
      <c r="X872" s="20">
        <f>IFERROR(IF([2]对账明细接口!$S872=0,"",[2]对账明细接口!$S872),"")</f>
      </c>
      <c r="Y872" s="20">
        <f>""</f>
      </c>
      <c r="Z872" s="20">
        <f>""</f>
      </c>
      <c r="AA872" s="20">
        <f>""</f>
      </c>
      <c r="AB872" s="20">
        <f>""</f>
      </c>
    </row>
    <row r="873" s="127">
      <c r="A873" s="14" t="n">
        <v>873</v>
      </c>
      <c r="B873" s="211">
        <f>IFERROR(IF([2]对账明细接口!$B$873=0,"",[2]对账明细接口!$B$873),"")</f>
      </c>
      <c r="C873" s="16">
        <f>IFERROR(IF([2]对账明细接口!$C$873=0,"",[2]对账明细接口!$C$873),"")</f>
      </c>
      <c r="D873" s="16">
        <f>IFERROR(IF([2]对账明细接口!$D$873=0,"",[2]对账明细接口!$D$873),"")</f>
      </c>
      <c r="E873" s="16">
        <f>IFERROR(IF([2]对账明细接口!$E$873=0,"",[2]对账明细接口!$E$873),"")</f>
      </c>
      <c r="F873" s="16">
        <f>IFERROR(IF([2]对账明细接口!$F$873=0,"",[2]对账明细接口!$F$873),"")</f>
      </c>
      <c r="G873" s="16">
        <f>IFERROR(IF([2]对账明细接口!$G$873=0,"",[2]对账明细接口!$G$873),"")</f>
      </c>
      <c r="H873" s="176">
        <f>IFERROR(IF([2]对账明细接口!$H$873=0,"",[2]对账明细接口!$H$873),"")</f>
      </c>
      <c r="I873" s="16">
        <f>IFERROR(IF([2]对账明细接口!$I$873=0,"",[2]对账明细接口!$I$873),"")</f>
      </c>
      <c r="J873" s="177">
        <f>IFERROR(IF([2]对账明细接口!$J$873=0,"",[2]对账明细接口!$J$873),"")</f>
      </c>
      <c r="K873" s="177">
        <f>IFERROR(IF([2]对账明细接口!$K$873=0,"",[2]对账明细接口!$K$873),"")</f>
      </c>
      <c r="L873" s="16">
        <f>IFERROR(IF([2]对账明细接口!$L$873=0,"",[2]对账明细接口!$L$873),"")</f>
      </c>
      <c r="M873" s="16">
        <f>IFERROR(IF([2]对账明细接口!$M$873=0,"",[2]对账明细接口!$M$873),"")</f>
      </c>
      <c r="N873" s="19">
        <f>IF($C873="",0,1)</f>
        <v>0</v>
      </c>
      <c r="O873" s="19">
        <f>N(O872)+$N873</f>
        <v>272</v>
      </c>
      <c r="S873" s="20">
        <f>IFERROR(IF([2]对账明细接口!$N873=0,"",[2]对账明细接口!$N873),"")</f>
      </c>
      <c r="T873" s="212">
        <f>IFERROR(IF([2]对账明细接口!$O873=0,"",[2]对账明细接口!$O873),"")</f>
      </c>
      <c r="U873" s="212">
        <f>IFERROR(IF([2]对账明细接口!$P873=0,"",[2]对账明细接口!$P873),"")</f>
      </c>
      <c r="V873" s="212">
        <f>IFERROR(IF([2]对账明细接口!$Q873=0,"",[2]对账明细接口!$Q873),"")</f>
      </c>
      <c r="W873" s="20">
        <f>IFERROR(IF([2]对账明细接口!$R873=0,"",[2]对账明细接口!$R873),"")</f>
      </c>
      <c r="X873" s="20">
        <f>IFERROR(IF([2]对账明细接口!$S873=0,"",[2]对账明细接口!$S873),"")</f>
      </c>
      <c r="Y873" s="20">
        <f>""</f>
      </c>
      <c r="Z873" s="20">
        <f>""</f>
      </c>
      <c r="AA873" s="20">
        <f>""</f>
      </c>
      <c r="AB873" s="20">
        <f>""</f>
      </c>
    </row>
    <row r="874" s="127">
      <c r="A874" s="14" t="n">
        <v>874</v>
      </c>
      <c r="B874" s="211">
        <f>IFERROR(IF([2]对账明细接口!$B$874=0,"",[2]对账明细接口!$B$874),"")</f>
      </c>
      <c r="C874" s="16">
        <f>IFERROR(IF([2]对账明细接口!$C$874=0,"",[2]对账明细接口!$C$874),"")</f>
      </c>
      <c r="D874" s="16">
        <f>IFERROR(IF([2]对账明细接口!$D$874=0,"",[2]对账明细接口!$D$874),"")</f>
      </c>
      <c r="E874" s="16">
        <f>IFERROR(IF([2]对账明细接口!$E$874=0,"",[2]对账明细接口!$E$874),"")</f>
      </c>
      <c r="F874" s="16">
        <f>IFERROR(IF([2]对账明细接口!$F$874=0,"",[2]对账明细接口!$F$874),"")</f>
      </c>
      <c r="G874" s="16">
        <f>IFERROR(IF([2]对账明细接口!$G$874=0,"",[2]对账明细接口!$G$874),"")</f>
      </c>
      <c r="H874" s="176">
        <f>IFERROR(IF([2]对账明细接口!$H$874=0,"",[2]对账明细接口!$H$874),"")</f>
      </c>
      <c r="I874" s="16">
        <f>IFERROR(IF([2]对账明细接口!$I$874=0,"",[2]对账明细接口!$I$874),"")</f>
      </c>
      <c r="J874" s="177">
        <f>IFERROR(IF([2]对账明细接口!$J$874=0,"",[2]对账明细接口!$J$874),"")</f>
      </c>
      <c r="K874" s="177">
        <f>IFERROR(IF([2]对账明细接口!$K$874=0,"",[2]对账明细接口!$K$874),"")</f>
      </c>
      <c r="L874" s="16">
        <f>IFERROR(IF([2]对账明细接口!$L$874=0,"",[2]对账明细接口!$L$874),"")</f>
      </c>
      <c r="M874" s="16">
        <f>IFERROR(IF([2]对账明细接口!$M$874=0,"",[2]对账明细接口!$M$874),"")</f>
      </c>
      <c r="N874" s="19">
        <f>IF($C874="",0,1)</f>
        <v>0</v>
      </c>
      <c r="O874" s="19">
        <f>N(O873)+$N874</f>
        <v>272</v>
      </c>
      <c r="S874" s="20">
        <f>IFERROR(IF([2]对账明细接口!$N874=0,"",[2]对账明细接口!$N874),"")</f>
      </c>
      <c r="T874" s="212">
        <f>IFERROR(IF([2]对账明细接口!$O874=0,"",[2]对账明细接口!$O874),"")</f>
      </c>
      <c r="U874" s="212">
        <f>IFERROR(IF([2]对账明细接口!$P874=0,"",[2]对账明细接口!$P874),"")</f>
      </c>
      <c r="V874" s="212">
        <f>IFERROR(IF([2]对账明细接口!$Q874=0,"",[2]对账明细接口!$Q874),"")</f>
      </c>
      <c r="W874" s="20">
        <f>IFERROR(IF([2]对账明细接口!$R874=0,"",[2]对账明细接口!$R874),"")</f>
      </c>
      <c r="X874" s="20">
        <f>IFERROR(IF([2]对账明细接口!$S874=0,"",[2]对账明细接口!$S874),"")</f>
      </c>
      <c r="Y874" s="20">
        <f>""</f>
      </c>
      <c r="Z874" s="20">
        <f>""</f>
      </c>
      <c r="AA874" s="20">
        <f>""</f>
      </c>
      <c r="AB874" s="20">
        <f>""</f>
      </c>
    </row>
    <row r="875" s="127">
      <c r="A875" s="14" t="n">
        <v>875</v>
      </c>
      <c r="B875" s="211">
        <f>IFERROR(IF([2]对账明细接口!$B$875=0,"",[2]对账明细接口!$B$875),"")</f>
      </c>
      <c r="C875" s="16">
        <f>IFERROR(IF([2]对账明细接口!$C$875=0,"",[2]对账明细接口!$C$875),"")</f>
      </c>
      <c r="D875" s="16">
        <f>IFERROR(IF([2]对账明细接口!$D$875=0,"",[2]对账明细接口!$D$875),"")</f>
      </c>
      <c r="E875" s="16">
        <f>IFERROR(IF([2]对账明细接口!$E$875=0,"",[2]对账明细接口!$E$875),"")</f>
      </c>
      <c r="F875" s="16">
        <f>IFERROR(IF([2]对账明细接口!$F$875=0,"",[2]对账明细接口!$F$875),"")</f>
      </c>
      <c r="G875" s="16">
        <f>IFERROR(IF([2]对账明细接口!$G$875=0,"",[2]对账明细接口!$G$875),"")</f>
      </c>
      <c r="H875" s="176">
        <f>IFERROR(IF([2]对账明细接口!$H$875=0,"",[2]对账明细接口!$H$875),"")</f>
      </c>
      <c r="I875" s="16">
        <f>IFERROR(IF([2]对账明细接口!$I$875=0,"",[2]对账明细接口!$I$875),"")</f>
      </c>
      <c r="J875" s="177">
        <f>IFERROR(IF([2]对账明细接口!$J$875=0,"",[2]对账明细接口!$J$875),"")</f>
      </c>
      <c r="K875" s="177">
        <f>IFERROR(IF([2]对账明细接口!$K$875=0,"",[2]对账明细接口!$K$875),"")</f>
      </c>
      <c r="L875" s="16">
        <f>IFERROR(IF([2]对账明细接口!$L$875=0,"",[2]对账明细接口!$L$875),"")</f>
      </c>
      <c r="M875" s="16">
        <f>IFERROR(IF([2]对账明细接口!$M$875=0,"",[2]对账明细接口!$M$875),"")</f>
      </c>
      <c r="N875" s="19">
        <f>IF($C875="",0,1)</f>
        <v>0</v>
      </c>
      <c r="O875" s="19">
        <f>N(O874)+$N875</f>
        <v>272</v>
      </c>
      <c r="S875" s="20">
        <f>IFERROR(IF([2]对账明细接口!$N875=0,"",[2]对账明细接口!$N875),"")</f>
      </c>
      <c r="T875" s="212">
        <f>IFERROR(IF([2]对账明细接口!$O875=0,"",[2]对账明细接口!$O875),"")</f>
      </c>
      <c r="U875" s="212">
        <f>IFERROR(IF([2]对账明细接口!$P875=0,"",[2]对账明细接口!$P875),"")</f>
      </c>
      <c r="V875" s="212">
        <f>IFERROR(IF([2]对账明细接口!$Q875=0,"",[2]对账明细接口!$Q875),"")</f>
      </c>
      <c r="W875" s="20">
        <f>IFERROR(IF([2]对账明细接口!$R875=0,"",[2]对账明细接口!$R875),"")</f>
      </c>
      <c r="X875" s="20">
        <f>IFERROR(IF([2]对账明细接口!$S875=0,"",[2]对账明细接口!$S875),"")</f>
      </c>
      <c r="Y875" s="20">
        <f>""</f>
      </c>
      <c r="Z875" s="20">
        <f>""</f>
      </c>
      <c r="AA875" s="20">
        <f>""</f>
      </c>
      <c r="AB875" s="20">
        <f>""</f>
      </c>
    </row>
    <row r="876" s="127">
      <c r="A876" s="14" t="n">
        <v>876</v>
      </c>
      <c r="B876" s="211">
        <f>IFERROR(IF([2]对账明细接口!$B$876=0,"",[2]对账明细接口!$B$876),"")</f>
      </c>
      <c r="C876" s="16">
        <f>IFERROR(IF([2]对账明细接口!$C$876=0,"",[2]对账明细接口!$C$876),"")</f>
      </c>
      <c r="D876" s="16">
        <f>IFERROR(IF([2]对账明细接口!$D$876=0,"",[2]对账明细接口!$D$876),"")</f>
      </c>
      <c r="E876" s="16">
        <f>IFERROR(IF([2]对账明细接口!$E$876=0,"",[2]对账明细接口!$E$876),"")</f>
      </c>
      <c r="F876" s="16">
        <f>IFERROR(IF([2]对账明细接口!$F$876=0,"",[2]对账明细接口!$F$876),"")</f>
      </c>
      <c r="G876" s="16">
        <f>IFERROR(IF([2]对账明细接口!$G$876=0,"",[2]对账明细接口!$G$876),"")</f>
      </c>
      <c r="H876" s="176">
        <f>IFERROR(IF([2]对账明细接口!$H$876=0,"",[2]对账明细接口!$H$876),"")</f>
      </c>
      <c r="I876" s="16">
        <f>IFERROR(IF([2]对账明细接口!$I$876=0,"",[2]对账明细接口!$I$876),"")</f>
      </c>
      <c r="J876" s="177">
        <f>IFERROR(IF([2]对账明细接口!$J$876=0,"",[2]对账明细接口!$J$876),"")</f>
      </c>
      <c r="K876" s="177">
        <f>IFERROR(IF([2]对账明细接口!$K$876=0,"",[2]对账明细接口!$K$876),"")</f>
      </c>
      <c r="L876" s="16">
        <f>IFERROR(IF([2]对账明细接口!$L$876=0,"",[2]对账明细接口!$L$876),"")</f>
      </c>
      <c r="M876" s="16">
        <f>IFERROR(IF([2]对账明细接口!$M$876=0,"",[2]对账明细接口!$M$876),"")</f>
      </c>
      <c r="N876" s="19">
        <f>IF($C876="",0,1)</f>
        <v>0</v>
      </c>
      <c r="O876" s="19">
        <f>N(O875)+$N876</f>
        <v>272</v>
      </c>
      <c r="S876" s="20">
        <f>IFERROR(IF([2]对账明细接口!$N876=0,"",[2]对账明细接口!$N876),"")</f>
      </c>
      <c r="T876" s="212">
        <f>IFERROR(IF([2]对账明细接口!$O876=0,"",[2]对账明细接口!$O876),"")</f>
      </c>
      <c r="U876" s="212">
        <f>IFERROR(IF([2]对账明细接口!$P876=0,"",[2]对账明细接口!$P876),"")</f>
      </c>
      <c r="V876" s="212">
        <f>IFERROR(IF([2]对账明细接口!$Q876=0,"",[2]对账明细接口!$Q876),"")</f>
      </c>
      <c r="W876" s="20">
        <f>IFERROR(IF([2]对账明细接口!$R876=0,"",[2]对账明细接口!$R876),"")</f>
      </c>
      <c r="X876" s="20">
        <f>IFERROR(IF([2]对账明细接口!$S876=0,"",[2]对账明细接口!$S876),"")</f>
      </c>
      <c r="Y876" s="20">
        <f>""</f>
      </c>
      <c r="Z876" s="20">
        <f>""</f>
      </c>
      <c r="AA876" s="20">
        <f>""</f>
      </c>
      <c r="AB876" s="20">
        <f>""</f>
      </c>
    </row>
    <row r="877" s="127">
      <c r="A877" s="14" t="n">
        <v>877</v>
      </c>
      <c r="B877" s="211">
        <f>IFERROR(IF([2]对账明细接口!$B$877=0,"",[2]对账明细接口!$B$877),"")</f>
      </c>
      <c r="C877" s="16">
        <f>IFERROR(IF([2]对账明细接口!$C$877=0,"",[2]对账明细接口!$C$877),"")</f>
      </c>
      <c r="D877" s="16">
        <f>IFERROR(IF([2]对账明细接口!$D$877=0,"",[2]对账明细接口!$D$877),"")</f>
      </c>
      <c r="E877" s="16">
        <f>IFERROR(IF([2]对账明细接口!$E$877=0,"",[2]对账明细接口!$E$877),"")</f>
      </c>
      <c r="F877" s="16">
        <f>IFERROR(IF([2]对账明细接口!$F$877=0,"",[2]对账明细接口!$F$877),"")</f>
      </c>
      <c r="G877" s="16">
        <f>IFERROR(IF([2]对账明细接口!$G$877=0,"",[2]对账明细接口!$G$877),"")</f>
      </c>
      <c r="H877" s="176">
        <f>IFERROR(IF([2]对账明细接口!$H$877=0,"",[2]对账明细接口!$H$877),"")</f>
      </c>
      <c r="I877" s="16">
        <f>IFERROR(IF([2]对账明细接口!$I$877=0,"",[2]对账明细接口!$I$877),"")</f>
      </c>
      <c r="J877" s="177">
        <f>IFERROR(IF([2]对账明细接口!$J$877=0,"",[2]对账明细接口!$J$877),"")</f>
      </c>
      <c r="K877" s="177">
        <f>IFERROR(IF([2]对账明细接口!$K$877=0,"",[2]对账明细接口!$K$877),"")</f>
      </c>
      <c r="L877" s="16">
        <f>IFERROR(IF([2]对账明细接口!$L$877=0,"",[2]对账明细接口!$L$877),"")</f>
      </c>
      <c r="M877" s="16">
        <f>IFERROR(IF([2]对账明细接口!$M$877=0,"",[2]对账明细接口!$M$877),"")</f>
      </c>
      <c r="N877" s="19">
        <f>IF($C877="",0,1)</f>
        <v>0</v>
      </c>
      <c r="O877" s="19">
        <f>N(O876)+$N877</f>
        <v>272</v>
      </c>
      <c r="S877" s="20">
        <f>IFERROR(IF([2]对账明细接口!$N877=0,"",[2]对账明细接口!$N877),"")</f>
      </c>
      <c r="T877" s="212">
        <f>IFERROR(IF([2]对账明细接口!$O877=0,"",[2]对账明细接口!$O877),"")</f>
      </c>
      <c r="U877" s="212">
        <f>IFERROR(IF([2]对账明细接口!$P877=0,"",[2]对账明细接口!$P877),"")</f>
      </c>
      <c r="V877" s="212">
        <f>IFERROR(IF([2]对账明细接口!$Q877=0,"",[2]对账明细接口!$Q877),"")</f>
      </c>
      <c r="W877" s="20">
        <f>IFERROR(IF([2]对账明细接口!$R877=0,"",[2]对账明细接口!$R877),"")</f>
      </c>
      <c r="X877" s="20">
        <f>IFERROR(IF([2]对账明细接口!$S877=0,"",[2]对账明细接口!$S877),"")</f>
      </c>
      <c r="Y877" s="20">
        <f>""</f>
      </c>
      <c r="Z877" s="20">
        <f>""</f>
      </c>
      <c r="AA877" s="20">
        <f>""</f>
      </c>
      <c r="AB877" s="20">
        <f>""</f>
      </c>
    </row>
    <row r="878" s="127">
      <c r="A878" s="14" t="n">
        <v>878</v>
      </c>
      <c r="B878" s="211">
        <f>IFERROR(IF([2]对账明细接口!$B$878=0,"",[2]对账明细接口!$B$878),"")</f>
      </c>
      <c r="C878" s="16">
        <f>IFERROR(IF([2]对账明细接口!$C$878=0,"",[2]对账明细接口!$C$878),"")</f>
      </c>
      <c r="D878" s="16">
        <f>IFERROR(IF([2]对账明细接口!$D$878=0,"",[2]对账明细接口!$D$878),"")</f>
      </c>
      <c r="E878" s="16">
        <f>IFERROR(IF([2]对账明细接口!$E$878=0,"",[2]对账明细接口!$E$878),"")</f>
      </c>
      <c r="F878" s="16">
        <f>IFERROR(IF([2]对账明细接口!$F$878=0,"",[2]对账明细接口!$F$878),"")</f>
      </c>
      <c r="G878" s="16">
        <f>IFERROR(IF([2]对账明细接口!$G$878=0,"",[2]对账明细接口!$G$878),"")</f>
      </c>
      <c r="H878" s="176">
        <f>IFERROR(IF([2]对账明细接口!$H$878=0,"",[2]对账明细接口!$H$878),"")</f>
      </c>
      <c r="I878" s="16">
        <f>IFERROR(IF([2]对账明细接口!$I$878=0,"",[2]对账明细接口!$I$878),"")</f>
      </c>
      <c r="J878" s="177">
        <f>IFERROR(IF([2]对账明细接口!$J$878=0,"",[2]对账明细接口!$J$878),"")</f>
      </c>
      <c r="K878" s="177">
        <f>IFERROR(IF([2]对账明细接口!$K$878=0,"",[2]对账明细接口!$K$878),"")</f>
      </c>
      <c r="L878" s="16">
        <f>IFERROR(IF([2]对账明细接口!$L$878=0,"",[2]对账明细接口!$L$878),"")</f>
      </c>
      <c r="M878" s="16">
        <f>IFERROR(IF([2]对账明细接口!$M$878=0,"",[2]对账明细接口!$M$878),"")</f>
      </c>
      <c r="N878" s="19">
        <f>IF($C878="",0,1)</f>
        <v>0</v>
      </c>
      <c r="O878" s="19">
        <f>N(O877)+$N878</f>
        <v>272</v>
      </c>
      <c r="S878" s="20">
        <f>IFERROR(IF([2]对账明细接口!$N878=0,"",[2]对账明细接口!$N878),"")</f>
      </c>
      <c r="T878" s="212">
        <f>IFERROR(IF([2]对账明细接口!$O878=0,"",[2]对账明细接口!$O878),"")</f>
      </c>
      <c r="U878" s="212">
        <f>IFERROR(IF([2]对账明细接口!$P878=0,"",[2]对账明细接口!$P878),"")</f>
      </c>
      <c r="V878" s="212">
        <f>IFERROR(IF([2]对账明细接口!$Q878=0,"",[2]对账明细接口!$Q878),"")</f>
      </c>
      <c r="W878" s="20">
        <f>IFERROR(IF([2]对账明细接口!$R878=0,"",[2]对账明细接口!$R878),"")</f>
      </c>
      <c r="X878" s="20">
        <f>IFERROR(IF([2]对账明细接口!$S878=0,"",[2]对账明细接口!$S878),"")</f>
      </c>
      <c r="Y878" s="20">
        <f>""</f>
      </c>
      <c r="Z878" s="20">
        <f>""</f>
      </c>
      <c r="AA878" s="20">
        <f>""</f>
      </c>
      <c r="AB878" s="20">
        <f>""</f>
      </c>
    </row>
    <row r="879" s="127">
      <c r="A879" s="14" t="n">
        <v>879</v>
      </c>
      <c r="B879" s="211">
        <f>IFERROR(IF([2]对账明细接口!$B$879=0,"",[2]对账明细接口!$B$879),"")</f>
      </c>
      <c r="C879" s="16">
        <f>IFERROR(IF([2]对账明细接口!$C$879=0,"",[2]对账明细接口!$C$879),"")</f>
      </c>
      <c r="D879" s="16">
        <f>IFERROR(IF([2]对账明细接口!$D$879=0,"",[2]对账明细接口!$D$879),"")</f>
      </c>
      <c r="E879" s="16">
        <f>IFERROR(IF([2]对账明细接口!$E$879=0,"",[2]对账明细接口!$E$879),"")</f>
      </c>
      <c r="F879" s="16">
        <f>IFERROR(IF([2]对账明细接口!$F$879=0,"",[2]对账明细接口!$F$879),"")</f>
      </c>
      <c r="G879" s="16">
        <f>IFERROR(IF([2]对账明细接口!$G$879=0,"",[2]对账明细接口!$G$879),"")</f>
      </c>
      <c r="H879" s="176">
        <f>IFERROR(IF([2]对账明细接口!$H$879=0,"",[2]对账明细接口!$H$879),"")</f>
      </c>
      <c r="I879" s="16">
        <f>IFERROR(IF([2]对账明细接口!$I$879=0,"",[2]对账明细接口!$I$879),"")</f>
      </c>
      <c r="J879" s="177">
        <f>IFERROR(IF([2]对账明细接口!$J$879=0,"",[2]对账明细接口!$J$879),"")</f>
      </c>
      <c r="K879" s="177">
        <f>IFERROR(IF([2]对账明细接口!$K$879=0,"",[2]对账明细接口!$K$879),"")</f>
      </c>
      <c r="L879" s="16">
        <f>IFERROR(IF([2]对账明细接口!$L$879=0,"",[2]对账明细接口!$L$879),"")</f>
      </c>
      <c r="M879" s="16">
        <f>IFERROR(IF([2]对账明细接口!$M$879=0,"",[2]对账明细接口!$M$879),"")</f>
      </c>
      <c r="N879" s="19">
        <f>IF($C879="",0,1)</f>
        <v>0</v>
      </c>
      <c r="O879" s="19">
        <f>N(O878)+$N879</f>
        <v>272</v>
      </c>
      <c r="S879" s="20">
        <f>IFERROR(IF([2]对账明细接口!$N879=0,"",[2]对账明细接口!$N879),"")</f>
      </c>
      <c r="T879" s="212">
        <f>IFERROR(IF([2]对账明细接口!$O879=0,"",[2]对账明细接口!$O879),"")</f>
      </c>
      <c r="U879" s="212">
        <f>IFERROR(IF([2]对账明细接口!$P879=0,"",[2]对账明细接口!$P879),"")</f>
      </c>
      <c r="V879" s="212">
        <f>IFERROR(IF([2]对账明细接口!$Q879=0,"",[2]对账明细接口!$Q879),"")</f>
      </c>
      <c r="W879" s="20">
        <f>IFERROR(IF([2]对账明细接口!$R879=0,"",[2]对账明细接口!$R879),"")</f>
      </c>
      <c r="X879" s="20">
        <f>IFERROR(IF([2]对账明细接口!$S879=0,"",[2]对账明细接口!$S879),"")</f>
      </c>
      <c r="Y879" s="20">
        <f>""</f>
      </c>
      <c r="Z879" s="20">
        <f>""</f>
      </c>
      <c r="AA879" s="20">
        <f>""</f>
      </c>
      <c r="AB879" s="20">
        <f>""</f>
      </c>
    </row>
    <row r="880" s="127">
      <c r="A880" s="14" t="n">
        <v>880</v>
      </c>
      <c r="B880" s="211">
        <f>IFERROR(IF([2]对账明细接口!$B$880=0,"",[2]对账明细接口!$B$880),"")</f>
      </c>
      <c r="C880" s="16">
        <f>IFERROR(IF([2]对账明细接口!$C$880=0,"",[2]对账明细接口!$C$880),"")</f>
      </c>
      <c r="D880" s="16">
        <f>IFERROR(IF([2]对账明细接口!$D$880=0,"",[2]对账明细接口!$D$880),"")</f>
      </c>
      <c r="E880" s="16">
        <f>IFERROR(IF([2]对账明细接口!$E$880=0,"",[2]对账明细接口!$E$880),"")</f>
      </c>
      <c r="F880" s="16">
        <f>IFERROR(IF([2]对账明细接口!$F$880=0,"",[2]对账明细接口!$F$880),"")</f>
      </c>
      <c r="G880" s="16">
        <f>IFERROR(IF([2]对账明细接口!$G$880=0,"",[2]对账明细接口!$G$880),"")</f>
      </c>
      <c r="H880" s="176">
        <f>IFERROR(IF([2]对账明细接口!$H$880=0,"",[2]对账明细接口!$H$880),"")</f>
      </c>
      <c r="I880" s="16">
        <f>IFERROR(IF([2]对账明细接口!$I$880=0,"",[2]对账明细接口!$I$880),"")</f>
      </c>
      <c r="J880" s="177">
        <f>IFERROR(IF([2]对账明细接口!$J$880=0,"",[2]对账明细接口!$J$880),"")</f>
      </c>
      <c r="K880" s="177">
        <f>IFERROR(IF([2]对账明细接口!$K$880=0,"",[2]对账明细接口!$K$880),"")</f>
      </c>
      <c r="L880" s="16">
        <f>IFERROR(IF([2]对账明细接口!$L$880=0,"",[2]对账明细接口!$L$880),"")</f>
      </c>
      <c r="M880" s="16">
        <f>IFERROR(IF([2]对账明细接口!$M$880=0,"",[2]对账明细接口!$M$880),"")</f>
      </c>
      <c r="N880" s="19">
        <f>IF($C880="",0,1)</f>
        <v>0</v>
      </c>
      <c r="O880" s="19">
        <f>N(O879)+$N880</f>
        <v>272</v>
      </c>
      <c r="S880" s="20">
        <f>IFERROR(IF([2]对账明细接口!$N880=0,"",[2]对账明细接口!$N880),"")</f>
      </c>
      <c r="T880" s="212">
        <f>IFERROR(IF([2]对账明细接口!$O880=0,"",[2]对账明细接口!$O880),"")</f>
      </c>
      <c r="U880" s="212">
        <f>IFERROR(IF([2]对账明细接口!$P880=0,"",[2]对账明细接口!$P880),"")</f>
      </c>
      <c r="V880" s="212">
        <f>IFERROR(IF([2]对账明细接口!$Q880=0,"",[2]对账明细接口!$Q880),"")</f>
      </c>
      <c r="W880" s="20">
        <f>IFERROR(IF([2]对账明细接口!$R880=0,"",[2]对账明细接口!$R880),"")</f>
      </c>
      <c r="X880" s="20">
        <f>IFERROR(IF([2]对账明细接口!$S880=0,"",[2]对账明细接口!$S880),"")</f>
      </c>
      <c r="Y880" s="20">
        <f>""</f>
      </c>
      <c r="Z880" s="20">
        <f>""</f>
      </c>
      <c r="AA880" s="20">
        <f>""</f>
      </c>
      <c r="AB880" s="20">
        <f>""</f>
      </c>
    </row>
    <row r="881" s="127">
      <c r="A881" s="14" t="n">
        <v>881</v>
      </c>
      <c r="B881" s="211">
        <f>IFERROR(IF([2]对账明细接口!$B$881=0,"",[2]对账明细接口!$B$881),"")</f>
      </c>
      <c r="C881" s="16">
        <f>IFERROR(IF([2]对账明细接口!$C$881=0,"",[2]对账明细接口!$C$881),"")</f>
      </c>
      <c r="D881" s="16">
        <f>IFERROR(IF([2]对账明细接口!$D$881=0,"",[2]对账明细接口!$D$881),"")</f>
      </c>
      <c r="E881" s="16">
        <f>IFERROR(IF([2]对账明细接口!$E$881=0,"",[2]对账明细接口!$E$881),"")</f>
      </c>
      <c r="F881" s="16">
        <f>IFERROR(IF([2]对账明细接口!$F$881=0,"",[2]对账明细接口!$F$881),"")</f>
      </c>
      <c r="G881" s="16">
        <f>IFERROR(IF([2]对账明细接口!$G$881=0,"",[2]对账明细接口!$G$881),"")</f>
      </c>
      <c r="H881" s="176">
        <f>IFERROR(IF([2]对账明细接口!$H$881=0,"",[2]对账明细接口!$H$881),"")</f>
      </c>
      <c r="I881" s="16">
        <f>IFERROR(IF([2]对账明细接口!$I$881=0,"",[2]对账明细接口!$I$881),"")</f>
      </c>
      <c r="J881" s="177">
        <f>IFERROR(IF([2]对账明细接口!$J$881=0,"",[2]对账明细接口!$J$881),"")</f>
      </c>
      <c r="K881" s="177">
        <f>IFERROR(IF([2]对账明细接口!$K$881=0,"",[2]对账明细接口!$K$881),"")</f>
      </c>
      <c r="L881" s="16">
        <f>IFERROR(IF([2]对账明细接口!$L$881=0,"",[2]对账明细接口!$L$881),"")</f>
      </c>
      <c r="M881" s="16">
        <f>IFERROR(IF([2]对账明细接口!$M$881=0,"",[2]对账明细接口!$M$881),"")</f>
      </c>
      <c r="N881" s="19">
        <f>IF($C881="",0,1)</f>
        <v>0</v>
      </c>
      <c r="O881" s="19">
        <f>N(O880)+$N881</f>
        <v>272</v>
      </c>
      <c r="S881" s="20">
        <f>IFERROR(IF([2]对账明细接口!$N881=0,"",[2]对账明细接口!$N881),"")</f>
      </c>
      <c r="T881" s="212">
        <f>IFERROR(IF([2]对账明细接口!$O881=0,"",[2]对账明细接口!$O881),"")</f>
      </c>
      <c r="U881" s="212">
        <f>IFERROR(IF([2]对账明细接口!$P881=0,"",[2]对账明细接口!$P881),"")</f>
      </c>
      <c r="V881" s="212">
        <f>IFERROR(IF([2]对账明细接口!$Q881=0,"",[2]对账明细接口!$Q881),"")</f>
      </c>
      <c r="W881" s="20">
        <f>IFERROR(IF([2]对账明细接口!$R881=0,"",[2]对账明细接口!$R881),"")</f>
      </c>
      <c r="X881" s="20">
        <f>IFERROR(IF([2]对账明细接口!$S881=0,"",[2]对账明细接口!$S881),"")</f>
      </c>
      <c r="Y881" s="20">
        <f>""</f>
      </c>
      <c r="Z881" s="20">
        <f>""</f>
      </c>
      <c r="AA881" s="20">
        <f>""</f>
      </c>
      <c r="AB881" s="20">
        <f>""</f>
      </c>
    </row>
    <row r="882" s="127">
      <c r="A882" s="14" t="n">
        <v>882</v>
      </c>
      <c r="B882" s="211">
        <f>IFERROR(IF([2]对账明细接口!$B$882=0,"",[2]对账明细接口!$B$882),"")</f>
      </c>
      <c r="C882" s="16">
        <f>IFERROR(IF([2]对账明细接口!$C$882=0,"",[2]对账明细接口!$C$882),"")</f>
      </c>
      <c r="D882" s="16">
        <f>IFERROR(IF([2]对账明细接口!$D$882=0,"",[2]对账明细接口!$D$882),"")</f>
      </c>
      <c r="E882" s="16">
        <f>IFERROR(IF([2]对账明细接口!$E$882=0,"",[2]对账明细接口!$E$882),"")</f>
      </c>
      <c r="F882" s="16">
        <f>IFERROR(IF([2]对账明细接口!$F$882=0,"",[2]对账明细接口!$F$882),"")</f>
      </c>
      <c r="G882" s="16">
        <f>IFERROR(IF([2]对账明细接口!$G$882=0,"",[2]对账明细接口!$G$882),"")</f>
      </c>
      <c r="H882" s="176">
        <f>IFERROR(IF([2]对账明细接口!$H$882=0,"",[2]对账明细接口!$H$882),"")</f>
      </c>
      <c r="I882" s="16">
        <f>IFERROR(IF([2]对账明细接口!$I$882=0,"",[2]对账明细接口!$I$882),"")</f>
      </c>
      <c r="J882" s="177">
        <f>IFERROR(IF([2]对账明细接口!$J$882=0,"",[2]对账明细接口!$J$882),"")</f>
      </c>
      <c r="K882" s="177">
        <f>IFERROR(IF([2]对账明细接口!$K$882=0,"",[2]对账明细接口!$K$882),"")</f>
      </c>
      <c r="L882" s="16">
        <f>IFERROR(IF([2]对账明细接口!$L$882=0,"",[2]对账明细接口!$L$882),"")</f>
      </c>
      <c r="M882" s="16">
        <f>IFERROR(IF([2]对账明细接口!$M$882=0,"",[2]对账明细接口!$M$882),"")</f>
      </c>
      <c r="N882" s="19">
        <f>IF($C882="",0,1)</f>
        <v>0</v>
      </c>
      <c r="O882" s="19">
        <f>N(O881)+$N882</f>
        <v>272</v>
      </c>
      <c r="S882" s="20">
        <f>IFERROR(IF([2]对账明细接口!$N882=0,"",[2]对账明细接口!$N882),"")</f>
      </c>
      <c r="T882" s="212">
        <f>IFERROR(IF([2]对账明细接口!$O882=0,"",[2]对账明细接口!$O882),"")</f>
      </c>
      <c r="U882" s="212">
        <f>IFERROR(IF([2]对账明细接口!$P882=0,"",[2]对账明细接口!$P882),"")</f>
      </c>
      <c r="V882" s="212">
        <f>IFERROR(IF([2]对账明细接口!$Q882=0,"",[2]对账明细接口!$Q882),"")</f>
      </c>
      <c r="W882" s="20">
        <f>IFERROR(IF([2]对账明细接口!$R882=0,"",[2]对账明细接口!$R882),"")</f>
      </c>
      <c r="X882" s="20">
        <f>IFERROR(IF([2]对账明细接口!$S882=0,"",[2]对账明细接口!$S882),"")</f>
      </c>
      <c r="Y882" s="20">
        <f>""</f>
      </c>
      <c r="Z882" s="20">
        <f>""</f>
      </c>
      <c r="AA882" s="20">
        <f>""</f>
      </c>
      <c r="AB882" s="20">
        <f>""</f>
      </c>
    </row>
    <row r="883" s="127">
      <c r="A883" s="14" t="n">
        <v>883</v>
      </c>
      <c r="B883" s="211">
        <f>IFERROR(IF([2]对账明细接口!$B$883=0,"",[2]对账明细接口!$B$883),"")</f>
      </c>
      <c r="C883" s="16">
        <f>IFERROR(IF([2]对账明细接口!$C$883=0,"",[2]对账明细接口!$C$883),"")</f>
      </c>
      <c r="D883" s="16">
        <f>IFERROR(IF([2]对账明细接口!$D$883=0,"",[2]对账明细接口!$D$883),"")</f>
      </c>
      <c r="E883" s="16">
        <f>IFERROR(IF([2]对账明细接口!$E$883=0,"",[2]对账明细接口!$E$883),"")</f>
      </c>
      <c r="F883" s="16">
        <f>IFERROR(IF([2]对账明细接口!$F$883=0,"",[2]对账明细接口!$F$883),"")</f>
      </c>
      <c r="G883" s="16">
        <f>IFERROR(IF([2]对账明细接口!$G$883=0,"",[2]对账明细接口!$G$883),"")</f>
      </c>
      <c r="H883" s="176">
        <f>IFERROR(IF([2]对账明细接口!$H$883=0,"",[2]对账明细接口!$H$883),"")</f>
      </c>
      <c r="I883" s="16">
        <f>IFERROR(IF([2]对账明细接口!$I$883=0,"",[2]对账明细接口!$I$883),"")</f>
      </c>
      <c r="J883" s="177">
        <f>IFERROR(IF([2]对账明细接口!$J$883=0,"",[2]对账明细接口!$J$883),"")</f>
      </c>
      <c r="K883" s="177">
        <f>IFERROR(IF([2]对账明细接口!$K$883=0,"",[2]对账明细接口!$K$883),"")</f>
      </c>
      <c r="L883" s="16">
        <f>IFERROR(IF([2]对账明细接口!$L$883=0,"",[2]对账明细接口!$L$883),"")</f>
      </c>
      <c r="M883" s="16">
        <f>IFERROR(IF([2]对账明细接口!$M$883=0,"",[2]对账明细接口!$M$883),"")</f>
      </c>
      <c r="N883" s="19">
        <f>IF($C883="",0,1)</f>
        <v>0</v>
      </c>
      <c r="O883" s="19">
        <f>N(O882)+$N883</f>
        <v>272</v>
      </c>
      <c r="S883" s="20">
        <f>IFERROR(IF([2]对账明细接口!$N883=0,"",[2]对账明细接口!$N883),"")</f>
      </c>
      <c r="T883" s="212">
        <f>IFERROR(IF([2]对账明细接口!$O883=0,"",[2]对账明细接口!$O883),"")</f>
      </c>
      <c r="U883" s="212">
        <f>IFERROR(IF([2]对账明细接口!$P883=0,"",[2]对账明细接口!$P883),"")</f>
      </c>
      <c r="V883" s="212">
        <f>IFERROR(IF([2]对账明细接口!$Q883=0,"",[2]对账明细接口!$Q883),"")</f>
      </c>
      <c r="W883" s="20">
        <f>IFERROR(IF([2]对账明细接口!$R883=0,"",[2]对账明细接口!$R883),"")</f>
      </c>
      <c r="X883" s="20">
        <f>IFERROR(IF([2]对账明细接口!$S883=0,"",[2]对账明细接口!$S883),"")</f>
      </c>
      <c r="Y883" s="20">
        <f>""</f>
      </c>
      <c r="Z883" s="20">
        <f>""</f>
      </c>
      <c r="AA883" s="20">
        <f>""</f>
      </c>
      <c r="AB883" s="20">
        <f>""</f>
      </c>
    </row>
    <row r="884" s="127">
      <c r="A884" s="14" t="n">
        <v>884</v>
      </c>
      <c r="B884" s="211">
        <f>IFERROR(IF([2]对账明细接口!$B$884=0,"",[2]对账明细接口!$B$884),"")</f>
      </c>
      <c r="C884" s="16">
        <f>IFERROR(IF([2]对账明细接口!$C$884=0,"",[2]对账明细接口!$C$884),"")</f>
      </c>
      <c r="D884" s="16">
        <f>IFERROR(IF([2]对账明细接口!$D$884=0,"",[2]对账明细接口!$D$884),"")</f>
      </c>
      <c r="E884" s="16">
        <f>IFERROR(IF([2]对账明细接口!$E$884=0,"",[2]对账明细接口!$E$884),"")</f>
      </c>
      <c r="F884" s="16">
        <f>IFERROR(IF([2]对账明细接口!$F$884=0,"",[2]对账明细接口!$F$884),"")</f>
      </c>
      <c r="G884" s="16">
        <f>IFERROR(IF([2]对账明细接口!$G$884=0,"",[2]对账明细接口!$G$884),"")</f>
      </c>
      <c r="H884" s="176">
        <f>IFERROR(IF([2]对账明细接口!$H$884=0,"",[2]对账明细接口!$H$884),"")</f>
      </c>
      <c r="I884" s="16">
        <f>IFERROR(IF([2]对账明细接口!$I$884=0,"",[2]对账明细接口!$I$884),"")</f>
      </c>
      <c r="J884" s="177">
        <f>IFERROR(IF([2]对账明细接口!$J$884=0,"",[2]对账明细接口!$J$884),"")</f>
      </c>
      <c r="K884" s="177">
        <f>IFERROR(IF([2]对账明细接口!$K$884=0,"",[2]对账明细接口!$K$884),"")</f>
      </c>
      <c r="L884" s="16">
        <f>IFERROR(IF([2]对账明细接口!$L$884=0,"",[2]对账明细接口!$L$884),"")</f>
      </c>
      <c r="M884" s="16">
        <f>IFERROR(IF([2]对账明细接口!$M$884=0,"",[2]对账明细接口!$M$884),"")</f>
      </c>
      <c r="N884" s="19">
        <f>IF($C884="",0,1)</f>
        <v>0</v>
      </c>
      <c r="O884" s="19">
        <f>N(O883)+$N884</f>
        <v>272</v>
      </c>
      <c r="S884" s="20">
        <f>IFERROR(IF([2]对账明细接口!$N884=0,"",[2]对账明细接口!$N884),"")</f>
      </c>
      <c r="T884" s="212">
        <f>IFERROR(IF([2]对账明细接口!$O884=0,"",[2]对账明细接口!$O884),"")</f>
      </c>
      <c r="U884" s="212">
        <f>IFERROR(IF([2]对账明细接口!$P884=0,"",[2]对账明细接口!$P884),"")</f>
      </c>
      <c r="V884" s="212">
        <f>IFERROR(IF([2]对账明细接口!$Q884=0,"",[2]对账明细接口!$Q884),"")</f>
      </c>
      <c r="W884" s="20">
        <f>IFERROR(IF([2]对账明细接口!$R884=0,"",[2]对账明细接口!$R884),"")</f>
      </c>
      <c r="X884" s="20">
        <f>IFERROR(IF([2]对账明细接口!$S884=0,"",[2]对账明细接口!$S884),"")</f>
      </c>
      <c r="Y884" s="20">
        <f>""</f>
      </c>
      <c r="Z884" s="20">
        <f>""</f>
      </c>
      <c r="AA884" s="20">
        <f>""</f>
      </c>
      <c r="AB884" s="20">
        <f>""</f>
      </c>
    </row>
    <row r="885" s="127">
      <c r="A885" s="14" t="n">
        <v>885</v>
      </c>
      <c r="B885" s="211">
        <f>IFERROR(IF([2]对账明细接口!$B$885=0,"",[2]对账明细接口!$B$885),"")</f>
      </c>
      <c r="C885" s="16">
        <f>IFERROR(IF([2]对账明细接口!$C$885=0,"",[2]对账明细接口!$C$885),"")</f>
      </c>
      <c r="D885" s="16">
        <f>IFERROR(IF([2]对账明细接口!$D$885=0,"",[2]对账明细接口!$D$885),"")</f>
      </c>
      <c r="E885" s="16">
        <f>IFERROR(IF([2]对账明细接口!$E$885=0,"",[2]对账明细接口!$E$885),"")</f>
      </c>
      <c r="F885" s="16">
        <f>IFERROR(IF([2]对账明细接口!$F$885=0,"",[2]对账明细接口!$F$885),"")</f>
      </c>
      <c r="G885" s="16">
        <f>IFERROR(IF([2]对账明细接口!$G$885=0,"",[2]对账明细接口!$G$885),"")</f>
      </c>
      <c r="H885" s="176">
        <f>IFERROR(IF([2]对账明细接口!$H$885=0,"",[2]对账明细接口!$H$885),"")</f>
      </c>
      <c r="I885" s="16">
        <f>IFERROR(IF([2]对账明细接口!$I$885=0,"",[2]对账明细接口!$I$885),"")</f>
      </c>
      <c r="J885" s="177">
        <f>IFERROR(IF([2]对账明细接口!$J$885=0,"",[2]对账明细接口!$J$885),"")</f>
      </c>
      <c r="K885" s="177">
        <f>IFERROR(IF([2]对账明细接口!$K$885=0,"",[2]对账明细接口!$K$885),"")</f>
      </c>
      <c r="L885" s="16">
        <f>IFERROR(IF([2]对账明细接口!$L$885=0,"",[2]对账明细接口!$L$885),"")</f>
      </c>
      <c r="M885" s="16">
        <f>IFERROR(IF([2]对账明细接口!$M$885=0,"",[2]对账明细接口!$M$885),"")</f>
      </c>
      <c r="N885" s="19">
        <f>IF($C885="",0,1)</f>
        <v>0</v>
      </c>
      <c r="O885" s="19">
        <f>N(O884)+$N885</f>
        <v>272</v>
      </c>
      <c r="S885" s="20">
        <f>IFERROR(IF([2]对账明细接口!$N885=0,"",[2]对账明细接口!$N885),"")</f>
      </c>
      <c r="T885" s="212">
        <f>IFERROR(IF([2]对账明细接口!$O885=0,"",[2]对账明细接口!$O885),"")</f>
      </c>
      <c r="U885" s="212">
        <f>IFERROR(IF([2]对账明细接口!$P885=0,"",[2]对账明细接口!$P885),"")</f>
      </c>
      <c r="V885" s="212">
        <f>IFERROR(IF([2]对账明细接口!$Q885=0,"",[2]对账明细接口!$Q885),"")</f>
      </c>
      <c r="W885" s="20">
        <f>IFERROR(IF([2]对账明细接口!$R885=0,"",[2]对账明细接口!$R885),"")</f>
      </c>
      <c r="X885" s="20">
        <f>IFERROR(IF([2]对账明细接口!$S885=0,"",[2]对账明细接口!$S885),"")</f>
      </c>
      <c r="Y885" s="20">
        <f>""</f>
      </c>
      <c r="Z885" s="20">
        <f>""</f>
      </c>
      <c r="AA885" s="20">
        <f>""</f>
      </c>
      <c r="AB885" s="20">
        <f>""</f>
      </c>
    </row>
    <row r="886" s="127">
      <c r="A886" s="14" t="n">
        <v>886</v>
      </c>
      <c r="B886" s="211">
        <f>IFERROR(IF([2]对账明细接口!$B$886=0,"",[2]对账明细接口!$B$886),"")</f>
      </c>
      <c r="C886" s="16">
        <f>IFERROR(IF([2]对账明细接口!$C$886=0,"",[2]对账明细接口!$C$886),"")</f>
      </c>
      <c r="D886" s="16">
        <f>IFERROR(IF([2]对账明细接口!$D$886=0,"",[2]对账明细接口!$D$886),"")</f>
      </c>
      <c r="E886" s="16">
        <f>IFERROR(IF([2]对账明细接口!$E$886=0,"",[2]对账明细接口!$E$886),"")</f>
      </c>
      <c r="F886" s="16">
        <f>IFERROR(IF([2]对账明细接口!$F$886=0,"",[2]对账明细接口!$F$886),"")</f>
      </c>
      <c r="G886" s="16">
        <f>IFERROR(IF([2]对账明细接口!$G$886=0,"",[2]对账明细接口!$G$886),"")</f>
      </c>
      <c r="H886" s="176">
        <f>IFERROR(IF([2]对账明细接口!$H$886=0,"",[2]对账明细接口!$H$886),"")</f>
      </c>
      <c r="I886" s="16">
        <f>IFERROR(IF([2]对账明细接口!$I$886=0,"",[2]对账明细接口!$I$886),"")</f>
      </c>
      <c r="J886" s="177">
        <f>IFERROR(IF([2]对账明细接口!$J$886=0,"",[2]对账明细接口!$J$886),"")</f>
      </c>
      <c r="K886" s="177">
        <f>IFERROR(IF([2]对账明细接口!$K$886=0,"",[2]对账明细接口!$K$886),"")</f>
      </c>
      <c r="L886" s="16">
        <f>IFERROR(IF([2]对账明细接口!$L$886=0,"",[2]对账明细接口!$L$886),"")</f>
      </c>
      <c r="M886" s="16">
        <f>IFERROR(IF([2]对账明细接口!$M$886=0,"",[2]对账明细接口!$M$886),"")</f>
      </c>
      <c r="N886" s="19">
        <f>IF($C886="",0,1)</f>
        <v>0</v>
      </c>
      <c r="O886" s="19">
        <f>N(O885)+$N886</f>
        <v>272</v>
      </c>
      <c r="S886" s="20">
        <f>IFERROR(IF([2]对账明细接口!$N886=0,"",[2]对账明细接口!$N886),"")</f>
      </c>
      <c r="T886" s="212">
        <f>IFERROR(IF([2]对账明细接口!$O886=0,"",[2]对账明细接口!$O886),"")</f>
      </c>
      <c r="U886" s="212">
        <f>IFERROR(IF([2]对账明细接口!$P886=0,"",[2]对账明细接口!$P886),"")</f>
      </c>
      <c r="V886" s="212">
        <f>IFERROR(IF([2]对账明细接口!$Q886=0,"",[2]对账明细接口!$Q886),"")</f>
      </c>
      <c r="W886" s="20">
        <f>IFERROR(IF([2]对账明细接口!$R886=0,"",[2]对账明细接口!$R886),"")</f>
      </c>
      <c r="X886" s="20">
        <f>IFERROR(IF([2]对账明细接口!$S886=0,"",[2]对账明细接口!$S886),"")</f>
      </c>
      <c r="Y886" s="20">
        <f>""</f>
      </c>
      <c r="Z886" s="20">
        <f>""</f>
      </c>
      <c r="AA886" s="20">
        <f>""</f>
      </c>
      <c r="AB886" s="20">
        <f>""</f>
      </c>
    </row>
    <row r="887" s="127">
      <c r="A887" s="14" t="n">
        <v>887</v>
      </c>
      <c r="B887" s="211">
        <f>IFERROR(IF([2]对账明细接口!$B$887=0,"",[2]对账明细接口!$B$887),"")</f>
      </c>
      <c r="C887" s="16">
        <f>IFERROR(IF([2]对账明细接口!$C$887=0,"",[2]对账明细接口!$C$887),"")</f>
      </c>
      <c r="D887" s="16">
        <f>IFERROR(IF([2]对账明细接口!$D$887=0,"",[2]对账明细接口!$D$887),"")</f>
      </c>
      <c r="E887" s="16">
        <f>IFERROR(IF([2]对账明细接口!$E$887=0,"",[2]对账明细接口!$E$887),"")</f>
      </c>
      <c r="F887" s="16">
        <f>IFERROR(IF([2]对账明细接口!$F$887=0,"",[2]对账明细接口!$F$887),"")</f>
      </c>
      <c r="G887" s="16">
        <f>IFERROR(IF([2]对账明细接口!$G$887=0,"",[2]对账明细接口!$G$887),"")</f>
      </c>
      <c r="H887" s="176">
        <f>IFERROR(IF([2]对账明细接口!$H$887=0,"",[2]对账明细接口!$H$887),"")</f>
      </c>
      <c r="I887" s="16">
        <f>IFERROR(IF([2]对账明细接口!$I$887=0,"",[2]对账明细接口!$I$887),"")</f>
      </c>
      <c r="J887" s="177">
        <f>IFERROR(IF([2]对账明细接口!$J$887=0,"",[2]对账明细接口!$J$887),"")</f>
      </c>
      <c r="K887" s="177">
        <f>IFERROR(IF([2]对账明细接口!$K$887=0,"",[2]对账明细接口!$K$887),"")</f>
      </c>
      <c r="L887" s="16">
        <f>IFERROR(IF([2]对账明细接口!$L$887=0,"",[2]对账明细接口!$L$887),"")</f>
      </c>
      <c r="M887" s="16">
        <f>IFERROR(IF([2]对账明细接口!$M$887=0,"",[2]对账明细接口!$M$887),"")</f>
      </c>
      <c r="N887" s="19">
        <f>IF($C887="",0,1)</f>
        <v>0</v>
      </c>
      <c r="O887" s="19">
        <f>N(O886)+$N887</f>
        <v>272</v>
      </c>
      <c r="S887" s="20">
        <f>IFERROR(IF([2]对账明细接口!$N887=0,"",[2]对账明细接口!$N887),"")</f>
      </c>
      <c r="T887" s="212">
        <f>IFERROR(IF([2]对账明细接口!$O887=0,"",[2]对账明细接口!$O887),"")</f>
      </c>
      <c r="U887" s="212">
        <f>IFERROR(IF([2]对账明细接口!$P887=0,"",[2]对账明细接口!$P887),"")</f>
      </c>
      <c r="V887" s="212">
        <f>IFERROR(IF([2]对账明细接口!$Q887=0,"",[2]对账明细接口!$Q887),"")</f>
      </c>
      <c r="W887" s="20">
        <f>IFERROR(IF([2]对账明细接口!$R887=0,"",[2]对账明细接口!$R887),"")</f>
      </c>
      <c r="X887" s="20">
        <f>IFERROR(IF([2]对账明细接口!$S887=0,"",[2]对账明细接口!$S887),"")</f>
      </c>
      <c r="Y887" s="20">
        <f>""</f>
      </c>
      <c r="Z887" s="20">
        <f>""</f>
      </c>
      <c r="AA887" s="20">
        <f>""</f>
      </c>
      <c r="AB887" s="20">
        <f>""</f>
      </c>
    </row>
    <row r="888" s="127">
      <c r="A888" s="14" t="n">
        <v>888</v>
      </c>
      <c r="B888" s="211">
        <f>IFERROR(IF([2]对账明细接口!$B$888=0,"",[2]对账明细接口!$B$888),"")</f>
      </c>
      <c r="C888" s="16">
        <f>IFERROR(IF([2]对账明细接口!$C$888=0,"",[2]对账明细接口!$C$888),"")</f>
      </c>
      <c r="D888" s="16">
        <f>IFERROR(IF([2]对账明细接口!$D$888=0,"",[2]对账明细接口!$D$888),"")</f>
      </c>
      <c r="E888" s="16">
        <f>IFERROR(IF([2]对账明细接口!$E$888=0,"",[2]对账明细接口!$E$888),"")</f>
      </c>
      <c r="F888" s="16">
        <f>IFERROR(IF([2]对账明细接口!$F$888=0,"",[2]对账明细接口!$F$888),"")</f>
      </c>
      <c r="G888" s="16">
        <f>IFERROR(IF([2]对账明细接口!$G$888=0,"",[2]对账明细接口!$G$888),"")</f>
      </c>
      <c r="H888" s="176">
        <f>IFERROR(IF([2]对账明细接口!$H$888=0,"",[2]对账明细接口!$H$888),"")</f>
      </c>
      <c r="I888" s="16">
        <f>IFERROR(IF([2]对账明细接口!$I$888=0,"",[2]对账明细接口!$I$888),"")</f>
      </c>
      <c r="J888" s="177">
        <f>IFERROR(IF([2]对账明细接口!$J$888=0,"",[2]对账明细接口!$J$888),"")</f>
      </c>
      <c r="K888" s="177">
        <f>IFERROR(IF([2]对账明细接口!$K$888=0,"",[2]对账明细接口!$K$888),"")</f>
      </c>
      <c r="L888" s="16">
        <f>IFERROR(IF([2]对账明细接口!$L$888=0,"",[2]对账明细接口!$L$888),"")</f>
      </c>
      <c r="M888" s="16">
        <f>IFERROR(IF([2]对账明细接口!$M$888=0,"",[2]对账明细接口!$M$888),"")</f>
      </c>
      <c r="N888" s="19">
        <f>IF($C888="",0,1)</f>
        <v>0</v>
      </c>
      <c r="O888" s="19">
        <f>N(O887)+$N888</f>
        <v>272</v>
      </c>
      <c r="S888" s="20">
        <f>IFERROR(IF([2]对账明细接口!$N888=0,"",[2]对账明细接口!$N888),"")</f>
      </c>
      <c r="T888" s="212">
        <f>IFERROR(IF([2]对账明细接口!$O888=0,"",[2]对账明细接口!$O888),"")</f>
      </c>
      <c r="U888" s="212">
        <f>IFERROR(IF([2]对账明细接口!$P888=0,"",[2]对账明细接口!$P888),"")</f>
      </c>
      <c r="V888" s="212">
        <f>IFERROR(IF([2]对账明细接口!$Q888=0,"",[2]对账明细接口!$Q888),"")</f>
      </c>
      <c r="W888" s="20">
        <f>IFERROR(IF([2]对账明细接口!$R888=0,"",[2]对账明细接口!$R888),"")</f>
      </c>
      <c r="X888" s="20">
        <f>IFERROR(IF([2]对账明细接口!$S888=0,"",[2]对账明细接口!$S888),"")</f>
      </c>
      <c r="Y888" s="20">
        <f>""</f>
      </c>
      <c r="Z888" s="20">
        <f>""</f>
      </c>
      <c r="AA888" s="20">
        <f>""</f>
      </c>
      <c r="AB888" s="20">
        <f>""</f>
      </c>
    </row>
    <row r="889" s="127">
      <c r="A889" s="14" t="n">
        <v>889</v>
      </c>
      <c r="B889" s="211">
        <f>IFERROR(IF([2]对账明细接口!$B$889=0,"",[2]对账明细接口!$B$889),"")</f>
      </c>
      <c r="C889" s="16">
        <f>IFERROR(IF([2]对账明细接口!$C$889=0,"",[2]对账明细接口!$C$889),"")</f>
      </c>
      <c r="D889" s="16">
        <f>IFERROR(IF([2]对账明细接口!$D$889=0,"",[2]对账明细接口!$D$889),"")</f>
      </c>
      <c r="E889" s="16">
        <f>IFERROR(IF([2]对账明细接口!$E$889=0,"",[2]对账明细接口!$E$889),"")</f>
      </c>
      <c r="F889" s="16">
        <f>IFERROR(IF([2]对账明细接口!$F$889=0,"",[2]对账明细接口!$F$889),"")</f>
      </c>
      <c r="G889" s="16">
        <f>IFERROR(IF([2]对账明细接口!$G$889=0,"",[2]对账明细接口!$G$889),"")</f>
      </c>
      <c r="H889" s="176">
        <f>IFERROR(IF([2]对账明细接口!$H$889=0,"",[2]对账明细接口!$H$889),"")</f>
      </c>
      <c r="I889" s="16">
        <f>IFERROR(IF([2]对账明细接口!$I$889=0,"",[2]对账明细接口!$I$889),"")</f>
      </c>
      <c r="J889" s="177">
        <f>IFERROR(IF([2]对账明细接口!$J$889=0,"",[2]对账明细接口!$J$889),"")</f>
      </c>
      <c r="K889" s="177">
        <f>IFERROR(IF([2]对账明细接口!$K$889=0,"",[2]对账明细接口!$K$889),"")</f>
      </c>
      <c r="L889" s="16">
        <f>IFERROR(IF([2]对账明细接口!$L$889=0,"",[2]对账明细接口!$L$889),"")</f>
      </c>
      <c r="M889" s="16">
        <f>IFERROR(IF([2]对账明细接口!$M$889=0,"",[2]对账明细接口!$M$889),"")</f>
      </c>
      <c r="N889" s="19">
        <f>IF($C889="",0,1)</f>
        <v>0</v>
      </c>
      <c r="O889" s="19">
        <f>N(O888)+$N889</f>
        <v>272</v>
      </c>
      <c r="S889" s="20">
        <f>IFERROR(IF([2]对账明细接口!$N889=0,"",[2]对账明细接口!$N889),"")</f>
      </c>
      <c r="T889" s="212">
        <f>IFERROR(IF([2]对账明细接口!$O889=0,"",[2]对账明细接口!$O889),"")</f>
      </c>
      <c r="U889" s="212">
        <f>IFERROR(IF([2]对账明细接口!$P889=0,"",[2]对账明细接口!$P889),"")</f>
      </c>
      <c r="V889" s="212">
        <f>IFERROR(IF([2]对账明细接口!$Q889=0,"",[2]对账明细接口!$Q889),"")</f>
      </c>
      <c r="W889" s="20">
        <f>IFERROR(IF([2]对账明细接口!$R889=0,"",[2]对账明细接口!$R889),"")</f>
      </c>
      <c r="X889" s="20">
        <f>IFERROR(IF([2]对账明细接口!$S889=0,"",[2]对账明细接口!$S889),"")</f>
      </c>
      <c r="Y889" s="20">
        <f>""</f>
      </c>
      <c r="Z889" s="20">
        <f>""</f>
      </c>
      <c r="AA889" s="20">
        <f>""</f>
      </c>
      <c r="AB889" s="20">
        <f>""</f>
      </c>
    </row>
    <row r="890" s="127">
      <c r="A890" s="14" t="n">
        <v>890</v>
      </c>
      <c r="B890" s="211">
        <f>IFERROR(IF([2]对账明细接口!$B$890=0,"",[2]对账明细接口!$B$890),"")</f>
      </c>
      <c r="C890" s="16">
        <f>IFERROR(IF([2]对账明细接口!$C$890=0,"",[2]对账明细接口!$C$890),"")</f>
      </c>
      <c r="D890" s="16">
        <f>IFERROR(IF([2]对账明细接口!$D$890=0,"",[2]对账明细接口!$D$890),"")</f>
      </c>
      <c r="E890" s="16">
        <f>IFERROR(IF([2]对账明细接口!$E$890=0,"",[2]对账明细接口!$E$890),"")</f>
      </c>
      <c r="F890" s="16">
        <f>IFERROR(IF([2]对账明细接口!$F$890=0,"",[2]对账明细接口!$F$890),"")</f>
      </c>
      <c r="G890" s="16">
        <f>IFERROR(IF([2]对账明细接口!$G$890=0,"",[2]对账明细接口!$G$890),"")</f>
      </c>
      <c r="H890" s="176">
        <f>IFERROR(IF([2]对账明细接口!$H$890=0,"",[2]对账明细接口!$H$890),"")</f>
      </c>
      <c r="I890" s="16">
        <f>IFERROR(IF([2]对账明细接口!$I$890=0,"",[2]对账明细接口!$I$890),"")</f>
      </c>
      <c r="J890" s="177">
        <f>IFERROR(IF([2]对账明细接口!$J$890=0,"",[2]对账明细接口!$J$890),"")</f>
      </c>
      <c r="K890" s="177">
        <f>IFERROR(IF([2]对账明细接口!$K$890=0,"",[2]对账明细接口!$K$890),"")</f>
      </c>
      <c r="L890" s="16">
        <f>IFERROR(IF([2]对账明细接口!$L$890=0,"",[2]对账明细接口!$L$890),"")</f>
      </c>
      <c r="M890" s="16">
        <f>IFERROR(IF([2]对账明细接口!$M$890=0,"",[2]对账明细接口!$M$890),"")</f>
      </c>
      <c r="N890" s="19">
        <f>IF($C890="",0,1)</f>
        <v>0</v>
      </c>
      <c r="O890" s="19">
        <f>N(O889)+$N890</f>
        <v>272</v>
      </c>
      <c r="S890" s="20">
        <f>IFERROR(IF([2]对账明细接口!$N890=0,"",[2]对账明细接口!$N890),"")</f>
      </c>
      <c r="T890" s="212">
        <f>IFERROR(IF([2]对账明细接口!$O890=0,"",[2]对账明细接口!$O890),"")</f>
      </c>
      <c r="U890" s="212">
        <f>IFERROR(IF([2]对账明细接口!$P890=0,"",[2]对账明细接口!$P890),"")</f>
      </c>
      <c r="V890" s="212">
        <f>IFERROR(IF([2]对账明细接口!$Q890=0,"",[2]对账明细接口!$Q890),"")</f>
      </c>
      <c r="W890" s="20">
        <f>IFERROR(IF([2]对账明细接口!$R890=0,"",[2]对账明细接口!$R890),"")</f>
      </c>
      <c r="X890" s="20">
        <f>IFERROR(IF([2]对账明细接口!$S890=0,"",[2]对账明细接口!$S890),"")</f>
      </c>
      <c r="Y890" s="20">
        <f>""</f>
      </c>
      <c r="Z890" s="20">
        <f>""</f>
      </c>
      <c r="AA890" s="20">
        <f>""</f>
      </c>
      <c r="AB890" s="20">
        <f>""</f>
      </c>
    </row>
    <row r="891" s="127">
      <c r="A891" s="14" t="n">
        <v>891</v>
      </c>
      <c r="B891" s="211">
        <f>IFERROR(IF([2]对账明细接口!$B$891=0,"",[2]对账明细接口!$B$891),"")</f>
      </c>
      <c r="C891" s="16">
        <f>IFERROR(IF([2]对账明细接口!$C$891=0,"",[2]对账明细接口!$C$891),"")</f>
      </c>
      <c r="D891" s="16">
        <f>IFERROR(IF([2]对账明细接口!$D$891=0,"",[2]对账明细接口!$D$891),"")</f>
      </c>
      <c r="E891" s="16">
        <f>IFERROR(IF([2]对账明细接口!$E$891=0,"",[2]对账明细接口!$E$891),"")</f>
      </c>
      <c r="F891" s="16">
        <f>IFERROR(IF([2]对账明细接口!$F$891=0,"",[2]对账明细接口!$F$891),"")</f>
      </c>
      <c r="G891" s="16">
        <f>IFERROR(IF([2]对账明细接口!$G$891=0,"",[2]对账明细接口!$G$891),"")</f>
      </c>
      <c r="H891" s="176">
        <f>IFERROR(IF([2]对账明细接口!$H$891=0,"",[2]对账明细接口!$H$891),"")</f>
      </c>
      <c r="I891" s="16">
        <f>IFERROR(IF([2]对账明细接口!$I$891=0,"",[2]对账明细接口!$I$891),"")</f>
      </c>
      <c r="J891" s="177">
        <f>IFERROR(IF([2]对账明细接口!$J$891=0,"",[2]对账明细接口!$J$891),"")</f>
      </c>
      <c r="K891" s="177">
        <f>IFERROR(IF([2]对账明细接口!$K$891=0,"",[2]对账明细接口!$K$891),"")</f>
      </c>
      <c r="L891" s="16">
        <f>IFERROR(IF([2]对账明细接口!$L$891=0,"",[2]对账明细接口!$L$891),"")</f>
      </c>
      <c r="M891" s="16">
        <f>IFERROR(IF([2]对账明细接口!$M$891=0,"",[2]对账明细接口!$M$891),"")</f>
      </c>
      <c r="N891" s="19">
        <f>IF($C891="",0,1)</f>
        <v>0</v>
      </c>
      <c r="O891" s="19">
        <f>N(O890)+$N891</f>
        <v>272</v>
      </c>
      <c r="S891" s="20">
        <f>IFERROR(IF([2]对账明细接口!$N891=0,"",[2]对账明细接口!$N891),"")</f>
      </c>
      <c r="T891" s="212">
        <f>IFERROR(IF([2]对账明细接口!$O891=0,"",[2]对账明细接口!$O891),"")</f>
      </c>
      <c r="U891" s="212">
        <f>IFERROR(IF([2]对账明细接口!$P891=0,"",[2]对账明细接口!$P891),"")</f>
      </c>
      <c r="V891" s="212">
        <f>IFERROR(IF([2]对账明细接口!$Q891=0,"",[2]对账明细接口!$Q891),"")</f>
      </c>
      <c r="W891" s="20">
        <f>IFERROR(IF([2]对账明细接口!$R891=0,"",[2]对账明细接口!$R891),"")</f>
      </c>
      <c r="X891" s="20">
        <f>IFERROR(IF([2]对账明细接口!$S891=0,"",[2]对账明细接口!$S891),"")</f>
      </c>
      <c r="Y891" s="20">
        <f>""</f>
      </c>
      <c r="Z891" s="20">
        <f>""</f>
      </c>
      <c r="AA891" s="20">
        <f>""</f>
      </c>
      <c r="AB891" s="20">
        <f>""</f>
      </c>
    </row>
    <row r="892" s="127">
      <c r="A892" s="14" t="n">
        <v>892</v>
      </c>
      <c r="B892" s="211">
        <f>IFERROR(IF([2]对账明细接口!$B$892=0,"",[2]对账明细接口!$B$892),"")</f>
      </c>
      <c r="C892" s="16">
        <f>IFERROR(IF([2]对账明细接口!$C$892=0,"",[2]对账明细接口!$C$892),"")</f>
      </c>
      <c r="D892" s="16">
        <f>IFERROR(IF([2]对账明细接口!$D$892=0,"",[2]对账明细接口!$D$892),"")</f>
      </c>
      <c r="E892" s="16">
        <f>IFERROR(IF([2]对账明细接口!$E$892=0,"",[2]对账明细接口!$E$892),"")</f>
      </c>
      <c r="F892" s="16">
        <f>IFERROR(IF([2]对账明细接口!$F$892=0,"",[2]对账明细接口!$F$892),"")</f>
      </c>
      <c r="G892" s="16">
        <f>IFERROR(IF([2]对账明细接口!$G$892=0,"",[2]对账明细接口!$G$892),"")</f>
      </c>
      <c r="H892" s="176">
        <f>IFERROR(IF([2]对账明细接口!$H$892=0,"",[2]对账明细接口!$H$892),"")</f>
      </c>
      <c r="I892" s="16">
        <f>IFERROR(IF([2]对账明细接口!$I$892=0,"",[2]对账明细接口!$I$892),"")</f>
      </c>
      <c r="J892" s="177">
        <f>IFERROR(IF([2]对账明细接口!$J$892=0,"",[2]对账明细接口!$J$892),"")</f>
      </c>
      <c r="K892" s="177">
        <f>IFERROR(IF([2]对账明细接口!$K$892=0,"",[2]对账明细接口!$K$892),"")</f>
      </c>
      <c r="L892" s="16">
        <f>IFERROR(IF([2]对账明细接口!$L$892=0,"",[2]对账明细接口!$L$892),"")</f>
      </c>
      <c r="M892" s="16">
        <f>IFERROR(IF([2]对账明细接口!$M$892=0,"",[2]对账明细接口!$M$892),"")</f>
      </c>
      <c r="N892" s="19">
        <f>IF($C892="",0,1)</f>
        <v>0</v>
      </c>
      <c r="O892" s="19">
        <f>N(O891)+$N892</f>
        <v>272</v>
      </c>
      <c r="S892" s="20">
        <f>IFERROR(IF([2]对账明细接口!$N892=0,"",[2]对账明细接口!$N892),"")</f>
      </c>
      <c r="T892" s="212">
        <f>IFERROR(IF([2]对账明细接口!$O892=0,"",[2]对账明细接口!$O892),"")</f>
      </c>
      <c r="U892" s="212">
        <f>IFERROR(IF([2]对账明细接口!$P892=0,"",[2]对账明细接口!$P892),"")</f>
      </c>
      <c r="V892" s="212">
        <f>IFERROR(IF([2]对账明细接口!$Q892=0,"",[2]对账明细接口!$Q892),"")</f>
      </c>
      <c r="W892" s="20">
        <f>IFERROR(IF([2]对账明细接口!$R892=0,"",[2]对账明细接口!$R892),"")</f>
      </c>
      <c r="X892" s="20">
        <f>IFERROR(IF([2]对账明细接口!$S892=0,"",[2]对账明细接口!$S892),"")</f>
      </c>
      <c r="Y892" s="20">
        <f>""</f>
      </c>
      <c r="Z892" s="20">
        <f>""</f>
      </c>
      <c r="AA892" s="20">
        <f>""</f>
      </c>
      <c r="AB892" s="20">
        <f>""</f>
      </c>
    </row>
    <row r="893" s="127">
      <c r="A893" s="14" t="n">
        <v>893</v>
      </c>
      <c r="B893" s="211">
        <f>IFERROR(IF([2]对账明细接口!$B$893=0,"",[2]对账明细接口!$B$893),"")</f>
      </c>
      <c r="C893" s="16">
        <f>IFERROR(IF([2]对账明细接口!$C$893=0,"",[2]对账明细接口!$C$893),"")</f>
      </c>
      <c r="D893" s="16">
        <f>IFERROR(IF([2]对账明细接口!$D$893=0,"",[2]对账明细接口!$D$893),"")</f>
      </c>
      <c r="E893" s="16">
        <f>IFERROR(IF([2]对账明细接口!$E$893=0,"",[2]对账明细接口!$E$893),"")</f>
      </c>
      <c r="F893" s="16">
        <f>IFERROR(IF([2]对账明细接口!$F$893=0,"",[2]对账明细接口!$F$893),"")</f>
      </c>
      <c r="G893" s="16">
        <f>IFERROR(IF([2]对账明细接口!$G$893=0,"",[2]对账明细接口!$G$893),"")</f>
      </c>
      <c r="H893" s="176">
        <f>IFERROR(IF([2]对账明细接口!$H$893=0,"",[2]对账明细接口!$H$893),"")</f>
      </c>
      <c r="I893" s="16">
        <f>IFERROR(IF([2]对账明细接口!$I$893=0,"",[2]对账明细接口!$I$893),"")</f>
      </c>
      <c r="J893" s="177">
        <f>IFERROR(IF([2]对账明细接口!$J$893=0,"",[2]对账明细接口!$J$893),"")</f>
      </c>
      <c r="K893" s="177">
        <f>IFERROR(IF([2]对账明细接口!$K$893=0,"",[2]对账明细接口!$K$893),"")</f>
      </c>
      <c r="L893" s="16">
        <f>IFERROR(IF([2]对账明细接口!$L$893=0,"",[2]对账明细接口!$L$893),"")</f>
      </c>
      <c r="M893" s="16">
        <f>IFERROR(IF([2]对账明细接口!$M$893=0,"",[2]对账明细接口!$M$893),"")</f>
      </c>
      <c r="N893" s="19">
        <f>IF($C893="",0,1)</f>
        <v>0</v>
      </c>
      <c r="O893" s="19">
        <f>N(O892)+$N893</f>
        <v>272</v>
      </c>
      <c r="S893" s="20">
        <f>IFERROR(IF([2]对账明细接口!$N893=0,"",[2]对账明细接口!$N893),"")</f>
      </c>
      <c r="T893" s="212">
        <f>IFERROR(IF([2]对账明细接口!$O893=0,"",[2]对账明细接口!$O893),"")</f>
      </c>
      <c r="U893" s="212">
        <f>IFERROR(IF([2]对账明细接口!$P893=0,"",[2]对账明细接口!$P893),"")</f>
      </c>
      <c r="V893" s="212">
        <f>IFERROR(IF([2]对账明细接口!$Q893=0,"",[2]对账明细接口!$Q893),"")</f>
      </c>
      <c r="W893" s="20">
        <f>IFERROR(IF([2]对账明细接口!$R893=0,"",[2]对账明细接口!$R893),"")</f>
      </c>
      <c r="X893" s="20">
        <f>IFERROR(IF([2]对账明细接口!$S893=0,"",[2]对账明细接口!$S893),"")</f>
      </c>
      <c r="Y893" s="20">
        <f>""</f>
      </c>
      <c r="Z893" s="20">
        <f>""</f>
      </c>
      <c r="AA893" s="20">
        <f>""</f>
      </c>
      <c r="AB893" s="20">
        <f>""</f>
      </c>
    </row>
    <row r="894" s="127">
      <c r="A894" s="14" t="n">
        <v>894</v>
      </c>
      <c r="B894" s="211">
        <f>IFERROR(IF([2]对账明细接口!$B$894=0,"",[2]对账明细接口!$B$894),"")</f>
      </c>
      <c r="C894" s="16">
        <f>IFERROR(IF([2]对账明细接口!$C$894=0,"",[2]对账明细接口!$C$894),"")</f>
      </c>
      <c r="D894" s="16">
        <f>IFERROR(IF([2]对账明细接口!$D$894=0,"",[2]对账明细接口!$D$894),"")</f>
      </c>
      <c r="E894" s="16">
        <f>IFERROR(IF([2]对账明细接口!$E$894=0,"",[2]对账明细接口!$E$894),"")</f>
      </c>
      <c r="F894" s="16">
        <f>IFERROR(IF([2]对账明细接口!$F$894=0,"",[2]对账明细接口!$F$894),"")</f>
      </c>
      <c r="G894" s="16">
        <f>IFERROR(IF([2]对账明细接口!$G$894=0,"",[2]对账明细接口!$G$894),"")</f>
      </c>
      <c r="H894" s="176">
        <f>IFERROR(IF([2]对账明细接口!$H$894=0,"",[2]对账明细接口!$H$894),"")</f>
      </c>
      <c r="I894" s="16">
        <f>IFERROR(IF([2]对账明细接口!$I$894=0,"",[2]对账明细接口!$I$894),"")</f>
      </c>
      <c r="J894" s="177">
        <f>IFERROR(IF([2]对账明细接口!$J$894=0,"",[2]对账明细接口!$J$894),"")</f>
      </c>
      <c r="K894" s="177">
        <f>IFERROR(IF([2]对账明细接口!$K$894=0,"",[2]对账明细接口!$K$894),"")</f>
      </c>
      <c r="L894" s="16">
        <f>IFERROR(IF([2]对账明细接口!$L$894=0,"",[2]对账明细接口!$L$894),"")</f>
      </c>
      <c r="M894" s="16">
        <f>IFERROR(IF([2]对账明细接口!$M$894=0,"",[2]对账明细接口!$M$894),"")</f>
      </c>
      <c r="N894" s="19">
        <f>IF($C894="",0,1)</f>
        <v>0</v>
      </c>
      <c r="O894" s="19">
        <f>N(O893)+$N894</f>
        <v>272</v>
      </c>
      <c r="S894" s="20">
        <f>IFERROR(IF([2]对账明细接口!$N894=0,"",[2]对账明细接口!$N894),"")</f>
      </c>
      <c r="T894" s="212">
        <f>IFERROR(IF([2]对账明细接口!$O894=0,"",[2]对账明细接口!$O894),"")</f>
      </c>
      <c r="U894" s="212">
        <f>IFERROR(IF([2]对账明细接口!$P894=0,"",[2]对账明细接口!$P894),"")</f>
      </c>
      <c r="V894" s="212">
        <f>IFERROR(IF([2]对账明细接口!$Q894=0,"",[2]对账明细接口!$Q894),"")</f>
      </c>
      <c r="W894" s="20">
        <f>IFERROR(IF([2]对账明细接口!$R894=0,"",[2]对账明细接口!$R894),"")</f>
      </c>
      <c r="X894" s="20">
        <f>IFERROR(IF([2]对账明细接口!$S894=0,"",[2]对账明细接口!$S894),"")</f>
      </c>
      <c r="Y894" s="20">
        <f>""</f>
      </c>
      <c r="Z894" s="20">
        <f>""</f>
      </c>
      <c r="AA894" s="20">
        <f>""</f>
      </c>
      <c r="AB894" s="20">
        <f>""</f>
      </c>
    </row>
    <row r="895" s="127">
      <c r="A895" s="14" t="n">
        <v>895</v>
      </c>
      <c r="B895" s="211">
        <f>IFERROR(IF([2]对账明细接口!$B$895=0,"",[2]对账明细接口!$B$895),"")</f>
      </c>
      <c r="C895" s="16">
        <f>IFERROR(IF([2]对账明细接口!$C$895=0,"",[2]对账明细接口!$C$895),"")</f>
      </c>
      <c r="D895" s="16">
        <f>IFERROR(IF([2]对账明细接口!$D$895=0,"",[2]对账明细接口!$D$895),"")</f>
      </c>
      <c r="E895" s="16">
        <f>IFERROR(IF([2]对账明细接口!$E$895=0,"",[2]对账明细接口!$E$895),"")</f>
      </c>
      <c r="F895" s="16">
        <f>IFERROR(IF([2]对账明细接口!$F$895=0,"",[2]对账明细接口!$F$895),"")</f>
      </c>
      <c r="G895" s="16">
        <f>IFERROR(IF([2]对账明细接口!$G$895=0,"",[2]对账明细接口!$G$895),"")</f>
      </c>
      <c r="H895" s="176">
        <f>IFERROR(IF([2]对账明细接口!$H$895=0,"",[2]对账明细接口!$H$895),"")</f>
      </c>
      <c r="I895" s="16">
        <f>IFERROR(IF([2]对账明细接口!$I$895=0,"",[2]对账明细接口!$I$895),"")</f>
      </c>
      <c r="J895" s="177">
        <f>IFERROR(IF([2]对账明细接口!$J$895=0,"",[2]对账明细接口!$J$895),"")</f>
      </c>
      <c r="K895" s="177">
        <f>IFERROR(IF([2]对账明细接口!$K$895=0,"",[2]对账明细接口!$K$895),"")</f>
      </c>
      <c r="L895" s="16">
        <f>IFERROR(IF([2]对账明细接口!$L$895=0,"",[2]对账明细接口!$L$895),"")</f>
      </c>
      <c r="M895" s="16">
        <f>IFERROR(IF([2]对账明细接口!$M$895=0,"",[2]对账明细接口!$M$895),"")</f>
      </c>
      <c r="N895" s="19">
        <f>IF($C895="",0,1)</f>
        <v>0</v>
      </c>
      <c r="O895" s="19">
        <f>N(O894)+$N895</f>
        <v>272</v>
      </c>
      <c r="S895" s="20">
        <f>IFERROR(IF([2]对账明细接口!$N895=0,"",[2]对账明细接口!$N895),"")</f>
      </c>
      <c r="T895" s="212">
        <f>IFERROR(IF([2]对账明细接口!$O895=0,"",[2]对账明细接口!$O895),"")</f>
      </c>
      <c r="U895" s="212">
        <f>IFERROR(IF([2]对账明细接口!$P895=0,"",[2]对账明细接口!$P895),"")</f>
      </c>
      <c r="V895" s="212">
        <f>IFERROR(IF([2]对账明细接口!$Q895=0,"",[2]对账明细接口!$Q895),"")</f>
      </c>
      <c r="W895" s="20">
        <f>IFERROR(IF([2]对账明细接口!$R895=0,"",[2]对账明细接口!$R895),"")</f>
      </c>
      <c r="X895" s="20">
        <f>IFERROR(IF([2]对账明细接口!$S895=0,"",[2]对账明细接口!$S895),"")</f>
      </c>
      <c r="Y895" s="20">
        <f>""</f>
      </c>
      <c r="Z895" s="20">
        <f>""</f>
      </c>
      <c r="AA895" s="20">
        <f>""</f>
      </c>
      <c r="AB895" s="20">
        <f>""</f>
      </c>
    </row>
    <row r="896" s="127">
      <c r="A896" s="14" t="n">
        <v>896</v>
      </c>
      <c r="B896" s="211">
        <f>IFERROR(IF([2]对账明细接口!$B$896=0,"",[2]对账明细接口!$B$896),"")</f>
      </c>
      <c r="C896" s="16">
        <f>IFERROR(IF([2]对账明细接口!$C$896=0,"",[2]对账明细接口!$C$896),"")</f>
      </c>
      <c r="D896" s="16">
        <f>IFERROR(IF([2]对账明细接口!$D$896=0,"",[2]对账明细接口!$D$896),"")</f>
      </c>
      <c r="E896" s="16">
        <f>IFERROR(IF([2]对账明细接口!$E$896=0,"",[2]对账明细接口!$E$896),"")</f>
      </c>
      <c r="F896" s="16">
        <f>IFERROR(IF([2]对账明细接口!$F$896=0,"",[2]对账明细接口!$F$896),"")</f>
      </c>
      <c r="G896" s="16">
        <f>IFERROR(IF([2]对账明细接口!$G$896=0,"",[2]对账明细接口!$G$896),"")</f>
      </c>
      <c r="H896" s="176">
        <f>IFERROR(IF([2]对账明细接口!$H$896=0,"",[2]对账明细接口!$H$896),"")</f>
      </c>
      <c r="I896" s="16">
        <f>IFERROR(IF([2]对账明细接口!$I$896=0,"",[2]对账明细接口!$I$896),"")</f>
      </c>
      <c r="J896" s="177">
        <f>IFERROR(IF([2]对账明细接口!$J$896=0,"",[2]对账明细接口!$J$896),"")</f>
      </c>
      <c r="K896" s="177">
        <f>IFERROR(IF([2]对账明细接口!$K$896=0,"",[2]对账明细接口!$K$896),"")</f>
      </c>
      <c r="L896" s="16">
        <f>IFERROR(IF([2]对账明细接口!$L$896=0,"",[2]对账明细接口!$L$896),"")</f>
      </c>
      <c r="M896" s="16">
        <f>IFERROR(IF([2]对账明细接口!$M$896=0,"",[2]对账明细接口!$M$896),"")</f>
      </c>
      <c r="N896" s="19">
        <f>IF($C896="",0,1)</f>
        <v>0</v>
      </c>
      <c r="O896" s="19">
        <f>N(O895)+$N896</f>
        <v>272</v>
      </c>
      <c r="S896" s="20">
        <f>IFERROR(IF([2]对账明细接口!$N896=0,"",[2]对账明细接口!$N896),"")</f>
      </c>
      <c r="T896" s="212">
        <f>IFERROR(IF([2]对账明细接口!$O896=0,"",[2]对账明细接口!$O896),"")</f>
      </c>
      <c r="U896" s="212">
        <f>IFERROR(IF([2]对账明细接口!$P896=0,"",[2]对账明细接口!$P896),"")</f>
      </c>
      <c r="V896" s="212">
        <f>IFERROR(IF([2]对账明细接口!$Q896=0,"",[2]对账明细接口!$Q896),"")</f>
      </c>
      <c r="W896" s="20">
        <f>IFERROR(IF([2]对账明细接口!$R896=0,"",[2]对账明细接口!$R896),"")</f>
      </c>
      <c r="X896" s="20">
        <f>IFERROR(IF([2]对账明细接口!$S896=0,"",[2]对账明细接口!$S896),"")</f>
      </c>
      <c r="Y896" s="20">
        <f>""</f>
      </c>
      <c r="Z896" s="20">
        <f>""</f>
      </c>
      <c r="AA896" s="20">
        <f>""</f>
      </c>
      <c r="AB896" s="20">
        <f>""</f>
      </c>
    </row>
    <row r="897" s="127">
      <c r="A897" s="14" t="n">
        <v>897</v>
      </c>
      <c r="B897" s="211">
        <f>IFERROR(IF([2]对账明细接口!$B$897=0,"",[2]对账明细接口!$B$897),"")</f>
      </c>
      <c r="C897" s="16">
        <f>IFERROR(IF([2]对账明细接口!$C$897=0,"",[2]对账明细接口!$C$897),"")</f>
      </c>
      <c r="D897" s="16">
        <f>IFERROR(IF([2]对账明细接口!$D$897=0,"",[2]对账明细接口!$D$897),"")</f>
      </c>
      <c r="E897" s="16">
        <f>IFERROR(IF([2]对账明细接口!$E$897=0,"",[2]对账明细接口!$E$897),"")</f>
      </c>
      <c r="F897" s="16">
        <f>IFERROR(IF([2]对账明细接口!$F$897=0,"",[2]对账明细接口!$F$897),"")</f>
      </c>
      <c r="G897" s="16">
        <f>IFERROR(IF([2]对账明细接口!$G$897=0,"",[2]对账明细接口!$G$897),"")</f>
      </c>
      <c r="H897" s="176">
        <f>IFERROR(IF([2]对账明细接口!$H$897=0,"",[2]对账明细接口!$H$897),"")</f>
      </c>
      <c r="I897" s="16">
        <f>IFERROR(IF([2]对账明细接口!$I$897=0,"",[2]对账明细接口!$I$897),"")</f>
      </c>
      <c r="J897" s="177">
        <f>IFERROR(IF([2]对账明细接口!$J$897=0,"",[2]对账明细接口!$J$897),"")</f>
      </c>
      <c r="K897" s="177">
        <f>IFERROR(IF([2]对账明细接口!$K$897=0,"",[2]对账明细接口!$K$897),"")</f>
      </c>
      <c r="L897" s="16">
        <f>IFERROR(IF([2]对账明细接口!$L$897=0,"",[2]对账明细接口!$L$897),"")</f>
      </c>
      <c r="M897" s="16">
        <f>IFERROR(IF([2]对账明细接口!$M$897=0,"",[2]对账明细接口!$M$897),"")</f>
      </c>
      <c r="N897" s="19">
        <f>IF($C897="",0,1)</f>
        <v>0</v>
      </c>
      <c r="O897" s="19">
        <f>N(O896)+$N897</f>
        <v>272</v>
      </c>
      <c r="S897" s="20">
        <f>IFERROR(IF([2]对账明细接口!$N897=0,"",[2]对账明细接口!$N897),"")</f>
      </c>
      <c r="T897" s="212">
        <f>IFERROR(IF([2]对账明细接口!$O897=0,"",[2]对账明细接口!$O897),"")</f>
      </c>
      <c r="U897" s="212">
        <f>IFERROR(IF([2]对账明细接口!$P897=0,"",[2]对账明细接口!$P897),"")</f>
      </c>
      <c r="V897" s="212">
        <f>IFERROR(IF([2]对账明细接口!$Q897=0,"",[2]对账明细接口!$Q897),"")</f>
      </c>
      <c r="W897" s="20">
        <f>IFERROR(IF([2]对账明细接口!$R897=0,"",[2]对账明细接口!$R897),"")</f>
      </c>
      <c r="X897" s="20">
        <f>IFERROR(IF([2]对账明细接口!$S897=0,"",[2]对账明细接口!$S897),"")</f>
      </c>
      <c r="Y897" s="20">
        <f>""</f>
      </c>
      <c r="Z897" s="20">
        <f>""</f>
      </c>
      <c r="AA897" s="20">
        <f>""</f>
      </c>
      <c r="AB897" s="20">
        <f>""</f>
      </c>
    </row>
    <row r="898" s="127">
      <c r="A898" s="14" t="n">
        <v>898</v>
      </c>
      <c r="B898" s="211">
        <f>IFERROR(IF([2]对账明细接口!$B$898=0,"",[2]对账明细接口!$B$898),"")</f>
      </c>
      <c r="C898" s="16">
        <f>IFERROR(IF([2]对账明细接口!$C$898=0,"",[2]对账明细接口!$C$898),"")</f>
      </c>
      <c r="D898" s="16">
        <f>IFERROR(IF([2]对账明细接口!$D$898=0,"",[2]对账明细接口!$D$898),"")</f>
      </c>
      <c r="E898" s="16">
        <f>IFERROR(IF([2]对账明细接口!$E$898=0,"",[2]对账明细接口!$E$898),"")</f>
      </c>
      <c r="F898" s="16">
        <f>IFERROR(IF([2]对账明细接口!$F$898=0,"",[2]对账明细接口!$F$898),"")</f>
      </c>
      <c r="G898" s="16">
        <f>IFERROR(IF([2]对账明细接口!$G$898=0,"",[2]对账明细接口!$G$898),"")</f>
      </c>
      <c r="H898" s="176">
        <f>IFERROR(IF([2]对账明细接口!$H$898=0,"",[2]对账明细接口!$H$898),"")</f>
      </c>
      <c r="I898" s="16">
        <f>IFERROR(IF([2]对账明细接口!$I$898=0,"",[2]对账明细接口!$I$898),"")</f>
      </c>
      <c r="J898" s="177">
        <f>IFERROR(IF([2]对账明细接口!$J$898=0,"",[2]对账明细接口!$J$898),"")</f>
      </c>
      <c r="K898" s="177">
        <f>IFERROR(IF([2]对账明细接口!$K$898=0,"",[2]对账明细接口!$K$898),"")</f>
      </c>
      <c r="L898" s="16">
        <f>IFERROR(IF([2]对账明细接口!$L$898=0,"",[2]对账明细接口!$L$898),"")</f>
      </c>
      <c r="M898" s="16">
        <f>IFERROR(IF([2]对账明细接口!$M$898=0,"",[2]对账明细接口!$M$898),"")</f>
      </c>
      <c r="N898" s="19">
        <f>IF($C898="",0,1)</f>
        <v>0</v>
      </c>
      <c r="O898" s="19">
        <f>N(O897)+$N898</f>
        <v>272</v>
      </c>
      <c r="S898" s="20">
        <f>IFERROR(IF([2]对账明细接口!$N898=0,"",[2]对账明细接口!$N898),"")</f>
      </c>
      <c r="T898" s="212">
        <f>IFERROR(IF([2]对账明细接口!$O898=0,"",[2]对账明细接口!$O898),"")</f>
      </c>
      <c r="U898" s="212">
        <f>IFERROR(IF([2]对账明细接口!$P898=0,"",[2]对账明细接口!$P898),"")</f>
      </c>
      <c r="V898" s="212">
        <f>IFERROR(IF([2]对账明细接口!$Q898=0,"",[2]对账明细接口!$Q898),"")</f>
      </c>
      <c r="W898" s="20">
        <f>IFERROR(IF([2]对账明细接口!$R898=0,"",[2]对账明细接口!$R898),"")</f>
      </c>
      <c r="X898" s="20">
        <f>IFERROR(IF([2]对账明细接口!$S898=0,"",[2]对账明细接口!$S898),"")</f>
      </c>
      <c r="Y898" s="20">
        <f>""</f>
      </c>
      <c r="Z898" s="20">
        <f>""</f>
      </c>
      <c r="AA898" s="20">
        <f>""</f>
      </c>
      <c r="AB898" s="20">
        <f>""</f>
      </c>
    </row>
    <row r="899" s="127">
      <c r="A899" s="14" t="n">
        <v>899</v>
      </c>
      <c r="B899" s="211">
        <f>IFERROR(IF([2]对账明细接口!$B$899=0,"",[2]对账明细接口!$B$899),"")</f>
      </c>
      <c r="C899" s="16">
        <f>IFERROR(IF([2]对账明细接口!$C$899=0,"",[2]对账明细接口!$C$899),"")</f>
      </c>
      <c r="D899" s="16">
        <f>IFERROR(IF([2]对账明细接口!$D$899=0,"",[2]对账明细接口!$D$899),"")</f>
      </c>
      <c r="E899" s="16">
        <f>IFERROR(IF([2]对账明细接口!$E$899=0,"",[2]对账明细接口!$E$899),"")</f>
      </c>
      <c r="F899" s="16">
        <f>IFERROR(IF([2]对账明细接口!$F$899=0,"",[2]对账明细接口!$F$899),"")</f>
      </c>
      <c r="G899" s="16">
        <f>IFERROR(IF([2]对账明细接口!$G$899=0,"",[2]对账明细接口!$G$899),"")</f>
      </c>
      <c r="H899" s="176">
        <f>IFERROR(IF([2]对账明细接口!$H$899=0,"",[2]对账明细接口!$H$899),"")</f>
      </c>
      <c r="I899" s="16">
        <f>IFERROR(IF([2]对账明细接口!$I$899=0,"",[2]对账明细接口!$I$899),"")</f>
      </c>
      <c r="J899" s="177">
        <f>IFERROR(IF([2]对账明细接口!$J$899=0,"",[2]对账明细接口!$J$899),"")</f>
      </c>
      <c r="K899" s="177">
        <f>IFERROR(IF([2]对账明细接口!$K$899=0,"",[2]对账明细接口!$K$899),"")</f>
      </c>
      <c r="L899" s="16">
        <f>IFERROR(IF([2]对账明细接口!$L$899=0,"",[2]对账明细接口!$L$899),"")</f>
      </c>
      <c r="M899" s="16">
        <f>IFERROR(IF([2]对账明细接口!$M$899=0,"",[2]对账明细接口!$M$899),"")</f>
      </c>
      <c r="N899" s="19">
        <f>IF($C899="",0,1)</f>
        <v>0</v>
      </c>
      <c r="O899" s="19">
        <f>N(O898)+$N899</f>
        <v>272</v>
      </c>
      <c r="S899" s="20">
        <f>IFERROR(IF([2]对账明细接口!$N899=0,"",[2]对账明细接口!$N899),"")</f>
      </c>
      <c r="T899" s="212">
        <f>IFERROR(IF([2]对账明细接口!$O899=0,"",[2]对账明细接口!$O899),"")</f>
      </c>
      <c r="U899" s="212">
        <f>IFERROR(IF([2]对账明细接口!$P899=0,"",[2]对账明细接口!$P899),"")</f>
      </c>
      <c r="V899" s="212">
        <f>IFERROR(IF([2]对账明细接口!$Q899=0,"",[2]对账明细接口!$Q899),"")</f>
      </c>
      <c r="W899" s="20">
        <f>IFERROR(IF([2]对账明细接口!$R899=0,"",[2]对账明细接口!$R899),"")</f>
      </c>
      <c r="X899" s="20">
        <f>IFERROR(IF([2]对账明细接口!$S899=0,"",[2]对账明细接口!$S899),"")</f>
      </c>
      <c r="Y899" s="20">
        <f>""</f>
      </c>
      <c r="Z899" s="20">
        <f>""</f>
      </c>
      <c r="AA899" s="20">
        <f>""</f>
      </c>
      <c r="AB899" s="20">
        <f>""</f>
      </c>
    </row>
    <row r="900" s="127">
      <c r="A900" s="14" t="n">
        <v>900</v>
      </c>
      <c r="B900" s="211">
        <f>IFERROR(IF([2]对账明细接口!$B$900=0,"",[2]对账明细接口!$B$900),"")</f>
      </c>
      <c r="C900" s="16">
        <f>IFERROR(IF([2]对账明细接口!$C$900=0,"",[2]对账明细接口!$C$900),"")</f>
      </c>
      <c r="D900" s="16">
        <f>IFERROR(IF([2]对账明细接口!$D$900=0,"",[2]对账明细接口!$D$900),"")</f>
      </c>
      <c r="E900" s="16">
        <f>IFERROR(IF([2]对账明细接口!$E$900=0,"",[2]对账明细接口!$E$900),"")</f>
      </c>
      <c r="F900" s="16">
        <f>IFERROR(IF([2]对账明细接口!$F$900=0,"",[2]对账明细接口!$F$900),"")</f>
      </c>
      <c r="G900" s="16">
        <f>IFERROR(IF([2]对账明细接口!$G$900=0,"",[2]对账明细接口!$G$900),"")</f>
      </c>
      <c r="H900" s="176">
        <f>IFERROR(IF([2]对账明细接口!$H$900=0,"",[2]对账明细接口!$H$900),"")</f>
      </c>
      <c r="I900" s="16">
        <f>IFERROR(IF([2]对账明细接口!$I$900=0,"",[2]对账明细接口!$I$900),"")</f>
      </c>
      <c r="J900" s="177">
        <f>IFERROR(IF([2]对账明细接口!$J$900=0,"",[2]对账明细接口!$J$900),"")</f>
      </c>
      <c r="K900" s="177">
        <f>IFERROR(IF([2]对账明细接口!$K$900=0,"",[2]对账明细接口!$K$900),"")</f>
      </c>
      <c r="L900" s="16">
        <f>IFERROR(IF([2]对账明细接口!$L$900=0,"",[2]对账明细接口!$L$900),"")</f>
      </c>
      <c r="M900" s="16">
        <f>IFERROR(IF([2]对账明细接口!$M$900=0,"",[2]对账明细接口!$M$900),"")</f>
      </c>
      <c r="N900" s="19">
        <f>IF($C900="",0,1)</f>
        <v>0</v>
      </c>
      <c r="O900" s="19">
        <f>N(O899)+$N900</f>
        <v>272</v>
      </c>
      <c r="S900" s="20">
        <f>IFERROR(IF([2]对账明细接口!$N900=0,"",[2]对账明细接口!$N900),"")</f>
      </c>
      <c r="T900" s="212">
        <f>IFERROR(IF([2]对账明细接口!$O900=0,"",[2]对账明细接口!$O900),"")</f>
      </c>
      <c r="U900" s="212">
        <f>IFERROR(IF([2]对账明细接口!$P900=0,"",[2]对账明细接口!$P900),"")</f>
      </c>
      <c r="V900" s="212">
        <f>IFERROR(IF([2]对账明细接口!$Q900=0,"",[2]对账明细接口!$Q900),"")</f>
      </c>
      <c r="W900" s="20">
        <f>IFERROR(IF([2]对账明细接口!$R900=0,"",[2]对账明细接口!$R900),"")</f>
      </c>
      <c r="X900" s="20">
        <f>IFERROR(IF([2]对账明细接口!$S900=0,"",[2]对账明细接口!$S900),"")</f>
      </c>
      <c r="Y900" s="20">
        <f>""</f>
      </c>
      <c r="Z900" s="20">
        <f>""</f>
      </c>
      <c r="AA900" s="20">
        <f>""</f>
      </c>
      <c r="AB900" s="20">
        <f>""</f>
      </c>
    </row>
    <row r="901" s="127">
      <c r="A901" s="14" t="n">
        <v>901</v>
      </c>
      <c r="B901" s="211">
        <f>IFERROR(IF([2]对账明细接口!$B$901=0,"",[2]对账明细接口!$B$901),"")</f>
      </c>
      <c r="C901" s="16">
        <f>IFERROR(IF([2]对账明细接口!$C$901=0,"",[2]对账明细接口!$C$901),"")</f>
      </c>
      <c r="D901" s="16">
        <f>IFERROR(IF([2]对账明细接口!$D$901=0,"",[2]对账明细接口!$D$901),"")</f>
      </c>
      <c r="E901" s="16">
        <f>IFERROR(IF([2]对账明细接口!$E$901=0,"",[2]对账明细接口!$E$901),"")</f>
      </c>
      <c r="F901" s="16">
        <f>IFERROR(IF([2]对账明细接口!$F$901=0,"",[2]对账明细接口!$F$901),"")</f>
      </c>
      <c r="G901" s="16">
        <f>IFERROR(IF([2]对账明细接口!$G$901=0,"",[2]对账明细接口!$G$901),"")</f>
      </c>
      <c r="H901" s="176">
        <f>IFERROR(IF([2]对账明细接口!$H$901=0,"",[2]对账明细接口!$H$901),"")</f>
      </c>
      <c r="I901" s="16">
        <f>IFERROR(IF([2]对账明细接口!$I$901=0,"",[2]对账明细接口!$I$901),"")</f>
      </c>
      <c r="J901" s="177">
        <f>IFERROR(IF([2]对账明细接口!$J$901=0,"",[2]对账明细接口!$J$901),"")</f>
      </c>
      <c r="K901" s="177">
        <f>IFERROR(IF([2]对账明细接口!$K$901=0,"",[2]对账明细接口!$K$901),"")</f>
      </c>
      <c r="L901" s="16">
        <f>IFERROR(IF([2]对账明细接口!$L$901=0,"",[2]对账明细接口!$L$901),"")</f>
      </c>
      <c r="M901" s="16">
        <f>IFERROR(IF([2]对账明细接口!$M$901=0,"",[2]对账明细接口!$M$901),"")</f>
      </c>
      <c r="N901" s="19">
        <f>IF($C901="",0,1)</f>
        <v>0</v>
      </c>
      <c r="O901" s="19">
        <f>N(O900)+$N901</f>
        <v>272</v>
      </c>
      <c r="S901" s="20">
        <f>IFERROR(IF([2]对账明细接口!$N901=0,"",[2]对账明细接口!$N901),"")</f>
      </c>
      <c r="T901" s="212">
        <f>IFERROR(IF([2]对账明细接口!$O901=0,"",[2]对账明细接口!$O901),"")</f>
      </c>
      <c r="U901" s="212">
        <f>IFERROR(IF([2]对账明细接口!$P901=0,"",[2]对账明细接口!$P901),"")</f>
      </c>
      <c r="V901" s="212">
        <f>IFERROR(IF([2]对账明细接口!$Q901=0,"",[2]对账明细接口!$Q901),"")</f>
      </c>
      <c r="W901" s="20">
        <f>IFERROR(IF([2]对账明细接口!$R901=0,"",[2]对账明细接口!$R901),"")</f>
      </c>
      <c r="X901" s="20">
        <f>IFERROR(IF([2]对账明细接口!$S901=0,"",[2]对账明细接口!$S901),"")</f>
      </c>
      <c r="Y901" s="20">
        <f>""</f>
      </c>
      <c r="Z901" s="20">
        <f>""</f>
      </c>
      <c r="AA901" s="20">
        <f>""</f>
      </c>
      <c r="AB901" s="20">
        <f>""</f>
      </c>
    </row>
    <row r="902" s="127">
      <c r="A902" s="14" t="n">
        <v>902</v>
      </c>
      <c r="B902" s="211">
        <f>IFERROR(IF([2]对账明细接口!$B$902=0,"",[2]对账明细接口!$B$902),"")</f>
      </c>
      <c r="C902" s="16">
        <f>IFERROR(IF([2]对账明细接口!$C$902=0,"",[2]对账明细接口!$C$902),"")</f>
      </c>
      <c r="D902" s="16">
        <f>IFERROR(IF([2]对账明细接口!$D$902=0,"",[2]对账明细接口!$D$902),"")</f>
      </c>
      <c r="E902" s="16">
        <f>IFERROR(IF([2]对账明细接口!$E$902=0,"",[2]对账明细接口!$E$902),"")</f>
      </c>
      <c r="F902" s="16">
        <f>IFERROR(IF([2]对账明细接口!$F$902=0,"",[2]对账明细接口!$F$902),"")</f>
      </c>
      <c r="G902" s="16">
        <f>IFERROR(IF([2]对账明细接口!$G$902=0,"",[2]对账明细接口!$G$902),"")</f>
      </c>
      <c r="H902" s="176">
        <f>IFERROR(IF([2]对账明细接口!$H$902=0,"",[2]对账明细接口!$H$902),"")</f>
      </c>
      <c r="I902" s="16">
        <f>IFERROR(IF([2]对账明细接口!$I$902=0,"",[2]对账明细接口!$I$902),"")</f>
      </c>
      <c r="J902" s="177">
        <f>IFERROR(IF([2]对账明细接口!$J$902=0,"",[2]对账明细接口!$J$902),"")</f>
      </c>
      <c r="K902" s="177">
        <f>IFERROR(IF([2]对账明细接口!$K$902=0,"",[2]对账明细接口!$K$902),"")</f>
      </c>
      <c r="L902" s="16">
        <f>IFERROR(IF([2]对账明细接口!$L$902=0,"",[2]对账明细接口!$L$902),"")</f>
      </c>
      <c r="M902" s="16">
        <f>IFERROR(IF([2]对账明细接口!$M$902=0,"",[2]对账明细接口!$M$902),"")</f>
      </c>
      <c r="N902" s="19">
        <f>IF($C902="",0,1)</f>
        <v>0</v>
      </c>
      <c r="O902" s="19">
        <f>N(O901)+$N902</f>
        <v>272</v>
      </c>
      <c r="S902" s="20">
        <f>IFERROR(IF([2]对账明细接口!$N902=0,"",[2]对账明细接口!$N902),"")</f>
      </c>
      <c r="T902" s="212">
        <f>IFERROR(IF([2]对账明细接口!$O902=0,"",[2]对账明细接口!$O902),"")</f>
      </c>
      <c r="U902" s="212">
        <f>IFERROR(IF([2]对账明细接口!$P902=0,"",[2]对账明细接口!$P902),"")</f>
      </c>
      <c r="V902" s="212">
        <f>IFERROR(IF([2]对账明细接口!$Q902=0,"",[2]对账明细接口!$Q902),"")</f>
      </c>
      <c r="W902" s="20">
        <f>IFERROR(IF([2]对账明细接口!$R902=0,"",[2]对账明细接口!$R902),"")</f>
      </c>
      <c r="X902" s="20">
        <f>IFERROR(IF([2]对账明细接口!$S902=0,"",[2]对账明细接口!$S902),"")</f>
      </c>
      <c r="Y902" s="20">
        <f>""</f>
      </c>
      <c r="Z902" s="20">
        <f>""</f>
      </c>
      <c r="AA902" s="20">
        <f>""</f>
      </c>
      <c r="AB902" s="20">
        <f>""</f>
      </c>
    </row>
    <row r="903" s="127">
      <c r="A903" s="14" t="n">
        <v>903</v>
      </c>
      <c r="B903" s="211">
        <f>IFERROR(IF([2]对账明细接口!$B$903=0,"",[2]对账明细接口!$B$903),"")</f>
      </c>
      <c r="C903" s="16">
        <f>IFERROR(IF([2]对账明细接口!$C$903=0,"",[2]对账明细接口!$C$903),"")</f>
      </c>
      <c r="D903" s="16">
        <f>IFERROR(IF([2]对账明细接口!$D$903=0,"",[2]对账明细接口!$D$903),"")</f>
      </c>
      <c r="E903" s="16">
        <f>IFERROR(IF([2]对账明细接口!$E$903=0,"",[2]对账明细接口!$E$903),"")</f>
      </c>
      <c r="F903" s="16">
        <f>IFERROR(IF([2]对账明细接口!$F$903=0,"",[2]对账明细接口!$F$903),"")</f>
      </c>
      <c r="G903" s="16">
        <f>IFERROR(IF([2]对账明细接口!$G$903=0,"",[2]对账明细接口!$G$903),"")</f>
      </c>
      <c r="H903" s="176">
        <f>IFERROR(IF([2]对账明细接口!$H$903=0,"",[2]对账明细接口!$H$903),"")</f>
      </c>
      <c r="I903" s="16">
        <f>IFERROR(IF([2]对账明细接口!$I$903=0,"",[2]对账明细接口!$I$903),"")</f>
      </c>
      <c r="J903" s="177">
        <f>IFERROR(IF([2]对账明细接口!$J$903=0,"",[2]对账明细接口!$J$903),"")</f>
      </c>
      <c r="K903" s="177">
        <f>IFERROR(IF([2]对账明细接口!$K$903=0,"",[2]对账明细接口!$K$903),"")</f>
      </c>
      <c r="L903" s="16">
        <f>IFERROR(IF([2]对账明细接口!$L$903=0,"",[2]对账明细接口!$L$903),"")</f>
      </c>
      <c r="M903" s="16">
        <f>IFERROR(IF([2]对账明细接口!$M$903=0,"",[2]对账明细接口!$M$903),"")</f>
      </c>
      <c r="N903" s="19">
        <f>IF($C903="",0,1)</f>
        <v>0</v>
      </c>
      <c r="O903" s="19">
        <f>N(O902)+$N903</f>
        <v>272</v>
      </c>
      <c r="S903" s="20">
        <f>IFERROR(IF([2]对账明细接口!$N903=0,"",[2]对账明细接口!$N903),"")</f>
      </c>
      <c r="T903" s="212">
        <f>IFERROR(IF([2]对账明细接口!$O903=0,"",[2]对账明细接口!$O903),"")</f>
      </c>
      <c r="U903" s="212">
        <f>IFERROR(IF([2]对账明细接口!$P903=0,"",[2]对账明细接口!$P903),"")</f>
      </c>
      <c r="V903" s="212">
        <f>IFERROR(IF([2]对账明细接口!$Q903=0,"",[2]对账明细接口!$Q903),"")</f>
      </c>
      <c r="W903" s="20">
        <f>IFERROR(IF([2]对账明细接口!$R903=0,"",[2]对账明细接口!$R903),"")</f>
      </c>
      <c r="X903" s="20">
        <f>IFERROR(IF([2]对账明细接口!$S903=0,"",[2]对账明细接口!$S903),"")</f>
      </c>
      <c r="Y903" s="20">
        <f>""</f>
      </c>
      <c r="Z903" s="20">
        <f>""</f>
      </c>
      <c r="AA903" s="20">
        <f>""</f>
      </c>
      <c r="AB903" s="20">
        <f>""</f>
      </c>
    </row>
    <row r="904" s="127">
      <c r="A904" s="14" t="n">
        <v>904</v>
      </c>
      <c r="B904" s="211">
        <f>IFERROR(IF([2]对账明细接口!$B$904=0,"",[2]对账明细接口!$B$904),"")</f>
      </c>
      <c r="C904" s="16">
        <f>IFERROR(IF([2]对账明细接口!$C$904=0,"",[2]对账明细接口!$C$904),"")</f>
      </c>
      <c r="D904" s="16">
        <f>IFERROR(IF([2]对账明细接口!$D$904=0,"",[2]对账明细接口!$D$904),"")</f>
      </c>
      <c r="E904" s="16">
        <f>IFERROR(IF([2]对账明细接口!$E$904=0,"",[2]对账明细接口!$E$904),"")</f>
      </c>
      <c r="F904" s="16">
        <f>IFERROR(IF([2]对账明细接口!$F$904=0,"",[2]对账明细接口!$F$904),"")</f>
      </c>
      <c r="G904" s="16">
        <f>IFERROR(IF([2]对账明细接口!$G$904=0,"",[2]对账明细接口!$G$904),"")</f>
      </c>
      <c r="H904" s="176">
        <f>IFERROR(IF([2]对账明细接口!$H$904=0,"",[2]对账明细接口!$H$904),"")</f>
      </c>
      <c r="I904" s="16">
        <f>IFERROR(IF([2]对账明细接口!$I$904=0,"",[2]对账明细接口!$I$904),"")</f>
      </c>
      <c r="J904" s="177">
        <f>IFERROR(IF([2]对账明细接口!$J$904=0,"",[2]对账明细接口!$J$904),"")</f>
      </c>
      <c r="K904" s="177">
        <f>IFERROR(IF([2]对账明细接口!$K$904=0,"",[2]对账明细接口!$K$904),"")</f>
      </c>
      <c r="L904" s="16">
        <f>IFERROR(IF([2]对账明细接口!$L$904=0,"",[2]对账明细接口!$L$904),"")</f>
      </c>
      <c r="M904" s="16">
        <f>IFERROR(IF([2]对账明细接口!$M$904=0,"",[2]对账明细接口!$M$904),"")</f>
      </c>
      <c r="N904" s="19">
        <f>IF($C904="",0,1)</f>
        <v>0</v>
      </c>
      <c r="O904" s="19">
        <f>N(O903)+$N904</f>
        <v>272</v>
      </c>
      <c r="S904" s="20">
        <f>IFERROR(IF([2]对账明细接口!$N904=0,"",[2]对账明细接口!$N904),"")</f>
      </c>
      <c r="T904" s="212">
        <f>IFERROR(IF([2]对账明细接口!$O904=0,"",[2]对账明细接口!$O904),"")</f>
      </c>
      <c r="U904" s="212">
        <f>IFERROR(IF([2]对账明细接口!$P904=0,"",[2]对账明细接口!$P904),"")</f>
      </c>
      <c r="V904" s="212">
        <f>IFERROR(IF([2]对账明细接口!$Q904=0,"",[2]对账明细接口!$Q904),"")</f>
      </c>
      <c r="W904" s="20">
        <f>IFERROR(IF([2]对账明细接口!$R904=0,"",[2]对账明细接口!$R904),"")</f>
      </c>
      <c r="X904" s="20">
        <f>IFERROR(IF([2]对账明细接口!$S904=0,"",[2]对账明细接口!$S904),"")</f>
      </c>
      <c r="Y904" s="20">
        <f>""</f>
      </c>
      <c r="Z904" s="20">
        <f>""</f>
      </c>
      <c r="AA904" s="20">
        <f>""</f>
      </c>
      <c r="AB904" s="20">
        <f>""</f>
      </c>
    </row>
    <row r="905" s="127">
      <c r="A905" s="14" t="n">
        <v>905</v>
      </c>
      <c r="B905" s="211">
        <f>IFERROR(IF([2]对账明细接口!$B$905=0,"",[2]对账明细接口!$B$905),"")</f>
      </c>
      <c r="C905" s="16">
        <f>IFERROR(IF([2]对账明细接口!$C$905=0,"",[2]对账明细接口!$C$905),"")</f>
      </c>
      <c r="D905" s="16">
        <f>IFERROR(IF([2]对账明细接口!$D$905=0,"",[2]对账明细接口!$D$905),"")</f>
      </c>
      <c r="E905" s="16">
        <f>IFERROR(IF([2]对账明细接口!$E$905=0,"",[2]对账明细接口!$E$905),"")</f>
      </c>
      <c r="F905" s="16">
        <f>IFERROR(IF([2]对账明细接口!$F$905=0,"",[2]对账明细接口!$F$905),"")</f>
      </c>
      <c r="G905" s="16">
        <f>IFERROR(IF([2]对账明细接口!$G$905=0,"",[2]对账明细接口!$G$905),"")</f>
      </c>
      <c r="H905" s="176">
        <f>IFERROR(IF([2]对账明细接口!$H$905=0,"",[2]对账明细接口!$H$905),"")</f>
      </c>
      <c r="I905" s="16">
        <f>IFERROR(IF([2]对账明细接口!$I$905=0,"",[2]对账明细接口!$I$905),"")</f>
      </c>
      <c r="J905" s="177">
        <f>IFERROR(IF([2]对账明细接口!$J$905=0,"",[2]对账明细接口!$J$905),"")</f>
      </c>
      <c r="K905" s="177">
        <f>IFERROR(IF([2]对账明细接口!$K$905=0,"",[2]对账明细接口!$K$905),"")</f>
      </c>
      <c r="L905" s="16">
        <f>IFERROR(IF([2]对账明细接口!$L$905=0,"",[2]对账明细接口!$L$905),"")</f>
      </c>
      <c r="M905" s="16">
        <f>IFERROR(IF([2]对账明细接口!$M$905=0,"",[2]对账明细接口!$M$905),"")</f>
      </c>
      <c r="N905" s="19">
        <f>IF($C905="",0,1)</f>
        <v>0</v>
      </c>
      <c r="O905" s="19">
        <f>N(O904)+$N905</f>
        <v>272</v>
      </c>
      <c r="S905" s="20">
        <f>IFERROR(IF([2]对账明细接口!$N905=0,"",[2]对账明细接口!$N905),"")</f>
      </c>
      <c r="T905" s="212">
        <f>IFERROR(IF([2]对账明细接口!$O905=0,"",[2]对账明细接口!$O905),"")</f>
      </c>
      <c r="U905" s="212">
        <f>IFERROR(IF([2]对账明细接口!$P905=0,"",[2]对账明细接口!$P905),"")</f>
      </c>
      <c r="V905" s="212">
        <f>IFERROR(IF([2]对账明细接口!$Q905=0,"",[2]对账明细接口!$Q905),"")</f>
      </c>
      <c r="W905" s="20">
        <f>IFERROR(IF([2]对账明细接口!$R905=0,"",[2]对账明细接口!$R905),"")</f>
      </c>
      <c r="X905" s="20">
        <f>IFERROR(IF([2]对账明细接口!$S905=0,"",[2]对账明细接口!$S905),"")</f>
      </c>
      <c r="Y905" s="20">
        <f>""</f>
      </c>
      <c r="Z905" s="20">
        <f>""</f>
      </c>
      <c r="AA905" s="20">
        <f>""</f>
      </c>
      <c r="AB905" s="20">
        <f>""</f>
      </c>
    </row>
    <row r="906" s="127">
      <c r="A906" s="14" t="n">
        <v>906</v>
      </c>
      <c r="B906" s="211">
        <f>IFERROR(IF([2]对账明细接口!$B$906=0,"",[2]对账明细接口!$B$906),"")</f>
      </c>
      <c r="C906" s="16">
        <f>IFERROR(IF([2]对账明细接口!$C$906=0,"",[2]对账明细接口!$C$906),"")</f>
      </c>
      <c r="D906" s="16">
        <f>IFERROR(IF([2]对账明细接口!$D$906=0,"",[2]对账明细接口!$D$906),"")</f>
      </c>
      <c r="E906" s="16">
        <f>IFERROR(IF([2]对账明细接口!$E$906=0,"",[2]对账明细接口!$E$906),"")</f>
      </c>
      <c r="F906" s="16">
        <f>IFERROR(IF([2]对账明细接口!$F$906=0,"",[2]对账明细接口!$F$906),"")</f>
      </c>
      <c r="G906" s="16">
        <f>IFERROR(IF([2]对账明细接口!$G$906=0,"",[2]对账明细接口!$G$906),"")</f>
      </c>
      <c r="H906" s="176">
        <f>IFERROR(IF([2]对账明细接口!$H$906=0,"",[2]对账明细接口!$H$906),"")</f>
      </c>
      <c r="I906" s="16">
        <f>IFERROR(IF([2]对账明细接口!$I$906=0,"",[2]对账明细接口!$I$906),"")</f>
      </c>
      <c r="J906" s="177">
        <f>IFERROR(IF([2]对账明细接口!$J$906=0,"",[2]对账明细接口!$J$906),"")</f>
      </c>
      <c r="K906" s="177">
        <f>IFERROR(IF([2]对账明细接口!$K$906=0,"",[2]对账明细接口!$K$906),"")</f>
      </c>
      <c r="L906" s="16">
        <f>IFERROR(IF([2]对账明细接口!$L$906=0,"",[2]对账明细接口!$L$906),"")</f>
      </c>
      <c r="M906" s="16">
        <f>IFERROR(IF([2]对账明细接口!$M$906=0,"",[2]对账明细接口!$M$906),"")</f>
      </c>
      <c r="N906" s="19">
        <f>IF($C906="",0,1)</f>
        <v>0</v>
      </c>
      <c r="O906" s="19">
        <f>N(O905)+$N906</f>
        <v>272</v>
      </c>
      <c r="S906" s="20">
        <f>IFERROR(IF([2]对账明细接口!$N906=0,"",[2]对账明细接口!$N906),"")</f>
      </c>
      <c r="T906" s="212">
        <f>IFERROR(IF([2]对账明细接口!$O906=0,"",[2]对账明细接口!$O906),"")</f>
      </c>
      <c r="U906" s="212">
        <f>IFERROR(IF([2]对账明细接口!$P906=0,"",[2]对账明细接口!$P906),"")</f>
      </c>
      <c r="V906" s="212">
        <f>IFERROR(IF([2]对账明细接口!$Q906=0,"",[2]对账明细接口!$Q906),"")</f>
      </c>
      <c r="W906" s="20">
        <f>IFERROR(IF([2]对账明细接口!$R906=0,"",[2]对账明细接口!$R906),"")</f>
      </c>
      <c r="X906" s="20">
        <f>IFERROR(IF([2]对账明细接口!$S906=0,"",[2]对账明细接口!$S906),"")</f>
      </c>
      <c r="Y906" s="20">
        <f>""</f>
      </c>
      <c r="Z906" s="20">
        <f>""</f>
      </c>
      <c r="AA906" s="20">
        <f>""</f>
      </c>
      <c r="AB906" s="20">
        <f>""</f>
      </c>
    </row>
    <row r="907" s="127">
      <c r="A907" s="14" t="n">
        <v>907</v>
      </c>
      <c r="B907" s="211">
        <f>IFERROR(IF([2]对账明细接口!$B$907=0,"",[2]对账明细接口!$B$907),"")</f>
      </c>
      <c r="C907" s="16">
        <f>IFERROR(IF([2]对账明细接口!$C$907=0,"",[2]对账明细接口!$C$907),"")</f>
      </c>
      <c r="D907" s="16">
        <f>IFERROR(IF([2]对账明细接口!$D$907=0,"",[2]对账明细接口!$D$907),"")</f>
      </c>
      <c r="E907" s="16">
        <f>IFERROR(IF([2]对账明细接口!$E$907=0,"",[2]对账明细接口!$E$907),"")</f>
      </c>
      <c r="F907" s="16">
        <f>IFERROR(IF([2]对账明细接口!$F$907=0,"",[2]对账明细接口!$F$907),"")</f>
      </c>
      <c r="G907" s="16">
        <f>IFERROR(IF([2]对账明细接口!$G$907=0,"",[2]对账明细接口!$G$907),"")</f>
      </c>
      <c r="H907" s="176">
        <f>IFERROR(IF([2]对账明细接口!$H$907=0,"",[2]对账明细接口!$H$907),"")</f>
      </c>
      <c r="I907" s="16">
        <f>IFERROR(IF([2]对账明细接口!$I$907=0,"",[2]对账明细接口!$I$907),"")</f>
      </c>
      <c r="J907" s="177">
        <f>IFERROR(IF([2]对账明细接口!$J$907=0,"",[2]对账明细接口!$J$907),"")</f>
      </c>
      <c r="K907" s="177">
        <f>IFERROR(IF([2]对账明细接口!$K$907=0,"",[2]对账明细接口!$K$907),"")</f>
      </c>
      <c r="L907" s="16">
        <f>IFERROR(IF([2]对账明细接口!$L$907=0,"",[2]对账明细接口!$L$907),"")</f>
      </c>
      <c r="M907" s="16">
        <f>IFERROR(IF([2]对账明细接口!$M$907=0,"",[2]对账明细接口!$M$907),"")</f>
      </c>
      <c r="N907" s="19">
        <f>IF($C907="",0,1)</f>
        <v>0</v>
      </c>
      <c r="O907" s="19">
        <f>N(O906)+$N907</f>
        <v>272</v>
      </c>
      <c r="S907" s="20">
        <f>IFERROR(IF([2]对账明细接口!$N907=0,"",[2]对账明细接口!$N907),"")</f>
      </c>
      <c r="T907" s="212">
        <f>IFERROR(IF([2]对账明细接口!$O907=0,"",[2]对账明细接口!$O907),"")</f>
      </c>
      <c r="U907" s="212">
        <f>IFERROR(IF([2]对账明细接口!$P907=0,"",[2]对账明细接口!$P907),"")</f>
      </c>
      <c r="V907" s="212">
        <f>IFERROR(IF([2]对账明细接口!$Q907=0,"",[2]对账明细接口!$Q907),"")</f>
      </c>
      <c r="W907" s="20">
        <f>IFERROR(IF([2]对账明细接口!$R907=0,"",[2]对账明细接口!$R907),"")</f>
      </c>
      <c r="X907" s="20">
        <f>IFERROR(IF([2]对账明细接口!$S907=0,"",[2]对账明细接口!$S907),"")</f>
      </c>
      <c r="Y907" s="20">
        <f>""</f>
      </c>
      <c r="Z907" s="20">
        <f>""</f>
      </c>
      <c r="AA907" s="20">
        <f>""</f>
      </c>
      <c r="AB907" s="20">
        <f>""</f>
      </c>
    </row>
    <row r="908" s="127">
      <c r="A908" s="14" t="n">
        <v>908</v>
      </c>
      <c r="B908" s="211">
        <f>IFERROR(IF([2]对账明细接口!$B$908=0,"",[2]对账明细接口!$B$908),"")</f>
      </c>
      <c r="C908" s="16">
        <f>IFERROR(IF([2]对账明细接口!$C$908=0,"",[2]对账明细接口!$C$908),"")</f>
      </c>
      <c r="D908" s="16">
        <f>IFERROR(IF([2]对账明细接口!$D$908=0,"",[2]对账明细接口!$D$908),"")</f>
      </c>
      <c r="E908" s="16">
        <f>IFERROR(IF([2]对账明细接口!$E$908=0,"",[2]对账明细接口!$E$908),"")</f>
      </c>
      <c r="F908" s="16">
        <f>IFERROR(IF([2]对账明细接口!$F$908=0,"",[2]对账明细接口!$F$908),"")</f>
      </c>
      <c r="G908" s="16">
        <f>IFERROR(IF([2]对账明细接口!$G$908=0,"",[2]对账明细接口!$G$908),"")</f>
      </c>
      <c r="H908" s="176">
        <f>IFERROR(IF([2]对账明细接口!$H$908=0,"",[2]对账明细接口!$H$908),"")</f>
      </c>
      <c r="I908" s="16">
        <f>IFERROR(IF([2]对账明细接口!$I$908=0,"",[2]对账明细接口!$I$908),"")</f>
      </c>
      <c r="J908" s="177">
        <f>IFERROR(IF([2]对账明细接口!$J$908=0,"",[2]对账明细接口!$J$908),"")</f>
      </c>
      <c r="K908" s="177">
        <f>IFERROR(IF([2]对账明细接口!$K$908=0,"",[2]对账明细接口!$K$908),"")</f>
      </c>
      <c r="L908" s="16">
        <f>IFERROR(IF([2]对账明细接口!$L$908=0,"",[2]对账明细接口!$L$908),"")</f>
      </c>
      <c r="M908" s="16">
        <f>IFERROR(IF([2]对账明细接口!$M$908=0,"",[2]对账明细接口!$M$908),"")</f>
      </c>
      <c r="N908" s="19">
        <f>IF($C908="",0,1)</f>
        <v>0</v>
      </c>
      <c r="O908" s="19">
        <f>N(O907)+$N908</f>
        <v>272</v>
      </c>
      <c r="S908" s="20">
        <f>IFERROR(IF([2]对账明细接口!$N908=0,"",[2]对账明细接口!$N908),"")</f>
      </c>
      <c r="T908" s="212">
        <f>IFERROR(IF([2]对账明细接口!$O908=0,"",[2]对账明细接口!$O908),"")</f>
      </c>
      <c r="U908" s="212">
        <f>IFERROR(IF([2]对账明细接口!$P908=0,"",[2]对账明细接口!$P908),"")</f>
      </c>
      <c r="V908" s="212">
        <f>IFERROR(IF([2]对账明细接口!$Q908=0,"",[2]对账明细接口!$Q908),"")</f>
      </c>
      <c r="W908" s="20">
        <f>IFERROR(IF([2]对账明细接口!$R908=0,"",[2]对账明细接口!$R908),"")</f>
      </c>
      <c r="X908" s="20">
        <f>IFERROR(IF([2]对账明细接口!$S908=0,"",[2]对账明细接口!$S908),"")</f>
      </c>
      <c r="Y908" s="20">
        <f>""</f>
      </c>
      <c r="Z908" s="20">
        <f>""</f>
      </c>
      <c r="AA908" s="20">
        <f>""</f>
      </c>
      <c r="AB908" s="20">
        <f>""</f>
      </c>
    </row>
    <row r="909" s="127">
      <c r="A909" s="14" t="n">
        <v>909</v>
      </c>
      <c r="B909" s="211">
        <f>IFERROR(IF([2]对账明细接口!$B$909=0,"",[2]对账明细接口!$B$909),"")</f>
      </c>
      <c r="C909" s="16">
        <f>IFERROR(IF([2]对账明细接口!$C$909=0,"",[2]对账明细接口!$C$909),"")</f>
      </c>
      <c r="D909" s="16">
        <f>IFERROR(IF([2]对账明细接口!$D$909=0,"",[2]对账明细接口!$D$909),"")</f>
      </c>
      <c r="E909" s="16">
        <f>IFERROR(IF([2]对账明细接口!$E$909=0,"",[2]对账明细接口!$E$909),"")</f>
      </c>
      <c r="F909" s="16">
        <f>IFERROR(IF([2]对账明细接口!$F$909=0,"",[2]对账明细接口!$F$909),"")</f>
      </c>
      <c r="G909" s="16">
        <f>IFERROR(IF([2]对账明细接口!$G$909=0,"",[2]对账明细接口!$G$909),"")</f>
      </c>
      <c r="H909" s="176">
        <f>IFERROR(IF([2]对账明细接口!$H$909=0,"",[2]对账明细接口!$H$909),"")</f>
      </c>
      <c r="I909" s="16">
        <f>IFERROR(IF([2]对账明细接口!$I$909=0,"",[2]对账明细接口!$I$909),"")</f>
      </c>
      <c r="J909" s="177">
        <f>IFERROR(IF([2]对账明细接口!$J$909=0,"",[2]对账明细接口!$J$909),"")</f>
      </c>
      <c r="K909" s="177">
        <f>IFERROR(IF([2]对账明细接口!$K$909=0,"",[2]对账明细接口!$K$909),"")</f>
      </c>
      <c r="L909" s="16">
        <f>IFERROR(IF([2]对账明细接口!$L$909=0,"",[2]对账明细接口!$L$909),"")</f>
      </c>
      <c r="M909" s="16">
        <f>IFERROR(IF([2]对账明细接口!$M$909=0,"",[2]对账明细接口!$M$909),"")</f>
      </c>
      <c r="N909" s="19">
        <f>IF($C909="",0,1)</f>
        <v>0</v>
      </c>
      <c r="O909" s="19">
        <f>N(O908)+$N909</f>
        <v>272</v>
      </c>
      <c r="S909" s="20">
        <f>IFERROR(IF([2]对账明细接口!$N909=0,"",[2]对账明细接口!$N909),"")</f>
      </c>
      <c r="T909" s="212">
        <f>IFERROR(IF([2]对账明细接口!$O909=0,"",[2]对账明细接口!$O909),"")</f>
      </c>
      <c r="U909" s="212">
        <f>IFERROR(IF([2]对账明细接口!$P909=0,"",[2]对账明细接口!$P909),"")</f>
      </c>
      <c r="V909" s="212">
        <f>IFERROR(IF([2]对账明细接口!$Q909=0,"",[2]对账明细接口!$Q909),"")</f>
      </c>
      <c r="W909" s="20">
        <f>IFERROR(IF([2]对账明细接口!$R909=0,"",[2]对账明细接口!$R909),"")</f>
      </c>
      <c r="X909" s="20">
        <f>IFERROR(IF([2]对账明细接口!$S909=0,"",[2]对账明细接口!$S909),"")</f>
      </c>
      <c r="Y909" s="20">
        <f>""</f>
      </c>
      <c r="Z909" s="20">
        <f>""</f>
      </c>
      <c r="AA909" s="20">
        <f>""</f>
      </c>
      <c r="AB909" s="20">
        <f>""</f>
      </c>
    </row>
    <row r="910" s="127">
      <c r="A910" s="14" t="n">
        <v>910</v>
      </c>
      <c r="B910" s="211">
        <f>IFERROR(IF([2]对账明细接口!$B$910=0,"",[2]对账明细接口!$B$910),"")</f>
      </c>
      <c r="C910" s="16">
        <f>IFERROR(IF([2]对账明细接口!$C$910=0,"",[2]对账明细接口!$C$910),"")</f>
      </c>
      <c r="D910" s="16">
        <f>IFERROR(IF([2]对账明细接口!$D$910=0,"",[2]对账明细接口!$D$910),"")</f>
      </c>
      <c r="E910" s="16">
        <f>IFERROR(IF([2]对账明细接口!$E$910=0,"",[2]对账明细接口!$E$910),"")</f>
      </c>
      <c r="F910" s="16">
        <f>IFERROR(IF([2]对账明细接口!$F$910=0,"",[2]对账明细接口!$F$910),"")</f>
      </c>
      <c r="G910" s="16">
        <f>IFERROR(IF([2]对账明细接口!$G$910=0,"",[2]对账明细接口!$G$910),"")</f>
      </c>
      <c r="H910" s="176">
        <f>IFERROR(IF([2]对账明细接口!$H$910=0,"",[2]对账明细接口!$H$910),"")</f>
      </c>
      <c r="I910" s="16">
        <f>IFERROR(IF([2]对账明细接口!$I$910=0,"",[2]对账明细接口!$I$910),"")</f>
      </c>
      <c r="J910" s="177">
        <f>IFERROR(IF([2]对账明细接口!$J$910=0,"",[2]对账明细接口!$J$910),"")</f>
      </c>
      <c r="K910" s="177">
        <f>IFERROR(IF([2]对账明细接口!$K$910=0,"",[2]对账明细接口!$K$910),"")</f>
      </c>
      <c r="L910" s="16">
        <f>IFERROR(IF([2]对账明细接口!$L$910=0,"",[2]对账明细接口!$L$910),"")</f>
      </c>
      <c r="M910" s="16">
        <f>IFERROR(IF([2]对账明细接口!$M$910=0,"",[2]对账明细接口!$M$910),"")</f>
      </c>
      <c r="N910" s="19">
        <f>IF($C910="",0,1)</f>
        <v>0</v>
      </c>
      <c r="O910" s="19">
        <f>N(O909)+$N910</f>
        <v>272</v>
      </c>
      <c r="S910" s="20">
        <f>IFERROR(IF([2]对账明细接口!$N910=0,"",[2]对账明细接口!$N910),"")</f>
      </c>
      <c r="T910" s="212">
        <f>IFERROR(IF([2]对账明细接口!$O910=0,"",[2]对账明细接口!$O910),"")</f>
      </c>
      <c r="U910" s="212">
        <f>IFERROR(IF([2]对账明细接口!$P910=0,"",[2]对账明细接口!$P910),"")</f>
      </c>
      <c r="V910" s="212">
        <f>IFERROR(IF([2]对账明细接口!$Q910=0,"",[2]对账明细接口!$Q910),"")</f>
      </c>
      <c r="W910" s="20">
        <f>IFERROR(IF([2]对账明细接口!$R910=0,"",[2]对账明细接口!$R910),"")</f>
      </c>
      <c r="X910" s="20">
        <f>IFERROR(IF([2]对账明细接口!$S910=0,"",[2]对账明细接口!$S910),"")</f>
      </c>
      <c r="Y910" s="20">
        <f>""</f>
      </c>
      <c r="Z910" s="20">
        <f>""</f>
      </c>
      <c r="AA910" s="20">
        <f>""</f>
      </c>
      <c r="AB910" s="20">
        <f>""</f>
      </c>
    </row>
    <row r="911" s="127">
      <c r="A911" s="14" t="n">
        <v>911</v>
      </c>
      <c r="B911" s="211">
        <f>IFERROR(IF([2]对账明细接口!$B$911=0,"",[2]对账明细接口!$B$911),"")</f>
      </c>
      <c r="C911" s="16">
        <f>IFERROR(IF([2]对账明细接口!$C$911=0,"",[2]对账明细接口!$C$911),"")</f>
      </c>
      <c r="D911" s="16">
        <f>IFERROR(IF([2]对账明细接口!$D$911=0,"",[2]对账明细接口!$D$911),"")</f>
      </c>
      <c r="E911" s="16">
        <f>IFERROR(IF([2]对账明细接口!$E$911=0,"",[2]对账明细接口!$E$911),"")</f>
      </c>
      <c r="F911" s="16">
        <f>IFERROR(IF([2]对账明细接口!$F$911=0,"",[2]对账明细接口!$F$911),"")</f>
      </c>
      <c r="G911" s="16">
        <f>IFERROR(IF([2]对账明细接口!$G$911=0,"",[2]对账明细接口!$G$911),"")</f>
      </c>
      <c r="H911" s="176">
        <f>IFERROR(IF([2]对账明细接口!$H$911=0,"",[2]对账明细接口!$H$911),"")</f>
      </c>
      <c r="I911" s="16">
        <f>IFERROR(IF([2]对账明细接口!$I$911=0,"",[2]对账明细接口!$I$911),"")</f>
      </c>
      <c r="J911" s="177">
        <f>IFERROR(IF([2]对账明细接口!$J$911=0,"",[2]对账明细接口!$J$911),"")</f>
      </c>
      <c r="K911" s="177">
        <f>IFERROR(IF([2]对账明细接口!$K$911=0,"",[2]对账明细接口!$K$911),"")</f>
      </c>
      <c r="L911" s="16">
        <f>IFERROR(IF([2]对账明细接口!$L$911=0,"",[2]对账明细接口!$L$911),"")</f>
      </c>
      <c r="M911" s="16">
        <f>IFERROR(IF([2]对账明细接口!$M$911=0,"",[2]对账明细接口!$M$911),"")</f>
      </c>
      <c r="N911" s="19">
        <f>IF($C911="",0,1)</f>
        <v>0</v>
      </c>
      <c r="O911" s="19">
        <f>N(O910)+$N911</f>
        <v>272</v>
      </c>
      <c r="S911" s="20">
        <f>IFERROR(IF([2]对账明细接口!$N911=0,"",[2]对账明细接口!$N911),"")</f>
      </c>
      <c r="T911" s="212">
        <f>IFERROR(IF([2]对账明细接口!$O911=0,"",[2]对账明细接口!$O911),"")</f>
      </c>
      <c r="U911" s="212">
        <f>IFERROR(IF([2]对账明细接口!$P911=0,"",[2]对账明细接口!$P911),"")</f>
      </c>
      <c r="V911" s="212">
        <f>IFERROR(IF([2]对账明细接口!$Q911=0,"",[2]对账明细接口!$Q911),"")</f>
      </c>
      <c r="W911" s="20">
        <f>IFERROR(IF([2]对账明细接口!$R911=0,"",[2]对账明细接口!$R911),"")</f>
      </c>
      <c r="X911" s="20">
        <f>IFERROR(IF([2]对账明细接口!$S911=0,"",[2]对账明细接口!$S911),"")</f>
      </c>
      <c r="Y911" s="20">
        <f>""</f>
      </c>
      <c r="Z911" s="20">
        <f>""</f>
      </c>
      <c r="AA911" s="20">
        <f>""</f>
      </c>
      <c r="AB911" s="20">
        <f>""</f>
      </c>
    </row>
    <row r="912" s="127">
      <c r="A912" s="14" t="n">
        <v>912</v>
      </c>
      <c r="B912" s="211">
        <f>IFERROR(IF([2]对账明细接口!$B$912=0,"",[2]对账明细接口!$B$912),"")</f>
      </c>
      <c r="C912" s="16">
        <f>IFERROR(IF([2]对账明细接口!$C$912=0,"",[2]对账明细接口!$C$912),"")</f>
      </c>
      <c r="D912" s="16">
        <f>IFERROR(IF([2]对账明细接口!$D$912=0,"",[2]对账明细接口!$D$912),"")</f>
      </c>
      <c r="E912" s="16">
        <f>IFERROR(IF([2]对账明细接口!$E$912=0,"",[2]对账明细接口!$E$912),"")</f>
      </c>
      <c r="F912" s="16">
        <f>IFERROR(IF([2]对账明细接口!$F$912=0,"",[2]对账明细接口!$F$912),"")</f>
      </c>
      <c r="G912" s="16">
        <f>IFERROR(IF([2]对账明细接口!$G$912=0,"",[2]对账明细接口!$G$912),"")</f>
      </c>
      <c r="H912" s="176">
        <f>IFERROR(IF([2]对账明细接口!$H$912=0,"",[2]对账明细接口!$H$912),"")</f>
      </c>
      <c r="I912" s="16">
        <f>IFERROR(IF([2]对账明细接口!$I$912=0,"",[2]对账明细接口!$I$912),"")</f>
      </c>
      <c r="J912" s="177">
        <f>IFERROR(IF([2]对账明细接口!$J$912=0,"",[2]对账明细接口!$J$912),"")</f>
      </c>
      <c r="K912" s="177">
        <f>IFERROR(IF([2]对账明细接口!$K$912=0,"",[2]对账明细接口!$K$912),"")</f>
      </c>
      <c r="L912" s="16">
        <f>IFERROR(IF([2]对账明细接口!$L$912=0,"",[2]对账明细接口!$L$912),"")</f>
      </c>
      <c r="M912" s="16">
        <f>IFERROR(IF([2]对账明细接口!$M$912=0,"",[2]对账明细接口!$M$912),"")</f>
      </c>
      <c r="N912" s="19">
        <f>IF($C912="",0,1)</f>
        <v>0</v>
      </c>
      <c r="O912" s="19">
        <f>N(O911)+$N912</f>
        <v>272</v>
      </c>
      <c r="S912" s="20">
        <f>IFERROR(IF([2]对账明细接口!$N912=0,"",[2]对账明细接口!$N912),"")</f>
      </c>
      <c r="T912" s="212">
        <f>IFERROR(IF([2]对账明细接口!$O912=0,"",[2]对账明细接口!$O912),"")</f>
      </c>
      <c r="U912" s="212">
        <f>IFERROR(IF([2]对账明细接口!$P912=0,"",[2]对账明细接口!$P912),"")</f>
      </c>
      <c r="V912" s="212">
        <f>IFERROR(IF([2]对账明细接口!$Q912=0,"",[2]对账明细接口!$Q912),"")</f>
      </c>
      <c r="W912" s="20">
        <f>IFERROR(IF([2]对账明细接口!$R912=0,"",[2]对账明细接口!$R912),"")</f>
      </c>
      <c r="X912" s="20">
        <f>IFERROR(IF([2]对账明细接口!$S912=0,"",[2]对账明细接口!$S912),"")</f>
      </c>
      <c r="Y912" s="20">
        <f>""</f>
      </c>
      <c r="Z912" s="20">
        <f>""</f>
      </c>
      <c r="AA912" s="20">
        <f>""</f>
      </c>
      <c r="AB912" s="20">
        <f>""</f>
      </c>
    </row>
    <row r="913" s="127">
      <c r="A913" s="14" t="n">
        <v>913</v>
      </c>
      <c r="B913" s="211">
        <f>IFERROR(IF([2]对账明细接口!$B$913=0,"",[2]对账明细接口!$B$913),"")</f>
      </c>
      <c r="C913" s="16">
        <f>IFERROR(IF([2]对账明细接口!$C$913=0,"",[2]对账明细接口!$C$913),"")</f>
      </c>
      <c r="D913" s="16">
        <f>IFERROR(IF([2]对账明细接口!$D$913=0,"",[2]对账明细接口!$D$913),"")</f>
      </c>
      <c r="E913" s="16">
        <f>IFERROR(IF([2]对账明细接口!$E$913=0,"",[2]对账明细接口!$E$913),"")</f>
      </c>
      <c r="F913" s="16">
        <f>IFERROR(IF([2]对账明细接口!$F$913=0,"",[2]对账明细接口!$F$913),"")</f>
      </c>
      <c r="G913" s="16">
        <f>IFERROR(IF([2]对账明细接口!$G$913=0,"",[2]对账明细接口!$G$913),"")</f>
      </c>
      <c r="H913" s="176">
        <f>IFERROR(IF([2]对账明细接口!$H$913=0,"",[2]对账明细接口!$H$913),"")</f>
      </c>
      <c r="I913" s="16">
        <f>IFERROR(IF([2]对账明细接口!$I$913=0,"",[2]对账明细接口!$I$913),"")</f>
      </c>
      <c r="J913" s="177">
        <f>IFERROR(IF([2]对账明细接口!$J$913=0,"",[2]对账明细接口!$J$913),"")</f>
      </c>
      <c r="K913" s="177">
        <f>IFERROR(IF([2]对账明细接口!$K$913=0,"",[2]对账明细接口!$K$913),"")</f>
      </c>
      <c r="L913" s="16">
        <f>IFERROR(IF([2]对账明细接口!$L$913=0,"",[2]对账明细接口!$L$913),"")</f>
      </c>
      <c r="M913" s="16">
        <f>IFERROR(IF([2]对账明细接口!$M$913=0,"",[2]对账明细接口!$M$913),"")</f>
      </c>
      <c r="N913" s="19">
        <f>IF($C913="",0,1)</f>
        <v>0</v>
      </c>
      <c r="O913" s="19">
        <f>N(O912)+$N913</f>
        <v>272</v>
      </c>
      <c r="S913" s="20">
        <f>IFERROR(IF([2]对账明细接口!$N913=0,"",[2]对账明细接口!$N913),"")</f>
      </c>
      <c r="T913" s="212">
        <f>IFERROR(IF([2]对账明细接口!$O913=0,"",[2]对账明细接口!$O913),"")</f>
      </c>
      <c r="U913" s="212">
        <f>IFERROR(IF([2]对账明细接口!$P913=0,"",[2]对账明细接口!$P913),"")</f>
      </c>
      <c r="V913" s="212">
        <f>IFERROR(IF([2]对账明细接口!$Q913=0,"",[2]对账明细接口!$Q913),"")</f>
      </c>
      <c r="W913" s="20">
        <f>IFERROR(IF([2]对账明细接口!$R913=0,"",[2]对账明细接口!$R913),"")</f>
      </c>
      <c r="X913" s="20">
        <f>IFERROR(IF([2]对账明细接口!$S913=0,"",[2]对账明细接口!$S913),"")</f>
      </c>
      <c r="Y913" s="20">
        <f>""</f>
      </c>
      <c r="Z913" s="20">
        <f>""</f>
      </c>
      <c r="AA913" s="20">
        <f>""</f>
      </c>
      <c r="AB913" s="20">
        <f>""</f>
      </c>
    </row>
    <row r="914" s="127">
      <c r="A914" s="14" t="n">
        <v>914</v>
      </c>
      <c r="B914" s="211">
        <f>IFERROR(IF([2]对账明细接口!$B$914=0,"",[2]对账明细接口!$B$914),"")</f>
      </c>
      <c r="C914" s="16">
        <f>IFERROR(IF([2]对账明细接口!$C$914=0,"",[2]对账明细接口!$C$914),"")</f>
      </c>
      <c r="D914" s="16">
        <f>IFERROR(IF([2]对账明细接口!$D$914=0,"",[2]对账明细接口!$D$914),"")</f>
      </c>
      <c r="E914" s="16">
        <f>IFERROR(IF([2]对账明细接口!$E$914=0,"",[2]对账明细接口!$E$914),"")</f>
      </c>
      <c r="F914" s="16">
        <f>IFERROR(IF([2]对账明细接口!$F$914=0,"",[2]对账明细接口!$F$914),"")</f>
      </c>
      <c r="G914" s="16">
        <f>IFERROR(IF([2]对账明细接口!$G$914=0,"",[2]对账明细接口!$G$914),"")</f>
      </c>
      <c r="H914" s="176">
        <f>IFERROR(IF([2]对账明细接口!$H$914=0,"",[2]对账明细接口!$H$914),"")</f>
      </c>
      <c r="I914" s="16">
        <f>IFERROR(IF([2]对账明细接口!$I$914=0,"",[2]对账明细接口!$I$914),"")</f>
      </c>
      <c r="J914" s="177">
        <f>IFERROR(IF([2]对账明细接口!$J$914=0,"",[2]对账明细接口!$J$914),"")</f>
      </c>
      <c r="K914" s="177">
        <f>IFERROR(IF([2]对账明细接口!$K$914=0,"",[2]对账明细接口!$K$914),"")</f>
      </c>
      <c r="L914" s="16">
        <f>IFERROR(IF([2]对账明细接口!$L$914=0,"",[2]对账明细接口!$L$914),"")</f>
      </c>
      <c r="M914" s="16">
        <f>IFERROR(IF([2]对账明细接口!$M$914=0,"",[2]对账明细接口!$M$914),"")</f>
      </c>
      <c r="N914" s="19">
        <f>IF($C914="",0,1)</f>
        <v>0</v>
      </c>
      <c r="O914" s="19">
        <f>N(O913)+$N914</f>
        <v>272</v>
      </c>
      <c r="S914" s="20">
        <f>IFERROR(IF([2]对账明细接口!$N914=0,"",[2]对账明细接口!$N914),"")</f>
      </c>
      <c r="T914" s="212">
        <f>IFERROR(IF([2]对账明细接口!$O914=0,"",[2]对账明细接口!$O914),"")</f>
      </c>
      <c r="U914" s="212">
        <f>IFERROR(IF([2]对账明细接口!$P914=0,"",[2]对账明细接口!$P914),"")</f>
      </c>
      <c r="V914" s="212">
        <f>IFERROR(IF([2]对账明细接口!$Q914=0,"",[2]对账明细接口!$Q914),"")</f>
      </c>
      <c r="W914" s="20">
        <f>IFERROR(IF([2]对账明细接口!$R914=0,"",[2]对账明细接口!$R914),"")</f>
      </c>
      <c r="X914" s="20">
        <f>IFERROR(IF([2]对账明细接口!$S914=0,"",[2]对账明细接口!$S914),"")</f>
      </c>
      <c r="Y914" s="20">
        <f>""</f>
      </c>
      <c r="Z914" s="20">
        <f>""</f>
      </c>
      <c r="AA914" s="20">
        <f>""</f>
      </c>
      <c r="AB914" s="20">
        <f>""</f>
      </c>
    </row>
    <row r="915" s="127">
      <c r="A915" s="14" t="n">
        <v>915</v>
      </c>
      <c r="B915" s="211">
        <f>IFERROR(IF([2]对账明细接口!$B$915=0,"",[2]对账明细接口!$B$915),"")</f>
      </c>
      <c r="C915" s="16">
        <f>IFERROR(IF([2]对账明细接口!$C$915=0,"",[2]对账明细接口!$C$915),"")</f>
      </c>
      <c r="D915" s="16">
        <f>IFERROR(IF([2]对账明细接口!$D$915=0,"",[2]对账明细接口!$D$915),"")</f>
      </c>
      <c r="E915" s="16">
        <f>IFERROR(IF([2]对账明细接口!$E$915=0,"",[2]对账明细接口!$E$915),"")</f>
      </c>
      <c r="F915" s="16">
        <f>IFERROR(IF([2]对账明细接口!$F$915=0,"",[2]对账明细接口!$F$915),"")</f>
      </c>
      <c r="G915" s="16">
        <f>IFERROR(IF([2]对账明细接口!$G$915=0,"",[2]对账明细接口!$G$915),"")</f>
      </c>
      <c r="H915" s="176">
        <f>IFERROR(IF([2]对账明细接口!$H$915=0,"",[2]对账明细接口!$H$915),"")</f>
      </c>
      <c r="I915" s="16">
        <f>IFERROR(IF([2]对账明细接口!$I$915=0,"",[2]对账明细接口!$I$915),"")</f>
      </c>
      <c r="J915" s="177">
        <f>IFERROR(IF([2]对账明细接口!$J$915=0,"",[2]对账明细接口!$J$915),"")</f>
      </c>
      <c r="K915" s="177">
        <f>IFERROR(IF([2]对账明细接口!$K$915=0,"",[2]对账明细接口!$K$915),"")</f>
      </c>
      <c r="L915" s="16">
        <f>IFERROR(IF([2]对账明细接口!$L$915=0,"",[2]对账明细接口!$L$915),"")</f>
      </c>
      <c r="M915" s="16">
        <f>IFERROR(IF([2]对账明细接口!$M$915=0,"",[2]对账明细接口!$M$915),"")</f>
      </c>
      <c r="N915" s="19">
        <f>IF($C915="",0,1)</f>
        <v>0</v>
      </c>
      <c r="O915" s="19">
        <f>N(O914)+$N915</f>
        <v>272</v>
      </c>
      <c r="S915" s="20">
        <f>IFERROR(IF([2]对账明细接口!$N915=0,"",[2]对账明细接口!$N915),"")</f>
      </c>
      <c r="T915" s="212">
        <f>IFERROR(IF([2]对账明细接口!$O915=0,"",[2]对账明细接口!$O915),"")</f>
      </c>
      <c r="U915" s="212">
        <f>IFERROR(IF([2]对账明细接口!$P915=0,"",[2]对账明细接口!$P915),"")</f>
      </c>
      <c r="V915" s="212">
        <f>IFERROR(IF([2]对账明细接口!$Q915=0,"",[2]对账明细接口!$Q915),"")</f>
      </c>
      <c r="W915" s="20">
        <f>IFERROR(IF([2]对账明细接口!$R915=0,"",[2]对账明细接口!$R915),"")</f>
      </c>
      <c r="X915" s="20">
        <f>IFERROR(IF([2]对账明细接口!$S915=0,"",[2]对账明细接口!$S915),"")</f>
      </c>
      <c r="Y915" s="20">
        <f>""</f>
      </c>
      <c r="Z915" s="20">
        <f>""</f>
      </c>
      <c r="AA915" s="20">
        <f>""</f>
      </c>
      <c r="AB915" s="20">
        <f>""</f>
      </c>
    </row>
    <row r="916" s="127">
      <c r="A916" s="14" t="n">
        <v>916</v>
      </c>
      <c r="B916" s="211">
        <f>IFERROR(IF([2]对账明细接口!$B$916=0,"",[2]对账明细接口!$B$916),"")</f>
      </c>
      <c r="C916" s="16">
        <f>IFERROR(IF([2]对账明细接口!$C$916=0,"",[2]对账明细接口!$C$916),"")</f>
      </c>
      <c r="D916" s="16">
        <f>IFERROR(IF([2]对账明细接口!$D$916=0,"",[2]对账明细接口!$D$916),"")</f>
      </c>
      <c r="E916" s="16">
        <f>IFERROR(IF([2]对账明细接口!$E$916=0,"",[2]对账明细接口!$E$916),"")</f>
      </c>
      <c r="F916" s="16">
        <f>IFERROR(IF([2]对账明细接口!$F$916=0,"",[2]对账明细接口!$F$916),"")</f>
      </c>
      <c r="G916" s="16">
        <f>IFERROR(IF([2]对账明细接口!$G$916=0,"",[2]对账明细接口!$G$916),"")</f>
      </c>
      <c r="H916" s="176">
        <f>IFERROR(IF([2]对账明细接口!$H$916=0,"",[2]对账明细接口!$H$916),"")</f>
      </c>
      <c r="I916" s="16">
        <f>IFERROR(IF([2]对账明细接口!$I$916=0,"",[2]对账明细接口!$I$916),"")</f>
      </c>
      <c r="J916" s="177">
        <f>IFERROR(IF([2]对账明细接口!$J$916=0,"",[2]对账明细接口!$J$916),"")</f>
      </c>
      <c r="K916" s="177">
        <f>IFERROR(IF([2]对账明细接口!$K$916=0,"",[2]对账明细接口!$K$916),"")</f>
      </c>
      <c r="L916" s="16">
        <f>IFERROR(IF([2]对账明细接口!$L$916=0,"",[2]对账明细接口!$L$916),"")</f>
      </c>
      <c r="M916" s="16">
        <f>IFERROR(IF([2]对账明细接口!$M$916=0,"",[2]对账明细接口!$M$916),"")</f>
      </c>
      <c r="N916" s="19">
        <f>IF($C916="",0,1)</f>
        <v>0</v>
      </c>
      <c r="O916" s="19">
        <f>N(O915)+$N916</f>
        <v>272</v>
      </c>
      <c r="S916" s="20">
        <f>IFERROR(IF([2]对账明细接口!$N916=0,"",[2]对账明细接口!$N916),"")</f>
      </c>
      <c r="T916" s="212">
        <f>IFERROR(IF([2]对账明细接口!$O916=0,"",[2]对账明细接口!$O916),"")</f>
      </c>
      <c r="U916" s="212">
        <f>IFERROR(IF([2]对账明细接口!$P916=0,"",[2]对账明细接口!$P916),"")</f>
      </c>
      <c r="V916" s="212">
        <f>IFERROR(IF([2]对账明细接口!$Q916=0,"",[2]对账明细接口!$Q916),"")</f>
      </c>
      <c r="W916" s="20">
        <f>IFERROR(IF([2]对账明细接口!$R916=0,"",[2]对账明细接口!$R916),"")</f>
      </c>
      <c r="X916" s="20">
        <f>IFERROR(IF([2]对账明细接口!$S916=0,"",[2]对账明细接口!$S916),"")</f>
      </c>
      <c r="Y916" s="20">
        <f>""</f>
      </c>
      <c r="Z916" s="20">
        <f>""</f>
      </c>
      <c r="AA916" s="20">
        <f>""</f>
      </c>
      <c r="AB916" s="20">
        <f>""</f>
      </c>
    </row>
    <row r="917" s="127">
      <c r="A917" s="14" t="n">
        <v>917</v>
      </c>
      <c r="B917" s="211">
        <f>IFERROR(IF([2]对账明细接口!$B$917=0,"",[2]对账明细接口!$B$917),"")</f>
      </c>
      <c r="C917" s="16">
        <f>IFERROR(IF([2]对账明细接口!$C$917=0,"",[2]对账明细接口!$C$917),"")</f>
      </c>
      <c r="D917" s="16">
        <f>IFERROR(IF([2]对账明细接口!$D$917=0,"",[2]对账明细接口!$D$917),"")</f>
      </c>
      <c r="E917" s="16">
        <f>IFERROR(IF([2]对账明细接口!$E$917=0,"",[2]对账明细接口!$E$917),"")</f>
      </c>
      <c r="F917" s="16">
        <f>IFERROR(IF([2]对账明细接口!$F$917=0,"",[2]对账明细接口!$F$917),"")</f>
      </c>
      <c r="G917" s="16">
        <f>IFERROR(IF([2]对账明细接口!$G$917=0,"",[2]对账明细接口!$G$917),"")</f>
      </c>
      <c r="H917" s="176">
        <f>IFERROR(IF([2]对账明细接口!$H$917=0,"",[2]对账明细接口!$H$917),"")</f>
      </c>
      <c r="I917" s="16">
        <f>IFERROR(IF([2]对账明细接口!$I$917=0,"",[2]对账明细接口!$I$917),"")</f>
      </c>
      <c r="J917" s="177">
        <f>IFERROR(IF([2]对账明细接口!$J$917=0,"",[2]对账明细接口!$J$917),"")</f>
      </c>
      <c r="K917" s="177">
        <f>IFERROR(IF([2]对账明细接口!$K$917=0,"",[2]对账明细接口!$K$917),"")</f>
      </c>
      <c r="L917" s="16">
        <f>IFERROR(IF([2]对账明细接口!$L$917=0,"",[2]对账明细接口!$L$917),"")</f>
      </c>
      <c r="M917" s="16">
        <f>IFERROR(IF([2]对账明细接口!$M$917=0,"",[2]对账明细接口!$M$917),"")</f>
      </c>
      <c r="N917" s="19">
        <f>IF($C917="",0,1)</f>
        <v>0</v>
      </c>
      <c r="O917" s="19">
        <f>N(O916)+$N917</f>
        <v>272</v>
      </c>
      <c r="S917" s="20">
        <f>IFERROR(IF([2]对账明细接口!$N917=0,"",[2]对账明细接口!$N917),"")</f>
      </c>
      <c r="T917" s="212">
        <f>IFERROR(IF([2]对账明细接口!$O917=0,"",[2]对账明细接口!$O917),"")</f>
      </c>
      <c r="U917" s="212">
        <f>IFERROR(IF([2]对账明细接口!$P917=0,"",[2]对账明细接口!$P917),"")</f>
      </c>
      <c r="V917" s="212">
        <f>IFERROR(IF([2]对账明细接口!$Q917=0,"",[2]对账明细接口!$Q917),"")</f>
      </c>
      <c r="W917" s="20">
        <f>IFERROR(IF([2]对账明细接口!$R917=0,"",[2]对账明细接口!$R917),"")</f>
      </c>
      <c r="X917" s="20">
        <f>IFERROR(IF([2]对账明细接口!$S917=0,"",[2]对账明细接口!$S917),"")</f>
      </c>
      <c r="Y917" s="20">
        <f>""</f>
      </c>
      <c r="Z917" s="20">
        <f>""</f>
      </c>
      <c r="AA917" s="20">
        <f>""</f>
      </c>
      <c r="AB917" s="20">
        <f>""</f>
      </c>
    </row>
    <row r="918" s="127">
      <c r="A918" s="14" t="n">
        <v>918</v>
      </c>
      <c r="B918" s="211">
        <f>IFERROR(IF([2]对账明细接口!$B$918=0,"",[2]对账明细接口!$B$918),"")</f>
      </c>
      <c r="C918" s="16">
        <f>IFERROR(IF([2]对账明细接口!$C$918=0,"",[2]对账明细接口!$C$918),"")</f>
      </c>
      <c r="D918" s="16">
        <f>IFERROR(IF([2]对账明细接口!$D$918=0,"",[2]对账明细接口!$D$918),"")</f>
      </c>
      <c r="E918" s="16">
        <f>IFERROR(IF([2]对账明细接口!$E$918=0,"",[2]对账明细接口!$E$918),"")</f>
      </c>
      <c r="F918" s="16">
        <f>IFERROR(IF([2]对账明细接口!$F$918=0,"",[2]对账明细接口!$F$918),"")</f>
      </c>
      <c r="G918" s="16">
        <f>IFERROR(IF([2]对账明细接口!$G$918=0,"",[2]对账明细接口!$G$918),"")</f>
      </c>
      <c r="H918" s="176">
        <f>IFERROR(IF([2]对账明细接口!$H$918=0,"",[2]对账明细接口!$H$918),"")</f>
      </c>
      <c r="I918" s="16">
        <f>IFERROR(IF([2]对账明细接口!$I$918=0,"",[2]对账明细接口!$I$918),"")</f>
      </c>
      <c r="J918" s="177">
        <f>IFERROR(IF([2]对账明细接口!$J$918=0,"",[2]对账明细接口!$J$918),"")</f>
      </c>
      <c r="K918" s="177">
        <f>IFERROR(IF([2]对账明细接口!$K$918=0,"",[2]对账明细接口!$K$918),"")</f>
      </c>
      <c r="L918" s="16">
        <f>IFERROR(IF([2]对账明细接口!$L$918=0,"",[2]对账明细接口!$L$918),"")</f>
      </c>
      <c r="M918" s="16">
        <f>IFERROR(IF([2]对账明细接口!$M$918=0,"",[2]对账明细接口!$M$918),"")</f>
      </c>
      <c r="N918" s="19">
        <f>IF($C918="",0,1)</f>
        <v>0</v>
      </c>
      <c r="O918" s="19">
        <f>N(O917)+$N918</f>
        <v>272</v>
      </c>
      <c r="S918" s="20">
        <f>IFERROR(IF([2]对账明细接口!$N918=0,"",[2]对账明细接口!$N918),"")</f>
      </c>
      <c r="T918" s="212">
        <f>IFERROR(IF([2]对账明细接口!$O918=0,"",[2]对账明细接口!$O918),"")</f>
      </c>
      <c r="U918" s="212">
        <f>IFERROR(IF([2]对账明细接口!$P918=0,"",[2]对账明细接口!$P918),"")</f>
      </c>
      <c r="V918" s="212">
        <f>IFERROR(IF([2]对账明细接口!$Q918=0,"",[2]对账明细接口!$Q918),"")</f>
      </c>
      <c r="W918" s="20">
        <f>IFERROR(IF([2]对账明细接口!$R918=0,"",[2]对账明细接口!$R918),"")</f>
      </c>
      <c r="X918" s="20">
        <f>IFERROR(IF([2]对账明细接口!$S918=0,"",[2]对账明细接口!$S918),"")</f>
      </c>
      <c r="Y918" s="20">
        <f>""</f>
      </c>
      <c r="Z918" s="20">
        <f>""</f>
      </c>
      <c r="AA918" s="20">
        <f>""</f>
      </c>
      <c r="AB918" s="20">
        <f>""</f>
      </c>
    </row>
    <row r="919" s="127">
      <c r="A919" s="14" t="n">
        <v>919</v>
      </c>
      <c r="B919" s="211">
        <f>IFERROR(IF([2]对账明细接口!$B$919=0,"",[2]对账明细接口!$B$919),"")</f>
      </c>
      <c r="C919" s="16">
        <f>IFERROR(IF([2]对账明细接口!$C$919=0,"",[2]对账明细接口!$C$919),"")</f>
      </c>
      <c r="D919" s="16">
        <f>IFERROR(IF([2]对账明细接口!$D$919=0,"",[2]对账明细接口!$D$919),"")</f>
      </c>
      <c r="E919" s="16">
        <f>IFERROR(IF([2]对账明细接口!$E$919=0,"",[2]对账明细接口!$E$919),"")</f>
      </c>
      <c r="F919" s="16">
        <f>IFERROR(IF([2]对账明细接口!$F$919=0,"",[2]对账明细接口!$F$919),"")</f>
      </c>
      <c r="G919" s="16">
        <f>IFERROR(IF([2]对账明细接口!$G$919=0,"",[2]对账明细接口!$G$919),"")</f>
      </c>
      <c r="H919" s="176">
        <f>IFERROR(IF([2]对账明细接口!$H$919=0,"",[2]对账明细接口!$H$919),"")</f>
      </c>
      <c r="I919" s="16">
        <f>IFERROR(IF([2]对账明细接口!$I$919=0,"",[2]对账明细接口!$I$919),"")</f>
      </c>
      <c r="J919" s="177">
        <f>IFERROR(IF([2]对账明细接口!$J$919=0,"",[2]对账明细接口!$J$919),"")</f>
      </c>
      <c r="K919" s="177">
        <f>IFERROR(IF([2]对账明细接口!$K$919=0,"",[2]对账明细接口!$K$919),"")</f>
      </c>
      <c r="L919" s="16">
        <f>IFERROR(IF([2]对账明细接口!$L$919=0,"",[2]对账明细接口!$L$919),"")</f>
      </c>
      <c r="M919" s="16">
        <f>IFERROR(IF([2]对账明细接口!$M$919=0,"",[2]对账明细接口!$M$919),"")</f>
      </c>
      <c r="N919" s="19">
        <f>IF($C919="",0,1)</f>
        <v>0</v>
      </c>
      <c r="O919" s="19">
        <f>N(O918)+$N919</f>
        <v>272</v>
      </c>
      <c r="S919" s="20">
        <f>IFERROR(IF([2]对账明细接口!$N919=0,"",[2]对账明细接口!$N919),"")</f>
      </c>
      <c r="T919" s="212">
        <f>IFERROR(IF([2]对账明细接口!$O919=0,"",[2]对账明细接口!$O919),"")</f>
      </c>
      <c r="U919" s="212">
        <f>IFERROR(IF([2]对账明细接口!$P919=0,"",[2]对账明细接口!$P919),"")</f>
      </c>
      <c r="V919" s="212">
        <f>IFERROR(IF([2]对账明细接口!$Q919=0,"",[2]对账明细接口!$Q919),"")</f>
      </c>
      <c r="W919" s="20">
        <f>IFERROR(IF([2]对账明细接口!$R919=0,"",[2]对账明细接口!$R919),"")</f>
      </c>
      <c r="X919" s="20">
        <f>IFERROR(IF([2]对账明细接口!$S919=0,"",[2]对账明细接口!$S919),"")</f>
      </c>
      <c r="Y919" s="20">
        <f>""</f>
      </c>
      <c r="Z919" s="20">
        <f>""</f>
      </c>
      <c r="AA919" s="20">
        <f>""</f>
      </c>
      <c r="AB919" s="20">
        <f>""</f>
      </c>
    </row>
    <row r="920" s="127">
      <c r="A920" s="14" t="n">
        <v>920</v>
      </c>
      <c r="B920" s="211">
        <f>IFERROR(IF([2]对账明细接口!$B$920=0,"",[2]对账明细接口!$B$920),"")</f>
      </c>
      <c r="C920" s="16">
        <f>IFERROR(IF([2]对账明细接口!$C$920=0,"",[2]对账明细接口!$C$920),"")</f>
      </c>
      <c r="D920" s="16">
        <f>IFERROR(IF([2]对账明细接口!$D$920=0,"",[2]对账明细接口!$D$920),"")</f>
      </c>
      <c r="E920" s="16">
        <f>IFERROR(IF([2]对账明细接口!$E$920=0,"",[2]对账明细接口!$E$920),"")</f>
      </c>
      <c r="F920" s="16">
        <f>IFERROR(IF([2]对账明细接口!$F$920=0,"",[2]对账明细接口!$F$920),"")</f>
      </c>
      <c r="G920" s="16">
        <f>IFERROR(IF([2]对账明细接口!$G$920=0,"",[2]对账明细接口!$G$920),"")</f>
      </c>
      <c r="H920" s="176">
        <f>IFERROR(IF([2]对账明细接口!$H$920=0,"",[2]对账明细接口!$H$920),"")</f>
      </c>
      <c r="I920" s="16">
        <f>IFERROR(IF([2]对账明细接口!$I$920=0,"",[2]对账明细接口!$I$920),"")</f>
      </c>
      <c r="J920" s="177">
        <f>IFERROR(IF([2]对账明细接口!$J$920=0,"",[2]对账明细接口!$J$920),"")</f>
      </c>
      <c r="K920" s="177">
        <f>IFERROR(IF([2]对账明细接口!$K$920=0,"",[2]对账明细接口!$K$920),"")</f>
      </c>
      <c r="L920" s="16">
        <f>IFERROR(IF([2]对账明细接口!$L$920=0,"",[2]对账明细接口!$L$920),"")</f>
      </c>
      <c r="M920" s="16">
        <f>IFERROR(IF([2]对账明细接口!$M$920=0,"",[2]对账明细接口!$M$920),"")</f>
      </c>
      <c r="N920" s="19">
        <f>IF($C920="",0,1)</f>
        <v>0</v>
      </c>
      <c r="O920" s="19">
        <f>N(O919)+$N920</f>
        <v>272</v>
      </c>
      <c r="S920" s="20">
        <f>IFERROR(IF([2]对账明细接口!$N920=0,"",[2]对账明细接口!$N920),"")</f>
      </c>
      <c r="T920" s="212">
        <f>IFERROR(IF([2]对账明细接口!$O920=0,"",[2]对账明细接口!$O920),"")</f>
      </c>
      <c r="U920" s="212">
        <f>IFERROR(IF([2]对账明细接口!$P920=0,"",[2]对账明细接口!$P920),"")</f>
      </c>
      <c r="V920" s="212">
        <f>IFERROR(IF([2]对账明细接口!$Q920=0,"",[2]对账明细接口!$Q920),"")</f>
      </c>
      <c r="W920" s="20">
        <f>IFERROR(IF([2]对账明细接口!$R920=0,"",[2]对账明细接口!$R920),"")</f>
      </c>
      <c r="X920" s="20">
        <f>IFERROR(IF([2]对账明细接口!$S920=0,"",[2]对账明细接口!$S920),"")</f>
      </c>
      <c r="Y920" s="20">
        <f>""</f>
      </c>
      <c r="Z920" s="20">
        <f>""</f>
      </c>
      <c r="AA920" s="20">
        <f>""</f>
      </c>
      <c r="AB920" s="20">
        <f>""</f>
      </c>
    </row>
    <row r="921" s="127">
      <c r="A921" s="14" t="n">
        <v>921</v>
      </c>
      <c r="B921" s="211">
        <f>IFERROR(IF([2]对账明细接口!$B$921=0,"",[2]对账明细接口!$B$921),"")</f>
      </c>
      <c r="C921" s="16">
        <f>IFERROR(IF([2]对账明细接口!$C$921=0,"",[2]对账明细接口!$C$921),"")</f>
      </c>
      <c r="D921" s="16">
        <f>IFERROR(IF([2]对账明细接口!$D$921=0,"",[2]对账明细接口!$D$921),"")</f>
      </c>
      <c r="E921" s="16">
        <f>IFERROR(IF([2]对账明细接口!$E$921=0,"",[2]对账明细接口!$E$921),"")</f>
      </c>
      <c r="F921" s="16">
        <f>IFERROR(IF([2]对账明细接口!$F$921=0,"",[2]对账明细接口!$F$921),"")</f>
      </c>
      <c r="G921" s="16">
        <f>IFERROR(IF([2]对账明细接口!$G$921=0,"",[2]对账明细接口!$G$921),"")</f>
      </c>
      <c r="H921" s="176">
        <f>IFERROR(IF([2]对账明细接口!$H$921=0,"",[2]对账明细接口!$H$921),"")</f>
      </c>
      <c r="I921" s="16">
        <f>IFERROR(IF([2]对账明细接口!$I$921=0,"",[2]对账明细接口!$I$921),"")</f>
      </c>
      <c r="J921" s="177">
        <f>IFERROR(IF([2]对账明细接口!$J$921=0,"",[2]对账明细接口!$J$921),"")</f>
      </c>
      <c r="K921" s="177">
        <f>IFERROR(IF([2]对账明细接口!$K$921=0,"",[2]对账明细接口!$K$921),"")</f>
      </c>
      <c r="L921" s="16">
        <f>IFERROR(IF([2]对账明细接口!$L$921=0,"",[2]对账明细接口!$L$921),"")</f>
      </c>
      <c r="M921" s="16">
        <f>IFERROR(IF([2]对账明细接口!$M$921=0,"",[2]对账明细接口!$M$921),"")</f>
      </c>
      <c r="N921" s="19">
        <f>IF($C921="",0,1)</f>
        <v>0</v>
      </c>
      <c r="O921" s="19">
        <f>N(O920)+$N921</f>
        <v>272</v>
      </c>
      <c r="S921" s="20">
        <f>IFERROR(IF([2]对账明细接口!$N921=0,"",[2]对账明细接口!$N921),"")</f>
      </c>
      <c r="T921" s="212">
        <f>IFERROR(IF([2]对账明细接口!$O921=0,"",[2]对账明细接口!$O921),"")</f>
      </c>
      <c r="U921" s="212">
        <f>IFERROR(IF([2]对账明细接口!$P921=0,"",[2]对账明细接口!$P921),"")</f>
      </c>
      <c r="V921" s="212">
        <f>IFERROR(IF([2]对账明细接口!$Q921=0,"",[2]对账明细接口!$Q921),"")</f>
      </c>
      <c r="W921" s="20">
        <f>IFERROR(IF([2]对账明细接口!$R921=0,"",[2]对账明细接口!$R921),"")</f>
      </c>
      <c r="X921" s="20">
        <f>IFERROR(IF([2]对账明细接口!$S921=0,"",[2]对账明细接口!$S921),"")</f>
      </c>
      <c r="Y921" s="20">
        <f>""</f>
      </c>
      <c r="Z921" s="20">
        <f>""</f>
      </c>
      <c r="AA921" s="20">
        <f>""</f>
      </c>
      <c r="AB921" s="20">
        <f>""</f>
      </c>
    </row>
    <row r="922" s="127">
      <c r="A922" s="14" t="n">
        <v>922</v>
      </c>
      <c r="B922" s="211">
        <f>IFERROR(IF([2]对账明细接口!$B$922=0,"",[2]对账明细接口!$B$922),"")</f>
      </c>
      <c r="C922" s="16">
        <f>IFERROR(IF([2]对账明细接口!$C$922=0,"",[2]对账明细接口!$C$922),"")</f>
      </c>
      <c r="D922" s="16">
        <f>IFERROR(IF([2]对账明细接口!$D$922=0,"",[2]对账明细接口!$D$922),"")</f>
      </c>
      <c r="E922" s="16">
        <f>IFERROR(IF([2]对账明细接口!$E$922=0,"",[2]对账明细接口!$E$922),"")</f>
      </c>
      <c r="F922" s="16">
        <f>IFERROR(IF([2]对账明细接口!$F$922=0,"",[2]对账明细接口!$F$922),"")</f>
      </c>
      <c r="G922" s="16">
        <f>IFERROR(IF([2]对账明细接口!$G$922=0,"",[2]对账明细接口!$G$922),"")</f>
      </c>
      <c r="H922" s="176">
        <f>IFERROR(IF([2]对账明细接口!$H$922=0,"",[2]对账明细接口!$H$922),"")</f>
      </c>
      <c r="I922" s="16">
        <f>IFERROR(IF([2]对账明细接口!$I$922=0,"",[2]对账明细接口!$I$922),"")</f>
      </c>
      <c r="J922" s="177">
        <f>IFERROR(IF([2]对账明细接口!$J$922=0,"",[2]对账明细接口!$J$922),"")</f>
      </c>
      <c r="K922" s="177">
        <f>IFERROR(IF([2]对账明细接口!$K$922=0,"",[2]对账明细接口!$K$922),"")</f>
      </c>
      <c r="L922" s="16">
        <f>IFERROR(IF([2]对账明细接口!$L$922=0,"",[2]对账明细接口!$L$922),"")</f>
      </c>
      <c r="M922" s="16">
        <f>IFERROR(IF([2]对账明细接口!$M$922=0,"",[2]对账明细接口!$M$922),"")</f>
      </c>
      <c r="N922" s="19">
        <f>IF($C922="",0,1)</f>
        <v>0</v>
      </c>
      <c r="O922" s="19">
        <f>N(O921)+$N922</f>
        <v>272</v>
      </c>
      <c r="S922" s="20">
        <f>IFERROR(IF([2]对账明细接口!$N922=0,"",[2]对账明细接口!$N922),"")</f>
      </c>
      <c r="T922" s="212">
        <f>IFERROR(IF([2]对账明细接口!$O922=0,"",[2]对账明细接口!$O922),"")</f>
      </c>
      <c r="U922" s="212">
        <f>IFERROR(IF([2]对账明细接口!$P922=0,"",[2]对账明细接口!$P922),"")</f>
      </c>
      <c r="V922" s="212">
        <f>IFERROR(IF([2]对账明细接口!$Q922=0,"",[2]对账明细接口!$Q922),"")</f>
      </c>
      <c r="W922" s="20">
        <f>IFERROR(IF([2]对账明细接口!$R922=0,"",[2]对账明细接口!$R922),"")</f>
      </c>
      <c r="X922" s="20">
        <f>IFERROR(IF([2]对账明细接口!$S922=0,"",[2]对账明细接口!$S922),"")</f>
      </c>
      <c r="Y922" s="20">
        <f>""</f>
      </c>
      <c r="Z922" s="20">
        <f>""</f>
      </c>
      <c r="AA922" s="20">
        <f>""</f>
      </c>
      <c r="AB922" s="20">
        <f>""</f>
      </c>
    </row>
    <row r="923" s="127">
      <c r="A923" s="14" t="n">
        <v>923</v>
      </c>
      <c r="B923" s="211">
        <f>IFERROR(IF([2]对账明细接口!$B$923=0,"",[2]对账明细接口!$B$923),"")</f>
      </c>
      <c r="C923" s="16">
        <f>IFERROR(IF([2]对账明细接口!$C$923=0,"",[2]对账明细接口!$C$923),"")</f>
      </c>
      <c r="D923" s="16">
        <f>IFERROR(IF([2]对账明细接口!$D$923=0,"",[2]对账明细接口!$D$923),"")</f>
      </c>
      <c r="E923" s="16">
        <f>IFERROR(IF([2]对账明细接口!$E$923=0,"",[2]对账明细接口!$E$923),"")</f>
      </c>
      <c r="F923" s="16">
        <f>IFERROR(IF([2]对账明细接口!$F$923=0,"",[2]对账明细接口!$F$923),"")</f>
      </c>
      <c r="G923" s="16">
        <f>IFERROR(IF([2]对账明细接口!$G$923=0,"",[2]对账明细接口!$G$923),"")</f>
      </c>
      <c r="H923" s="176">
        <f>IFERROR(IF([2]对账明细接口!$H$923=0,"",[2]对账明细接口!$H$923),"")</f>
      </c>
      <c r="I923" s="16">
        <f>IFERROR(IF([2]对账明细接口!$I$923=0,"",[2]对账明细接口!$I$923),"")</f>
      </c>
      <c r="J923" s="177">
        <f>IFERROR(IF([2]对账明细接口!$J$923=0,"",[2]对账明细接口!$J$923),"")</f>
      </c>
      <c r="K923" s="177">
        <f>IFERROR(IF([2]对账明细接口!$K$923=0,"",[2]对账明细接口!$K$923),"")</f>
      </c>
      <c r="L923" s="16">
        <f>IFERROR(IF([2]对账明细接口!$L$923=0,"",[2]对账明细接口!$L$923),"")</f>
      </c>
      <c r="M923" s="16">
        <f>IFERROR(IF([2]对账明细接口!$M$923=0,"",[2]对账明细接口!$M$923),"")</f>
      </c>
      <c r="N923" s="19">
        <f>IF($C923="",0,1)</f>
        <v>0</v>
      </c>
      <c r="O923" s="19">
        <f>N(O922)+$N923</f>
        <v>272</v>
      </c>
      <c r="S923" s="20">
        <f>IFERROR(IF([2]对账明细接口!$N923=0,"",[2]对账明细接口!$N923),"")</f>
      </c>
      <c r="T923" s="212">
        <f>IFERROR(IF([2]对账明细接口!$O923=0,"",[2]对账明细接口!$O923),"")</f>
      </c>
      <c r="U923" s="212">
        <f>IFERROR(IF([2]对账明细接口!$P923=0,"",[2]对账明细接口!$P923),"")</f>
      </c>
      <c r="V923" s="212">
        <f>IFERROR(IF([2]对账明细接口!$Q923=0,"",[2]对账明细接口!$Q923),"")</f>
      </c>
      <c r="W923" s="20">
        <f>IFERROR(IF([2]对账明细接口!$R923=0,"",[2]对账明细接口!$R923),"")</f>
      </c>
      <c r="X923" s="20">
        <f>IFERROR(IF([2]对账明细接口!$S923=0,"",[2]对账明细接口!$S923),"")</f>
      </c>
      <c r="Y923" s="20">
        <f>""</f>
      </c>
      <c r="Z923" s="20">
        <f>""</f>
      </c>
      <c r="AA923" s="20">
        <f>""</f>
      </c>
      <c r="AB923" s="20">
        <f>""</f>
      </c>
    </row>
    <row r="924" s="127">
      <c r="A924" s="14" t="n">
        <v>924</v>
      </c>
      <c r="B924" s="211">
        <f>IFERROR(IF([2]对账明细接口!$B$924=0,"",[2]对账明细接口!$B$924),"")</f>
      </c>
      <c r="C924" s="16">
        <f>IFERROR(IF([2]对账明细接口!$C$924=0,"",[2]对账明细接口!$C$924),"")</f>
      </c>
      <c r="D924" s="16">
        <f>IFERROR(IF([2]对账明细接口!$D$924=0,"",[2]对账明细接口!$D$924),"")</f>
      </c>
      <c r="E924" s="16">
        <f>IFERROR(IF([2]对账明细接口!$E$924=0,"",[2]对账明细接口!$E$924),"")</f>
      </c>
      <c r="F924" s="16">
        <f>IFERROR(IF([2]对账明细接口!$F$924=0,"",[2]对账明细接口!$F$924),"")</f>
      </c>
      <c r="G924" s="16">
        <f>IFERROR(IF([2]对账明细接口!$G$924=0,"",[2]对账明细接口!$G$924),"")</f>
      </c>
      <c r="H924" s="176">
        <f>IFERROR(IF([2]对账明细接口!$H$924=0,"",[2]对账明细接口!$H$924),"")</f>
      </c>
      <c r="I924" s="16">
        <f>IFERROR(IF([2]对账明细接口!$I$924=0,"",[2]对账明细接口!$I$924),"")</f>
      </c>
      <c r="J924" s="177">
        <f>IFERROR(IF([2]对账明细接口!$J$924=0,"",[2]对账明细接口!$J$924),"")</f>
      </c>
      <c r="K924" s="177">
        <f>IFERROR(IF([2]对账明细接口!$K$924=0,"",[2]对账明细接口!$K$924),"")</f>
      </c>
      <c r="L924" s="16">
        <f>IFERROR(IF([2]对账明细接口!$L$924=0,"",[2]对账明细接口!$L$924),"")</f>
      </c>
      <c r="M924" s="16">
        <f>IFERROR(IF([2]对账明细接口!$M$924=0,"",[2]对账明细接口!$M$924),"")</f>
      </c>
      <c r="N924" s="19">
        <f>IF($C924="",0,1)</f>
        <v>0</v>
      </c>
      <c r="O924" s="19">
        <f>N(O923)+$N924</f>
        <v>272</v>
      </c>
      <c r="S924" s="20">
        <f>IFERROR(IF([2]对账明细接口!$N924=0,"",[2]对账明细接口!$N924),"")</f>
      </c>
      <c r="T924" s="212">
        <f>IFERROR(IF([2]对账明细接口!$O924=0,"",[2]对账明细接口!$O924),"")</f>
      </c>
      <c r="U924" s="212">
        <f>IFERROR(IF([2]对账明细接口!$P924=0,"",[2]对账明细接口!$P924),"")</f>
      </c>
      <c r="V924" s="212">
        <f>IFERROR(IF([2]对账明细接口!$Q924=0,"",[2]对账明细接口!$Q924),"")</f>
      </c>
      <c r="W924" s="20">
        <f>IFERROR(IF([2]对账明细接口!$R924=0,"",[2]对账明细接口!$R924),"")</f>
      </c>
      <c r="X924" s="20">
        <f>IFERROR(IF([2]对账明细接口!$S924=0,"",[2]对账明细接口!$S924),"")</f>
      </c>
      <c r="Y924" s="20">
        <f>""</f>
      </c>
      <c r="Z924" s="20">
        <f>""</f>
      </c>
      <c r="AA924" s="20">
        <f>""</f>
      </c>
      <c r="AB924" s="20">
        <f>""</f>
      </c>
    </row>
    <row r="925" s="127">
      <c r="A925" s="14" t="n">
        <v>925</v>
      </c>
      <c r="B925" s="211">
        <f>IFERROR(IF([2]对账明细接口!$B$925=0,"",[2]对账明细接口!$B$925),"")</f>
      </c>
      <c r="C925" s="16">
        <f>IFERROR(IF([2]对账明细接口!$C$925=0,"",[2]对账明细接口!$C$925),"")</f>
      </c>
      <c r="D925" s="16">
        <f>IFERROR(IF([2]对账明细接口!$D$925=0,"",[2]对账明细接口!$D$925),"")</f>
      </c>
      <c r="E925" s="16">
        <f>IFERROR(IF([2]对账明细接口!$E$925=0,"",[2]对账明细接口!$E$925),"")</f>
      </c>
      <c r="F925" s="16">
        <f>IFERROR(IF([2]对账明细接口!$F$925=0,"",[2]对账明细接口!$F$925),"")</f>
      </c>
      <c r="G925" s="16">
        <f>IFERROR(IF([2]对账明细接口!$G$925=0,"",[2]对账明细接口!$G$925),"")</f>
      </c>
      <c r="H925" s="176">
        <f>IFERROR(IF([2]对账明细接口!$H$925=0,"",[2]对账明细接口!$H$925),"")</f>
      </c>
      <c r="I925" s="16">
        <f>IFERROR(IF([2]对账明细接口!$I$925=0,"",[2]对账明细接口!$I$925),"")</f>
      </c>
      <c r="J925" s="177">
        <f>IFERROR(IF([2]对账明细接口!$J$925=0,"",[2]对账明细接口!$J$925),"")</f>
      </c>
      <c r="K925" s="177">
        <f>IFERROR(IF([2]对账明细接口!$K$925=0,"",[2]对账明细接口!$K$925),"")</f>
      </c>
      <c r="L925" s="16">
        <f>IFERROR(IF([2]对账明细接口!$L$925=0,"",[2]对账明细接口!$L$925),"")</f>
      </c>
      <c r="M925" s="16">
        <f>IFERROR(IF([2]对账明细接口!$M$925=0,"",[2]对账明细接口!$M$925),"")</f>
      </c>
      <c r="N925" s="19">
        <f>IF($C925="",0,1)</f>
        <v>0</v>
      </c>
      <c r="O925" s="19">
        <f>N(O924)+$N925</f>
        <v>272</v>
      </c>
      <c r="S925" s="20">
        <f>IFERROR(IF([2]对账明细接口!$N925=0,"",[2]对账明细接口!$N925),"")</f>
      </c>
      <c r="T925" s="212">
        <f>IFERROR(IF([2]对账明细接口!$O925=0,"",[2]对账明细接口!$O925),"")</f>
      </c>
      <c r="U925" s="212">
        <f>IFERROR(IF([2]对账明细接口!$P925=0,"",[2]对账明细接口!$P925),"")</f>
      </c>
      <c r="V925" s="212">
        <f>IFERROR(IF([2]对账明细接口!$Q925=0,"",[2]对账明细接口!$Q925),"")</f>
      </c>
      <c r="W925" s="20">
        <f>IFERROR(IF([2]对账明细接口!$R925=0,"",[2]对账明细接口!$R925),"")</f>
      </c>
      <c r="X925" s="20">
        <f>IFERROR(IF([2]对账明细接口!$S925=0,"",[2]对账明细接口!$S925),"")</f>
      </c>
      <c r="Y925" s="20">
        <f>""</f>
      </c>
      <c r="Z925" s="20">
        <f>""</f>
      </c>
      <c r="AA925" s="20">
        <f>""</f>
      </c>
      <c r="AB925" s="20">
        <f>""</f>
      </c>
    </row>
    <row r="926" s="127">
      <c r="A926" s="14" t="n">
        <v>926</v>
      </c>
      <c r="B926" s="211">
        <f>IFERROR(IF([2]对账明细接口!$B$926=0,"",[2]对账明细接口!$B$926),"")</f>
      </c>
      <c r="C926" s="16">
        <f>IFERROR(IF([2]对账明细接口!$C$926=0,"",[2]对账明细接口!$C$926),"")</f>
      </c>
      <c r="D926" s="16">
        <f>IFERROR(IF([2]对账明细接口!$D$926=0,"",[2]对账明细接口!$D$926),"")</f>
      </c>
      <c r="E926" s="16">
        <f>IFERROR(IF([2]对账明细接口!$E$926=0,"",[2]对账明细接口!$E$926),"")</f>
      </c>
      <c r="F926" s="16">
        <f>IFERROR(IF([2]对账明细接口!$F$926=0,"",[2]对账明细接口!$F$926),"")</f>
      </c>
      <c r="G926" s="16">
        <f>IFERROR(IF([2]对账明细接口!$G$926=0,"",[2]对账明细接口!$G$926),"")</f>
      </c>
      <c r="H926" s="176">
        <f>IFERROR(IF([2]对账明细接口!$H$926=0,"",[2]对账明细接口!$H$926),"")</f>
      </c>
      <c r="I926" s="16">
        <f>IFERROR(IF([2]对账明细接口!$I$926=0,"",[2]对账明细接口!$I$926),"")</f>
      </c>
      <c r="J926" s="177">
        <f>IFERROR(IF([2]对账明细接口!$J$926=0,"",[2]对账明细接口!$J$926),"")</f>
      </c>
      <c r="K926" s="177">
        <f>IFERROR(IF([2]对账明细接口!$K$926=0,"",[2]对账明细接口!$K$926),"")</f>
      </c>
      <c r="L926" s="16">
        <f>IFERROR(IF([2]对账明细接口!$L$926=0,"",[2]对账明细接口!$L$926),"")</f>
      </c>
      <c r="M926" s="16">
        <f>IFERROR(IF([2]对账明细接口!$M$926=0,"",[2]对账明细接口!$M$926),"")</f>
      </c>
      <c r="N926" s="19">
        <f>IF($C926="",0,1)</f>
        <v>0</v>
      </c>
      <c r="O926" s="19">
        <f>N(O925)+$N926</f>
        <v>272</v>
      </c>
      <c r="S926" s="20">
        <f>IFERROR(IF([2]对账明细接口!$N926=0,"",[2]对账明细接口!$N926),"")</f>
      </c>
      <c r="T926" s="212">
        <f>IFERROR(IF([2]对账明细接口!$O926=0,"",[2]对账明细接口!$O926),"")</f>
      </c>
      <c r="U926" s="212">
        <f>IFERROR(IF([2]对账明细接口!$P926=0,"",[2]对账明细接口!$P926),"")</f>
      </c>
      <c r="V926" s="212">
        <f>IFERROR(IF([2]对账明细接口!$Q926=0,"",[2]对账明细接口!$Q926),"")</f>
      </c>
      <c r="W926" s="20">
        <f>IFERROR(IF([2]对账明细接口!$R926=0,"",[2]对账明细接口!$R926),"")</f>
      </c>
      <c r="X926" s="20">
        <f>IFERROR(IF([2]对账明细接口!$S926=0,"",[2]对账明细接口!$S926),"")</f>
      </c>
      <c r="Y926" s="20">
        <f>""</f>
      </c>
      <c r="Z926" s="20">
        <f>""</f>
      </c>
      <c r="AA926" s="20">
        <f>""</f>
      </c>
      <c r="AB926" s="20">
        <f>""</f>
      </c>
    </row>
    <row r="927" s="127">
      <c r="A927" s="14" t="n">
        <v>927</v>
      </c>
      <c r="B927" s="211">
        <f>IFERROR(IF([2]对账明细接口!$B$927=0,"",[2]对账明细接口!$B$927),"")</f>
      </c>
      <c r="C927" s="16">
        <f>IFERROR(IF([2]对账明细接口!$C$927=0,"",[2]对账明细接口!$C$927),"")</f>
      </c>
      <c r="D927" s="16">
        <f>IFERROR(IF([2]对账明细接口!$D$927=0,"",[2]对账明细接口!$D$927),"")</f>
      </c>
      <c r="E927" s="16">
        <f>IFERROR(IF([2]对账明细接口!$E$927=0,"",[2]对账明细接口!$E$927),"")</f>
      </c>
      <c r="F927" s="16">
        <f>IFERROR(IF([2]对账明细接口!$F$927=0,"",[2]对账明细接口!$F$927),"")</f>
      </c>
      <c r="G927" s="16">
        <f>IFERROR(IF([2]对账明细接口!$G$927=0,"",[2]对账明细接口!$G$927),"")</f>
      </c>
      <c r="H927" s="176">
        <f>IFERROR(IF([2]对账明细接口!$H$927=0,"",[2]对账明细接口!$H$927),"")</f>
      </c>
      <c r="I927" s="16">
        <f>IFERROR(IF([2]对账明细接口!$I$927=0,"",[2]对账明细接口!$I$927),"")</f>
      </c>
      <c r="J927" s="177">
        <f>IFERROR(IF([2]对账明细接口!$J$927=0,"",[2]对账明细接口!$J$927),"")</f>
      </c>
      <c r="K927" s="177">
        <f>IFERROR(IF([2]对账明细接口!$K$927=0,"",[2]对账明细接口!$K$927),"")</f>
      </c>
      <c r="L927" s="16">
        <f>IFERROR(IF([2]对账明细接口!$L$927=0,"",[2]对账明细接口!$L$927),"")</f>
      </c>
      <c r="M927" s="16">
        <f>IFERROR(IF([2]对账明细接口!$M$927=0,"",[2]对账明细接口!$M$927),"")</f>
      </c>
      <c r="N927" s="19">
        <f>IF($C927="",0,1)</f>
        <v>0</v>
      </c>
      <c r="O927" s="19">
        <f>N(O926)+$N927</f>
        <v>272</v>
      </c>
      <c r="S927" s="20">
        <f>IFERROR(IF([2]对账明细接口!$N927=0,"",[2]对账明细接口!$N927),"")</f>
      </c>
      <c r="T927" s="212">
        <f>IFERROR(IF([2]对账明细接口!$O927=0,"",[2]对账明细接口!$O927),"")</f>
      </c>
      <c r="U927" s="212">
        <f>IFERROR(IF([2]对账明细接口!$P927=0,"",[2]对账明细接口!$P927),"")</f>
      </c>
      <c r="V927" s="212">
        <f>IFERROR(IF([2]对账明细接口!$Q927=0,"",[2]对账明细接口!$Q927),"")</f>
      </c>
      <c r="W927" s="20">
        <f>IFERROR(IF([2]对账明细接口!$R927=0,"",[2]对账明细接口!$R927),"")</f>
      </c>
      <c r="X927" s="20">
        <f>IFERROR(IF([2]对账明细接口!$S927=0,"",[2]对账明细接口!$S927),"")</f>
      </c>
      <c r="Y927" s="20">
        <f>""</f>
      </c>
      <c r="Z927" s="20">
        <f>""</f>
      </c>
      <c r="AA927" s="20">
        <f>""</f>
      </c>
      <c r="AB927" s="20">
        <f>""</f>
      </c>
    </row>
    <row r="928" s="127">
      <c r="A928" s="14" t="n">
        <v>928</v>
      </c>
      <c r="B928" s="211">
        <f>IFERROR(IF([2]对账明细接口!$B$928=0,"",[2]对账明细接口!$B$928),"")</f>
      </c>
      <c r="C928" s="16">
        <f>IFERROR(IF([2]对账明细接口!$C$928=0,"",[2]对账明细接口!$C$928),"")</f>
      </c>
      <c r="D928" s="16">
        <f>IFERROR(IF([2]对账明细接口!$D$928=0,"",[2]对账明细接口!$D$928),"")</f>
      </c>
      <c r="E928" s="16">
        <f>IFERROR(IF([2]对账明细接口!$E$928=0,"",[2]对账明细接口!$E$928),"")</f>
      </c>
      <c r="F928" s="16">
        <f>IFERROR(IF([2]对账明细接口!$F$928=0,"",[2]对账明细接口!$F$928),"")</f>
      </c>
      <c r="G928" s="16">
        <f>IFERROR(IF([2]对账明细接口!$G$928=0,"",[2]对账明细接口!$G$928),"")</f>
      </c>
      <c r="H928" s="176">
        <f>IFERROR(IF([2]对账明细接口!$H$928=0,"",[2]对账明细接口!$H$928),"")</f>
      </c>
      <c r="I928" s="16">
        <f>IFERROR(IF([2]对账明细接口!$I$928=0,"",[2]对账明细接口!$I$928),"")</f>
      </c>
      <c r="J928" s="177">
        <f>IFERROR(IF([2]对账明细接口!$J$928=0,"",[2]对账明细接口!$J$928),"")</f>
      </c>
      <c r="K928" s="177">
        <f>IFERROR(IF([2]对账明细接口!$K$928=0,"",[2]对账明细接口!$K$928),"")</f>
      </c>
      <c r="L928" s="16">
        <f>IFERROR(IF([2]对账明细接口!$L$928=0,"",[2]对账明细接口!$L$928),"")</f>
      </c>
      <c r="M928" s="16">
        <f>IFERROR(IF([2]对账明细接口!$M$928=0,"",[2]对账明细接口!$M$928),"")</f>
      </c>
      <c r="N928" s="19">
        <f>IF($C928="",0,1)</f>
        <v>0</v>
      </c>
      <c r="O928" s="19">
        <f>N(O927)+$N928</f>
        <v>272</v>
      </c>
      <c r="S928" s="20">
        <f>IFERROR(IF([2]对账明细接口!$N928=0,"",[2]对账明细接口!$N928),"")</f>
      </c>
      <c r="T928" s="212">
        <f>IFERROR(IF([2]对账明细接口!$O928=0,"",[2]对账明细接口!$O928),"")</f>
      </c>
      <c r="U928" s="212">
        <f>IFERROR(IF([2]对账明细接口!$P928=0,"",[2]对账明细接口!$P928),"")</f>
      </c>
      <c r="V928" s="212">
        <f>IFERROR(IF([2]对账明细接口!$Q928=0,"",[2]对账明细接口!$Q928),"")</f>
      </c>
      <c r="W928" s="20">
        <f>IFERROR(IF([2]对账明细接口!$R928=0,"",[2]对账明细接口!$R928),"")</f>
      </c>
      <c r="X928" s="20">
        <f>IFERROR(IF([2]对账明细接口!$S928=0,"",[2]对账明细接口!$S928),"")</f>
      </c>
      <c r="Y928" s="20">
        <f>""</f>
      </c>
      <c r="Z928" s="20">
        <f>""</f>
      </c>
      <c r="AA928" s="20">
        <f>""</f>
      </c>
      <c r="AB928" s="20">
        <f>""</f>
      </c>
    </row>
    <row r="929" s="127">
      <c r="A929" s="14" t="n">
        <v>929</v>
      </c>
      <c r="B929" s="211">
        <f>IFERROR(IF([2]对账明细接口!$B$929=0,"",[2]对账明细接口!$B$929),"")</f>
      </c>
      <c r="C929" s="16">
        <f>IFERROR(IF([2]对账明细接口!$C$929=0,"",[2]对账明细接口!$C$929),"")</f>
      </c>
      <c r="D929" s="16">
        <f>IFERROR(IF([2]对账明细接口!$D$929=0,"",[2]对账明细接口!$D$929),"")</f>
      </c>
      <c r="E929" s="16">
        <f>IFERROR(IF([2]对账明细接口!$E$929=0,"",[2]对账明细接口!$E$929),"")</f>
      </c>
      <c r="F929" s="16">
        <f>IFERROR(IF([2]对账明细接口!$F$929=0,"",[2]对账明细接口!$F$929),"")</f>
      </c>
      <c r="G929" s="16">
        <f>IFERROR(IF([2]对账明细接口!$G$929=0,"",[2]对账明细接口!$G$929),"")</f>
      </c>
      <c r="H929" s="176">
        <f>IFERROR(IF([2]对账明细接口!$H$929=0,"",[2]对账明细接口!$H$929),"")</f>
      </c>
      <c r="I929" s="16">
        <f>IFERROR(IF([2]对账明细接口!$I$929=0,"",[2]对账明细接口!$I$929),"")</f>
      </c>
      <c r="J929" s="177">
        <f>IFERROR(IF([2]对账明细接口!$J$929=0,"",[2]对账明细接口!$J$929),"")</f>
      </c>
      <c r="K929" s="177">
        <f>IFERROR(IF([2]对账明细接口!$K$929=0,"",[2]对账明细接口!$K$929),"")</f>
      </c>
      <c r="L929" s="16">
        <f>IFERROR(IF([2]对账明细接口!$L$929=0,"",[2]对账明细接口!$L$929),"")</f>
      </c>
      <c r="M929" s="16">
        <f>IFERROR(IF([2]对账明细接口!$M$929=0,"",[2]对账明细接口!$M$929),"")</f>
      </c>
      <c r="N929" s="19">
        <f>IF($C929="",0,1)</f>
        <v>0</v>
      </c>
      <c r="O929" s="19">
        <f>N(O928)+$N929</f>
        <v>272</v>
      </c>
      <c r="S929" s="20">
        <f>IFERROR(IF([2]对账明细接口!$N929=0,"",[2]对账明细接口!$N929),"")</f>
      </c>
      <c r="T929" s="212">
        <f>IFERROR(IF([2]对账明细接口!$O929=0,"",[2]对账明细接口!$O929),"")</f>
      </c>
      <c r="U929" s="212">
        <f>IFERROR(IF([2]对账明细接口!$P929=0,"",[2]对账明细接口!$P929),"")</f>
      </c>
      <c r="V929" s="212">
        <f>IFERROR(IF([2]对账明细接口!$Q929=0,"",[2]对账明细接口!$Q929),"")</f>
      </c>
      <c r="W929" s="20">
        <f>IFERROR(IF([2]对账明细接口!$R929=0,"",[2]对账明细接口!$R929),"")</f>
      </c>
      <c r="X929" s="20">
        <f>IFERROR(IF([2]对账明细接口!$S929=0,"",[2]对账明细接口!$S929),"")</f>
      </c>
      <c r="Y929" s="20">
        <f>""</f>
      </c>
      <c r="Z929" s="20">
        <f>""</f>
      </c>
      <c r="AA929" s="20">
        <f>""</f>
      </c>
      <c r="AB929" s="20">
        <f>""</f>
      </c>
    </row>
    <row r="930" s="127">
      <c r="A930" s="14" t="n">
        <v>930</v>
      </c>
      <c r="B930" s="211">
        <f>IFERROR(IF([2]对账明细接口!$B$930=0,"",[2]对账明细接口!$B$930),"")</f>
      </c>
      <c r="C930" s="16">
        <f>IFERROR(IF([2]对账明细接口!$C$930=0,"",[2]对账明细接口!$C$930),"")</f>
      </c>
      <c r="D930" s="16">
        <f>IFERROR(IF([2]对账明细接口!$D$930=0,"",[2]对账明细接口!$D$930),"")</f>
      </c>
      <c r="E930" s="16">
        <f>IFERROR(IF([2]对账明细接口!$E$930=0,"",[2]对账明细接口!$E$930),"")</f>
      </c>
      <c r="F930" s="16">
        <f>IFERROR(IF([2]对账明细接口!$F$930=0,"",[2]对账明细接口!$F$930),"")</f>
      </c>
      <c r="G930" s="16">
        <f>IFERROR(IF([2]对账明细接口!$G$930=0,"",[2]对账明细接口!$G$930),"")</f>
      </c>
      <c r="H930" s="176">
        <f>IFERROR(IF([2]对账明细接口!$H$930=0,"",[2]对账明细接口!$H$930),"")</f>
      </c>
      <c r="I930" s="16">
        <f>IFERROR(IF([2]对账明细接口!$I$930=0,"",[2]对账明细接口!$I$930),"")</f>
      </c>
      <c r="J930" s="177">
        <f>IFERROR(IF([2]对账明细接口!$J$930=0,"",[2]对账明细接口!$J$930),"")</f>
      </c>
      <c r="K930" s="177">
        <f>IFERROR(IF([2]对账明细接口!$K$930=0,"",[2]对账明细接口!$K$930),"")</f>
      </c>
      <c r="L930" s="16">
        <f>IFERROR(IF([2]对账明细接口!$L$930=0,"",[2]对账明细接口!$L$930),"")</f>
      </c>
      <c r="M930" s="16">
        <f>IFERROR(IF([2]对账明细接口!$M$930=0,"",[2]对账明细接口!$M$930),"")</f>
      </c>
      <c r="N930" s="19">
        <f>IF($C930="",0,1)</f>
        <v>0</v>
      </c>
      <c r="O930" s="19">
        <f>N(O929)+$N930</f>
        <v>272</v>
      </c>
      <c r="S930" s="20">
        <f>IFERROR(IF([2]对账明细接口!$N930=0,"",[2]对账明细接口!$N930),"")</f>
      </c>
      <c r="T930" s="212">
        <f>IFERROR(IF([2]对账明细接口!$O930=0,"",[2]对账明细接口!$O930),"")</f>
      </c>
      <c r="U930" s="212">
        <f>IFERROR(IF([2]对账明细接口!$P930=0,"",[2]对账明细接口!$P930),"")</f>
      </c>
      <c r="V930" s="212">
        <f>IFERROR(IF([2]对账明细接口!$Q930=0,"",[2]对账明细接口!$Q930),"")</f>
      </c>
      <c r="W930" s="20">
        <f>IFERROR(IF([2]对账明细接口!$R930=0,"",[2]对账明细接口!$R930),"")</f>
      </c>
      <c r="X930" s="20">
        <f>IFERROR(IF([2]对账明细接口!$S930=0,"",[2]对账明细接口!$S930),"")</f>
      </c>
      <c r="Y930" s="20">
        <f>""</f>
      </c>
      <c r="Z930" s="20">
        <f>""</f>
      </c>
      <c r="AA930" s="20">
        <f>""</f>
      </c>
      <c r="AB930" s="20">
        <f>""</f>
      </c>
    </row>
    <row r="931" s="127">
      <c r="A931" s="14" t="n">
        <v>931</v>
      </c>
      <c r="B931" s="211">
        <f>IFERROR(IF([2]对账明细接口!$B$931=0,"",[2]对账明细接口!$B$931),"")</f>
      </c>
      <c r="C931" s="16">
        <f>IFERROR(IF([2]对账明细接口!$C$931=0,"",[2]对账明细接口!$C$931),"")</f>
      </c>
      <c r="D931" s="16">
        <f>IFERROR(IF([2]对账明细接口!$D$931=0,"",[2]对账明细接口!$D$931),"")</f>
      </c>
      <c r="E931" s="16">
        <f>IFERROR(IF([2]对账明细接口!$E$931=0,"",[2]对账明细接口!$E$931),"")</f>
      </c>
      <c r="F931" s="16">
        <f>IFERROR(IF([2]对账明细接口!$F$931=0,"",[2]对账明细接口!$F$931),"")</f>
      </c>
      <c r="G931" s="16">
        <f>IFERROR(IF([2]对账明细接口!$G$931=0,"",[2]对账明细接口!$G$931),"")</f>
      </c>
      <c r="H931" s="176">
        <f>IFERROR(IF([2]对账明细接口!$H$931=0,"",[2]对账明细接口!$H$931),"")</f>
      </c>
      <c r="I931" s="16">
        <f>IFERROR(IF([2]对账明细接口!$I$931=0,"",[2]对账明细接口!$I$931),"")</f>
      </c>
      <c r="J931" s="177">
        <f>IFERROR(IF([2]对账明细接口!$J$931=0,"",[2]对账明细接口!$J$931),"")</f>
      </c>
      <c r="K931" s="177">
        <f>IFERROR(IF([2]对账明细接口!$K$931=0,"",[2]对账明细接口!$K$931),"")</f>
      </c>
      <c r="L931" s="16">
        <f>IFERROR(IF([2]对账明细接口!$L$931=0,"",[2]对账明细接口!$L$931),"")</f>
      </c>
      <c r="M931" s="16">
        <f>IFERROR(IF([2]对账明细接口!$M$931=0,"",[2]对账明细接口!$M$931),"")</f>
      </c>
      <c r="N931" s="19">
        <f>IF($C931="",0,1)</f>
        <v>0</v>
      </c>
      <c r="O931" s="19">
        <f>N(O930)+$N931</f>
        <v>272</v>
      </c>
      <c r="S931" s="20">
        <f>IFERROR(IF([2]对账明细接口!$N931=0,"",[2]对账明细接口!$N931),"")</f>
      </c>
      <c r="T931" s="212">
        <f>IFERROR(IF([2]对账明细接口!$O931=0,"",[2]对账明细接口!$O931),"")</f>
      </c>
      <c r="U931" s="212">
        <f>IFERROR(IF([2]对账明细接口!$P931=0,"",[2]对账明细接口!$P931),"")</f>
      </c>
      <c r="V931" s="212">
        <f>IFERROR(IF([2]对账明细接口!$Q931=0,"",[2]对账明细接口!$Q931),"")</f>
      </c>
      <c r="W931" s="20">
        <f>IFERROR(IF([2]对账明细接口!$R931=0,"",[2]对账明细接口!$R931),"")</f>
      </c>
      <c r="X931" s="20">
        <f>IFERROR(IF([2]对账明细接口!$S931=0,"",[2]对账明细接口!$S931),"")</f>
      </c>
      <c r="Y931" s="20">
        <f>""</f>
      </c>
      <c r="Z931" s="20">
        <f>""</f>
      </c>
      <c r="AA931" s="20">
        <f>""</f>
      </c>
      <c r="AB931" s="20">
        <f>""</f>
      </c>
    </row>
    <row r="932" s="127">
      <c r="A932" s="14" t="n">
        <v>932</v>
      </c>
      <c r="B932" s="211">
        <f>IFERROR(IF([2]对账明细接口!$B$932=0,"",[2]对账明细接口!$B$932),"")</f>
      </c>
      <c r="C932" s="16">
        <f>IFERROR(IF([2]对账明细接口!$C$932=0,"",[2]对账明细接口!$C$932),"")</f>
      </c>
      <c r="D932" s="16">
        <f>IFERROR(IF([2]对账明细接口!$D$932=0,"",[2]对账明细接口!$D$932),"")</f>
      </c>
      <c r="E932" s="16">
        <f>IFERROR(IF([2]对账明细接口!$E$932=0,"",[2]对账明细接口!$E$932),"")</f>
      </c>
      <c r="F932" s="16">
        <f>IFERROR(IF([2]对账明细接口!$F$932=0,"",[2]对账明细接口!$F$932),"")</f>
      </c>
      <c r="G932" s="16">
        <f>IFERROR(IF([2]对账明细接口!$G$932=0,"",[2]对账明细接口!$G$932),"")</f>
      </c>
      <c r="H932" s="176">
        <f>IFERROR(IF([2]对账明细接口!$H$932=0,"",[2]对账明细接口!$H$932),"")</f>
      </c>
      <c r="I932" s="16">
        <f>IFERROR(IF([2]对账明细接口!$I$932=0,"",[2]对账明细接口!$I$932),"")</f>
      </c>
      <c r="J932" s="177">
        <f>IFERROR(IF([2]对账明细接口!$J$932=0,"",[2]对账明细接口!$J$932),"")</f>
      </c>
      <c r="K932" s="177">
        <f>IFERROR(IF([2]对账明细接口!$K$932=0,"",[2]对账明细接口!$K$932),"")</f>
      </c>
      <c r="L932" s="16">
        <f>IFERROR(IF([2]对账明细接口!$L$932=0,"",[2]对账明细接口!$L$932),"")</f>
      </c>
      <c r="M932" s="16">
        <f>IFERROR(IF([2]对账明细接口!$M$932=0,"",[2]对账明细接口!$M$932),"")</f>
      </c>
      <c r="N932" s="19">
        <f>IF($C932="",0,1)</f>
        <v>0</v>
      </c>
      <c r="O932" s="19">
        <f>N(O931)+$N932</f>
        <v>272</v>
      </c>
      <c r="S932" s="20">
        <f>IFERROR(IF([2]对账明细接口!$N932=0,"",[2]对账明细接口!$N932),"")</f>
      </c>
      <c r="T932" s="212">
        <f>IFERROR(IF([2]对账明细接口!$O932=0,"",[2]对账明细接口!$O932),"")</f>
      </c>
      <c r="U932" s="212">
        <f>IFERROR(IF([2]对账明细接口!$P932=0,"",[2]对账明细接口!$P932),"")</f>
      </c>
      <c r="V932" s="212">
        <f>IFERROR(IF([2]对账明细接口!$Q932=0,"",[2]对账明细接口!$Q932),"")</f>
      </c>
      <c r="W932" s="20">
        <f>IFERROR(IF([2]对账明细接口!$R932=0,"",[2]对账明细接口!$R932),"")</f>
      </c>
      <c r="X932" s="20">
        <f>IFERROR(IF([2]对账明细接口!$S932=0,"",[2]对账明细接口!$S932),"")</f>
      </c>
      <c r="Y932" s="20">
        <f>""</f>
      </c>
      <c r="Z932" s="20">
        <f>""</f>
      </c>
      <c r="AA932" s="20">
        <f>""</f>
      </c>
      <c r="AB932" s="20">
        <f>""</f>
      </c>
    </row>
    <row r="933" s="127">
      <c r="A933" s="14" t="n">
        <v>933</v>
      </c>
      <c r="B933" s="211">
        <f>IFERROR(IF([2]对账明细接口!$B$933=0,"",[2]对账明细接口!$B$933),"")</f>
      </c>
      <c r="C933" s="16">
        <f>IFERROR(IF([2]对账明细接口!$C$933=0,"",[2]对账明细接口!$C$933),"")</f>
      </c>
      <c r="D933" s="16">
        <f>IFERROR(IF([2]对账明细接口!$D$933=0,"",[2]对账明细接口!$D$933),"")</f>
      </c>
      <c r="E933" s="16">
        <f>IFERROR(IF([2]对账明细接口!$E$933=0,"",[2]对账明细接口!$E$933),"")</f>
      </c>
      <c r="F933" s="16">
        <f>IFERROR(IF([2]对账明细接口!$F$933=0,"",[2]对账明细接口!$F$933),"")</f>
      </c>
      <c r="G933" s="16">
        <f>IFERROR(IF([2]对账明细接口!$G$933=0,"",[2]对账明细接口!$G$933),"")</f>
      </c>
      <c r="H933" s="176">
        <f>IFERROR(IF([2]对账明细接口!$H$933=0,"",[2]对账明细接口!$H$933),"")</f>
      </c>
      <c r="I933" s="16">
        <f>IFERROR(IF([2]对账明细接口!$I$933=0,"",[2]对账明细接口!$I$933),"")</f>
      </c>
      <c r="J933" s="177">
        <f>IFERROR(IF([2]对账明细接口!$J$933=0,"",[2]对账明细接口!$J$933),"")</f>
      </c>
      <c r="K933" s="177">
        <f>IFERROR(IF([2]对账明细接口!$K$933=0,"",[2]对账明细接口!$K$933),"")</f>
      </c>
      <c r="L933" s="16">
        <f>IFERROR(IF([2]对账明细接口!$L$933=0,"",[2]对账明细接口!$L$933),"")</f>
      </c>
      <c r="M933" s="16">
        <f>IFERROR(IF([2]对账明细接口!$M$933=0,"",[2]对账明细接口!$M$933),"")</f>
      </c>
      <c r="N933" s="19">
        <f>IF($C933="",0,1)</f>
        <v>0</v>
      </c>
      <c r="O933" s="19">
        <f>N(O932)+$N933</f>
        <v>272</v>
      </c>
      <c r="S933" s="20">
        <f>IFERROR(IF([2]对账明细接口!$N933=0,"",[2]对账明细接口!$N933),"")</f>
      </c>
      <c r="T933" s="212">
        <f>IFERROR(IF([2]对账明细接口!$O933=0,"",[2]对账明细接口!$O933),"")</f>
      </c>
      <c r="U933" s="212">
        <f>IFERROR(IF([2]对账明细接口!$P933=0,"",[2]对账明细接口!$P933),"")</f>
      </c>
      <c r="V933" s="212">
        <f>IFERROR(IF([2]对账明细接口!$Q933=0,"",[2]对账明细接口!$Q933),"")</f>
      </c>
      <c r="W933" s="20">
        <f>IFERROR(IF([2]对账明细接口!$R933=0,"",[2]对账明细接口!$R933),"")</f>
      </c>
      <c r="X933" s="20">
        <f>IFERROR(IF([2]对账明细接口!$S933=0,"",[2]对账明细接口!$S933),"")</f>
      </c>
      <c r="Y933" s="20">
        <f>""</f>
      </c>
      <c r="Z933" s="20">
        <f>""</f>
      </c>
      <c r="AA933" s="20">
        <f>""</f>
      </c>
      <c r="AB933" s="20">
        <f>""</f>
      </c>
    </row>
    <row r="934" s="127">
      <c r="A934" s="14" t="n">
        <v>934</v>
      </c>
      <c r="B934" s="211">
        <f>IFERROR(IF([2]对账明细接口!$B$934=0,"",[2]对账明细接口!$B$934),"")</f>
      </c>
      <c r="C934" s="16">
        <f>IFERROR(IF([2]对账明细接口!$C$934=0,"",[2]对账明细接口!$C$934),"")</f>
      </c>
      <c r="D934" s="16">
        <f>IFERROR(IF([2]对账明细接口!$D$934=0,"",[2]对账明细接口!$D$934),"")</f>
      </c>
      <c r="E934" s="16">
        <f>IFERROR(IF([2]对账明细接口!$E$934=0,"",[2]对账明细接口!$E$934),"")</f>
      </c>
      <c r="F934" s="16">
        <f>IFERROR(IF([2]对账明细接口!$F$934=0,"",[2]对账明细接口!$F$934),"")</f>
      </c>
      <c r="G934" s="16">
        <f>IFERROR(IF([2]对账明细接口!$G$934=0,"",[2]对账明细接口!$G$934),"")</f>
      </c>
      <c r="H934" s="176">
        <f>IFERROR(IF([2]对账明细接口!$H$934=0,"",[2]对账明细接口!$H$934),"")</f>
      </c>
      <c r="I934" s="16">
        <f>IFERROR(IF([2]对账明细接口!$I$934=0,"",[2]对账明细接口!$I$934),"")</f>
      </c>
      <c r="J934" s="177">
        <f>IFERROR(IF([2]对账明细接口!$J$934=0,"",[2]对账明细接口!$J$934),"")</f>
      </c>
      <c r="K934" s="177">
        <f>IFERROR(IF([2]对账明细接口!$K$934=0,"",[2]对账明细接口!$K$934),"")</f>
      </c>
      <c r="L934" s="16">
        <f>IFERROR(IF([2]对账明细接口!$L$934=0,"",[2]对账明细接口!$L$934),"")</f>
      </c>
      <c r="M934" s="16">
        <f>IFERROR(IF([2]对账明细接口!$M$934=0,"",[2]对账明细接口!$M$934),"")</f>
      </c>
      <c r="N934" s="19">
        <f>IF($C934="",0,1)</f>
        <v>0</v>
      </c>
      <c r="O934" s="19">
        <f>N(O933)+$N934</f>
        <v>272</v>
      </c>
      <c r="S934" s="20">
        <f>IFERROR(IF([2]对账明细接口!$N934=0,"",[2]对账明细接口!$N934),"")</f>
      </c>
      <c r="T934" s="212">
        <f>IFERROR(IF([2]对账明细接口!$O934=0,"",[2]对账明细接口!$O934),"")</f>
      </c>
      <c r="U934" s="212">
        <f>IFERROR(IF([2]对账明细接口!$P934=0,"",[2]对账明细接口!$P934),"")</f>
      </c>
      <c r="V934" s="212">
        <f>IFERROR(IF([2]对账明细接口!$Q934=0,"",[2]对账明细接口!$Q934),"")</f>
      </c>
      <c r="W934" s="20">
        <f>IFERROR(IF([2]对账明细接口!$R934=0,"",[2]对账明细接口!$R934),"")</f>
      </c>
      <c r="X934" s="20">
        <f>IFERROR(IF([2]对账明细接口!$S934=0,"",[2]对账明细接口!$S934),"")</f>
      </c>
      <c r="Y934" s="20">
        <f>""</f>
      </c>
      <c r="Z934" s="20">
        <f>""</f>
      </c>
      <c r="AA934" s="20">
        <f>""</f>
      </c>
      <c r="AB934" s="20">
        <f>""</f>
      </c>
    </row>
    <row r="935" s="127">
      <c r="A935" s="14" t="n">
        <v>935</v>
      </c>
      <c r="B935" s="211">
        <f>IFERROR(IF([2]对账明细接口!$B$935=0,"",[2]对账明细接口!$B$935),"")</f>
      </c>
      <c r="C935" s="16">
        <f>IFERROR(IF([2]对账明细接口!$C$935=0,"",[2]对账明细接口!$C$935),"")</f>
      </c>
      <c r="D935" s="16">
        <f>IFERROR(IF([2]对账明细接口!$D$935=0,"",[2]对账明细接口!$D$935),"")</f>
      </c>
      <c r="E935" s="16">
        <f>IFERROR(IF([2]对账明细接口!$E$935=0,"",[2]对账明细接口!$E$935),"")</f>
      </c>
      <c r="F935" s="16">
        <f>IFERROR(IF([2]对账明细接口!$F$935=0,"",[2]对账明细接口!$F$935),"")</f>
      </c>
      <c r="G935" s="16">
        <f>IFERROR(IF([2]对账明细接口!$G$935=0,"",[2]对账明细接口!$G$935),"")</f>
      </c>
      <c r="H935" s="176">
        <f>IFERROR(IF([2]对账明细接口!$H$935=0,"",[2]对账明细接口!$H$935),"")</f>
      </c>
      <c r="I935" s="16">
        <f>IFERROR(IF([2]对账明细接口!$I$935=0,"",[2]对账明细接口!$I$935),"")</f>
      </c>
      <c r="J935" s="177">
        <f>IFERROR(IF([2]对账明细接口!$J$935=0,"",[2]对账明细接口!$J$935),"")</f>
      </c>
      <c r="K935" s="177">
        <f>IFERROR(IF([2]对账明细接口!$K$935=0,"",[2]对账明细接口!$K$935),"")</f>
      </c>
      <c r="L935" s="16">
        <f>IFERROR(IF([2]对账明细接口!$L$935=0,"",[2]对账明细接口!$L$935),"")</f>
      </c>
      <c r="M935" s="16">
        <f>IFERROR(IF([2]对账明细接口!$M$935=0,"",[2]对账明细接口!$M$935),"")</f>
      </c>
      <c r="N935" s="19">
        <f>IF($C935="",0,1)</f>
        <v>0</v>
      </c>
      <c r="O935" s="19">
        <f>N(O934)+$N935</f>
        <v>272</v>
      </c>
      <c r="S935" s="20">
        <f>IFERROR(IF([2]对账明细接口!$N935=0,"",[2]对账明细接口!$N935),"")</f>
      </c>
      <c r="T935" s="212">
        <f>IFERROR(IF([2]对账明细接口!$O935=0,"",[2]对账明细接口!$O935),"")</f>
      </c>
      <c r="U935" s="212">
        <f>IFERROR(IF([2]对账明细接口!$P935=0,"",[2]对账明细接口!$P935),"")</f>
      </c>
      <c r="V935" s="212">
        <f>IFERROR(IF([2]对账明细接口!$Q935=0,"",[2]对账明细接口!$Q935),"")</f>
      </c>
      <c r="W935" s="20">
        <f>IFERROR(IF([2]对账明细接口!$R935=0,"",[2]对账明细接口!$R935),"")</f>
      </c>
      <c r="X935" s="20">
        <f>IFERROR(IF([2]对账明细接口!$S935=0,"",[2]对账明细接口!$S935),"")</f>
      </c>
      <c r="Y935" s="20">
        <f>""</f>
      </c>
      <c r="Z935" s="20">
        <f>""</f>
      </c>
      <c r="AA935" s="20">
        <f>""</f>
      </c>
      <c r="AB935" s="20">
        <f>""</f>
      </c>
    </row>
    <row r="936" s="127">
      <c r="A936" s="14" t="n">
        <v>936</v>
      </c>
      <c r="B936" s="211">
        <f>IFERROR(IF([2]对账明细接口!$B$936=0,"",[2]对账明细接口!$B$936),"")</f>
      </c>
      <c r="C936" s="16">
        <f>IFERROR(IF([2]对账明细接口!$C$936=0,"",[2]对账明细接口!$C$936),"")</f>
      </c>
      <c r="D936" s="16">
        <f>IFERROR(IF([2]对账明细接口!$D$936=0,"",[2]对账明细接口!$D$936),"")</f>
      </c>
      <c r="E936" s="16">
        <f>IFERROR(IF([2]对账明细接口!$E$936=0,"",[2]对账明细接口!$E$936),"")</f>
      </c>
      <c r="F936" s="16">
        <f>IFERROR(IF([2]对账明细接口!$F$936=0,"",[2]对账明细接口!$F$936),"")</f>
      </c>
      <c r="G936" s="16">
        <f>IFERROR(IF([2]对账明细接口!$G$936=0,"",[2]对账明细接口!$G$936),"")</f>
      </c>
      <c r="H936" s="176">
        <f>IFERROR(IF([2]对账明细接口!$H$936=0,"",[2]对账明细接口!$H$936),"")</f>
      </c>
      <c r="I936" s="16">
        <f>IFERROR(IF([2]对账明细接口!$I$936=0,"",[2]对账明细接口!$I$936),"")</f>
      </c>
      <c r="J936" s="177">
        <f>IFERROR(IF([2]对账明细接口!$J$936=0,"",[2]对账明细接口!$J$936),"")</f>
      </c>
      <c r="K936" s="177">
        <f>IFERROR(IF([2]对账明细接口!$K$936=0,"",[2]对账明细接口!$K$936),"")</f>
      </c>
      <c r="L936" s="16">
        <f>IFERROR(IF([2]对账明细接口!$L$936=0,"",[2]对账明细接口!$L$936),"")</f>
      </c>
      <c r="M936" s="16">
        <f>IFERROR(IF([2]对账明细接口!$M$936=0,"",[2]对账明细接口!$M$936),"")</f>
      </c>
      <c r="N936" s="19">
        <f>IF($C936="",0,1)</f>
        <v>0</v>
      </c>
      <c r="O936" s="19">
        <f>N(O935)+$N936</f>
        <v>272</v>
      </c>
      <c r="S936" s="20">
        <f>IFERROR(IF([2]对账明细接口!$N936=0,"",[2]对账明细接口!$N936),"")</f>
      </c>
      <c r="T936" s="212">
        <f>IFERROR(IF([2]对账明细接口!$O936=0,"",[2]对账明细接口!$O936),"")</f>
      </c>
      <c r="U936" s="212">
        <f>IFERROR(IF([2]对账明细接口!$P936=0,"",[2]对账明细接口!$P936),"")</f>
      </c>
      <c r="V936" s="212">
        <f>IFERROR(IF([2]对账明细接口!$Q936=0,"",[2]对账明细接口!$Q936),"")</f>
      </c>
      <c r="W936" s="20">
        <f>IFERROR(IF([2]对账明细接口!$R936=0,"",[2]对账明细接口!$R936),"")</f>
      </c>
      <c r="X936" s="20">
        <f>IFERROR(IF([2]对账明细接口!$S936=0,"",[2]对账明细接口!$S936),"")</f>
      </c>
      <c r="Y936" s="20">
        <f>""</f>
      </c>
      <c r="Z936" s="20">
        <f>""</f>
      </c>
      <c r="AA936" s="20">
        <f>""</f>
      </c>
      <c r="AB936" s="20">
        <f>""</f>
      </c>
    </row>
    <row r="937" s="127">
      <c r="A937" s="14" t="n">
        <v>937</v>
      </c>
      <c r="B937" s="211">
        <f>IFERROR(IF([2]对账明细接口!$B$937=0,"",[2]对账明细接口!$B$937),"")</f>
      </c>
      <c r="C937" s="16">
        <f>IFERROR(IF([2]对账明细接口!$C$937=0,"",[2]对账明细接口!$C$937),"")</f>
      </c>
      <c r="D937" s="16">
        <f>IFERROR(IF([2]对账明细接口!$D$937=0,"",[2]对账明细接口!$D$937),"")</f>
      </c>
      <c r="E937" s="16">
        <f>IFERROR(IF([2]对账明细接口!$E$937=0,"",[2]对账明细接口!$E$937),"")</f>
      </c>
      <c r="F937" s="16">
        <f>IFERROR(IF([2]对账明细接口!$F$937=0,"",[2]对账明细接口!$F$937),"")</f>
      </c>
      <c r="G937" s="16">
        <f>IFERROR(IF([2]对账明细接口!$G$937=0,"",[2]对账明细接口!$G$937),"")</f>
      </c>
      <c r="H937" s="176">
        <f>IFERROR(IF([2]对账明细接口!$H$937=0,"",[2]对账明细接口!$H$937),"")</f>
      </c>
      <c r="I937" s="16">
        <f>IFERROR(IF([2]对账明细接口!$I$937=0,"",[2]对账明细接口!$I$937),"")</f>
      </c>
      <c r="J937" s="177">
        <f>IFERROR(IF([2]对账明细接口!$J$937=0,"",[2]对账明细接口!$J$937),"")</f>
      </c>
      <c r="K937" s="177">
        <f>IFERROR(IF([2]对账明细接口!$K$937=0,"",[2]对账明细接口!$K$937),"")</f>
      </c>
      <c r="L937" s="16">
        <f>IFERROR(IF([2]对账明细接口!$L$937=0,"",[2]对账明细接口!$L$937),"")</f>
      </c>
      <c r="M937" s="16">
        <f>IFERROR(IF([2]对账明细接口!$M$937=0,"",[2]对账明细接口!$M$937),"")</f>
      </c>
      <c r="N937" s="19">
        <f>IF($C937="",0,1)</f>
        <v>0</v>
      </c>
      <c r="O937" s="19">
        <f>N(O936)+$N937</f>
        <v>272</v>
      </c>
      <c r="S937" s="20">
        <f>IFERROR(IF([2]对账明细接口!$N937=0,"",[2]对账明细接口!$N937),"")</f>
      </c>
      <c r="T937" s="212">
        <f>IFERROR(IF([2]对账明细接口!$O937=0,"",[2]对账明细接口!$O937),"")</f>
      </c>
      <c r="U937" s="212">
        <f>IFERROR(IF([2]对账明细接口!$P937=0,"",[2]对账明细接口!$P937),"")</f>
      </c>
      <c r="V937" s="212">
        <f>IFERROR(IF([2]对账明细接口!$Q937=0,"",[2]对账明细接口!$Q937),"")</f>
      </c>
      <c r="W937" s="20">
        <f>IFERROR(IF([2]对账明细接口!$R937=0,"",[2]对账明细接口!$R937),"")</f>
      </c>
      <c r="X937" s="20">
        <f>IFERROR(IF([2]对账明细接口!$S937=0,"",[2]对账明细接口!$S937),"")</f>
      </c>
      <c r="Y937" s="20">
        <f>""</f>
      </c>
      <c r="Z937" s="20">
        <f>""</f>
      </c>
      <c r="AA937" s="20">
        <f>""</f>
      </c>
      <c r="AB937" s="20">
        <f>""</f>
      </c>
    </row>
    <row r="938" s="127">
      <c r="A938" s="14" t="n">
        <v>938</v>
      </c>
      <c r="B938" s="211">
        <f>IFERROR(IF([2]对账明细接口!$B$938=0,"",[2]对账明细接口!$B$938),"")</f>
      </c>
      <c r="C938" s="16">
        <f>IFERROR(IF([2]对账明细接口!$C$938=0,"",[2]对账明细接口!$C$938),"")</f>
      </c>
      <c r="D938" s="16">
        <f>IFERROR(IF([2]对账明细接口!$D$938=0,"",[2]对账明细接口!$D$938),"")</f>
      </c>
      <c r="E938" s="16">
        <f>IFERROR(IF([2]对账明细接口!$E$938=0,"",[2]对账明细接口!$E$938),"")</f>
      </c>
      <c r="F938" s="16">
        <f>IFERROR(IF([2]对账明细接口!$F$938=0,"",[2]对账明细接口!$F$938),"")</f>
      </c>
      <c r="G938" s="16">
        <f>IFERROR(IF([2]对账明细接口!$G$938=0,"",[2]对账明细接口!$G$938),"")</f>
      </c>
      <c r="H938" s="176">
        <f>IFERROR(IF([2]对账明细接口!$H$938=0,"",[2]对账明细接口!$H$938),"")</f>
      </c>
      <c r="I938" s="16">
        <f>IFERROR(IF([2]对账明细接口!$I$938=0,"",[2]对账明细接口!$I$938),"")</f>
      </c>
      <c r="J938" s="177">
        <f>IFERROR(IF([2]对账明细接口!$J$938=0,"",[2]对账明细接口!$J$938),"")</f>
      </c>
      <c r="K938" s="177">
        <f>IFERROR(IF([2]对账明细接口!$K$938=0,"",[2]对账明细接口!$K$938),"")</f>
      </c>
      <c r="L938" s="16">
        <f>IFERROR(IF([2]对账明细接口!$L$938=0,"",[2]对账明细接口!$L$938),"")</f>
      </c>
      <c r="M938" s="16">
        <f>IFERROR(IF([2]对账明细接口!$M$938=0,"",[2]对账明细接口!$M$938),"")</f>
      </c>
      <c r="N938" s="19">
        <f>IF($C938="",0,1)</f>
        <v>0</v>
      </c>
      <c r="O938" s="19">
        <f>N(O937)+$N938</f>
        <v>272</v>
      </c>
      <c r="S938" s="20">
        <f>IFERROR(IF([2]对账明细接口!$N938=0,"",[2]对账明细接口!$N938),"")</f>
      </c>
      <c r="T938" s="212">
        <f>IFERROR(IF([2]对账明细接口!$O938=0,"",[2]对账明细接口!$O938),"")</f>
      </c>
      <c r="U938" s="212">
        <f>IFERROR(IF([2]对账明细接口!$P938=0,"",[2]对账明细接口!$P938),"")</f>
      </c>
      <c r="V938" s="212">
        <f>IFERROR(IF([2]对账明细接口!$Q938=0,"",[2]对账明细接口!$Q938),"")</f>
      </c>
      <c r="W938" s="20">
        <f>IFERROR(IF([2]对账明细接口!$R938=0,"",[2]对账明细接口!$R938),"")</f>
      </c>
      <c r="X938" s="20">
        <f>IFERROR(IF([2]对账明细接口!$S938=0,"",[2]对账明细接口!$S938),"")</f>
      </c>
      <c r="Y938" s="20">
        <f>""</f>
      </c>
      <c r="Z938" s="20">
        <f>""</f>
      </c>
      <c r="AA938" s="20">
        <f>""</f>
      </c>
      <c r="AB938" s="20">
        <f>""</f>
      </c>
    </row>
    <row r="939" s="127">
      <c r="A939" s="14" t="n">
        <v>939</v>
      </c>
      <c r="B939" s="211">
        <f>IFERROR(IF([2]对账明细接口!$B$939=0,"",[2]对账明细接口!$B$939),"")</f>
      </c>
      <c r="C939" s="16">
        <f>IFERROR(IF([2]对账明细接口!$C$939=0,"",[2]对账明细接口!$C$939),"")</f>
      </c>
      <c r="D939" s="16">
        <f>IFERROR(IF([2]对账明细接口!$D$939=0,"",[2]对账明细接口!$D$939),"")</f>
      </c>
      <c r="E939" s="16">
        <f>IFERROR(IF([2]对账明细接口!$E$939=0,"",[2]对账明细接口!$E$939),"")</f>
      </c>
      <c r="F939" s="16">
        <f>IFERROR(IF([2]对账明细接口!$F$939=0,"",[2]对账明细接口!$F$939),"")</f>
      </c>
      <c r="G939" s="16">
        <f>IFERROR(IF([2]对账明细接口!$G$939=0,"",[2]对账明细接口!$G$939),"")</f>
      </c>
      <c r="H939" s="176">
        <f>IFERROR(IF([2]对账明细接口!$H$939=0,"",[2]对账明细接口!$H$939),"")</f>
      </c>
      <c r="I939" s="16">
        <f>IFERROR(IF([2]对账明细接口!$I$939=0,"",[2]对账明细接口!$I$939),"")</f>
      </c>
      <c r="J939" s="177">
        <f>IFERROR(IF([2]对账明细接口!$J$939=0,"",[2]对账明细接口!$J$939),"")</f>
      </c>
      <c r="K939" s="177">
        <f>IFERROR(IF([2]对账明细接口!$K$939=0,"",[2]对账明细接口!$K$939),"")</f>
      </c>
      <c r="L939" s="16">
        <f>IFERROR(IF([2]对账明细接口!$L$939=0,"",[2]对账明细接口!$L$939),"")</f>
      </c>
      <c r="M939" s="16">
        <f>IFERROR(IF([2]对账明细接口!$M$939=0,"",[2]对账明细接口!$M$939),"")</f>
      </c>
      <c r="N939" s="19">
        <f>IF($C939="",0,1)</f>
        <v>0</v>
      </c>
      <c r="O939" s="19">
        <f>N(O938)+$N939</f>
        <v>272</v>
      </c>
      <c r="S939" s="20">
        <f>IFERROR(IF([2]对账明细接口!$N939=0,"",[2]对账明细接口!$N939),"")</f>
      </c>
      <c r="T939" s="212">
        <f>IFERROR(IF([2]对账明细接口!$O939=0,"",[2]对账明细接口!$O939),"")</f>
      </c>
      <c r="U939" s="212">
        <f>IFERROR(IF([2]对账明细接口!$P939=0,"",[2]对账明细接口!$P939),"")</f>
      </c>
      <c r="V939" s="212">
        <f>IFERROR(IF([2]对账明细接口!$Q939=0,"",[2]对账明细接口!$Q939),"")</f>
      </c>
      <c r="W939" s="20">
        <f>IFERROR(IF([2]对账明细接口!$R939=0,"",[2]对账明细接口!$R939),"")</f>
      </c>
      <c r="X939" s="20">
        <f>IFERROR(IF([2]对账明细接口!$S939=0,"",[2]对账明细接口!$S939),"")</f>
      </c>
      <c r="Y939" s="20">
        <f>""</f>
      </c>
      <c r="Z939" s="20">
        <f>""</f>
      </c>
      <c r="AA939" s="20">
        <f>""</f>
      </c>
      <c r="AB939" s="20">
        <f>""</f>
      </c>
    </row>
    <row r="940" s="127">
      <c r="A940" s="14" t="n">
        <v>940</v>
      </c>
      <c r="B940" s="211">
        <f>IFERROR(IF([2]对账明细接口!$B$940=0,"",[2]对账明细接口!$B$940),"")</f>
      </c>
      <c r="C940" s="16">
        <f>IFERROR(IF([2]对账明细接口!$C$940=0,"",[2]对账明细接口!$C$940),"")</f>
      </c>
      <c r="D940" s="16">
        <f>IFERROR(IF([2]对账明细接口!$D$940=0,"",[2]对账明细接口!$D$940),"")</f>
      </c>
      <c r="E940" s="16">
        <f>IFERROR(IF([2]对账明细接口!$E$940=0,"",[2]对账明细接口!$E$940),"")</f>
      </c>
      <c r="F940" s="16">
        <f>IFERROR(IF([2]对账明细接口!$F$940=0,"",[2]对账明细接口!$F$940),"")</f>
      </c>
      <c r="G940" s="16">
        <f>IFERROR(IF([2]对账明细接口!$G$940=0,"",[2]对账明细接口!$G$940),"")</f>
      </c>
      <c r="H940" s="176">
        <f>IFERROR(IF([2]对账明细接口!$H$940=0,"",[2]对账明细接口!$H$940),"")</f>
      </c>
      <c r="I940" s="16">
        <f>IFERROR(IF([2]对账明细接口!$I$940=0,"",[2]对账明细接口!$I$940),"")</f>
      </c>
      <c r="J940" s="177">
        <f>IFERROR(IF([2]对账明细接口!$J$940=0,"",[2]对账明细接口!$J$940),"")</f>
      </c>
      <c r="K940" s="177">
        <f>IFERROR(IF([2]对账明细接口!$K$940=0,"",[2]对账明细接口!$K$940),"")</f>
      </c>
      <c r="L940" s="16">
        <f>IFERROR(IF([2]对账明细接口!$L$940=0,"",[2]对账明细接口!$L$940),"")</f>
      </c>
      <c r="M940" s="16">
        <f>IFERROR(IF([2]对账明细接口!$M$940=0,"",[2]对账明细接口!$M$940),"")</f>
      </c>
      <c r="N940" s="19">
        <f>IF($C940="",0,1)</f>
        <v>0</v>
      </c>
      <c r="O940" s="19">
        <f>N(O939)+$N940</f>
        <v>272</v>
      </c>
      <c r="S940" s="20">
        <f>IFERROR(IF([2]对账明细接口!$N940=0,"",[2]对账明细接口!$N940),"")</f>
      </c>
      <c r="T940" s="212">
        <f>IFERROR(IF([2]对账明细接口!$O940=0,"",[2]对账明细接口!$O940),"")</f>
      </c>
      <c r="U940" s="212">
        <f>IFERROR(IF([2]对账明细接口!$P940=0,"",[2]对账明细接口!$P940),"")</f>
      </c>
      <c r="V940" s="212">
        <f>IFERROR(IF([2]对账明细接口!$Q940=0,"",[2]对账明细接口!$Q940),"")</f>
      </c>
      <c r="W940" s="20">
        <f>IFERROR(IF([2]对账明细接口!$R940=0,"",[2]对账明细接口!$R940),"")</f>
      </c>
      <c r="X940" s="20">
        <f>IFERROR(IF([2]对账明细接口!$S940=0,"",[2]对账明细接口!$S940),"")</f>
      </c>
      <c r="Y940" s="20">
        <f>""</f>
      </c>
      <c r="Z940" s="20">
        <f>""</f>
      </c>
      <c r="AA940" s="20">
        <f>""</f>
      </c>
      <c r="AB940" s="20">
        <f>""</f>
      </c>
    </row>
    <row r="941" s="127">
      <c r="A941" s="14" t="n">
        <v>941</v>
      </c>
      <c r="B941" s="211">
        <f>IFERROR(IF([2]对账明细接口!$B$941=0,"",[2]对账明细接口!$B$941),"")</f>
      </c>
      <c r="C941" s="16">
        <f>IFERROR(IF([2]对账明细接口!$C$941=0,"",[2]对账明细接口!$C$941),"")</f>
      </c>
      <c r="D941" s="16">
        <f>IFERROR(IF([2]对账明细接口!$D$941=0,"",[2]对账明细接口!$D$941),"")</f>
      </c>
      <c r="E941" s="16">
        <f>IFERROR(IF([2]对账明细接口!$E$941=0,"",[2]对账明细接口!$E$941),"")</f>
      </c>
      <c r="F941" s="16">
        <f>IFERROR(IF([2]对账明细接口!$F$941=0,"",[2]对账明细接口!$F$941),"")</f>
      </c>
      <c r="G941" s="16">
        <f>IFERROR(IF([2]对账明细接口!$G$941=0,"",[2]对账明细接口!$G$941),"")</f>
      </c>
      <c r="H941" s="176">
        <f>IFERROR(IF([2]对账明细接口!$H$941=0,"",[2]对账明细接口!$H$941),"")</f>
      </c>
      <c r="I941" s="16">
        <f>IFERROR(IF([2]对账明细接口!$I$941=0,"",[2]对账明细接口!$I$941),"")</f>
      </c>
      <c r="J941" s="177">
        <f>IFERROR(IF([2]对账明细接口!$J$941=0,"",[2]对账明细接口!$J$941),"")</f>
      </c>
      <c r="K941" s="177">
        <f>IFERROR(IF([2]对账明细接口!$K$941=0,"",[2]对账明细接口!$K$941),"")</f>
      </c>
      <c r="L941" s="16">
        <f>IFERROR(IF([2]对账明细接口!$L$941=0,"",[2]对账明细接口!$L$941),"")</f>
      </c>
      <c r="M941" s="16">
        <f>IFERROR(IF([2]对账明细接口!$M$941=0,"",[2]对账明细接口!$M$941),"")</f>
      </c>
      <c r="N941" s="19">
        <f>IF($C941="",0,1)</f>
        <v>0</v>
      </c>
      <c r="O941" s="19">
        <f>N(O940)+$N941</f>
        <v>272</v>
      </c>
      <c r="S941" s="20">
        <f>IFERROR(IF([2]对账明细接口!$N941=0,"",[2]对账明细接口!$N941),"")</f>
      </c>
      <c r="T941" s="212">
        <f>IFERROR(IF([2]对账明细接口!$O941=0,"",[2]对账明细接口!$O941),"")</f>
      </c>
      <c r="U941" s="212">
        <f>IFERROR(IF([2]对账明细接口!$P941=0,"",[2]对账明细接口!$P941),"")</f>
      </c>
      <c r="V941" s="212">
        <f>IFERROR(IF([2]对账明细接口!$Q941=0,"",[2]对账明细接口!$Q941),"")</f>
      </c>
      <c r="W941" s="20">
        <f>IFERROR(IF([2]对账明细接口!$R941=0,"",[2]对账明细接口!$R941),"")</f>
      </c>
      <c r="X941" s="20">
        <f>IFERROR(IF([2]对账明细接口!$S941=0,"",[2]对账明细接口!$S941),"")</f>
      </c>
      <c r="Y941" s="20">
        <f>""</f>
      </c>
      <c r="Z941" s="20">
        <f>""</f>
      </c>
      <c r="AA941" s="20">
        <f>""</f>
      </c>
      <c r="AB941" s="20">
        <f>""</f>
      </c>
    </row>
    <row r="942" s="127">
      <c r="A942" s="14" t="n">
        <v>942</v>
      </c>
      <c r="B942" s="211">
        <f>IFERROR(IF([2]对账明细接口!$B$942=0,"",[2]对账明细接口!$B$942),"")</f>
      </c>
      <c r="C942" s="16">
        <f>IFERROR(IF([2]对账明细接口!$C$942=0,"",[2]对账明细接口!$C$942),"")</f>
      </c>
      <c r="D942" s="16">
        <f>IFERROR(IF([2]对账明细接口!$D$942=0,"",[2]对账明细接口!$D$942),"")</f>
      </c>
      <c r="E942" s="16">
        <f>IFERROR(IF([2]对账明细接口!$E$942=0,"",[2]对账明细接口!$E$942),"")</f>
      </c>
      <c r="F942" s="16">
        <f>IFERROR(IF([2]对账明细接口!$F$942=0,"",[2]对账明细接口!$F$942),"")</f>
      </c>
      <c r="G942" s="16">
        <f>IFERROR(IF([2]对账明细接口!$G$942=0,"",[2]对账明细接口!$G$942),"")</f>
      </c>
      <c r="H942" s="176">
        <f>IFERROR(IF([2]对账明细接口!$H$942=0,"",[2]对账明细接口!$H$942),"")</f>
      </c>
      <c r="I942" s="16">
        <f>IFERROR(IF([2]对账明细接口!$I$942=0,"",[2]对账明细接口!$I$942),"")</f>
      </c>
      <c r="J942" s="177">
        <f>IFERROR(IF([2]对账明细接口!$J$942=0,"",[2]对账明细接口!$J$942),"")</f>
      </c>
      <c r="K942" s="177">
        <f>IFERROR(IF([2]对账明细接口!$K$942=0,"",[2]对账明细接口!$K$942),"")</f>
      </c>
      <c r="L942" s="16">
        <f>IFERROR(IF([2]对账明细接口!$L$942=0,"",[2]对账明细接口!$L$942),"")</f>
      </c>
      <c r="M942" s="16">
        <f>IFERROR(IF([2]对账明细接口!$M$942=0,"",[2]对账明细接口!$M$942),"")</f>
      </c>
      <c r="N942" s="19">
        <f>IF($C942="",0,1)</f>
        <v>0</v>
      </c>
      <c r="O942" s="19">
        <f>N(O941)+$N942</f>
        <v>272</v>
      </c>
      <c r="S942" s="20">
        <f>IFERROR(IF([2]对账明细接口!$N942=0,"",[2]对账明细接口!$N942),"")</f>
      </c>
      <c r="T942" s="212">
        <f>IFERROR(IF([2]对账明细接口!$O942=0,"",[2]对账明细接口!$O942),"")</f>
      </c>
      <c r="U942" s="212">
        <f>IFERROR(IF([2]对账明细接口!$P942=0,"",[2]对账明细接口!$P942),"")</f>
      </c>
      <c r="V942" s="212">
        <f>IFERROR(IF([2]对账明细接口!$Q942=0,"",[2]对账明细接口!$Q942),"")</f>
      </c>
      <c r="W942" s="20">
        <f>IFERROR(IF([2]对账明细接口!$R942=0,"",[2]对账明细接口!$R942),"")</f>
      </c>
      <c r="X942" s="20">
        <f>IFERROR(IF([2]对账明细接口!$S942=0,"",[2]对账明细接口!$S942),"")</f>
      </c>
      <c r="Y942" s="20">
        <f>""</f>
      </c>
      <c r="Z942" s="20">
        <f>""</f>
      </c>
      <c r="AA942" s="20">
        <f>""</f>
      </c>
      <c r="AB942" s="20">
        <f>""</f>
      </c>
    </row>
    <row r="943" s="127">
      <c r="A943" s="14" t="n">
        <v>943</v>
      </c>
      <c r="B943" s="211">
        <f>IFERROR(IF([2]对账明细接口!$B$943=0,"",[2]对账明细接口!$B$943),"")</f>
      </c>
      <c r="C943" s="16">
        <f>IFERROR(IF([2]对账明细接口!$C$943=0,"",[2]对账明细接口!$C$943),"")</f>
      </c>
      <c r="D943" s="16">
        <f>IFERROR(IF([2]对账明细接口!$D$943=0,"",[2]对账明细接口!$D$943),"")</f>
      </c>
      <c r="E943" s="16">
        <f>IFERROR(IF([2]对账明细接口!$E$943=0,"",[2]对账明细接口!$E$943),"")</f>
      </c>
      <c r="F943" s="16">
        <f>IFERROR(IF([2]对账明细接口!$F$943=0,"",[2]对账明细接口!$F$943),"")</f>
      </c>
      <c r="G943" s="16">
        <f>IFERROR(IF([2]对账明细接口!$G$943=0,"",[2]对账明细接口!$G$943),"")</f>
      </c>
      <c r="H943" s="176">
        <f>IFERROR(IF([2]对账明细接口!$H$943=0,"",[2]对账明细接口!$H$943),"")</f>
      </c>
      <c r="I943" s="16">
        <f>IFERROR(IF([2]对账明细接口!$I$943=0,"",[2]对账明细接口!$I$943),"")</f>
      </c>
      <c r="J943" s="177">
        <f>IFERROR(IF([2]对账明细接口!$J$943=0,"",[2]对账明细接口!$J$943),"")</f>
      </c>
      <c r="K943" s="177">
        <f>IFERROR(IF([2]对账明细接口!$K$943=0,"",[2]对账明细接口!$K$943),"")</f>
      </c>
      <c r="L943" s="16">
        <f>IFERROR(IF([2]对账明细接口!$L$943=0,"",[2]对账明细接口!$L$943),"")</f>
      </c>
      <c r="M943" s="16">
        <f>IFERROR(IF([2]对账明细接口!$M$943=0,"",[2]对账明细接口!$M$943),"")</f>
      </c>
      <c r="N943" s="19">
        <f>IF($C943="",0,1)</f>
        <v>0</v>
      </c>
      <c r="O943" s="19">
        <f>N(O942)+$N943</f>
        <v>272</v>
      </c>
      <c r="S943" s="20">
        <f>IFERROR(IF([2]对账明细接口!$N943=0,"",[2]对账明细接口!$N943),"")</f>
      </c>
      <c r="T943" s="212">
        <f>IFERROR(IF([2]对账明细接口!$O943=0,"",[2]对账明细接口!$O943),"")</f>
      </c>
      <c r="U943" s="212">
        <f>IFERROR(IF([2]对账明细接口!$P943=0,"",[2]对账明细接口!$P943),"")</f>
      </c>
      <c r="V943" s="212">
        <f>IFERROR(IF([2]对账明细接口!$Q943=0,"",[2]对账明细接口!$Q943),"")</f>
      </c>
      <c r="W943" s="20">
        <f>IFERROR(IF([2]对账明细接口!$R943=0,"",[2]对账明细接口!$R943),"")</f>
      </c>
      <c r="X943" s="20">
        <f>IFERROR(IF([2]对账明细接口!$S943=0,"",[2]对账明细接口!$S943),"")</f>
      </c>
      <c r="Y943" s="20">
        <f>""</f>
      </c>
      <c r="Z943" s="20">
        <f>""</f>
      </c>
      <c r="AA943" s="20">
        <f>""</f>
      </c>
      <c r="AB943" s="20">
        <f>""</f>
      </c>
    </row>
    <row r="944" s="127">
      <c r="A944" s="14" t="n">
        <v>944</v>
      </c>
      <c r="B944" s="211">
        <f>IFERROR(IF([2]对账明细接口!$B$944=0,"",[2]对账明细接口!$B$944),"")</f>
      </c>
      <c r="C944" s="16">
        <f>IFERROR(IF([2]对账明细接口!$C$944=0,"",[2]对账明细接口!$C$944),"")</f>
      </c>
      <c r="D944" s="16">
        <f>IFERROR(IF([2]对账明细接口!$D$944=0,"",[2]对账明细接口!$D$944),"")</f>
      </c>
      <c r="E944" s="16">
        <f>IFERROR(IF([2]对账明细接口!$E$944=0,"",[2]对账明细接口!$E$944),"")</f>
      </c>
      <c r="F944" s="16">
        <f>IFERROR(IF([2]对账明细接口!$F$944=0,"",[2]对账明细接口!$F$944),"")</f>
      </c>
      <c r="G944" s="16">
        <f>IFERROR(IF([2]对账明细接口!$G$944=0,"",[2]对账明细接口!$G$944),"")</f>
      </c>
      <c r="H944" s="176">
        <f>IFERROR(IF([2]对账明细接口!$H$944=0,"",[2]对账明细接口!$H$944),"")</f>
      </c>
      <c r="I944" s="16">
        <f>IFERROR(IF([2]对账明细接口!$I$944=0,"",[2]对账明细接口!$I$944),"")</f>
      </c>
      <c r="J944" s="177">
        <f>IFERROR(IF([2]对账明细接口!$J$944=0,"",[2]对账明细接口!$J$944),"")</f>
      </c>
      <c r="K944" s="177">
        <f>IFERROR(IF([2]对账明细接口!$K$944=0,"",[2]对账明细接口!$K$944),"")</f>
      </c>
      <c r="L944" s="16">
        <f>IFERROR(IF([2]对账明细接口!$L$944=0,"",[2]对账明细接口!$L$944),"")</f>
      </c>
      <c r="M944" s="16">
        <f>IFERROR(IF([2]对账明细接口!$M$944=0,"",[2]对账明细接口!$M$944),"")</f>
      </c>
      <c r="N944" s="19">
        <f>IF($C944="",0,1)</f>
        <v>0</v>
      </c>
      <c r="O944" s="19">
        <f>N(O943)+$N944</f>
        <v>272</v>
      </c>
      <c r="S944" s="20">
        <f>IFERROR(IF([2]对账明细接口!$N944=0,"",[2]对账明细接口!$N944),"")</f>
      </c>
      <c r="T944" s="212">
        <f>IFERROR(IF([2]对账明细接口!$O944=0,"",[2]对账明细接口!$O944),"")</f>
      </c>
      <c r="U944" s="212">
        <f>IFERROR(IF([2]对账明细接口!$P944=0,"",[2]对账明细接口!$P944),"")</f>
      </c>
      <c r="V944" s="212">
        <f>IFERROR(IF([2]对账明细接口!$Q944=0,"",[2]对账明细接口!$Q944),"")</f>
      </c>
      <c r="W944" s="20">
        <f>IFERROR(IF([2]对账明细接口!$R944=0,"",[2]对账明细接口!$R944),"")</f>
      </c>
      <c r="X944" s="20">
        <f>IFERROR(IF([2]对账明细接口!$S944=0,"",[2]对账明细接口!$S944),"")</f>
      </c>
      <c r="Y944" s="20">
        <f>""</f>
      </c>
      <c r="Z944" s="20">
        <f>""</f>
      </c>
      <c r="AA944" s="20">
        <f>""</f>
      </c>
      <c r="AB944" s="20">
        <f>""</f>
      </c>
    </row>
    <row r="945" s="127">
      <c r="A945" s="14" t="n">
        <v>945</v>
      </c>
      <c r="B945" s="211">
        <f>IFERROR(IF([2]对账明细接口!$B$945=0,"",[2]对账明细接口!$B$945),"")</f>
      </c>
      <c r="C945" s="16">
        <f>IFERROR(IF([2]对账明细接口!$C$945=0,"",[2]对账明细接口!$C$945),"")</f>
      </c>
      <c r="D945" s="16">
        <f>IFERROR(IF([2]对账明细接口!$D$945=0,"",[2]对账明细接口!$D$945),"")</f>
      </c>
      <c r="E945" s="16">
        <f>IFERROR(IF([2]对账明细接口!$E$945=0,"",[2]对账明细接口!$E$945),"")</f>
      </c>
      <c r="F945" s="16">
        <f>IFERROR(IF([2]对账明细接口!$F$945=0,"",[2]对账明细接口!$F$945),"")</f>
      </c>
      <c r="G945" s="16">
        <f>IFERROR(IF([2]对账明细接口!$G$945=0,"",[2]对账明细接口!$G$945),"")</f>
      </c>
      <c r="H945" s="176">
        <f>IFERROR(IF([2]对账明细接口!$H$945=0,"",[2]对账明细接口!$H$945),"")</f>
      </c>
      <c r="I945" s="16">
        <f>IFERROR(IF([2]对账明细接口!$I$945=0,"",[2]对账明细接口!$I$945),"")</f>
      </c>
      <c r="J945" s="177">
        <f>IFERROR(IF([2]对账明细接口!$J$945=0,"",[2]对账明细接口!$J$945),"")</f>
      </c>
      <c r="K945" s="177">
        <f>IFERROR(IF([2]对账明细接口!$K$945=0,"",[2]对账明细接口!$K$945),"")</f>
      </c>
      <c r="L945" s="16">
        <f>IFERROR(IF([2]对账明细接口!$L$945=0,"",[2]对账明细接口!$L$945),"")</f>
      </c>
      <c r="M945" s="16">
        <f>IFERROR(IF([2]对账明细接口!$M$945=0,"",[2]对账明细接口!$M$945),"")</f>
      </c>
      <c r="N945" s="19">
        <f>IF($C945="",0,1)</f>
        <v>0</v>
      </c>
      <c r="O945" s="19">
        <f>N(O944)+$N945</f>
        <v>272</v>
      </c>
      <c r="S945" s="20">
        <f>IFERROR(IF([2]对账明细接口!$N945=0,"",[2]对账明细接口!$N945),"")</f>
      </c>
      <c r="T945" s="212">
        <f>IFERROR(IF([2]对账明细接口!$O945=0,"",[2]对账明细接口!$O945),"")</f>
      </c>
      <c r="U945" s="212">
        <f>IFERROR(IF([2]对账明细接口!$P945=0,"",[2]对账明细接口!$P945),"")</f>
      </c>
      <c r="V945" s="212">
        <f>IFERROR(IF([2]对账明细接口!$Q945=0,"",[2]对账明细接口!$Q945),"")</f>
      </c>
      <c r="W945" s="20">
        <f>IFERROR(IF([2]对账明细接口!$R945=0,"",[2]对账明细接口!$R945),"")</f>
      </c>
      <c r="X945" s="20">
        <f>IFERROR(IF([2]对账明细接口!$S945=0,"",[2]对账明细接口!$S945),"")</f>
      </c>
      <c r="Y945" s="20">
        <f>""</f>
      </c>
      <c r="Z945" s="20">
        <f>""</f>
      </c>
      <c r="AA945" s="20">
        <f>""</f>
      </c>
      <c r="AB945" s="20">
        <f>""</f>
      </c>
    </row>
    <row r="946" s="127">
      <c r="A946" s="14" t="n">
        <v>946</v>
      </c>
      <c r="B946" s="211">
        <f>IFERROR(IF([2]对账明细接口!$B$946=0,"",[2]对账明细接口!$B$946),"")</f>
      </c>
      <c r="C946" s="16">
        <f>IFERROR(IF([2]对账明细接口!$C$946=0,"",[2]对账明细接口!$C$946),"")</f>
      </c>
      <c r="D946" s="16">
        <f>IFERROR(IF([2]对账明细接口!$D$946=0,"",[2]对账明细接口!$D$946),"")</f>
      </c>
      <c r="E946" s="16">
        <f>IFERROR(IF([2]对账明细接口!$E$946=0,"",[2]对账明细接口!$E$946),"")</f>
      </c>
      <c r="F946" s="16">
        <f>IFERROR(IF([2]对账明细接口!$F$946=0,"",[2]对账明细接口!$F$946),"")</f>
      </c>
      <c r="G946" s="16">
        <f>IFERROR(IF([2]对账明细接口!$G$946=0,"",[2]对账明细接口!$G$946),"")</f>
      </c>
      <c r="H946" s="176">
        <f>IFERROR(IF([2]对账明细接口!$H$946=0,"",[2]对账明细接口!$H$946),"")</f>
      </c>
      <c r="I946" s="16">
        <f>IFERROR(IF([2]对账明细接口!$I$946=0,"",[2]对账明细接口!$I$946),"")</f>
      </c>
      <c r="J946" s="177">
        <f>IFERROR(IF([2]对账明细接口!$J$946=0,"",[2]对账明细接口!$J$946),"")</f>
      </c>
      <c r="K946" s="177">
        <f>IFERROR(IF([2]对账明细接口!$K$946=0,"",[2]对账明细接口!$K$946),"")</f>
      </c>
      <c r="L946" s="16">
        <f>IFERROR(IF([2]对账明细接口!$L$946=0,"",[2]对账明细接口!$L$946),"")</f>
      </c>
      <c r="M946" s="16">
        <f>IFERROR(IF([2]对账明细接口!$M$946=0,"",[2]对账明细接口!$M$946),"")</f>
      </c>
      <c r="N946" s="19">
        <f>IF($C946="",0,1)</f>
        <v>0</v>
      </c>
      <c r="O946" s="19">
        <f>N(O945)+$N946</f>
        <v>272</v>
      </c>
      <c r="S946" s="20">
        <f>IFERROR(IF([2]对账明细接口!$N946=0,"",[2]对账明细接口!$N946),"")</f>
      </c>
      <c r="T946" s="212">
        <f>IFERROR(IF([2]对账明细接口!$O946=0,"",[2]对账明细接口!$O946),"")</f>
      </c>
      <c r="U946" s="212">
        <f>IFERROR(IF([2]对账明细接口!$P946=0,"",[2]对账明细接口!$P946),"")</f>
      </c>
      <c r="V946" s="212">
        <f>IFERROR(IF([2]对账明细接口!$Q946=0,"",[2]对账明细接口!$Q946),"")</f>
      </c>
      <c r="W946" s="20">
        <f>IFERROR(IF([2]对账明细接口!$R946=0,"",[2]对账明细接口!$R946),"")</f>
      </c>
      <c r="X946" s="20">
        <f>IFERROR(IF([2]对账明细接口!$S946=0,"",[2]对账明细接口!$S946),"")</f>
      </c>
      <c r="Y946" s="20">
        <f>""</f>
      </c>
      <c r="Z946" s="20">
        <f>""</f>
      </c>
      <c r="AA946" s="20">
        <f>""</f>
      </c>
      <c r="AB946" s="20">
        <f>""</f>
      </c>
    </row>
    <row r="947" s="127">
      <c r="A947" s="14" t="n">
        <v>947</v>
      </c>
      <c r="B947" s="211">
        <f>IFERROR(IF([2]对账明细接口!$B$947=0,"",[2]对账明细接口!$B$947),"")</f>
      </c>
      <c r="C947" s="16">
        <f>IFERROR(IF([2]对账明细接口!$C$947=0,"",[2]对账明细接口!$C$947),"")</f>
      </c>
      <c r="D947" s="16">
        <f>IFERROR(IF([2]对账明细接口!$D$947=0,"",[2]对账明细接口!$D$947),"")</f>
      </c>
      <c r="E947" s="16">
        <f>IFERROR(IF([2]对账明细接口!$E$947=0,"",[2]对账明细接口!$E$947),"")</f>
      </c>
      <c r="F947" s="16">
        <f>IFERROR(IF([2]对账明细接口!$F$947=0,"",[2]对账明细接口!$F$947),"")</f>
      </c>
      <c r="G947" s="16">
        <f>IFERROR(IF([2]对账明细接口!$G$947=0,"",[2]对账明细接口!$G$947),"")</f>
      </c>
      <c r="H947" s="176">
        <f>IFERROR(IF([2]对账明细接口!$H$947=0,"",[2]对账明细接口!$H$947),"")</f>
      </c>
      <c r="I947" s="16">
        <f>IFERROR(IF([2]对账明细接口!$I$947=0,"",[2]对账明细接口!$I$947),"")</f>
      </c>
      <c r="J947" s="177">
        <f>IFERROR(IF([2]对账明细接口!$J$947=0,"",[2]对账明细接口!$J$947),"")</f>
      </c>
      <c r="K947" s="177">
        <f>IFERROR(IF([2]对账明细接口!$K$947=0,"",[2]对账明细接口!$K$947),"")</f>
      </c>
      <c r="L947" s="16">
        <f>IFERROR(IF([2]对账明细接口!$L$947=0,"",[2]对账明细接口!$L$947),"")</f>
      </c>
      <c r="M947" s="16">
        <f>IFERROR(IF([2]对账明细接口!$M$947=0,"",[2]对账明细接口!$M$947),"")</f>
      </c>
      <c r="N947" s="19">
        <f>IF($C947="",0,1)</f>
        <v>0</v>
      </c>
      <c r="O947" s="19">
        <f>N(O946)+$N947</f>
        <v>272</v>
      </c>
      <c r="S947" s="20">
        <f>IFERROR(IF([2]对账明细接口!$N947=0,"",[2]对账明细接口!$N947),"")</f>
      </c>
      <c r="T947" s="212">
        <f>IFERROR(IF([2]对账明细接口!$O947=0,"",[2]对账明细接口!$O947),"")</f>
      </c>
      <c r="U947" s="212">
        <f>IFERROR(IF([2]对账明细接口!$P947=0,"",[2]对账明细接口!$P947),"")</f>
      </c>
      <c r="V947" s="212">
        <f>IFERROR(IF([2]对账明细接口!$Q947=0,"",[2]对账明细接口!$Q947),"")</f>
      </c>
      <c r="W947" s="20">
        <f>IFERROR(IF([2]对账明细接口!$R947=0,"",[2]对账明细接口!$R947),"")</f>
      </c>
      <c r="X947" s="20">
        <f>IFERROR(IF([2]对账明细接口!$S947=0,"",[2]对账明细接口!$S947),"")</f>
      </c>
      <c r="Y947" s="20">
        <f>""</f>
      </c>
      <c r="Z947" s="20">
        <f>""</f>
      </c>
      <c r="AA947" s="20">
        <f>""</f>
      </c>
      <c r="AB947" s="20">
        <f>""</f>
      </c>
    </row>
    <row r="948" s="127">
      <c r="A948" s="14" t="n">
        <v>948</v>
      </c>
      <c r="B948" s="211">
        <f>IFERROR(IF([2]对账明细接口!$B$948=0,"",[2]对账明细接口!$B$948),"")</f>
      </c>
      <c r="C948" s="16">
        <f>IFERROR(IF([2]对账明细接口!$C$948=0,"",[2]对账明细接口!$C$948),"")</f>
      </c>
      <c r="D948" s="16">
        <f>IFERROR(IF([2]对账明细接口!$D$948=0,"",[2]对账明细接口!$D$948),"")</f>
      </c>
      <c r="E948" s="16">
        <f>IFERROR(IF([2]对账明细接口!$E$948=0,"",[2]对账明细接口!$E$948),"")</f>
      </c>
      <c r="F948" s="16">
        <f>IFERROR(IF([2]对账明细接口!$F$948=0,"",[2]对账明细接口!$F$948),"")</f>
      </c>
      <c r="G948" s="16">
        <f>IFERROR(IF([2]对账明细接口!$G$948=0,"",[2]对账明细接口!$G$948),"")</f>
      </c>
      <c r="H948" s="176">
        <f>IFERROR(IF([2]对账明细接口!$H$948=0,"",[2]对账明细接口!$H$948),"")</f>
      </c>
      <c r="I948" s="16">
        <f>IFERROR(IF([2]对账明细接口!$I$948=0,"",[2]对账明细接口!$I$948),"")</f>
      </c>
      <c r="J948" s="177">
        <f>IFERROR(IF([2]对账明细接口!$J$948=0,"",[2]对账明细接口!$J$948),"")</f>
      </c>
      <c r="K948" s="177">
        <f>IFERROR(IF([2]对账明细接口!$K$948=0,"",[2]对账明细接口!$K$948),"")</f>
      </c>
      <c r="L948" s="16">
        <f>IFERROR(IF([2]对账明细接口!$L$948=0,"",[2]对账明细接口!$L$948),"")</f>
      </c>
      <c r="M948" s="16">
        <f>IFERROR(IF([2]对账明细接口!$M$948=0,"",[2]对账明细接口!$M$948),"")</f>
      </c>
      <c r="N948" s="19">
        <f>IF($C948="",0,1)</f>
        <v>0</v>
      </c>
      <c r="O948" s="19">
        <f>N(O947)+$N948</f>
        <v>272</v>
      </c>
      <c r="S948" s="20">
        <f>IFERROR(IF([2]对账明细接口!$N948=0,"",[2]对账明细接口!$N948),"")</f>
      </c>
      <c r="T948" s="212">
        <f>IFERROR(IF([2]对账明细接口!$O948=0,"",[2]对账明细接口!$O948),"")</f>
      </c>
      <c r="U948" s="212">
        <f>IFERROR(IF([2]对账明细接口!$P948=0,"",[2]对账明细接口!$P948),"")</f>
      </c>
      <c r="V948" s="212">
        <f>IFERROR(IF([2]对账明细接口!$Q948=0,"",[2]对账明细接口!$Q948),"")</f>
      </c>
      <c r="W948" s="20">
        <f>IFERROR(IF([2]对账明细接口!$R948=0,"",[2]对账明细接口!$R948),"")</f>
      </c>
      <c r="X948" s="20">
        <f>IFERROR(IF([2]对账明细接口!$S948=0,"",[2]对账明细接口!$S948),"")</f>
      </c>
      <c r="Y948" s="20">
        <f>""</f>
      </c>
      <c r="Z948" s="20">
        <f>""</f>
      </c>
      <c r="AA948" s="20">
        <f>""</f>
      </c>
      <c r="AB948" s="20">
        <f>""</f>
      </c>
    </row>
    <row r="949" s="127">
      <c r="A949" s="14" t="n">
        <v>949</v>
      </c>
      <c r="B949" s="211">
        <f>IFERROR(IF([2]对账明细接口!$B$949=0,"",[2]对账明细接口!$B$949),"")</f>
      </c>
      <c r="C949" s="16">
        <f>IFERROR(IF([2]对账明细接口!$C$949=0,"",[2]对账明细接口!$C$949),"")</f>
      </c>
      <c r="D949" s="16">
        <f>IFERROR(IF([2]对账明细接口!$D$949=0,"",[2]对账明细接口!$D$949),"")</f>
      </c>
      <c r="E949" s="16">
        <f>IFERROR(IF([2]对账明细接口!$E$949=0,"",[2]对账明细接口!$E$949),"")</f>
      </c>
      <c r="F949" s="16">
        <f>IFERROR(IF([2]对账明细接口!$F$949=0,"",[2]对账明细接口!$F$949),"")</f>
      </c>
      <c r="G949" s="16">
        <f>IFERROR(IF([2]对账明细接口!$G$949=0,"",[2]对账明细接口!$G$949),"")</f>
      </c>
      <c r="H949" s="176">
        <f>IFERROR(IF([2]对账明细接口!$H$949=0,"",[2]对账明细接口!$H$949),"")</f>
      </c>
      <c r="I949" s="16">
        <f>IFERROR(IF([2]对账明细接口!$I$949=0,"",[2]对账明细接口!$I$949),"")</f>
      </c>
      <c r="J949" s="177">
        <f>IFERROR(IF([2]对账明细接口!$J$949=0,"",[2]对账明细接口!$J$949),"")</f>
      </c>
      <c r="K949" s="177">
        <f>IFERROR(IF([2]对账明细接口!$K$949=0,"",[2]对账明细接口!$K$949),"")</f>
      </c>
      <c r="L949" s="16">
        <f>IFERROR(IF([2]对账明细接口!$L$949=0,"",[2]对账明细接口!$L$949),"")</f>
      </c>
      <c r="M949" s="16">
        <f>IFERROR(IF([2]对账明细接口!$M$949=0,"",[2]对账明细接口!$M$949),"")</f>
      </c>
      <c r="N949" s="19">
        <f>IF($C949="",0,1)</f>
        <v>0</v>
      </c>
      <c r="O949" s="19">
        <f>N(O948)+$N949</f>
        <v>272</v>
      </c>
      <c r="S949" s="20">
        <f>IFERROR(IF([2]对账明细接口!$N949=0,"",[2]对账明细接口!$N949),"")</f>
      </c>
      <c r="T949" s="212">
        <f>IFERROR(IF([2]对账明细接口!$O949=0,"",[2]对账明细接口!$O949),"")</f>
      </c>
      <c r="U949" s="212">
        <f>IFERROR(IF([2]对账明细接口!$P949=0,"",[2]对账明细接口!$P949),"")</f>
      </c>
      <c r="V949" s="212">
        <f>IFERROR(IF([2]对账明细接口!$Q949=0,"",[2]对账明细接口!$Q949),"")</f>
      </c>
      <c r="W949" s="20">
        <f>IFERROR(IF([2]对账明细接口!$R949=0,"",[2]对账明细接口!$R949),"")</f>
      </c>
      <c r="X949" s="20">
        <f>IFERROR(IF([2]对账明细接口!$S949=0,"",[2]对账明细接口!$S949),"")</f>
      </c>
      <c r="Y949" s="20">
        <f>""</f>
      </c>
      <c r="Z949" s="20">
        <f>""</f>
      </c>
      <c r="AA949" s="20">
        <f>""</f>
      </c>
      <c r="AB949" s="20">
        <f>""</f>
      </c>
    </row>
    <row r="950" s="127">
      <c r="A950" s="14" t="n">
        <v>950</v>
      </c>
      <c r="B950" s="211">
        <f>IFERROR(IF([2]对账明细接口!$B$950=0,"",[2]对账明细接口!$B$950),"")</f>
      </c>
      <c r="C950" s="16">
        <f>IFERROR(IF([2]对账明细接口!$C$950=0,"",[2]对账明细接口!$C$950),"")</f>
      </c>
      <c r="D950" s="16">
        <f>IFERROR(IF([2]对账明细接口!$D$950=0,"",[2]对账明细接口!$D$950),"")</f>
      </c>
      <c r="E950" s="16">
        <f>IFERROR(IF([2]对账明细接口!$E$950=0,"",[2]对账明细接口!$E$950),"")</f>
      </c>
      <c r="F950" s="16">
        <f>IFERROR(IF([2]对账明细接口!$F$950=0,"",[2]对账明细接口!$F$950),"")</f>
      </c>
      <c r="G950" s="16">
        <f>IFERROR(IF([2]对账明细接口!$G$950=0,"",[2]对账明细接口!$G$950),"")</f>
      </c>
      <c r="H950" s="176">
        <f>IFERROR(IF([2]对账明细接口!$H$950=0,"",[2]对账明细接口!$H$950),"")</f>
      </c>
      <c r="I950" s="16">
        <f>IFERROR(IF([2]对账明细接口!$I$950=0,"",[2]对账明细接口!$I$950),"")</f>
      </c>
      <c r="J950" s="177">
        <f>IFERROR(IF([2]对账明细接口!$J$950=0,"",[2]对账明细接口!$J$950),"")</f>
      </c>
      <c r="K950" s="177">
        <f>IFERROR(IF([2]对账明细接口!$K$950=0,"",[2]对账明细接口!$K$950),"")</f>
      </c>
      <c r="L950" s="16">
        <f>IFERROR(IF([2]对账明细接口!$L$950=0,"",[2]对账明细接口!$L$950),"")</f>
      </c>
      <c r="M950" s="16">
        <f>IFERROR(IF([2]对账明细接口!$M$950=0,"",[2]对账明细接口!$M$950),"")</f>
      </c>
      <c r="N950" s="19">
        <f>IF($C950="",0,1)</f>
        <v>0</v>
      </c>
      <c r="O950" s="19">
        <f>N(O949)+$N950</f>
        <v>272</v>
      </c>
      <c r="S950" s="20">
        <f>IFERROR(IF([2]对账明细接口!$N950=0,"",[2]对账明细接口!$N950),"")</f>
      </c>
      <c r="T950" s="212">
        <f>IFERROR(IF([2]对账明细接口!$O950=0,"",[2]对账明细接口!$O950),"")</f>
      </c>
      <c r="U950" s="212">
        <f>IFERROR(IF([2]对账明细接口!$P950=0,"",[2]对账明细接口!$P950),"")</f>
      </c>
      <c r="V950" s="212">
        <f>IFERROR(IF([2]对账明细接口!$Q950=0,"",[2]对账明细接口!$Q950),"")</f>
      </c>
      <c r="W950" s="20">
        <f>IFERROR(IF([2]对账明细接口!$R950=0,"",[2]对账明细接口!$R950),"")</f>
      </c>
      <c r="X950" s="20">
        <f>IFERROR(IF([2]对账明细接口!$S950=0,"",[2]对账明细接口!$S950),"")</f>
      </c>
      <c r="Y950" s="20">
        <f>""</f>
      </c>
      <c r="Z950" s="20">
        <f>""</f>
      </c>
      <c r="AA950" s="20">
        <f>""</f>
      </c>
      <c r="AB950" s="20">
        <f>""</f>
      </c>
    </row>
    <row r="951" s="127">
      <c r="A951" s="14" t="n">
        <v>951</v>
      </c>
      <c r="B951" s="211">
        <f>IFERROR(IF([2]对账明细接口!$B$951=0,"",[2]对账明细接口!$B$951),"")</f>
      </c>
      <c r="C951" s="16">
        <f>IFERROR(IF([2]对账明细接口!$C$951=0,"",[2]对账明细接口!$C$951),"")</f>
      </c>
      <c r="D951" s="16">
        <f>IFERROR(IF([2]对账明细接口!$D$951=0,"",[2]对账明细接口!$D$951),"")</f>
      </c>
      <c r="E951" s="16">
        <f>IFERROR(IF([2]对账明细接口!$E$951=0,"",[2]对账明细接口!$E$951),"")</f>
      </c>
      <c r="F951" s="16">
        <f>IFERROR(IF([2]对账明细接口!$F$951=0,"",[2]对账明细接口!$F$951),"")</f>
      </c>
      <c r="G951" s="16">
        <f>IFERROR(IF([2]对账明细接口!$G$951=0,"",[2]对账明细接口!$G$951),"")</f>
      </c>
      <c r="H951" s="176">
        <f>IFERROR(IF([2]对账明细接口!$H$951=0,"",[2]对账明细接口!$H$951),"")</f>
      </c>
      <c r="I951" s="16">
        <f>IFERROR(IF([2]对账明细接口!$I$951=0,"",[2]对账明细接口!$I$951),"")</f>
      </c>
      <c r="J951" s="177">
        <f>IFERROR(IF([2]对账明细接口!$J$951=0,"",[2]对账明细接口!$J$951),"")</f>
      </c>
      <c r="K951" s="177">
        <f>IFERROR(IF([2]对账明细接口!$K$951=0,"",[2]对账明细接口!$K$951),"")</f>
      </c>
      <c r="L951" s="16">
        <f>IFERROR(IF([2]对账明细接口!$L$951=0,"",[2]对账明细接口!$L$951),"")</f>
      </c>
      <c r="M951" s="16">
        <f>IFERROR(IF([2]对账明细接口!$M$951=0,"",[2]对账明细接口!$M$951),"")</f>
      </c>
      <c r="N951" s="19">
        <f>IF($C951="",0,1)</f>
        <v>0</v>
      </c>
      <c r="O951" s="19">
        <f>N(O950)+$N951</f>
        <v>272</v>
      </c>
      <c r="S951" s="20">
        <f>IFERROR(IF([2]对账明细接口!$N951=0,"",[2]对账明细接口!$N951),"")</f>
      </c>
      <c r="T951" s="212">
        <f>IFERROR(IF([2]对账明细接口!$O951=0,"",[2]对账明细接口!$O951),"")</f>
      </c>
      <c r="U951" s="212">
        <f>IFERROR(IF([2]对账明细接口!$P951=0,"",[2]对账明细接口!$P951),"")</f>
      </c>
      <c r="V951" s="212">
        <f>IFERROR(IF([2]对账明细接口!$Q951=0,"",[2]对账明细接口!$Q951),"")</f>
      </c>
      <c r="W951" s="20">
        <f>IFERROR(IF([2]对账明细接口!$R951=0,"",[2]对账明细接口!$R951),"")</f>
      </c>
      <c r="X951" s="20">
        <f>IFERROR(IF([2]对账明细接口!$S951=0,"",[2]对账明细接口!$S951),"")</f>
      </c>
      <c r="Y951" s="20">
        <f>""</f>
      </c>
      <c r="Z951" s="20">
        <f>""</f>
      </c>
      <c r="AA951" s="20">
        <f>""</f>
      </c>
      <c r="AB951" s="20">
        <f>""</f>
      </c>
    </row>
    <row r="952" s="127">
      <c r="A952" s="14" t="n">
        <v>952</v>
      </c>
      <c r="B952" s="211">
        <f>IFERROR(IF([2]对账明细接口!$B$952=0,"",[2]对账明细接口!$B$952),"")</f>
      </c>
      <c r="C952" s="16">
        <f>IFERROR(IF([2]对账明细接口!$C$952=0,"",[2]对账明细接口!$C$952),"")</f>
      </c>
      <c r="D952" s="16">
        <f>IFERROR(IF([2]对账明细接口!$D$952=0,"",[2]对账明细接口!$D$952),"")</f>
      </c>
      <c r="E952" s="16">
        <f>IFERROR(IF([2]对账明细接口!$E$952=0,"",[2]对账明细接口!$E$952),"")</f>
      </c>
      <c r="F952" s="16">
        <f>IFERROR(IF([2]对账明细接口!$F$952=0,"",[2]对账明细接口!$F$952),"")</f>
      </c>
      <c r="G952" s="16">
        <f>IFERROR(IF([2]对账明细接口!$G$952=0,"",[2]对账明细接口!$G$952),"")</f>
      </c>
      <c r="H952" s="176">
        <f>IFERROR(IF([2]对账明细接口!$H$952=0,"",[2]对账明细接口!$H$952),"")</f>
      </c>
      <c r="I952" s="16">
        <f>IFERROR(IF([2]对账明细接口!$I$952=0,"",[2]对账明细接口!$I$952),"")</f>
      </c>
      <c r="J952" s="177">
        <f>IFERROR(IF([2]对账明细接口!$J$952=0,"",[2]对账明细接口!$J$952),"")</f>
      </c>
      <c r="K952" s="177">
        <f>IFERROR(IF([2]对账明细接口!$K$952=0,"",[2]对账明细接口!$K$952),"")</f>
      </c>
      <c r="L952" s="16">
        <f>IFERROR(IF([2]对账明细接口!$L$952=0,"",[2]对账明细接口!$L$952),"")</f>
      </c>
      <c r="M952" s="16">
        <f>IFERROR(IF([2]对账明细接口!$M$952=0,"",[2]对账明细接口!$M$952),"")</f>
      </c>
      <c r="N952" s="19">
        <f>IF($C952="",0,1)</f>
        <v>0</v>
      </c>
      <c r="O952" s="19">
        <f>N(O951)+$N952</f>
        <v>272</v>
      </c>
      <c r="S952" s="20">
        <f>IFERROR(IF([2]对账明细接口!$N952=0,"",[2]对账明细接口!$N952),"")</f>
      </c>
      <c r="T952" s="212">
        <f>IFERROR(IF([2]对账明细接口!$O952=0,"",[2]对账明细接口!$O952),"")</f>
      </c>
      <c r="U952" s="212">
        <f>IFERROR(IF([2]对账明细接口!$P952=0,"",[2]对账明细接口!$P952),"")</f>
      </c>
      <c r="V952" s="212">
        <f>IFERROR(IF([2]对账明细接口!$Q952=0,"",[2]对账明细接口!$Q952),"")</f>
      </c>
      <c r="W952" s="20">
        <f>IFERROR(IF([2]对账明细接口!$R952=0,"",[2]对账明细接口!$R952),"")</f>
      </c>
      <c r="X952" s="20">
        <f>IFERROR(IF([2]对账明细接口!$S952=0,"",[2]对账明细接口!$S952),"")</f>
      </c>
      <c r="Y952" s="20">
        <f>""</f>
      </c>
      <c r="Z952" s="20">
        <f>""</f>
      </c>
      <c r="AA952" s="20">
        <f>""</f>
      </c>
      <c r="AB952" s="20">
        <f>""</f>
      </c>
    </row>
    <row r="953" s="127">
      <c r="A953" s="14" t="n">
        <v>953</v>
      </c>
      <c r="B953" s="211">
        <f>IFERROR(IF([2]对账明细接口!$B$953=0,"",[2]对账明细接口!$B$953),"")</f>
      </c>
      <c r="C953" s="16">
        <f>IFERROR(IF([2]对账明细接口!$C$953=0,"",[2]对账明细接口!$C$953),"")</f>
      </c>
      <c r="D953" s="16">
        <f>IFERROR(IF([2]对账明细接口!$D$953=0,"",[2]对账明细接口!$D$953),"")</f>
      </c>
      <c r="E953" s="16">
        <f>IFERROR(IF([2]对账明细接口!$E$953=0,"",[2]对账明细接口!$E$953),"")</f>
      </c>
      <c r="F953" s="16">
        <f>IFERROR(IF([2]对账明细接口!$F$953=0,"",[2]对账明细接口!$F$953),"")</f>
      </c>
      <c r="G953" s="16">
        <f>IFERROR(IF([2]对账明细接口!$G$953=0,"",[2]对账明细接口!$G$953),"")</f>
      </c>
      <c r="H953" s="176">
        <f>IFERROR(IF([2]对账明细接口!$H$953=0,"",[2]对账明细接口!$H$953),"")</f>
      </c>
      <c r="I953" s="16">
        <f>IFERROR(IF([2]对账明细接口!$I$953=0,"",[2]对账明细接口!$I$953),"")</f>
      </c>
      <c r="J953" s="177">
        <f>IFERROR(IF([2]对账明细接口!$J$953=0,"",[2]对账明细接口!$J$953),"")</f>
      </c>
      <c r="K953" s="177">
        <f>IFERROR(IF([2]对账明细接口!$K$953=0,"",[2]对账明细接口!$K$953),"")</f>
      </c>
      <c r="L953" s="16">
        <f>IFERROR(IF([2]对账明细接口!$L$953=0,"",[2]对账明细接口!$L$953),"")</f>
      </c>
      <c r="M953" s="16">
        <f>IFERROR(IF([2]对账明细接口!$M$953=0,"",[2]对账明细接口!$M$953),"")</f>
      </c>
      <c r="N953" s="19">
        <f>IF($C953="",0,1)</f>
        <v>0</v>
      </c>
      <c r="O953" s="19">
        <f>N(O952)+$N953</f>
        <v>272</v>
      </c>
      <c r="S953" s="20">
        <f>IFERROR(IF([2]对账明细接口!$N953=0,"",[2]对账明细接口!$N953),"")</f>
      </c>
      <c r="T953" s="212">
        <f>IFERROR(IF([2]对账明细接口!$O953=0,"",[2]对账明细接口!$O953),"")</f>
      </c>
      <c r="U953" s="212">
        <f>IFERROR(IF([2]对账明细接口!$P953=0,"",[2]对账明细接口!$P953),"")</f>
      </c>
      <c r="V953" s="212">
        <f>IFERROR(IF([2]对账明细接口!$Q953=0,"",[2]对账明细接口!$Q953),"")</f>
      </c>
      <c r="W953" s="20">
        <f>IFERROR(IF([2]对账明细接口!$R953=0,"",[2]对账明细接口!$R953),"")</f>
      </c>
      <c r="X953" s="20">
        <f>IFERROR(IF([2]对账明细接口!$S953=0,"",[2]对账明细接口!$S953),"")</f>
      </c>
      <c r="Y953" s="20">
        <f>""</f>
      </c>
      <c r="Z953" s="20">
        <f>""</f>
      </c>
      <c r="AA953" s="20">
        <f>""</f>
      </c>
      <c r="AB953" s="20">
        <f>""</f>
      </c>
    </row>
    <row r="954" s="127">
      <c r="A954" s="14" t="n">
        <v>954</v>
      </c>
      <c r="B954" s="211">
        <f>IFERROR(IF([2]对账明细接口!$B$954=0,"",[2]对账明细接口!$B$954),"")</f>
      </c>
      <c r="C954" s="16">
        <f>IFERROR(IF([2]对账明细接口!$C$954=0,"",[2]对账明细接口!$C$954),"")</f>
      </c>
      <c r="D954" s="16">
        <f>IFERROR(IF([2]对账明细接口!$D$954=0,"",[2]对账明细接口!$D$954),"")</f>
      </c>
      <c r="E954" s="16">
        <f>IFERROR(IF([2]对账明细接口!$E$954=0,"",[2]对账明细接口!$E$954),"")</f>
      </c>
      <c r="F954" s="16">
        <f>IFERROR(IF([2]对账明细接口!$F$954=0,"",[2]对账明细接口!$F$954),"")</f>
      </c>
      <c r="G954" s="16">
        <f>IFERROR(IF([2]对账明细接口!$G$954=0,"",[2]对账明细接口!$G$954),"")</f>
      </c>
      <c r="H954" s="176">
        <f>IFERROR(IF([2]对账明细接口!$H$954=0,"",[2]对账明细接口!$H$954),"")</f>
      </c>
      <c r="I954" s="16">
        <f>IFERROR(IF([2]对账明细接口!$I$954=0,"",[2]对账明细接口!$I$954),"")</f>
      </c>
      <c r="J954" s="177">
        <f>IFERROR(IF([2]对账明细接口!$J$954=0,"",[2]对账明细接口!$J$954),"")</f>
      </c>
      <c r="K954" s="177">
        <f>IFERROR(IF([2]对账明细接口!$K$954=0,"",[2]对账明细接口!$K$954),"")</f>
      </c>
      <c r="L954" s="16">
        <f>IFERROR(IF([2]对账明细接口!$L$954=0,"",[2]对账明细接口!$L$954),"")</f>
      </c>
      <c r="M954" s="16">
        <f>IFERROR(IF([2]对账明细接口!$M$954=0,"",[2]对账明细接口!$M$954),"")</f>
      </c>
      <c r="N954" s="19">
        <f>IF($C954="",0,1)</f>
        <v>0</v>
      </c>
      <c r="O954" s="19">
        <f>N(O953)+$N954</f>
        <v>272</v>
      </c>
      <c r="S954" s="20">
        <f>IFERROR(IF([2]对账明细接口!$N954=0,"",[2]对账明细接口!$N954),"")</f>
      </c>
      <c r="T954" s="212">
        <f>IFERROR(IF([2]对账明细接口!$O954=0,"",[2]对账明细接口!$O954),"")</f>
      </c>
      <c r="U954" s="212">
        <f>IFERROR(IF([2]对账明细接口!$P954=0,"",[2]对账明细接口!$P954),"")</f>
      </c>
      <c r="V954" s="212">
        <f>IFERROR(IF([2]对账明细接口!$Q954=0,"",[2]对账明细接口!$Q954),"")</f>
      </c>
      <c r="W954" s="20">
        <f>IFERROR(IF([2]对账明细接口!$R954=0,"",[2]对账明细接口!$R954),"")</f>
      </c>
      <c r="X954" s="20">
        <f>IFERROR(IF([2]对账明细接口!$S954=0,"",[2]对账明细接口!$S954),"")</f>
      </c>
      <c r="Y954" s="20">
        <f>""</f>
      </c>
      <c r="Z954" s="20">
        <f>""</f>
      </c>
      <c r="AA954" s="20">
        <f>""</f>
      </c>
      <c r="AB954" s="20">
        <f>""</f>
      </c>
    </row>
    <row r="955" s="127">
      <c r="A955" s="14" t="n">
        <v>955</v>
      </c>
      <c r="B955" s="211">
        <f>IFERROR(IF([2]对账明细接口!$B$955=0,"",[2]对账明细接口!$B$955),"")</f>
      </c>
      <c r="C955" s="16">
        <f>IFERROR(IF([2]对账明细接口!$C$955=0,"",[2]对账明细接口!$C$955),"")</f>
      </c>
      <c r="D955" s="16">
        <f>IFERROR(IF([2]对账明细接口!$D$955=0,"",[2]对账明细接口!$D$955),"")</f>
      </c>
      <c r="E955" s="16">
        <f>IFERROR(IF([2]对账明细接口!$E$955=0,"",[2]对账明细接口!$E$955),"")</f>
      </c>
      <c r="F955" s="16">
        <f>IFERROR(IF([2]对账明细接口!$F$955=0,"",[2]对账明细接口!$F$955),"")</f>
      </c>
      <c r="G955" s="16">
        <f>IFERROR(IF([2]对账明细接口!$G$955=0,"",[2]对账明细接口!$G$955),"")</f>
      </c>
      <c r="H955" s="176">
        <f>IFERROR(IF([2]对账明细接口!$H$955=0,"",[2]对账明细接口!$H$955),"")</f>
      </c>
      <c r="I955" s="16">
        <f>IFERROR(IF([2]对账明细接口!$I$955=0,"",[2]对账明细接口!$I$955),"")</f>
      </c>
      <c r="J955" s="177">
        <f>IFERROR(IF([2]对账明细接口!$J$955=0,"",[2]对账明细接口!$J$955),"")</f>
      </c>
      <c r="K955" s="177">
        <f>IFERROR(IF([2]对账明细接口!$K$955=0,"",[2]对账明细接口!$K$955),"")</f>
      </c>
      <c r="L955" s="16">
        <f>IFERROR(IF([2]对账明细接口!$L$955=0,"",[2]对账明细接口!$L$955),"")</f>
      </c>
      <c r="M955" s="16">
        <f>IFERROR(IF([2]对账明细接口!$M$955=0,"",[2]对账明细接口!$M$955),"")</f>
      </c>
      <c r="N955" s="19">
        <f>IF($C955="",0,1)</f>
        <v>0</v>
      </c>
      <c r="O955" s="19">
        <f>N(O954)+$N955</f>
        <v>272</v>
      </c>
      <c r="S955" s="20">
        <f>IFERROR(IF([2]对账明细接口!$N955=0,"",[2]对账明细接口!$N955),"")</f>
      </c>
      <c r="T955" s="212">
        <f>IFERROR(IF([2]对账明细接口!$O955=0,"",[2]对账明细接口!$O955),"")</f>
      </c>
      <c r="U955" s="212">
        <f>IFERROR(IF([2]对账明细接口!$P955=0,"",[2]对账明细接口!$P955),"")</f>
      </c>
      <c r="V955" s="212">
        <f>IFERROR(IF([2]对账明细接口!$Q955=0,"",[2]对账明细接口!$Q955),"")</f>
      </c>
      <c r="W955" s="20">
        <f>IFERROR(IF([2]对账明细接口!$R955=0,"",[2]对账明细接口!$R955),"")</f>
      </c>
      <c r="X955" s="20">
        <f>IFERROR(IF([2]对账明细接口!$S955=0,"",[2]对账明细接口!$S955),"")</f>
      </c>
      <c r="Y955" s="20">
        <f>""</f>
      </c>
      <c r="Z955" s="20">
        <f>""</f>
      </c>
      <c r="AA955" s="20">
        <f>""</f>
      </c>
      <c r="AB955" s="20">
        <f>""</f>
      </c>
    </row>
    <row r="956" s="127">
      <c r="A956" s="14" t="n">
        <v>956</v>
      </c>
      <c r="B956" s="211">
        <f>IFERROR(IF([2]对账明细接口!$B$956=0,"",[2]对账明细接口!$B$956),"")</f>
      </c>
      <c r="C956" s="16">
        <f>IFERROR(IF([2]对账明细接口!$C$956=0,"",[2]对账明细接口!$C$956),"")</f>
      </c>
      <c r="D956" s="16">
        <f>IFERROR(IF([2]对账明细接口!$D$956=0,"",[2]对账明细接口!$D$956),"")</f>
      </c>
      <c r="E956" s="16">
        <f>IFERROR(IF([2]对账明细接口!$E$956=0,"",[2]对账明细接口!$E$956),"")</f>
      </c>
      <c r="F956" s="16">
        <f>IFERROR(IF([2]对账明细接口!$F$956=0,"",[2]对账明细接口!$F$956),"")</f>
      </c>
      <c r="G956" s="16">
        <f>IFERROR(IF([2]对账明细接口!$G$956=0,"",[2]对账明细接口!$G$956),"")</f>
      </c>
      <c r="H956" s="176">
        <f>IFERROR(IF([2]对账明细接口!$H$956=0,"",[2]对账明细接口!$H$956),"")</f>
      </c>
      <c r="I956" s="16">
        <f>IFERROR(IF([2]对账明细接口!$I$956=0,"",[2]对账明细接口!$I$956),"")</f>
      </c>
      <c r="J956" s="177">
        <f>IFERROR(IF([2]对账明细接口!$J$956=0,"",[2]对账明细接口!$J$956),"")</f>
      </c>
      <c r="K956" s="177">
        <f>IFERROR(IF([2]对账明细接口!$K$956=0,"",[2]对账明细接口!$K$956),"")</f>
      </c>
      <c r="L956" s="16">
        <f>IFERROR(IF([2]对账明细接口!$L$956=0,"",[2]对账明细接口!$L$956),"")</f>
      </c>
      <c r="M956" s="16">
        <f>IFERROR(IF([2]对账明细接口!$M$956=0,"",[2]对账明细接口!$M$956),"")</f>
      </c>
      <c r="N956" s="19">
        <f>IF($C956="",0,1)</f>
        <v>0</v>
      </c>
      <c r="O956" s="19">
        <f>N(O955)+$N956</f>
        <v>272</v>
      </c>
      <c r="S956" s="20">
        <f>IFERROR(IF([2]对账明细接口!$N956=0,"",[2]对账明细接口!$N956),"")</f>
      </c>
      <c r="T956" s="212">
        <f>IFERROR(IF([2]对账明细接口!$O956=0,"",[2]对账明细接口!$O956),"")</f>
      </c>
      <c r="U956" s="212">
        <f>IFERROR(IF([2]对账明细接口!$P956=0,"",[2]对账明细接口!$P956),"")</f>
      </c>
      <c r="V956" s="212">
        <f>IFERROR(IF([2]对账明细接口!$Q956=0,"",[2]对账明细接口!$Q956),"")</f>
      </c>
      <c r="W956" s="20">
        <f>IFERROR(IF([2]对账明细接口!$R956=0,"",[2]对账明细接口!$R956),"")</f>
      </c>
      <c r="X956" s="20">
        <f>IFERROR(IF([2]对账明细接口!$S956=0,"",[2]对账明细接口!$S956),"")</f>
      </c>
      <c r="Y956" s="20">
        <f>""</f>
      </c>
      <c r="Z956" s="20">
        <f>""</f>
      </c>
      <c r="AA956" s="20">
        <f>""</f>
      </c>
      <c r="AB956" s="20">
        <f>""</f>
      </c>
    </row>
    <row r="957" s="127">
      <c r="A957" s="14" t="n">
        <v>957</v>
      </c>
      <c r="B957" s="211">
        <f>IFERROR(IF([2]对账明细接口!$B$957=0,"",[2]对账明细接口!$B$957),"")</f>
      </c>
      <c r="C957" s="16">
        <f>IFERROR(IF([2]对账明细接口!$C$957=0,"",[2]对账明细接口!$C$957),"")</f>
      </c>
      <c r="D957" s="16">
        <f>IFERROR(IF([2]对账明细接口!$D$957=0,"",[2]对账明细接口!$D$957),"")</f>
      </c>
      <c r="E957" s="16">
        <f>IFERROR(IF([2]对账明细接口!$E$957=0,"",[2]对账明细接口!$E$957),"")</f>
      </c>
      <c r="F957" s="16">
        <f>IFERROR(IF([2]对账明细接口!$F$957=0,"",[2]对账明细接口!$F$957),"")</f>
      </c>
      <c r="G957" s="16">
        <f>IFERROR(IF([2]对账明细接口!$G$957=0,"",[2]对账明细接口!$G$957),"")</f>
      </c>
      <c r="H957" s="176">
        <f>IFERROR(IF([2]对账明细接口!$H$957=0,"",[2]对账明细接口!$H$957),"")</f>
      </c>
      <c r="I957" s="16">
        <f>IFERROR(IF([2]对账明细接口!$I$957=0,"",[2]对账明细接口!$I$957),"")</f>
      </c>
      <c r="J957" s="177">
        <f>IFERROR(IF([2]对账明细接口!$J$957=0,"",[2]对账明细接口!$J$957),"")</f>
      </c>
      <c r="K957" s="177">
        <f>IFERROR(IF([2]对账明细接口!$K$957=0,"",[2]对账明细接口!$K$957),"")</f>
      </c>
      <c r="L957" s="16">
        <f>IFERROR(IF([2]对账明细接口!$L$957=0,"",[2]对账明细接口!$L$957),"")</f>
      </c>
      <c r="M957" s="16">
        <f>IFERROR(IF([2]对账明细接口!$M$957=0,"",[2]对账明细接口!$M$957),"")</f>
      </c>
      <c r="N957" s="19">
        <f>IF($C957="",0,1)</f>
        <v>0</v>
      </c>
      <c r="O957" s="19">
        <f>N(O956)+$N957</f>
        <v>272</v>
      </c>
      <c r="S957" s="20">
        <f>IFERROR(IF([2]对账明细接口!$N957=0,"",[2]对账明细接口!$N957),"")</f>
      </c>
      <c r="T957" s="212">
        <f>IFERROR(IF([2]对账明细接口!$O957=0,"",[2]对账明细接口!$O957),"")</f>
      </c>
      <c r="U957" s="212">
        <f>IFERROR(IF([2]对账明细接口!$P957=0,"",[2]对账明细接口!$P957),"")</f>
      </c>
      <c r="V957" s="212">
        <f>IFERROR(IF([2]对账明细接口!$Q957=0,"",[2]对账明细接口!$Q957),"")</f>
      </c>
      <c r="W957" s="20">
        <f>IFERROR(IF([2]对账明细接口!$R957=0,"",[2]对账明细接口!$R957),"")</f>
      </c>
      <c r="X957" s="20">
        <f>IFERROR(IF([2]对账明细接口!$S957=0,"",[2]对账明细接口!$S957),"")</f>
      </c>
      <c r="Y957" s="20">
        <f>""</f>
      </c>
      <c r="Z957" s="20">
        <f>""</f>
      </c>
      <c r="AA957" s="20">
        <f>""</f>
      </c>
      <c r="AB957" s="20">
        <f>""</f>
      </c>
    </row>
    <row r="958" s="127">
      <c r="A958" s="14" t="n">
        <v>958</v>
      </c>
      <c r="B958" s="211">
        <f>IFERROR(IF([2]对账明细接口!$B$958=0,"",[2]对账明细接口!$B$958),"")</f>
      </c>
      <c r="C958" s="16">
        <f>IFERROR(IF([2]对账明细接口!$C$958=0,"",[2]对账明细接口!$C$958),"")</f>
      </c>
      <c r="D958" s="16">
        <f>IFERROR(IF([2]对账明细接口!$D$958=0,"",[2]对账明细接口!$D$958),"")</f>
      </c>
      <c r="E958" s="16">
        <f>IFERROR(IF([2]对账明细接口!$E$958=0,"",[2]对账明细接口!$E$958),"")</f>
      </c>
      <c r="F958" s="16">
        <f>IFERROR(IF([2]对账明细接口!$F$958=0,"",[2]对账明细接口!$F$958),"")</f>
      </c>
      <c r="G958" s="16">
        <f>IFERROR(IF([2]对账明细接口!$G$958=0,"",[2]对账明细接口!$G$958),"")</f>
      </c>
      <c r="H958" s="176">
        <f>IFERROR(IF([2]对账明细接口!$H$958=0,"",[2]对账明细接口!$H$958),"")</f>
      </c>
      <c r="I958" s="16">
        <f>IFERROR(IF([2]对账明细接口!$I$958=0,"",[2]对账明细接口!$I$958),"")</f>
      </c>
      <c r="J958" s="177">
        <f>IFERROR(IF([2]对账明细接口!$J$958=0,"",[2]对账明细接口!$J$958),"")</f>
      </c>
      <c r="K958" s="177">
        <f>IFERROR(IF([2]对账明细接口!$K$958=0,"",[2]对账明细接口!$K$958),"")</f>
      </c>
      <c r="L958" s="16">
        <f>IFERROR(IF([2]对账明细接口!$L$958=0,"",[2]对账明细接口!$L$958),"")</f>
      </c>
      <c r="M958" s="16">
        <f>IFERROR(IF([2]对账明细接口!$M$958=0,"",[2]对账明细接口!$M$958),"")</f>
      </c>
      <c r="N958" s="19">
        <f>IF($C958="",0,1)</f>
        <v>0</v>
      </c>
      <c r="O958" s="19">
        <f>N(O957)+$N958</f>
        <v>272</v>
      </c>
      <c r="S958" s="20">
        <f>IFERROR(IF([2]对账明细接口!$N958=0,"",[2]对账明细接口!$N958),"")</f>
      </c>
      <c r="T958" s="212">
        <f>IFERROR(IF([2]对账明细接口!$O958=0,"",[2]对账明细接口!$O958),"")</f>
      </c>
      <c r="U958" s="212">
        <f>IFERROR(IF([2]对账明细接口!$P958=0,"",[2]对账明细接口!$P958),"")</f>
      </c>
      <c r="V958" s="212">
        <f>IFERROR(IF([2]对账明细接口!$Q958=0,"",[2]对账明细接口!$Q958),"")</f>
      </c>
      <c r="W958" s="20">
        <f>IFERROR(IF([2]对账明细接口!$R958=0,"",[2]对账明细接口!$R958),"")</f>
      </c>
      <c r="X958" s="20">
        <f>IFERROR(IF([2]对账明细接口!$S958=0,"",[2]对账明细接口!$S958),"")</f>
      </c>
      <c r="Y958" s="20">
        <f>""</f>
      </c>
      <c r="Z958" s="20">
        <f>""</f>
      </c>
      <c r="AA958" s="20">
        <f>""</f>
      </c>
      <c r="AB958" s="20">
        <f>""</f>
      </c>
    </row>
    <row r="959" s="127">
      <c r="A959" s="14" t="n">
        <v>959</v>
      </c>
      <c r="B959" s="211">
        <f>IFERROR(IF([2]对账明细接口!$B$959=0,"",[2]对账明细接口!$B$959),"")</f>
      </c>
      <c r="C959" s="16">
        <f>IFERROR(IF([2]对账明细接口!$C$959=0,"",[2]对账明细接口!$C$959),"")</f>
      </c>
      <c r="D959" s="16">
        <f>IFERROR(IF([2]对账明细接口!$D$959=0,"",[2]对账明细接口!$D$959),"")</f>
      </c>
      <c r="E959" s="16">
        <f>IFERROR(IF([2]对账明细接口!$E$959=0,"",[2]对账明细接口!$E$959),"")</f>
      </c>
      <c r="F959" s="16">
        <f>IFERROR(IF([2]对账明细接口!$F$959=0,"",[2]对账明细接口!$F$959),"")</f>
      </c>
      <c r="G959" s="16">
        <f>IFERROR(IF([2]对账明细接口!$G$959=0,"",[2]对账明细接口!$G$959),"")</f>
      </c>
      <c r="H959" s="176">
        <f>IFERROR(IF([2]对账明细接口!$H$959=0,"",[2]对账明细接口!$H$959),"")</f>
      </c>
      <c r="I959" s="16">
        <f>IFERROR(IF([2]对账明细接口!$I$959=0,"",[2]对账明细接口!$I$959),"")</f>
      </c>
      <c r="J959" s="177">
        <f>IFERROR(IF([2]对账明细接口!$J$959=0,"",[2]对账明细接口!$J$959),"")</f>
      </c>
      <c r="K959" s="177">
        <f>IFERROR(IF([2]对账明细接口!$K$959=0,"",[2]对账明细接口!$K$959),"")</f>
      </c>
      <c r="L959" s="16">
        <f>IFERROR(IF([2]对账明细接口!$L$959=0,"",[2]对账明细接口!$L$959),"")</f>
      </c>
      <c r="M959" s="16">
        <f>IFERROR(IF([2]对账明细接口!$M$959=0,"",[2]对账明细接口!$M$959),"")</f>
      </c>
      <c r="N959" s="19">
        <f>IF($C959="",0,1)</f>
        <v>0</v>
      </c>
      <c r="O959" s="19">
        <f>N(O958)+$N959</f>
        <v>272</v>
      </c>
      <c r="S959" s="20">
        <f>IFERROR(IF([2]对账明细接口!$N959=0,"",[2]对账明细接口!$N959),"")</f>
      </c>
      <c r="T959" s="212">
        <f>IFERROR(IF([2]对账明细接口!$O959=0,"",[2]对账明细接口!$O959),"")</f>
      </c>
      <c r="U959" s="212">
        <f>IFERROR(IF([2]对账明细接口!$P959=0,"",[2]对账明细接口!$P959),"")</f>
      </c>
      <c r="V959" s="212">
        <f>IFERROR(IF([2]对账明细接口!$Q959=0,"",[2]对账明细接口!$Q959),"")</f>
      </c>
      <c r="W959" s="20">
        <f>IFERROR(IF([2]对账明细接口!$R959=0,"",[2]对账明细接口!$R959),"")</f>
      </c>
      <c r="X959" s="20">
        <f>IFERROR(IF([2]对账明细接口!$S959=0,"",[2]对账明细接口!$S959),"")</f>
      </c>
      <c r="Y959" s="20">
        <f>""</f>
      </c>
      <c r="Z959" s="20">
        <f>""</f>
      </c>
      <c r="AA959" s="20">
        <f>""</f>
      </c>
      <c r="AB959" s="20">
        <f>""</f>
      </c>
    </row>
    <row r="960" s="127">
      <c r="A960" s="14" t="n">
        <v>960</v>
      </c>
      <c r="B960" s="211">
        <f>IFERROR(IF([2]对账明细接口!$B$960=0,"",[2]对账明细接口!$B$960),"")</f>
      </c>
      <c r="C960" s="16">
        <f>IFERROR(IF([2]对账明细接口!$C$960=0,"",[2]对账明细接口!$C$960),"")</f>
      </c>
      <c r="D960" s="16">
        <f>IFERROR(IF([2]对账明细接口!$D$960=0,"",[2]对账明细接口!$D$960),"")</f>
      </c>
      <c r="E960" s="16">
        <f>IFERROR(IF([2]对账明细接口!$E$960=0,"",[2]对账明细接口!$E$960),"")</f>
      </c>
      <c r="F960" s="16">
        <f>IFERROR(IF([2]对账明细接口!$F$960=0,"",[2]对账明细接口!$F$960),"")</f>
      </c>
      <c r="G960" s="16">
        <f>IFERROR(IF([2]对账明细接口!$G$960=0,"",[2]对账明细接口!$G$960),"")</f>
      </c>
      <c r="H960" s="176">
        <f>IFERROR(IF([2]对账明细接口!$H$960=0,"",[2]对账明细接口!$H$960),"")</f>
      </c>
      <c r="I960" s="16">
        <f>IFERROR(IF([2]对账明细接口!$I$960=0,"",[2]对账明细接口!$I$960),"")</f>
      </c>
      <c r="J960" s="177">
        <f>IFERROR(IF([2]对账明细接口!$J$960=0,"",[2]对账明细接口!$J$960),"")</f>
      </c>
      <c r="K960" s="177">
        <f>IFERROR(IF([2]对账明细接口!$K$960=0,"",[2]对账明细接口!$K$960),"")</f>
      </c>
      <c r="L960" s="16">
        <f>IFERROR(IF([2]对账明细接口!$L$960=0,"",[2]对账明细接口!$L$960),"")</f>
      </c>
      <c r="M960" s="16">
        <f>IFERROR(IF([2]对账明细接口!$M$960=0,"",[2]对账明细接口!$M$960),"")</f>
      </c>
      <c r="N960" s="19">
        <f>IF($C960="",0,1)</f>
        <v>0</v>
      </c>
      <c r="O960" s="19">
        <f>N(O959)+$N960</f>
        <v>272</v>
      </c>
      <c r="S960" s="20">
        <f>IFERROR(IF([2]对账明细接口!$N960=0,"",[2]对账明细接口!$N960),"")</f>
      </c>
      <c r="T960" s="212">
        <f>IFERROR(IF([2]对账明细接口!$O960=0,"",[2]对账明细接口!$O960),"")</f>
      </c>
      <c r="U960" s="212">
        <f>IFERROR(IF([2]对账明细接口!$P960=0,"",[2]对账明细接口!$P960),"")</f>
      </c>
      <c r="V960" s="212">
        <f>IFERROR(IF([2]对账明细接口!$Q960=0,"",[2]对账明细接口!$Q960),"")</f>
      </c>
      <c r="W960" s="20">
        <f>IFERROR(IF([2]对账明细接口!$R960=0,"",[2]对账明细接口!$R960),"")</f>
      </c>
      <c r="X960" s="20">
        <f>IFERROR(IF([2]对账明细接口!$S960=0,"",[2]对账明细接口!$S960),"")</f>
      </c>
      <c r="Y960" s="20">
        <f>""</f>
      </c>
      <c r="Z960" s="20">
        <f>""</f>
      </c>
      <c r="AA960" s="20">
        <f>""</f>
      </c>
      <c r="AB960" s="20">
        <f>""</f>
      </c>
    </row>
    <row r="961" s="127">
      <c r="A961" s="14" t="n">
        <v>961</v>
      </c>
      <c r="B961" s="211">
        <f>IFERROR(IF([2]对账明细接口!$B$961=0,"",[2]对账明细接口!$B$961),"")</f>
      </c>
      <c r="C961" s="16">
        <f>IFERROR(IF([2]对账明细接口!$C$961=0,"",[2]对账明细接口!$C$961),"")</f>
      </c>
      <c r="D961" s="16">
        <f>IFERROR(IF([2]对账明细接口!$D$961=0,"",[2]对账明细接口!$D$961),"")</f>
      </c>
      <c r="E961" s="16">
        <f>IFERROR(IF([2]对账明细接口!$E$961=0,"",[2]对账明细接口!$E$961),"")</f>
      </c>
      <c r="F961" s="16">
        <f>IFERROR(IF([2]对账明细接口!$F$961=0,"",[2]对账明细接口!$F$961),"")</f>
      </c>
      <c r="G961" s="16">
        <f>IFERROR(IF([2]对账明细接口!$G$961=0,"",[2]对账明细接口!$G$961),"")</f>
      </c>
      <c r="H961" s="176">
        <f>IFERROR(IF([2]对账明细接口!$H$961=0,"",[2]对账明细接口!$H$961),"")</f>
      </c>
      <c r="I961" s="16">
        <f>IFERROR(IF([2]对账明细接口!$I$961=0,"",[2]对账明细接口!$I$961),"")</f>
      </c>
      <c r="J961" s="177">
        <f>IFERROR(IF([2]对账明细接口!$J$961=0,"",[2]对账明细接口!$J$961),"")</f>
      </c>
      <c r="K961" s="177">
        <f>IFERROR(IF([2]对账明细接口!$K$961=0,"",[2]对账明细接口!$K$961),"")</f>
      </c>
      <c r="L961" s="16">
        <f>IFERROR(IF([2]对账明细接口!$L$961=0,"",[2]对账明细接口!$L$961),"")</f>
      </c>
      <c r="M961" s="16">
        <f>IFERROR(IF([2]对账明细接口!$M$961=0,"",[2]对账明细接口!$M$961),"")</f>
      </c>
      <c r="N961" s="19">
        <f>IF($C961="",0,1)</f>
        <v>0</v>
      </c>
      <c r="O961" s="19">
        <f>N(O960)+$N961</f>
        <v>272</v>
      </c>
      <c r="S961" s="20">
        <f>IFERROR(IF([2]对账明细接口!$N961=0,"",[2]对账明细接口!$N961),"")</f>
      </c>
      <c r="T961" s="212">
        <f>IFERROR(IF([2]对账明细接口!$O961=0,"",[2]对账明细接口!$O961),"")</f>
      </c>
      <c r="U961" s="212">
        <f>IFERROR(IF([2]对账明细接口!$P961=0,"",[2]对账明细接口!$P961),"")</f>
      </c>
      <c r="V961" s="212">
        <f>IFERROR(IF([2]对账明细接口!$Q961=0,"",[2]对账明细接口!$Q961),"")</f>
      </c>
      <c r="W961" s="20">
        <f>IFERROR(IF([2]对账明细接口!$R961=0,"",[2]对账明细接口!$R961),"")</f>
      </c>
      <c r="X961" s="20">
        <f>IFERROR(IF([2]对账明细接口!$S961=0,"",[2]对账明细接口!$S961),"")</f>
      </c>
      <c r="Y961" s="20">
        <f>""</f>
      </c>
      <c r="Z961" s="20">
        <f>""</f>
      </c>
      <c r="AA961" s="20">
        <f>""</f>
      </c>
      <c r="AB961" s="20">
        <f>""</f>
      </c>
    </row>
    <row r="962" s="127">
      <c r="A962" s="14" t="n">
        <v>962</v>
      </c>
      <c r="B962" s="211">
        <f>IFERROR(IF([2]对账明细接口!$B$962=0,"",[2]对账明细接口!$B$962),"")</f>
      </c>
      <c r="C962" s="16">
        <f>IFERROR(IF([2]对账明细接口!$C$962=0,"",[2]对账明细接口!$C$962),"")</f>
      </c>
      <c r="D962" s="16">
        <f>IFERROR(IF([2]对账明细接口!$D$962=0,"",[2]对账明细接口!$D$962),"")</f>
      </c>
      <c r="E962" s="16">
        <f>IFERROR(IF([2]对账明细接口!$E$962=0,"",[2]对账明细接口!$E$962),"")</f>
      </c>
      <c r="F962" s="16">
        <f>IFERROR(IF([2]对账明细接口!$F$962=0,"",[2]对账明细接口!$F$962),"")</f>
      </c>
      <c r="G962" s="16">
        <f>IFERROR(IF([2]对账明细接口!$G$962=0,"",[2]对账明细接口!$G$962),"")</f>
      </c>
      <c r="H962" s="176">
        <f>IFERROR(IF([2]对账明细接口!$H$962=0,"",[2]对账明细接口!$H$962),"")</f>
      </c>
      <c r="I962" s="16">
        <f>IFERROR(IF([2]对账明细接口!$I$962=0,"",[2]对账明细接口!$I$962),"")</f>
      </c>
      <c r="J962" s="177">
        <f>IFERROR(IF([2]对账明细接口!$J$962=0,"",[2]对账明细接口!$J$962),"")</f>
      </c>
      <c r="K962" s="177">
        <f>IFERROR(IF([2]对账明细接口!$K$962=0,"",[2]对账明细接口!$K$962),"")</f>
      </c>
      <c r="L962" s="16">
        <f>IFERROR(IF([2]对账明细接口!$L$962=0,"",[2]对账明细接口!$L$962),"")</f>
      </c>
      <c r="M962" s="16">
        <f>IFERROR(IF([2]对账明细接口!$M$962=0,"",[2]对账明细接口!$M$962),"")</f>
      </c>
      <c r="N962" s="19">
        <f>IF($C962="",0,1)</f>
        <v>0</v>
      </c>
      <c r="O962" s="19">
        <f>N(O961)+$N962</f>
        <v>272</v>
      </c>
      <c r="S962" s="20">
        <f>IFERROR(IF([2]对账明细接口!$N962=0,"",[2]对账明细接口!$N962),"")</f>
      </c>
      <c r="T962" s="212">
        <f>IFERROR(IF([2]对账明细接口!$O962=0,"",[2]对账明细接口!$O962),"")</f>
      </c>
      <c r="U962" s="212">
        <f>IFERROR(IF([2]对账明细接口!$P962=0,"",[2]对账明细接口!$P962),"")</f>
      </c>
      <c r="V962" s="212">
        <f>IFERROR(IF([2]对账明细接口!$Q962=0,"",[2]对账明细接口!$Q962),"")</f>
      </c>
      <c r="W962" s="20">
        <f>IFERROR(IF([2]对账明细接口!$R962=0,"",[2]对账明细接口!$R962),"")</f>
      </c>
      <c r="X962" s="20">
        <f>IFERROR(IF([2]对账明细接口!$S962=0,"",[2]对账明细接口!$S962),"")</f>
      </c>
      <c r="Y962" s="20">
        <f>""</f>
      </c>
      <c r="Z962" s="20">
        <f>""</f>
      </c>
      <c r="AA962" s="20">
        <f>""</f>
      </c>
      <c r="AB962" s="20">
        <f>""</f>
      </c>
    </row>
    <row r="963" s="127">
      <c r="A963" s="14" t="n">
        <v>963</v>
      </c>
      <c r="B963" s="211">
        <f>IFERROR(IF([2]对账明细接口!$B$963=0,"",[2]对账明细接口!$B$963),"")</f>
      </c>
      <c r="C963" s="16">
        <f>IFERROR(IF([2]对账明细接口!$C$963=0,"",[2]对账明细接口!$C$963),"")</f>
      </c>
      <c r="D963" s="16">
        <f>IFERROR(IF([2]对账明细接口!$D$963=0,"",[2]对账明细接口!$D$963),"")</f>
      </c>
      <c r="E963" s="16">
        <f>IFERROR(IF([2]对账明细接口!$E$963=0,"",[2]对账明细接口!$E$963),"")</f>
      </c>
      <c r="F963" s="16">
        <f>IFERROR(IF([2]对账明细接口!$F$963=0,"",[2]对账明细接口!$F$963),"")</f>
      </c>
      <c r="G963" s="16">
        <f>IFERROR(IF([2]对账明细接口!$G$963=0,"",[2]对账明细接口!$G$963),"")</f>
      </c>
      <c r="H963" s="176">
        <f>IFERROR(IF([2]对账明细接口!$H$963=0,"",[2]对账明细接口!$H$963),"")</f>
      </c>
      <c r="I963" s="16">
        <f>IFERROR(IF([2]对账明细接口!$I$963=0,"",[2]对账明细接口!$I$963),"")</f>
      </c>
      <c r="J963" s="177">
        <f>IFERROR(IF([2]对账明细接口!$J$963=0,"",[2]对账明细接口!$J$963),"")</f>
      </c>
      <c r="K963" s="177">
        <f>IFERROR(IF([2]对账明细接口!$K$963=0,"",[2]对账明细接口!$K$963),"")</f>
      </c>
      <c r="L963" s="16">
        <f>IFERROR(IF([2]对账明细接口!$L$963=0,"",[2]对账明细接口!$L$963),"")</f>
      </c>
      <c r="M963" s="16">
        <f>IFERROR(IF([2]对账明细接口!$M$963=0,"",[2]对账明细接口!$M$963),"")</f>
      </c>
      <c r="N963" s="19">
        <f>IF($C963="",0,1)</f>
        <v>0</v>
      </c>
      <c r="O963" s="19">
        <f>N(O962)+$N963</f>
        <v>272</v>
      </c>
      <c r="S963" s="20">
        <f>IFERROR(IF([2]对账明细接口!$N963=0,"",[2]对账明细接口!$N963),"")</f>
      </c>
      <c r="T963" s="212">
        <f>IFERROR(IF([2]对账明细接口!$O963=0,"",[2]对账明细接口!$O963),"")</f>
      </c>
      <c r="U963" s="212">
        <f>IFERROR(IF([2]对账明细接口!$P963=0,"",[2]对账明细接口!$P963),"")</f>
      </c>
      <c r="V963" s="212">
        <f>IFERROR(IF([2]对账明细接口!$Q963=0,"",[2]对账明细接口!$Q963),"")</f>
      </c>
      <c r="W963" s="20">
        <f>IFERROR(IF([2]对账明细接口!$R963=0,"",[2]对账明细接口!$R963),"")</f>
      </c>
      <c r="X963" s="20">
        <f>IFERROR(IF([2]对账明细接口!$S963=0,"",[2]对账明细接口!$S963),"")</f>
      </c>
      <c r="Y963" s="20">
        <f>""</f>
      </c>
      <c r="Z963" s="20">
        <f>""</f>
      </c>
      <c r="AA963" s="20">
        <f>""</f>
      </c>
      <c r="AB963" s="20">
        <f>""</f>
      </c>
    </row>
    <row r="964" s="127">
      <c r="A964" s="14" t="n">
        <v>964</v>
      </c>
      <c r="B964" s="211">
        <f>IFERROR(IF([2]对账明细接口!$B$964=0,"",[2]对账明细接口!$B$964),"")</f>
      </c>
      <c r="C964" s="16">
        <f>IFERROR(IF([2]对账明细接口!$C$964=0,"",[2]对账明细接口!$C$964),"")</f>
      </c>
      <c r="D964" s="16">
        <f>IFERROR(IF([2]对账明细接口!$D$964=0,"",[2]对账明细接口!$D$964),"")</f>
      </c>
      <c r="E964" s="16">
        <f>IFERROR(IF([2]对账明细接口!$E$964=0,"",[2]对账明细接口!$E$964),"")</f>
      </c>
      <c r="F964" s="16">
        <f>IFERROR(IF([2]对账明细接口!$F$964=0,"",[2]对账明细接口!$F$964),"")</f>
      </c>
      <c r="G964" s="16">
        <f>IFERROR(IF([2]对账明细接口!$G$964=0,"",[2]对账明细接口!$G$964),"")</f>
      </c>
      <c r="H964" s="176">
        <f>IFERROR(IF([2]对账明细接口!$H$964=0,"",[2]对账明细接口!$H$964),"")</f>
      </c>
      <c r="I964" s="16">
        <f>IFERROR(IF([2]对账明细接口!$I$964=0,"",[2]对账明细接口!$I$964),"")</f>
      </c>
      <c r="J964" s="177">
        <f>IFERROR(IF([2]对账明细接口!$J$964=0,"",[2]对账明细接口!$J$964),"")</f>
      </c>
      <c r="K964" s="177">
        <f>IFERROR(IF([2]对账明细接口!$K$964=0,"",[2]对账明细接口!$K$964),"")</f>
      </c>
      <c r="L964" s="16">
        <f>IFERROR(IF([2]对账明细接口!$L$964=0,"",[2]对账明细接口!$L$964),"")</f>
      </c>
      <c r="M964" s="16">
        <f>IFERROR(IF([2]对账明细接口!$M$964=0,"",[2]对账明细接口!$M$964),"")</f>
      </c>
      <c r="N964" s="19">
        <f>IF($C964="",0,1)</f>
        <v>0</v>
      </c>
      <c r="O964" s="19">
        <f>N(O963)+$N964</f>
        <v>272</v>
      </c>
      <c r="S964" s="20">
        <f>IFERROR(IF([2]对账明细接口!$N964=0,"",[2]对账明细接口!$N964),"")</f>
      </c>
      <c r="T964" s="212">
        <f>IFERROR(IF([2]对账明细接口!$O964=0,"",[2]对账明细接口!$O964),"")</f>
      </c>
      <c r="U964" s="212">
        <f>IFERROR(IF([2]对账明细接口!$P964=0,"",[2]对账明细接口!$P964),"")</f>
      </c>
      <c r="V964" s="212">
        <f>IFERROR(IF([2]对账明细接口!$Q964=0,"",[2]对账明细接口!$Q964),"")</f>
      </c>
      <c r="W964" s="20">
        <f>IFERROR(IF([2]对账明细接口!$R964=0,"",[2]对账明细接口!$R964),"")</f>
      </c>
      <c r="X964" s="20">
        <f>IFERROR(IF([2]对账明细接口!$S964=0,"",[2]对账明细接口!$S964),"")</f>
      </c>
      <c r="Y964" s="20">
        <f>""</f>
      </c>
      <c r="Z964" s="20">
        <f>""</f>
      </c>
      <c r="AA964" s="20">
        <f>""</f>
      </c>
      <c r="AB964" s="20">
        <f>""</f>
      </c>
    </row>
    <row r="965" s="127">
      <c r="A965" s="14" t="n">
        <v>965</v>
      </c>
      <c r="B965" s="211">
        <f>IFERROR(IF([2]对账明细接口!$B$965=0,"",[2]对账明细接口!$B$965),"")</f>
      </c>
      <c r="C965" s="16">
        <f>IFERROR(IF([2]对账明细接口!$C$965=0,"",[2]对账明细接口!$C$965),"")</f>
      </c>
      <c r="D965" s="16">
        <f>IFERROR(IF([2]对账明细接口!$D$965=0,"",[2]对账明细接口!$D$965),"")</f>
      </c>
      <c r="E965" s="16">
        <f>IFERROR(IF([2]对账明细接口!$E$965=0,"",[2]对账明细接口!$E$965),"")</f>
      </c>
      <c r="F965" s="16">
        <f>IFERROR(IF([2]对账明细接口!$F$965=0,"",[2]对账明细接口!$F$965),"")</f>
      </c>
      <c r="G965" s="16">
        <f>IFERROR(IF([2]对账明细接口!$G$965=0,"",[2]对账明细接口!$G$965),"")</f>
      </c>
      <c r="H965" s="176">
        <f>IFERROR(IF([2]对账明细接口!$H$965=0,"",[2]对账明细接口!$H$965),"")</f>
      </c>
      <c r="I965" s="16">
        <f>IFERROR(IF([2]对账明细接口!$I$965=0,"",[2]对账明细接口!$I$965),"")</f>
      </c>
      <c r="J965" s="177">
        <f>IFERROR(IF([2]对账明细接口!$J$965=0,"",[2]对账明细接口!$J$965),"")</f>
      </c>
      <c r="K965" s="177">
        <f>IFERROR(IF([2]对账明细接口!$K$965=0,"",[2]对账明细接口!$K$965),"")</f>
      </c>
      <c r="L965" s="16">
        <f>IFERROR(IF([2]对账明细接口!$L$965=0,"",[2]对账明细接口!$L$965),"")</f>
      </c>
      <c r="M965" s="16">
        <f>IFERROR(IF([2]对账明细接口!$M$965=0,"",[2]对账明细接口!$M$965),"")</f>
      </c>
      <c r="N965" s="19">
        <f>IF($C965="",0,1)</f>
        <v>0</v>
      </c>
      <c r="O965" s="19">
        <f>N(O964)+$N965</f>
        <v>272</v>
      </c>
      <c r="S965" s="20">
        <f>IFERROR(IF([2]对账明细接口!$N965=0,"",[2]对账明细接口!$N965),"")</f>
      </c>
      <c r="T965" s="212">
        <f>IFERROR(IF([2]对账明细接口!$O965=0,"",[2]对账明细接口!$O965),"")</f>
      </c>
      <c r="U965" s="212">
        <f>IFERROR(IF([2]对账明细接口!$P965=0,"",[2]对账明细接口!$P965),"")</f>
      </c>
      <c r="V965" s="212">
        <f>IFERROR(IF([2]对账明细接口!$Q965=0,"",[2]对账明细接口!$Q965),"")</f>
      </c>
      <c r="W965" s="20">
        <f>IFERROR(IF([2]对账明细接口!$R965=0,"",[2]对账明细接口!$R965),"")</f>
      </c>
      <c r="X965" s="20">
        <f>IFERROR(IF([2]对账明细接口!$S965=0,"",[2]对账明细接口!$S965),"")</f>
      </c>
      <c r="Y965" s="20">
        <f>""</f>
      </c>
      <c r="Z965" s="20">
        <f>""</f>
      </c>
      <c r="AA965" s="20">
        <f>""</f>
      </c>
      <c r="AB965" s="20">
        <f>""</f>
      </c>
    </row>
    <row r="966" s="127">
      <c r="A966" s="14" t="n">
        <v>966</v>
      </c>
      <c r="B966" s="211">
        <f>IFERROR(IF([2]对账明细接口!$B$966=0,"",[2]对账明细接口!$B$966),"")</f>
      </c>
      <c r="C966" s="16">
        <f>IFERROR(IF([2]对账明细接口!$C$966=0,"",[2]对账明细接口!$C$966),"")</f>
      </c>
      <c r="D966" s="16">
        <f>IFERROR(IF([2]对账明细接口!$D$966=0,"",[2]对账明细接口!$D$966),"")</f>
      </c>
      <c r="E966" s="16">
        <f>IFERROR(IF([2]对账明细接口!$E$966=0,"",[2]对账明细接口!$E$966),"")</f>
      </c>
      <c r="F966" s="16">
        <f>IFERROR(IF([2]对账明细接口!$F$966=0,"",[2]对账明细接口!$F$966),"")</f>
      </c>
      <c r="G966" s="16">
        <f>IFERROR(IF([2]对账明细接口!$G$966=0,"",[2]对账明细接口!$G$966),"")</f>
      </c>
      <c r="H966" s="176">
        <f>IFERROR(IF([2]对账明细接口!$H$966=0,"",[2]对账明细接口!$H$966),"")</f>
      </c>
      <c r="I966" s="16">
        <f>IFERROR(IF([2]对账明细接口!$I$966=0,"",[2]对账明细接口!$I$966),"")</f>
      </c>
      <c r="J966" s="177">
        <f>IFERROR(IF([2]对账明细接口!$J$966=0,"",[2]对账明细接口!$J$966),"")</f>
      </c>
      <c r="K966" s="177">
        <f>IFERROR(IF([2]对账明细接口!$K$966=0,"",[2]对账明细接口!$K$966),"")</f>
      </c>
      <c r="L966" s="16">
        <f>IFERROR(IF([2]对账明细接口!$L$966=0,"",[2]对账明细接口!$L$966),"")</f>
      </c>
      <c r="M966" s="16">
        <f>IFERROR(IF([2]对账明细接口!$M$966=0,"",[2]对账明细接口!$M$966),"")</f>
      </c>
      <c r="N966" s="19">
        <f>IF($C966="",0,1)</f>
        <v>0</v>
      </c>
      <c r="O966" s="19">
        <f>N(O965)+$N966</f>
        <v>272</v>
      </c>
      <c r="S966" s="20">
        <f>IFERROR(IF([2]对账明细接口!$N966=0,"",[2]对账明细接口!$N966),"")</f>
      </c>
      <c r="T966" s="212">
        <f>IFERROR(IF([2]对账明细接口!$O966=0,"",[2]对账明细接口!$O966),"")</f>
      </c>
      <c r="U966" s="212">
        <f>IFERROR(IF([2]对账明细接口!$P966=0,"",[2]对账明细接口!$P966),"")</f>
      </c>
      <c r="V966" s="212">
        <f>IFERROR(IF([2]对账明细接口!$Q966=0,"",[2]对账明细接口!$Q966),"")</f>
      </c>
      <c r="W966" s="20">
        <f>IFERROR(IF([2]对账明细接口!$R966=0,"",[2]对账明细接口!$R966),"")</f>
      </c>
      <c r="X966" s="20">
        <f>IFERROR(IF([2]对账明细接口!$S966=0,"",[2]对账明细接口!$S966),"")</f>
      </c>
      <c r="Y966" s="20">
        <f>""</f>
      </c>
      <c r="Z966" s="20">
        <f>""</f>
      </c>
      <c r="AA966" s="20">
        <f>""</f>
      </c>
      <c r="AB966" s="20">
        <f>""</f>
      </c>
    </row>
    <row r="967" s="127">
      <c r="A967" s="14" t="n">
        <v>967</v>
      </c>
      <c r="B967" s="211">
        <f>IFERROR(IF([2]对账明细接口!$B$967=0,"",[2]对账明细接口!$B$967),"")</f>
      </c>
      <c r="C967" s="16">
        <f>IFERROR(IF([2]对账明细接口!$C$967=0,"",[2]对账明细接口!$C$967),"")</f>
      </c>
      <c r="D967" s="16">
        <f>IFERROR(IF([2]对账明细接口!$D$967=0,"",[2]对账明细接口!$D$967),"")</f>
      </c>
      <c r="E967" s="16">
        <f>IFERROR(IF([2]对账明细接口!$E$967=0,"",[2]对账明细接口!$E$967),"")</f>
      </c>
      <c r="F967" s="16">
        <f>IFERROR(IF([2]对账明细接口!$F$967=0,"",[2]对账明细接口!$F$967),"")</f>
      </c>
      <c r="G967" s="16">
        <f>IFERROR(IF([2]对账明细接口!$G$967=0,"",[2]对账明细接口!$G$967),"")</f>
      </c>
      <c r="H967" s="176">
        <f>IFERROR(IF([2]对账明细接口!$H$967=0,"",[2]对账明细接口!$H$967),"")</f>
      </c>
      <c r="I967" s="16">
        <f>IFERROR(IF([2]对账明细接口!$I$967=0,"",[2]对账明细接口!$I$967),"")</f>
      </c>
      <c r="J967" s="177">
        <f>IFERROR(IF([2]对账明细接口!$J$967=0,"",[2]对账明细接口!$J$967),"")</f>
      </c>
      <c r="K967" s="177">
        <f>IFERROR(IF([2]对账明细接口!$K$967=0,"",[2]对账明细接口!$K$967),"")</f>
      </c>
      <c r="L967" s="16">
        <f>IFERROR(IF([2]对账明细接口!$L$967=0,"",[2]对账明细接口!$L$967),"")</f>
      </c>
      <c r="M967" s="16">
        <f>IFERROR(IF([2]对账明细接口!$M$967=0,"",[2]对账明细接口!$M$967),"")</f>
      </c>
      <c r="N967" s="19">
        <f>IF($C967="",0,1)</f>
        <v>0</v>
      </c>
      <c r="O967" s="19">
        <f>N(O966)+$N967</f>
        <v>272</v>
      </c>
      <c r="S967" s="20">
        <f>IFERROR(IF([2]对账明细接口!$N967=0,"",[2]对账明细接口!$N967),"")</f>
      </c>
      <c r="T967" s="212">
        <f>IFERROR(IF([2]对账明细接口!$O967=0,"",[2]对账明细接口!$O967),"")</f>
      </c>
      <c r="U967" s="212">
        <f>IFERROR(IF([2]对账明细接口!$P967=0,"",[2]对账明细接口!$P967),"")</f>
      </c>
      <c r="V967" s="212">
        <f>IFERROR(IF([2]对账明细接口!$Q967=0,"",[2]对账明细接口!$Q967),"")</f>
      </c>
      <c r="W967" s="20">
        <f>IFERROR(IF([2]对账明细接口!$R967=0,"",[2]对账明细接口!$R967),"")</f>
      </c>
      <c r="X967" s="20">
        <f>IFERROR(IF([2]对账明细接口!$S967=0,"",[2]对账明细接口!$S967),"")</f>
      </c>
      <c r="Y967" s="20">
        <f>""</f>
      </c>
      <c r="Z967" s="20">
        <f>""</f>
      </c>
      <c r="AA967" s="20">
        <f>""</f>
      </c>
      <c r="AB967" s="20">
        <f>""</f>
      </c>
    </row>
    <row r="968" s="127">
      <c r="A968" s="14" t="n">
        <v>968</v>
      </c>
      <c r="B968" s="211">
        <f>IFERROR(IF([2]对账明细接口!$B$968=0,"",[2]对账明细接口!$B$968),"")</f>
      </c>
      <c r="C968" s="16">
        <f>IFERROR(IF([2]对账明细接口!$C$968=0,"",[2]对账明细接口!$C$968),"")</f>
      </c>
      <c r="D968" s="16">
        <f>IFERROR(IF([2]对账明细接口!$D$968=0,"",[2]对账明细接口!$D$968),"")</f>
      </c>
      <c r="E968" s="16">
        <f>IFERROR(IF([2]对账明细接口!$E$968=0,"",[2]对账明细接口!$E$968),"")</f>
      </c>
      <c r="F968" s="16">
        <f>IFERROR(IF([2]对账明细接口!$F$968=0,"",[2]对账明细接口!$F$968),"")</f>
      </c>
      <c r="G968" s="16">
        <f>IFERROR(IF([2]对账明细接口!$G$968=0,"",[2]对账明细接口!$G$968),"")</f>
      </c>
      <c r="H968" s="176">
        <f>IFERROR(IF([2]对账明细接口!$H$968=0,"",[2]对账明细接口!$H$968),"")</f>
      </c>
      <c r="I968" s="16">
        <f>IFERROR(IF([2]对账明细接口!$I$968=0,"",[2]对账明细接口!$I$968),"")</f>
      </c>
      <c r="J968" s="177">
        <f>IFERROR(IF([2]对账明细接口!$J$968=0,"",[2]对账明细接口!$J$968),"")</f>
      </c>
      <c r="K968" s="177">
        <f>IFERROR(IF([2]对账明细接口!$K$968=0,"",[2]对账明细接口!$K$968),"")</f>
      </c>
      <c r="L968" s="16">
        <f>IFERROR(IF([2]对账明细接口!$L$968=0,"",[2]对账明细接口!$L$968),"")</f>
      </c>
      <c r="M968" s="16">
        <f>IFERROR(IF([2]对账明细接口!$M$968=0,"",[2]对账明细接口!$M$968),"")</f>
      </c>
      <c r="N968" s="19">
        <f>IF($C968="",0,1)</f>
        <v>0</v>
      </c>
      <c r="O968" s="19">
        <f>N(O967)+$N968</f>
        <v>272</v>
      </c>
      <c r="S968" s="20">
        <f>IFERROR(IF([2]对账明细接口!$N968=0,"",[2]对账明细接口!$N968),"")</f>
      </c>
      <c r="T968" s="212">
        <f>IFERROR(IF([2]对账明细接口!$O968=0,"",[2]对账明细接口!$O968),"")</f>
      </c>
      <c r="U968" s="212">
        <f>IFERROR(IF([2]对账明细接口!$P968=0,"",[2]对账明细接口!$P968),"")</f>
      </c>
      <c r="V968" s="212">
        <f>IFERROR(IF([2]对账明细接口!$Q968=0,"",[2]对账明细接口!$Q968),"")</f>
      </c>
      <c r="W968" s="20">
        <f>IFERROR(IF([2]对账明细接口!$R968=0,"",[2]对账明细接口!$R968),"")</f>
      </c>
      <c r="X968" s="20">
        <f>IFERROR(IF([2]对账明细接口!$S968=0,"",[2]对账明细接口!$S968),"")</f>
      </c>
      <c r="Y968" s="20">
        <f>""</f>
      </c>
      <c r="Z968" s="20">
        <f>""</f>
      </c>
      <c r="AA968" s="20">
        <f>""</f>
      </c>
      <c r="AB968" s="20">
        <f>""</f>
      </c>
    </row>
    <row r="969" s="127">
      <c r="A969" s="14" t="n">
        <v>969</v>
      </c>
      <c r="B969" s="211">
        <f>IFERROR(IF([2]对账明细接口!$B$969=0,"",[2]对账明细接口!$B$969),"")</f>
      </c>
      <c r="C969" s="16">
        <f>IFERROR(IF([2]对账明细接口!$C$969=0,"",[2]对账明细接口!$C$969),"")</f>
      </c>
      <c r="D969" s="16">
        <f>IFERROR(IF([2]对账明细接口!$D$969=0,"",[2]对账明细接口!$D$969),"")</f>
      </c>
      <c r="E969" s="16">
        <f>IFERROR(IF([2]对账明细接口!$E$969=0,"",[2]对账明细接口!$E$969),"")</f>
      </c>
      <c r="F969" s="16">
        <f>IFERROR(IF([2]对账明细接口!$F$969=0,"",[2]对账明细接口!$F$969),"")</f>
      </c>
      <c r="G969" s="16">
        <f>IFERROR(IF([2]对账明细接口!$G$969=0,"",[2]对账明细接口!$G$969),"")</f>
      </c>
      <c r="H969" s="176">
        <f>IFERROR(IF([2]对账明细接口!$H$969=0,"",[2]对账明细接口!$H$969),"")</f>
      </c>
      <c r="I969" s="16">
        <f>IFERROR(IF([2]对账明细接口!$I$969=0,"",[2]对账明细接口!$I$969),"")</f>
      </c>
      <c r="J969" s="177">
        <f>IFERROR(IF([2]对账明细接口!$J$969=0,"",[2]对账明细接口!$J$969),"")</f>
      </c>
      <c r="K969" s="177">
        <f>IFERROR(IF([2]对账明细接口!$K$969=0,"",[2]对账明细接口!$K$969),"")</f>
      </c>
      <c r="L969" s="16">
        <f>IFERROR(IF([2]对账明细接口!$L$969=0,"",[2]对账明细接口!$L$969),"")</f>
      </c>
      <c r="M969" s="16">
        <f>IFERROR(IF([2]对账明细接口!$M$969=0,"",[2]对账明细接口!$M$969),"")</f>
      </c>
      <c r="N969" s="19">
        <f>IF($C969="",0,1)</f>
        <v>0</v>
      </c>
      <c r="O969" s="19">
        <f>N(O968)+$N969</f>
        <v>272</v>
      </c>
      <c r="S969" s="20">
        <f>IFERROR(IF([2]对账明细接口!$N969=0,"",[2]对账明细接口!$N969),"")</f>
      </c>
      <c r="T969" s="212">
        <f>IFERROR(IF([2]对账明细接口!$O969=0,"",[2]对账明细接口!$O969),"")</f>
      </c>
      <c r="U969" s="212">
        <f>IFERROR(IF([2]对账明细接口!$P969=0,"",[2]对账明细接口!$P969),"")</f>
      </c>
      <c r="V969" s="212">
        <f>IFERROR(IF([2]对账明细接口!$Q969=0,"",[2]对账明细接口!$Q969),"")</f>
      </c>
      <c r="W969" s="20">
        <f>IFERROR(IF([2]对账明细接口!$R969=0,"",[2]对账明细接口!$R969),"")</f>
      </c>
      <c r="X969" s="20">
        <f>IFERROR(IF([2]对账明细接口!$S969=0,"",[2]对账明细接口!$S969),"")</f>
      </c>
      <c r="Y969" s="20">
        <f>""</f>
      </c>
      <c r="Z969" s="20">
        <f>""</f>
      </c>
      <c r="AA969" s="20">
        <f>""</f>
      </c>
      <c r="AB969" s="20">
        <f>""</f>
      </c>
    </row>
    <row r="970" s="127">
      <c r="A970" s="14" t="n">
        <v>970</v>
      </c>
      <c r="B970" s="211">
        <f>IFERROR(IF([2]对账明细接口!$B$970=0,"",[2]对账明细接口!$B$970),"")</f>
      </c>
      <c r="C970" s="16">
        <f>IFERROR(IF([2]对账明细接口!$C$970=0,"",[2]对账明细接口!$C$970),"")</f>
      </c>
      <c r="D970" s="16">
        <f>IFERROR(IF([2]对账明细接口!$D$970=0,"",[2]对账明细接口!$D$970),"")</f>
      </c>
      <c r="E970" s="16">
        <f>IFERROR(IF([2]对账明细接口!$E$970=0,"",[2]对账明细接口!$E$970),"")</f>
      </c>
      <c r="F970" s="16">
        <f>IFERROR(IF([2]对账明细接口!$F$970=0,"",[2]对账明细接口!$F$970),"")</f>
      </c>
      <c r="G970" s="16">
        <f>IFERROR(IF([2]对账明细接口!$G$970=0,"",[2]对账明细接口!$G$970),"")</f>
      </c>
      <c r="H970" s="176">
        <f>IFERROR(IF([2]对账明细接口!$H$970=0,"",[2]对账明细接口!$H$970),"")</f>
      </c>
      <c r="I970" s="16">
        <f>IFERROR(IF([2]对账明细接口!$I$970=0,"",[2]对账明细接口!$I$970),"")</f>
      </c>
      <c r="J970" s="177">
        <f>IFERROR(IF([2]对账明细接口!$J$970=0,"",[2]对账明细接口!$J$970),"")</f>
      </c>
      <c r="K970" s="177">
        <f>IFERROR(IF([2]对账明细接口!$K$970=0,"",[2]对账明细接口!$K$970),"")</f>
      </c>
      <c r="L970" s="16">
        <f>IFERROR(IF([2]对账明细接口!$L$970=0,"",[2]对账明细接口!$L$970),"")</f>
      </c>
      <c r="M970" s="16">
        <f>IFERROR(IF([2]对账明细接口!$M$970=0,"",[2]对账明细接口!$M$970),"")</f>
      </c>
      <c r="N970" s="19">
        <f>IF($C970="",0,1)</f>
        <v>0</v>
      </c>
      <c r="O970" s="19">
        <f>N(O969)+$N970</f>
        <v>272</v>
      </c>
      <c r="S970" s="20">
        <f>IFERROR(IF([2]对账明细接口!$N970=0,"",[2]对账明细接口!$N970),"")</f>
      </c>
      <c r="T970" s="212">
        <f>IFERROR(IF([2]对账明细接口!$O970=0,"",[2]对账明细接口!$O970),"")</f>
      </c>
      <c r="U970" s="212">
        <f>IFERROR(IF([2]对账明细接口!$P970=0,"",[2]对账明细接口!$P970),"")</f>
      </c>
      <c r="V970" s="212">
        <f>IFERROR(IF([2]对账明细接口!$Q970=0,"",[2]对账明细接口!$Q970),"")</f>
      </c>
      <c r="W970" s="20">
        <f>IFERROR(IF([2]对账明细接口!$R970=0,"",[2]对账明细接口!$R970),"")</f>
      </c>
      <c r="X970" s="20">
        <f>IFERROR(IF([2]对账明细接口!$S970=0,"",[2]对账明细接口!$S970),"")</f>
      </c>
      <c r="Y970" s="20">
        <f>""</f>
      </c>
      <c r="Z970" s="20">
        <f>""</f>
      </c>
      <c r="AA970" s="20">
        <f>""</f>
      </c>
      <c r="AB970" s="20">
        <f>""</f>
      </c>
    </row>
    <row r="971" s="127">
      <c r="A971" s="14" t="n">
        <v>971</v>
      </c>
      <c r="B971" s="211">
        <f>IFERROR(IF([2]对账明细接口!$B$971=0,"",[2]对账明细接口!$B$971),"")</f>
      </c>
      <c r="C971" s="16">
        <f>IFERROR(IF([2]对账明细接口!$C$971=0,"",[2]对账明细接口!$C$971),"")</f>
      </c>
      <c r="D971" s="16">
        <f>IFERROR(IF([2]对账明细接口!$D$971=0,"",[2]对账明细接口!$D$971),"")</f>
      </c>
      <c r="E971" s="16">
        <f>IFERROR(IF([2]对账明细接口!$E$971=0,"",[2]对账明细接口!$E$971),"")</f>
      </c>
      <c r="F971" s="16">
        <f>IFERROR(IF([2]对账明细接口!$F$971=0,"",[2]对账明细接口!$F$971),"")</f>
      </c>
      <c r="G971" s="16">
        <f>IFERROR(IF([2]对账明细接口!$G$971=0,"",[2]对账明细接口!$G$971),"")</f>
      </c>
      <c r="H971" s="176">
        <f>IFERROR(IF([2]对账明细接口!$H$971=0,"",[2]对账明细接口!$H$971),"")</f>
      </c>
      <c r="I971" s="16">
        <f>IFERROR(IF([2]对账明细接口!$I$971=0,"",[2]对账明细接口!$I$971),"")</f>
      </c>
      <c r="J971" s="177">
        <f>IFERROR(IF([2]对账明细接口!$J$971=0,"",[2]对账明细接口!$J$971),"")</f>
      </c>
      <c r="K971" s="177">
        <f>IFERROR(IF([2]对账明细接口!$K$971=0,"",[2]对账明细接口!$K$971),"")</f>
      </c>
      <c r="L971" s="16">
        <f>IFERROR(IF([2]对账明细接口!$L$971=0,"",[2]对账明细接口!$L$971),"")</f>
      </c>
      <c r="M971" s="16">
        <f>IFERROR(IF([2]对账明细接口!$M$971=0,"",[2]对账明细接口!$M$971),"")</f>
      </c>
      <c r="N971" s="19">
        <f>IF($C971="",0,1)</f>
        <v>0</v>
      </c>
      <c r="O971" s="19">
        <f>N(O970)+$N971</f>
        <v>272</v>
      </c>
      <c r="S971" s="20">
        <f>IFERROR(IF([2]对账明细接口!$N971=0,"",[2]对账明细接口!$N971),"")</f>
      </c>
      <c r="T971" s="212">
        <f>IFERROR(IF([2]对账明细接口!$O971=0,"",[2]对账明细接口!$O971),"")</f>
      </c>
      <c r="U971" s="212">
        <f>IFERROR(IF([2]对账明细接口!$P971=0,"",[2]对账明细接口!$P971),"")</f>
      </c>
      <c r="V971" s="212">
        <f>IFERROR(IF([2]对账明细接口!$Q971=0,"",[2]对账明细接口!$Q971),"")</f>
      </c>
      <c r="W971" s="20">
        <f>IFERROR(IF([2]对账明细接口!$R971=0,"",[2]对账明细接口!$R971),"")</f>
      </c>
      <c r="X971" s="20">
        <f>IFERROR(IF([2]对账明细接口!$S971=0,"",[2]对账明细接口!$S971),"")</f>
      </c>
      <c r="Y971" s="20">
        <f>""</f>
      </c>
      <c r="Z971" s="20">
        <f>""</f>
      </c>
      <c r="AA971" s="20">
        <f>""</f>
      </c>
      <c r="AB971" s="20">
        <f>""</f>
      </c>
    </row>
    <row r="972" s="127">
      <c r="A972" s="14" t="n">
        <v>972</v>
      </c>
      <c r="B972" s="211">
        <f>IFERROR(IF([2]对账明细接口!$B$972=0,"",[2]对账明细接口!$B$972),"")</f>
      </c>
      <c r="C972" s="16">
        <f>IFERROR(IF([2]对账明细接口!$C$972=0,"",[2]对账明细接口!$C$972),"")</f>
      </c>
      <c r="D972" s="16">
        <f>IFERROR(IF([2]对账明细接口!$D$972=0,"",[2]对账明细接口!$D$972),"")</f>
      </c>
      <c r="E972" s="16">
        <f>IFERROR(IF([2]对账明细接口!$E$972=0,"",[2]对账明细接口!$E$972),"")</f>
      </c>
      <c r="F972" s="16">
        <f>IFERROR(IF([2]对账明细接口!$F$972=0,"",[2]对账明细接口!$F$972),"")</f>
      </c>
      <c r="G972" s="16">
        <f>IFERROR(IF([2]对账明细接口!$G$972=0,"",[2]对账明细接口!$G$972),"")</f>
      </c>
      <c r="H972" s="176">
        <f>IFERROR(IF([2]对账明细接口!$H$972=0,"",[2]对账明细接口!$H$972),"")</f>
      </c>
      <c r="I972" s="16">
        <f>IFERROR(IF([2]对账明细接口!$I$972=0,"",[2]对账明细接口!$I$972),"")</f>
      </c>
      <c r="J972" s="177">
        <f>IFERROR(IF([2]对账明细接口!$J$972=0,"",[2]对账明细接口!$J$972),"")</f>
      </c>
      <c r="K972" s="177">
        <f>IFERROR(IF([2]对账明细接口!$K$972=0,"",[2]对账明细接口!$K$972),"")</f>
      </c>
      <c r="L972" s="16">
        <f>IFERROR(IF([2]对账明细接口!$L$972=0,"",[2]对账明细接口!$L$972),"")</f>
      </c>
      <c r="M972" s="16">
        <f>IFERROR(IF([2]对账明细接口!$M$972=0,"",[2]对账明细接口!$M$972),"")</f>
      </c>
      <c r="N972" s="19">
        <f>IF($C972="",0,1)</f>
        <v>0</v>
      </c>
      <c r="O972" s="19">
        <f>N(O971)+$N972</f>
        <v>272</v>
      </c>
      <c r="S972" s="20">
        <f>IFERROR(IF([2]对账明细接口!$N972=0,"",[2]对账明细接口!$N972),"")</f>
      </c>
      <c r="T972" s="212">
        <f>IFERROR(IF([2]对账明细接口!$O972=0,"",[2]对账明细接口!$O972),"")</f>
      </c>
      <c r="U972" s="212">
        <f>IFERROR(IF([2]对账明细接口!$P972=0,"",[2]对账明细接口!$P972),"")</f>
      </c>
      <c r="V972" s="212">
        <f>IFERROR(IF([2]对账明细接口!$Q972=0,"",[2]对账明细接口!$Q972),"")</f>
      </c>
      <c r="W972" s="20">
        <f>IFERROR(IF([2]对账明细接口!$R972=0,"",[2]对账明细接口!$R972),"")</f>
      </c>
      <c r="X972" s="20">
        <f>IFERROR(IF([2]对账明细接口!$S972=0,"",[2]对账明细接口!$S972),"")</f>
      </c>
      <c r="Y972" s="20">
        <f>""</f>
      </c>
      <c r="Z972" s="20">
        <f>""</f>
      </c>
      <c r="AA972" s="20">
        <f>""</f>
      </c>
      <c r="AB972" s="20">
        <f>""</f>
      </c>
    </row>
    <row r="973" s="127">
      <c r="A973" s="14" t="n">
        <v>973</v>
      </c>
      <c r="B973" s="211">
        <f>IFERROR(IF([2]对账明细接口!$B$973=0,"",[2]对账明细接口!$B$973),"")</f>
      </c>
      <c r="C973" s="16">
        <f>IFERROR(IF([2]对账明细接口!$C$973=0,"",[2]对账明细接口!$C$973),"")</f>
      </c>
      <c r="D973" s="16">
        <f>IFERROR(IF([2]对账明细接口!$D$973=0,"",[2]对账明细接口!$D$973),"")</f>
      </c>
      <c r="E973" s="16">
        <f>IFERROR(IF([2]对账明细接口!$E$973=0,"",[2]对账明细接口!$E$973),"")</f>
      </c>
      <c r="F973" s="16">
        <f>IFERROR(IF([2]对账明细接口!$F$973=0,"",[2]对账明细接口!$F$973),"")</f>
      </c>
      <c r="G973" s="16">
        <f>IFERROR(IF([2]对账明细接口!$G$973=0,"",[2]对账明细接口!$G$973),"")</f>
      </c>
      <c r="H973" s="176">
        <f>IFERROR(IF([2]对账明细接口!$H$973=0,"",[2]对账明细接口!$H$973),"")</f>
      </c>
      <c r="I973" s="16">
        <f>IFERROR(IF([2]对账明细接口!$I$973=0,"",[2]对账明细接口!$I$973),"")</f>
      </c>
      <c r="J973" s="177">
        <f>IFERROR(IF([2]对账明细接口!$J$973=0,"",[2]对账明细接口!$J$973),"")</f>
      </c>
      <c r="K973" s="177">
        <f>IFERROR(IF([2]对账明细接口!$K$973=0,"",[2]对账明细接口!$K$973),"")</f>
      </c>
      <c r="L973" s="16">
        <f>IFERROR(IF([2]对账明细接口!$L$973=0,"",[2]对账明细接口!$L$973),"")</f>
      </c>
      <c r="M973" s="16">
        <f>IFERROR(IF([2]对账明细接口!$M$973=0,"",[2]对账明细接口!$M$973),"")</f>
      </c>
      <c r="N973" s="19">
        <f>IF($C973="",0,1)</f>
        <v>0</v>
      </c>
      <c r="O973" s="19">
        <f>N(O972)+$N973</f>
        <v>272</v>
      </c>
      <c r="S973" s="20">
        <f>IFERROR(IF([2]对账明细接口!$N973=0,"",[2]对账明细接口!$N973),"")</f>
      </c>
      <c r="T973" s="212">
        <f>IFERROR(IF([2]对账明细接口!$O973=0,"",[2]对账明细接口!$O973),"")</f>
      </c>
      <c r="U973" s="212">
        <f>IFERROR(IF([2]对账明细接口!$P973=0,"",[2]对账明细接口!$P973),"")</f>
      </c>
      <c r="V973" s="212">
        <f>IFERROR(IF([2]对账明细接口!$Q973=0,"",[2]对账明细接口!$Q973),"")</f>
      </c>
      <c r="W973" s="20">
        <f>IFERROR(IF([2]对账明细接口!$R973=0,"",[2]对账明细接口!$R973),"")</f>
      </c>
      <c r="X973" s="20">
        <f>IFERROR(IF([2]对账明细接口!$S973=0,"",[2]对账明细接口!$S973),"")</f>
      </c>
      <c r="Y973" s="20">
        <f>""</f>
      </c>
      <c r="Z973" s="20">
        <f>""</f>
      </c>
      <c r="AA973" s="20">
        <f>""</f>
      </c>
      <c r="AB973" s="20">
        <f>""</f>
      </c>
    </row>
    <row r="974" s="127">
      <c r="A974" s="14" t="n">
        <v>974</v>
      </c>
      <c r="B974" s="211">
        <f>IFERROR(IF([2]对账明细接口!$B$974=0,"",[2]对账明细接口!$B$974),"")</f>
      </c>
      <c r="C974" s="16">
        <f>IFERROR(IF([2]对账明细接口!$C$974=0,"",[2]对账明细接口!$C$974),"")</f>
      </c>
      <c r="D974" s="16">
        <f>IFERROR(IF([2]对账明细接口!$D$974=0,"",[2]对账明细接口!$D$974),"")</f>
      </c>
      <c r="E974" s="16">
        <f>IFERROR(IF([2]对账明细接口!$E$974=0,"",[2]对账明细接口!$E$974),"")</f>
      </c>
      <c r="F974" s="16">
        <f>IFERROR(IF([2]对账明细接口!$F$974=0,"",[2]对账明细接口!$F$974),"")</f>
      </c>
      <c r="G974" s="16">
        <f>IFERROR(IF([2]对账明细接口!$G$974=0,"",[2]对账明细接口!$G$974),"")</f>
      </c>
      <c r="H974" s="176">
        <f>IFERROR(IF([2]对账明细接口!$H$974=0,"",[2]对账明细接口!$H$974),"")</f>
      </c>
      <c r="I974" s="16">
        <f>IFERROR(IF([2]对账明细接口!$I$974=0,"",[2]对账明细接口!$I$974),"")</f>
      </c>
      <c r="J974" s="177">
        <f>IFERROR(IF([2]对账明细接口!$J$974=0,"",[2]对账明细接口!$J$974),"")</f>
      </c>
      <c r="K974" s="177">
        <f>IFERROR(IF([2]对账明细接口!$K$974=0,"",[2]对账明细接口!$K$974),"")</f>
      </c>
      <c r="L974" s="16">
        <f>IFERROR(IF([2]对账明细接口!$L$974=0,"",[2]对账明细接口!$L$974),"")</f>
      </c>
      <c r="M974" s="16">
        <f>IFERROR(IF([2]对账明细接口!$M$974=0,"",[2]对账明细接口!$M$974),"")</f>
      </c>
      <c r="N974" s="19">
        <f>IF($C974="",0,1)</f>
        <v>0</v>
      </c>
      <c r="O974" s="19">
        <f>N(O973)+$N974</f>
        <v>272</v>
      </c>
      <c r="S974" s="20">
        <f>IFERROR(IF([2]对账明细接口!$N974=0,"",[2]对账明细接口!$N974),"")</f>
      </c>
      <c r="T974" s="212">
        <f>IFERROR(IF([2]对账明细接口!$O974=0,"",[2]对账明细接口!$O974),"")</f>
      </c>
      <c r="U974" s="212">
        <f>IFERROR(IF([2]对账明细接口!$P974=0,"",[2]对账明细接口!$P974),"")</f>
      </c>
      <c r="V974" s="212">
        <f>IFERROR(IF([2]对账明细接口!$Q974=0,"",[2]对账明细接口!$Q974),"")</f>
      </c>
      <c r="W974" s="20">
        <f>IFERROR(IF([2]对账明细接口!$R974=0,"",[2]对账明细接口!$R974),"")</f>
      </c>
      <c r="X974" s="20">
        <f>IFERROR(IF([2]对账明细接口!$S974=0,"",[2]对账明细接口!$S974),"")</f>
      </c>
      <c r="Y974" s="20">
        <f>""</f>
      </c>
      <c r="Z974" s="20">
        <f>""</f>
      </c>
      <c r="AA974" s="20">
        <f>""</f>
      </c>
      <c r="AB974" s="20">
        <f>""</f>
      </c>
    </row>
    <row r="975" s="127">
      <c r="A975" s="14" t="n">
        <v>975</v>
      </c>
      <c r="B975" s="211">
        <f>IFERROR(IF([2]对账明细接口!$B$975=0,"",[2]对账明细接口!$B$975),"")</f>
      </c>
      <c r="C975" s="16">
        <f>IFERROR(IF([2]对账明细接口!$C$975=0,"",[2]对账明细接口!$C$975),"")</f>
      </c>
      <c r="D975" s="16">
        <f>IFERROR(IF([2]对账明细接口!$D$975=0,"",[2]对账明细接口!$D$975),"")</f>
      </c>
      <c r="E975" s="16">
        <f>IFERROR(IF([2]对账明细接口!$E$975=0,"",[2]对账明细接口!$E$975),"")</f>
      </c>
      <c r="F975" s="16">
        <f>IFERROR(IF([2]对账明细接口!$F$975=0,"",[2]对账明细接口!$F$975),"")</f>
      </c>
      <c r="G975" s="16">
        <f>IFERROR(IF([2]对账明细接口!$G$975=0,"",[2]对账明细接口!$G$975),"")</f>
      </c>
      <c r="H975" s="176">
        <f>IFERROR(IF([2]对账明细接口!$H$975=0,"",[2]对账明细接口!$H$975),"")</f>
      </c>
      <c r="I975" s="16">
        <f>IFERROR(IF([2]对账明细接口!$I$975=0,"",[2]对账明细接口!$I$975),"")</f>
      </c>
      <c r="J975" s="177">
        <f>IFERROR(IF([2]对账明细接口!$J$975=0,"",[2]对账明细接口!$J$975),"")</f>
      </c>
      <c r="K975" s="177">
        <f>IFERROR(IF([2]对账明细接口!$K$975=0,"",[2]对账明细接口!$K$975),"")</f>
      </c>
      <c r="L975" s="16">
        <f>IFERROR(IF([2]对账明细接口!$L$975=0,"",[2]对账明细接口!$L$975),"")</f>
      </c>
      <c r="M975" s="16">
        <f>IFERROR(IF([2]对账明细接口!$M$975=0,"",[2]对账明细接口!$M$975),"")</f>
      </c>
      <c r="N975" s="19">
        <f>IF($C975="",0,1)</f>
        <v>0</v>
      </c>
      <c r="O975" s="19">
        <f>N(O974)+$N975</f>
        <v>272</v>
      </c>
      <c r="S975" s="20">
        <f>IFERROR(IF([2]对账明细接口!$N975=0,"",[2]对账明细接口!$N975),"")</f>
      </c>
      <c r="T975" s="212">
        <f>IFERROR(IF([2]对账明细接口!$O975=0,"",[2]对账明细接口!$O975),"")</f>
      </c>
      <c r="U975" s="212">
        <f>IFERROR(IF([2]对账明细接口!$P975=0,"",[2]对账明细接口!$P975),"")</f>
      </c>
      <c r="V975" s="212">
        <f>IFERROR(IF([2]对账明细接口!$Q975=0,"",[2]对账明细接口!$Q975),"")</f>
      </c>
      <c r="W975" s="20">
        <f>IFERROR(IF([2]对账明细接口!$R975=0,"",[2]对账明细接口!$R975),"")</f>
      </c>
      <c r="X975" s="20">
        <f>IFERROR(IF([2]对账明细接口!$S975=0,"",[2]对账明细接口!$S975),"")</f>
      </c>
      <c r="Y975" s="20">
        <f>""</f>
      </c>
      <c r="Z975" s="20">
        <f>""</f>
      </c>
      <c r="AA975" s="20">
        <f>""</f>
      </c>
      <c r="AB975" s="20">
        <f>""</f>
      </c>
    </row>
    <row r="976" s="127">
      <c r="A976" s="14" t="n">
        <v>976</v>
      </c>
      <c r="B976" s="211">
        <f>IFERROR(IF([2]对账明细接口!$B$976=0,"",[2]对账明细接口!$B$976),"")</f>
      </c>
      <c r="C976" s="16">
        <f>IFERROR(IF([2]对账明细接口!$C$976=0,"",[2]对账明细接口!$C$976),"")</f>
      </c>
      <c r="D976" s="16">
        <f>IFERROR(IF([2]对账明细接口!$D$976=0,"",[2]对账明细接口!$D$976),"")</f>
      </c>
      <c r="E976" s="16">
        <f>IFERROR(IF([2]对账明细接口!$E$976=0,"",[2]对账明细接口!$E$976),"")</f>
      </c>
      <c r="F976" s="16">
        <f>IFERROR(IF([2]对账明细接口!$F$976=0,"",[2]对账明细接口!$F$976),"")</f>
      </c>
      <c r="G976" s="16">
        <f>IFERROR(IF([2]对账明细接口!$G$976=0,"",[2]对账明细接口!$G$976),"")</f>
      </c>
      <c r="H976" s="176">
        <f>IFERROR(IF([2]对账明细接口!$H$976=0,"",[2]对账明细接口!$H$976),"")</f>
      </c>
      <c r="I976" s="16">
        <f>IFERROR(IF([2]对账明细接口!$I$976=0,"",[2]对账明细接口!$I$976),"")</f>
      </c>
      <c r="J976" s="177">
        <f>IFERROR(IF([2]对账明细接口!$J$976=0,"",[2]对账明细接口!$J$976),"")</f>
      </c>
      <c r="K976" s="177">
        <f>IFERROR(IF([2]对账明细接口!$K$976=0,"",[2]对账明细接口!$K$976),"")</f>
      </c>
      <c r="L976" s="16">
        <f>IFERROR(IF([2]对账明细接口!$L$976=0,"",[2]对账明细接口!$L$976),"")</f>
      </c>
      <c r="M976" s="16">
        <f>IFERROR(IF([2]对账明细接口!$M$976=0,"",[2]对账明细接口!$M$976),"")</f>
      </c>
      <c r="N976" s="19">
        <f>IF($C976="",0,1)</f>
        <v>0</v>
      </c>
      <c r="O976" s="19">
        <f>N(O975)+$N976</f>
        <v>272</v>
      </c>
      <c r="S976" s="20">
        <f>IFERROR(IF([2]对账明细接口!$N976=0,"",[2]对账明细接口!$N976),"")</f>
      </c>
      <c r="T976" s="212">
        <f>IFERROR(IF([2]对账明细接口!$O976=0,"",[2]对账明细接口!$O976),"")</f>
      </c>
      <c r="U976" s="212">
        <f>IFERROR(IF([2]对账明细接口!$P976=0,"",[2]对账明细接口!$P976),"")</f>
      </c>
      <c r="V976" s="212">
        <f>IFERROR(IF([2]对账明细接口!$Q976=0,"",[2]对账明细接口!$Q976),"")</f>
      </c>
      <c r="W976" s="20">
        <f>IFERROR(IF([2]对账明细接口!$R976=0,"",[2]对账明细接口!$R976),"")</f>
      </c>
      <c r="X976" s="20">
        <f>IFERROR(IF([2]对账明细接口!$S976=0,"",[2]对账明细接口!$S976),"")</f>
      </c>
      <c r="Y976" s="20">
        <f>""</f>
      </c>
      <c r="Z976" s="20">
        <f>""</f>
      </c>
      <c r="AA976" s="20">
        <f>""</f>
      </c>
      <c r="AB976" s="20">
        <f>""</f>
      </c>
    </row>
    <row r="977" s="127">
      <c r="A977" s="14" t="n">
        <v>977</v>
      </c>
      <c r="B977" s="211">
        <f>IFERROR(IF([2]对账明细接口!$B$977=0,"",[2]对账明细接口!$B$977),"")</f>
      </c>
      <c r="C977" s="16">
        <f>IFERROR(IF([2]对账明细接口!$C$977=0,"",[2]对账明细接口!$C$977),"")</f>
      </c>
      <c r="D977" s="16">
        <f>IFERROR(IF([2]对账明细接口!$D$977=0,"",[2]对账明细接口!$D$977),"")</f>
      </c>
      <c r="E977" s="16">
        <f>IFERROR(IF([2]对账明细接口!$E$977=0,"",[2]对账明细接口!$E$977),"")</f>
      </c>
      <c r="F977" s="16">
        <f>IFERROR(IF([2]对账明细接口!$F$977=0,"",[2]对账明细接口!$F$977),"")</f>
      </c>
      <c r="G977" s="16">
        <f>IFERROR(IF([2]对账明细接口!$G$977=0,"",[2]对账明细接口!$G$977),"")</f>
      </c>
      <c r="H977" s="176">
        <f>IFERROR(IF([2]对账明细接口!$H$977=0,"",[2]对账明细接口!$H$977),"")</f>
      </c>
      <c r="I977" s="16">
        <f>IFERROR(IF([2]对账明细接口!$I$977=0,"",[2]对账明细接口!$I$977),"")</f>
      </c>
      <c r="J977" s="177">
        <f>IFERROR(IF([2]对账明细接口!$J$977=0,"",[2]对账明细接口!$J$977),"")</f>
      </c>
      <c r="K977" s="177">
        <f>IFERROR(IF([2]对账明细接口!$K$977=0,"",[2]对账明细接口!$K$977),"")</f>
      </c>
      <c r="L977" s="16">
        <f>IFERROR(IF([2]对账明细接口!$L$977=0,"",[2]对账明细接口!$L$977),"")</f>
      </c>
      <c r="M977" s="16">
        <f>IFERROR(IF([2]对账明细接口!$M$977=0,"",[2]对账明细接口!$M$977),"")</f>
      </c>
      <c r="N977" s="19">
        <f>IF($C977="",0,1)</f>
        <v>0</v>
      </c>
      <c r="O977" s="19">
        <f>N(O976)+$N977</f>
        <v>272</v>
      </c>
      <c r="S977" s="20">
        <f>IFERROR(IF([2]对账明细接口!$N977=0,"",[2]对账明细接口!$N977),"")</f>
      </c>
      <c r="T977" s="212">
        <f>IFERROR(IF([2]对账明细接口!$O977=0,"",[2]对账明细接口!$O977),"")</f>
      </c>
      <c r="U977" s="212">
        <f>IFERROR(IF([2]对账明细接口!$P977=0,"",[2]对账明细接口!$P977),"")</f>
      </c>
      <c r="V977" s="212">
        <f>IFERROR(IF([2]对账明细接口!$Q977=0,"",[2]对账明细接口!$Q977),"")</f>
      </c>
      <c r="W977" s="20">
        <f>IFERROR(IF([2]对账明细接口!$R977=0,"",[2]对账明细接口!$R977),"")</f>
      </c>
      <c r="X977" s="20">
        <f>IFERROR(IF([2]对账明细接口!$S977=0,"",[2]对账明细接口!$S977),"")</f>
      </c>
      <c r="Y977" s="20">
        <f>""</f>
      </c>
      <c r="Z977" s="20">
        <f>""</f>
      </c>
      <c r="AA977" s="20">
        <f>""</f>
      </c>
      <c r="AB977" s="20">
        <f>""</f>
      </c>
    </row>
    <row r="978" s="127">
      <c r="A978" s="14" t="n">
        <v>978</v>
      </c>
      <c r="B978" s="211">
        <f>IFERROR(IF([2]对账明细接口!$B$978=0,"",[2]对账明细接口!$B$978),"")</f>
      </c>
      <c r="C978" s="16">
        <f>IFERROR(IF([2]对账明细接口!$C$978=0,"",[2]对账明细接口!$C$978),"")</f>
      </c>
      <c r="D978" s="16">
        <f>IFERROR(IF([2]对账明细接口!$D$978=0,"",[2]对账明细接口!$D$978),"")</f>
      </c>
      <c r="E978" s="16">
        <f>IFERROR(IF([2]对账明细接口!$E$978=0,"",[2]对账明细接口!$E$978),"")</f>
      </c>
      <c r="F978" s="16">
        <f>IFERROR(IF([2]对账明细接口!$F$978=0,"",[2]对账明细接口!$F$978),"")</f>
      </c>
      <c r="G978" s="16">
        <f>IFERROR(IF([2]对账明细接口!$G$978=0,"",[2]对账明细接口!$G$978),"")</f>
      </c>
      <c r="H978" s="176">
        <f>IFERROR(IF([2]对账明细接口!$H$978=0,"",[2]对账明细接口!$H$978),"")</f>
      </c>
      <c r="I978" s="16">
        <f>IFERROR(IF([2]对账明细接口!$I$978=0,"",[2]对账明细接口!$I$978),"")</f>
      </c>
      <c r="J978" s="177">
        <f>IFERROR(IF([2]对账明细接口!$J$978=0,"",[2]对账明细接口!$J$978),"")</f>
      </c>
      <c r="K978" s="177">
        <f>IFERROR(IF([2]对账明细接口!$K$978=0,"",[2]对账明细接口!$K$978),"")</f>
      </c>
      <c r="L978" s="16">
        <f>IFERROR(IF([2]对账明细接口!$L$978=0,"",[2]对账明细接口!$L$978),"")</f>
      </c>
      <c r="M978" s="16">
        <f>IFERROR(IF([2]对账明细接口!$M$978=0,"",[2]对账明细接口!$M$978),"")</f>
      </c>
      <c r="N978" s="19">
        <f>IF($C978="",0,1)</f>
        <v>0</v>
      </c>
      <c r="O978" s="19">
        <f>N(O977)+$N978</f>
        <v>272</v>
      </c>
      <c r="S978" s="20">
        <f>IFERROR(IF([2]对账明细接口!$N978=0,"",[2]对账明细接口!$N978),"")</f>
      </c>
      <c r="T978" s="212">
        <f>IFERROR(IF([2]对账明细接口!$O978=0,"",[2]对账明细接口!$O978),"")</f>
      </c>
      <c r="U978" s="212">
        <f>IFERROR(IF([2]对账明细接口!$P978=0,"",[2]对账明细接口!$P978),"")</f>
      </c>
      <c r="V978" s="212">
        <f>IFERROR(IF([2]对账明细接口!$Q978=0,"",[2]对账明细接口!$Q978),"")</f>
      </c>
      <c r="W978" s="20">
        <f>IFERROR(IF([2]对账明细接口!$R978=0,"",[2]对账明细接口!$R978),"")</f>
      </c>
      <c r="X978" s="20">
        <f>IFERROR(IF([2]对账明细接口!$S978=0,"",[2]对账明细接口!$S978),"")</f>
      </c>
      <c r="Y978" s="20">
        <f>""</f>
      </c>
      <c r="Z978" s="20">
        <f>""</f>
      </c>
      <c r="AA978" s="20">
        <f>""</f>
      </c>
      <c r="AB978" s="20">
        <f>""</f>
      </c>
    </row>
    <row r="979" s="127">
      <c r="A979" s="14" t="n">
        <v>979</v>
      </c>
      <c r="B979" s="211">
        <f>IFERROR(IF([2]对账明细接口!$B$979=0,"",[2]对账明细接口!$B$979),"")</f>
      </c>
      <c r="C979" s="16">
        <f>IFERROR(IF([2]对账明细接口!$C$979=0,"",[2]对账明细接口!$C$979),"")</f>
      </c>
      <c r="D979" s="16">
        <f>IFERROR(IF([2]对账明细接口!$D$979=0,"",[2]对账明细接口!$D$979),"")</f>
      </c>
      <c r="E979" s="16">
        <f>IFERROR(IF([2]对账明细接口!$E$979=0,"",[2]对账明细接口!$E$979),"")</f>
      </c>
      <c r="F979" s="16">
        <f>IFERROR(IF([2]对账明细接口!$F$979=0,"",[2]对账明细接口!$F$979),"")</f>
      </c>
      <c r="G979" s="16">
        <f>IFERROR(IF([2]对账明细接口!$G$979=0,"",[2]对账明细接口!$G$979),"")</f>
      </c>
      <c r="H979" s="176">
        <f>IFERROR(IF([2]对账明细接口!$H$979=0,"",[2]对账明细接口!$H$979),"")</f>
      </c>
      <c r="I979" s="16">
        <f>IFERROR(IF([2]对账明细接口!$I$979=0,"",[2]对账明细接口!$I$979),"")</f>
      </c>
      <c r="J979" s="177">
        <f>IFERROR(IF([2]对账明细接口!$J$979=0,"",[2]对账明细接口!$J$979),"")</f>
      </c>
      <c r="K979" s="177">
        <f>IFERROR(IF([2]对账明细接口!$K$979=0,"",[2]对账明细接口!$K$979),"")</f>
      </c>
      <c r="L979" s="16">
        <f>IFERROR(IF([2]对账明细接口!$L$979=0,"",[2]对账明细接口!$L$979),"")</f>
      </c>
      <c r="M979" s="16">
        <f>IFERROR(IF([2]对账明细接口!$M$979=0,"",[2]对账明细接口!$M$979),"")</f>
      </c>
      <c r="N979" s="19">
        <f>IF($C979="",0,1)</f>
        <v>0</v>
      </c>
      <c r="O979" s="19">
        <f>N(O978)+$N979</f>
        <v>272</v>
      </c>
      <c r="S979" s="20">
        <f>IFERROR(IF([2]对账明细接口!$N979=0,"",[2]对账明细接口!$N979),"")</f>
      </c>
      <c r="T979" s="212">
        <f>IFERROR(IF([2]对账明细接口!$O979=0,"",[2]对账明细接口!$O979),"")</f>
      </c>
      <c r="U979" s="212">
        <f>IFERROR(IF([2]对账明细接口!$P979=0,"",[2]对账明细接口!$P979),"")</f>
      </c>
      <c r="V979" s="212">
        <f>IFERROR(IF([2]对账明细接口!$Q979=0,"",[2]对账明细接口!$Q979),"")</f>
      </c>
      <c r="W979" s="20">
        <f>IFERROR(IF([2]对账明细接口!$R979=0,"",[2]对账明细接口!$R979),"")</f>
      </c>
      <c r="X979" s="20">
        <f>IFERROR(IF([2]对账明细接口!$S979=0,"",[2]对账明细接口!$S979),"")</f>
      </c>
      <c r="Y979" s="20">
        <f>""</f>
      </c>
      <c r="Z979" s="20">
        <f>""</f>
      </c>
      <c r="AA979" s="20">
        <f>""</f>
      </c>
      <c r="AB979" s="20">
        <f>""</f>
      </c>
    </row>
    <row r="980" s="127">
      <c r="A980" s="14" t="n">
        <v>980</v>
      </c>
      <c r="B980" s="211">
        <f>IFERROR(IF([2]对账明细接口!$B$980=0,"",[2]对账明细接口!$B$980),"")</f>
      </c>
      <c r="C980" s="16">
        <f>IFERROR(IF([2]对账明细接口!$C$980=0,"",[2]对账明细接口!$C$980),"")</f>
      </c>
      <c r="D980" s="16">
        <f>IFERROR(IF([2]对账明细接口!$D$980=0,"",[2]对账明细接口!$D$980),"")</f>
      </c>
      <c r="E980" s="16">
        <f>IFERROR(IF([2]对账明细接口!$E$980=0,"",[2]对账明细接口!$E$980),"")</f>
      </c>
      <c r="F980" s="16">
        <f>IFERROR(IF([2]对账明细接口!$F$980=0,"",[2]对账明细接口!$F$980),"")</f>
      </c>
      <c r="G980" s="16">
        <f>IFERROR(IF([2]对账明细接口!$G$980=0,"",[2]对账明细接口!$G$980),"")</f>
      </c>
      <c r="H980" s="176">
        <f>IFERROR(IF([2]对账明细接口!$H$980=0,"",[2]对账明细接口!$H$980),"")</f>
      </c>
      <c r="I980" s="16">
        <f>IFERROR(IF([2]对账明细接口!$I$980=0,"",[2]对账明细接口!$I$980),"")</f>
      </c>
      <c r="J980" s="177">
        <f>IFERROR(IF([2]对账明细接口!$J$980=0,"",[2]对账明细接口!$J$980),"")</f>
      </c>
      <c r="K980" s="177">
        <f>IFERROR(IF([2]对账明细接口!$K$980=0,"",[2]对账明细接口!$K$980),"")</f>
      </c>
      <c r="L980" s="16">
        <f>IFERROR(IF([2]对账明细接口!$L$980=0,"",[2]对账明细接口!$L$980),"")</f>
      </c>
      <c r="M980" s="16">
        <f>IFERROR(IF([2]对账明细接口!$M$980=0,"",[2]对账明细接口!$M$980),"")</f>
      </c>
      <c r="N980" s="19">
        <f>IF($C980="",0,1)</f>
        <v>0</v>
      </c>
      <c r="O980" s="19">
        <f>N(O979)+$N980</f>
        <v>272</v>
      </c>
      <c r="S980" s="20">
        <f>IFERROR(IF([2]对账明细接口!$N980=0,"",[2]对账明细接口!$N980),"")</f>
      </c>
      <c r="T980" s="212">
        <f>IFERROR(IF([2]对账明细接口!$O980=0,"",[2]对账明细接口!$O980),"")</f>
      </c>
      <c r="U980" s="212">
        <f>IFERROR(IF([2]对账明细接口!$P980=0,"",[2]对账明细接口!$P980),"")</f>
      </c>
      <c r="V980" s="212">
        <f>IFERROR(IF([2]对账明细接口!$Q980=0,"",[2]对账明细接口!$Q980),"")</f>
      </c>
      <c r="W980" s="20">
        <f>IFERROR(IF([2]对账明细接口!$R980=0,"",[2]对账明细接口!$R980),"")</f>
      </c>
      <c r="X980" s="20">
        <f>IFERROR(IF([2]对账明细接口!$S980=0,"",[2]对账明细接口!$S980),"")</f>
      </c>
      <c r="Y980" s="20">
        <f>""</f>
      </c>
      <c r="Z980" s="20">
        <f>""</f>
      </c>
      <c r="AA980" s="20">
        <f>""</f>
      </c>
      <c r="AB980" s="20">
        <f>""</f>
      </c>
    </row>
    <row r="981" s="127">
      <c r="A981" s="14" t="n">
        <v>981</v>
      </c>
      <c r="B981" s="211">
        <f>IFERROR(IF([2]对账明细接口!$B$981=0,"",[2]对账明细接口!$B$981),"")</f>
      </c>
      <c r="C981" s="16">
        <f>IFERROR(IF([2]对账明细接口!$C$981=0,"",[2]对账明细接口!$C$981),"")</f>
      </c>
      <c r="D981" s="16">
        <f>IFERROR(IF([2]对账明细接口!$D$981=0,"",[2]对账明细接口!$D$981),"")</f>
      </c>
      <c r="E981" s="16">
        <f>IFERROR(IF([2]对账明细接口!$E$981=0,"",[2]对账明细接口!$E$981),"")</f>
      </c>
      <c r="F981" s="16">
        <f>IFERROR(IF([2]对账明细接口!$F$981=0,"",[2]对账明细接口!$F$981),"")</f>
      </c>
      <c r="G981" s="16">
        <f>IFERROR(IF([2]对账明细接口!$G$981=0,"",[2]对账明细接口!$G$981),"")</f>
      </c>
      <c r="H981" s="176">
        <f>IFERROR(IF([2]对账明细接口!$H$981=0,"",[2]对账明细接口!$H$981),"")</f>
      </c>
      <c r="I981" s="16">
        <f>IFERROR(IF([2]对账明细接口!$I$981=0,"",[2]对账明细接口!$I$981),"")</f>
      </c>
      <c r="J981" s="177">
        <f>IFERROR(IF([2]对账明细接口!$J$981=0,"",[2]对账明细接口!$J$981),"")</f>
      </c>
      <c r="K981" s="177">
        <f>IFERROR(IF([2]对账明细接口!$K$981=0,"",[2]对账明细接口!$K$981),"")</f>
      </c>
      <c r="L981" s="16">
        <f>IFERROR(IF([2]对账明细接口!$L$981=0,"",[2]对账明细接口!$L$981),"")</f>
      </c>
      <c r="M981" s="16">
        <f>IFERROR(IF([2]对账明细接口!$M$981=0,"",[2]对账明细接口!$M$981),"")</f>
      </c>
      <c r="N981" s="19">
        <f>IF($C981="",0,1)</f>
        <v>0</v>
      </c>
      <c r="O981" s="19">
        <f>N(O980)+$N981</f>
        <v>272</v>
      </c>
      <c r="S981" s="20">
        <f>IFERROR(IF([2]对账明细接口!$N981=0,"",[2]对账明细接口!$N981),"")</f>
      </c>
      <c r="T981" s="212">
        <f>IFERROR(IF([2]对账明细接口!$O981=0,"",[2]对账明细接口!$O981),"")</f>
      </c>
      <c r="U981" s="212">
        <f>IFERROR(IF([2]对账明细接口!$P981=0,"",[2]对账明细接口!$P981),"")</f>
      </c>
      <c r="V981" s="212">
        <f>IFERROR(IF([2]对账明细接口!$Q981=0,"",[2]对账明细接口!$Q981),"")</f>
      </c>
      <c r="W981" s="20">
        <f>IFERROR(IF([2]对账明细接口!$R981=0,"",[2]对账明细接口!$R981),"")</f>
      </c>
      <c r="X981" s="20">
        <f>IFERROR(IF([2]对账明细接口!$S981=0,"",[2]对账明细接口!$S981),"")</f>
      </c>
      <c r="Y981" s="20">
        <f>""</f>
      </c>
      <c r="Z981" s="20">
        <f>""</f>
      </c>
      <c r="AA981" s="20">
        <f>""</f>
      </c>
      <c r="AB981" s="20">
        <f>""</f>
      </c>
    </row>
    <row r="982" s="127">
      <c r="A982" s="14" t="n">
        <v>982</v>
      </c>
      <c r="B982" s="211">
        <f>IFERROR(IF([2]对账明细接口!$B$982=0,"",[2]对账明细接口!$B$982),"")</f>
      </c>
      <c r="C982" s="16">
        <f>IFERROR(IF([2]对账明细接口!$C$982=0,"",[2]对账明细接口!$C$982),"")</f>
      </c>
      <c r="D982" s="16">
        <f>IFERROR(IF([2]对账明细接口!$D$982=0,"",[2]对账明细接口!$D$982),"")</f>
      </c>
      <c r="E982" s="16">
        <f>IFERROR(IF([2]对账明细接口!$E$982=0,"",[2]对账明细接口!$E$982),"")</f>
      </c>
      <c r="F982" s="16">
        <f>IFERROR(IF([2]对账明细接口!$F$982=0,"",[2]对账明细接口!$F$982),"")</f>
      </c>
      <c r="G982" s="16">
        <f>IFERROR(IF([2]对账明细接口!$G$982=0,"",[2]对账明细接口!$G$982),"")</f>
      </c>
      <c r="H982" s="176">
        <f>IFERROR(IF([2]对账明细接口!$H$982=0,"",[2]对账明细接口!$H$982),"")</f>
      </c>
      <c r="I982" s="16">
        <f>IFERROR(IF([2]对账明细接口!$I$982=0,"",[2]对账明细接口!$I$982),"")</f>
      </c>
      <c r="J982" s="177">
        <f>IFERROR(IF([2]对账明细接口!$J$982=0,"",[2]对账明细接口!$J$982),"")</f>
      </c>
      <c r="K982" s="177">
        <f>IFERROR(IF([2]对账明细接口!$K$982=0,"",[2]对账明细接口!$K$982),"")</f>
      </c>
      <c r="L982" s="16">
        <f>IFERROR(IF([2]对账明细接口!$L$982=0,"",[2]对账明细接口!$L$982),"")</f>
      </c>
      <c r="M982" s="16">
        <f>IFERROR(IF([2]对账明细接口!$M$982=0,"",[2]对账明细接口!$M$982),"")</f>
      </c>
      <c r="N982" s="19">
        <f>IF($C982="",0,1)</f>
        <v>0</v>
      </c>
      <c r="O982" s="19">
        <f>N(O981)+$N982</f>
        <v>272</v>
      </c>
      <c r="S982" s="20">
        <f>IFERROR(IF([2]对账明细接口!$N982=0,"",[2]对账明细接口!$N982),"")</f>
      </c>
      <c r="T982" s="212">
        <f>IFERROR(IF([2]对账明细接口!$O982=0,"",[2]对账明细接口!$O982),"")</f>
      </c>
      <c r="U982" s="212">
        <f>IFERROR(IF([2]对账明细接口!$P982=0,"",[2]对账明细接口!$P982),"")</f>
      </c>
      <c r="V982" s="212">
        <f>IFERROR(IF([2]对账明细接口!$Q982=0,"",[2]对账明细接口!$Q982),"")</f>
      </c>
      <c r="W982" s="20">
        <f>IFERROR(IF([2]对账明细接口!$R982=0,"",[2]对账明细接口!$R982),"")</f>
      </c>
      <c r="X982" s="20">
        <f>IFERROR(IF([2]对账明细接口!$S982=0,"",[2]对账明细接口!$S982),"")</f>
      </c>
      <c r="Y982" s="20">
        <f>""</f>
      </c>
      <c r="Z982" s="20">
        <f>""</f>
      </c>
      <c r="AA982" s="20">
        <f>""</f>
      </c>
      <c r="AB982" s="20">
        <f>""</f>
      </c>
    </row>
    <row r="983" s="127">
      <c r="A983" s="14" t="n">
        <v>983</v>
      </c>
      <c r="B983" s="211">
        <f>IFERROR(IF([2]对账明细接口!$B$983=0,"",[2]对账明细接口!$B$983),"")</f>
      </c>
      <c r="C983" s="16">
        <f>IFERROR(IF([2]对账明细接口!$C$983=0,"",[2]对账明细接口!$C$983),"")</f>
      </c>
      <c r="D983" s="16">
        <f>IFERROR(IF([2]对账明细接口!$D$983=0,"",[2]对账明细接口!$D$983),"")</f>
      </c>
      <c r="E983" s="16">
        <f>IFERROR(IF([2]对账明细接口!$E$983=0,"",[2]对账明细接口!$E$983),"")</f>
      </c>
      <c r="F983" s="16">
        <f>IFERROR(IF([2]对账明细接口!$F$983=0,"",[2]对账明细接口!$F$983),"")</f>
      </c>
      <c r="G983" s="16">
        <f>IFERROR(IF([2]对账明细接口!$G$983=0,"",[2]对账明细接口!$G$983),"")</f>
      </c>
      <c r="H983" s="176">
        <f>IFERROR(IF([2]对账明细接口!$H$983=0,"",[2]对账明细接口!$H$983),"")</f>
      </c>
      <c r="I983" s="16">
        <f>IFERROR(IF([2]对账明细接口!$I$983=0,"",[2]对账明细接口!$I$983),"")</f>
      </c>
      <c r="J983" s="177">
        <f>IFERROR(IF([2]对账明细接口!$J$983=0,"",[2]对账明细接口!$J$983),"")</f>
      </c>
      <c r="K983" s="177">
        <f>IFERROR(IF([2]对账明细接口!$K$983=0,"",[2]对账明细接口!$K$983),"")</f>
      </c>
      <c r="L983" s="16">
        <f>IFERROR(IF([2]对账明细接口!$L$983=0,"",[2]对账明细接口!$L$983),"")</f>
      </c>
      <c r="M983" s="16">
        <f>IFERROR(IF([2]对账明细接口!$M$983=0,"",[2]对账明细接口!$M$983),"")</f>
      </c>
      <c r="N983" s="19">
        <f>IF($C983="",0,1)</f>
        <v>0</v>
      </c>
      <c r="O983" s="19">
        <f>N(O982)+$N983</f>
        <v>272</v>
      </c>
      <c r="S983" s="20">
        <f>IFERROR(IF([2]对账明细接口!$N983=0,"",[2]对账明细接口!$N983),"")</f>
      </c>
      <c r="T983" s="212">
        <f>IFERROR(IF([2]对账明细接口!$O983=0,"",[2]对账明细接口!$O983),"")</f>
      </c>
      <c r="U983" s="212">
        <f>IFERROR(IF([2]对账明细接口!$P983=0,"",[2]对账明细接口!$P983),"")</f>
      </c>
      <c r="V983" s="212">
        <f>IFERROR(IF([2]对账明细接口!$Q983=0,"",[2]对账明细接口!$Q983),"")</f>
      </c>
      <c r="W983" s="20">
        <f>IFERROR(IF([2]对账明细接口!$R983=0,"",[2]对账明细接口!$R983),"")</f>
      </c>
      <c r="X983" s="20">
        <f>IFERROR(IF([2]对账明细接口!$S983=0,"",[2]对账明细接口!$S983),"")</f>
      </c>
      <c r="Y983" s="20">
        <f>""</f>
      </c>
      <c r="Z983" s="20">
        <f>""</f>
      </c>
      <c r="AA983" s="20">
        <f>""</f>
      </c>
      <c r="AB983" s="20">
        <f>""</f>
      </c>
    </row>
    <row r="984" s="127">
      <c r="A984" s="14" t="n">
        <v>984</v>
      </c>
      <c r="B984" s="211">
        <f>IFERROR(IF([2]对账明细接口!$B$984=0,"",[2]对账明细接口!$B$984),"")</f>
      </c>
      <c r="C984" s="16">
        <f>IFERROR(IF([2]对账明细接口!$C$984=0,"",[2]对账明细接口!$C$984),"")</f>
      </c>
      <c r="D984" s="16">
        <f>IFERROR(IF([2]对账明细接口!$D$984=0,"",[2]对账明细接口!$D$984),"")</f>
      </c>
      <c r="E984" s="16">
        <f>IFERROR(IF([2]对账明细接口!$E$984=0,"",[2]对账明细接口!$E$984),"")</f>
      </c>
      <c r="F984" s="16">
        <f>IFERROR(IF([2]对账明细接口!$F$984=0,"",[2]对账明细接口!$F$984),"")</f>
      </c>
      <c r="G984" s="16">
        <f>IFERROR(IF([2]对账明细接口!$G$984=0,"",[2]对账明细接口!$G$984),"")</f>
      </c>
      <c r="H984" s="176">
        <f>IFERROR(IF([2]对账明细接口!$H$984=0,"",[2]对账明细接口!$H$984),"")</f>
      </c>
      <c r="I984" s="16">
        <f>IFERROR(IF([2]对账明细接口!$I$984=0,"",[2]对账明细接口!$I$984),"")</f>
      </c>
      <c r="J984" s="177">
        <f>IFERROR(IF([2]对账明细接口!$J$984=0,"",[2]对账明细接口!$J$984),"")</f>
      </c>
      <c r="K984" s="177">
        <f>IFERROR(IF([2]对账明细接口!$K$984=0,"",[2]对账明细接口!$K$984),"")</f>
      </c>
      <c r="L984" s="16">
        <f>IFERROR(IF([2]对账明细接口!$L$984=0,"",[2]对账明细接口!$L$984),"")</f>
      </c>
      <c r="M984" s="16">
        <f>IFERROR(IF([2]对账明细接口!$M$984=0,"",[2]对账明细接口!$M$984),"")</f>
      </c>
      <c r="N984" s="19">
        <f>IF($C984="",0,1)</f>
        <v>0</v>
      </c>
      <c r="O984" s="19">
        <f>N(O983)+$N984</f>
        <v>272</v>
      </c>
      <c r="S984" s="20">
        <f>IFERROR(IF([2]对账明细接口!$N984=0,"",[2]对账明细接口!$N984),"")</f>
      </c>
      <c r="T984" s="212">
        <f>IFERROR(IF([2]对账明细接口!$O984=0,"",[2]对账明细接口!$O984),"")</f>
      </c>
      <c r="U984" s="212">
        <f>IFERROR(IF([2]对账明细接口!$P984=0,"",[2]对账明细接口!$P984),"")</f>
      </c>
      <c r="V984" s="212">
        <f>IFERROR(IF([2]对账明细接口!$Q984=0,"",[2]对账明细接口!$Q984),"")</f>
      </c>
      <c r="W984" s="20">
        <f>IFERROR(IF([2]对账明细接口!$R984=0,"",[2]对账明细接口!$R984),"")</f>
      </c>
      <c r="X984" s="20">
        <f>IFERROR(IF([2]对账明细接口!$S984=0,"",[2]对账明细接口!$S984),"")</f>
      </c>
      <c r="Y984" s="20">
        <f>""</f>
      </c>
      <c r="Z984" s="20">
        <f>""</f>
      </c>
      <c r="AA984" s="20">
        <f>""</f>
      </c>
      <c r="AB984" s="20">
        <f>""</f>
      </c>
    </row>
    <row r="985" s="127">
      <c r="A985" s="14" t="n">
        <v>985</v>
      </c>
      <c r="B985" s="211">
        <f>IFERROR(IF([2]对账明细接口!$B$985=0,"",[2]对账明细接口!$B$985),"")</f>
      </c>
      <c r="C985" s="16">
        <f>IFERROR(IF([2]对账明细接口!$C$985=0,"",[2]对账明细接口!$C$985),"")</f>
      </c>
      <c r="D985" s="16">
        <f>IFERROR(IF([2]对账明细接口!$D$985=0,"",[2]对账明细接口!$D$985),"")</f>
      </c>
      <c r="E985" s="16">
        <f>IFERROR(IF([2]对账明细接口!$E$985=0,"",[2]对账明细接口!$E$985),"")</f>
      </c>
      <c r="F985" s="16">
        <f>IFERROR(IF([2]对账明细接口!$F$985=0,"",[2]对账明细接口!$F$985),"")</f>
      </c>
      <c r="G985" s="16">
        <f>IFERROR(IF([2]对账明细接口!$G$985=0,"",[2]对账明细接口!$G$985),"")</f>
      </c>
      <c r="H985" s="176">
        <f>IFERROR(IF([2]对账明细接口!$H$985=0,"",[2]对账明细接口!$H$985),"")</f>
      </c>
      <c r="I985" s="16">
        <f>IFERROR(IF([2]对账明细接口!$I$985=0,"",[2]对账明细接口!$I$985),"")</f>
      </c>
      <c r="J985" s="177">
        <f>IFERROR(IF([2]对账明细接口!$J$985=0,"",[2]对账明细接口!$J$985),"")</f>
      </c>
      <c r="K985" s="177">
        <f>IFERROR(IF([2]对账明细接口!$K$985=0,"",[2]对账明细接口!$K$985),"")</f>
      </c>
      <c r="L985" s="16">
        <f>IFERROR(IF([2]对账明细接口!$L$985=0,"",[2]对账明细接口!$L$985),"")</f>
      </c>
      <c r="M985" s="16">
        <f>IFERROR(IF([2]对账明细接口!$M$985=0,"",[2]对账明细接口!$M$985),"")</f>
      </c>
      <c r="N985" s="19">
        <f>IF($C985="",0,1)</f>
        <v>0</v>
      </c>
      <c r="O985" s="19">
        <f>N(O984)+$N985</f>
        <v>272</v>
      </c>
      <c r="S985" s="20">
        <f>IFERROR(IF([2]对账明细接口!$N985=0,"",[2]对账明细接口!$N985),"")</f>
      </c>
      <c r="T985" s="212">
        <f>IFERROR(IF([2]对账明细接口!$O985=0,"",[2]对账明细接口!$O985),"")</f>
      </c>
      <c r="U985" s="212">
        <f>IFERROR(IF([2]对账明细接口!$P985=0,"",[2]对账明细接口!$P985),"")</f>
      </c>
      <c r="V985" s="212">
        <f>IFERROR(IF([2]对账明细接口!$Q985=0,"",[2]对账明细接口!$Q985),"")</f>
      </c>
      <c r="W985" s="20">
        <f>IFERROR(IF([2]对账明细接口!$R985=0,"",[2]对账明细接口!$R985),"")</f>
      </c>
      <c r="X985" s="20">
        <f>IFERROR(IF([2]对账明细接口!$S985=0,"",[2]对账明细接口!$S985),"")</f>
      </c>
      <c r="Y985" s="20">
        <f>""</f>
      </c>
      <c r="Z985" s="20">
        <f>""</f>
      </c>
      <c r="AA985" s="20">
        <f>""</f>
      </c>
      <c r="AB985" s="20">
        <f>""</f>
      </c>
    </row>
    <row r="986" s="127">
      <c r="A986" s="14" t="n">
        <v>986</v>
      </c>
      <c r="B986" s="211">
        <f>IFERROR(IF([2]对账明细接口!$B$986=0,"",[2]对账明细接口!$B$986),"")</f>
      </c>
      <c r="C986" s="16">
        <f>IFERROR(IF([2]对账明细接口!$C$986=0,"",[2]对账明细接口!$C$986),"")</f>
      </c>
      <c r="D986" s="16">
        <f>IFERROR(IF([2]对账明细接口!$D$986=0,"",[2]对账明细接口!$D$986),"")</f>
      </c>
      <c r="E986" s="16">
        <f>IFERROR(IF([2]对账明细接口!$E$986=0,"",[2]对账明细接口!$E$986),"")</f>
      </c>
      <c r="F986" s="16">
        <f>IFERROR(IF([2]对账明细接口!$F$986=0,"",[2]对账明细接口!$F$986),"")</f>
      </c>
      <c r="G986" s="16">
        <f>IFERROR(IF([2]对账明细接口!$G$986=0,"",[2]对账明细接口!$G$986),"")</f>
      </c>
      <c r="H986" s="176">
        <f>IFERROR(IF([2]对账明细接口!$H$986=0,"",[2]对账明细接口!$H$986),"")</f>
      </c>
      <c r="I986" s="16">
        <f>IFERROR(IF([2]对账明细接口!$I$986=0,"",[2]对账明细接口!$I$986),"")</f>
      </c>
      <c r="J986" s="177">
        <f>IFERROR(IF([2]对账明细接口!$J$986=0,"",[2]对账明细接口!$J$986),"")</f>
      </c>
      <c r="K986" s="177">
        <f>IFERROR(IF([2]对账明细接口!$K$986=0,"",[2]对账明细接口!$K$986),"")</f>
      </c>
      <c r="L986" s="16">
        <f>IFERROR(IF([2]对账明细接口!$L$986=0,"",[2]对账明细接口!$L$986),"")</f>
      </c>
      <c r="M986" s="16">
        <f>IFERROR(IF([2]对账明细接口!$M$986=0,"",[2]对账明细接口!$M$986),"")</f>
      </c>
      <c r="N986" s="19">
        <f>IF($C986="",0,1)</f>
        <v>0</v>
      </c>
      <c r="O986" s="19">
        <f>N(O985)+$N986</f>
        <v>272</v>
      </c>
      <c r="S986" s="20">
        <f>IFERROR(IF([2]对账明细接口!$N986=0,"",[2]对账明细接口!$N986),"")</f>
      </c>
      <c r="T986" s="212">
        <f>IFERROR(IF([2]对账明细接口!$O986=0,"",[2]对账明细接口!$O986),"")</f>
      </c>
      <c r="U986" s="212">
        <f>IFERROR(IF([2]对账明细接口!$P986=0,"",[2]对账明细接口!$P986),"")</f>
      </c>
      <c r="V986" s="212">
        <f>IFERROR(IF([2]对账明细接口!$Q986=0,"",[2]对账明细接口!$Q986),"")</f>
      </c>
      <c r="W986" s="20">
        <f>IFERROR(IF([2]对账明细接口!$R986=0,"",[2]对账明细接口!$R986),"")</f>
      </c>
      <c r="X986" s="20">
        <f>IFERROR(IF([2]对账明细接口!$S986=0,"",[2]对账明细接口!$S986),"")</f>
      </c>
      <c r="Y986" s="20">
        <f>""</f>
      </c>
      <c r="Z986" s="20">
        <f>""</f>
      </c>
      <c r="AA986" s="20">
        <f>""</f>
      </c>
      <c r="AB986" s="20">
        <f>""</f>
      </c>
    </row>
    <row r="987" s="127">
      <c r="A987" s="14" t="n">
        <v>987</v>
      </c>
      <c r="B987" s="211">
        <f>IFERROR(IF([2]对账明细接口!$B$987=0,"",[2]对账明细接口!$B$987),"")</f>
      </c>
      <c r="C987" s="16">
        <f>IFERROR(IF([2]对账明细接口!$C$987=0,"",[2]对账明细接口!$C$987),"")</f>
      </c>
      <c r="D987" s="16">
        <f>IFERROR(IF([2]对账明细接口!$D$987=0,"",[2]对账明细接口!$D$987),"")</f>
      </c>
      <c r="E987" s="16">
        <f>IFERROR(IF([2]对账明细接口!$E$987=0,"",[2]对账明细接口!$E$987),"")</f>
      </c>
      <c r="F987" s="16">
        <f>IFERROR(IF([2]对账明细接口!$F$987=0,"",[2]对账明细接口!$F$987),"")</f>
      </c>
      <c r="G987" s="16">
        <f>IFERROR(IF([2]对账明细接口!$G$987=0,"",[2]对账明细接口!$G$987),"")</f>
      </c>
      <c r="H987" s="176">
        <f>IFERROR(IF([2]对账明细接口!$H$987=0,"",[2]对账明细接口!$H$987),"")</f>
      </c>
      <c r="I987" s="16">
        <f>IFERROR(IF([2]对账明细接口!$I$987=0,"",[2]对账明细接口!$I$987),"")</f>
      </c>
      <c r="J987" s="177">
        <f>IFERROR(IF([2]对账明细接口!$J$987=0,"",[2]对账明细接口!$J$987),"")</f>
      </c>
      <c r="K987" s="177">
        <f>IFERROR(IF([2]对账明细接口!$K$987=0,"",[2]对账明细接口!$K$987),"")</f>
      </c>
      <c r="L987" s="16">
        <f>IFERROR(IF([2]对账明细接口!$L$987=0,"",[2]对账明细接口!$L$987),"")</f>
      </c>
      <c r="M987" s="16">
        <f>IFERROR(IF([2]对账明细接口!$M$987=0,"",[2]对账明细接口!$M$987),"")</f>
      </c>
      <c r="N987" s="19">
        <f>IF($C987="",0,1)</f>
        <v>0</v>
      </c>
      <c r="O987" s="19">
        <f>N(O986)+$N987</f>
        <v>272</v>
      </c>
      <c r="S987" s="20">
        <f>IFERROR(IF([2]对账明细接口!$N987=0,"",[2]对账明细接口!$N987),"")</f>
      </c>
      <c r="T987" s="212">
        <f>IFERROR(IF([2]对账明细接口!$O987=0,"",[2]对账明细接口!$O987),"")</f>
      </c>
      <c r="U987" s="212">
        <f>IFERROR(IF([2]对账明细接口!$P987=0,"",[2]对账明细接口!$P987),"")</f>
      </c>
      <c r="V987" s="212">
        <f>IFERROR(IF([2]对账明细接口!$Q987=0,"",[2]对账明细接口!$Q987),"")</f>
      </c>
      <c r="W987" s="20">
        <f>IFERROR(IF([2]对账明细接口!$R987=0,"",[2]对账明细接口!$R987),"")</f>
      </c>
      <c r="X987" s="20">
        <f>IFERROR(IF([2]对账明细接口!$S987=0,"",[2]对账明细接口!$S987),"")</f>
      </c>
      <c r="Y987" s="20">
        <f>""</f>
      </c>
      <c r="Z987" s="20">
        <f>""</f>
      </c>
      <c r="AA987" s="20">
        <f>""</f>
      </c>
      <c r="AB987" s="20">
        <f>""</f>
      </c>
    </row>
    <row r="988" s="127">
      <c r="A988" s="14" t="n">
        <v>988</v>
      </c>
      <c r="B988" s="211">
        <f>IFERROR(IF([2]对账明细接口!$B$988=0,"",[2]对账明细接口!$B$988),"")</f>
      </c>
      <c r="C988" s="16">
        <f>IFERROR(IF([2]对账明细接口!$C$988=0,"",[2]对账明细接口!$C$988),"")</f>
      </c>
      <c r="D988" s="16">
        <f>IFERROR(IF([2]对账明细接口!$D$988=0,"",[2]对账明细接口!$D$988),"")</f>
      </c>
      <c r="E988" s="16">
        <f>IFERROR(IF([2]对账明细接口!$E$988=0,"",[2]对账明细接口!$E$988),"")</f>
      </c>
      <c r="F988" s="16">
        <f>IFERROR(IF([2]对账明细接口!$F$988=0,"",[2]对账明细接口!$F$988),"")</f>
      </c>
      <c r="G988" s="16">
        <f>IFERROR(IF([2]对账明细接口!$G$988=0,"",[2]对账明细接口!$G$988),"")</f>
      </c>
      <c r="H988" s="176">
        <f>IFERROR(IF([2]对账明细接口!$H$988=0,"",[2]对账明细接口!$H$988),"")</f>
      </c>
      <c r="I988" s="16">
        <f>IFERROR(IF([2]对账明细接口!$I$988=0,"",[2]对账明细接口!$I$988),"")</f>
      </c>
      <c r="J988" s="177">
        <f>IFERROR(IF([2]对账明细接口!$J$988=0,"",[2]对账明细接口!$J$988),"")</f>
      </c>
      <c r="K988" s="177">
        <f>IFERROR(IF([2]对账明细接口!$K$988=0,"",[2]对账明细接口!$K$988),"")</f>
      </c>
      <c r="L988" s="16">
        <f>IFERROR(IF([2]对账明细接口!$L$988=0,"",[2]对账明细接口!$L$988),"")</f>
      </c>
      <c r="M988" s="16">
        <f>IFERROR(IF([2]对账明细接口!$M$988=0,"",[2]对账明细接口!$M$988),"")</f>
      </c>
      <c r="N988" s="19">
        <f>IF($C988="",0,1)</f>
        <v>0</v>
      </c>
      <c r="O988" s="19">
        <f>N(O987)+$N988</f>
        <v>272</v>
      </c>
      <c r="S988" s="20">
        <f>IFERROR(IF([2]对账明细接口!$N988=0,"",[2]对账明细接口!$N988),"")</f>
      </c>
      <c r="T988" s="212">
        <f>IFERROR(IF([2]对账明细接口!$O988=0,"",[2]对账明细接口!$O988),"")</f>
      </c>
      <c r="U988" s="212">
        <f>IFERROR(IF([2]对账明细接口!$P988=0,"",[2]对账明细接口!$P988),"")</f>
      </c>
      <c r="V988" s="212">
        <f>IFERROR(IF([2]对账明细接口!$Q988=0,"",[2]对账明细接口!$Q988),"")</f>
      </c>
      <c r="W988" s="20">
        <f>IFERROR(IF([2]对账明细接口!$R988=0,"",[2]对账明细接口!$R988),"")</f>
      </c>
      <c r="X988" s="20">
        <f>IFERROR(IF([2]对账明细接口!$S988=0,"",[2]对账明细接口!$S988),"")</f>
      </c>
      <c r="Y988" s="20">
        <f>""</f>
      </c>
      <c r="Z988" s="20">
        <f>""</f>
      </c>
      <c r="AA988" s="20">
        <f>""</f>
      </c>
      <c r="AB988" s="20">
        <f>""</f>
      </c>
    </row>
    <row r="989" s="127">
      <c r="A989" s="14" t="n">
        <v>989</v>
      </c>
      <c r="B989" s="211">
        <f>IFERROR(IF([2]对账明细接口!$B$989=0,"",[2]对账明细接口!$B$989),"")</f>
      </c>
      <c r="C989" s="16">
        <f>IFERROR(IF([2]对账明细接口!$C$989=0,"",[2]对账明细接口!$C$989),"")</f>
      </c>
      <c r="D989" s="16">
        <f>IFERROR(IF([2]对账明细接口!$D$989=0,"",[2]对账明细接口!$D$989),"")</f>
      </c>
      <c r="E989" s="16">
        <f>IFERROR(IF([2]对账明细接口!$E$989=0,"",[2]对账明细接口!$E$989),"")</f>
      </c>
      <c r="F989" s="16">
        <f>IFERROR(IF([2]对账明细接口!$F$989=0,"",[2]对账明细接口!$F$989),"")</f>
      </c>
      <c r="G989" s="16">
        <f>IFERROR(IF([2]对账明细接口!$G$989=0,"",[2]对账明细接口!$G$989),"")</f>
      </c>
      <c r="H989" s="176">
        <f>IFERROR(IF([2]对账明细接口!$H$989=0,"",[2]对账明细接口!$H$989),"")</f>
      </c>
      <c r="I989" s="16">
        <f>IFERROR(IF([2]对账明细接口!$I$989=0,"",[2]对账明细接口!$I$989),"")</f>
      </c>
      <c r="J989" s="177">
        <f>IFERROR(IF([2]对账明细接口!$J$989=0,"",[2]对账明细接口!$J$989),"")</f>
      </c>
      <c r="K989" s="177">
        <f>IFERROR(IF([2]对账明细接口!$K$989=0,"",[2]对账明细接口!$K$989),"")</f>
      </c>
      <c r="L989" s="16">
        <f>IFERROR(IF([2]对账明细接口!$L$989=0,"",[2]对账明细接口!$L$989),"")</f>
      </c>
      <c r="M989" s="16">
        <f>IFERROR(IF([2]对账明细接口!$M$989=0,"",[2]对账明细接口!$M$989),"")</f>
      </c>
      <c r="N989" s="19">
        <f>IF($C989="",0,1)</f>
        <v>0</v>
      </c>
      <c r="O989" s="19">
        <f>N(O988)+$N989</f>
        <v>272</v>
      </c>
      <c r="S989" s="20">
        <f>IFERROR(IF([2]对账明细接口!$N989=0,"",[2]对账明细接口!$N989),"")</f>
      </c>
      <c r="T989" s="212">
        <f>IFERROR(IF([2]对账明细接口!$O989=0,"",[2]对账明细接口!$O989),"")</f>
      </c>
      <c r="U989" s="212">
        <f>IFERROR(IF([2]对账明细接口!$P989=0,"",[2]对账明细接口!$P989),"")</f>
      </c>
      <c r="V989" s="212">
        <f>IFERROR(IF([2]对账明细接口!$Q989=0,"",[2]对账明细接口!$Q989),"")</f>
      </c>
      <c r="W989" s="20">
        <f>IFERROR(IF([2]对账明细接口!$R989=0,"",[2]对账明细接口!$R989),"")</f>
      </c>
      <c r="X989" s="20">
        <f>IFERROR(IF([2]对账明细接口!$S989=0,"",[2]对账明细接口!$S989),"")</f>
      </c>
      <c r="Y989" s="20">
        <f>""</f>
      </c>
      <c r="Z989" s="20">
        <f>""</f>
      </c>
      <c r="AA989" s="20">
        <f>""</f>
      </c>
      <c r="AB989" s="20">
        <f>""</f>
      </c>
    </row>
    <row r="990" s="127">
      <c r="A990" s="14" t="n">
        <v>990</v>
      </c>
      <c r="B990" s="211">
        <f>IFERROR(IF([2]对账明细接口!$B$990=0,"",[2]对账明细接口!$B$990),"")</f>
      </c>
      <c r="C990" s="16">
        <f>IFERROR(IF([2]对账明细接口!$C$990=0,"",[2]对账明细接口!$C$990),"")</f>
      </c>
      <c r="D990" s="16">
        <f>IFERROR(IF([2]对账明细接口!$D$990=0,"",[2]对账明细接口!$D$990),"")</f>
      </c>
      <c r="E990" s="16">
        <f>IFERROR(IF([2]对账明细接口!$E$990=0,"",[2]对账明细接口!$E$990),"")</f>
      </c>
      <c r="F990" s="16">
        <f>IFERROR(IF([2]对账明细接口!$F$990=0,"",[2]对账明细接口!$F$990),"")</f>
      </c>
      <c r="G990" s="16">
        <f>IFERROR(IF([2]对账明细接口!$G$990=0,"",[2]对账明细接口!$G$990),"")</f>
      </c>
      <c r="H990" s="176">
        <f>IFERROR(IF([2]对账明细接口!$H$990=0,"",[2]对账明细接口!$H$990),"")</f>
      </c>
      <c r="I990" s="16">
        <f>IFERROR(IF([2]对账明细接口!$I$990=0,"",[2]对账明细接口!$I$990),"")</f>
      </c>
      <c r="J990" s="177">
        <f>IFERROR(IF([2]对账明细接口!$J$990=0,"",[2]对账明细接口!$J$990),"")</f>
      </c>
      <c r="K990" s="177">
        <f>IFERROR(IF([2]对账明细接口!$K$990=0,"",[2]对账明细接口!$K$990),"")</f>
      </c>
      <c r="L990" s="16">
        <f>IFERROR(IF([2]对账明细接口!$L$990=0,"",[2]对账明细接口!$L$990),"")</f>
      </c>
      <c r="M990" s="16">
        <f>IFERROR(IF([2]对账明细接口!$M$990=0,"",[2]对账明细接口!$M$990),"")</f>
      </c>
      <c r="N990" s="19">
        <f>IF($C990="",0,1)</f>
        <v>0</v>
      </c>
      <c r="O990" s="19">
        <f>N(O989)+$N990</f>
        <v>272</v>
      </c>
      <c r="S990" s="20">
        <f>IFERROR(IF([2]对账明细接口!$N990=0,"",[2]对账明细接口!$N990),"")</f>
      </c>
      <c r="T990" s="212">
        <f>IFERROR(IF([2]对账明细接口!$O990=0,"",[2]对账明细接口!$O990),"")</f>
      </c>
      <c r="U990" s="212">
        <f>IFERROR(IF([2]对账明细接口!$P990=0,"",[2]对账明细接口!$P990),"")</f>
      </c>
      <c r="V990" s="212">
        <f>IFERROR(IF([2]对账明细接口!$Q990=0,"",[2]对账明细接口!$Q990),"")</f>
      </c>
      <c r="W990" s="20">
        <f>IFERROR(IF([2]对账明细接口!$R990=0,"",[2]对账明细接口!$R990),"")</f>
      </c>
      <c r="X990" s="20">
        <f>IFERROR(IF([2]对账明细接口!$S990=0,"",[2]对账明细接口!$S990),"")</f>
      </c>
      <c r="Y990" s="20">
        <f>""</f>
      </c>
      <c r="Z990" s="20">
        <f>""</f>
      </c>
      <c r="AA990" s="20">
        <f>""</f>
      </c>
      <c r="AB990" s="20">
        <f>""</f>
      </c>
    </row>
    <row r="991" s="127">
      <c r="A991" s="14" t="n">
        <v>991</v>
      </c>
      <c r="B991" s="211">
        <f>IFERROR(IF([2]对账明细接口!$B$991=0,"",[2]对账明细接口!$B$991),"")</f>
      </c>
      <c r="C991" s="16">
        <f>IFERROR(IF([2]对账明细接口!$C$991=0,"",[2]对账明细接口!$C$991),"")</f>
      </c>
      <c r="D991" s="16">
        <f>IFERROR(IF([2]对账明细接口!$D$991=0,"",[2]对账明细接口!$D$991),"")</f>
      </c>
      <c r="E991" s="16">
        <f>IFERROR(IF([2]对账明细接口!$E$991=0,"",[2]对账明细接口!$E$991),"")</f>
      </c>
      <c r="F991" s="16">
        <f>IFERROR(IF([2]对账明细接口!$F$991=0,"",[2]对账明细接口!$F$991),"")</f>
      </c>
      <c r="G991" s="16">
        <f>IFERROR(IF([2]对账明细接口!$G$991=0,"",[2]对账明细接口!$G$991),"")</f>
      </c>
      <c r="H991" s="176">
        <f>IFERROR(IF([2]对账明细接口!$H$991=0,"",[2]对账明细接口!$H$991),"")</f>
      </c>
      <c r="I991" s="16">
        <f>IFERROR(IF([2]对账明细接口!$I$991=0,"",[2]对账明细接口!$I$991),"")</f>
      </c>
      <c r="J991" s="177">
        <f>IFERROR(IF([2]对账明细接口!$J$991=0,"",[2]对账明细接口!$J$991),"")</f>
      </c>
      <c r="K991" s="177">
        <f>IFERROR(IF([2]对账明细接口!$K$991=0,"",[2]对账明细接口!$K$991),"")</f>
      </c>
      <c r="L991" s="16">
        <f>IFERROR(IF([2]对账明细接口!$L$991=0,"",[2]对账明细接口!$L$991),"")</f>
      </c>
      <c r="M991" s="16">
        <f>IFERROR(IF([2]对账明细接口!$M$991=0,"",[2]对账明细接口!$M$991),"")</f>
      </c>
      <c r="N991" s="19">
        <f>IF($C991="",0,1)</f>
        <v>0</v>
      </c>
      <c r="O991" s="19">
        <f>N(O990)+$N991</f>
        <v>272</v>
      </c>
      <c r="S991" s="20">
        <f>IFERROR(IF([2]对账明细接口!$N991=0,"",[2]对账明细接口!$N991),"")</f>
      </c>
      <c r="T991" s="212">
        <f>IFERROR(IF([2]对账明细接口!$O991=0,"",[2]对账明细接口!$O991),"")</f>
      </c>
      <c r="U991" s="212">
        <f>IFERROR(IF([2]对账明细接口!$P991=0,"",[2]对账明细接口!$P991),"")</f>
      </c>
      <c r="V991" s="212">
        <f>IFERROR(IF([2]对账明细接口!$Q991=0,"",[2]对账明细接口!$Q991),"")</f>
      </c>
      <c r="W991" s="20">
        <f>IFERROR(IF([2]对账明细接口!$R991=0,"",[2]对账明细接口!$R991),"")</f>
      </c>
      <c r="X991" s="20">
        <f>IFERROR(IF([2]对账明细接口!$S991=0,"",[2]对账明细接口!$S991),"")</f>
      </c>
      <c r="Y991" s="20">
        <f>""</f>
      </c>
      <c r="Z991" s="20">
        <f>""</f>
      </c>
      <c r="AA991" s="20">
        <f>""</f>
      </c>
      <c r="AB991" s="20">
        <f>""</f>
      </c>
    </row>
    <row r="992" s="127">
      <c r="A992" s="14" t="n">
        <v>992</v>
      </c>
      <c r="B992" s="211">
        <f>IFERROR(IF([2]对账明细接口!$B$992=0,"",[2]对账明细接口!$B$992),"")</f>
      </c>
      <c r="C992" s="16">
        <f>IFERROR(IF([2]对账明细接口!$C$992=0,"",[2]对账明细接口!$C$992),"")</f>
      </c>
      <c r="D992" s="16">
        <f>IFERROR(IF([2]对账明细接口!$D$992=0,"",[2]对账明细接口!$D$992),"")</f>
      </c>
      <c r="E992" s="16">
        <f>IFERROR(IF([2]对账明细接口!$E$992=0,"",[2]对账明细接口!$E$992),"")</f>
      </c>
      <c r="F992" s="16">
        <f>IFERROR(IF([2]对账明细接口!$F$992=0,"",[2]对账明细接口!$F$992),"")</f>
      </c>
      <c r="G992" s="16">
        <f>IFERROR(IF([2]对账明细接口!$G$992=0,"",[2]对账明细接口!$G$992),"")</f>
      </c>
      <c r="H992" s="176">
        <f>IFERROR(IF([2]对账明细接口!$H$992=0,"",[2]对账明细接口!$H$992),"")</f>
      </c>
      <c r="I992" s="16">
        <f>IFERROR(IF([2]对账明细接口!$I$992=0,"",[2]对账明细接口!$I$992),"")</f>
      </c>
      <c r="J992" s="177">
        <f>IFERROR(IF([2]对账明细接口!$J$992=0,"",[2]对账明细接口!$J$992),"")</f>
      </c>
      <c r="K992" s="177">
        <f>IFERROR(IF([2]对账明细接口!$K$992=0,"",[2]对账明细接口!$K$992),"")</f>
      </c>
      <c r="L992" s="16">
        <f>IFERROR(IF([2]对账明细接口!$L$992=0,"",[2]对账明细接口!$L$992),"")</f>
      </c>
      <c r="M992" s="16">
        <f>IFERROR(IF([2]对账明细接口!$M$992=0,"",[2]对账明细接口!$M$992),"")</f>
      </c>
      <c r="N992" s="19">
        <f>IF($C992="",0,1)</f>
        <v>0</v>
      </c>
      <c r="O992" s="19">
        <f>N(O991)+$N992</f>
        <v>272</v>
      </c>
      <c r="S992" s="20">
        <f>IFERROR(IF([2]对账明细接口!$N992=0,"",[2]对账明细接口!$N992),"")</f>
      </c>
      <c r="T992" s="212">
        <f>IFERROR(IF([2]对账明细接口!$O992=0,"",[2]对账明细接口!$O992),"")</f>
      </c>
      <c r="U992" s="212">
        <f>IFERROR(IF([2]对账明细接口!$P992=0,"",[2]对账明细接口!$P992),"")</f>
      </c>
      <c r="V992" s="212">
        <f>IFERROR(IF([2]对账明细接口!$Q992=0,"",[2]对账明细接口!$Q992),"")</f>
      </c>
      <c r="W992" s="20">
        <f>IFERROR(IF([2]对账明细接口!$R992=0,"",[2]对账明细接口!$R992),"")</f>
      </c>
      <c r="X992" s="20">
        <f>IFERROR(IF([2]对账明细接口!$S992=0,"",[2]对账明细接口!$S992),"")</f>
      </c>
      <c r="Y992" s="20">
        <f>""</f>
      </c>
      <c r="Z992" s="20">
        <f>""</f>
      </c>
      <c r="AA992" s="20">
        <f>""</f>
      </c>
      <c r="AB992" s="20">
        <f>""</f>
      </c>
    </row>
    <row r="993" s="127">
      <c r="A993" s="14" t="n">
        <v>993</v>
      </c>
      <c r="B993" s="211">
        <f>IFERROR(IF([2]对账明细接口!$B$993=0,"",[2]对账明细接口!$B$993),"")</f>
      </c>
      <c r="C993" s="16">
        <f>IFERROR(IF([2]对账明细接口!$C$993=0,"",[2]对账明细接口!$C$993),"")</f>
      </c>
      <c r="D993" s="16">
        <f>IFERROR(IF([2]对账明细接口!$D$993=0,"",[2]对账明细接口!$D$993),"")</f>
      </c>
      <c r="E993" s="16">
        <f>IFERROR(IF([2]对账明细接口!$E$993=0,"",[2]对账明细接口!$E$993),"")</f>
      </c>
      <c r="F993" s="16">
        <f>IFERROR(IF([2]对账明细接口!$F$993=0,"",[2]对账明细接口!$F$993),"")</f>
      </c>
      <c r="G993" s="16">
        <f>IFERROR(IF([2]对账明细接口!$G$993=0,"",[2]对账明细接口!$G$993),"")</f>
      </c>
      <c r="H993" s="176">
        <f>IFERROR(IF([2]对账明细接口!$H$993=0,"",[2]对账明细接口!$H$993),"")</f>
      </c>
      <c r="I993" s="16">
        <f>IFERROR(IF([2]对账明细接口!$I$993=0,"",[2]对账明细接口!$I$993),"")</f>
      </c>
      <c r="J993" s="177">
        <f>IFERROR(IF([2]对账明细接口!$J$993=0,"",[2]对账明细接口!$J$993),"")</f>
      </c>
      <c r="K993" s="177">
        <f>IFERROR(IF([2]对账明细接口!$K$993=0,"",[2]对账明细接口!$K$993),"")</f>
      </c>
      <c r="L993" s="16">
        <f>IFERROR(IF([2]对账明细接口!$L$993=0,"",[2]对账明细接口!$L$993),"")</f>
      </c>
      <c r="M993" s="16">
        <f>IFERROR(IF([2]对账明细接口!$M$993=0,"",[2]对账明细接口!$M$993),"")</f>
      </c>
      <c r="N993" s="19">
        <f>IF($C993="",0,1)</f>
        <v>0</v>
      </c>
      <c r="O993" s="19">
        <f>N(O992)+$N993</f>
        <v>272</v>
      </c>
      <c r="S993" s="20">
        <f>IFERROR(IF([2]对账明细接口!$N993=0,"",[2]对账明细接口!$N993),"")</f>
      </c>
      <c r="T993" s="212">
        <f>IFERROR(IF([2]对账明细接口!$O993=0,"",[2]对账明细接口!$O993),"")</f>
      </c>
      <c r="U993" s="212">
        <f>IFERROR(IF([2]对账明细接口!$P993=0,"",[2]对账明细接口!$P993),"")</f>
      </c>
      <c r="V993" s="212">
        <f>IFERROR(IF([2]对账明细接口!$Q993=0,"",[2]对账明细接口!$Q993),"")</f>
      </c>
      <c r="W993" s="20">
        <f>IFERROR(IF([2]对账明细接口!$R993=0,"",[2]对账明细接口!$R993),"")</f>
      </c>
      <c r="X993" s="20">
        <f>IFERROR(IF([2]对账明细接口!$S993=0,"",[2]对账明细接口!$S993),"")</f>
      </c>
      <c r="Y993" s="20">
        <f>""</f>
      </c>
      <c r="Z993" s="20">
        <f>""</f>
      </c>
      <c r="AA993" s="20">
        <f>""</f>
      </c>
      <c r="AB993" s="20">
        <f>""</f>
      </c>
    </row>
    <row r="994" s="127">
      <c r="A994" s="14" t="n">
        <v>994</v>
      </c>
      <c r="B994" s="211">
        <f>IFERROR(IF([2]对账明细接口!$B$994=0,"",[2]对账明细接口!$B$994),"")</f>
      </c>
      <c r="C994" s="16">
        <f>IFERROR(IF([2]对账明细接口!$C$994=0,"",[2]对账明细接口!$C$994),"")</f>
      </c>
      <c r="D994" s="16">
        <f>IFERROR(IF([2]对账明细接口!$D$994=0,"",[2]对账明细接口!$D$994),"")</f>
      </c>
      <c r="E994" s="16">
        <f>IFERROR(IF([2]对账明细接口!$E$994=0,"",[2]对账明细接口!$E$994),"")</f>
      </c>
      <c r="F994" s="16">
        <f>IFERROR(IF([2]对账明细接口!$F$994=0,"",[2]对账明细接口!$F$994),"")</f>
      </c>
      <c r="G994" s="16">
        <f>IFERROR(IF([2]对账明细接口!$G$994=0,"",[2]对账明细接口!$G$994),"")</f>
      </c>
      <c r="H994" s="176">
        <f>IFERROR(IF([2]对账明细接口!$H$994=0,"",[2]对账明细接口!$H$994),"")</f>
      </c>
      <c r="I994" s="16">
        <f>IFERROR(IF([2]对账明细接口!$I$994=0,"",[2]对账明细接口!$I$994),"")</f>
      </c>
      <c r="J994" s="177">
        <f>IFERROR(IF([2]对账明细接口!$J$994=0,"",[2]对账明细接口!$J$994),"")</f>
      </c>
      <c r="K994" s="177">
        <f>IFERROR(IF([2]对账明细接口!$K$994=0,"",[2]对账明细接口!$K$994),"")</f>
      </c>
      <c r="L994" s="16">
        <f>IFERROR(IF([2]对账明细接口!$L$994=0,"",[2]对账明细接口!$L$994),"")</f>
      </c>
      <c r="M994" s="16">
        <f>IFERROR(IF([2]对账明细接口!$M$994=0,"",[2]对账明细接口!$M$994),"")</f>
      </c>
      <c r="N994" s="19">
        <f>IF($C994="",0,1)</f>
        <v>0</v>
      </c>
      <c r="O994" s="19">
        <f>N(O993)+$N994</f>
        <v>272</v>
      </c>
      <c r="S994" s="20">
        <f>IFERROR(IF([2]对账明细接口!$N994=0,"",[2]对账明细接口!$N994),"")</f>
      </c>
      <c r="T994" s="212">
        <f>IFERROR(IF([2]对账明细接口!$O994=0,"",[2]对账明细接口!$O994),"")</f>
      </c>
      <c r="U994" s="212">
        <f>IFERROR(IF([2]对账明细接口!$P994=0,"",[2]对账明细接口!$P994),"")</f>
      </c>
      <c r="V994" s="212">
        <f>IFERROR(IF([2]对账明细接口!$Q994=0,"",[2]对账明细接口!$Q994),"")</f>
      </c>
      <c r="W994" s="20">
        <f>IFERROR(IF([2]对账明细接口!$R994=0,"",[2]对账明细接口!$R994),"")</f>
      </c>
      <c r="X994" s="20">
        <f>IFERROR(IF([2]对账明细接口!$S994=0,"",[2]对账明细接口!$S994),"")</f>
      </c>
      <c r="Y994" s="20">
        <f>""</f>
      </c>
      <c r="Z994" s="20">
        <f>""</f>
      </c>
      <c r="AA994" s="20">
        <f>""</f>
      </c>
      <c r="AB994" s="20">
        <f>""</f>
      </c>
    </row>
    <row r="995" s="127">
      <c r="A995" s="14" t="n">
        <v>995</v>
      </c>
      <c r="B995" s="211">
        <f>IFERROR(IF([2]对账明细接口!$B$995=0,"",[2]对账明细接口!$B$995),"")</f>
      </c>
      <c r="C995" s="16">
        <f>IFERROR(IF([2]对账明细接口!$C$995=0,"",[2]对账明细接口!$C$995),"")</f>
      </c>
      <c r="D995" s="16">
        <f>IFERROR(IF([2]对账明细接口!$D$995=0,"",[2]对账明细接口!$D$995),"")</f>
      </c>
      <c r="E995" s="16">
        <f>IFERROR(IF([2]对账明细接口!$E$995=0,"",[2]对账明细接口!$E$995),"")</f>
      </c>
      <c r="F995" s="16">
        <f>IFERROR(IF([2]对账明细接口!$F$995=0,"",[2]对账明细接口!$F$995),"")</f>
      </c>
      <c r="G995" s="16">
        <f>IFERROR(IF([2]对账明细接口!$G$995=0,"",[2]对账明细接口!$G$995),"")</f>
      </c>
      <c r="H995" s="176">
        <f>IFERROR(IF([2]对账明细接口!$H$995=0,"",[2]对账明细接口!$H$995),"")</f>
      </c>
      <c r="I995" s="16">
        <f>IFERROR(IF([2]对账明细接口!$I$995=0,"",[2]对账明细接口!$I$995),"")</f>
      </c>
      <c r="J995" s="177">
        <f>IFERROR(IF([2]对账明细接口!$J$995=0,"",[2]对账明细接口!$J$995),"")</f>
      </c>
      <c r="K995" s="177">
        <f>IFERROR(IF([2]对账明细接口!$K$995=0,"",[2]对账明细接口!$K$995),"")</f>
      </c>
      <c r="L995" s="16">
        <f>IFERROR(IF([2]对账明细接口!$L$995=0,"",[2]对账明细接口!$L$995),"")</f>
      </c>
      <c r="M995" s="16">
        <f>IFERROR(IF([2]对账明细接口!$M$995=0,"",[2]对账明细接口!$M$995),"")</f>
      </c>
      <c r="N995" s="19">
        <f>IF($C995="",0,1)</f>
        <v>0</v>
      </c>
      <c r="O995" s="19">
        <f>N(O994)+$N995</f>
        <v>272</v>
      </c>
      <c r="S995" s="20">
        <f>IFERROR(IF([2]对账明细接口!$N995=0,"",[2]对账明细接口!$N995),"")</f>
      </c>
      <c r="T995" s="212">
        <f>IFERROR(IF([2]对账明细接口!$O995=0,"",[2]对账明细接口!$O995),"")</f>
      </c>
      <c r="U995" s="212">
        <f>IFERROR(IF([2]对账明细接口!$P995=0,"",[2]对账明细接口!$P995),"")</f>
      </c>
      <c r="V995" s="212">
        <f>IFERROR(IF([2]对账明细接口!$Q995=0,"",[2]对账明细接口!$Q995),"")</f>
      </c>
      <c r="W995" s="20">
        <f>IFERROR(IF([2]对账明细接口!$R995=0,"",[2]对账明细接口!$R995),"")</f>
      </c>
      <c r="X995" s="20">
        <f>IFERROR(IF([2]对账明细接口!$S995=0,"",[2]对账明细接口!$S995),"")</f>
      </c>
      <c r="Y995" s="20">
        <f>""</f>
      </c>
      <c r="Z995" s="20">
        <f>""</f>
      </c>
      <c r="AA995" s="20">
        <f>""</f>
      </c>
      <c r="AB995" s="20">
        <f>""</f>
      </c>
    </row>
    <row r="996" s="127">
      <c r="A996" s="14" t="n">
        <v>996</v>
      </c>
      <c r="B996" s="211">
        <f>IFERROR(IF([2]对账明细接口!$B$996=0,"",[2]对账明细接口!$B$996),"")</f>
      </c>
      <c r="C996" s="16">
        <f>IFERROR(IF([2]对账明细接口!$C$996=0,"",[2]对账明细接口!$C$996),"")</f>
      </c>
      <c r="D996" s="16">
        <f>IFERROR(IF([2]对账明细接口!$D$996=0,"",[2]对账明细接口!$D$996),"")</f>
      </c>
      <c r="E996" s="16">
        <f>IFERROR(IF([2]对账明细接口!$E$996=0,"",[2]对账明细接口!$E$996),"")</f>
      </c>
      <c r="F996" s="16">
        <f>IFERROR(IF([2]对账明细接口!$F$996=0,"",[2]对账明细接口!$F$996),"")</f>
      </c>
      <c r="G996" s="16">
        <f>IFERROR(IF([2]对账明细接口!$G$996=0,"",[2]对账明细接口!$G$996),"")</f>
      </c>
      <c r="H996" s="176">
        <f>IFERROR(IF([2]对账明细接口!$H$996=0,"",[2]对账明细接口!$H$996),"")</f>
      </c>
      <c r="I996" s="16">
        <f>IFERROR(IF([2]对账明细接口!$I$996=0,"",[2]对账明细接口!$I$996),"")</f>
      </c>
      <c r="J996" s="177">
        <f>IFERROR(IF([2]对账明细接口!$J$996=0,"",[2]对账明细接口!$J$996),"")</f>
      </c>
      <c r="K996" s="177">
        <f>IFERROR(IF([2]对账明细接口!$K$996=0,"",[2]对账明细接口!$K$996),"")</f>
      </c>
      <c r="L996" s="16">
        <f>IFERROR(IF([2]对账明细接口!$L$996=0,"",[2]对账明细接口!$L$996),"")</f>
      </c>
      <c r="M996" s="16">
        <f>IFERROR(IF([2]对账明细接口!$M$996=0,"",[2]对账明细接口!$M$996),"")</f>
      </c>
      <c r="N996" s="19">
        <f>IF($C996="",0,1)</f>
        <v>0</v>
      </c>
      <c r="O996" s="19">
        <f>N(O995)+$N996</f>
        <v>272</v>
      </c>
      <c r="S996" s="20">
        <f>IFERROR(IF([2]对账明细接口!$N996=0,"",[2]对账明细接口!$N996),"")</f>
      </c>
      <c r="T996" s="212">
        <f>IFERROR(IF([2]对账明细接口!$O996=0,"",[2]对账明细接口!$O996),"")</f>
      </c>
      <c r="U996" s="212">
        <f>IFERROR(IF([2]对账明细接口!$P996=0,"",[2]对账明细接口!$P996),"")</f>
      </c>
      <c r="V996" s="212">
        <f>IFERROR(IF([2]对账明细接口!$Q996=0,"",[2]对账明细接口!$Q996),"")</f>
      </c>
      <c r="W996" s="20">
        <f>IFERROR(IF([2]对账明细接口!$R996=0,"",[2]对账明细接口!$R996),"")</f>
      </c>
      <c r="X996" s="20">
        <f>IFERROR(IF([2]对账明细接口!$S996=0,"",[2]对账明细接口!$S996),"")</f>
      </c>
      <c r="Y996" s="20">
        <f>""</f>
      </c>
      <c r="Z996" s="20">
        <f>""</f>
      </c>
      <c r="AA996" s="20">
        <f>""</f>
      </c>
      <c r="AB996" s="20">
        <f>""</f>
      </c>
    </row>
    <row r="997" s="127">
      <c r="A997" s="14" t="n">
        <v>997</v>
      </c>
      <c r="B997" s="211">
        <f>IFERROR(IF([2]对账明细接口!$B$997=0,"",[2]对账明细接口!$B$997),"")</f>
      </c>
      <c r="C997" s="16">
        <f>IFERROR(IF([2]对账明细接口!$C$997=0,"",[2]对账明细接口!$C$997),"")</f>
      </c>
      <c r="D997" s="16">
        <f>IFERROR(IF([2]对账明细接口!$D$997=0,"",[2]对账明细接口!$D$997),"")</f>
      </c>
      <c r="E997" s="16">
        <f>IFERROR(IF([2]对账明细接口!$E$997=0,"",[2]对账明细接口!$E$997),"")</f>
      </c>
      <c r="F997" s="16">
        <f>IFERROR(IF([2]对账明细接口!$F$997=0,"",[2]对账明细接口!$F$997),"")</f>
      </c>
      <c r="G997" s="16">
        <f>IFERROR(IF([2]对账明细接口!$G$997=0,"",[2]对账明细接口!$G$997),"")</f>
      </c>
      <c r="H997" s="176">
        <f>IFERROR(IF([2]对账明细接口!$H$997=0,"",[2]对账明细接口!$H$997),"")</f>
      </c>
      <c r="I997" s="16">
        <f>IFERROR(IF([2]对账明细接口!$I$997=0,"",[2]对账明细接口!$I$997),"")</f>
      </c>
      <c r="J997" s="177">
        <f>IFERROR(IF([2]对账明细接口!$J$997=0,"",[2]对账明细接口!$J$997),"")</f>
      </c>
      <c r="K997" s="177">
        <f>IFERROR(IF([2]对账明细接口!$K$997=0,"",[2]对账明细接口!$K$997),"")</f>
      </c>
      <c r="L997" s="16">
        <f>IFERROR(IF([2]对账明细接口!$L$997=0,"",[2]对账明细接口!$L$997),"")</f>
      </c>
      <c r="M997" s="16">
        <f>IFERROR(IF([2]对账明细接口!$M$997=0,"",[2]对账明细接口!$M$997),"")</f>
      </c>
      <c r="N997" s="19">
        <f>IF($C997="",0,1)</f>
        <v>0</v>
      </c>
      <c r="O997" s="19">
        <f>N(O996)+$N997</f>
        <v>272</v>
      </c>
      <c r="S997" s="20">
        <f>IFERROR(IF([2]对账明细接口!$N997=0,"",[2]对账明细接口!$N997),"")</f>
      </c>
      <c r="T997" s="212">
        <f>IFERROR(IF([2]对账明细接口!$O997=0,"",[2]对账明细接口!$O997),"")</f>
      </c>
      <c r="U997" s="212">
        <f>IFERROR(IF([2]对账明细接口!$P997=0,"",[2]对账明细接口!$P997),"")</f>
      </c>
      <c r="V997" s="212">
        <f>IFERROR(IF([2]对账明细接口!$Q997=0,"",[2]对账明细接口!$Q997),"")</f>
      </c>
      <c r="W997" s="20">
        <f>IFERROR(IF([2]对账明细接口!$R997=0,"",[2]对账明细接口!$R997),"")</f>
      </c>
      <c r="X997" s="20">
        <f>IFERROR(IF([2]对账明细接口!$S997=0,"",[2]对账明细接口!$S997),"")</f>
      </c>
      <c r="Y997" s="20">
        <f>""</f>
      </c>
      <c r="Z997" s="20">
        <f>""</f>
      </c>
      <c r="AA997" s="20">
        <f>""</f>
      </c>
      <c r="AB997" s="20">
        <f>""</f>
      </c>
    </row>
    <row r="998" s="127">
      <c r="A998" s="14" t="n">
        <v>998</v>
      </c>
      <c r="B998" s="211">
        <f>IFERROR(IF([2]对账明细接口!$B$998=0,"",[2]对账明细接口!$B$998),"")</f>
      </c>
      <c r="C998" s="16">
        <f>IFERROR(IF([2]对账明细接口!$C$998=0,"",[2]对账明细接口!$C$998),"")</f>
      </c>
      <c r="D998" s="16">
        <f>IFERROR(IF([2]对账明细接口!$D$998=0,"",[2]对账明细接口!$D$998),"")</f>
      </c>
      <c r="E998" s="16">
        <f>IFERROR(IF([2]对账明细接口!$E$998=0,"",[2]对账明细接口!$E$998),"")</f>
      </c>
      <c r="F998" s="16">
        <f>IFERROR(IF([2]对账明细接口!$F$998=0,"",[2]对账明细接口!$F$998),"")</f>
      </c>
      <c r="G998" s="16">
        <f>IFERROR(IF([2]对账明细接口!$G$998=0,"",[2]对账明细接口!$G$998),"")</f>
      </c>
      <c r="H998" s="176">
        <f>IFERROR(IF([2]对账明细接口!$H$998=0,"",[2]对账明细接口!$H$998),"")</f>
      </c>
      <c r="I998" s="16">
        <f>IFERROR(IF([2]对账明细接口!$I$998=0,"",[2]对账明细接口!$I$998),"")</f>
      </c>
      <c r="J998" s="177">
        <f>IFERROR(IF([2]对账明细接口!$J$998=0,"",[2]对账明细接口!$J$998),"")</f>
      </c>
      <c r="K998" s="177">
        <f>IFERROR(IF([2]对账明细接口!$K$998=0,"",[2]对账明细接口!$K$998),"")</f>
      </c>
      <c r="L998" s="16">
        <f>IFERROR(IF([2]对账明细接口!$L$998=0,"",[2]对账明细接口!$L$998),"")</f>
      </c>
      <c r="M998" s="16">
        <f>IFERROR(IF([2]对账明细接口!$M$998=0,"",[2]对账明细接口!$M$998),"")</f>
      </c>
      <c r="N998" s="19">
        <f>IF($C998="",0,1)</f>
        <v>0</v>
      </c>
      <c r="O998" s="19">
        <f>N(O997)+$N998</f>
        <v>272</v>
      </c>
      <c r="S998" s="20">
        <f>IFERROR(IF([2]对账明细接口!$N998=0,"",[2]对账明细接口!$N998),"")</f>
      </c>
      <c r="T998" s="212">
        <f>IFERROR(IF([2]对账明细接口!$O998=0,"",[2]对账明细接口!$O998),"")</f>
      </c>
      <c r="U998" s="212">
        <f>IFERROR(IF([2]对账明细接口!$P998=0,"",[2]对账明细接口!$P998),"")</f>
      </c>
      <c r="V998" s="212">
        <f>IFERROR(IF([2]对账明细接口!$Q998=0,"",[2]对账明细接口!$Q998),"")</f>
      </c>
      <c r="W998" s="20">
        <f>IFERROR(IF([2]对账明细接口!$R998=0,"",[2]对账明细接口!$R998),"")</f>
      </c>
      <c r="X998" s="20">
        <f>IFERROR(IF([2]对账明细接口!$S998=0,"",[2]对账明细接口!$S998),"")</f>
      </c>
      <c r="Y998" s="20">
        <f>""</f>
      </c>
      <c r="Z998" s="20">
        <f>""</f>
      </c>
      <c r="AA998" s="20">
        <f>""</f>
      </c>
      <c r="AB998" s="20">
        <f>""</f>
      </c>
    </row>
    <row r="999" s="127">
      <c r="A999" s="14" t="n">
        <v>999</v>
      </c>
      <c r="B999" s="211">
        <f>IFERROR(IF([2]对账明细接口!$B$999=0,"",[2]对账明细接口!$B$999),"")</f>
      </c>
      <c r="C999" s="16">
        <f>IFERROR(IF([2]对账明细接口!$C$999=0,"",[2]对账明细接口!$C$999),"")</f>
      </c>
      <c r="D999" s="16">
        <f>IFERROR(IF([2]对账明细接口!$D$999=0,"",[2]对账明细接口!$D$999),"")</f>
      </c>
      <c r="E999" s="16">
        <f>IFERROR(IF([2]对账明细接口!$E$999=0,"",[2]对账明细接口!$E$999),"")</f>
      </c>
      <c r="F999" s="16">
        <f>IFERROR(IF([2]对账明细接口!$F$999=0,"",[2]对账明细接口!$F$999),"")</f>
      </c>
      <c r="G999" s="16">
        <f>IFERROR(IF([2]对账明细接口!$G$999=0,"",[2]对账明细接口!$G$999),"")</f>
      </c>
      <c r="H999" s="176">
        <f>IFERROR(IF([2]对账明细接口!$H$999=0,"",[2]对账明细接口!$H$999),"")</f>
      </c>
      <c r="I999" s="16">
        <f>IFERROR(IF([2]对账明细接口!$I$999=0,"",[2]对账明细接口!$I$999),"")</f>
      </c>
      <c r="J999" s="177">
        <f>IFERROR(IF([2]对账明细接口!$J$999=0,"",[2]对账明细接口!$J$999),"")</f>
      </c>
      <c r="K999" s="177">
        <f>IFERROR(IF([2]对账明细接口!$K$999=0,"",[2]对账明细接口!$K$999),"")</f>
      </c>
      <c r="L999" s="16">
        <f>IFERROR(IF([2]对账明细接口!$L$999=0,"",[2]对账明细接口!$L$999),"")</f>
      </c>
      <c r="M999" s="16">
        <f>IFERROR(IF([2]对账明细接口!$M$999=0,"",[2]对账明细接口!$M$999),"")</f>
      </c>
      <c r="N999" s="19">
        <f>IF($C999="",0,1)</f>
        <v>0</v>
      </c>
      <c r="O999" s="19">
        <f>N(O998)+$N999</f>
        <v>272</v>
      </c>
      <c r="S999" s="20">
        <f>IFERROR(IF([2]对账明细接口!$N999=0,"",[2]对账明细接口!$N999),"")</f>
      </c>
      <c r="T999" s="212">
        <f>IFERROR(IF([2]对账明细接口!$O999=0,"",[2]对账明细接口!$O999),"")</f>
      </c>
      <c r="U999" s="212">
        <f>IFERROR(IF([2]对账明细接口!$P999=0,"",[2]对账明细接口!$P999),"")</f>
      </c>
      <c r="V999" s="212">
        <f>IFERROR(IF([2]对账明细接口!$Q999=0,"",[2]对账明细接口!$Q999),"")</f>
      </c>
      <c r="W999" s="20">
        <f>IFERROR(IF([2]对账明细接口!$R999=0,"",[2]对账明细接口!$R999),"")</f>
      </c>
      <c r="X999" s="20">
        <f>IFERROR(IF([2]对账明细接口!$S999=0,"",[2]对账明细接口!$S999),"")</f>
      </c>
      <c r="Y999" s="20">
        <f>""</f>
      </c>
      <c r="Z999" s="20">
        <f>""</f>
      </c>
      <c r="AA999" s="20">
        <f>""</f>
      </c>
      <c r="AB999" s="20">
        <f>""</f>
      </c>
    </row>
    <row r="1000" s="127">
      <c r="A1000" s="14" t="n">
        <v>1000</v>
      </c>
      <c r="B1000" s="211">
        <f>IFERROR(IF([2]对账明细接口!$B$1000=0,"",[2]对账明细接口!$B$1000),"")</f>
      </c>
      <c r="C1000" s="16">
        <f>IFERROR(IF([2]对账明细接口!$C$1000=0,"",[2]对账明细接口!$C$1000),"")</f>
      </c>
      <c r="D1000" s="16">
        <f>IFERROR(IF([2]对账明细接口!$D$1000=0,"",[2]对账明细接口!$D$1000),"")</f>
      </c>
      <c r="E1000" s="16">
        <f>IFERROR(IF([2]对账明细接口!$E$1000=0,"",[2]对账明细接口!$E$1000),"")</f>
      </c>
      <c r="F1000" s="16">
        <f>IFERROR(IF([2]对账明细接口!$F$1000=0,"",[2]对账明细接口!$F$1000),"")</f>
      </c>
      <c r="G1000" s="16">
        <f>IFERROR(IF([2]对账明细接口!$G$1000=0,"",[2]对账明细接口!$G$1000),"")</f>
      </c>
      <c r="H1000" s="176">
        <f>IFERROR(IF([2]对账明细接口!$H$1000=0,"",[2]对账明细接口!$H$1000),"")</f>
      </c>
      <c r="I1000" s="16">
        <f>IFERROR(IF([2]对账明细接口!$I$1000=0,"",[2]对账明细接口!$I$1000),"")</f>
      </c>
      <c r="J1000" s="177">
        <f>IFERROR(IF([2]对账明细接口!$J$1000=0,"",[2]对账明细接口!$J$1000),"")</f>
      </c>
      <c r="K1000" s="177">
        <f>IFERROR(IF([2]对账明细接口!$K$1000=0,"",[2]对账明细接口!$K$1000),"")</f>
      </c>
      <c r="L1000" s="16">
        <f>IFERROR(IF([2]对账明细接口!$L$1000=0,"",[2]对账明细接口!$L$1000),"")</f>
      </c>
      <c r="M1000" s="16">
        <f>IFERROR(IF([2]对账明细接口!$M$1000=0,"",[2]对账明细接口!$M$1000),"")</f>
      </c>
      <c r="N1000" s="19">
        <f>IF($C1000="",0,1)</f>
        <v>0</v>
      </c>
      <c r="O1000" s="19">
        <f>N(O999)+$N1000</f>
        <v>272</v>
      </c>
      <c r="S1000" s="20">
        <f>IFERROR(IF([2]对账明细接口!$N1000=0,"",[2]对账明细接口!$N1000),"")</f>
      </c>
      <c r="T1000" s="212">
        <f>IFERROR(IF([2]对账明细接口!$O1000=0,"",[2]对账明细接口!$O1000),"")</f>
      </c>
      <c r="U1000" s="212">
        <f>IFERROR(IF([2]对账明细接口!$P1000=0,"",[2]对账明细接口!$P1000),"")</f>
      </c>
      <c r="V1000" s="212">
        <f>IFERROR(IF([2]对账明细接口!$Q1000=0,"",[2]对账明细接口!$Q1000),"")</f>
      </c>
      <c r="W1000" s="20">
        <f>IFERROR(IF([2]对账明细接口!$R1000=0,"",[2]对账明细接口!$R1000),"")</f>
      </c>
      <c r="X1000" s="20">
        <f>IFERROR(IF([2]对账明细接口!$S1000=0,"",[2]对账明细接口!$S1000),"")</f>
      </c>
      <c r="Y1000" s="20">
        <f>""</f>
      </c>
      <c r="Z1000" s="20">
        <f>""</f>
      </c>
      <c r="AA1000" s="20">
        <f>""</f>
      </c>
      <c r="AB1000" s="20">
        <f>""</f>
      </c>
    </row>
    <row r="1001" s="127">
      <c r="A1001" s="14" t="n">
        <v>1001</v>
      </c>
      <c r="B1001" s="211">
        <f>IFERROR(IF([2]对账明细接口!$B$1001=0,"",[2]对账明细接口!$B$1001),"")</f>
      </c>
      <c r="C1001" s="16">
        <f>IFERROR(IF([2]对账明细接口!$C$1001=0,"",[2]对账明细接口!$C$1001),"")</f>
      </c>
      <c r="D1001" s="16">
        <f>IFERROR(IF([2]对账明细接口!$D$1001=0,"",[2]对账明细接口!$D$1001),"")</f>
      </c>
      <c r="E1001" s="16">
        <f>IFERROR(IF([2]对账明细接口!$E$1001=0,"",[2]对账明细接口!$E$1001),"")</f>
      </c>
      <c r="F1001" s="16">
        <f>IFERROR(IF([2]对账明细接口!$F$1001=0,"",[2]对账明细接口!$F$1001),"")</f>
      </c>
      <c r="G1001" s="16">
        <f>IFERROR(IF([2]对账明细接口!$G$1001=0,"",[2]对账明细接口!$G$1001),"")</f>
      </c>
      <c r="H1001" s="176">
        <f>IFERROR(IF([2]对账明细接口!$H$1001=0,"",[2]对账明细接口!$H$1001),"")</f>
      </c>
      <c r="I1001" s="16">
        <f>IFERROR(IF([2]对账明细接口!$I$1001=0,"",[2]对账明细接口!$I$1001),"")</f>
      </c>
      <c r="J1001" s="177">
        <f>IFERROR(IF([2]对账明细接口!$J$1001=0,"",[2]对账明细接口!$J$1001),"")</f>
      </c>
      <c r="K1001" s="177">
        <f>IFERROR(IF([2]对账明细接口!$K$1001=0,"",[2]对账明细接口!$K$1001),"")</f>
      </c>
      <c r="L1001" s="16">
        <f>IFERROR(IF([2]对账明细接口!$L$1001=0,"",[2]对账明细接口!$L$1001),"")</f>
      </c>
      <c r="M1001" s="16">
        <f>IFERROR(IF([2]对账明细接口!$M$1001=0,"",[2]对账明细接口!$M$1001),"")</f>
      </c>
      <c r="N1001" s="19">
        <f>IF($C1001="",0,1)</f>
        <v>0</v>
      </c>
      <c r="O1001" s="19">
        <f>N(O1000)+$N1001</f>
        <v>272</v>
      </c>
      <c r="S1001" s="20">
        <f>IFERROR(IF([2]对账明细接口!$N1001=0,"",[2]对账明细接口!$N1001),"")</f>
      </c>
      <c r="T1001" s="212">
        <f>IFERROR(IF([2]对账明细接口!$O1001=0,"",[2]对账明细接口!$O1001),"")</f>
      </c>
      <c r="U1001" s="212">
        <f>IFERROR(IF([2]对账明细接口!$P1001=0,"",[2]对账明细接口!$P1001),"")</f>
      </c>
      <c r="V1001" s="212">
        <f>IFERROR(IF([2]对账明细接口!$Q1001=0,"",[2]对账明细接口!$Q1001),"")</f>
      </c>
      <c r="W1001" s="20">
        <f>IFERROR(IF([2]对账明细接口!$R1001=0,"",[2]对账明细接口!$R1001),"")</f>
      </c>
      <c r="X1001" s="20">
        <f>IFERROR(IF([2]对账明细接口!$S1001=0,"",[2]对账明细接口!$S1001),"")</f>
      </c>
      <c r="Y1001" s="20">
        <f>""</f>
      </c>
      <c r="Z1001" s="20">
        <f>""</f>
      </c>
      <c r="AA1001" s="20">
        <f>""</f>
      </c>
      <c r="AB1001" s="20">
        <f>""</f>
      </c>
    </row>
    <row r="1002" s="127">
      <c r="A1002" s="14" t="n">
        <v>1002</v>
      </c>
      <c r="B1002" s="211">
        <f>IFERROR(IF([2]对账明细接口!$B$1002=0,"",[2]对账明细接口!$B$1002),"")</f>
      </c>
      <c r="C1002" s="16">
        <f>IFERROR(IF([2]对账明细接口!$C$1002=0,"",[2]对账明细接口!$C$1002),"")</f>
      </c>
      <c r="D1002" s="16">
        <f>IFERROR(IF([2]对账明细接口!$D$1002=0,"",[2]对账明细接口!$D$1002),"")</f>
      </c>
      <c r="E1002" s="16">
        <f>IFERROR(IF([2]对账明细接口!$E$1002=0,"",[2]对账明细接口!$E$1002),"")</f>
      </c>
      <c r="F1002" s="16">
        <f>IFERROR(IF([2]对账明细接口!$F$1002=0,"",[2]对账明细接口!$F$1002),"")</f>
      </c>
      <c r="G1002" s="16">
        <f>IFERROR(IF([2]对账明细接口!$G$1002=0,"",[2]对账明细接口!$G$1002),"")</f>
      </c>
      <c r="H1002" s="176">
        <f>IFERROR(IF([2]对账明细接口!$H$1002=0,"",[2]对账明细接口!$H$1002),"")</f>
      </c>
      <c r="I1002" s="16">
        <f>IFERROR(IF([2]对账明细接口!$I$1002=0,"",[2]对账明细接口!$I$1002),"")</f>
      </c>
      <c r="J1002" s="177">
        <f>IFERROR(IF([2]对账明细接口!$J$1002=0,"",[2]对账明细接口!$J$1002),"")</f>
      </c>
      <c r="K1002" s="177">
        <f>IFERROR(IF([2]对账明细接口!$K$1002=0,"",[2]对账明细接口!$K$1002),"")</f>
      </c>
      <c r="L1002" s="16">
        <f>IFERROR(IF([2]对账明细接口!$L$1002=0,"",[2]对账明细接口!$L$1002),"")</f>
      </c>
      <c r="M1002" s="16">
        <f>IFERROR(IF([2]对账明细接口!$M$1002=0,"",[2]对账明细接口!$M$1002),"")</f>
      </c>
      <c r="N1002" s="19">
        <f>IF($C1002="",0,1)</f>
        <v>0</v>
      </c>
      <c r="O1002" s="19">
        <f>N(O1001)+$N1002</f>
        <v>272</v>
      </c>
      <c r="S1002" s="20">
        <f>IFERROR(IF([2]对账明细接口!$N1002=0,"",[2]对账明细接口!$N1002),"")</f>
      </c>
      <c r="T1002" s="212">
        <f>IFERROR(IF([2]对账明细接口!$O1002=0,"",[2]对账明细接口!$O1002),"")</f>
      </c>
      <c r="U1002" s="212">
        <f>IFERROR(IF([2]对账明细接口!$P1002=0,"",[2]对账明细接口!$P1002),"")</f>
      </c>
      <c r="V1002" s="212">
        <f>IFERROR(IF([2]对账明细接口!$Q1002=0,"",[2]对账明细接口!$Q1002),"")</f>
      </c>
      <c r="W1002" s="20">
        <f>IFERROR(IF([2]对账明细接口!$R1002=0,"",[2]对账明细接口!$R1002),"")</f>
      </c>
      <c r="X1002" s="20">
        <f>IFERROR(IF([2]对账明细接口!$S1002=0,"",[2]对账明细接口!$S1002),"")</f>
      </c>
      <c r="Y1002" s="20">
        <f>""</f>
      </c>
      <c r="Z1002" s="20">
        <f>""</f>
      </c>
      <c r="AA1002" s="20">
        <f>""</f>
      </c>
      <c r="AB1002" s="20">
        <f>""</f>
      </c>
    </row>
    <row r="1003" s="127">
      <c r="A1003" s="14" t="n">
        <v>1003</v>
      </c>
      <c r="B1003" s="211">
        <f>IFERROR(IF([2]对账明细接口!$B$1003=0,"",[2]对账明细接口!$B$1003),"")</f>
      </c>
      <c r="C1003" s="16">
        <f>IFERROR(IF([2]对账明细接口!$C$1003=0,"",[2]对账明细接口!$C$1003),"")</f>
      </c>
      <c r="D1003" s="16">
        <f>IFERROR(IF([2]对账明细接口!$D$1003=0,"",[2]对账明细接口!$D$1003),"")</f>
      </c>
      <c r="E1003" s="16">
        <f>IFERROR(IF([2]对账明细接口!$E$1003=0,"",[2]对账明细接口!$E$1003),"")</f>
      </c>
      <c r="F1003" s="16">
        <f>IFERROR(IF([2]对账明细接口!$F$1003=0,"",[2]对账明细接口!$F$1003),"")</f>
      </c>
      <c r="G1003" s="16">
        <f>IFERROR(IF([2]对账明细接口!$G$1003=0,"",[2]对账明细接口!$G$1003),"")</f>
      </c>
      <c r="H1003" s="176">
        <f>IFERROR(IF([2]对账明细接口!$H$1003=0,"",[2]对账明细接口!$H$1003),"")</f>
      </c>
      <c r="I1003" s="16">
        <f>IFERROR(IF([2]对账明细接口!$I$1003=0,"",[2]对账明细接口!$I$1003),"")</f>
      </c>
      <c r="J1003" s="177">
        <f>IFERROR(IF([2]对账明细接口!$J$1003=0,"",[2]对账明细接口!$J$1003),"")</f>
      </c>
      <c r="K1003" s="177">
        <f>IFERROR(IF([2]对账明细接口!$K$1003=0,"",[2]对账明细接口!$K$1003),"")</f>
      </c>
      <c r="L1003" s="16">
        <f>IFERROR(IF([2]对账明细接口!$L$1003=0,"",[2]对账明细接口!$L$1003),"")</f>
      </c>
      <c r="M1003" s="16">
        <f>IFERROR(IF([2]对账明细接口!$M$1003=0,"",[2]对账明细接口!$M$1003),"")</f>
      </c>
      <c r="N1003" s="19">
        <f>IF($C1003="",0,1)</f>
        <v>0</v>
      </c>
      <c r="O1003" s="19">
        <f>N(O1002)+$N1003</f>
        <v>272</v>
      </c>
      <c r="S1003" s="20">
        <f>IFERROR(IF([2]对账明细接口!$N1003=0,"",[2]对账明细接口!$N1003),"")</f>
      </c>
      <c r="T1003" s="212">
        <f>IFERROR(IF([2]对账明细接口!$O1003=0,"",[2]对账明细接口!$O1003),"")</f>
      </c>
      <c r="U1003" s="212">
        <f>IFERROR(IF([2]对账明细接口!$P1003=0,"",[2]对账明细接口!$P1003),"")</f>
      </c>
      <c r="V1003" s="212">
        <f>IFERROR(IF([2]对账明细接口!$Q1003=0,"",[2]对账明细接口!$Q1003),"")</f>
      </c>
      <c r="W1003" s="20">
        <f>IFERROR(IF([2]对账明细接口!$R1003=0,"",[2]对账明细接口!$R1003),"")</f>
      </c>
      <c r="X1003" s="20">
        <f>IFERROR(IF([2]对账明细接口!$S1003=0,"",[2]对账明细接口!$S1003),"")</f>
      </c>
      <c r="Y1003" s="20">
        <f>""</f>
      </c>
      <c r="Z1003" s="20">
        <f>""</f>
      </c>
      <c r="AA1003" s="20">
        <f>""</f>
      </c>
      <c r="AB1003" s="20">
        <f>""</f>
      </c>
    </row>
    <row r="1004" s="127">
      <c r="A1004" s="14" t="n">
        <v>1004</v>
      </c>
      <c r="B1004" s="211">
        <f>IFERROR(IF([2]对账明细接口!$B$1004=0,"",[2]对账明细接口!$B$1004),"")</f>
      </c>
      <c r="C1004" s="16">
        <f>IFERROR(IF([2]对账明细接口!$C$1004=0,"",[2]对账明细接口!$C$1004),"")</f>
      </c>
      <c r="D1004" s="16">
        <f>IFERROR(IF([2]对账明细接口!$D$1004=0,"",[2]对账明细接口!$D$1004),"")</f>
      </c>
      <c r="E1004" s="16">
        <f>IFERROR(IF([2]对账明细接口!$E$1004=0,"",[2]对账明细接口!$E$1004),"")</f>
      </c>
      <c r="F1004" s="16">
        <f>IFERROR(IF([2]对账明细接口!$F$1004=0,"",[2]对账明细接口!$F$1004),"")</f>
      </c>
      <c r="G1004" s="16">
        <f>IFERROR(IF([2]对账明细接口!$G$1004=0,"",[2]对账明细接口!$G$1004),"")</f>
      </c>
      <c r="H1004" s="176">
        <f>IFERROR(IF([2]对账明细接口!$H$1004=0,"",[2]对账明细接口!$H$1004),"")</f>
      </c>
      <c r="I1004" s="16">
        <f>IFERROR(IF([2]对账明细接口!$I$1004=0,"",[2]对账明细接口!$I$1004),"")</f>
      </c>
      <c r="J1004" s="177">
        <f>IFERROR(IF([2]对账明细接口!$J$1004=0,"",[2]对账明细接口!$J$1004),"")</f>
      </c>
      <c r="K1004" s="177">
        <f>IFERROR(IF([2]对账明细接口!$K$1004=0,"",[2]对账明细接口!$K$1004),"")</f>
      </c>
      <c r="L1004" s="16">
        <f>IFERROR(IF([2]对账明细接口!$L$1004=0,"",[2]对账明细接口!$L$1004),"")</f>
      </c>
      <c r="M1004" s="16">
        <f>IFERROR(IF([2]对账明细接口!$M$1004=0,"",[2]对账明细接口!$M$1004),"")</f>
      </c>
      <c r="N1004" s="19">
        <f>IF($C1004="",0,1)</f>
        <v>0</v>
      </c>
      <c r="O1004" s="19">
        <f>N(O1003)+$N1004</f>
        <v>272</v>
      </c>
      <c r="S1004" s="20">
        <f>IFERROR(IF([2]对账明细接口!$N1004=0,"",[2]对账明细接口!$N1004),"")</f>
      </c>
      <c r="T1004" s="212">
        <f>IFERROR(IF([2]对账明细接口!$O1004=0,"",[2]对账明细接口!$O1004),"")</f>
      </c>
      <c r="U1004" s="212">
        <f>IFERROR(IF([2]对账明细接口!$P1004=0,"",[2]对账明细接口!$P1004),"")</f>
      </c>
      <c r="V1004" s="212">
        <f>IFERROR(IF([2]对账明细接口!$Q1004=0,"",[2]对账明细接口!$Q1004),"")</f>
      </c>
      <c r="W1004" s="20">
        <f>IFERROR(IF([2]对账明细接口!$R1004=0,"",[2]对账明细接口!$R1004),"")</f>
      </c>
      <c r="X1004" s="20">
        <f>IFERROR(IF([2]对账明细接口!$S1004=0,"",[2]对账明细接口!$S1004),"")</f>
      </c>
      <c r="Y1004" s="20">
        <f>""</f>
      </c>
      <c r="Z1004" s="20">
        <f>""</f>
      </c>
      <c r="AA1004" s="20">
        <f>""</f>
      </c>
      <c r="AB1004" s="20">
        <f>""</f>
      </c>
    </row>
    <row r="1005" s="127">
      <c r="A1005" s="14" t="n">
        <v>1005</v>
      </c>
      <c r="B1005" s="211">
        <f>IFERROR(IF([2]对账明细接口!$B$1005=0,"",[2]对账明细接口!$B$1005),"")</f>
      </c>
      <c r="C1005" s="16">
        <f>IFERROR(IF([2]对账明细接口!$C$1005=0,"",[2]对账明细接口!$C$1005),"")</f>
      </c>
      <c r="D1005" s="16">
        <f>IFERROR(IF([2]对账明细接口!$D$1005=0,"",[2]对账明细接口!$D$1005),"")</f>
      </c>
      <c r="E1005" s="16">
        <f>IFERROR(IF([2]对账明细接口!$E$1005=0,"",[2]对账明细接口!$E$1005),"")</f>
      </c>
      <c r="F1005" s="16">
        <f>IFERROR(IF([2]对账明细接口!$F$1005=0,"",[2]对账明细接口!$F$1005),"")</f>
      </c>
      <c r="G1005" s="16">
        <f>IFERROR(IF([2]对账明细接口!$G$1005=0,"",[2]对账明细接口!$G$1005),"")</f>
      </c>
      <c r="H1005" s="176">
        <f>IFERROR(IF([2]对账明细接口!$H$1005=0,"",[2]对账明细接口!$H$1005),"")</f>
      </c>
      <c r="I1005" s="16">
        <f>IFERROR(IF([2]对账明细接口!$I$1005=0,"",[2]对账明细接口!$I$1005),"")</f>
      </c>
      <c r="J1005" s="177">
        <f>IFERROR(IF([2]对账明细接口!$J$1005=0,"",[2]对账明细接口!$J$1005),"")</f>
      </c>
      <c r="K1005" s="177">
        <f>IFERROR(IF([2]对账明细接口!$K$1005=0,"",[2]对账明细接口!$K$1005),"")</f>
      </c>
      <c r="L1005" s="16">
        <f>IFERROR(IF([2]对账明细接口!$L$1005=0,"",[2]对账明细接口!$L$1005),"")</f>
      </c>
      <c r="M1005" s="16">
        <f>IFERROR(IF([2]对账明细接口!$M$1005=0,"",[2]对账明细接口!$M$1005),"")</f>
      </c>
      <c r="N1005" s="19">
        <f>IF($C1005="",0,1)</f>
        <v>0</v>
      </c>
      <c r="O1005" s="19">
        <f>N(O1004)+$N1005</f>
        <v>272</v>
      </c>
      <c r="S1005" s="20">
        <f>IFERROR(IF([2]对账明细接口!$N1005=0,"",[2]对账明细接口!$N1005),"")</f>
      </c>
      <c r="T1005" s="212">
        <f>IFERROR(IF([2]对账明细接口!$O1005=0,"",[2]对账明细接口!$O1005),"")</f>
      </c>
      <c r="U1005" s="212">
        <f>IFERROR(IF([2]对账明细接口!$P1005=0,"",[2]对账明细接口!$P1005),"")</f>
      </c>
      <c r="V1005" s="212">
        <f>IFERROR(IF([2]对账明细接口!$Q1005=0,"",[2]对账明细接口!$Q1005),"")</f>
      </c>
      <c r="W1005" s="20">
        <f>IFERROR(IF([2]对账明细接口!$R1005=0,"",[2]对账明细接口!$R1005),"")</f>
      </c>
      <c r="X1005" s="20">
        <f>IFERROR(IF([2]对账明细接口!$S1005=0,"",[2]对账明细接口!$S1005),"")</f>
      </c>
      <c r="Y1005" s="20">
        <f>""</f>
      </c>
      <c r="Z1005" s="20">
        <f>""</f>
      </c>
      <c r="AA1005" s="20">
        <f>""</f>
      </c>
      <c r="AB1005" s="20">
        <f>""</f>
      </c>
    </row>
    <row r="1006" s="127">
      <c r="A1006" s="14" t="n">
        <v>1006</v>
      </c>
      <c r="B1006" s="211">
        <f>IFERROR(IF([2]对账明细接口!$B$1006=0,"",[2]对账明细接口!$B$1006),"")</f>
      </c>
      <c r="C1006" s="16">
        <f>IFERROR(IF([2]对账明细接口!$C$1006=0,"",[2]对账明细接口!$C$1006),"")</f>
      </c>
      <c r="D1006" s="16">
        <f>IFERROR(IF([2]对账明细接口!$D$1006=0,"",[2]对账明细接口!$D$1006),"")</f>
      </c>
      <c r="E1006" s="16">
        <f>IFERROR(IF([2]对账明细接口!$E$1006=0,"",[2]对账明细接口!$E$1006),"")</f>
      </c>
      <c r="F1006" s="16">
        <f>IFERROR(IF([2]对账明细接口!$F$1006=0,"",[2]对账明细接口!$F$1006),"")</f>
      </c>
      <c r="G1006" s="16">
        <f>IFERROR(IF([2]对账明细接口!$G$1006=0,"",[2]对账明细接口!$G$1006),"")</f>
      </c>
      <c r="H1006" s="176">
        <f>IFERROR(IF([2]对账明细接口!$H$1006=0,"",[2]对账明细接口!$H$1006),"")</f>
      </c>
      <c r="I1006" s="16">
        <f>IFERROR(IF([2]对账明细接口!$I$1006=0,"",[2]对账明细接口!$I$1006),"")</f>
      </c>
      <c r="J1006" s="177">
        <f>IFERROR(IF([2]对账明细接口!$J$1006=0,"",[2]对账明细接口!$J$1006),"")</f>
      </c>
      <c r="K1006" s="177">
        <f>IFERROR(IF([2]对账明细接口!$K$1006=0,"",[2]对账明细接口!$K$1006),"")</f>
      </c>
      <c r="L1006" s="16">
        <f>IFERROR(IF([2]对账明细接口!$L$1006=0,"",[2]对账明细接口!$L$1006),"")</f>
      </c>
      <c r="M1006" s="16">
        <f>IFERROR(IF([2]对账明细接口!$M$1006=0,"",[2]对账明细接口!$M$1006),"")</f>
      </c>
      <c r="N1006" s="19">
        <f>IF($C1006="",0,1)</f>
        <v>0</v>
      </c>
      <c r="O1006" s="19">
        <f>N(O1005)+$N1006</f>
        <v>272</v>
      </c>
      <c r="S1006" s="20">
        <f>IFERROR(IF([2]对账明细接口!$N1006=0,"",[2]对账明细接口!$N1006),"")</f>
      </c>
      <c r="T1006" s="212">
        <f>IFERROR(IF([2]对账明细接口!$O1006=0,"",[2]对账明细接口!$O1006),"")</f>
      </c>
      <c r="U1006" s="212">
        <f>IFERROR(IF([2]对账明细接口!$P1006=0,"",[2]对账明细接口!$P1006),"")</f>
      </c>
      <c r="V1006" s="212">
        <f>IFERROR(IF([2]对账明细接口!$Q1006=0,"",[2]对账明细接口!$Q1006),"")</f>
      </c>
      <c r="W1006" s="20">
        <f>IFERROR(IF([2]对账明细接口!$R1006=0,"",[2]对账明细接口!$R1006),"")</f>
      </c>
      <c r="X1006" s="20">
        <f>IFERROR(IF([2]对账明细接口!$S1006=0,"",[2]对账明细接口!$S1006),"")</f>
      </c>
      <c r="Y1006" s="20">
        <f>""</f>
      </c>
      <c r="Z1006" s="20">
        <f>""</f>
      </c>
      <c r="AA1006" s="20">
        <f>""</f>
      </c>
      <c r="AB1006" s="20">
        <f>""</f>
      </c>
    </row>
    <row r="1007" s="127">
      <c r="A1007" s="14" t="n">
        <v>1007</v>
      </c>
      <c r="B1007" s="211">
        <f>IFERROR(IF([2]对账明细接口!$B$1007=0,"",[2]对账明细接口!$B$1007),"")</f>
      </c>
      <c r="C1007" s="16">
        <f>IFERROR(IF([2]对账明细接口!$C$1007=0,"",[2]对账明细接口!$C$1007),"")</f>
      </c>
      <c r="D1007" s="16">
        <f>IFERROR(IF([2]对账明细接口!$D$1007=0,"",[2]对账明细接口!$D$1007),"")</f>
      </c>
      <c r="E1007" s="16">
        <f>IFERROR(IF([2]对账明细接口!$E$1007=0,"",[2]对账明细接口!$E$1007),"")</f>
      </c>
      <c r="F1007" s="16">
        <f>IFERROR(IF([2]对账明细接口!$F$1007=0,"",[2]对账明细接口!$F$1007),"")</f>
      </c>
      <c r="G1007" s="16">
        <f>IFERROR(IF([2]对账明细接口!$G$1007=0,"",[2]对账明细接口!$G$1007),"")</f>
      </c>
      <c r="H1007" s="176">
        <f>IFERROR(IF([2]对账明细接口!$H$1007=0,"",[2]对账明细接口!$H$1007),"")</f>
      </c>
      <c r="I1007" s="16">
        <f>IFERROR(IF([2]对账明细接口!$I$1007=0,"",[2]对账明细接口!$I$1007),"")</f>
      </c>
      <c r="J1007" s="177">
        <f>IFERROR(IF([2]对账明细接口!$J$1007=0,"",[2]对账明细接口!$J$1007),"")</f>
      </c>
      <c r="K1007" s="177">
        <f>IFERROR(IF([2]对账明细接口!$K$1007=0,"",[2]对账明细接口!$K$1007),"")</f>
      </c>
      <c r="L1007" s="16">
        <f>IFERROR(IF([2]对账明细接口!$L$1007=0,"",[2]对账明细接口!$L$1007),"")</f>
      </c>
      <c r="M1007" s="16">
        <f>IFERROR(IF([2]对账明细接口!$M$1007=0,"",[2]对账明细接口!$M$1007),"")</f>
      </c>
      <c r="N1007" s="19">
        <f>IF($C1007="",0,1)</f>
        <v>0</v>
      </c>
      <c r="O1007" s="19">
        <f>N(O1006)+$N1007</f>
        <v>272</v>
      </c>
      <c r="S1007" s="20">
        <f>IFERROR(IF([2]对账明细接口!$N1007=0,"",[2]对账明细接口!$N1007),"")</f>
      </c>
      <c r="T1007" s="212">
        <f>IFERROR(IF([2]对账明细接口!$O1007=0,"",[2]对账明细接口!$O1007),"")</f>
      </c>
      <c r="U1007" s="212">
        <f>IFERROR(IF([2]对账明细接口!$P1007=0,"",[2]对账明细接口!$P1007),"")</f>
      </c>
      <c r="V1007" s="212">
        <f>IFERROR(IF([2]对账明细接口!$Q1007=0,"",[2]对账明细接口!$Q1007),"")</f>
      </c>
      <c r="W1007" s="20">
        <f>IFERROR(IF([2]对账明细接口!$R1007=0,"",[2]对账明细接口!$R1007),"")</f>
      </c>
      <c r="X1007" s="20">
        <f>IFERROR(IF([2]对账明细接口!$S1007=0,"",[2]对账明细接口!$S1007),"")</f>
      </c>
      <c r="Y1007" s="20">
        <f>""</f>
      </c>
      <c r="Z1007" s="20">
        <f>""</f>
      </c>
      <c r="AA1007" s="20">
        <f>""</f>
      </c>
      <c r="AB1007" s="20">
        <f>""</f>
      </c>
    </row>
    <row r="1008" s="127">
      <c r="A1008" s="14" t="n">
        <v>1008</v>
      </c>
      <c r="B1008" s="211">
        <f>IFERROR(IF([2]对账明细接口!$B$1008=0,"",[2]对账明细接口!$B$1008),"")</f>
      </c>
      <c r="C1008" s="16">
        <f>IFERROR(IF([2]对账明细接口!$C$1008=0,"",[2]对账明细接口!$C$1008),"")</f>
      </c>
      <c r="D1008" s="16">
        <f>IFERROR(IF([2]对账明细接口!$D$1008=0,"",[2]对账明细接口!$D$1008),"")</f>
      </c>
      <c r="E1008" s="16">
        <f>IFERROR(IF([2]对账明细接口!$E$1008=0,"",[2]对账明细接口!$E$1008),"")</f>
      </c>
      <c r="F1008" s="16">
        <f>IFERROR(IF([2]对账明细接口!$F$1008=0,"",[2]对账明细接口!$F$1008),"")</f>
      </c>
      <c r="G1008" s="16">
        <f>IFERROR(IF([2]对账明细接口!$G$1008=0,"",[2]对账明细接口!$G$1008),"")</f>
      </c>
      <c r="H1008" s="176">
        <f>IFERROR(IF([2]对账明细接口!$H$1008=0,"",[2]对账明细接口!$H$1008),"")</f>
      </c>
      <c r="I1008" s="16">
        <f>IFERROR(IF([2]对账明细接口!$I$1008=0,"",[2]对账明细接口!$I$1008),"")</f>
      </c>
      <c r="J1008" s="177">
        <f>IFERROR(IF([2]对账明细接口!$J$1008=0,"",[2]对账明细接口!$J$1008),"")</f>
      </c>
      <c r="K1008" s="177">
        <f>IFERROR(IF([2]对账明细接口!$K$1008=0,"",[2]对账明细接口!$K$1008),"")</f>
      </c>
      <c r="L1008" s="16">
        <f>IFERROR(IF([2]对账明细接口!$L$1008=0,"",[2]对账明细接口!$L$1008),"")</f>
      </c>
      <c r="M1008" s="16">
        <f>IFERROR(IF([2]对账明细接口!$M$1008=0,"",[2]对账明细接口!$M$1008),"")</f>
      </c>
      <c r="N1008" s="19">
        <f>IF($C1008="",0,1)</f>
        <v>0</v>
      </c>
      <c r="O1008" s="19">
        <f>N(O1007)+$N1008</f>
        <v>272</v>
      </c>
      <c r="S1008" s="20">
        <f>IFERROR(IF([2]对账明细接口!$N1008=0,"",[2]对账明细接口!$N1008),"")</f>
      </c>
      <c r="T1008" s="212">
        <f>IFERROR(IF([2]对账明细接口!$O1008=0,"",[2]对账明细接口!$O1008),"")</f>
      </c>
      <c r="U1008" s="212">
        <f>IFERROR(IF([2]对账明细接口!$P1008=0,"",[2]对账明细接口!$P1008),"")</f>
      </c>
      <c r="V1008" s="212">
        <f>IFERROR(IF([2]对账明细接口!$Q1008=0,"",[2]对账明细接口!$Q1008),"")</f>
      </c>
      <c r="W1008" s="20">
        <f>IFERROR(IF([2]对账明细接口!$R1008=0,"",[2]对账明细接口!$R1008),"")</f>
      </c>
      <c r="X1008" s="20">
        <f>IFERROR(IF([2]对账明细接口!$S1008=0,"",[2]对账明细接口!$S1008),"")</f>
      </c>
      <c r="Y1008" s="20">
        <f>""</f>
      </c>
      <c r="Z1008" s="20">
        <f>""</f>
      </c>
      <c r="AA1008" s="20">
        <f>""</f>
      </c>
      <c r="AB1008" s="20">
        <f>""</f>
      </c>
    </row>
    <row r="1009" s="127">
      <c r="A1009" s="14" t="n">
        <v>1009</v>
      </c>
      <c r="B1009" s="211">
        <f>IFERROR(IF([2]对账明细接口!$B$1009=0,"",[2]对账明细接口!$B$1009),"")</f>
      </c>
      <c r="C1009" s="16">
        <f>IFERROR(IF([2]对账明细接口!$C$1009=0,"",[2]对账明细接口!$C$1009),"")</f>
      </c>
      <c r="D1009" s="16">
        <f>IFERROR(IF([2]对账明细接口!$D$1009=0,"",[2]对账明细接口!$D$1009),"")</f>
      </c>
      <c r="E1009" s="16">
        <f>IFERROR(IF([2]对账明细接口!$E$1009=0,"",[2]对账明细接口!$E$1009),"")</f>
      </c>
      <c r="F1009" s="16">
        <f>IFERROR(IF([2]对账明细接口!$F$1009=0,"",[2]对账明细接口!$F$1009),"")</f>
      </c>
      <c r="G1009" s="16">
        <f>IFERROR(IF([2]对账明细接口!$G$1009=0,"",[2]对账明细接口!$G$1009),"")</f>
      </c>
      <c r="H1009" s="176">
        <f>IFERROR(IF([2]对账明细接口!$H$1009=0,"",[2]对账明细接口!$H$1009),"")</f>
      </c>
      <c r="I1009" s="16">
        <f>IFERROR(IF([2]对账明细接口!$I$1009=0,"",[2]对账明细接口!$I$1009),"")</f>
      </c>
      <c r="J1009" s="177">
        <f>IFERROR(IF([2]对账明细接口!$J$1009=0,"",[2]对账明细接口!$J$1009),"")</f>
      </c>
      <c r="K1009" s="177">
        <f>IFERROR(IF([2]对账明细接口!$K$1009=0,"",[2]对账明细接口!$K$1009),"")</f>
      </c>
      <c r="L1009" s="16">
        <f>IFERROR(IF([2]对账明细接口!$L$1009=0,"",[2]对账明细接口!$L$1009),"")</f>
      </c>
      <c r="M1009" s="16">
        <f>IFERROR(IF([2]对账明细接口!$M$1009=0,"",[2]对账明细接口!$M$1009),"")</f>
      </c>
      <c r="N1009" s="19">
        <f>IF($C1009="",0,1)</f>
        <v>0</v>
      </c>
      <c r="O1009" s="19">
        <f>N(O1008)+$N1009</f>
        <v>272</v>
      </c>
      <c r="S1009" s="20">
        <f>IFERROR(IF([2]对账明细接口!$N1009=0,"",[2]对账明细接口!$N1009),"")</f>
      </c>
      <c r="T1009" s="212">
        <f>IFERROR(IF([2]对账明细接口!$O1009=0,"",[2]对账明细接口!$O1009),"")</f>
      </c>
      <c r="U1009" s="212">
        <f>IFERROR(IF([2]对账明细接口!$P1009=0,"",[2]对账明细接口!$P1009),"")</f>
      </c>
      <c r="V1009" s="212">
        <f>IFERROR(IF([2]对账明细接口!$Q1009=0,"",[2]对账明细接口!$Q1009),"")</f>
      </c>
      <c r="W1009" s="20">
        <f>IFERROR(IF([2]对账明细接口!$R1009=0,"",[2]对账明细接口!$R1009),"")</f>
      </c>
      <c r="X1009" s="20">
        <f>IFERROR(IF([2]对账明细接口!$S1009=0,"",[2]对账明细接口!$S1009),"")</f>
      </c>
      <c r="Y1009" s="20">
        <f>""</f>
      </c>
      <c r="Z1009" s="20">
        <f>""</f>
      </c>
      <c r="AA1009" s="20">
        <f>""</f>
      </c>
      <c r="AB1009" s="20">
        <f>""</f>
      </c>
    </row>
    <row r="1010" s="127">
      <c r="A1010" s="14" t="n">
        <v>1010</v>
      </c>
      <c r="B1010" s="211">
        <f>IFERROR(IF([2]对账明细接口!$B$1010=0,"",[2]对账明细接口!$B$1010),"")</f>
      </c>
      <c r="C1010" s="16">
        <f>IFERROR(IF([2]对账明细接口!$C$1010=0,"",[2]对账明细接口!$C$1010),"")</f>
      </c>
      <c r="D1010" s="16">
        <f>IFERROR(IF([2]对账明细接口!$D$1010=0,"",[2]对账明细接口!$D$1010),"")</f>
      </c>
      <c r="E1010" s="16">
        <f>IFERROR(IF([2]对账明细接口!$E$1010=0,"",[2]对账明细接口!$E$1010),"")</f>
      </c>
      <c r="F1010" s="16">
        <f>IFERROR(IF([2]对账明细接口!$F$1010=0,"",[2]对账明细接口!$F$1010),"")</f>
      </c>
      <c r="G1010" s="16">
        <f>IFERROR(IF([2]对账明细接口!$G$1010=0,"",[2]对账明细接口!$G$1010),"")</f>
      </c>
      <c r="H1010" s="176">
        <f>IFERROR(IF([2]对账明细接口!$H$1010=0,"",[2]对账明细接口!$H$1010),"")</f>
      </c>
      <c r="I1010" s="16">
        <f>IFERROR(IF([2]对账明细接口!$I$1010=0,"",[2]对账明细接口!$I$1010),"")</f>
      </c>
      <c r="J1010" s="177">
        <f>IFERROR(IF([2]对账明细接口!$J$1010=0,"",[2]对账明细接口!$J$1010),"")</f>
      </c>
      <c r="K1010" s="177">
        <f>IFERROR(IF([2]对账明细接口!$K$1010=0,"",[2]对账明细接口!$K$1010),"")</f>
      </c>
      <c r="L1010" s="16">
        <f>IFERROR(IF([2]对账明细接口!$L$1010=0,"",[2]对账明细接口!$L$1010),"")</f>
      </c>
      <c r="M1010" s="16">
        <f>IFERROR(IF([2]对账明细接口!$M$1010=0,"",[2]对账明细接口!$M$1010),"")</f>
      </c>
      <c r="N1010" s="19">
        <f>IF($C1010="",0,1)</f>
        <v>0</v>
      </c>
      <c r="O1010" s="19">
        <f>N(O1009)+$N1010</f>
        <v>272</v>
      </c>
      <c r="S1010" s="20">
        <f>IFERROR(IF([2]对账明细接口!$N1010=0,"",[2]对账明细接口!$N1010),"")</f>
      </c>
      <c r="T1010" s="212">
        <f>IFERROR(IF([2]对账明细接口!$O1010=0,"",[2]对账明细接口!$O1010),"")</f>
      </c>
      <c r="U1010" s="212">
        <f>IFERROR(IF([2]对账明细接口!$P1010=0,"",[2]对账明细接口!$P1010),"")</f>
      </c>
      <c r="V1010" s="212">
        <f>IFERROR(IF([2]对账明细接口!$Q1010=0,"",[2]对账明细接口!$Q1010),"")</f>
      </c>
      <c r="W1010" s="20">
        <f>IFERROR(IF([2]对账明细接口!$R1010=0,"",[2]对账明细接口!$R1010),"")</f>
      </c>
      <c r="X1010" s="20">
        <f>IFERROR(IF([2]对账明细接口!$S1010=0,"",[2]对账明细接口!$S1010),"")</f>
      </c>
      <c r="Y1010" s="20">
        <f>""</f>
      </c>
      <c r="Z1010" s="20">
        <f>""</f>
      </c>
      <c r="AA1010" s="20">
        <f>""</f>
      </c>
      <c r="AB1010" s="20">
        <f>""</f>
      </c>
    </row>
    <row r="1011" s="127">
      <c r="A1011" s="14" t="n">
        <v>1011</v>
      </c>
      <c r="B1011" s="211">
        <f>IFERROR(IF([2]对账明细接口!$B$1011=0,"",[2]对账明细接口!$B$1011),"")</f>
      </c>
      <c r="C1011" s="16">
        <f>IFERROR(IF([2]对账明细接口!$C$1011=0,"",[2]对账明细接口!$C$1011),"")</f>
      </c>
      <c r="D1011" s="16">
        <f>IFERROR(IF([2]对账明细接口!$D$1011=0,"",[2]对账明细接口!$D$1011),"")</f>
      </c>
      <c r="E1011" s="16">
        <f>IFERROR(IF([2]对账明细接口!$E$1011=0,"",[2]对账明细接口!$E$1011),"")</f>
      </c>
      <c r="F1011" s="16">
        <f>IFERROR(IF([2]对账明细接口!$F$1011=0,"",[2]对账明细接口!$F$1011),"")</f>
      </c>
      <c r="G1011" s="16">
        <f>IFERROR(IF([2]对账明细接口!$G$1011=0,"",[2]对账明细接口!$G$1011),"")</f>
      </c>
      <c r="H1011" s="176">
        <f>IFERROR(IF([2]对账明细接口!$H$1011=0,"",[2]对账明细接口!$H$1011),"")</f>
      </c>
      <c r="I1011" s="16">
        <f>IFERROR(IF([2]对账明细接口!$I$1011=0,"",[2]对账明细接口!$I$1011),"")</f>
      </c>
      <c r="J1011" s="177">
        <f>IFERROR(IF([2]对账明细接口!$J$1011=0,"",[2]对账明细接口!$J$1011),"")</f>
      </c>
      <c r="K1011" s="177">
        <f>IFERROR(IF([2]对账明细接口!$K$1011=0,"",[2]对账明细接口!$K$1011),"")</f>
      </c>
      <c r="L1011" s="16">
        <f>IFERROR(IF([2]对账明细接口!$L$1011=0,"",[2]对账明细接口!$L$1011),"")</f>
      </c>
      <c r="M1011" s="16">
        <f>IFERROR(IF([2]对账明细接口!$M$1011=0,"",[2]对账明细接口!$M$1011),"")</f>
      </c>
      <c r="N1011" s="19">
        <f>IF($C1011="",0,1)</f>
        <v>0</v>
      </c>
      <c r="O1011" s="19">
        <f>N(O1010)+$N1011</f>
        <v>272</v>
      </c>
      <c r="S1011" s="20">
        <f>IFERROR(IF([2]对账明细接口!$N1011=0,"",[2]对账明细接口!$N1011),"")</f>
      </c>
      <c r="T1011" s="212">
        <f>IFERROR(IF([2]对账明细接口!$O1011=0,"",[2]对账明细接口!$O1011),"")</f>
      </c>
      <c r="U1011" s="212">
        <f>IFERROR(IF([2]对账明细接口!$P1011=0,"",[2]对账明细接口!$P1011),"")</f>
      </c>
      <c r="V1011" s="212">
        <f>IFERROR(IF([2]对账明细接口!$Q1011=0,"",[2]对账明细接口!$Q1011),"")</f>
      </c>
      <c r="W1011" s="20">
        <f>IFERROR(IF([2]对账明细接口!$R1011=0,"",[2]对账明细接口!$R1011),"")</f>
      </c>
      <c r="X1011" s="20">
        <f>IFERROR(IF([2]对账明细接口!$S1011=0,"",[2]对账明细接口!$S1011),"")</f>
      </c>
      <c r="Y1011" s="20">
        <f>""</f>
      </c>
      <c r="Z1011" s="20">
        <f>""</f>
      </c>
      <c r="AA1011" s="20">
        <f>""</f>
      </c>
      <c r="AB1011" s="20">
        <f>""</f>
      </c>
    </row>
    <row r="1012" s="127">
      <c r="A1012" s="14" t="n">
        <v>1012</v>
      </c>
      <c r="B1012" s="211">
        <f>IFERROR(IF([2]对账明细接口!$B$1012=0,"",[2]对账明细接口!$B$1012),"")</f>
      </c>
      <c r="C1012" s="16">
        <f>IFERROR(IF([2]对账明细接口!$C$1012=0,"",[2]对账明细接口!$C$1012),"")</f>
      </c>
      <c r="D1012" s="16">
        <f>IFERROR(IF([2]对账明细接口!$D$1012=0,"",[2]对账明细接口!$D$1012),"")</f>
      </c>
      <c r="E1012" s="16">
        <f>IFERROR(IF([2]对账明细接口!$E$1012=0,"",[2]对账明细接口!$E$1012),"")</f>
      </c>
      <c r="F1012" s="16">
        <f>IFERROR(IF([2]对账明细接口!$F$1012=0,"",[2]对账明细接口!$F$1012),"")</f>
      </c>
      <c r="G1012" s="16">
        <f>IFERROR(IF([2]对账明细接口!$G$1012=0,"",[2]对账明细接口!$G$1012),"")</f>
      </c>
      <c r="H1012" s="176">
        <f>IFERROR(IF([2]对账明细接口!$H$1012=0,"",[2]对账明细接口!$H$1012),"")</f>
      </c>
      <c r="I1012" s="16">
        <f>IFERROR(IF([2]对账明细接口!$I$1012=0,"",[2]对账明细接口!$I$1012),"")</f>
      </c>
      <c r="J1012" s="177">
        <f>IFERROR(IF([2]对账明细接口!$J$1012=0,"",[2]对账明细接口!$J$1012),"")</f>
      </c>
      <c r="K1012" s="177">
        <f>IFERROR(IF([2]对账明细接口!$K$1012=0,"",[2]对账明细接口!$K$1012),"")</f>
      </c>
      <c r="L1012" s="16">
        <f>IFERROR(IF([2]对账明细接口!$L$1012=0,"",[2]对账明细接口!$L$1012),"")</f>
      </c>
      <c r="M1012" s="16">
        <f>IFERROR(IF([2]对账明细接口!$M$1012=0,"",[2]对账明细接口!$M$1012),"")</f>
      </c>
      <c r="N1012" s="19">
        <f>IF($C1012="",0,1)</f>
        <v>0</v>
      </c>
      <c r="O1012" s="19">
        <f>N(O1011)+$N1012</f>
        <v>272</v>
      </c>
      <c r="S1012" s="20">
        <f>IFERROR(IF([2]对账明细接口!$N1012=0,"",[2]对账明细接口!$N1012),"")</f>
      </c>
      <c r="T1012" s="212">
        <f>IFERROR(IF([2]对账明细接口!$O1012=0,"",[2]对账明细接口!$O1012),"")</f>
      </c>
      <c r="U1012" s="212">
        <f>IFERROR(IF([2]对账明细接口!$P1012=0,"",[2]对账明细接口!$P1012),"")</f>
      </c>
      <c r="V1012" s="212">
        <f>IFERROR(IF([2]对账明细接口!$Q1012=0,"",[2]对账明细接口!$Q1012),"")</f>
      </c>
      <c r="W1012" s="20">
        <f>IFERROR(IF([2]对账明细接口!$R1012=0,"",[2]对账明细接口!$R1012),"")</f>
      </c>
      <c r="X1012" s="20">
        <f>IFERROR(IF([2]对账明细接口!$S1012=0,"",[2]对账明细接口!$S1012),"")</f>
      </c>
      <c r="Y1012" s="20">
        <f>""</f>
      </c>
      <c r="Z1012" s="20">
        <f>""</f>
      </c>
      <c r="AA1012" s="20">
        <f>""</f>
      </c>
      <c r="AB1012" s="20">
        <f>""</f>
      </c>
    </row>
    <row r="1013" s="127">
      <c r="A1013" s="14" t="n">
        <v>1013</v>
      </c>
      <c r="B1013" s="211">
        <f>IFERROR(IF([2]对账明细接口!$B$1013=0,"",[2]对账明细接口!$B$1013),"")</f>
      </c>
      <c r="C1013" s="16">
        <f>IFERROR(IF([2]对账明细接口!$C$1013=0,"",[2]对账明细接口!$C$1013),"")</f>
      </c>
      <c r="D1013" s="16">
        <f>IFERROR(IF([2]对账明细接口!$D$1013=0,"",[2]对账明细接口!$D$1013),"")</f>
      </c>
      <c r="E1013" s="16">
        <f>IFERROR(IF([2]对账明细接口!$E$1013=0,"",[2]对账明细接口!$E$1013),"")</f>
      </c>
      <c r="F1013" s="16">
        <f>IFERROR(IF([2]对账明细接口!$F$1013=0,"",[2]对账明细接口!$F$1013),"")</f>
      </c>
      <c r="G1013" s="16">
        <f>IFERROR(IF([2]对账明细接口!$G$1013=0,"",[2]对账明细接口!$G$1013),"")</f>
      </c>
      <c r="H1013" s="176">
        <f>IFERROR(IF([2]对账明细接口!$H$1013=0,"",[2]对账明细接口!$H$1013),"")</f>
      </c>
      <c r="I1013" s="16">
        <f>IFERROR(IF([2]对账明细接口!$I$1013=0,"",[2]对账明细接口!$I$1013),"")</f>
      </c>
      <c r="J1013" s="177">
        <f>IFERROR(IF([2]对账明细接口!$J$1013=0,"",[2]对账明细接口!$J$1013),"")</f>
      </c>
      <c r="K1013" s="177">
        <f>IFERROR(IF([2]对账明细接口!$K$1013=0,"",[2]对账明细接口!$K$1013),"")</f>
      </c>
      <c r="L1013" s="16">
        <f>IFERROR(IF([2]对账明细接口!$L$1013=0,"",[2]对账明细接口!$L$1013),"")</f>
      </c>
      <c r="M1013" s="16">
        <f>IFERROR(IF([2]对账明细接口!$M$1013=0,"",[2]对账明细接口!$M$1013),"")</f>
      </c>
      <c r="N1013" s="19">
        <f>IF($C1013="",0,1)</f>
        <v>0</v>
      </c>
      <c r="O1013" s="19">
        <f>N(O1012)+$N1013</f>
        <v>272</v>
      </c>
      <c r="S1013" s="20">
        <f>IFERROR(IF([2]对账明细接口!$N1013=0,"",[2]对账明细接口!$N1013),"")</f>
      </c>
      <c r="T1013" s="212">
        <f>IFERROR(IF([2]对账明细接口!$O1013=0,"",[2]对账明细接口!$O1013),"")</f>
      </c>
      <c r="U1013" s="212">
        <f>IFERROR(IF([2]对账明细接口!$P1013=0,"",[2]对账明细接口!$P1013),"")</f>
      </c>
      <c r="V1013" s="212">
        <f>IFERROR(IF([2]对账明细接口!$Q1013=0,"",[2]对账明细接口!$Q1013),"")</f>
      </c>
      <c r="W1013" s="20">
        <f>IFERROR(IF([2]对账明细接口!$R1013=0,"",[2]对账明细接口!$R1013),"")</f>
      </c>
      <c r="X1013" s="20">
        <f>IFERROR(IF([2]对账明细接口!$S1013=0,"",[2]对账明细接口!$S1013),"")</f>
      </c>
      <c r="Y1013" s="20">
        <f>""</f>
      </c>
      <c r="Z1013" s="20">
        <f>""</f>
      </c>
      <c r="AA1013" s="20">
        <f>""</f>
      </c>
      <c r="AB1013" s="20">
        <f>""</f>
      </c>
    </row>
    <row r="1014" s="127">
      <c r="A1014" s="14" t="n">
        <v>1014</v>
      </c>
      <c r="B1014" s="211">
        <f>IFERROR(IF([2]对账明细接口!$B$1014=0,"",[2]对账明细接口!$B$1014),"")</f>
      </c>
      <c r="C1014" s="16">
        <f>IFERROR(IF([2]对账明细接口!$C$1014=0,"",[2]对账明细接口!$C$1014),"")</f>
      </c>
      <c r="D1014" s="16">
        <f>IFERROR(IF([2]对账明细接口!$D$1014=0,"",[2]对账明细接口!$D$1014),"")</f>
      </c>
      <c r="E1014" s="16">
        <f>IFERROR(IF([2]对账明细接口!$E$1014=0,"",[2]对账明细接口!$E$1014),"")</f>
      </c>
      <c r="F1014" s="16">
        <f>IFERROR(IF([2]对账明细接口!$F$1014=0,"",[2]对账明细接口!$F$1014),"")</f>
      </c>
      <c r="G1014" s="16">
        <f>IFERROR(IF([2]对账明细接口!$G$1014=0,"",[2]对账明细接口!$G$1014),"")</f>
      </c>
      <c r="H1014" s="176">
        <f>IFERROR(IF([2]对账明细接口!$H$1014=0,"",[2]对账明细接口!$H$1014),"")</f>
      </c>
      <c r="I1014" s="16">
        <f>IFERROR(IF([2]对账明细接口!$I$1014=0,"",[2]对账明细接口!$I$1014),"")</f>
      </c>
      <c r="J1014" s="177">
        <f>IFERROR(IF([2]对账明细接口!$J$1014=0,"",[2]对账明细接口!$J$1014),"")</f>
      </c>
      <c r="K1014" s="177">
        <f>IFERROR(IF([2]对账明细接口!$K$1014=0,"",[2]对账明细接口!$K$1014),"")</f>
      </c>
      <c r="L1014" s="16">
        <f>IFERROR(IF([2]对账明细接口!$L$1014=0,"",[2]对账明细接口!$L$1014),"")</f>
      </c>
      <c r="M1014" s="16">
        <f>IFERROR(IF([2]对账明细接口!$M$1014=0,"",[2]对账明细接口!$M$1014),"")</f>
      </c>
      <c r="N1014" s="19">
        <f>IF($C1014="",0,1)</f>
        <v>0</v>
      </c>
      <c r="O1014" s="19">
        <f>N(O1013)+$N1014</f>
        <v>272</v>
      </c>
      <c r="S1014" s="20">
        <f>IFERROR(IF([2]对账明细接口!$N1014=0,"",[2]对账明细接口!$N1014),"")</f>
      </c>
      <c r="T1014" s="212">
        <f>IFERROR(IF([2]对账明细接口!$O1014=0,"",[2]对账明细接口!$O1014),"")</f>
      </c>
      <c r="U1014" s="212">
        <f>IFERROR(IF([2]对账明细接口!$P1014=0,"",[2]对账明细接口!$P1014),"")</f>
      </c>
      <c r="V1014" s="212">
        <f>IFERROR(IF([2]对账明细接口!$Q1014=0,"",[2]对账明细接口!$Q1014),"")</f>
      </c>
      <c r="W1014" s="20">
        <f>IFERROR(IF([2]对账明细接口!$R1014=0,"",[2]对账明细接口!$R1014),"")</f>
      </c>
      <c r="X1014" s="20">
        <f>IFERROR(IF([2]对账明细接口!$S1014=0,"",[2]对账明细接口!$S1014),"")</f>
      </c>
      <c r="Y1014" s="20">
        <f>""</f>
      </c>
      <c r="Z1014" s="20">
        <f>""</f>
      </c>
      <c r="AA1014" s="20">
        <f>""</f>
      </c>
      <c r="AB1014" s="20">
        <f>""</f>
      </c>
    </row>
    <row r="1015" s="127">
      <c r="A1015" s="14" t="n">
        <v>1015</v>
      </c>
      <c r="B1015" s="211">
        <f>IFERROR(IF([2]对账明细接口!$B$1015=0,"",[2]对账明细接口!$B$1015),"")</f>
      </c>
      <c r="C1015" s="16">
        <f>IFERROR(IF([2]对账明细接口!$C$1015=0,"",[2]对账明细接口!$C$1015),"")</f>
      </c>
      <c r="D1015" s="16">
        <f>IFERROR(IF([2]对账明细接口!$D$1015=0,"",[2]对账明细接口!$D$1015),"")</f>
      </c>
      <c r="E1015" s="16">
        <f>IFERROR(IF([2]对账明细接口!$E$1015=0,"",[2]对账明细接口!$E$1015),"")</f>
      </c>
      <c r="F1015" s="16">
        <f>IFERROR(IF([2]对账明细接口!$F$1015=0,"",[2]对账明细接口!$F$1015),"")</f>
      </c>
      <c r="G1015" s="16">
        <f>IFERROR(IF([2]对账明细接口!$G$1015=0,"",[2]对账明细接口!$G$1015),"")</f>
      </c>
      <c r="H1015" s="176">
        <f>IFERROR(IF([2]对账明细接口!$H$1015=0,"",[2]对账明细接口!$H$1015),"")</f>
      </c>
      <c r="I1015" s="16">
        <f>IFERROR(IF([2]对账明细接口!$I$1015=0,"",[2]对账明细接口!$I$1015),"")</f>
      </c>
      <c r="J1015" s="177">
        <f>IFERROR(IF([2]对账明细接口!$J$1015=0,"",[2]对账明细接口!$J$1015),"")</f>
      </c>
      <c r="K1015" s="177">
        <f>IFERROR(IF([2]对账明细接口!$K$1015=0,"",[2]对账明细接口!$K$1015),"")</f>
      </c>
      <c r="L1015" s="16">
        <f>IFERROR(IF([2]对账明细接口!$L$1015=0,"",[2]对账明细接口!$L$1015),"")</f>
      </c>
      <c r="M1015" s="16">
        <f>IFERROR(IF([2]对账明细接口!$M$1015=0,"",[2]对账明细接口!$M$1015),"")</f>
      </c>
      <c r="N1015" s="19">
        <f>IF($C1015="",0,1)</f>
        <v>0</v>
      </c>
      <c r="O1015" s="19">
        <f>N(O1014)+$N1015</f>
        <v>272</v>
      </c>
      <c r="S1015" s="20">
        <f>IFERROR(IF([2]对账明细接口!$N1015=0,"",[2]对账明细接口!$N1015),"")</f>
      </c>
      <c r="T1015" s="212">
        <f>IFERROR(IF([2]对账明细接口!$O1015=0,"",[2]对账明细接口!$O1015),"")</f>
      </c>
      <c r="U1015" s="212">
        <f>IFERROR(IF([2]对账明细接口!$P1015=0,"",[2]对账明细接口!$P1015),"")</f>
      </c>
      <c r="V1015" s="212">
        <f>IFERROR(IF([2]对账明细接口!$Q1015=0,"",[2]对账明细接口!$Q1015),"")</f>
      </c>
      <c r="W1015" s="20">
        <f>IFERROR(IF([2]对账明细接口!$R1015=0,"",[2]对账明细接口!$R1015),"")</f>
      </c>
      <c r="X1015" s="20">
        <f>IFERROR(IF([2]对账明细接口!$S1015=0,"",[2]对账明细接口!$S1015),"")</f>
      </c>
      <c r="Y1015" s="20">
        <f>""</f>
      </c>
      <c r="Z1015" s="20">
        <f>""</f>
      </c>
      <c r="AA1015" s="20">
        <f>""</f>
      </c>
      <c r="AB1015" s="20">
        <f>""</f>
      </c>
    </row>
    <row r="1016" s="127">
      <c r="A1016" s="14" t="n">
        <v>1016</v>
      </c>
      <c r="B1016" s="211">
        <f>IFERROR(IF([2]对账明细接口!$B$1016=0,"",[2]对账明细接口!$B$1016),"")</f>
      </c>
      <c r="C1016" s="16">
        <f>IFERROR(IF([2]对账明细接口!$C$1016=0,"",[2]对账明细接口!$C$1016),"")</f>
      </c>
      <c r="D1016" s="16">
        <f>IFERROR(IF([2]对账明细接口!$D$1016=0,"",[2]对账明细接口!$D$1016),"")</f>
      </c>
      <c r="E1016" s="16">
        <f>IFERROR(IF([2]对账明细接口!$E$1016=0,"",[2]对账明细接口!$E$1016),"")</f>
      </c>
      <c r="F1016" s="16">
        <f>IFERROR(IF([2]对账明细接口!$F$1016=0,"",[2]对账明细接口!$F$1016),"")</f>
      </c>
      <c r="G1016" s="16">
        <f>IFERROR(IF([2]对账明细接口!$G$1016=0,"",[2]对账明细接口!$G$1016),"")</f>
      </c>
      <c r="H1016" s="176">
        <f>IFERROR(IF([2]对账明细接口!$H$1016=0,"",[2]对账明细接口!$H$1016),"")</f>
      </c>
      <c r="I1016" s="16">
        <f>IFERROR(IF([2]对账明细接口!$I$1016=0,"",[2]对账明细接口!$I$1016),"")</f>
      </c>
      <c r="J1016" s="177">
        <f>IFERROR(IF([2]对账明细接口!$J$1016=0,"",[2]对账明细接口!$J$1016),"")</f>
      </c>
      <c r="K1016" s="177">
        <f>IFERROR(IF([2]对账明细接口!$K$1016=0,"",[2]对账明细接口!$K$1016),"")</f>
      </c>
      <c r="L1016" s="16">
        <f>IFERROR(IF([2]对账明细接口!$L$1016=0,"",[2]对账明细接口!$L$1016),"")</f>
      </c>
      <c r="M1016" s="16">
        <f>IFERROR(IF([2]对账明细接口!$M$1016=0,"",[2]对账明细接口!$M$1016),"")</f>
      </c>
      <c r="N1016" s="19">
        <f>IF($C1016="",0,1)</f>
        <v>0</v>
      </c>
      <c r="O1016" s="19">
        <f>N(O1015)+$N1016</f>
        <v>272</v>
      </c>
      <c r="S1016" s="20">
        <f>IFERROR(IF([2]对账明细接口!$N1016=0,"",[2]对账明细接口!$N1016),"")</f>
      </c>
      <c r="T1016" s="212">
        <f>IFERROR(IF([2]对账明细接口!$O1016=0,"",[2]对账明细接口!$O1016),"")</f>
      </c>
      <c r="U1016" s="212">
        <f>IFERROR(IF([2]对账明细接口!$P1016=0,"",[2]对账明细接口!$P1016),"")</f>
      </c>
      <c r="V1016" s="212">
        <f>IFERROR(IF([2]对账明细接口!$Q1016=0,"",[2]对账明细接口!$Q1016),"")</f>
      </c>
      <c r="W1016" s="20">
        <f>IFERROR(IF([2]对账明细接口!$R1016=0,"",[2]对账明细接口!$R1016),"")</f>
      </c>
      <c r="X1016" s="20">
        <f>IFERROR(IF([2]对账明细接口!$S1016=0,"",[2]对账明细接口!$S1016),"")</f>
      </c>
      <c r="Y1016" s="20">
        <f>""</f>
      </c>
      <c r="Z1016" s="20">
        <f>""</f>
      </c>
      <c r="AA1016" s="20">
        <f>""</f>
      </c>
      <c r="AB1016" s="20">
        <f>""</f>
      </c>
    </row>
    <row r="1017" s="127">
      <c r="A1017" s="14" t="n">
        <v>1017</v>
      </c>
      <c r="B1017" s="211">
        <f>IFERROR(IF([2]对账明细接口!$B$1017=0,"",[2]对账明细接口!$B$1017),"")</f>
      </c>
      <c r="C1017" s="16">
        <f>IFERROR(IF([2]对账明细接口!$C$1017=0,"",[2]对账明细接口!$C$1017),"")</f>
      </c>
      <c r="D1017" s="16">
        <f>IFERROR(IF([2]对账明细接口!$D$1017=0,"",[2]对账明细接口!$D$1017),"")</f>
      </c>
      <c r="E1017" s="16">
        <f>IFERROR(IF([2]对账明细接口!$E$1017=0,"",[2]对账明细接口!$E$1017),"")</f>
      </c>
      <c r="F1017" s="16">
        <f>IFERROR(IF([2]对账明细接口!$F$1017=0,"",[2]对账明细接口!$F$1017),"")</f>
      </c>
      <c r="G1017" s="16">
        <f>IFERROR(IF([2]对账明细接口!$G$1017=0,"",[2]对账明细接口!$G$1017),"")</f>
      </c>
      <c r="H1017" s="176">
        <f>IFERROR(IF([2]对账明细接口!$H$1017=0,"",[2]对账明细接口!$H$1017),"")</f>
      </c>
      <c r="I1017" s="16">
        <f>IFERROR(IF([2]对账明细接口!$I$1017=0,"",[2]对账明细接口!$I$1017),"")</f>
      </c>
      <c r="J1017" s="177">
        <f>IFERROR(IF([2]对账明细接口!$J$1017=0,"",[2]对账明细接口!$J$1017),"")</f>
      </c>
      <c r="K1017" s="177">
        <f>IFERROR(IF([2]对账明细接口!$K$1017=0,"",[2]对账明细接口!$K$1017),"")</f>
      </c>
      <c r="L1017" s="16">
        <f>IFERROR(IF([2]对账明细接口!$L$1017=0,"",[2]对账明细接口!$L$1017),"")</f>
      </c>
      <c r="M1017" s="16">
        <f>IFERROR(IF([2]对账明细接口!$M$1017=0,"",[2]对账明细接口!$M$1017),"")</f>
      </c>
      <c r="N1017" s="19">
        <f>IF($C1017="",0,1)</f>
        <v>0</v>
      </c>
      <c r="O1017" s="19">
        <f>N(O1016)+$N1017</f>
        <v>272</v>
      </c>
      <c r="S1017" s="20">
        <f>IFERROR(IF([2]对账明细接口!$N1017=0,"",[2]对账明细接口!$N1017),"")</f>
      </c>
      <c r="T1017" s="212">
        <f>IFERROR(IF([2]对账明细接口!$O1017=0,"",[2]对账明细接口!$O1017),"")</f>
      </c>
      <c r="U1017" s="212">
        <f>IFERROR(IF([2]对账明细接口!$P1017=0,"",[2]对账明细接口!$P1017),"")</f>
      </c>
      <c r="V1017" s="212">
        <f>IFERROR(IF([2]对账明细接口!$Q1017=0,"",[2]对账明细接口!$Q1017),"")</f>
      </c>
      <c r="W1017" s="20">
        <f>IFERROR(IF([2]对账明细接口!$R1017=0,"",[2]对账明细接口!$R1017),"")</f>
      </c>
      <c r="X1017" s="20">
        <f>IFERROR(IF([2]对账明细接口!$S1017=0,"",[2]对账明细接口!$S1017),"")</f>
      </c>
      <c r="Y1017" s="20">
        <f>""</f>
      </c>
      <c r="Z1017" s="20">
        <f>""</f>
      </c>
      <c r="AA1017" s="20">
        <f>""</f>
      </c>
      <c r="AB1017" s="20">
        <f>""</f>
      </c>
    </row>
    <row r="1018" s="127">
      <c r="A1018" s="14" t="n">
        <v>1018</v>
      </c>
      <c r="B1018" s="211">
        <f>IFERROR(IF([2]对账明细接口!$B$1018=0,"",[2]对账明细接口!$B$1018),"")</f>
      </c>
      <c r="C1018" s="16">
        <f>IFERROR(IF([2]对账明细接口!$C$1018=0,"",[2]对账明细接口!$C$1018),"")</f>
      </c>
      <c r="D1018" s="16">
        <f>IFERROR(IF([2]对账明细接口!$D$1018=0,"",[2]对账明细接口!$D$1018),"")</f>
      </c>
      <c r="E1018" s="16">
        <f>IFERROR(IF([2]对账明细接口!$E$1018=0,"",[2]对账明细接口!$E$1018),"")</f>
      </c>
      <c r="F1018" s="16">
        <f>IFERROR(IF([2]对账明细接口!$F$1018=0,"",[2]对账明细接口!$F$1018),"")</f>
      </c>
      <c r="G1018" s="16">
        <f>IFERROR(IF([2]对账明细接口!$G$1018=0,"",[2]对账明细接口!$G$1018),"")</f>
      </c>
      <c r="H1018" s="176">
        <f>IFERROR(IF([2]对账明细接口!$H$1018=0,"",[2]对账明细接口!$H$1018),"")</f>
      </c>
      <c r="I1018" s="16">
        <f>IFERROR(IF([2]对账明细接口!$I$1018=0,"",[2]对账明细接口!$I$1018),"")</f>
      </c>
      <c r="J1018" s="177">
        <f>IFERROR(IF([2]对账明细接口!$J$1018=0,"",[2]对账明细接口!$J$1018),"")</f>
      </c>
      <c r="K1018" s="177">
        <f>IFERROR(IF([2]对账明细接口!$K$1018=0,"",[2]对账明细接口!$K$1018),"")</f>
      </c>
      <c r="L1018" s="16">
        <f>IFERROR(IF([2]对账明细接口!$L$1018=0,"",[2]对账明细接口!$L$1018),"")</f>
      </c>
      <c r="M1018" s="16">
        <f>IFERROR(IF([2]对账明细接口!$M$1018=0,"",[2]对账明细接口!$M$1018),"")</f>
      </c>
      <c r="N1018" s="19">
        <f>IF($C1018="",0,1)</f>
        <v>0</v>
      </c>
      <c r="O1018" s="19">
        <f>N(O1017)+$N1018</f>
        <v>272</v>
      </c>
      <c r="S1018" s="20">
        <f>IFERROR(IF([2]对账明细接口!$N1018=0,"",[2]对账明细接口!$N1018),"")</f>
      </c>
      <c r="T1018" s="212">
        <f>IFERROR(IF([2]对账明细接口!$O1018=0,"",[2]对账明细接口!$O1018),"")</f>
      </c>
      <c r="U1018" s="212">
        <f>IFERROR(IF([2]对账明细接口!$P1018=0,"",[2]对账明细接口!$P1018),"")</f>
      </c>
      <c r="V1018" s="212">
        <f>IFERROR(IF([2]对账明细接口!$Q1018=0,"",[2]对账明细接口!$Q1018),"")</f>
      </c>
      <c r="W1018" s="20">
        <f>IFERROR(IF([2]对账明细接口!$R1018=0,"",[2]对账明细接口!$R1018),"")</f>
      </c>
      <c r="X1018" s="20">
        <f>IFERROR(IF([2]对账明细接口!$S1018=0,"",[2]对账明细接口!$S1018),"")</f>
      </c>
      <c r="Y1018" s="20">
        <f>""</f>
      </c>
      <c r="Z1018" s="20">
        <f>""</f>
      </c>
      <c r="AA1018" s="20">
        <f>""</f>
      </c>
      <c r="AB1018" s="20">
        <f>""</f>
      </c>
    </row>
    <row r="1019" s="127">
      <c r="A1019" s="14" t="n">
        <v>1019</v>
      </c>
      <c r="B1019" s="211">
        <f>IFERROR(IF([2]对账明细接口!$B$1019=0,"",[2]对账明细接口!$B$1019),"")</f>
      </c>
      <c r="C1019" s="16">
        <f>IFERROR(IF([2]对账明细接口!$C$1019=0,"",[2]对账明细接口!$C$1019),"")</f>
      </c>
      <c r="D1019" s="16">
        <f>IFERROR(IF([2]对账明细接口!$D$1019=0,"",[2]对账明细接口!$D$1019),"")</f>
      </c>
      <c r="E1019" s="16">
        <f>IFERROR(IF([2]对账明细接口!$E$1019=0,"",[2]对账明细接口!$E$1019),"")</f>
      </c>
      <c r="F1019" s="16">
        <f>IFERROR(IF([2]对账明细接口!$F$1019=0,"",[2]对账明细接口!$F$1019),"")</f>
      </c>
      <c r="G1019" s="16">
        <f>IFERROR(IF([2]对账明细接口!$G$1019=0,"",[2]对账明细接口!$G$1019),"")</f>
      </c>
      <c r="H1019" s="176">
        <f>IFERROR(IF([2]对账明细接口!$H$1019=0,"",[2]对账明细接口!$H$1019),"")</f>
      </c>
      <c r="I1019" s="16">
        <f>IFERROR(IF([2]对账明细接口!$I$1019=0,"",[2]对账明细接口!$I$1019),"")</f>
      </c>
      <c r="J1019" s="177">
        <f>IFERROR(IF([2]对账明细接口!$J$1019=0,"",[2]对账明细接口!$J$1019),"")</f>
      </c>
      <c r="K1019" s="177">
        <f>IFERROR(IF([2]对账明细接口!$K$1019=0,"",[2]对账明细接口!$K$1019),"")</f>
      </c>
      <c r="L1019" s="16">
        <f>IFERROR(IF([2]对账明细接口!$L$1019=0,"",[2]对账明细接口!$L$1019),"")</f>
      </c>
      <c r="M1019" s="16">
        <f>IFERROR(IF([2]对账明细接口!$M$1019=0,"",[2]对账明细接口!$M$1019),"")</f>
      </c>
      <c r="N1019" s="19">
        <f>IF($C1019="",0,1)</f>
        <v>0</v>
      </c>
      <c r="O1019" s="19">
        <f>N(O1018)+$N1019</f>
        <v>272</v>
      </c>
      <c r="S1019" s="20">
        <f>IFERROR(IF([2]对账明细接口!$N1019=0,"",[2]对账明细接口!$N1019),"")</f>
      </c>
      <c r="T1019" s="212">
        <f>IFERROR(IF([2]对账明细接口!$O1019=0,"",[2]对账明细接口!$O1019),"")</f>
      </c>
      <c r="U1019" s="212">
        <f>IFERROR(IF([2]对账明细接口!$P1019=0,"",[2]对账明细接口!$P1019),"")</f>
      </c>
      <c r="V1019" s="212">
        <f>IFERROR(IF([2]对账明细接口!$Q1019=0,"",[2]对账明细接口!$Q1019),"")</f>
      </c>
      <c r="W1019" s="20">
        <f>IFERROR(IF([2]对账明细接口!$R1019=0,"",[2]对账明细接口!$R1019),"")</f>
      </c>
      <c r="X1019" s="20">
        <f>IFERROR(IF([2]对账明细接口!$S1019=0,"",[2]对账明细接口!$S1019),"")</f>
      </c>
      <c r="Y1019" s="20">
        <f>""</f>
      </c>
      <c r="Z1019" s="20">
        <f>""</f>
      </c>
      <c r="AA1019" s="20">
        <f>""</f>
      </c>
      <c r="AB1019" s="20">
        <f>""</f>
      </c>
    </row>
    <row r="1020" s="127">
      <c r="A1020" s="14" t="n">
        <v>1020</v>
      </c>
      <c r="B1020" s="211">
        <f>IFERROR(IF([2]对账明细接口!$B$1020=0,"",[2]对账明细接口!$B$1020),"")</f>
      </c>
      <c r="C1020" s="16">
        <f>IFERROR(IF([2]对账明细接口!$C$1020=0,"",[2]对账明细接口!$C$1020),"")</f>
      </c>
      <c r="D1020" s="16">
        <f>IFERROR(IF([2]对账明细接口!$D$1020=0,"",[2]对账明细接口!$D$1020),"")</f>
      </c>
      <c r="E1020" s="16">
        <f>IFERROR(IF([2]对账明细接口!$E$1020=0,"",[2]对账明细接口!$E$1020),"")</f>
      </c>
      <c r="F1020" s="16">
        <f>IFERROR(IF([2]对账明细接口!$F$1020=0,"",[2]对账明细接口!$F$1020),"")</f>
      </c>
      <c r="G1020" s="16">
        <f>IFERROR(IF([2]对账明细接口!$G$1020=0,"",[2]对账明细接口!$G$1020),"")</f>
      </c>
      <c r="H1020" s="176">
        <f>IFERROR(IF([2]对账明细接口!$H$1020=0,"",[2]对账明细接口!$H$1020),"")</f>
      </c>
      <c r="I1020" s="16">
        <f>IFERROR(IF([2]对账明细接口!$I$1020=0,"",[2]对账明细接口!$I$1020),"")</f>
      </c>
      <c r="J1020" s="177">
        <f>IFERROR(IF([2]对账明细接口!$J$1020=0,"",[2]对账明细接口!$J$1020),"")</f>
      </c>
      <c r="K1020" s="177">
        <f>IFERROR(IF([2]对账明细接口!$K$1020=0,"",[2]对账明细接口!$K$1020),"")</f>
      </c>
      <c r="L1020" s="16">
        <f>IFERROR(IF([2]对账明细接口!$L$1020=0,"",[2]对账明细接口!$L$1020),"")</f>
      </c>
      <c r="M1020" s="16">
        <f>IFERROR(IF([2]对账明细接口!$M$1020=0,"",[2]对账明细接口!$M$1020),"")</f>
      </c>
      <c r="N1020" s="19">
        <f>IF($C1020="",0,1)</f>
        <v>0</v>
      </c>
      <c r="O1020" s="19">
        <f>N(O1019)+$N1020</f>
        <v>272</v>
      </c>
      <c r="S1020" s="20">
        <f>IFERROR(IF([2]对账明细接口!$N1020=0,"",[2]对账明细接口!$N1020),"")</f>
      </c>
      <c r="T1020" s="212">
        <f>IFERROR(IF([2]对账明细接口!$O1020=0,"",[2]对账明细接口!$O1020),"")</f>
      </c>
      <c r="U1020" s="212">
        <f>IFERROR(IF([2]对账明细接口!$P1020=0,"",[2]对账明细接口!$P1020),"")</f>
      </c>
      <c r="V1020" s="212">
        <f>IFERROR(IF([2]对账明细接口!$Q1020=0,"",[2]对账明细接口!$Q1020),"")</f>
      </c>
      <c r="W1020" s="20">
        <f>IFERROR(IF([2]对账明细接口!$R1020=0,"",[2]对账明细接口!$R1020),"")</f>
      </c>
      <c r="X1020" s="20">
        <f>IFERROR(IF([2]对账明细接口!$S1020=0,"",[2]对账明细接口!$S1020),"")</f>
      </c>
      <c r="Y1020" s="20">
        <f>""</f>
      </c>
      <c r="Z1020" s="20">
        <f>""</f>
      </c>
      <c r="AA1020" s="20">
        <f>""</f>
      </c>
      <c r="AB1020" s="20">
        <f>""</f>
      </c>
    </row>
    <row r="1021" s="127">
      <c r="A1021" s="14" t="n">
        <v>1021</v>
      </c>
      <c r="B1021" s="211">
        <f>IFERROR(IF([2]对账明细接口!$B$1021=0,"",[2]对账明细接口!$B$1021),"")</f>
      </c>
      <c r="C1021" s="16">
        <f>IFERROR(IF([2]对账明细接口!$C$1021=0,"",[2]对账明细接口!$C$1021),"")</f>
      </c>
      <c r="D1021" s="16">
        <f>IFERROR(IF([2]对账明细接口!$D$1021=0,"",[2]对账明细接口!$D$1021),"")</f>
      </c>
      <c r="E1021" s="16">
        <f>IFERROR(IF([2]对账明细接口!$E$1021=0,"",[2]对账明细接口!$E$1021),"")</f>
      </c>
      <c r="F1021" s="16">
        <f>IFERROR(IF([2]对账明细接口!$F$1021=0,"",[2]对账明细接口!$F$1021),"")</f>
      </c>
      <c r="G1021" s="16">
        <f>IFERROR(IF([2]对账明细接口!$G$1021=0,"",[2]对账明细接口!$G$1021),"")</f>
      </c>
      <c r="H1021" s="176">
        <f>IFERROR(IF([2]对账明细接口!$H$1021=0,"",[2]对账明细接口!$H$1021),"")</f>
      </c>
      <c r="I1021" s="16">
        <f>IFERROR(IF([2]对账明细接口!$I$1021=0,"",[2]对账明细接口!$I$1021),"")</f>
      </c>
      <c r="J1021" s="177">
        <f>IFERROR(IF([2]对账明细接口!$J$1021=0,"",[2]对账明细接口!$J$1021),"")</f>
      </c>
      <c r="K1021" s="177">
        <f>IFERROR(IF([2]对账明细接口!$K$1021=0,"",[2]对账明细接口!$K$1021),"")</f>
      </c>
      <c r="L1021" s="16">
        <f>IFERROR(IF([2]对账明细接口!$L$1021=0,"",[2]对账明细接口!$L$1021),"")</f>
      </c>
      <c r="M1021" s="16">
        <f>IFERROR(IF([2]对账明细接口!$M$1021=0,"",[2]对账明细接口!$M$1021),"")</f>
      </c>
      <c r="N1021" s="19">
        <f>IF($C1021="",0,1)</f>
        <v>0</v>
      </c>
      <c r="O1021" s="19">
        <f>N(O1020)+$N1021</f>
        <v>272</v>
      </c>
      <c r="S1021" s="20">
        <f>IFERROR(IF([2]对账明细接口!$N1021=0,"",[2]对账明细接口!$N1021),"")</f>
      </c>
      <c r="T1021" s="212">
        <f>IFERROR(IF([2]对账明细接口!$O1021=0,"",[2]对账明细接口!$O1021),"")</f>
      </c>
      <c r="U1021" s="212">
        <f>IFERROR(IF([2]对账明细接口!$P1021=0,"",[2]对账明细接口!$P1021),"")</f>
      </c>
      <c r="V1021" s="212">
        <f>IFERROR(IF([2]对账明细接口!$Q1021=0,"",[2]对账明细接口!$Q1021),"")</f>
      </c>
      <c r="W1021" s="20">
        <f>IFERROR(IF([2]对账明细接口!$R1021=0,"",[2]对账明细接口!$R1021),"")</f>
      </c>
      <c r="X1021" s="20">
        <f>IFERROR(IF([2]对账明细接口!$S1021=0,"",[2]对账明细接口!$S1021),"")</f>
      </c>
      <c r="Y1021" s="20">
        <f>""</f>
      </c>
      <c r="Z1021" s="20">
        <f>""</f>
      </c>
      <c r="AA1021" s="20">
        <f>""</f>
      </c>
      <c r="AB1021" s="20">
        <f>""</f>
      </c>
    </row>
    <row r="1022" s="127">
      <c r="A1022" s="14" t="n">
        <v>1022</v>
      </c>
      <c r="B1022" s="211">
        <f>IFERROR(IF([2]对账明细接口!$B$1022=0,"",[2]对账明细接口!$B$1022),"")</f>
      </c>
      <c r="C1022" s="16">
        <f>IFERROR(IF([2]对账明细接口!$C$1022=0,"",[2]对账明细接口!$C$1022),"")</f>
      </c>
      <c r="D1022" s="16">
        <f>IFERROR(IF([2]对账明细接口!$D$1022=0,"",[2]对账明细接口!$D$1022),"")</f>
      </c>
      <c r="E1022" s="16">
        <f>IFERROR(IF([2]对账明细接口!$E$1022=0,"",[2]对账明细接口!$E$1022),"")</f>
      </c>
      <c r="F1022" s="16">
        <f>IFERROR(IF([2]对账明细接口!$F$1022=0,"",[2]对账明细接口!$F$1022),"")</f>
      </c>
      <c r="G1022" s="16">
        <f>IFERROR(IF([2]对账明细接口!$G$1022=0,"",[2]对账明细接口!$G$1022),"")</f>
      </c>
      <c r="H1022" s="176">
        <f>IFERROR(IF([2]对账明细接口!$H$1022=0,"",[2]对账明细接口!$H$1022),"")</f>
      </c>
      <c r="I1022" s="16">
        <f>IFERROR(IF([2]对账明细接口!$I$1022=0,"",[2]对账明细接口!$I$1022),"")</f>
      </c>
      <c r="J1022" s="177">
        <f>IFERROR(IF([2]对账明细接口!$J$1022=0,"",[2]对账明细接口!$J$1022),"")</f>
      </c>
      <c r="K1022" s="177">
        <f>IFERROR(IF([2]对账明细接口!$K$1022=0,"",[2]对账明细接口!$K$1022),"")</f>
      </c>
      <c r="L1022" s="16">
        <f>IFERROR(IF([2]对账明细接口!$L$1022=0,"",[2]对账明细接口!$L$1022),"")</f>
      </c>
      <c r="M1022" s="16">
        <f>IFERROR(IF([2]对账明细接口!$M$1022=0,"",[2]对账明细接口!$M$1022),"")</f>
      </c>
      <c r="N1022" s="19">
        <f>IF($C1022="",0,1)</f>
        <v>0</v>
      </c>
      <c r="O1022" s="19">
        <f>N(O1021)+$N1022</f>
        <v>272</v>
      </c>
      <c r="S1022" s="20">
        <f>IFERROR(IF([2]对账明细接口!$N1022=0,"",[2]对账明细接口!$N1022),"")</f>
      </c>
      <c r="T1022" s="212">
        <f>IFERROR(IF([2]对账明细接口!$O1022=0,"",[2]对账明细接口!$O1022),"")</f>
      </c>
      <c r="U1022" s="212">
        <f>IFERROR(IF([2]对账明细接口!$P1022=0,"",[2]对账明细接口!$P1022),"")</f>
      </c>
      <c r="V1022" s="212">
        <f>IFERROR(IF([2]对账明细接口!$Q1022=0,"",[2]对账明细接口!$Q1022),"")</f>
      </c>
      <c r="W1022" s="20">
        <f>IFERROR(IF([2]对账明细接口!$R1022=0,"",[2]对账明细接口!$R1022),"")</f>
      </c>
      <c r="X1022" s="20">
        <f>IFERROR(IF([2]对账明细接口!$S1022=0,"",[2]对账明细接口!$S1022),"")</f>
      </c>
      <c r="Y1022" s="20">
        <f>""</f>
      </c>
      <c r="Z1022" s="20">
        <f>""</f>
      </c>
      <c r="AA1022" s="20">
        <f>""</f>
      </c>
      <c r="AB1022" s="20">
        <f>""</f>
      </c>
    </row>
    <row r="1023" s="127">
      <c r="A1023" s="14" t="n">
        <v>1023</v>
      </c>
      <c r="B1023" s="211">
        <f>IFERROR(IF([2]对账明细接口!$B$1023=0,"",[2]对账明细接口!$B$1023),"")</f>
      </c>
      <c r="C1023" s="16">
        <f>IFERROR(IF([2]对账明细接口!$C$1023=0,"",[2]对账明细接口!$C$1023),"")</f>
      </c>
      <c r="D1023" s="16">
        <f>IFERROR(IF([2]对账明细接口!$D$1023=0,"",[2]对账明细接口!$D$1023),"")</f>
      </c>
      <c r="E1023" s="16">
        <f>IFERROR(IF([2]对账明细接口!$E$1023=0,"",[2]对账明细接口!$E$1023),"")</f>
      </c>
      <c r="F1023" s="16">
        <f>IFERROR(IF([2]对账明细接口!$F$1023=0,"",[2]对账明细接口!$F$1023),"")</f>
      </c>
      <c r="G1023" s="16">
        <f>IFERROR(IF([2]对账明细接口!$G$1023=0,"",[2]对账明细接口!$G$1023),"")</f>
      </c>
      <c r="H1023" s="176">
        <f>IFERROR(IF([2]对账明细接口!$H$1023=0,"",[2]对账明细接口!$H$1023),"")</f>
      </c>
      <c r="I1023" s="16">
        <f>IFERROR(IF([2]对账明细接口!$I$1023=0,"",[2]对账明细接口!$I$1023),"")</f>
      </c>
      <c r="J1023" s="177">
        <f>IFERROR(IF([2]对账明细接口!$J$1023=0,"",[2]对账明细接口!$J$1023),"")</f>
      </c>
      <c r="K1023" s="177">
        <f>IFERROR(IF([2]对账明细接口!$K$1023=0,"",[2]对账明细接口!$K$1023),"")</f>
      </c>
      <c r="L1023" s="16">
        <f>IFERROR(IF([2]对账明细接口!$L$1023=0,"",[2]对账明细接口!$L$1023),"")</f>
      </c>
      <c r="M1023" s="16">
        <f>IFERROR(IF([2]对账明细接口!$M$1023=0,"",[2]对账明细接口!$M$1023),"")</f>
      </c>
      <c r="N1023" s="19">
        <f>IF($C1023="",0,1)</f>
        <v>0</v>
      </c>
      <c r="O1023" s="19">
        <f>N(O1022)+$N1023</f>
        <v>272</v>
      </c>
      <c r="S1023" s="20">
        <f>IFERROR(IF([2]对账明细接口!$N1023=0,"",[2]对账明细接口!$N1023),"")</f>
      </c>
      <c r="T1023" s="212">
        <f>IFERROR(IF([2]对账明细接口!$O1023=0,"",[2]对账明细接口!$O1023),"")</f>
      </c>
      <c r="U1023" s="212">
        <f>IFERROR(IF([2]对账明细接口!$P1023=0,"",[2]对账明细接口!$P1023),"")</f>
      </c>
      <c r="V1023" s="212">
        <f>IFERROR(IF([2]对账明细接口!$Q1023=0,"",[2]对账明细接口!$Q1023),"")</f>
      </c>
      <c r="W1023" s="20">
        <f>IFERROR(IF([2]对账明细接口!$R1023=0,"",[2]对账明细接口!$R1023),"")</f>
      </c>
      <c r="X1023" s="20">
        <f>IFERROR(IF([2]对账明细接口!$S1023=0,"",[2]对账明细接口!$S1023),"")</f>
      </c>
      <c r="Y1023" s="20">
        <f>""</f>
      </c>
      <c r="Z1023" s="20">
        <f>""</f>
      </c>
      <c r="AA1023" s="20">
        <f>""</f>
      </c>
      <c r="AB1023" s="20">
        <f>""</f>
      </c>
    </row>
    <row r="1024" s="127">
      <c r="A1024" s="14" t="n">
        <v>1024</v>
      </c>
      <c r="B1024" s="211">
        <f>IFERROR(IF([2]对账明细接口!$B$1024=0,"",[2]对账明细接口!$B$1024),"")</f>
      </c>
      <c r="C1024" s="16">
        <f>IFERROR(IF([2]对账明细接口!$C$1024=0,"",[2]对账明细接口!$C$1024),"")</f>
      </c>
      <c r="D1024" s="16">
        <f>IFERROR(IF([2]对账明细接口!$D$1024=0,"",[2]对账明细接口!$D$1024),"")</f>
      </c>
      <c r="E1024" s="16">
        <f>IFERROR(IF([2]对账明细接口!$E$1024=0,"",[2]对账明细接口!$E$1024),"")</f>
      </c>
      <c r="F1024" s="16">
        <f>IFERROR(IF([2]对账明细接口!$F$1024=0,"",[2]对账明细接口!$F$1024),"")</f>
      </c>
      <c r="G1024" s="16">
        <f>IFERROR(IF([2]对账明细接口!$G$1024=0,"",[2]对账明细接口!$G$1024),"")</f>
      </c>
      <c r="H1024" s="176">
        <f>IFERROR(IF([2]对账明细接口!$H$1024=0,"",[2]对账明细接口!$H$1024),"")</f>
      </c>
      <c r="I1024" s="16">
        <f>IFERROR(IF([2]对账明细接口!$I$1024=0,"",[2]对账明细接口!$I$1024),"")</f>
      </c>
      <c r="J1024" s="177">
        <f>IFERROR(IF([2]对账明细接口!$J$1024=0,"",[2]对账明细接口!$J$1024),"")</f>
      </c>
      <c r="K1024" s="177">
        <f>IFERROR(IF([2]对账明细接口!$K$1024=0,"",[2]对账明细接口!$K$1024),"")</f>
      </c>
      <c r="L1024" s="16">
        <f>IFERROR(IF([2]对账明细接口!$L$1024=0,"",[2]对账明细接口!$L$1024),"")</f>
      </c>
      <c r="M1024" s="16">
        <f>IFERROR(IF([2]对账明细接口!$M$1024=0,"",[2]对账明细接口!$M$1024),"")</f>
      </c>
      <c r="N1024" s="19">
        <f>IF($C1024="",0,1)</f>
        <v>0</v>
      </c>
      <c r="O1024" s="19">
        <f>N(O1023)+$N1024</f>
        <v>272</v>
      </c>
      <c r="S1024" s="20">
        <f>IFERROR(IF([2]对账明细接口!$N1024=0,"",[2]对账明细接口!$N1024),"")</f>
      </c>
      <c r="T1024" s="212">
        <f>IFERROR(IF([2]对账明细接口!$O1024=0,"",[2]对账明细接口!$O1024),"")</f>
      </c>
      <c r="U1024" s="212">
        <f>IFERROR(IF([2]对账明细接口!$P1024=0,"",[2]对账明细接口!$P1024),"")</f>
      </c>
      <c r="V1024" s="212">
        <f>IFERROR(IF([2]对账明细接口!$Q1024=0,"",[2]对账明细接口!$Q1024),"")</f>
      </c>
      <c r="W1024" s="20">
        <f>IFERROR(IF([2]对账明细接口!$R1024=0,"",[2]对账明细接口!$R1024),"")</f>
      </c>
      <c r="X1024" s="20">
        <f>IFERROR(IF([2]对账明细接口!$S1024=0,"",[2]对账明细接口!$S1024),"")</f>
      </c>
      <c r="Y1024" s="20">
        <f>""</f>
      </c>
      <c r="Z1024" s="20">
        <f>""</f>
      </c>
      <c r="AA1024" s="20">
        <f>""</f>
      </c>
      <c r="AB1024" s="20">
        <f>""</f>
      </c>
    </row>
    <row r="1025" s="127">
      <c r="A1025" s="14" t="n">
        <v>1025</v>
      </c>
      <c r="B1025" s="211">
        <f>IFERROR(IF([2]对账明细接口!$B$1025=0,"",[2]对账明细接口!$B$1025),"")</f>
      </c>
      <c r="C1025" s="16">
        <f>IFERROR(IF([2]对账明细接口!$C$1025=0,"",[2]对账明细接口!$C$1025),"")</f>
      </c>
      <c r="D1025" s="16">
        <f>IFERROR(IF([2]对账明细接口!$D$1025=0,"",[2]对账明细接口!$D$1025),"")</f>
      </c>
      <c r="E1025" s="16">
        <f>IFERROR(IF([2]对账明细接口!$E$1025=0,"",[2]对账明细接口!$E$1025),"")</f>
      </c>
      <c r="F1025" s="16">
        <f>IFERROR(IF([2]对账明细接口!$F$1025=0,"",[2]对账明细接口!$F$1025),"")</f>
      </c>
      <c r="G1025" s="16">
        <f>IFERROR(IF([2]对账明细接口!$G$1025=0,"",[2]对账明细接口!$G$1025),"")</f>
      </c>
      <c r="H1025" s="176">
        <f>IFERROR(IF([2]对账明细接口!$H$1025=0,"",[2]对账明细接口!$H$1025),"")</f>
      </c>
      <c r="I1025" s="16">
        <f>IFERROR(IF([2]对账明细接口!$I$1025=0,"",[2]对账明细接口!$I$1025),"")</f>
      </c>
      <c r="J1025" s="177">
        <f>IFERROR(IF([2]对账明细接口!$J$1025=0,"",[2]对账明细接口!$J$1025),"")</f>
      </c>
      <c r="K1025" s="177">
        <f>IFERROR(IF([2]对账明细接口!$K$1025=0,"",[2]对账明细接口!$K$1025),"")</f>
      </c>
      <c r="L1025" s="16">
        <f>IFERROR(IF([2]对账明细接口!$L$1025=0,"",[2]对账明细接口!$L$1025),"")</f>
      </c>
      <c r="M1025" s="16">
        <f>IFERROR(IF([2]对账明细接口!$M$1025=0,"",[2]对账明细接口!$M$1025),"")</f>
      </c>
      <c r="N1025" s="19">
        <f>IF($C1025="",0,1)</f>
        <v>0</v>
      </c>
      <c r="O1025" s="19">
        <f>N(O1024)+$N1025</f>
        <v>272</v>
      </c>
      <c r="S1025" s="20">
        <f>IFERROR(IF([2]对账明细接口!$N1025=0,"",[2]对账明细接口!$N1025),"")</f>
      </c>
      <c r="T1025" s="212">
        <f>IFERROR(IF([2]对账明细接口!$O1025=0,"",[2]对账明细接口!$O1025),"")</f>
      </c>
      <c r="U1025" s="212">
        <f>IFERROR(IF([2]对账明细接口!$P1025=0,"",[2]对账明细接口!$P1025),"")</f>
      </c>
      <c r="V1025" s="212">
        <f>IFERROR(IF([2]对账明细接口!$Q1025=0,"",[2]对账明细接口!$Q1025),"")</f>
      </c>
      <c r="W1025" s="20">
        <f>IFERROR(IF([2]对账明细接口!$R1025=0,"",[2]对账明细接口!$R1025),"")</f>
      </c>
      <c r="X1025" s="20">
        <f>IFERROR(IF([2]对账明细接口!$S1025=0,"",[2]对账明细接口!$S1025),"")</f>
      </c>
      <c r="Y1025" s="20">
        <f>""</f>
      </c>
      <c r="Z1025" s="20">
        <f>""</f>
      </c>
      <c r="AA1025" s="20">
        <f>""</f>
      </c>
      <c r="AB1025" s="20">
        <f>""</f>
      </c>
    </row>
    <row r="1026" s="127">
      <c r="A1026" s="14" t="n">
        <v>1026</v>
      </c>
      <c r="B1026" s="211">
        <f>IFERROR(IF([2]对账明细接口!$B$1026=0,"",[2]对账明细接口!$B$1026),"")</f>
      </c>
      <c r="C1026" s="16">
        <f>IFERROR(IF([2]对账明细接口!$C$1026=0,"",[2]对账明细接口!$C$1026),"")</f>
      </c>
      <c r="D1026" s="16">
        <f>IFERROR(IF([2]对账明细接口!$D$1026=0,"",[2]对账明细接口!$D$1026),"")</f>
      </c>
      <c r="E1026" s="16">
        <f>IFERROR(IF([2]对账明细接口!$E$1026=0,"",[2]对账明细接口!$E$1026),"")</f>
      </c>
      <c r="F1026" s="16">
        <f>IFERROR(IF([2]对账明细接口!$F$1026=0,"",[2]对账明细接口!$F$1026),"")</f>
      </c>
      <c r="G1026" s="16">
        <f>IFERROR(IF([2]对账明细接口!$G$1026=0,"",[2]对账明细接口!$G$1026),"")</f>
      </c>
      <c r="H1026" s="176">
        <f>IFERROR(IF([2]对账明细接口!$H$1026=0,"",[2]对账明细接口!$H$1026),"")</f>
      </c>
      <c r="I1026" s="16">
        <f>IFERROR(IF([2]对账明细接口!$I$1026=0,"",[2]对账明细接口!$I$1026),"")</f>
      </c>
      <c r="J1026" s="177">
        <f>IFERROR(IF([2]对账明细接口!$J$1026=0,"",[2]对账明细接口!$J$1026),"")</f>
      </c>
      <c r="K1026" s="177">
        <f>IFERROR(IF([2]对账明细接口!$K$1026=0,"",[2]对账明细接口!$K$1026),"")</f>
      </c>
      <c r="L1026" s="16">
        <f>IFERROR(IF([2]对账明细接口!$L$1026=0,"",[2]对账明细接口!$L$1026),"")</f>
      </c>
      <c r="M1026" s="16">
        <f>IFERROR(IF([2]对账明细接口!$M$1026=0,"",[2]对账明细接口!$M$1026),"")</f>
      </c>
      <c r="N1026" s="19">
        <f>IF($C1026="",0,1)</f>
        <v>0</v>
      </c>
      <c r="O1026" s="19">
        <f>N(O1025)+$N1026</f>
        <v>272</v>
      </c>
      <c r="S1026" s="20">
        <f>IFERROR(IF([2]对账明细接口!$N1026=0,"",[2]对账明细接口!$N1026),"")</f>
      </c>
      <c r="T1026" s="212">
        <f>IFERROR(IF([2]对账明细接口!$O1026=0,"",[2]对账明细接口!$O1026),"")</f>
      </c>
      <c r="U1026" s="212">
        <f>IFERROR(IF([2]对账明细接口!$P1026=0,"",[2]对账明细接口!$P1026),"")</f>
      </c>
      <c r="V1026" s="212">
        <f>IFERROR(IF([2]对账明细接口!$Q1026=0,"",[2]对账明细接口!$Q1026),"")</f>
      </c>
      <c r="W1026" s="20">
        <f>IFERROR(IF([2]对账明细接口!$R1026=0,"",[2]对账明细接口!$R1026),"")</f>
      </c>
      <c r="X1026" s="20">
        <f>IFERROR(IF([2]对账明细接口!$S1026=0,"",[2]对账明细接口!$S1026),"")</f>
      </c>
      <c r="Y1026" s="20">
        <f>""</f>
      </c>
      <c r="Z1026" s="20">
        <f>""</f>
      </c>
      <c r="AA1026" s="20">
        <f>""</f>
      </c>
      <c r="AB1026" s="20">
        <f>""</f>
      </c>
    </row>
    <row r="1027" s="127">
      <c r="A1027" s="14" t="n">
        <v>1027</v>
      </c>
      <c r="B1027" s="211">
        <f>IFERROR(IF([2]对账明细接口!$B$1027=0,"",[2]对账明细接口!$B$1027),"")</f>
      </c>
      <c r="C1027" s="16">
        <f>IFERROR(IF([2]对账明细接口!$C$1027=0,"",[2]对账明细接口!$C$1027),"")</f>
      </c>
      <c r="D1027" s="16">
        <f>IFERROR(IF([2]对账明细接口!$D$1027=0,"",[2]对账明细接口!$D$1027),"")</f>
      </c>
      <c r="E1027" s="16">
        <f>IFERROR(IF([2]对账明细接口!$E$1027=0,"",[2]对账明细接口!$E$1027),"")</f>
      </c>
      <c r="F1027" s="16">
        <f>IFERROR(IF([2]对账明细接口!$F$1027=0,"",[2]对账明细接口!$F$1027),"")</f>
      </c>
      <c r="G1027" s="16">
        <f>IFERROR(IF([2]对账明细接口!$G$1027=0,"",[2]对账明细接口!$G$1027),"")</f>
      </c>
      <c r="H1027" s="176">
        <f>IFERROR(IF([2]对账明细接口!$H$1027=0,"",[2]对账明细接口!$H$1027),"")</f>
      </c>
      <c r="I1027" s="16">
        <f>IFERROR(IF([2]对账明细接口!$I$1027=0,"",[2]对账明细接口!$I$1027),"")</f>
      </c>
      <c r="J1027" s="177">
        <f>IFERROR(IF([2]对账明细接口!$J$1027=0,"",[2]对账明细接口!$J$1027),"")</f>
      </c>
      <c r="K1027" s="177">
        <f>IFERROR(IF([2]对账明细接口!$K$1027=0,"",[2]对账明细接口!$K$1027),"")</f>
      </c>
      <c r="L1027" s="16">
        <f>IFERROR(IF([2]对账明细接口!$L$1027=0,"",[2]对账明细接口!$L$1027),"")</f>
      </c>
      <c r="M1027" s="16">
        <f>IFERROR(IF([2]对账明细接口!$M$1027=0,"",[2]对账明细接口!$M$1027),"")</f>
      </c>
      <c r="N1027" s="19">
        <f>IF($C1027="",0,1)</f>
        <v>0</v>
      </c>
      <c r="O1027" s="19">
        <f>N(O1026)+$N1027</f>
        <v>272</v>
      </c>
      <c r="S1027" s="20">
        <f>IFERROR(IF([2]对账明细接口!$N1027=0,"",[2]对账明细接口!$N1027),"")</f>
      </c>
      <c r="T1027" s="212">
        <f>IFERROR(IF([2]对账明细接口!$O1027=0,"",[2]对账明细接口!$O1027),"")</f>
      </c>
      <c r="U1027" s="212">
        <f>IFERROR(IF([2]对账明细接口!$P1027=0,"",[2]对账明细接口!$P1027),"")</f>
      </c>
      <c r="V1027" s="212">
        <f>IFERROR(IF([2]对账明细接口!$Q1027=0,"",[2]对账明细接口!$Q1027),"")</f>
      </c>
      <c r="W1027" s="20">
        <f>IFERROR(IF([2]对账明细接口!$R1027=0,"",[2]对账明细接口!$R1027),"")</f>
      </c>
      <c r="X1027" s="20">
        <f>IFERROR(IF([2]对账明细接口!$S1027=0,"",[2]对账明细接口!$S1027),"")</f>
      </c>
      <c r="Y1027" s="20">
        <f>""</f>
      </c>
      <c r="Z1027" s="20">
        <f>""</f>
      </c>
      <c r="AA1027" s="20">
        <f>""</f>
      </c>
      <c r="AB1027" s="20">
        <f>""</f>
      </c>
    </row>
    <row r="1028" s="127">
      <c r="A1028" s="14" t="n">
        <v>1028</v>
      </c>
      <c r="B1028" s="211">
        <f>IFERROR(IF([2]对账明细接口!$B$1028=0,"",[2]对账明细接口!$B$1028),"")</f>
      </c>
      <c r="C1028" s="16">
        <f>IFERROR(IF([2]对账明细接口!$C$1028=0,"",[2]对账明细接口!$C$1028),"")</f>
      </c>
      <c r="D1028" s="16">
        <f>IFERROR(IF([2]对账明细接口!$D$1028=0,"",[2]对账明细接口!$D$1028),"")</f>
      </c>
      <c r="E1028" s="16">
        <f>IFERROR(IF([2]对账明细接口!$E$1028=0,"",[2]对账明细接口!$E$1028),"")</f>
      </c>
      <c r="F1028" s="16">
        <f>IFERROR(IF([2]对账明细接口!$F$1028=0,"",[2]对账明细接口!$F$1028),"")</f>
      </c>
      <c r="G1028" s="16">
        <f>IFERROR(IF([2]对账明细接口!$G$1028=0,"",[2]对账明细接口!$G$1028),"")</f>
      </c>
      <c r="H1028" s="176">
        <f>IFERROR(IF([2]对账明细接口!$H$1028=0,"",[2]对账明细接口!$H$1028),"")</f>
      </c>
      <c r="I1028" s="16">
        <f>IFERROR(IF([2]对账明细接口!$I$1028=0,"",[2]对账明细接口!$I$1028),"")</f>
      </c>
      <c r="J1028" s="177">
        <f>IFERROR(IF([2]对账明细接口!$J$1028=0,"",[2]对账明细接口!$J$1028),"")</f>
      </c>
      <c r="K1028" s="177">
        <f>IFERROR(IF([2]对账明细接口!$K$1028=0,"",[2]对账明细接口!$K$1028),"")</f>
      </c>
      <c r="L1028" s="16">
        <f>IFERROR(IF([2]对账明细接口!$L$1028=0,"",[2]对账明细接口!$L$1028),"")</f>
      </c>
      <c r="M1028" s="16">
        <f>IFERROR(IF([2]对账明细接口!$M$1028=0,"",[2]对账明细接口!$M$1028),"")</f>
      </c>
      <c r="N1028" s="19">
        <f>IF($C1028="",0,1)</f>
        <v>0</v>
      </c>
      <c r="O1028" s="19">
        <f>N(O1027)+$N1028</f>
        <v>272</v>
      </c>
      <c r="S1028" s="20">
        <f>IFERROR(IF([2]对账明细接口!$N1028=0,"",[2]对账明细接口!$N1028),"")</f>
      </c>
      <c r="T1028" s="212">
        <f>IFERROR(IF([2]对账明细接口!$O1028=0,"",[2]对账明细接口!$O1028),"")</f>
      </c>
      <c r="U1028" s="212">
        <f>IFERROR(IF([2]对账明细接口!$P1028=0,"",[2]对账明细接口!$P1028),"")</f>
      </c>
      <c r="V1028" s="212">
        <f>IFERROR(IF([2]对账明细接口!$Q1028=0,"",[2]对账明细接口!$Q1028),"")</f>
      </c>
      <c r="W1028" s="20">
        <f>IFERROR(IF([2]对账明细接口!$R1028=0,"",[2]对账明细接口!$R1028),"")</f>
      </c>
      <c r="X1028" s="20">
        <f>IFERROR(IF([2]对账明细接口!$S1028=0,"",[2]对账明细接口!$S1028),"")</f>
      </c>
      <c r="Y1028" s="20">
        <f>""</f>
      </c>
      <c r="Z1028" s="20">
        <f>""</f>
      </c>
      <c r="AA1028" s="20">
        <f>""</f>
      </c>
      <c r="AB1028" s="20">
        <f>""</f>
      </c>
    </row>
    <row r="1029" s="127">
      <c r="A1029" s="14" t="n">
        <v>1029</v>
      </c>
      <c r="B1029" s="211">
        <f>IFERROR(IF([2]对账明细接口!$B$1029=0,"",[2]对账明细接口!$B$1029),"")</f>
      </c>
      <c r="C1029" s="16">
        <f>IFERROR(IF([2]对账明细接口!$C$1029=0,"",[2]对账明细接口!$C$1029),"")</f>
      </c>
      <c r="D1029" s="16">
        <f>IFERROR(IF([2]对账明细接口!$D$1029=0,"",[2]对账明细接口!$D$1029),"")</f>
      </c>
      <c r="E1029" s="16">
        <f>IFERROR(IF([2]对账明细接口!$E$1029=0,"",[2]对账明细接口!$E$1029),"")</f>
      </c>
      <c r="F1029" s="16">
        <f>IFERROR(IF([2]对账明细接口!$F$1029=0,"",[2]对账明细接口!$F$1029),"")</f>
      </c>
      <c r="G1029" s="16">
        <f>IFERROR(IF([2]对账明细接口!$G$1029=0,"",[2]对账明细接口!$G$1029),"")</f>
      </c>
      <c r="H1029" s="176">
        <f>IFERROR(IF([2]对账明细接口!$H$1029=0,"",[2]对账明细接口!$H$1029),"")</f>
      </c>
      <c r="I1029" s="16">
        <f>IFERROR(IF([2]对账明细接口!$I$1029=0,"",[2]对账明细接口!$I$1029),"")</f>
      </c>
      <c r="J1029" s="177">
        <f>IFERROR(IF([2]对账明细接口!$J$1029=0,"",[2]对账明细接口!$J$1029),"")</f>
      </c>
      <c r="K1029" s="177">
        <f>IFERROR(IF([2]对账明细接口!$K$1029=0,"",[2]对账明细接口!$K$1029),"")</f>
      </c>
      <c r="L1029" s="16">
        <f>IFERROR(IF([2]对账明细接口!$L$1029=0,"",[2]对账明细接口!$L$1029),"")</f>
      </c>
      <c r="M1029" s="16">
        <f>IFERROR(IF([2]对账明细接口!$M$1029=0,"",[2]对账明细接口!$M$1029),"")</f>
      </c>
      <c r="N1029" s="19">
        <f>IF($C1029="",0,1)</f>
        <v>0</v>
      </c>
      <c r="O1029" s="19">
        <f>N(O1028)+$N1029</f>
        <v>272</v>
      </c>
      <c r="S1029" s="20">
        <f>IFERROR(IF([2]对账明细接口!$N1029=0,"",[2]对账明细接口!$N1029),"")</f>
      </c>
      <c r="T1029" s="212">
        <f>IFERROR(IF([2]对账明细接口!$O1029=0,"",[2]对账明细接口!$O1029),"")</f>
      </c>
      <c r="U1029" s="212">
        <f>IFERROR(IF([2]对账明细接口!$P1029=0,"",[2]对账明细接口!$P1029),"")</f>
      </c>
      <c r="V1029" s="212">
        <f>IFERROR(IF([2]对账明细接口!$Q1029=0,"",[2]对账明细接口!$Q1029),"")</f>
      </c>
      <c r="W1029" s="20">
        <f>IFERROR(IF([2]对账明细接口!$R1029=0,"",[2]对账明细接口!$R1029),"")</f>
      </c>
      <c r="X1029" s="20">
        <f>IFERROR(IF([2]对账明细接口!$S1029=0,"",[2]对账明细接口!$S1029),"")</f>
      </c>
      <c r="Y1029" s="20">
        <f>""</f>
      </c>
      <c r="Z1029" s="20">
        <f>""</f>
      </c>
      <c r="AA1029" s="20">
        <f>""</f>
      </c>
      <c r="AB1029" s="20">
        <f>""</f>
      </c>
    </row>
    <row r="1030" s="127">
      <c r="A1030" s="14" t="n">
        <v>1030</v>
      </c>
      <c r="B1030" s="211">
        <f>IFERROR(IF([2]对账明细接口!$B$1030=0,"",[2]对账明细接口!$B$1030),"")</f>
      </c>
      <c r="C1030" s="16">
        <f>IFERROR(IF([2]对账明细接口!$C$1030=0,"",[2]对账明细接口!$C$1030),"")</f>
      </c>
      <c r="D1030" s="16">
        <f>IFERROR(IF([2]对账明细接口!$D$1030=0,"",[2]对账明细接口!$D$1030),"")</f>
      </c>
      <c r="E1030" s="16">
        <f>IFERROR(IF([2]对账明细接口!$E$1030=0,"",[2]对账明细接口!$E$1030),"")</f>
      </c>
      <c r="F1030" s="16">
        <f>IFERROR(IF([2]对账明细接口!$F$1030=0,"",[2]对账明细接口!$F$1030),"")</f>
      </c>
      <c r="G1030" s="16">
        <f>IFERROR(IF([2]对账明细接口!$G$1030=0,"",[2]对账明细接口!$G$1030),"")</f>
      </c>
      <c r="H1030" s="176">
        <f>IFERROR(IF([2]对账明细接口!$H$1030=0,"",[2]对账明细接口!$H$1030),"")</f>
      </c>
      <c r="I1030" s="16">
        <f>IFERROR(IF([2]对账明细接口!$I$1030=0,"",[2]对账明细接口!$I$1030),"")</f>
      </c>
      <c r="J1030" s="177">
        <f>IFERROR(IF([2]对账明细接口!$J$1030=0,"",[2]对账明细接口!$J$1030),"")</f>
      </c>
      <c r="K1030" s="177">
        <f>IFERROR(IF([2]对账明细接口!$K$1030=0,"",[2]对账明细接口!$K$1030),"")</f>
      </c>
      <c r="L1030" s="16">
        <f>IFERROR(IF([2]对账明细接口!$L$1030=0,"",[2]对账明细接口!$L$1030),"")</f>
      </c>
      <c r="M1030" s="16">
        <f>IFERROR(IF([2]对账明细接口!$M$1030=0,"",[2]对账明细接口!$M$1030),"")</f>
      </c>
      <c r="N1030" s="19">
        <f>IF($C1030="",0,1)</f>
        <v>0</v>
      </c>
      <c r="O1030" s="19">
        <f>N(O1029)+$N1030</f>
        <v>272</v>
      </c>
      <c r="S1030" s="20">
        <f>IFERROR(IF([2]对账明细接口!$N1030=0,"",[2]对账明细接口!$N1030),"")</f>
      </c>
      <c r="T1030" s="212">
        <f>IFERROR(IF([2]对账明细接口!$O1030=0,"",[2]对账明细接口!$O1030),"")</f>
      </c>
      <c r="U1030" s="212">
        <f>IFERROR(IF([2]对账明细接口!$P1030=0,"",[2]对账明细接口!$P1030),"")</f>
      </c>
      <c r="V1030" s="212">
        <f>IFERROR(IF([2]对账明细接口!$Q1030=0,"",[2]对账明细接口!$Q1030),"")</f>
      </c>
      <c r="W1030" s="20">
        <f>IFERROR(IF([2]对账明细接口!$R1030=0,"",[2]对账明细接口!$R1030),"")</f>
      </c>
      <c r="X1030" s="20">
        <f>IFERROR(IF([2]对账明细接口!$S1030=0,"",[2]对账明细接口!$S1030),"")</f>
      </c>
      <c r="Y1030" s="20">
        <f>""</f>
      </c>
      <c r="Z1030" s="20">
        <f>""</f>
      </c>
      <c r="AA1030" s="20">
        <f>""</f>
      </c>
      <c r="AB1030" s="20">
        <f>""</f>
      </c>
    </row>
    <row r="1031" s="127">
      <c r="A1031" s="14" t="n">
        <v>1031</v>
      </c>
      <c r="B1031" s="211">
        <f>IFERROR(IF([2]对账明细接口!$B$1031=0,"",[2]对账明细接口!$B$1031),"")</f>
      </c>
      <c r="C1031" s="16">
        <f>IFERROR(IF([2]对账明细接口!$C$1031=0,"",[2]对账明细接口!$C$1031),"")</f>
      </c>
      <c r="D1031" s="16">
        <f>IFERROR(IF([2]对账明细接口!$D$1031=0,"",[2]对账明细接口!$D$1031),"")</f>
      </c>
      <c r="E1031" s="16">
        <f>IFERROR(IF([2]对账明细接口!$E$1031=0,"",[2]对账明细接口!$E$1031),"")</f>
      </c>
      <c r="F1031" s="16">
        <f>IFERROR(IF([2]对账明细接口!$F$1031=0,"",[2]对账明细接口!$F$1031),"")</f>
      </c>
      <c r="G1031" s="16">
        <f>IFERROR(IF([2]对账明细接口!$G$1031=0,"",[2]对账明细接口!$G$1031),"")</f>
      </c>
      <c r="H1031" s="176">
        <f>IFERROR(IF([2]对账明细接口!$H$1031=0,"",[2]对账明细接口!$H$1031),"")</f>
      </c>
      <c r="I1031" s="16">
        <f>IFERROR(IF([2]对账明细接口!$I$1031=0,"",[2]对账明细接口!$I$1031),"")</f>
      </c>
      <c r="J1031" s="177">
        <f>IFERROR(IF([2]对账明细接口!$J$1031=0,"",[2]对账明细接口!$J$1031),"")</f>
      </c>
      <c r="K1031" s="177">
        <f>IFERROR(IF([2]对账明细接口!$K$1031=0,"",[2]对账明细接口!$K$1031),"")</f>
      </c>
      <c r="L1031" s="16">
        <f>IFERROR(IF([2]对账明细接口!$L$1031=0,"",[2]对账明细接口!$L$1031),"")</f>
      </c>
      <c r="M1031" s="16">
        <f>IFERROR(IF([2]对账明细接口!$M$1031=0,"",[2]对账明细接口!$M$1031),"")</f>
      </c>
      <c r="N1031" s="19">
        <f>IF($C1031="",0,1)</f>
        <v>0</v>
      </c>
      <c r="O1031" s="19">
        <f>N(O1030)+$N1031</f>
        <v>272</v>
      </c>
      <c r="S1031" s="20">
        <f>IFERROR(IF([2]对账明细接口!$N1031=0,"",[2]对账明细接口!$N1031),"")</f>
      </c>
      <c r="T1031" s="212">
        <f>IFERROR(IF([2]对账明细接口!$O1031=0,"",[2]对账明细接口!$O1031),"")</f>
      </c>
      <c r="U1031" s="212">
        <f>IFERROR(IF([2]对账明细接口!$P1031=0,"",[2]对账明细接口!$P1031),"")</f>
      </c>
      <c r="V1031" s="212">
        <f>IFERROR(IF([2]对账明细接口!$Q1031=0,"",[2]对账明细接口!$Q1031),"")</f>
      </c>
      <c r="W1031" s="20">
        <f>IFERROR(IF([2]对账明细接口!$R1031=0,"",[2]对账明细接口!$R1031),"")</f>
      </c>
      <c r="X1031" s="20">
        <f>IFERROR(IF([2]对账明细接口!$S1031=0,"",[2]对账明细接口!$S1031),"")</f>
      </c>
      <c r="Y1031" s="20">
        <f>""</f>
      </c>
      <c r="Z1031" s="20">
        <f>""</f>
      </c>
      <c r="AA1031" s="20">
        <f>""</f>
      </c>
      <c r="AB1031" s="20">
        <f>""</f>
      </c>
    </row>
    <row r="1032" s="127">
      <c r="A1032" s="14" t="n">
        <v>1032</v>
      </c>
      <c r="B1032" s="211">
        <f>IFERROR(IF([2]对账明细接口!$B$1032=0,"",[2]对账明细接口!$B$1032),"")</f>
      </c>
      <c r="C1032" s="16">
        <f>IFERROR(IF([2]对账明细接口!$C$1032=0,"",[2]对账明细接口!$C$1032),"")</f>
      </c>
      <c r="D1032" s="16">
        <f>IFERROR(IF([2]对账明细接口!$D$1032=0,"",[2]对账明细接口!$D$1032),"")</f>
      </c>
      <c r="E1032" s="16">
        <f>IFERROR(IF([2]对账明细接口!$E$1032=0,"",[2]对账明细接口!$E$1032),"")</f>
      </c>
      <c r="F1032" s="16">
        <f>IFERROR(IF([2]对账明细接口!$F$1032=0,"",[2]对账明细接口!$F$1032),"")</f>
      </c>
      <c r="G1032" s="16">
        <f>IFERROR(IF([2]对账明细接口!$G$1032=0,"",[2]对账明细接口!$G$1032),"")</f>
      </c>
      <c r="H1032" s="176">
        <f>IFERROR(IF([2]对账明细接口!$H$1032=0,"",[2]对账明细接口!$H$1032),"")</f>
      </c>
      <c r="I1032" s="16">
        <f>IFERROR(IF([2]对账明细接口!$I$1032=0,"",[2]对账明细接口!$I$1032),"")</f>
      </c>
      <c r="J1032" s="177">
        <f>IFERROR(IF([2]对账明细接口!$J$1032=0,"",[2]对账明细接口!$J$1032),"")</f>
      </c>
      <c r="K1032" s="177">
        <f>IFERROR(IF([2]对账明细接口!$K$1032=0,"",[2]对账明细接口!$K$1032),"")</f>
      </c>
      <c r="L1032" s="16">
        <f>IFERROR(IF([2]对账明细接口!$L$1032=0,"",[2]对账明细接口!$L$1032),"")</f>
      </c>
      <c r="M1032" s="16">
        <f>IFERROR(IF([2]对账明细接口!$M$1032=0,"",[2]对账明细接口!$M$1032),"")</f>
      </c>
      <c r="N1032" s="19">
        <f>IF($C1032="",0,1)</f>
        <v>0</v>
      </c>
      <c r="O1032" s="19">
        <f>N(O1031)+$N1032</f>
        <v>272</v>
      </c>
      <c r="S1032" s="20">
        <f>IFERROR(IF([2]对账明细接口!$N1032=0,"",[2]对账明细接口!$N1032),"")</f>
      </c>
      <c r="T1032" s="212">
        <f>IFERROR(IF([2]对账明细接口!$O1032=0,"",[2]对账明细接口!$O1032),"")</f>
      </c>
      <c r="U1032" s="212">
        <f>IFERROR(IF([2]对账明细接口!$P1032=0,"",[2]对账明细接口!$P1032),"")</f>
      </c>
      <c r="V1032" s="212">
        <f>IFERROR(IF([2]对账明细接口!$Q1032=0,"",[2]对账明细接口!$Q1032),"")</f>
      </c>
      <c r="W1032" s="20">
        <f>IFERROR(IF([2]对账明细接口!$R1032=0,"",[2]对账明细接口!$R1032),"")</f>
      </c>
      <c r="X1032" s="20">
        <f>IFERROR(IF([2]对账明细接口!$S1032=0,"",[2]对账明细接口!$S1032),"")</f>
      </c>
      <c r="Y1032" s="20">
        <f>""</f>
      </c>
      <c r="Z1032" s="20">
        <f>""</f>
      </c>
      <c r="AA1032" s="20">
        <f>""</f>
      </c>
      <c r="AB1032" s="20">
        <f>""</f>
      </c>
    </row>
    <row r="1033" s="127">
      <c r="A1033" s="14" t="n">
        <v>1033</v>
      </c>
      <c r="B1033" s="211">
        <f>IFERROR(IF([2]对账明细接口!$B$1033=0,"",[2]对账明细接口!$B$1033),"")</f>
      </c>
      <c r="C1033" s="16">
        <f>IFERROR(IF([2]对账明细接口!$C$1033=0,"",[2]对账明细接口!$C$1033),"")</f>
      </c>
      <c r="D1033" s="16">
        <f>IFERROR(IF([2]对账明细接口!$D$1033=0,"",[2]对账明细接口!$D$1033),"")</f>
      </c>
      <c r="E1033" s="16">
        <f>IFERROR(IF([2]对账明细接口!$E$1033=0,"",[2]对账明细接口!$E$1033),"")</f>
      </c>
      <c r="F1033" s="16">
        <f>IFERROR(IF([2]对账明细接口!$F$1033=0,"",[2]对账明细接口!$F$1033),"")</f>
      </c>
      <c r="G1033" s="16">
        <f>IFERROR(IF([2]对账明细接口!$G$1033=0,"",[2]对账明细接口!$G$1033),"")</f>
      </c>
      <c r="H1033" s="176">
        <f>IFERROR(IF([2]对账明细接口!$H$1033=0,"",[2]对账明细接口!$H$1033),"")</f>
      </c>
      <c r="I1033" s="16">
        <f>IFERROR(IF([2]对账明细接口!$I$1033=0,"",[2]对账明细接口!$I$1033),"")</f>
      </c>
      <c r="J1033" s="177">
        <f>IFERROR(IF([2]对账明细接口!$J$1033=0,"",[2]对账明细接口!$J$1033),"")</f>
      </c>
      <c r="K1033" s="177">
        <f>IFERROR(IF([2]对账明细接口!$K$1033=0,"",[2]对账明细接口!$K$1033),"")</f>
      </c>
      <c r="L1033" s="16">
        <f>IFERROR(IF([2]对账明细接口!$L$1033=0,"",[2]对账明细接口!$L$1033),"")</f>
      </c>
      <c r="M1033" s="16">
        <f>IFERROR(IF([2]对账明细接口!$M$1033=0,"",[2]对账明细接口!$M$1033),"")</f>
      </c>
      <c r="N1033" s="19">
        <f>IF($C1033="",0,1)</f>
        <v>0</v>
      </c>
      <c r="O1033" s="19">
        <f>N(O1032)+$N1033</f>
        <v>272</v>
      </c>
      <c r="S1033" s="20">
        <f>IFERROR(IF([2]对账明细接口!$N1033=0,"",[2]对账明细接口!$N1033),"")</f>
      </c>
      <c r="T1033" s="212">
        <f>IFERROR(IF([2]对账明细接口!$O1033=0,"",[2]对账明细接口!$O1033),"")</f>
      </c>
      <c r="U1033" s="212">
        <f>IFERROR(IF([2]对账明细接口!$P1033=0,"",[2]对账明细接口!$P1033),"")</f>
      </c>
      <c r="V1033" s="212">
        <f>IFERROR(IF([2]对账明细接口!$Q1033=0,"",[2]对账明细接口!$Q1033),"")</f>
      </c>
      <c r="W1033" s="20">
        <f>IFERROR(IF([2]对账明细接口!$R1033=0,"",[2]对账明细接口!$R1033),"")</f>
      </c>
      <c r="X1033" s="20">
        <f>IFERROR(IF([2]对账明细接口!$S1033=0,"",[2]对账明细接口!$S1033),"")</f>
      </c>
      <c r="Y1033" s="20">
        <f>""</f>
      </c>
      <c r="Z1033" s="20">
        <f>""</f>
      </c>
      <c r="AA1033" s="20">
        <f>""</f>
      </c>
      <c r="AB1033" s="20">
        <f>""</f>
      </c>
    </row>
    <row r="1034" s="127">
      <c r="A1034" s="14" t="n">
        <v>1034</v>
      </c>
      <c r="B1034" s="211">
        <f>IFERROR(IF([2]对账明细接口!$B$1034=0,"",[2]对账明细接口!$B$1034),"")</f>
      </c>
      <c r="C1034" s="16">
        <f>IFERROR(IF([2]对账明细接口!$C$1034=0,"",[2]对账明细接口!$C$1034),"")</f>
      </c>
      <c r="D1034" s="16">
        <f>IFERROR(IF([2]对账明细接口!$D$1034=0,"",[2]对账明细接口!$D$1034),"")</f>
      </c>
      <c r="E1034" s="16">
        <f>IFERROR(IF([2]对账明细接口!$E$1034=0,"",[2]对账明细接口!$E$1034),"")</f>
      </c>
      <c r="F1034" s="16">
        <f>IFERROR(IF([2]对账明细接口!$F$1034=0,"",[2]对账明细接口!$F$1034),"")</f>
      </c>
      <c r="G1034" s="16">
        <f>IFERROR(IF([2]对账明细接口!$G$1034=0,"",[2]对账明细接口!$G$1034),"")</f>
      </c>
      <c r="H1034" s="176">
        <f>IFERROR(IF([2]对账明细接口!$H$1034=0,"",[2]对账明细接口!$H$1034),"")</f>
      </c>
      <c r="I1034" s="16">
        <f>IFERROR(IF([2]对账明细接口!$I$1034=0,"",[2]对账明细接口!$I$1034),"")</f>
      </c>
      <c r="J1034" s="177">
        <f>IFERROR(IF([2]对账明细接口!$J$1034=0,"",[2]对账明细接口!$J$1034),"")</f>
      </c>
      <c r="K1034" s="177">
        <f>IFERROR(IF([2]对账明细接口!$K$1034=0,"",[2]对账明细接口!$K$1034),"")</f>
      </c>
      <c r="L1034" s="16">
        <f>IFERROR(IF([2]对账明细接口!$L$1034=0,"",[2]对账明细接口!$L$1034),"")</f>
      </c>
      <c r="M1034" s="16">
        <f>IFERROR(IF([2]对账明细接口!$M$1034=0,"",[2]对账明细接口!$M$1034),"")</f>
      </c>
      <c r="N1034" s="19">
        <f>IF($C1034="",0,1)</f>
        <v>0</v>
      </c>
      <c r="O1034" s="19">
        <f>N(O1033)+$N1034</f>
        <v>272</v>
      </c>
      <c r="S1034" s="20">
        <f>IFERROR(IF([2]对账明细接口!$N1034=0,"",[2]对账明细接口!$N1034),"")</f>
      </c>
      <c r="T1034" s="212">
        <f>IFERROR(IF([2]对账明细接口!$O1034=0,"",[2]对账明细接口!$O1034),"")</f>
      </c>
      <c r="U1034" s="212">
        <f>IFERROR(IF([2]对账明细接口!$P1034=0,"",[2]对账明细接口!$P1034),"")</f>
      </c>
      <c r="V1034" s="212">
        <f>IFERROR(IF([2]对账明细接口!$Q1034=0,"",[2]对账明细接口!$Q1034),"")</f>
      </c>
      <c r="W1034" s="20">
        <f>IFERROR(IF([2]对账明细接口!$R1034=0,"",[2]对账明细接口!$R1034),"")</f>
      </c>
      <c r="X1034" s="20">
        <f>IFERROR(IF([2]对账明细接口!$S1034=0,"",[2]对账明细接口!$S1034),"")</f>
      </c>
      <c r="Y1034" s="20">
        <f>""</f>
      </c>
      <c r="Z1034" s="20">
        <f>""</f>
      </c>
      <c r="AA1034" s="20">
        <f>""</f>
      </c>
      <c r="AB1034" s="20">
        <f>""</f>
      </c>
    </row>
    <row r="1035" s="127">
      <c r="A1035" s="14" t="n">
        <v>1035</v>
      </c>
      <c r="B1035" s="211">
        <f>IFERROR(IF([2]对账明细接口!$B$1035=0,"",[2]对账明细接口!$B$1035),"")</f>
      </c>
      <c r="C1035" s="16">
        <f>IFERROR(IF([2]对账明细接口!$C$1035=0,"",[2]对账明细接口!$C$1035),"")</f>
      </c>
      <c r="D1035" s="16">
        <f>IFERROR(IF([2]对账明细接口!$D$1035=0,"",[2]对账明细接口!$D$1035),"")</f>
      </c>
      <c r="E1035" s="16">
        <f>IFERROR(IF([2]对账明细接口!$E$1035=0,"",[2]对账明细接口!$E$1035),"")</f>
      </c>
      <c r="F1035" s="16">
        <f>IFERROR(IF([2]对账明细接口!$F$1035=0,"",[2]对账明细接口!$F$1035),"")</f>
      </c>
      <c r="G1035" s="16">
        <f>IFERROR(IF([2]对账明细接口!$G$1035=0,"",[2]对账明细接口!$G$1035),"")</f>
      </c>
      <c r="H1035" s="176">
        <f>IFERROR(IF([2]对账明细接口!$H$1035=0,"",[2]对账明细接口!$H$1035),"")</f>
      </c>
      <c r="I1035" s="16">
        <f>IFERROR(IF([2]对账明细接口!$I$1035=0,"",[2]对账明细接口!$I$1035),"")</f>
      </c>
      <c r="J1035" s="177">
        <f>IFERROR(IF([2]对账明细接口!$J$1035=0,"",[2]对账明细接口!$J$1035),"")</f>
      </c>
      <c r="K1035" s="177">
        <f>IFERROR(IF([2]对账明细接口!$K$1035=0,"",[2]对账明细接口!$K$1035),"")</f>
      </c>
      <c r="L1035" s="16">
        <f>IFERROR(IF([2]对账明细接口!$L$1035=0,"",[2]对账明细接口!$L$1035),"")</f>
      </c>
      <c r="M1035" s="16">
        <f>IFERROR(IF([2]对账明细接口!$M$1035=0,"",[2]对账明细接口!$M$1035),"")</f>
      </c>
      <c r="N1035" s="19">
        <f>IF($C1035="",0,1)</f>
        <v>0</v>
      </c>
      <c r="O1035" s="19">
        <f>N(O1034)+$N1035</f>
        <v>272</v>
      </c>
      <c r="S1035" s="20">
        <f>IFERROR(IF([2]对账明细接口!$N1035=0,"",[2]对账明细接口!$N1035),"")</f>
      </c>
      <c r="T1035" s="212">
        <f>IFERROR(IF([2]对账明细接口!$O1035=0,"",[2]对账明细接口!$O1035),"")</f>
      </c>
      <c r="U1035" s="212">
        <f>IFERROR(IF([2]对账明细接口!$P1035=0,"",[2]对账明细接口!$P1035),"")</f>
      </c>
      <c r="V1035" s="212">
        <f>IFERROR(IF([2]对账明细接口!$Q1035=0,"",[2]对账明细接口!$Q1035),"")</f>
      </c>
      <c r="W1035" s="20">
        <f>IFERROR(IF([2]对账明细接口!$R1035=0,"",[2]对账明细接口!$R1035),"")</f>
      </c>
      <c r="X1035" s="20">
        <f>IFERROR(IF([2]对账明细接口!$S1035=0,"",[2]对账明细接口!$S1035),"")</f>
      </c>
      <c r="Y1035" s="20">
        <f>""</f>
      </c>
      <c r="Z1035" s="20">
        <f>""</f>
      </c>
      <c r="AA1035" s="20">
        <f>""</f>
      </c>
      <c r="AB1035" s="20">
        <f>""</f>
      </c>
    </row>
    <row r="1036" s="127">
      <c r="A1036" s="14" t="n">
        <v>1036</v>
      </c>
      <c r="B1036" s="211">
        <f>IFERROR(IF([2]对账明细接口!$B$1036=0,"",[2]对账明细接口!$B$1036),"")</f>
      </c>
      <c r="C1036" s="16">
        <f>IFERROR(IF([2]对账明细接口!$C$1036=0,"",[2]对账明细接口!$C$1036),"")</f>
      </c>
      <c r="D1036" s="16">
        <f>IFERROR(IF([2]对账明细接口!$D$1036=0,"",[2]对账明细接口!$D$1036),"")</f>
      </c>
      <c r="E1036" s="16">
        <f>IFERROR(IF([2]对账明细接口!$E$1036=0,"",[2]对账明细接口!$E$1036),"")</f>
      </c>
      <c r="F1036" s="16">
        <f>IFERROR(IF([2]对账明细接口!$F$1036=0,"",[2]对账明细接口!$F$1036),"")</f>
      </c>
      <c r="G1036" s="16">
        <f>IFERROR(IF([2]对账明细接口!$G$1036=0,"",[2]对账明细接口!$G$1036),"")</f>
      </c>
      <c r="H1036" s="176">
        <f>IFERROR(IF([2]对账明细接口!$H$1036=0,"",[2]对账明细接口!$H$1036),"")</f>
      </c>
      <c r="I1036" s="16">
        <f>IFERROR(IF([2]对账明细接口!$I$1036=0,"",[2]对账明细接口!$I$1036),"")</f>
      </c>
      <c r="J1036" s="177">
        <f>IFERROR(IF([2]对账明细接口!$J$1036=0,"",[2]对账明细接口!$J$1036),"")</f>
      </c>
      <c r="K1036" s="177">
        <f>IFERROR(IF([2]对账明细接口!$K$1036=0,"",[2]对账明细接口!$K$1036),"")</f>
      </c>
      <c r="L1036" s="16">
        <f>IFERROR(IF([2]对账明细接口!$L$1036=0,"",[2]对账明细接口!$L$1036),"")</f>
      </c>
      <c r="M1036" s="16">
        <f>IFERROR(IF([2]对账明细接口!$M$1036=0,"",[2]对账明细接口!$M$1036),"")</f>
      </c>
      <c r="N1036" s="19">
        <f>IF($C1036="",0,1)</f>
        <v>0</v>
      </c>
      <c r="O1036" s="19">
        <f>N(O1035)+$N1036</f>
        <v>272</v>
      </c>
      <c r="S1036" s="20">
        <f>IFERROR(IF([2]对账明细接口!$N1036=0,"",[2]对账明细接口!$N1036),"")</f>
      </c>
      <c r="T1036" s="212">
        <f>IFERROR(IF([2]对账明细接口!$O1036=0,"",[2]对账明细接口!$O1036),"")</f>
      </c>
      <c r="U1036" s="212">
        <f>IFERROR(IF([2]对账明细接口!$P1036=0,"",[2]对账明细接口!$P1036),"")</f>
      </c>
      <c r="V1036" s="212">
        <f>IFERROR(IF([2]对账明细接口!$Q1036=0,"",[2]对账明细接口!$Q1036),"")</f>
      </c>
      <c r="W1036" s="20">
        <f>IFERROR(IF([2]对账明细接口!$R1036=0,"",[2]对账明细接口!$R1036),"")</f>
      </c>
      <c r="X1036" s="20">
        <f>IFERROR(IF([2]对账明细接口!$S1036=0,"",[2]对账明细接口!$S1036),"")</f>
      </c>
      <c r="Y1036" s="20">
        <f>""</f>
      </c>
      <c r="Z1036" s="20">
        <f>""</f>
      </c>
      <c r="AA1036" s="20">
        <f>""</f>
      </c>
      <c r="AB1036" s="20">
        <f>""</f>
      </c>
    </row>
    <row r="1037" s="127">
      <c r="A1037" s="14" t="n">
        <v>1037</v>
      </c>
      <c r="B1037" s="211">
        <f>IFERROR(IF([2]对账明细接口!$B$1037=0,"",[2]对账明细接口!$B$1037),"")</f>
      </c>
      <c r="C1037" s="16">
        <f>IFERROR(IF([2]对账明细接口!$C$1037=0,"",[2]对账明细接口!$C$1037),"")</f>
      </c>
      <c r="D1037" s="16">
        <f>IFERROR(IF([2]对账明细接口!$D$1037=0,"",[2]对账明细接口!$D$1037),"")</f>
      </c>
      <c r="E1037" s="16">
        <f>IFERROR(IF([2]对账明细接口!$E$1037=0,"",[2]对账明细接口!$E$1037),"")</f>
      </c>
      <c r="F1037" s="16">
        <f>IFERROR(IF([2]对账明细接口!$F$1037=0,"",[2]对账明细接口!$F$1037),"")</f>
      </c>
      <c r="G1037" s="16">
        <f>IFERROR(IF([2]对账明细接口!$G$1037=0,"",[2]对账明细接口!$G$1037),"")</f>
      </c>
      <c r="H1037" s="176">
        <f>IFERROR(IF([2]对账明细接口!$H$1037=0,"",[2]对账明细接口!$H$1037),"")</f>
      </c>
      <c r="I1037" s="16">
        <f>IFERROR(IF([2]对账明细接口!$I$1037=0,"",[2]对账明细接口!$I$1037),"")</f>
      </c>
      <c r="J1037" s="177">
        <f>IFERROR(IF([2]对账明细接口!$J$1037=0,"",[2]对账明细接口!$J$1037),"")</f>
      </c>
      <c r="K1037" s="177">
        <f>IFERROR(IF([2]对账明细接口!$K$1037=0,"",[2]对账明细接口!$K$1037),"")</f>
      </c>
      <c r="L1037" s="16">
        <f>IFERROR(IF([2]对账明细接口!$L$1037=0,"",[2]对账明细接口!$L$1037),"")</f>
      </c>
      <c r="M1037" s="16">
        <f>IFERROR(IF([2]对账明细接口!$M$1037=0,"",[2]对账明细接口!$M$1037),"")</f>
      </c>
      <c r="N1037" s="19">
        <f>IF($C1037="",0,1)</f>
        <v>0</v>
      </c>
      <c r="O1037" s="19">
        <f>N(O1036)+$N1037</f>
        <v>272</v>
      </c>
      <c r="S1037" s="20">
        <f>IFERROR(IF([2]对账明细接口!$N1037=0,"",[2]对账明细接口!$N1037),"")</f>
      </c>
      <c r="T1037" s="212">
        <f>IFERROR(IF([2]对账明细接口!$O1037=0,"",[2]对账明细接口!$O1037),"")</f>
      </c>
      <c r="U1037" s="212">
        <f>IFERROR(IF([2]对账明细接口!$P1037=0,"",[2]对账明细接口!$P1037),"")</f>
      </c>
      <c r="V1037" s="212">
        <f>IFERROR(IF([2]对账明细接口!$Q1037=0,"",[2]对账明细接口!$Q1037),"")</f>
      </c>
      <c r="W1037" s="20">
        <f>IFERROR(IF([2]对账明细接口!$R1037=0,"",[2]对账明细接口!$R1037),"")</f>
      </c>
      <c r="X1037" s="20">
        <f>IFERROR(IF([2]对账明细接口!$S1037=0,"",[2]对账明细接口!$S1037),"")</f>
      </c>
      <c r="Y1037" s="20">
        <f>""</f>
      </c>
      <c r="Z1037" s="20">
        <f>""</f>
      </c>
      <c r="AA1037" s="20">
        <f>""</f>
      </c>
      <c r="AB1037" s="20">
        <f>""</f>
      </c>
    </row>
    <row r="1038" s="127">
      <c r="A1038" s="14" t="n">
        <v>1038</v>
      </c>
      <c r="B1038" s="211">
        <f>IFERROR(IF([2]对账明细接口!$B$1038=0,"",[2]对账明细接口!$B$1038),"")</f>
      </c>
      <c r="C1038" s="16">
        <f>IFERROR(IF([2]对账明细接口!$C$1038=0,"",[2]对账明细接口!$C$1038),"")</f>
      </c>
      <c r="D1038" s="16">
        <f>IFERROR(IF([2]对账明细接口!$D$1038=0,"",[2]对账明细接口!$D$1038),"")</f>
      </c>
      <c r="E1038" s="16">
        <f>IFERROR(IF([2]对账明细接口!$E$1038=0,"",[2]对账明细接口!$E$1038),"")</f>
      </c>
      <c r="F1038" s="16">
        <f>IFERROR(IF([2]对账明细接口!$F$1038=0,"",[2]对账明细接口!$F$1038),"")</f>
      </c>
      <c r="G1038" s="16">
        <f>IFERROR(IF([2]对账明细接口!$G$1038=0,"",[2]对账明细接口!$G$1038),"")</f>
      </c>
      <c r="H1038" s="176">
        <f>IFERROR(IF([2]对账明细接口!$H$1038=0,"",[2]对账明细接口!$H$1038),"")</f>
      </c>
      <c r="I1038" s="16">
        <f>IFERROR(IF([2]对账明细接口!$I$1038=0,"",[2]对账明细接口!$I$1038),"")</f>
      </c>
      <c r="J1038" s="177">
        <f>IFERROR(IF([2]对账明细接口!$J$1038=0,"",[2]对账明细接口!$J$1038),"")</f>
      </c>
      <c r="K1038" s="177">
        <f>IFERROR(IF([2]对账明细接口!$K$1038=0,"",[2]对账明细接口!$K$1038),"")</f>
      </c>
      <c r="L1038" s="16">
        <f>IFERROR(IF([2]对账明细接口!$L$1038=0,"",[2]对账明细接口!$L$1038),"")</f>
      </c>
      <c r="M1038" s="16">
        <f>IFERROR(IF([2]对账明细接口!$M$1038=0,"",[2]对账明细接口!$M$1038),"")</f>
      </c>
      <c r="N1038" s="19">
        <f>IF($C1038="",0,1)</f>
        <v>0</v>
      </c>
      <c r="O1038" s="19">
        <f>N(O1037)+$N1038</f>
        <v>272</v>
      </c>
      <c r="S1038" s="20">
        <f>IFERROR(IF([2]对账明细接口!$N1038=0,"",[2]对账明细接口!$N1038),"")</f>
      </c>
      <c r="T1038" s="212">
        <f>IFERROR(IF([2]对账明细接口!$O1038=0,"",[2]对账明细接口!$O1038),"")</f>
      </c>
      <c r="U1038" s="212">
        <f>IFERROR(IF([2]对账明细接口!$P1038=0,"",[2]对账明细接口!$P1038),"")</f>
      </c>
      <c r="V1038" s="212">
        <f>IFERROR(IF([2]对账明细接口!$Q1038=0,"",[2]对账明细接口!$Q1038),"")</f>
      </c>
      <c r="W1038" s="20">
        <f>IFERROR(IF([2]对账明细接口!$R1038=0,"",[2]对账明细接口!$R1038),"")</f>
      </c>
      <c r="X1038" s="20">
        <f>IFERROR(IF([2]对账明细接口!$S1038=0,"",[2]对账明细接口!$S1038),"")</f>
      </c>
      <c r="Y1038" s="20">
        <f>""</f>
      </c>
      <c r="Z1038" s="20">
        <f>""</f>
      </c>
      <c r="AA1038" s="20">
        <f>""</f>
      </c>
      <c r="AB1038" s="20">
        <f>""</f>
      </c>
    </row>
    <row r="1039" s="127">
      <c r="A1039" s="14" t="n">
        <v>1039</v>
      </c>
      <c r="B1039" s="211">
        <f>IFERROR(IF([2]对账明细接口!$B$1039=0,"",[2]对账明细接口!$B$1039),"")</f>
      </c>
      <c r="C1039" s="16">
        <f>IFERROR(IF([2]对账明细接口!$C$1039=0,"",[2]对账明细接口!$C$1039),"")</f>
      </c>
      <c r="D1039" s="16">
        <f>IFERROR(IF([2]对账明细接口!$D$1039=0,"",[2]对账明细接口!$D$1039),"")</f>
      </c>
      <c r="E1039" s="16">
        <f>IFERROR(IF([2]对账明细接口!$E$1039=0,"",[2]对账明细接口!$E$1039),"")</f>
      </c>
      <c r="F1039" s="16">
        <f>IFERROR(IF([2]对账明细接口!$F$1039=0,"",[2]对账明细接口!$F$1039),"")</f>
      </c>
      <c r="G1039" s="16">
        <f>IFERROR(IF([2]对账明细接口!$G$1039=0,"",[2]对账明细接口!$G$1039),"")</f>
      </c>
      <c r="H1039" s="176">
        <f>IFERROR(IF([2]对账明细接口!$H$1039=0,"",[2]对账明细接口!$H$1039),"")</f>
      </c>
      <c r="I1039" s="16">
        <f>IFERROR(IF([2]对账明细接口!$I$1039=0,"",[2]对账明细接口!$I$1039),"")</f>
      </c>
      <c r="J1039" s="177">
        <f>IFERROR(IF([2]对账明细接口!$J$1039=0,"",[2]对账明细接口!$J$1039),"")</f>
      </c>
      <c r="K1039" s="177">
        <f>IFERROR(IF([2]对账明细接口!$K$1039=0,"",[2]对账明细接口!$K$1039),"")</f>
      </c>
      <c r="L1039" s="16">
        <f>IFERROR(IF([2]对账明细接口!$L$1039=0,"",[2]对账明细接口!$L$1039),"")</f>
      </c>
      <c r="M1039" s="16">
        <f>IFERROR(IF([2]对账明细接口!$M$1039=0,"",[2]对账明细接口!$M$1039),"")</f>
      </c>
      <c r="N1039" s="19">
        <f>IF($C1039="",0,1)</f>
        <v>0</v>
      </c>
      <c r="O1039" s="19">
        <f>N(O1038)+$N1039</f>
        <v>272</v>
      </c>
      <c r="S1039" s="20">
        <f>IFERROR(IF([2]对账明细接口!$N1039=0,"",[2]对账明细接口!$N1039),"")</f>
      </c>
      <c r="T1039" s="212">
        <f>IFERROR(IF([2]对账明细接口!$O1039=0,"",[2]对账明细接口!$O1039),"")</f>
      </c>
      <c r="U1039" s="212">
        <f>IFERROR(IF([2]对账明细接口!$P1039=0,"",[2]对账明细接口!$P1039),"")</f>
      </c>
      <c r="V1039" s="212">
        <f>IFERROR(IF([2]对账明细接口!$Q1039=0,"",[2]对账明细接口!$Q1039),"")</f>
      </c>
      <c r="W1039" s="20">
        <f>IFERROR(IF([2]对账明细接口!$R1039=0,"",[2]对账明细接口!$R1039),"")</f>
      </c>
      <c r="X1039" s="20">
        <f>IFERROR(IF([2]对账明细接口!$S1039=0,"",[2]对账明细接口!$S1039),"")</f>
      </c>
      <c r="Y1039" s="20">
        <f>""</f>
      </c>
      <c r="Z1039" s="20">
        <f>""</f>
      </c>
      <c r="AA1039" s="20">
        <f>""</f>
      </c>
      <c r="AB1039" s="20">
        <f>""</f>
      </c>
    </row>
    <row r="1040" s="127">
      <c r="A1040" s="14" t="n">
        <v>1040</v>
      </c>
      <c r="B1040" s="211">
        <f>IFERROR(IF([2]对账明细接口!$B$1040=0,"",[2]对账明细接口!$B$1040),"")</f>
      </c>
      <c r="C1040" s="16">
        <f>IFERROR(IF([2]对账明细接口!$C$1040=0,"",[2]对账明细接口!$C$1040),"")</f>
      </c>
      <c r="D1040" s="16">
        <f>IFERROR(IF([2]对账明细接口!$D$1040=0,"",[2]对账明细接口!$D$1040),"")</f>
      </c>
      <c r="E1040" s="16">
        <f>IFERROR(IF([2]对账明细接口!$E$1040=0,"",[2]对账明细接口!$E$1040),"")</f>
      </c>
      <c r="F1040" s="16">
        <f>IFERROR(IF([2]对账明细接口!$F$1040=0,"",[2]对账明细接口!$F$1040),"")</f>
      </c>
      <c r="G1040" s="16">
        <f>IFERROR(IF([2]对账明细接口!$G$1040=0,"",[2]对账明细接口!$G$1040),"")</f>
      </c>
      <c r="H1040" s="176">
        <f>IFERROR(IF([2]对账明细接口!$H$1040=0,"",[2]对账明细接口!$H$1040),"")</f>
      </c>
      <c r="I1040" s="16">
        <f>IFERROR(IF([2]对账明细接口!$I$1040=0,"",[2]对账明细接口!$I$1040),"")</f>
      </c>
      <c r="J1040" s="177">
        <f>IFERROR(IF([2]对账明细接口!$J$1040=0,"",[2]对账明细接口!$J$1040),"")</f>
      </c>
      <c r="K1040" s="177">
        <f>IFERROR(IF([2]对账明细接口!$K$1040=0,"",[2]对账明细接口!$K$1040),"")</f>
      </c>
      <c r="L1040" s="16">
        <f>IFERROR(IF([2]对账明细接口!$L$1040=0,"",[2]对账明细接口!$L$1040),"")</f>
      </c>
      <c r="M1040" s="16">
        <f>IFERROR(IF([2]对账明细接口!$M$1040=0,"",[2]对账明细接口!$M$1040),"")</f>
      </c>
      <c r="N1040" s="19">
        <f>IF($C1040="",0,1)</f>
        <v>0</v>
      </c>
      <c r="O1040" s="19">
        <f>N(O1039)+$N1040</f>
        <v>272</v>
      </c>
      <c r="S1040" s="20">
        <f>IFERROR(IF([2]对账明细接口!$N1040=0,"",[2]对账明细接口!$N1040),"")</f>
      </c>
      <c r="T1040" s="212">
        <f>IFERROR(IF([2]对账明细接口!$O1040=0,"",[2]对账明细接口!$O1040),"")</f>
      </c>
      <c r="U1040" s="212">
        <f>IFERROR(IF([2]对账明细接口!$P1040=0,"",[2]对账明细接口!$P1040),"")</f>
      </c>
      <c r="V1040" s="212">
        <f>IFERROR(IF([2]对账明细接口!$Q1040=0,"",[2]对账明细接口!$Q1040),"")</f>
      </c>
      <c r="W1040" s="20">
        <f>IFERROR(IF([2]对账明细接口!$R1040=0,"",[2]对账明细接口!$R1040),"")</f>
      </c>
      <c r="X1040" s="20">
        <f>IFERROR(IF([2]对账明细接口!$S1040=0,"",[2]对账明细接口!$S1040),"")</f>
      </c>
      <c r="Y1040" s="20">
        <f>""</f>
      </c>
      <c r="Z1040" s="20">
        <f>""</f>
      </c>
      <c r="AA1040" s="20">
        <f>""</f>
      </c>
      <c r="AB1040" s="20">
        <f>""</f>
      </c>
    </row>
    <row r="1041" s="127">
      <c r="A1041" s="14" t="n">
        <v>1041</v>
      </c>
      <c r="B1041" s="211">
        <f>IFERROR(IF([2]对账明细接口!$B$1041=0,"",[2]对账明细接口!$B$1041),"")</f>
      </c>
      <c r="C1041" s="16">
        <f>IFERROR(IF([2]对账明细接口!$C$1041=0,"",[2]对账明细接口!$C$1041),"")</f>
      </c>
      <c r="D1041" s="16">
        <f>IFERROR(IF([2]对账明细接口!$D$1041=0,"",[2]对账明细接口!$D$1041),"")</f>
      </c>
      <c r="E1041" s="16">
        <f>IFERROR(IF([2]对账明细接口!$E$1041=0,"",[2]对账明细接口!$E$1041),"")</f>
      </c>
      <c r="F1041" s="16">
        <f>IFERROR(IF([2]对账明细接口!$F$1041=0,"",[2]对账明细接口!$F$1041),"")</f>
      </c>
      <c r="G1041" s="16">
        <f>IFERROR(IF([2]对账明细接口!$G$1041=0,"",[2]对账明细接口!$G$1041),"")</f>
      </c>
      <c r="H1041" s="176">
        <f>IFERROR(IF([2]对账明细接口!$H$1041=0,"",[2]对账明细接口!$H$1041),"")</f>
      </c>
      <c r="I1041" s="16">
        <f>IFERROR(IF([2]对账明细接口!$I$1041=0,"",[2]对账明细接口!$I$1041),"")</f>
      </c>
      <c r="J1041" s="177">
        <f>IFERROR(IF([2]对账明细接口!$J$1041=0,"",[2]对账明细接口!$J$1041),"")</f>
      </c>
      <c r="K1041" s="177">
        <f>IFERROR(IF([2]对账明细接口!$K$1041=0,"",[2]对账明细接口!$K$1041),"")</f>
      </c>
      <c r="L1041" s="16">
        <f>IFERROR(IF([2]对账明细接口!$L$1041=0,"",[2]对账明细接口!$L$1041),"")</f>
      </c>
      <c r="M1041" s="16">
        <f>IFERROR(IF([2]对账明细接口!$M$1041=0,"",[2]对账明细接口!$M$1041),"")</f>
      </c>
      <c r="N1041" s="19">
        <f>IF($C1041="",0,1)</f>
        <v>0</v>
      </c>
      <c r="O1041" s="19">
        <f>N(O1040)+$N1041</f>
        <v>272</v>
      </c>
      <c r="S1041" s="20">
        <f>IFERROR(IF([2]对账明细接口!$N1041=0,"",[2]对账明细接口!$N1041),"")</f>
      </c>
      <c r="T1041" s="212">
        <f>IFERROR(IF([2]对账明细接口!$O1041=0,"",[2]对账明细接口!$O1041),"")</f>
      </c>
      <c r="U1041" s="212">
        <f>IFERROR(IF([2]对账明细接口!$P1041=0,"",[2]对账明细接口!$P1041),"")</f>
      </c>
      <c r="V1041" s="212">
        <f>IFERROR(IF([2]对账明细接口!$Q1041=0,"",[2]对账明细接口!$Q1041),"")</f>
      </c>
      <c r="W1041" s="20">
        <f>IFERROR(IF([2]对账明细接口!$R1041=0,"",[2]对账明细接口!$R1041),"")</f>
      </c>
      <c r="X1041" s="20">
        <f>IFERROR(IF([2]对账明细接口!$S1041=0,"",[2]对账明细接口!$S1041),"")</f>
      </c>
      <c r="Y1041" s="20">
        <f>""</f>
      </c>
      <c r="Z1041" s="20">
        <f>""</f>
      </c>
      <c r="AA1041" s="20">
        <f>""</f>
      </c>
      <c r="AB1041" s="20">
        <f>""</f>
      </c>
    </row>
    <row r="1042" s="127">
      <c r="A1042" s="14" t="n">
        <v>1042</v>
      </c>
      <c r="B1042" s="211">
        <f>IFERROR(IF([2]对账明细接口!$B$1042=0,"",[2]对账明细接口!$B$1042),"")</f>
      </c>
      <c r="C1042" s="16">
        <f>IFERROR(IF([2]对账明细接口!$C$1042=0,"",[2]对账明细接口!$C$1042),"")</f>
      </c>
      <c r="D1042" s="16">
        <f>IFERROR(IF([2]对账明细接口!$D$1042=0,"",[2]对账明细接口!$D$1042),"")</f>
      </c>
      <c r="E1042" s="16">
        <f>IFERROR(IF([2]对账明细接口!$E$1042=0,"",[2]对账明细接口!$E$1042),"")</f>
      </c>
      <c r="F1042" s="16">
        <f>IFERROR(IF([2]对账明细接口!$F$1042=0,"",[2]对账明细接口!$F$1042),"")</f>
      </c>
      <c r="G1042" s="16">
        <f>IFERROR(IF([2]对账明细接口!$G$1042=0,"",[2]对账明细接口!$G$1042),"")</f>
      </c>
      <c r="H1042" s="176">
        <f>IFERROR(IF([2]对账明细接口!$H$1042=0,"",[2]对账明细接口!$H$1042),"")</f>
      </c>
      <c r="I1042" s="16">
        <f>IFERROR(IF([2]对账明细接口!$I$1042=0,"",[2]对账明细接口!$I$1042),"")</f>
      </c>
      <c r="J1042" s="177">
        <f>IFERROR(IF([2]对账明细接口!$J$1042=0,"",[2]对账明细接口!$J$1042),"")</f>
      </c>
      <c r="K1042" s="177">
        <f>IFERROR(IF([2]对账明细接口!$K$1042=0,"",[2]对账明细接口!$K$1042),"")</f>
      </c>
      <c r="L1042" s="16">
        <f>IFERROR(IF([2]对账明细接口!$L$1042=0,"",[2]对账明细接口!$L$1042),"")</f>
      </c>
      <c r="M1042" s="16">
        <f>IFERROR(IF([2]对账明细接口!$M$1042=0,"",[2]对账明细接口!$M$1042),"")</f>
      </c>
      <c r="N1042" s="19">
        <f>IF($C1042="",0,1)</f>
        <v>0</v>
      </c>
      <c r="O1042" s="19">
        <f>N(O1041)+$N1042</f>
        <v>272</v>
      </c>
      <c r="S1042" s="20">
        <f>IFERROR(IF([2]对账明细接口!$N1042=0,"",[2]对账明细接口!$N1042),"")</f>
      </c>
      <c r="T1042" s="212">
        <f>IFERROR(IF([2]对账明细接口!$O1042=0,"",[2]对账明细接口!$O1042),"")</f>
      </c>
      <c r="U1042" s="212">
        <f>IFERROR(IF([2]对账明细接口!$P1042=0,"",[2]对账明细接口!$P1042),"")</f>
      </c>
      <c r="V1042" s="212">
        <f>IFERROR(IF([2]对账明细接口!$Q1042=0,"",[2]对账明细接口!$Q1042),"")</f>
      </c>
      <c r="W1042" s="20">
        <f>IFERROR(IF([2]对账明细接口!$R1042=0,"",[2]对账明细接口!$R1042),"")</f>
      </c>
      <c r="X1042" s="20">
        <f>IFERROR(IF([2]对账明细接口!$S1042=0,"",[2]对账明细接口!$S1042),"")</f>
      </c>
      <c r="Y1042" s="20">
        <f>""</f>
      </c>
      <c r="Z1042" s="20">
        <f>""</f>
      </c>
      <c r="AA1042" s="20">
        <f>""</f>
      </c>
      <c r="AB1042" s="20">
        <f>""</f>
      </c>
    </row>
    <row r="1043" s="127">
      <c r="A1043" s="14" t="n">
        <v>1043</v>
      </c>
      <c r="B1043" s="211">
        <f>IFERROR(IF([2]对账明细接口!$B$1043=0,"",[2]对账明细接口!$B$1043),"")</f>
      </c>
      <c r="C1043" s="16">
        <f>IFERROR(IF([2]对账明细接口!$C$1043=0,"",[2]对账明细接口!$C$1043),"")</f>
      </c>
      <c r="D1043" s="16">
        <f>IFERROR(IF([2]对账明细接口!$D$1043=0,"",[2]对账明细接口!$D$1043),"")</f>
      </c>
      <c r="E1043" s="16">
        <f>IFERROR(IF([2]对账明细接口!$E$1043=0,"",[2]对账明细接口!$E$1043),"")</f>
      </c>
      <c r="F1043" s="16">
        <f>IFERROR(IF([2]对账明细接口!$F$1043=0,"",[2]对账明细接口!$F$1043),"")</f>
      </c>
      <c r="G1043" s="16">
        <f>IFERROR(IF([2]对账明细接口!$G$1043=0,"",[2]对账明细接口!$G$1043),"")</f>
      </c>
      <c r="H1043" s="176">
        <f>IFERROR(IF([2]对账明细接口!$H$1043=0,"",[2]对账明细接口!$H$1043),"")</f>
      </c>
      <c r="I1043" s="16">
        <f>IFERROR(IF([2]对账明细接口!$I$1043=0,"",[2]对账明细接口!$I$1043),"")</f>
      </c>
      <c r="J1043" s="177">
        <f>IFERROR(IF([2]对账明细接口!$J$1043=0,"",[2]对账明细接口!$J$1043),"")</f>
      </c>
      <c r="K1043" s="177">
        <f>IFERROR(IF([2]对账明细接口!$K$1043=0,"",[2]对账明细接口!$K$1043),"")</f>
      </c>
      <c r="L1043" s="16">
        <f>IFERROR(IF([2]对账明细接口!$L$1043=0,"",[2]对账明细接口!$L$1043),"")</f>
      </c>
      <c r="M1043" s="16">
        <f>IFERROR(IF([2]对账明细接口!$M$1043=0,"",[2]对账明细接口!$M$1043),"")</f>
      </c>
      <c r="N1043" s="19">
        <f>IF($C1043="",0,1)</f>
        <v>0</v>
      </c>
      <c r="O1043" s="19">
        <f>N(O1042)+$N1043</f>
        <v>272</v>
      </c>
      <c r="S1043" s="20">
        <f>IFERROR(IF([2]对账明细接口!$N1043=0,"",[2]对账明细接口!$N1043),"")</f>
      </c>
      <c r="T1043" s="212">
        <f>IFERROR(IF([2]对账明细接口!$O1043=0,"",[2]对账明细接口!$O1043),"")</f>
      </c>
      <c r="U1043" s="212">
        <f>IFERROR(IF([2]对账明细接口!$P1043=0,"",[2]对账明细接口!$P1043),"")</f>
      </c>
      <c r="V1043" s="212">
        <f>IFERROR(IF([2]对账明细接口!$Q1043=0,"",[2]对账明细接口!$Q1043),"")</f>
      </c>
      <c r="W1043" s="20">
        <f>IFERROR(IF([2]对账明细接口!$R1043=0,"",[2]对账明细接口!$R1043),"")</f>
      </c>
      <c r="X1043" s="20">
        <f>IFERROR(IF([2]对账明细接口!$S1043=0,"",[2]对账明细接口!$S1043),"")</f>
      </c>
      <c r="Y1043" s="20">
        <f>""</f>
      </c>
      <c r="Z1043" s="20">
        <f>""</f>
      </c>
      <c r="AA1043" s="20">
        <f>""</f>
      </c>
      <c r="AB1043" s="20">
        <f>""</f>
      </c>
    </row>
    <row r="1044" s="127">
      <c r="A1044" s="14" t="n">
        <v>1044</v>
      </c>
      <c r="B1044" s="211">
        <f>IFERROR(IF([2]对账明细接口!$B$1044=0,"",[2]对账明细接口!$B$1044),"")</f>
      </c>
      <c r="C1044" s="16">
        <f>IFERROR(IF([2]对账明细接口!$C$1044=0,"",[2]对账明细接口!$C$1044),"")</f>
      </c>
      <c r="D1044" s="16">
        <f>IFERROR(IF([2]对账明细接口!$D$1044=0,"",[2]对账明细接口!$D$1044),"")</f>
      </c>
      <c r="E1044" s="16">
        <f>IFERROR(IF([2]对账明细接口!$E$1044=0,"",[2]对账明细接口!$E$1044),"")</f>
      </c>
      <c r="F1044" s="16">
        <f>IFERROR(IF([2]对账明细接口!$F$1044=0,"",[2]对账明细接口!$F$1044),"")</f>
      </c>
      <c r="G1044" s="16">
        <f>IFERROR(IF([2]对账明细接口!$G$1044=0,"",[2]对账明细接口!$G$1044),"")</f>
      </c>
      <c r="H1044" s="176">
        <f>IFERROR(IF([2]对账明细接口!$H$1044=0,"",[2]对账明细接口!$H$1044),"")</f>
      </c>
      <c r="I1044" s="16">
        <f>IFERROR(IF([2]对账明细接口!$I$1044=0,"",[2]对账明细接口!$I$1044),"")</f>
      </c>
      <c r="J1044" s="177">
        <f>IFERROR(IF([2]对账明细接口!$J$1044=0,"",[2]对账明细接口!$J$1044),"")</f>
      </c>
      <c r="K1044" s="177">
        <f>IFERROR(IF([2]对账明细接口!$K$1044=0,"",[2]对账明细接口!$K$1044),"")</f>
      </c>
      <c r="L1044" s="16">
        <f>IFERROR(IF([2]对账明细接口!$L$1044=0,"",[2]对账明细接口!$L$1044),"")</f>
      </c>
      <c r="M1044" s="16">
        <f>IFERROR(IF([2]对账明细接口!$M$1044=0,"",[2]对账明细接口!$M$1044),"")</f>
      </c>
      <c r="N1044" s="19">
        <f>IF($C1044="",0,1)</f>
        <v>0</v>
      </c>
      <c r="O1044" s="19">
        <f>N(O1043)+$N1044</f>
        <v>272</v>
      </c>
      <c r="S1044" s="20">
        <f>IFERROR(IF([2]对账明细接口!$N1044=0,"",[2]对账明细接口!$N1044),"")</f>
      </c>
      <c r="T1044" s="212">
        <f>IFERROR(IF([2]对账明细接口!$O1044=0,"",[2]对账明细接口!$O1044),"")</f>
      </c>
      <c r="U1044" s="212">
        <f>IFERROR(IF([2]对账明细接口!$P1044=0,"",[2]对账明细接口!$P1044),"")</f>
      </c>
      <c r="V1044" s="212">
        <f>IFERROR(IF([2]对账明细接口!$Q1044=0,"",[2]对账明细接口!$Q1044),"")</f>
      </c>
      <c r="W1044" s="20">
        <f>IFERROR(IF([2]对账明细接口!$R1044=0,"",[2]对账明细接口!$R1044),"")</f>
      </c>
      <c r="X1044" s="20">
        <f>IFERROR(IF([2]对账明细接口!$S1044=0,"",[2]对账明细接口!$S1044),"")</f>
      </c>
      <c r="Y1044" s="20">
        <f>""</f>
      </c>
      <c r="Z1044" s="20">
        <f>""</f>
      </c>
      <c r="AA1044" s="20">
        <f>""</f>
      </c>
      <c r="AB1044" s="20">
        <f>""</f>
      </c>
    </row>
    <row r="1045" s="127">
      <c r="A1045" s="14" t="n">
        <v>1045</v>
      </c>
      <c r="B1045" s="211">
        <f>IFERROR(IF([2]对账明细接口!$B$1045=0,"",[2]对账明细接口!$B$1045),"")</f>
      </c>
      <c r="C1045" s="16">
        <f>IFERROR(IF([2]对账明细接口!$C$1045=0,"",[2]对账明细接口!$C$1045),"")</f>
      </c>
      <c r="D1045" s="16">
        <f>IFERROR(IF([2]对账明细接口!$D$1045=0,"",[2]对账明细接口!$D$1045),"")</f>
      </c>
      <c r="E1045" s="16">
        <f>IFERROR(IF([2]对账明细接口!$E$1045=0,"",[2]对账明细接口!$E$1045),"")</f>
      </c>
      <c r="F1045" s="16">
        <f>IFERROR(IF([2]对账明细接口!$F$1045=0,"",[2]对账明细接口!$F$1045),"")</f>
      </c>
      <c r="G1045" s="16">
        <f>IFERROR(IF([2]对账明细接口!$G$1045=0,"",[2]对账明细接口!$G$1045),"")</f>
      </c>
      <c r="H1045" s="176">
        <f>IFERROR(IF([2]对账明细接口!$H$1045=0,"",[2]对账明细接口!$H$1045),"")</f>
      </c>
      <c r="I1045" s="16">
        <f>IFERROR(IF([2]对账明细接口!$I$1045=0,"",[2]对账明细接口!$I$1045),"")</f>
      </c>
      <c r="J1045" s="177">
        <f>IFERROR(IF([2]对账明细接口!$J$1045=0,"",[2]对账明细接口!$J$1045),"")</f>
      </c>
      <c r="K1045" s="177">
        <f>IFERROR(IF([2]对账明细接口!$K$1045=0,"",[2]对账明细接口!$K$1045),"")</f>
      </c>
      <c r="L1045" s="16">
        <f>IFERROR(IF([2]对账明细接口!$L$1045=0,"",[2]对账明细接口!$L$1045),"")</f>
      </c>
      <c r="M1045" s="16">
        <f>IFERROR(IF([2]对账明细接口!$M$1045=0,"",[2]对账明细接口!$M$1045),"")</f>
      </c>
      <c r="N1045" s="19">
        <f>IF($C1045="",0,1)</f>
        <v>0</v>
      </c>
      <c r="O1045" s="19">
        <f>N(O1044)+$N1045</f>
        <v>272</v>
      </c>
      <c r="S1045" s="20">
        <f>IFERROR(IF([2]对账明细接口!$N1045=0,"",[2]对账明细接口!$N1045),"")</f>
      </c>
      <c r="T1045" s="212">
        <f>IFERROR(IF([2]对账明细接口!$O1045=0,"",[2]对账明细接口!$O1045),"")</f>
      </c>
      <c r="U1045" s="212">
        <f>IFERROR(IF([2]对账明细接口!$P1045=0,"",[2]对账明细接口!$P1045),"")</f>
      </c>
      <c r="V1045" s="212">
        <f>IFERROR(IF([2]对账明细接口!$Q1045=0,"",[2]对账明细接口!$Q1045),"")</f>
      </c>
      <c r="W1045" s="20">
        <f>IFERROR(IF([2]对账明细接口!$R1045=0,"",[2]对账明细接口!$R1045),"")</f>
      </c>
      <c r="X1045" s="20">
        <f>IFERROR(IF([2]对账明细接口!$S1045=0,"",[2]对账明细接口!$S1045),"")</f>
      </c>
      <c r="Y1045" s="20">
        <f>""</f>
      </c>
      <c r="Z1045" s="20">
        <f>""</f>
      </c>
      <c r="AA1045" s="20">
        <f>""</f>
      </c>
      <c r="AB1045" s="20">
        <f>""</f>
      </c>
    </row>
    <row r="1046" s="127">
      <c r="A1046" s="14" t="n">
        <v>1046</v>
      </c>
      <c r="B1046" s="211">
        <f>IFERROR(IF([2]对账明细接口!$B$1046=0,"",[2]对账明细接口!$B$1046),"")</f>
      </c>
      <c r="C1046" s="16">
        <f>IFERROR(IF([2]对账明细接口!$C$1046=0,"",[2]对账明细接口!$C$1046),"")</f>
      </c>
      <c r="D1046" s="16">
        <f>IFERROR(IF([2]对账明细接口!$D$1046=0,"",[2]对账明细接口!$D$1046),"")</f>
      </c>
      <c r="E1046" s="16">
        <f>IFERROR(IF([2]对账明细接口!$E$1046=0,"",[2]对账明细接口!$E$1046),"")</f>
      </c>
      <c r="F1046" s="16">
        <f>IFERROR(IF([2]对账明细接口!$F$1046=0,"",[2]对账明细接口!$F$1046),"")</f>
      </c>
      <c r="G1046" s="16">
        <f>IFERROR(IF([2]对账明细接口!$G$1046=0,"",[2]对账明细接口!$G$1046),"")</f>
      </c>
      <c r="H1046" s="176">
        <f>IFERROR(IF([2]对账明细接口!$H$1046=0,"",[2]对账明细接口!$H$1046),"")</f>
      </c>
      <c r="I1046" s="16">
        <f>IFERROR(IF([2]对账明细接口!$I$1046=0,"",[2]对账明细接口!$I$1046),"")</f>
      </c>
      <c r="J1046" s="177">
        <f>IFERROR(IF([2]对账明细接口!$J$1046=0,"",[2]对账明细接口!$J$1046),"")</f>
      </c>
      <c r="K1046" s="177">
        <f>IFERROR(IF([2]对账明细接口!$K$1046=0,"",[2]对账明细接口!$K$1046),"")</f>
      </c>
      <c r="L1046" s="16">
        <f>IFERROR(IF([2]对账明细接口!$L$1046=0,"",[2]对账明细接口!$L$1046),"")</f>
      </c>
      <c r="M1046" s="16">
        <f>IFERROR(IF([2]对账明细接口!$M$1046=0,"",[2]对账明细接口!$M$1046),"")</f>
      </c>
      <c r="N1046" s="19">
        <f>IF($C1046="",0,1)</f>
        <v>0</v>
      </c>
      <c r="O1046" s="19">
        <f>N(O1045)+$N1046</f>
        <v>272</v>
      </c>
      <c r="S1046" s="20">
        <f>IFERROR(IF([2]对账明细接口!$N1046=0,"",[2]对账明细接口!$N1046),"")</f>
      </c>
      <c r="T1046" s="212">
        <f>IFERROR(IF([2]对账明细接口!$O1046=0,"",[2]对账明细接口!$O1046),"")</f>
      </c>
      <c r="U1046" s="212">
        <f>IFERROR(IF([2]对账明细接口!$P1046=0,"",[2]对账明细接口!$P1046),"")</f>
      </c>
      <c r="V1046" s="212">
        <f>IFERROR(IF([2]对账明细接口!$Q1046=0,"",[2]对账明细接口!$Q1046),"")</f>
      </c>
      <c r="W1046" s="20">
        <f>IFERROR(IF([2]对账明细接口!$R1046=0,"",[2]对账明细接口!$R1046),"")</f>
      </c>
      <c r="X1046" s="20">
        <f>IFERROR(IF([2]对账明细接口!$S1046=0,"",[2]对账明细接口!$S1046),"")</f>
      </c>
      <c r="Y1046" s="20">
        <f>""</f>
      </c>
      <c r="Z1046" s="20">
        <f>""</f>
      </c>
      <c r="AA1046" s="20">
        <f>""</f>
      </c>
      <c r="AB1046" s="20">
        <f>""</f>
      </c>
    </row>
    <row r="1047" s="127">
      <c r="A1047" s="14" t="n">
        <v>1047</v>
      </c>
      <c r="B1047" s="211">
        <f>IFERROR(IF([2]对账明细接口!$B$1047=0,"",[2]对账明细接口!$B$1047),"")</f>
      </c>
      <c r="C1047" s="16">
        <f>IFERROR(IF([2]对账明细接口!$C$1047=0,"",[2]对账明细接口!$C$1047),"")</f>
      </c>
      <c r="D1047" s="16">
        <f>IFERROR(IF([2]对账明细接口!$D$1047=0,"",[2]对账明细接口!$D$1047),"")</f>
      </c>
      <c r="E1047" s="16">
        <f>IFERROR(IF([2]对账明细接口!$E$1047=0,"",[2]对账明细接口!$E$1047),"")</f>
      </c>
      <c r="F1047" s="16">
        <f>IFERROR(IF([2]对账明细接口!$F$1047=0,"",[2]对账明细接口!$F$1047),"")</f>
      </c>
      <c r="G1047" s="16">
        <f>IFERROR(IF([2]对账明细接口!$G$1047=0,"",[2]对账明细接口!$G$1047),"")</f>
      </c>
      <c r="H1047" s="176">
        <f>IFERROR(IF([2]对账明细接口!$H$1047=0,"",[2]对账明细接口!$H$1047),"")</f>
      </c>
      <c r="I1047" s="16">
        <f>IFERROR(IF([2]对账明细接口!$I$1047=0,"",[2]对账明细接口!$I$1047),"")</f>
      </c>
      <c r="J1047" s="177">
        <f>IFERROR(IF([2]对账明细接口!$J$1047=0,"",[2]对账明细接口!$J$1047),"")</f>
      </c>
      <c r="K1047" s="177">
        <f>IFERROR(IF([2]对账明细接口!$K$1047=0,"",[2]对账明细接口!$K$1047),"")</f>
      </c>
      <c r="L1047" s="16">
        <f>IFERROR(IF([2]对账明细接口!$L$1047=0,"",[2]对账明细接口!$L$1047),"")</f>
      </c>
      <c r="M1047" s="16">
        <f>IFERROR(IF([2]对账明细接口!$M$1047=0,"",[2]对账明细接口!$M$1047),"")</f>
      </c>
      <c r="N1047" s="19">
        <f>IF($C1047="",0,1)</f>
        <v>0</v>
      </c>
      <c r="O1047" s="19">
        <f>N(O1046)+$N1047</f>
        <v>272</v>
      </c>
      <c r="S1047" s="20">
        <f>IFERROR(IF([2]对账明细接口!$N1047=0,"",[2]对账明细接口!$N1047),"")</f>
      </c>
      <c r="T1047" s="212">
        <f>IFERROR(IF([2]对账明细接口!$O1047=0,"",[2]对账明细接口!$O1047),"")</f>
      </c>
      <c r="U1047" s="212">
        <f>IFERROR(IF([2]对账明细接口!$P1047=0,"",[2]对账明细接口!$P1047),"")</f>
      </c>
      <c r="V1047" s="212">
        <f>IFERROR(IF([2]对账明细接口!$Q1047=0,"",[2]对账明细接口!$Q1047),"")</f>
      </c>
      <c r="W1047" s="20">
        <f>IFERROR(IF([2]对账明细接口!$R1047=0,"",[2]对账明细接口!$R1047),"")</f>
      </c>
      <c r="X1047" s="20">
        <f>IFERROR(IF([2]对账明细接口!$S1047=0,"",[2]对账明细接口!$S1047),"")</f>
      </c>
      <c r="Y1047" s="20">
        <f>""</f>
      </c>
      <c r="Z1047" s="20">
        <f>""</f>
      </c>
      <c r="AA1047" s="20">
        <f>""</f>
      </c>
      <c r="AB1047" s="20">
        <f>""</f>
      </c>
    </row>
    <row r="1048" s="127">
      <c r="A1048" s="14" t="n">
        <v>1048</v>
      </c>
      <c r="B1048" s="211">
        <f>IFERROR(IF([2]对账明细接口!$B$1048=0,"",[2]对账明细接口!$B$1048),"")</f>
      </c>
      <c r="C1048" s="16">
        <f>IFERROR(IF([2]对账明细接口!$C$1048=0,"",[2]对账明细接口!$C$1048),"")</f>
      </c>
      <c r="D1048" s="16">
        <f>IFERROR(IF([2]对账明细接口!$D$1048=0,"",[2]对账明细接口!$D$1048),"")</f>
      </c>
      <c r="E1048" s="16">
        <f>IFERROR(IF([2]对账明细接口!$E$1048=0,"",[2]对账明细接口!$E$1048),"")</f>
      </c>
      <c r="F1048" s="16">
        <f>IFERROR(IF([2]对账明细接口!$F$1048=0,"",[2]对账明细接口!$F$1048),"")</f>
      </c>
      <c r="G1048" s="16">
        <f>IFERROR(IF([2]对账明细接口!$G$1048=0,"",[2]对账明细接口!$G$1048),"")</f>
      </c>
      <c r="H1048" s="176">
        <f>IFERROR(IF([2]对账明细接口!$H$1048=0,"",[2]对账明细接口!$H$1048),"")</f>
      </c>
      <c r="I1048" s="16">
        <f>IFERROR(IF([2]对账明细接口!$I$1048=0,"",[2]对账明细接口!$I$1048),"")</f>
      </c>
      <c r="J1048" s="177">
        <f>IFERROR(IF([2]对账明细接口!$J$1048=0,"",[2]对账明细接口!$J$1048),"")</f>
      </c>
      <c r="K1048" s="177">
        <f>IFERROR(IF([2]对账明细接口!$K$1048=0,"",[2]对账明细接口!$K$1048),"")</f>
      </c>
      <c r="L1048" s="16">
        <f>IFERROR(IF([2]对账明细接口!$L$1048=0,"",[2]对账明细接口!$L$1048),"")</f>
      </c>
      <c r="M1048" s="16">
        <f>IFERROR(IF([2]对账明细接口!$M$1048=0,"",[2]对账明细接口!$M$1048),"")</f>
      </c>
      <c r="N1048" s="19">
        <f>IF($C1048="",0,1)</f>
        <v>0</v>
      </c>
      <c r="O1048" s="19">
        <f>N(O1047)+$N1048</f>
        <v>272</v>
      </c>
      <c r="S1048" s="20">
        <f>IFERROR(IF([2]对账明细接口!$N1048=0,"",[2]对账明细接口!$N1048),"")</f>
      </c>
      <c r="T1048" s="212">
        <f>IFERROR(IF([2]对账明细接口!$O1048=0,"",[2]对账明细接口!$O1048),"")</f>
      </c>
      <c r="U1048" s="212">
        <f>IFERROR(IF([2]对账明细接口!$P1048=0,"",[2]对账明细接口!$P1048),"")</f>
      </c>
      <c r="V1048" s="212">
        <f>IFERROR(IF([2]对账明细接口!$Q1048=0,"",[2]对账明细接口!$Q1048),"")</f>
      </c>
      <c r="W1048" s="20">
        <f>IFERROR(IF([2]对账明细接口!$R1048=0,"",[2]对账明细接口!$R1048),"")</f>
      </c>
      <c r="X1048" s="20">
        <f>IFERROR(IF([2]对账明细接口!$S1048=0,"",[2]对账明细接口!$S1048),"")</f>
      </c>
      <c r="Y1048" s="20">
        <f>""</f>
      </c>
      <c r="Z1048" s="20">
        <f>""</f>
      </c>
      <c r="AA1048" s="20">
        <f>""</f>
      </c>
      <c r="AB1048" s="20">
        <f>""</f>
      </c>
    </row>
    <row r="1049" s="127">
      <c r="A1049" s="14" t="n">
        <v>1049</v>
      </c>
      <c r="B1049" s="211">
        <f>IFERROR(IF([2]对账明细接口!$B$1049=0,"",[2]对账明细接口!$B$1049),"")</f>
      </c>
      <c r="C1049" s="16">
        <f>IFERROR(IF([2]对账明细接口!$C$1049=0,"",[2]对账明细接口!$C$1049),"")</f>
      </c>
      <c r="D1049" s="16">
        <f>IFERROR(IF([2]对账明细接口!$D$1049=0,"",[2]对账明细接口!$D$1049),"")</f>
      </c>
      <c r="E1049" s="16">
        <f>IFERROR(IF([2]对账明细接口!$E$1049=0,"",[2]对账明细接口!$E$1049),"")</f>
      </c>
      <c r="F1049" s="16">
        <f>IFERROR(IF([2]对账明细接口!$F$1049=0,"",[2]对账明细接口!$F$1049),"")</f>
      </c>
      <c r="G1049" s="16">
        <f>IFERROR(IF([2]对账明细接口!$G$1049=0,"",[2]对账明细接口!$G$1049),"")</f>
      </c>
      <c r="H1049" s="176">
        <f>IFERROR(IF([2]对账明细接口!$H$1049=0,"",[2]对账明细接口!$H$1049),"")</f>
      </c>
      <c r="I1049" s="16">
        <f>IFERROR(IF([2]对账明细接口!$I$1049=0,"",[2]对账明细接口!$I$1049),"")</f>
      </c>
      <c r="J1049" s="177">
        <f>IFERROR(IF([2]对账明细接口!$J$1049=0,"",[2]对账明细接口!$J$1049),"")</f>
      </c>
      <c r="K1049" s="177">
        <f>IFERROR(IF([2]对账明细接口!$K$1049=0,"",[2]对账明细接口!$K$1049),"")</f>
      </c>
      <c r="L1049" s="16">
        <f>IFERROR(IF([2]对账明细接口!$L$1049=0,"",[2]对账明细接口!$L$1049),"")</f>
      </c>
      <c r="M1049" s="16">
        <f>IFERROR(IF([2]对账明细接口!$M$1049=0,"",[2]对账明细接口!$M$1049),"")</f>
      </c>
      <c r="N1049" s="19">
        <f>IF($C1049="",0,1)</f>
        <v>0</v>
      </c>
      <c r="O1049" s="19">
        <f>N(O1048)+$N1049</f>
        <v>272</v>
      </c>
      <c r="S1049" s="20">
        <f>IFERROR(IF([2]对账明细接口!$N1049=0,"",[2]对账明细接口!$N1049),"")</f>
      </c>
      <c r="T1049" s="212">
        <f>IFERROR(IF([2]对账明细接口!$O1049=0,"",[2]对账明细接口!$O1049),"")</f>
      </c>
      <c r="U1049" s="212">
        <f>IFERROR(IF([2]对账明细接口!$P1049=0,"",[2]对账明细接口!$P1049),"")</f>
      </c>
      <c r="V1049" s="212">
        <f>IFERROR(IF([2]对账明细接口!$Q1049=0,"",[2]对账明细接口!$Q1049),"")</f>
      </c>
      <c r="W1049" s="20">
        <f>IFERROR(IF([2]对账明细接口!$R1049=0,"",[2]对账明细接口!$R1049),"")</f>
      </c>
      <c r="X1049" s="20">
        <f>IFERROR(IF([2]对账明细接口!$S1049=0,"",[2]对账明细接口!$S1049),"")</f>
      </c>
      <c r="Y1049" s="20">
        <f>""</f>
      </c>
      <c r="Z1049" s="20">
        <f>""</f>
      </c>
      <c r="AA1049" s="20">
        <f>""</f>
      </c>
      <c r="AB1049" s="20">
        <f>""</f>
      </c>
    </row>
    <row r="1050" s="127">
      <c r="A1050" s="14" t="n">
        <v>1050</v>
      </c>
      <c r="B1050" s="211">
        <f>IFERROR(IF([2]对账明细接口!$B$1050=0,"",[2]对账明细接口!$B$1050),"")</f>
      </c>
      <c r="C1050" s="16">
        <f>IFERROR(IF([2]对账明细接口!$C$1050=0,"",[2]对账明细接口!$C$1050),"")</f>
      </c>
      <c r="D1050" s="16">
        <f>IFERROR(IF([2]对账明细接口!$D$1050=0,"",[2]对账明细接口!$D$1050),"")</f>
      </c>
      <c r="E1050" s="16">
        <f>IFERROR(IF([2]对账明细接口!$E$1050=0,"",[2]对账明细接口!$E$1050),"")</f>
      </c>
      <c r="F1050" s="16">
        <f>IFERROR(IF([2]对账明细接口!$F$1050=0,"",[2]对账明细接口!$F$1050),"")</f>
      </c>
      <c r="G1050" s="16">
        <f>IFERROR(IF([2]对账明细接口!$G$1050=0,"",[2]对账明细接口!$G$1050),"")</f>
      </c>
      <c r="H1050" s="176">
        <f>IFERROR(IF([2]对账明细接口!$H$1050=0,"",[2]对账明细接口!$H$1050),"")</f>
      </c>
      <c r="I1050" s="16">
        <f>IFERROR(IF([2]对账明细接口!$I$1050=0,"",[2]对账明细接口!$I$1050),"")</f>
      </c>
      <c r="J1050" s="177">
        <f>IFERROR(IF([2]对账明细接口!$J$1050=0,"",[2]对账明细接口!$J$1050),"")</f>
      </c>
      <c r="K1050" s="177">
        <f>IFERROR(IF([2]对账明细接口!$K$1050=0,"",[2]对账明细接口!$K$1050),"")</f>
      </c>
      <c r="L1050" s="16">
        <f>IFERROR(IF([2]对账明细接口!$L$1050=0,"",[2]对账明细接口!$L$1050),"")</f>
      </c>
      <c r="M1050" s="16">
        <f>IFERROR(IF([2]对账明细接口!$M$1050=0,"",[2]对账明细接口!$M$1050),"")</f>
      </c>
      <c r="N1050" s="19">
        <f>IF($C1050="",0,1)</f>
        <v>0</v>
      </c>
      <c r="O1050" s="19">
        <f>N(O1049)+$N1050</f>
        <v>272</v>
      </c>
      <c r="S1050" s="20">
        <f>IFERROR(IF([2]对账明细接口!$N1050=0,"",[2]对账明细接口!$N1050),"")</f>
      </c>
      <c r="T1050" s="212">
        <f>IFERROR(IF([2]对账明细接口!$O1050=0,"",[2]对账明细接口!$O1050),"")</f>
      </c>
      <c r="U1050" s="212">
        <f>IFERROR(IF([2]对账明细接口!$P1050=0,"",[2]对账明细接口!$P1050),"")</f>
      </c>
      <c r="V1050" s="212">
        <f>IFERROR(IF([2]对账明细接口!$Q1050=0,"",[2]对账明细接口!$Q1050),"")</f>
      </c>
      <c r="W1050" s="20">
        <f>IFERROR(IF([2]对账明细接口!$R1050=0,"",[2]对账明细接口!$R1050),"")</f>
      </c>
      <c r="X1050" s="20">
        <f>IFERROR(IF([2]对账明细接口!$S1050=0,"",[2]对账明细接口!$S1050),"")</f>
      </c>
      <c r="Y1050" s="20">
        <f>""</f>
      </c>
      <c r="Z1050" s="20">
        <f>""</f>
      </c>
      <c r="AA1050" s="20">
        <f>""</f>
      </c>
      <c r="AB1050" s="20">
        <f>""</f>
      </c>
    </row>
    <row r="1051" s="127">
      <c r="A1051" s="14" t="n">
        <v>1051</v>
      </c>
      <c r="B1051" s="211">
        <f>IFERROR(IF([2]对账明细接口!$B$1051=0,"",[2]对账明细接口!$B$1051),"")</f>
      </c>
      <c r="C1051" s="16">
        <f>IFERROR(IF([2]对账明细接口!$C$1051=0,"",[2]对账明细接口!$C$1051),"")</f>
      </c>
      <c r="D1051" s="16">
        <f>IFERROR(IF([2]对账明细接口!$D$1051=0,"",[2]对账明细接口!$D$1051),"")</f>
      </c>
      <c r="E1051" s="16">
        <f>IFERROR(IF([2]对账明细接口!$E$1051=0,"",[2]对账明细接口!$E$1051),"")</f>
      </c>
      <c r="F1051" s="16">
        <f>IFERROR(IF([2]对账明细接口!$F$1051=0,"",[2]对账明细接口!$F$1051),"")</f>
      </c>
      <c r="G1051" s="16">
        <f>IFERROR(IF([2]对账明细接口!$G$1051=0,"",[2]对账明细接口!$G$1051),"")</f>
      </c>
      <c r="H1051" s="176">
        <f>IFERROR(IF([2]对账明细接口!$H$1051=0,"",[2]对账明细接口!$H$1051),"")</f>
      </c>
      <c r="I1051" s="16">
        <f>IFERROR(IF([2]对账明细接口!$I$1051=0,"",[2]对账明细接口!$I$1051),"")</f>
      </c>
      <c r="J1051" s="177">
        <f>IFERROR(IF([2]对账明细接口!$J$1051=0,"",[2]对账明细接口!$J$1051),"")</f>
      </c>
      <c r="K1051" s="177">
        <f>IFERROR(IF([2]对账明细接口!$K$1051=0,"",[2]对账明细接口!$K$1051),"")</f>
      </c>
      <c r="L1051" s="16">
        <f>IFERROR(IF([2]对账明细接口!$L$1051=0,"",[2]对账明细接口!$L$1051),"")</f>
      </c>
      <c r="M1051" s="16">
        <f>IFERROR(IF([2]对账明细接口!$M$1051=0,"",[2]对账明细接口!$M$1051),"")</f>
      </c>
      <c r="N1051" s="19">
        <f>IF($C1051="",0,1)</f>
        <v>0</v>
      </c>
      <c r="O1051" s="19">
        <f>N(O1050)+$N1051</f>
        <v>272</v>
      </c>
      <c r="S1051" s="20">
        <f>IFERROR(IF([2]对账明细接口!$N1051=0,"",[2]对账明细接口!$N1051),"")</f>
      </c>
      <c r="T1051" s="212">
        <f>IFERROR(IF([2]对账明细接口!$O1051=0,"",[2]对账明细接口!$O1051),"")</f>
      </c>
      <c r="U1051" s="212">
        <f>IFERROR(IF([2]对账明细接口!$P1051=0,"",[2]对账明细接口!$P1051),"")</f>
      </c>
      <c r="V1051" s="212">
        <f>IFERROR(IF([2]对账明细接口!$Q1051=0,"",[2]对账明细接口!$Q1051),"")</f>
      </c>
      <c r="W1051" s="20">
        <f>IFERROR(IF([2]对账明细接口!$R1051=0,"",[2]对账明细接口!$R1051),"")</f>
      </c>
      <c r="X1051" s="20">
        <f>IFERROR(IF([2]对账明细接口!$S1051=0,"",[2]对账明细接口!$S1051),"")</f>
      </c>
      <c r="Y1051" s="20">
        <f>""</f>
      </c>
      <c r="Z1051" s="20">
        <f>""</f>
      </c>
      <c r="AA1051" s="20">
        <f>""</f>
      </c>
      <c r="AB1051" s="20">
        <f>""</f>
      </c>
    </row>
    <row r="1052" s="127">
      <c r="A1052" s="14" t="n">
        <v>1052</v>
      </c>
      <c r="B1052" s="211">
        <f>IFERROR(IF([2]对账明细接口!$B$1052=0,"",[2]对账明细接口!$B$1052),"")</f>
      </c>
      <c r="C1052" s="16">
        <f>IFERROR(IF([2]对账明细接口!$C$1052=0,"",[2]对账明细接口!$C$1052),"")</f>
      </c>
      <c r="D1052" s="16">
        <f>IFERROR(IF([2]对账明细接口!$D$1052=0,"",[2]对账明细接口!$D$1052),"")</f>
      </c>
      <c r="E1052" s="16">
        <f>IFERROR(IF([2]对账明细接口!$E$1052=0,"",[2]对账明细接口!$E$1052),"")</f>
      </c>
      <c r="F1052" s="16">
        <f>IFERROR(IF([2]对账明细接口!$F$1052=0,"",[2]对账明细接口!$F$1052),"")</f>
      </c>
      <c r="G1052" s="16">
        <f>IFERROR(IF([2]对账明细接口!$G$1052=0,"",[2]对账明细接口!$G$1052),"")</f>
      </c>
      <c r="H1052" s="176">
        <f>IFERROR(IF([2]对账明细接口!$H$1052=0,"",[2]对账明细接口!$H$1052),"")</f>
      </c>
      <c r="I1052" s="16">
        <f>IFERROR(IF([2]对账明细接口!$I$1052=0,"",[2]对账明细接口!$I$1052),"")</f>
      </c>
      <c r="J1052" s="177">
        <f>IFERROR(IF([2]对账明细接口!$J$1052=0,"",[2]对账明细接口!$J$1052),"")</f>
      </c>
      <c r="K1052" s="177">
        <f>IFERROR(IF([2]对账明细接口!$K$1052=0,"",[2]对账明细接口!$K$1052),"")</f>
      </c>
      <c r="L1052" s="16">
        <f>IFERROR(IF([2]对账明细接口!$L$1052=0,"",[2]对账明细接口!$L$1052),"")</f>
      </c>
      <c r="M1052" s="16">
        <f>IFERROR(IF([2]对账明细接口!$M$1052=0,"",[2]对账明细接口!$M$1052),"")</f>
      </c>
      <c r="N1052" s="19">
        <f>IF($C1052="",0,1)</f>
        <v>0</v>
      </c>
      <c r="O1052" s="19">
        <f>N(O1051)+$N1052</f>
        <v>272</v>
      </c>
      <c r="S1052" s="20">
        <f>IFERROR(IF([2]对账明细接口!$N1052=0,"",[2]对账明细接口!$N1052),"")</f>
      </c>
      <c r="T1052" s="212">
        <f>IFERROR(IF([2]对账明细接口!$O1052=0,"",[2]对账明细接口!$O1052),"")</f>
      </c>
      <c r="U1052" s="212">
        <f>IFERROR(IF([2]对账明细接口!$P1052=0,"",[2]对账明细接口!$P1052),"")</f>
      </c>
      <c r="V1052" s="212">
        <f>IFERROR(IF([2]对账明细接口!$Q1052=0,"",[2]对账明细接口!$Q1052),"")</f>
      </c>
      <c r="W1052" s="20">
        <f>IFERROR(IF([2]对账明细接口!$R1052=0,"",[2]对账明细接口!$R1052),"")</f>
      </c>
      <c r="X1052" s="20">
        <f>IFERROR(IF([2]对账明细接口!$S1052=0,"",[2]对账明细接口!$S1052),"")</f>
      </c>
      <c r="Y1052" s="20">
        <f>""</f>
      </c>
      <c r="Z1052" s="20">
        <f>""</f>
      </c>
      <c r="AA1052" s="20">
        <f>""</f>
      </c>
      <c r="AB1052" s="20">
        <f>""</f>
      </c>
    </row>
    <row r="1053" s="127">
      <c r="A1053" s="14" t="n">
        <v>1053</v>
      </c>
      <c r="B1053" s="211">
        <f>IFERROR(IF([2]对账明细接口!$B$1053=0,"",[2]对账明细接口!$B$1053),"")</f>
      </c>
      <c r="C1053" s="16">
        <f>IFERROR(IF([2]对账明细接口!$C$1053=0,"",[2]对账明细接口!$C$1053),"")</f>
      </c>
      <c r="D1053" s="16">
        <f>IFERROR(IF([2]对账明细接口!$D$1053=0,"",[2]对账明细接口!$D$1053),"")</f>
      </c>
      <c r="E1053" s="16">
        <f>IFERROR(IF([2]对账明细接口!$E$1053=0,"",[2]对账明细接口!$E$1053),"")</f>
      </c>
      <c r="F1053" s="16">
        <f>IFERROR(IF([2]对账明细接口!$F$1053=0,"",[2]对账明细接口!$F$1053),"")</f>
      </c>
      <c r="G1053" s="16">
        <f>IFERROR(IF([2]对账明细接口!$G$1053=0,"",[2]对账明细接口!$G$1053),"")</f>
      </c>
      <c r="H1053" s="176">
        <f>IFERROR(IF([2]对账明细接口!$H$1053=0,"",[2]对账明细接口!$H$1053),"")</f>
      </c>
      <c r="I1053" s="16">
        <f>IFERROR(IF([2]对账明细接口!$I$1053=0,"",[2]对账明细接口!$I$1053),"")</f>
      </c>
      <c r="J1053" s="177">
        <f>IFERROR(IF([2]对账明细接口!$J$1053=0,"",[2]对账明细接口!$J$1053),"")</f>
      </c>
      <c r="K1053" s="177">
        <f>IFERROR(IF([2]对账明细接口!$K$1053=0,"",[2]对账明细接口!$K$1053),"")</f>
      </c>
      <c r="L1053" s="16">
        <f>IFERROR(IF([2]对账明细接口!$L$1053=0,"",[2]对账明细接口!$L$1053),"")</f>
      </c>
      <c r="M1053" s="16">
        <f>IFERROR(IF([2]对账明细接口!$M$1053=0,"",[2]对账明细接口!$M$1053),"")</f>
      </c>
      <c r="N1053" s="19">
        <f>IF($C1053="",0,1)</f>
        <v>0</v>
      </c>
      <c r="O1053" s="19">
        <f>N(O1052)+$N1053</f>
        <v>272</v>
      </c>
      <c r="S1053" s="20">
        <f>IFERROR(IF([2]对账明细接口!$N1053=0,"",[2]对账明细接口!$N1053),"")</f>
      </c>
      <c r="T1053" s="212">
        <f>IFERROR(IF([2]对账明细接口!$O1053=0,"",[2]对账明细接口!$O1053),"")</f>
      </c>
      <c r="U1053" s="212">
        <f>IFERROR(IF([2]对账明细接口!$P1053=0,"",[2]对账明细接口!$P1053),"")</f>
      </c>
      <c r="V1053" s="212">
        <f>IFERROR(IF([2]对账明细接口!$Q1053=0,"",[2]对账明细接口!$Q1053),"")</f>
      </c>
      <c r="W1053" s="20">
        <f>IFERROR(IF([2]对账明细接口!$R1053=0,"",[2]对账明细接口!$R1053),"")</f>
      </c>
      <c r="X1053" s="20">
        <f>IFERROR(IF([2]对账明细接口!$S1053=0,"",[2]对账明细接口!$S1053),"")</f>
      </c>
      <c r="Y1053" s="20">
        <f>""</f>
      </c>
      <c r="Z1053" s="20">
        <f>""</f>
      </c>
      <c r="AA1053" s="20">
        <f>""</f>
      </c>
      <c r="AB1053" s="20">
        <f>""</f>
      </c>
    </row>
    <row r="1054" s="127">
      <c r="A1054" s="14" t="n">
        <v>1054</v>
      </c>
      <c r="B1054" s="211">
        <f>IFERROR(IF([2]对账明细接口!$B$1054=0,"",[2]对账明细接口!$B$1054),"")</f>
      </c>
      <c r="C1054" s="16">
        <f>IFERROR(IF([2]对账明细接口!$C$1054=0,"",[2]对账明细接口!$C$1054),"")</f>
      </c>
      <c r="D1054" s="16">
        <f>IFERROR(IF([2]对账明细接口!$D$1054=0,"",[2]对账明细接口!$D$1054),"")</f>
      </c>
      <c r="E1054" s="16">
        <f>IFERROR(IF([2]对账明细接口!$E$1054=0,"",[2]对账明细接口!$E$1054),"")</f>
      </c>
      <c r="F1054" s="16">
        <f>IFERROR(IF([2]对账明细接口!$F$1054=0,"",[2]对账明细接口!$F$1054),"")</f>
      </c>
      <c r="G1054" s="16">
        <f>IFERROR(IF([2]对账明细接口!$G$1054=0,"",[2]对账明细接口!$G$1054),"")</f>
      </c>
      <c r="H1054" s="176">
        <f>IFERROR(IF([2]对账明细接口!$H$1054=0,"",[2]对账明细接口!$H$1054),"")</f>
      </c>
      <c r="I1054" s="16">
        <f>IFERROR(IF([2]对账明细接口!$I$1054=0,"",[2]对账明细接口!$I$1054),"")</f>
      </c>
      <c r="J1054" s="177">
        <f>IFERROR(IF([2]对账明细接口!$J$1054=0,"",[2]对账明细接口!$J$1054),"")</f>
      </c>
      <c r="K1054" s="177">
        <f>IFERROR(IF([2]对账明细接口!$K$1054=0,"",[2]对账明细接口!$K$1054),"")</f>
      </c>
      <c r="L1054" s="16">
        <f>IFERROR(IF([2]对账明细接口!$L$1054=0,"",[2]对账明细接口!$L$1054),"")</f>
      </c>
      <c r="M1054" s="16">
        <f>IFERROR(IF([2]对账明细接口!$M$1054=0,"",[2]对账明细接口!$M$1054),"")</f>
      </c>
      <c r="N1054" s="19">
        <f>IF($C1054="",0,1)</f>
        <v>0</v>
      </c>
      <c r="O1054" s="19">
        <f>N(O1053)+$N1054</f>
        <v>272</v>
      </c>
      <c r="S1054" s="20">
        <f>IFERROR(IF([2]对账明细接口!$N1054=0,"",[2]对账明细接口!$N1054),"")</f>
      </c>
      <c r="T1054" s="212">
        <f>IFERROR(IF([2]对账明细接口!$O1054=0,"",[2]对账明细接口!$O1054),"")</f>
      </c>
      <c r="U1054" s="212">
        <f>IFERROR(IF([2]对账明细接口!$P1054=0,"",[2]对账明细接口!$P1054),"")</f>
      </c>
      <c r="V1054" s="212">
        <f>IFERROR(IF([2]对账明细接口!$Q1054=0,"",[2]对账明细接口!$Q1054),"")</f>
      </c>
      <c r="W1054" s="20">
        <f>IFERROR(IF([2]对账明细接口!$R1054=0,"",[2]对账明细接口!$R1054),"")</f>
      </c>
      <c r="X1054" s="20">
        <f>IFERROR(IF([2]对账明细接口!$S1054=0,"",[2]对账明细接口!$S1054),"")</f>
      </c>
      <c r="Y1054" s="20">
        <f>""</f>
      </c>
      <c r="Z1054" s="20">
        <f>""</f>
      </c>
      <c r="AA1054" s="20">
        <f>""</f>
      </c>
      <c r="AB1054" s="20">
        <f>""</f>
      </c>
    </row>
    <row r="1055" s="127">
      <c r="A1055" s="14" t="n">
        <v>1055</v>
      </c>
      <c r="B1055" s="211">
        <f>IFERROR(IF([2]对账明细接口!$B$1055=0,"",[2]对账明细接口!$B$1055),"")</f>
      </c>
      <c r="C1055" s="16">
        <f>IFERROR(IF([2]对账明细接口!$C$1055=0,"",[2]对账明细接口!$C$1055),"")</f>
      </c>
      <c r="D1055" s="16">
        <f>IFERROR(IF([2]对账明细接口!$D$1055=0,"",[2]对账明细接口!$D$1055),"")</f>
      </c>
      <c r="E1055" s="16">
        <f>IFERROR(IF([2]对账明细接口!$E$1055=0,"",[2]对账明细接口!$E$1055),"")</f>
      </c>
      <c r="F1055" s="16">
        <f>IFERROR(IF([2]对账明细接口!$F$1055=0,"",[2]对账明细接口!$F$1055),"")</f>
      </c>
      <c r="G1055" s="16">
        <f>IFERROR(IF([2]对账明细接口!$G$1055=0,"",[2]对账明细接口!$G$1055),"")</f>
      </c>
      <c r="H1055" s="176">
        <f>IFERROR(IF([2]对账明细接口!$H$1055=0,"",[2]对账明细接口!$H$1055),"")</f>
      </c>
      <c r="I1055" s="16">
        <f>IFERROR(IF([2]对账明细接口!$I$1055=0,"",[2]对账明细接口!$I$1055),"")</f>
      </c>
      <c r="J1055" s="177">
        <f>IFERROR(IF([2]对账明细接口!$J$1055=0,"",[2]对账明细接口!$J$1055),"")</f>
      </c>
      <c r="K1055" s="177">
        <f>IFERROR(IF([2]对账明细接口!$K$1055=0,"",[2]对账明细接口!$K$1055),"")</f>
      </c>
      <c r="L1055" s="16">
        <f>IFERROR(IF([2]对账明细接口!$L$1055=0,"",[2]对账明细接口!$L$1055),"")</f>
      </c>
      <c r="M1055" s="16">
        <f>IFERROR(IF([2]对账明细接口!$M$1055=0,"",[2]对账明细接口!$M$1055),"")</f>
      </c>
      <c r="N1055" s="19">
        <f>IF($C1055="",0,1)</f>
        <v>0</v>
      </c>
      <c r="O1055" s="19">
        <f>N(O1054)+$N1055</f>
        <v>272</v>
      </c>
      <c r="S1055" s="20">
        <f>IFERROR(IF([2]对账明细接口!$N1055=0,"",[2]对账明细接口!$N1055),"")</f>
      </c>
      <c r="T1055" s="212">
        <f>IFERROR(IF([2]对账明细接口!$O1055=0,"",[2]对账明细接口!$O1055),"")</f>
      </c>
      <c r="U1055" s="212">
        <f>IFERROR(IF([2]对账明细接口!$P1055=0,"",[2]对账明细接口!$P1055),"")</f>
      </c>
      <c r="V1055" s="212">
        <f>IFERROR(IF([2]对账明细接口!$Q1055=0,"",[2]对账明细接口!$Q1055),"")</f>
      </c>
      <c r="W1055" s="20">
        <f>IFERROR(IF([2]对账明细接口!$R1055=0,"",[2]对账明细接口!$R1055),"")</f>
      </c>
      <c r="X1055" s="20">
        <f>IFERROR(IF([2]对账明细接口!$S1055=0,"",[2]对账明细接口!$S1055),"")</f>
      </c>
      <c r="Y1055" s="20">
        <f>""</f>
      </c>
      <c r="Z1055" s="20">
        <f>""</f>
      </c>
      <c r="AA1055" s="20">
        <f>""</f>
      </c>
      <c r="AB1055" s="20">
        <f>""</f>
      </c>
    </row>
    <row r="1056" s="127">
      <c r="A1056" s="14" t="n">
        <v>1056</v>
      </c>
      <c r="B1056" s="211">
        <f>IFERROR(IF([2]对账明细接口!$B$1056=0,"",[2]对账明细接口!$B$1056),"")</f>
      </c>
      <c r="C1056" s="16">
        <f>IFERROR(IF([2]对账明细接口!$C$1056=0,"",[2]对账明细接口!$C$1056),"")</f>
      </c>
      <c r="D1056" s="16">
        <f>IFERROR(IF([2]对账明细接口!$D$1056=0,"",[2]对账明细接口!$D$1056),"")</f>
      </c>
      <c r="E1056" s="16">
        <f>IFERROR(IF([2]对账明细接口!$E$1056=0,"",[2]对账明细接口!$E$1056),"")</f>
      </c>
      <c r="F1056" s="16">
        <f>IFERROR(IF([2]对账明细接口!$F$1056=0,"",[2]对账明细接口!$F$1056),"")</f>
      </c>
      <c r="G1056" s="16">
        <f>IFERROR(IF([2]对账明细接口!$G$1056=0,"",[2]对账明细接口!$G$1056),"")</f>
      </c>
      <c r="H1056" s="176">
        <f>IFERROR(IF([2]对账明细接口!$H$1056=0,"",[2]对账明细接口!$H$1056),"")</f>
      </c>
      <c r="I1056" s="16">
        <f>IFERROR(IF([2]对账明细接口!$I$1056=0,"",[2]对账明细接口!$I$1056),"")</f>
      </c>
      <c r="J1056" s="177">
        <f>IFERROR(IF([2]对账明细接口!$J$1056=0,"",[2]对账明细接口!$J$1056),"")</f>
      </c>
      <c r="K1056" s="177">
        <f>IFERROR(IF([2]对账明细接口!$K$1056=0,"",[2]对账明细接口!$K$1056),"")</f>
      </c>
      <c r="L1056" s="16">
        <f>IFERROR(IF([2]对账明细接口!$L$1056=0,"",[2]对账明细接口!$L$1056),"")</f>
      </c>
      <c r="M1056" s="16">
        <f>IFERROR(IF([2]对账明细接口!$M$1056=0,"",[2]对账明细接口!$M$1056),"")</f>
      </c>
      <c r="N1056" s="19">
        <f>IF($C1056="",0,1)</f>
        <v>0</v>
      </c>
      <c r="O1056" s="19">
        <f>N(O1055)+$N1056</f>
        <v>272</v>
      </c>
      <c r="S1056" s="20">
        <f>IFERROR(IF([2]对账明细接口!$N1056=0,"",[2]对账明细接口!$N1056),"")</f>
      </c>
      <c r="T1056" s="212">
        <f>IFERROR(IF([2]对账明细接口!$O1056=0,"",[2]对账明细接口!$O1056),"")</f>
      </c>
      <c r="U1056" s="212">
        <f>IFERROR(IF([2]对账明细接口!$P1056=0,"",[2]对账明细接口!$P1056),"")</f>
      </c>
      <c r="V1056" s="212">
        <f>IFERROR(IF([2]对账明细接口!$Q1056=0,"",[2]对账明细接口!$Q1056),"")</f>
      </c>
      <c r="W1056" s="20">
        <f>IFERROR(IF([2]对账明细接口!$R1056=0,"",[2]对账明细接口!$R1056),"")</f>
      </c>
      <c r="X1056" s="20">
        <f>IFERROR(IF([2]对账明细接口!$S1056=0,"",[2]对账明细接口!$S1056),"")</f>
      </c>
      <c r="Y1056" s="20">
        <f>""</f>
      </c>
      <c r="Z1056" s="20">
        <f>""</f>
      </c>
      <c r="AA1056" s="20">
        <f>""</f>
      </c>
      <c r="AB1056" s="20">
        <f>""</f>
      </c>
    </row>
    <row r="1057" s="127">
      <c r="A1057" s="14" t="n">
        <v>1057</v>
      </c>
      <c r="B1057" s="211">
        <f>IFERROR(IF([2]对账明细接口!$B$1057=0,"",[2]对账明细接口!$B$1057),"")</f>
      </c>
      <c r="C1057" s="16">
        <f>IFERROR(IF([2]对账明细接口!$C$1057=0,"",[2]对账明细接口!$C$1057),"")</f>
      </c>
      <c r="D1057" s="16">
        <f>IFERROR(IF([2]对账明细接口!$D$1057=0,"",[2]对账明细接口!$D$1057),"")</f>
      </c>
      <c r="E1057" s="16">
        <f>IFERROR(IF([2]对账明细接口!$E$1057=0,"",[2]对账明细接口!$E$1057),"")</f>
      </c>
      <c r="F1057" s="16">
        <f>IFERROR(IF([2]对账明细接口!$F$1057=0,"",[2]对账明细接口!$F$1057),"")</f>
      </c>
      <c r="G1057" s="16">
        <f>IFERROR(IF([2]对账明细接口!$G$1057=0,"",[2]对账明细接口!$G$1057),"")</f>
      </c>
      <c r="H1057" s="176">
        <f>IFERROR(IF([2]对账明细接口!$H$1057=0,"",[2]对账明细接口!$H$1057),"")</f>
      </c>
      <c r="I1057" s="16">
        <f>IFERROR(IF([2]对账明细接口!$I$1057=0,"",[2]对账明细接口!$I$1057),"")</f>
      </c>
      <c r="J1057" s="177">
        <f>IFERROR(IF([2]对账明细接口!$J$1057=0,"",[2]对账明细接口!$J$1057),"")</f>
      </c>
      <c r="K1057" s="177">
        <f>IFERROR(IF([2]对账明细接口!$K$1057=0,"",[2]对账明细接口!$K$1057),"")</f>
      </c>
      <c r="L1057" s="16">
        <f>IFERROR(IF([2]对账明细接口!$L$1057=0,"",[2]对账明细接口!$L$1057),"")</f>
      </c>
      <c r="M1057" s="16">
        <f>IFERROR(IF([2]对账明细接口!$M$1057=0,"",[2]对账明细接口!$M$1057),"")</f>
      </c>
      <c r="N1057" s="19">
        <f>IF($C1057="",0,1)</f>
        <v>0</v>
      </c>
      <c r="O1057" s="19">
        <f>N(O1056)+$N1057</f>
        <v>272</v>
      </c>
      <c r="S1057" s="20">
        <f>IFERROR(IF([2]对账明细接口!$N1057=0,"",[2]对账明细接口!$N1057),"")</f>
      </c>
      <c r="T1057" s="212">
        <f>IFERROR(IF([2]对账明细接口!$O1057=0,"",[2]对账明细接口!$O1057),"")</f>
      </c>
      <c r="U1057" s="212">
        <f>IFERROR(IF([2]对账明细接口!$P1057=0,"",[2]对账明细接口!$P1057),"")</f>
      </c>
      <c r="V1057" s="212">
        <f>IFERROR(IF([2]对账明细接口!$Q1057=0,"",[2]对账明细接口!$Q1057),"")</f>
      </c>
      <c r="W1057" s="20">
        <f>IFERROR(IF([2]对账明细接口!$R1057=0,"",[2]对账明细接口!$R1057),"")</f>
      </c>
      <c r="X1057" s="20">
        <f>IFERROR(IF([2]对账明细接口!$S1057=0,"",[2]对账明细接口!$S1057),"")</f>
      </c>
      <c r="Y1057" s="20">
        <f>""</f>
      </c>
      <c r="Z1057" s="20">
        <f>""</f>
      </c>
      <c r="AA1057" s="20">
        <f>""</f>
      </c>
      <c r="AB1057" s="20">
        <f>""</f>
      </c>
    </row>
    <row r="1058" s="127">
      <c r="A1058" s="14" t="n">
        <v>1058</v>
      </c>
      <c r="B1058" s="211">
        <f>IFERROR(IF([2]对账明细接口!$B$1058=0,"",[2]对账明细接口!$B$1058),"")</f>
      </c>
      <c r="C1058" s="16">
        <f>IFERROR(IF([2]对账明细接口!$C$1058=0,"",[2]对账明细接口!$C$1058),"")</f>
      </c>
      <c r="D1058" s="16">
        <f>IFERROR(IF([2]对账明细接口!$D$1058=0,"",[2]对账明细接口!$D$1058),"")</f>
      </c>
      <c r="E1058" s="16">
        <f>IFERROR(IF([2]对账明细接口!$E$1058=0,"",[2]对账明细接口!$E$1058),"")</f>
      </c>
      <c r="F1058" s="16">
        <f>IFERROR(IF([2]对账明细接口!$F$1058=0,"",[2]对账明细接口!$F$1058),"")</f>
      </c>
      <c r="G1058" s="16">
        <f>IFERROR(IF([2]对账明细接口!$G$1058=0,"",[2]对账明细接口!$G$1058),"")</f>
      </c>
      <c r="H1058" s="176">
        <f>IFERROR(IF([2]对账明细接口!$H$1058=0,"",[2]对账明细接口!$H$1058),"")</f>
      </c>
      <c r="I1058" s="16">
        <f>IFERROR(IF([2]对账明细接口!$I$1058=0,"",[2]对账明细接口!$I$1058),"")</f>
      </c>
      <c r="J1058" s="177">
        <f>IFERROR(IF([2]对账明细接口!$J$1058=0,"",[2]对账明细接口!$J$1058),"")</f>
      </c>
      <c r="K1058" s="177">
        <f>IFERROR(IF([2]对账明细接口!$K$1058=0,"",[2]对账明细接口!$K$1058),"")</f>
      </c>
      <c r="L1058" s="16">
        <f>IFERROR(IF([2]对账明细接口!$L$1058=0,"",[2]对账明细接口!$L$1058),"")</f>
      </c>
      <c r="M1058" s="16">
        <f>IFERROR(IF([2]对账明细接口!$M$1058=0,"",[2]对账明细接口!$M$1058),"")</f>
      </c>
      <c r="N1058" s="19">
        <f>IF($C1058="",0,1)</f>
        <v>0</v>
      </c>
      <c r="O1058" s="19">
        <f>N(O1057)+$N1058</f>
        <v>272</v>
      </c>
      <c r="S1058" s="20">
        <f>IFERROR(IF([2]对账明细接口!$N1058=0,"",[2]对账明细接口!$N1058),"")</f>
      </c>
      <c r="T1058" s="212">
        <f>IFERROR(IF([2]对账明细接口!$O1058=0,"",[2]对账明细接口!$O1058),"")</f>
      </c>
      <c r="U1058" s="212">
        <f>IFERROR(IF([2]对账明细接口!$P1058=0,"",[2]对账明细接口!$P1058),"")</f>
      </c>
      <c r="V1058" s="212">
        <f>IFERROR(IF([2]对账明细接口!$Q1058=0,"",[2]对账明细接口!$Q1058),"")</f>
      </c>
      <c r="W1058" s="20">
        <f>IFERROR(IF([2]对账明细接口!$R1058=0,"",[2]对账明细接口!$R1058),"")</f>
      </c>
      <c r="X1058" s="20">
        <f>IFERROR(IF([2]对账明细接口!$S1058=0,"",[2]对账明细接口!$S1058),"")</f>
      </c>
      <c r="Y1058" s="20">
        <f>""</f>
      </c>
      <c r="Z1058" s="20">
        <f>""</f>
      </c>
      <c r="AA1058" s="20">
        <f>""</f>
      </c>
      <c r="AB1058" s="20">
        <f>""</f>
      </c>
    </row>
    <row r="1059" s="127">
      <c r="A1059" s="14" t="n">
        <v>1059</v>
      </c>
      <c r="B1059" s="211">
        <f>IFERROR(IF([2]对账明细接口!$B$1059=0,"",[2]对账明细接口!$B$1059),"")</f>
      </c>
      <c r="C1059" s="16">
        <f>IFERROR(IF([2]对账明细接口!$C$1059=0,"",[2]对账明细接口!$C$1059),"")</f>
      </c>
      <c r="D1059" s="16">
        <f>IFERROR(IF([2]对账明细接口!$D$1059=0,"",[2]对账明细接口!$D$1059),"")</f>
      </c>
      <c r="E1059" s="16">
        <f>IFERROR(IF([2]对账明细接口!$E$1059=0,"",[2]对账明细接口!$E$1059),"")</f>
      </c>
      <c r="F1059" s="16">
        <f>IFERROR(IF([2]对账明细接口!$F$1059=0,"",[2]对账明细接口!$F$1059),"")</f>
      </c>
      <c r="G1059" s="16">
        <f>IFERROR(IF([2]对账明细接口!$G$1059=0,"",[2]对账明细接口!$G$1059),"")</f>
      </c>
      <c r="H1059" s="176">
        <f>IFERROR(IF([2]对账明细接口!$H$1059=0,"",[2]对账明细接口!$H$1059),"")</f>
      </c>
      <c r="I1059" s="16">
        <f>IFERROR(IF([2]对账明细接口!$I$1059=0,"",[2]对账明细接口!$I$1059),"")</f>
      </c>
      <c r="J1059" s="177">
        <f>IFERROR(IF([2]对账明细接口!$J$1059=0,"",[2]对账明细接口!$J$1059),"")</f>
      </c>
      <c r="K1059" s="177">
        <f>IFERROR(IF([2]对账明细接口!$K$1059=0,"",[2]对账明细接口!$K$1059),"")</f>
      </c>
      <c r="L1059" s="16">
        <f>IFERROR(IF([2]对账明细接口!$L$1059=0,"",[2]对账明细接口!$L$1059),"")</f>
      </c>
      <c r="M1059" s="16">
        <f>IFERROR(IF([2]对账明细接口!$M$1059=0,"",[2]对账明细接口!$M$1059),"")</f>
      </c>
      <c r="N1059" s="19">
        <f>IF($C1059="",0,1)</f>
        <v>0</v>
      </c>
      <c r="O1059" s="19">
        <f>N(O1058)+$N1059</f>
        <v>272</v>
      </c>
      <c r="S1059" s="20">
        <f>IFERROR(IF([2]对账明细接口!$N1059=0,"",[2]对账明细接口!$N1059),"")</f>
      </c>
      <c r="T1059" s="212">
        <f>IFERROR(IF([2]对账明细接口!$O1059=0,"",[2]对账明细接口!$O1059),"")</f>
      </c>
      <c r="U1059" s="212">
        <f>IFERROR(IF([2]对账明细接口!$P1059=0,"",[2]对账明细接口!$P1059),"")</f>
      </c>
      <c r="V1059" s="212">
        <f>IFERROR(IF([2]对账明细接口!$Q1059=0,"",[2]对账明细接口!$Q1059),"")</f>
      </c>
      <c r="W1059" s="20">
        <f>IFERROR(IF([2]对账明细接口!$R1059=0,"",[2]对账明细接口!$R1059),"")</f>
      </c>
      <c r="X1059" s="20">
        <f>IFERROR(IF([2]对账明细接口!$S1059=0,"",[2]对账明细接口!$S1059),"")</f>
      </c>
      <c r="Y1059" s="20">
        <f>""</f>
      </c>
      <c r="Z1059" s="20">
        <f>""</f>
      </c>
      <c r="AA1059" s="20">
        <f>""</f>
      </c>
      <c r="AB1059" s="20">
        <f>""</f>
      </c>
    </row>
    <row r="1060" s="127">
      <c r="A1060" s="14" t="n">
        <v>1060</v>
      </c>
      <c r="B1060" s="211">
        <f>IFERROR(IF([2]对账明细接口!$B$1060=0,"",[2]对账明细接口!$B$1060),"")</f>
      </c>
      <c r="C1060" s="16">
        <f>IFERROR(IF([2]对账明细接口!$C$1060=0,"",[2]对账明细接口!$C$1060),"")</f>
      </c>
      <c r="D1060" s="16">
        <f>IFERROR(IF([2]对账明细接口!$D$1060=0,"",[2]对账明细接口!$D$1060),"")</f>
      </c>
      <c r="E1060" s="16">
        <f>IFERROR(IF([2]对账明细接口!$E$1060=0,"",[2]对账明细接口!$E$1060),"")</f>
      </c>
      <c r="F1060" s="16">
        <f>IFERROR(IF([2]对账明细接口!$F$1060=0,"",[2]对账明细接口!$F$1060),"")</f>
      </c>
      <c r="G1060" s="16">
        <f>IFERROR(IF([2]对账明细接口!$G$1060=0,"",[2]对账明细接口!$G$1060),"")</f>
      </c>
      <c r="H1060" s="176">
        <f>IFERROR(IF([2]对账明细接口!$H$1060=0,"",[2]对账明细接口!$H$1060),"")</f>
      </c>
      <c r="I1060" s="16">
        <f>IFERROR(IF([2]对账明细接口!$I$1060=0,"",[2]对账明细接口!$I$1060),"")</f>
      </c>
      <c r="J1060" s="177">
        <f>IFERROR(IF([2]对账明细接口!$J$1060=0,"",[2]对账明细接口!$J$1060),"")</f>
      </c>
      <c r="K1060" s="177">
        <f>IFERROR(IF([2]对账明细接口!$K$1060=0,"",[2]对账明细接口!$K$1060),"")</f>
      </c>
      <c r="L1060" s="16">
        <f>IFERROR(IF([2]对账明细接口!$L$1060=0,"",[2]对账明细接口!$L$1060),"")</f>
      </c>
      <c r="M1060" s="16">
        <f>IFERROR(IF([2]对账明细接口!$M$1060=0,"",[2]对账明细接口!$M$1060),"")</f>
      </c>
      <c r="N1060" s="19">
        <f>IF($C1060="",0,1)</f>
        <v>0</v>
      </c>
      <c r="O1060" s="19">
        <f>N(O1059)+$N1060</f>
        <v>272</v>
      </c>
      <c r="S1060" s="20">
        <f>IFERROR(IF([2]对账明细接口!$N1060=0,"",[2]对账明细接口!$N1060),"")</f>
      </c>
      <c r="T1060" s="212">
        <f>IFERROR(IF([2]对账明细接口!$O1060=0,"",[2]对账明细接口!$O1060),"")</f>
      </c>
      <c r="U1060" s="212">
        <f>IFERROR(IF([2]对账明细接口!$P1060=0,"",[2]对账明细接口!$P1060),"")</f>
      </c>
      <c r="V1060" s="212">
        <f>IFERROR(IF([2]对账明细接口!$Q1060=0,"",[2]对账明细接口!$Q1060),"")</f>
      </c>
      <c r="W1060" s="20">
        <f>IFERROR(IF([2]对账明细接口!$R1060=0,"",[2]对账明细接口!$R1060),"")</f>
      </c>
      <c r="X1060" s="20">
        <f>IFERROR(IF([2]对账明细接口!$S1060=0,"",[2]对账明细接口!$S1060),"")</f>
      </c>
      <c r="Y1060" s="20">
        <f>""</f>
      </c>
      <c r="Z1060" s="20">
        <f>""</f>
      </c>
      <c r="AA1060" s="20">
        <f>""</f>
      </c>
      <c r="AB1060" s="20">
        <f>""</f>
      </c>
    </row>
    <row r="1061" s="127">
      <c r="A1061" s="14" t="n">
        <v>1061</v>
      </c>
      <c r="B1061" s="211">
        <f>IFERROR(IF([2]对账明细接口!$B$1061=0,"",[2]对账明细接口!$B$1061),"")</f>
      </c>
      <c r="C1061" s="16">
        <f>IFERROR(IF([2]对账明细接口!$C$1061=0,"",[2]对账明细接口!$C$1061),"")</f>
      </c>
      <c r="D1061" s="16">
        <f>IFERROR(IF([2]对账明细接口!$D$1061=0,"",[2]对账明细接口!$D$1061),"")</f>
      </c>
      <c r="E1061" s="16">
        <f>IFERROR(IF([2]对账明细接口!$E$1061=0,"",[2]对账明细接口!$E$1061),"")</f>
      </c>
      <c r="F1061" s="16">
        <f>IFERROR(IF([2]对账明细接口!$F$1061=0,"",[2]对账明细接口!$F$1061),"")</f>
      </c>
      <c r="G1061" s="16">
        <f>IFERROR(IF([2]对账明细接口!$G$1061=0,"",[2]对账明细接口!$G$1061),"")</f>
      </c>
      <c r="H1061" s="176">
        <f>IFERROR(IF([2]对账明细接口!$H$1061=0,"",[2]对账明细接口!$H$1061),"")</f>
      </c>
      <c r="I1061" s="16">
        <f>IFERROR(IF([2]对账明细接口!$I$1061=0,"",[2]对账明细接口!$I$1061),"")</f>
      </c>
      <c r="J1061" s="177">
        <f>IFERROR(IF([2]对账明细接口!$J$1061=0,"",[2]对账明细接口!$J$1061),"")</f>
      </c>
      <c r="K1061" s="177">
        <f>IFERROR(IF([2]对账明细接口!$K$1061=0,"",[2]对账明细接口!$K$1061),"")</f>
      </c>
      <c r="L1061" s="16">
        <f>IFERROR(IF([2]对账明细接口!$L$1061=0,"",[2]对账明细接口!$L$1061),"")</f>
      </c>
      <c r="M1061" s="16">
        <f>IFERROR(IF([2]对账明细接口!$M$1061=0,"",[2]对账明细接口!$M$1061),"")</f>
      </c>
      <c r="N1061" s="19">
        <f>IF($C1061="",0,1)</f>
        <v>0</v>
      </c>
      <c r="O1061" s="19">
        <f>N(O1060)+$N1061</f>
        <v>272</v>
      </c>
      <c r="S1061" s="20">
        <f>IFERROR(IF([2]对账明细接口!$N1061=0,"",[2]对账明细接口!$N1061),"")</f>
      </c>
      <c r="T1061" s="212">
        <f>IFERROR(IF([2]对账明细接口!$O1061=0,"",[2]对账明细接口!$O1061),"")</f>
      </c>
      <c r="U1061" s="212">
        <f>IFERROR(IF([2]对账明细接口!$P1061=0,"",[2]对账明细接口!$P1061),"")</f>
      </c>
      <c r="V1061" s="212">
        <f>IFERROR(IF([2]对账明细接口!$Q1061=0,"",[2]对账明细接口!$Q1061),"")</f>
      </c>
      <c r="W1061" s="20">
        <f>IFERROR(IF([2]对账明细接口!$R1061=0,"",[2]对账明细接口!$R1061),"")</f>
      </c>
      <c r="X1061" s="20">
        <f>IFERROR(IF([2]对账明细接口!$S1061=0,"",[2]对账明细接口!$S1061),"")</f>
      </c>
      <c r="Y1061" s="20">
        <f>""</f>
      </c>
      <c r="Z1061" s="20">
        <f>""</f>
      </c>
      <c r="AA1061" s="20">
        <f>""</f>
      </c>
      <c r="AB1061" s="20">
        <f>""</f>
      </c>
    </row>
    <row r="1062" s="127">
      <c r="A1062" s="14" t="n">
        <v>1062</v>
      </c>
      <c r="B1062" s="211">
        <f>IFERROR(IF([2]对账明细接口!$B$1062=0,"",[2]对账明细接口!$B$1062),"")</f>
      </c>
      <c r="C1062" s="16">
        <f>IFERROR(IF([2]对账明细接口!$C$1062=0,"",[2]对账明细接口!$C$1062),"")</f>
      </c>
      <c r="D1062" s="16">
        <f>IFERROR(IF([2]对账明细接口!$D$1062=0,"",[2]对账明细接口!$D$1062),"")</f>
      </c>
      <c r="E1062" s="16">
        <f>IFERROR(IF([2]对账明细接口!$E$1062=0,"",[2]对账明细接口!$E$1062),"")</f>
      </c>
      <c r="F1062" s="16">
        <f>IFERROR(IF([2]对账明细接口!$F$1062=0,"",[2]对账明细接口!$F$1062),"")</f>
      </c>
      <c r="G1062" s="16">
        <f>IFERROR(IF([2]对账明细接口!$G$1062=0,"",[2]对账明细接口!$G$1062),"")</f>
      </c>
      <c r="H1062" s="176">
        <f>IFERROR(IF([2]对账明细接口!$H$1062=0,"",[2]对账明细接口!$H$1062),"")</f>
      </c>
      <c r="I1062" s="16">
        <f>IFERROR(IF([2]对账明细接口!$I$1062=0,"",[2]对账明细接口!$I$1062),"")</f>
      </c>
      <c r="J1062" s="177">
        <f>IFERROR(IF([2]对账明细接口!$J$1062=0,"",[2]对账明细接口!$J$1062),"")</f>
      </c>
      <c r="K1062" s="177">
        <f>IFERROR(IF([2]对账明细接口!$K$1062=0,"",[2]对账明细接口!$K$1062),"")</f>
      </c>
      <c r="L1062" s="16">
        <f>IFERROR(IF([2]对账明细接口!$L$1062=0,"",[2]对账明细接口!$L$1062),"")</f>
      </c>
      <c r="M1062" s="16">
        <f>IFERROR(IF([2]对账明细接口!$M$1062=0,"",[2]对账明细接口!$M$1062),"")</f>
      </c>
      <c r="N1062" s="19">
        <f>IF($C1062="",0,1)</f>
        <v>0</v>
      </c>
      <c r="O1062" s="19">
        <f>N(O1061)+$N1062</f>
        <v>272</v>
      </c>
      <c r="S1062" s="20">
        <f>IFERROR(IF([2]对账明细接口!$N1062=0,"",[2]对账明细接口!$N1062),"")</f>
      </c>
      <c r="T1062" s="212">
        <f>IFERROR(IF([2]对账明细接口!$O1062=0,"",[2]对账明细接口!$O1062),"")</f>
      </c>
      <c r="U1062" s="212">
        <f>IFERROR(IF([2]对账明细接口!$P1062=0,"",[2]对账明细接口!$P1062),"")</f>
      </c>
      <c r="V1062" s="212">
        <f>IFERROR(IF([2]对账明细接口!$Q1062=0,"",[2]对账明细接口!$Q1062),"")</f>
      </c>
      <c r="W1062" s="20">
        <f>IFERROR(IF([2]对账明细接口!$R1062=0,"",[2]对账明细接口!$R1062),"")</f>
      </c>
      <c r="X1062" s="20">
        <f>IFERROR(IF([2]对账明细接口!$S1062=0,"",[2]对账明细接口!$S1062),"")</f>
      </c>
      <c r="Y1062" s="20">
        <f>""</f>
      </c>
      <c r="Z1062" s="20">
        <f>""</f>
      </c>
      <c r="AA1062" s="20">
        <f>""</f>
      </c>
      <c r="AB1062" s="20">
        <f>""</f>
      </c>
    </row>
    <row r="1063" s="127">
      <c r="A1063" s="14" t="n">
        <v>1063</v>
      </c>
      <c r="B1063" s="211">
        <f>IFERROR(IF([2]对账明细接口!$B$1063=0,"",[2]对账明细接口!$B$1063),"")</f>
      </c>
      <c r="C1063" s="16">
        <f>IFERROR(IF([2]对账明细接口!$C$1063=0,"",[2]对账明细接口!$C$1063),"")</f>
      </c>
      <c r="D1063" s="16">
        <f>IFERROR(IF([2]对账明细接口!$D$1063=0,"",[2]对账明细接口!$D$1063),"")</f>
      </c>
      <c r="E1063" s="16">
        <f>IFERROR(IF([2]对账明细接口!$E$1063=0,"",[2]对账明细接口!$E$1063),"")</f>
      </c>
      <c r="F1063" s="16">
        <f>IFERROR(IF([2]对账明细接口!$F$1063=0,"",[2]对账明细接口!$F$1063),"")</f>
      </c>
      <c r="G1063" s="16">
        <f>IFERROR(IF([2]对账明细接口!$G$1063=0,"",[2]对账明细接口!$G$1063),"")</f>
      </c>
      <c r="H1063" s="176">
        <f>IFERROR(IF([2]对账明细接口!$H$1063=0,"",[2]对账明细接口!$H$1063),"")</f>
      </c>
      <c r="I1063" s="16">
        <f>IFERROR(IF([2]对账明细接口!$I$1063=0,"",[2]对账明细接口!$I$1063),"")</f>
      </c>
      <c r="J1063" s="177">
        <f>IFERROR(IF([2]对账明细接口!$J$1063=0,"",[2]对账明细接口!$J$1063),"")</f>
      </c>
      <c r="K1063" s="177">
        <f>IFERROR(IF([2]对账明细接口!$K$1063=0,"",[2]对账明细接口!$K$1063),"")</f>
      </c>
      <c r="L1063" s="16">
        <f>IFERROR(IF([2]对账明细接口!$L$1063=0,"",[2]对账明细接口!$L$1063),"")</f>
      </c>
      <c r="M1063" s="16">
        <f>IFERROR(IF([2]对账明细接口!$M$1063=0,"",[2]对账明细接口!$M$1063),"")</f>
      </c>
      <c r="N1063" s="19">
        <f>IF($C1063="",0,1)</f>
        <v>0</v>
      </c>
      <c r="O1063" s="19">
        <f>N(O1062)+$N1063</f>
        <v>272</v>
      </c>
      <c r="S1063" s="20">
        <f>IFERROR(IF([2]对账明细接口!$N1063=0,"",[2]对账明细接口!$N1063),"")</f>
      </c>
      <c r="T1063" s="212">
        <f>IFERROR(IF([2]对账明细接口!$O1063=0,"",[2]对账明细接口!$O1063),"")</f>
      </c>
      <c r="U1063" s="212">
        <f>IFERROR(IF([2]对账明细接口!$P1063=0,"",[2]对账明细接口!$P1063),"")</f>
      </c>
      <c r="V1063" s="212">
        <f>IFERROR(IF([2]对账明细接口!$Q1063=0,"",[2]对账明细接口!$Q1063),"")</f>
      </c>
      <c r="W1063" s="20">
        <f>IFERROR(IF([2]对账明细接口!$R1063=0,"",[2]对账明细接口!$R1063),"")</f>
      </c>
      <c r="X1063" s="20">
        <f>IFERROR(IF([2]对账明细接口!$S1063=0,"",[2]对账明细接口!$S1063),"")</f>
      </c>
      <c r="Y1063" s="20">
        <f>""</f>
      </c>
      <c r="Z1063" s="20">
        <f>""</f>
      </c>
      <c r="AA1063" s="20">
        <f>""</f>
      </c>
      <c r="AB1063" s="20">
        <f>""</f>
      </c>
    </row>
    <row r="1064" s="127">
      <c r="A1064" s="14" t="n">
        <v>1064</v>
      </c>
      <c r="B1064" s="211">
        <f>IFERROR(IF([2]对账明细接口!$B$1064=0,"",[2]对账明细接口!$B$1064),"")</f>
      </c>
      <c r="C1064" s="16">
        <f>IFERROR(IF([2]对账明细接口!$C$1064=0,"",[2]对账明细接口!$C$1064),"")</f>
      </c>
      <c r="D1064" s="16">
        <f>IFERROR(IF([2]对账明细接口!$D$1064=0,"",[2]对账明细接口!$D$1064),"")</f>
      </c>
      <c r="E1064" s="16">
        <f>IFERROR(IF([2]对账明细接口!$E$1064=0,"",[2]对账明细接口!$E$1064),"")</f>
      </c>
      <c r="F1064" s="16">
        <f>IFERROR(IF([2]对账明细接口!$F$1064=0,"",[2]对账明细接口!$F$1064),"")</f>
      </c>
      <c r="G1064" s="16">
        <f>IFERROR(IF([2]对账明细接口!$G$1064=0,"",[2]对账明细接口!$G$1064),"")</f>
      </c>
      <c r="H1064" s="176">
        <f>IFERROR(IF([2]对账明细接口!$H$1064=0,"",[2]对账明细接口!$H$1064),"")</f>
      </c>
      <c r="I1064" s="16">
        <f>IFERROR(IF([2]对账明细接口!$I$1064=0,"",[2]对账明细接口!$I$1064),"")</f>
      </c>
      <c r="J1064" s="177">
        <f>IFERROR(IF([2]对账明细接口!$J$1064=0,"",[2]对账明细接口!$J$1064),"")</f>
      </c>
      <c r="K1064" s="177">
        <f>IFERROR(IF([2]对账明细接口!$K$1064=0,"",[2]对账明细接口!$K$1064),"")</f>
      </c>
      <c r="L1064" s="16">
        <f>IFERROR(IF([2]对账明细接口!$L$1064=0,"",[2]对账明细接口!$L$1064),"")</f>
      </c>
      <c r="M1064" s="16">
        <f>IFERROR(IF([2]对账明细接口!$M$1064=0,"",[2]对账明细接口!$M$1064),"")</f>
      </c>
      <c r="N1064" s="19">
        <f>IF($C1064="",0,1)</f>
        <v>0</v>
      </c>
      <c r="O1064" s="19">
        <f>N(O1063)+$N1064</f>
        <v>272</v>
      </c>
      <c r="S1064" s="20">
        <f>IFERROR(IF([2]对账明细接口!$N1064=0,"",[2]对账明细接口!$N1064),"")</f>
      </c>
      <c r="T1064" s="212">
        <f>IFERROR(IF([2]对账明细接口!$O1064=0,"",[2]对账明细接口!$O1064),"")</f>
      </c>
      <c r="U1064" s="212">
        <f>IFERROR(IF([2]对账明细接口!$P1064=0,"",[2]对账明细接口!$P1064),"")</f>
      </c>
      <c r="V1064" s="212">
        <f>IFERROR(IF([2]对账明细接口!$Q1064=0,"",[2]对账明细接口!$Q1064),"")</f>
      </c>
      <c r="W1064" s="20">
        <f>IFERROR(IF([2]对账明细接口!$R1064=0,"",[2]对账明细接口!$R1064),"")</f>
      </c>
      <c r="X1064" s="20">
        <f>IFERROR(IF([2]对账明细接口!$S1064=0,"",[2]对账明细接口!$S1064),"")</f>
      </c>
      <c r="Y1064" s="20">
        <f>""</f>
      </c>
      <c r="Z1064" s="20">
        <f>""</f>
      </c>
      <c r="AA1064" s="20">
        <f>""</f>
      </c>
      <c r="AB1064" s="20">
        <f>""</f>
      </c>
    </row>
    <row r="1065" s="127">
      <c r="A1065" s="14" t="n">
        <v>1065</v>
      </c>
      <c r="B1065" s="211">
        <f>IFERROR(IF([2]对账明细接口!$B$1065=0,"",[2]对账明细接口!$B$1065),"")</f>
      </c>
      <c r="C1065" s="16">
        <f>IFERROR(IF([2]对账明细接口!$C$1065=0,"",[2]对账明细接口!$C$1065),"")</f>
      </c>
      <c r="D1065" s="16">
        <f>IFERROR(IF([2]对账明细接口!$D$1065=0,"",[2]对账明细接口!$D$1065),"")</f>
      </c>
      <c r="E1065" s="16">
        <f>IFERROR(IF([2]对账明细接口!$E$1065=0,"",[2]对账明细接口!$E$1065),"")</f>
      </c>
      <c r="F1065" s="16">
        <f>IFERROR(IF([2]对账明细接口!$F$1065=0,"",[2]对账明细接口!$F$1065),"")</f>
      </c>
      <c r="G1065" s="16">
        <f>IFERROR(IF([2]对账明细接口!$G$1065=0,"",[2]对账明细接口!$G$1065),"")</f>
      </c>
      <c r="H1065" s="176">
        <f>IFERROR(IF([2]对账明细接口!$H$1065=0,"",[2]对账明细接口!$H$1065),"")</f>
      </c>
      <c r="I1065" s="16">
        <f>IFERROR(IF([2]对账明细接口!$I$1065=0,"",[2]对账明细接口!$I$1065),"")</f>
      </c>
      <c r="J1065" s="177">
        <f>IFERROR(IF([2]对账明细接口!$J$1065=0,"",[2]对账明细接口!$J$1065),"")</f>
      </c>
      <c r="K1065" s="177">
        <f>IFERROR(IF([2]对账明细接口!$K$1065=0,"",[2]对账明细接口!$K$1065),"")</f>
      </c>
      <c r="L1065" s="16">
        <f>IFERROR(IF([2]对账明细接口!$L$1065=0,"",[2]对账明细接口!$L$1065),"")</f>
      </c>
      <c r="M1065" s="16">
        <f>IFERROR(IF([2]对账明细接口!$M$1065=0,"",[2]对账明细接口!$M$1065),"")</f>
      </c>
      <c r="N1065" s="19">
        <f>IF($C1065="",0,1)</f>
        <v>0</v>
      </c>
      <c r="O1065" s="19">
        <f>N(O1064)+$N1065</f>
        <v>272</v>
      </c>
      <c r="S1065" s="20">
        <f>IFERROR(IF([2]对账明细接口!$N1065=0,"",[2]对账明细接口!$N1065),"")</f>
      </c>
      <c r="T1065" s="212">
        <f>IFERROR(IF([2]对账明细接口!$O1065=0,"",[2]对账明细接口!$O1065),"")</f>
      </c>
      <c r="U1065" s="212">
        <f>IFERROR(IF([2]对账明细接口!$P1065=0,"",[2]对账明细接口!$P1065),"")</f>
      </c>
      <c r="V1065" s="212">
        <f>IFERROR(IF([2]对账明细接口!$Q1065=0,"",[2]对账明细接口!$Q1065),"")</f>
      </c>
      <c r="W1065" s="20">
        <f>IFERROR(IF([2]对账明细接口!$R1065=0,"",[2]对账明细接口!$R1065),"")</f>
      </c>
      <c r="X1065" s="20">
        <f>IFERROR(IF([2]对账明细接口!$S1065=0,"",[2]对账明细接口!$S1065),"")</f>
      </c>
      <c r="Y1065" s="20">
        <f>""</f>
      </c>
      <c r="Z1065" s="20">
        <f>""</f>
      </c>
      <c r="AA1065" s="20">
        <f>""</f>
      </c>
      <c r="AB1065" s="20">
        <f>""</f>
      </c>
    </row>
    <row r="1066" s="127">
      <c r="A1066" s="14" t="n">
        <v>1066</v>
      </c>
      <c r="B1066" s="211">
        <f>IFERROR(IF([2]对账明细接口!$B$1066=0,"",[2]对账明细接口!$B$1066),"")</f>
      </c>
      <c r="C1066" s="16">
        <f>IFERROR(IF([2]对账明细接口!$C$1066=0,"",[2]对账明细接口!$C$1066),"")</f>
      </c>
      <c r="D1066" s="16">
        <f>IFERROR(IF([2]对账明细接口!$D$1066=0,"",[2]对账明细接口!$D$1066),"")</f>
      </c>
      <c r="E1066" s="16">
        <f>IFERROR(IF([2]对账明细接口!$E$1066=0,"",[2]对账明细接口!$E$1066),"")</f>
      </c>
      <c r="F1066" s="16">
        <f>IFERROR(IF([2]对账明细接口!$F$1066=0,"",[2]对账明细接口!$F$1066),"")</f>
      </c>
      <c r="G1066" s="16">
        <f>IFERROR(IF([2]对账明细接口!$G$1066=0,"",[2]对账明细接口!$G$1066),"")</f>
      </c>
      <c r="H1066" s="176">
        <f>IFERROR(IF([2]对账明细接口!$H$1066=0,"",[2]对账明细接口!$H$1066),"")</f>
      </c>
      <c r="I1066" s="16">
        <f>IFERROR(IF([2]对账明细接口!$I$1066=0,"",[2]对账明细接口!$I$1066),"")</f>
      </c>
      <c r="J1066" s="177">
        <f>IFERROR(IF([2]对账明细接口!$J$1066=0,"",[2]对账明细接口!$J$1066),"")</f>
      </c>
      <c r="K1066" s="177">
        <f>IFERROR(IF([2]对账明细接口!$K$1066=0,"",[2]对账明细接口!$K$1066),"")</f>
      </c>
      <c r="L1066" s="16">
        <f>IFERROR(IF([2]对账明细接口!$L$1066=0,"",[2]对账明细接口!$L$1066),"")</f>
      </c>
      <c r="M1066" s="16">
        <f>IFERROR(IF([2]对账明细接口!$M$1066=0,"",[2]对账明细接口!$M$1066),"")</f>
      </c>
      <c r="N1066" s="19">
        <f>IF($C1066="",0,1)</f>
        <v>0</v>
      </c>
      <c r="O1066" s="19">
        <f>N(O1065)+$N1066</f>
        <v>272</v>
      </c>
      <c r="S1066" s="20">
        <f>IFERROR(IF([2]对账明细接口!$N1066=0,"",[2]对账明细接口!$N1066),"")</f>
      </c>
      <c r="T1066" s="212">
        <f>IFERROR(IF([2]对账明细接口!$O1066=0,"",[2]对账明细接口!$O1066),"")</f>
      </c>
      <c r="U1066" s="212">
        <f>IFERROR(IF([2]对账明细接口!$P1066=0,"",[2]对账明细接口!$P1066),"")</f>
      </c>
      <c r="V1066" s="212">
        <f>IFERROR(IF([2]对账明细接口!$Q1066=0,"",[2]对账明细接口!$Q1066),"")</f>
      </c>
      <c r="W1066" s="20">
        <f>IFERROR(IF([2]对账明细接口!$R1066=0,"",[2]对账明细接口!$R1066),"")</f>
      </c>
      <c r="X1066" s="20">
        <f>IFERROR(IF([2]对账明细接口!$S1066=0,"",[2]对账明细接口!$S1066),"")</f>
      </c>
      <c r="Y1066" s="20">
        <f>""</f>
      </c>
      <c r="Z1066" s="20">
        <f>""</f>
      </c>
      <c r="AA1066" s="20">
        <f>""</f>
      </c>
      <c r="AB1066" s="20">
        <f>""</f>
      </c>
    </row>
    <row r="1067" s="127">
      <c r="A1067" s="14" t="n">
        <v>1067</v>
      </c>
      <c r="B1067" s="211">
        <f>IFERROR(IF([2]对账明细接口!$B$1067=0,"",[2]对账明细接口!$B$1067),"")</f>
      </c>
      <c r="C1067" s="16">
        <f>IFERROR(IF([2]对账明细接口!$C$1067=0,"",[2]对账明细接口!$C$1067),"")</f>
      </c>
      <c r="D1067" s="16">
        <f>IFERROR(IF([2]对账明细接口!$D$1067=0,"",[2]对账明细接口!$D$1067),"")</f>
      </c>
      <c r="E1067" s="16">
        <f>IFERROR(IF([2]对账明细接口!$E$1067=0,"",[2]对账明细接口!$E$1067),"")</f>
      </c>
      <c r="F1067" s="16">
        <f>IFERROR(IF([2]对账明细接口!$F$1067=0,"",[2]对账明细接口!$F$1067),"")</f>
      </c>
      <c r="G1067" s="16">
        <f>IFERROR(IF([2]对账明细接口!$G$1067=0,"",[2]对账明细接口!$G$1067),"")</f>
      </c>
      <c r="H1067" s="176">
        <f>IFERROR(IF([2]对账明细接口!$H$1067=0,"",[2]对账明细接口!$H$1067),"")</f>
      </c>
      <c r="I1067" s="16">
        <f>IFERROR(IF([2]对账明细接口!$I$1067=0,"",[2]对账明细接口!$I$1067),"")</f>
      </c>
      <c r="J1067" s="177">
        <f>IFERROR(IF([2]对账明细接口!$J$1067=0,"",[2]对账明细接口!$J$1067),"")</f>
      </c>
      <c r="K1067" s="177">
        <f>IFERROR(IF([2]对账明细接口!$K$1067=0,"",[2]对账明细接口!$K$1067),"")</f>
      </c>
      <c r="L1067" s="16">
        <f>IFERROR(IF([2]对账明细接口!$L$1067=0,"",[2]对账明细接口!$L$1067),"")</f>
      </c>
      <c r="M1067" s="16">
        <f>IFERROR(IF([2]对账明细接口!$M$1067=0,"",[2]对账明细接口!$M$1067),"")</f>
      </c>
      <c r="N1067" s="19">
        <f>IF($C1067="",0,1)</f>
        <v>0</v>
      </c>
      <c r="O1067" s="19">
        <f>N(O1066)+$N1067</f>
        <v>272</v>
      </c>
      <c r="S1067" s="20">
        <f>IFERROR(IF([2]对账明细接口!$N1067=0,"",[2]对账明细接口!$N1067),"")</f>
      </c>
      <c r="T1067" s="212">
        <f>IFERROR(IF([2]对账明细接口!$O1067=0,"",[2]对账明细接口!$O1067),"")</f>
      </c>
      <c r="U1067" s="212">
        <f>IFERROR(IF([2]对账明细接口!$P1067=0,"",[2]对账明细接口!$P1067),"")</f>
      </c>
      <c r="V1067" s="212">
        <f>IFERROR(IF([2]对账明细接口!$Q1067=0,"",[2]对账明细接口!$Q1067),"")</f>
      </c>
      <c r="W1067" s="20">
        <f>IFERROR(IF([2]对账明细接口!$R1067=0,"",[2]对账明细接口!$R1067),"")</f>
      </c>
      <c r="X1067" s="20">
        <f>IFERROR(IF([2]对账明细接口!$S1067=0,"",[2]对账明细接口!$S1067),"")</f>
      </c>
      <c r="Y1067" s="20">
        <f>""</f>
      </c>
      <c r="Z1067" s="20">
        <f>""</f>
      </c>
      <c r="AA1067" s="20">
        <f>""</f>
      </c>
      <c r="AB1067" s="20">
        <f>""</f>
      </c>
    </row>
    <row r="1068" s="127">
      <c r="A1068" s="14" t="n">
        <v>1068</v>
      </c>
      <c r="B1068" s="211">
        <f>IFERROR(IF([2]对账明细接口!$B$1068=0,"",[2]对账明细接口!$B$1068),"")</f>
      </c>
      <c r="C1068" s="16">
        <f>IFERROR(IF([2]对账明细接口!$C$1068=0,"",[2]对账明细接口!$C$1068),"")</f>
      </c>
      <c r="D1068" s="16">
        <f>IFERROR(IF([2]对账明细接口!$D$1068=0,"",[2]对账明细接口!$D$1068),"")</f>
      </c>
      <c r="E1068" s="16">
        <f>IFERROR(IF([2]对账明细接口!$E$1068=0,"",[2]对账明细接口!$E$1068),"")</f>
      </c>
      <c r="F1068" s="16">
        <f>IFERROR(IF([2]对账明细接口!$F$1068=0,"",[2]对账明细接口!$F$1068),"")</f>
      </c>
      <c r="G1068" s="16">
        <f>IFERROR(IF([2]对账明细接口!$G$1068=0,"",[2]对账明细接口!$G$1068),"")</f>
      </c>
      <c r="H1068" s="176">
        <f>IFERROR(IF([2]对账明细接口!$H$1068=0,"",[2]对账明细接口!$H$1068),"")</f>
      </c>
      <c r="I1068" s="16">
        <f>IFERROR(IF([2]对账明细接口!$I$1068=0,"",[2]对账明细接口!$I$1068),"")</f>
      </c>
      <c r="J1068" s="177">
        <f>IFERROR(IF([2]对账明细接口!$J$1068=0,"",[2]对账明细接口!$J$1068),"")</f>
      </c>
      <c r="K1068" s="177">
        <f>IFERROR(IF([2]对账明细接口!$K$1068=0,"",[2]对账明细接口!$K$1068),"")</f>
      </c>
      <c r="L1068" s="16">
        <f>IFERROR(IF([2]对账明细接口!$L$1068=0,"",[2]对账明细接口!$L$1068),"")</f>
      </c>
      <c r="M1068" s="16">
        <f>IFERROR(IF([2]对账明细接口!$M$1068=0,"",[2]对账明细接口!$M$1068),"")</f>
      </c>
      <c r="N1068" s="19">
        <f>IF($C1068="",0,1)</f>
        <v>0</v>
      </c>
      <c r="O1068" s="19">
        <f>N(O1067)+$N1068</f>
        <v>272</v>
      </c>
      <c r="S1068" s="20">
        <f>IFERROR(IF([2]对账明细接口!$N1068=0,"",[2]对账明细接口!$N1068),"")</f>
      </c>
      <c r="T1068" s="212">
        <f>IFERROR(IF([2]对账明细接口!$O1068=0,"",[2]对账明细接口!$O1068),"")</f>
      </c>
      <c r="U1068" s="212">
        <f>IFERROR(IF([2]对账明细接口!$P1068=0,"",[2]对账明细接口!$P1068),"")</f>
      </c>
      <c r="V1068" s="212">
        <f>IFERROR(IF([2]对账明细接口!$Q1068=0,"",[2]对账明细接口!$Q1068),"")</f>
      </c>
      <c r="W1068" s="20">
        <f>IFERROR(IF([2]对账明细接口!$R1068=0,"",[2]对账明细接口!$R1068),"")</f>
      </c>
      <c r="X1068" s="20">
        <f>IFERROR(IF([2]对账明细接口!$S1068=0,"",[2]对账明细接口!$S1068),"")</f>
      </c>
      <c r="Y1068" s="20">
        <f>""</f>
      </c>
      <c r="Z1068" s="20">
        <f>""</f>
      </c>
      <c r="AA1068" s="20">
        <f>""</f>
      </c>
      <c r="AB1068" s="20">
        <f>""</f>
      </c>
    </row>
    <row r="1069" s="127">
      <c r="A1069" s="14" t="n">
        <v>1069</v>
      </c>
      <c r="B1069" s="211">
        <f>IFERROR(IF([2]对账明细接口!$B$1069=0,"",[2]对账明细接口!$B$1069),"")</f>
      </c>
      <c r="C1069" s="16">
        <f>IFERROR(IF([2]对账明细接口!$C$1069=0,"",[2]对账明细接口!$C$1069),"")</f>
      </c>
      <c r="D1069" s="16">
        <f>IFERROR(IF([2]对账明细接口!$D$1069=0,"",[2]对账明细接口!$D$1069),"")</f>
      </c>
      <c r="E1069" s="16">
        <f>IFERROR(IF([2]对账明细接口!$E$1069=0,"",[2]对账明细接口!$E$1069),"")</f>
      </c>
      <c r="F1069" s="16">
        <f>IFERROR(IF([2]对账明细接口!$F$1069=0,"",[2]对账明细接口!$F$1069),"")</f>
      </c>
      <c r="G1069" s="16">
        <f>IFERROR(IF([2]对账明细接口!$G$1069=0,"",[2]对账明细接口!$G$1069),"")</f>
      </c>
      <c r="H1069" s="176">
        <f>IFERROR(IF([2]对账明细接口!$H$1069=0,"",[2]对账明细接口!$H$1069),"")</f>
      </c>
      <c r="I1069" s="16">
        <f>IFERROR(IF([2]对账明细接口!$I$1069=0,"",[2]对账明细接口!$I$1069),"")</f>
      </c>
      <c r="J1069" s="177">
        <f>IFERROR(IF([2]对账明细接口!$J$1069=0,"",[2]对账明细接口!$J$1069),"")</f>
      </c>
      <c r="K1069" s="177">
        <f>IFERROR(IF([2]对账明细接口!$K$1069=0,"",[2]对账明细接口!$K$1069),"")</f>
      </c>
      <c r="L1069" s="16">
        <f>IFERROR(IF([2]对账明细接口!$L$1069=0,"",[2]对账明细接口!$L$1069),"")</f>
      </c>
      <c r="M1069" s="16">
        <f>IFERROR(IF([2]对账明细接口!$M$1069=0,"",[2]对账明细接口!$M$1069),"")</f>
      </c>
      <c r="N1069" s="19">
        <f>IF($C1069="",0,1)</f>
        <v>0</v>
      </c>
      <c r="O1069" s="19">
        <f>N(O1068)+$N1069</f>
        <v>272</v>
      </c>
      <c r="S1069" s="20">
        <f>IFERROR(IF([2]对账明细接口!$N1069=0,"",[2]对账明细接口!$N1069),"")</f>
      </c>
      <c r="T1069" s="212">
        <f>IFERROR(IF([2]对账明细接口!$O1069=0,"",[2]对账明细接口!$O1069),"")</f>
      </c>
      <c r="U1069" s="212">
        <f>IFERROR(IF([2]对账明细接口!$P1069=0,"",[2]对账明细接口!$P1069),"")</f>
      </c>
      <c r="V1069" s="212">
        <f>IFERROR(IF([2]对账明细接口!$Q1069=0,"",[2]对账明细接口!$Q1069),"")</f>
      </c>
      <c r="W1069" s="20">
        <f>IFERROR(IF([2]对账明细接口!$R1069=0,"",[2]对账明细接口!$R1069),"")</f>
      </c>
      <c r="X1069" s="20">
        <f>IFERROR(IF([2]对账明细接口!$S1069=0,"",[2]对账明细接口!$S1069),"")</f>
      </c>
      <c r="Y1069" s="20">
        <f>""</f>
      </c>
      <c r="Z1069" s="20">
        <f>""</f>
      </c>
      <c r="AA1069" s="20">
        <f>""</f>
      </c>
      <c r="AB1069" s="20">
        <f>""</f>
      </c>
    </row>
    <row r="1070" s="127">
      <c r="A1070" s="14" t="n">
        <v>1070</v>
      </c>
      <c r="B1070" s="211">
        <f>IFERROR(IF([2]对账明细接口!$B$1070=0,"",[2]对账明细接口!$B$1070),"")</f>
      </c>
      <c r="C1070" s="16">
        <f>IFERROR(IF([2]对账明细接口!$C$1070=0,"",[2]对账明细接口!$C$1070),"")</f>
      </c>
      <c r="D1070" s="16">
        <f>IFERROR(IF([2]对账明细接口!$D$1070=0,"",[2]对账明细接口!$D$1070),"")</f>
      </c>
      <c r="E1070" s="16">
        <f>IFERROR(IF([2]对账明细接口!$E$1070=0,"",[2]对账明细接口!$E$1070),"")</f>
      </c>
      <c r="F1070" s="16">
        <f>IFERROR(IF([2]对账明细接口!$F$1070=0,"",[2]对账明细接口!$F$1070),"")</f>
      </c>
      <c r="G1070" s="16">
        <f>IFERROR(IF([2]对账明细接口!$G$1070=0,"",[2]对账明细接口!$G$1070),"")</f>
      </c>
      <c r="H1070" s="176">
        <f>IFERROR(IF([2]对账明细接口!$H$1070=0,"",[2]对账明细接口!$H$1070),"")</f>
      </c>
      <c r="I1070" s="16">
        <f>IFERROR(IF([2]对账明细接口!$I$1070=0,"",[2]对账明细接口!$I$1070),"")</f>
      </c>
      <c r="J1070" s="177">
        <f>IFERROR(IF([2]对账明细接口!$J$1070=0,"",[2]对账明细接口!$J$1070),"")</f>
      </c>
      <c r="K1070" s="177">
        <f>IFERROR(IF([2]对账明细接口!$K$1070=0,"",[2]对账明细接口!$K$1070),"")</f>
      </c>
      <c r="L1070" s="16">
        <f>IFERROR(IF([2]对账明细接口!$L$1070=0,"",[2]对账明细接口!$L$1070),"")</f>
      </c>
      <c r="M1070" s="16">
        <f>IFERROR(IF([2]对账明细接口!$M$1070=0,"",[2]对账明细接口!$M$1070),"")</f>
      </c>
      <c r="N1070" s="19">
        <f>IF($C1070="",0,1)</f>
        <v>0</v>
      </c>
      <c r="O1070" s="19">
        <f>N(O1069)+$N1070</f>
        <v>272</v>
      </c>
      <c r="S1070" s="20">
        <f>IFERROR(IF([2]对账明细接口!$N1070=0,"",[2]对账明细接口!$N1070),"")</f>
      </c>
      <c r="T1070" s="212">
        <f>IFERROR(IF([2]对账明细接口!$O1070=0,"",[2]对账明细接口!$O1070),"")</f>
      </c>
      <c r="U1070" s="212">
        <f>IFERROR(IF([2]对账明细接口!$P1070=0,"",[2]对账明细接口!$P1070),"")</f>
      </c>
      <c r="V1070" s="212">
        <f>IFERROR(IF([2]对账明细接口!$Q1070=0,"",[2]对账明细接口!$Q1070),"")</f>
      </c>
      <c r="W1070" s="20">
        <f>IFERROR(IF([2]对账明细接口!$R1070=0,"",[2]对账明细接口!$R1070),"")</f>
      </c>
      <c r="X1070" s="20">
        <f>IFERROR(IF([2]对账明细接口!$S1070=0,"",[2]对账明细接口!$S1070),"")</f>
      </c>
      <c r="Y1070" s="20">
        <f>""</f>
      </c>
      <c r="Z1070" s="20">
        <f>""</f>
      </c>
      <c r="AA1070" s="20">
        <f>""</f>
      </c>
      <c r="AB1070" s="20">
        <f>""</f>
      </c>
    </row>
    <row r="1071" s="127">
      <c r="A1071" s="14" t="n">
        <v>1071</v>
      </c>
      <c r="B1071" s="211">
        <f>IFERROR(IF([2]对账明细接口!$B$1071=0,"",[2]对账明细接口!$B$1071),"")</f>
      </c>
      <c r="C1071" s="16">
        <f>IFERROR(IF([2]对账明细接口!$C$1071=0,"",[2]对账明细接口!$C$1071),"")</f>
      </c>
      <c r="D1071" s="16">
        <f>IFERROR(IF([2]对账明细接口!$D$1071=0,"",[2]对账明细接口!$D$1071),"")</f>
      </c>
      <c r="E1071" s="16">
        <f>IFERROR(IF([2]对账明细接口!$E$1071=0,"",[2]对账明细接口!$E$1071),"")</f>
      </c>
      <c r="F1071" s="16">
        <f>IFERROR(IF([2]对账明细接口!$F$1071=0,"",[2]对账明细接口!$F$1071),"")</f>
      </c>
      <c r="G1071" s="16">
        <f>IFERROR(IF([2]对账明细接口!$G$1071=0,"",[2]对账明细接口!$G$1071),"")</f>
      </c>
      <c r="H1071" s="176">
        <f>IFERROR(IF([2]对账明细接口!$H$1071=0,"",[2]对账明细接口!$H$1071),"")</f>
      </c>
      <c r="I1071" s="16">
        <f>IFERROR(IF([2]对账明细接口!$I$1071=0,"",[2]对账明细接口!$I$1071),"")</f>
      </c>
      <c r="J1071" s="177">
        <f>IFERROR(IF([2]对账明细接口!$J$1071=0,"",[2]对账明细接口!$J$1071),"")</f>
      </c>
      <c r="K1071" s="177">
        <f>IFERROR(IF([2]对账明细接口!$K$1071=0,"",[2]对账明细接口!$K$1071),"")</f>
      </c>
      <c r="L1071" s="16">
        <f>IFERROR(IF([2]对账明细接口!$L$1071=0,"",[2]对账明细接口!$L$1071),"")</f>
      </c>
      <c r="M1071" s="16">
        <f>IFERROR(IF([2]对账明细接口!$M$1071=0,"",[2]对账明细接口!$M$1071),"")</f>
      </c>
      <c r="N1071" s="19">
        <f>IF($C1071="",0,1)</f>
        <v>0</v>
      </c>
      <c r="O1071" s="19">
        <f>N(O1070)+$N1071</f>
        <v>272</v>
      </c>
      <c r="S1071" s="20">
        <f>IFERROR(IF([2]对账明细接口!$N1071=0,"",[2]对账明细接口!$N1071),"")</f>
      </c>
      <c r="T1071" s="212">
        <f>IFERROR(IF([2]对账明细接口!$O1071=0,"",[2]对账明细接口!$O1071),"")</f>
      </c>
      <c r="U1071" s="212">
        <f>IFERROR(IF([2]对账明细接口!$P1071=0,"",[2]对账明细接口!$P1071),"")</f>
      </c>
      <c r="V1071" s="212">
        <f>IFERROR(IF([2]对账明细接口!$Q1071=0,"",[2]对账明细接口!$Q1071),"")</f>
      </c>
      <c r="W1071" s="20">
        <f>IFERROR(IF([2]对账明细接口!$R1071=0,"",[2]对账明细接口!$R1071),"")</f>
      </c>
      <c r="X1071" s="20">
        <f>IFERROR(IF([2]对账明细接口!$S1071=0,"",[2]对账明细接口!$S1071),"")</f>
      </c>
      <c r="Y1071" s="20">
        <f>""</f>
      </c>
      <c r="Z1071" s="20">
        <f>""</f>
      </c>
      <c r="AA1071" s="20">
        <f>""</f>
      </c>
      <c r="AB1071" s="20">
        <f>""</f>
      </c>
    </row>
    <row r="1072" s="127">
      <c r="A1072" s="14" t="n">
        <v>1072</v>
      </c>
      <c r="B1072" s="211">
        <f>IFERROR(IF([2]对账明细接口!$B$1072=0,"",[2]对账明细接口!$B$1072),"")</f>
      </c>
      <c r="C1072" s="16">
        <f>IFERROR(IF([2]对账明细接口!$C$1072=0,"",[2]对账明细接口!$C$1072),"")</f>
      </c>
      <c r="D1072" s="16">
        <f>IFERROR(IF([2]对账明细接口!$D$1072=0,"",[2]对账明细接口!$D$1072),"")</f>
      </c>
      <c r="E1072" s="16">
        <f>IFERROR(IF([2]对账明细接口!$E$1072=0,"",[2]对账明细接口!$E$1072),"")</f>
      </c>
      <c r="F1072" s="16">
        <f>IFERROR(IF([2]对账明细接口!$F$1072=0,"",[2]对账明细接口!$F$1072),"")</f>
      </c>
      <c r="G1072" s="16">
        <f>IFERROR(IF([2]对账明细接口!$G$1072=0,"",[2]对账明细接口!$G$1072),"")</f>
      </c>
      <c r="H1072" s="176">
        <f>IFERROR(IF([2]对账明细接口!$H$1072=0,"",[2]对账明细接口!$H$1072),"")</f>
      </c>
      <c r="I1072" s="16">
        <f>IFERROR(IF([2]对账明细接口!$I$1072=0,"",[2]对账明细接口!$I$1072),"")</f>
      </c>
      <c r="J1072" s="177">
        <f>IFERROR(IF([2]对账明细接口!$J$1072=0,"",[2]对账明细接口!$J$1072),"")</f>
      </c>
      <c r="K1072" s="177">
        <f>IFERROR(IF([2]对账明细接口!$K$1072=0,"",[2]对账明细接口!$K$1072),"")</f>
      </c>
      <c r="L1072" s="16">
        <f>IFERROR(IF([2]对账明细接口!$L$1072=0,"",[2]对账明细接口!$L$1072),"")</f>
      </c>
      <c r="M1072" s="16">
        <f>IFERROR(IF([2]对账明细接口!$M$1072=0,"",[2]对账明细接口!$M$1072),"")</f>
      </c>
      <c r="N1072" s="19">
        <f>IF($C1072="",0,1)</f>
        <v>0</v>
      </c>
      <c r="O1072" s="19">
        <f>N(O1071)+$N1072</f>
        <v>272</v>
      </c>
      <c r="S1072" s="20">
        <f>IFERROR(IF([2]对账明细接口!$N1072=0,"",[2]对账明细接口!$N1072),"")</f>
      </c>
      <c r="T1072" s="212">
        <f>IFERROR(IF([2]对账明细接口!$O1072=0,"",[2]对账明细接口!$O1072),"")</f>
      </c>
      <c r="U1072" s="212">
        <f>IFERROR(IF([2]对账明细接口!$P1072=0,"",[2]对账明细接口!$P1072),"")</f>
      </c>
      <c r="V1072" s="212">
        <f>IFERROR(IF([2]对账明细接口!$Q1072=0,"",[2]对账明细接口!$Q1072),"")</f>
      </c>
      <c r="W1072" s="20">
        <f>IFERROR(IF([2]对账明细接口!$R1072=0,"",[2]对账明细接口!$R1072),"")</f>
      </c>
      <c r="X1072" s="20">
        <f>IFERROR(IF([2]对账明细接口!$S1072=0,"",[2]对账明细接口!$S1072),"")</f>
      </c>
      <c r="Y1072" s="20">
        <f>""</f>
      </c>
      <c r="Z1072" s="20">
        <f>""</f>
      </c>
      <c r="AA1072" s="20">
        <f>""</f>
      </c>
      <c r="AB1072" s="20">
        <f>""</f>
      </c>
    </row>
    <row r="1073" s="127">
      <c r="A1073" s="14" t="n">
        <v>1073</v>
      </c>
      <c r="B1073" s="211">
        <f>IFERROR(IF([2]对账明细接口!$B$1073=0,"",[2]对账明细接口!$B$1073),"")</f>
      </c>
      <c r="C1073" s="16">
        <f>IFERROR(IF([2]对账明细接口!$C$1073=0,"",[2]对账明细接口!$C$1073),"")</f>
      </c>
      <c r="D1073" s="16">
        <f>IFERROR(IF([2]对账明细接口!$D$1073=0,"",[2]对账明细接口!$D$1073),"")</f>
      </c>
      <c r="E1073" s="16">
        <f>IFERROR(IF([2]对账明细接口!$E$1073=0,"",[2]对账明细接口!$E$1073),"")</f>
      </c>
      <c r="F1073" s="16">
        <f>IFERROR(IF([2]对账明细接口!$F$1073=0,"",[2]对账明细接口!$F$1073),"")</f>
      </c>
      <c r="G1073" s="16">
        <f>IFERROR(IF([2]对账明细接口!$G$1073=0,"",[2]对账明细接口!$G$1073),"")</f>
      </c>
      <c r="H1073" s="176">
        <f>IFERROR(IF([2]对账明细接口!$H$1073=0,"",[2]对账明细接口!$H$1073),"")</f>
      </c>
      <c r="I1073" s="16">
        <f>IFERROR(IF([2]对账明细接口!$I$1073=0,"",[2]对账明细接口!$I$1073),"")</f>
      </c>
      <c r="J1073" s="177">
        <f>IFERROR(IF([2]对账明细接口!$J$1073=0,"",[2]对账明细接口!$J$1073),"")</f>
      </c>
      <c r="K1073" s="177">
        <f>IFERROR(IF([2]对账明细接口!$K$1073=0,"",[2]对账明细接口!$K$1073),"")</f>
      </c>
      <c r="L1073" s="16">
        <f>IFERROR(IF([2]对账明细接口!$L$1073=0,"",[2]对账明细接口!$L$1073),"")</f>
      </c>
      <c r="M1073" s="16">
        <f>IFERROR(IF([2]对账明细接口!$M$1073=0,"",[2]对账明细接口!$M$1073),"")</f>
      </c>
      <c r="N1073" s="19">
        <f>IF($C1073="",0,1)</f>
        <v>0</v>
      </c>
      <c r="O1073" s="19">
        <f>N(O1072)+$N1073</f>
        <v>272</v>
      </c>
      <c r="S1073" s="20">
        <f>IFERROR(IF([2]对账明细接口!$N1073=0,"",[2]对账明细接口!$N1073),"")</f>
      </c>
      <c r="T1073" s="212">
        <f>IFERROR(IF([2]对账明细接口!$O1073=0,"",[2]对账明细接口!$O1073),"")</f>
      </c>
      <c r="U1073" s="212">
        <f>IFERROR(IF([2]对账明细接口!$P1073=0,"",[2]对账明细接口!$P1073),"")</f>
      </c>
      <c r="V1073" s="212">
        <f>IFERROR(IF([2]对账明细接口!$Q1073=0,"",[2]对账明细接口!$Q1073),"")</f>
      </c>
      <c r="W1073" s="20">
        <f>IFERROR(IF([2]对账明细接口!$R1073=0,"",[2]对账明细接口!$R1073),"")</f>
      </c>
      <c r="X1073" s="20">
        <f>IFERROR(IF([2]对账明细接口!$S1073=0,"",[2]对账明细接口!$S1073),"")</f>
      </c>
      <c r="Y1073" s="20">
        <f>""</f>
      </c>
      <c r="Z1073" s="20">
        <f>""</f>
      </c>
      <c r="AA1073" s="20">
        <f>""</f>
      </c>
      <c r="AB1073" s="20">
        <f>""</f>
      </c>
    </row>
    <row r="1074" s="127">
      <c r="A1074" s="14" t="n">
        <v>1074</v>
      </c>
      <c r="B1074" s="211">
        <f>IFERROR(IF([2]对账明细接口!$B$1074=0,"",[2]对账明细接口!$B$1074),"")</f>
      </c>
      <c r="C1074" s="16">
        <f>IFERROR(IF([2]对账明细接口!$C$1074=0,"",[2]对账明细接口!$C$1074),"")</f>
      </c>
      <c r="D1074" s="16">
        <f>IFERROR(IF([2]对账明细接口!$D$1074=0,"",[2]对账明细接口!$D$1074),"")</f>
      </c>
      <c r="E1074" s="16">
        <f>IFERROR(IF([2]对账明细接口!$E$1074=0,"",[2]对账明细接口!$E$1074),"")</f>
      </c>
      <c r="F1074" s="16">
        <f>IFERROR(IF([2]对账明细接口!$F$1074=0,"",[2]对账明细接口!$F$1074),"")</f>
      </c>
      <c r="G1074" s="16">
        <f>IFERROR(IF([2]对账明细接口!$G$1074=0,"",[2]对账明细接口!$G$1074),"")</f>
      </c>
      <c r="H1074" s="176">
        <f>IFERROR(IF([2]对账明细接口!$H$1074=0,"",[2]对账明细接口!$H$1074),"")</f>
      </c>
      <c r="I1074" s="16">
        <f>IFERROR(IF([2]对账明细接口!$I$1074=0,"",[2]对账明细接口!$I$1074),"")</f>
      </c>
      <c r="J1074" s="177">
        <f>IFERROR(IF([2]对账明细接口!$J$1074=0,"",[2]对账明细接口!$J$1074),"")</f>
      </c>
      <c r="K1074" s="177">
        <f>IFERROR(IF([2]对账明细接口!$K$1074=0,"",[2]对账明细接口!$K$1074),"")</f>
      </c>
      <c r="L1074" s="16">
        <f>IFERROR(IF([2]对账明细接口!$L$1074=0,"",[2]对账明细接口!$L$1074),"")</f>
      </c>
      <c r="M1074" s="16">
        <f>IFERROR(IF([2]对账明细接口!$M$1074=0,"",[2]对账明细接口!$M$1074),"")</f>
      </c>
      <c r="N1074" s="19">
        <f>IF($C1074="",0,1)</f>
        <v>0</v>
      </c>
      <c r="O1074" s="19">
        <f>N(O1073)+$N1074</f>
        <v>272</v>
      </c>
      <c r="S1074" s="20">
        <f>IFERROR(IF([2]对账明细接口!$N1074=0,"",[2]对账明细接口!$N1074),"")</f>
      </c>
      <c r="T1074" s="212">
        <f>IFERROR(IF([2]对账明细接口!$O1074=0,"",[2]对账明细接口!$O1074),"")</f>
      </c>
      <c r="U1074" s="212">
        <f>IFERROR(IF([2]对账明细接口!$P1074=0,"",[2]对账明细接口!$P1074),"")</f>
      </c>
      <c r="V1074" s="212">
        <f>IFERROR(IF([2]对账明细接口!$Q1074=0,"",[2]对账明细接口!$Q1074),"")</f>
      </c>
      <c r="W1074" s="20">
        <f>IFERROR(IF([2]对账明细接口!$R1074=0,"",[2]对账明细接口!$R1074),"")</f>
      </c>
      <c r="X1074" s="20">
        <f>IFERROR(IF([2]对账明细接口!$S1074=0,"",[2]对账明细接口!$S1074),"")</f>
      </c>
      <c r="Y1074" s="20">
        <f>""</f>
      </c>
      <c r="Z1074" s="20">
        <f>""</f>
      </c>
      <c r="AA1074" s="20">
        <f>""</f>
      </c>
      <c r="AB1074" s="20">
        <f>""</f>
      </c>
    </row>
    <row r="1075" s="127">
      <c r="A1075" s="14" t="n">
        <v>1075</v>
      </c>
      <c r="B1075" s="211">
        <f>IFERROR(IF([2]对账明细接口!$B$1075=0,"",[2]对账明细接口!$B$1075),"")</f>
      </c>
      <c r="C1075" s="16">
        <f>IFERROR(IF([2]对账明细接口!$C$1075=0,"",[2]对账明细接口!$C$1075),"")</f>
      </c>
      <c r="D1075" s="16">
        <f>IFERROR(IF([2]对账明细接口!$D$1075=0,"",[2]对账明细接口!$D$1075),"")</f>
      </c>
      <c r="E1075" s="16">
        <f>IFERROR(IF([2]对账明细接口!$E$1075=0,"",[2]对账明细接口!$E$1075),"")</f>
      </c>
      <c r="F1075" s="16">
        <f>IFERROR(IF([2]对账明细接口!$F$1075=0,"",[2]对账明细接口!$F$1075),"")</f>
      </c>
      <c r="G1075" s="16">
        <f>IFERROR(IF([2]对账明细接口!$G$1075=0,"",[2]对账明细接口!$G$1075),"")</f>
      </c>
      <c r="H1075" s="176">
        <f>IFERROR(IF([2]对账明细接口!$H$1075=0,"",[2]对账明细接口!$H$1075),"")</f>
      </c>
      <c r="I1075" s="16">
        <f>IFERROR(IF([2]对账明细接口!$I$1075=0,"",[2]对账明细接口!$I$1075),"")</f>
      </c>
      <c r="J1075" s="177">
        <f>IFERROR(IF([2]对账明细接口!$J$1075=0,"",[2]对账明细接口!$J$1075),"")</f>
      </c>
      <c r="K1075" s="177">
        <f>IFERROR(IF([2]对账明细接口!$K$1075=0,"",[2]对账明细接口!$K$1075),"")</f>
      </c>
      <c r="L1075" s="16">
        <f>IFERROR(IF([2]对账明细接口!$L$1075=0,"",[2]对账明细接口!$L$1075),"")</f>
      </c>
      <c r="M1075" s="16">
        <f>IFERROR(IF([2]对账明细接口!$M$1075=0,"",[2]对账明细接口!$M$1075),"")</f>
      </c>
      <c r="N1075" s="19">
        <f>IF($C1075="",0,1)</f>
        <v>0</v>
      </c>
      <c r="O1075" s="19">
        <f>N(O1074)+$N1075</f>
        <v>272</v>
      </c>
      <c r="S1075" s="20">
        <f>IFERROR(IF([2]对账明细接口!$N1075=0,"",[2]对账明细接口!$N1075),"")</f>
      </c>
      <c r="T1075" s="212">
        <f>IFERROR(IF([2]对账明细接口!$O1075=0,"",[2]对账明细接口!$O1075),"")</f>
      </c>
      <c r="U1075" s="212">
        <f>IFERROR(IF([2]对账明细接口!$P1075=0,"",[2]对账明细接口!$P1075),"")</f>
      </c>
      <c r="V1075" s="212">
        <f>IFERROR(IF([2]对账明细接口!$Q1075=0,"",[2]对账明细接口!$Q1075),"")</f>
      </c>
      <c r="W1075" s="20">
        <f>IFERROR(IF([2]对账明细接口!$R1075=0,"",[2]对账明细接口!$R1075),"")</f>
      </c>
      <c r="X1075" s="20">
        <f>IFERROR(IF([2]对账明细接口!$S1075=0,"",[2]对账明细接口!$S1075),"")</f>
      </c>
      <c r="Y1075" s="20">
        <f>""</f>
      </c>
      <c r="Z1075" s="20">
        <f>""</f>
      </c>
      <c r="AA1075" s="20">
        <f>""</f>
      </c>
      <c r="AB1075" s="20">
        <f>""</f>
      </c>
    </row>
    <row r="1076" s="127">
      <c r="A1076" s="14" t="n">
        <v>1076</v>
      </c>
      <c r="B1076" s="211">
        <f>IFERROR(IF([2]对账明细接口!$B$1076=0,"",[2]对账明细接口!$B$1076),"")</f>
      </c>
      <c r="C1076" s="16">
        <f>IFERROR(IF([2]对账明细接口!$C$1076=0,"",[2]对账明细接口!$C$1076),"")</f>
      </c>
      <c r="D1076" s="16">
        <f>IFERROR(IF([2]对账明细接口!$D$1076=0,"",[2]对账明细接口!$D$1076),"")</f>
      </c>
      <c r="E1076" s="16">
        <f>IFERROR(IF([2]对账明细接口!$E$1076=0,"",[2]对账明细接口!$E$1076),"")</f>
      </c>
      <c r="F1076" s="16">
        <f>IFERROR(IF([2]对账明细接口!$F$1076=0,"",[2]对账明细接口!$F$1076),"")</f>
      </c>
      <c r="G1076" s="16">
        <f>IFERROR(IF([2]对账明细接口!$G$1076=0,"",[2]对账明细接口!$G$1076),"")</f>
      </c>
      <c r="H1076" s="176">
        <f>IFERROR(IF([2]对账明细接口!$H$1076=0,"",[2]对账明细接口!$H$1076),"")</f>
      </c>
      <c r="I1076" s="16">
        <f>IFERROR(IF([2]对账明细接口!$I$1076=0,"",[2]对账明细接口!$I$1076),"")</f>
      </c>
      <c r="J1076" s="177">
        <f>IFERROR(IF([2]对账明细接口!$J$1076=0,"",[2]对账明细接口!$J$1076),"")</f>
      </c>
      <c r="K1076" s="177">
        <f>IFERROR(IF([2]对账明细接口!$K$1076=0,"",[2]对账明细接口!$K$1076),"")</f>
      </c>
      <c r="L1076" s="16">
        <f>IFERROR(IF([2]对账明细接口!$L$1076=0,"",[2]对账明细接口!$L$1076),"")</f>
      </c>
      <c r="M1076" s="16">
        <f>IFERROR(IF([2]对账明细接口!$M$1076=0,"",[2]对账明细接口!$M$1076),"")</f>
      </c>
      <c r="N1076" s="19">
        <f>IF($C1076="",0,1)</f>
        <v>0</v>
      </c>
      <c r="O1076" s="19">
        <f>N(O1075)+$N1076</f>
        <v>272</v>
      </c>
      <c r="S1076" s="20">
        <f>IFERROR(IF([2]对账明细接口!$N1076=0,"",[2]对账明细接口!$N1076),"")</f>
      </c>
      <c r="T1076" s="212">
        <f>IFERROR(IF([2]对账明细接口!$O1076=0,"",[2]对账明细接口!$O1076),"")</f>
      </c>
      <c r="U1076" s="212">
        <f>IFERROR(IF([2]对账明细接口!$P1076=0,"",[2]对账明细接口!$P1076),"")</f>
      </c>
      <c r="V1076" s="212">
        <f>IFERROR(IF([2]对账明细接口!$Q1076=0,"",[2]对账明细接口!$Q1076),"")</f>
      </c>
      <c r="W1076" s="20">
        <f>IFERROR(IF([2]对账明细接口!$R1076=0,"",[2]对账明细接口!$R1076),"")</f>
      </c>
      <c r="X1076" s="20">
        <f>IFERROR(IF([2]对账明细接口!$S1076=0,"",[2]对账明细接口!$S1076),"")</f>
      </c>
      <c r="Y1076" s="20">
        <f>""</f>
      </c>
      <c r="Z1076" s="20">
        <f>""</f>
      </c>
      <c r="AA1076" s="20">
        <f>""</f>
      </c>
      <c r="AB1076" s="20">
        <f>""</f>
      </c>
    </row>
    <row r="1077" s="127">
      <c r="A1077" s="14" t="n">
        <v>1077</v>
      </c>
      <c r="B1077" s="211">
        <f>IFERROR(IF([2]对账明细接口!$B$1077=0,"",[2]对账明细接口!$B$1077),"")</f>
      </c>
      <c r="C1077" s="16">
        <f>IFERROR(IF([2]对账明细接口!$C$1077=0,"",[2]对账明细接口!$C$1077),"")</f>
      </c>
      <c r="D1077" s="16">
        <f>IFERROR(IF([2]对账明细接口!$D$1077=0,"",[2]对账明细接口!$D$1077),"")</f>
      </c>
      <c r="E1077" s="16">
        <f>IFERROR(IF([2]对账明细接口!$E$1077=0,"",[2]对账明细接口!$E$1077),"")</f>
      </c>
      <c r="F1077" s="16">
        <f>IFERROR(IF([2]对账明细接口!$F$1077=0,"",[2]对账明细接口!$F$1077),"")</f>
      </c>
      <c r="G1077" s="16">
        <f>IFERROR(IF([2]对账明细接口!$G$1077=0,"",[2]对账明细接口!$G$1077),"")</f>
      </c>
      <c r="H1077" s="176">
        <f>IFERROR(IF([2]对账明细接口!$H$1077=0,"",[2]对账明细接口!$H$1077),"")</f>
      </c>
      <c r="I1077" s="16">
        <f>IFERROR(IF([2]对账明细接口!$I$1077=0,"",[2]对账明细接口!$I$1077),"")</f>
      </c>
      <c r="J1077" s="177">
        <f>IFERROR(IF([2]对账明细接口!$J$1077=0,"",[2]对账明细接口!$J$1077),"")</f>
      </c>
      <c r="K1077" s="177">
        <f>IFERROR(IF([2]对账明细接口!$K$1077=0,"",[2]对账明细接口!$K$1077),"")</f>
      </c>
      <c r="L1077" s="16">
        <f>IFERROR(IF([2]对账明细接口!$L$1077=0,"",[2]对账明细接口!$L$1077),"")</f>
      </c>
      <c r="M1077" s="16">
        <f>IFERROR(IF([2]对账明细接口!$M$1077=0,"",[2]对账明细接口!$M$1077),"")</f>
      </c>
      <c r="N1077" s="19">
        <f>IF($C1077="",0,1)</f>
        <v>0</v>
      </c>
      <c r="O1077" s="19">
        <f>N(O1076)+$N1077</f>
        <v>272</v>
      </c>
      <c r="S1077" s="20">
        <f>IFERROR(IF([2]对账明细接口!$N1077=0,"",[2]对账明细接口!$N1077),"")</f>
      </c>
      <c r="T1077" s="212">
        <f>IFERROR(IF([2]对账明细接口!$O1077=0,"",[2]对账明细接口!$O1077),"")</f>
      </c>
      <c r="U1077" s="212">
        <f>IFERROR(IF([2]对账明细接口!$P1077=0,"",[2]对账明细接口!$P1077),"")</f>
      </c>
      <c r="V1077" s="212">
        <f>IFERROR(IF([2]对账明细接口!$Q1077=0,"",[2]对账明细接口!$Q1077),"")</f>
      </c>
      <c r="W1077" s="20">
        <f>IFERROR(IF([2]对账明细接口!$R1077=0,"",[2]对账明细接口!$R1077),"")</f>
      </c>
      <c r="X1077" s="20">
        <f>IFERROR(IF([2]对账明细接口!$S1077=0,"",[2]对账明细接口!$S1077),"")</f>
      </c>
      <c r="Y1077" s="20">
        <f>""</f>
      </c>
      <c r="Z1077" s="20">
        <f>""</f>
      </c>
      <c r="AA1077" s="20">
        <f>""</f>
      </c>
      <c r="AB1077" s="20">
        <f>""</f>
      </c>
    </row>
    <row r="1078" s="127">
      <c r="A1078" s="14" t="n">
        <v>1078</v>
      </c>
      <c r="B1078" s="211">
        <f>IFERROR(IF([2]对账明细接口!$B$1078=0,"",[2]对账明细接口!$B$1078),"")</f>
      </c>
      <c r="C1078" s="16">
        <f>IFERROR(IF([2]对账明细接口!$C$1078=0,"",[2]对账明细接口!$C$1078),"")</f>
      </c>
      <c r="D1078" s="16">
        <f>IFERROR(IF([2]对账明细接口!$D$1078=0,"",[2]对账明细接口!$D$1078),"")</f>
      </c>
      <c r="E1078" s="16">
        <f>IFERROR(IF([2]对账明细接口!$E$1078=0,"",[2]对账明细接口!$E$1078),"")</f>
      </c>
      <c r="F1078" s="16">
        <f>IFERROR(IF([2]对账明细接口!$F$1078=0,"",[2]对账明细接口!$F$1078),"")</f>
      </c>
      <c r="G1078" s="16">
        <f>IFERROR(IF([2]对账明细接口!$G$1078=0,"",[2]对账明细接口!$G$1078),"")</f>
      </c>
      <c r="H1078" s="176">
        <f>IFERROR(IF([2]对账明细接口!$H$1078=0,"",[2]对账明细接口!$H$1078),"")</f>
      </c>
      <c r="I1078" s="16">
        <f>IFERROR(IF([2]对账明细接口!$I$1078=0,"",[2]对账明细接口!$I$1078),"")</f>
      </c>
      <c r="J1078" s="177">
        <f>IFERROR(IF([2]对账明细接口!$J$1078=0,"",[2]对账明细接口!$J$1078),"")</f>
      </c>
      <c r="K1078" s="177">
        <f>IFERROR(IF([2]对账明细接口!$K$1078=0,"",[2]对账明细接口!$K$1078),"")</f>
      </c>
      <c r="L1078" s="16">
        <f>IFERROR(IF([2]对账明细接口!$L$1078=0,"",[2]对账明细接口!$L$1078),"")</f>
      </c>
      <c r="M1078" s="16">
        <f>IFERROR(IF([2]对账明细接口!$M$1078=0,"",[2]对账明细接口!$M$1078),"")</f>
      </c>
      <c r="N1078" s="19">
        <f>IF($C1078="",0,1)</f>
        <v>0</v>
      </c>
      <c r="O1078" s="19">
        <f>N(O1077)+$N1078</f>
        <v>272</v>
      </c>
      <c r="S1078" s="20">
        <f>IFERROR(IF([2]对账明细接口!$N1078=0,"",[2]对账明细接口!$N1078),"")</f>
      </c>
      <c r="T1078" s="212">
        <f>IFERROR(IF([2]对账明细接口!$O1078=0,"",[2]对账明细接口!$O1078),"")</f>
      </c>
      <c r="U1078" s="212">
        <f>IFERROR(IF([2]对账明细接口!$P1078=0,"",[2]对账明细接口!$P1078),"")</f>
      </c>
      <c r="V1078" s="212">
        <f>IFERROR(IF([2]对账明细接口!$Q1078=0,"",[2]对账明细接口!$Q1078),"")</f>
      </c>
      <c r="W1078" s="20">
        <f>IFERROR(IF([2]对账明细接口!$R1078=0,"",[2]对账明细接口!$R1078),"")</f>
      </c>
      <c r="X1078" s="20">
        <f>IFERROR(IF([2]对账明细接口!$S1078=0,"",[2]对账明细接口!$S1078),"")</f>
      </c>
      <c r="Y1078" s="20">
        <f>""</f>
      </c>
      <c r="Z1078" s="20">
        <f>""</f>
      </c>
      <c r="AA1078" s="20">
        <f>""</f>
      </c>
      <c r="AB1078" s="20">
        <f>""</f>
      </c>
    </row>
    <row r="1079" s="127">
      <c r="A1079" s="14" t="n">
        <v>1079</v>
      </c>
      <c r="B1079" s="211">
        <f>IFERROR(IF([2]对账明细接口!$B$1079=0,"",[2]对账明细接口!$B$1079),"")</f>
      </c>
      <c r="C1079" s="16">
        <f>IFERROR(IF([2]对账明细接口!$C$1079=0,"",[2]对账明细接口!$C$1079),"")</f>
      </c>
      <c r="D1079" s="16">
        <f>IFERROR(IF([2]对账明细接口!$D$1079=0,"",[2]对账明细接口!$D$1079),"")</f>
      </c>
      <c r="E1079" s="16">
        <f>IFERROR(IF([2]对账明细接口!$E$1079=0,"",[2]对账明细接口!$E$1079),"")</f>
      </c>
      <c r="F1079" s="16">
        <f>IFERROR(IF([2]对账明细接口!$F$1079=0,"",[2]对账明细接口!$F$1079),"")</f>
      </c>
      <c r="G1079" s="16">
        <f>IFERROR(IF([2]对账明细接口!$G$1079=0,"",[2]对账明细接口!$G$1079),"")</f>
      </c>
      <c r="H1079" s="176">
        <f>IFERROR(IF([2]对账明细接口!$H$1079=0,"",[2]对账明细接口!$H$1079),"")</f>
      </c>
      <c r="I1079" s="16">
        <f>IFERROR(IF([2]对账明细接口!$I$1079=0,"",[2]对账明细接口!$I$1079),"")</f>
      </c>
      <c r="J1079" s="177">
        <f>IFERROR(IF([2]对账明细接口!$J$1079=0,"",[2]对账明细接口!$J$1079),"")</f>
      </c>
      <c r="K1079" s="177">
        <f>IFERROR(IF([2]对账明细接口!$K$1079=0,"",[2]对账明细接口!$K$1079),"")</f>
      </c>
      <c r="L1079" s="16">
        <f>IFERROR(IF([2]对账明细接口!$L$1079=0,"",[2]对账明细接口!$L$1079),"")</f>
      </c>
      <c r="M1079" s="16">
        <f>IFERROR(IF([2]对账明细接口!$M$1079=0,"",[2]对账明细接口!$M$1079),"")</f>
      </c>
      <c r="N1079" s="19">
        <f>IF($C1079="",0,1)</f>
        <v>0</v>
      </c>
      <c r="O1079" s="19">
        <f>N(O1078)+$N1079</f>
        <v>272</v>
      </c>
      <c r="S1079" s="20">
        <f>IFERROR(IF([2]对账明细接口!$N1079=0,"",[2]对账明细接口!$N1079),"")</f>
      </c>
      <c r="T1079" s="212">
        <f>IFERROR(IF([2]对账明细接口!$O1079=0,"",[2]对账明细接口!$O1079),"")</f>
      </c>
      <c r="U1079" s="212">
        <f>IFERROR(IF([2]对账明细接口!$P1079=0,"",[2]对账明细接口!$P1079),"")</f>
      </c>
      <c r="V1079" s="212">
        <f>IFERROR(IF([2]对账明细接口!$Q1079=0,"",[2]对账明细接口!$Q1079),"")</f>
      </c>
      <c r="W1079" s="20">
        <f>IFERROR(IF([2]对账明细接口!$R1079=0,"",[2]对账明细接口!$R1079),"")</f>
      </c>
      <c r="X1079" s="20">
        <f>IFERROR(IF([2]对账明细接口!$S1079=0,"",[2]对账明细接口!$S1079),"")</f>
      </c>
      <c r="Y1079" s="20">
        <f>""</f>
      </c>
      <c r="Z1079" s="20">
        <f>""</f>
      </c>
      <c r="AA1079" s="20">
        <f>""</f>
      </c>
      <c r="AB1079" s="20">
        <f>""</f>
      </c>
    </row>
    <row r="1080" s="127">
      <c r="A1080" s="14" t="n">
        <v>1080</v>
      </c>
      <c r="B1080" s="211">
        <f>IFERROR(IF([2]对账明细接口!$B$1080=0,"",[2]对账明细接口!$B$1080),"")</f>
      </c>
      <c r="C1080" s="16">
        <f>IFERROR(IF([2]对账明细接口!$C$1080=0,"",[2]对账明细接口!$C$1080),"")</f>
      </c>
      <c r="D1080" s="16">
        <f>IFERROR(IF([2]对账明细接口!$D$1080=0,"",[2]对账明细接口!$D$1080),"")</f>
      </c>
      <c r="E1080" s="16">
        <f>IFERROR(IF([2]对账明细接口!$E$1080=0,"",[2]对账明细接口!$E$1080),"")</f>
      </c>
      <c r="F1080" s="16">
        <f>IFERROR(IF([2]对账明细接口!$F$1080=0,"",[2]对账明细接口!$F$1080),"")</f>
      </c>
      <c r="G1080" s="16">
        <f>IFERROR(IF([2]对账明细接口!$G$1080=0,"",[2]对账明细接口!$G$1080),"")</f>
      </c>
      <c r="H1080" s="176">
        <f>IFERROR(IF([2]对账明细接口!$H$1080=0,"",[2]对账明细接口!$H$1080),"")</f>
      </c>
      <c r="I1080" s="16">
        <f>IFERROR(IF([2]对账明细接口!$I$1080=0,"",[2]对账明细接口!$I$1080),"")</f>
      </c>
      <c r="J1080" s="177">
        <f>IFERROR(IF([2]对账明细接口!$J$1080=0,"",[2]对账明细接口!$J$1080),"")</f>
      </c>
      <c r="K1080" s="177">
        <f>IFERROR(IF([2]对账明细接口!$K$1080=0,"",[2]对账明细接口!$K$1080),"")</f>
      </c>
      <c r="L1080" s="16">
        <f>IFERROR(IF([2]对账明细接口!$L$1080=0,"",[2]对账明细接口!$L$1080),"")</f>
      </c>
      <c r="M1080" s="16">
        <f>IFERROR(IF([2]对账明细接口!$M$1080=0,"",[2]对账明细接口!$M$1080),"")</f>
      </c>
      <c r="N1080" s="19">
        <f>IF($C1080="",0,1)</f>
        <v>0</v>
      </c>
      <c r="O1080" s="19">
        <f>N(O1079)+$N1080</f>
        <v>272</v>
      </c>
      <c r="S1080" s="20">
        <f>IFERROR(IF([2]对账明细接口!$N1080=0,"",[2]对账明细接口!$N1080),"")</f>
      </c>
      <c r="T1080" s="212">
        <f>IFERROR(IF([2]对账明细接口!$O1080=0,"",[2]对账明细接口!$O1080),"")</f>
      </c>
      <c r="U1080" s="212">
        <f>IFERROR(IF([2]对账明细接口!$P1080=0,"",[2]对账明细接口!$P1080),"")</f>
      </c>
      <c r="V1080" s="212">
        <f>IFERROR(IF([2]对账明细接口!$Q1080=0,"",[2]对账明细接口!$Q1080),"")</f>
      </c>
      <c r="W1080" s="20">
        <f>IFERROR(IF([2]对账明细接口!$R1080=0,"",[2]对账明细接口!$R1080),"")</f>
      </c>
      <c r="X1080" s="20">
        <f>IFERROR(IF([2]对账明细接口!$S1080=0,"",[2]对账明细接口!$S1080),"")</f>
      </c>
      <c r="Y1080" s="20">
        <f>""</f>
      </c>
      <c r="Z1080" s="20">
        <f>""</f>
      </c>
      <c r="AA1080" s="20">
        <f>""</f>
      </c>
      <c r="AB1080" s="20">
        <f>""</f>
      </c>
    </row>
    <row r="1081" s="127">
      <c r="A1081" s="14" t="n">
        <v>1081</v>
      </c>
      <c r="B1081" s="211">
        <f>IFERROR(IF([2]对账明细接口!$B$1081=0,"",[2]对账明细接口!$B$1081),"")</f>
      </c>
      <c r="C1081" s="16">
        <f>IFERROR(IF([2]对账明细接口!$C$1081=0,"",[2]对账明细接口!$C$1081),"")</f>
      </c>
      <c r="D1081" s="16">
        <f>IFERROR(IF([2]对账明细接口!$D$1081=0,"",[2]对账明细接口!$D$1081),"")</f>
      </c>
      <c r="E1081" s="16">
        <f>IFERROR(IF([2]对账明细接口!$E$1081=0,"",[2]对账明细接口!$E$1081),"")</f>
      </c>
      <c r="F1081" s="16">
        <f>IFERROR(IF([2]对账明细接口!$F$1081=0,"",[2]对账明细接口!$F$1081),"")</f>
      </c>
      <c r="G1081" s="16">
        <f>IFERROR(IF([2]对账明细接口!$G$1081=0,"",[2]对账明细接口!$G$1081),"")</f>
      </c>
      <c r="H1081" s="176">
        <f>IFERROR(IF([2]对账明细接口!$H$1081=0,"",[2]对账明细接口!$H$1081),"")</f>
      </c>
      <c r="I1081" s="16">
        <f>IFERROR(IF([2]对账明细接口!$I$1081=0,"",[2]对账明细接口!$I$1081),"")</f>
      </c>
      <c r="J1081" s="177">
        <f>IFERROR(IF([2]对账明细接口!$J$1081=0,"",[2]对账明细接口!$J$1081),"")</f>
      </c>
      <c r="K1081" s="177">
        <f>IFERROR(IF([2]对账明细接口!$K$1081=0,"",[2]对账明细接口!$K$1081),"")</f>
      </c>
      <c r="L1081" s="16">
        <f>IFERROR(IF([2]对账明细接口!$L$1081=0,"",[2]对账明细接口!$L$1081),"")</f>
      </c>
      <c r="M1081" s="16">
        <f>IFERROR(IF([2]对账明细接口!$M$1081=0,"",[2]对账明细接口!$M$1081),"")</f>
      </c>
      <c r="N1081" s="19">
        <f>IF($C1081="",0,1)</f>
        <v>0</v>
      </c>
      <c r="O1081" s="19">
        <f>N(O1080)+$N1081</f>
        <v>272</v>
      </c>
      <c r="S1081" s="20">
        <f>IFERROR(IF([2]对账明细接口!$N1081=0,"",[2]对账明细接口!$N1081),"")</f>
      </c>
      <c r="T1081" s="212">
        <f>IFERROR(IF([2]对账明细接口!$O1081=0,"",[2]对账明细接口!$O1081),"")</f>
      </c>
      <c r="U1081" s="212">
        <f>IFERROR(IF([2]对账明细接口!$P1081=0,"",[2]对账明细接口!$P1081),"")</f>
      </c>
      <c r="V1081" s="212">
        <f>IFERROR(IF([2]对账明细接口!$Q1081=0,"",[2]对账明细接口!$Q1081),"")</f>
      </c>
      <c r="W1081" s="20">
        <f>IFERROR(IF([2]对账明细接口!$R1081=0,"",[2]对账明细接口!$R1081),"")</f>
      </c>
      <c r="X1081" s="20">
        <f>IFERROR(IF([2]对账明细接口!$S1081=0,"",[2]对账明细接口!$S1081),"")</f>
      </c>
      <c r="Y1081" s="20">
        <f>""</f>
      </c>
      <c r="Z1081" s="20">
        <f>""</f>
      </c>
      <c r="AA1081" s="20">
        <f>""</f>
      </c>
      <c r="AB1081" s="20">
        <f>""</f>
      </c>
    </row>
    <row r="1082" s="127">
      <c r="A1082" s="14" t="n">
        <v>1082</v>
      </c>
      <c r="B1082" s="211">
        <f>IFERROR(IF([2]对账明细接口!$B$1082=0,"",[2]对账明细接口!$B$1082),"")</f>
      </c>
      <c r="C1082" s="16">
        <f>IFERROR(IF([2]对账明细接口!$C$1082=0,"",[2]对账明细接口!$C$1082),"")</f>
      </c>
      <c r="D1082" s="16">
        <f>IFERROR(IF([2]对账明细接口!$D$1082=0,"",[2]对账明细接口!$D$1082),"")</f>
      </c>
      <c r="E1082" s="16">
        <f>IFERROR(IF([2]对账明细接口!$E$1082=0,"",[2]对账明细接口!$E$1082),"")</f>
      </c>
      <c r="F1082" s="16">
        <f>IFERROR(IF([2]对账明细接口!$F$1082=0,"",[2]对账明细接口!$F$1082),"")</f>
      </c>
      <c r="G1082" s="16">
        <f>IFERROR(IF([2]对账明细接口!$G$1082=0,"",[2]对账明细接口!$G$1082),"")</f>
      </c>
      <c r="H1082" s="176">
        <f>IFERROR(IF([2]对账明细接口!$H$1082=0,"",[2]对账明细接口!$H$1082),"")</f>
      </c>
      <c r="I1082" s="16">
        <f>IFERROR(IF([2]对账明细接口!$I$1082=0,"",[2]对账明细接口!$I$1082),"")</f>
      </c>
      <c r="J1082" s="177">
        <f>IFERROR(IF([2]对账明细接口!$J$1082=0,"",[2]对账明细接口!$J$1082),"")</f>
      </c>
      <c r="K1082" s="177">
        <f>IFERROR(IF([2]对账明细接口!$K$1082=0,"",[2]对账明细接口!$K$1082),"")</f>
      </c>
      <c r="L1082" s="16">
        <f>IFERROR(IF([2]对账明细接口!$L$1082=0,"",[2]对账明细接口!$L$1082),"")</f>
      </c>
      <c r="M1082" s="16">
        <f>IFERROR(IF([2]对账明细接口!$M$1082=0,"",[2]对账明细接口!$M$1082),"")</f>
      </c>
      <c r="N1082" s="19">
        <f>IF($C1082="",0,1)</f>
        <v>0</v>
      </c>
      <c r="O1082" s="19">
        <f>N(O1081)+$N1082</f>
        <v>272</v>
      </c>
      <c r="S1082" s="20">
        <f>IFERROR(IF([2]对账明细接口!$N1082=0,"",[2]对账明细接口!$N1082),"")</f>
      </c>
      <c r="T1082" s="212">
        <f>IFERROR(IF([2]对账明细接口!$O1082=0,"",[2]对账明细接口!$O1082),"")</f>
      </c>
      <c r="U1082" s="212">
        <f>IFERROR(IF([2]对账明细接口!$P1082=0,"",[2]对账明细接口!$P1082),"")</f>
      </c>
      <c r="V1082" s="212">
        <f>IFERROR(IF([2]对账明细接口!$Q1082=0,"",[2]对账明细接口!$Q1082),"")</f>
      </c>
      <c r="W1082" s="20">
        <f>IFERROR(IF([2]对账明细接口!$R1082=0,"",[2]对账明细接口!$R1082),"")</f>
      </c>
      <c r="X1082" s="20">
        <f>IFERROR(IF([2]对账明细接口!$S1082=0,"",[2]对账明细接口!$S1082),"")</f>
      </c>
      <c r="Y1082" s="20">
        <f>""</f>
      </c>
      <c r="Z1082" s="20">
        <f>""</f>
      </c>
      <c r="AA1082" s="20">
        <f>""</f>
      </c>
      <c r="AB1082" s="20">
        <f>""</f>
      </c>
    </row>
    <row r="1083" s="127">
      <c r="A1083" s="14" t="n">
        <v>1083</v>
      </c>
      <c r="B1083" s="211">
        <f>IFERROR(IF([2]对账明细接口!$B$1083=0,"",[2]对账明细接口!$B$1083),"")</f>
      </c>
      <c r="C1083" s="16">
        <f>IFERROR(IF([2]对账明细接口!$C$1083=0,"",[2]对账明细接口!$C$1083),"")</f>
      </c>
      <c r="D1083" s="16">
        <f>IFERROR(IF([2]对账明细接口!$D$1083=0,"",[2]对账明细接口!$D$1083),"")</f>
      </c>
      <c r="E1083" s="16">
        <f>IFERROR(IF([2]对账明细接口!$E$1083=0,"",[2]对账明细接口!$E$1083),"")</f>
      </c>
      <c r="F1083" s="16">
        <f>IFERROR(IF([2]对账明细接口!$F$1083=0,"",[2]对账明细接口!$F$1083),"")</f>
      </c>
      <c r="G1083" s="16">
        <f>IFERROR(IF([2]对账明细接口!$G$1083=0,"",[2]对账明细接口!$G$1083),"")</f>
      </c>
      <c r="H1083" s="176">
        <f>IFERROR(IF([2]对账明细接口!$H$1083=0,"",[2]对账明细接口!$H$1083),"")</f>
      </c>
      <c r="I1083" s="16">
        <f>IFERROR(IF([2]对账明细接口!$I$1083=0,"",[2]对账明细接口!$I$1083),"")</f>
      </c>
      <c r="J1083" s="177">
        <f>IFERROR(IF([2]对账明细接口!$J$1083=0,"",[2]对账明细接口!$J$1083),"")</f>
      </c>
      <c r="K1083" s="177">
        <f>IFERROR(IF([2]对账明细接口!$K$1083=0,"",[2]对账明细接口!$K$1083),"")</f>
      </c>
      <c r="L1083" s="16">
        <f>IFERROR(IF([2]对账明细接口!$L$1083=0,"",[2]对账明细接口!$L$1083),"")</f>
      </c>
      <c r="M1083" s="16">
        <f>IFERROR(IF([2]对账明细接口!$M$1083=0,"",[2]对账明细接口!$M$1083),"")</f>
      </c>
      <c r="N1083" s="19">
        <f>IF($C1083="",0,1)</f>
        <v>0</v>
      </c>
      <c r="O1083" s="19">
        <f>N(O1082)+$N1083</f>
        <v>272</v>
      </c>
      <c r="S1083" s="20">
        <f>IFERROR(IF([2]对账明细接口!$N1083=0,"",[2]对账明细接口!$N1083),"")</f>
      </c>
      <c r="T1083" s="212">
        <f>IFERROR(IF([2]对账明细接口!$O1083=0,"",[2]对账明细接口!$O1083),"")</f>
      </c>
      <c r="U1083" s="212">
        <f>IFERROR(IF([2]对账明细接口!$P1083=0,"",[2]对账明细接口!$P1083),"")</f>
      </c>
      <c r="V1083" s="212">
        <f>IFERROR(IF([2]对账明细接口!$Q1083=0,"",[2]对账明细接口!$Q1083),"")</f>
      </c>
      <c r="W1083" s="20">
        <f>IFERROR(IF([2]对账明细接口!$R1083=0,"",[2]对账明细接口!$R1083),"")</f>
      </c>
      <c r="X1083" s="20">
        <f>IFERROR(IF([2]对账明细接口!$S1083=0,"",[2]对账明细接口!$S1083),"")</f>
      </c>
      <c r="Y1083" s="20">
        <f>""</f>
      </c>
      <c r="Z1083" s="20">
        <f>""</f>
      </c>
      <c r="AA1083" s="20">
        <f>""</f>
      </c>
      <c r="AB1083" s="20">
        <f>""</f>
      </c>
    </row>
    <row r="1084" s="127">
      <c r="A1084" s="14" t="n">
        <v>1084</v>
      </c>
      <c r="B1084" s="211">
        <f>IFERROR(IF([2]对账明细接口!$B$1084=0,"",[2]对账明细接口!$B$1084),"")</f>
      </c>
      <c r="C1084" s="16">
        <f>IFERROR(IF([2]对账明细接口!$C$1084=0,"",[2]对账明细接口!$C$1084),"")</f>
      </c>
      <c r="D1084" s="16">
        <f>IFERROR(IF([2]对账明细接口!$D$1084=0,"",[2]对账明细接口!$D$1084),"")</f>
      </c>
      <c r="E1084" s="16">
        <f>IFERROR(IF([2]对账明细接口!$E$1084=0,"",[2]对账明细接口!$E$1084),"")</f>
      </c>
      <c r="F1084" s="16">
        <f>IFERROR(IF([2]对账明细接口!$F$1084=0,"",[2]对账明细接口!$F$1084),"")</f>
      </c>
      <c r="G1084" s="16">
        <f>IFERROR(IF([2]对账明细接口!$G$1084=0,"",[2]对账明细接口!$G$1084),"")</f>
      </c>
      <c r="H1084" s="176">
        <f>IFERROR(IF([2]对账明细接口!$H$1084=0,"",[2]对账明细接口!$H$1084),"")</f>
      </c>
      <c r="I1084" s="16">
        <f>IFERROR(IF([2]对账明细接口!$I$1084=0,"",[2]对账明细接口!$I$1084),"")</f>
      </c>
      <c r="J1084" s="177">
        <f>IFERROR(IF([2]对账明细接口!$J$1084=0,"",[2]对账明细接口!$J$1084),"")</f>
      </c>
      <c r="K1084" s="177">
        <f>IFERROR(IF([2]对账明细接口!$K$1084=0,"",[2]对账明细接口!$K$1084),"")</f>
      </c>
      <c r="L1084" s="16">
        <f>IFERROR(IF([2]对账明细接口!$L$1084=0,"",[2]对账明细接口!$L$1084),"")</f>
      </c>
      <c r="M1084" s="16">
        <f>IFERROR(IF([2]对账明细接口!$M$1084=0,"",[2]对账明细接口!$M$1084),"")</f>
      </c>
      <c r="N1084" s="19">
        <f>IF($C1084="",0,1)</f>
        <v>0</v>
      </c>
      <c r="O1084" s="19">
        <f>N(O1083)+$N1084</f>
        <v>272</v>
      </c>
      <c r="S1084" s="20">
        <f>IFERROR(IF([2]对账明细接口!$N1084=0,"",[2]对账明细接口!$N1084),"")</f>
      </c>
      <c r="T1084" s="212">
        <f>IFERROR(IF([2]对账明细接口!$O1084=0,"",[2]对账明细接口!$O1084),"")</f>
      </c>
      <c r="U1084" s="212">
        <f>IFERROR(IF([2]对账明细接口!$P1084=0,"",[2]对账明细接口!$P1084),"")</f>
      </c>
      <c r="V1084" s="212">
        <f>IFERROR(IF([2]对账明细接口!$Q1084=0,"",[2]对账明细接口!$Q1084),"")</f>
      </c>
      <c r="W1084" s="20">
        <f>IFERROR(IF([2]对账明细接口!$R1084=0,"",[2]对账明细接口!$R1084),"")</f>
      </c>
      <c r="X1084" s="20">
        <f>IFERROR(IF([2]对账明细接口!$S1084=0,"",[2]对账明细接口!$S1084),"")</f>
      </c>
      <c r="Y1084" s="20">
        <f>""</f>
      </c>
      <c r="Z1084" s="20">
        <f>""</f>
      </c>
      <c r="AA1084" s="20">
        <f>""</f>
      </c>
      <c r="AB1084" s="20">
        <f>""</f>
      </c>
    </row>
    <row r="1085" s="127">
      <c r="A1085" s="14" t="n">
        <v>1085</v>
      </c>
      <c r="B1085" s="211">
        <f>IFERROR(IF([2]对账明细接口!$B$1085=0,"",[2]对账明细接口!$B$1085),"")</f>
      </c>
      <c r="C1085" s="16">
        <f>IFERROR(IF([2]对账明细接口!$C$1085=0,"",[2]对账明细接口!$C$1085),"")</f>
      </c>
      <c r="D1085" s="16">
        <f>IFERROR(IF([2]对账明细接口!$D$1085=0,"",[2]对账明细接口!$D$1085),"")</f>
      </c>
      <c r="E1085" s="16">
        <f>IFERROR(IF([2]对账明细接口!$E$1085=0,"",[2]对账明细接口!$E$1085),"")</f>
      </c>
      <c r="F1085" s="16">
        <f>IFERROR(IF([2]对账明细接口!$F$1085=0,"",[2]对账明细接口!$F$1085),"")</f>
      </c>
      <c r="G1085" s="16">
        <f>IFERROR(IF([2]对账明细接口!$G$1085=0,"",[2]对账明细接口!$G$1085),"")</f>
      </c>
      <c r="H1085" s="176">
        <f>IFERROR(IF([2]对账明细接口!$H$1085=0,"",[2]对账明细接口!$H$1085),"")</f>
      </c>
      <c r="I1085" s="16">
        <f>IFERROR(IF([2]对账明细接口!$I$1085=0,"",[2]对账明细接口!$I$1085),"")</f>
      </c>
      <c r="J1085" s="177">
        <f>IFERROR(IF([2]对账明细接口!$J$1085=0,"",[2]对账明细接口!$J$1085),"")</f>
      </c>
      <c r="K1085" s="177">
        <f>IFERROR(IF([2]对账明细接口!$K$1085=0,"",[2]对账明细接口!$K$1085),"")</f>
      </c>
      <c r="L1085" s="16">
        <f>IFERROR(IF([2]对账明细接口!$L$1085=0,"",[2]对账明细接口!$L$1085),"")</f>
      </c>
      <c r="M1085" s="16">
        <f>IFERROR(IF([2]对账明细接口!$M$1085=0,"",[2]对账明细接口!$M$1085),"")</f>
      </c>
      <c r="N1085" s="19">
        <f>IF($C1085="",0,1)</f>
        <v>0</v>
      </c>
      <c r="O1085" s="19">
        <f>N(O1084)+$N1085</f>
        <v>272</v>
      </c>
      <c r="S1085" s="20">
        <f>IFERROR(IF([2]对账明细接口!$N1085=0,"",[2]对账明细接口!$N1085),"")</f>
      </c>
      <c r="T1085" s="212">
        <f>IFERROR(IF([2]对账明细接口!$O1085=0,"",[2]对账明细接口!$O1085),"")</f>
      </c>
      <c r="U1085" s="212">
        <f>IFERROR(IF([2]对账明细接口!$P1085=0,"",[2]对账明细接口!$P1085),"")</f>
      </c>
      <c r="V1085" s="212">
        <f>IFERROR(IF([2]对账明细接口!$Q1085=0,"",[2]对账明细接口!$Q1085),"")</f>
      </c>
      <c r="W1085" s="20">
        <f>IFERROR(IF([2]对账明细接口!$R1085=0,"",[2]对账明细接口!$R1085),"")</f>
      </c>
      <c r="X1085" s="20">
        <f>IFERROR(IF([2]对账明细接口!$S1085=0,"",[2]对账明细接口!$S1085),"")</f>
      </c>
      <c r="Y1085" s="20">
        <f>""</f>
      </c>
      <c r="Z1085" s="20">
        <f>""</f>
      </c>
      <c r="AA1085" s="20">
        <f>""</f>
      </c>
      <c r="AB1085" s="20">
        <f>""</f>
      </c>
    </row>
    <row r="1086" s="127">
      <c r="A1086" s="14" t="n">
        <v>1086</v>
      </c>
      <c r="B1086" s="211">
        <f>IFERROR(IF([2]对账明细接口!$B$1086=0,"",[2]对账明细接口!$B$1086),"")</f>
      </c>
      <c r="C1086" s="16">
        <f>IFERROR(IF([2]对账明细接口!$C$1086=0,"",[2]对账明细接口!$C$1086),"")</f>
      </c>
      <c r="D1086" s="16">
        <f>IFERROR(IF([2]对账明细接口!$D$1086=0,"",[2]对账明细接口!$D$1086),"")</f>
      </c>
      <c r="E1086" s="16">
        <f>IFERROR(IF([2]对账明细接口!$E$1086=0,"",[2]对账明细接口!$E$1086),"")</f>
      </c>
      <c r="F1086" s="16">
        <f>IFERROR(IF([2]对账明细接口!$F$1086=0,"",[2]对账明细接口!$F$1086),"")</f>
      </c>
      <c r="G1086" s="16">
        <f>IFERROR(IF([2]对账明细接口!$G$1086=0,"",[2]对账明细接口!$G$1086),"")</f>
      </c>
      <c r="H1086" s="176">
        <f>IFERROR(IF([2]对账明细接口!$H$1086=0,"",[2]对账明细接口!$H$1086),"")</f>
      </c>
      <c r="I1086" s="16">
        <f>IFERROR(IF([2]对账明细接口!$I$1086=0,"",[2]对账明细接口!$I$1086),"")</f>
      </c>
      <c r="J1086" s="177">
        <f>IFERROR(IF([2]对账明细接口!$J$1086=0,"",[2]对账明细接口!$J$1086),"")</f>
      </c>
      <c r="K1086" s="177">
        <f>IFERROR(IF([2]对账明细接口!$K$1086=0,"",[2]对账明细接口!$K$1086),"")</f>
      </c>
      <c r="L1086" s="16">
        <f>IFERROR(IF([2]对账明细接口!$L$1086=0,"",[2]对账明细接口!$L$1086),"")</f>
      </c>
      <c r="M1086" s="16">
        <f>IFERROR(IF([2]对账明细接口!$M$1086=0,"",[2]对账明细接口!$M$1086),"")</f>
      </c>
      <c r="N1086" s="19">
        <f>IF($C1086="",0,1)</f>
        <v>0</v>
      </c>
      <c r="O1086" s="19">
        <f>N(O1085)+$N1086</f>
        <v>272</v>
      </c>
      <c r="S1086" s="20">
        <f>IFERROR(IF([2]对账明细接口!$N1086=0,"",[2]对账明细接口!$N1086),"")</f>
      </c>
      <c r="T1086" s="212">
        <f>IFERROR(IF([2]对账明细接口!$O1086=0,"",[2]对账明细接口!$O1086),"")</f>
      </c>
      <c r="U1086" s="212">
        <f>IFERROR(IF([2]对账明细接口!$P1086=0,"",[2]对账明细接口!$P1086),"")</f>
      </c>
      <c r="V1086" s="212">
        <f>IFERROR(IF([2]对账明细接口!$Q1086=0,"",[2]对账明细接口!$Q1086),"")</f>
      </c>
      <c r="W1086" s="20">
        <f>IFERROR(IF([2]对账明细接口!$R1086=0,"",[2]对账明细接口!$R1086),"")</f>
      </c>
      <c r="X1086" s="20">
        <f>IFERROR(IF([2]对账明细接口!$S1086=0,"",[2]对账明细接口!$S1086),"")</f>
      </c>
      <c r="Y1086" s="20">
        <f>""</f>
      </c>
      <c r="Z1086" s="20">
        <f>""</f>
      </c>
      <c r="AA1086" s="20">
        <f>""</f>
      </c>
      <c r="AB1086" s="20">
        <f>""</f>
      </c>
    </row>
    <row r="1087" s="127">
      <c r="A1087" s="14" t="n">
        <v>1087</v>
      </c>
      <c r="B1087" s="211">
        <f>IFERROR(IF([2]对账明细接口!$B$1087=0,"",[2]对账明细接口!$B$1087),"")</f>
      </c>
      <c r="C1087" s="16">
        <f>IFERROR(IF([2]对账明细接口!$C$1087=0,"",[2]对账明细接口!$C$1087),"")</f>
      </c>
      <c r="D1087" s="16">
        <f>IFERROR(IF([2]对账明细接口!$D$1087=0,"",[2]对账明细接口!$D$1087),"")</f>
      </c>
      <c r="E1087" s="16">
        <f>IFERROR(IF([2]对账明细接口!$E$1087=0,"",[2]对账明细接口!$E$1087),"")</f>
      </c>
      <c r="F1087" s="16">
        <f>IFERROR(IF([2]对账明细接口!$F$1087=0,"",[2]对账明细接口!$F$1087),"")</f>
      </c>
      <c r="G1087" s="16">
        <f>IFERROR(IF([2]对账明细接口!$G$1087=0,"",[2]对账明细接口!$G$1087),"")</f>
      </c>
      <c r="H1087" s="176">
        <f>IFERROR(IF([2]对账明细接口!$H$1087=0,"",[2]对账明细接口!$H$1087),"")</f>
      </c>
      <c r="I1087" s="16">
        <f>IFERROR(IF([2]对账明细接口!$I$1087=0,"",[2]对账明细接口!$I$1087),"")</f>
      </c>
      <c r="J1087" s="177">
        <f>IFERROR(IF([2]对账明细接口!$J$1087=0,"",[2]对账明细接口!$J$1087),"")</f>
      </c>
      <c r="K1087" s="177">
        <f>IFERROR(IF([2]对账明细接口!$K$1087=0,"",[2]对账明细接口!$K$1087),"")</f>
      </c>
      <c r="L1087" s="16">
        <f>IFERROR(IF([2]对账明细接口!$L$1087=0,"",[2]对账明细接口!$L$1087),"")</f>
      </c>
      <c r="M1087" s="16">
        <f>IFERROR(IF([2]对账明细接口!$M$1087=0,"",[2]对账明细接口!$M$1087),"")</f>
      </c>
      <c r="N1087" s="19">
        <f>IF($C1087="",0,1)</f>
        <v>0</v>
      </c>
      <c r="O1087" s="19">
        <f>N(O1086)+$N1087</f>
        <v>272</v>
      </c>
      <c r="S1087" s="20">
        <f>IFERROR(IF([2]对账明细接口!$N1087=0,"",[2]对账明细接口!$N1087),"")</f>
      </c>
      <c r="T1087" s="212">
        <f>IFERROR(IF([2]对账明细接口!$O1087=0,"",[2]对账明细接口!$O1087),"")</f>
      </c>
      <c r="U1087" s="212">
        <f>IFERROR(IF([2]对账明细接口!$P1087=0,"",[2]对账明细接口!$P1087),"")</f>
      </c>
      <c r="V1087" s="212">
        <f>IFERROR(IF([2]对账明细接口!$Q1087=0,"",[2]对账明细接口!$Q1087),"")</f>
      </c>
      <c r="W1087" s="20">
        <f>IFERROR(IF([2]对账明细接口!$R1087=0,"",[2]对账明细接口!$R1087),"")</f>
      </c>
      <c r="X1087" s="20">
        <f>IFERROR(IF([2]对账明细接口!$S1087=0,"",[2]对账明细接口!$S1087),"")</f>
      </c>
      <c r="Y1087" s="20">
        <f>""</f>
      </c>
      <c r="Z1087" s="20">
        <f>""</f>
      </c>
      <c r="AA1087" s="20">
        <f>""</f>
      </c>
      <c r="AB1087" s="20">
        <f>""</f>
      </c>
    </row>
    <row r="1088" s="127">
      <c r="A1088" s="14" t="n">
        <v>1088</v>
      </c>
      <c r="B1088" s="211">
        <f>IFERROR(IF([2]对账明细接口!$B$1088=0,"",[2]对账明细接口!$B$1088),"")</f>
      </c>
      <c r="C1088" s="16">
        <f>IFERROR(IF([2]对账明细接口!$C$1088=0,"",[2]对账明细接口!$C$1088),"")</f>
      </c>
      <c r="D1088" s="16">
        <f>IFERROR(IF([2]对账明细接口!$D$1088=0,"",[2]对账明细接口!$D$1088),"")</f>
      </c>
      <c r="E1088" s="16">
        <f>IFERROR(IF([2]对账明细接口!$E$1088=0,"",[2]对账明细接口!$E$1088),"")</f>
      </c>
      <c r="F1088" s="16">
        <f>IFERROR(IF([2]对账明细接口!$F$1088=0,"",[2]对账明细接口!$F$1088),"")</f>
      </c>
      <c r="G1088" s="16">
        <f>IFERROR(IF([2]对账明细接口!$G$1088=0,"",[2]对账明细接口!$G$1088),"")</f>
      </c>
      <c r="H1088" s="176">
        <f>IFERROR(IF([2]对账明细接口!$H$1088=0,"",[2]对账明细接口!$H$1088),"")</f>
      </c>
      <c r="I1088" s="16">
        <f>IFERROR(IF([2]对账明细接口!$I$1088=0,"",[2]对账明细接口!$I$1088),"")</f>
      </c>
      <c r="J1088" s="177">
        <f>IFERROR(IF([2]对账明细接口!$J$1088=0,"",[2]对账明细接口!$J$1088),"")</f>
      </c>
      <c r="K1088" s="177">
        <f>IFERROR(IF([2]对账明细接口!$K$1088=0,"",[2]对账明细接口!$K$1088),"")</f>
      </c>
      <c r="L1088" s="16">
        <f>IFERROR(IF([2]对账明细接口!$L$1088=0,"",[2]对账明细接口!$L$1088),"")</f>
      </c>
      <c r="M1088" s="16">
        <f>IFERROR(IF([2]对账明细接口!$M$1088=0,"",[2]对账明细接口!$M$1088),"")</f>
      </c>
      <c r="N1088" s="19">
        <f>IF($C1088="",0,1)</f>
        <v>0</v>
      </c>
      <c r="O1088" s="19">
        <f>N(O1087)+$N1088</f>
        <v>272</v>
      </c>
      <c r="S1088" s="20">
        <f>IFERROR(IF([2]对账明细接口!$N1088=0,"",[2]对账明细接口!$N1088),"")</f>
      </c>
      <c r="T1088" s="212">
        <f>IFERROR(IF([2]对账明细接口!$O1088=0,"",[2]对账明细接口!$O1088),"")</f>
      </c>
      <c r="U1088" s="212">
        <f>IFERROR(IF([2]对账明细接口!$P1088=0,"",[2]对账明细接口!$P1088),"")</f>
      </c>
      <c r="V1088" s="212">
        <f>IFERROR(IF([2]对账明细接口!$Q1088=0,"",[2]对账明细接口!$Q1088),"")</f>
      </c>
      <c r="W1088" s="20">
        <f>IFERROR(IF([2]对账明细接口!$R1088=0,"",[2]对账明细接口!$R1088),"")</f>
      </c>
      <c r="X1088" s="20">
        <f>IFERROR(IF([2]对账明细接口!$S1088=0,"",[2]对账明细接口!$S1088),"")</f>
      </c>
      <c r="Y1088" s="20">
        <f>""</f>
      </c>
      <c r="Z1088" s="20">
        <f>""</f>
      </c>
      <c r="AA1088" s="20">
        <f>""</f>
      </c>
      <c r="AB1088" s="20">
        <f>""</f>
      </c>
    </row>
    <row r="1089" s="127">
      <c r="A1089" s="14" t="n">
        <v>1089</v>
      </c>
      <c r="B1089" s="211">
        <f>IFERROR(IF([2]对账明细接口!$B$1089=0,"",[2]对账明细接口!$B$1089),"")</f>
      </c>
      <c r="C1089" s="16">
        <f>IFERROR(IF([2]对账明细接口!$C$1089=0,"",[2]对账明细接口!$C$1089),"")</f>
      </c>
      <c r="D1089" s="16">
        <f>IFERROR(IF([2]对账明细接口!$D$1089=0,"",[2]对账明细接口!$D$1089),"")</f>
      </c>
      <c r="E1089" s="16">
        <f>IFERROR(IF([2]对账明细接口!$E$1089=0,"",[2]对账明细接口!$E$1089),"")</f>
      </c>
      <c r="F1089" s="16">
        <f>IFERROR(IF([2]对账明细接口!$F$1089=0,"",[2]对账明细接口!$F$1089),"")</f>
      </c>
      <c r="G1089" s="16">
        <f>IFERROR(IF([2]对账明细接口!$G$1089=0,"",[2]对账明细接口!$G$1089),"")</f>
      </c>
      <c r="H1089" s="176">
        <f>IFERROR(IF([2]对账明细接口!$H$1089=0,"",[2]对账明细接口!$H$1089),"")</f>
      </c>
      <c r="I1089" s="16">
        <f>IFERROR(IF([2]对账明细接口!$I$1089=0,"",[2]对账明细接口!$I$1089),"")</f>
      </c>
      <c r="J1089" s="177">
        <f>IFERROR(IF([2]对账明细接口!$J$1089=0,"",[2]对账明细接口!$J$1089),"")</f>
      </c>
      <c r="K1089" s="177">
        <f>IFERROR(IF([2]对账明细接口!$K$1089=0,"",[2]对账明细接口!$K$1089),"")</f>
      </c>
      <c r="L1089" s="16">
        <f>IFERROR(IF([2]对账明细接口!$L$1089=0,"",[2]对账明细接口!$L$1089),"")</f>
      </c>
      <c r="M1089" s="16">
        <f>IFERROR(IF([2]对账明细接口!$M$1089=0,"",[2]对账明细接口!$M$1089),"")</f>
      </c>
      <c r="N1089" s="19">
        <f>IF($C1089="",0,1)</f>
        <v>0</v>
      </c>
      <c r="O1089" s="19">
        <f>N(O1088)+$N1089</f>
        <v>272</v>
      </c>
      <c r="S1089" s="20">
        <f>IFERROR(IF([2]对账明细接口!$N1089=0,"",[2]对账明细接口!$N1089),"")</f>
      </c>
      <c r="T1089" s="212">
        <f>IFERROR(IF([2]对账明细接口!$O1089=0,"",[2]对账明细接口!$O1089),"")</f>
      </c>
      <c r="U1089" s="212">
        <f>IFERROR(IF([2]对账明细接口!$P1089=0,"",[2]对账明细接口!$P1089),"")</f>
      </c>
      <c r="V1089" s="212">
        <f>IFERROR(IF([2]对账明细接口!$Q1089=0,"",[2]对账明细接口!$Q1089),"")</f>
      </c>
      <c r="W1089" s="20">
        <f>IFERROR(IF([2]对账明细接口!$R1089=0,"",[2]对账明细接口!$R1089),"")</f>
      </c>
      <c r="X1089" s="20">
        <f>IFERROR(IF([2]对账明细接口!$S1089=0,"",[2]对账明细接口!$S1089),"")</f>
      </c>
      <c r="Y1089" s="20">
        <f>""</f>
      </c>
      <c r="Z1089" s="20">
        <f>""</f>
      </c>
      <c r="AA1089" s="20">
        <f>""</f>
      </c>
      <c r="AB1089" s="20">
        <f>""</f>
      </c>
    </row>
    <row r="1090" s="127">
      <c r="A1090" s="14" t="n">
        <v>1090</v>
      </c>
      <c r="B1090" s="211">
        <f>IFERROR(IF([2]对账明细接口!$B$1090=0,"",[2]对账明细接口!$B$1090),"")</f>
      </c>
      <c r="C1090" s="16">
        <f>IFERROR(IF([2]对账明细接口!$C$1090=0,"",[2]对账明细接口!$C$1090),"")</f>
      </c>
      <c r="D1090" s="16">
        <f>IFERROR(IF([2]对账明细接口!$D$1090=0,"",[2]对账明细接口!$D$1090),"")</f>
      </c>
      <c r="E1090" s="16">
        <f>IFERROR(IF([2]对账明细接口!$E$1090=0,"",[2]对账明细接口!$E$1090),"")</f>
      </c>
      <c r="F1090" s="16">
        <f>IFERROR(IF([2]对账明细接口!$F$1090=0,"",[2]对账明细接口!$F$1090),"")</f>
      </c>
      <c r="G1090" s="16">
        <f>IFERROR(IF([2]对账明细接口!$G$1090=0,"",[2]对账明细接口!$G$1090),"")</f>
      </c>
      <c r="H1090" s="176">
        <f>IFERROR(IF([2]对账明细接口!$H$1090=0,"",[2]对账明细接口!$H$1090),"")</f>
      </c>
      <c r="I1090" s="16">
        <f>IFERROR(IF([2]对账明细接口!$I$1090=0,"",[2]对账明细接口!$I$1090),"")</f>
      </c>
      <c r="J1090" s="177">
        <f>IFERROR(IF([2]对账明细接口!$J$1090=0,"",[2]对账明细接口!$J$1090),"")</f>
      </c>
      <c r="K1090" s="177">
        <f>IFERROR(IF([2]对账明细接口!$K$1090=0,"",[2]对账明细接口!$K$1090),"")</f>
      </c>
      <c r="L1090" s="16">
        <f>IFERROR(IF([2]对账明细接口!$L$1090=0,"",[2]对账明细接口!$L$1090),"")</f>
      </c>
      <c r="M1090" s="16">
        <f>IFERROR(IF([2]对账明细接口!$M$1090=0,"",[2]对账明细接口!$M$1090),"")</f>
      </c>
      <c r="N1090" s="19">
        <f>IF($C1090="",0,1)</f>
        <v>0</v>
      </c>
      <c r="O1090" s="19">
        <f>N(O1089)+$N1090</f>
        <v>272</v>
      </c>
      <c r="S1090" s="20">
        <f>IFERROR(IF([2]对账明细接口!$N1090=0,"",[2]对账明细接口!$N1090),"")</f>
      </c>
      <c r="T1090" s="212">
        <f>IFERROR(IF([2]对账明细接口!$O1090=0,"",[2]对账明细接口!$O1090),"")</f>
      </c>
      <c r="U1090" s="212">
        <f>IFERROR(IF([2]对账明细接口!$P1090=0,"",[2]对账明细接口!$P1090),"")</f>
      </c>
      <c r="V1090" s="212">
        <f>IFERROR(IF([2]对账明细接口!$Q1090=0,"",[2]对账明细接口!$Q1090),"")</f>
      </c>
      <c r="W1090" s="20">
        <f>IFERROR(IF([2]对账明细接口!$R1090=0,"",[2]对账明细接口!$R1090),"")</f>
      </c>
      <c r="X1090" s="20">
        <f>IFERROR(IF([2]对账明细接口!$S1090=0,"",[2]对账明细接口!$S1090),"")</f>
      </c>
      <c r="Y1090" s="20">
        <f>""</f>
      </c>
      <c r="Z1090" s="20">
        <f>""</f>
      </c>
      <c r="AA1090" s="20">
        <f>""</f>
      </c>
      <c r="AB1090" s="20">
        <f>""</f>
      </c>
    </row>
    <row r="1091" s="127">
      <c r="A1091" s="14" t="n">
        <v>1091</v>
      </c>
      <c r="B1091" s="211">
        <f>IFERROR(IF([2]对账明细接口!$B$1091=0,"",[2]对账明细接口!$B$1091),"")</f>
      </c>
      <c r="C1091" s="16">
        <f>IFERROR(IF([2]对账明细接口!$C$1091=0,"",[2]对账明细接口!$C$1091),"")</f>
      </c>
      <c r="D1091" s="16">
        <f>IFERROR(IF([2]对账明细接口!$D$1091=0,"",[2]对账明细接口!$D$1091),"")</f>
      </c>
      <c r="E1091" s="16">
        <f>IFERROR(IF([2]对账明细接口!$E$1091=0,"",[2]对账明细接口!$E$1091),"")</f>
      </c>
      <c r="F1091" s="16">
        <f>IFERROR(IF([2]对账明细接口!$F$1091=0,"",[2]对账明细接口!$F$1091),"")</f>
      </c>
      <c r="G1091" s="16">
        <f>IFERROR(IF([2]对账明细接口!$G$1091=0,"",[2]对账明细接口!$G$1091),"")</f>
      </c>
      <c r="H1091" s="176">
        <f>IFERROR(IF([2]对账明细接口!$H$1091=0,"",[2]对账明细接口!$H$1091),"")</f>
      </c>
      <c r="I1091" s="16">
        <f>IFERROR(IF([2]对账明细接口!$I$1091=0,"",[2]对账明细接口!$I$1091),"")</f>
      </c>
      <c r="J1091" s="177">
        <f>IFERROR(IF([2]对账明细接口!$J$1091=0,"",[2]对账明细接口!$J$1091),"")</f>
      </c>
      <c r="K1091" s="177">
        <f>IFERROR(IF([2]对账明细接口!$K$1091=0,"",[2]对账明细接口!$K$1091),"")</f>
      </c>
      <c r="L1091" s="16">
        <f>IFERROR(IF([2]对账明细接口!$L$1091=0,"",[2]对账明细接口!$L$1091),"")</f>
      </c>
      <c r="M1091" s="16">
        <f>IFERROR(IF([2]对账明细接口!$M$1091=0,"",[2]对账明细接口!$M$1091),"")</f>
      </c>
      <c r="N1091" s="19">
        <f>IF($C1091="",0,1)</f>
        <v>0</v>
      </c>
      <c r="O1091" s="19">
        <f>N(O1090)+$N1091</f>
        <v>272</v>
      </c>
      <c r="S1091" s="20">
        <f>IFERROR(IF([2]对账明细接口!$N1091=0,"",[2]对账明细接口!$N1091),"")</f>
      </c>
      <c r="T1091" s="212">
        <f>IFERROR(IF([2]对账明细接口!$O1091=0,"",[2]对账明细接口!$O1091),"")</f>
      </c>
      <c r="U1091" s="212">
        <f>IFERROR(IF([2]对账明细接口!$P1091=0,"",[2]对账明细接口!$P1091),"")</f>
      </c>
      <c r="V1091" s="212">
        <f>IFERROR(IF([2]对账明细接口!$Q1091=0,"",[2]对账明细接口!$Q1091),"")</f>
      </c>
      <c r="W1091" s="20">
        <f>IFERROR(IF([2]对账明细接口!$R1091=0,"",[2]对账明细接口!$R1091),"")</f>
      </c>
      <c r="X1091" s="20">
        <f>IFERROR(IF([2]对账明细接口!$S1091=0,"",[2]对账明细接口!$S1091),"")</f>
      </c>
      <c r="Y1091" s="20">
        <f>""</f>
      </c>
      <c r="Z1091" s="20">
        <f>""</f>
      </c>
      <c r="AA1091" s="20">
        <f>""</f>
      </c>
      <c r="AB1091" s="20">
        <f>""</f>
      </c>
    </row>
    <row r="1092" s="127">
      <c r="A1092" s="14" t="n">
        <v>1092</v>
      </c>
      <c r="B1092" s="211">
        <f>IFERROR(IF([2]对账明细接口!$B$1092=0,"",[2]对账明细接口!$B$1092),"")</f>
      </c>
      <c r="C1092" s="16">
        <f>IFERROR(IF([2]对账明细接口!$C$1092=0,"",[2]对账明细接口!$C$1092),"")</f>
      </c>
      <c r="D1092" s="16">
        <f>IFERROR(IF([2]对账明细接口!$D$1092=0,"",[2]对账明细接口!$D$1092),"")</f>
      </c>
      <c r="E1092" s="16">
        <f>IFERROR(IF([2]对账明细接口!$E$1092=0,"",[2]对账明细接口!$E$1092),"")</f>
      </c>
      <c r="F1092" s="16">
        <f>IFERROR(IF([2]对账明细接口!$F$1092=0,"",[2]对账明细接口!$F$1092),"")</f>
      </c>
      <c r="G1092" s="16">
        <f>IFERROR(IF([2]对账明细接口!$G$1092=0,"",[2]对账明细接口!$G$1092),"")</f>
      </c>
      <c r="H1092" s="176">
        <f>IFERROR(IF([2]对账明细接口!$H$1092=0,"",[2]对账明细接口!$H$1092),"")</f>
      </c>
      <c r="I1092" s="16">
        <f>IFERROR(IF([2]对账明细接口!$I$1092=0,"",[2]对账明细接口!$I$1092),"")</f>
      </c>
      <c r="J1092" s="177">
        <f>IFERROR(IF([2]对账明细接口!$J$1092=0,"",[2]对账明细接口!$J$1092),"")</f>
      </c>
      <c r="K1092" s="177">
        <f>IFERROR(IF([2]对账明细接口!$K$1092=0,"",[2]对账明细接口!$K$1092),"")</f>
      </c>
      <c r="L1092" s="16">
        <f>IFERROR(IF([2]对账明细接口!$L$1092=0,"",[2]对账明细接口!$L$1092),"")</f>
      </c>
      <c r="M1092" s="16">
        <f>IFERROR(IF([2]对账明细接口!$M$1092=0,"",[2]对账明细接口!$M$1092),"")</f>
      </c>
      <c r="N1092" s="19">
        <f>IF($C1092="",0,1)</f>
        <v>0</v>
      </c>
      <c r="O1092" s="19">
        <f>N(O1091)+$N1092</f>
        <v>272</v>
      </c>
      <c r="S1092" s="20">
        <f>IFERROR(IF([2]对账明细接口!$N1092=0,"",[2]对账明细接口!$N1092),"")</f>
      </c>
      <c r="T1092" s="212">
        <f>IFERROR(IF([2]对账明细接口!$O1092=0,"",[2]对账明细接口!$O1092),"")</f>
      </c>
      <c r="U1092" s="212">
        <f>IFERROR(IF([2]对账明细接口!$P1092=0,"",[2]对账明细接口!$P1092),"")</f>
      </c>
      <c r="V1092" s="212">
        <f>IFERROR(IF([2]对账明细接口!$Q1092=0,"",[2]对账明细接口!$Q1092),"")</f>
      </c>
      <c r="W1092" s="20">
        <f>IFERROR(IF([2]对账明细接口!$R1092=0,"",[2]对账明细接口!$R1092),"")</f>
      </c>
      <c r="X1092" s="20">
        <f>IFERROR(IF([2]对账明细接口!$S1092=0,"",[2]对账明细接口!$S1092),"")</f>
      </c>
      <c r="Y1092" s="20">
        <f>""</f>
      </c>
      <c r="Z1092" s="20">
        <f>""</f>
      </c>
      <c r="AA1092" s="20">
        <f>""</f>
      </c>
      <c r="AB1092" s="20">
        <f>""</f>
      </c>
    </row>
    <row r="1093" s="127">
      <c r="A1093" s="14" t="n">
        <v>1093</v>
      </c>
      <c r="B1093" s="211">
        <f>IFERROR(IF([2]对账明细接口!$B$1093=0,"",[2]对账明细接口!$B$1093),"")</f>
      </c>
      <c r="C1093" s="16">
        <f>IFERROR(IF([2]对账明细接口!$C$1093=0,"",[2]对账明细接口!$C$1093),"")</f>
      </c>
      <c r="D1093" s="16">
        <f>IFERROR(IF([2]对账明细接口!$D$1093=0,"",[2]对账明细接口!$D$1093),"")</f>
      </c>
      <c r="E1093" s="16">
        <f>IFERROR(IF([2]对账明细接口!$E$1093=0,"",[2]对账明细接口!$E$1093),"")</f>
      </c>
      <c r="F1093" s="16">
        <f>IFERROR(IF([2]对账明细接口!$F$1093=0,"",[2]对账明细接口!$F$1093),"")</f>
      </c>
      <c r="G1093" s="16">
        <f>IFERROR(IF([2]对账明细接口!$G$1093=0,"",[2]对账明细接口!$G$1093),"")</f>
      </c>
      <c r="H1093" s="176">
        <f>IFERROR(IF([2]对账明细接口!$H$1093=0,"",[2]对账明细接口!$H$1093),"")</f>
      </c>
      <c r="I1093" s="16">
        <f>IFERROR(IF([2]对账明细接口!$I$1093=0,"",[2]对账明细接口!$I$1093),"")</f>
      </c>
      <c r="J1093" s="177">
        <f>IFERROR(IF([2]对账明细接口!$J$1093=0,"",[2]对账明细接口!$J$1093),"")</f>
      </c>
      <c r="K1093" s="177">
        <f>IFERROR(IF([2]对账明细接口!$K$1093=0,"",[2]对账明细接口!$K$1093),"")</f>
      </c>
      <c r="L1093" s="16">
        <f>IFERROR(IF([2]对账明细接口!$L$1093=0,"",[2]对账明细接口!$L$1093),"")</f>
      </c>
      <c r="M1093" s="16">
        <f>IFERROR(IF([2]对账明细接口!$M$1093=0,"",[2]对账明细接口!$M$1093),"")</f>
      </c>
      <c r="N1093" s="19">
        <f>IF($C1093="",0,1)</f>
        <v>0</v>
      </c>
      <c r="O1093" s="19">
        <f>N(O1092)+$N1093</f>
        <v>272</v>
      </c>
      <c r="S1093" s="20">
        <f>IFERROR(IF([2]对账明细接口!$N1093=0,"",[2]对账明细接口!$N1093),"")</f>
      </c>
      <c r="T1093" s="212">
        <f>IFERROR(IF([2]对账明细接口!$O1093=0,"",[2]对账明细接口!$O1093),"")</f>
      </c>
      <c r="U1093" s="212">
        <f>IFERROR(IF([2]对账明细接口!$P1093=0,"",[2]对账明细接口!$P1093),"")</f>
      </c>
      <c r="V1093" s="212">
        <f>IFERROR(IF([2]对账明细接口!$Q1093=0,"",[2]对账明细接口!$Q1093),"")</f>
      </c>
      <c r="W1093" s="20">
        <f>IFERROR(IF([2]对账明细接口!$R1093=0,"",[2]对账明细接口!$R1093),"")</f>
      </c>
      <c r="X1093" s="20">
        <f>IFERROR(IF([2]对账明细接口!$S1093=0,"",[2]对账明细接口!$S1093),"")</f>
      </c>
      <c r="Y1093" s="20">
        <f>""</f>
      </c>
      <c r="Z1093" s="20">
        <f>""</f>
      </c>
      <c r="AA1093" s="20">
        <f>""</f>
      </c>
      <c r="AB1093" s="20">
        <f>""</f>
      </c>
    </row>
    <row r="1094" s="127">
      <c r="A1094" s="14" t="n">
        <v>1094</v>
      </c>
      <c r="B1094" s="211">
        <f>IFERROR(IF([2]对账明细接口!$B$1094=0,"",[2]对账明细接口!$B$1094),"")</f>
      </c>
      <c r="C1094" s="16">
        <f>IFERROR(IF([2]对账明细接口!$C$1094=0,"",[2]对账明细接口!$C$1094),"")</f>
      </c>
      <c r="D1094" s="16">
        <f>IFERROR(IF([2]对账明细接口!$D$1094=0,"",[2]对账明细接口!$D$1094),"")</f>
      </c>
      <c r="E1094" s="16">
        <f>IFERROR(IF([2]对账明细接口!$E$1094=0,"",[2]对账明细接口!$E$1094),"")</f>
      </c>
      <c r="F1094" s="16">
        <f>IFERROR(IF([2]对账明细接口!$F$1094=0,"",[2]对账明细接口!$F$1094),"")</f>
      </c>
      <c r="G1094" s="16">
        <f>IFERROR(IF([2]对账明细接口!$G$1094=0,"",[2]对账明细接口!$G$1094),"")</f>
      </c>
      <c r="H1094" s="176">
        <f>IFERROR(IF([2]对账明细接口!$H$1094=0,"",[2]对账明细接口!$H$1094),"")</f>
      </c>
      <c r="I1094" s="16">
        <f>IFERROR(IF([2]对账明细接口!$I$1094=0,"",[2]对账明细接口!$I$1094),"")</f>
      </c>
      <c r="J1094" s="177">
        <f>IFERROR(IF([2]对账明细接口!$J$1094=0,"",[2]对账明细接口!$J$1094),"")</f>
      </c>
      <c r="K1094" s="177">
        <f>IFERROR(IF([2]对账明细接口!$K$1094=0,"",[2]对账明细接口!$K$1094),"")</f>
      </c>
      <c r="L1094" s="16">
        <f>IFERROR(IF([2]对账明细接口!$L$1094=0,"",[2]对账明细接口!$L$1094),"")</f>
      </c>
      <c r="M1094" s="16">
        <f>IFERROR(IF([2]对账明细接口!$M$1094=0,"",[2]对账明细接口!$M$1094),"")</f>
      </c>
      <c r="N1094" s="19">
        <f>IF($C1094="",0,1)</f>
        <v>0</v>
      </c>
      <c r="O1094" s="19">
        <f>N(O1093)+$N1094</f>
        <v>272</v>
      </c>
      <c r="S1094" s="20">
        <f>IFERROR(IF([2]对账明细接口!$N1094=0,"",[2]对账明细接口!$N1094),"")</f>
      </c>
      <c r="T1094" s="212">
        <f>IFERROR(IF([2]对账明细接口!$O1094=0,"",[2]对账明细接口!$O1094),"")</f>
      </c>
      <c r="U1094" s="212">
        <f>IFERROR(IF([2]对账明细接口!$P1094=0,"",[2]对账明细接口!$P1094),"")</f>
      </c>
      <c r="V1094" s="212">
        <f>IFERROR(IF([2]对账明细接口!$Q1094=0,"",[2]对账明细接口!$Q1094),"")</f>
      </c>
      <c r="W1094" s="20">
        <f>IFERROR(IF([2]对账明细接口!$R1094=0,"",[2]对账明细接口!$R1094),"")</f>
      </c>
      <c r="X1094" s="20">
        <f>IFERROR(IF([2]对账明细接口!$S1094=0,"",[2]对账明细接口!$S1094),"")</f>
      </c>
      <c r="Y1094" s="20">
        <f>""</f>
      </c>
      <c r="Z1094" s="20">
        <f>""</f>
      </c>
      <c r="AA1094" s="20">
        <f>""</f>
      </c>
      <c r="AB1094" s="20">
        <f>""</f>
      </c>
    </row>
    <row r="1095" s="127">
      <c r="A1095" s="14" t="n">
        <v>1095</v>
      </c>
      <c r="B1095" s="211">
        <f>IFERROR(IF([2]对账明细接口!$B$1095=0,"",[2]对账明细接口!$B$1095),"")</f>
      </c>
      <c r="C1095" s="16">
        <f>IFERROR(IF([2]对账明细接口!$C$1095=0,"",[2]对账明细接口!$C$1095),"")</f>
      </c>
      <c r="D1095" s="16">
        <f>IFERROR(IF([2]对账明细接口!$D$1095=0,"",[2]对账明细接口!$D$1095),"")</f>
      </c>
      <c r="E1095" s="16">
        <f>IFERROR(IF([2]对账明细接口!$E$1095=0,"",[2]对账明细接口!$E$1095),"")</f>
      </c>
      <c r="F1095" s="16">
        <f>IFERROR(IF([2]对账明细接口!$F$1095=0,"",[2]对账明细接口!$F$1095),"")</f>
      </c>
      <c r="G1095" s="16">
        <f>IFERROR(IF([2]对账明细接口!$G$1095=0,"",[2]对账明细接口!$G$1095),"")</f>
      </c>
      <c r="H1095" s="176">
        <f>IFERROR(IF([2]对账明细接口!$H$1095=0,"",[2]对账明细接口!$H$1095),"")</f>
      </c>
      <c r="I1095" s="16">
        <f>IFERROR(IF([2]对账明细接口!$I$1095=0,"",[2]对账明细接口!$I$1095),"")</f>
      </c>
      <c r="J1095" s="177">
        <f>IFERROR(IF([2]对账明细接口!$J$1095=0,"",[2]对账明细接口!$J$1095),"")</f>
      </c>
      <c r="K1095" s="177">
        <f>IFERROR(IF([2]对账明细接口!$K$1095=0,"",[2]对账明细接口!$K$1095),"")</f>
      </c>
      <c r="L1095" s="16">
        <f>IFERROR(IF([2]对账明细接口!$L$1095=0,"",[2]对账明细接口!$L$1095),"")</f>
      </c>
      <c r="M1095" s="16">
        <f>IFERROR(IF([2]对账明细接口!$M$1095=0,"",[2]对账明细接口!$M$1095),"")</f>
      </c>
      <c r="N1095" s="19">
        <f>IF($C1095="",0,1)</f>
        <v>0</v>
      </c>
      <c r="O1095" s="19">
        <f>N(O1094)+$N1095</f>
        <v>272</v>
      </c>
      <c r="S1095" s="20">
        <f>IFERROR(IF([2]对账明细接口!$N1095=0,"",[2]对账明细接口!$N1095),"")</f>
      </c>
      <c r="T1095" s="212">
        <f>IFERROR(IF([2]对账明细接口!$O1095=0,"",[2]对账明细接口!$O1095),"")</f>
      </c>
      <c r="U1095" s="212">
        <f>IFERROR(IF([2]对账明细接口!$P1095=0,"",[2]对账明细接口!$P1095),"")</f>
      </c>
      <c r="V1095" s="212">
        <f>IFERROR(IF([2]对账明细接口!$Q1095=0,"",[2]对账明细接口!$Q1095),"")</f>
      </c>
      <c r="W1095" s="20">
        <f>IFERROR(IF([2]对账明细接口!$R1095=0,"",[2]对账明细接口!$R1095),"")</f>
      </c>
      <c r="X1095" s="20">
        <f>IFERROR(IF([2]对账明细接口!$S1095=0,"",[2]对账明细接口!$S1095),"")</f>
      </c>
      <c r="Y1095" s="20">
        <f>""</f>
      </c>
      <c r="Z1095" s="20">
        <f>""</f>
      </c>
      <c r="AA1095" s="20">
        <f>""</f>
      </c>
      <c r="AB1095" s="20">
        <f>""</f>
      </c>
    </row>
    <row r="1096" s="127">
      <c r="A1096" s="14" t="n">
        <v>1096</v>
      </c>
      <c r="B1096" s="211">
        <f>IFERROR(IF([2]对账明细接口!$B$1096=0,"",[2]对账明细接口!$B$1096),"")</f>
      </c>
      <c r="C1096" s="16">
        <f>IFERROR(IF([2]对账明细接口!$C$1096=0,"",[2]对账明细接口!$C$1096),"")</f>
      </c>
      <c r="D1096" s="16">
        <f>IFERROR(IF([2]对账明细接口!$D$1096=0,"",[2]对账明细接口!$D$1096),"")</f>
      </c>
      <c r="E1096" s="16">
        <f>IFERROR(IF([2]对账明细接口!$E$1096=0,"",[2]对账明细接口!$E$1096),"")</f>
      </c>
      <c r="F1096" s="16">
        <f>IFERROR(IF([2]对账明细接口!$F$1096=0,"",[2]对账明细接口!$F$1096),"")</f>
      </c>
      <c r="G1096" s="16">
        <f>IFERROR(IF([2]对账明细接口!$G$1096=0,"",[2]对账明细接口!$G$1096),"")</f>
      </c>
      <c r="H1096" s="176">
        <f>IFERROR(IF([2]对账明细接口!$H$1096=0,"",[2]对账明细接口!$H$1096),"")</f>
      </c>
      <c r="I1096" s="16">
        <f>IFERROR(IF([2]对账明细接口!$I$1096=0,"",[2]对账明细接口!$I$1096),"")</f>
      </c>
      <c r="J1096" s="177">
        <f>IFERROR(IF([2]对账明细接口!$J$1096=0,"",[2]对账明细接口!$J$1096),"")</f>
      </c>
      <c r="K1096" s="177">
        <f>IFERROR(IF([2]对账明细接口!$K$1096=0,"",[2]对账明细接口!$K$1096),"")</f>
      </c>
      <c r="L1096" s="16">
        <f>IFERROR(IF([2]对账明细接口!$L$1096=0,"",[2]对账明细接口!$L$1096),"")</f>
      </c>
      <c r="M1096" s="16">
        <f>IFERROR(IF([2]对账明细接口!$M$1096=0,"",[2]对账明细接口!$M$1096),"")</f>
      </c>
      <c r="N1096" s="19">
        <f>IF($C1096="",0,1)</f>
        <v>0</v>
      </c>
      <c r="O1096" s="19">
        <f>N(O1095)+$N1096</f>
        <v>272</v>
      </c>
      <c r="S1096" s="20">
        <f>IFERROR(IF([2]对账明细接口!$N1096=0,"",[2]对账明细接口!$N1096),"")</f>
      </c>
      <c r="T1096" s="212">
        <f>IFERROR(IF([2]对账明细接口!$O1096=0,"",[2]对账明细接口!$O1096),"")</f>
      </c>
      <c r="U1096" s="212">
        <f>IFERROR(IF([2]对账明细接口!$P1096=0,"",[2]对账明细接口!$P1096),"")</f>
      </c>
      <c r="V1096" s="212">
        <f>IFERROR(IF([2]对账明细接口!$Q1096=0,"",[2]对账明细接口!$Q1096),"")</f>
      </c>
      <c r="W1096" s="20">
        <f>IFERROR(IF([2]对账明细接口!$R1096=0,"",[2]对账明细接口!$R1096),"")</f>
      </c>
      <c r="X1096" s="20">
        <f>IFERROR(IF([2]对账明细接口!$S1096=0,"",[2]对账明细接口!$S1096),"")</f>
      </c>
      <c r="Y1096" s="20">
        <f>""</f>
      </c>
      <c r="Z1096" s="20">
        <f>""</f>
      </c>
      <c r="AA1096" s="20">
        <f>""</f>
      </c>
      <c r="AB1096" s="20">
        <f>""</f>
      </c>
    </row>
    <row r="1097" s="127">
      <c r="A1097" s="14" t="n">
        <v>1097</v>
      </c>
      <c r="B1097" s="211">
        <f>IFERROR(IF([2]对账明细接口!$B$1097=0,"",[2]对账明细接口!$B$1097),"")</f>
      </c>
      <c r="C1097" s="16">
        <f>IFERROR(IF([2]对账明细接口!$C$1097=0,"",[2]对账明细接口!$C$1097),"")</f>
      </c>
      <c r="D1097" s="16">
        <f>IFERROR(IF([2]对账明细接口!$D$1097=0,"",[2]对账明细接口!$D$1097),"")</f>
      </c>
      <c r="E1097" s="16">
        <f>IFERROR(IF([2]对账明细接口!$E$1097=0,"",[2]对账明细接口!$E$1097),"")</f>
      </c>
      <c r="F1097" s="16">
        <f>IFERROR(IF([2]对账明细接口!$F$1097=0,"",[2]对账明细接口!$F$1097),"")</f>
      </c>
      <c r="G1097" s="16">
        <f>IFERROR(IF([2]对账明细接口!$G$1097=0,"",[2]对账明细接口!$G$1097),"")</f>
      </c>
      <c r="H1097" s="176">
        <f>IFERROR(IF([2]对账明细接口!$H$1097=0,"",[2]对账明细接口!$H$1097),"")</f>
      </c>
      <c r="I1097" s="16">
        <f>IFERROR(IF([2]对账明细接口!$I$1097=0,"",[2]对账明细接口!$I$1097),"")</f>
      </c>
      <c r="J1097" s="177">
        <f>IFERROR(IF([2]对账明细接口!$J$1097=0,"",[2]对账明细接口!$J$1097),"")</f>
      </c>
      <c r="K1097" s="177">
        <f>IFERROR(IF([2]对账明细接口!$K$1097=0,"",[2]对账明细接口!$K$1097),"")</f>
      </c>
      <c r="L1097" s="16">
        <f>IFERROR(IF([2]对账明细接口!$L$1097=0,"",[2]对账明细接口!$L$1097),"")</f>
      </c>
      <c r="M1097" s="16">
        <f>IFERROR(IF([2]对账明细接口!$M$1097=0,"",[2]对账明细接口!$M$1097),"")</f>
      </c>
      <c r="N1097" s="19">
        <f>IF($C1097="",0,1)</f>
        <v>0</v>
      </c>
      <c r="O1097" s="19">
        <f>N(O1096)+$N1097</f>
        <v>272</v>
      </c>
      <c r="S1097" s="20">
        <f>IFERROR(IF([2]对账明细接口!$N1097=0,"",[2]对账明细接口!$N1097),"")</f>
      </c>
      <c r="T1097" s="212">
        <f>IFERROR(IF([2]对账明细接口!$O1097=0,"",[2]对账明细接口!$O1097),"")</f>
      </c>
      <c r="U1097" s="212">
        <f>IFERROR(IF([2]对账明细接口!$P1097=0,"",[2]对账明细接口!$P1097),"")</f>
      </c>
      <c r="V1097" s="212">
        <f>IFERROR(IF([2]对账明细接口!$Q1097=0,"",[2]对账明细接口!$Q1097),"")</f>
      </c>
      <c r="W1097" s="20">
        <f>IFERROR(IF([2]对账明细接口!$R1097=0,"",[2]对账明细接口!$R1097),"")</f>
      </c>
      <c r="X1097" s="20">
        <f>IFERROR(IF([2]对账明细接口!$S1097=0,"",[2]对账明细接口!$S1097),"")</f>
      </c>
      <c r="Y1097" s="20">
        <f>""</f>
      </c>
      <c r="Z1097" s="20">
        <f>""</f>
      </c>
      <c r="AA1097" s="20">
        <f>""</f>
      </c>
      <c r="AB1097" s="20">
        <f>""</f>
      </c>
    </row>
    <row r="1098" s="127">
      <c r="A1098" s="14" t="n">
        <v>1098</v>
      </c>
      <c r="B1098" s="211">
        <f>IFERROR(IF([2]对账明细接口!$B$1098=0,"",[2]对账明细接口!$B$1098),"")</f>
      </c>
      <c r="C1098" s="16">
        <f>IFERROR(IF([2]对账明细接口!$C$1098=0,"",[2]对账明细接口!$C$1098),"")</f>
      </c>
      <c r="D1098" s="16">
        <f>IFERROR(IF([2]对账明细接口!$D$1098=0,"",[2]对账明细接口!$D$1098),"")</f>
      </c>
      <c r="E1098" s="16">
        <f>IFERROR(IF([2]对账明细接口!$E$1098=0,"",[2]对账明细接口!$E$1098),"")</f>
      </c>
      <c r="F1098" s="16">
        <f>IFERROR(IF([2]对账明细接口!$F$1098=0,"",[2]对账明细接口!$F$1098),"")</f>
      </c>
      <c r="G1098" s="16">
        <f>IFERROR(IF([2]对账明细接口!$G$1098=0,"",[2]对账明细接口!$G$1098),"")</f>
      </c>
      <c r="H1098" s="176">
        <f>IFERROR(IF([2]对账明细接口!$H$1098=0,"",[2]对账明细接口!$H$1098),"")</f>
      </c>
      <c r="I1098" s="16">
        <f>IFERROR(IF([2]对账明细接口!$I$1098=0,"",[2]对账明细接口!$I$1098),"")</f>
      </c>
      <c r="J1098" s="177">
        <f>IFERROR(IF([2]对账明细接口!$J$1098=0,"",[2]对账明细接口!$J$1098),"")</f>
      </c>
      <c r="K1098" s="177">
        <f>IFERROR(IF([2]对账明细接口!$K$1098=0,"",[2]对账明细接口!$K$1098),"")</f>
      </c>
      <c r="L1098" s="16">
        <f>IFERROR(IF([2]对账明细接口!$L$1098=0,"",[2]对账明细接口!$L$1098),"")</f>
      </c>
      <c r="M1098" s="16">
        <f>IFERROR(IF([2]对账明细接口!$M$1098=0,"",[2]对账明细接口!$M$1098),"")</f>
      </c>
      <c r="N1098" s="19">
        <f>IF($C1098="",0,1)</f>
        <v>0</v>
      </c>
      <c r="O1098" s="19">
        <f>N(O1097)+$N1098</f>
        <v>272</v>
      </c>
      <c r="S1098" s="20">
        <f>IFERROR(IF([2]对账明细接口!$N1098=0,"",[2]对账明细接口!$N1098),"")</f>
      </c>
      <c r="T1098" s="212">
        <f>IFERROR(IF([2]对账明细接口!$O1098=0,"",[2]对账明细接口!$O1098),"")</f>
      </c>
      <c r="U1098" s="212">
        <f>IFERROR(IF([2]对账明细接口!$P1098=0,"",[2]对账明细接口!$P1098),"")</f>
      </c>
      <c r="V1098" s="212">
        <f>IFERROR(IF([2]对账明细接口!$Q1098=0,"",[2]对账明细接口!$Q1098),"")</f>
      </c>
      <c r="W1098" s="20">
        <f>IFERROR(IF([2]对账明细接口!$R1098=0,"",[2]对账明细接口!$R1098),"")</f>
      </c>
      <c r="X1098" s="20">
        <f>IFERROR(IF([2]对账明细接口!$S1098=0,"",[2]对账明细接口!$S1098),"")</f>
      </c>
      <c r="Y1098" s="20">
        <f>""</f>
      </c>
      <c r="Z1098" s="20">
        <f>""</f>
      </c>
      <c r="AA1098" s="20">
        <f>""</f>
      </c>
      <c r="AB1098" s="20">
        <f>""</f>
      </c>
    </row>
    <row r="1099" s="127">
      <c r="A1099" s="14" t="n">
        <v>1099</v>
      </c>
      <c r="B1099" s="211">
        <f>IFERROR(IF([2]对账明细接口!$B$1099=0,"",[2]对账明细接口!$B$1099),"")</f>
      </c>
      <c r="C1099" s="16">
        <f>IFERROR(IF([2]对账明细接口!$C$1099=0,"",[2]对账明细接口!$C$1099),"")</f>
      </c>
      <c r="D1099" s="16">
        <f>IFERROR(IF([2]对账明细接口!$D$1099=0,"",[2]对账明细接口!$D$1099),"")</f>
      </c>
      <c r="E1099" s="16">
        <f>IFERROR(IF([2]对账明细接口!$E$1099=0,"",[2]对账明细接口!$E$1099),"")</f>
      </c>
      <c r="F1099" s="16">
        <f>IFERROR(IF([2]对账明细接口!$F$1099=0,"",[2]对账明细接口!$F$1099),"")</f>
      </c>
      <c r="G1099" s="16">
        <f>IFERROR(IF([2]对账明细接口!$G$1099=0,"",[2]对账明细接口!$G$1099),"")</f>
      </c>
      <c r="H1099" s="176">
        <f>IFERROR(IF([2]对账明细接口!$H$1099=0,"",[2]对账明细接口!$H$1099),"")</f>
      </c>
      <c r="I1099" s="16">
        <f>IFERROR(IF([2]对账明细接口!$I$1099=0,"",[2]对账明细接口!$I$1099),"")</f>
      </c>
      <c r="J1099" s="177">
        <f>IFERROR(IF([2]对账明细接口!$J$1099=0,"",[2]对账明细接口!$J$1099),"")</f>
      </c>
      <c r="K1099" s="177">
        <f>IFERROR(IF([2]对账明细接口!$K$1099=0,"",[2]对账明细接口!$K$1099),"")</f>
      </c>
      <c r="L1099" s="16">
        <f>IFERROR(IF([2]对账明细接口!$L$1099=0,"",[2]对账明细接口!$L$1099),"")</f>
      </c>
      <c r="M1099" s="16">
        <f>IFERROR(IF([2]对账明细接口!$M$1099=0,"",[2]对账明细接口!$M$1099),"")</f>
      </c>
      <c r="N1099" s="19">
        <f>IF($C1099="",0,1)</f>
        <v>0</v>
      </c>
      <c r="O1099" s="19">
        <f>N(O1098)+$N1099</f>
        <v>272</v>
      </c>
      <c r="S1099" s="20">
        <f>IFERROR(IF([2]对账明细接口!$N1099=0,"",[2]对账明细接口!$N1099),"")</f>
      </c>
      <c r="T1099" s="212">
        <f>IFERROR(IF([2]对账明细接口!$O1099=0,"",[2]对账明细接口!$O1099),"")</f>
      </c>
      <c r="U1099" s="212">
        <f>IFERROR(IF([2]对账明细接口!$P1099=0,"",[2]对账明细接口!$P1099),"")</f>
      </c>
      <c r="V1099" s="212">
        <f>IFERROR(IF([2]对账明细接口!$Q1099=0,"",[2]对账明细接口!$Q1099),"")</f>
      </c>
      <c r="W1099" s="20">
        <f>IFERROR(IF([2]对账明细接口!$R1099=0,"",[2]对账明细接口!$R1099),"")</f>
      </c>
      <c r="X1099" s="20">
        <f>IFERROR(IF([2]对账明细接口!$S1099=0,"",[2]对账明细接口!$S1099),"")</f>
      </c>
      <c r="Y1099" s="20">
        <f>""</f>
      </c>
      <c r="Z1099" s="20">
        <f>""</f>
      </c>
      <c r="AA1099" s="20">
        <f>""</f>
      </c>
      <c r="AB1099" s="20">
        <f>""</f>
      </c>
    </row>
    <row r="1100" s="127">
      <c r="A1100" s="14" t="n">
        <v>1100</v>
      </c>
      <c r="B1100" s="211">
        <f>IFERROR(IF([2]对账明细接口!$B$1100=0,"",[2]对账明细接口!$B$1100),"")</f>
      </c>
      <c r="C1100" s="16">
        <f>IFERROR(IF([2]对账明细接口!$C$1100=0,"",[2]对账明细接口!$C$1100),"")</f>
      </c>
      <c r="D1100" s="16">
        <f>IFERROR(IF([2]对账明细接口!$D$1100=0,"",[2]对账明细接口!$D$1100),"")</f>
      </c>
      <c r="E1100" s="16">
        <f>IFERROR(IF([2]对账明细接口!$E$1100=0,"",[2]对账明细接口!$E$1100),"")</f>
      </c>
      <c r="F1100" s="16">
        <f>IFERROR(IF([2]对账明细接口!$F$1100=0,"",[2]对账明细接口!$F$1100),"")</f>
      </c>
      <c r="G1100" s="16">
        <f>IFERROR(IF([2]对账明细接口!$G$1100=0,"",[2]对账明细接口!$G$1100),"")</f>
      </c>
      <c r="H1100" s="176">
        <f>IFERROR(IF([2]对账明细接口!$H$1100=0,"",[2]对账明细接口!$H$1100),"")</f>
      </c>
      <c r="I1100" s="16">
        <f>IFERROR(IF([2]对账明细接口!$I$1100=0,"",[2]对账明细接口!$I$1100),"")</f>
      </c>
      <c r="J1100" s="177">
        <f>IFERROR(IF([2]对账明细接口!$J$1100=0,"",[2]对账明细接口!$J$1100),"")</f>
      </c>
      <c r="K1100" s="177">
        <f>IFERROR(IF([2]对账明细接口!$K$1100=0,"",[2]对账明细接口!$K$1100),"")</f>
      </c>
      <c r="L1100" s="16">
        <f>IFERROR(IF([2]对账明细接口!$L$1100=0,"",[2]对账明细接口!$L$1100),"")</f>
      </c>
      <c r="M1100" s="16">
        <f>IFERROR(IF([2]对账明细接口!$M$1100=0,"",[2]对账明细接口!$M$1100),"")</f>
      </c>
      <c r="N1100" s="19">
        <f>IF($C1100="",0,1)</f>
        <v>0</v>
      </c>
      <c r="O1100" s="19">
        <f>N(O1099)+$N1100</f>
        <v>272</v>
      </c>
      <c r="S1100" s="20">
        <f>IFERROR(IF([2]对账明细接口!$N1100=0,"",[2]对账明细接口!$N1100),"")</f>
      </c>
      <c r="T1100" s="212">
        <f>IFERROR(IF([2]对账明细接口!$O1100=0,"",[2]对账明细接口!$O1100),"")</f>
      </c>
      <c r="U1100" s="212">
        <f>IFERROR(IF([2]对账明细接口!$P1100=0,"",[2]对账明细接口!$P1100),"")</f>
      </c>
      <c r="V1100" s="212">
        <f>IFERROR(IF([2]对账明细接口!$Q1100=0,"",[2]对账明细接口!$Q1100),"")</f>
      </c>
      <c r="W1100" s="20">
        <f>IFERROR(IF([2]对账明细接口!$R1100=0,"",[2]对账明细接口!$R1100),"")</f>
      </c>
      <c r="X1100" s="20">
        <f>IFERROR(IF([2]对账明细接口!$S1100=0,"",[2]对账明细接口!$S1100),"")</f>
      </c>
      <c r="Y1100" s="20">
        <f>""</f>
      </c>
      <c r="Z1100" s="20">
        <f>""</f>
      </c>
      <c r="AA1100" s="20">
        <f>""</f>
      </c>
      <c r="AB1100" s="20">
        <f>""</f>
      </c>
    </row>
    <row r="1101" s="127">
      <c r="A1101" s="14" t="n">
        <v>1101</v>
      </c>
      <c r="B1101" s="211">
        <f>IFERROR(IF([2]对账明细接口!$B$1101=0,"",[2]对账明细接口!$B$1101),"")</f>
      </c>
      <c r="C1101" s="16">
        <f>IFERROR(IF([2]对账明细接口!$C$1101=0,"",[2]对账明细接口!$C$1101),"")</f>
      </c>
      <c r="D1101" s="16">
        <f>IFERROR(IF([2]对账明细接口!$D$1101=0,"",[2]对账明细接口!$D$1101),"")</f>
      </c>
      <c r="E1101" s="16">
        <f>IFERROR(IF([2]对账明细接口!$E$1101=0,"",[2]对账明细接口!$E$1101),"")</f>
      </c>
      <c r="F1101" s="16">
        <f>IFERROR(IF([2]对账明细接口!$F$1101=0,"",[2]对账明细接口!$F$1101),"")</f>
      </c>
      <c r="G1101" s="16">
        <f>IFERROR(IF([2]对账明细接口!$G$1101=0,"",[2]对账明细接口!$G$1101),"")</f>
      </c>
      <c r="H1101" s="176">
        <f>IFERROR(IF([2]对账明细接口!$H$1101=0,"",[2]对账明细接口!$H$1101),"")</f>
      </c>
      <c r="I1101" s="16">
        <f>IFERROR(IF([2]对账明细接口!$I$1101=0,"",[2]对账明细接口!$I$1101),"")</f>
      </c>
      <c r="J1101" s="177">
        <f>IFERROR(IF([2]对账明细接口!$J$1101=0,"",[2]对账明细接口!$J$1101),"")</f>
      </c>
      <c r="K1101" s="177">
        <f>IFERROR(IF([2]对账明细接口!$K$1101=0,"",[2]对账明细接口!$K$1101),"")</f>
      </c>
      <c r="L1101" s="16">
        <f>IFERROR(IF([2]对账明细接口!$L$1101=0,"",[2]对账明细接口!$L$1101),"")</f>
      </c>
      <c r="M1101" s="16">
        <f>IFERROR(IF([2]对账明细接口!$M$1101=0,"",[2]对账明细接口!$M$1101),"")</f>
      </c>
      <c r="N1101" s="19">
        <f>IF($C1101="",0,1)</f>
        <v>0</v>
      </c>
      <c r="O1101" s="19">
        <f>N(O1100)+$N1101</f>
        <v>272</v>
      </c>
      <c r="S1101" s="20">
        <f>IFERROR(IF([2]对账明细接口!$N1101=0,"",[2]对账明细接口!$N1101),"")</f>
      </c>
      <c r="T1101" s="212">
        <f>IFERROR(IF([2]对账明细接口!$O1101=0,"",[2]对账明细接口!$O1101),"")</f>
      </c>
      <c r="U1101" s="212">
        <f>IFERROR(IF([2]对账明细接口!$P1101=0,"",[2]对账明细接口!$P1101),"")</f>
      </c>
      <c r="V1101" s="212">
        <f>IFERROR(IF([2]对账明细接口!$Q1101=0,"",[2]对账明细接口!$Q1101),"")</f>
      </c>
      <c r="W1101" s="20">
        <f>IFERROR(IF([2]对账明细接口!$R1101=0,"",[2]对账明细接口!$R1101),"")</f>
      </c>
      <c r="X1101" s="20">
        <f>IFERROR(IF([2]对账明细接口!$S1101=0,"",[2]对账明细接口!$S1101),"")</f>
      </c>
      <c r="Y1101" s="20">
        <f>""</f>
      </c>
      <c r="Z1101" s="20">
        <f>""</f>
      </c>
      <c r="AA1101" s="20">
        <f>""</f>
      </c>
      <c r="AB1101" s="20">
        <f>""</f>
      </c>
    </row>
    <row r="1102" s="127">
      <c r="A1102" s="14" t="n">
        <v>1102</v>
      </c>
      <c r="B1102" s="211">
        <f>IFERROR(IF([2]对账明细接口!$B$1102=0,"",[2]对账明细接口!$B$1102),"")</f>
      </c>
      <c r="C1102" s="16">
        <f>IFERROR(IF([2]对账明细接口!$C$1102=0,"",[2]对账明细接口!$C$1102),"")</f>
      </c>
      <c r="D1102" s="16">
        <f>IFERROR(IF([2]对账明细接口!$D$1102=0,"",[2]对账明细接口!$D$1102),"")</f>
      </c>
      <c r="E1102" s="16">
        <f>IFERROR(IF([2]对账明细接口!$E$1102=0,"",[2]对账明细接口!$E$1102),"")</f>
      </c>
      <c r="F1102" s="16">
        <f>IFERROR(IF([2]对账明细接口!$F$1102=0,"",[2]对账明细接口!$F$1102),"")</f>
      </c>
      <c r="G1102" s="16">
        <f>IFERROR(IF([2]对账明细接口!$G$1102=0,"",[2]对账明细接口!$G$1102),"")</f>
      </c>
      <c r="H1102" s="176">
        <f>IFERROR(IF([2]对账明细接口!$H$1102=0,"",[2]对账明细接口!$H$1102),"")</f>
      </c>
      <c r="I1102" s="16">
        <f>IFERROR(IF([2]对账明细接口!$I$1102=0,"",[2]对账明细接口!$I$1102),"")</f>
      </c>
      <c r="J1102" s="177">
        <f>IFERROR(IF([2]对账明细接口!$J$1102=0,"",[2]对账明细接口!$J$1102),"")</f>
      </c>
      <c r="K1102" s="177">
        <f>IFERROR(IF([2]对账明细接口!$K$1102=0,"",[2]对账明细接口!$K$1102),"")</f>
      </c>
      <c r="L1102" s="16">
        <f>IFERROR(IF([2]对账明细接口!$L$1102=0,"",[2]对账明细接口!$L$1102),"")</f>
      </c>
      <c r="M1102" s="16">
        <f>IFERROR(IF([2]对账明细接口!$M$1102=0,"",[2]对账明细接口!$M$1102),"")</f>
      </c>
      <c r="N1102" s="19">
        <f>IF($C1102="",0,1)</f>
        <v>0</v>
      </c>
      <c r="O1102" s="19">
        <f>N(O1101)+$N1102</f>
        <v>272</v>
      </c>
      <c r="S1102" s="20">
        <f>IFERROR(IF([2]对账明细接口!$N1102=0,"",[2]对账明细接口!$N1102),"")</f>
      </c>
      <c r="T1102" s="212">
        <f>IFERROR(IF([2]对账明细接口!$O1102=0,"",[2]对账明细接口!$O1102),"")</f>
      </c>
      <c r="U1102" s="212">
        <f>IFERROR(IF([2]对账明细接口!$P1102=0,"",[2]对账明细接口!$P1102),"")</f>
      </c>
      <c r="V1102" s="212">
        <f>IFERROR(IF([2]对账明细接口!$Q1102=0,"",[2]对账明细接口!$Q1102),"")</f>
      </c>
      <c r="W1102" s="20">
        <f>IFERROR(IF([2]对账明细接口!$R1102=0,"",[2]对账明细接口!$R1102),"")</f>
      </c>
      <c r="X1102" s="20">
        <f>IFERROR(IF([2]对账明细接口!$S1102=0,"",[2]对账明细接口!$S1102),"")</f>
      </c>
      <c r="Y1102" s="20">
        <f>""</f>
      </c>
      <c r="Z1102" s="20">
        <f>""</f>
      </c>
      <c r="AA1102" s="20">
        <f>""</f>
      </c>
      <c r="AB1102" s="20">
        <f>""</f>
      </c>
    </row>
    <row r="1103" s="127">
      <c r="A1103" s="14" t="n">
        <v>1103</v>
      </c>
      <c r="B1103" s="211">
        <f>IFERROR(IF([2]对账明细接口!$B$1103=0,"",[2]对账明细接口!$B$1103),"")</f>
      </c>
      <c r="C1103" s="16">
        <f>IFERROR(IF([2]对账明细接口!$C$1103=0,"",[2]对账明细接口!$C$1103),"")</f>
      </c>
      <c r="D1103" s="16">
        <f>IFERROR(IF([2]对账明细接口!$D$1103=0,"",[2]对账明细接口!$D$1103),"")</f>
      </c>
      <c r="E1103" s="16">
        <f>IFERROR(IF([2]对账明细接口!$E$1103=0,"",[2]对账明细接口!$E$1103),"")</f>
      </c>
      <c r="F1103" s="16">
        <f>IFERROR(IF([2]对账明细接口!$F$1103=0,"",[2]对账明细接口!$F$1103),"")</f>
      </c>
      <c r="G1103" s="16">
        <f>IFERROR(IF([2]对账明细接口!$G$1103=0,"",[2]对账明细接口!$G$1103),"")</f>
      </c>
      <c r="H1103" s="176">
        <f>IFERROR(IF([2]对账明细接口!$H$1103=0,"",[2]对账明细接口!$H$1103),"")</f>
      </c>
      <c r="I1103" s="16">
        <f>IFERROR(IF([2]对账明细接口!$I$1103=0,"",[2]对账明细接口!$I$1103),"")</f>
      </c>
      <c r="J1103" s="177">
        <f>IFERROR(IF([2]对账明细接口!$J$1103=0,"",[2]对账明细接口!$J$1103),"")</f>
      </c>
      <c r="K1103" s="177">
        <f>IFERROR(IF([2]对账明细接口!$K$1103=0,"",[2]对账明细接口!$K$1103),"")</f>
      </c>
      <c r="L1103" s="16">
        <f>IFERROR(IF([2]对账明细接口!$L$1103=0,"",[2]对账明细接口!$L$1103),"")</f>
      </c>
      <c r="M1103" s="16">
        <f>IFERROR(IF([2]对账明细接口!$M$1103=0,"",[2]对账明细接口!$M$1103),"")</f>
      </c>
      <c r="N1103" s="19">
        <f>IF($C1103="",0,1)</f>
        <v>0</v>
      </c>
      <c r="O1103" s="19">
        <f>N(O1102)+$N1103</f>
        <v>272</v>
      </c>
      <c r="S1103" s="20">
        <f>IFERROR(IF([2]对账明细接口!$N1103=0,"",[2]对账明细接口!$N1103),"")</f>
      </c>
      <c r="T1103" s="212">
        <f>IFERROR(IF([2]对账明细接口!$O1103=0,"",[2]对账明细接口!$O1103),"")</f>
      </c>
      <c r="U1103" s="212">
        <f>IFERROR(IF([2]对账明细接口!$P1103=0,"",[2]对账明细接口!$P1103),"")</f>
      </c>
      <c r="V1103" s="212">
        <f>IFERROR(IF([2]对账明细接口!$Q1103=0,"",[2]对账明细接口!$Q1103),"")</f>
      </c>
      <c r="W1103" s="20">
        <f>IFERROR(IF([2]对账明细接口!$R1103=0,"",[2]对账明细接口!$R1103),"")</f>
      </c>
      <c r="X1103" s="20">
        <f>IFERROR(IF([2]对账明细接口!$S1103=0,"",[2]对账明细接口!$S1103),"")</f>
      </c>
      <c r="Y1103" s="20">
        <f>""</f>
      </c>
      <c r="Z1103" s="20">
        <f>""</f>
      </c>
      <c r="AA1103" s="20">
        <f>""</f>
      </c>
      <c r="AB1103" s="20">
        <f>""</f>
      </c>
    </row>
    <row r="1104" s="127">
      <c r="A1104" s="14" t="n">
        <v>1104</v>
      </c>
      <c r="B1104" s="211">
        <f>IFERROR(IF([2]对账明细接口!$B$1104=0,"",[2]对账明细接口!$B$1104),"")</f>
      </c>
      <c r="C1104" s="16">
        <f>IFERROR(IF([2]对账明细接口!$C$1104=0,"",[2]对账明细接口!$C$1104),"")</f>
      </c>
      <c r="D1104" s="16">
        <f>IFERROR(IF([2]对账明细接口!$D$1104=0,"",[2]对账明细接口!$D$1104),"")</f>
      </c>
      <c r="E1104" s="16">
        <f>IFERROR(IF([2]对账明细接口!$E$1104=0,"",[2]对账明细接口!$E$1104),"")</f>
      </c>
      <c r="F1104" s="16">
        <f>IFERROR(IF([2]对账明细接口!$F$1104=0,"",[2]对账明细接口!$F$1104),"")</f>
      </c>
      <c r="G1104" s="16">
        <f>IFERROR(IF([2]对账明细接口!$G$1104=0,"",[2]对账明细接口!$G$1104),"")</f>
      </c>
      <c r="H1104" s="176">
        <f>IFERROR(IF([2]对账明细接口!$H$1104=0,"",[2]对账明细接口!$H$1104),"")</f>
      </c>
      <c r="I1104" s="16">
        <f>IFERROR(IF([2]对账明细接口!$I$1104=0,"",[2]对账明细接口!$I$1104),"")</f>
      </c>
      <c r="J1104" s="177">
        <f>IFERROR(IF([2]对账明细接口!$J$1104=0,"",[2]对账明细接口!$J$1104),"")</f>
      </c>
      <c r="K1104" s="177">
        <f>IFERROR(IF([2]对账明细接口!$K$1104=0,"",[2]对账明细接口!$K$1104),"")</f>
      </c>
      <c r="L1104" s="16">
        <f>IFERROR(IF([2]对账明细接口!$L$1104=0,"",[2]对账明细接口!$L$1104),"")</f>
      </c>
      <c r="M1104" s="16">
        <f>IFERROR(IF([2]对账明细接口!$M$1104=0,"",[2]对账明细接口!$M$1104),"")</f>
      </c>
      <c r="N1104" s="19">
        <f>IF($C1104="",0,1)</f>
        <v>0</v>
      </c>
      <c r="O1104" s="19">
        <f>N(O1103)+$N1104</f>
        <v>272</v>
      </c>
      <c r="S1104" s="20">
        <f>IFERROR(IF([2]对账明细接口!$N1104=0,"",[2]对账明细接口!$N1104),"")</f>
      </c>
      <c r="T1104" s="212">
        <f>IFERROR(IF([2]对账明细接口!$O1104=0,"",[2]对账明细接口!$O1104),"")</f>
      </c>
      <c r="U1104" s="212">
        <f>IFERROR(IF([2]对账明细接口!$P1104=0,"",[2]对账明细接口!$P1104),"")</f>
      </c>
      <c r="V1104" s="212">
        <f>IFERROR(IF([2]对账明细接口!$Q1104=0,"",[2]对账明细接口!$Q1104),"")</f>
      </c>
      <c r="W1104" s="20">
        <f>IFERROR(IF([2]对账明细接口!$R1104=0,"",[2]对账明细接口!$R1104),"")</f>
      </c>
      <c r="X1104" s="20">
        <f>IFERROR(IF([2]对账明细接口!$S1104=0,"",[2]对账明细接口!$S1104),"")</f>
      </c>
      <c r="Y1104" s="20">
        <f>""</f>
      </c>
      <c r="Z1104" s="20">
        <f>""</f>
      </c>
      <c r="AA1104" s="20">
        <f>""</f>
      </c>
      <c r="AB1104" s="20">
        <f>""</f>
      </c>
    </row>
    <row r="1105" s="127">
      <c r="A1105" s="14" t="n">
        <v>1105</v>
      </c>
      <c r="B1105" s="211">
        <f>IFERROR(IF([2]对账明细接口!$B$1105=0,"",[2]对账明细接口!$B$1105),"")</f>
      </c>
      <c r="C1105" s="16">
        <f>IFERROR(IF([2]对账明细接口!$C$1105=0,"",[2]对账明细接口!$C$1105),"")</f>
      </c>
      <c r="D1105" s="16">
        <f>IFERROR(IF([2]对账明细接口!$D$1105=0,"",[2]对账明细接口!$D$1105),"")</f>
      </c>
      <c r="E1105" s="16">
        <f>IFERROR(IF([2]对账明细接口!$E$1105=0,"",[2]对账明细接口!$E$1105),"")</f>
      </c>
      <c r="F1105" s="16">
        <f>IFERROR(IF([2]对账明细接口!$F$1105=0,"",[2]对账明细接口!$F$1105),"")</f>
      </c>
      <c r="G1105" s="16">
        <f>IFERROR(IF([2]对账明细接口!$G$1105=0,"",[2]对账明细接口!$G$1105),"")</f>
      </c>
      <c r="H1105" s="176">
        <f>IFERROR(IF([2]对账明细接口!$H$1105=0,"",[2]对账明细接口!$H$1105),"")</f>
      </c>
      <c r="I1105" s="16">
        <f>IFERROR(IF([2]对账明细接口!$I$1105=0,"",[2]对账明细接口!$I$1105),"")</f>
      </c>
      <c r="J1105" s="177">
        <f>IFERROR(IF([2]对账明细接口!$J$1105=0,"",[2]对账明细接口!$J$1105),"")</f>
      </c>
      <c r="K1105" s="177">
        <f>IFERROR(IF([2]对账明细接口!$K$1105=0,"",[2]对账明细接口!$K$1105),"")</f>
      </c>
      <c r="L1105" s="16">
        <f>IFERROR(IF([2]对账明细接口!$L$1105=0,"",[2]对账明细接口!$L$1105),"")</f>
      </c>
      <c r="M1105" s="16">
        <f>IFERROR(IF([2]对账明细接口!$M$1105=0,"",[2]对账明细接口!$M$1105),"")</f>
      </c>
      <c r="N1105" s="19">
        <f>IF($C1105="",0,1)</f>
        <v>0</v>
      </c>
      <c r="O1105" s="19">
        <f>N(O1104)+$N1105</f>
        <v>272</v>
      </c>
      <c r="S1105" s="20">
        <f>IFERROR(IF([2]对账明细接口!$N1105=0,"",[2]对账明细接口!$N1105),"")</f>
      </c>
      <c r="T1105" s="212">
        <f>IFERROR(IF([2]对账明细接口!$O1105=0,"",[2]对账明细接口!$O1105),"")</f>
      </c>
      <c r="U1105" s="212">
        <f>IFERROR(IF([2]对账明细接口!$P1105=0,"",[2]对账明细接口!$P1105),"")</f>
      </c>
      <c r="V1105" s="212">
        <f>IFERROR(IF([2]对账明细接口!$Q1105=0,"",[2]对账明细接口!$Q1105),"")</f>
      </c>
      <c r="W1105" s="20">
        <f>IFERROR(IF([2]对账明细接口!$R1105=0,"",[2]对账明细接口!$R1105),"")</f>
      </c>
      <c r="X1105" s="20">
        <f>IFERROR(IF([2]对账明细接口!$S1105=0,"",[2]对账明细接口!$S1105),"")</f>
      </c>
      <c r="Y1105" s="20">
        <f>""</f>
      </c>
      <c r="Z1105" s="20">
        <f>""</f>
      </c>
      <c r="AA1105" s="20">
        <f>""</f>
      </c>
      <c r="AB1105" s="20">
        <f>""</f>
      </c>
    </row>
    <row r="1106" s="127">
      <c r="A1106" s="14" t="n">
        <v>1106</v>
      </c>
      <c r="B1106" s="211">
        <f>IFERROR(IF([2]对账明细接口!$B$1106=0,"",[2]对账明细接口!$B$1106),"")</f>
      </c>
      <c r="C1106" s="16">
        <f>IFERROR(IF([2]对账明细接口!$C$1106=0,"",[2]对账明细接口!$C$1106),"")</f>
      </c>
      <c r="D1106" s="16">
        <f>IFERROR(IF([2]对账明细接口!$D$1106=0,"",[2]对账明细接口!$D$1106),"")</f>
      </c>
      <c r="E1106" s="16">
        <f>IFERROR(IF([2]对账明细接口!$E$1106=0,"",[2]对账明细接口!$E$1106),"")</f>
      </c>
      <c r="F1106" s="16">
        <f>IFERROR(IF([2]对账明细接口!$F$1106=0,"",[2]对账明细接口!$F$1106),"")</f>
      </c>
      <c r="G1106" s="16">
        <f>IFERROR(IF([2]对账明细接口!$G$1106=0,"",[2]对账明细接口!$G$1106),"")</f>
      </c>
      <c r="H1106" s="176">
        <f>IFERROR(IF([2]对账明细接口!$H$1106=0,"",[2]对账明细接口!$H$1106),"")</f>
      </c>
      <c r="I1106" s="16">
        <f>IFERROR(IF([2]对账明细接口!$I$1106=0,"",[2]对账明细接口!$I$1106),"")</f>
      </c>
      <c r="J1106" s="177">
        <f>IFERROR(IF([2]对账明细接口!$J$1106=0,"",[2]对账明细接口!$J$1106),"")</f>
      </c>
      <c r="K1106" s="177">
        <f>IFERROR(IF([2]对账明细接口!$K$1106=0,"",[2]对账明细接口!$K$1106),"")</f>
      </c>
      <c r="L1106" s="16">
        <f>IFERROR(IF([2]对账明细接口!$L$1106=0,"",[2]对账明细接口!$L$1106),"")</f>
      </c>
      <c r="M1106" s="16">
        <f>IFERROR(IF([2]对账明细接口!$M$1106=0,"",[2]对账明细接口!$M$1106),"")</f>
      </c>
      <c r="N1106" s="19">
        <f>IF($C1106="",0,1)</f>
        <v>0</v>
      </c>
      <c r="O1106" s="19">
        <f>N(O1105)+$N1106</f>
        <v>272</v>
      </c>
      <c r="S1106" s="20">
        <f>IFERROR(IF([2]对账明细接口!$N1106=0,"",[2]对账明细接口!$N1106),"")</f>
      </c>
      <c r="T1106" s="212">
        <f>IFERROR(IF([2]对账明细接口!$O1106=0,"",[2]对账明细接口!$O1106),"")</f>
      </c>
      <c r="U1106" s="212">
        <f>IFERROR(IF([2]对账明细接口!$P1106=0,"",[2]对账明细接口!$P1106),"")</f>
      </c>
      <c r="V1106" s="212">
        <f>IFERROR(IF([2]对账明细接口!$Q1106=0,"",[2]对账明细接口!$Q1106),"")</f>
      </c>
      <c r="W1106" s="20">
        <f>IFERROR(IF([2]对账明细接口!$R1106=0,"",[2]对账明细接口!$R1106),"")</f>
      </c>
      <c r="X1106" s="20">
        <f>IFERROR(IF([2]对账明细接口!$S1106=0,"",[2]对账明细接口!$S1106),"")</f>
      </c>
      <c r="Y1106" s="20">
        <f>""</f>
      </c>
      <c r="Z1106" s="20">
        <f>""</f>
      </c>
      <c r="AA1106" s="20">
        <f>""</f>
      </c>
      <c r="AB1106" s="20">
        <f>""</f>
      </c>
    </row>
    <row r="1107" s="127">
      <c r="A1107" s="14" t="n">
        <v>1107</v>
      </c>
      <c r="B1107" s="211">
        <f>IFERROR(IF([2]对账明细接口!$B$1107=0,"",[2]对账明细接口!$B$1107),"")</f>
      </c>
      <c r="C1107" s="16">
        <f>IFERROR(IF([2]对账明细接口!$C$1107=0,"",[2]对账明细接口!$C$1107),"")</f>
      </c>
      <c r="D1107" s="16">
        <f>IFERROR(IF([2]对账明细接口!$D$1107=0,"",[2]对账明细接口!$D$1107),"")</f>
      </c>
      <c r="E1107" s="16">
        <f>IFERROR(IF([2]对账明细接口!$E$1107=0,"",[2]对账明细接口!$E$1107),"")</f>
      </c>
      <c r="F1107" s="16">
        <f>IFERROR(IF([2]对账明细接口!$F$1107=0,"",[2]对账明细接口!$F$1107),"")</f>
      </c>
      <c r="G1107" s="16">
        <f>IFERROR(IF([2]对账明细接口!$G$1107=0,"",[2]对账明细接口!$G$1107),"")</f>
      </c>
      <c r="H1107" s="176">
        <f>IFERROR(IF([2]对账明细接口!$H$1107=0,"",[2]对账明细接口!$H$1107),"")</f>
      </c>
      <c r="I1107" s="16">
        <f>IFERROR(IF([2]对账明细接口!$I$1107=0,"",[2]对账明细接口!$I$1107),"")</f>
      </c>
      <c r="J1107" s="177">
        <f>IFERROR(IF([2]对账明细接口!$J$1107=0,"",[2]对账明细接口!$J$1107),"")</f>
      </c>
      <c r="K1107" s="177">
        <f>IFERROR(IF([2]对账明细接口!$K$1107=0,"",[2]对账明细接口!$K$1107),"")</f>
      </c>
      <c r="L1107" s="16">
        <f>IFERROR(IF([2]对账明细接口!$L$1107=0,"",[2]对账明细接口!$L$1107),"")</f>
      </c>
      <c r="M1107" s="16">
        <f>IFERROR(IF([2]对账明细接口!$M$1107=0,"",[2]对账明细接口!$M$1107),"")</f>
      </c>
      <c r="N1107" s="19">
        <f>IF($C1107="",0,1)</f>
        <v>0</v>
      </c>
      <c r="O1107" s="19">
        <f>N(O1106)+$N1107</f>
        <v>272</v>
      </c>
      <c r="S1107" s="20">
        <f>IFERROR(IF([2]对账明细接口!$N1107=0,"",[2]对账明细接口!$N1107),"")</f>
      </c>
      <c r="T1107" s="212">
        <f>IFERROR(IF([2]对账明细接口!$O1107=0,"",[2]对账明细接口!$O1107),"")</f>
      </c>
      <c r="U1107" s="212">
        <f>IFERROR(IF([2]对账明细接口!$P1107=0,"",[2]对账明细接口!$P1107),"")</f>
      </c>
      <c r="V1107" s="212">
        <f>IFERROR(IF([2]对账明细接口!$Q1107=0,"",[2]对账明细接口!$Q1107),"")</f>
      </c>
      <c r="W1107" s="20">
        <f>IFERROR(IF([2]对账明细接口!$R1107=0,"",[2]对账明细接口!$R1107),"")</f>
      </c>
      <c r="X1107" s="20">
        <f>IFERROR(IF([2]对账明细接口!$S1107=0,"",[2]对账明细接口!$S1107),"")</f>
      </c>
      <c r="Y1107" s="20">
        <f>""</f>
      </c>
      <c r="Z1107" s="20">
        <f>""</f>
      </c>
      <c r="AA1107" s="20">
        <f>""</f>
      </c>
      <c r="AB1107" s="20">
        <f>""</f>
      </c>
    </row>
    <row r="1108" s="127">
      <c r="A1108" s="14" t="n">
        <v>1108</v>
      </c>
      <c r="B1108" s="211">
        <f>IFERROR(IF([2]对账明细接口!$B$1108=0,"",[2]对账明细接口!$B$1108),"")</f>
      </c>
      <c r="C1108" s="16">
        <f>IFERROR(IF([2]对账明细接口!$C$1108=0,"",[2]对账明细接口!$C$1108),"")</f>
      </c>
      <c r="D1108" s="16">
        <f>IFERROR(IF([2]对账明细接口!$D$1108=0,"",[2]对账明细接口!$D$1108),"")</f>
      </c>
      <c r="E1108" s="16">
        <f>IFERROR(IF([2]对账明细接口!$E$1108=0,"",[2]对账明细接口!$E$1108),"")</f>
      </c>
      <c r="F1108" s="16">
        <f>IFERROR(IF([2]对账明细接口!$F$1108=0,"",[2]对账明细接口!$F$1108),"")</f>
      </c>
      <c r="G1108" s="16">
        <f>IFERROR(IF([2]对账明细接口!$G$1108=0,"",[2]对账明细接口!$G$1108),"")</f>
      </c>
      <c r="H1108" s="176">
        <f>IFERROR(IF([2]对账明细接口!$H$1108=0,"",[2]对账明细接口!$H$1108),"")</f>
      </c>
      <c r="I1108" s="16">
        <f>IFERROR(IF([2]对账明细接口!$I$1108=0,"",[2]对账明细接口!$I$1108),"")</f>
      </c>
      <c r="J1108" s="177">
        <f>IFERROR(IF([2]对账明细接口!$J$1108=0,"",[2]对账明细接口!$J$1108),"")</f>
      </c>
      <c r="K1108" s="177">
        <f>IFERROR(IF([2]对账明细接口!$K$1108=0,"",[2]对账明细接口!$K$1108),"")</f>
      </c>
      <c r="L1108" s="16">
        <f>IFERROR(IF([2]对账明细接口!$L$1108=0,"",[2]对账明细接口!$L$1108),"")</f>
      </c>
      <c r="M1108" s="16">
        <f>IFERROR(IF([2]对账明细接口!$M$1108=0,"",[2]对账明细接口!$M$1108),"")</f>
      </c>
      <c r="N1108" s="19">
        <f>IF($C1108="",0,1)</f>
        <v>0</v>
      </c>
      <c r="O1108" s="19">
        <f>N(O1107)+$N1108</f>
        <v>272</v>
      </c>
      <c r="S1108" s="20">
        <f>IFERROR(IF([2]对账明细接口!$N1108=0,"",[2]对账明细接口!$N1108),"")</f>
      </c>
      <c r="T1108" s="212">
        <f>IFERROR(IF([2]对账明细接口!$O1108=0,"",[2]对账明细接口!$O1108),"")</f>
      </c>
      <c r="U1108" s="212">
        <f>IFERROR(IF([2]对账明细接口!$P1108=0,"",[2]对账明细接口!$P1108),"")</f>
      </c>
      <c r="V1108" s="212">
        <f>IFERROR(IF([2]对账明细接口!$Q1108=0,"",[2]对账明细接口!$Q1108),"")</f>
      </c>
      <c r="W1108" s="20">
        <f>IFERROR(IF([2]对账明细接口!$R1108=0,"",[2]对账明细接口!$R1108),"")</f>
      </c>
      <c r="X1108" s="20">
        <f>IFERROR(IF([2]对账明细接口!$S1108=0,"",[2]对账明细接口!$S1108),"")</f>
      </c>
      <c r="Y1108" s="20">
        <f>""</f>
      </c>
      <c r="Z1108" s="20">
        <f>""</f>
      </c>
      <c r="AA1108" s="20">
        <f>""</f>
      </c>
      <c r="AB1108" s="20">
        <f>""</f>
      </c>
    </row>
    <row r="1109" s="127">
      <c r="A1109" s="14" t="n">
        <v>1109</v>
      </c>
      <c r="B1109" s="211">
        <f>IFERROR(IF([2]对账明细接口!$B$1109=0,"",[2]对账明细接口!$B$1109),"")</f>
      </c>
      <c r="C1109" s="16">
        <f>IFERROR(IF([2]对账明细接口!$C$1109=0,"",[2]对账明细接口!$C$1109),"")</f>
      </c>
      <c r="D1109" s="16">
        <f>IFERROR(IF([2]对账明细接口!$D$1109=0,"",[2]对账明细接口!$D$1109),"")</f>
      </c>
      <c r="E1109" s="16">
        <f>IFERROR(IF([2]对账明细接口!$E$1109=0,"",[2]对账明细接口!$E$1109),"")</f>
      </c>
      <c r="F1109" s="16">
        <f>IFERROR(IF([2]对账明细接口!$F$1109=0,"",[2]对账明细接口!$F$1109),"")</f>
      </c>
      <c r="G1109" s="16">
        <f>IFERROR(IF([2]对账明细接口!$G$1109=0,"",[2]对账明细接口!$G$1109),"")</f>
      </c>
      <c r="H1109" s="176">
        <f>IFERROR(IF([2]对账明细接口!$H$1109=0,"",[2]对账明细接口!$H$1109),"")</f>
      </c>
      <c r="I1109" s="16">
        <f>IFERROR(IF([2]对账明细接口!$I$1109=0,"",[2]对账明细接口!$I$1109),"")</f>
      </c>
      <c r="J1109" s="177">
        <f>IFERROR(IF([2]对账明细接口!$J$1109=0,"",[2]对账明细接口!$J$1109),"")</f>
      </c>
      <c r="K1109" s="177">
        <f>IFERROR(IF([2]对账明细接口!$K$1109=0,"",[2]对账明细接口!$K$1109),"")</f>
      </c>
      <c r="L1109" s="16">
        <f>IFERROR(IF([2]对账明细接口!$L$1109=0,"",[2]对账明细接口!$L$1109),"")</f>
      </c>
      <c r="M1109" s="16">
        <f>IFERROR(IF([2]对账明细接口!$M$1109=0,"",[2]对账明细接口!$M$1109),"")</f>
      </c>
      <c r="N1109" s="19">
        <f>IF($C1109="",0,1)</f>
        <v>0</v>
      </c>
      <c r="O1109" s="19">
        <f>N(O1108)+$N1109</f>
        <v>272</v>
      </c>
      <c r="S1109" s="20">
        <f>IFERROR(IF([2]对账明细接口!$N1109=0,"",[2]对账明细接口!$N1109),"")</f>
      </c>
      <c r="T1109" s="212">
        <f>IFERROR(IF([2]对账明细接口!$O1109=0,"",[2]对账明细接口!$O1109),"")</f>
      </c>
      <c r="U1109" s="212">
        <f>IFERROR(IF([2]对账明细接口!$P1109=0,"",[2]对账明细接口!$P1109),"")</f>
      </c>
      <c r="V1109" s="212">
        <f>IFERROR(IF([2]对账明细接口!$Q1109=0,"",[2]对账明细接口!$Q1109),"")</f>
      </c>
      <c r="W1109" s="20">
        <f>IFERROR(IF([2]对账明细接口!$R1109=0,"",[2]对账明细接口!$R1109),"")</f>
      </c>
      <c r="X1109" s="20">
        <f>IFERROR(IF([2]对账明细接口!$S1109=0,"",[2]对账明细接口!$S1109),"")</f>
      </c>
      <c r="Y1109" s="20">
        <f>""</f>
      </c>
      <c r="Z1109" s="20">
        <f>""</f>
      </c>
      <c r="AA1109" s="20">
        <f>""</f>
      </c>
      <c r="AB1109" s="20">
        <f>""</f>
      </c>
    </row>
    <row r="1110" s="127">
      <c r="A1110" s="14" t="n">
        <v>1110</v>
      </c>
      <c r="B1110" s="211">
        <f>IFERROR(IF([2]对账明细接口!$B$1110=0,"",[2]对账明细接口!$B$1110),"")</f>
      </c>
      <c r="C1110" s="16">
        <f>IFERROR(IF([2]对账明细接口!$C$1110=0,"",[2]对账明细接口!$C$1110),"")</f>
      </c>
      <c r="D1110" s="16">
        <f>IFERROR(IF([2]对账明细接口!$D$1110=0,"",[2]对账明细接口!$D$1110),"")</f>
      </c>
      <c r="E1110" s="16">
        <f>IFERROR(IF([2]对账明细接口!$E$1110=0,"",[2]对账明细接口!$E$1110),"")</f>
      </c>
      <c r="F1110" s="16">
        <f>IFERROR(IF([2]对账明细接口!$F$1110=0,"",[2]对账明细接口!$F$1110),"")</f>
      </c>
      <c r="G1110" s="16">
        <f>IFERROR(IF([2]对账明细接口!$G$1110=0,"",[2]对账明细接口!$G$1110),"")</f>
      </c>
      <c r="H1110" s="176">
        <f>IFERROR(IF([2]对账明细接口!$H$1110=0,"",[2]对账明细接口!$H$1110),"")</f>
      </c>
      <c r="I1110" s="16">
        <f>IFERROR(IF([2]对账明细接口!$I$1110=0,"",[2]对账明细接口!$I$1110),"")</f>
      </c>
      <c r="J1110" s="177">
        <f>IFERROR(IF([2]对账明细接口!$J$1110=0,"",[2]对账明细接口!$J$1110),"")</f>
      </c>
      <c r="K1110" s="177">
        <f>IFERROR(IF([2]对账明细接口!$K$1110=0,"",[2]对账明细接口!$K$1110),"")</f>
      </c>
      <c r="L1110" s="16">
        <f>IFERROR(IF([2]对账明细接口!$L$1110=0,"",[2]对账明细接口!$L$1110),"")</f>
      </c>
      <c r="M1110" s="16">
        <f>IFERROR(IF([2]对账明细接口!$M$1110=0,"",[2]对账明细接口!$M$1110),"")</f>
      </c>
      <c r="N1110" s="19">
        <f>IF($C1110="",0,1)</f>
        <v>0</v>
      </c>
      <c r="O1110" s="19">
        <f>N(O1109)+$N1110</f>
        <v>272</v>
      </c>
      <c r="S1110" s="20">
        <f>IFERROR(IF([2]对账明细接口!$N1110=0,"",[2]对账明细接口!$N1110),"")</f>
      </c>
      <c r="T1110" s="212">
        <f>IFERROR(IF([2]对账明细接口!$O1110=0,"",[2]对账明细接口!$O1110),"")</f>
      </c>
      <c r="U1110" s="212">
        <f>IFERROR(IF([2]对账明细接口!$P1110=0,"",[2]对账明细接口!$P1110),"")</f>
      </c>
      <c r="V1110" s="212">
        <f>IFERROR(IF([2]对账明细接口!$Q1110=0,"",[2]对账明细接口!$Q1110),"")</f>
      </c>
      <c r="W1110" s="20">
        <f>IFERROR(IF([2]对账明细接口!$R1110=0,"",[2]对账明细接口!$R1110),"")</f>
      </c>
      <c r="X1110" s="20">
        <f>IFERROR(IF([2]对账明细接口!$S1110=0,"",[2]对账明细接口!$S1110),"")</f>
      </c>
      <c r="Y1110" s="20">
        <f>""</f>
      </c>
      <c r="Z1110" s="20">
        <f>""</f>
      </c>
      <c r="AA1110" s="20">
        <f>""</f>
      </c>
      <c r="AB1110" s="20">
        <f>""</f>
      </c>
    </row>
    <row r="1111" s="127">
      <c r="A1111" s="14" t="n">
        <v>1111</v>
      </c>
      <c r="B1111" s="211">
        <f>IFERROR(IF([2]对账明细接口!$B$1111=0,"",[2]对账明细接口!$B$1111),"")</f>
      </c>
      <c r="C1111" s="16">
        <f>IFERROR(IF([2]对账明细接口!$C$1111=0,"",[2]对账明细接口!$C$1111),"")</f>
      </c>
      <c r="D1111" s="16">
        <f>IFERROR(IF([2]对账明细接口!$D$1111=0,"",[2]对账明细接口!$D$1111),"")</f>
      </c>
      <c r="E1111" s="16">
        <f>IFERROR(IF([2]对账明细接口!$E$1111=0,"",[2]对账明细接口!$E$1111),"")</f>
      </c>
      <c r="F1111" s="16">
        <f>IFERROR(IF([2]对账明细接口!$F$1111=0,"",[2]对账明细接口!$F$1111),"")</f>
      </c>
      <c r="G1111" s="16">
        <f>IFERROR(IF([2]对账明细接口!$G$1111=0,"",[2]对账明细接口!$G$1111),"")</f>
      </c>
      <c r="H1111" s="176">
        <f>IFERROR(IF([2]对账明细接口!$H$1111=0,"",[2]对账明细接口!$H$1111),"")</f>
      </c>
      <c r="I1111" s="16">
        <f>IFERROR(IF([2]对账明细接口!$I$1111=0,"",[2]对账明细接口!$I$1111),"")</f>
      </c>
      <c r="J1111" s="177">
        <f>IFERROR(IF([2]对账明细接口!$J$1111=0,"",[2]对账明细接口!$J$1111),"")</f>
      </c>
      <c r="K1111" s="177">
        <f>IFERROR(IF([2]对账明细接口!$K$1111=0,"",[2]对账明细接口!$K$1111),"")</f>
      </c>
      <c r="L1111" s="16">
        <f>IFERROR(IF([2]对账明细接口!$L$1111=0,"",[2]对账明细接口!$L$1111),"")</f>
      </c>
      <c r="M1111" s="16">
        <f>IFERROR(IF([2]对账明细接口!$M$1111=0,"",[2]对账明细接口!$M$1111),"")</f>
      </c>
      <c r="N1111" s="19">
        <f>IF($C1111="",0,1)</f>
        <v>0</v>
      </c>
      <c r="O1111" s="19">
        <f>N(O1110)+$N1111</f>
        <v>272</v>
      </c>
      <c r="S1111" s="20">
        <f>IFERROR(IF([2]对账明细接口!$N1111=0,"",[2]对账明细接口!$N1111),"")</f>
      </c>
      <c r="T1111" s="212">
        <f>IFERROR(IF([2]对账明细接口!$O1111=0,"",[2]对账明细接口!$O1111),"")</f>
      </c>
      <c r="U1111" s="212">
        <f>IFERROR(IF([2]对账明细接口!$P1111=0,"",[2]对账明细接口!$P1111),"")</f>
      </c>
      <c r="V1111" s="212">
        <f>IFERROR(IF([2]对账明细接口!$Q1111=0,"",[2]对账明细接口!$Q1111),"")</f>
      </c>
      <c r="W1111" s="20">
        <f>IFERROR(IF([2]对账明细接口!$R1111=0,"",[2]对账明细接口!$R1111),"")</f>
      </c>
      <c r="X1111" s="20">
        <f>IFERROR(IF([2]对账明细接口!$S1111=0,"",[2]对账明细接口!$S1111),"")</f>
      </c>
      <c r="Y1111" s="20">
        <f>""</f>
      </c>
      <c r="Z1111" s="20">
        <f>""</f>
      </c>
      <c r="AA1111" s="20">
        <f>""</f>
      </c>
      <c r="AB1111" s="20">
        <f>""</f>
      </c>
    </row>
    <row r="1112" s="127">
      <c r="A1112" s="14" t="n">
        <v>1112</v>
      </c>
      <c r="B1112" s="211">
        <f>IFERROR(IF([2]对账明细接口!$B$1112=0,"",[2]对账明细接口!$B$1112),"")</f>
      </c>
      <c r="C1112" s="16">
        <f>IFERROR(IF([2]对账明细接口!$C$1112=0,"",[2]对账明细接口!$C$1112),"")</f>
      </c>
      <c r="D1112" s="16">
        <f>IFERROR(IF([2]对账明细接口!$D$1112=0,"",[2]对账明细接口!$D$1112),"")</f>
      </c>
      <c r="E1112" s="16">
        <f>IFERROR(IF([2]对账明细接口!$E$1112=0,"",[2]对账明细接口!$E$1112),"")</f>
      </c>
      <c r="F1112" s="16">
        <f>IFERROR(IF([2]对账明细接口!$F$1112=0,"",[2]对账明细接口!$F$1112),"")</f>
      </c>
      <c r="G1112" s="16">
        <f>IFERROR(IF([2]对账明细接口!$G$1112=0,"",[2]对账明细接口!$G$1112),"")</f>
      </c>
      <c r="H1112" s="176">
        <f>IFERROR(IF([2]对账明细接口!$H$1112=0,"",[2]对账明细接口!$H$1112),"")</f>
      </c>
      <c r="I1112" s="16">
        <f>IFERROR(IF([2]对账明细接口!$I$1112=0,"",[2]对账明细接口!$I$1112),"")</f>
      </c>
      <c r="J1112" s="177">
        <f>IFERROR(IF([2]对账明细接口!$J$1112=0,"",[2]对账明细接口!$J$1112),"")</f>
      </c>
      <c r="K1112" s="177">
        <f>IFERROR(IF([2]对账明细接口!$K$1112=0,"",[2]对账明细接口!$K$1112),"")</f>
      </c>
      <c r="L1112" s="16">
        <f>IFERROR(IF([2]对账明细接口!$L$1112=0,"",[2]对账明细接口!$L$1112),"")</f>
      </c>
      <c r="M1112" s="16">
        <f>IFERROR(IF([2]对账明细接口!$M$1112=0,"",[2]对账明细接口!$M$1112),"")</f>
      </c>
      <c r="N1112" s="19">
        <f>IF($C1112="",0,1)</f>
        <v>0</v>
      </c>
      <c r="O1112" s="19">
        <f>N(O1111)+$N1112</f>
        <v>272</v>
      </c>
      <c r="S1112" s="20">
        <f>IFERROR(IF([2]对账明细接口!$N1112=0,"",[2]对账明细接口!$N1112),"")</f>
      </c>
      <c r="T1112" s="212">
        <f>IFERROR(IF([2]对账明细接口!$O1112=0,"",[2]对账明细接口!$O1112),"")</f>
      </c>
      <c r="U1112" s="212">
        <f>IFERROR(IF([2]对账明细接口!$P1112=0,"",[2]对账明细接口!$P1112),"")</f>
      </c>
      <c r="V1112" s="212">
        <f>IFERROR(IF([2]对账明细接口!$Q1112=0,"",[2]对账明细接口!$Q1112),"")</f>
      </c>
      <c r="W1112" s="20">
        <f>IFERROR(IF([2]对账明细接口!$R1112=0,"",[2]对账明细接口!$R1112),"")</f>
      </c>
      <c r="X1112" s="20">
        <f>IFERROR(IF([2]对账明细接口!$S1112=0,"",[2]对账明细接口!$S1112),"")</f>
      </c>
      <c r="Y1112" s="20">
        <f>""</f>
      </c>
      <c r="Z1112" s="20">
        <f>""</f>
      </c>
      <c r="AA1112" s="20">
        <f>""</f>
      </c>
      <c r="AB1112" s="20">
        <f>""</f>
      </c>
    </row>
    <row r="1113" s="127">
      <c r="A1113" s="14" t="n">
        <v>1113</v>
      </c>
      <c r="B1113" s="211">
        <f>IFERROR(IF([2]对账明细接口!$B$1113=0,"",[2]对账明细接口!$B$1113),"")</f>
      </c>
      <c r="C1113" s="16">
        <f>IFERROR(IF([2]对账明细接口!$C$1113=0,"",[2]对账明细接口!$C$1113),"")</f>
      </c>
      <c r="D1113" s="16">
        <f>IFERROR(IF([2]对账明细接口!$D$1113=0,"",[2]对账明细接口!$D$1113),"")</f>
      </c>
      <c r="E1113" s="16">
        <f>IFERROR(IF([2]对账明细接口!$E$1113=0,"",[2]对账明细接口!$E$1113),"")</f>
      </c>
      <c r="F1113" s="16">
        <f>IFERROR(IF([2]对账明细接口!$F$1113=0,"",[2]对账明细接口!$F$1113),"")</f>
      </c>
      <c r="G1113" s="16">
        <f>IFERROR(IF([2]对账明细接口!$G$1113=0,"",[2]对账明细接口!$G$1113),"")</f>
      </c>
      <c r="H1113" s="176">
        <f>IFERROR(IF([2]对账明细接口!$H$1113=0,"",[2]对账明细接口!$H$1113),"")</f>
      </c>
      <c r="I1113" s="16">
        <f>IFERROR(IF([2]对账明细接口!$I$1113=0,"",[2]对账明细接口!$I$1113),"")</f>
      </c>
      <c r="J1113" s="177">
        <f>IFERROR(IF([2]对账明细接口!$J$1113=0,"",[2]对账明细接口!$J$1113),"")</f>
      </c>
      <c r="K1113" s="177">
        <f>IFERROR(IF([2]对账明细接口!$K$1113=0,"",[2]对账明细接口!$K$1113),"")</f>
      </c>
      <c r="L1113" s="16">
        <f>IFERROR(IF([2]对账明细接口!$L$1113=0,"",[2]对账明细接口!$L$1113),"")</f>
      </c>
      <c r="M1113" s="16">
        <f>IFERROR(IF([2]对账明细接口!$M$1113=0,"",[2]对账明细接口!$M$1113),"")</f>
      </c>
      <c r="N1113" s="19">
        <f>IF($C1113="",0,1)</f>
        <v>0</v>
      </c>
      <c r="O1113" s="19">
        <f>N(O1112)+$N1113</f>
        <v>272</v>
      </c>
      <c r="S1113" s="20">
        <f>IFERROR(IF([2]对账明细接口!$N1113=0,"",[2]对账明细接口!$N1113),"")</f>
      </c>
      <c r="T1113" s="212">
        <f>IFERROR(IF([2]对账明细接口!$O1113=0,"",[2]对账明细接口!$O1113),"")</f>
      </c>
      <c r="U1113" s="212">
        <f>IFERROR(IF([2]对账明细接口!$P1113=0,"",[2]对账明细接口!$P1113),"")</f>
      </c>
      <c r="V1113" s="212">
        <f>IFERROR(IF([2]对账明细接口!$Q1113=0,"",[2]对账明细接口!$Q1113),"")</f>
      </c>
      <c r="W1113" s="20">
        <f>IFERROR(IF([2]对账明细接口!$R1113=0,"",[2]对账明细接口!$R1113),"")</f>
      </c>
      <c r="X1113" s="20">
        <f>IFERROR(IF([2]对账明细接口!$S1113=0,"",[2]对账明细接口!$S1113),"")</f>
      </c>
      <c r="Y1113" s="20">
        <f>""</f>
      </c>
      <c r="Z1113" s="20">
        <f>""</f>
      </c>
      <c r="AA1113" s="20">
        <f>""</f>
      </c>
      <c r="AB1113" s="20">
        <f>""</f>
      </c>
    </row>
    <row r="1114" s="127">
      <c r="A1114" s="14" t="n">
        <v>1114</v>
      </c>
      <c r="B1114" s="211">
        <f>IFERROR(IF([2]对账明细接口!$B$1114=0,"",[2]对账明细接口!$B$1114),"")</f>
      </c>
      <c r="C1114" s="16">
        <f>IFERROR(IF([2]对账明细接口!$C$1114=0,"",[2]对账明细接口!$C$1114),"")</f>
      </c>
      <c r="D1114" s="16">
        <f>IFERROR(IF([2]对账明细接口!$D$1114=0,"",[2]对账明细接口!$D$1114),"")</f>
      </c>
      <c r="E1114" s="16">
        <f>IFERROR(IF([2]对账明细接口!$E$1114=0,"",[2]对账明细接口!$E$1114),"")</f>
      </c>
      <c r="F1114" s="16">
        <f>IFERROR(IF([2]对账明细接口!$F$1114=0,"",[2]对账明细接口!$F$1114),"")</f>
      </c>
      <c r="G1114" s="16">
        <f>IFERROR(IF([2]对账明细接口!$G$1114=0,"",[2]对账明细接口!$G$1114),"")</f>
      </c>
      <c r="H1114" s="176">
        <f>IFERROR(IF([2]对账明细接口!$H$1114=0,"",[2]对账明细接口!$H$1114),"")</f>
      </c>
      <c r="I1114" s="16">
        <f>IFERROR(IF([2]对账明细接口!$I$1114=0,"",[2]对账明细接口!$I$1114),"")</f>
      </c>
      <c r="J1114" s="177">
        <f>IFERROR(IF([2]对账明细接口!$J$1114=0,"",[2]对账明细接口!$J$1114),"")</f>
      </c>
      <c r="K1114" s="177">
        <f>IFERROR(IF([2]对账明细接口!$K$1114=0,"",[2]对账明细接口!$K$1114),"")</f>
      </c>
      <c r="L1114" s="16">
        <f>IFERROR(IF([2]对账明细接口!$L$1114=0,"",[2]对账明细接口!$L$1114),"")</f>
      </c>
      <c r="M1114" s="16">
        <f>IFERROR(IF([2]对账明细接口!$M$1114=0,"",[2]对账明细接口!$M$1114),"")</f>
      </c>
      <c r="N1114" s="19">
        <f>IF($C1114="",0,1)</f>
        <v>0</v>
      </c>
      <c r="O1114" s="19">
        <f>N(O1113)+$N1114</f>
        <v>272</v>
      </c>
      <c r="S1114" s="20">
        <f>IFERROR(IF([2]对账明细接口!$N1114=0,"",[2]对账明细接口!$N1114),"")</f>
      </c>
      <c r="T1114" s="212">
        <f>IFERROR(IF([2]对账明细接口!$O1114=0,"",[2]对账明细接口!$O1114),"")</f>
      </c>
      <c r="U1114" s="212">
        <f>IFERROR(IF([2]对账明细接口!$P1114=0,"",[2]对账明细接口!$P1114),"")</f>
      </c>
      <c r="V1114" s="212">
        <f>IFERROR(IF([2]对账明细接口!$Q1114=0,"",[2]对账明细接口!$Q1114),"")</f>
      </c>
      <c r="W1114" s="20">
        <f>IFERROR(IF([2]对账明细接口!$R1114=0,"",[2]对账明细接口!$R1114),"")</f>
      </c>
      <c r="X1114" s="20">
        <f>IFERROR(IF([2]对账明细接口!$S1114=0,"",[2]对账明细接口!$S1114),"")</f>
      </c>
      <c r="Y1114" s="20">
        <f>""</f>
      </c>
      <c r="Z1114" s="20">
        <f>""</f>
      </c>
      <c r="AA1114" s="20">
        <f>""</f>
      </c>
      <c r="AB1114" s="20">
        <f>""</f>
      </c>
    </row>
    <row r="1115" s="127">
      <c r="A1115" s="14" t="n">
        <v>1115</v>
      </c>
      <c r="B1115" s="211">
        <f>IFERROR(IF([2]对账明细接口!$B$1115=0,"",[2]对账明细接口!$B$1115),"")</f>
      </c>
      <c r="C1115" s="16">
        <f>IFERROR(IF([2]对账明细接口!$C$1115=0,"",[2]对账明细接口!$C$1115),"")</f>
      </c>
      <c r="D1115" s="16">
        <f>IFERROR(IF([2]对账明细接口!$D$1115=0,"",[2]对账明细接口!$D$1115),"")</f>
      </c>
      <c r="E1115" s="16">
        <f>IFERROR(IF([2]对账明细接口!$E$1115=0,"",[2]对账明细接口!$E$1115),"")</f>
      </c>
      <c r="F1115" s="16">
        <f>IFERROR(IF([2]对账明细接口!$F$1115=0,"",[2]对账明细接口!$F$1115),"")</f>
      </c>
      <c r="G1115" s="16">
        <f>IFERROR(IF([2]对账明细接口!$G$1115=0,"",[2]对账明细接口!$G$1115),"")</f>
      </c>
      <c r="H1115" s="176">
        <f>IFERROR(IF([2]对账明细接口!$H$1115=0,"",[2]对账明细接口!$H$1115),"")</f>
      </c>
      <c r="I1115" s="16">
        <f>IFERROR(IF([2]对账明细接口!$I$1115=0,"",[2]对账明细接口!$I$1115),"")</f>
      </c>
      <c r="J1115" s="177">
        <f>IFERROR(IF([2]对账明细接口!$J$1115=0,"",[2]对账明细接口!$J$1115),"")</f>
      </c>
      <c r="K1115" s="177">
        <f>IFERROR(IF([2]对账明细接口!$K$1115=0,"",[2]对账明细接口!$K$1115),"")</f>
      </c>
      <c r="L1115" s="16">
        <f>IFERROR(IF([2]对账明细接口!$L$1115=0,"",[2]对账明细接口!$L$1115),"")</f>
      </c>
      <c r="M1115" s="16">
        <f>IFERROR(IF([2]对账明细接口!$M$1115=0,"",[2]对账明细接口!$M$1115),"")</f>
      </c>
      <c r="N1115" s="19">
        <f>IF($C1115="",0,1)</f>
        <v>0</v>
      </c>
      <c r="O1115" s="19">
        <f>N(O1114)+$N1115</f>
        <v>272</v>
      </c>
      <c r="S1115" s="20">
        <f>IFERROR(IF([2]对账明细接口!$N1115=0,"",[2]对账明细接口!$N1115),"")</f>
      </c>
      <c r="T1115" s="212">
        <f>IFERROR(IF([2]对账明细接口!$O1115=0,"",[2]对账明细接口!$O1115),"")</f>
      </c>
      <c r="U1115" s="212">
        <f>IFERROR(IF([2]对账明细接口!$P1115=0,"",[2]对账明细接口!$P1115),"")</f>
      </c>
      <c r="V1115" s="212">
        <f>IFERROR(IF([2]对账明细接口!$Q1115=0,"",[2]对账明细接口!$Q1115),"")</f>
      </c>
      <c r="W1115" s="20">
        <f>IFERROR(IF([2]对账明细接口!$R1115=0,"",[2]对账明细接口!$R1115),"")</f>
      </c>
      <c r="X1115" s="20">
        <f>IFERROR(IF([2]对账明细接口!$S1115=0,"",[2]对账明细接口!$S1115),"")</f>
      </c>
      <c r="Y1115" s="20">
        <f>""</f>
      </c>
      <c r="Z1115" s="20">
        <f>""</f>
      </c>
      <c r="AA1115" s="20">
        <f>""</f>
      </c>
      <c r="AB1115" s="20">
        <f>""</f>
      </c>
    </row>
    <row r="1116" s="127">
      <c r="A1116" s="14" t="n">
        <v>1116</v>
      </c>
      <c r="B1116" s="211">
        <f>IFERROR(IF([2]对账明细接口!$B$1116=0,"",[2]对账明细接口!$B$1116),"")</f>
      </c>
      <c r="C1116" s="16">
        <f>IFERROR(IF([2]对账明细接口!$C$1116=0,"",[2]对账明细接口!$C$1116),"")</f>
      </c>
      <c r="D1116" s="16">
        <f>IFERROR(IF([2]对账明细接口!$D$1116=0,"",[2]对账明细接口!$D$1116),"")</f>
      </c>
      <c r="E1116" s="16">
        <f>IFERROR(IF([2]对账明细接口!$E$1116=0,"",[2]对账明细接口!$E$1116),"")</f>
      </c>
      <c r="F1116" s="16">
        <f>IFERROR(IF([2]对账明细接口!$F$1116=0,"",[2]对账明细接口!$F$1116),"")</f>
      </c>
      <c r="G1116" s="16">
        <f>IFERROR(IF([2]对账明细接口!$G$1116=0,"",[2]对账明细接口!$G$1116),"")</f>
      </c>
      <c r="H1116" s="176">
        <f>IFERROR(IF([2]对账明细接口!$H$1116=0,"",[2]对账明细接口!$H$1116),"")</f>
      </c>
      <c r="I1116" s="16">
        <f>IFERROR(IF([2]对账明细接口!$I$1116=0,"",[2]对账明细接口!$I$1116),"")</f>
      </c>
      <c r="J1116" s="177">
        <f>IFERROR(IF([2]对账明细接口!$J$1116=0,"",[2]对账明细接口!$J$1116),"")</f>
      </c>
      <c r="K1116" s="177">
        <f>IFERROR(IF([2]对账明细接口!$K$1116=0,"",[2]对账明细接口!$K$1116),"")</f>
      </c>
      <c r="L1116" s="16">
        <f>IFERROR(IF([2]对账明细接口!$L$1116=0,"",[2]对账明细接口!$L$1116),"")</f>
      </c>
      <c r="M1116" s="16">
        <f>IFERROR(IF([2]对账明细接口!$M$1116=0,"",[2]对账明细接口!$M$1116),"")</f>
      </c>
      <c r="N1116" s="19">
        <f>IF($C1116="",0,1)</f>
        <v>0</v>
      </c>
      <c r="O1116" s="19">
        <f>N(O1115)+$N1116</f>
        <v>272</v>
      </c>
      <c r="S1116" s="20">
        <f>IFERROR(IF([2]对账明细接口!$N1116=0,"",[2]对账明细接口!$N1116),"")</f>
      </c>
      <c r="T1116" s="212">
        <f>IFERROR(IF([2]对账明细接口!$O1116=0,"",[2]对账明细接口!$O1116),"")</f>
      </c>
      <c r="U1116" s="212">
        <f>IFERROR(IF([2]对账明细接口!$P1116=0,"",[2]对账明细接口!$P1116),"")</f>
      </c>
      <c r="V1116" s="212">
        <f>IFERROR(IF([2]对账明细接口!$Q1116=0,"",[2]对账明细接口!$Q1116),"")</f>
      </c>
      <c r="W1116" s="20">
        <f>IFERROR(IF([2]对账明细接口!$R1116=0,"",[2]对账明细接口!$R1116),"")</f>
      </c>
      <c r="X1116" s="20">
        <f>IFERROR(IF([2]对账明细接口!$S1116=0,"",[2]对账明细接口!$S1116),"")</f>
      </c>
      <c r="Y1116" s="20">
        <f>""</f>
      </c>
      <c r="Z1116" s="20">
        <f>""</f>
      </c>
      <c r="AA1116" s="20">
        <f>""</f>
      </c>
      <c r="AB1116" s="20">
        <f>""</f>
      </c>
    </row>
    <row r="1117" s="127">
      <c r="A1117" s="14" t="n">
        <v>1117</v>
      </c>
      <c r="B1117" s="211">
        <f>IFERROR(IF([2]对账明细接口!$B$1117=0,"",[2]对账明细接口!$B$1117),"")</f>
      </c>
      <c r="C1117" s="16">
        <f>IFERROR(IF([2]对账明细接口!$C$1117=0,"",[2]对账明细接口!$C$1117),"")</f>
      </c>
      <c r="D1117" s="16">
        <f>IFERROR(IF([2]对账明细接口!$D$1117=0,"",[2]对账明细接口!$D$1117),"")</f>
      </c>
      <c r="E1117" s="16">
        <f>IFERROR(IF([2]对账明细接口!$E$1117=0,"",[2]对账明细接口!$E$1117),"")</f>
      </c>
      <c r="F1117" s="16">
        <f>IFERROR(IF([2]对账明细接口!$F$1117=0,"",[2]对账明细接口!$F$1117),"")</f>
      </c>
      <c r="G1117" s="16">
        <f>IFERROR(IF([2]对账明细接口!$G$1117=0,"",[2]对账明细接口!$G$1117),"")</f>
      </c>
      <c r="H1117" s="176">
        <f>IFERROR(IF([2]对账明细接口!$H$1117=0,"",[2]对账明细接口!$H$1117),"")</f>
      </c>
      <c r="I1117" s="16">
        <f>IFERROR(IF([2]对账明细接口!$I$1117=0,"",[2]对账明细接口!$I$1117),"")</f>
      </c>
      <c r="J1117" s="177">
        <f>IFERROR(IF([2]对账明细接口!$J$1117=0,"",[2]对账明细接口!$J$1117),"")</f>
      </c>
      <c r="K1117" s="177">
        <f>IFERROR(IF([2]对账明细接口!$K$1117=0,"",[2]对账明细接口!$K$1117),"")</f>
      </c>
      <c r="L1117" s="16">
        <f>IFERROR(IF([2]对账明细接口!$L$1117=0,"",[2]对账明细接口!$L$1117),"")</f>
      </c>
      <c r="M1117" s="16">
        <f>IFERROR(IF([2]对账明细接口!$M$1117=0,"",[2]对账明细接口!$M$1117),"")</f>
      </c>
      <c r="N1117" s="19">
        <f>IF($C1117="",0,1)</f>
        <v>0</v>
      </c>
      <c r="O1117" s="19">
        <f>N(O1116)+$N1117</f>
        <v>272</v>
      </c>
      <c r="S1117" s="20">
        <f>IFERROR(IF([2]对账明细接口!$N1117=0,"",[2]对账明细接口!$N1117),"")</f>
      </c>
      <c r="T1117" s="212">
        <f>IFERROR(IF([2]对账明细接口!$O1117=0,"",[2]对账明细接口!$O1117),"")</f>
      </c>
      <c r="U1117" s="212">
        <f>IFERROR(IF([2]对账明细接口!$P1117=0,"",[2]对账明细接口!$P1117),"")</f>
      </c>
      <c r="V1117" s="212">
        <f>IFERROR(IF([2]对账明细接口!$Q1117=0,"",[2]对账明细接口!$Q1117),"")</f>
      </c>
      <c r="W1117" s="20">
        <f>IFERROR(IF([2]对账明细接口!$R1117=0,"",[2]对账明细接口!$R1117),"")</f>
      </c>
      <c r="X1117" s="20">
        <f>IFERROR(IF([2]对账明细接口!$S1117=0,"",[2]对账明细接口!$S1117),"")</f>
      </c>
      <c r="Y1117" s="20">
        <f>""</f>
      </c>
      <c r="Z1117" s="20">
        <f>""</f>
      </c>
      <c r="AA1117" s="20">
        <f>""</f>
      </c>
      <c r="AB1117" s="20">
        <f>""</f>
      </c>
    </row>
    <row r="1118" s="127">
      <c r="A1118" s="14" t="n">
        <v>1118</v>
      </c>
      <c r="B1118" s="211">
        <f>IFERROR(IF([2]对账明细接口!$B$1118=0,"",[2]对账明细接口!$B$1118),"")</f>
      </c>
      <c r="C1118" s="16">
        <f>IFERROR(IF([2]对账明细接口!$C$1118=0,"",[2]对账明细接口!$C$1118),"")</f>
      </c>
      <c r="D1118" s="16">
        <f>IFERROR(IF([2]对账明细接口!$D$1118=0,"",[2]对账明细接口!$D$1118),"")</f>
      </c>
      <c r="E1118" s="16">
        <f>IFERROR(IF([2]对账明细接口!$E$1118=0,"",[2]对账明细接口!$E$1118),"")</f>
      </c>
      <c r="F1118" s="16">
        <f>IFERROR(IF([2]对账明细接口!$F$1118=0,"",[2]对账明细接口!$F$1118),"")</f>
      </c>
      <c r="G1118" s="16">
        <f>IFERROR(IF([2]对账明细接口!$G$1118=0,"",[2]对账明细接口!$G$1118),"")</f>
      </c>
      <c r="H1118" s="176">
        <f>IFERROR(IF([2]对账明细接口!$H$1118=0,"",[2]对账明细接口!$H$1118),"")</f>
      </c>
      <c r="I1118" s="16">
        <f>IFERROR(IF([2]对账明细接口!$I$1118=0,"",[2]对账明细接口!$I$1118),"")</f>
      </c>
      <c r="J1118" s="177">
        <f>IFERROR(IF([2]对账明细接口!$J$1118=0,"",[2]对账明细接口!$J$1118),"")</f>
      </c>
      <c r="K1118" s="177">
        <f>IFERROR(IF([2]对账明细接口!$K$1118=0,"",[2]对账明细接口!$K$1118),"")</f>
      </c>
      <c r="L1118" s="16">
        <f>IFERROR(IF([2]对账明细接口!$L$1118=0,"",[2]对账明细接口!$L$1118),"")</f>
      </c>
      <c r="M1118" s="16">
        <f>IFERROR(IF([2]对账明细接口!$M$1118=0,"",[2]对账明细接口!$M$1118),"")</f>
      </c>
      <c r="N1118" s="19">
        <f>IF($C1118="",0,1)</f>
        <v>0</v>
      </c>
      <c r="O1118" s="19">
        <f>N(O1117)+$N1118</f>
        <v>272</v>
      </c>
      <c r="S1118" s="20">
        <f>IFERROR(IF([2]对账明细接口!$N1118=0,"",[2]对账明细接口!$N1118),"")</f>
      </c>
      <c r="T1118" s="212">
        <f>IFERROR(IF([2]对账明细接口!$O1118=0,"",[2]对账明细接口!$O1118),"")</f>
      </c>
      <c r="U1118" s="212">
        <f>IFERROR(IF([2]对账明细接口!$P1118=0,"",[2]对账明细接口!$P1118),"")</f>
      </c>
      <c r="V1118" s="212">
        <f>IFERROR(IF([2]对账明细接口!$Q1118=0,"",[2]对账明细接口!$Q1118),"")</f>
      </c>
      <c r="W1118" s="20">
        <f>IFERROR(IF([2]对账明细接口!$R1118=0,"",[2]对账明细接口!$R1118),"")</f>
      </c>
      <c r="X1118" s="20">
        <f>IFERROR(IF([2]对账明细接口!$S1118=0,"",[2]对账明细接口!$S1118),"")</f>
      </c>
      <c r="Y1118" s="20">
        <f>""</f>
      </c>
      <c r="Z1118" s="20">
        <f>""</f>
      </c>
      <c r="AA1118" s="20">
        <f>""</f>
      </c>
      <c r="AB1118" s="20">
        <f>""</f>
      </c>
    </row>
    <row r="1119" s="127">
      <c r="A1119" s="14" t="n">
        <v>1119</v>
      </c>
      <c r="B1119" s="211">
        <f>IFERROR(IF([2]对账明细接口!$B$1119=0,"",[2]对账明细接口!$B$1119),"")</f>
      </c>
      <c r="C1119" s="16">
        <f>IFERROR(IF([2]对账明细接口!$C$1119=0,"",[2]对账明细接口!$C$1119),"")</f>
      </c>
      <c r="D1119" s="16">
        <f>IFERROR(IF([2]对账明细接口!$D$1119=0,"",[2]对账明细接口!$D$1119),"")</f>
      </c>
      <c r="E1119" s="16">
        <f>IFERROR(IF([2]对账明细接口!$E$1119=0,"",[2]对账明细接口!$E$1119),"")</f>
      </c>
      <c r="F1119" s="16">
        <f>IFERROR(IF([2]对账明细接口!$F$1119=0,"",[2]对账明细接口!$F$1119),"")</f>
      </c>
      <c r="G1119" s="16">
        <f>IFERROR(IF([2]对账明细接口!$G$1119=0,"",[2]对账明细接口!$G$1119),"")</f>
      </c>
      <c r="H1119" s="176">
        <f>IFERROR(IF([2]对账明细接口!$H$1119=0,"",[2]对账明细接口!$H$1119),"")</f>
      </c>
      <c r="I1119" s="16">
        <f>IFERROR(IF([2]对账明细接口!$I$1119=0,"",[2]对账明细接口!$I$1119),"")</f>
      </c>
      <c r="J1119" s="177">
        <f>IFERROR(IF([2]对账明细接口!$J$1119=0,"",[2]对账明细接口!$J$1119),"")</f>
      </c>
      <c r="K1119" s="177">
        <f>IFERROR(IF([2]对账明细接口!$K$1119=0,"",[2]对账明细接口!$K$1119),"")</f>
      </c>
      <c r="L1119" s="16">
        <f>IFERROR(IF([2]对账明细接口!$L$1119=0,"",[2]对账明细接口!$L$1119),"")</f>
      </c>
      <c r="M1119" s="16">
        <f>IFERROR(IF([2]对账明细接口!$M$1119=0,"",[2]对账明细接口!$M$1119),"")</f>
      </c>
      <c r="N1119" s="19">
        <f>IF($C1119="",0,1)</f>
        <v>0</v>
      </c>
      <c r="O1119" s="19">
        <f>N(O1118)+$N1119</f>
        <v>272</v>
      </c>
      <c r="S1119" s="20">
        <f>IFERROR(IF([2]对账明细接口!$N1119=0,"",[2]对账明细接口!$N1119),"")</f>
      </c>
      <c r="T1119" s="212">
        <f>IFERROR(IF([2]对账明细接口!$O1119=0,"",[2]对账明细接口!$O1119),"")</f>
      </c>
      <c r="U1119" s="212">
        <f>IFERROR(IF([2]对账明细接口!$P1119=0,"",[2]对账明细接口!$P1119),"")</f>
      </c>
      <c r="V1119" s="212">
        <f>IFERROR(IF([2]对账明细接口!$Q1119=0,"",[2]对账明细接口!$Q1119),"")</f>
      </c>
      <c r="W1119" s="20">
        <f>IFERROR(IF([2]对账明细接口!$R1119=0,"",[2]对账明细接口!$R1119),"")</f>
      </c>
      <c r="X1119" s="20">
        <f>IFERROR(IF([2]对账明细接口!$S1119=0,"",[2]对账明细接口!$S1119),"")</f>
      </c>
      <c r="Y1119" s="20">
        <f>""</f>
      </c>
      <c r="Z1119" s="20">
        <f>""</f>
      </c>
      <c r="AA1119" s="20">
        <f>""</f>
      </c>
      <c r="AB1119" s="20">
        <f>""</f>
      </c>
    </row>
    <row r="1120" s="127">
      <c r="A1120" s="14" t="n">
        <v>1120</v>
      </c>
      <c r="B1120" s="211">
        <f>IFERROR(IF([2]对账明细接口!$B$1120=0,"",[2]对账明细接口!$B$1120),"")</f>
      </c>
      <c r="C1120" s="16">
        <f>IFERROR(IF([2]对账明细接口!$C$1120=0,"",[2]对账明细接口!$C$1120),"")</f>
      </c>
      <c r="D1120" s="16">
        <f>IFERROR(IF([2]对账明细接口!$D$1120=0,"",[2]对账明细接口!$D$1120),"")</f>
      </c>
      <c r="E1120" s="16">
        <f>IFERROR(IF([2]对账明细接口!$E$1120=0,"",[2]对账明细接口!$E$1120),"")</f>
      </c>
      <c r="F1120" s="16">
        <f>IFERROR(IF([2]对账明细接口!$F$1120=0,"",[2]对账明细接口!$F$1120),"")</f>
      </c>
      <c r="G1120" s="16">
        <f>IFERROR(IF([2]对账明细接口!$G$1120=0,"",[2]对账明细接口!$G$1120),"")</f>
      </c>
      <c r="H1120" s="176">
        <f>IFERROR(IF([2]对账明细接口!$H$1120=0,"",[2]对账明细接口!$H$1120),"")</f>
      </c>
      <c r="I1120" s="16">
        <f>IFERROR(IF([2]对账明细接口!$I$1120=0,"",[2]对账明细接口!$I$1120),"")</f>
      </c>
      <c r="J1120" s="177">
        <f>IFERROR(IF([2]对账明细接口!$J$1120=0,"",[2]对账明细接口!$J$1120),"")</f>
      </c>
      <c r="K1120" s="177">
        <f>IFERROR(IF([2]对账明细接口!$K$1120=0,"",[2]对账明细接口!$K$1120),"")</f>
      </c>
      <c r="L1120" s="16">
        <f>IFERROR(IF([2]对账明细接口!$L$1120=0,"",[2]对账明细接口!$L$1120),"")</f>
      </c>
      <c r="M1120" s="16">
        <f>IFERROR(IF([2]对账明细接口!$M$1120=0,"",[2]对账明细接口!$M$1120),"")</f>
      </c>
      <c r="N1120" s="19">
        <f>IF($C1120="",0,1)</f>
        <v>0</v>
      </c>
      <c r="O1120" s="19">
        <f>N(O1119)+$N1120</f>
        <v>272</v>
      </c>
      <c r="S1120" s="20">
        <f>IFERROR(IF([2]对账明细接口!$N1120=0,"",[2]对账明细接口!$N1120),"")</f>
      </c>
      <c r="T1120" s="212">
        <f>IFERROR(IF([2]对账明细接口!$O1120=0,"",[2]对账明细接口!$O1120),"")</f>
      </c>
      <c r="U1120" s="212">
        <f>IFERROR(IF([2]对账明细接口!$P1120=0,"",[2]对账明细接口!$P1120),"")</f>
      </c>
      <c r="V1120" s="212">
        <f>IFERROR(IF([2]对账明细接口!$Q1120=0,"",[2]对账明细接口!$Q1120),"")</f>
      </c>
      <c r="W1120" s="20">
        <f>IFERROR(IF([2]对账明细接口!$R1120=0,"",[2]对账明细接口!$R1120),"")</f>
      </c>
      <c r="X1120" s="20">
        <f>IFERROR(IF([2]对账明细接口!$S1120=0,"",[2]对账明细接口!$S1120),"")</f>
      </c>
      <c r="Y1120" s="20">
        <f>""</f>
      </c>
      <c r="Z1120" s="20">
        <f>""</f>
      </c>
      <c r="AA1120" s="20">
        <f>""</f>
      </c>
      <c r="AB1120" s="20">
        <f>""</f>
      </c>
    </row>
    <row r="1121" s="127">
      <c r="A1121" s="14" t="n">
        <v>1121</v>
      </c>
      <c r="B1121" s="211">
        <f>IFERROR(IF([2]对账明细接口!$B$1121=0,"",[2]对账明细接口!$B$1121),"")</f>
      </c>
      <c r="C1121" s="16">
        <f>IFERROR(IF([2]对账明细接口!$C$1121=0,"",[2]对账明细接口!$C$1121),"")</f>
      </c>
      <c r="D1121" s="16">
        <f>IFERROR(IF([2]对账明细接口!$D$1121=0,"",[2]对账明细接口!$D$1121),"")</f>
      </c>
      <c r="E1121" s="16">
        <f>IFERROR(IF([2]对账明细接口!$E$1121=0,"",[2]对账明细接口!$E$1121),"")</f>
      </c>
      <c r="F1121" s="16">
        <f>IFERROR(IF([2]对账明细接口!$F$1121=0,"",[2]对账明细接口!$F$1121),"")</f>
      </c>
      <c r="G1121" s="16">
        <f>IFERROR(IF([2]对账明细接口!$G$1121=0,"",[2]对账明细接口!$G$1121),"")</f>
      </c>
      <c r="H1121" s="176">
        <f>IFERROR(IF([2]对账明细接口!$H$1121=0,"",[2]对账明细接口!$H$1121),"")</f>
      </c>
      <c r="I1121" s="16">
        <f>IFERROR(IF([2]对账明细接口!$I$1121=0,"",[2]对账明细接口!$I$1121),"")</f>
      </c>
      <c r="J1121" s="177">
        <f>IFERROR(IF([2]对账明细接口!$J$1121=0,"",[2]对账明细接口!$J$1121),"")</f>
      </c>
      <c r="K1121" s="177">
        <f>IFERROR(IF([2]对账明细接口!$K$1121=0,"",[2]对账明细接口!$K$1121),"")</f>
      </c>
      <c r="L1121" s="16">
        <f>IFERROR(IF([2]对账明细接口!$L$1121=0,"",[2]对账明细接口!$L$1121),"")</f>
      </c>
      <c r="M1121" s="16">
        <f>IFERROR(IF([2]对账明细接口!$M$1121=0,"",[2]对账明细接口!$M$1121),"")</f>
      </c>
      <c r="N1121" s="19">
        <f>IF($C1121="",0,1)</f>
        <v>0</v>
      </c>
      <c r="O1121" s="19">
        <f>N(O1120)+$N1121</f>
        <v>272</v>
      </c>
      <c r="S1121" s="20">
        <f>IFERROR(IF([2]对账明细接口!$N1121=0,"",[2]对账明细接口!$N1121),"")</f>
      </c>
      <c r="T1121" s="212">
        <f>IFERROR(IF([2]对账明细接口!$O1121=0,"",[2]对账明细接口!$O1121),"")</f>
      </c>
      <c r="U1121" s="212">
        <f>IFERROR(IF([2]对账明细接口!$P1121=0,"",[2]对账明细接口!$P1121),"")</f>
      </c>
      <c r="V1121" s="212">
        <f>IFERROR(IF([2]对账明细接口!$Q1121=0,"",[2]对账明细接口!$Q1121),"")</f>
      </c>
      <c r="W1121" s="20">
        <f>IFERROR(IF([2]对账明细接口!$R1121=0,"",[2]对账明细接口!$R1121),"")</f>
      </c>
      <c r="X1121" s="20">
        <f>IFERROR(IF([2]对账明细接口!$S1121=0,"",[2]对账明细接口!$S1121),"")</f>
      </c>
      <c r="Y1121" s="20">
        <f>""</f>
      </c>
      <c r="Z1121" s="20">
        <f>""</f>
      </c>
      <c r="AA1121" s="20">
        <f>""</f>
      </c>
      <c r="AB1121" s="20">
        <f>""</f>
      </c>
    </row>
    <row r="1122" s="127">
      <c r="A1122" s="14" t="n">
        <v>1122</v>
      </c>
      <c r="B1122" s="211">
        <f>IFERROR(IF([2]对账明细接口!$B$1122=0,"",[2]对账明细接口!$B$1122),"")</f>
      </c>
      <c r="C1122" s="16">
        <f>IFERROR(IF([2]对账明细接口!$C$1122=0,"",[2]对账明细接口!$C$1122),"")</f>
      </c>
      <c r="D1122" s="16">
        <f>IFERROR(IF([2]对账明细接口!$D$1122=0,"",[2]对账明细接口!$D$1122),"")</f>
      </c>
      <c r="E1122" s="16">
        <f>IFERROR(IF([2]对账明细接口!$E$1122=0,"",[2]对账明细接口!$E$1122),"")</f>
      </c>
      <c r="F1122" s="16">
        <f>IFERROR(IF([2]对账明细接口!$F$1122=0,"",[2]对账明细接口!$F$1122),"")</f>
      </c>
      <c r="G1122" s="16">
        <f>IFERROR(IF([2]对账明细接口!$G$1122=0,"",[2]对账明细接口!$G$1122),"")</f>
      </c>
      <c r="H1122" s="176">
        <f>IFERROR(IF([2]对账明细接口!$H$1122=0,"",[2]对账明细接口!$H$1122),"")</f>
      </c>
      <c r="I1122" s="16">
        <f>IFERROR(IF([2]对账明细接口!$I$1122=0,"",[2]对账明细接口!$I$1122),"")</f>
      </c>
      <c r="J1122" s="177">
        <f>IFERROR(IF([2]对账明细接口!$J$1122=0,"",[2]对账明细接口!$J$1122),"")</f>
      </c>
      <c r="K1122" s="177">
        <f>IFERROR(IF([2]对账明细接口!$K$1122=0,"",[2]对账明细接口!$K$1122),"")</f>
      </c>
      <c r="L1122" s="16">
        <f>IFERROR(IF([2]对账明细接口!$L$1122=0,"",[2]对账明细接口!$L$1122),"")</f>
      </c>
      <c r="M1122" s="16">
        <f>IFERROR(IF([2]对账明细接口!$M$1122=0,"",[2]对账明细接口!$M$1122),"")</f>
      </c>
      <c r="N1122" s="19">
        <f>IF($C1122="",0,1)</f>
        <v>0</v>
      </c>
      <c r="O1122" s="19">
        <f>N(O1121)+$N1122</f>
        <v>272</v>
      </c>
      <c r="S1122" s="20">
        <f>IFERROR(IF([2]对账明细接口!$N1122=0,"",[2]对账明细接口!$N1122),"")</f>
      </c>
      <c r="T1122" s="212">
        <f>IFERROR(IF([2]对账明细接口!$O1122=0,"",[2]对账明细接口!$O1122),"")</f>
      </c>
      <c r="U1122" s="212">
        <f>IFERROR(IF([2]对账明细接口!$P1122=0,"",[2]对账明细接口!$P1122),"")</f>
      </c>
      <c r="V1122" s="212">
        <f>IFERROR(IF([2]对账明细接口!$Q1122=0,"",[2]对账明细接口!$Q1122),"")</f>
      </c>
      <c r="W1122" s="20">
        <f>IFERROR(IF([2]对账明细接口!$R1122=0,"",[2]对账明细接口!$R1122),"")</f>
      </c>
      <c r="X1122" s="20">
        <f>IFERROR(IF([2]对账明细接口!$S1122=0,"",[2]对账明细接口!$S1122),"")</f>
      </c>
      <c r="Y1122" s="20">
        <f>""</f>
      </c>
      <c r="Z1122" s="20">
        <f>""</f>
      </c>
      <c r="AA1122" s="20">
        <f>""</f>
      </c>
      <c r="AB1122" s="20">
        <f>""</f>
      </c>
    </row>
    <row r="1123" s="127">
      <c r="A1123" s="14" t="n">
        <v>1123</v>
      </c>
      <c r="B1123" s="211">
        <f>IFERROR(IF([2]对账明细接口!$B$1123=0,"",[2]对账明细接口!$B$1123),"")</f>
      </c>
      <c r="C1123" s="16">
        <f>IFERROR(IF([2]对账明细接口!$C$1123=0,"",[2]对账明细接口!$C$1123),"")</f>
      </c>
      <c r="D1123" s="16">
        <f>IFERROR(IF([2]对账明细接口!$D$1123=0,"",[2]对账明细接口!$D$1123),"")</f>
      </c>
      <c r="E1123" s="16">
        <f>IFERROR(IF([2]对账明细接口!$E$1123=0,"",[2]对账明细接口!$E$1123),"")</f>
      </c>
      <c r="F1123" s="16">
        <f>IFERROR(IF([2]对账明细接口!$F$1123=0,"",[2]对账明细接口!$F$1123),"")</f>
      </c>
      <c r="G1123" s="16">
        <f>IFERROR(IF([2]对账明细接口!$G$1123=0,"",[2]对账明细接口!$G$1123),"")</f>
      </c>
      <c r="H1123" s="176">
        <f>IFERROR(IF([2]对账明细接口!$H$1123=0,"",[2]对账明细接口!$H$1123),"")</f>
      </c>
      <c r="I1123" s="16">
        <f>IFERROR(IF([2]对账明细接口!$I$1123=0,"",[2]对账明细接口!$I$1123),"")</f>
      </c>
      <c r="J1123" s="177">
        <f>IFERROR(IF([2]对账明细接口!$J$1123=0,"",[2]对账明细接口!$J$1123),"")</f>
      </c>
      <c r="K1123" s="177">
        <f>IFERROR(IF([2]对账明细接口!$K$1123=0,"",[2]对账明细接口!$K$1123),"")</f>
      </c>
      <c r="L1123" s="16">
        <f>IFERROR(IF([2]对账明细接口!$L$1123=0,"",[2]对账明细接口!$L$1123),"")</f>
      </c>
      <c r="M1123" s="16">
        <f>IFERROR(IF([2]对账明细接口!$M$1123=0,"",[2]对账明细接口!$M$1123),"")</f>
      </c>
      <c r="N1123" s="19">
        <f>IF($C1123="",0,1)</f>
        <v>0</v>
      </c>
      <c r="O1123" s="19">
        <f>N(O1122)+$N1123</f>
        <v>272</v>
      </c>
      <c r="S1123" s="20">
        <f>IFERROR(IF([2]对账明细接口!$N1123=0,"",[2]对账明细接口!$N1123),"")</f>
      </c>
      <c r="T1123" s="212">
        <f>IFERROR(IF([2]对账明细接口!$O1123=0,"",[2]对账明细接口!$O1123),"")</f>
      </c>
      <c r="U1123" s="212">
        <f>IFERROR(IF([2]对账明细接口!$P1123=0,"",[2]对账明细接口!$P1123),"")</f>
      </c>
      <c r="V1123" s="212">
        <f>IFERROR(IF([2]对账明细接口!$Q1123=0,"",[2]对账明细接口!$Q1123),"")</f>
      </c>
      <c r="W1123" s="20">
        <f>IFERROR(IF([2]对账明细接口!$R1123=0,"",[2]对账明细接口!$R1123),"")</f>
      </c>
      <c r="X1123" s="20">
        <f>IFERROR(IF([2]对账明细接口!$S1123=0,"",[2]对账明细接口!$S1123),"")</f>
      </c>
      <c r="Y1123" s="20">
        <f>""</f>
      </c>
      <c r="Z1123" s="20">
        <f>""</f>
      </c>
      <c r="AA1123" s="20">
        <f>""</f>
      </c>
      <c r="AB1123" s="20">
        <f>""</f>
      </c>
    </row>
    <row r="1124" s="127">
      <c r="A1124" s="14" t="n">
        <v>1124</v>
      </c>
      <c r="B1124" s="211">
        <f>IFERROR(IF([2]对账明细接口!$B$1124=0,"",[2]对账明细接口!$B$1124),"")</f>
      </c>
      <c r="C1124" s="16">
        <f>IFERROR(IF([2]对账明细接口!$C$1124=0,"",[2]对账明细接口!$C$1124),"")</f>
      </c>
      <c r="D1124" s="16">
        <f>IFERROR(IF([2]对账明细接口!$D$1124=0,"",[2]对账明细接口!$D$1124),"")</f>
      </c>
      <c r="E1124" s="16">
        <f>IFERROR(IF([2]对账明细接口!$E$1124=0,"",[2]对账明细接口!$E$1124),"")</f>
      </c>
      <c r="F1124" s="16">
        <f>IFERROR(IF([2]对账明细接口!$F$1124=0,"",[2]对账明细接口!$F$1124),"")</f>
      </c>
      <c r="G1124" s="16">
        <f>IFERROR(IF([2]对账明细接口!$G$1124=0,"",[2]对账明细接口!$G$1124),"")</f>
      </c>
      <c r="H1124" s="176">
        <f>IFERROR(IF([2]对账明细接口!$H$1124=0,"",[2]对账明细接口!$H$1124),"")</f>
      </c>
      <c r="I1124" s="16">
        <f>IFERROR(IF([2]对账明细接口!$I$1124=0,"",[2]对账明细接口!$I$1124),"")</f>
      </c>
      <c r="J1124" s="177">
        <f>IFERROR(IF([2]对账明细接口!$J$1124=0,"",[2]对账明细接口!$J$1124),"")</f>
      </c>
      <c r="K1124" s="177">
        <f>IFERROR(IF([2]对账明细接口!$K$1124=0,"",[2]对账明细接口!$K$1124),"")</f>
      </c>
      <c r="L1124" s="16">
        <f>IFERROR(IF([2]对账明细接口!$L$1124=0,"",[2]对账明细接口!$L$1124),"")</f>
      </c>
      <c r="M1124" s="16">
        <f>IFERROR(IF([2]对账明细接口!$M$1124=0,"",[2]对账明细接口!$M$1124),"")</f>
      </c>
      <c r="N1124" s="19">
        <f>IF($C1124="",0,1)</f>
        <v>0</v>
      </c>
      <c r="O1124" s="19">
        <f>N(O1123)+$N1124</f>
        <v>272</v>
      </c>
      <c r="S1124" s="20">
        <f>IFERROR(IF([2]对账明细接口!$N1124=0,"",[2]对账明细接口!$N1124),"")</f>
      </c>
      <c r="T1124" s="212">
        <f>IFERROR(IF([2]对账明细接口!$O1124=0,"",[2]对账明细接口!$O1124),"")</f>
      </c>
      <c r="U1124" s="212">
        <f>IFERROR(IF([2]对账明细接口!$P1124=0,"",[2]对账明细接口!$P1124),"")</f>
      </c>
      <c r="V1124" s="212">
        <f>IFERROR(IF([2]对账明细接口!$Q1124=0,"",[2]对账明细接口!$Q1124),"")</f>
      </c>
      <c r="W1124" s="20">
        <f>IFERROR(IF([2]对账明细接口!$R1124=0,"",[2]对账明细接口!$R1124),"")</f>
      </c>
      <c r="X1124" s="20">
        <f>IFERROR(IF([2]对账明细接口!$S1124=0,"",[2]对账明细接口!$S1124),"")</f>
      </c>
      <c r="Y1124" s="20">
        <f>""</f>
      </c>
      <c r="Z1124" s="20">
        <f>""</f>
      </c>
      <c r="AA1124" s="20">
        <f>""</f>
      </c>
      <c r="AB1124" s="20">
        <f>""</f>
      </c>
    </row>
    <row r="1125" s="127">
      <c r="A1125" s="14" t="n">
        <v>1125</v>
      </c>
      <c r="B1125" s="211">
        <f>IFERROR(IF([2]对账明细接口!$B$1125=0,"",[2]对账明细接口!$B$1125),"")</f>
      </c>
      <c r="C1125" s="16">
        <f>IFERROR(IF([2]对账明细接口!$C$1125=0,"",[2]对账明细接口!$C$1125),"")</f>
      </c>
      <c r="D1125" s="16">
        <f>IFERROR(IF([2]对账明细接口!$D$1125=0,"",[2]对账明细接口!$D$1125),"")</f>
      </c>
      <c r="E1125" s="16">
        <f>IFERROR(IF([2]对账明细接口!$E$1125=0,"",[2]对账明细接口!$E$1125),"")</f>
      </c>
      <c r="F1125" s="16">
        <f>IFERROR(IF([2]对账明细接口!$F$1125=0,"",[2]对账明细接口!$F$1125),"")</f>
      </c>
      <c r="G1125" s="16">
        <f>IFERROR(IF([2]对账明细接口!$G$1125=0,"",[2]对账明细接口!$G$1125),"")</f>
      </c>
      <c r="H1125" s="176">
        <f>IFERROR(IF([2]对账明细接口!$H$1125=0,"",[2]对账明细接口!$H$1125),"")</f>
      </c>
      <c r="I1125" s="16">
        <f>IFERROR(IF([2]对账明细接口!$I$1125=0,"",[2]对账明细接口!$I$1125),"")</f>
      </c>
      <c r="J1125" s="177">
        <f>IFERROR(IF([2]对账明细接口!$J$1125=0,"",[2]对账明细接口!$J$1125),"")</f>
      </c>
      <c r="K1125" s="177">
        <f>IFERROR(IF([2]对账明细接口!$K$1125=0,"",[2]对账明细接口!$K$1125),"")</f>
      </c>
      <c r="L1125" s="16">
        <f>IFERROR(IF([2]对账明细接口!$L$1125=0,"",[2]对账明细接口!$L$1125),"")</f>
      </c>
      <c r="M1125" s="16">
        <f>IFERROR(IF([2]对账明细接口!$M$1125=0,"",[2]对账明细接口!$M$1125),"")</f>
      </c>
      <c r="N1125" s="19">
        <f>IF($C1125="",0,1)</f>
        <v>0</v>
      </c>
      <c r="O1125" s="19">
        <f>N(O1124)+$N1125</f>
        <v>272</v>
      </c>
      <c r="S1125" s="20">
        <f>IFERROR(IF([2]对账明细接口!$N1125=0,"",[2]对账明细接口!$N1125),"")</f>
      </c>
      <c r="T1125" s="212">
        <f>IFERROR(IF([2]对账明细接口!$O1125=0,"",[2]对账明细接口!$O1125),"")</f>
      </c>
      <c r="U1125" s="212">
        <f>IFERROR(IF([2]对账明细接口!$P1125=0,"",[2]对账明细接口!$P1125),"")</f>
      </c>
      <c r="V1125" s="212">
        <f>IFERROR(IF([2]对账明细接口!$Q1125=0,"",[2]对账明细接口!$Q1125),"")</f>
      </c>
      <c r="W1125" s="20">
        <f>IFERROR(IF([2]对账明细接口!$R1125=0,"",[2]对账明细接口!$R1125),"")</f>
      </c>
      <c r="X1125" s="20">
        <f>IFERROR(IF([2]对账明细接口!$S1125=0,"",[2]对账明细接口!$S1125),"")</f>
      </c>
      <c r="Y1125" s="20">
        <f>""</f>
      </c>
      <c r="Z1125" s="20">
        <f>""</f>
      </c>
      <c r="AA1125" s="20">
        <f>""</f>
      </c>
      <c r="AB1125" s="20">
        <f>""</f>
      </c>
    </row>
    <row r="1126" s="127">
      <c r="A1126" s="14" t="n">
        <v>1126</v>
      </c>
      <c r="B1126" s="211">
        <f>IFERROR(IF([2]对账明细接口!$B$1126=0,"",[2]对账明细接口!$B$1126),"")</f>
      </c>
      <c r="C1126" s="16">
        <f>IFERROR(IF([2]对账明细接口!$C$1126=0,"",[2]对账明细接口!$C$1126),"")</f>
      </c>
      <c r="D1126" s="16">
        <f>IFERROR(IF([2]对账明细接口!$D$1126=0,"",[2]对账明细接口!$D$1126),"")</f>
      </c>
      <c r="E1126" s="16">
        <f>IFERROR(IF([2]对账明细接口!$E$1126=0,"",[2]对账明细接口!$E$1126),"")</f>
      </c>
      <c r="F1126" s="16">
        <f>IFERROR(IF([2]对账明细接口!$F$1126=0,"",[2]对账明细接口!$F$1126),"")</f>
      </c>
      <c r="G1126" s="16">
        <f>IFERROR(IF([2]对账明细接口!$G$1126=0,"",[2]对账明细接口!$G$1126),"")</f>
      </c>
      <c r="H1126" s="176">
        <f>IFERROR(IF([2]对账明细接口!$H$1126=0,"",[2]对账明细接口!$H$1126),"")</f>
      </c>
      <c r="I1126" s="16">
        <f>IFERROR(IF([2]对账明细接口!$I$1126=0,"",[2]对账明细接口!$I$1126),"")</f>
      </c>
      <c r="J1126" s="177">
        <f>IFERROR(IF([2]对账明细接口!$J$1126=0,"",[2]对账明细接口!$J$1126),"")</f>
      </c>
      <c r="K1126" s="177">
        <f>IFERROR(IF([2]对账明细接口!$K$1126=0,"",[2]对账明细接口!$K$1126),"")</f>
      </c>
      <c r="L1126" s="16">
        <f>IFERROR(IF([2]对账明细接口!$L$1126=0,"",[2]对账明细接口!$L$1126),"")</f>
      </c>
      <c r="M1126" s="16">
        <f>IFERROR(IF([2]对账明细接口!$M$1126=0,"",[2]对账明细接口!$M$1126),"")</f>
      </c>
      <c r="N1126" s="19">
        <f>IF($C1126="",0,1)</f>
        <v>0</v>
      </c>
      <c r="O1126" s="19">
        <f>N(O1125)+$N1126</f>
        <v>272</v>
      </c>
      <c r="S1126" s="20">
        <f>IFERROR(IF([2]对账明细接口!$N1126=0,"",[2]对账明细接口!$N1126),"")</f>
      </c>
      <c r="T1126" s="212">
        <f>IFERROR(IF([2]对账明细接口!$O1126=0,"",[2]对账明细接口!$O1126),"")</f>
      </c>
      <c r="U1126" s="212">
        <f>IFERROR(IF([2]对账明细接口!$P1126=0,"",[2]对账明细接口!$P1126),"")</f>
      </c>
      <c r="V1126" s="212">
        <f>IFERROR(IF([2]对账明细接口!$Q1126=0,"",[2]对账明细接口!$Q1126),"")</f>
      </c>
      <c r="W1126" s="20">
        <f>IFERROR(IF([2]对账明细接口!$R1126=0,"",[2]对账明细接口!$R1126),"")</f>
      </c>
      <c r="X1126" s="20">
        <f>IFERROR(IF([2]对账明细接口!$S1126=0,"",[2]对账明细接口!$S1126),"")</f>
      </c>
      <c r="Y1126" s="20">
        <f>""</f>
      </c>
      <c r="Z1126" s="20">
        <f>""</f>
      </c>
      <c r="AA1126" s="20">
        <f>""</f>
      </c>
      <c r="AB1126" s="20">
        <f>""</f>
      </c>
    </row>
    <row r="1127" s="127">
      <c r="A1127" s="14" t="n">
        <v>1127</v>
      </c>
      <c r="B1127" s="211">
        <f>IFERROR(IF([2]对账明细接口!$B$1127=0,"",[2]对账明细接口!$B$1127),"")</f>
      </c>
      <c r="C1127" s="16">
        <f>IFERROR(IF([2]对账明细接口!$C$1127=0,"",[2]对账明细接口!$C$1127),"")</f>
      </c>
      <c r="D1127" s="16">
        <f>IFERROR(IF([2]对账明细接口!$D$1127=0,"",[2]对账明细接口!$D$1127),"")</f>
      </c>
      <c r="E1127" s="16">
        <f>IFERROR(IF([2]对账明细接口!$E$1127=0,"",[2]对账明细接口!$E$1127),"")</f>
      </c>
      <c r="F1127" s="16">
        <f>IFERROR(IF([2]对账明细接口!$F$1127=0,"",[2]对账明细接口!$F$1127),"")</f>
      </c>
      <c r="G1127" s="16">
        <f>IFERROR(IF([2]对账明细接口!$G$1127=0,"",[2]对账明细接口!$G$1127),"")</f>
      </c>
      <c r="H1127" s="176">
        <f>IFERROR(IF([2]对账明细接口!$H$1127=0,"",[2]对账明细接口!$H$1127),"")</f>
      </c>
      <c r="I1127" s="16">
        <f>IFERROR(IF([2]对账明细接口!$I$1127=0,"",[2]对账明细接口!$I$1127),"")</f>
      </c>
      <c r="J1127" s="177">
        <f>IFERROR(IF([2]对账明细接口!$J$1127=0,"",[2]对账明细接口!$J$1127),"")</f>
      </c>
      <c r="K1127" s="177">
        <f>IFERROR(IF([2]对账明细接口!$K$1127=0,"",[2]对账明细接口!$K$1127),"")</f>
      </c>
      <c r="L1127" s="16">
        <f>IFERROR(IF([2]对账明细接口!$L$1127=0,"",[2]对账明细接口!$L$1127),"")</f>
      </c>
      <c r="M1127" s="16">
        <f>IFERROR(IF([2]对账明细接口!$M$1127=0,"",[2]对账明细接口!$M$1127),"")</f>
      </c>
      <c r="N1127" s="19">
        <f>IF($C1127="",0,1)</f>
        <v>0</v>
      </c>
      <c r="O1127" s="19">
        <f>N(O1126)+$N1127</f>
        <v>272</v>
      </c>
      <c r="S1127" s="20">
        <f>IFERROR(IF([2]对账明细接口!$N1127=0,"",[2]对账明细接口!$N1127),"")</f>
      </c>
      <c r="T1127" s="212">
        <f>IFERROR(IF([2]对账明细接口!$O1127=0,"",[2]对账明细接口!$O1127),"")</f>
      </c>
      <c r="U1127" s="212">
        <f>IFERROR(IF([2]对账明细接口!$P1127=0,"",[2]对账明细接口!$P1127),"")</f>
      </c>
      <c r="V1127" s="212">
        <f>IFERROR(IF([2]对账明细接口!$Q1127=0,"",[2]对账明细接口!$Q1127),"")</f>
      </c>
      <c r="W1127" s="20">
        <f>IFERROR(IF([2]对账明细接口!$R1127=0,"",[2]对账明细接口!$R1127),"")</f>
      </c>
      <c r="X1127" s="20">
        <f>IFERROR(IF([2]对账明细接口!$S1127=0,"",[2]对账明细接口!$S1127),"")</f>
      </c>
      <c r="Y1127" s="20">
        <f>""</f>
      </c>
      <c r="Z1127" s="20">
        <f>""</f>
      </c>
      <c r="AA1127" s="20">
        <f>""</f>
      </c>
      <c r="AB1127" s="20">
        <f>""</f>
      </c>
    </row>
    <row r="1128" s="127">
      <c r="A1128" s="14" t="n">
        <v>1128</v>
      </c>
      <c r="B1128" s="211">
        <f>IFERROR(IF([2]对账明细接口!$B$1128=0,"",[2]对账明细接口!$B$1128),"")</f>
      </c>
      <c r="C1128" s="16">
        <f>IFERROR(IF([2]对账明细接口!$C$1128=0,"",[2]对账明细接口!$C$1128),"")</f>
      </c>
      <c r="D1128" s="16">
        <f>IFERROR(IF([2]对账明细接口!$D$1128=0,"",[2]对账明细接口!$D$1128),"")</f>
      </c>
      <c r="E1128" s="16">
        <f>IFERROR(IF([2]对账明细接口!$E$1128=0,"",[2]对账明细接口!$E$1128),"")</f>
      </c>
      <c r="F1128" s="16">
        <f>IFERROR(IF([2]对账明细接口!$F$1128=0,"",[2]对账明细接口!$F$1128),"")</f>
      </c>
      <c r="G1128" s="16">
        <f>IFERROR(IF([2]对账明细接口!$G$1128=0,"",[2]对账明细接口!$G$1128),"")</f>
      </c>
      <c r="H1128" s="176">
        <f>IFERROR(IF([2]对账明细接口!$H$1128=0,"",[2]对账明细接口!$H$1128),"")</f>
      </c>
      <c r="I1128" s="16">
        <f>IFERROR(IF([2]对账明细接口!$I$1128=0,"",[2]对账明细接口!$I$1128),"")</f>
      </c>
      <c r="J1128" s="177">
        <f>IFERROR(IF([2]对账明细接口!$J$1128=0,"",[2]对账明细接口!$J$1128),"")</f>
      </c>
      <c r="K1128" s="177">
        <f>IFERROR(IF([2]对账明细接口!$K$1128=0,"",[2]对账明细接口!$K$1128),"")</f>
      </c>
      <c r="L1128" s="16">
        <f>IFERROR(IF([2]对账明细接口!$L$1128=0,"",[2]对账明细接口!$L$1128),"")</f>
      </c>
      <c r="M1128" s="16">
        <f>IFERROR(IF([2]对账明细接口!$M$1128=0,"",[2]对账明细接口!$M$1128),"")</f>
      </c>
      <c r="N1128" s="19">
        <f>IF($C1128="",0,1)</f>
        <v>0</v>
      </c>
      <c r="O1128" s="19">
        <f>N(O1127)+$N1128</f>
        <v>272</v>
      </c>
      <c r="S1128" s="20">
        <f>IFERROR(IF([2]对账明细接口!$N1128=0,"",[2]对账明细接口!$N1128),"")</f>
      </c>
      <c r="T1128" s="212">
        <f>IFERROR(IF([2]对账明细接口!$O1128=0,"",[2]对账明细接口!$O1128),"")</f>
      </c>
      <c r="U1128" s="212">
        <f>IFERROR(IF([2]对账明细接口!$P1128=0,"",[2]对账明细接口!$P1128),"")</f>
      </c>
      <c r="V1128" s="212">
        <f>IFERROR(IF([2]对账明细接口!$Q1128=0,"",[2]对账明细接口!$Q1128),"")</f>
      </c>
      <c r="W1128" s="20">
        <f>IFERROR(IF([2]对账明细接口!$R1128=0,"",[2]对账明细接口!$R1128),"")</f>
      </c>
      <c r="X1128" s="20">
        <f>IFERROR(IF([2]对账明细接口!$S1128=0,"",[2]对账明细接口!$S1128),"")</f>
      </c>
      <c r="Y1128" s="20">
        <f>""</f>
      </c>
      <c r="Z1128" s="20">
        <f>""</f>
      </c>
      <c r="AA1128" s="20">
        <f>""</f>
      </c>
      <c r="AB1128" s="20">
        <f>""</f>
      </c>
    </row>
    <row r="1129" s="127">
      <c r="A1129" s="14" t="n">
        <v>1129</v>
      </c>
      <c r="B1129" s="211">
        <f>IFERROR(IF([2]对账明细接口!$B$1129=0,"",[2]对账明细接口!$B$1129),"")</f>
      </c>
      <c r="C1129" s="16">
        <f>IFERROR(IF([2]对账明细接口!$C$1129=0,"",[2]对账明细接口!$C$1129),"")</f>
      </c>
      <c r="D1129" s="16">
        <f>IFERROR(IF([2]对账明细接口!$D$1129=0,"",[2]对账明细接口!$D$1129),"")</f>
      </c>
      <c r="E1129" s="16">
        <f>IFERROR(IF([2]对账明细接口!$E$1129=0,"",[2]对账明细接口!$E$1129),"")</f>
      </c>
      <c r="F1129" s="16">
        <f>IFERROR(IF([2]对账明细接口!$F$1129=0,"",[2]对账明细接口!$F$1129),"")</f>
      </c>
      <c r="G1129" s="16">
        <f>IFERROR(IF([2]对账明细接口!$G$1129=0,"",[2]对账明细接口!$G$1129),"")</f>
      </c>
      <c r="H1129" s="176">
        <f>IFERROR(IF([2]对账明细接口!$H$1129=0,"",[2]对账明细接口!$H$1129),"")</f>
      </c>
      <c r="I1129" s="16">
        <f>IFERROR(IF([2]对账明细接口!$I$1129=0,"",[2]对账明细接口!$I$1129),"")</f>
      </c>
      <c r="J1129" s="177">
        <f>IFERROR(IF([2]对账明细接口!$J$1129=0,"",[2]对账明细接口!$J$1129),"")</f>
      </c>
      <c r="K1129" s="177">
        <f>IFERROR(IF([2]对账明细接口!$K$1129=0,"",[2]对账明细接口!$K$1129),"")</f>
      </c>
      <c r="L1129" s="16">
        <f>IFERROR(IF([2]对账明细接口!$L$1129=0,"",[2]对账明细接口!$L$1129),"")</f>
      </c>
      <c r="M1129" s="16">
        <f>IFERROR(IF([2]对账明细接口!$M$1129=0,"",[2]对账明细接口!$M$1129),"")</f>
      </c>
      <c r="N1129" s="19">
        <f>IF($C1129="",0,1)</f>
        <v>0</v>
      </c>
      <c r="O1129" s="19">
        <f>N(O1128)+$N1129</f>
        <v>272</v>
      </c>
      <c r="S1129" s="20">
        <f>IFERROR(IF([2]对账明细接口!$N1129=0,"",[2]对账明细接口!$N1129),"")</f>
      </c>
      <c r="T1129" s="212">
        <f>IFERROR(IF([2]对账明细接口!$O1129=0,"",[2]对账明细接口!$O1129),"")</f>
      </c>
      <c r="U1129" s="212">
        <f>IFERROR(IF([2]对账明细接口!$P1129=0,"",[2]对账明细接口!$P1129),"")</f>
      </c>
      <c r="V1129" s="212">
        <f>IFERROR(IF([2]对账明细接口!$Q1129=0,"",[2]对账明细接口!$Q1129),"")</f>
      </c>
      <c r="W1129" s="20">
        <f>IFERROR(IF([2]对账明细接口!$R1129=0,"",[2]对账明细接口!$R1129),"")</f>
      </c>
      <c r="X1129" s="20">
        <f>IFERROR(IF([2]对账明细接口!$S1129=0,"",[2]对账明细接口!$S1129),"")</f>
      </c>
      <c r="Y1129" s="20">
        <f>""</f>
      </c>
      <c r="Z1129" s="20">
        <f>""</f>
      </c>
      <c r="AA1129" s="20">
        <f>""</f>
      </c>
      <c r="AB1129" s="20">
        <f>""</f>
      </c>
    </row>
    <row r="1130" s="127">
      <c r="A1130" s="14" t="n">
        <v>1130</v>
      </c>
      <c r="B1130" s="211">
        <f>IFERROR(IF([2]对账明细接口!$B$1130=0,"",[2]对账明细接口!$B$1130),"")</f>
      </c>
      <c r="C1130" s="16">
        <f>IFERROR(IF([2]对账明细接口!$C$1130=0,"",[2]对账明细接口!$C$1130),"")</f>
      </c>
      <c r="D1130" s="16">
        <f>IFERROR(IF([2]对账明细接口!$D$1130=0,"",[2]对账明细接口!$D$1130),"")</f>
      </c>
      <c r="E1130" s="16">
        <f>IFERROR(IF([2]对账明细接口!$E$1130=0,"",[2]对账明细接口!$E$1130),"")</f>
      </c>
      <c r="F1130" s="16">
        <f>IFERROR(IF([2]对账明细接口!$F$1130=0,"",[2]对账明细接口!$F$1130),"")</f>
      </c>
      <c r="G1130" s="16">
        <f>IFERROR(IF([2]对账明细接口!$G$1130=0,"",[2]对账明细接口!$G$1130),"")</f>
      </c>
      <c r="H1130" s="176">
        <f>IFERROR(IF([2]对账明细接口!$H$1130=0,"",[2]对账明细接口!$H$1130),"")</f>
      </c>
      <c r="I1130" s="16">
        <f>IFERROR(IF([2]对账明细接口!$I$1130=0,"",[2]对账明细接口!$I$1130),"")</f>
      </c>
      <c r="J1130" s="177">
        <f>IFERROR(IF([2]对账明细接口!$J$1130=0,"",[2]对账明细接口!$J$1130),"")</f>
      </c>
      <c r="K1130" s="177">
        <f>IFERROR(IF([2]对账明细接口!$K$1130=0,"",[2]对账明细接口!$K$1130),"")</f>
      </c>
      <c r="L1130" s="16">
        <f>IFERROR(IF([2]对账明细接口!$L$1130=0,"",[2]对账明细接口!$L$1130),"")</f>
      </c>
      <c r="M1130" s="16">
        <f>IFERROR(IF([2]对账明细接口!$M$1130=0,"",[2]对账明细接口!$M$1130),"")</f>
      </c>
      <c r="N1130" s="19">
        <f>IF($C1130="",0,1)</f>
        <v>0</v>
      </c>
      <c r="O1130" s="19">
        <f>N(O1129)+$N1130</f>
        <v>272</v>
      </c>
      <c r="S1130" s="20">
        <f>IFERROR(IF([2]对账明细接口!$N1130=0,"",[2]对账明细接口!$N1130),"")</f>
      </c>
      <c r="T1130" s="212">
        <f>IFERROR(IF([2]对账明细接口!$O1130=0,"",[2]对账明细接口!$O1130),"")</f>
      </c>
      <c r="U1130" s="212">
        <f>IFERROR(IF([2]对账明细接口!$P1130=0,"",[2]对账明细接口!$P1130),"")</f>
      </c>
      <c r="V1130" s="212">
        <f>IFERROR(IF([2]对账明细接口!$Q1130=0,"",[2]对账明细接口!$Q1130),"")</f>
      </c>
      <c r="W1130" s="20">
        <f>IFERROR(IF([2]对账明细接口!$R1130=0,"",[2]对账明细接口!$R1130),"")</f>
      </c>
      <c r="X1130" s="20">
        <f>IFERROR(IF([2]对账明细接口!$S1130=0,"",[2]对账明细接口!$S1130),"")</f>
      </c>
      <c r="Y1130" s="20">
        <f>""</f>
      </c>
      <c r="Z1130" s="20">
        <f>""</f>
      </c>
      <c r="AA1130" s="20">
        <f>""</f>
      </c>
      <c r="AB1130" s="20">
        <f>""</f>
      </c>
    </row>
    <row r="1131" s="127">
      <c r="A1131" s="14" t="n">
        <v>1131</v>
      </c>
      <c r="B1131" s="211">
        <f>IFERROR(IF([2]对账明细接口!$B$1131=0,"",[2]对账明细接口!$B$1131),"")</f>
      </c>
      <c r="C1131" s="16">
        <f>IFERROR(IF([2]对账明细接口!$C$1131=0,"",[2]对账明细接口!$C$1131),"")</f>
      </c>
      <c r="D1131" s="16">
        <f>IFERROR(IF([2]对账明细接口!$D$1131=0,"",[2]对账明细接口!$D$1131),"")</f>
      </c>
      <c r="E1131" s="16">
        <f>IFERROR(IF([2]对账明细接口!$E$1131=0,"",[2]对账明细接口!$E$1131),"")</f>
      </c>
      <c r="F1131" s="16">
        <f>IFERROR(IF([2]对账明细接口!$F$1131=0,"",[2]对账明细接口!$F$1131),"")</f>
      </c>
      <c r="G1131" s="16">
        <f>IFERROR(IF([2]对账明细接口!$G$1131=0,"",[2]对账明细接口!$G$1131),"")</f>
      </c>
      <c r="H1131" s="176">
        <f>IFERROR(IF([2]对账明细接口!$H$1131=0,"",[2]对账明细接口!$H$1131),"")</f>
      </c>
      <c r="I1131" s="16">
        <f>IFERROR(IF([2]对账明细接口!$I$1131=0,"",[2]对账明细接口!$I$1131),"")</f>
      </c>
      <c r="J1131" s="177">
        <f>IFERROR(IF([2]对账明细接口!$J$1131=0,"",[2]对账明细接口!$J$1131),"")</f>
      </c>
      <c r="K1131" s="177">
        <f>IFERROR(IF([2]对账明细接口!$K$1131=0,"",[2]对账明细接口!$K$1131),"")</f>
      </c>
      <c r="L1131" s="16">
        <f>IFERROR(IF([2]对账明细接口!$L$1131=0,"",[2]对账明细接口!$L$1131),"")</f>
      </c>
      <c r="M1131" s="16">
        <f>IFERROR(IF([2]对账明细接口!$M$1131=0,"",[2]对账明细接口!$M$1131),"")</f>
      </c>
      <c r="N1131" s="19">
        <f>IF($C1131="",0,1)</f>
        <v>0</v>
      </c>
      <c r="O1131" s="19">
        <f>N(O1130)+$N1131</f>
        <v>272</v>
      </c>
      <c r="S1131" s="20">
        <f>IFERROR(IF([2]对账明细接口!$N1131=0,"",[2]对账明细接口!$N1131),"")</f>
      </c>
      <c r="T1131" s="212">
        <f>IFERROR(IF([2]对账明细接口!$O1131=0,"",[2]对账明细接口!$O1131),"")</f>
      </c>
      <c r="U1131" s="212">
        <f>IFERROR(IF([2]对账明细接口!$P1131=0,"",[2]对账明细接口!$P1131),"")</f>
      </c>
      <c r="V1131" s="212">
        <f>IFERROR(IF([2]对账明细接口!$Q1131=0,"",[2]对账明细接口!$Q1131),"")</f>
      </c>
      <c r="W1131" s="20">
        <f>IFERROR(IF([2]对账明细接口!$R1131=0,"",[2]对账明细接口!$R1131),"")</f>
      </c>
      <c r="X1131" s="20">
        <f>IFERROR(IF([2]对账明细接口!$S1131=0,"",[2]对账明细接口!$S1131),"")</f>
      </c>
      <c r="Y1131" s="20">
        <f>""</f>
      </c>
      <c r="Z1131" s="20">
        <f>""</f>
      </c>
      <c r="AA1131" s="20">
        <f>""</f>
      </c>
      <c r="AB1131" s="20">
        <f>""</f>
      </c>
    </row>
    <row r="1132" s="127">
      <c r="A1132" s="14" t="n">
        <v>1132</v>
      </c>
      <c r="B1132" s="211">
        <f>IFERROR(IF([2]对账明细接口!$B$1132=0,"",[2]对账明细接口!$B$1132),"")</f>
      </c>
      <c r="C1132" s="16">
        <f>IFERROR(IF([2]对账明细接口!$C$1132=0,"",[2]对账明细接口!$C$1132),"")</f>
      </c>
      <c r="D1132" s="16">
        <f>IFERROR(IF([2]对账明细接口!$D$1132=0,"",[2]对账明细接口!$D$1132),"")</f>
      </c>
      <c r="E1132" s="16">
        <f>IFERROR(IF([2]对账明细接口!$E$1132=0,"",[2]对账明细接口!$E$1132),"")</f>
      </c>
      <c r="F1132" s="16">
        <f>IFERROR(IF([2]对账明细接口!$F$1132=0,"",[2]对账明细接口!$F$1132),"")</f>
      </c>
      <c r="G1132" s="16">
        <f>IFERROR(IF([2]对账明细接口!$G$1132=0,"",[2]对账明细接口!$G$1132),"")</f>
      </c>
      <c r="H1132" s="176">
        <f>IFERROR(IF([2]对账明细接口!$H$1132=0,"",[2]对账明细接口!$H$1132),"")</f>
      </c>
      <c r="I1132" s="16">
        <f>IFERROR(IF([2]对账明细接口!$I$1132=0,"",[2]对账明细接口!$I$1132),"")</f>
      </c>
      <c r="J1132" s="177">
        <f>IFERROR(IF([2]对账明细接口!$J$1132=0,"",[2]对账明细接口!$J$1132),"")</f>
      </c>
      <c r="K1132" s="177">
        <f>IFERROR(IF([2]对账明细接口!$K$1132=0,"",[2]对账明细接口!$K$1132),"")</f>
      </c>
      <c r="L1132" s="16">
        <f>IFERROR(IF([2]对账明细接口!$L$1132=0,"",[2]对账明细接口!$L$1132),"")</f>
      </c>
      <c r="M1132" s="16">
        <f>IFERROR(IF([2]对账明细接口!$M$1132=0,"",[2]对账明细接口!$M$1132),"")</f>
      </c>
      <c r="N1132" s="19">
        <f>IF($C1132="",0,1)</f>
        <v>0</v>
      </c>
      <c r="O1132" s="19">
        <f>N(O1131)+$N1132</f>
        <v>272</v>
      </c>
      <c r="S1132" s="20">
        <f>IFERROR(IF([2]对账明细接口!$N1132=0,"",[2]对账明细接口!$N1132),"")</f>
      </c>
      <c r="T1132" s="212">
        <f>IFERROR(IF([2]对账明细接口!$O1132=0,"",[2]对账明细接口!$O1132),"")</f>
      </c>
      <c r="U1132" s="212">
        <f>IFERROR(IF([2]对账明细接口!$P1132=0,"",[2]对账明细接口!$P1132),"")</f>
      </c>
      <c r="V1132" s="212">
        <f>IFERROR(IF([2]对账明细接口!$Q1132=0,"",[2]对账明细接口!$Q1132),"")</f>
      </c>
      <c r="W1132" s="20">
        <f>IFERROR(IF([2]对账明细接口!$R1132=0,"",[2]对账明细接口!$R1132),"")</f>
      </c>
      <c r="X1132" s="20">
        <f>IFERROR(IF([2]对账明细接口!$S1132=0,"",[2]对账明细接口!$S1132),"")</f>
      </c>
      <c r="Y1132" s="20">
        <f>""</f>
      </c>
      <c r="Z1132" s="20">
        <f>""</f>
      </c>
      <c r="AA1132" s="20">
        <f>""</f>
      </c>
      <c r="AB1132" s="20">
        <f>""</f>
      </c>
    </row>
    <row r="1133" s="127">
      <c r="A1133" s="14" t="n">
        <v>1133</v>
      </c>
      <c r="B1133" s="211">
        <f>IFERROR(IF([2]对账明细接口!$B$1133=0,"",[2]对账明细接口!$B$1133),"")</f>
      </c>
      <c r="C1133" s="16">
        <f>IFERROR(IF([2]对账明细接口!$C$1133=0,"",[2]对账明细接口!$C$1133),"")</f>
      </c>
      <c r="D1133" s="16">
        <f>IFERROR(IF([2]对账明细接口!$D$1133=0,"",[2]对账明细接口!$D$1133),"")</f>
      </c>
      <c r="E1133" s="16">
        <f>IFERROR(IF([2]对账明细接口!$E$1133=0,"",[2]对账明细接口!$E$1133),"")</f>
      </c>
      <c r="F1133" s="16">
        <f>IFERROR(IF([2]对账明细接口!$F$1133=0,"",[2]对账明细接口!$F$1133),"")</f>
      </c>
      <c r="G1133" s="16">
        <f>IFERROR(IF([2]对账明细接口!$G$1133=0,"",[2]对账明细接口!$G$1133),"")</f>
      </c>
      <c r="H1133" s="176">
        <f>IFERROR(IF([2]对账明细接口!$H$1133=0,"",[2]对账明细接口!$H$1133),"")</f>
      </c>
      <c r="I1133" s="16">
        <f>IFERROR(IF([2]对账明细接口!$I$1133=0,"",[2]对账明细接口!$I$1133),"")</f>
      </c>
      <c r="J1133" s="177">
        <f>IFERROR(IF([2]对账明细接口!$J$1133=0,"",[2]对账明细接口!$J$1133),"")</f>
      </c>
      <c r="K1133" s="177">
        <f>IFERROR(IF([2]对账明细接口!$K$1133=0,"",[2]对账明细接口!$K$1133),"")</f>
      </c>
      <c r="L1133" s="16">
        <f>IFERROR(IF([2]对账明细接口!$L$1133=0,"",[2]对账明细接口!$L$1133),"")</f>
      </c>
      <c r="M1133" s="16">
        <f>IFERROR(IF([2]对账明细接口!$M$1133=0,"",[2]对账明细接口!$M$1133),"")</f>
      </c>
      <c r="N1133" s="19">
        <f>IF($C1133="",0,1)</f>
        <v>0</v>
      </c>
      <c r="O1133" s="19">
        <f>N(O1132)+$N1133</f>
        <v>272</v>
      </c>
      <c r="S1133" s="20">
        <f>IFERROR(IF([2]对账明细接口!$N1133=0,"",[2]对账明细接口!$N1133),"")</f>
      </c>
      <c r="T1133" s="212">
        <f>IFERROR(IF([2]对账明细接口!$O1133=0,"",[2]对账明细接口!$O1133),"")</f>
      </c>
      <c r="U1133" s="212">
        <f>IFERROR(IF([2]对账明细接口!$P1133=0,"",[2]对账明细接口!$P1133),"")</f>
      </c>
      <c r="V1133" s="212">
        <f>IFERROR(IF([2]对账明细接口!$Q1133=0,"",[2]对账明细接口!$Q1133),"")</f>
      </c>
      <c r="W1133" s="20">
        <f>IFERROR(IF([2]对账明细接口!$R1133=0,"",[2]对账明细接口!$R1133),"")</f>
      </c>
      <c r="X1133" s="20">
        <f>IFERROR(IF([2]对账明细接口!$S1133=0,"",[2]对账明细接口!$S1133),"")</f>
      </c>
      <c r="Y1133" s="20">
        <f>""</f>
      </c>
      <c r="Z1133" s="20">
        <f>""</f>
      </c>
      <c r="AA1133" s="20">
        <f>""</f>
      </c>
      <c r="AB1133" s="20">
        <f>""</f>
      </c>
    </row>
    <row r="1134" s="127">
      <c r="A1134" s="14" t="n">
        <v>1134</v>
      </c>
      <c r="B1134" s="211">
        <f>IFERROR(IF([2]对账明细接口!$B$1134=0,"",[2]对账明细接口!$B$1134),"")</f>
      </c>
      <c r="C1134" s="16">
        <f>IFERROR(IF([2]对账明细接口!$C$1134=0,"",[2]对账明细接口!$C$1134),"")</f>
      </c>
      <c r="D1134" s="16">
        <f>IFERROR(IF([2]对账明细接口!$D$1134=0,"",[2]对账明细接口!$D$1134),"")</f>
      </c>
      <c r="E1134" s="16">
        <f>IFERROR(IF([2]对账明细接口!$E$1134=0,"",[2]对账明细接口!$E$1134),"")</f>
      </c>
      <c r="F1134" s="16">
        <f>IFERROR(IF([2]对账明细接口!$F$1134=0,"",[2]对账明细接口!$F$1134),"")</f>
      </c>
      <c r="G1134" s="16">
        <f>IFERROR(IF([2]对账明细接口!$G$1134=0,"",[2]对账明细接口!$G$1134),"")</f>
      </c>
      <c r="H1134" s="176">
        <f>IFERROR(IF([2]对账明细接口!$H$1134=0,"",[2]对账明细接口!$H$1134),"")</f>
      </c>
      <c r="I1134" s="16">
        <f>IFERROR(IF([2]对账明细接口!$I$1134=0,"",[2]对账明细接口!$I$1134),"")</f>
      </c>
      <c r="J1134" s="177">
        <f>IFERROR(IF([2]对账明细接口!$J$1134=0,"",[2]对账明细接口!$J$1134),"")</f>
      </c>
      <c r="K1134" s="177">
        <f>IFERROR(IF([2]对账明细接口!$K$1134=0,"",[2]对账明细接口!$K$1134),"")</f>
      </c>
      <c r="L1134" s="16">
        <f>IFERROR(IF([2]对账明细接口!$L$1134=0,"",[2]对账明细接口!$L$1134),"")</f>
      </c>
      <c r="M1134" s="16">
        <f>IFERROR(IF([2]对账明细接口!$M$1134=0,"",[2]对账明细接口!$M$1134),"")</f>
      </c>
      <c r="N1134" s="19">
        <f>IF($C1134="",0,1)</f>
        <v>0</v>
      </c>
      <c r="O1134" s="19">
        <f>N(O1133)+$N1134</f>
        <v>272</v>
      </c>
      <c r="S1134" s="20">
        <f>IFERROR(IF([2]对账明细接口!$N1134=0,"",[2]对账明细接口!$N1134),"")</f>
      </c>
      <c r="T1134" s="212">
        <f>IFERROR(IF([2]对账明细接口!$O1134=0,"",[2]对账明细接口!$O1134),"")</f>
      </c>
      <c r="U1134" s="212">
        <f>IFERROR(IF([2]对账明细接口!$P1134=0,"",[2]对账明细接口!$P1134),"")</f>
      </c>
      <c r="V1134" s="212">
        <f>IFERROR(IF([2]对账明细接口!$Q1134=0,"",[2]对账明细接口!$Q1134),"")</f>
      </c>
      <c r="W1134" s="20">
        <f>IFERROR(IF([2]对账明细接口!$R1134=0,"",[2]对账明细接口!$R1134),"")</f>
      </c>
      <c r="X1134" s="20">
        <f>IFERROR(IF([2]对账明细接口!$S1134=0,"",[2]对账明细接口!$S1134),"")</f>
      </c>
      <c r="Y1134" s="20">
        <f>""</f>
      </c>
      <c r="Z1134" s="20">
        <f>""</f>
      </c>
      <c r="AA1134" s="20">
        <f>""</f>
      </c>
      <c r="AB1134" s="20">
        <f>""</f>
      </c>
    </row>
    <row r="1135" s="127">
      <c r="A1135" s="14" t="n">
        <v>1135</v>
      </c>
      <c r="B1135" s="211">
        <f>IFERROR(IF([2]对账明细接口!$B$1135=0,"",[2]对账明细接口!$B$1135),"")</f>
      </c>
      <c r="C1135" s="16">
        <f>IFERROR(IF([2]对账明细接口!$C$1135=0,"",[2]对账明细接口!$C$1135),"")</f>
      </c>
      <c r="D1135" s="16">
        <f>IFERROR(IF([2]对账明细接口!$D$1135=0,"",[2]对账明细接口!$D$1135),"")</f>
      </c>
      <c r="E1135" s="16">
        <f>IFERROR(IF([2]对账明细接口!$E$1135=0,"",[2]对账明细接口!$E$1135),"")</f>
      </c>
      <c r="F1135" s="16">
        <f>IFERROR(IF([2]对账明细接口!$F$1135=0,"",[2]对账明细接口!$F$1135),"")</f>
      </c>
      <c r="G1135" s="16">
        <f>IFERROR(IF([2]对账明细接口!$G$1135=0,"",[2]对账明细接口!$G$1135),"")</f>
      </c>
      <c r="H1135" s="176">
        <f>IFERROR(IF([2]对账明细接口!$H$1135=0,"",[2]对账明细接口!$H$1135),"")</f>
      </c>
      <c r="I1135" s="16">
        <f>IFERROR(IF([2]对账明细接口!$I$1135=0,"",[2]对账明细接口!$I$1135),"")</f>
      </c>
      <c r="J1135" s="177">
        <f>IFERROR(IF([2]对账明细接口!$J$1135=0,"",[2]对账明细接口!$J$1135),"")</f>
      </c>
      <c r="K1135" s="177">
        <f>IFERROR(IF([2]对账明细接口!$K$1135=0,"",[2]对账明细接口!$K$1135),"")</f>
      </c>
      <c r="L1135" s="16">
        <f>IFERROR(IF([2]对账明细接口!$L$1135=0,"",[2]对账明细接口!$L$1135),"")</f>
      </c>
      <c r="M1135" s="16">
        <f>IFERROR(IF([2]对账明细接口!$M$1135=0,"",[2]对账明细接口!$M$1135),"")</f>
      </c>
      <c r="N1135" s="19">
        <f>IF($C1135="",0,1)</f>
        <v>0</v>
      </c>
      <c r="O1135" s="19">
        <f>N(O1134)+$N1135</f>
        <v>272</v>
      </c>
      <c r="S1135" s="20">
        <f>IFERROR(IF([2]对账明细接口!$N1135=0,"",[2]对账明细接口!$N1135),"")</f>
      </c>
      <c r="T1135" s="212">
        <f>IFERROR(IF([2]对账明细接口!$O1135=0,"",[2]对账明细接口!$O1135),"")</f>
      </c>
      <c r="U1135" s="212">
        <f>IFERROR(IF([2]对账明细接口!$P1135=0,"",[2]对账明细接口!$P1135),"")</f>
      </c>
      <c r="V1135" s="212">
        <f>IFERROR(IF([2]对账明细接口!$Q1135=0,"",[2]对账明细接口!$Q1135),"")</f>
      </c>
      <c r="W1135" s="20">
        <f>IFERROR(IF([2]对账明细接口!$R1135=0,"",[2]对账明细接口!$R1135),"")</f>
      </c>
      <c r="X1135" s="20">
        <f>IFERROR(IF([2]对账明细接口!$S1135=0,"",[2]对账明细接口!$S1135),"")</f>
      </c>
      <c r="Y1135" s="20">
        <f>""</f>
      </c>
      <c r="Z1135" s="20">
        <f>""</f>
      </c>
      <c r="AA1135" s="20">
        <f>""</f>
      </c>
      <c r="AB1135" s="20">
        <f>""</f>
      </c>
    </row>
    <row r="1136" s="127">
      <c r="A1136" s="14" t="n">
        <v>1136</v>
      </c>
      <c r="B1136" s="211">
        <f>IFERROR(IF([2]对账明细接口!$B$1136=0,"",[2]对账明细接口!$B$1136),"")</f>
      </c>
      <c r="C1136" s="16">
        <f>IFERROR(IF([2]对账明细接口!$C$1136=0,"",[2]对账明细接口!$C$1136),"")</f>
      </c>
      <c r="D1136" s="16">
        <f>IFERROR(IF([2]对账明细接口!$D$1136=0,"",[2]对账明细接口!$D$1136),"")</f>
      </c>
      <c r="E1136" s="16">
        <f>IFERROR(IF([2]对账明细接口!$E$1136=0,"",[2]对账明细接口!$E$1136),"")</f>
      </c>
      <c r="F1136" s="16">
        <f>IFERROR(IF([2]对账明细接口!$F$1136=0,"",[2]对账明细接口!$F$1136),"")</f>
      </c>
      <c r="G1136" s="16">
        <f>IFERROR(IF([2]对账明细接口!$G$1136=0,"",[2]对账明细接口!$G$1136),"")</f>
      </c>
      <c r="H1136" s="176">
        <f>IFERROR(IF([2]对账明细接口!$H$1136=0,"",[2]对账明细接口!$H$1136),"")</f>
      </c>
      <c r="I1136" s="16">
        <f>IFERROR(IF([2]对账明细接口!$I$1136=0,"",[2]对账明细接口!$I$1136),"")</f>
      </c>
      <c r="J1136" s="177">
        <f>IFERROR(IF([2]对账明细接口!$J$1136=0,"",[2]对账明细接口!$J$1136),"")</f>
      </c>
      <c r="K1136" s="177">
        <f>IFERROR(IF([2]对账明细接口!$K$1136=0,"",[2]对账明细接口!$K$1136),"")</f>
      </c>
      <c r="L1136" s="16">
        <f>IFERROR(IF([2]对账明细接口!$L$1136=0,"",[2]对账明细接口!$L$1136),"")</f>
      </c>
      <c r="M1136" s="16">
        <f>IFERROR(IF([2]对账明细接口!$M$1136=0,"",[2]对账明细接口!$M$1136),"")</f>
      </c>
      <c r="N1136" s="19">
        <f>IF($C1136="",0,1)</f>
        <v>0</v>
      </c>
      <c r="O1136" s="19">
        <f>N(O1135)+$N1136</f>
        <v>272</v>
      </c>
      <c r="S1136" s="20">
        <f>IFERROR(IF([2]对账明细接口!$N1136=0,"",[2]对账明细接口!$N1136),"")</f>
      </c>
      <c r="T1136" s="212">
        <f>IFERROR(IF([2]对账明细接口!$O1136=0,"",[2]对账明细接口!$O1136),"")</f>
      </c>
      <c r="U1136" s="212">
        <f>IFERROR(IF([2]对账明细接口!$P1136=0,"",[2]对账明细接口!$P1136),"")</f>
      </c>
      <c r="V1136" s="212">
        <f>IFERROR(IF([2]对账明细接口!$Q1136=0,"",[2]对账明细接口!$Q1136),"")</f>
      </c>
      <c r="W1136" s="20">
        <f>IFERROR(IF([2]对账明细接口!$R1136=0,"",[2]对账明细接口!$R1136),"")</f>
      </c>
      <c r="X1136" s="20">
        <f>IFERROR(IF([2]对账明细接口!$S1136=0,"",[2]对账明细接口!$S1136),"")</f>
      </c>
      <c r="Y1136" s="20">
        <f>""</f>
      </c>
      <c r="Z1136" s="20">
        <f>""</f>
      </c>
      <c r="AA1136" s="20">
        <f>""</f>
      </c>
      <c r="AB1136" s="20">
        <f>""</f>
      </c>
    </row>
    <row r="1137" s="127">
      <c r="A1137" s="14" t="n">
        <v>1137</v>
      </c>
      <c r="B1137" s="211">
        <f>IFERROR(IF([2]对账明细接口!$B$1137=0,"",[2]对账明细接口!$B$1137),"")</f>
      </c>
      <c r="C1137" s="16">
        <f>IFERROR(IF([2]对账明细接口!$C$1137=0,"",[2]对账明细接口!$C$1137),"")</f>
      </c>
      <c r="D1137" s="16">
        <f>IFERROR(IF([2]对账明细接口!$D$1137=0,"",[2]对账明细接口!$D$1137),"")</f>
      </c>
      <c r="E1137" s="16">
        <f>IFERROR(IF([2]对账明细接口!$E$1137=0,"",[2]对账明细接口!$E$1137),"")</f>
      </c>
      <c r="F1137" s="16">
        <f>IFERROR(IF([2]对账明细接口!$F$1137=0,"",[2]对账明细接口!$F$1137),"")</f>
      </c>
      <c r="G1137" s="16">
        <f>IFERROR(IF([2]对账明细接口!$G$1137=0,"",[2]对账明细接口!$G$1137),"")</f>
      </c>
      <c r="H1137" s="176">
        <f>IFERROR(IF([2]对账明细接口!$H$1137=0,"",[2]对账明细接口!$H$1137),"")</f>
      </c>
      <c r="I1137" s="16">
        <f>IFERROR(IF([2]对账明细接口!$I$1137=0,"",[2]对账明细接口!$I$1137),"")</f>
      </c>
      <c r="J1137" s="177">
        <f>IFERROR(IF([2]对账明细接口!$J$1137=0,"",[2]对账明细接口!$J$1137),"")</f>
      </c>
      <c r="K1137" s="177">
        <f>IFERROR(IF([2]对账明细接口!$K$1137=0,"",[2]对账明细接口!$K$1137),"")</f>
      </c>
      <c r="L1137" s="16">
        <f>IFERROR(IF([2]对账明细接口!$L$1137=0,"",[2]对账明细接口!$L$1137),"")</f>
      </c>
      <c r="M1137" s="16">
        <f>IFERROR(IF([2]对账明细接口!$M$1137=0,"",[2]对账明细接口!$M$1137),"")</f>
      </c>
      <c r="N1137" s="19">
        <f>IF($C1137="",0,1)</f>
        <v>0</v>
      </c>
      <c r="O1137" s="19">
        <f>N(O1136)+$N1137</f>
        <v>272</v>
      </c>
      <c r="S1137" s="20">
        <f>IFERROR(IF([2]对账明细接口!$N1137=0,"",[2]对账明细接口!$N1137),"")</f>
      </c>
      <c r="T1137" s="212">
        <f>IFERROR(IF([2]对账明细接口!$O1137=0,"",[2]对账明细接口!$O1137),"")</f>
      </c>
      <c r="U1137" s="212">
        <f>IFERROR(IF([2]对账明细接口!$P1137=0,"",[2]对账明细接口!$P1137),"")</f>
      </c>
      <c r="V1137" s="212">
        <f>IFERROR(IF([2]对账明细接口!$Q1137=0,"",[2]对账明细接口!$Q1137),"")</f>
      </c>
      <c r="W1137" s="20">
        <f>IFERROR(IF([2]对账明细接口!$R1137=0,"",[2]对账明细接口!$R1137),"")</f>
      </c>
      <c r="X1137" s="20">
        <f>IFERROR(IF([2]对账明细接口!$S1137=0,"",[2]对账明细接口!$S1137),"")</f>
      </c>
      <c r="Y1137" s="20">
        <f>""</f>
      </c>
      <c r="Z1137" s="20">
        <f>""</f>
      </c>
      <c r="AA1137" s="20">
        <f>""</f>
      </c>
      <c r="AB1137" s="20">
        <f>""</f>
      </c>
    </row>
    <row r="1138" s="127">
      <c r="A1138" s="14" t="n">
        <v>1138</v>
      </c>
      <c r="B1138" s="211">
        <f>IFERROR(IF([2]对账明细接口!$B$1138=0,"",[2]对账明细接口!$B$1138),"")</f>
      </c>
      <c r="C1138" s="16">
        <f>IFERROR(IF([2]对账明细接口!$C$1138=0,"",[2]对账明细接口!$C$1138),"")</f>
      </c>
      <c r="D1138" s="16">
        <f>IFERROR(IF([2]对账明细接口!$D$1138=0,"",[2]对账明细接口!$D$1138),"")</f>
      </c>
      <c r="E1138" s="16">
        <f>IFERROR(IF([2]对账明细接口!$E$1138=0,"",[2]对账明细接口!$E$1138),"")</f>
      </c>
      <c r="F1138" s="16">
        <f>IFERROR(IF([2]对账明细接口!$F$1138=0,"",[2]对账明细接口!$F$1138),"")</f>
      </c>
      <c r="G1138" s="16">
        <f>IFERROR(IF([2]对账明细接口!$G$1138=0,"",[2]对账明细接口!$G$1138),"")</f>
      </c>
      <c r="H1138" s="176">
        <f>IFERROR(IF([2]对账明细接口!$H$1138=0,"",[2]对账明细接口!$H$1138),"")</f>
      </c>
      <c r="I1138" s="16">
        <f>IFERROR(IF([2]对账明细接口!$I$1138=0,"",[2]对账明细接口!$I$1138),"")</f>
      </c>
      <c r="J1138" s="177">
        <f>IFERROR(IF([2]对账明细接口!$J$1138=0,"",[2]对账明细接口!$J$1138),"")</f>
      </c>
      <c r="K1138" s="177">
        <f>IFERROR(IF([2]对账明细接口!$K$1138=0,"",[2]对账明细接口!$K$1138),"")</f>
      </c>
      <c r="L1138" s="16">
        <f>IFERROR(IF([2]对账明细接口!$L$1138=0,"",[2]对账明细接口!$L$1138),"")</f>
      </c>
      <c r="M1138" s="16">
        <f>IFERROR(IF([2]对账明细接口!$M$1138=0,"",[2]对账明细接口!$M$1138),"")</f>
      </c>
      <c r="N1138" s="19">
        <f>IF($C1138="",0,1)</f>
        <v>0</v>
      </c>
      <c r="O1138" s="19">
        <f>N(O1137)+$N1138</f>
        <v>272</v>
      </c>
      <c r="S1138" s="20">
        <f>IFERROR(IF([2]对账明细接口!$N1138=0,"",[2]对账明细接口!$N1138),"")</f>
      </c>
      <c r="T1138" s="212">
        <f>IFERROR(IF([2]对账明细接口!$O1138=0,"",[2]对账明细接口!$O1138),"")</f>
      </c>
      <c r="U1138" s="212">
        <f>IFERROR(IF([2]对账明细接口!$P1138=0,"",[2]对账明细接口!$P1138),"")</f>
      </c>
      <c r="V1138" s="212">
        <f>IFERROR(IF([2]对账明细接口!$Q1138=0,"",[2]对账明细接口!$Q1138),"")</f>
      </c>
      <c r="W1138" s="20">
        <f>IFERROR(IF([2]对账明细接口!$R1138=0,"",[2]对账明细接口!$R1138),"")</f>
      </c>
      <c r="X1138" s="20">
        <f>IFERROR(IF([2]对账明细接口!$S1138=0,"",[2]对账明细接口!$S1138),"")</f>
      </c>
      <c r="Y1138" s="20">
        <f>""</f>
      </c>
      <c r="Z1138" s="20">
        <f>""</f>
      </c>
      <c r="AA1138" s="20">
        <f>""</f>
      </c>
      <c r="AB1138" s="20">
        <f>""</f>
      </c>
    </row>
    <row r="1139" s="127">
      <c r="A1139" s="14" t="n">
        <v>1139</v>
      </c>
      <c r="B1139" s="211">
        <f>IFERROR(IF([2]对账明细接口!$B$1139=0,"",[2]对账明细接口!$B$1139),"")</f>
      </c>
      <c r="C1139" s="16">
        <f>IFERROR(IF([2]对账明细接口!$C$1139=0,"",[2]对账明细接口!$C$1139),"")</f>
      </c>
      <c r="D1139" s="16">
        <f>IFERROR(IF([2]对账明细接口!$D$1139=0,"",[2]对账明细接口!$D$1139),"")</f>
      </c>
      <c r="E1139" s="16">
        <f>IFERROR(IF([2]对账明细接口!$E$1139=0,"",[2]对账明细接口!$E$1139),"")</f>
      </c>
      <c r="F1139" s="16">
        <f>IFERROR(IF([2]对账明细接口!$F$1139=0,"",[2]对账明细接口!$F$1139),"")</f>
      </c>
      <c r="G1139" s="16">
        <f>IFERROR(IF([2]对账明细接口!$G$1139=0,"",[2]对账明细接口!$G$1139),"")</f>
      </c>
      <c r="H1139" s="176">
        <f>IFERROR(IF([2]对账明细接口!$H$1139=0,"",[2]对账明细接口!$H$1139),"")</f>
      </c>
      <c r="I1139" s="16">
        <f>IFERROR(IF([2]对账明细接口!$I$1139=0,"",[2]对账明细接口!$I$1139),"")</f>
      </c>
      <c r="J1139" s="177">
        <f>IFERROR(IF([2]对账明细接口!$J$1139=0,"",[2]对账明细接口!$J$1139),"")</f>
      </c>
      <c r="K1139" s="177">
        <f>IFERROR(IF([2]对账明细接口!$K$1139=0,"",[2]对账明细接口!$K$1139),"")</f>
      </c>
      <c r="L1139" s="16">
        <f>IFERROR(IF([2]对账明细接口!$L$1139=0,"",[2]对账明细接口!$L$1139),"")</f>
      </c>
      <c r="M1139" s="16">
        <f>IFERROR(IF([2]对账明细接口!$M$1139=0,"",[2]对账明细接口!$M$1139),"")</f>
      </c>
      <c r="N1139" s="19">
        <f>IF($C1139="",0,1)</f>
        <v>0</v>
      </c>
      <c r="O1139" s="19">
        <f>N(O1138)+$N1139</f>
        <v>272</v>
      </c>
      <c r="S1139" s="20">
        <f>IFERROR(IF([2]对账明细接口!$N1139=0,"",[2]对账明细接口!$N1139),"")</f>
      </c>
      <c r="T1139" s="212">
        <f>IFERROR(IF([2]对账明细接口!$O1139=0,"",[2]对账明细接口!$O1139),"")</f>
      </c>
      <c r="U1139" s="212">
        <f>IFERROR(IF([2]对账明细接口!$P1139=0,"",[2]对账明细接口!$P1139),"")</f>
      </c>
      <c r="V1139" s="212">
        <f>IFERROR(IF([2]对账明细接口!$Q1139=0,"",[2]对账明细接口!$Q1139),"")</f>
      </c>
      <c r="W1139" s="20">
        <f>IFERROR(IF([2]对账明细接口!$R1139=0,"",[2]对账明细接口!$R1139),"")</f>
      </c>
      <c r="X1139" s="20">
        <f>IFERROR(IF([2]对账明细接口!$S1139=0,"",[2]对账明细接口!$S1139),"")</f>
      </c>
      <c r="Y1139" s="20">
        <f>""</f>
      </c>
      <c r="Z1139" s="20">
        <f>""</f>
      </c>
      <c r="AA1139" s="20">
        <f>""</f>
      </c>
      <c r="AB1139" s="20">
        <f>""</f>
      </c>
    </row>
    <row r="1140" s="127">
      <c r="A1140" s="14" t="n">
        <v>1140</v>
      </c>
      <c r="B1140" s="211">
        <f>IFERROR(IF([2]对账明细接口!$B$1140=0,"",[2]对账明细接口!$B$1140),"")</f>
      </c>
      <c r="C1140" s="16">
        <f>IFERROR(IF([2]对账明细接口!$C$1140=0,"",[2]对账明细接口!$C$1140),"")</f>
      </c>
      <c r="D1140" s="16">
        <f>IFERROR(IF([2]对账明细接口!$D$1140=0,"",[2]对账明细接口!$D$1140),"")</f>
      </c>
      <c r="E1140" s="16">
        <f>IFERROR(IF([2]对账明细接口!$E$1140=0,"",[2]对账明细接口!$E$1140),"")</f>
      </c>
      <c r="F1140" s="16">
        <f>IFERROR(IF([2]对账明细接口!$F$1140=0,"",[2]对账明细接口!$F$1140),"")</f>
      </c>
      <c r="G1140" s="16">
        <f>IFERROR(IF([2]对账明细接口!$G$1140=0,"",[2]对账明细接口!$G$1140),"")</f>
      </c>
      <c r="H1140" s="176">
        <f>IFERROR(IF([2]对账明细接口!$H$1140=0,"",[2]对账明细接口!$H$1140),"")</f>
      </c>
      <c r="I1140" s="16">
        <f>IFERROR(IF([2]对账明细接口!$I$1140=0,"",[2]对账明细接口!$I$1140),"")</f>
      </c>
      <c r="J1140" s="177">
        <f>IFERROR(IF([2]对账明细接口!$J$1140=0,"",[2]对账明细接口!$J$1140),"")</f>
      </c>
      <c r="K1140" s="177">
        <f>IFERROR(IF([2]对账明细接口!$K$1140=0,"",[2]对账明细接口!$K$1140),"")</f>
      </c>
      <c r="L1140" s="16">
        <f>IFERROR(IF([2]对账明细接口!$L$1140=0,"",[2]对账明细接口!$L$1140),"")</f>
      </c>
      <c r="M1140" s="16">
        <f>IFERROR(IF([2]对账明细接口!$M$1140=0,"",[2]对账明细接口!$M$1140),"")</f>
      </c>
      <c r="N1140" s="19">
        <f>IF($C1140="",0,1)</f>
        <v>0</v>
      </c>
      <c r="O1140" s="19">
        <f>N(O1139)+$N1140</f>
        <v>272</v>
      </c>
      <c r="S1140" s="20">
        <f>IFERROR(IF([2]对账明细接口!$N1140=0,"",[2]对账明细接口!$N1140),"")</f>
      </c>
      <c r="T1140" s="212">
        <f>IFERROR(IF([2]对账明细接口!$O1140=0,"",[2]对账明细接口!$O1140),"")</f>
      </c>
      <c r="U1140" s="212">
        <f>IFERROR(IF([2]对账明细接口!$P1140=0,"",[2]对账明细接口!$P1140),"")</f>
      </c>
      <c r="V1140" s="212">
        <f>IFERROR(IF([2]对账明细接口!$Q1140=0,"",[2]对账明细接口!$Q1140),"")</f>
      </c>
      <c r="W1140" s="20">
        <f>IFERROR(IF([2]对账明细接口!$R1140=0,"",[2]对账明细接口!$R1140),"")</f>
      </c>
      <c r="X1140" s="20">
        <f>IFERROR(IF([2]对账明细接口!$S1140=0,"",[2]对账明细接口!$S1140),"")</f>
      </c>
      <c r="Y1140" s="20">
        <f>""</f>
      </c>
      <c r="Z1140" s="20">
        <f>""</f>
      </c>
      <c r="AA1140" s="20">
        <f>""</f>
      </c>
      <c r="AB1140" s="20">
        <f>""</f>
      </c>
    </row>
    <row r="1141" s="127">
      <c r="A1141" s="14" t="n">
        <v>1141</v>
      </c>
      <c r="B1141" s="211">
        <f>IFERROR(IF([2]对账明细接口!$B$1141=0,"",[2]对账明细接口!$B$1141),"")</f>
      </c>
      <c r="C1141" s="16">
        <f>IFERROR(IF([2]对账明细接口!$C$1141=0,"",[2]对账明细接口!$C$1141),"")</f>
      </c>
      <c r="D1141" s="16">
        <f>IFERROR(IF([2]对账明细接口!$D$1141=0,"",[2]对账明细接口!$D$1141),"")</f>
      </c>
      <c r="E1141" s="16">
        <f>IFERROR(IF([2]对账明细接口!$E$1141=0,"",[2]对账明细接口!$E$1141),"")</f>
      </c>
      <c r="F1141" s="16">
        <f>IFERROR(IF([2]对账明细接口!$F$1141=0,"",[2]对账明细接口!$F$1141),"")</f>
      </c>
      <c r="G1141" s="16">
        <f>IFERROR(IF([2]对账明细接口!$G$1141=0,"",[2]对账明细接口!$G$1141),"")</f>
      </c>
      <c r="H1141" s="176">
        <f>IFERROR(IF([2]对账明细接口!$H$1141=0,"",[2]对账明细接口!$H$1141),"")</f>
      </c>
      <c r="I1141" s="16">
        <f>IFERROR(IF([2]对账明细接口!$I$1141=0,"",[2]对账明细接口!$I$1141),"")</f>
      </c>
      <c r="J1141" s="177">
        <f>IFERROR(IF([2]对账明细接口!$J$1141=0,"",[2]对账明细接口!$J$1141),"")</f>
      </c>
      <c r="K1141" s="177">
        <f>IFERROR(IF([2]对账明细接口!$K$1141=0,"",[2]对账明细接口!$K$1141),"")</f>
      </c>
      <c r="L1141" s="16">
        <f>IFERROR(IF([2]对账明细接口!$L$1141=0,"",[2]对账明细接口!$L$1141),"")</f>
      </c>
      <c r="M1141" s="16">
        <f>IFERROR(IF([2]对账明细接口!$M$1141=0,"",[2]对账明细接口!$M$1141),"")</f>
      </c>
      <c r="N1141" s="19">
        <f>IF($C1141="",0,1)</f>
        <v>0</v>
      </c>
      <c r="O1141" s="19">
        <f>N(O1140)+$N1141</f>
        <v>272</v>
      </c>
      <c r="S1141" s="20">
        <f>IFERROR(IF([2]对账明细接口!$N1141=0,"",[2]对账明细接口!$N1141),"")</f>
      </c>
      <c r="T1141" s="212">
        <f>IFERROR(IF([2]对账明细接口!$O1141=0,"",[2]对账明细接口!$O1141),"")</f>
      </c>
      <c r="U1141" s="212">
        <f>IFERROR(IF([2]对账明细接口!$P1141=0,"",[2]对账明细接口!$P1141),"")</f>
      </c>
      <c r="V1141" s="212">
        <f>IFERROR(IF([2]对账明细接口!$Q1141=0,"",[2]对账明细接口!$Q1141),"")</f>
      </c>
      <c r="W1141" s="20">
        <f>IFERROR(IF([2]对账明细接口!$R1141=0,"",[2]对账明细接口!$R1141),"")</f>
      </c>
      <c r="X1141" s="20">
        <f>IFERROR(IF([2]对账明细接口!$S1141=0,"",[2]对账明细接口!$S1141),"")</f>
      </c>
      <c r="Y1141" s="20">
        <f>""</f>
      </c>
      <c r="Z1141" s="20">
        <f>""</f>
      </c>
      <c r="AA1141" s="20">
        <f>""</f>
      </c>
      <c r="AB1141" s="20">
        <f>""</f>
      </c>
    </row>
    <row r="1142" s="127">
      <c r="A1142" s="14" t="n">
        <v>1142</v>
      </c>
      <c r="B1142" s="211">
        <f>IFERROR(IF([2]对账明细接口!$B$1142=0,"",[2]对账明细接口!$B$1142),"")</f>
      </c>
      <c r="C1142" s="16">
        <f>IFERROR(IF([2]对账明细接口!$C$1142=0,"",[2]对账明细接口!$C$1142),"")</f>
      </c>
      <c r="D1142" s="16">
        <f>IFERROR(IF([2]对账明细接口!$D$1142=0,"",[2]对账明细接口!$D$1142),"")</f>
      </c>
      <c r="E1142" s="16">
        <f>IFERROR(IF([2]对账明细接口!$E$1142=0,"",[2]对账明细接口!$E$1142),"")</f>
      </c>
      <c r="F1142" s="16">
        <f>IFERROR(IF([2]对账明细接口!$F$1142=0,"",[2]对账明细接口!$F$1142),"")</f>
      </c>
      <c r="G1142" s="16">
        <f>IFERROR(IF([2]对账明细接口!$G$1142=0,"",[2]对账明细接口!$G$1142),"")</f>
      </c>
      <c r="H1142" s="176">
        <f>IFERROR(IF([2]对账明细接口!$H$1142=0,"",[2]对账明细接口!$H$1142),"")</f>
      </c>
      <c r="I1142" s="16">
        <f>IFERROR(IF([2]对账明细接口!$I$1142=0,"",[2]对账明细接口!$I$1142),"")</f>
      </c>
      <c r="J1142" s="177">
        <f>IFERROR(IF([2]对账明细接口!$J$1142=0,"",[2]对账明细接口!$J$1142),"")</f>
      </c>
      <c r="K1142" s="177">
        <f>IFERROR(IF([2]对账明细接口!$K$1142=0,"",[2]对账明细接口!$K$1142),"")</f>
      </c>
      <c r="L1142" s="16">
        <f>IFERROR(IF([2]对账明细接口!$L$1142=0,"",[2]对账明细接口!$L$1142),"")</f>
      </c>
      <c r="M1142" s="16">
        <f>IFERROR(IF([2]对账明细接口!$M$1142=0,"",[2]对账明细接口!$M$1142),"")</f>
      </c>
      <c r="N1142" s="19">
        <f>IF($C1142="",0,1)</f>
        <v>0</v>
      </c>
      <c r="O1142" s="19">
        <f>N(O1141)+$N1142</f>
        <v>272</v>
      </c>
      <c r="S1142" s="20">
        <f>IFERROR(IF([2]对账明细接口!$N1142=0,"",[2]对账明细接口!$N1142),"")</f>
      </c>
      <c r="T1142" s="212">
        <f>IFERROR(IF([2]对账明细接口!$O1142=0,"",[2]对账明细接口!$O1142),"")</f>
      </c>
      <c r="U1142" s="212">
        <f>IFERROR(IF([2]对账明细接口!$P1142=0,"",[2]对账明细接口!$P1142),"")</f>
      </c>
      <c r="V1142" s="212">
        <f>IFERROR(IF([2]对账明细接口!$Q1142=0,"",[2]对账明细接口!$Q1142),"")</f>
      </c>
      <c r="W1142" s="20">
        <f>IFERROR(IF([2]对账明细接口!$R1142=0,"",[2]对账明细接口!$R1142),"")</f>
      </c>
      <c r="X1142" s="20">
        <f>IFERROR(IF([2]对账明细接口!$S1142=0,"",[2]对账明细接口!$S1142),"")</f>
      </c>
      <c r="Y1142" s="20">
        <f>""</f>
      </c>
      <c r="Z1142" s="20">
        <f>""</f>
      </c>
      <c r="AA1142" s="20">
        <f>""</f>
      </c>
      <c r="AB1142" s="20">
        <f>""</f>
      </c>
    </row>
    <row r="1143" s="127">
      <c r="A1143" s="14" t="n">
        <v>1143</v>
      </c>
      <c r="B1143" s="211">
        <f>IFERROR(IF([2]对账明细接口!$B$1143=0,"",[2]对账明细接口!$B$1143),"")</f>
      </c>
      <c r="C1143" s="16">
        <f>IFERROR(IF([2]对账明细接口!$C$1143=0,"",[2]对账明细接口!$C$1143),"")</f>
      </c>
      <c r="D1143" s="16">
        <f>IFERROR(IF([2]对账明细接口!$D$1143=0,"",[2]对账明细接口!$D$1143),"")</f>
      </c>
      <c r="E1143" s="16">
        <f>IFERROR(IF([2]对账明细接口!$E$1143=0,"",[2]对账明细接口!$E$1143),"")</f>
      </c>
      <c r="F1143" s="16">
        <f>IFERROR(IF([2]对账明细接口!$F$1143=0,"",[2]对账明细接口!$F$1143),"")</f>
      </c>
      <c r="G1143" s="16">
        <f>IFERROR(IF([2]对账明细接口!$G$1143=0,"",[2]对账明细接口!$G$1143),"")</f>
      </c>
      <c r="H1143" s="176">
        <f>IFERROR(IF([2]对账明细接口!$H$1143=0,"",[2]对账明细接口!$H$1143),"")</f>
      </c>
      <c r="I1143" s="16">
        <f>IFERROR(IF([2]对账明细接口!$I$1143=0,"",[2]对账明细接口!$I$1143),"")</f>
      </c>
      <c r="J1143" s="177">
        <f>IFERROR(IF([2]对账明细接口!$J$1143=0,"",[2]对账明细接口!$J$1143),"")</f>
      </c>
      <c r="K1143" s="177">
        <f>IFERROR(IF([2]对账明细接口!$K$1143=0,"",[2]对账明细接口!$K$1143),"")</f>
      </c>
      <c r="L1143" s="16">
        <f>IFERROR(IF([2]对账明细接口!$L$1143=0,"",[2]对账明细接口!$L$1143),"")</f>
      </c>
      <c r="M1143" s="16">
        <f>IFERROR(IF([2]对账明细接口!$M$1143=0,"",[2]对账明细接口!$M$1143),"")</f>
      </c>
      <c r="N1143" s="19">
        <f>IF($C1143="",0,1)</f>
        <v>0</v>
      </c>
      <c r="O1143" s="19">
        <f>N(O1142)+$N1143</f>
        <v>272</v>
      </c>
      <c r="S1143" s="20">
        <f>IFERROR(IF([2]对账明细接口!$N1143=0,"",[2]对账明细接口!$N1143),"")</f>
      </c>
      <c r="T1143" s="212">
        <f>IFERROR(IF([2]对账明细接口!$O1143=0,"",[2]对账明细接口!$O1143),"")</f>
      </c>
      <c r="U1143" s="212">
        <f>IFERROR(IF([2]对账明细接口!$P1143=0,"",[2]对账明细接口!$P1143),"")</f>
      </c>
      <c r="V1143" s="212">
        <f>IFERROR(IF([2]对账明细接口!$Q1143=0,"",[2]对账明细接口!$Q1143),"")</f>
      </c>
      <c r="W1143" s="20">
        <f>IFERROR(IF([2]对账明细接口!$R1143=0,"",[2]对账明细接口!$R1143),"")</f>
      </c>
      <c r="X1143" s="20">
        <f>IFERROR(IF([2]对账明细接口!$S1143=0,"",[2]对账明细接口!$S1143),"")</f>
      </c>
      <c r="Y1143" s="20">
        <f>""</f>
      </c>
      <c r="Z1143" s="20">
        <f>""</f>
      </c>
      <c r="AA1143" s="20">
        <f>""</f>
      </c>
      <c r="AB1143" s="20">
        <f>""</f>
      </c>
    </row>
    <row r="1144" s="127">
      <c r="A1144" s="14" t="n">
        <v>1144</v>
      </c>
      <c r="B1144" s="211">
        <f>IFERROR(IF([2]对账明细接口!$B$1144=0,"",[2]对账明细接口!$B$1144),"")</f>
      </c>
      <c r="C1144" s="16">
        <f>IFERROR(IF([2]对账明细接口!$C$1144=0,"",[2]对账明细接口!$C$1144),"")</f>
      </c>
      <c r="D1144" s="16">
        <f>IFERROR(IF([2]对账明细接口!$D$1144=0,"",[2]对账明细接口!$D$1144),"")</f>
      </c>
      <c r="E1144" s="16">
        <f>IFERROR(IF([2]对账明细接口!$E$1144=0,"",[2]对账明细接口!$E$1144),"")</f>
      </c>
      <c r="F1144" s="16">
        <f>IFERROR(IF([2]对账明细接口!$F$1144=0,"",[2]对账明细接口!$F$1144),"")</f>
      </c>
      <c r="G1144" s="16">
        <f>IFERROR(IF([2]对账明细接口!$G$1144=0,"",[2]对账明细接口!$G$1144),"")</f>
      </c>
      <c r="H1144" s="176">
        <f>IFERROR(IF([2]对账明细接口!$H$1144=0,"",[2]对账明细接口!$H$1144),"")</f>
      </c>
      <c r="I1144" s="16">
        <f>IFERROR(IF([2]对账明细接口!$I$1144=0,"",[2]对账明细接口!$I$1144),"")</f>
      </c>
      <c r="J1144" s="177">
        <f>IFERROR(IF([2]对账明细接口!$J$1144=0,"",[2]对账明细接口!$J$1144),"")</f>
      </c>
      <c r="K1144" s="177">
        <f>IFERROR(IF([2]对账明细接口!$K$1144=0,"",[2]对账明细接口!$K$1144),"")</f>
      </c>
      <c r="L1144" s="16">
        <f>IFERROR(IF([2]对账明细接口!$L$1144=0,"",[2]对账明细接口!$L$1144),"")</f>
      </c>
      <c r="M1144" s="16">
        <f>IFERROR(IF([2]对账明细接口!$M$1144=0,"",[2]对账明细接口!$M$1144),"")</f>
      </c>
      <c r="N1144" s="19">
        <f>IF($C1144="",0,1)</f>
        <v>0</v>
      </c>
      <c r="O1144" s="19">
        <f>N(O1143)+$N1144</f>
        <v>272</v>
      </c>
      <c r="S1144" s="20">
        <f>IFERROR(IF([2]对账明细接口!$N1144=0,"",[2]对账明细接口!$N1144),"")</f>
      </c>
      <c r="T1144" s="212">
        <f>IFERROR(IF([2]对账明细接口!$O1144=0,"",[2]对账明细接口!$O1144),"")</f>
      </c>
      <c r="U1144" s="212">
        <f>IFERROR(IF([2]对账明细接口!$P1144=0,"",[2]对账明细接口!$P1144),"")</f>
      </c>
      <c r="V1144" s="212">
        <f>IFERROR(IF([2]对账明细接口!$Q1144=0,"",[2]对账明细接口!$Q1144),"")</f>
      </c>
      <c r="W1144" s="20">
        <f>IFERROR(IF([2]对账明细接口!$R1144=0,"",[2]对账明细接口!$R1144),"")</f>
      </c>
      <c r="X1144" s="20">
        <f>IFERROR(IF([2]对账明细接口!$S1144=0,"",[2]对账明细接口!$S1144),"")</f>
      </c>
      <c r="Y1144" s="20">
        <f>""</f>
      </c>
      <c r="Z1144" s="20">
        <f>""</f>
      </c>
      <c r="AA1144" s="20">
        <f>""</f>
      </c>
      <c r="AB1144" s="20">
        <f>""</f>
      </c>
    </row>
    <row r="1145" s="127">
      <c r="A1145" s="14" t="n">
        <v>1145</v>
      </c>
      <c r="B1145" s="211">
        <f>IFERROR(IF([2]对账明细接口!$B$1145=0,"",[2]对账明细接口!$B$1145),"")</f>
      </c>
      <c r="C1145" s="16">
        <f>IFERROR(IF([2]对账明细接口!$C$1145=0,"",[2]对账明细接口!$C$1145),"")</f>
      </c>
      <c r="D1145" s="16">
        <f>IFERROR(IF([2]对账明细接口!$D$1145=0,"",[2]对账明细接口!$D$1145),"")</f>
      </c>
      <c r="E1145" s="16">
        <f>IFERROR(IF([2]对账明细接口!$E$1145=0,"",[2]对账明细接口!$E$1145),"")</f>
      </c>
      <c r="F1145" s="16">
        <f>IFERROR(IF([2]对账明细接口!$F$1145=0,"",[2]对账明细接口!$F$1145),"")</f>
      </c>
      <c r="G1145" s="16">
        <f>IFERROR(IF([2]对账明细接口!$G$1145=0,"",[2]对账明细接口!$G$1145),"")</f>
      </c>
      <c r="H1145" s="176">
        <f>IFERROR(IF([2]对账明细接口!$H$1145=0,"",[2]对账明细接口!$H$1145),"")</f>
      </c>
      <c r="I1145" s="16">
        <f>IFERROR(IF([2]对账明细接口!$I$1145=0,"",[2]对账明细接口!$I$1145),"")</f>
      </c>
      <c r="J1145" s="177">
        <f>IFERROR(IF([2]对账明细接口!$J$1145=0,"",[2]对账明细接口!$J$1145),"")</f>
      </c>
      <c r="K1145" s="177">
        <f>IFERROR(IF([2]对账明细接口!$K$1145=0,"",[2]对账明细接口!$K$1145),"")</f>
      </c>
      <c r="L1145" s="16">
        <f>IFERROR(IF([2]对账明细接口!$L$1145=0,"",[2]对账明细接口!$L$1145),"")</f>
      </c>
      <c r="M1145" s="16">
        <f>IFERROR(IF([2]对账明细接口!$M$1145=0,"",[2]对账明细接口!$M$1145),"")</f>
      </c>
      <c r="N1145" s="19">
        <f>IF($C1145="",0,1)</f>
        <v>0</v>
      </c>
      <c r="O1145" s="19">
        <f>N(O1144)+$N1145</f>
        <v>272</v>
      </c>
      <c r="S1145" s="20">
        <f>IFERROR(IF([2]对账明细接口!$N1145=0,"",[2]对账明细接口!$N1145),"")</f>
      </c>
      <c r="T1145" s="212">
        <f>IFERROR(IF([2]对账明细接口!$O1145=0,"",[2]对账明细接口!$O1145),"")</f>
      </c>
      <c r="U1145" s="212">
        <f>IFERROR(IF([2]对账明细接口!$P1145=0,"",[2]对账明细接口!$P1145),"")</f>
      </c>
      <c r="V1145" s="212">
        <f>IFERROR(IF([2]对账明细接口!$Q1145=0,"",[2]对账明细接口!$Q1145),"")</f>
      </c>
      <c r="W1145" s="20">
        <f>IFERROR(IF([2]对账明细接口!$R1145=0,"",[2]对账明细接口!$R1145),"")</f>
      </c>
      <c r="X1145" s="20">
        <f>IFERROR(IF([2]对账明细接口!$S1145=0,"",[2]对账明细接口!$S1145),"")</f>
      </c>
      <c r="Y1145" s="20">
        <f>""</f>
      </c>
      <c r="Z1145" s="20">
        <f>""</f>
      </c>
      <c r="AA1145" s="20">
        <f>""</f>
      </c>
      <c r="AB1145" s="20">
        <f>""</f>
      </c>
    </row>
    <row r="1146" s="127">
      <c r="A1146" s="14" t="n">
        <v>1146</v>
      </c>
      <c r="B1146" s="211">
        <f>IFERROR(IF([2]对账明细接口!$B$1146=0,"",[2]对账明细接口!$B$1146),"")</f>
      </c>
      <c r="C1146" s="16">
        <f>IFERROR(IF([2]对账明细接口!$C$1146=0,"",[2]对账明细接口!$C$1146),"")</f>
      </c>
      <c r="D1146" s="16">
        <f>IFERROR(IF([2]对账明细接口!$D$1146=0,"",[2]对账明细接口!$D$1146),"")</f>
      </c>
      <c r="E1146" s="16">
        <f>IFERROR(IF([2]对账明细接口!$E$1146=0,"",[2]对账明细接口!$E$1146),"")</f>
      </c>
      <c r="F1146" s="16">
        <f>IFERROR(IF([2]对账明细接口!$F$1146=0,"",[2]对账明细接口!$F$1146),"")</f>
      </c>
      <c r="G1146" s="16">
        <f>IFERROR(IF([2]对账明细接口!$G$1146=0,"",[2]对账明细接口!$G$1146),"")</f>
      </c>
      <c r="H1146" s="176">
        <f>IFERROR(IF([2]对账明细接口!$H$1146=0,"",[2]对账明细接口!$H$1146),"")</f>
      </c>
      <c r="I1146" s="16">
        <f>IFERROR(IF([2]对账明细接口!$I$1146=0,"",[2]对账明细接口!$I$1146),"")</f>
      </c>
      <c r="J1146" s="177">
        <f>IFERROR(IF([2]对账明细接口!$J$1146=0,"",[2]对账明细接口!$J$1146),"")</f>
      </c>
      <c r="K1146" s="177">
        <f>IFERROR(IF([2]对账明细接口!$K$1146=0,"",[2]对账明细接口!$K$1146),"")</f>
      </c>
      <c r="L1146" s="16">
        <f>IFERROR(IF([2]对账明细接口!$L$1146=0,"",[2]对账明细接口!$L$1146),"")</f>
      </c>
      <c r="M1146" s="16">
        <f>IFERROR(IF([2]对账明细接口!$M$1146=0,"",[2]对账明细接口!$M$1146),"")</f>
      </c>
      <c r="N1146" s="19">
        <f>IF($C1146="",0,1)</f>
        <v>0</v>
      </c>
      <c r="O1146" s="19">
        <f>N(O1145)+$N1146</f>
        <v>272</v>
      </c>
      <c r="S1146" s="20">
        <f>IFERROR(IF([2]对账明细接口!$N1146=0,"",[2]对账明细接口!$N1146),"")</f>
      </c>
      <c r="T1146" s="212">
        <f>IFERROR(IF([2]对账明细接口!$O1146=0,"",[2]对账明细接口!$O1146),"")</f>
      </c>
      <c r="U1146" s="212">
        <f>IFERROR(IF([2]对账明细接口!$P1146=0,"",[2]对账明细接口!$P1146),"")</f>
      </c>
      <c r="V1146" s="212">
        <f>IFERROR(IF([2]对账明细接口!$Q1146=0,"",[2]对账明细接口!$Q1146),"")</f>
      </c>
      <c r="W1146" s="20">
        <f>IFERROR(IF([2]对账明细接口!$R1146=0,"",[2]对账明细接口!$R1146),"")</f>
      </c>
      <c r="X1146" s="20">
        <f>IFERROR(IF([2]对账明细接口!$S1146=0,"",[2]对账明细接口!$S1146),"")</f>
      </c>
      <c r="Y1146" s="20">
        <f>""</f>
      </c>
      <c r="Z1146" s="20">
        <f>""</f>
      </c>
      <c r="AA1146" s="20">
        <f>""</f>
      </c>
      <c r="AB1146" s="20">
        <f>""</f>
      </c>
    </row>
    <row r="1147" s="127">
      <c r="A1147" s="14" t="n">
        <v>1147</v>
      </c>
      <c r="B1147" s="211">
        <f>IFERROR(IF([2]对账明细接口!$B$1147=0,"",[2]对账明细接口!$B$1147),"")</f>
      </c>
      <c r="C1147" s="16">
        <f>IFERROR(IF([2]对账明细接口!$C$1147=0,"",[2]对账明细接口!$C$1147),"")</f>
      </c>
      <c r="D1147" s="16">
        <f>IFERROR(IF([2]对账明细接口!$D$1147=0,"",[2]对账明细接口!$D$1147),"")</f>
      </c>
      <c r="E1147" s="16">
        <f>IFERROR(IF([2]对账明细接口!$E$1147=0,"",[2]对账明细接口!$E$1147),"")</f>
      </c>
      <c r="F1147" s="16">
        <f>IFERROR(IF([2]对账明细接口!$F$1147=0,"",[2]对账明细接口!$F$1147),"")</f>
      </c>
      <c r="G1147" s="16">
        <f>IFERROR(IF([2]对账明细接口!$G$1147=0,"",[2]对账明细接口!$G$1147),"")</f>
      </c>
      <c r="H1147" s="176">
        <f>IFERROR(IF([2]对账明细接口!$H$1147=0,"",[2]对账明细接口!$H$1147),"")</f>
      </c>
      <c r="I1147" s="16">
        <f>IFERROR(IF([2]对账明细接口!$I$1147=0,"",[2]对账明细接口!$I$1147),"")</f>
      </c>
      <c r="J1147" s="177">
        <f>IFERROR(IF([2]对账明细接口!$J$1147=0,"",[2]对账明细接口!$J$1147),"")</f>
      </c>
      <c r="K1147" s="177">
        <f>IFERROR(IF([2]对账明细接口!$K$1147=0,"",[2]对账明细接口!$K$1147),"")</f>
      </c>
      <c r="L1147" s="16">
        <f>IFERROR(IF([2]对账明细接口!$L$1147=0,"",[2]对账明细接口!$L$1147),"")</f>
      </c>
      <c r="M1147" s="16">
        <f>IFERROR(IF([2]对账明细接口!$M$1147=0,"",[2]对账明细接口!$M$1147),"")</f>
      </c>
      <c r="N1147" s="19">
        <f>IF($C1147="",0,1)</f>
        <v>0</v>
      </c>
      <c r="O1147" s="19">
        <f>N(O1146)+$N1147</f>
        <v>272</v>
      </c>
      <c r="S1147" s="20">
        <f>IFERROR(IF([2]对账明细接口!$N1147=0,"",[2]对账明细接口!$N1147),"")</f>
      </c>
      <c r="T1147" s="212">
        <f>IFERROR(IF([2]对账明细接口!$O1147=0,"",[2]对账明细接口!$O1147),"")</f>
      </c>
      <c r="U1147" s="212">
        <f>IFERROR(IF([2]对账明细接口!$P1147=0,"",[2]对账明细接口!$P1147),"")</f>
      </c>
      <c r="V1147" s="212">
        <f>IFERROR(IF([2]对账明细接口!$Q1147=0,"",[2]对账明细接口!$Q1147),"")</f>
      </c>
      <c r="W1147" s="20">
        <f>IFERROR(IF([2]对账明细接口!$R1147=0,"",[2]对账明细接口!$R1147),"")</f>
      </c>
      <c r="X1147" s="20">
        <f>IFERROR(IF([2]对账明细接口!$S1147=0,"",[2]对账明细接口!$S1147),"")</f>
      </c>
      <c r="Y1147" s="20">
        <f>""</f>
      </c>
      <c r="Z1147" s="20">
        <f>""</f>
      </c>
      <c r="AA1147" s="20">
        <f>""</f>
      </c>
      <c r="AB1147" s="20">
        <f>""</f>
      </c>
    </row>
    <row r="1148" s="127">
      <c r="A1148" s="14" t="n">
        <v>1148</v>
      </c>
      <c r="B1148" s="211">
        <f>IFERROR(IF([2]对账明细接口!$B$1148=0,"",[2]对账明细接口!$B$1148),"")</f>
      </c>
      <c r="C1148" s="16">
        <f>IFERROR(IF([2]对账明细接口!$C$1148=0,"",[2]对账明细接口!$C$1148),"")</f>
      </c>
      <c r="D1148" s="16">
        <f>IFERROR(IF([2]对账明细接口!$D$1148=0,"",[2]对账明细接口!$D$1148),"")</f>
      </c>
      <c r="E1148" s="16">
        <f>IFERROR(IF([2]对账明细接口!$E$1148=0,"",[2]对账明细接口!$E$1148),"")</f>
      </c>
      <c r="F1148" s="16">
        <f>IFERROR(IF([2]对账明细接口!$F$1148=0,"",[2]对账明细接口!$F$1148),"")</f>
      </c>
      <c r="G1148" s="16">
        <f>IFERROR(IF([2]对账明细接口!$G$1148=0,"",[2]对账明细接口!$G$1148),"")</f>
      </c>
      <c r="H1148" s="176">
        <f>IFERROR(IF([2]对账明细接口!$H$1148=0,"",[2]对账明细接口!$H$1148),"")</f>
      </c>
      <c r="I1148" s="16">
        <f>IFERROR(IF([2]对账明细接口!$I$1148=0,"",[2]对账明细接口!$I$1148),"")</f>
      </c>
      <c r="J1148" s="177">
        <f>IFERROR(IF([2]对账明细接口!$J$1148=0,"",[2]对账明细接口!$J$1148),"")</f>
      </c>
      <c r="K1148" s="177">
        <f>IFERROR(IF([2]对账明细接口!$K$1148=0,"",[2]对账明细接口!$K$1148),"")</f>
      </c>
      <c r="L1148" s="16">
        <f>IFERROR(IF([2]对账明细接口!$L$1148=0,"",[2]对账明细接口!$L$1148),"")</f>
      </c>
      <c r="M1148" s="16">
        <f>IFERROR(IF([2]对账明细接口!$M$1148=0,"",[2]对账明细接口!$M$1148),"")</f>
      </c>
      <c r="N1148" s="19">
        <f>IF($C1148="",0,1)</f>
        <v>0</v>
      </c>
      <c r="O1148" s="19">
        <f>N(O1147)+$N1148</f>
        <v>272</v>
      </c>
      <c r="S1148" s="20">
        <f>IFERROR(IF([2]对账明细接口!$N1148=0,"",[2]对账明细接口!$N1148),"")</f>
      </c>
      <c r="T1148" s="212">
        <f>IFERROR(IF([2]对账明细接口!$O1148=0,"",[2]对账明细接口!$O1148),"")</f>
      </c>
      <c r="U1148" s="212">
        <f>IFERROR(IF([2]对账明细接口!$P1148=0,"",[2]对账明细接口!$P1148),"")</f>
      </c>
      <c r="V1148" s="212">
        <f>IFERROR(IF([2]对账明细接口!$Q1148=0,"",[2]对账明细接口!$Q1148),"")</f>
      </c>
      <c r="W1148" s="20">
        <f>IFERROR(IF([2]对账明细接口!$R1148=0,"",[2]对账明细接口!$R1148),"")</f>
      </c>
      <c r="X1148" s="20">
        <f>IFERROR(IF([2]对账明细接口!$S1148=0,"",[2]对账明细接口!$S1148),"")</f>
      </c>
      <c r="Y1148" s="20">
        <f>""</f>
      </c>
      <c r="Z1148" s="20">
        <f>""</f>
      </c>
      <c r="AA1148" s="20">
        <f>""</f>
      </c>
      <c r="AB1148" s="20">
        <f>""</f>
      </c>
    </row>
    <row r="1149" s="127">
      <c r="A1149" s="14" t="n">
        <v>1149</v>
      </c>
      <c r="B1149" s="211">
        <f>IFERROR(IF([2]对账明细接口!$B$1149=0,"",[2]对账明细接口!$B$1149),"")</f>
      </c>
      <c r="C1149" s="16">
        <f>IFERROR(IF([2]对账明细接口!$C$1149=0,"",[2]对账明细接口!$C$1149),"")</f>
      </c>
      <c r="D1149" s="16">
        <f>IFERROR(IF([2]对账明细接口!$D$1149=0,"",[2]对账明细接口!$D$1149),"")</f>
      </c>
      <c r="E1149" s="16">
        <f>IFERROR(IF([2]对账明细接口!$E$1149=0,"",[2]对账明细接口!$E$1149),"")</f>
      </c>
      <c r="F1149" s="16">
        <f>IFERROR(IF([2]对账明细接口!$F$1149=0,"",[2]对账明细接口!$F$1149),"")</f>
      </c>
      <c r="G1149" s="16">
        <f>IFERROR(IF([2]对账明细接口!$G$1149=0,"",[2]对账明细接口!$G$1149),"")</f>
      </c>
      <c r="H1149" s="176">
        <f>IFERROR(IF([2]对账明细接口!$H$1149=0,"",[2]对账明细接口!$H$1149),"")</f>
      </c>
      <c r="I1149" s="16">
        <f>IFERROR(IF([2]对账明细接口!$I$1149=0,"",[2]对账明细接口!$I$1149),"")</f>
      </c>
      <c r="J1149" s="177">
        <f>IFERROR(IF([2]对账明细接口!$J$1149=0,"",[2]对账明细接口!$J$1149),"")</f>
      </c>
      <c r="K1149" s="177">
        <f>IFERROR(IF([2]对账明细接口!$K$1149=0,"",[2]对账明细接口!$K$1149),"")</f>
      </c>
      <c r="L1149" s="16">
        <f>IFERROR(IF([2]对账明细接口!$L$1149=0,"",[2]对账明细接口!$L$1149),"")</f>
      </c>
      <c r="M1149" s="16">
        <f>IFERROR(IF([2]对账明细接口!$M$1149=0,"",[2]对账明细接口!$M$1149),"")</f>
      </c>
      <c r="N1149" s="19">
        <f>IF($C1149="",0,1)</f>
        <v>0</v>
      </c>
      <c r="O1149" s="19">
        <f>N(O1148)+$N1149</f>
        <v>272</v>
      </c>
      <c r="S1149" s="20">
        <f>IFERROR(IF([2]对账明细接口!$N1149=0,"",[2]对账明细接口!$N1149),"")</f>
      </c>
      <c r="T1149" s="212">
        <f>IFERROR(IF([2]对账明细接口!$O1149=0,"",[2]对账明细接口!$O1149),"")</f>
      </c>
      <c r="U1149" s="212">
        <f>IFERROR(IF([2]对账明细接口!$P1149=0,"",[2]对账明细接口!$P1149),"")</f>
      </c>
      <c r="V1149" s="212">
        <f>IFERROR(IF([2]对账明细接口!$Q1149=0,"",[2]对账明细接口!$Q1149),"")</f>
      </c>
      <c r="W1149" s="20">
        <f>IFERROR(IF([2]对账明细接口!$R1149=0,"",[2]对账明细接口!$R1149),"")</f>
      </c>
      <c r="X1149" s="20">
        <f>IFERROR(IF([2]对账明细接口!$S1149=0,"",[2]对账明细接口!$S1149),"")</f>
      </c>
      <c r="Y1149" s="20">
        <f>""</f>
      </c>
      <c r="Z1149" s="20">
        <f>""</f>
      </c>
      <c r="AA1149" s="20">
        <f>""</f>
      </c>
      <c r="AB1149" s="20">
        <f>""</f>
      </c>
    </row>
    <row r="1150" s="127">
      <c r="A1150" s="14" t="n">
        <v>1150</v>
      </c>
      <c r="B1150" s="211">
        <f>IFERROR(IF([2]对账明细接口!$B$1150=0,"",[2]对账明细接口!$B$1150),"")</f>
      </c>
      <c r="C1150" s="16">
        <f>IFERROR(IF([2]对账明细接口!$C$1150=0,"",[2]对账明细接口!$C$1150),"")</f>
      </c>
      <c r="D1150" s="16">
        <f>IFERROR(IF([2]对账明细接口!$D$1150=0,"",[2]对账明细接口!$D$1150),"")</f>
      </c>
      <c r="E1150" s="16">
        <f>IFERROR(IF([2]对账明细接口!$E$1150=0,"",[2]对账明细接口!$E$1150),"")</f>
      </c>
      <c r="F1150" s="16">
        <f>IFERROR(IF([2]对账明细接口!$F$1150=0,"",[2]对账明细接口!$F$1150),"")</f>
      </c>
      <c r="G1150" s="16">
        <f>IFERROR(IF([2]对账明细接口!$G$1150=0,"",[2]对账明细接口!$G$1150),"")</f>
      </c>
      <c r="H1150" s="176">
        <f>IFERROR(IF([2]对账明细接口!$H$1150=0,"",[2]对账明细接口!$H$1150),"")</f>
      </c>
      <c r="I1150" s="16">
        <f>IFERROR(IF([2]对账明细接口!$I$1150=0,"",[2]对账明细接口!$I$1150),"")</f>
      </c>
      <c r="J1150" s="177">
        <f>IFERROR(IF([2]对账明细接口!$J$1150=0,"",[2]对账明细接口!$J$1150),"")</f>
      </c>
      <c r="K1150" s="177">
        <f>IFERROR(IF([2]对账明细接口!$K$1150=0,"",[2]对账明细接口!$K$1150),"")</f>
      </c>
      <c r="L1150" s="16">
        <f>IFERROR(IF([2]对账明细接口!$L$1150=0,"",[2]对账明细接口!$L$1150),"")</f>
      </c>
      <c r="M1150" s="16">
        <f>IFERROR(IF([2]对账明细接口!$M$1150=0,"",[2]对账明细接口!$M$1150),"")</f>
      </c>
      <c r="N1150" s="19">
        <f>IF($C1150="",0,1)</f>
        <v>0</v>
      </c>
      <c r="O1150" s="19">
        <f>N(O1149)+$N1150</f>
        <v>272</v>
      </c>
      <c r="S1150" s="20">
        <f>IFERROR(IF([2]对账明细接口!$N1150=0,"",[2]对账明细接口!$N1150),"")</f>
      </c>
      <c r="T1150" s="212">
        <f>IFERROR(IF([2]对账明细接口!$O1150=0,"",[2]对账明细接口!$O1150),"")</f>
      </c>
      <c r="U1150" s="212">
        <f>IFERROR(IF([2]对账明细接口!$P1150=0,"",[2]对账明细接口!$P1150),"")</f>
      </c>
      <c r="V1150" s="212">
        <f>IFERROR(IF([2]对账明细接口!$Q1150=0,"",[2]对账明细接口!$Q1150),"")</f>
      </c>
      <c r="W1150" s="20">
        <f>IFERROR(IF([2]对账明细接口!$R1150=0,"",[2]对账明细接口!$R1150),"")</f>
      </c>
      <c r="X1150" s="20">
        <f>IFERROR(IF([2]对账明细接口!$S1150=0,"",[2]对账明细接口!$S1150),"")</f>
      </c>
      <c r="Y1150" s="20">
        <f>""</f>
      </c>
      <c r="Z1150" s="20">
        <f>""</f>
      </c>
      <c r="AA1150" s="20">
        <f>""</f>
      </c>
      <c r="AB1150" s="20">
        <f>""</f>
      </c>
    </row>
    <row r="1151" s="127">
      <c r="A1151" s="14" t="n">
        <v>1151</v>
      </c>
      <c r="B1151" s="211">
        <f>IFERROR(IF([2]对账明细接口!$B$1151=0,"",[2]对账明细接口!$B$1151),"")</f>
      </c>
      <c r="C1151" s="16">
        <f>IFERROR(IF([2]对账明细接口!$C$1151=0,"",[2]对账明细接口!$C$1151),"")</f>
      </c>
      <c r="D1151" s="16">
        <f>IFERROR(IF([2]对账明细接口!$D$1151=0,"",[2]对账明细接口!$D$1151),"")</f>
      </c>
      <c r="E1151" s="16">
        <f>IFERROR(IF([2]对账明细接口!$E$1151=0,"",[2]对账明细接口!$E$1151),"")</f>
      </c>
      <c r="F1151" s="16">
        <f>IFERROR(IF([2]对账明细接口!$F$1151=0,"",[2]对账明细接口!$F$1151),"")</f>
      </c>
      <c r="G1151" s="16">
        <f>IFERROR(IF([2]对账明细接口!$G$1151=0,"",[2]对账明细接口!$G$1151),"")</f>
      </c>
      <c r="H1151" s="176">
        <f>IFERROR(IF([2]对账明细接口!$H$1151=0,"",[2]对账明细接口!$H$1151),"")</f>
      </c>
      <c r="I1151" s="16">
        <f>IFERROR(IF([2]对账明细接口!$I$1151=0,"",[2]对账明细接口!$I$1151),"")</f>
      </c>
      <c r="J1151" s="177">
        <f>IFERROR(IF([2]对账明细接口!$J$1151=0,"",[2]对账明细接口!$J$1151),"")</f>
      </c>
      <c r="K1151" s="177">
        <f>IFERROR(IF([2]对账明细接口!$K$1151=0,"",[2]对账明细接口!$K$1151),"")</f>
      </c>
      <c r="L1151" s="16">
        <f>IFERROR(IF([2]对账明细接口!$L$1151=0,"",[2]对账明细接口!$L$1151),"")</f>
      </c>
      <c r="M1151" s="16">
        <f>IFERROR(IF([2]对账明细接口!$M$1151=0,"",[2]对账明细接口!$M$1151),"")</f>
      </c>
      <c r="N1151" s="19">
        <f>IF($C1151="",0,1)</f>
        <v>0</v>
      </c>
      <c r="O1151" s="19">
        <f>N(O1150)+$N1151</f>
        <v>272</v>
      </c>
      <c r="S1151" s="20">
        <f>IFERROR(IF([2]对账明细接口!$N1151=0,"",[2]对账明细接口!$N1151),"")</f>
      </c>
      <c r="T1151" s="212">
        <f>IFERROR(IF([2]对账明细接口!$O1151=0,"",[2]对账明细接口!$O1151),"")</f>
      </c>
      <c r="U1151" s="212">
        <f>IFERROR(IF([2]对账明细接口!$P1151=0,"",[2]对账明细接口!$P1151),"")</f>
      </c>
      <c r="V1151" s="212">
        <f>IFERROR(IF([2]对账明细接口!$Q1151=0,"",[2]对账明细接口!$Q1151),"")</f>
      </c>
      <c r="W1151" s="20">
        <f>IFERROR(IF([2]对账明细接口!$R1151=0,"",[2]对账明细接口!$R1151),"")</f>
      </c>
      <c r="X1151" s="20">
        <f>IFERROR(IF([2]对账明细接口!$S1151=0,"",[2]对账明细接口!$S1151),"")</f>
      </c>
      <c r="Y1151" s="20">
        <f>""</f>
      </c>
      <c r="Z1151" s="20">
        <f>""</f>
      </c>
      <c r="AA1151" s="20">
        <f>""</f>
      </c>
      <c r="AB1151" s="20">
        <f>""</f>
      </c>
    </row>
    <row r="1152" s="127">
      <c r="A1152" s="14" t="n">
        <v>1152</v>
      </c>
      <c r="B1152" s="211">
        <f>IFERROR(IF([2]对账明细接口!$B$1152=0,"",[2]对账明细接口!$B$1152),"")</f>
      </c>
      <c r="C1152" s="16">
        <f>IFERROR(IF([2]对账明细接口!$C$1152=0,"",[2]对账明细接口!$C$1152),"")</f>
      </c>
      <c r="D1152" s="16">
        <f>IFERROR(IF([2]对账明细接口!$D$1152=0,"",[2]对账明细接口!$D$1152),"")</f>
      </c>
      <c r="E1152" s="16">
        <f>IFERROR(IF([2]对账明细接口!$E$1152=0,"",[2]对账明细接口!$E$1152),"")</f>
      </c>
      <c r="F1152" s="16">
        <f>IFERROR(IF([2]对账明细接口!$F$1152=0,"",[2]对账明细接口!$F$1152),"")</f>
      </c>
      <c r="G1152" s="16">
        <f>IFERROR(IF([2]对账明细接口!$G$1152=0,"",[2]对账明细接口!$G$1152),"")</f>
      </c>
      <c r="H1152" s="176">
        <f>IFERROR(IF([2]对账明细接口!$H$1152=0,"",[2]对账明细接口!$H$1152),"")</f>
      </c>
      <c r="I1152" s="16">
        <f>IFERROR(IF([2]对账明细接口!$I$1152=0,"",[2]对账明细接口!$I$1152),"")</f>
      </c>
      <c r="J1152" s="177">
        <f>IFERROR(IF([2]对账明细接口!$J$1152=0,"",[2]对账明细接口!$J$1152),"")</f>
      </c>
      <c r="K1152" s="177">
        <f>IFERROR(IF([2]对账明细接口!$K$1152=0,"",[2]对账明细接口!$K$1152),"")</f>
      </c>
      <c r="L1152" s="16">
        <f>IFERROR(IF([2]对账明细接口!$L$1152=0,"",[2]对账明细接口!$L$1152),"")</f>
      </c>
      <c r="M1152" s="16">
        <f>IFERROR(IF([2]对账明细接口!$M$1152=0,"",[2]对账明细接口!$M$1152),"")</f>
      </c>
      <c r="N1152" s="19">
        <f>IF($C1152="",0,1)</f>
        <v>0</v>
      </c>
      <c r="O1152" s="19">
        <f>N(O1151)+$N1152</f>
        <v>272</v>
      </c>
      <c r="S1152" s="20">
        <f>IFERROR(IF([2]对账明细接口!$N1152=0,"",[2]对账明细接口!$N1152),"")</f>
      </c>
      <c r="T1152" s="212">
        <f>IFERROR(IF([2]对账明细接口!$O1152=0,"",[2]对账明细接口!$O1152),"")</f>
      </c>
      <c r="U1152" s="212">
        <f>IFERROR(IF([2]对账明细接口!$P1152=0,"",[2]对账明细接口!$P1152),"")</f>
      </c>
      <c r="V1152" s="212">
        <f>IFERROR(IF([2]对账明细接口!$Q1152=0,"",[2]对账明细接口!$Q1152),"")</f>
      </c>
      <c r="W1152" s="20">
        <f>IFERROR(IF([2]对账明细接口!$R1152=0,"",[2]对账明细接口!$R1152),"")</f>
      </c>
      <c r="X1152" s="20">
        <f>IFERROR(IF([2]对账明细接口!$S1152=0,"",[2]对账明细接口!$S1152),"")</f>
      </c>
      <c r="Y1152" s="20">
        <f>""</f>
      </c>
      <c r="Z1152" s="20">
        <f>""</f>
      </c>
      <c r="AA1152" s="20">
        <f>""</f>
      </c>
      <c r="AB1152" s="20">
        <f>""</f>
      </c>
    </row>
    <row r="1153" s="127">
      <c r="A1153" s="14" t="n">
        <v>1153</v>
      </c>
      <c r="B1153" s="211">
        <f>IFERROR(IF([2]对账明细接口!$B$1153=0,"",[2]对账明细接口!$B$1153),"")</f>
      </c>
      <c r="C1153" s="16">
        <f>IFERROR(IF([2]对账明细接口!$C$1153=0,"",[2]对账明细接口!$C$1153),"")</f>
      </c>
      <c r="D1153" s="16">
        <f>IFERROR(IF([2]对账明细接口!$D$1153=0,"",[2]对账明细接口!$D$1153),"")</f>
      </c>
      <c r="E1153" s="16">
        <f>IFERROR(IF([2]对账明细接口!$E$1153=0,"",[2]对账明细接口!$E$1153),"")</f>
      </c>
      <c r="F1153" s="16">
        <f>IFERROR(IF([2]对账明细接口!$F$1153=0,"",[2]对账明细接口!$F$1153),"")</f>
      </c>
      <c r="G1153" s="16">
        <f>IFERROR(IF([2]对账明细接口!$G$1153=0,"",[2]对账明细接口!$G$1153),"")</f>
      </c>
      <c r="H1153" s="176">
        <f>IFERROR(IF([2]对账明细接口!$H$1153=0,"",[2]对账明细接口!$H$1153),"")</f>
      </c>
      <c r="I1153" s="16">
        <f>IFERROR(IF([2]对账明细接口!$I$1153=0,"",[2]对账明细接口!$I$1153),"")</f>
      </c>
      <c r="J1153" s="177">
        <f>IFERROR(IF([2]对账明细接口!$J$1153=0,"",[2]对账明细接口!$J$1153),"")</f>
      </c>
      <c r="K1153" s="177">
        <f>IFERROR(IF([2]对账明细接口!$K$1153=0,"",[2]对账明细接口!$K$1153),"")</f>
      </c>
      <c r="L1153" s="16">
        <f>IFERROR(IF([2]对账明细接口!$L$1153=0,"",[2]对账明细接口!$L$1153),"")</f>
      </c>
      <c r="M1153" s="16">
        <f>IFERROR(IF([2]对账明细接口!$M$1153=0,"",[2]对账明细接口!$M$1153),"")</f>
      </c>
      <c r="N1153" s="19">
        <f>IF($C1153="",0,1)</f>
        <v>0</v>
      </c>
      <c r="O1153" s="19">
        <f>N(O1152)+$N1153</f>
        <v>272</v>
      </c>
      <c r="S1153" s="20">
        <f>IFERROR(IF([2]对账明细接口!$N1153=0,"",[2]对账明细接口!$N1153),"")</f>
      </c>
      <c r="T1153" s="212">
        <f>IFERROR(IF([2]对账明细接口!$O1153=0,"",[2]对账明细接口!$O1153),"")</f>
      </c>
      <c r="U1153" s="212">
        <f>IFERROR(IF([2]对账明细接口!$P1153=0,"",[2]对账明细接口!$P1153),"")</f>
      </c>
      <c r="V1153" s="212">
        <f>IFERROR(IF([2]对账明细接口!$Q1153=0,"",[2]对账明细接口!$Q1153),"")</f>
      </c>
      <c r="W1153" s="20">
        <f>IFERROR(IF([2]对账明细接口!$R1153=0,"",[2]对账明细接口!$R1153),"")</f>
      </c>
      <c r="X1153" s="20">
        <f>IFERROR(IF([2]对账明细接口!$S1153=0,"",[2]对账明细接口!$S1153),"")</f>
      </c>
      <c r="Y1153" s="20">
        <f>""</f>
      </c>
      <c r="Z1153" s="20">
        <f>""</f>
      </c>
      <c r="AA1153" s="20">
        <f>""</f>
      </c>
      <c r="AB1153" s="20">
        <f>""</f>
      </c>
    </row>
    <row r="1154" s="127">
      <c r="A1154" s="14" t="n">
        <v>1154</v>
      </c>
      <c r="B1154" s="211">
        <f>IFERROR(IF([2]对账明细接口!$B$1154=0,"",[2]对账明细接口!$B$1154),"")</f>
      </c>
      <c r="C1154" s="16">
        <f>IFERROR(IF([2]对账明细接口!$C$1154=0,"",[2]对账明细接口!$C$1154),"")</f>
      </c>
      <c r="D1154" s="16">
        <f>IFERROR(IF([2]对账明细接口!$D$1154=0,"",[2]对账明细接口!$D$1154),"")</f>
      </c>
      <c r="E1154" s="16">
        <f>IFERROR(IF([2]对账明细接口!$E$1154=0,"",[2]对账明细接口!$E$1154),"")</f>
      </c>
      <c r="F1154" s="16">
        <f>IFERROR(IF([2]对账明细接口!$F$1154=0,"",[2]对账明细接口!$F$1154),"")</f>
      </c>
      <c r="G1154" s="16">
        <f>IFERROR(IF([2]对账明细接口!$G$1154=0,"",[2]对账明细接口!$G$1154),"")</f>
      </c>
      <c r="H1154" s="176">
        <f>IFERROR(IF([2]对账明细接口!$H$1154=0,"",[2]对账明细接口!$H$1154),"")</f>
      </c>
      <c r="I1154" s="16">
        <f>IFERROR(IF([2]对账明细接口!$I$1154=0,"",[2]对账明细接口!$I$1154),"")</f>
      </c>
      <c r="J1154" s="177">
        <f>IFERROR(IF([2]对账明细接口!$J$1154=0,"",[2]对账明细接口!$J$1154),"")</f>
      </c>
      <c r="K1154" s="177">
        <f>IFERROR(IF([2]对账明细接口!$K$1154=0,"",[2]对账明细接口!$K$1154),"")</f>
      </c>
      <c r="L1154" s="16">
        <f>IFERROR(IF([2]对账明细接口!$L$1154=0,"",[2]对账明细接口!$L$1154),"")</f>
      </c>
      <c r="M1154" s="16">
        <f>IFERROR(IF([2]对账明细接口!$M$1154=0,"",[2]对账明细接口!$M$1154),"")</f>
      </c>
      <c r="N1154" s="19">
        <f>IF($C1154="",0,1)</f>
        <v>0</v>
      </c>
      <c r="O1154" s="19">
        <f>N(O1153)+$N1154</f>
        <v>272</v>
      </c>
      <c r="S1154" s="20">
        <f>IFERROR(IF([2]对账明细接口!$N1154=0,"",[2]对账明细接口!$N1154),"")</f>
      </c>
      <c r="T1154" s="212">
        <f>IFERROR(IF([2]对账明细接口!$O1154=0,"",[2]对账明细接口!$O1154),"")</f>
      </c>
      <c r="U1154" s="212">
        <f>IFERROR(IF([2]对账明细接口!$P1154=0,"",[2]对账明细接口!$P1154),"")</f>
      </c>
      <c r="V1154" s="212">
        <f>IFERROR(IF([2]对账明细接口!$Q1154=0,"",[2]对账明细接口!$Q1154),"")</f>
      </c>
      <c r="W1154" s="20">
        <f>IFERROR(IF([2]对账明细接口!$R1154=0,"",[2]对账明细接口!$R1154),"")</f>
      </c>
      <c r="X1154" s="20">
        <f>IFERROR(IF([2]对账明细接口!$S1154=0,"",[2]对账明细接口!$S1154),"")</f>
      </c>
      <c r="Y1154" s="20">
        <f>""</f>
      </c>
      <c r="Z1154" s="20">
        <f>""</f>
      </c>
      <c r="AA1154" s="20">
        <f>""</f>
      </c>
      <c r="AB1154" s="20">
        <f>""</f>
      </c>
    </row>
    <row r="1155" s="127">
      <c r="A1155" s="14" t="n">
        <v>1155</v>
      </c>
      <c r="B1155" s="211">
        <f>IFERROR(IF([2]对账明细接口!$B$1155=0,"",[2]对账明细接口!$B$1155),"")</f>
      </c>
      <c r="C1155" s="16">
        <f>IFERROR(IF([2]对账明细接口!$C$1155=0,"",[2]对账明细接口!$C$1155),"")</f>
      </c>
      <c r="D1155" s="16">
        <f>IFERROR(IF([2]对账明细接口!$D$1155=0,"",[2]对账明细接口!$D$1155),"")</f>
      </c>
      <c r="E1155" s="16">
        <f>IFERROR(IF([2]对账明细接口!$E$1155=0,"",[2]对账明细接口!$E$1155),"")</f>
      </c>
      <c r="F1155" s="16">
        <f>IFERROR(IF([2]对账明细接口!$F$1155=0,"",[2]对账明细接口!$F$1155),"")</f>
      </c>
      <c r="G1155" s="16">
        <f>IFERROR(IF([2]对账明细接口!$G$1155=0,"",[2]对账明细接口!$G$1155),"")</f>
      </c>
      <c r="H1155" s="176">
        <f>IFERROR(IF([2]对账明细接口!$H$1155=0,"",[2]对账明细接口!$H$1155),"")</f>
      </c>
      <c r="I1155" s="16">
        <f>IFERROR(IF([2]对账明细接口!$I$1155=0,"",[2]对账明细接口!$I$1155),"")</f>
      </c>
      <c r="J1155" s="177">
        <f>IFERROR(IF([2]对账明细接口!$J$1155=0,"",[2]对账明细接口!$J$1155),"")</f>
      </c>
      <c r="K1155" s="177">
        <f>IFERROR(IF([2]对账明细接口!$K$1155=0,"",[2]对账明细接口!$K$1155),"")</f>
      </c>
      <c r="L1155" s="16">
        <f>IFERROR(IF([2]对账明细接口!$L$1155=0,"",[2]对账明细接口!$L$1155),"")</f>
      </c>
      <c r="M1155" s="16">
        <f>IFERROR(IF([2]对账明细接口!$M$1155=0,"",[2]对账明细接口!$M$1155),"")</f>
      </c>
      <c r="N1155" s="19">
        <f>IF($C1155="",0,1)</f>
        <v>0</v>
      </c>
      <c r="O1155" s="19">
        <f>N(O1154)+$N1155</f>
        <v>272</v>
      </c>
      <c r="S1155" s="20">
        <f>IFERROR(IF([2]对账明细接口!$N1155=0,"",[2]对账明细接口!$N1155),"")</f>
      </c>
      <c r="T1155" s="212">
        <f>IFERROR(IF([2]对账明细接口!$O1155=0,"",[2]对账明细接口!$O1155),"")</f>
      </c>
      <c r="U1155" s="212">
        <f>IFERROR(IF([2]对账明细接口!$P1155=0,"",[2]对账明细接口!$P1155),"")</f>
      </c>
      <c r="V1155" s="212">
        <f>IFERROR(IF([2]对账明细接口!$Q1155=0,"",[2]对账明细接口!$Q1155),"")</f>
      </c>
      <c r="W1155" s="20">
        <f>IFERROR(IF([2]对账明细接口!$R1155=0,"",[2]对账明细接口!$R1155),"")</f>
      </c>
      <c r="X1155" s="20">
        <f>IFERROR(IF([2]对账明细接口!$S1155=0,"",[2]对账明细接口!$S1155),"")</f>
      </c>
      <c r="Y1155" s="20">
        <f>""</f>
      </c>
      <c r="Z1155" s="20">
        <f>""</f>
      </c>
      <c r="AA1155" s="20">
        <f>""</f>
      </c>
      <c r="AB1155" s="20">
        <f>""</f>
      </c>
    </row>
    <row r="1156" s="127">
      <c r="A1156" s="14" t="n">
        <v>1156</v>
      </c>
      <c r="B1156" s="211">
        <f>IFERROR(IF([2]对账明细接口!$B$1156=0,"",[2]对账明细接口!$B$1156),"")</f>
      </c>
      <c r="C1156" s="16">
        <f>IFERROR(IF([2]对账明细接口!$C$1156=0,"",[2]对账明细接口!$C$1156),"")</f>
      </c>
      <c r="D1156" s="16">
        <f>IFERROR(IF([2]对账明细接口!$D$1156=0,"",[2]对账明细接口!$D$1156),"")</f>
      </c>
      <c r="E1156" s="16">
        <f>IFERROR(IF([2]对账明细接口!$E$1156=0,"",[2]对账明细接口!$E$1156),"")</f>
      </c>
      <c r="F1156" s="16">
        <f>IFERROR(IF([2]对账明细接口!$F$1156=0,"",[2]对账明细接口!$F$1156),"")</f>
      </c>
      <c r="G1156" s="16">
        <f>IFERROR(IF([2]对账明细接口!$G$1156=0,"",[2]对账明细接口!$G$1156),"")</f>
      </c>
      <c r="H1156" s="176">
        <f>IFERROR(IF([2]对账明细接口!$H$1156=0,"",[2]对账明细接口!$H$1156),"")</f>
      </c>
      <c r="I1156" s="16">
        <f>IFERROR(IF([2]对账明细接口!$I$1156=0,"",[2]对账明细接口!$I$1156),"")</f>
      </c>
      <c r="J1156" s="177">
        <f>IFERROR(IF([2]对账明细接口!$J$1156=0,"",[2]对账明细接口!$J$1156),"")</f>
      </c>
      <c r="K1156" s="177">
        <f>IFERROR(IF([2]对账明细接口!$K$1156=0,"",[2]对账明细接口!$K$1156),"")</f>
      </c>
      <c r="L1156" s="16">
        <f>IFERROR(IF([2]对账明细接口!$L$1156=0,"",[2]对账明细接口!$L$1156),"")</f>
      </c>
      <c r="M1156" s="16">
        <f>IFERROR(IF([2]对账明细接口!$M$1156=0,"",[2]对账明细接口!$M$1156),"")</f>
      </c>
      <c r="N1156" s="19">
        <f>IF($C1156="",0,1)</f>
        <v>0</v>
      </c>
      <c r="O1156" s="19">
        <f>N(O1155)+$N1156</f>
        <v>272</v>
      </c>
      <c r="S1156" s="20">
        <f>IFERROR(IF([2]对账明细接口!$N1156=0,"",[2]对账明细接口!$N1156),"")</f>
      </c>
      <c r="T1156" s="212">
        <f>IFERROR(IF([2]对账明细接口!$O1156=0,"",[2]对账明细接口!$O1156),"")</f>
      </c>
      <c r="U1156" s="212">
        <f>IFERROR(IF([2]对账明细接口!$P1156=0,"",[2]对账明细接口!$P1156),"")</f>
      </c>
      <c r="V1156" s="212">
        <f>IFERROR(IF([2]对账明细接口!$Q1156=0,"",[2]对账明细接口!$Q1156),"")</f>
      </c>
      <c r="W1156" s="20">
        <f>IFERROR(IF([2]对账明细接口!$R1156=0,"",[2]对账明细接口!$R1156),"")</f>
      </c>
      <c r="X1156" s="20">
        <f>IFERROR(IF([2]对账明细接口!$S1156=0,"",[2]对账明细接口!$S1156),"")</f>
      </c>
      <c r="Y1156" s="20">
        <f>""</f>
      </c>
      <c r="Z1156" s="20">
        <f>""</f>
      </c>
      <c r="AA1156" s="20">
        <f>""</f>
      </c>
      <c r="AB1156" s="20">
        <f>""</f>
      </c>
    </row>
    <row r="1157" s="127">
      <c r="A1157" s="14" t="n">
        <v>1157</v>
      </c>
      <c r="B1157" s="211">
        <f>IFERROR(IF([2]对账明细接口!$B$1157=0,"",[2]对账明细接口!$B$1157),"")</f>
      </c>
      <c r="C1157" s="16">
        <f>IFERROR(IF([2]对账明细接口!$C$1157=0,"",[2]对账明细接口!$C$1157),"")</f>
      </c>
      <c r="D1157" s="16">
        <f>IFERROR(IF([2]对账明细接口!$D$1157=0,"",[2]对账明细接口!$D$1157),"")</f>
      </c>
      <c r="E1157" s="16">
        <f>IFERROR(IF([2]对账明细接口!$E$1157=0,"",[2]对账明细接口!$E$1157),"")</f>
      </c>
      <c r="F1157" s="16">
        <f>IFERROR(IF([2]对账明细接口!$F$1157=0,"",[2]对账明细接口!$F$1157),"")</f>
      </c>
      <c r="G1157" s="16">
        <f>IFERROR(IF([2]对账明细接口!$G$1157=0,"",[2]对账明细接口!$G$1157),"")</f>
      </c>
      <c r="H1157" s="176">
        <f>IFERROR(IF([2]对账明细接口!$H$1157=0,"",[2]对账明细接口!$H$1157),"")</f>
      </c>
      <c r="I1157" s="16">
        <f>IFERROR(IF([2]对账明细接口!$I$1157=0,"",[2]对账明细接口!$I$1157),"")</f>
      </c>
      <c r="J1157" s="177">
        <f>IFERROR(IF([2]对账明细接口!$J$1157=0,"",[2]对账明细接口!$J$1157),"")</f>
      </c>
      <c r="K1157" s="177">
        <f>IFERROR(IF([2]对账明细接口!$K$1157=0,"",[2]对账明细接口!$K$1157),"")</f>
      </c>
      <c r="L1157" s="16">
        <f>IFERROR(IF([2]对账明细接口!$L$1157=0,"",[2]对账明细接口!$L$1157),"")</f>
      </c>
      <c r="M1157" s="16">
        <f>IFERROR(IF([2]对账明细接口!$M$1157=0,"",[2]对账明细接口!$M$1157),"")</f>
      </c>
      <c r="N1157" s="19">
        <f>IF($C1157="",0,1)</f>
        <v>0</v>
      </c>
      <c r="O1157" s="19">
        <f>N(O1156)+$N1157</f>
        <v>272</v>
      </c>
      <c r="S1157" s="20">
        <f>IFERROR(IF([2]对账明细接口!$N1157=0,"",[2]对账明细接口!$N1157),"")</f>
      </c>
      <c r="T1157" s="212">
        <f>IFERROR(IF([2]对账明细接口!$O1157=0,"",[2]对账明细接口!$O1157),"")</f>
      </c>
      <c r="U1157" s="212">
        <f>IFERROR(IF([2]对账明细接口!$P1157=0,"",[2]对账明细接口!$P1157),"")</f>
      </c>
      <c r="V1157" s="212">
        <f>IFERROR(IF([2]对账明细接口!$Q1157=0,"",[2]对账明细接口!$Q1157),"")</f>
      </c>
      <c r="W1157" s="20">
        <f>IFERROR(IF([2]对账明细接口!$R1157=0,"",[2]对账明细接口!$R1157),"")</f>
      </c>
      <c r="X1157" s="20">
        <f>IFERROR(IF([2]对账明细接口!$S1157=0,"",[2]对账明细接口!$S1157),"")</f>
      </c>
      <c r="Y1157" s="20">
        <f>""</f>
      </c>
      <c r="Z1157" s="20">
        <f>""</f>
      </c>
      <c r="AA1157" s="20">
        <f>""</f>
      </c>
      <c r="AB1157" s="20">
        <f>""</f>
      </c>
    </row>
    <row r="1158" s="127">
      <c r="A1158" s="14" t="n">
        <v>1158</v>
      </c>
      <c r="B1158" s="211">
        <f>IFERROR(IF([2]对账明细接口!$B$1158=0,"",[2]对账明细接口!$B$1158),"")</f>
      </c>
      <c r="C1158" s="16">
        <f>IFERROR(IF([2]对账明细接口!$C$1158=0,"",[2]对账明细接口!$C$1158),"")</f>
      </c>
      <c r="D1158" s="16">
        <f>IFERROR(IF([2]对账明细接口!$D$1158=0,"",[2]对账明细接口!$D$1158),"")</f>
      </c>
      <c r="E1158" s="16">
        <f>IFERROR(IF([2]对账明细接口!$E$1158=0,"",[2]对账明细接口!$E$1158),"")</f>
      </c>
      <c r="F1158" s="16">
        <f>IFERROR(IF([2]对账明细接口!$F$1158=0,"",[2]对账明细接口!$F$1158),"")</f>
      </c>
      <c r="G1158" s="16">
        <f>IFERROR(IF([2]对账明细接口!$G$1158=0,"",[2]对账明细接口!$G$1158),"")</f>
      </c>
      <c r="H1158" s="176">
        <f>IFERROR(IF([2]对账明细接口!$H$1158=0,"",[2]对账明细接口!$H$1158),"")</f>
      </c>
      <c r="I1158" s="16">
        <f>IFERROR(IF([2]对账明细接口!$I$1158=0,"",[2]对账明细接口!$I$1158),"")</f>
      </c>
      <c r="J1158" s="177">
        <f>IFERROR(IF([2]对账明细接口!$J$1158=0,"",[2]对账明细接口!$J$1158),"")</f>
      </c>
      <c r="K1158" s="177">
        <f>IFERROR(IF([2]对账明细接口!$K$1158=0,"",[2]对账明细接口!$K$1158),"")</f>
      </c>
      <c r="L1158" s="16">
        <f>IFERROR(IF([2]对账明细接口!$L$1158=0,"",[2]对账明细接口!$L$1158),"")</f>
      </c>
      <c r="M1158" s="16">
        <f>IFERROR(IF([2]对账明细接口!$M$1158=0,"",[2]对账明细接口!$M$1158),"")</f>
      </c>
      <c r="N1158" s="19">
        <f>IF($C1158="",0,1)</f>
        <v>0</v>
      </c>
      <c r="O1158" s="19">
        <f>N(O1157)+$N1158</f>
        <v>272</v>
      </c>
      <c r="S1158" s="20">
        <f>IFERROR(IF([2]对账明细接口!$N1158=0,"",[2]对账明细接口!$N1158),"")</f>
      </c>
      <c r="T1158" s="212">
        <f>IFERROR(IF([2]对账明细接口!$O1158=0,"",[2]对账明细接口!$O1158),"")</f>
      </c>
      <c r="U1158" s="212">
        <f>IFERROR(IF([2]对账明细接口!$P1158=0,"",[2]对账明细接口!$P1158),"")</f>
      </c>
      <c r="V1158" s="212">
        <f>IFERROR(IF([2]对账明细接口!$Q1158=0,"",[2]对账明细接口!$Q1158),"")</f>
      </c>
      <c r="W1158" s="20">
        <f>IFERROR(IF([2]对账明细接口!$R1158=0,"",[2]对账明细接口!$R1158),"")</f>
      </c>
      <c r="X1158" s="20">
        <f>IFERROR(IF([2]对账明细接口!$S1158=0,"",[2]对账明细接口!$S1158),"")</f>
      </c>
      <c r="Y1158" s="20">
        <f>""</f>
      </c>
      <c r="Z1158" s="20">
        <f>""</f>
      </c>
      <c r="AA1158" s="20">
        <f>""</f>
      </c>
      <c r="AB1158" s="20">
        <f>""</f>
      </c>
    </row>
    <row r="1159" s="127">
      <c r="A1159" s="14" t="n">
        <v>1159</v>
      </c>
      <c r="B1159" s="211">
        <f>IFERROR(IF([2]对账明细接口!$B$1159=0,"",[2]对账明细接口!$B$1159),"")</f>
      </c>
      <c r="C1159" s="16">
        <f>IFERROR(IF([2]对账明细接口!$C$1159=0,"",[2]对账明细接口!$C$1159),"")</f>
      </c>
      <c r="D1159" s="16">
        <f>IFERROR(IF([2]对账明细接口!$D$1159=0,"",[2]对账明细接口!$D$1159),"")</f>
      </c>
      <c r="E1159" s="16">
        <f>IFERROR(IF([2]对账明细接口!$E$1159=0,"",[2]对账明细接口!$E$1159),"")</f>
      </c>
      <c r="F1159" s="16">
        <f>IFERROR(IF([2]对账明细接口!$F$1159=0,"",[2]对账明细接口!$F$1159),"")</f>
      </c>
      <c r="G1159" s="16">
        <f>IFERROR(IF([2]对账明细接口!$G$1159=0,"",[2]对账明细接口!$G$1159),"")</f>
      </c>
      <c r="H1159" s="176">
        <f>IFERROR(IF([2]对账明细接口!$H$1159=0,"",[2]对账明细接口!$H$1159),"")</f>
      </c>
      <c r="I1159" s="16">
        <f>IFERROR(IF([2]对账明细接口!$I$1159=0,"",[2]对账明细接口!$I$1159),"")</f>
      </c>
      <c r="J1159" s="177">
        <f>IFERROR(IF([2]对账明细接口!$J$1159=0,"",[2]对账明细接口!$J$1159),"")</f>
      </c>
      <c r="K1159" s="177">
        <f>IFERROR(IF([2]对账明细接口!$K$1159=0,"",[2]对账明细接口!$K$1159),"")</f>
      </c>
      <c r="L1159" s="16">
        <f>IFERROR(IF([2]对账明细接口!$L$1159=0,"",[2]对账明细接口!$L$1159),"")</f>
      </c>
      <c r="M1159" s="16">
        <f>IFERROR(IF([2]对账明细接口!$M$1159=0,"",[2]对账明细接口!$M$1159),"")</f>
      </c>
      <c r="N1159" s="19">
        <f>IF($C1159="",0,1)</f>
        <v>0</v>
      </c>
      <c r="O1159" s="19">
        <f>N(O1158)+$N1159</f>
        <v>272</v>
      </c>
      <c r="S1159" s="20">
        <f>IFERROR(IF([2]对账明细接口!$N1159=0,"",[2]对账明细接口!$N1159),"")</f>
      </c>
      <c r="T1159" s="212">
        <f>IFERROR(IF([2]对账明细接口!$O1159=0,"",[2]对账明细接口!$O1159),"")</f>
      </c>
      <c r="U1159" s="212">
        <f>IFERROR(IF([2]对账明细接口!$P1159=0,"",[2]对账明细接口!$P1159),"")</f>
      </c>
      <c r="V1159" s="212">
        <f>IFERROR(IF([2]对账明细接口!$Q1159=0,"",[2]对账明细接口!$Q1159),"")</f>
      </c>
      <c r="W1159" s="20">
        <f>IFERROR(IF([2]对账明细接口!$R1159=0,"",[2]对账明细接口!$R1159),"")</f>
      </c>
      <c r="X1159" s="20">
        <f>IFERROR(IF([2]对账明细接口!$S1159=0,"",[2]对账明细接口!$S1159),"")</f>
      </c>
      <c r="Y1159" s="20">
        <f>""</f>
      </c>
      <c r="Z1159" s="20">
        <f>""</f>
      </c>
      <c r="AA1159" s="20">
        <f>""</f>
      </c>
      <c r="AB1159" s="20">
        <f>""</f>
      </c>
    </row>
    <row r="1160" s="127">
      <c r="A1160" s="14" t="n">
        <v>1160</v>
      </c>
      <c r="B1160" s="211">
        <f>IFERROR(IF([2]对账明细接口!$B$1160=0,"",[2]对账明细接口!$B$1160),"")</f>
      </c>
      <c r="C1160" s="16">
        <f>IFERROR(IF([2]对账明细接口!$C$1160=0,"",[2]对账明细接口!$C$1160),"")</f>
      </c>
      <c r="D1160" s="16">
        <f>IFERROR(IF([2]对账明细接口!$D$1160=0,"",[2]对账明细接口!$D$1160),"")</f>
      </c>
      <c r="E1160" s="16">
        <f>IFERROR(IF([2]对账明细接口!$E$1160=0,"",[2]对账明细接口!$E$1160),"")</f>
      </c>
      <c r="F1160" s="16">
        <f>IFERROR(IF([2]对账明细接口!$F$1160=0,"",[2]对账明细接口!$F$1160),"")</f>
      </c>
      <c r="G1160" s="16">
        <f>IFERROR(IF([2]对账明细接口!$G$1160=0,"",[2]对账明细接口!$G$1160),"")</f>
      </c>
      <c r="H1160" s="176">
        <f>IFERROR(IF([2]对账明细接口!$H$1160=0,"",[2]对账明细接口!$H$1160),"")</f>
      </c>
      <c r="I1160" s="16">
        <f>IFERROR(IF([2]对账明细接口!$I$1160=0,"",[2]对账明细接口!$I$1160),"")</f>
      </c>
      <c r="J1160" s="177">
        <f>IFERROR(IF([2]对账明细接口!$J$1160=0,"",[2]对账明细接口!$J$1160),"")</f>
      </c>
      <c r="K1160" s="177">
        <f>IFERROR(IF([2]对账明细接口!$K$1160=0,"",[2]对账明细接口!$K$1160),"")</f>
      </c>
      <c r="L1160" s="16">
        <f>IFERROR(IF([2]对账明细接口!$L$1160=0,"",[2]对账明细接口!$L$1160),"")</f>
      </c>
      <c r="M1160" s="16">
        <f>IFERROR(IF([2]对账明细接口!$M$1160=0,"",[2]对账明细接口!$M$1160),"")</f>
      </c>
      <c r="N1160" s="19">
        <f>IF($C1160="",0,1)</f>
        <v>0</v>
      </c>
      <c r="O1160" s="19">
        <f>N(O1159)+$N1160</f>
        <v>272</v>
      </c>
      <c r="S1160" s="20">
        <f>IFERROR(IF([2]对账明细接口!$N1160=0,"",[2]对账明细接口!$N1160),"")</f>
      </c>
      <c r="T1160" s="212">
        <f>IFERROR(IF([2]对账明细接口!$O1160=0,"",[2]对账明细接口!$O1160),"")</f>
      </c>
      <c r="U1160" s="212">
        <f>IFERROR(IF([2]对账明细接口!$P1160=0,"",[2]对账明细接口!$P1160),"")</f>
      </c>
      <c r="V1160" s="212">
        <f>IFERROR(IF([2]对账明细接口!$Q1160=0,"",[2]对账明细接口!$Q1160),"")</f>
      </c>
      <c r="W1160" s="20">
        <f>IFERROR(IF([2]对账明细接口!$R1160=0,"",[2]对账明细接口!$R1160),"")</f>
      </c>
      <c r="X1160" s="20">
        <f>IFERROR(IF([2]对账明细接口!$S1160=0,"",[2]对账明细接口!$S1160),"")</f>
      </c>
      <c r="Y1160" s="20">
        <f>""</f>
      </c>
      <c r="Z1160" s="20">
        <f>""</f>
      </c>
      <c r="AA1160" s="20">
        <f>""</f>
      </c>
      <c r="AB1160" s="20">
        <f>""</f>
      </c>
    </row>
    <row r="1161" s="127">
      <c r="A1161" s="14" t="n">
        <v>1161</v>
      </c>
      <c r="B1161" s="211">
        <f>IFERROR(IF([2]对账明细接口!$B$1161=0,"",[2]对账明细接口!$B$1161),"")</f>
      </c>
      <c r="C1161" s="16">
        <f>IFERROR(IF([2]对账明细接口!$C$1161=0,"",[2]对账明细接口!$C$1161),"")</f>
      </c>
      <c r="D1161" s="16">
        <f>IFERROR(IF([2]对账明细接口!$D$1161=0,"",[2]对账明细接口!$D$1161),"")</f>
      </c>
      <c r="E1161" s="16">
        <f>IFERROR(IF([2]对账明细接口!$E$1161=0,"",[2]对账明细接口!$E$1161),"")</f>
      </c>
      <c r="F1161" s="16">
        <f>IFERROR(IF([2]对账明细接口!$F$1161=0,"",[2]对账明细接口!$F$1161),"")</f>
      </c>
      <c r="G1161" s="16">
        <f>IFERROR(IF([2]对账明细接口!$G$1161=0,"",[2]对账明细接口!$G$1161),"")</f>
      </c>
      <c r="H1161" s="176">
        <f>IFERROR(IF([2]对账明细接口!$H$1161=0,"",[2]对账明细接口!$H$1161),"")</f>
      </c>
      <c r="I1161" s="16">
        <f>IFERROR(IF([2]对账明细接口!$I$1161=0,"",[2]对账明细接口!$I$1161),"")</f>
      </c>
      <c r="J1161" s="177">
        <f>IFERROR(IF([2]对账明细接口!$J$1161=0,"",[2]对账明细接口!$J$1161),"")</f>
      </c>
      <c r="K1161" s="177">
        <f>IFERROR(IF([2]对账明细接口!$K$1161=0,"",[2]对账明细接口!$K$1161),"")</f>
      </c>
      <c r="L1161" s="16">
        <f>IFERROR(IF([2]对账明细接口!$L$1161=0,"",[2]对账明细接口!$L$1161),"")</f>
      </c>
      <c r="M1161" s="16">
        <f>IFERROR(IF([2]对账明细接口!$M$1161=0,"",[2]对账明细接口!$M$1161),"")</f>
      </c>
      <c r="N1161" s="19">
        <f>IF($C1161="",0,1)</f>
        <v>0</v>
      </c>
      <c r="O1161" s="19">
        <f>N(O1160)+$N1161</f>
        <v>272</v>
      </c>
      <c r="S1161" s="20">
        <f>IFERROR(IF([2]对账明细接口!$N1161=0,"",[2]对账明细接口!$N1161),"")</f>
      </c>
      <c r="T1161" s="212">
        <f>IFERROR(IF([2]对账明细接口!$O1161=0,"",[2]对账明细接口!$O1161),"")</f>
      </c>
      <c r="U1161" s="212">
        <f>IFERROR(IF([2]对账明细接口!$P1161=0,"",[2]对账明细接口!$P1161),"")</f>
      </c>
      <c r="V1161" s="212">
        <f>IFERROR(IF([2]对账明细接口!$Q1161=0,"",[2]对账明细接口!$Q1161),"")</f>
      </c>
      <c r="W1161" s="20">
        <f>IFERROR(IF([2]对账明细接口!$R1161=0,"",[2]对账明细接口!$R1161),"")</f>
      </c>
      <c r="X1161" s="20">
        <f>IFERROR(IF([2]对账明细接口!$S1161=0,"",[2]对账明细接口!$S1161),"")</f>
      </c>
      <c r="Y1161" s="20">
        <f>""</f>
      </c>
      <c r="Z1161" s="20">
        <f>""</f>
      </c>
      <c r="AA1161" s="20">
        <f>""</f>
      </c>
      <c r="AB1161" s="20">
        <f>""</f>
      </c>
    </row>
    <row r="1162" s="127">
      <c r="A1162" s="14" t="n">
        <v>1162</v>
      </c>
      <c r="B1162" s="211">
        <f>IFERROR(IF([2]对账明细接口!$B$1162=0,"",[2]对账明细接口!$B$1162),"")</f>
      </c>
      <c r="C1162" s="16">
        <f>IFERROR(IF([2]对账明细接口!$C$1162=0,"",[2]对账明细接口!$C$1162),"")</f>
      </c>
      <c r="D1162" s="16">
        <f>IFERROR(IF([2]对账明细接口!$D$1162=0,"",[2]对账明细接口!$D$1162),"")</f>
      </c>
      <c r="E1162" s="16">
        <f>IFERROR(IF([2]对账明细接口!$E$1162=0,"",[2]对账明细接口!$E$1162),"")</f>
      </c>
      <c r="F1162" s="16">
        <f>IFERROR(IF([2]对账明细接口!$F$1162=0,"",[2]对账明细接口!$F$1162),"")</f>
      </c>
      <c r="G1162" s="16">
        <f>IFERROR(IF([2]对账明细接口!$G$1162=0,"",[2]对账明细接口!$G$1162),"")</f>
      </c>
      <c r="H1162" s="176">
        <f>IFERROR(IF([2]对账明细接口!$H$1162=0,"",[2]对账明细接口!$H$1162),"")</f>
      </c>
      <c r="I1162" s="16">
        <f>IFERROR(IF([2]对账明细接口!$I$1162=0,"",[2]对账明细接口!$I$1162),"")</f>
      </c>
      <c r="J1162" s="177">
        <f>IFERROR(IF([2]对账明细接口!$J$1162=0,"",[2]对账明细接口!$J$1162),"")</f>
      </c>
      <c r="K1162" s="177">
        <f>IFERROR(IF([2]对账明细接口!$K$1162=0,"",[2]对账明细接口!$K$1162),"")</f>
      </c>
      <c r="L1162" s="16">
        <f>IFERROR(IF([2]对账明细接口!$L$1162=0,"",[2]对账明细接口!$L$1162),"")</f>
      </c>
      <c r="M1162" s="16">
        <f>IFERROR(IF([2]对账明细接口!$M$1162=0,"",[2]对账明细接口!$M$1162),"")</f>
      </c>
      <c r="N1162" s="19">
        <f>IF($C1162="",0,1)</f>
        <v>0</v>
      </c>
      <c r="O1162" s="19">
        <f>N(O1161)+$N1162</f>
        <v>272</v>
      </c>
      <c r="S1162" s="20">
        <f>IFERROR(IF([2]对账明细接口!$N1162=0,"",[2]对账明细接口!$N1162),"")</f>
      </c>
      <c r="T1162" s="212">
        <f>IFERROR(IF([2]对账明细接口!$O1162=0,"",[2]对账明细接口!$O1162),"")</f>
      </c>
      <c r="U1162" s="212">
        <f>IFERROR(IF([2]对账明细接口!$P1162=0,"",[2]对账明细接口!$P1162),"")</f>
      </c>
      <c r="V1162" s="212">
        <f>IFERROR(IF([2]对账明细接口!$Q1162=0,"",[2]对账明细接口!$Q1162),"")</f>
      </c>
      <c r="W1162" s="20">
        <f>IFERROR(IF([2]对账明细接口!$R1162=0,"",[2]对账明细接口!$R1162),"")</f>
      </c>
      <c r="X1162" s="20">
        <f>IFERROR(IF([2]对账明细接口!$S1162=0,"",[2]对账明细接口!$S1162),"")</f>
      </c>
      <c r="Y1162" s="20">
        <f>""</f>
      </c>
      <c r="Z1162" s="20">
        <f>""</f>
      </c>
      <c r="AA1162" s="20">
        <f>""</f>
      </c>
      <c r="AB1162" s="20">
        <f>""</f>
      </c>
    </row>
    <row r="1163" s="127">
      <c r="A1163" s="14" t="n">
        <v>1163</v>
      </c>
      <c r="B1163" s="211">
        <f>IFERROR(IF([2]对账明细接口!$B$1163=0,"",[2]对账明细接口!$B$1163),"")</f>
      </c>
      <c r="C1163" s="16">
        <f>IFERROR(IF([2]对账明细接口!$C$1163=0,"",[2]对账明细接口!$C$1163),"")</f>
      </c>
      <c r="D1163" s="16">
        <f>IFERROR(IF([2]对账明细接口!$D$1163=0,"",[2]对账明细接口!$D$1163),"")</f>
      </c>
      <c r="E1163" s="16">
        <f>IFERROR(IF([2]对账明细接口!$E$1163=0,"",[2]对账明细接口!$E$1163),"")</f>
      </c>
      <c r="F1163" s="16">
        <f>IFERROR(IF([2]对账明细接口!$F$1163=0,"",[2]对账明细接口!$F$1163),"")</f>
      </c>
      <c r="G1163" s="16">
        <f>IFERROR(IF([2]对账明细接口!$G$1163=0,"",[2]对账明细接口!$G$1163),"")</f>
      </c>
      <c r="H1163" s="176">
        <f>IFERROR(IF([2]对账明细接口!$H$1163=0,"",[2]对账明细接口!$H$1163),"")</f>
      </c>
      <c r="I1163" s="16">
        <f>IFERROR(IF([2]对账明细接口!$I$1163=0,"",[2]对账明细接口!$I$1163),"")</f>
      </c>
      <c r="J1163" s="177">
        <f>IFERROR(IF([2]对账明细接口!$J$1163=0,"",[2]对账明细接口!$J$1163),"")</f>
      </c>
      <c r="K1163" s="177">
        <f>IFERROR(IF([2]对账明细接口!$K$1163=0,"",[2]对账明细接口!$K$1163),"")</f>
      </c>
      <c r="L1163" s="16">
        <f>IFERROR(IF([2]对账明细接口!$L$1163=0,"",[2]对账明细接口!$L$1163),"")</f>
      </c>
      <c r="M1163" s="16">
        <f>IFERROR(IF([2]对账明细接口!$M$1163=0,"",[2]对账明细接口!$M$1163),"")</f>
      </c>
      <c r="N1163" s="19">
        <f>IF($C1163="",0,1)</f>
        <v>0</v>
      </c>
      <c r="O1163" s="19">
        <f>N(O1162)+$N1163</f>
        <v>272</v>
      </c>
      <c r="S1163" s="20">
        <f>IFERROR(IF([2]对账明细接口!$N1163=0,"",[2]对账明细接口!$N1163),"")</f>
      </c>
      <c r="T1163" s="212">
        <f>IFERROR(IF([2]对账明细接口!$O1163=0,"",[2]对账明细接口!$O1163),"")</f>
      </c>
      <c r="U1163" s="212">
        <f>IFERROR(IF([2]对账明细接口!$P1163=0,"",[2]对账明细接口!$P1163),"")</f>
      </c>
      <c r="V1163" s="212">
        <f>IFERROR(IF([2]对账明细接口!$Q1163=0,"",[2]对账明细接口!$Q1163),"")</f>
      </c>
      <c r="W1163" s="20">
        <f>IFERROR(IF([2]对账明细接口!$R1163=0,"",[2]对账明细接口!$R1163),"")</f>
      </c>
      <c r="X1163" s="20">
        <f>IFERROR(IF([2]对账明细接口!$S1163=0,"",[2]对账明细接口!$S1163),"")</f>
      </c>
      <c r="Y1163" s="20">
        <f>""</f>
      </c>
      <c r="Z1163" s="20">
        <f>""</f>
      </c>
      <c r="AA1163" s="20">
        <f>""</f>
      </c>
      <c r="AB1163" s="20">
        <f>""</f>
      </c>
    </row>
    <row r="1164" s="127">
      <c r="A1164" s="14" t="n">
        <v>1164</v>
      </c>
      <c r="B1164" s="211">
        <f>IFERROR(IF([2]对账明细接口!$B$1164=0,"",[2]对账明细接口!$B$1164),"")</f>
      </c>
      <c r="C1164" s="16">
        <f>IFERROR(IF([2]对账明细接口!$C$1164=0,"",[2]对账明细接口!$C$1164),"")</f>
      </c>
      <c r="D1164" s="16">
        <f>IFERROR(IF([2]对账明细接口!$D$1164=0,"",[2]对账明细接口!$D$1164),"")</f>
      </c>
      <c r="E1164" s="16">
        <f>IFERROR(IF([2]对账明细接口!$E$1164=0,"",[2]对账明细接口!$E$1164),"")</f>
      </c>
      <c r="F1164" s="16">
        <f>IFERROR(IF([2]对账明细接口!$F$1164=0,"",[2]对账明细接口!$F$1164),"")</f>
      </c>
      <c r="G1164" s="16">
        <f>IFERROR(IF([2]对账明细接口!$G$1164=0,"",[2]对账明细接口!$G$1164),"")</f>
      </c>
      <c r="H1164" s="176">
        <f>IFERROR(IF([2]对账明细接口!$H$1164=0,"",[2]对账明细接口!$H$1164),"")</f>
      </c>
      <c r="I1164" s="16">
        <f>IFERROR(IF([2]对账明细接口!$I$1164=0,"",[2]对账明细接口!$I$1164),"")</f>
      </c>
      <c r="J1164" s="177">
        <f>IFERROR(IF([2]对账明细接口!$J$1164=0,"",[2]对账明细接口!$J$1164),"")</f>
      </c>
      <c r="K1164" s="177">
        <f>IFERROR(IF([2]对账明细接口!$K$1164=0,"",[2]对账明细接口!$K$1164),"")</f>
      </c>
      <c r="L1164" s="16">
        <f>IFERROR(IF([2]对账明细接口!$L$1164=0,"",[2]对账明细接口!$L$1164),"")</f>
      </c>
      <c r="M1164" s="16">
        <f>IFERROR(IF([2]对账明细接口!$M$1164=0,"",[2]对账明细接口!$M$1164),"")</f>
      </c>
      <c r="N1164" s="19">
        <f>IF($C1164="",0,1)</f>
        <v>0</v>
      </c>
      <c r="O1164" s="19">
        <f>N(O1163)+$N1164</f>
        <v>272</v>
      </c>
      <c r="S1164" s="20">
        <f>IFERROR(IF([2]对账明细接口!$N1164=0,"",[2]对账明细接口!$N1164),"")</f>
      </c>
      <c r="T1164" s="212">
        <f>IFERROR(IF([2]对账明细接口!$O1164=0,"",[2]对账明细接口!$O1164),"")</f>
      </c>
      <c r="U1164" s="212">
        <f>IFERROR(IF([2]对账明细接口!$P1164=0,"",[2]对账明细接口!$P1164),"")</f>
      </c>
      <c r="V1164" s="212">
        <f>IFERROR(IF([2]对账明细接口!$Q1164=0,"",[2]对账明细接口!$Q1164),"")</f>
      </c>
      <c r="W1164" s="20">
        <f>IFERROR(IF([2]对账明细接口!$R1164=0,"",[2]对账明细接口!$R1164),"")</f>
      </c>
      <c r="X1164" s="20">
        <f>IFERROR(IF([2]对账明细接口!$S1164=0,"",[2]对账明细接口!$S1164),"")</f>
      </c>
      <c r="Y1164" s="20">
        <f>""</f>
      </c>
      <c r="Z1164" s="20">
        <f>""</f>
      </c>
      <c r="AA1164" s="20">
        <f>""</f>
      </c>
      <c r="AB1164" s="20">
        <f>""</f>
      </c>
    </row>
    <row r="1165" s="127">
      <c r="A1165" s="14" t="n">
        <v>1165</v>
      </c>
      <c r="B1165" s="211">
        <f>IFERROR(IF([2]对账明细接口!$B$1165=0,"",[2]对账明细接口!$B$1165),"")</f>
      </c>
      <c r="C1165" s="16">
        <f>IFERROR(IF([2]对账明细接口!$C$1165=0,"",[2]对账明细接口!$C$1165),"")</f>
      </c>
      <c r="D1165" s="16">
        <f>IFERROR(IF([2]对账明细接口!$D$1165=0,"",[2]对账明细接口!$D$1165),"")</f>
      </c>
      <c r="E1165" s="16">
        <f>IFERROR(IF([2]对账明细接口!$E$1165=0,"",[2]对账明细接口!$E$1165),"")</f>
      </c>
      <c r="F1165" s="16">
        <f>IFERROR(IF([2]对账明细接口!$F$1165=0,"",[2]对账明细接口!$F$1165),"")</f>
      </c>
      <c r="G1165" s="16">
        <f>IFERROR(IF([2]对账明细接口!$G$1165=0,"",[2]对账明细接口!$G$1165),"")</f>
      </c>
      <c r="H1165" s="176">
        <f>IFERROR(IF([2]对账明细接口!$H$1165=0,"",[2]对账明细接口!$H$1165),"")</f>
      </c>
      <c r="I1165" s="16">
        <f>IFERROR(IF([2]对账明细接口!$I$1165=0,"",[2]对账明细接口!$I$1165),"")</f>
      </c>
      <c r="J1165" s="177">
        <f>IFERROR(IF([2]对账明细接口!$J$1165=0,"",[2]对账明细接口!$J$1165),"")</f>
      </c>
      <c r="K1165" s="177">
        <f>IFERROR(IF([2]对账明细接口!$K$1165=0,"",[2]对账明细接口!$K$1165),"")</f>
      </c>
      <c r="L1165" s="16">
        <f>IFERROR(IF([2]对账明细接口!$L$1165=0,"",[2]对账明细接口!$L$1165),"")</f>
      </c>
      <c r="M1165" s="16">
        <f>IFERROR(IF([2]对账明细接口!$M$1165=0,"",[2]对账明细接口!$M$1165),"")</f>
      </c>
      <c r="N1165" s="19">
        <f>IF($C1165="",0,1)</f>
        <v>0</v>
      </c>
      <c r="O1165" s="19">
        <f>N(O1164)+$N1165</f>
        <v>272</v>
      </c>
      <c r="S1165" s="20">
        <f>IFERROR(IF([2]对账明细接口!$N1165=0,"",[2]对账明细接口!$N1165),"")</f>
      </c>
      <c r="T1165" s="212">
        <f>IFERROR(IF([2]对账明细接口!$O1165=0,"",[2]对账明细接口!$O1165),"")</f>
      </c>
      <c r="U1165" s="212">
        <f>IFERROR(IF([2]对账明细接口!$P1165=0,"",[2]对账明细接口!$P1165),"")</f>
      </c>
      <c r="V1165" s="212">
        <f>IFERROR(IF([2]对账明细接口!$Q1165=0,"",[2]对账明细接口!$Q1165),"")</f>
      </c>
      <c r="W1165" s="20">
        <f>IFERROR(IF([2]对账明细接口!$R1165=0,"",[2]对账明细接口!$R1165),"")</f>
      </c>
      <c r="X1165" s="20">
        <f>IFERROR(IF([2]对账明细接口!$S1165=0,"",[2]对账明细接口!$S1165),"")</f>
      </c>
      <c r="Y1165" s="20">
        <f>""</f>
      </c>
      <c r="Z1165" s="20">
        <f>""</f>
      </c>
      <c r="AA1165" s="20">
        <f>""</f>
      </c>
      <c r="AB1165" s="20">
        <f>""</f>
      </c>
    </row>
    <row r="1166" s="127">
      <c r="A1166" s="14" t="n">
        <v>1166</v>
      </c>
      <c r="B1166" s="211">
        <f>IFERROR(IF([2]对账明细接口!$B$1166=0,"",[2]对账明细接口!$B$1166),"")</f>
      </c>
      <c r="C1166" s="16">
        <f>IFERROR(IF([2]对账明细接口!$C$1166=0,"",[2]对账明细接口!$C$1166),"")</f>
      </c>
      <c r="D1166" s="16">
        <f>IFERROR(IF([2]对账明细接口!$D$1166=0,"",[2]对账明细接口!$D$1166),"")</f>
      </c>
      <c r="E1166" s="16">
        <f>IFERROR(IF([2]对账明细接口!$E$1166=0,"",[2]对账明细接口!$E$1166),"")</f>
      </c>
      <c r="F1166" s="16">
        <f>IFERROR(IF([2]对账明细接口!$F$1166=0,"",[2]对账明细接口!$F$1166),"")</f>
      </c>
      <c r="G1166" s="16">
        <f>IFERROR(IF([2]对账明细接口!$G$1166=0,"",[2]对账明细接口!$G$1166),"")</f>
      </c>
      <c r="H1166" s="176">
        <f>IFERROR(IF([2]对账明细接口!$H$1166=0,"",[2]对账明细接口!$H$1166),"")</f>
      </c>
      <c r="I1166" s="16">
        <f>IFERROR(IF([2]对账明细接口!$I$1166=0,"",[2]对账明细接口!$I$1166),"")</f>
      </c>
      <c r="J1166" s="177">
        <f>IFERROR(IF([2]对账明细接口!$J$1166=0,"",[2]对账明细接口!$J$1166),"")</f>
      </c>
      <c r="K1166" s="177">
        <f>IFERROR(IF([2]对账明细接口!$K$1166=0,"",[2]对账明细接口!$K$1166),"")</f>
      </c>
      <c r="L1166" s="16">
        <f>IFERROR(IF([2]对账明细接口!$L$1166=0,"",[2]对账明细接口!$L$1166),"")</f>
      </c>
      <c r="M1166" s="16">
        <f>IFERROR(IF([2]对账明细接口!$M$1166=0,"",[2]对账明细接口!$M$1166),"")</f>
      </c>
      <c r="N1166" s="19">
        <f>IF($C1166="",0,1)</f>
        <v>0</v>
      </c>
      <c r="O1166" s="19">
        <f>N(O1165)+$N1166</f>
        <v>272</v>
      </c>
      <c r="S1166" s="20">
        <f>IFERROR(IF([2]对账明细接口!$N1166=0,"",[2]对账明细接口!$N1166),"")</f>
      </c>
      <c r="T1166" s="212">
        <f>IFERROR(IF([2]对账明细接口!$O1166=0,"",[2]对账明细接口!$O1166),"")</f>
      </c>
      <c r="U1166" s="212">
        <f>IFERROR(IF([2]对账明细接口!$P1166=0,"",[2]对账明细接口!$P1166),"")</f>
      </c>
      <c r="V1166" s="212">
        <f>IFERROR(IF([2]对账明细接口!$Q1166=0,"",[2]对账明细接口!$Q1166),"")</f>
      </c>
      <c r="W1166" s="20">
        <f>IFERROR(IF([2]对账明细接口!$R1166=0,"",[2]对账明细接口!$R1166),"")</f>
      </c>
      <c r="X1166" s="20">
        <f>IFERROR(IF([2]对账明细接口!$S1166=0,"",[2]对账明细接口!$S1166),"")</f>
      </c>
      <c r="Y1166" s="20">
        <f>""</f>
      </c>
      <c r="Z1166" s="20">
        <f>""</f>
      </c>
      <c r="AA1166" s="20">
        <f>""</f>
      </c>
      <c r="AB1166" s="20">
        <f>""</f>
      </c>
    </row>
    <row r="1167" s="127">
      <c r="A1167" s="14" t="n">
        <v>1167</v>
      </c>
      <c r="B1167" s="211">
        <f>IFERROR(IF([2]对账明细接口!$B$1167=0,"",[2]对账明细接口!$B$1167),"")</f>
      </c>
      <c r="C1167" s="16">
        <f>IFERROR(IF([2]对账明细接口!$C$1167=0,"",[2]对账明细接口!$C$1167),"")</f>
      </c>
      <c r="D1167" s="16">
        <f>IFERROR(IF([2]对账明细接口!$D$1167=0,"",[2]对账明细接口!$D$1167),"")</f>
      </c>
      <c r="E1167" s="16">
        <f>IFERROR(IF([2]对账明细接口!$E$1167=0,"",[2]对账明细接口!$E$1167),"")</f>
      </c>
      <c r="F1167" s="16">
        <f>IFERROR(IF([2]对账明细接口!$F$1167=0,"",[2]对账明细接口!$F$1167),"")</f>
      </c>
      <c r="G1167" s="16">
        <f>IFERROR(IF([2]对账明细接口!$G$1167=0,"",[2]对账明细接口!$G$1167),"")</f>
      </c>
      <c r="H1167" s="176">
        <f>IFERROR(IF([2]对账明细接口!$H$1167=0,"",[2]对账明细接口!$H$1167),"")</f>
      </c>
      <c r="I1167" s="16">
        <f>IFERROR(IF([2]对账明细接口!$I$1167=0,"",[2]对账明细接口!$I$1167),"")</f>
      </c>
      <c r="J1167" s="177">
        <f>IFERROR(IF([2]对账明细接口!$J$1167=0,"",[2]对账明细接口!$J$1167),"")</f>
      </c>
      <c r="K1167" s="177">
        <f>IFERROR(IF([2]对账明细接口!$K$1167=0,"",[2]对账明细接口!$K$1167),"")</f>
      </c>
      <c r="L1167" s="16">
        <f>IFERROR(IF([2]对账明细接口!$L$1167=0,"",[2]对账明细接口!$L$1167),"")</f>
      </c>
      <c r="M1167" s="16">
        <f>IFERROR(IF([2]对账明细接口!$M$1167=0,"",[2]对账明细接口!$M$1167),"")</f>
      </c>
      <c r="N1167" s="19">
        <f>IF($C1167="",0,1)</f>
        <v>0</v>
      </c>
      <c r="O1167" s="19">
        <f>N(O1166)+$N1167</f>
        <v>272</v>
      </c>
      <c r="S1167" s="20">
        <f>IFERROR(IF([2]对账明细接口!$N1167=0,"",[2]对账明细接口!$N1167),"")</f>
      </c>
      <c r="T1167" s="212">
        <f>IFERROR(IF([2]对账明细接口!$O1167=0,"",[2]对账明细接口!$O1167),"")</f>
      </c>
      <c r="U1167" s="212">
        <f>IFERROR(IF([2]对账明细接口!$P1167=0,"",[2]对账明细接口!$P1167),"")</f>
      </c>
      <c r="V1167" s="212">
        <f>IFERROR(IF([2]对账明细接口!$Q1167=0,"",[2]对账明细接口!$Q1167),"")</f>
      </c>
      <c r="W1167" s="20">
        <f>IFERROR(IF([2]对账明细接口!$R1167=0,"",[2]对账明细接口!$R1167),"")</f>
      </c>
      <c r="X1167" s="20">
        <f>IFERROR(IF([2]对账明细接口!$S1167=0,"",[2]对账明细接口!$S1167),"")</f>
      </c>
      <c r="Y1167" s="20">
        <f>""</f>
      </c>
      <c r="Z1167" s="20">
        <f>""</f>
      </c>
      <c r="AA1167" s="20">
        <f>""</f>
      </c>
      <c r="AB1167" s="20">
        <f>""</f>
      </c>
    </row>
    <row r="1168" s="127">
      <c r="A1168" s="14" t="n">
        <v>1168</v>
      </c>
      <c r="B1168" s="211">
        <f>IFERROR(IF([2]对账明细接口!$B$1168=0,"",[2]对账明细接口!$B$1168),"")</f>
      </c>
      <c r="C1168" s="16">
        <f>IFERROR(IF([2]对账明细接口!$C$1168=0,"",[2]对账明细接口!$C$1168),"")</f>
      </c>
      <c r="D1168" s="16">
        <f>IFERROR(IF([2]对账明细接口!$D$1168=0,"",[2]对账明细接口!$D$1168),"")</f>
      </c>
      <c r="E1168" s="16">
        <f>IFERROR(IF([2]对账明细接口!$E$1168=0,"",[2]对账明细接口!$E$1168),"")</f>
      </c>
      <c r="F1168" s="16">
        <f>IFERROR(IF([2]对账明细接口!$F$1168=0,"",[2]对账明细接口!$F$1168),"")</f>
      </c>
      <c r="G1168" s="16">
        <f>IFERROR(IF([2]对账明细接口!$G$1168=0,"",[2]对账明细接口!$G$1168),"")</f>
      </c>
      <c r="H1168" s="176">
        <f>IFERROR(IF([2]对账明细接口!$H$1168=0,"",[2]对账明细接口!$H$1168),"")</f>
      </c>
      <c r="I1168" s="16">
        <f>IFERROR(IF([2]对账明细接口!$I$1168=0,"",[2]对账明细接口!$I$1168),"")</f>
      </c>
      <c r="J1168" s="177">
        <f>IFERROR(IF([2]对账明细接口!$J$1168=0,"",[2]对账明细接口!$J$1168),"")</f>
      </c>
      <c r="K1168" s="177">
        <f>IFERROR(IF([2]对账明细接口!$K$1168=0,"",[2]对账明细接口!$K$1168),"")</f>
      </c>
      <c r="L1168" s="16">
        <f>IFERROR(IF([2]对账明细接口!$L$1168=0,"",[2]对账明细接口!$L$1168),"")</f>
      </c>
      <c r="M1168" s="16">
        <f>IFERROR(IF([2]对账明细接口!$M$1168=0,"",[2]对账明细接口!$M$1168),"")</f>
      </c>
      <c r="N1168" s="19">
        <f>IF($C1168="",0,1)</f>
        <v>0</v>
      </c>
      <c r="O1168" s="19">
        <f>N(O1167)+$N1168</f>
        <v>272</v>
      </c>
      <c r="S1168" s="20">
        <f>IFERROR(IF([2]对账明细接口!$N1168=0,"",[2]对账明细接口!$N1168),"")</f>
      </c>
      <c r="T1168" s="212">
        <f>IFERROR(IF([2]对账明细接口!$O1168=0,"",[2]对账明细接口!$O1168),"")</f>
      </c>
      <c r="U1168" s="212">
        <f>IFERROR(IF([2]对账明细接口!$P1168=0,"",[2]对账明细接口!$P1168),"")</f>
      </c>
      <c r="V1168" s="212">
        <f>IFERROR(IF([2]对账明细接口!$Q1168=0,"",[2]对账明细接口!$Q1168),"")</f>
      </c>
      <c r="W1168" s="20">
        <f>IFERROR(IF([2]对账明细接口!$R1168=0,"",[2]对账明细接口!$R1168),"")</f>
      </c>
      <c r="X1168" s="20">
        <f>IFERROR(IF([2]对账明细接口!$S1168=0,"",[2]对账明细接口!$S1168),"")</f>
      </c>
      <c r="Y1168" s="20">
        <f>""</f>
      </c>
      <c r="Z1168" s="20">
        <f>""</f>
      </c>
      <c r="AA1168" s="20">
        <f>""</f>
      </c>
      <c r="AB1168" s="20">
        <f>""</f>
      </c>
    </row>
    <row r="1169" s="127">
      <c r="A1169" s="14" t="n">
        <v>1169</v>
      </c>
      <c r="B1169" s="211">
        <f>IFERROR(IF([2]对账明细接口!$B$1169=0,"",[2]对账明细接口!$B$1169),"")</f>
      </c>
      <c r="C1169" s="16">
        <f>IFERROR(IF([2]对账明细接口!$C$1169=0,"",[2]对账明细接口!$C$1169),"")</f>
      </c>
      <c r="D1169" s="16">
        <f>IFERROR(IF([2]对账明细接口!$D$1169=0,"",[2]对账明细接口!$D$1169),"")</f>
      </c>
      <c r="E1169" s="16">
        <f>IFERROR(IF([2]对账明细接口!$E$1169=0,"",[2]对账明细接口!$E$1169),"")</f>
      </c>
      <c r="F1169" s="16">
        <f>IFERROR(IF([2]对账明细接口!$F$1169=0,"",[2]对账明细接口!$F$1169),"")</f>
      </c>
      <c r="G1169" s="16">
        <f>IFERROR(IF([2]对账明细接口!$G$1169=0,"",[2]对账明细接口!$G$1169),"")</f>
      </c>
      <c r="H1169" s="176">
        <f>IFERROR(IF([2]对账明细接口!$H$1169=0,"",[2]对账明细接口!$H$1169),"")</f>
      </c>
      <c r="I1169" s="16">
        <f>IFERROR(IF([2]对账明细接口!$I$1169=0,"",[2]对账明细接口!$I$1169),"")</f>
      </c>
      <c r="J1169" s="177">
        <f>IFERROR(IF([2]对账明细接口!$J$1169=0,"",[2]对账明细接口!$J$1169),"")</f>
      </c>
      <c r="K1169" s="177">
        <f>IFERROR(IF([2]对账明细接口!$K$1169=0,"",[2]对账明细接口!$K$1169),"")</f>
      </c>
      <c r="L1169" s="16">
        <f>IFERROR(IF([2]对账明细接口!$L$1169=0,"",[2]对账明细接口!$L$1169),"")</f>
      </c>
      <c r="M1169" s="16">
        <f>IFERROR(IF([2]对账明细接口!$M$1169=0,"",[2]对账明细接口!$M$1169),"")</f>
      </c>
      <c r="N1169" s="19">
        <f>IF($C1169="",0,1)</f>
        <v>0</v>
      </c>
      <c r="O1169" s="19">
        <f>N(O1168)+$N1169</f>
        <v>272</v>
      </c>
      <c r="S1169" s="20">
        <f>IFERROR(IF([2]对账明细接口!$N1169=0,"",[2]对账明细接口!$N1169),"")</f>
      </c>
      <c r="T1169" s="212">
        <f>IFERROR(IF([2]对账明细接口!$O1169=0,"",[2]对账明细接口!$O1169),"")</f>
      </c>
      <c r="U1169" s="212">
        <f>IFERROR(IF([2]对账明细接口!$P1169=0,"",[2]对账明细接口!$P1169),"")</f>
      </c>
      <c r="V1169" s="212">
        <f>IFERROR(IF([2]对账明细接口!$Q1169=0,"",[2]对账明细接口!$Q1169),"")</f>
      </c>
      <c r="W1169" s="20">
        <f>IFERROR(IF([2]对账明细接口!$R1169=0,"",[2]对账明细接口!$R1169),"")</f>
      </c>
      <c r="X1169" s="20">
        <f>IFERROR(IF([2]对账明细接口!$S1169=0,"",[2]对账明细接口!$S1169),"")</f>
      </c>
      <c r="Y1169" s="20">
        <f>""</f>
      </c>
      <c r="Z1169" s="20">
        <f>""</f>
      </c>
      <c r="AA1169" s="20">
        <f>""</f>
      </c>
      <c r="AB1169" s="20">
        <f>""</f>
      </c>
    </row>
    <row r="1170" s="127">
      <c r="A1170" s="14" t="n">
        <v>1170</v>
      </c>
      <c r="B1170" s="211">
        <f>IFERROR(IF([2]对账明细接口!$B$1170=0,"",[2]对账明细接口!$B$1170),"")</f>
      </c>
      <c r="C1170" s="16">
        <f>IFERROR(IF([2]对账明细接口!$C$1170=0,"",[2]对账明细接口!$C$1170),"")</f>
      </c>
      <c r="D1170" s="16">
        <f>IFERROR(IF([2]对账明细接口!$D$1170=0,"",[2]对账明细接口!$D$1170),"")</f>
      </c>
      <c r="E1170" s="16">
        <f>IFERROR(IF([2]对账明细接口!$E$1170=0,"",[2]对账明细接口!$E$1170),"")</f>
      </c>
      <c r="F1170" s="16">
        <f>IFERROR(IF([2]对账明细接口!$F$1170=0,"",[2]对账明细接口!$F$1170),"")</f>
      </c>
      <c r="G1170" s="16">
        <f>IFERROR(IF([2]对账明细接口!$G$1170=0,"",[2]对账明细接口!$G$1170),"")</f>
      </c>
      <c r="H1170" s="176">
        <f>IFERROR(IF([2]对账明细接口!$H$1170=0,"",[2]对账明细接口!$H$1170),"")</f>
      </c>
      <c r="I1170" s="16">
        <f>IFERROR(IF([2]对账明细接口!$I$1170=0,"",[2]对账明细接口!$I$1170),"")</f>
      </c>
      <c r="J1170" s="177">
        <f>IFERROR(IF([2]对账明细接口!$J$1170=0,"",[2]对账明细接口!$J$1170),"")</f>
      </c>
      <c r="K1170" s="177">
        <f>IFERROR(IF([2]对账明细接口!$K$1170=0,"",[2]对账明细接口!$K$1170),"")</f>
      </c>
      <c r="L1170" s="16">
        <f>IFERROR(IF([2]对账明细接口!$L$1170=0,"",[2]对账明细接口!$L$1170),"")</f>
      </c>
      <c r="M1170" s="16">
        <f>IFERROR(IF([2]对账明细接口!$M$1170=0,"",[2]对账明细接口!$M$1170),"")</f>
      </c>
      <c r="N1170" s="19">
        <f>IF($C1170="",0,1)</f>
        <v>0</v>
      </c>
      <c r="O1170" s="19">
        <f>N(O1169)+$N1170</f>
        <v>272</v>
      </c>
      <c r="S1170" s="20">
        <f>IFERROR(IF([2]对账明细接口!$N1170=0,"",[2]对账明细接口!$N1170),"")</f>
      </c>
      <c r="T1170" s="212">
        <f>IFERROR(IF([2]对账明细接口!$O1170=0,"",[2]对账明细接口!$O1170),"")</f>
      </c>
      <c r="U1170" s="212">
        <f>IFERROR(IF([2]对账明细接口!$P1170=0,"",[2]对账明细接口!$P1170),"")</f>
      </c>
      <c r="V1170" s="212">
        <f>IFERROR(IF([2]对账明细接口!$Q1170=0,"",[2]对账明细接口!$Q1170),"")</f>
      </c>
      <c r="W1170" s="20">
        <f>IFERROR(IF([2]对账明细接口!$R1170=0,"",[2]对账明细接口!$R1170),"")</f>
      </c>
      <c r="X1170" s="20">
        <f>IFERROR(IF([2]对账明细接口!$S1170=0,"",[2]对账明细接口!$S1170),"")</f>
      </c>
      <c r="Y1170" s="20">
        <f>""</f>
      </c>
      <c r="Z1170" s="20">
        <f>""</f>
      </c>
      <c r="AA1170" s="20">
        <f>""</f>
      </c>
      <c r="AB1170" s="20">
        <f>""</f>
      </c>
    </row>
    <row r="1171" s="127">
      <c r="A1171" s="14" t="n">
        <v>1171</v>
      </c>
      <c r="B1171" s="211">
        <f>IFERROR(IF([2]对账明细接口!$B$1171=0,"",[2]对账明细接口!$B$1171),"")</f>
      </c>
      <c r="C1171" s="16">
        <f>IFERROR(IF([2]对账明细接口!$C$1171=0,"",[2]对账明细接口!$C$1171),"")</f>
      </c>
      <c r="D1171" s="16">
        <f>IFERROR(IF([2]对账明细接口!$D$1171=0,"",[2]对账明细接口!$D$1171),"")</f>
      </c>
      <c r="E1171" s="16">
        <f>IFERROR(IF([2]对账明细接口!$E$1171=0,"",[2]对账明细接口!$E$1171),"")</f>
      </c>
      <c r="F1171" s="16">
        <f>IFERROR(IF([2]对账明细接口!$F$1171=0,"",[2]对账明细接口!$F$1171),"")</f>
      </c>
      <c r="G1171" s="16">
        <f>IFERROR(IF([2]对账明细接口!$G$1171=0,"",[2]对账明细接口!$G$1171),"")</f>
      </c>
      <c r="H1171" s="176">
        <f>IFERROR(IF([2]对账明细接口!$H$1171=0,"",[2]对账明细接口!$H$1171),"")</f>
      </c>
      <c r="I1171" s="16">
        <f>IFERROR(IF([2]对账明细接口!$I$1171=0,"",[2]对账明细接口!$I$1171),"")</f>
      </c>
      <c r="J1171" s="177">
        <f>IFERROR(IF([2]对账明细接口!$J$1171=0,"",[2]对账明细接口!$J$1171),"")</f>
      </c>
      <c r="K1171" s="177">
        <f>IFERROR(IF([2]对账明细接口!$K$1171=0,"",[2]对账明细接口!$K$1171),"")</f>
      </c>
      <c r="L1171" s="16">
        <f>IFERROR(IF([2]对账明细接口!$L$1171=0,"",[2]对账明细接口!$L$1171),"")</f>
      </c>
      <c r="M1171" s="16">
        <f>IFERROR(IF([2]对账明细接口!$M$1171=0,"",[2]对账明细接口!$M$1171),"")</f>
      </c>
      <c r="N1171" s="19">
        <f>IF($C1171="",0,1)</f>
        <v>0</v>
      </c>
      <c r="O1171" s="19">
        <f>N(O1170)+$N1171</f>
        <v>272</v>
      </c>
      <c r="S1171" s="20">
        <f>IFERROR(IF([2]对账明细接口!$N1171=0,"",[2]对账明细接口!$N1171),"")</f>
      </c>
      <c r="T1171" s="212">
        <f>IFERROR(IF([2]对账明细接口!$O1171=0,"",[2]对账明细接口!$O1171),"")</f>
      </c>
      <c r="U1171" s="212">
        <f>IFERROR(IF([2]对账明细接口!$P1171=0,"",[2]对账明细接口!$P1171),"")</f>
      </c>
      <c r="V1171" s="212">
        <f>IFERROR(IF([2]对账明细接口!$Q1171=0,"",[2]对账明细接口!$Q1171),"")</f>
      </c>
      <c r="W1171" s="20">
        <f>IFERROR(IF([2]对账明细接口!$R1171=0,"",[2]对账明细接口!$R1171),"")</f>
      </c>
      <c r="X1171" s="20">
        <f>IFERROR(IF([2]对账明细接口!$S1171=0,"",[2]对账明细接口!$S1171),"")</f>
      </c>
      <c r="Y1171" s="20">
        <f>""</f>
      </c>
      <c r="Z1171" s="20">
        <f>""</f>
      </c>
      <c r="AA1171" s="20">
        <f>""</f>
      </c>
      <c r="AB1171" s="20">
        <f>""</f>
      </c>
    </row>
    <row r="1172" s="127">
      <c r="A1172" s="14" t="n">
        <v>1172</v>
      </c>
      <c r="B1172" s="211">
        <f>IFERROR(IF([2]对账明细接口!$B$1172=0,"",[2]对账明细接口!$B$1172),"")</f>
      </c>
      <c r="C1172" s="16">
        <f>IFERROR(IF([2]对账明细接口!$C$1172=0,"",[2]对账明细接口!$C$1172),"")</f>
      </c>
      <c r="D1172" s="16">
        <f>IFERROR(IF([2]对账明细接口!$D$1172=0,"",[2]对账明细接口!$D$1172),"")</f>
      </c>
      <c r="E1172" s="16">
        <f>IFERROR(IF([2]对账明细接口!$E$1172=0,"",[2]对账明细接口!$E$1172),"")</f>
      </c>
      <c r="F1172" s="16">
        <f>IFERROR(IF([2]对账明细接口!$F$1172=0,"",[2]对账明细接口!$F$1172),"")</f>
      </c>
      <c r="G1172" s="16">
        <f>IFERROR(IF([2]对账明细接口!$G$1172=0,"",[2]对账明细接口!$G$1172),"")</f>
      </c>
      <c r="H1172" s="176">
        <f>IFERROR(IF([2]对账明细接口!$H$1172=0,"",[2]对账明细接口!$H$1172),"")</f>
      </c>
      <c r="I1172" s="16">
        <f>IFERROR(IF([2]对账明细接口!$I$1172=0,"",[2]对账明细接口!$I$1172),"")</f>
      </c>
      <c r="J1172" s="177">
        <f>IFERROR(IF([2]对账明细接口!$J$1172=0,"",[2]对账明细接口!$J$1172),"")</f>
      </c>
      <c r="K1172" s="177">
        <f>IFERROR(IF([2]对账明细接口!$K$1172=0,"",[2]对账明细接口!$K$1172),"")</f>
      </c>
      <c r="L1172" s="16">
        <f>IFERROR(IF([2]对账明细接口!$L$1172=0,"",[2]对账明细接口!$L$1172),"")</f>
      </c>
      <c r="M1172" s="16">
        <f>IFERROR(IF([2]对账明细接口!$M$1172=0,"",[2]对账明细接口!$M$1172),"")</f>
      </c>
      <c r="N1172" s="19">
        <f>IF($C1172="",0,1)</f>
        <v>0</v>
      </c>
      <c r="O1172" s="19">
        <f>N(O1171)+$N1172</f>
        <v>272</v>
      </c>
      <c r="S1172" s="20">
        <f>IFERROR(IF([2]对账明细接口!$N1172=0,"",[2]对账明细接口!$N1172),"")</f>
      </c>
      <c r="T1172" s="212">
        <f>IFERROR(IF([2]对账明细接口!$O1172=0,"",[2]对账明细接口!$O1172),"")</f>
      </c>
      <c r="U1172" s="212">
        <f>IFERROR(IF([2]对账明细接口!$P1172=0,"",[2]对账明细接口!$P1172),"")</f>
      </c>
      <c r="V1172" s="212">
        <f>IFERROR(IF([2]对账明细接口!$Q1172=0,"",[2]对账明细接口!$Q1172),"")</f>
      </c>
      <c r="W1172" s="20">
        <f>IFERROR(IF([2]对账明细接口!$R1172=0,"",[2]对账明细接口!$R1172),"")</f>
      </c>
      <c r="X1172" s="20">
        <f>IFERROR(IF([2]对账明细接口!$S1172=0,"",[2]对账明细接口!$S1172),"")</f>
      </c>
      <c r="Y1172" s="20">
        <f>""</f>
      </c>
      <c r="Z1172" s="20">
        <f>""</f>
      </c>
      <c r="AA1172" s="20">
        <f>""</f>
      </c>
      <c r="AB1172" s="20">
        <f>""</f>
      </c>
    </row>
    <row r="1173" s="127">
      <c r="A1173" s="14" t="n">
        <v>1173</v>
      </c>
      <c r="B1173" s="211">
        <f>IFERROR(IF([2]对账明细接口!$B$1173=0,"",[2]对账明细接口!$B$1173),"")</f>
      </c>
      <c r="C1173" s="16">
        <f>IFERROR(IF([2]对账明细接口!$C$1173=0,"",[2]对账明细接口!$C$1173),"")</f>
      </c>
      <c r="D1173" s="16">
        <f>IFERROR(IF([2]对账明细接口!$D$1173=0,"",[2]对账明细接口!$D$1173),"")</f>
      </c>
      <c r="E1173" s="16">
        <f>IFERROR(IF([2]对账明细接口!$E$1173=0,"",[2]对账明细接口!$E$1173),"")</f>
      </c>
      <c r="F1173" s="16">
        <f>IFERROR(IF([2]对账明细接口!$F$1173=0,"",[2]对账明细接口!$F$1173),"")</f>
      </c>
      <c r="G1173" s="16">
        <f>IFERROR(IF([2]对账明细接口!$G$1173=0,"",[2]对账明细接口!$G$1173),"")</f>
      </c>
      <c r="H1173" s="176">
        <f>IFERROR(IF([2]对账明细接口!$H$1173=0,"",[2]对账明细接口!$H$1173),"")</f>
      </c>
      <c r="I1173" s="16">
        <f>IFERROR(IF([2]对账明细接口!$I$1173=0,"",[2]对账明细接口!$I$1173),"")</f>
      </c>
      <c r="J1173" s="177">
        <f>IFERROR(IF([2]对账明细接口!$J$1173=0,"",[2]对账明细接口!$J$1173),"")</f>
      </c>
      <c r="K1173" s="177">
        <f>IFERROR(IF([2]对账明细接口!$K$1173=0,"",[2]对账明细接口!$K$1173),"")</f>
      </c>
      <c r="L1173" s="16">
        <f>IFERROR(IF([2]对账明细接口!$L$1173=0,"",[2]对账明细接口!$L$1173),"")</f>
      </c>
      <c r="M1173" s="16">
        <f>IFERROR(IF([2]对账明细接口!$M$1173=0,"",[2]对账明细接口!$M$1173),"")</f>
      </c>
      <c r="N1173" s="19">
        <f>IF($C1173="",0,1)</f>
        <v>0</v>
      </c>
      <c r="O1173" s="19">
        <f>N(O1172)+$N1173</f>
        <v>272</v>
      </c>
      <c r="S1173" s="20">
        <f>IFERROR(IF([2]对账明细接口!$N1173=0,"",[2]对账明细接口!$N1173),"")</f>
      </c>
      <c r="T1173" s="212">
        <f>IFERROR(IF([2]对账明细接口!$O1173=0,"",[2]对账明细接口!$O1173),"")</f>
      </c>
      <c r="U1173" s="212">
        <f>IFERROR(IF([2]对账明细接口!$P1173=0,"",[2]对账明细接口!$P1173),"")</f>
      </c>
      <c r="V1173" s="212">
        <f>IFERROR(IF([2]对账明细接口!$Q1173=0,"",[2]对账明细接口!$Q1173),"")</f>
      </c>
      <c r="W1173" s="20">
        <f>IFERROR(IF([2]对账明细接口!$R1173=0,"",[2]对账明细接口!$R1173),"")</f>
      </c>
      <c r="X1173" s="20">
        <f>IFERROR(IF([2]对账明细接口!$S1173=0,"",[2]对账明细接口!$S1173),"")</f>
      </c>
      <c r="Y1173" s="20">
        <f>""</f>
      </c>
      <c r="Z1173" s="20">
        <f>""</f>
      </c>
      <c r="AA1173" s="20">
        <f>""</f>
      </c>
      <c r="AB1173" s="20">
        <f>""</f>
      </c>
    </row>
    <row r="1174" s="127">
      <c r="A1174" s="14" t="n">
        <v>1174</v>
      </c>
      <c r="B1174" s="211">
        <f>IFERROR(IF([2]对账明细接口!$B$1174=0,"",[2]对账明细接口!$B$1174),"")</f>
      </c>
      <c r="C1174" s="16">
        <f>IFERROR(IF([2]对账明细接口!$C$1174=0,"",[2]对账明细接口!$C$1174),"")</f>
      </c>
      <c r="D1174" s="16">
        <f>IFERROR(IF([2]对账明细接口!$D$1174=0,"",[2]对账明细接口!$D$1174),"")</f>
      </c>
      <c r="E1174" s="16">
        <f>IFERROR(IF([2]对账明细接口!$E$1174=0,"",[2]对账明细接口!$E$1174),"")</f>
      </c>
      <c r="F1174" s="16">
        <f>IFERROR(IF([2]对账明细接口!$F$1174=0,"",[2]对账明细接口!$F$1174),"")</f>
      </c>
      <c r="G1174" s="16">
        <f>IFERROR(IF([2]对账明细接口!$G$1174=0,"",[2]对账明细接口!$G$1174),"")</f>
      </c>
      <c r="H1174" s="176">
        <f>IFERROR(IF([2]对账明细接口!$H$1174=0,"",[2]对账明细接口!$H$1174),"")</f>
      </c>
      <c r="I1174" s="16">
        <f>IFERROR(IF([2]对账明细接口!$I$1174=0,"",[2]对账明细接口!$I$1174),"")</f>
      </c>
      <c r="J1174" s="177">
        <f>IFERROR(IF([2]对账明细接口!$J$1174=0,"",[2]对账明细接口!$J$1174),"")</f>
      </c>
      <c r="K1174" s="177">
        <f>IFERROR(IF([2]对账明细接口!$K$1174=0,"",[2]对账明细接口!$K$1174),"")</f>
      </c>
      <c r="L1174" s="16">
        <f>IFERROR(IF([2]对账明细接口!$L$1174=0,"",[2]对账明细接口!$L$1174),"")</f>
      </c>
      <c r="M1174" s="16">
        <f>IFERROR(IF([2]对账明细接口!$M$1174=0,"",[2]对账明细接口!$M$1174),"")</f>
      </c>
      <c r="N1174" s="19">
        <f>IF($C1174="",0,1)</f>
        <v>0</v>
      </c>
      <c r="O1174" s="19">
        <f>N(O1173)+$N1174</f>
        <v>272</v>
      </c>
      <c r="S1174" s="20">
        <f>IFERROR(IF([2]对账明细接口!$N1174=0,"",[2]对账明细接口!$N1174),"")</f>
      </c>
      <c r="T1174" s="212">
        <f>IFERROR(IF([2]对账明细接口!$O1174=0,"",[2]对账明细接口!$O1174),"")</f>
      </c>
      <c r="U1174" s="212">
        <f>IFERROR(IF([2]对账明细接口!$P1174=0,"",[2]对账明细接口!$P1174),"")</f>
      </c>
      <c r="V1174" s="212">
        <f>IFERROR(IF([2]对账明细接口!$Q1174=0,"",[2]对账明细接口!$Q1174),"")</f>
      </c>
      <c r="W1174" s="20">
        <f>IFERROR(IF([2]对账明细接口!$R1174=0,"",[2]对账明细接口!$R1174),"")</f>
      </c>
      <c r="X1174" s="20">
        <f>IFERROR(IF([2]对账明细接口!$S1174=0,"",[2]对账明细接口!$S1174),"")</f>
      </c>
      <c r="Y1174" s="20">
        <f>""</f>
      </c>
      <c r="Z1174" s="20">
        <f>""</f>
      </c>
      <c r="AA1174" s="20">
        <f>""</f>
      </c>
      <c r="AB1174" s="20">
        <f>""</f>
      </c>
    </row>
    <row r="1175" s="127">
      <c r="A1175" s="14" t="n">
        <v>1175</v>
      </c>
      <c r="B1175" s="211">
        <f>IFERROR(IF([2]对账明细接口!$B$1175=0,"",[2]对账明细接口!$B$1175),"")</f>
      </c>
      <c r="C1175" s="16">
        <f>IFERROR(IF([2]对账明细接口!$C$1175=0,"",[2]对账明细接口!$C$1175),"")</f>
      </c>
      <c r="D1175" s="16">
        <f>IFERROR(IF([2]对账明细接口!$D$1175=0,"",[2]对账明细接口!$D$1175),"")</f>
      </c>
      <c r="E1175" s="16">
        <f>IFERROR(IF([2]对账明细接口!$E$1175=0,"",[2]对账明细接口!$E$1175),"")</f>
      </c>
      <c r="F1175" s="16">
        <f>IFERROR(IF([2]对账明细接口!$F$1175=0,"",[2]对账明细接口!$F$1175),"")</f>
      </c>
      <c r="G1175" s="16">
        <f>IFERROR(IF([2]对账明细接口!$G$1175=0,"",[2]对账明细接口!$G$1175),"")</f>
      </c>
      <c r="H1175" s="176">
        <f>IFERROR(IF([2]对账明细接口!$H$1175=0,"",[2]对账明细接口!$H$1175),"")</f>
      </c>
      <c r="I1175" s="16">
        <f>IFERROR(IF([2]对账明细接口!$I$1175=0,"",[2]对账明细接口!$I$1175),"")</f>
      </c>
      <c r="J1175" s="177">
        <f>IFERROR(IF([2]对账明细接口!$J$1175=0,"",[2]对账明细接口!$J$1175),"")</f>
      </c>
      <c r="K1175" s="177">
        <f>IFERROR(IF([2]对账明细接口!$K$1175=0,"",[2]对账明细接口!$K$1175),"")</f>
      </c>
      <c r="L1175" s="16">
        <f>IFERROR(IF([2]对账明细接口!$L$1175=0,"",[2]对账明细接口!$L$1175),"")</f>
      </c>
      <c r="M1175" s="16">
        <f>IFERROR(IF([2]对账明细接口!$M$1175=0,"",[2]对账明细接口!$M$1175),"")</f>
      </c>
      <c r="N1175" s="19">
        <f>IF($C1175="",0,1)</f>
        <v>0</v>
      </c>
      <c r="O1175" s="19">
        <f>N(O1174)+$N1175</f>
        <v>272</v>
      </c>
      <c r="S1175" s="20">
        <f>IFERROR(IF([2]对账明细接口!$N1175=0,"",[2]对账明细接口!$N1175),"")</f>
      </c>
      <c r="T1175" s="212">
        <f>IFERROR(IF([2]对账明细接口!$O1175=0,"",[2]对账明细接口!$O1175),"")</f>
      </c>
      <c r="U1175" s="212">
        <f>IFERROR(IF([2]对账明细接口!$P1175=0,"",[2]对账明细接口!$P1175),"")</f>
      </c>
      <c r="V1175" s="212">
        <f>IFERROR(IF([2]对账明细接口!$Q1175=0,"",[2]对账明细接口!$Q1175),"")</f>
      </c>
      <c r="W1175" s="20">
        <f>IFERROR(IF([2]对账明细接口!$R1175=0,"",[2]对账明细接口!$R1175),"")</f>
      </c>
      <c r="X1175" s="20">
        <f>IFERROR(IF([2]对账明细接口!$S1175=0,"",[2]对账明细接口!$S1175),"")</f>
      </c>
      <c r="Y1175" s="20">
        <f>""</f>
      </c>
      <c r="Z1175" s="20">
        <f>""</f>
      </c>
      <c r="AA1175" s="20">
        <f>""</f>
      </c>
      <c r="AB1175" s="20">
        <f>""</f>
      </c>
    </row>
    <row r="1176" s="127">
      <c r="A1176" s="14" t="n">
        <v>1176</v>
      </c>
      <c r="B1176" s="211">
        <f>IFERROR(IF([2]对账明细接口!$B$1176=0,"",[2]对账明细接口!$B$1176),"")</f>
      </c>
      <c r="C1176" s="16">
        <f>IFERROR(IF([2]对账明细接口!$C$1176=0,"",[2]对账明细接口!$C$1176),"")</f>
      </c>
      <c r="D1176" s="16">
        <f>IFERROR(IF([2]对账明细接口!$D$1176=0,"",[2]对账明细接口!$D$1176),"")</f>
      </c>
      <c r="E1176" s="16">
        <f>IFERROR(IF([2]对账明细接口!$E$1176=0,"",[2]对账明细接口!$E$1176),"")</f>
      </c>
      <c r="F1176" s="16">
        <f>IFERROR(IF([2]对账明细接口!$F$1176=0,"",[2]对账明细接口!$F$1176),"")</f>
      </c>
      <c r="G1176" s="16">
        <f>IFERROR(IF([2]对账明细接口!$G$1176=0,"",[2]对账明细接口!$G$1176),"")</f>
      </c>
      <c r="H1176" s="176">
        <f>IFERROR(IF([2]对账明细接口!$H$1176=0,"",[2]对账明细接口!$H$1176),"")</f>
      </c>
      <c r="I1176" s="16">
        <f>IFERROR(IF([2]对账明细接口!$I$1176=0,"",[2]对账明细接口!$I$1176),"")</f>
      </c>
      <c r="J1176" s="177">
        <f>IFERROR(IF([2]对账明细接口!$J$1176=0,"",[2]对账明细接口!$J$1176),"")</f>
      </c>
      <c r="K1176" s="177">
        <f>IFERROR(IF([2]对账明细接口!$K$1176=0,"",[2]对账明细接口!$K$1176),"")</f>
      </c>
      <c r="L1176" s="16">
        <f>IFERROR(IF([2]对账明细接口!$L$1176=0,"",[2]对账明细接口!$L$1176),"")</f>
      </c>
      <c r="M1176" s="16">
        <f>IFERROR(IF([2]对账明细接口!$M$1176=0,"",[2]对账明细接口!$M$1176),"")</f>
      </c>
      <c r="N1176" s="19">
        <f>IF($C1176="",0,1)</f>
        <v>0</v>
      </c>
      <c r="O1176" s="19">
        <f>N(O1175)+$N1176</f>
        <v>272</v>
      </c>
      <c r="S1176" s="20">
        <f>IFERROR(IF([2]对账明细接口!$N1176=0,"",[2]对账明细接口!$N1176),"")</f>
      </c>
      <c r="T1176" s="212">
        <f>IFERROR(IF([2]对账明细接口!$O1176=0,"",[2]对账明细接口!$O1176),"")</f>
      </c>
      <c r="U1176" s="212">
        <f>IFERROR(IF([2]对账明细接口!$P1176=0,"",[2]对账明细接口!$P1176),"")</f>
      </c>
      <c r="V1176" s="212">
        <f>IFERROR(IF([2]对账明细接口!$Q1176=0,"",[2]对账明细接口!$Q1176),"")</f>
      </c>
      <c r="W1176" s="20">
        <f>IFERROR(IF([2]对账明细接口!$R1176=0,"",[2]对账明细接口!$R1176),"")</f>
      </c>
      <c r="X1176" s="20">
        <f>IFERROR(IF([2]对账明细接口!$S1176=0,"",[2]对账明细接口!$S1176),"")</f>
      </c>
      <c r="Y1176" s="20">
        <f>""</f>
      </c>
      <c r="Z1176" s="20">
        <f>""</f>
      </c>
      <c r="AA1176" s="20">
        <f>""</f>
      </c>
      <c r="AB1176" s="20">
        <f>""</f>
      </c>
    </row>
    <row r="1177" s="127">
      <c r="A1177" s="14" t="n">
        <v>1177</v>
      </c>
      <c r="B1177" s="211">
        <f>IFERROR(IF([2]对账明细接口!$B$1177=0,"",[2]对账明细接口!$B$1177),"")</f>
      </c>
      <c r="C1177" s="16">
        <f>IFERROR(IF([2]对账明细接口!$C$1177=0,"",[2]对账明细接口!$C$1177),"")</f>
      </c>
      <c r="D1177" s="16">
        <f>IFERROR(IF([2]对账明细接口!$D$1177=0,"",[2]对账明细接口!$D$1177),"")</f>
      </c>
      <c r="E1177" s="16">
        <f>IFERROR(IF([2]对账明细接口!$E$1177=0,"",[2]对账明细接口!$E$1177),"")</f>
      </c>
      <c r="F1177" s="16">
        <f>IFERROR(IF([2]对账明细接口!$F$1177=0,"",[2]对账明细接口!$F$1177),"")</f>
      </c>
      <c r="G1177" s="16">
        <f>IFERROR(IF([2]对账明细接口!$G$1177=0,"",[2]对账明细接口!$G$1177),"")</f>
      </c>
      <c r="H1177" s="176">
        <f>IFERROR(IF([2]对账明细接口!$H$1177=0,"",[2]对账明细接口!$H$1177),"")</f>
      </c>
      <c r="I1177" s="16">
        <f>IFERROR(IF([2]对账明细接口!$I$1177=0,"",[2]对账明细接口!$I$1177),"")</f>
      </c>
      <c r="J1177" s="177">
        <f>IFERROR(IF([2]对账明细接口!$J$1177=0,"",[2]对账明细接口!$J$1177),"")</f>
      </c>
      <c r="K1177" s="177">
        <f>IFERROR(IF([2]对账明细接口!$K$1177=0,"",[2]对账明细接口!$K$1177),"")</f>
      </c>
      <c r="L1177" s="16">
        <f>IFERROR(IF([2]对账明细接口!$L$1177=0,"",[2]对账明细接口!$L$1177),"")</f>
      </c>
      <c r="M1177" s="16">
        <f>IFERROR(IF([2]对账明细接口!$M$1177=0,"",[2]对账明细接口!$M$1177),"")</f>
      </c>
      <c r="N1177" s="19">
        <f>IF($C1177="",0,1)</f>
        <v>0</v>
      </c>
      <c r="O1177" s="19">
        <f>N(O1176)+$N1177</f>
        <v>272</v>
      </c>
      <c r="S1177" s="20">
        <f>IFERROR(IF([2]对账明细接口!$N1177=0,"",[2]对账明细接口!$N1177),"")</f>
      </c>
      <c r="T1177" s="212">
        <f>IFERROR(IF([2]对账明细接口!$O1177=0,"",[2]对账明细接口!$O1177),"")</f>
      </c>
      <c r="U1177" s="212">
        <f>IFERROR(IF([2]对账明细接口!$P1177=0,"",[2]对账明细接口!$P1177),"")</f>
      </c>
      <c r="V1177" s="212">
        <f>IFERROR(IF([2]对账明细接口!$Q1177=0,"",[2]对账明细接口!$Q1177),"")</f>
      </c>
      <c r="W1177" s="20">
        <f>IFERROR(IF([2]对账明细接口!$R1177=0,"",[2]对账明细接口!$R1177),"")</f>
      </c>
      <c r="X1177" s="20">
        <f>IFERROR(IF([2]对账明细接口!$S1177=0,"",[2]对账明细接口!$S1177),"")</f>
      </c>
      <c r="Y1177" s="20">
        <f>""</f>
      </c>
      <c r="Z1177" s="20">
        <f>""</f>
      </c>
      <c r="AA1177" s="20">
        <f>""</f>
      </c>
      <c r="AB1177" s="20">
        <f>""</f>
      </c>
    </row>
    <row r="1178" s="127">
      <c r="A1178" s="14" t="n">
        <v>1178</v>
      </c>
      <c r="B1178" s="211">
        <f>IFERROR(IF([2]对账明细接口!$B$1178=0,"",[2]对账明细接口!$B$1178),"")</f>
      </c>
      <c r="C1178" s="16">
        <f>IFERROR(IF([2]对账明细接口!$C$1178=0,"",[2]对账明细接口!$C$1178),"")</f>
      </c>
      <c r="D1178" s="16">
        <f>IFERROR(IF([2]对账明细接口!$D$1178=0,"",[2]对账明细接口!$D$1178),"")</f>
      </c>
      <c r="E1178" s="16">
        <f>IFERROR(IF([2]对账明细接口!$E$1178=0,"",[2]对账明细接口!$E$1178),"")</f>
      </c>
      <c r="F1178" s="16">
        <f>IFERROR(IF([2]对账明细接口!$F$1178=0,"",[2]对账明细接口!$F$1178),"")</f>
      </c>
      <c r="G1178" s="16">
        <f>IFERROR(IF([2]对账明细接口!$G$1178=0,"",[2]对账明细接口!$G$1178),"")</f>
      </c>
      <c r="H1178" s="176">
        <f>IFERROR(IF([2]对账明细接口!$H$1178=0,"",[2]对账明细接口!$H$1178),"")</f>
      </c>
      <c r="I1178" s="16">
        <f>IFERROR(IF([2]对账明细接口!$I$1178=0,"",[2]对账明细接口!$I$1178),"")</f>
      </c>
      <c r="J1178" s="177">
        <f>IFERROR(IF([2]对账明细接口!$J$1178=0,"",[2]对账明细接口!$J$1178),"")</f>
      </c>
      <c r="K1178" s="177">
        <f>IFERROR(IF([2]对账明细接口!$K$1178=0,"",[2]对账明细接口!$K$1178),"")</f>
      </c>
      <c r="L1178" s="16">
        <f>IFERROR(IF([2]对账明细接口!$L$1178=0,"",[2]对账明细接口!$L$1178),"")</f>
      </c>
      <c r="M1178" s="16">
        <f>IFERROR(IF([2]对账明细接口!$M$1178=0,"",[2]对账明细接口!$M$1178),"")</f>
      </c>
      <c r="N1178" s="19">
        <f>IF($C1178="",0,1)</f>
        <v>0</v>
      </c>
      <c r="O1178" s="19">
        <f>N(O1177)+$N1178</f>
        <v>272</v>
      </c>
      <c r="S1178" s="20">
        <f>IFERROR(IF([2]对账明细接口!$N1178=0,"",[2]对账明细接口!$N1178),"")</f>
      </c>
      <c r="T1178" s="212">
        <f>IFERROR(IF([2]对账明细接口!$O1178=0,"",[2]对账明细接口!$O1178),"")</f>
      </c>
      <c r="U1178" s="212">
        <f>IFERROR(IF([2]对账明细接口!$P1178=0,"",[2]对账明细接口!$P1178),"")</f>
      </c>
      <c r="V1178" s="212">
        <f>IFERROR(IF([2]对账明细接口!$Q1178=0,"",[2]对账明细接口!$Q1178),"")</f>
      </c>
      <c r="W1178" s="20">
        <f>IFERROR(IF([2]对账明细接口!$R1178=0,"",[2]对账明细接口!$R1178),"")</f>
      </c>
      <c r="X1178" s="20">
        <f>IFERROR(IF([2]对账明细接口!$S1178=0,"",[2]对账明细接口!$S1178),"")</f>
      </c>
      <c r="Y1178" s="20">
        <f>""</f>
      </c>
      <c r="Z1178" s="20">
        <f>""</f>
      </c>
      <c r="AA1178" s="20">
        <f>""</f>
      </c>
      <c r="AB1178" s="20">
        <f>""</f>
      </c>
    </row>
    <row r="1179" s="127">
      <c r="A1179" s="14" t="n">
        <v>1179</v>
      </c>
      <c r="B1179" s="211">
        <f>IFERROR(IF([2]对账明细接口!$B$1179=0,"",[2]对账明细接口!$B$1179),"")</f>
      </c>
      <c r="C1179" s="16">
        <f>IFERROR(IF([2]对账明细接口!$C$1179=0,"",[2]对账明细接口!$C$1179),"")</f>
      </c>
      <c r="D1179" s="16">
        <f>IFERROR(IF([2]对账明细接口!$D$1179=0,"",[2]对账明细接口!$D$1179),"")</f>
      </c>
      <c r="E1179" s="16">
        <f>IFERROR(IF([2]对账明细接口!$E$1179=0,"",[2]对账明细接口!$E$1179),"")</f>
      </c>
      <c r="F1179" s="16">
        <f>IFERROR(IF([2]对账明细接口!$F$1179=0,"",[2]对账明细接口!$F$1179),"")</f>
      </c>
      <c r="G1179" s="16">
        <f>IFERROR(IF([2]对账明细接口!$G$1179=0,"",[2]对账明细接口!$G$1179),"")</f>
      </c>
      <c r="H1179" s="176">
        <f>IFERROR(IF([2]对账明细接口!$H$1179=0,"",[2]对账明细接口!$H$1179),"")</f>
      </c>
      <c r="I1179" s="16">
        <f>IFERROR(IF([2]对账明细接口!$I$1179=0,"",[2]对账明细接口!$I$1179),"")</f>
      </c>
      <c r="J1179" s="177">
        <f>IFERROR(IF([2]对账明细接口!$J$1179=0,"",[2]对账明细接口!$J$1179),"")</f>
      </c>
      <c r="K1179" s="177">
        <f>IFERROR(IF([2]对账明细接口!$K$1179=0,"",[2]对账明细接口!$K$1179),"")</f>
      </c>
      <c r="L1179" s="16">
        <f>IFERROR(IF([2]对账明细接口!$L$1179=0,"",[2]对账明细接口!$L$1179),"")</f>
      </c>
      <c r="M1179" s="16">
        <f>IFERROR(IF([2]对账明细接口!$M$1179=0,"",[2]对账明细接口!$M$1179),"")</f>
      </c>
      <c r="N1179" s="19">
        <f>IF($C1179="",0,1)</f>
        <v>0</v>
      </c>
      <c r="O1179" s="19">
        <f>N(O1178)+$N1179</f>
        <v>272</v>
      </c>
      <c r="S1179" s="20">
        <f>IFERROR(IF([2]对账明细接口!$N1179=0,"",[2]对账明细接口!$N1179),"")</f>
      </c>
      <c r="T1179" s="212">
        <f>IFERROR(IF([2]对账明细接口!$O1179=0,"",[2]对账明细接口!$O1179),"")</f>
      </c>
      <c r="U1179" s="212">
        <f>IFERROR(IF([2]对账明细接口!$P1179=0,"",[2]对账明细接口!$P1179),"")</f>
      </c>
      <c r="V1179" s="212">
        <f>IFERROR(IF([2]对账明细接口!$Q1179=0,"",[2]对账明细接口!$Q1179),"")</f>
      </c>
      <c r="W1179" s="20">
        <f>IFERROR(IF([2]对账明细接口!$R1179=0,"",[2]对账明细接口!$R1179),"")</f>
      </c>
      <c r="X1179" s="20">
        <f>IFERROR(IF([2]对账明细接口!$S1179=0,"",[2]对账明细接口!$S1179),"")</f>
      </c>
      <c r="Y1179" s="20">
        <f>""</f>
      </c>
      <c r="Z1179" s="20">
        <f>""</f>
      </c>
      <c r="AA1179" s="20">
        <f>""</f>
      </c>
      <c r="AB1179" s="20">
        <f>""</f>
      </c>
    </row>
    <row r="1180" s="127">
      <c r="A1180" s="14" t="n">
        <v>1180</v>
      </c>
      <c r="B1180" s="211">
        <f>IFERROR(IF([2]对账明细接口!$B$1180=0,"",[2]对账明细接口!$B$1180),"")</f>
      </c>
      <c r="C1180" s="16">
        <f>IFERROR(IF([2]对账明细接口!$C$1180=0,"",[2]对账明细接口!$C$1180),"")</f>
      </c>
      <c r="D1180" s="16">
        <f>IFERROR(IF([2]对账明细接口!$D$1180=0,"",[2]对账明细接口!$D$1180),"")</f>
      </c>
      <c r="E1180" s="16">
        <f>IFERROR(IF([2]对账明细接口!$E$1180=0,"",[2]对账明细接口!$E$1180),"")</f>
      </c>
      <c r="F1180" s="16">
        <f>IFERROR(IF([2]对账明细接口!$F$1180=0,"",[2]对账明细接口!$F$1180),"")</f>
      </c>
      <c r="G1180" s="16">
        <f>IFERROR(IF([2]对账明细接口!$G$1180=0,"",[2]对账明细接口!$G$1180),"")</f>
      </c>
      <c r="H1180" s="176">
        <f>IFERROR(IF([2]对账明细接口!$H$1180=0,"",[2]对账明细接口!$H$1180),"")</f>
      </c>
      <c r="I1180" s="16">
        <f>IFERROR(IF([2]对账明细接口!$I$1180=0,"",[2]对账明细接口!$I$1180),"")</f>
      </c>
      <c r="J1180" s="177">
        <f>IFERROR(IF([2]对账明细接口!$J$1180=0,"",[2]对账明细接口!$J$1180),"")</f>
      </c>
      <c r="K1180" s="177">
        <f>IFERROR(IF([2]对账明细接口!$K$1180=0,"",[2]对账明细接口!$K$1180),"")</f>
      </c>
      <c r="L1180" s="16">
        <f>IFERROR(IF([2]对账明细接口!$L$1180=0,"",[2]对账明细接口!$L$1180),"")</f>
      </c>
      <c r="M1180" s="16">
        <f>IFERROR(IF([2]对账明细接口!$M$1180=0,"",[2]对账明细接口!$M$1180),"")</f>
      </c>
      <c r="N1180" s="19">
        <f>IF($C1180="",0,1)</f>
        <v>0</v>
      </c>
      <c r="O1180" s="19">
        <f>N(O1179)+$N1180</f>
        <v>272</v>
      </c>
      <c r="S1180" s="20">
        <f>IFERROR(IF([2]对账明细接口!$N1180=0,"",[2]对账明细接口!$N1180),"")</f>
      </c>
      <c r="T1180" s="212">
        <f>IFERROR(IF([2]对账明细接口!$O1180=0,"",[2]对账明细接口!$O1180),"")</f>
      </c>
      <c r="U1180" s="212">
        <f>IFERROR(IF([2]对账明细接口!$P1180=0,"",[2]对账明细接口!$P1180),"")</f>
      </c>
      <c r="V1180" s="212">
        <f>IFERROR(IF([2]对账明细接口!$Q1180=0,"",[2]对账明细接口!$Q1180),"")</f>
      </c>
      <c r="W1180" s="20">
        <f>IFERROR(IF([2]对账明细接口!$R1180=0,"",[2]对账明细接口!$R1180),"")</f>
      </c>
      <c r="X1180" s="20">
        <f>IFERROR(IF([2]对账明细接口!$S1180=0,"",[2]对账明细接口!$S1180),"")</f>
      </c>
      <c r="Y1180" s="20">
        <f>""</f>
      </c>
      <c r="Z1180" s="20">
        <f>""</f>
      </c>
      <c r="AA1180" s="20">
        <f>""</f>
      </c>
      <c r="AB1180" s="20">
        <f>""</f>
      </c>
    </row>
    <row r="1181" s="127">
      <c r="A1181" s="14" t="n">
        <v>1181</v>
      </c>
      <c r="B1181" s="211">
        <f>IFERROR(IF([2]对账明细接口!$B$1181=0,"",[2]对账明细接口!$B$1181),"")</f>
      </c>
      <c r="C1181" s="16">
        <f>IFERROR(IF([2]对账明细接口!$C$1181=0,"",[2]对账明细接口!$C$1181),"")</f>
      </c>
      <c r="D1181" s="16">
        <f>IFERROR(IF([2]对账明细接口!$D$1181=0,"",[2]对账明细接口!$D$1181),"")</f>
      </c>
      <c r="E1181" s="16">
        <f>IFERROR(IF([2]对账明细接口!$E$1181=0,"",[2]对账明细接口!$E$1181),"")</f>
      </c>
      <c r="F1181" s="16">
        <f>IFERROR(IF([2]对账明细接口!$F$1181=0,"",[2]对账明细接口!$F$1181),"")</f>
      </c>
      <c r="G1181" s="16">
        <f>IFERROR(IF([2]对账明细接口!$G$1181=0,"",[2]对账明细接口!$G$1181),"")</f>
      </c>
      <c r="H1181" s="176">
        <f>IFERROR(IF([2]对账明细接口!$H$1181=0,"",[2]对账明细接口!$H$1181),"")</f>
      </c>
      <c r="I1181" s="16">
        <f>IFERROR(IF([2]对账明细接口!$I$1181=0,"",[2]对账明细接口!$I$1181),"")</f>
      </c>
      <c r="J1181" s="177">
        <f>IFERROR(IF([2]对账明细接口!$J$1181=0,"",[2]对账明细接口!$J$1181),"")</f>
      </c>
      <c r="K1181" s="177">
        <f>IFERROR(IF([2]对账明细接口!$K$1181=0,"",[2]对账明细接口!$K$1181),"")</f>
      </c>
      <c r="L1181" s="16">
        <f>IFERROR(IF([2]对账明细接口!$L$1181=0,"",[2]对账明细接口!$L$1181),"")</f>
      </c>
      <c r="M1181" s="16">
        <f>IFERROR(IF([2]对账明细接口!$M$1181=0,"",[2]对账明细接口!$M$1181),"")</f>
      </c>
      <c r="N1181" s="19">
        <f>IF($C1181="",0,1)</f>
        <v>0</v>
      </c>
      <c r="O1181" s="19">
        <f>N(O1180)+$N1181</f>
        <v>272</v>
      </c>
      <c r="S1181" s="20">
        <f>IFERROR(IF([2]对账明细接口!$N1181=0,"",[2]对账明细接口!$N1181),"")</f>
      </c>
      <c r="T1181" s="212">
        <f>IFERROR(IF([2]对账明细接口!$O1181=0,"",[2]对账明细接口!$O1181),"")</f>
      </c>
      <c r="U1181" s="212">
        <f>IFERROR(IF([2]对账明细接口!$P1181=0,"",[2]对账明细接口!$P1181),"")</f>
      </c>
      <c r="V1181" s="212">
        <f>IFERROR(IF([2]对账明细接口!$Q1181=0,"",[2]对账明细接口!$Q1181),"")</f>
      </c>
      <c r="W1181" s="20">
        <f>IFERROR(IF([2]对账明细接口!$R1181=0,"",[2]对账明细接口!$R1181),"")</f>
      </c>
      <c r="X1181" s="20">
        <f>IFERROR(IF([2]对账明细接口!$S1181=0,"",[2]对账明细接口!$S1181),"")</f>
      </c>
      <c r="Y1181" s="20">
        <f>""</f>
      </c>
      <c r="Z1181" s="20">
        <f>""</f>
      </c>
      <c r="AA1181" s="20">
        <f>""</f>
      </c>
      <c r="AB1181" s="20">
        <f>""</f>
      </c>
    </row>
    <row r="1182" s="127">
      <c r="A1182" s="14" t="n">
        <v>1182</v>
      </c>
      <c r="B1182" s="211">
        <f>IFERROR(IF([2]对账明细接口!$B$1182=0,"",[2]对账明细接口!$B$1182),"")</f>
      </c>
      <c r="C1182" s="16">
        <f>IFERROR(IF([2]对账明细接口!$C$1182=0,"",[2]对账明细接口!$C$1182),"")</f>
      </c>
      <c r="D1182" s="16">
        <f>IFERROR(IF([2]对账明细接口!$D$1182=0,"",[2]对账明细接口!$D$1182),"")</f>
      </c>
      <c r="E1182" s="16">
        <f>IFERROR(IF([2]对账明细接口!$E$1182=0,"",[2]对账明细接口!$E$1182),"")</f>
      </c>
      <c r="F1182" s="16">
        <f>IFERROR(IF([2]对账明细接口!$F$1182=0,"",[2]对账明细接口!$F$1182),"")</f>
      </c>
      <c r="G1182" s="16">
        <f>IFERROR(IF([2]对账明细接口!$G$1182=0,"",[2]对账明细接口!$G$1182),"")</f>
      </c>
      <c r="H1182" s="176">
        <f>IFERROR(IF([2]对账明细接口!$H$1182=0,"",[2]对账明细接口!$H$1182),"")</f>
      </c>
      <c r="I1182" s="16">
        <f>IFERROR(IF([2]对账明细接口!$I$1182=0,"",[2]对账明细接口!$I$1182),"")</f>
      </c>
      <c r="J1182" s="177">
        <f>IFERROR(IF([2]对账明细接口!$J$1182=0,"",[2]对账明细接口!$J$1182),"")</f>
      </c>
      <c r="K1182" s="177">
        <f>IFERROR(IF([2]对账明细接口!$K$1182=0,"",[2]对账明细接口!$K$1182),"")</f>
      </c>
      <c r="L1182" s="16">
        <f>IFERROR(IF([2]对账明细接口!$L$1182=0,"",[2]对账明细接口!$L$1182),"")</f>
      </c>
      <c r="M1182" s="16">
        <f>IFERROR(IF([2]对账明细接口!$M$1182=0,"",[2]对账明细接口!$M$1182),"")</f>
      </c>
      <c r="N1182" s="19">
        <f>IF($C1182="",0,1)</f>
        <v>0</v>
      </c>
      <c r="O1182" s="19">
        <f>N(O1181)+$N1182</f>
        <v>272</v>
      </c>
      <c r="S1182" s="20">
        <f>IFERROR(IF([2]对账明细接口!$N1182=0,"",[2]对账明细接口!$N1182),"")</f>
      </c>
      <c r="T1182" s="212">
        <f>IFERROR(IF([2]对账明细接口!$O1182=0,"",[2]对账明细接口!$O1182),"")</f>
      </c>
      <c r="U1182" s="212">
        <f>IFERROR(IF([2]对账明细接口!$P1182=0,"",[2]对账明细接口!$P1182),"")</f>
      </c>
      <c r="V1182" s="212">
        <f>IFERROR(IF([2]对账明细接口!$Q1182=0,"",[2]对账明细接口!$Q1182),"")</f>
      </c>
      <c r="W1182" s="20">
        <f>IFERROR(IF([2]对账明细接口!$R1182=0,"",[2]对账明细接口!$R1182),"")</f>
      </c>
      <c r="X1182" s="20">
        <f>IFERROR(IF([2]对账明细接口!$S1182=0,"",[2]对账明细接口!$S1182),"")</f>
      </c>
      <c r="Y1182" s="20">
        <f>""</f>
      </c>
      <c r="Z1182" s="20">
        <f>""</f>
      </c>
      <c r="AA1182" s="20">
        <f>""</f>
      </c>
      <c r="AB1182" s="20">
        <f>""</f>
      </c>
    </row>
    <row r="1183" s="127">
      <c r="A1183" s="14" t="n">
        <v>1183</v>
      </c>
      <c r="B1183" s="211">
        <f>IFERROR(IF([2]对账明细接口!$B$1183=0,"",[2]对账明细接口!$B$1183),"")</f>
      </c>
      <c r="C1183" s="16">
        <f>IFERROR(IF([2]对账明细接口!$C$1183=0,"",[2]对账明细接口!$C$1183),"")</f>
      </c>
      <c r="D1183" s="16">
        <f>IFERROR(IF([2]对账明细接口!$D$1183=0,"",[2]对账明细接口!$D$1183),"")</f>
      </c>
      <c r="E1183" s="16">
        <f>IFERROR(IF([2]对账明细接口!$E$1183=0,"",[2]对账明细接口!$E$1183),"")</f>
      </c>
      <c r="F1183" s="16">
        <f>IFERROR(IF([2]对账明细接口!$F$1183=0,"",[2]对账明细接口!$F$1183),"")</f>
      </c>
      <c r="G1183" s="16">
        <f>IFERROR(IF([2]对账明细接口!$G$1183=0,"",[2]对账明细接口!$G$1183),"")</f>
      </c>
      <c r="H1183" s="176">
        <f>IFERROR(IF([2]对账明细接口!$H$1183=0,"",[2]对账明细接口!$H$1183),"")</f>
      </c>
      <c r="I1183" s="16">
        <f>IFERROR(IF([2]对账明细接口!$I$1183=0,"",[2]对账明细接口!$I$1183),"")</f>
      </c>
      <c r="J1183" s="177">
        <f>IFERROR(IF([2]对账明细接口!$J$1183=0,"",[2]对账明细接口!$J$1183),"")</f>
      </c>
      <c r="K1183" s="177">
        <f>IFERROR(IF([2]对账明细接口!$K$1183=0,"",[2]对账明细接口!$K$1183),"")</f>
      </c>
      <c r="L1183" s="16">
        <f>IFERROR(IF([2]对账明细接口!$L$1183=0,"",[2]对账明细接口!$L$1183),"")</f>
      </c>
      <c r="M1183" s="16">
        <f>IFERROR(IF([2]对账明细接口!$M$1183=0,"",[2]对账明细接口!$M$1183),"")</f>
      </c>
      <c r="N1183" s="19">
        <f>IF($C1183="",0,1)</f>
        <v>0</v>
      </c>
      <c r="O1183" s="19">
        <f>N(O1182)+$N1183</f>
        <v>272</v>
      </c>
      <c r="S1183" s="20">
        <f>IFERROR(IF([2]对账明细接口!$N1183=0,"",[2]对账明细接口!$N1183),"")</f>
      </c>
      <c r="T1183" s="212">
        <f>IFERROR(IF([2]对账明细接口!$O1183=0,"",[2]对账明细接口!$O1183),"")</f>
      </c>
      <c r="U1183" s="212">
        <f>IFERROR(IF([2]对账明细接口!$P1183=0,"",[2]对账明细接口!$P1183),"")</f>
      </c>
      <c r="V1183" s="212">
        <f>IFERROR(IF([2]对账明细接口!$Q1183=0,"",[2]对账明细接口!$Q1183),"")</f>
      </c>
      <c r="W1183" s="20">
        <f>IFERROR(IF([2]对账明细接口!$R1183=0,"",[2]对账明细接口!$R1183),"")</f>
      </c>
      <c r="X1183" s="20">
        <f>IFERROR(IF([2]对账明细接口!$S1183=0,"",[2]对账明细接口!$S1183),"")</f>
      </c>
      <c r="Y1183" s="20">
        <f>""</f>
      </c>
      <c r="Z1183" s="20">
        <f>""</f>
      </c>
      <c r="AA1183" s="20">
        <f>""</f>
      </c>
      <c r="AB1183" s="20">
        <f>""</f>
      </c>
    </row>
    <row r="1184" s="127">
      <c r="A1184" s="14" t="n">
        <v>1184</v>
      </c>
      <c r="B1184" s="211">
        <f>IFERROR(IF([2]对账明细接口!$B$1184=0,"",[2]对账明细接口!$B$1184),"")</f>
      </c>
      <c r="C1184" s="16">
        <f>IFERROR(IF([2]对账明细接口!$C$1184=0,"",[2]对账明细接口!$C$1184),"")</f>
      </c>
      <c r="D1184" s="16">
        <f>IFERROR(IF([2]对账明细接口!$D$1184=0,"",[2]对账明细接口!$D$1184),"")</f>
      </c>
      <c r="E1184" s="16">
        <f>IFERROR(IF([2]对账明细接口!$E$1184=0,"",[2]对账明细接口!$E$1184),"")</f>
      </c>
      <c r="F1184" s="16">
        <f>IFERROR(IF([2]对账明细接口!$F$1184=0,"",[2]对账明细接口!$F$1184),"")</f>
      </c>
      <c r="G1184" s="16">
        <f>IFERROR(IF([2]对账明细接口!$G$1184=0,"",[2]对账明细接口!$G$1184),"")</f>
      </c>
      <c r="H1184" s="176">
        <f>IFERROR(IF([2]对账明细接口!$H$1184=0,"",[2]对账明细接口!$H$1184),"")</f>
      </c>
      <c r="I1184" s="16">
        <f>IFERROR(IF([2]对账明细接口!$I$1184=0,"",[2]对账明细接口!$I$1184),"")</f>
      </c>
      <c r="J1184" s="177">
        <f>IFERROR(IF([2]对账明细接口!$J$1184=0,"",[2]对账明细接口!$J$1184),"")</f>
      </c>
      <c r="K1184" s="177">
        <f>IFERROR(IF([2]对账明细接口!$K$1184=0,"",[2]对账明细接口!$K$1184),"")</f>
      </c>
      <c r="L1184" s="16">
        <f>IFERROR(IF([2]对账明细接口!$L$1184=0,"",[2]对账明细接口!$L$1184),"")</f>
      </c>
      <c r="M1184" s="16">
        <f>IFERROR(IF([2]对账明细接口!$M$1184=0,"",[2]对账明细接口!$M$1184),"")</f>
      </c>
      <c r="N1184" s="19">
        <f>IF($C1184="",0,1)</f>
        <v>0</v>
      </c>
      <c r="O1184" s="19">
        <f>N(O1183)+$N1184</f>
        <v>272</v>
      </c>
      <c r="S1184" s="20">
        <f>IFERROR(IF([2]对账明细接口!$N1184=0,"",[2]对账明细接口!$N1184),"")</f>
      </c>
      <c r="T1184" s="212">
        <f>IFERROR(IF([2]对账明细接口!$O1184=0,"",[2]对账明细接口!$O1184),"")</f>
      </c>
      <c r="U1184" s="212">
        <f>IFERROR(IF([2]对账明细接口!$P1184=0,"",[2]对账明细接口!$P1184),"")</f>
      </c>
      <c r="V1184" s="212">
        <f>IFERROR(IF([2]对账明细接口!$Q1184=0,"",[2]对账明细接口!$Q1184),"")</f>
      </c>
      <c r="W1184" s="20">
        <f>IFERROR(IF([2]对账明细接口!$R1184=0,"",[2]对账明细接口!$R1184),"")</f>
      </c>
      <c r="X1184" s="20">
        <f>IFERROR(IF([2]对账明细接口!$S1184=0,"",[2]对账明细接口!$S1184),"")</f>
      </c>
      <c r="Y1184" s="20">
        <f>""</f>
      </c>
      <c r="Z1184" s="20">
        <f>""</f>
      </c>
      <c r="AA1184" s="20">
        <f>""</f>
      </c>
      <c r="AB1184" s="20">
        <f>""</f>
      </c>
    </row>
    <row r="1185" s="127">
      <c r="A1185" s="14" t="n">
        <v>1185</v>
      </c>
      <c r="B1185" s="211">
        <f>IFERROR(IF([2]对账明细接口!$B$1185=0,"",[2]对账明细接口!$B$1185),"")</f>
      </c>
      <c r="C1185" s="16">
        <f>IFERROR(IF([2]对账明细接口!$C$1185=0,"",[2]对账明细接口!$C$1185),"")</f>
      </c>
      <c r="D1185" s="16">
        <f>IFERROR(IF([2]对账明细接口!$D$1185=0,"",[2]对账明细接口!$D$1185),"")</f>
      </c>
      <c r="E1185" s="16">
        <f>IFERROR(IF([2]对账明细接口!$E$1185=0,"",[2]对账明细接口!$E$1185),"")</f>
      </c>
      <c r="F1185" s="16">
        <f>IFERROR(IF([2]对账明细接口!$F$1185=0,"",[2]对账明细接口!$F$1185),"")</f>
      </c>
      <c r="G1185" s="16">
        <f>IFERROR(IF([2]对账明细接口!$G$1185=0,"",[2]对账明细接口!$G$1185),"")</f>
      </c>
      <c r="H1185" s="176">
        <f>IFERROR(IF([2]对账明细接口!$H$1185=0,"",[2]对账明细接口!$H$1185),"")</f>
      </c>
      <c r="I1185" s="16">
        <f>IFERROR(IF([2]对账明细接口!$I$1185=0,"",[2]对账明细接口!$I$1185),"")</f>
      </c>
      <c r="J1185" s="177">
        <f>IFERROR(IF([2]对账明细接口!$J$1185=0,"",[2]对账明细接口!$J$1185),"")</f>
      </c>
      <c r="K1185" s="177">
        <f>IFERROR(IF([2]对账明细接口!$K$1185=0,"",[2]对账明细接口!$K$1185),"")</f>
      </c>
      <c r="L1185" s="16">
        <f>IFERROR(IF([2]对账明细接口!$L$1185=0,"",[2]对账明细接口!$L$1185),"")</f>
      </c>
      <c r="M1185" s="16">
        <f>IFERROR(IF([2]对账明细接口!$M$1185=0,"",[2]对账明细接口!$M$1185),"")</f>
      </c>
      <c r="N1185" s="19">
        <f>IF($C1185="",0,1)</f>
        <v>0</v>
      </c>
      <c r="O1185" s="19">
        <f>N(O1184)+$N1185</f>
        <v>272</v>
      </c>
      <c r="S1185" s="20">
        <f>IFERROR(IF([2]对账明细接口!$N1185=0,"",[2]对账明细接口!$N1185),"")</f>
      </c>
      <c r="T1185" s="212">
        <f>IFERROR(IF([2]对账明细接口!$O1185=0,"",[2]对账明细接口!$O1185),"")</f>
      </c>
      <c r="U1185" s="212">
        <f>IFERROR(IF([2]对账明细接口!$P1185=0,"",[2]对账明细接口!$P1185),"")</f>
      </c>
      <c r="V1185" s="212">
        <f>IFERROR(IF([2]对账明细接口!$Q1185=0,"",[2]对账明细接口!$Q1185),"")</f>
      </c>
      <c r="W1185" s="20">
        <f>IFERROR(IF([2]对账明细接口!$R1185=0,"",[2]对账明细接口!$R1185),"")</f>
      </c>
      <c r="X1185" s="20">
        <f>IFERROR(IF([2]对账明细接口!$S1185=0,"",[2]对账明细接口!$S1185),"")</f>
      </c>
      <c r="Y1185" s="20">
        <f>""</f>
      </c>
      <c r="Z1185" s="20">
        <f>""</f>
      </c>
      <c r="AA1185" s="20">
        <f>""</f>
      </c>
      <c r="AB1185" s="20">
        <f>""</f>
      </c>
    </row>
    <row r="1186" s="127">
      <c r="A1186" s="14" t="n">
        <v>1186</v>
      </c>
      <c r="B1186" s="211">
        <f>IFERROR(IF([2]对账明细接口!$B$1186=0,"",[2]对账明细接口!$B$1186),"")</f>
      </c>
      <c r="C1186" s="16">
        <f>IFERROR(IF([2]对账明细接口!$C$1186=0,"",[2]对账明细接口!$C$1186),"")</f>
      </c>
      <c r="D1186" s="16">
        <f>IFERROR(IF([2]对账明细接口!$D$1186=0,"",[2]对账明细接口!$D$1186),"")</f>
      </c>
      <c r="E1186" s="16">
        <f>IFERROR(IF([2]对账明细接口!$E$1186=0,"",[2]对账明细接口!$E$1186),"")</f>
      </c>
      <c r="F1186" s="16">
        <f>IFERROR(IF([2]对账明细接口!$F$1186=0,"",[2]对账明细接口!$F$1186),"")</f>
      </c>
      <c r="G1186" s="16">
        <f>IFERROR(IF([2]对账明细接口!$G$1186=0,"",[2]对账明细接口!$G$1186),"")</f>
      </c>
      <c r="H1186" s="176">
        <f>IFERROR(IF([2]对账明细接口!$H$1186=0,"",[2]对账明细接口!$H$1186),"")</f>
      </c>
      <c r="I1186" s="16">
        <f>IFERROR(IF([2]对账明细接口!$I$1186=0,"",[2]对账明细接口!$I$1186),"")</f>
      </c>
      <c r="J1186" s="177">
        <f>IFERROR(IF([2]对账明细接口!$J$1186=0,"",[2]对账明细接口!$J$1186),"")</f>
      </c>
      <c r="K1186" s="177">
        <f>IFERROR(IF([2]对账明细接口!$K$1186=0,"",[2]对账明细接口!$K$1186),"")</f>
      </c>
      <c r="L1186" s="16">
        <f>IFERROR(IF([2]对账明细接口!$L$1186=0,"",[2]对账明细接口!$L$1186),"")</f>
      </c>
      <c r="M1186" s="16">
        <f>IFERROR(IF([2]对账明细接口!$M$1186=0,"",[2]对账明细接口!$M$1186),"")</f>
      </c>
      <c r="N1186" s="19">
        <f>IF($C1186="",0,1)</f>
        <v>0</v>
      </c>
      <c r="O1186" s="19">
        <f>N(O1185)+$N1186</f>
        <v>272</v>
      </c>
      <c r="S1186" s="20">
        <f>IFERROR(IF([2]对账明细接口!$N1186=0,"",[2]对账明细接口!$N1186),"")</f>
      </c>
      <c r="T1186" s="212">
        <f>IFERROR(IF([2]对账明细接口!$O1186=0,"",[2]对账明细接口!$O1186),"")</f>
      </c>
      <c r="U1186" s="212">
        <f>IFERROR(IF([2]对账明细接口!$P1186=0,"",[2]对账明细接口!$P1186),"")</f>
      </c>
      <c r="V1186" s="212">
        <f>IFERROR(IF([2]对账明细接口!$Q1186=0,"",[2]对账明细接口!$Q1186),"")</f>
      </c>
      <c r="W1186" s="20">
        <f>IFERROR(IF([2]对账明细接口!$R1186=0,"",[2]对账明细接口!$R1186),"")</f>
      </c>
      <c r="X1186" s="20">
        <f>IFERROR(IF([2]对账明细接口!$S1186=0,"",[2]对账明细接口!$S1186),"")</f>
      </c>
      <c r="Y1186" s="20">
        <f>""</f>
      </c>
      <c r="Z1186" s="20">
        <f>""</f>
      </c>
      <c r="AA1186" s="20">
        <f>""</f>
      </c>
      <c r="AB1186" s="20">
        <f>""</f>
      </c>
    </row>
    <row r="1187" s="127">
      <c r="A1187" s="14" t="n">
        <v>1187</v>
      </c>
      <c r="B1187" s="211">
        <f>IFERROR(IF([2]对账明细接口!$B$1187=0,"",[2]对账明细接口!$B$1187),"")</f>
      </c>
      <c r="C1187" s="16">
        <f>IFERROR(IF([2]对账明细接口!$C$1187=0,"",[2]对账明细接口!$C$1187),"")</f>
      </c>
      <c r="D1187" s="16">
        <f>IFERROR(IF([2]对账明细接口!$D$1187=0,"",[2]对账明细接口!$D$1187),"")</f>
      </c>
      <c r="E1187" s="16">
        <f>IFERROR(IF([2]对账明细接口!$E$1187=0,"",[2]对账明细接口!$E$1187),"")</f>
      </c>
      <c r="F1187" s="16">
        <f>IFERROR(IF([2]对账明细接口!$F$1187=0,"",[2]对账明细接口!$F$1187),"")</f>
      </c>
      <c r="G1187" s="16">
        <f>IFERROR(IF([2]对账明细接口!$G$1187=0,"",[2]对账明细接口!$G$1187),"")</f>
      </c>
      <c r="H1187" s="176">
        <f>IFERROR(IF([2]对账明细接口!$H$1187=0,"",[2]对账明细接口!$H$1187),"")</f>
      </c>
      <c r="I1187" s="16">
        <f>IFERROR(IF([2]对账明细接口!$I$1187=0,"",[2]对账明细接口!$I$1187),"")</f>
      </c>
      <c r="J1187" s="177">
        <f>IFERROR(IF([2]对账明细接口!$J$1187=0,"",[2]对账明细接口!$J$1187),"")</f>
      </c>
      <c r="K1187" s="177">
        <f>IFERROR(IF([2]对账明细接口!$K$1187=0,"",[2]对账明细接口!$K$1187),"")</f>
      </c>
      <c r="L1187" s="16">
        <f>IFERROR(IF([2]对账明细接口!$L$1187=0,"",[2]对账明细接口!$L$1187),"")</f>
      </c>
      <c r="M1187" s="16">
        <f>IFERROR(IF([2]对账明细接口!$M$1187=0,"",[2]对账明细接口!$M$1187),"")</f>
      </c>
      <c r="N1187" s="19">
        <f>IF($C1187="",0,1)</f>
        <v>0</v>
      </c>
      <c r="O1187" s="19">
        <f>N(O1186)+$N1187</f>
        <v>272</v>
      </c>
      <c r="S1187" s="20">
        <f>IFERROR(IF([2]对账明细接口!$N1187=0,"",[2]对账明细接口!$N1187),"")</f>
      </c>
      <c r="T1187" s="212">
        <f>IFERROR(IF([2]对账明细接口!$O1187=0,"",[2]对账明细接口!$O1187),"")</f>
      </c>
      <c r="U1187" s="212">
        <f>IFERROR(IF([2]对账明细接口!$P1187=0,"",[2]对账明细接口!$P1187),"")</f>
      </c>
      <c r="V1187" s="212">
        <f>IFERROR(IF([2]对账明细接口!$Q1187=0,"",[2]对账明细接口!$Q1187),"")</f>
      </c>
      <c r="W1187" s="20">
        <f>IFERROR(IF([2]对账明细接口!$R1187=0,"",[2]对账明细接口!$R1187),"")</f>
      </c>
      <c r="X1187" s="20">
        <f>IFERROR(IF([2]对账明细接口!$S1187=0,"",[2]对账明细接口!$S1187),"")</f>
      </c>
      <c r="Y1187" s="20">
        <f>""</f>
      </c>
      <c r="Z1187" s="20">
        <f>""</f>
      </c>
      <c r="AA1187" s="20">
        <f>""</f>
      </c>
      <c r="AB1187" s="20">
        <f>""</f>
      </c>
    </row>
    <row r="1188" s="127">
      <c r="A1188" s="14" t="n">
        <v>1188</v>
      </c>
      <c r="B1188" s="211">
        <f>IFERROR(IF([2]对账明细接口!$B$1188=0,"",[2]对账明细接口!$B$1188),"")</f>
      </c>
      <c r="C1188" s="16">
        <f>IFERROR(IF([2]对账明细接口!$C$1188=0,"",[2]对账明细接口!$C$1188),"")</f>
      </c>
      <c r="D1188" s="16">
        <f>IFERROR(IF([2]对账明细接口!$D$1188=0,"",[2]对账明细接口!$D$1188),"")</f>
      </c>
      <c r="E1188" s="16">
        <f>IFERROR(IF([2]对账明细接口!$E$1188=0,"",[2]对账明细接口!$E$1188),"")</f>
      </c>
      <c r="F1188" s="16">
        <f>IFERROR(IF([2]对账明细接口!$F$1188=0,"",[2]对账明细接口!$F$1188),"")</f>
      </c>
      <c r="G1188" s="16">
        <f>IFERROR(IF([2]对账明细接口!$G$1188=0,"",[2]对账明细接口!$G$1188),"")</f>
      </c>
      <c r="H1188" s="176">
        <f>IFERROR(IF([2]对账明细接口!$H$1188=0,"",[2]对账明细接口!$H$1188),"")</f>
      </c>
      <c r="I1188" s="16">
        <f>IFERROR(IF([2]对账明细接口!$I$1188=0,"",[2]对账明细接口!$I$1188),"")</f>
      </c>
      <c r="J1188" s="177">
        <f>IFERROR(IF([2]对账明细接口!$J$1188=0,"",[2]对账明细接口!$J$1188),"")</f>
      </c>
      <c r="K1188" s="177">
        <f>IFERROR(IF([2]对账明细接口!$K$1188=0,"",[2]对账明细接口!$K$1188),"")</f>
      </c>
      <c r="L1188" s="16">
        <f>IFERROR(IF([2]对账明细接口!$L$1188=0,"",[2]对账明细接口!$L$1188),"")</f>
      </c>
      <c r="M1188" s="16">
        <f>IFERROR(IF([2]对账明细接口!$M$1188=0,"",[2]对账明细接口!$M$1188),"")</f>
      </c>
      <c r="N1188" s="19">
        <f>IF($C1188="",0,1)</f>
        <v>0</v>
      </c>
      <c r="O1188" s="19">
        <f>N(O1187)+$N1188</f>
        <v>272</v>
      </c>
      <c r="S1188" s="20">
        <f>IFERROR(IF([2]对账明细接口!$N1188=0,"",[2]对账明细接口!$N1188),"")</f>
      </c>
      <c r="T1188" s="212">
        <f>IFERROR(IF([2]对账明细接口!$O1188=0,"",[2]对账明细接口!$O1188),"")</f>
      </c>
      <c r="U1188" s="212">
        <f>IFERROR(IF([2]对账明细接口!$P1188=0,"",[2]对账明细接口!$P1188),"")</f>
      </c>
      <c r="V1188" s="212">
        <f>IFERROR(IF([2]对账明细接口!$Q1188=0,"",[2]对账明细接口!$Q1188),"")</f>
      </c>
      <c r="W1188" s="20">
        <f>IFERROR(IF([2]对账明细接口!$R1188=0,"",[2]对账明细接口!$R1188),"")</f>
      </c>
      <c r="X1188" s="20">
        <f>IFERROR(IF([2]对账明细接口!$S1188=0,"",[2]对账明细接口!$S1188),"")</f>
      </c>
      <c r="Y1188" s="20">
        <f>""</f>
      </c>
      <c r="Z1188" s="20">
        <f>""</f>
      </c>
      <c r="AA1188" s="20">
        <f>""</f>
      </c>
      <c r="AB1188" s="20">
        <f>""</f>
      </c>
    </row>
    <row r="1189" s="127">
      <c r="A1189" s="14" t="n">
        <v>1189</v>
      </c>
      <c r="B1189" s="211">
        <f>IFERROR(IF([2]对账明细接口!$B$1189=0,"",[2]对账明细接口!$B$1189),"")</f>
      </c>
      <c r="C1189" s="16">
        <f>IFERROR(IF([2]对账明细接口!$C$1189=0,"",[2]对账明细接口!$C$1189),"")</f>
      </c>
      <c r="D1189" s="16">
        <f>IFERROR(IF([2]对账明细接口!$D$1189=0,"",[2]对账明细接口!$D$1189),"")</f>
      </c>
      <c r="E1189" s="16">
        <f>IFERROR(IF([2]对账明细接口!$E$1189=0,"",[2]对账明细接口!$E$1189),"")</f>
      </c>
      <c r="F1189" s="16">
        <f>IFERROR(IF([2]对账明细接口!$F$1189=0,"",[2]对账明细接口!$F$1189),"")</f>
      </c>
      <c r="G1189" s="16">
        <f>IFERROR(IF([2]对账明细接口!$G$1189=0,"",[2]对账明细接口!$G$1189),"")</f>
      </c>
      <c r="H1189" s="176">
        <f>IFERROR(IF([2]对账明细接口!$H$1189=0,"",[2]对账明细接口!$H$1189),"")</f>
      </c>
      <c r="I1189" s="16">
        <f>IFERROR(IF([2]对账明细接口!$I$1189=0,"",[2]对账明细接口!$I$1189),"")</f>
      </c>
      <c r="J1189" s="177">
        <f>IFERROR(IF([2]对账明细接口!$J$1189=0,"",[2]对账明细接口!$J$1189),"")</f>
      </c>
      <c r="K1189" s="177">
        <f>IFERROR(IF([2]对账明细接口!$K$1189=0,"",[2]对账明细接口!$K$1189),"")</f>
      </c>
      <c r="L1189" s="16">
        <f>IFERROR(IF([2]对账明细接口!$L$1189=0,"",[2]对账明细接口!$L$1189),"")</f>
      </c>
      <c r="M1189" s="16">
        <f>IFERROR(IF([2]对账明细接口!$M$1189=0,"",[2]对账明细接口!$M$1189),"")</f>
      </c>
      <c r="N1189" s="19">
        <f>IF($C1189="",0,1)</f>
        <v>0</v>
      </c>
      <c r="O1189" s="19">
        <f>N(O1188)+$N1189</f>
        <v>272</v>
      </c>
      <c r="S1189" s="20">
        <f>IFERROR(IF([2]对账明细接口!$N1189=0,"",[2]对账明细接口!$N1189),"")</f>
      </c>
      <c r="T1189" s="212">
        <f>IFERROR(IF([2]对账明细接口!$O1189=0,"",[2]对账明细接口!$O1189),"")</f>
      </c>
      <c r="U1189" s="212">
        <f>IFERROR(IF([2]对账明细接口!$P1189=0,"",[2]对账明细接口!$P1189),"")</f>
      </c>
      <c r="V1189" s="212">
        <f>IFERROR(IF([2]对账明细接口!$Q1189=0,"",[2]对账明细接口!$Q1189),"")</f>
      </c>
      <c r="W1189" s="20">
        <f>IFERROR(IF([2]对账明细接口!$R1189=0,"",[2]对账明细接口!$R1189),"")</f>
      </c>
      <c r="X1189" s="20">
        <f>IFERROR(IF([2]对账明细接口!$S1189=0,"",[2]对账明细接口!$S1189),"")</f>
      </c>
      <c r="Y1189" s="20">
        <f>""</f>
      </c>
      <c r="Z1189" s="20">
        <f>""</f>
      </c>
      <c r="AA1189" s="20">
        <f>""</f>
      </c>
      <c r="AB1189" s="20">
        <f>""</f>
      </c>
    </row>
    <row r="1190" s="127">
      <c r="A1190" s="14" t="n">
        <v>1190</v>
      </c>
      <c r="B1190" s="211">
        <f>IFERROR(IF([2]对账明细接口!$B$1190=0,"",[2]对账明细接口!$B$1190),"")</f>
      </c>
      <c r="C1190" s="16">
        <f>IFERROR(IF([2]对账明细接口!$C$1190=0,"",[2]对账明细接口!$C$1190),"")</f>
      </c>
      <c r="D1190" s="16">
        <f>IFERROR(IF([2]对账明细接口!$D$1190=0,"",[2]对账明细接口!$D$1190),"")</f>
      </c>
      <c r="E1190" s="16">
        <f>IFERROR(IF([2]对账明细接口!$E$1190=0,"",[2]对账明细接口!$E$1190),"")</f>
      </c>
      <c r="F1190" s="16">
        <f>IFERROR(IF([2]对账明细接口!$F$1190=0,"",[2]对账明细接口!$F$1190),"")</f>
      </c>
      <c r="G1190" s="16">
        <f>IFERROR(IF([2]对账明细接口!$G$1190=0,"",[2]对账明细接口!$G$1190),"")</f>
      </c>
      <c r="H1190" s="176">
        <f>IFERROR(IF([2]对账明细接口!$H$1190=0,"",[2]对账明细接口!$H$1190),"")</f>
      </c>
      <c r="I1190" s="16">
        <f>IFERROR(IF([2]对账明细接口!$I$1190=0,"",[2]对账明细接口!$I$1190),"")</f>
      </c>
      <c r="J1190" s="177">
        <f>IFERROR(IF([2]对账明细接口!$J$1190=0,"",[2]对账明细接口!$J$1190),"")</f>
      </c>
      <c r="K1190" s="177">
        <f>IFERROR(IF([2]对账明细接口!$K$1190=0,"",[2]对账明细接口!$K$1190),"")</f>
      </c>
      <c r="L1190" s="16">
        <f>IFERROR(IF([2]对账明细接口!$L$1190=0,"",[2]对账明细接口!$L$1190),"")</f>
      </c>
      <c r="M1190" s="16">
        <f>IFERROR(IF([2]对账明细接口!$M$1190=0,"",[2]对账明细接口!$M$1190),"")</f>
      </c>
      <c r="N1190" s="19">
        <f>IF($C1190="",0,1)</f>
        <v>0</v>
      </c>
      <c r="O1190" s="19">
        <f>N(O1189)+$N1190</f>
        <v>272</v>
      </c>
      <c r="S1190" s="20">
        <f>IFERROR(IF([2]对账明细接口!$N1190=0,"",[2]对账明细接口!$N1190),"")</f>
      </c>
      <c r="T1190" s="212">
        <f>IFERROR(IF([2]对账明细接口!$O1190=0,"",[2]对账明细接口!$O1190),"")</f>
      </c>
      <c r="U1190" s="212">
        <f>IFERROR(IF([2]对账明细接口!$P1190=0,"",[2]对账明细接口!$P1190),"")</f>
      </c>
      <c r="V1190" s="212">
        <f>IFERROR(IF([2]对账明细接口!$Q1190=0,"",[2]对账明细接口!$Q1190),"")</f>
      </c>
      <c r="W1190" s="20">
        <f>IFERROR(IF([2]对账明细接口!$R1190=0,"",[2]对账明细接口!$R1190),"")</f>
      </c>
      <c r="X1190" s="20">
        <f>IFERROR(IF([2]对账明细接口!$S1190=0,"",[2]对账明细接口!$S1190),"")</f>
      </c>
      <c r="Y1190" s="20">
        <f>""</f>
      </c>
      <c r="Z1190" s="20">
        <f>""</f>
      </c>
      <c r="AA1190" s="20">
        <f>""</f>
      </c>
      <c r="AB1190" s="20">
        <f>""</f>
      </c>
    </row>
    <row r="1191" s="127">
      <c r="A1191" s="14" t="n">
        <v>1191</v>
      </c>
      <c r="B1191" s="211">
        <f>IFERROR(IF([2]对账明细接口!$B$1191=0,"",[2]对账明细接口!$B$1191),"")</f>
      </c>
      <c r="C1191" s="16">
        <f>IFERROR(IF([2]对账明细接口!$C$1191=0,"",[2]对账明细接口!$C$1191),"")</f>
      </c>
      <c r="D1191" s="16">
        <f>IFERROR(IF([2]对账明细接口!$D$1191=0,"",[2]对账明细接口!$D$1191),"")</f>
      </c>
      <c r="E1191" s="16">
        <f>IFERROR(IF([2]对账明细接口!$E$1191=0,"",[2]对账明细接口!$E$1191),"")</f>
      </c>
      <c r="F1191" s="16">
        <f>IFERROR(IF([2]对账明细接口!$F$1191=0,"",[2]对账明细接口!$F$1191),"")</f>
      </c>
      <c r="G1191" s="16">
        <f>IFERROR(IF([2]对账明细接口!$G$1191=0,"",[2]对账明细接口!$G$1191),"")</f>
      </c>
      <c r="H1191" s="176">
        <f>IFERROR(IF([2]对账明细接口!$H$1191=0,"",[2]对账明细接口!$H$1191),"")</f>
      </c>
      <c r="I1191" s="16">
        <f>IFERROR(IF([2]对账明细接口!$I$1191=0,"",[2]对账明细接口!$I$1191),"")</f>
      </c>
      <c r="J1191" s="177">
        <f>IFERROR(IF([2]对账明细接口!$J$1191=0,"",[2]对账明细接口!$J$1191),"")</f>
      </c>
      <c r="K1191" s="177">
        <f>IFERROR(IF([2]对账明细接口!$K$1191=0,"",[2]对账明细接口!$K$1191),"")</f>
      </c>
      <c r="L1191" s="16">
        <f>IFERROR(IF([2]对账明细接口!$L$1191=0,"",[2]对账明细接口!$L$1191),"")</f>
      </c>
      <c r="M1191" s="16">
        <f>IFERROR(IF([2]对账明细接口!$M$1191=0,"",[2]对账明细接口!$M$1191),"")</f>
      </c>
      <c r="N1191" s="19">
        <f>IF($C1191="",0,1)</f>
        <v>0</v>
      </c>
      <c r="O1191" s="19">
        <f>N(O1190)+$N1191</f>
        <v>272</v>
      </c>
      <c r="S1191" s="20">
        <f>IFERROR(IF([2]对账明细接口!$N1191=0,"",[2]对账明细接口!$N1191),"")</f>
      </c>
      <c r="T1191" s="212">
        <f>IFERROR(IF([2]对账明细接口!$O1191=0,"",[2]对账明细接口!$O1191),"")</f>
      </c>
      <c r="U1191" s="212">
        <f>IFERROR(IF([2]对账明细接口!$P1191=0,"",[2]对账明细接口!$P1191),"")</f>
      </c>
      <c r="V1191" s="212">
        <f>IFERROR(IF([2]对账明细接口!$Q1191=0,"",[2]对账明细接口!$Q1191),"")</f>
      </c>
      <c r="W1191" s="20">
        <f>IFERROR(IF([2]对账明细接口!$R1191=0,"",[2]对账明细接口!$R1191),"")</f>
      </c>
      <c r="X1191" s="20">
        <f>IFERROR(IF([2]对账明细接口!$S1191=0,"",[2]对账明细接口!$S1191),"")</f>
      </c>
      <c r="Y1191" s="20">
        <f>""</f>
      </c>
      <c r="Z1191" s="20">
        <f>""</f>
      </c>
      <c r="AA1191" s="20">
        <f>""</f>
      </c>
      <c r="AB1191" s="20">
        <f>""</f>
      </c>
    </row>
    <row r="1192" s="127">
      <c r="A1192" s="14" t="n">
        <v>1192</v>
      </c>
      <c r="B1192" s="211">
        <f>IFERROR(IF([2]对账明细接口!$B$1192=0,"",[2]对账明细接口!$B$1192),"")</f>
      </c>
      <c r="C1192" s="16">
        <f>IFERROR(IF([2]对账明细接口!$C$1192=0,"",[2]对账明细接口!$C$1192),"")</f>
      </c>
      <c r="D1192" s="16">
        <f>IFERROR(IF([2]对账明细接口!$D$1192=0,"",[2]对账明细接口!$D$1192),"")</f>
      </c>
      <c r="E1192" s="16">
        <f>IFERROR(IF([2]对账明细接口!$E$1192=0,"",[2]对账明细接口!$E$1192),"")</f>
      </c>
      <c r="F1192" s="16">
        <f>IFERROR(IF([2]对账明细接口!$F$1192=0,"",[2]对账明细接口!$F$1192),"")</f>
      </c>
      <c r="G1192" s="16">
        <f>IFERROR(IF([2]对账明细接口!$G$1192=0,"",[2]对账明细接口!$G$1192),"")</f>
      </c>
      <c r="H1192" s="176">
        <f>IFERROR(IF([2]对账明细接口!$H$1192=0,"",[2]对账明细接口!$H$1192),"")</f>
      </c>
      <c r="I1192" s="16">
        <f>IFERROR(IF([2]对账明细接口!$I$1192=0,"",[2]对账明细接口!$I$1192),"")</f>
      </c>
      <c r="J1192" s="177">
        <f>IFERROR(IF([2]对账明细接口!$J$1192=0,"",[2]对账明细接口!$J$1192),"")</f>
      </c>
      <c r="K1192" s="177">
        <f>IFERROR(IF([2]对账明细接口!$K$1192=0,"",[2]对账明细接口!$K$1192),"")</f>
      </c>
      <c r="L1192" s="16">
        <f>IFERROR(IF([2]对账明细接口!$L$1192=0,"",[2]对账明细接口!$L$1192),"")</f>
      </c>
      <c r="M1192" s="16">
        <f>IFERROR(IF([2]对账明细接口!$M$1192=0,"",[2]对账明细接口!$M$1192),"")</f>
      </c>
      <c r="N1192" s="19">
        <f>IF($C1192="",0,1)</f>
        <v>0</v>
      </c>
      <c r="O1192" s="19">
        <f>N(O1191)+$N1192</f>
        <v>272</v>
      </c>
      <c r="S1192" s="20">
        <f>IFERROR(IF([2]对账明细接口!$N1192=0,"",[2]对账明细接口!$N1192),"")</f>
      </c>
      <c r="T1192" s="212">
        <f>IFERROR(IF([2]对账明细接口!$O1192=0,"",[2]对账明细接口!$O1192),"")</f>
      </c>
      <c r="U1192" s="212">
        <f>IFERROR(IF([2]对账明细接口!$P1192=0,"",[2]对账明细接口!$P1192),"")</f>
      </c>
      <c r="V1192" s="212">
        <f>IFERROR(IF([2]对账明细接口!$Q1192=0,"",[2]对账明细接口!$Q1192),"")</f>
      </c>
      <c r="W1192" s="20">
        <f>IFERROR(IF([2]对账明细接口!$R1192=0,"",[2]对账明细接口!$R1192),"")</f>
      </c>
      <c r="X1192" s="20">
        <f>IFERROR(IF([2]对账明细接口!$S1192=0,"",[2]对账明细接口!$S1192),"")</f>
      </c>
      <c r="Y1192" s="20">
        <f>""</f>
      </c>
      <c r="Z1192" s="20">
        <f>""</f>
      </c>
      <c r="AA1192" s="20">
        <f>""</f>
      </c>
      <c r="AB1192" s="20">
        <f>""</f>
      </c>
    </row>
    <row r="1193" s="127">
      <c r="A1193" s="14" t="n">
        <v>1193</v>
      </c>
      <c r="B1193" s="211">
        <f>IFERROR(IF([2]对账明细接口!$B$1193=0,"",[2]对账明细接口!$B$1193),"")</f>
      </c>
      <c r="C1193" s="16">
        <f>IFERROR(IF([2]对账明细接口!$C$1193=0,"",[2]对账明细接口!$C$1193),"")</f>
      </c>
      <c r="D1193" s="16">
        <f>IFERROR(IF([2]对账明细接口!$D$1193=0,"",[2]对账明细接口!$D$1193),"")</f>
      </c>
      <c r="E1193" s="16">
        <f>IFERROR(IF([2]对账明细接口!$E$1193=0,"",[2]对账明细接口!$E$1193),"")</f>
      </c>
      <c r="F1193" s="16">
        <f>IFERROR(IF([2]对账明细接口!$F$1193=0,"",[2]对账明细接口!$F$1193),"")</f>
      </c>
      <c r="G1193" s="16">
        <f>IFERROR(IF([2]对账明细接口!$G$1193=0,"",[2]对账明细接口!$G$1193),"")</f>
      </c>
      <c r="H1193" s="176">
        <f>IFERROR(IF([2]对账明细接口!$H$1193=0,"",[2]对账明细接口!$H$1193),"")</f>
      </c>
      <c r="I1193" s="16">
        <f>IFERROR(IF([2]对账明细接口!$I$1193=0,"",[2]对账明细接口!$I$1193),"")</f>
      </c>
      <c r="J1193" s="177">
        <f>IFERROR(IF([2]对账明细接口!$J$1193=0,"",[2]对账明细接口!$J$1193),"")</f>
      </c>
      <c r="K1193" s="177">
        <f>IFERROR(IF([2]对账明细接口!$K$1193=0,"",[2]对账明细接口!$K$1193),"")</f>
      </c>
      <c r="L1193" s="16">
        <f>IFERROR(IF([2]对账明细接口!$L$1193=0,"",[2]对账明细接口!$L$1193),"")</f>
      </c>
      <c r="M1193" s="16">
        <f>IFERROR(IF([2]对账明细接口!$M$1193=0,"",[2]对账明细接口!$M$1193),"")</f>
      </c>
      <c r="N1193" s="19">
        <f>IF($C1193="",0,1)</f>
        <v>0</v>
      </c>
      <c r="O1193" s="19">
        <f>N(O1192)+$N1193</f>
        <v>272</v>
      </c>
      <c r="S1193" s="20">
        <f>IFERROR(IF([2]对账明细接口!$N1193=0,"",[2]对账明细接口!$N1193),"")</f>
      </c>
      <c r="T1193" s="212">
        <f>IFERROR(IF([2]对账明细接口!$O1193=0,"",[2]对账明细接口!$O1193),"")</f>
      </c>
      <c r="U1193" s="212">
        <f>IFERROR(IF([2]对账明细接口!$P1193=0,"",[2]对账明细接口!$P1193),"")</f>
      </c>
      <c r="V1193" s="212">
        <f>IFERROR(IF([2]对账明细接口!$Q1193=0,"",[2]对账明细接口!$Q1193),"")</f>
      </c>
      <c r="W1193" s="20">
        <f>IFERROR(IF([2]对账明细接口!$R1193=0,"",[2]对账明细接口!$R1193),"")</f>
      </c>
      <c r="X1193" s="20">
        <f>IFERROR(IF([2]对账明细接口!$S1193=0,"",[2]对账明细接口!$S1193),"")</f>
      </c>
      <c r="Y1193" s="20">
        <f>""</f>
      </c>
      <c r="Z1193" s="20">
        <f>""</f>
      </c>
      <c r="AA1193" s="20">
        <f>""</f>
      </c>
      <c r="AB1193" s="20">
        <f>""</f>
      </c>
    </row>
    <row r="1194" s="127">
      <c r="A1194" s="14" t="n">
        <v>1194</v>
      </c>
      <c r="B1194" s="211">
        <f>IFERROR(IF([2]对账明细接口!$B$1194=0,"",[2]对账明细接口!$B$1194),"")</f>
      </c>
      <c r="C1194" s="16">
        <f>IFERROR(IF([2]对账明细接口!$C$1194=0,"",[2]对账明细接口!$C$1194),"")</f>
      </c>
      <c r="D1194" s="16">
        <f>IFERROR(IF([2]对账明细接口!$D$1194=0,"",[2]对账明细接口!$D$1194),"")</f>
      </c>
      <c r="E1194" s="16">
        <f>IFERROR(IF([2]对账明细接口!$E$1194=0,"",[2]对账明细接口!$E$1194),"")</f>
      </c>
      <c r="F1194" s="16">
        <f>IFERROR(IF([2]对账明细接口!$F$1194=0,"",[2]对账明细接口!$F$1194),"")</f>
      </c>
      <c r="G1194" s="16">
        <f>IFERROR(IF([2]对账明细接口!$G$1194=0,"",[2]对账明细接口!$G$1194),"")</f>
      </c>
      <c r="H1194" s="176">
        <f>IFERROR(IF([2]对账明细接口!$H$1194=0,"",[2]对账明细接口!$H$1194),"")</f>
      </c>
      <c r="I1194" s="16">
        <f>IFERROR(IF([2]对账明细接口!$I$1194=0,"",[2]对账明细接口!$I$1194),"")</f>
      </c>
      <c r="J1194" s="177">
        <f>IFERROR(IF([2]对账明细接口!$J$1194=0,"",[2]对账明细接口!$J$1194),"")</f>
      </c>
      <c r="K1194" s="177">
        <f>IFERROR(IF([2]对账明细接口!$K$1194=0,"",[2]对账明细接口!$K$1194),"")</f>
      </c>
      <c r="L1194" s="16">
        <f>IFERROR(IF([2]对账明细接口!$L$1194=0,"",[2]对账明细接口!$L$1194),"")</f>
      </c>
      <c r="M1194" s="16">
        <f>IFERROR(IF([2]对账明细接口!$M$1194=0,"",[2]对账明细接口!$M$1194),"")</f>
      </c>
      <c r="N1194" s="19">
        <f>IF($C1194="",0,1)</f>
        <v>0</v>
      </c>
      <c r="O1194" s="19">
        <f>N(O1193)+$N1194</f>
        <v>272</v>
      </c>
      <c r="S1194" s="20">
        <f>IFERROR(IF([2]对账明细接口!$N1194=0,"",[2]对账明细接口!$N1194),"")</f>
      </c>
      <c r="T1194" s="212">
        <f>IFERROR(IF([2]对账明细接口!$O1194=0,"",[2]对账明细接口!$O1194),"")</f>
      </c>
      <c r="U1194" s="212">
        <f>IFERROR(IF([2]对账明细接口!$P1194=0,"",[2]对账明细接口!$P1194),"")</f>
      </c>
      <c r="V1194" s="212">
        <f>IFERROR(IF([2]对账明细接口!$Q1194=0,"",[2]对账明细接口!$Q1194),"")</f>
      </c>
      <c r="W1194" s="20">
        <f>IFERROR(IF([2]对账明细接口!$R1194=0,"",[2]对账明细接口!$R1194),"")</f>
      </c>
      <c r="X1194" s="20">
        <f>IFERROR(IF([2]对账明细接口!$S1194=0,"",[2]对账明细接口!$S1194),"")</f>
      </c>
      <c r="Y1194" s="20">
        <f>""</f>
      </c>
      <c r="Z1194" s="20">
        <f>""</f>
      </c>
      <c r="AA1194" s="20">
        <f>""</f>
      </c>
      <c r="AB1194" s="20">
        <f>""</f>
      </c>
    </row>
    <row r="1195" s="127">
      <c r="A1195" s="14" t="n">
        <v>1195</v>
      </c>
      <c r="B1195" s="211">
        <f>IFERROR(IF([2]对账明细接口!$B$1195=0,"",[2]对账明细接口!$B$1195),"")</f>
      </c>
      <c r="C1195" s="16">
        <f>IFERROR(IF([2]对账明细接口!$C$1195=0,"",[2]对账明细接口!$C$1195),"")</f>
      </c>
      <c r="D1195" s="16">
        <f>IFERROR(IF([2]对账明细接口!$D$1195=0,"",[2]对账明细接口!$D$1195),"")</f>
      </c>
      <c r="E1195" s="16">
        <f>IFERROR(IF([2]对账明细接口!$E$1195=0,"",[2]对账明细接口!$E$1195),"")</f>
      </c>
      <c r="F1195" s="16">
        <f>IFERROR(IF([2]对账明细接口!$F$1195=0,"",[2]对账明细接口!$F$1195),"")</f>
      </c>
      <c r="G1195" s="16">
        <f>IFERROR(IF([2]对账明细接口!$G$1195=0,"",[2]对账明细接口!$G$1195),"")</f>
      </c>
      <c r="H1195" s="176">
        <f>IFERROR(IF([2]对账明细接口!$H$1195=0,"",[2]对账明细接口!$H$1195),"")</f>
      </c>
      <c r="I1195" s="16">
        <f>IFERROR(IF([2]对账明细接口!$I$1195=0,"",[2]对账明细接口!$I$1195),"")</f>
      </c>
      <c r="J1195" s="177">
        <f>IFERROR(IF([2]对账明细接口!$J$1195=0,"",[2]对账明细接口!$J$1195),"")</f>
      </c>
      <c r="K1195" s="177">
        <f>IFERROR(IF([2]对账明细接口!$K$1195=0,"",[2]对账明细接口!$K$1195),"")</f>
      </c>
      <c r="L1195" s="16">
        <f>IFERROR(IF([2]对账明细接口!$L$1195=0,"",[2]对账明细接口!$L$1195),"")</f>
      </c>
      <c r="M1195" s="16">
        <f>IFERROR(IF([2]对账明细接口!$M$1195=0,"",[2]对账明细接口!$M$1195),"")</f>
      </c>
      <c r="N1195" s="19">
        <f>IF($C1195="",0,1)</f>
        <v>0</v>
      </c>
      <c r="O1195" s="19">
        <f>N(O1194)+$N1195</f>
        <v>272</v>
      </c>
      <c r="S1195" s="20">
        <f>IFERROR(IF([2]对账明细接口!$N1195=0,"",[2]对账明细接口!$N1195),"")</f>
      </c>
      <c r="T1195" s="212">
        <f>IFERROR(IF([2]对账明细接口!$O1195=0,"",[2]对账明细接口!$O1195),"")</f>
      </c>
      <c r="U1195" s="212">
        <f>IFERROR(IF([2]对账明细接口!$P1195=0,"",[2]对账明细接口!$P1195),"")</f>
      </c>
      <c r="V1195" s="212">
        <f>IFERROR(IF([2]对账明细接口!$Q1195=0,"",[2]对账明细接口!$Q1195),"")</f>
      </c>
      <c r="W1195" s="20">
        <f>IFERROR(IF([2]对账明细接口!$R1195=0,"",[2]对账明细接口!$R1195),"")</f>
      </c>
      <c r="X1195" s="20">
        <f>IFERROR(IF([2]对账明细接口!$S1195=0,"",[2]对账明细接口!$S1195),"")</f>
      </c>
      <c r="Y1195" s="20">
        <f>""</f>
      </c>
      <c r="Z1195" s="20">
        <f>""</f>
      </c>
      <c r="AA1195" s="20">
        <f>""</f>
      </c>
      <c r="AB1195" s="20">
        <f>""</f>
      </c>
    </row>
    <row r="1196" s="127">
      <c r="A1196" s="14" t="n">
        <v>1196</v>
      </c>
      <c r="B1196" s="211">
        <f>IFERROR(IF([2]对账明细接口!$B$1196=0,"",[2]对账明细接口!$B$1196),"")</f>
      </c>
      <c r="C1196" s="16">
        <f>IFERROR(IF([2]对账明细接口!$C$1196=0,"",[2]对账明细接口!$C$1196),"")</f>
      </c>
      <c r="D1196" s="16">
        <f>IFERROR(IF([2]对账明细接口!$D$1196=0,"",[2]对账明细接口!$D$1196),"")</f>
      </c>
      <c r="E1196" s="16">
        <f>IFERROR(IF([2]对账明细接口!$E$1196=0,"",[2]对账明细接口!$E$1196),"")</f>
      </c>
      <c r="F1196" s="16">
        <f>IFERROR(IF([2]对账明细接口!$F$1196=0,"",[2]对账明细接口!$F$1196),"")</f>
      </c>
      <c r="G1196" s="16">
        <f>IFERROR(IF([2]对账明细接口!$G$1196=0,"",[2]对账明细接口!$G$1196),"")</f>
      </c>
      <c r="H1196" s="176">
        <f>IFERROR(IF([2]对账明细接口!$H$1196=0,"",[2]对账明细接口!$H$1196),"")</f>
      </c>
      <c r="I1196" s="16">
        <f>IFERROR(IF([2]对账明细接口!$I$1196=0,"",[2]对账明细接口!$I$1196),"")</f>
      </c>
      <c r="J1196" s="177">
        <f>IFERROR(IF([2]对账明细接口!$J$1196=0,"",[2]对账明细接口!$J$1196),"")</f>
      </c>
      <c r="K1196" s="177">
        <f>IFERROR(IF([2]对账明细接口!$K$1196=0,"",[2]对账明细接口!$K$1196),"")</f>
      </c>
      <c r="L1196" s="16">
        <f>IFERROR(IF([2]对账明细接口!$L$1196=0,"",[2]对账明细接口!$L$1196),"")</f>
      </c>
      <c r="M1196" s="16">
        <f>IFERROR(IF([2]对账明细接口!$M$1196=0,"",[2]对账明细接口!$M$1196),"")</f>
      </c>
      <c r="N1196" s="19">
        <f>IF($C1196="",0,1)</f>
        <v>0</v>
      </c>
      <c r="O1196" s="19">
        <f>N(O1195)+$N1196</f>
        <v>272</v>
      </c>
      <c r="S1196" s="20">
        <f>IFERROR(IF([2]对账明细接口!$N1196=0,"",[2]对账明细接口!$N1196),"")</f>
      </c>
      <c r="T1196" s="212">
        <f>IFERROR(IF([2]对账明细接口!$O1196=0,"",[2]对账明细接口!$O1196),"")</f>
      </c>
      <c r="U1196" s="212">
        <f>IFERROR(IF([2]对账明细接口!$P1196=0,"",[2]对账明细接口!$P1196),"")</f>
      </c>
      <c r="V1196" s="212">
        <f>IFERROR(IF([2]对账明细接口!$Q1196=0,"",[2]对账明细接口!$Q1196),"")</f>
      </c>
      <c r="W1196" s="20">
        <f>IFERROR(IF([2]对账明细接口!$R1196=0,"",[2]对账明细接口!$R1196),"")</f>
      </c>
      <c r="X1196" s="20">
        <f>IFERROR(IF([2]对账明细接口!$S1196=0,"",[2]对账明细接口!$S1196),"")</f>
      </c>
      <c r="Y1196" s="20">
        <f>""</f>
      </c>
      <c r="Z1196" s="20">
        <f>""</f>
      </c>
      <c r="AA1196" s="20">
        <f>""</f>
      </c>
      <c r="AB1196" s="20">
        <f>""</f>
      </c>
    </row>
    <row r="1197" s="127">
      <c r="A1197" s="14" t="n">
        <v>1197</v>
      </c>
      <c r="B1197" s="211">
        <f>IFERROR(IF([2]对账明细接口!$B$1197=0,"",[2]对账明细接口!$B$1197),"")</f>
      </c>
      <c r="C1197" s="16">
        <f>IFERROR(IF([2]对账明细接口!$C$1197=0,"",[2]对账明细接口!$C$1197),"")</f>
      </c>
      <c r="D1197" s="16">
        <f>IFERROR(IF([2]对账明细接口!$D$1197=0,"",[2]对账明细接口!$D$1197),"")</f>
      </c>
      <c r="E1197" s="16">
        <f>IFERROR(IF([2]对账明细接口!$E$1197=0,"",[2]对账明细接口!$E$1197),"")</f>
      </c>
      <c r="F1197" s="16">
        <f>IFERROR(IF([2]对账明细接口!$F$1197=0,"",[2]对账明细接口!$F$1197),"")</f>
      </c>
      <c r="G1197" s="16">
        <f>IFERROR(IF([2]对账明细接口!$G$1197=0,"",[2]对账明细接口!$G$1197),"")</f>
      </c>
      <c r="H1197" s="176">
        <f>IFERROR(IF([2]对账明细接口!$H$1197=0,"",[2]对账明细接口!$H$1197),"")</f>
      </c>
      <c r="I1197" s="16">
        <f>IFERROR(IF([2]对账明细接口!$I$1197=0,"",[2]对账明细接口!$I$1197),"")</f>
      </c>
      <c r="J1197" s="177">
        <f>IFERROR(IF([2]对账明细接口!$J$1197=0,"",[2]对账明细接口!$J$1197),"")</f>
      </c>
      <c r="K1197" s="177">
        <f>IFERROR(IF([2]对账明细接口!$K$1197=0,"",[2]对账明细接口!$K$1197),"")</f>
      </c>
      <c r="L1197" s="16">
        <f>IFERROR(IF([2]对账明细接口!$L$1197=0,"",[2]对账明细接口!$L$1197),"")</f>
      </c>
      <c r="M1197" s="16">
        <f>IFERROR(IF([2]对账明细接口!$M$1197=0,"",[2]对账明细接口!$M$1197),"")</f>
      </c>
      <c r="N1197" s="19">
        <f>IF($C1197="",0,1)</f>
        <v>0</v>
      </c>
      <c r="O1197" s="19">
        <f>N(O1196)+$N1197</f>
        <v>272</v>
      </c>
      <c r="S1197" s="20">
        <f>IFERROR(IF([2]对账明细接口!$N1197=0,"",[2]对账明细接口!$N1197),"")</f>
      </c>
      <c r="T1197" s="212">
        <f>IFERROR(IF([2]对账明细接口!$O1197=0,"",[2]对账明细接口!$O1197),"")</f>
      </c>
      <c r="U1197" s="212">
        <f>IFERROR(IF([2]对账明细接口!$P1197=0,"",[2]对账明细接口!$P1197),"")</f>
      </c>
      <c r="V1197" s="212">
        <f>IFERROR(IF([2]对账明细接口!$Q1197=0,"",[2]对账明细接口!$Q1197),"")</f>
      </c>
      <c r="W1197" s="20">
        <f>IFERROR(IF([2]对账明细接口!$R1197=0,"",[2]对账明细接口!$R1197),"")</f>
      </c>
      <c r="X1197" s="20">
        <f>IFERROR(IF([2]对账明细接口!$S1197=0,"",[2]对账明细接口!$S1197),"")</f>
      </c>
      <c r="Y1197" s="20">
        <f>""</f>
      </c>
      <c r="Z1197" s="20">
        <f>""</f>
      </c>
      <c r="AA1197" s="20">
        <f>""</f>
      </c>
      <c r="AB1197" s="20">
        <f>""</f>
      </c>
    </row>
    <row r="1198" s="127">
      <c r="A1198" s="14" t="n">
        <v>1198</v>
      </c>
      <c r="B1198" s="211">
        <f>IFERROR(IF([2]对账明细接口!$B$1198=0,"",[2]对账明细接口!$B$1198),"")</f>
      </c>
      <c r="C1198" s="16">
        <f>IFERROR(IF([2]对账明细接口!$C$1198=0,"",[2]对账明细接口!$C$1198),"")</f>
      </c>
      <c r="D1198" s="16">
        <f>IFERROR(IF([2]对账明细接口!$D$1198=0,"",[2]对账明细接口!$D$1198),"")</f>
      </c>
      <c r="E1198" s="16">
        <f>IFERROR(IF([2]对账明细接口!$E$1198=0,"",[2]对账明细接口!$E$1198),"")</f>
      </c>
      <c r="F1198" s="16">
        <f>IFERROR(IF([2]对账明细接口!$F$1198=0,"",[2]对账明细接口!$F$1198),"")</f>
      </c>
      <c r="G1198" s="16">
        <f>IFERROR(IF([2]对账明细接口!$G$1198=0,"",[2]对账明细接口!$G$1198),"")</f>
      </c>
      <c r="H1198" s="176">
        <f>IFERROR(IF([2]对账明细接口!$H$1198=0,"",[2]对账明细接口!$H$1198),"")</f>
      </c>
      <c r="I1198" s="16">
        <f>IFERROR(IF([2]对账明细接口!$I$1198=0,"",[2]对账明细接口!$I$1198),"")</f>
      </c>
      <c r="J1198" s="177">
        <f>IFERROR(IF([2]对账明细接口!$J$1198=0,"",[2]对账明细接口!$J$1198),"")</f>
      </c>
      <c r="K1198" s="177">
        <f>IFERROR(IF([2]对账明细接口!$K$1198=0,"",[2]对账明细接口!$K$1198),"")</f>
      </c>
      <c r="L1198" s="16">
        <f>IFERROR(IF([2]对账明细接口!$L$1198=0,"",[2]对账明细接口!$L$1198),"")</f>
      </c>
      <c r="M1198" s="16">
        <f>IFERROR(IF([2]对账明细接口!$M$1198=0,"",[2]对账明细接口!$M$1198),"")</f>
      </c>
      <c r="N1198" s="19">
        <f>IF($C1198="",0,1)</f>
        <v>0</v>
      </c>
      <c r="O1198" s="19">
        <f>N(O1197)+$N1198</f>
        <v>272</v>
      </c>
      <c r="S1198" s="20">
        <f>IFERROR(IF([2]对账明细接口!$N1198=0,"",[2]对账明细接口!$N1198),"")</f>
      </c>
      <c r="T1198" s="212">
        <f>IFERROR(IF([2]对账明细接口!$O1198=0,"",[2]对账明细接口!$O1198),"")</f>
      </c>
      <c r="U1198" s="212">
        <f>IFERROR(IF([2]对账明细接口!$P1198=0,"",[2]对账明细接口!$P1198),"")</f>
      </c>
      <c r="V1198" s="212">
        <f>IFERROR(IF([2]对账明细接口!$Q1198=0,"",[2]对账明细接口!$Q1198),"")</f>
      </c>
      <c r="W1198" s="20">
        <f>IFERROR(IF([2]对账明细接口!$R1198=0,"",[2]对账明细接口!$R1198),"")</f>
      </c>
      <c r="X1198" s="20">
        <f>IFERROR(IF([2]对账明细接口!$S1198=0,"",[2]对账明细接口!$S1198),"")</f>
      </c>
      <c r="Y1198" s="20">
        <f>""</f>
      </c>
      <c r="Z1198" s="20">
        <f>""</f>
      </c>
      <c r="AA1198" s="20">
        <f>""</f>
      </c>
      <c r="AB1198" s="20">
        <f>""</f>
      </c>
    </row>
    <row r="1199" s="127">
      <c r="A1199" s="14" t="n">
        <v>1199</v>
      </c>
      <c r="B1199" s="211">
        <f>IFERROR(IF([2]对账明细接口!$B$1199=0,"",[2]对账明细接口!$B$1199),"")</f>
      </c>
      <c r="C1199" s="16">
        <f>IFERROR(IF([2]对账明细接口!$C$1199=0,"",[2]对账明细接口!$C$1199),"")</f>
      </c>
      <c r="D1199" s="16">
        <f>IFERROR(IF([2]对账明细接口!$D$1199=0,"",[2]对账明细接口!$D$1199),"")</f>
      </c>
      <c r="E1199" s="16">
        <f>IFERROR(IF([2]对账明细接口!$E$1199=0,"",[2]对账明细接口!$E$1199),"")</f>
      </c>
      <c r="F1199" s="16">
        <f>IFERROR(IF([2]对账明细接口!$F$1199=0,"",[2]对账明细接口!$F$1199),"")</f>
      </c>
      <c r="G1199" s="16">
        <f>IFERROR(IF([2]对账明细接口!$G$1199=0,"",[2]对账明细接口!$G$1199),"")</f>
      </c>
      <c r="H1199" s="176">
        <f>IFERROR(IF([2]对账明细接口!$H$1199=0,"",[2]对账明细接口!$H$1199),"")</f>
      </c>
      <c r="I1199" s="16">
        <f>IFERROR(IF([2]对账明细接口!$I$1199=0,"",[2]对账明细接口!$I$1199),"")</f>
      </c>
      <c r="J1199" s="177">
        <f>IFERROR(IF([2]对账明细接口!$J$1199=0,"",[2]对账明细接口!$J$1199),"")</f>
      </c>
      <c r="K1199" s="177">
        <f>IFERROR(IF([2]对账明细接口!$K$1199=0,"",[2]对账明细接口!$K$1199),"")</f>
      </c>
      <c r="L1199" s="16">
        <f>IFERROR(IF([2]对账明细接口!$L$1199=0,"",[2]对账明细接口!$L$1199),"")</f>
      </c>
      <c r="M1199" s="16">
        <f>IFERROR(IF([2]对账明细接口!$M$1199=0,"",[2]对账明细接口!$M$1199),"")</f>
      </c>
      <c r="N1199" s="19">
        <f>IF($C1199="",0,1)</f>
        <v>0</v>
      </c>
      <c r="O1199" s="19">
        <f>N(O1198)+$N1199</f>
        <v>272</v>
      </c>
      <c r="S1199" s="20">
        <f>IFERROR(IF([2]对账明细接口!$N1199=0,"",[2]对账明细接口!$N1199),"")</f>
      </c>
      <c r="T1199" s="212">
        <f>IFERROR(IF([2]对账明细接口!$O1199=0,"",[2]对账明细接口!$O1199),"")</f>
      </c>
      <c r="U1199" s="212">
        <f>IFERROR(IF([2]对账明细接口!$P1199=0,"",[2]对账明细接口!$P1199),"")</f>
      </c>
      <c r="V1199" s="212">
        <f>IFERROR(IF([2]对账明细接口!$Q1199=0,"",[2]对账明细接口!$Q1199),"")</f>
      </c>
      <c r="W1199" s="20">
        <f>IFERROR(IF([2]对账明细接口!$R1199=0,"",[2]对账明细接口!$R1199),"")</f>
      </c>
      <c r="X1199" s="20">
        <f>IFERROR(IF([2]对账明细接口!$S1199=0,"",[2]对账明细接口!$S1199),"")</f>
      </c>
      <c r="Y1199" s="20">
        <f>""</f>
      </c>
      <c r="Z1199" s="20">
        <f>""</f>
      </c>
      <c r="AA1199" s="20">
        <f>""</f>
      </c>
      <c r="AB1199" s="20">
        <f>""</f>
      </c>
    </row>
    <row r="1200" s="127">
      <c r="A1200" s="14" t="n">
        <v>1200</v>
      </c>
      <c r="B1200" s="211">
        <f>IFERROR(IF([2]对账明细接口!$B$1200=0,"",[2]对账明细接口!$B$1200),"")</f>
      </c>
      <c r="C1200" s="16">
        <f>IFERROR(IF([2]对账明细接口!$C$1200=0,"",[2]对账明细接口!$C$1200),"")</f>
      </c>
      <c r="D1200" s="16">
        <f>IFERROR(IF([2]对账明细接口!$D$1200=0,"",[2]对账明细接口!$D$1200),"")</f>
      </c>
      <c r="E1200" s="16">
        <f>IFERROR(IF([2]对账明细接口!$E$1200=0,"",[2]对账明细接口!$E$1200),"")</f>
      </c>
      <c r="F1200" s="16">
        <f>IFERROR(IF([2]对账明细接口!$F$1200=0,"",[2]对账明细接口!$F$1200),"")</f>
      </c>
      <c r="G1200" s="16">
        <f>IFERROR(IF([2]对账明细接口!$G$1200=0,"",[2]对账明细接口!$G$1200),"")</f>
      </c>
      <c r="H1200" s="176">
        <f>IFERROR(IF([2]对账明细接口!$H$1200=0,"",[2]对账明细接口!$H$1200),"")</f>
      </c>
      <c r="I1200" s="16">
        <f>IFERROR(IF([2]对账明细接口!$I$1200=0,"",[2]对账明细接口!$I$1200),"")</f>
      </c>
      <c r="J1200" s="177">
        <f>IFERROR(IF([2]对账明细接口!$J$1200=0,"",[2]对账明细接口!$J$1200),"")</f>
      </c>
      <c r="K1200" s="177">
        <f>IFERROR(IF([2]对账明细接口!$K$1200=0,"",[2]对账明细接口!$K$1200),"")</f>
      </c>
      <c r="L1200" s="16">
        <f>IFERROR(IF([2]对账明细接口!$L$1200=0,"",[2]对账明细接口!$L$1200),"")</f>
      </c>
      <c r="M1200" s="16">
        <f>IFERROR(IF([2]对账明细接口!$M$1200=0,"",[2]对账明细接口!$M$1200),"")</f>
      </c>
      <c r="N1200" s="19">
        <f>IF($C1200="",0,1)</f>
        <v>0</v>
      </c>
      <c r="O1200" s="19">
        <f>N(O1199)+$N1200</f>
        <v>272</v>
      </c>
      <c r="S1200" s="20">
        <f>IFERROR(IF([2]对账明细接口!$N1200=0,"",[2]对账明细接口!$N1200),"")</f>
      </c>
      <c r="T1200" s="212">
        <f>IFERROR(IF([2]对账明细接口!$O1200=0,"",[2]对账明细接口!$O1200),"")</f>
      </c>
      <c r="U1200" s="212">
        <f>IFERROR(IF([2]对账明细接口!$P1200=0,"",[2]对账明细接口!$P1200),"")</f>
      </c>
      <c r="V1200" s="212">
        <f>IFERROR(IF([2]对账明细接口!$Q1200=0,"",[2]对账明细接口!$Q1200),"")</f>
      </c>
      <c r="W1200" s="20">
        <f>IFERROR(IF([2]对账明细接口!$R1200=0,"",[2]对账明细接口!$R1200),"")</f>
      </c>
      <c r="X1200" s="20">
        <f>IFERROR(IF([2]对账明细接口!$S1200=0,"",[2]对账明细接口!$S1200),"")</f>
      </c>
      <c r="Y1200" s="20">
        <f>""</f>
      </c>
      <c r="Z1200" s="20">
        <f>""</f>
      </c>
      <c r="AA1200" s="20">
        <f>""</f>
      </c>
      <c r="AB1200" s="20">
        <f>""</f>
      </c>
    </row>
    <row r="1201" s="127">
      <c r="A1201" s="14" t="n">
        <v>1201</v>
      </c>
      <c r="B1201" s="211">
        <f>IFERROR(IF([2]对账明细接口!$B$1201=0,"",[2]对账明细接口!$B$1201),"")</f>
      </c>
      <c r="C1201" s="16">
        <f>IFERROR(IF([2]对账明细接口!$C$1201=0,"",[2]对账明细接口!$C$1201),"")</f>
      </c>
      <c r="D1201" s="16">
        <f>IFERROR(IF([2]对账明细接口!$D$1201=0,"",[2]对账明细接口!$D$1201),"")</f>
      </c>
      <c r="E1201" s="16">
        <f>IFERROR(IF([2]对账明细接口!$E$1201=0,"",[2]对账明细接口!$E$1201),"")</f>
      </c>
      <c r="F1201" s="16">
        <f>IFERROR(IF([2]对账明细接口!$F$1201=0,"",[2]对账明细接口!$F$1201),"")</f>
      </c>
      <c r="G1201" s="16">
        <f>IFERROR(IF([2]对账明细接口!$G$1201=0,"",[2]对账明细接口!$G$1201),"")</f>
      </c>
      <c r="H1201" s="176">
        <f>IFERROR(IF([2]对账明细接口!$H$1201=0,"",[2]对账明细接口!$H$1201),"")</f>
      </c>
      <c r="I1201" s="16">
        <f>IFERROR(IF([2]对账明细接口!$I$1201=0,"",[2]对账明细接口!$I$1201),"")</f>
      </c>
      <c r="J1201" s="177">
        <f>IFERROR(IF([2]对账明细接口!$J$1201=0,"",[2]对账明细接口!$J$1201),"")</f>
      </c>
      <c r="K1201" s="177">
        <f>IFERROR(IF([2]对账明细接口!$K$1201=0,"",[2]对账明细接口!$K$1201),"")</f>
      </c>
      <c r="L1201" s="16">
        <f>IFERROR(IF([2]对账明细接口!$L$1201=0,"",[2]对账明细接口!$L$1201),"")</f>
      </c>
      <c r="M1201" s="16">
        <f>IFERROR(IF([2]对账明细接口!$M$1201=0,"",[2]对账明细接口!$M$1201),"")</f>
      </c>
      <c r="N1201" s="19">
        <f>IF($C1201="",0,1)</f>
        <v>0</v>
      </c>
      <c r="O1201" s="19">
        <f>N(O1200)+$N1201</f>
        <v>272</v>
      </c>
      <c r="S1201" s="20">
        <f>IFERROR(IF([2]对账明细接口!$N1201=0,"",[2]对账明细接口!$N1201),"")</f>
      </c>
      <c r="T1201" s="212">
        <f>IFERROR(IF([2]对账明细接口!$O1201=0,"",[2]对账明细接口!$O1201),"")</f>
      </c>
      <c r="U1201" s="212">
        <f>IFERROR(IF([2]对账明细接口!$P1201=0,"",[2]对账明细接口!$P1201),"")</f>
      </c>
      <c r="V1201" s="212">
        <f>IFERROR(IF([2]对账明细接口!$Q1201=0,"",[2]对账明细接口!$Q1201),"")</f>
      </c>
      <c r="W1201" s="20">
        <f>IFERROR(IF([2]对账明细接口!$R1201=0,"",[2]对账明细接口!$R1201),"")</f>
      </c>
      <c r="X1201" s="20">
        <f>IFERROR(IF([2]对账明细接口!$S1201=0,"",[2]对账明细接口!$S1201),"")</f>
      </c>
      <c r="Y1201" s="20">
        <f>""</f>
      </c>
      <c r="Z1201" s="20">
        <f>""</f>
      </c>
      <c r="AA1201" s="20">
        <f>""</f>
      </c>
      <c r="AB1201" s="20">
        <f>""</f>
      </c>
    </row>
    <row r="1202" s="127">
      <c r="A1202" s="14" t="n">
        <v>1202</v>
      </c>
      <c r="B1202" s="211">
        <f>IFERROR(IF([2]对账明细接口!$B$1202=0,"",[2]对账明细接口!$B$1202),"")</f>
      </c>
      <c r="C1202" s="16">
        <f>IFERROR(IF([2]对账明细接口!$C$1202=0,"",[2]对账明细接口!$C$1202),"")</f>
      </c>
      <c r="D1202" s="16">
        <f>IFERROR(IF([2]对账明细接口!$D$1202=0,"",[2]对账明细接口!$D$1202),"")</f>
      </c>
      <c r="E1202" s="16">
        <f>IFERROR(IF([2]对账明细接口!$E$1202=0,"",[2]对账明细接口!$E$1202),"")</f>
      </c>
      <c r="F1202" s="16">
        <f>IFERROR(IF([2]对账明细接口!$F$1202=0,"",[2]对账明细接口!$F$1202),"")</f>
      </c>
      <c r="G1202" s="16">
        <f>IFERROR(IF([2]对账明细接口!$G$1202=0,"",[2]对账明细接口!$G$1202),"")</f>
      </c>
      <c r="H1202" s="176">
        <f>IFERROR(IF([2]对账明细接口!$H$1202=0,"",[2]对账明细接口!$H$1202),"")</f>
      </c>
      <c r="I1202" s="16">
        <f>IFERROR(IF([2]对账明细接口!$I$1202=0,"",[2]对账明细接口!$I$1202),"")</f>
      </c>
      <c r="J1202" s="177">
        <f>IFERROR(IF([2]对账明细接口!$J$1202=0,"",[2]对账明细接口!$J$1202),"")</f>
      </c>
      <c r="K1202" s="177">
        <f>IFERROR(IF([2]对账明细接口!$K$1202=0,"",[2]对账明细接口!$K$1202),"")</f>
      </c>
      <c r="L1202" s="16">
        <f>IFERROR(IF([2]对账明细接口!$L$1202=0,"",[2]对账明细接口!$L$1202),"")</f>
      </c>
      <c r="M1202" s="16">
        <f>IFERROR(IF([2]对账明细接口!$M$1202=0,"",[2]对账明细接口!$M$1202),"")</f>
      </c>
      <c r="N1202" s="19">
        <f>IF($C1202="",0,1)</f>
        <v>0</v>
      </c>
      <c r="O1202" s="19">
        <f>N(O1201)+$N1202</f>
        <v>272</v>
      </c>
      <c r="S1202" s="20">
        <f>IFERROR(IF([2]对账明细接口!$N1202=0,"",[2]对账明细接口!$N1202),"")</f>
      </c>
      <c r="T1202" s="212">
        <f>IFERROR(IF([2]对账明细接口!$O1202=0,"",[2]对账明细接口!$O1202),"")</f>
      </c>
      <c r="U1202" s="212">
        <f>IFERROR(IF([2]对账明细接口!$P1202=0,"",[2]对账明细接口!$P1202),"")</f>
      </c>
      <c r="V1202" s="212">
        <f>IFERROR(IF([2]对账明细接口!$Q1202=0,"",[2]对账明细接口!$Q1202),"")</f>
      </c>
      <c r="W1202" s="20">
        <f>IFERROR(IF([2]对账明细接口!$R1202=0,"",[2]对账明细接口!$R1202),"")</f>
      </c>
      <c r="X1202" s="20">
        <f>IFERROR(IF([2]对账明细接口!$S1202=0,"",[2]对账明细接口!$S1202),"")</f>
      </c>
      <c r="Y1202" s="20">
        <f>""</f>
      </c>
      <c r="Z1202" s="20">
        <f>""</f>
      </c>
      <c r="AA1202" s="20">
        <f>""</f>
      </c>
      <c r="AB1202" s="20">
        <f>""</f>
      </c>
    </row>
    <row r="1203" s="127">
      <c r="A1203" s="14" t="n">
        <v>1203</v>
      </c>
      <c r="B1203" s="211">
        <f>IFERROR(IF([2]对账明细接口!$B$1203=0,"",[2]对账明细接口!$B$1203),"")</f>
      </c>
      <c r="C1203" s="16">
        <f>IFERROR(IF([2]对账明细接口!$C$1203=0,"",[2]对账明细接口!$C$1203),"")</f>
      </c>
      <c r="D1203" s="16">
        <f>IFERROR(IF([2]对账明细接口!$D$1203=0,"",[2]对账明细接口!$D$1203),"")</f>
      </c>
      <c r="E1203" s="16">
        <f>IFERROR(IF([2]对账明细接口!$E$1203=0,"",[2]对账明细接口!$E$1203),"")</f>
      </c>
      <c r="F1203" s="16">
        <f>IFERROR(IF([2]对账明细接口!$F$1203=0,"",[2]对账明细接口!$F$1203),"")</f>
      </c>
      <c r="G1203" s="16">
        <f>IFERROR(IF([2]对账明细接口!$G$1203=0,"",[2]对账明细接口!$G$1203),"")</f>
      </c>
      <c r="H1203" s="176">
        <f>IFERROR(IF([2]对账明细接口!$H$1203=0,"",[2]对账明细接口!$H$1203),"")</f>
      </c>
      <c r="I1203" s="16">
        <f>IFERROR(IF([2]对账明细接口!$I$1203=0,"",[2]对账明细接口!$I$1203),"")</f>
      </c>
      <c r="J1203" s="177">
        <f>IFERROR(IF([2]对账明细接口!$J$1203=0,"",[2]对账明细接口!$J$1203),"")</f>
      </c>
      <c r="K1203" s="177">
        <f>IFERROR(IF([2]对账明细接口!$K$1203=0,"",[2]对账明细接口!$K$1203),"")</f>
      </c>
      <c r="L1203" s="16">
        <f>IFERROR(IF([2]对账明细接口!$L$1203=0,"",[2]对账明细接口!$L$1203),"")</f>
      </c>
      <c r="M1203" s="16">
        <f>IFERROR(IF([2]对账明细接口!$M$1203=0,"",[2]对账明细接口!$M$1203),"")</f>
      </c>
      <c r="N1203" s="19">
        <f>IF($C1203="",0,1)</f>
        <v>0</v>
      </c>
      <c r="O1203" s="19">
        <f>N(O1202)+$N1203</f>
        <v>272</v>
      </c>
      <c r="S1203" s="20">
        <f>IFERROR(IF([2]对账明细接口!$N1203=0,"",[2]对账明细接口!$N1203),"")</f>
      </c>
      <c r="T1203" s="212">
        <f>IFERROR(IF([2]对账明细接口!$O1203=0,"",[2]对账明细接口!$O1203),"")</f>
      </c>
      <c r="U1203" s="212">
        <f>IFERROR(IF([2]对账明细接口!$P1203=0,"",[2]对账明细接口!$P1203),"")</f>
      </c>
      <c r="V1203" s="212">
        <f>IFERROR(IF([2]对账明细接口!$Q1203=0,"",[2]对账明细接口!$Q1203),"")</f>
      </c>
      <c r="W1203" s="20">
        <f>IFERROR(IF([2]对账明细接口!$R1203=0,"",[2]对账明细接口!$R1203),"")</f>
      </c>
      <c r="X1203" s="20">
        <f>IFERROR(IF([2]对账明细接口!$S1203=0,"",[2]对账明细接口!$S1203),"")</f>
      </c>
      <c r="Y1203" s="20">
        <f>""</f>
      </c>
      <c r="Z1203" s="20">
        <f>""</f>
      </c>
      <c r="AA1203" s="20">
        <f>""</f>
      </c>
      <c r="AB1203" s="20">
        <f>""</f>
      </c>
    </row>
  </sheetData>
  <mergeCells count="3">
    <mergeCell ref="A1:O1"/>
    <mergeCell ref="A2:O2"/>
    <mergeCell ref="Q6:R9"/>
  </mergeCells>
  <conditionalFormatting sqref="A2">
    <cfRule type="expression" priority="2" dxfId="0">
      <formula>$R$4=0</formula>
    </cfRule>
  </conditionalFormatting>
  <conditionalFormatting sqref="Q6">
    <cfRule type="expression" priority="3" dxfId="0">
      <formula>$R$4=0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S2403"/>
  <sheetViews>
    <sheetView workbookViewId="0">
      <selection activeCell="A1" sqref="A1"/>
    </sheetView>
  </sheetViews>
  <sheetFormatPr baseColWidth="8" defaultColWidth="9" defaultRowHeight="13.5"/>
  <cols>
    <col hidden="1" width="13" customWidth="1" style="127" min="44" max="45"/>
  </cols>
  <sheetData>
    <row r="1" s="127">
      <c r="A1" s="1" t="inlineStr">
        <is>
          <t>辅助表：K/L/M/N 第1~3行＝各对账单的 客户/开始日期/结束日期，请勿改动</t>
        </is>
      </c>
      <c r="K1" s="2" t="str">
        <f>筐子对账单!$B$2</f>
        <v>王灵云</v>
      </c>
      <c r="L1" s="2" t="str">
        <f>自备筐对账单!$B$2</f>
        <v>贾建国</v>
      </c>
      <c r="M1" s="2" t="str">
        <f>水果对账单!$B$2</f>
        <v>吐尔洪</v>
      </c>
      <c r="N1" s="2" t="str">
        <f>物料与筐子销售对账单!$B$2</f>
        <v>麦麦提</v>
      </c>
      <c r="P1">
        <f>MAX(Q$4:Q$2403)</f>
        <v>14</v>
      </c>
      <c r="R1">
        <f>MAX(S$4:S$2403)</f>
        <v>1</v>
      </c>
      <c r="T1">
        <f>MAX(U$4:U$2403)</f>
        <v>47</v>
      </c>
      <c r="V1">
        <f>MAX(W$4:W$2403)</f>
        <v>11</v>
      </c>
      <c r="X1">
        <f>MAX(Y$4:Y$2403)</f>
        <v>0</v>
      </c>
      <c r="Z1">
        <f>MAX(AA$4:AA$2403)</f>
        <v>24</v>
      </c>
      <c r="AB1">
        <f>MAX(AC$4:AC$2403)</f>
        <v>0</v>
      </c>
      <c r="AD1">
        <f>MAX(AE$4:AE$2403)</f>
        <v>0</v>
      </c>
      <c r="AF1">
        <f>MAX(AG$4:AG$2403)</f>
        <v>10</v>
      </c>
      <c r="AH1">
        <f>MAX(AI$4:AI$2403)</f>
        <v>0</v>
      </c>
      <c r="AJ1" s="2" t="n"/>
      <c r="AL1" s="4" t="str">
        <f>公司购买果品对账单!$B$2</f>
        <v>王照雪</v>
      </c>
      <c r="AM1" s="4">
        <f>MAX(AM$4:AM$2403)</f>
        <v>2</v>
      </c>
      <c r="AQ1" s="4">
        <f>MAX(AP$4:AP$1203)</f>
        <v>13</v>
      </c>
    </row>
    <row r="2" ht="14.25" customHeight="1" s="127">
      <c r="A2" s="5" t="inlineStr">
        <is>
          <t>本表由公式自动维护，供综合对账单取数，请勿手工修改或删除。</t>
        </is>
      </c>
      <c r="K2" s="2">
        <f>IF(筐子对账单!$F$2="",0,N(筐子对账单!$F$2))</f>
        <v>0</v>
      </c>
      <c r="L2" s="2">
        <f>IF(自备筐对账单!$F$2="",0,N(自备筐对账单!$F$2))</f>
        <v>0</v>
      </c>
      <c r="M2" s="2">
        <f>IF(水果对账单!$F$2="",0,N(水果对账单!$F$2))</f>
        <v>0</v>
      </c>
      <c r="N2" s="2">
        <f>IF(物料与筐子销售对账单!$F$2="",0,N(物料与筐子销售对账单!$F$2))</f>
        <v>0</v>
      </c>
      <c r="AJ2" s="2" t="n"/>
      <c r="AL2" s="4">
        <f>IF(公司购买果品对账单!$F$2="",0,N(公司购买果品对账单!$F$2))</f>
        <v>0</v>
      </c>
    </row>
    <row r="3" ht="33" customHeight="1" s="127">
      <c r="A3" s="4" t="inlineStr">
        <is>
          <t>往来单位</t>
        </is>
      </c>
      <c r="B3" s="4" t="inlineStr">
        <is>
          <t>首次</t>
        </is>
      </c>
      <c r="C3" s="4" t="inlineStr">
        <is>
          <t>累计</t>
        </is>
      </c>
      <c r="E3" s="4" t="inlineStr">
        <is>
          <t>往来单位(紧凑)</t>
        </is>
      </c>
      <c r="G3" s="4" t="n"/>
      <c r="K3" s="2">
        <f>IF(筐子对账单!$H$2="",99999999,N(筐子对账单!$H$2))</f>
        <v>99999999</v>
      </c>
      <c r="L3" s="2">
        <f>IF(自备筐对账单!$H$2="",99999999,N(自备筐对账单!$H$2))</f>
        <v>99999999</v>
      </c>
      <c r="M3" s="2">
        <f>IF(水果对账单!$H$2="",99999999,N(水果对账单!$H$2))</f>
        <v>99999999</v>
      </c>
      <c r="N3" s="2">
        <f>IF(物料与筐子销售对账单!$H$2="",99999999,N(物料与筐子销售对账单!$H$2))</f>
        <v>99999999</v>
      </c>
      <c r="P3" s="4" t="inlineStr">
        <is>
          <t>筐子-发出</t>
        </is>
      </c>
      <c r="Q3" s="4" t="inlineStr">
        <is>
          <t>累计</t>
        </is>
      </c>
      <c r="R3" s="4" t="inlineStr">
        <is>
          <t>筐子-退回</t>
        </is>
      </c>
      <c r="S3" s="4" t="inlineStr">
        <is>
          <t>累计</t>
        </is>
      </c>
      <c r="T3" s="4" t="inlineStr">
        <is>
          <t>筐子-入库</t>
        </is>
      </c>
      <c r="U3" s="4" t="inlineStr">
        <is>
          <t>累计</t>
        </is>
      </c>
      <c r="V3" s="4" t="inlineStr">
        <is>
          <t>自备筐-入库</t>
        </is>
      </c>
      <c r="W3" s="4" t="inlineStr">
        <is>
          <t>累计</t>
        </is>
      </c>
      <c r="X3" s="4" t="inlineStr">
        <is>
          <t>自备筐-出库</t>
        </is>
      </c>
      <c r="Y3" s="4" t="inlineStr">
        <is>
          <t>累计</t>
        </is>
      </c>
      <c r="Z3" s="4" t="inlineStr">
        <is>
          <t>水果-原料入库</t>
        </is>
      </c>
      <c r="AA3" s="4" t="inlineStr">
        <is>
          <t>累计</t>
        </is>
      </c>
      <c r="AB3" s="4" t="inlineStr">
        <is>
          <t>水果-原料出库</t>
        </is>
      </c>
      <c r="AC3" s="4" t="inlineStr">
        <is>
          <t>累计</t>
        </is>
      </c>
      <c r="AD3" s="4" t="inlineStr">
        <is>
          <t>水果-成品出库</t>
        </is>
      </c>
      <c r="AE3" s="4" t="inlineStr">
        <is>
          <t>累计</t>
        </is>
      </c>
      <c r="AF3" s="4" t="inlineStr">
        <is>
          <t>物料销售</t>
        </is>
      </c>
      <c r="AG3" s="4" t="inlineStr">
        <is>
          <t>累计</t>
        </is>
      </c>
      <c r="AH3" s="4" t="inlineStr">
        <is>
          <t>周转筐销售</t>
        </is>
      </c>
      <c r="AI3" s="4" t="inlineStr">
        <is>
          <t>累计</t>
        </is>
      </c>
      <c r="AJ3" s="4" t="inlineStr">
        <is>
          <t>（已弃用）</t>
        </is>
      </c>
      <c r="AK3" s="4" t="inlineStr">
        <is>
          <t>（已弃用）</t>
        </is>
      </c>
      <c r="AL3" s="4">
        <f>IF(公司购买果品对账单!$H$2="",99999999,N(公司购买果品对账单!$H$2))</f>
        <v>99999999</v>
      </c>
      <c r="AM3" s="4" t="inlineStr">
        <is>
          <t>累计</t>
        </is>
      </c>
      <c r="AN3" s="4" t="inlineStr">
        <is>
          <t>购买方</t>
        </is>
      </c>
      <c r="AO3" s="4" t="inlineStr">
        <is>
          <t>首次</t>
        </is>
      </c>
      <c r="AP3" s="4" t="inlineStr">
        <is>
          <t>累计</t>
        </is>
      </c>
      <c r="AQ3" s="4" t="inlineStr">
        <is>
          <t>购买方(紧凑)</t>
        </is>
      </c>
      <c r="AR3" s="6" t="inlineStr">
        <is>
          <t>物料+筐子销售</t>
        </is>
      </c>
      <c r="AS3" s="6" t="inlineStr">
        <is>
          <t>累计</t>
        </is>
      </c>
    </row>
    <row r="4" ht="14.25" customHeight="1" s="127">
      <c r="A4" t="str">
        <f>IF(对接源_01水果!$C4="","",对接源_01水果!$C4)</f>
        <v>聂新平</v>
      </c>
      <c r="B4">
        <f>IF(A4="",0,IF(MATCH(A4,$A$4:$A$2403,0)=ROW()-3,1,0))</f>
        <v>1</v>
      </c>
      <c r="C4">
        <f>N(C3)+B4</f>
        <v>1</v>
      </c>
      <c r="E4" t="str">
        <f>IFERROR(INDEX($A$4:$A$2403,MATCH(ROW()-3,$C$4:$C$2403,0)),"")</f>
        <v>聂新平</v>
      </c>
      <c r="K4">
        <f>IF(OR($K$1="",对接源_01水果!$C4="",对接源_01水果!$C4&lt;&gt;$K$1,对接源_01水果!$B4=""),0,IF(OR(N(对接源_01水果!$B4)&lt;$K$2,N(对接源_01水果!$B4)&gt;$K$3),0,1))</f>
        <v>0</v>
      </c>
      <c r="L4">
        <f>IF(OR($L$1="",对接源_01水果!$C4="",对接源_01水果!$C4&lt;&gt;$L$1,对接源_01水果!$B4=""),0,IF(OR(N(对接源_01水果!$B4)&lt;$L$2,N(对接源_01水果!$B4)&gt;$L$3),0,1))</f>
        <v>0</v>
      </c>
      <c r="M4">
        <f>IF(OR($M$1="",对接源_01水果!$C4="",对接源_01水果!$C4&lt;&gt;$M$1,对接源_01水果!$B4=""),0,IF(OR(N(对接源_01水果!$B4)&lt;$M$2,N(对接源_01水果!$B4)&gt;$M$3),0,1))</f>
        <v>0</v>
      </c>
      <c r="N4">
        <f>IF(OR($N$1="",对接源_01水果!$C4="",对接源_01水果!$C4&lt;&gt;$N$1,对接源_01水果!$B4=""),0,IF(OR(N(对接源_01水果!$B4)&lt;$N$2,N(对接源_01水果!$B4)&gt;$N$3),0,1))</f>
        <v>0</v>
      </c>
      <c r="P4">
        <f>IF(AND($K4=1,AND(对接源_01水果!$X4="公司筐",N(对接源_01水果!$T4)&lt;&gt;0)),1,0)</f>
        <v>0</v>
      </c>
      <c r="Q4">
        <f>N(Q3)+$P4</f>
        <v>0</v>
      </c>
      <c r="R4">
        <f>IF(AND($K4=1,AND(对接源_01水果!$X4="公司筐",N(对接源_01水果!$U4)&lt;&gt;0)),1,0)</f>
        <v>0</v>
      </c>
      <c r="S4">
        <f>N(S3)+$R4</f>
        <v>0</v>
      </c>
      <c r="T4">
        <f>IF(AND($K4=1,AND(对接源_01水果!$X4="公司筐",N(对接源_01水果!$V4)&lt;&gt;0)),1,0)</f>
        <v>0</v>
      </c>
      <c r="U4">
        <f>N(U3)+$T4</f>
        <v>0</v>
      </c>
      <c r="V4">
        <f>IF(AND($L4=1,AND(对接源_01水果!$X4="自备筐",N(对接源_01水果!$V4)&lt;&gt;0)),1,0)</f>
        <v>0</v>
      </c>
      <c r="W4">
        <f>N(W3)+$V4</f>
        <v>0</v>
      </c>
      <c r="X4">
        <f>IF(AND($L4=1,AND(对接源_01水果!$X4="自备筐",N(对接源_01水果!$T4)&lt;&gt;0)),1,0)</f>
        <v>0</v>
      </c>
      <c r="Y4">
        <f>N(Y3)+$X4</f>
        <v>0</v>
      </c>
      <c r="Z4">
        <f>IF(AND($M4=1,对接源_01水果!$D4="原料入库"),1,0)</f>
        <v>0</v>
      </c>
      <c r="AA4">
        <f>N(AA3)+$Z4</f>
        <v>0</v>
      </c>
      <c r="AB4">
        <f>IF(AND($M4=1,LEFT(对接源_01水果!$D4,4)="原料出库"),1,0)</f>
        <v>0</v>
      </c>
      <c r="AC4">
        <f>N(AC3)+$AB4</f>
        <v>0</v>
      </c>
      <c r="AD4">
        <f>IF(AND($M4=1,LEFT(对接源_01水果!$D4,4)="成品出库"),1,0)</f>
        <v>0</v>
      </c>
      <c r="AE4">
        <f>N(AE3)+$AD4</f>
        <v>0</v>
      </c>
      <c r="AF4">
        <f>IF(AND($N4=1,AND(LEFT(对接源_01水果!$D4,4)="包装物料",N(对接源_01水果!$K4)&lt;&gt;0)),1,0)</f>
        <v>0</v>
      </c>
      <c r="AG4">
        <f>N(AG3)+$AF4</f>
        <v>0</v>
      </c>
      <c r="AH4">
        <f>IF(AND($N4=1,AND(对接源_01水果!$D4="周转筐－销售出库",N(对接源_01水果!$K4)&lt;&gt;0)),1,0)</f>
        <v>0</v>
      </c>
      <c r="AI4">
        <f>N(AI3)+$AH4</f>
        <v>0</v>
      </c>
      <c r="AJ4" s="7" t="n"/>
      <c r="AL4">
        <f>IF(OR($AL$1="",对接源_01水果!$Y4="",对接源_01水果!$Y4&lt;&gt;$AL$1,对接源_01水果!$B4="",N(对接源_01水果!$AJ4)&lt;=0),0,IF(OR(N(对接源_01水果!$B4)&lt;$AL$2,N(对接源_01水果!$B4)&gt;$AL$3),0,1))</f>
        <v>0</v>
      </c>
      <c r="AM4">
        <f>N(AM3)+$AL4</f>
        <v>0</v>
      </c>
      <c r="AN4">
        <f>IF(对接源_01水果!$AC4="","",对接源_01水果!$AC4)</f>
      </c>
      <c r="AO4">
        <f>IF(AN4="",0,IF(MATCH(AN4,$AN$4:$AN$1203,0)=ROW()-3,1,0))</f>
        <v>0</v>
      </c>
      <c r="AP4">
        <f>N(AP3)+$AO4</f>
        <v>0</v>
      </c>
      <c r="AQ4" t="str">
        <f>IFERROR(INDEX($AN$4:$AN$1203,MATCH(ROW()-3,$AP$4:$AP$1203,0)),"")</f>
        <v>电商/主播</v>
      </c>
      <c r="AR4">
        <f>IF(OR($AF4=1,$AH4=1),1,0)</f>
        <v>0</v>
      </c>
      <c r="AS4">
        <f>N(AS3)+$AR4</f>
        <v>0</v>
      </c>
    </row>
    <row r="5" ht="14.25" customHeight="1" s="127">
      <c r="A5" t="str">
        <f>IF(对接源_01水果!$C5="","",对接源_01水果!$C5)</f>
        <v>聂新平</v>
      </c>
      <c r="B5">
        <f>IF(A5="",0,IF(MATCH(A5,$A$4:$A$2403,0)=ROW()-3,1,0))</f>
        <v>0</v>
      </c>
      <c r="C5">
        <f>N(C4)+B5</f>
        <v>1</v>
      </c>
      <c r="E5" t="str">
        <f>IFERROR(INDEX($A$4:$A$2403,MATCH(ROW()-3,$C$4:$C$2403,0)),"")</f>
        <v>王照雪</v>
      </c>
      <c r="K5">
        <f>IF(OR($K$1="",对接源_01水果!$C5="",对接源_01水果!$C5&lt;&gt;$K$1,对接源_01水果!$B5=""),0,IF(OR(N(对接源_01水果!$B5)&lt;$K$2,N(对接源_01水果!$B5)&gt;$K$3),0,1))</f>
        <v>0</v>
      </c>
      <c r="L5">
        <f>IF(OR($L$1="",对接源_01水果!$C5="",对接源_01水果!$C5&lt;&gt;$L$1,对接源_01水果!$B5=""),0,IF(OR(N(对接源_01水果!$B5)&lt;$L$2,N(对接源_01水果!$B5)&gt;$L$3),0,1))</f>
        <v>0</v>
      </c>
      <c r="M5">
        <f>IF(OR($M$1="",对接源_01水果!$C5="",对接源_01水果!$C5&lt;&gt;$M$1,对接源_01水果!$B5=""),0,IF(OR(N(对接源_01水果!$B5)&lt;$M$2,N(对接源_01水果!$B5)&gt;$M$3),0,1))</f>
        <v>0</v>
      </c>
      <c r="N5">
        <f>IF(OR($N$1="",对接源_01水果!$C5="",对接源_01水果!$C5&lt;&gt;$N$1,对接源_01水果!$B5=""),0,IF(OR(N(对接源_01水果!$B5)&lt;$N$2,N(对接源_01水果!$B5)&gt;$N$3),0,1))</f>
        <v>0</v>
      </c>
      <c r="P5">
        <f>IF(AND($K5=1,AND(对接源_01水果!$X5="公司筐",N(对接源_01水果!$T5)&lt;&gt;0)),1,0)</f>
        <v>0</v>
      </c>
      <c r="Q5">
        <f>N(Q4)+$P5</f>
        <v>0</v>
      </c>
      <c r="R5">
        <f>IF(AND($K5=1,AND(对接源_01水果!$X5="公司筐",N(对接源_01水果!$U5)&lt;&gt;0)),1,0)</f>
        <v>0</v>
      </c>
      <c r="S5">
        <f>N(S4)+$R5</f>
        <v>0</v>
      </c>
      <c r="T5">
        <f>IF(AND($K5=1,AND(对接源_01水果!$X5="公司筐",N(对接源_01水果!$V5)&lt;&gt;0)),1,0)</f>
        <v>0</v>
      </c>
      <c r="U5">
        <f>N(U4)+$T5</f>
        <v>0</v>
      </c>
      <c r="V5">
        <f>IF(AND($L5=1,AND(对接源_01水果!$X5="自备筐",N(对接源_01水果!$V5)&lt;&gt;0)),1,0)</f>
        <v>0</v>
      </c>
      <c r="W5">
        <f>N(W4)+$V5</f>
        <v>0</v>
      </c>
      <c r="X5">
        <f>IF(AND($L5=1,AND(对接源_01水果!$X5="自备筐",N(对接源_01水果!$T5)&lt;&gt;0)),1,0)</f>
        <v>0</v>
      </c>
      <c r="Y5">
        <f>N(Y4)+$X5</f>
        <v>0</v>
      </c>
      <c r="Z5">
        <f>IF(AND($M5=1,对接源_01水果!$D5="原料入库"),1,0)</f>
        <v>0</v>
      </c>
      <c r="AA5">
        <f>N(AA4)+$Z5</f>
        <v>0</v>
      </c>
      <c r="AB5">
        <f>IF(AND($M5=1,LEFT(对接源_01水果!$D5,4)="原料出库"),1,0)</f>
        <v>0</v>
      </c>
      <c r="AC5">
        <f>N(AC4)+$AB5</f>
        <v>0</v>
      </c>
      <c r="AD5">
        <f>IF(AND($M5=1,LEFT(对接源_01水果!$D5,4)="成品出库"),1,0)</f>
        <v>0</v>
      </c>
      <c r="AE5">
        <f>N(AE4)+$AD5</f>
        <v>0</v>
      </c>
      <c r="AF5">
        <f>IF(AND($N5=1,AND(LEFT(对接源_01水果!$D5,4)="包装物料",N(对接源_01水果!$K5)&lt;&gt;0)),1,0)</f>
        <v>0</v>
      </c>
      <c r="AG5">
        <f>N(AG4)+$AF5</f>
        <v>0</v>
      </c>
      <c r="AH5">
        <f>IF(AND($N5=1,AND(对接源_01水果!$D5="周转筐－销售出库",N(对接源_01水果!$K5)&lt;&gt;0)),1,0)</f>
        <v>0</v>
      </c>
      <c r="AI5">
        <f>N(AI4)+$AH5</f>
        <v>0</v>
      </c>
      <c r="AJ5" s="7" t="n"/>
      <c r="AL5">
        <f>IF(OR($AL$1="",对接源_01水果!$Y5="",对接源_01水果!$Y5&lt;&gt;$AL$1,对接源_01水果!$B5="",N(对接源_01水果!$AJ5)&lt;=0),0,IF(OR(N(对接源_01水果!$B5)&lt;$AL$2,N(对接源_01水果!$B5)&gt;$AL$3),0,1))</f>
        <v>0</v>
      </c>
      <c r="AM5">
        <f>N(AM4)+$AL5</f>
        <v>0</v>
      </c>
      <c r="AN5">
        <f>IF(对接源_01水果!$AC5="","",对接源_01水果!$AC5)</f>
      </c>
      <c r="AO5">
        <f>IF(AN5="",0,IF(MATCH(AN5,$AN$4:$AN$1203,0)=ROW()-3,1,0))</f>
        <v>0</v>
      </c>
      <c r="AP5">
        <f>N(AP4)+$AO5</f>
        <v>0</v>
      </c>
      <c r="AQ5" t="str">
        <f>IFERROR(INDEX($AN$4:$AN$1203,MATCH(ROW()-3,$AP$4:$AP$1203,0)),"")</f>
        <v>王照雪</v>
      </c>
      <c r="AR5">
        <f>IF(OR($AF5=1,$AH5=1),1,0)</f>
        <v>0</v>
      </c>
      <c r="AS5">
        <f>N(AS4)+$AR5</f>
        <v>0</v>
      </c>
    </row>
    <row r="6" ht="14.25" customHeight="1" s="127">
      <c r="A6" t="str">
        <f>IF(对接源_01水果!$C6="","",对接源_01水果!$C6)</f>
        <v>聂新平</v>
      </c>
      <c r="B6">
        <f>IF(A6="",0,IF(MATCH(A6,$A$4:$A$2403,0)=ROW()-3,1,0))</f>
        <v>0</v>
      </c>
      <c r="C6">
        <f>N(C5)+B6</f>
        <v>1</v>
      </c>
      <c r="E6" t="str">
        <f>IFERROR(INDEX($A$4:$A$2403,MATCH(ROW()-3,$C$4:$C$2403,0)),"")</f>
        <v>伍元虎</v>
      </c>
      <c r="K6">
        <f>IF(OR($K$1="",对接源_01水果!$C6="",对接源_01水果!$C6&lt;&gt;$K$1,对接源_01水果!$B6=""),0,IF(OR(N(对接源_01水果!$B6)&lt;$K$2,N(对接源_01水果!$B6)&gt;$K$3),0,1))</f>
        <v>0</v>
      </c>
      <c r="L6">
        <f>IF(OR($L$1="",对接源_01水果!$C6="",对接源_01水果!$C6&lt;&gt;$L$1,对接源_01水果!$B6=""),0,IF(OR(N(对接源_01水果!$B6)&lt;$L$2,N(对接源_01水果!$B6)&gt;$L$3),0,1))</f>
        <v>0</v>
      </c>
      <c r="M6">
        <f>IF(OR($M$1="",对接源_01水果!$C6="",对接源_01水果!$C6&lt;&gt;$M$1,对接源_01水果!$B6=""),0,IF(OR(N(对接源_01水果!$B6)&lt;$M$2,N(对接源_01水果!$B6)&gt;$M$3),0,1))</f>
        <v>0</v>
      </c>
      <c r="N6">
        <f>IF(OR($N$1="",对接源_01水果!$C6="",对接源_01水果!$C6&lt;&gt;$N$1,对接源_01水果!$B6=""),0,IF(OR(N(对接源_01水果!$B6)&lt;$N$2,N(对接源_01水果!$B6)&gt;$N$3),0,1))</f>
        <v>0</v>
      </c>
      <c r="P6">
        <f>IF(AND($K6=1,AND(对接源_01水果!$X6="公司筐",N(对接源_01水果!$T6)&lt;&gt;0)),1,0)</f>
        <v>0</v>
      </c>
      <c r="Q6">
        <f>N(Q5)+$P6</f>
        <v>0</v>
      </c>
      <c r="R6">
        <f>IF(AND($K6=1,AND(对接源_01水果!$X6="公司筐",N(对接源_01水果!$U6)&lt;&gt;0)),1,0)</f>
        <v>0</v>
      </c>
      <c r="S6">
        <f>N(S5)+$R6</f>
        <v>0</v>
      </c>
      <c r="T6">
        <f>IF(AND($K6=1,AND(对接源_01水果!$X6="公司筐",N(对接源_01水果!$V6)&lt;&gt;0)),1,0)</f>
        <v>0</v>
      </c>
      <c r="U6">
        <f>N(U5)+$T6</f>
        <v>0</v>
      </c>
      <c r="V6">
        <f>IF(AND($L6=1,AND(对接源_01水果!$X6="自备筐",N(对接源_01水果!$V6)&lt;&gt;0)),1,0)</f>
        <v>0</v>
      </c>
      <c r="W6">
        <f>N(W5)+$V6</f>
        <v>0</v>
      </c>
      <c r="X6">
        <f>IF(AND($L6=1,AND(对接源_01水果!$X6="自备筐",N(对接源_01水果!$T6)&lt;&gt;0)),1,0)</f>
        <v>0</v>
      </c>
      <c r="Y6">
        <f>N(Y5)+$X6</f>
        <v>0</v>
      </c>
      <c r="Z6">
        <f>IF(AND($M6=1,对接源_01水果!$D6="原料入库"),1,0)</f>
        <v>0</v>
      </c>
      <c r="AA6">
        <f>N(AA5)+$Z6</f>
        <v>0</v>
      </c>
      <c r="AB6">
        <f>IF(AND($M6=1,LEFT(对接源_01水果!$D6,4)="原料出库"),1,0)</f>
        <v>0</v>
      </c>
      <c r="AC6">
        <f>N(AC5)+$AB6</f>
        <v>0</v>
      </c>
      <c r="AD6">
        <f>IF(AND($M6=1,LEFT(对接源_01水果!$D6,4)="成品出库"),1,0)</f>
        <v>0</v>
      </c>
      <c r="AE6">
        <f>N(AE5)+$AD6</f>
        <v>0</v>
      </c>
      <c r="AF6">
        <f>IF(AND($N6=1,AND(LEFT(对接源_01水果!$D6,4)="包装物料",N(对接源_01水果!$K6)&lt;&gt;0)),1,0)</f>
        <v>0</v>
      </c>
      <c r="AG6">
        <f>N(AG5)+$AF6</f>
        <v>0</v>
      </c>
      <c r="AH6">
        <f>IF(AND($N6=1,AND(对接源_01水果!$D6="周转筐－销售出库",N(对接源_01水果!$K6)&lt;&gt;0)),1,0)</f>
        <v>0</v>
      </c>
      <c r="AI6">
        <f>N(AI5)+$AH6</f>
        <v>0</v>
      </c>
      <c r="AJ6" s="7" t="n"/>
      <c r="AL6">
        <f>IF(OR($AL$1="",对接源_01水果!$Y6="",对接源_01水果!$Y6&lt;&gt;$AL$1,对接源_01水果!$B6="",N(对接源_01水果!$AJ6)&lt;=0),0,IF(OR(N(对接源_01水果!$B6)&lt;$AL$2,N(对接源_01水果!$B6)&gt;$AL$3),0,1))</f>
        <v>0</v>
      </c>
      <c r="AM6">
        <f>N(AM5)+$AL6</f>
        <v>0</v>
      </c>
      <c r="AN6">
        <f>IF(对接源_01水果!$AC6="","",对接源_01水果!$AC6)</f>
      </c>
      <c r="AO6">
        <f>IF(AN6="",0,IF(MATCH(AN6,$AN$4:$AN$1203,0)=ROW()-3,1,0))</f>
        <v>0</v>
      </c>
      <c r="AP6">
        <f>N(AP5)+$AO6</f>
        <v>0</v>
      </c>
      <c r="AQ6" t="str">
        <f>IFERROR(INDEX($AN$4:$AN$1203,MATCH(ROW()-3,$AP$4:$AP$1203,0)),"")</f>
        <v>伍元虎</v>
      </c>
      <c r="AR6">
        <f>IF(OR($AF6=1,$AH6=1),1,0)</f>
        <v>0</v>
      </c>
      <c r="AS6">
        <f>N(AS5)+$AR6</f>
        <v>0</v>
      </c>
    </row>
    <row r="7" ht="14.25" customHeight="1" s="127">
      <c r="A7" t="str">
        <f>IF(对接源_01水果!$C7="","",对接源_01水果!$C7)</f>
        <v>聂新平</v>
      </c>
      <c r="B7">
        <f>IF(A7="",0,IF(MATCH(A7,$A$4:$A$2403,0)=ROW()-3,1,0))</f>
        <v>0</v>
      </c>
      <c r="C7">
        <f>N(C6)+B7</f>
        <v>1</v>
      </c>
      <c r="E7" t="str">
        <f>IFERROR(INDEX($A$4:$A$2403,MATCH(ROW()-3,$C$4:$C$2403,0)),"")</f>
        <v>马锦祥</v>
      </c>
      <c r="K7">
        <f>IF(OR($K$1="",对接源_01水果!$C7="",对接源_01水果!$C7&lt;&gt;$K$1,对接源_01水果!$B7=""),0,IF(OR(N(对接源_01水果!$B7)&lt;$K$2,N(对接源_01水果!$B7)&gt;$K$3),0,1))</f>
        <v>0</v>
      </c>
      <c r="L7">
        <f>IF(OR($L$1="",对接源_01水果!$C7="",对接源_01水果!$C7&lt;&gt;$L$1,对接源_01水果!$B7=""),0,IF(OR(N(对接源_01水果!$B7)&lt;$L$2,N(对接源_01水果!$B7)&gt;$L$3),0,1))</f>
        <v>0</v>
      </c>
      <c r="M7">
        <f>IF(OR($M$1="",对接源_01水果!$C7="",对接源_01水果!$C7&lt;&gt;$M$1,对接源_01水果!$B7=""),0,IF(OR(N(对接源_01水果!$B7)&lt;$M$2,N(对接源_01水果!$B7)&gt;$M$3),0,1))</f>
        <v>0</v>
      </c>
      <c r="N7">
        <f>IF(OR($N$1="",对接源_01水果!$C7="",对接源_01水果!$C7&lt;&gt;$N$1,对接源_01水果!$B7=""),0,IF(OR(N(对接源_01水果!$B7)&lt;$N$2,N(对接源_01水果!$B7)&gt;$N$3),0,1))</f>
        <v>0</v>
      </c>
      <c r="P7">
        <f>IF(AND($K7=1,AND(对接源_01水果!$X7="公司筐",N(对接源_01水果!$T7)&lt;&gt;0)),1,0)</f>
        <v>0</v>
      </c>
      <c r="Q7">
        <f>N(Q6)+$P7</f>
        <v>0</v>
      </c>
      <c r="R7">
        <f>IF(AND($K7=1,AND(对接源_01水果!$X7="公司筐",N(对接源_01水果!$U7)&lt;&gt;0)),1,0)</f>
        <v>0</v>
      </c>
      <c r="S7">
        <f>N(S6)+$R7</f>
        <v>0</v>
      </c>
      <c r="T7">
        <f>IF(AND($K7=1,AND(对接源_01水果!$X7="公司筐",N(对接源_01水果!$V7)&lt;&gt;0)),1,0)</f>
        <v>0</v>
      </c>
      <c r="U7">
        <f>N(U6)+$T7</f>
        <v>0</v>
      </c>
      <c r="V7">
        <f>IF(AND($L7=1,AND(对接源_01水果!$X7="自备筐",N(对接源_01水果!$V7)&lt;&gt;0)),1,0)</f>
        <v>0</v>
      </c>
      <c r="W7">
        <f>N(W6)+$V7</f>
        <v>0</v>
      </c>
      <c r="X7">
        <f>IF(AND($L7=1,AND(对接源_01水果!$X7="自备筐",N(对接源_01水果!$T7)&lt;&gt;0)),1,0)</f>
        <v>0</v>
      </c>
      <c r="Y7">
        <f>N(Y6)+$X7</f>
        <v>0</v>
      </c>
      <c r="Z7">
        <f>IF(AND($M7=1,对接源_01水果!$D7="原料入库"),1,0)</f>
        <v>0</v>
      </c>
      <c r="AA7">
        <f>N(AA6)+$Z7</f>
        <v>0</v>
      </c>
      <c r="AB7">
        <f>IF(AND($M7=1,LEFT(对接源_01水果!$D7,4)="原料出库"),1,0)</f>
        <v>0</v>
      </c>
      <c r="AC7">
        <f>N(AC6)+$AB7</f>
        <v>0</v>
      </c>
      <c r="AD7">
        <f>IF(AND($M7=1,LEFT(对接源_01水果!$D7,4)="成品出库"),1,0)</f>
        <v>0</v>
      </c>
      <c r="AE7">
        <f>N(AE6)+$AD7</f>
        <v>0</v>
      </c>
      <c r="AF7">
        <f>IF(AND($N7=1,AND(LEFT(对接源_01水果!$D7,4)="包装物料",N(对接源_01水果!$K7)&lt;&gt;0)),1,0)</f>
        <v>0</v>
      </c>
      <c r="AG7">
        <f>N(AG6)+$AF7</f>
        <v>0</v>
      </c>
      <c r="AH7">
        <f>IF(AND($N7=1,AND(对接源_01水果!$D7="周转筐－销售出库",N(对接源_01水果!$K7)&lt;&gt;0)),1,0)</f>
        <v>0</v>
      </c>
      <c r="AI7">
        <f>N(AI6)+$AH7</f>
        <v>0</v>
      </c>
      <c r="AJ7" s="7" t="n"/>
      <c r="AL7">
        <f>IF(OR($AL$1="",对接源_01水果!$Y7="",对接源_01水果!$Y7&lt;&gt;$AL$1,对接源_01水果!$B7="",N(对接源_01水果!$AJ7)&lt;=0),0,IF(OR(N(对接源_01水果!$B7)&lt;$AL$2,N(对接源_01水果!$B7)&gt;$AL$3),0,1))</f>
        <v>0</v>
      </c>
      <c r="AM7">
        <f>N(AM6)+$AL7</f>
        <v>0</v>
      </c>
      <c r="AN7">
        <f>IF(对接源_01水果!$AC7="","",对接源_01水果!$AC7)</f>
      </c>
      <c r="AO7">
        <f>IF(AN7="",0,IF(MATCH(AN7,$AN$4:$AN$1203,0)=ROW()-3,1,0))</f>
        <v>0</v>
      </c>
      <c r="AP7">
        <f>N(AP6)+$AO7</f>
        <v>0</v>
      </c>
      <c r="AQ7" t="str">
        <f>IFERROR(INDEX($AN$4:$AN$1203,MATCH(ROW()-3,$AP$4:$AP$1203,0)),"")</f>
        <v>聂新平</v>
      </c>
      <c r="AR7">
        <f>IF(OR($AF7=1,$AH7=1),1,0)</f>
        <v>0</v>
      </c>
      <c r="AS7">
        <f>N(AS6)+$AR7</f>
        <v>0</v>
      </c>
    </row>
    <row r="8" ht="14.25" customHeight="1" s="127">
      <c r="A8" t="str">
        <f>IF(对接源_01水果!$C8="","",对接源_01水果!$C8)</f>
        <v>聂新平</v>
      </c>
      <c r="B8">
        <f>IF(A8="",0,IF(MATCH(A8,$A$4:$A$2403,0)=ROW()-3,1,0))</f>
        <v>0</v>
      </c>
      <c r="C8">
        <f>N(C7)+B8</f>
        <v>1</v>
      </c>
      <c r="E8" t="str">
        <f>IFERROR(INDEX($A$4:$A$2403,MATCH(ROW()-3,$C$4:$C$2403,0)),"")</f>
        <v>麦麦提</v>
      </c>
      <c r="K8">
        <f>IF(OR($K$1="",对接源_01水果!$C8="",对接源_01水果!$C8&lt;&gt;$K$1,对接源_01水果!$B8=""),0,IF(OR(N(对接源_01水果!$B8)&lt;$K$2,N(对接源_01水果!$B8)&gt;$K$3),0,1))</f>
        <v>0</v>
      </c>
      <c r="L8">
        <f>IF(OR($L$1="",对接源_01水果!$C8="",对接源_01水果!$C8&lt;&gt;$L$1,对接源_01水果!$B8=""),0,IF(OR(N(对接源_01水果!$B8)&lt;$L$2,N(对接源_01水果!$B8)&gt;$L$3),0,1))</f>
        <v>0</v>
      </c>
      <c r="M8">
        <f>IF(OR($M$1="",对接源_01水果!$C8="",对接源_01水果!$C8&lt;&gt;$M$1,对接源_01水果!$B8=""),0,IF(OR(N(对接源_01水果!$B8)&lt;$M$2,N(对接源_01水果!$B8)&gt;$M$3),0,1))</f>
        <v>0</v>
      </c>
      <c r="N8">
        <f>IF(OR($N$1="",对接源_01水果!$C8="",对接源_01水果!$C8&lt;&gt;$N$1,对接源_01水果!$B8=""),0,IF(OR(N(对接源_01水果!$B8)&lt;$N$2,N(对接源_01水果!$B8)&gt;$N$3),0,1))</f>
        <v>0</v>
      </c>
      <c r="P8">
        <f>IF(AND($K8=1,AND(对接源_01水果!$X8="公司筐",N(对接源_01水果!$T8)&lt;&gt;0)),1,0)</f>
        <v>0</v>
      </c>
      <c r="Q8">
        <f>N(Q7)+$P8</f>
        <v>0</v>
      </c>
      <c r="R8">
        <f>IF(AND($K8=1,AND(对接源_01水果!$X8="公司筐",N(对接源_01水果!$U8)&lt;&gt;0)),1,0)</f>
        <v>0</v>
      </c>
      <c r="S8">
        <f>N(S7)+$R8</f>
        <v>0</v>
      </c>
      <c r="T8">
        <f>IF(AND($K8=1,AND(对接源_01水果!$X8="公司筐",N(对接源_01水果!$V8)&lt;&gt;0)),1,0)</f>
        <v>0</v>
      </c>
      <c r="U8">
        <f>N(U7)+$T8</f>
        <v>0</v>
      </c>
      <c r="V8">
        <f>IF(AND($L8=1,AND(对接源_01水果!$X8="自备筐",N(对接源_01水果!$V8)&lt;&gt;0)),1,0)</f>
        <v>0</v>
      </c>
      <c r="W8">
        <f>N(W7)+$V8</f>
        <v>0</v>
      </c>
      <c r="X8">
        <f>IF(AND($L8=1,AND(对接源_01水果!$X8="自备筐",N(对接源_01水果!$T8)&lt;&gt;0)),1,0)</f>
        <v>0</v>
      </c>
      <c r="Y8">
        <f>N(Y7)+$X8</f>
        <v>0</v>
      </c>
      <c r="Z8">
        <f>IF(AND($M8=1,对接源_01水果!$D8="原料入库"),1,0)</f>
        <v>0</v>
      </c>
      <c r="AA8">
        <f>N(AA7)+$Z8</f>
        <v>0</v>
      </c>
      <c r="AB8">
        <f>IF(AND($M8=1,LEFT(对接源_01水果!$D8,4)="原料出库"),1,0)</f>
        <v>0</v>
      </c>
      <c r="AC8">
        <f>N(AC7)+$AB8</f>
        <v>0</v>
      </c>
      <c r="AD8">
        <f>IF(AND($M8=1,LEFT(对接源_01水果!$D8,4)="成品出库"),1,0)</f>
        <v>0</v>
      </c>
      <c r="AE8">
        <f>N(AE7)+$AD8</f>
        <v>0</v>
      </c>
      <c r="AF8">
        <f>IF(AND($N8=1,AND(LEFT(对接源_01水果!$D8,4)="包装物料",N(对接源_01水果!$K8)&lt;&gt;0)),1,0)</f>
        <v>0</v>
      </c>
      <c r="AG8">
        <f>N(AG7)+$AF8</f>
        <v>0</v>
      </c>
      <c r="AH8">
        <f>IF(AND($N8=1,AND(对接源_01水果!$D8="周转筐－销售出库",N(对接源_01水果!$K8)&lt;&gt;0)),1,0)</f>
        <v>0</v>
      </c>
      <c r="AI8">
        <f>N(AI7)+$AH8</f>
        <v>0</v>
      </c>
      <c r="AJ8" s="7" t="n"/>
      <c r="AL8">
        <f>IF(OR($AL$1="",对接源_01水果!$Y8="",对接源_01水果!$Y8&lt;&gt;$AL$1,对接源_01水果!$B8="",N(对接源_01水果!$AJ8)&lt;=0),0,IF(OR(N(对接源_01水果!$B8)&lt;$AL$2,N(对接源_01水果!$B8)&gt;$AL$3),0,1))</f>
        <v>0</v>
      </c>
      <c r="AM8">
        <f>N(AM7)+$AL8</f>
        <v>0</v>
      </c>
      <c r="AN8">
        <f>IF(对接源_01水果!$AC8="","",对接源_01水果!$AC8)</f>
      </c>
      <c r="AO8">
        <f>IF(AN8="",0,IF(MATCH(AN8,$AN$4:$AN$1203,0)=ROW()-3,1,0))</f>
        <v>0</v>
      </c>
      <c r="AP8">
        <f>N(AP7)+$AO8</f>
        <v>0</v>
      </c>
      <c r="AQ8" t="str">
        <f>IFERROR(INDEX($AN$4:$AN$1203,MATCH(ROW()-3,$AP$4:$AP$1203,0)),"")</f>
        <v>四连书记</v>
      </c>
      <c r="AR8">
        <f>IF(OR($AF8=1,$AH8=1),1,0)</f>
        <v>0</v>
      </c>
      <c r="AS8">
        <f>N(AS7)+$AR8</f>
        <v>0</v>
      </c>
    </row>
    <row r="9" ht="14.25" customHeight="1" s="127">
      <c r="A9" t="str">
        <f>IF(对接源_01水果!$C9="","",对接源_01水果!$C9)</f>
        <v>聂新平</v>
      </c>
      <c r="B9">
        <f>IF(A9="",0,IF(MATCH(A9,$A$4:$A$2403,0)=ROW()-3,1,0))</f>
        <v>0</v>
      </c>
      <c r="C9">
        <f>N(C8)+B9</f>
        <v>1</v>
      </c>
      <c r="E9" t="str">
        <f>IFERROR(INDEX($A$4:$A$2403,MATCH(ROW()-3,$C$4:$C$2403,0)),"")</f>
        <v>吐尔洪</v>
      </c>
      <c r="K9">
        <f>IF(OR($K$1="",对接源_01水果!$C9="",对接源_01水果!$C9&lt;&gt;$K$1,对接源_01水果!$B9=""),0,IF(OR(N(对接源_01水果!$B9)&lt;$K$2,N(对接源_01水果!$B9)&gt;$K$3),0,1))</f>
        <v>0</v>
      </c>
      <c r="L9">
        <f>IF(OR($L$1="",对接源_01水果!$C9="",对接源_01水果!$C9&lt;&gt;$L$1,对接源_01水果!$B9=""),0,IF(OR(N(对接源_01水果!$B9)&lt;$L$2,N(对接源_01水果!$B9)&gt;$L$3),0,1))</f>
        <v>0</v>
      </c>
      <c r="M9">
        <f>IF(OR($M$1="",对接源_01水果!$C9="",对接源_01水果!$C9&lt;&gt;$M$1,对接源_01水果!$B9=""),0,IF(OR(N(对接源_01水果!$B9)&lt;$M$2,N(对接源_01水果!$B9)&gt;$M$3),0,1))</f>
        <v>0</v>
      </c>
      <c r="N9">
        <f>IF(OR($N$1="",对接源_01水果!$C9="",对接源_01水果!$C9&lt;&gt;$N$1,对接源_01水果!$B9=""),0,IF(OR(N(对接源_01水果!$B9)&lt;$N$2,N(对接源_01水果!$B9)&gt;$N$3),0,1))</f>
        <v>0</v>
      </c>
      <c r="P9">
        <f>IF(AND($K9=1,AND(对接源_01水果!$X9="公司筐",N(对接源_01水果!$T9)&lt;&gt;0)),1,0)</f>
        <v>0</v>
      </c>
      <c r="Q9">
        <f>N(Q8)+$P9</f>
        <v>0</v>
      </c>
      <c r="R9">
        <f>IF(AND($K9=1,AND(对接源_01水果!$X9="公司筐",N(对接源_01水果!$U9)&lt;&gt;0)),1,0)</f>
        <v>0</v>
      </c>
      <c r="S9">
        <f>N(S8)+$R9</f>
        <v>0</v>
      </c>
      <c r="T9">
        <f>IF(AND($K9=1,AND(对接源_01水果!$X9="公司筐",N(对接源_01水果!$V9)&lt;&gt;0)),1,0)</f>
        <v>0</v>
      </c>
      <c r="U9">
        <f>N(U8)+$T9</f>
        <v>0</v>
      </c>
      <c r="V9">
        <f>IF(AND($L9=1,AND(对接源_01水果!$X9="自备筐",N(对接源_01水果!$V9)&lt;&gt;0)),1,0)</f>
        <v>0</v>
      </c>
      <c r="W9">
        <f>N(W8)+$V9</f>
        <v>0</v>
      </c>
      <c r="X9">
        <f>IF(AND($L9=1,AND(对接源_01水果!$X9="自备筐",N(对接源_01水果!$T9)&lt;&gt;0)),1,0)</f>
        <v>0</v>
      </c>
      <c r="Y9">
        <f>N(Y8)+$X9</f>
        <v>0</v>
      </c>
      <c r="Z9">
        <f>IF(AND($M9=1,对接源_01水果!$D9="原料入库"),1,0)</f>
        <v>0</v>
      </c>
      <c r="AA9">
        <f>N(AA8)+$Z9</f>
        <v>0</v>
      </c>
      <c r="AB9">
        <f>IF(AND($M9=1,LEFT(对接源_01水果!$D9,4)="原料出库"),1,0)</f>
        <v>0</v>
      </c>
      <c r="AC9">
        <f>N(AC8)+$AB9</f>
        <v>0</v>
      </c>
      <c r="AD9">
        <f>IF(AND($M9=1,LEFT(对接源_01水果!$D9,4)="成品出库"),1,0)</f>
        <v>0</v>
      </c>
      <c r="AE9">
        <f>N(AE8)+$AD9</f>
        <v>0</v>
      </c>
      <c r="AF9">
        <f>IF(AND($N9=1,AND(LEFT(对接源_01水果!$D9,4)="包装物料",N(对接源_01水果!$K9)&lt;&gt;0)),1,0)</f>
        <v>0</v>
      </c>
      <c r="AG9">
        <f>N(AG8)+$AF9</f>
        <v>0</v>
      </c>
      <c r="AH9">
        <f>IF(AND($N9=1,AND(对接源_01水果!$D9="周转筐－销售出库",N(对接源_01水果!$K9)&lt;&gt;0)),1,0)</f>
        <v>0</v>
      </c>
      <c r="AI9">
        <f>N(AI8)+$AH9</f>
        <v>0</v>
      </c>
      <c r="AJ9" s="7" t="n"/>
      <c r="AL9">
        <f>IF(OR($AL$1="",对接源_01水果!$Y9="",对接源_01水果!$Y9&lt;&gt;$AL$1,对接源_01水果!$B9="",N(对接源_01水果!$AJ9)&lt;=0),0,IF(OR(N(对接源_01水果!$B9)&lt;$AL$2,N(对接源_01水果!$B9)&gt;$AL$3),0,1))</f>
        <v>0</v>
      </c>
      <c r="AM9">
        <f>N(AM8)+$AL9</f>
        <v>0</v>
      </c>
      <c r="AN9">
        <f>IF(对接源_01水果!$AC9="","",对接源_01水果!$AC9)</f>
      </c>
      <c r="AO9">
        <f>IF(AN9="",0,IF(MATCH(AN9,$AN$4:$AN$1203,0)=ROW()-3,1,0))</f>
        <v>0</v>
      </c>
      <c r="AP9">
        <f>N(AP8)+$AO9</f>
        <v>0</v>
      </c>
      <c r="AQ9" t="str">
        <f>IFERROR(INDEX($AN$4:$AN$1203,MATCH(ROW()-3,$AP$4:$AP$1203,0)),"")</f>
        <v>王灵云</v>
      </c>
      <c r="AR9">
        <f>IF(OR($AF9=1,$AH9=1),1,0)</f>
        <v>0</v>
      </c>
      <c r="AS9">
        <f>N(AS8)+$AR9</f>
        <v>0</v>
      </c>
    </row>
    <row r="10" ht="14.25" customHeight="1" s="127">
      <c r="A10" t="str">
        <f>IF(对接源_01水果!$C10="","",对接源_01水果!$C10)</f>
        <v>聂新平</v>
      </c>
      <c r="B10">
        <f>IF(A10="",0,IF(MATCH(A10,$A$4:$A$2403,0)=ROW()-3,1,0))</f>
        <v>0</v>
      </c>
      <c r="C10">
        <f>N(C9)+B10</f>
        <v>1</v>
      </c>
      <c r="E10" t="str">
        <f>IFERROR(INDEX($A$4:$A$2403,MATCH(ROW()-3,$C$4:$C$2403,0)),"")</f>
        <v>热合曼</v>
      </c>
      <c r="K10">
        <f>IF(OR($K$1="",对接源_01水果!$C10="",对接源_01水果!$C10&lt;&gt;$K$1,对接源_01水果!$B10=""),0,IF(OR(N(对接源_01水果!$B10)&lt;$K$2,N(对接源_01水果!$B10)&gt;$K$3),0,1))</f>
        <v>0</v>
      </c>
      <c r="L10">
        <f>IF(OR($L$1="",对接源_01水果!$C10="",对接源_01水果!$C10&lt;&gt;$L$1,对接源_01水果!$B10=""),0,IF(OR(N(对接源_01水果!$B10)&lt;$L$2,N(对接源_01水果!$B10)&gt;$L$3),0,1))</f>
        <v>0</v>
      </c>
      <c r="M10">
        <f>IF(OR($M$1="",对接源_01水果!$C10="",对接源_01水果!$C10&lt;&gt;$M$1,对接源_01水果!$B10=""),0,IF(OR(N(对接源_01水果!$B10)&lt;$M$2,N(对接源_01水果!$B10)&gt;$M$3),0,1))</f>
        <v>0</v>
      </c>
      <c r="N10">
        <f>IF(OR($N$1="",对接源_01水果!$C10="",对接源_01水果!$C10&lt;&gt;$N$1,对接源_01水果!$B10=""),0,IF(OR(N(对接源_01水果!$B10)&lt;$N$2,N(对接源_01水果!$B10)&gt;$N$3),0,1))</f>
        <v>0</v>
      </c>
      <c r="P10">
        <f>IF(AND($K10=1,AND(对接源_01水果!$X10="公司筐",N(对接源_01水果!$T10)&lt;&gt;0)),1,0)</f>
        <v>0</v>
      </c>
      <c r="Q10">
        <f>N(Q9)+$P10</f>
        <v>0</v>
      </c>
      <c r="R10">
        <f>IF(AND($K10=1,AND(对接源_01水果!$X10="公司筐",N(对接源_01水果!$U10)&lt;&gt;0)),1,0)</f>
        <v>0</v>
      </c>
      <c r="S10">
        <f>N(S9)+$R10</f>
        <v>0</v>
      </c>
      <c r="T10">
        <f>IF(AND($K10=1,AND(对接源_01水果!$X10="公司筐",N(对接源_01水果!$V10)&lt;&gt;0)),1,0)</f>
        <v>0</v>
      </c>
      <c r="U10">
        <f>N(U9)+$T10</f>
        <v>0</v>
      </c>
      <c r="V10">
        <f>IF(AND($L10=1,AND(对接源_01水果!$X10="自备筐",N(对接源_01水果!$V10)&lt;&gt;0)),1,0)</f>
        <v>0</v>
      </c>
      <c r="W10">
        <f>N(W9)+$V10</f>
        <v>0</v>
      </c>
      <c r="X10">
        <f>IF(AND($L10=1,AND(对接源_01水果!$X10="自备筐",N(对接源_01水果!$T10)&lt;&gt;0)),1,0)</f>
        <v>0</v>
      </c>
      <c r="Y10">
        <f>N(Y9)+$X10</f>
        <v>0</v>
      </c>
      <c r="Z10">
        <f>IF(AND($M10=1,对接源_01水果!$D10="原料入库"),1,0)</f>
        <v>0</v>
      </c>
      <c r="AA10">
        <f>N(AA9)+$Z10</f>
        <v>0</v>
      </c>
      <c r="AB10">
        <f>IF(AND($M10=1,LEFT(对接源_01水果!$D10,4)="原料出库"),1,0)</f>
        <v>0</v>
      </c>
      <c r="AC10">
        <f>N(AC9)+$AB10</f>
        <v>0</v>
      </c>
      <c r="AD10">
        <f>IF(AND($M10=1,LEFT(对接源_01水果!$D10,4)="成品出库"),1,0)</f>
        <v>0</v>
      </c>
      <c r="AE10">
        <f>N(AE9)+$AD10</f>
        <v>0</v>
      </c>
      <c r="AF10">
        <f>IF(AND($N10=1,AND(LEFT(对接源_01水果!$D10,4)="包装物料",N(对接源_01水果!$K10)&lt;&gt;0)),1,0)</f>
        <v>0</v>
      </c>
      <c r="AG10">
        <f>N(AG9)+$AF10</f>
        <v>0</v>
      </c>
      <c r="AH10">
        <f>IF(AND($N10=1,AND(对接源_01水果!$D10="周转筐－销售出库",N(对接源_01水果!$K10)&lt;&gt;0)),1,0)</f>
        <v>0</v>
      </c>
      <c r="AI10">
        <f>N(AI9)+$AH10</f>
        <v>0</v>
      </c>
      <c r="AJ10" s="7" t="n"/>
      <c r="AL10">
        <f>IF(OR($AL$1="",对接源_01水果!$Y10="",对接源_01水果!$Y10&lt;&gt;$AL$1,对接源_01水果!$B10="",N(对接源_01水果!$AJ10)&lt;=0),0,IF(OR(N(对接源_01水果!$B10)&lt;$AL$2,N(对接源_01水果!$B10)&gt;$AL$3),0,1))</f>
        <v>0</v>
      </c>
      <c r="AM10">
        <f>N(AM9)+$AL10</f>
        <v>0</v>
      </c>
      <c r="AN10">
        <f>IF(对接源_01水果!$AC10="","",对接源_01水果!$AC10)</f>
      </c>
      <c r="AO10">
        <f>IF(AN10="",0,IF(MATCH(AN10,$AN$4:$AN$1203,0)=ROW()-3,1,0))</f>
        <v>0</v>
      </c>
      <c r="AP10">
        <f>N(AP9)+$AO10</f>
        <v>0</v>
      </c>
      <c r="AQ10" t="str">
        <f>IFERROR(INDEX($AN$4:$AN$1203,MATCH(ROW()-3,$AP$4:$AP$1203,0)),"")</f>
        <v>麦麦提</v>
      </c>
      <c r="AR10">
        <f>IF(OR($AF10=1,$AH10=1),1,0)</f>
        <v>0</v>
      </c>
      <c r="AS10">
        <f>N(AS9)+$AR10</f>
        <v>0</v>
      </c>
    </row>
    <row r="11" ht="14.25" customHeight="1" s="127">
      <c r="A11" t="str">
        <f>IF(对接源_01水果!$C11="","",对接源_01水果!$C11)</f>
        <v>聂新平</v>
      </c>
      <c r="B11">
        <f>IF(A11="",0,IF(MATCH(A11,$A$4:$A$2403,0)=ROW()-3,1,0))</f>
        <v>0</v>
      </c>
      <c r="C11">
        <f>N(C10)+B11</f>
        <v>1</v>
      </c>
      <c r="E11" t="str">
        <f>IFERROR(INDEX($A$4:$A$2403,MATCH(ROW()-3,$C$4:$C$2403,0)),"")</f>
        <v>贾建国</v>
      </c>
      <c r="K11">
        <f>IF(OR($K$1="",对接源_01水果!$C11="",对接源_01水果!$C11&lt;&gt;$K$1,对接源_01水果!$B11=""),0,IF(OR(N(对接源_01水果!$B11)&lt;$K$2,N(对接源_01水果!$B11)&gt;$K$3),0,1))</f>
        <v>0</v>
      </c>
      <c r="L11">
        <f>IF(OR($L$1="",对接源_01水果!$C11="",对接源_01水果!$C11&lt;&gt;$L$1,对接源_01水果!$B11=""),0,IF(OR(N(对接源_01水果!$B11)&lt;$L$2,N(对接源_01水果!$B11)&gt;$L$3),0,1))</f>
        <v>0</v>
      </c>
      <c r="M11">
        <f>IF(OR($M$1="",对接源_01水果!$C11="",对接源_01水果!$C11&lt;&gt;$M$1,对接源_01水果!$B11=""),0,IF(OR(N(对接源_01水果!$B11)&lt;$M$2,N(对接源_01水果!$B11)&gt;$M$3),0,1))</f>
        <v>0</v>
      </c>
      <c r="N11">
        <f>IF(OR($N$1="",对接源_01水果!$C11="",对接源_01水果!$C11&lt;&gt;$N$1,对接源_01水果!$B11=""),0,IF(OR(N(对接源_01水果!$B11)&lt;$N$2,N(对接源_01水果!$B11)&gt;$N$3),0,1))</f>
        <v>0</v>
      </c>
      <c r="P11">
        <f>IF(AND($K11=1,AND(对接源_01水果!$X11="公司筐",N(对接源_01水果!$T11)&lt;&gt;0)),1,0)</f>
        <v>0</v>
      </c>
      <c r="Q11">
        <f>N(Q10)+$P11</f>
        <v>0</v>
      </c>
      <c r="R11">
        <f>IF(AND($K11=1,AND(对接源_01水果!$X11="公司筐",N(对接源_01水果!$U11)&lt;&gt;0)),1,0)</f>
        <v>0</v>
      </c>
      <c r="S11">
        <f>N(S10)+$R11</f>
        <v>0</v>
      </c>
      <c r="T11">
        <f>IF(AND($K11=1,AND(对接源_01水果!$X11="公司筐",N(对接源_01水果!$V11)&lt;&gt;0)),1,0)</f>
        <v>0</v>
      </c>
      <c r="U11">
        <f>N(U10)+$T11</f>
        <v>0</v>
      </c>
      <c r="V11">
        <f>IF(AND($L11=1,AND(对接源_01水果!$X11="自备筐",N(对接源_01水果!$V11)&lt;&gt;0)),1,0)</f>
        <v>0</v>
      </c>
      <c r="W11">
        <f>N(W10)+$V11</f>
        <v>0</v>
      </c>
      <c r="X11">
        <f>IF(AND($L11=1,AND(对接源_01水果!$X11="自备筐",N(对接源_01水果!$T11)&lt;&gt;0)),1,0)</f>
        <v>0</v>
      </c>
      <c r="Y11">
        <f>N(Y10)+$X11</f>
        <v>0</v>
      </c>
      <c r="Z11">
        <f>IF(AND($M11=1,对接源_01水果!$D11="原料入库"),1,0)</f>
        <v>0</v>
      </c>
      <c r="AA11">
        <f>N(AA10)+$Z11</f>
        <v>0</v>
      </c>
      <c r="AB11">
        <f>IF(AND($M11=1,LEFT(对接源_01水果!$D11,4)="原料出库"),1,0)</f>
        <v>0</v>
      </c>
      <c r="AC11">
        <f>N(AC10)+$AB11</f>
        <v>0</v>
      </c>
      <c r="AD11">
        <f>IF(AND($M11=1,LEFT(对接源_01水果!$D11,4)="成品出库"),1,0)</f>
        <v>0</v>
      </c>
      <c r="AE11">
        <f>N(AE10)+$AD11</f>
        <v>0</v>
      </c>
      <c r="AF11">
        <f>IF(AND($N11=1,AND(LEFT(对接源_01水果!$D11,4)="包装物料",N(对接源_01水果!$K11)&lt;&gt;0)),1,0)</f>
        <v>0</v>
      </c>
      <c r="AG11">
        <f>N(AG10)+$AF11</f>
        <v>0</v>
      </c>
      <c r="AH11">
        <f>IF(AND($N11=1,AND(对接源_01水果!$D11="周转筐－销售出库",N(对接源_01水果!$K11)&lt;&gt;0)),1,0)</f>
        <v>0</v>
      </c>
      <c r="AI11">
        <f>N(AI10)+$AH11</f>
        <v>0</v>
      </c>
      <c r="AJ11" s="7" t="n"/>
      <c r="AL11">
        <f>IF(OR($AL$1="",对接源_01水果!$Y11="",对接源_01水果!$Y11&lt;&gt;$AL$1,对接源_01水果!$B11="",N(对接源_01水果!$AJ11)&lt;=0),0,IF(OR(N(对接源_01水果!$B11)&lt;$AL$2,N(对接源_01水果!$B11)&gt;$AL$3),0,1))</f>
        <v>0</v>
      </c>
      <c r="AM11">
        <f>N(AM10)+$AL11</f>
        <v>0</v>
      </c>
      <c r="AN11">
        <f>IF(对接源_01水果!$AC11="","",对接源_01水果!$AC11)</f>
      </c>
      <c r="AO11">
        <f>IF(AN11="",0,IF(MATCH(AN11,$AN$4:$AN$1203,0)=ROW()-3,1,0))</f>
        <v>0</v>
      </c>
      <c r="AP11">
        <f>N(AP10)+$AO11</f>
        <v>0</v>
      </c>
      <c r="AQ11" t="str">
        <f>IFERROR(INDEX($AN$4:$AN$1203,MATCH(ROW()-3,$AP$4:$AP$1203,0)),"")</f>
        <v>汇金纸箱厂</v>
      </c>
      <c r="AR11">
        <f>IF(OR($AF11=1,$AH11=1),1,0)</f>
        <v>0</v>
      </c>
      <c r="AS11">
        <f>N(AS10)+$AR11</f>
        <v>0</v>
      </c>
    </row>
    <row r="12" ht="14.25" customHeight="1" s="127">
      <c r="A12" t="str">
        <f>IF(对接源_01水果!$C12="","",对接源_01水果!$C12)</f>
        <v>聂新平</v>
      </c>
      <c r="B12">
        <f>IF(A12="",0,IF(MATCH(A12,$A$4:$A$2403,0)=ROW()-3,1,0))</f>
        <v>0</v>
      </c>
      <c r="C12">
        <f>N(C11)+B12</f>
        <v>1</v>
      </c>
      <c r="E12" t="str">
        <f>IFERROR(INDEX($A$4:$A$2403,MATCH(ROW()-3,$C$4:$C$2403,0)),"")</f>
        <v>王灵云</v>
      </c>
      <c r="K12">
        <f>IF(OR($K$1="",对接源_01水果!$C12="",对接源_01水果!$C12&lt;&gt;$K$1,对接源_01水果!$B12=""),0,IF(OR(N(对接源_01水果!$B12)&lt;$K$2,N(对接源_01水果!$B12)&gt;$K$3),0,1))</f>
        <v>0</v>
      </c>
      <c r="L12">
        <f>IF(OR($L$1="",对接源_01水果!$C12="",对接源_01水果!$C12&lt;&gt;$L$1,对接源_01水果!$B12=""),0,IF(OR(N(对接源_01水果!$B12)&lt;$L$2,N(对接源_01水果!$B12)&gt;$L$3),0,1))</f>
        <v>0</v>
      </c>
      <c r="M12">
        <f>IF(OR($M$1="",对接源_01水果!$C12="",对接源_01水果!$C12&lt;&gt;$M$1,对接源_01水果!$B12=""),0,IF(OR(N(对接源_01水果!$B12)&lt;$M$2,N(对接源_01水果!$B12)&gt;$M$3),0,1))</f>
        <v>0</v>
      </c>
      <c r="N12">
        <f>IF(OR($N$1="",对接源_01水果!$C12="",对接源_01水果!$C12&lt;&gt;$N$1,对接源_01水果!$B12=""),0,IF(OR(N(对接源_01水果!$B12)&lt;$N$2,N(对接源_01水果!$B12)&gt;$N$3),0,1))</f>
        <v>0</v>
      </c>
      <c r="P12">
        <f>IF(AND($K12=1,AND(对接源_01水果!$X12="公司筐",N(对接源_01水果!$T12)&lt;&gt;0)),1,0)</f>
        <v>0</v>
      </c>
      <c r="Q12">
        <f>N(Q11)+$P12</f>
        <v>0</v>
      </c>
      <c r="R12">
        <f>IF(AND($K12=1,AND(对接源_01水果!$X12="公司筐",N(对接源_01水果!$U12)&lt;&gt;0)),1,0)</f>
        <v>0</v>
      </c>
      <c r="S12">
        <f>N(S11)+$R12</f>
        <v>0</v>
      </c>
      <c r="T12">
        <f>IF(AND($K12=1,AND(对接源_01水果!$X12="公司筐",N(对接源_01水果!$V12)&lt;&gt;0)),1,0)</f>
        <v>0</v>
      </c>
      <c r="U12">
        <f>N(U11)+$T12</f>
        <v>0</v>
      </c>
      <c r="V12">
        <f>IF(AND($L12=1,AND(对接源_01水果!$X12="自备筐",N(对接源_01水果!$V12)&lt;&gt;0)),1,0)</f>
        <v>0</v>
      </c>
      <c r="W12">
        <f>N(W11)+$V12</f>
        <v>0</v>
      </c>
      <c r="X12">
        <f>IF(AND($L12=1,AND(对接源_01水果!$X12="自备筐",N(对接源_01水果!$T12)&lt;&gt;0)),1,0)</f>
        <v>0</v>
      </c>
      <c r="Y12">
        <f>N(Y11)+$X12</f>
        <v>0</v>
      </c>
      <c r="Z12">
        <f>IF(AND($M12=1,对接源_01水果!$D12="原料入库"),1,0)</f>
        <v>0</v>
      </c>
      <c r="AA12">
        <f>N(AA11)+$Z12</f>
        <v>0</v>
      </c>
      <c r="AB12">
        <f>IF(AND($M12=1,LEFT(对接源_01水果!$D12,4)="原料出库"),1,0)</f>
        <v>0</v>
      </c>
      <c r="AC12">
        <f>N(AC11)+$AB12</f>
        <v>0</v>
      </c>
      <c r="AD12">
        <f>IF(AND($M12=1,LEFT(对接源_01水果!$D12,4)="成品出库"),1,0)</f>
        <v>0</v>
      </c>
      <c r="AE12">
        <f>N(AE11)+$AD12</f>
        <v>0</v>
      </c>
      <c r="AF12">
        <f>IF(AND($N12=1,AND(LEFT(对接源_01水果!$D12,4)="包装物料",N(对接源_01水果!$K12)&lt;&gt;0)),1,0)</f>
        <v>0</v>
      </c>
      <c r="AG12">
        <f>N(AG11)+$AF12</f>
        <v>0</v>
      </c>
      <c r="AH12">
        <f>IF(AND($N12=1,AND(对接源_01水果!$D12="周转筐－销售出库",N(对接源_01水果!$K12)&lt;&gt;0)),1,0)</f>
        <v>0</v>
      </c>
      <c r="AI12">
        <f>N(AI11)+$AH12</f>
        <v>0</v>
      </c>
      <c r="AJ12" s="7" t="n"/>
      <c r="AL12">
        <f>IF(OR($AL$1="",对接源_01水果!$Y12="",对接源_01水果!$Y12&lt;&gt;$AL$1,对接源_01水果!$B12="",N(对接源_01水果!$AJ12)&lt;=0),0,IF(OR(N(对接源_01水果!$B12)&lt;$AL$2,N(对接源_01水果!$B12)&gt;$AL$3),0,1))</f>
        <v>0</v>
      </c>
      <c r="AM12">
        <f>N(AM11)+$AL12</f>
        <v>0</v>
      </c>
      <c r="AN12">
        <f>IF(对接源_01水果!$AC12="","",对接源_01水果!$AC12)</f>
      </c>
      <c r="AO12">
        <f>IF(AN12="",0,IF(MATCH(AN12,$AN$4:$AN$1203,0)=ROW()-3,1,0))</f>
        <v>0</v>
      </c>
      <c r="AP12">
        <f>N(AP11)+$AO12</f>
        <v>0</v>
      </c>
      <c r="AQ12" t="str">
        <f>IFERROR(INDEX($AN$4:$AN$1203,MATCH(ROW()-3,$AP$4:$AP$1203,0)),"")</f>
        <v>顾宝民</v>
      </c>
      <c r="AR12">
        <f>IF(OR($AF12=1,$AH12=1),1,0)</f>
        <v>0</v>
      </c>
      <c r="AS12">
        <f>N(AS11)+$AR12</f>
        <v>0</v>
      </c>
    </row>
    <row r="13" ht="14.25" customHeight="1" s="127">
      <c r="A13" t="str">
        <f>IF(对接源_01水果!$C13="","",对接源_01水果!$C13)</f>
        <v>聂新平</v>
      </c>
      <c r="B13">
        <f>IF(A13="",0,IF(MATCH(A13,$A$4:$A$2403,0)=ROW()-3,1,0))</f>
        <v>0</v>
      </c>
      <c r="C13">
        <f>N(C12)+B13</f>
        <v>1</v>
      </c>
      <c r="E13" t="str">
        <f>IFERROR(INDEX($A$4:$A$2403,MATCH(ROW()-3,$C$4:$C$2403,0)),"")</f>
        <v>杨艳玲</v>
      </c>
      <c r="K13">
        <f>IF(OR($K$1="",对接源_01水果!$C13="",对接源_01水果!$C13&lt;&gt;$K$1,对接源_01水果!$B13=""),0,IF(OR(N(对接源_01水果!$B13)&lt;$K$2,N(对接源_01水果!$B13)&gt;$K$3),0,1))</f>
        <v>0</v>
      </c>
      <c r="L13">
        <f>IF(OR($L$1="",对接源_01水果!$C13="",对接源_01水果!$C13&lt;&gt;$L$1,对接源_01水果!$B13=""),0,IF(OR(N(对接源_01水果!$B13)&lt;$L$2,N(对接源_01水果!$B13)&gt;$L$3),0,1))</f>
        <v>0</v>
      </c>
      <c r="M13">
        <f>IF(OR($M$1="",对接源_01水果!$C13="",对接源_01水果!$C13&lt;&gt;$M$1,对接源_01水果!$B13=""),0,IF(OR(N(对接源_01水果!$B13)&lt;$M$2,N(对接源_01水果!$B13)&gt;$M$3),0,1))</f>
        <v>0</v>
      </c>
      <c r="N13">
        <f>IF(OR($N$1="",对接源_01水果!$C13="",对接源_01水果!$C13&lt;&gt;$N$1,对接源_01水果!$B13=""),0,IF(OR(N(对接源_01水果!$B13)&lt;$N$2,N(对接源_01水果!$B13)&gt;$N$3),0,1))</f>
        <v>0</v>
      </c>
      <c r="P13">
        <f>IF(AND($K13=1,AND(对接源_01水果!$X13="公司筐",N(对接源_01水果!$T13)&lt;&gt;0)),1,0)</f>
        <v>0</v>
      </c>
      <c r="Q13">
        <f>N(Q12)+$P13</f>
        <v>0</v>
      </c>
      <c r="R13">
        <f>IF(AND($K13=1,AND(对接源_01水果!$X13="公司筐",N(对接源_01水果!$U13)&lt;&gt;0)),1,0)</f>
        <v>0</v>
      </c>
      <c r="S13">
        <f>N(S12)+$R13</f>
        <v>0</v>
      </c>
      <c r="T13">
        <f>IF(AND($K13=1,AND(对接源_01水果!$X13="公司筐",N(对接源_01水果!$V13)&lt;&gt;0)),1,0)</f>
        <v>0</v>
      </c>
      <c r="U13">
        <f>N(U12)+$T13</f>
        <v>0</v>
      </c>
      <c r="V13">
        <f>IF(AND($L13=1,AND(对接源_01水果!$X13="自备筐",N(对接源_01水果!$V13)&lt;&gt;0)),1,0)</f>
        <v>0</v>
      </c>
      <c r="W13">
        <f>N(W12)+$V13</f>
        <v>0</v>
      </c>
      <c r="X13">
        <f>IF(AND($L13=1,AND(对接源_01水果!$X13="自备筐",N(对接源_01水果!$T13)&lt;&gt;0)),1,0)</f>
        <v>0</v>
      </c>
      <c r="Y13">
        <f>N(Y12)+$X13</f>
        <v>0</v>
      </c>
      <c r="Z13">
        <f>IF(AND($M13=1,对接源_01水果!$D13="原料入库"),1,0)</f>
        <v>0</v>
      </c>
      <c r="AA13">
        <f>N(AA12)+$Z13</f>
        <v>0</v>
      </c>
      <c r="AB13">
        <f>IF(AND($M13=1,LEFT(对接源_01水果!$D13,4)="原料出库"),1,0)</f>
        <v>0</v>
      </c>
      <c r="AC13">
        <f>N(AC12)+$AB13</f>
        <v>0</v>
      </c>
      <c r="AD13">
        <f>IF(AND($M13=1,LEFT(对接源_01水果!$D13,4)="成品出库"),1,0)</f>
        <v>0</v>
      </c>
      <c r="AE13">
        <f>N(AE12)+$AD13</f>
        <v>0</v>
      </c>
      <c r="AF13">
        <f>IF(AND($N13=1,AND(LEFT(对接源_01水果!$D13,4)="包装物料",N(对接源_01水果!$K13)&lt;&gt;0)),1,0)</f>
        <v>0</v>
      </c>
      <c r="AG13">
        <f>N(AG12)+$AF13</f>
        <v>0</v>
      </c>
      <c r="AH13">
        <f>IF(AND($N13=1,AND(对接源_01水果!$D13="周转筐－销售出库",N(对接源_01水果!$K13)&lt;&gt;0)),1,0)</f>
        <v>0</v>
      </c>
      <c r="AI13">
        <f>N(AI12)+$AH13</f>
        <v>0</v>
      </c>
      <c r="AJ13" s="7" t="n"/>
      <c r="AL13">
        <f>IF(OR($AL$1="",对接源_01水果!$Y13="",对接源_01水果!$Y13&lt;&gt;$AL$1,对接源_01水果!$B13="",N(对接源_01水果!$AJ13)&lt;=0),0,IF(OR(N(对接源_01水果!$B13)&lt;$AL$2,N(对接源_01水果!$B13)&gt;$AL$3),0,1))</f>
        <v>0</v>
      </c>
      <c r="AM13">
        <f>N(AM12)+$AL13</f>
        <v>0</v>
      </c>
      <c r="AN13">
        <f>IF(对接源_01水果!$AC13="","",对接源_01水果!$AC13)</f>
      </c>
      <c r="AO13">
        <f>IF(AN13="",0,IF(MATCH(AN13,$AN$4:$AN$1203,0)=ROW()-3,1,0))</f>
        <v>0</v>
      </c>
      <c r="AP13">
        <f>N(AP12)+$AO13</f>
        <v>0</v>
      </c>
      <c r="AQ13" t="str">
        <f>IFERROR(INDEX($AN$4:$AN$1203,MATCH(ROW()-3,$AP$4:$AP$1203,0)),"")</f>
        <v>大汪总</v>
      </c>
      <c r="AR13">
        <f>IF(OR($AF13=1,$AH13=1),1,0)</f>
        <v>0</v>
      </c>
      <c r="AS13">
        <f>N(AS12)+$AR13</f>
        <v>0</v>
      </c>
    </row>
    <row r="14" ht="14.25" customHeight="1" s="127">
      <c r="A14" t="str">
        <f>IF(对接源_01水果!$C14="","",对接源_01水果!$C14)</f>
        <v>聂新平</v>
      </c>
      <c r="B14">
        <f>IF(A14="",0,IF(MATCH(A14,$A$4:$A$2403,0)=ROW()-3,1,0))</f>
        <v>0</v>
      </c>
      <c r="C14">
        <f>N(C13)+B14</f>
        <v>1</v>
      </c>
      <c r="E14" t="str">
        <f>IFERROR(INDEX($A$4:$A$2403,MATCH(ROW()-3,$C$4:$C$2403,0)),"")</f>
        <v>荆建君</v>
      </c>
      <c r="K14">
        <f>IF(OR($K$1="",对接源_01水果!$C14="",对接源_01水果!$C14&lt;&gt;$K$1,对接源_01水果!$B14=""),0,IF(OR(N(对接源_01水果!$B14)&lt;$K$2,N(对接源_01水果!$B14)&gt;$K$3),0,1))</f>
        <v>0</v>
      </c>
      <c r="L14">
        <f>IF(OR($L$1="",对接源_01水果!$C14="",对接源_01水果!$C14&lt;&gt;$L$1,对接源_01水果!$B14=""),0,IF(OR(N(对接源_01水果!$B14)&lt;$L$2,N(对接源_01水果!$B14)&gt;$L$3),0,1))</f>
        <v>0</v>
      </c>
      <c r="M14">
        <f>IF(OR($M$1="",对接源_01水果!$C14="",对接源_01水果!$C14&lt;&gt;$M$1,对接源_01水果!$B14=""),0,IF(OR(N(对接源_01水果!$B14)&lt;$M$2,N(对接源_01水果!$B14)&gt;$M$3),0,1))</f>
        <v>0</v>
      </c>
      <c r="N14">
        <f>IF(OR($N$1="",对接源_01水果!$C14="",对接源_01水果!$C14&lt;&gt;$N$1,对接源_01水果!$B14=""),0,IF(OR(N(对接源_01水果!$B14)&lt;$N$2,N(对接源_01水果!$B14)&gt;$N$3),0,1))</f>
        <v>0</v>
      </c>
      <c r="P14">
        <f>IF(AND($K14=1,AND(对接源_01水果!$X14="公司筐",N(对接源_01水果!$T14)&lt;&gt;0)),1,0)</f>
        <v>0</v>
      </c>
      <c r="Q14">
        <f>N(Q13)+$P14</f>
        <v>0</v>
      </c>
      <c r="R14">
        <f>IF(AND($K14=1,AND(对接源_01水果!$X14="公司筐",N(对接源_01水果!$U14)&lt;&gt;0)),1,0)</f>
        <v>0</v>
      </c>
      <c r="S14">
        <f>N(S13)+$R14</f>
        <v>0</v>
      </c>
      <c r="T14">
        <f>IF(AND($K14=1,AND(对接源_01水果!$X14="公司筐",N(对接源_01水果!$V14)&lt;&gt;0)),1,0)</f>
        <v>0</v>
      </c>
      <c r="U14">
        <f>N(U13)+$T14</f>
        <v>0</v>
      </c>
      <c r="V14">
        <f>IF(AND($L14=1,AND(对接源_01水果!$X14="自备筐",N(对接源_01水果!$V14)&lt;&gt;0)),1,0)</f>
        <v>0</v>
      </c>
      <c r="W14">
        <f>N(W13)+$V14</f>
        <v>0</v>
      </c>
      <c r="X14">
        <f>IF(AND($L14=1,AND(对接源_01水果!$X14="自备筐",N(对接源_01水果!$T14)&lt;&gt;0)),1,0)</f>
        <v>0</v>
      </c>
      <c r="Y14">
        <f>N(Y13)+$X14</f>
        <v>0</v>
      </c>
      <c r="Z14">
        <f>IF(AND($M14=1,对接源_01水果!$D14="原料入库"),1,0)</f>
        <v>0</v>
      </c>
      <c r="AA14">
        <f>N(AA13)+$Z14</f>
        <v>0</v>
      </c>
      <c r="AB14">
        <f>IF(AND($M14=1,LEFT(对接源_01水果!$D14,4)="原料出库"),1,0)</f>
        <v>0</v>
      </c>
      <c r="AC14">
        <f>N(AC13)+$AB14</f>
        <v>0</v>
      </c>
      <c r="AD14">
        <f>IF(AND($M14=1,LEFT(对接源_01水果!$D14,4)="成品出库"),1,0)</f>
        <v>0</v>
      </c>
      <c r="AE14">
        <f>N(AE13)+$AD14</f>
        <v>0</v>
      </c>
      <c r="AF14">
        <f>IF(AND($N14=1,AND(LEFT(对接源_01水果!$D14,4)="包装物料",N(对接源_01水果!$K14)&lt;&gt;0)),1,0)</f>
        <v>0</v>
      </c>
      <c r="AG14">
        <f>N(AG13)+$AF14</f>
        <v>0</v>
      </c>
      <c r="AH14">
        <f>IF(AND($N14=1,AND(对接源_01水果!$D14="周转筐－销售出库",N(对接源_01水果!$K14)&lt;&gt;0)),1,0)</f>
        <v>0</v>
      </c>
      <c r="AI14">
        <f>N(AI13)+$AH14</f>
        <v>0</v>
      </c>
      <c r="AJ14" s="7" t="n"/>
      <c r="AL14">
        <f>IF(OR($AL$1="",对接源_01水果!$Y14="",对接源_01水果!$Y14&lt;&gt;$AL$1,对接源_01水果!$B14="",N(对接源_01水果!$AJ14)&lt;=0),0,IF(OR(N(对接源_01水果!$B14)&lt;$AL$2,N(对接源_01水果!$B14)&gt;$AL$3),0,1))</f>
        <v>0</v>
      </c>
      <c r="AM14">
        <f>N(AM13)+$AL14</f>
        <v>0</v>
      </c>
      <c r="AN14">
        <f>IF(对接源_01水果!$AC14="","",对接源_01水果!$AC14)</f>
      </c>
      <c r="AO14">
        <f>IF(AN14="",0,IF(MATCH(AN14,$AN$4:$AN$1203,0)=ROW()-3,1,0))</f>
        <v>0</v>
      </c>
      <c r="AP14">
        <f>N(AP13)+$AO14</f>
        <v>0</v>
      </c>
      <c r="AQ14" t="str">
        <f>IFERROR(INDEX($AN$4:$AN$1203,MATCH(ROW()-3,$AP$4:$AP$1203,0)),"")</f>
        <v>松鼠</v>
      </c>
      <c r="AR14">
        <f>IF(OR($AF14=1,$AH14=1),1,0)</f>
        <v>0</v>
      </c>
      <c r="AS14">
        <f>N(AS13)+$AR14</f>
        <v>0</v>
      </c>
    </row>
    <row r="15" ht="14.25" customHeight="1" s="127">
      <c r="A15" t="str">
        <f>IF(对接源_01水果!$C15="","",对接源_01水果!$C15)</f>
        <v>聂新平</v>
      </c>
      <c r="B15">
        <f>IF(A15="",0,IF(MATCH(A15,$A$4:$A$2403,0)=ROW()-3,1,0))</f>
        <v>0</v>
      </c>
      <c r="C15">
        <f>N(C14)+B15</f>
        <v>1</v>
      </c>
      <c r="E15" t="str">
        <f>IFERROR(INDEX($A$4:$A$2403,MATCH(ROW()-3,$C$4:$C$2403,0)),"")</f>
        <v>努尔敦</v>
      </c>
      <c r="K15">
        <f>IF(OR($K$1="",对接源_01水果!$C15="",对接源_01水果!$C15&lt;&gt;$K$1,对接源_01水果!$B15=""),0,IF(OR(N(对接源_01水果!$B15)&lt;$K$2,N(对接源_01水果!$B15)&gt;$K$3),0,1))</f>
        <v>0</v>
      </c>
      <c r="L15">
        <f>IF(OR($L$1="",对接源_01水果!$C15="",对接源_01水果!$C15&lt;&gt;$L$1,对接源_01水果!$B15=""),0,IF(OR(N(对接源_01水果!$B15)&lt;$L$2,N(对接源_01水果!$B15)&gt;$L$3),0,1))</f>
        <v>0</v>
      </c>
      <c r="M15">
        <f>IF(OR($M$1="",对接源_01水果!$C15="",对接源_01水果!$C15&lt;&gt;$M$1,对接源_01水果!$B15=""),0,IF(OR(N(对接源_01水果!$B15)&lt;$M$2,N(对接源_01水果!$B15)&gt;$M$3),0,1))</f>
        <v>0</v>
      </c>
      <c r="N15">
        <f>IF(OR($N$1="",对接源_01水果!$C15="",对接源_01水果!$C15&lt;&gt;$N$1,对接源_01水果!$B15=""),0,IF(OR(N(对接源_01水果!$B15)&lt;$N$2,N(对接源_01水果!$B15)&gt;$N$3),0,1))</f>
        <v>0</v>
      </c>
      <c r="P15">
        <f>IF(AND($K15=1,AND(对接源_01水果!$X15="公司筐",N(对接源_01水果!$T15)&lt;&gt;0)),1,0)</f>
        <v>0</v>
      </c>
      <c r="Q15">
        <f>N(Q14)+$P15</f>
        <v>0</v>
      </c>
      <c r="R15">
        <f>IF(AND($K15=1,AND(对接源_01水果!$X15="公司筐",N(对接源_01水果!$U15)&lt;&gt;0)),1,0)</f>
        <v>0</v>
      </c>
      <c r="S15">
        <f>N(S14)+$R15</f>
        <v>0</v>
      </c>
      <c r="T15">
        <f>IF(AND($K15=1,AND(对接源_01水果!$X15="公司筐",N(对接源_01水果!$V15)&lt;&gt;0)),1,0)</f>
        <v>0</v>
      </c>
      <c r="U15">
        <f>N(U14)+$T15</f>
        <v>0</v>
      </c>
      <c r="V15">
        <f>IF(AND($L15=1,AND(对接源_01水果!$X15="自备筐",N(对接源_01水果!$V15)&lt;&gt;0)),1,0)</f>
        <v>0</v>
      </c>
      <c r="W15">
        <f>N(W14)+$V15</f>
        <v>0</v>
      </c>
      <c r="X15">
        <f>IF(AND($L15=1,AND(对接源_01水果!$X15="自备筐",N(对接源_01水果!$T15)&lt;&gt;0)),1,0)</f>
        <v>0</v>
      </c>
      <c r="Y15">
        <f>N(Y14)+$X15</f>
        <v>0</v>
      </c>
      <c r="Z15">
        <f>IF(AND($M15=1,对接源_01水果!$D15="原料入库"),1,0)</f>
        <v>0</v>
      </c>
      <c r="AA15">
        <f>N(AA14)+$Z15</f>
        <v>0</v>
      </c>
      <c r="AB15">
        <f>IF(AND($M15=1,LEFT(对接源_01水果!$D15,4)="原料出库"),1,0)</f>
        <v>0</v>
      </c>
      <c r="AC15">
        <f>N(AC14)+$AB15</f>
        <v>0</v>
      </c>
      <c r="AD15">
        <f>IF(AND($M15=1,LEFT(对接源_01水果!$D15,4)="成品出库"),1,0)</f>
        <v>0</v>
      </c>
      <c r="AE15">
        <f>N(AE14)+$AD15</f>
        <v>0</v>
      </c>
      <c r="AF15">
        <f>IF(AND($N15=1,AND(LEFT(对接源_01水果!$D15,4)="包装物料",N(对接源_01水果!$K15)&lt;&gt;0)),1,0)</f>
        <v>0</v>
      </c>
      <c r="AG15">
        <f>N(AG14)+$AF15</f>
        <v>0</v>
      </c>
      <c r="AH15">
        <f>IF(AND($N15=1,AND(对接源_01水果!$D15="周转筐－销售出库",N(对接源_01水果!$K15)&lt;&gt;0)),1,0)</f>
        <v>0</v>
      </c>
      <c r="AI15">
        <f>N(AI14)+$AH15</f>
        <v>0</v>
      </c>
      <c r="AJ15" s="7" t="n"/>
      <c r="AL15">
        <f>IF(OR($AL$1="",对接源_01水果!$Y15="",对接源_01水果!$Y15&lt;&gt;$AL$1,对接源_01水果!$B15="",N(对接源_01水果!$AJ15)&lt;=0),0,IF(OR(N(对接源_01水果!$B15)&lt;$AL$2,N(对接源_01水果!$B15)&gt;$AL$3),0,1))</f>
        <v>0</v>
      </c>
      <c r="AM15">
        <f>N(AM14)+$AL15</f>
        <v>0</v>
      </c>
      <c r="AN15">
        <f>IF(对接源_01水果!$AC15="","",对接源_01水果!$AC15)</f>
      </c>
      <c r="AO15">
        <f>IF(AN15="",0,IF(MATCH(AN15,$AN$4:$AN$1203,0)=ROW()-3,1,0))</f>
        <v>0</v>
      </c>
      <c r="AP15">
        <f>N(AP14)+$AO15</f>
        <v>0</v>
      </c>
      <c r="AQ15" t="str">
        <f>IFERROR(INDEX($AN$4:$AN$1203,MATCH(ROW()-3,$AP$4:$AP$1203,0)),"")</f>
        <v>谢老大</v>
      </c>
      <c r="AR15">
        <f>IF(OR($AF15=1,$AH15=1),1,0)</f>
        <v>0</v>
      </c>
      <c r="AS15">
        <f>N(AS14)+$AR15</f>
        <v>0</v>
      </c>
    </row>
    <row r="16" ht="14.25" customHeight="1" s="127">
      <c r="A16" t="str">
        <f>IF(对接源_01水果!$C16="","",对接源_01水果!$C16)</f>
        <v>聂新平</v>
      </c>
      <c r="B16">
        <f>IF(A16="",0,IF(MATCH(A16,$A$4:$A$2403,0)=ROW()-3,1,0))</f>
        <v>0</v>
      </c>
      <c r="C16">
        <f>N(C15)+B16</f>
        <v>1</v>
      </c>
      <c r="E16" t="str">
        <f>IFERROR(INDEX($A$4:$A$2403,MATCH(ROW()-3,$C$4:$C$2403,0)),"")</f>
        <v>王浩</v>
      </c>
      <c r="K16">
        <f>IF(OR($K$1="",对接源_01水果!$C16="",对接源_01水果!$C16&lt;&gt;$K$1,对接源_01水果!$B16=""),0,IF(OR(N(对接源_01水果!$B16)&lt;$K$2,N(对接源_01水果!$B16)&gt;$K$3),0,1))</f>
        <v>0</v>
      </c>
      <c r="L16">
        <f>IF(OR($L$1="",对接源_01水果!$C16="",对接源_01水果!$C16&lt;&gt;$L$1,对接源_01水果!$B16=""),0,IF(OR(N(对接源_01水果!$B16)&lt;$L$2,N(对接源_01水果!$B16)&gt;$L$3),0,1))</f>
        <v>0</v>
      </c>
      <c r="M16">
        <f>IF(OR($M$1="",对接源_01水果!$C16="",对接源_01水果!$C16&lt;&gt;$M$1,对接源_01水果!$B16=""),0,IF(OR(N(对接源_01水果!$B16)&lt;$M$2,N(对接源_01水果!$B16)&gt;$M$3),0,1))</f>
        <v>0</v>
      </c>
      <c r="N16">
        <f>IF(OR($N$1="",对接源_01水果!$C16="",对接源_01水果!$C16&lt;&gt;$N$1,对接源_01水果!$B16=""),0,IF(OR(N(对接源_01水果!$B16)&lt;$N$2,N(对接源_01水果!$B16)&gt;$N$3),0,1))</f>
        <v>0</v>
      </c>
      <c r="P16">
        <f>IF(AND($K16=1,AND(对接源_01水果!$X16="公司筐",N(对接源_01水果!$T16)&lt;&gt;0)),1,0)</f>
        <v>0</v>
      </c>
      <c r="Q16">
        <f>N(Q15)+$P16</f>
        <v>0</v>
      </c>
      <c r="R16">
        <f>IF(AND($K16=1,AND(对接源_01水果!$X16="公司筐",N(对接源_01水果!$U16)&lt;&gt;0)),1,0)</f>
        <v>0</v>
      </c>
      <c r="S16">
        <f>N(S15)+$R16</f>
        <v>0</v>
      </c>
      <c r="T16">
        <f>IF(AND($K16=1,AND(对接源_01水果!$X16="公司筐",N(对接源_01水果!$V16)&lt;&gt;0)),1,0)</f>
        <v>0</v>
      </c>
      <c r="U16">
        <f>N(U15)+$T16</f>
        <v>0</v>
      </c>
      <c r="V16">
        <f>IF(AND($L16=1,AND(对接源_01水果!$X16="自备筐",N(对接源_01水果!$V16)&lt;&gt;0)),1,0)</f>
        <v>0</v>
      </c>
      <c r="W16">
        <f>N(W15)+$V16</f>
        <v>0</v>
      </c>
      <c r="X16">
        <f>IF(AND($L16=1,AND(对接源_01水果!$X16="自备筐",N(对接源_01水果!$T16)&lt;&gt;0)),1,0)</f>
        <v>0</v>
      </c>
      <c r="Y16">
        <f>N(Y15)+$X16</f>
        <v>0</v>
      </c>
      <c r="Z16">
        <f>IF(AND($M16=1,对接源_01水果!$D16="原料入库"),1,0)</f>
        <v>0</v>
      </c>
      <c r="AA16">
        <f>N(AA15)+$Z16</f>
        <v>0</v>
      </c>
      <c r="AB16">
        <f>IF(AND($M16=1,LEFT(对接源_01水果!$D16,4)="原料出库"),1,0)</f>
        <v>0</v>
      </c>
      <c r="AC16">
        <f>N(AC15)+$AB16</f>
        <v>0</v>
      </c>
      <c r="AD16">
        <f>IF(AND($M16=1,LEFT(对接源_01水果!$D16,4)="成品出库"),1,0)</f>
        <v>0</v>
      </c>
      <c r="AE16">
        <f>N(AE15)+$AD16</f>
        <v>0</v>
      </c>
      <c r="AF16">
        <f>IF(AND($N16=1,AND(LEFT(对接源_01水果!$D16,4)="包装物料",N(对接源_01水果!$K16)&lt;&gt;0)),1,0)</f>
        <v>0</v>
      </c>
      <c r="AG16">
        <f>N(AG15)+$AF16</f>
        <v>0</v>
      </c>
      <c r="AH16">
        <f>IF(AND($N16=1,AND(对接源_01水果!$D16="周转筐－销售出库",N(对接源_01水果!$K16)&lt;&gt;0)),1,0)</f>
        <v>0</v>
      </c>
      <c r="AI16">
        <f>N(AI15)+$AH16</f>
        <v>0</v>
      </c>
      <c r="AJ16" s="7" t="n"/>
      <c r="AL16">
        <f>IF(OR($AL$1="",对接源_01水果!$Y16="",对接源_01水果!$Y16&lt;&gt;$AL$1,对接源_01水果!$B16="",N(对接源_01水果!$AJ16)&lt;=0),0,IF(OR(N(对接源_01水果!$B16)&lt;$AL$2,N(对接源_01水果!$B16)&gt;$AL$3),0,1))</f>
        <v>0</v>
      </c>
      <c r="AM16">
        <f>N(AM15)+$AL16</f>
        <v>0</v>
      </c>
      <c r="AN16">
        <f>IF(对接源_01水果!$AC16="","",对接源_01水果!$AC16)</f>
      </c>
      <c r="AO16">
        <f>IF(AN16="",0,IF(MATCH(AN16,$AN$4:$AN$1203,0)=ROW()-3,1,0))</f>
        <v>0</v>
      </c>
      <c r="AP16">
        <f>N(AP15)+$AO16</f>
        <v>0</v>
      </c>
      <c r="AQ16" t="str">
        <f>IFERROR(INDEX($AN$4:$AN$1203,MATCH(ROW()-3,$AP$4:$AP$1203,0)),"")</f>
        <v>老师</v>
      </c>
      <c r="AR16">
        <f>IF(OR($AF16=1,$AH16=1),1,0)</f>
        <v>0</v>
      </c>
      <c r="AS16">
        <f>N(AS15)+$AR16</f>
        <v>0</v>
      </c>
    </row>
    <row r="17" ht="14.25" customHeight="1" s="127">
      <c r="A17" t="str">
        <f>IF(对接源_01水果!$C17="","",对接源_01水果!$C17)</f>
        <v>聂新平</v>
      </c>
      <c r="B17">
        <f>IF(A17="",0,IF(MATCH(A17,$A$4:$A$2403,0)=ROW()-3,1,0))</f>
        <v>0</v>
      </c>
      <c r="C17">
        <f>N(C16)+B17</f>
        <v>1</v>
      </c>
      <c r="E17" t="str">
        <f>IFERROR(INDEX($A$4:$A$2403,MATCH(ROW()-3,$C$4:$C$2403,0)),"")</f>
        <v>热合曼+艾则孜</v>
      </c>
      <c r="K17">
        <f>IF(OR($K$1="",对接源_01水果!$C17="",对接源_01水果!$C17&lt;&gt;$K$1,对接源_01水果!$B17=""),0,IF(OR(N(对接源_01水果!$B17)&lt;$K$2,N(对接源_01水果!$B17)&gt;$K$3),0,1))</f>
        <v>0</v>
      </c>
      <c r="L17">
        <f>IF(OR($L$1="",对接源_01水果!$C17="",对接源_01水果!$C17&lt;&gt;$L$1,对接源_01水果!$B17=""),0,IF(OR(N(对接源_01水果!$B17)&lt;$L$2,N(对接源_01水果!$B17)&gt;$L$3),0,1))</f>
        <v>0</v>
      </c>
      <c r="M17">
        <f>IF(OR($M$1="",对接源_01水果!$C17="",对接源_01水果!$C17&lt;&gt;$M$1,对接源_01水果!$B17=""),0,IF(OR(N(对接源_01水果!$B17)&lt;$M$2,N(对接源_01水果!$B17)&gt;$M$3),0,1))</f>
        <v>0</v>
      </c>
      <c r="N17">
        <f>IF(OR($N$1="",对接源_01水果!$C17="",对接源_01水果!$C17&lt;&gt;$N$1,对接源_01水果!$B17=""),0,IF(OR(N(对接源_01水果!$B17)&lt;$N$2,N(对接源_01水果!$B17)&gt;$N$3),0,1))</f>
        <v>0</v>
      </c>
      <c r="P17">
        <f>IF(AND($K17=1,AND(对接源_01水果!$X17="公司筐",N(对接源_01水果!$T17)&lt;&gt;0)),1,0)</f>
        <v>0</v>
      </c>
      <c r="Q17">
        <f>N(Q16)+$P17</f>
        <v>0</v>
      </c>
      <c r="R17">
        <f>IF(AND($K17=1,AND(对接源_01水果!$X17="公司筐",N(对接源_01水果!$U17)&lt;&gt;0)),1,0)</f>
        <v>0</v>
      </c>
      <c r="S17">
        <f>N(S16)+$R17</f>
        <v>0</v>
      </c>
      <c r="T17">
        <f>IF(AND($K17=1,AND(对接源_01水果!$X17="公司筐",N(对接源_01水果!$V17)&lt;&gt;0)),1,0)</f>
        <v>0</v>
      </c>
      <c r="U17">
        <f>N(U16)+$T17</f>
        <v>0</v>
      </c>
      <c r="V17">
        <f>IF(AND($L17=1,AND(对接源_01水果!$X17="自备筐",N(对接源_01水果!$V17)&lt;&gt;0)),1,0)</f>
        <v>0</v>
      </c>
      <c r="W17">
        <f>N(W16)+$V17</f>
        <v>0</v>
      </c>
      <c r="X17">
        <f>IF(AND($L17=1,AND(对接源_01水果!$X17="自备筐",N(对接源_01水果!$T17)&lt;&gt;0)),1,0)</f>
        <v>0</v>
      </c>
      <c r="Y17">
        <f>N(Y16)+$X17</f>
        <v>0</v>
      </c>
      <c r="Z17">
        <f>IF(AND($M17=1,对接源_01水果!$D17="原料入库"),1,0)</f>
        <v>0</v>
      </c>
      <c r="AA17">
        <f>N(AA16)+$Z17</f>
        <v>0</v>
      </c>
      <c r="AB17">
        <f>IF(AND($M17=1,LEFT(对接源_01水果!$D17,4)="原料出库"),1,0)</f>
        <v>0</v>
      </c>
      <c r="AC17">
        <f>N(AC16)+$AB17</f>
        <v>0</v>
      </c>
      <c r="AD17">
        <f>IF(AND($M17=1,LEFT(对接源_01水果!$D17,4)="成品出库"),1,0)</f>
        <v>0</v>
      </c>
      <c r="AE17">
        <f>N(AE16)+$AD17</f>
        <v>0</v>
      </c>
      <c r="AF17">
        <f>IF(AND($N17=1,AND(LEFT(对接源_01水果!$D17,4)="包装物料",N(对接源_01水果!$K17)&lt;&gt;0)),1,0)</f>
        <v>0</v>
      </c>
      <c r="AG17">
        <f>N(AG16)+$AF17</f>
        <v>0</v>
      </c>
      <c r="AH17">
        <f>IF(AND($N17=1,AND(对接源_01水果!$D17="周转筐－销售出库",N(对接源_01水果!$K17)&lt;&gt;0)),1,0)</f>
        <v>0</v>
      </c>
      <c r="AI17">
        <f>N(AI16)+$AH17</f>
        <v>0</v>
      </c>
      <c r="AJ17" s="7" t="n"/>
      <c r="AL17">
        <f>IF(OR($AL$1="",对接源_01水果!$Y17="",对接源_01水果!$Y17&lt;&gt;$AL$1,对接源_01水果!$B17="",N(对接源_01水果!$AJ17)&lt;=0),0,IF(OR(N(对接源_01水果!$B17)&lt;$AL$2,N(对接源_01水果!$B17)&gt;$AL$3),0,1))</f>
        <v>0</v>
      </c>
      <c r="AM17">
        <f>N(AM16)+$AL17</f>
        <v>0</v>
      </c>
      <c r="AN17">
        <f>IF(对接源_01水果!$AC17="","",对接源_01水果!$AC17)</f>
      </c>
      <c r="AO17">
        <f>IF(AN17="",0,IF(MATCH(AN17,$AN$4:$AN$1203,0)=ROW()-3,1,0))</f>
        <v>0</v>
      </c>
      <c r="AP17">
        <f>N(AP16)+$AO17</f>
        <v>0</v>
      </c>
      <c r="AQ17">
        <f>IFERROR(INDEX($AN$4:$AN$1203,MATCH(ROW()-3,$AP$4:$AP$1203,0)),"")</f>
      </c>
      <c r="AR17">
        <f>IF(OR($AF17=1,$AH17=1),1,0)</f>
        <v>0</v>
      </c>
      <c r="AS17">
        <f>N(AS16)+$AR17</f>
        <v>0</v>
      </c>
    </row>
    <row r="18" ht="14.25" customHeight="1" s="127">
      <c r="A18" t="str">
        <f>IF(对接源_01水果!$C18="","",对接源_01水果!$C18)</f>
        <v>王照雪</v>
      </c>
      <c r="B18">
        <f>IF(A18="",0,IF(MATCH(A18,$A$4:$A$2403,0)=ROW()-3,1,0))</f>
        <v>1</v>
      </c>
      <c r="C18">
        <f>N(C17)+B18</f>
        <v>2</v>
      </c>
      <c r="E18" t="str">
        <f>IFERROR(INDEX($A$4:$A$2403,MATCH(ROW()-3,$C$4:$C$2403,0)),"")</f>
        <v>李现东</v>
      </c>
      <c r="K18">
        <f>IF(OR($K$1="",对接源_01水果!$C18="",对接源_01水果!$C18&lt;&gt;$K$1,对接源_01水果!$B18=""),0,IF(OR(N(对接源_01水果!$B18)&lt;$K$2,N(对接源_01水果!$B18)&gt;$K$3),0,1))</f>
        <v>0</v>
      </c>
      <c r="L18">
        <f>IF(OR($L$1="",对接源_01水果!$C18="",对接源_01水果!$C18&lt;&gt;$L$1,对接源_01水果!$B18=""),0,IF(OR(N(对接源_01水果!$B18)&lt;$L$2,N(对接源_01水果!$B18)&gt;$L$3),0,1))</f>
        <v>0</v>
      </c>
      <c r="M18">
        <f>IF(OR($M$1="",对接源_01水果!$C18="",对接源_01水果!$C18&lt;&gt;$M$1,对接源_01水果!$B18=""),0,IF(OR(N(对接源_01水果!$B18)&lt;$M$2,N(对接源_01水果!$B18)&gt;$M$3),0,1))</f>
        <v>0</v>
      </c>
      <c r="N18">
        <f>IF(OR($N$1="",对接源_01水果!$C18="",对接源_01水果!$C18&lt;&gt;$N$1,对接源_01水果!$B18=""),0,IF(OR(N(对接源_01水果!$B18)&lt;$N$2,N(对接源_01水果!$B18)&gt;$N$3),0,1))</f>
        <v>0</v>
      </c>
      <c r="P18">
        <f>IF(AND($K18=1,AND(对接源_01水果!$X18="公司筐",N(对接源_01水果!$T18)&lt;&gt;0)),1,0)</f>
        <v>0</v>
      </c>
      <c r="Q18">
        <f>N(Q17)+$P18</f>
        <v>0</v>
      </c>
      <c r="R18">
        <f>IF(AND($K18=1,AND(对接源_01水果!$X18="公司筐",N(对接源_01水果!$U18)&lt;&gt;0)),1,0)</f>
        <v>0</v>
      </c>
      <c r="S18">
        <f>N(S17)+$R18</f>
        <v>0</v>
      </c>
      <c r="T18">
        <f>IF(AND($K18=1,AND(对接源_01水果!$X18="公司筐",N(对接源_01水果!$V18)&lt;&gt;0)),1,0)</f>
        <v>0</v>
      </c>
      <c r="U18">
        <f>N(U17)+$T18</f>
        <v>0</v>
      </c>
      <c r="V18">
        <f>IF(AND($L18=1,AND(对接源_01水果!$X18="自备筐",N(对接源_01水果!$V18)&lt;&gt;0)),1,0)</f>
        <v>0</v>
      </c>
      <c r="W18">
        <f>N(W17)+$V18</f>
        <v>0</v>
      </c>
      <c r="X18">
        <f>IF(AND($L18=1,AND(对接源_01水果!$X18="自备筐",N(对接源_01水果!$T18)&lt;&gt;0)),1,0)</f>
        <v>0</v>
      </c>
      <c r="Y18">
        <f>N(Y17)+$X18</f>
        <v>0</v>
      </c>
      <c r="Z18">
        <f>IF(AND($M18=1,对接源_01水果!$D18="原料入库"),1,0)</f>
        <v>0</v>
      </c>
      <c r="AA18">
        <f>N(AA17)+$Z18</f>
        <v>0</v>
      </c>
      <c r="AB18">
        <f>IF(AND($M18=1,LEFT(对接源_01水果!$D18,4)="原料出库"),1,0)</f>
        <v>0</v>
      </c>
      <c r="AC18">
        <f>N(AC17)+$AB18</f>
        <v>0</v>
      </c>
      <c r="AD18">
        <f>IF(AND($M18=1,LEFT(对接源_01水果!$D18,4)="成品出库"),1,0)</f>
        <v>0</v>
      </c>
      <c r="AE18">
        <f>N(AE17)+$AD18</f>
        <v>0</v>
      </c>
      <c r="AF18">
        <f>IF(AND($N18=1,AND(LEFT(对接源_01水果!$D18,4)="包装物料",N(对接源_01水果!$K18)&lt;&gt;0)),1,0)</f>
        <v>0</v>
      </c>
      <c r="AG18">
        <f>N(AG17)+$AF18</f>
        <v>0</v>
      </c>
      <c r="AH18">
        <f>IF(AND($N18=1,AND(对接源_01水果!$D18="周转筐－销售出库",N(对接源_01水果!$K18)&lt;&gt;0)),1,0)</f>
        <v>0</v>
      </c>
      <c r="AI18">
        <f>N(AI17)+$AH18</f>
        <v>0</v>
      </c>
      <c r="AJ18" s="7" t="n"/>
      <c r="AL18">
        <f>IF(OR($AL$1="",对接源_01水果!$Y18="",对接源_01水果!$Y18&lt;&gt;$AL$1,对接源_01水果!$B18="",N(对接源_01水果!$AJ18)&lt;=0),0,IF(OR(N(对接源_01水果!$B18)&lt;$AL$2,N(对接源_01水果!$B18)&gt;$AL$3),0,1))</f>
        <v>0</v>
      </c>
      <c r="AM18">
        <f>N(AM17)+$AL18</f>
        <v>0</v>
      </c>
      <c r="AN18">
        <f>IF(对接源_01水果!$AC18="","",对接源_01水果!$AC18)</f>
      </c>
      <c r="AO18">
        <f>IF(AN18="",0,IF(MATCH(AN18,$AN$4:$AN$1203,0)=ROW()-3,1,0))</f>
        <v>0</v>
      </c>
      <c r="AP18">
        <f>N(AP17)+$AO18</f>
        <v>0</v>
      </c>
      <c r="AQ18">
        <f>IFERROR(INDEX($AN$4:$AN$1203,MATCH(ROW()-3,$AP$4:$AP$1203,0)),"")</f>
      </c>
      <c r="AR18">
        <f>IF(OR($AF18=1,$AH18=1),1,0)</f>
        <v>0</v>
      </c>
      <c r="AS18">
        <f>N(AS17)+$AR18</f>
        <v>0</v>
      </c>
    </row>
    <row r="19" ht="14.25" customHeight="1" s="127">
      <c r="A19" t="str">
        <f>IF(对接源_01水果!$C19="","",对接源_01水果!$C19)</f>
        <v>王照雪</v>
      </c>
      <c r="B19">
        <f>IF(A19="",0,IF(MATCH(A19,$A$4:$A$2403,0)=ROW()-3,1,0))</f>
        <v>0</v>
      </c>
      <c r="C19">
        <f>N(C18)+B19</f>
        <v>2</v>
      </c>
      <c r="E19" t="str">
        <f>IFERROR(INDEX($A$4:$A$2403,MATCH(ROW()-3,$C$4:$C$2403,0)),"")</f>
        <v>吐尔逊</v>
      </c>
      <c r="K19">
        <f>IF(OR($K$1="",对接源_01水果!$C19="",对接源_01水果!$C19&lt;&gt;$K$1,对接源_01水果!$B19=""),0,IF(OR(N(对接源_01水果!$B19)&lt;$K$2,N(对接源_01水果!$B19)&gt;$K$3),0,1))</f>
        <v>0</v>
      </c>
      <c r="L19">
        <f>IF(OR($L$1="",对接源_01水果!$C19="",对接源_01水果!$C19&lt;&gt;$L$1,对接源_01水果!$B19=""),0,IF(OR(N(对接源_01水果!$B19)&lt;$L$2,N(对接源_01水果!$B19)&gt;$L$3),0,1))</f>
        <v>0</v>
      </c>
      <c r="M19">
        <f>IF(OR($M$1="",对接源_01水果!$C19="",对接源_01水果!$C19&lt;&gt;$M$1,对接源_01水果!$B19=""),0,IF(OR(N(对接源_01水果!$B19)&lt;$M$2,N(对接源_01水果!$B19)&gt;$M$3),0,1))</f>
        <v>0</v>
      </c>
      <c r="N19">
        <f>IF(OR($N$1="",对接源_01水果!$C19="",对接源_01水果!$C19&lt;&gt;$N$1,对接源_01水果!$B19=""),0,IF(OR(N(对接源_01水果!$B19)&lt;$N$2,N(对接源_01水果!$B19)&gt;$N$3),0,1))</f>
        <v>0</v>
      </c>
      <c r="P19">
        <f>IF(AND($K19=1,AND(对接源_01水果!$X19="公司筐",N(对接源_01水果!$T19)&lt;&gt;0)),1,0)</f>
        <v>0</v>
      </c>
      <c r="Q19">
        <f>N(Q18)+$P19</f>
        <v>0</v>
      </c>
      <c r="R19">
        <f>IF(AND($K19=1,AND(对接源_01水果!$X19="公司筐",N(对接源_01水果!$U19)&lt;&gt;0)),1,0)</f>
        <v>0</v>
      </c>
      <c r="S19">
        <f>N(S18)+$R19</f>
        <v>0</v>
      </c>
      <c r="T19">
        <f>IF(AND($K19=1,AND(对接源_01水果!$X19="公司筐",N(对接源_01水果!$V19)&lt;&gt;0)),1,0)</f>
        <v>0</v>
      </c>
      <c r="U19">
        <f>N(U18)+$T19</f>
        <v>0</v>
      </c>
      <c r="V19">
        <f>IF(AND($L19=1,AND(对接源_01水果!$X19="自备筐",N(对接源_01水果!$V19)&lt;&gt;0)),1,0)</f>
        <v>0</v>
      </c>
      <c r="W19">
        <f>N(W18)+$V19</f>
        <v>0</v>
      </c>
      <c r="X19">
        <f>IF(AND($L19=1,AND(对接源_01水果!$X19="自备筐",N(对接源_01水果!$T19)&lt;&gt;0)),1,0)</f>
        <v>0</v>
      </c>
      <c r="Y19">
        <f>N(Y18)+$X19</f>
        <v>0</v>
      </c>
      <c r="Z19">
        <f>IF(AND($M19=1,对接源_01水果!$D19="原料入库"),1,0)</f>
        <v>0</v>
      </c>
      <c r="AA19">
        <f>N(AA18)+$Z19</f>
        <v>0</v>
      </c>
      <c r="AB19">
        <f>IF(AND($M19=1,LEFT(对接源_01水果!$D19,4)="原料出库"),1,0)</f>
        <v>0</v>
      </c>
      <c r="AC19">
        <f>N(AC18)+$AB19</f>
        <v>0</v>
      </c>
      <c r="AD19">
        <f>IF(AND($M19=1,LEFT(对接源_01水果!$D19,4)="成品出库"),1,0)</f>
        <v>0</v>
      </c>
      <c r="AE19">
        <f>N(AE18)+$AD19</f>
        <v>0</v>
      </c>
      <c r="AF19">
        <f>IF(AND($N19=1,AND(LEFT(对接源_01水果!$D19,4)="包装物料",N(对接源_01水果!$K19)&lt;&gt;0)),1,0)</f>
        <v>0</v>
      </c>
      <c r="AG19">
        <f>N(AG18)+$AF19</f>
        <v>0</v>
      </c>
      <c r="AH19">
        <f>IF(AND($N19=1,AND(对接源_01水果!$D19="周转筐－销售出库",N(对接源_01水果!$K19)&lt;&gt;0)),1,0)</f>
        <v>0</v>
      </c>
      <c r="AI19">
        <f>N(AI18)+$AH19</f>
        <v>0</v>
      </c>
      <c r="AJ19" s="7" t="n"/>
      <c r="AL19">
        <f>IF(OR($AL$1="",对接源_01水果!$Y19="",对接源_01水果!$Y19&lt;&gt;$AL$1,对接源_01水果!$B19="",N(对接源_01水果!$AJ19)&lt;=0),0,IF(OR(N(对接源_01水果!$B19)&lt;$AL$2,N(对接源_01水果!$B19)&gt;$AL$3),0,1))</f>
        <v>0</v>
      </c>
      <c r="AM19">
        <f>N(AM18)+$AL19</f>
        <v>0</v>
      </c>
      <c r="AN19">
        <f>IF(对接源_01水果!$AC19="","",对接源_01水果!$AC19)</f>
      </c>
      <c r="AO19">
        <f>IF(AN19="",0,IF(MATCH(AN19,$AN$4:$AN$1203,0)=ROW()-3,1,0))</f>
        <v>0</v>
      </c>
      <c r="AP19">
        <f>N(AP18)+$AO19</f>
        <v>0</v>
      </c>
      <c r="AQ19">
        <f>IFERROR(INDEX($AN$4:$AN$1203,MATCH(ROW()-3,$AP$4:$AP$1203,0)),"")</f>
      </c>
      <c r="AR19">
        <f>IF(OR($AF19=1,$AH19=1),1,0)</f>
        <v>0</v>
      </c>
      <c r="AS19">
        <f>N(AS18)+$AR19</f>
        <v>0</v>
      </c>
    </row>
    <row r="20" ht="14.25" customHeight="1" s="127">
      <c r="A20" t="str">
        <f>IF(对接源_01水果!$C20="","",对接源_01水果!$C20)</f>
        <v>王照雪</v>
      </c>
      <c r="B20">
        <f>IF(A20="",0,IF(MATCH(A20,$A$4:$A$2403,0)=ROW()-3,1,0))</f>
        <v>0</v>
      </c>
      <c r="C20">
        <f>N(C19)+B20</f>
        <v>2</v>
      </c>
      <c r="E20" t="str">
        <f>IFERROR(INDEX($A$4:$A$2403,MATCH(ROW()-3,$C$4:$C$2403,0)),"")</f>
        <v>阿布都</v>
      </c>
      <c r="K20">
        <f>IF(OR($K$1="",对接源_01水果!$C20="",对接源_01水果!$C20&lt;&gt;$K$1,对接源_01水果!$B20=""),0,IF(OR(N(对接源_01水果!$B20)&lt;$K$2,N(对接源_01水果!$B20)&gt;$K$3),0,1))</f>
        <v>0</v>
      </c>
      <c r="L20">
        <f>IF(OR($L$1="",对接源_01水果!$C20="",对接源_01水果!$C20&lt;&gt;$L$1,对接源_01水果!$B20=""),0,IF(OR(N(对接源_01水果!$B20)&lt;$L$2,N(对接源_01水果!$B20)&gt;$L$3),0,1))</f>
        <v>0</v>
      </c>
      <c r="M20">
        <f>IF(OR($M$1="",对接源_01水果!$C20="",对接源_01水果!$C20&lt;&gt;$M$1,对接源_01水果!$B20=""),0,IF(OR(N(对接源_01水果!$B20)&lt;$M$2,N(对接源_01水果!$B20)&gt;$M$3),0,1))</f>
        <v>0</v>
      </c>
      <c r="N20">
        <f>IF(OR($N$1="",对接源_01水果!$C20="",对接源_01水果!$C20&lt;&gt;$N$1,对接源_01水果!$B20=""),0,IF(OR(N(对接源_01水果!$B20)&lt;$N$2,N(对接源_01水果!$B20)&gt;$N$3),0,1))</f>
        <v>0</v>
      </c>
      <c r="P20">
        <f>IF(AND($K20=1,AND(对接源_01水果!$X20="公司筐",N(对接源_01水果!$T20)&lt;&gt;0)),1,0)</f>
        <v>0</v>
      </c>
      <c r="Q20">
        <f>N(Q19)+$P20</f>
        <v>0</v>
      </c>
      <c r="R20">
        <f>IF(AND($K20=1,AND(对接源_01水果!$X20="公司筐",N(对接源_01水果!$U20)&lt;&gt;0)),1,0)</f>
        <v>0</v>
      </c>
      <c r="S20">
        <f>N(S19)+$R20</f>
        <v>0</v>
      </c>
      <c r="T20">
        <f>IF(AND($K20=1,AND(对接源_01水果!$X20="公司筐",N(对接源_01水果!$V20)&lt;&gt;0)),1,0)</f>
        <v>0</v>
      </c>
      <c r="U20">
        <f>N(U19)+$T20</f>
        <v>0</v>
      </c>
      <c r="V20">
        <f>IF(AND($L20=1,AND(对接源_01水果!$X20="自备筐",N(对接源_01水果!$V20)&lt;&gt;0)),1,0)</f>
        <v>0</v>
      </c>
      <c r="W20">
        <f>N(W19)+$V20</f>
        <v>0</v>
      </c>
      <c r="X20">
        <f>IF(AND($L20=1,AND(对接源_01水果!$X20="自备筐",N(对接源_01水果!$T20)&lt;&gt;0)),1,0)</f>
        <v>0</v>
      </c>
      <c r="Y20">
        <f>N(Y19)+$X20</f>
        <v>0</v>
      </c>
      <c r="Z20">
        <f>IF(AND($M20=1,对接源_01水果!$D20="原料入库"),1,0)</f>
        <v>0</v>
      </c>
      <c r="AA20">
        <f>N(AA19)+$Z20</f>
        <v>0</v>
      </c>
      <c r="AB20">
        <f>IF(AND($M20=1,LEFT(对接源_01水果!$D20,4)="原料出库"),1,0)</f>
        <v>0</v>
      </c>
      <c r="AC20">
        <f>N(AC19)+$AB20</f>
        <v>0</v>
      </c>
      <c r="AD20">
        <f>IF(AND($M20=1,LEFT(对接源_01水果!$D20,4)="成品出库"),1,0)</f>
        <v>0</v>
      </c>
      <c r="AE20">
        <f>N(AE19)+$AD20</f>
        <v>0</v>
      </c>
      <c r="AF20">
        <f>IF(AND($N20=1,AND(LEFT(对接源_01水果!$D20,4)="包装物料",N(对接源_01水果!$K20)&lt;&gt;0)),1,0)</f>
        <v>0</v>
      </c>
      <c r="AG20">
        <f>N(AG19)+$AF20</f>
        <v>0</v>
      </c>
      <c r="AH20">
        <f>IF(AND($N20=1,AND(对接源_01水果!$D20="周转筐－销售出库",N(对接源_01水果!$K20)&lt;&gt;0)),1,0)</f>
        <v>0</v>
      </c>
      <c r="AI20">
        <f>N(AI19)+$AH20</f>
        <v>0</v>
      </c>
      <c r="AJ20" s="7" t="n"/>
      <c r="AL20">
        <f>IF(OR($AL$1="",对接源_01水果!$Y20="",对接源_01水果!$Y20&lt;&gt;$AL$1,对接源_01水果!$B20="",N(对接源_01水果!$AJ20)&lt;=0),0,IF(OR(N(对接源_01水果!$B20)&lt;$AL$2,N(对接源_01水果!$B20)&gt;$AL$3),0,1))</f>
        <v>0</v>
      </c>
      <c r="AM20">
        <f>N(AM19)+$AL20</f>
        <v>0</v>
      </c>
      <c r="AN20">
        <f>IF(对接源_01水果!$AC20="","",对接源_01水果!$AC20)</f>
      </c>
      <c r="AO20">
        <f>IF(AN20="",0,IF(MATCH(AN20,$AN$4:$AN$1203,0)=ROW()-3,1,0))</f>
        <v>0</v>
      </c>
      <c r="AP20">
        <f>N(AP19)+$AO20</f>
        <v>0</v>
      </c>
      <c r="AQ20">
        <f>IFERROR(INDEX($AN$4:$AN$1203,MATCH(ROW()-3,$AP$4:$AP$1203,0)),"")</f>
      </c>
      <c r="AR20">
        <f>IF(OR($AF20=1,$AH20=1),1,0)</f>
        <v>0</v>
      </c>
      <c r="AS20">
        <f>N(AS19)+$AR20</f>
        <v>0</v>
      </c>
    </row>
    <row r="21" ht="14.25" customHeight="1" s="127">
      <c r="A21" t="str">
        <f>IF(对接源_01水果!$C21="","",对接源_01水果!$C21)</f>
        <v>聂新平</v>
      </c>
      <c r="B21">
        <f>IF(A21="",0,IF(MATCH(A21,$A$4:$A$2403,0)=ROW()-3,1,0))</f>
        <v>0</v>
      </c>
      <c r="C21">
        <f>N(C20)+B21</f>
        <v>2</v>
      </c>
      <c r="E21" t="str">
        <f>IFERROR(INDEX($A$4:$A$2403,MATCH(ROW()-3,$C$4:$C$2403,0)),"")</f>
        <v>艾则孜</v>
      </c>
      <c r="K21">
        <f>IF(OR($K$1="",对接源_01水果!$C21="",对接源_01水果!$C21&lt;&gt;$K$1,对接源_01水果!$B21=""),0,IF(OR(N(对接源_01水果!$B21)&lt;$K$2,N(对接源_01水果!$B21)&gt;$K$3),0,1))</f>
        <v>0</v>
      </c>
      <c r="L21">
        <f>IF(OR($L$1="",对接源_01水果!$C21="",对接源_01水果!$C21&lt;&gt;$L$1,对接源_01水果!$B21=""),0,IF(OR(N(对接源_01水果!$B21)&lt;$L$2,N(对接源_01水果!$B21)&gt;$L$3),0,1))</f>
        <v>0</v>
      </c>
      <c r="M21">
        <f>IF(OR($M$1="",对接源_01水果!$C21="",对接源_01水果!$C21&lt;&gt;$M$1,对接源_01水果!$B21=""),0,IF(OR(N(对接源_01水果!$B21)&lt;$M$2,N(对接源_01水果!$B21)&gt;$M$3),0,1))</f>
        <v>0</v>
      </c>
      <c r="N21">
        <f>IF(OR($N$1="",对接源_01水果!$C21="",对接源_01水果!$C21&lt;&gt;$N$1,对接源_01水果!$B21=""),0,IF(OR(N(对接源_01水果!$B21)&lt;$N$2,N(对接源_01水果!$B21)&gt;$N$3),0,1))</f>
        <v>0</v>
      </c>
      <c r="P21">
        <f>IF(AND($K21=1,AND(对接源_01水果!$X21="公司筐",N(对接源_01水果!$T21)&lt;&gt;0)),1,0)</f>
        <v>0</v>
      </c>
      <c r="Q21">
        <f>N(Q20)+$P21</f>
        <v>0</v>
      </c>
      <c r="R21">
        <f>IF(AND($K21=1,AND(对接源_01水果!$X21="公司筐",N(对接源_01水果!$U21)&lt;&gt;0)),1,0)</f>
        <v>0</v>
      </c>
      <c r="S21">
        <f>N(S20)+$R21</f>
        <v>0</v>
      </c>
      <c r="T21">
        <f>IF(AND($K21=1,AND(对接源_01水果!$X21="公司筐",N(对接源_01水果!$V21)&lt;&gt;0)),1,0)</f>
        <v>0</v>
      </c>
      <c r="U21">
        <f>N(U20)+$T21</f>
        <v>0</v>
      </c>
      <c r="V21">
        <f>IF(AND($L21=1,AND(对接源_01水果!$X21="自备筐",N(对接源_01水果!$V21)&lt;&gt;0)),1,0)</f>
        <v>0</v>
      </c>
      <c r="W21">
        <f>N(W20)+$V21</f>
        <v>0</v>
      </c>
      <c r="X21">
        <f>IF(AND($L21=1,AND(对接源_01水果!$X21="自备筐",N(对接源_01水果!$T21)&lt;&gt;0)),1,0)</f>
        <v>0</v>
      </c>
      <c r="Y21">
        <f>N(Y20)+$X21</f>
        <v>0</v>
      </c>
      <c r="Z21">
        <f>IF(AND($M21=1,对接源_01水果!$D21="原料入库"),1,0)</f>
        <v>0</v>
      </c>
      <c r="AA21">
        <f>N(AA20)+$Z21</f>
        <v>0</v>
      </c>
      <c r="AB21">
        <f>IF(AND($M21=1,LEFT(对接源_01水果!$D21,4)="原料出库"),1,0)</f>
        <v>0</v>
      </c>
      <c r="AC21">
        <f>N(AC20)+$AB21</f>
        <v>0</v>
      </c>
      <c r="AD21">
        <f>IF(AND($M21=1,LEFT(对接源_01水果!$D21,4)="成品出库"),1,0)</f>
        <v>0</v>
      </c>
      <c r="AE21">
        <f>N(AE20)+$AD21</f>
        <v>0</v>
      </c>
      <c r="AF21">
        <f>IF(AND($N21=1,AND(LEFT(对接源_01水果!$D21,4)="包装物料",N(对接源_01水果!$K21)&lt;&gt;0)),1,0)</f>
        <v>0</v>
      </c>
      <c r="AG21">
        <f>N(AG20)+$AF21</f>
        <v>0</v>
      </c>
      <c r="AH21">
        <f>IF(AND($N21=1,AND(对接源_01水果!$D21="周转筐－销售出库",N(对接源_01水果!$K21)&lt;&gt;0)),1,0)</f>
        <v>0</v>
      </c>
      <c r="AI21">
        <f>N(AI20)+$AH21</f>
        <v>0</v>
      </c>
      <c r="AJ21" s="7" t="n"/>
      <c r="AL21">
        <f>IF(OR($AL$1="",对接源_01水果!$Y21="",对接源_01水果!$Y21&lt;&gt;$AL$1,对接源_01水果!$B21="",N(对接源_01水果!$AJ21)&lt;=0),0,IF(OR(N(对接源_01水果!$B21)&lt;$AL$2,N(对接源_01水果!$B21)&gt;$AL$3),0,1))</f>
        <v>0</v>
      </c>
      <c r="AM21">
        <f>N(AM20)+$AL21</f>
        <v>0</v>
      </c>
      <c r="AN21">
        <f>IF(对接源_01水果!$AC21="","",对接源_01水果!$AC21)</f>
      </c>
      <c r="AO21">
        <f>IF(AN21="",0,IF(MATCH(AN21,$AN$4:$AN$1203,0)=ROW()-3,1,0))</f>
        <v>0</v>
      </c>
      <c r="AP21">
        <f>N(AP20)+$AO21</f>
        <v>0</v>
      </c>
      <c r="AQ21">
        <f>IFERROR(INDEX($AN$4:$AN$1203,MATCH(ROW()-3,$AP$4:$AP$1203,0)),"")</f>
      </c>
      <c r="AR21">
        <f>IF(OR($AF21=1,$AH21=1),1,0)</f>
        <v>0</v>
      </c>
      <c r="AS21">
        <f>N(AS20)+$AR21</f>
        <v>0</v>
      </c>
    </row>
    <row r="22" ht="14.25" customHeight="1" s="127">
      <c r="A22" t="str">
        <f>IF(对接源_01水果!$C22="","",对接源_01水果!$C22)</f>
        <v>聂新平</v>
      </c>
      <c r="B22">
        <f>IF(A22="",0,IF(MATCH(A22,$A$4:$A$2403,0)=ROW()-3,1,0))</f>
        <v>0</v>
      </c>
      <c r="C22">
        <f>N(C21)+B22</f>
        <v>2</v>
      </c>
      <c r="E22" t="str">
        <f>IFERROR(INDEX($A$4:$A$2403,MATCH(ROW()-3,$C$4:$C$2403,0)),"")</f>
        <v>田浩芝</v>
      </c>
      <c r="K22">
        <f>IF(OR($K$1="",对接源_01水果!$C22="",对接源_01水果!$C22&lt;&gt;$K$1,对接源_01水果!$B22=""),0,IF(OR(N(对接源_01水果!$B22)&lt;$K$2,N(对接源_01水果!$B22)&gt;$K$3),0,1))</f>
        <v>0</v>
      </c>
      <c r="L22">
        <f>IF(OR($L$1="",对接源_01水果!$C22="",对接源_01水果!$C22&lt;&gt;$L$1,对接源_01水果!$B22=""),0,IF(OR(N(对接源_01水果!$B22)&lt;$L$2,N(对接源_01水果!$B22)&gt;$L$3),0,1))</f>
        <v>0</v>
      </c>
      <c r="M22">
        <f>IF(OR($M$1="",对接源_01水果!$C22="",对接源_01水果!$C22&lt;&gt;$M$1,对接源_01水果!$B22=""),0,IF(OR(N(对接源_01水果!$B22)&lt;$M$2,N(对接源_01水果!$B22)&gt;$M$3),0,1))</f>
        <v>0</v>
      </c>
      <c r="N22">
        <f>IF(OR($N$1="",对接源_01水果!$C22="",对接源_01水果!$C22&lt;&gt;$N$1,对接源_01水果!$B22=""),0,IF(OR(N(对接源_01水果!$B22)&lt;$N$2,N(对接源_01水果!$B22)&gt;$N$3),0,1))</f>
        <v>0</v>
      </c>
      <c r="P22">
        <f>IF(AND($K22=1,AND(对接源_01水果!$X22="公司筐",N(对接源_01水果!$T22)&lt;&gt;0)),1,0)</f>
        <v>0</v>
      </c>
      <c r="Q22">
        <f>N(Q21)+$P22</f>
        <v>0</v>
      </c>
      <c r="R22">
        <f>IF(AND($K22=1,AND(对接源_01水果!$X22="公司筐",N(对接源_01水果!$U22)&lt;&gt;0)),1,0)</f>
        <v>0</v>
      </c>
      <c r="S22">
        <f>N(S21)+$R22</f>
        <v>0</v>
      </c>
      <c r="T22">
        <f>IF(AND($K22=1,AND(对接源_01水果!$X22="公司筐",N(对接源_01水果!$V22)&lt;&gt;0)),1,0)</f>
        <v>0</v>
      </c>
      <c r="U22">
        <f>N(U21)+$T22</f>
        <v>0</v>
      </c>
      <c r="V22">
        <f>IF(AND($L22=1,AND(对接源_01水果!$X22="自备筐",N(对接源_01水果!$V22)&lt;&gt;0)),1,0)</f>
        <v>0</v>
      </c>
      <c r="W22">
        <f>N(W21)+$V22</f>
        <v>0</v>
      </c>
      <c r="X22">
        <f>IF(AND($L22=1,AND(对接源_01水果!$X22="自备筐",N(对接源_01水果!$T22)&lt;&gt;0)),1,0)</f>
        <v>0</v>
      </c>
      <c r="Y22">
        <f>N(Y21)+$X22</f>
        <v>0</v>
      </c>
      <c r="Z22">
        <f>IF(AND($M22=1,对接源_01水果!$D22="原料入库"),1,0)</f>
        <v>0</v>
      </c>
      <c r="AA22">
        <f>N(AA21)+$Z22</f>
        <v>0</v>
      </c>
      <c r="AB22">
        <f>IF(AND($M22=1,LEFT(对接源_01水果!$D22,4)="原料出库"),1,0)</f>
        <v>0</v>
      </c>
      <c r="AC22">
        <f>N(AC21)+$AB22</f>
        <v>0</v>
      </c>
      <c r="AD22">
        <f>IF(AND($M22=1,LEFT(对接源_01水果!$D22,4)="成品出库"),1,0)</f>
        <v>0</v>
      </c>
      <c r="AE22">
        <f>N(AE21)+$AD22</f>
        <v>0</v>
      </c>
      <c r="AF22">
        <f>IF(AND($N22=1,AND(LEFT(对接源_01水果!$D22,4)="包装物料",N(对接源_01水果!$K22)&lt;&gt;0)),1,0)</f>
        <v>0</v>
      </c>
      <c r="AG22">
        <f>N(AG21)+$AF22</f>
        <v>0</v>
      </c>
      <c r="AH22">
        <f>IF(AND($N22=1,AND(对接源_01水果!$D22="周转筐－销售出库",N(对接源_01水果!$K22)&lt;&gt;0)),1,0)</f>
        <v>0</v>
      </c>
      <c r="AI22">
        <f>N(AI21)+$AH22</f>
        <v>0</v>
      </c>
      <c r="AJ22" s="7" t="n"/>
      <c r="AL22">
        <f>IF(OR($AL$1="",对接源_01水果!$Y22="",对接源_01水果!$Y22&lt;&gt;$AL$1,对接源_01水果!$B22="",N(对接源_01水果!$AJ22)&lt;=0),0,IF(OR(N(对接源_01水果!$B22)&lt;$AL$2,N(对接源_01水果!$B22)&gt;$AL$3),0,1))</f>
        <v>0</v>
      </c>
      <c r="AM22">
        <f>N(AM21)+$AL22</f>
        <v>0</v>
      </c>
      <c r="AN22">
        <f>IF(对接源_01水果!$AC22="","",对接源_01水果!$AC22)</f>
      </c>
      <c r="AO22">
        <f>IF(AN22="",0,IF(MATCH(AN22,$AN$4:$AN$1203,0)=ROW()-3,1,0))</f>
        <v>0</v>
      </c>
      <c r="AP22">
        <f>N(AP21)+$AO22</f>
        <v>0</v>
      </c>
      <c r="AQ22">
        <f>IFERROR(INDEX($AN$4:$AN$1203,MATCH(ROW()-3,$AP$4:$AP$1203,0)),"")</f>
      </c>
      <c r="AR22">
        <f>IF(OR($AF22=1,$AH22=1),1,0)</f>
        <v>0</v>
      </c>
      <c r="AS22">
        <f>N(AS21)+$AR22</f>
        <v>0</v>
      </c>
    </row>
    <row r="23" ht="14.25" customHeight="1" s="127">
      <c r="A23" t="str">
        <f>IF(对接源_01水果!$C23="","",对接源_01水果!$C23)</f>
        <v>伍元虎</v>
      </c>
      <c r="B23">
        <f>IF(A23="",0,IF(MATCH(A23,$A$4:$A$2403,0)=ROW()-3,1,0))</f>
        <v>1</v>
      </c>
      <c r="C23">
        <f>N(C22)+B23</f>
        <v>3</v>
      </c>
      <c r="E23" t="str">
        <f>IFERROR(INDEX($A$4:$A$2403,MATCH(ROW()-3,$C$4:$C$2403,0)),"")</f>
        <v>艾海提</v>
      </c>
      <c r="K23">
        <f>IF(OR($K$1="",对接源_01水果!$C23="",对接源_01水果!$C23&lt;&gt;$K$1,对接源_01水果!$B23=""),0,IF(OR(N(对接源_01水果!$B23)&lt;$K$2,N(对接源_01水果!$B23)&gt;$K$3),0,1))</f>
        <v>0</v>
      </c>
      <c r="L23">
        <f>IF(OR($L$1="",对接源_01水果!$C23="",对接源_01水果!$C23&lt;&gt;$L$1,对接源_01水果!$B23=""),0,IF(OR(N(对接源_01水果!$B23)&lt;$L$2,N(对接源_01水果!$B23)&gt;$L$3),0,1))</f>
        <v>0</v>
      </c>
      <c r="M23">
        <f>IF(OR($M$1="",对接源_01水果!$C23="",对接源_01水果!$C23&lt;&gt;$M$1,对接源_01水果!$B23=""),0,IF(OR(N(对接源_01水果!$B23)&lt;$M$2,N(对接源_01水果!$B23)&gt;$M$3),0,1))</f>
        <v>0</v>
      </c>
      <c r="N23">
        <f>IF(OR($N$1="",对接源_01水果!$C23="",对接源_01水果!$C23&lt;&gt;$N$1,对接源_01水果!$B23=""),0,IF(OR(N(对接源_01水果!$B23)&lt;$N$2,N(对接源_01水果!$B23)&gt;$N$3),0,1))</f>
        <v>0</v>
      </c>
      <c r="P23">
        <f>IF(AND($K23=1,AND(对接源_01水果!$X23="公司筐",N(对接源_01水果!$T23)&lt;&gt;0)),1,0)</f>
        <v>0</v>
      </c>
      <c r="Q23">
        <f>N(Q22)+$P23</f>
        <v>0</v>
      </c>
      <c r="R23">
        <f>IF(AND($K23=1,AND(对接源_01水果!$X23="公司筐",N(对接源_01水果!$U23)&lt;&gt;0)),1,0)</f>
        <v>0</v>
      </c>
      <c r="S23">
        <f>N(S22)+$R23</f>
        <v>0</v>
      </c>
      <c r="T23">
        <f>IF(AND($K23=1,AND(对接源_01水果!$X23="公司筐",N(对接源_01水果!$V23)&lt;&gt;0)),1,0)</f>
        <v>0</v>
      </c>
      <c r="U23">
        <f>N(U22)+$T23</f>
        <v>0</v>
      </c>
      <c r="V23">
        <f>IF(AND($L23=1,AND(对接源_01水果!$X23="自备筐",N(对接源_01水果!$V23)&lt;&gt;0)),1,0)</f>
        <v>0</v>
      </c>
      <c r="W23">
        <f>N(W22)+$V23</f>
        <v>0</v>
      </c>
      <c r="X23">
        <f>IF(AND($L23=1,AND(对接源_01水果!$X23="自备筐",N(对接源_01水果!$T23)&lt;&gt;0)),1,0)</f>
        <v>0</v>
      </c>
      <c r="Y23">
        <f>N(Y22)+$X23</f>
        <v>0</v>
      </c>
      <c r="Z23">
        <f>IF(AND($M23=1,对接源_01水果!$D23="原料入库"),1,0)</f>
        <v>0</v>
      </c>
      <c r="AA23">
        <f>N(AA22)+$Z23</f>
        <v>0</v>
      </c>
      <c r="AB23">
        <f>IF(AND($M23=1,LEFT(对接源_01水果!$D23,4)="原料出库"),1,0)</f>
        <v>0</v>
      </c>
      <c r="AC23">
        <f>N(AC22)+$AB23</f>
        <v>0</v>
      </c>
      <c r="AD23">
        <f>IF(AND($M23=1,LEFT(对接源_01水果!$D23,4)="成品出库"),1,0)</f>
        <v>0</v>
      </c>
      <c r="AE23">
        <f>N(AE22)+$AD23</f>
        <v>0</v>
      </c>
      <c r="AF23">
        <f>IF(AND($N23=1,AND(LEFT(对接源_01水果!$D23,4)="包装物料",N(对接源_01水果!$K23)&lt;&gt;0)),1,0)</f>
        <v>0</v>
      </c>
      <c r="AG23">
        <f>N(AG22)+$AF23</f>
        <v>0</v>
      </c>
      <c r="AH23">
        <f>IF(AND($N23=1,AND(对接源_01水果!$D23="周转筐－销售出库",N(对接源_01水果!$K23)&lt;&gt;0)),1,0)</f>
        <v>0</v>
      </c>
      <c r="AI23">
        <f>N(AI22)+$AH23</f>
        <v>0</v>
      </c>
      <c r="AJ23" s="7" t="n"/>
      <c r="AL23">
        <f>IF(OR($AL$1="",对接源_01水果!$Y23="",对接源_01水果!$Y23&lt;&gt;$AL$1,对接源_01水果!$B23="",N(对接源_01水果!$AJ23)&lt;=0),0,IF(OR(N(对接源_01水果!$B23)&lt;$AL$2,N(对接源_01水果!$B23)&gt;$AL$3),0,1))</f>
        <v>0</v>
      </c>
      <c r="AM23">
        <f>N(AM22)+$AL23</f>
        <v>0</v>
      </c>
      <c r="AN23">
        <f>IF(对接源_01水果!$AC23="","",对接源_01水果!$AC23)</f>
      </c>
      <c r="AO23">
        <f>IF(AN23="",0,IF(MATCH(AN23,$AN$4:$AN$1203,0)=ROW()-3,1,0))</f>
        <v>0</v>
      </c>
      <c r="AP23">
        <f>N(AP22)+$AO23</f>
        <v>0</v>
      </c>
      <c r="AQ23">
        <f>IFERROR(INDEX($AN$4:$AN$1203,MATCH(ROW()-3,$AP$4:$AP$1203,0)),"")</f>
      </c>
      <c r="AR23">
        <f>IF(OR($AF23=1,$AH23=1),1,0)</f>
        <v>0</v>
      </c>
      <c r="AS23">
        <f>N(AS22)+$AR23</f>
        <v>0</v>
      </c>
    </row>
    <row r="24" ht="14.25" customHeight="1" s="127">
      <c r="A24" t="str">
        <f>IF(对接源_01水果!$C24="","",对接源_01水果!$C24)</f>
        <v>王照雪</v>
      </c>
      <c r="B24">
        <f>IF(A24="",0,IF(MATCH(A24,$A$4:$A$2403,0)=ROW()-3,1,0))</f>
        <v>0</v>
      </c>
      <c r="C24">
        <f>N(C23)+B24</f>
        <v>3</v>
      </c>
      <c r="E24" t="str">
        <f>IFERROR(INDEX($A$4:$A$2403,MATCH(ROW()-3,$C$4:$C$2403,0)),"")</f>
        <v>金龙</v>
      </c>
      <c r="K24">
        <f>IF(OR($K$1="",对接源_01水果!$C24="",对接源_01水果!$C24&lt;&gt;$K$1,对接源_01水果!$B24=""),0,IF(OR(N(对接源_01水果!$B24)&lt;$K$2,N(对接源_01水果!$B24)&gt;$K$3),0,1))</f>
        <v>0</v>
      </c>
      <c r="L24">
        <f>IF(OR($L$1="",对接源_01水果!$C24="",对接源_01水果!$C24&lt;&gt;$L$1,对接源_01水果!$B24=""),0,IF(OR(N(对接源_01水果!$B24)&lt;$L$2,N(对接源_01水果!$B24)&gt;$L$3),0,1))</f>
        <v>0</v>
      </c>
      <c r="M24">
        <f>IF(OR($M$1="",对接源_01水果!$C24="",对接源_01水果!$C24&lt;&gt;$M$1,对接源_01水果!$B24=""),0,IF(OR(N(对接源_01水果!$B24)&lt;$M$2,N(对接源_01水果!$B24)&gt;$M$3),0,1))</f>
        <v>0</v>
      </c>
      <c r="N24">
        <f>IF(OR($N$1="",对接源_01水果!$C24="",对接源_01水果!$C24&lt;&gt;$N$1,对接源_01水果!$B24=""),0,IF(OR(N(对接源_01水果!$B24)&lt;$N$2,N(对接源_01水果!$B24)&gt;$N$3),0,1))</f>
        <v>0</v>
      </c>
      <c r="P24">
        <f>IF(AND($K24=1,AND(对接源_01水果!$X24="公司筐",N(对接源_01水果!$T24)&lt;&gt;0)),1,0)</f>
        <v>0</v>
      </c>
      <c r="Q24">
        <f>N(Q23)+$P24</f>
        <v>0</v>
      </c>
      <c r="R24">
        <f>IF(AND($K24=1,AND(对接源_01水果!$X24="公司筐",N(对接源_01水果!$U24)&lt;&gt;0)),1,0)</f>
        <v>0</v>
      </c>
      <c r="S24">
        <f>N(S23)+$R24</f>
        <v>0</v>
      </c>
      <c r="T24">
        <f>IF(AND($K24=1,AND(对接源_01水果!$X24="公司筐",N(对接源_01水果!$V24)&lt;&gt;0)),1,0)</f>
        <v>0</v>
      </c>
      <c r="U24">
        <f>N(U23)+$T24</f>
        <v>0</v>
      </c>
      <c r="V24">
        <f>IF(AND($L24=1,AND(对接源_01水果!$X24="自备筐",N(对接源_01水果!$V24)&lt;&gt;0)),1,0)</f>
        <v>0</v>
      </c>
      <c r="W24">
        <f>N(W23)+$V24</f>
        <v>0</v>
      </c>
      <c r="X24">
        <f>IF(AND($L24=1,AND(对接源_01水果!$X24="自备筐",N(对接源_01水果!$T24)&lt;&gt;0)),1,0)</f>
        <v>0</v>
      </c>
      <c r="Y24">
        <f>N(Y23)+$X24</f>
        <v>0</v>
      </c>
      <c r="Z24">
        <f>IF(AND($M24=1,对接源_01水果!$D24="原料入库"),1,0)</f>
        <v>0</v>
      </c>
      <c r="AA24">
        <f>N(AA23)+$Z24</f>
        <v>0</v>
      </c>
      <c r="AB24">
        <f>IF(AND($M24=1,LEFT(对接源_01水果!$D24,4)="原料出库"),1,0)</f>
        <v>0</v>
      </c>
      <c r="AC24">
        <f>N(AC23)+$AB24</f>
        <v>0</v>
      </c>
      <c r="AD24">
        <f>IF(AND($M24=1,LEFT(对接源_01水果!$D24,4)="成品出库"),1,0)</f>
        <v>0</v>
      </c>
      <c r="AE24">
        <f>N(AE23)+$AD24</f>
        <v>0</v>
      </c>
      <c r="AF24">
        <f>IF(AND($N24=1,AND(LEFT(对接源_01水果!$D24,4)="包装物料",N(对接源_01水果!$K24)&lt;&gt;0)),1,0)</f>
        <v>0</v>
      </c>
      <c r="AG24">
        <f>N(AG23)+$AF24</f>
        <v>0</v>
      </c>
      <c r="AH24">
        <f>IF(AND($N24=1,AND(对接源_01水果!$D24="周转筐－销售出库",N(对接源_01水果!$K24)&lt;&gt;0)),1,0)</f>
        <v>0</v>
      </c>
      <c r="AI24">
        <f>N(AI23)+$AH24</f>
        <v>0</v>
      </c>
      <c r="AJ24" s="7" t="n"/>
      <c r="AL24">
        <f>IF(OR($AL$1="",对接源_01水果!$Y24="",对接源_01水果!$Y24&lt;&gt;$AL$1,对接源_01水果!$B24="",N(对接源_01水果!$AJ24)&lt;=0),0,IF(OR(N(对接源_01水果!$B24)&lt;$AL$2,N(对接源_01水果!$B24)&gt;$AL$3),0,1))</f>
        <v>0</v>
      </c>
      <c r="AM24">
        <f>N(AM23)+$AL24</f>
        <v>0</v>
      </c>
      <c r="AN24">
        <f>IF(对接源_01水果!$AC24="","",对接源_01水果!$AC24)</f>
      </c>
      <c r="AO24">
        <f>IF(AN24="",0,IF(MATCH(AN24,$AN$4:$AN$1203,0)=ROW()-3,1,0))</f>
        <v>0</v>
      </c>
      <c r="AP24">
        <f>N(AP23)+$AO24</f>
        <v>0</v>
      </c>
      <c r="AQ24">
        <f>IFERROR(INDEX($AN$4:$AN$1203,MATCH(ROW()-3,$AP$4:$AP$1203,0)),"")</f>
      </c>
      <c r="AR24">
        <f>IF(OR($AF24=1,$AH24=1),1,0)</f>
        <v>0</v>
      </c>
      <c r="AS24">
        <f>N(AS23)+$AR24</f>
        <v>0</v>
      </c>
    </row>
    <row r="25" ht="14.25" customHeight="1" s="127">
      <c r="A25" t="str">
        <f>IF(对接源_01水果!$C25="","",对接源_01水果!$C25)</f>
        <v>伍元虎</v>
      </c>
      <c r="B25">
        <f>IF(A25="",0,IF(MATCH(A25,$A$4:$A$2403,0)=ROW()-3,1,0))</f>
        <v>0</v>
      </c>
      <c r="C25">
        <f>N(C24)+B25</f>
        <v>3</v>
      </c>
      <c r="E25" t="str">
        <f>IFERROR(INDEX($A$4:$A$2403,MATCH(ROW()-3,$C$4:$C$2403,0)),"")</f>
        <v>吐尔地</v>
      </c>
      <c r="K25">
        <f>IF(OR($K$1="",对接源_01水果!$C25="",对接源_01水果!$C25&lt;&gt;$K$1,对接源_01水果!$B25=""),0,IF(OR(N(对接源_01水果!$B25)&lt;$K$2,N(对接源_01水果!$B25)&gt;$K$3),0,1))</f>
        <v>0</v>
      </c>
      <c r="L25">
        <f>IF(OR($L$1="",对接源_01水果!$C25="",对接源_01水果!$C25&lt;&gt;$L$1,对接源_01水果!$B25=""),0,IF(OR(N(对接源_01水果!$B25)&lt;$L$2,N(对接源_01水果!$B25)&gt;$L$3),0,1))</f>
        <v>0</v>
      </c>
      <c r="M25">
        <f>IF(OR($M$1="",对接源_01水果!$C25="",对接源_01水果!$C25&lt;&gt;$M$1,对接源_01水果!$B25=""),0,IF(OR(N(对接源_01水果!$B25)&lt;$M$2,N(对接源_01水果!$B25)&gt;$M$3),0,1))</f>
        <v>0</v>
      </c>
      <c r="N25">
        <f>IF(OR($N$1="",对接源_01水果!$C25="",对接源_01水果!$C25&lt;&gt;$N$1,对接源_01水果!$B25=""),0,IF(OR(N(对接源_01水果!$B25)&lt;$N$2,N(对接源_01水果!$B25)&gt;$N$3),0,1))</f>
        <v>0</v>
      </c>
      <c r="P25">
        <f>IF(AND($K25=1,AND(对接源_01水果!$X25="公司筐",N(对接源_01水果!$T25)&lt;&gt;0)),1,0)</f>
        <v>0</v>
      </c>
      <c r="Q25">
        <f>N(Q24)+$P25</f>
        <v>0</v>
      </c>
      <c r="R25">
        <f>IF(AND($K25=1,AND(对接源_01水果!$X25="公司筐",N(对接源_01水果!$U25)&lt;&gt;0)),1,0)</f>
        <v>0</v>
      </c>
      <c r="S25">
        <f>N(S24)+$R25</f>
        <v>0</v>
      </c>
      <c r="T25">
        <f>IF(AND($K25=1,AND(对接源_01水果!$X25="公司筐",N(对接源_01水果!$V25)&lt;&gt;0)),1,0)</f>
        <v>0</v>
      </c>
      <c r="U25">
        <f>N(U24)+$T25</f>
        <v>0</v>
      </c>
      <c r="V25">
        <f>IF(AND($L25=1,AND(对接源_01水果!$X25="自备筐",N(对接源_01水果!$V25)&lt;&gt;0)),1,0)</f>
        <v>0</v>
      </c>
      <c r="W25">
        <f>N(W24)+$V25</f>
        <v>0</v>
      </c>
      <c r="X25">
        <f>IF(AND($L25=1,AND(对接源_01水果!$X25="自备筐",N(对接源_01水果!$T25)&lt;&gt;0)),1,0)</f>
        <v>0</v>
      </c>
      <c r="Y25">
        <f>N(Y24)+$X25</f>
        <v>0</v>
      </c>
      <c r="Z25">
        <f>IF(AND($M25=1,对接源_01水果!$D25="原料入库"),1,0)</f>
        <v>0</v>
      </c>
      <c r="AA25">
        <f>N(AA24)+$Z25</f>
        <v>0</v>
      </c>
      <c r="AB25">
        <f>IF(AND($M25=1,LEFT(对接源_01水果!$D25,4)="原料出库"),1,0)</f>
        <v>0</v>
      </c>
      <c r="AC25">
        <f>N(AC24)+$AB25</f>
        <v>0</v>
      </c>
      <c r="AD25">
        <f>IF(AND($M25=1,LEFT(对接源_01水果!$D25,4)="成品出库"),1,0)</f>
        <v>0</v>
      </c>
      <c r="AE25">
        <f>N(AE24)+$AD25</f>
        <v>0</v>
      </c>
      <c r="AF25">
        <f>IF(AND($N25=1,AND(LEFT(对接源_01水果!$D25,4)="包装物料",N(对接源_01水果!$K25)&lt;&gt;0)),1,0)</f>
        <v>0</v>
      </c>
      <c r="AG25">
        <f>N(AG24)+$AF25</f>
        <v>0</v>
      </c>
      <c r="AH25">
        <f>IF(AND($N25=1,AND(对接源_01水果!$D25="周转筐－销售出库",N(对接源_01水果!$K25)&lt;&gt;0)),1,0)</f>
        <v>0</v>
      </c>
      <c r="AI25">
        <f>N(AI24)+$AH25</f>
        <v>0</v>
      </c>
      <c r="AJ25" s="7" t="n"/>
      <c r="AL25">
        <f>IF(OR($AL$1="",对接源_01水果!$Y25="",对接源_01水果!$Y25&lt;&gt;$AL$1,对接源_01水果!$B25="",N(对接源_01水果!$AJ25)&lt;=0),0,IF(OR(N(对接源_01水果!$B25)&lt;$AL$2,N(对接源_01水果!$B25)&gt;$AL$3),0,1))</f>
        <v>0</v>
      </c>
      <c r="AM25">
        <f>N(AM24)+$AL25</f>
        <v>0</v>
      </c>
      <c r="AN25">
        <f>IF(对接源_01水果!$AC25="","",对接源_01水果!$AC25)</f>
      </c>
      <c r="AO25">
        <f>IF(AN25="",0,IF(MATCH(AN25,$AN$4:$AN$1203,0)=ROW()-3,1,0))</f>
        <v>0</v>
      </c>
      <c r="AP25">
        <f>N(AP24)+$AO25</f>
        <v>0</v>
      </c>
      <c r="AQ25">
        <f>IFERROR(INDEX($AN$4:$AN$1203,MATCH(ROW()-3,$AP$4:$AP$1203,0)),"")</f>
      </c>
      <c r="AR25">
        <f>IF(OR($AF25=1,$AH25=1),1,0)</f>
        <v>0</v>
      </c>
      <c r="AS25">
        <f>N(AS24)+$AR25</f>
        <v>0</v>
      </c>
    </row>
    <row r="26" ht="14.25" customHeight="1" s="127">
      <c r="A26" t="str">
        <f>IF(对接源_01水果!$C26="","",对接源_01水果!$C26)</f>
        <v>聂新平</v>
      </c>
      <c r="B26">
        <f>IF(A26="",0,IF(MATCH(A26,$A$4:$A$2403,0)=ROW()-3,1,0))</f>
        <v>0</v>
      </c>
      <c r="C26">
        <f>N(C25)+B26</f>
        <v>3</v>
      </c>
      <c r="E26" t="str">
        <f>IFERROR(INDEX($A$4:$A$2403,MATCH(ROW()-3,$C$4:$C$2403,0)),"")</f>
        <v>果然鲜</v>
      </c>
      <c r="K26">
        <f>IF(OR($K$1="",对接源_01水果!$C26="",对接源_01水果!$C26&lt;&gt;$K$1,对接源_01水果!$B26=""),0,IF(OR(N(对接源_01水果!$B26)&lt;$K$2,N(对接源_01水果!$B26)&gt;$K$3),0,1))</f>
        <v>0</v>
      </c>
      <c r="L26">
        <f>IF(OR($L$1="",对接源_01水果!$C26="",对接源_01水果!$C26&lt;&gt;$L$1,对接源_01水果!$B26=""),0,IF(OR(N(对接源_01水果!$B26)&lt;$L$2,N(对接源_01水果!$B26)&gt;$L$3),0,1))</f>
        <v>0</v>
      </c>
      <c r="M26">
        <f>IF(OR($M$1="",对接源_01水果!$C26="",对接源_01水果!$C26&lt;&gt;$M$1,对接源_01水果!$B26=""),0,IF(OR(N(对接源_01水果!$B26)&lt;$M$2,N(对接源_01水果!$B26)&gt;$M$3),0,1))</f>
        <v>0</v>
      </c>
      <c r="N26">
        <f>IF(OR($N$1="",对接源_01水果!$C26="",对接源_01水果!$C26&lt;&gt;$N$1,对接源_01水果!$B26=""),0,IF(OR(N(对接源_01水果!$B26)&lt;$N$2,N(对接源_01水果!$B26)&gt;$N$3),0,1))</f>
        <v>0</v>
      </c>
      <c r="P26">
        <f>IF(AND($K26=1,AND(对接源_01水果!$X26="公司筐",N(对接源_01水果!$T26)&lt;&gt;0)),1,0)</f>
        <v>0</v>
      </c>
      <c r="Q26">
        <f>N(Q25)+$P26</f>
        <v>0</v>
      </c>
      <c r="R26">
        <f>IF(AND($K26=1,AND(对接源_01水果!$X26="公司筐",N(对接源_01水果!$U26)&lt;&gt;0)),1,0)</f>
        <v>0</v>
      </c>
      <c r="S26">
        <f>N(S25)+$R26</f>
        <v>0</v>
      </c>
      <c r="T26">
        <f>IF(AND($K26=1,AND(对接源_01水果!$X26="公司筐",N(对接源_01水果!$V26)&lt;&gt;0)),1,0)</f>
        <v>0</v>
      </c>
      <c r="U26">
        <f>N(U25)+$T26</f>
        <v>0</v>
      </c>
      <c r="V26">
        <f>IF(AND($L26=1,AND(对接源_01水果!$X26="自备筐",N(对接源_01水果!$V26)&lt;&gt;0)),1,0)</f>
        <v>0</v>
      </c>
      <c r="W26">
        <f>N(W25)+$V26</f>
        <v>0</v>
      </c>
      <c r="X26">
        <f>IF(AND($L26=1,AND(对接源_01水果!$X26="自备筐",N(对接源_01水果!$T26)&lt;&gt;0)),1,0)</f>
        <v>0</v>
      </c>
      <c r="Y26">
        <f>N(Y25)+$X26</f>
        <v>0</v>
      </c>
      <c r="Z26">
        <f>IF(AND($M26=1,对接源_01水果!$D26="原料入库"),1,0)</f>
        <v>0</v>
      </c>
      <c r="AA26">
        <f>N(AA25)+$Z26</f>
        <v>0</v>
      </c>
      <c r="AB26">
        <f>IF(AND($M26=1,LEFT(对接源_01水果!$D26,4)="原料出库"),1,0)</f>
        <v>0</v>
      </c>
      <c r="AC26">
        <f>N(AC25)+$AB26</f>
        <v>0</v>
      </c>
      <c r="AD26">
        <f>IF(AND($M26=1,LEFT(对接源_01水果!$D26,4)="成品出库"),1,0)</f>
        <v>0</v>
      </c>
      <c r="AE26">
        <f>N(AE25)+$AD26</f>
        <v>0</v>
      </c>
      <c r="AF26">
        <f>IF(AND($N26=1,AND(LEFT(对接源_01水果!$D26,4)="包装物料",N(对接源_01水果!$K26)&lt;&gt;0)),1,0)</f>
        <v>0</v>
      </c>
      <c r="AG26">
        <f>N(AG25)+$AF26</f>
        <v>0</v>
      </c>
      <c r="AH26">
        <f>IF(AND($N26=1,AND(对接源_01水果!$D26="周转筐－销售出库",N(对接源_01水果!$K26)&lt;&gt;0)),1,0)</f>
        <v>0</v>
      </c>
      <c r="AI26">
        <f>N(AI25)+$AH26</f>
        <v>0</v>
      </c>
      <c r="AJ26" s="7" t="n"/>
      <c r="AL26">
        <f>IF(OR($AL$1="",对接源_01水果!$Y26="",对接源_01水果!$Y26&lt;&gt;$AL$1,对接源_01水果!$B26="",N(对接源_01水果!$AJ26)&lt;=0),0,IF(OR(N(对接源_01水果!$B26)&lt;$AL$2,N(对接源_01水果!$B26)&gt;$AL$3),0,1))</f>
        <v>0</v>
      </c>
      <c r="AM26">
        <f>N(AM25)+$AL26</f>
        <v>0</v>
      </c>
      <c r="AN26">
        <f>IF(对接源_01水果!$AC26="","",对接源_01水果!$AC26)</f>
      </c>
      <c r="AO26">
        <f>IF(AN26="",0,IF(MATCH(AN26,$AN$4:$AN$1203,0)=ROW()-3,1,0))</f>
        <v>0</v>
      </c>
      <c r="AP26">
        <f>N(AP25)+$AO26</f>
        <v>0</v>
      </c>
      <c r="AQ26">
        <f>IFERROR(INDEX($AN$4:$AN$1203,MATCH(ROW()-3,$AP$4:$AP$1203,0)),"")</f>
      </c>
      <c r="AR26">
        <f>IF(OR($AF26=1,$AH26=1),1,0)</f>
        <v>0</v>
      </c>
      <c r="AS26">
        <f>N(AS25)+$AR26</f>
        <v>0</v>
      </c>
    </row>
    <row r="27" ht="14.25" customHeight="1" s="127">
      <c r="A27" t="str">
        <f>IF(对接源_01水果!$C27="","",对接源_01水果!$C27)</f>
        <v>聂新平</v>
      </c>
      <c r="B27">
        <f>IF(A27="",0,IF(MATCH(A27,$A$4:$A$2403,0)=ROW()-3,1,0))</f>
        <v>0</v>
      </c>
      <c r="C27">
        <f>N(C26)+B27</f>
        <v>3</v>
      </c>
      <c r="E27" t="str">
        <f>IFERROR(INDEX($A$4:$A$2403,MATCH(ROW()-3,$C$4:$C$2403,0)),"")</f>
        <v>新顺发泡网</v>
      </c>
      <c r="K27">
        <f>IF(OR($K$1="",对接源_01水果!$C27="",对接源_01水果!$C27&lt;&gt;$K$1,对接源_01水果!$B27=""),0,IF(OR(N(对接源_01水果!$B27)&lt;$K$2,N(对接源_01水果!$B27)&gt;$K$3),0,1))</f>
        <v>0</v>
      </c>
      <c r="L27">
        <f>IF(OR($L$1="",对接源_01水果!$C27="",对接源_01水果!$C27&lt;&gt;$L$1,对接源_01水果!$B27=""),0,IF(OR(N(对接源_01水果!$B27)&lt;$L$2,N(对接源_01水果!$B27)&gt;$L$3),0,1))</f>
        <v>0</v>
      </c>
      <c r="M27">
        <f>IF(OR($M$1="",对接源_01水果!$C27="",对接源_01水果!$C27&lt;&gt;$M$1,对接源_01水果!$B27=""),0,IF(OR(N(对接源_01水果!$B27)&lt;$M$2,N(对接源_01水果!$B27)&gt;$M$3),0,1))</f>
        <v>0</v>
      </c>
      <c r="N27">
        <f>IF(OR($N$1="",对接源_01水果!$C27="",对接源_01水果!$C27&lt;&gt;$N$1,对接源_01水果!$B27=""),0,IF(OR(N(对接源_01水果!$B27)&lt;$N$2,N(对接源_01水果!$B27)&gt;$N$3),0,1))</f>
        <v>0</v>
      </c>
      <c r="P27">
        <f>IF(AND($K27=1,AND(对接源_01水果!$X27="公司筐",N(对接源_01水果!$T27)&lt;&gt;0)),1,0)</f>
        <v>0</v>
      </c>
      <c r="Q27">
        <f>N(Q26)+$P27</f>
        <v>0</v>
      </c>
      <c r="R27">
        <f>IF(AND($K27=1,AND(对接源_01水果!$X27="公司筐",N(对接源_01水果!$U27)&lt;&gt;0)),1,0)</f>
        <v>0</v>
      </c>
      <c r="S27">
        <f>N(S26)+$R27</f>
        <v>0</v>
      </c>
      <c r="T27">
        <f>IF(AND($K27=1,AND(对接源_01水果!$X27="公司筐",N(对接源_01水果!$V27)&lt;&gt;0)),1,0)</f>
        <v>0</v>
      </c>
      <c r="U27">
        <f>N(U26)+$T27</f>
        <v>0</v>
      </c>
      <c r="V27">
        <f>IF(AND($L27=1,AND(对接源_01水果!$X27="自备筐",N(对接源_01水果!$V27)&lt;&gt;0)),1,0)</f>
        <v>0</v>
      </c>
      <c r="W27">
        <f>N(W26)+$V27</f>
        <v>0</v>
      </c>
      <c r="X27">
        <f>IF(AND($L27=1,AND(对接源_01水果!$X27="自备筐",N(对接源_01水果!$T27)&lt;&gt;0)),1,0)</f>
        <v>0</v>
      </c>
      <c r="Y27">
        <f>N(Y26)+$X27</f>
        <v>0</v>
      </c>
      <c r="Z27">
        <f>IF(AND($M27=1,对接源_01水果!$D27="原料入库"),1,0)</f>
        <v>0</v>
      </c>
      <c r="AA27">
        <f>N(AA26)+$Z27</f>
        <v>0</v>
      </c>
      <c r="AB27">
        <f>IF(AND($M27=1,LEFT(对接源_01水果!$D27,4)="原料出库"),1,0)</f>
        <v>0</v>
      </c>
      <c r="AC27">
        <f>N(AC26)+$AB27</f>
        <v>0</v>
      </c>
      <c r="AD27">
        <f>IF(AND($M27=1,LEFT(对接源_01水果!$D27,4)="成品出库"),1,0)</f>
        <v>0</v>
      </c>
      <c r="AE27">
        <f>N(AE26)+$AD27</f>
        <v>0</v>
      </c>
      <c r="AF27">
        <f>IF(AND($N27=1,AND(LEFT(对接源_01水果!$D27,4)="包装物料",N(对接源_01水果!$K27)&lt;&gt;0)),1,0)</f>
        <v>0</v>
      </c>
      <c r="AG27">
        <f>N(AG26)+$AF27</f>
        <v>0</v>
      </c>
      <c r="AH27">
        <f>IF(AND($N27=1,AND(对接源_01水果!$D27="周转筐－销售出库",N(对接源_01水果!$K27)&lt;&gt;0)),1,0)</f>
        <v>0</v>
      </c>
      <c r="AI27">
        <f>N(AI26)+$AH27</f>
        <v>0</v>
      </c>
      <c r="AJ27" s="7" t="n"/>
      <c r="AL27">
        <f>IF(OR($AL$1="",对接源_01水果!$Y27="",对接源_01水果!$Y27&lt;&gt;$AL$1,对接源_01水果!$B27="",N(对接源_01水果!$AJ27)&lt;=0),0,IF(OR(N(对接源_01水果!$B27)&lt;$AL$2,N(对接源_01水果!$B27)&gt;$AL$3),0,1))</f>
        <v>0</v>
      </c>
      <c r="AM27">
        <f>N(AM26)+$AL27</f>
        <v>0</v>
      </c>
      <c r="AN27">
        <f>IF(对接源_01水果!$AC27="","",对接源_01水果!$AC27)</f>
      </c>
      <c r="AO27">
        <f>IF(AN27="",0,IF(MATCH(AN27,$AN$4:$AN$1203,0)=ROW()-3,1,0))</f>
        <v>0</v>
      </c>
      <c r="AP27">
        <f>N(AP26)+$AO27</f>
        <v>0</v>
      </c>
      <c r="AQ27">
        <f>IFERROR(INDEX($AN$4:$AN$1203,MATCH(ROW()-3,$AP$4:$AP$1203,0)),"")</f>
      </c>
      <c r="AR27">
        <f>IF(OR($AF27=1,$AH27=1),1,0)</f>
        <v>0</v>
      </c>
      <c r="AS27">
        <f>N(AS26)+$AR27</f>
        <v>0</v>
      </c>
    </row>
    <row r="28" ht="14.25" customHeight="1" s="127">
      <c r="A28" t="str">
        <f>IF(对接源_01水果!$C28="","",对接源_01水果!$C28)</f>
        <v>王照雪</v>
      </c>
      <c r="B28">
        <f>IF(A28="",0,IF(MATCH(A28,$A$4:$A$2403,0)=ROW()-3,1,0))</f>
        <v>0</v>
      </c>
      <c r="C28">
        <f>N(C27)+B28</f>
        <v>3</v>
      </c>
      <c r="E28" t="str">
        <f>IFERROR(INDEX($A$4:$A$2403,MATCH(ROW()-3,$C$4:$C$2403,0)),"")</f>
        <v>全修塑业</v>
      </c>
      <c r="K28">
        <f>IF(OR($K$1="",对接源_01水果!$C28="",对接源_01水果!$C28&lt;&gt;$K$1,对接源_01水果!$B28=""),0,IF(OR(N(对接源_01水果!$B28)&lt;$K$2,N(对接源_01水果!$B28)&gt;$K$3),0,1))</f>
        <v>0</v>
      </c>
      <c r="L28">
        <f>IF(OR($L$1="",对接源_01水果!$C28="",对接源_01水果!$C28&lt;&gt;$L$1,对接源_01水果!$B28=""),0,IF(OR(N(对接源_01水果!$B28)&lt;$L$2,N(对接源_01水果!$B28)&gt;$L$3),0,1))</f>
        <v>0</v>
      </c>
      <c r="M28">
        <f>IF(OR($M$1="",对接源_01水果!$C28="",对接源_01水果!$C28&lt;&gt;$M$1,对接源_01水果!$B28=""),0,IF(OR(N(对接源_01水果!$B28)&lt;$M$2,N(对接源_01水果!$B28)&gt;$M$3),0,1))</f>
        <v>0</v>
      </c>
      <c r="N28">
        <f>IF(OR($N$1="",对接源_01水果!$C28="",对接源_01水果!$C28&lt;&gt;$N$1,对接源_01水果!$B28=""),0,IF(OR(N(对接源_01水果!$B28)&lt;$N$2,N(对接源_01水果!$B28)&gt;$N$3),0,1))</f>
        <v>0</v>
      </c>
      <c r="P28">
        <f>IF(AND($K28=1,AND(对接源_01水果!$X28="公司筐",N(对接源_01水果!$T28)&lt;&gt;0)),1,0)</f>
        <v>0</v>
      </c>
      <c r="Q28">
        <f>N(Q27)+$P28</f>
        <v>0</v>
      </c>
      <c r="R28">
        <f>IF(AND($K28=1,AND(对接源_01水果!$X28="公司筐",N(对接源_01水果!$U28)&lt;&gt;0)),1,0)</f>
        <v>0</v>
      </c>
      <c r="S28">
        <f>N(S27)+$R28</f>
        <v>0</v>
      </c>
      <c r="T28">
        <f>IF(AND($K28=1,AND(对接源_01水果!$X28="公司筐",N(对接源_01水果!$V28)&lt;&gt;0)),1,0)</f>
        <v>0</v>
      </c>
      <c r="U28">
        <f>N(U27)+$T28</f>
        <v>0</v>
      </c>
      <c r="V28">
        <f>IF(AND($L28=1,AND(对接源_01水果!$X28="自备筐",N(对接源_01水果!$V28)&lt;&gt;0)),1,0)</f>
        <v>0</v>
      </c>
      <c r="W28">
        <f>N(W27)+$V28</f>
        <v>0</v>
      </c>
      <c r="X28">
        <f>IF(AND($L28=1,AND(对接源_01水果!$X28="自备筐",N(对接源_01水果!$T28)&lt;&gt;0)),1,0)</f>
        <v>0</v>
      </c>
      <c r="Y28">
        <f>N(Y27)+$X28</f>
        <v>0</v>
      </c>
      <c r="Z28">
        <f>IF(AND($M28=1,对接源_01水果!$D28="原料入库"),1,0)</f>
        <v>0</v>
      </c>
      <c r="AA28">
        <f>N(AA27)+$Z28</f>
        <v>0</v>
      </c>
      <c r="AB28">
        <f>IF(AND($M28=1,LEFT(对接源_01水果!$D28,4)="原料出库"),1,0)</f>
        <v>0</v>
      </c>
      <c r="AC28">
        <f>N(AC27)+$AB28</f>
        <v>0</v>
      </c>
      <c r="AD28">
        <f>IF(AND($M28=1,LEFT(对接源_01水果!$D28,4)="成品出库"),1,0)</f>
        <v>0</v>
      </c>
      <c r="AE28">
        <f>N(AE27)+$AD28</f>
        <v>0</v>
      </c>
      <c r="AF28">
        <f>IF(AND($N28=1,AND(LEFT(对接源_01水果!$D28,4)="包装物料",N(对接源_01水果!$K28)&lt;&gt;0)),1,0)</f>
        <v>0</v>
      </c>
      <c r="AG28">
        <f>N(AG27)+$AF28</f>
        <v>0</v>
      </c>
      <c r="AH28">
        <f>IF(AND($N28=1,AND(对接源_01水果!$D28="周转筐－销售出库",N(对接源_01水果!$K28)&lt;&gt;0)),1,0)</f>
        <v>0</v>
      </c>
      <c r="AI28">
        <f>N(AI27)+$AH28</f>
        <v>0</v>
      </c>
      <c r="AJ28" s="7" t="n"/>
      <c r="AL28">
        <f>IF(OR($AL$1="",对接源_01水果!$Y28="",对接源_01水果!$Y28&lt;&gt;$AL$1,对接源_01水果!$B28="",N(对接源_01水果!$AJ28)&lt;=0),0,IF(OR(N(对接源_01水果!$B28)&lt;$AL$2,N(对接源_01水果!$B28)&gt;$AL$3),0,1))</f>
        <v>0</v>
      </c>
      <c r="AM28">
        <f>N(AM27)+$AL28</f>
        <v>0</v>
      </c>
      <c r="AN28">
        <f>IF(对接源_01水果!$AC28="","",对接源_01水果!$AC28)</f>
      </c>
      <c r="AO28">
        <f>IF(AN28="",0,IF(MATCH(AN28,$AN$4:$AN$1203,0)=ROW()-3,1,0))</f>
        <v>0</v>
      </c>
      <c r="AP28">
        <f>N(AP27)+$AO28</f>
        <v>0</v>
      </c>
      <c r="AQ28">
        <f>IFERROR(INDEX($AN$4:$AN$1203,MATCH(ROW()-3,$AP$4:$AP$1203,0)),"")</f>
      </c>
      <c r="AR28">
        <f>IF(OR($AF28=1,$AH28=1),1,0)</f>
        <v>0</v>
      </c>
      <c r="AS28">
        <f>N(AS27)+$AR28</f>
        <v>0</v>
      </c>
    </row>
    <row r="29" ht="14.25" customHeight="1" s="127">
      <c r="A29" t="str">
        <f>IF(对接源_01水果!$C29="","",对接源_01水果!$C29)</f>
        <v>聂新平</v>
      </c>
      <c r="B29">
        <f>IF(A29="",0,IF(MATCH(A29,$A$4:$A$2403,0)=ROW()-3,1,0))</f>
        <v>0</v>
      </c>
      <c r="C29">
        <f>N(C28)+B29</f>
        <v>3</v>
      </c>
      <c r="E29" t="str">
        <f>IFERROR(INDEX($A$4:$A$2403,MATCH(ROW()-3,$C$4:$C$2403,0)),"")</f>
        <v>桂疆</v>
      </c>
      <c r="K29">
        <f>IF(OR($K$1="",对接源_01水果!$C29="",对接源_01水果!$C29&lt;&gt;$K$1,对接源_01水果!$B29=""),0,IF(OR(N(对接源_01水果!$B29)&lt;$K$2,N(对接源_01水果!$B29)&gt;$K$3),0,1))</f>
        <v>0</v>
      </c>
      <c r="L29">
        <f>IF(OR($L$1="",对接源_01水果!$C29="",对接源_01水果!$C29&lt;&gt;$L$1,对接源_01水果!$B29=""),0,IF(OR(N(对接源_01水果!$B29)&lt;$L$2,N(对接源_01水果!$B29)&gt;$L$3),0,1))</f>
        <v>0</v>
      </c>
      <c r="M29">
        <f>IF(OR($M$1="",对接源_01水果!$C29="",对接源_01水果!$C29&lt;&gt;$M$1,对接源_01水果!$B29=""),0,IF(OR(N(对接源_01水果!$B29)&lt;$M$2,N(对接源_01水果!$B29)&gt;$M$3),0,1))</f>
        <v>0</v>
      </c>
      <c r="N29">
        <f>IF(OR($N$1="",对接源_01水果!$C29="",对接源_01水果!$C29&lt;&gt;$N$1,对接源_01水果!$B29=""),0,IF(OR(N(对接源_01水果!$B29)&lt;$N$2,N(对接源_01水果!$B29)&gt;$N$3),0,1))</f>
        <v>0</v>
      </c>
      <c r="P29">
        <f>IF(AND($K29=1,AND(对接源_01水果!$X29="公司筐",N(对接源_01水果!$T29)&lt;&gt;0)),1,0)</f>
        <v>0</v>
      </c>
      <c r="Q29">
        <f>N(Q28)+$P29</f>
        <v>0</v>
      </c>
      <c r="R29">
        <f>IF(AND($K29=1,AND(对接源_01水果!$X29="公司筐",N(对接源_01水果!$U29)&lt;&gt;0)),1,0)</f>
        <v>0</v>
      </c>
      <c r="S29">
        <f>N(S28)+$R29</f>
        <v>0</v>
      </c>
      <c r="T29">
        <f>IF(AND($K29=1,AND(对接源_01水果!$X29="公司筐",N(对接源_01水果!$V29)&lt;&gt;0)),1,0)</f>
        <v>0</v>
      </c>
      <c r="U29">
        <f>N(U28)+$T29</f>
        <v>0</v>
      </c>
      <c r="V29">
        <f>IF(AND($L29=1,AND(对接源_01水果!$X29="自备筐",N(对接源_01水果!$V29)&lt;&gt;0)),1,0)</f>
        <v>0</v>
      </c>
      <c r="W29">
        <f>N(W28)+$V29</f>
        <v>0</v>
      </c>
      <c r="X29">
        <f>IF(AND($L29=1,AND(对接源_01水果!$X29="自备筐",N(对接源_01水果!$T29)&lt;&gt;0)),1,0)</f>
        <v>0</v>
      </c>
      <c r="Y29">
        <f>N(Y28)+$X29</f>
        <v>0</v>
      </c>
      <c r="Z29">
        <f>IF(AND($M29=1,对接源_01水果!$D29="原料入库"),1,0)</f>
        <v>0</v>
      </c>
      <c r="AA29">
        <f>N(AA28)+$Z29</f>
        <v>0</v>
      </c>
      <c r="AB29">
        <f>IF(AND($M29=1,LEFT(对接源_01水果!$D29,4)="原料出库"),1,0)</f>
        <v>0</v>
      </c>
      <c r="AC29">
        <f>N(AC28)+$AB29</f>
        <v>0</v>
      </c>
      <c r="AD29">
        <f>IF(AND($M29=1,LEFT(对接源_01水果!$D29,4)="成品出库"),1,0)</f>
        <v>0</v>
      </c>
      <c r="AE29">
        <f>N(AE28)+$AD29</f>
        <v>0</v>
      </c>
      <c r="AF29">
        <f>IF(AND($N29=1,AND(LEFT(对接源_01水果!$D29,4)="包装物料",N(对接源_01水果!$K29)&lt;&gt;0)),1,0)</f>
        <v>0</v>
      </c>
      <c r="AG29">
        <f>N(AG28)+$AF29</f>
        <v>0</v>
      </c>
      <c r="AH29">
        <f>IF(AND($N29=1,AND(对接源_01水果!$D29="周转筐－销售出库",N(对接源_01水果!$K29)&lt;&gt;0)),1,0)</f>
        <v>0</v>
      </c>
      <c r="AI29">
        <f>N(AI28)+$AH29</f>
        <v>0</v>
      </c>
      <c r="AJ29" s="7" t="n"/>
      <c r="AL29">
        <f>IF(OR($AL$1="",对接源_01水果!$Y29="",对接源_01水果!$Y29&lt;&gt;$AL$1,对接源_01水果!$B29="",N(对接源_01水果!$AJ29)&lt;=0),0,IF(OR(N(对接源_01水果!$B29)&lt;$AL$2,N(对接源_01水果!$B29)&gt;$AL$3),0,1))</f>
        <v>0</v>
      </c>
      <c r="AM29">
        <f>N(AM28)+$AL29</f>
        <v>0</v>
      </c>
      <c r="AN29">
        <f>IF(对接源_01水果!$AC29="","",对接源_01水果!$AC29)</f>
      </c>
      <c r="AO29">
        <f>IF(AN29="",0,IF(MATCH(AN29,$AN$4:$AN$1203,0)=ROW()-3,1,0))</f>
        <v>0</v>
      </c>
      <c r="AP29">
        <f>N(AP28)+$AO29</f>
        <v>0</v>
      </c>
      <c r="AQ29">
        <f>IFERROR(INDEX($AN$4:$AN$1203,MATCH(ROW()-3,$AP$4:$AP$1203,0)),"")</f>
      </c>
      <c r="AR29">
        <f>IF(OR($AF29=1,$AH29=1),1,0)</f>
        <v>0</v>
      </c>
      <c r="AS29">
        <f>N(AS28)+$AR29</f>
        <v>0</v>
      </c>
    </row>
    <row r="30" ht="14.25" customHeight="1" s="127">
      <c r="A30" t="str">
        <f>IF(对接源_01水果!$C30="","",对接源_01水果!$C30)</f>
        <v>聂新平</v>
      </c>
      <c r="B30">
        <f>IF(A30="",0,IF(MATCH(A30,$A$4:$A$2403,0)=ROW()-3,1,0))</f>
        <v>0</v>
      </c>
      <c r="C30">
        <f>N(C29)+B30</f>
        <v>3</v>
      </c>
      <c r="E30">
        <f>IFERROR(INDEX($A$4:$A$2403,MATCH(ROW()-3,$C$4:$C$2403,0)),"")</f>
      </c>
      <c r="K30">
        <f>IF(OR($K$1="",对接源_01水果!$C30="",对接源_01水果!$C30&lt;&gt;$K$1,对接源_01水果!$B30=""),0,IF(OR(N(对接源_01水果!$B30)&lt;$K$2,N(对接源_01水果!$B30)&gt;$K$3),0,1))</f>
        <v>0</v>
      </c>
      <c r="L30">
        <f>IF(OR($L$1="",对接源_01水果!$C30="",对接源_01水果!$C30&lt;&gt;$L$1,对接源_01水果!$B30=""),0,IF(OR(N(对接源_01水果!$B30)&lt;$L$2,N(对接源_01水果!$B30)&gt;$L$3),0,1))</f>
        <v>0</v>
      </c>
      <c r="M30">
        <f>IF(OR($M$1="",对接源_01水果!$C30="",对接源_01水果!$C30&lt;&gt;$M$1,对接源_01水果!$B30=""),0,IF(OR(N(对接源_01水果!$B30)&lt;$M$2,N(对接源_01水果!$B30)&gt;$M$3),0,1))</f>
        <v>0</v>
      </c>
      <c r="N30">
        <f>IF(OR($N$1="",对接源_01水果!$C30="",对接源_01水果!$C30&lt;&gt;$N$1,对接源_01水果!$B30=""),0,IF(OR(N(对接源_01水果!$B30)&lt;$N$2,N(对接源_01水果!$B30)&gt;$N$3),0,1))</f>
        <v>0</v>
      </c>
      <c r="P30">
        <f>IF(AND($K30=1,AND(对接源_01水果!$X30="公司筐",N(对接源_01水果!$T30)&lt;&gt;0)),1,0)</f>
        <v>0</v>
      </c>
      <c r="Q30">
        <f>N(Q29)+$P30</f>
        <v>0</v>
      </c>
      <c r="R30">
        <f>IF(AND($K30=1,AND(对接源_01水果!$X30="公司筐",N(对接源_01水果!$U30)&lt;&gt;0)),1,0)</f>
        <v>0</v>
      </c>
      <c r="S30">
        <f>N(S29)+$R30</f>
        <v>0</v>
      </c>
      <c r="T30">
        <f>IF(AND($K30=1,AND(对接源_01水果!$X30="公司筐",N(对接源_01水果!$V30)&lt;&gt;0)),1,0)</f>
        <v>0</v>
      </c>
      <c r="U30">
        <f>N(U29)+$T30</f>
        <v>0</v>
      </c>
      <c r="V30">
        <f>IF(AND($L30=1,AND(对接源_01水果!$X30="自备筐",N(对接源_01水果!$V30)&lt;&gt;0)),1,0)</f>
        <v>0</v>
      </c>
      <c r="W30">
        <f>N(W29)+$V30</f>
        <v>0</v>
      </c>
      <c r="X30">
        <f>IF(AND($L30=1,AND(对接源_01水果!$X30="自备筐",N(对接源_01水果!$T30)&lt;&gt;0)),1,0)</f>
        <v>0</v>
      </c>
      <c r="Y30">
        <f>N(Y29)+$X30</f>
        <v>0</v>
      </c>
      <c r="Z30">
        <f>IF(AND($M30=1,对接源_01水果!$D30="原料入库"),1,0)</f>
        <v>0</v>
      </c>
      <c r="AA30">
        <f>N(AA29)+$Z30</f>
        <v>0</v>
      </c>
      <c r="AB30">
        <f>IF(AND($M30=1,LEFT(对接源_01水果!$D30,4)="原料出库"),1,0)</f>
        <v>0</v>
      </c>
      <c r="AC30">
        <f>N(AC29)+$AB30</f>
        <v>0</v>
      </c>
      <c r="AD30">
        <f>IF(AND($M30=1,LEFT(对接源_01水果!$D30,4)="成品出库"),1,0)</f>
        <v>0</v>
      </c>
      <c r="AE30">
        <f>N(AE29)+$AD30</f>
        <v>0</v>
      </c>
      <c r="AF30">
        <f>IF(AND($N30=1,AND(LEFT(对接源_01水果!$D30,4)="包装物料",N(对接源_01水果!$K30)&lt;&gt;0)),1,0)</f>
        <v>0</v>
      </c>
      <c r="AG30">
        <f>N(AG29)+$AF30</f>
        <v>0</v>
      </c>
      <c r="AH30">
        <f>IF(AND($N30=1,AND(对接源_01水果!$D30="周转筐－销售出库",N(对接源_01水果!$K30)&lt;&gt;0)),1,0)</f>
        <v>0</v>
      </c>
      <c r="AI30">
        <f>N(AI29)+$AH30</f>
        <v>0</v>
      </c>
      <c r="AJ30" s="7" t="n"/>
      <c r="AL30">
        <f>IF(OR($AL$1="",对接源_01水果!$Y30="",对接源_01水果!$Y30&lt;&gt;$AL$1,对接源_01水果!$B30="",N(对接源_01水果!$AJ30)&lt;=0),0,IF(OR(N(对接源_01水果!$B30)&lt;$AL$2,N(对接源_01水果!$B30)&gt;$AL$3),0,1))</f>
        <v>0</v>
      </c>
      <c r="AM30">
        <f>N(AM29)+$AL30</f>
        <v>0</v>
      </c>
      <c r="AN30">
        <f>IF(对接源_01水果!$AC30="","",对接源_01水果!$AC30)</f>
      </c>
      <c r="AO30">
        <f>IF(AN30="",0,IF(MATCH(AN30,$AN$4:$AN$1203,0)=ROW()-3,1,0))</f>
        <v>0</v>
      </c>
      <c r="AP30">
        <f>N(AP29)+$AO30</f>
        <v>0</v>
      </c>
      <c r="AQ30">
        <f>IFERROR(INDEX($AN$4:$AN$1203,MATCH(ROW()-3,$AP$4:$AP$1203,0)),"")</f>
      </c>
      <c r="AR30">
        <f>IF(OR($AF30=1,$AH30=1),1,0)</f>
        <v>0</v>
      </c>
      <c r="AS30">
        <f>N(AS29)+$AR30</f>
        <v>0</v>
      </c>
    </row>
    <row r="31" ht="14.25" customHeight="1" s="127">
      <c r="A31" t="str">
        <f>IF(对接源_01水果!$C31="","",对接源_01水果!$C31)</f>
        <v>伍元虎</v>
      </c>
      <c r="B31">
        <f>IF(A31="",0,IF(MATCH(A31,$A$4:$A$2403,0)=ROW()-3,1,0))</f>
        <v>0</v>
      </c>
      <c r="C31">
        <f>N(C30)+B31</f>
        <v>3</v>
      </c>
      <c r="E31">
        <f>IFERROR(INDEX($A$4:$A$2403,MATCH(ROW()-3,$C$4:$C$2403,0)),"")</f>
      </c>
      <c r="K31">
        <f>IF(OR($K$1="",对接源_01水果!$C31="",对接源_01水果!$C31&lt;&gt;$K$1,对接源_01水果!$B31=""),0,IF(OR(N(对接源_01水果!$B31)&lt;$K$2,N(对接源_01水果!$B31)&gt;$K$3),0,1))</f>
        <v>0</v>
      </c>
      <c r="L31">
        <f>IF(OR($L$1="",对接源_01水果!$C31="",对接源_01水果!$C31&lt;&gt;$L$1,对接源_01水果!$B31=""),0,IF(OR(N(对接源_01水果!$B31)&lt;$L$2,N(对接源_01水果!$B31)&gt;$L$3),0,1))</f>
        <v>0</v>
      </c>
      <c r="M31">
        <f>IF(OR($M$1="",对接源_01水果!$C31="",对接源_01水果!$C31&lt;&gt;$M$1,对接源_01水果!$B31=""),0,IF(OR(N(对接源_01水果!$B31)&lt;$M$2,N(对接源_01水果!$B31)&gt;$M$3),0,1))</f>
        <v>0</v>
      </c>
      <c r="N31">
        <f>IF(OR($N$1="",对接源_01水果!$C31="",对接源_01水果!$C31&lt;&gt;$N$1,对接源_01水果!$B31=""),0,IF(OR(N(对接源_01水果!$B31)&lt;$N$2,N(对接源_01水果!$B31)&gt;$N$3),0,1))</f>
        <v>0</v>
      </c>
      <c r="P31">
        <f>IF(AND($K31=1,AND(对接源_01水果!$X31="公司筐",N(对接源_01水果!$T31)&lt;&gt;0)),1,0)</f>
        <v>0</v>
      </c>
      <c r="Q31">
        <f>N(Q30)+$P31</f>
        <v>0</v>
      </c>
      <c r="R31">
        <f>IF(AND($K31=1,AND(对接源_01水果!$X31="公司筐",N(对接源_01水果!$U31)&lt;&gt;0)),1,0)</f>
        <v>0</v>
      </c>
      <c r="S31">
        <f>N(S30)+$R31</f>
        <v>0</v>
      </c>
      <c r="T31">
        <f>IF(AND($K31=1,AND(对接源_01水果!$X31="公司筐",N(对接源_01水果!$V31)&lt;&gt;0)),1,0)</f>
        <v>0</v>
      </c>
      <c r="U31">
        <f>N(U30)+$T31</f>
        <v>0</v>
      </c>
      <c r="V31">
        <f>IF(AND($L31=1,AND(对接源_01水果!$X31="自备筐",N(对接源_01水果!$V31)&lt;&gt;0)),1,0)</f>
        <v>0</v>
      </c>
      <c r="W31">
        <f>N(W30)+$V31</f>
        <v>0</v>
      </c>
      <c r="X31">
        <f>IF(AND($L31=1,AND(对接源_01水果!$X31="自备筐",N(对接源_01水果!$T31)&lt;&gt;0)),1,0)</f>
        <v>0</v>
      </c>
      <c r="Y31">
        <f>N(Y30)+$X31</f>
        <v>0</v>
      </c>
      <c r="Z31">
        <f>IF(AND($M31=1,对接源_01水果!$D31="原料入库"),1,0)</f>
        <v>0</v>
      </c>
      <c r="AA31">
        <f>N(AA30)+$Z31</f>
        <v>0</v>
      </c>
      <c r="AB31">
        <f>IF(AND($M31=1,LEFT(对接源_01水果!$D31,4)="原料出库"),1,0)</f>
        <v>0</v>
      </c>
      <c r="AC31">
        <f>N(AC30)+$AB31</f>
        <v>0</v>
      </c>
      <c r="AD31">
        <f>IF(AND($M31=1,LEFT(对接源_01水果!$D31,4)="成品出库"),1,0)</f>
        <v>0</v>
      </c>
      <c r="AE31">
        <f>N(AE30)+$AD31</f>
        <v>0</v>
      </c>
      <c r="AF31">
        <f>IF(AND($N31=1,AND(LEFT(对接源_01水果!$D31,4)="包装物料",N(对接源_01水果!$K31)&lt;&gt;0)),1,0)</f>
        <v>0</v>
      </c>
      <c r="AG31">
        <f>N(AG30)+$AF31</f>
        <v>0</v>
      </c>
      <c r="AH31">
        <f>IF(AND($N31=1,AND(对接源_01水果!$D31="周转筐－销售出库",N(对接源_01水果!$K31)&lt;&gt;0)),1,0)</f>
        <v>0</v>
      </c>
      <c r="AI31">
        <f>N(AI30)+$AH31</f>
        <v>0</v>
      </c>
      <c r="AJ31" s="7" t="n"/>
      <c r="AL31">
        <f>IF(OR($AL$1="",对接源_01水果!$Y31="",对接源_01水果!$Y31&lt;&gt;$AL$1,对接源_01水果!$B31="",N(对接源_01水果!$AJ31)&lt;=0),0,IF(OR(N(对接源_01水果!$B31)&lt;$AL$2,N(对接源_01水果!$B31)&gt;$AL$3),0,1))</f>
        <v>0</v>
      </c>
      <c r="AM31">
        <f>N(AM30)+$AL31</f>
        <v>0</v>
      </c>
      <c r="AN31">
        <f>IF(对接源_01水果!$AC31="","",对接源_01水果!$AC31)</f>
      </c>
      <c r="AO31">
        <f>IF(AN31="",0,IF(MATCH(AN31,$AN$4:$AN$1203,0)=ROW()-3,1,0))</f>
        <v>0</v>
      </c>
      <c r="AP31">
        <f>N(AP30)+$AO31</f>
        <v>0</v>
      </c>
      <c r="AQ31">
        <f>IFERROR(INDEX($AN$4:$AN$1203,MATCH(ROW()-3,$AP$4:$AP$1203,0)),"")</f>
      </c>
      <c r="AR31">
        <f>IF(OR($AF31=1,$AH31=1),1,0)</f>
        <v>0</v>
      </c>
      <c r="AS31">
        <f>N(AS30)+$AR31</f>
        <v>0</v>
      </c>
    </row>
    <row r="32" ht="14.25" customHeight="1" s="127">
      <c r="A32" t="str">
        <f>IF(对接源_01水果!$C32="","",对接源_01水果!$C32)</f>
        <v>聂新平</v>
      </c>
      <c r="B32">
        <f>IF(A32="",0,IF(MATCH(A32,$A$4:$A$2403,0)=ROW()-3,1,0))</f>
        <v>0</v>
      </c>
      <c r="C32">
        <f>N(C31)+B32</f>
        <v>3</v>
      </c>
      <c r="E32">
        <f>IFERROR(INDEX($A$4:$A$2403,MATCH(ROW()-3,$C$4:$C$2403,0)),"")</f>
      </c>
      <c r="K32">
        <f>IF(OR($K$1="",对接源_01水果!$C32="",对接源_01水果!$C32&lt;&gt;$K$1,对接源_01水果!$B32=""),0,IF(OR(N(对接源_01水果!$B32)&lt;$K$2,N(对接源_01水果!$B32)&gt;$K$3),0,1))</f>
        <v>0</v>
      </c>
      <c r="L32">
        <f>IF(OR($L$1="",对接源_01水果!$C32="",对接源_01水果!$C32&lt;&gt;$L$1,对接源_01水果!$B32=""),0,IF(OR(N(对接源_01水果!$B32)&lt;$L$2,N(对接源_01水果!$B32)&gt;$L$3),0,1))</f>
        <v>0</v>
      </c>
      <c r="M32">
        <f>IF(OR($M$1="",对接源_01水果!$C32="",对接源_01水果!$C32&lt;&gt;$M$1,对接源_01水果!$B32=""),0,IF(OR(N(对接源_01水果!$B32)&lt;$M$2,N(对接源_01水果!$B32)&gt;$M$3),0,1))</f>
        <v>0</v>
      </c>
      <c r="N32">
        <f>IF(OR($N$1="",对接源_01水果!$C32="",对接源_01水果!$C32&lt;&gt;$N$1,对接源_01水果!$B32=""),0,IF(OR(N(对接源_01水果!$B32)&lt;$N$2,N(对接源_01水果!$B32)&gt;$N$3),0,1))</f>
        <v>0</v>
      </c>
      <c r="P32">
        <f>IF(AND($K32=1,AND(对接源_01水果!$X32="公司筐",N(对接源_01水果!$T32)&lt;&gt;0)),1,0)</f>
        <v>0</v>
      </c>
      <c r="Q32">
        <f>N(Q31)+$P32</f>
        <v>0</v>
      </c>
      <c r="R32">
        <f>IF(AND($K32=1,AND(对接源_01水果!$X32="公司筐",N(对接源_01水果!$U32)&lt;&gt;0)),1,0)</f>
        <v>0</v>
      </c>
      <c r="S32">
        <f>N(S31)+$R32</f>
        <v>0</v>
      </c>
      <c r="T32">
        <f>IF(AND($K32=1,AND(对接源_01水果!$X32="公司筐",N(对接源_01水果!$V32)&lt;&gt;0)),1,0)</f>
        <v>0</v>
      </c>
      <c r="U32">
        <f>N(U31)+$T32</f>
        <v>0</v>
      </c>
      <c r="V32">
        <f>IF(AND($L32=1,AND(对接源_01水果!$X32="自备筐",N(对接源_01水果!$V32)&lt;&gt;0)),1,0)</f>
        <v>0</v>
      </c>
      <c r="W32">
        <f>N(W31)+$V32</f>
        <v>0</v>
      </c>
      <c r="X32">
        <f>IF(AND($L32=1,AND(对接源_01水果!$X32="自备筐",N(对接源_01水果!$T32)&lt;&gt;0)),1,0)</f>
        <v>0</v>
      </c>
      <c r="Y32">
        <f>N(Y31)+$X32</f>
        <v>0</v>
      </c>
      <c r="Z32">
        <f>IF(AND($M32=1,对接源_01水果!$D32="原料入库"),1,0)</f>
        <v>0</v>
      </c>
      <c r="AA32">
        <f>N(AA31)+$Z32</f>
        <v>0</v>
      </c>
      <c r="AB32">
        <f>IF(AND($M32=1,LEFT(对接源_01水果!$D32,4)="原料出库"),1,0)</f>
        <v>0</v>
      </c>
      <c r="AC32">
        <f>N(AC31)+$AB32</f>
        <v>0</v>
      </c>
      <c r="AD32">
        <f>IF(AND($M32=1,LEFT(对接源_01水果!$D32,4)="成品出库"),1,0)</f>
        <v>0</v>
      </c>
      <c r="AE32">
        <f>N(AE31)+$AD32</f>
        <v>0</v>
      </c>
      <c r="AF32">
        <f>IF(AND($N32=1,AND(LEFT(对接源_01水果!$D32,4)="包装物料",N(对接源_01水果!$K32)&lt;&gt;0)),1,0)</f>
        <v>0</v>
      </c>
      <c r="AG32">
        <f>N(AG31)+$AF32</f>
        <v>0</v>
      </c>
      <c r="AH32">
        <f>IF(AND($N32=1,AND(对接源_01水果!$D32="周转筐－销售出库",N(对接源_01水果!$K32)&lt;&gt;0)),1,0)</f>
        <v>0</v>
      </c>
      <c r="AI32">
        <f>N(AI31)+$AH32</f>
        <v>0</v>
      </c>
      <c r="AJ32" s="7" t="n"/>
      <c r="AL32">
        <f>IF(OR($AL$1="",对接源_01水果!$Y32="",对接源_01水果!$Y32&lt;&gt;$AL$1,对接源_01水果!$B32="",N(对接源_01水果!$AJ32)&lt;=0),0,IF(OR(N(对接源_01水果!$B32)&lt;$AL$2,N(对接源_01水果!$B32)&gt;$AL$3),0,1))</f>
        <v>0</v>
      </c>
      <c r="AM32">
        <f>N(AM31)+$AL32</f>
        <v>0</v>
      </c>
      <c r="AN32">
        <f>IF(对接源_01水果!$AC32="","",对接源_01水果!$AC32)</f>
      </c>
      <c r="AO32">
        <f>IF(AN32="",0,IF(MATCH(AN32,$AN$4:$AN$1203,0)=ROW()-3,1,0))</f>
        <v>0</v>
      </c>
      <c r="AP32">
        <f>N(AP31)+$AO32</f>
        <v>0</v>
      </c>
      <c r="AQ32">
        <f>IFERROR(INDEX($AN$4:$AN$1203,MATCH(ROW()-3,$AP$4:$AP$1203,0)),"")</f>
      </c>
      <c r="AR32">
        <f>IF(OR($AF32=1,$AH32=1),1,0)</f>
        <v>0</v>
      </c>
      <c r="AS32">
        <f>N(AS31)+$AR32</f>
        <v>0</v>
      </c>
    </row>
    <row r="33" ht="14.25" customHeight="1" s="127">
      <c r="A33" t="str">
        <f>IF(对接源_01水果!$C33="","",对接源_01水果!$C33)</f>
        <v>聂新平</v>
      </c>
      <c r="B33">
        <f>IF(A33="",0,IF(MATCH(A33,$A$4:$A$2403,0)=ROW()-3,1,0))</f>
        <v>0</v>
      </c>
      <c r="C33">
        <f>N(C32)+B33</f>
        <v>3</v>
      </c>
      <c r="E33">
        <f>IFERROR(INDEX($A$4:$A$2403,MATCH(ROW()-3,$C$4:$C$2403,0)),"")</f>
      </c>
      <c r="K33">
        <f>IF(OR($K$1="",对接源_01水果!$C33="",对接源_01水果!$C33&lt;&gt;$K$1,对接源_01水果!$B33=""),0,IF(OR(N(对接源_01水果!$B33)&lt;$K$2,N(对接源_01水果!$B33)&gt;$K$3),0,1))</f>
        <v>0</v>
      </c>
      <c r="L33">
        <f>IF(OR($L$1="",对接源_01水果!$C33="",对接源_01水果!$C33&lt;&gt;$L$1,对接源_01水果!$B33=""),0,IF(OR(N(对接源_01水果!$B33)&lt;$L$2,N(对接源_01水果!$B33)&gt;$L$3),0,1))</f>
        <v>0</v>
      </c>
      <c r="M33">
        <f>IF(OR($M$1="",对接源_01水果!$C33="",对接源_01水果!$C33&lt;&gt;$M$1,对接源_01水果!$B33=""),0,IF(OR(N(对接源_01水果!$B33)&lt;$M$2,N(对接源_01水果!$B33)&gt;$M$3),0,1))</f>
        <v>0</v>
      </c>
      <c r="N33">
        <f>IF(OR($N$1="",对接源_01水果!$C33="",对接源_01水果!$C33&lt;&gt;$N$1,对接源_01水果!$B33=""),0,IF(OR(N(对接源_01水果!$B33)&lt;$N$2,N(对接源_01水果!$B33)&gt;$N$3),0,1))</f>
        <v>0</v>
      </c>
      <c r="P33">
        <f>IF(AND($K33=1,AND(对接源_01水果!$X33="公司筐",N(对接源_01水果!$T33)&lt;&gt;0)),1,0)</f>
        <v>0</v>
      </c>
      <c r="Q33">
        <f>N(Q32)+$P33</f>
        <v>0</v>
      </c>
      <c r="R33">
        <f>IF(AND($K33=1,AND(对接源_01水果!$X33="公司筐",N(对接源_01水果!$U33)&lt;&gt;0)),1,0)</f>
        <v>0</v>
      </c>
      <c r="S33">
        <f>N(S32)+$R33</f>
        <v>0</v>
      </c>
      <c r="T33">
        <f>IF(AND($K33=1,AND(对接源_01水果!$X33="公司筐",N(对接源_01水果!$V33)&lt;&gt;0)),1,0)</f>
        <v>0</v>
      </c>
      <c r="U33">
        <f>N(U32)+$T33</f>
        <v>0</v>
      </c>
      <c r="V33">
        <f>IF(AND($L33=1,AND(对接源_01水果!$X33="自备筐",N(对接源_01水果!$V33)&lt;&gt;0)),1,0)</f>
        <v>0</v>
      </c>
      <c r="W33">
        <f>N(W32)+$V33</f>
        <v>0</v>
      </c>
      <c r="X33">
        <f>IF(AND($L33=1,AND(对接源_01水果!$X33="自备筐",N(对接源_01水果!$T33)&lt;&gt;0)),1,0)</f>
        <v>0</v>
      </c>
      <c r="Y33">
        <f>N(Y32)+$X33</f>
        <v>0</v>
      </c>
      <c r="Z33">
        <f>IF(AND($M33=1,对接源_01水果!$D33="原料入库"),1,0)</f>
        <v>0</v>
      </c>
      <c r="AA33">
        <f>N(AA32)+$Z33</f>
        <v>0</v>
      </c>
      <c r="AB33">
        <f>IF(AND($M33=1,LEFT(对接源_01水果!$D33,4)="原料出库"),1,0)</f>
        <v>0</v>
      </c>
      <c r="AC33">
        <f>N(AC32)+$AB33</f>
        <v>0</v>
      </c>
      <c r="AD33">
        <f>IF(AND($M33=1,LEFT(对接源_01水果!$D33,4)="成品出库"),1,0)</f>
        <v>0</v>
      </c>
      <c r="AE33">
        <f>N(AE32)+$AD33</f>
        <v>0</v>
      </c>
      <c r="AF33">
        <f>IF(AND($N33=1,AND(LEFT(对接源_01水果!$D33,4)="包装物料",N(对接源_01水果!$K33)&lt;&gt;0)),1,0)</f>
        <v>0</v>
      </c>
      <c r="AG33">
        <f>N(AG32)+$AF33</f>
        <v>0</v>
      </c>
      <c r="AH33">
        <f>IF(AND($N33=1,AND(对接源_01水果!$D33="周转筐－销售出库",N(对接源_01水果!$K33)&lt;&gt;0)),1,0)</f>
        <v>0</v>
      </c>
      <c r="AI33">
        <f>N(AI32)+$AH33</f>
        <v>0</v>
      </c>
      <c r="AJ33" s="7" t="n"/>
      <c r="AL33">
        <f>IF(OR($AL$1="",对接源_01水果!$Y33="",对接源_01水果!$Y33&lt;&gt;$AL$1,对接源_01水果!$B33="",N(对接源_01水果!$AJ33)&lt;=0),0,IF(OR(N(对接源_01水果!$B33)&lt;$AL$2,N(对接源_01水果!$B33)&gt;$AL$3),0,1))</f>
        <v>0</v>
      </c>
      <c r="AM33">
        <f>N(AM32)+$AL33</f>
        <v>0</v>
      </c>
      <c r="AN33">
        <f>IF(对接源_01水果!$AC33="","",对接源_01水果!$AC33)</f>
      </c>
      <c r="AO33">
        <f>IF(AN33="",0,IF(MATCH(AN33,$AN$4:$AN$1203,0)=ROW()-3,1,0))</f>
        <v>0</v>
      </c>
      <c r="AP33">
        <f>N(AP32)+$AO33</f>
        <v>0</v>
      </c>
      <c r="AQ33">
        <f>IFERROR(INDEX($AN$4:$AN$1203,MATCH(ROW()-3,$AP$4:$AP$1203,0)),"")</f>
      </c>
      <c r="AR33">
        <f>IF(OR($AF33=1,$AH33=1),1,0)</f>
        <v>0</v>
      </c>
      <c r="AS33">
        <f>N(AS32)+$AR33</f>
        <v>0</v>
      </c>
    </row>
    <row r="34" ht="14.25" customHeight="1" s="127">
      <c r="A34" t="str">
        <f>IF(对接源_01水果!$C34="","",对接源_01水果!$C34)</f>
        <v>聂新平</v>
      </c>
      <c r="B34">
        <f>IF(A34="",0,IF(MATCH(A34,$A$4:$A$2403,0)=ROW()-3,1,0))</f>
        <v>0</v>
      </c>
      <c r="C34">
        <f>N(C33)+B34</f>
        <v>3</v>
      </c>
      <c r="E34">
        <f>IFERROR(INDEX($A$4:$A$2403,MATCH(ROW()-3,$C$4:$C$2403,0)),"")</f>
      </c>
      <c r="K34">
        <f>IF(OR($K$1="",对接源_01水果!$C34="",对接源_01水果!$C34&lt;&gt;$K$1,对接源_01水果!$B34=""),0,IF(OR(N(对接源_01水果!$B34)&lt;$K$2,N(对接源_01水果!$B34)&gt;$K$3),0,1))</f>
        <v>0</v>
      </c>
      <c r="L34">
        <f>IF(OR($L$1="",对接源_01水果!$C34="",对接源_01水果!$C34&lt;&gt;$L$1,对接源_01水果!$B34=""),0,IF(OR(N(对接源_01水果!$B34)&lt;$L$2,N(对接源_01水果!$B34)&gt;$L$3),0,1))</f>
        <v>0</v>
      </c>
      <c r="M34">
        <f>IF(OR($M$1="",对接源_01水果!$C34="",对接源_01水果!$C34&lt;&gt;$M$1,对接源_01水果!$B34=""),0,IF(OR(N(对接源_01水果!$B34)&lt;$M$2,N(对接源_01水果!$B34)&gt;$M$3),0,1))</f>
        <v>0</v>
      </c>
      <c r="N34">
        <f>IF(OR($N$1="",对接源_01水果!$C34="",对接源_01水果!$C34&lt;&gt;$N$1,对接源_01水果!$B34=""),0,IF(OR(N(对接源_01水果!$B34)&lt;$N$2,N(对接源_01水果!$B34)&gt;$N$3),0,1))</f>
        <v>0</v>
      </c>
      <c r="P34">
        <f>IF(AND($K34=1,AND(对接源_01水果!$X34="公司筐",N(对接源_01水果!$T34)&lt;&gt;0)),1,0)</f>
        <v>0</v>
      </c>
      <c r="Q34">
        <f>N(Q33)+$P34</f>
        <v>0</v>
      </c>
      <c r="R34">
        <f>IF(AND($K34=1,AND(对接源_01水果!$X34="公司筐",N(对接源_01水果!$U34)&lt;&gt;0)),1,0)</f>
        <v>0</v>
      </c>
      <c r="S34">
        <f>N(S33)+$R34</f>
        <v>0</v>
      </c>
      <c r="T34">
        <f>IF(AND($K34=1,AND(对接源_01水果!$X34="公司筐",N(对接源_01水果!$V34)&lt;&gt;0)),1,0)</f>
        <v>0</v>
      </c>
      <c r="U34">
        <f>N(U33)+$T34</f>
        <v>0</v>
      </c>
      <c r="V34">
        <f>IF(AND($L34=1,AND(对接源_01水果!$X34="自备筐",N(对接源_01水果!$V34)&lt;&gt;0)),1,0)</f>
        <v>0</v>
      </c>
      <c r="W34">
        <f>N(W33)+$V34</f>
        <v>0</v>
      </c>
      <c r="X34">
        <f>IF(AND($L34=1,AND(对接源_01水果!$X34="自备筐",N(对接源_01水果!$T34)&lt;&gt;0)),1,0)</f>
        <v>0</v>
      </c>
      <c r="Y34">
        <f>N(Y33)+$X34</f>
        <v>0</v>
      </c>
      <c r="Z34">
        <f>IF(AND($M34=1,对接源_01水果!$D34="原料入库"),1,0)</f>
        <v>0</v>
      </c>
      <c r="AA34">
        <f>N(AA33)+$Z34</f>
        <v>0</v>
      </c>
      <c r="AB34">
        <f>IF(AND($M34=1,LEFT(对接源_01水果!$D34,4)="原料出库"),1,0)</f>
        <v>0</v>
      </c>
      <c r="AC34">
        <f>N(AC33)+$AB34</f>
        <v>0</v>
      </c>
      <c r="AD34">
        <f>IF(AND($M34=1,LEFT(对接源_01水果!$D34,4)="成品出库"),1,0)</f>
        <v>0</v>
      </c>
      <c r="AE34">
        <f>N(AE33)+$AD34</f>
        <v>0</v>
      </c>
      <c r="AF34">
        <f>IF(AND($N34=1,AND(LEFT(对接源_01水果!$D34,4)="包装物料",N(对接源_01水果!$K34)&lt;&gt;0)),1,0)</f>
        <v>0</v>
      </c>
      <c r="AG34">
        <f>N(AG33)+$AF34</f>
        <v>0</v>
      </c>
      <c r="AH34">
        <f>IF(AND($N34=1,AND(对接源_01水果!$D34="周转筐－销售出库",N(对接源_01水果!$K34)&lt;&gt;0)),1,0)</f>
        <v>0</v>
      </c>
      <c r="AI34">
        <f>N(AI33)+$AH34</f>
        <v>0</v>
      </c>
      <c r="AJ34" s="7" t="n"/>
      <c r="AL34">
        <f>IF(OR($AL$1="",对接源_01水果!$Y34="",对接源_01水果!$Y34&lt;&gt;$AL$1,对接源_01水果!$B34="",N(对接源_01水果!$AJ34)&lt;=0),0,IF(OR(N(对接源_01水果!$B34)&lt;$AL$2,N(对接源_01水果!$B34)&gt;$AL$3),0,1))</f>
        <v>0</v>
      </c>
      <c r="AM34">
        <f>N(AM33)+$AL34</f>
        <v>0</v>
      </c>
      <c r="AN34">
        <f>IF(对接源_01水果!$AC34="","",对接源_01水果!$AC34)</f>
      </c>
      <c r="AO34">
        <f>IF(AN34="",0,IF(MATCH(AN34,$AN$4:$AN$1203,0)=ROW()-3,1,0))</f>
        <v>0</v>
      </c>
      <c r="AP34">
        <f>N(AP33)+$AO34</f>
        <v>0</v>
      </c>
      <c r="AQ34">
        <f>IFERROR(INDEX($AN$4:$AN$1203,MATCH(ROW()-3,$AP$4:$AP$1203,0)),"")</f>
      </c>
      <c r="AR34">
        <f>IF(OR($AF34=1,$AH34=1),1,0)</f>
        <v>0</v>
      </c>
      <c r="AS34">
        <f>N(AS33)+$AR34</f>
        <v>0</v>
      </c>
    </row>
    <row r="35" ht="14.25" customHeight="1" s="127">
      <c r="A35" t="str">
        <f>IF(对接源_01水果!$C35="","",对接源_01水果!$C35)</f>
        <v>聂新平</v>
      </c>
      <c r="B35">
        <f>IF(A35="",0,IF(MATCH(A35,$A$4:$A$2403,0)=ROW()-3,1,0))</f>
        <v>0</v>
      </c>
      <c r="C35">
        <f>N(C34)+B35</f>
        <v>3</v>
      </c>
      <c r="E35">
        <f>IFERROR(INDEX($A$4:$A$2403,MATCH(ROW()-3,$C$4:$C$2403,0)),"")</f>
      </c>
      <c r="K35">
        <f>IF(OR($K$1="",对接源_01水果!$C35="",对接源_01水果!$C35&lt;&gt;$K$1,对接源_01水果!$B35=""),0,IF(OR(N(对接源_01水果!$B35)&lt;$K$2,N(对接源_01水果!$B35)&gt;$K$3),0,1))</f>
        <v>0</v>
      </c>
      <c r="L35">
        <f>IF(OR($L$1="",对接源_01水果!$C35="",对接源_01水果!$C35&lt;&gt;$L$1,对接源_01水果!$B35=""),0,IF(OR(N(对接源_01水果!$B35)&lt;$L$2,N(对接源_01水果!$B35)&gt;$L$3),0,1))</f>
        <v>0</v>
      </c>
      <c r="M35">
        <f>IF(OR($M$1="",对接源_01水果!$C35="",对接源_01水果!$C35&lt;&gt;$M$1,对接源_01水果!$B35=""),0,IF(OR(N(对接源_01水果!$B35)&lt;$M$2,N(对接源_01水果!$B35)&gt;$M$3),0,1))</f>
        <v>0</v>
      </c>
      <c r="N35">
        <f>IF(OR($N$1="",对接源_01水果!$C35="",对接源_01水果!$C35&lt;&gt;$N$1,对接源_01水果!$B35=""),0,IF(OR(N(对接源_01水果!$B35)&lt;$N$2,N(对接源_01水果!$B35)&gt;$N$3),0,1))</f>
        <v>0</v>
      </c>
      <c r="P35">
        <f>IF(AND($K35=1,AND(对接源_01水果!$X35="公司筐",N(对接源_01水果!$T35)&lt;&gt;0)),1,0)</f>
        <v>0</v>
      </c>
      <c r="Q35">
        <f>N(Q34)+$P35</f>
        <v>0</v>
      </c>
      <c r="R35">
        <f>IF(AND($K35=1,AND(对接源_01水果!$X35="公司筐",N(对接源_01水果!$U35)&lt;&gt;0)),1,0)</f>
        <v>0</v>
      </c>
      <c r="S35">
        <f>N(S34)+$R35</f>
        <v>0</v>
      </c>
      <c r="T35">
        <f>IF(AND($K35=1,AND(对接源_01水果!$X35="公司筐",N(对接源_01水果!$V35)&lt;&gt;0)),1,0)</f>
        <v>0</v>
      </c>
      <c r="U35">
        <f>N(U34)+$T35</f>
        <v>0</v>
      </c>
      <c r="V35">
        <f>IF(AND($L35=1,AND(对接源_01水果!$X35="自备筐",N(对接源_01水果!$V35)&lt;&gt;0)),1,0)</f>
        <v>0</v>
      </c>
      <c r="W35">
        <f>N(W34)+$V35</f>
        <v>0</v>
      </c>
      <c r="X35">
        <f>IF(AND($L35=1,AND(对接源_01水果!$X35="自备筐",N(对接源_01水果!$T35)&lt;&gt;0)),1,0)</f>
        <v>0</v>
      </c>
      <c r="Y35">
        <f>N(Y34)+$X35</f>
        <v>0</v>
      </c>
      <c r="Z35">
        <f>IF(AND($M35=1,对接源_01水果!$D35="原料入库"),1,0)</f>
        <v>0</v>
      </c>
      <c r="AA35">
        <f>N(AA34)+$Z35</f>
        <v>0</v>
      </c>
      <c r="AB35">
        <f>IF(AND($M35=1,LEFT(对接源_01水果!$D35,4)="原料出库"),1,0)</f>
        <v>0</v>
      </c>
      <c r="AC35">
        <f>N(AC34)+$AB35</f>
        <v>0</v>
      </c>
      <c r="AD35">
        <f>IF(AND($M35=1,LEFT(对接源_01水果!$D35,4)="成品出库"),1,0)</f>
        <v>0</v>
      </c>
      <c r="AE35">
        <f>N(AE34)+$AD35</f>
        <v>0</v>
      </c>
      <c r="AF35">
        <f>IF(AND($N35=1,AND(LEFT(对接源_01水果!$D35,4)="包装物料",N(对接源_01水果!$K35)&lt;&gt;0)),1,0)</f>
        <v>0</v>
      </c>
      <c r="AG35">
        <f>N(AG34)+$AF35</f>
        <v>0</v>
      </c>
      <c r="AH35">
        <f>IF(AND($N35=1,AND(对接源_01水果!$D35="周转筐－销售出库",N(对接源_01水果!$K35)&lt;&gt;0)),1,0)</f>
        <v>0</v>
      </c>
      <c r="AI35">
        <f>N(AI34)+$AH35</f>
        <v>0</v>
      </c>
      <c r="AJ35" s="7" t="n"/>
      <c r="AL35">
        <f>IF(OR($AL$1="",对接源_01水果!$Y35="",对接源_01水果!$Y35&lt;&gt;$AL$1,对接源_01水果!$B35="",N(对接源_01水果!$AJ35)&lt;=0),0,IF(OR(N(对接源_01水果!$B35)&lt;$AL$2,N(对接源_01水果!$B35)&gt;$AL$3),0,1))</f>
        <v>0</v>
      </c>
      <c r="AM35">
        <f>N(AM34)+$AL35</f>
        <v>0</v>
      </c>
      <c r="AN35">
        <f>IF(对接源_01水果!$AC35="","",对接源_01水果!$AC35)</f>
      </c>
      <c r="AO35">
        <f>IF(AN35="",0,IF(MATCH(AN35,$AN$4:$AN$1203,0)=ROW()-3,1,0))</f>
        <v>0</v>
      </c>
      <c r="AP35">
        <f>N(AP34)+$AO35</f>
        <v>0</v>
      </c>
      <c r="AQ35">
        <f>IFERROR(INDEX($AN$4:$AN$1203,MATCH(ROW()-3,$AP$4:$AP$1203,0)),"")</f>
      </c>
      <c r="AR35">
        <f>IF(OR($AF35=1,$AH35=1),1,0)</f>
        <v>0</v>
      </c>
      <c r="AS35">
        <f>N(AS34)+$AR35</f>
        <v>0</v>
      </c>
    </row>
    <row r="36" ht="14.25" customHeight="1" s="127">
      <c r="A36" t="str">
        <f>IF(对接源_01水果!$C36="","",对接源_01水果!$C36)</f>
        <v>聂新平</v>
      </c>
      <c r="B36">
        <f>IF(A36="",0,IF(MATCH(A36,$A$4:$A$2403,0)=ROW()-3,1,0))</f>
        <v>0</v>
      </c>
      <c r="C36">
        <f>N(C35)+B36</f>
        <v>3</v>
      </c>
      <c r="E36">
        <f>IFERROR(INDEX($A$4:$A$2403,MATCH(ROW()-3,$C$4:$C$2403,0)),"")</f>
      </c>
      <c r="K36">
        <f>IF(OR($K$1="",对接源_01水果!$C36="",对接源_01水果!$C36&lt;&gt;$K$1,对接源_01水果!$B36=""),0,IF(OR(N(对接源_01水果!$B36)&lt;$K$2,N(对接源_01水果!$B36)&gt;$K$3),0,1))</f>
        <v>0</v>
      </c>
      <c r="L36">
        <f>IF(OR($L$1="",对接源_01水果!$C36="",对接源_01水果!$C36&lt;&gt;$L$1,对接源_01水果!$B36=""),0,IF(OR(N(对接源_01水果!$B36)&lt;$L$2,N(对接源_01水果!$B36)&gt;$L$3),0,1))</f>
        <v>0</v>
      </c>
      <c r="M36">
        <f>IF(OR($M$1="",对接源_01水果!$C36="",对接源_01水果!$C36&lt;&gt;$M$1,对接源_01水果!$B36=""),0,IF(OR(N(对接源_01水果!$B36)&lt;$M$2,N(对接源_01水果!$B36)&gt;$M$3),0,1))</f>
        <v>0</v>
      </c>
      <c r="N36">
        <f>IF(OR($N$1="",对接源_01水果!$C36="",对接源_01水果!$C36&lt;&gt;$N$1,对接源_01水果!$B36=""),0,IF(OR(N(对接源_01水果!$B36)&lt;$N$2,N(对接源_01水果!$B36)&gt;$N$3),0,1))</f>
        <v>0</v>
      </c>
      <c r="P36">
        <f>IF(AND($K36=1,AND(对接源_01水果!$X36="公司筐",N(对接源_01水果!$T36)&lt;&gt;0)),1,0)</f>
        <v>0</v>
      </c>
      <c r="Q36">
        <f>N(Q35)+$P36</f>
        <v>0</v>
      </c>
      <c r="R36">
        <f>IF(AND($K36=1,AND(对接源_01水果!$X36="公司筐",N(对接源_01水果!$U36)&lt;&gt;0)),1,0)</f>
        <v>0</v>
      </c>
      <c r="S36">
        <f>N(S35)+$R36</f>
        <v>0</v>
      </c>
      <c r="T36">
        <f>IF(AND($K36=1,AND(对接源_01水果!$X36="公司筐",N(对接源_01水果!$V36)&lt;&gt;0)),1,0)</f>
        <v>0</v>
      </c>
      <c r="U36">
        <f>N(U35)+$T36</f>
        <v>0</v>
      </c>
      <c r="V36">
        <f>IF(AND($L36=1,AND(对接源_01水果!$X36="自备筐",N(对接源_01水果!$V36)&lt;&gt;0)),1,0)</f>
        <v>0</v>
      </c>
      <c r="W36">
        <f>N(W35)+$V36</f>
        <v>0</v>
      </c>
      <c r="X36">
        <f>IF(AND($L36=1,AND(对接源_01水果!$X36="自备筐",N(对接源_01水果!$T36)&lt;&gt;0)),1,0)</f>
        <v>0</v>
      </c>
      <c r="Y36">
        <f>N(Y35)+$X36</f>
        <v>0</v>
      </c>
      <c r="Z36">
        <f>IF(AND($M36=1,对接源_01水果!$D36="原料入库"),1,0)</f>
        <v>0</v>
      </c>
      <c r="AA36">
        <f>N(AA35)+$Z36</f>
        <v>0</v>
      </c>
      <c r="AB36">
        <f>IF(AND($M36=1,LEFT(对接源_01水果!$D36,4)="原料出库"),1,0)</f>
        <v>0</v>
      </c>
      <c r="AC36">
        <f>N(AC35)+$AB36</f>
        <v>0</v>
      </c>
      <c r="AD36">
        <f>IF(AND($M36=1,LEFT(对接源_01水果!$D36,4)="成品出库"),1,0)</f>
        <v>0</v>
      </c>
      <c r="AE36">
        <f>N(AE35)+$AD36</f>
        <v>0</v>
      </c>
      <c r="AF36">
        <f>IF(AND($N36=1,AND(LEFT(对接源_01水果!$D36,4)="包装物料",N(对接源_01水果!$K36)&lt;&gt;0)),1,0)</f>
        <v>0</v>
      </c>
      <c r="AG36">
        <f>N(AG35)+$AF36</f>
        <v>0</v>
      </c>
      <c r="AH36">
        <f>IF(AND($N36=1,AND(对接源_01水果!$D36="周转筐－销售出库",N(对接源_01水果!$K36)&lt;&gt;0)),1,0)</f>
        <v>0</v>
      </c>
      <c r="AI36">
        <f>N(AI35)+$AH36</f>
        <v>0</v>
      </c>
      <c r="AJ36" s="7" t="n"/>
      <c r="AL36">
        <f>IF(OR($AL$1="",对接源_01水果!$Y36="",对接源_01水果!$Y36&lt;&gt;$AL$1,对接源_01水果!$B36="",N(对接源_01水果!$AJ36)&lt;=0),0,IF(OR(N(对接源_01水果!$B36)&lt;$AL$2,N(对接源_01水果!$B36)&gt;$AL$3),0,1))</f>
        <v>0</v>
      </c>
      <c r="AM36">
        <f>N(AM35)+$AL36</f>
        <v>0</v>
      </c>
      <c r="AN36">
        <f>IF(对接源_01水果!$AC36="","",对接源_01水果!$AC36)</f>
      </c>
      <c r="AO36">
        <f>IF(AN36="",0,IF(MATCH(AN36,$AN$4:$AN$1203,0)=ROW()-3,1,0))</f>
        <v>0</v>
      </c>
      <c r="AP36">
        <f>N(AP35)+$AO36</f>
        <v>0</v>
      </c>
      <c r="AQ36">
        <f>IFERROR(INDEX($AN$4:$AN$1203,MATCH(ROW()-3,$AP$4:$AP$1203,0)),"")</f>
      </c>
      <c r="AR36">
        <f>IF(OR($AF36=1,$AH36=1),1,0)</f>
        <v>0</v>
      </c>
      <c r="AS36">
        <f>N(AS35)+$AR36</f>
        <v>0</v>
      </c>
    </row>
    <row r="37" ht="14.25" customHeight="1" s="127">
      <c r="A37" t="str">
        <f>IF(对接源_01水果!$C37="","",对接源_01水果!$C37)</f>
        <v>王照雪</v>
      </c>
      <c r="B37">
        <f>IF(A37="",0,IF(MATCH(A37,$A$4:$A$2403,0)=ROW()-3,1,0))</f>
        <v>0</v>
      </c>
      <c r="C37">
        <f>N(C36)+B37</f>
        <v>3</v>
      </c>
      <c r="E37">
        <f>IFERROR(INDEX($A$4:$A$2403,MATCH(ROW()-3,$C$4:$C$2403,0)),"")</f>
      </c>
      <c r="K37">
        <f>IF(OR($K$1="",对接源_01水果!$C37="",对接源_01水果!$C37&lt;&gt;$K$1,对接源_01水果!$B37=""),0,IF(OR(N(对接源_01水果!$B37)&lt;$K$2,N(对接源_01水果!$B37)&gt;$K$3),0,1))</f>
        <v>0</v>
      </c>
      <c r="L37">
        <f>IF(OR($L$1="",对接源_01水果!$C37="",对接源_01水果!$C37&lt;&gt;$L$1,对接源_01水果!$B37=""),0,IF(OR(N(对接源_01水果!$B37)&lt;$L$2,N(对接源_01水果!$B37)&gt;$L$3),0,1))</f>
        <v>0</v>
      </c>
      <c r="M37">
        <f>IF(OR($M$1="",对接源_01水果!$C37="",对接源_01水果!$C37&lt;&gt;$M$1,对接源_01水果!$B37=""),0,IF(OR(N(对接源_01水果!$B37)&lt;$M$2,N(对接源_01水果!$B37)&gt;$M$3),0,1))</f>
        <v>0</v>
      </c>
      <c r="N37">
        <f>IF(OR($N$1="",对接源_01水果!$C37="",对接源_01水果!$C37&lt;&gt;$N$1,对接源_01水果!$B37=""),0,IF(OR(N(对接源_01水果!$B37)&lt;$N$2,N(对接源_01水果!$B37)&gt;$N$3),0,1))</f>
        <v>0</v>
      </c>
      <c r="P37">
        <f>IF(AND($K37=1,AND(对接源_01水果!$X37="公司筐",N(对接源_01水果!$T37)&lt;&gt;0)),1,0)</f>
        <v>0</v>
      </c>
      <c r="Q37">
        <f>N(Q36)+$P37</f>
        <v>0</v>
      </c>
      <c r="R37">
        <f>IF(AND($K37=1,AND(对接源_01水果!$X37="公司筐",N(对接源_01水果!$U37)&lt;&gt;0)),1,0)</f>
        <v>0</v>
      </c>
      <c r="S37">
        <f>N(S36)+$R37</f>
        <v>0</v>
      </c>
      <c r="T37">
        <f>IF(AND($K37=1,AND(对接源_01水果!$X37="公司筐",N(对接源_01水果!$V37)&lt;&gt;0)),1,0)</f>
        <v>0</v>
      </c>
      <c r="U37">
        <f>N(U36)+$T37</f>
        <v>0</v>
      </c>
      <c r="V37">
        <f>IF(AND($L37=1,AND(对接源_01水果!$X37="自备筐",N(对接源_01水果!$V37)&lt;&gt;0)),1,0)</f>
        <v>0</v>
      </c>
      <c r="W37">
        <f>N(W36)+$V37</f>
        <v>0</v>
      </c>
      <c r="X37">
        <f>IF(AND($L37=1,AND(对接源_01水果!$X37="自备筐",N(对接源_01水果!$T37)&lt;&gt;0)),1,0)</f>
        <v>0</v>
      </c>
      <c r="Y37">
        <f>N(Y36)+$X37</f>
        <v>0</v>
      </c>
      <c r="Z37">
        <f>IF(AND($M37=1,对接源_01水果!$D37="原料入库"),1,0)</f>
        <v>0</v>
      </c>
      <c r="AA37">
        <f>N(AA36)+$Z37</f>
        <v>0</v>
      </c>
      <c r="AB37">
        <f>IF(AND($M37=1,LEFT(对接源_01水果!$D37,4)="原料出库"),1,0)</f>
        <v>0</v>
      </c>
      <c r="AC37">
        <f>N(AC36)+$AB37</f>
        <v>0</v>
      </c>
      <c r="AD37">
        <f>IF(AND($M37=1,LEFT(对接源_01水果!$D37,4)="成品出库"),1,0)</f>
        <v>0</v>
      </c>
      <c r="AE37">
        <f>N(AE36)+$AD37</f>
        <v>0</v>
      </c>
      <c r="AF37">
        <f>IF(AND($N37=1,AND(LEFT(对接源_01水果!$D37,4)="包装物料",N(对接源_01水果!$K37)&lt;&gt;0)),1,0)</f>
        <v>0</v>
      </c>
      <c r="AG37">
        <f>N(AG36)+$AF37</f>
        <v>0</v>
      </c>
      <c r="AH37">
        <f>IF(AND($N37=1,AND(对接源_01水果!$D37="周转筐－销售出库",N(对接源_01水果!$K37)&lt;&gt;0)),1,0)</f>
        <v>0</v>
      </c>
      <c r="AI37">
        <f>N(AI36)+$AH37</f>
        <v>0</v>
      </c>
      <c r="AJ37" s="7" t="n"/>
      <c r="AL37">
        <f>IF(OR($AL$1="",对接源_01水果!$Y37="",对接源_01水果!$Y37&lt;&gt;$AL$1,对接源_01水果!$B37="",N(对接源_01水果!$AJ37)&lt;=0),0,IF(OR(N(对接源_01水果!$B37)&lt;$AL$2,N(对接源_01水果!$B37)&gt;$AL$3),0,1))</f>
        <v>0</v>
      </c>
      <c r="AM37">
        <f>N(AM36)+$AL37</f>
        <v>0</v>
      </c>
      <c r="AN37">
        <f>IF(对接源_01水果!$AC37="","",对接源_01水果!$AC37)</f>
      </c>
      <c r="AO37">
        <f>IF(AN37="",0,IF(MATCH(AN37,$AN$4:$AN$1203,0)=ROW()-3,1,0))</f>
        <v>0</v>
      </c>
      <c r="AP37">
        <f>N(AP36)+$AO37</f>
        <v>0</v>
      </c>
      <c r="AQ37">
        <f>IFERROR(INDEX($AN$4:$AN$1203,MATCH(ROW()-3,$AP$4:$AP$1203,0)),"")</f>
      </c>
      <c r="AR37">
        <f>IF(OR($AF37=1,$AH37=1),1,0)</f>
        <v>0</v>
      </c>
      <c r="AS37">
        <f>N(AS36)+$AR37</f>
        <v>0</v>
      </c>
    </row>
    <row r="38" ht="14.25" customHeight="1" s="127">
      <c r="A38" t="str">
        <f>IF(对接源_01水果!$C38="","",对接源_01水果!$C38)</f>
        <v>王照雪</v>
      </c>
      <c r="B38">
        <f>IF(A38="",0,IF(MATCH(A38,$A$4:$A$2403,0)=ROW()-3,1,0))</f>
        <v>0</v>
      </c>
      <c r="C38">
        <f>N(C37)+B38</f>
        <v>3</v>
      </c>
      <c r="E38">
        <f>IFERROR(INDEX($A$4:$A$2403,MATCH(ROW()-3,$C$4:$C$2403,0)),"")</f>
      </c>
      <c r="K38">
        <f>IF(OR($K$1="",对接源_01水果!$C38="",对接源_01水果!$C38&lt;&gt;$K$1,对接源_01水果!$B38=""),0,IF(OR(N(对接源_01水果!$B38)&lt;$K$2,N(对接源_01水果!$B38)&gt;$K$3),0,1))</f>
        <v>0</v>
      </c>
      <c r="L38">
        <f>IF(OR($L$1="",对接源_01水果!$C38="",对接源_01水果!$C38&lt;&gt;$L$1,对接源_01水果!$B38=""),0,IF(OR(N(对接源_01水果!$B38)&lt;$L$2,N(对接源_01水果!$B38)&gt;$L$3),0,1))</f>
        <v>0</v>
      </c>
      <c r="M38">
        <f>IF(OR($M$1="",对接源_01水果!$C38="",对接源_01水果!$C38&lt;&gt;$M$1,对接源_01水果!$B38=""),0,IF(OR(N(对接源_01水果!$B38)&lt;$M$2,N(对接源_01水果!$B38)&gt;$M$3),0,1))</f>
        <v>0</v>
      </c>
      <c r="N38">
        <f>IF(OR($N$1="",对接源_01水果!$C38="",对接源_01水果!$C38&lt;&gt;$N$1,对接源_01水果!$B38=""),0,IF(OR(N(对接源_01水果!$B38)&lt;$N$2,N(对接源_01水果!$B38)&gt;$N$3),0,1))</f>
        <v>0</v>
      </c>
      <c r="P38">
        <f>IF(AND($K38=1,AND(对接源_01水果!$X38="公司筐",N(对接源_01水果!$T38)&lt;&gt;0)),1,0)</f>
        <v>0</v>
      </c>
      <c r="Q38">
        <f>N(Q37)+$P38</f>
        <v>0</v>
      </c>
      <c r="R38">
        <f>IF(AND($K38=1,AND(对接源_01水果!$X38="公司筐",N(对接源_01水果!$U38)&lt;&gt;0)),1,0)</f>
        <v>0</v>
      </c>
      <c r="S38">
        <f>N(S37)+$R38</f>
        <v>0</v>
      </c>
      <c r="T38">
        <f>IF(AND($K38=1,AND(对接源_01水果!$X38="公司筐",N(对接源_01水果!$V38)&lt;&gt;0)),1,0)</f>
        <v>0</v>
      </c>
      <c r="U38">
        <f>N(U37)+$T38</f>
        <v>0</v>
      </c>
      <c r="V38">
        <f>IF(AND($L38=1,AND(对接源_01水果!$X38="自备筐",N(对接源_01水果!$V38)&lt;&gt;0)),1,0)</f>
        <v>0</v>
      </c>
      <c r="W38">
        <f>N(W37)+$V38</f>
        <v>0</v>
      </c>
      <c r="X38">
        <f>IF(AND($L38=1,AND(对接源_01水果!$X38="自备筐",N(对接源_01水果!$T38)&lt;&gt;0)),1,0)</f>
        <v>0</v>
      </c>
      <c r="Y38">
        <f>N(Y37)+$X38</f>
        <v>0</v>
      </c>
      <c r="Z38">
        <f>IF(AND($M38=1,对接源_01水果!$D38="原料入库"),1,0)</f>
        <v>0</v>
      </c>
      <c r="AA38">
        <f>N(AA37)+$Z38</f>
        <v>0</v>
      </c>
      <c r="AB38">
        <f>IF(AND($M38=1,LEFT(对接源_01水果!$D38,4)="原料出库"),1,0)</f>
        <v>0</v>
      </c>
      <c r="AC38">
        <f>N(AC37)+$AB38</f>
        <v>0</v>
      </c>
      <c r="AD38">
        <f>IF(AND($M38=1,LEFT(对接源_01水果!$D38,4)="成品出库"),1,0)</f>
        <v>0</v>
      </c>
      <c r="AE38">
        <f>N(AE37)+$AD38</f>
        <v>0</v>
      </c>
      <c r="AF38">
        <f>IF(AND($N38=1,AND(LEFT(对接源_01水果!$D38,4)="包装物料",N(对接源_01水果!$K38)&lt;&gt;0)),1,0)</f>
        <v>0</v>
      </c>
      <c r="AG38">
        <f>N(AG37)+$AF38</f>
        <v>0</v>
      </c>
      <c r="AH38">
        <f>IF(AND($N38=1,AND(对接源_01水果!$D38="周转筐－销售出库",N(对接源_01水果!$K38)&lt;&gt;0)),1,0)</f>
        <v>0</v>
      </c>
      <c r="AI38">
        <f>N(AI37)+$AH38</f>
        <v>0</v>
      </c>
      <c r="AJ38" s="7" t="n"/>
      <c r="AL38">
        <f>IF(OR($AL$1="",对接源_01水果!$Y38="",对接源_01水果!$Y38&lt;&gt;$AL$1,对接源_01水果!$B38="",N(对接源_01水果!$AJ38)&lt;=0),0,IF(OR(N(对接源_01水果!$B38)&lt;$AL$2,N(对接源_01水果!$B38)&gt;$AL$3),0,1))</f>
        <v>0</v>
      </c>
      <c r="AM38">
        <f>N(AM37)+$AL38</f>
        <v>0</v>
      </c>
      <c r="AN38">
        <f>IF(对接源_01水果!$AC38="","",对接源_01水果!$AC38)</f>
      </c>
      <c r="AO38">
        <f>IF(AN38="",0,IF(MATCH(AN38,$AN$4:$AN$1203,0)=ROW()-3,1,0))</f>
        <v>0</v>
      </c>
      <c r="AP38">
        <f>N(AP37)+$AO38</f>
        <v>0</v>
      </c>
      <c r="AQ38">
        <f>IFERROR(INDEX($AN$4:$AN$1203,MATCH(ROW()-3,$AP$4:$AP$1203,0)),"")</f>
      </c>
      <c r="AR38">
        <f>IF(OR($AF38=1,$AH38=1),1,0)</f>
        <v>0</v>
      </c>
      <c r="AS38">
        <f>N(AS37)+$AR38</f>
        <v>0</v>
      </c>
    </row>
    <row r="39" ht="14.25" customHeight="1" s="127">
      <c r="A39" t="str">
        <f>IF(对接源_01水果!$C39="","",对接源_01水果!$C39)</f>
        <v>王照雪</v>
      </c>
      <c r="B39">
        <f>IF(A39="",0,IF(MATCH(A39,$A$4:$A$2403,0)=ROW()-3,1,0))</f>
        <v>0</v>
      </c>
      <c r="C39">
        <f>N(C38)+B39</f>
        <v>3</v>
      </c>
      <c r="E39">
        <f>IFERROR(INDEX($A$4:$A$2403,MATCH(ROW()-3,$C$4:$C$2403,0)),"")</f>
      </c>
      <c r="K39">
        <f>IF(OR($K$1="",对接源_01水果!$C39="",对接源_01水果!$C39&lt;&gt;$K$1,对接源_01水果!$B39=""),0,IF(OR(N(对接源_01水果!$B39)&lt;$K$2,N(对接源_01水果!$B39)&gt;$K$3),0,1))</f>
        <v>0</v>
      </c>
      <c r="L39">
        <f>IF(OR($L$1="",对接源_01水果!$C39="",对接源_01水果!$C39&lt;&gt;$L$1,对接源_01水果!$B39=""),0,IF(OR(N(对接源_01水果!$B39)&lt;$L$2,N(对接源_01水果!$B39)&gt;$L$3),0,1))</f>
        <v>0</v>
      </c>
      <c r="M39">
        <f>IF(OR($M$1="",对接源_01水果!$C39="",对接源_01水果!$C39&lt;&gt;$M$1,对接源_01水果!$B39=""),0,IF(OR(N(对接源_01水果!$B39)&lt;$M$2,N(对接源_01水果!$B39)&gt;$M$3),0,1))</f>
        <v>0</v>
      </c>
      <c r="N39">
        <f>IF(OR($N$1="",对接源_01水果!$C39="",对接源_01水果!$C39&lt;&gt;$N$1,对接源_01水果!$B39=""),0,IF(OR(N(对接源_01水果!$B39)&lt;$N$2,N(对接源_01水果!$B39)&gt;$N$3),0,1))</f>
        <v>0</v>
      </c>
      <c r="P39">
        <f>IF(AND($K39=1,AND(对接源_01水果!$X39="公司筐",N(对接源_01水果!$T39)&lt;&gt;0)),1,0)</f>
        <v>0</v>
      </c>
      <c r="Q39">
        <f>N(Q38)+$P39</f>
        <v>0</v>
      </c>
      <c r="R39">
        <f>IF(AND($K39=1,AND(对接源_01水果!$X39="公司筐",N(对接源_01水果!$U39)&lt;&gt;0)),1,0)</f>
        <v>0</v>
      </c>
      <c r="S39">
        <f>N(S38)+$R39</f>
        <v>0</v>
      </c>
      <c r="T39">
        <f>IF(AND($K39=1,AND(对接源_01水果!$X39="公司筐",N(对接源_01水果!$V39)&lt;&gt;0)),1,0)</f>
        <v>0</v>
      </c>
      <c r="U39">
        <f>N(U38)+$T39</f>
        <v>0</v>
      </c>
      <c r="V39">
        <f>IF(AND($L39=1,AND(对接源_01水果!$X39="自备筐",N(对接源_01水果!$V39)&lt;&gt;0)),1,0)</f>
        <v>0</v>
      </c>
      <c r="W39">
        <f>N(W38)+$V39</f>
        <v>0</v>
      </c>
      <c r="X39">
        <f>IF(AND($L39=1,AND(对接源_01水果!$X39="自备筐",N(对接源_01水果!$T39)&lt;&gt;0)),1,0)</f>
        <v>0</v>
      </c>
      <c r="Y39">
        <f>N(Y38)+$X39</f>
        <v>0</v>
      </c>
      <c r="Z39">
        <f>IF(AND($M39=1,对接源_01水果!$D39="原料入库"),1,0)</f>
        <v>0</v>
      </c>
      <c r="AA39">
        <f>N(AA38)+$Z39</f>
        <v>0</v>
      </c>
      <c r="AB39">
        <f>IF(AND($M39=1,LEFT(对接源_01水果!$D39,4)="原料出库"),1,0)</f>
        <v>0</v>
      </c>
      <c r="AC39">
        <f>N(AC38)+$AB39</f>
        <v>0</v>
      </c>
      <c r="AD39">
        <f>IF(AND($M39=1,LEFT(对接源_01水果!$D39,4)="成品出库"),1,0)</f>
        <v>0</v>
      </c>
      <c r="AE39">
        <f>N(AE38)+$AD39</f>
        <v>0</v>
      </c>
      <c r="AF39">
        <f>IF(AND($N39=1,AND(LEFT(对接源_01水果!$D39,4)="包装物料",N(对接源_01水果!$K39)&lt;&gt;0)),1,0)</f>
        <v>0</v>
      </c>
      <c r="AG39">
        <f>N(AG38)+$AF39</f>
        <v>0</v>
      </c>
      <c r="AH39">
        <f>IF(AND($N39=1,AND(对接源_01水果!$D39="周转筐－销售出库",N(对接源_01水果!$K39)&lt;&gt;0)),1,0)</f>
        <v>0</v>
      </c>
      <c r="AI39">
        <f>N(AI38)+$AH39</f>
        <v>0</v>
      </c>
      <c r="AJ39" s="7" t="n"/>
      <c r="AL39">
        <f>IF(OR($AL$1="",对接源_01水果!$Y39="",对接源_01水果!$Y39&lt;&gt;$AL$1,对接源_01水果!$B39="",N(对接源_01水果!$AJ39)&lt;=0),0,IF(OR(N(对接源_01水果!$B39)&lt;$AL$2,N(对接源_01水果!$B39)&gt;$AL$3),0,1))</f>
        <v>0</v>
      </c>
      <c r="AM39">
        <f>N(AM38)+$AL39</f>
        <v>0</v>
      </c>
      <c r="AN39">
        <f>IF(对接源_01水果!$AC39="","",对接源_01水果!$AC39)</f>
      </c>
      <c r="AO39">
        <f>IF(AN39="",0,IF(MATCH(AN39,$AN$4:$AN$1203,0)=ROW()-3,1,0))</f>
        <v>0</v>
      </c>
      <c r="AP39">
        <f>N(AP38)+$AO39</f>
        <v>0</v>
      </c>
      <c r="AQ39">
        <f>IFERROR(INDEX($AN$4:$AN$1203,MATCH(ROW()-3,$AP$4:$AP$1203,0)),"")</f>
      </c>
      <c r="AR39">
        <f>IF(OR($AF39=1,$AH39=1),1,0)</f>
        <v>0</v>
      </c>
      <c r="AS39">
        <f>N(AS38)+$AR39</f>
        <v>0</v>
      </c>
    </row>
    <row r="40" ht="14.25" customHeight="1" s="127">
      <c r="A40" t="str">
        <f>IF(对接源_01水果!$C40="","",对接源_01水果!$C40)</f>
        <v>聂新平</v>
      </c>
      <c r="B40">
        <f>IF(A40="",0,IF(MATCH(A40,$A$4:$A$2403,0)=ROW()-3,1,0))</f>
        <v>0</v>
      </c>
      <c r="C40">
        <f>N(C39)+B40</f>
        <v>3</v>
      </c>
      <c r="E40">
        <f>IFERROR(INDEX($A$4:$A$2403,MATCH(ROW()-3,$C$4:$C$2403,0)),"")</f>
      </c>
      <c r="K40">
        <f>IF(OR($K$1="",对接源_01水果!$C40="",对接源_01水果!$C40&lt;&gt;$K$1,对接源_01水果!$B40=""),0,IF(OR(N(对接源_01水果!$B40)&lt;$K$2,N(对接源_01水果!$B40)&gt;$K$3),0,1))</f>
        <v>0</v>
      </c>
      <c r="L40">
        <f>IF(OR($L$1="",对接源_01水果!$C40="",对接源_01水果!$C40&lt;&gt;$L$1,对接源_01水果!$B40=""),0,IF(OR(N(对接源_01水果!$B40)&lt;$L$2,N(对接源_01水果!$B40)&gt;$L$3),0,1))</f>
        <v>0</v>
      </c>
      <c r="M40">
        <f>IF(OR($M$1="",对接源_01水果!$C40="",对接源_01水果!$C40&lt;&gt;$M$1,对接源_01水果!$B40=""),0,IF(OR(N(对接源_01水果!$B40)&lt;$M$2,N(对接源_01水果!$B40)&gt;$M$3),0,1))</f>
        <v>0</v>
      </c>
      <c r="N40">
        <f>IF(OR($N$1="",对接源_01水果!$C40="",对接源_01水果!$C40&lt;&gt;$N$1,对接源_01水果!$B40=""),0,IF(OR(N(对接源_01水果!$B40)&lt;$N$2,N(对接源_01水果!$B40)&gt;$N$3),0,1))</f>
        <v>0</v>
      </c>
      <c r="P40">
        <f>IF(AND($K40=1,AND(对接源_01水果!$X40="公司筐",N(对接源_01水果!$T40)&lt;&gt;0)),1,0)</f>
        <v>0</v>
      </c>
      <c r="Q40">
        <f>N(Q39)+$P40</f>
        <v>0</v>
      </c>
      <c r="R40">
        <f>IF(AND($K40=1,AND(对接源_01水果!$X40="公司筐",N(对接源_01水果!$U40)&lt;&gt;0)),1,0)</f>
        <v>0</v>
      </c>
      <c r="S40">
        <f>N(S39)+$R40</f>
        <v>0</v>
      </c>
      <c r="T40">
        <f>IF(AND($K40=1,AND(对接源_01水果!$X40="公司筐",N(对接源_01水果!$V40)&lt;&gt;0)),1,0)</f>
        <v>0</v>
      </c>
      <c r="U40">
        <f>N(U39)+$T40</f>
        <v>0</v>
      </c>
      <c r="V40">
        <f>IF(AND($L40=1,AND(对接源_01水果!$X40="自备筐",N(对接源_01水果!$V40)&lt;&gt;0)),1,0)</f>
        <v>0</v>
      </c>
      <c r="W40">
        <f>N(W39)+$V40</f>
        <v>0</v>
      </c>
      <c r="X40">
        <f>IF(AND($L40=1,AND(对接源_01水果!$X40="自备筐",N(对接源_01水果!$T40)&lt;&gt;0)),1,0)</f>
        <v>0</v>
      </c>
      <c r="Y40">
        <f>N(Y39)+$X40</f>
        <v>0</v>
      </c>
      <c r="Z40">
        <f>IF(AND($M40=1,对接源_01水果!$D40="原料入库"),1,0)</f>
        <v>0</v>
      </c>
      <c r="AA40">
        <f>N(AA39)+$Z40</f>
        <v>0</v>
      </c>
      <c r="AB40">
        <f>IF(AND($M40=1,LEFT(对接源_01水果!$D40,4)="原料出库"),1,0)</f>
        <v>0</v>
      </c>
      <c r="AC40">
        <f>N(AC39)+$AB40</f>
        <v>0</v>
      </c>
      <c r="AD40">
        <f>IF(AND($M40=1,LEFT(对接源_01水果!$D40,4)="成品出库"),1,0)</f>
        <v>0</v>
      </c>
      <c r="AE40">
        <f>N(AE39)+$AD40</f>
        <v>0</v>
      </c>
      <c r="AF40">
        <f>IF(AND($N40=1,AND(LEFT(对接源_01水果!$D40,4)="包装物料",N(对接源_01水果!$K40)&lt;&gt;0)),1,0)</f>
        <v>0</v>
      </c>
      <c r="AG40">
        <f>N(AG39)+$AF40</f>
        <v>0</v>
      </c>
      <c r="AH40">
        <f>IF(AND($N40=1,AND(对接源_01水果!$D40="周转筐－销售出库",N(对接源_01水果!$K40)&lt;&gt;0)),1,0)</f>
        <v>0</v>
      </c>
      <c r="AI40">
        <f>N(AI39)+$AH40</f>
        <v>0</v>
      </c>
      <c r="AJ40" s="7" t="n"/>
      <c r="AL40">
        <f>IF(OR($AL$1="",对接源_01水果!$Y40="",对接源_01水果!$Y40&lt;&gt;$AL$1,对接源_01水果!$B40="",N(对接源_01水果!$AJ40)&lt;=0),0,IF(OR(N(对接源_01水果!$B40)&lt;$AL$2,N(对接源_01水果!$B40)&gt;$AL$3),0,1))</f>
        <v>0</v>
      </c>
      <c r="AM40">
        <f>N(AM39)+$AL40</f>
        <v>0</v>
      </c>
      <c r="AN40">
        <f>IF(对接源_01水果!$AC40="","",对接源_01水果!$AC40)</f>
      </c>
      <c r="AO40">
        <f>IF(AN40="",0,IF(MATCH(AN40,$AN$4:$AN$1203,0)=ROW()-3,1,0))</f>
        <v>0</v>
      </c>
      <c r="AP40">
        <f>N(AP39)+$AO40</f>
        <v>0</v>
      </c>
      <c r="AQ40">
        <f>IFERROR(INDEX($AN$4:$AN$1203,MATCH(ROW()-3,$AP$4:$AP$1203,0)),"")</f>
      </c>
      <c r="AR40">
        <f>IF(OR($AF40=1,$AH40=1),1,0)</f>
        <v>0</v>
      </c>
      <c r="AS40">
        <f>N(AS39)+$AR40</f>
        <v>0</v>
      </c>
    </row>
    <row r="41" ht="14.25" customHeight="1" s="127">
      <c r="A41" t="str">
        <f>IF(对接源_01水果!$C41="","",对接源_01水果!$C41)</f>
        <v>聂新平</v>
      </c>
      <c r="B41">
        <f>IF(A41="",0,IF(MATCH(A41,$A$4:$A$2403,0)=ROW()-3,1,0))</f>
        <v>0</v>
      </c>
      <c r="C41">
        <f>N(C40)+B41</f>
        <v>3</v>
      </c>
      <c r="E41">
        <f>IFERROR(INDEX($A$4:$A$2403,MATCH(ROW()-3,$C$4:$C$2403,0)),"")</f>
      </c>
      <c r="K41">
        <f>IF(OR($K$1="",对接源_01水果!$C41="",对接源_01水果!$C41&lt;&gt;$K$1,对接源_01水果!$B41=""),0,IF(OR(N(对接源_01水果!$B41)&lt;$K$2,N(对接源_01水果!$B41)&gt;$K$3),0,1))</f>
        <v>0</v>
      </c>
      <c r="L41">
        <f>IF(OR($L$1="",对接源_01水果!$C41="",对接源_01水果!$C41&lt;&gt;$L$1,对接源_01水果!$B41=""),0,IF(OR(N(对接源_01水果!$B41)&lt;$L$2,N(对接源_01水果!$B41)&gt;$L$3),0,1))</f>
        <v>0</v>
      </c>
      <c r="M41">
        <f>IF(OR($M$1="",对接源_01水果!$C41="",对接源_01水果!$C41&lt;&gt;$M$1,对接源_01水果!$B41=""),0,IF(OR(N(对接源_01水果!$B41)&lt;$M$2,N(对接源_01水果!$B41)&gt;$M$3),0,1))</f>
        <v>0</v>
      </c>
      <c r="N41">
        <f>IF(OR($N$1="",对接源_01水果!$C41="",对接源_01水果!$C41&lt;&gt;$N$1,对接源_01水果!$B41=""),0,IF(OR(N(对接源_01水果!$B41)&lt;$N$2,N(对接源_01水果!$B41)&gt;$N$3),0,1))</f>
        <v>0</v>
      </c>
      <c r="P41">
        <f>IF(AND($K41=1,AND(对接源_01水果!$X41="公司筐",N(对接源_01水果!$T41)&lt;&gt;0)),1,0)</f>
        <v>0</v>
      </c>
      <c r="Q41">
        <f>N(Q40)+$P41</f>
        <v>0</v>
      </c>
      <c r="R41">
        <f>IF(AND($K41=1,AND(对接源_01水果!$X41="公司筐",N(对接源_01水果!$U41)&lt;&gt;0)),1,0)</f>
        <v>0</v>
      </c>
      <c r="S41">
        <f>N(S40)+$R41</f>
        <v>0</v>
      </c>
      <c r="T41">
        <f>IF(AND($K41=1,AND(对接源_01水果!$X41="公司筐",N(对接源_01水果!$V41)&lt;&gt;0)),1,0)</f>
        <v>0</v>
      </c>
      <c r="U41">
        <f>N(U40)+$T41</f>
        <v>0</v>
      </c>
      <c r="V41">
        <f>IF(AND($L41=1,AND(对接源_01水果!$X41="自备筐",N(对接源_01水果!$V41)&lt;&gt;0)),1,0)</f>
        <v>0</v>
      </c>
      <c r="W41">
        <f>N(W40)+$V41</f>
        <v>0</v>
      </c>
      <c r="X41">
        <f>IF(AND($L41=1,AND(对接源_01水果!$X41="自备筐",N(对接源_01水果!$T41)&lt;&gt;0)),1,0)</f>
        <v>0</v>
      </c>
      <c r="Y41">
        <f>N(Y40)+$X41</f>
        <v>0</v>
      </c>
      <c r="Z41">
        <f>IF(AND($M41=1,对接源_01水果!$D41="原料入库"),1,0)</f>
        <v>0</v>
      </c>
      <c r="AA41">
        <f>N(AA40)+$Z41</f>
        <v>0</v>
      </c>
      <c r="AB41">
        <f>IF(AND($M41=1,LEFT(对接源_01水果!$D41,4)="原料出库"),1,0)</f>
        <v>0</v>
      </c>
      <c r="AC41">
        <f>N(AC40)+$AB41</f>
        <v>0</v>
      </c>
      <c r="AD41">
        <f>IF(AND($M41=1,LEFT(对接源_01水果!$D41,4)="成品出库"),1,0)</f>
        <v>0</v>
      </c>
      <c r="AE41">
        <f>N(AE40)+$AD41</f>
        <v>0</v>
      </c>
      <c r="AF41">
        <f>IF(AND($N41=1,AND(LEFT(对接源_01水果!$D41,4)="包装物料",N(对接源_01水果!$K41)&lt;&gt;0)),1,0)</f>
        <v>0</v>
      </c>
      <c r="AG41">
        <f>N(AG40)+$AF41</f>
        <v>0</v>
      </c>
      <c r="AH41">
        <f>IF(AND($N41=1,AND(对接源_01水果!$D41="周转筐－销售出库",N(对接源_01水果!$K41)&lt;&gt;0)),1,0)</f>
        <v>0</v>
      </c>
      <c r="AI41">
        <f>N(AI40)+$AH41</f>
        <v>0</v>
      </c>
      <c r="AJ41" s="7" t="n"/>
      <c r="AL41">
        <f>IF(OR($AL$1="",对接源_01水果!$Y41="",对接源_01水果!$Y41&lt;&gt;$AL$1,对接源_01水果!$B41="",N(对接源_01水果!$AJ41)&lt;=0),0,IF(OR(N(对接源_01水果!$B41)&lt;$AL$2,N(对接源_01水果!$B41)&gt;$AL$3),0,1))</f>
        <v>0</v>
      </c>
      <c r="AM41">
        <f>N(AM40)+$AL41</f>
        <v>0</v>
      </c>
      <c r="AN41">
        <f>IF(对接源_01水果!$AC41="","",对接源_01水果!$AC41)</f>
      </c>
      <c r="AO41">
        <f>IF(AN41="",0,IF(MATCH(AN41,$AN$4:$AN$1203,0)=ROW()-3,1,0))</f>
        <v>0</v>
      </c>
      <c r="AP41">
        <f>N(AP40)+$AO41</f>
        <v>0</v>
      </c>
      <c r="AQ41">
        <f>IFERROR(INDEX($AN$4:$AN$1203,MATCH(ROW()-3,$AP$4:$AP$1203,0)),"")</f>
      </c>
      <c r="AR41">
        <f>IF(OR($AF41=1,$AH41=1),1,0)</f>
        <v>0</v>
      </c>
      <c r="AS41">
        <f>N(AS40)+$AR41</f>
        <v>0</v>
      </c>
    </row>
    <row r="42" ht="14.25" customHeight="1" s="127">
      <c r="A42" t="str">
        <f>IF(对接源_01水果!$C42="","",对接源_01水果!$C42)</f>
        <v>聂新平</v>
      </c>
      <c r="B42">
        <f>IF(A42="",0,IF(MATCH(A42,$A$4:$A$2403,0)=ROW()-3,1,0))</f>
        <v>0</v>
      </c>
      <c r="C42">
        <f>N(C41)+B42</f>
        <v>3</v>
      </c>
      <c r="E42">
        <f>IFERROR(INDEX($A$4:$A$2403,MATCH(ROW()-3,$C$4:$C$2403,0)),"")</f>
      </c>
      <c r="K42">
        <f>IF(OR($K$1="",对接源_01水果!$C42="",对接源_01水果!$C42&lt;&gt;$K$1,对接源_01水果!$B42=""),0,IF(OR(N(对接源_01水果!$B42)&lt;$K$2,N(对接源_01水果!$B42)&gt;$K$3),0,1))</f>
        <v>0</v>
      </c>
      <c r="L42">
        <f>IF(OR($L$1="",对接源_01水果!$C42="",对接源_01水果!$C42&lt;&gt;$L$1,对接源_01水果!$B42=""),0,IF(OR(N(对接源_01水果!$B42)&lt;$L$2,N(对接源_01水果!$B42)&gt;$L$3),0,1))</f>
        <v>0</v>
      </c>
      <c r="M42">
        <f>IF(OR($M$1="",对接源_01水果!$C42="",对接源_01水果!$C42&lt;&gt;$M$1,对接源_01水果!$B42=""),0,IF(OR(N(对接源_01水果!$B42)&lt;$M$2,N(对接源_01水果!$B42)&gt;$M$3),0,1))</f>
        <v>0</v>
      </c>
      <c r="N42">
        <f>IF(OR($N$1="",对接源_01水果!$C42="",对接源_01水果!$C42&lt;&gt;$N$1,对接源_01水果!$B42=""),0,IF(OR(N(对接源_01水果!$B42)&lt;$N$2,N(对接源_01水果!$B42)&gt;$N$3),0,1))</f>
        <v>0</v>
      </c>
      <c r="P42">
        <f>IF(AND($K42=1,AND(对接源_01水果!$X42="公司筐",N(对接源_01水果!$T42)&lt;&gt;0)),1,0)</f>
        <v>0</v>
      </c>
      <c r="Q42">
        <f>N(Q41)+$P42</f>
        <v>0</v>
      </c>
      <c r="R42">
        <f>IF(AND($K42=1,AND(对接源_01水果!$X42="公司筐",N(对接源_01水果!$U42)&lt;&gt;0)),1,0)</f>
        <v>0</v>
      </c>
      <c r="S42">
        <f>N(S41)+$R42</f>
        <v>0</v>
      </c>
      <c r="T42">
        <f>IF(AND($K42=1,AND(对接源_01水果!$X42="公司筐",N(对接源_01水果!$V42)&lt;&gt;0)),1,0)</f>
        <v>0</v>
      </c>
      <c r="U42">
        <f>N(U41)+$T42</f>
        <v>0</v>
      </c>
      <c r="V42">
        <f>IF(AND($L42=1,AND(对接源_01水果!$X42="自备筐",N(对接源_01水果!$V42)&lt;&gt;0)),1,0)</f>
        <v>0</v>
      </c>
      <c r="W42">
        <f>N(W41)+$V42</f>
        <v>0</v>
      </c>
      <c r="X42">
        <f>IF(AND($L42=1,AND(对接源_01水果!$X42="自备筐",N(对接源_01水果!$T42)&lt;&gt;0)),1,0)</f>
        <v>0</v>
      </c>
      <c r="Y42">
        <f>N(Y41)+$X42</f>
        <v>0</v>
      </c>
      <c r="Z42">
        <f>IF(AND($M42=1,对接源_01水果!$D42="原料入库"),1,0)</f>
        <v>0</v>
      </c>
      <c r="AA42">
        <f>N(AA41)+$Z42</f>
        <v>0</v>
      </c>
      <c r="AB42">
        <f>IF(AND($M42=1,LEFT(对接源_01水果!$D42,4)="原料出库"),1,0)</f>
        <v>0</v>
      </c>
      <c r="AC42">
        <f>N(AC41)+$AB42</f>
        <v>0</v>
      </c>
      <c r="AD42">
        <f>IF(AND($M42=1,LEFT(对接源_01水果!$D42,4)="成品出库"),1,0)</f>
        <v>0</v>
      </c>
      <c r="AE42">
        <f>N(AE41)+$AD42</f>
        <v>0</v>
      </c>
      <c r="AF42">
        <f>IF(AND($N42=1,AND(LEFT(对接源_01水果!$D42,4)="包装物料",N(对接源_01水果!$K42)&lt;&gt;0)),1,0)</f>
        <v>0</v>
      </c>
      <c r="AG42">
        <f>N(AG41)+$AF42</f>
        <v>0</v>
      </c>
      <c r="AH42">
        <f>IF(AND($N42=1,AND(对接源_01水果!$D42="周转筐－销售出库",N(对接源_01水果!$K42)&lt;&gt;0)),1,0)</f>
        <v>0</v>
      </c>
      <c r="AI42">
        <f>N(AI41)+$AH42</f>
        <v>0</v>
      </c>
      <c r="AJ42" s="7" t="n"/>
      <c r="AL42">
        <f>IF(OR($AL$1="",对接源_01水果!$Y42="",对接源_01水果!$Y42&lt;&gt;$AL$1,对接源_01水果!$B42="",N(对接源_01水果!$AJ42)&lt;=0),0,IF(OR(N(对接源_01水果!$B42)&lt;$AL$2,N(对接源_01水果!$B42)&gt;$AL$3),0,1))</f>
        <v>0</v>
      </c>
      <c r="AM42">
        <f>N(AM41)+$AL42</f>
        <v>0</v>
      </c>
      <c r="AN42">
        <f>IF(对接源_01水果!$AC42="","",对接源_01水果!$AC42)</f>
      </c>
      <c r="AO42">
        <f>IF(AN42="",0,IF(MATCH(AN42,$AN$4:$AN$1203,0)=ROW()-3,1,0))</f>
        <v>0</v>
      </c>
      <c r="AP42">
        <f>N(AP41)+$AO42</f>
        <v>0</v>
      </c>
      <c r="AQ42">
        <f>IFERROR(INDEX($AN$4:$AN$1203,MATCH(ROW()-3,$AP$4:$AP$1203,0)),"")</f>
      </c>
      <c r="AR42">
        <f>IF(OR($AF42=1,$AH42=1),1,0)</f>
        <v>0</v>
      </c>
      <c r="AS42">
        <f>N(AS41)+$AR42</f>
        <v>0</v>
      </c>
    </row>
    <row r="43" ht="14.25" customHeight="1" s="127">
      <c r="A43" t="str">
        <f>IF(对接源_01水果!$C43="","",对接源_01水果!$C43)</f>
        <v>聂新平</v>
      </c>
      <c r="B43">
        <f>IF(A43="",0,IF(MATCH(A43,$A$4:$A$2403,0)=ROW()-3,1,0))</f>
        <v>0</v>
      </c>
      <c r="C43">
        <f>N(C42)+B43</f>
        <v>3</v>
      </c>
      <c r="E43">
        <f>IFERROR(INDEX($A$4:$A$2403,MATCH(ROW()-3,$C$4:$C$2403,0)),"")</f>
      </c>
      <c r="K43">
        <f>IF(OR($K$1="",对接源_01水果!$C43="",对接源_01水果!$C43&lt;&gt;$K$1,对接源_01水果!$B43=""),0,IF(OR(N(对接源_01水果!$B43)&lt;$K$2,N(对接源_01水果!$B43)&gt;$K$3),0,1))</f>
        <v>0</v>
      </c>
      <c r="L43">
        <f>IF(OR($L$1="",对接源_01水果!$C43="",对接源_01水果!$C43&lt;&gt;$L$1,对接源_01水果!$B43=""),0,IF(OR(N(对接源_01水果!$B43)&lt;$L$2,N(对接源_01水果!$B43)&gt;$L$3),0,1))</f>
        <v>0</v>
      </c>
      <c r="M43">
        <f>IF(OR($M$1="",对接源_01水果!$C43="",对接源_01水果!$C43&lt;&gt;$M$1,对接源_01水果!$B43=""),0,IF(OR(N(对接源_01水果!$B43)&lt;$M$2,N(对接源_01水果!$B43)&gt;$M$3),0,1))</f>
        <v>0</v>
      </c>
      <c r="N43">
        <f>IF(OR($N$1="",对接源_01水果!$C43="",对接源_01水果!$C43&lt;&gt;$N$1,对接源_01水果!$B43=""),0,IF(OR(N(对接源_01水果!$B43)&lt;$N$2,N(对接源_01水果!$B43)&gt;$N$3),0,1))</f>
        <v>0</v>
      </c>
      <c r="P43">
        <f>IF(AND($K43=1,AND(对接源_01水果!$X43="公司筐",N(对接源_01水果!$T43)&lt;&gt;0)),1,0)</f>
        <v>0</v>
      </c>
      <c r="Q43">
        <f>N(Q42)+$P43</f>
        <v>0</v>
      </c>
      <c r="R43">
        <f>IF(AND($K43=1,AND(对接源_01水果!$X43="公司筐",N(对接源_01水果!$U43)&lt;&gt;0)),1,0)</f>
        <v>0</v>
      </c>
      <c r="S43">
        <f>N(S42)+$R43</f>
        <v>0</v>
      </c>
      <c r="T43">
        <f>IF(AND($K43=1,AND(对接源_01水果!$X43="公司筐",N(对接源_01水果!$V43)&lt;&gt;0)),1,0)</f>
        <v>0</v>
      </c>
      <c r="U43">
        <f>N(U42)+$T43</f>
        <v>0</v>
      </c>
      <c r="V43">
        <f>IF(AND($L43=1,AND(对接源_01水果!$X43="自备筐",N(对接源_01水果!$V43)&lt;&gt;0)),1,0)</f>
        <v>0</v>
      </c>
      <c r="W43">
        <f>N(W42)+$V43</f>
        <v>0</v>
      </c>
      <c r="X43">
        <f>IF(AND($L43=1,AND(对接源_01水果!$X43="自备筐",N(对接源_01水果!$T43)&lt;&gt;0)),1,0)</f>
        <v>0</v>
      </c>
      <c r="Y43">
        <f>N(Y42)+$X43</f>
        <v>0</v>
      </c>
      <c r="Z43">
        <f>IF(AND($M43=1,对接源_01水果!$D43="原料入库"),1,0)</f>
        <v>0</v>
      </c>
      <c r="AA43">
        <f>N(AA42)+$Z43</f>
        <v>0</v>
      </c>
      <c r="AB43">
        <f>IF(AND($M43=1,LEFT(对接源_01水果!$D43,4)="原料出库"),1,0)</f>
        <v>0</v>
      </c>
      <c r="AC43">
        <f>N(AC42)+$AB43</f>
        <v>0</v>
      </c>
      <c r="AD43">
        <f>IF(AND($M43=1,LEFT(对接源_01水果!$D43,4)="成品出库"),1,0)</f>
        <v>0</v>
      </c>
      <c r="AE43">
        <f>N(AE42)+$AD43</f>
        <v>0</v>
      </c>
      <c r="AF43">
        <f>IF(AND($N43=1,AND(LEFT(对接源_01水果!$D43,4)="包装物料",N(对接源_01水果!$K43)&lt;&gt;0)),1,0)</f>
        <v>0</v>
      </c>
      <c r="AG43">
        <f>N(AG42)+$AF43</f>
        <v>0</v>
      </c>
      <c r="AH43">
        <f>IF(AND($N43=1,AND(对接源_01水果!$D43="周转筐－销售出库",N(对接源_01水果!$K43)&lt;&gt;0)),1,0)</f>
        <v>0</v>
      </c>
      <c r="AI43">
        <f>N(AI42)+$AH43</f>
        <v>0</v>
      </c>
      <c r="AJ43" s="7" t="n"/>
      <c r="AL43">
        <f>IF(OR($AL$1="",对接源_01水果!$Y43="",对接源_01水果!$Y43&lt;&gt;$AL$1,对接源_01水果!$B43="",N(对接源_01水果!$AJ43)&lt;=0),0,IF(OR(N(对接源_01水果!$B43)&lt;$AL$2,N(对接源_01水果!$B43)&gt;$AL$3),0,1))</f>
        <v>0</v>
      </c>
      <c r="AM43">
        <f>N(AM42)+$AL43</f>
        <v>0</v>
      </c>
      <c r="AN43">
        <f>IF(对接源_01水果!$AC43="","",对接源_01水果!$AC43)</f>
      </c>
      <c r="AO43">
        <f>IF(AN43="",0,IF(MATCH(AN43,$AN$4:$AN$1203,0)=ROW()-3,1,0))</f>
        <v>0</v>
      </c>
      <c r="AP43">
        <f>N(AP42)+$AO43</f>
        <v>0</v>
      </c>
      <c r="AQ43">
        <f>IFERROR(INDEX($AN$4:$AN$1203,MATCH(ROW()-3,$AP$4:$AP$1203,0)),"")</f>
      </c>
      <c r="AR43">
        <f>IF(OR($AF43=1,$AH43=1),1,0)</f>
        <v>0</v>
      </c>
      <c r="AS43">
        <f>N(AS42)+$AR43</f>
        <v>0</v>
      </c>
    </row>
    <row r="44" ht="14.25" customHeight="1" s="127">
      <c r="A44" t="str">
        <f>IF(对接源_01水果!$C44="","",对接源_01水果!$C44)</f>
        <v>聂新平</v>
      </c>
      <c r="B44">
        <f>IF(A44="",0,IF(MATCH(A44,$A$4:$A$2403,0)=ROW()-3,1,0))</f>
        <v>0</v>
      </c>
      <c r="C44">
        <f>N(C43)+B44</f>
        <v>3</v>
      </c>
      <c r="E44">
        <f>IFERROR(INDEX($A$4:$A$2403,MATCH(ROW()-3,$C$4:$C$2403,0)),"")</f>
      </c>
      <c r="K44">
        <f>IF(OR($K$1="",对接源_01水果!$C44="",对接源_01水果!$C44&lt;&gt;$K$1,对接源_01水果!$B44=""),0,IF(OR(N(对接源_01水果!$B44)&lt;$K$2,N(对接源_01水果!$B44)&gt;$K$3),0,1))</f>
        <v>0</v>
      </c>
      <c r="L44">
        <f>IF(OR($L$1="",对接源_01水果!$C44="",对接源_01水果!$C44&lt;&gt;$L$1,对接源_01水果!$B44=""),0,IF(OR(N(对接源_01水果!$B44)&lt;$L$2,N(对接源_01水果!$B44)&gt;$L$3),0,1))</f>
        <v>0</v>
      </c>
      <c r="M44">
        <f>IF(OR($M$1="",对接源_01水果!$C44="",对接源_01水果!$C44&lt;&gt;$M$1,对接源_01水果!$B44=""),0,IF(OR(N(对接源_01水果!$B44)&lt;$M$2,N(对接源_01水果!$B44)&gt;$M$3),0,1))</f>
        <v>0</v>
      </c>
      <c r="N44">
        <f>IF(OR($N$1="",对接源_01水果!$C44="",对接源_01水果!$C44&lt;&gt;$N$1,对接源_01水果!$B44=""),0,IF(OR(N(对接源_01水果!$B44)&lt;$N$2,N(对接源_01水果!$B44)&gt;$N$3),0,1))</f>
        <v>0</v>
      </c>
      <c r="P44">
        <f>IF(AND($K44=1,AND(对接源_01水果!$X44="公司筐",N(对接源_01水果!$T44)&lt;&gt;0)),1,0)</f>
        <v>0</v>
      </c>
      <c r="Q44">
        <f>N(Q43)+$P44</f>
        <v>0</v>
      </c>
      <c r="R44">
        <f>IF(AND($K44=1,AND(对接源_01水果!$X44="公司筐",N(对接源_01水果!$U44)&lt;&gt;0)),1,0)</f>
        <v>0</v>
      </c>
      <c r="S44">
        <f>N(S43)+$R44</f>
        <v>0</v>
      </c>
      <c r="T44">
        <f>IF(AND($K44=1,AND(对接源_01水果!$X44="公司筐",N(对接源_01水果!$V44)&lt;&gt;0)),1,0)</f>
        <v>0</v>
      </c>
      <c r="U44">
        <f>N(U43)+$T44</f>
        <v>0</v>
      </c>
      <c r="V44">
        <f>IF(AND($L44=1,AND(对接源_01水果!$X44="自备筐",N(对接源_01水果!$V44)&lt;&gt;0)),1,0)</f>
        <v>0</v>
      </c>
      <c r="W44">
        <f>N(W43)+$V44</f>
        <v>0</v>
      </c>
      <c r="X44">
        <f>IF(AND($L44=1,AND(对接源_01水果!$X44="自备筐",N(对接源_01水果!$T44)&lt;&gt;0)),1,0)</f>
        <v>0</v>
      </c>
      <c r="Y44">
        <f>N(Y43)+$X44</f>
        <v>0</v>
      </c>
      <c r="Z44">
        <f>IF(AND($M44=1,对接源_01水果!$D44="原料入库"),1,0)</f>
        <v>0</v>
      </c>
      <c r="AA44">
        <f>N(AA43)+$Z44</f>
        <v>0</v>
      </c>
      <c r="AB44">
        <f>IF(AND($M44=1,LEFT(对接源_01水果!$D44,4)="原料出库"),1,0)</f>
        <v>0</v>
      </c>
      <c r="AC44">
        <f>N(AC43)+$AB44</f>
        <v>0</v>
      </c>
      <c r="AD44">
        <f>IF(AND($M44=1,LEFT(对接源_01水果!$D44,4)="成品出库"),1,0)</f>
        <v>0</v>
      </c>
      <c r="AE44">
        <f>N(AE43)+$AD44</f>
        <v>0</v>
      </c>
      <c r="AF44">
        <f>IF(AND($N44=1,AND(LEFT(对接源_01水果!$D44,4)="包装物料",N(对接源_01水果!$K44)&lt;&gt;0)),1,0)</f>
        <v>0</v>
      </c>
      <c r="AG44">
        <f>N(AG43)+$AF44</f>
        <v>0</v>
      </c>
      <c r="AH44">
        <f>IF(AND($N44=1,AND(对接源_01水果!$D44="周转筐－销售出库",N(对接源_01水果!$K44)&lt;&gt;0)),1,0)</f>
        <v>0</v>
      </c>
      <c r="AI44">
        <f>N(AI43)+$AH44</f>
        <v>0</v>
      </c>
      <c r="AJ44" s="7" t="n"/>
      <c r="AL44">
        <f>IF(OR($AL$1="",对接源_01水果!$Y44="",对接源_01水果!$Y44&lt;&gt;$AL$1,对接源_01水果!$B44="",N(对接源_01水果!$AJ44)&lt;=0),0,IF(OR(N(对接源_01水果!$B44)&lt;$AL$2,N(对接源_01水果!$B44)&gt;$AL$3),0,1))</f>
        <v>0</v>
      </c>
      <c r="AM44">
        <f>N(AM43)+$AL44</f>
        <v>0</v>
      </c>
      <c r="AN44">
        <f>IF(对接源_01水果!$AC44="","",对接源_01水果!$AC44)</f>
      </c>
      <c r="AO44">
        <f>IF(AN44="",0,IF(MATCH(AN44,$AN$4:$AN$1203,0)=ROW()-3,1,0))</f>
        <v>0</v>
      </c>
      <c r="AP44">
        <f>N(AP43)+$AO44</f>
        <v>0</v>
      </c>
      <c r="AQ44">
        <f>IFERROR(INDEX($AN$4:$AN$1203,MATCH(ROW()-3,$AP$4:$AP$1203,0)),"")</f>
      </c>
      <c r="AR44">
        <f>IF(OR($AF44=1,$AH44=1),1,0)</f>
        <v>0</v>
      </c>
      <c r="AS44">
        <f>N(AS43)+$AR44</f>
        <v>0</v>
      </c>
    </row>
    <row r="45" ht="14.25" customHeight="1" s="127">
      <c r="A45" t="str">
        <f>IF(对接源_01水果!$C45="","",对接源_01水果!$C45)</f>
        <v>聂新平</v>
      </c>
      <c r="B45">
        <f>IF(A45="",0,IF(MATCH(A45,$A$4:$A$2403,0)=ROW()-3,1,0))</f>
        <v>0</v>
      </c>
      <c r="C45">
        <f>N(C44)+B45</f>
        <v>3</v>
      </c>
      <c r="E45">
        <f>IFERROR(INDEX($A$4:$A$2403,MATCH(ROW()-3,$C$4:$C$2403,0)),"")</f>
      </c>
      <c r="K45">
        <f>IF(OR($K$1="",对接源_01水果!$C45="",对接源_01水果!$C45&lt;&gt;$K$1,对接源_01水果!$B45=""),0,IF(OR(N(对接源_01水果!$B45)&lt;$K$2,N(对接源_01水果!$B45)&gt;$K$3),0,1))</f>
        <v>0</v>
      </c>
      <c r="L45">
        <f>IF(OR($L$1="",对接源_01水果!$C45="",对接源_01水果!$C45&lt;&gt;$L$1,对接源_01水果!$B45=""),0,IF(OR(N(对接源_01水果!$B45)&lt;$L$2,N(对接源_01水果!$B45)&gt;$L$3),0,1))</f>
        <v>0</v>
      </c>
      <c r="M45">
        <f>IF(OR($M$1="",对接源_01水果!$C45="",对接源_01水果!$C45&lt;&gt;$M$1,对接源_01水果!$B45=""),0,IF(OR(N(对接源_01水果!$B45)&lt;$M$2,N(对接源_01水果!$B45)&gt;$M$3),0,1))</f>
        <v>0</v>
      </c>
      <c r="N45">
        <f>IF(OR($N$1="",对接源_01水果!$C45="",对接源_01水果!$C45&lt;&gt;$N$1,对接源_01水果!$B45=""),0,IF(OR(N(对接源_01水果!$B45)&lt;$N$2,N(对接源_01水果!$B45)&gt;$N$3),0,1))</f>
        <v>0</v>
      </c>
      <c r="P45">
        <f>IF(AND($K45=1,AND(对接源_01水果!$X45="公司筐",N(对接源_01水果!$T45)&lt;&gt;0)),1,0)</f>
        <v>0</v>
      </c>
      <c r="Q45">
        <f>N(Q44)+$P45</f>
        <v>0</v>
      </c>
      <c r="R45">
        <f>IF(AND($K45=1,AND(对接源_01水果!$X45="公司筐",N(对接源_01水果!$U45)&lt;&gt;0)),1,0)</f>
        <v>0</v>
      </c>
      <c r="S45">
        <f>N(S44)+$R45</f>
        <v>0</v>
      </c>
      <c r="T45">
        <f>IF(AND($K45=1,AND(对接源_01水果!$X45="公司筐",N(对接源_01水果!$V45)&lt;&gt;0)),1,0)</f>
        <v>0</v>
      </c>
      <c r="U45">
        <f>N(U44)+$T45</f>
        <v>0</v>
      </c>
      <c r="V45">
        <f>IF(AND($L45=1,AND(对接源_01水果!$X45="自备筐",N(对接源_01水果!$V45)&lt;&gt;0)),1,0)</f>
        <v>0</v>
      </c>
      <c r="W45">
        <f>N(W44)+$V45</f>
        <v>0</v>
      </c>
      <c r="X45">
        <f>IF(AND($L45=1,AND(对接源_01水果!$X45="自备筐",N(对接源_01水果!$T45)&lt;&gt;0)),1,0)</f>
        <v>0</v>
      </c>
      <c r="Y45">
        <f>N(Y44)+$X45</f>
        <v>0</v>
      </c>
      <c r="Z45">
        <f>IF(AND($M45=1,对接源_01水果!$D45="原料入库"),1,0)</f>
        <v>0</v>
      </c>
      <c r="AA45">
        <f>N(AA44)+$Z45</f>
        <v>0</v>
      </c>
      <c r="AB45">
        <f>IF(AND($M45=1,LEFT(对接源_01水果!$D45,4)="原料出库"),1,0)</f>
        <v>0</v>
      </c>
      <c r="AC45">
        <f>N(AC44)+$AB45</f>
        <v>0</v>
      </c>
      <c r="AD45">
        <f>IF(AND($M45=1,LEFT(对接源_01水果!$D45,4)="成品出库"),1,0)</f>
        <v>0</v>
      </c>
      <c r="AE45">
        <f>N(AE44)+$AD45</f>
        <v>0</v>
      </c>
      <c r="AF45">
        <f>IF(AND($N45=1,AND(LEFT(对接源_01水果!$D45,4)="包装物料",N(对接源_01水果!$K45)&lt;&gt;0)),1,0)</f>
        <v>0</v>
      </c>
      <c r="AG45">
        <f>N(AG44)+$AF45</f>
        <v>0</v>
      </c>
      <c r="AH45">
        <f>IF(AND($N45=1,AND(对接源_01水果!$D45="周转筐－销售出库",N(对接源_01水果!$K45)&lt;&gt;0)),1,0)</f>
        <v>0</v>
      </c>
      <c r="AI45">
        <f>N(AI44)+$AH45</f>
        <v>0</v>
      </c>
      <c r="AJ45" s="7" t="n"/>
      <c r="AL45">
        <f>IF(OR($AL$1="",对接源_01水果!$Y45="",对接源_01水果!$Y45&lt;&gt;$AL$1,对接源_01水果!$B45="",N(对接源_01水果!$AJ45)&lt;=0),0,IF(OR(N(对接源_01水果!$B45)&lt;$AL$2,N(对接源_01水果!$B45)&gt;$AL$3),0,1))</f>
        <v>0</v>
      </c>
      <c r="AM45">
        <f>N(AM44)+$AL45</f>
        <v>0</v>
      </c>
      <c r="AN45">
        <f>IF(对接源_01水果!$AC45="","",对接源_01水果!$AC45)</f>
      </c>
      <c r="AO45">
        <f>IF(AN45="",0,IF(MATCH(AN45,$AN$4:$AN$1203,0)=ROW()-3,1,0))</f>
        <v>0</v>
      </c>
      <c r="AP45">
        <f>N(AP44)+$AO45</f>
        <v>0</v>
      </c>
      <c r="AQ45">
        <f>IFERROR(INDEX($AN$4:$AN$1203,MATCH(ROW()-3,$AP$4:$AP$1203,0)),"")</f>
      </c>
      <c r="AR45">
        <f>IF(OR($AF45=1,$AH45=1),1,0)</f>
        <v>0</v>
      </c>
      <c r="AS45">
        <f>N(AS44)+$AR45</f>
        <v>0</v>
      </c>
    </row>
    <row r="46" ht="14.25" customHeight="1" s="127">
      <c r="A46" t="str">
        <f>IF(对接源_01水果!$C46="","",对接源_01水果!$C46)</f>
        <v>王照雪</v>
      </c>
      <c r="B46">
        <f>IF(A46="",0,IF(MATCH(A46,$A$4:$A$2403,0)=ROW()-3,1,0))</f>
        <v>0</v>
      </c>
      <c r="C46">
        <f>N(C45)+B46</f>
        <v>3</v>
      </c>
      <c r="E46">
        <f>IFERROR(INDEX($A$4:$A$2403,MATCH(ROW()-3,$C$4:$C$2403,0)),"")</f>
      </c>
      <c r="K46">
        <f>IF(OR($K$1="",对接源_01水果!$C46="",对接源_01水果!$C46&lt;&gt;$K$1,对接源_01水果!$B46=""),0,IF(OR(N(对接源_01水果!$B46)&lt;$K$2,N(对接源_01水果!$B46)&gt;$K$3),0,1))</f>
        <v>0</v>
      </c>
      <c r="L46">
        <f>IF(OR($L$1="",对接源_01水果!$C46="",对接源_01水果!$C46&lt;&gt;$L$1,对接源_01水果!$B46=""),0,IF(OR(N(对接源_01水果!$B46)&lt;$L$2,N(对接源_01水果!$B46)&gt;$L$3),0,1))</f>
        <v>0</v>
      </c>
      <c r="M46">
        <f>IF(OR($M$1="",对接源_01水果!$C46="",对接源_01水果!$C46&lt;&gt;$M$1,对接源_01水果!$B46=""),0,IF(OR(N(对接源_01水果!$B46)&lt;$M$2,N(对接源_01水果!$B46)&gt;$M$3),0,1))</f>
        <v>0</v>
      </c>
      <c r="N46">
        <f>IF(OR($N$1="",对接源_01水果!$C46="",对接源_01水果!$C46&lt;&gt;$N$1,对接源_01水果!$B46=""),0,IF(OR(N(对接源_01水果!$B46)&lt;$N$2,N(对接源_01水果!$B46)&gt;$N$3),0,1))</f>
        <v>0</v>
      </c>
      <c r="P46">
        <f>IF(AND($K46=1,AND(对接源_01水果!$X46="公司筐",N(对接源_01水果!$T46)&lt;&gt;0)),1,0)</f>
        <v>0</v>
      </c>
      <c r="Q46">
        <f>N(Q45)+$P46</f>
        <v>0</v>
      </c>
      <c r="R46">
        <f>IF(AND($K46=1,AND(对接源_01水果!$X46="公司筐",N(对接源_01水果!$U46)&lt;&gt;0)),1,0)</f>
        <v>0</v>
      </c>
      <c r="S46">
        <f>N(S45)+$R46</f>
        <v>0</v>
      </c>
      <c r="T46">
        <f>IF(AND($K46=1,AND(对接源_01水果!$X46="公司筐",N(对接源_01水果!$V46)&lt;&gt;0)),1,0)</f>
        <v>0</v>
      </c>
      <c r="U46">
        <f>N(U45)+$T46</f>
        <v>0</v>
      </c>
      <c r="V46">
        <f>IF(AND($L46=1,AND(对接源_01水果!$X46="自备筐",N(对接源_01水果!$V46)&lt;&gt;0)),1,0)</f>
        <v>0</v>
      </c>
      <c r="W46">
        <f>N(W45)+$V46</f>
        <v>0</v>
      </c>
      <c r="X46">
        <f>IF(AND($L46=1,AND(对接源_01水果!$X46="自备筐",N(对接源_01水果!$T46)&lt;&gt;0)),1,0)</f>
        <v>0</v>
      </c>
      <c r="Y46">
        <f>N(Y45)+$X46</f>
        <v>0</v>
      </c>
      <c r="Z46">
        <f>IF(AND($M46=1,对接源_01水果!$D46="原料入库"),1,0)</f>
        <v>0</v>
      </c>
      <c r="AA46">
        <f>N(AA45)+$Z46</f>
        <v>0</v>
      </c>
      <c r="AB46">
        <f>IF(AND($M46=1,LEFT(对接源_01水果!$D46,4)="原料出库"),1,0)</f>
        <v>0</v>
      </c>
      <c r="AC46">
        <f>N(AC45)+$AB46</f>
        <v>0</v>
      </c>
      <c r="AD46">
        <f>IF(AND($M46=1,LEFT(对接源_01水果!$D46,4)="成品出库"),1,0)</f>
        <v>0</v>
      </c>
      <c r="AE46">
        <f>N(AE45)+$AD46</f>
        <v>0</v>
      </c>
      <c r="AF46">
        <f>IF(AND($N46=1,AND(LEFT(对接源_01水果!$D46,4)="包装物料",N(对接源_01水果!$K46)&lt;&gt;0)),1,0)</f>
        <v>0</v>
      </c>
      <c r="AG46">
        <f>N(AG45)+$AF46</f>
        <v>0</v>
      </c>
      <c r="AH46">
        <f>IF(AND($N46=1,AND(对接源_01水果!$D46="周转筐－销售出库",N(对接源_01水果!$K46)&lt;&gt;0)),1,0)</f>
        <v>0</v>
      </c>
      <c r="AI46">
        <f>N(AI45)+$AH46</f>
        <v>0</v>
      </c>
      <c r="AJ46" s="7" t="n"/>
      <c r="AL46">
        <f>IF(OR($AL$1="",对接源_01水果!$Y46="",对接源_01水果!$Y46&lt;&gt;$AL$1,对接源_01水果!$B46="",N(对接源_01水果!$AJ46)&lt;=0),0,IF(OR(N(对接源_01水果!$B46)&lt;$AL$2,N(对接源_01水果!$B46)&gt;$AL$3),0,1))</f>
        <v>0</v>
      </c>
      <c r="AM46">
        <f>N(AM45)+$AL46</f>
        <v>0</v>
      </c>
      <c r="AN46">
        <f>IF(对接源_01水果!$AC46="","",对接源_01水果!$AC46)</f>
      </c>
      <c r="AO46">
        <f>IF(AN46="",0,IF(MATCH(AN46,$AN$4:$AN$1203,0)=ROW()-3,1,0))</f>
        <v>0</v>
      </c>
      <c r="AP46">
        <f>N(AP45)+$AO46</f>
        <v>0</v>
      </c>
      <c r="AQ46">
        <f>IFERROR(INDEX($AN$4:$AN$1203,MATCH(ROW()-3,$AP$4:$AP$1203,0)),"")</f>
      </c>
      <c r="AR46">
        <f>IF(OR($AF46=1,$AH46=1),1,0)</f>
        <v>0</v>
      </c>
      <c r="AS46">
        <f>N(AS45)+$AR46</f>
        <v>0</v>
      </c>
    </row>
    <row r="47" ht="14.25" customHeight="1" s="127">
      <c r="A47" t="str">
        <f>IF(对接源_01水果!$C47="","",对接源_01水果!$C47)</f>
        <v>王照雪</v>
      </c>
      <c r="B47">
        <f>IF(A47="",0,IF(MATCH(A47,$A$4:$A$2403,0)=ROW()-3,1,0))</f>
        <v>0</v>
      </c>
      <c r="C47">
        <f>N(C46)+B47</f>
        <v>3</v>
      </c>
      <c r="E47">
        <f>IFERROR(INDEX($A$4:$A$2403,MATCH(ROW()-3,$C$4:$C$2403,0)),"")</f>
      </c>
      <c r="K47">
        <f>IF(OR($K$1="",对接源_01水果!$C47="",对接源_01水果!$C47&lt;&gt;$K$1,对接源_01水果!$B47=""),0,IF(OR(N(对接源_01水果!$B47)&lt;$K$2,N(对接源_01水果!$B47)&gt;$K$3),0,1))</f>
        <v>0</v>
      </c>
      <c r="L47">
        <f>IF(OR($L$1="",对接源_01水果!$C47="",对接源_01水果!$C47&lt;&gt;$L$1,对接源_01水果!$B47=""),0,IF(OR(N(对接源_01水果!$B47)&lt;$L$2,N(对接源_01水果!$B47)&gt;$L$3),0,1))</f>
        <v>0</v>
      </c>
      <c r="M47">
        <f>IF(OR($M$1="",对接源_01水果!$C47="",对接源_01水果!$C47&lt;&gt;$M$1,对接源_01水果!$B47=""),0,IF(OR(N(对接源_01水果!$B47)&lt;$M$2,N(对接源_01水果!$B47)&gt;$M$3),0,1))</f>
        <v>0</v>
      </c>
      <c r="N47">
        <f>IF(OR($N$1="",对接源_01水果!$C47="",对接源_01水果!$C47&lt;&gt;$N$1,对接源_01水果!$B47=""),0,IF(OR(N(对接源_01水果!$B47)&lt;$N$2,N(对接源_01水果!$B47)&gt;$N$3),0,1))</f>
        <v>0</v>
      </c>
      <c r="P47">
        <f>IF(AND($K47=1,AND(对接源_01水果!$X47="公司筐",N(对接源_01水果!$T47)&lt;&gt;0)),1,0)</f>
        <v>0</v>
      </c>
      <c r="Q47">
        <f>N(Q46)+$P47</f>
        <v>0</v>
      </c>
      <c r="R47">
        <f>IF(AND($K47=1,AND(对接源_01水果!$X47="公司筐",N(对接源_01水果!$U47)&lt;&gt;0)),1,0)</f>
        <v>0</v>
      </c>
      <c r="S47">
        <f>N(S46)+$R47</f>
        <v>0</v>
      </c>
      <c r="T47">
        <f>IF(AND($K47=1,AND(对接源_01水果!$X47="公司筐",N(对接源_01水果!$V47)&lt;&gt;0)),1,0)</f>
        <v>0</v>
      </c>
      <c r="U47">
        <f>N(U46)+$T47</f>
        <v>0</v>
      </c>
      <c r="V47">
        <f>IF(AND($L47=1,AND(对接源_01水果!$X47="自备筐",N(对接源_01水果!$V47)&lt;&gt;0)),1,0)</f>
        <v>0</v>
      </c>
      <c r="W47">
        <f>N(W46)+$V47</f>
        <v>0</v>
      </c>
      <c r="X47">
        <f>IF(AND($L47=1,AND(对接源_01水果!$X47="自备筐",N(对接源_01水果!$T47)&lt;&gt;0)),1,0)</f>
        <v>0</v>
      </c>
      <c r="Y47">
        <f>N(Y46)+$X47</f>
        <v>0</v>
      </c>
      <c r="Z47">
        <f>IF(AND($M47=1,对接源_01水果!$D47="原料入库"),1,0)</f>
        <v>0</v>
      </c>
      <c r="AA47">
        <f>N(AA46)+$Z47</f>
        <v>0</v>
      </c>
      <c r="AB47">
        <f>IF(AND($M47=1,LEFT(对接源_01水果!$D47,4)="原料出库"),1,0)</f>
        <v>0</v>
      </c>
      <c r="AC47">
        <f>N(AC46)+$AB47</f>
        <v>0</v>
      </c>
      <c r="AD47">
        <f>IF(AND($M47=1,LEFT(对接源_01水果!$D47,4)="成品出库"),1,0)</f>
        <v>0</v>
      </c>
      <c r="AE47">
        <f>N(AE46)+$AD47</f>
        <v>0</v>
      </c>
      <c r="AF47">
        <f>IF(AND($N47=1,AND(LEFT(对接源_01水果!$D47,4)="包装物料",N(对接源_01水果!$K47)&lt;&gt;0)),1,0)</f>
        <v>0</v>
      </c>
      <c r="AG47">
        <f>N(AG46)+$AF47</f>
        <v>0</v>
      </c>
      <c r="AH47">
        <f>IF(AND($N47=1,AND(对接源_01水果!$D47="周转筐－销售出库",N(对接源_01水果!$K47)&lt;&gt;0)),1,0)</f>
        <v>0</v>
      </c>
      <c r="AI47">
        <f>N(AI46)+$AH47</f>
        <v>0</v>
      </c>
      <c r="AJ47" s="7" t="n"/>
      <c r="AL47">
        <f>IF(OR($AL$1="",对接源_01水果!$Y47="",对接源_01水果!$Y47&lt;&gt;$AL$1,对接源_01水果!$B47="",N(对接源_01水果!$AJ47)&lt;=0),0,IF(OR(N(对接源_01水果!$B47)&lt;$AL$2,N(对接源_01水果!$B47)&gt;$AL$3),0,1))</f>
        <v>0</v>
      </c>
      <c r="AM47">
        <f>N(AM46)+$AL47</f>
        <v>0</v>
      </c>
      <c r="AN47">
        <f>IF(对接源_01水果!$AC47="","",对接源_01水果!$AC47)</f>
      </c>
      <c r="AO47">
        <f>IF(AN47="",0,IF(MATCH(AN47,$AN$4:$AN$1203,0)=ROW()-3,1,0))</f>
        <v>0</v>
      </c>
      <c r="AP47">
        <f>N(AP46)+$AO47</f>
        <v>0</v>
      </c>
      <c r="AQ47">
        <f>IFERROR(INDEX($AN$4:$AN$1203,MATCH(ROW()-3,$AP$4:$AP$1203,0)),"")</f>
      </c>
      <c r="AR47">
        <f>IF(OR($AF47=1,$AH47=1),1,0)</f>
        <v>0</v>
      </c>
      <c r="AS47">
        <f>N(AS46)+$AR47</f>
        <v>0</v>
      </c>
    </row>
    <row r="48" ht="14.25" customHeight="1" s="127">
      <c r="A48" t="str">
        <f>IF(对接源_01水果!$C48="","",对接源_01水果!$C48)</f>
        <v>王照雪</v>
      </c>
      <c r="B48">
        <f>IF(A48="",0,IF(MATCH(A48,$A$4:$A$2403,0)=ROW()-3,1,0))</f>
        <v>0</v>
      </c>
      <c r="C48">
        <f>N(C47)+B48</f>
        <v>3</v>
      </c>
      <c r="E48">
        <f>IFERROR(INDEX($A$4:$A$2403,MATCH(ROW()-3,$C$4:$C$2403,0)),"")</f>
      </c>
      <c r="K48">
        <f>IF(OR($K$1="",对接源_01水果!$C48="",对接源_01水果!$C48&lt;&gt;$K$1,对接源_01水果!$B48=""),0,IF(OR(N(对接源_01水果!$B48)&lt;$K$2,N(对接源_01水果!$B48)&gt;$K$3),0,1))</f>
        <v>0</v>
      </c>
      <c r="L48">
        <f>IF(OR($L$1="",对接源_01水果!$C48="",对接源_01水果!$C48&lt;&gt;$L$1,对接源_01水果!$B48=""),0,IF(OR(N(对接源_01水果!$B48)&lt;$L$2,N(对接源_01水果!$B48)&gt;$L$3),0,1))</f>
        <v>0</v>
      </c>
      <c r="M48">
        <f>IF(OR($M$1="",对接源_01水果!$C48="",对接源_01水果!$C48&lt;&gt;$M$1,对接源_01水果!$B48=""),0,IF(OR(N(对接源_01水果!$B48)&lt;$M$2,N(对接源_01水果!$B48)&gt;$M$3),0,1))</f>
        <v>0</v>
      </c>
      <c r="N48">
        <f>IF(OR($N$1="",对接源_01水果!$C48="",对接源_01水果!$C48&lt;&gt;$N$1,对接源_01水果!$B48=""),0,IF(OR(N(对接源_01水果!$B48)&lt;$N$2,N(对接源_01水果!$B48)&gt;$N$3),0,1))</f>
        <v>0</v>
      </c>
      <c r="P48">
        <f>IF(AND($K48=1,AND(对接源_01水果!$X48="公司筐",N(对接源_01水果!$T48)&lt;&gt;0)),1,0)</f>
        <v>0</v>
      </c>
      <c r="Q48">
        <f>N(Q47)+$P48</f>
        <v>0</v>
      </c>
      <c r="R48">
        <f>IF(AND($K48=1,AND(对接源_01水果!$X48="公司筐",N(对接源_01水果!$U48)&lt;&gt;0)),1,0)</f>
        <v>0</v>
      </c>
      <c r="S48">
        <f>N(S47)+$R48</f>
        <v>0</v>
      </c>
      <c r="T48">
        <f>IF(AND($K48=1,AND(对接源_01水果!$X48="公司筐",N(对接源_01水果!$V48)&lt;&gt;0)),1,0)</f>
        <v>0</v>
      </c>
      <c r="U48">
        <f>N(U47)+$T48</f>
        <v>0</v>
      </c>
      <c r="V48">
        <f>IF(AND($L48=1,AND(对接源_01水果!$X48="自备筐",N(对接源_01水果!$V48)&lt;&gt;0)),1,0)</f>
        <v>0</v>
      </c>
      <c r="W48">
        <f>N(W47)+$V48</f>
        <v>0</v>
      </c>
      <c r="X48">
        <f>IF(AND($L48=1,AND(对接源_01水果!$X48="自备筐",N(对接源_01水果!$T48)&lt;&gt;0)),1,0)</f>
        <v>0</v>
      </c>
      <c r="Y48">
        <f>N(Y47)+$X48</f>
        <v>0</v>
      </c>
      <c r="Z48">
        <f>IF(AND($M48=1,对接源_01水果!$D48="原料入库"),1,0)</f>
        <v>0</v>
      </c>
      <c r="AA48">
        <f>N(AA47)+$Z48</f>
        <v>0</v>
      </c>
      <c r="AB48">
        <f>IF(AND($M48=1,LEFT(对接源_01水果!$D48,4)="原料出库"),1,0)</f>
        <v>0</v>
      </c>
      <c r="AC48">
        <f>N(AC47)+$AB48</f>
        <v>0</v>
      </c>
      <c r="AD48">
        <f>IF(AND($M48=1,LEFT(对接源_01水果!$D48,4)="成品出库"),1,0)</f>
        <v>0</v>
      </c>
      <c r="AE48">
        <f>N(AE47)+$AD48</f>
        <v>0</v>
      </c>
      <c r="AF48">
        <f>IF(AND($N48=1,AND(LEFT(对接源_01水果!$D48,4)="包装物料",N(对接源_01水果!$K48)&lt;&gt;0)),1,0)</f>
        <v>0</v>
      </c>
      <c r="AG48">
        <f>N(AG47)+$AF48</f>
        <v>0</v>
      </c>
      <c r="AH48">
        <f>IF(AND($N48=1,AND(对接源_01水果!$D48="周转筐－销售出库",N(对接源_01水果!$K48)&lt;&gt;0)),1,0)</f>
        <v>0</v>
      </c>
      <c r="AI48">
        <f>N(AI47)+$AH48</f>
        <v>0</v>
      </c>
      <c r="AJ48" s="7" t="n"/>
      <c r="AL48">
        <f>IF(OR($AL$1="",对接源_01水果!$Y48="",对接源_01水果!$Y48&lt;&gt;$AL$1,对接源_01水果!$B48="",N(对接源_01水果!$AJ48)&lt;=0),0,IF(OR(N(对接源_01水果!$B48)&lt;$AL$2,N(对接源_01水果!$B48)&gt;$AL$3),0,1))</f>
        <v>0</v>
      </c>
      <c r="AM48">
        <f>N(AM47)+$AL48</f>
        <v>0</v>
      </c>
      <c r="AN48">
        <f>IF(对接源_01水果!$AC48="","",对接源_01水果!$AC48)</f>
      </c>
      <c r="AO48">
        <f>IF(AN48="",0,IF(MATCH(AN48,$AN$4:$AN$1203,0)=ROW()-3,1,0))</f>
        <v>0</v>
      </c>
      <c r="AP48">
        <f>N(AP47)+$AO48</f>
        <v>0</v>
      </c>
      <c r="AQ48">
        <f>IFERROR(INDEX($AN$4:$AN$1203,MATCH(ROW()-3,$AP$4:$AP$1203,0)),"")</f>
      </c>
      <c r="AR48">
        <f>IF(OR($AF48=1,$AH48=1),1,0)</f>
        <v>0</v>
      </c>
      <c r="AS48">
        <f>N(AS47)+$AR48</f>
        <v>0</v>
      </c>
    </row>
    <row r="49" ht="14.25" customHeight="1" s="127">
      <c r="A49" t="str">
        <f>IF(对接源_01水果!$C49="","",对接源_01水果!$C49)</f>
        <v>马锦祥</v>
      </c>
      <c r="B49">
        <f>IF(A49="",0,IF(MATCH(A49,$A$4:$A$2403,0)=ROW()-3,1,0))</f>
        <v>1</v>
      </c>
      <c r="C49">
        <f>N(C48)+B49</f>
        <v>4</v>
      </c>
      <c r="E49">
        <f>IFERROR(INDEX($A$4:$A$2403,MATCH(ROW()-3,$C$4:$C$2403,0)),"")</f>
      </c>
      <c r="K49">
        <f>IF(OR($K$1="",对接源_01水果!$C49="",对接源_01水果!$C49&lt;&gt;$K$1,对接源_01水果!$B49=""),0,IF(OR(N(对接源_01水果!$B49)&lt;$K$2,N(对接源_01水果!$B49)&gt;$K$3),0,1))</f>
        <v>0</v>
      </c>
      <c r="L49">
        <f>IF(OR($L$1="",对接源_01水果!$C49="",对接源_01水果!$C49&lt;&gt;$L$1,对接源_01水果!$B49=""),0,IF(OR(N(对接源_01水果!$B49)&lt;$L$2,N(对接源_01水果!$B49)&gt;$L$3),0,1))</f>
        <v>0</v>
      </c>
      <c r="M49">
        <f>IF(OR($M$1="",对接源_01水果!$C49="",对接源_01水果!$C49&lt;&gt;$M$1,对接源_01水果!$B49=""),0,IF(OR(N(对接源_01水果!$B49)&lt;$M$2,N(对接源_01水果!$B49)&gt;$M$3),0,1))</f>
        <v>0</v>
      </c>
      <c r="N49">
        <f>IF(OR($N$1="",对接源_01水果!$C49="",对接源_01水果!$C49&lt;&gt;$N$1,对接源_01水果!$B49=""),0,IF(OR(N(对接源_01水果!$B49)&lt;$N$2,N(对接源_01水果!$B49)&gt;$N$3),0,1))</f>
        <v>0</v>
      </c>
      <c r="P49">
        <f>IF(AND($K49=1,AND(对接源_01水果!$X49="公司筐",N(对接源_01水果!$T49)&lt;&gt;0)),1,0)</f>
        <v>0</v>
      </c>
      <c r="Q49">
        <f>N(Q48)+$P49</f>
        <v>0</v>
      </c>
      <c r="R49">
        <f>IF(AND($K49=1,AND(对接源_01水果!$X49="公司筐",N(对接源_01水果!$U49)&lt;&gt;0)),1,0)</f>
        <v>0</v>
      </c>
      <c r="S49">
        <f>N(S48)+$R49</f>
        <v>0</v>
      </c>
      <c r="T49">
        <f>IF(AND($K49=1,AND(对接源_01水果!$X49="公司筐",N(对接源_01水果!$V49)&lt;&gt;0)),1,0)</f>
        <v>0</v>
      </c>
      <c r="U49">
        <f>N(U48)+$T49</f>
        <v>0</v>
      </c>
      <c r="V49">
        <f>IF(AND($L49=1,AND(对接源_01水果!$X49="自备筐",N(对接源_01水果!$V49)&lt;&gt;0)),1,0)</f>
        <v>0</v>
      </c>
      <c r="W49">
        <f>N(W48)+$V49</f>
        <v>0</v>
      </c>
      <c r="X49">
        <f>IF(AND($L49=1,AND(对接源_01水果!$X49="自备筐",N(对接源_01水果!$T49)&lt;&gt;0)),1,0)</f>
        <v>0</v>
      </c>
      <c r="Y49">
        <f>N(Y48)+$X49</f>
        <v>0</v>
      </c>
      <c r="Z49">
        <f>IF(AND($M49=1,对接源_01水果!$D49="原料入库"),1,0)</f>
        <v>0</v>
      </c>
      <c r="AA49">
        <f>N(AA48)+$Z49</f>
        <v>0</v>
      </c>
      <c r="AB49">
        <f>IF(AND($M49=1,LEFT(对接源_01水果!$D49,4)="原料出库"),1,0)</f>
        <v>0</v>
      </c>
      <c r="AC49">
        <f>N(AC48)+$AB49</f>
        <v>0</v>
      </c>
      <c r="AD49">
        <f>IF(AND($M49=1,LEFT(对接源_01水果!$D49,4)="成品出库"),1,0)</f>
        <v>0</v>
      </c>
      <c r="AE49">
        <f>N(AE48)+$AD49</f>
        <v>0</v>
      </c>
      <c r="AF49">
        <f>IF(AND($N49=1,AND(LEFT(对接源_01水果!$D49,4)="包装物料",N(对接源_01水果!$K49)&lt;&gt;0)),1,0)</f>
        <v>0</v>
      </c>
      <c r="AG49">
        <f>N(AG48)+$AF49</f>
        <v>0</v>
      </c>
      <c r="AH49">
        <f>IF(AND($N49=1,AND(对接源_01水果!$D49="周转筐－销售出库",N(对接源_01水果!$K49)&lt;&gt;0)),1,0)</f>
        <v>0</v>
      </c>
      <c r="AI49">
        <f>N(AI48)+$AH49</f>
        <v>0</v>
      </c>
      <c r="AJ49" s="7" t="n"/>
      <c r="AL49">
        <f>IF(OR($AL$1="",对接源_01水果!$Y49="",对接源_01水果!$Y49&lt;&gt;$AL$1,对接源_01水果!$B49="",N(对接源_01水果!$AJ49)&lt;=0),0,IF(OR(N(对接源_01水果!$B49)&lt;$AL$2,N(对接源_01水果!$B49)&gt;$AL$3),0,1))</f>
        <v>0</v>
      </c>
      <c r="AM49">
        <f>N(AM48)+$AL49</f>
        <v>0</v>
      </c>
      <c r="AN49">
        <f>IF(对接源_01水果!$AC49="","",对接源_01水果!$AC49)</f>
      </c>
      <c r="AO49">
        <f>IF(AN49="",0,IF(MATCH(AN49,$AN$4:$AN$1203,0)=ROW()-3,1,0))</f>
        <v>0</v>
      </c>
      <c r="AP49">
        <f>N(AP48)+$AO49</f>
        <v>0</v>
      </c>
      <c r="AQ49">
        <f>IFERROR(INDEX($AN$4:$AN$1203,MATCH(ROW()-3,$AP$4:$AP$1203,0)),"")</f>
      </c>
      <c r="AR49">
        <f>IF(OR($AF49=1,$AH49=1),1,0)</f>
        <v>0</v>
      </c>
      <c r="AS49">
        <f>N(AS48)+$AR49</f>
        <v>0</v>
      </c>
    </row>
    <row r="50" ht="14.25" customHeight="1" s="127">
      <c r="A50" t="str">
        <f>IF(对接源_01水果!$C50="","",对接源_01水果!$C50)</f>
        <v>聂新平</v>
      </c>
      <c r="B50">
        <f>IF(A50="",0,IF(MATCH(A50,$A$4:$A$2403,0)=ROW()-3,1,0))</f>
        <v>0</v>
      </c>
      <c r="C50">
        <f>N(C49)+B50</f>
        <v>4</v>
      </c>
      <c r="E50">
        <f>IFERROR(INDEX($A$4:$A$2403,MATCH(ROW()-3,$C$4:$C$2403,0)),"")</f>
      </c>
      <c r="K50">
        <f>IF(OR($K$1="",对接源_01水果!$C50="",对接源_01水果!$C50&lt;&gt;$K$1,对接源_01水果!$B50=""),0,IF(OR(N(对接源_01水果!$B50)&lt;$K$2,N(对接源_01水果!$B50)&gt;$K$3),0,1))</f>
        <v>0</v>
      </c>
      <c r="L50">
        <f>IF(OR($L$1="",对接源_01水果!$C50="",对接源_01水果!$C50&lt;&gt;$L$1,对接源_01水果!$B50=""),0,IF(OR(N(对接源_01水果!$B50)&lt;$L$2,N(对接源_01水果!$B50)&gt;$L$3),0,1))</f>
        <v>0</v>
      </c>
      <c r="M50">
        <f>IF(OR($M$1="",对接源_01水果!$C50="",对接源_01水果!$C50&lt;&gt;$M$1,对接源_01水果!$B50=""),0,IF(OR(N(对接源_01水果!$B50)&lt;$M$2,N(对接源_01水果!$B50)&gt;$M$3),0,1))</f>
        <v>0</v>
      </c>
      <c r="N50">
        <f>IF(OR($N$1="",对接源_01水果!$C50="",对接源_01水果!$C50&lt;&gt;$N$1,对接源_01水果!$B50=""),0,IF(OR(N(对接源_01水果!$B50)&lt;$N$2,N(对接源_01水果!$B50)&gt;$N$3),0,1))</f>
        <v>0</v>
      </c>
      <c r="P50">
        <f>IF(AND($K50=1,AND(对接源_01水果!$X50="公司筐",N(对接源_01水果!$T50)&lt;&gt;0)),1,0)</f>
        <v>0</v>
      </c>
      <c r="Q50">
        <f>N(Q49)+$P50</f>
        <v>0</v>
      </c>
      <c r="R50">
        <f>IF(AND($K50=1,AND(对接源_01水果!$X50="公司筐",N(对接源_01水果!$U50)&lt;&gt;0)),1,0)</f>
        <v>0</v>
      </c>
      <c r="S50">
        <f>N(S49)+$R50</f>
        <v>0</v>
      </c>
      <c r="T50">
        <f>IF(AND($K50=1,AND(对接源_01水果!$X50="公司筐",N(对接源_01水果!$V50)&lt;&gt;0)),1,0)</f>
        <v>0</v>
      </c>
      <c r="U50">
        <f>N(U49)+$T50</f>
        <v>0</v>
      </c>
      <c r="V50">
        <f>IF(AND($L50=1,AND(对接源_01水果!$X50="自备筐",N(对接源_01水果!$V50)&lt;&gt;0)),1,0)</f>
        <v>0</v>
      </c>
      <c r="W50">
        <f>N(W49)+$V50</f>
        <v>0</v>
      </c>
      <c r="X50">
        <f>IF(AND($L50=1,AND(对接源_01水果!$X50="自备筐",N(对接源_01水果!$T50)&lt;&gt;0)),1,0)</f>
        <v>0</v>
      </c>
      <c r="Y50">
        <f>N(Y49)+$X50</f>
        <v>0</v>
      </c>
      <c r="Z50">
        <f>IF(AND($M50=1,对接源_01水果!$D50="原料入库"),1,0)</f>
        <v>0</v>
      </c>
      <c r="AA50">
        <f>N(AA49)+$Z50</f>
        <v>0</v>
      </c>
      <c r="AB50">
        <f>IF(AND($M50=1,LEFT(对接源_01水果!$D50,4)="原料出库"),1,0)</f>
        <v>0</v>
      </c>
      <c r="AC50">
        <f>N(AC49)+$AB50</f>
        <v>0</v>
      </c>
      <c r="AD50">
        <f>IF(AND($M50=1,LEFT(对接源_01水果!$D50,4)="成品出库"),1,0)</f>
        <v>0</v>
      </c>
      <c r="AE50">
        <f>N(AE49)+$AD50</f>
        <v>0</v>
      </c>
      <c r="AF50">
        <f>IF(AND($N50=1,AND(LEFT(对接源_01水果!$D50,4)="包装物料",N(对接源_01水果!$K50)&lt;&gt;0)),1,0)</f>
        <v>0</v>
      </c>
      <c r="AG50">
        <f>N(AG49)+$AF50</f>
        <v>0</v>
      </c>
      <c r="AH50">
        <f>IF(AND($N50=1,AND(对接源_01水果!$D50="周转筐－销售出库",N(对接源_01水果!$K50)&lt;&gt;0)),1,0)</f>
        <v>0</v>
      </c>
      <c r="AI50">
        <f>N(AI49)+$AH50</f>
        <v>0</v>
      </c>
      <c r="AJ50" s="7" t="n"/>
      <c r="AL50">
        <f>IF(OR($AL$1="",对接源_01水果!$Y50="",对接源_01水果!$Y50&lt;&gt;$AL$1,对接源_01水果!$B50="",N(对接源_01水果!$AJ50)&lt;=0),0,IF(OR(N(对接源_01水果!$B50)&lt;$AL$2,N(对接源_01水果!$B50)&gt;$AL$3),0,1))</f>
        <v>0</v>
      </c>
      <c r="AM50">
        <f>N(AM49)+$AL50</f>
        <v>0</v>
      </c>
      <c r="AN50">
        <f>IF(对接源_01水果!$AC50="","",对接源_01水果!$AC50)</f>
      </c>
      <c r="AO50">
        <f>IF(AN50="",0,IF(MATCH(AN50,$AN$4:$AN$1203,0)=ROW()-3,1,0))</f>
        <v>0</v>
      </c>
      <c r="AP50">
        <f>N(AP49)+$AO50</f>
        <v>0</v>
      </c>
      <c r="AQ50">
        <f>IFERROR(INDEX($AN$4:$AN$1203,MATCH(ROW()-3,$AP$4:$AP$1203,0)),"")</f>
      </c>
      <c r="AR50">
        <f>IF(OR($AF50=1,$AH50=1),1,0)</f>
        <v>0</v>
      </c>
      <c r="AS50">
        <f>N(AS49)+$AR50</f>
        <v>0</v>
      </c>
    </row>
    <row r="51" ht="14.25" customHeight="1" s="127">
      <c r="A51" t="str">
        <f>IF(对接源_01水果!$C51="","",对接源_01水果!$C51)</f>
        <v>聂新平</v>
      </c>
      <c r="B51">
        <f>IF(A51="",0,IF(MATCH(A51,$A$4:$A$2403,0)=ROW()-3,1,0))</f>
        <v>0</v>
      </c>
      <c r="C51">
        <f>N(C50)+B51</f>
        <v>4</v>
      </c>
      <c r="E51">
        <f>IFERROR(INDEX($A$4:$A$2403,MATCH(ROW()-3,$C$4:$C$2403,0)),"")</f>
      </c>
      <c r="K51">
        <f>IF(OR($K$1="",对接源_01水果!$C51="",对接源_01水果!$C51&lt;&gt;$K$1,对接源_01水果!$B51=""),0,IF(OR(N(对接源_01水果!$B51)&lt;$K$2,N(对接源_01水果!$B51)&gt;$K$3),0,1))</f>
        <v>0</v>
      </c>
      <c r="L51">
        <f>IF(OR($L$1="",对接源_01水果!$C51="",对接源_01水果!$C51&lt;&gt;$L$1,对接源_01水果!$B51=""),0,IF(OR(N(对接源_01水果!$B51)&lt;$L$2,N(对接源_01水果!$B51)&gt;$L$3),0,1))</f>
        <v>0</v>
      </c>
      <c r="M51">
        <f>IF(OR($M$1="",对接源_01水果!$C51="",对接源_01水果!$C51&lt;&gt;$M$1,对接源_01水果!$B51=""),0,IF(OR(N(对接源_01水果!$B51)&lt;$M$2,N(对接源_01水果!$B51)&gt;$M$3),0,1))</f>
        <v>0</v>
      </c>
      <c r="N51">
        <f>IF(OR($N$1="",对接源_01水果!$C51="",对接源_01水果!$C51&lt;&gt;$N$1,对接源_01水果!$B51=""),0,IF(OR(N(对接源_01水果!$B51)&lt;$N$2,N(对接源_01水果!$B51)&gt;$N$3),0,1))</f>
        <v>0</v>
      </c>
      <c r="P51">
        <f>IF(AND($K51=1,AND(对接源_01水果!$X51="公司筐",N(对接源_01水果!$T51)&lt;&gt;0)),1,0)</f>
        <v>0</v>
      </c>
      <c r="Q51">
        <f>N(Q50)+$P51</f>
        <v>0</v>
      </c>
      <c r="R51">
        <f>IF(AND($K51=1,AND(对接源_01水果!$X51="公司筐",N(对接源_01水果!$U51)&lt;&gt;0)),1,0)</f>
        <v>0</v>
      </c>
      <c r="S51">
        <f>N(S50)+$R51</f>
        <v>0</v>
      </c>
      <c r="T51">
        <f>IF(AND($K51=1,AND(对接源_01水果!$X51="公司筐",N(对接源_01水果!$V51)&lt;&gt;0)),1,0)</f>
        <v>0</v>
      </c>
      <c r="U51">
        <f>N(U50)+$T51</f>
        <v>0</v>
      </c>
      <c r="V51">
        <f>IF(AND($L51=1,AND(对接源_01水果!$X51="自备筐",N(对接源_01水果!$V51)&lt;&gt;0)),1,0)</f>
        <v>0</v>
      </c>
      <c r="W51">
        <f>N(W50)+$V51</f>
        <v>0</v>
      </c>
      <c r="X51">
        <f>IF(AND($L51=1,AND(对接源_01水果!$X51="自备筐",N(对接源_01水果!$T51)&lt;&gt;0)),1,0)</f>
        <v>0</v>
      </c>
      <c r="Y51">
        <f>N(Y50)+$X51</f>
        <v>0</v>
      </c>
      <c r="Z51">
        <f>IF(AND($M51=1,对接源_01水果!$D51="原料入库"),1,0)</f>
        <v>0</v>
      </c>
      <c r="AA51">
        <f>N(AA50)+$Z51</f>
        <v>0</v>
      </c>
      <c r="AB51">
        <f>IF(AND($M51=1,LEFT(对接源_01水果!$D51,4)="原料出库"),1,0)</f>
        <v>0</v>
      </c>
      <c r="AC51">
        <f>N(AC50)+$AB51</f>
        <v>0</v>
      </c>
      <c r="AD51">
        <f>IF(AND($M51=1,LEFT(对接源_01水果!$D51,4)="成品出库"),1,0)</f>
        <v>0</v>
      </c>
      <c r="AE51">
        <f>N(AE50)+$AD51</f>
        <v>0</v>
      </c>
      <c r="AF51">
        <f>IF(AND($N51=1,AND(LEFT(对接源_01水果!$D51,4)="包装物料",N(对接源_01水果!$K51)&lt;&gt;0)),1,0)</f>
        <v>0</v>
      </c>
      <c r="AG51">
        <f>N(AG50)+$AF51</f>
        <v>0</v>
      </c>
      <c r="AH51">
        <f>IF(AND($N51=1,AND(对接源_01水果!$D51="周转筐－销售出库",N(对接源_01水果!$K51)&lt;&gt;0)),1,0)</f>
        <v>0</v>
      </c>
      <c r="AI51">
        <f>N(AI50)+$AH51</f>
        <v>0</v>
      </c>
      <c r="AJ51" s="7" t="n"/>
      <c r="AL51">
        <f>IF(OR($AL$1="",对接源_01水果!$Y51="",对接源_01水果!$Y51&lt;&gt;$AL$1,对接源_01水果!$B51="",N(对接源_01水果!$AJ51)&lt;=0),0,IF(OR(N(对接源_01水果!$B51)&lt;$AL$2,N(对接源_01水果!$B51)&gt;$AL$3),0,1))</f>
        <v>0</v>
      </c>
      <c r="AM51">
        <f>N(AM50)+$AL51</f>
        <v>0</v>
      </c>
      <c r="AN51">
        <f>IF(对接源_01水果!$AC51="","",对接源_01水果!$AC51)</f>
      </c>
      <c r="AO51">
        <f>IF(AN51="",0,IF(MATCH(AN51,$AN$4:$AN$1203,0)=ROW()-3,1,0))</f>
        <v>0</v>
      </c>
      <c r="AP51">
        <f>N(AP50)+$AO51</f>
        <v>0</v>
      </c>
      <c r="AQ51">
        <f>IFERROR(INDEX($AN$4:$AN$1203,MATCH(ROW()-3,$AP$4:$AP$1203,0)),"")</f>
      </c>
      <c r="AR51">
        <f>IF(OR($AF51=1,$AH51=1),1,0)</f>
        <v>0</v>
      </c>
      <c r="AS51">
        <f>N(AS50)+$AR51</f>
        <v>0</v>
      </c>
    </row>
    <row r="52" ht="14.25" customHeight="1" s="127">
      <c r="A52" t="str">
        <f>IF(对接源_01水果!$C52="","",对接源_01水果!$C52)</f>
        <v>王照雪</v>
      </c>
      <c r="B52">
        <f>IF(A52="",0,IF(MATCH(A52,$A$4:$A$2403,0)=ROW()-3,1,0))</f>
        <v>0</v>
      </c>
      <c r="C52">
        <f>N(C51)+B52</f>
        <v>4</v>
      </c>
      <c r="E52">
        <f>IFERROR(INDEX($A$4:$A$2403,MATCH(ROW()-3,$C$4:$C$2403,0)),"")</f>
      </c>
      <c r="K52">
        <f>IF(OR($K$1="",对接源_01水果!$C52="",对接源_01水果!$C52&lt;&gt;$K$1,对接源_01水果!$B52=""),0,IF(OR(N(对接源_01水果!$B52)&lt;$K$2,N(对接源_01水果!$B52)&gt;$K$3),0,1))</f>
        <v>0</v>
      </c>
      <c r="L52">
        <f>IF(OR($L$1="",对接源_01水果!$C52="",对接源_01水果!$C52&lt;&gt;$L$1,对接源_01水果!$B52=""),0,IF(OR(N(对接源_01水果!$B52)&lt;$L$2,N(对接源_01水果!$B52)&gt;$L$3),0,1))</f>
        <v>0</v>
      </c>
      <c r="M52">
        <f>IF(OR($M$1="",对接源_01水果!$C52="",对接源_01水果!$C52&lt;&gt;$M$1,对接源_01水果!$B52=""),0,IF(OR(N(对接源_01水果!$B52)&lt;$M$2,N(对接源_01水果!$B52)&gt;$M$3),0,1))</f>
        <v>0</v>
      </c>
      <c r="N52">
        <f>IF(OR($N$1="",对接源_01水果!$C52="",对接源_01水果!$C52&lt;&gt;$N$1,对接源_01水果!$B52=""),0,IF(OR(N(对接源_01水果!$B52)&lt;$N$2,N(对接源_01水果!$B52)&gt;$N$3),0,1))</f>
        <v>0</v>
      </c>
      <c r="P52">
        <f>IF(AND($K52=1,AND(对接源_01水果!$X52="公司筐",N(对接源_01水果!$T52)&lt;&gt;0)),1,0)</f>
        <v>0</v>
      </c>
      <c r="Q52">
        <f>N(Q51)+$P52</f>
        <v>0</v>
      </c>
      <c r="R52">
        <f>IF(AND($K52=1,AND(对接源_01水果!$X52="公司筐",N(对接源_01水果!$U52)&lt;&gt;0)),1,0)</f>
        <v>0</v>
      </c>
      <c r="S52">
        <f>N(S51)+$R52</f>
        <v>0</v>
      </c>
      <c r="T52">
        <f>IF(AND($K52=1,AND(对接源_01水果!$X52="公司筐",N(对接源_01水果!$V52)&lt;&gt;0)),1,0)</f>
        <v>0</v>
      </c>
      <c r="U52">
        <f>N(U51)+$T52</f>
        <v>0</v>
      </c>
      <c r="V52">
        <f>IF(AND($L52=1,AND(对接源_01水果!$X52="自备筐",N(对接源_01水果!$V52)&lt;&gt;0)),1,0)</f>
        <v>0</v>
      </c>
      <c r="W52">
        <f>N(W51)+$V52</f>
        <v>0</v>
      </c>
      <c r="X52">
        <f>IF(AND($L52=1,AND(对接源_01水果!$X52="自备筐",N(对接源_01水果!$T52)&lt;&gt;0)),1,0)</f>
        <v>0</v>
      </c>
      <c r="Y52">
        <f>N(Y51)+$X52</f>
        <v>0</v>
      </c>
      <c r="Z52">
        <f>IF(AND($M52=1,对接源_01水果!$D52="原料入库"),1,0)</f>
        <v>0</v>
      </c>
      <c r="AA52">
        <f>N(AA51)+$Z52</f>
        <v>0</v>
      </c>
      <c r="AB52">
        <f>IF(AND($M52=1,LEFT(对接源_01水果!$D52,4)="原料出库"),1,0)</f>
        <v>0</v>
      </c>
      <c r="AC52">
        <f>N(AC51)+$AB52</f>
        <v>0</v>
      </c>
      <c r="AD52">
        <f>IF(AND($M52=1,LEFT(对接源_01水果!$D52,4)="成品出库"),1,0)</f>
        <v>0</v>
      </c>
      <c r="AE52">
        <f>N(AE51)+$AD52</f>
        <v>0</v>
      </c>
      <c r="AF52">
        <f>IF(AND($N52=1,AND(LEFT(对接源_01水果!$D52,4)="包装物料",N(对接源_01水果!$K52)&lt;&gt;0)),1,0)</f>
        <v>0</v>
      </c>
      <c r="AG52">
        <f>N(AG51)+$AF52</f>
        <v>0</v>
      </c>
      <c r="AH52">
        <f>IF(AND($N52=1,AND(对接源_01水果!$D52="周转筐－销售出库",N(对接源_01水果!$K52)&lt;&gt;0)),1,0)</f>
        <v>0</v>
      </c>
      <c r="AI52">
        <f>N(AI51)+$AH52</f>
        <v>0</v>
      </c>
      <c r="AJ52" s="7" t="n"/>
      <c r="AL52">
        <f>IF(OR($AL$1="",对接源_01水果!$Y52="",对接源_01水果!$Y52&lt;&gt;$AL$1,对接源_01水果!$B52="",N(对接源_01水果!$AJ52)&lt;=0),0,IF(OR(N(对接源_01水果!$B52)&lt;$AL$2,N(对接源_01水果!$B52)&gt;$AL$3),0,1))</f>
        <v>0</v>
      </c>
      <c r="AM52">
        <f>N(AM51)+$AL52</f>
        <v>0</v>
      </c>
      <c r="AN52">
        <f>IF(对接源_01水果!$AC52="","",对接源_01水果!$AC52)</f>
      </c>
      <c r="AO52">
        <f>IF(AN52="",0,IF(MATCH(AN52,$AN$4:$AN$1203,0)=ROW()-3,1,0))</f>
        <v>0</v>
      </c>
      <c r="AP52">
        <f>N(AP51)+$AO52</f>
        <v>0</v>
      </c>
      <c r="AQ52">
        <f>IFERROR(INDEX($AN$4:$AN$1203,MATCH(ROW()-3,$AP$4:$AP$1203,0)),"")</f>
      </c>
      <c r="AR52">
        <f>IF(OR($AF52=1,$AH52=1),1,0)</f>
        <v>0</v>
      </c>
      <c r="AS52">
        <f>N(AS51)+$AR52</f>
        <v>0</v>
      </c>
    </row>
    <row r="53" ht="14.25" customHeight="1" s="127">
      <c r="A53" t="str">
        <f>IF(对接源_01水果!$C53="","",对接源_01水果!$C53)</f>
        <v>王照雪</v>
      </c>
      <c r="B53">
        <f>IF(A53="",0,IF(MATCH(A53,$A$4:$A$2403,0)=ROW()-3,1,0))</f>
        <v>0</v>
      </c>
      <c r="C53">
        <f>N(C52)+B53</f>
        <v>4</v>
      </c>
      <c r="E53">
        <f>IFERROR(INDEX($A$4:$A$2403,MATCH(ROW()-3,$C$4:$C$2403,0)),"")</f>
      </c>
      <c r="K53">
        <f>IF(OR($K$1="",对接源_01水果!$C53="",对接源_01水果!$C53&lt;&gt;$K$1,对接源_01水果!$B53=""),0,IF(OR(N(对接源_01水果!$B53)&lt;$K$2,N(对接源_01水果!$B53)&gt;$K$3),0,1))</f>
        <v>0</v>
      </c>
      <c r="L53">
        <f>IF(OR($L$1="",对接源_01水果!$C53="",对接源_01水果!$C53&lt;&gt;$L$1,对接源_01水果!$B53=""),0,IF(OR(N(对接源_01水果!$B53)&lt;$L$2,N(对接源_01水果!$B53)&gt;$L$3),0,1))</f>
        <v>0</v>
      </c>
      <c r="M53">
        <f>IF(OR($M$1="",对接源_01水果!$C53="",对接源_01水果!$C53&lt;&gt;$M$1,对接源_01水果!$B53=""),0,IF(OR(N(对接源_01水果!$B53)&lt;$M$2,N(对接源_01水果!$B53)&gt;$M$3),0,1))</f>
        <v>0</v>
      </c>
      <c r="N53">
        <f>IF(OR($N$1="",对接源_01水果!$C53="",对接源_01水果!$C53&lt;&gt;$N$1,对接源_01水果!$B53=""),0,IF(OR(N(对接源_01水果!$B53)&lt;$N$2,N(对接源_01水果!$B53)&gt;$N$3),0,1))</f>
        <v>0</v>
      </c>
      <c r="P53">
        <f>IF(AND($K53=1,AND(对接源_01水果!$X53="公司筐",N(对接源_01水果!$T53)&lt;&gt;0)),1,0)</f>
        <v>0</v>
      </c>
      <c r="Q53">
        <f>N(Q52)+$P53</f>
        <v>0</v>
      </c>
      <c r="R53">
        <f>IF(AND($K53=1,AND(对接源_01水果!$X53="公司筐",N(对接源_01水果!$U53)&lt;&gt;0)),1,0)</f>
        <v>0</v>
      </c>
      <c r="S53">
        <f>N(S52)+$R53</f>
        <v>0</v>
      </c>
      <c r="T53">
        <f>IF(AND($K53=1,AND(对接源_01水果!$X53="公司筐",N(对接源_01水果!$V53)&lt;&gt;0)),1,0)</f>
        <v>0</v>
      </c>
      <c r="U53">
        <f>N(U52)+$T53</f>
        <v>0</v>
      </c>
      <c r="V53">
        <f>IF(AND($L53=1,AND(对接源_01水果!$X53="自备筐",N(对接源_01水果!$V53)&lt;&gt;0)),1,0)</f>
        <v>0</v>
      </c>
      <c r="W53">
        <f>N(W52)+$V53</f>
        <v>0</v>
      </c>
      <c r="X53">
        <f>IF(AND($L53=1,AND(对接源_01水果!$X53="自备筐",N(对接源_01水果!$T53)&lt;&gt;0)),1,0)</f>
        <v>0</v>
      </c>
      <c r="Y53">
        <f>N(Y52)+$X53</f>
        <v>0</v>
      </c>
      <c r="Z53">
        <f>IF(AND($M53=1,对接源_01水果!$D53="原料入库"),1,0)</f>
        <v>0</v>
      </c>
      <c r="AA53">
        <f>N(AA52)+$Z53</f>
        <v>0</v>
      </c>
      <c r="AB53">
        <f>IF(AND($M53=1,LEFT(对接源_01水果!$D53,4)="原料出库"),1,0)</f>
        <v>0</v>
      </c>
      <c r="AC53">
        <f>N(AC52)+$AB53</f>
        <v>0</v>
      </c>
      <c r="AD53">
        <f>IF(AND($M53=1,LEFT(对接源_01水果!$D53,4)="成品出库"),1,0)</f>
        <v>0</v>
      </c>
      <c r="AE53">
        <f>N(AE52)+$AD53</f>
        <v>0</v>
      </c>
      <c r="AF53">
        <f>IF(AND($N53=1,AND(LEFT(对接源_01水果!$D53,4)="包装物料",N(对接源_01水果!$K53)&lt;&gt;0)),1,0)</f>
        <v>0</v>
      </c>
      <c r="AG53">
        <f>N(AG52)+$AF53</f>
        <v>0</v>
      </c>
      <c r="AH53">
        <f>IF(AND($N53=1,AND(对接源_01水果!$D53="周转筐－销售出库",N(对接源_01水果!$K53)&lt;&gt;0)),1,0)</f>
        <v>0</v>
      </c>
      <c r="AI53">
        <f>N(AI52)+$AH53</f>
        <v>0</v>
      </c>
      <c r="AJ53" s="7" t="n"/>
      <c r="AL53">
        <f>IF(OR($AL$1="",对接源_01水果!$Y53="",对接源_01水果!$Y53&lt;&gt;$AL$1,对接源_01水果!$B53="",N(对接源_01水果!$AJ53)&lt;=0),0,IF(OR(N(对接源_01水果!$B53)&lt;$AL$2,N(对接源_01水果!$B53)&gt;$AL$3),0,1))</f>
        <v>0</v>
      </c>
      <c r="AM53">
        <f>N(AM52)+$AL53</f>
        <v>0</v>
      </c>
      <c r="AN53">
        <f>IF(对接源_01水果!$AC53="","",对接源_01水果!$AC53)</f>
      </c>
      <c r="AO53">
        <f>IF(AN53="",0,IF(MATCH(AN53,$AN$4:$AN$1203,0)=ROW()-3,1,0))</f>
        <v>0</v>
      </c>
      <c r="AP53">
        <f>N(AP52)+$AO53</f>
        <v>0</v>
      </c>
      <c r="AQ53">
        <f>IFERROR(INDEX($AN$4:$AN$1203,MATCH(ROW()-3,$AP$4:$AP$1203,0)),"")</f>
      </c>
      <c r="AR53">
        <f>IF(OR($AF53=1,$AH53=1),1,0)</f>
        <v>0</v>
      </c>
      <c r="AS53">
        <f>N(AS52)+$AR53</f>
        <v>0</v>
      </c>
    </row>
    <row r="54" ht="14.25" customHeight="1" s="127">
      <c r="A54" t="str">
        <f>IF(对接源_01水果!$C54="","",对接源_01水果!$C54)</f>
        <v>王照雪</v>
      </c>
      <c r="B54">
        <f>IF(A54="",0,IF(MATCH(A54,$A$4:$A$2403,0)=ROW()-3,1,0))</f>
        <v>0</v>
      </c>
      <c r="C54">
        <f>N(C53)+B54</f>
        <v>4</v>
      </c>
      <c r="E54">
        <f>IFERROR(INDEX($A$4:$A$2403,MATCH(ROW()-3,$C$4:$C$2403,0)),"")</f>
      </c>
      <c r="K54">
        <f>IF(OR($K$1="",对接源_01水果!$C54="",对接源_01水果!$C54&lt;&gt;$K$1,对接源_01水果!$B54=""),0,IF(OR(N(对接源_01水果!$B54)&lt;$K$2,N(对接源_01水果!$B54)&gt;$K$3),0,1))</f>
        <v>0</v>
      </c>
      <c r="L54">
        <f>IF(OR($L$1="",对接源_01水果!$C54="",对接源_01水果!$C54&lt;&gt;$L$1,对接源_01水果!$B54=""),0,IF(OR(N(对接源_01水果!$B54)&lt;$L$2,N(对接源_01水果!$B54)&gt;$L$3),0,1))</f>
        <v>0</v>
      </c>
      <c r="M54">
        <f>IF(OR($M$1="",对接源_01水果!$C54="",对接源_01水果!$C54&lt;&gt;$M$1,对接源_01水果!$B54=""),0,IF(OR(N(对接源_01水果!$B54)&lt;$M$2,N(对接源_01水果!$B54)&gt;$M$3),0,1))</f>
        <v>0</v>
      </c>
      <c r="N54">
        <f>IF(OR($N$1="",对接源_01水果!$C54="",对接源_01水果!$C54&lt;&gt;$N$1,对接源_01水果!$B54=""),0,IF(OR(N(对接源_01水果!$B54)&lt;$N$2,N(对接源_01水果!$B54)&gt;$N$3),0,1))</f>
        <v>0</v>
      </c>
      <c r="P54">
        <f>IF(AND($K54=1,AND(对接源_01水果!$X54="公司筐",N(对接源_01水果!$T54)&lt;&gt;0)),1,0)</f>
        <v>0</v>
      </c>
      <c r="Q54">
        <f>N(Q53)+$P54</f>
        <v>0</v>
      </c>
      <c r="R54">
        <f>IF(AND($K54=1,AND(对接源_01水果!$X54="公司筐",N(对接源_01水果!$U54)&lt;&gt;0)),1,0)</f>
        <v>0</v>
      </c>
      <c r="S54">
        <f>N(S53)+$R54</f>
        <v>0</v>
      </c>
      <c r="T54">
        <f>IF(AND($K54=1,AND(对接源_01水果!$X54="公司筐",N(对接源_01水果!$V54)&lt;&gt;0)),1,0)</f>
        <v>0</v>
      </c>
      <c r="U54">
        <f>N(U53)+$T54</f>
        <v>0</v>
      </c>
      <c r="V54">
        <f>IF(AND($L54=1,AND(对接源_01水果!$X54="自备筐",N(对接源_01水果!$V54)&lt;&gt;0)),1,0)</f>
        <v>0</v>
      </c>
      <c r="W54">
        <f>N(W53)+$V54</f>
        <v>0</v>
      </c>
      <c r="X54">
        <f>IF(AND($L54=1,AND(对接源_01水果!$X54="自备筐",N(对接源_01水果!$T54)&lt;&gt;0)),1,0)</f>
        <v>0</v>
      </c>
      <c r="Y54">
        <f>N(Y53)+$X54</f>
        <v>0</v>
      </c>
      <c r="Z54">
        <f>IF(AND($M54=1,对接源_01水果!$D54="原料入库"),1,0)</f>
        <v>0</v>
      </c>
      <c r="AA54">
        <f>N(AA53)+$Z54</f>
        <v>0</v>
      </c>
      <c r="AB54">
        <f>IF(AND($M54=1,LEFT(对接源_01水果!$D54,4)="原料出库"),1,0)</f>
        <v>0</v>
      </c>
      <c r="AC54">
        <f>N(AC53)+$AB54</f>
        <v>0</v>
      </c>
      <c r="AD54">
        <f>IF(AND($M54=1,LEFT(对接源_01水果!$D54,4)="成品出库"),1,0)</f>
        <v>0</v>
      </c>
      <c r="AE54">
        <f>N(AE53)+$AD54</f>
        <v>0</v>
      </c>
      <c r="AF54">
        <f>IF(AND($N54=1,AND(LEFT(对接源_01水果!$D54,4)="包装物料",N(对接源_01水果!$K54)&lt;&gt;0)),1,0)</f>
        <v>0</v>
      </c>
      <c r="AG54">
        <f>N(AG53)+$AF54</f>
        <v>0</v>
      </c>
      <c r="AH54">
        <f>IF(AND($N54=1,AND(对接源_01水果!$D54="周转筐－销售出库",N(对接源_01水果!$K54)&lt;&gt;0)),1,0)</f>
        <v>0</v>
      </c>
      <c r="AI54">
        <f>N(AI53)+$AH54</f>
        <v>0</v>
      </c>
      <c r="AJ54" s="7" t="n"/>
      <c r="AL54">
        <f>IF(OR($AL$1="",对接源_01水果!$Y54="",对接源_01水果!$Y54&lt;&gt;$AL$1,对接源_01水果!$B54="",N(对接源_01水果!$AJ54)&lt;=0),0,IF(OR(N(对接源_01水果!$B54)&lt;$AL$2,N(对接源_01水果!$B54)&gt;$AL$3),0,1))</f>
        <v>0</v>
      </c>
      <c r="AM54">
        <f>N(AM53)+$AL54</f>
        <v>0</v>
      </c>
      <c r="AN54">
        <f>IF(对接源_01水果!$AC54="","",对接源_01水果!$AC54)</f>
      </c>
      <c r="AO54">
        <f>IF(AN54="",0,IF(MATCH(AN54,$AN$4:$AN$1203,0)=ROW()-3,1,0))</f>
        <v>0</v>
      </c>
      <c r="AP54">
        <f>N(AP53)+$AO54</f>
        <v>0</v>
      </c>
      <c r="AQ54">
        <f>IFERROR(INDEX($AN$4:$AN$1203,MATCH(ROW()-3,$AP$4:$AP$1203,0)),"")</f>
      </c>
      <c r="AR54">
        <f>IF(OR($AF54=1,$AH54=1),1,0)</f>
        <v>0</v>
      </c>
      <c r="AS54">
        <f>N(AS53)+$AR54</f>
        <v>0</v>
      </c>
    </row>
    <row r="55" ht="14.25" customHeight="1" s="127">
      <c r="A55" t="str">
        <f>IF(对接源_01水果!$C55="","",对接源_01水果!$C55)</f>
        <v>聂新平</v>
      </c>
      <c r="B55">
        <f>IF(A55="",0,IF(MATCH(A55,$A$4:$A$2403,0)=ROW()-3,1,0))</f>
        <v>0</v>
      </c>
      <c r="C55">
        <f>N(C54)+B55</f>
        <v>4</v>
      </c>
      <c r="E55">
        <f>IFERROR(INDEX($A$4:$A$2403,MATCH(ROW()-3,$C$4:$C$2403,0)),"")</f>
      </c>
      <c r="K55">
        <f>IF(OR($K$1="",对接源_01水果!$C55="",对接源_01水果!$C55&lt;&gt;$K$1,对接源_01水果!$B55=""),0,IF(OR(N(对接源_01水果!$B55)&lt;$K$2,N(对接源_01水果!$B55)&gt;$K$3),0,1))</f>
        <v>0</v>
      </c>
      <c r="L55">
        <f>IF(OR($L$1="",对接源_01水果!$C55="",对接源_01水果!$C55&lt;&gt;$L$1,对接源_01水果!$B55=""),0,IF(OR(N(对接源_01水果!$B55)&lt;$L$2,N(对接源_01水果!$B55)&gt;$L$3),0,1))</f>
        <v>0</v>
      </c>
      <c r="M55">
        <f>IF(OR($M$1="",对接源_01水果!$C55="",对接源_01水果!$C55&lt;&gt;$M$1,对接源_01水果!$B55=""),0,IF(OR(N(对接源_01水果!$B55)&lt;$M$2,N(对接源_01水果!$B55)&gt;$M$3),0,1))</f>
        <v>0</v>
      </c>
      <c r="N55">
        <f>IF(OR($N$1="",对接源_01水果!$C55="",对接源_01水果!$C55&lt;&gt;$N$1,对接源_01水果!$B55=""),0,IF(OR(N(对接源_01水果!$B55)&lt;$N$2,N(对接源_01水果!$B55)&gt;$N$3),0,1))</f>
        <v>0</v>
      </c>
      <c r="P55">
        <f>IF(AND($K55=1,AND(对接源_01水果!$X55="公司筐",N(对接源_01水果!$T55)&lt;&gt;0)),1,0)</f>
        <v>0</v>
      </c>
      <c r="Q55">
        <f>N(Q54)+$P55</f>
        <v>0</v>
      </c>
      <c r="R55">
        <f>IF(AND($K55=1,AND(对接源_01水果!$X55="公司筐",N(对接源_01水果!$U55)&lt;&gt;0)),1,0)</f>
        <v>0</v>
      </c>
      <c r="S55">
        <f>N(S54)+$R55</f>
        <v>0</v>
      </c>
      <c r="T55">
        <f>IF(AND($K55=1,AND(对接源_01水果!$X55="公司筐",N(对接源_01水果!$V55)&lt;&gt;0)),1,0)</f>
        <v>0</v>
      </c>
      <c r="U55">
        <f>N(U54)+$T55</f>
        <v>0</v>
      </c>
      <c r="V55">
        <f>IF(AND($L55=1,AND(对接源_01水果!$X55="自备筐",N(对接源_01水果!$V55)&lt;&gt;0)),1,0)</f>
        <v>0</v>
      </c>
      <c r="W55">
        <f>N(W54)+$V55</f>
        <v>0</v>
      </c>
      <c r="X55">
        <f>IF(AND($L55=1,AND(对接源_01水果!$X55="自备筐",N(对接源_01水果!$T55)&lt;&gt;0)),1,0)</f>
        <v>0</v>
      </c>
      <c r="Y55">
        <f>N(Y54)+$X55</f>
        <v>0</v>
      </c>
      <c r="Z55">
        <f>IF(AND($M55=1,对接源_01水果!$D55="原料入库"),1,0)</f>
        <v>0</v>
      </c>
      <c r="AA55">
        <f>N(AA54)+$Z55</f>
        <v>0</v>
      </c>
      <c r="AB55">
        <f>IF(AND($M55=1,LEFT(对接源_01水果!$D55,4)="原料出库"),1,0)</f>
        <v>0</v>
      </c>
      <c r="AC55">
        <f>N(AC54)+$AB55</f>
        <v>0</v>
      </c>
      <c r="AD55">
        <f>IF(AND($M55=1,LEFT(对接源_01水果!$D55,4)="成品出库"),1,0)</f>
        <v>0</v>
      </c>
      <c r="AE55">
        <f>N(AE54)+$AD55</f>
        <v>0</v>
      </c>
      <c r="AF55">
        <f>IF(AND($N55=1,AND(LEFT(对接源_01水果!$D55,4)="包装物料",N(对接源_01水果!$K55)&lt;&gt;0)),1,0)</f>
        <v>0</v>
      </c>
      <c r="AG55">
        <f>N(AG54)+$AF55</f>
        <v>0</v>
      </c>
      <c r="AH55">
        <f>IF(AND($N55=1,AND(对接源_01水果!$D55="周转筐－销售出库",N(对接源_01水果!$K55)&lt;&gt;0)),1,0)</f>
        <v>0</v>
      </c>
      <c r="AI55">
        <f>N(AI54)+$AH55</f>
        <v>0</v>
      </c>
      <c r="AJ55" s="7" t="n"/>
      <c r="AL55">
        <f>IF(OR($AL$1="",对接源_01水果!$Y55="",对接源_01水果!$Y55&lt;&gt;$AL$1,对接源_01水果!$B55="",N(对接源_01水果!$AJ55)&lt;=0),0,IF(OR(N(对接源_01水果!$B55)&lt;$AL$2,N(对接源_01水果!$B55)&gt;$AL$3),0,1))</f>
        <v>0</v>
      </c>
      <c r="AM55">
        <f>N(AM54)+$AL55</f>
        <v>0</v>
      </c>
      <c r="AN55">
        <f>IF(对接源_01水果!$AC55="","",对接源_01水果!$AC55)</f>
      </c>
      <c r="AO55">
        <f>IF(AN55="",0,IF(MATCH(AN55,$AN$4:$AN$1203,0)=ROW()-3,1,0))</f>
        <v>0</v>
      </c>
      <c r="AP55">
        <f>N(AP54)+$AO55</f>
        <v>0</v>
      </c>
      <c r="AQ55">
        <f>IFERROR(INDEX($AN$4:$AN$1203,MATCH(ROW()-3,$AP$4:$AP$1203,0)),"")</f>
      </c>
      <c r="AR55">
        <f>IF(OR($AF55=1,$AH55=1),1,0)</f>
        <v>0</v>
      </c>
      <c r="AS55">
        <f>N(AS54)+$AR55</f>
        <v>0</v>
      </c>
    </row>
    <row r="56" ht="14.25" customHeight="1" s="127">
      <c r="A56" t="str">
        <f>IF(对接源_01水果!$C56="","",对接源_01水果!$C56)</f>
        <v>聂新平</v>
      </c>
      <c r="B56">
        <f>IF(A56="",0,IF(MATCH(A56,$A$4:$A$2403,0)=ROW()-3,1,0))</f>
        <v>0</v>
      </c>
      <c r="C56">
        <f>N(C55)+B56</f>
        <v>4</v>
      </c>
      <c r="E56">
        <f>IFERROR(INDEX($A$4:$A$2403,MATCH(ROW()-3,$C$4:$C$2403,0)),"")</f>
      </c>
      <c r="K56">
        <f>IF(OR($K$1="",对接源_01水果!$C56="",对接源_01水果!$C56&lt;&gt;$K$1,对接源_01水果!$B56=""),0,IF(OR(N(对接源_01水果!$B56)&lt;$K$2,N(对接源_01水果!$B56)&gt;$K$3),0,1))</f>
        <v>0</v>
      </c>
      <c r="L56">
        <f>IF(OR($L$1="",对接源_01水果!$C56="",对接源_01水果!$C56&lt;&gt;$L$1,对接源_01水果!$B56=""),0,IF(OR(N(对接源_01水果!$B56)&lt;$L$2,N(对接源_01水果!$B56)&gt;$L$3),0,1))</f>
        <v>0</v>
      </c>
      <c r="M56">
        <f>IF(OR($M$1="",对接源_01水果!$C56="",对接源_01水果!$C56&lt;&gt;$M$1,对接源_01水果!$B56=""),0,IF(OR(N(对接源_01水果!$B56)&lt;$M$2,N(对接源_01水果!$B56)&gt;$M$3),0,1))</f>
        <v>0</v>
      </c>
      <c r="N56">
        <f>IF(OR($N$1="",对接源_01水果!$C56="",对接源_01水果!$C56&lt;&gt;$N$1,对接源_01水果!$B56=""),0,IF(OR(N(对接源_01水果!$B56)&lt;$N$2,N(对接源_01水果!$B56)&gt;$N$3),0,1))</f>
        <v>0</v>
      </c>
      <c r="P56">
        <f>IF(AND($K56=1,AND(对接源_01水果!$X56="公司筐",N(对接源_01水果!$T56)&lt;&gt;0)),1,0)</f>
        <v>0</v>
      </c>
      <c r="Q56">
        <f>N(Q55)+$P56</f>
        <v>0</v>
      </c>
      <c r="R56">
        <f>IF(AND($K56=1,AND(对接源_01水果!$X56="公司筐",N(对接源_01水果!$U56)&lt;&gt;0)),1,0)</f>
        <v>0</v>
      </c>
      <c r="S56">
        <f>N(S55)+$R56</f>
        <v>0</v>
      </c>
      <c r="T56">
        <f>IF(AND($K56=1,AND(对接源_01水果!$X56="公司筐",N(对接源_01水果!$V56)&lt;&gt;0)),1,0)</f>
        <v>0</v>
      </c>
      <c r="U56">
        <f>N(U55)+$T56</f>
        <v>0</v>
      </c>
      <c r="V56">
        <f>IF(AND($L56=1,AND(对接源_01水果!$X56="自备筐",N(对接源_01水果!$V56)&lt;&gt;0)),1,0)</f>
        <v>0</v>
      </c>
      <c r="W56">
        <f>N(W55)+$V56</f>
        <v>0</v>
      </c>
      <c r="X56">
        <f>IF(AND($L56=1,AND(对接源_01水果!$X56="自备筐",N(对接源_01水果!$T56)&lt;&gt;0)),1,0)</f>
        <v>0</v>
      </c>
      <c r="Y56">
        <f>N(Y55)+$X56</f>
        <v>0</v>
      </c>
      <c r="Z56">
        <f>IF(AND($M56=1,对接源_01水果!$D56="原料入库"),1,0)</f>
        <v>0</v>
      </c>
      <c r="AA56">
        <f>N(AA55)+$Z56</f>
        <v>0</v>
      </c>
      <c r="AB56">
        <f>IF(AND($M56=1,LEFT(对接源_01水果!$D56,4)="原料出库"),1,0)</f>
        <v>0</v>
      </c>
      <c r="AC56">
        <f>N(AC55)+$AB56</f>
        <v>0</v>
      </c>
      <c r="AD56">
        <f>IF(AND($M56=1,LEFT(对接源_01水果!$D56,4)="成品出库"),1,0)</f>
        <v>0</v>
      </c>
      <c r="AE56">
        <f>N(AE55)+$AD56</f>
        <v>0</v>
      </c>
      <c r="AF56">
        <f>IF(AND($N56=1,AND(LEFT(对接源_01水果!$D56,4)="包装物料",N(对接源_01水果!$K56)&lt;&gt;0)),1,0)</f>
        <v>0</v>
      </c>
      <c r="AG56">
        <f>N(AG55)+$AF56</f>
        <v>0</v>
      </c>
      <c r="AH56">
        <f>IF(AND($N56=1,AND(对接源_01水果!$D56="周转筐－销售出库",N(对接源_01水果!$K56)&lt;&gt;0)),1,0)</f>
        <v>0</v>
      </c>
      <c r="AI56">
        <f>N(AI55)+$AH56</f>
        <v>0</v>
      </c>
      <c r="AJ56" s="7" t="n"/>
      <c r="AL56">
        <f>IF(OR($AL$1="",对接源_01水果!$Y56="",对接源_01水果!$Y56&lt;&gt;$AL$1,对接源_01水果!$B56="",N(对接源_01水果!$AJ56)&lt;=0),0,IF(OR(N(对接源_01水果!$B56)&lt;$AL$2,N(对接源_01水果!$B56)&gt;$AL$3),0,1))</f>
        <v>0</v>
      </c>
      <c r="AM56">
        <f>N(AM55)+$AL56</f>
        <v>0</v>
      </c>
      <c r="AN56">
        <f>IF(对接源_01水果!$AC56="","",对接源_01水果!$AC56)</f>
      </c>
      <c r="AO56">
        <f>IF(AN56="",0,IF(MATCH(AN56,$AN$4:$AN$1203,0)=ROW()-3,1,0))</f>
        <v>0</v>
      </c>
      <c r="AP56">
        <f>N(AP55)+$AO56</f>
        <v>0</v>
      </c>
      <c r="AQ56">
        <f>IFERROR(INDEX($AN$4:$AN$1203,MATCH(ROW()-3,$AP$4:$AP$1203,0)),"")</f>
      </c>
      <c r="AR56">
        <f>IF(OR($AF56=1,$AH56=1),1,0)</f>
        <v>0</v>
      </c>
      <c r="AS56">
        <f>N(AS55)+$AR56</f>
        <v>0</v>
      </c>
    </row>
    <row r="57" ht="14.25" customHeight="1" s="127">
      <c r="A57" t="str">
        <f>IF(对接源_01水果!$C57="","",对接源_01水果!$C57)</f>
        <v>聂新平</v>
      </c>
      <c r="B57">
        <f>IF(A57="",0,IF(MATCH(A57,$A$4:$A$2403,0)=ROW()-3,1,0))</f>
        <v>0</v>
      </c>
      <c r="C57">
        <f>N(C56)+B57</f>
        <v>4</v>
      </c>
      <c r="E57">
        <f>IFERROR(INDEX($A$4:$A$2403,MATCH(ROW()-3,$C$4:$C$2403,0)),"")</f>
      </c>
      <c r="K57">
        <f>IF(OR($K$1="",对接源_01水果!$C57="",对接源_01水果!$C57&lt;&gt;$K$1,对接源_01水果!$B57=""),0,IF(OR(N(对接源_01水果!$B57)&lt;$K$2,N(对接源_01水果!$B57)&gt;$K$3),0,1))</f>
        <v>0</v>
      </c>
      <c r="L57">
        <f>IF(OR($L$1="",对接源_01水果!$C57="",对接源_01水果!$C57&lt;&gt;$L$1,对接源_01水果!$B57=""),0,IF(OR(N(对接源_01水果!$B57)&lt;$L$2,N(对接源_01水果!$B57)&gt;$L$3),0,1))</f>
        <v>0</v>
      </c>
      <c r="M57">
        <f>IF(OR($M$1="",对接源_01水果!$C57="",对接源_01水果!$C57&lt;&gt;$M$1,对接源_01水果!$B57=""),0,IF(OR(N(对接源_01水果!$B57)&lt;$M$2,N(对接源_01水果!$B57)&gt;$M$3),0,1))</f>
        <v>0</v>
      </c>
      <c r="N57">
        <f>IF(OR($N$1="",对接源_01水果!$C57="",对接源_01水果!$C57&lt;&gt;$N$1,对接源_01水果!$B57=""),0,IF(OR(N(对接源_01水果!$B57)&lt;$N$2,N(对接源_01水果!$B57)&gt;$N$3),0,1))</f>
        <v>0</v>
      </c>
      <c r="P57">
        <f>IF(AND($K57=1,AND(对接源_01水果!$X57="公司筐",N(对接源_01水果!$T57)&lt;&gt;0)),1,0)</f>
        <v>0</v>
      </c>
      <c r="Q57">
        <f>N(Q56)+$P57</f>
        <v>0</v>
      </c>
      <c r="R57">
        <f>IF(AND($K57=1,AND(对接源_01水果!$X57="公司筐",N(对接源_01水果!$U57)&lt;&gt;0)),1,0)</f>
        <v>0</v>
      </c>
      <c r="S57">
        <f>N(S56)+$R57</f>
        <v>0</v>
      </c>
      <c r="T57">
        <f>IF(AND($K57=1,AND(对接源_01水果!$X57="公司筐",N(对接源_01水果!$V57)&lt;&gt;0)),1,0)</f>
        <v>0</v>
      </c>
      <c r="U57">
        <f>N(U56)+$T57</f>
        <v>0</v>
      </c>
      <c r="V57">
        <f>IF(AND($L57=1,AND(对接源_01水果!$X57="自备筐",N(对接源_01水果!$V57)&lt;&gt;0)),1,0)</f>
        <v>0</v>
      </c>
      <c r="W57">
        <f>N(W56)+$V57</f>
        <v>0</v>
      </c>
      <c r="X57">
        <f>IF(AND($L57=1,AND(对接源_01水果!$X57="自备筐",N(对接源_01水果!$T57)&lt;&gt;0)),1,0)</f>
        <v>0</v>
      </c>
      <c r="Y57">
        <f>N(Y56)+$X57</f>
        <v>0</v>
      </c>
      <c r="Z57">
        <f>IF(AND($M57=1,对接源_01水果!$D57="原料入库"),1,0)</f>
        <v>0</v>
      </c>
      <c r="AA57">
        <f>N(AA56)+$Z57</f>
        <v>0</v>
      </c>
      <c r="AB57">
        <f>IF(AND($M57=1,LEFT(对接源_01水果!$D57,4)="原料出库"),1,0)</f>
        <v>0</v>
      </c>
      <c r="AC57">
        <f>N(AC56)+$AB57</f>
        <v>0</v>
      </c>
      <c r="AD57">
        <f>IF(AND($M57=1,LEFT(对接源_01水果!$D57,4)="成品出库"),1,0)</f>
        <v>0</v>
      </c>
      <c r="AE57">
        <f>N(AE56)+$AD57</f>
        <v>0</v>
      </c>
      <c r="AF57">
        <f>IF(AND($N57=1,AND(LEFT(对接源_01水果!$D57,4)="包装物料",N(对接源_01水果!$K57)&lt;&gt;0)),1,0)</f>
        <v>0</v>
      </c>
      <c r="AG57">
        <f>N(AG56)+$AF57</f>
        <v>0</v>
      </c>
      <c r="AH57">
        <f>IF(AND($N57=1,AND(对接源_01水果!$D57="周转筐－销售出库",N(对接源_01水果!$K57)&lt;&gt;0)),1,0)</f>
        <v>0</v>
      </c>
      <c r="AI57">
        <f>N(AI56)+$AH57</f>
        <v>0</v>
      </c>
      <c r="AJ57" s="7" t="n"/>
      <c r="AL57">
        <f>IF(OR($AL$1="",对接源_01水果!$Y57="",对接源_01水果!$Y57&lt;&gt;$AL$1,对接源_01水果!$B57="",N(对接源_01水果!$AJ57)&lt;=0),0,IF(OR(N(对接源_01水果!$B57)&lt;$AL$2,N(对接源_01水果!$B57)&gt;$AL$3),0,1))</f>
        <v>0</v>
      </c>
      <c r="AM57">
        <f>N(AM56)+$AL57</f>
        <v>0</v>
      </c>
      <c r="AN57">
        <f>IF(对接源_01水果!$AC57="","",对接源_01水果!$AC57)</f>
      </c>
      <c r="AO57">
        <f>IF(AN57="",0,IF(MATCH(AN57,$AN$4:$AN$1203,0)=ROW()-3,1,0))</f>
        <v>0</v>
      </c>
      <c r="AP57">
        <f>N(AP56)+$AO57</f>
        <v>0</v>
      </c>
      <c r="AQ57">
        <f>IFERROR(INDEX($AN$4:$AN$1203,MATCH(ROW()-3,$AP$4:$AP$1203,0)),"")</f>
      </c>
      <c r="AR57">
        <f>IF(OR($AF57=1,$AH57=1),1,0)</f>
        <v>0</v>
      </c>
      <c r="AS57">
        <f>N(AS56)+$AR57</f>
        <v>0</v>
      </c>
    </row>
    <row r="58" ht="14.25" customHeight="1" s="127">
      <c r="A58" t="str">
        <f>IF(对接源_01水果!$C58="","",对接源_01水果!$C58)</f>
        <v>王照雪</v>
      </c>
      <c r="B58">
        <f>IF(A58="",0,IF(MATCH(A58,$A$4:$A$2403,0)=ROW()-3,1,0))</f>
        <v>0</v>
      </c>
      <c r="C58">
        <f>N(C57)+B58</f>
        <v>4</v>
      </c>
      <c r="E58">
        <f>IFERROR(INDEX($A$4:$A$2403,MATCH(ROW()-3,$C$4:$C$2403,0)),"")</f>
      </c>
      <c r="K58">
        <f>IF(OR($K$1="",对接源_01水果!$C58="",对接源_01水果!$C58&lt;&gt;$K$1,对接源_01水果!$B58=""),0,IF(OR(N(对接源_01水果!$B58)&lt;$K$2,N(对接源_01水果!$B58)&gt;$K$3),0,1))</f>
        <v>0</v>
      </c>
      <c r="L58">
        <f>IF(OR($L$1="",对接源_01水果!$C58="",对接源_01水果!$C58&lt;&gt;$L$1,对接源_01水果!$B58=""),0,IF(OR(N(对接源_01水果!$B58)&lt;$L$2,N(对接源_01水果!$B58)&gt;$L$3),0,1))</f>
        <v>0</v>
      </c>
      <c r="M58">
        <f>IF(OR($M$1="",对接源_01水果!$C58="",对接源_01水果!$C58&lt;&gt;$M$1,对接源_01水果!$B58=""),0,IF(OR(N(对接源_01水果!$B58)&lt;$M$2,N(对接源_01水果!$B58)&gt;$M$3),0,1))</f>
        <v>0</v>
      </c>
      <c r="N58">
        <f>IF(OR($N$1="",对接源_01水果!$C58="",对接源_01水果!$C58&lt;&gt;$N$1,对接源_01水果!$B58=""),0,IF(OR(N(对接源_01水果!$B58)&lt;$N$2,N(对接源_01水果!$B58)&gt;$N$3),0,1))</f>
        <v>0</v>
      </c>
      <c r="P58">
        <f>IF(AND($K58=1,AND(对接源_01水果!$X58="公司筐",N(对接源_01水果!$T58)&lt;&gt;0)),1,0)</f>
        <v>0</v>
      </c>
      <c r="Q58">
        <f>N(Q57)+$P58</f>
        <v>0</v>
      </c>
      <c r="R58">
        <f>IF(AND($K58=1,AND(对接源_01水果!$X58="公司筐",N(对接源_01水果!$U58)&lt;&gt;0)),1,0)</f>
        <v>0</v>
      </c>
      <c r="S58">
        <f>N(S57)+$R58</f>
        <v>0</v>
      </c>
      <c r="T58">
        <f>IF(AND($K58=1,AND(对接源_01水果!$X58="公司筐",N(对接源_01水果!$V58)&lt;&gt;0)),1,0)</f>
        <v>0</v>
      </c>
      <c r="U58">
        <f>N(U57)+$T58</f>
        <v>0</v>
      </c>
      <c r="V58">
        <f>IF(AND($L58=1,AND(对接源_01水果!$X58="自备筐",N(对接源_01水果!$V58)&lt;&gt;0)),1,0)</f>
        <v>0</v>
      </c>
      <c r="W58">
        <f>N(W57)+$V58</f>
        <v>0</v>
      </c>
      <c r="X58">
        <f>IF(AND($L58=1,AND(对接源_01水果!$X58="自备筐",N(对接源_01水果!$T58)&lt;&gt;0)),1,0)</f>
        <v>0</v>
      </c>
      <c r="Y58">
        <f>N(Y57)+$X58</f>
        <v>0</v>
      </c>
      <c r="Z58">
        <f>IF(AND($M58=1,对接源_01水果!$D58="原料入库"),1,0)</f>
        <v>0</v>
      </c>
      <c r="AA58">
        <f>N(AA57)+$Z58</f>
        <v>0</v>
      </c>
      <c r="AB58">
        <f>IF(AND($M58=1,LEFT(对接源_01水果!$D58,4)="原料出库"),1,0)</f>
        <v>0</v>
      </c>
      <c r="AC58">
        <f>N(AC57)+$AB58</f>
        <v>0</v>
      </c>
      <c r="AD58">
        <f>IF(AND($M58=1,LEFT(对接源_01水果!$D58,4)="成品出库"),1,0)</f>
        <v>0</v>
      </c>
      <c r="AE58">
        <f>N(AE57)+$AD58</f>
        <v>0</v>
      </c>
      <c r="AF58">
        <f>IF(AND($N58=1,AND(LEFT(对接源_01水果!$D58,4)="包装物料",N(对接源_01水果!$K58)&lt;&gt;0)),1,0)</f>
        <v>0</v>
      </c>
      <c r="AG58">
        <f>N(AG57)+$AF58</f>
        <v>0</v>
      </c>
      <c r="AH58">
        <f>IF(AND($N58=1,AND(对接源_01水果!$D58="周转筐－销售出库",N(对接源_01水果!$K58)&lt;&gt;0)),1,0)</f>
        <v>0</v>
      </c>
      <c r="AI58">
        <f>N(AI57)+$AH58</f>
        <v>0</v>
      </c>
      <c r="AJ58" s="7" t="n"/>
      <c r="AL58">
        <f>IF(OR($AL$1="",对接源_01水果!$Y58="",对接源_01水果!$Y58&lt;&gt;$AL$1,对接源_01水果!$B58="",N(对接源_01水果!$AJ58)&lt;=0),0,IF(OR(N(对接源_01水果!$B58)&lt;$AL$2,N(对接源_01水果!$B58)&gt;$AL$3),0,1))</f>
        <v>0</v>
      </c>
      <c r="AM58">
        <f>N(AM57)+$AL58</f>
        <v>0</v>
      </c>
      <c r="AN58">
        <f>IF(对接源_01水果!$AC58="","",对接源_01水果!$AC58)</f>
      </c>
      <c r="AO58">
        <f>IF(AN58="",0,IF(MATCH(AN58,$AN$4:$AN$1203,0)=ROW()-3,1,0))</f>
        <v>0</v>
      </c>
      <c r="AP58">
        <f>N(AP57)+$AO58</f>
        <v>0</v>
      </c>
      <c r="AQ58">
        <f>IFERROR(INDEX($AN$4:$AN$1203,MATCH(ROW()-3,$AP$4:$AP$1203,0)),"")</f>
      </c>
      <c r="AR58">
        <f>IF(OR($AF58=1,$AH58=1),1,0)</f>
        <v>0</v>
      </c>
      <c r="AS58">
        <f>N(AS57)+$AR58</f>
        <v>0</v>
      </c>
    </row>
    <row r="59" ht="14.25" customHeight="1" s="127">
      <c r="A59" t="str">
        <f>IF(对接源_01水果!$C59="","",对接源_01水果!$C59)</f>
        <v>王照雪</v>
      </c>
      <c r="B59">
        <f>IF(A59="",0,IF(MATCH(A59,$A$4:$A$2403,0)=ROW()-3,1,0))</f>
        <v>0</v>
      </c>
      <c r="C59">
        <f>N(C58)+B59</f>
        <v>4</v>
      </c>
      <c r="E59">
        <f>IFERROR(INDEX($A$4:$A$2403,MATCH(ROW()-3,$C$4:$C$2403,0)),"")</f>
      </c>
      <c r="K59">
        <f>IF(OR($K$1="",对接源_01水果!$C59="",对接源_01水果!$C59&lt;&gt;$K$1,对接源_01水果!$B59=""),0,IF(OR(N(对接源_01水果!$B59)&lt;$K$2,N(对接源_01水果!$B59)&gt;$K$3),0,1))</f>
        <v>0</v>
      </c>
      <c r="L59">
        <f>IF(OR($L$1="",对接源_01水果!$C59="",对接源_01水果!$C59&lt;&gt;$L$1,对接源_01水果!$B59=""),0,IF(OR(N(对接源_01水果!$B59)&lt;$L$2,N(对接源_01水果!$B59)&gt;$L$3),0,1))</f>
        <v>0</v>
      </c>
      <c r="M59">
        <f>IF(OR($M$1="",对接源_01水果!$C59="",对接源_01水果!$C59&lt;&gt;$M$1,对接源_01水果!$B59=""),0,IF(OR(N(对接源_01水果!$B59)&lt;$M$2,N(对接源_01水果!$B59)&gt;$M$3),0,1))</f>
        <v>0</v>
      </c>
      <c r="N59">
        <f>IF(OR($N$1="",对接源_01水果!$C59="",对接源_01水果!$C59&lt;&gt;$N$1,对接源_01水果!$B59=""),0,IF(OR(N(对接源_01水果!$B59)&lt;$N$2,N(对接源_01水果!$B59)&gt;$N$3),0,1))</f>
        <v>0</v>
      </c>
      <c r="P59">
        <f>IF(AND($K59=1,AND(对接源_01水果!$X59="公司筐",N(对接源_01水果!$T59)&lt;&gt;0)),1,0)</f>
        <v>0</v>
      </c>
      <c r="Q59">
        <f>N(Q58)+$P59</f>
        <v>0</v>
      </c>
      <c r="R59">
        <f>IF(AND($K59=1,AND(对接源_01水果!$X59="公司筐",N(对接源_01水果!$U59)&lt;&gt;0)),1,0)</f>
        <v>0</v>
      </c>
      <c r="S59">
        <f>N(S58)+$R59</f>
        <v>0</v>
      </c>
      <c r="T59">
        <f>IF(AND($K59=1,AND(对接源_01水果!$X59="公司筐",N(对接源_01水果!$V59)&lt;&gt;0)),1,0)</f>
        <v>0</v>
      </c>
      <c r="U59">
        <f>N(U58)+$T59</f>
        <v>0</v>
      </c>
      <c r="V59">
        <f>IF(AND($L59=1,AND(对接源_01水果!$X59="自备筐",N(对接源_01水果!$V59)&lt;&gt;0)),1,0)</f>
        <v>0</v>
      </c>
      <c r="W59">
        <f>N(W58)+$V59</f>
        <v>0</v>
      </c>
      <c r="X59">
        <f>IF(AND($L59=1,AND(对接源_01水果!$X59="自备筐",N(对接源_01水果!$T59)&lt;&gt;0)),1,0)</f>
        <v>0</v>
      </c>
      <c r="Y59">
        <f>N(Y58)+$X59</f>
        <v>0</v>
      </c>
      <c r="Z59">
        <f>IF(AND($M59=1,对接源_01水果!$D59="原料入库"),1,0)</f>
        <v>0</v>
      </c>
      <c r="AA59">
        <f>N(AA58)+$Z59</f>
        <v>0</v>
      </c>
      <c r="AB59">
        <f>IF(AND($M59=1,LEFT(对接源_01水果!$D59,4)="原料出库"),1,0)</f>
        <v>0</v>
      </c>
      <c r="AC59">
        <f>N(AC58)+$AB59</f>
        <v>0</v>
      </c>
      <c r="AD59">
        <f>IF(AND($M59=1,LEFT(对接源_01水果!$D59,4)="成品出库"),1,0)</f>
        <v>0</v>
      </c>
      <c r="AE59">
        <f>N(AE58)+$AD59</f>
        <v>0</v>
      </c>
      <c r="AF59">
        <f>IF(AND($N59=1,AND(LEFT(对接源_01水果!$D59,4)="包装物料",N(对接源_01水果!$K59)&lt;&gt;0)),1,0)</f>
        <v>0</v>
      </c>
      <c r="AG59">
        <f>N(AG58)+$AF59</f>
        <v>0</v>
      </c>
      <c r="AH59">
        <f>IF(AND($N59=1,AND(对接源_01水果!$D59="周转筐－销售出库",N(对接源_01水果!$K59)&lt;&gt;0)),1,0)</f>
        <v>0</v>
      </c>
      <c r="AI59">
        <f>N(AI58)+$AH59</f>
        <v>0</v>
      </c>
      <c r="AJ59" s="7" t="n"/>
      <c r="AL59">
        <f>IF(OR($AL$1="",对接源_01水果!$Y59="",对接源_01水果!$Y59&lt;&gt;$AL$1,对接源_01水果!$B59="",N(对接源_01水果!$AJ59)&lt;=0),0,IF(OR(N(对接源_01水果!$B59)&lt;$AL$2,N(对接源_01水果!$B59)&gt;$AL$3),0,1))</f>
        <v>0</v>
      </c>
      <c r="AM59">
        <f>N(AM58)+$AL59</f>
        <v>0</v>
      </c>
      <c r="AN59">
        <f>IF(对接源_01水果!$AC59="","",对接源_01水果!$AC59)</f>
      </c>
      <c r="AO59">
        <f>IF(AN59="",0,IF(MATCH(AN59,$AN$4:$AN$1203,0)=ROW()-3,1,0))</f>
        <v>0</v>
      </c>
      <c r="AP59">
        <f>N(AP58)+$AO59</f>
        <v>0</v>
      </c>
      <c r="AQ59">
        <f>IFERROR(INDEX($AN$4:$AN$1203,MATCH(ROW()-3,$AP$4:$AP$1203,0)),"")</f>
      </c>
      <c r="AR59">
        <f>IF(OR($AF59=1,$AH59=1),1,0)</f>
        <v>0</v>
      </c>
      <c r="AS59">
        <f>N(AS58)+$AR59</f>
        <v>0</v>
      </c>
    </row>
    <row r="60" ht="14.25" customHeight="1" s="127">
      <c r="A60" t="str">
        <f>IF(对接源_01水果!$C60="","",对接源_01水果!$C60)</f>
        <v>王照雪</v>
      </c>
      <c r="B60">
        <f>IF(A60="",0,IF(MATCH(A60,$A$4:$A$2403,0)=ROW()-3,1,0))</f>
        <v>0</v>
      </c>
      <c r="C60">
        <f>N(C59)+B60</f>
        <v>4</v>
      </c>
      <c r="E60">
        <f>IFERROR(INDEX($A$4:$A$2403,MATCH(ROW()-3,$C$4:$C$2403,0)),"")</f>
      </c>
      <c r="K60">
        <f>IF(OR($K$1="",对接源_01水果!$C60="",对接源_01水果!$C60&lt;&gt;$K$1,对接源_01水果!$B60=""),0,IF(OR(N(对接源_01水果!$B60)&lt;$K$2,N(对接源_01水果!$B60)&gt;$K$3),0,1))</f>
        <v>0</v>
      </c>
      <c r="L60">
        <f>IF(OR($L$1="",对接源_01水果!$C60="",对接源_01水果!$C60&lt;&gt;$L$1,对接源_01水果!$B60=""),0,IF(OR(N(对接源_01水果!$B60)&lt;$L$2,N(对接源_01水果!$B60)&gt;$L$3),0,1))</f>
        <v>0</v>
      </c>
      <c r="M60">
        <f>IF(OR($M$1="",对接源_01水果!$C60="",对接源_01水果!$C60&lt;&gt;$M$1,对接源_01水果!$B60=""),0,IF(OR(N(对接源_01水果!$B60)&lt;$M$2,N(对接源_01水果!$B60)&gt;$M$3),0,1))</f>
        <v>0</v>
      </c>
      <c r="N60">
        <f>IF(OR($N$1="",对接源_01水果!$C60="",对接源_01水果!$C60&lt;&gt;$N$1,对接源_01水果!$B60=""),0,IF(OR(N(对接源_01水果!$B60)&lt;$N$2,N(对接源_01水果!$B60)&gt;$N$3),0,1))</f>
        <v>0</v>
      </c>
      <c r="P60">
        <f>IF(AND($K60=1,AND(对接源_01水果!$X60="公司筐",N(对接源_01水果!$T60)&lt;&gt;0)),1,0)</f>
        <v>0</v>
      </c>
      <c r="Q60">
        <f>N(Q59)+$P60</f>
        <v>0</v>
      </c>
      <c r="R60">
        <f>IF(AND($K60=1,AND(对接源_01水果!$X60="公司筐",N(对接源_01水果!$U60)&lt;&gt;0)),1,0)</f>
        <v>0</v>
      </c>
      <c r="S60">
        <f>N(S59)+$R60</f>
        <v>0</v>
      </c>
      <c r="T60">
        <f>IF(AND($K60=1,AND(对接源_01水果!$X60="公司筐",N(对接源_01水果!$V60)&lt;&gt;0)),1,0)</f>
        <v>0</v>
      </c>
      <c r="U60">
        <f>N(U59)+$T60</f>
        <v>0</v>
      </c>
      <c r="V60">
        <f>IF(AND($L60=1,AND(对接源_01水果!$X60="自备筐",N(对接源_01水果!$V60)&lt;&gt;0)),1,0)</f>
        <v>0</v>
      </c>
      <c r="W60">
        <f>N(W59)+$V60</f>
        <v>0</v>
      </c>
      <c r="X60">
        <f>IF(AND($L60=1,AND(对接源_01水果!$X60="自备筐",N(对接源_01水果!$T60)&lt;&gt;0)),1,0)</f>
        <v>0</v>
      </c>
      <c r="Y60">
        <f>N(Y59)+$X60</f>
        <v>0</v>
      </c>
      <c r="Z60">
        <f>IF(AND($M60=1,对接源_01水果!$D60="原料入库"),1,0)</f>
        <v>0</v>
      </c>
      <c r="AA60">
        <f>N(AA59)+$Z60</f>
        <v>0</v>
      </c>
      <c r="AB60">
        <f>IF(AND($M60=1,LEFT(对接源_01水果!$D60,4)="原料出库"),1,0)</f>
        <v>0</v>
      </c>
      <c r="AC60">
        <f>N(AC59)+$AB60</f>
        <v>0</v>
      </c>
      <c r="AD60">
        <f>IF(AND($M60=1,LEFT(对接源_01水果!$D60,4)="成品出库"),1,0)</f>
        <v>0</v>
      </c>
      <c r="AE60">
        <f>N(AE59)+$AD60</f>
        <v>0</v>
      </c>
      <c r="AF60">
        <f>IF(AND($N60=1,AND(LEFT(对接源_01水果!$D60,4)="包装物料",N(对接源_01水果!$K60)&lt;&gt;0)),1,0)</f>
        <v>0</v>
      </c>
      <c r="AG60">
        <f>N(AG59)+$AF60</f>
        <v>0</v>
      </c>
      <c r="AH60">
        <f>IF(AND($N60=1,AND(对接源_01水果!$D60="周转筐－销售出库",N(对接源_01水果!$K60)&lt;&gt;0)),1,0)</f>
        <v>0</v>
      </c>
      <c r="AI60">
        <f>N(AI59)+$AH60</f>
        <v>0</v>
      </c>
      <c r="AJ60" s="7" t="n"/>
      <c r="AL60">
        <f>IF(OR($AL$1="",对接源_01水果!$Y60="",对接源_01水果!$Y60&lt;&gt;$AL$1,对接源_01水果!$B60="",N(对接源_01水果!$AJ60)&lt;=0),0,IF(OR(N(对接源_01水果!$B60)&lt;$AL$2,N(对接源_01水果!$B60)&gt;$AL$3),0,1))</f>
        <v>0</v>
      </c>
      <c r="AM60">
        <f>N(AM59)+$AL60</f>
        <v>0</v>
      </c>
      <c r="AN60">
        <f>IF(对接源_01水果!$AC60="","",对接源_01水果!$AC60)</f>
      </c>
      <c r="AO60">
        <f>IF(AN60="",0,IF(MATCH(AN60,$AN$4:$AN$1203,0)=ROW()-3,1,0))</f>
        <v>0</v>
      </c>
      <c r="AP60">
        <f>N(AP59)+$AO60</f>
        <v>0</v>
      </c>
      <c r="AQ60">
        <f>IFERROR(INDEX($AN$4:$AN$1203,MATCH(ROW()-3,$AP$4:$AP$1203,0)),"")</f>
      </c>
      <c r="AR60">
        <f>IF(OR($AF60=1,$AH60=1),1,0)</f>
        <v>0</v>
      </c>
      <c r="AS60">
        <f>N(AS59)+$AR60</f>
        <v>0</v>
      </c>
    </row>
    <row r="61" ht="14.25" customHeight="1" s="127">
      <c r="A61" t="str">
        <f>IF(对接源_01水果!$C61="","",对接源_01水果!$C61)</f>
        <v>聂新平</v>
      </c>
      <c r="B61">
        <f>IF(A61="",0,IF(MATCH(A61,$A$4:$A$2403,0)=ROW()-3,1,0))</f>
        <v>0</v>
      </c>
      <c r="C61">
        <f>N(C60)+B61</f>
        <v>4</v>
      </c>
      <c r="E61">
        <f>IFERROR(INDEX($A$4:$A$2403,MATCH(ROW()-3,$C$4:$C$2403,0)),"")</f>
      </c>
      <c r="K61">
        <f>IF(OR($K$1="",对接源_01水果!$C61="",对接源_01水果!$C61&lt;&gt;$K$1,对接源_01水果!$B61=""),0,IF(OR(N(对接源_01水果!$B61)&lt;$K$2,N(对接源_01水果!$B61)&gt;$K$3),0,1))</f>
        <v>0</v>
      </c>
      <c r="L61">
        <f>IF(OR($L$1="",对接源_01水果!$C61="",对接源_01水果!$C61&lt;&gt;$L$1,对接源_01水果!$B61=""),0,IF(OR(N(对接源_01水果!$B61)&lt;$L$2,N(对接源_01水果!$B61)&gt;$L$3),0,1))</f>
        <v>0</v>
      </c>
      <c r="M61">
        <f>IF(OR($M$1="",对接源_01水果!$C61="",对接源_01水果!$C61&lt;&gt;$M$1,对接源_01水果!$B61=""),0,IF(OR(N(对接源_01水果!$B61)&lt;$M$2,N(对接源_01水果!$B61)&gt;$M$3),0,1))</f>
        <v>0</v>
      </c>
      <c r="N61">
        <f>IF(OR($N$1="",对接源_01水果!$C61="",对接源_01水果!$C61&lt;&gt;$N$1,对接源_01水果!$B61=""),0,IF(OR(N(对接源_01水果!$B61)&lt;$N$2,N(对接源_01水果!$B61)&gt;$N$3),0,1))</f>
        <v>0</v>
      </c>
      <c r="P61">
        <f>IF(AND($K61=1,AND(对接源_01水果!$X61="公司筐",N(对接源_01水果!$T61)&lt;&gt;0)),1,0)</f>
        <v>0</v>
      </c>
      <c r="Q61">
        <f>N(Q60)+$P61</f>
        <v>0</v>
      </c>
      <c r="R61">
        <f>IF(AND($K61=1,AND(对接源_01水果!$X61="公司筐",N(对接源_01水果!$U61)&lt;&gt;0)),1,0)</f>
        <v>0</v>
      </c>
      <c r="S61">
        <f>N(S60)+$R61</f>
        <v>0</v>
      </c>
      <c r="T61">
        <f>IF(AND($K61=1,AND(对接源_01水果!$X61="公司筐",N(对接源_01水果!$V61)&lt;&gt;0)),1,0)</f>
        <v>0</v>
      </c>
      <c r="U61">
        <f>N(U60)+$T61</f>
        <v>0</v>
      </c>
      <c r="V61">
        <f>IF(AND($L61=1,AND(对接源_01水果!$X61="自备筐",N(对接源_01水果!$V61)&lt;&gt;0)),1,0)</f>
        <v>0</v>
      </c>
      <c r="W61">
        <f>N(W60)+$V61</f>
        <v>0</v>
      </c>
      <c r="X61">
        <f>IF(AND($L61=1,AND(对接源_01水果!$X61="自备筐",N(对接源_01水果!$T61)&lt;&gt;0)),1,0)</f>
        <v>0</v>
      </c>
      <c r="Y61">
        <f>N(Y60)+$X61</f>
        <v>0</v>
      </c>
      <c r="Z61">
        <f>IF(AND($M61=1,对接源_01水果!$D61="原料入库"),1,0)</f>
        <v>0</v>
      </c>
      <c r="AA61">
        <f>N(AA60)+$Z61</f>
        <v>0</v>
      </c>
      <c r="AB61">
        <f>IF(AND($M61=1,LEFT(对接源_01水果!$D61,4)="原料出库"),1,0)</f>
        <v>0</v>
      </c>
      <c r="AC61">
        <f>N(AC60)+$AB61</f>
        <v>0</v>
      </c>
      <c r="AD61">
        <f>IF(AND($M61=1,LEFT(对接源_01水果!$D61,4)="成品出库"),1,0)</f>
        <v>0</v>
      </c>
      <c r="AE61">
        <f>N(AE60)+$AD61</f>
        <v>0</v>
      </c>
      <c r="AF61">
        <f>IF(AND($N61=1,AND(LEFT(对接源_01水果!$D61,4)="包装物料",N(对接源_01水果!$K61)&lt;&gt;0)),1,0)</f>
        <v>0</v>
      </c>
      <c r="AG61">
        <f>N(AG60)+$AF61</f>
        <v>0</v>
      </c>
      <c r="AH61">
        <f>IF(AND($N61=1,AND(对接源_01水果!$D61="周转筐－销售出库",N(对接源_01水果!$K61)&lt;&gt;0)),1,0)</f>
        <v>0</v>
      </c>
      <c r="AI61">
        <f>N(AI60)+$AH61</f>
        <v>0</v>
      </c>
      <c r="AJ61" s="7" t="n"/>
      <c r="AL61">
        <f>IF(OR($AL$1="",对接源_01水果!$Y61="",对接源_01水果!$Y61&lt;&gt;$AL$1,对接源_01水果!$B61="",N(对接源_01水果!$AJ61)&lt;=0),0,IF(OR(N(对接源_01水果!$B61)&lt;$AL$2,N(对接源_01水果!$B61)&gt;$AL$3),0,1))</f>
        <v>0</v>
      </c>
      <c r="AM61">
        <f>N(AM60)+$AL61</f>
        <v>0</v>
      </c>
      <c r="AN61">
        <f>IF(对接源_01水果!$AC61="","",对接源_01水果!$AC61)</f>
      </c>
      <c r="AO61">
        <f>IF(AN61="",0,IF(MATCH(AN61,$AN$4:$AN$1203,0)=ROW()-3,1,0))</f>
        <v>0</v>
      </c>
      <c r="AP61">
        <f>N(AP60)+$AO61</f>
        <v>0</v>
      </c>
      <c r="AQ61">
        <f>IFERROR(INDEX($AN$4:$AN$1203,MATCH(ROW()-3,$AP$4:$AP$1203,0)),"")</f>
      </c>
      <c r="AR61">
        <f>IF(OR($AF61=1,$AH61=1),1,0)</f>
        <v>0</v>
      </c>
      <c r="AS61">
        <f>N(AS60)+$AR61</f>
        <v>0</v>
      </c>
    </row>
    <row r="62" ht="14.25" customHeight="1" s="127">
      <c r="A62" t="str">
        <f>IF(对接源_01水果!$C62="","",对接源_01水果!$C62)</f>
        <v>聂新平</v>
      </c>
      <c r="B62">
        <f>IF(A62="",0,IF(MATCH(A62,$A$4:$A$2403,0)=ROW()-3,1,0))</f>
        <v>0</v>
      </c>
      <c r="C62">
        <f>N(C61)+B62</f>
        <v>4</v>
      </c>
      <c r="E62">
        <f>IFERROR(INDEX($A$4:$A$2403,MATCH(ROW()-3,$C$4:$C$2403,0)),"")</f>
      </c>
      <c r="K62">
        <f>IF(OR($K$1="",对接源_01水果!$C62="",对接源_01水果!$C62&lt;&gt;$K$1,对接源_01水果!$B62=""),0,IF(OR(N(对接源_01水果!$B62)&lt;$K$2,N(对接源_01水果!$B62)&gt;$K$3),0,1))</f>
        <v>0</v>
      </c>
      <c r="L62">
        <f>IF(OR($L$1="",对接源_01水果!$C62="",对接源_01水果!$C62&lt;&gt;$L$1,对接源_01水果!$B62=""),0,IF(OR(N(对接源_01水果!$B62)&lt;$L$2,N(对接源_01水果!$B62)&gt;$L$3),0,1))</f>
        <v>0</v>
      </c>
      <c r="M62">
        <f>IF(OR($M$1="",对接源_01水果!$C62="",对接源_01水果!$C62&lt;&gt;$M$1,对接源_01水果!$B62=""),0,IF(OR(N(对接源_01水果!$B62)&lt;$M$2,N(对接源_01水果!$B62)&gt;$M$3),0,1))</f>
        <v>0</v>
      </c>
      <c r="N62">
        <f>IF(OR($N$1="",对接源_01水果!$C62="",对接源_01水果!$C62&lt;&gt;$N$1,对接源_01水果!$B62=""),0,IF(OR(N(对接源_01水果!$B62)&lt;$N$2,N(对接源_01水果!$B62)&gt;$N$3),0,1))</f>
        <v>0</v>
      </c>
      <c r="P62">
        <f>IF(AND($K62=1,AND(对接源_01水果!$X62="公司筐",N(对接源_01水果!$T62)&lt;&gt;0)),1,0)</f>
        <v>0</v>
      </c>
      <c r="Q62">
        <f>N(Q61)+$P62</f>
        <v>0</v>
      </c>
      <c r="R62">
        <f>IF(AND($K62=1,AND(对接源_01水果!$X62="公司筐",N(对接源_01水果!$U62)&lt;&gt;0)),1,0)</f>
        <v>0</v>
      </c>
      <c r="S62">
        <f>N(S61)+$R62</f>
        <v>0</v>
      </c>
      <c r="T62">
        <f>IF(AND($K62=1,AND(对接源_01水果!$X62="公司筐",N(对接源_01水果!$V62)&lt;&gt;0)),1,0)</f>
        <v>0</v>
      </c>
      <c r="U62">
        <f>N(U61)+$T62</f>
        <v>0</v>
      </c>
      <c r="V62">
        <f>IF(AND($L62=1,AND(对接源_01水果!$X62="自备筐",N(对接源_01水果!$V62)&lt;&gt;0)),1,0)</f>
        <v>0</v>
      </c>
      <c r="W62">
        <f>N(W61)+$V62</f>
        <v>0</v>
      </c>
      <c r="X62">
        <f>IF(AND($L62=1,AND(对接源_01水果!$X62="自备筐",N(对接源_01水果!$T62)&lt;&gt;0)),1,0)</f>
        <v>0</v>
      </c>
      <c r="Y62">
        <f>N(Y61)+$X62</f>
        <v>0</v>
      </c>
      <c r="Z62">
        <f>IF(AND($M62=1,对接源_01水果!$D62="原料入库"),1,0)</f>
        <v>0</v>
      </c>
      <c r="AA62">
        <f>N(AA61)+$Z62</f>
        <v>0</v>
      </c>
      <c r="AB62">
        <f>IF(AND($M62=1,LEFT(对接源_01水果!$D62,4)="原料出库"),1,0)</f>
        <v>0</v>
      </c>
      <c r="AC62">
        <f>N(AC61)+$AB62</f>
        <v>0</v>
      </c>
      <c r="AD62">
        <f>IF(AND($M62=1,LEFT(对接源_01水果!$D62,4)="成品出库"),1,0)</f>
        <v>0</v>
      </c>
      <c r="AE62">
        <f>N(AE61)+$AD62</f>
        <v>0</v>
      </c>
      <c r="AF62">
        <f>IF(AND($N62=1,AND(LEFT(对接源_01水果!$D62,4)="包装物料",N(对接源_01水果!$K62)&lt;&gt;0)),1,0)</f>
        <v>0</v>
      </c>
      <c r="AG62">
        <f>N(AG61)+$AF62</f>
        <v>0</v>
      </c>
      <c r="AH62">
        <f>IF(AND($N62=1,AND(对接源_01水果!$D62="周转筐－销售出库",N(对接源_01水果!$K62)&lt;&gt;0)),1,0)</f>
        <v>0</v>
      </c>
      <c r="AI62">
        <f>N(AI61)+$AH62</f>
        <v>0</v>
      </c>
      <c r="AJ62" s="7" t="n"/>
      <c r="AL62">
        <f>IF(OR($AL$1="",对接源_01水果!$Y62="",对接源_01水果!$Y62&lt;&gt;$AL$1,对接源_01水果!$B62="",N(对接源_01水果!$AJ62)&lt;=0),0,IF(OR(N(对接源_01水果!$B62)&lt;$AL$2,N(对接源_01水果!$B62)&gt;$AL$3),0,1))</f>
        <v>0</v>
      </c>
      <c r="AM62">
        <f>N(AM61)+$AL62</f>
        <v>0</v>
      </c>
      <c r="AN62">
        <f>IF(对接源_01水果!$AC62="","",对接源_01水果!$AC62)</f>
      </c>
      <c r="AO62">
        <f>IF(AN62="",0,IF(MATCH(AN62,$AN$4:$AN$1203,0)=ROW()-3,1,0))</f>
        <v>0</v>
      </c>
      <c r="AP62">
        <f>N(AP61)+$AO62</f>
        <v>0</v>
      </c>
      <c r="AQ62">
        <f>IFERROR(INDEX($AN$4:$AN$1203,MATCH(ROW()-3,$AP$4:$AP$1203,0)),"")</f>
      </c>
      <c r="AR62">
        <f>IF(OR($AF62=1,$AH62=1),1,0)</f>
        <v>0</v>
      </c>
      <c r="AS62">
        <f>N(AS61)+$AR62</f>
        <v>0</v>
      </c>
    </row>
    <row r="63" ht="14.25" customHeight="1" s="127">
      <c r="A63" t="str">
        <f>IF(对接源_01水果!$C63="","",对接源_01水果!$C63)</f>
        <v>聂新平</v>
      </c>
      <c r="B63">
        <f>IF(A63="",0,IF(MATCH(A63,$A$4:$A$2403,0)=ROW()-3,1,0))</f>
        <v>0</v>
      </c>
      <c r="C63">
        <f>N(C62)+B63</f>
        <v>4</v>
      </c>
      <c r="E63">
        <f>IFERROR(INDEX($A$4:$A$2403,MATCH(ROW()-3,$C$4:$C$2403,0)),"")</f>
      </c>
      <c r="K63">
        <f>IF(OR($K$1="",对接源_01水果!$C63="",对接源_01水果!$C63&lt;&gt;$K$1,对接源_01水果!$B63=""),0,IF(OR(N(对接源_01水果!$B63)&lt;$K$2,N(对接源_01水果!$B63)&gt;$K$3),0,1))</f>
        <v>0</v>
      </c>
      <c r="L63">
        <f>IF(OR($L$1="",对接源_01水果!$C63="",对接源_01水果!$C63&lt;&gt;$L$1,对接源_01水果!$B63=""),0,IF(OR(N(对接源_01水果!$B63)&lt;$L$2,N(对接源_01水果!$B63)&gt;$L$3),0,1))</f>
        <v>0</v>
      </c>
      <c r="M63">
        <f>IF(OR($M$1="",对接源_01水果!$C63="",对接源_01水果!$C63&lt;&gt;$M$1,对接源_01水果!$B63=""),0,IF(OR(N(对接源_01水果!$B63)&lt;$M$2,N(对接源_01水果!$B63)&gt;$M$3),0,1))</f>
        <v>0</v>
      </c>
      <c r="N63">
        <f>IF(OR($N$1="",对接源_01水果!$C63="",对接源_01水果!$C63&lt;&gt;$N$1,对接源_01水果!$B63=""),0,IF(OR(N(对接源_01水果!$B63)&lt;$N$2,N(对接源_01水果!$B63)&gt;$N$3),0,1))</f>
        <v>0</v>
      </c>
      <c r="P63">
        <f>IF(AND($K63=1,AND(对接源_01水果!$X63="公司筐",N(对接源_01水果!$T63)&lt;&gt;0)),1,0)</f>
        <v>0</v>
      </c>
      <c r="Q63">
        <f>N(Q62)+$P63</f>
        <v>0</v>
      </c>
      <c r="R63">
        <f>IF(AND($K63=1,AND(对接源_01水果!$X63="公司筐",N(对接源_01水果!$U63)&lt;&gt;0)),1,0)</f>
        <v>0</v>
      </c>
      <c r="S63">
        <f>N(S62)+$R63</f>
        <v>0</v>
      </c>
      <c r="T63">
        <f>IF(AND($K63=1,AND(对接源_01水果!$X63="公司筐",N(对接源_01水果!$V63)&lt;&gt;0)),1,0)</f>
        <v>0</v>
      </c>
      <c r="U63">
        <f>N(U62)+$T63</f>
        <v>0</v>
      </c>
      <c r="V63">
        <f>IF(AND($L63=1,AND(对接源_01水果!$X63="自备筐",N(对接源_01水果!$V63)&lt;&gt;0)),1,0)</f>
        <v>0</v>
      </c>
      <c r="W63">
        <f>N(W62)+$V63</f>
        <v>0</v>
      </c>
      <c r="X63">
        <f>IF(AND($L63=1,AND(对接源_01水果!$X63="自备筐",N(对接源_01水果!$T63)&lt;&gt;0)),1,0)</f>
        <v>0</v>
      </c>
      <c r="Y63">
        <f>N(Y62)+$X63</f>
        <v>0</v>
      </c>
      <c r="Z63">
        <f>IF(AND($M63=1,对接源_01水果!$D63="原料入库"),1,0)</f>
        <v>0</v>
      </c>
      <c r="AA63">
        <f>N(AA62)+$Z63</f>
        <v>0</v>
      </c>
      <c r="AB63">
        <f>IF(AND($M63=1,LEFT(对接源_01水果!$D63,4)="原料出库"),1,0)</f>
        <v>0</v>
      </c>
      <c r="AC63">
        <f>N(AC62)+$AB63</f>
        <v>0</v>
      </c>
      <c r="AD63">
        <f>IF(AND($M63=1,LEFT(对接源_01水果!$D63,4)="成品出库"),1,0)</f>
        <v>0</v>
      </c>
      <c r="AE63">
        <f>N(AE62)+$AD63</f>
        <v>0</v>
      </c>
      <c r="AF63">
        <f>IF(AND($N63=1,AND(LEFT(对接源_01水果!$D63,4)="包装物料",N(对接源_01水果!$K63)&lt;&gt;0)),1,0)</f>
        <v>0</v>
      </c>
      <c r="AG63">
        <f>N(AG62)+$AF63</f>
        <v>0</v>
      </c>
      <c r="AH63">
        <f>IF(AND($N63=1,AND(对接源_01水果!$D63="周转筐－销售出库",N(对接源_01水果!$K63)&lt;&gt;0)),1,0)</f>
        <v>0</v>
      </c>
      <c r="AI63">
        <f>N(AI62)+$AH63</f>
        <v>0</v>
      </c>
      <c r="AJ63" s="7" t="n"/>
      <c r="AL63">
        <f>IF(OR($AL$1="",对接源_01水果!$Y63="",对接源_01水果!$Y63&lt;&gt;$AL$1,对接源_01水果!$B63="",N(对接源_01水果!$AJ63)&lt;=0),0,IF(OR(N(对接源_01水果!$B63)&lt;$AL$2,N(对接源_01水果!$B63)&gt;$AL$3),0,1))</f>
        <v>0</v>
      </c>
      <c r="AM63">
        <f>N(AM62)+$AL63</f>
        <v>0</v>
      </c>
      <c r="AN63">
        <f>IF(对接源_01水果!$AC63="","",对接源_01水果!$AC63)</f>
      </c>
      <c r="AO63">
        <f>IF(AN63="",0,IF(MATCH(AN63,$AN$4:$AN$1203,0)=ROW()-3,1,0))</f>
        <v>0</v>
      </c>
      <c r="AP63">
        <f>N(AP62)+$AO63</f>
        <v>0</v>
      </c>
      <c r="AQ63">
        <f>IFERROR(INDEX($AN$4:$AN$1203,MATCH(ROW()-3,$AP$4:$AP$1203,0)),"")</f>
      </c>
      <c r="AR63">
        <f>IF(OR($AF63=1,$AH63=1),1,0)</f>
        <v>0</v>
      </c>
      <c r="AS63">
        <f>N(AS62)+$AR63</f>
        <v>0</v>
      </c>
    </row>
    <row r="64" ht="14.25" customHeight="1" s="127">
      <c r="A64" t="str">
        <f>IF(对接源_01水果!$C64="","",对接源_01水果!$C64)</f>
        <v>王照雪</v>
      </c>
      <c r="B64">
        <f>IF(A64="",0,IF(MATCH(A64,$A$4:$A$2403,0)=ROW()-3,1,0))</f>
        <v>0</v>
      </c>
      <c r="C64">
        <f>N(C63)+B64</f>
        <v>4</v>
      </c>
      <c r="E64">
        <f>IFERROR(INDEX($A$4:$A$2403,MATCH(ROW()-3,$C$4:$C$2403,0)),"")</f>
      </c>
      <c r="K64">
        <f>IF(OR($K$1="",对接源_01水果!$C64="",对接源_01水果!$C64&lt;&gt;$K$1,对接源_01水果!$B64=""),0,IF(OR(N(对接源_01水果!$B64)&lt;$K$2,N(对接源_01水果!$B64)&gt;$K$3),0,1))</f>
        <v>0</v>
      </c>
      <c r="L64">
        <f>IF(OR($L$1="",对接源_01水果!$C64="",对接源_01水果!$C64&lt;&gt;$L$1,对接源_01水果!$B64=""),0,IF(OR(N(对接源_01水果!$B64)&lt;$L$2,N(对接源_01水果!$B64)&gt;$L$3),0,1))</f>
        <v>0</v>
      </c>
      <c r="M64">
        <f>IF(OR($M$1="",对接源_01水果!$C64="",对接源_01水果!$C64&lt;&gt;$M$1,对接源_01水果!$B64=""),0,IF(OR(N(对接源_01水果!$B64)&lt;$M$2,N(对接源_01水果!$B64)&gt;$M$3),0,1))</f>
        <v>0</v>
      </c>
      <c r="N64">
        <f>IF(OR($N$1="",对接源_01水果!$C64="",对接源_01水果!$C64&lt;&gt;$N$1,对接源_01水果!$B64=""),0,IF(OR(N(对接源_01水果!$B64)&lt;$N$2,N(对接源_01水果!$B64)&gt;$N$3),0,1))</f>
        <v>0</v>
      </c>
      <c r="P64">
        <f>IF(AND($K64=1,AND(对接源_01水果!$X64="公司筐",N(对接源_01水果!$T64)&lt;&gt;0)),1,0)</f>
        <v>0</v>
      </c>
      <c r="Q64">
        <f>N(Q63)+$P64</f>
        <v>0</v>
      </c>
      <c r="R64">
        <f>IF(AND($K64=1,AND(对接源_01水果!$X64="公司筐",N(对接源_01水果!$U64)&lt;&gt;0)),1,0)</f>
        <v>0</v>
      </c>
      <c r="S64">
        <f>N(S63)+$R64</f>
        <v>0</v>
      </c>
      <c r="T64">
        <f>IF(AND($K64=1,AND(对接源_01水果!$X64="公司筐",N(对接源_01水果!$V64)&lt;&gt;0)),1,0)</f>
        <v>0</v>
      </c>
      <c r="U64">
        <f>N(U63)+$T64</f>
        <v>0</v>
      </c>
      <c r="V64">
        <f>IF(AND($L64=1,AND(对接源_01水果!$X64="自备筐",N(对接源_01水果!$V64)&lt;&gt;0)),1,0)</f>
        <v>0</v>
      </c>
      <c r="W64">
        <f>N(W63)+$V64</f>
        <v>0</v>
      </c>
      <c r="X64">
        <f>IF(AND($L64=1,AND(对接源_01水果!$X64="自备筐",N(对接源_01水果!$T64)&lt;&gt;0)),1,0)</f>
        <v>0</v>
      </c>
      <c r="Y64">
        <f>N(Y63)+$X64</f>
        <v>0</v>
      </c>
      <c r="Z64">
        <f>IF(AND($M64=1,对接源_01水果!$D64="原料入库"),1,0)</f>
        <v>0</v>
      </c>
      <c r="AA64">
        <f>N(AA63)+$Z64</f>
        <v>0</v>
      </c>
      <c r="AB64">
        <f>IF(AND($M64=1,LEFT(对接源_01水果!$D64,4)="原料出库"),1,0)</f>
        <v>0</v>
      </c>
      <c r="AC64">
        <f>N(AC63)+$AB64</f>
        <v>0</v>
      </c>
      <c r="AD64">
        <f>IF(AND($M64=1,LEFT(对接源_01水果!$D64,4)="成品出库"),1,0)</f>
        <v>0</v>
      </c>
      <c r="AE64">
        <f>N(AE63)+$AD64</f>
        <v>0</v>
      </c>
      <c r="AF64">
        <f>IF(AND($N64=1,AND(LEFT(对接源_01水果!$D64,4)="包装物料",N(对接源_01水果!$K64)&lt;&gt;0)),1,0)</f>
        <v>0</v>
      </c>
      <c r="AG64">
        <f>N(AG63)+$AF64</f>
        <v>0</v>
      </c>
      <c r="AH64">
        <f>IF(AND($N64=1,AND(对接源_01水果!$D64="周转筐－销售出库",N(对接源_01水果!$K64)&lt;&gt;0)),1,0)</f>
        <v>0</v>
      </c>
      <c r="AI64">
        <f>N(AI63)+$AH64</f>
        <v>0</v>
      </c>
      <c r="AJ64" s="7" t="n"/>
      <c r="AL64">
        <f>IF(OR($AL$1="",对接源_01水果!$Y64="",对接源_01水果!$Y64&lt;&gt;$AL$1,对接源_01水果!$B64="",N(对接源_01水果!$AJ64)&lt;=0),0,IF(OR(N(对接源_01水果!$B64)&lt;$AL$2,N(对接源_01水果!$B64)&gt;$AL$3),0,1))</f>
        <v>0</v>
      </c>
      <c r="AM64">
        <f>N(AM63)+$AL64</f>
        <v>0</v>
      </c>
      <c r="AN64">
        <f>IF(对接源_01水果!$AC64="","",对接源_01水果!$AC64)</f>
      </c>
      <c r="AO64">
        <f>IF(AN64="",0,IF(MATCH(AN64,$AN$4:$AN$1203,0)=ROW()-3,1,0))</f>
        <v>0</v>
      </c>
      <c r="AP64">
        <f>N(AP63)+$AO64</f>
        <v>0</v>
      </c>
      <c r="AQ64">
        <f>IFERROR(INDEX($AN$4:$AN$1203,MATCH(ROW()-3,$AP$4:$AP$1203,0)),"")</f>
      </c>
      <c r="AR64">
        <f>IF(OR($AF64=1,$AH64=1),1,0)</f>
        <v>0</v>
      </c>
      <c r="AS64">
        <f>N(AS63)+$AR64</f>
        <v>0</v>
      </c>
    </row>
    <row r="65" ht="14.25" customHeight="1" s="127">
      <c r="A65" t="str">
        <f>IF(对接源_01水果!$C65="","",对接源_01水果!$C65)</f>
        <v>王照雪</v>
      </c>
      <c r="B65">
        <f>IF(A65="",0,IF(MATCH(A65,$A$4:$A$2403,0)=ROW()-3,1,0))</f>
        <v>0</v>
      </c>
      <c r="C65">
        <f>N(C64)+B65</f>
        <v>4</v>
      </c>
      <c r="E65">
        <f>IFERROR(INDEX($A$4:$A$2403,MATCH(ROW()-3,$C$4:$C$2403,0)),"")</f>
      </c>
      <c r="K65">
        <f>IF(OR($K$1="",对接源_01水果!$C65="",对接源_01水果!$C65&lt;&gt;$K$1,对接源_01水果!$B65=""),0,IF(OR(N(对接源_01水果!$B65)&lt;$K$2,N(对接源_01水果!$B65)&gt;$K$3),0,1))</f>
        <v>0</v>
      </c>
      <c r="L65">
        <f>IF(OR($L$1="",对接源_01水果!$C65="",对接源_01水果!$C65&lt;&gt;$L$1,对接源_01水果!$B65=""),0,IF(OR(N(对接源_01水果!$B65)&lt;$L$2,N(对接源_01水果!$B65)&gt;$L$3),0,1))</f>
        <v>0</v>
      </c>
      <c r="M65">
        <f>IF(OR($M$1="",对接源_01水果!$C65="",对接源_01水果!$C65&lt;&gt;$M$1,对接源_01水果!$B65=""),0,IF(OR(N(对接源_01水果!$B65)&lt;$M$2,N(对接源_01水果!$B65)&gt;$M$3),0,1))</f>
        <v>0</v>
      </c>
      <c r="N65">
        <f>IF(OR($N$1="",对接源_01水果!$C65="",对接源_01水果!$C65&lt;&gt;$N$1,对接源_01水果!$B65=""),0,IF(OR(N(对接源_01水果!$B65)&lt;$N$2,N(对接源_01水果!$B65)&gt;$N$3),0,1))</f>
        <v>0</v>
      </c>
      <c r="P65">
        <f>IF(AND($K65=1,AND(对接源_01水果!$X65="公司筐",N(对接源_01水果!$T65)&lt;&gt;0)),1,0)</f>
        <v>0</v>
      </c>
      <c r="Q65">
        <f>N(Q64)+$P65</f>
        <v>0</v>
      </c>
      <c r="R65">
        <f>IF(AND($K65=1,AND(对接源_01水果!$X65="公司筐",N(对接源_01水果!$U65)&lt;&gt;0)),1,0)</f>
        <v>0</v>
      </c>
      <c r="S65">
        <f>N(S64)+$R65</f>
        <v>0</v>
      </c>
      <c r="T65">
        <f>IF(AND($K65=1,AND(对接源_01水果!$X65="公司筐",N(对接源_01水果!$V65)&lt;&gt;0)),1,0)</f>
        <v>0</v>
      </c>
      <c r="U65">
        <f>N(U64)+$T65</f>
        <v>0</v>
      </c>
      <c r="V65">
        <f>IF(AND($L65=1,AND(对接源_01水果!$X65="自备筐",N(对接源_01水果!$V65)&lt;&gt;0)),1,0)</f>
        <v>0</v>
      </c>
      <c r="W65">
        <f>N(W64)+$V65</f>
        <v>0</v>
      </c>
      <c r="X65">
        <f>IF(AND($L65=1,AND(对接源_01水果!$X65="自备筐",N(对接源_01水果!$T65)&lt;&gt;0)),1,0)</f>
        <v>0</v>
      </c>
      <c r="Y65">
        <f>N(Y64)+$X65</f>
        <v>0</v>
      </c>
      <c r="Z65">
        <f>IF(AND($M65=1,对接源_01水果!$D65="原料入库"),1,0)</f>
        <v>0</v>
      </c>
      <c r="AA65">
        <f>N(AA64)+$Z65</f>
        <v>0</v>
      </c>
      <c r="AB65">
        <f>IF(AND($M65=1,LEFT(对接源_01水果!$D65,4)="原料出库"),1,0)</f>
        <v>0</v>
      </c>
      <c r="AC65">
        <f>N(AC64)+$AB65</f>
        <v>0</v>
      </c>
      <c r="AD65">
        <f>IF(AND($M65=1,LEFT(对接源_01水果!$D65,4)="成品出库"),1,0)</f>
        <v>0</v>
      </c>
      <c r="AE65">
        <f>N(AE64)+$AD65</f>
        <v>0</v>
      </c>
      <c r="AF65">
        <f>IF(AND($N65=1,AND(LEFT(对接源_01水果!$D65,4)="包装物料",N(对接源_01水果!$K65)&lt;&gt;0)),1,0)</f>
        <v>0</v>
      </c>
      <c r="AG65">
        <f>N(AG64)+$AF65</f>
        <v>0</v>
      </c>
      <c r="AH65">
        <f>IF(AND($N65=1,AND(对接源_01水果!$D65="周转筐－销售出库",N(对接源_01水果!$K65)&lt;&gt;0)),1,0)</f>
        <v>0</v>
      </c>
      <c r="AI65">
        <f>N(AI64)+$AH65</f>
        <v>0</v>
      </c>
      <c r="AJ65" s="7" t="n"/>
      <c r="AL65">
        <f>IF(OR($AL$1="",对接源_01水果!$Y65="",对接源_01水果!$Y65&lt;&gt;$AL$1,对接源_01水果!$B65="",N(对接源_01水果!$AJ65)&lt;=0),0,IF(OR(N(对接源_01水果!$B65)&lt;$AL$2,N(对接源_01水果!$B65)&gt;$AL$3),0,1))</f>
        <v>0</v>
      </c>
      <c r="AM65">
        <f>N(AM64)+$AL65</f>
        <v>0</v>
      </c>
      <c r="AN65">
        <f>IF(对接源_01水果!$AC65="","",对接源_01水果!$AC65)</f>
      </c>
      <c r="AO65">
        <f>IF(AN65="",0,IF(MATCH(AN65,$AN$4:$AN$1203,0)=ROW()-3,1,0))</f>
        <v>0</v>
      </c>
      <c r="AP65">
        <f>N(AP64)+$AO65</f>
        <v>0</v>
      </c>
      <c r="AQ65">
        <f>IFERROR(INDEX($AN$4:$AN$1203,MATCH(ROW()-3,$AP$4:$AP$1203,0)),"")</f>
      </c>
      <c r="AR65">
        <f>IF(OR($AF65=1,$AH65=1),1,0)</f>
        <v>0</v>
      </c>
      <c r="AS65">
        <f>N(AS64)+$AR65</f>
        <v>0</v>
      </c>
    </row>
    <row r="66" ht="14.25" customHeight="1" s="127">
      <c r="A66" t="str">
        <f>IF(对接源_01水果!$C66="","",对接源_01水果!$C66)</f>
        <v>王照雪</v>
      </c>
      <c r="B66">
        <f>IF(A66="",0,IF(MATCH(A66,$A$4:$A$2403,0)=ROW()-3,1,0))</f>
        <v>0</v>
      </c>
      <c r="C66">
        <f>N(C65)+B66</f>
        <v>4</v>
      </c>
      <c r="E66">
        <f>IFERROR(INDEX($A$4:$A$2403,MATCH(ROW()-3,$C$4:$C$2403,0)),"")</f>
      </c>
      <c r="K66">
        <f>IF(OR($K$1="",对接源_01水果!$C66="",对接源_01水果!$C66&lt;&gt;$K$1,对接源_01水果!$B66=""),0,IF(OR(N(对接源_01水果!$B66)&lt;$K$2,N(对接源_01水果!$B66)&gt;$K$3),0,1))</f>
        <v>0</v>
      </c>
      <c r="L66">
        <f>IF(OR($L$1="",对接源_01水果!$C66="",对接源_01水果!$C66&lt;&gt;$L$1,对接源_01水果!$B66=""),0,IF(OR(N(对接源_01水果!$B66)&lt;$L$2,N(对接源_01水果!$B66)&gt;$L$3),0,1))</f>
        <v>0</v>
      </c>
      <c r="M66">
        <f>IF(OR($M$1="",对接源_01水果!$C66="",对接源_01水果!$C66&lt;&gt;$M$1,对接源_01水果!$B66=""),0,IF(OR(N(对接源_01水果!$B66)&lt;$M$2,N(对接源_01水果!$B66)&gt;$M$3),0,1))</f>
        <v>0</v>
      </c>
      <c r="N66">
        <f>IF(OR($N$1="",对接源_01水果!$C66="",对接源_01水果!$C66&lt;&gt;$N$1,对接源_01水果!$B66=""),0,IF(OR(N(对接源_01水果!$B66)&lt;$N$2,N(对接源_01水果!$B66)&gt;$N$3),0,1))</f>
        <v>0</v>
      </c>
      <c r="P66">
        <f>IF(AND($K66=1,AND(对接源_01水果!$X66="公司筐",N(对接源_01水果!$T66)&lt;&gt;0)),1,0)</f>
        <v>0</v>
      </c>
      <c r="Q66">
        <f>N(Q65)+$P66</f>
        <v>0</v>
      </c>
      <c r="R66">
        <f>IF(AND($K66=1,AND(对接源_01水果!$X66="公司筐",N(对接源_01水果!$U66)&lt;&gt;0)),1,0)</f>
        <v>0</v>
      </c>
      <c r="S66">
        <f>N(S65)+$R66</f>
        <v>0</v>
      </c>
      <c r="T66">
        <f>IF(AND($K66=1,AND(对接源_01水果!$X66="公司筐",N(对接源_01水果!$V66)&lt;&gt;0)),1,0)</f>
        <v>0</v>
      </c>
      <c r="U66">
        <f>N(U65)+$T66</f>
        <v>0</v>
      </c>
      <c r="V66">
        <f>IF(AND($L66=1,AND(对接源_01水果!$X66="自备筐",N(对接源_01水果!$V66)&lt;&gt;0)),1,0)</f>
        <v>0</v>
      </c>
      <c r="W66">
        <f>N(W65)+$V66</f>
        <v>0</v>
      </c>
      <c r="X66">
        <f>IF(AND($L66=1,AND(对接源_01水果!$X66="自备筐",N(对接源_01水果!$T66)&lt;&gt;0)),1,0)</f>
        <v>0</v>
      </c>
      <c r="Y66">
        <f>N(Y65)+$X66</f>
        <v>0</v>
      </c>
      <c r="Z66">
        <f>IF(AND($M66=1,对接源_01水果!$D66="原料入库"),1,0)</f>
        <v>0</v>
      </c>
      <c r="AA66">
        <f>N(AA65)+$Z66</f>
        <v>0</v>
      </c>
      <c r="AB66">
        <f>IF(AND($M66=1,LEFT(对接源_01水果!$D66,4)="原料出库"),1,0)</f>
        <v>0</v>
      </c>
      <c r="AC66">
        <f>N(AC65)+$AB66</f>
        <v>0</v>
      </c>
      <c r="AD66">
        <f>IF(AND($M66=1,LEFT(对接源_01水果!$D66,4)="成品出库"),1,0)</f>
        <v>0</v>
      </c>
      <c r="AE66">
        <f>N(AE65)+$AD66</f>
        <v>0</v>
      </c>
      <c r="AF66">
        <f>IF(AND($N66=1,AND(LEFT(对接源_01水果!$D66,4)="包装物料",N(对接源_01水果!$K66)&lt;&gt;0)),1,0)</f>
        <v>0</v>
      </c>
      <c r="AG66">
        <f>N(AG65)+$AF66</f>
        <v>0</v>
      </c>
      <c r="AH66">
        <f>IF(AND($N66=1,AND(对接源_01水果!$D66="周转筐－销售出库",N(对接源_01水果!$K66)&lt;&gt;0)),1,0)</f>
        <v>0</v>
      </c>
      <c r="AI66">
        <f>N(AI65)+$AH66</f>
        <v>0</v>
      </c>
      <c r="AJ66" s="7" t="n"/>
      <c r="AL66">
        <f>IF(OR($AL$1="",对接源_01水果!$Y66="",对接源_01水果!$Y66&lt;&gt;$AL$1,对接源_01水果!$B66="",N(对接源_01水果!$AJ66)&lt;=0),0,IF(OR(N(对接源_01水果!$B66)&lt;$AL$2,N(对接源_01水果!$B66)&gt;$AL$3),0,1))</f>
        <v>0</v>
      </c>
      <c r="AM66">
        <f>N(AM65)+$AL66</f>
        <v>0</v>
      </c>
      <c r="AN66">
        <f>IF(对接源_01水果!$AC66="","",对接源_01水果!$AC66)</f>
      </c>
      <c r="AO66">
        <f>IF(AN66="",0,IF(MATCH(AN66,$AN$4:$AN$1203,0)=ROW()-3,1,0))</f>
        <v>0</v>
      </c>
      <c r="AP66">
        <f>N(AP65)+$AO66</f>
        <v>0</v>
      </c>
      <c r="AQ66">
        <f>IFERROR(INDEX($AN$4:$AN$1203,MATCH(ROW()-3,$AP$4:$AP$1203,0)),"")</f>
      </c>
      <c r="AR66">
        <f>IF(OR($AF66=1,$AH66=1),1,0)</f>
        <v>0</v>
      </c>
      <c r="AS66">
        <f>N(AS65)+$AR66</f>
        <v>0</v>
      </c>
    </row>
    <row r="67" ht="14.25" customHeight="1" s="127">
      <c r="A67" t="str">
        <f>IF(对接源_01水果!$C67="","",对接源_01水果!$C67)</f>
        <v>聂新平</v>
      </c>
      <c r="B67">
        <f>IF(A67="",0,IF(MATCH(A67,$A$4:$A$2403,0)=ROW()-3,1,0))</f>
        <v>0</v>
      </c>
      <c r="C67">
        <f>N(C66)+B67</f>
        <v>4</v>
      </c>
      <c r="E67">
        <f>IFERROR(INDEX($A$4:$A$2403,MATCH(ROW()-3,$C$4:$C$2403,0)),"")</f>
      </c>
      <c r="K67">
        <f>IF(OR($K$1="",对接源_01水果!$C67="",对接源_01水果!$C67&lt;&gt;$K$1,对接源_01水果!$B67=""),0,IF(OR(N(对接源_01水果!$B67)&lt;$K$2,N(对接源_01水果!$B67)&gt;$K$3),0,1))</f>
        <v>0</v>
      </c>
      <c r="L67">
        <f>IF(OR($L$1="",对接源_01水果!$C67="",对接源_01水果!$C67&lt;&gt;$L$1,对接源_01水果!$B67=""),0,IF(OR(N(对接源_01水果!$B67)&lt;$L$2,N(对接源_01水果!$B67)&gt;$L$3),0,1))</f>
        <v>0</v>
      </c>
      <c r="M67">
        <f>IF(OR($M$1="",对接源_01水果!$C67="",对接源_01水果!$C67&lt;&gt;$M$1,对接源_01水果!$B67=""),0,IF(OR(N(对接源_01水果!$B67)&lt;$M$2,N(对接源_01水果!$B67)&gt;$M$3),0,1))</f>
        <v>0</v>
      </c>
      <c r="N67">
        <f>IF(OR($N$1="",对接源_01水果!$C67="",对接源_01水果!$C67&lt;&gt;$N$1,对接源_01水果!$B67=""),0,IF(OR(N(对接源_01水果!$B67)&lt;$N$2,N(对接源_01水果!$B67)&gt;$N$3),0,1))</f>
        <v>0</v>
      </c>
      <c r="P67">
        <f>IF(AND($K67=1,AND(对接源_01水果!$X67="公司筐",N(对接源_01水果!$T67)&lt;&gt;0)),1,0)</f>
        <v>0</v>
      </c>
      <c r="Q67">
        <f>N(Q66)+$P67</f>
        <v>0</v>
      </c>
      <c r="R67">
        <f>IF(AND($K67=1,AND(对接源_01水果!$X67="公司筐",N(对接源_01水果!$U67)&lt;&gt;0)),1,0)</f>
        <v>0</v>
      </c>
      <c r="S67">
        <f>N(S66)+$R67</f>
        <v>0</v>
      </c>
      <c r="T67">
        <f>IF(AND($K67=1,AND(对接源_01水果!$X67="公司筐",N(对接源_01水果!$V67)&lt;&gt;0)),1,0)</f>
        <v>0</v>
      </c>
      <c r="U67">
        <f>N(U66)+$T67</f>
        <v>0</v>
      </c>
      <c r="V67">
        <f>IF(AND($L67=1,AND(对接源_01水果!$X67="自备筐",N(对接源_01水果!$V67)&lt;&gt;0)),1,0)</f>
        <v>0</v>
      </c>
      <c r="W67">
        <f>N(W66)+$V67</f>
        <v>0</v>
      </c>
      <c r="X67">
        <f>IF(AND($L67=1,AND(对接源_01水果!$X67="自备筐",N(对接源_01水果!$T67)&lt;&gt;0)),1,0)</f>
        <v>0</v>
      </c>
      <c r="Y67">
        <f>N(Y66)+$X67</f>
        <v>0</v>
      </c>
      <c r="Z67">
        <f>IF(AND($M67=1,对接源_01水果!$D67="原料入库"),1,0)</f>
        <v>0</v>
      </c>
      <c r="AA67">
        <f>N(AA66)+$Z67</f>
        <v>0</v>
      </c>
      <c r="AB67">
        <f>IF(AND($M67=1,LEFT(对接源_01水果!$D67,4)="原料出库"),1,0)</f>
        <v>0</v>
      </c>
      <c r="AC67">
        <f>N(AC66)+$AB67</f>
        <v>0</v>
      </c>
      <c r="AD67">
        <f>IF(AND($M67=1,LEFT(对接源_01水果!$D67,4)="成品出库"),1,0)</f>
        <v>0</v>
      </c>
      <c r="AE67">
        <f>N(AE66)+$AD67</f>
        <v>0</v>
      </c>
      <c r="AF67">
        <f>IF(AND($N67=1,AND(LEFT(对接源_01水果!$D67,4)="包装物料",N(对接源_01水果!$K67)&lt;&gt;0)),1,0)</f>
        <v>0</v>
      </c>
      <c r="AG67">
        <f>N(AG66)+$AF67</f>
        <v>0</v>
      </c>
      <c r="AH67">
        <f>IF(AND($N67=1,AND(对接源_01水果!$D67="周转筐－销售出库",N(对接源_01水果!$K67)&lt;&gt;0)),1,0)</f>
        <v>0</v>
      </c>
      <c r="AI67">
        <f>N(AI66)+$AH67</f>
        <v>0</v>
      </c>
      <c r="AJ67" s="7" t="n"/>
      <c r="AL67">
        <f>IF(OR($AL$1="",对接源_01水果!$Y67="",对接源_01水果!$Y67&lt;&gt;$AL$1,对接源_01水果!$B67="",N(对接源_01水果!$AJ67)&lt;=0),0,IF(OR(N(对接源_01水果!$B67)&lt;$AL$2,N(对接源_01水果!$B67)&gt;$AL$3),0,1))</f>
        <v>0</v>
      </c>
      <c r="AM67">
        <f>N(AM66)+$AL67</f>
        <v>0</v>
      </c>
      <c r="AN67">
        <f>IF(对接源_01水果!$AC67="","",对接源_01水果!$AC67)</f>
      </c>
      <c r="AO67">
        <f>IF(AN67="",0,IF(MATCH(AN67,$AN$4:$AN$1203,0)=ROW()-3,1,0))</f>
        <v>0</v>
      </c>
      <c r="AP67">
        <f>N(AP66)+$AO67</f>
        <v>0</v>
      </c>
      <c r="AQ67">
        <f>IFERROR(INDEX($AN$4:$AN$1203,MATCH(ROW()-3,$AP$4:$AP$1203,0)),"")</f>
      </c>
      <c r="AR67">
        <f>IF(OR($AF67=1,$AH67=1),1,0)</f>
        <v>0</v>
      </c>
      <c r="AS67">
        <f>N(AS66)+$AR67</f>
        <v>0</v>
      </c>
    </row>
    <row r="68" ht="14.25" customHeight="1" s="127">
      <c r="A68" t="str">
        <f>IF(对接源_01水果!$C68="","",对接源_01水果!$C68)</f>
        <v>聂新平</v>
      </c>
      <c r="B68">
        <f>IF(A68="",0,IF(MATCH(A68,$A$4:$A$2403,0)=ROW()-3,1,0))</f>
        <v>0</v>
      </c>
      <c r="C68">
        <f>N(C67)+B68</f>
        <v>4</v>
      </c>
      <c r="E68">
        <f>IFERROR(INDEX($A$4:$A$2403,MATCH(ROW()-3,$C$4:$C$2403,0)),"")</f>
      </c>
      <c r="K68">
        <f>IF(OR($K$1="",对接源_01水果!$C68="",对接源_01水果!$C68&lt;&gt;$K$1,对接源_01水果!$B68=""),0,IF(OR(N(对接源_01水果!$B68)&lt;$K$2,N(对接源_01水果!$B68)&gt;$K$3),0,1))</f>
        <v>0</v>
      </c>
      <c r="L68">
        <f>IF(OR($L$1="",对接源_01水果!$C68="",对接源_01水果!$C68&lt;&gt;$L$1,对接源_01水果!$B68=""),0,IF(OR(N(对接源_01水果!$B68)&lt;$L$2,N(对接源_01水果!$B68)&gt;$L$3),0,1))</f>
        <v>0</v>
      </c>
      <c r="M68">
        <f>IF(OR($M$1="",对接源_01水果!$C68="",对接源_01水果!$C68&lt;&gt;$M$1,对接源_01水果!$B68=""),0,IF(OR(N(对接源_01水果!$B68)&lt;$M$2,N(对接源_01水果!$B68)&gt;$M$3),0,1))</f>
        <v>0</v>
      </c>
      <c r="N68">
        <f>IF(OR($N$1="",对接源_01水果!$C68="",对接源_01水果!$C68&lt;&gt;$N$1,对接源_01水果!$B68=""),0,IF(OR(N(对接源_01水果!$B68)&lt;$N$2,N(对接源_01水果!$B68)&gt;$N$3),0,1))</f>
        <v>0</v>
      </c>
      <c r="P68">
        <f>IF(AND($K68=1,AND(对接源_01水果!$X68="公司筐",N(对接源_01水果!$T68)&lt;&gt;0)),1,0)</f>
        <v>0</v>
      </c>
      <c r="Q68">
        <f>N(Q67)+$P68</f>
        <v>0</v>
      </c>
      <c r="R68">
        <f>IF(AND($K68=1,AND(对接源_01水果!$X68="公司筐",N(对接源_01水果!$U68)&lt;&gt;0)),1,0)</f>
        <v>0</v>
      </c>
      <c r="S68">
        <f>N(S67)+$R68</f>
        <v>0</v>
      </c>
      <c r="T68">
        <f>IF(AND($K68=1,AND(对接源_01水果!$X68="公司筐",N(对接源_01水果!$V68)&lt;&gt;0)),1,0)</f>
        <v>0</v>
      </c>
      <c r="U68">
        <f>N(U67)+$T68</f>
        <v>0</v>
      </c>
      <c r="V68">
        <f>IF(AND($L68=1,AND(对接源_01水果!$X68="自备筐",N(对接源_01水果!$V68)&lt;&gt;0)),1,0)</f>
        <v>0</v>
      </c>
      <c r="W68">
        <f>N(W67)+$V68</f>
        <v>0</v>
      </c>
      <c r="X68">
        <f>IF(AND($L68=1,AND(对接源_01水果!$X68="自备筐",N(对接源_01水果!$T68)&lt;&gt;0)),1,0)</f>
        <v>0</v>
      </c>
      <c r="Y68">
        <f>N(Y67)+$X68</f>
        <v>0</v>
      </c>
      <c r="Z68">
        <f>IF(AND($M68=1,对接源_01水果!$D68="原料入库"),1,0)</f>
        <v>0</v>
      </c>
      <c r="AA68">
        <f>N(AA67)+$Z68</f>
        <v>0</v>
      </c>
      <c r="AB68">
        <f>IF(AND($M68=1,LEFT(对接源_01水果!$D68,4)="原料出库"),1,0)</f>
        <v>0</v>
      </c>
      <c r="AC68">
        <f>N(AC67)+$AB68</f>
        <v>0</v>
      </c>
      <c r="AD68">
        <f>IF(AND($M68=1,LEFT(对接源_01水果!$D68,4)="成品出库"),1,0)</f>
        <v>0</v>
      </c>
      <c r="AE68">
        <f>N(AE67)+$AD68</f>
        <v>0</v>
      </c>
      <c r="AF68">
        <f>IF(AND($N68=1,AND(LEFT(对接源_01水果!$D68,4)="包装物料",N(对接源_01水果!$K68)&lt;&gt;0)),1,0)</f>
        <v>0</v>
      </c>
      <c r="AG68">
        <f>N(AG67)+$AF68</f>
        <v>0</v>
      </c>
      <c r="AH68">
        <f>IF(AND($N68=1,AND(对接源_01水果!$D68="周转筐－销售出库",N(对接源_01水果!$K68)&lt;&gt;0)),1,0)</f>
        <v>0</v>
      </c>
      <c r="AI68">
        <f>N(AI67)+$AH68</f>
        <v>0</v>
      </c>
      <c r="AJ68" s="7" t="n"/>
      <c r="AL68">
        <f>IF(OR($AL$1="",对接源_01水果!$Y68="",对接源_01水果!$Y68&lt;&gt;$AL$1,对接源_01水果!$B68="",N(对接源_01水果!$AJ68)&lt;=0),0,IF(OR(N(对接源_01水果!$B68)&lt;$AL$2,N(对接源_01水果!$B68)&gt;$AL$3),0,1))</f>
        <v>0</v>
      </c>
      <c r="AM68">
        <f>N(AM67)+$AL68</f>
        <v>0</v>
      </c>
      <c r="AN68">
        <f>IF(对接源_01水果!$AC68="","",对接源_01水果!$AC68)</f>
      </c>
      <c r="AO68">
        <f>IF(AN68="",0,IF(MATCH(AN68,$AN$4:$AN$1203,0)=ROW()-3,1,0))</f>
        <v>0</v>
      </c>
      <c r="AP68">
        <f>N(AP67)+$AO68</f>
        <v>0</v>
      </c>
      <c r="AQ68">
        <f>IFERROR(INDEX($AN$4:$AN$1203,MATCH(ROW()-3,$AP$4:$AP$1203,0)),"")</f>
      </c>
      <c r="AR68">
        <f>IF(OR($AF68=1,$AH68=1),1,0)</f>
        <v>0</v>
      </c>
      <c r="AS68">
        <f>N(AS67)+$AR68</f>
        <v>0</v>
      </c>
    </row>
    <row r="69" ht="14.25" customHeight="1" s="127">
      <c r="A69" t="str">
        <f>IF(对接源_01水果!$C69="","",对接源_01水果!$C69)</f>
        <v>聂新平</v>
      </c>
      <c r="B69">
        <f>IF(A69="",0,IF(MATCH(A69,$A$4:$A$2403,0)=ROW()-3,1,0))</f>
        <v>0</v>
      </c>
      <c r="C69">
        <f>N(C68)+B69</f>
        <v>4</v>
      </c>
      <c r="E69">
        <f>IFERROR(INDEX($A$4:$A$2403,MATCH(ROW()-3,$C$4:$C$2403,0)),"")</f>
      </c>
      <c r="K69">
        <f>IF(OR($K$1="",对接源_01水果!$C69="",对接源_01水果!$C69&lt;&gt;$K$1,对接源_01水果!$B69=""),0,IF(OR(N(对接源_01水果!$B69)&lt;$K$2,N(对接源_01水果!$B69)&gt;$K$3),0,1))</f>
        <v>0</v>
      </c>
      <c r="L69">
        <f>IF(OR($L$1="",对接源_01水果!$C69="",对接源_01水果!$C69&lt;&gt;$L$1,对接源_01水果!$B69=""),0,IF(OR(N(对接源_01水果!$B69)&lt;$L$2,N(对接源_01水果!$B69)&gt;$L$3),0,1))</f>
        <v>0</v>
      </c>
      <c r="M69">
        <f>IF(OR($M$1="",对接源_01水果!$C69="",对接源_01水果!$C69&lt;&gt;$M$1,对接源_01水果!$B69=""),0,IF(OR(N(对接源_01水果!$B69)&lt;$M$2,N(对接源_01水果!$B69)&gt;$M$3),0,1))</f>
        <v>0</v>
      </c>
      <c r="N69">
        <f>IF(OR($N$1="",对接源_01水果!$C69="",对接源_01水果!$C69&lt;&gt;$N$1,对接源_01水果!$B69=""),0,IF(OR(N(对接源_01水果!$B69)&lt;$N$2,N(对接源_01水果!$B69)&gt;$N$3),0,1))</f>
        <v>0</v>
      </c>
      <c r="P69">
        <f>IF(AND($K69=1,AND(对接源_01水果!$X69="公司筐",N(对接源_01水果!$T69)&lt;&gt;0)),1,0)</f>
        <v>0</v>
      </c>
      <c r="Q69">
        <f>N(Q68)+$P69</f>
        <v>0</v>
      </c>
      <c r="R69">
        <f>IF(AND($K69=1,AND(对接源_01水果!$X69="公司筐",N(对接源_01水果!$U69)&lt;&gt;0)),1,0)</f>
        <v>0</v>
      </c>
      <c r="S69">
        <f>N(S68)+$R69</f>
        <v>0</v>
      </c>
      <c r="T69">
        <f>IF(AND($K69=1,AND(对接源_01水果!$X69="公司筐",N(对接源_01水果!$V69)&lt;&gt;0)),1,0)</f>
        <v>0</v>
      </c>
      <c r="U69">
        <f>N(U68)+$T69</f>
        <v>0</v>
      </c>
      <c r="V69">
        <f>IF(AND($L69=1,AND(对接源_01水果!$X69="自备筐",N(对接源_01水果!$V69)&lt;&gt;0)),1,0)</f>
        <v>0</v>
      </c>
      <c r="W69">
        <f>N(W68)+$V69</f>
        <v>0</v>
      </c>
      <c r="X69">
        <f>IF(AND($L69=1,AND(对接源_01水果!$X69="自备筐",N(对接源_01水果!$T69)&lt;&gt;0)),1,0)</f>
        <v>0</v>
      </c>
      <c r="Y69">
        <f>N(Y68)+$X69</f>
        <v>0</v>
      </c>
      <c r="Z69">
        <f>IF(AND($M69=1,对接源_01水果!$D69="原料入库"),1,0)</f>
        <v>0</v>
      </c>
      <c r="AA69">
        <f>N(AA68)+$Z69</f>
        <v>0</v>
      </c>
      <c r="AB69">
        <f>IF(AND($M69=1,LEFT(对接源_01水果!$D69,4)="原料出库"),1,0)</f>
        <v>0</v>
      </c>
      <c r="AC69">
        <f>N(AC68)+$AB69</f>
        <v>0</v>
      </c>
      <c r="AD69">
        <f>IF(AND($M69=1,LEFT(对接源_01水果!$D69,4)="成品出库"),1,0)</f>
        <v>0</v>
      </c>
      <c r="AE69">
        <f>N(AE68)+$AD69</f>
        <v>0</v>
      </c>
      <c r="AF69">
        <f>IF(AND($N69=1,AND(LEFT(对接源_01水果!$D69,4)="包装物料",N(对接源_01水果!$K69)&lt;&gt;0)),1,0)</f>
        <v>0</v>
      </c>
      <c r="AG69">
        <f>N(AG68)+$AF69</f>
        <v>0</v>
      </c>
      <c r="AH69">
        <f>IF(AND($N69=1,AND(对接源_01水果!$D69="周转筐－销售出库",N(对接源_01水果!$K69)&lt;&gt;0)),1,0)</f>
        <v>0</v>
      </c>
      <c r="AI69">
        <f>N(AI68)+$AH69</f>
        <v>0</v>
      </c>
      <c r="AJ69" s="7" t="n"/>
      <c r="AL69">
        <f>IF(OR($AL$1="",对接源_01水果!$Y69="",对接源_01水果!$Y69&lt;&gt;$AL$1,对接源_01水果!$B69="",N(对接源_01水果!$AJ69)&lt;=0),0,IF(OR(N(对接源_01水果!$B69)&lt;$AL$2,N(对接源_01水果!$B69)&gt;$AL$3),0,1))</f>
        <v>0</v>
      </c>
      <c r="AM69">
        <f>N(AM68)+$AL69</f>
        <v>0</v>
      </c>
      <c r="AN69">
        <f>IF(对接源_01水果!$AC69="","",对接源_01水果!$AC69)</f>
      </c>
      <c r="AO69">
        <f>IF(AN69="",0,IF(MATCH(AN69,$AN$4:$AN$1203,0)=ROW()-3,1,0))</f>
        <v>0</v>
      </c>
      <c r="AP69">
        <f>N(AP68)+$AO69</f>
        <v>0</v>
      </c>
      <c r="AQ69">
        <f>IFERROR(INDEX($AN$4:$AN$1203,MATCH(ROW()-3,$AP$4:$AP$1203,0)),"")</f>
      </c>
      <c r="AR69">
        <f>IF(OR($AF69=1,$AH69=1),1,0)</f>
        <v>0</v>
      </c>
      <c r="AS69">
        <f>N(AS68)+$AR69</f>
        <v>0</v>
      </c>
    </row>
    <row r="70" ht="14.25" customHeight="1" s="127">
      <c r="A70" t="str">
        <f>IF(对接源_01水果!$C70="","",对接源_01水果!$C70)</f>
        <v>聂新平</v>
      </c>
      <c r="B70">
        <f>IF(A70="",0,IF(MATCH(A70,$A$4:$A$2403,0)=ROW()-3,1,0))</f>
        <v>0</v>
      </c>
      <c r="C70">
        <f>N(C69)+B70</f>
        <v>4</v>
      </c>
      <c r="E70">
        <f>IFERROR(INDEX($A$4:$A$2403,MATCH(ROW()-3,$C$4:$C$2403,0)),"")</f>
      </c>
      <c r="K70">
        <f>IF(OR($K$1="",对接源_01水果!$C70="",对接源_01水果!$C70&lt;&gt;$K$1,对接源_01水果!$B70=""),0,IF(OR(N(对接源_01水果!$B70)&lt;$K$2,N(对接源_01水果!$B70)&gt;$K$3),0,1))</f>
        <v>0</v>
      </c>
      <c r="L70">
        <f>IF(OR($L$1="",对接源_01水果!$C70="",对接源_01水果!$C70&lt;&gt;$L$1,对接源_01水果!$B70=""),0,IF(OR(N(对接源_01水果!$B70)&lt;$L$2,N(对接源_01水果!$B70)&gt;$L$3),0,1))</f>
        <v>0</v>
      </c>
      <c r="M70">
        <f>IF(OR($M$1="",对接源_01水果!$C70="",对接源_01水果!$C70&lt;&gt;$M$1,对接源_01水果!$B70=""),0,IF(OR(N(对接源_01水果!$B70)&lt;$M$2,N(对接源_01水果!$B70)&gt;$M$3),0,1))</f>
        <v>0</v>
      </c>
      <c r="N70">
        <f>IF(OR($N$1="",对接源_01水果!$C70="",对接源_01水果!$C70&lt;&gt;$N$1,对接源_01水果!$B70=""),0,IF(OR(N(对接源_01水果!$B70)&lt;$N$2,N(对接源_01水果!$B70)&gt;$N$3),0,1))</f>
        <v>0</v>
      </c>
      <c r="P70">
        <f>IF(AND($K70=1,AND(对接源_01水果!$X70="公司筐",N(对接源_01水果!$T70)&lt;&gt;0)),1,0)</f>
        <v>0</v>
      </c>
      <c r="Q70">
        <f>N(Q69)+$P70</f>
        <v>0</v>
      </c>
      <c r="R70">
        <f>IF(AND($K70=1,AND(对接源_01水果!$X70="公司筐",N(对接源_01水果!$U70)&lt;&gt;0)),1,0)</f>
        <v>0</v>
      </c>
      <c r="S70">
        <f>N(S69)+$R70</f>
        <v>0</v>
      </c>
      <c r="T70">
        <f>IF(AND($K70=1,AND(对接源_01水果!$X70="公司筐",N(对接源_01水果!$V70)&lt;&gt;0)),1,0)</f>
        <v>0</v>
      </c>
      <c r="U70">
        <f>N(U69)+$T70</f>
        <v>0</v>
      </c>
      <c r="V70">
        <f>IF(AND($L70=1,AND(对接源_01水果!$X70="自备筐",N(对接源_01水果!$V70)&lt;&gt;0)),1,0)</f>
        <v>0</v>
      </c>
      <c r="W70">
        <f>N(W69)+$V70</f>
        <v>0</v>
      </c>
      <c r="X70">
        <f>IF(AND($L70=1,AND(对接源_01水果!$X70="自备筐",N(对接源_01水果!$T70)&lt;&gt;0)),1,0)</f>
        <v>0</v>
      </c>
      <c r="Y70">
        <f>N(Y69)+$X70</f>
        <v>0</v>
      </c>
      <c r="Z70">
        <f>IF(AND($M70=1,对接源_01水果!$D70="原料入库"),1,0)</f>
        <v>0</v>
      </c>
      <c r="AA70">
        <f>N(AA69)+$Z70</f>
        <v>0</v>
      </c>
      <c r="AB70">
        <f>IF(AND($M70=1,LEFT(对接源_01水果!$D70,4)="原料出库"),1,0)</f>
        <v>0</v>
      </c>
      <c r="AC70">
        <f>N(AC69)+$AB70</f>
        <v>0</v>
      </c>
      <c r="AD70">
        <f>IF(AND($M70=1,LEFT(对接源_01水果!$D70,4)="成品出库"),1,0)</f>
        <v>0</v>
      </c>
      <c r="AE70">
        <f>N(AE69)+$AD70</f>
        <v>0</v>
      </c>
      <c r="AF70">
        <f>IF(AND($N70=1,AND(LEFT(对接源_01水果!$D70,4)="包装物料",N(对接源_01水果!$K70)&lt;&gt;0)),1,0)</f>
        <v>0</v>
      </c>
      <c r="AG70">
        <f>N(AG69)+$AF70</f>
        <v>0</v>
      </c>
      <c r="AH70">
        <f>IF(AND($N70=1,AND(对接源_01水果!$D70="周转筐－销售出库",N(对接源_01水果!$K70)&lt;&gt;0)),1,0)</f>
        <v>0</v>
      </c>
      <c r="AI70">
        <f>N(AI69)+$AH70</f>
        <v>0</v>
      </c>
      <c r="AJ70" s="7" t="n"/>
      <c r="AL70">
        <f>IF(OR($AL$1="",对接源_01水果!$Y70="",对接源_01水果!$Y70&lt;&gt;$AL$1,对接源_01水果!$B70="",N(对接源_01水果!$AJ70)&lt;=0),0,IF(OR(N(对接源_01水果!$B70)&lt;$AL$2,N(对接源_01水果!$B70)&gt;$AL$3),0,1))</f>
        <v>0</v>
      </c>
      <c r="AM70">
        <f>N(AM69)+$AL70</f>
        <v>0</v>
      </c>
      <c r="AN70">
        <f>IF(对接源_01水果!$AC70="","",对接源_01水果!$AC70)</f>
      </c>
      <c r="AO70">
        <f>IF(AN70="",0,IF(MATCH(AN70,$AN$4:$AN$1203,0)=ROW()-3,1,0))</f>
        <v>0</v>
      </c>
      <c r="AP70">
        <f>N(AP69)+$AO70</f>
        <v>0</v>
      </c>
      <c r="AQ70">
        <f>IFERROR(INDEX($AN$4:$AN$1203,MATCH(ROW()-3,$AP$4:$AP$1203,0)),"")</f>
      </c>
      <c r="AR70">
        <f>IF(OR($AF70=1,$AH70=1),1,0)</f>
        <v>0</v>
      </c>
      <c r="AS70">
        <f>N(AS69)+$AR70</f>
        <v>0</v>
      </c>
    </row>
    <row r="71" ht="14.25" customHeight="1" s="127">
      <c r="A71" t="str">
        <f>IF(对接源_01水果!$C71="","",对接源_01水果!$C71)</f>
        <v>聂新平</v>
      </c>
      <c r="B71">
        <f>IF(A71="",0,IF(MATCH(A71,$A$4:$A$2403,0)=ROW()-3,1,0))</f>
        <v>0</v>
      </c>
      <c r="C71">
        <f>N(C70)+B71</f>
        <v>4</v>
      </c>
      <c r="E71">
        <f>IFERROR(INDEX($A$4:$A$2403,MATCH(ROW()-3,$C$4:$C$2403,0)),"")</f>
      </c>
      <c r="K71">
        <f>IF(OR($K$1="",对接源_01水果!$C71="",对接源_01水果!$C71&lt;&gt;$K$1,对接源_01水果!$B71=""),0,IF(OR(N(对接源_01水果!$B71)&lt;$K$2,N(对接源_01水果!$B71)&gt;$K$3),0,1))</f>
        <v>0</v>
      </c>
      <c r="L71">
        <f>IF(OR($L$1="",对接源_01水果!$C71="",对接源_01水果!$C71&lt;&gt;$L$1,对接源_01水果!$B71=""),0,IF(OR(N(对接源_01水果!$B71)&lt;$L$2,N(对接源_01水果!$B71)&gt;$L$3),0,1))</f>
        <v>0</v>
      </c>
      <c r="M71">
        <f>IF(OR($M$1="",对接源_01水果!$C71="",对接源_01水果!$C71&lt;&gt;$M$1,对接源_01水果!$B71=""),0,IF(OR(N(对接源_01水果!$B71)&lt;$M$2,N(对接源_01水果!$B71)&gt;$M$3),0,1))</f>
        <v>0</v>
      </c>
      <c r="N71">
        <f>IF(OR($N$1="",对接源_01水果!$C71="",对接源_01水果!$C71&lt;&gt;$N$1,对接源_01水果!$B71=""),0,IF(OR(N(对接源_01水果!$B71)&lt;$N$2,N(对接源_01水果!$B71)&gt;$N$3),0,1))</f>
        <v>0</v>
      </c>
      <c r="P71">
        <f>IF(AND($K71=1,AND(对接源_01水果!$X71="公司筐",N(对接源_01水果!$T71)&lt;&gt;0)),1,0)</f>
        <v>0</v>
      </c>
      <c r="Q71">
        <f>N(Q70)+$P71</f>
        <v>0</v>
      </c>
      <c r="R71">
        <f>IF(AND($K71=1,AND(对接源_01水果!$X71="公司筐",N(对接源_01水果!$U71)&lt;&gt;0)),1,0)</f>
        <v>0</v>
      </c>
      <c r="S71">
        <f>N(S70)+$R71</f>
        <v>0</v>
      </c>
      <c r="T71">
        <f>IF(AND($K71=1,AND(对接源_01水果!$X71="公司筐",N(对接源_01水果!$V71)&lt;&gt;0)),1,0)</f>
        <v>0</v>
      </c>
      <c r="U71">
        <f>N(U70)+$T71</f>
        <v>0</v>
      </c>
      <c r="V71">
        <f>IF(AND($L71=1,AND(对接源_01水果!$X71="自备筐",N(对接源_01水果!$V71)&lt;&gt;0)),1,0)</f>
        <v>0</v>
      </c>
      <c r="W71">
        <f>N(W70)+$V71</f>
        <v>0</v>
      </c>
      <c r="X71">
        <f>IF(AND($L71=1,AND(对接源_01水果!$X71="自备筐",N(对接源_01水果!$T71)&lt;&gt;0)),1,0)</f>
        <v>0</v>
      </c>
      <c r="Y71">
        <f>N(Y70)+$X71</f>
        <v>0</v>
      </c>
      <c r="Z71">
        <f>IF(AND($M71=1,对接源_01水果!$D71="原料入库"),1,0)</f>
        <v>0</v>
      </c>
      <c r="AA71">
        <f>N(AA70)+$Z71</f>
        <v>0</v>
      </c>
      <c r="AB71">
        <f>IF(AND($M71=1,LEFT(对接源_01水果!$D71,4)="原料出库"),1,0)</f>
        <v>0</v>
      </c>
      <c r="AC71">
        <f>N(AC70)+$AB71</f>
        <v>0</v>
      </c>
      <c r="AD71">
        <f>IF(AND($M71=1,LEFT(对接源_01水果!$D71,4)="成品出库"),1,0)</f>
        <v>0</v>
      </c>
      <c r="AE71">
        <f>N(AE70)+$AD71</f>
        <v>0</v>
      </c>
      <c r="AF71">
        <f>IF(AND($N71=1,AND(LEFT(对接源_01水果!$D71,4)="包装物料",N(对接源_01水果!$K71)&lt;&gt;0)),1,0)</f>
        <v>0</v>
      </c>
      <c r="AG71">
        <f>N(AG70)+$AF71</f>
        <v>0</v>
      </c>
      <c r="AH71">
        <f>IF(AND($N71=1,AND(对接源_01水果!$D71="周转筐－销售出库",N(对接源_01水果!$K71)&lt;&gt;0)),1,0)</f>
        <v>0</v>
      </c>
      <c r="AI71">
        <f>N(AI70)+$AH71</f>
        <v>0</v>
      </c>
      <c r="AJ71" s="7" t="n"/>
      <c r="AL71">
        <f>IF(OR($AL$1="",对接源_01水果!$Y71="",对接源_01水果!$Y71&lt;&gt;$AL$1,对接源_01水果!$B71="",N(对接源_01水果!$AJ71)&lt;=0),0,IF(OR(N(对接源_01水果!$B71)&lt;$AL$2,N(对接源_01水果!$B71)&gt;$AL$3),0,1))</f>
        <v>0</v>
      </c>
      <c r="AM71">
        <f>N(AM70)+$AL71</f>
        <v>0</v>
      </c>
      <c r="AN71">
        <f>IF(对接源_01水果!$AC71="","",对接源_01水果!$AC71)</f>
      </c>
      <c r="AO71">
        <f>IF(AN71="",0,IF(MATCH(AN71,$AN$4:$AN$1203,0)=ROW()-3,1,0))</f>
        <v>0</v>
      </c>
      <c r="AP71">
        <f>N(AP70)+$AO71</f>
        <v>0</v>
      </c>
      <c r="AQ71">
        <f>IFERROR(INDEX($AN$4:$AN$1203,MATCH(ROW()-3,$AP$4:$AP$1203,0)),"")</f>
      </c>
      <c r="AR71">
        <f>IF(OR($AF71=1,$AH71=1),1,0)</f>
        <v>0</v>
      </c>
      <c r="AS71">
        <f>N(AS70)+$AR71</f>
        <v>0</v>
      </c>
    </row>
    <row r="72" ht="14.25" customHeight="1" s="127">
      <c r="A72" t="str">
        <f>IF(对接源_01水果!$C72="","",对接源_01水果!$C72)</f>
        <v>聂新平</v>
      </c>
      <c r="B72">
        <f>IF(A72="",0,IF(MATCH(A72,$A$4:$A$2403,0)=ROW()-3,1,0))</f>
        <v>0</v>
      </c>
      <c r="C72">
        <f>N(C71)+B72</f>
        <v>4</v>
      </c>
      <c r="E72">
        <f>IFERROR(INDEX($A$4:$A$2403,MATCH(ROW()-3,$C$4:$C$2403,0)),"")</f>
      </c>
      <c r="K72">
        <f>IF(OR($K$1="",对接源_01水果!$C72="",对接源_01水果!$C72&lt;&gt;$K$1,对接源_01水果!$B72=""),0,IF(OR(N(对接源_01水果!$B72)&lt;$K$2,N(对接源_01水果!$B72)&gt;$K$3),0,1))</f>
        <v>0</v>
      </c>
      <c r="L72">
        <f>IF(OR($L$1="",对接源_01水果!$C72="",对接源_01水果!$C72&lt;&gt;$L$1,对接源_01水果!$B72=""),0,IF(OR(N(对接源_01水果!$B72)&lt;$L$2,N(对接源_01水果!$B72)&gt;$L$3),0,1))</f>
        <v>0</v>
      </c>
      <c r="M72">
        <f>IF(OR($M$1="",对接源_01水果!$C72="",对接源_01水果!$C72&lt;&gt;$M$1,对接源_01水果!$B72=""),0,IF(OR(N(对接源_01水果!$B72)&lt;$M$2,N(对接源_01水果!$B72)&gt;$M$3),0,1))</f>
        <v>0</v>
      </c>
      <c r="N72">
        <f>IF(OR($N$1="",对接源_01水果!$C72="",对接源_01水果!$C72&lt;&gt;$N$1,对接源_01水果!$B72=""),0,IF(OR(N(对接源_01水果!$B72)&lt;$N$2,N(对接源_01水果!$B72)&gt;$N$3),0,1))</f>
        <v>0</v>
      </c>
      <c r="P72">
        <f>IF(AND($K72=1,AND(对接源_01水果!$X72="公司筐",N(对接源_01水果!$T72)&lt;&gt;0)),1,0)</f>
        <v>0</v>
      </c>
      <c r="Q72">
        <f>N(Q71)+$P72</f>
        <v>0</v>
      </c>
      <c r="R72">
        <f>IF(AND($K72=1,AND(对接源_01水果!$X72="公司筐",N(对接源_01水果!$U72)&lt;&gt;0)),1,0)</f>
        <v>0</v>
      </c>
      <c r="S72">
        <f>N(S71)+$R72</f>
        <v>0</v>
      </c>
      <c r="T72">
        <f>IF(AND($K72=1,AND(对接源_01水果!$X72="公司筐",N(对接源_01水果!$V72)&lt;&gt;0)),1,0)</f>
        <v>0</v>
      </c>
      <c r="U72">
        <f>N(U71)+$T72</f>
        <v>0</v>
      </c>
      <c r="V72">
        <f>IF(AND($L72=1,AND(对接源_01水果!$X72="自备筐",N(对接源_01水果!$V72)&lt;&gt;0)),1,0)</f>
        <v>0</v>
      </c>
      <c r="W72">
        <f>N(W71)+$V72</f>
        <v>0</v>
      </c>
      <c r="X72">
        <f>IF(AND($L72=1,AND(对接源_01水果!$X72="自备筐",N(对接源_01水果!$T72)&lt;&gt;0)),1,0)</f>
        <v>0</v>
      </c>
      <c r="Y72">
        <f>N(Y71)+$X72</f>
        <v>0</v>
      </c>
      <c r="Z72">
        <f>IF(AND($M72=1,对接源_01水果!$D72="原料入库"),1,0)</f>
        <v>0</v>
      </c>
      <c r="AA72">
        <f>N(AA71)+$Z72</f>
        <v>0</v>
      </c>
      <c r="AB72">
        <f>IF(AND($M72=1,LEFT(对接源_01水果!$D72,4)="原料出库"),1,0)</f>
        <v>0</v>
      </c>
      <c r="AC72">
        <f>N(AC71)+$AB72</f>
        <v>0</v>
      </c>
      <c r="AD72">
        <f>IF(AND($M72=1,LEFT(对接源_01水果!$D72,4)="成品出库"),1,0)</f>
        <v>0</v>
      </c>
      <c r="AE72">
        <f>N(AE71)+$AD72</f>
        <v>0</v>
      </c>
      <c r="AF72">
        <f>IF(AND($N72=1,AND(LEFT(对接源_01水果!$D72,4)="包装物料",N(对接源_01水果!$K72)&lt;&gt;0)),1,0)</f>
        <v>0</v>
      </c>
      <c r="AG72">
        <f>N(AG71)+$AF72</f>
        <v>0</v>
      </c>
      <c r="AH72">
        <f>IF(AND($N72=1,AND(对接源_01水果!$D72="周转筐－销售出库",N(对接源_01水果!$K72)&lt;&gt;0)),1,0)</f>
        <v>0</v>
      </c>
      <c r="AI72">
        <f>N(AI71)+$AH72</f>
        <v>0</v>
      </c>
      <c r="AJ72" s="7" t="n"/>
      <c r="AL72">
        <f>IF(OR($AL$1="",对接源_01水果!$Y72="",对接源_01水果!$Y72&lt;&gt;$AL$1,对接源_01水果!$B72="",N(对接源_01水果!$AJ72)&lt;=0),0,IF(OR(N(对接源_01水果!$B72)&lt;$AL$2,N(对接源_01水果!$B72)&gt;$AL$3),0,1))</f>
        <v>0</v>
      </c>
      <c r="AM72">
        <f>N(AM71)+$AL72</f>
        <v>0</v>
      </c>
      <c r="AN72">
        <f>IF(对接源_01水果!$AC72="","",对接源_01水果!$AC72)</f>
      </c>
      <c r="AO72">
        <f>IF(AN72="",0,IF(MATCH(AN72,$AN$4:$AN$1203,0)=ROW()-3,1,0))</f>
        <v>0</v>
      </c>
      <c r="AP72">
        <f>N(AP71)+$AO72</f>
        <v>0</v>
      </c>
      <c r="AQ72">
        <f>IFERROR(INDEX($AN$4:$AN$1203,MATCH(ROW()-3,$AP$4:$AP$1203,0)),"")</f>
      </c>
      <c r="AR72">
        <f>IF(OR($AF72=1,$AH72=1),1,0)</f>
        <v>0</v>
      </c>
      <c r="AS72">
        <f>N(AS71)+$AR72</f>
        <v>0</v>
      </c>
    </row>
    <row r="73" ht="14.25" customHeight="1" s="127">
      <c r="A73" t="str">
        <f>IF(对接源_01水果!$C73="","",对接源_01水果!$C73)</f>
        <v>聂新平</v>
      </c>
      <c r="B73">
        <f>IF(A73="",0,IF(MATCH(A73,$A$4:$A$2403,0)=ROW()-3,1,0))</f>
        <v>0</v>
      </c>
      <c r="C73">
        <f>N(C72)+B73</f>
        <v>4</v>
      </c>
      <c r="E73">
        <f>IFERROR(INDEX($A$4:$A$2403,MATCH(ROW()-3,$C$4:$C$2403,0)),"")</f>
      </c>
      <c r="K73">
        <f>IF(OR($K$1="",对接源_01水果!$C73="",对接源_01水果!$C73&lt;&gt;$K$1,对接源_01水果!$B73=""),0,IF(OR(N(对接源_01水果!$B73)&lt;$K$2,N(对接源_01水果!$B73)&gt;$K$3),0,1))</f>
        <v>0</v>
      </c>
      <c r="L73">
        <f>IF(OR($L$1="",对接源_01水果!$C73="",对接源_01水果!$C73&lt;&gt;$L$1,对接源_01水果!$B73=""),0,IF(OR(N(对接源_01水果!$B73)&lt;$L$2,N(对接源_01水果!$B73)&gt;$L$3),0,1))</f>
        <v>0</v>
      </c>
      <c r="M73">
        <f>IF(OR($M$1="",对接源_01水果!$C73="",对接源_01水果!$C73&lt;&gt;$M$1,对接源_01水果!$B73=""),0,IF(OR(N(对接源_01水果!$B73)&lt;$M$2,N(对接源_01水果!$B73)&gt;$M$3),0,1))</f>
        <v>0</v>
      </c>
      <c r="N73">
        <f>IF(OR($N$1="",对接源_01水果!$C73="",对接源_01水果!$C73&lt;&gt;$N$1,对接源_01水果!$B73=""),0,IF(OR(N(对接源_01水果!$B73)&lt;$N$2,N(对接源_01水果!$B73)&gt;$N$3),0,1))</f>
        <v>0</v>
      </c>
      <c r="P73">
        <f>IF(AND($K73=1,AND(对接源_01水果!$X73="公司筐",N(对接源_01水果!$T73)&lt;&gt;0)),1,0)</f>
        <v>0</v>
      </c>
      <c r="Q73">
        <f>N(Q72)+$P73</f>
        <v>0</v>
      </c>
      <c r="R73">
        <f>IF(AND($K73=1,AND(对接源_01水果!$X73="公司筐",N(对接源_01水果!$U73)&lt;&gt;0)),1,0)</f>
        <v>0</v>
      </c>
      <c r="S73">
        <f>N(S72)+$R73</f>
        <v>0</v>
      </c>
      <c r="T73">
        <f>IF(AND($K73=1,AND(对接源_01水果!$X73="公司筐",N(对接源_01水果!$V73)&lt;&gt;0)),1,0)</f>
        <v>0</v>
      </c>
      <c r="U73">
        <f>N(U72)+$T73</f>
        <v>0</v>
      </c>
      <c r="V73">
        <f>IF(AND($L73=1,AND(对接源_01水果!$X73="自备筐",N(对接源_01水果!$V73)&lt;&gt;0)),1,0)</f>
        <v>0</v>
      </c>
      <c r="W73">
        <f>N(W72)+$V73</f>
        <v>0</v>
      </c>
      <c r="X73">
        <f>IF(AND($L73=1,AND(对接源_01水果!$X73="自备筐",N(对接源_01水果!$T73)&lt;&gt;0)),1,0)</f>
        <v>0</v>
      </c>
      <c r="Y73">
        <f>N(Y72)+$X73</f>
        <v>0</v>
      </c>
      <c r="Z73">
        <f>IF(AND($M73=1,对接源_01水果!$D73="原料入库"),1,0)</f>
        <v>0</v>
      </c>
      <c r="AA73">
        <f>N(AA72)+$Z73</f>
        <v>0</v>
      </c>
      <c r="AB73">
        <f>IF(AND($M73=1,LEFT(对接源_01水果!$D73,4)="原料出库"),1,0)</f>
        <v>0</v>
      </c>
      <c r="AC73">
        <f>N(AC72)+$AB73</f>
        <v>0</v>
      </c>
      <c r="AD73">
        <f>IF(AND($M73=1,LEFT(对接源_01水果!$D73,4)="成品出库"),1,0)</f>
        <v>0</v>
      </c>
      <c r="AE73">
        <f>N(AE72)+$AD73</f>
        <v>0</v>
      </c>
      <c r="AF73">
        <f>IF(AND($N73=1,AND(LEFT(对接源_01水果!$D73,4)="包装物料",N(对接源_01水果!$K73)&lt;&gt;0)),1,0)</f>
        <v>0</v>
      </c>
      <c r="AG73">
        <f>N(AG72)+$AF73</f>
        <v>0</v>
      </c>
      <c r="AH73">
        <f>IF(AND($N73=1,AND(对接源_01水果!$D73="周转筐－销售出库",N(对接源_01水果!$K73)&lt;&gt;0)),1,0)</f>
        <v>0</v>
      </c>
      <c r="AI73">
        <f>N(AI72)+$AH73</f>
        <v>0</v>
      </c>
      <c r="AJ73" s="7" t="n"/>
      <c r="AL73">
        <f>IF(OR($AL$1="",对接源_01水果!$Y73="",对接源_01水果!$Y73&lt;&gt;$AL$1,对接源_01水果!$B73="",N(对接源_01水果!$AJ73)&lt;=0),0,IF(OR(N(对接源_01水果!$B73)&lt;$AL$2,N(对接源_01水果!$B73)&gt;$AL$3),0,1))</f>
        <v>0</v>
      </c>
      <c r="AM73">
        <f>N(AM72)+$AL73</f>
        <v>0</v>
      </c>
      <c r="AN73">
        <f>IF(对接源_01水果!$AC73="","",对接源_01水果!$AC73)</f>
      </c>
      <c r="AO73">
        <f>IF(AN73="",0,IF(MATCH(AN73,$AN$4:$AN$1203,0)=ROW()-3,1,0))</f>
        <v>0</v>
      </c>
      <c r="AP73">
        <f>N(AP72)+$AO73</f>
        <v>0</v>
      </c>
      <c r="AQ73">
        <f>IFERROR(INDEX($AN$4:$AN$1203,MATCH(ROW()-3,$AP$4:$AP$1203,0)),"")</f>
      </c>
      <c r="AR73">
        <f>IF(OR($AF73=1,$AH73=1),1,0)</f>
        <v>0</v>
      </c>
      <c r="AS73">
        <f>N(AS72)+$AR73</f>
        <v>0</v>
      </c>
    </row>
    <row r="74" ht="14.25" customHeight="1" s="127">
      <c r="A74" t="str">
        <f>IF(对接源_01水果!$C74="","",对接源_01水果!$C74)</f>
        <v>聂新平</v>
      </c>
      <c r="B74">
        <f>IF(A74="",0,IF(MATCH(A74,$A$4:$A$2403,0)=ROW()-3,1,0))</f>
        <v>0</v>
      </c>
      <c r="C74">
        <f>N(C73)+B74</f>
        <v>4</v>
      </c>
      <c r="E74">
        <f>IFERROR(INDEX($A$4:$A$2403,MATCH(ROW()-3,$C$4:$C$2403,0)),"")</f>
      </c>
      <c r="K74">
        <f>IF(OR($K$1="",对接源_01水果!$C74="",对接源_01水果!$C74&lt;&gt;$K$1,对接源_01水果!$B74=""),0,IF(OR(N(对接源_01水果!$B74)&lt;$K$2,N(对接源_01水果!$B74)&gt;$K$3),0,1))</f>
        <v>0</v>
      </c>
      <c r="L74">
        <f>IF(OR($L$1="",对接源_01水果!$C74="",对接源_01水果!$C74&lt;&gt;$L$1,对接源_01水果!$B74=""),0,IF(OR(N(对接源_01水果!$B74)&lt;$L$2,N(对接源_01水果!$B74)&gt;$L$3),0,1))</f>
        <v>0</v>
      </c>
      <c r="M74">
        <f>IF(OR($M$1="",对接源_01水果!$C74="",对接源_01水果!$C74&lt;&gt;$M$1,对接源_01水果!$B74=""),0,IF(OR(N(对接源_01水果!$B74)&lt;$M$2,N(对接源_01水果!$B74)&gt;$M$3),0,1))</f>
        <v>0</v>
      </c>
      <c r="N74">
        <f>IF(OR($N$1="",对接源_01水果!$C74="",对接源_01水果!$C74&lt;&gt;$N$1,对接源_01水果!$B74=""),0,IF(OR(N(对接源_01水果!$B74)&lt;$N$2,N(对接源_01水果!$B74)&gt;$N$3),0,1))</f>
        <v>0</v>
      </c>
      <c r="P74">
        <f>IF(AND($K74=1,AND(对接源_01水果!$X74="公司筐",N(对接源_01水果!$T74)&lt;&gt;0)),1,0)</f>
        <v>0</v>
      </c>
      <c r="Q74">
        <f>N(Q73)+$P74</f>
        <v>0</v>
      </c>
      <c r="R74">
        <f>IF(AND($K74=1,AND(对接源_01水果!$X74="公司筐",N(对接源_01水果!$U74)&lt;&gt;0)),1,0)</f>
        <v>0</v>
      </c>
      <c r="S74">
        <f>N(S73)+$R74</f>
        <v>0</v>
      </c>
      <c r="T74">
        <f>IF(AND($K74=1,AND(对接源_01水果!$X74="公司筐",N(对接源_01水果!$V74)&lt;&gt;0)),1,0)</f>
        <v>0</v>
      </c>
      <c r="U74">
        <f>N(U73)+$T74</f>
        <v>0</v>
      </c>
      <c r="V74">
        <f>IF(AND($L74=1,AND(对接源_01水果!$X74="自备筐",N(对接源_01水果!$V74)&lt;&gt;0)),1,0)</f>
        <v>0</v>
      </c>
      <c r="W74">
        <f>N(W73)+$V74</f>
        <v>0</v>
      </c>
      <c r="X74">
        <f>IF(AND($L74=1,AND(对接源_01水果!$X74="自备筐",N(对接源_01水果!$T74)&lt;&gt;0)),1,0)</f>
        <v>0</v>
      </c>
      <c r="Y74">
        <f>N(Y73)+$X74</f>
        <v>0</v>
      </c>
      <c r="Z74">
        <f>IF(AND($M74=1,对接源_01水果!$D74="原料入库"),1,0)</f>
        <v>0</v>
      </c>
      <c r="AA74">
        <f>N(AA73)+$Z74</f>
        <v>0</v>
      </c>
      <c r="AB74">
        <f>IF(AND($M74=1,LEFT(对接源_01水果!$D74,4)="原料出库"),1,0)</f>
        <v>0</v>
      </c>
      <c r="AC74">
        <f>N(AC73)+$AB74</f>
        <v>0</v>
      </c>
      <c r="AD74">
        <f>IF(AND($M74=1,LEFT(对接源_01水果!$D74,4)="成品出库"),1,0)</f>
        <v>0</v>
      </c>
      <c r="AE74">
        <f>N(AE73)+$AD74</f>
        <v>0</v>
      </c>
      <c r="AF74">
        <f>IF(AND($N74=1,AND(LEFT(对接源_01水果!$D74,4)="包装物料",N(对接源_01水果!$K74)&lt;&gt;0)),1,0)</f>
        <v>0</v>
      </c>
      <c r="AG74">
        <f>N(AG73)+$AF74</f>
        <v>0</v>
      </c>
      <c r="AH74">
        <f>IF(AND($N74=1,AND(对接源_01水果!$D74="周转筐－销售出库",N(对接源_01水果!$K74)&lt;&gt;0)),1,0)</f>
        <v>0</v>
      </c>
      <c r="AI74">
        <f>N(AI73)+$AH74</f>
        <v>0</v>
      </c>
      <c r="AJ74" s="7" t="n"/>
      <c r="AL74">
        <f>IF(OR($AL$1="",对接源_01水果!$Y74="",对接源_01水果!$Y74&lt;&gt;$AL$1,对接源_01水果!$B74="",N(对接源_01水果!$AJ74)&lt;=0),0,IF(OR(N(对接源_01水果!$B74)&lt;$AL$2,N(对接源_01水果!$B74)&gt;$AL$3),0,1))</f>
        <v>0</v>
      </c>
      <c r="AM74">
        <f>N(AM73)+$AL74</f>
        <v>0</v>
      </c>
      <c r="AN74">
        <f>IF(对接源_01水果!$AC74="","",对接源_01水果!$AC74)</f>
      </c>
      <c r="AO74">
        <f>IF(AN74="",0,IF(MATCH(AN74,$AN$4:$AN$1203,0)=ROW()-3,1,0))</f>
        <v>0</v>
      </c>
      <c r="AP74">
        <f>N(AP73)+$AO74</f>
        <v>0</v>
      </c>
      <c r="AQ74">
        <f>IFERROR(INDEX($AN$4:$AN$1203,MATCH(ROW()-3,$AP$4:$AP$1203,0)),"")</f>
      </c>
      <c r="AR74">
        <f>IF(OR($AF74=1,$AH74=1),1,0)</f>
        <v>0</v>
      </c>
      <c r="AS74">
        <f>N(AS73)+$AR74</f>
        <v>0</v>
      </c>
    </row>
    <row r="75" ht="14.25" customHeight="1" s="127">
      <c r="A75" t="str">
        <f>IF(对接源_01水果!$C75="","",对接源_01水果!$C75)</f>
        <v>聂新平</v>
      </c>
      <c r="B75">
        <f>IF(A75="",0,IF(MATCH(A75,$A$4:$A$2403,0)=ROW()-3,1,0))</f>
        <v>0</v>
      </c>
      <c r="C75">
        <f>N(C74)+B75</f>
        <v>4</v>
      </c>
      <c r="E75">
        <f>IFERROR(INDEX($A$4:$A$2403,MATCH(ROW()-3,$C$4:$C$2403,0)),"")</f>
      </c>
      <c r="K75">
        <f>IF(OR($K$1="",对接源_01水果!$C75="",对接源_01水果!$C75&lt;&gt;$K$1,对接源_01水果!$B75=""),0,IF(OR(N(对接源_01水果!$B75)&lt;$K$2,N(对接源_01水果!$B75)&gt;$K$3),0,1))</f>
        <v>0</v>
      </c>
      <c r="L75">
        <f>IF(OR($L$1="",对接源_01水果!$C75="",对接源_01水果!$C75&lt;&gt;$L$1,对接源_01水果!$B75=""),0,IF(OR(N(对接源_01水果!$B75)&lt;$L$2,N(对接源_01水果!$B75)&gt;$L$3),0,1))</f>
        <v>0</v>
      </c>
      <c r="M75">
        <f>IF(OR($M$1="",对接源_01水果!$C75="",对接源_01水果!$C75&lt;&gt;$M$1,对接源_01水果!$B75=""),0,IF(OR(N(对接源_01水果!$B75)&lt;$M$2,N(对接源_01水果!$B75)&gt;$M$3),0,1))</f>
        <v>0</v>
      </c>
      <c r="N75">
        <f>IF(OR($N$1="",对接源_01水果!$C75="",对接源_01水果!$C75&lt;&gt;$N$1,对接源_01水果!$B75=""),0,IF(OR(N(对接源_01水果!$B75)&lt;$N$2,N(对接源_01水果!$B75)&gt;$N$3),0,1))</f>
        <v>0</v>
      </c>
      <c r="P75">
        <f>IF(AND($K75=1,AND(对接源_01水果!$X75="公司筐",N(对接源_01水果!$T75)&lt;&gt;0)),1,0)</f>
        <v>0</v>
      </c>
      <c r="Q75">
        <f>N(Q74)+$P75</f>
        <v>0</v>
      </c>
      <c r="R75">
        <f>IF(AND($K75=1,AND(对接源_01水果!$X75="公司筐",N(对接源_01水果!$U75)&lt;&gt;0)),1,0)</f>
        <v>0</v>
      </c>
      <c r="S75">
        <f>N(S74)+$R75</f>
        <v>0</v>
      </c>
      <c r="T75">
        <f>IF(AND($K75=1,AND(对接源_01水果!$X75="公司筐",N(对接源_01水果!$V75)&lt;&gt;0)),1,0)</f>
        <v>0</v>
      </c>
      <c r="U75">
        <f>N(U74)+$T75</f>
        <v>0</v>
      </c>
      <c r="V75">
        <f>IF(AND($L75=1,AND(对接源_01水果!$X75="自备筐",N(对接源_01水果!$V75)&lt;&gt;0)),1,0)</f>
        <v>0</v>
      </c>
      <c r="W75">
        <f>N(W74)+$V75</f>
        <v>0</v>
      </c>
      <c r="X75">
        <f>IF(AND($L75=1,AND(对接源_01水果!$X75="自备筐",N(对接源_01水果!$T75)&lt;&gt;0)),1,0)</f>
        <v>0</v>
      </c>
      <c r="Y75">
        <f>N(Y74)+$X75</f>
        <v>0</v>
      </c>
      <c r="Z75">
        <f>IF(AND($M75=1,对接源_01水果!$D75="原料入库"),1,0)</f>
        <v>0</v>
      </c>
      <c r="AA75">
        <f>N(AA74)+$Z75</f>
        <v>0</v>
      </c>
      <c r="AB75">
        <f>IF(AND($M75=1,LEFT(对接源_01水果!$D75,4)="原料出库"),1,0)</f>
        <v>0</v>
      </c>
      <c r="AC75">
        <f>N(AC74)+$AB75</f>
        <v>0</v>
      </c>
      <c r="AD75">
        <f>IF(AND($M75=1,LEFT(对接源_01水果!$D75,4)="成品出库"),1,0)</f>
        <v>0</v>
      </c>
      <c r="AE75">
        <f>N(AE74)+$AD75</f>
        <v>0</v>
      </c>
      <c r="AF75">
        <f>IF(AND($N75=1,AND(LEFT(对接源_01水果!$D75,4)="包装物料",N(对接源_01水果!$K75)&lt;&gt;0)),1,0)</f>
        <v>0</v>
      </c>
      <c r="AG75">
        <f>N(AG74)+$AF75</f>
        <v>0</v>
      </c>
      <c r="AH75">
        <f>IF(AND($N75=1,AND(对接源_01水果!$D75="周转筐－销售出库",N(对接源_01水果!$K75)&lt;&gt;0)),1,0)</f>
        <v>0</v>
      </c>
      <c r="AI75">
        <f>N(AI74)+$AH75</f>
        <v>0</v>
      </c>
      <c r="AJ75" s="7" t="n"/>
      <c r="AL75">
        <f>IF(OR($AL$1="",对接源_01水果!$Y75="",对接源_01水果!$Y75&lt;&gt;$AL$1,对接源_01水果!$B75="",N(对接源_01水果!$AJ75)&lt;=0),0,IF(OR(N(对接源_01水果!$B75)&lt;$AL$2,N(对接源_01水果!$B75)&gt;$AL$3),0,1))</f>
        <v>0</v>
      </c>
      <c r="AM75">
        <f>N(AM74)+$AL75</f>
        <v>0</v>
      </c>
      <c r="AN75">
        <f>IF(对接源_01水果!$AC75="","",对接源_01水果!$AC75)</f>
      </c>
      <c r="AO75">
        <f>IF(AN75="",0,IF(MATCH(AN75,$AN$4:$AN$1203,0)=ROW()-3,1,0))</f>
        <v>0</v>
      </c>
      <c r="AP75">
        <f>N(AP74)+$AO75</f>
        <v>0</v>
      </c>
      <c r="AQ75">
        <f>IFERROR(INDEX($AN$4:$AN$1203,MATCH(ROW()-3,$AP$4:$AP$1203,0)),"")</f>
      </c>
      <c r="AR75">
        <f>IF(OR($AF75=1,$AH75=1),1,0)</f>
        <v>0</v>
      </c>
      <c r="AS75">
        <f>N(AS74)+$AR75</f>
        <v>0</v>
      </c>
    </row>
    <row r="76" ht="14.25" customHeight="1" s="127">
      <c r="A76" t="str">
        <f>IF(对接源_01水果!$C76="","",对接源_01水果!$C76)</f>
        <v>聂新平</v>
      </c>
      <c r="B76">
        <f>IF(A76="",0,IF(MATCH(A76,$A$4:$A$2403,0)=ROW()-3,1,0))</f>
        <v>0</v>
      </c>
      <c r="C76">
        <f>N(C75)+B76</f>
        <v>4</v>
      </c>
      <c r="E76">
        <f>IFERROR(INDEX($A$4:$A$2403,MATCH(ROW()-3,$C$4:$C$2403,0)),"")</f>
      </c>
      <c r="K76">
        <f>IF(OR($K$1="",对接源_01水果!$C76="",对接源_01水果!$C76&lt;&gt;$K$1,对接源_01水果!$B76=""),0,IF(OR(N(对接源_01水果!$B76)&lt;$K$2,N(对接源_01水果!$B76)&gt;$K$3),0,1))</f>
        <v>0</v>
      </c>
      <c r="L76">
        <f>IF(OR($L$1="",对接源_01水果!$C76="",对接源_01水果!$C76&lt;&gt;$L$1,对接源_01水果!$B76=""),0,IF(OR(N(对接源_01水果!$B76)&lt;$L$2,N(对接源_01水果!$B76)&gt;$L$3),0,1))</f>
        <v>0</v>
      </c>
      <c r="M76">
        <f>IF(OR($M$1="",对接源_01水果!$C76="",对接源_01水果!$C76&lt;&gt;$M$1,对接源_01水果!$B76=""),0,IF(OR(N(对接源_01水果!$B76)&lt;$M$2,N(对接源_01水果!$B76)&gt;$M$3),0,1))</f>
        <v>0</v>
      </c>
      <c r="N76">
        <f>IF(OR($N$1="",对接源_01水果!$C76="",对接源_01水果!$C76&lt;&gt;$N$1,对接源_01水果!$B76=""),0,IF(OR(N(对接源_01水果!$B76)&lt;$N$2,N(对接源_01水果!$B76)&gt;$N$3),0,1))</f>
        <v>0</v>
      </c>
      <c r="P76">
        <f>IF(AND($K76=1,AND(对接源_01水果!$X76="公司筐",N(对接源_01水果!$T76)&lt;&gt;0)),1,0)</f>
        <v>0</v>
      </c>
      <c r="Q76">
        <f>N(Q75)+$P76</f>
        <v>0</v>
      </c>
      <c r="R76">
        <f>IF(AND($K76=1,AND(对接源_01水果!$X76="公司筐",N(对接源_01水果!$U76)&lt;&gt;0)),1,0)</f>
        <v>0</v>
      </c>
      <c r="S76">
        <f>N(S75)+$R76</f>
        <v>0</v>
      </c>
      <c r="T76">
        <f>IF(AND($K76=1,AND(对接源_01水果!$X76="公司筐",N(对接源_01水果!$V76)&lt;&gt;0)),1,0)</f>
        <v>0</v>
      </c>
      <c r="U76">
        <f>N(U75)+$T76</f>
        <v>0</v>
      </c>
      <c r="V76">
        <f>IF(AND($L76=1,AND(对接源_01水果!$X76="自备筐",N(对接源_01水果!$V76)&lt;&gt;0)),1,0)</f>
        <v>0</v>
      </c>
      <c r="W76">
        <f>N(W75)+$V76</f>
        <v>0</v>
      </c>
      <c r="X76">
        <f>IF(AND($L76=1,AND(对接源_01水果!$X76="自备筐",N(对接源_01水果!$T76)&lt;&gt;0)),1,0)</f>
        <v>0</v>
      </c>
      <c r="Y76">
        <f>N(Y75)+$X76</f>
        <v>0</v>
      </c>
      <c r="Z76">
        <f>IF(AND($M76=1,对接源_01水果!$D76="原料入库"),1,0)</f>
        <v>0</v>
      </c>
      <c r="AA76">
        <f>N(AA75)+$Z76</f>
        <v>0</v>
      </c>
      <c r="AB76">
        <f>IF(AND($M76=1,LEFT(对接源_01水果!$D76,4)="原料出库"),1,0)</f>
        <v>0</v>
      </c>
      <c r="AC76">
        <f>N(AC75)+$AB76</f>
        <v>0</v>
      </c>
      <c r="AD76">
        <f>IF(AND($M76=1,LEFT(对接源_01水果!$D76,4)="成品出库"),1,0)</f>
        <v>0</v>
      </c>
      <c r="AE76">
        <f>N(AE75)+$AD76</f>
        <v>0</v>
      </c>
      <c r="AF76">
        <f>IF(AND($N76=1,AND(LEFT(对接源_01水果!$D76,4)="包装物料",N(对接源_01水果!$K76)&lt;&gt;0)),1,0)</f>
        <v>0</v>
      </c>
      <c r="AG76">
        <f>N(AG75)+$AF76</f>
        <v>0</v>
      </c>
      <c r="AH76">
        <f>IF(AND($N76=1,AND(对接源_01水果!$D76="周转筐－销售出库",N(对接源_01水果!$K76)&lt;&gt;0)),1,0)</f>
        <v>0</v>
      </c>
      <c r="AI76">
        <f>N(AI75)+$AH76</f>
        <v>0</v>
      </c>
      <c r="AJ76" s="7" t="n"/>
      <c r="AL76">
        <f>IF(OR($AL$1="",对接源_01水果!$Y76="",对接源_01水果!$Y76&lt;&gt;$AL$1,对接源_01水果!$B76="",N(对接源_01水果!$AJ76)&lt;=0),0,IF(OR(N(对接源_01水果!$B76)&lt;$AL$2,N(对接源_01水果!$B76)&gt;$AL$3),0,1))</f>
        <v>0</v>
      </c>
      <c r="AM76">
        <f>N(AM75)+$AL76</f>
        <v>0</v>
      </c>
      <c r="AN76">
        <f>IF(对接源_01水果!$AC76="","",对接源_01水果!$AC76)</f>
      </c>
      <c r="AO76">
        <f>IF(AN76="",0,IF(MATCH(AN76,$AN$4:$AN$1203,0)=ROW()-3,1,0))</f>
        <v>0</v>
      </c>
      <c r="AP76">
        <f>N(AP75)+$AO76</f>
        <v>0</v>
      </c>
      <c r="AQ76">
        <f>IFERROR(INDEX($AN$4:$AN$1203,MATCH(ROW()-3,$AP$4:$AP$1203,0)),"")</f>
      </c>
      <c r="AR76">
        <f>IF(OR($AF76=1,$AH76=1),1,0)</f>
        <v>0</v>
      </c>
      <c r="AS76">
        <f>N(AS75)+$AR76</f>
        <v>0</v>
      </c>
    </row>
    <row r="77" ht="14.25" customHeight="1" s="127">
      <c r="A77" t="str">
        <f>IF(对接源_01水果!$C77="","",对接源_01水果!$C77)</f>
        <v>聂新平</v>
      </c>
      <c r="B77">
        <f>IF(A77="",0,IF(MATCH(A77,$A$4:$A$2403,0)=ROW()-3,1,0))</f>
        <v>0</v>
      </c>
      <c r="C77">
        <f>N(C76)+B77</f>
        <v>4</v>
      </c>
      <c r="E77">
        <f>IFERROR(INDEX($A$4:$A$2403,MATCH(ROW()-3,$C$4:$C$2403,0)),"")</f>
      </c>
      <c r="K77">
        <f>IF(OR($K$1="",对接源_01水果!$C77="",对接源_01水果!$C77&lt;&gt;$K$1,对接源_01水果!$B77=""),0,IF(OR(N(对接源_01水果!$B77)&lt;$K$2,N(对接源_01水果!$B77)&gt;$K$3),0,1))</f>
        <v>0</v>
      </c>
      <c r="L77">
        <f>IF(OR($L$1="",对接源_01水果!$C77="",对接源_01水果!$C77&lt;&gt;$L$1,对接源_01水果!$B77=""),0,IF(OR(N(对接源_01水果!$B77)&lt;$L$2,N(对接源_01水果!$B77)&gt;$L$3),0,1))</f>
        <v>0</v>
      </c>
      <c r="M77">
        <f>IF(OR($M$1="",对接源_01水果!$C77="",对接源_01水果!$C77&lt;&gt;$M$1,对接源_01水果!$B77=""),0,IF(OR(N(对接源_01水果!$B77)&lt;$M$2,N(对接源_01水果!$B77)&gt;$M$3),0,1))</f>
        <v>0</v>
      </c>
      <c r="N77">
        <f>IF(OR($N$1="",对接源_01水果!$C77="",对接源_01水果!$C77&lt;&gt;$N$1,对接源_01水果!$B77=""),0,IF(OR(N(对接源_01水果!$B77)&lt;$N$2,N(对接源_01水果!$B77)&gt;$N$3),0,1))</f>
        <v>0</v>
      </c>
      <c r="P77">
        <f>IF(AND($K77=1,AND(对接源_01水果!$X77="公司筐",N(对接源_01水果!$T77)&lt;&gt;0)),1,0)</f>
        <v>0</v>
      </c>
      <c r="Q77">
        <f>N(Q76)+$P77</f>
        <v>0</v>
      </c>
      <c r="R77">
        <f>IF(AND($K77=1,AND(对接源_01水果!$X77="公司筐",N(对接源_01水果!$U77)&lt;&gt;0)),1,0)</f>
        <v>0</v>
      </c>
      <c r="S77">
        <f>N(S76)+$R77</f>
        <v>0</v>
      </c>
      <c r="T77">
        <f>IF(AND($K77=1,AND(对接源_01水果!$X77="公司筐",N(对接源_01水果!$V77)&lt;&gt;0)),1,0)</f>
        <v>0</v>
      </c>
      <c r="U77">
        <f>N(U76)+$T77</f>
        <v>0</v>
      </c>
      <c r="V77">
        <f>IF(AND($L77=1,AND(对接源_01水果!$X77="自备筐",N(对接源_01水果!$V77)&lt;&gt;0)),1,0)</f>
        <v>0</v>
      </c>
      <c r="W77">
        <f>N(W76)+$V77</f>
        <v>0</v>
      </c>
      <c r="X77">
        <f>IF(AND($L77=1,AND(对接源_01水果!$X77="自备筐",N(对接源_01水果!$T77)&lt;&gt;0)),1,0)</f>
        <v>0</v>
      </c>
      <c r="Y77">
        <f>N(Y76)+$X77</f>
        <v>0</v>
      </c>
      <c r="Z77">
        <f>IF(AND($M77=1,对接源_01水果!$D77="原料入库"),1,0)</f>
        <v>0</v>
      </c>
      <c r="AA77">
        <f>N(AA76)+$Z77</f>
        <v>0</v>
      </c>
      <c r="AB77">
        <f>IF(AND($M77=1,LEFT(对接源_01水果!$D77,4)="原料出库"),1,0)</f>
        <v>0</v>
      </c>
      <c r="AC77">
        <f>N(AC76)+$AB77</f>
        <v>0</v>
      </c>
      <c r="AD77">
        <f>IF(AND($M77=1,LEFT(对接源_01水果!$D77,4)="成品出库"),1,0)</f>
        <v>0</v>
      </c>
      <c r="AE77">
        <f>N(AE76)+$AD77</f>
        <v>0</v>
      </c>
      <c r="AF77">
        <f>IF(AND($N77=1,AND(LEFT(对接源_01水果!$D77,4)="包装物料",N(对接源_01水果!$K77)&lt;&gt;0)),1,0)</f>
        <v>0</v>
      </c>
      <c r="AG77">
        <f>N(AG76)+$AF77</f>
        <v>0</v>
      </c>
      <c r="AH77">
        <f>IF(AND($N77=1,AND(对接源_01水果!$D77="周转筐－销售出库",N(对接源_01水果!$K77)&lt;&gt;0)),1,0)</f>
        <v>0</v>
      </c>
      <c r="AI77">
        <f>N(AI76)+$AH77</f>
        <v>0</v>
      </c>
      <c r="AJ77" s="7" t="n"/>
      <c r="AL77">
        <f>IF(OR($AL$1="",对接源_01水果!$Y77="",对接源_01水果!$Y77&lt;&gt;$AL$1,对接源_01水果!$B77="",N(对接源_01水果!$AJ77)&lt;=0),0,IF(OR(N(对接源_01水果!$B77)&lt;$AL$2,N(对接源_01水果!$B77)&gt;$AL$3),0,1))</f>
        <v>0</v>
      </c>
      <c r="AM77">
        <f>N(AM76)+$AL77</f>
        <v>0</v>
      </c>
      <c r="AN77">
        <f>IF(对接源_01水果!$AC77="","",对接源_01水果!$AC77)</f>
      </c>
      <c r="AO77">
        <f>IF(AN77="",0,IF(MATCH(AN77,$AN$4:$AN$1203,0)=ROW()-3,1,0))</f>
        <v>0</v>
      </c>
      <c r="AP77">
        <f>N(AP76)+$AO77</f>
        <v>0</v>
      </c>
      <c r="AQ77">
        <f>IFERROR(INDEX($AN$4:$AN$1203,MATCH(ROW()-3,$AP$4:$AP$1203,0)),"")</f>
      </c>
      <c r="AR77">
        <f>IF(OR($AF77=1,$AH77=1),1,0)</f>
        <v>0</v>
      </c>
      <c r="AS77">
        <f>N(AS76)+$AR77</f>
        <v>0</v>
      </c>
    </row>
    <row r="78" ht="14.25" customHeight="1" s="127">
      <c r="A78" t="str">
        <f>IF(对接源_01水果!$C78="","",对接源_01水果!$C78)</f>
        <v>聂新平</v>
      </c>
      <c r="B78">
        <f>IF(A78="",0,IF(MATCH(A78,$A$4:$A$2403,0)=ROW()-3,1,0))</f>
        <v>0</v>
      </c>
      <c r="C78">
        <f>N(C77)+B78</f>
        <v>4</v>
      </c>
      <c r="E78">
        <f>IFERROR(INDEX($A$4:$A$2403,MATCH(ROW()-3,$C$4:$C$2403,0)),"")</f>
      </c>
      <c r="K78">
        <f>IF(OR($K$1="",对接源_01水果!$C78="",对接源_01水果!$C78&lt;&gt;$K$1,对接源_01水果!$B78=""),0,IF(OR(N(对接源_01水果!$B78)&lt;$K$2,N(对接源_01水果!$B78)&gt;$K$3),0,1))</f>
        <v>0</v>
      </c>
      <c r="L78">
        <f>IF(OR($L$1="",对接源_01水果!$C78="",对接源_01水果!$C78&lt;&gt;$L$1,对接源_01水果!$B78=""),0,IF(OR(N(对接源_01水果!$B78)&lt;$L$2,N(对接源_01水果!$B78)&gt;$L$3),0,1))</f>
        <v>0</v>
      </c>
      <c r="M78">
        <f>IF(OR($M$1="",对接源_01水果!$C78="",对接源_01水果!$C78&lt;&gt;$M$1,对接源_01水果!$B78=""),0,IF(OR(N(对接源_01水果!$B78)&lt;$M$2,N(对接源_01水果!$B78)&gt;$M$3),0,1))</f>
        <v>0</v>
      </c>
      <c r="N78">
        <f>IF(OR($N$1="",对接源_01水果!$C78="",对接源_01水果!$C78&lt;&gt;$N$1,对接源_01水果!$B78=""),0,IF(OR(N(对接源_01水果!$B78)&lt;$N$2,N(对接源_01水果!$B78)&gt;$N$3),0,1))</f>
        <v>0</v>
      </c>
      <c r="P78">
        <f>IF(AND($K78=1,AND(对接源_01水果!$X78="公司筐",N(对接源_01水果!$T78)&lt;&gt;0)),1,0)</f>
        <v>0</v>
      </c>
      <c r="Q78">
        <f>N(Q77)+$P78</f>
        <v>0</v>
      </c>
      <c r="R78">
        <f>IF(AND($K78=1,AND(对接源_01水果!$X78="公司筐",N(对接源_01水果!$U78)&lt;&gt;0)),1,0)</f>
        <v>0</v>
      </c>
      <c r="S78">
        <f>N(S77)+$R78</f>
        <v>0</v>
      </c>
      <c r="T78">
        <f>IF(AND($K78=1,AND(对接源_01水果!$X78="公司筐",N(对接源_01水果!$V78)&lt;&gt;0)),1,0)</f>
        <v>0</v>
      </c>
      <c r="U78">
        <f>N(U77)+$T78</f>
        <v>0</v>
      </c>
      <c r="V78">
        <f>IF(AND($L78=1,AND(对接源_01水果!$X78="自备筐",N(对接源_01水果!$V78)&lt;&gt;0)),1,0)</f>
        <v>0</v>
      </c>
      <c r="W78">
        <f>N(W77)+$V78</f>
        <v>0</v>
      </c>
      <c r="X78">
        <f>IF(AND($L78=1,AND(对接源_01水果!$X78="自备筐",N(对接源_01水果!$T78)&lt;&gt;0)),1,0)</f>
        <v>0</v>
      </c>
      <c r="Y78">
        <f>N(Y77)+$X78</f>
        <v>0</v>
      </c>
      <c r="Z78">
        <f>IF(AND($M78=1,对接源_01水果!$D78="原料入库"),1,0)</f>
        <v>0</v>
      </c>
      <c r="AA78">
        <f>N(AA77)+$Z78</f>
        <v>0</v>
      </c>
      <c r="AB78">
        <f>IF(AND($M78=1,LEFT(对接源_01水果!$D78,4)="原料出库"),1,0)</f>
        <v>0</v>
      </c>
      <c r="AC78">
        <f>N(AC77)+$AB78</f>
        <v>0</v>
      </c>
      <c r="AD78">
        <f>IF(AND($M78=1,LEFT(对接源_01水果!$D78,4)="成品出库"),1,0)</f>
        <v>0</v>
      </c>
      <c r="AE78">
        <f>N(AE77)+$AD78</f>
        <v>0</v>
      </c>
      <c r="AF78">
        <f>IF(AND($N78=1,AND(LEFT(对接源_01水果!$D78,4)="包装物料",N(对接源_01水果!$K78)&lt;&gt;0)),1,0)</f>
        <v>0</v>
      </c>
      <c r="AG78">
        <f>N(AG77)+$AF78</f>
        <v>0</v>
      </c>
      <c r="AH78">
        <f>IF(AND($N78=1,AND(对接源_01水果!$D78="周转筐－销售出库",N(对接源_01水果!$K78)&lt;&gt;0)),1,0)</f>
        <v>0</v>
      </c>
      <c r="AI78">
        <f>N(AI77)+$AH78</f>
        <v>0</v>
      </c>
      <c r="AJ78" s="7" t="n"/>
      <c r="AL78">
        <f>IF(OR($AL$1="",对接源_01水果!$Y78="",对接源_01水果!$Y78&lt;&gt;$AL$1,对接源_01水果!$B78="",N(对接源_01水果!$AJ78)&lt;=0),0,IF(OR(N(对接源_01水果!$B78)&lt;$AL$2,N(对接源_01水果!$B78)&gt;$AL$3),0,1))</f>
        <v>0</v>
      </c>
      <c r="AM78">
        <f>N(AM77)+$AL78</f>
        <v>0</v>
      </c>
      <c r="AN78">
        <f>IF(对接源_01水果!$AC78="","",对接源_01水果!$AC78)</f>
      </c>
      <c r="AO78">
        <f>IF(AN78="",0,IF(MATCH(AN78,$AN$4:$AN$1203,0)=ROW()-3,1,0))</f>
        <v>0</v>
      </c>
      <c r="AP78">
        <f>N(AP77)+$AO78</f>
        <v>0</v>
      </c>
      <c r="AQ78">
        <f>IFERROR(INDEX($AN$4:$AN$1203,MATCH(ROW()-3,$AP$4:$AP$1203,0)),"")</f>
      </c>
      <c r="AR78">
        <f>IF(OR($AF78=1,$AH78=1),1,0)</f>
        <v>0</v>
      </c>
      <c r="AS78">
        <f>N(AS77)+$AR78</f>
        <v>0</v>
      </c>
    </row>
    <row r="79" ht="14.25" customHeight="1" s="127">
      <c r="A79" t="str">
        <f>IF(对接源_01水果!$C79="","",对接源_01水果!$C79)</f>
        <v>聂新平</v>
      </c>
      <c r="B79">
        <f>IF(A79="",0,IF(MATCH(A79,$A$4:$A$2403,0)=ROW()-3,1,0))</f>
        <v>0</v>
      </c>
      <c r="C79">
        <f>N(C78)+B79</f>
        <v>4</v>
      </c>
      <c r="E79">
        <f>IFERROR(INDEX($A$4:$A$2403,MATCH(ROW()-3,$C$4:$C$2403,0)),"")</f>
      </c>
      <c r="K79">
        <f>IF(OR($K$1="",对接源_01水果!$C79="",对接源_01水果!$C79&lt;&gt;$K$1,对接源_01水果!$B79=""),0,IF(OR(N(对接源_01水果!$B79)&lt;$K$2,N(对接源_01水果!$B79)&gt;$K$3),0,1))</f>
        <v>0</v>
      </c>
      <c r="L79">
        <f>IF(OR($L$1="",对接源_01水果!$C79="",对接源_01水果!$C79&lt;&gt;$L$1,对接源_01水果!$B79=""),0,IF(OR(N(对接源_01水果!$B79)&lt;$L$2,N(对接源_01水果!$B79)&gt;$L$3),0,1))</f>
        <v>0</v>
      </c>
      <c r="M79">
        <f>IF(OR($M$1="",对接源_01水果!$C79="",对接源_01水果!$C79&lt;&gt;$M$1,对接源_01水果!$B79=""),0,IF(OR(N(对接源_01水果!$B79)&lt;$M$2,N(对接源_01水果!$B79)&gt;$M$3),0,1))</f>
        <v>0</v>
      </c>
      <c r="N79">
        <f>IF(OR($N$1="",对接源_01水果!$C79="",对接源_01水果!$C79&lt;&gt;$N$1,对接源_01水果!$B79=""),0,IF(OR(N(对接源_01水果!$B79)&lt;$N$2,N(对接源_01水果!$B79)&gt;$N$3),0,1))</f>
        <v>0</v>
      </c>
      <c r="P79">
        <f>IF(AND($K79=1,AND(对接源_01水果!$X79="公司筐",N(对接源_01水果!$T79)&lt;&gt;0)),1,0)</f>
        <v>0</v>
      </c>
      <c r="Q79">
        <f>N(Q78)+$P79</f>
        <v>0</v>
      </c>
      <c r="R79">
        <f>IF(AND($K79=1,AND(对接源_01水果!$X79="公司筐",N(对接源_01水果!$U79)&lt;&gt;0)),1,0)</f>
        <v>0</v>
      </c>
      <c r="S79">
        <f>N(S78)+$R79</f>
        <v>0</v>
      </c>
      <c r="T79">
        <f>IF(AND($K79=1,AND(对接源_01水果!$X79="公司筐",N(对接源_01水果!$V79)&lt;&gt;0)),1,0)</f>
        <v>0</v>
      </c>
      <c r="U79">
        <f>N(U78)+$T79</f>
        <v>0</v>
      </c>
      <c r="V79">
        <f>IF(AND($L79=1,AND(对接源_01水果!$X79="自备筐",N(对接源_01水果!$V79)&lt;&gt;0)),1,0)</f>
        <v>0</v>
      </c>
      <c r="W79">
        <f>N(W78)+$V79</f>
        <v>0</v>
      </c>
      <c r="X79">
        <f>IF(AND($L79=1,AND(对接源_01水果!$X79="自备筐",N(对接源_01水果!$T79)&lt;&gt;0)),1,0)</f>
        <v>0</v>
      </c>
      <c r="Y79">
        <f>N(Y78)+$X79</f>
        <v>0</v>
      </c>
      <c r="Z79">
        <f>IF(AND($M79=1,对接源_01水果!$D79="原料入库"),1,0)</f>
        <v>0</v>
      </c>
      <c r="AA79">
        <f>N(AA78)+$Z79</f>
        <v>0</v>
      </c>
      <c r="AB79">
        <f>IF(AND($M79=1,LEFT(对接源_01水果!$D79,4)="原料出库"),1,0)</f>
        <v>0</v>
      </c>
      <c r="AC79">
        <f>N(AC78)+$AB79</f>
        <v>0</v>
      </c>
      <c r="AD79">
        <f>IF(AND($M79=1,LEFT(对接源_01水果!$D79,4)="成品出库"),1,0)</f>
        <v>0</v>
      </c>
      <c r="AE79">
        <f>N(AE78)+$AD79</f>
        <v>0</v>
      </c>
      <c r="AF79">
        <f>IF(AND($N79=1,AND(LEFT(对接源_01水果!$D79,4)="包装物料",N(对接源_01水果!$K79)&lt;&gt;0)),1,0)</f>
        <v>0</v>
      </c>
      <c r="AG79">
        <f>N(AG78)+$AF79</f>
        <v>0</v>
      </c>
      <c r="AH79">
        <f>IF(AND($N79=1,AND(对接源_01水果!$D79="周转筐－销售出库",N(对接源_01水果!$K79)&lt;&gt;0)),1,0)</f>
        <v>0</v>
      </c>
      <c r="AI79">
        <f>N(AI78)+$AH79</f>
        <v>0</v>
      </c>
      <c r="AJ79" s="7" t="n"/>
      <c r="AL79">
        <f>IF(OR($AL$1="",对接源_01水果!$Y79="",对接源_01水果!$Y79&lt;&gt;$AL$1,对接源_01水果!$B79="",N(对接源_01水果!$AJ79)&lt;=0),0,IF(OR(N(对接源_01水果!$B79)&lt;$AL$2,N(对接源_01水果!$B79)&gt;$AL$3),0,1))</f>
        <v>0</v>
      </c>
      <c r="AM79">
        <f>N(AM78)+$AL79</f>
        <v>0</v>
      </c>
      <c r="AN79">
        <f>IF(对接源_01水果!$AC79="","",对接源_01水果!$AC79)</f>
      </c>
      <c r="AO79">
        <f>IF(AN79="",0,IF(MATCH(AN79,$AN$4:$AN$1203,0)=ROW()-3,1,0))</f>
        <v>0</v>
      </c>
      <c r="AP79">
        <f>N(AP78)+$AO79</f>
        <v>0</v>
      </c>
      <c r="AQ79">
        <f>IFERROR(INDEX($AN$4:$AN$1203,MATCH(ROW()-3,$AP$4:$AP$1203,0)),"")</f>
      </c>
      <c r="AR79">
        <f>IF(OR($AF79=1,$AH79=1),1,0)</f>
        <v>0</v>
      </c>
      <c r="AS79">
        <f>N(AS78)+$AR79</f>
        <v>0</v>
      </c>
    </row>
    <row r="80" ht="14.25" customHeight="1" s="127">
      <c r="A80" t="str">
        <f>IF(对接源_01水果!$C80="","",对接源_01水果!$C80)</f>
        <v>聂新平</v>
      </c>
      <c r="B80">
        <f>IF(A80="",0,IF(MATCH(A80,$A$4:$A$2403,0)=ROW()-3,1,0))</f>
        <v>0</v>
      </c>
      <c r="C80">
        <f>N(C79)+B80</f>
        <v>4</v>
      </c>
      <c r="E80">
        <f>IFERROR(INDEX($A$4:$A$2403,MATCH(ROW()-3,$C$4:$C$2403,0)),"")</f>
      </c>
      <c r="K80">
        <f>IF(OR($K$1="",对接源_01水果!$C80="",对接源_01水果!$C80&lt;&gt;$K$1,对接源_01水果!$B80=""),0,IF(OR(N(对接源_01水果!$B80)&lt;$K$2,N(对接源_01水果!$B80)&gt;$K$3),0,1))</f>
        <v>0</v>
      </c>
      <c r="L80">
        <f>IF(OR($L$1="",对接源_01水果!$C80="",对接源_01水果!$C80&lt;&gt;$L$1,对接源_01水果!$B80=""),0,IF(OR(N(对接源_01水果!$B80)&lt;$L$2,N(对接源_01水果!$B80)&gt;$L$3),0,1))</f>
        <v>0</v>
      </c>
      <c r="M80">
        <f>IF(OR($M$1="",对接源_01水果!$C80="",对接源_01水果!$C80&lt;&gt;$M$1,对接源_01水果!$B80=""),0,IF(OR(N(对接源_01水果!$B80)&lt;$M$2,N(对接源_01水果!$B80)&gt;$M$3),0,1))</f>
        <v>0</v>
      </c>
      <c r="N80">
        <f>IF(OR($N$1="",对接源_01水果!$C80="",对接源_01水果!$C80&lt;&gt;$N$1,对接源_01水果!$B80=""),0,IF(OR(N(对接源_01水果!$B80)&lt;$N$2,N(对接源_01水果!$B80)&gt;$N$3),0,1))</f>
        <v>0</v>
      </c>
      <c r="P80">
        <f>IF(AND($K80=1,AND(对接源_01水果!$X80="公司筐",N(对接源_01水果!$T80)&lt;&gt;0)),1,0)</f>
        <v>0</v>
      </c>
      <c r="Q80">
        <f>N(Q79)+$P80</f>
        <v>0</v>
      </c>
      <c r="R80">
        <f>IF(AND($K80=1,AND(对接源_01水果!$X80="公司筐",N(对接源_01水果!$U80)&lt;&gt;0)),1,0)</f>
        <v>0</v>
      </c>
      <c r="S80">
        <f>N(S79)+$R80</f>
        <v>0</v>
      </c>
      <c r="T80">
        <f>IF(AND($K80=1,AND(对接源_01水果!$X80="公司筐",N(对接源_01水果!$V80)&lt;&gt;0)),1,0)</f>
        <v>0</v>
      </c>
      <c r="U80">
        <f>N(U79)+$T80</f>
        <v>0</v>
      </c>
      <c r="V80">
        <f>IF(AND($L80=1,AND(对接源_01水果!$X80="自备筐",N(对接源_01水果!$V80)&lt;&gt;0)),1,0)</f>
        <v>0</v>
      </c>
      <c r="W80">
        <f>N(W79)+$V80</f>
        <v>0</v>
      </c>
      <c r="X80">
        <f>IF(AND($L80=1,AND(对接源_01水果!$X80="自备筐",N(对接源_01水果!$T80)&lt;&gt;0)),1,0)</f>
        <v>0</v>
      </c>
      <c r="Y80">
        <f>N(Y79)+$X80</f>
        <v>0</v>
      </c>
      <c r="Z80">
        <f>IF(AND($M80=1,对接源_01水果!$D80="原料入库"),1,0)</f>
        <v>0</v>
      </c>
      <c r="AA80">
        <f>N(AA79)+$Z80</f>
        <v>0</v>
      </c>
      <c r="AB80">
        <f>IF(AND($M80=1,LEFT(对接源_01水果!$D80,4)="原料出库"),1,0)</f>
        <v>0</v>
      </c>
      <c r="AC80">
        <f>N(AC79)+$AB80</f>
        <v>0</v>
      </c>
      <c r="AD80">
        <f>IF(AND($M80=1,LEFT(对接源_01水果!$D80,4)="成品出库"),1,0)</f>
        <v>0</v>
      </c>
      <c r="AE80">
        <f>N(AE79)+$AD80</f>
        <v>0</v>
      </c>
      <c r="AF80">
        <f>IF(AND($N80=1,AND(LEFT(对接源_01水果!$D80,4)="包装物料",N(对接源_01水果!$K80)&lt;&gt;0)),1,0)</f>
        <v>0</v>
      </c>
      <c r="AG80">
        <f>N(AG79)+$AF80</f>
        <v>0</v>
      </c>
      <c r="AH80">
        <f>IF(AND($N80=1,AND(对接源_01水果!$D80="周转筐－销售出库",N(对接源_01水果!$K80)&lt;&gt;0)),1,0)</f>
        <v>0</v>
      </c>
      <c r="AI80">
        <f>N(AI79)+$AH80</f>
        <v>0</v>
      </c>
      <c r="AJ80" s="7" t="n"/>
      <c r="AL80">
        <f>IF(OR($AL$1="",对接源_01水果!$Y80="",对接源_01水果!$Y80&lt;&gt;$AL$1,对接源_01水果!$B80="",N(对接源_01水果!$AJ80)&lt;=0),0,IF(OR(N(对接源_01水果!$B80)&lt;$AL$2,N(对接源_01水果!$B80)&gt;$AL$3),0,1))</f>
        <v>0</v>
      </c>
      <c r="AM80">
        <f>N(AM79)+$AL80</f>
        <v>0</v>
      </c>
      <c r="AN80">
        <f>IF(对接源_01水果!$AC80="","",对接源_01水果!$AC80)</f>
      </c>
      <c r="AO80">
        <f>IF(AN80="",0,IF(MATCH(AN80,$AN$4:$AN$1203,0)=ROW()-3,1,0))</f>
        <v>0</v>
      </c>
      <c r="AP80">
        <f>N(AP79)+$AO80</f>
        <v>0</v>
      </c>
      <c r="AQ80">
        <f>IFERROR(INDEX($AN$4:$AN$1203,MATCH(ROW()-3,$AP$4:$AP$1203,0)),"")</f>
      </c>
      <c r="AR80">
        <f>IF(OR($AF80=1,$AH80=1),1,0)</f>
        <v>0</v>
      </c>
      <c r="AS80">
        <f>N(AS79)+$AR80</f>
        <v>0</v>
      </c>
    </row>
    <row r="81" ht="14.25" customHeight="1" s="127">
      <c r="A81" t="str">
        <f>IF(对接源_01水果!$C81="","",对接源_01水果!$C81)</f>
        <v>聂新平</v>
      </c>
      <c r="B81">
        <f>IF(A81="",0,IF(MATCH(A81,$A$4:$A$2403,0)=ROW()-3,1,0))</f>
        <v>0</v>
      </c>
      <c r="C81">
        <f>N(C80)+B81</f>
        <v>4</v>
      </c>
      <c r="E81">
        <f>IFERROR(INDEX($A$4:$A$2403,MATCH(ROW()-3,$C$4:$C$2403,0)),"")</f>
      </c>
      <c r="K81">
        <f>IF(OR($K$1="",对接源_01水果!$C81="",对接源_01水果!$C81&lt;&gt;$K$1,对接源_01水果!$B81=""),0,IF(OR(N(对接源_01水果!$B81)&lt;$K$2,N(对接源_01水果!$B81)&gt;$K$3),0,1))</f>
        <v>0</v>
      </c>
      <c r="L81">
        <f>IF(OR($L$1="",对接源_01水果!$C81="",对接源_01水果!$C81&lt;&gt;$L$1,对接源_01水果!$B81=""),0,IF(OR(N(对接源_01水果!$B81)&lt;$L$2,N(对接源_01水果!$B81)&gt;$L$3),0,1))</f>
        <v>0</v>
      </c>
      <c r="M81">
        <f>IF(OR($M$1="",对接源_01水果!$C81="",对接源_01水果!$C81&lt;&gt;$M$1,对接源_01水果!$B81=""),0,IF(OR(N(对接源_01水果!$B81)&lt;$M$2,N(对接源_01水果!$B81)&gt;$M$3),0,1))</f>
        <v>0</v>
      </c>
      <c r="N81">
        <f>IF(OR($N$1="",对接源_01水果!$C81="",对接源_01水果!$C81&lt;&gt;$N$1,对接源_01水果!$B81=""),0,IF(OR(N(对接源_01水果!$B81)&lt;$N$2,N(对接源_01水果!$B81)&gt;$N$3),0,1))</f>
        <v>0</v>
      </c>
      <c r="P81">
        <f>IF(AND($K81=1,AND(对接源_01水果!$X81="公司筐",N(对接源_01水果!$T81)&lt;&gt;0)),1,0)</f>
        <v>0</v>
      </c>
      <c r="Q81">
        <f>N(Q80)+$P81</f>
        <v>0</v>
      </c>
      <c r="R81">
        <f>IF(AND($K81=1,AND(对接源_01水果!$X81="公司筐",N(对接源_01水果!$U81)&lt;&gt;0)),1,0)</f>
        <v>0</v>
      </c>
      <c r="S81">
        <f>N(S80)+$R81</f>
        <v>0</v>
      </c>
      <c r="T81">
        <f>IF(AND($K81=1,AND(对接源_01水果!$X81="公司筐",N(对接源_01水果!$V81)&lt;&gt;0)),1,0)</f>
        <v>0</v>
      </c>
      <c r="U81">
        <f>N(U80)+$T81</f>
        <v>0</v>
      </c>
      <c r="V81">
        <f>IF(AND($L81=1,AND(对接源_01水果!$X81="自备筐",N(对接源_01水果!$V81)&lt;&gt;0)),1,0)</f>
        <v>0</v>
      </c>
      <c r="W81">
        <f>N(W80)+$V81</f>
        <v>0</v>
      </c>
      <c r="X81">
        <f>IF(AND($L81=1,AND(对接源_01水果!$X81="自备筐",N(对接源_01水果!$T81)&lt;&gt;0)),1,0)</f>
        <v>0</v>
      </c>
      <c r="Y81">
        <f>N(Y80)+$X81</f>
        <v>0</v>
      </c>
      <c r="Z81">
        <f>IF(AND($M81=1,对接源_01水果!$D81="原料入库"),1,0)</f>
        <v>0</v>
      </c>
      <c r="AA81">
        <f>N(AA80)+$Z81</f>
        <v>0</v>
      </c>
      <c r="AB81">
        <f>IF(AND($M81=1,LEFT(对接源_01水果!$D81,4)="原料出库"),1,0)</f>
        <v>0</v>
      </c>
      <c r="AC81">
        <f>N(AC80)+$AB81</f>
        <v>0</v>
      </c>
      <c r="AD81">
        <f>IF(AND($M81=1,LEFT(对接源_01水果!$D81,4)="成品出库"),1,0)</f>
        <v>0</v>
      </c>
      <c r="AE81">
        <f>N(AE80)+$AD81</f>
        <v>0</v>
      </c>
      <c r="AF81">
        <f>IF(AND($N81=1,AND(LEFT(对接源_01水果!$D81,4)="包装物料",N(对接源_01水果!$K81)&lt;&gt;0)),1,0)</f>
        <v>0</v>
      </c>
      <c r="AG81">
        <f>N(AG80)+$AF81</f>
        <v>0</v>
      </c>
      <c r="AH81">
        <f>IF(AND($N81=1,AND(对接源_01水果!$D81="周转筐－销售出库",N(对接源_01水果!$K81)&lt;&gt;0)),1,0)</f>
        <v>0</v>
      </c>
      <c r="AI81">
        <f>N(AI80)+$AH81</f>
        <v>0</v>
      </c>
      <c r="AJ81" s="7" t="n"/>
      <c r="AL81">
        <f>IF(OR($AL$1="",对接源_01水果!$Y81="",对接源_01水果!$Y81&lt;&gt;$AL$1,对接源_01水果!$B81="",N(对接源_01水果!$AJ81)&lt;=0),0,IF(OR(N(对接源_01水果!$B81)&lt;$AL$2,N(对接源_01水果!$B81)&gt;$AL$3),0,1))</f>
        <v>0</v>
      </c>
      <c r="AM81">
        <f>N(AM80)+$AL81</f>
        <v>0</v>
      </c>
      <c r="AN81">
        <f>IF(对接源_01水果!$AC81="","",对接源_01水果!$AC81)</f>
      </c>
      <c r="AO81">
        <f>IF(AN81="",0,IF(MATCH(AN81,$AN$4:$AN$1203,0)=ROW()-3,1,0))</f>
        <v>0</v>
      </c>
      <c r="AP81">
        <f>N(AP80)+$AO81</f>
        <v>0</v>
      </c>
      <c r="AQ81">
        <f>IFERROR(INDEX($AN$4:$AN$1203,MATCH(ROW()-3,$AP$4:$AP$1203,0)),"")</f>
      </c>
      <c r="AR81">
        <f>IF(OR($AF81=1,$AH81=1),1,0)</f>
        <v>0</v>
      </c>
      <c r="AS81">
        <f>N(AS80)+$AR81</f>
        <v>0</v>
      </c>
    </row>
    <row r="82" ht="14.25" customHeight="1" s="127">
      <c r="A82" t="str">
        <f>IF(对接源_01水果!$C82="","",对接源_01水果!$C82)</f>
        <v>聂新平</v>
      </c>
      <c r="B82">
        <f>IF(A82="",0,IF(MATCH(A82,$A$4:$A$2403,0)=ROW()-3,1,0))</f>
        <v>0</v>
      </c>
      <c r="C82">
        <f>N(C81)+B82</f>
        <v>4</v>
      </c>
      <c r="E82">
        <f>IFERROR(INDEX($A$4:$A$2403,MATCH(ROW()-3,$C$4:$C$2403,0)),"")</f>
      </c>
      <c r="K82">
        <f>IF(OR($K$1="",对接源_01水果!$C82="",对接源_01水果!$C82&lt;&gt;$K$1,对接源_01水果!$B82=""),0,IF(OR(N(对接源_01水果!$B82)&lt;$K$2,N(对接源_01水果!$B82)&gt;$K$3),0,1))</f>
        <v>0</v>
      </c>
      <c r="L82">
        <f>IF(OR($L$1="",对接源_01水果!$C82="",对接源_01水果!$C82&lt;&gt;$L$1,对接源_01水果!$B82=""),0,IF(OR(N(对接源_01水果!$B82)&lt;$L$2,N(对接源_01水果!$B82)&gt;$L$3),0,1))</f>
        <v>0</v>
      </c>
      <c r="M82">
        <f>IF(OR($M$1="",对接源_01水果!$C82="",对接源_01水果!$C82&lt;&gt;$M$1,对接源_01水果!$B82=""),0,IF(OR(N(对接源_01水果!$B82)&lt;$M$2,N(对接源_01水果!$B82)&gt;$M$3),0,1))</f>
        <v>0</v>
      </c>
      <c r="N82">
        <f>IF(OR($N$1="",对接源_01水果!$C82="",对接源_01水果!$C82&lt;&gt;$N$1,对接源_01水果!$B82=""),0,IF(OR(N(对接源_01水果!$B82)&lt;$N$2,N(对接源_01水果!$B82)&gt;$N$3),0,1))</f>
        <v>0</v>
      </c>
      <c r="P82">
        <f>IF(AND($K82=1,AND(对接源_01水果!$X82="公司筐",N(对接源_01水果!$T82)&lt;&gt;0)),1,0)</f>
        <v>0</v>
      </c>
      <c r="Q82">
        <f>N(Q81)+$P82</f>
        <v>0</v>
      </c>
      <c r="R82">
        <f>IF(AND($K82=1,AND(对接源_01水果!$X82="公司筐",N(对接源_01水果!$U82)&lt;&gt;0)),1,0)</f>
        <v>0</v>
      </c>
      <c r="S82">
        <f>N(S81)+$R82</f>
        <v>0</v>
      </c>
      <c r="T82">
        <f>IF(AND($K82=1,AND(对接源_01水果!$X82="公司筐",N(对接源_01水果!$V82)&lt;&gt;0)),1,0)</f>
        <v>0</v>
      </c>
      <c r="U82">
        <f>N(U81)+$T82</f>
        <v>0</v>
      </c>
      <c r="V82">
        <f>IF(AND($L82=1,AND(对接源_01水果!$X82="自备筐",N(对接源_01水果!$V82)&lt;&gt;0)),1,0)</f>
        <v>0</v>
      </c>
      <c r="W82">
        <f>N(W81)+$V82</f>
        <v>0</v>
      </c>
      <c r="X82">
        <f>IF(AND($L82=1,AND(对接源_01水果!$X82="自备筐",N(对接源_01水果!$T82)&lt;&gt;0)),1,0)</f>
        <v>0</v>
      </c>
      <c r="Y82">
        <f>N(Y81)+$X82</f>
        <v>0</v>
      </c>
      <c r="Z82">
        <f>IF(AND($M82=1,对接源_01水果!$D82="原料入库"),1,0)</f>
        <v>0</v>
      </c>
      <c r="AA82">
        <f>N(AA81)+$Z82</f>
        <v>0</v>
      </c>
      <c r="AB82">
        <f>IF(AND($M82=1,LEFT(对接源_01水果!$D82,4)="原料出库"),1,0)</f>
        <v>0</v>
      </c>
      <c r="AC82">
        <f>N(AC81)+$AB82</f>
        <v>0</v>
      </c>
      <c r="AD82">
        <f>IF(AND($M82=1,LEFT(对接源_01水果!$D82,4)="成品出库"),1,0)</f>
        <v>0</v>
      </c>
      <c r="AE82">
        <f>N(AE81)+$AD82</f>
        <v>0</v>
      </c>
      <c r="AF82">
        <f>IF(AND($N82=1,AND(LEFT(对接源_01水果!$D82,4)="包装物料",N(对接源_01水果!$K82)&lt;&gt;0)),1,0)</f>
        <v>0</v>
      </c>
      <c r="AG82">
        <f>N(AG81)+$AF82</f>
        <v>0</v>
      </c>
      <c r="AH82">
        <f>IF(AND($N82=1,AND(对接源_01水果!$D82="周转筐－销售出库",N(对接源_01水果!$K82)&lt;&gt;0)),1,0)</f>
        <v>0</v>
      </c>
      <c r="AI82">
        <f>N(AI81)+$AH82</f>
        <v>0</v>
      </c>
      <c r="AJ82" s="7" t="n"/>
      <c r="AL82">
        <f>IF(OR($AL$1="",对接源_01水果!$Y82="",对接源_01水果!$Y82&lt;&gt;$AL$1,对接源_01水果!$B82="",N(对接源_01水果!$AJ82)&lt;=0),0,IF(OR(N(对接源_01水果!$B82)&lt;$AL$2,N(对接源_01水果!$B82)&gt;$AL$3),0,1))</f>
        <v>0</v>
      </c>
      <c r="AM82">
        <f>N(AM81)+$AL82</f>
        <v>0</v>
      </c>
      <c r="AN82">
        <f>IF(对接源_01水果!$AC82="","",对接源_01水果!$AC82)</f>
      </c>
      <c r="AO82">
        <f>IF(AN82="",0,IF(MATCH(AN82,$AN$4:$AN$1203,0)=ROW()-3,1,0))</f>
        <v>0</v>
      </c>
      <c r="AP82">
        <f>N(AP81)+$AO82</f>
        <v>0</v>
      </c>
      <c r="AQ82">
        <f>IFERROR(INDEX($AN$4:$AN$1203,MATCH(ROW()-3,$AP$4:$AP$1203,0)),"")</f>
      </c>
      <c r="AR82">
        <f>IF(OR($AF82=1,$AH82=1),1,0)</f>
        <v>0</v>
      </c>
      <c r="AS82">
        <f>N(AS81)+$AR82</f>
        <v>0</v>
      </c>
    </row>
    <row r="83" ht="14.25" customHeight="1" s="127">
      <c r="A83" t="str">
        <f>IF(对接源_01水果!$C83="","",对接源_01水果!$C83)</f>
        <v>聂新平</v>
      </c>
      <c r="B83">
        <f>IF(A83="",0,IF(MATCH(A83,$A$4:$A$2403,0)=ROW()-3,1,0))</f>
        <v>0</v>
      </c>
      <c r="C83">
        <f>N(C82)+B83</f>
        <v>4</v>
      </c>
      <c r="E83">
        <f>IFERROR(INDEX($A$4:$A$2403,MATCH(ROW()-3,$C$4:$C$2403,0)),"")</f>
      </c>
      <c r="K83">
        <f>IF(OR($K$1="",对接源_01水果!$C83="",对接源_01水果!$C83&lt;&gt;$K$1,对接源_01水果!$B83=""),0,IF(OR(N(对接源_01水果!$B83)&lt;$K$2,N(对接源_01水果!$B83)&gt;$K$3),0,1))</f>
        <v>0</v>
      </c>
      <c r="L83">
        <f>IF(OR($L$1="",对接源_01水果!$C83="",对接源_01水果!$C83&lt;&gt;$L$1,对接源_01水果!$B83=""),0,IF(OR(N(对接源_01水果!$B83)&lt;$L$2,N(对接源_01水果!$B83)&gt;$L$3),0,1))</f>
        <v>0</v>
      </c>
      <c r="M83">
        <f>IF(OR($M$1="",对接源_01水果!$C83="",对接源_01水果!$C83&lt;&gt;$M$1,对接源_01水果!$B83=""),0,IF(OR(N(对接源_01水果!$B83)&lt;$M$2,N(对接源_01水果!$B83)&gt;$M$3),0,1))</f>
        <v>0</v>
      </c>
      <c r="N83">
        <f>IF(OR($N$1="",对接源_01水果!$C83="",对接源_01水果!$C83&lt;&gt;$N$1,对接源_01水果!$B83=""),0,IF(OR(N(对接源_01水果!$B83)&lt;$N$2,N(对接源_01水果!$B83)&gt;$N$3),0,1))</f>
        <v>0</v>
      </c>
      <c r="P83">
        <f>IF(AND($K83=1,AND(对接源_01水果!$X83="公司筐",N(对接源_01水果!$T83)&lt;&gt;0)),1,0)</f>
        <v>0</v>
      </c>
      <c r="Q83">
        <f>N(Q82)+$P83</f>
        <v>0</v>
      </c>
      <c r="R83">
        <f>IF(AND($K83=1,AND(对接源_01水果!$X83="公司筐",N(对接源_01水果!$U83)&lt;&gt;0)),1,0)</f>
        <v>0</v>
      </c>
      <c r="S83">
        <f>N(S82)+$R83</f>
        <v>0</v>
      </c>
      <c r="T83">
        <f>IF(AND($K83=1,AND(对接源_01水果!$X83="公司筐",N(对接源_01水果!$V83)&lt;&gt;0)),1,0)</f>
        <v>0</v>
      </c>
      <c r="U83">
        <f>N(U82)+$T83</f>
        <v>0</v>
      </c>
      <c r="V83">
        <f>IF(AND($L83=1,AND(对接源_01水果!$X83="自备筐",N(对接源_01水果!$V83)&lt;&gt;0)),1,0)</f>
        <v>0</v>
      </c>
      <c r="W83">
        <f>N(W82)+$V83</f>
        <v>0</v>
      </c>
      <c r="X83">
        <f>IF(AND($L83=1,AND(对接源_01水果!$X83="自备筐",N(对接源_01水果!$T83)&lt;&gt;0)),1,0)</f>
        <v>0</v>
      </c>
      <c r="Y83">
        <f>N(Y82)+$X83</f>
        <v>0</v>
      </c>
      <c r="Z83">
        <f>IF(AND($M83=1,对接源_01水果!$D83="原料入库"),1,0)</f>
        <v>0</v>
      </c>
      <c r="AA83">
        <f>N(AA82)+$Z83</f>
        <v>0</v>
      </c>
      <c r="AB83">
        <f>IF(AND($M83=1,LEFT(对接源_01水果!$D83,4)="原料出库"),1,0)</f>
        <v>0</v>
      </c>
      <c r="AC83">
        <f>N(AC82)+$AB83</f>
        <v>0</v>
      </c>
      <c r="AD83">
        <f>IF(AND($M83=1,LEFT(对接源_01水果!$D83,4)="成品出库"),1,0)</f>
        <v>0</v>
      </c>
      <c r="AE83">
        <f>N(AE82)+$AD83</f>
        <v>0</v>
      </c>
      <c r="AF83">
        <f>IF(AND($N83=1,AND(LEFT(对接源_01水果!$D83,4)="包装物料",N(对接源_01水果!$K83)&lt;&gt;0)),1,0)</f>
        <v>0</v>
      </c>
      <c r="AG83">
        <f>N(AG82)+$AF83</f>
        <v>0</v>
      </c>
      <c r="AH83">
        <f>IF(AND($N83=1,AND(对接源_01水果!$D83="周转筐－销售出库",N(对接源_01水果!$K83)&lt;&gt;0)),1,0)</f>
        <v>0</v>
      </c>
      <c r="AI83">
        <f>N(AI82)+$AH83</f>
        <v>0</v>
      </c>
      <c r="AJ83" s="7" t="n"/>
      <c r="AL83">
        <f>IF(OR($AL$1="",对接源_01水果!$Y83="",对接源_01水果!$Y83&lt;&gt;$AL$1,对接源_01水果!$B83="",N(对接源_01水果!$AJ83)&lt;=0),0,IF(OR(N(对接源_01水果!$B83)&lt;$AL$2,N(对接源_01水果!$B83)&gt;$AL$3),0,1))</f>
        <v>0</v>
      </c>
      <c r="AM83">
        <f>N(AM82)+$AL83</f>
        <v>0</v>
      </c>
      <c r="AN83">
        <f>IF(对接源_01水果!$AC83="","",对接源_01水果!$AC83)</f>
      </c>
      <c r="AO83">
        <f>IF(AN83="",0,IF(MATCH(AN83,$AN$4:$AN$1203,0)=ROW()-3,1,0))</f>
        <v>0</v>
      </c>
      <c r="AP83">
        <f>N(AP82)+$AO83</f>
        <v>0</v>
      </c>
      <c r="AQ83">
        <f>IFERROR(INDEX($AN$4:$AN$1203,MATCH(ROW()-3,$AP$4:$AP$1203,0)),"")</f>
      </c>
      <c r="AR83">
        <f>IF(OR($AF83=1,$AH83=1),1,0)</f>
        <v>0</v>
      </c>
      <c r="AS83">
        <f>N(AS82)+$AR83</f>
        <v>0</v>
      </c>
    </row>
    <row r="84" ht="14.25" customHeight="1" s="127">
      <c r="A84" t="str">
        <f>IF(对接源_01水果!$C84="","",对接源_01水果!$C84)</f>
        <v>聂新平</v>
      </c>
      <c r="B84">
        <f>IF(A84="",0,IF(MATCH(A84,$A$4:$A$2403,0)=ROW()-3,1,0))</f>
        <v>0</v>
      </c>
      <c r="C84">
        <f>N(C83)+B84</f>
        <v>4</v>
      </c>
      <c r="E84">
        <f>IFERROR(INDEX($A$4:$A$2403,MATCH(ROW()-3,$C$4:$C$2403,0)),"")</f>
      </c>
      <c r="K84">
        <f>IF(OR($K$1="",对接源_01水果!$C84="",对接源_01水果!$C84&lt;&gt;$K$1,对接源_01水果!$B84=""),0,IF(OR(N(对接源_01水果!$B84)&lt;$K$2,N(对接源_01水果!$B84)&gt;$K$3),0,1))</f>
        <v>0</v>
      </c>
      <c r="L84">
        <f>IF(OR($L$1="",对接源_01水果!$C84="",对接源_01水果!$C84&lt;&gt;$L$1,对接源_01水果!$B84=""),0,IF(OR(N(对接源_01水果!$B84)&lt;$L$2,N(对接源_01水果!$B84)&gt;$L$3),0,1))</f>
        <v>0</v>
      </c>
      <c r="M84">
        <f>IF(OR($M$1="",对接源_01水果!$C84="",对接源_01水果!$C84&lt;&gt;$M$1,对接源_01水果!$B84=""),0,IF(OR(N(对接源_01水果!$B84)&lt;$M$2,N(对接源_01水果!$B84)&gt;$M$3),0,1))</f>
        <v>0</v>
      </c>
      <c r="N84">
        <f>IF(OR($N$1="",对接源_01水果!$C84="",对接源_01水果!$C84&lt;&gt;$N$1,对接源_01水果!$B84=""),0,IF(OR(N(对接源_01水果!$B84)&lt;$N$2,N(对接源_01水果!$B84)&gt;$N$3),0,1))</f>
        <v>0</v>
      </c>
      <c r="P84">
        <f>IF(AND($K84=1,AND(对接源_01水果!$X84="公司筐",N(对接源_01水果!$T84)&lt;&gt;0)),1,0)</f>
        <v>0</v>
      </c>
      <c r="Q84">
        <f>N(Q83)+$P84</f>
        <v>0</v>
      </c>
      <c r="R84">
        <f>IF(AND($K84=1,AND(对接源_01水果!$X84="公司筐",N(对接源_01水果!$U84)&lt;&gt;0)),1,0)</f>
        <v>0</v>
      </c>
      <c r="S84">
        <f>N(S83)+$R84</f>
        <v>0</v>
      </c>
      <c r="T84">
        <f>IF(AND($K84=1,AND(对接源_01水果!$X84="公司筐",N(对接源_01水果!$V84)&lt;&gt;0)),1,0)</f>
        <v>0</v>
      </c>
      <c r="U84">
        <f>N(U83)+$T84</f>
        <v>0</v>
      </c>
      <c r="V84">
        <f>IF(AND($L84=1,AND(对接源_01水果!$X84="自备筐",N(对接源_01水果!$V84)&lt;&gt;0)),1,0)</f>
        <v>0</v>
      </c>
      <c r="W84">
        <f>N(W83)+$V84</f>
        <v>0</v>
      </c>
      <c r="X84">
        <f>IF(AND($L84=1,AND(对接源_01水果!$X84="自备筐",N(对接源_01水果!$T84)&lt;&gt;0)),1,0)</f>
        <v>0</v>
      </c>
      <c r="Y84">
        <f>N(Y83)+$X84</f>
        <v>0</v>
      </c>
      <c r="Z84">
        <f>IF(AND($M84=1,对接源_01水果!$D84="原料入库"),1,0)</f>
        <v>0</v>
      </c>
      <c r="AA84">
        <f>N(AA83)+$Z84</f>
        <v>0</v>
      </c>
      <c r="AB84">
        <f>IF(AND($M84=1,LEFT(对接源_01水果!$D84,4)="原料出库"),1,0)</f>
        <v>0</v>
      </c>
      <c r="AC84">
        <f>N(AC83)+$AB84</f>
        <v>0</v>
      </c>
      <c r="AD84">
        <f>IF(AND($M84=1,LEFT(对接源_01水果!$D84,4)="成品出库"),1,0)</f>
        <v>0</v>
      </c>
      <c r="AE84">
        <f>N(AE83)+$AD84</f>
        <v>0</v>
      </c>
      <c r="AF84">
        <f>IF(AND($N84=1,AND(LEFT(对接源_01水果!$D84,4)="包装物料",N(对接源_01水果!$K84)&lt;&gt;0)),1,0)</f>
        <v>0</v>
      </c>
      <c r="AG84">
        <f>N(AG83)+$AF84</f>
        <v>0</v>
      </c>
      <c r="AH84">
        <f>IF(AND($N84=1,AND(对接源_01水果!$D84="周转筐－销售出库",N(对接源_01水果!$K84)&lt;&gt;0)),1,0)</f>
        <v>0</v>
      </c>
      <c r="AI84">
        <f>N(AI83)+$AH84</f>
        <v>0</v>
      </c>
      <c r="AJ84" s="7" t="n"/>
      <c r="AL84">
        <f>IF(OR($AL$1="",对接源_01水果!$Y84="",对接源_01水果!$Y84&lt;&gt;$AL$1,对接源_01水果!$B84="",N(对接源_01水果!$AJ84)&lt;=0),0,IF(OR(N(对接源_01水果!$B84)&lt;$AL$2,N(对接源_01水果!$B84)&gt;$AL$3),0,1))</f>
        <v>0</v>
      </c>
      <c r="AM84">
        <f>N(AM83)+$AL84</f>
        <v>0</v>
      </c>
      <c r="AN84">
        <f>IF(对接源_01水果!$AC84="","",对接源_01水果!$AC84)</f>
      </c>
      <c r="AO84">
        <f>IF(AN84="",0,IF(MATCH(AN84,$AN$4:$AN$1203,0)=ROW()-3,1,0))</f>
        <v>0</v>
      </c>
      <c r="AP84">
        <f>N(AP83)+$AO84</f>
        <v>0</v>
      </c>
      <c r="AQ84">
        <f>IFERROR(INDEX($AN$4:$AN$1203,MATCH(ROW()-3,$AP$4:$AP$1203,0)),"")</f>
      </c>
      <c r="AR84">
        <f>IF(OR($AF84=1,$AH84=1),1,0)</f>
        <v>0</v>
      </c>
      <c r="AS84">
        <f>N(AS83)+$AR84</f>
        <v>0</v>
      </c>
    </row>
    <row r="85" ht="14.25" customHeight="1" s="127">
      <c r="A85" t="str">
        <f>IF(对接源_01水果!$C85="","",对接源_01水果!$C85)</f>
        <v>聂新平</v>
      </c>
      <c r="B85">
        <f>IF(A85="",0,IF(MATCH(A85,$A$4:$A$2403,0)=ROW()-3,1,0))</f>
        <v>0</v>
      </c>
      <c r="C85">
        <f>N(C84)+B85</f>
        <v>4</v>
      </c>
      <c r="E85">
        <f>IFERROR(INDEX($A$4:$A$2403,MATCH(ROW()-3,$C$4:$C$2403,0)),"")</f>
      </c>
      <c r="K85">
        <f>IF(OR($K$1="",对接源_01水果!$C85="",对接源_01水果!$C85&lt;&gt;$K$1,对接源_01水果!$B85=""),0,IF(OR(N(对接源_01水果!$B85)&lt;$K$2,N(对接源_01水果!$B85)&gt;$K$3),0,1))</f>
        <v>0</v>
      </c>
      <c r="L85">
        <f>IF(OR($L$1="",对接源_01水果!$C85="",对接源_01水果!$C85&lt;&gt;$L$1,对接源_01水果!$B85=""),0,IF(OR(N(对接源_01水果!$B85)&lt;$L$2,N(对接源_01水果!$B85)&gt;$L$3),0,1))</f>
        <v>0</v>
      </c>
      <c r="M85">
        <f>IF(OR($M$1="",对接源_01水果!$C85="",对接源_01水果!$C85&lt;&gt;$M$1,对接源_01水果!$B85=""),0,IF(OR(N(对接源_01水果!$B85)&lt;$M$2,N(对接源_01水果!$B85)&gt;$M$3),0,1))</f>
        <v>0</v>
      </c>
      <c r="N85">
        <f>IF(OR($N$1="",对接源_01水果!$C85="",对接源_01水果!$C85&lt;&gt;$N$1,对接源_01水果!$B85=""),0,IF(OR(N(对接源_01水果!$B85)&lt;$N$2,N(对接源_01水果!$B85)&gt;$N$3),0,1))</f>
        <v>0</v>
      </c>
      <c r="P85">
        <f>IF(AND($K85=1,AND(对接源_01水果!$X85="公司筐",N(对接源_01水果!$T85)&lt;&gt;0)),1,0)</f>
        <v>0</v>
      </c>
      <c r="Q85">
        <f>N(Q84)+$P85</f>
        <v>0</v>
      </c>
      <c r="R85">
        <f>IF(AND($K85=1,AND(对接源_01水果!$X85="公司筐",N(对接源_01水果!$U85)&lt;&gt;0)),1,0)</f>
        <v>0</v>
      </c>
      <c r="S85">
        <f>N(S84)+$R85</f>
        <v>0</v>
      </c>
      <c r="T85">
        <f>IF(AND($K85=1,AND(对接源_01水果!$X85="公司筐",N(对接源_01水果!$V85)&lt;&gt;0)),1,0)</f>
        <v>0</v>
      </c>
      <c r="U85">
        <f>N(U84)+$T85</f>
        <v>0</v>
      </c>
      <c r="V85">
        <f>IF(AND($L85=1,AND(对接源_01水果!$X85="自备筐",N(对接源_01水果!$V85)&lt;&gt;0)),1,0)</f>
        <v>0</v>
      </c>
      <c r="W85">
        <f>N(W84)+$V85</f>
        <v>0</v>
      </c>
      <c r="X85">
        <f>IF(AND($L85=1,AND(对接源_01水果!$X85="自备筐",N(对接源_01水果!$T85)&lt;&gt;0)),1,0)</f>
        <v>0</v>
      </c>
      <c r="Y85">
        <f>N(Y84)+$X85</f>
        <v>0</v>
      </c>
      <c r="Z85">
        <f>IF(AND($M85=1,对接源_01水果!$D85="原料入库"),1,0)</f>
        <v>0</v>
      </c>
      <c r="AA85">
        <f>N(AA84)+$Z85</f>
        <v>0</v>
      </c>
      <c r="AB85">
        <f>IF(AND($M85=1,LEFT(对接源_01水果!$D85,4)="原料出库"),1,0)</f>
        <v>0</v>
      </c>
      <c r="AC85">
        <f>N(AC84)+$AB85</f>
        <v>0</v>
      </c>
      <c r="AD85">
        <f>IF(AND($M85=1,LEFT(对接源_01水果!$D85,4)="成品出库"),1,0)</f>
        <v>0</v>
      </c>
      <c r="AE85">
        <f>N(AE84)+$AD85</f>
        <v>0</v>
      </c>
      <c r="AF85">
        <f>IF(AND($N85=1,AND(LEFT(对接源_01水果!$D85,4)="包装物料",N(对接源_01水果!$K85)&lt;&gt;0)),1,0)</f>
        <v>0</v>
      </c>
      <c r="AG85">
        <f>N(AG84)+$AF85</f>
        <v>0</v>
      </c>
      <c r="AH85">
        <f>IF(AND($N85=1,AND(对接源_01水果!$D85="周转筐－销售出库",N(对接源_01水果!$K85)&lt;&gt;0)),1,0)</f>
        <v>0</v>
      </c>
      <c r="AI85">
        <f>N(AI84)+$AH85</f>
        <v>0</v>
      </c>
      <c r="AJ85" s="7" t="n"/>
      <c r="AL85">
        <f>IF(OR($AL$1="",对接源_01水果!$Y85="",对接源_01水果!$Y85&lt;&gt;$AL$1,对接源_01水果!$B85="",N(对接源_01水果!$AJ85)&lt;=0),0,IF(OR(N(对接源_01水果!$B85)&lt;$AL$2,N(对接源_01水果!$B85)&gt;$AL$3),0,1))</f>
        <v>0</v>
      </c>
      <c r="AM85">
        <f>N(AM84)+$AL85</f>
        <v>0</v>
      </c>
      <c r="AN85">
        <f>IF(对接源_01水果!$AC85="","",对接源_01水果!$AC85)</f>
      </c>
      <c r="AO85">
        <f>IF(AN85="",0,IF(MATCH(AN85,$AN$4:$AN$1203,0)=ROW()-3,1,0))</f>
        <v>0</v>
      </c>
      <c r="AP85">
        <f>N(AP84)+$AO85</f>
        <v>0</v>
      </c>
      <c r="AQ85">
        <f>IFERROR(INDEX($AN$4:$AN$1203,MATCH(ROW()-3,$AP$4:$AP$1203,0)),"")</f>
      </c>
      <c r="AR85">
        <f>IF(OR($AF85=1,$AH85=1),1,0)</f>
        <v>0</v>
      </c>
      <c r="AS85">
        <f>N(AS84)+$AR85</f>
        <v>0</v>
      </c>
    </row>
    <row r="86" ht="14.25" customHeight="1" s="127">
      <c r="A86" t="str">
        <f>IF(对接源_01水果!$C86="","",对接源_01水果!$C86)</f>
        <v>聂新平</v>
      </c>
      <c r="B86">
        <f>IF(A86="",0,IF(MATCH(A86,$A$4:$A$2403,0)=ROW()-3,1,0))</f>
        <v>0</v>
      </c>
      <c r="C86">
        <f>N(C85)+B86</f>
        <v>4</v>
      </c>
      <c r="E86">
        <f>IFERROR(INDEX($A$4:$A$2403,MATCH(ROW()-3,$C$4:$C$2403,0)),"")</f>
      </c>
      <c r="K86">
        <f>IF(OR($K$1="",对接源_01水果!$C86="",对接源_01水果!$C86&lt;&gt;$K$1,对接源_01水果!$B86=""),0,IF(OR(N(对接源_01水果!$B86)&lt;$K$2,N(对接源_01水果!$B86)&gt;$K$3),0,1))</f>
        <v>0</v>
      </c>
      <c r="L86">
        <f>IF(OR($L$1="",对接源_01水果!$C86="",对接源_01水果!$C86&lt;&gt;$L$1,对接源_01水果!$B86=""),0,IF(OR(N(对接源_01水果!$B86)&lt;$L$2,N(对接源_01水果!$B86)&gt;$L$3),0,1))</f>
        <v>0</v>
      </c>
      <c r="M86">
        <f>IF(OR($M$1="",对接源_01水果!$C86="",对接源_01水果!$C86&lt;&gt;$M$1,对接源_01水果!$B86=""),0,IF(OR(N(对接源_01水果!$B86)&lt;$M$2,N(对接源_01水果!$B86)&gt;$M$3),0,1))</f>
        <v>0</v>
      </c>
      <c r="N86">
        <f>IF(OR($N$1="",对接源_01水果!$C86="",对接源_01水果!$C86&lt;&gt;$N$1,对接源_01水果!$B86=""),0,IF(OR(N(对接源_01水果!$B86)&lt;$N$2,N(对接源_01水果!$B86)&gt;$N$3),0,1))</f>
        <v>0</v>
      </c>
      <c r="P86">
        <f>IF(AND($K86=1,AND(对接源_01水果!$X86="公司筐",N(对接源_01水果!$T86)&lt;&gt;0)),1,0)</f>
        <v>0</v>
      </c>
      <c r="Q86">
        <f>N(Q85)+$P86</f>
        <v>0</v>
      </c>
      <c r="R86">
        <f>IF(AND($K86=1,AND(对接源_01水果!$X86="公司筐",N(对接源_01水果!$U86)&lt;&gt;0)),1,0)</f>
        <v>0</v>
      </c>
      <c r="S86">
        <f>N(S85)+$R86</f>
        <v>0</v>
      </c>
      <c r="T86">
        <f>IF(AND($K86=1,AND(对接源_01水果!$X86="公司筐",N(对接源_01水果!$V86)&lt;&gt;0)),1,0)</f>
        <v>0</v>
      </c>
      <c r="U86">
        <f>N(U85)+$T86</f>
        <v>0</v>
      </c>
      <c r="V86">
        <f>IF(AND($L86=1,AND(对接源_01水果!$X86="自备筐",N(对接源_01水果!$V86)&lt;&gt;0)),1,0)</f>
        <v>0</v>
      </c>
      <c r="W86">
        <f>N(W85)+$V86</f>
        <v>0</v>
      </c>
      <c r="X86">
        <f>IF(AND($L86=1,AND(对接源_01水果!$X86="自备筐",N(对接源_01水果!$T86)&lt;&gt;0)),1,0)</f>
        <v>0</v>
      </c>
      <c r="Y86">
        <f>N(Y85)+$X86</f>
        <v>0</v>
      </c>
      <c r="Z86">
        <f>IF(AND($M86=1,对接源_01水果!$D86="原料入库"),1,0)</f>
        <v>0</v>
      </c>
      <c r="AA86">
        <f>N(AA85)+$Z86</f>
        <v>0</v>
      </c>
      <c r="AB86">
        <f>IF(AND($M86=1,LEFT(对接源_01水果!$D86,4)="原料出库"),1,0)</f>
        <v>0</v>
      </c>
      <c r="AC86">
        <f>N(AC85)+$AB86</f>
        <v>0</v>
      </c>
      <c r="AD86">
        <f>IF(AND($M86=1,LEFT(对接源_01水果!$D86,4)="成品出库"),1,0)</f>
        <v>0</v>
      </c>
      <c r="AE86">
        <f>N(AE85)+$AD86</f>
        <v>0</v>
      </c>
      <c r="AF86">
        <f>IF(AND($N86=1,AND(LEFT(对接源_01水果!$D86,4)="包装物料",N(对接源_01水果!$K86)&lt;&gt;0)),1,0)</f>
        <v>0</v>
      </c>
      <c r="AG86">
        <f>N(AG85)+$AF86</f>
        <v>0</v>
      </c>
      <c r="AH86">
        <f>IF(AND($N86=1,AND(对接源_01水果!$D86="周转筐－销售出库",N(对接源_01水果!$K86)&lt;&gt;0)),1,0)</f>
        <v>0</v>
      </c>
      <c r="AI86">
        <f>N(AI85)+$AH86</f>
        <v>0</v>
      </c>
      <c r="AJ86" s="7" t="n"/>
      <c r="AL86">
        <f>IF(OR($AL$1="",对接源_01水果!$Y86="",对接源_01水果!$Y86&lt;&gt;$AL$1,对接源_01水果!$B86="",N(对接源_01水果!$AJ86)&lt;=0),0,IF(OR(N(对接源_01水果!$B86)&lt;$AL$2,N(对接源_01水果!$B86)&gt;$AL$3),0,1))</f>
        <v>0</v>
      </c>
      <c r="AM86">
        <f>N(AM85)+$AL86</f>
        <v>0</v>
      </c>
      <c r="AN86">
        <f>IF(对接源_01水果!$AC86="","",对接源_01水果!$AC86)</f>
      </c>
      <c r="AO86">
        <f>IF(AN86="",0,IF(MATCH(AN86,$AN$4:$AN$1203,0)=ROW()-3,1,0))</f>
        <v>0</v>
      </c>
      <c r="AP86">
        <f>N(AP85)+$AO86</f>
        <v>0</v>
      </c>
      <c r="AQ86">
        <f>IFERROR(INDEX($AN$4:$AN$1203,MATCH(ROW()-3,$AP$4:$AP$1203,0)),"")</f>
      </c>
      <c r="AR86">
        <f>IF(OR($AF86=1,$AH86=1),1,0)</f>
        <v>0</v>
      </c>
      <c r="AS86">
        <f>N(AS85)+$AR86</f>
        <v>0</v>
      </c>
    </row>
    <row r="87" ht="14.25" customHeight="1" s="127">
      <c r="A87" t="str">
        <f>IF(对接源_01水果!$C87="","",对接源_01水果!$C87)</f>
        <v>聂新平</v>
      </c>
      <c r="B87">
        <f>IF(A87="",0,IF(MATCH(A87,$A$4:$A$2403,0)=ROW()-3,1,0))</f>
        <v>0</v>
      </c>
      <c r="C87">
        <f>N(C86)+B87</f>
        <v>4</v>
      </c>
      <c r="E87">
        <f>IFERROR(INDEX($A$4:$A$2403,MATCH(ROW()-3,$C$4:$C$2403,0)),"")</f>
      </c>
      <c r="K87">
        <f>IF(OR($K$1="",对接源_01水果!$C87="",对接源_01水果!$C87&lt;&gt;$K$1,对接源_01水果!$B87=""),0,IF(OR(N(对接源_01水果!$B87)&lt;$K$2,N(对接源_01水果!$B87)&gt;$K$3),0,1))</f>
        <v>0</v>
      </c>
      <c r="L87">
        <f>IF(OR($L$1="",对接源_01水果!$C87="",对接源_01水果!$C87&lt;&gt;$L$1,对接源_01水果!$B87=""),0,IF(OR(N(对接源_01水果!$B87)&lt;$L$2,N(对接源_01水果!$B87)&gt;$L$3),0,1))</f>
        <v>0</v>
      </c>
      <c r="M87">
        <f>IF(OR($M$1="",对接源_01水果!$C87="",对接源_01水果!$C87&lt;&gt;$M$1,对接源_01水果!$B87=""),0,IF(OR(N(对接源_01水果!$B87)&lt;$M$2,N(对接源_01水果!$B87)&gt;$M$3),0,1))</f>
        <v>0</v>
      </c>
      <c r="N87">
        <f>IF(OR($N$1="",对接源_01水果!$C87="",对接源_01水果!$C87&lt;&gt;$N$1,对接源_01水果!$B87=""),0,IF(OR(N(对接源_01水果!$B87)&lt;$N$2,N(对接源_01水果!$B87)&gt;$N$3),0,1))</f>
        <v>0</v>
      </c>
      <c r="P87">
        <f>IF(AND($K87=1,AND(对接源_01水果!$X87="公司筐",N(对接源_01水果!$T87)&lt;&gt;0)),1,0)</f>
        <v>0</v>
      </c>
      <c r="Q87">
        <f>N(Q86)+$P87</f>
        <v>0</v>
      </c>
      <c r="R87">
        <f>IF(AND($K87=1,AND(对接源_01水果!$X87="公司筐",N(对接源_01水果!$U87)&lt;&gt;0)),1,0)</f>
        <v>0</v>
      </c>
      <c r="S87">
        <f>N(S86)+$R87</f>
        <v>0</v>
      </c>
      <c r="T87">
        <f>IF(AND($K87=1,AND(对接源_01水果!$X87="公司筐",N(对接源_01水果!$V87)&lt;&gt;0)),1,0)</f>
        <v>0</v>
      </c>
      <c r="U87">
        <f>N(U86)+$T87</f>
        <v>0</v>
      </c>
      <c r="V87">
        <f>IF(AND($L87=1,AND(对接源_01水果!$X87="自备筐",N(对接源_01水果!$V87)&lt;&gt;0)),1,0)</f>
        <v>0</v>
      </c>
      <c r="W87">
        <f>N(W86)+$V87</f>
        <v>0</v>
      </c>
      <c r="X87">
        <f>IF(AND($L87=1,AND(对接源_01水果!$X87="自备筐",N(对接源_01水果!$T87)&lt;&gt;0)),1,0)</f>
        <v>0</v>
      </c>
      <c r="Y87">
        <f>N(Y86)+$X87</f>
        <v>0</v>
      </c>
      <c r="Z87">
        <f>IF(AND($M87=1,对接源_01水果!$D87="原料入库"),1,0)</f>
        <v>0</v>
      </c>
      <c r="AA87">
        <f>N(AA86)+$Z87</f>
        <v>0</v>
      </c>
      <c r="AB87">
        <f>IF(AND($M87=1,LEFT(对接源_01水果!$D87,4)="原料出库"),1,0)</f>
        <v>0</v>
      </c>
      <c r="AC87">
        <f>N(AC86)+$AB87</f>
        <v>0</v>
      </c>
      <c r="AD87">
        <f>IF(AND($M87=1,LEFT(对接源_01水果!$D87,4)="成品出库"),1,0)</f>
        <v>0</v>
      </c>
      <c r="AE87">
        <f>N(AE86)+$AD87</f>
        <v>0</v>
      </c>
      <c r="AF87">
        <f>IF(AND($N87=1,AND(LEFT(对接源_01水果!$D87,4)="包装物料",N(对接源_01水果!$K87)&lt;&gt;0)),1,0)</f>
        <v>0</v>
      </c>
      <c r="AG87">
        <f>N(AG86)+$AF87</f>
        <v>0</v>
      </c>
      <c r="AH87">
        <f>IF(AND($N87=1,AND(对接源_01水果!$D87="周转筐－销售出库",N(对接源_01水果!$K87)&lt;&gt;0)),1,0)</f>
        <v>0</v>
      </c>
      <c r="AI87">
        <f>N(AI86)+$AH87</f>
        <v>0</v>
      </c>
      <c r="AJ87" s="7" t="n"/>
      <c r="AL87">
        <f>IF(OR($AL$1="",对接源_01水果!$Y87="",对接源_01水果!$Y87&lt;&gt;$AL$1,对接源_01水果!$B87="",N(对接源_01水果!$AJ87)&lt;=0),0,IF(OR(N(对接源_01水果!$B87)&lt;$AL$2,N(对接源_01水果!$B87)&gt;$AL$3),0,1))</f>
        <v>0</v>
      </c>
      <c r="AM87">
        <f>N(AM86)+$AL87</f>
        <v>0</v>
      </c>
      <c r="AN87">
        <f>IF(对接源_01水果!$AC87="","",对接源_01水果!$AC87)</f>
      </c>
      <c r="AO87">
        <f>IF(AN87="",0,IF(MATCH(AN87,$AN$4:$AN$1203,0)=ROW()-3,1,0))</f>
        <v>0</v>
      </c>
      <c r="AP87">
        <f>N(AP86)+$AO87</f>
        <v>0</v>
      </c>
      <c r="AQ87">
        <f>IFERROR(INDEX($AN$4:$AN$1203,MATCH(ROW()-3,$AP$4:$AP$1203,0)),"")</f>
      </c>
      <c r="AR87">
        <f>IF(OR($AF87=1,$AH87=1),1,0)</f>
        <v>0</v>
      </c>
      <c r="AS87">
        <f>N(AS86)+$AR87</f>
        <v>0</v>
      </c>
    </row>
    <row r="88" ht="14.25" customHeight="1" s="127">
      <c r="A88" t="str">
        <f>IF(对接源_01水果!$C88="","",对接源_01水果!$C88)</f>
        <v>聂新平</v>
      </c>
      <c r="B88">
        <f>IF(A88="",0,IF(MATCH(A88,$A$4:$A$2403,0)=ROW()-3,1,0))</f>
        <v>0</v>
      </c>
      <c r="C88">
        <f>N(C87)+B88</f>
        <v>4</v>
      </c>
      <c r="E88">
        <f>IFERROR(INDEX($A$4:$A$2403,MATCH(ROW()-3,$C$4:$C$2403,0)),"")</f>
      </c>
      <c r="K88">
        <f>IF(OR($K$1="",对接源_01水果!$C88="",对接源_01水果!$C88&lt;&gt;$K$1,对接源_01水果!$B88=""),0,IF(OR(N(对接源_01水果!$B88)&lt;$K$2,N(对接源_01水果!$B88)&gt;$K$3),0,1))</f>
        <v>0</v>
      </c>
      <c r="L88">
        <f>IF(OR($L$1="",对接源_01水果!$C88="",对接源_01水果!$C88&lt;&gt;$L$1,对接源_01水果!$B88=""),0,IF(OR(N(对接源_01水果!$B88)&lt;$L$2,N(对接源_01水果!$B88)&gt;$L$3),0,1))</f>
        <v>0</v>
      </c>
      <c r="M88">
        <f>IF(OR($M$1="",对接源_01水果!$C88="",对接源_01水果!$C88&lt;&gt;$M$1,对接源_01水果!$B88=""),0,IF(OR(N(对接源_01水果!$B88)&lt;$M$2,N(对接源_01水果!$B88)&gt;$M$3),0,1))</f>
        <v>0</v>
      </c>
      <c r="N88">
        <f>IF(OR($N$1="",对接源_01水果!$C88="",对接源_01水果!$C88&lt;&gt;$N$1,对接源_01水果!$B88=""),0,IF(OR(N(对接源_01水果!$B88)&lt;$N$2,N(对接源_01水果!$B88)&gt;$N$3),0,1))</f>
        <v>0</v>
      </c>
      <c r="P88">
        <f>IF(AND($K88=1,AND(对接源_01水果!$X88="公司筐",N(对接源_01水果!$T88)&lt;&gt;0)),1,0)</f>
        <v>0</v>
      </c>
      <c r="Q88">
        <f>N(Q87)+$P88</f>
        <v>0</v>
      </c>
      <c r="R88">
        <f>IF(AND($K88=1,AND(对接源_01水果!$X88="公司筐",N(对接源_01水果!$U88)&lt;&gt;0)),1,0)</f>
        <v>0</v>
      </c>
      <c r="S88">
        <f>N(S87)+$R88</f>
        <v>0</v>
      </c>
      <c r="T88">
        <f>IF(AND($K88=1,AND(对接源_01水果!$X88="公司筐",N(对接源_01水果!$V88)&lt;&gt;0)),1,0)</f>
        <v>0</v>
      </c>
      <c r="U88">
        <f>N(U87)+$T88</f>
        <v>0</v>
      </c>
      <c r="V88">
        <f>IF(AND($L88=1,AND(对接源_01水果!$X88="自备筐",N(对接源_01水果!$V88)&lt;&gt;0)),1,0)</f>
        <v>0</v>
      </c>
      <c r="W88">
        <f>N(W87)+$V88</f>
        <v>0</v>
      </c>
      <c r="X88">
        <f>IF(AND($L88=1,AND(对接源_01水果!$X88="自备筐",N(对接源_01水果!$T88)&lt;&gt;0)),1,0)</f>
        <v>0</v>
      </c>
      <c r="Y88">
        <f>N(Y87)+$X88</f>
        <v>0</v>
      </c>
      <c r="Z88">
        <f>IF(AND($M88=1,对接源_01水果!$D88="原料入库"),1,0)</f>
        <v>0</v>
      </c>
      <c r="AA88">
        <f>N(AA87)+$Z88</f>
        <v>0</v>
      </c>
      <c r="AB88">
        <f>IF(AND($M88=1,LEFT(对接源_01水果!$D88,4)="原料出库"),1,0)</f>
        <v>0</v>
      </c>
      <c r="AC88">
        <f>N(AC87)+$AB88</f>
        <v>0</v>
      </c>
      <c r="AD88">
        <f>IF(AND($M88=1,LEFT(对接源_01水果!$D88,4)="成品出库"),1,0)</f>
        <v>0</v>
      </c>
      <c r="AE88">
        <f>N(AE87)+$AD88</f>
        <v>0</v>
      </c>
      <c r="AF88">
        <f>IF(AND($N88=1,AND(LEFT(对接源_01水果!$D88,4)="包装物料",N(对接源_01水果!$K88)&lt;&gt;0)),1,0)</f>
        <v>0</v>
      </c>
      <c r="AG88">
        <f>N(AG87)+$AF88</f>
        <v>0</v>
      </c>
      <c r="AH88">
        <f>IF(AND($N88=1,AND(对接源_01水果!$D88="周转筐－销售出库",N(对接源_01水果!$K88)&lt;&gt;0)),1,0)</f>
        <v>0</v>
      </c>
      <c r="AI88">
        <f>N(AI87)+$AH88</f>
        <v>0</v>
      </c>
      <c r="AJ88" s="7" t="n"/>
      <c r="AL88">
        <f>IF(OR($AL$1="",对接源_01水果!$Y88="",对接源_01水果!$Y88&lt;&gt;$AL$1,对接源_01水果!$B88="",N(对接源_01水果!$AJ88)&lt;=0),0,IF(OR(N(对接源_01水果!$B88)&lt;$AL$2,N(对接源_01水果!$B88)&gt;$AL$3),0,1))</f>
        <v>0</v>
      </c>
      <c r="AM88">
        <f>N(AM87)+$AL88</f>
        <v>0</v>
      </c>
      <c r="AN88">
        <f>IF(对接源_01水果!$AC88="","",对接源_01水果!$AC88)</f>
      </c>
      <c r="AO88">
        <f>IF(AN88="",0,IF(MATCH(AN88,$AN$4:$AN$1203,0)=ROW()-3,1,0))</f>
        <v>0</v>
      </c>
      <c r="AP88">
        <f>N(AP87)+$AO88</f>
        <v>0</v>
      </c>
      <c r="AQ88">
        <f>IFERROR(INDEX($AN$4:$AN$1203,MATCH(ROW()-3,$AP$4:$AP$1203,0)),"")</f>
      </c>
      <c r="AR88">
        <f>IF(OR($AF88=1,$AH88=1),1,0)</f>
        <v>0</v>
      </c>
      <c r="AS88">
        <f>N(AS87)+$AR88</f>
        <v>0</v>
      </c>
    </row>
    <row r="89" ht="14.25" customHeight="1" s="127">
      <c r="A89" t="str">
        <f>IF(对接源_01水果!$C89="","",对接源_01水果!$C89)</f>
        <v>聂新平</v>
      </c>
      <c r="B89">
        <f>IF(A89="",0,IF(MATCH(A89,$A$4:$A$2403,0)=ROW()-3,1,0))</f>
        <v>0</v>
      </c>
      <c r="C89">
        <f>N(C88)+B89</f>
        <v>4</v>
      </c>
      <c r="E89">
        <f>IFERROR(INDEX($A$4:$A$2403,MATCH(ROW()-3,$C$4:$C$2403,0)),"")</f>
      </c>
      <c r="K89">
        <f>IF(OR($K$1="",对接源_01水果!$C89="",对接源_01水果!$C89&lt;&gt;$K$1,对接源_01水果!$B89=""),0,IF(OR(N(对接源_01水果!$B89)&lt;$K$2,N(对接源_01水果!$B89)&gt;$K$3),0,1))</f>
        <v>0</v>
      </c>
      <c r="L89">
        <f>IF(OR($L$1="",对接源_01水果!$C89="",对接源_01水果!$C89&lt;&gt;$L$1,对接源_01水果!$B89=""),0,IF(OR(N(对接源_01水果!$B89)&lt;$L$2,N(对接源_01水果!$B89)&gt;$L$3),0,1))</f>
        <v>0</v>
      </c>
      <c r="M89">
        <f>IF(OR($M$1="",对接源_01水果!$C89="",对接源_01水果!$C89&lt;&gt;$M$1,对接源_01水果!$B89=""),0,IF(OR(N(对接源_01水果!$B89)&lt;$M$2,N(对接源_01水果!$B89)&gt;$M$3),0,1))</f>
        <v>0</v>
      </c>
      <c r="N89">
        <f>IF(OR($N$1="",对接源_01水果!$C89="",对接源_01水果!$C89&lt;&gt;$N$1,对接源_01水果!$B89=""),0,IF(OR(N(对接源_01水果!$B89)&lt;$N$2,N(对接源_01水果!$B89)&gt;$N$3),0,1))</f>
        <v>0</v>
      </c>
      <c r="P89">
        <f>IF(AND($K89=1,AND(对接源_01水果!$X89="公司筐",N(对接源_01水果!$T89)&lt;&gt;0)),1,0)</f>
        <v>0</v>
      </c>
      <c r="Q89">
        <f>N(Q88)+$P89</f>
        <v>0</v>
      </c>
      <c r="R89">
        <f>IF(AND($K89=1,AND(对接源_01水果!$X89="公司筐",N(对接源_01水果!$U89)&lt;&gt;0)),1,0)</f>
        <v>0</v>
      </c>
      <c r="S89">
        <f>N(S88)+$R89</f>
        <v>0</v>
      </c>
      <c r="T89">
        <f>IF(AND($K89=1,AND(对接源_01水果!$X89="公司筐",N(对接源_01水果!$V89)&lt;&gt;0)),1,0)</f>
        <v>0</v>
      </c>
      <c r="U89">
        <f>N(U88)+$T89</f>
        <v>0</v>
      </c>
      <c r="V89">
        <f>IF(AND($L89=1,AND(对接源_01水果!$X89="自备筐",N(对接源_01水果!$V89)&lt;&gt;0)),1,0)</f>
        <v>0</v>
      </c>
      <c r="W89">
        <f>N(W88)+$V89</f>
        <v>0</v>
      </c>
      <c r="X89">
        <f>IF(AND($L89=1,AND(对接源_01水果!$X89="自备筐",N(对接源_01水果!$T89)&lt;&gt;0)),1,0)</f>
        <v>0</v>
      </c>
      <c r="Y89">
        <f>N(Y88)+$X89</f>
        <v>0</v>
      </c>
      <c r="Z89">
        <f>IF(AND($M89=1,对接源_01水果!$D89="原料入库"),1,0)</f>
        <v>0</v>
      </c>
      <c r="AA89">
        <f>N(AA88)+$Z89</f>
        <v>0</v>
      </c>
      <c r="AB89">
        <f>IF(AND($M89=1,LEFT(对接源_01水果!$D89,4)="原料出库"),1,0)</f>
        <v>0</v>
      </c>
      <c r="AC89">
        <f>N(AC88)+$AB89</f>
        <v>0</v>
      </c>
      <c r="AD89">
        <f>IF(AND($M89=1,LEFT(对接源_01水果!$D89,4)="成品出库"),1,0)</f>
        <v>0</v>
      </c>
      <c r="AE89">
        <f>N(AE88)+$AD89</f>
        <v>0</v>
      </c>
      <c r="AF89">
        <f>IF(AND($N89=1,AND(LEFT(对接源_01水果!$D89,4)="包装物料",N(对接源_01水果!$K89)&lt;&gt;0)),1,0)</f>
        <v>0</v>
      </c>
      <c r="AG89">
        <f>N(AG88)+$AF89</f>
        <v>0</v>
      </c>
      <c r="AH89">
        <f>IF(AND($N89=1,AND(对接源_01水果!$D89="周转筐－销售出库",N(对接源_01水果!$K89)&lt;&gt;0)),1,0)</f>
        <v>0</v>
      </c>
      <c r="AI89">
        <f>N(AI88)+$AH89</f>
        <v>0</v>
      </c>
      <c r="AJ89" s="7" t="n"/>
      <c r="AL89">
        <f>IF(OR($AL$1="",对接源_01水果!$Y89="",对接源_01水果!$Y89&lt;&gt;$AL$1,对接源_01水果!$B89="",N(对接源_01水果!$AJ89)&lt;=0),0,IF(OR(N(对接源_01水果!$B89)&lt;$AL$2,N(对接源_01水果!$B89)&gt;$AL$3),0,1))</f>
        <v>0</v>
      </c>
      <c r="AM89">
        <f>N(AM88)+$AL89</f>
        <v>0</v>
      </c>
      <c r="AN89">
        <f>IF(对接源_01水果!$AC89="","",对接源_01水果!$AC89)</f>
      </c>
      <c r="AO89">
        <f>IF(AN89="",0,IF(MATCH(AN89,$AN$4:$AN$1203,0)=ROW()-3,1,0))</f>
        <v>0</v>
      </c>
      <c r="AP89">
        <f>N(AP88)+$AO89</f>
        <v>0</v>
      </c>
      <c r="AQ89">
        <f>IFERROR(INDEX($AN$4:$AN$1203,MATCH(ROW()-3,$AP$4:$AP$1203,0)),"")</f>
      </c>
      <c r="AR89">
        <f>IF(OR($AF89=1,$AH89=1),1,0)</f>
        <v>0</v>
      </c>
      <c r="AS89">
        <f>N(AS88)+$AR89</f>
        <v>0</v>
      </c>
    </row>
    <row r="90" ht="14.25" customHeight="1" s="127">
      <c r="A90" t="str">
        <f>IF(对接源_01水果!$C90="","",对接源_01水果!$C90)</f>
        <v>聂新平</v>
      </c>
      <c r="B90">
        <f>IF(A90="",0,IF(MATCH(A90,$A$4:$A$2403,0)=ROW()-3,1,0))</f>
        <v>0</v>
      </c>
      <c r="C90">
        <f>N(C89)+B90</f>
        <v>4</v>
      </c>
      <c r="E90">
        <f>IFERROR(INDEX($A$4:$A$2403,MATCH(ROW()-3,$C$4:$C$2403,0)),"")</f>
      </c>
      <c r="K90">
        <f>IF(OR($K$1="",对接源_01水果!$C90="",对接源_01水果!$C90&lt;&gt;$K$1,对接源_01水果!$B90=""),0,IF(OR(N(对接源_01水果!$B90)&lt;$K$2,N(对接源_01水果!$B90)&gt;$K$3),0,1))</f>
        <v>0</v>
      </c>
      <c r="L90">
        <f>IF(OR($L$1="",对接源_01水果!$C90="",对接源_01水果!$C90&lt;&gt;$L$1,对接源_01水果!$B90=""),0,IF(OR(N(对接源_01水果!$B90)&lt;$L$2,N(对接源_01水果!$B90)&gt;$L$3),0,1))</f>
        <v>0</v>
      </c>
      <c r="M90">
        <f>IF(OR($M$1="",对接源_01水果!$C90="",对接源_01水果!$C90&lt;&gt;$M$1,对接源_01水果!$B90=""),0,IF(OR(N(对接源_01水果!$B90)&lt;$M$2,N(对接源_01水果!$B90)&gt;$M$3),0,1))</f>
        <v>0</v>
      </c>
      <c r="N90">
        <f>IF(OR($N$1="",对接源_01水果!$C90="",对接源_01水果!$C90&lt;&gt;$N$1,对接源_01水果!$B90=""),0,IF(OR(N(对接源_01水果!$B90)&lt;$N$2,N(对接源_01水果!$B90)&gt;$N$3),0,1))</f>
        <v>0</v>
      </c>
      <c r="P90">
        <f>IF(AND($K90=1,AND(对接源_01水果!$X90="公司筐",N(对接源_01水果!$T90)&lt;&gt;0)),1,0)</f>
        <v>0</v>
      </c>
      <c r="Q90">
        <f>N(Q89)+$P90</f>
        <v>0</v>
      </c>
      <c r="R90">
        <f>IF(AND($K90=1,AND(对接源_01水果!$X90="公司筐",N(对接源_01水果!$U90)&lt;&gt;0)),1,0)</f>
        <v>0</v>
      </c>
      <c r="S90">
        <f>N(S89)+$R90</f>
        <v>0</v>
      </c>
      <c r="T90">
        <f>IF(AND($K90=1,AND(对接源_01水果!$X90="公司筐",N(对接源_01水果!$V90)&lt;&gt;0)),1,0)</f>
        <v>0</v>
      </c>
      <c r="U90">
        <f>N(U89)+$T90</f>
        <v>0</v>
      </c>
      <c r="V90">
        <f>IF(AND($L90=1,AND(对接源_01水果!$X90="自备筐",N(对接源_01水果!$V90)&lt;&gt;0)),1,0)</f>
        <v>0</v>
      </c>
      <c r="W90">
        <f>N(W89)+$V90</f>
        <v>0</v>
      </c>
      <c r="X90">
        <f>IF(AND($L90=1,AND(对接源_01水果!$X90="自备筐",N(对接源_01水果!$T90)&lt;&gt;0)),1,0)</f>
        <v>0</v>
      </c>
      <c r="Y90">
        <f>N(Y89)+$X90</f>
        <v>0</v>
      </c>
      <c r="Z90">
        <f>IF(AND($M90=1,对接源_01水果!$D90="原料入库"),1,0)</f>
        <v>0</v>
      </c>
      <c r="AA90">
        <f>N(AA89)+$Z90</f>
        <v>0</v>
      </c>
      <c r="AB90">
        <f>IF(AND($M90=1,LEFT(对接源_01水果!$D90,4)="原料出库"),1,0)</f>
        <v>0</v>
      </c>
      <c r="AC90">
        <f>N(AC89)+$AB90</f>
        <v>0</v>
      </c>
      <c r="AD90">
        <f>IF(AND($M90=1,LEFT(对接源_01水果!$D90,4)="成品出库"),1,0)</f>
        <v>0</v>
      </c>
      <c r="AE90">
        <f>N(AE89)+$AD90</f>
        <v>0</v>
      </c>
      <c r="AF90">
        <f>IF(AND($N90=1,AND(LEFT(对接源_01水果!$D90,4)="包装物料",N(对接源_01水果!$K90)&lt;&gt;0)),1,0)</f>
        <v>0</v>
      </c>
      <c r="AG90">
        <f>N(AG89)+$AF90</f>
        <v>0</v>
      </c>
      <c r="AH90">
        <f>IF(AND($N90=1,AND(对接源_01水果!$D90="周转筐－销售出库",N(对接源_01水果!$K90)&lt;&gt;0)),1,0)</f>
        <v>0</v>
      </c>
      <c r="AI90">
        <f>N(AI89)+$AH90</f>
        <v>0</v>
      </c>
      <c r="AJ90" s="7" t="n"/>
      <c r="AL90">
        <f>IF(OR($AL$1="",对接源_01水果!$Y90="",对接源_01水果!$Y90&lt;&gt;$AL$1,对接源_01水果!$B90="",N(对接源_01水果!$AJ90)&lt;=0),0,IF(OR(N(对接源_01水果!$B90)&lt;$AL$2,N(对接源_01水果!$B90)&gt;$AL$3),0,1))</f>
        <v>0</v>
      </c>
      <c r="AM90">
        <f>N(AM89)+$AL90</f>
        <v>0</v>
      </c>
      <c r="AN90">
        <f>IF(对接源_01水果!$AC90="","",对接源_01水果!$AC90)</f>
      </c>
      <c r="AO90">
        <f>IF(AN90="",0,IF(MATCH(AN90,$AN$4:$AN$1203,0)=ROW()-3,1,0))</f>
        <v>0</v>
      </c>
      <c r="AP90">
        <f>N(AP89)+$AO90</f>
        <v>0</v>
      </c>
      <c r="AQ90">
        <f>IFERROR(INDEX($AN$4:$AN$1203,MATCH(ROW()-3,$AP$4:$AP$1203,0)),"")</f>
      </c>
      <c r="AR90">
        <f>IF(OR($AF90=1,$AH90=1),1,0)</f>
        <v>0</v>
      </c>
      <c r="AS90">
        <f>N(AS89)+$AR90</f>
        <v>0</v>
      </c>
    </row>
    <row r="91" ht="14.25" customHeight="1" s="127">
      <c r="A91" t="str">
        <f>IF(对接源_01水果!$C91="","",对接源_01水果!$C91)</f>
        <v>聂新平</v>
      </c>
      <c r="B91">
        <f>IF(A91="",0,IF(MATCH(A91,$A$4:$A$2403,0)=ROW()-3,1,0))</f>
        <v>0</v>
      </c>
      <c r="C91">
        <f>N(C90)+B91</f>
        <v>4</v>
      </c>
      <c r="E91">
        <f>IFERROR(INDEX($A$4:$A$2403,MATCH(ROW()-3,$C$4:$C$2403,0)),"")</f>
      </c>
      <c r="K91">
        <f>IF(OR($K$1="",对接源_01水果!$C91="",对接源_01水果!$C91&lt;&gt;$K$1,对接源_01水果!$B91=""),0,IF(OR(N(对接源_01水果!$B91)&lt;$K$2,N(对接源_01水果!$B91)&gt;$K$3),0,1))</f>
        <v>0</v>
      </c>
      <c r="L91">
        <f>IF(OR($L$1="",对接源_01水果!$C91="",对接源_01水果!$C91&lt;&gt;$L$1,对接源_01水果!$B91=""),0,IF(OR(N(对接源_01水果!$B91)&lt;$L$2,N(对接源_01水果!$B91)&gt;$L$3),0,1))</f>
        <v>0</v>
      </c>
      <c r="M91">
        <f>IF(OR($M$1="",对接源_01水果!$C91="",对接源_01水果!$C91&lt;&gt;$M$1,对接源_01水果!$B91=""),0,IF(OR(N(对接源_01水果!$B91)&lt;$M$2,N(对接源_01水果!$B91)&gt;$M$3),0,1))</f>
        <v>0</v>
      </c>
      <c r="N91">
        <f>IF(OR($N$1="",对接源_01水果!$C91="",对接源_01水果!$C91&lt;&gt;$N$1,对接源_01水果!$B91=""),0,IF(OR(N(对接源_01水果!$B91)&lt;$N$2,N(对接源_01水果!$B91)&gt;$N$3),0,1))</f>
        <v>0</v>
      </c>
      <c r="P91">
        <f>IF(AND($K91=1,AND(对接源_01水果!$X91="公司筐",N(对接源_01水果!$T91)&lt;&gt;0)),1,0)</f>
        <v>0</v>
      </c>
      <c r="Q91">
        <f>N(Q90)+$P91</f>
        <v>0</v>
      </c>
      <c r="R91">
        <f>IF(AND($K91=1,AND(对接源_01水果!$X91="公司筐",N(对接源_01水果!$U91)&lt;&gt;0)),1,0)</f>
        <v>0</v>
      </c>
      <c r="S91">
        <f>N(S90)+$R91</f>
        <v>0</v>
      </c>
      <c r="T91">
        <f>IF(AND($K91=1,AND(对接源_01水果!$X91="公司筐",N(对接源_01水果!$V91)&lt;&gt;0)),1,0)</f>
        <v>0</v>
      </c>
      <c r="U91">
        <f>N(U90)+$T91</f>
        <v>0</v>
      </c>
      <c r="V91">
        <f>IF(AND($L91=1,AND(对接源_01水果!$X91="自备筐",N(对接源_01水果!$V91)&lt;&gt;0)),1,0)</f>
        <v>0</v>
      </c>
      <c r="W91">
        <f>N(W90)+$V91</f>
        <v>0</v>
      </c>
      <c r="X91">
        <f>IF(AND($L91=1,AND(对接源_01水果!$X91="自备筐",N(对接源_01水果!$T91)&lt;&gt;0)),1,0)</f>
        <v>0</v>
      </c>
      <c r="Y91">
        <f>N(Y90)+$X91</f>
        <v>0</v>
      </c>
      <c r="Z91">
        <f>IF(AND($M91=1,对接源_01水果!$D91="原料入库"),1,0)</f>
        <v>0</v>
      </c>
      <c r="AA91">
        <f>N(AA90)+$Z91</f>
        <v>0</v>
      </c>
      <c r="AB91">
        <f>IF(AND($M91=1,LEFT(对接源_01水果!$D91,4)="原料出库"),1,0)</f>
        <v>0</v>
      </c>
      <c r="AC91">
        <f>N(AC90)+$AB91</f>
        <v>0</v>
      </c>
      <c r="AD91">
        <f>IF(AND($M91=1,LEFT(对接源_01水果!$D91,4)="成品出库"),1,0)</f>
        <v>0</v>
      </c>
      <c r="AE91">
        <f>N(AE90)+$AD91</f>
        <v>0</v>
      </c>
      <c r="AF91">
        <f>IF(AND($N91=1,AND(LEFT(对接源_01水果!$D91,4)="包装物料",N(对接源_01水果!$K91)&lt;&gt;0)),1,0)</f>
        <v>0</v>
      </c>
      <c r="AG91">
        <f>N(AG90)+$AF91</f>
        <v>0</v>
      </c>
      <c r="AH91">
        <f>IF(AND($N91=1,AND(对接源_01水果!$D91="周转筐－销售出库",N(对接源_01水果!$K91)&lt;&gt;0)),1,0)</f>
        <v>0</v>
      </c>
      <c r="AI91">
        <f>N(AI90)+$AH91</f>
        <v>0</v>
      </c>
      <c r="AJ91" s="7" t="n"/>
      <c r="AL91">
        <f>IF(OR($AL$1="",对接源_01水果!$Y91="",对接源_01水果!$Y91&lt;&gt;$AL$1,对接源_01水果!$B91="",N(对接源_01水果!$AJ91)&lt;=0),0,IF(OR(N(对接源_01水果!$B91)&lt;$AL$2,N(对接源_01水果!$B91)&gt;$AL$3),0,1))</f>
        <v>0</v>
      </c>
      <c r="AM91">
        <f>N(AM90)+$AL91</f>
        <v>0</v>
      </c>
      <c r="AN91">
        <f>IF(对接源_01水果!$AC91="","",对接源_01水果!$AC91)</f>
      </c>
      <c r="AO91">
        <f>IF(AN91="",0,IF(MATCH(AN91,$AN$4:$AN$1203,0)=ROW()-3,1,0))</f>
        <v>0</v>
      </c>
      <c r="AP91">
        <f>N(AP90)+$AO91</f>
        <v>0</v>
      </c>
      <c r="AQ91">
        <f>IFERROR(INDEX($AN$4:$AN$1203,MATCH(ROW()-3,$AP$4:$AP$1203,0)),"")</f>
      </c>
      <c r="AR91">
        <f>IF(OR($AF91=1,$AH91=1),1,0)</f>
        <v>0</v>
      </c>
      <c r="AS91">
        <f>N(AS90)+$AR91</f>
        <v>0</v>
      </c>
    </row>
    <row r="92" ht="14.25" customHeight="1" s="127">
      <c r="A92" t="str">
        <f>IF(对接源_01水果!$C92="","",对接源_01水果!$C92)</f>
        <v>聂新平</v>
      </c>
      <c r="B92">
        <f>IF(A92="",0,IF(MATCH(A92,$A$4:$A$2403,0)=ROW()-3,1,0))</f>
        <v>0</v>
      </c>
      <c r="C92">
        <f>N(C91)+B92</f>
        <v>4</v>
      </c>
      <c r="E92">
        <f>IFERROR(INDEX($A$4:$A$2403,MATCH(ROW()-3,$C$4:$C$2403,0)),"")</f>
      </c>
      <c r="K92">
        <f>IF(OR($K$1="",对接源_01水果!$C92="",对接源_01水果!$C92&lt;&gt;$K$1,对接源_01水果!$B92=""),0,IF(OR(N(对接源_01水果!$B92)&lt;$K$2,N(对接源_01水果!$B92)&gt;$K$3),0,1))</f>
        <v>0</v>
      </c>
      <c r="L92">
        <f>IF(OR($L$1="",对接源_01水果!$C92="",对接源_01水果!$C92&lt;&gt;$L$1,对接源_01水果!$B92=""),0,IF(OR(N(对接源_01水果!$B92)&lt;$L$2,N(对接源_01水果!$B92)&gt;$L$3),0,1))</f>
        <v>0</v>
      </c>
      <c r="M92">
        <f>IF(OR($M$1="",对接源_01水果!$C92="",对接源_01水果!$C92&lt;&gt;$M$1,对接源_01水果!$B92=""),0,IF(OR(N(对接源_01水果!$B92)&lt;$M$2,N(对接源_01水果!$B92)&gt;$M$3),0,1))</f>
        <v>0</v>
      </c>
      <c r="N92">
        <f>IF(OR($N$1="",对接源_01水果!$C92="",对接源_01水果!$C92&lt;&gt;$N$1,对接源_01水果!$B92=""),0,IF(OR(N(对接源_01水果!$B92)&lt;$N$2,N(对接源_01水果!$B92)&gt;$N$3),0,1))</f>
        <v>0</v>
      </c>
      <c r="P92">
        <f>IF(AND($K92=1,AND(对接源_01水果!$X92="公司筐",N(对接源_01水果!$T92)&lt;&gt;0)),1,0)</f>
        <v>0</v>
      </c>
      <c r="Q92">
        <f>N(Q91)+$P92</f>
        <v>0</v>
      </c>
      <c r="R92">
        <f>IF(AND($K92=1,AND(对接源_01水果!$X92="公司筐",N(对接源_01水果!$U92)&lt;&gt;0)),1,0)</f>
        <v>0</v>
      </c>
      <c r="S92">
        <f>N(S91)+$R92</f>
        <v>0</v>
      </c>
      <c r="T92">
        <f>IF(AND($K92=1,AND(对接源_01水果!$X92="公司筐",N(对接源_01水果!$V92)&lt;&gt;0)),1,0)</f>
        <v>0</v>
      </c>
      <c r="U92">
        <f>N(U91)+$T92</f>
        <v>0</v>
      </c>
      <c r="V92">
        <f>IF(AND($L92=1,AND(对接源_01水果!$X92="自备筐",N(对接源_01水果!$V92)&lt;&gt;0)),1,0)</f>
        <v>0</v>
      </c>
      <c r="W92">
        <f>N(W91)+$V92</f>
        <v>0</v>
      </c>
      <c r="X92">
        <f>IF(AND($L92=1,AND(对接源_01水果!$X92="自备筐",N(对接源_01水果!$T92)&lt;&gt;0)),1,0)</f>
        <v>0</v>
      </c>
      <c r="Y92">
        <f>N(Y91)+$X92</f>
        <v>0</v>
      </c>
      <c r="Z92">
        <f>IF(AND($M92=1,对接源_01水果!$D92="原料入库"),1,0)</f>
        <v>0</v>
      </c>
      <c r="AA92">
        <f>N(AA91)+$Z92</f>
        <v>0</v>
      </c>
      <c r="AB92">
        <f>IF(AND($M92=1,LEFT(对接源_01水果!$D92,4)="原料出库"),1,0)</f>
        <v>0</v>
      </c>
      <c r="AC92">
        <f>N(AC91)+$AB92</f>
        <v>0</v>
      </c>
      <c r="AD92">
        <f>IF(AND($M92=1,LEFT(对接源_01水果!$D92,4)="成品出库"),1,0)</f>
        <v>0</v>
      </c>
      <c r="AE92">
        <f>N(AE91)+$AD92</f>
        <v>0</v>
      </c>
      <c r="AF92">
        <f>IF(AND($N92=1,AND(LEFT(对接源_01水果!$D92,4)="包装物料",N(对接源_01水果!$K92)&lt;&gt;0)),1,0)</f>
        <v>0</v>
      </c>
      <c r="AG92">
        <f>N(AG91)+$AF92</f>
        <v>0</v>
      </c>
      <c r="AH92">
        <f>IF(AND($N92=1,AND(对接源_01水果!$D92="周转筐－销售出库",N(对接源_01水果!$K92)&lt;&gt;0)),1,0)</f>
        <v>0</v>
      </c>
      <c r="AI92">
        <f>N(AI91)+$AH92</f>
        <v>0</v>
      </c>
      <c r="AJ92" s="7" t="n"/>
      <c r="AL92">
        <f>IF(OR($AL$1="",对接源_01水果!$Y92="",对接源_01水果!$Y92&lt;&gt;$AL$1,对接源_01水果!$B92="",N(对接源_01水果!$AJ92)&lt;=0),0,IF(OR(N(对接源_01水果!$B92)&lt;$AL$2,N(对接源_01水果!$B92)&gt;$AL$3),0,1))</f>
        <v>0</v>
      </c>
      <c r="AM92">
        <f>N(AM91)+$AL92</f>
        <v>0</v>
      </c>
      <c r="AN92">
        <f>IF(对接源_01水果!$AC92="","",对接源_01水果!$AC92)</f>
      </c>
      <c r="AO92">
        <f>IF(AN92="",0,IF(MATCH(AN92,$AN$4:$AN$1203,0)=ROW()-3,1,0))</f>
        <v>0</v>
      </c>
      <c r="AP92">
        <f>N(AP91)+$AO92</f>
        <v>0</v>
      </c>
      <c r="AQ92">
        <f>IFERROR(INDEX($AN$4:$AN$1203,MATCH(ROW()-3,$AP$4:$AP$1203,0)),"")</f>
      </c>
      <c r="AR92">
        <f>IF(OR($AF92=1,$AH92=1),1,0)</f>
        <v>0</v>
      </c>
      <c r="AS92">
        <f>N(AS91)+$AR92</f>
        <v>0</v>
      </c>
    </row>
    <row r="93" ht="14.25" customHeight="1" s="127">
      <c r="A93" t="str">
        <f>IF(对接源_01水果!$C93="","",对接源_01水果!$C93)</f>
        <v>聂新平</v>
      </c>
      <c r="B93">
        <f>IF(A93="",0,IF(MATCH(A93,$A$4:$A$2403,0)=ROW()-3,1,0))</f>
        <v>0</v>
      </c>
      <c r="C93">
        <f>N(C92)+B93</f>
        <v>4</v>
      </c>
      <c r="E93">
        <f>IFERROR(INDEX($A$4:$A$2403,MATCH(ROW()-3,$C$4:$C$2403,0)),"")</f>
      </c>
      <c r="K93">
        <f>IF(OR($K$1="",对接源_01水果!$C93="",对接源_01水果!$C93&lt;&gt;$K$1,对接源_01水果!$B93=""),0,IF(OR(N(对接源_01水果!$B93)&lt;$K$2,N(对接源_01水果!$B93)&gt;$K$3),0,1))</f>
        <v>0</v>
      </c>
      <c r="L93">
        <f>IF(OR($L$1="",对接源_01水果!$C93="",对接源_01水果!$C93&lt;&gt;$L$1,对接源_01水果!$B93=""),0,IF(OR(N(对接源_01水果!$B93)&lt;$L$2,N(对接源_01水果!$B93)&gt;$L$3),0,1))</f>
        <v>0</v>
      </c>
      <c r="M93">
        <f>IF(OR($M$1="",对接源_01水果!$C93="",对接源_01水果!$C93&lt;&gt;$M$1,对接源_01水果!$B93=""),0,IF(OR(N(对接源_01水果!$B93)&lt;$M$2,N(对接源_01水果!$B93)&gt;$M$3),0,1))</f>
        <v>0</v>
      </c>
      <c r="N93">
        <f>IF(OR($N$1="",对接源_01水果!$C93="",对接源_01水果!$C93&lt;&gt;$N$1,对接源_01水果!$B93=""),0,IF(OR(N(对接源_01水果!$B93)&lt;$N$2,N(对接源_01水果!$B93)&gt;$N$3),0,1))</f>
        <v>0</v>
      </c>
      <c r="P93">
        <f>IF(AND($K93=1,AND(对接源_01水果!$X93="公司筐",N(对接源_01水果!$T93)&lt;&gt;0)),1,0)</f>
        <v>0</v>
      </c>
      <c r="Q93">
        <f>N(Q92)+$P93</f>
        <v>0</v>
      </c>
      <c r="R93">
        <f>IF(AND($K93=1,AND(对接源_01水果!$X93="公司筐",N(对接源_01水果!$U93)&lt;&gt;0)),1,0)</f>
        <v>0</v>
      </c>
      <c r="S93">
        <f>N(S92)+$R93</f>
        <v>0</v>
      </c>
      <c r="T93">
        <f>IF(AND($K93=1,AND(对接源_01水果!$X93="公司筐",N(对接源_01水果!$V93)&lt;&gt;0)),1,0)</f>
        <v>0</v>
      </c>
      <c r="U93">
        <f>N(U92)+$T93</f>
        <v>0</v>
      </c>
      <c r="V93">
        <f>IF(AND($L93=1,AND(对接源_01水果!$X93="自备筐",N(对接源_01水果!$V93)&lt;&gt;0)),1,0)</f>
        <v>0</v>
      </c>
      <c r="W93">
        <f>N(W92)+$V93</f>
        <v>0</v>
      </c>
      <c r="X93">
        <f>IF(AND($L93=1,AND(对接源_01水果!$X93="自备筐",N(对接源_01水果!$T93)&lt;&gt;0)),1,0)</f>
        <v>0</v>
      </c>
      <c r="Y93">
        <f>N(Y92)+$X93</f>
        <v>0</v>
      </c>
      <c r="Z93">
        <f>IF(AND($M93=1,对接源_01水果!$D93="原料入库"),1,0)</f>
        <v>0</v>
      </c>
      <c r="AA93">
        <f>N(AA92)+$Z93</f>
        <v>0</v>
      </c>
      <c r="AB93">
        <f>IF(AND($M93=1,LEFT(对接源_01水果!$D93,4)="原料出库"),1,0)</f>
        <v>0</v>
      </c>
      <c r="AC93">
        <f>N(AC92)+$AB93</f>
        <v>0</v>
      </c>
      <c r="AD93">
        <f>IF(AND($M93=1,LEFT(对接源_01水果!$D93,4)="成品出库"),1,0)</f>
        <v>0</v>
      </c>
      <c r="AE93">
        <f>N(AE92)+$AD93</f>
        <v>0</v>
      </c>
      <c r="AF93">
        <f>IF(AND($N93=1,AND(LEFT(对接源_01水果!$D93,4)="包装物料",N(对接源_01水果!$K93)&lt;&gt;0)),1,0)</f>
        <v>0</v>
      </c>
      <c r="AG93">
        <f>N(AG92)+$AF93</f>
        <v>0</v>
      </c>
      <c r="AH93">
        <f>IF(AND($N93=1,AND(对接源_01水果!$D93="周转筐－销售出库",N(对接源_01水果!$K93)&lt;&gt;0)),1,0)</f>
        <v>0</v>
      </c>
      <c r="AI93">
        <f>N(AI92)+$AH93</f>
        <v>0</v>
      </c>
      <c r="AJ93" s="7" t="n"/>
      <c r="AL93">
        <f>IF(OR($AL$1="",对接源_01水果!$Y93="",对接源_01水果!$Y93&lt;&gt;$AL$1,对接源_01水果!$B93="",N(对接源_01水果!$AJ93)&lt;=0),0,IF(OR(N(对接源_01水果!$B93)&lt;$AL$2,N(对接源_01水果!$B93)&gt;$AL$3),0,1))</f>
        <v>0</v>
      </c>
      <c r="AM93">
        <f>N(AM92)+$AL93</f>
        <v>0</v>
      </c>
      <c r="AN93">
        <f>IF(对接源_01水果!$AC93="","",对接源_01水果!$AC93)</f>
      </c>
      <c r="AO93">
        <f>IF(AN93="",0,IF(MATCH(AN93,$AN$4:$AN$1203,0)=ROW()-3,1,0))</f>
        <v>0</v>
      </c>
      <c r="AP93">
        <f>N(AP92)+$AO93</f>
        <v>0</v>
      </c>
      <c r="AQ93">
        <f>IFERROR(INDEX($AN$4:$AN$1203,MATCH(ROW()-3,$AP$4:$AP$1203,0)),"")</f>
      </c>
      <c r="AR93">
        <f>IF(OR($AF93=1,$AH93=1),1,0)</f>
        <v>0</v>
      </c>
      <c r="AS93">
        <f>N(AS92)+$AR93</f>
        <v>0</v>
      </c>
    </row>
    <row r="94" ht="14.25" customHeight="1" s="127">
      <c r="A94" t="str">
        <f>IF(对接源_01水果!$C94="","",对接源_01水果!$C94)</f>
        <v>聂新平</v>
      </c>
      <c r="B94">
        <f>IF(A94="",0,IF(MATCH(A94,$A$4:$A$2403,0)=ROW()-3,1,0))</f>
        <v>0</v>
      </c>
      <c r="C94">
        <f>N(C93)+B94</f>
        <v>4</v>
      </c>
      <c r="E94">
        <f>IFERROR(INDEX($A$4:$A$2403,MATCH(ROW()-3,$C$4:$C$2403,0)),"")</f>
      </c>
      <c r="K94">
        <f>IF(OR($K$1="",对接源_01水果!$C94="",对接源_01水果!$C94&lt;&gt;$K$1,对接源_01水果!$B94=""),0,IF(OR(N(对接源_01水果!$B94)&lt;$K$2,N(对接源_01水果!$B94)&gt;$K$3),0,1))</f>
        <v>0</v>
      </c>
      <c r="L94">
        <f>IF(OR($L$1="",对接源_01水果!$C94="",对接源_01水果!$C94&lt;&gt;$L$1,对接源_01水果!$B94=""),0,IF(OR(N(对接源_01水果!$B94)&lt;$L$2,N(对接源_01水果!$B94)&gt;$L$3),0,1))</f>
        <v>0</v>
      </c>
      <c r="M94">
        <f>IF(OR($M$1="",对接源_01水果!$C94="",对接源_01水果!$C94&lt;&gt;$M$1,对接源_01水果!$B94=""),0,IF(OR(N(对接源_01水果!$B94)&lt;$M$2,N(对接源_01水果!$B94)&gt;$M$3),0,1))</f>
        <v>0</v>
      </c>
      <c r="N94">
        <f>IF(OR($N$1="",对接源_01水果!$C94="",对接源_01水果!$C94&lt;&gt;$N$1,对接源_01水果!$B94=""),0,IF(OR(N(对接源_01水果!$B94)&lt;$N$2,N(对接源_01水果!$B94)&gt;$N$3),0,1))</f>
        <v>0</v>
      </c>
      <c r="P94">
        <f>IF(AND($K94=1,AND(对接源_01水果!$X94="公司筐",N(对接源_01水果!$T94)&lt;&gt;0)),1,0)</f>
        <v>0</v>
      </c>
      <c r="Q94">
        <f>N(Q93)+$P94</f>
        <v>0</v>
      </c>
      <c r="R94">
        <f>IF(AND($K94=1,AND(对接源_01水果!$X94="公司筐",N(对接源_01水果!$U94)&lt;&gt;0)),1,0)</f>
        <v>0</v>
      </c>
      <c r="S94">
        <f>N(S93)+$R94</f>
        <v>0</v>
      </c>
      <c r="T94">
        <f>IF(AND($K94=1,AND(对接源_01水果!$X94="公司筐",N(对接源_01水果!$V94)&lt;&gt;0)),1,0)</f>
        <v>0</v>
      </c>
      <c r="U94">
        <f>N(U93)+$T94</f>
        <v>0</v>
      </c>
      <c r="V94">
        <f>IF(AND($L94=1,AND(对接源_01水果!$X94="自备筐",N(对接源_01水果!$V94)&lt;&gt;0)),1,0)</f>
        <v>0</v>
      </c>
      <c r="W94">
        <f>N(W93)+$V94</f>
        <v>0</v>
      </c>
      <c r="X94">
        <f>IF(AND($L94=1,AND(对接源_01水果!$X94="自备筐",N(对接源_01水果!$T94)&lt;&gt;0)),1,0)</f>
        <v>0</v>
      </c>
      <c r="Y94">
        <f>N(Y93)+$X94</f>
        <v>0</v>
      </c>
      <c r="Z94">
        <f>IF(AND($M94=1,对接源_01水果!$D94="原料入库"),1,0)</f>
        <v>0</v>
      </c>
      <c r="AA94">
        <f>N(AA93)+$Z94</f>
        <v>0</v>
      </c>
      <c r="AB94">
        <f>IF(AND($M94=1,LEFT(对接源_01水果!$D94,4)="原料出库"),1,0)</f>
        <v>0</v>
      </c>
      <c r="AC94">
        <f>N(AC93)+$AB94</f>
        <v>0</v>
      </c>
      <c r="AD94">
        <f>IF(AND($M94=1,LEFT(对接源_01水果!$D94,4)="成品出库"),1,0)</f>
        <v>0</v>
      </c>
      <c r="AE94">
        <f>N(AE93)+$AD94</f>
        <v>0</v>
      </c>
      <c r="AF94">
        <f>IF(AND($N94=1,AND(LEFT(对接源_01水果!$D94,4)="包装物料",N(对接源_01水果!$K94)&lt;&gt;0)),1,0)</f>
        <v>0</v>
      </c>
      <c r="AG94">
        <f>N(AG93)+$AF94</f>
        <v>0</v>
      </c>
      <c r="AH94">
        <f>IF(AND($N94=1,AND(对接源_01水果!$D94="周转筐－销售出库",N(对接源_01水果!$K94)&lt;&gt;0)),1,0)</f>
        <v>0</v>
      </c>
      <c r="AI94">
        <f>N(AI93)+$AH94</f>
        <v>0</v>
      </c>
      <c r="AJ94" s="7" t="n"/>
      <c r="AL94">
        <f>IF(OR($AL$1="",对接源_01水果!$Y94="",对接源_01水果!$Y94&lt;&gt;$AL$1,对接源_01水果!$B94="",N(对接源_01水果!$AJ94)&lt;=0),0,IF(OR(N(对接源_01水果!$B94)&lt;$AL$2,N(对接源_01水果!$B94)&gt;$AL$3),0,1))</f>
        <v>0</v>
      </c>
      <c r="AM94">
        <f>N(AM93)+$AL94</f>
        <v>0</v>
      </c>
      <c r="AN94">
        <f>IF(对接源_01水果!$AC94="","",对接源_01水果!$AC94)</f>
      </c>
      <c r="AO94">
        <f>IF(AN94="",0,IF(MATCH(AN94,$AN$4:$AN$1203,0)=ROW()-3,1,0))</f>
        <v>0</v>
      </c>
      <c r="AP94">
        <f>N(AP93)+$AO94</f>
        <v>0</v>
      </c>
      <c r="AQ94">
        <f>IFERROR(INDEX($AN$4:$AN$1203,MATCH(ROW()-3,$AP$4:$AP$1203,0)),"")</f>
      </c>
      <c r="AR94">
        <f>IF(OR($AF94=1,$AH94=1),1,0)</f>
        <v>0</v>
      </c>
      <c r="AS94">
        <f>N(AS93)+$AR94</f>
        <v>0</v>
      </c>
    </row>
    <row r="95" ht="14.25" customHeight="1" s="127">
      <c r="A95" t="str">
        <f>IF(对接源_01水果!$C95="","",对接源_01水果!$C95)</f>
        <v>聂新平</v>
      </c>
      <c r="B95">
        <f>IF(A95="",0,IF(MATCH(A95,$A$4:$A$2403,0)=ROW()-3,1,0))</f>
        <v>0</v>
      </c>
      <c r="C95">
        <f>N(C94)+B95</f>
        <v>4</v>
      </c>
      <c r="E95">
        <f>IFERROR(INDEX($A$4:$A$2403,MATCH(ROW()-3,$C$4:$C$2403,0)),"")</f>
      </c>
      <c r="K95">
        <f>IF(OR($K$1="",对接源_01水果!$C95="",对接源_01水果!$C95&lt;&gt;$K$1,对接源_01水果!$B95=""),0,IF(OR(N(对接源_01水果!$B95)&lt;$K$2,N(对接源_01水果!$B95)&gt;$K$3),0,1))</f>
        <v>0</v>
      </c>
      <c r="L95">
        <f>IF(OR($L$1="",对接源_01水果!$C95="",对接源_01水果!$C95&lt;&gt;$L$1,对接源_01水果!$B95=""),0,IF(OR(N(对接源_01水果!$B95)&lt;$L$2,N(对接源_01水果!$B95)&gt;$L$3),0,1))</f>
        <v>0</v>
      </c>
      <c r="M95">
        <f>IF(OR($M$1="",对接源_01水果!$C95="",对接源_01水果!$C95&lt;&gt;$M$1,对接源_01水果!$B95=""),0,IF(OR(N(对接源_01水果!$B95)&lt;$M$2,N(对接源_01水果!$B95)&gt;$M$3),0,1))</f>
        <v>0</v>
      </c>
      <c r="N95">
        <f>IF(OR($N$1="",对接源_01水果!$C95="",对接源_01水果!$C95&lt;&gt;$N$1,对接源_01水果!$B95=""),0,IF(OR(N(对接源_01水果!$B95)&lt;$N$2,N(对接源_01水果!$B95)&gt;$N$3),0,1))</f>
        <v>0</v>
      </c>
      <c r="P95">
        <f>IF(AND($K95=1,AND(对接源_01水果!$X95="公司筐",N(对接源_01水果!$T95)&lt;&gt;0)),1,0)</f>
        <v>0</v>
      </c>
      <c r="Q95">
        <f>N(Q94)+$P95</f>
        <v>0</v>
      </c>
      <c r="R95">
        <f>IF(AND($K95=1,AND(对接源_01水果!$X95="公司筐",N(对接源_01水果!$U95)&lt;&gt;0)),1,0)</f>
        <v>0</v>
      </c>
      <c r="S95">
        <f>N(S94)+$R95</f>
        <v>0</v>
      </c>
      <c r="T95">
        <f>IF(AND($K95=1,AND(对接源_01水果!$X95="公司筐",N(对接源_01水果!$V95)&lt;&gt;0)),1,0)</f>
        <v>0</v>
      </c>
      <c r="U95">
        <f>N(U94)+$T95</f>
        <v>0</v>
      </c>
      <c r="V95">
        <f>IF(AND($L95=1,AND(对接源_01水果!$X95="自备筐",N(对接源_01水果!$V95)&lt;&gt;0)),1,0)</f>
        <v>0</v>
      </c>
      <c r="W95">
        <f>N(W94)+$V95</f>
        <v>0</v>
      </c>
      <c r="X95">
        <f>IF(AND($L95=1,AND(对接源_01水果!$X95="自备筐",N(对接源_01水果!$T95)&lt;&gt;0)),1,0)</f>
        <v>0</v>
      </c>
      <c r="Y95">
        <f>N(Y94)+$X95</f>
        <v>0</v>
      </c>
      <c r="Z95">
        <f>IF(AND($M95=1,对接源_01水果!$D95="原料入库"),1,0)</f>
        <v>0</v>
      </c>
      <c r="AA95">
        <f>N(AA94)+$Z95</f>
        <v>0</v>
      </c>
      <c r="AB95">
        <f>IF(AND($M95=1,LEFT(对接源_01水果!$D95,4)="原料出库"),1,0)</f>
        <v>0</v>
      </c>
      <c r="AC95">
        <f>N(AC94)+$AB95</f>
        <v>0</v>
      </c>
      <c r="AD95">
        <f>IF(AND($M95=1,LEFT(对接源_01水果!$D95,4)="成品出库"),1,0)</f>
        <v>0</v>
      </c>
      <c r="AE95">
        <f>N(AE94)+$AD95</f>
        <v>0</v>
      </c>
      <c r="AF95">
        <f>IF(AND($N95=1,AND(LEFT(对接源_01水果!$D95,4)="包装物料",N(对接源_01水果!$K95)&lt;&gt;0)),1,0)</f>
        <v>0</v>
      </c>
      <c r="AG95">
        <f>N(AG94)+$AF95</f>
        <v>0</v>
      </c>
      <c r="AH95">
        <f>IF(AND($N95=1,AND(对接源_01水果!$D95="周转筐－销售出库",N(对接源_01水果!$K95)&lt;&gt;0)),1,0)</f>
        <v>0</v>
      </c>
      <c r="AI95">
        <f>N(AI94)+$AH95</f>
        <v>0</v>
      </c>
      <c r="AJ95" s="7" t="n"/>
      <c r="AL95">
        <f>IF(OR($AL$1="",对接源_01水果!$Y95="",对接源_01水果!$Y95&lt;&gt;$AL$1,对接源_01水果!$B95="",N(对接源_01水果!$AJ95)&lt;=0),0,IF(OR(N(对接源_01水果!$B95)&lt;$AL$2,N(对接源_01水果!$B95)&gt;$AL$3),0,1))</f>
        <v>0</v>
      </c>
      <c r="AM95">
        <f>N(AM94)+$AL95</f>
        <v>0</v>
      </c>
      <c r="AN95">
        <f>IF(对接源_01水果!$AC95="","",对接源_01水果!$AC95)</f>
      </c>
      <c r="AO95">
        <f>IF(AN95="",0,IF(MATCH(AN95,$AN$4:$AN$1203,0)=ROW()-3,1,0))</f>
        <v>0</v>
      </c>
      <c r="AP95">
        <f>N(AP94)+$AO95</f>
        <v>0</v>
      </c>
      <c r="AQ95">
        <f>IFERROR(INDEX($AN$4:$AN$1203,MATCH(ROW()-3,$AP$4:$AP$1203,0)),"")</f>
      </c>
      <c r="AR95">
        <f>IF(OR($AF95=1,$AH95=1),1,0)</f>
        <v>0</v>
      </c>
      <c r="AS95">
        <f>N(AS94)+$AR95</f>
        <v>0</v>
      </c>
    </row>
    <row r="96" ht="14.25" customHeight="1" s="127">
      <c r="A96" t="str">
        <f>IF(对接源_01水果!$C96="","",对接源_01水果!$C96)</f>
        <v>聂新平</v>
      </c>
      <c r="B96">
        <f>IF(A96="",0,IF(MATCH(A96,$A$4:$A$2403,0)=ROW()-3,1,0))</f>
        <v>0</v>
      </c>
      <c r="C96">
        <f>N(C95)+B96</f>
        <v>4</v>
      </c>
      <c r="E96">
        <f>IFERROR(INDEX($A$4:$A$2403,MATCH(ROW()-3,$C$4:$C$2403,0)),"")</f>
      </c>
      <c r="K96">
        <f>IF(OR($K$1="",对接源_01水果!$C96="",对接源_01水果!$C96&lt;&gt;$K$1,对接源_01水果!$B96=""),0,IF(OR(N(对接源_01水果!$B96)&lt;$K$2,N(对接源_01水果!$B96)&gt;$K$3),0,1))</f>
        <v>0</v>
      </c>
      <c r="L96">
        <f>IF(OR($L$1="",对接源_01水果!$C96="",对接源_01水果!$C96&lt;&gt;$L$1,对接源_01水果!$B96=""),0,IF(OR(N(对接源_01水果!$B96)&lt;$L$2,N(对接源_01水果!$B96)&gt;$L$3),0,1))</f>
        <v>0</v>
      </c>
      <c r="M96">
        <f>IF(OR($M$1="",对接源_01水果!$C96="",对接源_01水果!$C96&lt;&gt;$M$1,对接源_01水果!$B96=""),0,IF(OR(N(对接源_01水果!$B96)&lt;$M$2,N(对接源_01水果!$B96)&gt;$M$3),0,1))</f>
        <v>0</v>
      </c>
      <c r="N96">
        <f>IF(OR($N$1="",对接源_01水果!$C96="",对接源_01水果!$C96&lt;&gt;$N$1,对接源_01水果!$B96=""),0,IF(OR(N(对接源_01水果!$B96)&lt;$N$2,N(对接源_01水果!$B96)&gt;$N$3),0,1))</f>
        <v>0</v>
      </c>
      <c r="P96">
        <f>IF(AND($K96=1,AND(对接源_01水果!$X96="公司筐",N(对接源_01水果!$T96)&lt;&gt;0)),1,0)</f>
        <v>0</v>
      </c>
      <c r="Q96">
        <f>N(Q95)+$P96</f>
        <v>0</v>
      </c>
      <c r="R96">
        <f>IF(AND($K96=1,AND(对接源_01水果!$X96="公司筐",N(对接源_01水果!$U96)&lt;&gt;0)),1,0)</f>
        <v>0</v>
      </c>
      <c r="S96">
        <f>N(S95)+$R96</f>
        <v>0</v>
      </c>
      <c r="T96">
        <f>IF(AND($K96=1,AND(对接源_01水果!$X96="公司筐",N(对接源_01水果!$V96)&lt;&gt;0)),1,0)</f>
        <v>0</v>
      </c>
      <c r="U96">
        <f>N(U95)+$T96</f>
        <v>0</v>
      </c>
      <c r="V96">
        <f>IF(AND($L96=1,AND(对接源_01水果!$X96="自备筐",N(对接源_01水果!$V96)&lt;&gt;0)),1,0)</f>
        <v>0</v>
      </c>
      <c r="W96">
        <f>N(W95)+$V96</f>
        <v>0</v>
      </c>
      <c r="X96">
        <f>IF(AND($L96=1,AND(对接源_01水果!$X96="自备筐",N(对接源_01水果!$T96)&lt;&gt;0)),1,0)</f>
        <v>0</v>
      </c>
      <c r="Y96">
        <f>N(Y95)+$X96</f>
        <v>0</v>
      </c>
      <c r="Z96">
        <f>IF(AND($M96=1,对接源_01水果!$D96="原料入库"),1,0)</f>
        <v>0</v>
      </c>
      <c r="AA96">
        <f>N(AA95)+$Z96</f>
        <v>0</v>
      </c>
      <c r="AB96">
        <f>IF(AND($M96=1,LEFT(对接源_01水果!$D96,4)="原料出库"),1,0)</f>
        <v>0</v>
      </c>
      <c r="AC96">
        <f>N(AC95)+$AB96</f>
        <v>0</v>
      </c>
      <c r="AD96">
        <f>IF(AND($M96=1,LEFT(对接源_01水果!$D96,4)="成品出库"),1,0)</f>
        <v>0</v>
      </c>
      <c r="AE96">
        <f>N(AE95)+$AD96</f>
        <v>0</v>
      </c>
      <c r="AF96">
        <f>IF(AND($N96=1,AND(LEFT(对接源_01水果!$D96,4)="包装物料",N(对接源_01水果!$K96)&lt;&gt;0)),1,0)</f>
        <v>0</v>
      </c>
      <c r="AG96">
        <f>N(AG95)+$AF96</f>
        <v>0</v>
      </c>
      <c r="AH96">
        <f>IF(AND($N96=1,AND(对接源_01水果!$D96="周转筐－销售出库",N(对接源_01水果!$K96)&lt;&gt;0)),1,0)</f>
        <v>0</v>
      </c>
      <c r="AI96">
        <f>N(AI95)+$AH96</f>
        <v>0</v>
      </c>
      <c r="AJ96" s="7" t="n"/>
      <c r="AL96">
        <f>IF(OR($AL$1="",对接源_01水果!$Y96="",对接源_01水果!$Y96&lt;&gt;$AL$1,对接源_01水果!$B96="",N(对接源_01水果!$AJ96)&lt;=0),0,IF(OR(N(对接源_01水果!$B96)&lt;$AL$2,N(对接源_01水果!$B96)&gt;$AL$3),0,1))</f>
        <v>0</v>
      </c>
      <c r="AM96">
        <f>N(AM95)+$AL96</f>
        <v>0</v>
      </c>
      <c r="AN96">
        <f>IF(对接源_01水果!$AC96="","",对接源_01水果!$AC96)</f>
      </c>
      <c r="AO96">
        <f>IF(AN96="",0,IF(MATCH(AN96,$AN$4:$AN$1203,0)=ROW()-3,1,0))</f>
        <v>0</v>
      </c>
      <c r="AP96">
        <f>N(AP95)+$AO96</f>
        <v>0</v>
      </c>
      <c r="AQ96">
        <f>IFERROR(INDEX($AN$4:$AN$1203,MATCH(ROW()-3,$AP$4:$AP$1203,0)),"")</f>
      </c>
      <c r="AR96">
        <f>IF(OR($AF96=1,$AH96=1),1,0)</f>
        <v>0</v>
      </c>
      <c r="AS96">
        <f>N(AS95)+$AR96</f>
        <v>0</v>
      </c>
    </row>
    <row r="97" ht="14.25" customHeight="1" s="127">
      <c r="A97" t="str">
        <f>IF(对接源_01水果!$C97="","",对接源_01水果!$C97)</f>
        <v>聂新平</v>
      </c>
      <c r="B97">
        <f>IF(A97="",0,IF(MATCH(A97,$A$4:$A$2403,0)=ROW()-3,1,0))</f>
        <v>0</v>
      </c>
      <c r="C97">
        <f>N(C96)+B97</f>
        <v>4</v>
      </c>
      <c r="E97">
        <f>IFERROR(INDEX($A$4:$A$2403,MATCH(ROW()-3,$C$4:$C$2403,0)),"")</f>
      </c>
      <c r="K97">
        <f>IF(OR($K$1="",对接源_01水果!$C97="",对接源_01水果!$C97&lt;&gt;$K$1,对接源_01水果!$B97=""),0,IF(OR(N(对接源_01水果!$B97)&lt;$K$2,N(对接源_01水果!$B97)&gt;$K$3),0,1))</f>
        <v>0</v>
      </c>
      <c r="L97">
        <f>IF(OR($L$1="",对接源_01水果!$C97="",对接源_01水果!$C97&lt;&gt;$L$1,对接源_01水果!$B97=""),0,IF(OR(N(对接源_01水果!$B97)&lt;$L$2,N(对接源_01水果!$B97)&gt;$L$3),0,1))</f>
        <v>0</v>
      </c>
      <c r="M97">
        <f>IF(OR($M$1="",对接源_01水果!$C97="",对接源_01水果!$C97&lt;&gt;$M$1,对接源_01水果!$B97=""),0,IF(OR(N(对接源_01水果!$B97)&lt;$M$2,N(对接源_01水果!$B97)&gt;$M$3),0,1))</f>
        <v>0</v>
      </c>
      <c r="N97">
        <f>IF(OR($N$1="",对接源_01水果!$C97="",对接源_01水果!$C97&lt;&gt;$N$1,对接源_01水果!$B97=""),0,IF(OR(N(对接源_01水果!$B97)&lt;$N$2,N(对接源_01水果!$B97)&gt;$N$3),0,1))</f>
        <v>0</v>
      </c>
      <c r="P97">
        <f>IF(AND($K97=1,AND(对接源_01水果!$X97="公司筐",N(对接源_01水果!$T97)&lt;&gt;0)),1,0)</f>
        <v>0</v>
      </c>
      <c r="Q97">
        <f>N(Q96)+$P97</f>
        <v>0</v>
      </c>
      <c r="R97">
        <f>IF(AND($K97=1,AND(对接源_01水果!$X97="公司筐",N(对接源_01水果!$U97)&lt;&gt;0)),1,0)</f>
        <v>0</v>
      </c>
      <c r="S97">
        <f>N(S96)+$R97</f>
        <v>0</v>
      </c>
      <c r="T97">
        <f>IF(AND($K97=1,AND(对接源_01水果!$X97="公司筐",N(对接源_01水果!$V97)&lt;&gt;0)),1,0)</f>
        <v>0</v>
      </c>
      <c r="U97">
        <f>N(U96)+$T97</f>
        <v>0</v>
      </c>
      <c r="V97">
        <f>IF(AND($L97=1,AND(对接源_01水果!$X97="自备筐",N(对接源_01水果!$V97)&lt;&gt;0)),1,0)</f>
        <v>0</v>
      </c>
      <c r="W97">
        <f>N(W96)+$V97</f>
        <v>0</v>
      </c>
      <c r="X97">
        <f>IF(AND($L97=1,AND(对接源_01水果!$X97="自备筐",N(对接源_01水果!$T97)&lt;&gt;0)),1,0)</f>
        <v>0</v>
      </c>
      <c r="Y97">
        <f>N(Y96)+$X97</f>
        <v>0</v>
      </c>
      <c r="Z97">
        <f>IF(AND($M97=1,对接源_01水果!$D97="原料入库"),1,0)</f>
        <v>0</v>
      </c>
      <c r="AA97">
        <f>N(AA96)+$Z97</f>
        <v>0</v>
      </c>
      <c r="AB97">
        <f>IF(AND($M97=1,LEFT(对接源_01水果!$D97,4)="原料出库"),1,0)</f>
        <v>0</v>
      </c>
      <c r="AC97">
        <f>N(AC96)+$AB97</f>
        <v>0</v>
      </c>
      <c r="AD97">
        <f>IF(AND($M97=1,LEFT(对接源_01水果!$D97,4)="成品出库"),1,0)</f>
        <v>0</v>
      </c>
      <c r="AE97">
        <f>N(AE96)+$AD97</f>
        <v>0</v>
      </c>
      <c r="AF97">
        <f>IF(AND($N97=1,AND(LEFT(对接源_01水果!$D97,4)="包装物料",N(对接源_01水果!$K97)&lt;&gt;0)),1,0)</f>
        <v>0</v>
      </c>
      <c r="AG97">
        <f>N(AG96)+$AF97</f>
        <v>0</v>
      </c>
      <c r="AH97">
        <f>IF(AND($N97=1,AND(对接源_01水果!$D97="周转筐－销售出库",N(对接源_01水果!$K97)&lt;&gt;0)),1,0)</f>
        <v>0</v>
      </c>
      <c r="AI97">
        <f>N(AI96)+$AH97</f>
        <v>0</v>
      </c>
      <c r="AJ97" s="7" t="n"/>
      <c r="AL97">
        <f>IF(OR($AL$1="",对接源_01水果!$Y97="",对接源_01水果!$Y97&lt;&gt;$AL$1,对接源_01水果!$B97="",N(对接源_01水果!$AJ97)&lt;=0),0,IF(OR(N(对接源_01水果!$B97)&lt;$AL$2,N(对接源_01水果!$B97)&gt;$AL$3),0,1))</f>
        <v>0</v>
      </c>
      <c r="AM97">
        <f>N(AM96)+$AL97</f>
        <v>0</v>
      </c>
      <c r="AN97">
        <f>IF(对接源_01水果!$AC97="","",对接源_01水果!$AC97)</f>
      </c>
      <c r="AO97">
        <f>IF(AN97="",0,IF(MATCH(AN97,$AN$4:$AN$1203,0)=ROW()-3,1,0))</f>
        <v>0</v>
      </c>
      <c r="AP97">
        <f>N(AP96)+$AO97</f>
        <v>0</v>
      </c>
      <c r="AQ97">
        <f>IFERROR(INDEX($AN$4:$AN$1203,MATCH(ROW()-3,$AP$4:$AP$1203,0)),"")</f>
      </c>
      <c r="AR97">
        <f>IF(OR($AF97=1,$AH97=1),1,0)</f>
        <v>0</v>
      </c>
      <c r="AS97">
        <f>N(AS96)+$AR97</f>
        <v>0</v>
      </c>
    </row>
    <row r="98" ht="14.25" customHeight="1" s="127">
      <c r="A98" t="str">
        <f>IF(对接源_01水果!$C98="","",对接源_01水果!$C98)</f>
        <v>聂新平</v>
      </c>
      <c r="B98">
        <f>IF(A98="",0,IF(MATCH(A98,$A$4:$A$2403,0)=ROW()-3,1,0))</f>
        <v>0</v>
      </c>
      <c r="C98">
        <f>N(C97)+B98</f>
        <v>4</v>
      </c>
      <c r="E98">
        <f>IFERROR(INDEX($A$4:$A$2403,MATCH(ROW()-3,$C$4:$C$2403,0)),"")</f>
      </c>
      <c r="K98">
        <f>IF(OR($K$1="",对接源_01水果!$C98="",对接源_01水果!$C98&lt;&gt;$K$1,对接源_01水果!$B98=""),0,IF(OR(N(对接源_01水果!$B98)&lt;$K$2,N(对接源_01水果!$B98)&gt;$K$3),0,1))</f>
        <v>0</v>
      </c>
      <c r="L98">
        <f>IF(OR($L$1="",对接源_01水果!$C98="",对接源_01水果!$C98&lt;&gt;$L$1,对接源_01水果!$B98=""),0,IF(OR(N(对接源_01水果!$B98)&lt;$L$2,N(对接源_01水果!$B98)&gt;$L$3),0,1))</f>
        <v>0</v>
      </c>
      <c r="M98">
        <f>IF(OR($M$1="",对接源_01水果!$C98="",对接源_01水果!$C98&lt;&gt;$M$1,对接源_01水果!$B98=""),0,IF(OR(N(对接源_01水果!$B98)&lt;$M$2,N(对接源_01水果!$B98)&gt;$M$3),0,1))</f>
        <v>0</v>
      </c>
      <c r="N98">
        <f>IF(OR($N$1="",对接源_01水果!$C98="",对接源_01水果!$C98&lt;&gt;$N$1,对接源_01水果!$B98=""),0,IF(OR(N(对接源_01水果!$B98)&lt;$N$2,N(对接源_01水果!$B98)&gt;$N$3),0,1))</f>
        <v>0</v>
      </c>
      <c r="P98">
        <f>IF(AND($K98=1,AND(对接源_01水果!$X98="公司筐",N(对接源_01水果!$T98)&lt;&gt;0)),1,0)</f>
        <v>0</v>
      </c>
      <c r="Q98">
        <f>N(Q97)+$P98</f>
        <v>0</v>
      </c>
      <c r="R98">
        <f>IF(AND($K98=1,AND(对接源_01水果!$X98="公司筐",N(对接源_01水果!$U98)&lt;&gt;0)),1,0)</f>
        <v>0</v>
      </c>
      <c r="S98">
        <f>N(S97)+$R98</f>
        <v>0</v>
      </c>
      <c r="T98">
        <f>IF(AND($K98=1,AND(对接源_01水果!$X98="公司筐",N(对接源_01水果!$V98)&lt;&gt;0)),1,0)</f>
        <v>0</v>
      </c>
      <c r="U98">
        <f>N(U97)+$T98</f>
        <v>0</v>
      </c>
      <c r="V98">
        <f>IF(AND($L98=1,AND(对接源_01水果!$X98="自备筐",N(对接源_01水果!$V98)&lt;&gt;0)),1,0)</f>
        <v>0</v>
      </c>
      <c r="W98">
        <f>N(W97)+$V98</f>
        <v>0</v>
      </c>
      <c r="X98">
        <f>IF(AND($L98=1,AND(对接源_01水果!$X98="自备筐",N(对接源_01水果!$T98)&lt;&gt;0)),1,0)</f>
        <v>0</v>
      </c>
      <c r="Y98">
        <f>N(Y97)+$X98</f>
        <v>0</v>
      </c>
      <c r="Z98">
        <f>IF(AND($M98=1,对接源_01水果!$D98="原料入库"),1,0)</f>
        <v>0</v>
      </c>
      <c r="AA98">
        <f>N(AA97)+$Z98</f>
        <v>0</v>
      </c>
      <c r="AB98">
        <f>IF(AND($M98=1,LEFT(对接源_01水果!$D98,4)="原料出库"),1,0)</f>
        <v>0</v>
      </c>
      <c r="AC98">
        <f>N(AC97)+$AB98</f>
        <v>0</v>
      </c>
      <c r="AD98">
        <f>IF(AND($M98=1,LEFT(对接源_01水果!$D98,4)="成品出库"),1,0)</f>
        <v>0</v>
      </c>
      <c r="AE98">
        <f>N(AE97)+$AD98</f>
        <v>0</v>
      </c>
      <c r="AF98">
        <f>IF(AND($N98=1,AND(LEFT(对接源_01水果!$D98,4)="包装物料",N(对接源_01水果!$K98)&lt;&gt;0)),1,0)</f>
        <v>0</v>
      </c>
      <c r="AG98">
        <f>N(AG97)+$AF98</f>
        <v>0</v>
      </c>
      <c r="AH98">
        <f>IF(AND($N98=1,AND(对接源_01水果!$D98="周转筐－销售出库",N(对接源_01水果!$K98)&lt;&gt;0)),1,0)</f>
        <v>0</v>
      </c>
      <c r="AI98">
        <f>N(AI97)+$AH98</f>
        <v>0</v>
      </c>
      <c r="AJ98" s="7" t="n"/>
      <c r="AL98">
        <f>IF(OR($AL$1="",对接源_01水果!$Y98="",对接源_01水果!$Y98&lt;&gt;$AL$1,对接源_01水果!$B98="",N(对接源_01水果!$AJ98)&lt;=0),0,IF(OR(N(对接源_01水果!$B98)&lt;$AL$2,N(对接源_01水果!$B98)&gt;$AL$3),0,1))</f>
        <v>0</v>
      </c>
      <c r="AM98">
        <f>N(AM97)+$AL98</f>
        <v>0</v>
      </c>
      <c r="AN98">
        <f>IF(对接源_01水果!$AC98="","",对接源_01水果!$AC98)</f>
      </c>
      <c r="AO98">
        <f>IF(AN98="",0,IF(MATCH(AN98,$AN$4:$AN$1203,0)=ROW()-3,1,0))</f>
        <v>0</v>
      </c>
      <c r="AP98">
        <f>N(AP97)+$AO98</f>
        <v>0</v>
      </c>
      <c r="AQ98">
        <f>IFERROR(INDEX($AN$4:$AN$1203,MATCH(ROW()-3,$AP$4:$AP$1203,0)),"")</f>
      </c>
      <c r="AR98">
        <f>IF(OR($AF98=1,$AH98=1),1,0)</f>
        <v>0</v>
      </c>
      <c r="AS98">
        <f>N(AS97)+$AR98</f>
        <v>0</v>
      </c>
    </row>
    <row r="99" ht="14.25" customHeight="1" s="127">
      <c r="A99" t="str">
        <f>IF(对接源_01水果!$C99="","",对接源_01水果!$C99)</f>
        <v>聂新平</v>
      </c>
      <c r="B99">
        <f>IF(A99="",0,IF(MATCH(A99,$A$4:$A$2403,0)=ROW()-3,1,0))</f>
        <v>0</v>
      </c>
      <c r="C99">
        <f>N(C98)+B99</f>
        <v>4</v>
      </c>
      <c r="E99">
        <f>IFERROR(INDEX($A$4:$A$2403,MATCH(ROW()-3,$C$4:$C$2403,0)),"")</f>
      </c>
      <c r="K99">
        <f>IF(OR($K$1="",对接源_01水果!$C99="",对接源_01水果!$C99&lt;&gt;$K$1,对接源_01水果!$B99=""),0,IF(OR(N(对接源_01水果!$B99)&lt;$K$2,N(对接源_01水果!$B99)&gt;$K$3),0,1))</f>
        <v>0</v>
      </c>
      <c r="L99">
        <f>IF(OR($L$1="",对接源_01水果!$C99="",对接源_01水果!$C99&lt;&gt;$L$1,对接源_01水果!$B99=""),0,IF(OR(N(对接源_01水果!$B99)&lt;$L$2,N(对接源_01水果!$B99)&gt;$L$3),0,1))</f>
        <v>0</v>
      </c>
      <c r="M99">
        <f>IF(OR($M$1="",对接源_01水果!$C99="",对接源_01水果!$C99&lt;&gt;$M$1,对接源_01水果!$B99=""),0,IF(OR(N(对接源_01水果!$B99)&lt;$M$2,N(对接源_01水果!$B99)&gt;$M$3),0,1))</f>
        <v>0</v>
      </c>
      <c r="N99">
        <f>IF(OR($N$1="",对接源_01水果!$C99="",对接源_01水果!$C99&lt;&gt;$N$1,对接源_01水果!$B99=""),0,IF(OR(N(对接源_01水果!$B99)&lt;$N$2,N(对接源_01水果!$B99)&gt;$N$3),0,1))</f>
        <v>0</v>
      </c>
      <c r="P99">
        <f>IF(AND($K99=1,AND(对接源_01水果!$X99="公司筐",N(对接源_01水果!$T99)&lt;&gt;0)),1,0)</f>
        <v>0</v>
      </c>
      <c r="Q99">
        <f>N(Q98)+$P99</f>
        <v>0</v>
      </c>
      <c r="R99">
        <f>IF(AND($K99=1,AND(对接源_01水果!$X99="公司筐",N(对接源_01水果!$U99)&lt;&gt;0)),1,0)</f>
        <v>0</v>
      </c>
      <c r="S99">
        <f>N(S98)+$R99</f>
        <v>0</v>
      </c>
      <c r="T99">
        <f>IF(AND($K99=1,AND(对接源_01水果!$X99="公司筐",N(对接源_01水果!$V99)&lt;&gt;0)),1,0)</f>
        <v>0</v>
      </c>
      <c r="U99">
        <f>N(U98)+$T99</f>
        <v>0</v>
      </c>
      <c r="V99">
        <f>IF(AND($L99=1,AND(对接源_01水果!$X99="自备筐",N(对接源_01水果!$V99)&lt;&gt;0)),1,0)</f>
        <v>0</v>
      </c>
      <c r="W99">
        <f>N(W98)+$V99</f>
        <v>0</v>
      </c>
      <c r="X99">
        <f>IF(AND($L99=1,AND(对接源_01水果!$X99="自备筐",N(对接源_01水果!$T99)&lt;&gt;0)),1,0)</f>
        <v>0</v>
      </c>
      <c r="Y99">
        <f>N(Y98)+$X99</f>
        <v>0</v>
      </c>
      <c r="Z99">
        <f>IF(AND($M99=1,对接源_01水果!$D99="原料入库"),1,0)</f>
        <v>0</v>
      </c>
      <c r="AA99">
        <f>N(AA98)+$Z99</f>
        <v>0</v>
      </c>
      <c r="AB99">
        <f>IF(AND($M99=1,LEFT(对接源_01水果!$D99,4)="原料出库"),1,0)</f>
        <v>0</v>
      </c>
      <c r="AC99">
        <f>N(AC98)+$AB99</f>
        <v>0</v>
      </c>
      <c r="AD99">
        <f>IF(AND($M99=1,LEFT(对接源_01水果!$D99,4)="成品出库"),1,0)</f>
        <v>0</v>
      </c>
      <c r="AE99">
        <f>N(AE98)+$AD99</f>
        <v>0</v>
      </c>
      <c r="AF99">
        <f>IF(AND($N99=1,AND(LEFT(对接源_01水果!$D99,4)="包装物料",N(对接源_01水果!$K99)&lt;&gt;0)),1,0)</f>
        <v>0</v>
      </c>
      <c r="AG99">
        <f>N(AG98)+$AF99</f>
        <v>0</v>
      </c>
      <c r="AH99">
        <f>IF(AND($N99=1,AND(对接源_01水果!$D99="周转筐－销售出库",N(对接源_01水果!$K99)&lt;&gt;0)),1,0)</f>
        <v>0</v>
      </c>
      <c r="AI99">
        <f>N(AI98)+$AH99</f>
        <v>0</v>
      </c>
      <c r="AJ99" s="7" t="n"/>
      <c r="AL99">
        <f>IF(OR($AL$1="",对接源_01水果!$Y99="",对接源_01水果!$Y99&lt;&gt;$AL$1,对接源_01水果!$B99="",N(对接源_01水果!$AJ99)&lt;=0),0,IF(OR(N(对接源_01水果!$B99)&lt;$AL$2,N(对接源_01水果!$B99)&gt;$AL$3),0,1))</f>
        <v>0</v>
      </c>
      <c r="AM99">
        <f>N(AM98)+$AL99</f>
        <v>0</v>
      </c>
      <c r="AN99">
        <f>IF(对接源_01水果!$AC99="","",对接源_01水果!$AC99)</f>
      </c>
      <c r="AO99">
        <f>IF(AN99="",0,IF(MATCH(AN99,$AN$4:$AN$1203,0)=ROW()-3,1,0))</f>
        <v>0</v>
      </c>
      <c r="AP99">
        <f>N(AP98)+$AO99</f>
        <v>0</v>
      </c>
      <c r="AQ99">
        <f>IFERROR(INDEX($AN$4:$AN$1203,MATCH(ROW()-3,$AP$4:$AP$1203,0)),"")</f>
      </c>
      <c r="AR99">
        <f>IF(OR($AF99=1,$AH99=1),1,0)</f>
        <v>0</v>
      </c>
      <c r="AS99">
        <f>N(AS98)+$AR99</f>
        <v>0</v>
      </c>
    </row>
    <row r="100" ht="14.25" customHeight="1" s="127">
      <c r="A100" t="str">
        <f>IF(对接源_01水果!$C100="","",对接源_01水果!$C100)</f>
        <v>聂新平</v>
      </c>
      <c r="B100">
        <f>IF(A100="",0,IF(MATCH(A100,$A$4:$A$2403,0)=ROW()-3,1,0))</f>
        <v>0</v>
      </c>
      <c r="C100">
        <f>N(C99)+B100</f>
        <v>4</v>
      </c>
      <c r="E100">
        <f>IFERROR(INDEX($A$4:$A$2403,MATCH(ROW()-3,$C$4:$C$2403,0)),"")</f>
      </c>
      <c r="K100">
        <f>IF(OR($K$1="",对接源_01水果!$C100="",对接源_01水果!$C100&lt;&gt;$K$1,对接源_01水果!$B100=""),0,IF(OR(N(对接源_01水果!$B100)&lt;$K$2,N(对接源_01水果!$B100)&gt;$K$3),0,1))</f>
        <v>0</v>
      </c>
      <c r="L100">
        <f>IF(OR($L$1="",对接源_01水果!$C100="",对接源_01水果!$C100&lt;&gt;$L$1,对接源_01水果!$B100=""),0,IF(OR(N(对接源_01水果!$B100)&lt;$L$2,N(对接源_01水果!$B100)&gt;$L$3),0,1))</f>
        <v>0</v>
      </c>
      <c r="M100">
        <f>IF(OR($M$1="",对接源_01水果!$C100="",对接源_01水果!$C100&lt;&gt;$M$1,对接源_01水果!$B100=""),0,IF(OR(N(对接源_01水果!$B100)&lt;$M$2,N(对接源_01水果!$B100)&gt;$M$3),0,1))</f>
        <v>0</v>
      </c>
      <c r="N100">
        <f>IF(OR($N$1="",对接源_01水果!$C100="",对接源_01水果!$C100&lt;&gt;$N$1,对接源_01水果!$B100=""),0,IF(OR(N(对接源_01水果!$B100)&lt;$N$2,N(对接源_01水果!$B100)&gt;$N$3),0,1))</f>
        <v>0</v>
      </c>
      <c r="P100">
        <f>IF(AND($K100=1,AND(对接源_01水果!$X100="公司筐",N(对接源_01水果!$T100)&lt;&gt;0)),1,0)</f>
        <v>0</v>
      </c>
      <c r="Q100">
        <f>N(Q99)+$P100</f>
        <v>0</v>
      </c>
      <c r="R100">
        <f>IF(AND($K100=1,AND(对接源_01水果!$X100="公司筐",N(对接源_01水果!$U100)&lt;&gt;0)),1,0)</f>
        <v>0</v>
      </c>
      <c r="S100">
        <f>N(S99)+$R100</f>
        <v>0</v>
      </c>
      <c r="T100">
        <f>IF(AND($K100=1,AND(对接源_01水果!$X100="公司筐",N(对接源_01水果!$V100)&lt;&gt;0)),1,0)</f>
        <v>0</v>
      </c>
      <c r="U100">
        <f>N(U99)+$T100</f>
        <v>0</v>
      </c>
      <c r="V100">
        <f>IF(AND($L100=1,AND(对接源_01水果!$X100="自备筐",N(对接源_01水果!$V100)&lt;&gt;0)),1,0)</f>
        <v>0</v>
      </c>
      <c r="W100">
        <f>N(W99)+$V100</f>
        <v>0</v>
      </c>
      <c r="X100">
        <f>IF(AND($L100=1,AND(对接源_01水果!$X100="自备筐",N(对接源_01水果!$T100)&lt;&gt;0)),1,0)</f>
        <v>0</v>
      </c>
      <c r="Y100">
        <f>N(Y99)+$X100</f>
        <v>0</v>
      </c>
      <c r="Z100">
        <f>IF(AND($M100=1,对接源_01水果!$D100="原料入库"),1,0)</f>
        <v>0</v>
      </c>
      <c r="AA100">
        <f>N(AA99)+$Z100</f>
        <v>0</v>
      </c>
      <c r="AB100">
        <f>IF(AND($M100=1,LEFT(对接源_01水果!$D100,4)="原料出库"),1,0)</f>
        <v>0</v>
      </c>
      <c r="AC100">
        <f>N(AC99)+$AB100</f>
        <v>0</v>
      </c>
      <c r="AD100">
        <f>IF(AND($M100=1,LEFT(对接源_01水果!$D100,4)="成品出库"),1,0)</f>
        <v>0</v>
      </c>
      <c r="AE100">
        <f>N(AE99)+$AD100</f>
        <v>0</v>
      </c>
      <c r="AF100">
        <f>IF(AND($N100=1,AND(LEFT(对接源_01水果!$D100,4)="包装物料",N(对接源_01水果!$K100)&lt;&gt;0)),1,0)</f>
        <v>0</v>
      </c>
      <c r="AG100">
        <f>N(AG99)+$AF100</f>
        <v>0</v>
      </c>
      <c r="AH100">
        <f>IF(AND($N100=1,AND(对接源_01水果!$D100="周转筐－销售出库",N(对接源_01水果!$K100)&lt;&gt;0)),1,0)</f>
        <v>0</v>
      </c>
      <c r="AI100">
        <f>N(AI99)+$AH100</f>
        <v>0</v>
      </c>
      <c r="AJ100" s="7" t="n"/>
      <c r="AL100">
        <f>IF(OR($AL$1="",对接源_01水果!$Y100="",对接源_01水果!$Y100&lt;&gt;$AL$1,对接源_01水果!$B100="",N(对接源_01水果!$AJ100)&lt;=0),0,IF(OR(N(对接源_01水果!$B100)&lt;$AL$2,N(对接源_01水果!$B100)&gt;$AL$3),0,1))</f>
        <v>0</v>
      </c>
      <c r="AM100">
        <f>N(AM99)+$AL100</f>
        <v>0</v>
      </c>
      <c r="AN100">
        <f>IF(对接源_01水果!$AC100="","",对接源_01水果!$AC100)</f>
      </c>
      <c r="AO100">
        <f>IF(AN100="",0,IF(MATCH(AN100,$AN$4:$AN$1203,0)=ROW()-3,1,0))</f>
        <v>0</v>
      </c>
      <c r="AP100">
        <f>N(AP99)+$AO100</f>
        <v>0</v>
      </c>
      <c r="AQ100">
        <f>IFERROR(INDEX($AN$4:$AN$1203,MATCH(ROW()-3,$AP$4:$AP$1203,0)),"")</f>
      </c>
      <c r="AR100">
        <f>IF(OR($AF100=1,$AH100=1),1,0)</f>
        <v>0</v>
      </c>
      <c r="AS100">
        <f>N(AS99)+$AR100</f>
        <v>0</v>
      </c>
    </row>
    <row r="101" ht="14.25" customHeight="1" s="127">
      <c r="A101" t="str">
        <f>IF(对接源_01水果!$C101="","",对接源_01水果!$C101)</f>
        <v>聂新平</v>
      </c>
      <c r="B101">
        <f>IF(A101="",0,IF(MATCH(A101,$A$4:$A$2403,0)=ROW()-3,1,0))</f>
        <v>0</v>
      </c>
      <c r="C101">
        <f>N(C100)+B101</f>
        <v>4</v>
      </c>
      <c r="E101">
        <f>IFERROR(INDEX($A$4:$A$2403,MATCH(ROW()-3,$C$4:$C$2403,0)),"")</f>
      </c>
      <c r="K101">
        <f>IF(OR($K$1="",对接源_01水果!$C101="",对接源_01水果!$C101&lt;&gt;$K$1,对接源_01水果!$B101=""),0,IF(OR(N(对接源_01水果!$B101)&lt;$K$2,N(对接源_01水果!$B101)&gt;$K$3),0,1))</f>
        <v>0</v>
      </c>
      <c r="L101">
        <f>IF(OR($L$1="",对接源_01水果!$C101="",对接源_01水果!$C101&lt;&gt;$L$1,对接源_01水果!$B101=""),0,IF(OR(N(对接源_01水果!$B101)&lt;$L$2,N(对接源_01水果!$B101)&gt;$L$3),0,1))</f>
        <v>0</v>
      </c>
      <c r="M101">
        <f>IF(OR($M$1="",对接源_01水果!$C101="",对接源_01水果!$C101&lt;&gt;$M$1,对接源_01水果!$B101=""),0,IF(OR(N(对接源_01水果!$B101)&lt;$M$2,N(对接源_01水果!$B101)&gt;$M$3),0,1))</f>
        <v>0</v>
      </c>
      <c r="N101">
        <f>IF(OR($N$1="",对接源_01水果!$C101="",对接源_01水果!$C101&lt;&gt;$N$1,对接源_01水果!$B101=""),0,IF(OR(N(对接源_01水果!$B101)&lt;$N$2,N(对接源_01水果!$B101)&gt;$N$3),0,1))</f>
        <v>0</v>
      </c>
      <c r="P101">
        <f>IF(AND($K101=1,AND(对接源_01水果!$X101="公司筐",N(对接源_01水果!$T101)&lt;&gt;0)),1,0)</f>
        <v>0</v>
      </c>
      <c r="Q101">
        <f>N(Q100)+$P101</f>
        <v>0</v>
      </c>
      <c r="R101">
        <f>IF(AND($K101=1,AND(对接源_01水果!$X101="公司筐",N(对接源_01水果!$U101)&lt;&gt;0)),1,0)</f>
        <v>0</v>
      </c>
      <c r="S101">
        <f>N(S100)+$R101</f>
        <v>0</v>
      </c>
      <c r="T101">
        <f>IF(AND($K101=1,AND(对接源_01水果!$X101="公司筐",N(对接源_01水果!$V101)&lt;&gt;0)),1,0)</f>
        <v>0</v>
      </c>
      <c r="U101">
        <f>N(U100)+$T101</f>
        <v>0</v>
      </c>
      <c r="V101">
        <f>IF(AND($L101=1,AND(对接源_01水果!$X101="自备筐",N(对接源_01水果!$V101)&lt;&gt;0)),1,0)</f>
        <v>0</v>
      </c>
      <c r="W101">
        <f>N(W100)+$V101</f>
        <v>0</v>
      </c>
      <c r="X101">
        <f>IF(AND($L101=1,AND(对接源_01水果!$X101="自备筐",N(对接源_01水果!$T101)&lt;&gt;0)),1,0)</f>
        <v>0</v>
      </c>
      <c r="Y101">
        <f>N(Y100)+$X101</f>
        <v>0</v>
      </c>
      <c r="Z101">
        <f>IF(AND($M101=1,对接源_01水果!$D101="原料入库"),1,0)</f>
        <v>0</v>
      </c>
      <c r="AA101">
        <f>N(AA100)+$Z101</f>
        <v>0</v>
      </c>
      <c r="AB101">
        <f>IF(AND($M101=1,LEFT(对接源_01水果!$D101,4)="原料出库"),1,0)</f>
        <v>0</v>
      </c>
      <c r="AC101">
        <f>N(AC100)+$AB101</f>
        <v>0</v>
      </c>
      <c r="AD101">
        <f>IF(AND($M101=1,LEFT(对接源_01水果!$D101,4)="成品出库"),1,0)</f>
        <v>0</v>
      </c>
      <c r="AE101">
        <f>N(AE100)+$AD101</f>
        <v>0</v>
      </c>
      <c r="AF101">
        <f>IF(AND($N101=1,AND(LEFT(对接源_01水果!$D101,4)="包装物料",N(对接源_01水果!$K101)&lt;&gt;0)),1,0)</f>
        <v>0</v>
      </c>
      <c r="AG101">
        <f>N(AG100)+$AF101</f>
        <v>0</v>
      </c>
      <c r="AH101">
        <f>IF(AND($N101=1,AND(对接源_01水果!$D101="周转筐－销售出库",N(对接源_01水果!$K101)&lt;&gt;0)),1,0)</f>
        <v>0</v>
      </c>
      <c r="AI101">
        <f>N(AI100)+$AH101</f>
        <v>0</v>
      </c>
      <c r="AJ101" s="7" t="n"/>
      <c r="AL101">
        <f>IF(OR($AL$1="",对接源_01水果!$Y101="",对接源_01水果!$Y101&lt;&gt;$AL$1,对接源_01水果!$B101="",N(对接源_01水果!$AJ101)&lt;=0),0,IF(OR(N(对接源_01水果!$B101)&lt;$AL$2,N(对接源_01水果!$B101)&gt;$AL$3),0,1))</f>
        <v>0</v>
      </c>
      <c r="AM101">
        <f>N(AM100)+$AL101</f>
        <v>0</v>
      </c>
      <c r="AN101">
        <f>IF(对接源_01水果!$AC101="","",对接源_01水果!$AC101)</f>
      </c>
      <c r="AO101">
        <f>IF(AN101="",0,IF(MATCH(AN101,$AN$4:$AN$1203,0)=ROW()-3,1,0))</f>
        <v>0</v>
      </c>
      <c r="AP101">
        <f>N(AP100)+$AO101</f>
        <v>0</v>
      </c>
      <c r="AQ101">
        <f>IFERROR(INDEX($AN$4:$AN$1203,MATCH(ROW()-3,$AP$4:$AP$1203,0)),"")</f>
      </c>
      <c r="AR101">
        <f>IF(OR($AF101=1,$AH101=1),1,0)</f>
        <v>0</v>
      </c>
      <c r="AS101">
        <f>N(AS100)+$AR101</f>
        <v>0</v>
      </c>
    </row>
    <row r="102" ht="14.25" customHeight="1" s="127">
      <c r="A102" t="str">
        <f>IF(对接源_01水果!$C102="","",对接源_01水果!$C102)</f>
        <v>聂新平</v>
      </c>
      <c r="B102">
        <f>IF(A102="",0,IF(MATCH(A102,$A$4:$A$2403,0)=ROW()-3,1,0))</f>
        <v>0</v>
      </c>
      <c r="C102">
        <f>N(C101)+B102</f>
        <v>4</v>
      </c>
      <c r="E102">
        <f>IFERROR(INDEX($A$4:$A$2403,MATCH(ROW()-3,$C$4:$C$2403,0)),"")</f>
      </c>
      <c r="K102">
        <f>IF(OR($K$1="",对接源_01水果!$C102="",对接源_01水果!$C102&lt;&gt;$K$1,对接源_01水果!$B102=""),0,IF(OR(N(对接源_01水果!$B102)&lt;$K$2,N(对接源_01水果!$B102)&gt;$K$3),0,1))</f>
        <v>0</v>
      </c>
      <c r="L102">
        <f>IF(OR($L$1="",对接源_01水果!$C102="",对接源_01水果!$C102&lt;&gt;$L$1,对接源_01水果!$B102=""),0,IF(OR(N(对接源_01水果!$B102)&lt;$L$2,N(对接源_01水果!$B102)&gt;$L$3),0,1))</f>
        <v>0</v>
      </c>
      <c r="M102">
        <f>IF(OR($M$1="",对接源_01水果!$C102="",对接源_01水果!$C102&lt;&gt;$M$1,对接源_01水果!$B102=""),0,IF(OR(N(对接源_01水果!$B102)&lt;$M$2,N(对接源_01水果!$B102)&gt;$M$3),0,1))</f>
        <v>0</v>
      </c>
      <c r="N102">
        <f>IF(OR($N$1="",对接源_01水果!$C102="",对接源_01水果!$C102&lt;&gt;$N$1,对接源_01水果!$B102=""),0,IF(OR(N(对接源_01水果!$B102)&lt;$N$2,N(对接源_01水果!$B102)&gt;$N$3),0,1))</f>
        <v>0</v>
      </c>
      <c r="P102">
        <f>IF(AND($K102=1,AND(对接源_01水果!$X102="公司筐",N(对接源_01水果!$T102)&lt;&gt;0)),1,0)</f>
        <v>0</v>
      </c>
      <c r="Q102">
        <f>N(Q101)+$P102</f>
        <v>0</v>
      </c>
      <c r="R102">
        <f>IF(AND($K102=1,AND(对接源_01水果!$X102="公司筐",N(对接源_01水果!$U102)&lt;&gt;0)),1,0)</f>
        <v>0</v>
      </c>
      <c r="S102">
        <f>N(S101)+$R102</f>
        <v>0</v>
      </c>
      <c r="T102">
        <f>IF(AND($K102=1,AND(对接源_01水果!$X102="公司筐",N(对接源_01水果!$V102)&lt;&gt;0)),1,0)</f>
        <v>0</v>
      </c>
      <c r="U102">
        <f>N(U101)+$T102</f>
        <v>0</v>
      </c>
      <c r="V102">
        <f>IF(AND($L102=1,AND(对接源_01水果!$X102="自备筐",N(对接源_01水果!$V102)&lt;&gt;0)),1,0)</f>
        <v>0</v>
      </c>
      <c r="W102">
        <f>N(W101)+$V102</f>
        <v>0</v>
      </c>
      <c r="X102">
        <f>IF(AND($L102=1,AND(对接源_01水果!$X102="自备筐",N(对接源_01水果!$T102)&lt;&gt;0)),1,0)</f>
        <v>0</v>
      </c>
      <c r="Y102">
        <f>N(Y101)+$X102</f>
        <v>0</v>
      </c>
      <c r="Z102">
        <f>IF(AND($M102=1,对接源_01水果!$D102="原料入库"),1,0)</f>
        <v>0</v>
      </c>
      <c r="AA102">
        <f>N(AA101)+$Z102</f>
        <v>0</v>
      </c>
      <c r="AB102">
        <f>IF(AND($M102=1,LEFT(对接源_01水果!$D102,4)="原料出库"),1,0)</f>
        <v>0</v>
      </c>
      <c r="AC102">
        <f>N(AC101)+$AB102</f>
        <v>0</v>
      </c>
      <c r="AD102">
        <f>IF(AND($M102=1,LEFT(对接源_01水果!$D102,4)="成品出库"),1,0)</f>
        <v>0</v>
      </c>
      <c r="AE102">
        <f>N(AE101)+$AD102</f>
        <v>0</v>
      </c>
      <c r="AF102">
        <f>IF(AND($N102=1,AND(LEFT(对接源_01水果!$D102,4)="包装物料",N(对接源_01水果!$K102)&lt;&gt;0)),1,0)</f>
        <v>0</v>
      </c>
      <c r="AG102">
        <f>N(AG101)+$AF102</f>
        <v>0</v>
      </c>
      <c r="AH102">
        <f>IF(AND($N102=1,AND(对接源_01水果!$D102="周转筐－销售出库",N(对接源_01水果!$K102)&lt;&gt;0)),1,0)</f>
        <v>0</v>
      </c>
      <c r="AI102">
        <f>N(AI101)+$AH102</f>
        <v>0</v>
      </c>
      <c r="AJ102" s="7" t="n"/>
      <c r="AL102">
        <f>IF(OR($AL$1="",对接源_01水果!$Y102="",对接源_01水果!$Y102&lt;&gt;$AL$1,对接源_01水果!$B102="",N(对接源_01水果!$AJ102)&lt;=0),0,IF(OR(N(对接源_01水果!$B102)&lt;$AL$2,N(对接源_01水果!$B102)&gt;$AL$3),0,1))</f>
        <v>0</v>
      </c>
      <c r="AM102">
        <f>N(AM101)+$AL102</f>
        <v>0</v>
      </c>
      <c r="AN102">
        <f>IF(对接源_01水果!$AC102="","",对接源_01水果!$AC102)</f>
      </c>
      <c r="AO102">
        <f>IF(AN102="",0,IF(MATCH(AN102,$AN$4:$AN$1203,0)=ROW()-3,1,0))</f>
        <v>0</v>
      </c>
      <c r="AP102">
        <f>N(AP101)+$AO102</f>
        <v>0</v>
      </c>
      <c r="AQ102">
        <f>IFERROR(INDEX($AN$4:$AN$1203,MATCH(ROW()-3,$AP$4:$AP$1203,0)),"")</f>
      </c>
      <c r="AR102">
        <f>IF(OR($AF102=1,$AH102=1),1,0)</f>
        <v>0</v>
      </c>
      <c r="AS102">
        <f>N(AS101)+$AR102</f>
        <v>0</v>
      </c>
    </row>
    <row r="103" ht="14.25" customHeight="1" s="127">
      <c r="A103" t="str">
        <f>IF(对接源_01水果!$C103="","",对接源_01水果!$C103)</f>
        <v>聂新平</v>
      </c>
      <c r="B103">
        <f>IF(A103="",0,IF(MATCH(A103,$A$4:$A$2403,0)=ROW()-3,1,0))</f>
        <v>0</v>
      </c>
      <c r="C103">
        <f>N(C102)+B103</f>
        <v>4</v>
      </c>
      <c r="E103">
        <f>IFERROR(INDEX($A$4:$A$2403,MATCH(ROW()-3,$C$4:$C$2403,0)),"")</f>
      </c>
      <c r="K103">
        <f>IF(OR($K$1="",对接源_01水果!$C103="",对接源_01水果!$C103&lt;&gt;$K$1,对接源_01水果!$B103=""),0,IF(OR(N(对接源_01水果!$B103)&lt;$K$2,N(对接源_01水果!$B103)&gt;$K$3),0,1))</f>
        <v>0</v>
      </c>
      <c r="L103">
        <f>IF(OR($L$1="",对接源_01水果!$C103="",对接源_01水果!$C103&lt;&gt;$L$1,对接源_01水果!$B103=""),0,IF(OR(N(对接源_01水果!$B103)&lt;$L$2,N(对接源_01水果!$B103)&gt;$L$3),0,1))</f>
        <v>0</v>
      </c>
      <c r="M103">
        <f>IF(OR($M$1="",对接源_01水果!$C103="",对接源_01水果!$C103&lt;&gt;$M$1,对接源_01水果!$B103=""),0,IF(OR(N(对接源_01水果!$B103)&lt;$M$2,N(对接源_01水果!$B103)&gt;$M$3),0,1))</f>
        <v>0</v>
      </c>
      <c r="N103">
        <f>IF(OR($N$1="",对接源_01水果!$C103="",对接源_01水果!$C103&lt;&gt;$N$1,对接源_01水果!$B103=""),0,IF(OR(N(对接源_01水果!$B103)&lt;$N$2,N(对接源_01水果!$B103)&gt;$N$3),0,1))</f>
        <v>0</v>
      </c>
      <c r="P103">
        <f>IF(AND($K103=1,AND(对接源_01水果!$X103="公司筐",N(对接源_01水果!$T103)&lt;&gt;0)),1,0)</f>
        <v>0</v>
      </c>
      <c r="Q103">
        <f>N(Q102)+$P103</f>
        <v>0</v>
      </c>
      <c r="R103">
        <f>IF(AND($K103=1,AND(对接源_01水果!$X103="公司筐",N(对接源_01水果!$U103)&lt;&gt;0)),1,0)</f>
        <v>0</v>
      </c>
      <c r="S103">
        <f>N(S102)+$R103</f>
        <v>0</v>
      </c>
      <c r="T103">
        <f>IF(AND($K103=1,AND(对接源_01水果!$X103="公司筐",N(对接源_01水果!$V103)&lt;&gt;0)),1,0)</f>
        <v>0</v>
      </c>
      <c r="U103">
        <f>N(U102)+$T103</f>
        <v>0</v>
      </c>
      <c r="V103">
        <f>IF(AND($L103=1,AND(对接源_01水果!$X103="自备筐",N(对接源_01水果!$V103)&lt;&gt;0)),1,0)</f>
        <v>0</v>
      </c>
      <c r="W103">
        <f>N(W102)+$V103</f>
        <v>0</v>
      </c>
      <c r="X103">
        <f>IF(AND($L103=1,AND(对接源_01水果!$X103="自备筐",N(对接源_01水果!$T103)&lt;&gt;0)),1,0)</f>
        <v>0</v>
      </c>
      <c r="Y103">
        <f>N(Y102)+$X103</f>
        <v>0</v>
      </c>
      <c r="Z103">
        <f>IF(AND($M103=1,对接源_01水果!$D103="原料入库"),1,0)</f>
        <v>0</v>
      </c>
      <c r="AA103">
        <f>N(AA102)+$Z103</f>
        <v>0</v>
      </c>
      <c r="AB103">
        <f>IF(AND($M103=1,LEFT(对接源_01水果!$D103,4)="原料出库"),1,0)</f>
        <v>0</v>
      </c>
      <c r="AC103">
        <f>N(AC102)+$AB103</f>
        <v>0</v>
      </c>
      <c r="AD103">
        <f>IF(AND($M103=1,LEFT(对接源_01水果!$D103,4)="成品出库"),1,0)</f>
        <v>0</v>
      </c>
      <c r="AE103">
        <f>N(AE102)+$AD103</f>
        <v>0</v>
      </c>
      <c r="AF103">
        <f>IF(AND($N103=1,AND(LEFT(对接源_01水果!$D103,4)="包装物料",N(对接源_01水果!$K103)&lt;&gt;0)),1,0)</f>
        <v>0</v>
      </c>
      <c r="AG103">
        <f>N(AG102)+$AF103</f>
        <v>0</v>
      </c>
      <c r="AH103">
        <f>IF(AND($N103=1,AND(对接源_01水果!$D103="周转筐－销售出库",N(对接源_01水果!$K103)&lt;&gt;0)),1,0)</f>
        <v>0</v>
      </c>
      <c r="AI103">
        <f>N(AI102)+$AH103</f>
        <v>0</v>
      </c>
      <c r="AJ103" s="7" t="n"/>
      <c r="AL103">
        <f>IF(OR($AL$1="",对接源_01水果!$Y103="",对接源_01水果!$Y103&lt;&gt;$AL$1,对接源_01水果!$B103="",N(对接源_01水果!$AJ103)&lt;=0),0,IF(OR(N(对接源_01水果!$B103)&lt;$AL$2,N(对接源_01水果!$B103)&gt;$AL$3),0,1))</f>
        <v>0</v>
      </c>
      <c r="AM103">
        <f>N(AM102)+$AL103</f>
        <v>0</v>
      </c>
      <c r="AN103">
        <f>IF(对接源_01水果!$AC103="","",对接源_01水果!$AC103)</f>
      </c>
      <c r="AO103">
        <f>IF(AN103="",0,IF(MATCH(AN103,$AN$4:$AN$1203,0)=ROW()-3,1,0))</f>
        <v>0</v>
      </c>
      <c r="AP103">
        <f>N(AP102)+$AO103</f>
        <v>0</v>
      </c>
      <c r="AQ103">
        <f>IFERROR(INDEX($AN$4:$AN$1203,MATCH(ROW()-3,$AP$4:$AP$1203,0)),"")</f>
      </c>
      <c r="AR103">
        <f>IF(OR($AF103=1,$AH103=1),1,0)</f>
        <v>0</v>
      </c>
      <c r="AS103">
        <f>N(AS102)+$AR103</f>
        <v>0</v>
      </c>
    </row>
    <row r="104" ht="14.25" customHeight="1" s="127">
      <c r="A104" t="str">
        <f>IF(对接源_01水果!$C104="","",对接源_01水果!$C104)</f>
        <v>聂新平</v>
      </c>
      <c r="B104">
        <f>IF(A104="",0,IF(MATCH(A104,$A$4:$A$2403,0)=ROW()-3,1,0))</f>
        <v>0</v>
      </c>
      <c r="C104">
        <f>N(C103)+B104</f>
        <v>4</v>
      </c>
      <c r="E104">
        <f>IFERROR(INDEX($A$4:$A$2403,MATCH(ROW()-3,$C$4:$C$2403,0)),"")</f>
      </c>
      <c r="K104">
        <f>IF(OR($K$1="",对接源_01水果!$C104="",对接源_01水果!$C104&lt;&gt;$K$1,对接源_01水果!$B104=""),0,IF(OR(N(对接源_01水果!$B104)&lt;$K$2,N(对接源_01水果!$B104)&gt;$K$3),0,1))</f>
        <v>0</v>
      </c>
      <c r="L104">
        <f>IF(OR($L$1="",对接源_01水果!$C104="",对接源_01水果!$C104&lt;&gt;$L$1,对接源_01水果!$B104=""),0,IF(OR(N(对接源_01水果!$B104)&lt;$L$2,N(对接源_01水果!$B104)&gt;$L$3),0,1))</f>
        <v>0</v>
      </c>
      <c r="M104">
        <f>IF(OR($M$1="",对接源_01水果!$C104="",对接源_01水果!$C104&lt;&gt;$M$1,对接源_01水果!$B104=""),0,IF(OR(N(对接源_01水果!$B104)&lt;$M$2,N(对接源_01水果!$B104)&gt;$M$3),0,1))</f>
        <v>0</v>
      </c>
      <c r="N104">
        <f>IF(OR($N$1="",对接源_01水果!$C104="",对接源_01水果!$C104&lt;&gt;$N$1,对接源_01水果!$B104=""),0,IF(OR(N(对接源_01水果!$B104)&lt;$N$2,N(对接源_01水果!$B104)&gt;$N$3),0,1))</f>
        <v>0</v>
      </c>
      <c r="P104">
        <f>IF(AND($K104=1,AND(对接源_01水果!$X104="公司筐",N(对接源_01水果!$T104)&lt;&gt;0)),1,0)</f>
        <v>0</v>
      </c>
      <c r="Q104">
        <f>N(Q103)+$P104</f>
        <v>0</v>
      </c>
      <c r="R104">
        <f>IF(AND($K104=1,AND(对接源_01水果!$X104="公司筐",N(对接源_01水果!$U104)&lt;&gt;0)),1,0)</f>
        <v>0</v>
      </c>
      <c r="S104">
        <f>N(S103)+$R104</f>
        <v>0</v>
      </c>
      <c r="T104">
        <f>IF(AND($K104=1,AND(对接源_01水果!$X104="公司筐",N(对接源_01水果!$V104)&lt;&gt;0)),1,0)</f>
        <v>0</v>
      </c>
      <c r="U104">
        <f>N(U103)+$T104</f>
        <v>0</v>
      </c>
      <c r="V104">
        <f>IF(AND($L104=1,AND(对接源_01水果!$X104="自备筐",N(对接源_01水果!$V104)&lt;&gt;0)),1,0)</f>
        <v>0</v>
      </c>
      <c r="W104">
        <f>N(W103)+$V104</f>
        <v>0</v>
      </c>
      <c r="X104">
        <f>IF(AND($L104=1,AND(对接源_01水果!$X104="自备筐",N(对接源_01水果!$T104)&lt;&gt;0)),1,0)</f>
        <v>0</v>
      </c>
      <c r="Y104">
        <f>N(Y103)+$X104</f>
        <v>0</v>
      </c>
      <c r="Z104">
        <f>IF(AND($M104=1,对接源_01水果!$D104="原料入库"),1,0)</f>
        <v>0</v>
      </c>
      <c r="AA104">
        <f>N(AA103)+$Z104</f>
        <v>0</v>
      </c>
      <c r="AB104">
        <f>IF(AND($M104=1,LEFT(对接源_01水果!$D104,4)="原料出库"),1,0)</f>
        <v>0</v>
      </c>
      <c r="AC104">
        <f>N(AC103)+$AB104</f>
        <v>0</v>
      </c>
      <c r="AD104">
        <f>IF(AND($M104=1,LEFT(对接源_01水果!$D104,4)="成品出库"),1,0)</f>
        <v>0</v>
      </c>
      <c r="AE104">
        <f>N(AE103)+$AD104</f>
        <v>0</v>
      </c>
      <c r="AF104">
        <f>IF(AND($N104=1,AND(LEFT(对接源_01水果!$D104,4)="包装物料",N(对接源_01水果!$K104)&lt;&gt;0)),1,0)</f>
        <v>0</v>
      </c>
      <c r="AG104">
        <f>N(AG103)+$AF104</f>
        <v>0</v>
      </c>
      <c r="AH104">
        <f>IF(AND($N104=1,AND(对接源_01水果!$D104="周转筐－销售出库",N(对接源_01水果!$K104)&lt;&gt;0)),1,0)</f>
        <v>0</v>
      </c>
      <c r="AI104">
        <f>N(AI103)+$AH104</f>
        <v>0</v>
      </c>
      <c r="AJ104" s="7" t="n"/>
      <c r="AL104">
        <f>IF(OR($AL$1="",对接源_01水果!$Y104="",对接源_01水果!$Y104&lt;&gt;$AL$1,对接源_01水果!$B104="",N(对接源_01水果!$AJ104)&lt;=0),0,IF(OR(N(对接源_01水果!$B104)&lt;$AL$2,N(对接源_01水果!$B104)&gt;$AL$3),0,1))</f>
        <v>0</v>
      </c>
      <c r="AM104">
        <f>N(AM103)+$AL104</f>
        <v>0</v>
      </c>
      <c r="AN104">
        <f>IF(对接源_01水果!$AC104="","",对接源_01水果!$AC104)</f>
      </c>
      <c r="AO104">
        <f>IF(AN104="",0,IF(MATCH(AN104,$AN$4:$AN$1203,0)=ROW()-3,1,0))</f>
        <v>0</v>
      </c>
      <c r="AP104">
        <f>N(AP103)+$AO104</f>
        <v>0</v>
      </c>
      <c r="AQ104">
        <f>IFERROR(INDEX($AN$4:$AN$1203,MATCH(ROW()-3,$AP$4:$AP$1203,0)),"")</f>
      </c>
      <c r="AR104">
        <f>IF(OR($AF104=1,$AH104=1),1,0)</f>
        <v>0</v>
      </c>
      <c r="AS104">
        <f>N(AS103)+$AR104</f>
        <v>0</v>
      </c>
    </row>
    <row r="105" ht="14.25" customHeight="1" s="127">
      <c r="A105" t="str">
        <f>IF(对接源_01水果!$C105="","",对接源_01水果!$C105)</f>
        <v>聂新平</v>
      </c>
      <c r="B105">
        <f>IF(A105="",0,IF(MATCH(A105,$A$4:$A$2403,0)=ROW()-3,1,0))</f>
        <v>0</v>
      </c>
      <c r="C105">
        <f>N(C104)+B105</f>
        <v>4</v>
      </c>
      <c r="E105">
        <f>IFERROR(INDEX($A$4:$A$2403,MATCH(ROW()-3,$C$4:$C$2403,0)),"")</f>
      </c>
      <c r="K105">
        <f>IF(OR($K$1="",对接源_01水果!$C105="",对接源_01水果!$C105&lt;&gt;$K$1,对接源_01水果!$B105=""),0,IF(OR(N(对接源_01水果!$B105)&lt;$K$2,N(对接源_01水果!$B105)&gt;$K$3),0,1))</f>
        <v>0</v>
      </c>
      <c r="L105">
        <f>IF(OR($L$1="",对接源_01水果!$C105="",对接源_01水果!$C105&lt;&gt;$L$1,对接源_01水果!$B105=""),0,IF(OR(N(对接源_01水果!$B105)&lt;$L$2,N(对接源_01水果!$B105)&gt;$L$3),0,1))</f>
        <v>0</v>
      </c>
      <c r="M105">
        <f>IF(OR($M$1="",对接源_01水果!$C105="",对接源_01水果!$C105&lt;&gt;$M$1,对接源_01水果!$B105=""),0,IF(OR(N(对接源_01水果!$B105)&lt;$M$2,N(对接源_01水果!$B105)&gt;$M$3),0,1))</f>
        <v>0</v>
      </c>
      <c r="N105">
        <f>IF(OR($N$1="",对接源_01水果!$C105="",对接源_01水果!$C105&lt;&gt;$N$1,对接源_01水果!$B105=""),0,IF(OR(N(对接源_01水果!$B105)&lt;$N$2,N(对接源_01水果!$B105)&gt;$N$3),0,1))</f>
        <v>0</v>
      </c>
      <c r="P105">
        <f>IF(AND($K105=1,AND(对接源_01水果!$X105="公司筐",N(对接源_01水果!$T105)&lt;&gt;0)),1,0)</f>
        <v>0</v>
      </c>
      <c r="Q105">
        <f>N(Q104)+$P105</f>
        <v>0</v>
      </c>
      <c r="R105">
        <f>IF(AND($K105=1,AND(对接源_01水果!$X105="公司筐",N(对接源_01水果!$U105)&lt;&gt;0)),1,0)</f>
        <v>0</v>
      </c>
      <c r="S105">
        <f>N(S104)+$R105</f>
        <v>0</v>
      </c>
      <c r="T105">
        <f>IF(AND($K105=1,AND(对接源_01水果!$X105="公司筐",N(对接源_01水果!$V105)&lt;&gt;0)),1,0)</f>
        <v>0</v>
      </c>
      <c r="U105">
        <f>N(U104)+$T105</f>
        <v>0</v>
      </c>
      <c r="V105">
        <f>IF(AND($L105=1,AND(对接源_01水果!$X105="自备筐",N(对接源_01水果!$V105)&lt;&gt;0)),1,0)</f>
        <v>0</v>
      </c>
      <c r="W105">
        <f>N(W104)+$V105</f>
        <v>0</v>
      </c>
      <c r="X105">
        <f>IF(AND($L105=1,AND(对接源_01水果!$X105="自备筐",N(对接源_01水果!$T105)&lt;&gt;0)),1,0)</f>
        <v>0</v>
      </c>
      <c r="Y105">
        <f>N(Y104)+$X105</f>
        <v>0</v>
      </c>
      <c r="Z105">
        <f>IF(AND($M105=1,对接源_01水果!$D105="原料入库"),1,0)</f>
        <v>0</v>
      </c>
      <c r="AA105">
        <f>N(AA104)+$Z105</f>
        <v>0</v>
      </c>
      <c r="AB105">
        <f>IF(AND($M105=1,LEFT(对接源_01水果!$D105,4)="原料出库"),1,0)</f>
        <v>0</v>
      </c>
      <c r="AC105">
        <f>N(AC104)+$AB105</f>
        <v>0</v>
      </c>
      <c r="AD105">
        <f>IF(AND($M105=1,LEFT(对接源_01水果!$D105,4)="成品出库"),1,0)</f>
        <v>0</v>
      </c>
      <c r="AE105">
        <f>N(AE104)+$AD105</f>
        <v>0</v>
      </c>
      <c r="AF105">
        <f>IF(AND($N105=1,AND(LEFT(对接源_01水果!$D105,4)="包装物料",N(对接源_01水果!$K105)&lt;&gt;0)),1,0)</f>
        <v>0</v>
      </c>
      <c r="AG105">
        <f>N(AG104)+$AF105</f>
        <v>0</v>
      </c>
      <c r="AH105">
        <f>IF(AND($N105=1,AND(对接源_01水果!$D105="周转筐－销售出库",N(对接源_01水果!$K105)&lt;&gt;0)),1,0)</f>
        <v>0</v>
      </c>
      <c r="AI105">
        <f>N(AI104)+$AH105</f>
        <v>0</v>
      </c>
      <c r="AJ105" s="7" t="n"/>
      <c r="AL105">
        <f>IF(OR($AL$1="",对接源_01水果!$Y105="",对接源_01水果!$Y105&lt;&gt;$AL$1,对接源_01水果!$B105="",N(对接源_01水果!$AJ105)&lt;=0),0,IF(OR(N(对接源_01水果!$B105)&lt;$AL$2,N(对接源_01水果!$B105)&gt;$AL$3),0,1))</f>
        <v>0</v>
      </c>
      <c r="AM105">
        <f>N(AM104)+$AL105</f>
        <v>0</v>
      </c>
      <c r="AN105">
        <f>IF(对接源_01水果!$AC105="","",对接源_01水果!$AC105)</f>
      </c>
      <c r="AO105">
        <f>IF(AN105="",0,IF(MATCH(AN105,$AN$4:$AN$1203,0)=ROW()-3,1,0))</f>
        <v>0</v>
      </c>
      <c r="AP105">
        <f>N(AP104)+$AO105</f>
        <v>0</v>
      </c>
      <c r="AQ105">
        <f>IFERROR(INDEX($AN$4:$AN$1203,MATCH(ROW()-3,$AP$4:$AP$1203,0)),"")</f>
      </c>
      <c r="AR105">
        <f>IF(OR($AF105=1,$AH105=1),1,0)</f>
        <v>0</v>
      </c>
      <c r="AS105">
        <f>N(AS104)+$AR105</f>
        <v>0</v>
      </c>
    </row>
    <row r="106" ht="14.25" customHeight="1" s="127">
      <c r="A106" t="str">
        <f>IF(对接源_01水果!$C106="","",对接源_01水果!$C106)</f>
        <v>聂新平</v>
      </c>
      <c r="B106">
        <f>IF(A106="",0,IF(MATCH(A106,$A$4:$A$2403,0)=ROW()-3,1,0))</f>
        <v>0</v>
      </c>
      <c r="C106">
        <f>N(C105)+B106</f>
        <v>4</v>
      </c>
      <c r="E106">
        <f>IFERROR(INDEX($A$4:$A$2403,MATCH(ROW()-3,$C$4:$C$2403,0)),"")</f>
      </c>
      <c r="K106">
        <f>IF(OR($K$1="",对接源_01水果!$C106="",对接源_01水果!$C106&lt;&gt;$K$1,对接源_01水果!$B106=""),0,IF(OR(N(对接源_01水果!$B106)&lt;$K$2,N(对接源_01水果!$B106)&gt;$K$3),0,1))</f>
        <v>0</v>
      </c>
      <c r="L106">
        <f>IF(OR($L$1="",对接源_01水果!$C106="",对接源_01水果!$C106&lt;&gt;$L$1,对接源_01水果!$B106=""),0,IF(OR(N(对接源_01水果!$B106)&lt;$L$2,N(对接源_01水果!$B106)&gt;$L$3),0,1))</f>
        <v>0</v>
      </c>
      <c r="M106">
        <f>IF(OR($M$1="",对接源_01水果!$C106="",对接源_01水果!$C106&lt;&gt;$M$1,对接源_01水果!$B106=""),0,IF(OR(N(对接源_01水果!$B106)&lt;$M$2,N(对接源_01水果!$B106)&gt;$M$3),0,1))</f>
        <v>0</v>
      </c>
      <c r="N106">
        <f>IF(OR($N$1="",对接源_01水果!$C106="",对接源_01水果!$C106&lt;&gt;$N$1,对接源_01水果!$B106=""),0,IF(OR(N(对接源_01水果!$B106)&lt;$N$2,N(对接源_01水果!$B106)&gt;$N$3),0,1))</f>
        <v>0</v>
      </c>
      <c r="P106">
        <f>IF(AND($K106=1,AND(对接源_01水果!$X106="公司筐",N(对接源_01水果!$T106)&lt;&gt;0)),1,0)</f>
        <v>0</v>
      </c>
      <c r="Q106">
        <f>N(Q105)+$P106</f>
        <v>0</v>
      </c>
      <c r="R106">
        <f>IF(AND($K106=1,AND(对接源_01水果!$X106="公司筐",N(对接源_01水果!$U106)&lt;&gt;0)),1,0)</f>
        <v>0</v>
      </c>
      <c r="S106">
        <f>N(S105)+$R106</f>
        <v>0</v>
      </c>
      <c r="T106">
        <f>IF(AND($K106=1,AND(对接源_01水果!$X106="公司筐",N(对接源_01水果!$V106)&lt;&gt;0)),1,0)</f>
        <v>0</v>
      </c>
      <c r="U106">
        <f>N(U105)+$T106</f>
        <v>0</v>
      </c>
      <c r="V106">
        <f>IF(AND($L106=1,AND(对接源_01水果!$X106="自备筐",N(对接源_01水果!$V106)&lt;&gt;0)),1,0)</f>
        <v>0</v>
      </c>
      <c r="W106">
        <f>N(W105)+$V106</f>
        <v>0</v>
      </c>
      <c r="X106">
        <f>IF(AND($L106=1,AND(对接源_01水果!$X106="自备筐",N(对接源_01水果!$T106)&lt;&gt;0)),1,0)</f>
        <v>0</v>
      </c>
      <c r="Y106">
        <f>N(Y105)+$X106</f>
        <v>0</v>
      </c>
      <c r="Z106">
        <f>IF(AND($M106=1,对接源_01水果!$D106="原料入库"),1,0)</f>
        <v>0</v>
      </c>
      <c r="AA106">
        <f>N(AA105)+$Z106</f>
        <v>0</v>
      </c>
      <c r="AB106">
        <f>IF(AND($M106=1,LEFT(对接源_01水果!$D106,4)="原料出库"),1,0)</f>
        <v>0</v>
      </c>
      <c r="AC106">
        <f>N(AC105)+$AB106</f>
        <v>0</v>
      </c>
      <c r="AD106">
        <f>IF(AND($M106=1,LEFT(对接源_01水果!$D106,4)="成品出库"),1,0)</f>
        <v>0</v>
      </c>
      <c r="AE106">
        <f>N(AE105)+$AD106</f>
        <v>0</v>
      </c>
      <c r="AF106">
        <f>IF(AND($N106=1,AND(LEFT(对接源_01水果!$D106,4)="包装物料",N(对接源_01水果!$K106)&lt;&gt;0)),1,0)</f>
        <v>0</v>
      </c>
      <c r="AG106">
        <f>N(AG105)+$AF106</f>
        <v>0</v>
      </c>
      <c r="AH106">
        <f>IF(AND($N106=1,AND(对接源_01水果!$D106="周转筐－销售出库",N(对接源_01水果!$K106)&lt;&gt;0)),1,0)</f>
        <v>0</v>
      </c>
      <c r="AI106">
        <f>N(AI105)+$AH106</f>
        <v>0</v>
      </c>
      <c r="AJ106" s="7" t="n"/>
      <c r="AL106">
        <f>IF(OR($AL$1="",对接源_01水果!$Y106="",对接源_01水果!$Y106&lt;&gt;$AL$1,对接源_01水果!$B106="",N(对接源_01水果!$AJ106)&lt;=0),0,IF(OR(N(对接源_01水果!$B106)&lt;$AL$2,N(对接源_01水果!$B106)&gt;$AL$3),0,1))</f>
        <v>0</v>
      </c>
      <c r="AM106">
        <f>N(AM105)+$AL106</f>
        <v>0</v>
      </c>
      <c r="AN106">
        <f>IF(对接源_01水果!$AC106="","",对接源_01水果!$AC106)</f>
      </c>
      <c r="AO106">
        <f>IF(AN106="",0,IF(MATCH(AN106,$AN$4:$AN$1203,0)=ROW()-3,1,0))</f>
        <v>0</v>
      </c>
      <c r="AP106">
        <f>N(AP105)+$AO106</f>
        <v>0</v>
      </c>
      <c r="AQ106">
        <f>IFERROR(INDEX($AN$4:$AN$1203,MATCH(ROW()-3,$AP$4:$AP$1203,0)),"")</f>
      </c>
      <c r="AR106">
        <f>IF(OR($AF106=1,$AH106=1),1,0)</f>
        <v>0</v>
      </c>
      <c r="AS106">
        <f>N(AS105)+$AR106</f>
        <v>0</v>
      </c>
    </row>
    <row r="107" ht="14.25" customHeight="1" s="127">
      <c r="A107" t="str">
        <f>IF(对接源_01水果!$C107="","",对接源_01水果!$C107)</f>
        <v>聂新平</v>
      </c>
      <c r="B107">
        <f>IF(A107="",0,IF(MATCH(A107,$A$4:$A$2403,0)=ROW()-3,1,0))</f>
        <v>0</v>
      </c>
      <c r="C107">
        <f>N(C106)+B107</f>
        <v>4</v>
      </c>
      <c r="E107">
        <f>IFERROR(INDEX($A$4:$A$2403,MATCH(ROW()-3,$C$4:$C$2403,0)),"")</f>
      </c>
      <c r="K107">
        <f>IF(OR($K$1="",对接源_01水果!$C107="",对接源_01水果!$C107&lt;&gt;$K$1,对接源_01水果!$B107=""),0,IF(OR(N(对接源_01水果!$B107)&lt;$K$2,N(对接源_01水果!$B107)&gt;$K$3),0,1))</f>
        <v>0</v>
      </c>
      <c r="L107">
        <f>IF(OR($L$1="",对接源_01水果!$C107="",对接源_01水果!$C107&lt;&gt;$L$1,对接源_01水果!$B107=""),0,IF(OR(N(对接源_01水果!$B107)&lt;$L$2,N(对接源_01水果!$B107)&gt;$L$3),0,1))</f>
        <v>0</v>
      </c>
      <c r="M107">
        <f>IF(OR($M$1="",对接源_01水果!$C107="",对接源_01水果!$C107&lt;&gt;$M$1,对接源_01水果!$B107=""),0,IF(OR(N(对接源_01水果!$B107)&lt;$M$2,N(对接源_01水果!$B107)&gt;$M$3),0,1))</f>
        <v>0</v>
      </c>
      <c r="N107">
        <f>IF(OR($N$1="",对接源_01水果!$C107="",对接源_01水果!$C107&lt;&gt;$N$1,对接源_01水果!$B107=""),0,IF(OR(N(对接源_01水果!$B107)&lt;$N$2,N(对接源_01水果!$B107)&gt;$N$3),0,1))</f>
        <v>0</v>
      </c>
      <c r="P107">
        <f>IF(AND($K107=1,AND(对接源_01水果!$X107="公司筐",N(对接源_01水果!$T107)&lt;&gt;0)),1,0)</f>
        <v>0</v>
      </c>
      <c r="Q107">
        <f>N(Q106)+$P107</f>
        <v>0</v>
      </c>
      <c r="R107">
        <f>IF(AND($K107=1,AND(对接源_01水果!$X107="公司筐",N(对接源_01水果!$U107)&lt;&gt;0)),1,0)</f>
        <v>0</v>
      </c>
      <c r="S107">
        <f>N(S106)+$R107</f>
        <v>0</v>
      </c>
      <c r="T107">
        <f>IF(AND($K107=1,AND(对接源_01水果!$X107="公司筐",N(对接源_01水果!$V107)&lt;&gt;0)),1,0)</f>
        <v>0</v>
      </c>
      <c r="U107">
        <f>N(U106)+$T107</f>
        <v>0</v>
      </c>
      <c r="V107">
        <f>IF(AND($L107=1,AND(对接源_01水果!$X107="自备筐",N(对接源_01水果!$V107)&lt;&gt;0)),1,0)</f>
        <v>0</v>
      </c>
      <c r="W107">
        <f>N(W106)+$V107</f>
        <v>0</v>
      </c>
      <c r="X107">
        <f>IF(AND($L107=1,AND(对接源_01水果!$X107="自备筐",N(对接源_01水果!$T107)&lt;&gt;0)),1,0)</f>
        <v>0</v>
      </c>
      <c r="Y107">
        <f>N(Y106)+$X107</f>
        <v>0</v>
      </c>
      <c r="Z107">
        <f>IF(AND($M107=1,对接源_01水果!$D107="原料入库"),1,0)</f>
        <v>0</v>
      </c>
      <c r="AA107">
        <f>N(AA106)+$Z107</f>
        <v>0</v>
      </c>
      <c r="AB107">
        <f>IF(AND($M107=1,LEFT(对接源_01水果!$D107,4)="原料出库"),1,0)</f>
        <v>0</v>
      </c>
      <c r="AC107">
        <f>N(AC106)+$AB107</f>
        <v>0</v>
      </c>
      <c r="AD107">
        <f>IF(AND($M107=1,LEFT(对接源_01水果!$D107,4)="成品出库"),1,0)</f>
        <v>0</v>
      </c>
      <c r="AE107">
        <f>N(AE106)+$AD107</f>
        <v>0</v>
      </c>
      <c r="AF107">
        <f>IF(AND($N107=1,AND(LEFT(对接源_01水果!$D107,4)="包装物料",N(对接源_01水果!$K107)&lt;&gt;0)),1,0)</f>
        <v>0</v>
      </c>
      <c r="AG107">
        <f>N(AG106)+$AF107</f>
        <v>0</v>
      </c>
      <c r="AH107">
        <f>IF(AND($N107=1,AND(对接源_01水果!$D107="周转筐－销售出库",N(对接源_01水果!$K107)&lt;&gt;0)),1,0)</f>
        <v>0</v>
      </c>
      <c r="AI107">
        <f>N(AI106)+$AH107</f>
        <v>0</v>
      </c>
      <c r="AJ107" s="7" t="n"/>
      <c r="AL107">
        <f>IF(OR($AL$1="",对接源_01水果!$Y107="",对接源_01水果!$Y107&lt;&gt;$AL$1,对接源_01水果!$B107="",N(对接源_01水果!$AJ107)&lt;=0),0,IF(OR(N(对接源_01水果!$B107)&lt;$AL$2,N(对接源_01水果!$B107)&gt;$AL$3),0,1))</f>
        <v>0</v>
      </c>
      <c r="AM107">
        <f>N(AM106)+$AL107</f>
        <v>0</v>
      </c>
      <c r="AN107">
        <f>IF(对接源_01水果!$AC107="","",对接源_01水果!$AC107)</f>
      </c>
      <c r="AO107">
        <f>IF(AN107="",0,IF(MATCH(AN107,$AN$4:$AN$1203,0)=ROW()-3,1,0))</f>
        <v>0</v>
      </c>
      <c r="AP107">
        <f>N(AP106)+$AO107</f>
        <v>0</v>
      </c>
      <c r="AQ107">
        <f>IFERROR(INDEX($AN$4:$AN$1203,MATCH(ROW()-3,$AP$4:$AP$1203,0)),"")</f>
      </c>
      <c r="AR107">
        <f>IF(OR($AF107=1,$AH107=1),1,0)</f>
        <v>0</v>
      </c>
      <c r="AS107">
        <f>N(AS106)+$AR107</f>
        <v>0</v>
      </c>
    </row>
    <row r="108" ht="14.25" customHeight="1" s="127">
      <c r="A108" t="str">
        <f>IF(对接源_01水果!$C108="","",对接源_01水果!$C108)</f>
        <v>聂新平</v>
      </c>
      <c r="B108">
        <f>IF(A108="",0,IF(MATCH(A108,$A$4:$A$2403,0)=ROW()-3,1,0))</f>
        <v>0</v>
      </c>
      <c r="C108">
        <f>N(C107)+B108</f>
        <v>4</v>
      </c>
      <c r="E108">
        <f>IFERROR(INDEX($A$4:$A$2403,MATCH(ROW()-3,$C$4:$C$2403,0)),"")</f>
      </c>
      <c r="K108">
        <f>IF(OR($K$1="",对接源_01水果!$C108="",对接源_01水果!$C108&lt;&gt;$K$1,对接源_01水果!$B108=""),0,IF(OR(N(对接源_01水果!$B108)&lt;$K$2,N(对接源_01水果!$B108)&gt;$K$3),0,1))</f>
        <v>0</v>
      </c>
      <c r="L108">
        <f>IF(OR($L$1="",对接源_01水果!$C108="",对接源_01水果!$C108&lt;&gt;$L$1,对接源_01水果!$B108=""),0,IF(OR(N(对接源_01水果!$B108)&lt;$L$2,N(对接源_01水果!$B108)&gt;$L$3),0,1))</f>
        <v>0</v>
      </c>
      <c r="M108">
        <f>IF(OR($M$1="",对接源_01水果!$C108="",对接源_01水果!$C108&lt;&gt;$M$1,对接源_01水果!$B108=""),0,IF(OR(N(对接源_01水果!$B108)&lt;$M$2,N(对接源_01水果!$B108)&gt;$M$3),0,1))</f>
        <v>0</v>
      </c>
      <c r="N108">
        <f>IF(OR($N$1="",对接源_01水果!$C108="",对接源_01水果!$C108&lt;&gt;$N$1,对接源_01水果!$B108=""),0,IF(OR(N(对接源_01水果!$B108)&lt;$N$2,N(对接源_01水果!$B108)&gt;$N$3),0,1))</f>
        <v>0</v>
      </c>
      <c r="P108">
        <f>IF(AND($K108=1,AND(对接源_01水果!$X108="公司筐",N(对接源_01水果!$T108)&lt;&gt;0)),1,0)</f>
        <v>0</v>
      </c>
      <c r="Q108">
        <f>N(Q107)+$P108</f>
        <v>0</v>
      </c>
      <c r="R108">
        <f>IF(AND($K108=1,AND(对接源_01水果!$X108="公司筐",N(对接源_01水果!$U108)&lt;&gt;0)),1,0)</f>
        <v>0</v>
      </c>
      <c r="S108">
        <f>N(S107)+$R108</f>
        <v>0</v>
      </c>
      <c r="T108">
        <f>IF(AND($K108=1,AND(对接源_01水果!$X108="公司筐",N(对接源_01水果!$V108)&lt;&gt;0)),1,0)</f>
        <v>0</v>
      </c>
      <c r="U108">
        <f>N(U107)+$T108</f>
        <v>0</v>
      </c>
      <c r="V108">
        <f>IF(AND($L108=1,AND(对接源_01水果!$X108="自备筐",N(对接源_01水果!$V108)&lt;&gt;0)),1,0)</f>
        <v>0</v>
      </c>
      <c r="W108">
        <f>N(W107)+$V108</f>
        <v>0</v>
      </c>
      <c r="X108">
        <f>IF(AND($L108=1,AND(对接源_01水果!$X108="自备筐",N(对接源_01水果!$T108)&lt;&gt;0)),1,0)</f>
        <v>0</v>
      </c>
      <c r="Y108">
        <f>N(Y107)+$X108</f>
        <v>0</v>
      </c>
      <c r="Z108">
        <f>IF(AND($M108=1,对接源_01水果!$D108="原料入库"),1,0)</f>
        <v>0</v>
      </c>
      <c r="AA108">
        <f>N(AA107)+$Z108</f>
        <v>0</v>
      </c>
      <c r="AB108">
        <f>IF(AND($M108=1,LEFT(对接源_01水果!$D108,4)="原料出库"),1,0)</f>
        <v>0</v>
      </c>
      <c r="AC108">
        <f>N(AC107)+$AB108</f>
        <v>0</v>
      </c>
      <c r="AD108">
        <f>IF(AND($M108=1,LEFT(对接源_01水果!$D108,4)="成品出库"),1,0)</f>
        <v>0</v>
      </c>
      <c r="AE108">
        <f>N(AE107)+$AD108</f>
        <v>0</v>
      </c>
      <c r="AF108">
        <f>IF(AND($N108=1,AND(LEFT(对接源_01水果!$D108,4)="包装物料",N(对接源_01水果!$K108)&lt;&gt;0)),1,0)</f>
        <v>0</v>
      </c>
      <c r="AG108">
        <f>N(AG107)+$AF108</f>
        <v>0</v>
      </c>
      <c r="AH108">
        <f>IF(AND($N108=1,AND(对接源_01水果!$D108="周转筐－销售出库",N(对接源_01水果!$K108)&lt;&gt;0)),1,0)</f>
        <v>0</v>
      </c>
      <c r="AI108">
        <f>N(AI107)+$AH108</f>
        <v>0</v>
      </c>
      <c r="AJ108" s="7" t="n"/>
      <c r="AL108">
        <f>IF(OR($AL$1="",对接源_01水果!$Y108="",对接源_01水果!$Y108&lt;&gt;$AL$1,对接源_01水果!$B108="",N(对接源_01水果!$AJ108)&lt;=0),0,IF(OR(N(对接源_01水果!$B108)&lt;$AL$2,N(对接源_01水果!$B108)&gt;$AL$3),0,1))</f>
        <v>0</v>
      </c>
      <c r="AM108">
        <f>N(AM107)+$AL108</f>
        <v>0</v>
      </c>
      <c r="AN108">
        <f>IF(对接源_01水果!$AC108="","",对接源_01水果!$AC108)</f>
      </c>
      <c r="AO108">
        <f>IF(AN108="",0,IF(MATCH(AN108,$AN$4:$AN$1203,0)=ROW()-3,1,0))</f>
        <v>0</v>
      </c>
      <c r="AP108">
        <f>N(AP107)+$AO108</f>
        <v>0</v>
      </c>
      <c r="AQ108">
        <f>IFERROR(INDEX($AN$4:$AN$1203,MATCH(ROW()-3,$AP$4:$AP$1203,0)),"")</f>
      </c>
      <c r="AR108">
        <f>IF(OR($AF108=1,$AH108=1),1,0)</f>
        <v>0</v>
      </c>
      <c r="AS108">
        <f>N(AS107)+$AR108</f>
        <v>0</v>
      </c>
    </row>
    <row r="109" ht="14.25" customHeight="1" s="127">
      <c r="A109" t="str">
        <f>IF(对接源_01水果!$C109="","",对接源_01水果!$C109)</f>
        <v>聂新平</v>
      </c>
      <c r="B109">
        <f>IF(A109="",0,IF(MATCH(A109,$A$4:$A$2403,0)=ROW()-3,1,0))</f>
        <v>0</v>
      </c>
      <c r="C109">
        <f>N(C108)+B109</f>
        <v>4</v>
      </c>
      <c r="E109">
        <f>IFERROR(INDEX($A$4:$A$2403,MATCH(ROW()-3,$C$4:$C$2403,0)),"")</f>
      </c>
      <c r="K109">
        <f>IF(OR($K$1="",对接源_01水果!$C109="",对接源_01水果!$C109&lt;&gt;$K$1,对接源_01水果!$B109=""),0,IF(OR(N(对接源_01水果!$B109)&lt;$K$2,N(对接源_01水果!$B109)&gt;$K$3),0,1))</f>
        <v>0</v>
      </c>
      <c r="L109">
        <f>IF(OR($L$1="",对接源_01水果!$C109="",对接源_01水果!$C109&lt;&gt;$L$1,对接源_01水果!$B109=""),0,IF(OR(N(对接源_01水果!$B109)&lt;$L$2,N(对接源_01水果!$B109)&gt;$L$3),0,1))</f>
        <v>0</v>
      </c>
      <c r="M109">
        <f>IF(OR($M$1="",对接源_01水果!$C109="",对接源_01水果!$C109&lt;&gt;$M$1,对接源_01水果!$B109=""),0,IF(OR(N(对接源_01水果!$B109)&lt;$M$2,N(对接源_01水果!$B109)&gt;$M$3),0,1))</f>
        <v>0</v>
      </c>
      <c r="N109">
        <f>IF(OR($N$1="",对接源_01水果!$C109="",对接源_01水果!$C109&lt;&gt;$N$1,对接源_01水果!$B109=""),0,IF(OR(N(对接源_01水果!$B109)&lt;$N$2,N(对接源_01水果!$B109)&gt;$N$3),0,1))</f>
        <v>0</v>
      </c>
      <c r="P109">
        <f>IF(AND($K109=1,AND(对接源_01水果!$X109="公司筐",N(对接源_01水果!$T109)&lt;&gt;0)),1,0)</f>
        <v>0</v>
      </c>
      <c r="Q109">
        <f>N(Q108)+$P109</f>
        <v>0</v>
      </c>
      <c r="R109">
        <f>IF(AND($K109=1,AND(对接源_01水果!$X109="公司筐",N(对接源_01水果!$U109)&lt;&gt;0)),1,0)</f>
        <v>0</v>
      </c>
      <c r="S109">
        <f>N(S108)+$R109</f>
        <v>0</v>
      </c>
      <c r="T109">
        <f>IF(AND($K109=1,AND(对接源_01水果!$X109="公司筐",N(对接源_01水果!$V109)&lt;&gt;0)),1,0)</f>
        <v>0</v>
      </c>
      <c r="U109">
        <f>N(U108)+$T109</f>
        <v>0</v>
      </c>
      <c r="V109">
        <f>IF(AND($L109=1,AND(对接源_01水果!$X109="自备筐",N(对接源_01水果!$V109)&lt;&gt;0)),1,0)</f>
        <v>0</v>
      </c>
      <c r="W109">
        <f>N(W108)+$V109</f>
        <v>0</v>
      </c>
      <c r="X109">
        <f>IF(AND($L109=1,AND(对接源_01水果!$X109="自备筐",N(对接源_01水果!$T109)&lt;&gt;0)),1,0)</f>
        <v>0</v>
      </c>
      <c r="Y109">
        <f>N(Y108)+$X109</f>
        <v>0</v>
      </c>
      <c r="Z109">
        <f>IF(AND($M109=1,对接源_01水果!$D109="原料入库"),1,0)</f>
        <v>0</v>
      </c>
      <c r="AA109">
        <f>N(AA108)+$Z109</f>
        <v>0</v>
      </c>
      <c r="AB109">
        <f>IF(AND($M109=1,LEFT(对接源_01水果!$D109,4)="原料出库"),1,0)</f>
        <v>0</v>
      </c>
      <c r="AC109">
        <f>N(AC108)+$AB109</f>
        <v>0</v>
      </c>
      <c r="AD109">
        <f>IF(AND($M109=1,LEFT(对接源_01水果!$D109,4)="成品出库"),1,0)</f>
        <v>0</v>
      </c>
      <c r="AE109">
        <f>N(AE108)+$AD109</f>
        <v>0</v>
      </c>
      <c r="AF109">
        <f>IF(AND($N109=1,AND(LEFT(对接源_01水果!$D109,4)="包装物料",N(对接源_01水果!$K109)&lt;&gt;0)),1,0)</f>
        <v>0</v>
      </c>
      <c r="AG109">
        <f>N(AG108)+$AF109</f>
        <v>0</v>
      </c>
      <c r="AH109">
        <f>IF(AND($N109=1,AND(对接源_01水果!$D109="周转筐－销售出库",N(对接源_01水果!$K109)&lt;&gt;0)),1,0)</f>
        <v>0</v>
      </c>
      <c r="AI109">
        <f>N(AI108)+$AH109</f>
        <v>0</v>
      </c>
      <c r="AJ109" s="7" t="n"/>
      <c r="AL109">
        <f>IF(OR($AL$1="",对接源_01水果!$Y109="",对接源_01水果!$Y109&lt;&gt;$AL$1,对接源_01水果!$B109="",N(对接源_01水果!$AJ109)&lt;=0),0,IF(OR(N(对接源_01水果!$B109)&lt;$AL$2,N(对接源_01水果!$B109)&gt;$AL$3),0,1))</f>
        <v>0</v>
      </c>
      <c r="AM109">
        <f>N(AM108)+$AL109</f>
        <v>0</v>
      </c>
      <c r="AN109">
        <f>IF(对接源_01水果!$AC109="","",对接源_01水果!$AC109)</f>
      </c>
      <c r="AO109">
        <f>IF(AN109="",0,IF(MATCH(AN109,$AN$4:$AN$1203,0)=ROW()-3,1,0))</f>
        <v>0</v>
      </c>
      <c r="AP109">
        <f>N(AP108)+$AO109</f>
        <v>0</v>
      </c>
      <c r="AQ109">
        <f>IFERROR(INDEX($AN$4:$AN$1203,MATCH(ROW()-3,$AP$4:$AP$1203,0)),"")</f>
      </c>
      <c r="AR109">
        <f>IF(OR($AF109=1,$AH109=1),1,0)</f>
        <v>0</v>
      </c>
      <c r="AS109">
        <f>N(AS108)+$AR109</f>
        <v>0</v>
      </c>
    </row>
    <row r="110" ht="14.25" customHeight="1" s="127">
      <c r="A110" t="str">
        <f>IF(对接源_01水果!$C110="","",对接源_01水果!$C110)</f>
        <v>聂新平</v>
      </c>
      <c r="B110">
        <f>IF(A110="",0,IF(MATCH(A110,$A$4:$A$2403,0)=ROW()-3,1,0))</f>
        <v>0</v>
      </c>
      <c r="C110">
        <f>N(C109)+B110</f>
        <v>4</v>
      </c>
      <c r="E110">
        <f>IFERROR(INDEX($A$4:$A$2403,MATCH(ROW()-3,$C$4:$C$2403,0)),"")</f>
      </c>
      <c r="K110">
        <f>IF(OR($K$1="",对接源_01水果!$C110="",对接源_01水果!$C110&lt;&gt;$K$1,对接源_01水果!$B110=""),0,IF(OR(N(对接源_01水果!$B110)&lt;$K$2,N(对接源_01水果!$B110)&gt;$K$3),0,1))</f>
        <v>0</v>
      </c>
      <c r="L110">
        <f>IF(OR($L$1="",对接源_01水果!$C110="",对接源_01水果!$C110&lt;&gt;$L$1,对接源_01水果!$B110=""),0,IF(OR(N(对接源_01水果!$B110)&lt;$L$2,N(对接源_01水果!$B110)&gt;$L$3),0,1))</f>
        <v>0</v>
      </c>
      <c r="M110">
        <f>IF(OR($M$1="",对接源_01水果!$C110="",对接源_01水果!$C110&lt;&gt;$M$1,对接源_01水果!$B110=""),0,IF(OR(N(对接源_01水果!$B110)&lt;$M$2,N(对接源_01水果!$B110)&gt;$M$3),0,1))</f>
        <v>0</v>
      </c>
      <c r="N110">
        <f>IF(OR($N$1="",对接源_01水果!$C110="",对接源_01水果!$C110&lt;&gt;$N$1,对接源_01水果!$B110=""),0,IF(OR(N(对接源_01水果!$B110)&lt;$N$2,N(对接源_01水果!$B110)&gt;$N$3),0,1))</f>
        <v>0</v>
      </c>
      <c r="P110">
        <f>IF(AND($K110=1,AND(对接源_01水果!$X110="公司筐",N(对接源_01水果!$T110)&lt;&gt;0)),1,0)</f>
        <v>0</v>
      </c>
      <c r="Q110">
        <f>N(Q109)+$P110</f>
        <v>0</v>
      </c>
      <c r="R110">
        <f>IF(AND($K110=1,AND(对接源_01水果!$X110="公司筐",N(对接源_01水果!$U110)&lt;&gt;0)),1,0)</f>
        <v>0</v>
      </c>
      <c r="S110">
        <f>N(S109)+$R110</f>
        <v>0</v>
      </c>
      <c r="T110">
        <f>IF(AND($K110=1,AND(对接源_01水果!$X110="公司筐",N(对接源_01水果!$V110)&lt;&gt;0)),1,0)</f>
        <v>0</v>
      </c>
      <c r="U110">
        <f>N(U109)+$T110</f>
        <v>0</v>
      </c>
      <c r="V110">
        <f>IF(AND($L110=1,AND(对接源_01水果!$X110="自备筐",N(对接源_01水果!$V110)&lt;&gt;0)),1,0)</f>
        <v>0</v>
      </c>
      <c r="W110">
        <f>N(W109)+$V110</f>
        <v>0</v>
      </c>
      <c r="X110">
        <f>IF(AND($L110=1,AND(对接源_01水果!$X110="自备筐",N(对接源_01水果!$T110)&lt;&gt;0)),1,0)</f>
        <v>0</v>
      </c>
      <c r="Y110">
        <f>N(Y109)+$X110</f>
        <v>0</v>
      </c>
      <c r="Z110">
        <f>IF(AND($M110=1,对接源_01水果!$D110="原料入库"),1,0)</f>
        <v>0</v>
      </c>
      <c r="AA110">
        <f>N(AA109)+$Z110</f>
        <v>0</v>
      </c>
      <c r="AB110">
        <f>IF(AND($M110=1,LEFT(对接源_01水果!$D110,4)="原料出库"),1,0)</f>
        <v>0</v>
      </c>
      <c r="AC110">
        <f>N(AC109)+$AB110</f>
        <v>0</v>
      </c>
      <c r="AD110">
        <f>IF(AND($M110=1,LEFT(对接源_01水果!$D110,4)="成品出库"),1,0)</f>
        <v>0</v>
      </c>
      <c r="AE110">
        <f>N(AE109)+$AD110</f>
        <v>0</v>
      </c>
      <c r="AF110">
        <f>IF(AND($N110=1,AND(LEFT(对接源_01水果!$D110,4)="包装物料",N(对接源_01水果!$K110)&lt;&gt;0)),1,0)</f>
        <v>0</v>
      </c>
      <c r="AG110">
        <f>N(AG109)+$AF110</f>
        <v>0</v>
      </c>
      <c r="AH110">
        <f>IF(AND($N110=1,AND(对接源_01水果!$D110="周转筐－销售出库",N(对接源_01水果!$K110)&lt;&gt;0)),1,0)</f>
        <v>0</v>
      </c>
      <c r="AI110">
        <f>N(AI109)+$AH110</f>
        <v>0</v>
      </c>
      <c r="AJ110" s="7" t="n"/>
      <c r="AL110">
        <f>IF(OR($AL$1="",对接源_01水果!$Y110="",对接源_01水果!$Y110&lt;&gt;$AL$1,对接源_01水果!$B110="",N(对接源_01水果!$AJ110)&lt;=0),0,IF(OR(N(对接源_01水果!$B110)&lt;$AL$2,N(对接源_01水果!$B110)&gt;$AL$3),0,1))</f>
        <v>0</v>
      </c>
      <c r="AM110">
        <f>N(AM109)+$AL110</f>
        <v>0</v>
      </c>
      <c r="AN110">
        <f>IF(对接源_01水果!$AC110="","",对接源_01水果!$AC110)</f>
      </c>
      <c r="AO110">
        <f>IF(AN110="",0,IF(MATCH(AN110,$AN$4:$AN$1203,0)=ROW()-3,1,0))</f>
        <v>0</v>
      </c>
      <c r="AP110">
        <f>N(AP109)+$AO110</f>
        <v>0</v>
      </c>
      <c r="AQ110">
        <f>IFERROR(INDEX($AN$4:$AN$1203,MATCH(ROW()-3,$AP$4:$AP$1203,0)),"")</f>
      </c>
      <c r="AR110">
        <f>IF(OR($AF110=1,$AH110=1),1,0)</f>
        <v>0</v>
      </c>
      <c r="AS110">
        <f>N(AS109)+$AR110</f>
        <v>0</v>
      </c>
    </row>
    <row r="111" ht="14.25" customHeight="1" s="127">
      <c r="A111" t="str">
        <f>IF(对接源_01水果!$C111="","",对接源_01水果!$C111)</f>
        <v>聂新平</v>
      </c>
      <c r="B111">
        <f>IF(A111="",0,IF(MATCH(A111,$A$4:$A$2403,0)=ROW()-3,1,0))</f>
        <v>0</v>
      </c>
      <c r="C111">
        <f>N(C110)+B111</f>
        <v>4</v>
      </c>
      <c r="E111">
        <f>IFERROR(INDEX($A$4:$A$2403,MATCH(ROW()-3,$C$4:$C$2403,0)),"")</f>
      </c>
      <c r="K111">
        <f>IF(OR($K$1="",对接源_01水果!$C111="",对接源_01水果!$C111&lt;&gt;$K$1,对接源_01水果!$B111=""),0,IF(OR(N(对接源_01水果!$B111)&lt;$K$2,N(对接源_01水果!$B111)&gt;$K$3),0,1))</f>
        <v>0</v>
      </c>
      <c r="L111">
        <f>IF(OR($L$1="",对接源_01水果!$C111="",对接源_01水果!$C111&lt;&gt;$L$1,对接源_01水果!$B111=""),0,IF(OR(N(对接源_01水果!$B111)&lt;$L$2,N(对接源_01水果!$B111)&gt;$L$3),0,1))</f>
        <v>0</v>
      </c>
      <c r="M111">
        <f>IF(OR($M$1="",对接源_01水果!$C111="",对接源_01水果!$C111&lt;&gt;$M$1,对接源_01水果!$B111=""),0,IF(OR(N(对接源_01水果!$B111)&lt;$M$2,N(对接源_01水果!$B111)&gt;$M$3),0,1))</f>
        <v>0</v>
      </c>
      <c r="N111">
        <f>IF(OR($N$1="",对接源_01水果!$C111="",对接源_01水果!$C111&lt;&gt;$N$1,对接源_01水果!$B111=""),0,IF(OR(N(对接源_01水果!$B111)&lt;$N$2,N(对接源_01水果!$B111)&gt;$N$3),0,1))</f>
        <v>0</v>
      </c>
      <c r="P111">
        <f>IF(AND($K111=1,AND(对接源_01水果!$X111="公司筐",N(对接源_01水果!$T111)&lt;&gt;0)),1,0)</f>
        <v>0</v>
      </c>
      <c r="Q111">
        <f>N(Q110)+$P111</f>
        <v>0</v>
      </c>
      <c r="R111">
        <f>IF(AND($K111=1,AND(对接源_01水果!$X111="公司筐",N(对接源_01水果!$U111)&lt;&gt;0)),1,0)</f>
        <v>0</v>
      </c>
      <c r="S111">
        <f>N(S110)+$R111</f>
        <v>0</v>
      </c>
      <c r="T111">
        <f>IF(AND($K111=1,AND(对接源_01水果!$X111="公司筐",N(对接源_01水果!$V111)&lt;&gt;0)),1,0)</f>
        <v>0</v>
      </c>
      <c r="U111">
        <f>N(U110)+$T111</f>
        <v>0</v>
      </c>
      <c r="V111">
        <f>IF(AND($L111=1,AND(对接源_01水果!$X111="自备筐",N(对接源_01水果!$V111)&lt;&gt;0)),1,0)</f>
        <v>0</v>
      </c>
      <c r="W111">
        <f>N(W110)+$V111</f>
        <v>0</v>
      </c>
      <c r="X111">
        <f>IF(AND($L111=1,AND(对接源_01水果!$X111="自备筐",N(对接源_01水果!$T111)&lt;&gt;0)),1,0)</f>
        <v>0</v>
      </c>
      <c r="Y111">
        <f>N(Y110)+$X111</f>
        <v>0</v>
      </c>
      <c r="Z111">
        <f>IF(AND($M111=1,对接源_01水果!$D111="原料入库"),1,0)</f>
        <v>0</v>
      </c>
      <c r="AA111">
        <f>N(AA110)+$Z111</f>
        <v>0</v>
      </c>
      <c r="AB111">
        <f>IF(AND($M111=1,LEFT(对接源_01水果!$D111,4)="原料出库"),1,0)</f>
        <v>0</v>
      </c>
      <c r="AC111">
        <f>N(AC110)+$AB111</f>
        <v>0</v>
      </c>
      <c r="AD111">
        <f>IF(AND($M111=1,LEFT(对接源_01水果!$D111,4)="成品出库"),1,0)</f>
        <v>0</v>
      </c>
      <c r="AE111">
        <f>N(AE110)+$AD111</f>
        <v>0</v>
      </c>
      <c r="AF111">
        <f>IF(AND($N111=1,AND(LEFT(对接源_01水果!$D111,4)="包装物料",N(对接源_01水果!$K111)&lt;&gt;0)),1,0)</f>
        <v>0</v>
      </c>
      <c r="AG111">
        <f>N(AG110)+$AF111</f>
        <v>0</v>
      </c>
      <c r="AH111">
        <f>IF(AND($N111=1,AND(对接源_01水果!$D111="周转筐－销售出库",N(对接源_01水果!$K111)&lt;&gt;0)),1,0)</f>
        <v>0</v>
      </c>
      <c r="AI111">
        <f>N(AI110)+$AH111</f>
        <v>0</v>
      </c>
      <c r="AJ111" s="7" t="n"/>
      <c r="AL111">
        <f>IF(OR($AL$1="",对接源_01水果!$Y111="",对接源_01水果!$Y111&lt;&gt;$AL$1,对接源_01水果!$B111="",N(对接源_01水果!$AJ111)&lt;=0),0,IF(OR(N(对接源_01水果!$B111)&lt;$AL$2,N(对接源_01水果!$B111)&gt;$AL$3),0,1))</f>
        <v>0</v>
      </c>
      <c r="AM111">
        <f>N(AM110)+$AL111</f>
        <v>0</v>
      </c>
      <c r="AN111">
        <f>IF(对接源_01水果!$AC111="","",对接源_01水果!$AC111)</f>
      </c>
      <c r="AO111">
        <f>IF(AN111="",0,IF(MATCH(AN111,$AN$4:$AN$1203,0)=ROW()-3,1,0))</f>
        <v>0</v>
      </c>
      <c r="AP111">
        <f>N(AP110)+$AO111</f>
        <v>0</v>
      </c>
      <c r="AQ111">
        <f>IFERROR(INDEX($AN$4:$AN$1203,MATCH(ROW()-3,$AP$4:$AP$1203,0)),"")</f>
      </c>
      <c r="AR111">
        <f>IF(OR($AF111=1,$AH111=1),1,0)</f>
        <v>0</v>
      </c>
      <c r="AS111">
        <f>N(AS110)+$AR111</f>
        <v>0</v>
      </c>
    </row>
    <row r="112" ht="14.25" customHeight="1" s="127">
      <c r="A112" t="str">
        <f>IF(对接源_01水果!$C112="","",对接源_01水果!$C112)</f>
        <v>聂新平</v>
      </c>
      <c r="B112">
        <f>IF(A112="",0,IF(MATCH(A112,$A$4:$A$2403,0)=ROW()-3,1,0))</f>
        <v>0</v>
      </c>
      <c r="C112">
        <f>N(C111)+B112</f>
        <v>4</v>
      </c>
      <c r="E112">
        <f>IFERROR(INDEX($A$4:$A$2403,MATCH(ROW()-3,$C$4:$C$2403,0)),"")</f>
      </c>
      <c r="K112">
        <f>IF(OR($K$1="",对接源_01水果!$C112="",对接源_01水果!$C112&lt;&gt;$K$1,对接源_01水果!$B112=""),0,IF(OR(N(对接源_01水果!$B112)&lt;$K$2,N(对接源_01水果!$B112)&gt;$K$3),0,1))</f>
        <v>0</v>
      </c>
      <c r="L112">
        <f>IF(OR($L$1="",对接源_01水果!$C112="",对接源_01水果!$C112&lt;&gt;$L$1,对接源_01水果!$B112=""),0,IF(OR(N(对接源_01水果!$B112)&lt;$L$2,N(对接源_01水果!$B112)&gt;$L$3),0,1))</f>
        <v>0</v>
      </c>
      <c r="M112">
        <f>IF(OR($M$1="",对接源_01水果!$C112="",对接源_01水果!$C112&lt;&gt;$M$1,对接源_01水果!$B112=""),0,IF(OR(N(对接源_01水果!$B112)&lt;$M$2,N(对接源_01水果!$B112)&gt;$M$3),0,1))</f>
        <v>0</v>
      </c>
      <c r="N112">
        <f>IF(OR($N$1="",对接源_01水果!$C112="",对接源_01水果!$C112&lt;&gt;$N$1,对接源_01水果!$B112=""),0,IF(OR(N(对接源_01水果!$B112)&lt;$N$2,N(对接源_01水果!$B112)&gt;$N$3),0,1))</f>
        <v>0</v>
      </c>
      <c r="P112">
        <f>IF(AND($K112=1,AND(对接源_01水果!$X112="公司筐",N(对接源_01水果!$T112)&lt;&gt;0)),1,0)</f>
        <v>0</v>
      </c>
      <c r="Q112">
        <f>N(Q111)+$P112</f>
        <v>0</v>
      </c>
      <c r="R112">
        <f>IF(AND($K112=1,AND(对接源_01水果!$X112="公司筐",N(对接源_01水果!$U112)&lt;&gt;0)),1,0)</f>
        <v>0</v>
      </c>
      <c r="S112">
        <f>N(S111)+$R112</f>
        <v>0</v>
      </c>
      <c r="T112">
        <f>IF(AND($K112=1,AND(对接源_01水果!$X112="公司筐",N(对接源_01水果!$V112)&lt;&gt;0)),1,0)</f>
        <v>0</v>
      </c>
      <c r="U112">
        <f>N(U111)+$T112</f>
        <v>0</v>
      </c>
      <c r="V112">
        <f>IF(AND($L112=1,AND(对接源_01水果!$X112="自备筐",N(对接源_01水果!$V112)&lt;&gt;0)),1,0)</f>
        <v>0</v>
      </c>
      <c r="W112">
        <f>N(W111)+$V112</f>
        <v>0</v>
      </c>
      <c r="X112">
        <f>IF(AND($L112=1,AND(对接源_01水果!$X112="自备筐",N(对接源_01水果!$T112)&lt;&gt;0)),1,0)</f>
        <v>0</v>
      </c>
      <c r="Y112">
        <f>N(Y111)+$X112</f>
        <v>0</v>
      </c>
      <c r="Z112">
        <f>IF(AND($M112=1,对接源_01水果!$D112="原料入库"),1,0)</f>
        <v>0</v>
      </c>
      <c r="AA112">
        <f>N(AA111)+$Z112</f>
        <v>0</v>
      </c>
      <c r="AB112">
        <f>IF(AND($M112=1,LEFT(对接源_01水果!$D112,4)="原料出库"),1,0)</f>
        <v>0</v>
      </c>
      <c r="AC112">
        <f>N(AC111)+$AB112</f>
        <v>0</v>
      </c>
      <c r="AD112">
        <f>IF(AND($M112=1,LEFT(对接源_01水果!$D112,4)="成品出库"),1,0)</f>
        <v>0</v>
      </c>
      <c r="AE112">
        <f>N(AE111)+$AD112</f>
        <v>0</v>
      </c>
      <c r="AF112">
        <f>IF(AND($N112=1,AND(LEFT(对接源_01水果!$D112,4)="包装物料",N(对接源_01水果!$K112)&lt;&gt;0)),1,0)</f>
        <v>0</v>
      </c>
      <c r="AG112">
        <f>N(AG111)+$AF112</f>
        <v>0</v>
      </c>
      <c r="AH112">
        <f>IF(AND($N112=1,AND(对接源_01水果!$D112="周转筐－销售出库",N(对接源_01水果!$K112)&lt;&gt;0)),1,0)</f>
        <v>0</v>
      </c>
      <c r="AI112">
        <f>N(AI111)+$AH112</f>
        <v>0</v>
      </c>
      <c r="AJ112" s="7" t="n"/>
      <c r="AL112">
        <f>IF(OR($AL$1="",对接源_01水果!$Y112="",对接源_01水果!$Y112&lt;&gt;$AL$1,对接源_01水果!$B112="",N(对接源_01水果!$AJ112)&lt;=0),0,IF(OR(N(对接源_01水果!$B112)&lt;$AL$2,N(对接源_01水果!$B112)&gt;$AL$3),0,1))</f>
        <v>0</v>
      </c>
      <c r="AM112">
        <f>N(AM111)+$AL112</f>
        <v>0</v>
      </c>
      <c r="AN112">
        <f>IF(对接源_01水果!$AC112="","",对接源_01水果!$AC112)</f>
      </c>
      <c r="AO112">
        <f>IF(AN112="",0,IF(MATCH(AN112,$AN$4:$AN$1203,0)=ROW()-3,1,0))</f>
        <v>0</v>
      </c>
      <c r="AP112">
        <f>N(AP111)+$AO112</f>
        <v>0</v>
      </c>
      <c r="AQ112">
        <f>IFERROR(INDEX($AN$4:$AN$1203,MATCH(ROW()-3,$AP$4:$AP$1203,0)),"")</f>
      </c>
      <c r="AR112">
        <f>IF(OR($AF112=1,$AH112=1),1,0)</f>
        <v>0</v>
      </c>
      <c r="AS112">
        <f>N(AS111)+$AR112</f>
        <v>0</v>
      </c>
    </row>
    <row r="113" ht="14.25" customHeight="1" s="127">
      <c r="A113" t="str">
        <f>IF(对接源_01水果!$C113="","",对接源_01水果!$C113)</f>
        <v>聂新平</v>
      </c>
      <c r="B113">
        <f>IF(A113="",0,IF(MATCH(A113,$A$4:$A$2403,0)=ROW()-3,1,0))</f>
        <v>0</v>
      </c>
      <c r="C113">
        <f>N(C112)+B113</f>
        <v>4</v>
      </c>
      <c r="E113">
        <f>IFERROR(INDEX($A$4:$A$2403,MATCH(ROW()-3,$C$4:$C$2403,0)),"")</f>
      </c>
      <c r="K113">
        <f>IF(OR($K$1="",对接源_01水果!$C113="",对接源_01水果!$C113&lt;&gt;$K$1,对接源_01水果!$B113=""),0,IF(OR(N(对接源_01水果!$B113)&lt;$K$2,N(对接源_01水果!$B113)&gt;$K$3),0,1))</f>
        <v>0</v>
      </c>
      <c r="L113">
        <f>IF(OR($L$1="",对接源_01水果!$C113="",对接源_01水果!$C113&lt;&gt;$L$1,对接源_01水果!$B113=""),0,IF(OR(N(对接源_01水果!$B113)&lt;$L$2,N(对接源_01水果!$B113)&gt;$L$3),0,1))</f>
        <v>0</v>
      </c>
      <c r="M113">
        <f>IF(OR($M$1="",对接源_01水果!$C113="",对接源_01水果!$C113&lt;&gt;$M$1,对接源_01水果!$B113=""),0,IF(OR(N(对接源_01水果!$B113)&lt;$M$2,N(对接源_01水果!$B113)&gt;$M$3),0,1))</f>
        <v>0</v>
      </c>
      <c r="N113">
        <f>IF(OR($N$1="",对接源_01水果!$C113="",对接源_01水果!$C113&lt;&gt;$N$1,对接源_01水果!$B113=""),0,IF(OR(N(对接源_01水果!$B113)&lt;$N$2,N(对接源_01水果!$B113)&gt;$N$3),0,1))</f>
        <v>0</v>
      </c>
      <c r="P113">
        <f>IF(AND($K113=1,AND(对接源_01水果!$X113="公司筐",N(对接源_01水果!$T113)&lt;&gt;0)),1,0)</f>
        <v>0</v>
      </c>
      <c r="Q113">
        <f>N(Q112)+$P113</f>
        <v>0</v>
      </c>
      <c r="R113">
        <f>IF(AND($K113=1,AND(对接源_01水果!$X113="公司筐",N(对接源_01水果!$U113)&lt;&gt;0)),1,0)</f>
        <v>0</v>
      </c>
      <c r="S113">
        <f>N(S112)+$R113</f>
        <v>0</v>
      </c>
      <c r="T113">
        <f>IF(AND($K113=1,AND(对接源_01水果!$X113="公司筐",N(对接源_01水果!$V113)&lt;&gt;0)),1,0)</f>
        <v>0</v>
      </c>
      <c r="U113">
        <f>N(U112)+$T113</f>
        <v>0</v>
      </c>
      <c r="V113">
        <f>IF(AND($L113=1,AND(对接源_01水果!$X113="自备筐",N(对接源_01水果!$V113)&lt;&gt;0)),1,0)</f>
        <v>0</v>
      </c>
      <c r="W113">
        <f>N(W112)+$V113</f>
        <v>0</v>
      </c>
      <c r="X113">
        <f>IF(AND($L113=1,AND(对接源_01水果!$X113="自备筐",N(对接源_01水果!$T113)&lt;&gt;0)),1,0)</f>
        <v>0</v>
      </c>
      <c r="Y113">
        <f>N(Y112)+$X113</f>
        <v>0</v>
      </c>
      <c r="Z113">
        <f>IF(AND($M113=1,对接源_01水果!$D113="原料入库"),1,0)</f>
        <v>0</v>
      </c>
      <c r="AA113">
        <f>N(AA112)+$Z113</f>
        <v>0</v>
      </c>
      <c r="AB113">
        <f>IF(AND($M113=1,LEFT(对接源_01水果!$D113,4)="原料出库"),1,0)</f>
        <v>0</v>
      </c>
      <c r="AC113">
        <f>N(AC112)+$AB113</f>
        <v>0</v>
      </c>
      <c r="AD113">
        <f>IF(AND($M113=1,LEFT(对接源_01水果!$D113,4)="成品出库"),1,0)</f>
        <v>0</v>
      </c>
      <c r="AE113">
        <f>N(AE112)+$AD113</f>
        <v>0</v>
      </c>
      <c r="AF113">
        <f>IF(AND($N113=1,AND(LEFT(对接源_01水果!$D113,4)="包装物料",N(对接源_01水果!$K113)&lt;&gt;0)),1,0)</f>
        <v>0</v>
      </c>
      <c r="AG113">
        <f>N(AG112)+$AF113</f>
        <v>0</v>
      </c>
      <c r="AH113">
        <f>IF(AND($N113=1,AND(对接源_01水果!$D113="周转筐－销售出库",N(对接源_01水果!$K113)&lt;&gt;0)),1,0)</f>
        <v>0</v>
      </c>
      <c r="AI113">
        <f>N(AI112)+$AH113</f>
        <v>0</v>
      </c>
      <c r="AJ113" s="7" t="n"/>
      <c r="AL113">
        <f>IF(OR($AL$1="",对接源_01水果!$Y113="",对接源_01水果!$Y113&lt;&gt;$AL$1,对接源_01水果!$B113="",N(对接源_01水果!$AJ113)&lt;=0),0,IF(OR(N(对接源_01水果!$B113)&lt;$AL$2,N(对接源_01水果!$B113)&gt;$AL$3),0,1))</f>
        <v>0</v>
      </c>
      <c r="AM113">
        <f>N(AM112)+$AL113</f>
        <v>0</v>
      </c>
      <c r="AN113">
        <f>IF(对接源_01水果!$AC113="","",对接源_01水果!$AC113)</f>
      </c>
      <c r="AO113">
        <f>IF(AN113="",0,IF(MATCH(AN113,$AN$4:$AN$1203,0)=ROW()-3,1,0))</f>
        <v>0</v>
      </c>
      <c r="AP113">
        <f>N(AP112)+$AO113</f>
        <v>0</v>
      </c>
      <c r="AQ113">
        <f>IFERROR(INDEX($AN$4:$AN$1203,MATCH(ROW()-3,$AP$4:$AP$1203,0)),"")</f>
      </c>
      <c r="AR113">
        <f>IF(OR($AF113=1,$AH113=1),1,0)</f>
        <v>0</v>
      </c>
      <c r="AS113">
        <f>N(AS112)+$AR113</f>
        <v>0</v>
      </c>
    </row>
    <row r="114" ht="14.25" customHeight="1" s="127">
      <c r="A114" t="str">
        <f>IF(对接源_01水果!$C114="","",对接源_01水果!$C114)</f>
        <v>聂新平</v>
      </c>
      <c r="B114">
        <f>IF(A114="",0,IF(MATCH(A114,$A$4:$A$2403,0)=ROW()-3,1,0))</f>
        <v>0</v>
      </c>
      <c r="C114">
        <f>N(C113)+B114</f>
        <v>4</v>
      </c>
      <c r="E114">
        <f>IFERROR(INDEX($A$4:$A$2403,MATCH(ROW()-3,$C$4:$C$2403,0)),"")</f>
      </c>
      <c r="K114">
        <f>IF(OR($K$1="",对接源_01水果!$C114="",对接源_01水果!$C114&lt;&gt;$K$1,对接源_01水果!$B114=""),0,IF(OR(N(对接源_01水果!$B114)&lt;$K$2,N(对接源_01水果!$B114)&gt;$K$3),0,1))</f>
        <v>0</v>
      </c>
      <c r="L114">
        <f>IF(OR($L$1="",对接源_01水果!$C114="",对接源_01水果!$C114&lt;&gt;$L$1,对接源_01水果!$B114=""),0,IF(OR(N(对接源_01水果!$B114)&lt;$L$2,N(对接源_01水果!$B114)&gt;$L$3),0,1))</f>
        <v>0</v>
      </c>
      <c r="M114">
        <f>IF(OR($M$1="",对接源_01水果!$C114="",对接源_01水果!$C114&lt;&gt;$M$1,对接源_01水果!$B114=""),0,IF(OR(N(对接源_01水果!$B114)&lt;$M$2,N(对接源_01水果!$B114)&gt;$M$3),0,1))</f>
        <v>0</v>
      </c>
      <c r="N114">
        <f>IF(OR($N$1="",对接源_01水果!$C114="",对接源_01水果!$C114&lt;&gt;$N$1,对接源_01水果!$B114=""),0,IF(OR(N(对接源_01水果!$B114)&lt;$N$2,N(对接源_01水果!$B114)&gt;$N$3),0,1))</f>
        <v>0</v>
      </c>
      <c r="P114">
        <f>IF(AND($K114=1,AND(对接源_01水果!$X114="公司筐",N(对接源_01水果!$T114)&lt;&gt;0)),1,0)</f>
        <v>0</v>
      </c>
      <c r="Q114">
        <f>N(Q113)+$P114</f>
        <v>0</v>
      </c>
      <c r="R114">
        <f>IF(AND($K114=1,AND(对接源_01水果!$X114="公司筐",N(对接源_01水果!$U114)&lt;&gt;0)),1,0)</f>
        <v>0</v>
      </c>
      <c r="S114">
        <f>N(S113)+$R114</f>
        <v>0</v>
      </c>
      <c r="T114">
        <f>IF(AND($K114=1,AND(对接源_01水果!$X114="公司筐",N(对接源_01水果!$V114)&lt;&gt;0)),1,0)</f>
        <v>0</v>
      </c>
      <c r="U114">
        <f>N(U113)+$T114</f>
        <v>0</v>
      </c>
      <c r="V114">
        <f>IF(AND($L114=1,AND(对接源_01水果!$X114="自备筐",N(对接源_01水果!$V114)&lt;&gt;0)),1,0)</f>
        <v>0</v>
      </c>
      <c r="W114">
        <f>N(W113)+$V114</f>
        <v>0</v>
      </c>
      <c r="X114">
        <f>IF(AND($L114=1,AND(对接源_01水果!$X114="自备筐",N(对接源_01水果!$T114)&lt;&gt;0)),1,0)</f>
        <v>0</v>
      </c>
      <c r="Y114">
        <f>N(Y113)+$X114</f>
        <v>0</v>
      </c>
      <c r="Z114">
        <f>IF(AND($M114=1,对接源_01水果!$D114="原料入库"),1,0)</f>
        <v>0</v>
      </c>
      <c r="AA114">
        <f>N(AA113)+$Z114</f>
        <v>0</v>
      </c>
      <c r="AB114">
        <f>IF(AND($M114=1,LEFT(对接源_01水果!$D114,4)="原料出库"),1,0)</f>
        <v>0</v>
      </c>
      <c r="AC114">
        <f>N(AC113)+$AB114</f>
        <v>0</v>
      </c>
      <c r="AD114">
        <f>IF(AND($M114=1,LEFT(对接源_01水果!$D114,4)="成品出库"),1,0)</f>
        <v>0</v>
      </c>
      <c r="AE114">
        <f>N(AE113)+$AD114</f>
        <v>0</v>
      </c>
      <c r="AF114">
        <f>IF(AND($N114=1,AND(LEFT(对接源_01水果!$D114,4)="包装物料",N(对接源_01水果!$K114)&lt;&gt;0)),1,0)</f>
        <v>0</v>
      </c>
      <c r="AG114">
        <f>N(AG113)+$AF114</f>
        <v>0</v>
      </c>
      <c r="AH114">
        <f>IF(AND($N114=1,AND(对接源_01水果!$D114="周转筐－销售出库",N(对接源_01水果!$K114)&lt;&gt;0)),1,0)</f>
        <v>0</v>
      </c>
      <c r="AI114">
        <f>N(AI113)+$AH114</f>
        <v>0</v>
      </c>
      <c r="AJ114" s="7" t="n"/>
      <c r="AL114">
        <f>IF(OR($AL$1="",对接源_01水果!$Y114="",对接源_01水果!$Y114&lt;&gt;$AL$1,对接源_01水果!$B114="",N(对接源_01水果!$AJ114)&lt;=0),0,IF(OR(N(对接源_01水果!$B114)&lt;$AL$2,N(对接源_01水果!$B114)&gt;$AL$3),0,1))</f>
        <v>0</v>
      </c>
      <c r="AM114">
        <f>N(AM113)+$AL114</f>
        <v>0</v>
      </c>
      <c r="AN114">
        <f>IF(对接源_01水果!$AC114="","",对接源_01水果!$AC114)</f>
      </c>
      <c r="AO114">
        <f>IF(AN114="",0,IF(MATCH(AN114,$AN$4:$AN$1203,0)=ROW()-3,1,0))</f>
        <v>0</v>
      </c>
      <c r="AP114">
        <f>N(AP113)+$AO114</f>
        <v>0</v>
      </c>
      <c r="AQ114">
        <f>IFERROR(INDEX($AN$4:$AN$1203,MATCH(ROW()-3,$AP$4:$AP$1203,0)),"")</f>
      </c>
      <c r="AR114">
        <f>IF(OR($AF114=1,$AH114=1),1,0)</f>
        <v>0</v>
      </c>
      <c r="AS114">
        <f>N(AS113)+$AR114</f>
        <v>0</v>
      </c>
    </row>
    <row r="115" ht="14.25" customHeight="1" s="127">
      <c r="A115" t="str">
        <f>IF(对接源_01水果!$C115="","",对接源_01水果!$C115)</f>
        <v>聂新平</v>
      </c>
      <c r="B115">
        <f>IF(A115="",0,IF(MATCH(A115,$A$4:$A$2403,0)=ROW()-3,1,0))</f>
        <v>0</v>
      </c>
      <c r="C115">
        <f>N(C114)+B115</f>
        <v>4</v>
      </c>
      <c r="E115">
        <f>IFERROR(INDEX($A$4:$A$2403,MATCH(ROW()-3,$C$4:$C$2403,0)),"")</f>
      </c>
      <c r="K115">
        <f>IF(OR($K$1="",对接源_01水果!$C115="",对接源_01水果!$C115&lt;&gt;$K$1,对接源_01水果!$B115=""),0,IF(OR(N(对接源_01水果!$B115)&lt;$K$2,N(对接源_01水果!$B115)&gt;$K$3),0,1))</f>
        <v>0</v>
      </c>
      <c r="L115">
        <f>IF(OR($L$1="",对接源_01水果!$C115="",对接源_01水果!$C115&lt;&gt;$L$1,对接源_01水果!$B115=""),0,IF(OR(N(对接源_01水果!$B115)&lt;$L$2,N(对接源_01水果!$B115)&gt;$L$3),0,1))</f>
        <v>0</v>
      </c>
      <c r="M115">
        <f>IF(OR($M$1="",对接源_01水果!$C115="",对接源_01水果!$C115&lt;&gt;$M$1,对接源_01水果!$B115=""),0,IF(OR(N(对接源_01水果!$B115)&lt;$M$2,N(对接源_01水果!$B115)&gt;$M$3),0,1))</f>
        <v>0</v>
      </c>
      <c r="N115">
        <f>IF(OR($N$1="",对接源_01水果!$C115="",对接源_01水果!$C115&lt;&gt;$N$1,对接源_01水果!$B115=""),0,IF(OR(N(对接源_01水果!$B115)&lt;$N$2,N(对接源_01水果!$B115)&gt;$N$3),0,1))</f>
        <v>0</v>
      </c>
      <c r="P115">
        <f>IF(AND($K115=1,AND(对接源_01水果!$X115="公司筐",N(对接源_01水果!$T115)&lt;&gt;0)),1,0)</f>
        <v>0</v>
      </c>
      <c r="Q115">
        <f>N(Q114)+$P115</f>
        <v>0</v>
      </c>
      <c r="R115">
        <f>IF(AND($K115=1,AND(对接源_01水果!$X115="公司筐",N(对接源_01水果!$U115)&lt;&gt;0)),1,0)</f>
        <v>0</v>
      </c>
      <c r="S115">
        <f>N(S114)+$R115</f>
        <v>0</v>
      </c>
      <c r="T115">
        <f>IF(AND($K115=1,AND(对接源_01水果!$X115="公司筐",N(对接源_01水果!$V115)&lt;&gt;0)),1,0)</f>
        <v>0</v>
      </c>
      <c r="U115">
        <f>N(U114)+$T115</f>
        <v>0</v>
      </c>
      <c r="V115">
        <f>IF(AND($L115=1,AND(对接源_01水果!$X115="自备筐",N(对接源_01水果!$V115)&lt;&gt;0)),1,0)</f>
        <v>0</v>
      </c>
      <c r="W115">
        <f>N(W114)+$V115</f>
        <v>0</v>
      </c>
      <c r="X115">
        <f>IF(AND($L115=1,AND(对接源_01水果!$X115="自备筐",N(对接源_01水果!$T115)&lt;&gt;0)),1,0)</f>
        <v>0</v>
      </c>
      <c r="Y115">
        <f>N(Y114)+$X115</f>
        <v>0</v>
      </c>
      <c r="Z115">
        <f>IF(AND($M115=1,对接源_01水果!$D115="原料入库"),1,0)</f>
        <v>0</v>
      </c>
      <c r="AA115">
        <f>N(AA114)+$Z115</f>
        <v>0</v>
      </c>
      <c r="AB115">
        <f>IF(AND($M115=1,LEFT(对接源_01水果!$D115,4)="原料出库"),1,0)</f>
        <v>0</v>
      </c>
      <c r="AC115">
        <f>N(AC114)+$AB115</f>
        <v>0</v>
      </c>
      <c r="AD115">
        <f>IF(AND($M115=1,LEFT(对接源_01水果!$D115,4)="成品出库"),1,0)</f>
        <v>0</v>
      </c>
      <c r="AE115">
        <f>N(AE114)+$AD115</f>
        <v>0</v>
      </c>
      <c r="AF115">
        <f>IF(AND($N115=1,AND(LEFT(对接源_01水果!$D115,4)="包装物料",N(对接源_01水果!$K115)&lt;&gt;0)),1,0)</f>
        <v>0</v>
      </c>
      <c r="AG115">
        <f>N(AG114)+$AF115</f>
        <v>0</v>
      </c>
      <c r="AH115">
        <f>IF(AND($N115=1,AND(对接源_01水果!$D115="周转筐－销售出库",N(对接源_01水果!$K115)&lt;&gt;0)),1,0)</f>
        <v>0</v>
      </c>
      <c r="AI115">
        <f>N(AI114)+$AH115</f>
        <v>0</v>
      </c>
      <c r="AJ115" s="7" t="n"/>
      <c r="AL115">
        <f>IF(OR($AL$1="",对接源_01水果!$Y115="",对接源_01水果!$Y115&lt;&gt;$AL$1,对接源_01水果!$B115="",N(对接源_01水果!$AJ115)&lt;=0),0,IF(OR(N(对接源_01水果!$B115)&lt;$AL$2,N(对接源_01水果!$B115)&gt;$AL$3),0,1))</f>
        <v>0</v>
      </c>
      <c r="AM115">
        <f>N(AM114)+$AL115</f>
        <v>0</v>
      </c>
      <c r="AN115">
        <f>IF(对接源_01水果!$AC115="","",对接源_01水果!$AC115)</f>
      </c>
      <c r="AO115">
        <f>IF(AN115="",0,IF(MATCH(AN115,$AN$4:$AN$1203,0)=ROW()-3,1,0))</f>
        <v>0</v>
      </c>
      <c r="AP115">
        <f>N(AP114)+$AO115</f>
        <v>0</v>
      </c>
      <c r="AQ115">
        <f>IFERROR(INDEX($AN$4:$AN$1203,MATCH(ROW()-3,$AP$4:$AP$1203,0)),"")</f>
      </c>
      <c r="AR115">
        <f>IF(OR($AF115=1,$AH115=1),1,0)</f>
        <v>0</v>
      </c>
      <c r="AS115">
        <f>N(AS114)+$AR115</f>
        <v>0</v>
      </c>
    </row>
    <row r="116" ht="14.25" customHeight="1" s="127">
      <c r="A116" t="str">
        <f>IF(对接源_01水果!$C116="","",对接源_01水果!$C116)</f>
        <v>聂新平</v>
      </c>
      <c r="B116">
        <f>IF(A116="",0,IF(MATCH(A116,$A$4:$A$2403,0)=ROW()-3,1,0))</f>
        <v>0</v>
      </c>
      <c r="C116">
        <f>N(C115)+B116</f>
        <v>4</v>
      </c>
      <c r="E116">
        <f>IFERROR(INDEX($A$4:$A$2403,MATCH(ROW()-3,$C$4:$C$2403,0)),"")</f>
      </c>
      <c r="K116">
        <f>IF(OR($K$1="",对接源_01水果!$C116="",对接源_01水果!$C116&lt;&gt;$K$1,对接源_01水果!$B116=""),0,IF(OR(N(对接源_01水果!$B116)&lt;$K$2,N(对接源_01水果!$B116)&gt;$K$3),0,1))</f>
        <v>0</v>
      </c>
      <c r="L116">
        <f>IF(OR($L$1="",对接源_01水果!$C116="",对接源_01水果!$C116&lt;&gt;$L$1,对接源_01水果!$B116=""),0,IF(OR(N(对接源_01水果!$B116)&lt;$L$2,N(对接源_01水果!$B116)&gt;$L$3),0,1))</f>
        <v>0</v>
      </c>
      <c r="M116">
        <f>IF(OR($M$1="",对接源_01水果!$C116="",对接源_01水果!$C116&lt;&gt;$M$1,对接源_01水果!$B116=""),0,IF(OR(N(对接源_01水果!$B116)&lt;$M$2,N(对接源_01水果!$B116)&gt;$M$3),0,1))</f>
        <v>0</v>
      </c>
      <c r="N116">
        <f>IF(OR($N$1="",对接源_01水果!$C116="",对接源_01水果!$C116&lt;&gt;$N$1,对接源_01水果!$B116=""),0,IF(OR(N(对接源_01水果!$B116)&lt;$N$2,N(对接源_01水果!$B116)&gt;$N$3),0,1))</f>
        <v>0</v>
      </c>
      <c r="P116">
        <f>IF(AND($K116=1,AND(对接源_01水果!$X116="公司筐",N(对接源_01水果!$T116)&lt;&gt;0)),1,0)</f>
        <v>0</v>
      </c>
      <c r="Q116">
        <f>N(Q115)+$P116</f>
        <v>0</v>
      </c>
      <c r="R116">
        <f>IF(AND($K116=1,AND(对接源_01水果!$X116="公司筐",N(对接源_01水果!$U116)&lt;&gt;0)),1,0)</f>
        <v>0</v>
      </c>
      <c r="S116">
        <f>N(S115)+$R116</f>
        <v>0</v>
      </c>
      <c r="T116">
        <f>IF(AND($K116=1,AND(对接源_01水果!$X116="公司筐",N(对接源_01水果!$V116)&lt;&gt;0)),1,0)</f>
        <v>0</v>
      </c>
      <c r="U116">
        <f>N(U115)+$T116</f>
        <v>0</v>
      </c>
      <c r="V116">
        <f>IF(AND($L116=1,AND(对接源_01水果!$X116="自备筐",N(对接源_01水果!$V116)&lt;&gt;0)),1,0)</f>
        <v>0</v>
      </c>
      <c r="W116">
        <f>N(W115)+$V116</f>
        <v>0</v>
      </c>
      <c r="X116">
        <f>IF(AND($L116=1,AND(对接源_01水果!$X116="自备筐",N(对接源_01水果!$T116)&lt;&gt;0)),1,0)</f>
        <v>0</v>
      </c>
      <c r="Y116">
        <f>N(Y115)+$X116</f>
        <v>0</v>
      </c>
      <c r="Z116">
        <f>IF(AND($M116=1,对接源_01水果!$D116="原料入库"),1,0)</f>
        <v>0</v>
      </c>
      <c r="AA116">
        <f>N(AA115)+$Z116</f>
        <v>0</v>
      </c>
      <c r="AB116">
        <f>IF(AND($M116=1,LEFT(对接源_01水果!$D116,4)="原料出库"),1,0)</f>
        <v>0</v>
      </c>
      <c r="AC116">
        <f>N(AC115)+$AB116</f>
        <v>0</v>
      </c>
      <c r="AD116">
        <f>IF(AND($M116=1,LEFT(对接源_01水果!$D116,4)="成品出库"),1,0)</f>
        <v>0</v>
      </c>
      <c r="AE116">
        <f>N(AE115)+$AD116</f>
        <v>0</v>
      </c>
      <c r="AF116">
        <f>IF(AND($N116=1,AND(LEFT(对接源_01水果!$D116,4)="包装物料",N(对接源_01水果!$K116)&lt;&gt;0)),1,0)</f>
        <v>0</v>
      </c>
      <c r="AG116">
        <f>N(AG115)+$AF116</f>
        <v>0</v>
      </c>
      <c r="AH116">
        <f>IF(AND($N116=1,AND(对接源_01水果!$D116="周转筐－销售出库",N(对接源_01水果!$K116)&lt;&gt;0)),1,0)</f>
        <v>0</v>
      </c>
      <c r="AI116">
        <f>N(AI115)+$AH116</f>
        <v>0</v>
      </c>
      <c r="AJ116" s="7" t="n"/>
      <c r="AL116">
        <f>IF(OR($AL$1="",对接源_01水果!$Y116="",对接源_01水果!$Y116&lt;&gt;$AL$1,对接源_01水果!$B116="",N(对接源_01水果!$AJ116)&lt;=0),0,IF(OR(N(对接源_01水果!$B116)&lt;$AL$2,N(对接源_01水果!$B116)&gt;$AL$3),0,1))</f>
        <v>0</v>
      </c>
      <c r="AM116">
        <f>N(AM115)+$AL116</f>
        <v>0</v>
      </c>
      <c r="AN116">
        <f>IF(对接源_01水果!$AC116="","",对接源_01水果!$AC116)</f>
      </c>
      <c r="AO116">
        <f>IF(AN116="",0,IF(MATCH(AN116,$AN$4:$AN$1203,0)=ROW()-3,1,0))</f>
        <v>0</v>
      </c>
      <c r="AP116">
        <f>N(AP115)+$AO116</f>
        <v>0</v>
      </c>
      <c r="AQ116">
        <f>IFERROR(INDEX($AN$4:$AN$1203,MATCH(ROW()-3,$AP$4:$AP$1203,0)),"")</f>
      </c>
      <c r="AR116">
        <f>IF(OR($AF116=1,$AH116=1),1,0)</f>
        <v>0</v>
      </c>
      <c r="AS116">
        <f>N(AS115)+$AR116</f>
        <v>0</v>
      </c>
    </row>
    <row r="117" ht="14.25" customHeight="1" s="127">
      <c r="A117" t="str">
        <f>IF(对接源_01水果!$C117="","",对接源_01水果!$C117)</f>
        <v>聂新平</v>
      </c>
      <c r="B117">
        <f>IF(A117="",0,IF(MATCH(A117,$A$4:$A$2403,0)=ROW()-3,1,0))</f>
        <v>0</v>
      </c>
      <c r="C117">
        <f>N(C116)+B117</f>
        <v>4</v>
      </c>
      <c r="E117">
        <f>IFERROR(INDEX($A$4:$A$2403,MATCH(ROW()-3,$C$4:$C$2403,0)),"")</f>
      </c>
      <c r="K117">
        <f>IF(OR($K$1="",对接源_01水果!$C117="",对接源_01水果!$C117&lt;&gt;$K$1,对接源_01水果!$B117=""),0,IF(OR(N(对接源_01水果!$B117)&lt;$K$2,N(对接源_01水果!$B117)&gt;$K$3),0,1))</f>
        <v>0</v>
      </c>
      <c r="L117">
        <f>IF(OR($L$1="",对接源_01水果!$C117="",对接源_01水果!$C117&lt;&gt;$L$1,对接源_01水果!$B117=""),0,IF(OR(N(对接源_01水果!$B117)&lt;$L$2,N(对接源_01水果!$B117)&gt;$L$3),0,1))</f>
        <v>0</v>
      </c>
      <c r="M117">
        <f>IF(OR($M$1="",对接源_01水果!$C117="",对接源_01水果!$C117&lt;&gt;$M$1,对接源_01水果!$B117=""),0,IF(OR(N(对接源_01水果!$B117)&lt;$M$2,N(对接源_01水果!$B117)&gt;$M$3),0,1))</f>
        <v>0</v>
      </c>
      <c r="N117">
        <f>IF(OR($N$1="",对接源_01水果!$C117="",对接源_01水果!$C117&lt;&gt;$N$1,对接源_01水果!$B117=""),0,IF(OR(N(对接源_01水果!$B117)&lt;$N$2,N(对接源_01水果!$B117)&gt;$N$3),0,1))</f>
        <v>0</v>
      </c>
      <c r="P117">
        <f>IF(AND($K117=1,AND(对接源_01水果!$X117="公司筐",N(对接源_01水果!$T117)&lt;&gt;0)),1,0)</f>
        <v>0</v>
      </c>
      <c r="Q117">
        <f>N(Q116)+$P117</f>
        <v>0</v>
      </c>
      <c r="R117">
        <f>IF(AND($K117=1,AND(对接源_01水果!$X117="公司筐",N(对接源_01水果!$U117)&lt;&gt;0)),1,0)</f>
        <v>0</v>
      </c>
      <c r="S117">
        <f>N(S116)+$R117</f>
        <v>0</v>
      </c>
      <c r="T117">
        <f>IF(AND($K117=1,AND(对接源_01水果!$X117="公司筐",N(对接源_01水果!$V117)&lt;&gt;0)),1,0)</f>
        <v>0</v>
      </c>
      <c r="U117">
        <f>N(U116)+$T117</f>
        <v>0</v>
      </c>
      <c r="V117">
        <f>IF(AND($L117=1,AND(对接源_01水果!$X117="自备筐",N(对接源_01水果!$V117)&lt;&gt;0)),1,0)</f>
        <v>0</v>
      </c>
      <c r="W117">
        <f>N(W116)+$V117</f>
        <v>0</v>
      </c>
      <c r="X117">
        <f>IF(AND($L117=1,AND(对接源_01水果!$X117="自备筐",N(对接源_01水果!$T117)&lt;&gt;0)),1,0)</f>
        <v>0</v>
      </c>
      <c r="Y117">
        <f>N(Y116)+$X117</f>
        <v>0</v>
      </c>
      <c r="Z117">
        <f>IF(AND($M117=1,对接源_01水果!$D117="原料入库"),1,0)</f>
        <v>0</v>
      </c>
      <c r="AA117">
        <f>N(AA116)+$Z117</f>
        <v>0</v>
      </c>
      <c r="AB117">
        <f>IF(AND($M117=1,LEFT(对接源_01水果!$D117,4)="原料出库"),1,0)</f>
        <v>0</v>
      </c>
      <c r="AC117">
        <f>N(AC116)+$AB117</f>
        <v>0</v>
      </c>
      <c r="AD117">
        <f>IF(AND($M117=1,LEFT(对接源_01水果!$D117,4)="成品出库"),1,0)</f>
        <v>0</v>
      </c>
      <c r="AE117">
        <f>N(AE116)+$AD117</f>
        <v>0</v>
      </c>
      <c r="AF117">
        <f>IF(AND($N117=1,AND(LEFT(对接源_01水果!$D117,4)="包装物料",N(对接源_01水果!$K117)&lt;&gt;0)),1,0)</f>
        <v>0</v>
      </c>
      <c r="AG117">
        <f>N(AG116)+$AF117</f>
        <v>0</v>
      </c>
      <c r="AH117">
        <f>IF(AND($N117=1,AND(对接源_01水果!$D117="周转筐－销售出库",N(对接源_01水果!$K117)&lt;&gt;0)),1,0)</f>
        <v>0</v>
      </c>
      <c r="AI117">
        <f>N(AI116)+$AH117</f>
        <v>0</v>
      </c>
      <c r="AJ117" s="7" t="n"/>
      <c r="AL117">
        <f>IF(OR($AL$1="",对接源_01水果!$Y117="",对接源_01水果!$Y117&lt;&gt;$AL$1,对接源_01水果!$B117="",N(对接源_01水果!$AJ117)&lt;=0),0,IF(OR(N(对接源_01水果!$B117)&lt;$AL$2,N(对接源_01水果!$B117)&gt;$AL$3),0,1))</f>
        <v>0</v>
      </c>
      <c r="AM117">
        <f>N(AM116)+$AL117</f>
        <v>0</v>
      </c>
      <c r="AN117">
        <f>IF(对接源_01水果!$AC117="","",对接源_01水果!$AC117)</f>
      </c>
      <c r="AO117">
        <f>IF(AN117="",0,IF(MATCH(AN117,$AN$4:$AN$1203,0)=ROW()-3,1,0))</f>
        <v>0</v>
      </c>
      <c r="AP117">
        <f>N(AP116)+$AO117</f>
        <v>0</v>
      </c>
      <c r="AQ117">
        <f>IFERROR(INDEX($AN$4:$AN$1203,MATCH(ROW()-3,$AP$4:$AP$1203,0)),"")</f>
      </c>
      <c r="AR117">
        <f>IF(OR($AF117=1,$AH117=1),1,0)</f>
        <v>0</v>
      </c>
      <c r="AS117">
        <f>N(AS116)+$AR117</f>
        <v>0</v>
      </c>
    </row>
    <row r="118" ht="14.25" customHeight="1" s="127">
      <c r="A118" t="str">
        <f>IF(对接源_01水果!$C118="","",对接源_01水果!$C118)</f>
        <v>聂新平</v>
      </c>
      <c r="B118">
        <f>IF(A118="",0,IF(MATCH(A118,$A$4:$A$2403,0)=ROW()-3,1,0))</f>
        <v>0</v>
      </c>
      <c r="C118">
        <f>N(C117)+B118</f>
        <v>4</v>
      </c>
      <c r="E118">
        <f>IFERROR(INDEX($A$4:$A$2403,MATCH(ROW()-3,$C$4:$C$2403,0)),"")</f>
      </c>
      <c r="K118">
        <f>IF(OR($K$1="",对接源_01水果!$C118="",对接源_01水果!$C118&lt;&gt;$K$1,对接源_01水果!$B118=""),0,IF(OR(N(对接源_01水果!$B118)&lt;$K$2,N(对接源_01水果!$B118)&gt;$K$3),0,1))</f>
        <v>0</v>
      </c>
      <c r="L118">
        <f>IF(OR($L$1="",对接源_01水果!$C118="",对接源_01水果!$C118&lt;&gt;$L$1,对接源_01水果!$B118=""),0,IF(OR(N(对接源_01水果!$B118)&lt;$L$2,N(对接源_01水果!$B118)&gt;$L$3),0,1))</f>
        <v>0</v>
      </c>
      <c r="M118">
        <f>IF(OR($M$1="",对接源_01水果!$C118="",对接源_01水果!$C118&lt;&gt;$M$1,对接源_01水果!$B118=""),0,IF(OR(N(对接源_01水果!$B118)&lt;$M$2,N(对接源_01水果!$B118)&gt;$M$3),0,1))</f>
        <v>0</v>
      </c>
      <c r="N118">
        <f>IF(OR($N$1="",对接源_01水果!$C118="",对接源_01水果!$C118&lt;&gt;$N$1,对接源_01水果!$B118=""),0,IF(OR(N(对接源_01水果!$B118)&lt;$N$2,N(对接源_01水果!$B118)&gt;$N$3),0,1))</f>
        <v>0</v>
      </c>
      <c r="P118">
        <f>IF(AND($K118=1,AND(对接源_01水果!$X118="公司筐",N(对接源_01水果!$T118)&lt;&gt;0)),1,0)</f>
        <v>0</v>
      </c>
      <c r="Q118">
        <f>N(Q117)+$P118</f>
        <v>0</v>
      </c>
      <c r="R118">
        <f>IF(AND($K118=1,AND(对接源_01水果!$X118="公司筐",N(对接源_01水果!$U118)&lt;&gt;0)),1,0)</f>
        <v>0</v>
      </c>
      <c r="S118">
        <f>N(S117)+$R118</f>
        <v>0</v>
      </c>
      <c r="T118">
        <f>IF(AND($K118=1,AND(对接源_01水果!$X118="公司筐",N(对接源_01水果!$V118)&lt;&gt;0)),1,0)</f>
        <v>0</v>
      </c>
      <c r="U118">
        <f>N(U117)+$T118</f>
        <v>0</v>
      </c>
      <c r="V118">
        <f>IF(AND($L118=1,AND(对接源_01水果!$X118="自备筐",N(对接源_01水果!$V118)&lt;&gt;0)),1,0)</f>
        <v>0</v>
      </c>
      <c r="W118">
        <f>N(W117)+$V118</f>
        <v>0</v>
      </c>
      <c r="X118">
        <f>IF(AND($L118=1,AND(对接源_01水果!$X118="自备筐",N(对接源_01水果!$T118)&lt;&gt;0)),1,0)</f>
        <v>0</v>
      </c>
      <c r="Y118">
        <f>N(Y117)+$X118</f>
        <v>0</v>
      </c>
      <c r="Z118">
        <f>IF(AND($M118=1,对接源_01水果!$D118="原料入库"),1,0)</f>
        <v>0</v>
      </c>
      <c r="AA118">
        <f>N(AA117)+$Z118</f>
        <v>0</v>
      </c>
      <c r="AB118">
        <f>IF(AND($M118=1,LEFT(对接源_01水果!$D118,4)="原料出库"),1,0)</f>
        <v>0</v>
      </c>
      <c r="AC118">
        <f>N(AC117)+$AB118</f>
        <v>0</v>
      </c>
      <c r="AD118">
        <f>IF(AND($M118=1,LEFT(对接源_01水果!$D118,4)="成品出库"),1,0)</f>
        <v>0</v>
      </c>
      <c r="AE118">
        <f>N(AE117)+$AD118</f>
        <v>0</v>
      </c>
      <c r="AF118">
        <f>IF(AND($N118=1,AND(LEFT(对接源_01水果!$D118,4)="包装物料",N(对接源_01水果!$K118)&lt;&gt;0)),1,0)</f>
        <v>0</v>
      </c>
      <c r="AG118">
        <f>N(AG117)+$AF118</f>
        <v>0</v>
      </c>
      <c r="AH118">
        <f>IF(AND($N118=1,AND(对接源_01水果!$D118="周转筐－销售出库",N(对接源_01水果!$K118)&lt;&gt;0)),1,0)</f>
        <v>0</v>
      </c>
      <c r="AI118">
        <f>N(AI117)+$AH118</f>
        <v>0</v>
      </c>
      <c r="AJ118" s="7" t="n"/>
      <c r="AL118">
        <f>IF(OR($AL$1="",对接源_01水果!$Y118="",对接源_01水果!$Y118&lt;&gt;$AL$1,对接源_01水果!$B118="",N(对接源_01水果!$AJ118)&lt;=0),0,IF(OR(N(对接源_01水果!$B118)&lt;$AL$2,N(对接源_01水果!$B118)&gt;$AL$3),0,1))</f>
        <v>0</v>
      </c>
      <c r="AM118">
        <f>N(AM117)+$AL118</f>
        <v>0</v>
      </c>
      <c r="AN118">
        <f>IF(对接源_01水果!$AC118="","",对接源_01水果!$AC118)</f>
      </c>
      <c r="AO118">
        <f>IF(AN118="",0,IF(MATCH(AN118,$AN$4:$AN$1203,0)=ROW()-3,1,0))</f>
        <v>0</v>
      </c>
      <c r="AP118">
        <f>N(AP117)+$AO118</f>
        <v>0</v>
      </c>
      <c r="AQ118">
        <f>IFERROR(INDEX($AN$4:$AN$1203,MATCH(ROW()-3,$AP$4:$AP$1203,0)),"")</f>
      </c>
      <c r="AR118">
        <f>IF(OR($AF118=1,$AH118=1),1,0)</f>
        <v>0</v>
      </c>
      <c r="AS118">
        <f>N(AS117)+$AR118</f>
        <v>0</v>
      </c>
    </row>
    <row r="119" ht="14.25" customHeight="1" s="127">
      <c r="A119" t="str">
        <f>IF(对接源_01水果!$C119="","",对接源_01水果!$C119)</f>
        <v>聂新平</v>
      </c>
      <c r="B119">
        <f>IF(A119="",0,IF(MATCH(A119,$A$4:$A$2403,0)=ROW()-3,1,0))</f>
        <v>0</v>
      </c>
      <c r="C119">
        <f>N(C118)+B119</f>
        <v>4</v>
      </c>
      <c r="E119">
        <f>IFERROR(INDEX($A$4:$A$2403,MATCH(ROW()-3,$C$4:$C$2403,0)),"")</f>
      </c>
      <c r="K119">
        <f>IF(OR($K$1="",对接源_01水果!$C119="",对接源_01水果!$C119&lt;&gt;$K$1,对接源_01水果!$B119=""),0,IF(OR(N(对接源_01水果!$B119)&lt;$K$2,N(对接源_01水果!$B119)&gt;$K$3),0,1))</f>
        <v>0</v>
      </c>
      <c r="L119">
        <f>IF(OR($L$1="",对接源_01水果!$C119="",对接源_01水果!$C119&lt;&gt;$L$1,对接源_01水果!$B119=""),0,IF(OR(N(对接源_01水果!$B119)&lt;$L$2,N(对接源_01水果!$B119)&gt;$L$3),0,1))</f>
        <v>0</v>
      </c>
      <c r="M119">
        <f>IF(OR($M$1="",对接源_01水果!$C119="",对接源_01水果!$C119&lt;&gt;$M$1,对接源_01水果!$B119=""),0,IF(OR(N(对接源_01水果!$B119)&lt;$M$2,N(对接源_01水果!$B119)&gt;$M$3),0,1))</f>
        <v>0</v>
      </c>
      <c r="N119">
        <f>IF(OR($N$1="",对接源_01水果!$C119="",对接源_01水果!$C119&lt;&gt;$N$1,对接源_01水果!$B119=""),0,IF(OR(N(对接源_01水果!$B119)&lt;$N$2,N(对接源_01水果!$B119)&gt;$N$3),0,1))</f>
        <v>0</v>
      </c>
      <c r="P119">
        <f>IF(AND($K119=1,AND(对接源_01水果!$X119="公司筐",N(对接源_01水果!$T119)&lt;&gt;0)),1,0)</f>
        <v>0</v>
      </c>
      <c r="Q119">
        <f>N(Q118)+$P119</f>
        <v>0</v>
      </c>
      <c r="R119">
        <f>IF(AND($K119=1,AND(对接源_01水果!$X119="公司筐",N(对接源_01水果!$U119)&lt;&gt;0)),1,0)</f>
        <v>0</v>
      </c>
      <c r="S119">
        <f>N(S118)+$R119</f>
        <v>0</v>
      </c>
      <c r="T119">
        <f>IF(AND($K119=1,AND(对接源_01水果!$X119="公司筐",N(对接源_01水果!$V119)&lt;&gt;0)),1,0)</f>
        <v>0</v>
      </c>
      <c r="U119">
        <f>N(U118)+$T119</f>
        <v>0</v>
      </c>
      <c r="V119">
        <f>IF(AND($L119=1,AND(对接源_01水果!$X119="自备筐",N(对接源_01水果!$V119)&lt;&gt;0)),1,0)</f>
        <v>0</v>
      </c>
      <c r="W119">
        <f>N(W118)+$V119</f>
        <v>0</v>
      </c>
      <c r="X119">
        <f>IF(AND($L119=1,AND(对接源_01水果!$X119="自备筐",N(对接源_01水果!$T119)&lt;&gt;0)),1,0)</f>
        <v>0</v>
      </c>
      <c r="Y119">
        <f>N(Y118)+$X119</f>
        <v>0</v>
      </c>
      <c r="Z119">
        <f>IF(AND($M119=1,对接源_01水果!$D119="原料入库"),1,0)</f>
        <v>0</v>
      </c>
      <c r="AA119">
        <f>N(AA118)+$Z119</f>
        <v>0</v>
      </c>
      <c r="AB119">
        <f>IF(AND($M119=1,LEFT(对接源_01水果!$D119,4)="原料出库"),1,0)</f>
        <v>0</v>
      </c>
      <c r="AC119">
        <f>N(AC118)+$AB119</f>
        <v>0</v>
      </c>
      <c r="AD119">
        <f>IF(AND($M119=1,LEFT(对接源_01水果!$D119,4)="成品出库"),1,0)</f>
        <v>0</v>
      </c>
      <c r="AE119">
        <f>N(AE118)+$AD119</f>
        <v>0</v>
      </c>
      <c r="AF119">
        <f>IF(AND($N119=1,AND(LEFT(对接源_01水果!$D119,4)="包装物料",N(对接源_01水果!$K119)&lt;&gt;0)),1,0)</f>
        <v>0</v>
      </c>
      <c r="AG119">
        <f>N(AG118)+$AF119</f>
        <v>0</v>
      </c>
      <c r="AH119">
        <f>IF(AND($N119=1,AND(对接源_01水果!$D119="周转筐－销售出库",N(对接源_01水果!$K119)&lt;&gt;0)),1,0)</f>
        <v>0</v>
      </c>
      <c r="AI119">
        <f>N(AI118)+$AH119</f>
        <v>0</v>
      </c>
      <c r="AJ119" s="7" t="n"/>
      <c r="AL119">
        <f>IF(OR($AL$1="",对接源_01水果!$Y119="",对接源_01水果!$Y119&lt;&gt;$AL$1,对接源_01水果!$B119="",N(对接源_01水果!$AJ119)&lt;=0),0,IF(OR(N(对接源_01水果!$B119)&lt;$AL$2,N(对接源_01水果!$B119)&gt;$AL$3),0,1))</f>
        <v>0</v>
      </c>
      <c r="AM119">
        <f>N(AM118)+$AL119</f>
        <v>0</v>
      </c>
      <c r="AN119">
        <f>IF(对接源_01水果!$AC119="","",对接源_01水果!$AC119)</f>
      </c>
      <c r="AO119">
        <f>IF(AN119="",0,IF(MATCH(AN119,$AN$4:$AN$1203,0)=ROW()-3,1,0))</f>
        <v>0</v>
      </c>
      <c r="AP119">
        <f>N(AP118)+$AO119</f>
        <v>0</v>
      </c>
      <c r="AQ119">
        <f>IFERROR(INDEX($AN$4:$AN$1203,MATCH(ROW()-3,$AP$4:$AP$1203,0)),"")</f>
      </c>
      <c r="AR119">
        <f>IF(OR($AF119=1,$AH119=1),1,0)</f>
        <v>0</v>
      </c>
      <c r="AS119">
        <f>N(AS118)+$AR119</f>
        <v>0</v>
      </c>
    </row>
    <row r="120" ht="14.25" customHeight="1" s="127">
      <c r="A120" t="str">
        <f>IF(对接源_01水果!$C120="","",对接源_01水果!$C120)</f>
        <v>聂新平</v>
      </c>
      <c r="B120">
        <f>IF(A120="",0,IF(MATCH(A120,$A$4:$A$2403,0)=ROW()-3,1,0))</f>
        <v>0</v>
      </c>
      <c r="C120">
        <f>N(C119)+B120</f>
        <v>4</v>
      </c>
      <c r="E120">
        <f>IFERROR(INDEX($A$4:$A$2403,MATCH(ROW()-3,$C$4:$C$2403,0)),"")</f>
      </c>
      <c r="K120">
        <f>IF(OR($K$1="",对接源_01水果!$C120="",对接源_01水果!$C120&lt;&gt;$K$1,对接源_01水果!$B120=""),0,IF(OR(N(对接源_01水果!$B120)&lt;$K$2,N(对接源_01水果!$B120)&gt;$K$3),0,1))</f>
        <v>0</v>
      </c>
      <c r="L120">
        <f>IF(OR($L$1="",对接源_01水果!$C120="",对接源_01水果!$C120&lt;&gt;$L$1,对接源_01水果!$B120=""),0,IF(OR(N(对接源_01水果!$B120)&lt;$L$2,N(对接源_01水果!$B120)&gt;$L$3),0,1))</f>
        <v>0</v>
      </c>
      <c r="M120">
        <f>IF(OR($M$1="",对接源_01水果!$C120="",对接源_01水果!$C120&lt;&gt;$M$1,对接源_01水果!$B120=""),0,IF(OR(N(对接源_01水果!$B120)&lt;$M$2,N(对接源_01水果!$B120)&gt;$M$3),0,1))</f>
        <v>0</v>
      </c>
      <c r="N120">
        <f>IF(OR($N$1="",对接源_01水果!$C120="",对接源_01水果!$C120&lt;&gt;$N$1,对接源_01水果!$B120=""),0,IF(OR(N(对接源_01水果!$B120)&lt;$N$2,N(对接源_01水果!$B120)&gt;$N$3),0,1))</f>
        <v>0</v>
      </c>
      <c r="P120">
        <f>IF(AND($K120=1,AND(对接源_01水果!$X120="公司筐",N(对接源_01水果!$T120)&lt;&gt;0)),1,0)</f>
        <v>0</v>
      </c>
      <c r="Q120">
        <f>N(Q119)+$P120</f>
        <v>0</v>
      </c>
      <c r="R120">
        <f>IF(AND($K120=1,AND(对接源_01水果!$X120="公司筐",N(对接源_01水果!$U120)&lt;&gt;0)),1,0)</f>
        <v>0</v>
      </c>
      <c r="S120">
        <f>N(S119)+$R120</f>
        <v>0</v>
      </c>
      <c r="T120">
        <f>IF(AND($K120=1,AND(对接源_01水果!$X120="公司筐",N(对接源_01水果!$V120)&lt;&gt;0)),1,0)</f>
        <v>0</v>
      </c>
      <c r="U120">
        <f>N(U119)+$T120</f>
        <v>0</v>
      </c>
      <c r="V120">
        <f>IF(AND($L120=1,AND(对接源_01水果!$X120="自备筐",N(对接源_01水果!$V120)&lt;&gt;0)),1,0)</f>
        <v>0</v>
      </c>
      <c r="W120">
        <f>N(W119)+$V120</f>
        <v>0</v>
      </c>
      <c r="X120">
        <f>IF(AND($L120=1,AND(对接源_01水果!$X120="自备筐",N(对接源_01水果!$T120)&lt;&gt;0)),1,0)</f>
        <v>0</v>
      </c>
      <c r="Y120">
        <f>N(Y119)+$X120</f>
        <v>0</v>
      </c>
      <c r="Z120">
        <f>IF(AND($M120=1,对接源_01水果!$D120="原料入库"),1,0)</f>
        <v>0</v>
      </c>
      <c r="AA120">
        <f>N(AA119)+$Z120</f>
        <v>0</v>
      </c>
      <c r="AB120">
        <f>IF(AND($M120=1,LEFT(对接源_01水果!$D120,4)="原料出库"),1,0)</f>
        <v>0</v>
      </c>
      <c r="AC120">
        <f>N(AC119)+$AB120</f>
        <v>0</v>
      </c>
      <c r="AD120">
        <f>IF(AND($M120=1,LEFT(对接源_01水果!$D120,4)="成品出库"),1,0)</f>
        <v>0</v>
      </c>
      <c r="AE120">
        <f>N(AE119)+$AD120</f>
        <v>0</v>
      </c>
      <c r="AF120">
        <f>IF(AND($N120=1,AND(LEFT(对接源_01水果!$D120,4)="包装物料",N(对接源_01水果!$K120)&lt;&gt;0)),1,0)</f>
        <v>0</v>
      </c>
      <c r="AG120">
        <f>N(AG119)+$AF120</f>
        <v>0</v>
      </c>
      <c r="AH120">
        <f>IF(AND($N120=1,AND(对接源_01水果!$D120="周转筐－销售出库",N(对接源_01水果!$K120)&lt;&gt;0)),1,0)</f>
        <v>0</v>
      </c>
      <c r="AI120">
        <f>N(AI119)+$AH120</f>
        <v>0</v>
      </c>
      <c r="AJ120" s="7" t="n"/>
      <c r="AL120">
        <f>IF(OR($AL$1="",对接源_01水果!$Y120="",对接源_01水果!$Y120&lt;&gt;$AL$1,对接源_01水果!$B120="",N(对接源_01水果!$AJ120)&lt;=0),0,IF(OR(N(对接源_01水果!$B120)&lt;$AL$2,N(对接源_01水果!$B120)&gt;$AL$3),0,1))</f>
        <v>0</v>
      </c>
      <c r="AM120">
        <f>N(AM119)+$AL120</f>
        <v>0</v>
      </c>
      <c r="AN120">
        <f>IF(对接源_01水果!$AC120="","",对接源_01水果!$AC120)</f>
      </c>
      <c r="AO120">
        <f>IF(AN120="",0,IF(MATCH(AN120,$AN$4:$AN$1203,0)=ROW()-3,1,0))</f>
        <v>0</v>
      </c>
      <c r="AP120">
        <f>N(AP119)+$AO120</f>
        <v>0</v>
      </c>
      <c r="AQ120">
        <f>IFERROR(INDEX($AN$4:$AN$1203,MATCH(ROW()-3,$AP$4:$AP$1203,0)),"")</f>
      </c>
      <c r="AR120">
        <f>IF(OR($AF120=1,$AH120=1),1,0)</f>
        <v>0</v>
      </c>
      <c r="AS120">
        <f>N(AS119)+$AR120</f>
        <v>0</v>
      </c>
    </row>
    <row r="121" ht="14.25" customHeight="1" s="127">
      <c r="A121" t="str">
        <f>IF(对接源_01水果!$C121="","",对接源_01水果!$C121)</f>
        <v>聂新平</v>
      </c>
      <c r="B121">
        <f>IF(A121="",0,IF(MATCH(A121,$A$4:$A$2403,0)=ROW()-3,1,0))</f>
        <v>0</v>
      </c>
      <c r="C121">
        <f>N(C120)+B121</f>
        <v>4</v>
      </c>
      <c r="E121">
        <f>IFERROR(INDEX($A$4:$A$2403,MATCH(ROW()-3,$C$4:$C$2403,0)),"")</f>
      </c>
      <c r="K121">
        <f>IF(OR($K$1="",对接源_01水果!$C121="",对接源_01水果!$C121&lt;&gt;$K$1,对接源_01水果!$B121=""),0,IF(OR(N(对接源_01水果!$B121)&lt;$K$2,N(对接源_01水果!$B121)&gt;$K$3),0,1))</f>
        <v>0</v>
      </c>
      <c r="L121">
        <f>IF(OR($L$1="",对接源_01水果!$C121="",对接源_01水果!$C121&lt;&gt;$L$1,对接源_01水果!$B121=""),0,IF(OR(N(对接源_01水果!$B121)&lt;$L$2,N(对接源_01水果!$B121)&gt;$L$3),0,1))</f>
        <v>0</v>
      </c>
      <c r="M121">
        <f>IF(OR($M$1="",对接源_01水果!$C121="",对接源_01水果!$C121&lt;&gt;$M$1,对接源_01水果!$B121=""),0,IF(OR(N(对接源_01水果!$B121)&lt;$M$2,N(对接源_01水果!$B121)&gt;$M$3),0,1))</f>
        <v>0</v>
      </c>
      <c r="N121">
        <f>IF(OR($N$1="",对接源_01水果!$C121="",对接源_01水果!$C121&lt;&gt;$N$1,对接源_01水果!$B121=""),0,IF(OR(N(对接源_01水果!$B121)&lt;$N$2,N(对接源_01水果!$B121)&gt;$N$3),0,1))</f>
        <v>0</v>
      </c>
      <c r="P121">
        <f>IF(AND($K121=1,AND(对接源_01水果!$X121="公司筐",N(对接源_01水果!$T121)&lt;&gt;0)),1,0)</f>
        <v>0</v>
      </c>
      <c r="Q121">
        <f>N(Q120)+$P121</f>
        <v>0</v>
      </c>
      <c r="R121">
        <f>IF(AND($K121=1,AND(对接源_01水果!$X121="公司筐",N(对接源_01水果!$U121)&lt;&gt;0)),1,0)</f>
        <v>0</v>
      </c>
      <c r="S121">
        <f>N(S120)+$R121</f>
        <v>0</v>
      </c>
      <c r="T121">
        <f>IF(AND($K121=1,AND(对接源_01水果!$X121="公司筐",N(对接源_01水果!$V121)&lt;&gt;0)),1,0)</f>
        <v>0</v>
      </c>
      <c r="U121">
        <f>N(U120)+$T121</f>
        <v>0</v>
      </c>
      <c r="V121">
        <f>IF(AND($L121=1,AND(对接源_01水果!$X121="自备筐",N(对接源_01水果!$V121)&lt;&gt;0)),1,0)</f>
        <v>0</v>
      </c>
      <c r="W121">
        <f>N(W120)+$V121</f>
        <v>0</v>
      </c>
      <c r="X121">
        <f>IF(AND($L121=1,AND(对接源_01水果!$X121="自备筐",N(对接源_01水果!$T121)&lt;&gt;0)),1,0)</f>
        <v>0</v>
      </c>
      <c r="Y121">
        <f>N(Y120)+$X121</f>
        <v>0</v>
      </c>
      <c r="Z121">
        <f>IF(AND($M121=1,对接源_01水果!$D121="原料入库"),1,0)</f>
        <v>0</v>
      </c>
      <c r="AA121">
        <f>N(AA120)+$Z121</f>
        <v>0</v>
      </c>
      <c r="AB121">
        <f>IF(AND($M121=1,LEFT(对接源_01水果!$D121,4)="原料出库"),1,0)</f>
        <v>0</v>
      </c>
      <c r="AC121">
        <f>N(AC120)+$AB121</f>
        <v>0</v>
      </c>
      <c r="AD121">
        <f>IF(AND($M121=1,LEFT(对接源_01水果!$D121,4)="成品出库"),1,0)</f>
        <v>0</v>
      </c>
      <c r="AE121">
        <f>N(AE120)+$AD121</f>
        <v>0</v>
      </c>
      <c r="AF121">
        <f>IF(AND($N121=1,AND(LEFT(对接源_01水果!$D121,4)="包装物料",N(对接源_01水果!$K121)&lt;&gt;0)),1,0)</f>
        <v>0</v>
      </c>
      <c r="AG121">
        <f>N(AG120)+$AF121</f>
        <v>0</v>
      </c>
      <c r="AH121">
        <f>IF(AND($N121=1,AND(对接源_01水果!$D121="周转筐－销售出库",N(对接源_01水果!$K121)&lt;&gt;0)),1,0)</f>
        <v>0</v>
      </c>
      <c r="AI121">
        <f>N(AI120)+$AH121</f>
        <v>0</v>
      </c>
      <c r="AJ121" s="7" t="n"/>
      <c r="AL121">
        <f>IF(OR($AL$1="",对接源_01水果!$Y121="",对接源_01水果!$Y121&lt;&gt;$AL$1,对接源_01水果!$B121="",N(对接源_01水果!$AJ121)&lt;=0),0,IF(OR(N(对接源_01水果!$B121)&lt;$AL$2,N(对接源_01水果!$B121)&gt;$AL$3),0,1))</f>
        <v>0</v>
      </c>
      <c r="AM121">
        <f>N(AM120)+$AL121</f>
        <v>0</v>
      </c>
      <c r="AN121">
        <f>IF(对接源_01水果!$AC121="","",对接源_01水果!$AC121)</f>
      </c>
      <c r="AO121">
        <f>IF(AN121="",0,IF(MATCH(AN121,$AN$4:$AN$1203,0)=ROW()-3,1,0))</f>
        <v>0</v>
      </c>
      <c r="AP121">
        <f>N(AP120)+$AO121</f>
        <v>0</v>
      </c>
      <c r="AQ121">
        <f>IFERROR(INDEX($AN$4:$AN$1203,MATCH(ROW()-3,$AP$4:$AP$1203,0)),"")</f>
      </c>
      <c r="AR121">
        <f>IF(OR($AF121=1,$AH121=1),1,0)</f>
        <v>0</v>
      </c>
      <c r="AS121">
        <f>N(AS120)+$AR121</f>
        <v>0</v>
      </c>
    </row>
    <row r="122" ht="14.25" customHeight="1" s="127">
      <c r="A122" t="str">
        <f>IF(对接源_01水果!$C122="","",对接源_01水果!$C122)</f>
        <v>聂新平</v>
      </c>
      <c r="B122">
        <f>IF(A122="",0,IF(MATCH(A122,$A$4:$A$2403,0)=ROW()-3,1,0))</f>
        <v>0</v>
      </c>
      <c r="C122">
        <f>N(C121)+B122</f>
        <v>4</v>
      </c>
      <c r="E122">
        <f>IFERROR(INDEX($A$4:$A$2403,MATCH(ROW()-3,$C$4:$C$2403,0)),"")</f>
      </c>
      <c r="K122">
        <f>IF(OR($K$1="",对接源_01水果!$C122="",对接源_01水果!$C122&lt;&gt;$K$1,对接源_01水果!$B122=""),0,IF(OR(N(对接源_01水果!$B122)&lt;$K$2,N(对接源_01水果!$B122)&gt;$K$3),0,1))</f>
        <v>0</v>
      </c>
      <c r="L122">
        <f>IF(OR($L$1="",对接源_01水果!$C122="",对接源_01水果!$C122&lt;&gt;$L$1,对接源_01水果!$B122=""),0,IF(OR(N(对接源_01水果!$B122)&lt;$L$2,N(对接源_01水果!$B122)&gt;$L$3),0,1))</f>
        <v>0</v>
      </c>
      <c r="M122">
        <f>IF(OR($M$1="",对接源_01水果!$C122="",对接源_01水果!$C122&lt;&gt;$M$1,对接源_01水果!$B122=""),0,IF(OR(N(对接源_01水果!$B122)&lt;$M$2,N(对接源_01水果!$B122)&gt;$M$3),0,1))</f>
        <v>0</v>
      </c>
      <c r="N122">
        <f>IF(OR($N$1="",对接源_01水果!$C122="",对接源_01水果!$C122&lt;&gt;$N$1,对接源_01水果!$B122=""),0,IF(OR(N(对接源_01水果!$B122)&lt;$N$2,N(对接源_01水果!$B122)&gt;$N$3),0,1))</f>
        <v>0</v>
      </c>
      <c r="P122">
        <f>IF(AND($K122=1,AND(对接源_01水果!$X122="公司筐",N(对接源_01水果!$T122)&lt;&gt;0)),1,0)</f>
        <v>0</v>
      </c>
      <c r="Q122">
        <f>N(Q121)+$P122</f>
        <v>0</v>
      </c>
      <c r="R122">
        <f>IF(AND($K122=1,AND(对接源_01水果!$X122="公司筐",N(对接源_01水果!$U122)&lt;&gt;0)),1,0)</f>
        <v>0</v>
      </c>
      <c r="S122">
        <f>N(S121)+$R122</f>
        <v>0</v>
      </c>
      <c r="T122">
        <f>IF(AND($K122=1,AND(对接源_01水果!$X122="公司筐",N(对接源_01水果!$V122)&lt;&gt;0)),1,0)</f>
        <v>0</v>
      </c>
      <c r="U122">
        <f>N(U121)+$T122</f>
        <v>0</v>
      </c>
      <c r="V122">
        <f>IF(AND($L122=1,AND(对接源_01水果!$X122="自备筐",N(对接源_01水果!$V122)&lt;&gt;0)),1,0)</f>
        <v>0</v>
      </c>
      <c r="W122">
        <f>N(W121)+$V122</f>
        <v>0</v>
      </c>
      <c r="X122">
        <f>IF(AND($L122=1,AND(对接源_01水果!$X122="自备筐",N(对接源_01水果!$T122)&lt;&gt;0)),1,0)</f>
        <v>0</v>
      </c>
      <c r="Y122">
        <f>N(Y121)+$X122</f>
        <v>0</v>
      </c>
      <c r="Z122">
        <f>IF(AND($M122=1,对接源_01水果!$D122="原料入库"),1,0)</f>
        <v>0</v>
      </c>
      <c r="AA122">
        <f>N(AA121)+$Z122</f>
        <v>0</v>
      </c>
      <c r="AB122">
        <f>IF(AND($M122=1,LEFT(对接源_01水果!$D122,4)="原料出库"),1,0)</f>
        <v>0</v>
      </c>
      <c r="AC122">
        <f>N(AC121)+$AB122</f>
        <v>0</v>
      </c>
      <c r="AD122">
        <f>IF(AND($M122=1,LEFT(对接源_01水果!$D122,4)="成品出库"),1,0)</f>
        <v>0</v>
      </c>
      <c r="AE122">
        <f>N(AE121)+$AD122</f>
        <v>0</v>
      </c>
      <c r="AF122">
        <f>IF(AND($N122=1,AND(LEFT(对接源_01水果!$D122,4)="包装物料",N(对接源_01水果!$K122)&lt;&gt;0)),1,0)</f>
        <v>0</v>
      </c>
      <c r="AG122">
        <f>N(AG121)+$AF122</f>
        <v>0</v>
      </c>
      <c r="AH122">
        <f>IF(AND($N122=1,AND(对接源_01水果!$D122="周转筐－销售出库",N(对接源_01水果!$K122)&lt;&gt;0)),1,0)</f>
        <v>0</v>
      </c>
      <c r="AI122">
        <f>N(AI121)+$AH122</f>
        <v>0</v>
      </c>
      <c r="AJ122" s="7" t="n"/>
      <c r="AL122">
        <f>IF(OR($AL$1="",对接源_01水果!$Y122="",对接源_01水果!$Y122&lt;&gt;$AL$1,对接源_01水果!$B122="",N(对接源_01水果!$AJ122)&lt;=0),0,IF(OR(N(对接源_01水果!$B122)&lt;$AL$2,N(对接源_01水果!$B122)&gt;$AL$3),0,1))</f>
        <v>0</v>
      </c>
      <c r="AM122">
        <f>N(AM121)+$AL122</f>
        <v>0</v>
      </c>
      <c r="AN122">
        <f>IF(对接源_01水果!$AC122="","",对接源_01水果!$AC122)</f>
      </c>
      <c r="AO122">
        <f>IF(AN122="",0,IF(MATCH(AN122,$AN$4:$AN$1203,0)=ROW()-3,1,0))</f>
        <v>0</v>
      </c>
      <c r="AP122">
        <f>N(AP121)+$AO122</f>
        <v>0</v>
      </c>
      <c r="AQ122">
        <f>IFERROR(INDEX($AN$4:$AN$1203,MATCH(ROW()-3,$AP$4:$AP$1203,0)),"")</f>
      </c>
      <c r="AR122">
        <f>IF(OR($AF122=1,$AH122=1),1,0)</f>
        <v>0</v>
      </c>
      <c r="AS122">
        <f>N(AS121)+$AR122</f>
        <v>0</v>
      </c>
    </row>
    <row r="123" ht="14.25" customHeight="1" s="127">
      <c r="A123" t="str">
        <f>IF(对接源_01水果!$C123="","",对接源_01水果!$C123)</f>
        <v>聂新平</v>
      </c>
      <c r="B123">
        <f>IF(A123="",0,IF(MATCH(A123,$A$4:$A$2403,0)=ROW()-3,1,0))</f>
        <v>0</v>
      </c>
      <c r="C123">
        <f>N(C122)+B123</f>
        <v>4</v>
      </c>
      <c r="E123">
        <f>IFERROR(INDEX($A$4:$A$2403,MATCH(ROW()-3,$C$4:$C$2403,0)),"")</f>
      </c>
      <c r="K123">
        <f>IF(OR($K$1="",对接源_01水果!$C123="",对接源_01水果!$C123&lt;&gt;$K$1,对接源_01水果!$B123=""),0,IF(OR(N(对接源_01水果!$B123)&lt;$K$2,N(对接源_01水果!$B123)&gt;$K$3),0,1))</f>
        <v>0</v>
      </c>
      <c r="L123">
        <f>IF(OR($L$1="",对接源_01水果!$C123="",对接源_01水果!$C123&lt;&gt;$L$1,对接源_01水果!$B123=""),0,IF(OR(N(对接源_01水果!$B123)&lt;$L$2,N(对接源_01水果!$B123)&gt;$L$3),0,1))</f>
        <v>0</v>
      </c>
      <c r="M123">
        <f>IF(OR($M$1="",对接源_01水果!$C123="",对接源_01水果!$C123&lt;&gt;$M$1,对接源_01水果!$B123=""),0,IF(OR(N(对接源_01水果!$B123)&lt;$M$2,N(对接源_01水果!$B123)&gt;$M$3),0,1))</f>
        <v>0</v>
      </c>
      <c r="N123">
        <f>IF(OR($N$1="",对接源_01水果!$C123="",对接源_01水果!$C123&lt;&gt;$N$1,对接源_01水果!$B123=""),0,IF(OR(N(对接源_01水果!$B123)&lt;$N$2,N(对接源_01水果!$B123)&gt;$N$3),0,1))</f>
        <v>0</v>
      </c>
      <c r="P123">
        <f>IF(AND($K123=1,AND(对接源_01水果!$X123="公司筐",N(对接源_01水果!$T123)&lt;&gt;0)),1,0)</f>
        <v>0</v>
      </c>
      <c r="Q123">
        <f>N(Q122)+$P123</f>
        <v>0</v>
      </c>
      <c r="R123">
        <f>IF(AND($K123=1,AND(对接源_01水果!$X123="公司筐",N(对接源_01水果!$U123)&lt;&gt;0)),1,0)</f>
        <v>0</v>
      </c>
      <c r="S123">
        <f>N(S122)+$R123</f>
        <v>0</v>
      </c>
      <c r="T123">
        <f>IF(AND($K123=1,AND(对接源_01水果!$X123="公司筐",N(对接源_01水果!$V123)&lt;&gt;0)),1,0)</f>
        <v>0</v>
      </c>
      <c r="U123">
        <f>N(U122)+$T123</f>
        <v>0</v>
      </c>
      <c r="V123">
        <f>IF(AND($L123=1,AND(对接源_01水果!$X123="自备筐",N(对接源_01水果!$V123)&lt;&gt;0)),1,0)</f>
        <v>0</v>
      </c>
      <c r="W123">
        <f>N(W122)+$V123</f>
        <v>0</v>
      </c>
      <c r="X123">
        <f>IF(AND($L123=1,AND(对接源_01水果!$X123="自备筐",N(对接源_01水果!$T123)&lt;&gt;0)),1,0)</f>
        <v>0</v>
      </c>
      <c r="Y123">
        <f>N(Y122)+$X123</f>
        <v>0</v>
      </c>
      <c r="Z123">
        <f>IF(AND($M123=1,对接源_01水果!$D123="原料入库"),1,0)</f>
        <v>0</v>
      </c>
      <c r="AA123">
        <f>N(AA122)+$Z123</f>
        <v>0</v>
      </c>
      <c r="AB123">
        <f>IF(AND($M123=1,LEFT(对接源_01水果!$D123,4)="原料出库"),1,0)</f>
        <v>0</v>
      </c>
      <c r="AC123">
        <f>N(AC122)+$AB123</f>
        <v>0</v>
      </c>
      <c r="AD123">
        <f>IF(AND($M123=1,LEFT(对接源_01水果!$D123,4)="成品出库"),1,0)</f>
        <v>0</v>
      </c>
      <c r="AE123">
        <f>N(AE122)+$AD123</f>
        <v>0</v>
      </c>
      <c r="AF123">
        <f>IF(AND($N123=1,AND(LEFT(对接源_01水果!$D123,4)="包装物料",N(对接源_01水果!$K123)&lt;&gt;0)),1,0)</f>
        <v>0</v>
      </c>
      <c r="AG123">
        <f>N(AG122)+$AF123</f>
        <v>0</v>
      </c>
      <c r="AH123">
        <f>IF(AND($N123=1,AND(对接源_01水果!$D123="周转筐－销售出库",N(对接源_01水果!$K123)&lt;&gt;0)),1,0)</f>
        <v>0</v>
      </c>
      <c r="AI123">
        <f>N(AI122)+$AH123</f>
        <v>0</v>
      </c>
      <c r="AJ123" s="7" t="n"/>
      <c r="AL123">
        <f>IF(OR($AL$1="",对接源_01水果!$Y123="",对接源_01水果!$Y123&lt;&gt;$AL$1,对接源_01水果!$B123="",N(对接源_01水果!$AJ123)&lt;=0),0,IF(OR(N(对接源_01水果!$B123)&lt;$AL$2,N(对接源_01水果!$B123)&gt;$AL$3),0,1))</f>
        <v>0</v>
      </c>
      <c r="AM123">
        <f>N(AM122)+$AL123</f>
        <v>0</v>
      </c>
      <c r="AN123">
        <f>IF(对接源_01水果!$AC123="","",对接源_01水果!$AC123)</f>
      </c>
      <c r="AO123">
        <f>IF(AN123="",0,IF(MATCH(AN123,$AN$4:$AN$1203,0)=ROW()-3,1,0))</f>
        <v>0</v>
      </c>
      <c r="AP123">
        <f>N(AP122)+$AO123</f>
        <v>0</v>
      </c>
      <c r="AQ123">
        <f>IFERROR(INDEX($AN$4:$AN$1203,MATCH(ROW()-3,$AP$4:$AP$1203,0)),"")</f>
      </c>
      <c r="AR123">
        <f>IF(OR($AF123=1,$AH123=1),1,0)</f>
        <v>0</v>
      </c>
      <c r="AS123">
        <f>N(AS122)+$AR123</f>
        <v>0</v>
      </c>
    </row>
    <row r="124" ht="14.25" customHeight="1" s="127">
      <c r="A124" t="str">
        <f>IF(对接源_01水果!$C124="","",对接源_01水果!$C124)</f>
        <v>聂新平</v>
      </c>
      <c r="B124">
        <f>IF(A124="",0,IF(MATCH(A124,$A$4:$A$2403,0)=ROW()-3,1,0))</f>
        <v>0</v>
      </c>
      <c r="C124">
        <f>N(C123)+B124</f>
        <v>4</v>
      </c>
      <c r="E124">
        <f>IFERROR(INDEX($A$4:$A$2403,MATCH(ROW()-3,$C$4:$C$2403,0)),"")</f>
      </c>
      <c r="K124">
        <f>IF(OR($K$1="",对接源_01水果!$C124="",对接源_01水果!$C124&lt;&gt;$K$1,对接源_01水果!$B124=""),0,IF(OR(N(对接源_01水果!$B124)&lt;$K$2,N(对接源_01水果!$B124)&gt;$K$3),0,1))</f>
        <v>0</v>
      </c>
      <c r="L124">
        <f>IF(OR($L$1="",对接源_01水果!$C124="",对接源_01水果!$C124&lt;&gt;$L$1,对接源_01水果!$B124=""),0,IF(OR(N(对接源_01水果!$B124)&lt;$L$2,N(对接源_01水果!$B124)&gt;$L$3),0,1))</f>
        <v>0</v>
      </c>
      <c r="M124">
        <f>IF(OR($M$1="",对接源_01水果!$C124="",对接源_01水果!$C124&lt;&gt;$M$1,对接源_01水果!$B124=""),0,IF(OR(N(对接源_01水果!$B124)&lt;$M$2,N(对接源_01水果!$B124)&gt;$M$3),0,1))</f>
        <v>0</v>
      </c>
      <c r="N124">
        <f>IF(OR($N$1="",对接源_01水果!$C124="",对接源_01水果!$C124&lt;&gt;$N$1,对接源_01水果!$B124=""),0,IF(OR(N(对接源_01水果!$B124)&lt;$N$2,N(对接源_01水果!$B124)&gt;$N$3),0,1))</f>
        <v>0</v>
      </c>
      <c r="P124">
        <f>IF(AND($K124=1,AND(对接源_01水果!$X124="公司筐",N(对接源_01水果!$T124)&lt;&gt;0)),1,0)</f>
        <v>0</v>
      </c>
      <c r="Q124">
        <f>N(Q123)+$P124</f>
        <v>0</v>
      </c>
      <c r="R124">
        <f>IF(AND($K124=1,AND(对接源_01水果!$X124="公司筐",N(对接源_01水果!$U124)&lt;&gt;0)),1,0)</f>
        <v>0</v>
      </c>
      <c r="S124">
        <f>N(S123)+$R124</f>
        <v>0</v>
      </c>
      <c r="T124">
        <f>IF(AND($K124=1,AND(对接源_01水果!$X124="公司筐",N(对接源_01水果!$V124)&lt;&gt;0)),1,0)</f>
        <v>0</v>
      </c>
      <c r="U124">
        <f>N(U123)+$T124</f>
        <v>0</v>
      </c>
      <c r="V124">
        <f>IF(AND($L124=1,AND(对接源_01水果!$X124="自备筐",N(对接源_01水果!$V124)&lt;&gt;0)),1,0)</f>
        <v>0</v>
      </c>
      <c r="W124">
        <f>N(W123)+$V124</f>
        <v>0</v>
      </c>
      <c r="X124">
        <f>IF(AND($L124=1,AND(对接源_01水果!$X124="自备筐",N(对接源_01水果!$T124)&lt;&gt;0)),1,0)</f>
        <v>0</v>
      </c>
      <c r="Y124">
        <f>N(Y123)+$X124</f>
        <v>0</v>
      </c>
      <c r="Z124">
        <f>IF(AND($M124=1,对接源_01水果!$D124="原料入库"),1,0)</f>
        <v>0</v>
      </c>
      <c r="AA124">
        <f>N(AA123)+$Z124</f>
        <v>0</v>
      </c>
      <c r="AB124">
        <f>IF(AND($M124=1,LEFT(对接源_01水果!$D124,4)="原料出库"),1,0)</f>
        <v>0</v>
      </c>
      <c r="AC124">
        <f>N(AC123)+$AB124</f>
        <v>0</v>
      </c>
      <c r="AD124">
        <f>IF(AND($M124=1,LEFT(对接源_01水果!$D124,4)="成品出库"),1,0)</f>
        <v>0</v>
      </c>
      <c r="AE124">
        <f>N(AE123)+$AD124</f>
        <v>0</v>
      </c>
      <c r="AF124">
        <f>IF(AND($N124=1,AND(LEFT(对接源_01水果!$D124,4)="包装物料",N(对接源_01水果!$K124)&lt;&gt;0)),1,0)</f>
        <v>0</v>
      </c>
      <c r="AG124">
        <f>N(AG123)+$AF124</f>
        <v>0</v>
      </c>
      <c r="AH124">
        <f>IF(AND($N124=1,AND(对接源_01水果!$D124="周转筐－销售出库",N(对接源_01水果!$K124)&lt;&gt;0)),1,0)</f>
        <v>0</v>
      </c>
      <c r="AI124">
        <f>N(AI123)+$AH124</f>
        <v>0</v>
      </c>
      <c r="AJ124" s="7" t="n"/>
      <c r="AL124">
        <f>IF(OR($AL$1="",对接源_01水果!$Y124="",对接源_01水果!$Y124&lt;&gt;$AL$1,对接源_01水果!$B124="",N(对接源_01水果!$AJ124)&lt;=0),0,IF(OR(N(对接源_01水果!$B124)&lt;$AL$2,N(对接源_01水果!$B124)&gt;$AL$3),0,1))</f>
        <v>0</v>
      </c>
      <c r="AM124">
        <f>N(AM123)+$AL124</f>
        <v>0</v>
      </c>
      <c r="AN124">
        <f>IF(对接源_01水果!$AC124="","",对接源_01水果!$AC124)</f>
      </c>
      <c r="AO124">
        <f>IF(AN124="",0,IF(MATCH(AN124,$AN$4:$AN$1203,0)=ROW()-3,1,0))</f>
        <v>0</v>
      </c>
      <c r="AP124">
        <f>N(AP123)+$AO124</f>
        <v>0</v>
      </c>
      <c r="AQ124">
        <f>IFERROR(INDEX($AN$4:$AN$1203,MATCH(ROW()-3,$AP$4:$AP$1203,0)),"")</f>
      </c>
      <c r="AR124">
        <f>IF(OR($AF124=1,$AH124=1),1,0)</f>
        <v>0</v>
      </c>
      <c r="AS124">
        <f>N(AS123)+$AR124</f>
        <v>0</v>
      </c>
    </row>
    <row r="125" ht="14.25" customHeight="1" s="127">
      <c r="A125" t="str">
        <f>IF(对接源_01水果!$C125="","",对接源_01水果!$C125)</f>
        <v>聂新平</v>
      </c>
      <c r="B125">
        <f>IF(A125="",0,IF(MATCH(A125,$A$4:$A$2403,0)=ROW()-3,1,0))</f>
        <v>0</v>
      </c>
      <c r="C125">
        <f>N(C124)+B125</f>
        <v>4</v>
      </c>
      <c r="E125">
        <f>IFERROR(INDEX($A$4:$A$2403,MATCH(ROW()-3,$C$4:$C$2403,0)),"")</f>
      </c>
      <c r="K125">
        <f>IF(OR($K$1="",对接源_01水果!$C125="",对接源_01水果!$C125&lt;&gt;$K$1,对接源_01水果!$B125=""),0,IF(OR(N(对接源_01水果!$B125)&lt;$K$2,N(对接源_01水果!$B125)&gt;$K$3),0,1))</f>
        <v>0</v>
      </c>
      <c r="L125">
        <f>IF(OR($L$1="",对接源_01水果!$C125="",对接源_01水果!$C125&lt;&gt;$L$1,对接源_01水果!$B125=""),0,IF(OR(N(对接源_01水果!$B125)&lt;$L$2,N(对接源_01水果!$B125)&gt;$L$3),0,1))</f>
        <v>0</v>
      </c>
      <c r="M125">
        <f>IF(OR($M$1="",对接源_01水果!$C125="",对接源_01水果!$C125&lt;&gt;$M$1,对接源_01水果!$B125=""),0,IF(OR(N(对接源_01水果!$B125)&lt;$M$2,N(对接源_01水果!$B125)&gt;$M$3),0,1))</f>
        <v>0</v>
      </c>
      <c r="N125">
        <f>IF(OR($N$1="",对接源_01水果!$C125="",对接源_01水果!$C125&lt;&gt;$N$1,对接源_01水果!$B125=""),0,IF(OR(N(对接源_01水果!$B125)&lt;$N$2,N(对接源_01水果!$B125)&gt;$N$3),0,1))</f>
        <v>0</v>
      </c>
      <c r="P125">
        <f>IF(AND($K125=1,AND(对接源_01水果!$X125="公司筐",N(对接源_01水果!$T125)&lt;&gt;0)),1,0)</f>
        <v>0</v>
      </c>
      <c r="Q125">
        <f>N(Q124)+$P125</f>
        <v>0</v>
      </c>
      <c r="R125">
        <f>IF(AND($K125=1,AND(对接源_01水果!$X125="公司筐",N(对接源_01水果!$U125)&lt;&gt;0)),1,0)</f>
        <v>0</v>
      </c>
      <c r="S125">
        <f>N(S124)+$R125</f>
        <v>0</v>
      </c>
      <c r="T125">
        <f>IF(AND($K125=1,AND(对接源_01水果!$X125="公司筐",N(对接源_01水果!$V125)&lt;&gt;0)),1,0)</f>
        <v>0</v>
      </c>
      <c r="U125">
        <f>N(U124)+$T125</f>
        <v>0</v>
      </c>
      <c r="V125">
        <f>IF(AND($L125=1,AND(对接源_01水果!$X125="自备筐",N(对接源_01水果!$V125)&lt;&gt;0)),1,0)</f>
        <v>0</v>
      </c>
      <c r="W125">
        <f>N(W124)+$V125</f>
        <v>0</v>
      </c>
      <c r="X125">
        <f>IF(AND($L125=1,AND(对接源_01水果!$X125="自备筐",N(对接源_01水果!$T125)&lt;&gt;0)),1,0)</f>
        <v>0</v>
      </c>
      <c r="Y125">
        <f>N(Y124)+$X125</f>
        <v>0</v>
      </c>
      <c r="Z125">
        <f>IF(AND($M125=1,对接源_01水果!$D125="原料入库"),1,0)</f>
        <v>0</v>
      </c>
      <c r="AA125">
        <f>N(AA124)+$Z125</f>
        <v>0</v>
      </c>
      <c r="AB125">
        <f>IF(AND($M125=1,LEFT(对接源_01水果!$D125,4)="原料出库"),1,0)</f>
        <v>0</v>
      </c>
      <c r="AC125">
        <f>N(AC124)+$AB125</f>
        <v>0</v>
      </c>
      <c r="AD125">
        <f>IF(AND($M125=1,LEFT(对接源_01水果!$D125,4)="成品出库"),1,0)</f>
        <v>0</v>
      </c>
      <c r="AE125">
        <f>N(AE124)+$AD125</f>
        <v>0</v>
      </c>
      <c r="AF125">
        <f>IF(AND($N125=1,AND(LEFT(对接源_01水果!$D125,4)="包装物料",N(对接源_01水果!$K125)&lt;&gt;0)),1,0)</f>
        <v>0</v>
      </c>
      <c r="AG125">
        <f>N(AG124)+$AF125</f>
        <v>0</v>
      </c>
      <c r="AH125">
        <f>IF(AND($N125=1,AND(对接源_01水果!$D125="周转筐－销售出库",N(对接源_01水果!$K125)&lt;&gt;0)),1,0)</f>
        <v>0</v>
      </c>
      <c r="AI125">
        <f>N(AI124)+$AH125</f>
        <v>0</v>
      </c>
      <c r="AJ125" s="7" t="n"/>
      <c r="AL125">
        <f>IF(OR($AL$1="",对接源_01水果!$Y125="",对接源_01水果!$Y125&lt;&gt;$AL$1,对接源_01水果!$B125="",N(对接源_01水果!$AJ125)&lt;=0),0,IF(OR(N(对接源_01水果!$B125)&lt;$AL$2,N(对接源_01水果!$B125)&gt;$AL$3),0,1))</f>
        <v>0</v>
      </c>
      <c r="AM125">
        <f>N(AM124)+$AL125</f>
        <v>0</v>
      </c>
      <c r="AN125">
        <f>IF(对接源_01水果!$AC125="","",对接源_01水果!$AC125)</f>
      </c>
      <c r="AO125">
        <f>IF(AN125="",0,IF(MATCH(AN125,$AN$4:$AN$1203,0)=ROW()-3,1,0))</f>
        <v>0</v>
      </c>
      <c r="AP125">
        <f>N(AP124)+$AO125</f>
        <v>0</v>
      </c>
      <c r="AQ125">
        <f>IFERROR(INDEX($AN$4:$AN$1203,MATCH(ROW()-3,$AP$4:$AP$1203,0)),"")</f>
      </c>
      <c r="AR125">
        <f>IF(OR($AF125=1,$AH125=1),1,0)</f>
        <v>0</v>
      </c>
      <c r="AS125">
        <f>N(AS124)+$AR125</f>
        <v>0</v>
      </c>
    </row>
    <row r="126" ht="14.25" customHeight="1" s="127">
      <c r="A126" t="str">
        <f>IF(对接源_01水果!$C126="","",对接源_01水果!$C126)</f>
        <v>聂新平</v>
      </c>
      <c r="B126">
        <f>IF(A126="",0,IF(MATCH(A126,$A$4:$A$2403,0)=ROW()-3,1,0))</f>
        <v>0</v>
      </c>
      <c r="C126">
        <f>N(C125)+B126</f>
        <v>4</v>
      </c>
      <c r="E126">
        <f>IFERROR(INDEX($A$4:$A$2403,MATCH(ROW()-3,$C$4:$C$2403,0)),"")</f>
      </c>
      <c r="K126">
        <f>IF(OR($K$1="",对接源_01水果!$C126="",对接源_01水果!$C126&lt;&gt;$K$1,对接源_01水果!$B126=""),0,IF(OR(N(对接源_01水果!$B126)&lt;$K$2,N(对接源_01水果!$B126)&gt;$K$3),0,1))</f>
        <v>0</v>
      </c>
      <c r="L126">
        <f>IF(OR($L$1="",对接源_01水果!$C126="",对接源_01水果!$C126&lt;&gt;$L$1,对接源_01水果!$B126=""),0,IF(OR(N(对接源_01水果!$B126)&lt;$L$2,N(对接源_01水果!$B126)&gt;$L$3),0,1))</f>
        <v>0</v>
      </c>
      <c r="M126">
        <f>IF(OR($M$1="",对接源_01水果!$C126="",对接源_01水果!$C126&lt;&gt;$M$1,对接源_01水果!$B126=""),0,IF(OR(N(对接源_01水果!$B126)&lt;$M$2,N(对接源_01水果!$B126)&gt;$M$3),0,1))</f>
        <v>0</v>
      </c>
      <c r="N126">
        <f>IF(OR($N$1="",对接源_01水果!$C126="",对接源_01水果!$C126&lt;&gt;$N$1,对接源_01水果!$B126=""),0,IF(OR(N(对接源_01水果!$B126)&lt;$N$2,N(对接源_01水果!$B126)&gt;$N$3),0,1))</f>
        <v>0</v>
      </c>
      <c r="P126">
        <f>IF(AND($K126=1,AND(对接源_01水果!$X126="公司筐",N(对接源_01水果!$T126)&lt;&gt;0)),1,0)</f>
        <v>0</v>
      </c>
      <c r="Q126">
        <f>N(Q125)+$P126</f>
        <v>0</v>
      </c>
      <c r="R126">
        <f>IF(AND($K126=1,AND(对接源_01水果!$X126="公司筐",N(对接源_01水果!$U126)&lt;&gt;0)),1,0)</f>
        <v>0</v>
      </c>
      <c r="S126">
        <f>N(S125)+$R126</f>
        <v>0</v>
      </c>
      <c r="T126">
        <f>IF(AND($K126=1,AND(对接源_01水果!$X126="公司筐",N(对接源_01水果!$V126)&lt;&gt;0)),1,0)</f>
        <v>0</v>
      </c>
      <c r="U126">
        <f>N(U125)+$T126</f>
        <v>0</v>
      </c>
      <c r="V126">
        <f>IF(AND($L126=1,AND(对接源_01水果!$X126="自备筐",N(对接源_01水果!$V126)&lt;&gt;0)),1,0)</f>
        <v>0</v>
      </c>
      <c r="W126">
        <f>N(W125)+$V126</f>
        <v>0</v>
      </c>
      <c r="X126">
        <f>IF(AND($L126=1,AND(对接源_01水果!$X126="自备筐",N(对接源_01水果!$T126)&lt;&gt;0)),1,0)</f>
        <v>0</v>
      </c>
      <c r="Y126">
        <f>N(Y125)+$X126</f>
        <v>0</v>
      </c>
      <c r="Z126">
        <f>IF(AND($M126=1,对接源_01水果!$D126="原料入库"),1,0)</f>
        <v>0</v>
      </c>
      <c r="AA126">
        <f>N(AA125)+$Z126</f>
        <v>0</v>
      </c>
      <c r="AB126">
        <f>IF(AND($M126=1,LEFT(对接源_01水果!$D126,4)="原料出库"),1,0)</f>
        <v>0</v>
      </c>
      <c r="AC126">
        <f>N(AC125)+$AB126</f>
        <v>0</v>
      </c>
      <c r="AD126">
        <f>IF(AND($M126=1,LEFT(对接源_01水果!$D126,4)="成品出库"),1,0)</f>
        <v>0</v>
      </c>
      <c r="AE126">
        <f>N(AE125)+$AD126</f>
        <v>0</v>
      </c>
      <c r="AF126">
        <f>IF(AND($N126=1,AND(LEFT(对接源_01水果!$D126,4)="包装物料",N(对接源_01水果!$K126)&lt;&gt;0)),1,0)</f>
        <v>0</v>
      </c>
      <c r="AG126">
        <f>N(AG125)+$AF126</f>
        <v>0</v>
      </c>
      <c r="AH126">
        <f>IF(AND($N126=1,AND(对接源_01水果!$D126="周转筐－销售出库",N(对接源_01水果!$K126)&lt;&gt;0)),1,0)</f>
        <v>0</v>
      </c>
      <c r="AI126">
        <f>N(AI125)+$AH126</f>
        <v>0</v>
      </c>
      <c r="AJ126" s="7" t="n"/>
      <c r="AL126">
        <f>IF(OR($AL$1="",对接源_01水果!$Y126="",对接源_01水果!$Y126&lt;&gt;$AL$1,对接源_01水果!$B126="",N(对接源_01水果!$AJ126)&lt;=0),0,IF(OR(N(对接源_01水果!$B126)&lt;$AL$2,N(对接源_01水果!$B126)&gt;$AL$3),0,1))</f>
        <v>0</v>
      </c>
      <c r="AM126">
        <f>N(AM125)+$AL126</f>
        <v>0</v>
      </c>
      <c r="AN126">
        <f>IF(对接源_01水果!$AC126="","",对接源_01水果!$AC126)</f>
      </c>
      <c r="AO126">
        <f>IF(AN126="",0,IF(MATCH(AN126,$AN$4:$AN$1203,0)=ROW()-3,1,0))</f>
        <v>0</v>
      </c>
      <c r="AP126">
        <f>N(AP125)+$AO126</f>
        <v>0</v>
      </c>
      <c r="AQ126">
        <f>IFERROR(INDEX($AN$4:$AN$1203,MATCH(ROW()-3,$AP$4:$AP$1203,0)),"")</f>
      </c>
      <c r="AR126">
        <f>IF(OR($AF126=1,$AH126=1),1,0)</f>
        <v>0</v>
      </c>
      <c r="AS126">
        <f>N(AS125)+$AR126</f>
        <v>0</v>
      </c>
    </row>
    <row r="127" ht="14.25" customHeight="1" s="127">
      <c r="A127" t="str">
        <f>IF(对接源_01水果!$C127="","",对接源_01水果!$C127)</f>
        <v>聂新平</v>
      </c>
      <c r="B127">
        <f>IF(A127="",0,IF(MATCH(A127,$A$4:$A$2403,0)=ROW()-3,1,0))</f>
        <v>0</v>
      </c>
      <c r="C127">
        <f>N(C126)+B127</f>
        <v>4</v>
      </c>
      <c r="E127">
        <f>IFERROR(INDEX($A$4:$A$2403,MATCH(ROW()-3,$C$4:$C$2403,0)),"")</f>
      </c>
      <c r="K127">
        <f>IF(OR($K$1="",对接源_01水果!$C127="",对接源_01水果!$C127&lt;&gt;$K$1,对接源_01水果!$B127=""),0,IF(OR(N(对接源_01水果!$B127)&lt;$K$2,N(对接源_01水果!$B127)&gt;$K$3),0,1))</f>
        <v>0</v>
      </c>
      <c r="L127">
        <f>IF(OR($L$1="",对接源_01水果!$C127="",对接源_01水果!$C127&lt;&gt;$L$1,对接源_01水果!$B127=""),0,IF(OR(N(对接源_01水果!$B127)&lt;$L$2,N(对接源_01水果!$B127)&gt;$L$3),0,1))</f>
        <v>0</v>
      </c>
      <c r="M127">
        <f>IF(OR($M$1="",对接源_01水果!$C127="",对接源_01水果!$C127&lt;&gt;$M$1,对接源_01水果!$B127=""),0,IF(OR(N(对接源_01水果!$B127)&lt;$M$2,N(对接源_01水果!$B127)&gt;$M$3),0,1))</f>
        <v>0</v>
      </c>
      <c r="N127">
        <f>IF(OR($N$1="",对接源_01水果!$C127="",对接源_01水果!$C127&lt;&gt;$N$1,对接源_01水果!$B127=""),0,IF(OR(N(对接源_01水果!$B127)&lt;$N$2,N(对接源_01水果!$B127)&gt;$N$3),0,1))</f>
        <v>0</v>
      </c>
      <c r="P127">
        <f>IF(AND($K127=1,AND(对接源_01水果!$X127="公司筐",N(对接源_01水果!$T127)&lt;&gt;0)),1,0)</f>
        <v>0</v>
      </c>
      <c r="Q127">
        <f>N(Q126)+$P127</f>
        <v>0</v>
      </c>
      <c r="R127">
        <f>IF(AND($K127=1,AND(对接源_01水果!$X127="公司筐",N(对接源_01水果!$U127)&lt;&gt;0)),1,0)</f>
        <v>0</v>
      </c>
      <c r="S127">
        <f>N(S126)+$R127</f>
        <v>0</v>
      </c>
      <c r="T127">
        <f>IF(AND($K127=1,AND(对接源_01水果!$X127="公司筐",N(对接源_01水果!$V127)&lt;&gt;0)),1,0)</f>
        <v>0</v>
      </c>
      <c r="U127">
        <f>N(U126)+$T127</f>
        <v>0</v>
      </c>
      <c r="V127">
        <f>IF(AND($L127=1,AND(对接源_01水果!$X127="自备筐",N(对接源_01水果!$V127)&lt;&gt;0)),1,0)</f>
        <v>0</v>
      </c>
      <c r="W127">
        <f>N(W126)+$V127</f>
        <v>0</v>
      </c>
      <c r="X127">
        <f>IF(AND($L127=1,AND(对接源_01水果!$X127="自备筐",N(对接源_01水果!$T127)&lt;&gt;0)),1,0)</f>
        <v>0</v>
      </c>
      <c r="Y127">
        <f>N(Y126)+$X127</f>
        <v>0</v>
      </c>
      <c r="Z127">
        <f>IF(AND($M127=1,对接源_01水果!$D127="原料入库"),1,0)</f>
        <v>0</v>
      </c>
      <c r="AA127">
        <f>N(AA126)+$Z127</f>
        <v>0</v>
      </c>
      <c r="AB127">
        <f>IF(AND($M127=1,LEFT(对接源_01水果!$D127,4)="原料出库"),1,0)</f>
        <v>0</v>
      </c>
      <c r="AC127">
        <f>N(AC126)+$AB127</f>
        <v>0</v>
      </c>
      <c r="AD127">
        <f>IF(AND($M127=1,LEFT(对接源_01水果!$D127,4)="成品出库"),1,0)</f>
        <v>0</v>
      </c>
      <c r="AE127">
        <f>N(AE126)+$AD127</f>
        <v>0</v>
      </c>
      <c r="AF127">
        <f>IF(AND($N127=1,AND(LEFT(对接源_01水果!$D127,4)="包装物料",N(对接源_01水果!$K127)&lt;&gt;0)),1,0)</f>
        <v>0</v>
      </c>
      <c r="AG127">
        <f>N(AG126)+$AF127</f>
        <v>0</v>
      </c>
      <c r="AH127">
        <f>IF(AND($N127=1,AND(对接源_01水果!$D127="周转筐－销售出库",N(对接源_01水果!$K127)&lt;&gt;0)),1,0)</f>
        <v>0</v>
      </c>
      <c r="AI127">
        <f>N(AI126)+$AH127</f>
        <v>0</v>
      </c>
      <c r="AJ127" s="7" t="n"/>
      <c r="AL127">
        <f>IF(OR($AL$1="",对接源_01水果!$Y127="",对接源_01水果!$Y127&lt;&gt;$AL$1,对接源_01水果!$B127="",N(对接源_01水果!$AJ127)&lt;=0),0,IF(OR(N(对接源_01水果!$B127)&lt;$AL$2,N(对接源_01水果!$B127)&gt;$AL$3),0,1))</f>
        <v>0</v>
      </c>
      <c r="AM127">
        <f>N(AM126)+$AL127</f>
        <v>0</v>
      </c>
      <c r="AN127">
        <f>IF(对接源_01水果!$AC127="","",对接源_01水果!$AC127)</f>
      </c>
      <c r="AO127">
        <f>IF(AN127="",0,IF(MATCH(AN127,$AN$4:$AN$1203,0)=ROW()-3,1,0))</f>
        <v>0</v>
      </c>
      <c r="AP127">
        <f>N(AP126)+$AO127</f>
        <v>0</v>
      </c>
      <c r="AQ127">
        <f>IFERROR(INDEX($AN$4:$AN$1203,MATCH(ROW()-3,$AP$4:$AP$1203,0)),"")</f>
      </c>
      <c r="AR127">
        <f>IF(OR($AF127=1,$AH127=1),1,0)</f>
        <v>0</v>
      </c>
      <c r="AS127">
        <f>N(AS126)+$AR127</f>
        <v>0</v>
      </c>
    </row>
    <row r="128" ht="14.25" customHeight="1" s="127">
      <c r="A128" t="str">
        <f>IF(对接源_01水果!$C128="","",对接源_01水果!$C128)</f>
        <v>聂新平</v>
      </c>
      <c r="B128">
        <f>IF(A128="",0,IF(MATCH(A128,$A$4:$A$2403,0)=ROW()-3,1,0))</f>
        <v>0</v>
      </c>
      <c r="C128">
        <f>N(C127)+B128</f>
        <v>4</v>
      </c>
      <c r="E128">
        <f>IFERROR(INDEX($A$4:$A$2403,MATCH(ROW()-3,$C$4:$C$2403,0)),"")</f>
      </c>
      <c r="K128">
        <f>IF(OR($K$1="",对接源_01水果!$C128="",对接源_01水果!$C128&lt;&gt;$K$1,对接源_01水果!$B128=""),0,IF(OR(N(对接源_01水果!$B128)&lt;$K$2,N(对接源_01水果!$B128)&gt;$K$3),0,1))</f>
        <v>0</v>
      </c>
      <c r="L128">
        <f>IF(OR($L$1="",对接源_01水果!$C128="",对接源_01水果!$C128&lt;&gt;$L$1,对接源_01水果!$B128=""),0,IF(OR(N(对接源_01水果!$B128)&lt;$L$2,N(对接源_01水果!$B128)&gt;$L$3),0,1))</f>
        <v>0</v>
      </c>
      <c r="M128">
        <f>IF(OR($M$1="",对接源_01水果!$C128="",对接源_01水果!$C128&lt;&gt;$M$1,对接源_01水果!$B128=""),0,IF(OR(N(对接源_01水果!$B128)&lt;$M$2,N(对接源_01水果!$B128)&gt;$M$3),0,1))</f>
        <v>0</v>
      </c>
      <c r="N128">
        <f>IF(OR($N$1="",对接源_01水果!$C128="",对接源_01水果!$C128&lt;&gt;$N$1,对接源_01水果!$B128=""),0,IF(OR(N(对接源_01水果!$B128)&lt;$N$2,N(对接源_01水果!$B128)&gt;$N$3),0,1))</f>
        <v>0</v>
      </c>
      <c r="P128">
        <f>IF(AND($K128=1,AND(对接源_01水果!$X128="公司筐",N(对接源_01水果!$T128)&lt;&gt;0)),1,0)</f>
        <v>0</v>
      </c>
      <c r="Q128">
        <f>N(Q127)+$P128</f>
        <v>0</v>
      </c>
      <c r="R128">
        <f>IF(AND($K128=1,AND(对接源_01水果!$X128="公司筐",N(对接源_01水果!$U128)&lt;&gt;0)),1,0)</f>
        <v>0</v>
      </c>
      <c r="S128">
        <f>N(S127)+$R128</f>
        <v>0</v>
      </c>
      <c r="T128">
        <f>IF(AND($K128=1,AND(对接源_01水果!$X128="公司筐",N(对接源_01水果!$V128)&lt;&gt;0)),1,0)</f>
        <v>0</v>
      </c>
      <c r="U128">
        <f>N(U127)+$T128</f>
        <v>0</v>
      </c>
      <c r="V128">
        <f>IF(AND($L128=1,AND(对接源_01水果!$X128="自备筐",N(对接源_01水果!$V128)&lt;&gt;0)),1,0)</f>
        <v>0</v>
      </c>
      <c r="W128">
        <f>N(W127)+$V128</f>
        <v>0</v>
      </c>
      <c r="X128">
        <f>IF(AND($L128=1,AND(对接源_01水果!$X128="自备筐",N(对接源_01水果!$T128)&lt;&gt;0)),1,0)</f>
        <v>0</v>
      </c>
      <c r="Y128">
        <f>N(Y127)+$X128</f>
        <v>0</v>
      </c>
      <c r="Z128">
        <f>IF(AND($M128=1,对接源_01水果!$D128="原料入库"),1,0)</f>
        <v>0</v>
      </c>
      <c r="AA128">
        <f>N(AA127)+$Z128</f>
        <v>0</v>
      </c>
      <c r="AB128">
        <f>IF(AND($M128=1,LEFT(对接源_01水果!$D128,4)="原料出库"),1,0)</f>
        <v>0</v>
      </c>
      <c r="AC128">
        <f>N(AC127)+$AB128</f>
        <v>0</v>
      </c>
      <c r="AD128">
        <f>IF(AND($M128=1,LEFT(对接源_01水果!$D128,4)="成品出库"),1,0)</f>
        <v>0</v>
      </c>
      <c r="AE128">
        <f>N(AE127)+$AD128</f>
        <v>0</v>
      </c>
      <c r="AF128">
        <f>IF(AND($N128=1,AND(LEFT(对接源_01水果!$D128,4)="包装物料",N(对接源_01水果!$K128)&lt;&gt;0)),1,0)</f>
        <v>0</v>
      </c>
      <c r="AG128">
        <f>N(AG127)+$AF128</f>
        <v>0</v>
      </c>
      <c r="AH128">
        <f>IF(AND($N128=1,AND(对接源_01水果!$D128="周转筐－销售出库",N(对接源_01水果!$K128)&lt;&gt;0)),1,0)</f>
        <v>0</v>
      </c>
      <c r="AI128">
        <f>N(AI127)+$AH128</f>
        <v>0</v>
      </c>
      <c r="AJ128" s="7" t="n"/>
      <c r="AL128">
        <f>IF(OR($AL$1="",对接源_01水果!$Y128="",对接源_01水果!$Y128&lt;&gt;$AL$1,对接源_01水果!$B128="",N(对接源_01水果!$AJ128)&lt;=0),0,IF(OR(N(对接源_01水果!$B128)&lt;$AL$2,N(对接源_01水果!$B128)&gt;$AL$3),0,1))</f>
        <v>0</v>
      </c>
      <c r="AM128">
        <f>N(AM127)+$AL128</f>
        <v>0</v>
      </c>
      <c r="AN128">
        <f>IF(对接源_01水果!$AC128="","",对接源_01水果!$AC128)</f>
      </c>
      <c r="AO128">
        <f>IF(AN128="",0,IF(MATCH(AN128,$AN$4:$AN$1203,0)=ROW()-3,1,0))</f>
        <v>0</v>
      </c>
      <c r="AP128">
        <f>N(AP127)+$AO128</f>
        <v>0</v>
      </c>
      <c r="AQ128">
        <f>IFERROR(INDEX($AN$4:$AN$1203,MATCH(ROW()-3,$AP$4:$AP$1203,0)),"")</f>
      </c>
      <c r="AR128">
        <f>IF(OR($AF128=1,$AH128=1),1,0)</f>
        <v>0</v>
      </c>
      <c r="AS128">
        <f>N(AS127)+$AR128</f>
        <v>0</v>
      </c>
    </row>
    <row r="129" ht="14.25" customHeight="1" s="127">
      <c r="A129" t="str">
        <f>IF(对接源_01水果!$C129="","",对接源_01水果!$C129)</f>
        <v>聂新平</v>
      </c>
      <c r="B129">
        <f>IF(A129="",0,IF(MATCH(A129,$A$4:$A$2403,0)=ROW()-3,1,0))</f>
        <v>0</v>
      </c>
      <c r="C129">
        <f>N(C128)+B129</f>
        <v>4</v>
      </c>
      <c r="E129">
        <f>IFERROR(INDEX($A$4:$A$2403,MATCH(ROW()-3,$C$4:$C$2403,0)),"")</f>
      </c>
      <c r="K129">
        <f>IF(OR($K$1="",对接源_01水果!$C129="",对接源_01水果!$C129&lt;&gt;$K$1,对接源_01水果!$B129=""),0,IF(OR(N(对接源_01水果!$B129)&lt;$K$2,N(对接源_01水果!$B129)&gt;$K$3),0,1))</f>
        <v>0</v>
      </c>
      <c r="L129">
        <f>IF(OR($L$1="",对接源_01水果!$C129="",对接源_01水果!$C129&lt;&gt;$L$1,对接源_01水果!$B129=""),0,IF(OR(N(对接源_01水果!$B129)&lt;$L$2,N(对接源_01水果!$B129)&gt;$L$3),0,1))</f>
        <v>0</v>
      </c>
      <c r="M129">
        <f>IF(OR($M$1="",对接源_01水果!$C129="",对接源_01水果!$C129&lt;&gt;$M$1,对接源_01水果!$B129=""),0,IF(OR(N(对接源_01水果!$B129)&lt;$M$2,N(对接源_01水果!$B129)&gt;$M$3),0,1))</f>
        <v>0</v>
      </c>
      <c r="N129">
        <f>IF(OR($N$1="",对接源_01水果!$C129="",对接源_01水果!$C129&lt;&gt;$N$1,对接源_01水果!$B129=""),0,IF(OR(N(对接源_01水果!$B129)&lt;$N$2,N(对接源_01水果!$B129)&gt;$N$3),0,1))</f>
        <v>0</v>
      </c>
      <c r="P129">
        <f>IF(AND($K129=1,AND(对接源_01水果!$X129="公司筐",N(对接源_01水果!$T129)&lt;&gt;0)),1,0)</f>
        <v>0</v>
      </c>
      <c r="Q129">
        <f>N(Q128)+$P129</f>
        <v>0</v>
      </c>
      <c r="R129">
        <f>IF(AND($K129=1,AND(对接源_01水果!$X129="公司筐",N(对接源_01水果!$U129)&lt;&gt;0)),1,0)</f>
        <v>0</v>
      </c>
      <c r="S129">
        <f>N(S128)+$R129</f>
        <v>0</v>
      </c>
      <c r="T129">
        <f>IF(AND($K129=1,AND(对接源_01水果!$X129="公司筐",N(对接源_01水果!$V129)&lt;&gt;0)),1,0)</f>
        <v>0</v>
      </c>
      <c r="U129">
        <f>N(U128)+$T129</f>
        <v>0</v>
      </c>
      <c r="V129">
        <f>IF(AND($L129=1,AND(对接源_01水果!$X129="自备筐",N(对接源_01水果!$V129)&lt;&gt;0)),1,0)</f>
        <v>0</v>
      </c>
      <c r="W129">
        <f>N(W128)+$V129</f>
        <v>0</v>
      </c>
      <c r="X129">
        <f>IF(AND($L129=1,AND(对接源_01水果!$X129="自备筐",N(对接源_01水果!$T129)&lt;&gt;0)),1,0)</f>
        <v>0</v>
      </c>
      <c r="Y129">
        <f>N(Y128)+$X129</f>
        <v>0</v>
      </c>
      <c r="Z129">
        <f>IF(AND($M129=1,对接源_01水果!$D129="原料入库"),1,0)</f>
        <v>0</v>
      </c>
      <c r="AA129">
        <f>N(AA128)+$Z129</f>
        <v>0</v>
      </c>
      <c r="AB129">
        <f>IF(AND($M129=1,LEFT(对接源_01水果!$D129,4)="原料出库"),1,0)</f>
        <v>0</v>
      </c>
      <c r="AC129">
        <f>N(AC128)+$AB129</f>
        <v>0</v>
      </c>
      <c r="AD129">
        <f>IF(AND($M129=1,LEFT(对接源_01水果!$D129,4)="成品出库"),1,0)</f>
        <v>0</v>
      </c>
      <c r="AE129">
        <f>N(AE128)+$AD129</f>
        <v>0</v>
      </c>
      <c r="AF129">
        <f>IF(AND($N129=1,AND(LEFT(对接源_01水果!$D129,4)="包装物料",N(对接源_01水果!$K129)&lt;&gt;0)),1,0)</f>
        <v>0</v>
      </c>
      <c r="AG129">
        <f>N(AG128)+$AF129</f>
        <v>0</v>
      </c>
      <c r="AH129">
        <f>IF(AND($N129=1,AND(对接源_01水果!$D129="周转筐－销售出库",N(对接源_01水果!$K129)&lt;&gt;0)),1,0)</f>
        <v>0</v>
      </c>
      <c r="AI129">
        <f>N(AI128)+$AH129</f>
        <v>0</v>
      </c>
      <c r="AJ129" s="7" t="n"/>
      <c r="AL129">
        <f>IF(OR($AL$1="",对接源_01水果!$Y129="",对接源_01水果!$Y129&lt;&gt;$AL$1,对接源_01水果!$B129="",N(对接源_01水果!$AJ129)&lt;=0),0,IF(OR(N(对接源_01水果!$B129)&lt;$AL$2,N(对接源_01水果!$B129)&gt;$AL$3),0,1))</f>
        <v>0</v>
      </c>
      <c r="AM129">
        <f>N(AM128)+$AL129</f>
        <v>0</v>
      </c>
      <c r="AN129">
        <f>IF(对接源_01水果!$AC129="","",对接源_01水果!$AC129)</f>
      </c>
      <c r="AO129">
        <f>IF(AN129="",0,IF(MATCH(AN129,$AN$4:$AN$1203,0)=ROW()-3,1,0))</f>
        <v>0</v>
      </c>
      <c r="AP129">
        <f>N(AP128)+$AO129</f>
        <v>0</v>
      </c>
      <c r="AQ129">
        <f>IFERROR(INDEX($AN$4:$AN$1203,MATCH(ROW()-3,$AP$4:$AP$1203,0)),"")</f>
      </c>
      <c r="AR129">
        <f>IF(OR($AF129=1,$AH129=1),1,0)</f>
        <v>0</v>
      </c>
      <c r="AS129">
        <f>N(AS128)+$AR129</f>
        <v>0</v>
      </c>
    </row>
    <row r="130" ht="14.25" customHeight="1" s="127">
      <c r="A130" t="str">
        <f>IF(对接源_01水果!$C130="","",对接源_01水果!$C130)</f>
        <v>聂新平</v>
      </c>
      <c r="B130">
        <f>IF(A130="",0,IF(MATCH(A130,$A$4:$A$2403,0)=ROW()-3,1,0))</f>
        <v>0</v>
      </c>
      <c r="C130">
        <f>N(C129)+B130</f>
        <v>4</v>
      </c>
      <c r="E130">
        <f>IFERROR(INDEX($A$4:$A$2403,MATCH(ROW()-3,$C$4:$C$2403,0)),"")</f>
      </c>
      <c r="K130">
        <f>IF(OR($K$1="",对接源_01水果!$C130="",对接源_01水果!$C130&lt;&gt;$K$1,对接源_01水果!$B130=""),0,IF(OR(N(对接源_01水果!$B130)&lt;$K$2,N(对接源_01水果!$B130)&gt;$K$3),0,1))</f>
        <v>0</v>
      </c>
      <c r="L130">
        <f>IF(OR($L$1="",对接源_01水果!$C130="",对接源_01水果!$C130&lt;&gt;$L$1,对接源_01水果!$B130=""),0,IF(OR(N(对接源_01水果!$B130)&lt;$L$2,N(对接源_01水果!$B130)&gt;$L$3),0,1))</f>
        <v>0</v>
      </c>
      <c r="M130">
        <f>IF(OR($M$1="",对接源_01水果!$C130="",对接源_01水果!$C130&lt;&gt;$M$1,对接源_01水果!$B130=""),0,IF(OR(N(对接源_01水果!$B130)&lt;$M$2,N(对接源_01水果!$B130)&gt;$M$3),0,1))</f>
        <v>0</v>
      </c>
      <c r="N130">
        <f>IF(OR($N$1="",对接源_01水果!$C130="",对接源_01水果!$C130&lt;&gt;$N$1,对接源_01水果!$B130=""),0,IF(OR(N(对接源_01水果!$B130)&lt;$N$2,N(对接源_01水果!$B130)&gt;$N$3),0,1))</f>
        <v>0</v>
      </c>
      <c r="P130">
        <f>IF(AND($K130=1,AND(对接源_01水果!$X130="公司筐",N(对接源_01水果!$T130)&lt;&gt;0)),1,0)</f>
        <v>0</v>
      </c>
      <c r="Q130">
        <f>N(Q129)+$P130</f>
        <v>0</v>
      </c>
      <c r="R130">
        <f>IF(AND($K130=1,AND(对接源_01水果!$X130="公司筐",N(对接源_01水果!$U130)&lt;&gt;0)),1,0)</f>
        <v>0</v>
      </c>
      <c r="S130">
        <f>N(S129)+$R130</f>
        <v>0</v>
      </c>
      <c r="T130">
        <f>IF(AND($K130=1,AND(对接源_01水果!$X130="公司筐",N(对接源_01水果!$V130)&lt;&gt;0)),1,0)</f>
        <v>0</v>
      </c>
      <c r="U130">
        <f>N(U129)+$T130</f>
        <v>0</v>
      </c>
      <c r="V130">
        <f>IF(AND($L130=1,AND(对接源_01水果!$X130="自备筐",N(对接源_01水果!$V130)&lt;&gt;0)),1,0)</f>
        <v>0</v>
      </c>
      <c r="W130">
        <f>N(W129)+$V130</f>
        <v>0</v>
      </c>
      <c r="X130">
        <f>IF(AND($L130=1,AND(对接源_01水果!$X130="自备筐",N(对接源_01水果!$T130)&lt;&gt;0)),1,0)</f>
        <v>0</v>
      </c>
      <c r="Y130">
        <f>N(Y129)+$X130</f>
        <v>0</v>
      </c>
      <c r="Z130">
        <f>IF(AND($M130=1,对接源_01水果!$D130="原料入库"),1,0)</f>
        <v>0</v>
      </c>
      <c r="AA130">
        <f>N(AA129)+$Z130</f>
        <v>0</v>
      </c>
      <c r="AB130">
        <f>IF(AND($M130=1,LEFT(对接源_01水果!$D130,4)="原料出库"),1,0)</f>
        <v>0</v>
      </c>
      <c r="AC130">
        <f>N(AC129)+$AB130</f>
        <v>0</v>
      </c>
      <c r="AD130">
        <f>IF(AND($M130=1,LEFT(对接源_01水果!$D130,4)="成品出库"),1,0)</f>
        <v>0</v>
      </c>
      <c r="AE130">
        <f>N(AE129)+$AD130</f>
        <v>0</v>
      </c>
      <c r="AF130">
        <f>IF(AND($N130=1,AND(LEFT(对接源_01水果!$D130,4)="包装物料",N(对接源_01水果!$K130)&lt;&gt;0)),1,0)</f>
        <v>0</v>
      </c>
      <c r="AG130">
        <f>N(AG129)+$AF130</f>
        <v>0</v>
      </c>
      <c r="AH130">
        <f>IF(AND($N130=1,AND(对接源_01水果!$D130="周转筐－销售出库",N(对接源_01水果!$K130)&lt;&gt;0)),1,0)</f>
        <v>0</v>
      </c>
      <c r="AI130">
        <f>N(AI129)+$AH130</f>
        <v>0</v>
      </c>
      <c r="AJ130" s="7" t="n"/>
      <c r="AL130">
        <f>IF(OR($AL$1="",对接源_01水果!$Y130="",对接源_01水果!$Y130&lt;&gt;$AL$1,对接源_01水果!$B130="",N(对接源_01水果!$AJ130)&lt;=0),0,IF(OR(N(对接源_01水果!$B130)&lt;$AL$2,N(对接源_01水果!$B130)&gt;$AL$3),0,1))</f>
        <v>0</v>
      </c>
      <c r="AM130">
        <f>N(AM129)+$AL130</f>
        <v>0</v>
      </c>
      <c r="AN130">
        <f>IF(对接源_01水果!$AC130="","",对接源_01水果!$AC130)</f>
      </c>
      <c r="AO130">
        <f>IF(AN130="",0,IF(MATCH(AN130,$AN$4:$AN$1203,0)=ROW()-3,1,0))</f>
        <v>0</v>
      </c>
      <c r="AP130">
        <f>N(AP129)+$AO130</f>
        <v>0</v>
      </c>
      <c r="AQ130">
        <f>IFERROR(INDEX($AN$4:$AN$1203,MATCH(ROW()-3,$AP$4:$AP$1203,0)),"")</f>
      </c>
      <c r="AR130">
        <f>IF(OR($AF130=1,$AH130=1),1,0)</f>
        <v>0</v>
      </c>
      <c r="AS130">
        <f>N(AS129)+$AR130</f>
        <v>0</v>
      </c>
    </row>
    <row r="131" ht="14.25" customHeight="1" s="127">
      <c r="A131" t="str">
        <f>IF(对接源_01水果!$C131="","",对接源_01水果!$C131)</f>
        <v>聂新平</v>
      </c>
      <c r="B131">
        <f>IF(A131="",0,IF(MATCH(A131,$A$4:$A$2403,0)=ROW()-3,1,0))</f>
        <v>0</v>
      </c>
      <c r="C131">
        <f>N(C130)+B131</f>
        <v>4</v>
      </c>
      <c r="E131">
        <f>IFERROR(INDEX($A$4:$A$2403,MATCH(ROW()-3,$C$4:$C$2403,0)),"")</f>
      </c>
      <c r="K131">
        <f>IF(OR($K$1="",对接源_01水果!$C131="",对接源_01水果!$C131&lt;&gt;$K$1,对接源_01水果!$B131=""),0,IF(OR(N(对接源_01水果!$B131)&lt;$K$2,N(对接源_01水果!$B131)&gt;$K$3),0,1))</f>
        <v>0</v>
      </c>
      <c r="L131">
        <f>IF(OR($L$1="",对接源_01水果!$C131="",对接源_01水果!$C131&lt;&gt;$L$1,对接源_01水果!$B131=""),0,IF(OR(N(对接源_01水果!$B131)&lt;$L$2,N(对接源_01水果!$B131)&gt;$L$3),0,1))</f>
        <v>0</v>
      </c>
      <c r="M131">
        <f>IF(OR($M$1="",对接源_01水果!$C131="",对接源_01水果!$C131&lt;&gt;$M$1,对接源_01水果!$B131=""),0,IF(OR(N(对接源_01水果!$B131)&lt;$M$2,N(对接源_01水果!$B131)&gt;$M$3),0,1))</f>
        <v>0</v>
      </c>
      <c r="N131">
        <f>IF(OR($N$1="",对接源_01水果!$C131="",对接源_01水果!$C131&lt;&gt;$N$1,对接源_01水果!$B131=""),0,IF(OR(N(对接源_01水果!$B131)&lt;$N$2,N(对接源_01水果!$B131)&gt;$N$3),0,1))</f>
        <v>0</v>
      </c>
      <c r="P131">
        <f>IF(AND($K131=1,AND(对接源_01水果!$X131="公司筐",N(对接源_01水果!$T131)&lt;&gt;0)),1,0)</f>
        <v>0</v>
      </c>
      <c r="Q131">
        <f>N(Q130)+$P131</f>
        <v>0</v>
      </c>
      <c r="R131">
        <f>IF(AND($K131=1,AND(对接源_01水果!$X131="公司筐",N(对接源_01水果!$U131)&lt;&gt;0)),1,0)</f>
        <v>0</v>
      </c>
      <c r="S131">
        <f>N(S130)+$R131</f>
        <v>0</v>
      </c>
      <c r="T131">
        <f>IF(AND($K131=1,AND(对接源_01水果!$X131="公司筐",N(对接源_01水果!$V131)&lt;&gt;0)),1,0)</f>
        <v>0</v>
      </c>
      <c r="U131">
        <f>N(U130)+$T131</f>
        <v>0</v>
      </c>
      <c r="V131">
        <f>IF(AND($L131=1,AND(对接源_01水果!$X131="自备筐",N(对接源_01水果!$V131)&lt;&gt;0)),1,0)</f>
        <v>0</v>
      </c>
      <c r="W131">
        <f>N(W130)+$V131</f>
        <v>0</v>
      </c>
      <c r="X131">
        <f>IF(AND($L131=1,AND(对接源_01水果!$X131="自备筐",N(对接源_01水果!$T131)&lt;&gt;0)),1,0)</f>
        <v>0</v>
      </c>
      <c r="Y131">
        <f>N(Y130)+$X131</f>
        <v>0</v>
      </c>
      <c r="Z131">
        <f>IF(AND($M131=1,对接源_01水果!$D131="原料入库"),1,0)</f>
        <v>0</v>
      </c>
      <c r="AA131">
        <f>N(AA130)+$Z131</f>
        <v>0</v>
      </c>
      <c r="AB131">
        <f>IF(AND($M131=1,LEFT(对接源_01水果!$D131,4)="原料出库"),1,0)</f>
        <v>0</v>
      </c>
      <c r="AC131">
        <f>N(AC130)+$AB131</f>
        <v>0</v>
      </c>
      <c r="AD131">
        <f>IF(AND($M131=1,LEFT(对接源_01水果!$D131,4)="成品出库"),1,0)</f>
        <v>0</v>
      </c>
      <c r="AE131">
        <f>N(AE130)+$AD131</f>
        <v>0</v>
      </c>
      <c r="AF131">
        <f>IF(AND($N131=1,AND(LEFT(对接源_01水果!$D131,4)="包装物料",N(对接源_01水果!$K131)&lt;&gt;0)),1,0)</f>
        <v>0</v>
      </c>
      <c r="AG131">
        <f>N(AG130)+$AF131</f>
        <v>0</v>
      </c>
      <c r="AH131">
        <f>IF(AND($N131=1,AND(对接源_01水果!$D131="周转筐－销售出库",N(对接源_01水果!$K131)&lt;&gt;0)),1,0)</f>
        <v>0</v>
      </c>
      <c r="AI131">
        <f>N(AI130)+$AH131</f>
        <v>0</v>
      </c>
      <c r="AJ131" s="7" t="n"/>
      <c r="AL131">
        <f>IF(OR($AL$1="",对接源_01水果!$Y131="",对接源_01水果!$Y131&lt;&gt;$AL$1,对接源_01水果!$B131="",N(对接源_01水果!$AJ131)&lt;=0),0,IF(OR(N(对接源_01水果!$B131)&lt;$AL$2,N(对接源_01水果!$B131)&gt;$AL$3),0,1))</f>
        <v>0</v>
      </c>
      <c r="AM131">
        <f>N(AM130)+$AL131</f>
        <v>0</v>
      </c>
      <c r="AN131">
        <f>IF(对接源_01水果!$AC131="","",对接源_01水果!$AC131)</f>
      </c>
      <c r="AO131">
        <f>IF(AN131="",0,IF(MATCH(AN131,$AN$4:$AN$1203,0)=ROW()-3,1,0))</f>
        <v>0</v>
      </c>
      <c r="AP131">
        <f>N(AP130)+$AO131</f>
        <v>0</v>
      </c>
      <c r="AQ131">
        <f>IFERROR(INDEX($AN$4:$AN$1203,MATCH(ROW()-3,$AP$4:$AP$1203,0)),"")</f>
      </c>
      <c r="AR131">
        <f>IF(OR($AF131=1,$AH131=1),1,0)</f>
        <v>0</v>
      </c>
      <c r="AS131">
        <f>N(AS130)+$AR131</f>
        <v>0</v>
      </c>
    </row>
    <row r="132" ht="14.25" customHeight="1" s="127">
      <c r="A132" t="str">
        <f>IF(对接源_01水果!$C132="","",对接源_01水果!$C132)</f>
        <v>聂新平</v>
      </c>
      <c r="B132">
        <f>IF(A132="",0,IF(MATCH(A132,$A$4:$A$2403,0)=ROW()-3,1,0))</f>
        <v>0</v>
      </c>
      <c r="C132">
        <f>N(C131)+B132</f>
        <v>4</v>
      </c>
      <c r="E132">
        <f>IFERROR(INDEX($A$4:$A$2403,MATCH(ROW()-3,$C$4:$C$2403,0)),"")</f>
      </c>
      <c r="K132">
        <f>IF(OR($K$1="",对接源_01水果!$C132="",对接源_01水果!$C132&lt;&gt;$K$1,对接源_01水果!$B132=""),0,IF(OR(N(对接源_01水果!$B132)&lt;$K$2,N(对接源_01水果!$B132)&gt;$K$3),0,1))</f>
        <v>0</v>
      </c>
      <c r="L132">
        <f>IF(OR($L$1="",对接源_01水果!$C132="",对接源_01水果!$C132&lt;&gt;$L$1,对接源_01水果!$B132=""),0,IF(OR(N(对接源_01水果!$B132)&lt;$L$2,N(对接源_01水果!$B132)&gt;$L$3),0,1))</f>
        <v>0</v>
      </c>
      <c r="M132">
        <f>IF(OR($M$1="",对接源_01水果!$C132="",对接源_01水果!$C132&lt;&gt;$M$1,对接源_01水果!$B132=""),0,IF(OR(N(对接源_01水果!$B132)&lt;$M$2,N(对接源_01水果!$B132)&gt;$M$3),0,1))</f>
        <v>0</v>
      </c>
      <c r="N132">
        <f>IF(OR($N$1="",对接源_01水果!$C132="",对接源_01水果!$C132&lt;&gt;$N$1,对接源_01水果!$B132=""),0,IF(OR(N(对接源_01水果!$B132)&lt;$N$2,N(对接源_01水果!$B132)&gt;$N$3),0,1))</f>
        <v>0</v>
      </c>
      <c r="P132">
        <f>IF(AND($K132=1,AND(对接源_01水果!$X132="公司筐",N(对接源_01水果!$T132)&lt;&gt;0)),1,0)</f>
        <v>0</v>
      </c>
      <c r="Q132">
        <f>N(Q131)+$P132</f>
        <v>0</v>
      </c>
      <c r="R132">
        <f>IF(AND($K132=1,AND(对接源_01水果!$X132="公司筐",N(对接源_01水果!$U132)&lt;&gt;0)),1,0)</f>
        <v>0</v>
      </c>
      <c r="S132">
        <f>N(S131)+$R132</f>
        <v>0</v>
      </c>
      <c r="T132">
        <f>IF(AND($K132=1,AND(对接源_01水果!$X132="公司筐",N(对接源_01水果!$V132)&lt;&gt;0)),1,0)</f>
        <v>0</v>
      </c>
      <c r="U132">
        <f>N(U131)+$T132</f>
        <v>0</v>
      </c>
      <c r="V132">
        <f>IF(AND($L132=1,AND(对接源_01水果!$X132="自备筐",N(对接源_01水果!$V132)&lt;&gt;0)),1,0)</f>
        <v>0</v>
      </c>
      <c r="W132">
        <f>N(W131)+$V132</f>
        <v>0</v>
      </c>
      <c r="X132">
        <f>IF(AND($L132=1,AND(对接源_01水果!$X132="自备筐",N(对接源_01水果!$T132)&lt;&gt;0)),1,0)</f>
        <v>0</v>
      </c>
      <c r="Y132">
        <f>N(Y131)+$X132</f>
        <v>0</v>
      </c>
      <c r="Z132">
        <f>IF(AND($M132=1,对接源_01水果!$D132="原料入库"),1,0)</f>
        <v>0</v>
      </c>
      <c r="AA132">
        <f>N(AA131)+$Z132</f>
        <v>0</v>
      </c>
      <c r="AB132">
        <f>IF(AND($M132=1,LEFT(对接源_01水果!$D132,4)="原料出库"),1,0)</f>
        <v>0</v>
      </c>
      <c r="AC132">
        <f>N(AC131)+$AB132</f>
        <v>0</v>
      </c>
      <c r="AD132">
        <f>IF(AND($M132=1,LEFT(对接源_01水果!$D132,4)="成品出库"),1,0)</f>
        <v>0</v>
      </c>
      <c r="AE132">
        <f>N(AE131)+$AD132</f>
        <v>0</v>
      </c>
      <c r="AF132">
        <f>IF(AND($N132=1,AND(LEFT(对接源_01水果!$D132,4)="包装物料",N(对接源_01水果!$K132)&lt;&gt;0)),1,0)</f>
        <v>0</v>
      </c>
      <c r="AG132">
        <f>N(AG131)+$AF132</f>
        <v>0</v>
      </c>
      <c r="AH132">
        <f>IF(AND($N132=1,AND(对接源_01水果!$D132="周转筐－销售出库",N(对接源_01水果!$K132)&lt;&gt;0)),1,0)</f>
        <v>0</v>
      </c>
      <c r="AI132">
        <f>N(AI131)+$AH132</f>
        <v>0</v>
      </c>
      <c r="AJ132" s="7" t="n"/>
      <c r="AL132">
        <f>IF(OR($AL$1="",对接源_01水果!$Y132="",对接源_01水果!$Y132&lt;&gt;$AL$1,对接源_01水果!$B132="",N(对接源_01水果!$AJ132)&lt;=0),0,IF(OR(N(对接源_01水果!$B132)&lt;$AL$2,N(对接源_01水果!$B132)&gt;$AL$3),0,1))</f>
        <v>0</v>
      </c>
      <c r="AM132">
        <f>N(AM131)+$AL132</f>
        <v>0</v>
      </c>
      <c r="AN132">
        <f>IF(对接源_01水果!$AC132="","",对接源_01水果!$AC132)</f>
      </c>
      <c r="AO132">
        <f>IF(AN132="",0,IF(MATCH(AN132,$AN$4:$AN$1203,0)=ROW()-3,1,0))</f>
        <v>0</v>
      </c>
      <c r="AP132">
        <f>N(AP131)+$AO132</f>
        <v>0</v>
      </c>
      <c r="AQ132">
        <f>IFERROR(INDEX($AN$4:$AN$1203,MATCH(ROW()-3,$AP$4:$AP$1203,0)),"")</f>
      </c>
      <c r="AR132">
        <f>IF(OR($AF132=1,$AH132=1),1,0)</f>
        <v>0</v>
      </c>
      <c r="AS132">
        <f>N(AS131)+$AR132</f>
        <v>0</v>
      </c>
    </row>
    <row r="133" ht="14.25" customHeight="1" s="127">
      <c r="A133" t="str">
        <f>IF(对接源_01水果!$C133="","",对接源_01水果!$C133)</f>
        <v>聂新平</v>
      </c>
      <c r="B133">
        <f>IF(A133="",0,IF(MATCH(A133,$A$4:$A$2403,0)=ROW()-3,1,0))</f>
        <v>0</v>
      </c>
      <c r="C133">
        <f>N(C132)+B133</f>
        <v>4</v>
      </c>
      <c r="E133">
        <f>IFERROR(INDEX($A$4:$A$2403,MATCH(ROW()-3,$C$4:$C$2403,0)),"")</f>
      </c>
      <c r="K133">
        <f>IF(OR($K$1="",对接源_01水果!$C133="",对接源_01水果!$C133&lt;&gt;$K$1,对接源_01水果!$B133=""),0,IF(OR(N(对接源_01水果!$B133)&lt;$K$2,N(对接源_01水果!$B133)&gt;$K$3),0,1))</f>
        <v>0</v>
      </c>
      <c r="L133">
        <f>IF(OR($L$1="",对接源_01水果!$C133="",对接源_01水果!$C133&lt;&gt;$L$1,对接源_01水果!$B133=""),0,IF(OR(N(对接源_01水果!$B133)&lt;$L$2,N(对接源_01水果!$B133)&gt;$L$3),0,1))</f>
        <v>0</v>
      </c>
      <c r="M133">
        <f>IF(OR($M$1="",对接源_01水果!$C133="",对接源_01水果!$C133&lt;&gt;$M$1,对接源_01水果!$B133=""),0,IF(OR(N(对接源_01水果!$B133)&lt;$M$2,N(对接源_01水果!$B133)&gt;$M$3),0,1))</f>
        <v>0</v>
      </c>
      <c r="N133">
        <f>IF(OR($N$1="",对接源_01水果!$C133="",对接源_01水果!$C133&lt;&gt;$N$1,对接源_01水果!$B133=""),0,IF(OR(N(对接源_01水果!$B133)&lt;$N$2,N(对接源_01水果!$B133)&gt;$N$3),0,1))</f>
        <v>0</v>
      </c>
      <c r="P133">
        <f>IF(AND($K133=1,AND(对接源_01水果!$X133="公司筐",N(对接源_01水果!$T133)&lt;&gt;0)),1,0)</f>
        <v>0</v>
      </c>
      <c r="Q133">
        <f>N(Q132)+$P133</f>
        <v>0</v>
      </c>
      <c r="R133">
        <f>IF(AND($K133=1,AND(对接源_01水果!$X133="公司筐",N(对接源_01水果!$U133)&lt;&gt;0)),1,0)</f>
        <v>0</v>
      </c>
      <c r="S133">
        <f>N(S132)+$R133</f>
        <v>0</v>
      </c>
      <c r="T133">
        <f>IF(AND($K133=1,AND(对接源_01水果!$X133="公司筐",N(对接源_01水果!$V133)&lt;&gt;0)),1,0)</f>
        <v>0</v>
      </c>
      <c r="U133">
        <f>N(U132)+$T133</f>
        <v>0</v>
      </c>
      <c r="V133">
        <f>IF(AND($L133=1,AND(对接源_01水果!$X133="自备筐",N(对接源_01水果!$V133)&lt;&gt;0)),1,0)</f>
        <v>0</v>
      </c>
      <c r="W133">
        <f>N(W132)+$V133</f>
        <v>0</v>
      </c>
      <c r="X133">
        <f>IF(AND($L133=1,AND(对接源_01水果!$X133="自备筐",N(对接源_01水果!$T133)&lt;&gt;0)),1,0)</f>
        <v>0</v>
      </c>
      <c r="Y133">
        <f>N(Y132)+$X133</f>
        <v>0</v>
      </c>
      <c r="Z133">
        <f>IF(AND($M133=1,对接源_01水果!$D133="原料入库"),1,0)</f>
        <v>0</v>
      </c>
      <c r="AA133">
        <f>N(AA132)+$Z133</f>
        <v>0</v>
      </c>
      <c r="AB133">
        <f>IF(AND($M133=1,LEFT(对接源_01水果!$D133,4)="原料出库"),1,0)</f>
        <v>0</v>
      </c>
      <c r="AC133">
        <f>N(AC132)+$AB133</f>
        <v>0</v>
      </c>
      <c r="AD133">
        <f>IF(AND($M133=1,LEFT(对接源_01水果!$D133,4)="成品出库"),1,0)</f>
        <v>0</v>
      </c>
      <c r="AE133">
        <f>N(AE132)+$AD133</f>
        <v>0</v>
      </c>
      <c r="AF133">
        <f>IF(AND($N133=1,AND(LEFT(对接源_01水果!$D133,4)="包装物料",N(对接源_01水果!$K133)&lt;&gt;0)),1,0)</f>
        <v>0</v>
      </c>
      <c r="AG133">
        <f>N(AG132)+$AF133</f>
        <v>0</v>
      </c>
      <c r="AH133">
        <f>IF(AND($N133=1,AND(对接源_01水果!$D133="周转筐－销售出库",N(对接源_01水果!$K133)&lt;&gt;0)),1,0)</f>
        <v>0</v>
      </c>
      <c r="AI133">
        <f>N(AI132)+$AH133</f>
        <v>0</v>
      </c>
      <c r="AJ133" s="7" t="n"/>
      <c r="AL133">
        <f>IF(OR($AL$1="",对接源_01水果!$Y133="",对接源_01水果!$Y133&lt;&gt;$AL$1,对接源_01水果!$B133="",N(对接源_01水果!$AJ133)&lt;=0),0,IF(OR(N(对接源_01水果!$B133)&lt;$AL$2,N(对接源_01水果!$B133)&gt;$AL$3),0,1))</f>
        <v>0</v>
      </c>
      <c r="AM133">
        <f>N(AM132)+$AL133</f>
        <v>0</v>
      </c>
      <c r="AN133">
        <f>IF(对接源_01水果!$AC133="","",对接源_01水果!$AC133)</f>
      </c>
      <c r="AO133">
        <f>IF(AN133="",0,IF(MATCH(AN133,$AN$4:$AN$1203,0)=ROW()-3,1,0))</f>
        <v>0</v>
      </c>
      <c r="AP133">
        <f>N(AP132)+$AO133</f>
        <v>0</v>
      </c>
      <c r="AQ133">
        <f>IFERROR(INDEX($AN$4:$AN$1203,MATCH(ROW()-3,$AP$4:$AP$1203,0)),"")</f>
      </c>
      <c r="AR133">
        <f>IF(OR($AF133=1,$AH133=1),1,0)</f>
        <v>0</v>
      </c>
      <c r="AS133">
        <f>N(AS132)+$AR133</f>
        <v>0</v>
      </c>
    </row>
    <row r="134" ht="14.25" customHeight="1" s="127">
      <c r="A134" t="str">
        <f>IF(对接源_01水果!$C134="","",对接源_01水果!$C134)</f>
        <v>聂新平</v>
      </c>
      <c r="B134">
        <f>IF(A134="",0,IF(MATCH(A134,$A$4:$A$2403,0)=ROW()-3,1,0))</f>
        <v>0</v>
      </c>
      <c r="C134">
        <f>N(C133)+B134</f>
        <v>4</v>
      </c>
      <c r="E134">
        <f>IFERROR(INDEX($A$4:$A$2403,MATCH(ROW()-3,$C$4:$C$2403,0)),"")</f>
      </c>
      <c r="K134">
        <f>IF(OR($K$1="",对接源_01水果!$C134="",对接源_01水果!$C134&lt;&gt;$K$1,对接源_01水果!$B134=""),0,IF(OR(N(对接源_01水果!$B134)&lt;$K$2,N(对接源_01水果!$B134)&gt;$K$3),0,1))</f>
        <v>0</v>
      </c>
      <c r="L134">
        <f>IF(OR($L$1="",对接源_01水果!$C134="",对接源_01水果!$C134&lt;&gt;$L$1,对接源_01水果!$B134=""),0,IF(OR(N(对接源_01水果!$B134)&lt;$L$2,N(对接源_01水果!$B134)&gt;$L$3),0,1))</f>
        <v>0</v>
      </c>
      <c r="M134">
        <f>IF(OR($M$1="",对接源_01水果!$C134="",对接源_01水果!$C134&lt;&gt;$M$1,对接源_01水果!$B134=""),0,IF(OR(N(对接源_01水果!$B134)&lt;$M$2,N(对接源_01水果!$B134)&gt;$M$3),0,1))</f>
        <v>0</v>
      </c>
      <c r="N134">
        <f>IF(OR($N$1="",对接源_01水果!$C134="",对接源_01水果!$C134&lt;&gt;$N$1,对接源_01水果!$B134=""),0,IF(OR(N(对接源_01水果!$B134)&lt;$N$2,N(对接源_01水果!$B134)&gt;$N$3),0,1))</f>
        <v>0</v>
      </c>
      <c r="P134">
        <f>IF(AND($K134=1,AND(对接源_01水果!$X134="公司筐",N(对接源_01水果!$T134)&lt;&gt;0)),1,0)</f>
        <v>0</v>
      </c>
      <c r="Q134">
        <f>N(Q133)+$P134</f>
        <v>0</v>
      </c>
      <c r="R134">
        <f>IF(AND($K134=1,AND(对接源_01水果!$X134="公司筐",N(对接源_01水果!$U134)&lt;&gt;0)),1,0)</f>
        <v>0</v>
      </c>
      <c r="S134">
        <f>N(S133)+$R134</f>
        <v>0</v>
      </c>
      <c r="T134">
        <f>IF(AND($K134=1,AND(对接源_01水果!$X134="公司筐",N(对接源_01水果!$V134)&lt;&gt;0)),1,0)</f>
        <v>0</v>
      </c>
      <c r="U134">
        <f>N(U133)+$T134</f>
        <v>0</v>
      </c>
      <c r="V134">
        <f>IF(AND($L134=1,AND(对接源_01水果!$X134="自备筐",N(对接源_01水果!$V134)&lt;&gt;0)),1,0)</f>
        <v>0</v>
      </c>
      <c r="W134">
        <f>N(W133)+$V134</f>
        <v>0</v>
      </c>
      <c r="X134">
        <f>IF(AND($L134=1,AND(对接源_01水果!$X134="自备筐",N(对接源_01水果!$T134)&lt;&gt;0)),1,0)</f>
        <v>0</v>
      </c>
      <c r="Y134">
        <f>N(Y133)+$X134</f>
        <v>0</v>
      </c>
      <c r="Z134">
        <f>IF(AND($M134=1,对接源_01水果!$D134="原料入库"),1,0)</f>
        <v>0</v>
      </c>
      <c r="AA134">
        <f>N(AA133)+$Z134</f>
        <v>0</v>
      </c>
      <c r="AB134">
        <f>IF(AND($M134=1,LEFT(对接源_01水果!$D134,4)="原料出库"),1,0)</f>
        <v>0</v>
      </c>
      <c r="AC134">
        <f>N(AC133)+$AB134</f>
        <v>0</v>
      </c>
      <c r="AD134">
        <f>IF(AND($M134=1,LEFT(对接源_01水果!$D134,4)="成品出库"),1,0)</f>
        <v>0</v>
      </c>
      <c r="AE134">
        <f>N(AE133)+$AD134</f>
        <v>0</v>
      </c>
      <c r="AF134">
        <f>IF(AND($N134=1,AND(LEFT(对接源_01水果!$D134,4)="包装物料",N(对接源_01水果!$K134)&lt;&gt;0)),1,0)</f>
        <v>0</v>
      </c>
      <c r="AG134">
        <f>N(AG133)+$AF134</f>
        <v>0</v>
      </c>
      <c r="AH134">
        <f>IF(AND($N134=1,AND(对接源_01水果!$D134="周转筐－销售出库",N(对接源_01水果!$K134)&lt;&gt;0)),1,0)</f>
        <v>0</v>
      </c>
      <c r="AI134">
        <f>N(AI133)+$AH134</f>
        <v>0</v>
      </c>
      <c r="AJ134" s="7" t="n"/>
      <c r="AL134">
        <f>IF(OR($AL$1="",对接源_01水果!$Y134="",对接源_01水果!$Y134&lt;&gt;$AL$1,对接源_01水果!$B134="",N(对接源_01水果!$AJ134)&lt;=0),0,IF(OR(N(对接源_01水果!$B134)&lt;$AL$2,N(对接源_01水果!$B134)&gt;$AL$3),0,1))</f>
        <v>0</v>
      </c>
      <c r="AM134">
        <f>N(AM133)+$AL134</f>
        <v>0</v>
      </c>
      <c r="AN134">
        <f>IF(对接源_01水果!$AC134="","",对接源_01水果!$AC134)</f>
      </c>
      <c r="AO134">
        <f>IF(AN134="",0,IF(MATCH(AN134,$AN$4:$AN$1203,0)=ROW()-3,1,0))</f>
        <v>0</v>
      </c>
      <c r="AP134">
        <f>N(AP133)+$AO134</f>
        <v>0</v>
      </c>
      <c r="AQ134">
        <f>IFERROR(INDEX($AN$4:$AN$1203,MATCH(ROW()-3,$AP$4:$AP$1203,0)),"")</f>
      </c>
      <c r="AR134">
        <f>IF(OR($AF134=1,$AH134=1),1,0)</f>
        <v>0</v>
      </c>
      <c r="AS134">
        <f>N(AS133)+$AR134</f>
        <v>0</v>
      </c>
    </row>
    <row r="135" ht="14.25" customHeight="1" s="127">
      <c r="A135" t="str">
        <f>IF(对接源_01水果!$C135="","",对接源_01水果!$C135)</f>
        <v>聂新平</v>
      </c>
      <c r="B135">
        <f>IF(A135="",0,IF(MATCH(A135,$A$4:$A$2403,0)=ROW()-3,1,0))</f>
        <v>0</v>
      </c>
      <c r="C135">
        <f>N(C134)+B135</f>
        <v>4</v>
      </c>
      <c r="E135">
        <f>IFERROR(INDEX($A$4:$A$2403,MATCH(ROW()-3,$C$4:$C$2403,0)),"")</f>
      </c>
      <c r="K135">
        <f>IF(OR($K$1="",对接源_01水果!$C135="",对接源_01水果!$C135&lt;&gt;$K$1,对接源_01水果!$B135=""),0,IF(OR(N(对接源_01水果!$B135)&lt;$K$2,N(对接源_01水果!$B135)&gt;$K$3),0,1))</f>
        <v>0</v>
      </c>
      <c r="L135">
        <f>IF(OR($L$1="",对接源_01水果!$C135="",对接源_01水果!$C135&lt;&gt;$L$1,对接源_01水果!$B135=""),0,IF(OR(N(对接源_01水果!$B135)&lt;$L$2,N(对接源_01水果!$B135)&gt;$L$3),0,1))</f>
        <v>0</v>
      </c>
      <c r="M135">
        <f>IF(OR($M$1="",对接源_01水果!$C135="",对接源_01水果!$C135&lt;&gt;$M$1,对接源_01水果!$B135=""),0,IF(OR(N(对接源_01水果!$B135)&lt;$M$2,N(对接源_01水果!$B135)&gt;$M$3),0,1))</f>
        <v>0</v>
      </c>
      <c r="N135">
        <f>IF(OR($N$1="",对接源_01水果!$C135="",对接源_01水果!$C135&lt;&gt;$N$1,对接源_01水果!$B135=""),0,IF(OR(N(对接源_01水果!$B135)&lt;$N$2,N(对接源_01水果!$B135)&gt;$N$3),0,1))</f>
        <v>0</v>
      </c>
      <c r="P135">
        <f>IF(AND($K135=1,AND(对接源_01水果!$X135="公司筐",N(对接源_01水果!$T135)&lt;&gt;0)),1,0)</f>
        <v>0</v>
      </c>
      <c r="Q135">
        <f>N(Q134)+$P135</f>
        <v>0</v>
      </c>
      <c r="R135">
        <f>IF(AND($K135=1,AND(对接源_01水果!$X135="公司筐",N(对接源_01水果!$U135)&lt;&gt;0)),1,0)</f>
        <v>0</v>
      </c>
      <c r="S135">
        <f>N(S134)+$R135</f>
        <v>0</v>
      </c>
      <c r="T135">
        <f>IF(AND($K135=1,AND(对接源_01水果!$X135="公司筐",N(对接源_01水果!$V135)&lt;&gt;0)),1,0)</f>
        <v>0</v>
      </c>
      <c r="U135">
        <f>N(U134)+$T135</f>
        <v>0</v>
      </c>
      <c r="V135">
        <f>IF(AND($L135=1,AND(对接源_01水果!$X135="自备筐",N(对接源_01水果!$V135)&lt;&gt;0)),1,0)</f>
        <v>0</v>
      </c>
      <c r="W135">
        <f>N(W134)+$V135</f>
        <v>0</v>
      </c>
      <c r="X135">
        <f>IF(AND($L135=1,AND(对接源_01水果!$X135="自备筐",N(对接源_01水果!$T135)&lt;&gt;0)),1,0)</f>
        <v>0</v>
      </c>
      <c r="Y135">
        <f>N(Y134)+$X135</f>
        <v>0</v>
      </c>
      <c r="Z135">
        <f>IF(AND($M135=1,对接源_01水果!$D135="原料入库"),1,0)</f>
        <v>0</v>
      </c>
      <c r="AA135">
        <f>N(AA134)+$Z135</f>
        <v>0</v>
      </c>
      <c r="AB135">
        <f>IF(AND($M135=1,LEFT(对接源_01水果!$D135,4)="原料出库"),1,0)</f>
        <v>0</v>
      </c>
      <c r="AC135">
        <f>N(AC134)+$AB135</f>
        <v>0</v>
      </c>
      <c r="AD135">
        <f>IF(AND($M135=1,LEFT(对接源_01水果!$D135,4)="成品出库"),1,0)</f>
        <v>0</v>
      </c>
      <c r="AE135">
        <f>N(AE134)+$AD135</f>
        <v>0</v>
      </c>
      <c r="AF135">
        <f>IF(AND($N135=1,AND(LEFT(对接源_01水果!$D135,4)="包装物料",N(对接源_01水果!$K135)&lt;&gt;0)),1,0)</f>
        <v>0</v>
      </c>
      <c r="AG135">
        <f>N(AG134)+$AF135</f>
        <v>0</v>
      </c>
      <c r="AH135">
        <f>IF(AND($N135=1,AND(对接源_01水果!$D135="周转筐－销售出库",N(对接源_01水果!$K135)&lt;&gt;0)),1,0)</f>
        <v>0</v>
      </c>
      <c r="AI135">
        <f>N(AI134)+$AH135</f>
        <v>0</v>
      </c>
      <c r="AJ135" s="7" t="n"/>
      <c r="AL135">
        <f>IF(OR($AL$1="",对接源_01水果!$Y135="",对接源_01水果!$Y135&lt;&gt;$AL$1,对接源_01水果!$B135="",N(对接源_01水果!$AJ135)&lt;=0),0,IF(OR(N(对接源_01水果!$B135)&lt;$AL$2,N(对接源_01水果!$B135)&gt;$AL$3),0,1))</f>
        <v>0</v>
      </c>
      <c r="AM135">
        <f>N(AM134)+$AL135</f>
        <v>0</v>
      </c>
      <c r="AN135">
        <f>IF(对接源_01水果!$AC135="","",对接源_01水果!$AC135)</f>
      </c>
      <c r="AO135">
        <f>IF(AN135="",0,IF(MATCH(AN135,$AN$4:$AN$1203,0)=ROW()-3,1,0))</f>
        <v>0</v>
      </c>
      <c r="AP135">
        <f>N(AP134)+$AO135</f>
        <v>0</v>
      </c>
      <c r="AQ135">
        <f>IFERROR(INDEX($AN$4:$AN$1203,MATCH(ROW()-3,$AP$4:$AP$1203,0)),"")</f>
      </c>
      <c r="AR135">
        <f>IF(OR($AF135=1,$AH135=1),1,0)</f>
        <v>0</v>
      </c>
      <c r="AS135">
        <f>N(AS134)+$AR135</f>
        <v>0</v>
      </c>
    </row>
    <row r="136" ht="14.25" customHeight="1" s="127">
      <c r="A136" t="str">
        <f>IF(对接源_01水果!$C136="","",对接源_01水果!$C136)</f>
        <v>聂新平</v>
      </c>
      <c r="B136">
        <f>IF(A136="",0,IF(MATCH(A136,$A$4:$A$2403,0)=ROW()-3,1,0))</f>
        <v>0</v>
      </c>
      <c r="C136">
        <f>N(C135)+B136</f>
        <v>4</v>
      </c>
      <c r="E136">
        <f>IFERROR(INDEX($A$4:$A$2403,MATCH(ROW()-3,$C$4:$C$2403,0)),"")</f>
      </c>
      <c r="K136">
        <f>IF(OR($K$1="",对接源_01水果!$C136="",对接源_01水果!$C136&lt;&gt;$K$1,对接源_01水果!$B136=""),0,IF(OR(N(对接源_01水果!$B136)&lt;$K$2,N(对接源_01水果!$B136)&gt;$K$3),0,1))</f>
        <v>0</v>
      </c>
      <c r="L136">
        <f>IF(OR($L$1="",对接源_01水果!$C136="",对接源_01水果!$C136&lt;&gt;$L$1,对接源_01水果!$B136=""),0,IF(OR(N(对接源_01水果!$B136)&lt;$L$2,N(对接源_01水果!$B136)&gt;$L$3),0,1))</f>
        <v>0</v>
      </c>
      <c r="M136">
        <f>IF(OR($M$1="",对接源_01水果!$C136="",对接源_01水果!$C136&lt;&gt;$M$1,对接源_01水果!$B136=""),0,IF(OR(N(对接源_01水果!$B136)&lt;$M$2,N(对接源_01水果!$B136)&gt;$M$3),0,1))</f>
        <v>0</v>
      </c>
      <c r="N136">
        <f>IF(OR($N$1="",对接源_01水果!$C136="",对接源_01水果!$C136&lt;&gt;$N$1,对接源_01水果!$B136=""),0,IF(OR(N(对接源_01水果!$B136)&lt;$N$2,N(对接源_01水果!$B136)&gt;$N$3),0,1))</f>
        <v>0</v>
      </c>
      <c r="P136">
        <f>IF(AND($K136=1,AND(对接源_01水果!$X136="公司筐",N(对接源_01水果!$T136)&lt;&gt;0)),1,0)</f>
        <v>0</v>
      </c>
      <c r="Q136">
        <f>N(Q135)+$P136</f>
        <v>0</v>
      </c>
      <c r="R136">
        <f>IF(AND($K136=1,AND(对接源_01水果!$X136="公司筐",N(对接源_01水果!$U136)&lt;&gt;0)),1,0)</f>
        <v>0</v>
      </c>
      <c r="S136">
        <f>N(S135)+$R136</f>
        <v>0</v>
      </c>
      <c r="T136">
        <f>IF(AND($K136=1,AND(对接源_01水果!$X136="公司筐",N(对接源_01水果!$V136)&lt;&gt;0)),1,0)</f>
        <v>0</v>
      </c>
      <c r="U136">
        <f>N(U135)+$T136</f>
        <v>0</v>
      </c>
      <c r="V136">
        <f>IF(AND($L136=1,AND(对接源_01水果!$X136="自备筐",N(对接源_01水果!$V136)&lt;&gt;0)),1,0)</f>
        <v>0</v>
      </c>
      <c r="W136">
        <f>N(W135)+$V136</f>
        <v>0</v>
      </c>
      <c r="X136">
        <f>IF(AND($L136=1,AND(对接源_01水果!$X136="自备筐",N(对接源_01水果!$T136)&lt;&gt;0)),1,0)</f>
        <v>0</v>
      </c>
      <c r="Y136">
        <f>N(Y135)+$X136</f>
        <v>0</v>
      </c>
      <c r="Z136">
        <f>IF(AND($M136=1,对接源_01水果!$D136="原料入库"),1,0)</f>
        <v>0</v>
      </c>
      <c r="AA136">
        <f>N(AA135)+$Z136</f>
        <v>0</v>
      </c>
      <c r="AB136">
        <f>IF(AND($M136=1,LEFT(对接源_01水果!$D136,4)="原料出库"),1,0)</f>
        <v>0</v>
      </c>
      <c r="AC136">
        <f>N(AC135)+$AB136</f>
        <v>0</v>
      </c>
      <c r="AD136">
        <f>IF(AND($M136=1,LEFT(对接源_01水果!$D136,4)="成品出库"),1,0)</f>
        <v>0</v>
      </c>
      <c r="AE136">
        <f>N(AE135)+$AD136</f>
        <v>0</v>
      </c>
      <c r="AF136">
        <f>IF(AND($N136=1,AND(LEFT(对接源_01水果!$D136,4)="包装物料",N(对接源_01水果!$K136)&lt;&gt;0)),1,0)</f>
        <v>0</v>
      </c>
      <c r="AG136">
        <f>N(AG135)+$AF136</f>
        <v>0</v>
      </c>
      <c r="AH136">
        <f>IF(AND($N136=1,AND(对接源_01水果!$D136="周转筐－销售出库",N(对接源_01水果!$K136)&lt;&gt;0)),1,0)</f>
        <v>0</v>
      </c>
      <c r="AI136">
        <f>N(AI135)+$AH136</f>
        <v>0</v>
      </c>
      <c r="AJ136" s="7" t="n"/>
      <c r="AL136">
        <f>IF(OR($AL$1="",对接源_01水果!$Y136="",对接源_01水果!$Y136&lt;&gt;$AL$1,对接源_01水果!$B136="",N(对接源_01水果!$AJ136)&lt;=0),0,IF(OR(N(对接源_01水果!$B136)&lt;$AL$2,N(对接源_01水果!$B136)&gt;$AL$3),0,1))</f>
        <v>0</v>
      </c>
      <c r="AM136">
        <f>N(AM135)+$AL136</f>
        <v>0</v>
      </c>
      <c r="AN136">
        <f>IF(对接源_01水果!$AC136="","",对接源_01水果!$AC136)</f>
      </c>
      <c r="AO136">
        <f>IF(AN136="",0,IF(MATCH(AN136,$AN$4:$AN$1203,0)=ROW()-3,1,0))</f>
        <v>0</v>
      </c>
      <c r="AP136">
        <f>N(AP135)+$AO136</f>
        <v>0</v>
      </c>
      <c r="AQ136">
        <f>IFERROR(INDEX($AN$4:$AN$1203,MATCH(ROW()-3,$AP$4:$AP$1203,0)),"")</f>
      </c>
      <c r="AR136">
        <f>IF(OR($AF136=1,$AH136=1),1,0)</f>
        <v>0</v>
      </c>
      <c r="AS136">
        <f>N(AS135)+$AR136</f>
        <v>0</v>
      </c>
    </row>
    <row r="137" ht="14.25" customHeight="1" s="127">
      <c r="A137" t="str">
        <f>IF(对接源_01水果!$C137="","",对接源_01水果!$C137)</f>
        <v>聂新平</v>
      </c>
      <c r="B137">
        <f>IF(A137="",0,IF(MATCH(A137,$A$4:$A$2403,0)=ROW()-3,1,0))</f>
        <v>0</v>
      </c>
      <c r="C137">
        <f>N(C136)+B137</f>
        <v>4</v>
      </c>
      <c r="E137">
        <f>IFERROR(INDEX($A$4:$A$2403,MATCH(ROW()-3,$C$4:$C$2403,0)),"")</f>
      </c>
      <c r="K137">
        <f>IF(OR($K$1="",对接源_01水果!$C137="",对接源_01水果!$C137&lt;&gt;$K$1,对接源_01水果!$B137=""),0,IF(OR(N(对接源_01水果!$B137)&lt;$K$2,N(对接源_01水果!$B137)&gt;$K$3),0,1))</f>
        <v>0</v>
      </c>
      <c r="L137">
        <f>IF(OR($L$1="",对接源_01水果!$C137="",对接源_01水果!$C137&lt;&gt;$L$1,对接源_01水果!$B137=""),0,IF(OR(N(对接源_01水果!$B137)&lt;$L$2,N(对接源_01水果!$B137)&gt;$L$3),0,1))</f>
        <v>0</v>
      </c>
      <c r="M137">
        <f>IF(OR($M$1="",对接源_01水果!$C137="",对接源_01水果!$C137&lt;&gt;$M$1,对接源_01水果!$B137=""),0,IF(OR(N(对接源_01水果!$B137)&lt;$M$2,N(对接源_01水果!$B137)&gt;$M$3),0,1))</f>
        <v>0</v>
      </c>
      <c r="N137">
        <f>IF(OR($N$1="",对接源_01水果!$C137="",对接源_01水果!$C137&lt;&gt;$N$1,对接源_01水果!$B137=""),0,IF(OR(N(对接源_01水果!$B137)&lt;$N$2,N(对接源_01水果!$B137)&gt;$N$3),0,1))</f>
        <v>0</v>
      </c>
      <c r="P137">
        <f>IF(AND($K137=1,AND(对接源_01水果!$X137="公司筐",N(对接源_01水果!$T137)&lt;&gt;0)),1,0)</f>
        <v>0</v>
      </c>
      <c r="Q137">
        <f>N(Q136)+$P137</f>
        <v>0</v>
      </c>
      <c r="R137">
        <f>IF(AND($K137=1,AND(对接源_01水果!$X137="公司筐",N(对接源_01水果!$U137)&lt;&gt;0)),1,0)</f>
        <v>0</v>
      </c>
      <c r="S137">
        <f>N(S136)+$R137</f>
        <v>0</v>
      </c>
      <c r="T137">
        <f>IF(AND($K137=1,AND(对接源_01水果!$X137="公司筐",N(对接源_01水果!$V137)&lt;&gt;0)),1,0)</f>
        <v>0</v>
      </c>
      <c r="U137">
        <f>N(U136)+$T137</f>
        <v>0</v>
      </c>
      <c r="V137">
        <f>IF(AND($L137=1,AND(对接源_01水果!$X137="自备筐",N(对接源_01水果!$V137)&lt;&gt;0)),1,0)</f>
        <v>0</v>
      </c>
      <c r="W137">
        <f>N(W136)+$V137</f>
        <v>0</v>
      </c>
      <c r="X137">
        <f>IF(AND($L137=1,AND(对接源_01水果!$X137="自备筐",N(对接源_01水果!$T137)&lt;&gt;0)),1,0)</f>
        <v>0</v>
      </c>
      <c r="Y137">
        <f>N(Y136)+$X137</f>
        <v>0</v>
      </c>
      <c r="Z137">
        <f>IF(AND($M137=1,对接源_01水果!$D137="原料入库"),1,0)</f>
        <v>0</v>
      </c>
      <c r="AA137">
        <f>N(AA136)+$Z137</f>
        <v>0</v>
      </c>
      <c r="AB137">
        <f>IF(AND($M137=1,LEFT(对接源_01水果!$D137,4)="原料出库"),1,0)</f>
        <v>0</v>
      </c>
      <c r="AC137">
        <f>N(AC136)+$AB137</f>
        <v>0</v>
      </c>
      <c r="AD137">
        <f>IF(AND($M137=1,LEFT(对接源_01水果!$D137,4)="成品出库"),1,0)</f>
        <v>0</v>
      </c>
      <c r="AE137">
        <f>N(AE136)+$AD137</f>
        <v>0</v>
      </c>
      <c r="AF137">
        <f>IF(AND($N137=1,AND(LEFT(对接源_01水果!$D137,4)="包装物料",N(对接源_01水果!$K137)&lt;&gt;0)),1,0)</f>
        <v>0</v>
      </c>
      <c r="AG137">
        <f>N(AG136)+$AF137</f>
        <v>0</v>
      </c>
      <c r="AH137">
        <f>IF(AND($N137=1,AND(对接源_01水果!$D137="周转筐－销售出库",N(对接源_01水果!$K137)&lt;&gt;0)),1,0)</f>
        <v>0</v>
      </c>
      <c r="AI137">
        <f>N(AI136)+$AH137</f>
        <v>0</v>
      </c>
      <c r="AJ137" s="7" t="n"/>
      <c r="AL137">
        <f>IF(OR($AL$1="",对接源_01水果!$Y137="",对接源_01水果!$Y137&lt;&gt;$AL$1,对接源_01水果!$B137="",N(对接源_01水果!$AJ137)&lt;=0),0,IF(OR(N(对接源_01水果!$B137)&lt;$AL$2,N(对接源_01水果!$B137)&gt;$AL$3),0,1))</f>
        <v>0</v>
      </c>
      <c r="AM137">
        <f>N(AM136)+$AL137</f>
        <v>0</v>
      </c>
      <c r="AN137">
        <f>IF(对接源_01水果!$AC137="","",对接源_01水果!$AC137)</f>
      </c>
      <c r="AO137">
        <f>IF(AN137="",0,IF(MATCH(AN137,$AN$4:$AN$1203,0)=ROW()-3,1,0))</f>
        <v>0</v>
      </c>
      <c r="AP137">
        <f>N(AP136)+$AO137</f>
        <v>0</v>
      </c>
      <c r="AQ137">
        <f>IFERROR(INDEX($AN$4:$AN$1203,MATCH(ROW()-3,$AP$4:$AP$1203,0)),"")</f>
      </c>
      <c r="AR137">
        <f>IF(OR($AF137=1,$AH137=1),1,0)</f>
        <v>0</v>
      </c>
      <c r="AS137">
        <f>N(AS136)+$AR137</f>
        <v>0</v>
      </c>
    </row>
    <row r="138" ht="14.25" customHeight="1" s="127">
      <c r="A138" t="str">
        <f>IF(对接源_01水果!$C138="","",对接源_01水果!$C138)</f>
        <v>聂新平</v>
      </c>
      <c r="B138">
        <f>IF(A138="",0,IF(MATCH(A138,$A$4:$A$2403,0)=ROW()-3,1,0))</f>
        <v>0</v>
      </c>
      <c r="C138">
        <f>N(C137)+B138</f>
        <v>4</v>
      </c>
      <c r="E138">
        <f>IFERROR(INDEX($A$4:$A$2403,MATCH(ROW()-3,$C$4:$C$2403,0)),"")</f>
      </c>
      <c r="K138">
        <f>IF(OR($K$1="",对接源_01水果!$C138="",对接源_01水果!$C138&lt;&gt;$K$1,对接源_01水果!$B138=""),0,IF(OR(N(对接源_01水果!$B138)&lt;$K$2,N(对接源_01水果!$B138)&gt;$K$3),0,1))</f>
        <v>0</v>
      </c>
      <c r="L138">
        <f>IF(OR($L$1="",对接源_01水果!$C138="",对接源_01水果!$C138&lt;&gt;$L$1,对接源_01水果!$B138=""),0,IF(OR(N(对接源_01水果!$B138)&lt;$L$2,N(对接源_01水果!$B138)&gt;$L$3),0,1))</f>
        <v>0</v>
      </c>
      <c r="M138">
        <f>IF(OR($M$1="",对接源_01水果!$C138="",对接源_01水果!$C138&lt;&gt;$M$1,对接源_01水果!$B138=""),0,IF(OR(N(对接源_01水果!$B138)&lt;$M$2,N(对接源_01水果!$B138)&gt;$M$3),0,1))</f>
        <v>0</v>
      </c>
      <c r="N138">
        <f>IF(OR($N$1="",对接源_01水果!$C138="",对接源_01水果!$C138&lt;&gt;$N$1,对接源_01水果!$B138=""),0,IF(OR(N(对接源_01水果!$B138)&lt;$N$2,N(对接源_01水果!$B138)&gt;$N$3),0,1))</f>
        <v>0</v>
      </c>
      <c r="P138">
        <f>IF(AND($K138=1,AND(对接源_01水果!$X138="公司筐",N(对接源_01水果!$T138)&lt;&gt;0)),1,0)</f>
        <v>0</v>
      </c>
      <c r="Q138">
        <f>N(Q137)+$P138</f>
        <v>0</v>
      </c>
      <c r="R138">
        <f>IF(AND($K138=1,AND(对接源_01水果!$X138="公司筐",N(对接源_01水果!$U138)&lt;&gt;0)),1,0)</f>
        <v>0</v>
      </c>
      <c r="S138">
        <f>N(S137)+$R138</f>
        <v>0</v>
      </c>
      <c r="T138">
        <f>IF(AND($K138=1,AND(对接源_01水果!$X138="公司筐",N(对接源_01水果!$V138)&lt;&gt;0)),1,0)</f>
        <v>0</v>
      </c>
      <c r="U138">
        <f>N(U137)+$T138</f>
        <v>0</v>
      </c>
      <c r="V138">
        <f>IF(AND($L138=1,AND(对接源_01水果!$X138="自备筐",N(对接源_01水果!$V138)&lt;&gt;0)),1,0)</f>
        <v>0</v>
      </c>
      <c r="W138">
        <f>N(W137)+$V138</f>
        <v>0</v>
      </c>
      <c r="X138">
        <f>IF(AND($L138=1,AND(对接源_01水果!$X138="自备筐",N(对接源_01水果!$T138)&lt;&gt;0)),1,0)</f>
        <v>0</v>
      </c>
      <c r="Y138">
        <f>N(Y137)+$X138</f>
        <v>0</v>
      </c>
      <c r="Z138">
        <f>IF(AND($M138=1,对接源_01水果!$D138="原料入库"),1,0)</f>
        <v>0</v>
      </c>
      <c r="AA138">
        <f>N(AA137)+$Z138</f>
        <v>0</v>
      </c>
      <c r="AB138">
        <f>IF(AND($M138=1,LEFT(对接源_01水果!$D138,4)="原料出库"),1,0)</f>
        <v>0</v>
      </c>
      <c r="AC138">
        <f>N(AC137)+$AB138</f>
        <v>0</v>
      </c>
      <c r="AD138">
        <f>IF(AND($M138=1,LEFT(对接源_01水果!$D138,4)="成品出库"),1,0)</f>
        <v>0</v>
      </c>
      <c r="AE138">
        <f>N(AE137)+$AD138</f>
        <v>0</v>
      </c>
      <c r="AF138">
        <f>IF(AND($N138=1,AND(LEFT(对接源_01水果!$D138,4)="包装物料",N(对接源_01水果!$K138)&lt;&gt;0)),1,0)</f>
        <v>0</v>
      </c>
      <c r="AG138">
        <f>N(AG137)+$AF138</f>
        <v>0</v>
      </c>
      <c r="AH138">
        <f>IF(AND($N138=1,AND(对接源_01水果!$D138="周转筐－销售出库",N(对接源_01水果!$K138)&lt;&gt;0)),1,0)</f>
        <v>0</v>
      </c>
      <c r="AI138">
        <f>N(AI137)+$AH138</f>
        <v>0</v>
      </c>
      <c r="AJ138" s="7" t="n"/>
      <c r="AL138">
        <f>IF(OR($AL$1="",对接源_01水果!$Y138="",对接源_01水果!$Y138&lt;&gt;$AL$1,对接源_01水果!$B138="",N(对接源_01水果!$AJ138)&lt;=0),0,IF(OR(N(对接源_01水果!$B138)&lt;$AL$2,N(对接源_01水果!$B138)&gt;$AL$3),0,1))</f>
        <v>0</v>
      </c>
      <c r="AM138">
        <f>N(AM137)+$AL138</f>
        <v>0</v>
      </c>
      <c r="AN138">
        <f>IF(对接源_01水果!$AC138="","",对接源_01水果!$AC138)</f>
      </c>
      <c r="AO138">
        <f>IF(AN138="",0,IF(MATCH(AN138,$AN$4:$AN$1203,0)=ROW()-3,1,0))</f>
        <v>0</v>
      </c>
      <c r="AP138">
        <f>N(AP137)+$AO138</f>
        <v>0</v>
      </c>
      <c r="AQ138">
        <f>IFERROR(INDEX($AN$4:$AN$1203,MATCH(ROW()-3,$AP$4:$AP$1203,0)),"")</f>
      </c>
      <c r="AR138">
        <f>IF(OR($AF138=1,$AH138=1),1,0)</f>
        <v>0</v>
      </c>
      <c r="AS138">
        <f>N(AS137)+$AR138</f>
        <v>0</v>
      </c>
    </row>
    <row r="139" ht="14.25" customHeight="1" s="127">
      <c r="A139" t="str">
        <f>IF(对接源_01水果!$C139="","",对接源_01水果!$C139)</f>
        <v>聂新平</v>
      </c>
      <c r="B139">
        <f>IF(A139="",0,IF(MATCH(A139,$A$4:$A$2403,0)=ROW()-3,1,0))</f>
        <v>0</v>
      </c>
      <c r="C139">
        <f>N(C138)+B139</f>
        <v>4</v>
      </c>
      <c r="E139">
        <f>IFERROR(INDEX($A$4:$A$2403,MATCH(ROW()-3,$C$4:$C$2403,0)),"")</f>
      </c>
      <c r="K139">
        <f>IF(OR($K$1="",对接源_01水果!$C139="",对接源_01水果!$C139&lt;&gt;$K$1,对接源_01水果!$B139=""),0,IF(OR(N(对接源_01水果!$B139)&lt;$K$2,N(对接源_01水果!$B139)&gt;$K$3),0,1))</f>
        <v>0</v>
      </c>
      <c r="L139">
        <f>IF(OR($L$1="",对接源_01水果!$C139="",对接源_01水果!$C139&lt;&gt;$L$1,对接源_01水果!$B139=""),0,IF(OR(N(对接源_01水果!$B139)&lt;$L$2,N(对接源_01水果!$B139)&gt;$L$3),0,1))</f>
        <v>0</v>
      </c>
      <c r="M139">
        <f>IF(OR($M$1="",对接源_01水果!$C139="",对接源_01水果!$C139&lt;&gt;$M$1,对接源_01水果!$B139=""),0,IF(OR(N(对接源_01水果!$B139)&lt;$M$2,N(对接源_01水果!$B139)&gt;$M$3),0,1))</f>
        <v>0</v>
      </c>
      <c r="N139">
        <f>IF(OR($N$1="",对接源_01水果!$C139="",对接源_01水果!$C139&lt;&gt;$N$1,对接源_01水果!$B139=""),0,IF(OR(N(对接源_01水果!$B139)&lt;$N$2,N(对接源_01水果!$B139)&gt;$N$3),0,1))</f>
        <v>0</v>
      </c>
      <c r="P139">
        <f>IF(AND($K139=1,AND(对接源_01水果!$X139="公司筐",N(对接源_01水果!$T139)&lt;&gt;0)),1,0)</f>
        <v>0</v>
      </c>
      <c r="Q139">
        <f>N(Q138)+$P139</f>
        <v>0</v>
      </c>
      <c r="R139">
        <f>IF(AND($K139=1,AND(对接源_01水果!$X139="公司筐",N(对接源_01水果!$U139)&lt;&gt;0)),1,0)</f>
        <v>0</v>
      </c>
      <c r="S139">
        <f>N(S138)+$R139</f>
        <v>0</v>
      </c>
      <c r="T139">
        <f>IF(AND($K139=1,AND(对接源_01水果!$X139="公司筐",N(对接源_01水果!$V139)&lt;&gt;0)),1,0)</f>
        <v>0</v>
      </c>
      <c r="U139">
        <f>N(U138)+$T139</f>
        <v>0</v>
      </c>
      <c r="V139">
        <f>IF(AND($L139=1,AND(对接源_01水果!$X139="自备筐",N(对接源_01水果!$V139)&lt;&gt;0)),1,0)</f>
        <v>0</v>
      </c>
      <c r="W139">
        <f>N(W138)+$V139</f>
        <v>0</v>
      </c>
      <c r="X139">
        <f>IF(AND($L139=1,AND(对接源_01水果!$X139="自备筐",N(对接源_01水果!$T139)&lt;&gt;0)),1,0)</f>
        <v>0</v>
      </c>
      <c r="Y139">
        <f>N(Y138)+$X139</f>
        <v>0</v>
      </c>
      <c r="Z139">
        <f>IF(AND($M139=1,对接源_01水果!$D139="原料入库"),1,0)</f>
        <v>0</v>
      </c>
      <c r="AA139">
        <f>N(AA138)+$Z139</f>
        <v>0</v>
      </c>
      <c r="AB139">
        <f>IF(AND($M139=1,LEFT(对接源_01水果!$D139,4)="原料出库"),1,0)</f>
        <v>0</v>
      </c>
      <c r="AC139">
        <f>N(AC138)+$AB139</f>
        <v>0</v>
      </c>
      <c r="AD139">
        <f>IF(AND($M139=1,LEFT(对接源_01水果!$D139,4)="成品出库"),1,0)</f>
        <v>0</v>
      </c>
      <c r="AE139">
        <f>N(AE138)+$AD139</f>
        <v>0</v>
      </c>
      <c r="AF139">
        <f>IF(AND($N139=1,AND(LEFT(对接源_01水果!$D139,4)="包装物料",N(对接源_01水果!$K139)&lt;&gt;0)),1,0)</f>
        <v>0</v>
      </c>
      <c r="AG139">
        <f>N(AG138)+$AF139</f>
        <v>0</v>
      </c>
      <c r="AH139">
        <f>IF(AND($N139=1,AND(对接源_01水果!$D139="周转筐－销售出库",N(对接源_01水果!$K139)&lt;&gt;0)),1,0)</f>
        <v>0</v>
      </c>
      <c r="AI139">
        <f>N(AI138)+$AH139</f>
        <v>0</v>
      </c>
      <c r="AJ139" s="7" t="n"/>
      <c r="AL139">
        <f>IF(OR($AL$1="",对接源_01水果!$Y139="",对接源_01水果!$Y139&lt;&gt;$AL$1,对接源_01水果!$B139="",N(对接源_01水果!$AJ139)&lt;=0),0,IF(OR(N(对接源_01水果!$B139)&lt;$AL$2,N(对接源_01水果!$B139)&gt;$AL$3),0,1))</f>
        <v>0</v>
      </c>
      <c r="AM139">
        <f>N(AM138)+$AL139</f>
        <v>0</v>
      </c>
      <c r="AN139">
        <f>IF(对接源_01水果!$AC139="","",对接源_01水果!$AC139)</f>
      </c>
      <c r="AO139">
        <f>IF(AN139="",0,IF(MATCH(AN139,$AN$4:$AN$1203,0)=ROW()-3,1,0))</f>
        <v>0</v>
      </c>
      <c r="AP139">
        <f>N(AP138)+$AO139</f>
        <v>0</v>
      </c>
      <c r="AQ139">
        <f>IFERROR(INDEX($AN$4:$AN$1203,MATCH(ROW()-3,$AP$4:$AP$1203,0)),"")</f>
      </c>
      <c r="AR139">
        <f>IF(OR($AF139=1,$AH139=1),1,0)</f>
        <v>0</v>
      </c>
      <c r="AS139">
        <f>N(AS138)+$AR139</f>
        <v>0</v>
      </c>
    </row>
    <row r="140" ht="14.25" customHeight="1" s="127">
      <c r="A140" t="str">
        <f>IF(对接源_01水果!$C140="","",对接源_01水果!$C140)</f>
        <v>聂新平</v>
      </c>
      <c r="B140">
        <f>IF(A140="",0,IF(MATCH(A140,$A$4:$A$2403,0)=ROW()-3,1,0))</f>
        <v>0</v>
      </c>
      <c r="C140">
        <f>N(C139)+B140</f>
        <v>4</v>
      </c>
      <c r="E140">
        <f>IFERROR(INDEX($A$4:$A$2403,MATCH(ROW()-3,$C$4:$C$2403,0)),"")</f>
      </c>
      <c r="K140">
        <f>IF(OR($K$1="",对接源_01水果!$C140="",对接源_01水果!$C140&lt;&gt;$K$1,对接源_01水果!$B140=""),0,IF(OR(N(对接源_01水果!$B140)&lt;$K$2,N(对接源_01水果!$B140)&gt;$K$3),0,1))</f>
        <v>0</v>
      </c>
      <c r="L140">
        <f>IF(OR($L$1="",对接源_01水果!$C140="",对接源_01水果!$C140&lt;&gt;$L$1,对接源_01水果!$B140=""),0,IF(OR(N(对接源_01水果!$B140)&lt;$L$2,N(对接源_01水果!$B140)&gt;$L$3),0,1))</f>
        <v>0</v>
      </c>
      <c r="M140">
        <f>IF(OR($M$1="",对接源_01水果!$C140="",对接源_01水果!$C140&lt;&gt;$M$1,对接源_01水果!$B140=""),0,IF(OR(N(对接源_01水果!$B140)&lt;$M$2,N(对接源_01水果!$B140)&gt;$M$3),0,1))</f>
        <v>0</v>
      </c>
      <c r="N140">
        <f>IF(OR($N$1="",对接源_01水果!$C140="",对接源_01水果!$C140&lt;&gt;$N$1,对接源_01水果!$B140=""),0,IF(OR(N(对接源_01水果!$B140)&lt;$N$2,N(对接源_01水果!$B140)&gt;$N$3),0,1))</f>
        <v>0</v>
      </c>
      <c r="P140">
        <f>IF(AND($K140=1,AND(对接源_01水果!$X140="公司筐",N(对接源_01水果!$T140)&lt;&gt;0)),1,0)</f>
        <v>0</v>
      </c>
      <c r="Q140">
        <f>N(Q139)+$P140</f>
        <v>0</v>
      </c>
      <c r="R140">
        <f>IF(AND($K140=1,AND(对接源_01水果!$X140="公司筐",N(对接源_01水果!$U140)&lt;&gt;0)),1,0)</f>
        <v>0</v>
      </c>
      <c r="S140">
        <f>N(S139)+$R140</f>
        <v>0</v>
      </c>
      <c r="T140">
        <f>IF(AND($K140=1,AND(对接源_01水果!$X140="公司筐",N(对接源_01水果!$V140)&lt;&gt;0)),1,0)</f>
        <v>0</v>
      </c>
      <c r="U140">
        <f>N(U139)+$T140</f>
        <v>0</v>
      </c>
      <c r="V140">
        <f>IF(AND($L140=1,AND(对接源_01水果!$X140="自备筐",N(对接源_01水果!$V140)&lt;&gt;0)),1,0)</f>
        <v>0</v>
      </c>
      <c r="W140">
        <f>N(W139)+$V140</f>
        <v>0</v>
      </c>
      <c r="X140">
        <f>IF(AND($L140=1,AND(对接源_01水果!$X140="自备筐",N(对接源_01水果!$T140)&lt;&gt;0)),1,0)</f>
        <v>0</v>
      </c>
      <c r="Y140">
        <f>N(Y139)+$X140</f>
        <v>0</v>
      </c>
      <c r="Z140">
        <f>IF(AND($M140=1,对接源_01水果!$D140="原料入库"),1,0)</f>
        <v>0</v>
      </c>
      <c r="AA140">
        <f>N(AA139)+$Z140</f>
        <v>0</v>
      </c>
      <c r="AB140">
        <f>IF(AND($M140=1,LEFT(对接源_01水果!$D140,4)="原料出库"),1,0)</f>
        <v>0</v>
      </c>
      <c r="AC140">
        <f>N(AC139)+$AB140</f>
        <v>0</v>
      </c>
      <c r="AD140">
        <f>IF(AND($M140=1,LEFT(对接源_01水果!$D140,4)="成品出库"),1,0)</f>
        <v>0</v>
      </c>
      <c r="AE140">
        <f>N(AE139)+$AD140</f>
        <v>0</v>
      </c>
      <c r="AF140">
        <f>IF(AND($N140=1,AND(LEFT(对接源_01水果!$D140,4)="包装物料",N(对接源_01水果!$K140)&lt;&gt;0)),1,0)</f>
        <v>0</v>
      </c>
      <c r="AG140">
        <f>N(AG139)+$AF140</f>
        <v>0</v>
      </c>
      <c r="AH140">
        <f>IF(AND($N140=1,AND(对接源_01水果!$D140="周转筐－销售出库",N(对接源_01水果!$K140)&lt;&gt;0)),1,0)</f>
        <v>0</v>
      </c>
      <c r="AI140">
        <f>N(AI139)+$AH140</f>
        <v>0</v>
      </c>
      <c r="AJ140" s="7" t="n"/>
      <c r="AL140">
        <f>IF(OR($AL$1="",对接源_01水果!$Y140="",对接源_01水果!$Y140&lt;&gt;$AL$1,对接源_01水果!$B140="",N(对接源_01水果!$AJ140)&lt;=0),0,IF(OR(N(对接源_01水果!$B140)&lt;$AL$2,N(对接源_01水果!$B140)&gt;$AL$3),0,1))</f>
        <v>0</v>
      </c>
      <c r="AM140">
        <f>N(AM139)+$AL140</f>
        <v>0</v>
      </c>
      <c r="AN140">
        <f>IF(对接源_01水果!$AC140="","",对接源_01水果!$AC140)</f>
      </c>
      <c r="AO140">
        <f>IF(AN140="",0,IF(MATCH(AN140,$AN$4:$AN$1203,0)=ROW()-3,1,0))</f>
        <v>0</v>
      </c>
      <c r="AP140">
        <f>N(AP139)+$AO140</f>
        <v>0</v>
      </c>
      <c r="AQ140">
        <f>IFERROR(INDEX($AN$4:$AN$1203,MATCH(ROW()-3,$AP$4:$AP$1203,0)),"")</f>
      </c>
      <c r="AR140">
        <f>IF(OR($AF140=1,$AH140=1),1,0)</f>
        <v>0</v>
      </c>
      <c r="AS140">
        <f>N(AS139)+$AR140</f>
        <v>0</v>
      </c>
    </row>
    <row r="141" ht="14.25" customHeight="1" s="127">
      <c r="A141" t="str">
        <f>IF(对接源_01水果!$C141="","",对接源_01水果!$C141)</f>
        <v>聂新平</v>
      </c>
      <c r="B141">
        <f>IF(A141="",0,IF(MATCH(A141,$A$4:$A$2403,0)=ROW()-3,1,0))</f>
        <v>0</v>
      </c>
      <c r="C141">
        <f>N(C140)+B141</f>
        <v>4</v>
      </c>
      <c r="E141">
        <f>IFERROR(INDEX($A$4:$A$2403,MATCH(ROW()-3,$C$4:$C$2403,0)),"")</f>
      </c>
      <c r="K141">
        <f>IF(OR($K$1="",对接源_01水果!$C141="",对接源_01水果!$C141&lt;&gt;$K$1,对接源_01水果!$B141=""),0,IF(OR(N(对接源_01水果!$B141)&lt;$K$2,N(对接源_01水果!$B141)&gt;$K$3),0,1))</f>
        <v>0</v>
      </c>
      <c r="L141">
        <f>IF(OR($L$1="",对接源_01水果!$C141="",对接源_01水果!$C141&lt;&gt;$L$1,对接源_01水果!$B141=""),0,IF(OR(N(对接源_01水果!$B141)&lt;$L$2,N(对接源_01水果!$B141)&gt;$L$3),0,1))</f>
        <v>0</v>
      </c>
      <c r="M141">
        <f>IF(OR($M$1="",对接源_01水果!$C141="",对接源_01水果!$C141&lt;&gt;$M$1,对接源_01水果!$B141=""),0,IF(OR(N(对接源_01水果!$B141)&lt;$M$2,N(对接源_01水果!$B141)&gt;$M$3),0,1))</f>
        <v>0</v>
      </c>
      <c r="N141">
        <f>IF(OR($N$1="",对接源_01水果!$C141="",对接源_01水果!$C141&lt;&gt;$N$1,对接源_01水果!$B141=""),0,IF(OR(N(对接源_01水果!$B141)&lt;$N$2,N(对接源_01水果!$B141)&gt;$N$3),0,1))</f>
        <v>0</v>
      </c>
      <c r="P141">
        <f>IF(AND($K141=1,AND(对接源_01水果!$X141="公司筐",N(对接源_01水果!$T141)&lt;&gt;0)),1,0)</f>
        <v>0</v>
      </c>
      <c r="Q141">
        <f>N(Q140)+$P141</f>
        <v>0</v>
      </c>
      <c r="R141">
        <f>IF(AND($K141=1,AND(对接源_01水果!$X141="公司筐",N(对接源_01水果!$U141)&lt;&gt;0)),1,0)</f>
        <v>0</v>
      </c>
      <c r="S141">
        <f>N(S140)+$R141</f>
        <v>0</v>
      </c>
      <c r="T141">
        <f>IF(AND($K141=1,AND(对接源_01水果!$X141="公司筐",N(对接源_01水果!$V141)&lt;&gt;0)),1,0)</f>
        <v>0</v>
      </c>
      <c r="U141">
        <f>N(U140)+$T141</f>
        <v>0</v>
      </c>
      <c r="V141">
        <f>IF(AND($L141=1,AND(对接源_01水果!$X141="自备筐",N(对接源_01水果!$V141)&lt;&gt;0)),1,0)</f>
        <v>0</v>
      </c>
      <c r="W141">
        <f>N(W140)+$V141</f>
        <v>0</v>
      </c>
      <c r="X141">
        <f>IF(AND($L141=1,AND(对接源_01水果!$X141="自备筐",N(对接源_01水果!$T141)&lt;&gt;0)),1,0)</f>
        <v>0</v>
      </c>
      <c r="Y141">
        <f>N(Y140)+$X141</f>
        <v>0</v>
      </c>
      <c r="Z141">
        <f>IF(AND($M141=1,对接源_01水果!$D141="原料入库"),1,0)</f>
        <v>0</v>
      </c>
      <c r="AA141">
        <f>N(AA140)+$Z141</f>
        <v>0</v>
      </c>
      <c r="AB141">
        <f>IF(AND($M141=1,LEFT(对接源_01水果!$D141,4)="原料出库"),1,0)</f>
        <v>0</v>
      </c>
      <c r="AC141">
        <f>N(AC140)+$AB141</f>
        <v>0</v>
      </c>
      <c r="AD141">
        <f>IF(AND($M141=1,LEFT(对接源_01水果!$D141,4)="成品出库"),1,0)</f>
        <v>0</v>
      </c>
      <c r="AE141">
        <f>N(AE140)+$AD141</f>
        <v>0</v>
      </c>
      <c r="AF141">
        <f>IF(AND($N141=1,AND(LEFT(对接源_01水果!$D141,4)="包装物料",N(对接源_01水果!$K141)&lt;&gt;0)),1,0)</f>
        <v>0</v>
      </c>
      <c r="AG141">
        <f>N(AG140)+$AF141</f>
        <v>0</v>
      </c>
      <c r="AH141">
        <f>IF(AND($N141=1,AND(对接源_01水果!$D141="周转筐－销售出库",N(对接源_01水果!$K141)&lt;&gt;0)),1,0)</f>
        <v>0</v>
      </c>
      <c r="AI141">
        <f>N(AI140)+$AH141</f>
        <v>0</v>
      </c>
      <c r="AJ141" s="7" t="n"/>
      <c r="AL141">
        <f>IF(OR($AL$1="",对接源_01水果!$Y141="",对接源_01水果!$Y141&lt;&gt;$AL$1,对接源_01水果!$B141="",N(对接源_01水果!$AJ141)&lt;=0),0,IF(OR(N(对接源_01水果!$B141)&lt;$AL$2,N(对接源_01水果!$B141)&gt;$AL$3),0,1))</f>
        <v>0</v>
      </c>
      <c r="AM141">
        <f>N(AM140)+$AL141</f>
        <v>0</v>
      </c>
      <c r="AN141">
        <f>IF(对接源_01水果!$AC141="","",对接源_01水果!$AC141)</f>
      </c>
      <c r="AO141">
        <f>IF(AN141="",0,IF(MATCH(AN141,$AN$4:$AN$1203,0)=ROW()-3,1,0))</f>
        <v>0</v>
      </c>
      <c r="AP141">
        <f>N(AP140)+$AO141</f>
        <v>0</v>
      </c>
      <c r="AQ141">
        <f>IFERROR(INDEX($AN$4:$AN$1203,MATCH(ROW()-3,$AP$4:$AP$1203,0)),"")</f>
      </c>
      <c r="AR141">
        <f>IF(OR($AF141=1,$AH141=1),1,0)</f>
        <v>0</v>
      </c>
      <c r="AS141">
        <f>N(AS140)+$AR141</f>
        <v>0</v>
      </c>
    </row>
    <row r="142" ht="14.25" customHeight="1" s="127">
      <c r="A142" t="str">
        <f>IF(对接源_01水果!$C142="","",对接源_01水果!$C142)</f>
        <v>马锦祥</v>
      </c>
      <c r="B142">
        <f>IF(A142="",0,IF(MATCH(A142,$A$4:$A$2403,0)=ROW()-3,1,0))</f>
        <v>0</v>
      </c>
      <c r="C142">
        <f>N(C141)+B142</f>
        <v>4</v>
      </c>
      <c r="E142">
        <f>IFERROR(INDEX($A$4:$A$2403,MATCH(ROW()-3,$C$4:$C$2403,0)),"")</f>
      </c>
      <c r="K142">
        <f>IF(OR($K$1="",对接源_01水果!$C142="",对接源_01水果!$C142&lt;&gt;$K$1,对接源_01水果!$B142=""),0,IF(OR(N(对接源_01水果!$B142)&lt;$K$2,N(对接源_01水果!$B142)&gt;$K$3),0,1))</f>
        <v>0</v>
      </c>
      <c r="L142">
        <f>IF(OR($L$1="",对接源_01水果!$C142="",对接源_01水果!$C142&lt;&gt;$L$1,对接源_01水果!$B142=""),0,IF(OR(N(对接源_01水果!$B142)&lt;$L$2,N(对接源_01水果!$B142)&gt;$L$3),0,1))</f>
        <v>0</v>
      </c>
      <c r="M142">
        <f>IF(OR($M$1="",对接源_01水果!$C142="",对接源_01水果!$C142&lt;&gt;$M$1,对接源_01水果!$B142=""),0,IF(OR(N(对接源_01水果!$B142)&lt;$M$2,N(对接源_01水果!$B142)&gt;$M$3),0,1))</f>
        <v>0</v>
      </c>
      <c r="N142">
        <f>IF(OR($N$1="",对接源_01水果!$C142="",对接源_01水果!$C142&lt;&gt;$N$1,对接源_01水果!$B142=""),0,IF(OR(N(对接源_01水果!$B142)&lt;$N$2,N(对接源_01水果!$B142)&gt;$N$3),0,1))</f>
        <v>0</v>
      </c>
      <c r="P142">
        <f>IF(AND($K142=1,AND(对接源_01水果!$X142="公司筐",N(对接源_01水果!$T142)&lt;&gt;0)),1,0)</f>
        <v>0</v>
      </c>
      <c r="Q142">
        <f>N(Q141)+$P142</f>
        <v>0</v>
      </c>
      <c r="R142">
        <f>IF(AND($K142=1,AND(对接源_01水果!$X142="公司筐",N(对接源_01水果!$U142)&lt;&gt;0)),1,0)</f>
        <v>0</v>
      </c>
      <c r="S142">
        <f>N(S141)+$R142</f>
        <v>0</v>
      </c>
      <c r="T142">
        <f>IF(AND($K142=1,AND(对接源_01水果!$X142="公司筐",N(对接源_01水果!$V142)&lt;&gt;0)),1,0)</f>
        <v>0</v>
      </c>
      <c r="U142">
        <f>N(U141)+$T142</f>
        <v>0</v>
      </c>
      <c r="V142">
        <f>IF(AND($L142=1,AND(对接源_01水果!$X142="自备筐",N(对接源_01水果!$V142)&lt;&gt;0)),1,0)</f>
        <v>0</v>
      </c>
      <c r="W142">
        <f>N(W141)+$V142</f>
        <v>0</v>
      </c>
      <c r="X142">
        <f>IF(AND($L142=1,AND(对接源_01水果!$X142="自备筐",N(对接源_01水果!$T142)&lt;&gt;0)),1,0)</f>
        <v>0</v>
      </c>
      <c r="Y142">
        <f>N(Y141)+$X142</f>
        <v>0</v>
      </c>
      <c r="Z142">
        <f>IF(AND($M142=1,对接源_01水果!$D142="原料入库"),1,0)</f>
        <v>0</v>
      </c>
      <c r="AA142">
        <f>N(AA141)+$Z142</f>
        <v>0</v>
      </c>
      <c r="AB142">
        <f>IF(AND($M142=1,LEFT(对接源_01水果!$D142,4)="原料出库"),1,0)</f>
        <v>0</v>
      </c>
      <c r="AC142">
        <f>N(AC141)+$AB142</f>
        <v>0</v>
      </c>
      <c r="AD142">
        <f>IF(AND($M142=1,LEFT(对接源_01水果!$D142,4)="成品出库"),1,0)</f>
        <v>0</v>
      </c>
      <c r="AE142">
        <f>N(AE141)+$AD142</f>
        <v>0</v>
      </c>
      <c r="AF142">
        <f>IF(AND($N142=1,AND(LEFT(对接源_01水果!$D142,4)="包装物料",N(对接源_01水果!$K142)&lt;&gt;0)),1,0)</f>
        <v>0</v>
      </c>
      <c r="AG142">
        <f>N(AG141)+$AF142</f>
        <v>0</v>
      </c>
      <c r="AH142">
        <f>IF(AND($N142=1,AND(对接源_01水果!$D142="周转筐－销售出库",N(对接源_01水果!$K142)&lt;&gt;0)),1,0)</f>
        <v>0</v>
      </c>
      <c r="AI142">
        <f>N(AI141)+$AH142</f>
        <v>0</v>
      </c>
      <c r="AJ142" s="7" t="n"/>
      <c r="AL142">
        <f>IF(OR($AL$1="",对接源_01水果!$Y142="",对接源_01水果!$Y142&lt;&gt;$AL$1,对接源_01水果!$B142="",N(对接源_01水果!$AJ142)&lt;=0),0,IF(OR(N(对接源_01水果!$B142)&lt;$AL$2,N(对接源_01水果!$B142)&gt;$AL$3),0,1))</f>
        <v>0</v>
      </c>
      <c r="AM142">
        <f>N(AM141)+$AL142</f>
        <v>0</v>
      </c>
      <c r="AN142">
        <f>IF(对接源_01水果!$AC142="","",对接源_01水果!$AC142)</f>
      </c>
      <c r="AO142">
        <f>IF(AN142="",0,IF(MATCH(AN142,$AN$4:$AN$1203,0)=ROW()-3,1,0))</f>
        <v>0</v>
      </c>
      <c r="AP142">
        <f>N(AP141)+$AO142</f>
        <v>0</v>
      </c>
      <c r="AQ142">
        <f>IFERROR(INDEX($AN$4:$AN$1203,MATCH(ROW()-3,$AP$4:$AP$1203,0)),"")</f>
      </c>
      <c r="AR142">
        <f>IF(OR($AF142=1,$AH142=1),1,0)</f>
        <v>0</v>
      </c>
      <c r="AS142">
        <f>N(AS141)+$AR142</f>
        <v>0</v>
      </c>
    </row>
    <row r="143" ht="14.25" customHeight="1" s="127">
      <c r="A143" t="str">
        <f>IF(对接源_01水果!$C143="","",对接源_01水果!$C143)</f>
        <v>马锦祥</v>
      </c>
      <c r="B143">
        <f>IF(A143="",0,IF(MATCH(A143,$A$4:$A$2403,0)=ROW()-3,1,0))</f>
        <v>0</v>
      </c>
      <c r="C143">
        <f>N(C142)+B143</f>
        <v>4</v>
      </c>
      <c r="E143">
        <f>IFERROR(INDEX($A$4:$A$2403,MATCH(ROW()-3,$C$4:$C$2403,0)),"")</f>
      </c>
      <c r="K143">
        <f>IF(OR($K$1="",对接源_01水果!$C143="",对接源_01水果!$C143&lt;&gt;$K$1,对接源_01水果!$B143=""),0,IF(OR(N(对接源_01水果!$B143)&lt;$K$2,N(对接源_01水果!$B143)&gt;$K$3),0,1))</f>
        <v>0</v>
      </c>
      <c r="L143">
        <f>IF(OR($L$1="",对接源_01水果!$C143="",对接源_01水果!$C143&lt;&gt;$L$1,对接源_01水果!$B143=""),0,IF(OR(N(对接源_01水果!$B143)&lt;$L$2,N(对接源_01水果!$B143)&gt;$L$3),0,1))</f>
        <v>0</v>
      </c>
      <c r="M143">
        <f>IF(OR($M$1="",对接源_01水果!$C143="",对接源_01水果!$C143&lt;&gt;$M$1,对接源_01水果!$B143=""),0,IF(OR(N(对接源_01水果!$B143)&lt;$M$2,N(对接源_01水果!$B143)&gt;$M$3),0,1))</f>
        <v>0</v>
      </c>
      <c r="N143">
        <f>IF(OR($N$1="",对接源_01水果!$C143="",对接源_01水果!$C143&lt;&gt;$N$1,对接源_01水果!$B143=""),0,IF(OR(N(对接源_01水果!$B143)&lt;$N$2,N(对接源_01水果!$B143)&gt;$N$3),0,1))</f>
        <v>0</v>
      </c>
      <c r="P143">
        <f>IF(AND($K143=1,AND(对接源_01水果!$X143="公司筐",N(对接源_01水果!$T143)&lt;&gt;0)),1,0)</f>
        <v>0</v>
      </c>
      <c r="Q143">
        <f>N(Q142)+$P143</f>
        <v>0</v>
      </c>
      <c r="R143">
        <f>IF(AND($K143=1,AND(对接源_01水果!$X143="公司筐",N(对接源_01水果!$U143)&lt;&gt;0)),1,0)</f>
        <v>0</v>
      </c>
      <c r="S143">
        <f>N(S142)+$R143</f>
        <v>0</v>
      </c>
      <c r="T143">
        <f>IF(AND($K143=1,AND(对接源_01水果!$X143="公司筐",N(对接源_01水果!$V143)&lt;&gt;0)),1,0)</f>
        <v>0</v>
      </c>
      <c r="U143">
        <f>N(U142)+$T143</f>
        <v>0</v>
      </c>
      <c r="V143">
        <f>IF(AND($L143=1,AND(对接源_01水果!$X143="自备筐",N(对接源_01水果!$V143)&lt;&gt;0)),1,0)</f>
        <v>0</v>
      </c>
      <c r="W143">
        <f>N(W142)+$V143</f>
        <v>0</v>
      </c>
      <c r="X143">
        <f>IF(AND($L143=1,AND(对接源_01水果!$X143="自备筐",N(对接源_01水果!$T143)&lt;&gt;0)),1,0)</f>
        <v>0</v>
      </c>
      <c r="Y143">
        <f>N(Y142)+$X143</f>
        <v>0</v>
      </c>
      <c r="Z143">
        <f>IF(AND($M143=1,对接源_01水果!$D143="原料入库"),1,0)</f>
        <v>0</v>
      </c>
      <c r="AA143">
        <f>N(AA142)+$Z143</f>
        <v>0</v>
      </c>
      <c r="AB143">
        <f>IF(AND($M143=1,LEFT(对接源_01水果!$D143,4)="原料出库"),1,0)</f>
        <v>0</v>
      </c>
      <c r="AC143">
        <f>N(AC142)+$AB143</f>
        <v>0</v>
      </c>
      <c r="AD143">
        <f>IF(AND($M143=1,LEFT(对接源_01水果!$D143,4)="成品出库"),1,0)</f>
        <v>0</v>
      </c>
      <c r="AE143">
        <f>N(AE142)+$AD143</f>
        <v>0</v>
      </c>
      <c r="AF143">
        <f>IF(AND($N143=1,AND(LEFT(对接源_01水果!$D143,4)="包装物料",N(对接源_01水果!$K143)&lt;&gt;0)),1,0)</f>
        <v>0</v>
      </c>
      <c r="AG143">
        <f>N(AG142)+$AF143</f>
        <v>0</v>
      </c>
      <c r="AH143">
        <f>IF(AND($N143=1,AND(对接源_01水果!$D143="周转筐－销售出库",N(对接源_01水果!$K143)&lt;&gt;0)),1,0)</f>
        <v>0</v>
      </c>
      <c r="AI143">
        <f>N(AI142)+$AH143</f>
        <v>0</v>
      </c>
      <c r="AJ143" s="7" t="n"/>
      <c r="AL143">
        <f>IF(OR($AL$1="",对接源_01水果!$Y143="",对接源_01水果!$Y143&lt;&gt;$AL$1,对接源_01水果!$B143="",N(对接源_01水果!$AJ143)&lt;=0),0,IF(OR(N(对接源_01水果!$B143)&lt;$AL$2,N(对接源_01水果!$B143)&gt;$AL$3),0,1))</f>
        <v>0</v>
      </c>
      <c r="AM143">
        <f>N(AM142)+$AL143</f>
        <v>0</v>
      </c>
      <c r="AN143">
        <f>IF(对接源_01水果!$AC143="","",对接源_01水果!$AC143)</f>
      </c>
      <c r="AO143">
        <f>IF(AN143="",0,IF(MATCH(AN143,$AN$4:$AN$1203,0)=ROW()-3,1,0))</f>
        <v>0</v>
      </c>
      <c r="AP143">
        <f>N(AP142)+$AO143</f>
        <v>0</v>
      </c>
      <c r="AQ143">
        <f>IFERROR(INDEX($AN$4:$AN$1203,MATCH(ROW()-3,$AP$4:$AP$1203,0)),"")</f>
      </c>
      <c r="AR143">
        <f>IF(OR($AF143=1,$AH143=1),1,0)</f>
        <v>0</v>
      </c>
      <c r="AS143">
        <f>N(AS142)+$AR143</f>
        <v>0</v>
      </c>
    </row>
    <row r="144" ht="14.25" customHeight="1" s="127">
      <c r="A144" t="str">
        <f>IF(对接源_01水果!$C144="","",对接源_01水果!$C144)</f>
        <v>马锦祥</v>
      </c>
      <c r="B144">
        <f>IF(A144="",0,IF(MATCH(A144,$A$4:$A$2403,0)=ROW()-3,1,0))</f>
        <v>0</v>
      </c>
      <c r="C144">
        <f>N(C143)+B144</f>
        <v>4</v>
      </c>
      <c r="E144">
        <f>IFERROR(INDEX($A$4:$A$2403,MATCH(ROW()-3,$C$4:$C$2403,0)),"")</f>
      </c>
      <c r="K144">
        <f>IF(OR($K$1="",对接源_01水果!$C144="",对接源_01水果!$C144&lt;&gt;$K$1,对接源_01水果!$B144=""),0,IF(OR(N(对接源_01水果!$B144)&lt;$K$2,N(对接源_01水果!$B144)&gt;$K$3),0,1))</f>
        <v>0</v>
      </c>
      <c r="L144">
        <f>IF(OR($L$1="",对接源_01水果!$C144="",对接源_01水果!$C144&lt;&gt;$L$1,对接源_01水果!$B144=""),0,IF(OR(N(对接源_01水果!$B144)&lt;$L$2,N(对接源_01水果!$B144)&gt;$L$3),0,1))</f>
        <v>0</v>
      </c>
      <c r="M144">
        <f>IF(OR($M$1="",对接源_01水果!$C144="",对接源_01水果!$C144&lt;&gt;$M$1,对接源_01水果!$B144=""),0,IF(OR(N(对接源_01水果!$B144)&lt;$M$2,N(对接源_01水果!$B144)&gt;$M$3),0,1))</f>
        <v>0</v>
      </c>
      <c r="N144">
        <f>IF(OR($N$1="",对接源_01水果!$C144="",对接源_01水果!$C144&lt;&gt;$N$1,对接源_01水果!$B144=""),0,IF(OR(N(对接源_01水果!$B144)&lt;$N$2,N(对接源_01水果!$B144)&gt;$N$3),0,1))</f>
        <v>0</v>
      </c>
      <c r="P144">
        <f>IF(AND($K144=1,AND(对接源_01水果!$X144="公司筐",N(对接源_01水果!$T144)&lt;&gt;0)),1,0)</f>
        <v>0</v>
      </c>
      <c r="Q144">
        <f>N(Q143)+$P144</f>
        <v>0</v>
      </c>
      <c r="R144">
        <f>IF(AND($K144=1,AND(对接源_01水果!$X144="公司筐",N(对接源_01水果!$U144)&lt;&gt;0)),1,0)</f>
        <v>0</v>
      </c>
      <c r="S144">
        <f>N(S143)+$R144</f>
        <v>0</v>
      </c>
      <c r="T144">
        <f>IF(AND($K144=1,AND(对接源_01水果!$X144="公司筐",N(对接源_01水果!$V144)&lt;&gt;0)),1,0)</f>
        <v>0</v>
      </c>
      <c r="U144">
        <f>N(U143)+$T144</f>
        <v>0</v>
      </c>
      <c r="V144">
        <f>IF(AND($L144=1,AND(对接源_01水果!$X144="自备筐",N(对接源_01水果!$V144)&lt;&gt;0)),1,0)</f>
        <v>0</v>
      </c>
      <c r="W144">
        <f>N(W143)+$V144</f>
        <v>0</v>
      </c>
      <c r="X144">
        <f>IF(AND($L144=1,AND(对接源_01水果!$X144="自备筐",N(对接源_01水果!$T144)&lt;&gt;0)),1,0)</f>
        <v>0</v>
      </c>
      <c r="Y144">
        <f>N(Y143)+$X144</f>
        <v>0</v>
      </c>
      <c r="Z144">
        <f>IF(AND($M144=1,对接源_01水果!$D144="原料入库"),1,0)</f>
        <v>0</v>
      </c>
      <c r="AA144">
        <f>N(AA143)+$Z144</f>
        <v>0</v>
      </c>
      <c r="AB144">
        <f>IF(AND($M144=1,LEFT(对接源_01水果!$D144,4)="原料出库"),1,0)</f>
        <v>0</v>
      </c>
      <c r="AC144">
        <f>N(AC143)+$AB144</f>
        <v>0</v>
      </c>
      <c r="AD144">
        <f>IF(AND($M144=1,LEFT(对接源_01水果!$D144,4)="成品出库"),1,0)</f>
        <v>0</v>
      </c>
      <c r="AE144">
        <f>N(AE143)+$AD144</f>
        <v>0</v>
      </c>
      <c r="AF144">
        <f>IF(AND($N144=1,AND(LEFT(对接源_01水果!$D144,4)="包装物料",N(对接源_01水果!$K144)&lt;&gt;0)),1,0)</f>
        <v>0</v>
      </c>
      <c r="AG144">
        <f>N(AG143)+$AF144</f>
        <v>0</v>
      </c>
      <c r="AH144">
        <f>IF(AND($N144=1,AND(对接源_01水果!$D144="周转筐－销售出库",N(对接源_01水果!$K144)&lt;&gt;0)),1,0)</f>
        <v>0</v>
      </c>
      <c r="AI144">
        <f>N(AI143)+$AH144</f>
        <v>0</v>
      </c>
      <c r="AJ144" s="7" t="n"/>
      <c r="AL144">
        <f>IF(OR($AL$1="",对接源_01水果!$Y144="",对接源_01水果!$Y144&lt;&gt;$AL$1,对接源_01水果!$B144="",N(对接源_01水果!$AJ144)&lt;=0),0,IF(OR(N(对接源_01水果!$B144)&lt;$AL$2,N(对接源_01水果!$B144)&gt;$AL$3),0,1))</f>
        <v>0</v>
      </c>
      <c r="AM144">
        <f>N(AM143)+$AL144</f>
        <v>0</v>
      </c>
      <c r="AN144">
        <f>IF(对接源_01水果!$AC144="","",对接源_01水果!$AC144)</f>
      </c>
      <c r="AO144">
        <f>IF(AN144="",0,IF(MATCH(AN144,$AN$4:$AN$1203,0)=ROW()-3,1,0))</f>
        <v>0</v>
      </c>
      <c r="AP144">
        <f>N(AP143)+$AO144</f>
        <v>0</v>
      </c>
      <c r="AQ144">
        <f>IFERROR(INDEX($AN$4:$AN$1203,MATCH(ROW()-3,$AP$4:$AP$1203,0)),"")</f>
      </c>
      <c r="AR144">
        <f>IF(OR($AF144=1,$AH144=1),1,0)</f>
        <v>0</v>
      </c>
      <c r="AS144">
        <f>N(AS143)+$AR144</f>
        <v>0</v>
      </c>
    </row>
    <row r="145" ht="14.25" customHeight="1" s="127">
      <c r="A145" t="str">
        <f>IF(对接源_01水果!$C145="","",对接源_01水果!$C145)</f>
        <v>麦麦提</v>
      </c>
      <c r="B145">
        <f>IF(A145="",0,IF(MATCH(A145,$A$4:$A$2403,0)=ROW()-3,1,0))</f>
        <v>1</v>
      </c>
      <c r="C145">
        <f>N(C144)+B145</f>
        <v>5</v>
      </c>
      <c r="E145">
        <f>IFERROR(INDEX($A$4:$A$2403,MATCH(ROW()-3,$C$4:$C$2403,0)),"")</f>
      </c>
      <c r="K145">
        <f>IF(OR($K$1="",对接源_01水果!$C145="",对接源_01水果!$C145&lt;&gt;$K$1,对接源_01水果!$B145=""),0,IF(OR(N(对接源_01水果!$B145)&lt;$K$2,N(对接源_01水果!$B145)&gt;$K$3),0,1))</f>
        <v>0</v>
      </c>
      <c r="L145">
        <f>IF(OR($L$1="",对接源_01水果!$C145="",对接源_01水果!$C145&lt;&gt;$L$1,对接源_01水果!$B145=""),0,IF(OR(N(对接源_01水果!$B145)&lt;$L$2,N(对接源_01水果!$B145)&gt;$L$3),0,1))</f>
        <v>0</v>
      </c>
      <c r="M145">
        <f>IF(OR($M$1="",对接源_01水果!$C145="",对接源_01水果!$C145&lt;&gt;$M$1,对接源_01水果!$B145=""),0,IF(OR(N(对接源_01水果!$B145)&lt;$M$2,N(对接源_01水果!$B145)&gt;$M$3),0,1))</f>
        <v>0</v>
      </c>
      <c r="N145">
        <f>IF(OR($N$1="",对接源_01水果!$C145="",对接源_01水果!$C145&lt;&gt;$N$1,对接源_01水果!$B145=""),0,IF(OR(N(对接源_01水果!$B145)&lt;$N$2,N(对接源_01水果!$B145)&gt;$N$3),0,1))</f>
        <v>1</v>
      </c>
      <c r="P145">
        <f>IF(AND($K145=1,AND(对接源_01水果!$X145="公司筐",N(对接源_01水果!$T145)&lt;&gt;0)),1,0)</f>
        <v>0</v>
      </c>
      <c r="Q145">
        <f>N(Q144)+$P145</f>
        <v>0</v>
      </c>
      <c r="R145">
        <f>IF(AND($K145=1,AND(对接源_01水果!$X145="公司筐",N(对接源_01水果!$U145)&lt;&gt;0)),1,0)</f>
        <v>0</v>
      </c>
      <c r="S145">
        <f>N(S144)+$R145</f>
        <v>0</v>
      </c>
      <c r="T145">
        <f>IF(AND($K145=1,AND(对接源_01水果!$X145="公司筐",N(对接源_01水果!$V145)&lt;&gt;0)),1,0)</f>
        <v>0</v>
      </c>
      <c r="U145">
        <f>N(U144)+$T145</f>
        <v>0</v>
      </c>
      <c r="V145">
        <f>IF(AND($L145=1,AND(对接源_01水果!$X145="自备筐",N(对接源_01水果!$V145)&lt;&gt;0)),1,0)</f>
        <v>0</v>
      </c>
      <c r="W145">
        <f>N(W144)+$V145</f>
        <v>0</v>
      </c>
      <c r="X145">
        <f>IF(AND($L145=1,AND(对接源_01水果!$X145="自备筐",N(对接源_01水果!$T145)&lt;&gt;0)),1,0)</f>
        <v>0</v>
      </c>
      <c r="Y145">
        <f>N(Y144)+$X145</f>
        <v>0</v>
      </c>
      <c r="Z145">
        <f>IF(AND($M145=1,对接源_01水果!$D145="原料入库"),1,0)</f>
        <v>0</v>
      </c>
      <c r="AA145">
        <f>N(AA144)+$Z145</f>
        <v>0</v>
      </c>
      <c r="AB145">
        <f>IF(AND($M145=1,LEFT(对接源_01水果!$D145,4)="原料出库"),1,0)</f>
        <v>0</v>
      </c>
      <c r="AC145">
        <f>N(AC144)+$AB145</f>
        <v>0</v>
      </c>
      <c r="AD145">
        <f>IF(AND($M145=1,LEFT(对接源_01水果!$D145,4)="成品出库"),1,0)</f>
        <v>0</v>
      </c>
      <c r="AE145">
        <f>N(AE144)+$AD145</f>
        <v>0</v>
      </c>
      <c r="AF145">
        <f>IF(AND($N145=1,AND(LEFT(对接源_01水果!$D145,4)="包装物料",N(对接源_01水果!$K145)&lt;&gt;0)),1,0)</f>
        <v>0</v>
      </c>
      <c r="AG145">
        <f>N(AG144)+$AF145</f>
        <v>0</v>
      </c>
      <c r="AH145">
        <f>IF(AND($N145=1,AND(对接源_01水果!$D145="周转筐－销售出库",N(对接源_01水果!$K145)&lt;&gt;0)),1,0)</f>
        <v>0</v>
      </c>
      <c r="AI145">
        <f>N(AI144)+$AH145</f>
        <v>0</v>
      </c>
      <c r="AJ145" s="7" t="n"/>
      <c r="AL145">
        <f>IF(OR($AL$1="",对接源_01水果!$Y145="",对接源_01水果!$Y145&lt;&gt;$AL$1,对接源_01水果!$B145="",N(对接源_01水果!$AJ145)&lt;=0),0,IF(OR(N(对接源_01水果!$B145)&lt;$AL$2,N(对接源_01水果!$B145)&gt;$AL$3),0,1))</f>
        <v>0</v>
      </c>
      <c r="AM145">
        <f>N(AM144)+$AL145</f>
        <v>0</v>
      </c>
      <c r="AN145">
        <f>IF(对接源_01水果!$AC145="","",对接源_01水果!$AC145)</f>
      </c>
      <c r="AO145">
        <f>IF(AN145="",0,IF(MATCH(AN145,$AN$4:$AN$1203,0)=ROW()-3,1,0))</f>
        <v>0</v>
      </c>
      <c r="AP145">
        <f>N(AP144)+$AO145</f>
        <v>0</v>
      </c>
      <c r="AQ145">
        <f>IFERROR(INDEX($AN$4:$AN$1203,MATCH(ROW()-3,$AP$4:$AP$1203,0)),"")</f>
      </c>
      <c r="AR145">
        <f>IF(OR($AF145=1,$AH145=1),1,0)</f>
        <v>0</v>
      </c>
      <c r="AS145">
        <f>N(AS144)+$AR145</f>
        <v>0</v>
      </c>
    </row>
    <row r="146" ht="14.25" customHeight="1" s="127">
      <c r="A146" t="str">
        <f>IF(对接源_01水果!$C146="","",对接源_01水果!$C146)</f>
        <v>麦麦提</v>
      </c>
      <c r="B146">
        <f>IF(A146="",0,IF(MATCH(A146,$A$4:$A$2403,0)=ROW()-3,1,0))</f>
        <v>0</v>
      </c>
      <c r="C146">
        <f>N(C145)+B146</f>
        <v>5</v>
      </c>
      <c r="E146">
        <f>IFERROR(INDEX($A$4:$A$2403,MATCH(ROW()-3,$C$4:$C$2403,0)),"")</f>
      </c>
      <c r="K146">
        <f>IF(OR($K$1="",对接源_01水果!$C146="",对接源_01水果!$C146&lt;&gt;$K$1,对接源_01水果!$B146=""),0,IF(OR(N(对接源_01水果!$B146)&lt;$K$2,N(对接源_01水果!$B146)&gt;$K$3),0,1))</f>
        <v>0</v>
      </c>
      <c r="L146">
        <f>IF(OR($L$1="",对接源_01水果!$C146="",对接源_01水果!$C146&lt;&gt;$L$1,对接源_01水果!$B146=""),0,IF(OR(N(对接源_01水果!$B146)&lt;$L$2,N(对接源_01水果!$B146)&gt;$L$3),0,1))</f>
        <v>0</v>
      </c>
      <c r="M146">
        <f>IF(OR($M$1="",对接源_01水果!$C146="",对接源_01水果!$C146&lt;&gt;$M$1,对接源_01水果!$B146=""),0,IF(OR(N(对接源_01水果!$B146)&lt;$M$2,N(对接源_01水果!$B146)&gt;$M$3),0,1))</f>
        <v>0</v>
      </c>
      <c r="N146">
        <f>IF(OR($N$1="",对接源_01水果!$C146="",对接源_01水果!$C146&lt;&gt;$N$1,对接源_01水果!$B146=""),0,IF(OR(N(对接源_01水果!$B146)&lt;$N$2,N(对接源_01水果!$B146)&gt;$N$3),0,1))</f>
        <v>1</v>
      </c>
      <c r="P146">
        <f>IF(AND($K146=1,AND(对接源_01水果!$X146="公司筐",N(对接源_01水果!$T146)&lt;&gt;0)),1,0)</f>
        <v>0</v>
      </c>
      <c r="Q146">
        <f>N(Q145)+$P146</f>
        <v>0</v>
      </c>
      <c r="R146">
        <f>IF(AND($K146=1,AND(对接源_01水果!$X146="公司筐",N(对接源_01水果!$U146)&lt;&gt;0)),1,0)</f>
        <v>0</v>
      </c>
      <c r="S146">
        <f>N(S145)+$R146</f>
        <v>0</v>
      </c>
      <c r="T146">
        <f>IF(AND($K146=1,AND(对接源_01水果!$X146="公司筐",N(对接源_01水果!$V146)&lt;&gt;0)),1,0)</f>
        <v>0</v>
      </c>
      <c r="U146">
        <f>N(U145)+$T146</f>
        <v>0</v>
      </c>
      <c r="V146">
        <f>IF(AND($L146=1,AND(对接源_01水果!$X146="自备筐",N(对接源_01水果!$V146)&lt;&gt;0)),1,0)</f>
        <v>0</v>
      </c>
      <c r="W146">
        <f>N(W145)+$V146</f>
        <v>0</v>
      </c>
      <c r="X146">
        <f>IF(AND($L146=1,AND(对接源_01水果!$X146="自备筐",N(对接源_01水果!$T146)&lt;&gt;0)),1,0)</f>
        <v>0</v>
      </c>
      <c r="Y146">
        <f>N(Y145)+$X146</f>
        <v>0</v>
      </c>
      <c r="Z146">
        <f>IF(AND($M146=1,对接源_01水果!$D146="原料入库"),1,0)</f>
        <v>0</v>
      </c>
      <c r="AA146">
        <f>N(AA145)+$Z146</f>
        <v>0</v>
      </c>
      <c r="AB146">
        <f>IF(AND($M146=1,LEFT(对接源_01水果!$D146,4)="原料出库"),1,0)</f>
        <v>0</v>
      </c>
      <c r="AC146">
        <f>N(AC145)+$AB146</f>
        <v>0</v>
      </c>
      <c r="AD146">
        <f>IF(AND($M146=1,LEFT(对接源_01水果!$D146,4)="成品出库"),1,0)</f>
        <v>0</v>
      </c>
      <c r="AE146">
        <f>N(AE145)+$AD146</f>
        <v>0</v>
      </c>
      <c r="AF146">
        <f>IF(AND($N146=1,AND(LEFT(对接源_01水果!$D146,4)="包装物料",N(对接源_01水果!$K146)&lt;&gt;0)),1,0)</f>
        <v>0</v>
      </c>
      <c r="AG146">
        <f>N(AG145)+$AF146</f>
        <v>0</v>
      </c>
      <c r="AH146">
        <f>IF(AND($N146=1,AND(对接源_01水果!$D146="周转筐－销售出库",N(对接源_01水果!$K146)&lt;&gt;0)),1,0)</f>
        <v>0</v>
      </c>
      <c r="AI146">
        <f>N(AI145)+$AH146</f>
        <v>0</v>
      </c>
      <c r="AJ146" s="7" t="n"/>
      <c r="AL146">
        <f>IF(OR($AL$1="",对接源_01水果!$Y146="",对接源_01水果!$Y146&lt;&gt;$AL$1,对接源_01水果!$B146="",N(对接源_01水果!$AJ146)&lt;=0),0,IF(OR(N(对接源_01水果!$B146)&lt;$AL$2,N(对接源_01水果!$B146)&gt;$AL$3),0,1))</f>
        <v>0</v>
      </c>
      <c r="AM146">
        <f>N(AM145)+$AL146</f>
        <v>0</v>
      </c>
      <c r="AN146">
        <f>IF(对接源_01水果!$AC146="","",对接源_01水果!$AC146)</f>
      </c>
      <c r="AO146">
        <f>IF(AN146="",0,IF(MATCH(AN146,$AN$4:$AN$1203,0)=ROW()-3,1,0))</f>
        <v>0</v>
      </c>
      <c r="AP146">
        <f>N(AP145)+$AO146</f>
        <v>0</v>
      </c>
      <c r="AQ146">
        <f>IFERROR(INDEX($AN$4:$AN$1203,MATCH(ROW()-3,$AP$4:$AP$1203,0)),"")</f>
      </c>
      <c r="AR146">
        <f>IF(OR($AF146=1,$AH146=1),1,0)</f>
        <v>0</v>
      </c>
      <c r="AS146">
        <f>N(AS145)+$AR146</f>
        <v>0</v>
      </c>
    </row>
    <row r="147" ht="14.25" customHeight="1" s="127">
      <c r="A147" t="str">
        <f>IF(对接源_01水果!$C147="","",对接源_01水果!$C147)</f>
        <v>麦麦提</v>
      </c>
      <c r="B147">
        <f>IF(A147="",0,IF(MATCH(A147,$A$4:$A$2403,0)=ROW()-3,1,0))</f>
        <v>0</v>
      </c>
      <c r="C147">
        <f>N(C146)+B147</f>
        <v>5</v>
      </c>
      <c r="E147">
        <f>IFERROR(INDEX($A$4:$A$2403,MATCH(ROW()-3,$C$4:$C$2403,0)),"")</f>
      </c>
      <c r="K147">
        <f>IF(OR($K$1="",对接源_01水果!$C147="",对接源_01水果!$C147&lt;&gt;$K$1,对接源_01水果!$B147=""),0,IF(OR(N(对接源_01水果!$B147)&lt;$K$2,N(对接源_01水果!$B147)&gt;$K$3),0,1))</f>
        <v>0</v>
      </c>
      <c r="L147">
        <f>IF(OR($L$1="",对接源_01水果!$C147="",对接源_01水果!$C147&lt;&gt;$L$1,对接源_01水果!$B147=""),0,IF(OR(N(对接源_01水果!$B147)&lt;$L$2,N(对接源_01水果!$B147)&gt;$L$3),0,1))</f>
        <v>0</v>
      </c>
      <c r="M147">
        <f>IF(OR($M$1="",对接源_01水果!$C147="",对接源_01水果!$C147&lt;&gt;$M$1,对接源_01水果!$B147=""),0,IF(OR(N(对接源_01水果!$B147)&lt;$M$2,N(对接源_01水果!$B147)&gt;$M$3),0,1))</f>
        <v>0</v>
      </c>
      <c r="N147">
        <f>IF(OR($N$1="",对接源_01水果!$C147="",对接源_01水果!$C147&lt;&gt;$N$1,对接源_01水果!$B147=""),0,IF(OR(N(对接源_01水果!$B147)&lt;$N$2,N(对接源_01水果!$B147)&gt;$N$3),0,1))</f>
        <v>1</v>
      </c>
      <c r="P147">
        <f>IF(AND($K147=1,AND(对接源_01水果!$X147="公司筐",N(对接源_01水果!$T147)&lt;&gt;0)),1,0)</f>
        <v>0</v>
      </c>
      <c r="Q147">
        <f>N(Q146)+$P147</f>
        <v>0</v>
      </c>
      <c r="R147">
        <f>IF(AND($K147=1,AND(对接源_01水果!$X147="公司筐",N(对接源_01水果!$U147)&lt;&gt;0)),1,0)</f>
        <v>0</v>
      </c>
      <c r="S147">
        <f>N(S146)+$R147</f>
        <v>0</v>
      </c>
      <c r="T147">
        <f>IF(AND($K147=1,AND(对接源_01水果!$X147="公司筐",N(对接源_01水果!$V147)&lt;&gt;0)),1,0)</f>
        <v>0</v>
      </c>
      <c r="U147">
        <f>N(U146)+$T147</f>
        <v>0</v>
      </c>
      <c r="V147">
        <f>IF(AND($L147=1,AND(对接源_01水果!$X147="自备筐",N(对接源_01水果!$V147)&lt;&gt;0)),1,0)</f>
        <v>0</v>
      </c>
      <c r="W147">
        <f>N(W146)+$V147</f>
        <v>0</v>
      </c>
      <c r="X147">
        <f>IF(AND($L147=1,AND(对接源_01水果!$X147="自备筐",N(对接源_01水果!$T147)&lt;&gt;0)),1,0)</f>
        <v>0</v>
      </c>
      <c r="Y147">
        <f>N(Y146)+$X147</f>
        <v>0</v>
      </c>
      <c r="Z147">
        <f>IF(AND($M147=1,对接源_01水果!$D147="原料入库"),1,0)</f>
        <v>0</v>
      </c>
      <c r="AA147">
        <f>N(AA146)+$Z147</f>
        <v>0</v>
      </c>
      <c r="AB147">
        <f>IF(AND($M147=1,LEFT(对接源_01水果!$D147,4)="原料出库"),1,0)</f>
        <v>0</v>
      </c>
      <c r="AC147">
        <f>N(AC146)+$AB147</f>
        <v>0</v>
      </c>
      <c r="AD147">
        <f>IF(AND($M147=1,LEFT(对接源_01水果!$D147,4)="成品出库"),1,0)</f>
        <v>0</v>
      </c>
      <c r="AE147">
        <f>N(AE146)+$AD147</f>
        <v>0</v>
      </c>
      <c r="AF147">
        <f>IF(AND($N147=1,AND(LEFT(对接源_01水果!$D147,4)="包装物料",N(对接源_01水果!$K147)&lt;&gt;0)),1,0)</f>
        <v>0</v>
      </c>
      <c r="AG147">
        <f>N(AG146)+$AF147</f>
        <v>0</v>
      </c>
      <c r="AH147">
        <f>IF(AND($N147=1,AND(对接源_01水果!$D147="周转筐－销售出库",N(对接源_01水果!$K147)&lt;&gt;0)),1,0)</f>
        <v>0</v>
      </c>
      <c r="AI147">
        <f>N(AI146)+$AH147</f>
        <v>0</v>
      </c>
      <c r="AJ147" s="7" t="n"/>
      <c r="AL147">
        <f>IF(OR($AL$1="",对接源_01水果!$Y147="",对接源_01水果!$Y147&lt;&gt;$AL$1,对接源_01水果!$B147="",N(对接源_01水果!$AJ147)&lt;=0),0,IF(OR(N(对接源_01水果!$B147)&lt;$AL$2,N(对接源_01水果!$B147)&gt;$AL$3),0,1))</f>
        <v>0</v>
      </c>
      <c r="AM147">
        <f>N(AM146)+$AL147</f>
        <v>0</v>
      </c>
      <c r="AN147">
        <f>IF(对接源_01水果!$AC147="","",对接源_01水果!$AC147)</f>
      </c>
      <c r="AO147">
        <f>IF(AN147="",0,IF(MATCH(AN147,$AN$4:$AN$1203,0)=ROW()-3,1,0))</f>
        <v>0</v>
      </c>
      <c r="AP147">
        <f>N(AP146)+$AO147</f>
        <v>0</v>
      </c>
      <c r="AQ147">
        <f>IFERROR(INDEX($AN$4:$AN$1203,MATCH(ROW()-3,$AP$4:$AP$1203,0)),"")</f>
      </c>
      <c r="AR147">
        <f>IF(OR($AF147=1,$AH147=1),1,0)</f>
        <v>0</v>
      </c>
      <c r="AS147">
        <f>N(AS146)+$AR147</f>
        <v>0</v>
      </c>
    </row>
    <row r="148" ht="14.25" customHeight="1" s="127">
      <c r="A148" t="str">
        <f>IF(对接源_01水果!$C148="","",对接源_01水果!$C148)</f>
        <v>吐尔洪</v>
      </c>
      <c r="B148">
        <f>IF(A148="",0,IF(MATCH(A148,$A$4:$A$2403,0)=ROW()-3,1,0))</f>
        <v>1</v>
      </c>
      <c r="C148">
        <f>N(C147)+B148</f>
        <v>6</v>
      </c>
      <c r="E148">
        <f>IFERROR(INDEX($A$4:$A$2403,MATCH(ROW()-3,$C$4:$C$2403,0)),"")</f>
      </c>
      <c r="K148">
        <f>IF(OR($K$1="",对接源_01水果!$C148="",对接源_01水果!$C148&lt;&gt;$K$1,对接源_01水果!$B148=""),0,IF(OR(N(对接源_01水果!$B148)&lt;$K$2,N(对接源_01水果!$B148)&gt;$K$3),0,1))</f>
        <v>0</v>
      </c>
      <c r="L148">
        <f>IF(OR($L$1="",对接源_01水果!$C148="",对接源_01水果!$C148&lt;&gt;$L$1,对接源_01水果!$B148=""),0,IF(OR(N(对接源_01水果!$B148)&lt;$L$2,N(对接源_01水果!$B148)&gt;$L$3),0,1))</f>
        <v>0</v>
      </c>
      <c r="M148">
        <f>IF(OR($M$1="",对接源_01水果!$C148="",对接源_01水果!$C148&lt;&gt;$M$1,对接源_01水果!$B148=""),0,IF(OR(N(对接源_01水果!$B148)&lt;$M$2,N(对接源_01水果!$B148)&gt;$M$3),0,1))</f>
        <v>1</v>
      </c>
      <c r="N148">
        <f>IF(OR($N$1="",对接源_01水果!$C148="",对接源_01水果!$C148&lt;&gt;$N$1,对接源_01水果!$B148=""),0,IF(OR(N(对接源_01水果!$B148)&lt;$N$2,N(对接源_01水果!$B148)&gt;$N$3),0,1))</f>
        <v>0</v>
      </c>
      <c r="P148">
        <f>IF(AND($K148=1,AND(对接源_01水果!$X148="公司筐",N(对接源_01水果!$T148)&lt;&gt;0)),1,0)</f>
        <v>0</v>
      </c>
      <c r="Q148">
        <f>N(Q147)+$P148</f>
        <v>0</v>
      </c>
      <c r="R148">
        <f>IF(AND($K148=1,AND(对接源_01水果!$X148="公司筐",N(对接源_01水果!$U148)&lt;&gt;0)),1,0)</f>
        <v>0</v>
      </c>
      <c r="S148">
        <f>N(S147)+$R148</f>
        <v>0</v>
      </c>
      <c r="T148">
        <f>IF(AND($K148=1,AND(对接源_01水果!$X148="公司筐",N(对接源_01水果!$V148)&lt;&gt;0)),1,0)</f>
        <v>0</v>
      </c>
      <c r="U148">
        <f>N(U147)+$T148</f>
        <v>0</v>
      </c>
      <c r="V148">
        <f>IF(AND($L148=1,AND(对接源_01水果!$X148="自备筐",N(对接源_01水果!$V148)&lt;&gt;0)),1,0)</f>
        <v>0</v>
      </c>
      <c r="W148">
        <f>N(W147)+$V148</f>
        <v>0</v>
      </c>
      <c r="X148">
        <f>IF(AND($L148=1,AND(对接源_01水果!$X148="自备筐",N(对接源_01水果!$T148)&lt;&gt;0)),1,0)</f>
        <v>0</v>
      </c>
      <c r="Y148">
        <f>N(Y147)+$X148</f>
        <v>0</v>
      </c>
      <c r="Z148">
        <f>IF(AND($M148=1,对接源_01水果!$D148="原料入库"),1,0)</f>
        <v>1</v>
      </c>
      <c r="AA148">
        <f>N(AA147)+$Z148</f>
        <v>1</v>
      </c>
      <c r="AB148">
        <f>IF(AND($M148=1,LEFT(对接源_01水果!$D148,4)="原料出库"),1,0)</f>
        <v>0</v>
      </c>
      <c r="AC148">
        <f>N(AC147)+$AB148</f>
        <v>0</v>
      </c>
      <c r="AD148">
        <f>IF(AND($M148=1,LEFT(对接源_01水果!$D148,4)="成品出库"),1,0)</f>
        <v>0</v>
      </c>
      <c r="AE148">
        <f>N(AE147)+$AD148</f>
        <v>0</v>
      </c>
      <c r="AF148">
        <f>IF(AND($N148=1,AND(LEFT(对接源_01水果!$D148,4)="包装物料",N(对接源_01水果!$K148)&lt;&gt;0)),1,0)</f>
        <v>0</v>
      </c>
      <c r="AG148">
        <f>N(AG147)+$AF148</f>
        <v>0</v>
      </c>
      <c r="AH148">
        <f>IF(AND($N148=1,AND(对接源_01水果!$D148="周转筐－销售出库",N(对接源_01水果!$K148)&lt;&gt;0)),1,0)</f>
        <v>0</v>
      </c>
      <c r="AI148">
        <f>N(AI147)+$AH148</f>
        <v>0</v>
      </c>
      <c r="AJ148" s="7" t="n"/>
      <c r="AL148">
        <f>IF(OR($AL$1="",对接源_01水果!$Y148="",对接源_01水果!$Y148&lt;&gt;$AL$1,对接源_01水果!$B148="",N(对接源_01水果!$AJ148)&lt;=0),0,IF(OR(N(对接源_01水果!$B148)&lt;$AL$2,N(对接源_01水果!$B148)&gt;$AL$3),0,1))</f>
        <v>0</v>
      </c>
      <c r="AM148">
        <f>N(AM147)+$AL148</f>
        <v>0</v>
      </c>
      <c r="AN148">
        <f>IF(对接源_01水果!$AC148="","",对接源_01水果!$AC148)</f>
      </c>
      <c r="AO148">
        <f>IF(AN148="",0,IF(MATCH(AN148,$AN$4:$AN$1203,0)=ROW()-3,1,0))</f>
        <v>0</v>
      </c>
      <c r="AP148">
        <f>N(AP147)+$AO148</f>
        <v>0</v>
      </c>
      <c r="AQ148">
        <f>IFERROR(INDEX($AN$4:$AN$1203,MATCH(ROW()-3,$AP$4:$AP$1203,0)),"")</f>
      </c>
      <c r="AR148">
        <f>IF(OR($AF148=1,$AH148=1),1,0)</f>
        <v>0</v>
      </c>
      <c r="AS148">
        <f>N(AS147)+$AR148</f>
        <v>0</v>
      </c>
    </row>
    <row r="149" ht="14.25" customHeight="1" s="127">
      <c r="A149" t="str">
        <f>IF(对接源_01水果!$C149="","",对接源_01水果!$C149)</f>
        <v>吐尔洪</v>
      </c>
      <c r="B149">
        <f>IF(A149="",0,IF(MATCH(A149,$A$4:$A$2403,0)=ROW()-3,1,0))</f>
        <v>0</v>
      </c>
      <c r="C149">
        <f>N(C148)+B149</f>
        <v>6</v>
      </c>
      <c r="E149">
        <f>IFERROR(INDEX($A$4:$A$2403,MATCH(ROW()-3,$C$4:$C$2403,0)),"")</f>
      </c>
      <c r="K149">
        <f>IF(OR($K$1="",对接源_01水果!$C149="",对接源_01水果!$C149&lt;&gt;$K$1,对接源_01水果!$B149=""),0,IF(OR(N(对接源_01水果!$B149)&lt;$K$2,N(对接源_01水果!$B149)&gt;$K$3),0,1))</f>
        <v>0</v>
      </c>
      <c r="L149">
        <f>IF(OR($L$1="",对接源_01水果!$C149="",对接源_01水果!$C149&lt;&gt;$L$1,对接源_01水果!$B149=""),0,IF(OR(N(对接源_01水果!$B149)&lt;$L$2,N(对接源_01水果!$B149)&gt;$L$3),0,1))</f>
        <v>0</v>
      </c>
      <c r="M149">
        <f>IF(OR($M$1="",对接源_01水果!$C149="",对接源_01水果!$C149&lt;&gt;$M$1,对接源_01水果!$B149=""),0,IF(OR(N(对接源_01水果!$B149)&lt;$M$2,N(对接源_01水果!$B149)&gt;$M$3),0,1))</f>
        <v>1</v>
      </c>
      <c r="N149">
        <f>IF(OR($N$1="",对接源_01水果!$C149="",对接源_01水果!$C149&lt;&gt;$N$1,对接源_01水果!$B149=""),0,IF(OR(N(对接源_01水果!$B149)&lt;$N$2,N(对接源_01水果!$B149)&gt;$N$3),0,1))</f>
        <v>0</v>
      </c>
      <c r="P149">
        <f>IF(AND($K149=1,AND(对接源_01水果!$X149="公司筐",N(对接源_01水果!$T149)&lt;&gt;0)),1,0)</f>
        <v>0</v>
      </c>
      <c r="Q149">
        <f>N(Q148)+$P149</f>
        <v>0</v>
      </c>
      <c r="R149">
        <f>IF(AND($K149=1,AND(对接源_01水果!$X149="公司筐",N(对接源_01水果!$U149)&lt;&gt;0)),1,0)</f>
        <v>0</v>
      </c>
      <c r="S149">
        <f>N(S148)+$R149</f>
        <v>0</v>
      </c>
      <c r="T149">
        <f>IF(AND($K149=1,AND(对接源_01水果!$X149="公司筐",N(对接源_01水果!$V149)&lt;&gt;0)),1,0)</f>
        <v>0</v>
      </c>
      <c r="U149">
        <f>N(U148)+$T149</f>
        <v>0</v>
      </c>
      <c r="V149">
        <f>IF(AND($L149=1,AND(对接源_01水果!$X149="自备筐",N(对接源_01水果!$V149)&lt;&gt;0)),1,0)</f>
        <v>0</v>
      </c>
      <c r="W149">
        <f>N(W148)+$V149</f>
        <v>0</v>
      </c>
      <c r="X149">
        <f>IF(AND($L149=1,AND(对接源_01水果!$X149="自备筐",N(对接源_01水果!$T149)&lt;&gt;0)),1,0)</f>
        <v>0</v>
      </c>
      <c r="Y149">
        <f>N(Y148)+$X149</f>
        <v>0</v>
      </c>
      <c r="Z149">
        <f>IF(AND($M149=1,对接源_01水果!$D149="原料入库"),1,0)</f>
        <v>1</v>
      </c>
      <c r="AA149">
        <f>N(AA148)+$Z149</f>
        <v>2</v>
      </c>
      <c r="AB149">
        <f>IF(AND($M149=1,LEFT(对接源_01水果!$D149,4)="原料出库"),1,0)</f>
        <v>0</v>
      </c>
      <c r="AC149">
        <f>N(AC148)+$AB149</f>
        <v>0</v>
      </c>
      <c r="AD149">
        <f>IF(AND($M149=1,LEFT(对接源_01水果!$D149,4)="成品出库"),1,0)</f>
        <v>0</v>
      </c>
      <c r="AE149">
        <f>N(AE148)+$AD149</f>
        <v>0</v>
      </c>
      <c r="AF149">
        <f>IF(AND($N149=1,AND(LEFT(对接源_01水果!$D149,4)="包装物料",N(对接源_01水果!$K149)&lt;&gt;0)),1,0)</f>
        <v>0</v>
      </c>
      <c r="AG149">
        <f>N(AG148)+$AF149</f>
        <v>0</v>
      </c>
      <c r="AH149">
        <f>IF(AND($N149=1,AND(对接源_01水果!$D149="周转筐－销售出库",N(对接源_01水果!$K149)&lt;&gt;0)),1,0)</f>
        <v>0</v>
      </c>
      <c r="AI149">
        <f>N(AI148)+$AH149</f>
        <v>0</v>
      </c>
      <c r="AJ149" s="7" t="n"/>
      <c r="AL149">
        <f>IF(OR($AL$1="",对接源_01水果!$Y149="",对接源_01水果!$Y149&lt;&gt;$AL$1,对接源_01水果!$B149="",N(对接源_01水果!$AJ149)&lt;=0),0,IF(OR(N(对接源_01水果!$B149)&lt;$AL$2,N(对接源_01水果!$B149)&gt;$AL$3),0,1))</f>
        <v>0</v>
      </c>
      <c r="AM149">
        <f>N(AM148)+$AL149</f>
        <v>0</v>
      </c>
      <c r="AN149">
        <f>IF(对接源_01水果!$AC149="","",对接源_01水果!$AC149)</f>
      </c>
      <c r="AO149">
        <f>IF(AN149="",0,IF(MATCH(AN149,$AN$4:$AN$1203,0)=ROW()-3,1,0))</f>
        <v>0</v>
      </c>
      <c r="AP149">
        <f>N(AP148)+$AO149</f>
        <v>0</v>
      </c>
      <c r="AQ149">
        <f>IFERROR(INDEX($AN$4:$AN$1203,MATCH(ROW()-3,$AP$4:$AP$1203,0)),"")</f>
      </c>
      <c r="AR149">
        <f>IF(OR($AF149=1,$AH149=1),1,0)</f>
        <v>0</v>
      </c>
      <c r="AS149">
        <f>N(AS148)+$AR149</f>
        <v>0</v>
      </c>
    </row>
    <row r="150" ht="14.25" customHeight="1" s="127">
      <c r="A150" t="str">
        <f>IF(对接源_01水果!$C150="","",对接源_01水果!$C150)</f>
        <v>吐尔洪</v>
      </c>
      <c r="B150">
        <f>IF(A150="",0,IF(MATCH(A150,$A$4:$A$2403,0)=ROW()-3,1,0))</f>
        <v>0</v>
      </c>
      <c r="C150">
        <f>N(C149)+B150</f>
        <v>6</v>
      </c>
      <c r="E150">
        <f>IFERROR(INDEX($A$4:$A$2403,MATCH(ROW()-3,$C$4:$C$2403,0)),"")</f>
      </c>
      <c r="K150">
        <f>IF(OR($K$1="",对接源_01水果!$C150="",对接源_01水果!$C150&lt;&gt;$K$1,对接源_01水果!$B150=""),0,IF(OR(N(对接源_01水果!$B150)&lt;$K$2,N(对接源_01水果!$B150)&gt;$K$3),0,1))</f>
        <v>0</v>
      </c>
      <c r="L150">
        <f>IF(OR($L$1="",对接源_01水果!$C150="",对接源_01水果!$C150&lt;&gt;$L$1,对接源_01水果!$B150=""),0,IF(OR(N(对接源_01水果!$B150)&lt;$L$2,N(对接源_01水果!$B150)&gt;$L$3),0,1))</f>
        <v>0</v>
      </c>
      <c r="M150">
        <f>IF(OR($M$1="",对接源_01水果!$C150="",对接源_01水果!$C150&lt;&gt;$M$1,对接源_01水果!$B150=""),0,IF(OR(N(对接源_01水果!$B150)&lt;$M$2,N(对接源_01水果!$B150)&gt;$M$3),0,1))</f>
        <v>1</v>
      </c>
      <c r="N150">
        <f>IF(OR($N$1="",对接源_01水果!$C150="",对接源_01水果!$C150&lt;&gt;$N$1,对接源_01水果!$B150=""),0,IF(OR(N(对接源_01水果!$B150)&lt;$N$2,N(对接源_01水果!$B150)&gt;$N$3),0,1))</f>
        <v>0</v>
      </c>
      <c r="P150">
        <f>IF(AND($K150=1,AND(对接源_01水果!$X150="公司筐",N(对接源_01水果!$T150)&lt;&gt;0)),1,0)</f>
        <v>0</v>
      </c>
      <c r="Q150">
        <f>N(Q149)+$P150</f>
        <v>0</v>
      </c>
      <c r="R150">
        <f>IF(AND($K150=1,AND(对接源_01水果!$X150="公司筐",N(对接源_01水果!$U150)&lt;&gt;0)),1,0)</f>
        <v>0</v>
      </c>
      <c r="S150">
        <f>N(S149)+$R150</f>
        <v>0</v>
      </c>
      <c r="T150">
        <f>IF(AND($K150=1,AND(对接源_01水果!$X150="公司筐",N(对接源_01水果!$V150)&lt;&gt;0)),1,0)</f>
        <v>0</v>
      </c>
      <c r="U150">
        <f>N(U149)+$T150</f>
        <v>0</v>
      </c>
      <c r="V150">
        <f>IF(AND($L150=1,AND(对接源_01水果!$X150="自备筐",N(对接源_01水果!$V150)&lt;&gt;0)),1,0)</f>
        <v>0</v>
      </c>
      <c r="W150">
        <f>N(W149)+$V150</f>
        <v>0</v>
      </c>
      <c r="X150">
        <f>IF(AND($L150=1,AND(对接源_01水果!$X150="自备筐",N(对接源_01水果!$T150)&lt;&gt;0)),1,0)</f>
        <v>0</v>
      </c>
      <c r="Y150">
        <f>N(Y149)+$X150</f>
        <v>0</v>
      </c>
      <c r="Z150">
        <f>IF(AND($M150=1,对接源_01水果!$D150="原料入库"),1,0)</f>
        <v>1</v>
      </c>
      <c r="AA150">
        <f>N(AA149)+$Z150</f>
        <v>3</v>
      </c>
      <c r="AB150">
        <f>IF(AND($M150=1,LEFT(对接源_01水果!$D150,4)="原料出库"),1,0)</f>
        <v>0</v>
      </c>
      <c r="AC150">
        <f>N(AC149)+$AB150</f>
        <v>0</v>
      </c>
      <c r="AD150">
        <f>IF(AND($M150=1,LEFT(对接源_01水果!$D150,4)="成品出库"),1,0)</f>
        <v>0</v>
      </c>
      <c r="AE150">
        <f>N(AE149)+$AD150</f>
        <v>0</v>
      </c>
      <c r="AF150">
        <f>IF(AND($N150=1,AND(LEFT(对接源_01水果!$D150,4)="包装物料",N(对接源_01水果!$K150)&lt;&gt;0)),1,0)</f>
        <v>0</v>
      </c>
      <c r="AG150">
        <f>N(AG149)+$AF150</f>
        <v>0</v>
      </c>
      <c r="AH150">
        <f>IF(AND($N150=1,AND(对接源_01水果!$D150="周转筐－销售出库",N(对接源_01水果!$K150)&lt;&gt;0)),1,0)</f>
        <v>0</v>
      </c>
      <c r="AI150">
        <f>N(AI149)+$AH150</f>
        <v>0</v>
      </c>
      <c r="AJ150" s="7" t="n"/>
      <c r="AL150">
        <f>IF(OR($AL$1="",对接源_01水果!$Y150="",对接源_01水果!$Y150&lt;&gt;$AL$1,对接源_01水果!$B150="",N(对接源_01水果!$AJ150)&lt;=0),0,IF(OR(N(对接源_01水果!$B150)&lt;$AL$2,N(对接源_01水果!$B150)&gt;$AL$3),0,1))</f>
        <v>0</v>
      </c>
      <c r="AM150">
        <f>N(AM149)+$AL150</f>
        <v>0</v>
      </c>
      <c r="AN150">
        <f>IF(对接源_01水果!$AC150="","",对接源_01水果!$AC150)</f>
      </c>
      <c r="AO150">
        <f>IF(AN150="",0,IF(MATCH(AN150,$AN$4:$AN$1203,0)=ROW()-3,1,0))</f>
        <v>0</v>
      </c>
      <c r="AP150">
        <f>N(AP149)+$AO150</f>
        <v>0</v>
      </c>
      <c r="AQ150">
        <f>IFERROR(INDEX($AN$4:$AN$1203,MATCH(ROW()-3,$AP$4:$AP$1203,0)),"")</f>
      </c>
      <c r="AR150">
        <f>IF(OR($AF150=1,$AH150=1),1,0)</f>
        <v>0</v>
      </c>
      <c r="AS150">
        <f>N(AS149)+$AR150</f>
        <v>0</v>
      </c>
    </row>
    <row r="151" ht="14.25" customHeight="1" s="127">
      <c r="A151" t="str">
        <f>IF(对接源_01水果!$C151="","",对接源_01水果!$C151)</f>
        <v>马锦祥</v>
      </c>
      <c r="B151">
        <f>IF(A151="",0,IF(MATCH(A151,$A$4:$A$2403,0)=ROW()-3,1,0))</f>
        <v>0</v>
      </c>
      <c r="C151">
        <f>N(C150)+B151</f>
        <v>6</v>
      </c>
      <c r="E151">
        <f>IFERROR(INDEX($A$4:$A$2403,MATCH(ROW()-3,$C$4:$C$2403,0)),"")</f>
      </c>
      <c r="K151">
        <f>IF(OR($K$1="",对接源_01水果!$C151="",对接源_01水果!$C151&lt;&gt;$K$1,对接源_01水果!$B151=""),0,IF(OR(N(对接源_01水果!$B151)&lt;$K$2,N(对接源_01水果!$B151)&gt;$K$3),0,1))</f>
        <v>0</v>
      </c>
      <c r="L151">
        <f>IF(OR($L$1="",对接源_01水果!$C151="",对接源_01水果!$C151&lt;&gt;$L$1,对接源_01水果!$B151=""),0,IF(OR(N(对接源_01水果!$B151)&lt;$L$2,N(对接源_01水果!$B151)&gt;$L$3),0,1))</f>
        <v>0</v>
      </c>
      <c r="M151">
        <f>IF(OR($M$1="",对接源_01水果!$C151="",对接源_01水果!$C151&lt;&gt;$M$1,对接源_01水果!$B151=""),0,IF(OR(N(对接源_01水果!$B151)&lt;$M$2,N(对接源_01水果!$B151)&gt;$M$3),0,1))</f>
        <v>0</v>
      </c>
      <c r="N151">
        <f>IF(OR($N$1="",对接源_01水果!$C151="",对接源_01水果!$C151&lt;&gt;$N$1,对接源_01水果!$B151=""),0,IF(OR(N(对接源_01水果!$B151)&lt;$N$2,N(对接源_01水果!$B151)&gt;$N$3),0,1))</f>
        <v>0</v>
      </c>
      <c r="P151">
        <f>IF(AND($K151=1,AND(对接源_01水果!$X151="公司筐",N(对接源_01水果!$T151)&lt;&gt;0)),1,0)</f>
        <v>0</v>
      </c>
      <c r="Q151">
        <f>N(Q150)+$P151</f>
        <v>0</v>
      </c>
      <c r="R151">
        <f>IF(AND($K151=1,AND(对接源_01水果!$X151="公司筐",N(对接源_01水果!$U151)&lt;&gt;0)),1,0)</f>
        <v>0</v>
      </c>
      <c r="S151">
        <f>N(S150)+$R151</f>
        <v>0</v>
      </c>
      <c r="T151">
        <f>IF(AND($K151=1,AND(对接源_01水果!$X151="公司筐",N(对接源_01水果!$V151)&lt;&gt;0)),1,0)</f>
        <v>0</v>
      </c>
      <c r="U151">
        <f>N(U150)+$T151</f>
        <v>0</v>
      </c>
      <c r="V151">
        <f>IF(AND($L151=1,AND(对接源_01水果!$X151="自备筐",N(对接源_01水果!$V151)&lt;&gt;0)),1,0)</f>
        <v>0</v>
      </c>
      <c r="W151">
        <f>N(W150)+$V151</f>
        <v>0</v>
      </c>
      <c r="X151">
        <f>IF(AND($L151=1,AND(对接源_01水果!$X151="自备筐",N(对接源_01水果!$T151)&lt;&gt;0)),1,0)</f>
        <v>0</v>
      </c>
      <c r="Y151">
        <f>N(Y150)+$X151</f>
        <v>0</v>
      </c>
      <c r="Z151">
        <f>IF(AND($M151=1,对接源_01水果!$D151="原料入库"),1,0)</f>
        <v>0</v>
      </c>
      <c r="AA151">
        <f>N(AA150)+$Z151</f>
        <v>3</v>
      </c>
      <c r="AB151">
        <f>IF(AND($M151=1,LEFT(对接源_01水果!$D151,4)="原料出库"),1,0)</f>
        <v>0</v>
      </c>
      <c r="AC151">
        <f>N(AC150)+$AB151</f>
        <v>0</v>
      </c>
      <c r="AD151">
        <f>IF(AND($M151=1,LEFT(对接源_01水果!$D151,4)="成品出库"),1,0)</f>
        <v>0</v>
      </c>
      <c r="AE151">
        <f>N(AE150)+$AD151</f>
        <v>0</v>
      </c>
      <c r="AF151">
        <f>IF(AND($N151=1,AND(LEFT(对接源_01水果!$D151,4)="包装物料",N(对接源_01水果!$K151)&lt;&gt;0)),1,0)</f>
        <v>0</v>
      </c>
      <c r="AG151">
        <f>N(AG150)+$AF151</f>
        <v>0</v>
      </c>
      <c r="AH151">
        <f>IF(AND($N151=1,AND(对接源_01水果!$D151="周转筐－销售出库",N(对接源_01水果!$K151)&lt;&gt;0)),1,0)</f>
        <v>0</v>
      </c>
      <c r="AI151">
        <f>N(AI150)+$AH151</f>
        <v>0</v>
      </c>
      <c r="AJ151" s="7" t="n"/>
      <c r="AL151">
        <f>IF(OR($AL$1="",对接源_01水果!$Y151="",对接源_01水果!$Y151&lt;&gt;$AL$1,对接源_01水果!$B151="",N(对接源_01水果!$AJ151)&lt;=0),0,IF(OR(N(对接源_01水果!$B151)&lt;$AL$2,N(对接源_01水果!$B151)&gt;$AL$3),0,1))</f>
        <v>0</v>
      </c>
      <c r="AM151">
        <f>N(AM150)+$AL151</f>
        <v>0</v>
      </c>
      <c r="AN151">
        <f>IF(对接源_01水果!$AC151="","",对接源_01水果!$AC151)</f>
      </c>
      <c r="AO151">
        <f>IF(AN151="",0,IF(MATCH(AN151,$AN$4:$AN$1203,0)=ROW()-3,1,0))</f>
        <v>0</v>
      </c>
      <c r="AP151">
        <f>N(AP150)+$AO151</f>
        <v>0</v>
      </c>
      <c r="AQ151">
        <f>IFERROR(INDEX($AN$4:$AN$1203,MATCH(ROW()-3,$AP$4:$AP$1203,0)),"")</f>
      </c>
      <c r="AR151">
        <f>IF(OR($AF151=1,$AH151=1),1,0)</f>
        <v>0</v>
      </c>
      <c r="AS151">
        <f>N(AS150)+$AR151</f>
        <v>0</v>
      </c>
    </row>
    <row r="152" ht="14.25" customHeight="1" s="127">
      <c r="A152" t="str">
        <f>IF(对接源_01水果!$C152="","",对接源_01水果!$C152)</f>
        <v>马锦祥</v>
      </c>
      <c r="B152">
        <f>IF(A152="",0,IF(MATCH(A152,$A$4:$A$2403,0)=ROW()-3,1,0))</f>
        <v>0</v>
      </c>
      <c r="C152">
        <f>N(C151)+B152</f>
        <v>6</v>
      </c>
      <c r="E152">
        <f>IFERROR(INDEX($A$4:$A$2403,MATCH(ROW()-3,$C$4:$C$2403,0)),"")</f>
      </c>
      <c r="K152">
        <f>IF(OR($K$1="",对接源_01水果!$C152="",对接源_01水果!$C152&lt;&gt;$K$1,对接源_01水果!$B152=""),0,IF(OR(N(对接源_01水果!$B152)&lt;$K$2,N(对接源_01水果!$B152)&gt;$K$3),0,1))</f>
        <v>0</v>
      </c>
      <c r="L152">
        <f>IF(OR($L$1="",对接源_01水果!$C152="",对接源_01水果!$C152&lt;&gt;$L$1,对接源_01水果!$B152=""),0,IF(OR(N(对接源_01水果!$B152)&lt;$L$2,N(对接源_01水果!$B152)&gt;$L$3),0,1))</f>
        <v>0</v>
      </c>
      <c r="M152">
        <f>IF(OR($M$1="",对接源_01水果!$C152="",对接源_01水果!$C152&lt;&gt;$M$1,对接源_01水果!$B152=""),0,IF(OR(N(对接源_01水果!$B152)&lt;$M$2,N(对接源_01水果!$B152)&gt;$M$3),0,1))</f>
        <v>0</v>
      </c>
      <c r="N152">
        <f>IF(OR($N$1="",对接源_01水果!$C152="",对接源_01水果!$C152&lt;&gt;$N$1,对接源_01水果!$B152=""),0,IF(OR(N(对接源_01水果!$B152)&lt;$N$2,N(对接源_01水果!$B152)&gt;$N$3),0,1))</f>
        <v>0</v>
      </c>
      <c r="P152">
        <f>IF(AND($K152=1,AND(对接源_01水果!$X152="公司筐",N(对接源_01水果!$T152)&lt;&gt;0)),1,0)</f>
        <v>0</v>
      </c>
      <c r="Q152">
        <f>N(Q151)+$P152</f>
        <v>0</v>
      </c>
      <c r="R152">
        <f>IF(AND($K152=1,AND(对接源_01水果!$X152="公司筐",N(对接源_01水果!$U152)&lt;&gt;0)),1,0)</f>
        <v>0</v>
      </c>
      <c r="S152">
        <f>N(S151)+$R152</f>
        <v>0</v>
      </c>
      <c r="T152">
        <f>IF(AND($K152=1,AND(对接源_01水果!$X152="公司筐",N(对接源_01水果!$V152)&lt;&gt;0)),1,0)</f>
        <v>0</v>
      </c>
      <c r="U152">
        <f>N(U151)+$T152</f>
        <v>0</v>
      </c>
      <c r="V152">
        <f>IF(AND($L152=1,AND(对接源_01水果!$X152="自备筐",N(对接源_01水果!$V152)&lt;&gt;0)),1,0)</f>
        <v>0</v>
      </c>
      <c r="W152">
        <f>N(W151)+$V152</f>
        <v>0</v>
      </c>
      <c r="X152">
        <f>IF(AND($L152=1,AND(对接源_01水果!$X152="自备筐",N(对接源_01水果!$T152)&lt;&gt;0)),1,0)</f>
        <v>0</v>
      </c>
      <c r="Y152">
        <f>N(Y151)+$X152</f>
        <v>0</v>
      </c>
      <c r="Z152">
        <f>IF(AND($M152=1,对接源_01水果!$D152="原料入库"),1,0)</f>
        <v>0</v>
      </c>
      <c r="AA152">
        <f>N(AA151)+$Z152</f>
        <v>3</v>
      </c>
      <c r="AB152">
        <f>IF(AND($M152=1,LEFT(对接源_01水果!$D152,4)="原料出库"),1,0)</f>
        <v>0</v>
      </c>
      <c r="AC152">
        <f>N(AC151)+$AB152</f>
        <v>0</v>
      </c>
      <c r="AD152">
        <f>IF(AND($M152=1,LEFT(对接源_01水果!$D152,4)="成品出库"),1,0)</f>
        <v>0</v>
      </c>
      <c r="AE152">
        <f>N(AE151)+$AD152</f>
        <v>0</v>
      </c>
      <c r="AF152">
        <f>IF(AND($N152=1,AND(LEFT(对接源_01水果!$D152,4)="包装物料",N(对接源_01水果!$K152)&lt;&gt;0)),1,0)</f>
        <v>0</v>
      </c>
      <c r="AG152">
        <f>N(AG151)+$AF152</f>
        <v>0</v>
      </c>
      <c r="AH152">
        <f>IF(AND($N152=1,AND(对接源_01水果!$D152="周转筐－销售出库",N(对接源_01水果!$K152)&lt;&gt;0)),1,0)</f>
        <v>0</v>
      </c>
      <c r="AI152">
        <f>N(AI151)+$AH152</f>
        <v>0</v>
      </c>
      <c r="AJ152" s="7" t="n"/>
      <c r="AL152">
        <f>IF(OR($AL$1="",对接源_01水果!$Y152="",对接源_01水果!$Y152&lt;&gt;$AL$1,对接源_01水果!$B152="",N(对接源_01水果!$AJ152)&lt;=0),0,IF(OR(N(对接源_01水果!$B152)&lt;$AL$2,N(对接源_01水果!$B152)&gt;$AL$3),0,1))</f>
        <v>0</v>
      </c>
      <c r="AM152">
        <f>N(AM151)+$AL152</f>
        <v>0</v>
      </c>
      <c r="AN152">
        <f>IF(对接源_01水果!$AC152="","",对接源_01水果!$AC152)</f>
      </c>
      <c r="AO152">
        <f>IF(AN152="",0,IF(MATCH(AN152,$AN$4:$AN$1203,0)=ROW()-3,1,0))</f>
        <v>0</v>
      </c>
      <c r="AP152">
        <f>N(AP151)+$AO152</f>
        <v>0</v>
      </c>
      <c r="AQ152">
        <f>IFERROR(INDEX($AN$4:$AN$1203,MATCH(ROW()-3,$AP$4:$AP$1203,0)),"")</f>
      </c>
      <c r="AR152">
        <f>IF(OR($AF152=1,$AH152=1),1,0)</f>
        <v>0</v>
      </c>
      <c r="AS152">
        <f>N(AS151)+$AR152</f>
        <v>0</v>
      </c>
    </row>
    <row r="153" ht="14.25" customHeight="1" s="127">
      <c r="A153" t="str">
        <f>IF(对接源_01水果!$C153="","",对接源_01水果!$C153)</f>
        <v>马锦祥</v>
      </c>
      <c r="B153">
        <f>IF(A153="",0,IF(MATCH(A153,$A$4:$A$2403,0)=ROW()-3,1,0))</f>
        <v>0</v>
      </c>
      <c r="C153">
        <f>N(C152)+B153</f>
        <v>6</v>
      </c>
      <c r="E153">
        <f>IFERROR(INDEX($A$4:$A$2403,MATCH(ROW()-3,$C$4:$C$2403,0)),"")</f>
      </c>
      <c r="K153">
        <f>IF(OR($K$1="",对接源_01水果!$C153="",对接源_01水果!$C153&lt;&gt;$K$1,对接源_01水果!$B153=""),0,IF(OR(N(对接源_01水果!$B153)&lt;$K$2,N(对接源_01水果!$B153)&gt;$K$3),0,1))</f>
        <v>0</v>
      </c>
      <c r="L153">
        <f>IF(OR($L$1="",对接源_01水果!$C153="",对接源_01水果!$C153&lt;&gt;$L$1,对接源_01水果!$B153=""),0,IF(OR(N(对接源_01水果!$B153)&lt;$L$2,N(对接源_01水果!$B153)&gt;$L$3),0,1))</f>
        <v>0</v>
      </c>
      <c r="M153">
        <f>IF(OR($M$1="",对接源_01水果!$C153="",对接源_01水果!$C153&lt;&gt;$M$1,对接源_01水果!$B153=""),0,IF(OR(N(对接源_01水果!$B153)&lt;$M$2,N(对接源_01水果!$B153)&gt;$M$3),0,1))</f>
        <v>0</v>
      </c>
      <c r="N153">
        <f>IF(OR($N$1="",对接源_01水果!$C153="",对接源_01水果!$C153&lt;&gt;$N$1,对接源_01水果!$B153=""),0,IF(OR(N(对接源_01水果!$B153)&lt;$N$2,N(对接源_01水果!$B153)&gt;$N$3),0,1))</f>
        <v>0</v>
      </c>
      <c r="P153">
        <f>IF(AND($K153=1,AND(对接源_01水果!$X153="公司筐",N(对接源_01水果!$T153)&lt;&gt;0)),1,0)</f>
        <v>0</v>
      </c>
      <c r="Q153">
        <f>N(Q152)+$P153</f>
        <v>0</v>
      </c>
      <c r="R153">
        <f>IF(AND($K153=1,AND(对接源_01水果!$X153="公司筐",N(对接源_01水果!$U153)&lt;&gt;0)),1,0)</f>
        <v>0</v>
      </c>
      <c r="S153">
        <f>N(S152)+$R153</f>
        <v>0</v>
      </c>
      <c r="T153">
        <f>IF(AND($K153=1,AND(对接源_01水果!$X153="公司筐",N(对接源_01水果!$V153)&lt;&gt;0)),1,0)</f>
        <v>0</v>
      </c>
      <c r="U153">
        <f>N(U152)+$T153</f>
        <v>0</v>
      </c>
      <c r="V153">
        <f>IF(AND($L153=1,AND(对接源_01水果!$X153="自备筐",N(对接源_01水果!$V153)&lt;&gt;0)),1,0)</f>
        <v>0</v>
      </c>
      <c r="W153">
        <f>N(W152)+$V153</f>
        <v>0</v>
      </c>
      <c r="X153">
        <f>IF(AND($L153=1,AND(对接源_01水果!$X153="自备筐",N(对接源_01水果!$T153)&lt;&gt;0)),1,0)</f>
        <v>0</v>
      </c>
      <c r="Y153">
        <f>N(Y152)+$X153</f>
        <v>0</v>
      </c>
      <c r="Z153">
        <f>IF(AND($M153=1,对接源_01水果!$D153="原料入库"),1,0)</f>
        <v>0</v>
      </c>
      <c r="AA153">
        <f>N(AA152)+$Z153</f>
        <v>3</v>
      </c>
      <c r="AB153">
        <f>IF(AND($M153=1,LEFT(对接源_01水果!$D153,4)="原料出库"),1,0)</f>
        <v>0</v>
      </c>
      <c r="AC153">
        <f>N(AC152)+$AB153</f>
        <v>0</v>
      </c>
      <c r="AD153">
        <f>IF(AND($M153=1,LEFT(对接源_01水果!$D153,4)="成品出库"),1,0)</f>
        <v>0</v>
      </c>
      <c r="AE153">
        <f>N(AE152)+$AD153</f>
        <v>0</v>
      </c>
      <c r="AF153">
        <f>IF(AND($N153=1,AND(LEFT(对接源_01水果!$D153,4)="包装物料",N(对接源_01水果!$K153)&lt;&gt;0)),1,0)</f>
        <v>0</v>
      </c>
      <c r="AG153">
        <f>N(AG152)+$AF153</f>
        <v>0</v>
      </c>
      <c r="AH153">
        <f>IF(AND($N153=1,AND(对接源_01水果!$D153="周转筐－销售出库",N(对接源_01水果!$K153)&lt;&gt;0)),1,0)</f>
        <v>0</v>
      </c>
      <c r="AI153">
        <f>N(AI152)+$AH153</f>
        <v>0</v>
      </c>
      <c r="AJ153" s="7" t="n"/>
      <c r="AL153">
        <f>IF(OR($AL$1="",对接源_01水果!$Y153="",对接源_01水果!$Y153&lt;&gt;$AL$1,对接源_01水果!$B153="",N(对接源_01水果!$AJ153)&lt;=0),0,IF(OR(N(对接源_01水果!$B153)&lt;$AL$2,N(对接源_01水果!$B153)&gt;$AL$3),0,1))</f>
        <v>0</v>
      </c>
      <c r="AM153">
        <f>N(AM152)+$AL153</f>
        <v>0</v>
      </c>
      <c r="AN153">
        <f>IF(对接源_01水果!$AC153="","",对接源_01水果!$AC153)</f>
      </c>
      <c r="AO153">
        <f>IF(AN153="",0,IF(MATCH(AN153,$AN$4:$AN$1203,0)=ROW()-3,1,0))</f>
        <v>0</v>
      </c>
      <c r="AP153">
        <f>N(AP152)+$AO153</f>
        <v>0</v>
      </c>
      <c r="AQ153">
        <f>IFERROR(INDEX($AN$4:$AN$1203,MATCH(ROW()-3,$AP$4:$AP$1203,0)),"")</f>
      </c>
      <c r="AR153">
        <f>IF(OR($AF153=1,$AH153=1),1,0)</f>
        <v>0</v>
      </c>
      <c r="AS153">
        <f>N(AS152)+$AR153</f>
        <v>0</v>
      </c>
    </row>
    <row r="154" ht="14.25" customHeight="1" s="127">
      <c r="A154" t="str">
        <f>IF(对接源_01水果!$C154="","",对接源_01水果!$C154)</f>
        <v>热合曼</v>
      </c>
      <c r="B154">
        <f>IF(A154="",0,IF(MATCH(A154,$A$4:$A$2403,0)=ROW()-3,1,0))</f>
        <v>1</v>
      </c>
      <c r="C154">
        <f>N(C153)+B154</f>
        <v>7</v>
      </c>
      <c r="E154">
        <f>IFERROR(INDEX($A$4:$A$2403,MATCH(ROW()-3,$C$4:$C$2403,0)),"")</f>
      </c>
      <c r="K154">
        <f>IF(OR($K$1="",对接源_01水果!$C154="",对接源_01水果!$C154&lt;&gt;$K$1,对接源_01水果!$B154=""),0,IF(OR(N(对接源_01水果!$B154)&lt;$K$2,N(对接源_01水果!$B154)&gt;$K$3),0,1))</f>
        <v>0</v>
      </c>
      <c r="L154">
        <f>IF(OR($L$1="",对接源_01水果!$C154="",对接源_01水果!$C154&lt;&gt;$L$1,对接源_01水果!$B154=""),0,IF(OR(N(对接源_01水果!$B154)&lt;$L$2,N(对接源_01水果!$B154)&gt;$L$3),0,1))</f>
        <v>0</v>
      </c>
      <c r="M154">
        <f>IF(OR($M$1="",对接源_01水果!$C154="",对接源_01水果!$C154&lt;&gt;$M$1,对接源_01水果!$B154=""),0,IF(OR(N(对接源_01水果!$B154)&lt;$M$2,N(对接源_01水果!$B154)&gt;$M$3),0,1))</f>
        <v>0</v>
      </c>
      <c r="N154">
        <f>IF(OR($N$1="",对接源_01水果!$C154="",对接源_01水果!$C154&lt;&gt;$N$1,对接源_01水果!$B154=""),0,IF(OR(N(对接源_01水果!$B154)&lt;$N$2,N(对接源_01水果!$B154)&gt;$N$3),0,1))</f>
        <v>0</v>
      </c>
      <c r="P154">
        <f>IF(AND($K154=1,AND(对接源_01水果!$X154="公司筐",N(对接源_01水果!$T154)&lt;&gt;0)),1,0)</f>
        <v>0</v>
      </c>
      <c r="Q154">
        <f>N(Q153)+$P154</f>
        <v>0</v>
      </c>
      <c r="R154">
        <f>IF(AND($K154=1,AND(对接源_01水果!$X154="公司筐",N(对接源_01水果!$U154)&lt;&gt;0)),1,0)</f>
        <v>0</v>
      </c>
      <c r="S154">
        <f>N(S153)+$R154</f>
        <v>0</v>
      </c>
      <c r="T154">
        <f>IF(AND($K154=1,AND(对接源_01水果!$X154="公司筐",N(对接源_01水果!$V154)&lt;&gt;0)),1,0)</f>
        <v>0</v>
      </c>
      <c r="U154">
        <f>N(U153)+$T154</f>
        <v>0</v>
      </c>
      <c r="V154">
        <f>IF(AND($L154=1,AND(对接源_01水果!$X154="自备筐",N(对接源_01水果!$V154)&lt;&gt;0)),1,0)</f>
        <v>0</v>
      </c>
      <c r="W154">
        <f>N(W153)+$V154</f>
        <v>0</v>
      </c>
      <c r="X154">
        <f>IF(AND($L154=1,AND(对接源_01水果!$X154="自备筐",N(对接源_01水果!$T154)&lt;&gt;0)),1,0)</f>
        <v>0</v>
      </c>
      <c r="Y154">
        <f>N(Y153)+$X154</f>
        <v>0</v>
      </c>
      <c r="Z154">
        <f>IF(AND($M154=1,对接源_01水果!$D154="原料入库"),1,0)</f>
        <v>0</v>
      </c>
      <c r="AA154">
        <f>N(AA153)+$Z154</f>
        <v>3</v>
      </c>
      <c r="AB154">
        <f>IF(AND($M154=1,LEFT(对接源_01水果!$D154,4)="原料出库"),1,0)</f>
        <v>0</v>
      </c>
      <c r="AC154">
        <f>N(AC153)+$AB154</f>
        <v>0</v>
      </c>
      <c r="AD154">
        <f>IF(AND($M154=1,LEFT(对接源_01水果!$D154,4)="成品出库"),1,0)</f>
        <v>0</v>
      </c>
      <c r="AE154">
        <f>N(AE153)+$AD154</f>
        <v>0</v>
      </c>
      <c r="AF154">
        <f>IF(AND($N154=1,AND(LEFT(对接源_01水果!$D154,4)="包装物料",N(对接源_01水果!$K154)&lt;&gt;0)),1,0)</f>
        <v>0</v>
      </c>
      <c r="AG154">
        <f>N(AG153)+$AF154</f>
        <v>0</v>
      </c>
      <c r="AH154">
        <f>IF(AND($N154=1,AND(对接源_01水果!$D154="周转筐－销售出库",N(对接源_01水果!$K154)&lt;&gt;0)),1,0)</f>
        <v>0</v>
      </c>
      <c r="AI154">
        <f>N(AI153)+$AH154</f>
        <v>0</v>
      </c>
      <c r="AJ154" s="7" t="n"/>
      <c r="AL154">
        <f>IF(OR($AL$1="",对接源_01水果!$Y154="",对接源_01水果!$Y154&lt;&gt;$AL$1,对接源_01水果!$B154="",N(对接源_01水果!$AJ154)&lt;=0),0,IF(OR(N(对接源_01水果!$B154)&lt;$AL$2,N(对接源_01水果!$B154)&gt;$AL$3),0,1))</f>
        <v>0</v>
      </c>
      <c r="AM154">
        <f>N(AM153)+$AL154</f>
        <v>0</v>
      </c>
      <c r="AN154">
        <f>IF(对接源_01水果!$AC154="","",对接源_01水果!$AC154)</f>
      </c>
      <c r="AO154">
        <f>IF(AN154="",0,IF(MATCH(AN154,$AN$4:$AN$1203,0)=ROW()-3,1,0))</f>
        <v>0</v>
      </c>
      <c r="AP154">
        <f>N(AP153)+$AO154</f>
        <v>0</v>
      </c>
      <c r="AQ154">
        <f>IFERROR(INDEX($AN$4:$AN$1203,MATCH(ROW()-3,$AP$4:$AP$1203,0)),"")</f>
      </c>
      <c r="AR154">
        <f>IF(OR($AF154=1,$AH154=1),1,0)</f>
        <v>0</v>
      </c>
      <c r="AS154">
        <f>N(AS153)+$AR154</f>
        <v>0</v>
      </c>
    </row>
    <row r="155" ht="14.25" customHeight="1" s="127">
      <c r="A155" t="str">
        <f>IF(对接源_01水果!$C155="","",对接源_01水果!$C155)</f>
        <v>热合曼</v>
      </c>
      <c r="B155">
        <f>IF(A155="",0,IF(MATCH(A155,$A$4:$A$2403,0)=ROW()-3,1,0))</f>
        <v>0</v>
      </c>
      <c r="C155">
        <f>N(C154)+B155</f>
        <v>7</v>
      </c>
      <c r="E155">
        <f>IFERROR(INDEX($A$4:$A$2403,MATCH(ROW()-3,$C$4:$C$2403,0)),"")</f>
      </c>
      <c r="K155">
        <f>IF(OR($K$1="",对接源_01水果!$C155="",对接源_01水果!$C155&lt;&gt;$K$1,对接源_01水果!$B155=""),0,IF(OR(N(对接源_01水果!$B155)&lt;$K$2,N(对接源_01水果!$B155)&gt;$K$3),0,1))</f>
        <v>0</v>
      </c>
      <c r="L155">
        <f>IF(OR($L$1="",对接源_01水果!$C155="",对接源_01水果!$C155&lt;&gt;$L$1,对接源_01水果!$B155=""),0,IF(OR(N(对接源_01水果!$B155)&lt;$L$2,N(对接源_01水果!$B155)&gt;$L$3),0,1))</f>
        <v>0</v>
      </c>
      <c r="M155">
        <f>IF(OR($M$1="",对接源_01水果!$C155="",对接源_01水果!$C155&lt;&gt;$M$1,对接源_01水果!$B155=""),0,IF(OR(N(对接源_01水果!$B155)&lt;$M$2,N(对接源_01水果!$B155)&gt;$M$3),0,1))</f>
        <v>0</v>
      </c>
      <c r="N155">
        <f>IF(OR($N$1="",对接源_01水果!$C155="",对接源_01水果!$C155&lt;&gt;$N$1,对接源_01水果!$B155=""),0,IF(OR(N(对接源_01水果!$B155)&lt;$N$2,N(对接源_01水果!$B155)&gt;$N$3),0,1))</f>
        <v>0</v>
      </c>
      <c r="P155">
        <f>IF(AND($K155=1,AND(对接源_01水果!$X155="公司筐",N(对接源_01水果!$T155)&lt;&gt;0)),1,0)</f>
        <v>0</v>
      </c>
      <c r="Q155">
        <f>N(Q154)+$P155</f>
        <v>0</v>
      </c>
      <c r="R155">
        <f>IF(AND($K155=1,AND(对接源_01水果!$X155="公司筐",N(对接源_01水果!$U155)&lt;&gt;0)),1,0)</f>
        <v>0</v>
      </c>
      <c r="S155">
        <f>N(S154)+$R155</f>
        <v>0</v>
      </c>
      <c r="T155">
        <f>IF(AND($K155=1,AND(对接源_01水果!$X155="公司筐",N(对接源_01水果!$V155)&lt;&gt;0)),1,0)</f>
        <v>0</v>
      </c>
      <c r="U155">
        <f>N(U154)+$T155</f>
        <v>0</v>
      </c>
      <c r="V155">
        <f>IF(AND($L155=1,AND(对接源_01水果!$X155="自备筐",N(对接源_01水果!$V155)&lt;&gt;0)),1,0)</f>
        <v>0</v>
      </c>
      <c r="W155">
        <f>N(W154)+$V155</f>
        <v>0</v>
      </c>
      <c r="X155">
        <f>IF(AND($L155=1,AND(对接源_01水果!$X155="自备筐",N(对接源_01水果!$T155)&lt;&gt;0)),1,0)</f>
        <v>0</v>
      </c>
      <c r="Y155">
        <f>N(Y154)+$X155</f>
        <v>0</v>
      </c>
      <c r="Z155">
        <f>IF(AND($M155=1,对接源_01水果!$D155="原料入库"),1,0)</f>
        <v>0</v>
      </c>
      <c r="AA155">
        <f>N(AA154)+$Z155</f>
        <v>3</v>
      </c>
      <c r="AB155">
        <f>IF(AND($M155=1,LEFT(对接源_01水果!$D155,4)="原料出库"),1,0)</f>
        <v>0</v>
      </c>
      <c r="AC155">
        <f>N(AC154)+$AB155</f>
        <v>0</v>
      </c>
      <c r="AD155">
        <f>IF(AND($M155=1,LEFT(对接源_01水果!$D155,4)="成品出库"),1,0)</f>
        <v>0</v>
      </c>
      <c r="AE155">
        <f>N(AE154)+$AD155</f>
        <v>0</v>
      </c>
      <c r="AF155">
        <f>IF(AND($N155=1,AND(LEFT(对接源_01水果!$D155,4)="包装物料",N(对接源_01水果!$K155)&lt;&gt;0)),1,0)</f>
        <v>0</v>
      </c>
      <c r="AG155">
        <f>N(AG154)+$AF155</f>
        <v>0</v>
      </c>
      <c r="AH155">
        <f>IF(AND($N155=1,AND(对接源_01水果!$D155="周转筐－销售出库",N(对接源_01水果!$K155)&lt;&gt;0)),1,0)</f>
        <v>0</v>
      </c>
      <c r="AI155">
        <f>N(AI154)+$AH155</f>
        <v>0</v>
      </c>
      <c r="AJ155" s="7" t="n"/>
      <c r="AL155">
        <f>IF(OR($AL$1="",对接源_01水果!$Y155="",对接源_01水果!$Y155&lt;&gt;$AL$1,对接源_01水果!$B155="",N(对接源_01水果!$AJ155)&lt;=0),0,IF(OR(N(对接源_01水果!$B155)&lt;$AL$2,N(对接源_01水果!$B155)&gt;$AL$3),0,1))</f>
        <v>0</v>
      </c>
      <c r="AM155">
        <f>N(AM154)+$AL155</f>
        <v>0</v>
      </c>
      <c r="AN155">
        <f>IF(对接源_01水果!$AC155="","",对接源_01水果!$AC155)</f>
      </c>
      <c r="AO155">
        <f>IF(AN155="",0,IF(MATCH(AN155,$AN$4:$AN$1203,0)=ROW()-3,1,0))</f>
        <v>0</v>
      </c>
      <c r="AP155">
        <f>N(AP154)+$AO155</f>
        <v>0</v>
      </c>
      <c r="AQ155">
        <f>IFERROR(INDEX($AN$4:$AN$1203,MATCH(ROW()-3,$AP$4:$AP$1203,0)),"")</f>
      </c>
      <c r="AR155">
        <f>IF(OR($AF155=1,$AH155=1),1,0)</f>
        <v>0</v>
      </c>
      <c r="AS155">
        <f>N(AS154)+$AR155</f>
        <v>0</v>
      </c>
    </row>
    <row r="156" ht="14.25" customHeight="1" s="127">
      <c r="A156" t="str">
        <f>IF(对接源_01水果!$C156="","",对接源_01水果!$C156)</f>
        <v>热合曼</v>
      </c>
      <c r="B156">
        <f>IF(A156="",0,IF(MATCH(A156,$A$4:$A$2403,0)=ROW()-3,1,0))</f>
        <v>0</v>
      </c>
      <c r="C156">
        <f>N(C155)+B156</f>
        <v>7</v>
      </c>
      <c r="E156">
        <f>IFERROR(INDEX($A$4:$A$2403,MATCH(ROW()-3,$C$4:$C$2403,0)),"")</f>
      </c>
      <c r="K156">
        <f>IF(OR($K$1="",对接源_01水果!$C156="",对接源_01水果!$C156&lt;&gt;$K$1,对接源_01水果!$B156=""),0,IF(OR(N(对接源_01水果!$B156)&lt;$K$2,N(对接源_01水果!$B156)&gt;$K$3),0,1))</f>
        <v>0</v>
      </c>
      <c r="L156">
        <f>IF(OR($L$1="",对接源_01水果!$C156="",对接源_01水果!$C156&lt;&gt;$L$1,对接源_01水果!$B156=""),0,IF(OR(N(对接源_01水果!$B156)&lt;$L$2,N(对接源_01水果!$B156)&gt;$L$3),0,1))</f>
        <v>0</v>
      </c>
      <c r="M156">
        <f>IF(OR($M$1="",对接源_01水果!$C156="",对接源_01水果!$C156&lt;&gt;$M$1,对接源_01水果!$B156=""),0,IF(OR(N(对接源_01水果!$B156)&lt;$M$2,N(对接源_01水果!$B156)&gt;$M$3),0,1))</f>
        <v>0</v>
      </c>
      <c r="N156">
        <f>IF(OR($N$1="",对接源_01水果!$C156="",对接源_01水果!$C156&lt;&gt;$N$1,对接源_01水果!$B156=""),0,IF(OR(N(对接源_01水果!$B156)&lt;$N$2,N(对接源_01水果!$B156)&gt;$N$3),0,1))</f>
        <v>0</v>
      </c>
      <c r="P156">
        <f>IF(AND($K156=1,AND(对接源_01水果!$X156="公司筐",N(对接源_01水果!$T156)&lt;&gt;0)),1,0)</f>
        <v>0</v>
      </c>
      <c r="Q156">
        <f>N(Q155)+$P156</f>
        <v>0</v>
      </c>
      <c r="R156">
        <f>IF(AND($K156=1,AND(对接源_01水果!$X156="公司筐",N(对接源_01水果!$U156)&lt;&gt;0)),1,0)</f>
        <v>0</v>
      </c>
      <c r="S156">
        <f>N(S155)+$R156</f>
        <v>0</v>
      </c>
      <c r="T156">
        <f>IF(AND($K156=1,AND(对接源_01水果!$X156="公司筐",N(对接源_01水果!$V156)&lt;&gt;0)),1,0)</f>
        <v>0</v>
      </c>
      <c r="U156">
        <f>N(U155)+$T156</f>
        <v>0</v>
      </c>
      <c r="V156">
        <f>IF(AND($L156=1,AND(对接源_01水果!$X156="自备筐",N(对接源_01水果!$V156)&lt;&gt;0)),1,0)</f>
        <v>0</v>
      </c>
      <c r="W156">
        <f>N(W155)+$V156</f>
        <v>0</v>
      </c>
      <c r="X156">
        <f>IF(AND($L156=1,AND(对接源_01水果!$X156="自备筐",N(对接源_01水果!$T156)&lt;&gt;0)),1,0)</f>
        <v>0</v>
      </c>
      <c r="Y156">
        <f>N(Y155)+$X156</f>
        <v>0</v>
      </c>
      <c r="Z156">
        <f>IF(AND($M156=1,对接源_01水果!$D156="原料入库"),1,0)</f>
        <v>0</v>
      </c>
      <c r="AA156">
        <f>N(AA155)+$Z156</f>
        <v>3</v>
      </c>
      <c r="AB156">
        <f>IF(AND($M156=1,LEFT(对接源_01水果!$D156,4)="原料出库"),1,0)</f>
        <v>0</v>
      </c>
      <c r="AC156">
        <f>N(AC155)+$AB156</f>
        <v>0</v>
      </c>
      <c r="AD156">
        <f>IF(AND($M156=1,LEFT(对接源_01水果!$D156,4)="成品出库"),1,0)</f>
        <v>0</v>
      </c>
      <c r="AE156">
        <f>N(AE155)+$AD156</f>
        <v>0</v>
      </c>
      <c r="AF156">
        <f>IF(AND($N156=1,AND(LEFT(对接源_01水果!$D156,4)="包装物料",N(对接源_01水果!$K156)&lt;&gt;0)),1,0)</f>
        <v>0</v>
      </c>
      <c r="AG156">
        <f>N(AG155)+$AF156</f>
        <v>0</v>
      </c>
      <c r="AH156">
        <f>IF(AND($N156=1,AND(对接源_01水果!$D156="周转筐－销售出库",N(对接源_01水果!$K156)&lt;&gt;0)),1,0)</f>
        <v>0</v>
      </c>
      <c r="AI156">
        <f>N(AI155)+$AH156</f>
        <v>0</v>
      </c>
      <c r="AJ156" s="7" t="n"/>
      <c r="AL156">
        <f>IF(OR($AL$1="",对接源_01水果!$Y156="",对接源_01水果!$Y156&lt;&gt;$AL$1,对接源_01水果!$B156="",N(对接源_01水果!$AJ156)&lt;=0),0,IF(OR(N(对接源_01水果!$B156)&lt;$AL$2,N(对接源_01水果!$B156)&gt;$AL$3),0,1))</f>
        <v>0</v>
      </c>
      <c r="AM156">
        <f>N(AM155)+$AL156</f>
        <v>0</v>
      </c>
      <c r="AN156">
        <f>IF(对接源_01水果!$AC156="","",对接源_01水果!$AC156)</f>
      </c>
      <c r="AO156">
        <f>IF(AN156="",0,IF(MATCH(AN156,$AN$4:$AN$1203,0)=ROW()-3,1,0))</f>
        <v>0</v>
      </c>
      <c r="AP156">
        <f>N(AP155)+$AO156</f>
        <v>0</v>
      </c>
      <c r="AQ156">
        <f>IFERROR(INDEX($AN$4:$AN$1203,MATCH(ROW()-3,$AP$4:$AP$1203,0)),"")</f>
      </c>
      <c r="AR156">
        <f>IF(OR($AF156=1,$AH156=1),1,0)</f>
        <v>0</v>
      </c>
      <c r="AS156">
        <f>N(AS155)+$AR156</f>
        <v>0</v>
      </c>
    </row>
    <row r="157" ht="14.25" customHeight="1" s="127">
      <c r="A157" t="str">
        <f>IF(对接源_01水果!$C157="","",对接源_01水果!$C157)</f>
        <v>贾建国</v>
      </c>
      <c r="B157">
        <f>IF(A157="",0,IF(MATCH(A157,$A$4:$A$2403,0)=ROW()-3,1,0))</f>
        <v>1</v>
      </c>
      <c r="C157">
        <f>N(C156)+B157</f>
        <v>8</v>
      </c>
      <c r="E157">
        <f>IFERROR(INDEX($A$4:$A$2403,MATCH(ROW()-3,$C$4:$C$2403,0)),"")</f>
      </c>
      <c r="K157">
        <f>IF(OR($K$1="",对接源_01水果!$C157="",对接源_01水果!$C157&lt;&gt;$K$1,对接源_01水果!$B157=""),0,IF(OR(N(对接源_01水果!$B157)&lt;$K$2,N(对接源_01水果!$B157)&gt;$K$3),0,1))</f>
        <v>0</v>
      </c>
      <c r="L157">
        <f>IF(OR($L$1="",对接源_01水果!$C157="",对接源_01水果!$C157&lt;&gt;$L$1,对接源_01水果!$B157=""),0,IF(OR(N(对接源_01水果!$B157)&lt;$L$2,N(对接源_01水果!$B157)&gt;$L$3),0,1))</f>
        <v>1</v>
      </c>
      <c r="M157">
        <f>IF(OR($M$1="",对接源_01水果!$C157="",对接源_01水果!$C157&lt;&gt;$M$1,对接源_01水果!$B157=""),0,IF(OR(N(对接源_01水果!$B157)&lt;$M$2,N(对接源_01水果!$B157)&gt;$M$3),0,1))</f>
        <v>0</v>
      </c>
      <c r="N157">
        <f>IF(OR($N$1="",对接源_01水果!$C157="",对接源_01水果!$C157&lt;&gt;$N$1,对接源_01水果!$B157=""),0,IF(OR(N(对接源_01水果!$B157)&lt;$N$2,N(对接源_01水果!$B157)&gt;$N$3),0,1))</f>
        <v>0</v>
      </c>
      <c r="P157">
        <f>IF(AND($K157=1,AND(对接源_01水果!$X157="公司筐",N(对接源_01水果!$T157)&lt;&gt;0)),1,0)</f>
        <v>0</v>
      </c>
      <c r="Q157">
        <f>N(Q156)+$P157</f>
        <v>0</v>
      </c>
      <c r="R157">
        <f>IF(AND($K157=1,AND(对接源_01水果!$X157="公司筐",N(对接源_01水果!$U157)&lt;&gt;0)),1,0)</f>
        <v>0</v>
      </c>
      <c r="S157">
        <f>N(S156)+$R157</f>
        <v>0</v>
      </c>
      <c r="T157">
        <f>IF(AND($K157=1,AND(对接源_01水果!$X157="公司筐",N(对接源_01水果!$V157)&lt;&gt;0)),1,0)</f>
        <v>0</v>
      </c>
      <c r="U157">
        <f>N(U156)+$T157</f>
        <v>0</v>
      </c>
      <c r="V157">
        <f>IF(AND($L157=1,AND(对接源_01水果!$X157="自备筐",N(对接源_01水果!$V157)&lt;&gt;0)),1,0)</f>
        <v>1</v>
      </c>
      <c r="W157">
        <f>N(W156)+$V157</f>
        <v>1</v>
      </c>
      <c r="X157">
        <f>IF(AND($L157=1,AND(对接源_01水果!$X157="自备筐",N(对接源_01水果!$T157)&lt;&gt;0)),1,0)</f>
        <v>0</v>
      </c>
      <c r="Y157">
        <f>N(Y156)+$X157</f>
        <v>0</v>
      </c>
      <c r="Z157">
        <f>IF(AND($M157=1,对接源_01水果!$D157="原料入库"),1,0)</f>
        <v>0</v>
      </c>
      <c r="AA157">
        <f>N(AA156)+$Z157</f>
        <v>3</v>
      </c>
      <c r="AB157">
        <f>IF(AND($M157=1,LEFT(对接源_01水果!$D157,4)="原料出库"),1,0)</f>
        <v>0</v>
      </c>
      <c r="AC157">
        <f>N(AC156)+$AB157</f>
        <v>0</v>
      </c>
      <c r="AD157">
        <f>IF(AND($M157=1,LEFT(对接源_01水果!$D157,4)="成品出库"),1,0)</f>
        <v>0</v>
      </c>
      <c r="AE157">
        <f>N(AE156)+$AD157</f>
        <v>0</v>
      </c>
      <c r="AF157">
        <f>IF(AND($N157=1,AND(LEFT(对接源_01水果!$D157,4)="包装物料",N(对接源_01水果!$K157)&lt;&gt;0)),1,0)</f>
        <v>0</v>
      </c>
      <c r="AG157">
        <f>N(AG156)+$AF157</f>
        <v>0</v>
      </c>
      <c r="AH157">
        <f>IF(AND($N157=1,AND(对接源_01水果!$D157="周转筐－销售出库",N(对接源_01水果!$K157)&lt;&gt;0)),1,0)</f>
        <v>0</v>
      </c>
      <c r="AI157">
        <f>N(AI156)+$AH157</f>
        <v>0</v>
      </c>
      <c r="AJ157" s="7" t="n"/>
      <c r="AL157">
        <f>IF(OR($AL$1="",对接源_01水果!$Y157="",对接源_01水果!$Y157&lt;&gt;$AL$1,对接源_01水果!$B157="",N(对接源_01水果!$AJ157)&lt;=0),0,IF(OR(N(对接源_01水果!$B157)&lt;$AL$2,N(对接源_01水果!$B157)&gt;$AL$3),0,1))</f>
        <v>0</v>
      </c>
      <c r="AM157">
        <f>N(AM156)+$AL157</f>
        <v>0</v>
      </c>
      <c r="AN157">
        <f>IF(对接源_01水果!$AC157="","",对接源_01水果!$AC157)</f>
      </c>
      <c r="AO157">
        <f>IF(AN157="",0,IF(MATCH(AN157,$AN$4:$AN$1203,0)=ROW()-3,1,0))</f>
        <v>0</v>
      </c>
      <c r="AP157">
        <f>N(AP156)+$AO157</f>
        <v>0</v>
      </c>
      <c r="AQ157">
        <f>IFERROR(INDEX($AN$4:$AN$1203,MATCH(ROW()-3,$AP$4:$AP$1203,0)),"")</f>
      </c>
      <c r="AR157">
        <f>IF(OR($AF157=1,$AH157=1),1,0)</f>
        <v>0</v>
      </c>
      <c r="AS157">
        <f>N(AS156)+$AR157</f>
        <v>0</v>
      </c>
    </row>
    <row r="158" ht="14.25" customHeight="1" s="127">
      <c r="A158" t="str">
        <f>IF(对接源_01水果!$C158="","",对接源_01水果!$C158)</f>
        <v>贾建国</v>
      </c>
      <c r="B158">
        <f>IF(A158="",0,IF(MATCH(A158,$A$4:$A$2403,0)=ROW()-3,1,0))</f>
        <v>0</v>
      </c>
      <c r="C158">
        <f>N(C157)+B158</f>
        <v>8</v>
      </c>
      <c r="E158">
        <f>IFERROR(INDEX($A$4:$A$2403,MATCH(ROW()-3,$C$4:$C$2403,0)),"")</f>
      </c>
      <c r="K158">
        <f>IF(OR($K$1="",对接源_01水果!$C158="",对接源_01水果!$C158&lt;&gt;$K$1,对接源_01水果!$B158=""),0,IF(OR(N(对接源_01水果!$B158)&lt;$K$2,N(对接源_01水果!$B158)&gt;$K$3),0,1))</f>
        <v>0</v>
      </c>
      <c r="L158">
        <f>IF(OR($L$1="",对接源_01水果!$C158="",对接源_01水果!$C158&lt;&gt;$L$1,对接源_01水果!$B158=""),0,IF(OR(N(对接源_01水果!$B158)&lt;$L$2,N(对接源_01水果!$B158)&gt;$L$3),0,1))</f>
        <v>1</v>
      </c>
      <c r="M158">
        <f>IF(OR($M$1="",对接源_01水果!$C158="",对接源_01水果!$C158&lt;&gt;$M$1,对接源_01水果!$B158=""),0,IF(OR(N(对接源_01水果!$B158)&lt;$M$2,N(对接源_01水果!$B158)&gt;$M$3),0,1))</f>
        <v>0</v>
      </c>
      <c r="N158">
        <f>IF(OR($N$1="",对接源_01水果!$C158="",对接源_01水果!$C158&lt;&gt;$N$1,对接源_01水果!$B158=""),0,IF(OR(N(对接源_01水果!$B158)&lt;$N$2,N(对接源_01水果!$B158)&gt;$N$3),0,1))</f>
        <v>0</v>
      </c>
      <c r="P158">
        <f>IF(AND($K158=1,AND(对接源_01水果!$X158="公司筐",N(对接源_01水果!$T158)&lt;&gt;0)),1,0)</f>
        <v>0</v>
      </c>
      <c r="Q158">
        <f>N(Q157)+$P158</f>
        <v>0</v>
      </c>
      <c r="R158">
        <f>IF(AND($K158=1,AND(对接源_01水果!$X158="公司筐",N(对接源_01水果!$U158)&lt;&gt;0)),1,0)</f>
        <v>0</v>
      </c>
      <c r="S158">
        <f>N(S157)+$R158</f>
        <v>0</v>
      </c>
      <c r="T158">
        <f>IF(AND($K158=1,AND(对接源_01水果!$X158="公司筐",N(对接源_01水果!$V158)&lt;&gt;0)),1,0)</f>
        <v>0</v>
      </c>
      <c r="U158">
        <f>N(U157)+$T158</f>
        <v>0</v>
      </c>
      <c r="V158">
        <f>IF(AND($L158=1,AND(对接源_01水果!$X158="自备筐",N(对接源_01水果!$V158)&lt;&gt;0)),1,0)</f>
        <v>1</v>
      </c>
      <c r="W158">
        <f>N(W157)+$V158</f>
        <v>2</v>
      </c>
      <c r="X158">
        <f>IF(AND($L158=1,AND(对接源_01水果!$X158="自备筐",N(对接源_01水果!$T158)&lt;&gt;0)),1,0)</f>
        <v>0</v>
      </c>
      <c r="Y158">
        <f>N(Y157)+$X158</f>
        <v>0</v>
      </c>
      <c r="Z158">
        <f>IF(AND($M158=1,对接源_01水果!$D158="原料入库"),1,0)</f>
        <v>0</v>
      </c>
      <c r="AA158">
        <f>N(AA157)+$Z158</f>
        <v>3</v>
      </c>
      <c r="AB158">
        <f>IF(AND($M158=1,LEFT(对接源_01水果!$D158,4)="原料出库"),1,0)</f>
        <v>0</v>
      </c>
      <c r="AC158">
        <f>N(AC157)+$AB158</f>
        <v>0</v>
      </c>
      <c r="AD158">
        <f>IF(AND($M158=1,LEFT(对接源_01水果!$D158,4)="成品出库"),1,0)</f>
        <v>0</v>
      </c>
      <c r="AE158">
        <f>N(AE157)+$AD158</f>
        <v>0</v>
      </c>
      <c r="AF158">
        <f>IF(AND($N158=1,AND(LEFT(对接源_01水果!$D158,4)="包装物料",N(对接源_01水果!$K158)&lt;&gt;0)),1,0)</f>
        <v>0</v>
      </c>
      <c r="AG158">
        <f>N(AG157)+$AF158</f>
        <v>0</v>
      </c>
      <c r="AH158">
        <f>IF(AND($N158=1,AND(对接源_01水果!$D158="周转筐－销售出库",N(对接源_01水果!$K158)&lt;&gt;0)),1,0)</f>
        <v>0</v>
      </c>
      <c r="AI158">
        <f>N(AI157)+$AH158</f>
        <v>0</v>
      </c>
      <c r="AJ158" s="7" t="n"/>
      <c r="AL158">
        <f>IF(OR($AL$1="",对接源_01水果!$Y158="",对接源_01水果!$Y158&lt;&gt;$AL$1,对接源_01水果!$B158="",N(对接源_01水果!$AJ158)&lt;=0),0,IF(OR(N(对接源_01水果!$B158)&lt;$AL$2,N(对接源_01水果!$B158)&gt;$AL$3),0,1))</f>
        <v>0</v>
      </c>
      <c r="AM158">
        <f>N(AM157)+$AL158</f>
        <v>0</v>
      </c>
      <c r="AN158">
        <f>IF(对接源_01水果!$AC158="","",对接源_01水果!$AC158)</f>
      </c>
      <c r="AO158">
        <f>IF(AN158="",0,IF(MATCH(AN158,$AN$4:$AN$1203,0)=ROW()-3,1,0))</f>
        <v>0</v>
      </c>
      <c r="AP158">
        <f>N(AP157)+$AO158</f>
        <v>0</v>
      </c>
      <c r="AQ158">
        <f>IFERROR(INDEX($AN$4:$AN$1203,MATCH(ROW()-3,$AP$4:$AP$1203,0)),"")</f>
      </c>
      <c r="AR158">
        <f>IF(OR($AF158=1,$AH158=1),1,0)</f>
        <v>0</v>
      </c>
      <c r="AS158">
        <f>N(AS157)+$AR158</f>
        <v>0</v>
      </c>
    </row>
    <row r="159" ht="14.25" customHeight="1" s="127">
      <c r="A159" t="str">
        <f>IF(对接源_01水果!$C159="","",对接源_01水果!$C159)</f>
        <v>吐尔洪</v>
      </c>
      <c r="B159">
        <f>IF(A159="",0,IF(MATCH(A159,$A$4:$A$2403,0)=ROW()-3,1,0))</f>
        <v>0</v>
      </c>
      <c r="C159">
        <f>N(C158)+B159</f>
        <v>8</v>
      </c>
      <c r="E159">
        <f>IFERROR(INDEX($A$4:$A$2403,MATCH(ROW()-3,$C$4:$C$2403,0)),"")</f>
      </c>
      <c r="K159">
        <f>IF(OR($K$1="",对接源_01水果!$C159="",对接源_01水果!$C159&lt;&gt;$K$1,对接源_01水果!$B159=""),0,IF(OR(N(对接源_01水果!$B159)&lt;$K$2,N(对接源_01水果!$B159)&gt;$K$3),0,1))</f>
        <v>0</v>
      </c>
      <c r="L159">
        <f>IF(OR($L$1="",对接源_01水果!$C159="",对接源_01水果!$C159&lt;&gt;$L$1,对接源_01水果!$B159=""),0,IF(OR(N(对接源_01水果!$B159)&lt;$L$2,N(对接源_01水果!$B159)&gt;$L$3),0,1))</f>
        <v>0</v>
      </c>
      <c r="M159">
        <f>IF(OR($M$1="",对接源_01水果!$C159="",对接源_01水果!$C159&lt;&gt;$M$1,对接源_01水果!$B159=""),0,IF(OR(N(对接源_01水果!$B159)&lt;$M$2,N(对接源_01水果!$B159)&gt;$M$3),0,1))</f>
        <v>1</v>
      </c>
      <c r="N159">
        <f>IF(OR($N$1="",对接源_01水果!$C159="",对接源_01水果!$C159&lt;&gt;$N$1,对接源_01水果!$B159=""),0,IF(OR(N(对接源_01水果!$B159)&lt;$N$2,N(对接源_01水果!$B159)&gt;$N$3),0,1))</f>
        <v>0</v>
      </c>
      <c r="P159">
        <f>IF(AND($K159=1,AND(对接源_01水果!$X159="公司筐",N(对接源_01水果!$T159)&lt;&gt;0)),1,0)</f>
        <v>0</v>
      </c>
      <c r="Q159">
        <f>N(Q158)+$P159</f>
        <v>0</v>
      </c>
      <c r="R159">
        <f>IF(AND($K159=1,AND(对接源_01水果!$X159="公司筐",N(对接源_01水果!$U159)&lt;&gt;0)),1,0)</f>
        <v>0</v>
      </c>
      <c r="S159">
        <f>N(S158)+$R159</f>
        <v>0</v>
      </c>
      <c r="T159">
        <f>IF(AND($K159=1,AND(对接源_01水果!$X159="公司筐",N(对接源_01水果!$V159)&lt;&gt;0)),1,0)</f>
        <v>0</v>
      </c>
      <c r="U159">
        <f>N(U158)+$T159</f>
        <v>0</v>
      </c>
      <c r="V159">
        <f>IF(AND($L159=1,AND(对接源_01水果!$X159="自备筐",N(对接源_01水果!$V159)&lt;&gt;0)),1,0)</f>
        <v>0</v>
      </c>
      <c r="W159">
        <f>N(W158)+$V159</f>
        <v>2</v>
      </c>
      <c r="X159">
        <f>IF(AND($L159=1,AND(对接源_01水果!$X159="自备筐",N(对接源_01水果!$T159)&lt;&gt;0)),1,0)</f>
        <v>0</v>
      </c>
      <c r="Y159">
        <f>N(Y158)+$X159</f>
        <v>0</v>
      </c>
      <c r="Z159">
        <f>IF(AND($M159=1,对接源_01水果!$D159="原料入库"),1,0)</f>
        <v>1</v>
      </c>
      <c r="AA159">
        <f>N(AA158)+$Z159</f>
        <v>4</v>
      </c>
      <c r="AB159">
        <f>IF(AND($M159=1,LEFT(对接源_01水果!$D159,4)="原料出库"),1,0)</f>
        <v>0</v>
      </c>
      <c r="AC159">
        <f>N(AC158)+$AB159</f>
        <v>0</v>
      </c>
      <c r="AD159">
        <f>IF(AND($M159=1,LEFT(对接源_01水果!$D159,4)="成品出库"),1,0)</f>
        <v>0</v>
      </c>
      <c r="AE159">
        <f>N(AE158)+$AD159</f>
        <v>0</v>
      </c>
      <c r="AF159">
        <f>IF(AND($N159=1,AND(LEFT(对接源_01水果!$D159,4)="包装物料",N(对接源_01水果!$K159)&lt;&gt;0)),1,0)</f>
        <v>0</v>
      </c>
      <c r="AG159">
        <f>N(AG158)+$AF159</f>
        <v>0</v>
      </c>
      <c r="AH159">
        <f>IF(AND($N159=1,AND(对接源_01水果!$D159="周转筐－销售出库",N(对接源_01水果!$K159)&lt;&gt;0)),1,0)</f>
        <v>0</v>
      </c>
      <c r="AI159">
        <f>N(AI158)+$AH159</f>
        <v>0</v>
      </c>
      <c r="AJ159" s="7" t="n"/>
      <c r="AL159">
        <f>IF(OR($AL$1="",对接源_01水果!$Y159="",对接源_01水果!$Y159&lt;&gt;$AL$1,对接源_01水果!$B159="",N(对接源_01水果!$AJ159)&lt;=0),0,IF(OR(N(对接源_01水果!$B159)&lt;$AL$2,N(对接源_01水果!$B159)&gt;$AL$3),0,1))</f>
        <v>0</v>
      </c>
      <c r="AM159">
        <f>N(AM158)+$AL159</f>
        <v>0</v>
      </c>
      <c r="AN159">
        <f>IF(对接源_01水果!$AC159="","",对接源_01水果!$AC159)</f>
      </c>
      <c r="AO159">
        <f>IF(AN159="",0,IF(MATCH(AN159,$AN$4:$AN$1203,0)=ROW()-3,1,0))</f>
        <v>0</v>
      </c>
      <c r="AP159">
        <f>N(AP158)+$AO159</f>
        <v>0</v>
      </c>
      <c r="AQ159">
        <f>IFERROR(INDEX($AN$4:$AN$1203,MATCH(ROW()-3,$AP$4:$AP$1203,0)),"")</f>
      </c>
      <c r="AR159">
        <f>IF(OR($AF159=1,$AH159=1),1,0)</f>
        <v>0</v>
      </c>
      <c r="AS159">
        <f>N(AS158)+$AR159</f>
        <v>0</v>
      </c>
    </row>
    <row r="160" ht="14.25" customHeight="1" s="127">
      <c r="A160" t="str">
        <f>IF(对接源_01水果!$C160="","",对接源_01水果!$C160)</f>
        <v>吐尔洪</v>
      </c>
      <c r="B160">
        <f>IF(A160="",0,IF(MATCH(A160,$A$4:$A$2403,0)=ROW()-3,1,0))</f>
        <v>0</v>
      </c>
      <c r="C160">
        <f>N(C159)+B160</f>
        <v>8</v>
      </c>
      <c r="E160">
        <f>IFERROR(INDEX($A$4:$A$2403,MATCH(ROW()-3,$C$4:$C$2403,0)),"")</f>
      </c>
      <c r="K160">
        <f>IF(OR($K$1="",对接源_01水果!$C160="",对接源_01水果!$C160&lt;&gt;$K$1,对接源_01水果!$B160=""),0,IF(OR(N(对接源_01水果!$B160)&lt;$K$2,N(对接源_01水果!$B160)&gt;$K$3),0,1))</f>
        <v>0</v>
      </c>
      <c r="L160">
        <f>IF(OR($L$1="",对接源_01水果!$C160="",对接源_01水果!$C160&lt;&gt;$L$1,对接源_01水果!$B160=""),0,IF(OR(N(对接源_01水果!$B160)&lt;$L$2,N(对接源_01水果!$B160)&gt;$L$3),0,1))</f>
        <v>0</v>
      </c>
      <c r="M160">
        <f>IF(OR($M$1="",对接源_01水果!$C160="",对接源_01水果!$C160&lt;&gt;$M$1,对接源_01水果!$B160=""),0,IF(OR(N(对接源_01水果!$B160)&lt;$M$2,N(对接源_01水果!$B160)&gt;$M$3),0,1))</f>
        <v>1</v>
      </c>
      <c r="N160">
        <f>IF(OR($N$1="",对接源_01水果!$C160="",对接源_01水果!$C160&lt;&gt;$N$1,对接源_01水果!$B160=""),0,IF(OR(N(对接源_01水果!$B160)&lt;$N$2,N(对接源_01水果!$B160)&gt;$N$3),0,1))</f>
        <v>0</v>
      </c>
      <c r="P160">
        <f>IF(AND($K160=1,AND(对接源_01水果!$X160="公司筐",N(对接源_01水果!$T160)&lt;&gt;0)),1,0)</f>
        <v>0</v>
      </c>
      <c r="Q160">
        <f>N(Q159)+$P160</f>
        <v>0</v>
      </c>
      <c r="R160">
        <f>IF(AND($K160=1,AND(对接源_01水果!$X160="公司筐",N(对接源_01水果!$U160)&lt;&gt;0)),1,0)</f>
        <v>0</v>
      </c>
      <c r="S160">
        <f>N(S159)+$R160</f>
        <v>0</v>
      </c>
      <c r="T160">
        <f>IF(AND($K160=1,AND(对接源_01水果!$X160="公司筐",N(对接源_01水果!$V160)&lt;&gt;0)),1,0)</f>
        <v>0</v>
      </c>
      <c r="U160">
        <f>N(U159)+$T160</f>
        <v>0</v>
      </c>
      <c r="V160">
        <f>IF(AND($L160=1,AND(对接源_01水果!$X160="自备筐",N(对接源_01水果!$V160)&lt;&gt;0)),1,0)</f>
        <v>0</v>
      </c>
      <c r="W160">
        <f>N(W159)+$V160</f>
        <v>2</v>
      </c>
      <c r="X160">
        <f>IF(AND($L160=1,AND(对接源_01水果!$X160="自备筐",N(对接源_01水果!$T160)&lt;&gt;0)),1,0)</f>
        <v>0</v>
      </c>
      <c r="Y160">
        <f>N(Y159)+$X160</f>
        <v>0</v>
      </c>
      <c r="Z160">
        <f>IF(AND($M160=1,对接源_01水果!$D160="原料入库"),1,0)</f>
        <v>1</v>
      </c>
      <c r="AA160">
        <f>N(AA159)+$Z160</f>
        <v>5</v>
      </c>
      <c r="AB160">
        <f>IF(AND($M160=1,LEFT(对接源_01水果!$D160,4)="原料出库"),1,0)</f>
        <v>0</v>
      </c>
      <c r="AC160">
        <f>N(AC159)+$AB160</f>
        <v>0</v>
      </c>
      <c r="AD160">
        <f>IF(AND($M160=1,LEFT(对接源_01水果!$D160,4)="成品出库"),1,0)</f>
        <v>0</v>
      </c>
      <c r="AE160">
        <f>N(AE159)+$AD160</f>
        <v>0</v>
      </c>
      <c r="AF160">
        <f>IF(AND($N160=1,AND(LEFT(对接源_01水果!$D160,4)="包装物料",N(对接源_01水果!$K160)&lt;&gt;0)),1,0)</f>
        <v>0</v>
      </c>
      <c r="AG160">
        <f>N(AG159)+$AF160</f>
        <v>0</v>
      </c>
      <c r="AH160">
        <f>IF(AND($N160=1,AND(对接源_01水果!$D160="周转筐－销售出库",N(对接源_01水果!$K160)&lt;&gt;0)),1,0)</f>
        <v>0</v>
      </c>
      <c r="AI160">
        <f>N(AI159)+$AH160</f>
        <v>0</v>
      </c>
      <c r="AJ160" s="7" t="n"/>
      <c r="AL160">
        <f>IF(OR($AL$1="",对接源_01水果!$Y160="",对接源_01水果!$Y160&lt;&gt;$AL$1,对接源_01水果!$B160="",N(对接源_01水果!$AJ160)&lt;=0),0,IF(OR(N(对接源_01水果!$B160)&lt;$AL$2,N(对接源_01水果!$B160)&gt;$AL$3),0,1))</f>
        <v>0</v>
      </c>
      <c r="AM160">
        <f>N(AM159)+$AL160</f>
        <v>0</v>
      </c>
      <c r="AN160">
        <f>IF(对接源_01水果!$AC160="","",对接源_01水果!$AC160)</f>
      </c>
      <c r="AO160">
        <f>IF(AN160="",0,IF(MATCH(AN160,$AN$4:$AN$1203,0)=ROW()-3,1,0))</f>
        <v>0</v>
      </c>
      <c r="AP160">
        <f>N(AP159)+$AO160</f>
        <v>0</v>
      </c>
      <c r="AQ160">
        <f>IFERROR(INDEX($AN$4:$AN$1203,MATCH(ROW()-3,$AP$4:$AP$1203,0)),"")</f>
      </c>
      <c r="AR160">
        <f>IF(OR($AF160=1,$AH160=1),1,0)</f>
        <v>0</v>
      </c>
      <c r="AS160">
        <f>N(AS159)+$AR160</f>
        <v>0</v>
      </c>
    </row>
    <row r="161" ht="14.25" customHeight="1" s="127">
      <c r="A161" t="str">
        <f>IF(对接源_01水果!$C161="","",对接源_01水果!$C161)</f>
        <v>吐尔洪</v>
      </c>
      <c r="B161">
        <f>IF(A161="",0,IF(MATCH(A161,$A$4:$A$2403,0)=ROW()-3,1,0))</f>
        <v>0</v>
      </c>
      <c r="C161">
        <f>N(C160)+B161</f>
        <v>8</v>
      </c>
      <c r="E161">
        <f>IFERROR(INDEX($A$4:$A$2403,MATCH(ROW()-3,$C$4:$C$2403,0)),"")</f>
      </c>
      <c r="K161">
        <f>IF(OR($K$1="",对接源_01水果!$C161="",对接源_01水果!$C161&lt;&gt;$K$1,对接源_01水果!$B161=""),0,IF(OR(N(对接源_01水果!$B161)&lt;$K$2,N(对接源_01水果!$B161)&gt;$K$3),0,1))</f>
        <v>0</v>
      </c>
      <c r="L161">
        <f>IF(OR($L$1="",对接源_01水果!$C161="",对接源_01水果!$C161&lt;&gt;$L$1,对接源_01水果!$B161=""),0,IF(OR(N(对接源_01水果!$B161)&lt;$L$2,N(对接源_01水果!$B161)&gt;$L$3),0,1))</f>
        <v>0</v>
      </c>
      <c r="M161">
        <f>IF(OR($M$1="",对接源_01水果!$C161="",对接源_01水果!$C161&lt;&gt;$M$1,对接源_01水果!$B161=""),0,IF(OR(N(对接源_01水果!$B161)&lt;$M$2,N(对接源_01水果!$B161)&gt;$M$3),0,1))</f>
        <v>1</v>
      </c>
      <c r="N161">
        <f>IF(OR($N$1="",对接源_01水果!$C161="",对接源_01水果!$C161&lt;&gt;$N$1,对接源_01水果!$B161=""),0,IF(OR(N(对接源_01水果!$B161)&lt;$N$2,N(对接源_01水果!$B161)&gt;$N$3),0,1))</f>
        <v>0</v>
      </c>
      <c r="P161">
        <f>IF(AND($K161=1,AND(对接源_01水果!$X161="公司筐",N(对接源_01水果!$T161)&lt;&gt;0)),1,0)</f>
        <v>0</v>
      </c>
      <c r="Q161">
        <f>N(Q160)+$P161</f>
        <v>0</v>
      </c>
      <c r="R161">
        <f>IF(AND($K161=1,AND(对接源_01水果!$X161="公司筐",N(对接源_01水果!$U161)&lt;&gt;0)),1,0)</f>
        <v>0</v>
      </c>
      <c r="S161">
        <f>N(S160)+$R161</f>
        <v>0</v>
      </c>
      <c r="T161">
        <f>IF(AND($K161=1,AND(对接源_01水果!$X161="公司筐",N(对接源_01水果!$V161)&lt;&gt;0)),1,0)</f>
        <v>0</v>
      </c>
      <c r="U161">
        <f>N(U160)+$T161</f>
        <v>0</v>
      </c>
      <c r="V161">
        <f>IF(AND($L161=1,AND(对接源_01水果!$X161="自备筐",N(对接源_01水果!$V161)&lt;&gt;0)),1,0)</f>
        <v>0</v>
      </c>
      <c r="W161">
        <f>N(W160)+$V161</f>
        <v>2</v>
      </c>
      <c r="X161">
        <f>IF(AND($L161=1,AND(对接源_01水果!$X161="自备筐",N(对接源_01水果!$T161)&lt;&gt;0)),1,0)</f>
        <v>0</v>
      </c>
      <c r="Y161">
        <f>N(Y160)+$X161</f>
        <v>0</v>
      </c>
      <c r="Z161">
        <f>IF(AND($M161=1,对接源_01水果!$D161="原料入库"),1,0)</f>
        <v>1</v>
      </c>
      <c r="AA161">
        <f>N(AA160)+$Z161</f>
        <v>6</v>
      </c>
      <c r="AB161">
        <f>IF(AND($M161=1,LEFT(对接源_01水果!$D161,4)="原料出库"),1,0)</f>
        <v>0</v>
      </c>
      <c r="AC161">
        <f>N(AC160)+$AB161</f>
        <v>0</v>
      </c>
      <c r="AD161">
        <f>IF(AND($M161=1,LEFT(对接源_01水果!$D161,4)="成品出库"),1,0)</f>
        <v>0</v>
      </c>
      <c r="AE161">
        <f>N(AE160)+$AD161</f>
        <v>0</v>
      </c>
      <c r="AF161">
        <f>IF(AND($N161=1,AND(LEFT(对接源_01水果!$D161,4)="包装物料",N(对接源_01水果!$K161)&lt;&gt;0)),1,0)</f>
        <v>0</v>
      </c>
      <c r="AG161">
        <f>N(AG160)+$AF161</f>
        <v>0</v>
      </c>
      <c r="AH161">
        <f>IF(AND($N161=1,AND(对接源_01水果!$D161="周转筐－销售出库",N(对接源_01水果!$K161)&lt;&gt;0)),1,0)</f>
        <v>0</v>
      </c>
      <c r="AI161">
        <f>N(AI160)+$AH161</f>
        <v>0</v>
      </c>
      <c r="AJ161" s="7" t="n"/>
      <c r="AL161">
        <f>IF(OR($AL$1="",对接源_01水果!$Y161="",对接源_01水果!$Y161&lt;&gt;$AL$1,对接源_01水果!$B161="",N(对接源_01水果!$AJ161)&lt;=0),0,IF(OR(N(对接源_01水果!$B161)&lt;$AL$2,N(对接源_01水果!$B161)&gt;$AL$3),0,1))</f>
        <v>0</v>
      </c>
      <c r="AM161">
        <f>N(AM160)+$AL161</f>
        <v>0</v>
      </c>
      <c r="AN161">
        <f>IF(对接源_01水果!$AC161="","",对接源_01水果!$AC161)</f>
      </c>
      <c r="AO161">
        <f>IF(AN161="",0,IF(MATCH(AN161,$AN$4:$AN$1203,0)=ROW()-3,1,0))</f>
        <v>0</v>
      </c>
      <c r="AP161">
        <f>N(AP160)+$AO161</f>
        <v>0</v>
      </c>
      <c r="AQ161">
        <f>IFERROR(INDEX($AN$4:$AN$1203,MATCH(ROW()-3,$AP$4:$AP$1203,0)),"")</f>
      </c>
      <c r="AR161">
        <f>IF(OR($AF161=1,$AH161=1),1,0)</f>
        <v>0</v>
      </c>
      <c r="AS161">
        <f>N(AS160)+$AR161</f>
        <v>0</v>
      </c>
    </row>
    <row r="162" ht="14.25" customHeight="1" s="127">
      <c r="A162" t="str">
        <f>IF(对接源_01水果!$C162="","",对接源_01水果!$C162)</f>
        <v>麦麦提</v>
      </c>
      <c r="B162">
        <f>IF(A162="",0,IF(MATCH(A162,$A$4:$A$2403,0)=ROW()-3,1,0))</f>
        <v>0</v>
      </c>
      <c r="C162">
        <f>N(C161)+B162</f>
        <v>8</v>
      </c>
      <c r="E162">
        <f>IFERROR(INDEX($A$4:$A$2403,MATCH(ROW()-3,$C$4:$C$2403,0)),"")</f>
      </c>
      <c r="K162">
        <f>IF(OR($K$1="",对接源_01水果!$C162="",对接源_01水果!$C162&lt;&gt;$K$1,对接源_01水果!$B162=""),0,IF(OR(N(对接源_01水果!$B162)&lt;$K$2,N(对接源_01水果!$B162)&gt;$K$3),0,1))</f>
        <v>0</v>
      </c>
      <c r="L162">
        <f>IF(OR($L$1="",对接源_01水果!$C162="",对接源_01水果!$C162&lt;&gt;$L$1,对接源_01水果!$B162=""),0,IF(OR(N(对接源_01水果!$B162)&lt;$L$2,N(对接源_01水果!$B162)&gt;$L$3),0,1))</f>
        <v>0</v>
      </c>
      <c r="M162">
        <f>IF(OR($M$1="",对接源_01水果!$C162="",对接源_01水果!$C162&lt;&gt;$M$1,对接源_01水果!$B162=""),0,IF(OR(N(对接源_01水果!$B162)&lt;$M$2,N(对接源_01水果!$B162)&gt;$M$3),0,1))</f>
        <v>0</v>
      </c>
      <c r="N162">
        <f>IF(OR($N$1="",对接源_01水果!$C162="",对接源_01水果!$C162&lt;&gt;$N$1,对接源_01水果!$B162=""),0,IF(OR(N(对接源_01水果!$B162)&lt;$N$2,N(对接源_01水果!$B162)&gt;$N$3),0,1))</f>
        <v>1</v>
      </c>
      <c r="P162">
        <f>IF(AND($K162=1,AND(对接源_01水果!$X162="公司筐",N(对接源_01水果!$T162)&lt;&gt;0)),1,0)</f>
        <v>0</v>
      </c>
      <c r="Q162">
        <f>N(Q161)+$P162</f>
        <v>0</v>
      </c>
      <c r="R162">
        <f>IF(AND($K162=1,AND(对接源_01水果!$X162="公司筐",N(对接源_01水果!$U162)&lt;&gt;0)),1,0)</f>
        <v>0</v>
      </c>
      <c r="S162">
        <f>N(S161)+$R162</f>
        <v>0</v>
      </c>
      <c r="T162">
        <f>IF(AND($K162=1,AND(对接源_01水果!$X162="公司筐",N(对接源_01水果!$V162)&lt;&gt;0)),1,0)</f>
        <v>0</v>
      </c>
      <c r="U162">
        <f>N(U161)+$T162</f>
        <v>0</v>
      </c>
      <c r="V162">
        <f>IF(AND($L162=1,AND(对接源_01水果!$X162="自备筐",N(对接源_01水果!$V162)&lt;&gt;0)),1,0)</f>
        <v>0</v>
      </c>
      <c r="W162">
        <f>N(W161)+$V162</f>
        <v>2</v>
      </c>
      <c r="X162">
        <f>IF(AND($L162=1,AND(对接源_01水果!$X162="自备筐",N(对接源_01水果!$T162)&lt;&gt;0)),1,0)</f>
        <v>0</v>
      </c>
      <c r="Y162">
        <f>N(Y161)+$X162</f>
        <v>0</v>
      </c>
      <c r="Z162">
        <f>IF(AND($M162=1,对接源_01水果!$D162="原料入库"),1,0)</f>
        <v>0</v>
      </c>
      <c r="AA162">
        <f>N(AA161)+$Z162</f>
        <v>6</v>
      </c>
      <c r="AB162">
        <f>IF(AND($M162=1,LEFT(对接源_01水果!$D162,4)="原料出库"),1,0)</f>
        <v>0</v>
      </c>
      <c r="AC162">
        <f>N(AC161)+$AB162</f>
        <v>0</v>
      </c>
      <c r="AD162">
        <f>IF(AND($M162=1,LEFT(对接源_01水果!$D162,4)="成品出库"),1,0)</f>
        <v>0</v>
      </c>
      <c r="AE162">
        <f>N(AE161)+$AD162</f>
        <v>0</v>
      </c>
      <c r="AF162">
        <f>IF(AND($N162=1,AND(LEFT(对接源_01水果!$D162,4)="包装物料",N(对接源_01水果!$K162)&lt;&gt;0)),1,0)</f>
        <v>0</v>
      </c>
      <c r="AG162">
        <f>N(AG161)+$AF162</f>
        <v>0</v>
      </c>
      <c r="AH162">
        <f>IF(AND($N162=1,AND(对接源_01水果!$D162="周转筐－销售出库",N(对接源_01水果!$K162)&lt;&gt;0)),1,0)</f>
        <v>0</v>
      </c>
      <c r="AI162">
        <f>N(AI161)+$AH162</f>
        <v>0</v>
      </c>
      <c r="AJ162" s="7" t="n"/>
      <c r="AL162">
        <f>IF(OR($AL$1="",对接源_01水果!$Y162="",对接源_01水果!$Y162&lt;&gt;$AL$1,对接源_01水果!$B162="",N(对接源_01水果!$AJ162)&lt;=0),0,IF(OR(N(对接源_01水果!$B162)&lt;$AL$2,N(对接源_01水果!$B162)&gt;$AL$3),0,1))</f>
        <v>0</v>
      </c>
      <c r="AM162">
        <f>N(AM161)+$AL162</f>
        <v>0</v>
      </c>
      <c r="AN162">
        <f>IF(对接源_01水果!$AC162="","",对接源_01水果!$AC162)</f>
      </c>
      <c r="AO162">
        <f>IF(AN162="",0,IF(MATCH(AN162,$AN$4:$AN$1203,0)=ROW()-3,1,0))</f>
        <v>0</v>
      </c>
      <c r="AP162">
        <f>N(AP161)+$AO162</f>
        <v>0</v>
      </c>
      <c r="AQ162">
        <f>IFERROR(INDEX($AN$4:$AN$1203,MATCH(ROW()-3,$AP$4:$AP$1203,0)),"")</f>
      </c>
      <c r="AR162">
        <f>IF(OR($AF162=1,$AH162=1),1,0)</f>
        <v>0</v>
      </c>
      <c r="AS162">
        <f>N(AS161)+$AR162</f>
        <v>0</v>
      </c>
    </row>
    <row r="163" ht="14.25" customHeight="1" s="127">
      <c r="A163" t="str">
        <f>IF(对接源_01水果!$C163="","",对接源_01水果!$C163)</f>
        <v>麦麦提</v>
      </c>
      <c r="B163">
        <f>IF(A163="",0,IF(MATCH(A163,$A$4:$A$2403,0)=ROW()-3,1,0))</f>
        <v>0</v>
      </c>
      <c r="C163">
        <f>N(C162)+B163</f>
        <v>8</v>
      </c>
      <c r="E163">
        <f>IFERROR(INDEX($A$4:$A$2403,MATCH(ROW()-3,$C$4:$C$2403,0)),"")</f>
      </c>
      <c r="K163">
        <f>IF(OR($K$1="",对接源_01水果!$C163="",对接源_01水果!$C163&lt;&gt;$K$1,对接源_01水果!$B163=""),0,IF(OR(N(对接源_01水果!$B163)&lt;$K$2,N(对接源_01水果!$B163)&gt;$K$3),0,1))</f>
        <v>0</v>
      </c>
      <c r="L163">
        <f>IF(OR($L$1="",对接源_01水果!$C163="",对接源_01水果!$C163&lt;&gt;$L$1,对接源_01水果!$B163=""),0,IF(OR(N(对接源_01水果!$B163)&lt;$L$2,N(对接源_01水果!$B163)&gt;$L$3),0,1))</f>
        <v>0</v>
      </c>
      <c r="M163">
        <f>IF(OR($M$1="",对接源_01水果!$C163="",对接源_01水果!$C163&lt;&gt;$M$1,对接源_01水果!$B163=""),0,IF(OR(N(对接源_01水果!$B163)&lt;$M$2,N(对接源_01水果!$B163)&gt;$M$3),0,1))</f>
        <v>0</v>
      </c>
      <c r="N163">
        <f>IF(OR($N$1="",对接源_01水果!$C163="",对接源_01水果!$C163&lt;&gt;$N$1,对接源_01水果!$B163=""),0,IF(OR(N(对接源_01水果!$B163)&lt;$N$2,N(对接源_01水果!$B163)&gt;$N$3),0,1))</f>
        <v>1</v>
      </c>
      <c r="P163">
        <f>IF(AND($K163=1,AND(对接源_01水果!$X163="公司筐",N(对接源_01水果!$T163)&lt;&gt;0)),1,0)</f>
        <v>0</v>
      </c>
      <c r="Q163">
        <f>N(Q162)+$P163</f>
        <v>0</v>
      </c>
      <c r="R163">
        <f>IF(AND($K163=1,AND(对接源_01水果!$X163="公司筐",N(对接源_01水果!$U163)&lt;&gt;0)),1,0)</f>
        <v>0</v>
      </c>
      <c r="S163">
        <f>N(S162)+$R163</f>
        <v>0</v>
      </c>
      <c r="T163">
        <f>IF(AND($K163=1,AND(对接源_01水果!$X163="公司筐",N(对接源_01水果!$V163)&lt;&gt;0)),1,0)</f>
        <v>0</v>
      </c>
      <c r="U163">
        <f>N(U162)+$T163</f>
        <v>0</v>
      </c>
      <c r="V163">
        <f>IF(AND($L163=1,AND(对接源_01水果!$X163="自备筐",N(对接源_01水果!$V163)&lt;&gt;0)),1,0)</f>
        <v>0</v>
      </c>
      <c r="W163">
        <f>N(W162)+$V163</f>
        <v>2</v>
      </c>
      <c r="X163">
        <f>IF(AND($L163=1,AND(对接源_01水果!$X163="自备筐",N(对接源_01水果!$T163)&lt;&gt;0)),1,0)</f>
        <v>0</v>
      </c>
      <c r="Y163">
        <f>N(Y162)+$X163</f>
        <v>0</v>
      </c>
      <c r="Z163">
        <f>IF(AND($M163=1,对接源_01水果!$D163="原料入库"),1,0)</f>
        <v>0</v>
      </c>
      <c r="AA163">
        <f>N(AA162)+$Z163</f>
        <v>6</v>
      </c>
      <c r="AB163">
        <f>IF(AND($M163=1,LEFT(对接源_01水果!$D163,4)="原料出库"),1,0)</f>
        <v>0</v>
      </c>
      <c r="AC163">
        <f>N(AC162)+$AB163</f>
        <v>0</v>
      </c>
      <c r="AD163">
        <f>IF(AND($M163=1,LEFT(对接源_01水果!$D163,4)="成品出库"),1,0)</f>
        <v>0</v>
      </c>
      <c r="AE163">
        <f>N(AE162)+$AD163</f>
        <v>0</v>
      </c>
      <c r="AF163">
        <f>IF(AND($N163=1,AND(LEFT(对接源_01水果!$D163,4)="包装物料",N(对接源_01水果!$K163)&lt;&gt;0)),1,0)</f>
        <v>0</v>
      </c>
      <c r="AG163">
        <f>N(AG162)+$AF163</f>
        <v>0</v>
      </c>
      <c r="AH163">
        <f>IF(AND($N163=1,AND(对接源_01水果!$D163="周转筐－销售出库",N(对接源_01水果!$K163)&lt;&gt;0)),1,0)</f>
        <v>0</v>
      </c>
      <c r="AI163">
        <f>N(AI162)+$AH163</f>
        <v>0</v>
      </c>
      <c r="AJ163" s="7" t="n"/>
      <c r="AL163">
        <f>IF(OR($AL$1="",对接源_01水果!$Y163="",对接源_01水果!$Y163&lt;&gt;$AL$1,对接源_01水果!$B163="",N(对接源_01水果!$AJ163)&lt;=0),0,IF(OR(N(对接源_01水果!$B163)&lt;$AL$2,N(对接源_01水果!$B163)&gt;$AL$3),0,1))</f>
        <v>0</v>
      </c>
      <c r="AM163">
        <f>N(AM162)+$AL163</f>
        <v>0</v>
      </c>
      <c r="AN163">
        <f>IF(对接源_01水果!$AC163="","",对接源_01水果!$AC163)</f>
      </c>
      <c r="AO163">
        <f>IF(AN163="",0,IF(MATCH(AN163,$AN$4:$AN$1203,0)=ROW()-3,1,0))</f>
        <v>0</v>
      </c>
      <c r="AP163">
        <f>N(AP162)+$AO163</f>
        <v>0</v>
      </c>
      <c r="AQ163">
        <f>IFERROR(INDEX($AN$4:$AN$1203,MATCH(ROW()-3,$AP$4:$AP$1203,0)),"")</f>
      </c>
      <c r="AR163">
        <f>IF(OR($AF163=1,$AH163=1),1,0)</f>
        <v>0</v>
      </c>
      <c r="AS163">
        <f>N(AS162)+$AR163</f>
        <v>0</v>
      </c>
    </row>
    <row r="164" ht="14.25" customHeight="1" s="127">
      <c r="A164" t="str">
        <f>IF(对接源_01水果!$C164="","",对接源_01水果!$C164)</f>
        <v>麦麦提</v>
      </c>
      <c r="B164">
        <f>IF(A164="",0,IF(MATCH(A164,$A$4:$A$2403,0)=ROW()-3,1,0))</f>
        <v>0</v>
      </c>
      <c r="C164">
        <f>N(C163)+B164</f>
        <v>8</v>
      </c>
      <c r="E164">
        <f>IFERROR(INDEX($A$4:$A$2403,MATCH(ROW()-3,$C$4:$C$2403,0)),"")</f>
      </c>
      <c r="K164">
        <f>IF(OR($K$1="",对接源_01水果!$C164="",对接源_01水果!$C164&lt;&gt;$K$1,对接源_01水果!$B164=""),0,IF(OR(N(对接源_01水果!$B164)&lt;$K$2,N(对接源_01水果!$B164)&gt;$K$3),0,1))</f>
        <v>0</v>
      </c>
      <c r="L164">
        <f>IF(OR($L$1="",对接源_01水果!$C164="",对接源_01水果!$C164&lt;&gt;$L$1,对接源_01水果!$B164=""),0,IF(OR(N(对接源_01水果!$B164)&lt;$L$2,N(对接源_01水果!$B164)&gt;$L$3),0,1))</f>
        <v>0</v>
      </c>
      <c r="M164">
        <f>IF(OR($M$1="",对接源_01水果!$C164="",对接源_01水果!$C164&lt;&gt;$M$1,对接源_01水果!$B164=""),0,IF(OR(N(对接源_01水果!$B164)&lt;$M$2,N(对接源_01水果!$B164)&gt;$M$3),0,1))</f>
        <v>0</v>
      </c>
      <c r="N164">
        <f>IF(OR($N$1="",对接源_01水果!$C164="",对接源_01水果!$C164&lt;&gt;$N$1,对接源_01水果!$B164=""),0,IF(OR(N(对接源_01水果!$B164)&lt;$N$2,N(对接源_01水果!$B164)&gt;$N$3),0,1))</f>
        <v>1</v>
      </c>
      <c r="P164">
        <f>IF(AND($K164=1,AND(对接源_01水果!$X164="公司筐",N(对接源_01水果!$T164)&lt;&gt;0)),1,0)</f>
        <v>0</v>
      </c>
      <c r="Q164">
        <f>N(Q163)+$P164</f>
        <v>0</v>
      </c>
      <c r="R164">
        <f>IF(AND($K164=1,AND(对接源_01水果!$X164="公司筐",N(对接源_01水果!$U164)&lt;&gt;0)),1,0)</f>
        <v>0</v>
      </c>
      <c r="S164">
        <f>N(S163)+$R164</f>
        <v>0</v>
      </c>
      <c r="T164">
        <f>IF(AND($K164=1,AND(对接源_01水果!$X164="公司筐",N(对接源_01水果!$V164)&lt;&gt;0)),1,0)</f>
        <v>0</v>
      </c>
      <c r="U164">
        <f>N(U163)+$T164</f>
        <v>0</v>
      </c>
      <c r="V164">
        <f>IF(AND($L164=1,AND(对接源_01水果!$X164="自备筐",N(对接源_01水果!$V164)&lt;&gt;0)),1,0)</f>
        <v>0</v>
      </c>
      <c r="W164">
        <f>N(W163)+$V164</f>
        <v>2</v>
      </c>
      <c r="X164">
        <f>IF(AND($L164=1,AND(对接源_01水果!$X164="自备筐",N(对接源_01水果!$T164)&lt;&gt;0)),1,0)</f>
        <v>0</v>
      </c>
      <c r="Y164">
        <f>N(Y163)+$X164</f>
        <v>0</v>
      </c>
      <c r="Z164">
        <f>IF(AND($M164=1,对接源_01水果!$D164="原料入库"),1,0)</f>
        <v>0</v>
      </c>
      <c r="AA164">
        <f>N(AA163)+$Z164</f>
        <v>6</v>
      </c>
      <c r="AB164">
        <f>IF(AND($M164=1,LEFT(对接源_01水果!$D164,4)="原料出库"),1,0)</f>
        <v>0</v>
      </c>
      <c r="AC164">
        <f>N(AC163)+$AB164</f>
        <v>0</v>
      </c>
      <c r="AD164">
        <f>IF(AND($M164=1,LEFT(对接源_01水果!$D164,4)="成品出库"),1,0)</f>
        <v>0</v>
      </c>
      <c r="AE164">
        <f>N(AE163)+$AD164</f>
        <v>0</v>
      </c>
      <c r="AF164">
        <f>IF(AND($N164=1,AND(LEFT(对接源_01水果!$D164,4)="包装物料",N(对接源_01水果!$K164)&lt;&gt;0)),1,0)</f>
        <v>0</v>
      </c>
      <c r="AG164">
        <f>N(AG163)+$AF164</f>
        <v>0</v>
      </c>
      <c r="AH164">
        <f>IF(AND($N164=1,AND(对接源_01水果!$D164="周转筐－销售出库",N(对接源_01水果!$K164)&lt;&gt;0)),1,0)</f>
        <v>0</v>
      </c>
      <c r="AI164">
        <f>N(AI163)+$AH164</f>
        <v>0</v>
      </c>
      <c r="AJ164" s="7" t="n"/>
      <c r="AL164">
        <f>IF(OR($AL$1="",对接源_01水果!$Y164="",对接源_01水果!$Y164&lt;&gt;$AL$1,对接源_01水果!$B164="",N(对接源_01水果!$AJ164)&lt;=0),0,IF(OR(N(对接源_01水果!$B164)&lt;$AL$2,N(对接源_01水果!$B164)&gt;$AL$3),0,1))</f>
        <v>0</v>
      </c>
      <c r="AM164">
        <f>N(AM163)+$AL164</f>
        <v>0</v>
      </c>
      <c r="AN164">
        <f>IF(对接源_01水果!$AC164="","",对接源_01水果!$AC164)</f>
      </c>
      <c r="AO164">
        <f>IF(AN164="",0,IF(MATCH(AN164,$AN$4:$AN$1203,0)=ROW()-3,1,0))</f>
        <v>0</v>
      </c>
      <c r="AP164">
        <f>N(AP163)+$AO164</f>
        <v>0</v>
      </c>
      <c r="AQ164">
        <f>IFERROR(INDEX($AN$4:$AN$1203,MATCH(ROW()-3,$AP$4:$AP$1203,0)),"")</f>
      </c>
      <c r="AR164">
        <f>IF(OR($AF164=1,$AH164=1),1,0)</f>
        <v>0</v>
      </c>
      <c r="AS164">
        <f>N(AS163)+$AR164</f>
        <v>0</v>
      </c>
    </row>
    <row r="165" ht="14.25" customHeight="1" s="127">
      <c r="A165" t="str">
        <f>IF(对接源_01水果!$C165="","",对接源_01水果!$C165)</f>
        <v>贾建国</v>
      </c>
      <c r="B165">
        <f>IF(A165="",0,IF(MATCH(A165,$A$4:$A$2403,0)=ROW()-3,1,0))</f>
        <v>0</v>
      </c>
      <c r="C165">
        <f>N(C164)+B165</f>
        <v>8</v>
      </c>
      <c r="E165">
        <f>IFERROR(INDEX($A$4:$A$2403,MATCH(ROW()-3,$C$4:$C$2403,0)),"")</f>
      </c>
      <c r="K165">
        <f>IF(OR($K$1="",对接源_01水果!$C165="",对接源_01水果!$C165&lt;&gt;$K$1,对接源_01水果!$B165=""),0,IF(OR(N(对接源_01水果!$B165)&lt;$K$2,N(对接源_01水果!$B165)&gt;$K$3),0,1))</f>
        <v>0</v>
      </c>
      <c r="L165">
        <f>IF(OR($L$1="",对接源_01水果!$C165="",对接源_01水果!$C165&lt;&gt;$L$1,对接源_01水果!$B165=""),0,IF(OR(N(对接源_01水果!$B165)&lt;$L$2,N(对接源_01水果!$B165)&gt;$L$3),0,1))</f>
        <v>1</v>
      </c>
      <c r="M165">
        <f>IF(OR($M$1="",对接源_01水果!$C165="",对接源_01水果!$C165&lt;&gt;$M$1,对接源_01水果!$B165=""),0,IF(OR(N(对接源_01水果!$B165)&lt;$M$2,N(对接源_01水果!$B165)&gt;$M$3),0,1))</f>
        <v>0</v>
      </c>
      <c r="N165">
        <f>IF(OR($N$1="",对接源_01水果!$C165="",对接源_01水果!$C165&lt;&gt;$N$1,对接源_01水果!$B165=""),0,IF(OR(N(对接源_01水果!$B165)&lt;$N$2,N(对接源_01水果!$B165)&gt;$N$3),0,1))</f>
        <v>0</v>
      </c>
      <c r="P165">
        <f>IF(AND($K165=1,AND(对接源_01水果!$X165="公司筐",N(对接源_01水果!$T165)&lt;&gt;0)),1,0)</f>
        <v>0</v>
      </c>
      <c r="Q165">
        <f>N(Q164)+$P165</f>
        <v>0</v>
      </c>
      <c r="R165">
        <f>IF(AND($K165=1,AND(对接源_01水果!$X165="公司筐",N(对接源_01水果!$U165)&lt;&gt;0)),1,0)</f>
        <v>0</v>
      </c>
      <c r="S165">
        <f>N(S164)+$R165</f>
        <v>0</v>
      </c>
      <c r="T165">
        <f>IF(AND($K165=1,AND(对接源_01水果!$X165="公司筐",N(对接源_01水果!$V165)&lt;&gt;0)),1,0)</f>
        <v>0</v>
      </c>
      <c r="U165">
        <f>N(U164)+$T165</f>
        <v>0</v>
      </c>
      <c r="V165">
        <f>IF(AND($L165=1,AND(对接源_01水果!$X165="自备筐",N(对接源_01水果!$V165)&lt;&gt;0)),1,0)</f>
        <v>1</v>
      </c>
      <c r="W165">
        <f>N(W164)+$V165</f>
        <v>3</v>
      </c>
      <c r="X165">
        <f>IF(AND($L165=1,AND(对接源_01水果!$X165="自备筐",N(对接源_01水果!$T165)&lt;&gt;0)),1,0)</f>
        <v>0</v>
      </c>
      <c r="Y165">
        <f>N(Y164)+$X165</f>
        <v>0</v>
      </c>
      <c r="Z165">
        <f>IF(AND($M165=1,对接源_01水果!$D165="原料入库"),1,0)</f>
        <v>0</v>
      </c>
      <c r="AA165">
        <f>N(AA164)+$Z165</f>
        <v>6</v>
      </c>
      <c r="AB165">
        <f>IF(AND($M165=1,LEFT(对接源_01水果!$D165,4)="原料出库"),1,0)</f>
        <v>0</v>
      </c>
      <c r="AC165">
        <f>N(AC164)+$AB165</f>
        <v>0</v>
      </c>
      <c r="AD165">
        <f>IF(AND($M165=1,LEFT(对接源_01水果!$D165,4)="成品出库"),1,0)</f>
        <v>0</v>
      </c>
      <c r="AE165">
        <f>N(AE164)+$AD165</f>
        <v>0</v>
      </c>
      <c r="AF165">
        <f>IF(AND($N165=1,AND(LEFT(对接源_01水果!$D165,4)="包装物料",N(对接源_01水果!$K165)&lt;&gt;0)),1,0)</f>
        <v>0</v>
      </c>
      <c r="AG165">
        <f>N(AG164)+$AF165</f>
        <v>0</v>
      </c>
      <c r="AH165">
        <f>IF(AND($N165=1,AND(对接源_01水果!$D165="周转筐－销售出库",N(对接源_01水果!$K165)&lt;&gt;0)),1,0)</f>
        <v>0</v>
      </c>
      <c r="AI165">
        <f>N(AI164)+$AH165</f>
        <v>0</v>
      </c>
      <c r="AJ165" s="7" t="n"/>
      <c r="AL165">
        <f>IF(OR($AL$1="",对接源_01水果!$Y165="",对接源_01水果!$Y165&lt;&gt;$AL$1,对接源_01水果!$B165="",N(对接源_01水果!$AJ165)&lt;=0),0,IF(OR(N(对接源_01水果!$B165)&lt;$AL$2,N(对接源_01水果!$B165)&gt;$AL$3),0,1))</f>
        <v>0</v>
      </c>
      <c r="AM165">
        <f>N(AM164)+$AL165</f>
        <v>0</v>
      </c>
      <c r="AN165">
        <f>IF(对接源_01水果!$AC165="","",对接源_01水果!$AC165)</f>
      </c>
      <c r="AO165">
        <f>IF(AN165="",0,IF(MATCH(AN165,$AN$4:$AN$1203,0)=ROW()-3,1,0))</f>
        <v>0</v>
      </c>
      <c r="AP165">
        <f>N(AP164)+$AO165</f>
        <v>0</v>
      </c>
      <c r="AQ165">
        <f>IFERROR(INDEX($AN$4:$AN$1203,MATCH(ROW()-3,$AP$4:$AP$1203,0)),"")</f>
      </c>
      <c r="AR165">
        <f>IF(OR($AF165=1,$AH165=1),1,0)</f>
        <v>0</v>
      </c>
      <c r="AS165">
        <f>N(AS164)+$AR165</f>
        <v>0</v>
      </c>
    </row>
    <row r="166" ht="14.25" customHeight="1" s="127">
      <c r="A166" t="str">
        <f>IF(对接源_01水果!$C166="","",对接源_01水果!$C166)</f>
        <v>贾建国</v>
      </c>
      <c r="B166">
        <f>IF(A166="",0,IF(MATCH(A166,$A$4:$A$2403,0)=ROW()-3,1,0))</f>
        <v>0</v>
      </c>
      <c r="C166">
        <f>N(C165)+B166</f>
        <v>8</v>
      </c>
      <c r="E166">
        <f>IFERROR(INDEX($A$4:$A$2403,MATCH(ROW()-3,$C$4:$C$2403,0)),"")</f>
      </c>
      <c r="K166">
        <f>IF(OR($K$1="",对接源_01水果!$C166="",对接源_01水果!$C166&lt;&gt;$K$1,对接源_01水果!$B166=""),0,IF(OR(N(对接源_01水果!$B166)&lt;$K$2,N(对接源_01水果!$B166)&gt;$K$3),0,1))</f>
        <v>0</v>
      </c>
      <c r="L166">
        <f>IF(OR($L$1="",对接源_01水果!$C166="",对接源_01水果!$C166&lt;&gt;$L$1,对接源_01水果!$B166=""),0,IF(OR(N(对接源_01水果!$B166)&lt;$L$2,N(对接源_01水果!$B166)&gt;$L$3),0,1))</f>
        <v>1</v>
      </c>
      <c r="M166">
        <f>IF(OR($M$1="",对接源_01水果!$C166="",对接源_01水果!$C166&lt;&gt;$M$1,对接源_01水果!$B166=""),0,IF(OR(N(对接源_01水果!$B166)&lt;$M$2,N(对接源_01水果!$B166)&gt;$M$3),0,1))</f>
        <v>0</v>
      </c>
      <c r="N166">
        <f>IF(OR($N$1="",对接源_01水果!$C166="",对接源_01水果!$C166&lt;&gt;$N$1,对接源_01水果!$B166=""),0,IF(OR(N(对接源_01水果!$B166)&lt;$N$2,N(对接源_01水果!$B166)&gt;$N$3),0,1))</f>
        <v>0</v>
      </c>
      <c r="P166">
        <f>IF(AND($K166=1,AND(对接源_01水果!$X166="公司筐",N(对接源_01水果!$T166)&lt;&gt;0)),1,0)</f>
        <v>0</v>
      </c>
      <c r="Q166">
        <f>N(Q165)+$P166</f>
        <v>0</v>
      </c>
      <c r="R166">
        <f>IF(AND($K166=1,AND(对接源_01水果!$X166="公司筐",N(对接源_01水果!$U166)&lt;&gt;0)),1,0)</f>
        <v>0</v>
      </c>
      <c r="S166">
        <f>N(S165)+$R166</f>
        <v>0</v>
      </c>
      <c r="T166">
        <f>IF(AND($K166=1,AND(对接源_01水果!$X166="公司筐",N(对接源_01水果!$V166)&lt;&gt;0)),1,0)</f>
        <v>0</v>
      </c>
      <c r="U166">
        <f>N(U165)+$T166</f>
        <v>0</v>
      </c>
      <c r="V166">
        <f>IF(AND($L166=1,AND(对接源_01水果!$X166="自备筐",N(对接源_01水果!$V166)&lt;&gt;0)),1,0)</f>
        <v>1</v>
      </c>
      <c r="W166">
        <f>N(W165)+$V166</f>
        <v>4</v>
      </c>
      <c r="X166">
        <f>IF(AND($L166=1,AND(对接源_01水果!$X166="自备筐",N(对接源_01水果!$T166)&lt;&gt;0)),1,0)</f>
        <v>0</v>
      </c>
      <c r="Y166">
        <f>N(Y165)+$X166</f>
        <v>0</v>
      </c>
      <c r="Z166">
        <f>IF(AND($M166=1,对接源_01水果!$D166="原料入库"),1,0)</f>
        <v>0</v>
      </c>
      <c r="AA166">
        <f>N(AA165)+$Z166</f>
        <v>6</v>
      </c>
      <c r="AB166">
        <f>IF(AND($M166=1,LEFT(对接源_01水果!$D166,4)="原料出库"),1,0)</f>
        <v>0</v>
      </c>
      <c r="AC166">
        <f>N(AC165)+$AB166</f>
        <v>0</v>
      </c>
      <c r="AD166">
        <f>IF(AND($M166=1,LEFT(对接源_01水果!$D166,4)="成品出库"),1,0)</f>
        <v>0</v>
      </c>
      <c r="AE166">
        <f>N(AE165)+$AD166</f>
        <v>0</v>
      </c>
      <c r="AF166">
        <f>IF(AND($N166=1,AND(LEFT(对接源_01水果!$D166,4)="包装物料",N(对接源_01水果!$K166)&lt;&gt;0)),1,0)</f>
        <v>0</v>
      </c>
      <c r="AG166">
        <f>N(AG165)+$AF166</f>
        <v>0</v>
      </c>
      <c r="AH166">
        <f>IF(AND($N166=1,AND(对接源_01水果!$D166="周转筐－销售出库",N(对接源_01水果!$K166)&lt;&gt;0)),1,0)</f>
        <v>0</v>
      </c>
      <c r="AI166">
        <f>N(AI165)+$AH166</f>
        <v>0</v>
      </c>
      <c r="AJ166" s="7" t="n"/>
      <c r="AL166">
        <f>IF(OR($AL$1="",对接源_01水果!$Y166="",对接源_01水果!$Y166&lt;&gt;$AL$1,对接源_01水果!$B166="",N(对接源_01水果!$AJ166)&lt;=0),0,IF(OR(N(对接源_01水果!$B166)&lt;$AL$2,N(对接源_01水果!$B166)&gt;$AL$3),0,1))</f>
        <v>0</v>
      </c>
      <c r="AM166">
        <f>N(AM165)+$AL166</f>
        <v>0</v>
      </c>
      <c r="AN166">
        <f>IF(对接源_01水果!$AC166="","",对接源_01水果!$AC166)</f>
      </c>
      <c r="AO166">
        <f>IF(AN166="",0,IF(MATCH(AN166,$AN$4:$AN$1203,0)=ROW()-3,1,0))</f>
        <v>0</v>
      </c>
      <c r="AP166">
        <f>N(AP165)+$AO166</f>
        <v>0</v>
      </c>
      <c r="AQ166">
        <f>IFERROR(INDEX($AN$4:$AN$1203,MATCH(ROW()-3,$AP$4:$AP$1203,0)),"")</f>
      </c>
      <c r="AR166">
        <f>IF(OR($AF166=1,$AH166=1),1,0)</f>
        <v>0</v>
      </c>
      <c r="AS166">
        <f>N(AS165)+$AR166</f>
        <v>0</v>
      </c>
    </row>
    <row r="167" ht="14.25" customHeight="1" s="127">
      <c r="A167" t="str">
        <f>IF(对接源_01水果!$C167="","",对接源_01水果!$C167)</f>
        <v>王灵云</v>
      </c>
      <c r="B167">
        <f>IF(A167="",0,IF(MATCH(A167,$A$4:$A$2403,0)=ROW()-3,1,0))</f>
        <v>1</v>
      </c>
      <c r="C167">
        <f>N(C166)+B167</f>
        <v>9</v>
      </c>
      <c r="E167">
        <f>IFERROR(INDEX($A$4:$A$2403,MATCH(ROW()-3,$C$4:$C$2403,0)),"")</f>
      </c>
      <c r="K167">
        <f>IF(OR($K$1="",对接源_01水果!$C167="",对接源_01水果!$C167&lt;&gt;$K$1,对接源_01水果!$B167=""),0,IF(OR(N(对接源_01水果!$B167)&lt;$K$2,N(对接源_01水果!$B167)&gt;$K$3),0,1))</f>
        <v>1</v>
      </c>
      <c r="L167">
        <f>IF(OR($L$1="",对接源_01水果!$C167="",对接源_01水果!$C167&lt;&gt;$L$1,对接源_01水果!$B167=""),0,IF(OR(N(对接源_01水果!$B167)&lt;$L$2,N(对接源_01水果!$B167)&gt;$L$3),0,1))</f>
        <v>0</v>
      </c>
      <c r="M167">
        <f>IF(OR($M$1="",对接源_01水果!$C167="",对接源_01水果!$C167&lt;&gt;$M$1,对接源_01水果!$B167=""),0,IF(OR(N(对接源_01水果!$B167)&lt;$M$2,N(对接源_01水果!$B167)&gt;$M$3),0,1))</f>
        <v>0</v>
      </c>
      <c r="N167">
        <f>IF(OR($N$1="",对接源_01水果!$C167="",对接源_01水果!$C167&lt;&gt;$N$1,对接源_01水果!$B167=""),0,IF(OR(N(对接源_01水果!$B167)&lt;$N$2,N(对接源_01水果!$B167)&gt;$N$3),0,1))</f>
        <v>0</v>
      </c>
      <c r="P167">
        <f>IF(AND($K167=1,AND(对接源_01水果!$X167="公司筐",N(对接源_01水果!$T167)&lt;&gt;0)),1,0)</f>
        <v>0</v>
      </c>
      <c r="Q167">
        <f>N(Q166)+$P167</f>
        <v>0</v>
      </c>
      <c r="R167">
        <f>IF(AND($K167=1,AND(对接源_01水果!$X167="公司筐",N(对接源_01水果!$U167)&lt;&gt;0)),1,0)</f>
        <v>0</v>
      </c>
      <c r="S167">
        <f>N(S166)+$R167</f>
        <v>0</v>
      </c>
      <c r="T167">
        <f>IF(AND($K167=1,AND(对接源_01水果!$X167="公司筐",N(对接源_01水果!$V167)&lt;&gt;0)),1,0)</f>
        <v>1</v>
      </c>
      <c r="U167">
        <f>N(U166)+$T167</f>
        <v>1</v>
      </c>
      <c r="V167">
        <f>IF(AND($L167=1,AND(对接源_01水果!$X167="自备筐",N(对接源_01水果!$V167)&lt;&gt;0)),1,0)</f>
        <v>0</v>
      </c>
      <c r="W167">
        <f>N(W166)+$V167</f>
        <v>4</v>
      </c>
      <c r="X167">
        <f>IF(AND($L167=1,AND(对接源_01水果!$X167="自备筐",N(对接源_01水果!$T167)&lt;&gt;0)),1,0)</f>
        <v>0</v>
      </c>
      <c r="Y167">
        <f>N(Y166)+$X167</f>
        <v>0</v>
      </c>
      <c r="Z167">
        <f>IF(AND($M167=1,对接源_01水果!$D167="原料入库"),1,0)</f>
        <v>0</v>
      </c>
      <c r="AA167">
        <f>N(AA166)+$Z167</f>
        <v>6</v>
      </c>
      <c r="AB167">
        <f>IF(AND($M167=1,LEFT(对接源_01水果!$D167,4)="原料出库"),1,0)</f>
        <v>0</v>
      </c>
      <c r="AC167">
        <f>N(AC166)+$AB167</f>
        <v>0</v>
      </c>
      <c r="AD167">
        <f>IF(AND($M167=1,LEFT(对接源_01水果!$D167,4)="成品出库"),1,0)</f>
        <v>0</v>
      </c>
      <c r="AE167">
        <f>N(AE166)+$AD167</f>
        <v>0</v>
      </c>
      <c r="AF167">
        <f>IF(AND($N167=1,AND(LEFT(对接源_01水果!$D167,4)="包装物料",N(对接源_01水果!$K167)&lt;&gt;0)),1,0)</f>
        <v>0</v>
      </c>
      <c r="AG167">
        <f>N(AG166)+$AF167</f>
        <v>0</v>
      </c>
      <c r="AH167">
        <f>IF(AND($N167=1,AND(对接源_01水果!$D167="周转筐－销售出库",N(对接源_01水果!$K167)&lt;&gt;0)),1,0)</f>
        <v>0</v>
      </c>
      <c r="AI167">
        <f>N(AI166)+$AH167</f>
        <v>0</v>
      </c>
      <c r="AJ167" s="7" t="n"/>
      <c r="AL167">
        <f>IF(OR($AL$1="",对接源_01水果!$Y167="",对接源_01水果!$Y167&lt;&gt;$AL$1,对接源_01水果!$B167="",N(对接源_01水果!$AJ167)&lt;=0),0,IF(OR(N(对接源_01水果!$B167)&lt;$AL$2,N(对接源_01水果!$B167)&gt;$AL$3),0,1))</f>
        <v>0</v>
      </c>
      <c r="AM167">
        <f>N(AM166)+$AL167</f>
        <v>0</v>
      </c>
      <c r="AN167">
        <f>IF(对接源_01水果!$AC167="","",对接源_01水果!$AC167)</f>
      </c>
      <c r="AO167">
        <f>IF(AN167="",0,IF(MATCH(AN167,$AN$4:$AN$1203,0)=ROW()-3,1,0))</f>
        <v>0</v>
      </c>
      <c r="AP167">
        <f>N(AP166)+$AO167</f>
        <v>0</v>
      </c>
      <c r="AQ167">
        <f>IFERROR(INDEX($AN$4:$AN$1203,MATCH(ROW()-3,$AP$4:$AP$1203,0)),"")</f>
      </c>
      <c r="AR167">
        <f>IF(OR($AF167=1,$AH167=1),1,0)</f>
        <v>0</v>
      </c>
      <c r="AS167">
        <f>N(AS166)+$AR167</f>
        <v>0</v>
      </c>
    </row>
    <row r="168" ht="14.25" customHeight="1" s="127">
      <c r="A168" t="str">
        <f>IF(对接源_01水果!$C168="","",对接源_01水果!$C168)</f>
        <v>王灵云</v>
      </c>
      <c r="B168">
        <f>IF(A168="",0,IF(MATCH(A168,$A$4:$A$2403,0)=ROW()-3,1,0))</f>
        <v>0</v>
      </c>
      <c r="C168">
        <f>N(C167)+B168</f>
        <v>9</v>
      </c>
      <c r="E168">
        <f>IFERROR(INDEX($A$4:$A$2403,MATCH(ROW()-3,$C$4:$C$2403,0)),"")</f>
      </c>
      <c r="K168">
        <f>IF(OR($K$1="",对接源_01水果!$C168="",对接源_01水果!$C168&lt;&gt;$K$1,对接源_01水果!$B168=""),0,IF(OR(N(对接源_01水果!$B168)&lt;$K$2,N(对接源_01水果!$B168)&gt;$K$3),0,1))</f>
        <v>1</v>
      </c>
      <c r="L168">
        <f>IF(OR($L$1="",对接源_01水果!$C168="",对接源_01水果!$C168&lt;&gt;$L$1,对接源_01水果!$B168=""),0,IF(OR(N(对接源_01水果!$B168)&lt;$L$2,N(对接源_01水果!$B168)&gt;$L$3),0,1))</f>
        <v>0</v>
      </c>
      <c r="M168">
        <f>IF(OR($M$1="",对接源_01水果!$C168="",对接源_01水果!$C168&lt;&gt;$M$1,对接源_01水果!$B168=""),0,IF(OR(N(对接源_01水果!$B168)&lt;$M$2,N(对接源_01水果!$B168)&gt;$M$3),0,1))</f>
        <v>0</v>
      </c>
      <c r="N168">
        <f>IF(OR($N$1="",对接源_01水果!$C168="",对接源_01水果!$C168&lt;&gt;$N$1,对接源_01水果!$B168=""),0,IF(OR(N(对接源_01水果!$B168)&lt;$N$2,N(对接源_01水果!$B168)&gt;$N$3),0,1))</f>
        <v>0</v>
      </c>
      <c r="P168">
        <f>IF(AND($K168=1,AND(对接源_01水果!$X168="公司筐",N(对接源_01水果!$T168)&lt;&gt;0)),1,0)</f>
        <v>0</v>
      </c>
      <c r="Q168">
        <f>N(Q167)+$P168</f>
        <v>0</v>
      </c>
      <c r="R168">
        <f>IF(AND($K168=1,AND(对接源_01水果!$X168="公司筐",N(对接源_01水果!$U168)&lt;&gt;0)),1,0)</f>
        <v>0</v>
      </c>
      <c r="S168">
        <f>N(S167)+$R168</f>
        <v>0</v>
      </c>
      <c r="T168">
        <f>IF(AND($K168=1,AND(对接源_01水果!$X168="公司筐",N(对接源_01水果!$V168)&lt;&gt;0)),1,0)</f>
        <v>1</v>
      </c>
      <c r="U168">
        <f>N(U167)+$T168</f>
        <v>2</v>
      </c>
      <c r="V168">
        <f>IF(AND($L168=1,AND(对接源_01水果!$X168="自备筐",N(对接源_01水果!$V168)&lt;&gt;0)),1,0)</f>
        <v>0</v>
      </c>
      <c r="W168">
        <f>N(W167)+$V168</f>
        <v>4</v>
      </c>
      <c r="X168">
        <f>IF(AND($L168=1,AND(对接源_01水果!$X168="自备筐",N(对接源_01水果!$T168)&lt;&gt;0)),1,0)</f>
        <v>0</v>
      </c>
      <c r="Y168">
        <f>N(Y167)+$X168</f>
        <v>0</v>
      </c>
      <c r="Z168">
        <f>IF(AND($M168=1,对接源_01水果!$D168="原料入库"),1,0)</f>
        <v>0</v>
      </c>
      <c r="AA168">
        <f>N(AA167)+$Z168</f>
        <v>6</v>
      </c>
      <c r="AB168">
        <f>IF(AND($M168=1,LEFT(对接源_01水果!$D168,4)="原料出库"),1,0)</f>
        <v>0</v>
      </c>
      <c r="AC168">
        <f>N(AC167)+$AB168</f>
        <v>0</v>
      </c>
      <c r="AD168">
        <f>IF(AND($M168=1,LEFT(对接源_01水果!$D168,4)="成品出库"),1,0)</f>
        <v>0</v>
      </c>
      <c r="AE168">
        <f>N(AE167)+$AD168</f>
        <v>0</v>
      </c>
      <c r="AF168">
        <f>IF(AND($N168=1,AND(LEFT(对接源_01水果!$D168,4)="包装物料",N(对接源_01水果!$K168)&lt;&gt;0)),1,0)</f>
        <v>0</v>
      </c>
      <c r="AG168">
        <f>N(AG167)+$AF168</f>
        <v>0</v>
      </c>
      <c r="AH168">
        <f>IF(AND($N168=1,AND(对接源_01水果!$D168="周转筐－销售出库",N(对接源_01水果!$K168)&lt;&gt;0)),1,0)</f>
        <v>0</v>
      </c>
      <c r="AI168">
        <f>N(AI167)+$AH168</f>
        <v>0</v>
      </c>
      <c r="AJ168" s="7" t="n"/>
      <c r="AL168">
        <f>IF(OR($AL$1="",对接源_01水果!$Y168="",对接源_01水果!$Y168&lt;&gt;$AL$1,对接源_01水果!$B168="",N(对接源_01水果!$AJ168)&lt;=0),0,IF(OR(N(对接源_01水果!$B168)&lt;$AL$2,N(对接源_01水果!$B168)&gt;$AL$3),0,1))</f>
        <v>0</v>
      </c>
      <c r="AM168">
        <f>N(AM167)+$AL168</f>
        <v>0</v>
      </c>
      <c r="AN168">
        <f>IF(对接源_01水果!$AC168="","",对接源_01水果!$AC168)</f>
      </c>
      <c r="AO168">
        <f>IF(AN168="",0,IF(MATCH(AN168,$AN$4:$AN$1203,0)=ROW()-3,1,0))</f>
        <v>0</v>
      </c>
      <c r="AP168">
        <f>N(AP167)+$AO168</f>
        <v>0</v>
      </c>
      <c r="AQ168">
        <f>IFERROR(INDEX($AN$4:$AN$1203,MATCH(ROW()-3,$AP$4:$AP$1203,0)),"")</f>
      </c>
      <c r="AR168">
        <f>IF(OR($AF168=1,$AH168=1),1,0)</f>
        <v>0</v>
      </c>
      <c r="AS168">
        <f>N(AS167)+$AR168</f>
        <v>0</v>
      </c>
    </row>
    <row r="169" ht="14.25" customHeight="1" s="127">
      <c r="A169" t="str">
        <f>IF(对接源_01水果!$C169="","",对接源_01水果!$C169)</f>
        <v>王灵云</v>
      </c>
      <c r="B169">
        <f>IF(A169="",0,IF(MATCH(A169,$A$4:$A$2403,0)=ROW()-3,1,0))</f>
        <v>0</v>
      </c>
      <c r="C169">
        <f>N(C168)+B169</f>
        <v>9</v>
      </c>
      <c r="E169">
        <f>IFERROR(INDEX($A$4:$A$2403,MATCH(ROW()-3,$C$4:$C$2403,0)),"")</f>
      </c>
      <c r="K169">
        <f>IF(OR($K$1="",对接源_01水果!$C169="",对接源_01水果!$C169&lt;&gt;$K$1,对接源_01水果!$B169=""),0,IF(OR(N(对接源_01水果!$B169)&lt;$K$2,N(对接源_01水果!$B169)&gt;$K$3),0,1))</f>
        <v>1</v>
      </c>
      <c r="L169">
        <f>IF(OR($L$1="",对接源_01水果!$C169="",对接源_01水果!$C169&lt;&gt;$L$1,对接源_01水果!$B169=""),0,IF(OR(N(对接源_01水果!$B169)&lt;$L$2,N(对接源_01水果!$B169)&gt;$L$3),0,1))</f>
        <v>0</v>
      </c>
      <c r="M169">
        <f>IF(OR($M$1="",对接源_01水果!$C169="",对接源_01水果!$C169&lt;&gt;$M$1,对接源_01水果!$B169=""),0,IF(OR(N(对接源_01水果!$B169)&lt;$M$2,N(对接源_01水果!$B169)&gt;$M$3),0,1))</f>
        <v>0</v>
      </c>
      <c r="N169">
        <f>IF(OR($N$1="",对接源_01水果!$C169="",对接源_01水果!$C169&lt;&gt;$N$1,对接源_01水果!$B169=""),0,IF(OR(N(对接源_01水果!$B169)&lt;$N$2,N(对接源_01水果!$B169)&gt;$N$3),0,1))</f>
        <v>0</v>
      </c>
      <c r="P169">
        <f>IF(AND($K169=1,AND(对接源_01水果!$X169="公司筐",N(对接源_01水果!$T169)&lt;&gt;0)),1,0)</f>
        <v>0</v>
      </c>
      <c r="Q169">
        <f>N(Q168)+$P169</f>
        <v>0</v>
      </c>
      <c r="R169">
        <f>IF(AND($K169=1,AND(对接源_01水果!$X169="公司筐",N(对接源_01水果!$U169)&lt;&gt;0)),1,0)</f>
        <v>0</v>
      </c>
      <c r="S169">
        <f>N(S168)+$R169</f>
        <v>0</v>
      </c>
      <c r="T169">
        <f>IF(AND($K169=1,AND(对接源_01水果!$X169="公司筐",N(对接源_01水果!$V169)&lt;&gt;0)),1,0)</f>
        <v>1</v>
      </c>
      <c r="U169">
        <f>N(U168)+$T169</f>
        <v>3</v>
      </c>
      <c r="V169">
        <f>IF(AND($L169=1,AND(对接源_01水果!$X169="自备筐",N(对接源_01水果!$V169)&lt;&gt;0)),1,0)</f>
        <v>0</v>
      </c>
      <c r="W169">
        <f>N(W168)+$V169</f>
        <v>4</v>
      </c>
      <c r="X169">
        <f>IF(AND($L169=1,AND(对接源_01水果!$X169="自备筐",N(对接源_01水果!$T169)&lt;&gt;0)),1,0)</f>
        <v>0</v>
      </c>
      <c r="Y169">
        <f>N(Y168)+$X169</f>
        <v>0</v>
      </c>
      <c r="Z169">
        <f>IF(AND($M169=1,对接源_01水果!$D169="原料入库"),1,0)</f>
        <v>0</v>
      </c>
      <c r="AA169">
        <f>N(AA168)+$Z169</f>
        <v>6</v>
      </c>
      <c r="AB169">
        <f>IF(AND($M169=1,LEFT(对接源_01水果!$D169,4)="原料出库"),1,0)</f>
        <v>0</v>
      </c>
      <c r="AC169">
        <f>N(AC168)+$AB169</f>
        <v>0</v>
      </c>
      <c r="AD169">
        <f>IF(AND($M169=1,LEFT(对接源_01水果!$D169,4)="成品出库"),1,0)</f>
        <v>0</v>
      </c>
      <c r="AE169">
        <f>N(AE168)+$AD169</f>
        <v>0</v>
      </c>
      <c r="AF169">
        <f>IF(AND($N169=1,AND(LEFT(对接源_01水果!$D169,4)="包装物料",N(对接源_01水果!$K169)&lt;&gt;0)),1,0)</f>
        <v>0</v>
      </c>
      <c r="AG169">
        <f>N(AG168)+$AF169</f>
        <v>0</v>
      </c>
      <c r="AH169">
        <f>IF(AND($N169=1,AND(对接源_01水果!$D169="周转筐－销售出库",N(对接源_01水果!$K169)&lt;&gt;0)),1,0)</f>
        <v>0</v>
      </c>
      <c r="AI169">
        <f>N(AI168)+$AH169</f>
        <v>0</v>
      </c>
      <c r="AJ169" s="7" t="n"/>
      <c r="AL169">
        <f>IF(OR($AL$1="",对接源_01水果!$Y169="",对接源_01水果!$Y169&lt;&gt;$AL$1,对接源_01水果!$B169="",N(对接源_01水果!$AJ169)&lt;=0),0,IF(OR(N(对接源_01水果!$B169)&lt;$AL$2,N(对接源_01水果!$B169)&gt;$AL$3),0,1))</f>
        <v>0</v>
      </c>
      <c r="AM169">
        <f>N(AM168)+$AL169</f>
        <v>0</v>
      </c>
      <c r="AN169">
        <f>IF(对接源_01水果!$AC169="","",对接源_01水果!$AC169)</f>
      </c>
      <c r="AO169">
        <f>IF(AN169="",0,IF(MATCH(AN169,$AN$4:$AN$1203,0)=ROW()-3,1,0))</f>
        <v>0</v>
      </c>
      <c r="AP169">
        <f>N(AP168)+$AO169</f>
        <v>0</v>
      </c>
      <c r="AQ169">
        <f>IFERROR(INDEX($AN$4:$AN$1203,MATCH(ROW()-3,$AP$4:$AP$1203,0)),"")</f>
      </c>
      <c r="AR169">
        <f>IF(OR($AF169=1,$AH169=1),1,0)</f>
        <v>0</v>
      </c>
      <c r="AS169">
        <f>N(AS168)+$AR169</f>
        <v>0</v>
      </c>
    </row>
    <row r="170" ht="14.25" customHeight="1" s="127">
      <c r="A170" t="str">
        <f>IF(对接源_01水果!$C170="","",对接源_01水果!$C170)</f>
        <v>杨艳玲</v>
      </c>
      <c r="B170">
        <f>IF(A170="",0,IF(MATCH(A170,$A$4:$A$2403,0)=ROW()-3,1,0))</f>
        <v>1</v>
      </c>
      <c r="C170">
        <f>N(C169)+B170</f>
        <v>10</v>
      </c>
      <c r="E170">
        <f>IFERROR(INDEX($A$4:$A$2403,MATCH(ROW()-3,$C$4:$C$2403,0)),"")</f>
      </c>
      <c r="K170">
        <f>IF(OR($K$1="",对接源_01水果!$C170="",对接源_01水果!$C170&lt;&gt;$K$1,对接源_01水果!$B170=""),0,IF(OR(N(对接源_01水果!$B170)&lt;$K$2,N(对接源_01水果!$B170)&gt;$K$3),0,1))</f>
        <v>0</v>
      </c>
      <c r="L170">
        <f>IF(OR($L$1="",对接源_01水果!$C170="",对接源_01水果!$C170&lt;&gt;$L$1,对接源_01水果!$B170=""),0,IF(OR(N(对接源_01水果!$B170)&lt;$L$2,N(对接源_01水果!$B170)&gt;$L$3),0,1))</f>
        <v>0</v>
      </c>
      <c r="M170">
        <f>IF(OR($M$1="",对接源_01水果!$C170="",对接源_01水果!$C170&lt;&gt;$M$1,对接源_01水果!$B170=""),0,IF(OR(N(对接源_01水果!$B170)&lt;$M$2,N(对接源_01水果!$B170)&gt;$M$3),0,1))</f>
        <v>0</v>
      </c>
      <c r="N170">
        <f>IF(OR($N$1="",对接源_01水果!$C170="",对接源_01水果!$C170&lt;&gt;$N$1,对接源_01水果!$B170=""),0,IF(OR(N(对接源_01水果!$B170)&lt;$N$2,N(对接源_01水果!$B170)&gt;$N$3),0,1))</f>
        <v>0</v>
      </c>
      <c r="P170">
        <f>IF(AND($K170=1,AND(对接源_01水果!$X170="公司筐",N(对接源_01水果!$T170)&lt;&gt;0)),1,0)</f>
        <v>0</v>
      </c>
      <c r="Q170">
        <f>N(Q169)+$P170</f>
        <v>0</v>
      </c>
      <c r="R170">
        <f>IF(AND($K170=1,AND(对接源_01水果!$X170="公司筐",N(对接源_01水果!$U170)&lt;&gt;0)),1,0)</f>
        <v>0</v>
      </c>
      <c r="S170">
        <f>N(S169)+$R170</f>
        <v>0</v>
      </c>
      <c r="T170">
        <f>IF(AND($K170=1,AND(对接源_01水果!$X170="公司筐",N(对接源_01水果!$V170)&lt;&gt;0)),1,0)</f>
        <v>0</v>
      </c>
      <c r="U170">
        <f>N(U169)+$T170</f>
        <v>3</v>
      </c>
      <c r="V170">
        <f>IF(AND($L170=1,AND(对接源_01水果!$X170="自备筐",N(对接源_01水果!$V170)&lt;&gt;0)),1,0)</f>
        <v>0</v>
      </c>
      <c r="W170">
        <f>N(W169)+$V170</f>
        <v>4</v>
      </c>
      <c r="X170">
        <f>IF(AND($L170=1,AND(对接源_01水果!$X170="自备筐",N(对接源_01水果!$T170)&lt;&gt;0)),1,0)</f>
        <v>0</v>
      </c>
      <c r="Y170">
        <f>N(Y169)+$X170</f>
        <v>0</v>
      </c>
      <c r="Z170">
        <f>IF(AND($M170=1,对接源_01水果!$D170="原料入库"),1,0)</f>
        <v>0</v>
      </c>
      <c r="AA170">
        <f>N(AA169)+$Z170</f>
        <v>6</v>
      </c>
      <c r="AB170">
        <f>IF(AND($M170=1,LEFT(对接源_01水果!$D170,4)="原料出库"),1,0)</f>
        <v>0</v>
      </c>
      <c r="AC170">
        <f>N(AC169)+$AB170</f>
        <v>0</v>
      </c>
      <c r="AD170">
        <f>IF(AND($M170=1,LEFT(对接源_01水果!$D170,4)="成品出库"),1,0)</f>
        <v>0</v>
      </c>
      <c r="AE170">
        <f>N(AE169)+$AD170</f>
        <v>0</v>
      </c>
      <c r="AF170">
        <f>IF(AND($N170=1,AND(LEFT(对接源_01水果!$D170,4)="包装物料",N(对接源_01水果!$K170)&lt;&gt;0)),1,0)</f>
        <v>0</v>
      </c>
      <c r="AG170">
        <f>N(AG169)+$AF170</f>
        <v>0</v>
      </c>
      <c r="AH170">
        <f>IF(AND($N170=1,AND(对接源_01水果!$D170="周转筐－销售出库",N(对接源_01水果!$K170)&lt;&gt;0)),1,0)</f>
        <v>0</v>
      </c>
      <c r="AI170">
        <f>N(AI169)+$AH170</f>
        <v>0</v>
      </c>
      <c r="AJ170" s="7" t="n"/>
      <c r="AL170">
        <f>IF(OR($AL$1="",对接源_01水果!$Y170="",对接源_01水果!$Y170&lt;&gt;$AL$1,对接源_01水果!$B170="",N(对接源_01水果!$AJ170)&lt;=0),0,IF(OR(N(对接源_01水果!$B170)&lt;$AL$2,N(对接源_01水果!$B170)&gt;$AL$3),0,1))</f>
        <v>0</v>
      </c>
      <c r="AM170">
        <f>N(AM169)+$AL170</f>
        <v>0</v>
      </c>
      <c r="AN170">
        <f>IF(对接源_01水果!$AC170="","",对接源_01水果!$AC170)</f>
      </c>
      <c r="AO170">
        <f>IF(AN170="",0,IF(MATCH(AN170,$AN$4:$AN$1203,0)=ROW()-3,1,0))</f>
        <v>0</v>
      </c>
      <c r="AP170">
        <f>N(AP169)+$AO170</f>
        <v>0</v>
      </c>
      <c r="AQ170">
        <f>IFERROR(INDEX($AN$4:$AN$1203,MATCH(ROW()-3,$AP$4:$AP$1203,0)),"")</f>
      </c>
      <c r="AR170">
        <f>IF(OR($AF170=1,$AH170=1),1,0)</f>
        <v>0</v>
      </c>
      <c r="AS170">
        <f>N(AS169)+$AR170</f>
        <v>0</v>
      </c>
    </row>
    <row r="171" ht="14.25" customHeight="1" s="127">
      <c r="A171" t="str">
        <f>IF(对接源_01水果!$C171="","",对接源_01水果!$C171)</f>
        <v>荆建君</v>
      </c>
      <c r="B171">
        <f>IF(A171="",0,IF(MATCH(A171,$A$4:$A$2403,0)=ROW()-3,1,0))</f>
        <v>1</v>
      </c>
      <c r="C171">
        <f>N(C170)+B171</f>
        <v>11</v>
      </c>
      <c r="E171">
        <f>IFERROR(INDEX($A$4:$A$2403,MATCH(ROW()-3,$C$4:$C$2403,0)),"")</f>
      </c>
      <c r="K171">
        <f>IF(OR($K$1="",对接源_01水果!$C171="",对接源_01水果!$C171&lt;&gt;$K$1,对接源_01水果!$B171=""),0,IF(OR(N(对接源_01水果!$B171)&lt;$K$2,N(对接源_01水果!$B171)&gt;$K$3),0,1))</f>
        <v>0</v>
      </c>
      <c r="L171">
        <f>IF(OR($L$1="",对接源_01水果!$C171="",对接源_01水果!$C171&lt;&gt;$L$1,对接源_01水果!$B171=""),0,IF(OR(N(对接源_01水果!$B171)&lt;$L$2,N(对接源_01水果!$B171)&gt;$L$3),0,1))</f>
        <v>0</v>
      </c>
      <c r="M171">
        <f>IF(OR($M$1="",对接源_01水果!$C171="",对接源_01水果!$C171&lt;&gt;$M$1,对接源_01水果!$B171=""),0,IF(OR(N(对接源_01水果!$B171)&lt;$M$2,N(对接源_01水果!$B171)&gt;$M$3),0,1))</f>
        <v>0</v>
      </c>
      <c r="N171">
        <f>IF(OR($N$1="",对接源_01水果!$C171="",对接源_01水果!$C171&lt;&gt;$N$1,对接源_01水果!$B171=""),0,IF(OR(N(对接源_01水果!$B171)&lt;$N$2,N(对接源_01水果!$B171)&gt;$N$3),0,1))</f>
        <v>0</v>
      </c>
      <c r="P171">
        <f>IF(AND($K171=1,AND(对接源_01水果!$X171="公司筐",N(对接源_01水果!$T171)&lt;&gt;0)),1,0)</f>
        <v>0</v>
      </c>
      <c r="Q171">
        <f>N(Q170)+$P171</f>
        <v>0</v>
      </c>
      <c r="R171">
        <f>IF(AND($K171=1,AND(对接源_01水果!$X171="公司筐",N(对接源_01水果!$U171)&lt;&gt;0)),1,0)</f>
        <v>0</v>
      </c>
      <c r="S171">
        <f>N(S170)+$R171</f>
        <v>0</v>
      </c>
      <c r="T171">
        <f>IF(AND($K171=1,AND(对接源_01水果!$X171="公司筐",N(对接源_01水果!$V171)&lt;&gt;0)),1,0)</f>
        <v>0</v>
      </c>
      <c r="U171">
        <f>N(U170)+$T171</f>
        <v>3</v>
      </c>
      <c r="V171">
        <f>IF(AND($L171=1,AND(对接源_01水果!$X171="自备筐",N(对接源_01水果!$V171)&lt;&gt;0)),1,0)</f>
        <v>0</v>
      </c>
      <c r="W171">
        <f>N(W170)+$V171</f>
        <v>4</v>
      </c>
      <c r="X171">
        <f>IF(AND($L171=1,AND(对接源_01水果!$X171="自备筐",N(对接源_01水果!$T171)&lt;&gt;0)),1,0)</f>
        <v>0</v>
      </c>
      <c r="Y171">
        <f>N(Y170)+$X171</f>
        <v>0</v>
      </c>
      <c r="Z171">
        <f>IF(AND($M171=1,对接源_01水果!$D171="原料入库"),1,0)</f>
        <v>0</v>
      </c>
      <c r="AA171">
        <f>N(AA170)+$Z171</f>
        <v>6</v>
      </c>
      <c r="AB171">
        <f>IF(AND($M171=1,LEFT(对接源_01水果!$D171,4)="原料出库"),1,0)</f>
        <v>0</v>
      </c>
      <c r="AC171">
        <f>N(AC170)+$AB171</f>
        <v>0</v>
      </c>
      <c r="AD171">
        <f>IF(AND($M171=1,LEFT(对接源_01水果!$D171,4)="成品出库"),1,0)</f>
        <v>0</v>
      </c>
      <c r="AE171">
        <f>N(AE170)+$AD171</f>
        <v>0</v>
      </c>
      <c r="AF171">
        <f>IF(AND($N171=1,AND(LEFT(对接源_01水果!$D171,4)="包装物料",N(对接源_01水果!$K171)&lt;&gt;0)),1,0)</f>
        <v>0</v>
      </c>
      <c r="AG171">
        <f>N(AG170)+$AF171</f>
        <v>0</v>
      </c>
      <c r="AH171">
        <f>IF(AND($N171=1,AND(对接源_01水果!$D171="周转筐－销售出库",N(对接源_01水果!$K171)&lt;&gt;0)),1,0)</f>
        <v>0</v>
      </c>
      <c r="AI171">
        <f>N(AI170)+$AH171</f>
        <v>0</v>
      </c>
      <c r="AJ171" s="7" t="n"/>
      <c r="AL171">
        <f>IF(OR($AL$1="",对接源_01水果!$Y171="",对接源_01水果!$Y171&lt;&gt;$AL$1,对接源_01水果!$B171="",N(对接源_01水果!$AJ171)&lt;=0),0,IF(OR(N(对接源_01水果!$B171)&lt;$AL$2,N(对接源_01水果!$B171)&gt;$AL$3),0,1))</f>
        <v>0</v>
      </c>
      <c r="AM171">
        <f>N(AM170)+$AL171</f>
        <v>0</v>
      </c>
      <c r="AN171">
        <f>IF(对接源_01水果!$AC171="","",对接源_01水果!$AC171)</f>
      </c>
      <c r="AO171">
        <f>IF(AN171="",0,IF(MATCH(AN171,$AN$4:$AN$1203,0)=ROW()-3,1,0))</f>
        <v>0</v>
      </c>
      <c r="AP171">
        <f>N(AP170)+$AO171</f>
        <v>0</v>
      </c>
      <c r="AQ171">
        <f>IFERROR(INDEX($AN$4:$AN$1203,MATCH(ROW()-3,$AP$4:$AP$1203,0)),"")</f>
      </c>
      <c r="AR171">
        <f>IF(OR($AF171=1,$AH171=1),1,0)</f>
        <v>0</v>
      </c>
      <c r="AS171">
        <f>N(AS170)+$AR171</f>
        <v>0</v>
      </c>
    </row>
    <row r="172" ht="14.25" customHeight="1" s="127">
      <c r="A172" t="str">
        <f>IF(对接源_01水果!$C172="","",对接源_01水果!$C172)</f>
        <v>荆建君</v>
      </c>
      <c r="B172">
        <f>IF(A172="",0,IF(MATCH(A172,$A$4:$A$2403,0)=ROW()-3,1,0))</f>
        <v>0</v>
      </c>
      <c r="C172">
        <f>N(C171)+B172</f>
        <v>11</v>
      </c>
      <c r="E172">
        <f>IFERROR(INDEX($A$4:$A$2403,MATCH(ROW()-3,$C$4:$C$2403,0)),"")</f>
      </c>
      <c r="K172">
        <f>IF(OR($K$1="",对接源_01水果!$C172="",对接源_01水果!$C172&lt;&gt;$K$1,对接源_01水果!$B172=""),0,IF(OR(N(对接源_01水果!$B172)&lt;$K$2,N(对接源_01水果!$B172)&gt;$K$3),0,1))</f>
        <v>0</v>
      </c>
      <c r="L172">
        <f>IF(OR($L$1="",对接源_01水果!$C172="",对接源_01水果!$C172&lt;&gt;$L$1,对接源_01水果!$B172=""),0,IF(OR(N(对接源_01水果!$B172)&lt;$L$2,N(对接源_01水果!$B172)&gt;$L$3),0,1))</f>
        <v>0</v>
      </c>
      <c r="M172">
        <f>IF(OR($M$1="",对接源_01水果!$C172="",对接源_01水果!$C172&lt;&gt;$M$1,对接源_01水果!$B172=""),0,IF(OR(N(对接源_01水果!$B172)&lt;$M$2,N(对接源_01水果!$B172)&gt;$M$3),0,1))</f>
        <v>0</v>
      </c>
      <c r="N172">
        <f>IF(OR($N$1="",对接源_01水果!$C172="",对接源_01水果!$C172&lt;&gt;$N$1,对接源_01水果!$B172=""),0,IF(OR(N(对接源_01水果!$B172)&lt;$N$2,N(对接源_01水果!$B172)&gt;$N$3),0,1))</f>
        <v>0</v>
      </c>
      <c r="P172">
        <f>IF(AND($K172=1,AND(对接源_01水果!$X172="公司筐",N(对接源_01水果!$T172)&lt;&gt;0)),1,0)</f>
        <v>0</v>
      </c>
      <c r="Q172">
        <f>N(Q171)+$P172</f>
        <v>0</v>
      </c>
      <c r="R172">
        <f>IF(AND($K172=1,AND(对接源_01水果!$X172="公司筐",N(对接源_01水果!$U172)&lt;&gt;0)),1,0)</f>
        <v>0</v>
      </c>
      <c r="S172">
        <f>N(S171)+$R172</f>
        <v>0</v>
      </c>
      <c r="T172">
        <f>IF(AND($K172=1,AND(对接源_01水果!$X172="公司筐",N(对接源_01水果!$V172)&lt;&gt;0)),1,0)</f>
        <v>0</v>
      </c>
      <c r="U172">
        <f>N(U171)+$T172</f>
        <v>3</v>
      </c>
      <c r="V172">
        <f>IF(AND($L172=1,AND(对接源_01水果!$X172="自备筐",N(对接源_01水果!$V172)&lt;&gt;0)),1,0)</f>
        <v>0</v>
      </c>
      <c r="W172">
        <f>N(W171)+$V172</f>
        <v>4</v>
      </c>
      <c r="X172">
        <f>IF(AND($L172=1,AND(对接源_01水果!$X172="自备筐",N(对接源_01水果!$T172)&lt;&gt;0)),1,0)</f>
        <v>0</v>
      </c>
      <c r="Y172">
        <f>N(Y171)+$X172</f>
        <v>0</v>
      </c>
      <c r="Z172">
        <f>IF(AND($M172=1,对接源_01水果!$D172="原料入库"),1,0)</f>
        <v>0</v>
      </c>
      <c r="AA172">
        <f>N(AA171)+$Z172</f>
        <v>6</v>
      </c>
      <c r="AB172">
        <f>IF(AND($M172=1,LEFT(对接源_01水果!$D172,4)="原料出库"),1,0)</f>
        <v>0</v>
      </c>
      <c r="AC172">
        <f>N(AC171)+$AB172</f>
        <v>0</v>
      </c>
      <c r="AD172">
        <f>IF(AND($M172=1,LEFT(对接源_01水果!$D172,4)="成品出库"),1,0)</f>
        <v>0</v>
      </c>
      <c r="AE172">
        <f>N(AE171)+$AD172</f>
        <v>0</v>
      </c>
      <c r="AF172">
        <f>IF(AND($N172=1,AND(LEFT(对接源_01水果!$D172,4)="包装物料",N(对接源_01水果!$K172)&lt;&gt;0)),1,0)</f>
        <v>0</v>
      </c>
      <c r="AG172">
        <f>N(AG171)+$AF172</f>
        <v>0</v>
      </c>
      <c r="AH172">
        <f>IF(AND($N172=1,AND(对接源_01水果!$D172="周转筐－销售出库",N(对接源_01水果!$K172)&lt;&gt;0)),1,0)</f>
        <v>0</v>
      </c>
      <c r="AI172">
        <f>N(AI171)+$AH172</f>
        <v>0</v>
      </c>
      <c r="AJ172" s="7" t="n"/>
      <c r="AL172">
        <f>IF(OR($AL$1="",对接源_01水果!$Y172="",对接源_01水果!$Y172&lt;&gt;$AL$1,对接源_01水果!$B172="",N(对接源_01水果!$AJ172)&lt;=0),0,IF(OR(N(对接源_01水果!$B172)&lt;$AL$2,N(对接源_01水果!$B172)&gt;$AL$3),0,1))</f>
        <v>0</v>
      </c>
      <c r="AM172">
        <f>N(AM171)+$AL172</f>
        <v>0</v>
      </c>
      <c r="AN172">
        <f>IF(对接源_01水果!$AC172="","",对接源_01水果!$AC172)</f>
      </c>
      <c r="AO172">
        <f>IF(AN172="",0,IF(MATCH(AN172,$AN$4:$AN$1203,0)=ROW()-3,1,0))</f>
        <v>0</v>
      </c>
      <c r="AP172">
        <f>N(AP171)+$AO172</f>
        <v>0</v>
      </c>
      <c r="AQ172">
        <f>IFERROR(INDEX($AN$4:$AN$1203,MATCH(ROW()-3,$AP$4:$AP$1203,0)),"")</f>
      </c>
      <c r="AR172">
        <f>IF(OR($AF172=1,$AH172=1),1,0)</f>
        <v>0</v>
      </c>
      <c r="AS172">
        <f>N(AS171)+$AR172</f>
        <v>0</v>
      </c>
    </row>
    <row r="173" ht="14.25" customHeight="1" s="127">
      <c r="A173" t="str">
        <f>IF(对接源_01水果!$C173="","",对接源_01水果!$C173)</f>
        <v>贾建国</v>
      </c>
      <c r="B173">
        <f>IF(A173="",0,IF(MATCH(A173,$A$4:$A$2403,0)=ROW()-3,1,0))</f>
        <v>0</v>
      </c>
      <c r="C173">
        <f>N(C172)+B173</f>
        <v>11</v>
      </c>
      <c r="E173">
        <f>IFERROR(INDEX($A$4:$A$2403,MATCH(ROW()-3,$C$4:$C$2403,0)),"")</f>
      </c>
      <c r="K173">
        <f>IF(OR($K$1="",对接源_01水果!$C173="",对接源_01水果!$C173&lt;&gt;$K$1,对接源_01水果!$B173=""),0,IF(OR(N(对接源_01水果!$B173)&lt;$K$2,N(对接源_01水果!$B173)&gt;$K$3),0,1))</f>
        <v>0</v>
      </c>
      <c r="L173">
        <f>IF(OR($L$1="",对接源_01水果!$C173="",对接源_01水果!$C173&lt;&gt;$L$1,对接源_01水果!$B173=""),0,IF(OR(N(对接源_01水果!$B173)&lt;$L$2,N(对接源_01水果!$B173)&gt;$L$3),0,1))</f>
        <v>1</v>
      </c>
      <c r="M173">
        <f>IF(OR($M$1="",对接源_01水果!$C173="",对接源_01水果!$C173&lt;&gt;$M$1,对接源_01水果!$B173=""),0,IF(OR(N(对接源_01水果!$B173)&lt;$M$2,N(对接源_01水果!$B173)&gt;$M$3),0,1))</f>
        <v>0</v>
      </c>
      <c r="N173">
        <f>IF(OR($N$1="",对接源_01水果!$C173="",对接源_01水果!$C173&lt;&gt;$N$1,对接源_01水果!$B173=""),0,IF(OR(N(对接源_01水果!$B173)&lt;$N$2,N(对接源_01水果!$B173)&gt;$N$3),0,1))</f>
        <v>0</v>
      </c>
      <c r="P173">
        <f>IF(AND($K173=1,AND(对接源_01水果!$X173="公司筐",N(对接源_01水果!$T173)&lt;&gt;0)),1,0)</f>
        <v>0</v>
      </c>
      <c r="Q173">
        <f>N(Q172)+$P173</f>
        <v>0</v>
      </c>
      <c r="R173">
        <f>IF(AND($K173=1,AND(对接源_01水果!$X173="公司筐",N(对接源_01水果!$U173)&lt;&gt;0)),1,0)</f>
        <v>0</v>
      </c>
      <c r="S173">
        <f>N(S172)+$R173</f>
        <v>0</v>
      </c>
      <c r="T173">
        <f>IF(AND($K173=1,AND(对接源_01水果!$X173="公司筐",N(对接源_01水果!$V173)&lt;&gt;0)),1,0)</f>
        <v>0</v>
      </c>
      <c r="U173">
        <f>N(U172)+$T173</f>
        <v>3</v>
      </c>
      <c r="V173">
        <f>IF(AND($L173=1,AND(对接源_01水果!$X173="自备筐",N(对接源_01水果!$V173)&lt;&gt;0)),1,0)</f>
        <v>0</v>
      </c>
      <c r="W173">
        <f>N(W172)+$V173</f>
        <v>4</v>
      </c>
      <c r="X173">
        <f>IF(AND($L173=1,AND(对接源_01水果!$X173="自备筐",N(对接源_01水果!$T173)&lt;&gt;0)),1,0)</f>
        <v>0</v>
      </c>
      <c r="Y173">
        <f>N(Y172)+$X173</f>
        <v>0</v>
      </c>
      <c r="Z173">
        <f>IF(AND($M173=1,对接源_01水果!$D173="原料入库"),1,0)</f>
        <v>0</v>
      </c>
      <c r="AA173">
        <f>N(AA172)+$Z173</f>
        <v>6</v>
      </c>
      <c r="AB173">
        <f>IF(AND($M173=1,LEFT(对接源_01水果!$D173,4)="原料出库"),1,0)</f>
        <v>0</v>
      </c>
      <c r="AC173">
        <f>N(AC172)+$AB173</f>
        <v>0</v>
      </c>
      <c r="AD173">
        <f>IF(AND($M173=1,LEFT(对接源_01水果!$D173,4)="成品出库"),1,0)</f>
        <v>0</v>
      </c>
      <c r="AE173">
        <f>N(AE172)+$AD173</f>
        <v>0</v>
      </c>
      <c r="AF173">
        <f>IF(AND($N173=1,AND(LEFT(对接源_01水果!$D173,4)="包装物料",N(对接源_01水果!$K173)&lt;&gt;0)),1,0)</f>
        <v>0</v>
      </c>
      <c r="AG173">
        <f>N(AG172)+$AF173</f>
        <v>0</v>
      </c>
      <c r="AH173">
        <f>IF(AND($N173=1,AND(对接源_01水果!$D173="周转筐－销售出库",N(对接源_01水果!$K173)&lt;&gt;0)),1,0)</f>
        <v>0</v>
      </c>
      <c r="AI173">
        <f>N(AI172)+$AH173</f>
        <v>0</v>
      </c>
      <c r="AJ173" s="7" t="n"/>
      <c r="AL173">
        <f>IF(OR($AL$1="",对接源_01水果!$Y173="",对接源_01水果!$Y173&lt;&gt;$AL$1,对接源_01水果!$B173="",N(对接源_01水果!$AJ173)&lt;=0),0,IF(OR(N(对接源_01水果!$B173)&lt;$AL$2,N(对接源_01水果!$B173)&gt;$AL$3),0,1))</f>
        <v>0</v>
      </c>
      <c r="AM173">
        <f>N(AM172)+$AL173</f>
        <v>0</v>
      </c>
      <c r="AN173">
        <f>IF(对接源_01水果!$AC173="","",对接源_01水果!$AC173)</f>
      </c>
      <c r="AO173">
        <f>IF(AN173="",0,IF(MATCH(AN173,$AN$4:$AN$1203,0)=ROW()-3,1,0))</f>
        <v>0</v>
      </c>
      <c r="AP173">
        <f>N(AP172)+$AO173</f>
        <v>0</v>
      </c>
      <c r="AQ173">
        <f>IFERROR(INDEX($AN$4:$AN$1203,MATCH(ROW()-3,$AP$4:$AP$1203,0)),"")</f>
      </c>
      <c r="AR173">
        <f>IF(OR($AF173=1,$AH173=1),1,0)</f>
        <v>0</v>
      </c>
      <c r="AS173">
        <f>N(AS172)+$AR173</f>
        <v>0</v>
      </c>
    </row>
    <row r="174" ht="14.25" customHeight="1" s="127">
      <c r="A174" t="str">
        <f>IF(对接源_01水果!$C174="","",对接源_01水果!$C174)</f>
        <v>吐尔洪</v>
      </c>
      <c r="B174">
        <f>IF(A174="",0,IF(MATCH(A174,$A$4:$A$2403,0)=ROW()-3,1,0))</f>
        <v>0</v>
      </c>
      <c r="C174">
        <f>N(C173)+B174</f>
        <v>11</v>
      </c>
      <c r="E174">
        <f>IFERROR(INDEX($A$4:$A$2403,MATCH(ROW()-3,$C$4:$C$2403,0)),"")</f>
      </c>
      <c r="K174">
        <f>IF(OR($K$1="",对接源_01水果!$C174="",对接源_01水果!$C174&lt;&gt;$K$1,对接源_01水果!$B174=""),0,IF(OR(N(对接源_01水果!$B174)&lt;$K$2,N(对接源_01水果!$B174)&gt;$K$3),0,1))</f>
        <v>0</v>
      </c>
      <c r="L174">
        <f>IF(OR($L$1="",对接源_01水果!$C174="",对接源_01水果!$C174&lt;&gt;$L$1,对接源_01水果!$B174=""),0,IF(OR(N(对接源_01水果!$B174)&lt;$L$2,N(对接源_01水果!$B174)&gt;$L$3),0,1))</f>
        <v>0</v>
      </c>
      <c r="M174">
        <f>IF(OR($M$1="",对接源_01水果!$C174="",对接源_01水果!$C174&lt;&gt;$M$1,对接源_01水果!$B174=""),0,IF(OR(N(对接源_01水果!$B174)&lt;$M$2,N(对接源_01水果!$B174)&gt;$M$3),0,1))</f>
        <v>1</v>
      </c>
      <c r="N174">
        <f>IF(OR($N$1="",对接源_01水果!$C174="",对接源_01水果!$C174&lt;&gt;$N$1,对接源_01水果!$B174=""),0,IF(OR(N(对接源_01水果!$B174)&lt;$N$2,N(对接源_01水果!$B174)&gt;$N$3),0,1))</f>
        <v>0</v>
      </c>
      <c r="P174">
        <f>IF(AND($K174=1,AND(对接源_01水果!$X174="公司筐",N(对接源_01水果!$T174)&lt;&gt;0)),1,0)</f>
        <v>0</v>
      </c>
      <c r="Q174">
        <f>N(Q173)+$P174</f>
        <v>0</v>
      </c>
      <c r="R174">
        <f>IF(AND($K174=1,AND(对接源_01水果!$X174="公司筐",N(对接源_01水果!$U174)&lt;&gt;0)),1,0)</f>
        <v>0</v>
      </c>
      <c r="S174">
        <f>N(S173)+$R174</f>
        <v>0</v>
      </c>
      <c r="T174">
        <f>IF(AND($K174=1,AND(对接源_01水果!$X174="公司筐",N(对接源_01水果!$V174)&lt;&gt;0)),1,0)</f>
        <v>0</v>
      </c>
      <c r="U174">
        <f>N(U173)+$T174</f>
        <v>3</v>
      </c>
      <c r="V174">
        <f>IF(AND($L174=1,AND(对接源_01水果!$X174="自备筐",N(对接源_01水果!$V174)&lt;&gt;0)),1,0)</f>
        <v>0</v>
      </c>
      <c r="W174">
        <f>N(W173)+$V174</f>
        <v>4</v>
      </c>
      <c r="X174">
        <f>IF(AND($L174=1,AND(对接源_01水果!$X174="自备筐",N(对接源_01水果!$T174)&lt;&gt;0)),1,0)</f>
        <v>0</v>
      </c>
      <c r="Y174">
        <f>N(Y173)+$X174</f>
        <v>0</v>
      </c>
      <c r="Z174">
        <f>IF(AND($M174=1,对接源_01水果!$D174="原料入库"),1,0)</f>
        <v>1</v>
      </c>
      <c r="AA174">
        <f>N(AA173)+$Z174</f>
        <v>7</v>
      </c>
      <c r="AB174">
        <f>IF(AND($M174=1,LEFT(对接源_01水果!$D174,4)="原料出库"),1,0)</f>
        <v>0</v>
      </c>
      <c r="AC174">
        <f>N(AC173)+$AB174</f>
        <v>0</v>
      </c>
      <c r="AD174">
        <f>IF(AND($M174=1,LEFT(对接源_01水果!$D174,4)="成品出库"),1,0)</f>
        <v>0</v>
      </c>
      <c r="AE174">
        <f>N(AE173)+$AD174</f>
        <v>0</v>
      </c>
      <c r="AF174">
        <f>IF(AND($N174=1,AND(LEFT(对接源_01水果!$D174,4)="包装物料",N(对接源_01水果!$K174)&lt;&gt;0)),1,0)</f>
        <v>0</v>
      </c>
      <c r="AG174">
        <f>N(AG173)+$AF174</f>
        <v>0</v>
      </c>
      <c r="AH174">
        <f>IF(AND($N174=1,AND(对接源_01水果!$D174="周转筐－销售出库",N(对接源_01水果!$K174)&lt;&gt;0)),1,0)</f>
        <v>0</v>
      </c>
      <c r="AI174">
        <f>N(AI173)+$AH174</f>
        <v>0</v>
      </c>
      <c r="AJ174" s="7" t="n"/>
      <c r="AL174">
        <f>IF(OR($AL$1="",对接源_01水果!$Y174="",对接源_01水果!$Y174&lt;&gt;$AL$1,对接源_01水果!$B174="",N(对接源_01水果!$AJ174)&lt;=0),0,IF(OR(N(对接源_01水果!$B174)&lt;$AL$2,N(对接源_01水果!$B174)&gt;$AL$3),0,1))</f>
        <v>0</v>
      </c>
      <c r="AM174">
        <f>N(AM173)+$AL174</f>
        <v>0</v>
      </c>
      <c r="AN174">
        <f>IF(对接源_01水果!$AC174="","",对接源_01水果!$AC174)</f>
      </c>
      <c r="AO174">
        <f>IF(AN174="",0,IF(MATCH(AN174,$AN$4:$AN$1203,0)=ROW()-3,1,0))</f>
        <v>0</v>
      </c>
      <c r="AP174">
        <f>N(AP173)+$AO174</f>
        <v>0</v>
      </c>
      <c r="AQ174">
        <f>IFERROR(INDEX($AN$4:$AN$1203,MATCH(ROW()-3,$AP$4:$AP$1203,0)),"")</f>
      </c>
      <c r="AR174">
        <f>IF(OR($AF174=1,$AH174=1),1,0)</f>
        <v>0</v>
      </c>
      <c r="AS174">
        <f>N(AS173)+$AR174</f>
        <v>0</v>
      </c>
    </row>
    <row r="175" ht="14.25" customHeight="1" s="127">
      <c r="A175" t="str">
        <f>IF(对接源_01水果!$C175="","",对接源_01水果!$C175)</f>
        <v>吐尔洪</v>
      </c>
      <c r="B175">
        <f>IF(A175="",0,IF(MATCH(A175,$A$4:$A$2403,0)=ROW()-3,1,0))</f>
        <v>0</v>
      </c>
      <c r="C175">
        <f>N(C174)+B175</f>
        <v>11</v>
      </c>
      <c r="E175">
        <f>IFERROR(INDEX($A$4:$A$2403,MATCH(ROW()-3,$C$4:$C$2403,0)),"")</f>
      </c>
      <c r="K175">
        <f>IF(OR($K$1="",对接源_01水果!$C175="",对接源_01水果!$C175&lt;&gt;$K$1,对接源_01水果!$B175=""),0,IF(OR(N(对接源_01水果!$B175)&lt;$K$2,N(对接源_01水果!$B175)&gt;$K$3),0,1))</f>
        <v>0</v>
      </c>
      <c r="L175">
        <f>IF(OR($L$1="",对接源_01水果!$C175="",对接源_01水果!$C175&lt;&gt;$L$1,对接源_01水果!$B175=""),0,IF(OR(N(对接源_01水果!$B175)&lt;$L$2,N(对接源_01水果!$B175)&gt;$L$3),0,1))</f>
        <v>0</v>
      </c>
      <c r="M175">
        <f>IF(OR($M$1="",对接源_01水果!$C175="",对接源_01水果!$C175&lt;&gt;$M$1,对接源_01水果!$B175=""),0,IF(OR(N(对接源_01水果!$B175)&lt;$M$2,N(对接源_01水果!$B175)&gt;$M$3),0,1))</f>
        <v>1</v>
      </c>
      <c r="N175">
        <f>IF(OR($N$1="",对接源_01水果!$C175="",对接源_01水果!$C175&lt;&gt;$N$1,对接源_01水果!$B175=""),0,IF(OR(N(对接源_01水果!$B175)&lt;$N$2,N(对接源_01水果!$B175)&gt;$N$3),0,1))</f>
        <v>0</v>
      </c>
      <c r="P175">
        <f>IF(AND($K175=1,AND(对接源_01水果!$X175="公司筐",N(对接源_01水果!$T175)&lt;&gt;0)),1,0)</f>
        <v>0</v>
      </c>
      <c r="Q175">
        <f>N(Q174)+$P175</f>
        <v>0</v>
      </c>
      <c r="R175">
        <f>IF(AND($K175=1,AND(对接源_01水果!$X175="公司筐",N(对接源_01水果!$U175)&lt;&gt;0)),1,0)</f>
        <v>0</v>
      </c>
      <c r="S175">
        <f>N(S174)+$R175</f>
        <v>0</v>
      </c>
      <c r="T175">
        <f>IF(AND($K175=1,AND(对接源_01水果!$X175="公司筐",N(对接源_01水果!$V175)&lt;&gt;0)),1,0)</f>
        <v>0</v>
      </c>
      <c r="U175">
        <f>N(U174)+$T175</f>
        <v>3</v>
      </c>
      <c r="V175">
        <f>IF(AND($L175=1,AND(对接源_01水果!$X175="自备筐",N(对接源_01水果!$V175)&lt;&gt;0)),1,0)</f>
        <v>0</v>
      </c>
      <c r="W175">
        <f>N(W174)+$V175</f>
        <v>4</v>
      </c>
      <c r="X175">
        <f>IF(AND($L175=1,AND(对接源_01水果!$X175="自备筐",N(对接源_01水果!$T175)&lt;&gt;0)),1,0)</f>
        <v>0</v>
      </c>
      <c r="Y175">
        <f>N(Y174)+$X175</f>
        <v>0</v>
      </c>
      <c r="Z175">
        <f>IF(AND($M175=1,对接源_01水果!$D175="原料入库"),1,0)</f>
        <v>1</v>
      </c>
      <c r="AA175">
        <f>N(AA174)+$Z175</f>
        <v>8</v>
      </c>
      <c r="AB175">
        <f>IF(AND($M175=1,LEFT(对接源_01水果!$D175,4)="原料出库"),1,0)</f>
        <v>0</v>
      </c>
      <c r="AC175">
        <f>N(AC174)+$AB175</f>
        <v>0</v>
      </c>
      <c r="AD175">
        <f>IF(AND($M175=1,LEFT(对接源_01水果!$D175,4)="成品出库"),1,0)</f>
        <v>0</v>
      </c>
      <c r="AE175">
        <f>N(AE174)+$AD175</f>
        <v>0</v>
      </c>
      <c r="AF175">
        <f>IF(AND($N175=1,AND(LEFT(对接源_01水果!$D175,4)="包装物料",N(对接源_01水果!$K175)&lt;&gt;0)),1,0)</f>
        <v>0</v>
      </c>
      <c r="AG175">
        <f>N(AG174)+$AF175</f>
        <v>0</v>
      </c>
      <c r="AH175">
        <f>IF(AND($N175=1,AND(对接源_01水果!$D175="周转筐－销售出库",N(对接源_01水果!$K175)&lt;&gt;0)),1,0)</f>
        <v>0</v>
      </c>
      <c r="AI175">
        <f>N(AI174)+$AH175</f>
        <v>0</v>
      </c>
      <c r="AJ175" s="7" t="n"/>
      <c r="AL175">
        <f>IF(OR($AL$1="",对接源_01水果!$Y175="",对接源_01水果!$Y175&lt;&gt;$AL$1,对接源_01水果!$B175="",N(对接源_01水果!$AJ175)&lt;=0),0,IF(OR(N(对接源_01水果!$B175)&lt;$AL$2,N(对接源_01水果!$B175)&gt;$AL$3),0,1))</f>
        <v>0</v>
      </c>
      <c r="AM175">
        <f>N(AM174)+$AL175</f>
        <v>0</v>
      </c>
      <c r="AN175">
        <f>IF(对接源_01水果!$AC175="","",对接源_01水果!$AC175)</f>
      </c>
      <c r="AO175">
        <f>IF(AN175="",0,IF(MATCH(AN175,$AN$4:$AN$1203,0)=ROW()-3,1,0))</f>
        <v>0</v>
      </c>
      <c r="AP175">
        <f>N(AP174)+$AO175</f>
        <v>0</v>
      </c>
      <c r="AQ175">
        <f>IFERROR(INDEX($AN$4:$AN$1203,MATCH(ROW()-3,$AP$4:$AP$1203,0)),"")</f>
      </c>
      <c r="AR175">
        <f>IF(OR($AF175=1,$AH175=1),1,0)</f>
        <v>0</v>
      </c>
      <c r="AS175">
        <f>N(AS174)+$AR175</f>
        <v>0</v>
      </c>
    </row>
    <row r="176" ht="14.25" customHeight="1" s="127">
      <c r="A176" t="str">
        <f>IF(对接源_01水果!$C176="","",对接源_01水果!$C176)</f>
        <v>吐尔洪</v>
      </c>
      <c r="B176">
        <f>IF(A176="",0,IF(MATCH(A176,$A$4:$A$2403,0)=ROW()-3,1,0))</f>
        <v>0</v>
      </c>
      <c r="C176">
        <f>N(C175)+B176</f>
        <v>11</v>
      </c>
      <c r="E176">
        <f>IFERROR(INDEX($A$4:$A$2403,MATCH(ROW()-3,$C$4:$C$2403,0)),"")</f>
      </c>
      <c r="K176">
        <f>IF(OR($K$1="",对接源_01水果!$C176="",对接源_01水果!$C176&lt;&gt;$K$1,对接源_01水果!$B176=""),0,IF(OR(N(对接源_01水果!$B176)&lt;$K$2,N(对接源_01水果!$B176)&gt;$K$3),0,1))</f>
        <v>0</v>
      </c>
      <c r="L176">
        <f>IF(OR($L$1="",对接源_01水果!$C176="",对接源_01水果!$C176&lt;&gt;$L$1,对接源_01水果!$B176=""),0,IF(OR(N(对接源_01水果!$B176)&lt;$L$2,N(对接源_01水果!$B176)&gt;$L$3),0,1))</f>
        <v>0</v>
      </c>
      <c r="M176">
        <f>IF(OR($M$1="",对接源_01水果!$C176="",对接源_01水果!$C176&lt;&gt;$M$1,对接源_01水果!$B176=""),0,IF(OR(N(对接源_01水果!$B176)&lt;$M$2,N(对接源_01水果!$B176)&gt;$M$3),0,1))</f>
        <v>1</v>
      </c>
      <c r="N176">
        <f>IF(OR($N$1="",对接源_01水果!$C176="",对接源_01水果!$C176&lt;&gt;$N$1,对接源_01水果!$B176=""),0,IF(OR(N(对接源_01水果!$B176)&lt;$N$2,N(对接源_01水果!$B176)&gt;$N$3),0,1))</f>
        <v>0</v>
      </c>
      <c r="P176">
        <f>IF(AND($K176=1,AND(对接源_01水果!$X176="公司筐",N(对接源_01水果!$T176)&lt;&gt;0)),1,0)</f>
        <v>0</v>
      </c>
      <c r="Q176">
        <f>N(Q175)+$P176</f>
        <v>0</v>
      </c>
      <c r="R176">
        <f>IF(AND($K176=1,AND(对接源_01水果!$X176="公司筐",N(对接源_01水果!$U176)&lt;&gt;0)),1,0)</f>
        <v>0</v>
      </c>
      <c r="S176">
        <f>N(S175)+$R176</f>
        <v>0</v>
      </c>
      <c r="T176">
        <f>IF(AND($K176=1,AND(对接源_01水果!$X176="公司筐",N(对接源_01水果!$V176)&lt;&gt;0)),1,0)</f>
        <v>0</v>
      </c>
      <c r="U176">
        <f>N(U175)+$T176</f>
        <v>3</v>
      </c>
      <c r="V176">
        <f>IF(AND($L176=1,AND(对接源_01水果!$X176="自备筐",N(对接源_01水果!$V176)&lt;&gt;0)),1,0)</f>
        <v>0</v>
      </c>
      <c r="W176">
        <f>N(W175)+$V176</f>
        <v>4</v>
      </c>
      <c r="X176">
        <f>IF(AND($L176=1,AND(对接源_01水果!$X176="自备筐",N(对接源_01水果!$T176)&lt;&gt;0)),1,0)</f>
        <v>0</v>
      </c>
      <c r="Y176">
        <f>N(Y175)+$X176</f>
        <v>0</v>
      </c>
      <c r="Z176">
        <f>IF(AND($M176=1,对接源_01水果!$D176="原料入库"),1,0)</f>
        <v>1</v>
      </c>
      <c r="AA176">
        <f>N(AA175)+$Z176</f>
        <v>9</v>
      </c>
      <c r="AB176">
        <f>IF(AND($M176=1,LEFT(对接源_01水果!$D176,4)="原料出库"),1,0)</f>
        <v>0</v>
      </c>
      <c r="AC176">
        <f>N(AC175)+$AB176</f>
        <v>0</v>
      </c>
      <c r="AD176">
        <f>IF(AND($M176=1,LEFT(对接源_01水果!$D176,4)="成品出库"),1,0)</f>
        <v>0</v>
      </c>
      <c r="AE176">
        <f>N(AE175)+$AD176</f>
        <v>0</v>
      </c>
      <c r="AF176">
        <f>IF(AND($N176=1,AND(LEFT(对接源_01水果!$D176,4)="包装物料",N(对接源_01水果!$K176)&lt;&gt;0)),1,0)</f>
        <v>0</v>
      </c>
      <c r="AG176">
        <f>N(AG175)+$AF176</f>
        <v>0</v>
      </c>
      <c r="AH176">
        <f>IF(AND($N176=1,AND(对接源_01水果!$D176="周转筐－销售出库",N(对接源_01水果!$K176)&lt;&gt;0)),1,0)</f>
        <v>0</v>
      </c>
      <c r="AI176">
        <f>N(AI175)+$AH176</f>
        <v>0</v>
      </c>
      <c r="AJ176" s="7" t="n"/>
      <c r="AL176">
        <f>IF(OR($AL$1="",对接源_01水果!$Y176="",对接源_01水果!$Y176&lt;&gt;$AL$1,对接源_01水果!$B176="",N(对接源_01水果!$AJ176)&lt;=0),0,IF(OR(N(对接源_01水果!$B176)&lt;$AL$2,N(对接源_01水果!$B176)&gt;$AL$3),0,1))</f>
        <v>0</v>
      </c>
      <c r="AM176">
        <f>N(AM175)+$AL176</f>
        <v>0</v>
      </c>
      <c r="AN176">
        <f>IF(对接源_01水果!$AC176="","",对接源_01水果!$AC176)</f>
      </c>
      <c r="AO176">
        <f>IF(AN176="",0,IF(MATCH(AN176,$AN$4:$AN$1203,0)=ROW()-3,1,0))</f>
        <v>0</v>
      </c>
      <c r="AP176">
        <f>N(AP175)+$AO176</f>
        <v>0</v>
      </c>
      <c r="AQ176">
        <f>IFERROR(INDEX($AN$4:$AN$1203,MATCH(ROW()-3,$AP$4:$AP$1203,0)),"")</f>
      </c>
      <c r="AR176">
        <f>IF(OR($AF176=1,$AH176=1),1,0)</f>
        <v>0</v>
      </c>
      <c r="AS176">
        <f>N(AS175)+$AR176</f>
        <v>0</v>
      </c>
    </row>
    <row r="177" ht="14.25" customHeight="1" s="127">
      <c r="A177" t="str">
        <f>IF(对接源_01水果!$C177="","",对接源_01水果!$C177)</f>
        <v>王照雪</v>
      </c>
      <c r="B177">
        <f>IF(A177="",0,IF(MATCH(A177,$A$4:$A$2403,0)=ROW()-3,1,0))</f>
        <v>0</v>
      </c>
      <c r="C177">
        <f>N(C176)+B177</f>
        <v>11</v>
      </c>
      <c r="E177">
        <f>IFERROR(INDEX($A$4:$A$2403,MATCH(ROW()-3,$C$4:$C$2403,0)),"")</f>
      </c>
      <c r="K177">
        <f>IF(OR($K$1="",对接源_01水果!$C177="",对接源_01水果!$C177&lt;&gt;$K$1,对接源_01水果!$B177=""),0,IF(OR(N(对接源_01水果!$B177)&lt;$K$2,N(对接源_01水果!$B177)&gt;$K$3),0,1))</f>
        <v>0</v>
      </c>
      <c r="L177">
        <f>IF(OR($L$1="",对接源_01水果!$C177="",对接源_01水果!$C177&lt;&gt;$L$1,对接源_01水果!$B177=""),0,IF(OR(N(对接源_01水果!$B177)&lt;$L$2,N(对接源_01水果!$B177)&gt;$L$3),0,1))</f>
        <v>0</v>
      </c>
      <c r="M177">
        <f>IF(OR($M$1="",对接源_01水果!$C177="",对接源_01水果!$C177&lt;&gt;$M$1,对接源_01水果!$B177=""),0,IF(OR(N(对接源_01水果!$B177)&lt;$M$2,N(对接源_01水果!$B177)&gt;$M$3),0,1))</f>
        <v>0</v>
      </c>
      <c r="N177">
        <f>IF(OR($N$1="",对接源_01水果!$C177="",对接源_01水果!$C177&lt;&gt;$N$1,对接源_01水果!$B177=""),0,IF(OR(N(对接源_01水果!$B177)&lt;$N$2,N(对接源_01水果!$B177)&gt;$N$3),0,1))</f>
        <v>0</v>
      </c>
      <c r="P177">
        <f>IF(AND($K177=1,AND(对接源_01水果!$X177="公司筐",N(对接源_01水果!$T177)&lt;&gt;0)),1,0)</f>
        <v>0</v>
      </c>
      <c r="Q177">
        <f>N(Q176)+$P177</f>
        <v>0</v>
      </c>
      <c r="R177">
        <f>IF(AND($K177=1,AND(对接源_01水果!$X177="公司筐",N(对接源_01水果!$U177)&lt;&gt;0)),1,0)</f>
        <v>0</v>
      </c>
      <c r="S177">
        <f>N(S176)+$R177</f>
        <v>0</v>
      </c>
      <c r="T177">
        <f>IF(AND($K177=1,AND(对接源_01水果!$X177="公司筐",N(对接源_01水果!$V177)&lt;&gt;0)),1,0)</f>
        <v>0</v>
      </c>
      <c r="U177">
        <f>N(U176)+$T177</f>
        <v>3</v>
      </c>
      <c r="V177">
        <f>IF(AND($L177=1,AND(对接源_01水果!$X177="自备筐",N(对接源_01水果!$V177)&lt;&gt;0)),1,0)</f>
        <v>0</v>
      </c>
      <c r="W177">
        <f>N(W176)+$V177</f>
        <v>4</v>
      </c>
      <c r="X177">
        <f>IF(AND($L177=1,AND(对接源_01水果!$X177="自备筐",N(对接源_01水果!$T177)&lt;&gt;0)),1,0)</f>
        <v>0</v>
      </c>
      <c r="Y177">
        <f>N(Y176)+$X177</f>
        <v>0</v>
      </c>
      <c r="Z177">
        <f>IF(AND($M177=1,对接源_01水果!$D177="原料入库"),1,0)</f>
        <v>0</v>
      </c>
      <c r="AA177">
        <f>N(AA176)+$Z177</f>
        <v>9</v>
      </c>
      <c r="AB177">
        <f>IF(AND($M177=1,LEFT(对接源_01水果!$D177,4)="原料出库"),1,0)</f>
        <v>0</v>
      </c>
      <c r="AC177">
        <f>N(AC176)+$AB177</f>
        <v>0</v>
      </c>
      <c r="AD177">
        <f>IF(AND($M177=1,LEFT(对接源_01水果!$D177,4)="成品出库"),1,0)</f>
        <v>0</v>
      </c>
      <c r="AE177">
        <f>N(AE176)+$AD177</f>
        <v>0</v>
      </c>
      <c r="AF177">
        <f>IF(AND($N177=1,AND(LEFT(对接源_01水果!$D177,4)="包装物料",N(对接源_01水果!$K177)&lt;&gt;0)),1,0)</f>
        <v>0</v>
      </c>
      <c r="AG177">
        <f>N(AG176)+$AF177</f>
        <v>0</v>
      </c>
      <c r="AH177">
        <f>IF(AND($N177=1,AND(对接源_01水果!$D177="周转筐－销售出库",N(对接源_01水果!$K177)&lt;&gt;0)),1,0)</f>
        <v>0</v>
      </c>
      <c r="AI177">
        <f>N(AI176)+$AH177</f>
        <v>0</v>
      </c>
      <c r="AJ177" s="7" t="n"/>
      <c r="AL177">
        <f>IF(OR($AL$1="",对接源_01水果!$Y177="",对接源_01水果!$Y177&lt;&gt;$AL$1,对接源_01水果!$B177="",N(对接源_01水果!$AJ177)&lt;=0),0,IF(OR(N(对接源_01水果!$B177)&lt;$AL$2,N(对接源_01水果!$B177)&gt;$AL$3),0,1))</f>
        <v>0</v>
      </c>
      <c r="AM177">
        <f>N(AM176)+$AL177</f>
        <v>0</v>
      </c>
      <c r="AN177">
        <f>IF(对接源_01水果!$AC177="","",对接源_01水果!$AC177)</f>
      </c>
      <c r="AO177">
        <f>IF(AN177="",0,IF(MATCH(AN177,$AN$4:$AN$1203,0)=ROW()-3,1,0))</f>
        <v>0</v>
      </c>
      <c r="AP177">
        <f>N(AP176)+$AO177</f>
        <v>0</v>
      </c>
      <c r="AQ177">
        <f>IFERROR(INDEX($AN$4:$AN$1203,MATCH(ROW()-3,$AP$4:$AP$1203,0)),"")</f>
      </c>
      <c r="AR177">
        <f>IF(OR($AF177=1,$AH177=1),1,0)</f>
        <v>0</v>
      </c>
      <c r="AS177">
        <f>N(AS176)+$AR177</f>
        <v>0</v>
      </c>
    </row>
    <row r="178" ht="14.25" customHeight="1" s="127">
      <c r="A178" t="str">
        <f>IF(对接源_01水果!$C178="","",对接源_01水果!$C178)</f>
        <v>王照雪</v>
      </c>
      <c r="B178">
        <f>IF(A178="",0,IF(MATCH(A178,$A$4:$A$2403,0)=ROW()-3,1,0))</f>
        <v>0</v>
      </c>
      <c r="C178">
        <f>N(C177)+B178</f>
        <v>11</v>
      </c>
      <c r="E178">
        <f>IFERROR(INDEX($A$4:$A$2403,MATCH(ROW()-3,$C$4:$C$2403,0)),"")</f>
      </c>
      <c r="K178">
        <f>IF(OR($K$1="",对接源_01水果!$C178="",对接源_01水果!$C178&lt;&gt;$K$1,对接源_01水果!$B178=""),0,IF(OR(N(对接源_01水果!$B178)&lt;$K$2,N(对接源_01水果!$B178)&gt;$K$3),0,1))</f>
        <v>0</v>
      </c>
      <c r="L178">
        <f>IF(OR($L$1="",对接源_01水果!$C178="",对接源_01水果!$C178&lt;&gt;$L$1,对接源_01水果!$B178=""),0,IF(OR(N(对接源_01水果!$B178)&lt;$L$2,N(对接源_01水果!$B178)&gt;$L$3),0,1))</f>
        <v>0</v>
      </c>
      <c r="M178">
        <f>IF(OR($M$1="",对接源_01水果!$C178="",对接源_01水果!$C178&lt;&gt;$M$1,对接源_01水果!$B178=""),0,IF(OR(N(对接源_01水果!$B178)&lt;$M$2,N(对接源_01水果!$B178)&gt;$M$3),0,1))</f>
        <v>0</v>
      </c>
      <c r="N178">
        <f>IF(OR($N$1="",对接源_01水果!$C178="",对接源_01水果!$C178&lt;&gt;$N$1,对接源_01水果!$B178=""),0,IF(OR(N(对接源_01水果!$B178)&lt;$N$2,N(对接源_01水果!$B178)&gt;$N$3),0,1))</f>
        <v>0</v>
      </c>
      <c r="P178">
        <f>IF(AND($K178=1,AND(对接源_01水果!$X178="公司筐",N(对接源_01水果!$T178)&lt;&gt;0)),1,0)</f>
        <v>0</v>
      </c>
      <c r="Q178">
        <f>N(Q177)+$P178</f>
        <v>0</v>
      </c>
      <c r="R178">
        <f>IF(AND($K178=1,AND(对接源_01水果!$X178="公司筐",N(对接源_01水果!$U178)&lt;&gt;0)),1,0)</f>
        <v>0</v>
      </c>
      <c r="S178">
        <f>N(S177)+$R178</f>
        <v>0</v>
      </c>
      <c r="T178">
        <f>IF(AND($K178=1,AND(对接源_01水果!$X178="公司筐",N(对接源_01水果!$V178)&lt;&gt;0)),1,0)</f>
        <v>0</v>
      </c>
      <c r="U178">
        <f>N(U177)+$T178</f>
        <v>3</v>
      </c>
      <c r="V178">
        <f>IF(AND($L178=1,AND(对接源_01水果!$X178="自备筐",N(对接源_01水果!$V178)&lt;&gt;0)),1,0)</f>
        <v>0</v>
      </c>
      <c r="W178">
        <f>N(W177)+$V178</f>
        <v>4</v>
      </c>
      <c r="X178">
        <f>IF(AND($L178=1,AND(对接源_01水果!$X178="自备筐",N(对接源_01水果!$T178)&lt;&gt;0)),1,0)</f>
        <v>0</v>
      </c>
      <c r="Y178">
        <f>N(Y177)+$X178</f>
        <v>0</v>
      </c>
      <c r="Z178">
        <f>IF(AND($M178=1,对接源_01水果!$D178="原料入库"),1,0)</f>
        <v>0</v>
      </c>
      <c r="AA178">
        <f>N(AA177)+$Z178</f>
        <v>9</v>
      </c>
      <c r="AB178">
        <f>IF(AND($M178=1,LEFT(对接源_01水果!$D178,4)="原料出库"),1,0)</f>
        <v>0</v>
      </c>
      <c r="AC178">
        <f>N(AC177)+$AB178</f>
        <v>0</v>
      </c>
      <c r="AD178">
        <f>IF(AND($M178=1,LEFT(对接源_01水果!$D178,4)="成品出库"),1,0)</f>
        <v>0</v>
      </c>
      <c r="AE178">
        <f>N(AE177)+$AD178</f>
        <v>0</v>
      </c>
      <c r="AF178">
        <f>IF(AND($N178=1,AND(LEFT(对接源_01水果!$D178,4)="包装物料",N(对接源_01水果!$K178)&lt;&gt;0)),1,0)</f>
        <v>0</v>
      </c>
      <c r="AG178">
        <f>N(AG177)+$AF178</f>
        <v>0</v>
      </c>
      <c r="AH178">
        <f>IF(AND($N178=1,AND(对接源_01水果!$D178="周转筐－销售出库",N(对接源_01水果!$K178)&lt;&gt;0)),1,0)</f>
        <v>0</v>
      </c>
      <c r="AI178">
        <f>N(AI177)+$AH178</f>
        <v>0</v>
      </c>
      <c r="AJ178" s="7" t="n"/>
      <c r="AL178">
        <f>IF(OR($AL$1="",对接源_01水果!$Y178="",对接源_01水果!$Y178&lt;&gt;$AL$1,对接源_01水果!$B178="",N(对接源_01水果!$AJ178)&lt;=0),0,IF(OR(N(对接源_01水果!$B178)&lt;$AL$2,N(对接源_01水果!$B178)&gt;$AL$3),0,1))</f>
        <v>0</v>
      </c>
      <c r="AM178">
        <f>N(AM177)+$AL178</f>
        <v>0</v>
      </c>
      <c r="AN178">
        <f>IF(对接源_01水果!$AC178="","",对接源_01水果!$AC178)</f>
      </c>
      <c r="AO178">
        <f>IF(AN178="",0,IF(MATCH(AN178,$AN$4:$AN$1203,0)=ROW()-3,1,0))</f>
        <v>0</v>
      </c>
      <c r="AP178">
        <f>N(AP177)+$AO178</f>
        <v>0</v>
      </c>
      <c r="AQ178">
        <f>IFERROR(INDEX($AN$4:$AN$1203,MATCH(ROW()-3,$AP$4:$AP$1203,0)),"")</f>
      </c>
      <c r="AR178">
        <f>IF(OR($AF178=1,$AH178=1),1,0)</f>
        <v>0</v>
      </c>
      <c r="AS178">
        <f>N(AS177)+$AR178</f>
        <v>0</v>
      </c>
    </row>
    <row r="179" ht="14.25" customHeight="1" s="127">
      <c r="A179" t="str">
        <f>IF(对接源_01水果!$C179="","",对接源_01水果!$C179)</f>
        <v>热合曼</v>
      </c>
      <c r="B179">
        <f>IF(A179="",0,IF(MATCH(A179,$A$4:$A$2403,0)=ROW()-3,1,0))</f>
        <v>0</v>
      </c>
      <c r="C179">
        <f>N(C178)+B179</f>
        <v>11</v>
      </c>
      <c r="E179">
        <f>IFERROR(INDEX($A$4:$A$2403,MATCH(ROW()-3,$C$4:$C$2403,0)),"")</f>
      </c>
      <c r="K179">
        <f>IF(OR($K$1="",对接源_01水果!$C179="",对接源_01水果!$C179&lt;&gt;$K$1,对接源_01水果!$B179=""),0,IF(OR(N(对接源_01水果!$B179)&lt;$K$2,N(对接源_01水果!$B179)&gt;$K$3),0,1))</f>
        <v>0</v>
      </c>
      <c r="L179">
        <f>IF(OR($L$1="",对接源_01水果!$C179="",对接源_01水果!$C179&lt;&gt;$L$1,对接源_01水果!$B179=""),0,IF(OR(N(对接源_01水果!$B179)&lt;$L$2,N(对接源_01水果!$B179)&gt;$L$3),0,1))</f>
        <v>0</v>
      </c>
      <c r="M179">
        <f>IF(OR($M$1="",对接源_01水果!$C179="",对接源_01水果!$C179&lt;&gt;$M$1,对接源_01水果!$B179=""),0,IF(OR(N(对接源_01水果!$B179)&lt;$M$2,N(对接源_01水果!$B179)&gt;$M$3),0,1))</f>
        <v>0</v>
      </c>
      <c r="N179">
        <f>IF(OR($N$1="",对接源_01水果!$C179="",对接源_01水果!$C179&lt;&gt;$N$1,对接源_01水果!$B179=""),0,IF(OR(N(对接源_01水果!$B179)&lt;$N$2,N(对接源_01水果!$B179)&gt;$N$3),0,1))</f>
        <v>0</v>
      </c>
      <c r="P179">
        <f>IF(AND($K179=1,AND(对接源_01水果!$X179="公司筐",N(对接源_01水果!$T179)&lt;&gt;0)),1,0)</f>
        <v>0</v>
      </c>
      <c r="Q179">
        <f>N(Q178)+$P179</f>
        <v>0</v>
      </c>
      <c r="R179">
        <f>IF(AND($K179=1,AND(对接源_01水果!$X179="公司筐",N(对接源_01水果!$U179)&lt;&gt;0)),1,0)</f>
        <v>0</v>
      </c>
      <c r="S179">
        <f>N(S178)+$R179</f>
        <v>0</v>
      </c>
      <c r="T179">
        <f>IF(AND($K179=1,AND(对接源_01水果!$X179="公司筐",N(对接源_01水果!$V179)&lt;&gt;0)),1,0)</f>
        <v>0</v>
      </c>
      <c r="U179">
        <f>N(U178)+$T179</f>
        <v>3</v>
      </c>
      <c r="V179">
        <f>IF(AND($L179=1,AND(对接源_01水果!$X179="自备筐",N(对接源_01水果!$V179)&lt;&gt;0)),1,0)</f>
        <v>0</v>
      </c>
      <c r="W179">
        <f>N(W178)+$V179</f>
        <v>4</v>
      </c>
      <c r="X179">
        <f>IF(AND($L179=1,AND(对接源_01水果!$X179="自备筐",N(对接源_01水果!$T179)&lt;&gt;0)),1,0)</f>
        <v>0</v>
      </c>
      <c r="Y179">
        <f>N(Y178)+$X179</f>
        <v>0</v>
      </c>
      <c r="Z179">
        <f>IF(AND($M179=1,对接源_01水果!$D179="原料入库"),1,0)</f>
        <v>0</v>
      </c>
      <c r="AA179">
        <f>N(AA178)+$Z179</f>
        <v>9</v>
      </c>
      <c r="AB179">
        <f>IF(AND($M179=1,LEFT(对接源_01水果!$D179,4)="原料出库"),1,0)</f>
        <v>0</v>
      </c>
      <c r="AC179">
        <f>N(AC178)+$AB179</f>
        <v>0</v>
      </c>
      <c r="AD179">
        <f>IF(AND($M179=1,LEFT(对接源_01水果!$D179,4)="成品出库"),1,0)</f>
        <v>0</v>
      </c>
      <c r="AE179">
        <f>N(AE178)+$AD179</f>
        <v>0</v>
      </c>
      <c r="AF179">
        <f>IF(AND($N179=1,AND(LEFT(对接源_01水果!$D179,4)="包装物料",N(对接源_01水果!$K179)&lt;&gt;0)),1,0)</f>
        <v>0</v>
      </c>
      <c r="AG179">
        <f>N(AG178)+$AF179</f>
        <v>0</v>
      </c>
      <c r="AH179">
        <f>IF(AND($N179=1,AND(对接源_01水果!$D179="周转筐－销售出库",N(对接源_01水果!$K179)&lt;&gt;0)),1,0)</f>
        <v>0</v>
      </c>
      <c r="AI179">
        <f>N(AI178)+$AH179</f>
        <v>0</v>
      </c>
      <c r="AJ179" s="7" t="n"/>
      <c r="AL179">
        <f>IF(OR($AL$1="",对接源_01水果!$Y179="",对接源_01水果!$Y179&lt;&gt;$AL$1,对接源_01水果!$B179="",N(对接源_01水果!$AJ179)&lt;=0),0,IF(OR(N(对接源_01水果!$B179)&lt;$AL$2,N(对接源_01水果!$B179)&gt;$AL$3),0,1))</f>
        <v>0</v>
      </c>
      <c r="AM179">
        <f>N(AM178)+$AL179</f>
        <v>0</v>
      </c>
      <c r="AN179">
        <f>IF(对接源_01水果!$AC179="","",对接源_01水果!$AC179)</f>
      </c>
      <c r="AO179">
        <f>IF(AN179="",0,IF(MATCH(AN179,$AN$4:$AN$1203,0)=ROW()-3,1,0))</f>
        <v>0</v>
      </c>
      <c r="AP179">
        <f>N(AP178)+$AO179</f>
        <v>0</v>
      </c>
      <c r="AQ179">
        <f>IFERROR(INDEX($AN$4:$AN$1203,MATCH(ROW()-3,$AP$4:$AP$1203,0)),"")</f>
      </c>
      <c r="AR179">
        <f>IF(OR($AF179=1,$AH179=1),1,0)</f>
        <v>0</v>
      </c>
      <c r="AS179">
        <f>N(AS178)+$AR179</f>
        <v>0</v>
      </c>
    </row>
    <row r="180" ht="14.25" customHeight="1" s="127">
      <c r="A180" t="str">
        <f>IF(对接源_01水果!$C180="","",对接源_01水果!$C180)</f>
        <v>热合曼</v>
      </c>
      <c r="B180">
        <f>IF(A180="",0,IF(MATCH(A180,$A$4:$A$2403,0)=ROW()-3,1,0))</f>
        <v>0</v>
      </c>
      <c r="C180">
        <f>N(C179)+B180</f>
        <v>11</v>
      </c>
      <c r="E180">
        <f>IFERROR(INDEX($A$4:$A$2403,MATCH(ROW()-3,$C$4:$C$2403,0)),"")</f>
      </c>
      <c r="K180">
        <f>IF(OR($K$1="",对接源_01水果!$C180="",对接源_01水果!$C180&lt;&gt;$K$1,对接源_01水果!$B180=""),0,IF(OR(N(对接源_01水果!$B180)&lt;$K$2,N(对接源_01水果!$B180)&gt;$K$3),0,1))</f>
        <v>0</v>
      </c>
      <c r="L180">
        <f>IF(OR($L$1="",对接源_01水果!$C180="",对接源_01水果!$C180&lt;&gt;$L$1,对接源_01水果!$B180=""),0,IF(OR(N(对接源_01水果!$B180)&lt;$L$2,N(对接源_01水果!$B180)&gt;$L$3),0,1))</f>
        <v>0</v>
      </c>
      <c r="M180">
        <f>IF(OR($M$1="",对接源_01水果!$C180="",对接源_01水果!$C180&lt;&gt;$M$1,对接源_01水果!$B180=""),0,IF(OR(N(对接源_01水果!$B180)&lt;$M$2,N(对接源_01水果!$B180)&gt;$M$3),0,1))</f>
        <v>0</v>
      </c>
      <c r="N180">
        <f>IF(OR($N$1="",对接源_01水果!$C180="",对接源_01水果!$C180&lt;&gt;$N$1,对接源_01水果!$B180=""),0,IF(OR(N(对接源_01水果!$B180)&lt;$N$2,N(对接源_01水果!$B180)&gt;$N$3),0,1))</f>
        <v>0</v>
      </c>
      <c r="P180">
        <f>IF(AND($K180=1,AND(对接源_01水果!$X180="公司筐",N(对接源_01水果!$T180)&lt;&gt;0)),1,0)</f>
        <v>0</v>
      </c>
      <c r="Q180">
        <f>N(Q179)+$P180</f>
        <v>0</v>
      </c>
      <c r="R180">
        <f>IF(AND($K180=1,AND(对接源_01水果!$X180="公司筐",N(对接源_01水果!$U180)&lt;&gt;0)),1,0)</f>
        <v>0</v>
      </c>
      <c r="S180">
        <f>N(S179)+$R180</f>
        <v>0</v>
      </c>
      <c r="T180">
        <f>IF(AND($K180=1,AND(对接源_01水果!$X180="公司筐",N(对接源_01水果!$V180)&lt;&gt;0)),1,0)</f>
        <v>0</v>
      </c>
      <c r="U180">
        <f>N(U179)+$T180</f>
        <v>3</v>
      </c>
      <c r="V180">
        <f>IF(AND($L180=1,AND(对接源_01水果!$X180="自备筐",N(对接源_01水果!$V180)&lt;&gt;0)),1,0)</f>
        <v>0</v>
      </c>
      <c r="W180">
        <f>N(W179)+$V180</f>
        <v>4</v>
      </c>
      <c r="X180">
        <f>IF(AND($L180=1,AND(对接源_01水果!$X180="自备筐",N(对接源_01水果!$T180)&lt;&gt;0)),1,0)</f>
        <v>0</v>
      </c>
      <c r="Y180">
        <f>N(Y179)+$X180</f>
        <v>0</v>
      </c>
      <c r="Z180">
        <f>IF(AND($M180=1,对接源_01水果!$D180="原料入库"),1,0)</f>
        <v>0</v>
      </c>
      <c r="AA180">
        <f>N(AA179)+$Z180</f>
        <v>9</v>
      </c>
      <c r="AB180">
        <f>IF(AND($M180=1,LEFT(对接源_01水果!$D180,4)="原料出库"),1,0)</f>
        <v>0</v>
      </c>
      <c r="AC180">
        <f>N(AC179)+$AB180</f>
        <v>0</v>
      </c>
      <c r="AD180">
        <f>IF(AND($M180=1,LEFT(对接源_01水果!$D180,4)="成品出库"),1,0)</f>
        <v>0</v>
      </c>
      <c r="AE180">
        <f>N(AE179)+$AD180</f>
        <v>0</v>
      </c>
      <c r="AF180">
        <f>IF(AND($N180=1,AND(LEFT(对接源_01水果!$D180,4)="包装物料",N(对接源_01水果!$K180)&lt;&gt;0)),1,0)</f>
        <v>0</v>
      </c>
      <c r="AG180">
        <f>N(AG179)+$AF180</f>
        <v>0</v>
      </c>
      <c r="AH180">
        <f>IF(AND($N180=1,AND(对接源_01水果!$D180="周转筐－销售出库",N(对接源_01水果!$K180)&lt;&gt;0)),1,0)</f>
        <v>0</v>
      </c>
      <c r="AI180">
        <f>N(AI179)+$AH180</f>
        <v>0</v>
      </c>
      <c r="AJ180" s="7" t="n"/>
      <c r="AL180">
        <f>IF(OR($AL$1="",对接源_01水果!$Y180="",对接源_01水果!$Y180&lt;&gt;$AL$1,对接源_01水果!$B180="",N(对接源_01水果!$AJ180)&lt;=0),0,IF(OR(N(对接源_01水果!$B180)&lt;$AL$2,N(对接源_01水果!$B180)&gt;$AL$3),0,1))</f>
        <v>0</v>
      </c>
      <c r="AM180">
        <f>N(AM179)+$AL180</f>
        <v>0</v>
      </c>
      <c r="AN180">
        <f>IF(对接源_01水果!$AC180="","",对接源_01水果!$AC180)</f>
      </c>
      <c r="AO180">
        <f>IF(AN180="",0,IF(MATCH(AN180,$AN$4:$AN$1203,0)=ROW()-3,1,0))</f>
        <v>0</v>
      </c>
      <c r="AP180">
        <f>N(AP179)+$AO180</f>
        <v>0</v>
      </c>
      <c r="AQ180">
        <f>IFERROR(INDEX($AN$4:$AN$1203,MATCH(ROW()-3,$AP$4:$AP$1203,0)),"")</f>
      </c>
      <c r="AR180">
        <f>IF(OR($AF180=1,$AH180=1),1,0)</f>
        <v>0</v>
      </c>
      <c r="AS180">
        <f>N(AS179)+$AR180</f>
        <v>0</v>
      </c>
    </row>
    <row r="181" ht="14.25" customHeight="1" s="127">
      <c r="A181" t="str">
        <f>IF(对接源_01水果!$C181="","",对接源_01水果!$C181)</f>
        <v>热合曼</v>
      </c>
      <c r="B181">
        <f>IF(A181="",0,IF(MATCH(A181,$A$4:$A$2403,0)=ROW()-3,1,0))</f>
        <v>0</v>
      </c>
      <c r="C181">
        <f>N(C180)+B181</f>
        <v>11</v>
      </c>
      <c r="E181">
        <f>IFERROR(INDEX($A$4:$A$2403,MATCH(ROW()-3,$C$4:$C$2403,0)),"")</f>
      </c>
      <c r="K181">
        <f>IF(OR($K$1="",对接源_01水果!$C181="",对接源_01水果!$C181&lt;&gt;$K$1,对接源_01水果!$B181=""),0,IF(OR(N(对接源_01水果!$B181)&lt;$K$2,N(对接源_01水果!$B181)&gt;$K$3),0,1))</f>
        <v>0</v>
      </c>
      <c r="L181">
        <f>IF(OR($L$1="",对接源_01水果!$C181="",对接源_01水果!$C181&lt;&gt;$L$1,对接源_01水果!$B181=""),0,IF(OR(N(对接源_01水果!$B181)&lt;$L$2,N(对接源_01水果!$B181)&gt;$L$3),0,1))</f>
        <v>0</v>
      </c>
      <c r="M181">
        <f>IF(OR($M$1="",对接源_01水果!$C181="",对接源_01水果!$C181&lt;&gt;$M$1,对接源_01水果!$B181=""),0,IF(OR(N(对接源_01水果!$B181)&lt;$M$2,N(对接源_01水果!$B181)&gt;$M$3),0,1))</f>
        <v>0</v>
      </c>
      <c r="N181">
        <f>IF(OR($N$1="",对接源_01水果!$C181="",对接源_01水果!$C181&lt;&gt;$N$1,对接源_01水果!$B181=""),0,IF(OR(N(对接源_01水果!$B181)&lt;$N$2,N(对接源_01水果!$B181)&gt;$N$3),0,1))</f>
        <v>0</v>
      </c>
      <c r="P181">
        <f>IF(AND($K181=1,AND(对接源_01水果!$X181="公司筐",N(对接源_01水果!$T181)&lt;&gt;0)),1,0)</f>
        <v>0</v>
      </c>
      <c r="Q181">
        <f>N(Q180)+$P181</f>
        <v>0</v>
      </c>
      <c r="R181">
        <f>IF(AND($K181=1,AND(对接源_01水果!$X181="公司筐",N(对接源_01水果!$U181)&lt;&gt;0)),1,0)</f>
        <v>0</v>
      </c>
      <c r="S181">
        <f>N(S180)+$R181</f>
        <v>0</v>
      </c>
      <c r="T181">
        <f>IF(AND($K181=1,AND(对接源_01水果!$X181="公司筐",N(对接源_01水果!$V181)&lt;&gt;0)),1,0)</f>
        <v>0</v>
      </c>
      <c r="U181">
        <f>N(U180)+$T181</f>
        <v>3</v>
      </c>
      <c r="V181">
        <f>IF(AND($L181=1,AND(对接源_01水果!$X181="自备筐",N(对接源_01水果!$V181)&lt;&gt;0)),1,0)</f>
        <v>0</v>
      </c>
      <c r="W181">
        <f>N(W180)+$V181</f>
        <v>4</v>
      </c>
      <c r="X181">
        <f>IF(AND($L181=1,AND(对接源_01水果!$X181="自备筐",N(对接源_01水果!$T181)&lt;&gt;0)),1,0)</f>
        <v>0</v>
      </c>
      <c r="Y181">
        <f>N(Y180)+$X181</f>
        <v>0</v>
      </c>
      <c r="Z181">
        <f>IF(AND($M181=1,对接源_01水果!$D181="原料入库"),1,0)</f>
        <v>0</v>
      </c>
      <c r="AA181">
        <f>N(AA180)+$Z181</f>
        <v>9</v>
      </c>
      <c r="AB181">
        <f>IF(AND($M181=1,LEFT(对接源_01水果!$D181,4)="原料出库"),1,0)</f>
        <v>0</v>
      </c>
      <c r="AC181">
        <f>N(AC180)+$AB181</f>
        <v>0</v>
      </c>
      <c r="AD181">
        <f>IF(AND($M181=1,LEFT(对接源_01水果!$D181,4)="成品出库"),1,0)</f>
        <v>0</v>
      </c>
      <c r="AE181">
        <f>N(AE180)+$AD181</f>
        <v>0</v>
      </c>
      <c r="AF181">
        <f>IF(AND($N181=1,AND(LEFT(对接源_01水果!$D181,4)="包装物料",N(对接源_01水果!$K181)&lt;&gt;0)),1,0)</f>
        <v>0</v>
      </c>
      <c r="AG181">
        <f>N(AG180)+$AF181</f>
        <v>0</v>
      </c>
      <c r="AH181">
        <f>IF(AND($N181=1,AND(对接源_01水果!$D181="周转筐－销售出库",N(对接源_01水果!$K181)&lt;&gt;0)),1,0)</f>
        <v>0</v>
      </c>
      <c r="AI181">
        <f>N(AI180)+$AH181</f>
        <v>0</v>
      </c>
      <c r="AJ181" s="7" t="n"/>
      <c r="AL181">
        <f>IF(OR($AL$1="",对接源_01水果!$Y181="",对接源_01水果!$Y181&lt;&gt;$AL$1,对接源_01水果!$B181="",N(对接源_01水果!$AJ181)&lt;=0),0,IF(OR(N(对接源_01水果!$B181)&lt;$AL$2,N(对接源_01水果!$B181)&gt;$AL$3),0,1))</f>
        <v>0</v>
      </c>
      <c r="AM181">
        <f>N(AM180)+$AL181</f>
        <v>0</v>
      </c>
      <c r="AN181">
        <f>IF(对接源_01水果!$AC181="","",对接源_01水果!$AC181)</f>
      </c>
      <c r="AO181">
        <f>IF(AN181="",0,IF(MATCH(AN181,$AN$4:$AN$1203,0)=ROW()-3,1,0))</f>
        <v>0</v>
      </c>
      <c r="AP181">
        <f>N(AP180)+$AO181</f>
        <v>0</v>
      </c>
      <c r="AQ181">
        <f>IFERROR(INDEX($AN$4:$AN$1203,MATCH(ROW()-3,$AP$4:$AP$1203,0)),"")</f>
      </c>
      <c r="AR181">
        <f>IF(OR($AF181=1,$AH181=1),1,0)</f>
        <v>0</v>
      </c>
      <c r="AS181">
        <f>N(AS180)+$AR181</f>
        <v>0</v>
      </c>
    </row>
    <row r="182" ht="14.25" customHeight="1" s="127">
      <c r="A182" t="str">
        <f>IF(对接源_01水果!$C182="","",对接源_01水果!$C182)</f>
        <v>马锦祥</v>
      </c>
      <c r="B182">
        <f>IF(A182="",0,IF(MATCH(A182,$A$4:$A$2403,0)=ROW()-3,1,0))</f>
        <v>0</v>
      </c>
      <c r="C182">
        <f>N(C181)+B182</f>
        <v>11</v>
      </c>
      <c r="E182">
        <f>IFERROR(INDEX($A$4:$A$2403,MATCH(ROW()-3,$C$4:$C$2403,0)),"")</f>
      </c>
      <c r="K182">
        <f>IF(OR($K$1="",对接源_01水果!$C182="",对接源_01水果!$C182&lt;&gt;$K$1,对接源_01水果!$B182=""),0,IF(OR(N(对接源_01水果!$B182)&lt;$K$2,N(对接源_01水果!$B182)&gt;$K$3),0,1))</f>
        <v>0</v>
      </c>
      <c r="L182">
        <f>IF(OR($L$1="",对接源_01水果!$C182="",对接源_01水果!$C182&lt;&gt;$L$1,对接源_01水果!$B182=""),0,IF(OR(N(对接源_01水果!$B182)&lt;$L$2,N(对接源_01水果!$B182)&gt;$L$3),0,1))</f>
        <v>0</v>
      </c>
      <c r="M182">
        <f>IF(OR($M$1="",对接源_01水果!$C182="",对接源_01水果!$C182&lt;&gt;$M$1,对接源_01水果!$B182=""),0,IF(OR(N(对接源_01水果!$B182)&lt;$M$2,N(对接源_01水果!$B182)&gt;$M$3),0,1))</f>
        <v>0</v>
      </c>
      <c r="N182">
        <f>IF(OR($N$1="",对接源_01水果!$C182="",对接源_01水果!$C182&lt;&gt;$N$1,对接源_01水果!$B182=""),0,IF(OR(N(对接源_01水果!$B182)&lt;$N$2,N(对接源_01水果!$B182)&gt;$N$3),0,1))</f>
        <v>0</v>
      </c>
      <c r="P182">
        <f>IF(AND($K182=1,AND(对接源_01水果!$X182="公司筐",N(对接源_01水果!$T182)&lt;&gt;0)),1,0)</f>
        <v>0</v>
      </c>
      <c r="Q182">
        <f>N(Q181)+$P182</f>
        <v>0</v>
      </c>
      <c r="R182">
        <f>IF(AND($K182=1,AND(对接源_01水果!$X182="公司筐",N(对接源_01水果!$U182)&lt;&gt;0)),1,0)</f>
        <v>0</v>
      </c>
      <c r="S182">
        <f>N(S181)+$R182</f>
        <v>0</v>
      </c>
      <c r="T182">
        <f>IF(AND($K182=1,AND(对接源_01水果!$X182="公司筐",N(对接源_01水果!$V182)&lt;&gt;0)),1,0)</f>
        <v>0</v>
      </c>
      <c r="U182">
        <f>N(U181)+$T182</f>
        <v>3</v>
      </c>
      <c r="V182">
        <f>IF(AND($L182=1,AND(对接源_01水果!$X182="自备筐",N(对接源_01水果!$V182)&lt;&gt;0)),1,0)</f>
        <v>0</v>
      </c>
      <c r="W182">
        <f>N(W181)+$V182</f>
        <v>4</v>
      </c>
      <c r="X182">
        <f>IF(AND($L182=1,AND(对接源_01水果!$X182="自备筐",N(对接源_01水果!$T182)&lt;&gt;0)),1,0)</f>
        <v>0</v>
      </c>
      <c r="Y182">
        <f>N(Y181)+$X182</f>
        <v>0</v>
      </c>
      <c r="Z182">
        <f>IF(AND($M182=1,对接源_01水果!$D182="原料入库"),1,0)</f>
        <v>0</v>
      </c>
      <c r="AA182">
        <f>N(AA181)+$Z182</f>
        <v>9</v>
      </c>
      <c r="AB182">
        <f>IF(AND($M182=1,LEFT(对接源_01水果!$D182,4)="原料出库"),1,0)</f>
        <v>0</v>
      </c>
      <c r="AC182">
        <f>N(AC181)+$AB182</f>
        <v>0</v>
      </c>
      <c r="AD182">
        <f>IF(AND($M182=1,LEFT(对接源_01水果!$D182,4)="成品出库"),1,0)</f>
        <v>0</v>
      </c>
      <c r="AE182">
        <f>N(AE181)+$AD182</f>
        <v>0</v>
      </c>
      <c r="AF182">
        <f>IF(AND($N182=1,AND(LEFT(对接源_01水果!$D182,4)="包装物料",N(对接源_01水果!$K182)&lt;&gt;0)),1,0)</f>
        <v>0</v>
      </c>
      <c r="AG182">
        <f>N(AG181)+$AF182</f>
        <v>0</v>
      </c>
      <c r="AH182">
        <f>IF(AND($N182=1,AND(对接源_01水果!$D182="周转筐－销售出库",N(对接源_01水果!$K182)&lt;&gt;0)),1,0)</f>
        <v>0</v>
      </c>
      <c r="AI182">
        <f>N(AI181)+$AH182</f>
        <v>0</v>
      </c>
      <c r="AJ182" s="7" t="n"/>
      <c r="AL182">
        <f>IF(OR($AL$1="",对接源_01水果!$Y182="",对接源_01水果!$Y182&lt;&gt;$AL$1,对接源_01水果!$B182="",N(对接源_01水果!$AJ182)&lt;=0),0,IF(OR(N(对接源_01水果!$B182)&lt;$AL$2,N(对接源_01水果!$B182)&gt;$AL$3),0,1))</f>
        <v>0</v>
      </c>
      <c r="AM182">
        <f>N(AM181)+$AL182</f>
        <v>0</v>
      </c>
      <c r="AN182">
        <f>IF(对接源_01水果!$AC182="","",对接源_01水果!$AC182)</f>
      </c>
      <c r="AO182">
        <f>IF(AN182="",0,IF(MATCH(AN182,$AN$4:$AN$1203,0)=ROW()-3,1,0))</f>
        <v>0</v>
      </c>
      <c r="AP182">
        <f>N(AP181)+$AO182</f>
        <v>0</v>
      </c>
      <c r="AQ182">
        <f>IFERROR(INDEX($AN$4:$AN$1203,MATCH(ROW()-3,$AP$4:$AP$1203,0)),"")</f>
      </c>
      <c r="AR182">
        <f>IF(OR($AF182=1,$AH182=1),1,0)</f>
        <v>0</v>
      </c>
      <c r="AS182">
        <f>N(AS181)+$AR182</f>
        <v>0</v>
      </c>
    </row>
    <row r="183" ht="14.25" customHeight="1" s="127">
      <c r="A183" t="str">
        <f>IF(对接源_01水果!$C183="","",对接源_01水果!$C183)</f>
        <v>马锦祥</v>
      </c>
      <c r="B183">
        <f>IF(A183="",0,IF(MATCH(A183,$A$4:$A$2403,0)=ROW()-3,1,0))</f>
        <v>0</v>
      </c>
      <c r="C183">
        <f>N(C182)+B183</f>
        <v>11</v>
      </c>
      <c r="E183">
        <f>IFERROR(INDEX($A$4:$A$2403,MATCH(ROW()-3,$C$4:$C$2403,0)),"")</f>
      </c>
      <c r="K183">
        <f>IF(OR($K$1="",对接源_01水果!$C183="",对接源_01水果!$C183&lt;&gt;$K$1,对接源_01水果!$B183=""),0,IF(OR(N(对接源_01水果!$B183)&lt;$K$2,N(对接源_01水果!$B183)&gt;$K$3),0,1))</f>
        <v>0</v>
      </c>
      <c r="L183">
        <f>IF(OR($L$1="",对接源_01水果!$C183="",对接源_01水果!$C183&lt;&gt;$L$1,对接源_01水果!$B183=""),0,IF(OR(N(对接源_01水果!$B183)&lt;$L$2,N(对接源_01水果!$B183)&gt;$L$3),0,1))</f>
        <v>0</v>
      </c>
      <c r="M183">
        <f>IF(OR($M$1="",对接源_01水果!$C183="",对接源_01水果!$C183&lt;&gt;$M$1,对接源_01水果!$B183=""),0,IF(OR(N(对接源_01水果!$B183)&lt;$M$2,N(对接源_01水果!$B183)&gt;$M$3),0,1))</f>
        <v>0</v>
      </c>
      <c r="N183">
        <f>IF(OR($N$1="",对接源_01水果!$C183="",对接源_01水果!$C183&lt;&gt;$N$1,对接源_01水果!$B183=""),0,IF(OR(N(对接源_01水果!$B183)&lt;$N$2,N(对接源_01水果!$B183)&gt;$N$3),0,1))</f>
        <v>0</v>
      </c>
      <c r="P183">
        <f>IF(AND($K183=1,AND(对接源_01水果!$X183="公司筐",N(对接源_01水果!$T183)&lt;&gt;0)),1,0)</f>
        <v>0</v>
      </c>
      <c r="Q183">
        <f>N(Q182)+$P183</f>
        <v>0</v>
      </c>
      <c r="R183">
        <f>IF(AND($K183=1,AND(对接源_01水果!$X183="公司筐",N(对接源_01水果!$U183)&lt;&gt;0)),1,0)</f>
        <v>0</v>
      </c>
      <c r="S183">
        <f>N(S182)+$R183</f>
        <v>0</v>
      </c>
      <c r="T183">
        <f>IF(AND($K183=1,AND(对接源_01水果!$X183="公司筐",N(对接源_01水果!$V183)&lt;&gt;0)),1,0)</f>
        <v>0</v>
      </c>
      <c r="U183">
        <f>N(U182)+$T183</f>
        <v>3</v>
      </c>
      <c r="V183">
        <f>IF(AND($L183=1,AND(对接源_01水果!$X183="自备筐",N(对接源_01水果!$V183)&lt;&gt;0)),1,0)</f>
        <v>0</v>
      </c>
      <c r="W183">
        <f>N(W182)+$V183</f>
        <v>4</v>
      </c>
      <c r="X183">
        <f>IF(AND($L183=1,AND(对接源_01水果!$X183="自备筐",N(对接源_01水果!$T183)&lt;&gt;0)),1,0)</f>
        <v>0</v>
      </c>
      <c r="Y183">
        <f>N(Y182)+$X183</f>
        <v>0</v>
      </c>
      <c r="Z183">
        <f>IF(AND($M183=1,对接源_01水果!$D183="原料入库"),1,0)</f>
        <v>0</v>
      </c>
      <c r="AA183">
        <f>N(AA182)+$Z183</f>
        <v>9</v>
      </c>
      <c r="AB183">
        <f>IF(AND($M183=1,LEFT(对接源_01水果!$D183,4)="原料出库"),1,0)</f>
        <v>0</v>
      </c>
      <c r="AC183">
        <f>N(AC182)+$AB183</f>
        <v>0</v>
      </c>
      <c r="AD183">
        <f>IF(AND($M183=1,LEFT(对接源_01水果!$D183,4)="成品出库"),1,0)</f>
        <v>0</v>
      </c>
      <c r="AE183">
        <f>N(AE182)+$AD183</f>
        <v>0</v>
      </c>
      <c r="AF183">
        <f>IF(AND($N183=1,AND(LEFT(对接源_01水果!$D183,4)="包装物料",N(对接源_01水果!$K183)&lt;&gt;0)),1,0)</f>
        <v>0</v>
      </c>
      <c r="AG183">
        <f>N(AG182)+$AF183</f>
        <v>0</v>
      </c>
      <c r="AH183">
        <f>IF(AND($N183=1,AND(对接源_01水果!$D183="周转筐－销售出库",N(对接源_01水果!$K183)&lt;&gt;0)),1,0)</f>
        <v>0</v>
      </c>
      <c r="AI183">
        <f>N(AI182)+$AH183</f>
        <v>0</v>
      </c>
      <c r="AJ183" s="7" t="n"/>
      <c r="AL183">
        <f>IF(OR($AL$1="",对接源_01水果!$Y183="",对接源_01水果!$Y183&lt;&gt;$AL$1,对接源_01水果!$B183="",N(对接源_01水果!$AJ183)&lt;=0),0,IF(OR(N(对接源_01水果!$B183)&lt;$AL$2,N(对接源_01水果!$B183)&gt;$AL$3),0,1))</f>
        <v>0</v>
      </c>
      <c r="AM183">
        <f>N(AM182)+$AL183</f>
        <v>0</v>
      </c>
      <c r="AN183">
        <f>IF(对接源_01水果!$AC183="","",对接源_01水果!$AC183)</f>
      </c>
      <c r="AO183">
        <f>IF(AN183="",0,IF(MATCH(AN183,$AN$4:$AN$1203,0)=ROW()-3,1,0))</f>
        <v>0</v>
      </c>
      <c r="AP183">
        <f>N(AP182)+$AO183</f>
        <v>0</v>
      </c>
      <c r="AQ183">
        <f>IFERROR(INDEX($AN$4:$AN$1203,MATCH(ROW()-3,$AP$4:$AP$1203,0)),"")</f>
      </c>
      <c r="AR183">
        <f>IF(OR($AF183=1,$AH183=1),1,0)</f>
        <v>0</v>
      </c>
      <c r="AS183">
        <f>N(AS182)+$AR183</f>
        <v>0</v>
      </c>
    </row>
    <row r="184" ht="14.25" customHeight="1" s="127">
      <c r="A184" t="str">
        <f>IF(对接源_01水果!$C184="","",对接源_01水果!$C184)</f>
        <v>马锦祥</v>
      </c>
      <c r="B184">
        <f>IF(A184="",0,IF(MATCH(A184,$A$4:$A$2403,0)=ROW()-3,1,0))</f>
        <v>0</v>
      </c>
      <c r="C184">
        <f>N(C183)+B184</f>
        <v>11</v>
      </c>
      <c r="E184">
        <f>IFERROR(INDEX($A$4:$A$2403,MATCH(ROW()-3,$C$4:$C$2403,0)),"")</f>
      </c>
      <c r="K184">
        <f>IF(OR($K$1="",对接源_01水果!$C184="",对接源_01水果!$C184&lt;&gt;$K$1,对接源_01水果!$B184=""),0,IF(OR(N(对接源_01水果!$B184)&lt;$K$2,N(对接源_01水果!$B184)&gt;$K$3),0,1))</f>
        <v>0</v>
      </c>
      <c r="L184">
        <f>IF(OR($L$1="",对接源_01水果!$C184="",对接源_01水果!$C184&lt;&gt;$L$1,对接源_01水果!$B184=""),0,IF(OR(N(对接源_01水果!$B184)&lt;$L$2,N(对接源_01水果!$B184)&gt;$L$3),0,1))</f>
        <v>0</v>
      </c>
      <c r="M184">
        <f>IF(OR($M$1="",对接源_01水果!$C184="",对接源_01水果!$C184&lt;&gt;$M$1,对接源_01水果!$B184=""),0,IF(OR(N(对接源_01水果!$B184)&lt;$M$2,N(对接源_01水果!$B184)&gt;$M$3),0,1))</f>
        <v>0</v>
      </c>
      <c r="N184">
        <f>IF(OR($N$1="",对接源_01水果!$C184="",对接源_01水果!$C184&lt;&gt;$N$1,对接源_01水果!$B184=""),0,IF(OR(N(对接源_01水果!$B184)&lt;$N$2,N(对接源_01水果!$B184)&gt;$N$3),0,1))</f>
        <v>0</v>
      </c>
      <c r="P184">
        <f>IF(AND($K184=1,AND(对接源_01水果!$X184="公司筐",N(对接源_01水果!$T184)&lt;&gt;0)),1,0)</f>
        <v>0</v>
      </c>
      <c r="Q184">
        <f>N(Q183)+$P184</f>
        <v>0</v>
      </c>
      <c r="R184">
        <f>IF(AND($K184=1,AND(对接源_01水果!$X184="公司筐",N(对接源_01水果!$U184)&lt;&gt;0)),1,0)</f>
        <v>0</v>
      </c>
      <c r="S184">
        <f>N(S183)+$R184</f>
        <v>0</v>
      </c>
      <c r="T184">
        <f>IF(AND($K184=1,AND(对接源_01水果!$X184="公司筐",N(对接源_01水果!$V184)&lt;&gt;0)),1,0)</f>
        <v>0</v>
      </c>
      <c r="U184">
        <f>N(U183)+$T184</f>
        <v>3</v>
      </c>
      <c r="V184">
        <f>IF(AND($L184=1,AND(对接源_01水果!$X184="自备筐",N(对接源_01水果!$V184)&lt;&gt;0)),1,0)</f>
        <v>0</v>
      </c>
      <c r="W184">
        <f>N(W183)+$V184</f>
        <v>4</v>
      </c>
      <c r="X184">
        <f>IF(AND($L184=1,AND(对接源_01水果!$X184="自备筐",N(对接源_01水果!$T184)&lt;&gt;0)),1,0)</f>
        <v>0</v>
      </c>
      <c r="Y184">
        <f>N(Y183)+$X184</f>
        <v>0</v>
      </c>
      <c r="Z184">
        <f>IF(AND($M184=1,对接源_01水果!$D184="原料入库"),1,0)</f>
        <v>0</v>
      </c>
      <c r="AA184">
        <f>N(AA183)+$Z184</f>
        <v>9</v>
      </c>
      <c r="AB184">
        <f>IF(AND($M184=1,LEFT(对接源_01水果!$D184,4)="原料出库"),1,0)</f>
        <v>0</v>
      </c>
      <c r="AC184">
        <f>N(AC183)+$AB184</f>
        <v>0</v>
      </c>
      <c r="AD184">
        <f>IF(AND($M184=1,LEFT(对接源_01水果!$D184,4)="成品出库"),1,0)</f>
        <v>0</v>
      </c>
      <c r="AE184">
        <f>N(AE183)+$AD184</f>
        <v>0</v>
      </c>
      <c r="AF184">
        <f>IF(AND($N184=1,AND(LEFT(对接源_01水果!$D184,4)="包装物料",N(对接源_01水果!$K184)&lt;&gt;0)),1,0)</f>
        <v>0</v>
      </c>
      <c r="AG184">
        <f>N(AG183)+$AF184</f>
        <v>0</v>
      </c>
      <c r="AH184">
        <f>IF(AND($N184=1,AND(对接源_01水果!$D184="周转筐－销售出库",N(对接源_01水果!$K184)&lt;&gt;0)),1,0)</f>
        <v>0</v>
      </c>
      <c r="AI184">
        <f>N(AI183)+$AH184</f>
        <v>0</v>
      </c>
      <c r="AJ184" s="7" t="n"/>
      <c r="AL184">
        <f>IF(OR($AL$1="",对接源_01水果!$Y184="",对接源_01水果!$Y184&lt;&gt;$AL$1,对接源_01水果!$B184="",N(对接源_01水果!$AJ184)&lt;=0),0,IF(OR(N(对接源_01水果!$B184)&lt;$AL$2,N(对接源_01水果!$B184)&gt;$AL$3),0,1))</f>
        <v>0</v>
      </c>
      <c r="AM184">
        <f>N(AM183)+$AL184</f>
        <v>0</v>
      </c>
      <c r="AN184">
        <f>IF(对接源_01水果!$AC184="","",对接源_01水果!$AC184)</f>
      </c>
      <c r="AO184">
        <f>IF(AN184="",0,IF(MATCH(AN184,$AN$4:$AN$1203,0)=ROW()-3,1,0))</f>
        <v>0</v>
      </c>
      <c r="AP184">
        <f>N(AP183)+$AO184</f>
        <v>0</v>
      </c>
      <c r="AQ184">
        <f>IFERROR(INDEX($AN$4:$AN$1203,MATCH(ROW()-3,$AP$4:$AP$1203,0)),"")</f>
      </c>
      <c r="AR184">
        <f>IF(OR($AF184=1,$AH184=1),1,0)</f>
        <v>0</v>
      </c>
      <c r="AS184">
        <f>N(AS183)+$AR184</f>
        <v>0</v>
      </c>
    </row>
    <row r="185" ht="14.25" customHeight="1" s="127">
      <c r="A185" t="str">
        <f>IF(对接源_01水果!$C185="","",对接源_01水果!$C185)</f>
        <v>努尔敦</v>
      </c>
      <c r="B185">
        <f>IF(A185="",0,IF(MATCH(A185,$A$4:$A$2403,0)=ROW()-3,1,0))</f>
        <v>1</v>
      </c>
      <c r="C185">
        <f>N(C184)+B185</f>
        <v>12</v>
      </c>
      <c r="E185">
        <f>IFERROR(INDEX($A$4:$A$2403,MATCH(ROW()-3,$C$4:$C$2403,0)),"")</f>
      </c>
      <c r="K185">
        <f>IF(OR($K$1="",对接源_01水果!$C185="",对接源_01水果!$C185&lt;&gt;$K$1,对接源_01水果!$B185=""),0,IF(OR(N(对接源_01水果!$B185)&lt;$K$2,N(对接源_01水果!$B185)&gt;$K$3),0,1))</f>
        <v>0</v>
      </c>
      <c r="L185">
        <f>IF(OR($L$1="",对接源_01水果!$C185="",对接源_01水果!$C185&lt;&gt;$L$1,对接源_01水果!$B185=""),0,IF(OR(N(对接源_01水果!$B185)&lt;$L$2,N(对接源_01水果!$B185)&gt;$L$3),0,1))</f>
        <v>0</v>
      </c>
      <c r="M185">
        <f>IF(OR($M$1="",对接源_01水果!$C185="",对接源_01水果!$C185&lt;&gt;$M$1,对接源_01水果!$B185=""),0,IF(OR(N(对接源_01水果!$B185)&lt;$M$2,N(对接源_01水果!$B185)&gt;$M$3),0,1))</f>
        <v>0</v>
      </c>
      <c r="N185">
        <f>IF(OR($N$1="",对接源_01水果!$C185="",对接源_01水果!$C185&lt;&gt;$N$1,对接源_01水果!$B185=""),0,IF(OR(N(对接源_01水果!$B185)&lt;$N$2,N(对接源_01水果!$B185)&gt;$N$3),0,1))</f>
        <v>0</v>
      </c>
      <c r="P185">
        <f>IF(AND($K185=1,AND(对接源_01水果!$X185="公司筐",N(对接源_01水果!$T185)&lt;&gt;0)),1,0)</f>
        <v>0</v>
      </c>
      <c r="Q185">
        <f>N(Q184)+$P185</f>
        <v>0</v>
      </c>
      <c r="R185">
        <f>IF(AND($K185=1,AND(对接源_01水果!$X185="公司筐",N(对接源_01水果!$U185)&lt;&gt;0)),1,0)</f>
        <v>0</v>
      </c>
      <c r="S185">
        <f>N(S184)+$R185</f>
        <v>0</v>
      </c>
      <c r="T185">
        <f>IF(AND($K185=1,AND(对接源_01水果!$X185="公司筐",N(对接源_01水果!$V185)&lt;&gt;0)),1,0)</f>
        <v>0</v>
      </c>
      <c r="U185">
        <f>N(U184)+$T185</f>
        <v>3</v>
      </c>
      <c r="V185">
        <f>IF(AND($L185=1,AND(对接源_01水果!$X185="自备筐",N(对接源_01水果!$V185)&lt;&gt;0)),1,0)</f>
        <v>0</v>
      </c>
      <c r="W185">
        <f>N(W184)+$V185</f>
        <v>4</v>
      </c>
      <c r="X185">
        <f>IF(AND($L185=1,AND(对接源_01水果!$X185="自备筐",N(对接源_01水果!$T185)&lt;&gt;0)),1,0)</f>
        <v>0</v>
      </c>
      <c r="Y185">
        <f>N(Y184)+$X185</f>
        <v>0</v>
      </c>
      <c r="Z185">
        <f>IF(AND($M185=1,对接源_01水果!$D185="原料入库"),1,0)</f>
        <v>0</v>
      </c>
      <c r="AA185">
        <f>N(AA184)+$Z185</f>
        <v>9</v>
      </c>
      <c r="AB185">
        <f>IF(AND($M185=1,LEFT(对接源_01水果!$D185,4)="原料出库"),1,0)</f>
        <v>0</v>
      </c>
      <c r="AC185">
        <f>N(AC184)+$AB185</f>
        <v>0</v>
      </c>
      <c r="AD185">
        <f>IF(AND($M185=1,LEFT(对接源_01水果!$D185,4)="成品出库"),1,0)</f>
        <v>0</v>
      </c>
      <c r="AE185">
        <f>N(AE184)+$AD185</f>
        <v>0</v>
      </c>
      <c r="AF185">
        <f>IF(AND($N185=1,AND(LEFT(对接源_01水果!$D185,4)="包装物料",N(对接源_01水果!$K185)&lt;&gt;0)),1,0)</f>
        <v>0</v>
      </c>
      <c r="AG185">
        <f>N(AG184)+$AF185</f>
        <v>0</v>
      </c>
      <c r="AH185">
        <f>IF(AND($N185=1,AND(对接源_01水果!$D185="周转筐－销售出库",N(对接源_01水果!$K185)&lt;&gt;0)),1,0)</f>
        <v>0</v>
      </c>
      <c r="AI185">
        <f>N(AI184)+$AH185</f>
        <v>0</v>
      </c>
      <c r="AJ185" s="7" t="n"/>
      <c r="AL185">
        <f>IF(OR($AL$1="",对接源_01水果!$Y185="",对接源_01水果!$Y185&lt;&gt;$AL$1,对接源_01水果!$B185="",N(对接源_01水果!$AJ185)&lt;=0),0,IF(OR(N(对接源_01水果!$B185)&lt;$AL$2,N(对接源_01水果!$B185)&gt;$AL$3),0,1))</f>
        <v>0</v>
      </c>
      <c r="AM185">
        <f>N(AM184)+$AL185</f>
        <v>0</v>
      </c>
      <c r="AN185">
        <f>IF(对接源_01水果!$AC185="","",对接源_01水果!$AC185)</f>
      </c>
      <c r="AO185">
        <f>IF(AN185="",0,IF(MATCH(AN185,$AN$4:$AN$1203,0)=ROW()-3,1,0))</f>
        <v>0</v>
      </c>
      <c r="AP185">
        <f>N(AP184)+$AO185</f>
        <v>0</v>
      </c>
      <c r="AQ185">
        <f>IFERROR(INDEX($AN$4:$AN$1203,MATCH(ROW()-3,$AP$4:$AP$1203,0)),"")</f>
      </c>
      <c r="AR185">
        <f>IF(OR($AF185=1,$AH185=1),1,0)</f>
        <v>0</v>
      </c>
      <c r="AS185">
        <f>N(AS184)+$AR185</f>
        <v>0</v>
      </c>
    </row>
    <row r="186" ht="14.25" customHeight="1" s="127">
      <c r="A186" t="str">
        <f>IF(对接源_01水果!$C186="","",对接源_01水果!$C186)</f>
        <v>努尔敦</v>
      </c>
      <c r="B186">
        <f>IF(A186="",0,IF(MATCH(A186,$A$4:$A$2403,0)=ROW()-3,1,0))</f>
        <v>0</v>
      </c>
      <c r="C186">
        <f>N(C185)+B186</f>
        <v>12</v>
      </c>
      <c r="E186">
        <f>IFERROR(INDEX($A$4:$A$2403,MATCH(ROW()-3,$C$4:$C$2403,0)),"")</f>
      </c>
      <c r="K186">
        <f>IF(OR($K$1="",对接源_01水果!$C186="",对接源_01水果!$C186&lt;&gt;$K$1,对接源_01水果!$B186=""),0,IF(OR(N(对接源_01水果!$B186)&lt;$K$2,N(对接源_01水果!$B186)&gt;$K$3),0,1))</f>
        <v>0</v>
      </c>
      <c r="L186">
        <f>IF(OR($L$1="",对接源_01水果!$C186="",对接源_01水果!$C186&lt;&gt;$L$1,对接源_01水果!$B186=""),0,IF(OR(N(对接源_01水果!$B186)&lt;$L$2,N(对接源_01水果!$B186)&gt;$L$3),0,1))</f>
        <v>0</v>
      </c>
      <c r="M186">
        <f>IF(OR($M$1="",对接源_01水果!$C186="",对接源_01水果!$C186&lt;&gt;$M$1,对接源_01水果!$B186=""),0,IF(OR(N(对接源_01水果!$B186)&lt;$M$2,N(对接源_01水果!$B186)&gt;$M$3),0,1))</f>
        <v>0</v>
      </c>
      <c r="N186">
        <f>IF(OR($N$1="",对接源_01水果!$C186="",对接源_01水果!$C186&lt;&gt;$N$1,对接源_01水果!$B186=""),0,IF(OR(N(对接源_01水果!$B186)&lt;$N$2,N(对接源_01水果!$B186)&gt;$N$3),0,1))</f>
        <v>0</v>
      </c>
      <c r="P186">
        <f>IF(AND($K186=1,AND(对接源_01水果!$X186="公司筐",N(对接源_01水果!$T186)&lt;&gt;0)),1,0)</f>
        <v>0</v>
      </c>
      <c r="Q186">
        <f>N(Q185)+$P186</f>
        <v>0</v>
      </c>
      <c r="R186">
        <f>IF(AND($K186=1,AND(对接源_01水果!$X186="公司筐",N(对接源_01水果!$U186)&lt;&gt;0)),1,0)</f>
        <v>0</v>
      </c>
      <c r="S186">
        <f>N(S185)+$R186</f>
        <v>0</v>
      </c>
      <c r="T186">
        <f>IF(AND($K186=1,AND(对接源_01水果!$X186="公司筐",N(对接源_01水果!$V186)&lt;&gt;0)),1,0)</f>
        <v>0</v>
      </c>
      <c r="U186">
        <f>N(U185)+$T186</f>
        <v>3</v>
      </c>
      <c r="V186">
        <f>IF(AND($L186=1,AND(对接源_01水果!$X186="自备筐",N(对接源_01水果!$V186)&lt;&gt;0)),1,0)</f>
        <v>0</v>
      </c>
      <c r="W186">
        <f>N(W185)+$V186</f>
        <v>4</v>
      </c>
      <c r="X186">
        <f>IF(AND($L186=1,AND(对接源_01水果!$X186="自备筐",N(对接源_01水果!$T186)&lt;&gt;0)),1,0)</f>
        <v>0</v>
      </c>
      <c r="Y186">
        <f>N(Y185)+$X186</f>
        <v>0</v>
      </c>
      <c r="Z186">
        <f>IF(AND($M186=1,对接源_01水果!$D186="原料入库"),1,0)</f>
        <v>0</v>
      </c>
      <c r="AA186">
        <f>N(AA185)+$Z186</f>
        <v>9</v>
      </c>
      <c r="AB186">
        <f>IF(AND($M186=1,LEFT(对接源_01水果!$D186,4)="原料出库"),1,0)</f>
        <v>0</v>
      </c>
      <c r="AC186">
        <f>N(AC185)+$AB186</f>
        <v>0</v>
      </c>
      <c r="AD186">
        <f>IF(AND($M186=1,LEFT(对接源_01水果!$D186,4)="成品出库"),1,0)</f>
        <v>0</v>
      </c>
      <c r="AE186">
        <f>N(AE185)+$AD186</f>
        <v>0</v>
      </c>
      <c r="AF186">
        <f>IF(AND($N186=1,AND(LEFT(对接源_01水果!$D186,4)="包装物料",N(对接源_01水果!$K186)&lt;&gt;0)),1,0)</f>
        <v>0</v>
      </c>
      <c r="AG186">
        <f>N(AG185)+$AF186</f>
        <v>0</v>
      </c>
      <c r="AH186">
        <f>IF(AND($N186=1,AND(对接源_01水果!$D186="周转筐－销售出库",N(对接源_01水果!$K186)&lt;&gt;0)),1,0)</f>
        <v>0</v>
      </c>
      <c r="AI186">
        <f>N(AI185)+$AH186</f>
        <v>0</v>
      </c>
      <c r="AJ186" s="7" t="n"/>
      <c r="AL186">
        <f>IF(OR($AL$1="",对接源_01水果!$Y186="",对接源_01水果!$Y186&lt;&gt;$AL$1,对接源_01水果!$B186="",N(对接源_01水果!$AJ186)&lt;=0),0,IF(OR(N(对接源_01水果!$B186)&lt;$AL$2,N(对接源_01水果!$B186)&gt;$AL$3),0,1))</f>
        <v>0</v>
      </c>
      <c r="AM186">
        <f>N(AM185)+$AL186</f>
        <v>0</v>
      </c>
      <c r="AN186">
        <f>IF(对接源_01水果!$AC186="","",对接源_01水果!$AC186)</f>
      </c>
      <c r="AO186">
        <f>IF(AN186="",0,IF(MATCH(AN186,$AN$4:$AN$1203,0)=ROW()-3,1,0))</f>
        <v>0</v>
      </c>
      <c r="AP186">
        <f>N(AP185)+$AO186</f>
        <v>0</v>
      </c>
      <c r="AQ186">
        <f>IFERROR(INDEX($AN$4:$AN$1203,MATCH(ROW()-3,$AP$4:$AP$1203,0)),"")</f>
      </c>
      <c r="AR186">
        <f>IF(OR($AF186=1,$AH186=1),1,0)</f>
        <v>0</v>
      </c>
      <c r="AS186">
        <f>N(AS185)+$AR186</f>
        <v>0</v>
      </c>
    </row>
    <row r="187" ht="14.25" customHeight="1" s="127">
      <c r="A187" t="str">
        <f>IF(对接源_01水果!$C187="","",对接源_01水果!$C187)</f>
        <v>努尔敦</v>
      </c>
      <c r="B187">
        <f>IF(A187="",0,IF(MATCH(A187,$A$4:$A$2403,0)=ROW()-3,1,0))</f>
        <v>0</v>
      </c>
      <c r="C187">
        <f>N(C186)+B187</f>
        <v>12</v>
      </c>
      <c r="E187">
        <f>IFERROR(INDEX($A$4:$A$2403,MATCH(ROW()-3,$C$4:$C$2403,0)),"")</f>
      </c>
      <c r="K187">
        <f>IF(OR($K$1="",对接源_01水果!$C187="",对接源_01水果!$C187&lt;&gt;$K$1,对接源_01水果!$B187=""),0,IF(OR(N(对接源_01水果!$B187)&lt;$K$2,N(对接源_01水果!$B187)&gt;$K$3),0,1))</f>
        <v>0</v>
      </c>
      <c r="L187">
        <f>IF(OR($L$1="",对接源_01水果!$C187="",对接源_01水果!$C187&lt;&gt;$L$1,对接源_01水果!$B187=""),0,IF(OR(N(对接源_01水果!$B187)&lt;$L$2,N(对接源_01水果!$B187)&gt;$L$3),0,1))</f>
        <v>0</v>
      </c>
      <c r="M187">
        <f>IF(OR($M$1="",对接源_01水果!$C187="",对接源_01水果!$C187&lt;&gt;$M$1,对接源_01水果!$B187=""),0,IF(OR(N(对接源_01水果!$B187)&lt;$M$2,N(对接源_01水果!$B187)&gt;$M$3),0,1))</f>
        <v>0</v>
      </c>
      <c r="N187">
        <f>IF(OR($N$1="",对接源_01水果!$C187="",对接源_01水果!$C187&lt;&gt;$N$1,对接源_01水果!$B187=""),0,IF(OR(N(对接源_01水果!$B187)&lt;$N$2,N(对接源_01水果!$B187)&gt;$N$3),0,1))</f>
        <v>0</v>
      </c>
      <c r="P187">
        <f>IF(AND($K187=1,AND(对接源_01水果!$X187="公司筐",N(对接源_01水果!$T187)&lt;&gt;0)),1,0)</f>
        <v>0</v>
      </c>
      <c r="Q187">
        <f>N(Q186)+$P187</f>
        <v>0</v>
      </c>
      <c r="R187">
        <f>IF(AND($K187=1,AND(对接源_01水果!$X187="公司筐",N(对接源_01水果!$U187)&lt;&gt;0)),1,0)</f>
        <v>0</v>
      </c>
      <c r="S187">
        <f>N(S186)+$R187</f>
        <v>0</v>
      </c>
      <c r="T187">
        <f>IF(AND($K187=1,AND(对接源_01水果!$X187="公司筐",N(对接源_01水果!$V187)&lt;&gt;0)),1,0)</f>
        <v>0</v>
      </c>
      <c r="U187">
        <f>N(U186)+$T187</f>
        <v>3</v>
      </c>
      <c r="V187">
        <f>IF(AND($L187=1,AND(对接源_01水果!$X187="自备筐",N(对接源_01水果!$V187)&lt;&gt;0)),1,0)</f>
        <v>0</v>
      </c>
      <c r="W187">
        <f>N(W186)+$V187</f>
        <v>4</v>
      </c>
      <c r="X187">
        <f>IF(AND($L187=1,AND(对接源_01水果!$X187="自备筐",N(对接源_01水果!$T187)&lt;&gt;0)),1,0)</f>
        <v>0</v>
      </c>
      <c r="Y187">
        <f>N(Y186)+$X187</f>
        <v>0</v>
      </c>
      <c r="Z187">
        <f>IF(AND($M187=1,对接源_01水果!$D187="原料入库"),1,0)</f>
        <v>0</v>
      </c>
      <c r="AA187">
        <f>N(AA186)+$Z187</f>
        <v>9</v>
      </c>
      <c r="AB187">
        <f>IF(AND($M187=1,LEFT(对接源_01水果!$D187,4)="原料出库"),1,0)</f>
        <v>0</v>
      </c>
      <c r="AC187">
        <f>N(AC186)+$AB187</f>
        <v>0</v>
      </c>
      <c r="AD187">
        <f>IF(AND($M187=1,LEFT(对接源_01水果!$D187,4)="成品出库"),1,0)</f>
        <v>0</v>
      </c>
      <c r="AE187">
        <f>N(AE186)+$AD187</f>
        <v>0</v>
      </c>
      <c r="AF187">
        <f>IF(AND($N187=1,AND(LEFT(对接源_01水果!$D187,4)="包装物料",N(对接源_01水果!$K187)&lt;&gt;0)),1,0)</f>
        <v>0</v>
      </c>
      <c r="AG187">
        <f>N(AG186)+$AF187</f>
        <v>0</v>
      </c>
      <c r="AH187">
        <f>IF(AND($N187=1,AND(对接源_01水果!$D187="周转筐－销售出库",N(对接源_01水果!$K187)&lt;&gt;0)),1,0)</f>
        <v>0</v>
      </c>
      <c r="AI187">
        <f>N(AI186)+$AH187</f>
        <v>0</v>
      </c>
      <c r="AJ187" s="7" t="n"/>
      <c r="AL187">
        <f>IF(OR($AL$1="",对接源_01水果!$Y187="",对接源_01水果!$Y187&lt;&gt;$AL$1,对接源_01水果!$B187="",N(对接源_01水果!$AJ187)&lt;=0),0,IF(OR(N(对接源_01水果!$B187)&lt;$AL$2,N(对接源_01水果!$B187)&gt;$AL$3),0,1))</f>
        <v>0</v>
      </c>
      <c r="AM187">
        <f>N(AM186)+$AL187</f>
        <v>0</v>
      </c>
      <c r="AN187">
        <f>IF(对接源_01水果!$AC187="","",对接源_01水果!$AC187)</f>
      </c>
      <c r="AO187">
        <f>IF(AN187="",0,IF(MATCH(AN187,$AN$4:$AN$1203,0)=ROW()-3,1,0))</f>
        <v>0</v>
      </c>
      <c r="AP187">
        <f>N(AP186)+$AO187</f>
        <v>0</v>
      </c>
      <c r="AQ187">
        <f>IFERROR(INDEX($AN$4:$AN$1203,MATCH(ROW()-3,$AP$4:$AP$1203,0)),"")</f>
      </c>
      <c r="AR187">
        <f>IF(OR($AF187=1,$AH187=1),1,0)</f>
        <v>0</v>
      </c>
      <c r="AS187">
        <f>N(AS186)+$AR187</f>
        <v>0</v>
      </c>
    </row>
    <row r="188" ht="14.25" customHeight="1" s="127">
      <c r="A188" t="str">
        <f>IF(对接源_01水果!$C188="","",对接源_01水果!$C188)</f>
        <v>麦麦提</v>
      </c>
      <c r="B188">
        <f>IF(A188="",0,IF(MATCH(A188,$A$4:$A$2403,0)=ROW()-3,1,0))</f>
        <v>0</v>
      </c>
      <c r="C188">
        <f>N(C187)+B188</f>
        <v>12</v>
      </c>
      <c r="E188">
        <f>IFERROR(INDEX($A$4:$A$2403,MATCH(ROW()-3,$C$4:$C$2403,0)),"")</f>
      </c>
      <c r="K188">
        <f>IF(OR($K$1="",对接源_01水果!$C188="",对接源_01水果!$C188&lt;&gt;$K$1,对接源_01水果!$B188=""),0,IF(OR(N(对接源_01水果!$B188)&lt;$K$2,N(对接源_01水果!$B188)&gt;$K$3),0,1))</f>
        <v>0</v>
      </c>
      <c r="L188">
        <f>IF(OR($L$1="",对接源_01水果!$C188="",对接源_01水果!$C188&lt;&gt;$L$1,对接源_01水果!$B188=""),0,IF(OR(N(对接源_01水果!$B188)&lt;$L$2,N(对接源_01水果!$B188)&gt;$L$3),0,1))</f>
        <v>0</v>
      </c>
      <c r="M188">
        <f>IF(OR($M$1="",对接源_01水果!$C188="",对接源_01水果!$C188&lt;&gt;$M$1,对接源_01水果!$B188=""),0,IF(OR(N(对接源_01水果!$B188)&lt;$M$2,N(对接源_01水果!$B188)&gt;$M$3),0,1))</f>
        <v>0</v>
      </c>
      <c r="N188">
        <f>IF(OR($N$1="",对接源_01水果!$C188="",对接源_01水果!$C188&lt;&gt;$N$1,对接源_01水果!$B188=""),0,IF(OR(N(对接源_01水果!$B188)&lt;$N$2,N(对接源_01水果!$B188)&gt;$N$3),0,1))</f>
        <v>1</v>
      </c>
      <c r="P188">
        <f>IF(AND($K188=1,AND(对接源_01水果!$X188="公司筐",N(对接源_01水果!$T188)&lt;&gt;0)),1,0)</f>
        <v>0</v>
      </c>
      <c r="Q188">
        <f>N(Q187)+$P188</f>
        <v>0</v>
      </c>
      <c r="R188">
        <f>IF(AND($K188=1,AND(对接源_01水果!$X188="公司筐",N(对接源_01水果!$U188)&lt;&gt;0)),1,0)</f>
        <v>0</v>
      </c>
      <c r="S188">
        <f>N(S187)+$R188</f>
        <v>0</v>
      </c>
      <c r="T188">
        <f>IF(AND($K188=1,AND(对接源_01水果!$X188="公司筐",N(对接源_01水果!$V188)&lt;&gt;0)),1,0)</f>
        <v>0</v>
      </c>
      <c r="U188">
        <f>N(U187)+$T188</f>
        <v>3</v>
      </c>
      <c r="V188">
        <f>IF(AND($L188=1,AND(对接源_01水果!$X188="自备筐",N(对接源_01水果!$V188)&lt;&gt;0)),1,0)</f>
        <v>0</v>
      </c>
      <c r="W188">
        <f>N(W187)+$V188</f>
        <v>4</v>
      </c>
      <c r="X188">
        <f>IF(AND($L188=1,AND(对接源_01水果!$X188="自备筐",N(对接源_01水果!$T188)&lt;&gt;0)),1,0)</f>
        <v>0</v>
      </c>
      <c r="Y188">
        <f>N(Y187)+$X188</f>
        <v>0</v>
      </c>
      <c r="Z188">
        <f>IF(AND($M188=1,对接源_01水果!$D188="原料入库"),1,0)</f>
        <v>0</v>
      </c>
      <c r="AA188">
        <f>N(AA187)+$Z188</f>
        <v>9</v>
      </c>
      <c r="AB188">
        <f>IF(AND($M188=1,LEFT(对接源_01水果!$D188,4)="原料出库"),1,0)</f>
        <v>0</v>
      </c>
      <c r="AC188">
        <f>N(AC187)+$AB188</f>
        <v>0</v>
      </c>
      <c r="AD188">
        <f>IF(AND($M188=1,LEFT(对接源_01水果!$D188,4)="成品出库"),1,0)</f>
        <v>0</v>
      </c>
      <c r="AE188">
        <f>N(AE187)+$AD188</f>
        <v>0</v>
      </c>
      <c r="AF188">
        <f>IF(AND($N188=1,AND(LEFT(对接源_01水果!$D188,4)="包装物料",N(对接源_01水果!$K188)&lt;&gt;0)),1,0)</f>
        <v>0</v>
      </c>
      <c r="AG188">
        <f>N(AG187)+$AF188</f>
        <v>0</v>
      </c>
      <c r="AH188">
        <f>IF(AND($N188=1,AND(对接源_01水果!$D188="周转筐－销售出库",N(对接源_01水果!$K188)&lt;&gt;0)),1,0)</f>
        <v>0</v>
      </c>
      <c r="AI188">
        <f>N(AI187)+$AH188</f>
        <v>0</v>
      </c>
      <c r="AJ188" s="7" t="n"/>
      <c r="AL188">
        <f>IF(OR($AL$1="",对接源_01水果!$Y188="",对接源_01水果!$Y188&lt;&gt;$AL$1,对接源_01水果!$B188="",N(对接源_01水果!$AJ188)&lt;=0),0,IF(OR(N(对接源_01水果!$B188)&lt;$AL$2,N(对接源_01水果!$B188)&gt;$AL$3),0,1))</f>
        <v>0</v>
      </c>
      <c r="AM188">
        <f>N(AM187)+$AL188</f>
        <v>0</v>
      </c>
      <c r="AN188">
        <f>IF(对接源_01水果!$AC188="","",对接源_01水果!$AC188)</f>
      </c>
      <c r="AO188">
        <f>IF(AN188="",0,IF(MATCH(AN188,$AN$4:$AN$1203,0)=ROW()-3,1,0))</f>
        <v>0</v>
      </c>
      <c r="AP188">
        <f>N(AP187)+$AO188</f>
        <v>0</v>
      </c>
      <c r="AQ188">
        <f>IFERROR(INDEX($AN$4:$AN$1203,MATCH(ROW()-3,$AP$4:$AP$1203,0)),"")</f>
      </c>
      <c r="AR188">
        <f>IF(OR($AF188=1,$AH188=1),1,0)</f>
        <v>0</v>
      </c>
      <c r="AS188">
        <f>N(AS187)+$AR188</f>
        <v>0</v>
      </c>
    </row>
    <row r="189" ht="14.25" customHeight="1" s="127">
      <c r="A189" t="str">
        <f>IF(对接源_01水果!$C189="","",对接源_01水果!$C189)</f>
        <v>麦麦提</v>
      </c>
      <c r="B189">
        <f>IF(A189="",0,IF(MATCH(A189,$A$4:$A$2403,0)=ROW()-3,1,0))</f>
        <v>0</v>
      </c>
      <c r="C189">
        <f>N(C188)+B189</f>
        <v>12</v>
      </c>
      <c r="E189">
        <f>IFERROR(INDEX($A$4:$A$2403,MATCH(ROW()-3,$C$4:$C$2403,0)),"")</f>
      </c>
      <c r="K189">
        <f>IF(OR($K$1="",对接源_01水果!$C189="",对接源_01水果!$C189&lt;&gt;$K$1,对接源_01水果!$B189=""),0,IF(OR(N(对接源_01水果!$B189)&lt;$K$2,N(对接源_01水果!$B189)&gt;$K$3),0,1))</f>
        <v>0</v>
      </c>
      <c r="L189">
        <f>IF(OR($L$1="",对接源_01水果!$C189="",对接源_01水果!$C189&lt;&gt;$L$1,对接源_01水果!$B189=""),0,IF(OR(N(对接源_01水果!$B189)&lt;$L$2,N(对接源_01水果!$B189)&gt;$L$3),0,1))</f>
        <v>0</v>
      </c>
      <c r="M189">
        <f>IF(OR($M$1="",对接源_01水果!$C189="",对接源_01水果!$C189&lt;&gt;$M$1,对接源_01水果!$B189=""),0,IF(OR(N(对接源_01水果!$B189)&lt;$M$2,N(对接源_01水果!$B189)&gt;$M$3),0,1))</f>
        <v>0</v>
      </c>
      <c r="N189">
        <f>IF(OR($N$1="",对接源_01水果!$C189="",对接源_01水果!$C189&lt;&gt;$N$1,对接源_01水果!$B189=""),0,IF(OR(N(对接源_01水果!$B189)&lt;$N$2,N(对接源_01水果!$B189)&gt;$N$3),0,1))</f>
        <v>1</v>
      </c>
      <c r="P189">
        <f>IF(AND($K189=1,AND(对接源_01水果!$X189="公司筐",N(对接源_01水果!$T189)&lt;&gt;0)),1,0)</f>
        <v>0</v>
      </c>
      <c r="Q189">
        <f>N(Q188)+$P189</f>
        <v>0</v>
      </c>
      <c r="R189">
        <f>IF(AND($K189=1,AND(对接源_01水果!$X189="公司筐",N(对接源_01水果!$U189)&lt;&gt;0)),1,0)</f>
        <v>0</v>
      </c>
      <c r="S189">
        <f>N(S188)+$R189</f>
        <v>0</v>
      </c>
      <c r="T189">
        <f>IF(AND($K189=1,AND(对接源_01水果!$X189="公司筐",N(对接源_01水果!$V189)&lt;&gt;0)),1,0)</f>
        <v>0</v>
      </c>
      <c r="U189">
        <f>N(U188)+$T189</f>
        <v>3</v>
      </c>
      <c r="V189">
        <f>IF(AND($L189=1,AND(对接源_01水果!$X189="自备筐",N(对接源_01水果!$V189)&lt;&gt;0)),1,0)</f>
        <v>0</v>
      </c>
      <c r="W189">
        <f>N(W188)+$V189</f>
        <v>4</v>
      </c>
      <c r="X189">
        <f>IF(AND($L189=1,AND(对接源_01水果!$X189="自备筐",N(对接源_01水果!$T189)&lt;&gt;0)),1,0)</f>
        <v>0</v>
      </c>
      <c r="Y189">
        <f>N(Y188)+$X189</f>
        <v>0</v>
      </c>
      <c r="Z189">
        <f>IF(AND($M189=1,对接源_01水果!$D189="原料入库"),1,0)</f>
        <v>0</v>
      </c>
      <c r="AA189">
        <f>N(AA188)+$Z189</f>
        <v>9</v>
      </c>
      <c r="AB189">
        <f>IF(AND($M189=1,LEFT(对接源_01水果!$D189,4)="原料出库"),1,0)</f>
        <v>0</v>
      </c>
      <c r="AC189">
        <f>N(AC188)+$AB189</f>
        <v>0</v>
      </c>
      <c r="AD189">
        <f>IF(AND($M189=1,LEFT(对接源_01水果!$D189,4)="成品出库"),1,0)</f>
        <v>0</v>
      </c>
      <c r="AE189">
        <f>N(AE188)+$AD189</f>
        <v>0</v>
      </c>
      <c r="AF189">
        <f>IF(AND($N189=1,AND(LEFT(对接源_01水果!$D189,4)="包装物料",N(对接源_01水果!$K189)&lt;&gt;0)),1,0)</f>
        <v>0</v>
      </c>
      <c r="AG189">
        <f>N(AG188)+$AF189</f>
        <v>0</v>
      </c>
      <c r="AH189">
        <f>IF(AND($N189=1,AND(对接源_01水果!$D189="周转筐－销售出库",N(对接源_01水果!$K189)&lt;&gt;0)),1,0)</f>
        <v>0</v>
      </c>
      <c r="AI189">
        <f>N(AI188)+$AH189</f>
        <v>0</v>
      </c>
      <c r="AJ189" s="7" t="n"/>
      <c r="AL189">
        <f>IF(OR($AL$1="",对接源_01水果!$Y189="",对接源_01水果!$Y189&lt;&gt;$AL$1,对接源_01水果!$B189="",N(对接源_01水果!$AJ189)&lt;=0),0,IF(OR(N(对接源_01水果!$B189)&lt;$AL$2,N(对接源_01水果!$B189)&gt;$AL$3),0,1))</f>
        <v>0</v>
      </c>
      <c r="AM189">
        <f>N(AM188)+$AL189</f>
        <v>0</v>
      </c>
      <c r="AN189">
        <f>IF(对接源_01水果!$AC189="","",对接源_01水果!$AC189)</f>
      </c>
      <c r="AO189">
        <f>IF(AN189="",0,IF(MATCH(AN189,$AN$4:$AN$1203,0)=ROW()-3,1,0))</f>
        <v>0</v>
      </c>
      <c r="AP189">
        <f>N(AP188)+$AO189</f>
        <v>0</v>
      </c>
      <c r="AQ189">
        <f>IFERROR(INDEX($AN$4:$AN$1203,MATCH(ROW()-3,$AP$4:$AP$1203,0)),"")</f>
      </c>
      <c r="AR189">
        <f>IF(OR($AF189=1,$AH189=1),1,0)</f>
        <v>0</v>
      </c>
      <c r="AS189">
        <f>N(AS188)+$AR189</f>
        <v>0</v>
      </c>
    </row>
    <row r="190" ht="14.25" customHeight="1" s="127">
      <c r="A190" t="str">
        <f>IF(对接源_01水果!$C190="","",对接源_01水果!$C190)</f>
        <v>麦麦提</v>
      </c>
      <c r="B190">
        <f>IF(A190="",0,IF(MATCH(A190,$A$4:$A$2403,0)=ROW()-3,1,0))</f>
        <v>0</v>
      </c>
      <c r="C190">
        <f>N(C189)+B190</f>
        <v>12</v>
      </c>
      <c r="E190">
        <f>IFERROR(INDEX($A$4:$A$2403,MATCH(ROW()-3,$C$4:$C$2403,0)),"")</f>
      </c>
      <c r="K190">
        <f>IF(OR($K$1="",对接源_01水果!$C190="",对接源_01水果!$C190&lt;&gt;$K$1,对接源_01水果!$B190=""),0,IF(OR(N(对接源_01水果!$B190)&lt;$K$2,N(对接源_01水果!$B190)&gt;$K$3),0,1))</f>
        <v>0</v>
      </c>
      <c r="L190">
        <f>IF(OR($L$1="",对接源_01水果!$C190="",对接源_01水果!$C190&lt;&gt;$L$1,对接源_01水果!$B190=""),0,IF(OR(N(对接源_01水果!$B190)&lt;$L$2,N(对接源_01水果!$B190)&gt;$L$3),0,1))</f>
        <v>0</v>
      </c>
      <c r="M190">
        <f>IF(OR($M$1="",对接源_01水果!$C190="",对接源_01水果!$C190&lt;&gt;$M$1,对接源_01水果!$B190=""),0,IF(OR(N(对接源_01水果!$B190)&lt;$M$2,N(对接源_01水果!$B190)&gt;$M$3),0,1))</f>
        <v>0</v>
      </c>
      <c r="N190">
        <f>IF(OR($N$1="",对接源_01水果!$C190="",对接源_01水果!$C190&lt;&gt;$N$1,对接源_01水果!$B190=""),0,IF(OR(N(对接源_01水果!$B190)&lt;$N$2,N(对接源_01水果!$B190)&gt;$N$3),0,1))</f>
        <v>1</v>
      </c>
      <c r="P190">
        <f>IF(AND($K190=1,AND(对接源_01水果!$X190="公司筐",N(对接源_01水果!$T190)&lt;&gt;0)),1,0)</f>
        <v>0</v>
      </c>
      <c r="Q190">
        <f>N(Q189)+$P190</f>
        <v>0</v>
      </c>
      <c r="R190">
        <f>IF(AND($K190=1,AND(对接源_01水果!$X190="公司筐",N(对接源_01水果!$U190)&lt;&gt;0)),1,0)</f>
        <v>0</v>
      </c>
      <c r="S190">
        <f>N(S189)+$R190</f>
        <v>0</v>
      </c>
      <c r="T190">
        <f>IF(AND($K190=1,AND(对接源_01水果!$X190="公司筐",N(对接源_01水果!$V190)&lt;&gt;0)),1,0)</f>
        <v>0</v>
      </c>
      <c r="U190">
        <f>N(U189)+$T190</f>
        <v>3</v>
      </c>
      <c r="V190">
        <f>IF(AND($L190=1,AND(对接源_01水果!$X190="自备筐",N(对接源_01水果!$V190)&lt;&gt;0)),1,0)</f>
        <v>0</v>
      </c>
      <c r="W190">
        <f>N(W189)+$V190</f>
        <v>4</v>
      </c>
      <c r="X190">
        <f>IF(AND($L190=1,AND(对接源_01水果!$X190="自备筐",N(对接源_01水果!$T190)&lt;&gt;0)),1,0)</f>
        <v>0</v>
      </c>
      <c r="Y190">
        <f>N(Y189)+$X190</f>
        <v>0</v>
      </c>
      <c r="Z190">
        <f>IF(AND($M190=1,对接源_01水果!$D190="原料入库"),1,0)</f>
        <v>0</v>
      </c>
      <c r="AA190">
        <f>N(AA189)+$Z190</f>
        <v>9</v>
      </c>
      <c r="AB190">
        <f>IF(AND($M190=1,LEFT(对接源_01水果!$D190,4)="原料出库"),1,0)</f>
        <v>0</v>
      </c>
      <c r="AC190">
        <f>N(AC189)+$AB190</f>
        <v>0</v>
      </c>
      <c r="AD190">
        <f>IF(AND($M190=1,LEFT(对接源_01水果!$D190,4)="成品出库"),1,0)</f>
        <v>0</v>
      </c>
      <c r="AE190">
        <f>N(AE189)+$AD190</f>
        <v>0</v>
      </c>
      <c r="AF190">
        <f>IF(AND($N190=1,AND(LEFT(对接源_01水果!$D190,4)="包装物料",N(对接源_01水果!$K190)&lt;&gt;0)),1,0)</f>
        <v>0</v>
      </c>
      <c r="AG190">
        <f>N(AG189)+$AF190</f>
        <v>0</v>
      </c>
      <c r="AH190">
        <f>IF(AND($N190=1,AND(对接源_01水果!$D190="周转筐－销售出库",N(对接源_01水果!$K190)&lt;&gt;0)),1,0)</f>
        <v>0</v>
      </c>
      <c r="AI190">
        <f>N(AI189)+$AH190</f>
        <v>0</v>
      </c>
      <c r="AJ190" s="7" t="n"/>
      <c r="AL190">
        <f>IF(OR($AL$1="",对接源_01水果!$Y190="",对接源_01水果!$Y190&lt;&gt;$AL$1,对接源_01水果!$B190="",N(对接源_01水果!$AJ190)&lt;=0),0,IF(OR(N(对接源_01水果!$B190)&lt;$AL$2,N(对接源_01水果!$B190)&gt;$AL$3),0,1))</f>
        <v>0</v>
      </c>
      <c r="AM190">
        <f>N(AM189)+$AL190</f>
        <v>0</v>
      </c>
      <c r="AN190">
        <f>IF(对接源_01水果!$AC190="","",对接源_01水果!$AC190)</f>
      </c>
      <c r="AO190">
        <f>IF(AN190="",0,IF(MATCH(AN190,$AN$4:$AN$1203,0)=ROW()-3,1,0))</f>
        <v>0</v>
      </c>
      <c r="AP190">
        <f>N(AP189)+$AO190</f>
        <v>0</v>
      </c>
      <c r="AQ190">
        <f>IFERROR(INDEX($AN$4:$AN$1203,MATCH(ROW()-3,$AP$4:$AP$1203,0)),"")</f>
      </c>
      <c r="AR190">
        <f>IF(OR($AF190=1,$AH190=1),1,0)</f>
        <v>0</v>
      </c>
      <c r="AS190">
        <f>N(AS189)+$AR190</f>
        <v>0</v>
      </c>
    </row>
    <row r="191" ht="14.25" customHeight="1" s="127">
      <c r="A191" t="str">
        <f>IF(对接源_01水果!$C191="","",对接源_01水果!$C191)</f>
        <v>王浩</v>
      </c>
      <c r="B191">
        <f>IF(A191="",0,IF(MATCH(A191,$A$4:$A$2403,0)=ROW()-3,1,0))</f>
        <v>1</v>
      </c>
      <c r="C191">
        <f>N(C190)+B191</f>
        <v>13</v>
      </c>
      <c r="E191">
        <f>IFERROR(INDEX($A$4:$A$2403,MATCH(ROW()-3,$C$4:$C$2403,0)),"")</f>
      </c>
      <c r="K191">
        <f>IF(OR($K$1="",对接源_01水果!$C191="",对接源_01水果!$C191&lt;&gt;$K$1,对接源_01水果!$B191=""),0,IF(OR(N(对接源_01水果!$B191)&lt;$K$2,N(对接源_01水果!$B191)&gt;$K$3),0,1))</f>
        <v>0</v>
      </c>
      <c r="L191">
        <f>IF(OR($L$1="",对接源_01水果!$C191="",对接源_01水果!$C191&lt;&gt;$L$1,对接源_01水果!$B191=""),0,IF(OR(N(对接源_01水果!$B191)&lt;$L$2,N(对接源_01水果!$B191)&gt;$L$3),0,1))</f>
        <v>0</v>
      </c>
      <c r="M191">
        <f>IF(OR($M$1="",对接源_01水果!$C191="",对接源_01水果!$C191&lt;&gt;$M$1,对接源_01水果!$B191=""),0,IF(OR(N(对接源_01水果!$B191)&lt;$M$2,N(对接源_01水果!$B191)&gt;$M$3),0,1))</f>
        <v>0</v>
      </c>
      <c r="N191">
        <f>IF(OR($N$1="",对接源_01水果!$C191="",对接源_01水果!$C191&lt;&gt;$N$1,对接源_01水果!$B191=""),0,IF(OR(N(对接源_01水果!$B191)&lt;$N$2,N(对接源_01水果!$B191)&gt;$N$3),0,1))</f>
        <v>0</v>
      </c>
      <c r="P191">
        <f>IF(AND($K191=1,AND(对接源_01水果!$X191="公司筐",N(对接源_01水果!$T191)&lt;&gt;0)),1,0)</f>
        <v>0</v>
      </c>
      <c r="Q191">
        <f>N(Q190)+$P191</f>
        <v>0</v>
      </c>
      <c r="R191">
        <f>IF(AND($K191=1,AND(对接源_01水果!$X191="公司筐",N(对接源_01水果!$U191)&lt;&gt;0)),1,0)</f>
        <v>0</v>
      </c>
      <c r="S191">
        <f>N(S190)+$R191</f>
        <v>0</v>
      </c>
      <c r="T191">
        <f>IF(AND($K191=1,AND(对接源_01水果!$X191="公司筐",N(对接源_01水果!$V191)&lt;&gt;0)),1,0)</f>
        <v>0</v>
      </c>
      <c r="U191">
        <f>N(U190)+$T191</f>
        <v>3</v>
      </c>
      <c r="V191">
        <f>IF(AND($L191=1,AND(对接源_01水果!$X191="自备筐",N(对接源_01水果!$V191)&lt;&gt;0)),1,0)</f>
        <v>0</v>
      </c>
      <c r="W191">
        <f>N(W190)+$V191</f>
        <v>4</v>
      </c>
      <c r="X191">
        <f>IF(AND($L191=1,AND(对接源_01水果!$X191="自备筐",N(对接源_01水果!$T191)&lt;&gt;0)),1,0)</f>
        <v>0</v>
      </c>
      <c r="Y191">
        <f>N(Y190)+$X191</f>
        <v>0</v>
      </c>
      <c r="Z191">
        <f>IF(AND($M191=1,对接源_01水果!$D191="原料入库"),1,0)</f>
        <v>0</v>
      </c>
      <c r="AA191">
        <f>N(AA190)+$Z191</f>
        <v>9</v>
      </c>
      <c r="AB191">
        <f>IF(AND($M191=1,LEFT(对接源_01水果!$D191,4)="原料出库"),1,0)</f>
        <v>0</v>
      </c>
      <c r="AC191">
        <f>N(AC190)+$AB191</f>
        <v>0</v>
      </c>
      <c r="AD191">
        <f>IF(AND($M191=1,LEFT(对接源_01水果!$D191,4)="成品出库"),1,0)</f>
        <v>0</v>
      </c>
      <c r="AE191">
        <f>N(AE190)+$AD191</f>
        <v>0</v>
      </c>
      <c r="AF191">
        <f>IF(AND($N191=1,AND(LEFT(对接源_01水果!$D191,4)="包装物料",N(对接源_01水果!$K191)&lt;&gt;0)),1,0)</f>
        <v>0</v>
      </c>
      <c r="AG191">
        <f>N(AG190)+$AF191</f>
        <v>0</v>
      </c>
      <c r="AH191">
        <f>IF(AND($N191=1,AND(对接源_01水果!$D191="周转筐－销售出库",N(对接源_01水果!$K191)&lt;&gt;0)),1,0)</f>
        <v>0</v>
      </c>
      <c r="AI191">
        <f>N(AI190)+$AH191</f>
        <v>0</v>
      </c>
      <c r="AJ191" s="7" t="n"/>
      <c r="AL191">
        <f>IF(OR($AL$1="",对接源_01水果!$Y191="",对接源_01水果!$Y191&lt;&gt;$AL$1,对接源_01水果!$B191="",N(对接源_01水果!$AJ191)&lt;=0),0,IF(OR(N(对接源_01水果!$B191)&lt;$AL$2,N(对接源_01水果!$B191)&gt;$AL$3),0,1))</f>
        <v>0</v>
      </c>
      <c r="AM191">
        <f>N(AM190)+$AL191</f>
        <v>0</v>
      </c>
      <c r="AN191">
        <f>IF(对接源_01水果!$AC191="","",对接源_01水果!$AC191)</f>
      </c>
      <c r="AO191">
        <f>IF(AN191="",0,IF(MATCH(AN191,$AN$4:$AN$1203,0)=ROW()-3,1,0))</f>
        <v>0</v>
      </c>
      <c r="AP191">
        <f>N(AP190)+$AO191</f>
        <v>0</v>
      </c>
      <c r="AQ191">
        <f>IFERROR(INDEX($AN$4:$AN$1203,MATCH(ROW()-3,$AP$4:$AP$1203,0)),"")</f>
      </c>
      <c r="AR191">
        <f>IF(OR($AF191=1,$AH191=1),1,0)</f>
        <v>0</v>
      </c>
      <c r="AS191">
        <f>N(AS190)+$AR191</f>
        <v>0</v>
      </c>
    </row>
    <row r="192" ht="14.25" customHeight="1" s="127">
      <c r="A192" t="str">
        <f>IF(对接源_01水果!$C192="","",对接源_01水果!$C192)</f>
        <v>吐尔洪</v>
      </c>
      <c r="B192">
        <f>IF(A192="",0,IF(MATCH(A192,$A$4:$A$2403,0)=ROW()-3,1,0))</f>
        <v>0</v>
      </c>
      <c r="C192">
        <f>N(C191)+B192</f>
        <v>13</v>
      </c>
      <c r="E192">
        <f>IFERROR(INDEX($A$4:$A$2403,MATCH(ROW()-3,$C$4:$C$2403,0)),"")</f>
      </c>
      <c r="K192">
        <f>IF(OR($K$1="",对接源_01水果!$C192="",对接源_01水果!$C192&lt;&gt;$K$1,对接源_01水果!$B192=""),0,IF(OR(N(对接源_01水果!$B192)&lt;$K$2,N(对接源_01水果!$B192)&gt;$K$3),0,1))</f>
        <v>0</v>
      </c>
      <c r="L192">
        <f>IF(OR($L$1="",对接源_01水果!$C192="",对接源_01水果!$C192&lt;&gt;$L$1,对接源_01水果!$B192=""),0,IF(OR(N(对接源_01水果!$B192)&lt;$L$2,N(对接源_01水果!$B192)&gt;$L$3),0,1))</f>
        <v>0</v>
      </c>
      <c r="M192">
        <f>IF(OR($M$1="",对接源_01水果!$C192="",对接源_01水果!$C192&lt;&gt;$M$1,对接源_01水果!$B192=""),0,IF(OR(N(对接源_01水果!$B192)&lt;$M$2,N(对接源_01水果!$B192)&gt;$M$3),0,1))</f>
        <v>1</v>
      </c>
      <c r="N192">
        <f>IF(OR($N$1="",对接源_01水果!$C192="",对接源_01水果!$C192&lt;&gt;$N$1,对接源_01水果!$B192=""),0,IF(OR(N(对接源_01水果!$B192)&lt;$N$2,N(对接源_01水果!$B192)&gt;$N$3),0,1))</f>
        <v>0</v>
      </c>
      <c r="P192">
        <f>IF(AND($K192=1,AND(对接源_01水果!$X192="公司筐",N(对接源_01水果!$T192)&lt;&gt;0)),1,0)</f>
        <v>0</v>
      </c>
      <c r="Q192">
        <f>N(Q191)+$P192</f>
        <v>0</v>
      </c>
      <c r="R192">
        <f>IF(AND($K192=1,AND(对接源_01水果!$X192="公司筐",N(对接源_01水果!$U192)&lt;&gt;0)),1,0)</f>
        <v>0</v>
      </c>
      <c r="S192">
        <f>N(S191)+$R192</f>
        <v>0</v>
      </c>
      <c r="T192">
        <f>IF(AND($K192=1,AND(对接源_01水果!$X192="公司筐",N(对接源_01水果!$V192)&lt;&gt;0)),1,0)</f>
        <v>0</v>
      </c>
      <c r="U192">
        <f>N(U191)+$T192</f>
        <v>3</v>
      </c>
      <c r="V192">
        <f>IF(AND($L192=1,AND(对接源_01水果!$X192="自备筐",N(对接源_01水果!$V192)&lt;&gt;0)),1,0)</f>
        <v>0</v>
      </c>
      <c r="W192">
        <f>N(W191)+$V192</f>
        <v>4</v>
      </c>
      <c r="X192">
        <f>IF(AND($L192=1,AND(对接源_01水果!$X192="自备筐",N(对接源_01水果!$T192)&lt;&gt;0)),1,0)</f>
        <v>0</v>
      </c>
      <c r="Y192">
        <f>N(Y191)+$X192</f>
        <v>0</v>
      </c>
      <c r="Z192">
        <f>IF(AND($M192=1,对接源_01水果!$D192="原料入库"),1,0)</f>
        <v>1</v>
      </c>
      <c r="AA192">
        <f>N(AA191)+$Z192</f>
        <v>10</v>
      </c>
      <c r="AB192">
        <f>IF(AND($M192=1,LEFT(对接源_01水果!$D192,4)="原料出库"),1,0)</f>
        <v>0</v>
      </c>
      <c r="AC192">
        <f>N(AC191)+$AB192</f>
        <v>0</v>
      </c>
      <c r="AD192">
        <f>IF(AND($M192=1,LEFT(对接源_01水果!$D192,4)="成品出库"),1,0)</f>
        <v>0</v>
      </c>
      <c r="AE192">
        <f>N(AE191)+$AD192</f>
        <v>0</v>
      </c>
      <c r="AF192">
        <f>IF(AND($N192=1,AND(LEFT(对接源_01水果!$D192,4)="包装物料",N(对接源_01水果!$K192)&lt;&gt;0)),1,0)</f>
        <v>0</v>
      </c>
      <c r="AG192">
        <f>N(AG191)+$AF192</f>
        <v>0</v>
      </c>
      <c r="AH192">
        <f>IF(AND($N192=1,AND(对接源_01水果!$D192="周转筐－销售出库",N(对接源_01水果!$K192)&lt;&gt;0)),1,0)</f>
        <v>0</v>
      </c>
      <c r="AI192">
        <f>N(AI191)+$AH192</f>
        <v>0</v>
      </c>
      <c r="AJ192" s="7" t="n"/>
      <c r="AL192">
        <f>IF(OR($AL$1="",对接源_01水果!$Y192="",对接源_01水果!$Y192&lt;&gt;$AL$1,对接源_01水果!$B192="",N(对接源_01水果!$AJ192)&lt;=0),0,IF(OR(N(对接源_01水果!$B192)&lt;$AL$2,N(对接源_01水果!$B192)&gt;$AL$3),0,1))</f>
        <v>0</v>
      </c>
      <c r="AM192">
        <f>N(AM191)+$AL192</f>
        <v>0</v>
      </c>
      <c r="AN192">
        <f>IF(对接源_01水果!$AC192="","",对接源_01水果!$AC192)</f>
      </c>
      <c r="AO192">
        <f>IF(AN192="",0,IF(MATCH(AN192,$AN$4:$AN$1203,0)=ROW()-3,1,0))</f>
        <v>0</v>
      </c>
      <c r="AP192">
        <f>N(AP191)+$AO192</f>
        <v>0</v>
      </c>
      <c r="AQ192">
        <f>IFERROR(INDEX($AN$4:$AN$1203,MATCH(ROW()-3,$AP$4:$AP$1203,0)),"")</f>
      </c>
      <c r="AR192">
        <f>IF(OR($AF192=1,$AH192=1),1,0)</f>
        <v>0</v>
      </c>
      <c r="AS192">
        <f>N(AS191)+$AR192</f>
        <v>0</v>
      </c>
    </row>
    <row r="193" ht="14.25" customHeight="1" s="127">
      <c r="A193" t="str">
        <f>IF(对接源_01水果!$C193="","",对接源_01水果!$C193)</f>
        <v>吐尔洪</v>
      </c>
      <c r="B193">
        <f>IF(A193="",0,IF(MATCH(A193,$A$4:$A$2403,0)=ROW()-3,1,0))</f>
        <v>0</v>
      </c>
      <c r="C193">
        <f>N(C192)+B193</f>
        <v>13</v>
      </c>
      <c r="E193">
        <f>IFERROR(INDEX($A$4:$A$2403,MATCH(ROW()-3,$C$4:$C$2403,0)),"")</f>
      </c>
      <c r="K193">
        <f>IF(OR($K$1="",对接源_01水果!$C193="",对接源_01水果!$C193&lt;&gt;$K$1,对接源_01水果!$B193=""),0,IF(OR(N(对接源_01水果!$B193)&lt;$K$2,N(对接源_01水果!$B193)&gt;$K$3),0,1))</f>
        <v>0</v>
      </c>
      <c r="L193">
        <f>IF(OR($L$1="",对接源_01水果!$C193="",对接源_01水果!$C193&lt;&gt;$L$1,对接源_01水果!$B193=""),0,IF(OR(N(对接源_01水果!$B193)&lt;$L$2,N(对接源_01水果!$B193)&gt;$L$3),0,1))</f>
        <v>0</v>
      </c>
      <c r="M193">
        <f>IF(OR($M$1="",对接源_01水果!$C193="",对接源_01水果!$C193&lt;&gt;$M$1,对接源_01水果!$B193=""),0,IF(OR(N(对接源_01水果!$B193)&lt;$M$2,N(对接源_01水果!$B193)&gt;$M$3),0,1))</f>
        <v>1</v>
      </c>
      <c r="N193">
        <f>IF(OR($N$1="",对接源_01水果!$C193="",对接源_01水果!$C193&lt;&gt;$N$1,对接源_01水果!$B193=""),0,IF(OR(N(对接源_01水果!$B193)&lt;$N$2,N(对接源_01水果!$B193)&gt;$N$3),0,1))</f>
        <v>0</v>
      </c>
      <c r="P193">
        <f>IF(AND($K193=1,AND(对接源_01水果!$X193="公司筐",N(对接源_01水果!$T193)&lt;&gt;0)),1,0)</f>
        <v>0</v>
      </c>
      <c r="Q193">
        <f>N(Q192)+$P193</f>
        <v>0</v>
      </c>
      <c r="R193">
        <f>IF(AND($K193=1,AND(对接源_01水果!$X193="公司筐",N(对接源_01水果!$U193)&lt;&gt;0)),1,0)</f>
        <v>0</v>
      </c>
      <c r="S193">
        <f>N(S192)+$R193</f>
        <v>0</v>
      </c>
      <c r="T193">
        <f>IF(AND($K193=1,AND(对接源_01水果!$X193="公司筐",N(对接源_01水果!$V193)&lt;&gt;0)),1,0)</f>
        <v>0</v>
      </c>
      <c r="U193">
        <f>N(U192)+$T193</f>
        <v>3</v>
      </c>
      <c r="V193">
        <f>IF(AND($L193=1,AND(对接源_01水果!$X193="自备筐",N(对接源_01水果!$V193)&lt;&gt;0)),1,0)</f>
        <v>0</v>
      </c>
      <c r="W193">
        <f>N(W192)+$V193</f>
        <v>4</v>
      </c>
      <c r="X193">
        <f>IF(AND($L193=1,AND(对接源_01水果!$X193="自备筐",N(对接源_01水果!$T193)&lt;&gt;0)),1,0)</f>
        <v>0</v>
      </c>
      <c r="Y193">
        <f>N(Y192)+$X193</f>
        <v>0</v>
      </c>
      <c r="Z193">
        <f>IF(AND($M193=1,对接源_01水果!$D193="原料入库"),1,0)</f>
        <v>1</v>
      </c>
      <c r="AA193">
        <f>N(AA192)+$Z193</f>
        <v>11</v>
      </c>
      <c r="AB193">
        <f>IF(AND($M193=1,LEFT(对接源_01水果!$D193,4)="原料出库"),1,0)</f>
        <v>0</v>
      </c>
      <c r="AC193">
        <f>N(AC192)+$AB193</f>
        <v>0</v>
      </c>
      <c r="AD193">
        <f>IF(AND($M193=1,LEFT(对接源_01水果!$D193,4)="成品出库"),1,0)</f>
        <v>0</v>
      </c>
      <c r="AE193">
        <f>N(AE192)+$AD193</f>
        <v>0</v>
      </c>
      <c r="AF193">
        <f>IF(AND($N193=1,AND(LEFT(对接源_01水果!$D193,4)="包装物料",N(对接源_01水果!$K193)&lt;&gt;0)),1,0)</f>
        <v>0</v>
      </c>
      <c r="AG193">
        <f>N(AG192)+$AF193</f>
        <v>0</v>
      </c>
      <c r="AH193">
        <f>IF(AND($N193=1,AND(对接源_01水果!$D193="周转筐－销售出库",N(对接源_01水果!$K193)&lt;&gt;0)),1,0)</f>
        <v>0</v>
      </c>
      <c r="AI193">
        <f>N(AI192)+$AH193</f>
        <v>0</v>
      </c>
      <c r="AJ193" s="7" t="n"/>
      <c r="AL193">
        <f>IF(OR($AL$1="",对接源_01水果!$Y193="",对接源_01水果!$Y193&lt;&gt;$AL$1,对接源_01水果!$B193="",N(对接源_01水果!$AJ193)&lt;=0),0,IF(OR(N(对接源_01水果!$B193)&lt;$AL$2,N(对接源_01水果!$B193)&gt;$AL$3),0,1))</f>
        <v>0</v>
      </c>
      <c r="AM193">
        <f>N(AM192)+$AL193</f>
        <v>0</v>
      </c>
      <c r="AN193">
        <f>IF(对接源_01水果!$AC193="","",对接源_01水果!$AC193)</f>
      </c>
      <c r="AO193">
        <f>IF(AN193="",0,IF(MATCH(AN193,$AN$4:$AN$1203,0)=ROW()-3,1,0))</f>
        <v>0</v>
      </c>
      <c r="AP193">
        <f>N(AP192)+$AO193</f>
        <v>0</v>
      </c>
      <c r="AQ193">
        <f>IFERROR(INDEX($AN$4:$AN$1203,MATCH(ROW()-3,$AP$4:$AP$1203,0)),"")</f>
      </c>
      <c r="AR193">
        <f>IF(OR($AF193=1,$AH193=1),1,0)</f>
        <v>0</v>
      </c>
      <c r="AS193">
        <f>N(AS192)+$AR193</f>
        <v>0</v>
      </c>
    </row>
    <row r="194" ht="14.25" customHeight="1" s="127">
      <c r="A194" t="str">
        <f>IF(对接源_01水果!$C194="","",对接源_01水果!$C194)</f>
        <v>吐尔洪</v>
      </c>
      <c r="B194">
        <f>IF(A194="",0,IF(MATCH(A194,$A$4:$A$2403,0)=ROW()-3,1,0))</f>
        <v>0</v>
      </c>
      <c r="C194">
        <f>N(C193)+B194</f>
        <v>13</v>
      </c>
      <c r="E194">
        <f>IFERROR(INDEX($A$4:$A$2403,MATCH(ROW()-3,$C$4:$C$2403,0)),"")</f>
      </c>
      <c r="K194">
        <f>IF(OR($K$1="",对接源_01水果!$C194="",对接源_01水果!$C194&lt;&gt;$K$1,对接源_01水果!$B194=""),0,IF(OR(N(对接源_01水果!$B194)&lt;$K$2,N(对接源_01水果!$B194)&gt;$K$3),0,1))</f>
        <v>0</v>
      </c>
      <c r="L194">
        <f>IF(OR($L$1="",对接源_01水果!$C194="",对接源_01水果!$C194&lt;&gt;$L$1,对接源_01水果!$B194=""),0,IF(OR(N(对接源_01水果!$B194)&lt;$L$2,N(对接源_01水果!$B194)&gt;$L$3),0,1))</f>
        <v>0</v>
      </c>
      <c r="M194">
        <f>IF(OR($M$1="",对接源_01水果!$C194="",对接源_01水果!$C194&lt;&gt;$M$1,对接源_01水果!$B194=""),0,IF(OR(N(对接源_01水果!$B194)&lt;$M$2,N(对接源_01水果!$B194)&gt;$M$3),0,1))</f>
        <v>1</v>
      </c>
      <c r="N194">
        <f>IF(OR($N$1="",对接源_01水果!$C194="",对接源_01水果!$C194&lt;&gt;$N$1,对接源_01水果!$B194=""),0,IF(OR(N(对接源_01水果!$B194)&lt;$N$2,N(对接源_01水果!$B194)&gt;$N$3),0,1))</f>
        <v>0</v>
      </c>
      <c r="P194">
        <f>IF(AND($K194=1,AND(对接源_01水果!$X194="公司筐",N(对接源_01水果!$T194)&lt;&gt;0)),1,0)</f>
        <v>0</v>
      </c>
      <c r="Q194">
        <f>N(Q193)+$P194</f>
        <v>0</v>
      </c>
      <c r="R194">
        <f>IF(AND($K194=1,AND(对接源_01水果!$X194="公司筐",N(对接源_01水果!$U194)&lt;&gt;0)),1,0)</f>
        <v>0</v>
      </c>
      <c r="S194">
        <f>N(S193)+$R194</f>
        <v>0</v>
      </c>
      <c r="T194">
        <f>IF(AND($K194=1,AND(对接源_01水果!$X194="公司筐",N(对接源_01水果!$V194)&lt;&gt;0)),1,0)</f>
        <v>0</v>
      </c>
      <c r="U194">
        <f>N(U193)+$T194</f>
        <v>3</v>
      </c>
      <c r="V194">
        <f>IF(AND($L194=1,AND(对接源_01水果!$X194="自备筐",N(对接源_01水果!$V194)&lt;&gt;0)),1,0)</f>
        <v>0</v>
      </c>
      <c r="W194">
        <f>N(W193)+$V194</f>
        <v>4</v>
      </c>
      <c r="X194">
        <f>IF(AND($L194=1,AND(对接源_01水果!$X194="自备筐",N(对接源_01水果!$T194)&lt;&gt;0)),1,0)</f>
        <v>0</v>
      </c>
      <c r="Y194">
        <f>N(Y193)+$X194</f>
        <v>0</v>
      </c>
      <c r="Z194">
        <f>IF(AND($M194=1,对接源_01水果!$D194="原料入库"),1,0)</f>
        <v>1</v>
      </c>
      <c r="AA194">
        <f>N(AA193)+$Z194</f>
        <v>12</v>
      </c>
      <c r="AB194">
        <f>IF(AND($M194=1,LEFT(对接源_01水果!$D194,4)="原料出库"),1,0)</f>
        <v>0</v>
      </c>
      <c r="AC194">
        <f>N(AC193)+$AB194</f>
        <v>0</v>
      </c>
      <c r="AD194">
        <f>IF(AND($M194=1,LEFT(对接源_01水果!$D194,4)="成品出库"),1,0)</f>
        <v>0</v>
      </c>
      <c r="AE194">
        <f>N(AE193)+$AD194</f>
        <v>0</v>
      </c>
      <c r="AF194">
        <f>IF(AND($N194=1,AND(LEFT(对接源_01水果!$D194,4)="包装物料",N(对接源_01水果!$K194)&lt;&gt;0)),1,0)</f>
        <v>0</v>
      </c>
      <c r="AG194">
        <f>N(AG193)+$AF194</f>
        <v>0</v>
      </c>
      <c r="AH194">
        <f>IF(AND($N194=1,AND(对接源_01水果!$D194="周转筐－销售出库",N(对接源_01水果!$K194)&lt;&gt;0)),1,0)</f>
        <v>0</v>
      </c>
      <c r="AI194">
        <f>N(AI193)+$AH194</f>
        <v>0</v>
      </c>
      <c r="AJ194" s="7" t="n"/>
      <c r="AL194">
        <f>IF(OR($AL$1="",对接源_01水果!$Y194="",对接源_01水果!$Y194&lt;&gt;$AL$1,对接源_01水果!$B194="",N(对接源_01水果!$AJ194)&lt;=0),0,IF(OR(N(对接源_01水果!$B194)&lt;$AL$2,N(对接源_01水果!$B194)&gt;$AL$3),0,1))</f>
        <v>0</v>
      </c>
      <c r="AM194">
        <f>N(AM193)+$AL194</f>
        <v>0</v>
      </c>
      <c r="AN194">
        <f>IF(对接源_01水果!$AC194="","",对接源_01水果!$AC194)</f>
      </c>
      <c r="AO194">
        <f>IF(AN194="",0,IF(MATCH(AN194,$AN$4:$AN$1203,0)=ROW()-3,1,0))</f>
        <v>0</v>
      </c>
      <c r="AP194">
        <f>N(AP193)+$AO194</f>
        <v>0</v>
      </c>
      <c r="AQ194">
        <f>IFERROR(INDEX($AN$4:$AN$1203,MATCH(ROW()-3,$AP$4:$AP$1203,0)),"")</f>
      </c>
      <c r="AR194">
        <f>IF(OR($AF194=1,$AH194=1),1,0)</f>
        <v>0</v>
      </c>
      <c r="AS194">
        <f>N(AS193)+$AR194</f>
        <v>0</v>
      </c>
    </row>
    <row r="195" ht="14.25" customHeight="1" s="127">
      <c r="A195" t="str">
        <f>IF(对接源_01水果!$C195="","",对接源_01水果!$C195)</f>
        <v>贾建国</v>
      </c>
      <c r="B195">
        <f>IF(A195="",0,IF(MATCH(A195,$A$4:$A$2403,0)=ROW()-3,1,0))</f>
        <v>0</v>
      </c>
      <c r="C195">
        <f>N(C194)+B195</f>
        <v>13</v>
      </c>
      <c r="E195">
        <f>IFERROR(INDEX($A$4:$A$2403,MATCH(ROW()-3,$C$4:$C$2403,0)),"")</f>
      </c>
      <c r="K195">
        <f>IF(OR($K$1="",对接源_01水果!$C195="",对接源_01水果!$C195&lt;&gt;$K$1,对接源_01水果!$B195=""),0,IF(OR(N(对接源_01水果!$B195)&lt;$K$2,N(对接源_01水果!$B195)&gt;$K$3),0,1))</f>
        <v>0</v>
      </c>
      <c r="L195">
        <f>IF(OR($L$1="",对接源_01水果!$C195="",对接源_01水果!$C195&lt;&gt;$L$1,对接源_01水果!$B195=""),0,IF(OR(N(对接源_01水果!$B195)&lt;$L$2,N(对接源_01水果!$B195)&gt;$L$3),0,1))</f>
        <v>1</v>
      </c>
      <c r="M195">
        <f>IF(OR($M$1="",对接源_01水果!$C195="",对接源_01水果!$C195&lt;&gt;$M$1,对接源_01水果!$B195=""),0,IF(OR(N(对接源_01水果!$B195)&lt;$M$2,N(对接源_01水果!$B195)&gt;$M$3),0,1))</f>
        <v>0</v>
      </c>
      <c r="N195">
        <f>IF(OR($N$1="",对接源_01水果!$C195="",对接源_01水果!$C195&lt;&gt;$N$1,对接源_01水果!$B195=""),0,IF(OR(N(对接源_01水果!$B195)&lt;$N$2,N(对接源_01水果!$B195)&gt;$N$3),0,1))</f>
        <v>0</v>
      </c>
      <c r="P195">
        <f>IF(AND($K195=1,AND(对接源_01水果!$X195="公司筐",N(对接源_01水果!$T195)&lt;&gt;0)),1,0)</f>
        <v>0</v>
      </c>
      <c r="Q195">
        <f>N(Q194)+$P195</f>
        <v>0</v>
      </c>
      <c r="R195">
        <f>IF(AND($K195=1,AND(对接源_01水果!$X195="公司筐",N(对接源_01水果!$U195)&lt;&gt;0)),1,0)</f>
        <v>0</v>
      </c>
      <c r="S195">
        <f>N(S194)+$R195</f>
        <v>0</v>
      </c>
      <c r="T195">
        <f>IF(AND($K195=1,AND(对接源_01水果!$X195="公司筐",N(对接源_01水果!$V195)&lt;&gt;0)),1,0)</f>
        <v>0</v>
      </c>
      <c r="U195">
        <f>N(U194)+$T195</f>
        <v>3</v>
      </c>
      <c r="V195">
        <f>IF(AND($L195=1,AND(对接源_01水果!$X195="自备筐",N(对接源_01水果!$V195)&lt;&gt;0)),1,0)</f>
        <v>1</v>
      </c>
      <c r="W195">
        <f>N(W194)+$V195</f>
        <v>5</v>
      </c>
      <c r="X195">
        <f>IF(AND($L195=1,AND(对接源_01水果!$X195="自备筐",N(对接源_01水果!$T195)&lt;&gt;0)),1,0)</f>
        <v>0</v>
      </c>
      <c r="Y195">
        <f>N(Y194)+$X195</f>
        <v>0</v>
      </c>
      <c r="Z195">
        <f>IF(AND($M195=1,对接源_01水果!$D195="原料入库"),1,0)</f>
        <v>0</v>
      </c>
      <c r="AA195">
        <f>N(AA194)+$Z195</f>
        <v>12</v>
      </c>
      <c r="AB195">
        <f>IF(AND($M195=1,LEFT(对接源_01水果!$D195,4)="原料出库"),1,0)</f>
        <v>0</v>
      </c>
      <c r="AC195">
        <f>N(AC194)+$AB195</f>
        <v>0</v>
      </c>
      <c r="AD195">
        <f>IF(AND($M195=1,LEFT(对接源_01水果!$D195,4)="成品出库"),1,0)</f>
        <v>0</v>
      </c>
      <c r="AE195">
        <f>N(AE194)+$AD195</f>
        <v>0</v>
      </c>
      <c r="AF195">
        <f>IF(AND($N195=1,AND(LEFT(对接源_01水果!$D195,4)="包装物料",N(对接源_01水果!$K195)&lt;&gt;0)),1,0)</f>
        <v>0</v>
      </c>
      <c r="AG195">
        <f>N(AG194)+$AF195</f>
        <v>0</v>
      </c>
      <c r="AH195">
        <f>IF(AND($N195=1,AND(对接源_01水果!$D195="周转筐－销售出库",N(对接源_01水果!$K195)&lt;&gt;0)),1,0)</f>
        <v>0</v>
      </c>
      <c r="AI195">
        <f>N(AI194)+$AH195</f>
        <v>0</v>
      </c>
      <c r="AJ195" s="7" t="n"/>
      <c r="AL195">
        <f>IF(OR($AL$1="",对接源_01水果!$Y195="",对接源_01水果!$Y195&lt;&gt;$AL$1,对接源_01水果!$B195="",N(对接源_01水果!$AJ195)&lt;=0),0,IF(OR(N(对接源_01水果!$B195)&lt;$AL$2,N(对接源_01水果!$B195)&gt;$AL$3),0,1))</f>
        <v>0</v>
      </c>
      <c r="AM195">
        <f>N(AM194)+$AL195</f>
        <v>0</v>
      </c>
      <c r="AN195">
        <f>IF(对接源_01水果!$AC195="","",对接源_01水果!$AC195)</f>
      </c>
      <c r="AO195">
        <f>IF(AN195="",0,IF(MATCH(AN195,$AN$4:$AN$1203,0)=ROW()-3,1,0))</f>
        <v>0</v>
      </c>
      <c r="AP195">
        <f>N(AP194)+$AO195</f>
        <v>0</v>
      </c>
      <c r="AQ195">
        <f>IFERROR(INDEX($AN$4:$AN$1203,MATCH(ROW()-3,$AP$4:$AP$1203,0)),"")</f>
      </c>
      <c r="AR195">
        <f>IF(OR($AF195=1,$AH195=1),1,0)</f>
        <v>0</v>
      </c>
      <c r="AS195">
        <f>N(AS194)+$AR195</f>
        <v>0</v>
      </c>
    </row>
    <row r="196" ht="14.25" customHeight="1" s="127">
      <c r="A196" t="str">
        <f>IF(对接源_01水果!$C196="","",对接源_01水果!$C196)</f>
        <v>贾建国</v>
      </c>
      <c r="B196">
        <f>IF(A196="",0,IF(MATCH(A196,$A$4:$A$2403,0)=ROW()-3,1,0))</f>
        <v>0</v>
      </c>
      <c r="C196">
        <f>N(C195)+B196</f>
        <v>13</v>
      </c>
      <c r="E196">
        <f>IFERROR(INDEX($A$4:$A$2403,MATCH(ROW()-3,$C$4:$C$2403,0)),"")</f>
      </c>
      <c r="K196">
        <f>IF(OR($K$1="",对接源_01水果!$C196="",对接源_01水果!$C196&lt;&gt;$K$1,对接源_01水果!$B196=""),0,IF(OR(N(对接源_01水果!$B196)&lt;$K$2,N(对接源_01水果!$B196)&gt;$K$3),0,1))</f>
        <v>0</v>
      </c>
      <c r="L196">
        <f>IF(OR($L$1="",对接源_01水果!$C196="",对接源_01水果!$C196&lt;&gt;$L$1,对接源_01水果!$B196=""),0,IF(OR(N(对接源_01水果!$B196)&lt;$L$2,N(对接源_01水果!$B196)&gt;$L$3),0,1))</f>
        <v>1</v>
      </c>
      <c r="M196">
        <f>IF(OR($M$1="",对接源_01水果!$C196="",对接源_01水果!$C196&lt;&gt;$M$1,对接源_01水果!$B196=""),0,IF(OR(N(对接源_01水果!$B196)&lt;$M$2,N(对接源_01水果!$B196)&gt;$M$3),0,1))</f>
        <v>0</v>
      </c>
      <c r="N196">
        <f>IF(OR($N$1="",对接源_01水果!$C196="",对接源_01水果!$C196&lt;&gt;$N$1,对接源_01水果!$B196=""),0,IF(OR(N(对接源_01水果!$B196)&lt;$N$2,N(对接源_01水果!$B196)&gt;$N$3),0,1))</f>
        <v>0</v>
      </c>
      <c r="P196">
        <f>IF(AND($K196=1,AND(对接源_01水果!$X196="公司筐",N(对接源_01水果!$T196)&lt;&gt;0)),1,0)</f>
        <v>0</v>
      </c>
      <c r="Q196">
        <f>N(Q195)+$P196</f>
        <v>0</v>
      </c>
      <c r="R196">
        <f>IF(AND($K196=1,AND(对接源_01水果!$X196="公司筐",N(对接源_01水果!$U196)&lt;&gt;0)),1,0)</f>
        <v>0</v>
      </c>
      <c r="S196">
        <f>N(S195)+$R196</f>
        <v>0</v>
      </c>
      <c r="T196">
        <f>IF(AND($K196=1,AND(对接源_01水果!$X196="公司筐",N(对接源_01水果!$V196)&lt;&gt;0)),1,0)</f>
        <v>0</v>
      </c>
      <c r="U196">
        <f>N(U195)+$T196</f>
        <v>3</v>
      </c>
      <c r="V196">
        <f>IF(AND($L196=1,AND(对接源_01水果!$X196="自备筐",N(对接源_01水果!$V196)&lt;&gt;0)),1,0)</f>
        <v>0</v>
      </c>
      <c r="W196">
        <f>N(W195)+$V196</f>
        <v>5</v>
      </c>
      <c r="X196">
        <f>IF(AND($L196=1,AND(对接源_01水果!$X196="自备筐",N(对接源_01水果!$T196)&lt;&gt;0)),1,0)</f>
        <v>0</v>
      </c>
      <c r="Y196">
        <f>N(Y195)+$X196</f>
        <v>0</v>
      </c>
      <c r="Z196">
        <f>IF(AND($M196=1,对接源_01水果!$D196="原料入库"),1,0)</f>
        <v>0</v>
      </c>
      <c r="AA196">
        <f>N(AA195)+$Z196</f>
        <v>12</v>
      </c>
      <c r="AB196">
        <f>IF(AND($M196=1,LEFT(对接源_01水果!$D196,4)="原料出库"),1,0)</f>
        <v>0</v>
      </c>
      <c r="AC196">
        <f>N(AC195)+$AB196</f>
        <v>0</v>
      </c>
      <c r="AD196">
        <f>IF(AND($M196=1,LEFT(对接源_01水果!$D196,4)="成品出库"),1,0)</f>
        <v>0</v>
      </c>
      <c r="AE196">
        <f>N(AE195)+$AD196</f>
        <v>0</v>
      </c>
      <c r="AF196">
        <f>IF(AND($N196=1,AND(LEFT(对接源_01水果!$D196,4)="包装物料",N(对接源_01水果!$K196)&lt;&gt;0)),1,0)</f>
        <v>0</v>
      </c>
      <c r="AG196">
        <f>N(AG195)+$AF196</f>
        <v>0</v>
      </c>
      <c r="AH196">
        <f>IF(AND($N196=1,AND(对接源_01水果!$D196="周转筐－销售出库",N(对接源_01水果!$K196)&lt;&gt;0)),1,0)</f>
        <v>0</v>
      </c>
      <c r="AI196">
        <f>N(AI195)+$AH196</f>
        <v>0</v>
      </c>
      <c r="AJ196" s="7" t="n"/>
      <c r="AL196">
        <f>IF(OR($AL$1="",对接源_01水果!$Y196="",对接源_01水果!$Y196&lt;&gt;$AL$1,对接源_01水果!$B196="",N(对接源_01水果!$AJ196)&lt;=0),0,IF(OR(N(对接源_01水果!$B196)&lt;$AL$2,N(对接源_01水果!$B196)&gt;$AL$3),0,1))</f>
        <v>0</v>
      </c>
      <c r="AM196">
        <f>N(AM195)+$AL196</f>
        <v>0</v>
      </c>
      <c r="AN196">
        <f>IF(对接源_01水果!$AC196="","",对接源_01水果!$AC196)</f>
      </c>
      <c r="AO196">
        <f>IF(AN196="",0,IF(MATCH(AN196,$AN$4:$AN$1203,0)=ROW()-3,1,0))</f>
        <v>0</v>
      </c>
      <c r="AP196">
        <f>N(AP195)+$AO196</f>
        <v>0</v>
      </c>
      <c r="AQ196">
        <f>IFERROR(INDEX($AN$4:$AN$1203,MATCH(ROW()-3,$AP$4:$AP$1203,0)),"")</f>
      </c>
      <c r="AR196">
        <f>IF(OR($AF196=1,$AH196=1),1,0)</f>
        <v>0</v>
      </c>
      <c r="AS196">
        <f>N(AS195)+$AR196</f>
        <v>0</v>
      </c>
    </row>
    <row r="197" ht="14.25" customHeight="1" s="127">
      <c r="A197" t="str">
        <f>IF(对接源_01水果!$C197="","",对接源_01水果!$C197)</f>
        <v>王照雪</v>
      </c>
      <c r="B197">
        <f>IF(A197="",0,IF(MATCH(A197,$A$4:$A$2403,0)=ROW()-3,1,0))</f>
        <v>0</v>
      </c>
      <c r="C197">
        <f>N(C196)+B197</f>
        <v>13</v>
      </c>
      <c r="E197">
        <f>IFERROR(INDEX($A$4:$A$2403,MATCH(ROW()-3,$C$4:$C$2403,0)),"")</f>
      </c>
      <c r="K197">
        <f>IF(OR($K$1="",对接源_01水果!$C197="",对接源_01水果!$C197&lt;&gt;$K$1,对接源_01水果!$B197=""),0,IF(OR(N(对接源_01水果!$B197)&lt;$K$2,N(对接源_01水果!$B197)&gt;$K$3),0,1))</f>
        <v>0</v>
      </c>
      <c r="L197">
        <f>IF(OR($L$1="",对接源_01水果!$C197="",对接源_01水果!$C197&lt;&gt;$L$1,对接源_01水果!$B197=""),0,IF(OR(N(对接源_01水果!$B197)&lt;$L$2,N(对接源_01水果!$B197)&gt;$L$3),0,1))</f>
        <v>0</v>
      </c>
      <c r="M197">
        <f>IF(OR($M$1="",对接源_01水果!$C197="",对接源_01水果!$C197&lt;&gt;$M$1,对接源_01水果!$B197=""),0,IF(OR(N(对接源_01水果!$B197)&lt;$M$2,N(对接源_01水果!$B197)&gt;$M$3),0,1))</f>
        <v>0</v>
      </c>
      <c r="N197">
        <f>IF(OR($N$1="",对接源_01水果!$C197="",对接源_01水果!$C197&lt;&gt;$N$1,对接源_01水果!$B197=""),0,IF(OR(N(对接源_01水果!$B197)&lt;$N$2,N(对接源_01水果!$B197)&gt;$N$3),0,1))</f>
        <v>0</v>
      </c>
      <c r="P197">
        <f>IF(AND($K197=1,AND(对接源_01水果!$X197="公司筐",N(对接源_01水果!$T197)&lt;&gt;0)),1,0)</f>
        <v>0</v>
      </c>
      <c r="Q197">
        <f>N(Q196)+$P197</f>
        <v>0</v>
      </c>
      <c r="R197">
        <f>IF(AND($K197=1,AND(对接源_01水果!$X197="公司筐",N(对接源_01水果!$U197)&lt;&gt;0)),1,0)</f>
        <v>0</v>
      </c>
      <c r="S197">
        <f>N(S196)+$R197</f>
        <v>0</v>
      </c>
      <c r="T197">
        <f>IF(AND($K197=1,AND(对接源_01水果!$X197="公司筐",N(对接源_01水果!$V197)&lt;&gt;0)),1,0)</f>
        <v>0</v>
      </c>
      <c r="U197">
        <f>N(U196)+$T197</f>
        <v>3</v>
      </c>
      <c r="V197">
        <f>IF(AND($L197=1,AND(对接源_01水果!$X197="自备筐",N(对接源_01水果!$V197)&lt;&gt;0)),1,0)</f>
        <v>0</v>
      </c>
      <c r="W197">
        <f>N(W196)+$V197</f>
        <v>5</v>
      </c>
      <c r="X197">
        <f>IF(AND($L197=1,AND(对接源_01水果!$X197="自备筐",N(对接源_01水果!$T197)&lt;&gt;0)),1,0)</f>
        <v>0</v>
      </c>
      <c r="Y197">
        <f>N(Y196)+$X197</f>
        <v>0</v>
      </c>
      <c r="Z197">
        <f>IF(AND($M197=1,对接源_01水果!$D197="原料入库"),1,0)</f>
        <v>0</v>
      </c>
      <c r="AA197">
        <f>N(AA196)+$Z197</f>
        <v>12</v>
      </c>
      <c r="AB197">
        <f>IF(AND($M197=1,LEFT(对接源_01水果!$D197,4)="原料出库"),1,0)</f>
        <v>0</v>
      </c>
      <c r="AC197">
        <f>N(AC196)+$AB197</f>
        <v>0</v>
      </c>
      <c r="AD197">
        <f>IF(AND($M197=1,LEFT(对接源_01水果!$D197,4)="成品出库"),1,0)</f>
        <v>0</v>
      </c>
      <c r="AE197">
        <f>N(AE196)+$AD197</f>
        <v>0</v>
      </c>
      <c r="AF197">
        <f>IF(AND($N197=1,AND(LEFT(对接源_01水果!$D197,4)="包装物料",N(对接源_01水果!$K197)&lt;&gt;0)),1,0)</f>
        <v>0</v>
      </c>
      <c r="AG197">
        <f>N(AG196)+$AF197</f>
        <v>0</v>
      </c>
      <c r="AH197">
        <f>IF(AND($N197=1,AND(对接源_01水果!$D197="周转筐－销售出库",N(对接源_01水果!$K197)&lt;&gt;0)),1,0)</f>
        <v>0</v>
      </c>
      <c r="AI197">
        <f>N(AI196)+$AH197</f>
        <v>0</v>
      </c>
      <c r="AJ197" s="7" t="n"/>
      <c r="AL197">
        <f>IF(OR($AL$1="",对接源_01水果!$Y197="",对接源_01水果!$Y197&lt;&gt;$AL$1,对接源_01水果!$B197="",N(对接源_01水果!$AJ197)&lt;=0),0,IF(OR(N(对接源_01水果!$B197)&lt;$AL$2,N(对接源_01水果!$B197)&gt;$AL$3),0,1))</f>
        <v>0</v>
      </c>
      <c r="AM197">
        <f>N(AM196)+$AL197</f>
        <v>0</v>
      </c>
      <c r="AN197">
        <f>IF(对接源_01水果!$AC197="","",对接源_01水果!$AC197)</f>
      </c>
      <c r="AO197">
        <f>IF(AN197="",0,IF(MATCH(AN197,$AN$4:$AN$1203,0)=ROW()-3,1,0))</f>
        <v>0</v>
      </c>
      <c r="AP197">
        <f>N(AP196)+$AO197</f>
        <v>0</v>
      </c>
      <c r="AQ197">
        <f>IFERROR(INDEX($AN$4:$AN$1203,MATCH(ROW()-3,$AP$4:$AP$1203,0)),"")</f>
      </c>
      <c r="AR197">
        <f>IF(OR($AF197=1,$AH197=1),1,0)</f>
        <v>0</v>
      </c>
      <c r="AS197">
        <f>N(AS196)+$AR197</f>
        <v>0</v>
      </c>
    </row>
    <row r="198" ht="14.25" customHeight="1" s="127">
      <c r="A198" t="str">
        <f>IF(对接源_01水果!$C198="","",对接源_01水果!$C198)</f>
        <v>王照雪</v>
      </c>
      <c r="B198">
        <f>IF(A198="",0,IF(MATCH(A198,$A$4:$A$2403,0)=ROW()-3,1,0))</f>
        <v>0</v>
      </c>
      <c r="C198">
        <f>N(C197)+B198</f>
        <v>13</v>
      </c>
      <c r="E198">
        <f>IFERROR(INDEX($A$4:$A$2403,MATCH(ROW()-3,$C$4:$C$2403,0)),"")</f>
      </c>
      <c r="K198">
        <f>IF(OR($K$1="",对接源_01水果!$C198="",对接源_01水果!$C198&lt;&gt;$K$1,对接源_01水果!$B198=""),0,IF(OR(N(对接源_01水果!$B198)&lt;$K$2,N(对接源_01水果!$B198)&gt;$K$3),0,1))</f>
        <v>0</v>
      </c>
      <c r="L198">
        <f>IF(OR($L$1="",对接源_01水果!$C198="",对接源_01水果!$C198&lt;&gt;$L$1,对接源_01水果!$B198=""),0,IF(OR(N(对接源_01水果!$B198)&lt;$L$2,N(对接源_01水果!$B198)&gt;$L$3),0,1))</f>
        <v>0</v>
      </c>
      <c r="M198">
        <f>IF(OR($M$1="",对接源_01水果!$C198="",对接源_01水果!$C198&lt;&gt;$M$1,对接源_01水果!$B198=""),0,IF(OR(N(对接源_01水果!$B198)&lt;$M$2,N(对接源_01水果!$B198)&gt;$M$3),0,1))</f>
        <v>0</v>
      </c>
      <c r="N198">
        <f>IF(OR($N$1="",对接源_01水果!$C198="",对接源_01水果!$C198&lt;&gt;$N$1,对接源_01水果!$B198=""),0,IF(OR(N(对接源_01水果!$B198)&lt;$N$2,N(对接源_01水果!$B198)&gt;$N$3),0,1))</f>
        <v>0</v>
      </c>
      <c r="P198">
        <f>IF(AND($K198=1,AND(对接源_01水果!$X198="公司筐",N(对接源_01水果!$T198)&lt;&gt;0)),1,0)</f>
        <v>0</v>
      </c>
      <c r="Q198">
        <f>N(Q197)+$P198</f>
        <v>0</v>
      </c>
      <c r="R198">
        <f>IF(AND($K198=1,AND(对接源_01水果!$X198="公司筐",N(对接源_01水果!$U198)&lt;&gt;0)),1,0)</f>
        <v>0</v>
      </c>
      <c r="S198">
        <f>N(S197)+$R198</f>
        <v>0</v>
      </c>
      <c r="T198">
        <f>IF(AND($K198=1,AND(对接源_01水果!$X198="公司筐",N(对接源_01水果!$V198)&lt;&gt;0)),1,0)</f>
        <v>0</v>
      </c>
      <c r="U198">
        <f>N(U197)+$T198</f>
        <v>3</v>
      </c>
      <c r="V198">
        <f>IF(AND($L198=1,AND(对接源_01水果!$X198="自备筐",N(对接源_01水果!$V198)&lt;&gt;0)),1,0)</f>
        <v>0</v>
      </c>
      <c r="W198">
        <f>N(W197)+$V198</f>
        <v>5</v>
      </c>
      <c r="X198">
        <f>IF(AND($L198=1,AND(对接源_01水果!$X198="自备筐",N(对接源_01水果!$T198)&lt;&gt;0)),1,0)</f>
        <v>0</v>
      </c>
      <c r="Y198">
        <f>N(Y197)+$X198</f>
        <v>0</v>
      </c>
      <c r="Z198">
        <f>IF(AND($M198=1,对接源_01水果!$D198="原料入库"),1,0)</f>
        <v>0</v>
      </c>
      <c r="AA198">
        <f>N(AA197)+$Z198</f>
        <v>12</v>
      </c>
      <c r="AB198">
        <f>IF(AND($M198=1,LEFT(对接源_01水果!$D198,4)="原料出库"),1,0)</f>
        <v>0</v>
      </c>
      <c r="AC198">
        <f>N(AC197)+$AB198</f>
        <v>0</v>
      </c>
      <c r="AD198">
        <f>IF(AND($M198=1,LEFT(对接源_01水果!$D198,4)="成品出库"),1,0)</f>
        <v>0</v>
      </c>
      <c r="AE198">
        <f>N(AE197)+$AD198</f>
        <v>0</v>
      </c>
      <c r="AF198">
        <f>IF(AND($N198=1,AND(LEFT(对接源_01水果!$D198,4)="包装物料",N(对接源_01水果!$K198)&lt;&gt;0)),1,0)</f>
        <v>0</v>
      </c>
      <c r="AG198">
        <f>N(AG197)+$AF198</f>
        <v>0</v>
      </c>
      <c r="AH198">
        <f>IF(AND($N198=1,AND(对接源_01水果!$D198="周转筐－销售出库",N(对接源_01水果!$K198)&lt;&gt;0)),1,0)</f>
        <v>0</v>
      </c>
      <c r="AI198">
        <f>N(AI197)+$AH198</f>
        <v>0</v>
      </c>
      <c r="AJ198" s="7" t="n"/>
      <c r="AL198">
        <f>IF(OR($AL$1="",对接源_01水果!$Y198="",对接源_01水果!$Y198&lt;&gt;$AL$1,对接源_01水果!$B198="",N(对接源_01水果!$AJ198)&lt;=0),0,IF(OR(N(对接源_01水果!$B198)&lt;$AL$2,N(对接源_01水果!$B198)&gt;$AL$3),0,1))</f>
        <v>0</v>
      </c>
      <c r="AM198">
        <f>N(AM197)+$AL198</f>
        <v>0</v>
      </c>
      <c r="AN198">
        <f>IF(对接源_01水果!$AC198="","",对接源_01水果!$AC198)</f>
      </c>
      <c r="AO198">
        <f>IF(AN198="",0,IF(MATCH(AN198,$AN$4:$AN$1203,0)=ROW()-3,1,0))</f>
        <v>0</v>
      </c>
      <c r="AP198">
        <f>N(AP197)+$AO198</f>
        <v>0</v>
      </c>
      <c r="AQ198">
        <f>IFERROR(INDEX($AN$4:$AN$1203,MATCH(ROW()-3,$AP$4:$AP$1203,0)),"")</f>
      </c>
      <c r="AR198">
        <f>IF(OR($AF198=1,$AH198=1),1,0)</f>
        <v>0</v>
      </c>
      <c r="AS198">
        <f>N(AS197)+$AR198</f>
        <v>0</v>
      </c>
    </row>
    <row r="199" ht="14.25" customHeight="1" s="127">
      <c r="A199" t="str">
        <f>IF(对接源_01水果!$C199="","",对接源_01水果!$C199)</f>
        <v>王照雪</v>
      </c>
      <c r="B199">
        <f>IF(A199="",0,IF(MATCH(A199,$A$4:$A$2403,0)=ROW()-3,1,0))</f>
        <v>0</v>
      </c>
      <c r="C199">
        <f>N(C198)+B199</f>
        <v>13</v>
      </c>
      <c r="E199">
        <f>IFERROR(INDEX($A$4:$A$2403,MATCH(ROW()-3,$C$4:$C$2403,0)),"")</f>
      </c>
      <c r="K199">
        <f>IF(OR($K$1="",对接源_01水果!$C199="",对接源_01水果!$C199&lt;&gt;$K$1,对接源_01水果!$B199=""),0,IF(OR(N(对接源_01水果!$B199)&lt;$K$2,N(对接源_01水果!$B199)&gt;$K$3),0,1))</f>
        <v>0</v>
      </c>
      <c r="L199">
        <f>IF(OR($L$1="",对接源_01水果!$C199="",对接源_01水果!$C199&lt;&gt;$L$1,对接源_01水果!$B199=""),0,IF(OR(N(对接源_01水果!$B199)&lt;$L$2,N(对接源_01水果!$B199)&gt;$L$3),0,1))</f>
        <v>0</v>
      </c>
      <c r="M199">
        <f>IF(OR($M$1="",对接源_01水果!$C199="",对接源_01水果!$C199&lt;&gt;$M$1,对接源_01水果!$B199=""),0,IF(OR(N(对接源_01水果!$B199)&lt;$M$2,N(对接源_01水果!$B199)&gt;$M$3),0,1))</f>
        <v>0</v>
      </c>
      <c r="N199">
        <f>IF(OR($N$1="",对接源_01水果!$C199="",对接源_01水果!$C199&lt;&gt;$N$1,对接源_01水果!$B199=""),0,IF(OR(N(对接源_01水果!$B199)&lt;$N$2,N(对接源_01水果!$B199)&gt;$N$3),0,1))</f>
        <v>0</v>
      </c>
      <c r="P199">
        <f>IF(AND($K199=1,AND(对接源_01水果!$X199="公司筐",N(对接源_01水果!$T199)&lt;&gt;0)),1,0)</f>
        <v>0</v>
      </c>
      <c r="Q199">
        <f>N(Q198)+$P199</f>
        <v>0</v>
      </c>
      <c r="R199">
        <f>IF(AND($K199=1,AND(对接源_01水果!$X199="公司筐",N(对接源_01水果!$U199)&lt;&gt;0)),1,0)</f>
        <v>0</v>
      </c>
      <c r="S199">
        <f>N(S198)+$R199</f>
        <v>0</v>
      </c>
      <c r="T199">
        <f>IF(AND($K199=1,AND(对接源_01水果!$X199="公司筐",N(对接源_01水果!$V199)&lt;&gt;0)),1,0)</f>
        <v>0</v>
      </c>
      <c r="U199">
        <f>N(U198)+$T199</f>
        <v>3</v>
      </c>
      <c r="V199">
        <f>IF(AND($L199=1,AND(对接源_01水果!$X199="自备筐",N(对接源_01水果!$V199)&lt;&gt;0)),1,0)</f>
        <v>0</v>
      </c>
      <c r="W199">
        <f>N(W198)+$V199</f>
        <v>5</v>
      </c>
      <c r="X199">
        <f>IF(AND($L199=1,AND(对接源_01水果!$X199="自备筐",N(对接源_01水果!$T199)&lt;&gt;0)),1,0)</f>
        <v>0</v>
      </c>
      <c r="Y199">
        <f>N(Y198)+$X199</f>
        <v>0</v>
      </c>
      <c r="Z199">
        <f>IF(AND($M199=1,对接源_01水果!$D199="原料入库"),1,0)</f>
        <v>0</v>
      </c>
      <c r="AA199">
        <f>N(AA198)+$Z199</f>
        <v>12</v>
      </c>
      <c r="AB199">
        <f>IF(AND($M199=1,LEFT(对接源_01水果!$D199,4)="原料出库"),1,0)</f>
        <v>0</v>
      </c>
      <c r="AC199">
        <f>N(AC198)+$AB199</f>
        <v>0</v>
      </c>
      <c r="AD199">
        <f>IF(AND($M199=1,LEFT(对接源_01水果!$D199,4)="成品出库"),1,0)</f>
        <v>0</v>
      </c>
      <c r="AE199">
        <f>N(AE198)+$AD199</f>
        <v>0</v>
      </c>
      <c r="AF199">
        <f>IF(AND($N199=1,AND(LEFT(对接源_01水果!$D199,4)="包装物料",N(对接源_01水果!$K199)&lt;&gt;0)),1,0)</f>
        <v>0</v>
      </c>
      <c r="AG199">
        <f>N(AG198)+$AF199</f>
        <v>0</v>
      </c>
      <c r="AH199">
        <f>IF(AND($N199=1,AND(对接源_01水果!$D199="周转筐－销售出库",N(对接源_01水果!$K199)&lt;&gt;0)),1,0)</f>
        <v>0</v>
      </c>
      <c r="AI199">
        <f>N(AI198)+$AH199</f>
        <v>0</v>
      </c>
      <c r="AJ199" s="7" t="n"/>
      <c r="AL199">
        <f>IF(OR($AL$1="",对接源_01水果!$Y199="",对接源_01水果!$Y199&lt;&gt;$AL$1,对接源_01水果!$B199="",N(对接源_01水果!$AJ199)&lt;=0),0,IF(OR(N(对接源_01水果!$B199)&lt;$AL$2,N(对接源_01水果!$B199)&gt;$AL$3),0,1))</f>
        <v>0</v>
      </c>
      <c r="AM199">
        <f>N(AM198)+$AL199</f>
        <v>0</v>
      </c>
      <c r="AN199">
        <f>IF(对接源_01水果!$AC199="","",对接源_01水果!$AC199)</f>
      </c>
      <c r="AO199">
        <f>IF(AN199="",0,IF(MATCH(AN199,$AN$4:$AN$1203,0)=ROW()-3,1,0))</f>
        <v>0</v>
      </c>
      <c r="AP199">
        <f>N(AP198)+$AO199</f>
        <v>0</v>
      </c>
      <c r="AQ199">
        <f>IFERROR(INDEX($AN$4:$AN$1203,MATCH(ROW()-3,$AP$4:$AP$1203,0)),"")</f>
      </c>
      <c r="AR199">
        <f>IF(OR($AF199=1,$AH199=1),1,0)</f>
        <v>0</v>
      </c>
      <c r="AS199">
        <f>N(AS198)+$AR199</f>
        <v>0</v>
      </c>
    </row>
    <row r="200" ht="14.25" customHeight="1" s="127">
      <c r="A200" t="str">
        <f>IF(对接源_01水果!$C200="","",对接源_01水果!$C200)</f>
        <v>马锦祥</v>
      </c>
      <c r="B200">
        <f>IF(A200="",0,IF(MATCH(A200,$A$4:$A$2403,0)=ROW()-3,1,0))</f>
        <v>0</v>
      </c>
      <c r="C200">
        <f>N(C199)+B200</f>
        <v>13</v>
      </c>
      <c r="E200">
        <f>IFERROR(INDEX($A$4:$A$2403,MATCH(ROW()-3,$C$4:$C$2403,0)),"")</f>
      </c>
      <c r="K200">
        <f>IF(OR($K$1="",对接源_01水果!$C200="",对接源_01水果!$C200&lt;&gt;$K$1,对接源_01水果!$B200=""),0,IF(OR(N(对接源_01水果!$B200)&lt;$K$2,N(对接源_01水果!$B200)&gt;$K$3),0,1))</f>
        <v>0</v>
      </c>
      <c r="L200">
        <f>IF(OR($L$1="",对接源_01水果!$C200="",对接源_01水果!$C200&lt;&gt;$L$1,对接源_01水果!$B200=""),0,IF(OR(N(对接源_01水果!$B200)&lt;$L$2,N(对接源_01水果!$B200)&gt;$L$3),0,1))</f>
        <v>0</v>
      </c>
      <c r="M200">
        <f>IF(OR($M$1="",对接源_01水果!$C200="",对接源_01水果!$C200&lt;&gt;$M$1,对接源_01水果!$B200=""),0,IF(OR(N(对接源_01水果!$B200)&lt;$M$2,N(对接源_01水果!$B200)&gt;$M$3),0,1))</f>
        <v>0</v>
      </c>
      <c r="N200">
        <f>IF(OR($N$1="",对接源_01水果!$C200="",对接源_01水果!$C200&lt;&gt;$N$1,对接源_01水果!$B200=""),0,IF(OR(N(对接源_01水果!$B200)&lt;$N$2,N(对接源_01水果!$B200)&gt;$N$3),0,1))</f>
        <v>0</v>
      </c>
      <c r="P200">
        <f>IF(AND($K200=1,AND(对接源_01水果!$X200="公司筐",N(对接源_01水果!$T200)&lt;&gt;0)),1,0)</f>
        <v>0</v>
      </c>
      <c r="Q200">
        <f>N(Q199)+$P200</f>
        <v>0</v>
      </c>
      <c r="R200">
        <f>IF(AND($K200=1,AND(对接源_01水果!$X200="公司筐",N(对接源_01水果!$U200)&lt;&gt;0)),1,0)</f>
        <v>0</v>
      </c>
      <c r="S200">
        <f>N(S199)+$R200</f>
        <v>0</v>
      </c>
      <c r="T200">
        <f>IF(AND($K200=1,AND(对接源_01水果!$X200="公司筐",N(对接源_01水果!$V200)&lt;&gt;0)),1,0)</f>
        <v>0</v>
      </c>
      <c r="U200">
        <f>N(U199)+$T200</f>
        <v>3</v>
      </c>
      <c r="V200">
        <f>IF(AND($L200=1,AND(对接源_01水果!$X200="自备筐",N(对接源_01水果!$V200)&lt;&gt;0)),1,0)</f>
        <v>0</v>
      </c>
      <c r="W200">
        <f>N(W199)+$V200</f>
        <v>5</v>
      </c>
      <c r="X200">
        <f>IF(AND($L200=1,AND(对接源_01水果!$X200="自备筐",N(对接源_01水果!$T200)&lt;&gt;0)),1,0)</f>
        <v>0</v>
      </c>
      <c r="Y200">
        <f>N(Y199)+$X200</f>
        <v>0</v>
      </c>
      <c r="Z200">
        <f>IF(AND($M200=1,对接源_01水果!$D200="原料入库"),1,0)</f>
        <v>0</v>
      </c>
      <c r="AA200">
        <f>N(AA199)+$Z200</f>
        <v>12</v>
      </c>
      <c r="AB200">
        <f>IF(AND($M200=1,LEFT(对接源_01水果!$D200,4)="原料出库"),1,0)</f>
        <v>0</v>
      </c>
      <c r="AC200">
        <f>N(AC199)+$AB200</f>
        <v>0</v>
      </c>
      <c r="AD200">
        <f>IF(AND($M200=1,LEFT(对接源_01水果!$D200,4)="成品出库"),1,0)</f>
        <v>0</v>
      </c>
      <c r="AE200">
        <f>N(AE199)+$AD200</f>
        <v>0</v>
      </c>
      <c r="AF200">
        <f>IF(AND($N200=1,AND(LEFT(对接源_01水果!$D200,4)="包装物料",N(对接源_01水果!$K200)&lt;&gt;0)),1,0)</f>
        <v>0</v>
      </c>
      <c r="AG200">
        <f>N(AG199)+$AF200</f>
        <v>0</v>
      </c>
      <c r="AH200">
        <f>IF(AND($N200=1,AND(对接源_01水果!$D200="周转筐－销售出库",N(对接源_01水果!$K200)&lt;&gt;0)),1,0)</f>
        <v>0</v>
      </c>
      <c r="AI200">
        <f>N(AI199)+$AH200</f>
        <v>0</v>
      </c>
      <c r="AJ200" s="7" t="n"/>
      <c r="AL200">
        <f>IF(OR($AL$1="",对接源_01水果!$Y200="",对接源_01水果!$Y200&lt;&gt;$AL$1,对接源_01水果!$B200="",N(对接源_01水果!$AJ200)&lt;=0),0,IF(OR(N(对接源_01水果!$B200)&lt;$AL$2,N(对接源_01水果!$B200)&gt;$AL$3),0,1))</f>
        <v>0</v>
      </c>
      <c r="AM200">
        <f>N(AM199)+$AL200</f>
        <v>0</v>
      </c>
      <c r="AN200">
        <f>IF(对接源_01水果!$AC200="","",对接源_01水果!$AC200)</f>
      </c>
      <c r="AO200">
        <f>IF(AN200="",0,IF(MATCH(AN200,$AN$4:$AN$1203,0)=ROW()-3,1,0))</f>
        <v>0</v>
      </c>
      <c r="AP200">
        <f>N(AP199)+$AO200</f>
        <v>0</v>
      </c>
      <c r="AQ200">
        <f>IFERROR(INDEX($AN$4:$AN$1203,MATCH(ROW()-3,$AP$4:$AP$1203,0)),"")</f>
      </c>
      <c r="AR200">
        <f>IF(OR($AF200=1,$AH200=1),1,0)</f>
        <v>0</v>
      </c>
      <c r="AS200">
        <f>N(AS199)+$AR200</f>
        <v>0</v>
      </c>
    </row>
    <row r="201" ht="14.25" customHeight="1" s="127">
      <c r="A201" t="str">
        <f>IF(对接源_01水果!$C201="","",对接源_01水果!$C201)</f>
        <v>马锦祥</v>
      </c>
      <c r="B201">
        <f>IF(A201="",0,IF(MATCH(A201,$A$4:$A$2403,0)=ROW()-3,1,0))</f>
        <v>0</v>
      </c>
      <c r="C201">
        <f>N(C200)+B201</f>
        <v>13</v>
      </c>
      <c r="E201">
        <f>IFERROR(INDEX($A$4:$A$2403,MATCH(ROW()-3,$C$4:$C$2403,0)),"")</f>
      </c>
      <c r="K201">
        <f>IF(OR($K$1="",对接源_01水果!$C201="",对接源_01水果!$C201&lt;&gt;$K$1,对接源_01水果!$B201=""),0,IF(OR(N(对接源_01水果!$B201)&lt;$K$2,N(对接源_01水果!$B201)&gt;$K$3),0,1))</f>
        <v>0</v>
      </c>
      <c r="L201">
        <f>IF(OR($L$1="",对接源_01水果!$C201="",对接源_01水果!$C201&lt;&gt;$L$1,对接源_01水果!$B201=""),0,IF(OR(N(对接源_01水果!$B201)&lt;$L$2,N(对接源_01水果!$B201)&gt;$L$3),0,1))</f>
        <v>0</v>
      </c>
      <c r="M201">
        <f>IF(OR($M$1="",对接源_01水果!$C201="",对接源_01水果!$C201&lt;&gt;$M$1,对接源_01水果!$B201=""),0,IF(OR(N(对接源_01水果!$B201)&lt;$M$2,N(对接源_01水果!$B201)&gt;$M$3),0,1))</f>
        <v>0</v>
      </c>
      <c r="N201">
        <f>IF(OR($N$1="",对接源_01水果!$C201="",对接源_01水果!$C201&lt;&gt;$N$1,对接源_01水果!$B201=""),0,IF(OR(N(对接源_01水果!$B201)&lt;$N$2,N(对接源_01水果!$B201)&gt;$N$3),0,1))</f>
        <v>0</v>
      </c>
      <c r="P201">
        <f>IF(AND($K201=1,AND(对接源_01水果!$X201="公司筐",N(对接源_01水果!$T201)&lt;&gt;0)),1,0)</f>
        <v>0</v>
      </c>
      <c r="Q201">
        <f>N(Q200)+$P201</f>
        <v>0</v>
      </c>
      <c r="R201">
        <f>IF(AND($K201=1,AND(对接源_01水果!$X201="公司筐",N(对接源_01水果!$U201)&lt;&gt;0)),1,0)</f>
        <v>0</v>
      </c>
      <c r="S201">
        <f>N(S200)+$R201</f>
        <v>0</v>
      </c>
      <c r="T201">
        <f>IF(AND($K201=1,AND(对接源_01水果!$X201="公司筐",N(对接源_01水果!$V201)&lt;&gt;0)),1,0)</f>
        <v>0</v>
      </c>
      <c r="U201">
        <f>N(U200)+$T201</f>
        <v>3</v>
      </c>
      <c r="V201">
        <f>IF(AND($L201=1,AND(对接源_01水果!$X201="自备筐",N(对接源_01水果!$V201)&lt;&gt;0)),1,0)</f>
        <v>0</v>
      </c>
      <c r="W201">
        <f>N(W200)+$V201</f>
        <v>5</v>
      </c>
      <c r="X201">
        <f>IF(AND($L201=1,AND(对接源_01水果!$X201="自备筐",N(对接源_01水果!$T201)&lt;&gt;0)),1,0)</f>
        <v>0</v>
      </c>
      <c r="Y201">
        <f>N(Y200)+$X201</f>
        <v>0</v>
      </c>
      <c r="Z201">
        <f>IF(AND($M201=1,对接源_01水果!$D201="原料入库"),1,0)</f>
        <v>0</v>
      </c>
      <c r="AA201">
        <f>N(AA200)+$Z201</f>
        <v>12</v>
      </c>
      <c r="AB201">
        <f>IF(AND($M201=1,LEFT(对接源_01水果!$D201,4)="原料出库"),1,0)</f>
        <v>0</v>
      </c>
      <c r="AC201">
        <f>N(AC200)+$AB201</f>
        <v>0</v>
      </c>
      <c r="AD201">
        <f>IF(AND($M201=1,LEFT(对接源_01水果!$D201,4)="成品出库"),1,0)</f>
        <v>0</v>
      </c>
      <c r="AE201">
        <f>N(AE200)+$AD201</f>
        <v>0</v>
      </c>
      <c r="AF201">
        <f>IF(AND($N201=1,AND(LEFT(对接源_01水果!$D201,4)="包装物料",N(对接源_01水果!$K201)&lt;&gt;0)),1,0)</f>
        <v>0</v>
      </c>
      <c r="AG201">
        <f>N(AG200)+$AF201</f>
        <v>0</v>
      </c>
      <c r="AH201">
        <f>IF(AND($N201=1,AND(对接源_01水果!$D201="周转筐－销售出库",N(对接源_01水果!$K201)&lt;&gt;0)),1,0)</f>
        <v>0</v>
      </c>
      <c r="AI201">
        <f>N(AI200)+$AH201</f>
        <v>0</v>
      </c>
      <c r="AJ201" s="7" t="n"/>
      <c r="AL201">
        <f>IF(OR($AL$1="",对接源_01水果!$Y201="",对接源_01水果!$Y201&lt;&gt;$AL$1,对接源_01水果!$B201="",N(对接源_01水果!$AJ201)&lt;=0),0,IF(OR(N(对接源_01水果!$B201)&lt;$AL$2,N(对接源_01水果!$B201)&gt;$AL$3),0,1))</f>
        <v>0</v>
      </c>
      <c r="AM201">
        <f>N(AM200)+$AL201</f>
        <v>0</v>
      </c>
      <c r="AN201">
        <f>IF(对接源_01水果!$AC201="","",对接源_01水果!$AC201)</f>
      </c>
      <c r="AO201">
        <f>IF(AN201="",0,IF(MATCH(AN201,$AN$4:$AN$1203,0)=ROW()-3,1,0))</f>
        <v>0</v>
      </c>
      <c r="AP201">
        <f>N(AP200)+$AO201</f>
        <v>0</v>
      </c>
      <c r="AQ201">
        <f>IFERROR(INDEX($AN$4:$AN$1203,MATCH(ROW()-3,$AP$4:$AP$1203,0)),"")</f>
      </c>
      <c r="AR201">
        <f>IF(OR($AF201=1,$AH201=1),1,0)</f>
        <v>0</v>
      </c>
      <c r="AS201">
        <f>N(AS200)+$AR201</f>
        <v>0</v>
      </c>
    </row>
    <row r="202" ht="14.25" customHeight="1" s="127">
      <c r="A202" t="str">
        <f>IF(对接源_01水果!$C202="","",对接源_01水果!$C202)</f>
        <v>马锦祥</v>
      </c>
      <c r="B202">
        <f>IF(A202="",0,IF(MATCH(A202,$A$4:$A$2403,0)=ROW()-3,1,0))</f>
        <v>0</v>
      </c>
      <c r="C202">
        <f>N(C201)+B202</f>
        <v>13</v>
      </c>
      <c r="E202">
        <f>IFERROR(INDEX($A$4:$A$2403,MATCH(ROW()-3,$C$4:$C$2403,0)),"")</f>
      </c>
      <c r="K202">
        <f>IF(OR($K$1="",对接源_01水果!$C202="",对接源_01水果!$C202&lt;&gt;$K$1,对接源_01水果!$B202=""),0,IF(OR(N(对接源_01水果!$B202)&lt;$K$2,N(对接源_01水果!$B202)&gt;$K$3),0,1))</f>
        <v>0</v>
      </c>
      <c r="L202">
        <f>IF(OR($L$1="",对接源_01水果!$C202="",对接源_01水果!$C202&lt;&gt;$L$1,对接源_01水果!$B202=""),0,IF(OR(N(对接源_01水果!$B202)&lt;$L$2,N(对接源_01水果!$B202)&gt;$L$3),0,1))</f>
        <v>0</v>
      </c>
      <c r="M202">
        <f>IF(OR($M$1="",对接源_01水果!$C202="",对接源_01水果!$C202&lt;&gt;$M$1,对接源_01水果!$B202=""),0,IF(OR(N(对接源_01水果!$B202)&lt;$M$2,N(对接源_01水果!$B202)&gt;$M$3),0,1))</f>
        <v>0</v>
      </c>
      <c r="N202">
        <f>IF(OR($N$1="",对接源_01水果!$C202="",对接源_01水果!$C202&lt;&gt;$N$1,对接源_01水果!$B202=""),0,IF(OR(N(对接源_01水果!$B202)&lt;$N$2,N(对接源_01水果!$B202)&gt;$N$3),0,1))</f>
        <v>0</v>
      </c>
      <c r="P202">
        <f>IF(AND($K202=1,AND(对接源_01水果!$X202="公司筐",N(对接源_01水果!$T202)&lt;&gt;0)),1,0)</f>
        <v>0</v>
      </c>
      <c r="Q202">
        <f>N(Q201)+$P202</f>
        <v>0</v>
      </c>
      <c r="R202">
        <f>IF(AND($K202=1,AND(对接源_01水果!$X202="公司筐",N(对接源_01水果!$U202)&lt;&gt;0)),1,0)</f>
        <v>0</v>
      </c>
      <c r="S202">
        <f>N(S201)+$R202</f>
        <v>0</v>
      </c>
      <c r="T202">
        <f>IF(AND($K202=1,AND(对接源_01水果!$X202="公司筐",N(对接源_01水果!$V202)&lt;&gt;0)),1,0)</f>
        <v>0</v>
      </c>
      <c r="U202">
        <f>N(U201)+$T202</f>
        <v>3</v>
      </c>
      <c r="V202">
        <f>IF(AND($L202=1,AND(对接源_01水果!$X202="自备筐",N(对接源_01水果!$V202)&lt;&gt;0)),1,0)</f>
        <v>0</v>
      </c>
      <c r="W202">
        <f>N(W201)+$V202</f>
        <v>5</v>
      </c>
      <c r="X202">
        <f>IF(AND($L202=1,AND(对接源_01水果!$X202="自备筐",N(对接源_01水果!$T202)&lt;&gt;0)),1,0)</f>
        <v>0</v>
      </c>
      <c r="Y202">
        <f>N(Y201)+$X202</f>
        <v>0</v>
      </c>
      <c r="Z202">
        <f>IF(AND($M202=1,对接源_01水果!$D202="原料入库"),1,0)</f>
        <v>0</v>
      </c>
      <c r="AA202">
        <f>N(AA201)+$Z202</f>
        <v>12</v>
      </c>
      <c r="AB202">
        <f>IF(AND($M202=1,LEFT(对接源_01水果!$D202,4)="原料出库"),1,0)</f>
        <v>0</v>
      </c>
      <c r="AC202">
        <f>N(AC201)+$AB202</f>
        <v>0</v>
      </c>
      <c r="AD202">
        <f>IF(AND($M202=1,LEFT(对接源_01水果!$D202,4)="成品出库"),1,0)</f>
        <v>0</v>
      </c>
      <c r="AE202">
        <f>N(AE201)+$AD202</f>
        <v>0</v>
      </c>
      <c r="AF202">
        <f>IF(AND($N202=1,AND(LEFT(对接源_01水果!$D202,4)="包装物料",N(对接源_01水果!$K202)&lt;&gt;0)),1,0)</f>
        <v>0</v>
      </c>
      <c r="AG202">
        <f>N(AG201)+$AF202</f>
        <v>0</v>
      </c>
      <c r="AH202">
        <f>IF(AND($N202=1,AND(对接源_01水果!$D202="周转筐－销售出库",N(对接源_01水果!$K202)&lt;&gt;0)),1,0)</f>
        <v>0</v>
      </c>
      <c r="AI202">
        <f>N(AI201)+$AH202</f>
        <v>0</v>
      </c>
      <c r="AJ202" s="7" t="n"/>
      <c r="AL202">
        <f>IF(OR($AL$1="",对接源_01水果!$Y202="",对接源_01水果!$Y202&lt;&gt;$AL$1,对接源_01水果!$B202="",N(对接源_01水果!$AJ202)&lt;=0),0,IF(OR(N(对接源_01水果!$B202)&lt;$AL$2,N(对接源_01水果!$B202)&gt;$AL$3),0,1))</f>
        <v>0</v>
      </c>
      <c r="AM202">
        <f>N(AM201)+$AL202</f>
        <v>0</v>
      </c>
      <c r="AN202">
        <f>IF(对接源_01水果!$AC202="","",对接源_01水果!$AC202)</f>
      </c>
      <c r="AO202">
        <f>IF(AN202="",0,IF(MATCH(AN202,$AN$4:$AN$1203,0)=ROW()-3,1,0))</f>
        <v>0</v>
      </c>
      <c r="AP202">
        <f>N(AP201)+$AO202</f>
        <v>0</v>
      </c>
      <c r="AQ202">
        <f>IFERROR(INDEX($AN$4:$AN$1203,MATCH(ROW()-3,$AP$4:$AP$1203,0)),"")</f>
      </c>
      <c r="AR202">
        <f>IF(OR($AF202=1,$AH202=1),1,0)</f>
        <v>0</v>
      </c>
      <c r="AS202">
        <f>N(AS201)+$AR202</f>
        <v>0</v>
      </c>
    </row>
    <row r="203" ht="14.25" customHeight="1" s="127">
      <c r="A203" t="str">
        <f>IF(对接源_01水果!$C203="","",对接源_01水果!$C203)</f>
        <v>王照雪</v>
      </c>
      <c r="B203">
        <f>IF(A203="",0,IF(MATCH(A203,$A$4:$A$2403,0)=ROW()-3,1,0))</f>
        <v>0</v>
      </c>
      <c r="C203">
        <f>N(C202)+B203</f>
        <v>13</v>
      </c>
      <c r="E203">
        <f>IFERROR(INDEX($A$4:$A$2403,MATCH(ROW()-3,$C$4:$C$2403,0)),"")</f>
      </c>
      <c r="K203">
        <f>IF(OR($K$1="",对接源_01水果!$C203="",对接源_01水果!$C203&lt;&gt;$K$1,对接源_01水果!$B203=""),0,IF(OR(N(对接源_01水果!$B203)&lt;$K$2,N(对接源_01水果!$B203)&gt;$K$3),0,1))</f>
        <v>0</v>
      </c>
      <c r="L203">
        <f>IF(OR($L$1="",对接源_01水果!$C203="",对接源_01水果!$C203&lt;&gt;$L$1,对接源_01水果!$B203=""),0,IF(OR(N(对接源_01水果!$B203)&lt;$L$2,N(对接源_01水果!$B203)&gt;$L$3),0,1))</f>
        <v>0</v>
      </c>
      <c r="M203">
        <f>IF(OR($M$1="",对接源_01水果!$C203="",对接源_01水果!$C203&lt;&gt;$M$1,对接源_01水果!$B203=""),0,IF(OR(N(对接源_01水果!$B203)&lt;$M$2,N(对接源_01水果!$B203)&gt;$M$3),0,1))</f>
        <v>0</v>
      </c>
      <c r="N203">
        <f>IF(OR($N$1="",对接源_01水果!$C203="",对接源_01水果!$C203&lt;&gt;$N$1,对接源_01水果!$B203=""),0,IF(OR(N(对接源_01水果!$B203)&lt;$N$2,N(对接源_01水果!$B203)&gt;$N$3),0,1))</f>
        <v>0</v>
      </c>
      <c r="P203">
        <f>IF(AND($K203=1,AND(对接源_01水果!$X203="公司筐",N(对接源_01水果!$T203)&lt;&gt;0)),1,0)</f>
        <v>0</v>
      </c>
      <c r="Q203">
        <f>N(Q202)+$P203</f>
        <v>0</v>
      </c>
      <c r="R203">
        <f>IF(AND($K203=1,AND(对接源_01水果!$X203="公司筐",N(对接源_01水果!$U203)&lt;&gt;0)),1,0)</f>
        <v>0</v>
      </c>
      <c r="S203">
        <f>N(S202)+$R203</f>
        <v>0</v>
      </c>
      <c r="T203">
        <f>IF(AND($K203=1,AND(对接源_01水果!$X203="公司筐",N(对接源_01水果!$V203)&lt;&gt;0)),1,0)</f>
        <v>0</v>
      </c>
      <c r="U203">
        <f>N(U202)+$T203</f>
        <v>3</v>
      </c>
      <c r="V203">
        <f>IF(AND($L203=1,AND(对接源_01水果!$X203="自备筐",N(对接源_01水果!$V203)&lt;&gt;0)),1,0)</f>
        <v>0</v>
      </c>
      <c r="W203">
        <f>N(W202)+$V203</f>
        <v>5</v>
      </c>
      <c r="X203">
        <f>IF(AND($L203=1,AND(对接源_01水果!$X203="自备筐",N(对接源_01水果!$T203)&lt;&gt;0)),1,0)</f>
        <v>0</v>
      </c>
      <c r="Y203">
        <f>N(Y202)+$X203</f>
        <v>0</v>
      </c>
      <c r="Z203">
        <f>IF(AND($M203=1,对接源_01水果!$D203="原料入库"),1,0)</f>
        <v>0</v>
      </c>
      <c r="AA203">
        <f>N(AA202)+$Z203</f>
        <v>12</v>
      </c>
      <c r="AB203">
        <f>IF(AND($M203=1,LEFT(对接源_01水果!$D203,4)="原料出库"),1,0)</f>
        <v>0</v>
      </c>
      <c r="AC203">
        <f>N(AC202)+$AB203</f>
        <v>0</v>
      </c>
      <c r="AD203">
        <f>IF(AND($M203=1,LEFT(对接源_01水果!$D203,4)="成品出库"),1,0)</f>
        <v>0</v>
      </c>
      <c r="AE203">
        <f>N(AE202)+$AD203</f>
        <v>0</v>
      </c>
      <c r="AF203">
        <f>IF(AND($N203=1,AND(LEFT(对接源_01水果!$D203,4)="包装物料",N(对接源_01水果!$K203)&lt;&gt;0)),1,0)</f>
        <v>0</v>
      </c>
      <c r="AG203">
        <f>N(AG202)+$AF203</f>
        <v>0</v>
      </c>
      <c r="AH203">
        <f>IF(AND($N203=1,AND(对接源_01水果!$D203="周转筐－销售出库",N(对接源_01水果!$K203)&lt;&gt;0)),1,0)</f>
        <v>0</v>
      </c>
      <c r="AI203">
        <f>N(AI202)+$AH203</f>
        <v>0</v>
      </c>
      <c r="AJ203" s="7" t="n"/>
      <c r="AL203">
        <f>IF(OR($AL$1="",对接源_01水果!$Y203="",对接源_01水果!$Y203&lt;&gt;$AL$1,对接源_01水果!$B203="",N(对接源_01水果!$AJ203)&lt;=0),0,IF(OR(N(对接源_01水果!$B203)&lt;$AL$2,N(对接源_01水果!$B203)&gt;$AL$3),0,1))</f>
        <v>0</v>
      </c>
      <c r="AM203">
        <f>N(AM202)+$AL203</f>
        <v>0</v>
      </c>
      <c r="AN203">
        <f>IF(对接源_01水果!$AC203="","",对接源_01水果!$AC203)</f>
      </c>
      <c r="AO203">
        <f>IF(AN203="",0,IF(MATCH(AN203,$AN$4:$AN$1203,0)=ROW()-3,1,0))</f>
        <v>0</v>
      </c>
      <c r="AP203">
        <f>N(AP202)+$AO203</f>
        <v>0</v>
      </c>
      <c r="AQ203">
        <f>IFERROR(INDEX($AN$4:$AN$1203,MATCH(ROW()-3,$AP$4:$AP$1203,0)),"")</f>
      </c>
      <c r="AR203">
        <f>IF(OR($AF203=1,$AH203=1),1,0)</f>
        <v>0</v>
      </c>
      <c r="AS203">
        <f>N(AS202)+$AR203</f>
        <v>0</v>
      </c>
    </row>
    <row r="204" ht="14.25" customHeight="1" s="127">
      <c r="A204" t="str">
        <f>IF(对接源_01水果!$C204="","",对接源_01水果!$C204)</f>
        <v>王照雪</v>
      </c>
      <c r="B204">
        <f>IF(A204="",0,IF(MATCH(A204,$A$4:$A$2403,0)=ROW()-3,1,0))</f>
        <v>0</v>
      </c>
      <c r="C204">
        <f>N(C203)+B204</f>
        <v>13</v>
      </c>
      <c r="E204">
        <f>IFERROR(INDEX($A$4:$A$2403,MATCH(ROW()-3,$C$4:$C$2403,0)),"")</f>
      </c>
      <c r="K204">
        <f>IF(OR($K$1="",对接源_01水果!$C204="",对接源_01水果!$C204&lt;&gt;$K$1,对接源_01水果!$B204=""),0,IF(OR(N(对接源_01水果!$B204)&lt;$K$2,N(对接源_01水果!$B204)&gt;$K$3),0,1))</f>
        <v>0</v>
      </c>
      <c r="L204">
        <f>IF(OR($L$1="",对接源_01水果!$C204="",对接源_01水果!$C204&lt;&gt;$L$1,对接源_01水果!$B204=""),0,IF(OR(N(对接源_01水果!$B204)&lt;$L$2,N(对接源_01水果!$B204)&gt;$L$3),0,1))</f>
        <v>0</v>
      </c>
      <c r="M204">
        <f>IF(OR($M$1="",对接源_01水果!$C204="",对接源_01水果!$C204&lt;&gt;$M$1,对接源_01水果!$B204=""),0,IF(OR(N(对接源_01水果!$B204)&lt;$M$2,N(对接源_01水果!$B204)&gt;$M$3),0,1))</f>
        <v>0</v>
      </c>
      <c r="N204">
        <f>IF(OR($N$1="",对接源_01水果!$C204="",对接源_01水果!$C204&lt;&gt;$N$1,对接源_01水果!$B204=""),0,IF(OR(N(对接源_01水果!$B204)&lt;$N$2,N(对接源_01水果!$B204)&gt;$N$3),0,1))</f>
        <v>0</v>
      </c>
      <c r="P204">
        <f>IF(AND($K204=1,AND(对接源_01水果!$X204="公司筐",N(对接源_01水果!$T204)&lt;&gt;0)),1,0)</f>
        <v>0</v>
      </c>
      <c r="Q204">
        <f>N(Q203)+$P204</f>
        <v>0</v>
      </c>
      <c r="R204">
        <f>IF(AND($K204=1,AND(对接源_01水果!$X204="公司筐",N(对接源_01水果!$U204)&lt;&gt;0)),1,0)</f>
        <v>0</v>
      </c>
      <c r="S204">
        <f>N(S203)+$R204</f>
        <v>0</v>
      </c>
      <c r="T204">
        <f>IF(AND($K204=1,AND(对接源_01水果!$X204="公司筐",N(对接源_01水果!$V204)&lt;&gt;0)),1,0)</f>
        <v>0</v>
      </c>
      <c r="U204">
        <f>N(U203)+$T204</f>
        <v>3</v>
      </c>
      <c r="V204">
        <f>IF(AND($L204=1,AND(对接源_01水果!$X204="自备筐",N(对接源_01水果!$V204)&lt;&gt;0)),1,0)</f>
        <v>0</v>
      </c>
      <c r="W204">
        <f>N(W203)+$V204</f>
        <v>5</v>
      </c>
      <c r="X204">
        <f>IF(AND($L204=1,AND(对接源_01水果!$X204="自备筐",N(对接源_01水果!$T204)&lt;&gt;0)),1,0)</f>
        <v>0</v>
      </c>
      <c r="Y204">
        <f>N(Y203)+$X204</f>
        <v>0</v>
      </c>
      <c r="Z204">
        <f>IF(AND($M204=1,对接源_01水果!$D204="原料入库"),1,0)</f>
        <v>0</v>
      </c>
      <c r="AA204">
        <f>N(AA203)+$Z204</f>
        <v>12</v>
      </c>
      <c r="AB204">
        <f>IF(AND($M204=1,LEFT(对接源_01水果!$D204,4)="原料出库"),1,0)</f>
        <v>0</v>
      </c>
      <c r="AC204">
        <f>N(AC203)+$AB204</f>
        <v>0</v>
      </c>
      <c r="AD204">
        <f>IF(AND($M204=1,LEFT(对接源_01水果!$D204,4)="成品出库"),1,0)</f>
        <v>0</v>
      </c>
      <c r="AE204">
        <f>N(AE203)+$AD204</f>
        <v>0</v>
      </c>
      <c r="AF204">
        <f>IF(AND($N204=1,AND(LEFT(对接源_01水果!$D204,4)="包装物料",N(对接源_01水果!$K204)&lt;&gt;0)),1,0)</f>
        <v>0</v>
      </c>
      <c r="AG204">
        <f>N(AG203)+$AF204</f>
        <v>0</v>
      </c>
      <c r="AH204">
        <f>IF(AND($N204=1,AND(对接源_01水果!$D204="周转筐－销售出库",N(对接源_01水果!$K204)&lt;&gt;0)),1,0)</f>
        <v>0</v>
      </c>
      <c r="AI204">
        <f>N(AI203)+$AH204</f>
        <v>0</v>
      </c>
      <c r="AJ204" s="7" t="n"/>
      <c r="AL204">
        <f>IF(OR($AL$1="",对接源_01水果!$Y204="",对接源_01水果!$Y204&lt;&gt;$AL$1,对接源_01水果!$B204="",N(对接源_01水果!$AJ204)&lt;=0),0,IF(OR(N(对接源_01水果!$B204)&lt;$AL$2,N(对接源_01水果!$B204)&gt;$AL$3),0,1))</f>
        <v>0</v>
      </c>
      <c r="AM204">
        <f>N(AM203)+$AL204</f>
        <v>0</v>
      </c>
      <c r="AN204">
        <f>IF(对接源_01水果!$AC204="","",对接源_01水果!$AC204)</f>
      </c>
      <c r="AO204">
        <f>IF(AN204="",0,IF(MATCH(AN204,$AN$4:$AN$1203,0)=ROW()-3,1,0))</f>
        <v>0</v>
      </c>
      <c r="AP204">
        <f>N(AP203)+$AO204</f>
        <v>0</v>
      </c>
      <c r="AR204">
        <f>IF(OR($AF204=1,$AH204=1),1,0)</f>
        <v>0</v>
      </c>
      <c r="AS204">
        <f>N(AS203)+$AR204</f>
        <v>0</v>
      </c>
    </row>
    <row r="205" ht="14.25" customHeight="1" s="127">
      <c r="A205" t="str">
        <f>IF(对接源_01水果!$C205="","",对接源_01水果!$C205)</f>
        <v>麦麦提</v>
      </c>
      <c r="B205">
        <f>IF(A205="",0,IF(MATCH(A205,$A$4:$A$2403,0)=ROW()-3,1,0))</f>
        <v>0</v>
      </c>
      <c r="C205">
        <f>N(C204)+B205</f>
        <v>13</v>
      </c>
      <c r="E205">
        <f>IFERROR(INDEX($A$4:$A$2403,MATCH(ROW()-3,$C$4:$C$2403,0)),"")</f>
      </c>
      <c r="K205">
        <f>IF(OR($K$1="",对接源_01水果!$C205="",对接源_01水果!$C205&lt;&gt;$K$1,对接源_01水果!$B205=""),0,IF(OR(N(对接源_01水果!$B205)&lt;$K$2,N(对接源_01水果!$B205)&gt;$K$3),0,1))</f>
        <v>0</v>
      </c>
      <c r="L205">
        <f>IF(OR($L$1="",对接源_01水果!$C205="",对接源_01水果!$C205&lt;&gt;$L$1,对接源_01水果!$B205=""),0,IF(OR(N(对接源_01水果!$B205)&lt;$L$2,N(对接源_01水果!$B205)&gt;$L$3),0,1))</f>
        <v>0</v>
      </c>
      <c r="M205">
        <f>IF(OR($M$1="",对接源_01水果!$C205="",对接源_01水果!$C205&lt;&gt;$M$1,对接源_01水果!$B205=""),0,IF(OR(N(对接源_01水果!$B205)&lt;$M$2,N(对接源_01水果!$B205)&gt;$M$3),0,1))</f>
        <v>0</v>
      </c>
      <c r="N205">
        <f>IF(OR($N$1="",对接源_01水果!$C205="",对接源_01水果!$C205&lt;&gt;$N$1,对接源_01水果!$B205=""),0,IF(OR(N(对接源_01水果!$B205)&lt;$N$2,N(对接源_01水果!$B205)&gt;$N$3),0,1))</f>
        <v>1</v>
      </c>
      <c r="P205">
        <f>IF(AND($K205=1,AND(对接源_01水果!$X205="公司筐",N(对接源_01水果!$T205)&lt;&gt;0)),1,0)</f>
        <v>0</v>
      </c>
      <c r="Q205">
        <f>N(Q204)+$P205</f>
        <v>0</v>
      </c>
      <c r="R205">
        <f>IF(AND($K205=1,AND(对接源_01水果!$X205="公司筐",N(对接源_01水果!$U205)&lt;&gt;0)),1,0)</f>
        <v>0</v>
      </c>
      <c r="S205">
        <f>N(S204)+$R205</f>
        <v>0</v>
      </c>
      <c r="T205">
        <f>IF(AND($K205=1,AND(对接源_01水果!$X205="公司筐",N(对接源_01水果!$V205)&lt;&gt;0)),1,0)</f>
        <v>0</v>
      </c>
      <c r="U205">
        <f>N(U204)+$T205</f>
        <v>3</v>
      </c>
      <c r="V205">
        <f>IF(AND($L205=1,AND(对接源_01水果!$X205="自备筐",N(对接源_01水果!$V205)&lt;&gt;0)),1,0)</f>
        <v>0</v>
      </c>
      <c r="W205">
        <f>N(W204)+$V205</f>
        <v>5</v>
      </c>
      <c r="X205">
        <f>IF(AND($L205=1,AND(对接源_01水果!$X205="自备筐",N(对接源_01水果!$T205)&lt;&gt;0)),1,0)</f>
        <v>0</v>
      </c>
      <c r="Y205">
        <f>N(Y204)+$X205</f>
        <v>0</v>
      </c>
      <c r="Z205">
        <f>IF(AND($M205=1,对接源_01水果!$D205="原料入库"),1,0)</f>
        <v>0</v>
      </c>
      <c r="AA205">
        <f>N(AA204)+$Z205</f>
        <v>12</v>
      </c>
      <c r="AB205">
        <f>IF(AND($M205=1,LEFT(对接源_01水果!$D205,4)="原料出库"),1,0)</f>
        <v>0</v>
      </c>
      <c r="AC205">
        <f>N(AC204)+$AB205</f>
        <v>0</v>
      </c>
      <c r="AD205">
        <f>IF(AND($M205=1,LEFT(对接源_01水果!$D205,4)="成品出库"),1,0)</f>
        <v>0</v>
      </c>
      <c r="AE205">
        <f>N(AE204)+$AD205</f>
        <v>0</v>
      </c>
      <c r="AF205">
        <f>IF(AND($N205=1,AND(LEFT(对接源_01水果!$D205,4)="包装物料",N(对接源_01水果!$K205)&lt;&gt;0)),1,0)</f>
        <v>0</v>
      </c>
      <c r="AG205">
        <f>N(AG204)+$AF205</f>
        <v>0</v>
      </c>
      <c r="AH205">
        <f>IF(AND($N205=1,AND(对接源_01水果!$D205="周转筐－销售出库",N(对接源_01水果!$K205)&lt;&gt;0)),1,0)</f>
        <v>0</v>
      </c>
      <c r="AI205">
        <f>N(AI204)+$AH205</f>
        <v>0</v>
      </c>
      <c r="AJ205" s="7" t="n"/>
      <c r="AL205">
        <f>IF(OR($AL$1="",对接源_01水果!$Y205="",对接源_01水果!$Y205&lt;&gt;$AL$1,对接源_01水果!$B205="",N(对接源_01水果!$AJ205)&lt;=0),0,IF(OR(N(对接源_01水果!$B205)&lt;$AL$2,N(对接源_01水果!$B205)&gt;$AL$3),0,1))</f>
        <v>0</v>
      </c>
      <c r="AM205">
        <f>N(AM204)+$AL205</f>
        <v>0</v>
      </c>
      <c r="AN205">
        <f>IF(对接源_01水果!$AC205="","",对接源_01水果!$AC205)</f>
      </c>
      <c r="AO205">
        <f>IF(AN205="",0,IF(MATCH(AN205,$AN$4:$AN$1203,0)=ROW()-3,1,0))</f>
        <v>0</v>
      </c>
      <c r="AP205">
        <f>N(AP204)+$AO205</f>
        <v>0</v>
      </c>
      <c r="AR205">
        <f>IF(OR($AF205=1,$AH205=1),1,0)</f>
        <v>0</v>
      </c>
      <c r="AS205">
        <f>N(AS204)+$AR205</f>
        <v>0</v>
      </c>
    </row>
    <row r="206" ht="14.25" customHeight="1" s="127">
      <c r="A206" t="str">
        <f>IF(对接源_01水果!$C206="","",对接源_01水果!$C206)</f>
        <v>麦麦提</v>
      </c>
      <c r="B206">
        <f>IF(A206="",0,IF(MATCH(A206,$A$4:$A$2403,0)=ROW()-3,1,0))</f>
        <v>0</v>
      </c>
      <c r="C206">
        <f>N(C205)+B206</f>
        <v>13</v>
      </c>
      <c r="E206">
        <f>IFERROR(INDEX($A$4:$A$2403,MATCH(ROW()-3,$C$4:$C$2403,0)),"")</f>
      </c>
      <c r="K206">
        <f>IF(OR($K$1="",对接源_01水果!$C206="",对接源_01水果!$C206&lt;&gt;$K$1,对接源_01水果!$B206=""),0,IF(OR(N(对接源_01水果!$B206)&lt;$K$2,N(对接源_01水果!$B206)&gt;$K$3),0,1))</f>
        <v>0</v>
      </c>
      <c r="L206">
        <f>IF(OR($L$1="",对接源_01水果!$C206="",对接源_01水果!$C206&lt;&gt;$L$1,对接源_01水果!$B206=""),0,IF(OR(N(对接源_01水果!$B206)&lt;$L$2,N(对接源_01水果!$B206)&gt;$L$3),0,1))</f>
        <v>0</v>
      </c>
      <c r="M206">
        <f>IF(OR($M$1="",对接源_01水果!$C206="",对接源_01水果!$C206&lt;&gt;$M$1,对接源_01水果!$B206=""),0,IF(OR(N(对接源_01水果!$B206)&lt;$M$2,N(对接源_01水果!$B206)&gt;$M$3),0,1))</f>
        <v>0</v>
      </c>
      <c r="N206">
        <f>IF(OR($N$1="",对接源_01水果!$C206="",对接源_01水果!$C206&lt;&gt;$N$1,对接源_01水果!$B206=""),0,IF(OR(N(对接源_01水果!$B206)&lt;$N$2,N(对接源_01水果!$B206)&gt;$N$3),0,1))</f>
        <v>1</v>
      </c>
      <c r="P206">
        <f>IF(AND($K206=1,AND(对接源_01水果!$X206="公司筐",N(对接源_01水果!$T206)&lt;&gt;0)),1,0)</f>
        <v>0</v>
      </c>
      <c r="Q206">
        <f>N(Q205)+$P206</f>
        <v>0</v>
      </c>
      <c r="R206">
        <f>IF(AND($K206=1,AND(对接源_01水果!$X206="公司筐",N(对接源_01水果!$U206)&lt;&gt;0)),1,0)</f>
        <v>0</v>
      </c>
      <c r="S206">
        <f>N(S205)+$R206</f>
        <v>0</v>
      </c>
      <c r="T206">
        <f>IF(AND($K206=1,AND(对接源_01水果!$X206="公司筐",N(对接源_01水果!$V206)&lt;&gt;0)),1,0)</f>
        <v>0</v>
      </c>
      <c r="U206">
        <f>N(U205)+$T206</f>
        <v>3</v>
      </c>
      <c r="V206">
        <f>IF(AND($L206=1,AND(对接源_01水果!$X206="自备筐",N(对接源_01水果!$V206)&lt;&gt;0)),1,0)</f>
        <v>0</v>
      </c>
      <c r="W206">
        <f>N(W205)+$V206</f>
        <v>5</v>
      </c>
      <c r="X206">
        <f>IF(AND($L206=1,AND(对接源_01水果!$X206="自备筐",N(对接源_01水果!$T206)&lt;&gt;0)),1,0)</f>
        <v>0</v>
      </c>
      <c r="Y206">
        <f>N(Y205)+$X206</f>
        <v>0</v>
      </c>
      <c r="Z206">
        <f>IF(AND($M206=1,对接源_01水果!$D206="原料入库"),1,0)</f>
        <v>0</v>
      </c>
      <c r="AA206">
        <f>N(AA205)+$Z206</f>
        <v>12</v>
      </c>
      <c r="AB206">
        <f>IF(AND($M206=1,LEFT(对接源_01水果!$D206,4)="原料出库"),1,0)</f>
        <v>0</v>
      </c>
      <c r="AC206">
        <f>N(AC205)+$AB206</f>
        <v>0</v>
      </c>
      <c r="AD206">
        <f>IF(AND($M206=1,LEFT(对接源_01水果!$D206,4)="成品出库"),1,0)</f>
        <v>0</v>
      </c>
      <c r="AE206">
        <f>N(AE205)+$AD206</f>
        <v>0</v>
      </c>
      <c r="AF206">
        <f>IF(AND($N206=1,AND(LEFT(对接源_01水果!$D206,4)="包装物料",N(对接源_01水果!$K206)&lt;&gt;0)),1,0)</f>
        <v>0</v>
      </c>
      <c r="AG206">
        <f>N(AG205)+$AF206</f>
        <v>0</v>
      </c>
      <c r="AH206">
        <f>IF(AND($N206=1,AND(对接源_01水果!$D206="周转筐－销售出库",N(对接源_01水果!$K206)&lt;&gt;0)),1,0)</f>
        <v>0</v>
      </c>
      <c r="AI206">
        <f>N(AI205)+$AH206</f>
        <v>0</v>
      </c>
      <c r="AJ206" s="7" t="n"/>
      <c r="AL206">
        <f>IF(OR($AL$1="",对接源_01水果!$Y206="",对接源_01水果!$Y206&lt;&gt;$AL$1,对接源_01水果!$B206="",N(对接源_01水果!$AJ206)&lt;=0),0,IF(OR(N(对接源_01水果!$B206)&lt;$AL$2,N(对接源_01水果!$B206)&gt;$AL$3),0,1))</f>
        <v>0</v>
      </c>
      <c r="AM206">
        <f>N(AM205)+$AL206</f>
        <v>0</v>
      </c>
      <c r="AN206">
        <f>IF(对接源_01水果!$AC206="","",对接源_01水果!$AC206)</f>
      </c>
      <c r="AO206">
        <f>IF(AN206="",0,IF(MATCH(AN206,$AN$4:$AN$1203,0)=ROW()-3,1,0))</f>
        <v>0</v>
      </c>
      <c r="AP206">
        <f>N(AP205)+$AO206</f>
        <v>0</v>
      </c>
      <c r="AR206">
        <f>IF(OR($AF206=1,$AH206=1),1,0)</f>
        <v>0</v>
      </c>
      <c r="AS206">
        <f>N(AS205)+$AR206</f>
        <v>0</v>
      </c>
    </row>
    <row r="207" ht="14.25" customHeight="1" s="127">
      <c r="A207" t="str">
        <f>IF(对接源_01水果!$C207="","",对接源_01水果!$C207)</f>
        <v>麦麦提</v>
      </c>
      <c r="B207">
        <f>IF(A207="",0,IF(MATCH(A207,$A$4:$A$2403,0)=ROW()-3,1,0))</f>
        <v>0</v>
      </c>
      <c r="C207">
        <f>N(C206)+B207</f>
        <v>13</v>
      </c>
      <c r="E207">
        <f>IFERROR(INDEX($A$4:$A$2403,MATCH(ROW()-3,$C$4:$C$2403,0)),"")</f>
      </c>
      <c r="K207">
        <f>IF(OR($K$1="",对接源_01水果!$C207="",对接源_01水果!$C207&lt;&gt;$K$1,对接源_01水果!$B207=""),0,IF(OR(N(对接源_01水果!$B207)&lt;$K$2,N(对接源_01水果!$B207)&gt;$K$3),0,1))</f>
        <v>0</v>
      </c>
      <c r="L207">
        <f>IF(OR($L$1="",对接源_01水果!$C207="",对接源_01水果!$C207&lt;&gt;$L$1,对接源_01水果!$B207=""),0,IF(OR(N(对接源_01水果!$B207)&lt;$L$2,N(对接源_01水果!$B207)&gt;$L$3),0,1))</f>
        <v>0</v>
      </c>
      <c r="M207">
        <f>IF(OR($M$1="",对接源_01水果!$C207="",对接源_01水果!$C207&lt;&gt;$M$1,对接源_01水果!$B207=""),0,IF(OR(N(对接源_01水果!$B207)&lt;$M$2,N(对接源_01水果!$B207)&gt;$M$3),0,1))</f>
        <v>0</v>
      </c>
      <c r="N207">
        <f>IF(OR($N$1="",对接源_01水果!$C207="",对接源_01水果!$C207&lt;&gt;$N$1,对接源_01水果!$B207=""),0,IF(OR(N(对接源_01水果!$B207)&lt;$N$2,N(对接源_01水果!$B207)&gt;$N$3),0,1))</f>
        <v>1</v>
      </c>
      <c r="P207">
        <f>IF(AND($K207=1,AND(对接源_01水果!$X207="公司筐",N(对接源_01水果!$T207)&lt;&gt;0)),1,0)</f>
        <v>0</v>
      </c>
      <c r="Q207">
        <f>N(Q206)+$P207</f>
        <v>0</v>
      </c>
      <c r="R207">
        <f>IF(AND($K207=1,AND(对接源_01水果!$X207="公司筐",N(对接源_01水果!$U207)&lt;&gt;0)),1,0)</f>
        <v>0</v>
      </c>
      <c r="S207">
        <f>N(S206)+$R207</f>
        <v>0</v>
      </c>
      <c r="T207">
        <f>IF(AND($K207=1,AND(对接源_01水果!$X207="公司筐",N(对接源_01水果!$V207)&lt;&gt;0)),1,0)</f>
        <v>0</v>
      </c>
      <c r="U207">
        <f>N(U206)+$T207</f>
        <v>3</v>
      </c>
      <c r="V207">
        <f>IF(AND($L207=1,AND(对接源_01水果!$X207="自备筐",N(对接源_01水果!$V207)&lt;&gt;0)),1,0)</f>
        <v>0</v>
      </c>
      <c r="W207">
        <f>N(W206)+$V207</f>
        <v>5</v>
      </c>
      <c r="X207">
        <f>IF(AND($L207=1,AND(对接源_01水果!$X207="自备筐",N(对接源_01水果!$T207)&lt;&gt;0)),1,0)</f>
        <v>0</v>
      </c>
      <c r="Y207">
        <f>N(Y206)+$X207</f>
        <v>0</v>
      </c>
      <c r="Z207">
        <f>IF(AND($M207=1,对接源_01水果!$D207="原料入库"),1,0)</f>
        <v>0</v>
      </c>
      <c r="AA207">
        <f>N(AA206)+$Z207</f>
        <v>12</v>
      </c>
      <c r="AB207">
        <f>IF(AND($M207=1,LEFT(对接源_01水果!$D207,4)="原料出库"),1,0)</f>
        <v>0</v>
      </c>
      <c r="AC207">
        <f>N(AC206)+$AB207</f>
        <v>0</v>
      </c>
      <c r="AD207">
        <f>IF(AND($M207=1,LEFT(对接源_01水果!$D207,4)="成品出库"),1,0)</f>
        <v>0</v>
      </c>
      <c r="AE207">
        <f>N(AE206)+$AD207</f>
        <v>0</v>
      </c>
      <c r="AF207">
        <f>IF(AND($N207=1,AND(LEFT(对接源_01水果!$D207,4)="包装物料",N(对接源_01水果!$K207)&lt;&gt;0)),1,0)</f>
        <v>0</v>
      </c>
      <c r="AG207">
        <f>N(AG206)+$AF207</f>
        <v>0</v>
      </c>
      <c r="AH207">
        <f>IF(AND($N207=1,AND(对接源_01水果!$D207="周转筐－销售出库",N(对接源_01水果!$K207)&lt;&gt;0)),1,0)</f>
        <v>0</v>
      </c>
      <c r="AI207">
        <f>N(AI206)+$AH207</f>
        <v>0</v>
      </c>
      <c r="AJ207" s="7" t="n"/>
      <c r="AL207">
        <f>IF(OR($AL$1="",对接源_01水果!$Y207="",对接源_01水果!$Y207&lt;&gt;$AL$1,对接源_01水果!$B207="",N(对接源_01水果!$AJ207)&lt;=0),0,IF(OR(N(对接源_01水果!$B207)&lt;$AL$2,N(对接源_01水果!$B207)&gt;$AL$3),0,1))</f>
        <v>0</v>
      </c>
      <c r="AM207">
        <f>N(AM206)+$AL207</f>
        <v>0</v>
      </c>
      <c r="AN207">
        <f>IF(对接源_01水果!$AC207="","",对接源_01水果!$AC207)</f>
      </c>
      <c r="AO207">
        <f>IF(AN207="",0,IF(MATCH(AN207,$AN$4:$AN$1203,0)=ROW()-3,1,0))</f>
        <v>0</v>
      </c>
      <c r="AP207">
        <f>N(AP206)+$AO207</f>
        <v>0</v>
      </c>
      <c r="AR207">
        <f>IF(OR($AF207=1,$AH207=1),1,0)</f>
        <v>0</v>
      </c>
      <c r="AS207">
        <f>N(AS206)+$AR207</f>
        <v>0</v>
      </c>
    </row>
    <row r="208" ht="14.25" customHeight="1" s="127">
      <c r="A208" t="str">
        <f>IF(对接源_01水果!$C208="","",对接源_01水果!$C208)</f>
        <v>王灵云</v>
      </c>
      <c r="B208">
        <f>IF(A208="",0,IF(MATCH(A208,$A$4:$A$2403,0)=ROW()-3,1,0))</f>
        <v>0</v>
      </c>
      <c r="C208">
        <f>N(C207)+B208</f>
        <v>13</v>
      </c>
      <c r="E208">
        <f>IFERROR(INDEX($A$4:$A$2403,MATCH(ROW()-3,$C$4:$C$2403,0)),"")</f>
      </c>
      <c r="K208">
        <f>IF(OR($K$1="",对接源_01水果!$C208="",对接源_01水果!$C208&lt;&gt;$K$1,对接源_01水果!$B208=""),0,IF(OR(N(对接源_01水果!$B208)&lt;$K$2,N(对接源_01水果!$B208)&gt;$K$3),0,1))</f>
        <v>1</v>
      </c>
      <c r="L208">
        <f>IF(OR($L$1="",对接源_01水果!$C208="",对接源_01水果!$C208&lt;&gt;$L$1,对接源_01水果!$B208=""),0,IF(OR(N(对接源_01水果!$B208)&lt;$L$2,N(对接源_01水果!$B208)&gt;$L$3),0,1))</f>
        <v>0</v>
      </c>
      <c r="M208">
        <f>IF(OR($M$1="",对接源_01水果!$C208="",对接源_01水果!$C208&lt;&gt;$M$1,对接源_01水果!$B208=""),0,IF(OR(N(对接源_01水果!$B208)&lt;$M$2,N(对接源_01水果!$B208)&gt;$M$3),0,1))</f>
        <v>0</v>
      </c>
      <c r="N208">
        <f>IF(OR($N$1="",对接源_01水果!$C208="",对接源_01水果!$C208&lt;&gt;$N$1,对接源_01水果!$B208=""),0,IF(OR(N(对接源_01水果!$B208)&lt;$N$2,N(对接源_01水果!$B208)&gt;$N$3),0,1))</f>
        <v>0</v>
      </c>
      <c r="P208">
        <f>IF(AND($K208=1,AND(对接源_01水果!$X208="公司筐",N(对接源_01水果!$T208)&lt;&gt;0)),1,0)</f>
        <v>0</v>
      </c>
      <c r="Q208">
        <f>N(Q207)+$P208</f>
        <v>0</v>
      </c>
      <c r="R208">
        <f>IF(AND($K208=1,AND(对接源_01水果!$X208="公司筐",N(对接源_01水果!$U208)&lt;&gt;0)),1,0)</f>
        <v>0</v>
      </c>
      <c r="S208">
        <f>N(S207)+$R208</f>
        <v>0</v>
      </c>
      <c r="T208">
        <f>IF(AND($K208=1,AND(对接源_01水果!$X208="公司筐",N(对接源_01水果!$V208)&lt;&gt;0)),1,0)</f>
        <v>1</v>
      </c>
      <c r="U208">
        <f>N(U207)+$T208</f>
        <v>4</v>
      </c>
      <c r="V208">
        <f>IF(AND($L208=1,AND(对接源_01水果!$X208="自备筐",N(对接源_01水果!$V208)&lt;&gt;0)),1,0)</f>
        <v>0</v>
      </c>
      <c r="W208">
        <f>N(W207)+$V208</f>
        <v>5</v>
      </c>
      <c r="X208">
        <f>IF(AND($L208=1,AND(对接源_01水果!$X208="自备筐",N(对接源_01水果!$T208)&lt;&gt;0)),1,0)</f>
        <v>0</v>
      </c>
      <c r="Y208">
        <f>N(Y207)+$X208</f>
        <v>0</v>
      </c>
      <c r="Z208">
        <f>IF(AND($M208=1,对接源_01水果!$D208="原料入库"),1,0)</f>
        <v>0</v>
      </c>
      <c r="AA208">
        <f>N(AA207)+$Z208</f>
        <v>12</v>
      </c>
      <c r="AB208">
        <f>IF(AND($M208=1,LEFT(对接源_01水果!$D208,4)="原料出库"),1,0)</f>
        <v>0</v>
      </c>
      <c r="AC208">
        <f>N(AC207)+$AB208</f>
        <v>0</v>
      </c>
      <c r="AD208">
        <f>IF(AND($M208=1,LEFT(对接源_01水果!$D208,4)="成品出库"),1,0)</f>
        <v>0</v>
      </c>
      <c r="AE208">
        <f>N(AE207)+$AD208</f>
        <v>0</v>
      </c>
      <c r="AF208">
        <f>IF(AND($N208=1,AND(LEFT(对接源_01水果!$D208,4)="包装物料",N(对接源_01水果!$K208)&lt;&gt;0)),1,0)</f>
        <v>0</v>
      </c>
      <c r="AG208">
        <f>N(AG207)+$AF208</f>
        <v>0</v>
      </c>
      <c r="AH208">
        <f>IF(AND($N208=1,AND(对接源_01水果!$D208="周转筐－销售出库",N(对接源_01水果!$K208)&lt;&gt;0)),1,0)</f>
        <v>0</v>
      </c>
      <c r="AI208">
        <f>N(AI207)+$AH208</f>
        <v>0</v>
      </c>
      <c r="AJ208" s="7" t="n"/>
      <c r="AL208">
        <f>IF(OR($AL$1="",对接源_01水果!$Y208="",对接源_01水果!$Y208&lt;&gt;$AL$1,对接源_01水果!$B208="",N(对接源_01水果!$AJ208)&lt;=0),0,IF(OR(N(对接源_01水果!$B208)&lt;$AL$2,N(对接源_01水果!$B208)&gt;$AL$3),0,1))</f>
        <v>0</v>
      </c>
      <c r="AM208">
        <f>N(AM207)+$AL208</f>
        <v>0</v>
      </c>
      <c r="AN208">
        <f>IF(对接源_01水果!$AC208="","",对接源_01水果!$AC208)</f>
      </c>
      <c r="AO208">
        <f>IF(AN208="",0,IF(MATCH(AN208,$AN$4:$AN$1203,0)=ROW()-3,1,0))</f>
        <v>0</v>
      </c>
      <c r="AP208">
        <f>N(AP207)+$AO208</f>
        <v>0</v>
      </c>
      <c r="AR208">
        <f>IF(OR($AF208=1,$AH208=1),1,0)</f>
        <v>0</v>
      </c>
      <c r="AS208">
        <f>N(AS207)+$AR208</f>
        <v>0</v>
      </c>
    </row>
    <row r="209" ht="14.25" customHeight="1" s="127">
      <c r="A209" t="str">
        <f>IF(对接源_01水果!$C209="","",对接源_01水果!$C209)</f>
        <v>王灵云</v>
      </c>
      <c r="B209">
        <f>IF(A209="",0,IF(MATCH(A209,$A$4:$A$2403,0)=ROW()-3,1,0))</f>
        <v>0</v>
      </c>
      <c r="C209">
        <f>N(C208)+B209</f>
        <v>13</v>
      </c>
      <c r="E209">
        <f>IFERROR(INDEX($A$4:$A$2403,MATCH(ROW()-3,$C$4:$C$2403,0)),"")</f>
      </c>
      <c r="K209">
        <f>IF(OR($K$1="",对接源_01水果!$C209="",对接源_01水果!$C209&lt;&gt;$K$1,对接源_01水果!$B209=""),0,IF(OR(N(对接源_01水果!$B209)&lt;$K$2,N(对接源_01水果!$B209)&gt;$K$3),0,1))</f>
        <v>1</v>
      </c>
      <c r="L209">
        <f>IF(OR($L$1="",对接源_01水果!$C209="",对接源_01水果!$C209&lt;&gt;$L$1,对接源_01水果!$B209=""),0,IF(OR(N(对接源_01水果!$B209)&lt;$L$2,N(对接源_01水果!$B209)&gt;$L$3),0,1))</f>
        <v>0</v>
      </c>
      <c r="M209">
        <f>IF(OR($M$1="",对接源_01水果!$C209="",对接源_01水果!$C209&lt;&gt;$M$1,对接源_01水果!$B209=""),0,IF(OR(N(对接源_01水果!$B209)&lt;$M$2,N(对接源_01水果!$B209)&gt;$M$3),0,1))</f>
        <v>0</v>
      </c>
      <c r="N209">
        <f>IF(OR($N$1="",对接源_01水果!$C209="",对接源_01水果!$C209&lt;&gt;$N$1,对接源_01水果!$B209=""),0,IF(OR(N(对接源_01水果!$B209)&lt;$N$2,N(对接源_01水果!$B209)&gt;$N$3),0,1))</f>
        <v>0</v>
      </c>
      <c r="P209">
        <f>IF(AND($K209=1,AND(对接源_01水果!$X209="公司筐",N(对接源_01水果!$T209)&lt;&gt;0)),1,0)</f>
        <v>0</v>
      </c>
      <c r="Q209">
        <f>N(Q208)+$P209</f>
        <v>0</v>
      </c>
      <c r="R209">
        <f>IF(AND($K209=1,AND(对接源_01水果!$X209="公司筐",N(对接源_01水果!$U209)&lt;&gt;0)),1,0)</f>
        <v>0</v>
      </c>
      <c r="S209">
        <f>N(S208)+$R209</f>
        <v>0</v>
      </c>
      <c r="T209">
        <f>IF(AND($K209=1,AND(对接源_01水果!$X209="公司筐",N(对接源_01水果!$V209)&lt;&gt;0)),1,0)</f>
        <v>1</v>
      </c>
      <c r="U209">
        <f>N(U208)+$T209</f>
        <v>5</v>
      </c>
      <c r="V209">
        <f>IF(AND($L209=1,AND(对接源_01水果!$X209="自备筐",N(对接源_01水果!$V209)&lt;&gt;0)),1,0)</f>
        <v>0</v>
      </c>
      <c r="W209">
        <f>N(W208)+$V209</f>
        <v>5</v>
      </c>
      <c r="X209">
        <f>IF(AND($L209=1,AND(对接源_01水果!$X209="自备筐",N(对接源_01水果!$T209)&lt;&gt;0)),1,0)</f>
        <v>0</v>
      </c>
      <c r="Y209">
        <f>N(Y208)+$X209</f>
        <v>0</v>
      </c>
      <c r="Z209">
        <f>IF(AND($M209=1,对接源_01水果!$D209="原料入库"),1,0)</f>
        <v>0</v>
      </c>
      <c r="AA209">
        <f>N(AA208)+$Z209</f>
        <v>12</v>
      </c>
      <c r="AB209">
        <f>IF(AND($M209=1,LEFT(对接源_01水果!$D209,4)="原料出库"),1,0)</f>
        <v>0</v>
      </c>
      <c r="AC209">
        <f>N(AC208)+$AB209</f>
        <v>0</v>
      </c>
      <c r="AD209">
        <f>IF(AND($M209=1,LEFT(对接源_01水果!$D209,4)="成品出库"),1,0)</f>
        <v>0</v>
      </c>
      <c r="AE209">
        <f>N(AE208)+$AD209</f>
        <v>0</v>
      </c>
      <c r="AF209">
        <f>IF(AND($N209=1,AND(LEFT(对接源_01水果!$D209,4)="包装物料",N(对接源_01水果!$K209)&lt;&gt;0)),1,0)</f>
        <v>0</v>
      </c>
      <c r="AG209">
        <f>N(AG208)+$AF209</f>
        <v>0</v>
      </c>
      <c r="AH209">
        <f>IF(AND($N209=1,AND(对接源_01水果!$D209="周转筐－销售出库",N(对接源_01水果!$K209)&lt;&gt;0)),1,0)</f>
        <v>0</v>
      </c>
      <c r="AI209">
        <f>N(AI208)+$AH209</f>
        <v>0</v>
      </c>
      <c r="AJ209" s="7" t="n"/>
      <c r="AL209">
        <f>IF(OR($AL$1="",对接源_01水果!$Y209="",对接源_01水果!$Y209&lt;&gt;$AL$1,对接源_01水果!$B209="",N(对接源_01水果!$AJ209)&lt;=0),0,IF(OR(N(对接源_01水果!$B209)&lt;$AL$2,N(对接源_01水果!$B209)&gt;$AL$3),0,1))</f>
        <v>0</v>
      </c>
      <c r="AM209">
        <f>N(AM208)+$AL209</f>
        <v>0</v>
      </c>
      <c r="AN209">
        <f>IF(对接源_01水果!$AC209="","",对接源_01水果!$AC209)</f>
      </c>
      <c r="AO209">
        <f>IF(AN209="",0,IF(MATCH(AN209,$AN$4:$AN$1203,0)=ROW()-3,1,0))</f>
        <v>0</v>
      </c>
      <c r="AP209">
        <f>N(AP208)+$AO209</f>
        <v>0</v>
      </c>
      <c r="AR209">
        <f>IF(OR($AF209=1,$AH209=1),1,0)</f>
        <v>0</v>
      </c>
      <c r="AS209">
        <f>N(AS208)+$AR209</f>
        <v>0</v>
      </c>
    </row>
    <row r="210" ht="14.25" customHeight="1" s="127">
      <c r="A210" t="str">
        <f>IF(对接源_01水果!$C210="","",对接源_01水果!$C210)</f>
        <v>王灵云</v>
      </c>
      <c r="B210">
        <f>IF(A210="",0,IF(MATCH(A210,$A$4:$A$2403,0)=ROW()-3,1,0))</f>
        <v>0</v>
      </c>
      <c r="C210">
        <f>N(C209)+B210</f>
        <v>13</v>
      </c>
      <c r="E210">
        <f>IFERROR(INDEX($A$4:$A$2403,MATCH(ROW()-3,$C$4:$C$2403,0)),"")</f>
      </c>
      <c r="K210">
        <f>IF(OR($K$1="",对接源_01水果!$C210="",对接源_01水果!$C210&lt;&gt;$K$1,对接源_01水果!$B210=""),0,IF(OR(N(对接源_01水果!$B210)&lt;$K$2,N(对接源_01水果!$B210)&gt;$K$3),0,1))</f>
        <v>1</v>
      </c>
      <c r="L210">
        <f>IF(OR($L$1="",对接源_01水果!$C210="",对接源_01水果!$C210&lt;&gt;$L$1,对接源_01水果!$B210=""),0,IF(OR(N(对接源_01水果!$B210)&lt;$L$2,N(对接源_01水果!$B210)&gt;$L$3),0,1))</f>
        <v>0</v>
      </c>
      <c r="M210">
        <f>IF(OR($M$1="",对接源_01水果!$C210="",对接源_01水果!$C210&lt;&gt;$M$1,对接源_01水果!$B210=""),0,IF(OR(N(对接源_01水果!$B210)&lt;$M$2,N(对接源_01水果!$B210)&gt;$M$3),0,1))</f>
        <v>0</v>
      </c>
      <c r="N210">
        <f>IF(OR($N$1="",对接源_01水果!$C210="",对接源_01水果!$C210&lt;&gt;$N$1,对接源_01水果!$B210=""),0,IF(OR(N(对接源_01水果!$B210)&lt;$N$2,N(对接源_01水果!$B210)&gt;$N$3),0,1))</f>
        <v>0</v>
      </c>
      <c r="P210">
        <f>IF(AND($K210=1,AND(对接源_01水果!$X210="公司筐",N(对接源_01水果!$T210)&lt;&gt;0)),1,0)</f>
        <v>0</v>
      </c>
      <c r="Q210">
        <f>N(Q209)+$P210</f>
        <v>0</v>
      </c>
      <c r="R210">
        <f>IF(AND($K210=1,AND(对接源_01水果!$X210="公司筐",N(对接源_01水果!$U210)&lt;&gt;0)),1,0)</f>
        <v>0</v>
      </c>
      <c r="S210">
        <f>N(S209)+$R210</f>
        <v>0</v>
      </c>
      <c r="T210">
        <f>IF(AND($K210=1,AND(对接源_01水果!$X210="公司筐",N(对接源_01水果!$V210)&lt;&gt;0)),1,0)</f>
        <v>1</v>
      </c>
      <c r="U210">
        <f>N(U209)+$T210</f>
        <v>6</v>
      </c>
      <c r="V210">
        <f>IF(AND($L210=1,AND(对接源_01水果!$X210="自备筐",N(对接源_01水果!$V210)&lt;&gt;0)),1,0)</f>
        <v>0</v>
      </c>
      <c r="W210">
        <f>N(W209)+$V210</f>
        <v>5</v>
      </c>
      <c r="X210">
        <f>IF(AND($L210=1,AND(对接源_01水果!$X210="自备筐",N(对接源_01水果!$T210)&lt;&gt;0)),1,0)</f>
        <v>0</v>
      </c>
      <c r="Y210">
        <f>N(Y209)+$X210</f>
        <v>0</v>
      </c>
      <c r="Z210">
        <f>IF(AND($M210=1,对接源_01水果!$D210="原料入库"),1,0)</f>
        <v>0</v>
      </c>
      <c r="AA210">
        <f>N(AA209)+$Z210</f>
        <v>12</v>
      </c>
      <c r="AB210">
        <f>IF(AND($M210=1,LEFT(对接源_01水果!$D210,4)="原料出库"),1,0)</f>
        <v>0</v>
      </c>
      <c r="AC210">
        <f>N(AC209)+$AB210</f>
        <v>0</v>
      </c>
      <c r="AD210">
        <f>IF(AND($M210=1,LEFT(对接源_01水果!$D210,4)="成品出库"),1,0)</f>
        <v>0</v>
      </c>
      <c r="AE210">
        <f>N(AE209)+$AD210</f>
        <v>0</v>
      </c>
      <c r="AF210">
        <f>IF(AND($N210=1,AND(LEFT(对接源_01水果!$D210,4)="包装物料",N(对接源_01水果!$K210)&lt;&gt;0)),1,0)</f>
        <v>0</v>
      </c>
      <c r="AG210">
        <f>N(AG209)+$AF210</f>
        <v>0</v>
      </c>
      <c r="AH210">
        <f>IF(AND($N210=1,AND(对接源_01水果!$D210="周转筐－销售出库",N(对接源_01水果!$K210)&lt;&gt;0)),1,0)</f>
        <v>0</v>
      </c>
      <c r="AI210">
        <f>N(AI209)+$AH210</f>
        <v>0</v>
      </c>
      <c r="AJ210" s="7" t="n"/>
      <c r="AL210">
        <f>IF(OR($AL$1="",对接源_01水果!$Y210="",对接源_01水果!$Y210&lt;&gt;$AL$1,对接源_01水果!$B210="",N(对接源_01水果!$AJ210)&lt;=0),0,IF(OR(N(对接源_01水果!$B210)&lt;$AL$2,N(对接源_01水果!$B210)&gt;$AL$3),0,1))</f>
        <v>0</v>
      </c>
      <c r="AM210">
        <f>N(AM209)+$AL210</f>
        <v>0</v>
      </c>
      <c r="AN210">
        <f>IF(对接源_01水果!$AC210="","",对接源_01水果!$AC210)</f>
      </c>
      <c r="AO210">
        <f>IF(AN210="",0,IF(MATCH(AN210,$AN$4:$AN$1203,0)=ROW()-3,1,0))</f>
        <v>0</v>
      </c>
      <c r="AP210">
        <f>N(AP209)+$AO210</f>
        <v>0</v>
      </c>
      <c r="AR210">
        <f>IF(OR($AF210=1,$AH210=1),1,0)</f>
        <v>0</v>
      </c>
      <c r="AS210">
        <f>N(AS209)+$AR210</f>
        <v>0</v>
      </c>
    </row>
    <row r="211" ht="14.25" customHeight="1" s="127">
      <c r="A211" t="str">
        <f>IF(对接源_01水果!$C211="","",对接源_01水果!$C211)</f>
        <v>贾建国</v>
      </c>
      <c r="B211">
        <f>IF(A211="",0,IF(MATCH(A211,$A$4:$A$2403,0)=ROW()-3,1,0))</f>
        <v>0</v>
      </c>
      <c r="C211">
        <f>N(C210)+B211</f>
        <v>13</v>
      </c>
      <c r="E211">
        <f>IFERROR(INDEX($A$4:$A$2403,MATCH(ROW()-3,$C$4:$C$2403,0)),"")</f>
      </c>
      <c r="K211">
        <f>IF(OR($K$1="",对接源_01水果!$C211="",对接源_01水果!$C211&lt;&gt;$K$1,对接源_01水果!$B211=""),0,IF(OR(N(对接源_01水果!$B211)&lt;$K$2,N(对接源_01水果!$B211)&gt;$K$3),0,1))</f>
        <v>0</v>
      </c>
      <c r="L211">
        <f>IF(OR($L$1="",对接源_01水果!$C211="",对接源_01水果!$C211&lt;&gt;$L$1,对接源_01水果!$B211=""),0,IF(OR(N(对接源_01水果!$B211)&lt;$L$2,N(对接源_01水果!$B211)&gt;$L$3),0,1))</f>
        <v>1</v>
      </c>
      <c r="M211">
        <f>IF(OR($M$1="",对接源_01水果!$C211="",对接源_01水果!$C211&lt;&gt;$M$1,对接源_01水果!$B211=""),0,IF(OR(N(对接源_01水果!$B211)&lt;$M$2,N(对接源_01水果!$B211)&gt;$M$3),0,1))</f>
        <v>0</v>
      </c>
      <c r="N211">
        <f>IF(OR($N$1="",对接源_01水果!$C211="",对接源_01水果!$C211&lt;&gt;$N$1,对接源_01水果!$B211=""),0,IF(OR(N(对接源_01水果!$B211)&lt;$N$2,N(对接源_01水果!$B211)&gt;$N$3),0,1))</f>
        <v>0</v>
      </c>
      <c r="P211">
        <f>IF(AND($K211=1,AND(对接源_01水果!$X211="公司筐",N(对接源_01水果!$T211)&lt;&gt;0)),1,0)</f>
        <v>0</v>
      </c>
      <c r="Q211">
        <f>N(Q210)+$P211</f>
        <v>0</v>
      </c>
      <c r="R211">
        <f>IF(AND($K211=1,AND(对接源_01水果!$X211="公司筐",N(对接源_01水果!$U211)&lt;&gt;0)),1,0)</f>
        <v>0</v>
      </c>
      <c r="S211">
        <f>N(S210)+$R211</f>
        <v>0</v>
      </c>
      <c r="T211">
        <f>IF(AND($K211=1,AND(对接源_01水果!$X211="公司筐",N(对接源_01水果!$V211)&lt;&gt;0)),1,0)</f>
        <v>0</v>
      </c>
      <c r="U211">
        <f>N(U210)+$T211</f>
        <v>6</v>
      </c>
      <c r="V211">
        <f>IF(AND($L211=1,AND(对接源_01水果!$X211="自备筐",N(对接源_01水果!$V211)&lt;&gt;0)),1,0)</f>
        <v>1</v>
      </c>
      <c r="W211">
        <f>N(W210)+$V211</f>
        <v>6</v>
      </c>
      <c r="X211">
        <f>IF(AND($L211=1,AND(对接源_01水果!$X211="自备筐",N(对接源_01水果!$T211)&lt;&gt;0)),1,0)</f>
        <v>0</v>
      </c>
      <c r="Y211">
        <f>N(Y210)+$X211</f>
        <v>0</v>
      </c>
      <c r="Z211">
        <f>IF(AND($M211=1,对接源_01水果!$D211="原料入库"),1,0)</f>
        <v>0</v>
      </c>
      <c r="AA211">
        <f>N(AA210)+$Z211</f>
        <v>12</v>
      </c>
      <c r="AB211">
        <f>IF(AND($M211=1,LEFT(对接源_01水果!$D211,4)="原料出库"),1,0)</f>
        <v>0</v>
      </c>
      <c r="AC211">
        <f>N(AC210)+$AB211</f>
        <v>0</v>
      </c>
      <c r="AD211">
        <f>IF(AND($M211=1,LEFT(对接源_01水果!$D211,4)="成品出库"),1,0)</f>
        <v>0</v>
      </c>
      <c r="AE211">
        <f>N(AE210)+$AD211</f>
        <v>0</v>
      </c>
      <c r="AF211">
        <f>IF(AND($N211=1,AND(LEFT(对接源_01水果!$D211,4)="包装物料",N(对接源_01水果!$K211)&lt;&gt;0)),1,0)</f>
        <v>0</v>
      </c>
      <c r="AG211">
        <f>N(AG210)+$AF211</f>
        <v>0</v>
      </c>
      <c r="AH211">
        <f>IF(AND($N211=1,AND(对接源_01水果!$D211="周转筐－销售出库",N(对接源_01水果!$K211)&lt;&gt;0)),1,0)</f>
        <v>0</v>
      </c>
      <c r="AI211">
        <f>N(AI210)+$AH211</f>
        <v>0</v>
      </c>
      <c r="AJ211" s="7" t="n"/>
      <c r="AL211">
        <f>IF(OR($AL$1="",对接源_01水果!$Y211="",对接源_01水果!$Y211&lt;&gt;$AL$1,对接源_01水果!$B211="",N(对接源_01水果!$AJ211)&lt;=0),0,IF(OR(N(对接源_01水果!$B211)&lt;$AL$2,N(对接源_01水果!$B211)&gt;$AL$3),0,1))</f>
        <v>0</v>
      </c>
      <c r="AM211">
        <f>N(AM210)+$AL211</f>
        <v>0</v>
      </c>
      <c r="AN211">
        <f>IF(对接源_01水果!$AC211="","",对接源_01水果!$AC211)</f>
      </c>
      <c r="AO211">
        <f>IF(AN211="",0,IF(MATCH(AN211,$AN$4:$AN$1203,0)=ROW()-3,1,0))</f>
        <v>0</v>
      </c>
      <c r="AP211">
        <f>N(AP210)+$AO211</f>
        <v>0</v>
      </c>
      <c r="AR211">
        <f>IF(OR($AF211=1,$AH211=1),1,0)</f>
        <v>0</v>
      </c>
      <c r="AS211">
        <f>N(AS210)+$AR211</f>
        <v>0</v>
      </c>
    </row>
    <row r="212" ht="14.25" customHeight="1" s="127">
      <c r="A212" t="str">
        <f>IF(对接源_01水果!$C212="","",对接源_01水果!$C212)</f>
        <v>贾建国</v>
      </c>
      <c r="B212">
        <f>IF(A212="",0,IF(MATCH(A212,$A$4:$A$2403,0)=ROW()-3,1,0))</f>
        <v>0</v>
      </c>
      <c r="C212">
        <f>N(C211)+B212</f>
        <v>13</v>
      </c>
      <c r="E212">
        <f>IFERROR(INDEX($A$4:$A$2403,MATCH(ROW()-3,$C$4:$C$2403,0)),"")</f>
      </c>
      <c r="K212">
        <f>IF(OR($K$1="",对接源_01水果!$C212="",对接源_01水果!$C212&lt;&gt;$K$1,对接源_01水果!$B212=""),0,IF(OR(N(对接源_01水果!$B212)&lt;$K$2,N(对接源_01水果!$B212)&gt;$K$3),0,1))</f>
        <v>0</v>
      </c>
      <c r="L212">
        <f>IF(OR($L$1="",对接源_01水果!$C212="",对接源_01水果!$C212&lt;&gt;$L$1,对接源_01水果!$B212=""),0,IF(OR(N(对接源_01水果!$B212)&lt;$L$2,N(对接源_01水果!$B212)&gt;$L$3),0,1))</f>
        <v>1</v>
      </c>
      <c r="M212">
        <f>IF(OR($M$1="",对接源_01水果!$C212="",对接源_01水果!$C212&lt;&gt;$M$1,对接源_01水果!$B212=""),0,IF(OR(N(对接源_01水果!$B212)&lt;$M$2,N(对接源_01水果!$B212)&gt;$M$3),0,1))</f>
        <v>0</v>
      </c>
      <c r="N212">
        <f>IF(OR($N$1="",对接源_01水果!$C212="",对接源_01水果!$C212&lt;&gt;$N$1,对接源_01水果!$B212=""),0,IF(OR(N(对接源_01水果!$B212)&lt;$N$2,N(对接源_01水果!$B212)&gt;$N$3),0,1))</f>
        <v>0</v>
      </c>
      <c r="P212">
        <f>IF(AND($K212=1,AND(对接源_01水果!$X212="公司筐",N(对接源_01水果!$T212)&lt;&gt;0)),1,0)</f>
        <v>0</v>
      </c>
      <c r="Q212">
        <f>N(Q211)+$P212</f>
        <v>0</v>
      </c>
      <c r="R212">
        <f>IF(AND($K212=1,AND(对接源_01水果!$X212="公司筐",N(对接源_01水果!$U212)&lt;&gt;0)),1,0)</f>
        <v>0</v>
      </c>
      <c r="S212">
        <f>N(S211)+$R212</f>
        <v>0</v>
      </c>
      <c r="T212">
        <f>IF(AND($K212=1,AND(对接源_01水果!$X212="公司筐",N(对接源_01水果!$V212)&lt;&gt;0)),1,0)</f>
        <v>0</v>
      </c>
      <c r="U212">
        <f>N(U211)+$T212</f>
        <v>6</v>
      </c>
      <c r="V212">
        <f>IF(AND($L212=1,AND(对接源_01水果!$X212="自备筐",N(对接源_01水果!$V212)&lt;&gt;0)),1,0)</f>
        <v>1</v>
      </c>
      <c r="W212">
        <f>N(W211)+$V212</f>
        <v>7</v>
      </c>
      <c r="X212">
        <f>IF(AND($L212=1,AND(对接源_01水果!$X212="自备筐",N(对接源_01水果!$T212)&lt;&gt;0)),1,0)</f>
        <v>0</v>
      </c>
      <c r="Y212">
        <f>N(Y211)+$X212</f>
        <v>0</v>
      </c>
      <c r="Z212">
        <f>IF(AND($M212=1,对接源_01水果!$D212="原料入库"),1,0)</f>
        <v>0</v>
      </c>
      <c r="AA212">
        <f>N(AA211)+$Z212</f>
        <v>12</v>
      </c>
      <c r="AB212">
        <f>IF(AND($M212=1,LEFT(对接源_01水果!$D212,4)="原料出库"),1,0)</f>
        <v>0</v>
      </c>
      <c r="AC212">
        <f>N(AC211)+$AB212</f>
        <v>0</v>
      </c>
      <c r="AD212">
        <f>IF(AND($M212=1,LEFT(对接源_01水果!$D212,4)="成品出库"),1,0)</f>
        <v>0</v>
      </c>
      <c r="AE212">
        <f>N(AE211)+$AD212</f>
        <v>0</v>
      </c>
      <c r="AF212">
        <f>IF(AND($N212=1,AND(LEFT(对接源_01水果!$D212,4)="包装物料",N(对接源_01水果!$K212)&lt;&gt;0)),1,0)</f>
        <v>0</v>
      </c>
      <c r="AG212">
        <f>N(AG211)+$AF212</f>
        <v>0</v>
      </c>
      <c r="AH212">
        <f>IF(AND($N212=1,AND(对接源_01水果!$D212="周转筐－销售出库",N(对接源_01水果!$K212)&lt;&gt;0)),1,0)</f>
        <v>0</v>
      </c>
      <c r="AI212">
        <f>N(AI211)+$AH212</f>
        <v>0</v>
      </c>
      <c r="AJ212" s="7" t="n"/>
      <c r="AL212">
        <f>IF(OR($AL$1="",对接源_01水果!$Y212="",对接源_01水果!$Y212&lt;&gt;$AL$1,对接源_01水果!$B212="",N(对接源_01水果!$AJ212)&lt;=0),0,IF(OR(N(对接源_01水果!$B212)&lt;$AL$2,N(对接源_01水果!$B212)&gt;$AL$3),0,1))</f>
        <v>0</v>
      </c>
      <c r="AM212">
        <f>N(AM211)+$AL212</f>
        <v>0</v>
      </c>
      <c r="AN212">
        <f>IF(对接源_01水果!$AC212="","",对接源_01水果!$AC212)</f>
      </c>
      <c r="AO212">
        <f>IF(AN212="",0,IF(MATCH(AN212,$AN$4:$AN$1203,0)=ROW()-3,1,0))</f>
        <v>0</v>
      </c>
      <c r="AP212">
        <f>N(AP211)+$AO212</f>
        <v>0</v>
      </c>
      <c r="AR212">
        <f>IF(OR($AF212=1,$AH212=1),1,0)</f>
        <v>0</v>
      </c>
      <c r="AS212">
        <f>N(AS211)+$AR212</f>
        <v>0</v>
      </c>
    </row>
    <row r="213" ht="14.25" customHeight="1" s="127">
      <c r="A213" t="str">
        <f>IF(对接源_01水果!$C213="","",对接源_01水果!$C213)</f>
        <v>贾建国</v>
      </c>
      <c r="B213">
        <f>IF(A213="",0,IF(MATCH(A213,$A$4:$A$2403,0)=ROW()-3,1,0))</f>
        <v>0</v>
      </c>
      <c r="C213">
        <f>N(C212)+B213</f>
        <v>13</v>
      </c>
      <c r="E213">
        <f>IFERROR(INDEX($A$4:$A$2403,MATCH(ROW()-3,$C$4:$C$2403,0)),"")</f>
      </c>
      <c r="K213">
        <f>IF(OR($K$1="",对接源_01水果!$C213="",对接源_01水果!$C213&lt;&gt;$K$1,对接源_01水果!$B213=""),0,IF(OR(N(对接源_01水果!$B213)&lt;$K$2,N(对接源_01水果!$B213)&gt;$K$3),0,1))</f>
        <v>0</v>
      </c>
      <c r="L213">
        <f>IF(OR($L$1="",对接源_01水果!$C213="",对接源_01水果!$C213&lt;&gt;$L$1,对接源_01水果!$B213=""),0,IF(OR(N(对接源_01水果!$B213)&lt;$L$2,N(对接源_01水果!$B213)&gt;$L$3),0,1))</f>
        <v>1</v>
      </c>
      <c r="M213">
        <f>IF(OR($M$1="",对接源_01水果!$C213="",对接源_01水果!$C213&lt;&gt;$M$1,对接源_01水果!$B213=""),0,IF(OR(N(对接源_01水果!$B213)&lt;$M$2,N(对接源_01水果!$B213)&gt;$M$3),0,1))</f>
        <v>0</v>
      </c>
      <c r="N213">
        <f>IF(OR($N$1="",对接源_01水果!$C213="",对接源_01水果!$C213&lt;&gt;$N$1,对接源_01水果!$B213=""),0,IF(OR(N(对接源_01水果!$B213)&lt;$N$2,N(对接源_01水果!$B213)&gt;$N$3),0,1))</f>
        <v>0</v>
      </c>
      <c r="P213">
        <f>IF(AND($K213=1,AND(对接源_01水果!$X213="公司筐",N(对接源_01水果!$T213)&lt;&gt;0)),1,0)</f>
        <v>0</v>
      </c>
      <c r="Q213">
        <f>N(Q212)+$P213</f>
        <v>0</v>
      </c>
      <c r="R213">
        <f>IF(AND($K213=1,AND(对接源_01水果!$X213="公司筐",N(对接源_01水果!$U213)&lt;&gt;0)),1,0)</f>
        <v>0</v>
      </c>
      <c r="S213">
        <f>N(S212)+$R213</f>
        <v>0</v>
      </c>
      <c r="T213">
        <f>IF(AND($K213=1,AND(对接源_01水果!$X213="公司筐",N(对接源_01水果!$V213)&lt;&gt;0)),1,0)</f>
        <v>0</v>
      </c>
      <c r="U213">
        <f>N(U212)+$T213</f>
        <v>6</v>
      </c>
      <c r="V213">
        <f>IF(AND($L213=1,AND(对接源_01水果!$X213="自备筐",N(对接源_01水果!$V213)&lt;&gt;0)),1,0)</f>
        <v>0</v>
      </c>
      <c r="W213">
        <f>N(W212)+$V213</f>
        <v>7</v>
      </c>
      <c r="X213">
        <f>IF(AND($L213=1,AND(对接源_01水果!$X213="自备筐",N(对接源_01水果!$T213)&lt;&gt;0)),1,0)</f>
        <v>0</v>
      </c>
      <c r="Y213">
        <f>N(Y212)+$X213</f>
        <v>0</v>
      </c>
      <c r="Z213">
        <f>IF(AND($M213=1,对接源_01水果!$D213="原料入库"),1,0)</f>
        <v>0</v>
      </c>
      <c r="AA213">
        <f>N(AA212)+$Z213</f>
        <v>12</v>
      </c>
      <c r="AB213">
        <f>IF(AND($M213=1,LEFT(对接源_01水果!$D213,4)="原料出库"),1,0)</f>
        <v>0</v>
      </c>
      <c r="AC213">
        <f>N(AC212)+$AB213</f>
        <v>0</v>
      </c>
      <c r="AD213">
        <f>IF(AND($M213=1,LEFT(对接源_01水果!$D213,4)="成品出库"),1,0)</f>
        <v>0</v>
      </c>
      <c r="AE213">
        <f>N(AE212)+$AD213</f>
        <v>0</v>
      </c>
      <c r="AF213">
        <f>IF(AND($N213=1,AND(LEFT(对接源_01水果!$D213,4)="包装物料",N(对接源_01水果!$K213)&lt;&gt;0)),1,0)</f>
        <v>0</v>
      </c>
      <c r="AG213">
        <f>N(AG212)+$AF213</f>
        <v>0</v>
      </c>
      <c r="AH213">
        <f>IF(AND($N213=1,AND(对接源_01水果!$D213="周转筐－销售出库",N(对接源_01水果!$K213)&lt;&gt;0)),1,0)</f>
        <v>0</v>
      </c>
      <c r="AI213">
        <f>N(AI212)+$AH213</f>
        <v>0</v>
      </c>
      <c r="AJ213" s="7" t="n"/>
      <c r="AL213">
        <f>IF(OR($AL$1="",对接源_01水果!$Y213="",对接源_01水果!$Y213&lt;&gt;$AL$1,对接源_01水果!$B213="",N(对接源_01水果!$AJ213)&lt;=0),0,IF(OR(N(对接源_01水果!$B213)&lt;$AL$2,N(对接源_01水果!$B213)&gt;$AL$3),0,1))</f>
        <v>0</v>
      </c>
      <c r="AM213">
        <f>N(AM212)+$AL213</f>
        <v>0</v>
      </c>
      <c r="AN213">
        <f>IF(对接源_01水果!$AC213="","",对接源_01水果!$AC213)</f>
      </c>
      <c r="AO213">
        <f>IF(AN213="",0,IF(MATCH(AN213,$AN$4:$AN$1203,0)=ROW()-3,1,0))</f>
        <v>0</v>
      </c>
      <c r="AP213">
        <f>N(AP212)+$AO213</f>
        <v>0</v>
      </c>
      <c r="AR213">
        <f>IF(OR($AF213=1,$AH213=1),1,0)</f>
        <v>0</v>
      </c>
      <c r="AS213">
        <f>N(AS212)+$AR213</f>
        <v>0</v>
      </c>
    </row>
    <row r="214" ht="14.25" customHeight="1" s="127">
      <c r="A214" t="str">
        <f>IF(对接源_01水果!$C214="","",对接源_01水果!$C214)</f>
        <v>吐尔洪</v>
      </c>
      <c r="B214">
        <f>IF(A214="",0,IF(MATCH(A214,$A$4:$A$2403,0)=ROW()-3,1,0))</f>
        <v>0</v>
      </c>
      <c r="C214">
        <f>N(C213)+B214</f>
        <v>13</v>
      </c>
      <c r="E214">
        <f>IFERROR(INDEX($A$4:$A$2403,MATCH(ROW()-3,$C$4:$C$2403,0)),"")</f>
      </c>
      <c r="K214">
        <f>IF(OR($K$1="",对接源_01水果!$C214="",对接源_01水果!$C214&lt;&gt;$K$1,对接源_01水果!$B214=""),0,IF(OR(N(对接源_01水果!$B214)&lt;$K$2,N(对接源_01水果!$B214)&gt;$K$3),0,1))</f>
        <v>0</v>
      </c>
      <c r="L214">
        <f>IF(OR($L$1="",对接源_01水果!$C214="",对接源_01水果!$C214&lt;&gt;$L$1,对接源_01水果!$B214=""),0,IF(OR(N(对接源_01水果!$B214)&lt;$L$2,N(对接源_01水果!$B214)&gt;$L$3),0,1))</f>
        <v>0</v>
      </c>
      <c r="M214">
        <f>IF(OR($M$1="",对接源_01水果!$C214="",对接源_01水果!$C214&lt;&gt;$M$1,对接源_01水果!$B214=""),0,IF(OR(N(对接源_01水果!$B214)&lt;$M$2,N(对接源_01水果!$B214)&gt;$M$3),0,1))</f>
        <v>1</v>
      </c>
      <c r="N214">
        <f>IF(OR($N$1="",对接源_01水果!$C214="",对接源_01水果!$C214&lt;&gt;$N$1,对接源_01水果!$B214=""),0,IF(OR(N(对接源_01水果!$B214)&lt;$N$2,N(对接源_01水果!$B214)&gt;$N$3),0,1))</f>
        <v>0</v>
      </c>
      <c r="P214">
        <f>IF(AND($K214=1,AND(对接源_01水果!$X214="公司筐",N(对接源_01水果!$T214)&lt;&gt;0)),1,0)</f>
        <v>0</v>
      </c>
      <c r="Q214">
        <f>N(Q213)+$P214</f>
        <v>0</v>
      </c>
      <c r="R214">
        <f>IF(AND($K214=1,AND(对接源_01水果!$X214="公司筐",N(对接源_01水果!$U214)&lt;&gt;0)),1,0)</f>
        <v>0</v>
      </c>
      <c r="S214">
        <f>N(S213)+$R214</f>
        <v>0</v>
      </c>
      <c r="T214">
        <f>IF(AND($K214=1,AND(对接源_01水果!$X214="公司筐",N(对接源_01水果!$V214)&lt;&gt;0)),1,0)</f>
        <v>0</v>
      </c>
      <c r="U214">
        <f>N(U213)+$T214</f>
        <v>6</v>
      </c>
      <c r="V214">
        <f>IF(AND($L214=1,AND(对接源_01水果!$X214="自备筐",N(对接源_01水果!$V214)&lt;&gt;0)),1,0)</f>
        <v>0</v>
      </c>
      <c r="W214">
        <f>N(W213)+$V214</f>
        <v>7</v>
      </c>
      <c r="X214">
        <f>IF(AND($L214=1,AND(对接源_01水果!$X214="自备筐",N(对接源_01水果!$T214)&lt;&gt;0)),1,0)</f>
        <v>0</v>
      </c>
      <c r="Y214">
        <f>N(Y213)+$X214</f>
        <v>0</v>
      </c>
      <c r="Z214">
        <f>IF(AND($M214=1,对接源_01水果!$D214="原料入库"),1,0)</f>
        <v>1</v>
      </c>
      <c r="AA214">
        <f>N(AA213)+$Z214</f>
        <v>13</v>
      </c>
      <c r="AB214">
        <f>IF(AND($M214=1,LEFT(对接源_01水果!$D214,4)="原料出库"),1,0)</f>
        <v>0</v>
      </c>
      <c r="AC214">
        <f>N(AC213)+$AB214</f>
        <v>0</v>
      </c>
      <c r="AD214">
        <f>IF(AND($M214=1,LEFT(对接源_01水果!$D214,4)="成品出库"),1,0)</f>
        <v>0</v>
      </c>
      <c r="AE214">
        <f>N(AE213)+$AD214</f>
        <v>0</v>
      </c>
      <c r="AF214">
        <f>IF(AND($N214=1,AND(LEFT(对接源_01水果!$D214,4)="包装物料",N(对接源_01水果!$K214)&lt;&gt;0)),1,0)</f>
        <v>0</v>
      </c>
      <c r="AG214">
        <f>N(AG213)+$AF214</f>
        <v>0</v>
      </c>
      <c r="AH214">
        <f>IF(AND($N214=1,AND(对接源_01水果!$D214="周转筐－销售出库",N(对接源_01水果!$K214)&lt;&gt;0)),1,0)</f>
        <v>0</v>
      </c>
      <c r="AI214">
        <f>N(AI213)+$AH214</f>
        <v>0</v>
      </c>
      <c r="AJ214" s="7" t="n"/>
      <c r="AL214">
        <f>IF(OR($AL$1="",对接源_01水果!$Y214="",对接源_01水果!$Y214&lt;&gt;$AL$1,对接源_01水果!$B214="",N(对接源_01水果!$AJ214)&lt;=0),0,IF(OR(N(对接源_01水果!$B214)&lt;$AL$2,N(对接源_01水果!$B214)&gt;$AL$3),0,1))</f>
        <v>0</v>
      </c>
      <c r="AM214">
        <f>N(AM213)+$AL214</f>
        <v>0</v>
      </c>
      <c r="AN214">
        <f>IF(对接源_01水果!$AC214="","",对接源_01水果!$AC214)</f>
      </c>
      <c r="AO214">
        <f>IF(AN214="",0,IF(MATCH(AN214,$AN$4:$AN$1203,0)=ROW()-3,1,0))</f>
        <v>0</v>
      </c>
      <c r="AP214">
        <f>N(AP213)+$AO214</f>
        <v>0</v>
      </c>
      <c r="AR214">
        <f>IF(OR($AF214=1,$AH214=1),1,0)</f>
        <v>0</v>
      </c>
      <c r="AS214">
        <f>N(AS213)+$AR214</f>
        <v>0</v>
      </c>
    </row>
    <row r="215" ht="14.25" customHeight="1" s="127">
      <c r="A215" t="str">
        <f>IF(对接源_01水果!$C215="","",对接源_01水果!$C215)</f>
        <v>吐尔洪</v>
      </c>
      <c r="B215">
        <f>IF(A215="",0,IF(MATCH(A215,$A$4:$A$2403,0)=ROW()-3,1,0))</f>
        <v>0</v>
      </c>
      <c r="C215">
        <f>N(C214)+B215</f>
        <v>13</v>
      </c>
      <c r="E215">
        <f>IFERROR(INDEX($A$4:$A$2403,MATCH(ROW()-3,$C$4:$C$2403,0)),"")</f>
      </c>
      <c r="K215">
        <f>IF(OR($K$1="",对接源_01水果!$C215="",对接源_01水果!$C215&lt;&gt;$K$1,对接源_01水果!$B215=""),0,IF(OR(N(对接源_01水果!$B215)&lt;$K$2,N(对接源_01水果!$B215)&gt;$K$3),0,1))</f>
        <v>0</v>
      </c>
      <c r="L215">
        <f>IF(OR($L$1="",对接源_01水果!$C215="",对接源_01水果!$C215&lt;&gt;$L$1,对接源_01水果!$B215=""),0,IF(OR(N(对接源_01水果!$B215)&lt;$L$2,N(对接源_01水果!$B215)&gt;$L$3),0,1))</f>
        <v>0</v>
      </c>
      <c r="M215">
        <f>IF(OR($M$1="",对接源_01水果!$C215="",对接源_01水果!$C215&lt;&gt;$M$1,对接源_01水果!$B215=""),0,IF(OR(N(对接源_01水果!$B215)&lt;$M$2,N(对接源_01水果!$B215)&gt;$M$3),0,1))</f>
        <v>1</v>
      </c>
      <c r="N215">
        <f>IF(OR($N$1="",对接源_01水果!$C215="",对接源_01水果!$C215&lt;&gt;$N$1,对接源_01水果!$B215=""),0,IF(OR(N(对接源_01水果!$B215)&lt;$N$2,N(对接源_01水果!$B215)&gt;$N$3),0,1))</f>
        <v>0</v>
      </c>
      <c r="P215">
        <f>IF(AND($K215=1,AND(对接源_01水果!$X215="公司筐",N(对接源_01水果!$T215)&lt;&gt;0)),1,0)</f>
        <v>0</v>
      </c>
      <c r="Q215">
        <f>N(Q214)+$P215</f>
        <v>0</v>
      </c>
      <c r="R215">
        <f>IF(AND($K215=1,AND(对接源_01水果!$X215="公司筐",N(对接源_01水果!$U215)&lt;&gt;0)),1,0)</f>
        <v>0</v>
      </c>
      <c r="S215">
        <f>N(S214)+$R215</f>
        <v>0</v>
      </c>
      <c r="T215">
        <f>IF(AND($K215=1,AND(对接源_01水果!$X215="公司筐",N(对接源_01水果!$V215)&lt;&gt;0)),1,0)</f>
        <v>0</v>
      </c>
      <c r="U215">
        <f>N(U214)+$T215</f>
        <v>6</v>
      </c>
      <c r="V215">
        <f>IF(AND($L215=1,AND(对接源_01水果!$X215="自备筐",N(对接源_01水果!$V215)&lt;&gt;0)),1,0)</f>
        <v>0</v>
      </c>
      <c r="W215">
        <f>N(W214)+$V215</f>
        <v>7</v>
      </c>
      <c r="X215">
        <f>IF(AND($L215=1,AND(对接源_01水果!$X215="自备筐",N(对接源_01水果!$T215)&lt;&gt;0)),1,0)</f>
        <v>0</v>
      </c>
      <c r="Y215">
        <f>N(Y214)+$X215</f>
        <v>0</v>
      </c>
      <c r="Z215">
        <f>IF(AND($M215=1,对接源_01水果!$D215="原料入库"),1,0)</f>
        <v>1</v>
      </c>
      <c r="AA215">
        <f>N(AA214)+$Z215</f>
        <v>14</v>
      </c>
      <c r="AB215">
        <f>IF(AND($M215=1,LEFT(对接源_01水果!$D215,4)="原料出库"),1,0)</f>
        <v>0</v>
      </c>
      <c r="AC215">
        <f>N(AC214)+$AB215</f>
        <v>0</v>
      </c>
      <c r="AD215">
        <f>IF(AND($M215=1,LEFT(对接源_01水果!$D215,4)="成品出库"),1,0)</f>
        <v>0</v>
      </c>
      <c r="AE215">
        <f>N(AE214)+$AD215</f>
        <v>0</v>
      </c>
      <c r="AF215">
        <f>IF(AND($N215=1,AND(LEFT(对接源_01水果!$D215,4)="包装物料",N(对接源_01水果!$K215)&lt;&gt;0)),1,0)</f>
        <v>0</v>
      </c>
      <c r="AG215">
        <f>N(AG214)+$AF215</f>
        <v>0</v>
      </c>
      <c r="AH215">
        <f>IF(AND($N215=1,AND(对接源_01水果!$D215="周转筐－销售出库",N(对接源_01水果!$K215)&lt;&gt;0)),1,0)</f>
        <v>0</v>
      </c>
      <c r="AI215">
        <f>N(AI214)+$AH215</f>
        <v>0</v>
      </c>
      <c r="AJ215" s="7" t="n"/>
      <c r="AL215">
        <f>IF(OR($AL$1="",对接源_01水果!$Y215="",对接源_01水果!$Y215&lt;&gt;$AL$1,对接源_01水果!$B215="",N(对接源_01水果!$AJ215)&lt;=0),0,IF(OR(N(对接源_01水果!$B215)&lt;$AL$2,N(对接源_01水果!$B215)&gt;$AL$3),0,1))</f>
        <v>0</v>
      </c>
      <c r="AM215">
        <f>N(AM214)+$AL215</f>
        <v>0</v>
      </c>
      <c r="AN215">
        <f>IF(对接源_01水果!$AC215="","",对接源_01水果!$AC215)</f>
      </c>
      <c r="AO215">
        <f>IF(AN215="",0,IF(MATCH(AN215,$AN$4:$AN$1203,0)=ROW()-3,1,0))</f>
        <v>0</v>
      </c>
      <c r="AP215">
        <f>N(AP214)+$AO215</f>
        <v>0</v>
      </c>
      <c r="AR215">
        <f>IF(OR($AF215=1,$AH215=1),1,0)</f>
        <v>0</v>
      </c>
      <c r="AS215">
        <f>N(AS214)+$AR215</f>
        <v>0</v>
      </c>
    </row>
    <row r="216" ht="14.25" customHeight="1" s="127">
      <c r="A216" t="str">
        <f>IF(对接源_01水果!$C216="","",对接源_01水果!$C216)</f>
        <v>吐尔洪</v>
      </c>
      <c r="B216">
        <f>IF(A216="",0,IF(MATCH(A216,$A$4:$A$2403,0)=ROW()-3,1,0))</f>
        <v>0</v>
      </c>
      <c r="C216">
        <f>N(C215)+B216</f>
        <v>13</v>
      </c>
      <c r="E216">
        <f>IFERROR(INDEX($A$4:$A$2403,MATCH(ROW()-3,$C$4:$C$2403,0)),"")</f>
      </c>
      <c r="K216">
        <f>IF(OR($K$1="",对接源_01水果!$C216="",对接源_01水果!$C216&lt;&gt;$K$1,对接源_01水果!$B216=""),0,IF(OR(N(对接源_01水果!$B216)&lt;$K$2,N(对接源_01水果!$B216)&gt;$K$3),0,1))</f>
        <v>0</v>
      </c>
      <c r="L216">
        <f>IF(OR($L$1="",对接源_01水果!$C216="",对接源_01水果!$C216&lt;&gt;$L$1,对接源_01水果!$B216=""),0,IF(OR(N(对接源_01水果!$B216)&lt;$L$2,N(对接源_01水果!$B216)&gt;$L$3),0,1))</f>
        <v>0</v>
      </c>
      <c r="M216">
        <f>IF(OR($M$1="",对接源_01水果!$C216="",对接源_01水果!$C216&lt;&gt;$M$1,对接源_01水果!$B216=""),0,IF(OR(N(对接源_01水果!$B216)&lt;$M$2,N(对接源_01水果!$B216)&gt;$M$3),0,1))</f>
        <v>1</v>
      </c>
      <c r="N216">
        <f>IF(OR($N$1="",对接源_01水果!$C216="",对接源_01水果!$C216&lt;&gt;$N$1,对接源_01水果!$B216=""),0,IF(OR(N(对接源_01水果!$B216)&lt;$N$2,N(对接源_01水果!$B216)&gt;$N$3),0,1))</f>
        <v>0</v>
      </c>
      <c r="P216">
        <f>IF(AND($K216=1,AND(对接源_01水果!$X216="公司筐",N(对接源_01水果!$T216)&lt;&gt;0)),1,0)</f>
        <v>0</v>
      </c>
      <c r="Q216">
        <f>N(Q215)+$P216</f>
        <v>0</v>
      </c>
      <c r="R216">
        <f>IF(AND($K216=1,AND(对接源_01水果!$X216="公司筐",N(对接源_01水果!$U216)&lt;&gt;0)),1,0)</f>
        <v>0</v>
      </c>
      <c r="S216">
        <f>N(S215)+$R216</f>
        <v>0</v>
      </c>
      <c r="T216">
        <f>IF(AND($K216=1,AND(对接源_01水果!$X216="公司筐",N(对接源_01水果!$V216)&lt;&gt;0)),1,0)</f>
        <v>0</v>
      </c>
      <c r="U216">
        <f>N(U215)+$T216</f>
        <v>6</v>
      </c>
      <c r="V216">
        <f>IF(AND($L216=1,AND(对接源_01水果!$X216="自备筐",N(对接源_01水果!$V216)&lt;&gt;0)),1,0)</f>
        <v>0</v>
      </c>
      <c r="W216">
        <f>N(W215)+$V216</f>
        <v>7</v>
      </c>
      <c r="X216">
        <f>IF(AND($L216=1,AND(对接源_01水果!$X216="自备筐",N(对接源_01水果!$T216)&lt;&gt;0)),1,0)</f>
        <v>0</v>
      </c>
      <c r="Y216">
        <f>N(Y215)+$X216</f>
        <v>0</v>
      </c>
      <c r="Z216">
        <f>IF(AND($M216=1,对接源_01水果!$D216="原料入库"),1,0)</f>
        <v>1</v>
      </c>
      <c r="AA216">
        <f>N(AA215)+$Z216</f>
        <v>15</v>
      </c>
      <c r="AB216">
        <f>IF(AND($M216=1,LEFT(对接源_01水果!$D216,4)="原料出库"),1,0)</f>
        <v>0</v>
      </c>
      <c r="AC216">
        <f>N(AC215)+$AB216</f>
        <v>0</v>
      </c>
      <c r="AD216">
        <f>IF(AND($M216=1,LEFT(对接源_01水果!$D216,4)="成品出库"),1,0)</f>
        <v>0</v>
      </c>
      <c r="AE216">
        <f>N(AE215)+$AD216</f>
        <v>0</v>
      </c>
      <c r="AF216">
        <f>IF(AND($N216=1,AND(LEFT(对接源_01水果!$D216,4)="包装物料",N(对接源_01水果!$K216)&lt;&gt;0)),1,0)</f>
        <v>0</v>
      </c>
      <c r="AG216">
        <f>N(AG215)+$AF216</f>
        <v>0</v>
      </c>
      <c r="AH216">
        <f>IF(AND($N216=1,AND(对接源_01水果!$D216="周转筐－销售出库",N(对接源_01水果!$K216)&lt;&gt;0)),1,0)</f>
        <v>0</v>
      </c>
      <c r="AI216">
        <f>N(AI215)+$AH216</f>
        <v>0</v>
      </c>
      <c r="AJ216" s="7" t="n"/>
      <c r="AL216">
        <f>IF(OR($AL$1="",对接源_01水果!$Y216="",对接源_01水果!$Y216&lt;&gt;$AL$1,对接源_01水果!$B216="",N(对接源_01水果!$AJ216)&lt;=0),0,IF(OR(N(对接源_01水果!$B216)&lt;$AL$2,N(对接源_01水果!$B216)&gt;$AL$3),0,1))</f>
        <v>0</v>
      </c>
      <c r="AM216">
        <f>N(AM215)+$AL216</f>
        <v>0</v>
      </c>
      <c r="AN216">
        <f>IF(对接源_01水果!$AC216="","",对接源_01水果!$AC216)</f>
      </c>
      <c r="AO216">
        <f>IF(AN216="",0,IF(MATCH(AN216,$AN$4:$AN$1203,0)=ROW()-3,1,0))</f>
        <v>0</v>
      </c>
      <c r="AP216">
        <f>N(AP215)+$AO216</f>
        <v>0</v>
      </c>
      <c r="AR216">
        <f>IF(OR($AF216=1,$AH216=1),1,0)</f>
        <v>0</v>
      </c>
      <c r="AS216">
        <f>N(AS215)+$AR216</f>
        <v>0</v>
      </c>
    </row>
    <row r="217" ht="14.25" customHeight="1" s="127">
      <c r="A217" t="str">
        <f>IF(对接源_01水果!$C217="","",对接源_01水果!$C217)</f>
        <v>热合曼</v>
      </c>
      <c r="B217">
        <f>IF(A217="",0,IF(MATCH(A217,$A$4:$A$2403,0)=ROW()-3,1,0))</f>
        <v>0</v>
      </c>
      <c r="C217">
        <f>N(C216)+B217</f>
        <v>13</v>
      </c>
      <c r="E217">
        <f>IFERROR(INDEX($A$4:$A$2403,MATCH(ROW()-3,$C$4:$C$2403,0)),"")</f>
      </c>
      <c r="K217">
        <f>IF(OR($K$1="",对接源_01水果!$C217="",对接源_01水果!$C217&lt;&gt;$K$1,对接源_01水果!$B217=""),0,IF(OR(N(对接源_01水果!$B217)&lt;$K$2,N(对接源_01水果!$B217)&gt;$K$3),0,1))</f>
        <v>0</v>
      </c>
      <c r="L217">
        <f>IF(OR($L$1="",对接源_01水果!$C217="",对接源_01水果!$C217&lt;&gt;$L$1,对接源_01水果!$B217=""),0,IF(OR(N(对接源_01水果!$B217)&lt;$L$2,N(对接源_01水果!$B217)&gt;$L$3),0,1))</f>
        <v>0</v>
      </c>
      <c r="M217">
        <f>IF(OR($M$1="",对接源_01水果!$C217="",对接源_01水果!$C217&lt;&gt;$M$1,对接源_01水果!$B217=""),0,IF(OR(N(对接源_01水果!$B217)&lt;$M$2,N(对接源_01水果!$B217)&gt;$M$3),0,1))</f>
        <v>0</v>
      </c>
      <c r="N217">
        <f>IF(OR($N$1="",对接源_01水果!$C217="",对接源_01水果!$C217&lt;&gt;$N$1,对接源_01水果!$B217=""),0,IF(OR(N(对接源_01水果!$B217)&lt;$N$2,N(对接源_01水果!$B217)&gt;$N$3),0,1))</f>
        <v>0</v>
      </c>
      <c r="P217">
        <f>IF(AND($K217=1,AND(对接源_01水果!$X217="公司筐",N(对接源_01水果!$T217)&lt;&gt;0)),1,0)</f>
        <v>0</v>
      </c>
      <c r="Q217">
        <f>N(Q216)+$P217</f>
        <v>0</v>
      </c>
      <c r="R217">
        <f>IF(AND($K217=1,AND(对接源_01水果!$X217="公司筐",N(对接源_01水果!$U217)&lt;&gt;0)),1,0)</f>
        <v>0</v>
      </c>
      <c r="S217">
        <f>N(S216)+$R217</f>
        <v>0</v>
      </c>
      <c r="T217">
        <f>IF(AND($K217=1,AND(对接源_01水果!$X217="公司筐",N(对接源_01水果!$V217)&lt;&gt;0)),1,0)</f>
        <v>0</v>
      </c>
      <c r="U217">
        <f>N(U216)+$T217</f>
        <v>6</v>
      </c>
      <c r="V217">
        <f>IF(AND($L217=1,AND(对接源_01水果!$X217="自备筐",N(对接源_01水果!$V217)&lt;&gt;0)),1,0)</f>
        <v>0</v>
      </c>
      <c r="W217">
        <f>N(W216)+$V217</f>
        <v>7</v>
      </c>
      <c r="X217">
        <f>IF(AND($L217=1,AND(对接源_01水果!$X217="自备筐",N(对接源_01水果!$T217)&lt;&gt;0)),1,0)</f>
        <v>0</v>
      </c>
      <c r="Y217">
        <f>N(Y216)+$X217</f>
        <v>0</v>
      </c>
      <c r="Z217">
        <f>IF(AND($M217=1,对接源_01水果!$D217="原料入库"),1,0)</f>
        <v>0</v>
      </c>
      <c r="AA217">
        <f>N(AA216)+$Z217</f>
        <v>15</v>
      </c>
      <c r="AB217">
        <f>IF(AND($M217=1,LEFT(对接源_01水果!$D217,4)="原料出库"),1,0)</f>
        <v>0</v>
      </c>
      <c r="AC217">
        <f>N(AC216)+$AB217</f>
        <v>0</v>
      </c>
      <c r="AD217">
        <f>IF(AND($M217=1,LEFT(对接源_01水果!$D217,4)="成品出库"),1,0)</f>
        <v>0</v>
      </c>
      <c r="AE217">
        <f>N(AE216)+$AD217</f>
        <v>0</v>
      </c>
      <c r="AF217">
        <f>IF(AND($N217=1,AND(LEFT(对接源_01水果!$D217,4)="包装物料",N(对接源_01水果!$K217)&lt;&gt;0)),1,0)</f>
        <v>0</v>
      </c>
      <c r="AG217">
        <f>N(AG216)+$AF217</f>
        <v>0</v>
      </c>
      <c r="AH217">
        <f>IF(AND($N217=1,AND(对接源_01水果!$D217="周转筐－销售出库",N(对接源_01水果!$K217)&lt;&gt;0)),1,0)</f>
        <v>0</v>
      </c>
      <c r="AI217">
        <f>N(AI216)+$AH217</f>
        <v>0</v>
      </c>
      <c r="AJ217" s="7" t="n"/>
      <c r="AL217">
        <f>IF(OR($AL$1="",对接源_01水果!$Y217="",对接源_01水果!$Y217&lt;&gt;$AL$1,对接源_01水果!$B217="",N(对接源_01水果!$AJ217)&lt;=0),0,IF(OR(N(对接源_01水果!$B217)&lt;$AL$2,N(对接源_01水果!$B217)&gt;$AL$3),0,1))</f>
        <v>0</v>
      </c>
      <c r="AM217">
        <f>N(AM216)+$AL217</f>
        <v>0</v>
      </c>
      <c r="AN217">
        <f>IF(对接源_01水果!$AC217="","",对接源_01水果!$AC217)</f>
      </c>
      <c r="AO217">
        <f>IF(AN217="",0,IF(MATCH(AN217,$AN$4:$AN$1203,0)=ROW()-3,1,0))</f>
        <v>0</v>
      </c>
      <c r="AP217">
        <f>N(AP216)+$AO217</f>
        <v>0</v>
      </c>
      <c r="AR217">
        <f>IF(OR($AF217=1,$AH217=1),1,0)</f>
        <v>0</v>
      </c>
      <c r="AS217">
        <f>N(AS216)+$AR217</f>
        <v>0</v>
      </c>
    </row>
    <row r="218" ht="14.25" customHeight="1" s="127">
      <c r="A218" t="str">
        <f>IF(对接源_01水果!$C218="","",对接源_01水果!$C218)</f>
        <v>热合曼</v>
      </c>
      <c r="B218">
        <f>IF(A218="",0,IF(MATCH(A218,$A$4:$A$2403,0)=ROW()-3,1,0))</f>
        <v>0</v>
      </c>
      <c r="C218">
        <f>N(C217)+B218</f>
        <v>13</v>
      </c>
      <c r="E218">
        <f>IFERROR(INDEX($A$4:$A$2403,MATCH(ROW()-3,$C$4:$C$2403,0)),"")</f>
      </c>
      <c r="K218">
        <f>IF(OR($K$1="",对接源_01水果!$C218="",对接源_01水果!$C218&lt;&gt;$K$1,对接源_01水果!$B218=""),0,IF(OR(N(对接源_01水果!$B218)&lt;$K$2,N(对接源_01水果!$B218)&gt;$K$3),0,1))</f>
        <v>0</v>
      </c>
      <c r="L218">
        <f>IF(OR($L$1="",对接源_01水果!$C218="",对接源_01水果!$C218&lt;&gt;$L$1,对接源_01水果!$B218=""),0,IF(OR(N(对接源_01水果!$B218)&lt;$L$2,N(对接源_01水果!$B218)&gt;$L$3),0,1))</f>
        <v>0</v>
      </c>
      <c r="M218">
        <f>IF(OR($M$1="",对接源_01水果!$C218="",对接源_01水果!$C218&lt;&gt;$M$1,对接源_01水果!$B218=""),0,IF(OR(N(对接源_01水果!$B218)&lt;$M$2,N(对接源_01水果!$B218)&gt;$M$3),0,1))</f>
        <v>0</v>
      </c>
      <c r="N218">
        <f>IF(OR($N$1="",对接源_01水果!$C218="",对接源_01水果!$C218&lt;&gt;$N$1,对接源_01水果!$B218=""),0,IF(OR(N(对接源_01水果!$B218)&lt;$N$2,N(对接源_01水果!$B218)&gt;$N$3),0,1))</f>
        <v>0</v>
      </c>
      <c r="P218">
        <f>IF(AND($K218=1,AND(对接源_01水果!$X218="公司筐",N(对接源_01水果!$T218)&lt;&gt;0)),1,0)</f>
        <v>0</v>
      </c>
      <c r="Q218">
        <f>N(Q217)+$P218</f>
        <v>0</v>
      </c>
      <c r="R218">
        <f>IF(AND($K218=1,AND(对接源_01水果!$X218="公司筐",N(对接源_01水果!$U218)&lt;&gt;0)),1,0)</f>
        <v>0</v>
      </c>
      <c r="S218">
        <f>N(S217)+$R218</f>
        <v>0</v>
      </c>
      <c r="T218">
        <f>IF(AND($K218=1,AND(对接源_01水果!$X218="公司筐",N(对接源_01水果!$V218)&lt;&gt;0)),1,0)</f>
        <v>0</v>
      </c>
      <c r="U218">
        <f>N(U217)+$T218</f>
        <v>6</v>
      </c>
      <c r="V218">
        <f>IF(AND($L218=1,AND(对接源_01水果!$X218="自备筐",N(对接源_01水果!$V218)&lt;&gt;0)),1,0)</f>
        <v>0</v>
      </c>
      <c r="W218">
        <f>N(W217)+$V218</f>
        <v>7</v>
      </c>
      <c r="X218">
        <f>IF(AND($L218=1,AND(对接源_01水果!$X218="自备筐",N(对接源_01水果!$T218)&lt;&gt;0)),1,0)</f>
        <v>0</v>
      </c>
      <c r="Y218">
        <f>N(Y217)+$X218</f>
        <v>0</v>
      </c>
      <c r="Z218">
        <f>IF(AND($M218=1,对接源_01水果!$D218="原料入库"),1,0)</f>
        <v>0</v>
      </c>
      <c r="AA218">
        <f>N(AA217)+$Z218</f>
        <v>15</v>
      </c>
      <c r="AB218">
        <f>IF(AND($M218=1,LEFT(对接源_01水果!$D218,4)="原料出库"),1,0)</f>
        <v>0</v>
      </c>
      <c r="AC218">
        <f>N(AC217)+$AB218</f>
        <v>0</v>
      </c>
      <c r="AD218">
        <f>IF(AND($M218=1,LEFT(对接源_01水果!$D218,4)="成品出库"),1,0)</f>
        <v>0</v>
      </c>
      <c r="AE218">
        <f>N(AE217)+$AD218</f>
        <v>0</v>
      </c>
      <c r="AF218">
        <f>IF(AND($N218=1,AND(LEFT(对接源_01水果!$D218,4)="包装物料",N(对接源_01水果!$K218)&lt;&gt;0)),1,0)</f>
        <v>0</v>
      </c>
      <c r="AG218">
        <f>N(AG217)+$AF218</f>
        <v>0</v>
      </c>
      <c r="AH218">
        <f>IF(AND($N218=1,AND(对接源_01水果!$D218="周转筐－销售出库",N(对接源_01水果!$K218)&lt;&gt;0)),1,0)</f>
        <v>0</v>
      </c>
      <c r="AI218">
        <f>N(AI217)+$AH218</f>
        <v>0</v>
      </c>
      <c r="AJ218" s="7" t="n"/>
      <c r="AL218">
        <f>IF(OR($AL$1="",对接源_01水果!$Y218="",对接源_01水果!$Y218&lt;&gt;$AL$1,对接源_01水果!$B218="",N(对接源_01水果!$AJ218)&lt;=0),0,IF(OR(N(对接源_01水果!$B218)&lt;$AL$2,N(对接源_01水果!$B218)&gt;$AL$3),0,1))</f>
        <v>0</v>
      </c>
      <c r="AM218">
        <f>N(AM217)+$AL218</f>
        <v>0</v>
      </c>
      <c r="AN218">
        <f>IF(对接源_01水果!$AC218="","",对接源_01水果!$AC218)</f>
      </c>
      <c r="AO218">
        <f>IF(AN218="",0,IF(MATCH(AN218,$AN$4:$AN$1203,0)=ROW()-3,1,0))</f>
        <v>0</v>
      </c>
      <c r="AP218">
        <f>N(AP217)+$AO218</f>
        <v>0</v>
      </c>
      <c r="AR218">
        <f>IF(OR($AF218=1,$AH218=1),1,0)</f>
        <v>0</v>
      </c>
      <c r="AS218">
        <f>N(AS217)+$AR218</f>
        <v>0</v>
      </c>
    </row>
    <row r="219" ht="14.25" customHeight="1" s="127">
      <c r="A219" t="str">
        <f>IF(对接源_01水果!$C219="","",对接源_01水果!$C219)</f>
        <v>热合曼</v>
      </c>
      <c r="B219">
        <f>IF(A219="",0,IF(MATCH(A219,$A$4:$A$2403,0)=ROW()-3,1,0))</f>
        <v>0</v>
      </c>
      <c r="C219">
        <f>N(C218)+B219</f>
        <v>13</v>
      </c>
      <c r="E219">
        <f>IFERROR(INDEX($A$4:$A$2403,MATCH(ROW()-3,$C$4:$C$2403,0)),"")</f>
      </c>
      <c r="K219">
        <f>IF(OR($K$1="",对接源_01水果!$C219="",对接源_01水果!$C219&lt;&gt;$K$1,对接源_01水果!$B219=""),0,IF(OR(N(对接源_01水果!$B219)&lt;$K$2,N(对接源_01水果!$B219)&gt;$K$3),0,1))</f>
        <v>0</v>
      </c>
      <c r="L219">
        <f>IF(OR($L$1="",对接源_01水果!$C219="",对接源_01水果!$C219&lt;&gt;$L$1,对接源_01水果!$B219=""),0,IF(OR(N(对接源_01水果!$B219)&lt;$L$2,N(对接源_01水果!$B219)&gt;$L$3),0,1))</f>
        <v>0</v>
      </c>
      <c r="M219">
        <f>IF(OR($M$1="",对接源_01水果!$C219="",对接源_01水果!$C219&lt;&gt;$M$1,对接源_01水果!$B219=""),0,IF(OR(N(对接源_01水果!$B219)&lt;$M$2,N(对接源_01水果!$B219)&gt;$M$3),0,1))</f>
        <v>0</v>
      </c>
      <c r="N219">
        <f>IF(OR($N$1="",对接源_01水果!$C219="",对接源_01水果!$C219&lt;&gt;$N$1,对接源_01水果!$B219=""),0,IF(OR(N(对接源_01水果!$B219)&lt;$N$2,N(对接源_01水果!$B219)&gt;$N$3),0,1))</f>
        <v>0</v>
      </c>
      <c r="P219">
        <f>IF(AND($K219=1,AND(对接源_01水果!$X219="公司筐",N(对接源_01水果!$T219)&lt;&gt;0)),1,0)</f>
        <v>0</v>
      </c>
      <c r="Q219">
        <f>N(Q218)+$P219</f>
        <v>0</v>
      </c>
      <c r="R219">
        <f>IF(AND($K219=1,AND(对接源_01水果!$X219="公司筐",N(对接源_01水果!$U219)&lt;&gt;0)),1,0)</f>
        <v>0</v>
      </c>
      <c r="S219">
        <f>N(S218)+$R219</f>
        <v>0</v>
      </c>
      <c r="T219">
        <f>IF(AND($K219=1,AND(对接源_01水果!$X219="公司筐",N(对接源_01水果!$V219)&lt;&gt;0)),1,0)</f>
        <v>0</v>
      </c>
      <c r="U219">
        <f>N(U218)+$T219</f>
        <v>6</v>
      </c>
      <c r="V219">
        <f>IF(AND($L219=1,AND(对接源_01水果!$X219="自备筐",N(对接源_01水果!$V219)&lt;&gt;0)),1,0)</f>
        <v>0</v>
      </c>
      <c r="W219">
        <f>N(W218)+$V219</f>
        <v>7</v>
      </c>
      <c r="X219">
        <f>IF(AND($L219=1,AND(对接源_01水果!$X219="自备筐",N(对接源_01水果!$T219)&lt;&gt;0)),1,0)</f>
        <v>0</v>
      </c>
      <c r="Y219">
        <f>N(Y218)+$X219</f>
        <v>0</v>
      </c>
      <c r="Z219">
        <f>IF(AND($M219=1,对接源_01水果!$D219="原料入库"),1,0)</f>
        <v>0</v>
      </c>
      <c r="AA219">
        <f>N(AA218)+$Z219</f>
        <v>15</v>
      </c>
      <c r="AB219">
        <f>IF(AND($M219=1,LEFT(对接源_01水果!$D219,4)="原料出库"),1,0)</f>
        <v>0</v>
      </c>
      <c r="AC219">
        <f>N(AC218)+$AB219</f>
        <v>0</v>
      </c>
      <c r="AD219">
        <f>IF(AND($M219=1,LEFT(对接源_01水果!$D219,4)="成品出库"),1,0)</f>
        <v>0</v>
      </c>
      <c r="AE219">
        <f>N(AE218)+$AD219</f>
        <v>0</v>
      </c>
      <c r="AF219">
        <f>IF(AND($N219=1,AND(LEFT(对接源_01水果!$D219,4)="包装物料",N(对接源_01水果!$K219)&lt;&gt;0)),1,0)</f>
        <v>0</v>
      </c>
      <c r="AG219">
        <f>N(AG218)+$AF219</f>
        <v>0</v>
      </c>
      <c r="AH219">
        <f>IF(AND($N219=1,AND(对接源_01水果!$D219="周转筐－销售出库",N(对接源_01水果!$K219)&lt;&gt;0)),1,0)</f>
        <v>0</v>
      </c>
      <c r="AI219">
        <f>N(AI218)+$AH219</f>
        <v>0</v>
      </c>
      <c r="AJ219" s="7" t="n"/>
      <c r="AL219">
        <f>IF(OR($AL$1="",对接源_01水果!$Y219="",对接源_01水果!$Y219&lt;&gt;$AL$1,对接源_01水果!$B219="",N(对接源_01水果!$AJ219)&lt;=0),0,IF(OR(N(对接源_01水果!$B219)&lt;$AL$2,N(对接源_01水果!$B219)&gt;$AL$3),0,1))</f>
        <v>0</v>
      </c>
      <c r="AM219">
        <f>N(AM218)+$AL219</f>
        <v>0</v>
      </c>
      <c r="AN219">
        <f>IF(对接源_01水果!$AC219="","",对接源_01水果!$AC219)</f>
      </c>
      <c r="AO219">
        <f>IF(AN219="",0,IF(MATCH(AN219,$AN$4:$AN$1203,0)=ROW()-3,1,0))</f>
        <v>0</v>
      </c>
      <c r="AP219">
        <f>N(AP218)+$AO219</f>
        <v>0</v>
      </c>
      <c r="AR219">
        <f>IF(OR($AF219=1,$AH219=1),1,0)</f>
        <v>0</v>
      </c>
      <c r="AS219">
        <f>N(AS218)+$AR219</f>
        <v>0</v>
      </c>
    </row>
    <row r="220" ht="14.25" customHeight="1" s="127">
      <c r="A220" t="str">
        <f>IF(对接源_01水果!$C220="","",对接源_01水果!$C220)</f>
        <v>努尔敦</v>
      </c>
      <c r="B220">
        <f>IF(A220="",0,IF(MATCH(A220,$A$4:$A$2403,0)=ROW()-3,1,0))</f>
        <v>0</v>
      </c>
      <c r="C220">
        <f>N(C219)+B220</f>
        <v>13</v>
      </c>
      <c r="E220">
        <f>IFERROR(INDEX($A$4:$A$2403,MATCH(ROW()-3,$C$4:$C$2403,0)),"")</f>
      </c>
      <c r="K220">
        <f>IF(OR($K$1="",对接源_01水果!$C220="",对接源_01水果!$C220&lt;&gt;$K$1,对接源_01水果!$B220=""),0,IF(OR(N(对接源_01水果!$B220)&lt;$K$2,N(对接源_01水果!$B220)&gt;$K$3),0,1))</f>
        <v>0</v>
      </c>
      <c r="L220">
        <f>IF(OR($L$1="",对接源_01水果!$C220="",对接源_01水果!$C220&lt;&gt;$L$1,对接源_01水果!$B220=""),0,IF(OR(N(对接源_01水果!$B220)&lt;$L$2,N(对接源_01水果!$B220)&gt;$L$3),0,1))</f>
        <v>0</v>
      </c>
      <c r="M220">
        <f>IF(OR($M$1="",对接源_01水果!$C220="",对接源_01水果!$C220&lt;&gt;$M$1,对接源_01水果!$B220=""),0,IF(OR(N(对接源_01水果!$B220)&lt;$M$2,N(对接源_01水果!$B220)&gt;$M$3),0,1))</f>
        <v>0</v>
      </c>
      <c r="N220">
        <f>IF(OR($N$1="",对接源_01水果!$C220="",对接源_01水果!$C220&lt;&gt;$N$1,对接源_01水果!$B220=""),0,IF(OR(N(对接源_01水果!$B220)&lt;$N$2,N(对接源_01水果!$B220)&gt;$N$3),0,1))</f>
        <v>0</v>
      </c>
      <c r="P220">
        <f>IF(AND($K220=1,AND(对接源_01水果!$X220="公司筐",N(对接源_01水果!$T220)&lt;&gt;0)),1,0)</f>
        <v>0</v>
      </c>
      <c r="Q220">
        <f>N(Q219)+$P220</f>
        <v>0</v>
      </c>
      <c r="R220">
        <f>IF(AND($K220=1,AND(对接源_01水果!$X220="公司筐",N(对接源_01水果!$U220)&lt;&gt;0)),1,0)</f>
        <v>0</v>
      </c>
      <c r="S220">
        <f>N(S219)+$R220</f>
        <v>0</v>
      </c>
      <c r="T220">
        <f>IF(AND($K220=1,AND(对接源_01水果!$X220="公司筐",N(对接源_01水果!$V220)&lt;&gt;0)),1,0)</f>
        <v>0</v>
      </c>
      <c r="U220">
        <f>N(U219)+$T220</f>
        <v>6</v>
      </c>
      <c r="V220">
        <f>IF(AND($L220=1,AND(对接源_01水果!$X220="自备筐",N(对接源_01水果!$V220)&lt;&gt;0)),1,0)</f>
        <v>0</v>
      </c>
      <c r="W220">
        <f>N(W219)+$V220</f>
        <v>7</v>
      </c>
      <c r="X220">
        <f>IF(AND($L220=1,AND(对接源_01水果!$X220="自备筐",N(对接源_01水果!$T220)&lt;&gt;0)),1,0)</f>
        <v>0</v>
      </c>
      <c r="Y220">
        <f>N(Y219)+$X220</f>
        <v>0</v>
      </c>
      <c r="Z220">
        <f>IF(AND($M220=1,对接源_01水果!$D220="原料入库"),1,0)</f>
        <v>0</v>
      </c>
      <c r="AA220">
        <f>N(AA219)+$Z220</f>
        <v>15</v>
      </c>
      <c r="AB220">
        <f>IF(AND($M220=1,LEFT(对接源_01水果!$D220,4)="原料出库"),1,0)</f>
        <v>0</v>
      </c>
      <c r="AC220">
        <f>N(AC219)+$AB220</f>
        <v>0</v>
      </c>
      <c r="AD220">
        <f>IF(AND($M220=1,LEFT(对接源_01水果!$D220,4)="成品出库"),1,0)</f>
        <v>0</v>
      </c>
      <c r="AE220">
        <f>N(AE219)+$AD220</f>
        <v>0</v>
      </c>
      <c r="AF220">
        <f>IF(AND($N220=1,AND(LEFT(对接源_01水果!$D220,4)="包装物料",N(对接源_01水果!$K220)&lt;&gt;0)),1,0)</f>
        <v>0</v>
      </c>
      <c r="AG220">
        <f>N(AG219)+$AF220</f>
        <v>0</v>
      </c>
      <c r="AH220">
        <f>IF(AND($N220=1,AND(对接源_01水果!$D220="周转筐－销售出库",N(对接源_01水果!$K220)&lt;&gt;0)),1,0)</f>
        <v>0</v>
      </c>
      <c r="AI220">
        <f>N(AI219)+$AH220</f>
        <v>0</v>
      </c>
      <c r="AJ220" s="7" t="n"/>
      <c r="AL220">
        <f>IF(OR($AL$1="",对接源_01水果!$Y220="",对接源_01水果!$Y220&lt;&gt;$AL$1,对接源_01水果!$B220="",N(对接源_01水果!$AJ220)&lt;=0),0,IF(OR(N(对接源_01水果!$B220)&lt;$AL$2,N(对接源_01水果!$B220)&gt;$AL$3),0,1))</f>
        <v>0</v>
      </c>
      <c r="AM220">
        <f>N(AM219)+$AL220</f>
        <v>0</v>
      </c>
      <c r="AN220">
        <f>IF(对接源_01水果!$AC220="","",对接源_01水果!$AC220)</f>
      </c>
      <c r="AO220">
        <f>IF(AN220="",0,IF(MATCH(AN220,$AN$4:$AN$1203,0)=ROW()-3,1,0))</f>
        <v>0</v>
      </c>
      <c r="AP220">
        <f>N(AP219)+$AO220</f>
        <v>0</v>
      </c>
      <c r="AR220">
        <f>IF(OR($AF220=1,$AH220=1),1,0)</f>
        <v>0</v>
      </c>
      <c r="AS220">
        <f>N(AS219)+$AR220</f>
        <v>0</v>
      </c>
    </row>
    <row r="221" ht="14.25" customHeight="1" s="127">
      <c r="A221" t="str">
        <f>IF(对接源_01水果!$C221="","",对接源_01水果!$C221)</f>
        <v>努尔敦</v>
      </c>
      <c r="B221">
        <f>IF(A221="",0,IF(MATCH(A221,$A$4:$A$2403,0)=ROW()-3,1,0))</f>
        <v>0</v>
      </c>
      <c r="C221">
        <f>N(C220)+B221</f>
        <v>13</v>
      </c>
      <c r="E221">
        <f>IFERROR(INDEX($A$4:$A$2403,MATCH(ROW()-3,$C$4:$C$2403,0)),"")</f>
      </c>
      <c r="K221">
        <f>IF(OR($K$1="",对接源_01水果!$C221="",对接源_01水果!$C221&lt;&gt;$K$1,对接源_01水果!$B221=""),0,IF(OR(N(对接源_01水果!$B221)&lt;$K$2,N(对接源_01水果!$B221)&gt;$K$3),0,1))</f>
        <v>0</v>
      </c>
      <c r="L221">
        <f>IF(OR($L$1="",对接源_01水果!$C221="",对接源_01水果!$C221&lt;&gt;$L$1,对接源_01水果!$B221=""),0,IF(OR(N(对接源_01水果!$B221)&lt;$L$2,N(对接源_01水果!$B221)&gt;$L$3),0,1))</f>
        <v>0</v>
      </c>
      <c r="M221">
        <f>IF(OR($M$1="",对接源_01水果!$C221="",对接源_01水果!$C221&lt;&gt;$M$1,对接源_01水果!$B221=""),0,IF(OR(N(对接源_01水果!$B221)&lt;$M$2,N(对接源_01水果!$B221)&gt;$M$3),0,1))</f>
        <v>0</v>
      </c>
      <c r="N221">
        <f>IF(OR($N$1="",对接源_01水果!$C221="",对接源_01水果!$C221&lt;&gt;$N$1,对接源_01水果!$B221=""),0,IF(OR(N(对接源_01水果!$B221)&lt;$N$2,N(对接源_01水果!$B221)&gt;$N$3),0,1))</f>
        <v>0</v>
      </c>
      <c r="P221">
        <f>IF(AND($K221=1,AND(对接源_01水果!$X221="公司筐",N(对接源_01水果!$T221)&lt;&gt;0)),1,0)</f>
        <v>0</v>
      </c>
      <c r="Q221">
        <f>N(Q220)+$P221</f>
        <v>0</v>
      </c>
      <c r="R221">
        <f>IF(AND($K221=1,AND(对接源_01水果!$X221="公司筐",N(对接源_01水果!$U221)&lt;&gt;0)),1,0)</f>
        <v>0</v>
      </c>
      <c r="S221">
        <f>N(S220)+$R221</f>
        <v>0</v>
      </c>
      <c r="T221">
        <f>IF(AND($K221=1,AND(对接源_01水果!$X221="公司筐",N(对接源_01水果!$V221)&lt;&gt;0)),1,0)</f>
        <v>0</v>
      </c>
      <c r="U221">
        <f>N(U220)+$T221</f>
        <v>6</v>
      </c>
      <c r="V221">
        <f>IF(AND($L221=1,AND(对接源_01水果!$X221="自备筐",N(对接源_01水果!$V221)&lt;&gt;0)),1,0)</f>
        <v>0</v>
      </c>
      <c r="W221">
        <f>N(W220)+$V221</f>
        <v>7</v>
      </c>
      <c r="X221">
        <f>IF(AND($L221=1,AND(对接源_01水果!$X221="自备筐",N(对接源_01水果!$T221)&lt;&gt;0)),1,0)</f>
        <v>0</v>
      </c>
      <c r="Y221">
        <f>N(Y220)+$X221</f>
        <v>0</v>
      </c>
      <c r="Z221">
        <f>IF(AND($M221=1,对接源_01水果!$D221="原料入库"),1,0)</f>
        <v>0</v>
      </c>
      <c r="AA221">
        <f>N(AA220)+$Z221</f>
        <v>15</v>
      </c>
      <c r="AB221">
        <f>IF(AND($M221=1,LEFT(对接源_01水果!$D221,4)="原料出库"),1,0)</f>
        <v>0</v>
      </c>
      <c r="AC221">
        <f>N(AC220)+$AB221</f>
        <v>0</v>
      </c>
      <c r="AD221">
        <f>IF(AND($M221=1,LEFT(对接源_01水果!$D221,4)="成品出库"),1,0)</f>
        <v>0</v>
      </c>
      <c r="AE221">
        <f>N(AE220)+$AD221</f>
        <v>0</v>
      </c>
      <c r="AF221">
        <f>IF(AND($N221=1,AND(LEFT(对接源_01水果!$D221,4)="包装物料",N(对接源_01水果!$K221)&lt;&gt;0)),1,0)</f>
        <v>0</v>
      </c>
      <c r="AG221">
        <f>N(AG220)+$AF221</f>
        <v>0</v>
      </c>
      <c r="AH221">
        <f>IF(AND($N221=1,AND(对接源_01水果!$D221="周转筐－销售出库",N(对接源_01水果!$K221)&lt;&gt;0)),1,0)</f>
        <v>0</v>
      </c>
      <c r="AI221">
        <f>N(AI220)+$AH221</f>
        <v>0</v>
      </c>
      <c r="AJ221" s="7" t="n"/>
      <c r="AL221">
        <f>IF(OR($AL$1="",对接源_01水果!$Y221="",对接源_01水果!$Y221&lt;&gt;$AL$1,对接源_01水果!$B221="",N(对接源_01水果!$AJ221)&lt;=0),0,IF(OR(N(对接源_01水果!$B221)&lt;$AL$2,N(对接源_01水果!$B221)&gt;$AL$3),0,1))</f>
        <v>0</v>
      </c>
      <c r="AM221">
        <f>N(AM220)+$AL221</f>
        <v>0</v>
      </c>
      <c r="AN221">
        <f>IF(对接源_01水果!$AC221="","",对接源_01水果!$AC221)</f>
      </c>
      <c r="AO221">
        <f>IF(AN221="",0,IF(MATCH(AN221,$AN$4:$AN$1203,0)=ROW()-3,1,0))</f>
        <v>0</v>
      </c>
      <c r="AP221">
        <f>N(AP220)+$AO221</f>
        <v>0</v>
      </c>
      <c r="AR221">
        <f>IF(OR($AF221=1,$AH221=1),1,0)</f>
        <v>0</v>
      </c>
      <c r="AS221">
        <f>N(AS220)+$AR221</f>
        <v>0</v>
      </c>
    </row>
    <row r="222" ht="14.25" customHeight="1" s="127">
      <c r="A222" t="str">
        <f>IF(对接源_01水果!$C222="","",对接源_01水果!$C222)</f>
        <v>努尔敦</v>
      </c>
      <c r="B222">
        <f>IF(A222="",0,IF(MATCH(A222,$A$4:$A$2403,0)=ROW()-3,1,0))</f>
        <v>0</v>
      </c>
      <c r="C222">
        <f>N(C221)+B222</f>
        <v>13</v>
      </c>
      <c r="E222">
        <f>IFERROR(INDEX($A$4:$A$2403,MATCH(ROW()-3,$C$4:$C$2403,0)),"")</f>
      </c>
      <c r="K222">
        <f>IF(OR($K$1="",对接源_01水果!$C222="",对接源_01水果!$C222&lt;&gt;$K$1,对接源_01水果!$B222=""),0,IF(OR(N(对接源_01水果!$B222)&lt;$K$2,N(对接源_01水果!$B222)&gt;$K$3),0,1))</f>
        <v>0</v>
      </c>
      <c r="L222">
        <f>IF(OR($L$1="",对接源_01水果!$C222="",对接源_01水果!$C222&lt;&gt;$L$1,对接源_01水果!$B222=""),0,IF(OR(N(对接源_01水果!$B222)&lt;$L$2,N(对接源_01水果!$B222)&gt;$L$3),0,1))</f>
        <v>0</v>
      </c>
      <c r="M222">
        <f>IF(OR($M$1="",对接源_01水果!$C222="",对接源_01水果!$C222&lt;&gt;$M$1,对接源_01水果!$B222=""),0,IF(OR(N(对接源_01水果!$B222)&lt;$M$2,N(对接源_01水果!$B222)&gt;$M$3),0,1))</f>
        <v>0</v>
      </c>
      <c r="N222">
        <f>IF(OR($N$1="",对接源_01水果!$C222="",对接源_01水果!$C222&lt;&gt;$N$1,对接源_01水果!$B222=""),0,IF(OR(N(对接源_01水果!$B222)&lt;$N$2,N(对接源_01水果!$B222)&gt;$N$3),0,1))</f>
        <v>0</v>
      </c>
      <c r="P222">
        <f>IF(AND($K222=1,AND(对接源_01水果!$X222="公司筐",N(对接源_01水果!$T222)&lt;&gt;0)),1,0)</f>
        <v>0</v>
      </c>
      <c r="Q222">
        <f>N(Q221)+$P222</f>
        <v>0</v>
      </c>
      <c r="R222">
        <f>IF(AND($K222=1,AND(对接源_01水果!$X222="公司筐",N(对接源_01水果!$U222)&lt;&gt;0)),1,0)</f>
        <v>0</v>
      </c>
      <c r="S222">
        <f>N(S221)+$R222</f>
        <v>0</v>
      </c>
      <c r="T222">
        <f>IF(AND($K222=1,AND(对接源_01水果!$X222="公司筐",N(对接源_01水果!$V222)&lt;&gt;0)),1,0)</f>
        <v>0</v>
      </c>
      <c r="U222">
        <f>N(U221)+$T222</f>
        <v>6</v>
      </c>
      <c r="V222">
        <f>IF(AND($L222=1,AND(对接源_01水果!$X222="自备筐",N(对接源_01水果!$V222)&lt;&gt;0)),1,0)</f>
        <v>0</v>
      </c>
      <c r="W222">
        <f>N(W221)+$V222</f>
        <v>7</v>
      </c>
      <c r="X222">
        <f>IF(AND($L222=1,AND(对接源_01水果!$X222="自备筐",N(对接源_01水果!$T222)&lt;&gt;0)),1,0)</f>
        <v>0</v>
      </c>
      <c r="Y222">
        <f>N(Y221)+$X222</f>
        <v>0</v>
      </c>
      <c r="Z222">
        <f>IF(AND($M222=1,对接源_01水果!$D222="原料入库"),1,0)</f>
        <v>0</v>
      </c>
      <c r="AA222">
        <f>N(AA221)+$Z222</f>
        <v>15</v>
      </c>
      <c r="AB222">
        <f>IF(AND($M222=1,LEFT(对接源_01水果!$D222,4)="原料出库"),1,0)</f>
        <v>0</v>
      </c>
      <c r="AC222">
        <f>N(AC221)+$AB222</f>
        <v>0</v>
      </c>
      <c r="AD222">
        <f>IF(AND($M222=1,LEFT(对接源_01水果!$D222,4)="成品出库"),1,0)</f>
        <v>0</v>
      </c>
      <c r="AE222">
        <f>N(AE221)+$AD222</f>
        <v>0</v>
      </c>
      <c r="AF222">
        <f>IF(AND($N222=1,AND(LEFT(对接源_01水果!$D222,4)="包装物料",N(对接源_01水果!$K222)&lt;&gt;0)),1,0)</f>
        <v>0</v>
      </c>
      <c r="AG222">
        <f>N(AG221)+$AF222</f>
        <v>0</v>
      </c>
      <c r="AH222">
        <f>IF(AND($N222=1,AND(对接源_01水果!$D222="周转筐－销售出库",N(对接源_01水果!$K222)&lt;&gt;0)),1,0)</f>
        <v>0</v>
      </c>
      <c r="AI222">
        <f>N(AI221)+$AH222</f>
        <v>0</v>
      </c>
      <c r="AJ222" s="7" t="n"/>
      <c r="AL222">
        <f>IF(OR($AL$1="",对接源_01水果!$Y222="",对接源_01水果!$Y222&lt;&gt;$AL$1,对接源_01水果!$B222="",N(对接源_01水果!$AJ222)&lt;=0),0,IF(OR(N(对接源_01水果!$B222)&lt;$AL$2,N(对接源_01水果!$B222)&gt;$AL$3),0,1))</f>
        <v>0</v>
      </c>
      <c r="AM222">
        <f>N(AM221)+$AL222</f>
        <v>0</v>
      </c>
      <c r="AN222">
        <f>IF(对接源_01水果!$AC222="","",对接源_01水果!$AC222)</f>
      </c>
      <c r="AO222">
        <f>IF(AN222="",0,IF(MATCH(AN222,$AN$4:$AN$1203,0)=ROW()-3,1,0))</f>
        <v>0</v>
      </c>
      <c r="AP222">
        <f>N(AP221)+$AO222</f>
        <v>0</v>
      </c>
      <c r="AR222">
        <f>IF(OR($AF222=1,$AH222=1),1,0)</f>
        <v>0</v>
      </c>
      <c r="AS222">
        <f>N(AS221)+$AR222</f>
        <v>0</v>
      </c>
    </row>
    <row r="223" ht="14.25" customHeight="1" s="127">
      <c r="A223" t="str">
        <f>IF(对接源_01水果!$C223="","",对接源_01水果!$C223)</f>
        <v>马锦祥</v>
      </c>
      <c r="B223">
        <f>IF(A223="",0,IF(MATCH(A223,$A$4:$A$2403,0)=ROW()-3,1,0))</f>
        <v>0</v>
      </c>
      <c r="C223">
        <f>N(C222)+B223</f>
        <v>13</v>
      </c>
      <c r="E223">
        <f>IFERROR(INDEX($A$4:$A$2403,MATCH(ROW()-3,$C$4:$C$2403,0)),"")</f>
      </c>
      <c r="K223">
        <f>IF(OR($K$1="",对接源_01水果!$C223="",对接源_01水果!$C223&lt;&gt;$K$1,对接源_01水果!$B223=""),0,IF(OR(N(对接源_01水果!$B223)&lt;$K$2,N(对接源_01水果!$B223)&gt;$K$3),0,1))</f>
        <v>0</v>
      </c>
      <c r="L223">
        <f>IF(OR($L$1="",对接源_01水果!$C223="",对接源_01水果!$C223&lt;&gt;$L$1,对接源_01水果!$B223=""),0,IF(OR(N(对接源_01水果!$B223)&lt;$L$2,N(对接源_01水果!$B223)&gt;$L$3),0,1))</f>
        <v>0</v>
      </c>
      <c r="M223">
        <f>IF(OR($M$1="",对接源_01水果!$C223="",对接源_01水果!$C223&lt;&gt;$M$1,对接源_01水果!$B223=""),0,IF(OR(N(对接源_01水果!$B223)&lt;$M$2,N(对接源_01水果!$B223)&gt;$M$3),0,1))</f>
        <v>0</v>
      </c>
      <c r="N223">
        <f>IF(OR($N$1="",对接源_01水果!$C223="",对接源_01水果!$C223&lt;&gt;$N$1,对接源_01水果!$B223=""),0,IF(OR(N(对接源_01水果!$B223)&lt;$N$2,N(对接源_01水果!$B223)&gt;$N$3),0,1))</f>
        <v>0</v>
      </c>
      <c r="P223">
        <f>IF(AND($K223=1,AND(对接源_01水果!$X223="公司筐",N(对接源_01水果!$T223)&lt;&gt;0)),1,0)</f>
        <v>0</v>
      </c>
      <c r="Q223">
        <f>N(Q222)+$P223</f>
        <v>0</v>
      </c>
      <c r="R223">
        <f>IF(AND($K223=1,AND(对接源_01水果!$X223="公司筐",N(对接源_01水果!$U223)&lt;&gt;0)),1,0)</f>
        <v>0</v>
      </c>
      <c r="S223">
        <f>N(S222)+$R223</f>
        <v>0</v>
      </c>
      <c r="T223">
        <f>IF(AND($K223=1,AND(对接源_01水果!$X223="公司筐",N(对接源_01水果!$V223)&lt;&gt;0)),1,0)</f>
        <v>0</v>
      </c>
      <c r="U223">
        <f>N(U222)+$T223</f>
        <v>6</v>
      </c>
      <c r="V223">
        <f>IF(AND($L223=1,AND(对接源_01水果!$X223="自备筐",N(对接源_01水果!$V223)&lt;&gt;0)),1,0)</f>
        <v>0</v>
      </c>
      <c r="W223">
        <f>N(W222)+$V223</f>
        <v>7</v>
      </c>
      <c r="X223">
        <f>IF(AND($L223=1,AND(对接源_01水果!$X223="自备筐",N(对接源_01水果!$T223)&lt;&gt;0)),1,0)</f>
        <v>0</v>
      </c>
      <c r="Y223">
        <f>N(Y222)+$X223</f>
        <v>0</v>
      </c>
      <c r="Z223">
        <f>IF(AND($M223=1,对接源_01水果!$D223="原料入库"),1,0)</f>
        <v>0</v>
      </c>
      <c r="AA223">
        <f>N(AA222)+$Z223</f>
        <v>15</v>
      </c>
      <c r="AB223">
        <f>IF(AND($M223=1,LEFT(对接源_01水果!$D223,4)="原料出库"),1,0)</f>
        <v>0</v>
      </c>
      <c r="AC223">
        <f>N(AC222)+$AB223</f>
        <v>0</v>
      </c>
      <c r="AD223">
        <f>IF(AND($M223=1,LEFT(对接源_01水果!$D223,4)="成品出库"),1,0)</f>
        <v>0</v>
      </c>
      <c r="AE223">
        <f>N(AE222)+$AD223</f>
        <v>0</v>
      </c>
      <c r="AF223">
        <f>IF(AND($N223=1,AND(LEFT(对接源_01水果!$D223,4)="包装物料",N(对接源_01水果!$K223)&lt;&gt;0)),1,0)</f>
        <v>0</v>
      </c>
      <c r="AG223">
        <f>N(AG222)+$AF223</f>
        <v>0</v>
      </c>
      <c r="AH223">
        <f>IF(AND($N223=1,AND(对接源_01水果!$D223="周转筐－销售出库",N(对接源_01水果!$K223)&lt;&gt;0)),1,0)</f>
        <v>0</v>
      </c>
      <c r="AI223">
        <f>N(AI222)+$AH223</f>
        <v>0</v>
      </c>
      <c r="AJ223" s="7" t="n"/>
      <c r="AL223">
        <f>IF(OR($AL$1="",对接源_01水果!$Y223="",对接源_01水果!$Y223&lt;&gt;$AL$1,对接源_01水果!$B223="",N(对接源_01水果!$AJ223)&lt;=0),0,IF(OR(N(对接源_01水果!$B223)&lt;$AL$2,N(对接源_01水果!$B223)&gt;$AL$3),0,1))</f>
        <v>0</v>
      </c>
      <c r="AM223">
        <f>N(AM222)+$AL223</f>
        <v>0</v>
      </c>
      <c r="AN223">
        <f>IF(对接源_01水果!$AC223="","",对接源_01水果!$AC223)</f>
      </c>
      <c r="AO223">
        <f>IF(AN223="",0,IF(MATCH(AN223,$AN$4:$AN$1203,0)=ROW()-3,1,0))</f>
        <v>0</v>
      </c>
      <c r="AP223">
        <f>N(AP222)+$AO223</f>
        <v>0</v>
      </c>
      <c r="AR223">
        <f>IF(OR($AF223=1,$AH223=1),1,0)</f>
        <v>0</v>
      </c>
      <c r="AS223">
        <f>N(AS222)+$AR223</f>
        <v>0</v>
      </c>
    </row>
    <row r="224" ht="14.25" customHeight="1" s="127">
      <c r="A224" t="str">
        <f>IF(对接源_01水果!$C224="","",对接源_01水果!$C224)</f>
        <v>马锦祥</v>
      </c>
      <c r="B224">
        <f>IF(A224="",0,IF(MATCH(A224,$A$4:$A$2403,0)=ROW()-3,1,0))</f>
        <v>0</v>
      </c>
      <c r="C224">
        <f>N(C223)+B224</f>
        <v>13</v>
      </c>
      <c r="E224">
        <f>IFERROR(INDEX($A$4:$A$2403,MATCH(ROW()-3,$C$4:$C$2403,0)),"")</f>
      </c>
      <c r="K224">
        <f>IF(OR($K$1="",对接源_01水果!$C224="",对接源_01水果!$C224&lt;&gt;$K$1,对接源_01水果!$B224=""),0,IF(OR(N(对接源_01水果!$B224)&lt;$K$2,N(对接源_01水果!$B224)&gt;$K$3),0,1))</f>
        <v>0</v>
      </c>
      <c r="L224">
        <f>IF(OR($L$1="",对接源_01水果!$C224="",对接源_01水果!$C224&lt;&gt;$L$1,对接源_01水果!$B224=""),0,IF(OR(N(对接源_01水果!$B224)&lt;$L$2,N(对接源_01水果!$B224)&gt;$L$3),0,1))</f>
        <v>0</v>
      </c>
      <c r="M224">
        <f>IF(OR($M$1="",对接源_01水果!$C224="",对接源_01水果!$C224&lt;&gt;$M$1,对接源_01水果!$B224=""),0,IF(OR(N(对接源_01水果!$B224)&lt;$M$2,N(对接源_01水果!$B224)&gt;$M$3),0,1))</f>
        <v>0</v>
      </c>
      <c r="N224">
        <f>IF(OR($N$1="",对接源_01水果!$C224="",对接源_01水果!$C224&lt;&gt;$N$1,对接源_01水果!$B224=""),0,IF(OR(N(对接源_01水果!$B224)&lt;$N$2,N(对接源_01水果!$B224)&gt;$N$3),0,1))</f>
        <v>0</v>
      </c>
      <c r="P224">
        <f>IF(AND($K224=1,AND(对接源_01水果!$X224="公司筐",N(对接源_01水果!$T224)&lt;&gt;0)),1,0)</f>
        <v>0</v>
      </c>
      <c r="Q224">
        <f>N(Q223)+$P224</f>
        <v>0</v>
      </c>
      <c r="R224">
        <f>IF(AND($K224=1,AND(对接源_01水果!$X224="公司筐",N(对接源_01水果!$U224)&lt;&gt;0)),1,0)</f>
        <v>0</v>
      </c>
      <c r="S224">
        <f>N(S223)+$R224</f>
        <v>0</v>
      </c>
      <c r="T224">
        <f>IF(AND($K224=1,AND(对接源_01水果!$X224="公司筐",N(对接源_01水果!$V224)&lt;&gt;0)),1,0)</f>
        <v>0</v>
      </c>
      <c r="U224">
        <f>N(U223)+$T224</f>
        <v>6</v>
      </c>
      <c r="V224">
        <f>IF(AND($L224=1,AND(对接源_01水果!$X224="自备筐",N(对接源_01水果!$V224)&lt;&gt;0)),1,0)</f>
        <v>0</v>
      </c>
      <c r="W224">
        <f>N(W223)+$V224</f>
        <v>7</v>
      </c>
      <c r="X224">
        <f>IF(AND($L224=1,AND(对接源_01水果!$X224="自备筐",N(对接源_01水果!$T224)&lt;&gt;0)),1,0)</f>
        <v>0</v>
      </c>
      <c r="Y224">
        <f>N(Y223)+$X224</f>
        <v>0</v>
      </c>
      <c r="Z224">
        <f>IF(AND($M224=1,对接源_01水果!$D224="原料入库"),1,0)</f>
        <v>0</v>
      </c>
      <c r="AA224">
        <f>N(AA223)+$Z224</f>
        <v>15</v>
      </c>
      <c r="AB224">
        <f>IF(AND($M224=1,LEFT(对接源_01水果!$D224,4)="原料出库"),1,0)</f>
        <v>0</v>
      </c>
      <c r="AC224">
        <f>N(AC223)+$AB224</f>
        <v>0</v>
      </c>
      <c r="AD224">
        <f>IF(AND($M224=1,LEFT(对接源_01水果!$D224,4)="成品出库"),1,0)</f>
        <v>0</v>
      </c>
      <c r="AE224">
        <f>N(AE223)+$AD224</f>
        <v>0</v>
      </c>
      <c r="AF224">
        <f>IF(AND($N224=1,AND(LEFT(对接源_01水果!$D224,4)="包装物料",N(对接源_01水果!$K224)&lt;&gt;0)),1,0)</f>
        <v>0</v>
      </c>
      <c r="AG224">
        <f>N(AG223)+$AF224</f>
        <v>0</v>
      </c>
      <c r="AH224">
        <f>IF(AND($N224=1,AND(对接源_01水果!$D224="周转筐－销售出库",N(对接源_01水果!$K224)&lt;&gt;0)),1,0)</f>
        <v>0</v>
      </c>
      <c r="AI224">
        <f>N(AI223)+$AH224</f>
        <v>0</v>
      </c>
      <c r="AJ224" s="7" t="n"/>
      <c r="AL224">
        <f>IF(OR($AL$1="",对接源_01水果!$Y224="",对接源_01水果!$Y224&lt;&gt;$AL$1,对接源_01水果!$B224="",N(对接源_01水果!$AJ224)&lt;=0),0,IF(OR(N(对接源_01水果!$B224)&lt;$AL$2,N(对接源_01水果!$B224)&gt;$AL$3),0,1))</f>
        <v>0</v>
      </c>
      <c r="AM224">
        <f>N(AM223)+$AL224</f>
        <v>0</v>
      </c>
      <c r="AN224">
        <f>IF(对接源_01水果!$AC224="","",对接源_01水果!$AC224)</f>
      </c>
      <c r="AO224">
        <f>IF(AN224="",0,IF(MATCH(AN224,$AN$4:$AN$1203,0)=ROW()-3,1,0))</f>
        <v>0</v>
      </c>
      <c r="AP224">
        <f>N(AP223)+$AO224</f>
        <v>0</v>
      </c>
      <c r="AR224">
        <f>IF(OR($AF224=1,$AH224=1),1,0)</f>
        <v>0</v>
      </c>
      <c r="AS224">
        <f>N(AS223)+$AR224</f>
        <v>0</v>
      </c>
    </row>
    <row r="225" ht="14.25" customHeight="1" s="127">
      <c r="A225" t="str">
        <f>IF(对接源_01水果!$C225="","",对接源_01水果!$C225)</f>
        <v>马锦祥</v>
      </c>
      <c r="B225">
        <f>IF(A225="",0,IF(MATCH(A225,$A$4:$A$2403,0)=ROW()-3,1,0))</f>
        <v>0</v>
      </c>
      <c r="C225">
        <f>N(C224)+B225</f>
        <v>13</v>
      </c>
      <c r="E225">
        <f>IFERROR(INDEX($A$4:$A$2403,MATCH(ROW()-3,$C$4:$C$2403,0)),"")</f>
      </c>
      <c r="K225">
        <f>IF(OR($K$1="",对接源_01水果!$C225="",对接源_01水果!$C225&lt;&gt;$K$1,对接源_01水果!$B225=""),0,IF(OR(N(对接源_01水果!$B225)&lt;$K$2,N(对接源_01水果!$B225)&gt;$K$3),0,1))</f>
        <v>0</v>
      </c>
      <c r="L225">
        <f>IF(OR($L$1="",对接源_01水果!$C225="",对接源_01水果!$C225&lt;&gt;$L$1,对接源_01水果!$B225=""),0,IF(OR(N(对接源_01水果!$B225)&lt;$L$2,N(对接源_01水果!$B225)&gt;$L$3),0,1))</f>
        <v>0</v>
      </c>
      <c r="M225">
        <f>IF(OR($M$1="",对接源_01水果!$C225="",对接源_01水果!$C225&lt;&gt;$M$1,对接源_01水果!$B225=""),0,IF(OR(N(对接源_01水果!$B225)&lt;$M$2,N(对接源_01水果!$B225)&gt;$M$3),0,1))</f>
        <v>0</v>
      </c>
      <c r="N225">
        <f>IF(OR($N$1="",对接源_01水果!$C225="",对接源_01水果!$C225&lt;&gt;$N$1,对接源_01水果!$B225=""),0,IF(OR(N(对接源_01水果!$B225)&lt;$N$2,N(对接源_01水果!$B225)&gt;$N$3),0,1))</f>
        <v>0</v>
      </c>
      <c r="P225">
        <f>IF(AND($K225=1,AND(对接源_01水果!$X225="公司筐",N(对接源_01水果!$T225)&lt;&gt;0)),1,0)</f>
        <v>0</v>
      </c>
      <c r="Q225">
        <f>N(Q224)+$P225</f>
        <v>0</v>
      </c>
      <c r="R225">
        <f>IF(AND($K225=1,AND(对接源_01水果!$X225="公司筐",N(对接源_01水果!$U225)&lt;&gt;0)),1,0)</f>
        <v>0</v>
      </c>
      <c r="S225">
        <f>N(S224)+$R225</f>
        <v>0</v>
      </c>
      <c r="T225">
        <f>IF(AND($K225=1,AND(对接源_01水果!$X225="公司筐",N(对接源_01水果!$V225)&lt;&gt;0)),1,0)</f>
        <v>0</v>
      </c>
      <c r="U225">
        <f>N(U224)+$T225</f>
        <v>6</v>
      </c>
      <c r="V225">
        <f>IF(AND($L225=1,AND(对接源_01水果!$X225="自备筐",N(对接源_01水果!$V225)&lt;&gt;0)),1,0)</f>
        <v>0</v>
      </c>
      <c r="W225">
        <f>N(W224)+$V225</f>
        <v>7</v>
      </c>
      <c r="X225">
        <f>IF(AND($L225=1,AND(对接源_01水果!$X225="自备筐",N(对接源_01水果!$T225)&lt;&gt;0)),1,0)</f>
        <v>0</v>
      </c>
      <c r="Y225">
        <f>N(Y224)+$X225</f>
        <v>0</v>
      </c>
      <c r="Z225">
        <f>IF(AND($M225=1,对接源_01水果!$D225="原料入库"),1,0)</f>
        <v>0</v>
      </c>
      <c r="AA225">
        <f>N(AA224)+$Z225</f>
        <v>15</v>
      </c>
      <c r="AB225">
        <f>IF(AND($M225=1,LEFT(对接源_01水果!$D225,4)="原料出库"),1,0)</f>
        <v>0</v>
      </c>
      <c r="AC225">
        <f>N(AC224)+$AB225</f>
        <v>0</v>
      </c>
      <c r="AD225">
        <f>IF(AND($M225=1,LEFT(对接源_01水果!$D225,4)="成品出库"),1,0)</f>
        <v>0</v>
      </c>
      <c r="AE225">
        <f>N(AE224)+$AD225</f>
        <v>0</v>
      </c>
      <c r="AF225">
        <f>IF(AND($N225=1,AND(LEFT(对接源_01水果!$D225,4)="包装物料",N(对接源_01水果!$K225)&lt;&gt;0)),1,0)</f>
        <v>0</v>
      </c>
      <c r="AG225">
        <f>N(AG224)+$AF225</f>
        <v>0</v>
      </c>
      <c r="AH225">
        <f>IF(AND($N225=1,AND(对接源_01水果!$D225="周转筐－销售出库",N(对接源_01水果!$K225)&lt;&gt;0)),1,0)</f>
        <v>0</v>
      </c>
      <c r="AI225">
        <f>N(AI224)+$AH225</f>
        <v>0</v>
      </c>
      <c r="AJ225" s="7" t="n"/>
      <c r="AL225">
        <f>IF(OR($AL$1="",对接源_01水果!$Y225="",对接源_01水果!$Y225&lt;&gt;$AL$1,对接源_01水果!$B225="",N(对接源_01水果!$AJ225)&lt;=0),0,IF(OR(N(对接源_01水果!$B225)&lt;$AL$2,N(对接源_01水果!$B225)&gt;$AL$3),0,1))</f>
        <v>0</v>
      </c>
      <c r="AM225">
        <f>N(AM224)+$AL225</f>
        <v>0</v>
      </c>
      <c r="AN225">
        <f>IF(对接源_01水果!$AC225="","",对接源_01水果!$AC225)</f>
      </c>
      <c r="AO225">
        <f>IF(AN225="",0,IF(MATCH(AN225,$AN$4:$AN$1203,0)=ROW()-3,1,0))</f>
        <v>0</v>
      </c>
      <c r="AP225">
        <f>N(AP224)+$AO225</f>
        <v>0</v>
      </c>
      <c r="AR225">
        <f>IF(OR($AF225=1,$AH225=1),1,0)</f>
        <v>0</v>
      </c>
      <c r="AS225">
        <f>N(AS224)+$AR225</f>
        <v>0</v>
      </c>
    </row>
    <row r="226" ht="14.25" customHeight="1" s="127">
      <c r="A226" t="str">
        <f>IF(对接源_01水果!$C226="","",对接源_01水果!$C226)</f>
        <v>荆建君</v>
      </c>
      <c r="B226">
        <f>IF(A226="",0,IF(MATCH(A226,$A$4:$A$2403,0)=ROW()-3,1,0))</f>
        <v>0</v>
      </c>
      <c r="C226">
        <f>N(C225)+B226</f>
        <v>13</v>
      </c>
      <c r="E226">
        <f>IFERROR(INDEX($A$4:$A$2403,MATCH(ROW()-3,$C$4:$C$2403,0)),"")</f>
      </c>
      <c r="K226">
        <f>IF(OR($K$1="",对接源_01水果!$C226="",对接源_01水果!$C226&lt;&gt;$K$1,对接源_01水果!$B226=""),0,IF(OR(N(对接源_01水果!$B226)&lt;$K$2,N(对接源_01水果!$B226)&gt;$K$3),0,1))</f>
        <v>0</v>
      </c>
      <c r="L226">
        <f>IF(OR($L$1="",对接源_01水果!$C226="",对接源_01水果!$C226&lt;&gt;$L$1,对接源_01水果!$B226=""),0,IF(OR(N(对接源_01水果!$B226)&lt;$L$2,N(对接源_01水果!$B226)&gt;$L$3),0,1))</f>
        <v>0</v>
      </c>
      <c r="M226">
        <f>IF(OR($M$1="",对接源_01水果!$C226="",对接源_01水果!$C226&lt;&gt;$M$1,对接源_01水果!$B226=""),0,IF(OR(N(对接源_01水果!$B226)&lt;$M$2,N(对接源_01水果!$B226)&gt;$M$3),0,1))</f>
        <v>0</v>
      </c>
      <c r="N226">
        <f>IF(OR($N$1="",对接源_01水果!$C226="",对接源_01水果!$C226&lt;&gt;$N$1,对接源_01水果!$B226=""),0,IF(OR(N(对接源_01水果!$B226)&lt;$N$2,N(对接源_01水果!$B226)&gt;$N$3),0,1))</f>
        <v>0</v>
      </c>
      <c r="P226">
        <f>IF(AND($K226=1,AND(对接源_01水果!$X226="公司筐",N(对接源_01水果!$T226)&lt;&gt;0)),1,0)</f>
        <v>0</v>
      </c>
      <c r="Q226">
        <f>N(Q225)+$P226</f>
        <v>0</v>
      </c>
      <c r="R226">
        <f>IF(AND($K226=1,AND(对接源_01水果!$X226="公司筐",N(对接源_01水果!$U226)&lt;&gt;0)),1,0)</f>
        <v>0</v>
      </c>
      <c r="S226">
        <f>N(S225)+$R226</f>
        <v>0</v>
      </c>
      <c r="T226">
        <f>IF(AND($K226=1,AND(对接源_01水果!$X226="公司筐",N(对接源_01水果!$V226)&lt;&gt;0)),1,0)</f>
        <v>0</v>
      </c>
      <c r="U226">
        <f>N(U225)+$T226</f>
        <v>6</v>
      </c>
      <c r="V226">
        <f>IF(AND($L226=1,AND(对接源_01水果!$X226="自备筐",N(对接源_01水果!$V226)&lt;&gt;0)),1,0)</f>
        <v>0</v>
      </c>
      <c r="W226">
        <f>N(W225)+$V226</f>
        <v>7</v>
      </c>
      <c r="X226">
        <f>IF(AND($L226=1,AND(对接源_01水果!$X226="自备筐",N(对接源_01水果!$T226)&lt;&gt;0)),1,0)</f>
        <v>0</v>
      </c>
      <c r="Y226">
        <f>N(Y225)+$X226</f>
        <v>0</v>
      </c>
      <c r="Z226">
        <f>IF(AND($M226=1,对接源_01水果!$D226="原料入库"),1,0)</f>
        <v>0</v>
      </c>
      <c r="AA226">
        <f>N(AA225)+$Z226</f>
        <v>15</v>
      </c>
      <c r="AB226">
        <f>IF(AND($M226=1,LEFT(对接源_01水果!$D226,4)="原料出库"),1,0)</f>
        <v>0</v>
      </c>
      <c r="AC226">
        <f>N(AC225)+$AB226</f>
        <v>0</v>
      </c>
      <c r="AD226">
        <f>IF(AND($M226=1,LEFT(对接源_01水果!$D226,4)="成品出库"),1,0)</f>
        <v>0</v>
      </c>
      <c r="AE226">
        <f>N(AE225)+$AD226</f>
        <v>0</v>
      </c>
      <c r="AF226">
        <f>IF(AND($N226=1,AND(LEFT(对接源_01水果!$D226,4)="包装物料",N(对接源_01水果!$K226)&lt;&gt;0)),1,0)</f>
        <v>0</v>
      </c>
      <c r="AG226">
        <f>N(AG225)+$AF226</f>
        <v>0</v>
      </c>
      <c r="AH226">
        <f>IF(AND($N226=1,AND(对接源_01水果!$D226="周转筐－销售出库",N(对接源_01水果!$K226)&lt;&gt;0)),1,0)</f>
        <v>0</v>
      </c>
      <c r="AI226">
        <f>N(AI225)+$AH226</f>
        <v>0</v>
      </c>
      <c r="AJ226" s="7" t="n"/>
      <c r="AL226">
        <f>IF(OR($AL$1="",对接源_01水果!$Y226="",对接源_01水果!$Y226&lt;&gt;$AL$1,对接源_01水果!$B226="",N(对接源_01水果!$AJ226)&lt;=0),0,IF(OR(N(对接源_01水果!$B226)&lt;$AL$2,N(对接源_01水果!$B226)&gt;$AL$3),0,1))</f>
        <v>0</v>
      </c>
      <c r="AM226">
        <f>N(AM225)+$AL226</f>
        <v>0</v>
      </c>
      <c r="AN226">
        <f>IF(对接源_01水果!$AC226="","",对接源_01水果!$AC226)</f>
      </c>
      <c r="AO226">
        <f>IF(AN226="",0,IF(MATCH(AN226,$AN$4:$AN$1203,0)=ROW()-3,1,0))</f>
        <v>0</v>
      </c>
      <c r="AP226">
        <f>N(AP225)+$AO226</f>
        <v>0</v>
      </c>
      <c r="AR226">
        <f>IF(OR($AF226=1,$AH226=1),1,0)</f>
        <v>0</v>
      </c>
      <c r="AS226">
        <f>N(AS225)+$AR226</f>
        <v>0</v>
      </c>
    </row>
    <row r="227" ht="14.25" customHeight="1" s="127">
      <c r="A227" t="str">
        <f>IF(对接源_01水果!$C227="","",对接源_01水果!$C227)</f>
        <v>荆建君</v>
      </c>
      <c r="B227">
        <f>IF(A227="",0,IF(MATCH(A227,$A$4:$A$2403,0)=ROW()-3,1,0))</f>
        <v>0</v>
      </c>
      <c r="C227">
        <f>N(C226)+B227</f>
        <v>13</v>
      </c>
      <c r="E227">
        <f>IFERROR(INDEX($A$4:$A$2403,MATCH(ROW()-3,$C$4:$C$2403,0)),"")</f>
      </c>
      <c r="K227">
        <f>IF(OR($K$1="",对接源_01水果!$C227="",对接源_01水果!$C227&lt;&gt;$K$1,对接源_01水果!$B227=""),0,IF(OR(N(对接源_01水果!$B227)&lt;$K$2,N(对接源_01水果!$B227)&gt;$K$3),0,1))</f>
        <v>0</v>
      </c>
      <c r="L227">
        <f>IF(OR($L$1="",对接源_01水果!$C227="",对接源_01水果!$C227&lt;&gt;$L$1,对接源_01水果!$B227=""),0,IF(OR(N(对接源_01水果!$B227)&lt;$L$2,N(对接源_01水果!$B227)&gt;$L$3),0,1))</f>
        <v>0</v>
      </c>
      <c r="M227">
        <f>IF(OR($M$1="",对接源_01水果!$C227="",对接源_01水果!$C227&lt;&gt;$M$1,对接源_01水果!$B227=""),0,IF(OR(N(对接源_01水果!$B227)&lt;$M$2,N(对接源_01水果!$B227)&gt;$M$3),0,1))</f>
        <v>0</v>
      </c>
      <c r="N227">
        <f>IF(OR($N$1="",对接源_01水果!$C227="",对接源_01水果!$C227&lt;&gt;$N$1,对接源_01水果!$B227=""),0,IF(OR(N(对接源_01水果!$B227)&lt;$N$2,N(对接源_01水果!$B227)&gt;$N$3),0,1))</f>
        <v>0</v>
      </c>
      <c r="P227">
        <f>IF(AND($K227=1,AND(对接源_01水果!$X227="公司筐",N(对接源_01水果!$T227)&lt;&gt;0)),1,0)</f>
        <v>0</v>
      </c>
      <c r="Q227">
        <f>N(Q226)+$P227</f>
        <v>0</v>
      </c>
      <c r="R227">
        <f>IF(AND($K227=1,AND(对接源_01水果!$X227="公司筐",N(对接源_01水果!$U227)&lt;&gt;0)),1,0)</f>
        <v>0</v>
      </c>
      <c r="S227">
        <f>N(S226)+$R227</f>
        <v>0</v>
      </c>
      <c r="T227">
        <f>IF(AND($K227=1,AND(对接源_01水果!$X227="公司筐",N(对接源_01水果!$V227)&lt;&gt;0)),1,0)</f>
        <v>0</v>
      </c>
      <c r="U227">
        <f>N(U226)+$T227</f>
        <v>6</v>
      </c>
      <c r="V227">
        <f>IF(AND($L227=1,AND(对接源_01水果!$X227="自备筐",N(对接源_01水果!$V227)&lt;&gt;0)),1,0)</f>
        <v>0</v>
      </c>
      <c r="W227">
        <f>N(W226)+$V227</f>
        <v>7</v>
      </c>
      <c r="X227">
        <f>IF(AND($L227=1,AND(对接源_01水果!$X227="自备筐",N(对接源_01水果!$T227)&lt;&gt;0)),1,0)</f>
        <v>0</v>
      </c>
      <c r="Y227">
        <f>N(Y226)+$X227</f>
        <v>0</v>
      </c>
      <c r="Z227">
        <f>IF(AND($M227=1,对接源_01水果!$D227="原料入库"),1,0)</f>
        <v>0</v>
      </c>
      <c r="AA227">
        <f>N(AA226)+$Z227</f>
        <v>15</v>
      </c>
      <c r="AB227">
        <f>IF(AND($M227=1,LEFT(对接源_01水果!$D227,4)="原料出库"),1,0)</f>
        <v>0</v>
      </c>
      <c r="AC227">
        <f>N(AC226)+$AB227</f>
        <v>0</v>
      </c>
      <c r="AD227">
        <f>IF(AND($M227=1,LEFT(对接源_01水果!$D227,4)="成品出库"),1,0)</f>
        <v>0</v>
      </c>
      <c r="AE227">
        <f>N(AE226)+$AD227</f>
        <v>0</v>
      </c>
      <c r="AF227">
        <f>IF(AND($N227=1,AND(LEFT(对接源_01水果!$D227,4)="包装物料",N(对接源_01水果!$K227)&lt;&gt;0)),1,0)</f>
        <v>0</v>
      </c>
      <c r="AG227">
        <f>N(AG226)+$AF227</f>
        <v>0</v>
      </c>
      <c r="AH227">
        <f>IF(AND($N227=1,AND(对接源_01水果!$D227="周转筐－销售出库",N(对接源_01水果!$K227)&lt;&gt;0)),1,0)</f>
        <v>0</v>
      </c>
      <c r="AI227">
        <f>N(AI226)+$AH227</f>
        <v>0</v>
      </c>
      <c r="AJ227" s="7" t="n"/>
      <c r="AL227">
        <f>IF(OR($AL$1="",对接源_01水果!$Y227="",对接源_01水果!$Y227&lt;&gt;$AL$1,对接源_01水果!$B227="",N(对接源_01水果!$AJ227)&lt;=0),0,IF(OR(N(对接源_01水果!$B227)&lt;$AL$2,N(对接源_01水果!$B227)&gt;$AL$3),0,1))</f>
        <v>0</v>
      </c>
      <c r="AM227">
        <f>N(AM226)+$AL227</f>
        <v>0</v>
      </c>
      <c r="AN227">
        <f>IF(对接源_01水果!$AC227="","",对接源_01水果!$AC227)</f>
      </c>
      <c r="AO227">
        <f>IF(AN227="",0,IF(MATCH(AN227,$AN$4:$AN$1203,0)=ROW()-3,1,0))</f>
        <v>0</v>
      </c>
      <c r="AP227">
        <f>N(AP226)+$AO227</f>
        <v>0</v>
      </c>
      <c r="AR227">
        <f>IF(OR($AF227=1,$AH227=1),1,0)</f>
        <v>0</v>
      </c>
      <c r="AS227">
        <f>N(AS226)+$AR227</f>
        <v>0</v>
      </c>
    </row>
    <row r="228" ht="14.25" customHeight="1" s="127">
      <c r="A228" t="str">
        <f>IF(对接源_01水果!$C228="","",对接源_01水果!$C228)</f>
        <v>王照雪</v>
      </c>
      <c r="B228">
        <f>IF(A228="",0,IF(MATCH(A228,$A$4:$A$2403,0)=ROW()-3,1,0))</f>
        <v>0</v>
      </c>
      <c r="C228">
        <f>N(C227)+B228</f>
        <v>13</v>
      </c>
      <c r="E228">
        <f>IFERROR(INDEX($A$4:$A$2403,MATCH(ROW()-3,$C$4:$C$2403,0)),"")</f>
      </c>
      <c r="K228">
        <f>IF(OR($K$1="",对接源_01水果!$C228="",对接源_01水果!$C228&lt;&gt;$K$1,对接源_01水果!$B228=""),0,IF(OR(N(对接源_01水果!$B228)&lt;$K$2,N(对接源_01水果!$B228)&gt;$K$3),0,1))</f>
        <v>0</v>
      </c>
      <c r="L228">
        <f>IF(OR($L$1="",对接源_01水果!$C228="",对接源_01水果!$C228&lt;&gt;$L$1,对接源_01水果!$B228=""),0,IF(OR(N(对接源_01水果!$B228)&lt;$L$2,N(对接源_01水果!$B228)&gt;$L$3),0,1))</f>
        <v>0</v>
      </c>
      <c r="M228">
        <f>IF(OR($M$1="",对接源_01水果!$C228="",对接源_01水果!$C228&lt;&gt;$M$1,对接源_01水果!$B228=""),0,IF(OR(N(对接源_01水果!$B228)&lt;$M$2,N(对接源_01水果!$B228)&gt;$M$3),0,1))</f>
        <v>0</v>
      </c>
      <c r="N228">
        <f>IF(OR($N$1="",对接源_01水果!$C228="",对接源_01水果!$C228&lt;&gt;$N$1,对接源_01水果!$B228=""),0,IF(OR(N(对接源_01水果!$B228)&lt;$N$2,N(对接源_01水果!$B228)&gt;$N$3),0,1))</f>
        <v>0</v>
      </c>
      <c r="P228">
        <f>IF(AND($K228=1,AND(对接源_01水果!$X228="公司筐",N(对接源_01水果!$T228)&lt;&gt;0)),1,0)</f>
        <v>0</v>
      </c>
      <c r="Q228">
        <f>N(Q227)+$P228</f>
        <v>0</v>
      </c>
      <c r="R228">
        <f>IF(AND($K228=1,AND(对接源_01水果!$X228="公司筐",N(对接源_01水果!$U228)&lt;&gt;0)),1,0)</f>
        <v>0</v>
      </c>
      <c r="S228">
        <f>N(S227)+$R228</f>
        <v>0</v>
      </c>
      <c r="T228">
        <f>IF(AND($K228=1,AND(对接源_01水果!$X228="公司筐",N(对接源_01水果!$V228)&lt;&gt;0)),1,0)</f>
        <v>0</v>
      </c>
      <c r="U228">
        <f>N(U227)+$T228</f>
        <v>6</v>
      </c>
      <c r="V228">
        <f>IF(AND($L228=1,AND(对接源_01水果!$X228="自备筐",N(对接源_01水果!$V228)&lt;&gt;0)),1,0)</f>
        <v>0</v>
      </c>
      <c r="W228">
        <f>N(W227)+$V228</f>
        <v>7</v>
      </c>
      <c r="X228">
        <f>IF(AND($L228=1,AND(对接源_01水果!$X228="自备筐",N(对接源_01水果!$T228)&lt;&gt;0)),1,0)</f>
        <v>0</v>
      </c>
      <c r="Y228">
        <f>N(Y227)+$X228</f>
        <v>0</v>
      </c>
      <c r="Z228">
        <f>IF(AND($M228=1,对接源_01水果!$D228="原料入库"),1,0)</f>
        <v>0</v>
      </c>
      <c r="AA228">
        <f>N(AA227)+$Z228</f>
        <v>15</v>
      </c>
      <c r="AB228">
        <f>IF(AND($M228=1,LEFT(对接源_01水果!$D228,4)="原料出库"),1,0)</f>
        <v>0</v>
      </c>
      <c r="AC228">
        <f>N(AC227)+$AB228</f>
        <v>0</v>
      </c>
      <c r="AD228">
        <f>IF(AND($M228=1,LEFT(对接源_01水果!$D228,4)="成品出库"),1,0)</f>
        <v>0</v>
      </c>
      <c r="AE228">
        <f>N(AE227)+$AD228</f>
        <v>0</v>
      </c>
      <c r="AF228">
        <f>IF(AND($N228=1,AND(LEFT(对接源_01水果!$D228,4)="包装物料",N(对接源_01水果!$K228)&lt;&gt;0)),1,0)</f>
        <v>0</v>
      </c>
      <c r="AG228">
        <f>N(AG227)+$AF228</f>
        <v>0</v>
      </c>
      <c r="AH228">
        <f>IF(AND($N228=1,AND(对接源_01水果!$D228="周转筐－销售出库",N(对接源_01水果!$K228)&lt;&gt;0)),1,0)</f>
        <v>0</v>
      </c>
      <c r="AI228">
        <f>N(AI227)+$AH228</f>
        <v>0</v>
      </c>
      <c r="AJ228" s="7" t="n"/>
      <c r="AL228">
        <f>IF(OR($AL$1="",对接源_01水果!$Y228="",对接源_01水果!$Y228&lt;&gt;$AL$1,对接源_01水果!$B228="",N(对接源_01水果!$AJ228)&lt;=0),0,IF(OR(N(对接源_01水果!$B228)&lt;$AL$2,N(对接源_01水果!$B228)&gt;$AL$3),0,1))</f>
        <v>0</v>
      </c>
      <c r="AM228">
        <f>N(AM227)+$AL228</f>
        <v>0</v>
      </c>
      <c r="AN228">
        <f>IF(对接源_01水果!$AC228="","",对接源_01水果!$AC228)</f>
      </c>
      <c r="AO228">
        <f>IF(AN228="",0,IF(MATCH(AN228,$AN$4:$AN$1203,0)=ROW()-3,1,0))</f>
        <v>0</v>
      </c>
      <c r="AP228">
        <f>N(AP227)+$AO228</f>
        <v>0</v>
      </c>
      <c r="AR228">
        <f>IF(OR($AF228=1,$AH228=1),1,0)</f>
        <v>0</v>
      </c>
      <c r="AS228">
        <f>N(AS227)+$AR228</f>
        <v>0</v>
      </c>
    </row>
    <row r="229" ht="14.25" customHeight="1" s="127">
      <c r="A229" t="str">
        <f>IF(对接源_01水果!$C229="","",对接源_01水果!$C229)</f>
        <v>王照雪</v>
      </c>
      <c r="B229">
        <f>IF(A229="",0,IF(MATCH(A229,$A$4:$A$2403,0)=ROW()-3,1,0))</f>
        <v>0</v>
      </c>
      <c r="C229">
        <f>N(C228)+B229</f>
        <v>13</v>
      </c>
      <c r="E229">
        <f>IFERROR(INDEX($A$4:$A$2403,MATCH(ROW()-3,$C$4:$C$2403,0)),"")</f>
      </c>
      <c r="K229">
        <f>IF(OR($K$1="",对接源_01水果!$C229="",对接源_01水果!$C229&lt;&gt;$K$1,对接源_01水果!$B229=""),0,IF(OR(N(对接源_01水果!$B229)&lt;$K$2,N(对接源_01水果!$B229)&gt;$K$3),0,1))</f>
        <v>0</v>
      </c>
      <c r="L229">
        <f>IF(OR($L$1="",对接源_01水果!$C229="",对接源_01水果!$C229&lt;&gt;$L$1,对接源_01水果!$B229=""),0,IF(OR(N(对接源_01水果!$B229)&lt;$L$2,N(对接源_01水果!$B229)&gt;$L$3),0,1))</f>
        <v>0</v>
      </c>
      <c r="M229">
        <f>IF(OR($M$1="",对接源_01水果!$C229="",对接源_01水果!$C229&lt;&gt;$M$1,对接源_01水果!$B229=""),0,IF(OR(N(对接源_01水果!$B229)&lt;$M$2,N(对接源_01水果!$B229)&gt;$M$3),0,1))</f>
        <v>0</v>
      </c>
      <c r="N229">
        <f>IF(OR($N$1="",对接源_01水果!$C229="",对接源_01水果!$C229&lt;&gt;$N$1,对接源_01水果!$B229=""),0,IF(OR(N(对接源_01水果!$B229)&lt;$N$2,N(对接源_01水果!$B229)&gt;$N$3),0,1))</f>
        <v>0</v>
      </c>
      <c r="P229">
        <f>IF(AND($K229=1,AND(对接源_01水果!$X229="公司筐",N(对接源_01水果!$T229)&lt;&gt;0)),1,0)</f>
        <v>0</v>
      </c>
      <c r="Q229">
        <f>N(Q228)+$P229</f>
        <v>0</v>
      </c>
      <c r="R229">
        <f>IF(AND($K229=1,AND(对接源_01水果!$X229="公司筐",N(对接源_01水果!$U229)&lt;&gt;0)),1,0)</f>
        <v>0</v>
      </c>
      <c r="S229">
        <f>N(S228)+$R229</f>
        <v>0</v>
      </c>
      <c r="T229">
        <f>IF(AND($K229=1,AND(对接源_01水果!$X229="公司筐",N(对接源_01水果!$V229)&lt;&gt;0)),1,0)</f>
        <v>0</v>
      </c>
      <c r="U229">
        <f>N(U228)+$T229</f>
        <v>6</v>
      </c>
      <c r="V229">
        <f>IF(AND($L229=1,AND(对接源_01水果!$X229="自备筐",N(对接源_01水果!$V229)&lt;&gt;0)),1,0)</f>
        <v>0</v>
      </c>
      <c r="W229">
        <f>N(W228)+$V229</f>
        <v>7</v>
      </c>
      <c r="X229">
        <f>IF(AND($L229=1,AND(对接源_01水果!$X229="自备筐",N(对接源_01水果!$T229)&lt;&gt;0)),1,0)</f>
        <v>0</v>
      </c>
      <c r="Y229">
        <f>N(Y228)+$X229</f>
        <v>0</v>
      </c>
      <c r="Z229">
        <f>IF(AND($M229=1,对接源_01水果!$D229="原料入库"),1,0)</f>
        <v>0</v>
      </c>
      <c r="AA229">
        <f>N(AA228)+$Z229</f>
        <v>15</v>
      </c>
      <c r="AB229">
        <f>IF(AND($M229=1,LEFT(对接源_01水果!$D229,4)="原料出库"),1,0)</f>
        <v>0</v>
      </c>
      <c r="AC229">
        <f>N(AC228)+$AB229</f>
        <v>0</v>
      </c>
      <c r="AD229">
        <f>IF(AND($M229=1,LEFT(对接源_01水果!$D229,4)="成品出库"),1,0)</f>
        <v>0</v>
      </c>
      <c r="AE229">
        <f>N(AE228)+$AD229</f>
        <v>0</v>
      </c>
      <c r="AF229">
        <f>IF(AND($N229=1,AND(LEFT(对接源_01水果!$D229,4)="包装物料",N(对接源_01水果!$K229)&lt;&gt;0)),1,0)</f>
        <v>0</v>
      </c>
      <c r="AG229">
        <f>N(AG228)+$AF229</f>
        <v>0</v>
      </c>
      <c r="AH229">
        <f>IF(AND($N229=1,AND(对接源_01水果!$D229="周转筐－销售出库",N(对接源_01水果!$K229)&lt;&gt;0)),1,0)</f>
        <v>0</v>
      </c>
      <c r="AI229">
        <f>N(AI228)+$AH229</f>
        <v>0</v>
      </c>
      <c r="AJ229" s="7" t="n"/>
      <c r="AL229">
        <f>IF(OR($AL$1="",对接源_01水果!$Y229="",对接源_01水果!$Y229&lt;&gt;$AL$1,对接源_01水果!$B229="",N(对接源_01水果!$AJ229)&lt;=0),0,IF(OR(N(对接源_01水果!$B229)&lt;$AL$2,N(对接源_01水果!$B229)&gt;$AL$3),0,1))</f>
        <v>0</v>
      </c>
      <c r="AM229">
        <f>N(AM228)+$AL229</f>
        <v>0</v>
      </c>
      <c r="AN229">
        <f>IF(对接源_01水果!$AC229="","",对接源_01水果!$AC229)</f>
      </c>
      <c r="AO229">
        <f>IF(AN229="",0,IF(MATCH(AN229,$AN$4:$AN$1203,0)=ROW()-3,1,0))</f>
        <v>0</v>
      </c>
      <c r="AP229">
        <f>N(AP228)+$AO229</f>
        <v>0</v>
      </c>
      <c r="AR229">
        <f>IF(OR($AF229=1,$AH229=1),1,0)</f>
        <v>0</v>
      </c>
      <c r="AS229">
        <f>N(AS228)+$AR229</f>
        <v>0</v>
      </c>
    </row>
    <row r="230" ht="14.25" customHeight="1" s="127">
      <c r="A230" t="str">
        <f>IF(对接源_01水果!$C230="","",对接源_01水果!$C230)</f>
        <v>王照雪</v>
      </c>
      <c r="B230">
        <f>IF(A230="",0,IF(MATCH(A230,$A$4:$A$2403,0)=ROW()-3,1,0))</f>
        <v>0</v>
      </c>
      <c r="C230">
        <f>N(C229)+B230</f>
        <v>13</v>
      </c>
      <c r="E230">
        <f>IFERROR(INDEX($A$4:$A$2403,MATCH(ROW()-3,$C$4:$C$2403,0)),"")</f>
      </c>
      <c r="K230">
        <f>IF(OR($K$1="",对接源_01水果!$C230="",对接源_01水果!$C230&lt;&gt;$K$1,对接源_01水果!$B230=""),0,IF(OR(N(对接源_01水果!$B230)&lt;$K$2,N(对接源_01水果!$B230)&gt;$K$3),0,1))</f>
        <v>0</v>
      </c>
      <c r="L230">
        <f>IF(OR($L$1="",对接源_01水果!$C230="",对接源_01水果!$C230&lt;&gt;$L$1,对接源_01水果!$B230=""),0,IF(OR(N(对接源_01水果!$B230)&lt;$L$2,N(对接源_01水果!$B230)&gt;$L$3),0,1))</f>
        <v>0</v>
      </c>
      <c r="M230">
        <f>IF(OR($M$1="",对接源_01水果!$C230="",对接源_01水果!$C230&lt;&gt;$M$1,对接源_01水果!$B230=""),0,IF(OR(N(对接源_01水果!$B230)&lt;$M$2,N(对接源_01水果!$B230)&gt;$M$3),0,1))</f>
        <v>0</v>
      </c>
      <c r="N230">
        <f>IF(OR($N$1="",对接源_01水果!$C230="",对接源_01水果!$C230&lt;&gt;$N$1,对接源_01水果!$B230=""),0,IF(OR(N(对接源_01水果!$B230)&lt;$N$2,N(对接源_01水果!$B230)&gt;$N$3),0,1))</f>
        <v>0</v>
      </c>
      <c r="P230">
        <f>IF(AND($K230=1,AND(对接源_01水果!$X230="公司筐",N(对接源_01水果!$T230)&lt;&gt;0)),1,0)</f>
        <v>0</v>
      </c>
      <c r="Q230">
        <f>N(Q229)+$P230</f>
        <v>0</v>
      </c>
      <c r="R230">
        <f>IF(AND($K230=1,AND(对接源_01水果!$X230="公司筐",N(对接源_01水果!$U230)&lt;&gt;0)),1,0)</f>
        <v>0</v>
      </c>
      <c r="S230">
        <f>N(S229)+$R230</f>
        <v>0</v>
      </c>
      <c r="T230">
        <f>IF(AND($K230=1,AND(对接源_01水果!$X230="公司筐",N(对接源_01水果!$V230)&lt;&gt;0)),1,0)</f>
        <v>0</v>
      </c>
      <c r="U230">
        <f>N(U229)+$T230</f>
        <v>6</v>
      </c>
      <c r="V230">
        <f>IF(AND($L230=1,AND(对接源_01水果!$X230="自备筐",N(对接源_01水果!$V230)&lt;&gt;0)),1,0)</f>
        <v>0</v>
      </c>
      <c r="W230">
        <f>N(W229)+$V230</f>
        <v>7</v>
      </c>
      <c r="X230">
        <f>IF(AND($L230=1,AND(对接源_01水果!$X230="自备筐",N(对接源_01水果!$T230)&lt;&gt;0)),1,0)</f>
        <v>0</v>
      </c>
      <c r="Y230">
        <f>N(Y229)+$X230</f>
        <v>0</v>
      </c>
      <c r="Z230">
        <f>IF(AND($M230=1,对接源_01水果!$D230="原料入库"),1,0)</f>
        <v>0</v>
      </c>
      <c r="AA230">
        <f>N(AA229)+$Z230</f>
        <v>15</v>
      </c>
      <c r="AB230">
        <f>IF(AND($M230=1,LEFT(对接源_01水果!$D230,4)="原料出库"),1,0)</f>
        <v>0</v>
      </c>
      <c r="AC230">
        <f>N(AC229)+$AB230</f>
        <v>0</v>
      </c>
      <c r="AD230">
        <f>IF(AND($M230=1,LEFT(对接源_01水果!$D230,4)="成品出库"),1,0)</f>
        <v>0</v>
      </c>
      <c r="AE230">
        <f>N(AE229)+$AD230</f>
        <v>0</v>
      </c>
      <c r="AF230">
        <f>IF(AND($N230=1,AND(LEFT(对接源_01水果!$D230,4)="包装物料",N(对接源_01水果!$K230)&lt;&gt;0)),1,0)</f>
        <v>0</v>
      </c>
      <c r="AG230">
        <f>N(AG229)+$AF230</f>
        <v>0</v>
      </c>
      <c r="AH230">
        <f>IF(AND($N230=1,AND(对接源_01水果!$D230="周转筐－销售出库",N(对接源_01水果!$K230)&lt;&gt;0)),1,0)</f>
        <v>0</v>
      </c>
      <c r="AI230">
        <f>N(AI229)+$AH230</f>
        <v>0</v>
      </c>
      <c r="AJ230" s="7" t="n"/>
      <c r="AL230">
        <f>IF(OR($AL$1="",对接源_01水果!$Y230="",对接源_01水果!$Y230&lt;&gt;$AL$1,对接源_01水果!$B230="",N(对接源_01水果!$AJ230)&lt;=0),0,IF(OR(N(对接源_01水果!$B230)&lt;$AL$2,N(对接源_01水果!$B230)&gt;$AL$3),0,1))</f>
        <v>0</v>
      </c>
      <c r="AM230">
        <f>N(AM229)+$AL230</f>
        <v>0</v>
      </c>
      <c r="AN230">
        <f>IF(对接源_01水果!$AC230="","",对接源_01水果!$AC230)</f>
      </c>
      <c r="AO230">
        <f>IF(AN230="",0,IF(MATCH(AN230,$AN$4:$AN$1203,0)=ROW()-3,1,0))</f>
        <v>0</v>
      </c>
      <c r="AP230">
        <f>N(AP229)+$AO230</f>
        <v>0</v>
      </c>
      <c r="AR230">
        <f>IF(OR($AF230=1,$AH230=1),1,0)</f>
        <v>0</v>
      </c>
      <c r="AS230">
        <f>N(AS229)+$AR230</f>
        <v>0</v>
      </c>
    </row>
    <row r="231" ht="14.25" customHeight="1" s="127">
      <c r="A231" t="str">
        <f>IF(对接源_01水果!$C231="","",对接源_01水果!$C231)</f>
        <v>麦麦提</v>
      </c>
      <c r="B231">
        <f>IF(A231="",0,IF(MATCH(A231,$A$4:$A$2403,0)=ROW()-3,1,0))</f>
        <v>0</v>
      </c>
      <c r="C231">
        <f>N(C230)+B231</f>
        <v>13</v>
      </c>
      <c r="E231">
        <f>IFERROR(INDEX($A$4:$A$2403,MATCH(ROW()-3,$C$4:$C$2403,0)),"")</f>
      </c>
      <c r="K231">
        <f>IF(OR($K$1="",对接源_01水果!$C231="",对接源_01水果!$C231&lt;&gt;$K$1,对接源_01水果!$B231=""),0,IF(OR(N(对接源_01水果!$B231)&lt;$K$2,N(对接源_01水果!$B231)&gt;$K$3),0,1))</f>
        <v>0</v>
      </c>
      <c r="L231">
        <f>IF(OR($L$1="",对接源_01水果!$C231="",对接源_01水果!$C231&lt;&gt;$L$1,对接源_01水果!$B231=""),0,IF(OR(N(对接源_01水果!$B231)&lt;$L$2,N(对接源_01水果!$B231)&gt;$L$3),0,1))</f>
        <v>0</v>
      </c>
      <c r="M231">
        <f>IF(OR($M$1="",对接源_01水果!$C231="",对接源_01水果!$C231&lt;&gt;$M$1,对接源_01水果!$B231=""),0,IF(OR(N(对接源_01水果!$B231)&lt;$M$2,N(对接源_01水果!$B231)&gt;$M$3),0,1))</f>
        <v>0</v>
      </c>
      <c r="N231">
        <f>IF(OR($N$1="",对接源_01水果!$C231="",对接源_01水果!$C231&lt;&gt;$N$1,对接源_01水果!$B231=""),0,IF(OR(N(对接源_01水果!$B231)&lt;$N$2,N(对接源_01水果!$B231)&gt;$N$3),0,1))</f>
        <v>1</v>
      </c>
      <c r="P231">
        <f>IF(AND($K231=1,AND(对接源_01水果!$X231="公司筐",N(对接源_01水果!$T231)&lt;&gt;0)),1,0)</f>
        <v>0</v>
      </c>
      <c r="Q231">
        <f>N(Q230)+$P231</f>
        <v>0</v>
      </c>
      <c r="R231">
        <f>IF(AND($K231=1,AND(对接源_01水果!$X231="公司筐",N(对接源_01水果!$U231)&lt;&gt;0)),1,0)</f>
        <v>0</v>
      </c>
      <c r="S231">
        <f>N(S230)+$R231</f>
        <v>0</v>
      </c>
      <c r="T231">
        <f>IF(AND($K231=1,AND(对接源_01水果!$X231="公司筐",N(对接源_01水果!$V231)&lt;&gt;0)),1,0)</f>
        <v>0</v>
      </c>
      <c r="U231">
        <f>N(U230)+$T231</f>
        <v>6</v>
      </c>
      <c r="V231">
        <f>IF(AND($L231=1,AND(对接源_01水果!$X231="自备筐",N(对接源_01水果!$V231)&lt;&gt;0)),1,0)</f>
        <v>0</v>
      </c>
      <c r="W231">
        <f>N(W230)+$V231</f>
        <v>7</v>
      </c>
      <c r="X231">
        <f>IF(AND($L231=1,AND(对接源_01水果!$X231="自备筐",N(对接源_01水果!$T231)&lt;&gt;0)),1,0)</f>
        <v>0</v>
      </c>
      <c r="Y231">
        <f>N(Y230)+$X231</f>
        <v>0</v>
      </c>
      <c r="Z231">
        <f>IF(AND($M231=1,对接源_01水果!$D231="原料入库"),1,0)</f>
        <v>0</v>
      </c>
      <c r="AA231">
        <f>N(AA230)+$Z231</f>
        <v>15</v>
      </c>
      <c r="AB231">
        <f>IF(AND($M231=1,LEFT(对接源_01水果!$D231,4)="原料出库"),1,0)</f>
        <v>0</v>
      </c>
      <c r="AC231">
        <f>N(AC230)+$AB231</f>
        <v>0</v>
      </c>
      <c r="AD231">
        <f>IF(AND($M231=1,LEFT(对接源_01水果!$D231,4)="成品出库"),1,0)</f>
        <v>0</v>
      </c>
      <c r="AE231">
        <f>N(AE230)+$AD231</f>
        <v>0</v>
      </c>
      <c r="AF231">
        <f>IF(AND($N231=1,AND(LEFT(对接源_01水果!$D231,4)="包装物料",N(对接源_01水果!$K231)&lt;&gt;0)),1,0)</f>
        <v>0</v>
      </c>
      <c r="AG231">
        <f>N(AG230)+$AF231</f>
        <v>0</v>
      </c>
      <c r="AH231">
        <f>IF(AND($N231=1,AND(对接源_01水果!$D231="周转筐－销售出库",N(对接源_01水果!$K231)&lt;&gt;0)),1,0)</f>
        <v>0</v>
      </c>
      <c r="AI231">
        <f>N(AI230)+$AH231</f>
        <v>0</v>
      </c>
      <c r="AJ231" s="7" t="n"/>
      <c r="AL231">
        <f>IF(OR($AL$1="",对接源_01水果!$Y231="",对接源_01水果!$Y231&lt;&gt;$AL$1,对接源_01水果!$B231="",N(对接源_01水果!$AJ231)&lt;=0),0,IF(OR(N(对接源_01水果!$B231)&lt;$AL$2,N(对接源_01水果!$B231)&gt;$AL$3),0,1))</f>
        <v>0</v>
      </c>
      <c r="AM231">
        <f>N(AM230)+$AL231</f>
        <v>0</v>
      </c>
      <c r="AN231">
        <f>IF(对接源_01水果!$AC231="","",对接源_01水果!$AC231)</f>
      </c>
      <c r="AO231">
        <f>IF(AN231="",0,IF(MATCH(AN231,$AN$4:$AN$1203,0)=ROW()-3,1,0))</f>
        <v>0</v>
      </c>
      <c r="AP231">
        <f>N(AP230)+$AO231</f>
        <v>0</v>
      </c>
      <c r="AR231">
        <f>IF(OR($AF231=1,$AH231=1),1,0)</f>
        <v>0</v>
      </c>
      <c r="AS231">
        <f>N(AS230)+$AR231</f>
        <v>0</v>
      </c>
    </row>
    <row r="232" ht="14.25" customHeight="1" s="127">
      <c r="A232" t="str">
        <f>IF(对接源_01水果!$C232="","",对接源_01水果!$C232)</f>
        <v>麦麦提</v>
      </c>
      <c r="B232">
        <f>IF(A232="",0,IF(MATCH(A232,$A$4:$A$2403,0)=ROW()-3,1,0))</f>
        <v>0</v>
      </c>
      <c r="C232">
        <f>N(C231)+B232</f>
        <v>13</v>
      </c>
      <c r="E232">
        <f>IFERROR(INDEX($A$4:$A$2403,MATCH(ROW()-3,$C$4:$C$2403,0)),"")</f>
      </c>
      <c r="K232">
        <f>IF(OR($K$1="",对接源_01水果!$C232="",对接源_01水果!$C232&lt;&gt;$K$1,对接源_01水果!$B232=""),0,IF(OR(N(对接源_01水果!$B232)&lt;$K$2,N(对接源_01水果!$B232)&gt;$K$3),0,1))</f>
        <v>0</v>
      </c>
      <c r="L232">
        <f>IF(OR($L$1="",对接源_01水果!$C232="",对接源_01水果!$C232&lt;&gt;$L$1,对接源_01水果!$B232=""),0,IF(OR(N(对接源_01水果!$B232)&lt;$L$2,N(对接源_01水果!$B232)&gt;$L$3),0,1))</f>
        <v>0</v>
      </c>
      <c r="M232">
        <f>IF(OR($M$1="",对接源_01水果!$C232="",对接源_01水果!$C232&lt;&gt;$M$1,对接源_01水果!$B232=""),0,IF(OR(N(对接源_01水果!$B232)&lt;$M$2,N(对接源_01水果!$B232)&gt;$M$3),0,1))</f>
        <v>0</v>
      </c>
      <c r="N232">
        <f>IF(OR($N$1="",对接源_01水果!$C232="",对接源_01水果!$C232&lt;&gt;$N$1,对接源_01水果!$B232=""),0,IF(OR(N(对接源_01水果!$B232)&lt;$N$2,N(对接源_01水果!$B232)&gt;$N$3),0,1))</f>
        <v>1</v>
      </c>
      <c r="P232">
        <f>IF(AND($K232=1,AND(对接源_01水果!$X232="公司筐",N(对接源_01水果!$T232)&lt;&gt;0)),1,0)</f>
        <v>0</v>
      </c>
      <c r="Q232">
        <f>N(Q231)+$P232</f>
        <v>0</v>
      </c>
      <c r="R232">
        <f>IF(AND($K232=1,AND(对接源_01水果!$X232="公司筐",N(对接源_01水果!$U232)&lt;&gt;0)),1,0)</f>
        <v>0</v>
      </c>
      <c r="S232">
        <f>N(S231)+$R232</f>
        <v>0</v>
      </c>
      <c r="T232">
        <f>IF(AND($K232=1,AND(对接源_01水果!$X232="公司筐",N(对接源_01水果!$V232)&lt;&gt;0)),1,0)</f>
        <v>0</v>
      </c>
      <c r="U232">
        <f>N(U231)+$T232</f>
        <v>6</v>
      </c>
      <c r="V232">
        <f>IF(AND($L232=1,AND(对接源_01水果!$X232="自备筐",N(对接源_01水果!$V232)&lt;&gt;0)),1,0)</f>
        <v>0</v>
      </c>
      <c r="W232">
        <f>N(W231)+$V232</f>
        <v>7</v>
      </c>
      <c r="X232">
        <f>IF(AND($L232=1,AND(对接源_01水果!$X232="自备筐",N(对接源_01水果!$T232)&lt;&gt;0)),1,0)</f>
        <v>0</v>
      </c>
      <c r="Y232">
        <f>N(Y231)+$X232</f>
        <v>0</v>
      </c>
      <c r="Z232">
        <f>IF(AND($M232=1,对接源_01水果!$D232="原料入库"),1,0)</f>
        <v>0</v>
      </c>
      <c r="AA232">
        <f>N(AA231)+$Z232</f>
        <v>15</v>
      </c>
      <c r="AB232">
        <f>IF(AND($M232=1,LEFT(对接源_01水果!$D232,4)="原料出库"),1,0)</f>
        <v>0</v>
      </c>
      <c r="AC232">
        <f>N(AC231)+$AB232</f>
        <v>0</v>
      </c>
      <c r="AD232">
        <f>IF(AND($M232=1,LEFT(对接源_01水果!$D232,4)="成品出库"),1,0)</f>
        <v>0</v>
      </c>
      <c r="AE232">
        <f>N(AE231)+$AD232</f>
        <v>0</v>
      </c>
      <c r="AF232">
        <f>IF(AND($N232=1,AND(LEFT(对接源_01水果!$D232,4)="包装物料",N(对接源_01水果!$K232)&lt;&gt;0)),1,0)</f>
        <v>0</v>
      </c>
      <c r="AG232">
        <f>N(AG231)+$AF232</f>
        <v>0</v>
      </c>
      <c r="AH232">
        <f>IF(AND($N232=1,AND(对接源_01水果!$D232="周转筐－销售出库",N(对接源_01水果!$K232)&lt;&gt;0)),1,0)</f>
        <v>0</v>
      </c>
      <c r="AI232">
        <f>N(AI231)+$AH232</f>
        <v>0</v>
      </c>
      <c r="AJ232" s="7" t="n"/>
      <c r="AL232">
        <f>IF(OR($AL$1="",对接源_01水果!$Y232="",对接源_01水果!$Y232&lt;&gt;$AL$1,对接源_01水果!$B232="",N(对接源_01水果!$AJ232)&lt;=0),0,IF(OR(N(对接源_01水果!$B232)&lt;$AL$2,N(对接源_01水果!$B232)&gt;$AL$3),0,1))</f>
        <v>0</v>
      </c>
      <c r="AM232">
        <f>N(AM231)+$AL232</f>
        <v>0</v>
      </c>
      <c r="AN232">
        <f>IF(对接源_01水果!$AC232="","",对接源_01水果!$AC232)</f>
      </c>
      <c r="AO232">
        <f>IF(AN232="",0,IF(MATCH(AN232,$AN$4:$AN$1203,0)=ROW()-3,1,0))</f>
        <v>0</v>
      </c>
      <c r="AP232">
        <f>N(AP231)+$AO232</f>
        <v>0</v>
      </c>
      <c r="AR232">
        <f>IF(OR($AF232=1,$AH232=1),1,0)</f>
        <v>0</v>
      </c>
      <c r="AS232">
        <f>N(AS231)+$AR232</f>
        <v>0</v>
      </c>
    </row>
    <row r="233" ht="14.25" customHeight="1" s="127">
      <c r="A233" t="str">
        <f>IF(对接源_01水果!$C233="","",对接源_01水果!$C233)</f>
        <v>麦麦提</v>
      </c>
      <c r="B233">
        <f>IF(A233="",0,IF(MATCH(A233,$A$4:$A$2403,0)=ROW()-3,1,0))</f>
        <v>0</v>
      </c>
      <c r="C233">
        <f>N(C232)+B233</f>
        <v>13</v>
      </c>
      <c r="E233">
        <f>IFERROR(INDEX($A$4:$A$2403,MATCH(ROW()-3,$C$4:$C$2403,0)),"")</f>
      </c>
      <c r="K233">
        <f>IF(OR($K$1="",对接源_01水果!$C233="",对接源_01水果!$C233&lt;&gt;$K$1,对接源_01水果!$B233=""),0,IF(OR(N(对接源_01水果!$B233)&lt;$K$2,N(对接源_01水果!$B233)&gt;$K$3),0,1))</f>
        <v>0</v>
      </c>
      <c r="L233">
        <f>IF(OR($L$1="",对接源_01水果!$C233="",对接源_01水果!$C233&lt;&gt;$L$1,对接源_01水果!$B233=""),0,IF(OR(N(对接源_01水果!$B233)&lt;$L$2,N(对接源_01水果!$B233)&gt;$L$3),0,1))</f>
        <v>0</v>
      </c>
      <c r="M233">
        <f>IF(OR($M$1="",对接源_01水果!$C233="",对接源_01水果!$C233&lt;&gt;$M$1,对接源_01水果!$B233=""),0,IF(OR(N(对接源_01水果!$B233)&lt;$M$2,N(对接源_01水果!$B233)&gt;$M$3),0,1))</f>
        <v>0</v>
      </c>
      <c r="N233">
        <f>IF(OR($N$1="",对接源_01水果!$C233="",对接源_01水果!$C233&lt;&gt;$N$1,对接源_01水果!$B233=""),0,IF(OR(N(对接源_01水果!$B233)&lt;$N$2,N(对接源_01水果!$B233)&gt;$N$3),0,1))</f>
        <v>1</v>
      </c>
      <c r="P233">
        <f>IF(AND($K233=1,AND(对接源_01水果!$X233="公司筐",N(对接源_01水果!$T233)&lt;&gt;0)),1,0)</f>
        <v>0</v>
      </c>
      <c r="Q233">
        <f>N(Q232)+$P233</f>
        <v>0</v>
      </c>
      <c r="R233">
        <f>IF(AND($K233=1,AND(对接源_01水果!$X233="公司筐",N(对接源_01水果!$U233)&lt;&gt;0)),1,0)</f>
        <v>0</v>
      </c>
      <c r="S233">
        <f>N(S232)+$R233</f>
        <v>0</v>
      </c>
      <c r="T233">
        <f>IF(AND($K233=1,AND(对接源_01水果!$X233="公司筐",N(对接源_01水果!$V233)&lt;&gt;0)),1,0)</f>
        <v>0</v>
      </c>
      <c r="U233">
        <f>N(U232)+$T233</f>
        <v>6</v>
      </c>
      <c r="V233">
        <f>IF(AND($L233=1,AND(对接源_01水果!$X233="自备筐",N(对接源_01水果!$V233)&lt;&gt;0)),1,0)</f>
        <v>0</v>
      </c>
      <c r="W233">
        <f>N(W232)+$V233</f>
        <v>7</v>
      </c>
      <c r="X233">
        <f>IF(AND($L233=1,AND(对接源_01水果!$X233="自备筐",N(对接源_01水果!$T233)&lt;&gt;0)),1,0)</f>
        <v>0</v>
      </c>
      <c r="Y233">
        <f>N(Y232)+$X233</f>
        <v>0</v>
      </c>
      <c r="Z233">
        <f>IF(AND($M233=1,对接源_01水果!$D233="原料入库"),1,0)</f>
        <v>0</v>
      </c>
      <c r="AA233">
        <f>N(AA232)+$Z233</f>
        <v>15</v>
      </c>
      <c r="AB233">
        <f>IF(AND($M233=1,LEFT(对接源_01水果!$D233,4)="原料出库"),1,0)</f>
        <v>0</v>
      </c>
      <c r="AC233">
        <f>N(AC232)+$AB233</f>
        <v>0</v>
      </c>
      <c r="AD233">
        <f>IF(AND($M233=1,LEFT(对接源_01水果!$D233,4)="成品出库"),1,0)</f>
        <v>0</v>
      </c>
      <c r="AE233">
        <f>N(AE232)+$AD233</f>
        <v>0</v>
      </c>
      <c r="AF233">
        <f>IF(AND($N233=1,AND(LEFT(对接源_01水果!$D233,4)="包装物料",N(对接源_01水果!$K233)&lt;&gt;0)),1,0)</f>
        <v>0</v>
      </c>
      <c r="AG233">
        <f>N(AG232)+$AF233</f>
        <v>0</v>
      </c>
      <c r="AH233">
        <f>IF(AND($N233=1,AND(对接源_01水果!$D233="周转筐－销售出库",N(对接源_01水果!$K233)&lt;&gt;0)),1,0)</f>
        <v>0</v>
      </c>
      <c r="AI233">
        <f>N(AI232)+$AH233</f>
        <v>0</v>
      </c>
      <c r="AJ233" s="7" t="n"/>
      <c r="AL233">
        <f>IF(OR($AL$1="",对接源_01水果!$Y233="",对接源_01水果!$Y233&lt;&gt;$AL$1,对接源_01水果!$B233="",N(对接源_01水果!$AJ233)&lt;=0),0,IF(OR(N(对接源_01水果!$B233)&lt;$AL$2,N(对接源_01水果!$B233)&gt;$AL$3),0,1))</f>
        <v>0</v>
      </c>
      <c r="AM233">
        <f>N(AM232)+$AL233</f>
        <v>0</v>
      </c>
      <c r="AN233">
        <f>IF(对接源_01水果!$AC233="","",对接源_01水果!$AC233)</f>
      </c>
      <c r="AO233">
        <f>IF(AN233="",0,IF(MATCH(AN233,$AN$4:$AN$1203,0)=ROW()-3,1,0))</f>
        <v>0</v>
      </c>
      <c r="AP233">
        <f>N(AP232)+$AO233</f>
        <v>0</v>
      </c>
      <c r="AR233">
        <f>IF(OR($AF233=1,$AH233=1),1,0)</f>
        <v>0</v>
      </c>
      <c r="AS233">
        <f>N(AS232)+$AR233</f>
        <v>0</v>
      </c>
    </row>
    <row r="234" ht="14.25" customHeight="1" s="127">
      <c r="A234" t="str">
        <f>IF(对接源_01水果!$C234="","",对接源_01水果!$C234)</f>
        <v>贾建国</v>
      </c>
      <c r="B234">
        <f>IF(A234="",0,IF(MATCH(A234,$A$4:$A$2403,0)=ROW()-3,1,0))</f>
        <v>0</v>
      </c>
      <c r="C234">
        <f>N(C233)+B234</f>
        <v>13</v>
      </c>
      <c r="E234">
        <f>IFERROR(INDEX($A$4:$A$2403,MATCH(ROW()-3,$C$4:$C$2403,0)),"")</f>
      </c>
      <c r="K234">
        <f>IF(OR($K$1="",对接源_01水果!$C234="",对接源_01水果!$C234&lt;&gt;$K$1,对接源_01水果!$B234=""),0,IF(OR(N(对接源_01水果!$B234)&lt;$K$2,N(对接源_01水果!$B234)&gt;$K$3),0,1))</f>
        <v>0</v>
      </c>
      <c r="L234">
        <f>IF(OR($L$1="",对接源_01水果!$C234="",对接源_01水果!$C234&lt;&gt;$L$1,对接源_01水果!$B234=""),0,IF(OR(N(对接源_01水果!$B234)&lt;$L$2,N(对接源_01水果!$B234)&gt;$L$3),0,1))</f>
        <v>1</v>
      </c>
      <c r="M234">
        <f>IF(OR($M$1="",对接源_01水果!$C234="",对接源_01水果!$C234&lt;&gt;$M$1,对接源_01水果!$B234=""),0,IF(OR(N(对接源_01水果!$B234)&lt;$M$2,N(对接源_01水果!$B234)&gt;$M$3),0,1))</f>
        <v>0</v>
      </c>
      <c r="N234">
        <f>IF(OR($N$1="",对接源_01水果!$C234="",对接源_01水果!$C234&lt;&gt;$N$1,对接源_01水果!$B234=""),0,IF(OR(N(对接源_01水果!$B234)&lt;$N$2,N(对接源_01水果!$B234)&gt;$N$3),0,1))</f>
        <v>0</v>
      </c>
      <c r="P234">
        <f>IF(AND($K234=1,AND(对接源_01水果!$X234="公司筐",N(对接源_01水果!$T234)&lt;&gt;0)),1,0)</f>
        <v>0</v>
      </c>
      <c r="Q234">
        <f>N(Q233)+$P234</f>
        <v>0</v>
      </c>
      <c r="R234">
        <f>IF(AND($K234=1,AND(对接源_01水果!$X234="公司筐",N(对接源_01水果!$U234)&lt;&gt;0)),1,0)</f>
        <v>0</v>
      </c>
      <c r="S234">
        <f>N(S233)+$R234</f>
        <v>0</v>
      </c>
      <c r="T234">
        <f>IF(AND($K234=1,AND(对接源_01水果!$X234="公司筐",N(对接源_01水果!$V234)&lt;&gt;0)),1,0)</f>
        <v>0</v>
      </c>
      <c r="U234">
        <f>N(U233)+$T234</f>
        <v>6</v>
      </c>
      <c r="V234">
        <f>IF(AND($L234=1,AND(对接源_01水果!$X234="自备筐",N(对接源_01水果!$V234)&lt;&gt;0)),1,0)</f>
        <v>1</v>
      </c>
      <c r="W234">
        <f>N(W233)+$V234</f>
        <v>8</v>
      </c>
      <c r="X234">
        <f>IF(AND($L234=1,AND(对接源_01水果!$X234="自备筐",N(对接源_01水果!$T234)&lt;&gt;0)),1,0)</f>
        <v>0</v>
      </c>
      <c r="Y234">
        <f>N(Y233)+$X234</f>
        <v>0</v>
      </c>
      <c r="Z234">
        <f>IF(AND($M234=1,对接源_01水果!$D234="原料入库"),1,0)</f>
        <v>0</v>
      </c>
      <c r="AA234">
        <f>N(AA233)+$Z234</f>
        <v>15</v>
      </c>
      <c r="AB234">
        <f>IF(AND($M234=1,LEFT(对接源_01水果!$D234,4)="原料出库"),1,0)</f>
        <v>0</v>
      </c>
      <c r="AC234">
        <f>N(AC233)+$AB234</f>
        <v>0</v>
      </c>
      <c r="AD234">
        <f>IF(AND($M234=1,LEFT(对接源_01水果!$D234,4)="成品出库"),1,0)</f>
        <v>0</v>
      </c>
      <c r="AE234">
        <f>N(AE233)+$AD234</f>
        <v>0</v>
      </c>
      <c r="AF234">
        <f>IF(AND($N234=1,AND(LEFT(对接源_01水果!$D234,4)="包装物料",N(对接源_01水果!$K234)&lt;&gt;0)),1,0)</f>
        <v>0</v>
      </c>
      <c r="AG234">
        <f>N(AG233)+$AF234</f>
        <v>0</v>
      </c>
      <c r="AH234">
        <f>IF(AND($N234=1,AND(对接源_01水果!$D234="周转筐－销售出库",N(对接源_01水果!$K234)&lt;&gt;0)),1,0)</f>
        <v>0</v>
      </c>
      <c r="AI234">
        <f>N(AI233)+$AH234</f>
        <v>0</v>
      </c>
      <c r="AJ234" s="7" t="n"/>
      <c r="AL234">
        <f>IF(OR($AL$1="",对接源_01水果!$Y234="",对接源_01水果!$Y234&lt;&gt;$AL$1,对接源_01水果!$B234="",N(对接源_01水果!$AJ234)&lt;=0),0,IF(OR(N(对接源_01水果!$B234)&lt;$AL$2,N(对接源_01水果!$B234)&gt;$AL$3),0,1))</f>
        <v>0</v>
      </c>
      <c r="AM234">
        <f>N(AM233)+$AL234</f>
        <v>0</v>
      </c>
      <c r="AN234">
        <f>IF(对接源_01水果!$AC234="","",对接源_01水果!$AC234)</f>
      </c>
      <c r="AO234">
        <f>IF(AN234="",0,IF(MATCH(AN234,$AN$4:$AN$1203,0)=ROW()-3,1,0))</f>
        <v>0</v>
      </c>
      <c r="AP234">
        <f>N(AP233)+$AO234</f>
        <v>0</v>
      </c>
      <c r="AR234">
        <f>IF(OR($AF234=1,$AH234=1),1,0)</f>
        <v>0</v>
      </c>
      <c r="AS234">
        <f>N(AS233)+$AR234</f>
        <v>0</v>
      </c>
    </row>
    <row r="235" ht="14.25" customHeight="1" s="127">
      <c r="A235" t="str">
        <f>IF(对接源_01水果!$C235="","",对接源_01水果!$C235)</f>
        <v>王灵云</v>
      </c>
      <c r="B235">
        <f>IF(A235="",0,IF(MATCH(A235,$A$4:$A$2403,0)=ROW()-3,1,0))</f>
        <v>0</v>
      </c>
      <c r="C235">
        <f>N(C234)+B235</f>
        <v>13</v>
      </c>
      <c r="E235">
        <f>IFERROR(INDEX($A$4:$A$2403,MATCH(ROW()-3,$C$4:$C$2403,0)),"")</f>
      </c>
      <c r="K235">
        <f>IF(OR($K$1="",对接源_01水果!$C235="",对接源_01水果!$C235&lt;&gt;$K$1,对接源_01水果!$B235=""),0,IF(OR(N(对接源_01水果!$B235)&lt;$K$2,N(对接源_01水果!$B235)&gt;$K$3),0,1))</f>
        <v>1</v>
      </c>
      <c r="L235">
        <f>IF(OR($L$1="",对接源_01水果!$C235="",对接源_01水果!$C235&lt;&gt;$L$1,对接源_01水果!$B235=""),0,IF(OR(N(对接源_01水果!$B235)&lt;$L$2,N(对接源_01水果!$B235)&gt;$L$3),0,1))</f>
        <v>0</v>
      </c>
      <c r="M235">
        <f>IF(OR($M$1="",对接源_01水果!$C235="",对接源_01水果!$C235&lt;&gt;$M$1,对接源_01水果!$B235=""),0,IF(OR(N(对接源_01水果!$B235)&lt;$M$2,N(对接源_01水果!$B235)&gt;$M$3),0,1))</f>
        <v>0</v>
      </c>
      <c r="N235">
        <f>IF(OR($N$1="",对接源_01水果!$C235="",对接源_01水果!$C235&lt;&gt;$N$1,对接源_01水果!$B235=""),0,IF(OR(N(对接源_01水果!$B235)&lt;$N$2,N(对接源_01水果!$B235)&gt;$N$3),0,1))</f>
        <v>0</v>
      </c>
      <c r="P235">
        <f>IF(AND($K235=1,AND(对接源_01水果!$X235="公司筐",N(对接源_01水果!$T235)&lt;&gt;0)),1,0)</f>
        <v>0</v>
      </c>
      <c r="Q235">
        <f>N(Q234)+$P235</f>
        <v>0</v>
      </c>
      <c r="R235">
        <f>IF(AND($K235=1,AND(对接源_01水果!$X235="公司筐",N(对接源_01水果!$U235)&lt;&gt;0)),1,0)</f>
        <v>0</v>
      </c>
      <c r="S235">
        <f>N(S234)+$R235</f>
        <v>0</v>
      </c>
      <c r="T235">
        <f>IF(AND($K235=1,AND(对接源_01水果!$X235="公司筐",N(对接源_01水果!$V235)&lt;&gt;0)),1,0)</f>
        <v>1</v>
      </c>
      <c r="U235">
        <f>N(U234)+$T235</f>
        <v>7</v>
      </c>
      <c r="V235">
        <f>IF(AND($L235=1,AND(对接源_01水果!$X235="自备筐",N(对接源_01水果!$V235)&lt;&gt;0)),1,0)</f>
        <v>0</v>
      </c>
      <c r="W235">
        <f>N(W234)+$V235</f>
        <v>8</v>
      </c>
      <c r="X235">
        <f>IF(AND($L235=1,AND(对接源_01水果!$X235="自备筐",N(对接源_01水果!$T235)&lt;&gt;0)),1,0)</f>
        <v>0</v>
      </c>
      <c r="Y235">
        <f>N(Y234)+$X235</f>
        <v>0</v>
      </c>
      <c r="Z235">
        <f>IF(AND($M235=1,对接源_01水果!$D235="原料入库"),1,0)</f>
        <v>0</v>
      </c>
      <c r="AA235">
        <f>N(AA234)+$Z235</f>
        <v>15</v>
      </c>
      <c r="AB235">
        <f>IF(AND($M235=1,LEFT(对接源_01水果!$D235,4)="原料出库"),1,0)</f>
        <v>0</v>
      </c>
      <c r="AC235">
        <f>N(AC234)+$AB235</f>
        <v>0</v>
      </c>
      <c r="AD235">
        <f>IF(AND($M235=1,LEFT(对接源_01水果!$D235,4)="成品出库"),1,0)</f>
        <v>0</v>
      </c>
      <c r="AE235">
        <f>N(AE234)+$AD235</f>
        <v>0</v>
      </c>
      <c r="AF235">
        <f>IF(AND($N235=1,AND(LEFT(对接源_01水果!$D235,4)="包装物料",N(对接源_01水果!$K235)&lt;&gt;0)),1,0)</f>
        <v>0</v>
      </c>
      <c r="AG235">
        <f>N(AG234)+$AF235</f>
        <v>0</v>
      </c>
      <c r="AH235">
        <f>IF(AND($N235=1,AND(对接源_01水果!$D235="周转筐－销售出库",N(对接源_01水果!$K235)&lt;&gt;0)),1,0)</f>
        <v>0</v>
      </c>
      <c r="AI235">
        <f>N(AI234)+$AH235</f>
        <v>0</v>
      </c>
      <c r="AJ235" s="7" t="n"/>
      <c r="AL235">
        <f>IF(OR($AL$1="",对接源_01水果!$Y235="",对接源_01水果!$Y235&lt;&gt;$AL$1,对接源_01水果!$B235="",N(对接源_01水果!$AJ235)&lt;=0),0,IF(OR(N(对接源_01水果!$B235)&lt;$AL$2,N(对接源_01水果!$B235)&gt;$AL$3),0,1))</f>
        <v>0</v>
      </c>
      <c r="AM235">
        <f>N(AM234)+$AL235</f>
        <v>0</v>
      </c>
      <c r="AN235">
        <f>IF(对接源_01水果!$AC235="","",对接源_01水果!$AC235)</f>
      </c>
      <c r="AO235">
        <f>IF(AN235="",0,IF(MATCH(AN235,$AN$4:$AN$1203,0)=ROW()-3,1,0))</f>
        <v>0</v>
      </c>
      <c r="AP235">
        <f>N(AP234)+$AO235</f>
        <v>0</v>
      </c>
      <c r="AR235">
        <f>IF(OR($AF235=1,$AH235=1),1,0)</f>
        <v>0</v>
      </c>
      <c r="AS235">
        <f>N(AS234)+$AR235</f>
        <v>0</v>
      </c>
    </row>
    <row r="236" ht="14.25" customHeight="1" s="127">
      <c r="A236" t="str">
        <f>IF(对接源_01水果!$C236="","",对接源_01水果!$C236)</f>
        <v>王灵云</v>
      </c>
      <c r="B236">
        <f>IF(A236="",0,IF(MATCH(A236,$A$4:$A$2403,0)=ROW()-3,1,0))</f>
        <v>0</v>
      </c>
      <c r="C236">
        <f>N(C235)+B236</f>
        <v>13</v>
      </c>
      <c r="E236">
        <f>IFERROR(INDEX($A$4:$A$2403,MATCH(ROW()-3,$C$4:$C$2403,0)),"")</f>
      </c>
      <c r="K236">
        <f>IF(OR($K$1="",对接源_01水果!$C236="",对接源_01水果!$C236&lt;&gt;$K$1,对接源_01水果!$B236=""),0,IF(OR(N(对接源_01水果!$B236)&lt;$K$2,N(对接源_01水果!$B236)&gt;$K$3),0,1))</f>
        <v>1</v>
      </c>
      <c r="L236">
        <f>IF(OR($L$1="",对接源_01水果!$C236="",对接源_01水果!$C236&lt;&gt;$L$1,对接源_01水果!$B236=""),0,IF(OR(N(对接源_01水果!$B236)&lt;$L$2,N(对接源_01水果!$B236)&gt;$L$3),0,1))</f>
        <v>0</v>
      </c>
      <c r="M236">
        <f>IF(OR($M$1="",对接源_01水果!$C236="",对接源_01水果!$C236&lt;&gt;$M$1,对接源_01水果!$B236=""),0,IF(OR(N(对接源_01水果!$B236)&lt;$M$2,N(对接源_01水果!$B236)&gt;$M$3),0,1))</f>
        <v>0</v>
      </c>
      <c r="N236">
        <f>IF(OR($N$1="",对接源_01水果!$C236="",对接源_01水果!$C236&lt;&gt;$N$1,对接源_01水果!$B236=""),0,IF(OR(N(对接源_01水果!$B236)&lt;$N$2,N(对接源_01水果!$B236)&gt;$N$3),0,1))</f>
        <v>0</v>
      </c>
      <c r="P236">
        <f>IF(AND($K236=1,AND(对接源_01水果!$X236="公司筐",N(对接源_01水果!$T236)&lt;&gt;0)),1,0)</f>
        <v>0</v>
      </c>
      <c r="Q236">
        <f>N(Q235)+$P236</f>
        <v>0</v>
      </c>
      <c r="R236">
        <f>IF(AND($K236=1,AND(对接源_01水果!$X236="公司筐",N(对接源_01水果!$U236)&lt;&gt;0)),1,0)</f>
        <v>0</v>
      </c>
      <c r="S236">
        <f>N(S235)+$R236</f>
        <v>0</v>
      </c>
      <c r="T236">
        <f>IF(AND($K236=1,AND(对接源_01水果!$X236="公司筐",N(对接源_01水果!$V236)&lt;&gt;0)),1,0)</f>
        <v>1</v>
      </c>
      <c r="U236">
        <f>N(U235)+$T236</f>
        <v>8</v>
      </c>
      <c r="V236">
        <f>IF(AND($L236=1,AND(对接源_01水果!$X236="自备筐",N(对接源_01水果!$V236)&lt;&gt;0)),1,0)</f>
        <v>0</v>
      </c>
      <c r="W236">
        <f>N(W235)+$V236</f>
        <v>8</v>
      </c>
      <c r="X236">
        <f>IF(AND($L236=1,AND(对接源_01水果!$X236="自备筐",N(对接源_01水果!$T236)&lt;&gt;0)),1,0)</f>
        <v>0</v>
      </c>
      <c r="Y236">
        <f>N(Y235)+$X236</f>
        <v>0</v>
      </c>
      <c r="Z236">
        <f>IF(AND($M236=1,对接源_01水果!$D236="原料入库"),1,0)</f>
        <v>0</v>
      </c>
      <c r="AA236">
        <f>N(AA235)+$Z236</f>
        <v>15</v>
      </c>
      <c r="AB236">
        <f>IF(AND($M236=1,LEFT(对接源_01水果!$D236,4)="原料出库"),1,0)</f>
        <v>0</v>
      </c>
      <c r="AC236">
        <f>N(AC235)+$AB236</f>
        <v>0</v>
      </c>
      <c r="AD236">
        <f>IF(AND($M236=1,LEFT(对接源_01水果!$D236,4)="成品出库"),1,0)</f>
        <v>0</v>
      </c>
      <c r="AE236">
        <f>N(AE235)+$AD236</f>
        <v>0</v>
      </c>
      <c r="AF236">
        <f>IF(AND($N236=1,AND(LEFT(对接源_01水果!$D236,4)="包装物料",N(对接源_01水果!$K236)&lt;&gt;0)),1,0)</f>
        <v>0</v>
      </c>
      <c r="AG236">
        <f>N(AG235)+$AF236</f>
        <v>0</v>
      </c>
      <c r="AH236">
        <f>IF(AND($N236=1,AND(对接源_01水果!$D236="周转筐－销售出库",N(对接源_01水果!$K236)&lt;&gt;0)),1,0)</f>
        <v>0</v>
      </c>
      <c r="AI236">
        <f>N(AI235)+$AH236</f>
        <v>0</v>
      </c>
      <c r="AJ236" s="7" t="n"/>
      <c r="AL236">
        <f>IF(OR($AL$1="",对接源_01水果!$Y236="",对接源_01水果!$Y236&lt;&gt;$AL$1,对接源_01水果!$B236="",N(对接源_01水果!$AJ236)&lt;=0),0,IF(OR(N(对接源_01水果!$B236)&lt;$AL$2,N(对接源_01水果!$B236)&gt;$AL$3),0,1))</f>
        <v>0</v>
      </c>
      <c r="AM236">
        <f>N(AM235)+$AL236</f>
        <v>0</v>
      </c>
      <c r="AN236">
        <f>IF(对接源_01水果!$AC236="","",对接源_01水果!$AC236)</f>
      </c>
      <c r="AO236">
        <f>IF(AN236="",0,IF(MATCH(AN236,$AN$4:$AN$1203,0)=ROW()-3,1,0))</f>
        <v>0</v>
      </c>
      <c r="AP236">
        <f>N(AP235)+$AO236</f>
        <v>0</v>
      </c>
      <c r="AR236">
        <f>IF(OR($AF236=1,$AH236=1),1,0)</f>
        <v>0</v>
      </c>
      <c r="AS236">
        <f>N(AS235)+$AR236</f>
        <v>0</v>
      </c>
    </row>
    <row r="237" ht="14.25" customHeight="1" s="127">
      <c r="A237" t="str">
        <f>IF(对接源_01水果!$C237="","",对接源_01水果!$C237)</f>
        <v>王灵云</v>
      </c>
      <c r="B237">
        <f>IF(A237="",0,IF(MATCH(A237,$A$4:$A$2403,0)=ROW()-3,1,0))</f>
        <v>0</v>
      </c>
      <c r="C237">
        <f>N(C236)+B237</f>
        <v>13</v>
      </c>
      <c r="E237">
        <f>IFERROR(INDEX($A$4:$A$2403,MATCH(ROW()-3,$C$4:$C$2403,0)),"")</f>
      </c>
      <c r="K237">
        <f>IF(OR($K$1="",对接源_01水果!$C237="",对接源_01水果!$C237&lt;&gt;$K$1,对接源_01水果!$B237=""),0,IF(OR(N(对接源_01水果!$B237)&lt;$K$2,N(对接源_01水果!$B237)&gt;$K$3),0,1))</f>
        <v>1</v>
      </c>
      <c r="L237">
        <f>IF(OR($L$1="",对接源_01水果!$C237="",对接源_01水果!$C237&lt;&gt;$L$1,对接源_01水果!$B237=""),0,IF(OR(N(对接源_01水果!$B237)&lt;$L$2,N(对接源_01水果!$B237)&gt;$L$3),0,1))</f>
        <v>0</v>
      </c>
      <c r="M237">
        <f>IF(OR($M$1="",对接源_01水果!$C237="",对接源_01水果!$C237&lt;&gt;$M$1,对接源_01水果!$B237=""),0,IF(OR(N(对接源_01水果!$B237)&lt;$M$2,N(对接源_01水果!$B237)&gt;$M$3),0,1))</f>
        <v>0</v>
      </c>
      <c r="N237">
        <f>IF(OR($N$1="",对接源_01水果!$C237="",对接源_01水果!$C237&lt;&gt;$N$1,对接源_01水果!$B237=""),0,IF(OR(N(对接源_01水果!$B237)&lt;$N$2,N(对接源_01水果!$B237)&gt;$N$3),0,1))</f>
        <v>0</v>
      </c>
      <c r="P237">
        <f>IF(AND($K237=1,AND(对接源_01水果!$X237="公司筐",N(对接源_01水果!$T237)&lt;&gt;0)),1,0)</f>
        <v>0</v>
      </c>
      <c r="Q237">
        <f>N(Q236)+$P237</f>
        <v>0</v>
      </c>
      <c r="R237">
        <f>IF(AND($K237=1,AND(对接源_01水果!$X237="公司筐",N(对接源_01水果!$U237)&lt;&gt;0)),1,0)</f>
        <v>0</v>
      </c>
      <c r="S237">
        <f>N(S236)+$R237</f>
        <v>0</v>
      </c>
      <c r="T237">
        <f>IF(AND($K237=1,AND(对接源_01水果!$X237="公司筐",N(对接源_01水果!$V237)&lt;&gt;0)),1,0)</f>
        <v>1</v>
      </c>
      <c r="U237">
        <f>N(U236)+$T237</f>
        <v>9</v>
      </c>
      <c r="V237">
        <f>IF(AND($L237=1,AND(对接源_01水果!$X237="自备筐",N(对接源_01水果!$V237)&lt;&gt;0)),1,0)</f>
        <v>0</v>
      </c>
      <c r="W237">
        <f>N(W236)+$V237</f>
        <v>8</v>
      </c>
      <c r="X237">
        <f>IF(AND($L237=1,AND(对接源_01水果!$X237="自备筐",N(对接源_01水果!$T237)&lt;&gt;0)),1,0)</f>
        <v>0</v>
      </c>
      <c r="Y237">
        <f>N(Y236)+$X237</f>
        <v>0</v>
      </c>
      <c r="Z237">
        <f>IF(AND($M237=1,对接源_01水果!$D237="原料入库"),1,0)</f>
        <v>0</v>
      </c>
      <c r="AA237">
        <f>N(AA236)+$Z237</f>
        <v>15</v>
      </c>
      <c r="AB237">
        <f>IF(AND($M237=1,LEFT(对接源_01水果!$D237,4)="原料出库"),1,0)</f>
        <v>0</v>
      </c>
      <c r="AC237">
        <f>N(AC236)+$AB237</f>
        <v>0</v>
      </c>
      <c r="AD237">
        <f>IF(AND($M237=1,LEFT(对接源_01水果!$D237,4)="成品出库"),1,0)</f>
        <v>0</v>
      </c>
      <c r="AE237">
        <f>N(AE236)+$AD237</f>
        <v>0</v>
      </c>
      <c r="AF237">
        <f>IF(AND($N237=1,AND(LEFT(对接源_01水果!$D237,4)="包装物料",N(对接源_01水果!$K237)&lt;&gt;0)),1,0)</f>
        <v>0</v>
      </c>
      <c r="AG237">
        <f>N(AG236)+$AF237</f>
        <v>0</v>
      </c>
      <c r="AH237">
        <f>IF(AND($N237=1,AND(对接源_01水果!$D237="周转筐－销售出库",N(对接源_01水果!$K237)&lt;&gt;0)),1,0)</f>
        <v>0</v>
      </c>
      <c r="AI237">
        <f>N(AI236)+$AH237</f>
        <v>0</v>
      </c>
      <c r="AJ237" s="7" t="n"/>
      <c r="AL237">
        <f>IF(OR($AL$1="",对接源_01水果!$Y237="",对接源_01水果!$Y237&lt;&gt;$AL$1,对接源_01水果!$B237="",N(对接源_01水果!$AJ237)&lt;=0),0,IF(OR(N(对接源_01水果!$B237)&lt;$AL$2,N(对接源_01水果!$B237)&gt;$AL$3),0,1))</f>
        <v>0</v>
      </c>
      <c r="AM237">
        <f>N(AM236)+$AL237</f>
        <v>0</v>
      </c>
      <c r="AN237">
        <f>IF(对接源_01水果!$AC237="","",对接源_01水果!$AC237)</f>
      </c>
      <c r="AO237">
        <f>IF(AN237="",0,IF(MATCH(AN237,$AN$4:$AN$1203,0)=ROW()-3,1,0))</f>
        <v>0</v>
      </c>
      <c r="AP237">
        <f>N(AP236)+$AO237</f>
        <v>0</v>
      </c>
      <c r="AR237">
        <f>IF(OR($AF237=1,$AH237=1),1,0)</f>
        <v>0</v>
      </c>
      <c r="AS237">
        <f>N(AS236)+$AR237</f>
        <v>0</v>
      </c>
    </row>
    <row r="238" ht="14.25" customHeight="1" s="127">
      <c r="A238" t="str">
        <f>IF(对接源_01水果!$C238="","",对接源_01水果!$C238)</f>
        <v>吐尔洪</v>
      </c>
      <c r="B238">
        <f>IF(A238="",0,IF(MATCH(A238,$A$4:$A$2403,0)=ROW()-3,1,0))</f>
        <v>0</v>
      </c>
      <c r="C238">
        <f>N(C237)+B238</f>
        <v>13</v>
      </c>
      <c r="E238">
        <f>IFERROR(INDEX($A$4:$A$2403,MATCH(ROW()-3,$C$4:$C$2403,0)),"")</f>
      </c>
      <c r="K238">
        <f>IF(OR($K$1="",对接源_01水果!$C238="",对接源_01水果!$C238&lt;&gt;$K$1,对接源_01水果!$B238=""),0,IF(OR(N(对接源_01水果!$B238)&lt;$K$2,N(对接源_01水果!$B238)&gt;$K$3),0,1))</f>
        <v>0</v>
      </c>
      <c r="L238">
        <f>IF(OR($L$1="",对接源_01水果!$C238="",对接源_01水果!$C238&lt;&gt;$L$1,对接源_01水果!$B238=""),0,IF(OR(N(对接源_01水果!$B238)&lt;$L$2,N(对接源_01水果!$B238)&gt;$L$3),0,1))</f>
        <v>0</v>
      </c>
      <c r="M238">
        <f>IF(OR($M$1="",对接源_01水果!$C238="",对接源_01水果!$C238&lt;&gt;$M$1,对接源_01水果!$B238=""),0,IF(OR(N(对接源_01水果!$B238)&lt;$M$2,N(对接源_01水果!$B238)&gt;$M$3),0,1))</f>
        <v>1</v>
      </c>
      <c r="N238">
        <f>IF(OR($N$1="",对接源_01水果!$C238="",对接源_01水果!$C238&lt;&gt;$N$1,对接源_01水果!$B238=""),0,IF(OR(N(对接源_01水果!$B238)&lt;$N$2,N(对接源_01水果!$B238)&gt;$N$3),0,1))</f>
        <v>0</v>
      </c>
      <c r="P238">
        <f>IF(AND($K238=1,AND(对接源_01水果!$X238="公司筐",N(对接源_01水果!$T238)&lt;&gt;0)),1,0)</f>
        <v>0</v>
      </c>
      <c r="Q238">
        <f>N(Q237)+$P238</f>
        <v>0</v>
      </c>
      <c r="R238">
        <f>IF(AND($K238=1,AND(对接源_01水果!$X238="公司筐",N(对接源_01水果!$U238)&lt;&gt;0)),1,0)</f>
        <v>0</v>
      </c>
      <c r="S238">
        <f>N(S237)+$R238</f>
        <v>0</v>
      </c>
      <c r="T238">
        <f>IF(AND($K238=1,AND(对接源_01水果!$X238="公司筐",N(对接源_01水果!$V238)&lt;&gt;0)),1,0)</f>
        <v>0</v>
      </c>
      <c r="U238">
        <f>N(U237)+$T238</f>
        <v>9</v>
      </c>
      <c r="V238">
        <f>IF(AND($L238=1,AND(对接源_01水果!$X238="自备筐",N(对接源_01水果!$V238)&lt;&gt;0)),1,0)</f>
        <v>0</v>
      </c>
      <c r="W238">
        <f>N(W237)+$V238</f>
        <v>8</v>
      </c>
      <c r="X238">
        <f>IF(AND($L238=1,AND(对接源_01水果!$X238="自备筐",N(对接源_01水果!$T238)&lt;&gt;0)),1,0)</f>
        <v>0</v>
      </c>
      <c r="Y238">
        <f>N(Y237)+$X238</f>
        <v>0</v>
      </c>
      <c r="Z238">
        <f>IF(AND($M238=1,对接源_01水果!$D238="原料入库"),1,0)</f>
        <v>1</v>
      </c>
      <c r="AA238">
        <f>N(AA237)+$Z238</f>
        <v>16</v>
      </c>
      <c r="AB238">
        <f>IF(AND($M238=1,LEFT(对接源_01水果!$D238,4)="原料出库"),1,0)</f>
        <v>0</v>
      </c>
      <c r="AC238">
        <f>N(AC237)+$AB238</f>
        <v>0</v>
      </c>
      <c r="AD238">
        <f>IF(AND($M238=1,LEFT(对接源_01水果!$D238,4)="成品出库"),1,0)</f>
        <v>0</v>
      </c>
      <c r="AE238">
        <f>N(AE237)+$AD238</f>
        <v>0</v>
      </c>
      <c r="AF238">
        <f>IF(AND($N238=1,AND(LEFT(对接源_01水果!$D238,4)="包装物料",N(对接源_01水果!$K238)&lt;&gt;0)),1,0)</f>
        <v>0</v>
      </c>
      <c r="AG238">
        <f>N(AG237)+$AF238</f>
        <v>0</v>
      </c>
      <c r="AH238">
        <f>IF(AND($N238=1,AND(对接源_01水果!$D238="周转筐－销售出库",N(对接源_01水果!$K238)&lt;&gt;0)),1,0)</f>
        <v>0</v>
      </c>
      <c r="AI238">
        <f>N(AI237)+$AH238</f>
        <v>0</v>
      </c>
      <c r="AJ238" s="7" t="n"/>
      <c r="AL238">
        <f>IF(OR($AL$1="",对接源_01水果!$Y238="",对接源_01水果!$Y238&lt;&gt;$AL$1,对接源_01水果!$B238="",N(对接源_01水果!$AJ238)&lt;=0),0,IF(OR(N(对接源_01水果!$B238)&lt;$AL$2,N(对接源_01水果!$B238)&gt;$AL$3),0,1))</f>
        <v>0</v>
      </c>
      <c r="AM238">
        <f>N(AM237)+$AL238</f>
        <v>0</v>
      </c>
      <c r="AN238">
        <f>IF(对接源_01水果!$AC238="","",对接源_01水果!$AC238)</f>
      </c>
      <c r="AO238">
        <f>IF(AN238="",0,IF(MATCH(AN238,$AN$4:$AN$1203,0)=ROW()-3,1,0))</f>
        <v>0</v>
      </c>
      <c r="AP238">
        <f>N(AP237)+$AO238</f>
        <v>0</v>
      </c>
      <c r="AR238">
        <f>IF(OR($AF238=1,$AH238=1),1,0)</f>
        <v>0</v>
      </c>
      <c r="AS238">
        <f>N(AS237)+$AR238</f>
        <v>0</v>
      </c>
    </row>
    <row r="239" ht="14.25" customHeight="1" s="127">
      <c r="A239" t="str">
        <f>IF(对接源_01水果!$C239="","",对接源_01水果!$C239)</f>
        <v>吐尔洪</v>
      </c>
      <c r="B239">
        <f>IF(A239="",0,IF(MATCH(A239,$A$4:$A$2403,0)=ROW()-3,1,0))</f>
        <v>0</v>
      </c>
      <c r="C239">
        <f>N(C238)+B239</f>
        <v>13</v>
      </c>
      <c r="E239">
        <f>IFERROR(INDEX($A$4:$A$2403,MATCH(ROW()-3,$C$4:$C$2403,0)),"")</f>
      </c>
      <c r="K239">
        <f>IF(OR($K$1="",对接源_01水果!$C239="",对接源_01水果!$C239&lt;&gt;$K$1,对接源_01水果!$B239=""),0,IF(OR(N(对接源_01水果!$B239)&lt;$K$2,N(对接源_01水果!$B239)&gt;$K$3),0,1))</f>
        <v>0</v>
      </c>
      <c r="L239">
        <f>IF(OR($L$1="",对接源_01水果!$C239="",对接源_01水果!$C239&lt;&gt;$L$1,对接源_01水果!$B239=""),0,IF(OR(N(对接源_01水果!$B239)&lt;$L$2,N(对接源_01水果!$B239)&gt;$L$3),0,1))</f>
        <v>0</v>
      </c>
      <c r="M239">
        <f>IF(OR($M$1="",对接源_01水果!$C239="",对接源_01水果!$C239&lt;&gt;$M$1,对接源_01水果!$B239=""),0,IF(OR(N(对接源_01水果!$B239)&lt;$M$2,N(对接源_01水果!$B239)&gt;$M$3),0,1))</f>
        <v>1</v>
      </c>
      <c r="N239">
        <f>IF(OR($N$1="",对接源_01水果!$C239="",对接源_01水果!$C239&lt;&gt;$N$1,对接源_01水果!$B239=""),0,IF(OR(N(对接源_01水果!$B239)&lt;$N$2,N(对接源_01水果!$B239)&gt;$N$3),0,1))</f>
        <v>0</v>
      </c>
      <c r="P239">
        <f>IF(AND($K239=1,AND(对接源_01水果!$X239="公司筐",N(对接源_01水果!$T239)&lt;&gt;0)),1,0)</f>
        <v>0</v>
      </c>
      <c r="Q239">
        <f>N(Q238)+$P239</f>
        <v>0</v>
      </c>
      <c r="R239">
        <f>IF(AND($K239=1,AND(对接源_01水果!$X239="公司筐",N(对接源_01水果!$U239)&lt;&gt;0)),1,0)</f>
        <v>0</v>
      </c>
      <c r="S239">
        <f>N(S238)+$R239</f>
        <v>0</v>
      </c>
      <c r="T239">
        <f>IF(AND($K239=1,AND(对接源_01水果!$X239="公司筐",N(对接源_01水果!$V239)&lt;&gt;0)),1,0)</f>
        <v>0</v>
      </c>
      <c r="U239">
        <f>N(U238)+$T239</f>
        <v>9</v>
      </c>
      <c r="V239">
        <f>IF(AND($L239=1,AND(对接源_01水果!$X239="自备筐",N(对接源_01水果!$V239)&lt;&gt;0)),1,0)</f>
        <v>0</v>
      </c>
      <c r="W239">
        <f>N(W238)+$V239</f>
        <v>8</v>
      </c>
      <c r="X239">
        <f>IF(AND($L239=1,AND(对接源_01水果!$X239="自备筐",N(对接源_01水果!$T239)&lt;&gt;0)),1,0)</f>
        <v>0</v>
      </c>
      <c r="Y239">
        <f>N(Y238)+$X239</f>
        <v>0</v>
      </c>
      <c r="Z239">
        <f>IF(AND($M239=1,对接源_01水果!$D239="原料入库"),1,0)</f>
        <v>1</v>
      </c>
      <c r="AA239">
        <f>N(AA238)+$Z239</f>
        <v>17</v>
      </c>
      <c r="AB239">
        <f>IF(AND($M239=1,LEFT(对接源_01水果!$D239,4)="原料出库"),1,0)</f>
        <v>0</v>
      </c>
      <c r="AC239">
        <f>N(AC238)+$AB239</f>
        <v>0</v>
      </c>
      <c r="AD239">
        <f>IF(AND($M239=1,LEFT(对接源_01水果!$D239,4)="成品出库"),1,0)</f>
        <v>0</v>
      </c>
      <c r="AE239">
        <f>N(AE238)+$AD239</f>
        <v>0</v>
      </c>
      <c r="AF239">
        <f>IF(AND($N239=1,AND(LEFT(对接源_01水果!$D239,4)="包装物料",N(对接源_01水果!$K239)&lt;&gt;0)),1,0)</f>
        <v>0</v>
      </c>
      <c r="AG239">
        <f>N(AG238)+$AF239</f>
        <v>0</v>
      </c>
      <c r="AH239">
        <f>IF(AND($N239=1,AND(对接源_01水果!$D239="周转筐－销售出库",N(对接源_01水果!$K239)&lt;&gt;0)),1,0)</f>
        <v>0</v>
      </c>
      <c r="AI239">
        <f>N(AI238)+$AH239</f>
        <v>0</v>
      </c>
      <c r="AJ239" s="7" t="n"/>
      <c r="AL239">
        <f>IF(OR($AL$1="",对接源_01水果!$Y239="",对接源_01水果!$Y239&lt;&gt;$AL$1,对接源_01水果!$B239="",N(对接源_01水果!$AJ239)&lt;=0),0,IF(OR(N(对接源_01水果!$B239)&lt;$AL$2,N(对接源_01水果!$B239)&gt;$AL$3),0,1))</f>
        <v>0</v>
      </c>
      <c r="AM239">
        <f>N(AM238)+$AL239</f>
        <v>0</v>
      </c>
      <c r="AN239">
        <f>IF(对接源_01水果!$AC239="","",对接源_01水果!$AC239)</f>
      </c>
      <c r="AO239">
        <f>IF(AN239="",0,IF(MATCH(AN239,$AN$4:$AN$1203,0)=ROW()-3,1,0))</f>
        <v>0</v>
      </c>
      <c r="AP239">
        <f>N(AP238)+$AO239</f>
        <v>0</v>
      </c>
      <c r="AR239">
        <f>IF(OR($AF239=1,$AH239=1),1,0)</f>
        <v>0</v>
      </c>
      <c r="AS239">
        <f>N(AS238)+$AR239</f>
        <v>0</v>
      </c>
    </row>
    <row r="240" ht="14.25" customHeight="1" s="127">
      <c r="A240" t="str">
        <f>IF(对接源_01水果!$C240="","",对接源_01水果!$C240)</f>
        <v>吐尔洪</v>
      </c>
      <c r="B240">
        <f>IF(A240="",0,IF(MATCH(A240,$A$4:$A$2403,0)=ROW()-3,1,0))</f>
        <v>0</v>
      </c>
      <c r="C240">
        <f>N(C239)+B240</f>
        <v>13</v>
      </c>
      <c r="E240">
        <f>IFERROR(INDEX($A$4:$A$2403,MATCH(ROW()-3,$C$4:$C$2403,0)),"")</f>
      </c>
      <c r="K240">
        <f>IF(OR($K$1="",对接源_01水果!$C240="",对接源_01水果!$C240&lt;&gt;$K$1,对接源_01水果!$B240=""),0,IF(OR(N(对接源_01水果!$B240)&lt;$K$2,N(对接源_01水果!$B240)&gt;$K$3),0,1))</f>
        <v>0</v>
      </c>
      <c r="L240">
        <f>IF(OR($L$1="",对接源_01水果!$C240="",对接源_01水果!$C240&lt;&gt;$L$1,对接源_01水果!$B240=""),0,IF(OR(N(对接源_01水果!$B240)&lt;$L$2,N(对接源_01水果!$B240)&gt;$L$3),0,1))</f>
        <v>0</v>
      </c>
      <c r="M240">
        <f>IF(OR($M$1="",对接源_01水果!$C240="",对接源_01水果!$C240&lt;&gt;$M$1,对接源_01水果!$B240=""),0,IF(OR(N(对接源_01水果!$B240)&lt;$M$2,N(对接源_01水果!$B240)&gt;$M$3),0,1))</f>
        <v>1</v>
      </c>
      <c r="N240">
        <f>IF(OR($N$1="",对接源_01水果!$C240="",对接源_01水果!$C240&lt;&gt;$N$1,对接源_01水果!$B240=""),0,IF(OR(N(对接源_01水果!$B240)&lt;$N$2,N(对接源_01水果!$B240)&gt;$N$3),0,1))</f>
        <v>0</v>
      </c>
      <c r="P240">
        <f>IF(AND($K240=1,AND(对接源_01水果!$X240="公司筐",N(对接源_01水果!$T240)&lt;&gt;0)),1,0)</f>
        <v>0</v>
      </c>
      <c r="Q240">
        <f>N(Q239)+$P240</f>
        <v>0</v>
      </c>
      <c r="R240">
        <f>IF(AND($K240=1,AND(对接源_01水果!$X240="公司筐",N(对接源_01水果!$U240)&lt;&gt;0)),1,0)</f>
        <v>0</v>
      </c>
      <c r="S240">
        <f>N(S239)+$R240</f>
        <v>0</v>
      </c>
      <c r="T240">
        <f>IF(AND($K240=1,AND(对接源_01水果!$X240="公司筐",N(对接源_01水果!$V240)&lt;&gt;0)),1,0)</f>
        <v>0</v>
      </c>
      <c r="U240">
        <f>N(U239)+$T240</f>
        <v>9</v>
      </c>
      <c r="V240">
        <f>IF(AND($L240=1,AND(对接源_01水果!$X240="自备筐",N(对接源_01水果!$V240)&lt;&gt;0)),1,0)</f>
        <v>0</v>
      </c>
      <c r="W240">
        <f>N(W239)+$V240</f>
        <v>8</v>
      </c>
      <c r="X240">
        <f>IF(AND($L240=1,AND(对接源_01水果!$X240="自备筐",N(对接源_01水果!$T240)&lt;&gt;0)),1,0)</f>
        <v>0</v>
      </c>
      <c r="Y240">
        <f>N(Y239)+$X240</f>
        <v>0</v>
      </c>
      <c r="Z240">
        <f>IF(AND($M240=1,对接源_01水果!$D240="原料入库"),1,0)</f>
        <v>1</v>
      </c>
      <c r="AA240">
        <f>N(AA239)+$Z240</f>
        <v>18</v>
      </c>
      <c r="AB240">
        <f>IF(AND($M240=1,LEFT(对接源_01水果!$D240,4)="原料出库"),1,0)</f>
        <v>0</v>
      </c>
      <c r="AC240">
        <f>N(AC239)+$AB240</f>
        <v>0</v>
      </c>
      <c r="AD240">
        <f>IF(AND($M240=1,LEFT(对接源_01水果!$D240,4)="成品出库"),1,0)</f>
        <v>0</v>
      </c>
      <c r="AE240">
        <f>N(AE239)+$AD240</f>
        <v>0</v>
      </c>
      <c r="AF240">
        <f>IF(AND($N240=1,AND(LEFT(对接源_01水果!$D240,4)="包装物料",N(对接源_01水果!$K240)&lt;&gt;0)),1,0)</f>
        <v>0</v>
      </c>
      <c r="AG240">
        <f>N(AG239)+$AF240</f>
        <v>0</v>
      </c>
      <c r="AH240">
        <f>IF(AND($N240=1,AND(对接源_01水果!$D240="周转筐－销售出库",N(对接源_01水果!$K240)&lt;&gt;0)),1,0)</f>
        <v>0</v>
      </c>
      <c r="AI240">
        <f>N(AI239)+$AH240</f>
        <v>0</v>
      </c>
      <c r="AJ240" s="7" t="n"/>
      <c r="AL240">
        <f>IF(OR($AL$1="",对接源_01水果!$Y240="",对接源_01水果!$Y240&lt;&gt;$AL$1,对接源_01水果!$B240="",N(对接源_01水果!$AJ240)&lt;=0),0,IF(OR(N(对接源_01水果!$B240)&lt;$AL$2,N(对接源_01水果!$B240)&gt;$AL$3),0,1))</f>
        <v>0</v>
      </c>
      <c r="AM240">
        <f>N(AM239)+$AL240</f>
        <v>0</v>
      </c>
      <c r="AN240">
        <f>IF(对接源_01水果!$AC240="","",对接源_01水果!$AC240)</f>
      </c>
      <c r="AO240">
        <f>IF(AN240="",0,IF(MATCH(AN240,$AN$4:$AN$1203,0)=ROW()-3,1,0))</f>
        <v>0</v>
      </c>
      <c r="AP240">
        <f>N(AP239)+$AO240</f>
        <v>0</v>
      </c>
      <c r="AR240">
        <f>IF(OR($AF240=1,$AH240=1),1,0)</f>
        <v>0</v>
      </c>
      <c r="AS240">
        <f>N(AS239)+$AR240</f>
        <v>0</v>
      </c>
    </row>
    <row r="241" ht="14.25" customHeight="1" s="127">
      <c r="A241" t="str">
        <f>IF(对接源_01水果!$C241="","",对接源_01水果!$C241)</f>
        <v>马锦祥</v>
      </c>
      <c r="B241">
        <f>IF(A241="",0,IF(MATCH(A241,$A$4:$A$2403,0)=ROW()-3,1,0))</f>
        <v>0</v>
      </c>
      <c r="C241">
        <f>N(C240)+B241</f>
        <v>13</v>
      </c>
      <c r="E241">
        <f>IFERROR(INDEX($A$4:$A$2403,MATCH(ROW()-3,$C$4:$C$2403,0)),"")</f>
      </c>
      <c r="K241">
        <f>IF(OR($K$1="",对接源_01水果!$C241="",对接源_01水果!$C241&lt;&gt;$K$1,对接源_01水果!$B241=""),0,IF(OR(N(对接源_01水果!$B241)&lt;$K$2,N(对接源_01水果!$B241)&gt;$K$3),0,1))</f>
        <v>0</v>
      </c>
      <c r="L241">
        <f>IF(OR($L$1="",对接源_01水果!$C241="",对接源_01水果!$C241&lt;&gt;$L$1,对接源_01水果!$B241=""),0,IF(OR(N(对接源_01水果!$B241)&lt;$L$2,N(对接源_01水果!$B241)&gt;$L$3),0,1))</f>
        <v>0</v>
      </c>
      <c r="M241">
        <f>IF(OR($M$1="",对接源_01水果!$C241="",对接源_01水果!$C241&lt;&gt;$M$1,对接源_01水果!$B241=""),0,IF(OR(N(对接源_01水果!$B241)&lt;$M$2,N(对接源_01水果!$B241)&gt;$M$3),0,1))</f>
        <v>0</v>
      </c>
      <c r="N241">
        <f>IF(OR($N$1="",对接源_01水果!$C241="",对接源_01水果!$C241&lt;&gt;$N$1,对接源_01水果!$B241=""),0,IF(OR(N(对接源_01水果!$B241)&lt;$N$2,N(对接源_01水果!$B241)&gt;$N$3),0,1))</f>
        <v>0</v>
      </c>
      <c r="P241">
        <f>IF(AND($K241=1,AND(对接源_01水果!$X241="公司筐",N(对接源_01水果!$T241)&lt;&gt;0)),1,0)</f>
        <v>0</v>
      </c>
      <c r="Q241">
        <f>N(Q240)+$P241</f>
        <v>0</v>
      </c>
      <c r="R241">
        <f>IF(AND($K241=1,AND(对接源_01水果!$X241="公司筐",N(对接源_01水果!$U241)&lt;&gt;0)),1,0)</f>
        <v>0</v>
      </c>
      <c r="S241">
        <f>N(S240)+$R241</f>
        <v>0</v>
      </c>
      <c r="T241">
        <f>IF(AND($K241=1,AND(对接源_01水果!$X241="公司筐",N(对接源_01水果!$V241)&lt;&gt;0)),1,0)</f>
        <v>0</v>
      </c>
      <c r="U241">
        <f>N(U240)+$T241</f>
        <v>9</v>
      </c>
      <c r="V241">
        <f>IF(AND($L241=1,AND(对接源_01水果!$X241="自备筐",N(对接源_01水果!$V241)&lt;&gt;0)),1,0)</f>
        <v>0</v>
      </c>
      <c r="W241">
        <f>N(W240)+$V241</f>
        <v>8</v>
      </c>
      <c r="X241">
        <f>IF(AND($L241=1,AND(对接源_01水果!$X241="自备筐",N(对接源_01水果!$T241)&lt;&gt;0)),1,0)</f>
        <v>0</v>
      </c>
      <c r="Y241">
        <f>N(Y240)+$X241</f>
        <v>0</v>
      </c>
      <c r="Z241">
        <f>IF(AND($M241=1,对接源_01水果!$D241="原料入库"),1,0)</f>
        <v>0</v>
      </c>
      <c r="AA241">
        <f>N(AA240)+$Z241</f>
        <v>18</v>
      </c>
      <c r="AB241">
        <f>IF(AND($M241=1,LEFT(对接源_01水果!$D241,4)="原料出库"),1,0)</f>
        <v>0</v>
      </c>
      <c r="AC241">
        <f>N(AC240)+$AB241</f>
        <v>0</v>
      </c>
      <c r="AD241">
        <f>IF(AND($M241=1,LEFT(对接源_01水果!$D241,4)="成品出库"),1,0)</f>
        <v>0</v>
      </c>
      <c r="AE241">
        <f>N(AE240)+$AD241</f>
        <v>0</v>
      </c>
      <c r="AF241">
        <f>IF(AND($N241=1,AND(LEFT(对接源_01水果!$D241,4)="包装物料",N(对接源_01水果!$K241)&lt;&gt;0)),1,0)</f>
        <v>0</v>
      </c>
      <c r="AG241">
        <f>N(AG240)+$AF241</f>
        <v>0</v>
      </c>
      <c r="AH241">
        <f>IF(AND($N241=1,AND(对接源_01水果!$D241="周转筐－销售出库",N(对接源_01水果!$K241)&lt;&gt;0)),1,0)</f>
        <v>0</v>
      </c>
      <c r="AI241">
        <f>N(AI240)+$AH241</f>
        <v>0</v>
      </c>
      <c r="AJ241" s="7" t="n"/>
      <c r="AL241">
        <f>IF(OR($AL$1="",对接源_01水果!$Y241="",对接源_01水果!$Y241&lt;&gt;$AL$1,对接源_01水果!$B241="",N(对接源_01水果!$AJ241)&lt;=0),0,IF(OR(N(对接源_01水果!$B241)&lt;$AL$2,N(对接源_01水果!$B241)&gt;$AL$3),0,1))</f>
        <v>0</v>
      </c>
      <c r="AM241">
        <f>N(AM240)+$AL241</f>
        <v>0</v>
      </c>
      <c r="AN241">
        <f>IF(对接源_01水果!$AC241="","",对接源_01水果!$AC241)</f>
      </c>
      <c r="AO241">
        <f>IF(AN241="",0,IF(MATCH(AN241,$AN$4:$AN$1203,0)=ROW()-3,1,0))</f>
        <v>0</v>
      </c>
      <c r="AP241">
        <f>N(AP240)+$AO241</f>
        <v>0</v>
      </c>
      <c r="AR241">
        <f>IF(OR($AF241=1,$AH241=1),1,0)</f>
        <v>0</v>
      </c>
      <c r="AS241">
        <f>N(AS240)+$AR241</f>
        <v>0</v>
      </c>
    </row>
    <row r="242" ht="14.25" customHeight="1" s="127">
      <c r="A242" t="str">
        <f>IF(对接源_01水果!$C242="","",对接源_01水果!$C242)</f>
        <v>马锦祥</v>
      </c>
      <c r="B242">
        <f>IF(A242="",0,IF(MATCH(A242,$A$4:$A$2403,0)=ROW()-3,1,0))</f>
        <v>0</v>
      </c>
      <c r="C242">
        <f>N(C241)+B242</f>
        <v>13</v>
      </c>
      <c r="E242">
        <f>IFERROR(INDEX($A$4:$A$2403,MATCH(ROW()-3,$C$4:$C$2403,0)),"")</f>
      </c>
      <c r="K242">
        <f>IF(OR($K$1="",对接源_01水果!$C242="",对接源_01水果!$C242&lt;&gt;$K$1,对接源_01水果!$B242=""),0,IF(OR(N(对接源_01水果!$B242)&lt;$K$2,N(对接源_01水果!$B242)&gt;$K$3),0,1))</f>
        <v>0</v>
      </c>
      <c r="L242">
        <f>IF(OR($L$1="",对接源_01水果!$C242="",对接源_01水果!$C242&lt;&gt;$L$1,对接源_01水果!$B242=""),0,IF(OR(N(对接源_01水果!$B242)&lt;$L$2,N(对接源_01水果!$B242)&gt;$L$3),0,1))</f>
        <v>0</v>
      </c>
      <c r="M242">
        <f>IF(OR($M$1="",对接源_01水果!$C242="",对接源_01水果!$C242&lt;&gt;$M$1,对接源_01水果!$B242=""),0,IF(OR(N(对接源_01水果!$B242)&lt;$M$2,N(对接源_01水果!$B242)&gt;$M$3),0,1))</f>
        <v>0</v>
      </c>
      <c r="N242">
        <f>IF(OR($N$1="",对接源_01水果!$C242="",对接源_01水果!$C242&lt;&gt;$N$1,对接源_01水果!$B242=""),0,IF(OR(N(对接源_01水果!$B242)&lt;$N$2,N(对接源_01水果!$B242)&gt;$N$3),0,1))</f>
        <v>0</v>
      </c>
      <c r="P242">
        <f>IF(AND($K242=1,AND(对接源_01水果!$X242="公司筐",N(对接源_01水果!$T242)&lt;&gt;0)),1,0)</f>
        <v>0</v>
      </c>
      <c r="Q242">
        <f>N(Q241)+$P242</f>
        <v>0</v>
      </c>
      <c r="R242">
        <f>IF(AND($K242=1,AND(对接源_01水果!$X242="公司筐",N(对接源_01水果!$U242)&lt;&gt;0)),1,0)</f>
        <v>0</v>
      </c>
      <c r="S242">
        <f>N(S241)+$R242</f>
        <v>0</v>
      </c>
      <c r="T242">
        <f>IF(AND($K242=1,AND(对接源_01水果!$X242="公司筐",N(对接源_01水果!$V242)&lt;&gt;0)),1,0)</f>
        <v>0</v>
      </c>
      <c r="U242">
        <f>N(U241)+$T242</f>
        <v>9</v>
      </c>
      <c r="V242">
        <f>IF(AND($L242=1,AND(对接源_01水果!$X242="自备筐",N(对接源_01水果!$V242)&lt;&gt;0)),1,0)</f>
        <v>0</v>
      </c>
      <c r="W242">
        <f>N(W241)+$V242</f>
        <v>8</v>
      </c>
      <c r="X242">
        <f>IF(AND($L242=1,AND(对接源_01水果!$X242="自备筐",N(对接源_01水果!$T242)&lt;&gt;0)),1,0)</f>
        <v>0</v>
      </c>
      <c r="Y242">
        <f>N(Y241)+$X242</f>
        <v>0</v>
      </c>
      <c r="Z242">
        <f>IF(AND($M242=1,对接源_01水果!$D242="原料入库"),1,0)</f>
        <v>0</v>
      </c>
      <c r="AA242">
        <f>N(AA241)+$Z242</f>
        <v>18</v>
      </c>
      <c r="AB242">
        <f>IF(AND($M242=1,LEFT(对接源_01水果!$D242,4)="原料出库"),1,0)</f>
        <v>0</v>
      </c>
      <c r="AC242">
        <f>N(AC241)+$AB242</f>
        <v>0</v>
      </c>
      <c r="AD242">
        <f>IF(AND($M242=1,LEFT(对接源_01水果!$D242,4)="成品出库"),1,0)</f>
        <v>0</v>
      </c>
      <c r="AE242">
        <f>N(AE241)+$AD242</f>
        <v>0</v>
      </c>
      <c r="AF242">
        <f>IF(AND($N242=1,AND(LEFT(对接源_01水果!$D242,4)="包装物料",N(对接源_01水果!$K242)&lt;&gt;0)),1,0)</f>
        <v>0</v>
      </c>
      <c r="AG242">
        <f>N(AG241)+$AF242</f>
        <v>0</v>
      </c>
      <c r="AH242">
        <f>IF(AND($N242=1,AND(对接源_01水果!$D242="周转筐－销售出库",N(对接源_01水果!$K242)&lt;&gt;0)),1,0)</f>
        <v>0</v>
      </c>
      <c r="AI242">
        <f>N(AI241)+$AH242</f>
        <v>0</v>
      </c>
      <c r="AJ242" s="7" t="n"/>
      <c r="AL242">
        <f>IF(OR($AL$1="",对接源_01水果!$Y242="",对接源_01水果!$Y242&lt;&gt;$AL$1,对接源_01水果!$B242="",N(对接源_01水果!$AJ242)&lt;=0),0,IF(OR(N(对接源_01水果!$B242)&lt;$AL$2,N(对接源_01水果!$B242)&gt;$AL$3),0,1))</f>
        <v>0</v>
      </c>
      <c r="AM242">
        <f>N(AM241)+$AL242</f>
        <v>0</v>
      </c>
      <c r="AN242">
        <f>IF(对接源_01水果!$AC242="","",对接源_01水果!$AC242)</f>
      </c>
      <c r="AO242">
        <f>IF(AN242="",0,IF(MATCH(AN242,$AN$4:$AN$1203,0)=ROW()-3,1,0))</f>
        <v>0</v>
      </c>
      <c r="AP242">
        <f>N(AP241)+$AO242</f>
        <v>0</v>
      </c>
      <c r="AR242">
        <f>IF(OR($AF242=1,$AH242=1),1,0)</f>
        <v>0</v>
      </c>
      <c r="AS242">
        <f>N(AS241)+$AR242</f>
        <v>0</v>
      </c>
    </row>
    <row r="243" ht="14.25" customHeight="1" s="127">
      <c r="A243" t="str">
        <f>IF(对接源_01水果!$C243="","",对接源_01水果!$C243)</f>
        <v>马锦祥</v>
      </c>
      <c r="B243">
        <f>IF(A243="",0,IF(MATCH(A243,$A$4:$A$2403,0)=ROW()-3,1,0))</f>
        <v>0</v>
      </c>
      <c r="C243">
        <f>N(C242)+B243</f>
        <v>13</v>
      </c>
      <c r="E243">
        <f>IFERROR(INDEX($A$4:$A$2403,MATCH(ROW()-3,$C$4:$C$2403,0)),"")</f>
      </c>
      <c r="K243">
        <f>IF(OR($K$1="",对接源_01水果!$C243="",对接源_01水果!$C243&lt;&gt;$K$1,对接源_01水果!$B243=""),0,IF(OR(N(对接源_01水果!$B243)&lt;$K$2,N(对接源_01水果!$B243)&gt;$K$3),0,1))</f>
        <v>0</v>
      </c>
      <c r="L243">
        <f>IF(OR($L$1="",对接源_01水果!$C243="",对接源_01水果!$C243&lt;&gt;$L$1,对接源_01水果!$B243=""),0,IF(OR(N(对接源_01水果!$B243)&lt;$L$2,N(对接源_01水果!$B243)&gt;$L$3),0,1))</f>
        <v>0</v>
      </c>
      <c r="M243">
        <f>IF(OR($M$1="",对接源_01水果!$C243="",对接源_01水果!$C243&lt;&gt;$M$1,对接源_01水果!$B243=""),0,IF(OR(N(对接源_01水果!$B243)&lt;$M$2,N(对接源_01水果!$B243)&gt;$M$3),0,1))</f>
        <v>0</v>
      </c>
      <c r="N243">
        <f>IF(OR($N$1="",对接源_01水果!$C243="",对接源_01水果!$C243&lt;&gt;$N$1,对接源_01水果!$B243=""),0,IF(OR(N(对接源_01水果!$B243)&lt;$N$2,N(对接源_01水果!$B243)&gt;$N$3),0,1))</f>
        <v>0</v>
      </c>
      <c r="P243">
        <f>IF(AND($K243=1,AND(对接源_01水果!$X243="公司筐",N(对接源_01水果!$T243)&lt;&gt;0)),1,0)</f>
        <v>0</v>
      </c>
      <c r="Q243">
        <f>N(Q242)+$P243</f>
        <v>0</v>
      </c>
      <c r="R243">
        <f>IF(AND($K243=1,AND(对接源_01水果!$X243="公司筐",N(对接源_01水果!$U243)&lt;&gt;0)),1,0)</f>
        <v>0</v>
      </c>
      <c r="S243">
        <f>N(S242)+$R243</f>
        <v>0</v>
      </c>
      <c r="T243">
        <f>IF(AND($K243=1,AND(对接源_01水果!$X243="公司筐",N(对接源_01水果!$V243)&lt;&gt;0)),1,0)</f>
        <v>0</v>
      </c>
      <c r="U243">
        <f>N(U242)+$T243</f>
        <v>9</v>
      </c>
      <c r="V243">
        <f>IF(AND($L243=1,AND(对接源_01水果!$X243="自备筐",N(对接源_01水果!$V243)&lt;&gt;0)),1,0)</f>
        <v>0</v>
      </c>
      <c r="W243">
        <f>N(W242)+$V243</f>
        <v>8</v>
      </c>
      <c r="X243">
        <f>IF(AND($L243=1,AND(对接源_01水果!$X243="自备筐",N(对接源_01水果!$T243)&lt;&gt;0)),1,0)</f>
        <v>0</v>
      </c>
      <c r="Y243">
        <f>N(Y242)+$X243</f>
        <v>0</v>
      </c>
      <c r="Z243">
        <f>IF(AND($M243=1,对接源_01水果!$D243="原料入库"),1,0)</f>
        <v>0</v>
      </c>
      <c r="AA243">
        <f>N(AA242)+$Z243</f>
        <v>18</v>
      </c>
      <c r="AB243">
        <f>IF(AND($M243=1,LEFT(对接源_01水果!$D243,4)="原料出库"),1,0)</f>
        <v>0</v>
      </c>
      <c r="AC243">
        <f>N(AC242)+$AB243</f>
        <v>0</v>
      </c>
      <c r="AD243">
        <f>IF(AND($M243=1,LEFT(对接源_01水果!$D243,4)="成品出库"),1,0)</f>
        <v>0</v>
      </c>
      <c r="AE243">
        <f>N(AE242)+$AD243</f>
        <v>0</v>
      </c>
      <c r="AF243">
        <f>IF(AND($N243=1,AND(LEFT(对接源_01水果!$D243,4)="包装物料",N(对接源_01水果!$K243)&lt;&gt;0)),1,0)</f>
        <v>0</v>
      </c>
      <c r="AG243">
        <f>N(AG242)+$AF243</f>
        <v>0</v>
      </c>
      <c r="AH243">
        <f>IF(AND($N243=1,AND(对接源_01水果!$D243="周转筐－销售出库",N(对接源_01水果!$K243)&lt;&gt;0)),1,0)</f>
        <v>0</v>
      </c>
      <c r="AI243">
        <f>N(AI242)+$AH243</f>
        <v>0</v>
      </c>
      <c r="AJ243" s="7" t="n"/>
      <c r="AL243">
        <f>IF(OR($AL$1="",对接源_01水果!$Y243="",对接源_01水果!$Y243&lt;&gt;$AL$1,对接源_01水果!$B243="",N(对接源_01水果!$AJ243)&lt;=0),0,IF(OR(N(对接源_01水果!$B243)&lt;$AL$2,N(对接源_01水果!$B243)&gt;$AL$3),0,1))</f>
        <v>0</v>
      </c>
      <c r="AM243">
        <f>N(AM242)+$AL243</f>
        <v>0</v>
      </c>
      <c r="AN243">
        <f>IF(对接源_01水果!$AC243="","",对接源_01水果!$AC243)</f>
      </c>
      <c r="AO243">
        <f>IF(AN243="",0,IF(MATCH(AN243,$AN$4:$AN$1203,0)=ROW()-3,1,0))</f>
        <v>0</v>
      </c>
      <c r="AP243">
        <f>N(AP242)+$AO243</f>
        <v>0</v>
      </c>
      <c r="AR243">
        <f>IF(OR($AF243=1,$AH243=1),1,0)</f>
        <v>0</v>
      </c>
      <c r="AS243">
        <f>N(AS242)+$AR243</f>
        <v>0</v>
      </c>
    </row>
    <row r="244" ht="14.25" customHeight="1" s="127">
      <c r="A244" t="str">
        <f>IF(对接源_01水果!$C244="","",对接源_01水果!$C244)</f>
        <v>马锦祥</v>
      </c>
      <c r="B244">
        <f>IF(A244="",0,IF(MATCH(A244,$A$4:$A$2403,0)=ROW()-3,1,0))</f>
        <v>0</v>
      </c>
      <c r="C244">
        <f>N(C243)+B244</f>
        <v>13</v>
      </c>
      <c r="E244">
        <f>IFERROR(INDEX($A$4:$A$2403,MATCH(ROW()-3,$C$4:$C$2403,0)),"")</f>
      </c>
      <c r="K244">
        <f>IF(OR($K$1="",对接源_01水果!$C244="",对接源_01水果!$C244&lt;&gt;$K$1,对接源_01水果!$B244=""),0,IF(OR(N(对接源_01水果!$B244)&lt;$K$2,N(对接源_01水果!$B244)&gt;$K$3),0,1))</f>
        <v>0</v>
      </c>
      <c r="L244">
        <f>IF(OR($L$1="",对接源_01水果!$C244="",对接源_01水果!$C244&lt;&gt;$L$1,对接源_01水果!$B244=""),0,IF(OR(N(对接源_01水果!$B244)&lt;$L$2,N(对接源_01水果!$B244)&gt;$L$3),0,1))</f>
        <v>0</v>
      </c>
      <c r="M244">
        <f>IF(OR($M$1="",对接源_01水果!$C244="",对接源_01水果!$C244&lt;&gt;$M$1,对接源_01水果!$B244=""),0,IF(OR(N(对接源_01水果!$B244)&lt;$M$2,N(对接源_01水果!$B244)&gt;$M$3),0,1))</f>
        <v>0</v>
      </c>
      <c r="N244">
        <f>IF(OR($N$1="",对接源_01水果!$C244="",对接源_01水果!$C244&lt;&gt;$N$1,对接源_01水果!$B244=""),0,IF(OR(N(对接源_01水果!$B244)&lt;$N$2,N(对接源_01水果!$B244)&gt;$N$3),0,1))</f>
        <v>0</v>
      </c>
      <c r="P244">
        <f>IF(AND($K244=1,AND(对接源_01水果!$X244="公司筐",N(对接源_01水果!$T244)&lt;&gt;0)),1,0)</f>
        <v>0</v>
      </c>
      <c r="Q244">
        <f>N(Q243)+$P244</f>
        <v>0</v>
      </c>
      <c r="R244">
        <f>IF(AND($K244=1,AND(对接源_01水果!$X244="公司筐",N(对接源_01水果!$U244)&lt;&gt;0)),1,0)</f>
        <v>0</v>
      </c>
      <c r="S244">
        <f>N(S243)+$R244</f>
        <v>0</v>
      </c>
      <c r="T244">
        <f>IF(AND($K244=1,AND(对接源_01水果!$X244="公司筐",N(对接源_01水果!$V244)&lt;&gt;0)),1,0)</f>
        <v>0</v>
      </c>
      <c r="U244">
        <f>N(U243)+$T244</f>
        <v>9</v>
      </c>
      <c r="V244">
        <f>IF(AND($L244=1,AND(对接源_01水果!$X244="自备筐",N(对接源_01水果!$V244)&lt;&gt;0)),1,0)</f>
        <v>0</v>
      </c>
      <c r="W244">
        <f>N(W243)+$V244</f>
        <v>8</v>
      </c>
      <c r="X244">
        <f>IF(AND($L244=1,AND(对接源_01水果!$X244="自备筐",N(对接源_01水果!$T244)&lt;&gt;0)),1,0)</f>
        <v>0</v>
      </c>
      <c r="Y244">
        <f>N(Y243)+$X244</f>
        <v>0</v>
      </c>
      <c r="Z244">
        <f>IF(AND($M244=1,对接源_01水果!$D244="原料入库"),1,0)</f>
        <v>0</v>
      </c>
      <c r="AA244">
        <f>N(AA243)+$Z244</f>
        <v>18</v>
      </c>
      <c r="AB244">
        <f>IF(AND($M244=1,LEFT(对接源_01水果!$D244,4)="原料出库"),1,0)</f>
        <v>0</v>
      </c>
      <c r="AC244">
        <f>N(AC243)+$AB244</f>
        <v>0</v>
      </c>
      <c r="AD244">
        <f>IF(AND($M244=1,LEFT(对接源_01水果!$D244,4)="成品出库"),1,0)</f>
        <v>0</v>
      </c>
      <c r="AE244">
        <f>N(AE243)+$AD244</f>
        <v>0</v>
      </c>
      <c r="AF244">
        <f>IF(AND($N244=1,AND(LEFT(对接源_01水果!$D244,4)="包装物料",N(对接源_01水果!$K244)&lt;&gt;0)),1,0)</f>
        <v>0</v>
      </c>
      <c r="AG244">
        <f>N(AG243)+$AF244</f>
        <v>0</v>
      </c>
      <c r="AH244">
        <f>IF(AND($N244=1,AND(对接源_01水果!$D244="周转筐－销售出库",N(对接源_01水果!$K244)&lt;&gt;0)),1,0)</f>
        <v>0</v>
      </c>
      <c r="AI244">
        <f>N(AI243)+$AH244</f>
        <v>0</v>
      </c>
      <c r="AJ244" s="7" t="n"/>
      <c r="AL244">
        <f>IF(OR($AL$1="",对接源_01水果!$Y244="",对接源_01水果!$Y244&lt;&gt;$AL$1,对接源_01水果!$B244="",N(对接源_01水果!$AJ244)&lt;=0),0,IF(OR(N(对接源_01水果!$B244)&lt;$AL$2,N(对接源_01水果!$B244)&gt;$AL$3),0,1))</f>
        <v>0</v>
      </c>
      <c r="AM244">
        <f>N(AM243)+$AL244</f>
        <v>0</v>
      </c>
      <c r="AN244">
        <f>IF(对接源_01水果!$AC244="","",对接源_01水果!$AC244)</f>
      </c>
      <c r="AO244">
        <f>IF(AN244="",0,IF(MATCH(AN244,$AN$4:$AN$1203,0)=ROW()-3,1,0))</f>
        <v>0</v>
      </c>
      <c r="AP244">
        <f>N(AP243)+$AO244</f>
        <v>0</v>
      </c>
      <c r="AR244">
        <f>IF(OR($AF244=1,$AH244=1),1,0)</f>
        <v>0</v>
      </c>
      <c r="AS244">
        <f>N(AS243)+$AR244</f>
        <v>0</v>
      </c>
    </row>
    <row r="245" ht="14.25" customHeight="1" s="127">
      <c r="A245" t="str">
        <f>IF(对接源_01水果!$C245="","",对接源_01水果!$C245)</f>
        <v>努尔敦</v>
      </c>
      <c r="B245">
        <f>IF(A245="",0,IF(MATCH(A245,$A$4:$A$2403,0)=ROW()-3,1,0))</f>
        <v>0</v>
      </c>
      <c r="C245">
        <f>N(C244)+B245</f>
        <v>13</v>
      </c>
      <c r="E245">
        <f>IFERROR(INDEX($A$4:$A$2403,MATCH(ROW()-3,$C$4:$C$2403,0)),"")</f>
      </c>
      <c r="K245">
        <f>IF(OR($K$1="",对接源_01水果!$C245="",对接源_01水果!$C245&lt;&gt;$K$1,对接源_01水果!$B245=""),0,IF(OR(N(对接源_01水果!$B245)&lt;$K$2,N(对接源_01水果!$B245)&gt;$K$3),0,1))</f>
        <v>0</v>
      </c>
      <c r="L245">
        <f>IF(OR($L$1="",对接源_01水果!$C245="",对接源_01水果!$C245&lt;&gt;$L$1,对接源_01水果!$B245=""),0,IF(OR(N(对接源_01水果!$B245)&lt;$L$2,N(对接源_01水果!$B245)&gt;$L$3),0,1))</f>
        <v>0</v>
      </c>
      <c r="M245">
        <f>IF(OR($M$1="",对接源_01水果!$C245="",对接源_01水果!$C245&lt;&gt;$M$1,对接源_01水果!$B245=""),0,IF(OR(N(对接源_01水果!$B245)&lt;$M$2,N(对接源_01水果!$B245)&gt;$M$3),0,1))</f>
        <v>0</v>
      </c>
      <c r="N245">
        <f>IF(OR($N$1="",对接源_01水果!$C245="",对接源_01水果!$C245&lt;&gt;$N$1,对接源_01水果!$B245=""),0,IF(OR(N(对接源_01水果!$B245)&lt;$N$2,N(对接源_01水果!$B245)&gt;$N$3),0,1))</f>
        <v>0</v>
      </c>
      <c r="P245">
        <f>IF(AND($K245=1,AND(对接源_01水果!$X245="公司筐",N(对接源_01水果!$T245)&lt;&gt;0)),1,0)</f>
        <v>0</v>
      </c>
      <c r="Q245">
        <f>N(Q244)+$P245</f>
        <v>0</v>
      </c>
      <c r="R245">
        <f>IF(AND($K245=1,AND(对接源_01水果!$X245="公司筐",N(对接源_01水果!$U245)&lt;&gt;0)),1,0)</f>
        <v>0</v>
      </c>
      <c r="S245">
        <f>N(S244)+$R245</f>
        <v>0</v>
      </c>
      <c r="T245">
        <f>IF(AND($K245=1,AND(对接源_01水果!$X245="公司筐",N(对接源_01水果!$V245)&lt;&gt;0)),1,0)</f>
        <v>0</v>
      </c>
      <c r="U245">
        <f>N(U244)+$T245</f>
        <v>9</v>
      </c>
      <c r="V245">
        <f>IF(AND($L245=1,AND(对接源_01水果!$X245="自备筐",N(对接源_01水果!$V245)&lt;&gt;0)),1,0)</f>
        <v>0</v>
      </c>
      <c r="W245">
        <f>N(W244)+$V245</f>
        <v>8</v>
      </c>
      <c r="X245">
        <f>IF(AND($L245=1,AND(对接源_01水果!$X245="自备筐",N(对接源_01水果!$T245)&lt;&gt;0)),1,0)</f>
        <v>0</v>
      </c>
      <c r="Y245">
        <f>N(Y244)+$X245</f>
        <v>0</v>
      </c>
      <c r="Z245">
        <f>IF(AND($M245=1,对接源_01水果!$D245="原料入库"),1,0)</f>
        <v>0</v>
      </c>
      <c r="AA245">
        <f>N(AA244)+$Z245</f>
        <v>18</v>
      </c>
      <c r="AB245">
        <f>IF(AND($M245=1,LEFT(对接源_01水果!$D245,4)="原料出库"),1,0)</f>
        <v>0</v>
      </c>
      <c r="AC245">
        <f>N(AC244)+$AB245</f>
        <v>0</v>
      </c>
      <c r="AD245">
        <f>IF(AND($M245=1,LEFT(对接源_01水果!$D245,4)="成品出库"),1,0)</f>
        <v>0</v>
      </c>
      <c r="AE245">
        <f>N(AE244)+$AD245</f>
        <v>0</v>
      </c>
      <c r="AF245">
        <f>IF(AND($N245=1,AND(LEFT(对接源_01水果!$D245,4)="包装物料",N(对接源_01水果!$K245)&lt;&gt;0)),1,0)</f>
        <v>0</v>
      </c>
      <c r="AG245">
        <f>N(AG244)+$AF245</f>
        <v>0</v>
      </c>
      <c r="AH245">
        <f>IF(AND($N245=1,AND(对接源_01水果!$D245="周转筐－销售出库",N(对接源_01水果!$K245)&lt;&gt;0)),1,0)</f>
        <v>0</v>
      </c>
      <c r="AI245">
        <f>N(AI244)+$AH245</f>
        <v>0</v>
      </c>
      <c r="AJ245" s="7" t="n"/>
      <c r="AL245">
        <f>IF(OR($AL$1="",对接源_01水果!$Y245="",对接源_01水果!$Y245&lt;&gt;$AL$1,对接源_01水果!$B245="",N(对接源_01水果!$AJ245)&lt;=0),0,IF(OR(N(对接源_01水果!$B245)&lt;$AL$2,N(对接源_01水果!$B245)&gt;$AL$3),0,1))</f>
        <v>0</v>
      </c>
      <c r="AM245">
        <f>N(AM244)+$AL245</f>
        <v>0</v>
      </c>
      <c r="AN245">
        <f>IF(对接源_01水果!$AC245="","",对接源_01水果!$AC245)</f>
      </c>
      <c r="AO245">
        <f>IF(AN245="",0,IF(MATCH(AN245,$AN$4:$AN$1203,0)=ROW()-3,1,0))</f>
        <v>0</v>
      </c>
      <c r="AP245">
        <f>N(AP244)+$AO245</f>
        <v>0</v>
      </c>
      <c r="AR245">
        <f>IF(OR($AF245=1,$AH245=1),1,0)</f>
        <v>0</v>
      </c>
      <c r="AS245">
        <f>N(AS244)+$AR245</f>
        <v>0</v>
      </c>
    </row>
    <row r="246" ht="14.25" customHeight="1" s="127">
      <c r="A246" t="str">
        <f>IF(对接源_01水果!$C246="","",对接源_01水果!$C246)</f>
        <v>努尔敦</v>
      </c>
      <c r="B246">
        <f>IF(A246="",0,IF(MATCH(A246,$A$4:$A$2403,0)=ROW()-3,1,0))</f>
        <v>0</v>
      </c>
      <c r="C246">
        <f>N(C245)+B246</f>
        <v>13</v>
      </c>
      <c r="E246">
        <f>IFERROR(INDEX($A$4:$A$2403,MATCH(ROW()-3,$C$4:$C$2403,0)),"")</f>
      </c>
      <c r="K246">
        <f>IF(OR($K$1="",对接源_01水果!$C246="",对接源_01水果!$C246&lt;&gt;$K$1,对接源_01水果!$B246=""),0,IF(OR(N(对接源_01水果!$B246)&lt;$K$2,N(对接源_01水果!$B246)&gt;$K$3),0,1))</f>
        <v>0</v>
      </c>
      <c r="L246">
        <f>IF(OR($L$1="",对接源_01水果!$C246="",对接源_01水果!$C246&lt;&gt;$L$1,对接源_01水果!$B246=""),0,IF(OR(N(对接源_01水果!$B246)&lt;$L$2,N(对接源_01水果!$B246)&gt;$L$3),0,1))</f>
        <v>0</v>
      </c>
      <c r="M246">
        <f>IF(OR($M$1="",对接源_01水果!$C246="",对接源_01水果!$C246&lt;&gt;$M$1,对接源_01水果!$B246=""),0,IF(OR(N(对接源_01水果!$B246)&lt;$M$2,N(对接源_01水果!$B246)&gt;$M$3),0,1))</f>
        <v>0</v>
      </c>
      <c r="N246">
        <f>IF(OR($N$1="",对接源_01水果!$C246="",对接源_01水果!$C246&lt;&gt;$N$1,对接源_01水果!$B246=""),0,IF(OR(N(对接源_01水果!$B246)&lt;$N$2,N(对接源_01水果!$B246)&gt;$N$3),0,1))</f>
        <v>0</v>
      </c>
      <c r="P246">
        <f>IF(AND($K246=1,AND(对接源_01水果!$X246="公司筐",N(对接源_01水果!$T246)&lt;&gt;0)),1,0)</f>
        <v>0</v>
      </c>
      <c r="Q246">
        <f>N(Q245)+$P246</f>
        <v>0</v>
      </c>
      <c r="R246">
        <f>IF(AND($K246=1,AND(对接源_01水果!$X246="公司筐",N(对接源_01水果!$U246)&lt;&gt;0)),1,0)</f>
        <v>0</v>
      </c>
      <c r="S246">
        <f>N(S245)+$R246</f>
        <v>0</v>
      </c>
      <c r="T246">
        <f>IF(AND($K246=1,AND(对接源_01水果!$X246="公司筐",N(对接源_01水果!$V246)&lt;&gt;0)),1,0)</f>
        <v>0</v>
      </c>
      <c r="U246">
        <f>N(U245)+$T246</f>
        <v>9</v>
      </c>
      <c r="V246">
        <f>IF(AND($L246=1,AND(对接源_01水果!$X246="自备筐",N(对接源_01水果!$V246)&lt;&gt;0)),1,0)</f>
        <v>0</v>
      </c>
      <c r="W246">
        <f>N(W245)+$V246</f>
        <v>8</v>
      </c>
      <c r="X246">
        <f>IF(AND($L246=1,AND(对接源_01水果!$X246="自备筐",N(对接源_01水果!$T246)&lt;&gt;0)),1,0)</f>
        <v>0</v>
      </c>
      <c r="Y246">
        <f>N(Y245)+$X246</f>
        <v>0</v>
      </c>
      <c r="Z246">
        <f>IF(AND($M246=1,对接源_01水果!$D246="原料入库"),1,0)</f>
        <v>0</v>
      </c>
      <c r="AA246">
        <f>N(AA245)+$Z246</f>
        <v>18</v>
      </c>
      <c r="AB246">
        <f>IF(AND($M246=1,LEFT(对接源_01水果!$D246,4)="原料出库"),1,0)</f>
        <v>0</v>
      </c>
      <c r="AC246">
        <f>N(AC245)+$AB246</f>
        <v>0</v>
      </c>
      <c r="AD246">
        <f>IF(AND($M246=1,LEFT(对接源_01水果!$D246,4)="成品出库"),1,0)</f>
        <v>0</v>
      </c>
      <c r="AE246">
        <f>N(AE245)+$AD246</f>
        <v>0</v>
      </c>
      <c r="AF246">
        <f>IF(AND($N246=1,AND(LEFT(对接源_01水果!$D246,4)="包装物料",N(对接源_01水果!$K246)&lt;&gt;0)),1,0)</f>
        <v>0</v>
      </c>
      <c r="AG246">
        <f>N(AG245)+$AF246</f>
        <v>0</v>
      </c>
      <c r="AH246">
        <f>IF(AND($N246=1,AND(对接源_01水果!$D246="周转筐－销售出库",N(对接源_01水果!$K246)&lt;&gt;0)),1,0)</f>
        <v>0</v>
      </c>
      <c r="AI246">
        <f>N(AI245)+$AH246</f>
        <v>0</v>
      </c>
      <c r="AJ246" s="7" t="n"/>
      <c r="AL246">
        <f>IF(OR($AL$1="",对接源_01水果!$Y246="",对接源_01水果!$Y246&lt;&gt;$AL$1,对接源_01水果!$B246="",N(对接源_01水果!$AJ246)&lt;=0),0,IF(OR(N(对接源_01水果!$B246)&lt;$AL$2,N(对接源_01水果!$B246)&gt;$AL$3),0,1))</f>
        <v>0</v>
      </c>
      <c r="AM246">
        <f>N(AM245)+$AL246</f>
        <v>0</v>
      </c>
      <c r="AN246">
        <f>IF(对接源_01水果!$AC246="","",对接源_01水果!$AC246)</f>
      </c>
      <c r="AO246">
        <f>IF(AN246="",0,IF(MATCH(AN246,$AN$4:$AN$1203,0)=ROW()-3,1,0))</f>
        <v>0</v>
      </c>
      <c r="AP246">
        <f>N(AP245)+$AO246</f>
        <v>0</v>
      </c>
      <c r="AR246">
        <f>IF(OR($AF246=1,$AH246=1),1,0)</f>
        <v>0</v>
      </c>
      <c r="AS246">
        <f>N(AS245)+$AR246</f>
        <v>0</v>
      </c>
    </row>
    <row r="247" ht="14.25" customHeight="1" s="127">
      <c r="A247" t="str">
        <f>IF(对接源_01水果!$C247="","",对接源_01水果!$C247)</f>
        <v>努尔敦</v>
      </c>
      <c r="B247">
        <f>IF(A247="",0,IF(MATCH(A247,$A$4:$A$2403,0)=ROW()-3,1,0))</f>
        <v>0</v>
      </c>
      <c r="C247">
        <f>N(C246)+B247</f>
        <v>13</v>
      </c>
      <c r="E247">
        <f>IFERROR(INDEX($A$4:$A$2403,MATCH(ROW()-3,$C$4:$C$2403,0)),"")</f>
      </c>
      <c r="K247">
        <f>IF(OR($K$1="",对接源_01水果!$C247="",对接源_01水果!$C247&lt;&gt;$K$1,对接源_01水果!$B247=""),0,IF(OR(N(对接源_01水果!$B247)&lt;$K$2,N(对接源_01水果!$B247)&gt;$K$3),0,1))</f>
        <v>0</v>
      </c>
      <c r="L247">
        <f>IF(OR($L$1="",对接源_01水果!$C247="",对接源_01水果!$C247&lt;&gt;$L$1,对接源_01水果!$B247=""),0,IF(OR(N(对接源_01水果!$B247)&lt;$L$2,N(对接源_01水果!$B247)&gt;$L$3),0,1))</f>
        <v>0</v>
      </c>
      <c r="M247">
        <f>IF(OR($M$1="",对接源_01水果!$C247="",对接源_01水果!$C247&lt;&gt;$M$1,对接源_01水果!$B247=""),0,IF(OR(N(对接源_01水果!$B247)&lt;$M$2,N(对接源_01水果!$B247)&gt;$M$3),0,1))</f>
        <v>0</v>
      </c>
      <c r="N247">
        <f>IF(OR($N$1="",对接源_01水果!$C247="",对接源_01水果!$C247&lt;&gt;$N$1,对接源_01水果!$B247=""),0,IF(OR(N(对接源_01水果!$B247)&lt;$N$2,N(对接源_01水果!$B247)&gt;$N$3),0,1))</f>
        <v>0</v>
      </c>
      <c r="P247">
        <f>IF(AND($K247=1,AND(对接源_01水果!$X247="公司筐",N(对接源_01水果!$T247)&lt;&gt;0)),1,0)</f>
        <v>0</v>
      </c>
      <c r="Q247">
        <f>N(Q246)+$P247</f>
        <v>0</v>
      </c>
      <c r="R247">
        <f>IF(AND($K247=1,AND(对接源_01水果!$X247="公司筐",N(对接源_01水果!$U247)&lt;&gt;0)),1,0)</f>
        <v>0</v>
      </c>
      <c r="S247">
        <f>N(S246)+$R247</f>
        <v>0</v>
      </c>
      <c r="T247">
        <f>IF(AND($K247=1,AND(对接源_01水果!$X247="公司筐",N(对接源_01水果!$V247)&lt;&gt;0)),1,0)</f>
        <v>0</v>
      </c>
      <c r="U247">
        <f>N(U246)+$T247</f>
        <v>9</v>
      </c>
      <c r="V247">
        <f>IF(AND($L247=1,AND(对接源_01水果!$X247="自备筐",N(对接源_01水果!$V247)&lt;&gt;0)),1,0)</f>
        <v>0</v>
      </c>
      <c r="W247">
        <f>N(W246)+$V247</f>
        <v>8</v>
      </c>
      <c r="X247">
        <f>IF(AND($L247=1,AND(对接源_01水果!$X247="自备筐",N(对接源_01水果!$T247)&lt;&gt;0)),1,0)</f>
        <v>0</v>
      </c>
      <c r="Y247">
        <f>N(Y246)+$X247</f>
        <v>0</v>
      </c>
      <c r="Z247">
        <f>IF(AND($M247=1,对接源_01水果!$D247="原料入库"),1,0)</f>
        <v>0</v>
      </c>
      <c r="AA247">
        <f>N(AA246)+$Z247</f>
        <v>18</v>
      </c>
      <c r="AB247">
        <f>IF(AND($M247=1,LEFT(对接源_01水果!$D247,4)="原料出库"),1,0)</f>
        <v>0</v>
      </c>
      <c r="AC247">
        <f>N(AC246)+$AB247</f>
        <v>0</v>
      </c>
      <c r="AD247">
        <f>IF(AND($M247=1,LEFT(对接源_01水果!$D247,4)="成品出库"),1,0)</f>
        <v>0</v>
      </c>
      <c r="AE247">
        <f>N(AE246)+$AD247</f>
        <v>0</v>
      </c>
      <c r="AF247">
        <f>IF(AND($N247=1,AND(LEFT(对接源_01水果!$D247,4)="包装物料",N(对接源_01水果!$K247)&lt;&gt;0)),1,0)</f>
        <v>0</v>
      </c>
      <c r="AG247">
        <f>N(AG246)+$AF247</f>
        <v>0</v>
      </c>
      <c r="AH247">
        <f>IF(AND($N247=1,AND(对接源_01水果!$D247="周转筐－销售出库",N(对接源_01水果!$K247)&lt;&gt;0)),1,0)</f>
        <v>0</v>
      </c>
      <c r="AI247">
        <f>N(AI246)+$AH247</f>
        <v>0</v>
      </c>
      <c r="AJ247" s="7" t="n"/>
      <c r="AL247">
        <f>IF(OR($AL$1="",对接源_01水果!$Y247="",对接源_01水果!$Y247&lt;&gt;$AL$1,对接源_01水果!$B247="",N(对接源_01水果!$AJ247)&lt;=0),0,IF(OR(N(对接源_01水果!$B247)&lt;$AL$2,N(对接源_01水果!$B247)&gt;$AL$3),0,1))</f>
        <v>0</v>
      </c>
      <c r="AM247">
        <f>N(AM246)+$AL247</f>
        <v>0</v>
      </c>
      <c r="AN247">
        <f>IF(对接源_01水果!$AC247="","",对接源_01水果!$AC247)</f>
      </c>
      <c r="AO247">
        <f>IF(AN247="",0,IF(MATCH(AN247,$AN$4:$AN$1203,0)=ROW()-3,1,0))</f>
        <v>0</v>
      </c>
      <c r="AP247">
        <f>N(AP246)+$AO247</f>
        <v>0</v>
      </c>
      <c r="AR247">
        <f>IF(OR($AF247=1,$AH247=1),1,0)</f>
        <v>0</v>
      </c>
      <c r="AS247">
        <f>N(AS246)+$AR247</f>
        <v>0</v>
      </c>
    </row>
    <row r="248" ht="14.25" customHeight="1" s="127">
      <c r="A248" t="str">
        <f>IF(对接源_01水果!$C248="","",对接源_01水果!$C248)</f>
        <v>王照雪</v>
      </c>
      <c r="B248">
        <f>IF(A248="",0,IF(MATCH(A248,$A$4:$A$2403,0)=ROW()-3,1,0))</f>
        <v>0</v>
      </c>
      <c r="C248">
        <f>N(C247)+B248</f>
        <v>13</v>
      </c>
      <c r="E248">
        <f>IFERROR(INDEX($A$4:$A$2403,MATCH(ROW()-3,$C$4:$C$2403,0)),"")</f>
      </c>
      <c r="K248">
        <f>IF(OR($K$1="",对接源_01水果!$C248="",对接源_01水果!$C248&lt;&gt;$K$1,对接源_01水果!$B248=""),0,IF(OR(N(对接源_01水果!$B248)&lt;$K$2,N(对接源_01水果!$B248)&gt;$K$3),0,1))</f>
        <v>0</v>
      </c>
      <c r="L248">
        <f>IF(OR($L$1="",对接源_01水果!$C248="",对接源_01水果!$C248&lt;&gt;$L$1,对接源_01水果!$B248=""),0,IF(OR(N(对接源_01水果!$B248)&lt;$L$2,N(对接源_01水果!$B248)&gt;$L$3),0,1))</f>
        <v>0</v>
      </c>
      <c r="M248">
        <f>IF(OR($M$1="",对接源_01水果!$C248="",对接源_01水果!$C248&lt;&gt;$M$1,对接源_01水果!$B248=""),0,IF(OR(N(对接源_01水果!$B248)&lt;$M$2,N(对接源_01水果!$B248)&gt;$M$3),0,1))</f>
        <v>0</v>
      </c>
      <c r="N248">
        <f>IF(OR($N$1="",对接源_01水果!$C248="",对接源_01水果!$C248&lt;&gt;$N$1,对接源_01水果!$B248=""),0,IF(OR(N(对接源_01水果!$B248)&lt;$N$2,N(对接源_01水果!$B248)&gt;$N$3),0,1))</f>
        <v>0</v>
      </c>
      <c r="P248">
        <f>IF(AND($K248=1,AND(对接源_01水果!$X248="公司筐",N(对接源_01水果!$T248)&lt;&gt;0)),1,0)</f>
        <v>0</v>
      </c>
      <c r="Q248">
        <f>N(Q247)+$P248</f>
        <v>0</v>
      </c>
      <c r="R248">
        <f>IF(AND($K248=1,AND(对接源_01水果!$X248="公司筐",N(对接源_01水果!$U248)&lt;&gt;0)),1,0)</f>
        <v>0</v>
      </c>
      <c r="S248">
        <f>N(S247)+$R248</f>
        <v>0</v>
      </c>
      <c r="T248">
        <f>IF(AND($K248=1,AND(对接源_01水果!$X248="公司筐",N(对接源_01水果!$V248)&lt;&gt;0)),1,0)</f>
        <v>0</v>
      </c>
      <c r="U248">
        <f>N(U247)+$T248</f>
        <v>9</v>
      </c>
      <c r="V248">
        <f>IF(AND($L248=1,AND(对接源_01水果!$X248="自备筐",N(对接源_01水果!$V248)&lt;&gt;0)),1,0)</f>
        <v>0</v>
      </c>
      <c r="W248">
        <f>N(W247)+$V248</f>
        <v>8</v>
      </c>
      <c r="X248">
        <f>IF(AND($L248=1,AND(对接源_01水果!$X248="自备筐",N(对接源_01水果!$T248)&lt;&gt;0)),1,0)</f>
        <v>0</v>
      </c>
      <c r="Y248">
        <f>N(Y247)+$X248</f>
        <v>0</v>
      </c>
      <c r="Z248">
        <f>IF(AND($M248=1,对接源_01水果!$D248="原料入库"),1,0)</f>
        <v>0</v>
      </c>
      <c r="AA248">
        <f>N(AA247)+$Z248</f>
        <v>18</v>
      </c>
      <c r="AB248">
        <f>IF(AND($M248=1,LEFT(对接源_01水果!$D248,4)="原料出库"),1,0)</f>
        <v>0</v>
      </c>
      <c r="AC248">
        <f>N(AC247)+$AB248</f>
        <v>0</v>
      </c>
      <c r="AD248">
        <f>IF(AND($M248=1,LEFT(对接源_01水果!$D248,4)="成品出库"),1,0)</f>
        <v>0</v>
      </c>
      <c r="AE248">
        <f>N(AE247)+$AD248</f>
        <v>0</v>
      </c>
      <c r="AF248">
        <f>IF(AND($N248=1,AND(LEFT(对接源_01水果!$D248,4)="包装物料",N(对接源_01水果!$K248)&lt;&gt;0)),1,0)</f>
        <v>0</v>
      </c>
      <c r="AG248">
        <f>N(AG247)+$AF248</f>
        <v>0</v>
      </c>
      <c r="AH248">
        <f>IF(AND($N248=1,AND(对接源_01水果!$D248="周转筐－销售出库",N(对接源_01水果!$K248)&lt;&gt;0)),1,0)</f>
        <v>0</v>
      </c>
      <c r="AI248">
        <f>N(AI247)+$AH248</f>
        <v>0</v>
      </c>
      <c r="AJ248" s="7" t="n"/>
      <c r="AL248">
        <f>IF(OR($AL$1="",对接源_01水果!$Y248="",对接源_01水果!$Y248&lt;&gt;$AL$1,对接源_01水果!$B248="",N(对接源_01水果!$AJ248)&lt;=0),0,IF(OR(N(对接源_01水果!$B248)&lt;$AL$2,N(对接源_01水果!$B248)&gt;$AL$3),0,1))</f>
        <v>0</v>
      </c>
      <c r="AM248">
        <f>N(AM247)+$AL248</f>
        <v>0</v>
      </c>
      <c r="AN248">
        <f>IF(对接源_01水果!$AC248="","",对接源_01水果!$AC248)</f>
      </c>
      <c r="AO248">
        <f>IF(AN248="",0,IF(MATCH(AN248,$AN$4:$AN$1203,0)=ROW()-3,1,0))</f>
        <v>0</v>
      </c>
      <c r="AP248">
        <f>N(AP247)+$AO248</f>
        <v>0</v>
      </c>
      <c r="AR248">
        <f>IF(OR($AF248=1,$AH248=1),1,0)</f>
        <v>0</v>
      </c>
      <c r="AS248">
        <f>N(AS247)+$AR248</f>
        <v>0</v>
      </c>
    </row>
    <row r="249" ht="14.25" customHeight="1" s="127">
      <c r="A249" t="str">
        <f>IF(对接源_01水果!$C249="","",对接源_01水果!$C249)</f>
        <v>王照雪</v>
      </c>
      <c r="B249">
        <f>IF(A249="",0,IF(MATCH(A249,$A$4:$A$2403,0)=ROW()-3,1,0))</f>
        <v>0</v>
      </c>
      <c r="C249">
        <f>N(C248)+B249</f>
        <v>13</v>
      </c>
      <c r="E249">
        <f>IFERROR(INDEX($A$4:$A$2403,MATCH(ROW()-3,$C$4:$C$2403,0)),"")</f>
      </c>
      <c r="K249">
        <f>IF(OR($K$1="",对接源_01水果!$C249="",对接源_01水果!$C249&lt;&gt;$K$1,对接源_01水果!$B249=""),0,IF(OR(N(对接源_01水果!$B249)&lt;$K$2,N(对接源_01水果!$B249)&gt;$K$3),0,1))</f>
        <v>0</v>
      </c>
      <c r="L249">
        <f>IF(OR($L$1="",对接源_01水果!$C249="",对接源_01水果!$C249&lt;&gt;$L$1,对接源_01水果!$B249=""),0,IF(OR(N(对接源_01水果!$B249)&lt;$L$2,N(对接源_01水果!$B249)&gt;$L$3),0,1))</f>
        <v>0</v>
      </c>
      <c r="M249">
        <f>IF(OR($M$1="",对接源_01水果!$C249="",对接源_01水果!$C249&lt;&gt;$M$1,对接源_01水果!$B249=""),0,IF(OR(N(对接源_01水果!$B249)&lt;$M$2,N(对接源_01水果!$B249)&gt;$M$3),0,1))</f>
        <v>0</v>
      </c>
      <c r="N249">
        <f>IF(OR($N$1="",对接源_01水果!$C249="",对接源_01水果!$C249&lt;&gt;$N$1,对接源_01水果!$B249=""),0,IF(OR(N(对接源_01水果!$B249)&lt;$N$2,N(对接源_01水果!$B249)&gt;$N$3),0,1))</f>
        <v>0</v>
      </c>
      <c r="P249">
        <f>IF(AND($K249=1,AND(对接源_01水果!$X249="公司筐",N(对接源_01水果!$T249)&lt;&gt;0)),1,0)</f>
        <v>0</v>
      </c>
      <c r="Q249">
        <f>N(Q248)+$P249</f>
        <v>0</v>
      </c>
      <c r="R249">
        <f>IF(AND($K249=1,AND(对接源_01水果!$X249="公司筐",N(对接源_01水果!$U249)&lt;&gt;0)),1,0)</f>
        <v>0</v>
      </c>
      <c r="S249">
        <f>N(S248)+$R249</f>
        <v>0</v>
      </c>
      <c r="T249">
        <f>IF(AND($K249=1,AND(对接源_01水果!$X249="公司筐",N(对接源_01水果!$V249)&lt;&gt;0)),1,0)</f>
        <v>0</v>
      </c>
      <c r="U249">
        <f>N(U248)+$T249</f>
        <v>9</v>
      </c>
      <c r="V249">
        <f>IF(AND($L249=1,AND(对接源_01水果!$X249="自备筐",N(对接源_01水果!$V249)&lt;&gt;0)),1,0)</f>
        <v>0</v>
      </c>
      <c r="W249">
        <f>N(W248)+$V249</f>
        <v>8</v>
      </c>
      <c r="X249">
        <f>IF(AND($L249=1,AND(对接源_01水果!$X249="自备筐",N(对接源_01水果!$T249)&lt;&gt;0)),1,0)</f>
        <v>0</v>
      </c>
      <c r="Y249">
        <f>N(Y248)+$X249</f>
        <v>0</v>
      </c>
      <c r="Z249">
        <f>IF(AND($M249=1,对接源_01水果!$D249="原料入库"),1,0)</f>
        <v>0</v>
      </c>
      <c r="AA249">
        <f>N(AA248)+$Z249</f>
        <v>18</v>
      </c>
      <c r="AB249">
        <f>IF(AND($M249=1,LEFT(对接源_01水果!$D249,4)="原料出库"),1,0)</f>
        <v>0</v>
      </c>
      <c r="AC249">
        <f>N(AC248)+$AB249</f>
        <v>0</v>
      </c>
      <c r="AD249">
        <f>IF(AND($M249=1,LEFT(对接源_01水果!$D249,4)="成品出库"),1,0)</f>
        <v>0</v>
      </c>
      <c r="AE249">
        <f>N(AE248)+$AD249</f>
        <v>0</v>
      </c>
      <c r="AF249">
        <f>IF(AND($N249=1,AND(LEFT(对接源_01水果!$D249,4)="包装物料",N(对接源_01水果!$K249)&lt;&gt;0)),1,0)</f>
        <v>0</v>
      </c>
      <c r="AG249">
        <f>N(AG248)+$AF249</f>
        <v>0</v>
      </c>
      <c r="AH249">
        <f>IF(AND($N249=1,AND(对接源_01水果!$D249="周转筐－销售出库",N(对接源_01水果!$K249)&lt;&gt;0)),1,0)</f>
        <v>0</v>
      </c>
      <c r="AI249">
        <f>N(AI248)+$AH249</f>
        <v>0</v>
      </c>
      <c r="AJ249" s="7" t="n"/>
      <c r="AL249">
        <f>IF(OR($AL$1="",对接源_01水果!$Y249="",对接源_01水果!$Y249&lt;&gt;$AL$1,对接源_01水果!$B249="",N(对接源_01水果!$AJ249)&lt;=0),0,IF(OR(N(对接源_01水果!$B249)&lt;$AL$2,N(对接源_01水果!$B249)&gt;$AL$3),0,1))</f>
        <v>0</v>
      </c>
      <c r="AM249">
        <f>N(AM248)+$AL249</f>
        <v>0</v>
      </c>
      <c r="AN249">
        <f>IF(对接源_01水果!$AC249="","",对接源_01水果!$AC249)</f>
      </c>
      <c r="AO249">
        <f>IF(AN249="",0,IF(MATCH(AN249,$AN$4:$AN$1203,0)=ROW()-3,1,0))</f>
        <v>0</v>
      </c>
      <c r="AP249">
        <f>N(AP248)+$AO249</f>
        <v>0</v>
      </c>
      <c r="AR249">
        <f>IF(OR($AF249=1,$AH249=1),1,0)</f>
        <v>0</v>
      </c>
      <c r="AS249">
        <f>N(AS248)+$AR249</f>
        <v>0</v>
      </c>
    </row>
    <row r="250" ht="14.25" customHeight="1" s="127">
      <c r="A250" t="str">
        <f>IF(对接源_01水果!$C250="","",对接源_01水果!$C250)</f>
        <v>王照雪</v>
      </c>
      <c r="B250">
        <f>IF(A250="",0,IF(MATCH(A250,$A$4:$A$2403,0)=ROW()-3,1,0))</f>
        <v>0</v>
      </c>
      <c r="C250">
        <f>N(C249)+B250</f>
        <v>13</v>
      </c>
      <c r="E250">
        <f>IFERROR(INDEX($A$4:$A$2403,MATCH(ROW()-3,$C$4:$C$2403,0)),"")</f>
      </c>
      <c r="K250">
        <f>IF(OR($K$1="",对接源_01水果!$C250="",对接源_01水果!$C250&lt;&gt;$K$1,对接源_01水果!$B250=""),0,IF(OR(N(对接源_01水果!$B250)&lt;$K$2,N(对接源_01水果!$B250)&gt;$K$3),0,1))</f>
        <v>0</v>
      </c>
      <c r="L250">
        <f>IF(OR($L$1="",对接源_01水果!$C250="",对接源_01水果!$C250&lt;&gt;$L$1,对接源_01水果!$B250=""),0,IF(OR(N(对接源_01水果!$B250)&lt;$L$2,N(对接源_01水果!$B250)&gt;$L$3),0,1))</f>
        <v>0</v>
      </c>
      <c r="M250">
        <f>IF(OR($M$1="",对接源_01水果!$C250="",对接源_01水果!$C250&lt;&gt;$M$1,对接源_01水果!$B250=""),0,IF(OR(N(对接源_01水果!$B250)&lt;$M$2,N(对接源_01水果!$B250)&gt;$M$3),0,1))</f>
        <v>0</v>
      </c>
      <c r="N250">
        <f>IF(OR($N$1="",对接源_01水果!$C250="",对接源_01水果!$C250&lt;&gt;$N$1,对接源_01水果!$B250=""),0,IF(OR(N(对接源_01水果!$B250)&lt;$N$2,N(对接源_01水果!$B250)&gt;$N$3),0,1))</f>
        <v>0</v>
      </c>
      <c r="P250">
        <f>IF(AND($K250=1,AND(对接源_01水果!$X250="公司筐",N(对接源_01水果!$T250)&lt;&gt;0)),1,0)</f>
        <v>0</v>
      </c>
      <c r="Q250">
        <f>N(Q249)+$P250</f>
        <v>0</v>
      </c>
      <c r="R250">
        <f>IF(AND($K250=1,AND(对接源_01水果!$X250="公司筐",N(对接源_01水果!$U250)&lt;&gt;0)),1,0)</f>
        <v>0</v>
      </c>
      <c r="S250">
        <f>N(S249)+$R250</f>
        <v>0</v>
      </c>
      <c r="T250">
        <f>IF(AND($K250=1,AND(对接源_01水果!$X250="公司筐",N(对接源_01水果!$V250)&lt;&gt;0)),1,0)</f>
        <v>0</v>
      </c>
      <c r="U250">
        <f>N(U249)+$T250</f>
        <v>9</v>
      </c>
      <c r="V250">
        <f>IF(AND($L250=1,AND(对接源_01水果!$X250="自备筐",N(对接源_01水果!$V250)&lt;&gt;0)),1,0)</f>
        <v>0</v>
      </c>
      <c r="W250">
        <f>N(W249)+$V250</f>
        <v>8</v>
      </c>
      <c r="X250">
        <f>IF(AND($L250=1,AND(对接源_01水果!$X250="自备筐",N(对接源_01水果!$T250)&lt;&gt;0)),1,0)</f>
        <v>0</v>
      </c>
      <c r="Y250">
        <f>N(Y249)+$X250</f>
        <v>0</v>
      </c>
      <c r="Z250">
        <f>IF(AND($M250=1,对接源_01水果!$D250="原料入库"),1,0)</f>
        <v>0</v>
      </c>
      <c r="AA250">
        <f>N(AA249)+$Z250</f>
        <v>18</v>
      </c>
      <c r="AB250">
        <f>IF(AND($M250=1,LEFT(对接源_01水果!$D250,4)="原料出库"),1,0)</f>
        <v>0</v>
      </c>
      <c r="AC250">
        <f>N(AC249)+$AB250</f>
        <v>0</v>
      </c>
      <c r="AD250">
        <f>IF(AND($M250=1,LEFT(对接源_01水果!$D250,4)="成品出库"),1,0)</f>
        <v>0</v>
      </c>
      <c r="AE250">
        <f>N(AE249)+$AD250</f>
        <v>0</v>
      </c>
      <c r="AF250">
        <f>IF(AND($N250=1,AND(LEFT(对接源_01水果!$D250,4)="包装物料",N(对接源_01水果!$K250)&lt;&gt;0)),1,0)</f>
        <v>0</v>
      </c>
      <c r="AG250">
        <f>N(AG249)+$AF250</f>
        <v>0</v>
      </c>
      <c r="AH250">
        <f>IF(AND($N250=1,AND(对接源_01水果!$D250="周转筐－销售出库",N(对接源_01水果!$K250)&lt;&gt;0)),1,0)</f>
        <v>0</v>
      </c>
      <c r="AI250">
        <f>N(AI249)+$AH250</f>
        <v>0</v>
      </c>
      <c r="AJ250" s="7" t="n"/>
      <c r="AL250">
        <f>IF(OR($AL$1="",对接源_01水果!$Y250="",对接源_01水果!$Y250&lt;&gt;$AL$1,对接源_01水果!$B250="",N(对接源_01水果!$AJ250)&lt;=0),0,IF(OR(N(对接源_01水果!$B250)&lt;$AL$2,N(对接源_01水果!$B250)&gt;$AL$3),0,1))</f>
        <v>0</v>
      </c>
      <c r="AM250">
        <f>N(AM249)+$AL250</f>
        <v>0</v>
      </c>
      <c r="AN250">
        <f>IF(对接源_01水果!$AC250="","",对接源_01水果!$AC250)</f>
      </c>
      <c r="AO250">
        <f>IF(AN250="",0,IF(MATCH(AN250,$AN$4:$AN$1203,0)=ROW()-3,1,0))</f>
        <v>0</v>
      </c>
      <c r="AP250">
        <f>N(AP249)+$AO250</f>
        <v>0</v>
      </c>
      <c r="AR250">
        <f>IF(OR($AF250=1,$AH250=1),1,0)</f>
        <v>0</v>
      </c>
      <c r="AS250">
        <f>N(AS249)+$AR250</f>
        <v>0</v>
      </c>
    </row>
    <row r="251" ht="14.25" customHeight="1" s="127">
      <c r="A251" t="str">
        <f>IF(对接源_01水果!$C251="","",对接源_01水果!$C251)</f>
        <v>王照雪</v>
      </c>
      <c r="B251">
        <f>IF(A251="",0,IF(MATCH(A251,$A$4:$A$2403,0)=ROW()-3,1,0))</f>
        <v>0</v>
      </c>
      <c r="C251">
        <f>N(C250)+B251</f>
        <v>13</v>
      </c>
      <c r="E251">
        <f>IFERROR(INDEX($A$4:$A$2403,MATCH(ROW()-3,$C$4:$C$2403,0)),"")</f>
      </c>
      <c r="K251">
        <f>IF(OR($K$1="",对接源_01水果!$C251="",对接源_01水果!$C251&lt;&gt;$K$1,对接源_01水果!$B251=""),0,IF(OR(N(对接源_01水果!$B251)&lt;$K$2,N(对接源_01水果!$B251)&gt;$K$3),0,1))</f>
        <v>0</v>
      </c>
      <c r="L251">
        <f>IF(OR($L$1="",对接源_01水果!$C251="",对接源_01水果!$C251&lt;&gt;$L$1,对接源_01水果!$B251=""),0,IF(OR(N(对接源_01水果!$B251)&lt;$L$2,N(对接源_01水果!$B251)&gt;$L$3),0,1))</f>
        <v>0</v>
      </c>
      <c r="M251">
        <f>IF(OR($M$1="",对接源_01水果!$C251="",对接源_01水果!$C251&lt;&gt;$M$1,对接源_01水果!$B251=""),0,IF(OR(N(对接源_01水果!$B251)&lt;$M$2,N(对接源_01水果!$B251)&gt;$M$3),0,1))</f>
        <v>0</v>
      </c>
      <c r="N251">
        <f>IF(OR($N$1="",对接源_01水果!$C251="",对接源_01水果!$C251&lt;&gt;$N$1,对接源_01水果!$B251=""),0,IF(OR(N(对接源_01水果!$B251)&lt;$N$2,N(对接源_01水果!$B251)&gt;$N$3),0,1))</f>
        <v>0</v>
      </c>
      <c r="P251">
        <f>IF(AND($K251=1,AND(对接源_01水果!$X251="公司筐",N(对接源_01水果!$T251)&lt;&gt;0)),1,0)</f>
        <v>0</v>
      </c>
      <c r="Q251">
        <f>N(Q250)+$P251</f>
        <v>0</v>
      </c>
      <c r="R251">
        <f>IF(AND($K251=1,AND(对接源_01水果!$X251="公司筐",N(对接源_01水果!$U251)&lt;&gt;0)),1,0)</f>
        <v>0</v>
      </c>
      <c r="S251">
        <f>N(S250)+$R251</f>
        <v>0</v>
      </c>
      <c r="T251">
        <f>IF(AND($K251=1,AND(对接源_01水果!$X251="公司筐",N(对接源_01水果!$V251)&lt;&gt;0)),1,0)</f>
        <v>0</v>
      </c>
      <c r="U251">
        <f>N(U250)+$T251</f>
        <v>9</v>
      </c>
      <c r="V251">
        <f>IF(AND($L251=1,AND(对接源_01水果!$X251="自备筐",N(对接源_01水果!$V251)&lt;&gt;0)),1,0)</f>
        <v>0</v>
      </c>
      <c r="W251">
        <f>N(W250)+$V251</f>
        <v>8</v>
      </c>
      <c r="X251">
        <f>IF(AND($L251=1,AND(对接源_01水果!$X251="自备筐",N(对接源_01水果!$T251)&lt;&gt;0)),1,0)</f>
        <v>0</v>
      </c>
      <c r="Y251">
        <f>N(Y250)+$X251</f>
        <v>0</v>
      </c>
      <c r="Z251">
        <f>IF(AND($M251=1,对接源_01水果!$D251="原料入库"),1,0)</f>
        <v>0</v>
      </c>
      <c r="AA251">
        <f>N(AA250)+$Z251</f>
        <v>18</v>
      </c>
      <c r="AB251">
        <f>IF(AND($M251=1,LEFT(对接源_01水果!$D251,4)="原料出库"),1,0)</f>
        <v>0</v>
      </c>
      <c r="AC251">
        <f>N(AC250)+$AB251</f>
        <v>0</v>
      </c>
      <c r="AD251">
        <f>IF(AND($M251=1,LEFT(对接源_01水果!$D251,4)="成品出库"),1,0)</f>
        <v>0</v>
      </c>
      <c r="AE251">
        <f>N(AE250)+$AD251</f>
        <v>0</v>
      </c>
      <c r="AF251">
        <f>IF(AND($N251=1,AND(LEFT(对接源_01水果!$D251,4)="包装物料",N(对接源_01水果!$K251)&lt;&gt;0)),1,0)</f>
        <v>0</v>
      </c>
      <c r="AG251">
        <f>N(AG250)+$AF251</f>
        <v>0</v>
      </c>
      <c r="AH251">
        <f>IF(AND($N251=1,AND(对接源_01水果!$D251="周转筐－销售出库",N(对接源_01水果!$K251)&lt;&gt;0)),1,0)</f>
        <v>0</v>
      </c>
      <c r="AI251">
        <f>N(AI250)+$AH251</f>
        <v>0</v>
      </c>
      <c r="AJ251" s="7" t="n"/>
      <c r="AL251">
        <f>IF(OR($AL$1="",对接源_01水果!$Y251="",对接源_01水果!$Y251&lt;&gt;$AL$1,对接源_01水果!$B251="",N(对接源_01水果!$AJ251)&lt;=0),0,IF(OR(N(对接源_01水果!$B251)&lt;$AL$2,N(对接源_01水果!$B251)&gt;$AL$3),0,1))</f>
        <v>0</v>
      </c>
      <c r="AM251">
        <f>N(AM250)+$AL251</f>
        <v>0</v>
      </c>
      <c r="AN251">
        <f>IF(对接源_01水果!$AC251="","",对接源_01水果!$AC251)</f>
      </c>
      <c r="AO251">
        <f>IF(AN251="",0,IF(MATCH(AN251,$AN$4:$AN$1203,0)=ROW()-3,1,0))</f>
        <v>0</v>
      </c>
      <c r="AP251">
        <f>N(AP250)+$AO251</f>
        <v>0</v>
      </c>
      <c r="AR251">
        <f>IF(OR($AF251=1,$AH251=1),1,0)</f>
        <v>0</v>
      </c>
      <c r="AS251">
        <f>N(AS250)+$AR251</f>
        <v>0</v>
      </c>
    </row>
    <row r="252" ht="14.25" customHeight="1" s="127">
      <c r="A252" t="str">
        <f>IF(对接源_01水果!$C252="","",对接源_01水果!$C252)</f>
        <v>荆建君</v>
      </c>
      <c r="B252">
        <f>IF(A252="",0,IF(MATCH(A252,$A$4:$A$2403,0)=ROW()-3,1,0))</f>
        <v>0</v>
      </c>
      <c r="C252">
        <f>N(C251)+B252</f>
        <v>13</v>
      </c>
      <c r="E252">
        <f>IFERROR(INDEX($A$4:$A$2403,MATCH(ROW()-3,$C$4:$C$2403,0)),"")</f>
      </c>
      <c r="K252">
        <f>IF(OR($K$1="",对接源_01水果!$C252="",对接源_01水果!$C252&lt;&gt;$K$1,对接源_01水果!$B252=""),0,IF(OR(N(对接源_01水果!$B252)&lt;$K$2,N(对接源_01水果!$B252)&gt;$K$3),0,1))</f>
        <v>0</v>
      </c>
      <c r="L252">
        <f>IF(OR($L$1="",对接源_01水果!$C252="",对接源_01水果!$C252&lt;&gt;$L$1,对接源_01水果!$B252=""),0,IF(OR(N(对接源_01水果!$B252)&lt;$L$2,N(对接源_01水果!$B252)&gt;$L$3),0,1))</f>
        <v>0</v>
      </c>
      <c r="M252">
        <f>IF(OR($M$1="",对接源_01水果!$C252="",对接源_01水果!$C252&lt;&gt;$M$1,对接源_01水果!$B252=""),0,IF(OR(N(对接源_01水果!$B252)&lt;$M$2,N(对接源_01水果!$B252)&gt;$M$3),0,1))</f>
        <v>0</v>
      </c>
      <c r="N252">
        <f>IF(OR($N$1="",对接源_01水果!$C252="",对接源_01水果!$C252&lt;&gt;$N$1,对接源_01水果!$B252=""),0,IF(OR(N(对接源_01水果!$B252)&lt;$N$2,N(对接源_01水果!$B252)&gt;$N$3),0,1))</f>
        <v>0</v>
      </c>
      <c r="P252">
        <f>IF(AND($K252=1,AND(对接源_01水果!$X252="公司筐",N(对接源_01水果!$T252)&lt;&gt;0)),1,0)</f>
        <v>0</v>
      </c>
      <c r="Q252">
        <f>N(Q251)+$P252</f>
        <v>0</v>
      </c>
      <c r="R252">
        <f>IF(AND($K252=1,AND(对接源_01水果!$X252="公司筐",N(对接源_01水果!$U252)&lt;&gt;0)),1,0)</f>
        <v>0</v>
      </c>
      <c r="S252">
        <f>N(S251)+$R252</f>
        <v>0</v>
      </c>
      <c r="T252">
        <f>IF(AND($K252=1,AND(对接源_01水果!$X252="公司筐",N(对接源_01水果!$V252)&lt;&gt;0)),1,0)</f>
        <v>0</v>
      </c>
      <c r="U252">
        <f>N(U251)+$T252</f>
        <v>9</v>
      </c>
      <c r="V252">
        <f>IF(AND($L252=1,AND(对接源_01水果!$X252="自备筐",N(对接源_01水果!$V252)&lt;&gt;0)),1,0)</f>
        <v>0</v>
      </c>
      <c r="W252">
        <f>N(W251)+$V252</f>
        <v>8</v>
      </c>
      <c r="X252">
        <f>IF(AND($L252=1,AND(对接源_01水果!$X252="自备筐",N(对接源_01水果!$T252)&lt;&gt;0)),1,0)</f>
        <v>0</v>
      </c>
      <c r="Y252">
        <f>N(Y251)+$X252</f>
        <v>0</v>
      </c>
      <c r="Z252">
        <f>IF(AND($M252=1,对接源_01水果!$D252="原料入库"),1,0)</f>
        <v>0</v>
      </c>
      <c r="AA252">
        <f>N(AA251)+$Z252</f>
        <v>18</v>
      </c>
      <c r="AB252">
        <f>IF(AND($M252=1,LEFT(对接源_01水果!$D252,4)="原料出库"),1,0)</f>
        <v>0</v>
      </c>
      <c r="AC252">
        <f>N(AC251)+$AB252</f>
        <v>0</v>
      </c>
      <c r="AD252">
        <f>IF(AND($M252=1,LEFT(对接源_01水果!$D252,4)="成品出库"),1,0)</f>
        <v>0</v>
      </c>
      <c r="AE252">
        <f>N(AE251)+$AD252</f>
        <v>0</v>
      </c>
      <c r="AF252">
        <f>IF(AND($N252=1,AND(LEFT(对接源_01水果!$D252,4)="包装物料",N(对接源_01水果!$K252)&lt;&gt;0)),1,0)</f>
        <v>0</v>
      </c>
      <c r="AG252">
        <f>N(AG251)+$AF252</f>
        <v>0</v>
      </c>
      <c r="AH252">
        <f>IF(AND($N252=1,AND(对接源_01水果!$D252="周转筐－销售出库",N(对接源_01水果!$K252)&lt;&gt;0)),1,0)</f>
        <v>0</v>
      </c>
      <c r="AI252">
        <f>N(AI251)+$AH252</f>
        <v>0</v>
      </c>
      <c r="AJ252" s="7" t="n"/>
      <c r="AL252">
        <f>IF(OR($AL$1="",对接源_01水果!$Y252="",对接源_01水果!$Y252&lt;&gt;$AL$1,对接源_01水果!$B252="",N(对接源_01水果!$AJ252)&lt;=0),0,IF(OR(N(对接源_01水果!$B252)&lt;$AL$2,N(对接源_01水果!$B252)&gt;$AL$3),0,1))</f>
        <v>0</v>
      </c>
      <c r="AM252">
        <f>N(AM251)+$AL252</f>
        <v>0</v>
      </c>
      <c r="AN252">
        <f>IF(对接源_01水果!$AC252="","",对接源_01水果!$AC252)</f>
      </c>
      <c r="AO252">
        <f>IF(AN252="",0,IF(MATCH(AN252,$AN$4:$AN$1203,0)=ROW()-3,1,0))</f>
        <v>0</v>
      </c>
      <c r="AP252">
        <f>N(AP251)+$AO252</f>
        <v>0</v>
      </c>
      <c r="AR252">
        <f>IF(OR($AF252=1,$AH252=1),1,0)</f>
        <v>0</v>
      </c>
      <c r="AS252">
        <f>N(AS251)+$AR252</f>
        <v>0</v>
      </c>
    </row>
    <row r="253" ht="14.25" customHeight="1" s="127">
      <c r="A253" t="str">
        <f>IF(对接源_01水果!$C253="","",对接源_01水果!$C253)</f>
        <v>荆建君</v>
      </c>
      <c r="B253">
        <f>IF(A253="",0,IF(MATCH(A253,$A$4:$A$2403,0)=ROW()-3,1,0))</f>
        <v>0</v>
      </c>
      <c r="C253">
        <f>N(C252)+B253</f>
        <v>13</v>
      </c>
      <c r="E253">
        <f>IFERROR(INDEX($A$4:$A$2403,MATCH(ROW()-3,$C$4:$C$2403,0)),"")</f>
      </c>
      <c r="K253">
        <f>IF(OR($K$1="",对接源_01水果!$C253="",对接源_01水果!$C253&lt;&gt;$K$1,对接源_01水果!$B253=""),0,IF(OR(N(对接源_01水果!$B253)&lt;$K$2,N(对接源_01水果!$B253)&gt;$K$3),0,1))</f>
        <v>0</v>
      </c>
      <c r="L253">
        <f>IF(OR($L$1="",对接源_01水果!$C253="",对接源_01水果!$C253&lt;&gt;$L$1,对接源_01水果!$B253=""),0,IF(OR(N(对接源_01水果!$B253)&lt;$L$2,N(对接源_01水果!$B253)&gt;$L$3),0,1))</f>
        <v>0</v>
      </c>
      <c r="M253">
        <f>IF(OR($M$1="",对接源_01水果!$C253="",对接源_01水果!$C253&lt;&gt;$M$1,对接源_01水果!$B253=""),0,IF(OR(N(对接源_01水果!$B253)&lt;$M$2,N(对接源_01水果!$B253)&gt;$M$3),0,1))</f>
        <v>0</v>
      </c>
      <c r="N253">
        <f>IF(OR($N$1="",对接源_01水果!$C253="",对接源_01水果!$C253&lt;&gt;$N$1,对接源_01水果!$B253=""),0,IF(OR(N(对接源_01水果!$B253)&lt;$N$2,N(对接源_01水果!$B253)&gt;$N$3),0,1))</f>
        <v>0</v>
      </c>
      <c r="P253">
        <f>IF(AND($K253=1,AND(对接源_01水果!$X253="公司筐",N(对接源_01水果!$T253)&lt;&gt;0)),1,0)</f>
        <v>0</v>
      </c>
      <c r="Q253">
        <f>N(Q252)+$P253</f>
        <v>0</v>
      </c>
      <c r="R253">
        <f>IF(AND($K253=1,AND(对接源_01水果!$X253="公司筐",N(对接源_01水果!$U253)&lt;&gt;0)),1,0)</f>
        <v>0</v>
      </c>
      <c r="S253">
        <f>N(S252)+$R253</f>
        <v>0</v>
      </c>
      <c r="T253">
        <f>IF(AND($K253=1,AND(对接源_01水果!$X253="公司筐",N(对接源_01水果!$V253)&lt;&gt;0)),1,0)</f>
        <v>0</v>
      </c>
      <c r="U253">
        <f>N(U252)+$T253</f>
        <v>9</v>
      </c>
      <c r="V253">
        <f>IF(AND($L253=1,AND(对接源_01水果!$X253="自备筐",N(对接源_01水果!$V253)&lt;&gt;0)),1,0)</f>
        <v>0</v>
      </c>
      <c r="W253">
        <f>N(W252)+$V253</f>
        <v>8</v>
      </c>
      <c r="X253">
        <f>IF(AND($L253=1,AND(对接源_01水果!$X253="自备筐",N(对接源_01水果!$T253)&lt;&gt;0)),1,0)</f>
        <v>0</v>
      </c>
      <c r="Y253">
        <f>N(Y252)+$X253</f>
        <v>0</v>
      </c>
      <c r="Z253">
        <f>IF(AND($M253=1,对接源_01水果!$D253="原料入库"),1,0)</f>
        <v>0</v>
      </c>
      <c r="AA253">
        <f>N(AA252)+$Z253</f>
        <v>18</v>
      </c>
      <c r="AB253">
        <f>IF(AND($M253=1,LEFT(对接源_01水果!$D253,4)="原料出库"),1,0)</f>
        <v>0</v>
      </c>
      <c r="AC253">
        <f>N(AC252)+$AB253</f>
        <v>0</v>
      </c>
      <c r="AD253">
        <f>IF(AND($M253=1,LEFT(对接源_01水果!$D253,4)="成品出库"),1,0)</f>
        <v>0</v>
      </c>
      <c r="AE253">
        <f>N(AE252)+$AD253</f>
        <v>0</v>
      </c>
      <c r="AF253">
        <f>IF(AND($N253=1,AND(LEFT(对接源_01水果!$D253,4)="包装物料",N(对接源_01水果!$K253)&lt;&gt;0)),1,0)</f>
        <v>0</v>
      </c>
      <c r="AG253">
        <f>N(AG252)+$AF253</f>
        <v>0</v>
      </c>
      <c r="AH253">
        <f>IF(AND($N253=1,AND(对接源_01水果!$D253="周转筐－销售出库",N(对接源_01水果!$K253)&lt;&gt;0)),1,0)</f>
        <v>0</v>
      </c>
      <c r="AI253">
        <f>N(AI252)+$AH253</f>
        <v>0</v>
      </c>
      <c r="AJ253" s="7" t="n"/>
      <c r="AL253">
        <f>IF(OR($AL$1="",对接源_01水果!$Y253="",对接源_01水果!$Y253&lt;&gt;$AL$1,对接源_01水果!$B253="",N(对接源_01水果!$AJ253)&lt;=0),0,IF(OR(N(对接源_01水果!$B253)&lt;$AL$2,N(对接源_01水果!$B253)&gt;$AL$3),0,1))</f>
        <v>0</v>
      </c>
      <c r="AM253">
        <f>N(AM252)+$AL253</f>
        <v>0</v>
      </c>
      <c r="AN253">
        <f>IF(对接源_01水果!$AC253="","",对接源_01水果!$AC253)</f>
      </c>
      <c r="AO253">
        <f>IF(AN253="",0,IF(MATCH(AN253,$AN$4:$AN$1203,0)=ROW()-3,1,0))</f>
        <v>0</v>
      </c>
      <c r="AP253">
        <f>N(AP252)+$AO253</f>
        <v>0</v>
      </c>
      <c r="AR253">
        <f>IF(OR($AF253=1,$AH253=1),1,0)</f>
        <v>0</v>
      </c>
      <c r="AS253">
        <f>N(AS252)+$AR253</f>
        <v>0</v>
      </c>
    </row>
    <row r="254" ht="14.25" customHeight="1" s="127">
      <c r="A254" t="str">
        <f>IF(对接源_01水果!$C254="","",对接源_01水果!$C254)</f>
        <v>热合曼+艾则孜</v>
      </c>
      <c r="B254">
        <f>IF(A254="",0,IF(MATCH(A254,$A$4:$A$2403,0)=ROW()-3,1,0))</f>
        <v>1</v>
      </c>
      <c r="C254">
        <f>N(C253)+B254</f>
        <v>14</v>
      </c>
      <c r="E254">
        <f>IFERROR(INDEX($A$4:$A$2403,MATCH(ROW()-3,$C$4:$C$2403,0)),"")</f>
      </c>
      <c r="K254">
        <f>IF(OR($K$1="",对接源_01水果!$C254="",对接源_01水果!$C254&lt;&gt;$K$1,对接源_01水果!$B254=""),0,IF(OR(N(对接源_01水果!$B254)&lt;$K$2,N(对接源_01水果!$B254)&gt;$K$3),0,1))</f>
        <v>0</v>
      </c>
      <c r="L254">
        <f>IF(OR($L$1="",对接源_01水果!$C254="",对接源_01水果!$C254&lt;&gt;$L$1,对接源_01水果!$B254=""),0,IF(OR(N(对接源_01水果!$B254)&lt;$L$2,N(对接源_01水果!$B254)&gt;$L$3),0,1))</f>
        <v>0</v>
      </c>
      <c r="M254">
        <f>IF(OR($M$1="",对接源_01水果!$C254="",对接源_01水果!$C254&lt;&gt;$M$1,对接源_01水果!$B254=""),0,IF(OR(N(对接源_01水果!$B254)&lt;$M$2,N(对接源_01水果!$B254)&gt;$M$3),0,1))</f>
        <v>0</v>
      </c>
      <c r="N254">
        <f>IF(OR($N$1="",对接源_01水果!$C254="",对接源_01水果!$C254&lt;&gt;$N$1,对接源_01水果!$B254=""),0,IF(OR(N(对接源_01水果!$B254)&lt;$N$2,N(对接源_01水果!$B254)&gt;$N$3),0,1))</f>
        <v>0</v>
      </c>
      <c r="P254">
        <f>IF(AND($K254=1,AND(对接源_01水果!$X254="公司筐",N(对接源_01水果!$T254)&lt;&gt;0)),1,0)</f>
        <v>0</v>
      </c>
      <c r="Q254">
        <f>N(Q253)+$P254</f>
        <v>0</v>
      </c>
      <c r="R254">
        <f>IF(AND($K254=1,AND(对接源_01水果!$X254="公司筐",N(对接源_01水果!$U254)&lt;&gt;0)),1,0)</f>
        <v>0</v>
      </c>
      <c r="S254">
        <f>N(S253)+$R254</f>
        <v>0</v>
      </c>
      <c r="T254">
        <f>IF(AND($K254=1,AND(对接源_01水果!$X254="公司筐",N(对接源_01水果!$V254)&lt;&gt;0)),1,0)</f>
        <v>0</v>
      </c>
      <c r="U254">
        <f>N(U253)+$T254</f>
        <v>9</v>
      </c>
      <c r="V254">
        <f>IF(AND($L254=1,AND(对接源_01水果!$X254="自备筐",N(对接源_01水果!$V254)&lt;&gt;0)),1,0)</f>
        <v>0</v>
      </c>
      <c r="W254">
        <f>N(W253)+$V254</f>
        <v>8</v>
      </c>
      <c r="X254">
        <f>IF(AND($L254=1,AND(对接源_01水果!$X254="自备筐",N(对接源_01水果!$T254)&lt;&gt;0)),1,0)</f>
        <v>0</v>
      </c>
      <c r="Y254">
        <f>N(Y253)+$X254</f>
        <v>0</v>
      </c>
      <c r="Z254">
        <f>IF(AND($M254=1,对接源_01水果!$D254="原料入库"),1,0)</f>
        <v>0</v>
      </c>
      <c r="AA254">
        <f>N(AA253)+$Z254</f>
        <v>18</v>
      </c>
      <c r="AB254">
        <f>IF(AND($M254=1,LEFT(对接源_01水果!$D254,4)="原料出库"),1,0)</f>
        <v>0</v>
      </c>
      <c r="AC254">
        <f>N(AC253)+$AB254</f>
        <v>0</v>
      </c>
      <c r="AD254">
        <f>IF(AND($M254=1,LEFT(对接源_01水果!$D254,4)="成品出库"),1,0)</f>
        <v>0</v>
      </c>
      <c r="AE254">
        <f>N(AE253)+$AD254</f>
        <v>0</v>
      </c>
      <c r="AF254">
        <f>IF(AND($N254=1,AND(LEFT(对接源_01水果!$D254,4)="包装物料",N(对接源_01水果!$K254)&lt;&gt;0)),1,0)</f>
        <v>0</v>
      </c>
      <c r="AG254">
        <f>N(AG253)+$AF254</f>
        <v>0</v>
      </c>
      <c r="AH254">
        <f>IF(AND($N254=1,AND(对接源_01水果!$D254="周转筐－销售出库",N(对接源_01水果!$K254)&lt;&gt;0)),1,0)</f>
        <v>0</v>
      </c>
      <c r="AI254">
        <f>N(AI253)+$AH254</f>
        <v>0</v>
      </c>
      <c r="AJ254" s="7" t="n"/>
      <c r="AL254">
        <f>IF(OR($AL$1="",对接源_01水果!$Y254="",对接源_01水果!$Y254&lt;&gt;$AL$1,对接源_01水果!$B254="",N(对接源_01水果!$AJ254)&lt;=0),0,IF(OR(N(对接源_01水果!$B254)&lt;$AL$2,N(对接源_01水果!$B254)&gt;$AL$3),0,1))</f>
        <v>0</v>
      </c>
      <c r="AM254">
        <f>N(AM253)+$AL254</f>
        <v>0</v>
      </c>
      <c r="AN254">
        <f>IF(对接源_01水果!$AC254="","",对接源_01水果!$AC254)</f>
      </c>
      <c r="AO254">
        <f>IF(AN254="",0,IF(MATCH(AN254,$AN$4:$AN$1203,0)=ROW()-3,1,0))</f>
        <v>0</v>
      </c>
      <c r="AP254">
        <f>N(AP253)+$AO254</f>
        <v>0</v>
      </c>
      <c r="AR254">
        <f>IF(OR($AF254=1,$AH254=1),1,0)</f>
        <v>0</v>
      </c>
      <c r="AS254">
        <f>N(AS253)+$AR254</f>
        <v>0</v>
      </c>
    </row>
    <row r="255" ht="14.25" customHeight="1" s="127">
      <c r="A255" t="str">
        <f>IF(对接源_01水果!$C255="","",对接源_01水果!$C255)</f>
        <v>热合曼+艾则孜</v>
      </c>
      <c r="B255">
        <f>IF(A255="",0,IF(MATCH(A255,$A$4:$A$2403,0)=ROW()-3,1,0))</f>
        <v>0</v>
      </c>
      <c r="C255">
        <f>N(C254)+B255</f>
        <v>14</v>
      </c>
      <c r="E255">
        <f>IFERROR(INDEX($A$4:$A$2403,MATCH(ROW()-3,$C$4:$C$2403,0)),"")</f>
      </c>
      <c r="K255">
        <f>IF(OR($K$1="",对接源_01水果!$C255="",对接源_01水果!$C255&lt;&gt;$K$1,对接源_01水果!$B255=""),0,IF(OR(N(对接源_01水果!$B255)&lt;$K$2,N(对接源_01水果!$B255)&gt;$K$3),0,1))</f>
        <v>0</v>
      </c>
      <c r="L255">
        <f>IF(OR($L$1="",对接源_01水果!$C255="",对接源_01水果!$C255&lt;&gt;$L$1,对接源_01水果!$B255=""),0,IF(OR(N(对接源_01水果!$B255)&lt;$L$2,N(对接源_01水果!$B255)&gt;$L$3),0,1))</f>
        <v>0</v>
      </c>
      <c r="M255">
        <f>IF(OR($M$1="",对接源_01水果!$C255="",对接源_01水果!$C255&lt;&gt;$M$1,对接源_01水果!$B255=""),0,IF(OR(N(对接源_01水果!$B255)&lt;$M$2,N(对接源_01水果!$B255)&gt;$M$3),0,1))</f>
        <v>0</v>
      </c>
      <c r="N255">
        <f>IF(OR($N$1="",对接源_01水果!$C255="",对接源_01水果!$C255&lt;&gt;$N$1,对接源_01水果!$B255=""),0,IF(OR(N(对接源_01水果!$B255)&lt;$N$2,N(对接源_01水果!$B255)&gt;$N$3),0,1))</f>
        <v>0</v>
      </c>
      <c r="P255">
        <f>IF(AND($K255=1,AND(对接源_01水果!$X255="公司筐",N(对接源_01水果!$T255)&lt;&gt;0)),1,0)</f>
        <v>0</v>
      </c>
      <c r="Q255">
        <f>N(Q254)+$P255</f>
        <v>0</v>
      </c>
      <c r="R255">
        <f>IF(AND($K255=1,AND(对接源_01水果!$X255="公司筐",N(对接源_01水果!$U255)&lt;&gt;0)),1,0)</f>
        <v>0</v>
      </c>
      <c r="S255">
        <f>N(S254)+$R255</f>
        <v>0</v>
      </c>
      <c r="T255">
        <f>IF(AND($K255=1,AND(对接源_01水果!$X255="公司筐",N(对接源_01水果!$V255)&lt;&gt;0)),1,0)</f>
        <v>0</v>
      </c>
      <c r="U255">
        <f>N(U254)+$T255</f>
        <v>9</v>
      </c>
      <c r="V255">
        <f>IF(AND($L255=1,AND(对接源_01水果!$X255="自备筐",N(对接源_01水果!$V255)&lt;&gt;0)),1,0)</f>
        <v>0</v>
      </c>
      <c r="W255">
        <f>N(W254)+$V255</f>
        <v>8</v>
      </c>
      <c r="X255">
        <f>IF(AND($L255=1,AND(对接源_01水果!$X255="自备筐",N(对接源_01水果!$T255)&lt;&gt;0)),1,0)</f>
        <v>0</v>
      </c>
      <c r="Y255">
        <f>N(Y254)+$X255</f>
        <v>0</v>
      </c>
      <c r="Z255">
        <f>IF(AND($M255=1,对接源_01水果!$D255="原料入库"),1,0)</f>
        <v>0</v>
      </c>
      <c r="AA255">
        <f>N(AA254)+$Z255</f>
        <v>18</v>
      </c>
      <c r="AB255">
        <f>IF(AND($M255=1,LEFT(对接源_01水果!$D255,4)="原料出库"),1,0)</f>
        <v>0</v>
      </c>
      <c r="AC255">
        <f>N(AC254)+$AB255</f>
        <v>0</v>
      </c>
      <c r="AD255">
        <f>IF(AND($M255=1,LEFT(对接源_01水果!$D255,4)="成品出库"),1,0)</f>
        <v>0</v>
      </c>
      <c r="AE255">
        <f>N(AE254)+$AD255</f>
        <v>0</v>
      </c>
      <c r="AF255">
        <f>IF(AND($N255=1,AND(LEFT(对接源_01水果!$D255,4)="包装物料",N(对接源_01水果!$K255)&lt;&gt;0)),1,0)</f>
        <v>0</v>
      </c>
      <c r="AG255">
        <f>N(AG254)+$AF255</f>
        <v>0</v>
      </c>
      <c r="AH255">
        <f>IF(AND($N255=1,AND(对接源_01水果!$D255="周转筐－销售出库",N(对接源_01水果!$K255)&lt;&gt;0)),1,0)</f>
        <v>0</v>
      </c>
      <c r="AI255">
        <f>N(AI254)+$AH255</f>
        <v>0</v>
      </c>
      <c r="AJ255" s="7" t="n"/>
      <c r="AL255">
        <f>IF(OR($AL$1="",对接源_01水果!$Y255="",对接源_01水果!$Y255&lt;&gt;$AL$1,对接源_01水果!$B255="",N(对接源_01水果!$AJ255)&lt;=0),0,IF(OR(N(对接源_01水果!$B255)&lt;$AL$2,N(对接源_01水果!$B255)&gt;$AL$3),0,1))</f>
        <v>0</v>
      </c>
      <c r="AM255">
        <f>N(AM254)+$AL255</f>
        <v>0</v>
      </c>
      <c r="AN255">
        <f>IF(对接源_01水果!$AC255="","",对接源_01水果!$AC255)</f>
      </c>
      <c r="AO255">
        <f>IF(AN255="",0,IF(MATCH(AN255,$AN$4:$AN$1203,0)=ROW()-3,1,0))</f>
        <v>0</v>
      </c>
      <c r="AP255">
        <f>N(AP254)+$AO255</f>
        <v>0</v>
      </c>
      <c r="AR255">
        <f>IF(OR($AF255=1,$AH255=1),1,0)</f>
        <v>0</v>
      </c>
      <c r="AS255">
        <f>N(AS254)+$AR255</f>
        <v>0</v>
      </c>
    </row>
    <row r="256" ht="14.25" customHeight="1" s="127">
      <c r="A256" t="str">
        <f>IF(对接源_01水果!$C256="","",对接源_01水果!$C256)</f>
        <v>热合曼+艾则孜</v>
      </c>
      <c r="B256">
        <f>IF(A256="",0,IF(MATCH(A256,$A$4:$A$2403,0)=ROW()-3,1,0))</f>
        <v>0</v>
      </c>
      <c r="C256">
        <f>N(C255)+B256</f>
        <v>14</v>
      </c>
      <c r="E256">
        <f>IFERROR(INDEX($A$4:$A$2403,MATCH(ROW()-3,$C$4:$C$2403,0)),"")</f>
      </c>
      <c r="K256">
        <f>IF(OR($K$1="",对接源_01水果!$C256="",对接源_01水果!$C256&lt;&gt;$K$1,对接源_01水果!$B256=""),0,IF(OR(N(对接源_01水果!$B256)&lt;$K$2,N(对接源_01水果!$B256)&gt;$K$3),0,1))</f>
        <v>0</v>
      </c>
      <c r="L256">
        <f>IF(OR($L$1="",对接源_01水果!$C256="",对接源_01水果!$C256&lt;&gt;$L$1,对接源_01水果!$B256=""),0,IF(OR(N(对接源_01水果!$B256)&lt;$L$2,N(对接源_01水果!$B256)&gt;$L$3),0,1))</f>
        <v>0</v>
      </c>
      <c r="M256">
        <f>IF(OR($M$1="",对接源_01水果!$C256="",对接源_01水果!$C256&lt;&gt;$M$1,对接源_01水果!$B256=""),0,IF(OR(N(对接源_01水果!$B256)&lt;$M$2,N(对接源_01水果!$B256)&gt;$M$3),0,1))</f>
        <v>0</v>
      </c>
      <c r="N256">
        <f>IF(OR($N$1="",对接源_01水果!$C256="",对接源_01水果!$C256&lt;&gt;$N$1,对接源_01水果!$B256=""),0,IF(OR(N(对接源_01水果!$B256)&lt;$N$2,N(对接源_01水果!$B256)&gt;$N$3),0,1))</f>
        <v>0</v>
      </c>
      <c r="P256">
        <f>IF(AND($K256=1,AND(对接源_01水果!$X256="公司筐",N(对接源_01水果!$T256)&lt;&gt;0)),1,0)</f>
        <v>0</v>
      </c>
      <c r="Q256">
        <f>N(Q255)+$P256</f>
        <v>0</v>
      </c>
      <c r="R256">
        <f>IF(AND($K256=1,AND(对接源_01水果!$X256="公司筐",N(对接源_01水果!$U256)&lt;&gt;0)),1,0)</f>
        <v>0</v>
      </c>
      <c r="S256">
        <f>N(S255)+$R256</f>
        <v>0</v>
      </c>
      <c r="T256">
        <f>IF(AND($K256=1,AND(对接源_01水果!$X256="公司筐",N(对接源_01水果!$V256)&lt;&gt;0)),1,0)</f>
        <v>0</v>
      </c>
      <c r="U256">
        <f>N(U255)+$T256</f>
        <v>9</v>
      </c>
      <c r="V256">
        <f>IF(AND($L256=1,AND(对接源_01水果!$X256="自备筐",N(对接源_01水果!$V256)&lt;&gt;0)),1,0)</f>
        <v>0</v>
      </c>
      <c r="W256">
        <f>N(W255)+$V256</f>
        <v>8</v>
      </c>
      <c r="X256">
        <f>IF(AND($L256=1,AND(对接源_01水果!$X256="自备筐",N(对接源_01水果!$T256)&lt;&gt;0)),1,0)</f>
        <v>0</v>
      </c>
      <c r="Y256">
        <f>N(Y255)+$X256</f>
        <v>0</v>
      </c>
      <c r="Z256">
        <f>IF(AND($M256=1,对接源_01水果!$D256="原料入库"),1,0)</f>
        <v>0</v>
      </c>
      <c r="AA256">
        <f>N(AA255)+$Z256</f>
        <v>18</v>
      </c>
      <c r="AB256">
        <f>IF(AND($M256=1,LEFT(对接源_01水果!$D256,4)="原料出库"),1,0)</f>
        <v>0</v>
      </c>
      <c r="AC256">
        <f>N(AC255)+$AB256</f>
        <v>0</v>
      </c>
      <c r="AD256">
        <f>IF(AND($M256=1,LEFT(对接源_01水果!$D256,4)="成品出库"),1,0)</f>
        <v>0</v>
      </c>
      <c r="AE256">
        <f>N(AE255)+$AD256</f>
        <v>0</v>
      </c>
      <c r="AF256">
        <f>IF(AND($N256=1,AND(LEFT(对接源_01水果!$D256,4)="包装物料",N(对接源_01水果!$K256)&lt;&gt;0)),1,0)</f>
        <v>0</v>
      </c>
      <c r="AG256">
        <f>N(AG255)+$AF256</f>
        <v>0</v>
      </c>
      <c r="AH256">
        <f>IF(AND($N256=1,AND(对接源_01水果!$D256="周转筐－销售出库",N(对接源_01水果!$K256)&lt;&gt;0)),1,0)</f>
        <v>0</v>
      </c>
      <c r="AI256">
        <f>N(AI255)+$AH256</f>
        <v>0</v>
      </c>
      <c r="AJ256" s="7" t="n"/>
      <c r="AL256">
        <f>IF(OR($AL$1="",对接源_01水果!$Y256="",对接源_01水果!$Y256&lt;&gt;$AL$1,对接源_01水果!$B256="",N(对接源_01水果!$AJ256)&lt;=0),0,IF(OR(N(对接源_01水果!$B256)&lt;$AL$2,N(对接源_01水果!$B256)&gt;$AL$3),0,1))</f>
        <v>0</v>
      </c>
      <c r="AM256">
        <f>N(AM255)+$AL256</f>
        <v>0</v>
      </c>
      <c r="AN256">
        <f>IF(对接源_01水果!$AC256="","",对接源_01水果!$AC256)</f>
      </c>
      <c r="AO256">
        <f>IF(AN256="",0,IF(MATCH(AN256,$AN$4:$AN$1203,0)=ROW()-3,1,0))</f>
        <v>0</v>
      </c>
      <c r="AP256">
        <f>N(AP255)+$AO256</f>
        <v>0</v>
      </c>
      <c r="AR256">
        <f>IF(OR($AF256=1,$AH256=1),1,0)</f>
        <v>0</v>
      </c>
      <c r="AS256">
        <f>N(AS255)+$AR256</f>
        <v>0</v>
      </c>
    </row>
    <row r="257" ht="14.25" customHeight="1" s="127">
      <c r="A257" t="str">
        <f>IF(对接源_01水果!$C257="","",对接源_01水果!$C257)</f>
        <v>王灵云</v>
      </c>
      <c r="B257">
        <f>IF(A257="",0,IF(MATCH(A257,$A$4:$A$2403,0)=ROW()-3,1,0))</f>
        <v>0</v>
      </c>
      <c r="C257">
        <f>N(C256)+B257</f>
        <v>14</v>
      </c>
      <c r="E257">
        <f>IFERROR(INDEX($A$4:$A$2403,MATCH(ROW()-3,$C$4:$C$2403,0)),"")</f>
      </c>
      <c r="K257">
        <f>IF(OR($K$1="",对接源_01水果!$C257="",对接源_01水果!$C257&lt;&gt;$K$1,对接源_01水果!$B257=""),0,IF(OR(N(对接源_01水果!$B257)&lt;$K$2,N(对接源_01水果!$B257)&gt;$K$3),0,1))</f>
        <v>1</v>
      </c>
      <c r="L257">
        <f>IF(OR($L$1="",对接源_01水果!$C257="",对接源_01水果!$C257&lt;&gt;$L$1,对接源_01水果!$B257=""),0,IF(OR(N(对接源_01水果!$B257)&lt;$L$2,N(对接源_01水果!$B257)&gt;$L$3),0,1))</f>
        <v>0</v>
      </c>
      <c r="M257">
        <f>IF(OR($M$1="",对接源_01水果!$C257="",对接源_01水果!$C257&lt;&gt;$M$1,对接源_01水果!$B257=""),0,IF(OR(N(对接源_01水果!$B257)&lt;$M$2,N(对接源_01水果!$B257)&gt;$M$3),0,1))</f>
        <v>0</v>
      </c>
      <c r="N257">
        <f>IF(OR($N$1="",对接源_01水果!$C257="",对接源_01水果!$C257&lt;&gt;$N$1,对接源_01水果!$B257=""),0,IF(OR(N(对接源_01水果!$B257)&lt;$N$2,N(对接源_01水果!$B257)&gt;$N$3),0,1))</f>
        <v>0</v>
      </c>
      <c r="P257">
        <f>IF(AND($K257=1,AND(对接源_01水果!$X257="公司筐",N(对接源_01水果!$T257)&lt;&gt;0)),1,0)</f>
        <v>0</v>
      </c>
      <c r="Q257">
        <f>N(Q256)+$P257</f>
        <v>0</v>
      </c>
      <c r="R257">
        <f>IF(AND($K257=1,AND(对接源_01水果!$X257="公司筐",N(对接源_01水果!$U257)&lt;&gt;0)),1,0)</f>
        <v>0</v>
      </c>
      <c r="S257">
        <f>N(S256)+$R257</f>
        <v>0</v>
      </c>
      <c r="T257">
        <f>IF(AND($K257=1,AND(对接源_01水果!$X257="公司筐",N(对接源_01水果!$V257)&lt;&gt;0)),1,0)</f>
        <v>1</v>
      </c>
      <c r="U257">
        <f>N(U256)+$T257</f>
        <v>10</v>
      </c>
      <c r="V257">
        <f>IF(AND($L257=1,AND(对接源_01水果!$X257="自备筐",N(对接源_01水果!$V257)&lt;&gt;0)),1,0)</f>
        <v>0</v>
      </c>
      <c r="W257">
        <f>N(W256)+$V257</f>
        <v>8</v>
      </c>
      <c r="X257">
        <f>IF(AND($L257=1,AND(对接源_01水果!$X257="自备筐",N(对接源_01水果!$T257)&lt;&gt;0)),1,0)</f>
        <v>0</v>
      </c>
      <c r="Y257">
        <f>N(Y256)+$X257</f>
        <v>0</v>
      </c>
      <c r="Z257">
        <f>IF(AND($M257=1,对接源_01水果!$D257="原料入库"),1,0)</f>
        <v>0</v>
      </c>
      <c r="AA257">
        <f>N(AA256)+$Z257</f>
        <v>18</v>
      </c>
      <c r="AB257">
        <f>IF(AND($M257=1,LEFT(对接源_01水果!$D257,4)="原料出库"),1,0)</f>
        <v>0</v>
      </c>
      <c r="AC257">
        <f>N(AC256)+$AB257</f>
        <v>0</v>
      </c>
      <c r="AD257">
        <f>IF(AND($M257=1,LEFT(对接源_01水果!$D257,4)="成品出库"),1,0)</f>
        <v>0</v>
      </c>
      <c r="AE257">
        <f>N(AE256)+$AD257</f>
        <v>0</v>
      </c>
      <c r="AF257">
        <f>IF(AND($N257=1,AND(LEFT(对接源_01水果!$D257,4)="包装物料",N(对接源_01水果!$K257)&lt;&gt;0)),1,0)</f>
        <v>0</v>
      </c>
      <c r="AG257">
        <f>N(AG256)+$AF257</f>
        <v>0</v>
      </c>
      <c r="AH257">
        <f>IF(AND($N257=1,AND(对接源_01水果!$D257="周转筐－销售出库",N(对接源_01水果!$K257)&lt;&gt;0)),1,0)</f>
        <v>0</v>
      </c>
      <c r="AI257">
        <f>N(AI256)+$AH257</f>
        <v>0</v>
      </c>
      <c r="AJ257" s="7" t="n"/>
      <c r="AL257">
        <f>IF(OR($AL$1="",对接源_01水果!$Y257="",对接源_01水果!$Y257&lt;&gt;$AL$1,对接源_01水果!$B257="",N(对接源_01水果!$AJ257)&lt;=0),0,IF(OR(N(对接源_01水果!$B257)&lt;$AL$2,N(对接源_01水果!$B257)&gt;$AL$3),0,1))</f>
        <v>0</v>
      </c>
      <c r="AM257">
        <f>N(AM256)+$AL257</f>
        <v>0</v>
      </c>
      <c r="AN257">
        <f>IF(对接源_01水果!$AC257="","",对接源_01水果!$AC257)</f>
      </c>
      <c r="AO257">
        <f>IF(AN257="",0,IF(MATCH(AN257,$AN$4:$AN$1203,0)=ROW()-3,1,0))</f>
        <v>0</v>
      </c>
      <c r="AP257">
        <f>N(AP256)+$AO257</f>
        <v>0</v>
      </c>
      <c r="AR257">
        <f>IF(OR($AF257=1,$AH257=1),1,0)</f>
        <v>0</v>
      </c>
      <c r="AS257">
        <f>N(AS256)+$AR257</f>
        <v>0</v>
      </c>
    </row>
    <row r="258" ht="14.25" customHeight="1" s="127">
      <c r="A258" t="str">
        <f>IF(对接源_01水果!$C258="","",对接源_01水果!$C258)</f>
        <v>王灵云</v>
      </c>
      <c r="B258">
        <f>IF(A258="",0,IF(MATCH(A258,$A$4:$A$2403,0)=ROW()-3,1,0))</f>
        <v>0</v>
      </c>
      <c r="C258">
        <f>N(C257)+B258</f>
        <v>14</v>
      </c>
      <c r="E258">
        <f>IFERROR(INDEX($A$4:$A$2403,MATCH(ROW()-3,$C$4:$C$2403,0)),"")</f>
      </c>
      <c r="K258">
        <f>IF(OR($K$1="",对接源_01水果!$C258="",对接源_01水果!$C258&lt;&gt;$K$1,对接源_01水果!$B258=""),0,IF(OR(N(对接源_01水果!$B258)&lt;$K$2,N(对接源_01水果!$B258)&gt;$K$3),0,1))</f>
        <v>1</v>
      </c>
      <c r="L258">
        <f>IF(OR($L$1="",对接源_01水果!$C258="",对接源_01水果!$C258&lt;&gt;$L$1,对接源_01水果!$B258=""),0,IF(OR(N(对接源_01水果!$B258)&lt;$L$2,N(对接源_01水果!$B258)&gt;$L$3),0,1))</f>
        <v>0</v>
      </c>
      <c r="M258">
        <f>IF(OR($M$1="",对接源_01水果!$C258="",对接源_01水果!$C258&lt;&gt;$M$1,对接源_01水果!$B258=""),0,IF(OR(N(对接源_01水果!$B258)&lt;$M$2,N(对接源_01水果!$B258)&gt;$M$3),0,1))</f>
        <v>0</v>
      </c>
      <c r="N258">
        <f>IF(OR($N$1="",对接源_01水果!$C258="",对接源_01水果!$C258&lt;&gt;$N$1,对接源_01水果!$B258=""),0,IF(OR(N(对接源_01水果!$B258)&lt;$N$2,N(对接源_01水果!$B258)&gt;$N$3),0,1))</f>
        <v>0</v>
      </c>
      <c r="P258">
        <f>IF(AND($K258=1,AND(对接源_01水果!$X258="公司筐",N(对接源_01水果!$T258)&lt;&gt;0)),1,0)</f>
        <v>0</v>
      </c>
      <c r="Q258">
        <f>N(Q257)+$P258</f>
        <v>0</v>
      </c>
      <c r="R258">
        <f>IF(AND($K258=1,AND(对接源_01水果!$X258="公司筐",N(对接源_01水果!$U258)&lt;&gt;0)),1,0)</f>
        <v>0</v>
      </c>
      <c r="S258">
        <f>N(S257)+$R258</f>
        <v>0</v>
      </c>
      <c r="T258">
        <f>IF(AND($K258=1,AND(对接源_01水果!$X258="公司筐",N(对接源_01水果!$V258)&lt;&gt;0)),1,0)</f>
        <v>1</v>
      </c>
      <c r="U258">
        <f>N(U257)+$T258</f>
        <v>11</v>
      </c>
      <c r="V258">
        <f>IF(AND($L258=1,AND(对接源_01水果!$X258="自备筐",N(对接源_01水果!$V258)&lt;&gt;0)),1,0)</f>
        <v>0</v>
      </c>
      <c r="W258">
        <f>N(W257)+$V258</f>
        <v>8</v>
      </c>
      <c r="X258">
        <f>IF(AND($L258=1,AND(对接源_01水果!$X258="自备筐",N(对接源_01水果!$T258)&lt;&gt;0)),1,0)</f>
        <v>0</v>
      </c>
      <c r="Y258">
        <f>N(Y257)+$X258</f>
        <v>0</v>
      </c>
      <c r="Z258">
        <f>IF(AND($M258=1,对接源_01水果!$D258="原料入库"),1,0)</f>
        <v>0</v>
      </c>
      <c r="AA258">
        <f>N(AA257)+$Z258</f>
        <v>18</v>
      </c>
      <c r="AB258">
        <f>IF(AND($M258=1,LEFT(对接源_01水果!$D258,4)="原料出库"),1,0)</f>
        <v>0</v>
      </c>
      <c r="AC258">
        <f>N(AC257)+$AB258</f>
        <v>0</v>
      </c>
      <c r="AD258">
        <f>IF(AND($M258=1,LEFT(对接源_01水果!$D258,4)="成品出库"),1,0)</f>
        <v>0</v>
      </c>
      <c r="AE258">
        <f>N(AE257)+$AD258</f>
        <v>0</v>
      </c>
      <c r="AF258">
        <f>IF(AND($N258=1,AND(LEFT(对接源_01水果!$D258,4)="包装物料",N(对接源_01水果!$K258)&lt;&gt;0)),1,0)</f>
        <v>0</v>
      </c>
      <c r="AG258">
        <f>N(AG257)+$AF258</f>
        <v>0</v>
      </c>
      <c r="AH258">
        <f>IF(AND($N258=1,AND(对接源_01水果!$D258="周转筐－销售出库",N(对接源_01水果!$K258)&lt;&gt;0)),1,0)</f>
        <v>0</v>
      </c>
      <c r="AI258">
        <f>N(AI257)+$AH258</f>
        <v>0</v>
      </c>
      <c r="AJ258" s="7" t="n"/>
      <c r="AL258">
        <f>IF(OR($AL$1="",对接源_01水果!$Y258="",对接源_01水果!$Y258&lt;&gt;$AL$1,对接源_01水果!$B258="",N(对接源_01水果!$AJ258)&lt;=0),0,IF(OR(N(对接源_01水果!$B258)&lt;$AL$2,N(对接源_01水果!$B258)&gt;$AL$3),0,1))</f>
        <v>0</v>
      </c>
      <c r="AM258">
        <f>N(AM257)+$AL258</f>
        <v>0</v>
      </c>
      <c r="AN258">
        <f>IF(对接源_01水果!$AC258="","",对接源_01水果!$AC258)</f>
      </c>
      <c r="AO258">
        <f>IF(AN258="",0,IF(MATCH(AN258,$AN$4:$AN$1203,0)=ROW()-3,1,0))</f>
        <v>0</v>
      </c>
      <c r="AP258">
        <f>N(AP257)+$AO258</f>
        <v>0</v>
      </c>
      <c r="AR258">
        <f>IF(OR($AF258=1,$AH258=1),1,0)</f>
        <v>0</v>
      </c>
      <c r="AS258">
        <f>N(AS257)+$AR258</f>
        <v>0</v>
      </c>
    </row>
    <row r="259" ht="14.25" customHeight="1" s="127">
      <c r="A259" t="str">
        <f>IF(对接源_01水果!$C259="","",对接源_01水果!$C259)</f>
        <v>李现东</v>
      </c>
      <c r="B259">
        <f>IF(A259="",0,IF(MATCH(A259,$A$4:$A$2403,0)=ROW()-3,1,0))</f>
        <v>1</v>
      </c>
      <c r="C259">
        <f>N(C258)+B259</f>
        <v>15</v>
      </c>
      <c r="E259">
        <f>IFERROR(INDEX($A$4:$A$2403,MATCH(ROW()-3,$C$4:$C$2403,0)),"")</f>
      </c>
      <c r="K259">
        <f>IF(OR($K$1="",对接源_01水果!$C259="",对接源_01水果!$C259&lt;&gt;$K$1,对接源_01水果!$B259=""),0,IF(OR(N(对接源_01水果!$B259)&lt;$K$2,N(对接源_01水果!$B259)&gt;$K$3),0,1))</f>
        <v>0</v>
      </c>
      <c r="L259">
        <f>IF(OR($L$1="",对接源_01水果!$C259="",对接源_01水果!$C259&lt;&gt;$L$1,对接源_01水果!$B259=""),0,IF(OR(N(对接源_01水果!$B259)&lt;$L$2,N(对接源_01水果!$B259)&gt;$L$3),0,1))</f>
        <v>0</v>
      </c>
      <c r="M259">
        <f>IF(OR($M$1="",对接源_01水果!$C259="",对接源_01水果!$C259&lt;&gt;$M$1,对接源_01水果!$B259=""),0,IF(OR(N(对接源_01水果!$B259)&lt;$M$2,N(对接源_01水果!$B259)&gt;$M$3),0,1))</f>
        <v>0</v>
      </c>
      <c r="N259">
        <f>IF(OR($N$1="",对接源_01水果!$C259="",对接源_01水果!$C259&lt;&gt;$N$1,对接源_01水果!$B259=""),0,IF(OR(N(对接源_01水果!$B259)&lt;$N$2,N(对接源_01水果!$B259)&gt;$N$3),0,1))</f>
        <v>0</v>
      </c>
      <c r="P259">
        <f>IF(AND($K259=1,AND(对接源_01水果!$X259="公司筐",N(对接源_01水果!$T259)&lt;&gt;0)),1,0)</f>
        <v>0</v>
      </c>
      <c r="Q259">
        <f>N(Q258)+$P259</f>
        <v>0</v>
      </c>
      <c r="R259">
        <f>IF(AND($K259=1,AND(对接源_01水果!$X259="公司筐",N(对接源_01水果!$U259)&lt;&gt;0)),1,0)</f>
        <v>0</v>
      </c>
      <c r="S259">
        <f>N(S258)+$R259</f>
        <v>0</v>
      </c>
      <c r="T259">
        <f>IF(AND($K259=1,AND(对接源_01水果!$X259="公司筐",N(对接源_01水果!$V259)&lt;&gt;0)),1,0)</f>
        <v>0</v>
      </c>
      <c r="U259">
        <f>N(U258)+$T259</f>
        <v>11</v>
      </c>
      <c r="V259">
        <f>IF(AND($L259=1,AND(对接源_01水果!$X259="自备筐",N(对接源_01水果!$V259)&lt;&gt;0)),1,0)</f>
        <v>0</v>
      </c>
      <c r="W259">
        <f>N(W258)+$V259</f>
        <v>8</v>
      </c>
      <c r="X259">
        <f>IF(AND($L259=1,AND(对接源_01水果!$X259="自备筐",N(对接源_01水果!$T259)&lt;&gt;0)),1,0)</f>
        <v>0</v>
      </c>
      <c r="Y259">
        <f>N(Y258)+$X259</f>
        <v>0</v>
      </c>
      <c r="Z259">
        <f>IF(AND($M259=1,对接源_01水果!$D259="原料入库"),1,0)</f>
        <v>0</v>
      </c>
      <c r="AA259">
        <f>N(AA258)+$Z259</f>
        <v>18</v>
      </c>
      <c r="AB259">
        <f>IF(AND($M259=1,LEFT(对接源_01水果!$D259,4)="原料出库"),1,0)</f>
        <v>0</v>
      </c>
      <c r="AC259">
        <f>N(AC258)+$AB259</f>
        <v>0</v>
      </c>
      <c r="AD259">
        <f>IF(AND($M259=1,LEFT(对接源_01水果!$D259,4)="成品出库"),1,0)</f>
        <v>0</v>
      </c>
      <c r="AE259">
        <f>N(AE258)+$AD259</f>
        <v>0</v>
      </c>
      <c r="AF259">
        <f>IF(AND($N259=1,AND(LEFT(对接源_01水果!$D259,4)="包装物料",N(对接源_01水果!$K259)&lt;&gt;0)),1,0)</f>
        <v>0</v>
      </c>
      <c r="AG259">
        <f>N(AG258)+$AF259</f>
        <v>0</v>
      </c>
      <c r="AH259">
        <f>IF(AND($N259=1,AND(对接源_01水果!$D259="周转筐－销售出库",N(对接源_01水果!$K259)&lt;&gt;0)),1,0)</f>
        <v>0</v>
      </c>
      <c r="AI259">
        <f>N(AI258)+$AH259</f>
        <v>0</v>
      </c>
      <c r="AJ259" s="7" t="n"/>
      <c r="AL259">
        <f>IF(OR($AL$1="",对接源_01水果!$Y259="",对接源_01水果!$Y259&lt;&gt;$AL$1,对接源_01水果!$B259="",N(对接源_01水果!$AJ259)&lt;=0),0,IF(OR(N(对接源_01水果!$B259)&lt;$AL$2,N(对接源_01水果!$B259)&gt;$AL$3),0,1))</f>
        <v>0</v>
      </c>
      <c r="AM259">
        <f>N(AM258)+$AL259</f>
        <v>0</v>
      </c>
      <c r="AN259">
        <f>IF(对接源_01水果!$AC259="","",对接源_01水果!$AC259)</f>
      </c>
      <c r="AO259">
        <f>IF(AN259="",0,IF(MATCH(AN259,$AN$4:$AN$1203,0)=ROW()-3,1,0))</f>
        <v>0</v>
      </c>
      <c r="AP259">
        <f>N(AP258)+$AO259</f>
        <v>0</v>
      </c>
      <c r="AR259">
        <f>IF(OR($AF259=1,$AH259=1),1,0)</f>
        <v>0</v>
      </c>
      <c r="AS259">
        <f>N(AS258)+$AR259</f>
        <v>0</v>
      </c>
    </row>
    <row r="260" ht="14.25" customHeight="1" s="127">
      <c r="A260" t="str">
        <f>IF(对接源_01水果!$C260="","",对接源_01水果!$C260)</f>
        <v>李现东</v>
      </c>
      <c r="B260">
        <f>IF(A260="",0,IF(MATCH(A260,$A$4:$A$2403,0)=ROW()-3,1,0))</f>
        <v>0</v>
      </c>
      <c r="C260">
        <f>N(C259)+B260</f>
        <v>15</v>
      </c>
      <c r="E260">
        <f>IFERROR(INDEX($A$4:$A$2403,MATCH(ROW()-3,$C$4:$C$2403,0)),"")</f>
      </c>
      <c r="K260">
        <f>IF(OR($K$1="",对接源_01水果!$C260="",对接源_01水果!$C260&lt;&gt;$K$1,对接源_01水果!$B260=""),0,IF(OR(N(对接源_01水果!$B260)&lt;$K$2,N(对接源_01水果!$B260)&gt;$K$3),0,1))</f>
        <v>0</v>
      </c>
      <c r="L260">
        <f>IF(OR($L$1="",对接源_01水果!$C260="",对接源_01水果!$C260&lt;&gt;$L$1,对接源_01水果!$B260=""),0,IF(OR(N(对接源_01水果!$B260)&lt;$L$2,N(对接源_01水果!$B260)&gt;$L$3),0,1))</f>
        <v>0</v>
      </c>
      <c r="M260">
        <f>IF(OR($M$1="",对接源_01水果!$C260="",对接源_01水果!$C260&lt;&gt;$M$1,对接源_01水果!$B260=""),0,IF(OR(N(对接源_01水果!$B260)&lt;$M$2,N(对接源_01水果!$B260)&gt;$M$3),0,1))</f>
        <v>0</v>
      </c>
      <c r="N260">
        <f>IF(OR($N$1="",对接源_01水果!$C260="",对接源_01水果!$C260&lt;&gt;$N$1,对接源_01水果!$B260=""),0,IF(OR(N(对接源_01水果!$B260)&lt;$N$2,N(对接源_01水果!$B260)&gt;$N$3),0,1))</f>
        <v>0</v>
      </c>
      <c r="P260">
        <f>IF(AND($K260=1,AND(对接源_01水果!$X260="公司筐",N(对接源_01水果!$T260)&lt;&gt;0)),1,0)</f>
        <v>0</v>
      </c>
      <c r="Q260">
        <f>N(Q259)+$P260</f>
        <v>0</v>
      </c>
      <c r="R260">
        <f>IF(AND($K260=1,AND(对接源_01水果!$X260="公司筐",N(对接源_01水果!$U260)&lt;&gt;0)),1,0)</f>
        <v>0</v>
      </c>
      <c r="S260">
        <f>N(S259)+$R260</f>
        <v>0</v>
      </c>
      <c r="T260">
        <f>IF(AND($K260=1,AND(对接源_01水果!$X260="公司筐",N(对接源_01水果!$V260)&lt;&gt;0)),1,0)</f>
        <v>0</v>
      </c>
      <c r="U260">
        <f>N(U259)+$T260</f>
        <v>11</v>
      </c>
      <c r="V260">
        <f>IF(AND($L260=1,AND(对接源_01水果!$X260="自备筐",N(对接源_01水果!$V260)&lt;&gt;0)),1,0)</f>
        <v>0</v>
      </c>
      <c r="W260">
        <f>N(W259)+$V260</f>
        <v>8</v>
      </c>
      <c r="X260">
        <f>IF(AND($L260=1,AND(对接源_01水果!$X260="自备筐",N(对接源_01水果!$T260)&lt;&gt;0)),1,0)</f>
        <v>0</v>
      </c>
      <c r="Y260">
        <f>N(Y259)+$X260</f>
        <v>0</v>
      </c>
      <c r="Z260">
        <f>IF(AND($M260=1,对接源_01水果!$D260="原料入库"),1,0)</f>
        <v>0</v>
      </c>
      <c r="AA260">
        <f>N(AA259)+$Z260</f>
        <v>18</v>
      </c>
      <c r="AB260">
        <f>IF(AND($M260=1,LEFT(对接源_01水果!$D260,4)="原料出库"),1,0)</f>
        <v>0</v>
      </c>
      <c r="AC260">
        <f>N(AC259)+$AB260</f>
        <v>0</v>
      </c>
      <c r="AD260">
        <f>IF(AND($M260=1,LEFT(对接源_01水果!$D260,4)="成品出库"),1,0)</f>
        <v>0</v>
      </c>
      <c r="AE260">
        <f>N(AE259)+$AD260</f>
        <v>0</v>
      </c>
      <c r="AF260">
        <f>IF(AND($N260=1,AND(LEFT(对接源_01水果!$D260,4)="包装物料",N(对接源_01水果!$K260)&lt;&gt;0)),1,0)</f>
        <v>0</v>
      </c>
      <c r="AG260">
        <f>N(AG259)+$AF260</f>
        <v>0</v>
      </c>
      <c r="AH260">
        <f>IF(AND($N260=1,AND(对接源_01水果!$D260="周转筐－销售出库",N(对接源_01水果!$K260)&lt;&gt;0)),1,0)</f>
        <v>0</v>
      </c>
      <c r="AI260">
        <f>N(AI259)+$AH260</f>
        <v>0</v>
      </c>
      <c r="AJ260" s="7" t="n"/>
      <c r="AL260">
        <f>IF(OR($AL$1="",对接源_01水果!$Y260="",对接源_01水果!$Y260&lt;&gt;$AL$1,对接源_01水果!$B260="",N(对接源_01水果!$AJ260)&lt;=0),0,IF(OR(N(对接源_01水果!$B260)&lt;$AL$2,N(对接源_01水果!$B260)&gt;$AL$3),0,1))</f>
        <v>0</v>
      </c>
      <c r="AM260">
        <f>N(AM259)+$AL260</f>
        <v>0</v>
      </c>
      <c r="AN260">
        <f>IF(对接源_01水果!$AC260="","",对接源_01水果!$AC260)</f>
      </c>
      <c r="AO260">
        <f>IF(AN260="",0,IF(MATCH(AN260,$AN$4:$AN$1203,0)=ROW()-3,1,0))</f>
        <v>0</v>
      </c>
      <c r="AP260">
        <f>N(AP259)+$AO260</f>
        <v>0</v>
      </c>
      <c r="AR260">
        <f>IF(OR($AF260=1,$AH260=1),1,0)</f>
        <v>0</v>
      </c>
      <c r="AS260">
        <f>N(AS259)+$AR260</f>
        <v>0</v>
      </c>
    </row>
    <row r="261" ht="14.25" customHeight="1" s="127">
      <c r="A261" t="str">
        <f>IF(对接源_01水果!$C261="","",对接源_01水果!$C261)</f>
        <v>李现东</v>
      </c>
      <c r="B261">
        <f>IF(A261="",0,IF(MATCH(A261,$A$4:$A$2403,0)=ROW()-3,1,0))</f>
        <v>0</v>
      </c>
      <c r="C261">
        <f>N(C260)+B261</f>
        <v>15</v>
      </c>
      <c r="E261">
        <f>IFERROR(INDEX($A$4:$A$2403,MATCH(ROW()-3,$C$4:$C$2403,0)),"")</f>
      </c>
      <c r="K261">
        <f>IF(OR($K$1="",对接源_01水果!$C261="",对接源_01水果!$C261&lt;&gt;$K$1,对接源_01水果!$B261=""),0,IF(OR(N(对接源_01水果!$B261)&lt;$K$2,N(对接源_01水果!$B261)&gt;$K$3),0,1))</f>
        <v>0</v>
      </c>
      <c r="L261">
        <f>IF(OR($L$1="",对接源_01水果!$C261="",对接源_01水果!$C261&lt;&gt;$L$1,对接源_01水果!$B261=""),0,IF(OR(N(对接源_01水果!$B261)&lt;$L$2,N(对接源_01水果!$B261)&gt;$L$3),0,1))</f>
        <v>0</v>
      </c>
      <c r="M261">
        <f>IF(OR($M$1="",对接源_01水果!$C261="",对接源_01水果!$C261&lt;&gt;$M$1,对接源_01水果!$B261=""),0,IF(OR(N(对接源_01水果!$B261)&lt;$M$2,N(对接源_01水果!$B261)&gt;$M$3),0,1))</f>
        <v>0</v>
      </c>
      <c r="N261">
        <f>IF(OR($N$1="",对接源_01水果!$C261="",对接源_01水果!$C261&lt;&gt;$N$1,对接源_01水果!$B261=""),0,IF(OR(N(对接源_01水果!$B261)&lt;$N$2,N(对接源_01水果!$B261)&gt;$N$3),0,1))</f>
        <v>0</v>
      </c>
      <c r="P261">
        <f>IF(AND($K261=1,AND(对接源_01水果!$X261="公司筐",N(对接源_01水果!$T261)&lt;&gt;0)),1,0)</f>
        <v>0</v>
      </c>
      <c r="Q261">
        <f>N(Q260)+$P261</f>
        <v>0</v>
      </c>
      <c r="R261">
        <f>IF(AND($K261=1,AND(对接源_01水果!$X261="公司筐",N(对接源_01水果!$U261)&lt;&gt;0)),1,0)</f>
        <v>0</v>
      </c>
      <c r="S261">
        <f>N(S260)+$R261</f>
        <v>0</v>
      </c>
      <c r="T261">
        <f>IF(AND($K261=1,AND(对接源_01水果!$X261="公司筐",N(对接源_01水果!$V261)&lt;&gt;0)),1,0)</f>
        <v>0</v>
      </c>
      <c r="U261">
        <f>N(U260)+$T261</f>
        <v>11</v>
      </c>
      <c r="V261">
        <f>IF(AND($L261=1,AND(对接源_01水果!$X261="自备筐",N(对接源_01水果!$V261)&lt;&gt;0)),1,0)</f>
        <v>0</v>
      </c>
      <c r="W261">
        <f>N(W260)+$V261</f>
        <v>8</v>
      </c>
      <c r="X261">
        <f>IF(AND($L261=1,AND(对接源_01水果!$X261="自备筐",N(对接源_01水果!$T261)&lt;&gt;0)),1,0)</f>
        <v>0</v>
      </c>
      <c r="Y261">
        <f>N(Y260)+$X261</f>
        <v>0</v>
      </c>
      <c r="Z261">
        <f>IF(AND($M261=1,对接源_01水果!$D261="原料入库"),1,0)</f>
        <v>0</v>
      </c>
      <c r="AA261">
        <f>N(AA260)+$Z261</f>
        <v>18</v>
      </c>
      <c r="AB261">
        <f>IF(AND($M261=1,LEFT(对接源_01水果!$D261,4)="原料出库"),1,0)</f>
        <v>0</v>
      </c>
      <c r="AC261">
        <f>N(AC260)+$AB261</f>
        <v>0</v>
      </c>
      <c r="AD261">
        <f>IF(AND($M261=1,LEFT(对接源_01水果!$D261,4)="成品出库"),1,0)</f>
        <v>0</v>
      </c>
      <c r="AE261">
        <f>N(AE260)+$AD261</f>
        <v>0</v>
      </c>
      <c r="AF261">
        <f>IF(AND($N261=1,AND(LEFT(对接源_01水果!$D261,4)="包装物料",N(对接源_01水果!$K261)&lt;&gt;0)),1,0)</f>
        <v>0</v>
      </c>
      <c r="AG261">
        <f>N(AG260)+$AF261</f>
        <v>0</v>
      </c>
      <c r="AH261">
        <f>IF(AND($N261=1,AND(对接源_01水果!$D261="周转筐－销售出库",N(对接源_01水果!$K261)&lt;&gt;0)),1,0)</f>
        <v>0</v>
      </c>
      <c r="AI261">
        <f>N(AI260)+$AH261</f>
        <v>0</v>
      </c>
      <c r="AJ261" s="7" t="n"/>
      <c r="AL261">
        <f>IF(OR($AL$1="",对接源_01水果!$Y261="",对接源_01水果!$Y261&lt;&gt;$AL$1,对接源_01水果!$B261="",N(对接源_01水果!$AJ261)&lt;=0),0,IF(OR(N(对接源_01水果!$B261)&lt;$AL$2,N(对接源_01水果!$B261)&gt;$AL$3),0,1))</f>
        <v>0</v>
      </c>
      <c r="AM261">
        <f>N(AM260)+$AL261</f>
        <v>0</v>
      </c>
      <c r="AN261">
        <f>IF(对接源_01水果!$AC261="","",对接源_01水果!$AC261)</f>
      </c>
      <c r="AO261">
        <f>IF(AN261="",0,IF(MATCH(AN261,$AN$4:$AN$1203,0)=ROW()-3,1,0))</f>
        <v>0</v>
      </c>
      <c r="AP261">
        <f>N(AP260)+$AO261</f>
        <v>0</v>
      </c>
      <c r="AR261">
        <f>IF(OR($AF261=1,$AH261=1),1,0)</f>
        <v>0</v>
      </c>
      <c r="AS261">
        <f>N(AS260)+$AR261</f>
        <v>0</v>
      </c>
    </row>
    <row r="262" ht="14.25" customHeight="1" s="127">
      <c r="A262" t="str">
        <f>IF(对接源_01水果!$C262="","",对接源_01水果!$C262)</f>
        <v>吐尔洪</v>
      </c>
      <c r="B262">
        <f>IF(A262="",0,IF(MATCH(A262,$A$4:$A$2403,0)=ROW()-3,1,0))</f>
        <v>0</v>
      </c>
      <c r="C262">
        <f>N(C261)+B262</f>
        <v>15</v>
      </c>
      <c r="E262">
        <f>IFERROR(INDEX($A$4:$A$2403,MATCH(ROW()-3,$C$4:$C$2403,0)),"")</f>
      </c>
      <c r="K262">
        <f>IF(OR($K$1="",对接源_01水果!$C262="",对接源_01水果!$C262&lt;&gt;$K$1,对接源_01水果!$B262=""),0,IF(OR(N(对接源_01水果!$B262)&lt;$K$2,N(对接源_01水果!$B262)&gt;$K$3),0,1))</f>
        <v>0</v>
      </c>
      <c r="L262">
        <f>IF(OR($L$1="",对接源_01水果!$C262="",对接源_01水果!$C262&lt;&gt;$L$1,对接源_01水果!$B262=""),0,IF(OR(N(对接源_01水果!$B262)&lt;$L$2,N(对接源_01水果!$B262)&gt;$L$3),0,1))</f>
        <v>0</v>
      </c>
      <c r="M262">
        <f>IF(OR($M$1="",对接源_01水果!$C262="",对接源_01水果!$C262&lt;&gt;$M$1,对接源_01水果!$B262=""),0,IF(OR(N(对接源_01水果!$B262)&lt;$M$2,N(对接源_01水果!$B262)&gt;$M$3),0,1))</f>
        <v>1</v>
      </c>
      <c r="N262">
        <f>IF(OR($N$1="",对接源_01水果!$C262="",对接源_01水果!$C262&lt;&gt;$N$1,对接源_01水果!$B262=""),0,IF(OR(N(对接源_01水果!$B262)&lt;$N$2,N(对接源_01水果!$B262)&gt;$N$3),0,1))</f>
        <v>0</v>
      </c>
      <c r="P262">
        <f>IF(AND($K262=1,AND(对接源_01水果!$X262="公司筐",N(对接源_01水果!$T262)&lt;&gt;0)),1,0)</f>
        <v>0</v>
      </c>
      <c r="Q262">
        <f>N(Q261)+$P262</f>
        <v>0</v>
      </c>
      <c r="R262">
        <f>IF(AND($K262=1,AND(对接源_01水果!$X262="公司筐",N(对接源_01水果!$U262)&lt;&gt;0)),1,0)</f>
        <v>0</v>
      </c>
      <c r="S262">
        <f>N(S261)+$R262</f>
        <v>0</v>
      </c>
      <c r="T262">
        <f>IF(AND($K262=1,AND(对接源_01水果!$X262="公司筐",N(对接源_01水果!$V262)&lt;&gt;0)),1,0)</f>
        <v>0</v>
      </c>
      <c r="U262">
        <f>N(U261)+$T262</f>
        <v>11</v>
      </c>
      <c r="V262">
        <f>IF(AND($L262=1,AND(对接源_01水果!$X262="自备筐",N(对接源_01水果!$V262)&lt;&gt;0)),1,0)</f>
        <v>0</v>
      </c>
      <c r="W262">
        <f>N(W261)+$V262</f>
        <v>8</v>
      </c>
      <c r="X262">
        <f>IF(AND($L262=1,AND(对接源_01水果!$X262="自备筐",N(对接源_01水果!$T262)&lt;&gt;0)),1,0)</f>
        <v>0</v>
      </c>
      <c r="Y262">
        <f>N(Y261)+$X262</f>
        <v>0</v>
      </c>
      <c r="Z262">
        <f>IF(AND($M262=1,对接源_01水果!$D262="原料入库"),1,0)</f>
        <v>1</v>
      </c>
      <c r="AA262">
        <f>N(AA261)+$Z262</f>
        <v>19</v>
      </c>
      <c r="AB262">
        <f>IF(AND($M262=1,LEFT(对接源_01水果!$D262,4)="原料出库"),1,0)</f>
        <v>0</v>
      </c>
      <c r="AC262">
        <f>N(AC261)+$AB262</f>
        <v>0</v>
      </c>
      <c r="AD262">
        <f>IF(AND($M262=1,LEFT(对接源_01水果!$D262,4)="成品出库"),1,0)</f>
        <v>0</v>
      </c>
      <c r="AE262">
        <f>N(AE261)+$AD262</f>
        <v>0</v>
      </c>
      <c r="AF262">
        <f>IF(AND($N262=1,AND(LEFT(对接源_01水果!$D262,4)="包装物料",N(对接源_01水果!$K262)&lt;&gt;0)),1,0)</f>
        <v>0</v>
      </c>
      <c r="AG262">
        <f>N(AG261)+$AF262</f>
        <v>0</v>
      </c>
      <c r="AH262">
        <f>IF(AND($N262=1,AND(对接源_01水果!$D262="周转筐－销售出库",N(对接源_01水果!$K262)&lt;&gt;0)),1,0)</f>
        <v>0</v>
      </c>
      <c r="AI262">
        <f>N(AI261)+$AH262</f>
        <v>0</v>
      </c>
      <c r="AJ262" s="7" t="n"/>
      <c r="AL262">
        <f>IF(OR($AL$1="",对接源_01水果!$Y262="",对接源_01水果!$Y262&lt;&gt;$AL$1,对接源_01水果!$B262="",N(对接源_01水果!$AJ262)&lt;=0),0,IF(OR(N(对接源_01水果!$B262)&lt;$AL$2,N(对接源_01水果!$B262)&gt;$AL$3),0,1))</f>
        <v>0</v>
      </c>
      <c r="AM262">
        <f>N(AM261)+$AL262</f>
        <v>0</v>
      </c>
      <c r="AN262">
        <f>IF(对接源_01水果!$AC262="","",对接源_01水果!$AC262)</f>
      </c>
      <c r="AO262">
        <f>IF(AN262="",0,IF(MATCH(AN262,$AN$4:$AN$1203,0)=ROW()-3,1,0))</f>
        <v>0</v>
      </c>
      <c r="AP262">
        <f>N(AP261)+$AO262</f>
        <v>0</v>
      </c>
      <c r="AR262">
        <f>IF(OR($AF262=1,$AH262=1),1,0)</f>
        <v>0</v>
      </c>
      <c r="AS262">
        <f>N(AS261)+$AR262</f>
        <v>0</v>
      </c>
    </row>
    <row r="263" ht="14.25" customHeight="1" s="127">
      <c r="A263" t="str">
        <f>IF(对接源_01水果!$C263="","",对接源_01水果!$C263)</f>
        <v>吐尔洪</v>
      </c>
      <c r="B263">
        <f>IF(A263="",0,IF(MATCH(A263,$A$4:$A$2403,0)=ROW()-3,1,0))</f>
        <v>0</v>
      </c>
      <c r="C263">
        <f>N(C262)+B263</f>
        <v>15</v>
      </c>
      <c r="E263">
        <f>IFERROR(INDEX($A$4:$A$2403,MATCH(ROW()-3,$C$4:$C$2403,0)),"")</f>
      </c>
      <c r="K263">
        <f>IF(OR($K$1="",对接源_01水果!$C263="",对接源_01水果!$C263&lt;&gt;$K$1,对接源_01水果!$B263=""),0,IF(OR(N(对接源_01水果!$B263)&lt;$K$2,N(对接源_01水果!$B263)&gt;$K$3),0,1))</f>
        <v>0</v>
      </c>
      <c r="L263">
        <f>IF(OR($L$1="",对接源_01水果!$C263="",对接源_01水果!$C263&lt;&gt;$L$1,对接源_01水果!$B263=""),0,IF(OR(N(对接源_01水果!$B263)&lt;$L$2,N(对接源_01水果!$B263)&gt;$L$3),0,1))</f>
        <v>0</v>
      </c>
      <c r="M263">
        <f>IF(OR($M$1="",对接源_01水果!$C263="",对接源_01水果!$C263&lt;&gt;$M$1,对接源_01水果!$B263=""),0,IF(OR(N(对接源_01水果!$B263)&lt;$M$2,N(对接源_01水果!$B263)&gt;$M$3),0,1))</f>
        <v>1</v>
      </c>
      <c r="N263">
        <f>IF(OR($N$1="",对接源_01水果!$C263="",对接源_01水果!$C263&lt;&gt;$N$1,对接源_01水果!$B263=""),0,IF(OR(N(对接源_01水果!$B263)&lt;$N$2,N(对接源_01水果!$B263)&gt;$N$3),0,1))</f>
        <v>0</v>
      </c>
      <c r="P263">
        <f>IF(AND($K263=1,AND(对接源_01水果!$X263="公司筐",N(对接源_01水果!$T263)&lt;&gt;0)),1,0)</f>
        <v>0</v>
      </c>
      <c r="Q263">
        <f>N(Q262)+$P263</f>
        <v>0</v>
      </c>
      <c r="R263">
        <f>IF(AND($K263=1,AND(对接源_01水果!$X263="公司筐",N(对接源_01水果!$U263)&lt;&gt;0)),1,0)</f>
        <v>0</v>
      </c>
      <c r="S263">
        <f>N(S262)+$R263</f>
        <v>0</v>
      </c>
      <c r="T263">
        <f>IF(AND($K263=1,AND(对接源_01水果!$X263="公司筐",N(对接源_01水果!$V263)&lt;&gt;0)),1,0)</f>
        <v>0</v>
      </c>
      <c r="U263">
        <f>N(U262)+$T263</f>
        <v>11</v>
      </c>
      <c r="V263">
        <f>IF(AND($L263=1,AND(对接源_01水果!$X263="自备筐",N(对接源_01水果!$V263)&lt;&gt;0)),1,0)</f>
        <v>0</v>
      </c>
      <c r="W263">
        <f>N(W262)+$V263</f>
        <v>8</v>
      </c>
      <c r="X263">
        <f>IF(AND($L263=1,AND(对接源_01水果!$X263="自备筐",N(对接源_01水果!$T263)&lt;&gt;0)),1,0)</f>
        <v>0</v>
      </c>
      <c r="Y263">
        <f>N(Y262)+$X263</f>
        <v>0</v>
      </c>
      <c r="Z263">
        <f>IF(AND($M263=1,对接源_01水果!$D263="原料入库"),1,0)</f>
        <v>1</v>
      </c>
      <c r="AA263">
        <f>N(AA262)+$Z263</f>
        <v>20</v>
      </c>
      <c r="AB263">
        <f>IF(AND($M263=1,LEFT(对接源_01水果!$D263,4)="原料出库"),1,0)</f>
        <v>0</v>
      </c>
      <c r="AC263">
        <f>N(AC262)+$AB263</f>
        <v>0</v>
      </c>
      <c r="AD263">
        <f>IF(AND($M263=1,LEFT(对接源_01水果!$D263,4)="成品出库"),1,0)</f>
        <v>0</v>
      </c>
      <c r="AE263">
        <f>N(AE262)+$AD263</f>
        <v>0</v>
      </c>
      <c r="AF263">
        <f>IF(AND($N263=1,AND(LEFT(对接源_01水果!$D263,4)="包装物料",N(对接源_01水果!$K263)&lt;&gt;0)),1,0)</f>
        <v>0</v>
      </c>
      <c r="AG263">
        <f>N(AG262)+$AF263</f>
        <v>0</v>
      </c>
      <c r="AH263">
        <f>IF(AND($N263=1,AND(对接源_01水果!$D263="周转筐－销售出库",N(对接源_01水果!$K263)&lt;&gt;0)),1,0)</f>
        <v>0</v>
      </c>
      <c r="AI263">
        <f>N(AI262)+$AH263</f>
        <v>0</v>
      </c>
      <c r="AJ263" s="7" t="n"/>
      <c r="AL263">
        <f>IF(OR($AL$1="",对接源_01水果!$Y263="",对接源_01水果!$Y263&lt;&gt;$AL$1,对接源_01水果!$B263="",N(对接源_01水果!$AJ263)&lt;=0),0,IF(OR(N(对接源_01水果!$B263)&lt;$AL$2,N(对接源_01水果!$B263)&gt;$AL$3),0,1))</f>
        <v>0</v>
      </c>
      <c r="AM263">
        <f>N(AM262)+$AL263</f>
        <v>0</v>
      </c>
      <c r="AN263">
        <f>IF(对接源_01水果!$AC263="","",对接源_01水果!$AC263)</f>
      </c>
      <c r="AO263">
        <f>IF(AN263="",0,IF(MATCH(AN263,$AN$4:$AN$1203,0)=ROW()-3,1,0))</f>
        <v>0</v>
      </c>
      <c r="AP263">
        <f>N(AP262)+$AO263</f>
        <v>0</v>
      </c>
      <c r="AR263">
        <f>IF(OR($AF263=1,$AH263=1),1,0)</f>
        <v>0</v>
      </c>
      <c r="AS263">
        <f>N(AS262)+$AR263</f>
        <v>0</v>
      </c>
    </row>
    <row r="264" ht="14.25" customHeight="1" s="127">
      <c r="A264" t="str">
        <f>IF(对接源_01水果!$C264="","",对接源_01水果!$C264)</f>
        <v>吐尔洪</v>
      </c>
      <c r="B264">
        <f>IF(A264="",0,IF(MATCH(A264,$A$4:$A$2403,0)=ROW()-3,1,0))</f>
        <v>0</v>
      </c>
      <c r="C264">
        <f>N(C263)+B264</f>
        <v>15</v>
      </c>
      <c r="E264">
        <f>IFERROR(INDEX($A$4:$A$2403,MATCH(ROW()-3,$C$4:$C$2403,0)),"")</f>
      </c>
      <c r="K264">
        <f>IF(OR($K$1="",对接源_01水果!$C264="",对接源_01水果!$C264&lt;&gt;$K$1,对接源_01水果!$B264=""),0,IF(OR(N(对接源_01水果!$B264)&lt;$K$2,N(对接源_01水果!$B264)&gt;$K$3),0,1))</f>
        <v>0</v>
      </c>
      <c r="L264">
        <f>IF(OR($L$1="",对接源_01水果!$C264="",对接源_01水果!$C264&lt;&gt;$L$1,对接源_01水果!$B264=""),0,IF(OR(N(对接源_01水果!$B264)&lt;$L$2,N(对接源_01水果!$B264)&gt;$L$3),0,1))</f>
        <v>0</v>
      </c>
      <c r="M264">
        <f>IF(OR($M$1="",对接源_01水果!$C264="",对接源_01水果!$C264&lt;&gt;$M$1,对接源_01水果!$B264=""),0,IF(OR(N(对接源_01水果!$B264)&lt;$M$2,N(对接源_01水果!$B264)&gt;$M$3),0,1))</f>
        <v>1</v>
      </c>
      <c r="N264">
        <f>IF(OR($N$1="",对接源_01水果!$C264="",对接源_01水果!$C264&lt;&gt;$N$1,对接源_01水果!$B264=""),0,IF(OR(N(对接源_01水果!$B264)&lt;$N$2,N(对接源_01水果!$B264)&gt;$N$3),0,1))</f>
        <v>0</v>
      </c>
      <c r="P264">
        <f>IF(AND($K264=1,AND(对接源_01水果!$X264="公司筐",N(对接源_01水果!$T264)&lt;&gt;0)),1,0)</f>
        <v>0</v>
      </c>
      <c r="Q264">
        <f>N(Q263)+$P264</f>
        <v>0</v>
      </c>
      <c r="R264">
        <f>IF(AND($K264=1,AND(对接源_01水果!$X264="公司筐",N(对接源_01水果!$U264)&lt;&gt;0)),1,0)</f>
        <v>0</v>
      </c>
      <c r="S264">
        <f>N(S263)+$R264</f>
        <v>0</v>
      </c>
      <c r="T264">
        <f>IF(AND($K264=1,AND(对接源_01水果!$X264="公司筐",N(对接源_01水果!$V264)&lt;&gt;0)),1,0)</f>
        <v>0</v>
      </c>
      <c r="U264">
        <f>N(U263)+$T264</f>
        <v>11</v>
      </c>
      <c r="V264">
        <f>IF(AND($L264=1,AND(对接源_01水果!$X264="自备筐",N(对接源_01水果!$V264)&lt;&gt;0)),1,0)</f>
        <v>0</v>
      </c>
      <c r="W264">
        <f>N(W263)+$V264</f>
        <v>8</v>
      </c>
      <c r="X264">
        <f>IF(AND($L264=1,AND(对接源_01水果!$X264="自备筐",N(对接源_01水果!$T264)&lt;&gt;0)),1,0)</f>
        <v>0</v>
      </c>
      <c r="Y264">
        <f>N(Y263)+$X264</f>
        <v>0</v>
      </c>
      <c r="Z264">
        <f>IF(AND($M264=1,对接源_01水果!$D264="原料入库"),1,0)</f>
        <v>1</v>
      </c>
      <c r="AA264">
        <f>N(AA263)+$Z264</f>
        <v>21</v>
      </c>
      <c r="AB264">
        <f>IF(AND($M264=1,LEFT(对接源_01水果!$D264,4)="原料出库"),1,0)</f>
        <v>0</v>
      </c>
      <c r="AC264">
        <f>N(AC263)+$AB264</f>
        <v>0</v>
      </c>
      <c r="AD264">
        <f>IF(AND($M264=1,LEFT(对接源_01水果!$D264,4)="成品出库"),1,0)</f>
        <v>0</v>
      </c>
      <c r="AE264">
        <f>N(AE263)+$AD264</f>
        <v>0</v>
      </c>
      <c r="AF264">
        <f>IF(AND($N264=1,AND(LEFT(对接源_01水果!$D264,4)="包装物料",N(对接源_01水果!$K264)&lt;&gt;0)),1,0)</f>
        <v>0</v>
      </c>
      <c r="AG264">
        <f>N(AG263)+$AF264</f>
        <v>0</v>
      </c>
      <c r="AH264">
        <f>IF(AND($N264=1,AND(对接源_01水果!$D264="周转筐－销售出库",N(对接源_01水果!$K264)&lt;&gt;0)),1,0)</f>
        <v>0</v>
      </c>
      <c r="AI264">
        <f>N(AI263)+$AH264</f>
        <v>0</v>
      </c>
      <c r="AJ264" s="7" t="n"/>
      <c r="AL264">
        <f>IF(OR($AL$1="",对接源_01水果!$Y264="",对接源_01水果!$Y264&lt;&gt;$AL$1,对接源_01水果!$B264="",N(对接源_01水果!$AJ264)&lt;=0),0,IF(OR(N(对接源_01水果!$B264)&lt;$AL$2,N(对接源_01水果!$B264)&gt;$AL$3),0,1))</f>
        <v>0</v>
      </c>
      <c r="AM264">
        <f>N(AM263)+$AL264</f>
        <v>0</v>
      </c>
      <c r="AN264">
        <f>IF(对接源_01水果!$AC264="","",对接源_01水果!$AC264)</f>
      </c>
      <c r="AO264">
        <f>IF(AN264="",0,IF(MATCH(AN264,$AN$4:$AN$1203,0)=ROW()-3,1,0))</f>
        <v>0</v>
      </c>
      <c r="AP264">
        <f>N(AP263)+$AO264</f>
        <v>0</v>
      </c>
      <c r="AR264">
        <f>IF(OR($AF264=1,$AH264=1),1,0)</f>
        <v>0</v>
      </c>
      <c r="AS264">
        <f>N(AS263)+$AR264</f>
        <v>0</v>
      </c>
    </row>
    <row r="265" ht="14.25" customHeight="1" s="127">
      <c r="A265" t="str">
        <f>IF(对接源_01水果!$C265="","",对接源_01水果!$C265)</f>
        <v>王灵云</v>
      </c>
      <c r="B265">
        <f>IF(A265="",0,IF(MATCH(A265,$A$4:$A$2403,0)=ROW()-3,1,0))</f>
        <v>0</v>
      </c>
      <c r="C265">
        <f>N(C264)+B265</f>
        <v>15</v>
      </c>
      <c r="E265">
        <f>IFERROR(INDEX($A$4:$A$2403,MATCH(ROW()-3,$C$4:$C$2403,0)),"")</f>
      </c>
      <c r="K265">
        <f>IF(OR($K$1="",对接源_01水果!$C265="",对接源_01水果!$C265&lt;&gt;$K$1,对接源_01水果!$B265=""),0,IF(OR(N(对接源_01水果!$B265)&lt;$K$2,N(对接源_01水果!$B265)&gt;$K$3),0,1))</f>
        <v>1</v>
      </c>
      <c r="L265">
        <f>IF(OR($L$1="",对接源_01水果!$C265="",对接源_01水果!$C265&lt;&gt;$L$1,对接源_01水果!$B265=""),0,IF(OR(N(对接源_01水果!$B265)&lt;$L$2,N(对接源_01水果!$B265)&gt;$L$3),0,1))</f>
        <v>0</v>
      </c>
      <c r="M265">
        <f>IF(OR($M$1="",对接源_01水果!$C265="",对接源_01水果!$C265&lt;&gt;$M$1,对接源_01水果!$B265=""),0,IF(OR(N(对接源_01水果!$B265)&lt;$M$2,N(对接源_01水果!$B265)&gt;$M$3),0,1))</f>
        <v>0</v>
      </c>
      <c r="N265">
        <f>IF(OR($N$1="",对接源_01水果!$C265="",对接源_01水果!$C265&lt;&gt;$N$1,对接源_01水果!$B265=""),0,IF(OR(N(对接源_01水果!$B265)&lt;$N$2,N(对接源_01水果!$B265)&gt;$N$3),0,1))</f>
        <v>0</v>
      </c>
      <c r="P265">
        <f>IF(AND($K265=1,AND(对接源_01水果!$X265="公司筐",N(对接源_01水果!$T265)&lt;&gt;0)),1,0)</f>
        <v>0</v>
      </c>
      <c r="Q265">
        <f>N(Q264)+$P265</f>
        <v>0</v>
      </c>
      <c r="R265">
        <f>IF(AND($K265=1,AND(对接源_01水果!$X265="公司筐",N(对接源_01水果!$U265)&lt;&gt;0)),1,0)</f>
        <v>0</v>
      </c>
      <c r="S265">
        <f>N(S264)+$R265</f>
        <v>0</v>
      </c>
      <c r="T265">
        <f>IF(AND($K265=1,AND(对接源_01水果!$X265="公司筐",N(对接源_01水果!$V265)&lt;&gt;0)),1,0)</f>
        <v>1</v>
      </c>
      <c r="U265">
        <f>N(U264)+$T265</f>
        <v>12</v>
      </c>
      <c r="V265">
        <f>IF(AND($L265=1,AND(对接源_01水果!$X265="自备筐",N(对接源_01水果!$V265)&lt;&gt;0)),1,0)</f>
        <v>0</v>
      </c>
      <c r="W265">
        <f>N(W264)+$V265</f>
        <v>8</v>
      </c>
      <c r="X265">
        <f>IF(AND($L265=1,AND(对接源_01水果!$X265="自备筐",N(对接源_01水果!$T265)&lt;&gt;0)),1,0)</f>
        <v>0</v>
      </c>
      <c r="Y265">
        <f>N(Y264)+$X265</f>
        <v>0</v>
      </c>
      <c r="Z265">
        <f>IF(AND($M265=1,对接源_01水果!$D265="原料入库"),1,0)</f>
        <v>0</v>
      </c>
      <c r="AA265">
        <f>N(AA264)+$Z265</f>
        <v>21</v>
      </c>
      <c r="AB265">
        <f>IF(AND($M265=1,LEFT(对接源_01水果!$D265,4)="原料出库"),1,0)</f>
        <v>0</v>
      </c>
      <c r="AC265">
        <f>N(AC264)+$AB265</f>
        <v>0</v>
      </c>
      <c r="AD265">
        <f>IF(AND($M265=1,LEFT(对接源_01水果!$D265,4)="成品出库"),1,0)</f>
        <v>0</v>
      </c>
      <c r="AE265">
        <f>N(AE264)+$AD265</f>
        <v>0</v>
      </c>
      <c r="AF265">
        <f>IF(AND($N265=1,AND(LEFT(对接源_01水果!$D265,4)="包装物料",N(对接源_01水果!$K265)&lt;&gt;0)),1,0)</f>
        <v>0</v>
      </c>
      <c r="AG265">
        <f>N(AG264)+$AF265</f>
        <v>0</v>
      </c>
      <c r="AH265">
        <f>IF(AND($N265=1,AND(对接源_01水果!$D265="周转筐－销售出库",N(对接源_01水果!$K265)&lt;&gt;0)),1,0)</f>
        <v>0</v>
      </c>
      <c r="AI265">
        <f>N(AI264)+$AH265</f>
        <v>0</v>
      </c>
      <c r="AJ265" s="7" t="n"/>
      <c r="AL265">
        <f>IF(OR($AL$1="",对接源_01水果!$Y265="",对接源_01水果!$Y265&lt;&gt;$AL$1,对接源_01水果!$B265="",N(对接源_01水果!$AJ265)&lt;=0),0,IF(OR(N(对接源_01水果!$B265)&lt;$AL$2,N(对接源_01水果!$B265)&gt;$AL$3),0,1))</f>
        <v>0</v>
      </c>
      <c r="AM265">
        <f>N(AM264)+$AL265</f>
        <v>0</v>
      </c>
      <c r="AN265">
        <f>IF(对接源_01水果!$AC265="","",对接源_01水果!$AC265)</f>
      </c>
      <c r="AO265">
        <f>IF(AN265="",0,IF(MATCH(AN265,$AN$4:$AN$1203,0)=ROW()-3,1,0))</f>
        <v>0</v>
      </c>
      <c r="AP265">
        <f>N(AP264)+$AO265</f>
        <v>0</v>
      </c>
      <c r="AR265">
        <f>IF(OR($AF265=1,$AH265=1),1,0)</f>
        <v>0</v>
      </c>
      <c r="AS265">
        <f>N(AS264)+$AR265</f>
        <v>0</v>
      </c>
    </row>
    <row r="266" ht="14.25" customHeight="1" s="127">
      <c r="A266" t="str">
        <f>IF(对接源_01水果!$C266="","",对接源_01水果!$C266)</f>
        <v>王灵云</v>
      </c>
      <c r="B266">
        <f>IF(A266="",0,IF(MATCH(A266,$A$4:$A$2403,0)=ROW()-3,1,0))</f>
        <v>0</v>
      </c>
      <c r="C266">
        <f>N(C265)+B266</f>
        <v>15</v>
      </c>
      <c r="E266">
        <f>IFERROR(INDEX($A$4:$A$2403,MATCH(ROW()-3,$C$4:$C$2403,0)),"")</f>
      </c>
      <c r="K266">
        <f>IF(OR($K$1="",对接源_01水果!$C266="",对接源_01水果!$C266&lt;&gt;$K$1,对接源_01水果!$B266=""),0,IF(OR(N(对接源_01水果!$B266)&lt;$K$2,N(对接源_01水果!$B266)&gt;$K$3),0,1))</f>
        <v>1</v>
      </c>
      <c r="L266">
        <f>IF(OR($L$1="",对接源_01水果!$C266="",对接源_01水果!$C266&lt;&gt;$L$1,对接源_01水果!$B266=""),0,IF(OR(N(对接源_01水果!$B266)&lt;$L$2,N(对接源_01水果!$B266)&gt;$L$3),0,1))</f>
        <v>0</v>
      </c>
      <c r="M266">
        <f>IF(OR($M$1="",对接源_01水果!$C266="",对接源_01水果!$C266&lt;&gt;$M$1,对接源_01水果!$B266=""),0,IF(OR(N(对接源_01水果!$B266)&lt;$M$2,N(对接源_01水果!$B266)&gt;$M$3),0,1))</f>
        <v>0</v>
      </c>
      <c r="N266">
        <f>IF(OR($N$1="",对接源_01水果!$C266="",对接源_01水果!$C266&lt;&gt;$N$1,对接源_01水果!$B266=""),0,IF(OR(N(对接源_01水果!$B266)&lt;$N$2,N(对接源_01水果!$B266)&gt;$N$3),0,1))</f>
        <v>0</v>
      </c>
      <c r="P266">
        <f>IF(AND($K266=1,AND(对接源_01水果!$X266="公司筐",N(对接源_01水果!$T266)&lt;&gt;0)),1,0)</f>
        <v>0</v>
      </c>
      <c r="Q266">
        <f>N(Q265)+$P266</f>
        <v>0</v>
      </c>
      <c r="R266">
        <f>IF(AND($K266=1,AND(对接源_01水果!$X266="公司筐",N(对接源_01水果!$U266)&lt;&gt;0)),1,0)</f>
        <v>0</v>
      </c>
      <c r="S266">
        <f>N(S265)+$R266</f>
        <v>0</v>
      </c>
      <c r="T266">
        <f>IF(AND($K266=1,AND(对接源_01水果!$X266="公司筐",N(对接源_01水果!$V266)&lt;&gt;0)),1,0)</f>
        <v>1</v>
      </c>
      <c r="U266">
        <f>N(U265)+$T266</f>
        <v>13</v>
      </c>
      <c r="V266">
        <f>IF(AND($L266=1,AND(对接源_01水果!$X266="自备筐",N(对接源_01水果!$V266)&lt;&gt;0)),1,0)</f>
        <v>0</v>
      </c>
      <c r="W266">
        <f>N(W265)+$V266</f>
        <v>8</v>
      </c>
      <c r="X266">
        <f>IF(AND($L266=1,AND(对接源_01水果!$X266="自备筐",N(对接源_01水果!$T266)&lt;&gt;0)),1,0)</f>
        <v>0</v>
      </c>
      <c r="Y266">
        <f>N(Y265)+$X266</f>
        <v>0</v>
      </c>
      <c r="Z266">
        <f>IF(AND($M266=1,对接源_01水果!$D266="原料入库"),1,0)</f>
        <v>0</v>
      </c>
      <c r="AA266">
        <f>N(AA265)+$Z266</f>
        <v>21</v>
      </c>
      <c r="AB266">
        <f>IF(AND($M266=1,LEFT(对接源_01水果!$D266,4)="原料出库"),1,0)</f>
        <v>0</v>
      </c>
      <c r="AC266">
        <f>N(AC265)+$AB266</f>
        <v>0</v>
      </c>
      <c r="AD266">
        <f>IF(AND($M266=1,LEFT(对接源_01水果!$D266,4)="成品出库"),1,0)</f>
        <v>0</v>
      </c>
      <c r="AE266">
        <f>N(AE265)+$AD266</f>
        <v>0</v>
      </c>
      <c r="AF266">
        <f>IF(AND($N266=1,AND(LEFT(对接源_01水果!$D266,4)="包装物料",N(对接源_01水果!$K266)&lt;&gt;0)),1,0)</f>
        <v>0</v>
      </c>
      <c r="AG266">
        <f>N(AG265)+$AF266</f>
        <v>0</v>
      </c>
      <c r="AH266">
        <f>IF(AND($N266=1,AND(对接源_01水果!$D266="周转筐－销售出库",N(对接源_01水果!$K266)&lt;&gt;0)),1,0)</f>
        <v>0</v>
      </c>
      <c r="AI266">
        <f>N(AI265)+$AH266</f>
        <v>0</v>
      </c>
      <c r="AJ266" s="7" t="n"/>
      <c r="AL266">
        <f>IF(OR($AL$1="",对接源_01水果!$Y266="",对接源_01水果!$Y266&lt;&gt;$AL$1,对接源_01水果!$B266="",N(对接源_01水果!$AJ266)&lt;=0),0,IF(OR(N(对接源_01水果!$B266)&lt;$AL$2,N(对接源_01水果!$B266)&gt;$AL$3),0,1))</f>
        <v>0</v>
      </c>
      <c r="AM266">
        <f>N(AM265)+$AL266</f>
        <v>0</v>
      </c>
      <c r="AN266">
        <f>IF(对接源_01水果!$AC266="","",对接源_01水果!$AC266)</f>
      </c>
      <c r="AO266">
        <f>IF(AN266="",0,IF(MATCH(AN266,$AN$4:$AN$1203,0)=ROW()-3,1,0))</f>
        <v>0</v>
      </c>
      <c r="AP266">
        <f>N(AP265)+$AO266</f>
        <v>0</v>
      </c>
      <c r="AR266">
        <f>IF(OR($AF266=1,$AH266=1),1,0)</f>
        <v>0</v>
      </c>
      <c r="AS266">
        <f>N(AS265)+$AR266</f>
        <v>0</v>
      </c>
    </row>
    <row r="267" ht="14.25" customHeight="1" s="127">
      <c r="A267" t="str">
        <f>IF(对接源_01水果!$C267="","",对接源_01水果!$C267)</f>
        <v>王灵云</v>
      </c>
      <c r="B267">
        <f>IF(A267="",0,IF(MATCH(A267,$A$4:$A$2403,0)=ROW()-3,1,0))</f>
        <v>0</v>
      </c>
      <c r="C267">
        <f>N(C266)+B267</f>
        <v>15</v>
      </c>
      <c r="E267">
        <f>IFERROR(INDEX($A$4:$A$2403,MATCH(ROW()-3,$C$4:$C$2403,0)),"")</f>
      </c>
      <c r="K267">
        <f>IF(OR($K$1="",对接源_01水果!$C267="",对接源_01水果!$C267&lt;&gt;$K$1,对接源_01水果!$B267=""),0,IF(OR(N(对接源_01水果!$B267)&lt;$K$2,N(对接源_01水果!$B267)&gt;$K$3),0,1))</f>
        <v>1</v>
      </c>
      <c r="L267">
        <f>IF(OR($L$1="",对接源_01水果!$C267="",对接源_01水果!$C267&lt;&gt;$L$1,对接源_01水果!$B267=""),0,IF(OR(N(对接源_01水果!$B267)&lt;$L$2,N(对接源_01水果!$B267)&gt;$L$3),0,1))</f>
        <v>0</v>
      </c>
      <c r="M267">
        <f>IF(OR($M$1="",对接源_01水果!$C267="",对接源_01水果!$C267&lt;&gt;$M$1,对接源_01水果!$B267=""),0,IF(OR(N(对接源_01水果!$B267)&lt;$M$2,N(对接源_01水果!$B267)&gt;$M$3),0,1))</f>
        <v>0</v>
      </c>
      <c r="N267">
        <f>IF(OR($N$1="",对接源_01水果!$C267="",对接源_01水果!$C267&lt;&gt;$N$1,对接源_01水果!$B267=""),0,IF(OR(N(对接源_01水果!$B267)&lt;$N$2,N(对接源_01水果!$B267)&gt;$N$3),0,1))</f>
        <v>0</v>
      </c>
      <c r="P267">
        <f>IF(AND($K267=1,AND(对接源_01水果!$X267="公司筐",N(对接源_01水果!$T267)&lt;&gt;0)),1,0)</f>
        <v>0</v>
      </c>
      <c r="Q267">
        <f>N(Q266)+$P267</f>
        <v>0</v>
      </c>
      <c r="R267">
        <f>IF(AND($K267=1,AND(对接源_01水果!$X267="公司筐",N(对接源_01水果!$U267)&lt;&gt;0)),1,0)</f>
        <v>0</v>
      </c>
      <c r="S267">
        <f>N(S266)+$R267</f>
        <v>0</v>
      </c>
      <c r="T267">
        <f>IF(AND($K267=1,AND(对接源_01水果!$X267="公司筐",N(对接源_01水果!$V267)&lt;&gt;0)),1,0)</f>
        <v>1</v>
      </c>
      <c r="U267">
        <f>N(U266)+$T267</f>
        <v>14</v>
      </c>
      <c r="V267">
        <f>IF(AND($L267=1,AND(对接源_01水果!$X267="自备筐",N(对接源_01水果!$V267)&lt;&gt;0)),1,0)</f>
        <v>0</v>
      </c>
      <c r="W267">
        <f>N(W266)+$V267</f>
        <v>8</v>
      </c>
      <c r="X267">
        <f>IF(AND($L267=1,AND(对接源_01水果!$X267="自备筐",N(对接源_01水果!$T267)&lt;&gt;0)),1,0)</f>
        <v>0</v>
      </c>
      <c r="Y267">
        <f>N(Y266)+$X267</f>
        <v>0</v>
      </c>
      <c r="Z267">
        <f>IF(AND($M267=1,对接源_01水果!$D267="原料入库"),1,0)</f>
        <v>0</v>
      </c>
      <c r="AA267">
        <f>N(AA266)+$Z267</f>
        <v>21</v>
      </c>
      <c r="AB267">
        <f>IF(AND($M267=1,LEFT(对接源_01水果!$D267,4)="原料出库"),1,0)</f>
        <v>0</v>
      </c>
      <c r="AC267">
        <f>N(AC266)+$AB267</f>
        <v>0</v>
      </c>
      <c r="AD267">
        <f>IF(AND($M267=1,LEFT(对接源_01水果!$D267,4)="成品出库"),1,0)</f>
        <v>0</v>
      </c>
      <c r="AE267">
        <f>N(AE266)+$AD267</f>
        <v>0</v>
      </c>
      <c r="AF267">
        <f>IF(AND($N267=1,AND(LEFT(对接源_01水果!$D267,4)="包装物料",N(对接源_01水果!$K267)&lt;&gt;0)),1,0)</f>
        <v>0</v>
      </c>
      <c r="AG267">
        <f>N(AG266)+$AF267</f>
        <v>0</v>
      </c>
      <c r="AH267">
        <f>IF(AND($N267=1,AND(对接源_01水果!$D267="周转筐－销售出库",N(对接源_01水果!$K267)&lt;&gt;0)),1,0)</f>
        <v>0</v>
      </c>
      <c r="AI267">
        <f>N(AI266)+$AH267</f>
        <v>0</v>
      </c>
      <c r="AJ267" s="7" t="n"/>
      <c r="AL267">
        <f>IF(OR($AL$1="",对接源_01水果!$Y267="",对接源_01水果!$Y267&lt;&gt;$AL$1,对接源_01水果!$B267="",N(对接源_01水果!$AJ267)&lt;=0),0,IF(OR(N(对接源_01水果!$B267)&lt;$AL$2,N(对接源_01水果!$B267)&gt;$AL$3),0,1))</f>
        <v>0</v>
      </c>
      <c r="AM267">
        <f>N(AM266)+$AL267</f>
        <v>0</v>
      </c>
      <c r="AN267">
        <f>IF(对接源_01水果!$AC267="","",对接源_01水果!$AC267)</f>
      </c>
      <c r="AO267">
        <f>IF(AN267="",0,IF(MATCH(AN267,$AN$4:$AN$1203,0)=ROW()-3,1,0))</f>
        <v>0</v>
      </c>
      <c r="AP267">
        <f>N(AP266)+$AO267</f>
        <v>0</v>
      </c>
      <c r="AR267">
        <f>IF(OR($AF267=1,$AH267=1),1,0)</f>
        <v>0</v>
      </c>
      <c r="AS267">
        <f>N(AS266)+$AR267</f>
        <v>0</v>
      </c>
    </row>
    <row r="268" ht="14.25" customHeight="1" s="127">
      <c r="A268" t="str">
        <f>IF(对接源_01水果!$C268="","",对接源_01水果!$C268)</f>
        <v>麦麦提</v>
      </c>
      <c r="B268">
        <f>IF(A268="",0,IF(MATCH(A268,$A$4:$A$2403,0)=ROW()-3,1,0))</f>
        <v>0</v>
      </c>
      <c r="C268">
        <f>N(C267)+B268</f>
        <v>15</v>
      </c>
      <c r="E268">
        <f>IFERROR(INDEX($A$4:$A$2403,MATCH(ROW()-3,$C$4:$C$2403,0)),"")</f>
      </c>
      <c r="K268">
        <f>IF(OR($K$1="",对接源_01水果!$C268="",对接源_01水果!$C268&lt;&gt;$K$1,对接源_01水果!$B268=""),0,IF(OR(N(对接源_01水果!$B268)&lt;$K$2,N(对接源_01水果!$B268)&gt;$K$3),0,1))</f>
        <v>0</v>
      </c>
      <c r="L268">
        <f>IF(OR($L$1="",对接源_01水果!$C268="",对接源_01水果!$C268&lt;&gt;$L$1,对接源_01水果!$B268=""),0,IF(OR(N(对接源_01水果!$B268)&lt;$L$2,N(对接源_01水果!$B268)&gt;$L$3),0,1))</f>
        <v>0</v>
      </c>
      <c r="M268">
        <f>IF(OR($M$1="",对接源_01水果!$C268="",对接源_01水果!$C268&lt;&gt;$M$1,对接源_01水果!$B268=""),0,IF(OR(N(对接源_01水果!$B268)&lt;$M$2,N(对接源_01水果!$B268)&gt;$M$3),0,1))</f>
        <v>0</v>
      </c>
      <c r="N268">
        <f>IF(OR($N$1="",对接源_01水果!$C268="",对接源_01水果!$C268&lt;&gt;$N$1,对接源_01水果!$B268=""),0,IF(OR(N(对接源_01水果!$B268)&lt;$N$2,N(对接源_01水果!$B268)&gt;$N$3),0,1))</f>
        <v>1</v>
      </c>
      <c r="P268">
        <f>IF(AND($K268=1,AND(对接源_01水果!$X268="公司筐",N(对接源_01水果!$T268)&lt;&gt;0)),1,0)</f>
        <v>0</v>
      </c>
      <c r="Q268">
        <f>N(Q267)+$P268</f>
        <v>0</v>
      </c>
      <c r="R268">
        <f>IF(AND($K268=1,AND(对接源_01水果!$X268="公司筐",N(对接源_01水果!$U268)&lt;&gt;0)),1,0)</f>
        <v>0</v>
      </c>
      <c r="S268">
        <f>N(S267)+$R268</f>
        <v>0</v>
      </c>
      <c r="T268">
        <f>IF(AND($K268=1,AND(对接源_01水果!$X268="公司筐",N(对接源_01水果!$V268)&lt;&gt;0)),1,0)</f>
        <v>0</v>
      </c>
      <c r="U268">
        <f>N(U267)+$T268</f>
        <v>14</v>
      </c>
      <c r="V268">
        <f>IF(AND($L268=1,AND(对接源_01水果!$X268="自备筐",N(对接源_01水果!$V268)&lt;&gt;0)),1,0)</f>
        <v>0</v>
      </c>
      <c r="W268">
        <f>N(W267)+$V268</f>
        <v>8</v>
      </c>
      <c r="X268">
        <f>IF(AND($L268=1,AND(对接源_01水果!$X268="自备筐",N(对接源_01水果!$T268)&lt;&gt;0)),1,0)</f>
        <v>0</v>
      </c>
      <c r="Y268">
        <f>N(Y267)+$X268</f>
        <v>0</v>
      </c>
      <c r="Z268">
        <f>IF(AND($M268=1,对接源_01水果!$D268="原料入库"),1,0)</f>
        <v>0</v>
      </c>
      <c r="AA268">
        <f>N(AA267)+$Z268</f>
        <v>21</v>
      </c>
      <c r="AB268">
        <f>IF(AND($M268=1,LEFT(对接源_01水果!$D268,4)="原料出库"),1,0)</f>
        <v>0</v>
      </c>
      <c r="AC268">
        <f>N(AC267)+$AB268</f>
        <v>0</v>
      </c>
      <c r="AD268">
        <f>IF(AND($M268=1,LEFT(对接源_01水果!$D268,4)="成品出库"),1,0)</f>
        <v>0</v>
      </c>
      <c r="AE268">
        <f>N(AE267)+$AD268</f>
        <v>0</v>
      </c>
      <c r="AF268">
        <f>IF(AND($N268=1,AND(LEFT(对接源_01水果!$D268,4)="包装物料",N(对接源_01水果!$K268)&lt;&gt;0)),1,0)</f>
        <v>0</v>
      </c>
      <c r="AG268">
        <f>N(AG267)+$AF268</f>
        <v>0</v>
      </c>
      <c r="AH268">
        <f>IF(AND($N268=1,AND(对接源_01水果!$D268="周转筐－销售出库",N(对接源_01水果!$K268)&lt;&gt;0)),1,0)</f>
        <v>0</v>
      </c>
      <c r="AI268">
        <f>N(AI267)+$AH268</f>
        <v>0</v>
      </c>
      <c r="AJ268" s="7" t="n"/>
      <c r="AL268">
        <f>IF(OR($AL$1="",对接源_01水果!$Y268="",对接源_01水果!$Y268&lt;&gt;$AL$1,对接源_01水果!$B268="",N(对接源_01水果!$AJ268)&lt;=0),0,IF(OR(N(对接源_01水果!$B268)&lt;$AL$2,N(对接源_01水果!$B268)&gt;$AL$3),0,1))</f>
        <v>0</v>
      </c>
      <c r="AM268">
        <f>N(AM267)+$AL268</f>
        <v>0</v>
      </c>
      <c r="AN268">
        <f>IF(对接源_01水果!$AC268="","",对接源_01水果!$AC268)</f>
      </c>
      <c r="AO268">
        <f>IF(AN268="",0,IF(MATCH(AN268,$AN$4:$AN$1203,0)=ROW()-3,1,0))</f>
        <v>0</v>
      </c>
      <c r="AP268">
        <f>N(AP267)+$AO268</f>
        <v>0</v>
      </c>
      <c r="AR268">
        <f>IF(OR($AF268=1,$AH268=1),1,0)</f>
        <v>0</v>
      </c>
      <c r="AS268">
        <f>N(AS267)+$AR268</f>
        <v>0</v>
      </c>
    </row>
    <row r="269" ht="14.25" customHeight="1" s="127">
      <c r="A269" t="str">
        <f>IF(对接源_01水果!$C269="","",对接源_01水果!$C269)</f>
        <v>麦麦提</v>
      </c>
      <c r="B269">
        <f>IF(A269="",0,IF(MATCH(A269,$A$4:$A$2403,0)=ROW()-3,1,0))</f>
        <v>0</v>
      </c>
      <c r="C269">
        <f>N(C268)+B269</f>
        <v>15</v>
      </c>
      <c r="E269">
        <f>IFERROR(INDEX($A$4:$A$2403,MATCH(ROW()-3,$C$4:$C$2403,0)),"")</f>
      </c>
      <c r="K269">
        <f>IF(OR($K$1="",对接源_01水果!$C269="",对接源_01水果!$C269&lt;&gt;$K$1,对接源_01水果!$B269=""),0,IF(OR(N(对接源_01水果!$B269)&lt;$K$2,N(对接源_01水果!$B269)&gt;$K$3),0,1))</f>
        <v>0</v>
      </c>
      <c r="L269">
        <f>IF(OR($L$1="",对接源_01水果!$C269="",对接源_01水果!$C269&lt;&gt;$L$1,对接源_01水果!$B269=""),0,IF(OR(N(对接源_01水果!$B269)&lt;$L$2,N(对接源_01水果!$B269)&gt;$L$3),0,1))</f>
        <v>0</v>
      </c>
      <c r="M269">
        <f>IF(OR($M$1="",对接源_01水果!$C269="",对接源_01水果!$C269&lt;&gt;$M$1,对接源_01水果!$B269=""),0,IF(OR(N(对接源_01水果!$B269)&lt;$M$2,N(对接源_01水果!$B269)&gt;$M$3),0,1))</f>
        <v>0</v>
      </c>
      <c r="N269">
        <f>IF(OR($N$1="",对接源_01水果!$C269="",对接源_01水果!$C269&lt;&gt;$N$1,对接源_01水果!$B269=""),0,IF(OR(N(对接源_01水果!$B269)&lt;$N$2,N(对接源_01水果!$B269)&gt;$N$3),0,1))</f>
        <v>1</v>
      </c>
      <c r="P269">
        <f>IF(AND($K269=1,AND(对接源_01水果!$X269="公司筐",N(对接源_01水果!$T269)&lt;&gt;0)),1,0)</f>
        <v>0</v>
      </c>
      <c r="Q269">
        <f>N(Q268)+$P269</f>
        <v>0</v>
      </c>
      <c r="R269">
        <f>IF(AND($K269=1,AND(对接源_01水果!$X269="公司筐",N(对接源_01水果!$U269)&lt;&gt;0)),1,0)</f>
        <v>0</v>
      </c>
      <c r="S269">
        <f>N(S268)+$R269</f>
        <v>0</v>
      </c>
      <c r="T269">
        <f>IF(AND($K269=1,AND(对接源_01水果!$X269="公司筐",N(对接源_01水果!$V269)&lt;&gt;0)),1,0)</f>
        <v>0</v>
      </c>
      <c r="U269">
        <f>N(U268)+$T269</f>
        <v>14</v>
      </c>
      <c r="V269">
        <f>IF(AND($L269=1,AND(对接源_01水果!$X269="自备筐",N(对接源_01水果!$V269)&lt;&gt;0)),1,0)</f>
        <v>0</v>
      </c>
      <c r="W269">
        <f>N(W268)+$V269</f>
        <v>8</v>
      </c>
      <c r="X269">
        <f>IF(AND($L269=1,AND(对接源_01水果!$X269="自备筐",N(对接源_01水果!$T269)&lt;&gt;0)),1,0)</f>
        <v>0</v>
      </c>
      <c r="Y269">
        <f>N(Y268)+$X269</f>
        <v>0</v>
      </c>
      <c r="Z269">
        <f>IF(AND($M269=1,对接源_01水果!$D269="原料入库"),1,0)</f>
        <v>0</v>
      </c>
      <c r="AA269">
        <f>N(AA268)+$Z269</f>
        <v>21</v>
      </c>
      <c r="AB269">
        <f>IF(AND($M269=1,LEFT(对接源_01水果!$D269,4)="原料出库"),1,0)</f>
        <v>0</v>
      </c>
      <c r="AC269">
        <f>N(AC268)+$AB269</f>
        <v>0</v>
      </c>
      <c r="AD269">
        <f>IF(AND($M269=1,LEFT(对接源_01水果!$D269,4)="成品出库"),1,0)</f>
        <v>0</v>
      </c>
      <c r="AE269">
        <f>N(AE268)+$AD269</f>
        <v>0</v>
      </c>
      <c r="AF269">
        <f>IF(AND($N269=1,AND(LEFT(对接源_01水果!$D269,4)="包装物料",N(对接源_01水果!$K269)&lt;&gt;0)),1,0)</f>
        <v>0</v>
      </c>
      <c r="AG269">
        <f>N(AG268)+$AF269</f>
        <v>0</v>
      </c>
      <c r="AH269">
        <f>IF(AND($N269=1,AND(对接源_01水果!$D269="周转筐－销售出库",N(对接源_01水果!$K269)&lt;&gt;0)),1,0)</f>
        <v>0</v>
      </c>
      <c r="AI269">
        <f>N(AI268)+$AH269</f>
        <v>0</v>
      </c>
      <c r="AJ269" s="7" t="n"/>
      <c r="AL269">
        <f>IF(OR($AL$1="",对接源_01水果!$Y269="",对接源_01水果!$Y269&lt;&gt;$AL$1,对接源_01水果!$B269="",N(对接源_01水果!$AJ269)&lt;=0),0,IF(OR(N(对接源_01水果!$B269)&lt;$AL$2,N(对接源_01水果!$B269)&gt;$AL$3),0,1))</f>
        <v>0</v>
      </c>
      <c r="AM269">
        <f>N(AM268)+$AL269</f>
        <v>0</v>
      </c>
      <c r="AN269">
        <f>IF(对接源_01水果!$AC269="","",对接源_01水果!$AC269)</f>
      </c>
      <c r="AO269">
        <f>IF(AN269="",0,IF(MATCH(AN269,$AN$4:$AN$1203,0)=ROW()-3,1,0))</f>
        <v>0</v>
      </c>
      <c r="AP269">
        <f>N(AP268)+$AO269</f>
        <v>0</v>
      </c>
      <c r="AR269">
        <f>IF(OR($AF269=1,$AH269=1),1,0)</f>
        <v>0</v>
      </c>
      <c r="AS269">
        <f>N(AS268)+$AR269</f>
        <v>0</v>
      </c>
    </row>
    <row r="270" ht="14.25" customHeight="1" s="127">
      <c r="A270" t="str">
        <f>IF(对接源_01水果!$C270="","",对接源_01水果!$C270)</f>
        <v>麦麦提</v>
      </c>
      <c r="B270">
        <f>IF(A270="",0,IF(MATCH(A270,$A$4:$A$2403,0)=ROW()-3,1,0))</f>
        <v>0</v>
      </c>
      <c r="C270">
        <f>N(C269)+B270</f>
        <v>15</v>
      </c>
      <c r="E270">
        <f>IFERROR(INDEX($A$4:$A$2403,MATCH(ROW()-3,$C$4:$C$2403,0)),"")</f>
      </c>
      <c r="K270">
        <f>IF(OR($K$1="",对接源_01水果!$C270="",对接源_01水果!$C270&lt;&gt;$K$1,对接源_01水果!$B270=""),0,IF(OR(N(对接源_01水果!$B270)&lt;$K$2,N(对接源_01水果!$B270)&gt;$K$3),0,1))</f>
        <v>0</v>
      </c>
      <c r="L270">
        <f>IF(OR($L$1="",对接源_01水果!$C270="",对接源_01水果!$C270&lt;&gt;$L$1,对接源_01水果!$B270=""),0,IF(OR(N(对接源_01水果!$B270)&lt;$L$2,N(对接源_01水果!$B270)&gt;$L$3),0,1))</f>
        <v>0</v>
      </c>
      <c r="M270">
        <f>IF(OR($M$1="",对接源_01水果!$C270="",对接源_01水果!$C270&lt;&gt;$M$1,对接源_01水果!$B270=""),0,IF(OR(N(对接源_01水果!$B270)&lt;$M$2,N(对接源_01水果!$B270)&gt;$M$3),0,1))</f>
        <v>0</v>
      </c>
      <c r="N270">
        <f>IF(OR($N$1="",对接源_01水果!$C270="",对接源_01水果!$C270&lt;&gt;$N$1,对接源_01水果!$B270=""),0,IF(OR(N(对接源_01水果!$B270)&lt;$N$2,N(对接源_01水果!$B270)&gt;$N$3),0,1))</f>
        <v>1</v>
      </c>
      <c r="P270">
        <f>IF(AND($K270=1,AND(对接源_01水果!$X270="公司筐",N(对接源_01水果!$T270)&lt;&gt;0)),1,0)</f>
        <v>0</v>
      </c>
      <c r="Q270">
        <f>N(Q269)+$P270</f>
        <v>0</v>
      </c>
      <c r="R270">
        <f>IF(AND($K270=1,AND(对接源_01水果!$X270="公司筐",N(对接源_01水果!$U270)&lt;&gt;0)),1,0)</f>
        <v>0</v>
      </c>
      <c r="S270">
        <f>N(S269)+$R270</f>
        <v>0</v>
      </c>
      <c r="T270">
        <f>IF(AND($K270=1,AND(对接源_01水果!$X270="公司筐",N(对接源_01水果!$V270)&lt;&gt;0)),1,0)</f>
        <v>0</v>
      </c>
      <c r="U270">
        <f>N(U269)+$T270</f>
        <v>14</v>
      </c>
      <c r="V270">
        <f>IF(AND($L270=1,AND(对接源_01水果!$X270="自备筐",N(对接源_01水果!$V270)&lt;&gt;0)),1,0)</f>
        <v>0</v>
      </c>
      <c r="W270">
        <f>N(W269)+$V270</f>
        <v>8</v>
      </c>
      <c r="X270">
        <f>IF(AND($L270=1,AND(对接源_01水果!$X270="自备筐",N(对接源_01水果!$T270)&lt;&gt;0)),1,0)</f>
        <v>0</v>
      </c>
      <c r="Y270">
        <f>N(Y269)+$X270</f>
        <v>0</v>
      </c>
      <c r="Z270">
        <f>IF(AND($M270=1,对接源_01水果!$D270="原料入库"),1,0)</f>
        <v>0</v>
      </c>
      <c r="AA270">
        <f>N(AA269)+$Z270</f>
        <v>21</v>
      </c>
      <c r="AB270">
        <f>IF(AND($M270=1,LEFT(对接源_01水果!$D270,4)="原料出库"),1,0)</f>
        <v>0</v>
      </c>
      <c r="AC270">
        <f>N(AC269)+$AB270</f>
        <v>0</v>
      </c>
      <c r="AD270">
        <f>IF(AND($M270=1,LEFT(对接源_01水果!$D270,4)="成品出库"),1,0)</f>
        <v>0</v>
      </c>
      <c r="AE270">
        <f>N(AE269)+$AD270</f>
        <v>0</v>
      </c>
      <c r="AF270">
        <f>IF(AND($N270=1,AND(LEFT(对接源_01水果!$D270,4)="包装物料",N(对接源_01水果!$K270)&lt;&gt;0)),1,0)</f>
        <v>0</v>
      </c>
      <c r="AG270">
        <f>N(AG269)+$AF270</f>
        <v>0</v>
      </c>
      <c r="AH270">
        <f>IF(AND($N270=1,AND(对接源_01水果!$D270="周转筐－销售出库",N(对接源_01水果!$K270)&lt;&gt;0)),1,0)</f>
        <v>0</v>
      </c>
      <c r="AI270">
        <f>N(AI269)+$AH270</f>
        <v>0</v>
      </c>
      <c r="AJ270" s="7" t="n"/>
      <c r="AL270">
        <f>IF(OR($AL$1="",对接源_01水果!$Y270="",对接源_01水果!$Y270&lt;&gt;$AL$1,对接源_01水果!$B270="",N(对接源_01水果!$AJ270)&lt;=0),0,IF(OR(N(对接源_01水果!$B270)&lt;$AL$2,N(对接源_01水果!$B270)&gt;$AL$3),0,1))</f>
        <v>0</v>
      </c>
      <c r="AM270">
        <f>N(AM269)+$AL270</f>
        <v>0</v>
      </c>
      <c r="AN270">
        <f>IF(对接源_01水果!$AC270="","",对接源_01水果!$AC270)</f>
      </c>
      <c r="AO270">
        <f>IF(AN270="",0,IF(MATCH(AN270,$AN$4:$AN$1203,0)=ROW()-3,1,0))</f>
        <v>0</v>
      </c>
      <c r="AP270">
        <f>N(AP269)+$AO270</f>
        <v>0</v>
      </c>
      <c r="AR270">
        <f>IF(OR($AF270=1,$AH270=1),1,0)</f>
        <v>0</v>
      </c>
      <c r="AS270">
        <f>N(AS269)+$AR270</f>
        <v>0</v>
      </c>
    </row>
    <row r="271" ht="14.25" customHeight="1" s="127">
      <c r="A271" t="str">
        <f>IF(对接源_01水果!$C271="","",对接源_01水果!$C271)</f>
        <v>努尔敦</v>
      </c>
      <c r="B271">
        <f>IF(A271="",0,IF(MATCH(A271,$A$4:$A$2403,0)=ROW()-3,1,0))</f>
        <v>0</v>
      </c>
      <c r="C271">
        <f>N(C270)+B271</f>
        <v>15</v>
      </c>
      <c r="E271">
        <f>IFERROR(INDEX($A$4:$A$2403,MATCH(ROW()-3,$C$4:$C$2403,0)),"")</f>
      </c>
      <c r="K271">
        <f>IF(OR($K$1="",对接源_01水果!$C271="",对接源_01水果!$C271&lt;&gt;$K$1,对接源_01水果!$B271=""),0,IF(OR(N(对接源_01水果!$B271)&lt;$K$2,N(对接源_01水果!$B271)&gt;$K$3),0,1))</f>
        <v>0</v>
      </c>
      <c r="L271">
        <f>IF(OR($L$1="",对接源_01水果!$C271="",对接源_01水果!$C271&lt;&gt;$L$1,对接源_01水果!$B271=""),0,IF(OR(N(对接源_01水果!$B271)&lt;$L$2,N(对接源_01水果!$B271)&gt;$L$3),0,1))</f>
        <v>0</v>
      </c>
      <c r="M271">
        <f>IF(OR($M$1="",对接源_01水果!$C271="",对接源_01水果!$C271&lt;&gt;$M$1,对接源_01水果!$B271=""),0,IF(OR(N(对接源_01水果!$B271)&lt;$M$2,N(对接源_01水果!$B271)&gt;$M$3),0,1))</f>
        <v>0</v>
      </c>
      <c r="N271">
        <f>IF(OR($N$1="",对接源_01水果!$C271="",对接源_01水果!$C271&lt;&gt;$N$1,对接源_01水果!$B271=""),0,IF(OR(N(对接源_01水果!$B271)&lt;$N$2,N(对接源_01水果!$B271)&gt;$N$3),0,1))</f>
        <v>0</v>
      </c>
      <c r="P271">
        <f>IF(AND($K271=1,AND(对接源_01水果!$X271="公司筐",N(对接源_01水果!$T271)&lt;&gt;0)),1,0)</f>
        <v>0</v>
      </c>
      <c r="Q271">
        <f>N(Q270)+$P271</f>
        <v>0</v>
      </c>
      <c r="R271">
        <f>IF(AND($K271=1,AND(对接源_01水果!$X271="公司筐",N(对接源_01水果!$U271)&lt;&gt;0)),1,0)</f>
        <v>0</v>
      </c>
      <c r="S271">
        <f>N(S270)+$R271</f>
        <v>0</v>
      </c>
      <c r="T271">
        <f>IF(AND($K271=1,AND(对接源_01水果!$X271="公司筐",N(对接源_01水果!$V271)&lt;&gt;0)),1,0)</f>
        <v>0</v>
      </c>
      <c r="U271">
        <f>N(U270)+$T271</f>
        <v>14</v>
      </c>
      <c r="V271">
        <f>IF(AND($L271=1,AND(对接源_01水果!$X271="自备筐",N(对接源_01水果!$V271)&lt;&gt;0)),1,0)</f>
        <v>0</v>
      </c>
      <c r="W271">
        <f>N(W270)+$V271</f>
        <v>8</v>
      </c>
      <c r="X271">
        <f>IF(AND($L271=1,AND(对接源_01水果!$X271="自备筐",N(对接源_01水果!$T271)&lt;&gt;0)),1,0)</f>
        <v>0</v>
      </c>
      <c r="Y271">
        <f>N(Y270)+$X271</f>
        <v>0</v>
      </c>
      <c r="Z271">
        <f>IF(AND($M271=1,对接源_01水果!$D271="原料入库"),1,0)</f>
        <v>0</v>
      </c>
      <c r="AA271">
        <f>N(AA270)+$Z271</f>
        <v>21</v>
      </c>
      <c r="AB271">
        <f>IF(AND($M271=1,LEFT(对接源_01水果!$D271,4)="原料出库"),1,0)</f>
        <v>0</v>
      </c>
      <c r="AC271">
        <f>N(AC270)+$AB271</f>
        <v>0</v>
      </c>
      <c r="AD271">
        <f>IF(AND($M271=1,LEFT(对接源_01水果!$D271,4)="成品出库"),1,0)</f>
        <v>0</v>
      </c>
      <c r="AE271">
        <f>N(AE270)+$AD271</f>
        <v>0</v>
      </c>
      <c r="AF271">
        <f>IF(AND($N271=1,AND(LEFT(对接源_01水果!$D271,4)="包装物料",N(对接源_01水果!$K271)&lt;&gt;0)),1,0)</f>
        <v>0</v>
      </c>
      <c r="AG271">
        <f>N(AG270)+$AF271</f>
        <v>0</v>
      </c>
      <c r="AH271">
        <f>IF(AND($N271=1,AND(对接源_01水果!$D271="周转筐－销售出库",N(对接源_01水果!$K271)&lt;&gt;0)),1,0)</f>
        <v>0</v>
      </c>
      <c r="AI271">
        <f>N(AI270)+$AH271</f>
        <v>0</v>
      </c>
      <c r="AJ271" s="7" t="n"/>
      <c r="AL271">
        <f>IF(OR($AL$1="",对接源_01水果!$Y271="",对接源_01水果!$Y271&lt;&gt;$AL$1,对接源_01水果!$B271="",N(对接源_01水果!$AJ271)&lt;=0),0,IF(OR(N(对接源_01水果!$B271)&lt;$AL$2,N(对接源_01水果!$B271)&gt;$AL$3),0,1))</f>
        <v>0</v>
      </c>
      <c r="AM271">
        <f>N(AM270)+$AL271</f>
        <v>0</v>
      </c>
      <c r="AN271">
        <f>IF(对接源_01水果!$AC271="","",对接源_01水果!$AC271)</f>
      </c>
      <c r="AO271">
        <f>IF(AN271="",0,IF(MATCH(AN271,$AN$4:$AN$1203,0)=ROW()-3,1,0))</f>
        <v>0</v>
      </c>
      <c r="AP271">
        <f>N(AP270)+$AO271</f>
        <v>0</v>
      </c>
      <c r="AR271">
        <f>IF(OR($AF271=1,$AH271=1),1,0)</f>
        <v>0</v>
      </c>
      <c r="AS271">
        <f>N(AS270)+$AR271</f>
        <v>0</v>
      </c>
    </row>
    <row r="272" ht="14.25" customHeight="1" s="127">
      <c r="A272" t="str">
        <f>IF(对接源_01水果!$C272="","",对接源_01水果!$C272)</f>
        <v>努尔敦</v>
      </c>
      <c r="B272">
        <f>IF(A272="",0,IF(MATCH(A272,$A$4:$A$2403,0)=ROW()-3,1,0))</f>
        <v>0</v>
      </c>
      <c r="C272">
        <f>N(C271)+B272</f>
        <v>15</v>
      </c>
      <c r="E272">
        <f>IFERROR(INDEX($A$4:$A$2403,MATCH(ROW()-3,$C$4:$C$2403,0)),"")</f>
      </c>
      <c r="K272">
        <f>IF(OR($K$1="",对接源_01水果!$C272="",对接源_01水果!$C272&lt;&gt;$K$1,对接源_01水果!$B272=""),0,IF(OR(N(对接源_01水果!$B272)&lt;$K$2,N(对接源_01水果!$B272)&gt;$K$3),0,1))</f>
        <v>0</v>
      </c>
      <c r="L272">
        <f>IF(OR($L$1="",对接源_01水果!$C272="",对接源_01水果!$C272&lt;&gt;$L$1,对接源_01水果!$B272=""),0,IF(OR(N(对接源_01水果!$B272)&lt;$L$2,N(对接源_01水果!$B272)&gt;$L$3),0,1))</f>
        <v>0</v>
      </c>
      <c r="M272">
        <f>IF(OR($M$1="",对接源_01水果!$C272="",对接源_01水果!$C272&lt;&gt;$M$1,对接源_01水果!$B272=""),0,IF(OR(N(对接源_01水果!$B272)&lt;$M$2,N(对接源_01水果!$B272)&gt;$M$3),0,1))</f>
        <v>0</v>
      </c>
      <c r="N272">
        <f>IF(OR($N$1="",对接源_01水果!$C272="",对接源_01水果!$C272&lt;&gt;$N$1,对接源_01水果!$B272=""),0,IF(OR(N(对接源_01水果!$B272)&lt;$N$2,N(对接源_01水果!$B272)&gt;$N$3),0,1))</f>
        <v>0</v>
      </c>
      <c r="P272">
        <f>IF(AND($K272=1,AND(对接源_01水果!$X272="公司筐",N(对接源_01水果!$T272)&lt;&gt;0)),1,0)</f>
        <v>0</v>
      </c>
      <c r="Q272">
        <f>N(Q271)+$P272</f>
        <v>0</v>
      </c>
      <c r="R272">
        <f>IF(AND($K272=1,AND(对接源_01水果!$X272="公司筐",N(对接源_01水果!$U272)&lt;&gt;0)),1,0)</f>
        <v>0</v>
      </c>
      <c r="S272">
        <f>N(S271)+$R272</f>
        <v>0</v>
      </c>
      <c r="T272">
        <f>IF(AND($K272=1,AND(对接源_01水果!$X272="公司筐",N(对接源_01水果!$V272)&lt;&gt;0)),1,0)</f>
        <v>0</v>
      </c>
      <c r="U272">
        <f>N(U271)+$T272</f>
        <v>14</v>
      </c>
      <c r="V272">
        <f>IF(AND($L272=1,AND(对接源_01水果!$X272="自备筐",N(对接源_01水果!$V272)&lt;&gt;0)),1,0)</f>
        <v>0</v>
      </c>
      <c r="W272">
        <f>N(W271)+$V272</f>
        <v>8</v>
      </c>
      <c r="X272">
        <f>IF(AND($L272=1,AND(对接源_01水果!$X272="自备筐",N(对接源_01水果!$T272)&lt;&gt;0)),1,0)</f>
        <v>0</v>
      </c>
      <c r="Y272">
        <f>N(Y271)+$X272</f>
        <v>0</v>
      </c>
      <c r="Z272">
        <f>IF(AND($M272=1,对接源_01水果!$D272="原料入库"),1,0)</f>
        <v>0</v>
      </c>
      <c r="AA272">
        <f>N(AA271)+$Z272</f>
        <v>21</v>
      </c>
      <c r="AB272">
        <f>IF(AND($M272=1,LEFT(对接源_01水果!$D272,4)="原料出库"),1,0)</f>
        <v>0</v>
      </c>
      <c r="AC272">
        <f>N(AC271)+$AB272</f>
        <v>0</v>
      </c>
      <c r="AD272">
        <f>IF(AND($M272=1,LEFT(对接源_01水果!$D272,4)="成品出库"),1,0)</f>
        <v>0</v>
      </c>
      <c r="AE272">
        <f>N(AE271)+$AD272</f>
        <v>0</v>
      </c>
      <c r="AF272">
        <f>IF(AND($N272=1,AND(LEFT(对接源_01水果!$D272,4)="包装物料",N(对接源_01水果!$K272)&lt;&gt;0)),1,0)</f>
        <v>0</v>
      </c>
      <c r="AG272">
        <f>N(AG271)+$AF272</f>
        <v>0</v>
      </c>
      <c r="AH272">
        <f>IF(AND($N272=1,AND(对接源_01水果!$D272="周转筐－销售出库",N(对接源_01水果!$K272)&lt;&gt;0)),1,0)</f>
        <v>0</v>
      </c>
      <c r="AI272">
        <f>N(AI271)+$AH272</f>
        <v>0</v>
      </c>
      <c r="AJ272" s="7" t="n"/>
      <c r="AL272">
        <f>IF(OR($AL$1="",对接源_01水果!$Y272="",对接源_01水果!$Y272&lt;&gt;$AL$1,对接源_01水果!$B272="",N(对接源_01水果!$AJ272)&lt;=0),0,IF(OR(N(对接源_01水果!$B272)&lt;$AL$2,N(对接源_01水果!$B272)&gt;$AL$3),0,1))</f>
        <v>0</v>
      </c>
      <c r="AM272">
        <f>N(AM271)+$AL272</f>
        <v>0</v>
      </c>
      <c r="AN272">
        <f>IF(对接源_01水果!$AC272="","",对接源_01水果!$AC272)</f>
      </c>
      <c r="AO272">
        <f>IF(AN272="",0,IF(MATCH(AN272,$AN$4:$AN$1203,0)=ROW()-3,1,0))</f>
        <v>0</v>
      </c>
      <c r="AP272">
        <f>N(AP271)+$AO272</f>
        <v>0</v>
      </c>
      <c r="AR272">
        <f>IF(OR($AF272=1,$AH272=1),1,0)</f>
        <v>0</v>
      </c>
      <c r="AS272">
        <f>N(AS271)+$AR272</f>
        <v>0</v>
      </c>
    </row>
    <row r="273" ht="14.25" customHeight="1" s="127">
      <c r="A273" t="str">
        <f>IF(对接源_01水果!$C273="","",对接源_01水果!$C273)</f>
        <v>努尔敦</v>
      </c>
      <c r="B273">
        <f>IF(A273="",0,IF(MATCH(A273,$A$4:$A$2403,0)=ROW()-3,1,0))</f>
        <v>0</v>
      </c>
      <c r="C273">
        <f>N(C272)+B273</f>
        <v>15</v>
      </c>
      <c r="E273">
        <f>IFERROR(INDEX($A$4:$A$2403,MATCH(ROW()-3,$C$4:$C$2403,0)),"")</f>
      </c>
      <c r="K273">
        <f>IF(OR($K$1="",对接源_01水果!$C273="",对接源_01水果!$C273&lt;&gt;$K$1,对接源_01水果!$B273=""),0,IF(OR(N(对接源_01水果!$B273)&lt;$K$2,N(对接源_01水果!$B273)&gt;$K$3),0,1))</f>
        <v>0</v>
      </c>
      <c r="L273">
        <f>IF(OR($L$1="",对接源_01水果!$C273="",对接源_01水果!$C273&lt;&gt;$L$1,对接源_01水果!$B273=""),0,IF(OR(N(对接源_01水果!$B273)&lt;$L$2,N(对接源_01水果!$B273)&gt;$L$3),0,1))</f>
        <v>0</v>
      </c>
      <c r="M273">
        <f>IF(OR($M$1="",对接源_01水果!$C273="",对接源_01水果!$C273&lt;&gt;$M$1,对接源_01水果!$B273=""),0,IF(OR(N(对接源_01水果!$B273)&lt;$M$2,N(对接源_01水果!$B273)&gt;$M$3),0,1))</f>
        <v>0</v>
      </c>
      <c r="N273">
        <f>IF(OR($N$1="",对接源_01水果!$C273="",对接源_01水果!$C273&lt;&gt;$N$1,对接源_01水果!$B273=""),0,IF(OR(N(对接源_01水果!$B273)&lt;$N$2,N(对接源_01水果!$B273)&gt;$N$3),0,1))</f>
        <v>0</v>
      </c>
      <c r="P273">
        <f>IF(AND($K273=1,AND(对接源_01水果!$X273="公司筐",N(对接源_01水果!$T273)&lt;&gt;0)),1,0)</f>
        <v>0</v>
      </c>
      <c r="Q273">
        <f>N(Q272)+$P273</f>
        <v>0</v>
      </c>
      <c r="R273">
        <f>IF(AND($K273=1,AND(对接源_01水果!$X273="公司筐",N(对接源_01水果!$U273)&lt;&gt;0)),1,0)</f>
        <v>0</v>
      </c>
      <c r="S273">
        <f>N(S272)+$R273</f>
        <v>0</v>
      </c>
      <c r="T273">
        <f>IF(AND($K273=1,AND(对接源_01水果!$X273="公司筐",N(对接源_01水果!$V273)&lt;&gt;0)),1,0)</f>
        <v>0</v>
      </c>
      <c r="U273">
        <f>N(U272)+$T273</f>
        <v>14</v>
      </c>
      <c r="V273">
        <f>IF(AND($L273=1,AND(对接源_01水果!$X273="自备筐",N(对接源_01水果!$V273)&lt;&gt;0)),1,0)</f>
        <v>0</v>
      </c>
      <c r="W273">
        <f>N(W272)+$V273</f>
        <v>8</v>
      </c>
      <c r="X273">
        <f>IF(AND($L273=1,AND(对接源_01水果!$X273="自备筐",N(对接源_01水果!$T273)&lt;&gt;0)),1,0)</f>
        <v>0</v>
      </c>
      <c r="Y273">
        <f>N(Y272)+$X273</f>
        <v>0</v>
      </c>
      <c r="Z273">
        <f>IF(AND($M273=1,对接源_01水果!$D273="原料入库"),1,0)</f>
        <v>0</v>
      </c>
      <c r="AA273">
        <f>N(AA272)+$Z273</f>
        <v>21</v>
      </c>
      <c r="AB273">
        <f>IF(AND($M273=1,LEFT(对接源_01水果!$D273,4)="原料出库"),1,0)</f>
        <v>0</v>
      </c>
      <c r="AC273">
        <f>N(AC272)+$AB273</f>
        <v>0</v>
      </c>
      <c r="AD273">
        <f>IF(AND($M273=1,LEFT(对接源_01水果!$D273,4)="成品出库"),1,0)</f>
        <v>0</v>
      </c>
      <c r="AE273">
        <f>N(AE272)+$AD273</f>
        <v>0</v>
      </c>
      <c r="AF273">
        <f>IF(AND($N273=1,AND(LEFT(对接源_01水果!$D273,4)="包装物料",N(对接源_01水果!$K273)&lt;&gt;0)),1,0)</f>
        <v>0</v>
      </c>
      <c r="AG273">
        <f>N(AG272)+$AF273</f>
        <v>0</v>
      </c>
      <c r="AH273">
        <f>IF(AND($N273=1,AND(对接源_01水果!$D273="周转筐－销售出库",N(对接源_01水果!$K273)&lt;&gt;0)),1,0)</f>
        <v>0</v>
      </c>
      <c r="AI273">
        <f>N(AI272)+$AH273</f>
        <v>0</v>
      </c>
      <c r="AJ273" s="7" t="n"/>
      <c r="AL273">
        <f>IF(OR($AL$1="",对接源_01水果!$Y273="",对接源_01水果!$Y273&lt;&gt;$AL$1,对接源_01水果!$B273="",N(对接源_01水果!$AJ273)&lt;=0),0,IF(OR(N(对接源_01水果!$B273)&lt;$AL$2,N(对接源_01水果!$B273)&gt;$AL$3),0,1))</f>
        <v>0</v>
      </c>
      <c r="AM273">
        <f>N(AM272)+$AL273</f>
        <v>0</v>
      </c>
      <c r="AN273">
        <f>IF(对接源_01水果!$AC273="","",对接源_01水果!$AC273)</f>
      </c>
      <c r="AO273">
        <f>IF(AN273="",0,IF(MATCH(AN273,$AN$4:$AN$1203,0)=ROW()-3,1,0))</f>
        <v>0</v>
      </c>
      <c r="AP273">
        <f>N(AP272)+$AO273</f>
        <v>0</v>
      </c>
      <c r="AR273">
        <f>IF(OR($AF273=1,$AH273=1),1,0)</f>
        <v>0</v>
      </c>
      <c r="AS273">
        <f>N(AS272)+$AR273</f>
        <v>0</v>
      </c>
    </row>
    <row r="274" ht="14.25" customHeight="1" s="127">
      <c r="A274" t="str">
        <f>IF(对接源_01水果!$C274="","",对接源_01水果!$C274)</f>
        <v>吐尔逊</v>
      </c>
      <c r="B274">
        <f>IF(A274="",0,IF(MATCH(A274,$A$4:$A$2403,0)=ROW()-3,1,0))</f>
        <v>1</v>
      </c>
      <c r="C274">
        <f>N(C273)+B274</f>
        <v>16</v>
      </c>
      <c r="E274">
        <f>IFERROR(INDEX($A$4:$A$2403,MATCH(ROW()-3,$C$4:$C$2403,0)),"")</f>
      </c>
      <c r="K274">
        <f>IF(OR($K$1="",对接源_01水果!$C274="",对接源_01水果!$C274&lt;&gt;$K$1,对接源_01水果!$B274=""),0,IF(OR(N(对接源_01水果!$B274)&lt;$K$2,N(对接源_01水果!$B274)&gt;$K$3),0,1))</f>
        <v>0</v>
      </c>
      <c r="L274">
        <f>IF(OR($L$1="",对接源_01水果!$C274="",对接源_01水果!$C274&lt;&gt;$L$1,对接源_01水果!$B274=""),0,IF(OR(N(对接源_01水果!$B274)&lt;$L$2,N(对接源_01水果!$B274)&gt;$L$3),0,1))</f>
        <v>0</v>
      </c>
      <c r="M274">
        <f>IF(OR($M$1="",对接源_01水果!$C274="",对接源_01水果!$C274&lt;&gt;$M$1,对接源_01水果!$B274=""),0,IF(OR(N(对接源_01水果!$B274)&lt;$M$2,N(对接源_01水果!$B274)&gt;$M$3),0,1))</f>
        <v>0</v>
      </c>
      <c r="N274">
        <f>IF(OR($N$1="",对接源_01水果!$C274="",对接源_01水果!$C274&lt;&gt;$N$1,对接源_01水果!$B274=""),0,IF(OR(N(对接源_01水果!$B274)&lt;$N$2,N(对接源_01水果!$B274)&gt;$N$3),0,1))</f>
        <v>0</v>
      </c>
      <c r="P274">
        <f>IF(AND($K274=1,AND(对接源_01水果!$X274="公司筐",N(对接源_01水果!$T274)&lt;&gt;0)),1,0)</f>
        <v>0</v>
      </c>
      <c r="Q274">
        <f>N(Q273)+$P274</f>
        <v>0</v>
      </c>
      <c r="R274">
        <f>IF(AND($K274=1,AND(对接源_01水果!$X274="公司筐",N(对接源_01水果!$U274)&lt;&gt;0)),1,0)</f>
        <v>0</v>
      </c>
      <c r="S274">
        <f>N(S273)+$R274</f>
        <v>0</v>
      </c>
      <c r="T274">
        <f>IF(AND($K274=1,AND(对接源_01水果!$X274="公司筐",N(对接源_01水果!$V274)&lt;&gt;0)),1,0)</f>
        <v>0</v>
      </c>
      <c r="U274">
        <f>N(U273)+$T274</f>
        <v>14</v>
      </c>
      <c r="V274">
        <f>IF(AND($L274=1,AND(对接源_01水果!$X274="自备筐",N(对接源_01水果!$V274)&lt;&gt;0)),1,0)</f>
        <v>0</v>
      </c>
      <c r="W274">
        <f>N(W273)+$V274</f>
        <v>8</v>
      </c>
      <c r="X274">
        <f>IF(AND($L274=1,AND(对接源_01水果!$X274="自备筐",N(对接源_01水果!$T274)&lt;&gt;0)),1,0)</f>
        <v>0</v>
      </c>
      <c r="Y274">
        <f>N(Y273)+$X274</f>
        <v>0</v>
      </c>
      <c r="Z274">
        <f>IF(AND($M274=1,对接源_01水果!$D274="原料入库"),1,0)</f>
        <v>0</v>
      </c>
      <c r="AA274">
        <f>N(AA273)+$Z274</f>
        <v>21</v>
      </c>
      <c r="AB274">
        <f>IF(AND($M274=1,LEFT(对接源_01水果!$D274,4)="原料出库"),1,0)</f>
        <v>0</v>
      </c>
      <c r="AC274">
        <f>N(AC273)+$AB274</f>
        <v>0</v>
      </c>
      <c r="AD274">
        <f>IF(AND($M274=1,LEFT(对接源_01水果!$D274,4)="成品出库"),1,0)</f>
        <v>0</v>
      </c>
      <c r="AE274">
        <f>N(AE273)+$AD274</f>
        <v>0</v>
      </c>
      <c r="AF274">
        <f>IF(AND($N274=1,AND(LEFT(对接源_01水果!$D274,4)="包装物料",N(对接源_01水果!$K274)&lt;&gt;0)),1,0)</f>
        <v>0</v>
      </c>
      <c r="AG274">
        <f>N(AG273)+$AF274</f>
        <v>0</v>
      </c>
      <c r="AH274">
        <f>IF(AND($N274=1,AND(对接源_01水果!$D274="周转筐－销售出库",N(对接源_01水果!$K274)&lt;&gt;0)),1,0)</f>
        <v>0</v>
      </c>
      <c r="AI274">
        <f>N(AI273)+$AH274</f>
        <v>0</v>
      </c>
      <c r="AJ274" s="7" t="n"/>
      <c r="AL274">
        <f>IF(OR($AL$1="",对接源_01水果!$Y274="",对接源_01水果!$Y274&lt;&gt;$AL$1,对接源_01水果!$B274="",N(对接源_01水果!$AJ274)&lt;=0),0,IF(OR(N(对接源_01水果!$B274)&lt;$AL$2,N(对接源_01水果!$B274)&gt;$AL$3),0,1))</f>
        <v>0</v>
      </c>
      <c r="AM274">
        <f>N(AM273)+$AL274</f>
        <v>0</v>
      </c>
      <c r="AN274">
        <f>IF(对接源_01水果!$AC274="","",对接源_01水果!$AC274)</f>
      </c>
      <c r="AO274">
        <f>IF(AN274="",0,IF(MATCH(AN274,$AN$4:$AN$1203,0)=ROW()-3,1,0))</f>
        <v>0</v>
      </c>
      <c r="AP274">
        <f>N(AP273)+$AO274</f>
        <v>0</v>
      </c>
      <c r="AR274">
        <f>IF(OR($AF274=1,$AH274=1),1,0)</f>
        <v>0</v>
      </c>
      <c r="AS274">
        <f>N(AS273)+$AR274</f>
        <v>0</v>
      </c>
    </row>
    <row r="275" ht="14.25" customHeight="1" s="127">
      <c r="A275" t="str">
        <f>IF(对接源_01水果!$C275="","",对接源_01水果!$C275)</f>
        <v>吐尔逊</v>
      </c>
      <c r="B275">
        <f>IF(A275="",0,IF(MATCH(A275,$A$4:$A$2403,0)=ROW()-3,1,0))</f>
        <v>0</v>
      </c>
      <c r="C275">
        <f>N(C274)+B275</f>
        <v>16</v>
      </c>
      <c r="E275">
        <f>IFERROR(INDEX($A$4:$A$2403,MATCH(ROW()-3,$C$4:$C$2403,0)),"")</f>
      </c>
      <c r="K275">
        <f>IF(OR($K$1="",对接源_01水果!$C275="",对接源_01水果!$C275&lt;&gt;$K$1,对接源_01水果!$B275=""),0,IF(OR(N(对接源_01水果!$B275)&lt;$K$2,N(对接源_01水果!$B275)&gt;$K$3),0,1))</f>
        <v>0</v>
      </c>
      <c r="L275">
        <f>IF(OR($L$1="",对接源_01水果!$C275="",对接源_01水果!$C275&lt;&gt;$L$1,对接源_01水果!$B275=""),0,IF(OR(N(对接源_01水果!$B275)&lt;$L$2,N(对接源_01水果!$B275)&gt;$L$3),0,1))</f>
        <v>0</v>
      </c>
      <c r="M275">
        <f>IF(OR($M$1="",对接源_01水果!$C275="",对接源_01水果!$C275&lt;&gt;$M$1,对接源_01水果!$B275=""),0,IF(OR(N(对接源_01水果!$B275)&lt;$M$2,N(对接源_01水果!$B275)&gt;$M$3),0,1))</f>
        <v>0</v>
      </c>
      <c r="N275">
        <f>IF(OR($N$1="",对接源_01水果!$C275="",对接源_01水果!$C275&lt;&gt;$N$1,对接源_01水果!$B275=""),0,IF(OR(N(对接源_01水果!$B275)&lt;$N$2,N(对接源_01水果!$B275)&gt;$N$3),0,1))</f>
        <v>0</v>
      </c>
      <c r="P275">
        <f>IF(AND($K275=1,AND(对接源_01水果!$X275="公司筐",N(对接源_01水果!$T275)&lt;&gt;0)),1,0)</f>
        <v>0</v>
      </c>
      <c r="Q275">
        <f>N(Q274)+$P275</f>
        <v>0</v>
      </c>
      <c r="R275">
        <f>IF(AND($K275=1,AND(对接源_01水果!$X275="公司筐",N(对接源_01水果!$U275)&lt;&gt;0)),1,0)</f>
        <v>0</v>
      </c>
      <c r="S275">
        <f>N(S274)+$R275</f>
        <v>0</v>
      </c>
      <c r="T275">
        <f>IF(AND($K275=1,AND(对接源_01水果!$X275="公司筐",N(对接源_01水果!$V275)&lt;&gt;0)),1,0)</f>
        <v>0</v>
      </c>
      <c r="U275">
        <f>N(U274)+$T275</f>
        <v>14</v>
      </c>
      <c r="V275">
        <f>IF(AND($L275=1,AND(对接源_01水果!$X275="自备筐",N(对接源_01水果!$V275)&lt;&gt;0)),1,0)</f>
        <v>0</v>
      </c>
      <c r="W275">
        <f>N(W274)+$V275</f>
        <v>8</v>
      </c>
      <c r="X275">
        <f>IF(AND($L275=1,AND(对接源_01水果!$X275="自备筐",N(对接源_01水果!$T275)&lt;&gt;0)),1,0)</f>
        <v>0</v>
      </c>
      <c r="Y275">
        <f>N(Y274)+$X275</f>
        <v>0</v>
      </c>
      <c r="Z275">
        <f>IF(AND($M275=1,对接源_01水果!$D275="原料入库"),1,0)</f>
        <v>0</v>
      </c>
      <c r="AA275">
        <f>N(AA274)+$Z275</f>
        <v>21</v>
      </c>
      <c r="AB275">
        <f>IF(AND($M275=1,LEFT(对接源_01水果!$D275,4)="原料出库"),1,0)</f>
        <v>0</v>
      </c>
      <c r="AC275">
        <f>N(AC274)+$AB275</f>
        <v>0</v>
      </c>
      <c r="AD275">
        <f>IF(AND($M275=1,LEFT(对接源_01水果!$D275,4)="成品出库"),1,0)</f>
        <v>0</v>
      </c>
      <c r="AE275">
        <f>N(AE274)+$AD275</f>
        <v>0</v>
      </c>
      <c r="AF275">
        <f>IF(AND($N275=1,AND(LEFT(对接源_01水果!$D275,4)="包装物料",N(对接源_01水果!$K275)&lt;&gt;0)),1,0)</f>
        <v>0</v>
      </c>
      <c r="AG275">
        <f>N(AG274)+$AF275</f>
        <v>0</v>
      </c>
      <c r="AH275">
        <f>IF(AND($N275=1,AND(对接源_01水果!$D275="周转筐－销售出库",N(对接源_01水果!$K275)&lt;&gt;0)),1,0)</f>
        <v>0</v>
      </c>
      <c r="AI275">
        <f>N(AI274)+$AH275</f>
        <v>0</v>
      </c>
      <c r="AJ275" s="7" t="n"/>
      <c r="AL275">
        <f>IF(OR($AL$1="",对接源_01水果!$Y275="",对接源_01水果!$Y275&lt;&gt;$AL$1,对接源_01水果!$B275="",N(对接源_01水果!$AJ275)&lt;=0),0,IF(OR(N(对接源_01水果!$B275)&lt;$AL$2,N(对接源_01水果!$B275)&gt;$AL$3),0,1))</f>
        <v>0</v>
      </c>
      <c r="AM275">
        <f>N(AM274)+$AL275</f>
        <v>0</v>
      </c>
      <c r="AN275">
        <f>IF(对接源_01水果!$AC275="","",对接源_01水果!$AC275)</f>
      </c>
      <c r="AO275">
        <f>IF(AN275="",0,IF(MATCH(AN275,$AN$4:$AN$1203,0)=ROW()-3,1,0))</f>
        <v>0</v>
      </c>
      <c r="AP275">
        <f>N(AP274)+$AO275</f>
        <v>0</v>
      </c>
      <c r="AR275">
        <f>IF(OR($AF275=1,$AH275=1),1,0)</f>
        <v>0</v>
      </c>
      <c r="AS275">
        <f>N(AS274)+$AR275</f>
        <v>0</v>
      </c>
    </row>
    <row r="276" ht="14.25" customHeight="1" s="127">
      <c r="A276" t="str">
        <f>IF(对接源_01水果!$C276="","",对接源_01水果!$C276)</f>
        <v>王照雪</v>
      </c>
      <c r="B276">
        <f>IF(A276="",0,IF(MATCH(A276,$A$4:$A$2403,0)=ROW()-3,1,0))</f>
        <v>0</v>
      </c>
      <c r="C276">
        <f>N(C275)+B276</f>
        <v>16</v>
      </c>
      <c r="E276">
        <f>IFERROR(INDEX($A$4:$A$2403,MATCH(ROW()-3,$C$4:$C$2403,0)),"")</f>
      </c>
      <c r="K276">
        <f>IF(OR($K$1="",对接源_01水果!$C276="",对接源_01水果!$C276&lt;&gt;$K$1,对接源_01水果!$B276=""),0,IF(OR(N(对接源_01水果!$B276)&lt;$K$2,N(对接源_01水果!$B276)&gt;$K$3),0,1))</f>
        <v>0</v>
      </c>
      <c r="L276">
        <f>IF(OR($L$1="",对接源_01水果!$C276="",对接源_01水果!$C276&lt;&gt;$L$1,对接源_01水果!$B276=""),0,IF(OR(N(对接源_01水果!$B276)&lt;$L$2,N(对接源_01水果!$B276)&gt;$L$3),0,1))</f>
        <v>0</v>
      </c>
      <c r="M276">
        <f>IF(OR($M$1="",对接源_01水果!$C276="",对接源_01水果!$C276&lt;&gt;$M$1,对接源_01水果!$B276=""),0,IF(OR(N(对接源_01水果!$B276)&lt;$M$2,N(对接源_01水果!$B276)&gt;$M$3),0,1))</f>
        <v>0</v>
      </c>
      <c r="N276">
        <f>IF(OR($N$1="",对接源_01水果!$C276="",对接源_01水果!$C276&lt;&gt;$N$1,对接源_01水果!$B276=""),0,IF(OR(N(对接源_01水果!$B276)&lt;$N$2,N(对接源_01水果!$B276)&gt;$N$3),0,1))</f>
        <v>0</v>
      </c>
      <c r="P276">
        <f>IF(AND($K276=1,AND(对接源_01水果!$X276="公司筐",N(对接源_01水果!$T276)&lt;&gt;0)),1,0)</f>
        <v>0</v>
      </c>
      <c r="Q276">
        <f>N(Q275)+$P276</f>
        <v>0</v>
      </c>
      <c r="R276">
        <f>IF(AND($K276=1,AND(对接源_01水果!$X276="公司筐",N(对接源_01水果!$U276)&lt;&gt;0)),1,0)</f>
        <v>0</v>
      </c>
      <c r="S276">
        <f>N(S275)+$R276</f>
        <v>0</v>
      </c>
      <c r="T276">
        <f>IF(AND($K276=1,AND(对接源_01水果!$X276="公司筐",N(对接源_01水果!$V276)&lt;&gt;0)),1,0)</f>
        <v>0</v>
      </c>
      <c r="U276">
        <f>N(U275)+$T276</f>
        <v>14</v>
      </c>
      <c r="V276">
        <f>IF(AND($L276=1,AND(对接源_01水果!$X276="自备筐",N(对接源_01水果!$V276)&lt;&gt;0)),1,0)</f>
        <v>0</v>
      </c>
      <c r="W276">
        <f>N(W275)+$V276</f>
        <v>8</v>
      </c>
      <c r="X276">
        <f>IF(AND($L276=1,AND(对接源_01水果!$X276="自备筐",N(对接源_01水果!$T276)&lt;&gt;0)),1,0)</f>
        <v>0</v>
      </c>
      <c r="Y276">
        <f>N(Y275)+$X276</f>
        <v>0</v>
      </c>
      <c r="Z276">
        <f>IF(AND($M276=1,对接源_01水果!$D276="原料入库"),1,0)</f>
        <v>0</v>
      </c>
      <c r="AA276">
        <f>N(AA275)+$Z276</f>
        <v>21</v>
      </c>
      <c r="AB276">
        <f>IF(AND($M276=1,LEFT(对接源_01水果!$D276,4)="原料出库"),1,0)</f>
        <v>0</v>
      </c>
      <c r="AC276">
        <f>N(AC275)+$AB276</f>
        <v>0</v>
      </c>
      <c r="AD276">
        <f>IF(AND($M276=1,LEFT(对接源_01水果!$D276,4)="成品出库"),1,0)</f>
        <v>0</v>
      </c>
      <c r="AE276">
        <f>N(AE275)+$AD276</f>
        <v>0</v>
      </c>
      <c r="AF276">
        <f>IF(AND($N276=1,AND(LEFT(对接源_01水果!$D276,4)="包装物料",N(对接源_01水果!$K276)&lt;&gt;0)),1,0)</f>
        <v>0</v>
      </c>
      <c r="AG276">
        <f>N(AG275)+$AF276</f>
        <v>0</v>
      </c>
      <c r="AH276">
        <f>IF(AND($N276=1,AND(对接源_01水果!$D276="周转筐－销售出库",N(对接源_01水果!$K276)&lt;&gt;0)),1,0)</f>
        <v>0</v>
      </c>
      <c r="AI276">
        <f>N(AI275)+$AH276</f>
        <v>0</v>
      </c>
      <c r="AJ276" s="7" t="n"/>
      <c r="AL276">
        <f>IF(OR($AL$1="",对接源_01水果!$Y276="",对接源_01水果!$Y276&lt;&gt;$AL$1,对接源_01水果!$B276="",N(对接源_01水果!$AJ276)&lt;=0),0,IF(OR(N(对接源_01水果!$B276)&lt;$AL$2,N(对接源_01水果!$B276)&gt;$AL$3),0,1))</f>
        <v>0</v>
      </c>
      <c r="AM276">
        <f>N(AM275)+$AL276</f>
        <v>0</v>
      </c>
      <c r="AN276">
        <f>IF(对接源_01水果!$AC276="","",对接源_01水果!$AC276)</f>
      </c>
      <c r="AO276">
        <f>IF(AN276="",0,IF(MATCH(AN276,$AN$4:$AN$1203,0)=ROW()-3,1,0))</f>
        <v>0</v>
      </c>
      <c r="AP276">
        <f>N(AP275)+$AO276</f>
        <v>0</v>
      </c>
      <c r="AR276">
        <f>IF(OR($AF276=1,$AH276=1),1,0)</f>
        <v>0</v>
      </c>
      <c r="AS276">
        <f>N(AS275)+$AR276</f>
        <v>0</v>
      </c>
    </row>
    <row r="277" ht="14.25" customHeight="1" s="127">
      <c r="A277" t="str">
        <f>IF(对接源_01水果!$C277="","",对接源_01水果!$C277)</f>
        <v>王照雪</v>
      </c>
      <c r="B277">
        <f>IF(A277="",0,IF(MATCH(A277,$A$4:$A$2403,0)=ROW()-3,1,0))</f>
        <v>0</v>
      </c>
      <c r="C277">
        <f>N(C276)+B277</f>
        <v>16</v>
      </c>
      <c r="E277">
        <f>IFERROR(INDEX($A$4:$A$2403,MATCH(ROW()-3,$C$4:$C$2403,0)),"")</f>
      </c>
      <c r="K277">
        <f>IF(OR($K$1="",对接源_01水果!$C277="",对接源_01水果!$C277&lt;&gt;$K$1,对接源_01水果!$B277=""),0,IF(OR(N(对接源_01水果!$B277)&lt;$K$2,N(对接源_01水果!$B277)&gt;$K$3),0,1))</f>
        <v>0</v>
      </c>
      <c r="L277">
        <f>IF(OR($L$1="",对接源_01水果!$C277="",对接源_01水果!$C277&lt;&gt;$L$1,对接源_01水果!$B277=""),0,IF(OR(N(对接源_01水果!$B277)&lt;$L$2,N(对接源_01水果!$B277)&gt;$L$3),0,1))</f>
        <v>0</v>
      </c>
      <c r="M277">
        <f>IF(OR($M$1="",对接源_01水果!$C277="",对接源_01水果!$C277&lt;&gt;$M$1,对接源_01水果!$B277=""),0,IF(OR(N(对接源_01水果!$B277)&lt;$M$2,N(对接源_01水果!$B277)&gt;$M$3),0,1))</f>
        <v>0</v>
      </c>
      <c r="N277">
        <f>IF(OR($N$1="",对接源_01水果!$C277="",对接源_01水果!$C277&lt;&gt;$N$1,对接源_01水果!$B277=""),0,IF(OR(N(对接源_01水果!$B277)&lt;$N$2,N(对接源_01水果!$B277)&gt;$N$3),0,1))</f>
        <v>0</v>
      </c>
      <c r="P277">
        <f>IF(AND($K277=1,AND(对接源_01水果!$X277="公司筐",N(对接源_01水果!$T277)&lt;&gt;0)),1,0)</f>
        <v>0</v>
      </c>
      <c r="Q277">
        <f>N(Q276)+$P277</f>
        <v>0</v>
      </c>
      <c r="R277">
        <f>IF(AND($K277=1,AND(对接源_01水果!$X277="公司筐",N(对接源_01水果!$U277)&lt;&gt;0)),1,0)</f>
        <v>0</v>
      </c>
      <c r="S277">
        <f>N(S276)+$R277</f>
        <v>0</v>
      </c>
      <c r="T277">
        <f>IF(AND($K277=1,AND(对接源_01水果!$X277="公司筐",N(对接源_01水果!$V277)&lt;&gt;0)),1,0)</f>
        <v>0</v>
      </c>
      <c r="U277">
        <f>N(U276)+$T277</f>
        <v>14</v>
      </c>
      <c r="V277">
        <f>IF(AND($L277=1,AND(对接源_01水果!$X277="自备筐",N(对接源_01水果!$V277)&lt;&gt;0)),1,0)</f>
        <v>0</v>
      </c>
      <c r="W277">
        <f>N(W276)+$V277</f>
        <v>8</v>
      </c>
      <c r="X277">
        <f>IF(AND($L277=1,AND(对接源_01水果!$X277="自备筐",N(对接源_01水果!$T277)&lt;&gt;0)),1,0)</f>
        <v>0</v>
      </c>
      <c r="Y277">
        <f>N(Y276)+$X277</f>
        <v>0</v>
      </c>
      <c r="Z277">
        <f>IF(AND($M277=1,对接源_01水果!$D277="原料入库"),1,0)</f>
        <v>0</v>
      </c>
      <c r="AA277">
        <f>N(AA276)+$Z277</f>
        <v>21</v>
      </c>
      <c r="AB277">
        <f>IF(AND($M277=1,LEFT(对接源_01水果!$D277,4)="原料出库"),1,0)</f>
        <v>0</v>
      </c>
      <c r="AC277">
        <f>N(AC276)+$AB277</f>
        <v>0</v>
      </c>
      <c r="AD277">
        <f>IF(AND($M277=1,LEFT(对接源_01水果!$D277,4)="成品出库"),1,0)</f>
        <v>0</v>
      </c>
      <c r="AE277">
        <f>N(AE276)+$AD277</f>
        <v>0</v>
      </c>
      <c r="AF277">
        <f>IF(AND($N277=1,AND(LEFT(对接源_01水果!$D277,4)="包装物料",N(对接源_01水果!$K277)&lt;&gt;0)),1,0)</f>
        <v>0</v>
      </c>
      <c r="AG277">
        <f>N(AG276)+$AF277</f>
        <v>0</v>
      </c>
      <c r="AH277">
        <f>IF(AND($N277=1,AND(对接源_01水果!$D277="周转筐－销售出库",N(对接源_01水果!$K277)&lt;&gt;0)),1,0)</f>
        <v>0</v>
      </c>
      <c r="AI277">
        <f>N(AI276)+$AH277</f>
        <v>0</v>
      </c>
      <c r="AJ277" s="7" t="n"/>
      <c r="AL277">
        <f>IF(OR($AL$1="",对接源_01水果!$Y277="",对接源_01水果!$Y277&lt;&gt;$AL$1,对接源_01水果!$B277="",N(对接源_01水果!$AJ277)&lt;=0),0,IF(OR(N(对接源_01水果!$B277)&lt;$AL$2,N(对接源_01水果!$B277)&gt;$AL$3),0,1))</f>
        <v>0</v>
      </c>
      <c r="AM277">
        <f>N(AM276)+$AL277</f>
        <v>0</v>
      </c>
      <c r="AN277">
        <f>IF(对接源_01水果!$AC277="","",对接源_01水果!$AC277)</f>
      </c>
      <c r="AO277">
        <f>IF(AN277="",0,IF(MATCH(AN277,$AN$4:$AN$1203,0)=ROW()-3,1,0))</f>
        <v>0</v>
      </c>
      <c r="AP277">
        <f>N(AP276)+$AO277</f>
        <v>0</v>
      </c>
      <c r="AR277">
        <f>IF(OR($AF277=1,$AH277=1),1,0)</f>
        <v>0</v>
      </c>
      <c r="AS277">
        <f>N(AS276)+$AR277</f>
        <v>0</v>
      </c>
    </row>
    <row r="278" ht="14.25" customHeight="1" s="127">
      <c r="A278" t="str">
        <f>IF(对接源_01水果!$C278="","",对接源_01水果!$C278)</f>
        <v>王照雪</v>
      </c>
      <c r="B278">
        <f>IF(A278="",0,IF(MATCH(A278,$A$4:$A$2403,0)=ROW()-3,1,0))</f>
        <v>0</v>
      </c>
      <c r="C278">
        <f>N(C277)+B278</f>
        <v>16</v>
      </c>
      <c r="E278">
        <f>IFERROR(INDEX($A$4:$A$2403,MATCH(ROW()-3,$C$4:$C$2403,0)),"")</f>
      </c>
      <c r="K278">
        <f>IF(OR($K$1="",对接源_01水果!$C278="",对接源_01水果!$C278&lt;&gt;$K$1,对接源_01水果!$B278=""),0,IF(OR(N(对接源_01水果!$B278)&lt;$K$2,N(对接源_01水果!$B278)&gt;$K$3),0,1))</f>
        <v>0</v>
      </c>
      <c r="L278">
        <f>IF(OR($L$1="",对接源_01水果!$C278="",对接源_01水果!$C278&lt;&gt;$L$1,对接源_01水果!$B278=""),0,IF(OR(N(对接源_01水果!$B278)&lt;$L$2,N(对接源_01水果!$B278)&gt;$L$3),0,1))</f>
        <v>0</v>
      </c>
      <c r="M278">
        <f>IF(OR($M$1="",对接源_01水果!$C278="",对接源_01水果!$C278&lt;&gt;$M$1,对接源_01水果!$B278=""),0,IF(OR(N(对接源_01水果!$B278)&lt;$M$2,N(对接源_01水果!$B278)&gt;$M$3),0,1))</f>
        <v>0</v>
      </c>
      <c r="N278">
        <f>IF(OR($N$1="",对接源_01水果!$C278="",对接源_01水果!$C278&lt;&gt;$N$1,对接源_01水果!$B278=""),0,IF(OR(N(对接源_01水果!$B278)&lt;$N$2,N(对接源_01水果!$B278)&gt;$N$3),0,1))</f>
        <v>0</v>
      </c>
      <c r="P278">
        <f>IF(AND($K278=1,AND(对接源_01水果!$X278="公司筐",N(对接源_01水果!$T278)&lt;&gt;0)),1,0)</f>
        <v>0</v>
      </c>
      <c r="Q278">
        <f>N(Q277)+$P278</f>
        <v>0</v>
      </c>
      <c r="R278">
        <f>IF(AND($K278=1,AND(对接源_01水果!$X278="公司筐",N(对接源_01水果!$U278)&lt;&gt;0)),1,0)</f>
        <v>0</v>
      </c>
      <c r="S278">
        <f>N(S277)+$R278</f>
        <v>0</v>
      </c>
      <c r="T278">
        <f>IF(AND($K278=1,AND(对接源_01水果!$X278="公司筐",N(对接源_01水果!$V278)&lt;&gt;0)),1,0)</f>
        <v>0</v>
      </c>
      <c r="U278">
        <f>N(U277)+$T278</f>
        <v>14</v>
      </c>
      <c r="V278">
        <f>IF(AND($L278=1,AND(对接源_01水果!$X278="自备筐",N(对接源_01水果!$V278)&lt;&gt;0)),1,0)</f>
        <v>0</v>
      </c>
      <c r="W278">
        <f>N(W277)+$V278</f>
        <v>8</v>
      </c>
      <c r="X278">
        <f>IF(AND($L278=1,AND(对接源_01水果!$X278="自备筐",N(对接源_01水果!$T278)&lt;&gt;0)),1,0)</f>
        <v>0</v>
      </c>
      <c r="Y278">
        <f>N(Y277)+$X278</f>
        <v>0</v>
      </c>
      <c r="Z278">
        <f>IF(AND($M278=1,对接源_01水果!$D278="原料入库"),1,0)</f>
        <v>0</v>
      </c>
      <c r="AA278">
        <f>N(AA277)+$Z278</f>
        <v>21</v>
      </c>
      <c r="AB278">
        <f>IF(AND($M278=1,LEFT(对接源_01水果!$D278,4)="原料出库"),1,0)</f>
        <v>0</v>
      </c>
      <c r="AC278">
        <f>N(AC277)+$AB278</f>
        <v>0</v>
      </c>
      <c r="AD278">
        <f>IF(AND($M278=1,LEFT(对接源_01水果!$D278,4)="成品出库"),1,0)</f>
        <v>0</v>
      </c>
      <c r="AE278">
        <f>N(AE277)+$AD278</f>
        <v>0</v>
      </c>
      <c r="AF278">
        <f>IF(AND($N278=1,AND(LEFT(对接源_01水果!$D278,4)="包装物料",N(对接源_01水果!$K278)&lt;&gt;0)),1,0)</f>
        <v>0</v>
      </c>
      <c r="AG278">
        <f>N(AG277)+$AF278</f>
        <v>0</v>
      </c>
      <c r="AH278">
        <f>IF(AND($N278=1,AND(对接源_01水果!$D278="周转筐－销售出库",N(对接源_01水果!$K278)&lt;&gt;0)),1,0)</f>
        <v>0</v>
      </c>
      <c r="AI278">
        <f>N(AI277)+$AH278</f>
        <v>0</v>
      </c>
      <c r="AJ278" s="7" t="n"/>
      <c r="AL278">
        <f>IF(OR($AL$1="",对接源_01水果!$Y278="",对接源_01水果!$Y278&lt;&gt;$AL$1,对接源_01水果!$B278="",N(对接源_01水果!$AJ278)&lt;=0),0,IF(OR(N(对接源_01水果!$B278)&lt;$AL$2,N(对接源_01水果!$B278)&gt;$AL$3),0,1))</f>
        <v>0</v>
      </c>
      <c r="AM278">
        <f>N(AM277)+$AL278</f>
        <v>0</v>
      </c>
      <c r="AN278">
        <f>IF(对接源_01水果!$AC278="","",对接源_01水果!$AC278)</f>
      </c>
      <c r="AO278">
        <f>IF(AN278="",0,IF(MATCH(AN278,$AN$4:$AN$1203,0)=ROW()-3,1,0))</f>
        <v>0</v>
      </c>
      <c r="AP278">
        <f>N(AP277)+$AO278</f>
        <v>0</v>
      </c>
      <c r="AR278">
        <f>IF(OR($AF278=1,$AH278=1),1,0)</f>
        <v>0</v>
      </c>
      <c r="AS278">
        <f>N(AS277)+$AR278</f>
        <v>0</v>
      </c>
    </row>
    <row r="279" ht="14.25" customHeight="1" s="127">
      <c r="A279" t="str">
        <f>IF(对接源_01水果!$C279="","",对接源_01水果!$C279)</f>
        <v>阿布都</v>
      </c>
      <c r="B279">
        <f>IF(A279="",0,IF(MATCH(A279,$A$4:$A$2403,0)=ROW()-3,1,0))</f>
        <v>1</v>
      </c>
      <c r="C279">
        <f>N(C278)+B279</f>
        <v>17</v>
      </c>
      <c r="E279">
        <f>IFERROR(INDEX($A$4:$A$2403,MATCH(ROW()-3,$C$4:$C$2403,0)),"")</f>
      </c>
      <c r="K279">
        <f>IF(OR($K$1="",对接源_01水果!$C279="",对接源_01水果!$C279&lt;&gt;$K$1,对接源_01水果!$B279=""),0,IF(OR(N(对接源_01水果!$B279)&lt;$K$2,N(对接源_01水果!$B279)&gt;$K$3),0,1))</f>
        <v>0</v>
      </c>
      <c r="L279">
        <f>IF(OR($L$1="",对接源_01水果!$C279="",对接源_01水果!$C279&lt;&gt;$L$1,对接源_01水果!$B279=""),0,IF(OR(N(对接源_01水果!$B279)&lt;$L$2,N(对接源_01水果!$B279)&gt;$L$3),0,1))</f>
        <v>0</v>
      </c>
      <c r="M279">
        <f>IF(OR($M$1="",对接源_01水果!$C279="",对接源_01水果!$C279&lt;&gt;$M$1,对接源_01水果!$B279=""),0,IF(OR(N(对接源_01水果!$B279)&lt;$M$2,N(对接源_01水果!$B279)&gt;$M$3),0,1))</f>
        <v>0</v>
      </c>
      <c r="N279">
        <f>IF(OR($N$1="",对接源_01水果!$C279="",对接源_01水果!$C279&lt;&gt;$N$1,对接源_01水果!$B279=""),0,IF(OR(N(对接源_01水果!$B279)&lt;$N$2,N(对接源_01水果!$B279)&gt;$N$3),0,1))</f>
        <v>0</v>
      </c>
      <c r="P279">
        <f>IF(AND($K279=1,AND(对接源_01水果!$X279="公司筐",N(对接源_01水果!$T279)&lt;&gt;0)),1,0)</f>
        <v>0</v>
      </c>
      <c r="Q279">
        <f>N(Q278)+$P279</f>
        <v>0</v>
      </c>
      <c r="R279">
        <f>IF(AND($K279=1,AND(对接源_01水果!$X279="公司筐",N(对接源_01水果!$U279)&lt;&gt;0)),1,0)</f>
        <v>0</v>
      </c>
      <c r="S279">
        <f>N(S278)+$R279</f>
        <v>0</v>
      </c>
      <c r="T279">
        <f>IF(AND($K279=1,AND(对接源_01水果!$X279="公司筐",N(对接源_01水果!$V279)&lt;&gt;0)),1,0)</f>
        <v>0</v>
      </c>
      <c r="U279">
        <f>N(U278)+$T279</f>
        <v>14</v>
      </c>
      <c r="V279">
        <f>IF(AND($L279=1,AND(对接源_01水果!$X279="自备筐",N(对接源_01水果!$V279)&lt;&gt;0)),1,0)</f>
        <v>0</v>
      </c>
      <c r="W279">
        <f>N(W278)+$V279</f>
        <v>8</v>
      </c>
      <c r="X279">
        <f>IF(AND($L279=1,AND(对接源_01水果!$X279="自备筐",N(对接源_01水果!$T279)&lt;&gt;0)),1,0)</f>
        <v>0</v>
      </c>
      <c r="Y279">
        <f>N(Y278)+$X279</f>
        <v>0</v>
      </c>
      <c r="Z279">
        <f>IF(AND($M279=1,对接源_01水果!$D279="原料入库"),1,0)</f>
        <v>0</v>
      </c>
      <c r="AA279">
        <f>N(AA278)+$Z279</f>
        <v>21</v>
      </c>
      <c r="AB279">
        <f>IF(AND($M279=1,LEFT(对接源_01水果!$D279,4)="原料出库"),1,0)</f>
        <v>0</v>
      </c>
      <c r="AC279">
        <f>N(AC278)+$AB279</f>
        <v>0</v>
      </c>
      <c r="AD279">
        <f>IF(AND($M279=1,LEFT(对接源_01水果!$D279,4)="成品出库"),1,0)</f>
        <v>0</v>
      </c>
      <c r="AE279">
        <f>N(AE278)+$AD279</f>
        <v>0</v>
      </c>
      <c r="AF279">
        <f>IF(AND($N279=1,AND(LEFT(对接源_01水果!$D279,4)="包装物料",N(对接源_01水果!$K279)&lt;&gt;0)),1,0)</f>
        <v>0</v>
      </c>
      <c r="AG279">
        <f>N(AG278)+$AF279</f>
        <v>0</v>
      </c>
      <c r="AH279">
        <f>IF(AND($N279=1,AND(对接源_01水果!$D279="周转筐－销售出库",N(对接源_01水果!$K279)&lt;&gt;0)),1,0)</f>
        <v>0</v>
      </c>
      <c r="AI279">
        <f>N(AI278)+$AH279</f>
        <v>0</v>
      </c>
      <c r="AJ279" s="7" t="n"/>
      <c r="AL279">
        <f>IF(OR($AL$1="",对接源_01水果!$Y279="",对接源_01水果!$Y279&lt;&gt;$AL$1,对接源_01水果!$B279="",N(对接源_01水果!$AJ279)&lt;=0),0,IF(OR(N(对接源_01水果!$B279)&lt;$AL$2,N(对接源_01水果!$B279)&gt;$AL$3),0,1))</f>
        <v>0</v>
      </c>
      <c r="AM279">
        <f>N(AM278)+$AL279</f>
        <v>0</v>
      </c>
      <c r="AN279">
        <f>IF(对接源_01水果!$AC279="","",对接源_01水果!$AC279)</f>
      </c>
      <c r="AO279">
        <f>IF(AN279="",0,IF(MATCH(AN279,$AN$4:$AN$1203,0)=ROW()-3,1,0))</f>
        <v>0</v>
      </c>
      <c r="AP279">
        <f>N(AP278)+$AO279</f>
        <v>0</v>
      </c>
      <c r="AR279">
        <f>IF(OR($AF279=1,$AH279=1),1,0)</f>
        <v>0</v>
      </c>
      <c r="AS279">
        <f>N(AS278)+$AR279</f>
        <v>0</v>
      </c>
    </row>
    <row r="280" ht="14.25" customHeight="1" s="127">
      <c r="A280" t="str">
        <f>IF(对接源_01水果!$C280="","",对接源_01水果!$C280)</f>
        <v>阿布都</v>
      </c>
      <c r="B280">
        <f>IF(A280="",0,IF(MATCH(A280,$A$4:$A$2403,0)=ROW()-3,1,0))</f>
        <v>0</v>
      </c>
      <c r="C280">
        <f>N(C279)+B280</f>
        <v>17</v>
      </c>
      <c r="E280">
        <f>IFERROR(INDEX($A$4:$A$2403,MATCH(ROW()-3,$C$4:$C$2403,0)),"")</f>
      </c>
      <c r="K280">
        <f>IF(OR($K$1="",对接源_01水果!$C280="",对接源_01水果!$C280&lt;&gt;$K$1,对接源_01水果!$B280=""),0,IF(OR(N(对接源_01水果!$B280)&lt;$K$2,N(对接源_01水果!$B280)&gt;$K$3),0,1))</f>
        <v>0</v>
      </c>
      <c r="L280">
        <f>IF(OR($L$1="",对接源_01水果!$C280="",对接源_01水果!$C280&lt;&gt;$L$1,对接源_01水果!$B280=""),0,IF(OR(N(对接源_01水果!$B280)&lt;$L$2,N(对接源_01水果!$B280)&gt;$L$3),0,1))</f>
        <v>0</v>
      </c>
      <c r="M280">
        <f>IF(OR($M$1="",对接源_01水果!$C280="",对接源_01水果!$C280&lt;&gt;$M$1,对接源_01水果!$B280=""),0,IF(OR(N(对接源_01水果!$B280)&lt;$M$2,N(对接源_01水果!$B280)&gt;$M$3),0,1))</f>
        <v>0</v>
      </c>
      <c r="N280">
        <f>IF(OR($N$1="",对接源_01水果!$C280="",对接源_01水果!$C280&lt;&gt;$N$1,对接源_01水果!$B280=""),0,IF(OR(N(对接源_01水果!$B280)&lt;$N$2,N(对接源_01水果!$B280)&gt;$N$3),0,1))</f>
        <v>0</v>
      </c>
      <c r="P280">
        <f>IF(AND($K280=1,AND(对接源_01水果!$X280="公司筐",N(对接源_01水果!$T280)&lt;&gt;0)),1,0)</f>
        <v>0</v>
      </c>
      <c r="Q280">
        <f>N(Q279)+$P280</f>
        <v>0</v>
      </c>
      <c r="R280">
        <f>IF(AND($K280=1,AND(对接源_01水果!$X280="公司筐",N(对接源_01水果!$U280)&lt;&gt;0)),1,0)</f>
        <v>0</v>
      </c>
      <c r="S280">
        <f>N(S279)+$R280</f>
        <v>0</v>
      </c>
      <c r="T280">
        <f>IF(AND($K280=1,AND(对接源_01水果!$X280="公司筐",N(对接源_01水果!$V280)&lt;&gt;0)),1,0)</f>
        <v>0</v>
      </c>
      <c r="U280">
        <f>N(U279)+$T280</f>
        <v>14</v>
      </c>
      <c r="V280">
        <f>IF(AND($L280=1,AND(对接源_01水果!$X280="自备筐",N(对接源_01水果!$V280)&lt;&gt;0)),1,0)</f>
        <v>0</v>
      </c>
      <c r="W280">
        <f>N(W279)+$V280</f>
        <v>8</v>
      </c>
      <c r="X280">
        <f>IF(AND($L280=1,AND(对接源_01水果!$X280="自备筐",N(对接源_01水果!$T280)&lt;&gt;0)),1,0)</f>
        <v>0</v>
      </c>
      <c r="Y280">
        <f>N(Y279)+$X280</f>
        <v>0</v>
      </c>
      <c r="Z280">
        <f>IF(AND($M280=1,对接源_01水果!$D280="原料入库"),1,0)</f>
        <v>0</v>
      </c>
      <c r="AA280">
        <f>N(AA279)+$Z280</f>
        <v>21</v>
      </c>
      <c r="AB280">
        <f>IF(AND($M280=1,LEFT(对接源_01水果!$D280,4)="原料出库"),1,0)</f>
        <v>0</v>
      </c>
      <c r="AC280">
        <f>N(AC279)+$AB280</f>
        <v>0</v>
      </c>
      <c r="AD280">
        <f>IF(AND($M280=1,LEFT(对接源_01水果!$D280,4)="成品出库"),1,0)</f>
        <v>0</v>
      </c>
      <c r="AE280">
        <f>N(AE279)+$AD280</f>
        <v>0</v>
      </c>
      <c r="AF280">
        <f>IF(AND($N280=1,AND(LEFT(对接源_01水果!$D280,4)="包装物料",N(对接源_01水果!$K280)&lt;&gt;0)),1,0)</f>
        <v>0</v>
      </c>
      <c r="AG280">
        <f>N(AG279)+$AF280</f>
        <v>0</v>
      </c>
      <c r="AH280">
        <f>IF(AND($N280=1,AND(对接源_01水果!$D280="周转筐－销售出库",N(对接源_01水果!$K280)&lt;&gt;0)),1,0)</f>
        <v>0</v>
      </c>
      <c r="AI280">
        <f>N(AI279)+$AH280</f>
        <v>0</v>
      </c>
      <c r="AJ280" s="7" t="n"/>
      <c r="AL280">
        <f>IF(OR($AL$1="",对接源_01水果!$Y280="",对接源_01水果!$Y280&lt;&gt;$AL$1,对接源_01水果!$B280="",N(对接源_01水果!$AJ280)&lt;=0),0,IF(OR(N(对接源_01水果!$B280)&lt;$AL$2,N(对接源_01水果!$B280)&gt;$AL$3),0,1))</f>
        <v>0</v>
      </c>
      <c r="AM280">
        <f>N(AM279)+$AL280</f>
        <v>0</v>
      </c>
      <c r="AN280">
        <f>IF(对接源_01水果!$AC280="","",对接源_01水果!$AC280)</f>
      </c>
      <c r="AO280">
        <f>IF(AN280="",0,IF(MATCH(AN280,$AN$4:$AN$1203,0)=ROW()-3,1,0))</f>
        <v>0</v>
      </c>
      <c r="AP280">
        <f>N(AP279)+$AO280</f>
        <v>0</v>
      </c>
      <c r="AR280">
        <f>IF(OR($AF280=1,$AH280=1),1,0)</f>
        <v>0</v>
      </c>
      <c r="AS280">
        <f>N(AS279)+$AR280</f>
        <v>0</v>
      </c>
    </row>
    <row r="281" ht="14.25" customHeight="1" s="127">
      <c r="A281" t="str">
        <f>IF(对接源_01水果!$C281="","",对接源_01水果!$C281)</f>
        <v>阿布都</v>
      </c>
      <c r="B281">
        <f>IF(A281="",0,IF(MATCH(A281,$A$4:$A$2403,0)=ROW()-3,1,0))</f>
        <v>0</v>
      </c>
      <c r="C281">
        <f>N(C280)+B281</f>
        <v>17</v>
      </c>
      <c r="E281">
        <f>IFERROR(INDEX($A$4:$A$2403,MATCH(ROW()-3,$C$4:$C$2403,0)),"")</f>
      </c>
      <c r="K281">
        <f>IF(OR($K$1="",对接源_01水果!$C281="",对接源_01水果!$C281&lt;&gt;$K$1,对接源_01水果!$B281=""),0,IF(OR(N(对接源_01水果!$B281)&lt;$K$2,N(对接源_01水果!$B281)&gt;$K$3),0,1))</f>
        <v>0</v>
      </c>
      <c r="L281">
        <f>IF(OR($L$1="",对接源_01水果!$C281="",对接源_01水果!$C281&lt;&gt;$L$1,对接源_01水果!$B281=""),0,IF(OR(N(对接源_01水果!$B281)&lt;$L$2,N(对接源_01水果!$B281)&gt;$L$3),0,1))</f>
        <v>0</v>
      </c>
      <c r="M281">
        <f>IF(OR($M$1="",对接源_01水果!$C281="",对接源_01水果!$C281&lt;&gt;$M$1,对接源_01水果!$B281=""),0,IF(OR(N(对接源_01水果!$B281)&lt;$M$2,N(对接源_01水果!$B281)&gt;$M$3),0,1))</f>
        <v>0</v>
      </c>
      <c r="N281">
        <f>IF(OR($N$1="",对接源_01水果!$C281="",对接源_01水果!$C281&lt;&gt;$N$1,对接源_01水果!$B281=""),0,IF(OR(N(对接源_01水果!$B281)&lt;$N$2,N(对接源_01水果!$B281)&gt;$N$3),0,1))</f>
        <v>0</v>
      </c>
      <c r="P281">
        <f>IF(AND($K281=1,AND(对接源_01水果!$X281="公司筐",N(对接源_01水果!$T281)&lt;&gt;0)),1,0)</f>
        <v>0</v>
      </c>
      <c r="Q281">
        <f>N(Q280)+$P281</f>
        <v>0</v>
      </c>
      <c r="R281">
        <f>IF(AND($K281=1,AND(对接源_01水果!$X281="公司筐",N(对接源_01水果!$U281)&lt;&gt;0)),1,0)</f>
        <v>0</v>
      </c>
      <c r="S281">
        <f>N(S280)+$R281</f>
        <v>0</v>
      </c>
      <c r="T281">
        <f>IF(AND($K281=1,AND(对接源_01水果!$X281="公司筐",N(对接源_01水果!$V281)&lt;&gt;0)),1,0)</f>
        <v>0</v>
      </c>
      <c r="U281">
        <f>N(U280)+$T281</f>
        <v>14</v>
      </c>
      <c r="V281">
        <f>IF(AND($L281=1,AND(对接源_01水果!$X281="自备筐",N(对接源_01水果!$V281)&lt;&gt;0)),1,0)</f>
        <v>0</v>
      </c>
      <c r="W281">
        <f>N(W280)+$V281</f>
        <v>8</v>
      </c>
      <c r="X281">
        <f>IF(AND($L281=1,AND(对接源_01水果!$X281="自备筐",N(对接源_01水果!$T281)&lt;&gt;0)),1,0)</f>
        <v>0</v>
      </c>
      <c r="Y281">
        <f>N(Y280)+$X281</f>
        <v>0</v>
      </c>
      <c r="Z281">
        <f>IF(AND($M281=1,对接源_01水果!$D281="原料入库"),1,0)</f>
        <v>0</v>
      </c>
      <c r="AA281">
        <f>N(AA280)+$Z281</f>
        <v>21</v>
      </c>
      <c r="AB281">
        <f>IF(AND($M281=1,LEFT(对接源_01水果!$D281,4)="原料出库"),1,0)</f>
        <v>0</v>
      </c>
      <c r="AC281">
        <f>N(AC280)+$AB281</f>
        <v>0</v>
      </c>
      <c r="AD281">
        <f>IF(AND($M281=1,LEFT(对接源_01水果!$D281,4)="成品出库"),1,0)</f>
        <v>0</v>
      </c>
      <c r="AE281">
        <f>N(AE280)+$AD281</f>
        <v>0</v>
      </c>
      <c r="AF281">
        <f>IF(AND($N281=1,AND(LEFT(对接源_01水果!$D281,4)="包装物料",N(对接源_01水果!$K281)&lt;&gt;0)),1,0)</f>
        <v>0</v>
      </c>
      <c r="AG281">
        <f>N(AG280)+$AF281</f>
        <v>0</v>
      </c>
      <c r="AH281">
        <f>IF(AND($N281=1,AND(对接源_01水果!$D281="周转筐－销售出库",N(对接源_01水果!$K281)&lt;&gt;0)),1,0)</f>
        <v>0</v>
      </c>
      <c r="AI281">
        <f>N(AI280)+$AH281</f>
        <v>0</v>
      </c>
      <c r="AJ281" s="7" t="n"/>
      <c r="AL281">
        <f>IF(OR($AL$1="",对接源_01水果!$Y281="",对接源_01水果!$Y281&lt;&gt;$AL$1,对接源_01水果!$B281="",N(对接源_01水果!$AJ281)&lt;=0),0,IF(OR(N(对接源_01水果!$B281)&lt;$AL$2,N(对接源_01水果!$B281)&gt;$AL$3),0,1))</f>
        <v>0</v>
      </c>
      <c r="AM281">
        <f>N(AM280)+$AL281</f>
        <v>0</v>
      </c>
      <c r="AN281">
        <f>IF(对接源_01水果!$AC281="","",对接源_01水果!$AC281)</f>
      </c>
      <c r="AO281">
        <f>IF(AN281="",0,IF(MATCH(AN281,$AN$4:$AN$1203,0)=ROW()-3,1,0))</f>
        <v>0</v>
      </c>
      <c r="AP281">
        <f>N(AP280)+$AO281</f>
        <v>0</v>
      </c>
      <c r="AR281">
        <f>IF(OR($AF281=1,$AH281=1),1,0)</f>
        <v>0</v>
      </c>
      <c r="AS281">
        <f>N(AS280)+$AR281</f>
        <v>0</v>
      </c>
    </row>
    <row r="282" ht="14.25" customHeight="1" s="127">
      <c r="A282" t="str">
        <f>IF(对接源_01水果!$C282="","",对接源_01水果!$C282)</f>
        <v>阿布都</v>
      </c>
      <c r="B282">
        <f>IF(A282="",0,IF(MATCH(A282,$A$4:$A$2403,0)=ROW()-3,1,0))</f>
        <v>0</v>
      </c>
      <c r="C282">
        <f>N(C281)+B282</f>
        <v>17</v>
      </c>
      <c r="E282">
        <f>IFERROR(INDEX($A$4:$A$2403,MATCH(ROW()-3,$C$4:$C$2403,0)),"")</f>
      </c>
      <c r="K282">
        <f>IF(OR($K$1="",对接源_01水果!$C282="",对接源_01水果!$C282&lt;&gt;$K$1,对接源_01水果!$B282=""),0,IF(OR(N(对接源_01水果!$B282)&lt;$K$2,N(对接源_01水果!$B282)&gt;$K$3),0,1))</f>
        <v>0</v>
      </c>
      <c r="L282">
        <f>IF(OR($L$1="",对接源_01水果!$C282="",对接源_01水果!$C282&lt;&gt;$L$1,对接源_01水果!$B282=""),0,IF(OR(N(对接源_01水果!$B282)&lt;$L$2,N(对接源_01水果!$B282)&gt;$L$3),0,1))</f>
        <v>0</v>
      </c>
      <c r="M282">
        <f>IF(OR($M$1="",对接源_01水果!$C282="",对接源_01水果!$C282&lt;&gt;$M$1,对接源_01水果!$B282=""),0,IF(OR(N(对接源_01水果!$B282)&lt;$M$2,N(对接源_01水果!$B282)&gt;$M$3),0,1))</f>
        <v>0</v>
      </c>
      <c r="N282">
        <f>IF(OR($N$1="",对接源_01水果!$C282="",对接源_01水果!$C282&lt;&gt;$N$1,对接源_01水果!$B282=""),0,IF(OR(N(对接源_01水果!$B282)&lt;$N$2,N(对接源_01水果!$B282)&gt;$N$3),0,1))</f>
        <v>0</v>
      </c>
      <c r="P282">
        <f>IF(AND($K282=1,AND(对接源_01水果!$X282="公司筐",N(对接源_01水果!$T282)&lt;&gt;0)),1,0)</f>
        <v>0</v>
      </c>
      <c r="Q282">
        <f>N(Q281)+$P282</f>
        <v>0</v>
      </c>
      <c r="R282">
        <f>IF(AND($K282=1,AND(对接源_01水果!$X282="公司筐",N(对接源_01水果!$U282)&lt;&gt;0)),1,0)</f>
        <v>0</v>
      </c>
      <c r="S282">
        <f>N(S281)+$R282</f>
        <v>0</v>
      </c>
      <c r="T282">
        <f>IF(AND($K282=1,AND(对接源_01水果!$X282="公司筐",N(对接源_01水果!$V282)&lt;&gt;0)),1,0)</f>
        <v>0</v>
      </c>
      <c r="U282">
        <f>N(U281)+$T282</f>
        <v>14</v>
      </c>
      <c r="V282">
        <f>IF(AND($L282=1,AND(对接源_01水果!$X282="自备筐",N(对接源_01水果!$V282)&lt;&gt;0)),1,0)</f>
        <v>0</v>
      </c>
      <c r="W282">
        <f>N(W281)+$V282</f>
        <v>8</v>
      </c>
      <c r="X282">
        <f>IF(AND($L282=1,AND(对接源_01水果!$X282="自备筐",N(对接源_01水果!$T282)&lt;&gt;0)),1,0)</f>
        <v>0</v>
      </c>
      <c r="Y282">
        <f>N(Y281)+$X282</f>
        <v>0</v>
      </c>
      <c r="Z282">
        <f>IF(AND($M282=1,对接源_01水果!$D282="原料入库"),1,0)</f>
        <v>0</v>
      </c>
      <c r="AA282">
        <f>N(AA281)+$Z282</f>
        <v>21</v>
      </c>
      <c r="AB282">
        <f>IF(AND($M282=1,LEFT(对接源_01水果!$D282,4)="原料出库"),1,0)</f>
        <v>0</v>
      </c>
      <c r="AC282">
        <f>N(AC281)+$AB282</f>
        <v>0</v>
      </c>
      <c r="AD282">
        <f>IF(AND($M282=1,LEFT(对接源_01水果!$D282,4)="成品出库"),1,0)</f>
        <v>0</v>
      </c>
      <c r="AE282">
        <f>N(AE281)+$AD282</f>
        <v>0</v>
      </c>
      <c r="AF282">
        <f>IF(AND($N282=1,AND(LEFT(对接源_01水果!$D282,4)="包装物料",N(对接源_01水果!$K282)&lt;&gt;0)),1,0)</f>
        <v>0</v>
      </c>
      <c r="AG282">
        <f>N(AG281)+$AF282</f>
        <v>0</v>
      </c>
      <c r="AH282">
        <f>IF(AND($N282=1,AND(对接源_01水果!$D282="周转筐－销售出库",N(对接源_01水果!$K282)&lt;&gt;0)),1,0)</f>
        <v>0</v>
      </c>
      <c r="AI282">
        <f>N(AI281)+$AH282</f>
        <v>0</v>
      </c>
      <c r="AJ282" s="7" t="n"/>
      <c r="AL282">
        <f>IF(OR($AL$1="",对接源_01水果!$Y282="",对接源_01水果!$Y282&lt;&gt;$AL$1,对接源_01水果!$B282="",N(对接源_01水果!$AJ282)&lt;=0),0,IF(OR(N(对接源_01水果!$B282)&lt;$AL$2,N(对接源_01水果!$B282)&gt;$AL$3),0,1))</f>
        <v>0</v>
      </c>
      <c r="AM282">
        <f>N(AM281)+$AL282</f>
        <v>0</v>
      </c>
      <c r="AN282">
        <f>IF(对接源_01水果!$AC282="","",对接源_01水果!$AC282)</f>
      </c>
      <c r="AO282">
        <f>IF(AN282="",0,IF(MATCH(AN282,$AN$4:$AN$1203,0)=ROW()-3,1,0))</f>
        <v>0</v>
      </c>
      <c r="AP282">
        <f>N(AP281)+$AO282</f>
        <v>0</v>
      </c>
      <c r="AR282">
        <f>IF(OR($AF282=1,$AH282=1),1,0)</f>
        <v>0</v>
      </c>
      <c r="AS282">
        <f>N(AS281)+$AR282</f>
        <v>0</v>
      </c>
    </row>
    <row r="283" ht="14.25" customHeight="1" s="127">
      <c r="A283" t="str">
        <f>IF(对接源_01水果!$C283="","",对接源_01水果!$C283)</f>
        <v>王灵云</v>
      </c>
      <c r="B283">
        <f>IF(A283="",0,IF(MATCH(A283,$A$4:$A$2403,0)=ROW()-3,1,0))</f>
        <v>0</v>
      </c>
      <c r="C283">
        <f>N(C282)+B283</f>
        <v>17</v>
      </c>
      <c r="E283">
        <f>IFERROR(INDEX($A$4:$A$2403,MATCH(ROW()-3,$C$4:$C$2403,0)),"")</f>
      </c>
      <c r="K283">
        <f>IF(OR($K$1="",对接源_01水果!$C283="",对接源_01水果!$C283&lt;&gt;$K$1,对接源_01水果!$B283=""),0,IF(OR(N(对接源_01水果!$B283)&lt;$K$2,N(对接源_01水果!$B283)&gt;$K$3),0,1))</f>
        <v>1</v>
      </c>
      <c r="L283">
        <f>IF(OR($L$1="",对接源_01水果!$C283="",对接源_01水果!$C283&lt;&gt;$L$1,对接源_01水果!$B283=""),0,IF(OR(N(对接源_01水果!$B283)&lt;$L$2,N(对接源_01水果!$B283)&gt;$L$3),0,1))</f>
        <v>0</v>
      </c>
      <c r="M283">
        <f>IF(OR($M$1="",对接源_01水果!$C283="",对接源_01水果!$C283&lt;&gt;$M$1,对接源_01水果!$B283=""),0,IF(OR(N(对接源_01水果!$B283)&lt;$M$2,N(对接源_01水果!$B283)&gt;$M$3),0,1))</f>
        <v>0</v>
      </c>
      <c r="N283">
        <f>IF(OR($N$1="",对接源_01水果!$C283="",对接源_01水果!$C283&lt;&gt;$N$1,对接源_01水果!$B283=""),0,IF(OR(N(对接源_01水果!$B283)&lt;$N$2,N(对接源_01水果!$B283)&gt;$N$3),0,1))</f>
        <v>0</v>
      </c>
      <c r="P283">
        <f>IF(AND($K283=1,AND(对接源_01水果!$X283="公司筐",N(对接源_01水果!$T283)&lt;&gt;0)),1,0)</f>
        <v>0</v>
      </c>
      <c r="Q283">
        <f>N(Q282)+$P283</f>
        <v>0</v>
      </c>
      <c r="R283">
        <f>IF(AND($K283=1,AND(对接源_01水果!$X283="公司筐",N(对接源_01水果!$U283)&lt;&gt;0)),1,0)</f>
        <v>0</v>
      </c>
      <c r="S283">
        <f>N(S282)+$R283</f>
        <v>0</v>
      </c>
      <c r="T283">
        <f>IF(AND($K283=1,AND(对接源_01水果!$X283="公司筐",N(对接源_01水果!$V283)&lt;&gt;0)),1,0)</f>
        <v>1</v>
      </c>
      <c r="U283">
        <f>N(U282)+$T283</f>
        <v>15</v>
      </c>
      <c r="V283">
        <f>IF(AND($L283=1,AND(对接源_01水果!$X283="自备筐",N(对接源_01水果!$V283)&lt;&gt;0)),1,0)</f>
        <v>0</v>
      </c>
      <c r="W283">
        <f>N(W282)+$V283</f>
        <v>8</v>
      </c>
      <c r="X283">
        <f>IF(AND($L283=1,AND(对接源_01水果!$X283="自备筐",N(对接源_01水果!$T283)&lt;&gt;0)),1,0)</f>
        <v>0</v>
      </c>
      <c r="Y283">
        <f>N(Y282)+$X283</f>
        <v>0</v>
      </c>
      <c r="Z283">
        <f>IF(AND($M283=1,对接源_01水果!$D283="原料入库"),1,0)</f>
        <v>0</v>
      </c>
      <c r="AA283">
        <f>N(AA282)+$Z283</f>
        <v>21</v>
      </c>
      <c r="AB283">
        <f>IF(AND($M283=1,LEFT(对接源_01水果!$D283,4)="原料出库"),1,0)</f>
        <v>0</v>
      </c>
      <c r="AC283">
        <f>N(AC282)+$AB283</f>
        <v>0</v>
      </c>
      <c r="AD283">
        <f>IF(AND($M283=1,LEFT(对接源_01水果!$D283,4)="成品出库"),1,0)</f>
        <v>0</v>
      </c>
      <c r="AE283">
        <f>N(AE282)+$AD283</f>
        <v>0</v>
      </c>
      <c r="AF283">
        <f>IF(AND($N283=1,AND(LEFT(对接源_01水果!$D283,4)="包装物料",N(对接源_01水果!$K283)&lt;&gt;0)),1,0)</f>
        <v>0</v>
      </c>
      <c r="AG283">
        <f>N(AG282)+$AF283</f>
        <v>0</v>
      </c>
      <c r="AH283">
        <f>IF(AND($N283=1,AND(对接源_01水果!$D283="周转筐－销售出库",N(对接源_01水果!$K283)&lt;&gt;0)),1,0)</f>
        <v>0</v>
      </c>
      <c r="AI283">
        <f>N(AI282)+$AH283</f>
        <v>0</v>
      </c>
      <c r="AJ283" s="7" t="n"/>
      <c r="AL283">
        <f>IF(OR($AL$1="",对接源_01水果!$Y283="",对接源_01水果!$Y283&lt;&gt;$AL$1,对接源_01水果!$B283="",N(对接源_01水果!$AJ283)&lt;=0),0,IF(OR(N(对接源_01水果!$B283)&lt;$AL$2,N(对接源_01水果!$B283)&gt;$AL$3),0,1))</f>
        <v>0</v>
      </c>
      <c r="AM283">
        <f>N(AM282)+$AL283</f>
        <v>0</v>
      </c>
      <c r="AN283">
        <f>IF(对接源_01水果!$AC283="","",对接源_01水果!$AC283)</f>
      </c>
      <c r="AO283">
        <f>IF(AN283="",0,IF(MATCH(AN283,$AN$4:$AN$1203,0)=ROW()-3,1,0))</f>
        <v>0</v>
      </c>
      <c r="AP283">
        <f>N(AP282)+$AO283</f>
        <v>0</v>
      </c>
      <c r="AR283">
        <f>IF(OR($AF283=1,$AH283=1),1,0)</f>
        <v>0</v>
      </c>
      <c r="AS283">
        <f>N(AS282)+$AR283</f>
        <v>0</v>
      </c>
    </row>
    <row r="284" ht="14.25" customHeight="1" s="127">
      <c r="A284" t="str">
        <f>IF(对接源_01水果!$C284="","",对接源_01水果!$C284)</f>
        <v>王灵云</v>
      </c>
      <c r="B284">
        <f>IF(A284="",0,IF(MATCH(A284,$A$4:$A$2403,0)=ROW()-3,1,0))</f>
        <v>0</v>
      </c>
      <c r="C284">
        <f>N(C283)+B284</f>
        <v>17</v>
      </c>
      <c r="E284">
        <f>IFERROR(INDEX($A$4:$A$2403,MATCH(ROW()-3,$C$4:$C$2403,0)),"")</f>
      </c>
      <c r="K284">
        <f>IF(OR($K$1="",对接源_01水果!$C284="",对接源_01水果!$C284&lt;&gt;$K$1,对接源_01水果!$B284=""),0,IF(OR(N(对接源_01水果!$B284)&lt;$K$2,N(对接源_01水果!$B284)&gt;$K$3),0,1))</f>
        <v>1</v>
      </c>
      <c r="L284">
        <f>IF(OR($L$1="",对接源_01水果!$C284="",对接源_01水果!$C284&lt;&gt;$L$1,对接源_01水果!$B284=""),0,IF(OR(N(对接源_01水果!$B284)&lt;$L$2,N(对接源_01水果!$B284)&gt;$L$3),0,1))</f>
        <v>0</v>
      </c>
      <c r="M284">
        <f>IF(OR($M$1="",对接源_01水果!$C284="",对接源_01水果!$C284&lt;&gt;$M$1,对接源_01水果!$B284=""),0,IF(OR(N(对接源_01水果!$B284)&lt;$M$2,N(对接源_01水果!$B284)&gt;$M$3),0,1))</f>
        <v>0</v>
      </c>
      <c r="N284">
        <f>IF(OR($N$1="",对接源_01水果!$C284="",对接源_01水果!$C284&lt;&gt;$N$1,对接源_01水果!$B284=""),0,IF(OR(N(对接源_01水果!$B284)&lt;$N$2,N(对接源_01水果!$B284)&gt;$N$3),0,1))</f>
        <v>0</v>
      </c>
      <c r="P284">
        <f>IF(AND($K284=1,AND(对接源_01水果!$X284="公司筐",N(对接源_01水果!$T284)&lt;&gt;0)),1,0)</f>
        <v>0</v>
      </c>
      <c r="Q284">
        <f>N(Q283)+$P284</f>
        <v>0</v>
      </c>
      <c r="R284">
        <f>IF(AND($K284=1,AND(对接源_01水果!$X284="公司筐",N(对接源_01水果!$U284)&lt;&gt;0)),1,0)</f>
        <v>0</v>
      </c>
      <c r="S284">
        <f>N(S283)+$R284</f>
        <v>0</v>
      </c>
      <c r="T284">
        <f>IF(AND($K284=1,AND(对接源_01水果!$X284="公司筐",N(对接源_01水果!$V284)&lt;&gt;0)),1,0)</f>
        <v>1</v>
      </c>
      <c r="U284">
        <f>N(U283)+$T284</f>
        <v>16</v>
      </c>
      <c r="V284">
        <f>IF(AND($L284=1,AND(对接源_01水果!$X284="自备筐",N(对接源_01水果!$V284)&lt;&gt;0)),1,0)</f>
        <v>0</v>
      </c>
      <c r="W284">
        <f>N(W283)+$V284</f>
        <v>8</v>
      </c>
      <c r="X284">
        <f>IF(AND($L284=1,AND(对接源_01水果!$X284="自备筐",N(对接源_01水果!$T284)&lt;&gt;0)),1,0)</f>
        <v>0</v>
      </c>
      <c r="Y284">
        <f>N(Y283)+$X284</f>
        <v>0</v>
      </c>
      <c r="Z284">
        <f>IF(AND($M284=1,对接源_01水果!$D284="原料入库"),1,0)</f>
        <v>0</v>
      </c>
      <c r="AA284">
        <f>N(AA283)+$Z284</f>
        <v>21</v>
      </c>
      <c r="AB284">
        <f>IF(AND($M284=1,LEFT(对接源_01水果!$D284,4)="原料出库"),1,0)</f>
        <v>0</v>
      </c>
      <c r="AC284">
        <f>N(AC283)+$AB284</f>
        <v>0</v>
      </c>
      <c r="AD284">
        <f>IF(AND($M284=1,LEFT(对接源_01水果!$D284,4)="成品出库"),1,0)</f>
        <v>0</v>
      </c>
      <c r="AE284">
        <f>N(AE283)+$AD284</f>
        <v>0</v>
      </c>
      <c r="AF284">
        <f>IF(AND($N284=1,AND(LEFT(对接源_01水果!$D284,4)="包装物料",N(对接源_01水果!$K284)&lt;&gt;0)),1,0)</f>
        <v>0</v>
      </c>
      <c r="AG284">
        <f>N(AG283)+$AF284</f>
        <v>0</v>
      </c>
      <c r="AH284">
        <f>IF(AND($N284=1,AND(对接源_01水果!$D284="周转筐－销售出库",N(对接源_01水果!$K284)&lt;&gt;0)),1,0)</f>
        <v>0</v>
      </c>
      <c r="AI284">
        <f>N(AI283)+$AH284</f>
        <v>0</v>
      </c>
      <c r="AJ284" s="7" t="n"/>
      <c r="AL284">
        <f>IF(OR($AL$1="",对接源_01水果!$Y284="",对接源_01水果!$Y284&lt;&gt;$AL$1,对接源_01水果!$B284="",N(对接源_01水果!$AJ284)&lt;=0),0,IF(OR(N(对接源_01水果!$B284)&lt;$AL$2,N(对接源_01水果!$B284)&gt;$AL$3),0,1))</f>
        <v>0</v>
      </c>
      <c r="AM284">
        <f>N(AM283)+$AL284</f>
        <v>0</v>
      </c>
      <c r="AN284">
        <f>IF(对接源_01水果!$AC284="","",对接源_01水果!$AC284)</f>
      </c>
      <c r="AO284">
        <f>IF(AN284="",0,IF(MATCH(AN284,$AN$4:$AN$1203,0)=ROW()-3,1,0))</f>
        <v>0</v>
      </c>
      <c r="AP284">
        <f>N(AP283)+$AO284</f>
        <v>0</v>
      </c>
      <c r="AR284">
        <f>IF(OR($AF284=1,$AH284=1),1,0)</f>
        <v>0</v>
      </c>
      <c r="AS284">
        <f>N(AS283)+$AR284</f>
        <v>0</v>
      </c>
    </row>
    <row r="285" ht="14.25" customHeight="1" s="127">
      <c r="A285" t="str">
        <f>IF(对接源_01水果!$C285="","",对接源_01水果!$C285)</f>
        <v>王照雪</v>
      </c>
      <c r="B285">
        <f>IF(A285="",0,IF(MATCH(A285,$A$4:$A$2403,0)=ROW()-3,1,0))</f>
        <v>0</v>
      </c>
      <c r="C285">
        <f>N(C284)+B285</f>
        <v>17</v>
      </c>
      <c r="E285">
        <f>IFERROR(INDEX($A$4:$A$2403,MATCH(ROW()-3,$C$4:$C$2403,0)),"")</f>
      </c>
      <c r="K285">
        <f>IF(OR($K$1="",对接源_01水果!$C285="",对接源_01水果!$C285&lt;&gt;$K$1,对接源_01水果!$B285=""),0,IF(OR(N(对接源_01水果!$B285)&lt;$K$2,N(对接源_01水果!$B285)&gt;$K$3),0,1))</f>
        <v>0</v>
      </c>
      <c r="L285">
        <f>IF(OR($L$1="",对接源_01水果!$C285="",对接源_01水果!$C285&lt;&gt;$L$1,对接源_01水果!$B285=""),0,IF(OR(N(对接源_01水果!$B285)&lt;$L$2,N(对接源_01水果!$B285)&gt;$L$3),0,1))</f>
        <v>0</v>
      </c>
      <c r="M285">
        <f>IF(OR($M$1="",对接源_01水果!$C285="",对接源_01水果!$C285&lt;&gt;$M$1,对接源_01水果!$B285=""),0,IF(OR(N(对接源_01水果!$B285)&lt;$M$2,N(对接源_01水果!$B285)&gt;$M$3),0,1))</f>
        <v>0</v>
      </c>
      <c r="N285">
        <f>IF(OR($N$1="",对接源_01水果!$C285="",对接源_01水果!$C285&lt;&gt;$N$1,对接源_01水果!$B285=""),0,IF(OR(N(对接源_01水果!$B285)&lt;$N$2,N(对接源_01水果!$B285)&gt;$N$3),0,1))</f>
        <v>0</v>
      </c>
      <c r="P285">
        <f>IF(AND($K285=1,AND(对接源_01水果!$X285="公司筐",N(对接源_01水果!$T285)&lt;&gt;0)),1,0)</f>
        <v>0</v>
      </c>
      <c r="Q285">
        <f>N(Q284)+$P285</f>
        <v>0</v>
      </c>
      <c r="R285">
        <f>IF(AND($K285=1,AND(对接源_01水果!$X285="公司筐",N(对接源_01水果!$U285)&lt;&gt;0)),1,0)</f>
        <v>0</v>
      </c>
      <c r="S285">
        <f>N(S284)+$R285</f>
        <v>0</v>
      </c>
      <c r="T285">
        <f>IF(AND($K285=1,AND(对接源_01水果!$X285="公司筐",N(对接源_01水果!$V285)&lt;&gt;0)),1,0)</f>
        <v>0</v>
      </c>
      <c r="U285">
        <f>N(U284)+$T285</f>
        <v>16</v>
      </c>
      <c r="V285">
        <f>IF(AND($L285=1,AND(对接源_01水果!$X285="自备筐",N(对接源_01水果!$V285)&lt;&gt;0)),1,0)</f>
        <v>0</v>
      </c>
      <c r="W285">
        <f>N(W284)+$V285</f>
        <v>8</v>
      </c>
      <c r="X285">
        <f>IF(AND($L285=1,AND(对接源_01水果!$X285="自备筐",N(对接源_01水果!$T285)&lt;&gt;0)),1,0)</f>
        <v>0</v>
      </c>
      <c r="Y285">
        <f>N(Y284)+$X285</f>
        <v>0</v>
      </c>
      <c r="Z285">
        <f>IF(AND($M285=1,对接源_01水果!$D285="原料入库"),1,0)</f>
        <v>0</v>
      </c>
      <c r="AA285">
        <f>N(AA284)+$Z285</f>
        <v>21</v>
      </c>
      <c r="AB285">
        <f>IF(AND($M285=1,LEFT(对接源_01水果!$D285,4)="原料出库"),1,0)</f>
        <v>0</v>
      </c>
      <c r="AC285">
        <f>N(AC284)+$AB285</f>
        <v>0</v>
      </c>
      <c r="AD285">
        <f>IF(AND($M285=1,LEFT(对接源_01水果!$D285,4)="成品出库"),1,0)</f>
        <v>0</v>
      </c>
      <c r="AE285">
        <f>N(AE284)+$AD285</f>
        <v>0</v>
      </c>
      <c r="AF285">
        <f>IF(AND($N285=1,AND(LEFT(对接源_01水果!$D285,4)="包装物料",N(对接源_01水果!$K285)&lt;&gt;0)),1,0)</f>
        <v>0</v>
      </c>
      <c r="AG285">
        <f>N(AG284)+$AF285</f>
        <v>0</v>
      </c>
      <c r="AH285">
        <f>IF(AND($N285=1,AND(对接源_01水果!$D285="周转筐－销售出库",N(对接源_01水果!$K285)&lt;&gt;0)),1,0)</f>
        <v>0</v>
      </c>
      <c r="AI285">
        <f>N(AI284)+$AH285</f>
        <v>0</v>
      </c>
      <c r="AJ285" s="7" t="n"/>
      <c r="AL285">
        <f>IF(OR($AL$1="",对接源_01水果!$Y285="",对接源_01水果!$Y285&lt;&gt;$AL$1,对接源_01水果!$B285="",N(对接源_01水果!$AJ285)&lt;=0),0,IF(OR(N(对接源_01水果!$B285)&lt;$AL$2,N(对接源_01水果!$B285)&gt;$AL$3),0,1))</f>
        <v>0</v>
      </c>
      <c r="AM285">
        <f>N(AM284)+$AL285</f>
        <v>0</v>
      </c>
      <c r="AN285">
        <f>IF(对接源_01水果!$AC285="","",对接源_01水果!$AC285)</f>
      </c>
      <c r="AO285">
        <f>IF(AN285="",0,IF(MATCH(AN285,$AN$4:$AN$1203,0)=ROW()-3,1,0))</f>
        <v>0</v>
      </c>
      <c r="AP285">
        <f>N(AP284)+$AO285</f>
        <v>0</v>
      </c>
      <c r="AR285">
        <f>IF(OR($AF285=1,$AH285=1),1,0)</f>
        <v>0</v>
      </c>
      <c r="AS285">
        <f>N(AS284)+$AR285</f>
        <v>0</v>
      </c>
    </row>
    <row r="286" ht="14.25" customHeight="1" s="127">
      <c r="A286" t="str">
        <f>IF(对接源_01水果!$C286="","",对接源_01水果!$C286)</f>
        <v>王照雪</v>
      </c>
      <c r="B286">
        <f>IF(A286="",0,IF(MATCH(A286,$A$4:$A$2403,0)=ROW()-3,1,0))</f>
        <v>0</v>
      </c>
      <c r="C286">
        <f>N(C285)+B286</f>
        <v>17</v>
      </c>
      <c r="E286">
        <f>IFERROR(INDEX($A$4:$A$2403,MATCH(ROW()-3,$C$4:$C$2403,0)),"")</f>
      </c>
      <c r="K286">
        <f>IF(OR($K$1="",对接源_01水果!$C286="",对接源_01水果!$C286&lt;&gt;$K$1,对接源_01水果!$B286=""),0,IF(OR(N(对接源_01水果!$B286)&lt;$K$2,N(对接源_01水果!$B286)&gt;$K$3),0,1))</f>
        <v>0</v>
      </c>
      <c r="L286">
        <f>IF(OR($L$1="",对接源_01水果!$C286="",对接源_01水果!$C286&lt;&gt;$L$1,对接源_01水果!$B286=""),0,IF(OR(N(对接源_01水果!$B286)&lt;$L$2,N(对接源_01水果!$B286)&gt;$L$3),0,1))</f>
        <v>0</v>
      </c>
      <c r="M286">
        <f>IF(OR($M$1="",对接源_01水果!$C286="",对接源_01水果!$C286&lt;&gt;$M$1,对接源_01水果!$B286=""),0,IF(OR(N(对接源_01水果!$B286)&lt;$M$2,N(对接源_01水果!$B286)&gt;$M$3),0,1))</f>
        <v>0</v>
      </c>
      <c r="N286">
        <f>IF(OR($N$1="",对接源_01水果!$C286="",对接源_01水果!$C286&lt;&gt;$N$1,对接源_01水果!$B286=""),0,IF(OR(N(对接源_01水果!$B286)&lt;$N$2,N(对接源_01水果!$B286)&gt;$N$3),0,1))</f>
        <v>0</v>
      </c>
      <c r="P286">
        <f>IF(AND($K286=1,AND(对接源_01水果!$X286="公司筐",N(对接源_01水果!$T286)&lt;&gt;0)),1,0)</f>
        <v>0</v>
      </c>
      <c r="Q286">
        <f>N(Q285)+$P286</f>
        <v>0</v>
      </c>
      <c r="R286">
        <f>IF(AND($K286=1,AND(对接源_01水果!$X286="公司筐",N(对接源_01水果!$U286)&lt;&gt;0)),1,0)</f>
        <v>0</v>
      </c>
      <c r="S286">
        <f>N(S285)+$R286</f>
        <v>0</v>
      </c>
      <c r="T286">
        <f>IF(AND($K286=1,AND(对接源_01水果!$X286="公司筐",N(对接源_01水果!$V286)&lt;&gt;0)),1,0)</f>
        <v>0</v>
      </c>
      <c r="U286">
        <f>N(U285)+$T286</f>
        <v>16</v>
      </c>
      <c r="V286">
        <f>IF(AND($L286=1,AND(对接源_01水果!$X286="自备筐",N(对接源_01水果!$V286)&lt;&gt;0)),1,0)</f>
        <v>0</v>
      </c>
      <c r="W286">
        <f>N(W285)+$V286</f>
        <v>8</v>
      </c>
      <c r="X286">
        <f>IF(AND($L286=1,AND(对接源_01水果!$X286="自备筐",N(对接源_01水果!$T286)&lt;&gt;0)),1,0)</f>
        <v>0</v>
      </c>
      <c r="Y286">
        <f>N(Y285)+$X286</f>
        <v>0</v>
      </c>
      <c r="Z286">
        <f>IF(AND($M286=1,对接源_01水果!$D286="原料入库"),1,0)</f>
        <v>0</v>
      </c>
      <c r="AA286">
        <f>N(AA285)+$Z286</f>
        <v>21</v>
      </c>
      <c r="AB286">
        <f>IF(AND($M286=1,LEFT(对接源_01水果!$D286,4)="原料出库"),1,0)</f>
        <v>0</v>
      </c>
      <c r="AC286">
        <f>N(AC285)+$AB286</f>
        <v>0</v>
      </c>
      <c r="AD286">
        <f>IF(AND($M286=1,LEFT(对接源_01水果!$D286,4)="成品出库"),1,0)</f>
        <v>0</v>
      </c>
      <c r="AE286">
        <f>N(AE285)+$AD286</f>
        <v>0</v>
      </c>
      <c r="AF286">
        <f>IF(AND($N286=1,AND(LEFT(对接源_01水果!$D286,4)="包装物料",N(对接源_01水果!$K286)&lt;&gt;0)),1,0)</f>
        <v>0</v>
      </c>
      <c r="AG286">
        <f>N(AG285)+$AF286</f>
        <v>0</v>
      </c>
      <c r="AH286">
        <f>IF(AND($N286=1,AND(对接源_01水果!$D286="周转筐－销售出库",N(对接源_01水果!$K286)&lt;&gt;0)),1,0)</f>
        <v>0</v>
      </c>
      <c r="AI286">
        <f>N(AI285)+$AH286</f>
        <v>0</v>
      </c>
      <c r="AJ286" s="7" t="n"/>
      <c r="AL286">
        <f>IF(OR($AL$1="",对接源_01水果!$Y286="",对接源_01水果!$Y286&lt;&gt;$AL$1,对接源_01水果!$B286="",N(对接源_01水果!$AJ286)&lt;=0),0,IF(OR(N(对接源_01水果!$B286)&lt;$AL$2,N(对接源_01水果!$B286)&gt;$AL$3),0,1))</f>
        <v>0</v>
      </c>
      <c r="AM286">
        <f>N(AM285)+$AL286</f>
        <v>0</v>
      </c>
      <c r="AN286">
        <f>IF(对接源_01水果!$AC286="","",对接源_01水果!$AC286)</f>
      </c>
      <c r="AO286">
        <f>IF(AN286="",0,IF(MATCH(AN286,$AN$4:$AN$1203,0)=ROW()-3,1,0))</f>
        <v>0</v>
      </c>
      <c r="AP286">
        <f>N(AP285)+$AO286</f>
        <v>0</v>
      </c>
      <c r="AR286">
        <f>IF(OR($AF286=1,$AH286=1),1,0)</f>
        <v>0</v>
      </c>
      <c r="AS286">
        <f>N(AS285)+$AR286</f>
        <v>0</v>
      </c>
    </row>
    <row r="287" ht="14.25" customHeight="1" s="127">
      <c r="A287" t="str">
        <f>IF(对接源_01水果!$C287="","",对接源_01水果!$C287)</f>
        <v>王照雪</v>
      </c>
      <c r="B287">
        <f>IF(A287="",0,IF(MATCH(A287,$A$4:$A$2403,0)=ROW()-3,1,0))</f>
        <v>0</v>
      </c>
      <c r="C287">
        <f>N(C286)+B287</f>
        <v>17</v>
      </c>
      <c r="E287">
        <f>IFERROR(INDEX($A$4:$A$2403,MATCH(ROW()-3,$C$4:$C$2403,0)),"")</f>
      </c>
      <c r="K287">
        <f>IF(OR($K$1="",对接源_01水果!$C287="",对接源_01水果!$C287&lt;&gt;$K$1,对接源_01水果!$B287=""),0,IF(OR(N(对接源_01水果!$B287)&lt;$K$2,N(对接源_01水果!$B287)&gt;$K$3),0,1))</f>
        <v>0</v>
      </c>
      <c r="L287">
        <f>IF(OR($L$1="",对接源_01水果!$C287="",对接源_01水果!$C287&lt;&gt;$L$1,对接源_01水果!$B287=""),0,IF(OR(N(对接源_01水果!$B287)&lt;$L$2,N(对接源_01水果!$B287)&gt;$L$3),0,1))</f>
        <v>0</v>
      </c>
      <c r="M287">
        <f>IF(OR($M$1="",对接源_01水果!$C287="",对接源_01水果!$C287&lt;&gt;$M$1,对接源_01水果!$B287=""),0,IF(OR(N(对接源_01水果!$B287)&lt;$M$2,N(对接源_01水果!$B287)&gt;$M$3),0,1))</f>
        <v>0</v>
      </c>
      <c r="N287">
        <f>IF(OR($N$1="",对接源_01水果!$C287="",对接源_01水果!$C287&lt;&gt;$N$1,对接源_01水果!$B287=""),0,IF(OR(N(对接源_01水果!$B287)&lt;$N$2,N(对接源_01水果!$B287)&gt;$N$3),0,1))</f>
        <v>0</v>
      </c>
      <c r="P287">
        <f>IF(AND($K287=1,AND(对接源_01水果!$X287="公司筐",N(对接源_01水果!$T287)&lt;&gt;0)),1,0)</f>
        <v>0</v>
      </c>
      <c r="Q287">
        <f>N(Q286)+$P287</f>
        <v>0</v>
      </c>
      <c r="R287">
        <f>IF(AND($K287=1,AND(对接源_01水果!$X287="公司筐",N(对接源_01水果!$U287)&lt;&gt;0)),1,0)</f>
        <v>0</v>
      </c>
      <c r="S287">
        <f>N(S286)+$R287</f>
        <v>0</v>
      </c>
      <c r="T287">
        <f>IF(AND($K287=1,AND(对接源_01水果!$X287="公司筐",N(对接源_01水果!$V287)&lt;&gt;0)),1,0)</f>
        <v>0</v>
      </c>
      <c r="U287">
        <f>N(U286)+$T287</f>
        <v>16</v>
      </c>
      <c r="V287">
        <f>IF(AND($L287=1,AND(对接源_01水果!$X287="自备筐",N(对接源_01水果!$V287)&lt;&gt;0)),1,0)</f>
        <v>0</v>
      </c>
      <c r="W287">
        <f>N(W286)+$V287</f>
        <v>8</v>
      </c>
      <c r="X287">
        <f>IF(AND($L287=1,AND(对接源_01水果!$X287="自备筐",N(对接源_01水果!$T287)&lt;&gt;0)),1,0)</f>
        <v>0</v>
      </c>
      <c r="Y287">
        <f>N(Y286)+$X287</f>
        <v>0</v>
      </c>
      <c r="Z287">
        <f>IF(AND($M287=1,对接源_01水果!$D287="原料入库"),1,0)</f>
        <v>0</v>
      </c>
      <c r="AA287">
        <f>N(AA286)+$Z287</f>
        <v>21</v>
      </c>
      <c r="AB287">
        <f>IF(AND($M287=1,LEFT(对接源_01水果!$D287,4)="原料出库"),1,0)</f>
        <v>0</v>
      </c>
      <c r="AC287">
        <f>N(AC286)+$AB287</f>
        <v>0</v>
      </c>
      <c r="AD287">
        <f>IF(AND($M287=1,LEFT(对接源_01水果!$D287,4)="成品出库"),1,0)</f>
        <v>0</v>
      </c>
      <c r="AE287">
        <f>N(AE286)+$AD287</f>
        <v>0</v>
      </c>
      <c r="AF287">
        <f>IF(AND($N287=1,AND(LEFT(对接源_01水果!$D287,4)="包装物料",N(对接源_01水果!$K287)&lt;&gt;0)),1,0)</f>
        <v>0</v>
      </c>
      <c r="AG287">
        <f>N(AG286)+$AF287</f>
        <v>0</v>
      </c>
      <c r="AH287">
        <f>IF(AND($N287=1,AND(对接源_01水果!$D287="周转筐－销售出库",N(对接源_01水果!$K287)&lt;&gt;0)),1,0)</f>
        <v>0</v>
      </c>
      <c r="AI287">
        <f>N(AI286)+$AH287</f>
        <v>0</v>
      </c>
      <c r="AJ287" s="7" t="n"/>
      <c r="AL287">
        <f>IF(OR($AL$1="",对接源_01水果!$Y287="",对接源_01水果!$Y287&lt;&gt;$AL$1,对接源_01水果!$B287="",N(对接源_01水果!$AJ287)&lt;=0),0,IF(OR(N(对接源_01水果!$B287)&lt;$AL$2,N(对接源_01水果!$B287)&gt;$AL$3),0,1))</f>
        <v>0</v>
      </c>
      <c r="AM287">
        <f>N(AM286)+$AL287</f>
        <v>0</v>
      </c>
      <c r="AN287">
        <f>IF(对接源_01水果!$AC287="","",对接源_01水果!$AC287)</f>
      </c>
      <c r="AO287">
        <f>IF(AN287="",0,IF(MATCH(AN287,$AN$4:$AN$1203,0)=ROW()-3,1,0))</f>
        <v>0</v>
      </c>
      <c r="AP287">
        <f>N(AP286)+$AO287</f>
        <v>0</v>
      </c>
      <c r="AR287">
        <f>IF(OR($AF287=1,$AH287=1),1,0)</f>
        <v>0</v>
      </c>
      <c r="AS287">
        <f>N(AS286)+$AR287</f>
        <v>0</v>
      </c>
    </row>
    <row r="288" ht="14.25" customHeight="1" s="127">
      <c r="A288" t="str">
        <f>IF(对接源_01水果!$C288="","",对接源_01水果!$C288)</f>
        <v>努尔敦</v>
      </c>
      <c r="B288">
        <f>IF(A288="",0,IF(MATCH(A288,$A$4:$A$2403,0)=ROW()-3,1,0))</f>
        <v>0</v>
      </c>
      <c r="C288">
        <f>N(C287)+B288</f>
        <v>17</v>
      </c>
      <c r="E288">
        <f>IFERROR(INDEX($A$4:$A$2403,MATCH(ROW()-3,$C$4:$C$2403,0)),"")</f>
      </c>
      <c r="K288">
        <f>IF(OR($K$1="",对接源_01水果!$C288="",对接源_01水果!$C288&lt;&gt;$K$1,对接源_01水果!$B288=""),0,IF(OR(N(对接源_01水果!$B288)&lt;$K$2,N(对接源_01水果!$B288)&gt;$K$3),0,1))</f>
        <v>0</v>
      </c>
      <c r="L288">
        <f>IF(OR($L$1="",对接源_01水果!$C288="",对接源_01水果!$C288&lt;&gt;$L$1,对接源_01水果!$B288=""),0,IF(OR(N(对接源_01水果!$B288)&lt;$L$2,N(对接源_01水果!$B288)&gt;$L$3),0,1))</f>
        <v>0</v>
      </c>
      <c r="M288">
        <f>IF(OR($M$1="",对接源_01水果!$C288="",对接源_01水果!$C288&lt;&gt;$M$1,对接源_01水果!$B288=""),0,IF(OR(N(对接源_01水果!$B288)&lt;$M$2,N(对接源_01水果!$B288)&gt;$M$3),0,1))</f>
        <v>0</v>
      </c>
      <c r="N288">
        <f>IF(OR($N$1="",对接源_01水果!$C288="",对接源_01水果!$C288&lt;&gt;$N$1,对接源_01水果!$B288=""),0,IF(OR(N(对接源_01水果!$B288)&lt;$N$2,N(对接源_01水果!$B288)&gt;$N$3),0,1))</f>
        <v>0</v>
      </c>
      <c r="P288">
        <f>IF(AND($K288=1,AND(对接源_01水果!$X288="公司筐",N(对接源_01水果!$T288)&lt;&gt;0)),1,0)</f>
        <v>0</v>
      </c>
      <c r="Q288">
        <f>N(Q287)+$P288</f>
        <v>0</v>
      </c>
      <c r="R288">
        <f>IF(AND($K288=1,AND(对接源_01水果!$X288="公司筐",N(对接源_01水果!$U288)&lt;&gt;0)),1,0)</f>
        <v>0</v>
      </c>
      <c r="S288">
        <f>N(S287)+$R288</f>
        <v>0</v>
      </c>
      <c r="T288">
        <f>IF(AND($K288=1,AND(对接源_01水果!$X288="公司筐",N(对接源_01水果!$V288)&lt;&gt;0)),1,0)</f>
        <v>0</v>
      </c>
      <c r="U288">
        <f>N(U287)+$T288</f>
        <v>16</v>
      </c>
      <c r="V288">
        <f>IF(AND($L288=1,AND(对接源_01水果!$X288="自备筐",N(对接源_01水果!$V288)&lt;&gt;0)),1,0)</f>
        <v>0</v>
      </c>
      <c r="W288">
        <f>N(W287)+$V288</f>
        <v>8</v>
      </c>
      <c r="X288">
        <f>IF(AND($L288=1,AND(对接源_01水果!$X288="自备筐",N(对接源_01水果!$T288)&lt;&gt;0)),1,0)</f>
        <v>0</v>
      </c>
      <c r="Y288">
        <f>N(Y287)+$X288</f>
        <v>0</v>
      </c>
      <c r="Z288">
        <f>IF(AND($M288=1,对接源_01水果!$D288="原料入库"),1,0)</f>
        <v>0</v>
      </c>
      <c r="AA288">
        <f>N(AA287)+$Z288</f>
        <v>21</v>
      </c>
      <c r="AB288">
        <f>IF(AND($M288=1,LEFT(对接源_01水果!$D288,4)="原料出库"),1,0)</f>
        <v>0</v>
      </c>
      <c r="AC288">
        <f>N(AC287)+$AB288</f>
        <v>0</v>
      </c>
      <c r="AD288">
        <f>IF(AND($M288=1,LEFT(对接源_01水果!$D288,4)="成品出库"),1,0)</f>
        <v>0</v>
      </c>
      <c r="AE288">
        <f>N(AE287)+$AD288</f>
        <v>0</v>
      </c>
      <c r="AF288">
        <f>IF(AND($N288=1,AND(LEFT(对接源_01水果!$D288,4)="包装物料",N(对接源_01水果!$K288)&lt;&gt;0)),1,0)</f>
        <v>0</v>
      </c>
      <c r="AG288">
        <f>N(AG287)+$AF288</f>
        <v>0</v>
      </c>
      <c r="AH288">
        <f>IF(AND($N288=1,AND(对接源_01水果!$D288="周转筐－销售出库",N(对接源_01水果!$K288)&lt;&gt;0)),1,0)</f>
        <v>0</v>
      </c>
      <c r="AI288">
        <f>N(AI287)+$AH288</f>
        <v>0</v>
      </c>
      <c r="AJ288" s="7" t="n"/>
      <c r="AL288">
        <f>IF(OR($AL$1="",对接源_01水果!$Y288="",对接源_01水果!$Y288&lt;&gt;$AL$1,对接源_01水果!$B288="",N(对接源_01水果!$AJ288)&lt;=0),0,IF(OR(N(对接源_01水果!$B288)&lt;$AL$2,N(对接源_01水果!$B288)&gt;$AL$3),0,1))</f>
        <v>0</v>
      </c>
      <c r="AM288">
        <f>N(AM287)+$AL288</f>
        <v>0</v>
      </c>
      <c r="AN288">
        <f>IF(对接源_01水果!$AC288="","",对接源_01水果!$AC288)</f>
      </c>
      <c r="AO288">
        <f>IF(AN288="",0,IF(MATCH(AN288,$AN$4:$AN$1203,0)=ROW()-3,1,0))</f>
        <v>0</v>
      </c>
      <c r="AP288">
        <f>N(AP287)+$AO288</f>
        <v>0</v>
      </c>
      <c r="AR288">
        <f>IF(OR($AF288=1,$AH288=1),1,0)</f>
        <v>0</v>
      </c>
      <c r="AS288">
        <f>N(AS287)+$AR288</f>
        <v>0</v>
      </c>
    </row>
    <row r="289" ht="14.25" customHeight="1" s="127">
      <c r="A289" t="str">
        <f>IF(对接源_01水果!$C289="","",对接源_01水果!$C289)</f>
        <v>努尔敦</v>
      </c>
      <c r="B289">
        <f>IF(A289="",0,IF(MATCH(A289,$A$4:$A$2403,0)=ROW()-3,1,0))</f>
        <v>0</v>
      </c>
      <c r="C289">
        <f>N(C288)+B289</f>
        <v>17</v>
      </c>
      <c r="E289">
        <f>IFERROR(INDEX($A$4:$A$2403,MATCH(ROW()-3,$C$4:$C$2403,0)),"")</f>
      </c>
      <c r="K289">
        <f>IF(OR($K$1="",对接源_01水果!$C289="",对接源_01水果!$C289&lt;&gt;$K$1,对接源_01水果!$B289=""),0,IF(OR(N(对接源_01水果!$B289)&lt;$K$2,N(对接源_01水果!$B289)&gt;$K$3),0,1))</f>
        <v>0</v>
      </c>
      <c r="L289">
        <f>IF(OR($L$1="",对接源_01水果!$C289="",对接源_01水果!$C289&lt;&gt;$L$1,对接源_01水果!$B289=""),0,IF(OR(N(对接源_01水果!$B289)&lt;$L$2,N(对接源_01水果!$B289)&gt;$L$3),0,1))</f>
        <v>0</v>
      </c>
      <c r="M289">
        <f>IF(OR($M$1="",对接源_01水果!$C289="",对接源_01水果!$C289&lt;&gt;$M$1,对接源_01水果!$B289=""),0,IF(OR(N(对接源_01水果!$B289)&lt;$M$2,N(对接源_01水果!$B289)&gt;$M$3),0,1))</f>
        <v>0</v>
      </c>
      <c r="N289">
        <f>IF(OR($N$1="",对接源_01水果!$C289="",对接源_01水果!$C289&lt;&gt;$N$1,对接源_01水果!$B289=""),0,IF(OR(N(对接源_01水果!$B289)&lt;$N$2,N(对接源_01水果!$B289)&gt;$N$3),0,1))</f>
        <v>0</v>
      </c>
      <c r="P289">
        <f>IF(AND($K289=1,AND(对接源_01水果!$X289="公司筐",N(对接源_01水果!$T289)&lt;&gt;0)),1,0)</f>
        <v>0</v>
      </c>
      <c r="Q289">
        <f>N(Q288)+$P289</f>
        <v>0</v>
      </c>
      <c r="R289">
        <f>IF(AND($K289=1,AND(对接源_01水果!$X289="公司筐",N(对接源_01水果!$U289)&lt;&gt;0)),1,0)</f>
        <v>0</v>
      </c>
      <c r="S289">
        <f>N(S288)+$R289</f>
        <v>0</v>
      </c>
      <c r="T289">
        <f>IF(AND($K289=1,AND(对接源_01水果!$X289="公司筐",N(对接源_01水果!$V289)&lt;&gt;0)),1,0)</f>
        <v>0</v>
      </c>
      <c r="U289">
        <f>N(U288)+$T289</f>
        <v>16</v>
      </c>
      <c r="V289">
        <f>IF(AND($L289=1,AND(对接源_01水果!$X289="自备筐",N(对接源_01水果!$V289)&lt;&gt;0)),1,0)</f>
        <v>0</v>
      </c>
      <c r="W289">
        <f>N(W288)+$V289</f>
        <v>8</v>
      </c>
      <c r="X289">
        <f>IF(AND($L289=1,AND(对接源_01水果!$X289="自备筐",N(对接源_01水果!$T289)&lt;&gt;0)),1,0)</f>
        <v>0</v>
      </c>
      <c r="Y289">
        <f>N(Y288)+$X289</f>
        <v>0</v>
      </c>
      <c r="Z289">
        <f>IF(AND($M289=1,对接源_01水果!$D289="原料入库"),1,0)</f>
        <v>0</v>
      </c>
      <c r="AA289">
        <f>N(AA288)+$Z289</f>
        <v>21</v>
      </c>
      <c r="AB289">
        <f>IF(AND($M289=1,LEFT(对接源_01水果!$D289,4)="原料出库"),1,0)</f>
        <v>0</v>
      </c>
      <c r="AC289">
        <f>N(AC288)+$AB289</f>
        <v>0</v>
      </c>
      <c r="AD289">
        <f>IF(AND($M289=1,LEFT(对接源_01水果!$D289,4)="成品出库"),1,0)</f>
        <v>0</v>
      </c>
      <c r="AE289">
        <f>N(AE288)+$AD289</f>
        <v>0</v>
      </c>
      <c r="AF289">
        <f>IF(AND($N289=1,AND(LEFT(对接源_01水果!$D289,4)="包装物料",N(对接源_01水果!$K289)&lt;&gt;0)),1,0)</f>
        <v>0</v>
      </c>
      <c r="AG289">
        <f>N(AG288)+$AF289</f>
        <v>0</v>
      </c>
      <c r="AH289">
        <f>IF(AND($N289=1,AND(对接源_01水果!$D289="周转筐－销售出库",N(对接源_01水果!$K289)&lt;&gt;0)),1,0)</f>
        <v>0</v>
      </c>
      <c r="AI289">
        <f>N(AI288)+$AH289</f>
        <v>0</v>
      </c>
      <c r="AJ289" s="7" t="n"/>
      <c r="AL289">
        <f>IF(OR($AL$1="",对接源_01水果!$Y289="",对接源_01水果!$Y289&lt;&gt;$AL$1,对接源_01水果!$B289="",N(对接源_01水果!$AJ289)&lt;=0),0,IF(OR(N(对接源_01水果!$B289)&lt;$AL$2,N(对接源_01水果!$B289)&gt;$AL$3),0,1))</f>
        <v>0</v>
      </c>
      <c r="AM289">
        <f>N(AM288)+$AL289</f>
        <v>0</v>
      </c>
      <c r="AN289">
        <f>IF(对接源_01水果!$AC289="","",对接源_01水果!$AC289)</f>
      </c>
      <c r="AO289">
        <f>IF(AN289="",0,IF(MATCH(AN289,$AN$4:$AN$1203,0)=ROW()-3,1,0))</f>
        <v>0</v>
      </c>
      <c r="AP289">
        <f>N(AP288)+$AO289</f>
        <v>0</v>
      </c>
      <c r="AR289">
        <f>IF(OR($AF289=1,$AH289=1),1,0)</f>
        <v>0</v>
      </c>
      <c r="AS289">
        <f>N(AS288)+$AR289</f>
        <v>0</v>
      </c>
    </row>
    <row r="290" ht="14.25" customHeight="1" s="127">
      <c r="A290" t="str">
        <f>IF(对接源_01水果!$C290="","",对接源_01水果!$C290)</f>
        <v>努尔敦</v>
      </c>
      <c r="B290">
        <f>IF(A290="",0,IF(MATCH(A290,$A$4:$A$2403,0)=ROW()-3,1,0))</f>
        <v>0</v>
      </c>
      <c r="C290">
        <f>N(C289)+B290</f>
        <v>17</v>
      </c>
      <c r="E290">
        <f>IFERROR(INDEX($A$4:$A$2403,MATCH(ROW()-3,$C$4:$C$2403,0)),"")</f>
      </c>
      <c r="K290">
        <f>IF(OR($K$1="",对接源_01水果!$C290="",对接源_01水果!$C290&lt;&gt;$K$1,对接源_01水果!$B290=""),0,IF(OR(N(对接源_01水果!$B290)&lt;$K$2,N(对接源_01水果!$B290)&gt;$K$3),0,1))</f>
        <v>0</v>
      </c>
      <c r="L290">
        <f>IF(OR($L$1="",对接源_01水果!$C290="",对接源_01水果!$C290&lt;&gt;$L$1,对接源_01水果!$B290=""),0,IF(OR(N(对接源_01水果!$B290)&lt;$L$2,N(对接源_01水果!$B290)&gt;$L$3),0,1))</f>
        <v>0</v>
      </c>
      <c r="M290">
        <f>IF(OR($M$1="",对接源_01水果!$C290="",对接源_01水果!$C290&lt;&gt;$M$1,对接源_01水果!$B290=""),0,IF(OR(N(对接源_01水果!$B290)&lt;$M$2,N(对接源_01水果!$B290)&gt;$M$3),0,1))</f>
        <v>0</v>
      </c>
      <c r="N290">
        <f>IF(OR($N$1="",对接源_01水果!$C290="",对接源_01水果!$C290&lt;&gt;$N$1,对接源_01水果!$B290=""),0,IF(OR(N(对接源_01水果!$B290)&lt;$N$2,N(对接源_01水果!$B290)&gt;$N$3),0,1))</f>
        <v>0</v>
      </c>
      <c r="P290">
        <f>IF(AND($K290=1,AND(对接源_01水果!$X290="公司筐",N(对接源_01水果!$T290)&lt;&gt;0)),1,0)</f>
        <v>0</v>
      </c>
      <c r="Q290">
        <f>N(Q289)+$P290</f>
        <v>0</v>
      </c>
      <c r="R290">
        <f>IF(AND($K290=1,AND(对接源_01水果!$X290="公司筐",N(对接源_01水果!$U290)&lt;&gt;0)),1,0)</f>
        <v>0</v>
      </c>
      <c r="S290">
        <f>N(S289)+$R290</f>
        <v>0</v>
      </c>
      <c r="T290">
        <f>IF(AND($K290=1,AND(对接源_01水果!$X290="公司筐",N(对接源_01水果!$V290)&lt;&gt;0)),1,0)</f>
        <v>0</v>
      </c>
      <c r="U290">
        <f>N(U289)+$T290</f>
        <v>16</v>
      </c>
      <c r="V290">
        <f>IF(AND($L290=1,AND(对接源_01水果!$X290="自备筐",N(对接源_01水果!$V290)&lt;&gt;0)),1,0)</f>
        <v>0</v>
      </c>
      <c r="W290">
        <f>N(W289)+$V290</f>
        <v>8</v>
      </c>
      <c r="X290">
        <f>IF(AND($L290=1,AND(对接源_01水果!$X290="自备筐",N(对接源_01水果!$T290)&lt;&gt;0)),1,0)</f>
        <v>0</v>
      </c>
      <c r="Y290">
        <f>N(Y289)+$X290</f>
        <v>0</v>
      </c>
      <c r="Z290">
        <f>IF(AND($M290=1,对接源_01水果!$D290="原料入库"),1,0)</f>
        <v>0</v>
      </c>
      <c r="AA290">
        <f>N(AA289)+$Z290</f>
        <v>21</v>
      </c>
      <c r="AB290">
        <f>IF(AND($M290=1,LEFT(对接源_01水果!$D290,4)="原料出库"),1,0)</f>
        <v>0</v>
      </c>
      <c r="AC290">
        <f>N(AC289)+$AB290</f>
        <v>0</v>
      </c>
      <c r="AD290">
        <f>IF(AND($M290=1,LEFT(对接源_01水果!$D290,4)="成品出库"),1,0)</f>
        <v>0</v>
      </c>
      <c r="AE290">
        <f>N(AE289)+$AD290</f>
        <v>0</v>
      </c>
      <c r="AF290">
        <f>IF(AND($N290=1,AND(LEFT(对接源_01水果!$D290,4)="包装物料",N(对接源_01水果!$K290)&lt;&gt;0)),1,0)</f>
        <v>0</v>
      </c>
      <c r="AG290">
        <f>N(AG289)+$AF290</f>
        <v>0</v>
      </c>
      <c r="AH290">
        <f>IF(AND($N290=1,AND(对接源_01水果!$D290="周转筐－销售出库",N(对接源_01水果!$K290)&lt;&gt;0)),1,0)</f>
        <v>0</v>
      </c>
      <c r="AI290">
        <f>N(AI289)+$AH290</f>
        <v>0</v>
      </c>
      <c r="AJ290" s="7" t="n"/>
      <c r="AL290">
        <f>IF(OR($AL$1="",对接源_01水果!$Y290="",对接源_01水果!$Y290&lt;&gt;$AL$1,对接源_01水果!$B290="",N(对接源_01水果!$AJ290)&lt;=0),0,IF(OR(N(对接源_01水果!$B290)&lt;$AL$2,N(对接源_01水果!$B290)&gt;$AL$3),0,1))</f>
        <v>0</v>
      </c>
      <c r="AM290">
        <f>N(AM289)+$AL290</f>
        <v>0</v>
      </c>
      <c r="AN290">
        <f>IF(对接源_01水果!$AC290="","",对接源_01水果!$AC290)</f>
      </c>
      <c r="AO290">
        <f>IF(AN290="",0,IF(MATCH(AN290,$AN$4:$AN$1203,0)=ROW()-3,1,0))</f>
        <v>0</v>
      </c>
      <c r="AP290">
        <f>N(AP289)+$AO290</f>
        <v>0</v>
      </c>
      <c r="AR290">
        <f>IF(OR($AF290=1,$AH290=1),1,0)</f>
        <v>0</v>
      </c>
      <c r="AS290">
        <f>N(AS289)+$AR290</f>
        <v>0</v>
      </c>
    </row>
    <row r="291" ht="14.25" customHeight="1" s="127">
      <c r="A291" t="str">
        <f>IF(对接源_01水果!$C291="","",对接源_01水果!$C291)</f>
        <v>吐尔洪</v>
      </c>
      <c r="B291">
        <f>IF(A291="",0,IF(MATCH(A291,$A$4:$A$2403,0)=ROW()-3,1,0))</f>
        <v>0</v>
      </c>
      <c r="C291">
        <f>N(C290)+B291</f>
        <v>17</v>
      </c>
      <c r="E291">
        <f>IFERROR(INDEX($A$4:$A$2403,MATCH(ROW()-3,$C$4:$C$2403,0)),"")</f>
      </c>
      <c r="K291">
        <f>IF(OR($K$1="",对接源_01水果!$C291="",对接源_01水果!$C291&lt;&gt;$K$1,对接源_01水果!$B291=""),0,IF(OR(N(对接源_01水果!$B291)&lt;$K$2,N(对接源_01水果!$B291)&gt;$K$3),0,1))</f>
        <v>0</v>
      </c>
      <c r="L291">
        <f>IF(OR($L$1="",对接源_01水果!$C291="",对接源_01水果!$C291&lt;&gt;$L$1,对接源_01水果!$B291=""),0,IF(OR(N(对接源_01水果!$B291)&lt;$L$2,N(对接源_01水果!$B291)&gt;$L$3),0,1))</f>
        <v>0</v>
      </c>
      <c r="M291">
        <f>IF(OR($M$1="",对接源_01水果!$C291="",对接源_01水果!$C291&lt;&gt;$M$1,对接源_01水果!$B291=""),0,IF(OR(N(对接源_01水果!$B291)&lt;$M$2,N(对接源_01水果!$B291)&gt;$M$3),0,1))</f>
        <v>1</v>
      </c>
      <c r="N291">
        <f>IF(OR($N$1="",对接源_01水果!$C291="",对接源_01水果!$C291&lt;&gt;$N$1,对接源_01水果!$B291=""),0,IF(OR(N(对接源_01水果!$B291)&lt;$N$2,N(对接源_01水果!$B291)&gt;$N$3),0,1))</f>
        <v>0</v>
      </c>
      <c r="P291">
        <f>IF(AND($K291=1,AND(对接源_01水果!$X291="公司筐",N(对接源_01水果!$T291)&lt;&gt;0)),1,0)</f>
        <v>0</v>
      </c>
      <c r="Q291">
        <f>N(Q290)+$P291</f>
        <v>0</v>
      </c>
      <c r="R291">
        <f>IF(AND($K291=1,AND(对接源_01水果!$X291="公司筐",N(对接源_01水果!$U291)&lt;&gt;0)),1,0)</f>
        <v>0</v>
      </c>
      <c r="S291">
        <f>N(S290)+$R291</f>
        <v>0</v>
      </c>
      <c r="T291">
        <f>IF(AND($K291=1,AND(对接源_01水果!$X291="公司筐",N(对接源_01水果!$V291)&lt;&gt;0)),1,0)</f>
        <v>0</v>
      </c>
      <c r="U291">
        <f>N(U290)+$T291</f>
        <v>16</v>
      </c>
      <c r="V291">
        <f>IF(AND($L291=1,AND(对接源_01水果!$X291="自备筐",N(对接源_01水果!$V291)&lt;&gt;0)),1,0)</f>
        <v>0</v>
      </c>
      <c r="W291">
        <f>N(W290)+$V291</f>
        <v>8</v>
      </c>
      <c r="X291">
        <f>IF(AND($L291=1,AND(对接源_01水果!$X291="自备筐",N(对接源_01水果!$T291)&lt;&gt;0)),1,0)</f>
        <v>0</v>
      </c>
      <c r="Y291">
        <f>N(Y290)+$X291</f>
        <v>0</v>
      </c>
      <c r="Z291">
        <f>IF(AND($M291=1,对接源_01水果!$D291="原料入库"),1,0)</f>
        <v>1</v>
      </c>
      <c r="AA291">
        <f>N(AA290)+$Z291</f>
        <v>22</v>
      </c>
      <c r="AB291">
        <f>IF(AND($M291=1,LEFT(对接源_01水果!$D291,4)="原料出库"),1,0)</f>
        <v>0</v>
      </c>
      <c r="AC291">
        <f>N(AC290)+$AB291</f>
        <v>0</v>
      </c>
      <c r="AD291">
        <f>IF(AND($M291=1,LEFT(对接源_01水果!$D291,4)="成品出库"),1,0)</f>
        <v>0</v>
      </c>
      <c r="AE291">
        <f>N(AE290)+$AD291</f>
        <v>0</v>
      </c>
      <c r="AF291">
        <f>IF(AND($N291=1,AND(LEFT(对接源_01水果!$D291,4)="包装物料",N(对接源_01水果!$K291)&lt;&gt;0)),1,0)</f>
        <v>0</v>
      </c>
      <c r="AG291">
        <f>N(AG290)+$AF291</f>
        <v>0</v>
      </c>
      <c r="AH291">
        <f>IF(AND($N291=1,AND(对接源_01水果!$D291="周转筐－销售出库",N(对接源_01水果!$K291)&lt;&gt;0)),1,0)</f>
        <v>0</v>
      </c>
      <c r="AI291">
        <f>N(AI290)+$AH291</f>
        <v>0</v>
      </c>
      <c r="AJ291" s="7" t="n"/>
      <c r="AL291">
        <f>IF(OR($AL$1="",对接源_01水果!$Y291="",对接源_01水果!$Y291&lt;&gt;$AL$1,对接源_01水果!$B291="",N(对接源_01水果!$AJ291)&lt;=0),0,IF(OR(N(对接源_01水果!$B291)&lt;$AL$2,N(对接源_01水果!$B291)&gt;$AL$3),0,1))</f>
        <v>0</v>
      </c>
      <c r="AM291">
        <f>N(AM290)+$AL291</f>
        <v>0</v>
      </c>
      <c r="AN291">
        <f>IF(对接源_01水果!$AC291="","",对接源_01水果!$AC291)</f>
      </c>
      <c r="AO291">
        <f>IF(AN291="",0,IF(MATCH(AN291,$AN$4:$AN$1203,0)=ROW()-3,1,0))</f>
        <v>0</v>
      </c>
      <c r="AP291">
        <f>N(AP290)+$AO291</f>
        <v>0</v>
      </c>
      <c r="AR291">
        <f>IF(OR($AF291=1,$AH291=1),1,0)</f>
        <v>0</v>
      </c>
      <c r="AS291">
        <f>N(AS290)+$AR291</f>
        <v>0</v>
      </c>
    </row>
    <row r="292" ht="14.25" customHeight="1" s="127">
      <c r="A292" t="str">
        <f>IF(对接源_01水果!$C292="","",对接源_01水果!$C292)</f>
        <v>吐尔洪</v>
      </c>
      <c r="B292">
        <f>IF(A292="",0,IF(MATCH(A292,$A$4:$A$2403,0)=ROW()-3,1,0))</f>
        <v>0</v>
      </c>
      <c r="C292">
        <f>N(C291)+B292</f>
        <v>17</v>
      </c>
      <c r="E292">
        <f>IFERROR(INDEX($A$4:$A$2403,MATCH(ROW()-3,$C$4:$C$2403,0)),"")</f>
      </c>
      <c r="K292">
        <f>IF(OR($K$1="",对接源_01水果!$C292="",对接源_01水果!$C292&lt;&gt;$K$1,对接源_01水果!$B292=""),0,IF(OR(N(对接源_01水果!$B292)&lt;$K$2,N(对接源_01水果!$B292)&gt;$K$3),0,1))</f>
        <v>0</v>
      </c>
      <c r="L292">
        <f>IF(OR($L$1="",对接源_01水果!$C292="",对接源_01水果!$C292&lt;&gt;$L$1,对接源_01水果!$B292=""),0,IF(OR(N(对接源_01水果!$B292)&lt;$L$2,N(对接源_01水果!$B292)&gt;$L$3),0,1))</f>
        <v>0</v>
      </c>
      <c r="M292">
        <f>IF(OR($M$1="",对接源_01水果!$C292="",对接源_01水果!$C292&lt;&gt;$M$1,对接源_01水果!$B292=""),0,IF(OR(N(对接源_01水果!$B292)&lt;$M$2,N(对接源_01水果!$B292)&gt;$M$3),0,1))</f>
        <v>1</v>
      </c>
      <c r="N292">
        <f>IF(OR($N$1="",对接源_01水果!$C292="",对接源_01水果!$C292&lt;&gt;$N$1,对接源_01水果!$B292=""),0,IF(OR(N(对接源_01水果!$B292)&lt;$N$2,N(对接源_01水果!$B292)&gt;$N$3),0,1))</f>
        <v>0</v>
      </c>
      <c r="P292">
        <f>IF(AND($K292=1,AND(对接源_01水果!$X292="公司筐",N(对接源_01水果!$T292)&lt;&gt;0)),1,0)</f>
        <v>0</v>
      </c>
      <c r="Q292">
        <f>N(Q291)+$P292</f>
        <v>0</v>
      </c>
      <c r="R292">
        <f>IF(AND($K292=1,AND(对接源_01水果!$X292="公司筐",N(对接源_01水果!$U292)&lt;&gt;0)),1,0)</f>
        <v>0</v>
      </c>
      <c r="S292">
        <f>N(S291)+$R292</f>
        <v>0</v>
      </c>
      <c r="T292">
        <f>IF(AND($K292=1,AND(对接源_01水果!$X292="公司筐",N(对接源_01水果!$V292)&lt;&gt;0)),1,0)</f>
        <v>0</v>
      </c>
      <c r="U292">
        <f>N(U291)+$T292</f>
        <v>16</v>
      </c>
      <c r="V292">
        <f>IF(AND($L292=1,AND(对接源_01水果!$X292="自备筐",N(对接源_01水果!$V292)&lt;&gt;0)),1,0)</f>
        <v>0</v>
      </c>
      <c r="W292">
        <f>N(W291)+$V292</f>
        <v>8</v>
      </c>
      <c r="X292">
        <f>IF(AND($L292=1,AND(对接源_01水果!$X292="自备筐",N(对接源_01水果!$T292)&lt;&gt;0)),1,0)</f>
        <v>0</v>
      </c>
      <c r="Y292">
        <f>N(Y291)+$X292</f>
        <v>0</v>
      </c>
      <c r="Z292">
        <f>IF(AND($M292=1,对接源_01水果!$D292="原料入库"),1,0)</f>
        <v>1</v>
      </c>
      <c r="AA292">
        <f>N(AA291)+$Z292</f>
        <v>23</v>
      </c>
      <c r="AB292">
        <f>IF(AND($M292=1,LEFT(对接源_01水果!$D292,4)="原料出库"),1,0)</f>
        <v>0</v>
      </c>
      <c r="AC292">
        <f>N(AC291)+$AB292</f>
        <v>0</v>
      </c>
      <c r="AD292">
        <f>IF(AND($M292=1,LEFT(对接源_01水果!$D292,4)="成品出库"),1,0)</f>
        <v>0</v>
      </c>
      <c r="AE292">
        <f>N(AE291)+$AD292</f>
        <v>0</v>
      </c>
      <c r="AF292">
        <f>IF(AND($N292=1,AND(LEFT(对接源_01水果!$D292,4)="包装物料",N(对接源_01水果!$K292)&lt;&gt;0)),1,0)</f>
        <v>0</v>
      </c>
      <c r="AG292">
        <f>N(AG291)+$AF292</f>
        <v>0</v>
      </c>
      <c r="AH292">
        <f>IF(AND($N292=1,AND(对接源_01水果!$D292="周转筐－销售出库",N(对接源_01水果!$K292)&lt;&gt;0)),1,0)</f>
        <v>0</v>
      </c>
      <c r="AI292">
        <f>N(AI291)+$AH292</f>
        <v>0</v>
      </c>
      <c r="AJ292" s="7" t="n"/>
      <c r="AL292">
        <f>IF(OR($AL$1="",对接源_01水果!$Y292="",对接源_01水果!$Y292&lt;&gt;$AL$1,对接源_01水果!$B292="",N(对接源_01水果!$AJ292)&lt;=0),0,IF(OR(N(对接源_01水果!$B292)&lt;$AL$2,N(对接源_01水果!$B292)&gt;$AL$3),0,1))</f>
        <v>0</v>
      </c>
      <c r="AM292">
        <f>N(AM291)+$AL292</f>
        <v>0</v>
      </c>
      <c r="AN292">
        <f>IF(对接源_01水果!$AC292="","",对接源_01水果!$AC292)</f>
      </c>
      <c r="AO292">
        <f>IF(AN292="",0,IF(MATCH(AN292,$AN$4:$AN$1203,0)=ROW()-3,1,0))</f>
        <v>0</v>
      </c>
      <c r="AP292">
        <f>N(AP291)+$AO292</f>
        <v>0</v>
      </c>
      <c r="AR292">
        <f>IF(OR($AF292=1,$AH292=1),1,0)</f>
        <v>0</v>
      </c>
      <c r="AS292">
        <f>N(AS291)+$AR292</f>
        <v>0</v>
      </c>
    </row>
    <row r="293" ht="14.25" customHeight="1" s="127">
      <c r="A293" t="str">
        <f>IF(对接源_01水果!$C293="","",对接源_01水果!$C293)</f>
        <v>吐尔洪</v>
      </c>
      <c r="B293">
        <f>IF(A293="",0,IF(MATCH(A293,$A$4:$A$2403,0)=ROW()-3,1,0))</f>
        <v>0</v>
      </c>
      <c r="C293">
        <f>N(C292)+B293</f>
        <v>17</v>
      </c>
      <c r="E293">
        <f>IFERROR(INDEX($A$4:$A$2403,MATCH(ROW()-3,$C$4:$C$2403,0)),"")</f>
      </c>
      <c r="K293">
        <f>IF(OR($K$1="",对接源_01水果!$C293="",对接源_01水果!$C293&lt;&gt;$K$1,对接源_01水果!$B293=""),0,IF(OR(N(对接源_01水果!$B293)&lt;$K$2,N(对接源_01水果!$B293)&gt;$K$3),0,1))</f>
        <v>0</v>
      </c>
      <c r="L293">
        <f>IF(OR($L$1="",对接源_01水果!$C293="",对接源_01水果!$C293&lt;&gt;$L$1,对接源_01水果!$B293=""),0,IF(OR(N(对接源_01水果!$B293)&lt;$L$2,N(对接源_01水果!$B293)&gt;$L$3),0,1))</f>
        <v>0</v>
      </c>
      <c r="M293">
        <f>IF(OR($M$1="",对接源_01水果!$C293="",对接源_01水果!$C293&lt;&gt;$M$1,对接源_01水果!$B293=""),0,IF(OR(N(对接源_01水果!$B293)&lt;$M$2,N(对接源_01水果!$B293)&gt;$M$3),0,1))</f>
        <v>1</v>
      </c>
      <c r="N293">
        <f>IF(OR($N$1="",对接源_01水果!$C293="",对接源_01水果!$C293&lt;&gt;$N$1,对接源_01水果!$B293=""),0,IF(OR(N(对接源_01水果!$B293)&lt;$N$2,N(对接源_01水果!$B293)&gt;$N$3),0,1))</f>
        <v>0</v>
      </c>
      <c r="P293">
        <f>IF(AND($K293=1,AND(对接源_01水果!$X293="公司筐",N(对接源_01水果!$T293)&lt;&gt;0)),1,0)</f>
        <v>0</v>
      </c>
      <c r="Q293">
        <f>N(Q292)+$P293</f>
        <v>0</v>
      </c>
      <c r="R293">
        <f>IF(AND($K293=1,AND(对接源_01水果!$X293="公司筐",N(对接源_01水果!$U293)&lt;&gt;0)),1,0)</f>
        <v>0</v>
      </c>
      <c r="S293">
        <f>N(S292)+$R293</f>
        <v>0</v>
      </c>
      <c r="T293">
        <f>IF(AND($K293=1,AND(对接源_01水果!$X293="公司筐",N(对接源_01水果!$V293)&lt;&gt;0)),1,0)</f>
        <v>0</v>
      </c>
      <c r="U293">
        <f>N(U292)+$T293</f>
        <v>16</v>
      </c>
      <c r="V293">
        <f>IF(AND($L293=1,AND(对接源_01水果!$X293="自备筐",N(对接源_01水果!$V293)&lt;&gt;0)),1,0)</f>
        <v>0</v>
      </c>
      <c r="W293">
        <f>N(W292)+$V293</f>
        <v>8</v>
      </c>
      <c r="X293">
        <f>IF(AND($L293=1,AND(对接源_01水果!$X293="自备筐",N(对接源_01水果!$T293)&lt;&gt;0)),1,0)</f>
        <v>0</v>
      </c>
      <c r="Y293">
        <f>N(Y292)+$X293</f>
        <v>0</v>
      </c>
      <c r="Z293">
        <f>IF(AND($M293=1,对接源_01水果!$D293="原料入库"),1,0)</f>
        <v>1</v>
      </c>
      <c r="AA293">
        <f>N(AA292)+$Z293</f>
        <v>24</v>
      </c>
      <c r="AB293">
        <f>IF(AND($M293=1,LEFT(对接源_01水果!$D293,4)="原料出库"),1,0)</f>
        <v>0</v>
      </c>
      <c r="AC293">
        <f>N(AC292)+$AB293</f>
        <v>0</v>
      </c>
      <c r="AD293">
        <f>IF(AND($M293=1,LEFT(对接源_01水果!$D293,4)="成品出库"),1,0)</f>
        <v>0</v>
      </c>
      <c r="AE293">
        <f>N(AE292)+$AD293</f>
        <v>0</v>
      </c>
      <c r="AF293">
        <f>IF(AND($N293=1,AND(LEFT(对接源_01水果!$D293,4)="包装物料",N(对接源_01水果!$K293)&lt;&gt;0)),1,0)</f>
        <v>0</v>
      </c>
      <c r="AG293">
        <f>N(AG292)+$AF293</f>
        <v>0</v>
      </c>
      <c r="AH293">
        <f>IF(AND($N293=1,AND(对接源_01水果!$D293="周转筐－销售出库",N(对接源_01水果!$K293)&lt;&gt;0)),1,0)</f>
        <v>0</v>
      </c>
      <c r="AI293">
        <f>N(AI292)+$AH293</f>
        <v>0</v>
      </c>
      <c r="AJ293" s="7" t="n"/>
      <c r="AL293">
        <f>IF(OR($AL$1="",对接源_01水果!$Y293="",对接源_01水果!$Y293&lt;&gt;$AL$1,对接源_01水果!$B293="",N(对接源_01水果!$AJ293)&lt;=0),0,IF(OR(N(对接源_01水果!$B293)&lt;$AL$2,N(对接源_01水果!$B293)&gt;$AL$3),0,1))</f>
        <v>0</v>
      </c>
      <c r="AM293">
        <f>N(AM292)+$AL293</f>
        <v>0</v>
      </c>
      <c r="AN293">
        <f>IF(对接源_01水果!$AC293="","",对接源_01水果!$AC293)</f>
      </c>
      <c r="AO293">
        <f>IF(AN293="",0,IF(MATCH(AN293,$AN$4:$AN$1203,0)=ROW()-3,1,0))</f>
        <v>0</v>
      </c>
      <c r="AP293">
        <f>N(AP292)+$AO293</f>
        <v>0</v>
      </c>
      <c r="AR293">
        <f>IF(OR($AF293=1,$AH293=1),1,0)</f>
        <v>0</v>
      </c>
      <c r="AS293">
        <f>N(AS292)+$AR293</f>
        <v>0</v>
      </c>
    </row>
    <row r="294" ht="14.25" customHeight="1" s="127">
      <c r="A294" t="str">
        <f>IF(对接源_01水果!$C294="","",对接源_01水果!$C294)</f>
        <v>艾则孜</v>
      </c>
      <c r="B294">
        <f>IF(A294="",0,IF(MATCH(A294,$A$4:$A$2403,0)=ROW()-3,1,0))</f>
        <v>1</v>
      </c>
      <c r="C294">
        <f>N(C293)+B294</f>
        <v>18</v>
      </c>
      <c r="E294">
        <f>IFERROR(INDEX($A$4:$A$2403,MATCH(ROW()-3,$C$4:$C$2403,0)),"")</f>
      </c>
      <c r="K294">
        <f>IF(OR($K$1="",对接源_01水果!$C294="",对接源_01水果!$C294&lt;&gt;$K$1,对接源_01水果!$B294=""),0,IF(OR(N(对接源_01水果!$B294)&lt;$K$2,N(对接源_01水果!$B294)&gt;$K$3),0,1))</f>
        <v>0</v>
      </c>
      <c r="L294">
        <f>IF(OR($L$1="",对接源_01水果!$C294="",对接源_01水果!$C294&lt;&gt;$L$1,对接源_01水果!$B294=""),0,IF(OR(N(对接源_01水果!$B294)&lt;$L$2,N(对接源_01水果!$B294)&gt;$L$3),0,1))</f>
        <v>0</v>
      </c>
      <c r="M294">
        <f>IF(OR($M$1="",对接源_01水果!$C294="",对接源_01水果!$C294&lt;&gt;$M$1,对接源_01水果!$B294=""),0,IF(OR(N(对接源_01水果!$B294)&lt;$M$2,N(对接源_01水果!$B294)&gt;$M$3),0,1))</f>
        <v>0</v>
      </c>
      <c r="N294">
        <f>IF(OR($N$1="",对接源_01水果!$C294="",对接源_01水果!$C294&lt;&gt;$N$1,对接源_01水果!$B294=""),0,IF(OR(N(对接源_01水果!$B294)&lt;$N$2,N(对接源_01水果!$B294)&gt;$N$3),0,1))</f>
        <v>0</v>
      </c>
      <c r="P294">
        <f>IF(AND($K294=1,AND(对接源_01水果!$X294="公司筐",N(对接源_01水果!$T294)&lt;&gt;0)),1,0)</f>
        <v>0</v>
      </c>
      <c r="Q294">
        <f>N(Q293)+$P294</f>
        <v>0</v>
      </c>
      <c r="R294">
        <f>IF(AND($K294=1,AND(对接源_01水果!$X294="公司筐",N(对接源_01水果!$U294)&lt;&gt;0)),1,0)</f>
        <v>0</v>
      </c>
      <c r="S294">
        <f>N(S293)+$R294</f>
        <v>0</v>
      </c>
      <c r="T294">
        <f>IF(AND($K294=1,AND(对接源_01水果!$X294="公司筐",N(对接源_01水果!$V294)&lt;&gt;0)),1,0)</f>
        <v>0</v>
      </c>
      <c r="U294">
        <f>N(U293)+$T294</f>
        <v>16</v>
      </c>
      <c r="V294">
        <f>IF(AND($L294=1,AND(对接源_01水果!$X294="自备筐",N(对接源_01水果!$V294)&lt;&gt;0)),1,0)</f>
        <v>0</v>
      </c>
      <c r="W294">
        <f>N(W293)+$V294</f>
        <v>8</v>
      </c>
      <c r="X294">
        <f>IF(AND($L294=1,AND(对接源_01水果!$X294="自备筐",N(对接源_01水果!$T294)&lt;&gt;0)),1,0)</f>
        <v>0</v>
      </c>
      <c r="Y294">
        <f>N(Y293)+$X294</f>
        <v>0</v>
      </c>
      <c r="Z294">
        <f>IF(AND($M294=1,对接源_01水果!$D294="原料入库"),1,0)</f>
        <v>0</v>
      </c>
      <c r="AA294">
        <f>N(AA293)+$Z294</f>
        <v>24</v>
      </c>
      <c r="AB294">
        <f>IF(AND($M294=1,LEFT(对接源_01水果!$D294,4)="原料出库"),1,0)</f>
        <v>0</v>
      </c>
      <c r="AC294">
        <f>N(AC293)+$AB294</f>
        <v>0</v>
      </c>
      <c r="AD294">
        <f>IF(AND($M294=1,LEFT(对接源_01水果!$D294,4)="成品出库"),1,0)</f>
        <v>0</v>
      </c>
      <c r="AE294">
        <f>N(AE293)+$AD294</f>
        <v>0</v>
      </c>
      <c r="AF294">
        <f>IF(AND($N294=1,AND(LEFT(对接源_01水果!$D294,4)="包装物料",N(对接源_01水果!$K294)&lt;&gt;0)),1,0)</f>
        <v>0</v>
      </c>
      <c r="AG294">
        <f>N(AG293)+$AF294</f>
        <v>0</v>
      </c>
      <c r="AH294">
        <f>IF(AND($N294=1,AND(对接源_01水果!$D294="周转筐－销售出库",N(对接源_01水果!$K294)&lt;&gt;0)),1,0)</f>
        <v>0</v>
      </c>
      <c r="AI294">
        <f>N(AI293)+$AH294</f>
        <v>0</v>
      </c>
      <c r="AJ294" s="7" t="n"/>
      <c r="AL294">
        <f>IF(OR($AL$1="",对接源_01水果!$Y294="",对接源_01水果!$Y294&lt;&gt;$AL$1,对接源_01水果!$B294="",N(对接源_01水果!$AJ294)&lt;=0),0,IF(OR(N(对接源_01水果!$B294)&lt;$AL$2,N(对接源_01水果!$B294)&gt;$AL$3),0,1))</f>
        <v>0</v>
      </c>
      <c r="AM294">
        <f>N(AM293)+$AL294</f>
        <v>0</v>
      </c>
      <c r="AN294">
        <f>IF(对接源_01水果!$AC294="","",对接源_01水果!$AC294)</f>
      </c>
      <c r="AO294">
        <f>IF(AN294="",0,IF(MATCH(AN294,$AN$4:$AN$1203,0)=ROW()-3,1,0))</f>
        <v>0</v>
      </c>
      <c r="AP294">
        <f>N(AP293)+$AO294</f>
        <v>0</v>
      </c>
      <c r="AR294">
        <f>IF(OR($AF294=1,$AH294=1),1,0)</f>
        <v>0</v>
      </c>
      <c r="AS294">
        <f>N(AS293)+$AR294</f>
        <v>0</v>
      </c>
    </row>
    <row r="295" ht="14.25" customHeight="1" s="127">
      <c r="A295" t="str">
        <f>IF(对接源_01水果!$C295="","",对接源_01水果!$C295)</f>
        <v>艾则孜</v>
      </c>
      <c r="B295">
        <f>IF(A295="",0,IF(MATCH(A295,$A$4:$A$2403,0)=ROW()-3,1,0))</f>
        <v>0</v>
      </c>
      <c r="C295">
        <f>N(C294)+B295</f>
        <v>18</v>
      </c>
      <c r="E295">
        <f>IFERROR(INDEX($A$4:$A$2403,MATCH(ROW()-3,$C$4:$C$2403,0)),"")</f>
      </c>
      <c r="K295">
        <f>IF(OR($K$1="",对接源_01水果!$C295="",对接源_01水果!$C295&lt;&gt;$K$1,对接源_01水果!$B295=""),0,IF(OR(N(对接源_01水果!$B295)&lt;$K$2,N(对接源_01水果!$B295)&gt;$K$3),0,1))</f>
        <v>0</v>
      </c>
      <c r="L295">
        <f>IF(OR($L$1="",对接源_01水果!$C295="",对接源_01水果!$C295&lt;&gt;$L$1,对接源_01水果!$B295=""),0,IF(OR(N(对接源_01水果!$B295)&lt;$L$2,N(对接源_01水果!$B295)&gt;$L$3),0,1))</f>
        <v>0</v>
      </c>
      <c r="M295">
        <f>IF(OR($M$1="",对接源_01水果!$C295="",对接源_01水果!$C295&lt;&gt;$M$1,对接源_01水果!$B295=""),0,IF(OR(N(对接源_01水果!$B295)&lt;$M$2,N(对接源_01水果!$B295)&gt;$M$3),0,1))</f>
        <v>0</v>
      </c>
      <c r="N295">
        <f>IF(OR($N$1="",对接源_01水果!$C295="",对接源_01水果!$C295&lt;&gt;$N$1,对接源_01水果!$B295=""),0,IF(OR(N(对接源_01水果!$B295)&lt;$N$2,N(对接源_01水果!$B295)&gt;$N$3),0,1))</f>
        <v>0</v>
      </c>
      <c r="P295">
        <f>IF(AND($K295=1,AND(对接源_01水果!$X295="公司筐",N(对接源_01水果!$T295)&lt;&gt;0)),1,0)</f>
        <v>0</v>
      </c>
      <c r="Q295">
        <f>N(Q294)+$P295</f>
        <v>0</v>
      </c>
      <c r="R295">
        <f>IF(AND($K295=1,AND(对接源_01水果!$X295="公司筐",N(对接源_01水果!$U295)&lt;&gt;0)),1,0)</f>
        <v>0</v>
      </c>
      <c r="S295">
        <f>N(S294)+$R295</f>
        <v>0</v>
      </c>
      <c r="T295">
        <f>IF(AND($K295=1,AND(对接源_01水果!$X295="公司筐",N(对接源_01水果!$V295)&lt;&gt;0)),1,0)</f>
        <v>0</v>
      </c>
      <c r="U295">
        <f>N(U294)+$T295</f>
        <v>16</v>
      </c>
      <c r="V295">
        <f>IF(AND($L295=1,AND(对接源_01水果!$X295="自备筐",N(对接源_01水果!$V295)&lt;&gt;0)),1,0)</f>
        <v>0</v>
      </c>
      <c r="W295">
        <f>N(W294)+$V295</f>
        <v>8</v>
      </c>
      <c r="X295">
        <f>IF(AND($L295=1,AND(对接源_01水果!$X295="自备筐",N(对接源_01水果!$T295)&lt;&gt;0)),1,0)</f>
        <v>0</v>
      </c>
      <c r="Y295">
        <f>N(Y294)+$X295</f>
        <v>0</v>
      </c>
      <c r="Z295">
        <f>IF(AND($M295=1,对接源_01水果!$D295="原料入库"),1,0)</f>
        <v>0</v>
      </c>
      <c r="AA295">
        <f>N(AA294)+$Z295</f>
        <v>24</v>
      </c>
      <c r="AB295">
        <f>IF(AND($M295=1,LEFT(对接源_01水果!$D295,4)="原料出库"),1,0)</f>
        <v>0</v>
      </c>
      <c r="AC295">
        <f>N(AC294)+$AB295</f>
        <v>0</v>
      </c>
      <c r="AD295">
        <f>IF(AND($M295=1,LEFT(对接源_01水果!$D295,4)="成品出库"),1,0)</f>
        <v>0</v>
      </c>
      <c r="AE295">
        <f>N(AE294)+$AD295</f>
        <v>0</v>
      </c>
      <c r="AF295">
        <f>IF(AND($N295=1,AND(LEFT(对接源_01水果!$D295,4)="包装物料",N(对接源_01水果!$K295)&lt;&gt;0)),1,0)</f>
        <v>0</v>
      </c>
      <c r="AG295">
        <f>N(AG294)+$AF295</f>
        <v>0</v>
      </c>
      <c r="AH295">
        <f>IF(AND($N295=1,AND(对接源_01水果!$D295="周转筐－销售出库",N(对接源_01水果!$K295)&lt;&gt;0)),1,0)</f>
        <v>0</v>
      </c>
      <c r="AI295">
        <f>N(AI294)+$AH295</f>
        <v>0</v>
      </c>
      <c r="AJ295" s="7" t="n"/>
      <c r="AL295">
        <f>IF(OR($AL$1="",对接源_01水果!$Y295="",对接源_01水果!$Y295&lt;&gt;$AL$1,对接源_01水果!$B295="",N(对接源_01水果!$AJ295)&lt;=0),0,IF(OR(N(对接源_01水果!$B295)&lt;$AL$2,N(对接源_01水果!$B295)&gt;$AL$3),0,1))</f>
        <v>0</v>
      </c>
      <c r="AM295">
        <f>N(AM294)+$AL295</f>
        <v>0</v>
      </c>
      <c r="AN295">
        <f>IF(对接源_01水果!$AC295="","",对接源_01水果!$AC295)</f>
      </c>
      <c r="AO295">
        <f>IF(AN295="",0,IF(MATCH(AN295,$AN$4:$AN$1203,0)=ROW()-3,1,0))</f>
        <v>0</v>
      </c>
      <c r="AP295">
        <f>N(AP294)+$AO295</f>
        <v>0</v>
      </c>
      <c r="AR295">
        <f>IF(OR($AF295=1,$AH295=1),1,0)</f>
        <v>0</v>
      </c>
      <c r="AS295">
        <f>N(AS294)+$AR295</f>
        <v>0</v>
      </c>
    </row>
    <row r="296" ht="14.25" customHeight="1" s="127">
      <c r="A296" t="str">
        <f>IF(对接源_01水果!$C296="","",对接源_01水果!$C296)</f>
        <v>艾则孜</v>
      </c>
      <c r="B296">
        <f>IF(A296="",0,IF(MATCH(A296,$A$4:$A$2403,0)=ROW()-3,1,0))</f>
        <v>0</v>
      </c>
      <c r="C296">
        <f>N(C295)+B296</f>
        <v>18</v>
      </c>
      <c r="E296">
        <f>IFERROR(INDEX($A$4:$A$2403,MATCH(ROW()-3,$C$4:$C$2403,0)),"")</f>
      </c>
      <c r="K296">
        <f>IF(OR($K$1="",对接源_01水果!$C296="",对接源_01水果!$C296&lt;&gt;$K$1,对接源_01水果!$B296=""),0,IF(OR(N(对接源_01水果!$B296)&lt;$K$2,N(对接源_01水果!$B296)&gt;$K$3),0,1))</f>
        <v>0</v>
      </c>
      <c r="L296">
        <f>IF(OR($L$1="",对接源_01水果!$C296="",对接源_01水果!$C296&lt;&gt;$L$1,对接源_01水果!$B296=""),0,IF(OR(N(对接源_01水果!$B296)&lt;$L$2,N(对接源_01水果!$B296)&gt;$L$3),0,1))</f>
        <v>0</v>
      </c>
      <c r="M296">
        <f>IF(OR($M$1="",对接源_01水果!$C296="",对接源_01水果!$C296&lt;&gt;$M$1,对接源_01水果!$B296=""),0,IF(OR(N(对接源_01水果!$B296)&lt;$M$2,N(对接源_01水果!$B296)&gt;$M$3),0,1))</f>
        <v>0</v>
      </c>
      <c r="N296">
        <f>IF(OR($N$1="",对接源_01水果!$C296="",对接源_01水果!$C296&lt;&gt;$N$1,对接源_01水果!$B296=""),0,IF(OR(N(对接源_01水果!$B296)&lt;$N$2,N(对接源_01水果!$B296)&gt;$N$3),0,1))</f>
        <v>0</v>
      </c>
      <c r="P296">
        <f>IF(AND($K296=1,AND(对接源_01水果!$X296="公司筐",N(对接源_01水果!$T296)&lt;&gt;0)),1,0)</f>
        <v>0</v>
      </c>
      <c r="Q296">
        <f>N(Q295)+$P296</f>
        <v>0</v>
      </c>
      <c r="R296">
        <f>IF(AND($K296=1,AND(对接源_01水果!$X296="公司筐",N(对接源_01水果!$U296)&lt;&gt;0)),1,0)</f>
        <v>0</v>
      </c>
      <c r="S296">
        <f>N(S295)+$R296</f>
        <v>0</v>
      </c>
      <c r="T296">
        <f>IF(AND($K296=1,AND(对接源_01水果!$X296="公司筐",N(对接源_01水果!$V296)&lt;&gt;0)),1,0)</f>
        <v>0</v>
      </c>
      <c r="U296">
        <f>N(U295)+$T296</f>
        <v>16</v>
      </c>
      <c r="V296">
        <f>IF(AND($L296=1,AND(对接源_01水果!$X296="自备筐",N(对接源_01水果!$V296)&lt;&gt;0)),1,0)</f>
        <v>0</v>
      </c>
      <c r="W296">
        <f>N(W295)+$V296</f>
        <v>8</v>
      </c>
      <c r="X296">
        <f>IF(AND($L296=1,AND(对接源_01水果!$X296="自备筐",N(对接源_01水果!$T296)&lt;&gt;0)),1,0)</f>
        <v>0</v>
      </c>
      <c r="Y296">
        <f>N(Y295)+$X296</f>
        <v>0</v>
      </c>
      <c r="Z296">
        <f>IF(AND($M296=1,对接源_01水果!$D296="原料入库"),1,0)</f>
        <v>0</v>
      </c>
      <c r="AA296">
        <f>N(AA295)+$Z296</f>
        <v>24</v>
      </c>
      <c r="AB296">
        <f>IF(AND($M296=1,LEFT(对接源_01水果!$D296,4)="原料出库"),1,0)</f>
        <v>0</v>
      </c>
      <c r="AC296">
        <f>N(AC295)+$AB296</f>
        <v>0</v>
      </c>
      <c r="AD296">
        <f>IF(AND($M296=1,LEFT(对接源_01水果!$D296,4)="成品出库"),1,0)</f>
        <v>0</v>
      </c>
      <c r="AE296">
        <f>N(AE295)+$AD296</f>
        <v>0</v>
      </c>
      <c r="AF296">
        <f>IF(AND($N296=1,AND(LEFT(对接源_01水果!$D296,4)="包装物料",N(对接源_01水果!$K296)&lt;&gt;0)),1,0)</f>
        <v>0</v>
      </c>
      <c r="AG296">
        <f>N(AG295)+$AF296</f>
        <v>0</v>
      </c>
      <c r="AH296">
        <f>IF(AND($N296=1,AND(对接源_01水果!$D296="周转筐－销售出库",N(对接源_01水果!$K296)&lt;&gt;0)),1,0)</f>
        <v>0</v>
      </c>
      <c r="AI296">
        <f>N(AI295)+$AH296</f>
        <v>0</v>
      </c>
      <c r="AJ296" s="7" t="n"/>
      <c r="AL296">
        <f>IF(OR($AL$1="",对接源_01水果!$Y296="",对接源_01水果!$Y296&lt;&gt;$AL$1,对接源_01水果!$B296="",N(对接源_01水果!$AJ296)&lt;=0),0,IF(OR(N(对接源_01水果!$B296)&lt;$AL$2,N(对接源_01水果!$B296)&gt;$AL$3),0,1))</f>
        <v>0</v>
      </c>
      <c r="AM296">
        <f>N(AM295)+$AL296</f>
        <v>0</v>
      </c>
      <c r="AN296">
        <f>IF(对接源_01水果!$AC296="","",对接源_01水果!$AC296)</f>
      </c>
      <c r="AO296">
        <f>IF(AN296="",0,IF(MATCH(AN296,$AN$4:$AN$1203,0)=ROW()-3,1,0))</f>
        <v>0</v>
      </c>
      <c r="AP296">
        <f>N(AP295)+$AO296</f>
        <v>0</v>
      </c>
      <c r="AR296">
        <f>IF(OR($AF296=1,$AH296=1),1,0)</f>
        <v>0</v>
      </c>
      <c r="AS296">
        <f>N(AS295)+$AR296</f>
        <v>0</v>
      </c>
    </row>
    <row r="297" ht="14.25" customHeight="1" s="127">
      <c r="A297" t="str">
        <f>IF(对接源_01水果!$C297="","",对接源_01水果!$C297)</f>
        <v>王灵云</v>
      </c>
      <c r="B297">
        <f>IF(A297="",0,IF(MATCH(A297,$A$4:$A$2403,0)=ROW()-3,1,0))</f>
        <v>0</v>
      </c>
      <c r="C297">
        <f>N(C296)+B297</f>
        <v>18</v>
      </c>
      <c r="E297">
        <f>IFERROR(INDEX($A$4:$A$2403,MATCH(ROW()-3,$C$4:$C$2403,0)),"")</f>
      </c>
      <c r="K297">
        <f>IF(OR($K$1="",对接源_01水果!$C297="",对接源_01水果!$C297&lt;&gt;$K$1,对接源_01水果!$B297=""),0,IF(OR(N(对接源_01水果!$B297)&lt;$K$2,N(对接源_01水果!$B297)&gt;$K$3),0,1))</f>
        <v>1</v>
      </c>
      <c r="L297">
        <f>IF(OR($L$1="",对接源_01水果!$C297="",对接源_01水果!$C297&lt;&gt;$L$1,对接源_01水果!$B297=""),0,IF(OR(N(对接源_01水果!$B297)&lt;$L$2,N(对接源_01水果!$B297)&gt;$L$3),0,1))</f>
        <v>0</v>
      </c>
      <c r="M297">
        <f>IF(OR($M$1="",对接源_01水果!$C297="",对接源_01水果!$C297&lt;&gt;$M$1,对接源_01水果!$B297=""),0,IF(OR(N(对接源_01水果!$B297)&lt;$M$2,N(对接源_01水果!$B297)&gt;$M$3),0,1))</f>
        <v>0</v>
      </c>
      <c r="N297">
        <f>IF(OR($N$1="",对接源_01水果!$C297="",对接源_01水果!$C297&lt;&gt;$N$1,对接源_01水果!$B297=""),0,IF(OR(N(对接源_01水果!$B297)&lt;$N$2,N(对接源_01水果!$B297)&gt;$N$3),0,1))</f>
        <v>0</v>
      </c>
      <c r="P297">
        <f>IF(AND($K297=1,AND(对接源_01水果!$X297="公司筐",N(对接源_01水果!$T297)&lt;&gt;0)),1,0)</f>
        <v>0</v>
      </c>
      <c r="Q297">
        <f>N(Q296)+$P297</f>
        <v>0</v>
      </c>
      <c r="R297">
        <f>IF(AND($K297=1,AND(对接源_01水果!$X297="公司筐",N(对接源_01水果!$U297)&lt;&gt;0)),1,0)</f>
        <v>0</v>
      </c>
      <c r="S297">
        <f>N(S296)+$R297</f>
        <v>0</v>
      </c>
      <c r="T297">
        <f>IF(AND($K297=1,AND(对接源_01水果!$X297="公司筐",N(对接源_01水果!$V297)&lt;&gt;0)),1,0)</f>
        <v>1</v>
      </c>
      <c r="U297">
        <f>N(U296)+$T297</f>
        <v>17</v>
      </c>
      <c r="V297">
        <f>IF(AND($L297=1,AND(对接源_01水果!$X297="自备筐",N(对接源_01水果!$V297)&lt;&gt;0)),1,0)</f>
        <v>0</v>
      </c>
      <c r="W297">
        <f>N(W296)+$V297</f>
        <v>8</v>
      </c>
      <c r="X297">
        <f>IF(AND($L297=1,AND(对接源_01水果!$X297="自备筐",N(对接源_01水果!$T297)&lt;&gt;0)),1,0)</f>
        <v>0</v>
      </c>
      <c r="Y297">
        <f>N(Y296)+$X297</f>
        <v>0</v>
      </c>
      <c r="Z297">
        <f>IF(AND($M297=1,对接源_01水果!$D297="原料入库"),1,0)</f>
        <v>0</v>
      </c>
      <c r="AA297">
        <f>N(AA296)+$Z297</f>
        <v>24</v>
      </c>
      <c r="AB297">
        <f>IF(AND($M297=1,LEFT(对接源_01水果!$D297,4)="原料出库"),1,0)</f>
        <v>0</v>
      </c>
      <c r="AC297">
        <f>N(AC296)+$AB297</f>
        <v>0</v>
      </c>
      <c r="AD297">
        <f>IF(AND($M297=1,LEFT(对接源_01水果!$D297,4)="成品出库"),1,0)</f>
        <v>0</v>
      </c>
      <c r="AE297">
        <f>N(AE296)+$AD297</f>
        <v>0</v>
      </c>
      <c r="AF297">
        <f>IF(AND($N297=1,AND(LEFT(对接源_01水果!$D297,4)="包装物料",N(对接源_01水果!$K297)&lt;&gt;0)),1,0)</f>
        <v>0</v>
      </c>
      <c r="AG297">
        <f>N(AG296)+$AF297</f>
        <v>0</v>
      </c>
      <c r="AH297">
        <f>IF(AND($N297=1,AND(对接源_01水果!$D297="周转筐－销售出库",N(对接源_01水果!$K297)&lt;&gt;0)),1,0)</f>
        <v>0</v>
      </c>
      <c r="AI297">
        <f>N(AI296)+$AH297</f>
        <v>0</v>
      </c>
      <c r="AJ297" s="7" t="n"/>
      <c r="AL297">
        <f>IF(OR($AL$1="",对接源_01水果!$Y297="",对接源_01水果!$Y297&lt;&gt;$AL$1,对接源_01水果!$B297="",N(对接源_01水果!$AJ297)&lt;=0),0,IF(OR(N(对接源_01水果!$B297)&lt;$AL$2,N(对接源_01水果!$B297)&gt;$AL$3),0,1))</f>
        <v>0</v>
      </c>
      <c r="AM297">
        <f>N(AM296)+$AL297</f>
        <v>0</v>
      </c>
      <c r="AN297">
        <f>IF(对接源_01水果!$AC297="","",对接源_01水果!$AC297)</f>
      </c>
      <c r="AO297">
        <f>IF(AN297="",0,IF(MATCH(AN297,$AN$4:$AN$1203,0)=ROW()-3,1,0))</f>
        <v>0</v>
      </c>
      <c r="AP297">
        <f>N(AP296)+$AO297</f>
        <v>0</v>
      </c>
      <c r="AR297">
        <f>IF(OR($AF297=1,$AH297=1),1,0)</f>
        <v>0</v>
      </c>
      <c r="AS297">
        <f>N(AS296)+$AR297</f>
        <v>0</v>
      </c>
    </row>
    <row r="298" ht="14.25" customHeight="1" s="127">
      <c r="A298" t="str">
        <f>IF(对接源_01水果!$C298="","",对接源_01水果!$C298)</f>
        <v>王灵云</v>
      </c>
      <c r="B298">
        <f>IF(A298="",0,IF(MATCH(A298,$A$4:$A$2403,0)=ROW()-3,1,0))</f>
        <v>0</v>
      </c>
      <c r="C298">
        <f>N(C297)+B298</f>
        <v>18</v>
      </c>
      <c r="E298">
        <f>IFERROR(INDEX($A$4:$A$2403,MATCH(ROW()-3,$C$4:$C$2403,0)),"")</f>
      </c>
      <c r="K298">
        <f>IF(OR($K$1="",对接源_01水果!$C298="",对接源_01水果!$C298&lt;&gt;$K$1,对接源_01水果!$B298=""),0,IF(OR(N(对接源_01水果!$B298)&lt;$K$2,N(对接源_01水果!$B298)&gt;$K$3),0,1))</f>
        <v>1</v>
      </c>
      <c r="L298">
        <f>IF(OR($L$1="",对接源_01水果!$C298="",对接源_01水果!$C298&lt;&gt;$L$1,对接源_01水果!$B298=""),0,IF(OR(N(对接源_01水果!$B298)&lt;$L$2,N(对接源_01水果!$B298)&gt;$L$3),0,1))</f>
        <v>0</v>
      </c>
      <c r="M298">
        <f>IF(OR($M$1="",对接源_01水果!$C298="",对接源_01水果!$C298&lt;&gt;$M$1,对接源_01水果!$B298=""),0,IF(OR(N(对接源_01水果!$B298)&lt;$M$2,N(对接源_01水果!$B298)&gt;$M$3),0,1))</f>
        <v>0</v>
      </c>
      <c r="N298">
        <f>IF(OR($N$1="",对接源_01水果!$C298="",对接源_01水果!$C298&lt;&gt;$N$1,对接源_01水果!$B298=""),0,IF(OR(N(对接源_01水果!$B298)&lt;$N$2,N(对接源_01水果!$B298)&gt;$N$3),0,1))</f>
        <v>0</v>
      </c>
      <c r="P298">
        <f>IF(AND($K298=1,AND(对接源_01水果!$X298="公司筐",N(对接源_01水果!$T298)&lt;&gt;0)),1,0)</f>
        <v>0</v>
      </c>
      <c r="Q298">
        <f>N(Q297)+$P298</f>
        <v>0</v>
      </c>
      <c r="R298">
        <f>IF(AND($K298=1,AND(对接源_01水果!$X298="公司筐",N(对接源_01水果!$U298)&lt;&gt;0)),1,0)</f>
        <v>0</v>
      </c>
      <c r="S298">
        <f>N(S297)+$R298</f>
        <v>0</v>
      </c>
      <c r="T298">
        <f>IF(AND($K298=1,AND(对接源_01水果!$X298="公司筐",N(对接源_01水果!$V298)&lt;&gt;0)),1,0)</f>
        <v>1</v>
      </c>
      <c r="U298">
        <f>N(U297)+$T298</f>
        <v>18</v>
      </c>
      <c r="V298">
        <f>IF(AND($L298=1,AND(对接源_01水果!$X298="自备筐",N(对接源_01水果!$V298)&lt;&gt;0)),1,0)</f>
        <v>0</v>
      </c>
      <c r="W298">
        <f>N(W297)+$V298</f>
        <v>8</v>
      </c>
      <c r="X298">
        <f>IF(AND($L298=1,AND(对接源_01水果!$X298="自备筐",N(对接源_01水果!$T298)&lt;&gt;0)),1,0)</f>
        <v>0</v>
      </c>
      <c r="Y298">
        <f>N(Y297)+$X298</f>
        <v>0</v>
      </c>
      <c r="Z298">
        <f>IF(AND($M298=1,对接源_01水果!$D298="原料入库"),1,0)</f>
        <v>0</v>
      </c>
      <c r="AA298">
        <f>N(AA297)+$Z298</f>
        <v>24</v>
      </c>
      <c r="AB298">
        <f>IF(AND($M298=1,LEFT(对接源_01水果!$D298,4)="原料出库"),1,0)</f>
        <v>0</v>
      </c>
      <c r="AC298">
        <f>N(AC297)+$AB298</f>
        <v>0</v>
      </c>
      <c r="AD298">
        <f>IF(AND($M298=1,LEFT(对接源_01水果!$D298,4)="成品出库"),1,0)</f>
        <v>0</v>
      </c>
      <c r="AE298">
        <f>N(AE297)+$AD298</f>
        <v>0</v>
      </c>
      <c r="AF298">
        <f>IF(AND($N298=1,AND(LEFT(对接源_01水果!$D298,4)="包装物料",N(对接源_01水果!$K298)&lt;&gt;0)),1,0)</f>
        <v>0</v>
      </c>
      <c r="AG298">
        <f>N(AG297)+$AF298</f>
        <v>0</v>
      </c>
      <c r="AH298">
        <f>IF(AND($N298=1,AND(对接源_01水果!$D298="周转筐－销售出库",N(对接源_01水果!$K298)&lt;&gt;0)),1,0)</f>
        <v>0</v>
      </c>
      <c r="AI298">
        <f>N(AI297)+$AH298</f>
        <v>0</v>
      </c>
      <c r="AJ298" s="7" t="n"/>
      <c r="AL298">
        <f>IF(OR($AL$1="",对接源_01水果!$Y298="",对接源_01水果!$Y298&lt;&gt;$AL$1,对接源_01水果!$B298="",N(对接源_01水果!$AJ298)&lt;=0),0,IF(OR(N(对接源_01水果!$B298)&lt;$AL$2,N(对接源_01水果!$B298)&gt;$AL$3),0,1))</f>
        <v>0</v>
      </c>
      <c r="AM298">
        <f>N(AM297)+$AL298</f>
        <v>0</v>
      </c>
      <c r="AN298">
        <f>IF(对接源_01水果!$AC298="","",对接源_01水果!$AC298)</f>
      </c>
      <c r="AO298">
        <f>IF(AN298="",0,IF(MATCH(AN298,$AN$4:$AN$1203,0)=ROW()-3,1,0))</f>
        <v>0</v>
      </c>
      <c r="AP298">
        <f>N(AP297)+$AO298</f>
        <v>0</v>
      </c>
      <c r="AR298">
        <f>IF(OR($AF298=1,$AH298=1),1,0)</f>
        <v>0</v>
      </c>
      <c r="AS298">
        <f>N(AS297)+$AR298</f>
        <v>0</v>
      </c>
    </row>
    <row r="299" ht="14.25" customHeight="1" s="127">
      <c r="A299" t="str">
        <f>IF(对接源_01水果!$C299="","",对接源_01水果!$C299)</f>
        <v>王灵云</v>
      </c>
      <c r="B299">
        <f>IF(A299="",0,IF(MATCH(A299,$A$4:$A$2403,0)=ROW()-3,1,0))</f>
        <v>0</v>
      </c>
      <c r="C299">
        <f>N(C298)+B299</f>
        <v>18</v>
      </c>
      <c r="E299">
        <f>IFERROR(INDEX($A$4:$A$2403,MATCH(ROW()-3,$C$4:$C$2403,0)),"")</f>
      </c>
      <c r="K299">
        <f>IF(OR($K$1="",对接源_01水果!$C299="",对接源_01水果!$C299&lt;&gt;$K$1,对接源_01水果!$B299=""),0,IF(OR(N(对接源_01水果!$B299)&lt;$K$2,N(对接源_01水果!$B299)&gt;$K$3),0,1))</f>
        <v>1</v>
      </c>
      <c r="L299">
        <f>IF(OR($L$1="",对接源_01水果!$C299="",对接源_01水果!$C299&lt;&gt;$L$1,对接源_01水果!$B299=""),0,IF(OR(N(对接源_01水果!$B299)&lt;$L$2,N(对接源_01水果!$B299)&gt;$L$3),0,1))</f>
        <v>0</v>
      </c>
      <c r="M299">
        <f>IF(OR($M$1="",对接源_01水果!$C299="",对接源_01水果!$C299&lt;&gt;$M$1,对接源_01水果!$B299=""),0,IF(OR(N(对接源_01水果!$B299)&lt;$M$2,N(对接源_01水果!$B299)&gt;$M$3),0,1))</f>
        <v>0</v>
      </c>
      <c r="N299">
        <f>IF(OR($N$1="",对接源_01水果!$C299="",对接源_01水果!$C299&lt;&gt;$N$1,对接源_01水果!$B299=""),0,IF(OR(N(对接源_01水果!$B299)&lt;$N$2,N(对接源_01水果!$B299)&gt;$N$3),0,1))</f>
        <v>0</v>
      </c>
      <c r="P299">
        <f>IF(AND($K299=1,AND(对接源_01水果!$X299="公司筐",N(对接源_01水果!$T299)&lt;&gt;0)),1,0)</f>
        <v>0</v>
      </c>
      <c r="Q299">
        <f>N(Q298)+$P299</f>
        <v>0</v>
      </c>
      <c r="R299">
        <f>IF(AND($K299=1,AND(对接源_01水果!$X299="公司筐",N(对接源_01水果!$U299)&lt;&gt;0)),1,0)</f>
        <v>0</v>
      </c>
      <c r="S299">
        <f>N(S298)+$R299</f>
        <v>0</v>
      </c>
      <c r="T299">
        <f>IF(AND($K299=1,AND(对接源_01水果!$X299="公司筐",N(对接源_01水果!$V299)&lt;&gt;0)),1,0)</f>
        <v>1</v>
      </c>
      <c r="U299">
        <f>N(U298)+$T299</f>
        <v>19</v>
      </c>
      <c r="V299">
        <f>IF(AND($L299=1,AND(对接源_01水果!$X299="自备筐",N(对接源_01水果!$V299)&lt;&gt;0)),1,0)</f>
        <v>0</v>
      </c>
      <c r="W299">
        <f>N(W298)+$V299</f>
        <v>8</v>
      </c>
      <c r="X299">
        <f>IF(AND($L299=1,AND(对接源_01水果!$X299="自备筐",N(对接源_01水果!$T299)&lt;&gt;0)),1,0)</f>
        <v>0</v>
      </c>
      <c r="Y299">
        <f>N(Y298)+$X299</f>
        <v>0</v>
      </c>
      <c r="Z299">
        <f>IF(AND($M299=1,对接源_01水果!$D299="原料入库"),1,0)</f>
        <v>0</v>
      </c>
      <c r="AA299">
        <f>N(AA298)+$Z299</f>
        <v>24</v>
      </c>
      <c r="AB299">
        <f>IF(AND($M299=1,LEFT(对接源_01水果!$D299,4)="原料出库"),1,0)</f>
        <v>0</v>
      </c>
      <c r="AC299">
        <f>N(AC298)+$AB299</f>
        <v>0</v>
      </c>
      <c r="AD299">
        <f>IF(AND($M299=1,LEFT(对接源_01水果!$D299,4)="成品出库"),1,0)</f>
        <v>0</v>
      </c>
      <c r="AE299">
        <f>N(AE298)+$AD299</f>
        <v>0</v>
      </c>
      <c r="AF299">
        <f>IF(AND($N299=1,AND(LEFT(对接源_01水果!$D299,4)="包装物料",N(对接源_01水果!$K299)&lt;&gt;0)),1,0)</f>
        <v>0</v>
      </c>
      <c r="AG299">
        <f>N(AG298)+$AF299</f>
        <v>0</v>
      </c>
      <c r="AH299">
        <f>IF(AND($N299=1,AND(对接源_01水果!$D299="周转筐－销售出库",N(对接源_01水果!$K299)&lt;&gt;0)),1,0)</f>
        <v>0</v>
      </c>
      <c r="AI299">
        <f>N(AI298)+$AH299</f>
        <v>0</v>
      </c>
      <c r="AJ299" s="7" t="n"/>
      <c r="AL299">
        <f>IF(OR($AL$1="",对接源_01水果!$Y299="",对接源_01水果!$Y299&lt;&gt;$AL$1,对接源_01水果!$B299="",N(对接源_01水果!$AJ299)&lt;=0),0,IF(OR(N(对接源_01水果!$B299)&lt;$AL$2,N(对接源_01水果!$B299)&gt;$AL$3),0,1))</f>
        <v>0</v>
      </c>
      <c r="AM299">
        <f>N(AM298)+$AL299</f>
        <v>0</v>
      </c>
      <c r="AN299">
        <f>IF(对接源_01水果!$AC299="","",对接源_01水果!$AC299)</f>
      </c>
      <c r="AO299">
        <f>IF(AN299="",0,IF(MATCH(AN299,$AN$4:$AN$1203,0)=ROW()-3,1,0))</f>
        <v>0</v>
      </c>
      <c r="AP299">
        <f>N(AP298)+$AO299</f>
        <v>0</v>
      </c>
      <c r="AR299">
        <f>IF(OR($AF299=1,$AH299=1),1,0)</f>
        <v>0</v>
      </c>
      <c r="AS299">
        <f>N(AS298)+$AR299</f>
        <v>0</v>
      </c>
    </row>
    <row r="300" ht="14.25" customHeight="1" s="127">
      <c r="A300" t="str">
        <f>IF(对接源_01水果!$C300="","",对接源_01水果!$C300)</f>
        <v>王照雪</v>
      </c>
      <c r="B300">
        <f>IF(A300="",0,IF(MATCH(A300,$A$4:$A$2403,0)=ROW()-3,1,0))</f>
        <v>0</v>
      </c>
      <c r="C300">
        <f>N(C299)+B300</f>
        <v>18</v>
      </c>
      <c r="E300">
        <f>IFERROR(INDEX($A$4:$A$2403,MATCH(ROW()-3,$C$4:$C$2403,0)),"")</f>
      </c>
      <c r="K300">
        <f>IF(OR($K$1="",对接源_01水果!$C300="",对接源_01水果!$C300&lt;&gt;$K$1,对接源_01水果!$B300=""),0,IF(OR(N(对接源_01水果!$B300)&lt;$K$2,N(对接源_01水果!$B300)&gt;$K$3),0,1))</f>
        <v>0</v>
      </c>
      <c r="L300">
        <f>IF(OR($L$1="",对接源_01水果!$C300="",对接源_01水果!$C300&lt;&gt;$L$1,对接源_01水果!$B300=""),0,IF(OR(N(对接源_01水果!$B300)&lt;$L$2,N(对接源_01水果!$B300)&gt;$L$3),0,1))</f>
        <v>0</v>
      </c>
      <c r="M300">
        <f>IF(OR($M$1="",对接源_01水果!$C300="",对接源_01水果!$C300&lt;&gt;$M$1,对接源_01水果!$B300=""),0,IF(OR(N(对接源_01水果!$B300)&lt;$M$2,N(对接源_01水果!$B300)&gt;$M$3),0,1))</f>
        <v>0</v>
      </c>
      <c r="N300">
        <f>IF(OR($N$1="",对接源_01水果!$C300="",对接源_01水果!$C300&lt;&gt;$N$1,对接源_01水果!$B300=""),0,IF(OR(N(对接源_01水果!$B300)&lt;$N$2,N(对接源_01水果!$B300)&gt;$N$3),0,1))</f>
        <v>0</v>
      </c>
      <c r="P300">
        <f>IF(AND($K300=1,AND(对接源_01水果!$X300="公司筐",N(对接源_01水果!$T300)&lt;&gt;0)),1,0)</f>
        <v>0</v>
      </c>
      <c r="Q300">
        <f>N(Q299)+$P300</f>
        <v>0</v>
      </c>
      <c r="R300">
        <f>IF(AND($K300=1,AND(对接源_01水果!$X300="公司筐",N(对接源_01水果!$U300)&lt;&gt;0)),1,0)</f>
        <v>0</v>
      </c>
      <c r="S300">
        <f>N(S299)+$R300</f>
        <v>0</v>
      </c>
      <c r="T300">
        <f>IF(AND($K300=1,AND(对接源_01水果!$X300="公司筐",N(对接源_01水果!$V300)&lt;&gt;0)),1,0)</f>
        <v>0</v>
      </c>
      <c r="U300">
        <f>N(U299)+$T300</f>
        <v>19</v>
      </c>
      <c r="V300">
        <f>IF(AND($L300=1,AND(对接源_01水果!$X300="自备筐",N(对接源_01水果!$V300)&lt;&gt;0)),1,0)</f>
        <v>0</v>
      </c>
      <c r="W300">
        <f>N(W299)+$V300</f>
        <v>8</v>
      </c>
      <c r="X300">
        <f>IF(AND($L300=1,AND(对接源_01水果!$X300="自备筐",N(对接源_01水果!$T300)&lt;&gt;0)),1,0)</f>
        <v>0</v>
      </c>
      <c r="Y300">
        <f>N(Y299)+$X300</f>
        <v>0</v>
      </c>
      <c r="Z300">
        <f>IF(AND($M300=1,对接源_01水果!$D300="原料入库"),1,0)</f>
        <v>0</v>
      </c>
      <c r="AA300">
        <f>N(AA299)+$Z300</f>
        <v>24</v>
      </c>
      <c r="AB300">
        <f>IF(AND($M300=1,LEFT(对接源_01水果!$D300,4)="原料出库"),1,0)</f>
        <v>0</v>
      </c>
      <c r="AC300">
        <f>N(AC299)+$AB300</f>
        <v>0</v>
      </c>
      <c r="AD300">
        <f>IF(AND($M300=1,LEFT(对接源_01水果!$D300,4)="成品出库"),1,0)</f>
        <v>0</v>
      </c>
      <c r="AE300">
        <f>N(AE299)+$AD300</f>
        <v>0</v>
      </c>
      <c r="AF300">
        <f>IF(AND($N300=1,AND(LEFT(对接源_01水果!$D300,4)="包装物料",N(对接源_01水果!$K300)&lt;&gt;0)),1,0)</f>
        <v>0</v>
      </c>
      <c r="AG300">
        <f>N(AG299)+$AF300</f>
        <v>0</v>
      </c>
      <c r="AH300">
        <f>IF(AND($N300=1,AND(对接源_01水果!$D300="周转筐－销售出库",N(对接源_01水果!$K300)&lt;&gt;0)),1,0)</f>
        <v>0</v>
      </c>
      <c r="AI300">
        <f>N(AI299)+$AH300</f>
        <v>0</v>
      </c>
      <c r="AJ300" s="7" t="n"/>
      <c r="AL300">
        <f>IF(OR($AL$1="",对接源_01水果!$Y300="",对接源_01水果!$Y300&lt;&gt;$AL$1,对接源_01水果!$B300="",N(对接源_01水果!$AJ300)&lt;=0),0,IF(OR(N(对接源_01水果!$B300)&lt;$AL$2,N(对接源_01水果!$B300)&gt;$AL$3),0,1))</f>
        <v>0</v>
      </c>
      <c r="AM300">
        <f>N(AM299)+$AL300</f>
        <v>0</v>
      </c>
      <c r="AN300">
        <f>IF(对接源_01水果!$AC300="","",对接源_01水果!$AC300)</f>
      </c>
      <c r="AO300">
        <f>IF(AN300="",0,IF(MATCH(AN300,$AN$4:$AN$1203,0)=ROW()-3,1,0))</f>
        <v>0</v>
      </c>
      <c r="AP300">
        <f>N(AP299)+$AO300</f>
        <v>0</v>
      </c>
      <c r="AR300">
        <f>IF(OR($AF300=1,$AH300=1),1,0)</f>
        <v>0</v>
      </c>
      <c r="AS300">
        <f>N(AS299)+$AR300</f>
        <v>0</v>
      </c>
    </row>
    <row r="301" ht="14.25" customHeight="1" s="127">
      <c r="A301" t="str">
        <f>IF(对接源_01水果!$C301="","",对接源_01水果!$C301)</f>
        <v>王照雪</v>
      </c>
      <c r="B301">
        <f>IF(A301="",0,IF(MATCH(A301,$A$4:$A$2403,0)=ROW()-3,1,0))</f>
        <v>0</v>
      </c>
      <c r="C301">
        <f>N(C300)+B301</f>
        <v>18</v>
      </c>
      <c r="E301">
        <f>IFERROR(INDEX($A$4:$A$2403,MATCH(ROW()-3,$C$4:$C$2403,0)),"")</f>
      </c>
      <c r="K301">
        <f>IF(OR($K$1="",对接源_01水果!$C301="",对接源_01水果!$C301&lt;&gt;$K$1,对接源_01水果!$B301=""),0,IF(OR(N(对接源_01水果!$B301)&lt;$K$2,N(对接源_01水果!$B301)&gt;$K$3),0,1))</f>
        <v>0</v>
      </c>
      <c r="L301">
        <f>IF(OR($L$1="",对接源_01水果!$C301="",对接源_01水果!$C301&lt;&gt;$L$1,对接源_01水果!$B301=""),0,IF(OR(N(对接源_01水果!$B301)&lt;$L$2,N(对接源_01水果!$B301)&gt;$L$3),0,1))</f>
        <v>0</v>
      </c>
      <c r="M301">
        <f>IF(OR($M$1="",对接源_01水果!$C301="",对接源_01水果!$C301&lt;&gt;$M$1,对接源_01水果!$B301=""),0,IF(OR(N(对接源_01水果!$B301)&lt;$M$2,N(对接源_01水果!$B301)&gt;$M$3),0,1))</f>
        <v>0</v>
      </c>
      <c r="N301">
        <f>IF(OR($N$1="",对接源_01水果!$C301="",对接源_01水果!$C301&lt;&gt;$N$1,对接源_01水果!$B301=""),0,IF(OR(N(对接源_01水果!$B301)&lt;$N$2,N(对接源_01水果!$B301)&gt;$N$3),0,1))</f>
        <v>0</v>
      </c>
      <c r="P301">
        <f>IF(AND($K301=1,AND(对接源_01水果!$X301="公司筐",N(对接源_01水果!$T301)&lt;&gt;0)),1,0)</f>
        <v>0</v>
      </c>
      <c r="Q301">
        <f>N(Q300)+$P301</f>
        <v>0</v>
      </c>
      <c r="R301">
        <f>IF(AND($K301=1,AND(对接源_01水果!$X301="公司筐",N(对接源_01水果!$U301)&lt;&gt;0)),1,0)</f>
        <v>0</v>
      </c>
      <c r="S301">
        <f>N(S300)+$R301</f>
        <v>0</v>
      </c>
      <c r="T301">
        <f>IF(AND($K301=1,AND(对接源_01水果!$X301="公司筐",N(对接源_01水果!$V301)&lt;&gt;0)),1,0)</f>
        <v>0</v>
      </c>
      <c r="U301">
        <f>N(U300)+$T301</f>
        <v>19</v>
      </c>
      <c r="V301">
        <f>IF(AND($L301=1,AND(对接源_01水果!$X301="自备筐",N(对接源_01水果!$V301)&lt;&gt;0)),1,0)</f>
        <v>0</v>
      </c>
      <c r="W301">
        <f>N(W300)+$V301</f>
        <v>8</v>
      </c>
      <c r="X301">
        <f>IF(AND($L301=1,AND(对接源_01水果!$X301="自备筐",N(对接源_01水果!$T301)&lt;&gt;0)),1,0)</f>
        <v>0</v>
      </c>
      <c r="Y301">
        <f>N(Y300)+$X301</f>
        <v>0</v>
      </c>
      <c r="Z301">
        <f>IF(AND($M301=1,对接源_01水果!$D301="原料入库"),1,0)</f>
        <v>0</v>
      </c>
      <c r="AA301">
        <f>N(AA300)+$Z301</f>
        <v>24</v>
      </c>
      <c r="AB301">
        <f>IF(AND($M301=1,LEFT(对接源_01水果!$D301,4)="原料出库"),1,0)</f>
        <v>0</v>
      </c>
      <c r="AC301">
        <f>N(AC300)+$AB301</f>
        <v>0</v>
      </c>
      <c r="AD301">
        <f>IF(AND($M301=1,LEFT(对接源_01水果!$D301,4)="成品出库"),1,0)</f>
        <v>0</v>
      </c>
      <c r="AE301">
        <f>N(AE300)+$AD301</f>
        <v>0</v>
      </c>
      <c r="AF301">
        <f>IF(AND($N301=1,AND(LEFT(对接源_01水果!$D301,4)="包装物料",N(对接源_01水果!$K301)&lt;&gt;0)),1,0)</f>
        <v>0</v>
      </c>
      <c r="AG301">
        <f>N(AG300)+$AF301</f>
        <v>0</v>
      </c>
      <c r="AH301">
        <f>IF(AND($N301=1,AND(对接源_01水果!$D301="周转筐－销售出库",N(对接源_01水果!$K301)&lt;&gt;0)),1,0)</f>
        <v>0</v>
      </c>
      <c r="AI301">
        <f>N(AI300)+$AH301</f>
        <v>0</v>
      </c>
      <c r="AJ301" s="7" t="n"/>
      <c r="AL301">
        <f>IF(OR($AL$1="",对接源_01水果!$Y301="",对接源_01水果!$Y301&lt;&gt;$AL$1,对接源_01水果!$B301="",N(对接源_01水果!$AJ301)&lt;=0),0,IF(OR(N(对接源_01水果!$B301)&lt;$AL$2,N(对接源_01水果!$B301)&gt;$AL$3),0,1))</f>
        <v>0</v>
      </c>
      <c r="AM301">
        <f>N(AM300)+$AL301</f>
        <v>0</v>
      </c>
      <c r="AN301">
        <f>IF(对接源_01水果!$AC301="","",对接源_01水果!$AC301)</f>
      </c>
      <c r="AO301">
        <f>IF(AN301="",0,IF(MATCH(AN301,$AN$4:$AN$1203,0)=ROW()-3,1,0))</f>
        <v>0</v>
      </c>
      <c r="AP301">
        <f>N(AP300)+$AO301</f>
        <v>0</v>
      </c>
      <c r="AR301">
        <f>IF(OR($AF301=1,$AH301=1),1,0)</f>
        <v>0</v>
      </c>
      <c r="AS301">
        <f>N(AS300)+$AR301</f>
        <v>0</v>
      </c>
    </row>
    <row r="302" ht="14.25" customHeight="1" s="127">
      <c r="A302" t="str">
        <f>IF(对接源_01水果!$C302="","",对接源_01水果!$C302)</f>
        <v>王浩</v>
      </c>
      <c r="B302">
        <f>IF(A302="",0,IF(MATCH(A302,$A$4:$A$2403,0)=ROW()-3,1,0))</f>
        <v>0</v>
      </c>
      <c r="C302">
        <f>N(C301)+B302</f>
        <v>18</v>
      </c>
      <c r="E302">
        <f>IFERROR(INDEX($A$4:$A$2403,MATCH(ROW()-3,$C$4:$C$2403,0)),"")</f>
      </c>
      <c r="K302">
        <f>IF(OR($K$1="",对接源_01水果!$C302="",对接源_01水果!$C302&lt;&gt;$K$1,对接源_01水果!$B302=""),0,IF(OR(N(对接源_01水果!$B302)&lt;$K$2,N(对接源_01水果!$B302)&gt;$K$3),0,1))</f>
        <v>0</v>
      </c>
      <c r="L302">
        <f>IF(OR($L$1="",对接源_01水果!$C302="",对接源_01水果!$C302&lt;&gt;$L$1,对接源_01水果!$B302=""),0,IF(OR(N(对接源_01水果!$B302)&lt;$L$2,N(对接源_01水果!$B302)&gt;$L$3),0,1))</f>
        <v>0</v>
      </c>
      <c r="M302">
        <f>IF(OR($M$1="",对接源_01水果!$C302="",对接源_01水果!$C302&lt;&gt;$M$1,对接源_01水果!$B302=""),0,IF(OR(N(对接源_01水果!$B302)&lt;$M$2,N(对接源_01水果!$B302)&gt;$M$3),0,1))</f>
        <v>0</v>
      </c>
      <c r="N302">
        <f>IF(OR($N$1="",对接源_01水果!$C302="",对接源_01水果!$C302&lt;&gt;$N$1,对接源_01水果!$B302=""),0,IF(OR(N(对接源_01水果!$B302)&lt;$N$2,N(对接源_01水果!$B302)&gt;$N$3),0,1))</f>
        <v>0</v>
      </c>
      <c r="P302">
        <f>IF(AND($K302=1,AND(对接源_01水果!$X302="公司筐",N(对接源_01水果!$T302)&lt;&gt;0)),1,0)</f>
        <v>0</v>
      </c>
      <c r="Q302">
        <f>N(Q301)+$P302</f>
        <v>0</v>
      </c>
      <c r="R302">
        <f>IF(AND($K302=1,AND(对接源_01水果!$X302="公司筐",N(对接源_01水果!$U302)&lt;&gt;0)),1,0)</f>
        <v>0</v>
      </c>
      <c r="S302">
        <f>N(S301)+$R302</f>
        <v>0</v>
      </c>
      <c r="T302">
        <f>IF(AND($K302=1,AND(对接源_01水果!$X302="公司筐",N(对接源_01水果!$V302)&lt;&gt;0)),1,0)</f>
        <v>0</v>
      </c>
      <c r="U302">
        <f>N(U301)+$T302</f>
        <v>19</v>
      </c>
      <c r="V302">
        <f>IF(AND($L302=1,AND(对接源_01水果!$X302="自备筐",N(对接源_01水果!$V302)&lt;&gt;0)),1,0)</f>
        <v>0</v>
      </c>
      <c r="W302">
        <f>N(W301)+$V302</f>
        <v>8</v>
      </c>
      <c r="X302">
        <f>IF(AND($L302=1,AND(对接源_01水果!$X302="自备筐",N(对接源_01水果!$T302)&lt;&gt;0)),1,0)</f>
        <v>0</v>
      </c>
      <c r="Y302">
        <f>N(Y301)+$X302</f>
        <v>0</v>
      </c>
      <c r="Z302">
        <f>IF(AND($M302=1,对接源_01水果!$D302="原料入库"),1,0)</f>
        <v>0</v>
      </c>
      <c r="AA302">
        <f>N(AA301)+$Z302</f>
        <v>24</v>
      </c>
      <c r="AB302">
        <f>IF(AND($M302=1,LEFT(对接源_01水果!$D302,4)="原料出库"),1,0)</f>
        <v>0</v>
      </c>
      <c r="AC302">
        <f>N(AC301)+$AB302</f>
        <v>0</v>
      </c>
      <c r="AD302">
        <f>IF(AND($M302=1,LEFT(对接源_01水果!$D302,4)="成品出库"),1,0)</f>
        <v>0</v>
      </c>
      <c r="AE302">
        <f>N(AE301)+$AD302</f>
        <v>0</v>
      </c>
      <c r="AF302">
        <f>IF(AND($N302=1,AND(LEFT(对接源_01水果!$D302,4)="包装物料",N(对接源_01水果!$K302)&lt;&gt;0)),1,0)</f>
        <v>0</v>
      </c>
      <c r="AG302">
        <f>N(AG301)+$AF302</f>
        <v>0</v>
      </c>
      <c r="AH302">
        <f>IF(AND($N302=1,AND(对接源_01水果!$D302="周转筐－销售出库",N(对接源_01水果!$K302)&lt;&gt;0)),1,0)</f>
        <v>0</v>
      </c>
      <c r="AI302">
        <f>N(AI301)+$AH302</f>
        <v>0</v>
      </c>
      <c r="AJ302" s="7" t="n"/>
      <c r="AL302">
        <f>IF(OR($AL$1="",对接源_01水果!$Y302="",对接源_01水果!$Y302&lt;&gt;$AL$1,对接源_01水果!$B302="",N(对接源_01水果!$AJ302)&lt;=0),0,IF(OR(N(对接源_01水果!$B302)&lt;$AL$2,N(对接源_01水果!$B302)&gt;$AL$3),0,1))</f>
        <v>0</v>
      </c>
      <c r="AM302">
        <f>N(AM301)+$AL302</f>
        <v>0</v>
      </c>
      <c r="AN302">
        <f>IF(对接源_01水果!$AC302="","",对接源_01水果!$AC302)</f>
      </c>
      <c r="AO302">
        <f>IF(AN302="",0,IF(MATCH(AN302,$AN$4:$AN$1203,0)=ROW()-3,1,0))</f>
        <v>0</v>
      </c>
      <c r="AP302">
        <f>N(AP301)+$AO302</f>
        <v>0</v>
      </c>
      <c r="AR302">
        <f>IF(OR($AF302=1,$AH302=1),1,0)</f>
        <v>0</v>
      </c>
      <c r="AS302">
        <f>N(AS301)+$AR302</f>
        <v>0</v>
      </c>
    </row>
    <row r="303" ht="14.25" customHeight="1" s="127">
      <c r="A303" t="str">
        <f>IF(对接源_01水果!$C303="","",对接源_01水果!$C303)</f>
        <v>王浩</v>
      </c>
      <c r="B303">
        <f>IF(A303="",0,IF(MATCH(A303,$A$4:$A$2403,0)=ROW()-3,1,0))</f>
        <v>0</v>
      </c>
      <c r="C303">
        <f>N(C302)+B303</f>
        <v>18</v>
      </c>
      <c r="E303">
        <f>IFERROR(INDEX($A$4:$A$2403,MATCH(ROW()-3,$C$4:$C$2403,0)),"")</f>
      </c>
      <c r="K303">
        <f>IF(OR($K$1="",对接源_01水果!$C303="",对接源_01水果!$C303&lt;&gt;$K$1,对接源_01水果!$B303=""),0,IF(OR(N(对接源_01水果!$B303)&lt;$K$2,N(对接源_01水果!$B303)&gt;$K$3),0,1))</f>
        <v>0</v>
      </c>
      <c r="L303">
        <f>IF(OR($L$1="",对接源_01水果!$C303="",对接源_01水果!$C303&lt;&gt;$L$1,对接源_01水果!$B303=""),0,IF(OR(N(对接源_01水果!$B303)&lt;$L$2,N(对接源_01水果!$B303)&gt;$L$3),0,1))</f>
        <v>0</v>
      </c>
      <c r="M303">
        <f>IF(OR($M$1="",对接源_01水果!$C303="",对接源_01水果!$C303&lt;&gt;$M$1,对接源_01水果!$B303=""),0,IF(OR(N(对接源_01水果!$B303)&lt;$M$2,N(对接源_01水果!$B303)&gt;$M$3),0,1))</f>
        <v>0</v>
      </c>
      <c r="N303">
        <f>IF(OR($N$1="",对接源_01水果!$C303="",对接源_01水果!$C303&lt;&gt;$N$1,对接源_01水果!$B303=""),0,IF(OR(N(对接源_01水果!$B303)&lt;$N$2,N(对接源_01水果!$B303)&gt;$N$3),0,1))</f>
        <v>0</v>
      </c>
      <c r="P303">
        <f>IF(AND($K303=1,AND(对接源_01水果!$X303="公司筐",N(对接源_01水果!$T303)&lt;&gt;0)),1,0)</f>
        <v>0</v>
      </c>
      <c r="Q303">
        <f>N(Q302)+$P303</f>
        <v>0</v>
      </c>
      <c r="R303">
        <f>IF(AND($K303=1,AND(对接源_01水果!$X303="公司筐",N(对接源_01水果!$U303)&lt;&gt;0)),1,0)</f>
        <v>0</v>
      </c>
      <c r="S303">
        <f>N(S302)+$R303</f>
        <v>0</v>
      </c>
      <c r="T303">
        <f>IF(AND($K303=1,AND(对接源_01水果!$X303="公司筐",N(对接源_01水果!$V303)&lt;&gt;0)),1,0)</f>
        <v>0</v>
      </c>
      <c r="U303">
        <f>N(U302)+$T303</f>
        <v>19</v>
      </c>
      <c r="V303">
        <f>IF(AND($L303=1,AND(对接源_01水果!$X303="自备筐",N(对接源_01水果!$V303)&lt;&gt;0)),1,0)</f>
        <v>0</v>
      </c>
      <c r="W303">
        <f>N(W302)+$V303</f>
        <v>8</v>
      </c>
      <c r="X303">
        <f>IF(AND($L303=1,AND(对接源_01水果!$X303="自备筐",N(对接源_01水果!$T303)&lt;&gt;0)),1,0)</f>
        <v>0</v>
      </c>
      <c r="Y303">
        <f>N(Y302)+$X303</f>
        <v>0</v>
      </c>
      <c r="Z303">
        <f>IF(AND($M303=1,对接源_01水果!$D303="原料入库"),1,0)</f>
        <v>0</v>
      </c>
      <c r="AA303">
        <f>N(AA302)+$Z303</f>
        <v>24</v>
      </c>
      <c r="AB303">
        <f>IF(AND($M303=1,LEFT(对接源_01水果!$D303,4)="原料出库"),1,0)</f>
        <v>0</v>
      </c>
      <c r="AC303">
        <f>N(AC302)+$AB303</f>
        <v>0</v>
      </c>
      <c r="AD303">
        <f>IF(AND($M303=1,LEFT(对接源_01水果!$D303,4)="成品出库"),1,0)</f>
        <v>0</v>
      </c>
      <c r="AE303">
        <f>N(AE302)+$AD303</f>
        <v>0</v>
      </c>
      <c r="AF303">
        <f>IF(AND($N303=1,AND(LEFT(对接源_01水果!$D303,4)="包装物料",N(对接源_01水果!$K303)&lt;&gt;0)),1,0)</f>
        <v>0</v>
      </c>
      <c r="AG303">
        <f>N(AG302)+$AF303</f>
        <v>0</v>
      </c>
      <c r="AH303">
        <f>IF(AND($N303=1,AND(对接源_01水果!$D303="周转筐－销售出库",N(对接源_01水果!$K303)&lt;&gt;0)),1,0)</f>
        <v>0</v>
      </c>
      <c r="AI303">
        <f>N(AI302)+$AH303</f>
        <v>0</v>
      </c>
      <c r="AJ303" s="7" t="n"/>
      <c r="AL303">
        <f>IF(OR($AL$1="",对接源_01水果!$Y303="",对接源_01水果!$Y303&lt;&gt;$AL$1,对接源_01水果!$B303="",N(对接源_01水果!$AJ303)&lt;=0),0,IF(OR(N(对接源_01水果!$B303)&lt;$AL$2,N(对接源_01水果!$B303)&gt;$AL$3),0,1))</f>
        <v>0</v>
      </c>
      <c r="AM303">
        <f>N(AM302)+$AL303</f>
        <v>0</v>
      </c>
      <c r="AN303">
        <f>IF(对接源_01水果!$AC303="","",对接源_01水果!$AC303)</f>
      </c>
      <c r="AO303">
        <f>IF(AN303="",0,IF(MATCH(AN303,$AN$4:$AN$1203,0)=ROW()-3,1,0))</f>
        <v>0</v>
      </c>
      <c r="AP303">
        <f>N(AP302)+$AO303</f>
        <v>0</v>
      </c>
      <c r="AR303">
        <f>IF(OR($AF303=1,$AH303=1),1,0)</f>
        <v>0</v>
      </c>
      <c r="AS303">
        <f>N(AS302)+$AR303</f>
        <v>0</v>
      </c>
    </row>
    <row r="304" ht="14.25" customHeight="1" s="127">
      <c r="A304" t="str">
        <f>IF(对接源_01水果!$C304="","",对接源_01水果!$C304)</f>
        <v>王照雪</v>
      </c>
      <c r="B304">
        <f>IF(A304="",0,IF(MATCH(A304,$A$4:$A$2403,0)=ROW()-3,1,0))</f>
        <v>0</v>
      </c>
      <c r="C304">
        <f>N(C303)+B304</f>
        <v>18</v>
      </c>
      <c r="K304">
        <f>IF(OR($K$1="",对接源_01水果!$C304="",对接源_01水果!$C304&lt;&gt;$K$1,对接源_01水果!$B304=""),0,IF(OR(N(对接源_01水果!$B304)&lt;$K$2,N(对接源_01水果!$B304)&gt;$K$3),0,1))</f>
        <v>0</v>
      </c>
      <c r="L304">
        <f>IF(OR($L$1="",对接源_01水果!$C304="",对接源_01水果!$C304&lt;&gt;$L$1,对接源_01水果!$B304=""),0,IF(OR(N(对接源_01水果!$B304)&lt;$L$2,N(对接源_01水果!$B304)&gt;$L$3),0,1))</f>
        <v>0</v>
      </c>
      <c r="M304">
        <f>IF(OR($M$1="",对接源_01水果!$C304="",对接源_01水果!$C304&lt;&gt;$M$1,对接源_01水果!$B304=""),0,IF(OR(N(对接源_01水果!$B304)&lt;$M$2,N(对接源_01水果!$B304)&gt;$M$3),0,1))</f>
        <v>0</v>
      </c>
      <c r="N304">
        <f>IF(OR($N$1="",对接源_01水果!$C304="",对接源_01水果!$C304&lt;&gt;$N$1,对接源_01水果!$B304=""),0,IF(OR(N(对接源_01水果!$B304)&lt;$N$2,N(对接源_01水果!$B304)&gt;$N$3),0,1))</f>
        <v>0</v>
      </c>
      <c r="P304">
        <f>IF(AND($K304=1,AND(对接源_01水果!$X304="公司筐",N(对接源_01水果!$T304)&lt;&gt;0)),1,0)</f>
        <v>0</v>
      </c>
      <c r="Q304">
        <f>N(Q303)+$P304</f>
        <v>0</v>
      </c>
      <c r="R304">
        <f>IF(AND($K304=1,AND(对接源_01水果!$X304="公司筐",N(对接源_01水果!$U304)&lt;&gt;0)),1,0)</f>
        <v>0</v>
      </c>
      <c r="S304">
        <f>N(S303)+$R304</f>
        <v>0</v>
      </c>
      <c r="T304">
        <f>IF(AND($K304=1,AND(对接源_01水果!$X304="公司筐",N(对接源_01水果!$V304)&lt;&gt;0)),1,0)</f>
        <v>0</v>
      </c>
      <c r="U304">
        <f>N(U303)+$T304</f>
        <v>19</v>
      </c>
      <c r="V304">
        <f>IF(AND($L304=1,AND(对接源_01水果!$X304="自备筐",N(对接源_01水果!$V304)&lt;&gt;0)),1,0)</f>
        <v>0</v>
      </c>
      <c r="W304">
        <f>N(W303)+$V304</f>
        <v>8</v>
      </c>
      <c r="X304">
        <f>IF(AND($L304=1,AND(对接源_01水果!$X304="自备筐",N(对接源_01水果!$T304)&lt;&gt;0)),1,0)</f>
        <v>0</v>
      </c>
      <c r="Y304">
        <f>N(Y303)+$X304</f>
        <v>0</v>
      </c>
      <c r="Z304">
        <f>IF(AND($M304=1,对接源_01水果!$D304="原料入库"),1,0)</f>
        <v>0</v>
      </c>
      <c r="AA304">
        <f>N(AA303)+$Z304</f>
        <v>24</v>
      </c>
      <c r="AB304">
        <f>IF(AND($M304=1,LEFT(对接源_01水果!$D304,4)="原料出库"),1,0)</f>
        <v>0</v>
      </c>
      <c r="AC304">
        <f>N(AC303)+$AB304</f>
        <v>0</v>
      </c>
      <c r="AD304">
        <f>IF(AND($M304=1,LEFT(对接源_01水果!$D304,4)="成品出库"),1,0)</f>
        <v>0</v>
      </c>
      <c r="AE304">
        <f>N(AE303)+$AD304</f>
        <v>0</v>
      </c>
      <c r="AF304">
        <f>IF(AND($N304=1,AND(LEFT(对接源_01水果!$D304,4)="包装物料",N(对接源_01水果!$K304)&lt;&gt;0)),1,0)</f>
        <v>0</v>
      </c>
      <c r="AG304">
        <f>N(AG303)+$AF304</f>
        <v>0</v>
      </c>
      <c r="AH304">
        <f>IF(AND($N304=1,AND(对接源_01水果!$D304="周转筐－销售出库",N(对接源_01水果!$K304)&lt;&gt;0)),1,0)</f>
        <v>0</v>
      </c>
      <c r="AI304">
        <f>N(AI303)+$AH304</f>
        <v>0</v>
      </c>
      <c r="AJ304" s="7" t="n"/>
      <c r="AL304">
        <f>IF(OR($AL$1="",对接源_01水果!$Y304="",对接源_01水果!$Y304&lt;&gt;$AL$1,对接源_01水果!$B304="",N(对接源_01水果!$AJ304)&lt;=0),0,IF(OR(N(对接源_01水果!$B304)&lt;$AL$2,N(对接源_01水果!$B304)&gt;$AL$3),0,1))</f>
        <v>0</v>
      </c>
      <c r="AM304">
        <f>N(AM303)+$AL304</f>
        <v>0</v>
      </c>
      <c r="AN304">
        <f>IF(对接源_01水果!$AC304="","",对接源_01水果!$AC304)</f>
      </c>
      <c r="AO304">
        <f>IF(AN304="",0,IF(MATCH(AN304,$AN$4:$AN$1203,0)=ROW()-3,1,0))</f>
        <v>0</v>
      </c>
      <c r="AP304">
        <f>N(AP303)+$AO304</f>
        <v>0</v>
      </c>
      <c r="AR304">
        <f>IF(OR($AF304=1,$AH304=1),1,0)</f>
        <v>0</v>
      </c>
      <c r="AS304">
        <f>N(AS303)+$AR304</f>
        <v>0</v>
      </c>
    </row>
    <row r="305" ht="14.25" customHeight="1" s="127">
      <c r="A305" t="str">
        <f>IF(对接源_01水果!$C305="","",对接源_01水果!$C305)</f>
        <v>王照雪</v>
      </c>
      <c r="B305">
        <f>IF(A305="",0,IF(MATCH(A305,$A$4:$A$2403,0)=ROW()-3,1,0))</f>
        <v>0</v>
      </c>
      <c r="C305">
        <f>N(C304)+B305</f>
        <v>18</v>
      </c>
      <c r="K305">
        <f>IF(OR($K$1="",对接源_01水果!$C305="",对接源_01水果!$C305&lt;&gt;$K$1,对接源_01水果!$B305=""),0,IF(OR(N(对接源_01水果!$B305)&lt;$K$2,N(对接源_01水果!$B305)&gt;$K$3),0,1))</f>
        <v>0</v>
      </c>
      <c r="L305">
        <f>IF(OR($L$1="",对接源_01水果!$C305="",对接源_01水果!$C305&lt;&gt;$L$1,对接源_01水果!$B305=""),0,IF(OR(N(对接源_01水果!$B305)&lt;$L$2,N(对接源_01水果!$B305)&gt;$L$3),0,1))</f>
        <v>0</v>
      </c>
      <c r="M305">
        <f>IF(OR($M$1="",对接源_01水果!$C305="",对接源_01水果!$C305&lt;&gt;$M$1,对接源_01水果!$B305=""),0,IF(OR(N(对接源_01水果!$B305)&lt;$M$2,N(对接源_01水果!$B305)&gt;$M$3),0,1))</f>
        <v>0</v>
      </c>
      <c r="N305">
        <f>IF(OR($N$1="",对接源_01水果!$C305="",对接源_01水果!$C305&lt;&gt;$N$1,对接源_01水果!$B305=""),0,IF(OR(N(对接源_01水果!$B305)&lt;$N$2,N(对接源_01水果!$B305)&gt;$N$3),0,1))</f>
        <v>0</v>
      </c>
      <c r="P305">
        <f>IF(AND($K305=1,AND(对接源_01水果!$X305="公司筐",N(对接源_01水果!$T305)&lt;&gt;0)),1,0)</f>
        <v>0</v>
      </c>
      <c r="Q305">
        <f>N(Q304)+$P305</f>
        <v>0</v>
      </c>
      <c r="R305">
        <f>IF(AND($K305=1,AND(对接源_01水果!$X305="公司筐",N(对接源_01水果!$U305)&lt;&gt;0)),1,0)</f>
        <v>0</v>
      </c>
      <c r="S305">
        <f>N(S304)+$R305</f>
        <v>0</v>
      </c>
      <c r="T305">
        <f>IF(AND($K305=1,AND(对接源_01水果!$X305="公司筐",N(对接源_01水果!$V305)&lt;&gt;0)),1,0)</f>
        <v>0</v>
      </c>
      <c r="U305">
        <f>N(U304)+$T305</f>
        <v>19</v>
      </c>
      <c r="V305">
        <f>IF(AND($L305=1,AND(对接源_01水果!$X305="自备筐",N(对接源_01水果!$V305)&lt;&gt;0)),1,0)</f>
        <v>0</v>
      </c>
      <c r="W305">
        <f>N(W304)+$V305</f>
        <v>8</v>
      </c>
      <c r="X305">
        <f>IF(AND($L305=1,AND(对接源_01水果!$X305="自备筐",N(对接源_01水果!$T305)&lt;&gt;0)),1,0)</f>
        <v>0</v>
      </c>
      <c r="Y305">
        <f>N(Y304)+$X305</f>
        <v>0</v>
      </c>
      <c r="Z305">
        <f>IF(AND($M305=1,对接源_01水果!$D305="原料入库"),1,0)</f>
        <v>0</v>
      </c>
      <c r="AA305">
        <f>N(AA304)+$Z305</f>
        <v>24</v>
      </c>
      <c r="AB305">
        <f>IF(AND($M305=1,LEFT(对接源_01水果!$D305,4)="原料出库"),1,0)</f>
        <v>0</v>
      </c>
      <c r="AC305">
        <f>N(AC304)+$AB305</f>
        <v>0</v>
      </c>
      <c r="AD305">
        <f>IF(AND($M305=1,LEFT(对接源_01水果!$D305,4)="成品出库"),1,0)</f>
        <v>0</v>
      </c>
      <c r="AE305">
        <f>N(AE304)+$AD305</f>
        <v>0</v>
      </c>
      <c r="AF305">
        <f>IF(AND($N305=1,AND(LEFT(对接源_01水果!$D305,4)="包装物料",N(对接源_01水果!$K305)&lt;&gt;0)),1,0)</f>
        <v>0</v>
      </c>
      <c r="AG305">
        <f>N(AG304)+$AF305</f>
        <v>0</v>
      </c>
      <c r="AH305">
        <f>IF(AND($N305=1,AND(对接源_01水果!$D305="周转筐－销售出库",N(对接源_01水果!$K305)&lt;&gt;0)),1,0)</f>
        <v>0</v>
      </c>
      <c r="AI305">
        <f>N(AI304)+$AH305</f>
        <v>0</v>
      </c>
      <c r="AJ305" s="7" t="n"/>
      <c r="AL305">
        <f>IF(OR($AL$1="",对接源_01水果!$Y305="",对接源_01水果!$Y305&lt;&gt;$AL$1,对接源_01水果!$B305="",N(对接源_01水果!$AJ305)&lt;=0),0,IF(OR(N(对接源_01水果!$B305)&lt;$AL$2,N(对接源_01水果!$B305)&gt;$AL$3),0,1))</f>
        <v>0</v>
      </c>
      <c r="AM305">
        <f>N(AM304)+$AL305</f>
        <v>0</v>
      </c>
      <c r="AN305">
        <f>IF(对接源_01水果!$AC305="","",对接源_01水果!$AC305)</f>
      </c>
      <c r="AO305">
        <f>IF(AN305="",0,IF(MATCH(AN305,$AN$4:$AN$1203,0)=ROW()-3,1,0))</f>
        <v>0</v>
      </c>
      <c r="AP305">
        <f>N(AP304)+$AO305</f>
        <v>0</v>
      </c>
      <c r="AR305">
        <f>IF(OR($AF305=1,$AH305=1),1,0)</f>
        <v>0</v>
      </c>
      <c r="AS305">
        <f>N(AS304)+$AR305</f>
        <v>0</v>
      </c>
    </row>
    <row r="306" ht="14.25" customHeight="1" s="127">
      <c r="A306" t="str">
        <f>IF(对接源_01水果!$C306="","",对接源_01水果!$C306)</f>
        <v>王照雪</v>
      </c>
      <c r="B306">
        <f>IF(A306="",0,IF(MATCH(A306,$A$4:$A$2403,0)=ROW()-3,1,0))</f>
        <v>0</v>
      </c>
      <c r="C306">
        <f>N(C305)+B306</f>
        <v>18</v>
      </c>
      <c r="K306">
        <f>IF(OR($K$1="",对接源_01水果!$C306="",对接源_01水果!$C306&lt;&gt;$K$1,对接源_01水果!$B306=""),0,IF(OR(N(对接源_01水果!$B306)&lt;$K$2,N(对接源_01水果!$B306)&gt;$K$3),0,1))</f>
        <v>0</v>
      </c>
      <c r="L306">
        <f>IF(OR($L$1="",对接源_01水果!$C306="",对接源_01水果!$C306&lt;&gt;$L$1,对接源_01水果!$B306=""),0,IF(OR(N(对接源_01水果!$B306)&lt;$L$2,N(对接源_01水果!$B306)&gt;$L$3),0,1))</f>
        <v>0</v>
      </c>
      <c r="M306">
        <f>IF(OR($M$1="",对接源_01水果!$C306="",对接源_01水果!$C306&lt;&gt;$M$1,对接源_01水果!$B306=""),0,IF(OR(N(对接源_01水果!$B306)&lt;$M$2,N(对接源_01水果!$B306)&gt;$M$3),0,1))</f>
        <v>0</v>
      </c>
      <c r="N306">
        <f>IF(OR($N$1="",对接源_01水果!$C306="",对接源_01水果!$C306&lt;&gt;$N$1,对接源_01水果!$B306=""),0,IF(OR(N(对接源_01水果!$B306)&lt;$N$2,N(对接源_01水果!$B306)&gt;$N$3),0,1))</f>
        <v>0</v>
      </c>
      <c r="P306">
        <f>IF(AND($K306=1,AND(对接源_01水果!$X306="公司筐",N(对接源_01水果!$T306)&lt;&gt;0)),1,0)</f>
        <v>0</v>
      </c>
      <c r="Q306">
        <f>N(Q305)+$P306</f>
        <v>0</v>
      </c>
      <c r="R306">
        <f>IF(AND($K306=1,AND(对接源_01水果!$X306="公司筐",N(对接源_01水果!$U306)&lt;&gt;0)),1,0)</f>
        <v>0</v>
      </c>
      <c r="S306">
        <f>N(S305)+$R306</f>
        <v>0</v>
      </c>
      <c r="T306">
        <f>IF(AND($K306=1,AND(对接源_01水果!$X306="公司筐",N(对接源_01水果!$V306)&lt;&gt;0)),1,0)</f>
        <v>0</v>
      </c>
      <c r="U306">
        <f>N(U305)+$T306</f>
        <v>19</v>
      </c>
      <c r="V306">
        <f>IF(AND($L306=1,AND(对接源_01水果!$X306="自备筐",N(对接源_01水果!$V306)&lt;&gt;0)),1,0)</f>
        <v>0</v>
      </c>
      <c r="W306">
        <f>N(W305)+$V306</f>
        <v>8</v>
      </c>
      <c r="X306">
        <f>IF(AND($L306=1,AND(对接源_01水果!$X306="自备筐",N(对接源_01水果!$T306)&lt;&gt;0)),1,0)</f>
        <v>0</v>
      </c>
      <c r="Y306">
        <f>N(Y305)+$X306</f>
        <v>0</v>
      </c>
      <c r="Z306">
        <f>IF(AND($M306=1,对接源_01水果!$D306="原料入库"),1,0)</f>
        <v>0</v>
      </c>
      <c r="AA306">
        <f>N(AA305)+$Z306</f>
        <v>24</v>
      </c>
      <c r="AB306">
        <f>IF(AND($M306=1,LEFT(对接源_01水果!$D306,4)="原料出库"),1,0)</f>
        <v>0</v>
      </c>
      <c r="AC306">
        <f>N(AC305)+$AB306</f>
        <v>0</v>
      </c>
      <c r="AD306">
        <f>IF(AND($M306=1,LEFT(对接源_01水果!$D306,4)="成品出库"),1,0)</f>
        <v>0</v>
      </c>
      <c r="AE306">
        <f>N(AE305)+$AD306</f>
        <v>0</v>
      </c>
      <c r="AF306">
        <f>IF(AND($N306=1,AND(LEFT(对接源_01水果!$D306,4)="包装物料",N(对接源_01水果!$K306)&lt;&gt;0)),1,0)</f>
        <v>0</v>
      </c>
      <c r="AG306">
        <f>N(AG305)+$AF306</f>
        <v>0</v>
      </c>
      <c r="AH306">
        <f>IF(AND($N306=1,AND(对接源_01水果!$D306="周转筐－销售出库",N(对接源_01水果!$K306)&lt;&gt;0)),1,0)</f>
        <v>0</v>
      </c>
      <c r="AI306">
        <f>N(AI305)+$AH306</f>
        <v>0</v>
      </c>
      <c r="AJ306" s="7" t="n"/>
      <c r="AL306">
        <f>IF(OR($AL$1="",对接源_01水果!$Y306="",对接源_01水果!$Y306&lt;&gt;$AL$1,对接源_01水果!$B306="",N(对接源_01水果!$AJ306)&lt;=0),0,IF(OR(N(对接源_01水果!$B306)&lt;$AL$2,N(对接源_01水果!$B306)&gt;$AL$3),0,1))</f>
        <v>0</v>
      </c>
      <c r="AM306">
        <f>N(AM305)+$AL306</f>
        <v>0</v>
      </c>
      <c r="AN306">
        <f>IF(对接源_01水果!$AC306="","",对接源_01水果!$AC306)</f>
      </c>
      <c r="AO306">
        <f>IF(AN306="",0,IF(MATCH(AN306,$AN$4:$AN$1203,0)=ROW()-3,1,0))</f>
        <v>0</v>
      </c>
      <c r="AP306">
        <f>N(AP305)+$AO306</f>
        <v>0</v>
      </c>
      <c r="AR306">
        <f>IF(OR($AF306=1,$AH306=1),1,0)</f>
        <v>0</v>
      </c>
      <c r="AS306">
        <f>N(AS305)+$AR306</f>
        <v>0</v>
      </c>
    </row>
    <row r="307" ht="14.25" customHeight="1" s="127">
      <c r="A307" t="str">
        <f>IF(对接源_01水果!$C307="","",对接源_01水果!$C307)</f>
        <v>王照雪</v>
      </c>
      <c r="B307">
        <f>IF(A307="",0,IF(MATCH(A307,$A$4:$A$2403,0)=ROW()-3,1,0))</f>
        <v>0</v>
      </c>
      <c r="C307">
        <f>N(C306)+B307</f>
        <v>18</v>
      </c>
      <c r="K307">
        <f>IF(OR($K$1="",对接源_01水果!$C307="",对接源_01水果!$C307&lt;&gt;$K$1,对接源_01水果!$B307=""),0,IF(OR(N(对接源_01水果!$B307)&lt;$K$2,N(对接源_01水果!$B307)&gt;$K$3),0,1))</f>
        <v>0</v>
      </c>
      <c r="L307">
        <f>IF(OR($L$1="",对接源_01水果!$C307="",对接源_01水果!$C307&lt;&gt;$L$1,对接源_01水果!$B307=""),0,IF(OR(N(对接源_01水果!$B307)&lt;$L$2,N(对接源_01水果!$B307)&gt;$L$3),0,1))</f>
        <v>0</v>
      </c>
      <c r="M307">
        <f>IF(OR($M$1="",对接源_01水果!$C307="",对接源_01水果!$C307&lt;&gt;$M$1,对接源_01水果!$B307=""),0,IF(OR(N(对接源_01水果!$B307)&lt;$M$2,N(对接源_01水果!$B307)&gt;$M$3),0,1))</f>
        <v>0</v>
      </c>
      <c r="N307">
        <f>IF(OR($N$1="",对接源_01水果!$C307="",对接源_01水果!$C307&lt;&gt;$N$1,对接源_01水果!$B307=""),0,IF(OR(N(对接源_01水果!$B307)&lt;$N$2,N(对接源_01水果!$B307)&gt;$N$3),0,1))</f>
        <v>0</v>
      </c>
      <c r="P307">
        <f>IF(AND($K307=1,AND(对接源_01水果!$X307="公司筐",N(对接源_01水果!$T307)&lt;&gt;0)),1,0)</f>
        <v>0</v>
      </c>
      <c r="Q307">
        <f>N(Q306)+$P307</f>
        <v>0</v>
      </c>
      <c r="R307">
        <f>IF(AND($K307=1,AND(对接源_01水果!$X307="公司筐",N(对接源_01水果!$U307)&lt;&gt;0)),1,0)</f>
        <v>0</v>
      </c>
      <c r="S307">
        <f>N(S306)+$R307</f>
        <v>0</v>
      </c>
      <c r="T307">
        <f>IF(AND($K307=1,AND(对接源_01水果!$X307="公司筐",N(对接源_01水果!$V307)&lt;&gt;0)),1,0)</f>
        <v>0</v>
      </c>
      <c r="U307">
        <f>N(U306)+$T307</f>
        <v>19</v>
      </c>
      <c r="V307">
        <f>IF(AND($L307=1,AND(对接源_01水果!$X307="自备筐",N(对接源_01水果!$V307)&lt;&gt;0)),1,0)</f>
        <v>0</v>
      </c>
      <c r="W307">
        <f>N(W306)+$V307</f>
        <v>8</v>
      </c>
      <c r="X307">
        <f>IF(AND($L307=1,AND(对接源_01水果!$X307="自备筐",N(对接源_01水果!$T307)&lt;&gt;0)),1,0)</f>
        <v>0</v>
      </c>
      <c r="Y307">
        <f>N(Y306)+$X307</f>
        <v>0</v>
      </c>
      <c r="Z307">
        <f>IF(AND($M307=1,对接源_01水果!$D307="原料入库"),1,0)</f>
        <v>0</v>
      </c>
      <c r="AA307">
        <f>N(AA306)+$Z307</f>
        <v>24</v>
      </c>
      <c r="AB307">
        <f>IF(AND($M307=1,LEFT(对接源_01水果!$D307,4)="原料出库"),1,0)</f>
        <v>0</v>
      </c>
      <c r="AC307">
        <f>N(AC306)+$AB307</f>
        <v>0</v>
      </c>
      <c r="AD307">
        <f>IF(AND($M307=1,LEFT(对接源_01水果!$D307,4)="成品出库"),1,0)</f>
        <v>0</v>
      </c>
      <c r="AE307">
        <f>N(AE306)+$AD307</f>
        <v>0</v>
      </c>
      <c r="AF307">
        <f>IF(AND($N307=1,AND(LEFT(对接源_01水果!$D307,4)="包装物料",N(对接源_01水果!$K307)&lt;&gt;0)),1,0)</f>
        <v>0</v>
      </c>
      <c r="AG307">
        <f>N(AG306)+$AF307</f>
        <v>0</v>
      </c>
      <c r="AH307">
        <f>IF(AND($N307=1,AND(对接源_01水果!$D307="周转筐－销售出库",N(对接源_01水果!$K307)&lt;&gt;0)),1,0)</f>
        <v>0</v>
      </c>
      <c r="AI307">
        <f>N(AI306)+$AH307</f>
        <v>0</v>
      </c>
      <c r="AJ307" s="7" t="n"/>
      <c r="AL307">
        <f>IF(OR($AL$1="",对接源_01水果!$Y307="",对接源_01水果!$Y307&lt;&gt;$AL$1,对接源_01水果!$B307="",N(对接源_01水果!$AJ307)&lt;=0),0,IF(OR(N(对接源_01水果!$B307)&lt;$AL$2,N(对接源_01水果!$B307)&gt;$AL$3),0,1))</f>
        <v>0</v>
      </c>
      <c r="AM307">
        <f>N(AM306)+$AL307</f>
        <v>0</v>
      </c>
      <c r="AN307">
        <f>IF(对接源_01水果!$AC307="","",对接源_01水果!$AC307)</f>
      </c>
      <c r="AO307">
        <f>IF(AN307="",0,IF(MATCH(AN307,$AN$4:$AN$1203,0)=ROW()-3,1,0))</f>
        <v>0</v>
      </c>
      <c r="AP307">
        <f>N(AP306)+$AO307</f>
        <v>0</v>
      </c>
      <c r="AR307">
        <f>IF(OR($AF307=1,$AH307=1),1,0)</f>
        <v>0</v>
      </c>
      <c r="AS307">
        <f>N(AS306)+$AR307</f>
        <v>0</v>
      </c>
    </row>
    <row r="308" ht="14.25" customHeight="1" s="127">
      <c r="A308" t="str">
        <f>IF(对接源_01水果!$C308="","",对接源_01水果!$C308)</f>
        <v>麦麦提</v>
      </c>
      <c r="B308">
        <f>IF(A308="",0,IF(MATCH(A308,$A$4:$A$2403,0)=ROW()-3,1,0))</f>
        <v>0</v>
      </c>
      <c r="C308">
        <f>N(C307)+B308</f>
        <v>18</v>
      </c>
      <c r="K308">
        <f>IF(OR($K$1="",对接源_01水果!$C308="",对接源_01水果!$C308&lt;&gt;$K$1,对接源_01水果!$B308=""),0,IF(OR(N(对接源_01水果!$B308)&lt;$K$2,N(对接源_01水果!$B308)&gt;$K$3),0,1))</f>
        <v>0</v>
      </c>
      <c r="L308">
        <f>IF(OR($L$1="",对接源_01水果!$C308="",对接源_01水果!$C308&lt;&gt;$L$1,对接源_01水果!$B308=""),0,IF(OR(N(对接源_01水果!$B308)&lt;$L$2,N(对接源_01水果!$B308)&gt;$L$3),0,1))</f>
        <v>0</v>
      </c>
      <c r="M308">
        <f>IF(OR($M$1="",对接源_01水果!$C308="",对接源_01水果!$C308&lt;&gt;$M$1,对接源_01水果!$B308=""),0,IF(OR(N(对接源_01水果!$B308)&lt;$M$2,N(对接源_01水果!$B308)&gt;$M$3),0,1))</f>
        <v>0</v>
      </c>
      <c r="N308">
        <f>IF(OR($N$1="",对接源_01水果!$C308="",对接源_01水果!$C308&lt;&gt;$N$1,对接源_01水果!$B308=""),0,IF(OR(N(对接源_01水果!$B308)&lt;$N$2,N(对接源_01水果!$B308)&gt;$N$3),0,1))</f>
        <v>1</v>
      </c>
      <c r="P308">
        <f>IF(AND($K308=1,AND(对接源_01水果!$X308="公司筐",N(对接源_01水果!$T308)&lt;&gt;0)),1,0)</f>
        <v>0</v>
      </c>
      <c r="Q308">
        <f>N(Q307)+$P308</f>
        <v>0</v>
      </c>
      <c r="R308">
        <f>IF(AND($K308=1,AND(对接源_01水果!$X308="公司筐",N(对接源_01水果!$U308)&lt;&gt;0)),1,0)</f>
        <v>0</v>
      </c>
      <c r="S308">
        <f>N(S307)+$R308</f>
        <v>0</v>
      </c>
      <c r="T308">
        <f>IF(AND($K308=1,AND(对接源_01水果!$X308="公司筐",N(对接源_01水果!$V308)&lt;&gt;0)),1,0)</f>
        <v>0</v>
      </c>
      <c r="U308">
        <f>N(U307)+$T308</f>
        <v>19</v>
      </c>
      <c r="V308">
        <f>IF(AND($L308=1,AND(对接源_01水果!$X308="自备筐",N(对接源_01水果!$V308)&lt;&gt;0)),1,0)</f>
        <v>0</v>
      </c>
      <c r="W308">
        <f>N(W307)+$V308</f>
        <v>8</v>
      </c>
      <c r="X308">
        <f>IF(AND($L308=1,AND(对接源_01水果!$X308="自备筐",N(对接源_01水果!$T308)&lt;&gt;0)),1,0)</f>
        <v>0</v>
      </c>
      <c r="Y308">
        <f>N(Y307)+$X308</f>
        <v>0</v>
      </c>
      <c r="Z308">
        <f>IF(AND($M308=1,对接源_01水果!$D308="原料入库"),1,0)</f>
        <v>0</v>
      </c>
      <c r="AA308">
        <f>N(AA307)+$Z308</f>
        <v>24</v>
      </c>
      <c r="AB308">
        <f>IF(AND($M308=1,LEFT(对接源_01水果!$D308,4)="原料出库"),1,0)</f>
        <v>0</v>
      </c>
      <c r="AC308">
        <f>N(AC307)+$AB308</f>
        <v>0</v>
      </c>
      <c r="AD308">
        <f>IF(AND($M308=1,LEFT(对接源_01水果!$D308,4)="成品出库"),1,0)</f>
        <v>0</v>
      </c>
      <c r="AE308">
        <f>N(AE307)+$AD308</f>
        <v>0</v>
      </c>
      <c r="AF308">
        <f>IF(AND($N308=1,AND(LEFT(对接源_01水果!$D308,4)="包装物料",N(对接源_01水果!$K308)&lt;&gt;0)),1,0)</f>
        <v>0</v>
      </c>
      <c r="AG308">
        <f>N(AG307)+$AF308</f>
        <v>0</v>
      </c>
      <c r="AH308">
        <f>IF(AND($N308=1,AND(对接源_01水果!$D308="周转筐－销售出库",N(对接源_01水果!$K308)&lt;&gt;0)),1,0)</f>
        <v>0</v>
      </c>
      <c r="AI308">
        <f>N(AI307)+$AH308</f>
        <v>0</v>
      </c>
      <c r="AJ308" s="7" t="n"/>
      <c r="AL308">
        <f>IF(OR($AL$1="",对接源_01水果!$Y308="",对接源_01水果!$Y308&lt;&gt;$AL$1,对接源_01水果!$B308="",N(对接源_01水果!$AJ308)&lt;=0),0,IF(OR(N(对接源_01水果!$B308)&lt;$AL$2,N(对接源_01水果!$B308)&gt;$AL$3),0,1))</f>
        <v>0</v>
      </c>
      <c r="AM308">
        <f>N(AM307)+$AL308</f>
        <v>0</v>
      </c>
      <c r="AN308">
        <f>IF(对接源_01水果!$AC308="","",对接源_01水果!$AC308)</f>
      </c>
      <c r="AO308">
        <f>IF(AN308="",0,IF(MATCH(AN308,$AN$4:$AN$1203,0)=ROW()-3,1,0))</f>
        <v>0</v>
      </c>
      <c r="AP308">
        <f>N(AP307)+$AO308</f>
        <v>0</v>
      </c>
      <c r="AR308">
        <f>IF(OR($AF308=1,$AH308=1),1,0)</f>
        <v>0</v>
      </c>
      <c r="AS308">
        <f>N(AS307)+$AR308</f>
        <v>0</v>
      </c>
    </row>
    <row r="309" ht="14.25" customHeight="1" s="127">
      <c r="A309" t="str">
        <f>IF(对接源_01水果!$C309="","",对接源_01水果!$C309)</f>
        <v>麦麦提</v>
      </c>
      <c r="B309">
        <f>IF(A309="",0,IF(MATCH(A309,$A$4:$A$2403,0)=ROW()-3,1,0))</f>
        <v>0</v>
      </c>
      <c r="C309">
        <f>N(C308)+B309</f>
        <v>18</v>
      </c>
      <c r="K309">
        <f>IF(OR($K$1="",对接源_01水果!$C309="",对接源_01水果!$C309&lt;&gt;$K$1,对接源_01水果!$B309=""),0,IF(OR(N(对接源_01水果!$B309)&lt;$K$2,N(对接源_01水果!$B309)&gt;$K$3),0,1))</f>
        <v>0</v>
      </c>
      <c r="L309">
        <f>IF(OR($L$1="",对接源_01水果!$C309="",对接源_01水果!$C309&lt;&gt;$L$1,对接源_01水果!$B309=""),0,IF(OR(N(对接源_01水果!$B309)&lt;$L$2,N(对接源_01水果!$B309)&gt;$L$3),0,1))</f>
        <v>0</v>
      </c>
      <c r="M309">
        <f>IF(OR($M$1="",对接源_01水果!$C309="",对接源_01水果!$C309&lt;&gt;$M$1,对接源_01水果!$B309=""),0,IF(OR(N(对接源_01水果!$B309)&lt;$M$2,N(对接源_01水果!$B309)&gt;$M$3),0,1))</f>
        <v>0</v>
      </c>
      <c r="N309">
        <f>IF(OR($N$1="",对接源_01水果!$C309="",对接源_01水果!$C309&lt;&gt;$N$1,对接源_01水果!$B309=""),0,IF(OR(N(对接源_01水果!$B309)&lt;$N$2,N(对接源_01水果!$B309)&gt;$N$3),0,1))</f>
        <v>1</v>
      </c>
      <c r="P309">
        <f>IF(AND($K309=1,AND(对接源_01水果!$X309="公司筐",N(对接源_01水果!$T309)&lt;&gt;0)),1,0)</f>
        <v>0</v>
      </c>
      <c r="Q309">
        <f>N(Q308)+$P309</f>
        <v>0</v>
      </c>
      <c r="R309">
        <f>IF(AND($K309=1,AND(对接源_01水果!$X309="公司筐",N(对接源_01水果!$U309)&lt;&gt;0)),1,0)</f>
        <v>0</v>
      </c>
      <c r="S309">
        <f>N(S308)+$R309</f>
        <v>0</v>
      </c>
      <c r="T309">
        <f>IF(AND($K309=1,AND(对接源_01水果!$X309="公司筐",N(对接源_01水果!$V309)&lt;&gt;0)),1,0)</f>
        <v>0</v>
      </c>
      <c r="U309">
        <f>N(U308)+$T309</f>
        <v>19</v>
      </c>
      <c r="V309">
        <f>IF(AND($L309=1,AND(对接源_01水果!$X309="自备筐",N(对接源_01水果!$V309)&lt;&gt;0)),1,0)</f>
        <v>0</v>
      </c>
      <c r="W309">
        <f>N(W308)+$V309</f>
        <v>8</v>
      </c>
      <c r="X309">
        <f>IF(AND($L309=1,AND(对接源_01水果!$X309="自备筐",N(对接源_01水果!$T309)&lt;&gt;0)),1,0)</f>
        <v>0</v>
      </c>
      <c r="Y309">
        <f>N(Y308)+$X309</f>
        <v>0</v>
      </c>
      <c r="Z309">
        <f>IF(AND($M309=1,对接源_01水果!$D309="原料入库"),1,0)</f>
        <v>0</v>
      </c>
      <c r="AA309">
        <f>N(AA308)+$Z309</f>
        <v>24</v>
      </c>
      <c r="AB309">
        <f>IF(AND($M309=1,LEFT(对接源_01水果!$D309,4)="原料出库"),1,0)</f>
        <v>0</v>
      </c>
      <c r="AC309">
        <f>N(AC308)+$AB309</f>
        <v>0</v>
      </c>
      <c r="AD309">
        <f>IF(AND($M309=1,LEFT(对接源_01水果!$D309,4)="成品出库"),1,0)</f>
        <v>0</v>
      </c>
      <c r="AE309">
        <f>N(AE308)+$AD309</f>
        <v>0</v>
      </c>
      <c r="AF309">
        <f>IF(AND($N309=1,AND(LEFT(对接源_01水果!$D309,4)="包装物料",N(对接源_01水果!$K309)&lt;&gt;0)),1,0)</f>
        <v>0</v>
      </c>
      <c r="AG309">
        <f>N(AG308)+$AF309</f>
        <v>0</v>
      </c>
      <c r="AH309">
        <f>IF(AND($N309=1,AND(对接源_01水果!$D309="周转筐－销售出库",N(对接源_01水果!$K309)&lt;&gt;0)),1,0)</f>
        <v>0</v>
      </c>
      <c r="AI309">
        <f>N(AI308)+$AH309</f>
        <v>0</v>
      </c>
      <c r="AJ309" s="7" t="n"/>
      <c r="AL309">
        <f>IF(OR($AL$1="",对接源_01水果!$Y309="",对接源_01水果!$Y309&lt;&gt;$AL$1,对接源_01水果!$B309="",N(对接源_01水果!$AJ309)&lt;=0),0,IF(OR(N(对接源_01水果!$B309)&lt;$AL$2,N(对接源_01水果!$B309)&gt;$AL$3),0,1))</f>
        <v>0</v>
      </c>
      <c r="AM309">
        <f>N(AM308)+$AL309</f>
        <v>0</v>
      </c>
      <c r="AN309">
        <f>IF(对接源_01水果!$AC309="","",对接源_01水果!$AC309)</f>
      </c>
      <c r="AO309">
        <f>IF(AN309="",0,IF(MATCH(AN309,$AN$4:$AN$1203,0)=ROW()-3,1,0))</f>
        <v>0</v>
      </c>
      <c r="AP309">
        <f>N(AP308)+$AO309</f>
        <v>0</v>
      </c>
      <c r="AR309">
        <f>IF(OR($AF309=1,$AH309=1),1,0)</f>
        <v>0</v>
      </c>
      <c r="AS309">
        <f>N(AS308)+$AR309</f>
        <v>0</v>
      </c>
    </row>
    <row r="310" ht="14.25" customHeight="1" s="127">
      <c r="A310" t="str">
        <f>IF(对接源_01水果!$C310="","",对接源_01水果!$C310)</f>
        <v>麦麦提</v>
      </c>
      <c r="B310">
        <f>IF(A310="",0,IF(MATCH(A310,$A$4:$A$2403,0)=ROW()-3,1,0))</f>
        <v>0</v>
      </c>
      <c r="C310">
        <f>N(C309)+B310</f>
        <v>18</v>
      </c>
      <c r="K310">
        <f>IF(OR($K$1="",对接源_01水果!$C310="",对接源_01水果!$C310&lt;&gt;$K$1,对接源_01水果!$B310=""),0,IF(OR(N(对接源_01水果!$B310)&lt;$K$2,N(对接源_01水果!$B310)&gt;$K$3),0,1))</f>
        <v>0</v>
      </c>
      <c r="L310">
        <f>IF(OR($L$1="",对接源_01水果!$C310="",对接源_01水果!$C310&lt;&gt;$L$1,对接源_01水果!$B310=""),0,IF(OR(N(对接源_01水果!$B310)&lt;$L$2,N(对接源_01水果!$B310)&gt;$L$3),0,1))</f>
        <v>0</v>
      </c>
      <c r="M310">
        <f>IF(OR($M$1="",对接源_01水果!$C310="",对接源_01水果!$C310&lt;&gt;$M$1,对接源_01水果!$B310=""),0,IF(OR(N(对接源_01水果!$B310)&lt;$M$2,N(对接源_01水果!$B310)&gt;$M$3),0,1))</f>
        <v>0</v>
      </c>
      <c r="N310">
        <f>IF(OR($N$1="",对接源_01水果!$C310="",对接源_01水果!$C310&lt;&gt;$N$1,对接源_01水果!$B310=""),0,IF(OR(N(对接源_01水果!$B310)&lt;$N$2,N(对接源_01水果!$B310)&gt;$N$3),0,1))</f>
        <v>1</v>
      </c>
      <c r="P310">
        <f>IF(AND($K310=1,AND(对接源_01水果!$X310="公司筐",N(对接源_01水果!$T310)&lt;&gt;0)),1,0)</f>
        <v>0</v>
      </c>
      <c r="Q310">
        <f>N(Q309)+$P310</f>
        <v>0</v>
      </c>
      <c r="R310">
        <f>IF(AND($K310=1,AND(对接源_01水果!$X310="公司筐",N(对接源_01水果!$U310)&lt;&gt;0)),1,0)</f>
        <v>0</v>
      </c>
      <c r="S310">
        <f>N(S309)+$R310</f>
        <v>0</v>
      </c>
      <c r="T310">
        <f>IF(AND($K310=1,AND(对接源_01水果!$X310="公司筐",N(对接源_01水果!$V310)&lt;&gt;0)),1,0)</f>
        <v>0</v>
      </c>
      <c r="U310">
        <f>N(U309)+$T310</f>
        <v>19</v>
      </c>
      <c r="V310">
        <f>IF(AND($L310=1,AND(对接源_01水果!$X310="自备筐",N(对接源_01水果!$V310)&lt;&gt;0)),1,0)</f>
        <v>0</v>
      </c>
      <c r="W310">
        <f>N(W309)+$V310</f>
        <v>8</v>
      </c>
      <c r="X310">
        <f>IF(AND($L310=1,AND(对接源_01水果!$X310="自备筐",N(对接源_01水果!$T310)&lt;&gt;0)),1,0)</f>
        <v>0</v>
      </c>
      <c r="Y310">
        <f>N(Y309)+$X310</f>
        <v>0</v>
      </c>
      <c r="Z310">
        <f>IF(AND($M310=1,对接源_01水果!$D310="原料入库"),1,0)</f>
        <v>0</v>
      </c>
      <c r="AA310">
        <f>N(AA309)+$Z310</f>
        <v>24</v>
      </c>
      <c r="AB310">
        <f>IF(AND($M310=1,LEFT(对接源_01水果!$D310,4)="原料出库"),1,0)</f>
        <v>0</v>
      </c>
      <c r="AC310">
        <f>N(AC309)+$AB310</f>
        <v>0</v>
      </c>
      <c r="AD310">
        <f>IF(AND($M310=1,LEFT(对接源_01水果!$D310,4)="成品出库"),1,0)</f>
        <v>0</v>
      </c>
      <c r="AE310">
        <f>N(AE309)+$AD310</f>
        <v>0</v>
      </c>
      <c r="AF310">
        <f>IF(AND($N310=1,AND(LEFT(对接源_01水果!$D310,4)="包装物料",N(对接源_01水果!$K310)&lt;&gt;0)),1,0)</f>
        <v>0</v>
      </c>
      <c r="AG310">
        <f>N(AG309)+$AF310</f>
        <v>0</v>
      </c>
      <c r="AH310">
        <f>IF(AND($N310=1,AND(对接源_01水果!$D310="周转筐－销售出库",N(对接源_01水果!$K310)&lt;&gt;0)),1,0)</f>
        <v>0</v>
      </c>
      <c r="AI310">
        <f>N(AI309)+$AH310</f>
        <v>0</v>
      </c>
      <c r="AJ310" s="7" t="n"/>
      <c r="AL310">
        <f>IF(OR($AL$1="",对接源_01水果!$Y310="",对接源_01水果!$Y310&lt;&gt;$AL$1,对接源_01水果!$B310="",N(对接源_01水果!$AJ310)&lt;=0),0,IF(OR(N(对接源_01水果!$B310)&lt;$AL$2,N(对接源_01水果!$B310)&gt;$AL$3),0,1))</f>
        <v>0</v>
      </c>
      <c r="AM310">
        <f>N(AM309)+$AL310</f>
        <v>0</v>
      </c>
      <c r="AN310">
        <f>IF(对接源_01水果!$AC310="","",对接源_01水果!$AC310)</f>
      </c>
      <c r="AO310">
        <f>IF(AN310="",0,IF(MATCH(AN310,$AN$4:$AN$1203,0)=ROW()-3,1,0))</f>
        <v>0</v>
      </c>
      <c r="AP310">
        <f>N(AP309)+$AO310</f>
        <v>0</v>
      </c>
      <c r="AR310">
        <f>IF(OR($AF310=1,$AH310=1),1,0)</f>
        <v>0</v>
      </c>
      <c r="AS310">
        <f>N(AS309)+$AR310</f>
        <v>0</v>
      </c>
    </row>
    <row r="311" ht="14.25" customHeight="1" s="127">
      <c r="A311" t="str">
        <f>IF(对接源_01水果!$C311="","",对接源_01水果!$C311)</f>
        <v>马锦祥</v>
      </c>
      <c r="B311">
        <f>IF(A311="",0,IF(MATCH(A311,$A$4:$A$2403,0)=ROW()-3,1,0))</f>
        <v>0</v>
      </c>
      <c r="C311">
        <f>N(C310)+B311</f>
        <v>18</v>
      </c>
      <c r="K311">
        <f>IF(OR($K$1="",对接源_01水果!$C311="",对接源_01水果!$C311&lt;&gt;$K$1,对接源_01水果!$B311=""),0,IF(OR(N(对接源_01水果!$B311)&lt;$K$2,N(对接源_01水果!$B311)&gt;$K$3),0,1))</f>
        <v>0</v>
      </c>
      <c r="L311">
        <f>IF(OR($L$1="",对接源_01水果!$C311="",对接源_01水果!$C311&lt;&gt;$L$1,对接源_01水果!$B311=""),0,IF(OR(N(对接源_01水果!$B311)&lt;$L$2,N(对接源_01水果!$B311)&gt;$L$3),0,1))</f>
        <v>0</v>
      </c>
      <c r="M311">
        <f>IF(OR($M$1="",对接源_01水果!$C311="",对接源_01水果!$C311&lt;&gt;$M$1,对接源_01水果!$B311=""),0,IF(OR(N(对接源_01水果!$B311)&lt;$M$2,N(对接源_01水果!$B311)&gt;$M$3),0,1))</f>
        <v>0</v>
      </c>
      <c r="N311">
        <f>IF(OR($N$1="",对接源_01水果!$C311="",对接源_01水果!$C311&lt;&gt;$N$1,对接源_01水果!$B311=""),0,IF(OR(N(对接源_01水果!$B311)&lt;$N$2,N(对接源_01水果!$B311)&gt;$N$3),0,1))</f>
        <v>0</v>
      </c>
      <c r="P311">
        <f>IF(AND($K311=1,AND(对接源_01水果!$X311="公司筐",N(对接源_01水果!$T311)&lt;&gt;0)),1,0)</f>
        <v>0</v>
      </c>
      <c r="Q311">
        <f>N(Q310)+$P311</f>
        <v>0</v>
      </c>
      <c r="R311">
        <f>IF(AND($K311=1,AND(对接源_01水果!$X311="公司筐",N(对接源_01水果!$U311)&lt;&gt;0)),1,0)</f>
        <v>0</v>
      </c>
      <c r="S311">
        <f>N(S310)+$R311</f>
        <v>0</v>
      </c>
      <c r="T311">
        <f>IF(AND($K311=1,AND(对接源_01水果!$X311="公司筐",N(对接源_01水果!$V311)&lt;&gt;0)),1,0)</f>
        <v>0</v>
      </c>
      <c r="U311">
        <f>N(U310)+$T311</f>
        <v>19</v>
      </c>
      <c r="V311">
        <f>IF(AND($L311=1,AND(对接源_01水果!$X311="自备筐",N(对接源_01水果!$V311)&lt;&gt;0)),1,0)</f>
        <v>0</v>
      </c>
      <c r="W311">
        <f>N(W310)+$V311</f>
        <v>8</v>
      </c>
      <c r="X311">
        <f>IF(AND($L311=1,AND(对接源_01水果!$X311="自备筐",N(对接源_01水果!$T311)&lt;&gt;0)),1,0)</f>
        <v>0</v>
      </c>
      <c r="Y311">
        <f>N(Y310)+$X311</f>
        <v>0</v>
      </c>
      <c r="Z311">
        <f>IF(AND($M311=1,对接源_01水果!$D311="原料入库"),1,0)</f>
        <v>0</v>
      </c>
      <c r="AA311">
        <f>N(AA310)+$Z311</f>
        <v>24</v>
      </c>
      <c r="AB311">
        <f>IF(AND($M311=1,LEFT(对接源_01水果!$D311,4)="原料出库"),1,0)</f>
        <v>0</v>
      </c>
      <c r="AC311">
        <f>N(AC310)+$AB311</f>
        <v>0</v>
      </c>
      <c r="AD311">
        <f>IF(AND($M311=1,LEFT(对接源_01水果!$D311,4)="成品出库"),1,0)</f>
        <v>0</v>
      </c>
      <c r="AE311">
        <f>N(AE310)+$AD311</f>
        <v>0</v>
      </c>
      <c r="AF311">
        <f>IF(AND($N311=1,AND(LEFT(对接源_01水果!$D311,4)="包装物料",N(对接源_01水果!$K311)&lt;&gt;0)),1,0)</f>
        <v>0</v>
      </c>
      <c r="AG311">
        <f>N(AG310)+$AF311</f>
        <v>0</v>
      </c>
      <c r="AH311">
        <f>IF(AND($N311=1,AND(对接源_01水果!$D311="周转筐－销售出库",N(对接源_01水果!$K311)&lt;&gt;0)),1,0)</f>
        <v>0</v>
      </c>
      <c r="AI311">
        <f>N(AI310)+$AH311</f>
        <v>0</v>
      </c>
      <c r="AJ311" s="7" t="n"/>
      <c r="AL311">
        <f>IF(OR($AL$1="",对接源_01水果!$Y311="",对接源_01水果!$Y311&lt;&gt;$AL$1,对接源_01水果!$B311="",N(对接源_01水果!$AJ311)&lt;=0),0,IF(OR(N(对接源_01水果!$B311)&lt;$AL$2,N(对接源_01水果!$B311)&gt;$AL$3),0,1))</f>
        <v>0</v>
      </c>
      <c r="AM311">
        <f>N(AM310)+$AL311</f>
        <v>0</v>
      </c>
      <c r="AN311">
        <f>IF(对接源_01水果!$AC311="","",对接源_01水果!$AC311)</f>
      </c>
      <c r="AO311">
        <f>IF(AN311="",0,IF(MATCH(AN311,$AN$4:$AN$1203,0)=ROW()-3,1,0))</f>
        <v>0</v>
      </c>
      <c r="AP311">
        <f>N(AP310)+$AO311</f>
        <v>0</v>
      </c>
      <c r="AR311">
        <f>IF(OR($AF311=1,$AH311=1),1,0)</f>
        <v>0</v>
      </c>
      <c r="AS311">
        <f>N(AS310)+$AR311</f>
        <v>0</v>
      </c>
    </row>
    <row r="312" ht="14.25" customHeight="1" s="127">
      <c r="A312" t="str">
        <f>IF(对接源_01水果!$C312="","",对接源_01水果!$C312)</f>
        <v>马锦祥</v>
      </c>
      <c r="B312">
        <f>IF(A312="",0,IF(MATCH(A312,$A$4:$A$2403,0)=ROW()-3,1,0))</f>
        <v>0</v>
      </c>
      <c r="C312">
        <f>N(C311)+B312</f>
        <v>18</v>
      </c>
      <c r="K312">
        <f>IF(OR($K$1="",对接源_01水果!$C312="",对接源_01水果!$C312&lt;&gt;$K$1,对接源_01水果!$B312=""),0,IF(OR(N(对接源_01水果!$B312)&lt;$K$2,N(对接源_01水果!$B312)&gt;$K$3),0,1))</f>
        <v>0</v>
      </c>
      <c r="L312">
        <f>IF(OR($L$1="",对接源_01水果!$C312="",对接源_01水果!$C312&lt;&gt;$L$1,对接源_01水果!$B312=""),0,IF(OR(N(对接源_01水果!$B312)&lt;$L$2,N(对接源_01水果!$B312)&gt;$L$3),0,1))</f>
        <v>0</v>
      </c>
      <c r="M312">
        <f>IF(OR($M$1="",对接源_01水果!$C312="",对接源_01水果!$C312&lt;&gt;$M$1,对接源_01水果!$B312=""),0,IF(OR(N(对接源_01水果!$B312)&lt;$M$2,N(对接源_01水果!$B312)&gt;$M$3),0,1))</f>
        <v>0</v>
      </c>
      <c r="N312">
        <f>IF(OR($N$1="",对接源_01水果!$C312="",对接源_01水果!$C312&lt;&gt;$N$1,对接源_01水果!$B312=""),0,IF(OR(N(对接源_01水果!$B312)&lt;$N$2,N(对接源_01水果!$B312)&gt;$N$3),0,1))</f>
        <v>0</v>
      </c>
      <c r="P312">
        <f>IF(AND($K312=1,AND(对接源_01水果!$X312="公司筐",N(对接源_01水果!$T312)&lt;&gt;0)),1,0)</f>
        <v>0</v>
      </c>
      <c r="Q312">
        <f>N(Q311)+$P312</f>
        <v>0</v>
      </c>
      <c r="R312">
        <f>IF(AND($K312=1,AND(对接源_01水果!$X312="公司筐",N(对接源_01水果!$U312)&lt;&gt;0)),1,0)</f>
        <v>0</v>
      </c>
      <c r="S312">
        <f>N(S311)+$R312</f>
        <v>0</v>
      </c>
      <c r="T312">
        <f>IF(AND($K312=1,AND(对接源_01水果!$X312="公司筐",N(对接源_01水果!$V312)&lt;&gt;0)),1,0)</f>
        <v>0</v>
      </c>
      <c r="U312">
        <f>N(U311)+$T312</f>
        <v>19</v>
      </c>
      <c r="V312">
        <f>IF(AND($L312=1,AND(对接源_01水果!$X312="自备筐",N(对接源_01水果!$V312)&lt;&gt;0)),1,0)</f>
        <v>0</v>
      </c>
      <c r="W312">
        <f>N(W311)+$V312</f>
        <v>8</v>
      </c>
      <c r="X312">
        <f>IF(AND($L312=1,AND(对接源_01水果!$X312="自备筐",N(对接源_01水果!$T312)&lt;&gt;0)),1,0)</f>
        <v>0</v>
      </c>
      <c r="Y312">
        <f>N(Y311)+$X312</f>
        <v>0</v>
      </c>
      <c r="Z312">
        <f>IF(AND($M312=1,对接源_01水果!$D312="原料入库"),1,0)</f>
        <v>0</v>
      </c>
      <c r="AA312">
        <f>N(AA311)+$Z312</f>
        <v>24</v>
      </c>
      <c r="AB312">
        <f>IF(AND($M312=1,LEFT(对接源_01水果!$D312,4)="原料出库"),1,0)</f>
        <v>0</v>
      </c>
      <c r="AC312">
        <f>N(AC311)+$AB312</f>
        <v>0</v>
      </c>
      <c r="AD312">
        <f>IF(AND($M312=1,LEFT(对接源_01水果!$D312,4)="成品出库"),1,0)</f>
        <v>0</v>
      </c>
      <c r="AE312">
        <f>N(AE311)+$AD312</f>
        <v>0</v>
      </c>
      <c r="AF312">
        <f>IF(AND($N312=1,AND(LEFT(对接源_01水果!$D312,4)="包装物料",N(对接源_01水果!$K312)&lt;&gt;0)),1,0)</f>
        <v>0</v>
      </c>
      <c r="AG312">
        <f>N(AG311)+$AF312</f>
        <v>0</v>
      </c>
      <c r="AH312">
        <f>IF(AND($N312=1,AND(对接源_01水果!$D312="周转筐－销售出库",N(对接源_01水果!$K312)&lt;&gt;0)),1,0)</f>
        <v>0</v>
      </c>
      <c r="AI312">
        <f>N(AI311)+$AH312</f>
        <v>0</v>
      </c>
      <c r="AJ312" s="7" t="n"/>
      <c r="AL312">
        <f>IF(OR($AL$1="",对接源_01水果!$Y312="",对接源_01水果!$Y312&lt;&gt;$AL$1,对接源_01水果!$B312="",N(对接源_01水果!$AJ312)&lt;=0),0,IF(OR(N(对接源_01水果!$B312)&lt;$AL$2,N(对接源_01水果!$B312)&gt;$AL$3),0,1))</f>
        <v>0</v>
      </c>
      <c r="AM312">
        <f>N(AM311)+$AL312</f>
        <v>0</v>
      </c>
      <c r="AN312">
        <f>IF(对接源_01水果!$AC312="","",对接源_01水果!$AC312)</f>
      </c>
      <c r="AO312">
        <f>IF(AN312="",0,IF(MATCH(AN312,$AN$4:$AN$1203,0)=ROW()-3,1,0))</f>
        <v>0</v>
      </c>
      <c r="AP312">
        <f>N(AP311)+$AO312</f>
        <v>0</v>
      </c>
      <c r="AR312">
        <f>IF(OR($AF312=1,$AH312=1),1,0)</f>
        <v>0</v>
      </c>
      <c r="AS312">
        <f>N(AS311)+$AR312</f>
        <v>0</v>
      </c>
    </row>
    <row r="313" ht="14.25" customHeight="1" s="127">
      <c r="A313" t="str">
        <f>IF(对接源_01水果!$C313="","",对接源_01水果!$C313)</f>
        <v>马锦祥</v>
      </c>
      <c r="B313">
        <f>IF(A313="",0,IF(MATCH(A313,$A$4:$A$2403,0)=ROW()-3,1,0))</f>
        <v>0</v>
      </c>
      <c r="C313">
        <f>N(C312)+B313</f>
        <v>18</v>
      </c>
      <c r="K313">
        <f>IF(OR($K$1="",对接源_01水果!$C313="",对接源_01水果!$C313&lt;&gt;$K$1,对接源_01水果!$B313=""),0,IF(OR(N(对接源_01水果!$B313)&lt;$K$2,N(对接源_01水果!$B313)&gt;$K$3),0,1))</f>
        <v>0</v>
      </c>
      <c r="L313">
        <f>IF(OR($L$1="",对接源_01水果!$C313="",对接源_01水果!$C313&lt;&gt;$L$1,对接源_01水果!$B313=""),0,IF(OR(N(对接源_01水果!$B313)&lt;$L$2,N(对接源_01水果!$B313)&gt;$L$3),0,1))</f>
        <v>0</v>
      </c>
      <c r="M313">
        <f>IF(OR($M$1="",对接源_01水果!$C313="",对接源_01水果!$C313&lt;&gt;$M$1,对接源_01水果!$B313=""),0,IF(OR(N(对接源_01水果!$B313)&lt;$M$2,N(对接源_01水果!$B313)&gt;$M$3),0,1))</f>
        <v>0</v>
      </c>
      <c r="N313">
        <f>IF(OR($N$1="",对接源_01水果!$C313="",对接源_01水果!$C313&lt;&gt;$N$1,对接源_01水果!$B313=""),0,IF(OR(N(对接源_01水果!$B313)&lt;$N$2,N(对接源_01水果!$B313)&gt;$N$3),0,1))</f>
        <v>0</v>
      </c>
      <c r="P313">
        <f>IF(AND($K313=1,AND(对接源_01水果!$X313="公司筐",N(对接源_01水果!$T313)&lt;&gt;0)),1,0)</f>
        <v>0</v>
      </c>
      <c r="Q313">
        <f>N(Q312)+$P313</f>
        <v>0</v>
      </c>
      <c r="R313">
        <f>IF(AND($K313=1,AND(对接源_01水果!$X313="公司筐",N(对接源_01水果!$U313)&lt;&gt;0)),1,0)</f>
        <v>0</v>
      </c>
      <c r="S313">
        <f>N(S312)+$R313</f>
        <v>0</v>
      </c>
      <c r="T313">
        <f>IF(AND($K313=1,AND(对接源_01水果!$X313="公司筐",N(对接源_01水果!$V313)&lt;&gt;0)),1,0)</f>
        <v>0</v>
      </c>
      <c r="U313">
        <f>N(U312)+$T313</f>
        <v>19</v>
      </c>
      <c r="V313">
        <f>IF(AND($L313=1,AND(对接源_01水果!$X313="自备筐",N(对接源_01水果!$V313)&lt;&gt;0)),1,0)</f>
        <v>0</v>
      </c>
      <c r="W313">
        <f>N(W312)+$V313</f>
        <v>8</v>
      </c>
      <c r="X313">
        <f>IF(AND($L313=1,AND(对接源_01水果!$X313="自备筐",N(对接源_01水果!$T313)&lt;&gt;0)),1,0)</f>
        <v>0</v>
      </c>
      <c r="Y313">
        <f>N(Y312)+$X313</f>
        <v>0</v>
      </c>
      <c r="Z313">
        <f>IF(AND($M313=1,对接源_01水果!$D313="原料入库"),1,0)</f>
        <v>0</v>
      </c>
      <c r="AA313">
        <f>N(AA312)+$Z313</f>
        <v>24</v>
      </c>
      <c r="AB313">
        <f>IF(AND($M313=1,LEFT(对接源_01水果!$D313,4)="原料出库"),1,0)</f>
        <v>0</v>
      </c>
      <c r="AC313">
        <f>N(AC312)+$AB313</f>
        <v>0</v>
      </c>
      <c r="AD313">
        <f>IF(AND($M313=1,LEFT(对接源_01水果!$D313,4)="成品出库"),1,0)</f>
        <v>0</v>
      </c>
      <c r="AE313">
        <f>N(AE312)+$AD313</f>
        <v>0</v>
      </c>
      <c r="AF313">
        <f>IF(AND($N313=1,AND(LEFT(对接源_01水果!$D313,4)="包装物料",N(对接源_01水果!$K313)&lt;&gt;0)),1,0)</f>
        <v>0</v>
      </c>
      <c r="AG313">
        <f>N(AG312)+$AF313</f>
        <v>0</v>
      </c>
      <c r="AH313">
        <f>IF(AND($N313=1,AND(对接源_01水果!$D313="周转筐－销售出库",N(对接源_01水果!$K313)&lt;&gt;0)),1,0)</f>
        <v>0</v>
      </c>
      <c r="AI313">
        <f>N(AI312)+$AH313</f>
        <v>0</v>
      </c>
      <c r="AJ313" s="7" t="n"/>
      <c r="AL313">
        <f>IF(OR($AL$1="",对接源_01水果!$Y313="",对接源_01水果!$Y313&lt;&gt;$AL$1,对接源_01水果!$B313="",N(对接源_01水果!$AJ313)&lt;=0),0,IF(OR(N(对接源_01水果!$B313)&lt;$AL$2,N(对接源_01水果!$B313)&gt;$AL$3),0,1))</f>
        <v>0</v>
      </c>
      <c r="AM313">
        <f>N(AM312)+$AL313</f>
        <v>0</v>
      </c>
      <c r="AN313">
        <f>IF(对接源_01水果!$AC313="","",对接源_01水果!$AC313)</f>
      </c>
      <c r="AO313">
        <f>IF(AN313="",0,IF(MATCH(AN313,$AN$4:$AN$1203,0)=ROW()-3,1,0))</f>
        <v>0</v>
      </c>
      <c r="AP313">
        <f>N(AP312)+$AO313</f>
        <v>0</v>
      </c>
      <c r="AR313">
        <f>IF(OR($AF313=1,$AH313=1),1,0)</f>
        <v>0</v>
      </c>
      <c r="AS313">
        <f>N(AS312)+$AR313</f>
        <v>0</v>
      </c>
    </row>
    <row r="314" ht="14.25" customHeight="1" s="127">
      <c r="A314" t="str">
        <f>IF(对接源_01水果!$C314="","",对接源_01水果!$C314)</f>
        <v>王照雪</v>
      </c>
      <c r="B314">
        <f>IF(A314="",0,IF(MATCH(A314,$A$4:$A$2403,0)=ROW()-3,1,0))</f>
        <v>0</v>
      </c>
      <c r="C314">
        <f>N(C313)+B314</f>
        <v>18</v>
      </c>
      <c r="K314">
        <f>IF(OR($K$1="",对接源_01水果!$C314="",对接源_01水果!$C314&lt;&gt;$K$1,对接源_01水果!$B314=""),0,IF(OR(N(对接源_01水果!$B314)&lt;$K$2,N(对接源_01水果!$B314)&gt;$K$3),0,1))</f>
        <v>0</v>
      </c>
      <c r="L314">
        <f>IF(OR($L$1="",对接源_01水果!$C314="",对接源_01水果!$C314&lt;&gt;$L$1,对接源_01水果!$B314=""),0,IF(OR(N(对接源_01水果!$B314)&lt;$L$2,N(对接源_01水果!$B314)&gt;$L$3),0,1))</f>
        <v>0</v>
      </c>
      <c r="M314">
        <f>IF(OR($M$1="",对接源_01水果!$C314="",对接源_01水果!$C314&lt;&gt;$M$1,对接源_01水果!$B314=""),0,IF(OR(N(对接源_01水果!$B314)&lt;$M$2,N(对接源_01水果!$B314)&gt;$M$3),0,1))</f>
        <v>0</v>
      </c>
      <c r="N314">
        <f>IF(OR($N$1="",对接源_01水果!$C314="",对接源_01水果!$C314&lt;&gt;$N$1,对接源_01水果!$B314=""),0,IF(OR(N(对接源_01水果!$B314)&lt;$N$2,N(对接源_01水果!$B314)&gt;$N$3),0,1))</f>
        <v>0</v>
      </c>
      <c r="P314">
        <f>IF(AND($K314=1,AND(对接源_01水果!$X314="公司筐",N(对接源_01水果!$T314)&lt;&gt;0)),1,0)</f>
        <v>0</v>
      </c>
      <c r="Q314">
        <f>N(Q313)+$P314</f>
        <v>0</v>
      </c>
      <c r="R314">
        <f>IF(AND($K314=1,AND(对接源_01水果!$X314="公司筐",N(对接源_01水果!$U314)&lt;&gt;0)),1,0)</f>
        <v>0</v>
      </c>
      <c r="S314">
        <f>N(S313)+$R314</f>
        <v>0</v>
      </c>
      <c r="T314">
        <f>IF(AND($K314=1,AND(对接源_01水果!$X314="公司筐",N(对接源_01水果!$V314)&lt;&gt;0)),1,0)</f>
        <v>0</v>
      </c>
      <c r="U314">
        <f>N(U313)+$T314</f>
        <v>19</v>
      </c>
      <c r="V314">
        <f>IF(AND($L314=1,AND(对接源_01水果!$X314="自备筐",N(对接源_01水果!$V314)&lt;&gt;0)),1,0)</f>
        <v>0</v>
      </c>
      <c r="W314">
        <f>N(W313)+$V314</f>
        <v>8</v>
      </c>
      <c r="X314">
        <f>IF(AND($L314=1,AND(对接源_01水果!$X314="自备筐",N(对接源_01水果!$T314)&lt;&gt;0)),1,0)</f>
        <v>0</v>
      </c>
      <c r="Y314">
        <f>N(Y313)+$X314</f>
        <v>0</v>
      </c>
      <c r="Z314">
        <f>IF(AND($M314=1,对接源_01水果!$D314="原料入库"),1,0)</f>
        <v>0</v>
      </c>
      <c r="AA314">
        <f>N(AA313)+$Z314</f>
        <v>24</v>
      </c>
      <c r="AB314">
        <f>IF(AND($M314=1,LEFT(对接源_01水果!$D314,4)="原料出库"),1,0)</f>
        <v>0</v>
      </c>
      <c r="AC314">
        <f>N(AC313)+$AB314</f>
        <v>0</v>
      </c>
      <c r="AD314">
        <f>IF(AND($M314=1,LEFT(对接源_01水果!$D314,4)="成品出库"),1,0)</f>
        <v>0</v>
      </c>
      <c r="AE314">
        <f>N(AE313)+$AD314</f>
        <v>0</v>
      </c>
      <c r="AF314">
        <f>IF(AND($N314=1,AND(LEFT(对接源_01水果!$D314,4)="包装物料",N(对接源_01水果!$K314)&lt;&gt;0)),1,0)</f>
        <v>0</v>
      </c>
      <c r="AG314">
        <f>N(AG313)+$AF314</f>
        <v>0</v>
      </c>
      <c r="AH314">
        <f>IF(AND($N314=1,AND(对接源_01水果!$D314="周转筐－销售出库",N(对接源_01水果!$K314)&lt;&gt;0)),1,0)</f>
        <v>0</v>
      </c>
      <c r="AI314">
        <f>N(AI313)+$AH314</f>
        <v>0</v>
      </c>
      <c r="AJ314" s="7" t="n"/>
      <c r="AL314">
        <f>IF(OR($AL$1="",对接源_01水果!$Y314="",对接源_01水果!$Y314&lt;&gt;$AL$1,对接源_01水果!$B314="",N(对接源_01水果!$AJ314)&lt;=0),0,IF(OR(N(对接源_01水果!$B314)&lt;$AL$2,N(对接源_01水果!$B314)&gt;$AL$3),0,1))</f>
        <v>0</v>
      </c>
      <c r="AM314">
        <f>N(AM313)+$AL314</f>
        <v>0</v>
      </c>
      <c r="AN314">
        <f>IF(对接源_01水果!$AC314="","",对接源_01水果!$AC314)</f>
      </c>
      <c r="AO314">
        <f>IF(AN314="",0,IF(MATCH(AN314,$AN$4:$AN$1203,0)=ROW()-3,1,0))</f>
        <v>0</v>
      </c>
      <c r="AP314">
        <f>N(AP313)+$AO314</f>
        <v>0</v>
      </c>
      <c r="AR314">
        <f>IF(OR($AF314=1,$AH314=1),1,0)</f>
        <v>0</v>
      </c>
      <c r="AS314">
        <f>N(AS313)+$AR314</f>
        <v>0</v>
      </c>
    </row>
    <row r="315" ht="14.25" customHeight="1" s="127">
      <c r="A315" t="str">
        <f>IF(对接源_01水果!$C315="","",对接源_01水果!$C315)</f>
        <v>王照雪</v>
      </c>
      <c r="B315">
        <f>IF(A315="",0,IF(MATCH(A315,$A$4:$A$2403,0)=ROW()-3,1,0))</f>
        <v>0</v>
      </c>
      <c r="C315">
        <f>N(C314)+B315</f>
        <v>18</v>
      </c>
      <c r="K315">
        <f>IF(OR($K$1="",对接源_01水果!$C315="",对接源_01水果!$C315&lt;&gt;$K$1,对接源_01水果!$B315=""),0,IF(OR(N(对接源_01水果!$B315)&lt;$K$2,N(对接源_01水果!$B315)&gt;$K$3),0,1))</f>
        <v>0</v>
      </c>
      <c r="L315">
        <f>IF(OR($L$1="",对接源_01水果!$C315="",对接源_01水果!$C315&lt;&gt;$L$1,对接源_01水果!$B315=""),0,IF(OR(N(对接源_01水果!$B315)&lt;$L$2,N(对接源_01水果!$B315)&gt;$L$3),0,1))</f>
        <v>0</v>
      </c>
      <c r="M315">
        <f>IF(OR($M$1="",对接源_01水果!$C315="",对接源_01水果!$C315&lt;&gt;$M$1,对接源_01水果!$B315=""),0,IF(OR(N(对接源_01水果!$B315)&lt;$M$2,N(对接源_01水果!$B315)&gt;$M$3),0,1))</f>
        <v>0</v>
      </c>
      <c r="N315">
        <f>IF(OR($N$1="",对接源_01水果!$C315="",对接源_01水果!$C315&lt;&gt;$N$1,对接源_01水果!$B315=""),0,IF(OR(N(对接源_01水果!$B315)&lt;$N$2,N(对接源_01水果!$B315)&gt;$N$3),0,1))</f>
        <v>0</v>
      </c>
      <c r="P315">
        <f>IF(AND($K315=1,AND(对接源_01水果!$X315="公司筐",N(对接源_01水果!$T315)&lt;&gt;0)),1,0)</f>
        <v>0</v>
      </c>
      <c r="Q315">
        <f>N(Q314)+$P315</f>
        <v>0</v>
      </c>
      <c r="R315">
        <f>IF(AND($K315=1,AND(对接源_01水果!$X315="公司筐",N(对接源_01水果!$U315)&lt;&gt;0)),1,0)</f>
        <v>0</v>
      </c>
      <c r="S315">
        <f>N(S314)+$R315</f>
        <v>0</v>
      </c>
      <c r="T315">
        <f>IF(AND($K315=1,AND(对接源_01水果!$X315="公司筐",N(对接源_01水果!$V315)&lt;&gt;0)),1,0)</f>
        <v>0</v>
      </c>
      <c r="U315">
        <f>N(U314)+$T315</f>
        <v>19</v>
      </c>
      <c r="V315">
        <f>IF(AND($L315=1,AND(对接源_01水果!$X315="自备筐",N(对接源_01水果!$V315)&lt;&gt;0)),1,0)</f>
        <v>0</v>
      </c>
      <c r="W315">
        <f>N(W314)+$V315</f>
        <v>8</v>
      </c>
      <c r="X315">
        <f>IF(AND($L315=1,AND(对接源_01水果!$X315="自备筐",N(对接源_01水果!$T315)&lt;&gt;0)),1,0)</f>
        <v>0</v>
      </c>
      <c r="Y315">
        <f>N(Y314)+$X315</f>
        <v>0</v>
      </c>
      <c r="Z315">
        <f>IF(AND($M315=1,对接源_01水果!$D315="原料入库"),1,0)</f>
        <v>0</v>
      </c>
      <c r="AA315">
        <f>N(AA314)+$Z315</f>
        <v>24</v>
      </c>
      <c r="AB315">
        <f>IF(AND($M315=1,LEFT(对接源_01水果!$D315,4)="原料出库"),1,0)</f>
        <v>0</v>
      </c>
      <c r="AC315">
        <f>N(AC314)+$AB315</f>
        <v>0</v>
      </c>
      <c r="AD315">
        <f>IF(AND($M315=1,LEFT(对接源_01水果!$D315,4)="成品出库"),1,0)</f>
        <v>0</v>
      </c>
      <c r="AE315">
        <f>N(AE314)+$AD315</f>
        <v>0</v>
      </c>
      <c r="AF315">
        <f>IF(AND($N315=1,AND(LEFT(对接源_01水果!$D315,4)="包装物料",N(对接源_01水果!$K315)&lt;&gt;0)),1,0)</f>
        <v>0</v>
      </c>
      <c r="AG315">
        <f>N(AG314)+$AF315</f>
        <v>0</v>
      </c>
      <c r="AH315">
        <f>IF(AND($N315=1,AND(对接源_01水果!$D315="周转筐－销售出库",N(对接源_01水果!$K315)&lt;&gt;0)),1,0)</f>
        <v>0</v>
      </c>
      <c r="AI315">
        <f>N(AI314)+$AH315</f>
        <v>0</v>
      </c>
      <c r="AJ315" s="7" t="n"/>
      <c r="AL315">
        <f>IF(OR($AL$1="",对接源_01水果!$Y315="",对接源_01水果!$Y315&lt;&gt;$AL$1,对接源_01水果!$B315="",N(对接源_01水果!$AJ315)&lt;=0),0,IF(OR(N(对接源_01水果!$B315)&lt;$AL$2,N(对接源_01水果!$B315)&gt;$AL$3),0,1))</f>
        <v>0</v>
      </c>
      <c r="AM315">
        <f>N(AM314)+$AL315</f>
        <v>0</v>
      </c>
      <c r="AN315">
        <f>IF(对接源_01水果!$AC315="","",对接源_01水果!$AC315)</f>
      </c>
      <c r="AO315">
        <f>IF(AN315="",0,IF(MATCH(AN315,$AN$4:$AN$1203,0)=ROW()-3,1,0))</f>
        <v>0</v>
      </c>
      <c r="AP315">
        <f>N(AP314)+$AO315</f>
        <v>0</v>
      </c>
      <c r="AR315">
        <f>IF(OR($AF315=1,$AH315=1),1,0)</f>
        <v>0</v>
      </c>
      <c r="AS315">
        <f>N(AS314)+$AR315</f>
        <v>0</v>
      </c>
    </row>
    <row r="316" ht="14.25" customHeight="1" s="127">
      <c r="A316" t="str">
        <f>IF(对接源_01水果!$C316="","",对接源_01水果!$C316)</f>
        <v>王照雪</v>
      </c>
      <c r="B316">
        <f>IF(A316="",0,IF(MATCH(A316,$A$4:$A$2403,0)=ROW()-3,1,0))</f>
        <v>0</v>
      </c>
      <c r="C316">
        <f>N(C315)+B316</f>
        <v>18</v>
      </c>
      <c r="K316">
        <f>IF(OR($K$1="",对接源_01水果!$C316="",对接源_01水果!$C316&lt;&gt;$K$1,对接源_01水果!$B316=""),0,IF(OR(N(对接源_01水果!$B316)&lt;$K$2,N(对接源_01水果!$B316)&gt;$K$3),0,1))</f>
        <v>0</v>
      </c>
      <c r="L316">
        <f>IF(OR($L$1="",对接源_01水果!$C316="",对接源_01水果!$C316&lt;&gt;$L$1,对接源_01水果!$B316=""),0,IF(OR(N(对接源_01水果!$B316)&lt;$L$2,N(对接源_01水果!$B316)&gt;$L$3),0,1))</f>
        <v>0</v>
      </c>
      <c r="M316">
        <f>IF(OR($M$1="",对接源_01水果!$C316="",对接源_01水果!$C316&lt;&gt;$M$1,对接源_01水果!$B316=""),0,IF(OR(N(对接源_01水果!$B316)&lt;$M$2,N(对接源_01水果!$B316)&gt;$M$3),0,1))</f>
        <v>0</v>
      </c>
      <c r="N316">
        <f>IF(OR($N$1="",对接源_01水果!$C316="",对接源_01水果!$C316&lt;&gt;$N$1,对接源_01水果!$B316=""),0,IF(OR(N(对接源_01水果!$B316)&lt;$N$2,N(对接源_01水果!$B316)&gt;$N$3),0,1))</f>
        <v>0</v>
      </c>
      <c r="P316">
        <f>IF(AND($K316=1,AND(对接源_01水果!$X316="公司筐",N(对接源_01水果!$T316)&lt;&gt;0)),1,0)</f>
        <v>0</v>
      </c>
      <c r="Q316">
        <f>N(Q315)+$P316</f>
        <v>0</v>
      </c>
      <c r="R316">
        <f>IF(AND($K316=1,AND(对接源_01水果!$X316="公司筐",N(对接源_01水果!$U316)&lt;&gt;0)),1,0)</f>
        <v>0</v>
      </c>
      <c r="S316">
        <f>N(S315)+$R316</f>
        <v>0</v>
      </c>
      <c r="T316">
        <f>IF(AND($K316=1,AND(对接源_01水果!$X316="公司筐",N(对接源_01水果!$V316)&lt;&gt;0)),1,0)</f>
        <v>0</v>
      </c>
      <c r="U316">
        <f>N(U315)+$T316</f>
        <v>19</v>
      </c>
      <c r="V316">
        <f>IF(AND($L316=1,AND(对接源_01水果!$X316="自备筐",N(对接源_01水果!$V316)&lt;&gt;0)),1,0)</f>
        <v>0</v>
      </c>
      <c r="W316">
        <f>N(W315)+$V316</f>
        <v>8</v>
      </c>
      <c r="X316">
        <f>IF(AND($L316=1,AND(对接源_01水果!$X316="自备筐",N(对接源_01水果!$T316)&lt;&gt;0)),1,0)</f>
        <v>0</v>
      </c>
      <c r="Y316">
        <f>N(Y315)+$X316</f>
        <v>0</v>
      </c>
      <c r="Z316">
        <f>IF(AND($M316=1,对接源_01水果!$D316="原料入库"),1,0)</f>
        <v>0</v>
      </c>
      <c r="AA316">
        <f>N(AA315)+$Z316</f>
        <v>24</v>
      </c>
      <c r="AB316">
        <f>IF(AND($M316=1,LEFT(对接源_01水果!$D316,4)="原料出库"),1,0)</f>
        <v>0</v>
      </c>
      <c r="AC316">
        <f>N(AC315)+$AB316</f>
        <v>0</v>
      </c>
      <c r="AD316">
        <f>IF(AND($M316=1,LEFT(对接源_01水果!$D316,4)="成品出库"),1,0)</f>
        <v>0</v>
      </c>
      <c r="AE316">
        <f>N(AE315)+$AD316</f>
        <v>0</v>
      </c>
      <c r="AF316">
        <f>IF(AND($N316=1,AND(LEFT(对接源_01水果!$D316,4)="包装物料",N(对接源_01水果!$K316)&lt;&gt;0)),1,0)</f>
        <v>0</v>
      </c>
      <c r="AG316">
        <f>N(AG315)+$AF316</f>
        <v>0</v>
      </c>
      <c r="AH316">
        <f>IF(AND($N316=1,AND(对接源_01水果!$D316="周转筐－销售出库",N(对接源_01水果!$K316)&lt;&gt;0)),1,0)</f>
        <v>0</v>
      </c>
      <c r="AI316">
        <f>N(AI315)+$AH316</f>
        <v>0</v>
      </c>
      <c r="AJ316" s="7" t="n"/>
      <c r="AL316">
        <f>IF(OR($AL$1="",对接源_01水果!$Y316="",对接源_01水果!$Y316&lt;&gt;$AL$1,对接源_01水果!$B316="",N(对接源_01水果!$AJ316)&lt;=0),0,IF(OR(N(对接源_01水果!$B316)&lt;$AL$2,N(对接源_01水果!$B316)&gt;$AL$3),0,1))</f>
        <v>0</v>
      </c>
      <c r="AM316">
        <f>N(AM315)+$AL316</f>
        <v>0</v>
      </c>
      <c r="AN316">
        <f>IF(对接源_01水果!$AC316="","",对接源_01水果!$AC316)</f>
      </c>
      <c r="AO316">
        <f>IF(AN316="",0,IF(MATCH(AN316,$AN$4:$AN$1203,0)=ROW()-3,1,0))</f>
        <v>0</v>
      </c>
      <c r="AP316">
        <f>N(AP315)+$AO316</f>
        <v>0</v>
      </c>
      <c r="AR316">
        <f>IF(OR($AF316=1,$AH316=1),1,0)</f>
        <v>0</v>
      </c>
      <c r="AS316">
        <f>N(AS315)+$AR316</f>
        <v>0</v>
      </c>
    </row>
    <row r="317" ht="14.25" customHeight="1" s="127">
      <c r="A317" t="str">
        <f>IF(对接源_01水果!$C317="","",对接源_01水果!$C317)</f>
        <v>王照雪</v>
      </c>
      <c r="B317">
        <f>IF(A317="",0,IF(MATCH(A317,$A$4:$A$2403,0)=ROW()-3,1,0))</f>
        <v>0</v>
      </c>
      <c r="C317">
        <f>N(C316)+B317</f>
        <v>18</v>
      </c>
      <c r="K317">
        <f>IF(OR($K$1="",对接源_01水果!$C317="",对接源_01水果!$C317&lt;&gt;$K$1,对接源_01水果!$B317=""),0,IF(OR(N(对接源_01水果!$B317)&lt;$K$2,N(对接源_01水果!$B317)&gt;$K$3),0,1))</f>
        <v>0</v>
      </c>
      <c r="L317">
        <f>IF(OR($L$1="",对接源_01水果!$C317="",对接源_01水果!$C317&lt;&gt;$L$1,对接源_01水果!$B317=""),0,IF(OR(N(对接源_01水果!$B317)&lt;$L$2,N(对接源_01水果!$B317)&gt;$L$3),0,1))</f>
        <v>0</v>
      </c>
      <c r="M317">
        <f>IF(OR($M$1="",对接源_01水果!$C317="",对接源_01水果!$C317&lt;&gt;$M$1,对接源_01水果!$B317=""),0,IF(OR(N(对接源_01水果!$B317)&lt;$M$2,N(对接源_01水果!$B317)&gt;$M$3),0,1))</f>
        <v>0</v>
      </c>
      <c r="N317">
        <f>IF(OR($N$1="",对接源_01水果!$C317="",对接源_01水果!$C317&lt;&gt;$N$1,对接源_01水果!$B317=""),0,IF(OR(N(对接源_01水果!$B317)&lt;$N$2,N(对接源_01水果!$B317)&gt;$N$3),0,1))</f>
        <v>0</v>
      </c>
      <c r="P317">
        <f>IF(AND($K317=1,AND(对接源_01水果!$X317="公司筐",N(对接源_01水果!$T317)&lt;&gt;0)),1,0)</f>
        <v>0</v>
      </c>
      <c r="Q317">
        <f>N(Q316)+$P317</f>
        <v>0</v>
      </c>
      <c r="R317">
        <f>IF(AND($K317=1,AND(对接源_01水果!$X317="公司筐",N(对接源_01水果!$U317)&lt;&gt;0)),1,0)</f>
        <v>0</v>
      </c>
      <c r="S317">
        <f>N(S316)+$R317</f>
        <v>0</v>
      </c>
      <c r="T317">
        <f>IF(AND($K317=1,AND(对接源_01水果!$X317="公司筐",N(对接源_01水果!$V317)&lt;&gt;0)),1,0)</f>
        <v>0</v>
      </c>
      <c r="U317">
        <f>N(U316)+$T317</f>
        <v>19</v>
      </c>
      <c r="V317">
        <f>IF(AND($L317=1,AND(对接源_01水果!$X317="自备筐",N(对接源_01水果!$V317)&lt;&gt;0)),1,0)</f>
        <v>0</v>
      </c>
      <c r="W317">
        <f>N(W316)+$V317</f>
        <v>8</v>
      </c>
      <c r="X317">
        <f>IF(AND($L317=1,AND(对接源_01水果!$X317="自备筐",N(对接源_01水果!$T317)&lt;&gt;0)),1,0)</f>
        <v>0</v>
      </c>
      <c r="Y317">
        <f>N(Y316)+$X317</f>
        <v>0</v>
      </c>
      <c r="Z317">
        <f>IF(AND($M317=1,对接源_01水果!$D317="原料入库"),1,0)</f>
        <v>0</v>
      </c>
      <c r="AA317">
        <f>N(AA316)+$Z317</f>
        <v>24</v>
      </c>
      <c r="AB317">
        <f>IF(AND($M317=1,LEFT(对接源_01水果!$D317,4)="原料出库"),1,0)</f>
        <v>0</v>
      </c>
      <c r="AC317">
        <f>N(AC316)+$AB317</f>
        <v>0</v>
      </c>
      <c r="AD317">
        <f>IF(AND($M317=1,LEFT(对接源_01水果!$D317,4)="成品出库"),1,0)</f>
        <v>0</v>
      </c>
      <c r="AE317">
        <f>N(AE316)+$AD317</f>
        <v>0</v>
      </c>
      <c r="AF317">
        <f>IF(AND($N317=1,AND(LEFT(对接源_01水果!$D317,4)="包装物料",N(对接源_01水果!$K317)&lt;&gt;0)),1,0)</f>
        <v>0</v>
      </c>
      <c r="AG317">
        <f>N(AG316)+$AF317</f>
        <v>0</v>
      </c>
      <c r="AH317">
        <f>IF(AND($N317=1,AND(对接源_01水果!$D317="周转筐－销售出库",N(对接源_01水果!$K317)&lt;&gt;0)),1,0)</f>
        <v>0</v>
      </c>
      <c r="AI317">
        <f>N(AI316)+$AH317</f>
        <v>0</v>
      </c>
      <c r="AJ317" s="7" t="n"/>
      <c r="AL317">
        <f>IF(OR($AL$1="",对接源_01水果!$Y317="",对接源_01水果!$Y317&lt;&gt;$AL$1,对接源_01水果!$B317="",N(对接源_01水果!$AJ317)&lt;=0),0,IF(OR(N(对接源_01水果!$B317)&lt;$AL$2,N(对接源_01水果!$B317)&gt;$AL$3),0,1))</f>
        <v>0</v>
      </c>
      <c r="AM317">
        <f>N(AM316)+$AL317</f>
        <v>0</v>
      </c>
      <c r="AN317">
        <f>IF(对接源_01水果!$AC317="","",对接源_01水果!$AC317)</f>
      </c>
      <c r="AO317">
        <f>IF(AN317="",0,IF(MATCH(AN317,$AN$4:$AN$1203,0)=ROW()-3,1,0))</f>
        <v>0</v>
      </c>
      <c r="AP317">
        <f>N(AP316)+$AO317</f>
        <v>0</v>
      </c>
      <c r="AR317">
        <f>IF(OR($AF317=1,$AH317=1),1,0)</f>
        <v>0</v>
      </c>
      <c r="AS317">
        <f>N(AS316)+$AR317</f>
        <v>0</v>
      </c>
    </row>
    <row r="318" ht="14.25" customHeight="1" s="127">
      <c r="A318" t="str">
        <f>IF(对接源_01水果!$C318="","",对接源_01水果!$C318)</f>
        <v>荆建君</v>
      </c>
      <c r="B318">
        <f>IF(A318="",0,IF(MATCH(A318,$A$4:$A$2403,0)=ROW()-3,1,0))</f>
        <v>0</v>
      </c>
      <c r="C318">
        <f>N(C317)+B318</f>
        <v>18</v>
      </c>
      <c r="K318">
        <f>IF(OR($K$1="",对接源_01水果!$C318="",对接源_01水果!$C318&lt;&gt;$K$1,对接源_01水果!$B318=""),0,IF(OR(N(对接源_01水果!$B318)&lt;$K$2,N(对接源_01水果!$B318)&gt;$K$3),0,1))</f>
        <v>0</v>
      </c>
      <c r="L318">
        <f>IF(OR($L$1="",对接源_01水果!$C318="",对接源_01水果!$C318&lt;&gt;$L$1,对接源_01水果!$B318=""),0,IF(OR(N(对接源_01水果!$B318)&lt;$L$2,N(对接源_01水果!$B318)&gt;$L$3),0,1))</f>
        <v>0</v>
      </c>
      <c r="M318">
        <f>IF(OR($M$1="",对接源_01水果!$C318="",对接源_01水果!$C318&lt;&gt;$M$1,对接源_01水果!$B318=""),0,IF(OR(N(对接源_01水果!$B318)&lt;$M$2,N(对接源_01水果!$B318)&gt;$M$3),0,1))</f>
        <v>0</v>
      </c>
      <c r="N318">
        <f>IF(OR($N$1="",对接源_01水果!$C318="",对接源_01水果!$C318&lt;&gt;$N$1,对接源_01水果!$B318=""),0,IF(OR(N(对接源_01水果!$B318)&lt;$N$2,N(对接源_01水果!$B318)&gt;$N$3),0,1))</f>
        <v>0</v>
      </c>
      <c r="P318">
        <f>IF(AND($K318=1,AND(对接源_01水果!$X318="公司筐",N(对接源_01水果!$T318)&lt;&gt;0)),1,0)</f>
        <v>0</v>
      </c>
      <c r="Q318">
        <f>N(Q317)+$P318</f>
        <v>0</v>
      </c>
      <c r="R318">
        <f>IF(AND($K318=1,AND(对接源_01水果!$X318="公司筐",N(对接源_01水果!$U318)&lt;&gt;0)),1,0)</f>
        <v>0</v>
      </c>
      <c r="S318">
        <f>N(S317)+$R318</f>
        <v>0</v>
      </c>
      <c r="T318">
        <f>IF(AND($K318=1,AND(对接源_01水果!$X318="公司筐",N(对接源_01水果!$V318)&lt;&gt;0)),1,0)</f>
        <v>0</v>
      </c>
      <c r="U318">
        <f>N(U317)+$T318</f>
        <v>19</v>
      </c>
      <c r="V318">
        <f>IF(AND($L318=1,AND(对接源_01水果!$X318="自备筐",N(对接源_01水果!$V318)&lt;&gt;0)),1,0)</f>
        <v>0</v>
      </c>
      <c r="W318">
        <f>N(W317)+$V318</f>
        <v>8</v>
      </c>
      <c r="X318">
        <f>IF(AND($L318=1,AND(对接源_01水果!$X318="自备筐",N(对接源_01水果!$T318)&lt;&gt;0)),1,0)</f>
        <v>0</v>
      </c>
      <c r="Y318">
        <f>N(Y317)+$X318</f>
        <v>0</v>
      </c>
      <c r="Z318">
        <f>IF(AND($M318=1,对接源_01水果!$D318="原料入库"),1,0)</f>
        <v>0</v>
      </c>
      <c r="AA318">
        <f>N(AA317)+$Z318</f>
        <v>24</v>
      </c>
      <c r="AB318">
        <f>IF(AND($M318=1,LEFT(对接源_01水果!$D318,4)="原料出库"),1,0)</f>
        <v>0</v>
      </c>
      <c r="AC318">
        <f>N(AC317)+$AB318</f>
        <v>0</v>
      </c>
      <c r="AD318">
        <f>IF(AND($M318=1,LEFT(对接源_01水果!$D318,4)="成品出库"),1,0)</f>
        <v>0</v>
      </c>
      <c r="AE318">
        <f>N(AE317)+$AD318</f>
        <v>0</v>
      </c>
      <c r="AF318">
        <f>IF(AND($N318=1,AND(LEFT(对接源_01水果!$D318,4)="包装物料",N(对接源_01水果!$K318)&lt;&gt;0)),1,0)</f>
        <v>0</v>
      </c>
      <c r="AG318">
        <f>N(AG317)+$AF318</f>
        <v>0</v>
      </c>
      <c r="AH318">
        <f>IF(AND($N318=1,AND(对接源_01水果!$D318="周转筐－销售出库",N(对接源_01水果!$K318)&lt;&gt;0)),1,0)</f>
        <v>0</v>
      </c>
      <c r="AI318">
        <f>N(AI317)+$AH318</f>
        <v>0</v>
      </c>
      <c r="AJ318" s="7" t="n"/>
      <c r="AL318">
        <f>IF(OR($AL$1="",对接源_01水果!$Y318="",对接源_01水果!$Y318&lt;&gt;$AL$1,对接源_01水果!$B318="",N(对接源_01水果!$AJ318)&lt;=0),0,IF(OR(N(对接源_01水果!$B318)&lt;$AL$2,N(对接源_01水果!$B318)&gt;$AL$3),0,1))</f>
        <v>0</v>
      </c>
      <c r="AM318">
        <f>N(AM317)+$AL318</f>
        <v>0</v>
      </c>
      <c r="AN318">
        <f>IF(对接源_01水果!$AC318="","",对接源_01水果!$AC318)</f>
      </c>
      <c r="AO318">
        <f>IF(AN318="",0,IF(MATCH(AN318,$AN$4:$AN$1203,0)=ROW()-3,1,0))</f>
        <v>0</v>
      </c>
      <c r="AP318">
        <f>N(AP317)+$AO318</f>
        <v>0</v>
      </c>
      <c r="AR318">
        <f>IF(OR($AF318=1,$AH318=1),1,0)</f>
        <v>0</v>
      </c>
      <c r="AS318">
        <f>N(AS317)+$AR318</f>
        <v>0</v>
      </c>
    </row>
    <row r="319" ht="14.25" customHeight="1" s="127">
      <c r="A319" t="str">
        <f>IF(对接源_01水果!$C319="","",对接源_01水果!$C319)</f>
        <v>荆建君</v>
      </c>
      <c r="B319">
        <f>IF(A319="",0,IF(MATCH(A319,$A$4:$A$2403,0)=ROW()-3,1,0))</f>
        <v>0</v>
      </c>
      <c r="C319">
        <f>N(C318)+B319</f>
        <v>18</v>
      </c>
      <c r="K319">
        <f>IF(OR($K$1="",对接源_01水果!$C319="",对接源_01水果!$C319&lt;&gt;$K$1,对接源_01水果!$B319=""),0,IF(OR(N(对接源_01水果!$B319)&lt;$K$2,N(对接源_01水果!$B319)&gt;$K$3),0,1))</f>
        <v>0</v>
      </c>
      <c r="L319">
        <f>IF(OR($L$1="",对接源_01水果!$C319="",对接源_01水果!$C319&lt;&gt;$L$1,对接源_01水果!$B319=""),0,IF(OR(N(对接源_01水果!$B319)&lt;$L$2,N(对接源_01水果!$B319)&gt;$L$3),0,1))</f>
        <v>0</v>
      </c>
      <c r="M319">
        <f>IF(OR($M$1="",对接源_01水果!$C319="",对接源_01水果!$C319&lt;&gt;$M$1,对接源_01水果!$B319=""),0,IF(OR(N(对接源_01水果!$B319)&lt;$M$2,N(对接源_01水果!$B319)&gt;$M$3),0,1))</f>
        <v>0</v>
      </c>
      <c r="N319">
        <f>IF(OR($N$1="",对接源_01水果!$C319="",对接源_01水果!$C319&lt;&gt;$N$1,对接源_01水果!$B319=""),0,IF(OR(N(对接源_01水果!$B319)&lt;$N$2,N(对接源_01水果!$B319)&gt;$N$3),0,1))</f>
        <v>0</v>
      </c>
      <c r="P319">
        <f>IF(AND($K319=1,AND(对接源_01水果!$X319="公司筐",N(对接源_01水果!$T319)&lt;&gt;0)),1,0)</f>
        <v>0</v>
      </c>
      <c r="Q319">
        <f>N(Q318)+$P319</f>
        <v>0</v>
      </c>
      <c r="R319">
        <f>IF(AND($K319=1,AND(对接源_01水果!$X319="公司筐",N(对接源_01水果!$U319)&lt;&gt;0)),1,0)</f>
        <v>0</v>
      </c>
      <c r="S319">
        <f>N(S318)+$R319</f>
        <v>0</v>
      </c>
      <c r="T319">
        <f>IF(AND($K319=1,AND(对接源_01水果!$X319="公司筐",N(对接源_01水果!$V319)&lt;&gt;0)),1,0)</f>
        <v>0</v>
      </c>
      <c r="U319">
        <f>N(U318)+$T319</f>
        <v>19</v>
      </c>
      <c r="V319">
        <f>IF(AND($L319=1,AND(对接源_01水果!$X319="自备筐",N(对接源_01水果!$V319)&lt;&gt;0)),1,0)</f>
        <v>0</v>
      </c>
      <c r="W319">
        <f>N(W318)+$V319</f>
        <v>8</v>
      </c>
      <c r="X319">
        <f>IF(AND($L319=1,AND(对接源_01水果!$X319="自备筐",N(对接源_01水果!$T319)&lt;&gt;0)),1,0)</f>
        <v>0</v>
      </c>
      <c r="Y319">
        <f>N(Y318)+$X319</f>
        <v>0</v>
      </c>
      <c r="Z319">
        <f>IF(AND($M319=1,对接源_01水果!$D319="原料入库"),1,0)</f>
        <v>0</v>
      </c>
      <c r="AA319">
        <f>N(AA318)+$Z319</f>
        <v>24</v>
      </c>
      <c r="AB319">
        <f>IF(AND($M319=1,LEFT(对接源_01水果!$D319,4)="原料出库"),1,0)</f>
        <v>0</v>
      </c>
      <c r="AC319">
        <f>N(AC318)+$AB319</f>
        <v>0</v>
      </c>
      <c r="AD319">
        <f>IF(AND($M319=1,LEFT(对接源_01水果!$D319,4)="成品出库"),1,0)</f>
        <v>0</v>
      </c>
      <c r="AE319">
        <f>N(AE318)+$AD319</f>
        <v>0</v>
      </c>
      <c r="AF319">
        <f>IF(AND($N319=1,AND(LEFT(对接源_01水果!$D319,4)="包装物料",N(对接源_01水果!$K319)&lt;&gt;0)),1,0)</f>
        <v>0</v>
      </c>
      <c r="AG319">
        <f>N(AG318)+$AF319</f>
        <v>0</v>
      </c>
      <c r="AH319">
        <f>IF(AND($N319=1,AND(对接源_01水果!$D319="周转筐－销售出库",N(对接源_01水果!$K319)&lt;&gt;0)),1,0)</f>
        <v>0</v>
      </c>
      <c r="AI319">
        <f>N(AI318)+$AH319</f>
        <v>0</v>
      </c>
      <c r="AJ319" s="7" t="n"/>
      <c r="AL319">
        <f>IF(OR($AL$1="",对接源_01水果!$Y319="",对接源_01水果!$Y319&lt;&gt;$AL$1,对接源_01水果!$B319="",N(对接源_01水果!$AJ319)&lt;=0),0,IF(OR(N(对接源_01水果!$B319)&lt;$AL$2,N(对接源_01水果!$B319)&gt;$AL$3),0,1))</f>
        <v>0</v>
      </c>
      <c r="AM319">
        <f>N(AM318)+$AL319</f>
        <v>0</v>
      </c>
      <c r="AN319">
        <f>IF(对接源_01水果!$AC319="","",对接源_01水果!$AC319)</f>
      </c>
      <c r="AO319">
        <f>IF(AN319="",0,IF(MATCH(AN319,$AN$4:$AN$1203,0)=ROW()-3,1,0))</f>
        <v>0</v>
      </c>
      <c r="AP319">
        <f>N(AP318)+$AO319</f>
        <v>0</v>
      </c>
      <c r="AR319">
        <f>IF(OR($AF319=1,$AH319=1),1,0)</f>
        <v>0</v>
      </c>
      <c r="AS319">
        <f>N(AS318)+$AR319</f>
        <v>0</v>
      </c>
    </row>
    <row r="320" ht="14.25" customHeight="1" s="127">
      <c r="A320" t="str">
        <f>IF(对接源_01水果!$C320="","",对接源_01水果!$C320)</f>
        <v>热合曼+艾则孜</v>
      </c>
      <c r="B320">
        <f>IF(A320="",0,IF(MATCH(A320,$A$4:$A$2403,0)=ROW()-3,1,0))</f>
        <v>0</v>
      </c>
      <c r="C320">
        <f>N(C319)+B320</f>
        <v>18</v>
      </c>
      <c r="K320">
        <f>IF(OR($K$1="",对接源_01水果!$C320="",对接源_01水果!$C320&lt;&gt;$K$1,对接源_01水果!$B320=""),0,IF(OR(N(对接源_01水果!$B320)&lt;$K$2,N(对接源_01水果!$B320)&gt;$K$3),0,1))</f>
        <v>0</v>
      </c>
      <c r="L320">
        <f>IF(OR($L$1="",对接源_01水果!$C320="",对接源_01水果!$C320&lt;&gt;$L$1,对接源_01水果!$B320=""),0,IF(OR(N(对接源_01水果!$B320)&lt;$L$2,N(对接源_01水果!$B320)&gt;$L$3),0,1))</f>
        <v>0</v>
      </c>
      <c r="M320">
        <f>IF(OR($M$1="",对接源_01水果!$C320="",对接源_01水果!$C320&lt;&gt;$M$1,对接源_01水果!$B320=""),0,IF(OR(N(对接源_01水果!$B320)&lt;$M$2,N(对接源_01水果!$B320)&gt;$M$3),0,1))</f>
        <v>0</v>
      </c>
      <c r="N320">
        <f>IF(OR($N$1="",对接源_01水果!$C320="",对接源_01水果!$C320&lt;&gt;$N$1,对接源_01水果!$B320=""),0,IF(OR(N(对接源_01水果!$B320)&lt;$N$2,N(对接源_01水果!$B320)&gt;$N$3),0,1))</f>
        <v>0</v>
      </c>
      <c r="P320">
        <f>IF(AND($K320=1,AND(对接源_01水果!$X320="公司筐",N(对接源_01水果!$T320)&lt;&gt;0)),1,0)</f>
        <v>0</v>
      </c>
      <c r="Q320">
        <f>N(Q319)+$P320</f>
        <v>0</v>
      </c>
      <c r="R320">
        <f>IF(AND($K320=1,AND(对接源_01水果!$X320="公司筐",N(对接源_01水果!$U320)&lt;&gt;0)),1,0)</f>
        <v>0</v>
      </c>
      <c r="S320">
        <f>N(S319)+$R320</f>
        <v>0</v>
      </c>
      <c r="T320">
        <f>IF(AND($K320=1,AND(对接源_01水果!$X320="公司筐",N(对接源_01水果!$V320)&lt;&gt;0)),1,0)</f>
        <v>0</v>
      </c>
      <c r="U320">
        <f>N(U319)+$T320</f>
        <v>19</v>
      </c>
      <c r="V320">
        <f>IF(AND($L320=1,AND(对接源_01水果!$X320="自备筐",N(对接源_01水果!$V320)&lt;&gt;0)),1,0)</f>
        <v>0</v>
      </c>
      <c r="W320">
        <f>N(W319)+$V320</f>
        <v>8</v>
      </c>
      <c r="X320">
        <f>IF(AND($L320=1,AND(对接源_01水果!$X320="自备筐",N(对接源_01水果!$T320)&lt;&gt;0)),1,0)</f>
        <v>0</v>
      </c>
      <c r="Y320">
        <f>N(Y319)+$X320</f>
        <v>0</v>
      </c>
      <c r="Z320">
        <f>IF(AND($M320=1,对接源_01水果!$D320="原料入库"),1,0)</f>
        <v>0</v>
      </c>
      <c r="AA320">
        <f>N(AA319)+$Z320</f>
        <v>24</v>
      </c>
      <c r="AB320">
        <f>IF(AND($M320=1,LEFT(对接源_01水果!$D320,4)="原料出库"),1,0)</f>
        <v>0</v>
      </c>
      <c r="AC320">
        <f>N(AC319)+$AB320</f>
        <v>0</v>
      </c>
      <c r="AD320">
        <f>IF(AND($M320=1,LEFT(对接源_01水果!$D320,4)="成品出库"),1,0)</f>
        <v>0</v>
      </c>
      <c r="AE320">
        <f>N(AE319)+$AD320</f>
        <v>0</v>
      </c>
      <c r="AF320">
        <f>IF(AND($N320=1,AND(LEFT(对接源_01水果!$D320,4)="包装物料",N(对接源_01水果!$K320)&lt;&gt;0)),1,0)</f>
        <v>0</v>
      </c>
      <c r="AG320">
        <f>N(AG319)+$AF320</f>
        <v>0</v>
      </c>
      <c r="AH320">
        <f>IF(AND($N320=1,AND(对接源_01水果!$D320="周转筐－销售出库",N(对接源_01水果!$K320)&lt;&gt;0)),1,0)</f>
        <v>0</v>
      </c>
      <c r="AI320">
        <f>N(AI319)+$AH320</f>
        <v>0</v>
      </c>
      <c r="AJ320" s="7" t="n"/>
      <c r="AL320">
        <f>IF(OR($AL$1="",对接源_01水果!$Y320="",对接源_01水果!$Y320&lt;&gt;$AL$1,对接源_01水果!$B320="",N(对接源_01水果!$AJ320)&lt;=0),0,IF(OR(N(对接源_01水果!$B320)&lt;$AL$2,N(对接源_01水果!$B320)&gt;$AL$3),0,1))</f>
        <v>0</v>
      </c>
      <c r="AM320">
        <f>N(AM319)+$AL320</f>
        <v>0</v>
      </c>
      <c r="AN320">
        <f>IF(对接源_01水果!$AC320="","",对接源_01水果!$AC320)</f>
      </c>
      <c r="AO320">
        <f>IF(AN320="",0,IF(MATCH(AN320,$AN$4:$AN$1203,0)=ROW()-3,1,0))</f>
        <v>0</v>
      </c>
      <c r="AP320">
        <f>N(AP319)+$AO320</f>
        <v>0</v>
      </c>
      <c r="AR320">
        <f>IF(OR($AF320=1,$AH320=1),1,0)</f>
        <v>0</v>
      </c>
      <c r="AS320">
        <f>N(AS319)+$AR320</f>
        <v>0</v>
      </c>
    </row>
    <row r="321" ht="14.25" customHeight="1" s="127">
      <c r="A321" t="str">
        <f>IF(对接源_01水果!$C321="","",对接源_01水果!$C321)</f>
        <v>热合曼+艾则孜</v>
      </c>
      <c r="B321">
        <f>IF(A321="",0,IF(MATCH(A321,$A$4:$A$2403,0)=ROW()-3,1,0))</f>
        <v>0</v>
      </c>
      <c r="C321">
        <f>N(C320)+B321</f>
        <v>18</v>
      </c>
      <c r="K321">
        <f>IF(OR($K$1="",对接源_01水果!$C321="",对接源_01水果!$C321&lt;&gt;$K$1,对接源_01水果!$B321=""),0,IF(OR(N(对接源_01水果!$B321)&lt;$K$2,N(对接源_01水果!$B321)&gt;$K$3),0,1))</f>
        <v>0</v>
      </c>
      <c r="L321">
        <f>IF(OR($L$1="",对接源_01水果!$C321="",对接源_01水果!$C321&lt;&gt;$L$1,对接源_01水果!$B321=""),0,IF(OR(N(对接源_01水果!$B321)&lt;$L$2,N(对接源_01水果!$B321)&gt;$L$3),0,1))</f>
        <v>0</v>
      </c>
      <c r="M321">
        <f>IF(OR($M$1="",对接源_01水果!$C321="",对接源_01水果!$C321&lt;&gt;$M$1,对接源_01水果!$B321=""),0,IF(OR(N(对接源_01水果!$B321)&lt;$M$2,N(对接源_01水果!$B321)&gt;$M$3),0,1))</f>
        <v>0</v>
      </c>
      <c r="N321">
        <f>IF(OR($N$1="",对接源_01水果!$C321="",对接源_01水果!$C321&lt;&gt;$N$1,对接源_01水果!$B321=""),0,IF(OR(N(对接源_01水果!$B321)&lt;$N$2,N(对接源_01水果!$B321)&gt;$N$3),0,1))</f>
        <v>0</v>
      </c>
      <c r="P321">
        <f>IF(AND($K321=1,AND(对接源_01水果!$X321="公司筐",N(对接源_01水果!$T321)&lt;&gt;0)),1,0)</f>
        <v>0</v>
      </c>
      <c r="Q321">
        <f>N(Q320)+$P321</f>
        <v>0</v>
      </c>
      <c r="R321">
        <f>IF(AND($K321=1,AND(对接源_01水果!$X321="公司筐",N(对接源_01水果!$U321)&lt;&gt;0)),1,0)</f>
        <v>0</v>
      </c>
      <c r="S321">
        <f>N(S320)+$R321</f>
        <v>0</v>
      </c>
      <c r="T321">
        <f>IF(AND($K321=1,AND(对接源_01水果!$X321="公司筐",N(对接源_01水果!$V321)&lt;&gt;0)),1,0)</f>
        <v>0</v>
      </c>
      <c r="U321">
        <f>N(U320)+$T321</f>
        <v>19</v>
      </c>
      <c r="V321">
        <f>IF(AND($L321=1,AND(对接源_01水果!$X321="自备筐",N(对接源_01水果!$V321)&lt;&gt;0)),1,0)</f>
        <v>0</v>
      </c>
      <c r="W321">
        <f>N(W320)+$V321</f>
        <v>8</v>
      </c>
      <c r="X321">
        <f>IF(AND($L321=1,AND(对接源_01水果!$X321="自备筐",N(对接源_01水果!$T321)&lt;&gt;0)),1,0)</f>
        <v>0</v>
      </c>
      <c r="Y321">
        <f>N(Y320)+$X321</f>
        <v>0</v>
      </c>
      <c r="Z321">
        <f>IF(AND($M321=1,对接源_01水果!$D321="原料入库"),1,0)</f>
        <v>0</v>
      </c>
      <c r="AA321">
        <f>N(AA320)+$Z321</f>
        <v>24</v>
      </c>
      <c r="AB321">
        <f>IF(AND($M321=1,LEFT(对接源_01水果!$D321,4)="原料出库"),1,0)</f>
        <v>0</v>
      </c>
      <c r="AC321">
        <f>N(AC320)+$AB321</f>
        <v>0</v>
      </c>
      <c r="AD321">
        <f>IF(AND($M321=1,LEFT(对接源_01水果!$D321,4)="成品出库"),1,0)</f>
        <v>0</v>
      </c>
      <c r="AE321">
        <f>N(AE320)+$AD321</f>
        <v>0</v>
      </c>
      <c r="AF321">
        <f>IF(AND($N321=1,AND(LEFT(对接源_01水果!$D321,4)="包装物料",N(对接源_01水果!$K321)&lt;&gt;0)),1,0)</f>
        <v>0</v>
      </c>
      <c r="AG321">
        <f>N(AG320)+$AF321</f>
        <v>0</v>
      </c>
      <c r="AH321">
        <f>IF(AND($N321=1,AND(对接源_01水果!$D321="周转筐－销售出库",N(对接源_01水果!$K321)&lt;&gt;0)),1,0)</f>
        <v>0</v>
      </c>
      <c r="AI321">
        <f>N(AI320)+$AH321</f>
        <v>0</v>
      </c>
      <c r="AJ321" s="7" t="n"/>
      <c r="AL321">
        <f>IF(OR($AL$1="",对接源_01水果!$Y321="",对接源_01水果!$Y321&lt;&gt;$AL$1,对接源_01水果!$B321="",N(对接源_01水果!$AJ321)&lt;=0),0,IF(OR(N(对接源_01水果!$B321)&lt;$AL$2,N(对接源_01水果!$B321)&gt;$AL$3),0,1))</f>
        <v>0</v>
      </c>
      <c r="AM321">
        <f>N(AM320)+$AL321</f>
        <v>0</v>
      </c>
      <c r="AN321">
        <f>IF(对接源_01水果!$AC321="","",对接源_01水果!$AC321)</f>
      </c>
      <c r="AO321">
        <f>IF(AN321="",0,IF(MATCH(AN321,$AN$4:$AN$1203,0)=ROW()-3,1,0))</f>
        <v>0</v>
      </c>
      <c r="AP321">
        <f>N(AP320)+$AO321</f>
        <v>0</v>
      </c>
      <c r="AR321">
        <f>IF(OR($AF321=1,$AH321=1),1,0)</f>
        <v>0</v>
      </c>
      <c r="AS321">
        <f>N(AS320)+$AR321</f>
        <v>0</v>
      </c>
    </row>
    <row r="322" ht="14.25" customHeight="1" s="127">
      <c r="A322" t="str">
        <f>IF(对接源_01水果!$C322="","",对接源_01水果!$C322)</f>
        <v>热合曼+艾则孜</v>
      </c>
      <c r="B322">
        <f>IF(A322="",0,IF(MATCH(A322,$A$4:$A$2403,0)=ROW()-3,1,0))</f>
        <v>0</v>
      </c>
      <c r="C322">
        <f>N(C321)+B322</f>
        <v>18</v>
      </c>
      <c r="K322">
        <f>IF(OR($K$1="",对接源_01水果!$C322="",对接源_01水果!$C322&lt;&gt;$K$1,对接源_01水果!$B322=""),0,IF(OR(N(对接源_01水果!$B322)&lt;$K$2,N(对接源_01水果!$B322)&gt;$K$3),0,1))</f>
        <v>0</v>
      </c>
      <c r="L322">
        <f>IF(OR($L$1="",对接源_01水果!$C322="",对接源_01水果!$C322&lt;&gt;$L$1,对接源_01水果!$B322=""),0,IF(OR(N(对接源_01水果!$B322)&lt;$L$2,N(对接源_01水果!$B322)&gt;$L$3),0,1))</f>
        <v>0</v>
      </c>
      <c r="M322">
        <f>IF(OR($M$1="",对接源_01水果!$C322="",对接源_01水果!$C322&lt;&gt;$M$1,对接源_01水果!$B322=""),0,IF(OR(N(对接源_01水果!$B322)&lt;$M$2,N(对接源_01水果!$B322)&gt;$M$3),0,1))</f>
        <v>0</v>
      </c>
      <c r="N322">
        <f>IF(OR($N$1="",对接源_01水果!$C322="",对接源_01水果!$C322&lt;&gt;$N$1,对接源_01水果!$B322=""),0,IF(OR(N(对接源_01水果!$B322)&lt;$N$2,N(对接源_01水果!$B322)&gt;$N$3),0,1))</f>
        <v>0</v>
      </c>
      <c r="P322">
        <f>IF(AND($K322=1,AND(对接源_01水果!$X322="公司筐",N(对接源_01水果!$T322)&lt;&gt;0)),1,0)</f>
        <v>0</v>
      </c>
      <c r="Q322">
        <f>N(Q321)+$P322</f>
        <v>0</v>
      </c>
      <c r="R322">
        <f>IF(AND($K322=1,AND(对接源_01水果!$X322="公司筐",N(对接源_01水果!$U322)&lt;&gt;0)),1,0)</f>
        <v>0</v>
      </c>
      <c r="S322">
        <f>N(S321)+$R322</f>
        <v>0</v>
      </c>
      <c r="T322">
        <f>IF(AND($K322=1,AND(对接源_01水果!$X322="公司筐",N(对接源_01水果!$V322)&lt;&gt;0)),1,0)</f>
        <v>0</v>
      </c>
      <c r="U322">
        <f>N(U321)+$T322</f>
        <v>19</v>
      </c>
      <c r="V322">
        <f>IF(AND($L322=1,AND(对接源_01水果!$X322="自备筐",N(对接源_01水果!$V322)&lt;&gt;0)),1,0)</f>
        <v>0</v>
      </c>
      <c r="W322">
        <f>N(W321)+$V322</f>
        <v>8</v>
      </c>
      <c r="X322">
        <f>IF(AND($L322=1,AND(对接源_01水果!$X322="自备筐",N(对接源_01水果!$T322)&lt;&gt;0)),1,0)</f>
        <v>0</v>
      </c>
      <c r="Y322">
        <f>N(Y321)+$X322</f>
        <v>0</v>
      </c>
      <c r="Z322">
        <f>IF(AND($M322=1,对接源_01水果!$D322="原料入库"),1,0)</f>
        <v>0</v>
      </c>
      <c r="AA322">
        <f>N(AA321)+$Z322</f>
        <v>24</v>
      </c>
      <c r="AB322">
        <f>IF(AND($M322=1,LEFT(对接源_01水果!$D322,4)="原料出库"),1,0)</f>
        <v>0</v>
      </c>
      <c r="AC322">
        <f>N(AC321)+$AB322</f>
        <v>0</v>
      </c>
      <c r="AD322">
        <f>IF(AND($M322=1,LEFT(对接源_01水果!$D322,4)="成品出库"),1,0)</f>
        <v>0</v>
      </c>
      <c r="AE322">
        <f>N(AE321)+$AD322</f>
        <v>0</v>
      </c>
      <c r="AF322">
        <f>IF(AND($N322=1,AND(LEFT(对接源_01水果!$D322,4)="包装物料",N(对接源_01水果!$K322)&lt;&gt;0)),1,0)</f>
        <v>0</v>
      </c>
      <c r="AG322">
        <f>N(AG321)+$AF322</f>
        <v>0</v>
      </c>
      <c r="AH322">
        <f>IF(AND($N322=1,AND(对接源_01水果!$D322="周转筐－销售出库",N(对接源_01水果!$K322)&lt;&gt;0)),1,0)</f>
        <v>0</v>
      </c>
      <c r="AI322">
        <f>N(AI321)+$AH322</f>
        <v>0</v>
      </c>
      <c r="AJ322" s="7" t="n"/>
      <c r="AL322">
        <f>IF(OR($AL$1="",对接源_01水果!$Y322="",对接源_01水果!$Y322&lt;&gt;$AL$1,对接源_01水果!$B322="",N(对接源_01水果!$AJ322)&lt;=0),0,IF(OR(N(对接源_01水果!$B322)&lt;$AL$2,N(对接源_01水果!$B322)&gt;$AL$3),0,1))</f>
        <v>0</v>
      </c>
      <c r="AM322">
        <f>N(AM321)+$AL322</f>
        <v>0</v>
      </c>
      <c r="AN322">
        <f>IF(对接源_01水果!$AC322="","",对接源_01水果!$AC322)</f>
      </c>
      <c r="AO322">
        <f>IF(AN322="",0,IF(MATCH(AN322,$AN$4:$AN$1203,0)=ROW()-3,1,0))</f>
        <v>0</v>
      </c>
      <c r="AP322">
        <f>N(AP321)+$AO322</f>
        <v>0</v>
      </c>
      <c r="AR322">
        <f>IF(OR($AF322=1,$AH322=1),1,0)</f>
        <v>0</v>
      </c>
      <c r="AS322">
        <f>N(AS321)+$AR322</f>
        <v>0</v>
      </c>
    </row>
    <row r="323" ht="14.25" customHeight="1" s="127">
      <c r="A323" t="str">
        <f>IF(对接源_01水果!$C323="","",对接源_01水果!$C323)</f>
        <v>王照雪</v>
      </c>
      <c r="B323">
        <f>IF(A323="",0,IF(MATCH(A323,$A$4:$A$2403,0)=ROW()-3,1,0))</f>
        <v>0</v>
      </c>
      <c r="C323">
        <f>N(C322)+B323</f>
        <v>18</v>
      </c>
      <c r="K323">
        <f>IF(OR($K$1="",对接源_01水果!$C323="",对接源_01水果!$C323&lt;&gt;$K$1,对接源_01水果!$B323=""),0,IF(OR(N(对接源_01水果!$B323)&lt;$K$2,N(对接源_01水果!$B323)&gt;$K$3),0,1))</f>
        <v>0</v>
      </c>
      <c r="L323">
        <f>IF(OR($L$1="",对接源_01水果!$C323="",对接源_01水果!$C323&lt;&gt;$L$1,对接源_01水果!$B323=""),0,IF(OR(N(对接源_01水果!$B323)&lt;$L$2,N(对接源_01水果!$B323)&gt;$L$3),0,1))</f>
        <v>0</v>
      </c>
      <c r="M323">
        <f>IF(OR($M$1="",对接源_01水果!$C323="",对接源_01水果!$C323&lt;&gt;$M$1,对接源_01水果!$B323=""),0,IF(OR(N(对接源_01水果!$B323)&lt;$M$2,N(对接源_01水果!$B323)&gt;$M$3),0,1))</f>
        <v>0</v>
      </c>
      <c r="N323">
        <f>IF(OR($N$1="",对接源_01水果!$C323="",对接源_01水果!$C323&lt;&gt;$N$1,对接源_01水果!$B323=""),0,IF(OR(N(对接源_01水果!$B323)&lt;$N$2,N(对接源_01水果!$B323)&gt;$N$3),0,1))</f>
        <v>0</v>
      </c>
      <c r="P323">
        <f>IF(AND($K323=1,AND(对接源_01水果!$X323="公司筐",N(对接源_01水果!$T323)&lt;&gt;0)),1,0)</f>
        <v>0</v>
      </c>
      <c r="Q323">
        <f>N(Q322)+$P323</f>
        <v>0</v>
      </c>
      <c r="R323">
        <f>IF(AND($K323=1,AND(对接源_01水果!$X323="公司筐",N(对接源_01水果!$U323)&lt;&gt;0)),1,0)</f>
        <v>0</v>
      </c>
      <c r="S323">
        <f>N(S322)+$R323</f>
        <v>0</v>
      </c>
      <c r="T323">
        <f>IF(AND($K323=1,AND(对接源_01水果!$X323="公司筐",N(对接源_01水果!$V323)&lt;&gt;0)),1,0)</f>
        <v>0</v>
      </c>
      <c r="U323">
        <f>N(U322)+$T323</f>
        <v>19</v>
      </c>
      <c r="V323">
        <f>IF(AND($L323=1,AND(对接源_01水果!$X323="自备筐",N(对接源_01水果!$V323)&lt;&gt;0)),1,0)</f>
        <v>0</v>
      </c>
      <c r="W323">
        <f>N(W322)+$V323</f>
        <v>8</v>
      </c>
      <c r="X323">
        <f>IF(AND($L323=1,AND(对接源_01水果!$X323="自备筐",N(对接源_01水果!$T323)&lt;&gt;0)),1,0)</f>
        <v>0</v>
      </c>
      <c r="Y323">
        <f>N(Y322)+$X323</f>
        <v>0</v>
      </c>
      <c r="Z323">
        <f>IF(AND($M323=1,对接源_01水果!$D323="原料入库"),1,0)</f>
        <v>0</v>
      </c>
      <c r="AA323">
        <f>N(AA322)+$Z323</f>
        <v>24</v>
      </c>
      <c r="AB323">
        <f>IF(AND($M323=1,LEFT(对接源_01水果!$D323,4)="原料出库"),1,0)</f>
        <v>0</v>
      </c>
      <c r="AC323">
        <f>N(AC322)+$AB323</f>
        <v>0</v>
      </c>
      <c r="AD323">
        <f>IF(AND($M323=1,LEFT(对接源_01水果!$D323,4)="成品出库"),1,0)</f>
        <v>0</v>
      </c>
      <c r="AE323">
        <f>N(AE322)+$AD323</f>
        <v>0</v>
      </c>
      <c r="AF323">
        <f>IF(AND($N323=1,AND(LEFT(对接源_01水果!$D323,4)="包装物料",N(对接源_01水果!$K323)&lt;&gt;0)),1,0)</f>
        <v>0</v>
      </c>
      <c r="AG323">
        <f>N(AG322)+$AF323</f>
        <v>0</v>
      </c>
      <c r="AH323">
        <f>IF(AND($N323=1,AND(对接源_01水果!$D323="周转筐－销售出库",N(对接源_01水果!$K323)&lt;&gt;0)),1,0)</f>
        <v>0</v>
      </c>
      <c r="AI323">
        <f>N(AI322)+$AH323</f>
        <v>0</v>
      </c>
      <c r="AJ323" s="7" t="n"/>
      <c r="AL323">
        <f>IF(OR($AL$1="",对接源_01水果!$Y323="",对接源_01水果!$Y323&lt;&gt;$AL$1,对接源_01水果!$B323="",N(对接源_01水果!$AJ323)&lt;=0),0,IF(OR(N(对接源_01水果!$B323)&lt;$AL$2,N(对接源_01水果!$B323)&gt;$AL$3),0,1))</f>
        <v>0</v>
      </c>
      <c r="AM323">
        <f>N(AM322)+$AL323</f>
        <v>0</v>
      </c>
      <c r="AN323">
        <f>IF(对接源_01水果!$AC323="","",对接源_01水果!$AC323)</f>
      </c>
      <c r="AO323">
        <f>IF(AN323="",0,IF(MATCH(AN323,$AN$4:$AN$1203,0)=ROW()-3,1,0))</f>
        <v>0</v>
      </c>
      <c r="AP323">
        <f>N(AP322)+$AO323</f>
        <v>0</v>
      </c>
      <c r="AR323">
        <f>IF(OR($AF323=1,$AH323=1),1,0)</f>
        <v>0</v>
      </c>
      <c r="AS323">
        <f>N(AS322)+$AR323</f>
        <v>0</v>
      </c>
    </row>
    <row r="324" ht="14.25" customHeight="1" s="127">
      <c r="A324" t="str">
        <f>IF(对接源_01水果!$C324="","",对接源_01水果!$C324)</f>
        <v>王照雪</v>
      </c>
      <c r="B324">
        <f>IF(A324="",0,IF(MATCH(A324,$A$4:$A$2403,0)=ROW()-3,1,0))</f>
        <v>0</v>
      </c>
      <c r="C324">
        <f>N(C323)+B324</f>
        <v>18</v>
      </c>
      <c r="K324">
        <f>IF(OR($K$1="",对接源_01水果!$C324="",对接源_01水果!$C324&lt;&gt;$K$1,对接源_01水果!$B324=""),0,IF(OR(N(对接源_01水果!$B324)&lt;$K$2,N(对接源_01水果!$B324)&gt;$K$3),0,1))</f>
        <v>0</v>
      </c>
      <c r="L324">
        <f>IF(OR($L$1="",对接源_01水果!$C324="",对接源_01水果!$C324&lt;&gt;$L$1,对接源_01水果!$B324=""),0,IF(OR(N(对接源_01水果!$B324)&lt;$L$2,N(对接源_01水果!$B324)&gt;$L$3),0,1))</f>
        <v>0</v>
      </c>
      <c r="M324">
        <f>IF(OR($M$1="",对接源_01水果!$C324="",对接源_01水果!$C324&lt;&gt;$M$1,对接源_01水果!$B324=""),0,IF(OR(N(对接源_01水果!$B324)&lt;$M$2,N(对接源_01水果!$B324)&gt;$M$3),0,1))</f>
        <v>0</v>
      </c>
      <c r="N324">
        <f>IF(OR($N$1="",对接源_01水果!$C324="",对接源_01水果!$C324&lt;&gt;$N$1,对接源_01水果!$B324=""),0,IF(OR(N(对接源_01水果!$B324)&lt;$N$2,N(对接源_01水果!$B324)&gt;$N$3),0,1))</f>
        <v>0</v>
      </c>
      <c r="P324">
        <f>IF(AND($K324=1,AND(对接源_01水果!$X324="公司筐",N(对接源_01水果!$T324)&lt;&gt;0)),1,0)</f>
        <v>0</v>
      </c>
      <c r="Q324">
        <f>N(Q323)+$P324</f>
        <v>0</v>
      </c>
      <c r="R324">
        <f>IF(AND($K324=1,AND(对接源_01水果!$X324="公司筐",N(对接源_01水果!$U324)&lt;&gt;0)),1,0)</f>
        <v>0</v>
      </c>
      <c r="S324">
        <f>N(S323)+$R324</f>
        <v>0</v>
      </c>
      <c r="T324">
        <f>IF(AND($K324=1,AND(对接源_01水果!$X324="公司筐",N(对接源_01水果!$V324)&lt;&gt;0)),1,0)</f>
        <v>0</v>
      </c>
      <c r="U324">
        <f>N(U323)+$T324</f>
        <v>19</v>
      </c>
      <c r="V324">
        <f>IF(AND($L324=1,AND(对接源_01水果!$X324="自备筐",N(对接源_01水果!$V324)&lt;&gt;0)),1,0)</f>
        <v>0</v>
      </c>
      <c r="W324">
        <f>N(W323)+$V324</f>
        <v>8</v>
      </c>
      <c r="X324">
        <f>IF(AND($L324=1,AND(对接源_01水果!$X324="自备筐",N(对接源_01水果!$T324)&lt;&gt;0)),1,0)</f>
        <v>0</v>
      </c>
      <c r="Y324">
        <f>N(Y323)+$X324</f>
        <v>0</v>
      </c>
      <c r="Z324">
        <f>IF(AND($M324=1,对接源_01水果!$D324="原料入库"),1,0)</f>
        <v>0</v>
      </c>
      <c r="AA324">
        <f>N(AA323)+$Z324</f>
        <v>24</v>
      </c>
      <c r="AB324">
        <f>IF(AND($M324=1,LEFT(对接源_01水果!$D324,4)="原料出库"),1,0)</f>
        <v>0</v>
      </c>
      <c r="AC324">
        <f>N(AC323)+$AB324</f>
        <v>0</v>
      </c>
      <c r="AD324">
        <f>IF(AND($M324=1,LEFT(对接源_01水果!$D324,4)="成品出库"),1,0)</f>
        <v>0</v>
      </c>
      <c r="AE324">
        <f>N(AE323)+$AD324</f>
        <v>0</v>
      </c>
      <c r="AF324">
        <f>IF(AND($N324=1,AND(LEFT(对接源_01水果!$D324,4)="包装物料",N(对接源_01水果!$K324)&lt;&gt;0)),1,0)</f>
        <v>0</v>
      </c>
      <c r="AG324">
        <f>N(AG323)+$AF324</f>
        <v>0</v>
      </c>
      <c r="AH324">
        <f>IF(AND($N324=1,AND(对接源_01水果!$D324="周转筐－销售出库",N(对接源_01水果!$K324)&lt;&gt;0)),1,0)</f>
        <v>0</v>
      </c>
      <c r="AI324">
        <f>N(AI323)+$AH324</f>
        <v>0</v>
      </c>
      <c r="AJ324" s="7" t="n"/>
      <c r="AL324">
        <f>IF(OR($AL$1="",对接源_01水果!$Y324="",对接源_01水果!$Y324&lt;&gt;$AL$1,对接源_01水果!$B324="",N(对接源_01水果!$AJ324)&lt;=0),0,IF(OR(N(对接源_01水果!$B324)&lt;$AL$2,N(对接源_01水果!$B324)&gt;$AL$3),0,1))</f>
        <v>0</v>
      </c>
      <c r="AM324">
        <f>N(AM323)+$AL324</f>
        <v>0</v>
      </c>
      <c r="AN324">
        <f>IF(对接源_01水果!$AC324="","",对接源_01水果!$AC324)</f>
      </c>
      <c r="AO324">
        <f>IF(AN324="",0,IF(MATCH(AN324,$AN$4:$AN$1203,0)=ROW()-3,1,0))</f>
        <v>0</v>
      </c>
      <c r="AP324">
        <f>N(AP323)+$AO324</f>
        <v>0</v>
      </c>
      <c r="AR324">
        <f>IF(OR($AF324=1,$AH324=1),1,0)</f>
        <v>0</v>
      </c>
      <c r="AS324">
        <f>N(AS323)+$AR324</f>
        <v>0</v>
      </c>
    </row>
    <row r="325" ht="14.25" customHeight="1" s="127">
      <c r="A325" t="str">
        <f>IF(对接源_01水果!$C325="","",对接源_01水果!$C325)</f>
        <v>王照雪</v>
      </c>
      <c r="B325">
        <f>IF(A325="",0,IF(MATCH(A325,$A$4:$A$2403,0)=ROW()-3,1,0))</f>
        <v>0</v>
      </c>
      <c r="C325">
        <f>N(C324)+B325</f>
        <v>18</v>
      </c>
      <c r="K325">
        <f>IF(OR($K$1="",对接源_01水果!$C325="",对接源_01水果!$C325&lt;&gt;$K$1,对接源_01水果!$B325=""),0,IF(OR(N(对接源_01水果!$B325)&lt;$K$2,N(对接源_01水果!$B325)&gt;$K$3),0,1))</f>
        <v>0</v>
      </c>
      <c r="L325">
        <f>IF(OR($L$1="",对接源_01水果!$C325="",对接源_01水果!$C325&lt;&gt;$L$1,对接源_01水果!$B325=""),0,IF(OR(N(对接源_01水果!$B325)&lt;$L$2,N(对接源_01水果!$B325)&gt;$L$3),0,1))</f>
        <v>0</v>
      </c>
      <c r="M325">
        <f>IF(OR($M$1="",对接源_01水果!$C325="",对接源_01水果!$C325&lt;&gt;$M$1,对接源_01水果!$B325=""),0,IF(OR(N(对接源_01水果!$B325)&lt;$M$2,N(对接源_01水果!$B325)&gt;$M$3),0,1))</f>
        <v>0</v>
      </c>
      <c r="N325">
        <f>IF(OR($N$1="",对接源_01水果!$C325="",对接源_01水果!$C325&lt;&gt;$N$1,对接源_01水果!$B325=""),0,IF(OR(N(对接源_01水果!$B325)&lt;$N$2,N(对接源_01水果!$B325)&gt;$N$3),0,1))</f>
        <v>0</v>
      </c>
      <c r="P325">
        <f>IF(AND($K325=1,AND(对接源_01水果!$X325="公司筐",N(对接源_01水果!$T325)&lt;&gt;0)),1,0)</f>
        <v>0</v>
      </c>
      <c r="Q325">
        <f>N(Q324)+$P325</f>
        <v>0</v>
      </c>
      <c r="R325">
        <f>IF(AND($K325=1,AND(对接源_01水果!$X325="公司筐",N(对接源_01水果!$U325)&lt;&gt;0)),1,0)</f>
        <v>0</v>
      </c>
      <c r="S325">
        <f>N(S324)+$R325</f>
        <v>0</v>
      </c>
      <c r="T325">
        <f>IF(AND($K325=1,AND(对接源_01水果!$X325="公司筐",N(对接源_01水果!$V325)&lt;&gt;0)),1,0)</f>
        <v>0</v>
      </c>
      <c r="U325">
        <f>N(U324)+$T325</f>
        <v>19</v>
      </c>
      <c r="V325">
        <f>IF(AND($L325=1,AND(对接源_01水果!$X325="自备筐",N(对接源_01水果!$V325)&lt;&gt;0)),1,0)</f>
        <v>0</v>
      </c>
      <c r="W325">
        <f>N(W324)+$V325</f>
        <v>8</v>
      </c>
      <c r="X325">
        <f>IF(AND($L325=1,AND(对接源_01水果!$X325="自备筐",N(对接源_01水果!$T325)&lt;&gt;0)),1,0)</f>
        <v>0</v>
      </c>
      <c r="Y325">
        <f>N(Y324)+$X325</f>
        <v>0</v>
      </c>
      <c r="Z325">
        <f>IF(AND($M325=1,对接源_01水果!$D325="原料入库"),1,0)</f>
        <v>0</v>
      </c>
      <c r="AA325">
        <f>N(AA324)+$Z325</f>
        <v>24</v>
      </c>
      <c r="AB325">
        <f>IF(AND($M325=1,LEFT(对接源_01水果!$D325,4)="原料出库"),1,0)</f>
        <v>0</v>
      </c>
      <c r="AC325">
        <f>N(AC324)+$AB325</f>
        <v>0</v>
      </c>
      <c r="AD325">
        <f>IF(AND($M325=1,LEFT(对接源_01水果!$D325,4)="成品出库"),1,0)</f>
        <v>0</v>
      </c>
      <c r="AE325">
        <f>N(AE324)+$AD325</f>
        <v>0</v>
      </c>
      <c r="AF325">
        <f>IF(AND($N325=1,AND(LEFT(对接源_01水果!$D325,4)="包装物料",N(对接源_01水果!$K325)&lt;&gt;0)),1,0)</f>
        <v>0</v>
      </c>
      <c r="AG325">
        <f>N(AG324)+$AF325</f>
        <v>0</v>
      </c>
      <c r="AH325">
        <f>IF(AND($N325=1,AND(对接源_01水果!$D325="周转筐－销售出库",N(对接源_01水果!$K325)&lt;&gt;0)),1,0)</f>
        <v>0</v>
      </c>
      <c r="AI325">
        <f>N(AI324)+$AH325</f>
        <v>0</v>
      </c>
      <c r="AJ325" s="7" t="n"/>
      <c r="AL325">
        <f>IF(OR($AL$1="",对接源_01水果!$Y325="",对接源_01水果!$Y325&lt;&gt;$AL$1,对接源_01水果!$B325="",N(对接源_01水果!$AJ325)&lt;=0),0,IF(OR(N(对接源_01水果!$B325)&lt;$AL$2,N(对接源_01水果!$B325)&gt;$AL$3),0,1))</f>
        <v>0</v>
      </c>
      <c r="AM325">
        <f>N(AM324)+$AL325</f>
        <v>0</v>
      </c>
      <c r="AN325">
        <f>IF(对接源_01水果!$AC325="","",对接源_01水果!$AC325)</f>
      </c>
      <c r="AO325">
        <f>IF(AN325="",0,IF(MATCH(AN325,$AN$4:$AN$1203,0)=ROW()-3,1,0))</f>
        <v>0</v>
      </c>
      <c r="AP325">
        <f>N(AP324)+$AO325</f>
        <v>0</v>
      </c>
      <c r="AR325">
        <f>IF(OR($AF325=1,$AH325=1),1,0)</f>
        <v>0</v>
      </c>
      <c r="AS325">
        <f>N(AS324)+$AR325</f>
        <v>0</v>
      </c>
    </row>
    <row r="326" ht="14.25" customHeight="1" s="127">
      <c r="A326" t="str">
        <f>IF(对接源_01水果!$C326="","",对接源_01水果!$C326)</f>
        <v>王灵云</v>
      </c>
      <c r="B326">
        <f>IF(A326="",0,IF(MATCH(A326,$A$4:$A$2403,0)=ROW()-3,1,0))</f>
        <v>0</v>
      </c>
      <c r="C326">
        <f>N(C325)+B326</f>
        <v>18</v>
      </c>
      <c r="K326">
        <f>IF(OR($K$1="",对接源_01水果!$C326="",对接源_01水果!$C326&lt;&gt;$K$1,对接源_01水果!$B326=""),0,IF(OR(N(对接源_01水果!$B326)&lt;$K$2,N(对接源_01水果!$B326)&gt;$K$3),0,1))</f>
        <v>1</v>
      </c>
      <c r="L326">
        <f>IF(OR($L$1="",对接源_01水果!$C326="",对接源_01水果!$C326&lt;&gt;$L$1,对接源_01水果!$B326=""),0,IF(OR(N(对接源_01水果!$B326)&lt;$L$2,N(对接源_01水果!$B326)&gt;$L$3),0,1))</f>
        <v>0</v>
      </c>
      <c r="M326">
        <f>IF(OR($M$1="",对接源_01水果!$C326="",对接源_01水果!$C326&lt;&gt;$M$1,对接源_01水果!$B326=""),0,IF(OR(N(对接源_01水果!$B326)&lt;$M$2,N(对接源_01水果!$B326)&gt;$M$3),0,1))</f>
        <v>0</v>
      </c>
      <c r="N326">
        <f>IF(OR($N$1="",对接源_01水果!$C326="",对接源_01水果!$C326&lt;&gt;$N$1,对接源_01水果!$B326=""),0,IF(OR(N(对接源_01水果!$B326)&lt;$N$2,N(对接源_01水果!$B326)&gt;$N$3),0,1))</f>
        <v>0</v>
      </c>
      <c r="P326">
        <f>IF(AND($K326=1,AND(对接源_01水果!$X326="公司筐",N(对接源_01水果!$T326)&lt;&gt;0)),1,0)</f>
        <v>0</v>
      </c>
      <c r="Q326">
        <f>N(Q325)+$P326</f>
        <v>0</v>
      </c>
      <c r="R326">
        <f>IF(AND($K326=1,AND(对接源_01水果!$X326="公司筐",N(对接源_01水果!$U326)&lt;&gt;0)),1,0)</f>
        <v>0</v>
      </c>
      <c r="S326">
        <f>N(S325)+$R326</f>
        <v>0</v>
      </c>
      <c r="T326">
        <f>IF(AND($K326=1,AND(对接源_01水果!$X326="公司筐",N(对接源_01水果!$V326)&lt;&gt;0)),1,0)</f>
        <v>1</v>
      </c>
      <c r="U326">
        <f>N(U325)+$T326</f>
        <v>20</v>
      </c>
      <c r="V326">
        <f>IF(AND($L326=1,AND(对接源_01水果!$X326="自备筐",N(对接源_01水果!$V326)&lt;&gt;0)),1,0)</f>
        <v>0</v>
      </c>
      <c r="W326">
        <f>N(W325)+$V326</f>
        <v>8</v>
      </c>
      <c r="X326">
        <f>IF(AND($L326=1,AND(对接源_01水果!$X326="自备筐",N(对接源_01水果!$T326)&lt;&gt;0)),1,0)</f>
        <v>0</v>
      </c>
      <c r="Y326">
        <f>N(Y325)+$X326</f>
        <v>0</v>
      </c>
      <c r="Z326">
        <f>IF(AND($M326=1,对接源_01水果!$D326="原料入库"),1,0)</f>
        <v>0</v>
      </c>
      <c r="AA326">
        <f>N(AA325)+$Z326</f>
        <v>24</v>
      </c>
      <c r="AB326">
        <f>IF(AND($M326=1,LEFT(对接源_01水果!$D326,4)="原料出库"),1,0)</f>
        <v>0</v>
      </c>
      <c r="AC326">
        <f>N(AC325)+$AB326</f>
        <v>0</v>
      </c>
      <c r="AD326">
        <f>IF(AND($M326=1,LEFT(对接源_01水果!$D326,4)="成品出库"),1,0)</f>
        <v>0</v>
      </c>
      <c r="AE326">
        <f>N(AE325)+$AD326</f>
        <v>0</v>
      </c>
      <c r="AF326">
        <f>IF(AND($N326=1,AND(LEFT(对接源_01水果!$D326,4)="包装物料",N(对接源_01水果!$K326)&lt;&gt;0)),1,0)</f>
        <v>0</v>
      </c>
      <c r="AG326">
        <f>N(AG325)+$AF326</f>
        <v>0</v>
      </c>
      <c r="AH326">
        <f>IF(AND($N326=1,AND(对接源_01水果!$D326="周转筐－销售出库",N(对接源_01水果!$K326)&lt;&gt;0)),1,0)</f>
        <v>0</v>
      </c>
      <c r="AI326">
        <f>N(AI325)+$AH326</f>
        <v>0</v>
      </c>
      <c r="AJ326" s="7" t="n"/>
      <c r="AL326">
        <f>IF(OR($AL$1="",对接源_01水果!$Y326="",对接源_01水果!$Y326&lt;&gt;$AL$1,对接源_01水果!$B326="",N(对接源_01水果!$AJ326)&lt;=0),0,IF(OR(N(对接源_01水果!$B326)&lt;$AL$2,N(对接源_01水果!$B326)&gt;$AL$3),0,1))</f>
        <v>0</v>
      </c>
      <c r="AM326">
        <f>N(AM325)+$AL326</f>
        <v>0</v>
      </c>
      <c r="AN326">
        <f>IF(对接源_01水果!$AC326="","",对接源_01水果!$AC326)</f>
      </c>
      <c r="AO326">
        <f>IF(AN326="",0,IF(MATCH(AN326,$AN$4:$AN$1203,0)=ROW()-3,1,0))</f>
        <v>0</v>
      </c>
      <c r="AP326">
        <f>N(AP325)+$AO326</f>
        <v>0</v>
      </c>
      <c r="AR326">
        <f>IF(OR($AF326=1,$AH326=1),1,0)</f>
        <v>0</v>
      </c>
      <c r="AS326">
        <f>N(AS325)+$AR326</f>
        <v>0</v>
      </c>
    </row>
    <row r="327" ht="14.25" customHeight="1" s="127">
      <c r="A327" t="str">
        <f>IF(对接源_01水果!$C327="","",对接源_01水果!$C327)</f>
        <v>王灵云</v>
      </c>
      <c r="B327">
        <f>IF(A327="",0,IF(MATCH(A327,$A$4:$A$2403,0)=ROW()-3,1,0))</f>
        <v>0</v>
      </c>
      <c r="C327">
        <f>N(C326)+B327</f>
        <v>18</v>
      </c>
      <c r="K327">
        <f>IF(OR($K$1="",对接源_01水果!$C327="",对接源_01水果!$C327&lt;&gt;$K$1,对接源_01水果!$B327=""),0,IF(OR(N(对接源_01水果!$B327)&lt;$K$2,N(对接源_01水果!$B327)&gt;$K$3),0,1))</f>
        <v>1</v>
      </c>
      <c r="L327">
        <f>IF(OR($L$1="",对接源_01水果!$C327="",对接源_01水果!$C327&lt;&gt;$L$1,对接源_01水果!$B327=""),0,IF(OR(N(对接源_01水果!$B327)&lt;$L$2,N(对接源_01水果!$B327)&gt;$L$3),0,1))</f>
        <v>0</v>
      </c>
      <c r="M327">
        <f>IF(OR($M$1="",对接源_01水果!$C327="",对接源_01水果!$C327&lt;&gt;$M$1,对接源_01水果!$B327=""),0,IF(OR(N(对接源_01水果!$B327)&lt;$M$2,N(对接源_01水果!$B327)&gt;$M$3),0,1))</f>
        <v>0</v>
      </c>
      <c r="N327">
        <f>IF(OR($N$1="",对接源_01水果!$C327="",对接源_01水果!$C327&lt;&gt;$N$1,对接源_01水果!$B327=""),0,IF(OR(N(对接源_01水果!$B327)&lt;$N$2,N(对接源_01水果!$B327)&gt;$N$3),0,1))</f>
        <v>0</v>
      </c>
      <c r="P327">
        <f>IF(AND($K327=1,AND(对接源_01水果!$X327="公司筐",N(对接源_01水果!$T327)&lt;&gt;0)),1,0)</f>
        <v>0</v>
      </c>
      <c r="Q327">
        <f>N(Q326)+$P327</f>
        <v>0</v>
      </c>
      <c r="R327">
        <f>IF(AND($K327=1,AND(对接源_01水果!$X327="公司筐",N(对接源_01水果!$U327)&lt;&gt;0)),1,0)</f>
        <v>0</v>
      </c>
      <c r="S327">
        <f>N(S326)+$R327</f>
        <v>0</v>
      </c>
      <c r="T327">
        <f>IF(AND($K327=1,AND(对接源_01水果!$X327="公司筐",N(对接源_01水果!$V327)&lt;&gt;0)),1,0)</f>
        <v>1</v>
      </c>
      <c r="U327">
        <f>N(U326)+$T327</f>
        <v>21</v>
      </c>
      <c r="V327">
        <f>IF(AND($L327=1,AND(对接源_01水果!$X327="自备筐",N(对接源_01水果!$V327)&lt;&gt;0)),1,0)</f>
        <v>0</v>
      </c>
      <c r="W327">
        <f>N(W326)+$V327</f>
        <v>8</v>
      </c>
      <c r="X327">
        <f>IF(AND($L327=1,AND(对接源_01水果!$X327="自备筐",N(对接源_01水果!$T327)&lt;&gt;0)),1,0)</f>
        <v>0</v>
      </c>
      <c r="Y327">
        <f>N(Y326)+$X327</f>
        <v>0</v>
      </c>
      <c r="Z327">
        <f>IF(AND($M327=1,对接源_01水果!$D327="原料入库"),1,0)</f>
        <v>0</v>
      </c>
      <c r="AA327">
        <f>N(AA326)+$Z327</f>
        <v>24</v>
      </c>
      <c r="AB327">
        <f>IF(AND($M327=1,LEFT(对接源_01水果!$D327,4)="原料出库"),1,0)</f>
        <v>0</v>
      </c>
      <c r="AC327">
        <f>N(AC326)+$AB327</f>
        <v>0</v>
      </c>
      <c r="AD327">
        <f>IF(AND($M327=1,LEFT(对接源_01水果!$D327,4)="成品出库"),1,0)</f>
        <v>0</v>
      </c>
      <c r="AE327">
        <f>N(AE326)+$AD327</f>
        <v>0</v>
      </c>
      <c r="AF327">
        <f>IF(AND($N327=1,AND(LEFT(对接源_01水果!$D327,4)="包装物料",N(对接源_01水果!$K327)&lt;&gt;0)),1,0)</f>
        <v>0</v>
      </c>
      <c r="AG327">
        <f>N(AG326)+$AF327</f>
        <v>0</v>
      </c>
      <c r="AH327">
        <f>IF(AND($N327=1,AND(对接源_01水果!$D327="周转筐－销售出库",N(对接源_01水果!$K327)&lt;&gt;0)),1,0)</f>
        <v>0</v>
      </c>
      <c r="AI327">
        <f>N(AI326)+$AH327</f>
        <v>0</v>
      </c>
      <c r="AJ327" s="7" t="n"/>
      <c r="AL327">
        <f>IF(OR($AL$1="",对接源_01水果!$Y327="",对接源_01水果!$Y327&lt;&gt;$AL$1,对接源_01水果!$B327="",N(对接源_01水果!$AJ327)&lt;=0),0,IF(OR(N(对接源_01水果!$B327)&lt;$AL$2,N(对接源_01水果!$B327)&gt;$AL$3),0,1))</f>
        <v>0</v>
      </c>
      <c r="AM327">
        <f>N(AM326)+$AL327</f>
        <v>0</v>
      </c>
      <c r="AN327">
        <f>IF(对接源_01水果!$AC327="","",对接源_01水果!$AC327)</f>
      </c>
      <c r="AO327">
        <f>IF(AN327="",0,IF(MATCH(AN327,$AN$4:$AN$1203,0)=ROW()-3,1,0))</f>
        <v>0</v>
      </c>
      <c r="AP327">
        <f>N(AP326)+$AO327</f>
        <v>0</v>
      </c>
      <c r="AR327">
        <f>IF(OR($AF327=1,$AH327=1),1,0)</f>
        <v>0</v>
      </c>
      <c r="AS327">
        <f>N(AS326)+$AR327</f>
        <v>0</v>
      </c>
    </row>
    <row r="328" ht="14.25" customHeight="1" s="127">
      <c r="A328" t="str">
        <f>IF(对接源_01水果!$C328="","",对接源_01水果!$C328)</f>
        <v>阿布都</v>
      </c>
      <c r="B328">
        <f>IF(A328="",0,IF(MATCH(A328,$A$4:$A$2403,0)=ROW()-3,1,0))</f>
        <v>0</v>
      </c>
      <c r="C328">
        <f>N(C327)+B328</f>
        <v>18</v>
      </c>
      <c r="K328">
        <f>IF(OR($K$1="",对接源_01水果!$C328="",对接源_01水果!$C328&lt;&gt;$K$1,对接源_01水果!$B328=""),0,IF(OR(N(对接源_01水果!$B328)&lt;$K$2,N(对接源_01水果!$B328)&gt;$K$3),0,1))</f>
        <v>0</v>
      </c>
      <c r="L328">
        <f>IF(OR($L$1="",对接源_01水果!$C328="",对接源_01水果!$C328&lt;&gt;$L$1,对接源_01水果!$B328=""),0,IF(OR(N(对接源_01水果!$B328)&lt;$L$2,N(对接源_01水果!$B328)&gt;$L$3),0,1))</f>
        <v>0</v>
      </c>
      <c r="M328">
        <f>IF(OR($M$1="",对接源_01水果!$C328="",对接源_01水果!$C328&lt;&gt;$M$1,对接源_01水果!$B328=""),0,IF(OR(N(对接源_01水果!$B328)&lt;$M$2,N(对接源_01水果!$B328)&gt;$M$3),0,1))</f>
        <v>0</v>
      </c>
      <c r="N328">
        <f>IF(OR($N$1="",对接源_01水果!$C328="",对接源_01水果!$C328&lt;&gt;$N$1,对接源_01水果!$B328=""),0,IF(OR(N(对接源_01水果!$B328)&lt;$N$2,N(对接源_01水果!$B328)&gt;$N$3),0,1))</f>
        <v>0</v>
      </c>
      <c r="P328">
        <f>IF(AND($K328=1,AND(对接源_01水果!$X328="公司筐",N(对接源_01水果!$T328)&lt;&gt;0)),1,0)</f>
        <v>0</v>
      </c>
      <c r="Q328">
        <f>N(Q327)+$P328</f>
        <v>0</v>
      </c>
      <c r="R328">
        <f>IF(AND($K328=1,AND(对接源_01水果!$X328="公司筐",N(对接源_01水果!$U328)&lt;&gt;0)),1,0)</f>
        <v>0</v>
      </c>
      <c r="S328">
        <f>N(S327)+$R328</f>
        <v>0</v>
      </c>
      <c r="T328">
        <f>IF(AND($K328=1,AND(对接源_01水果!$X328="公司筐",N(对接源_01水果!$V328)&lt;&gt;0)),1,0)</f>
        <v>0</v>
      </c>
      <c r="U328">
        <f>N(U327)+$T328</f>
        <v>21</v>
      </c>
      <c r="V328">
        <f>IF(AND($L328=1,AND(对接源_01水果!$X328="自备筐",N(对接源_01水果!$V328)&lt;&gt;0)),1,0)</f>
        <v>0</v>
      </c>
      <c r="W328">
        <f>N(W327)+$V328</f>
        <v>8</v>
      </c>
      <c r="X328">
        <f>IF(AND($L328=1,AND(对接源_01水果!$X328="自备筐",N(对接源_01水果!$T328)&lt;&gt;0)),1,0)</f>
        <v>0</v>
      </c>
      <c r="Y328">
        <f>N(Y327)+$X328</f>
        <v>0</v>
      </c>
      <c r="Z328">
        <f>IF(AND($M328=1,对接源_01水果!$D328="原料入库"),1,0)</f>
        <v>0</v>
      </c>
      <c r="AA328">
        <f>N(AA327)+$Z328</f>
        <v>24</v>
      </c>
      <c r="AB328">
        <f>IF(AND($M328=1,LEFT(对接源_01水果!$D328,4)="原料出库"),1,0)</f>
        <v>0</v>
      </c>
      <c r="AC328">
        <f>N(AC327)+$AB328</f>
        <v>0</v>
      </c>
      <c r="AD328">
        <f>IF(AND($M328=1,LEFT(对接源_01水果!$D328,4)="成品出库"),1,0)</f>
        <v>0</v>
      </c>
      <c r="AE328">
        <f>N(AE327)+$AD328</f>
        <v>0</v>
      </c>
      <c r="AF328">
        <f>IF(AND($N328=1,AND(LEFT(对接源_01水果!$D328,4)="包装物料",N(对接源_01水果!$K328)&lt;&gt;0)),1,0)</f>
        <v>0</v>
      </c>
      <c r="AG328">
        <f>N(AG327)+$AF328</f>
        <v>0</v>
      </c>
      <c r="AH328">
        <f>IF(AND($N328=1,AND(对接源_01水果!$D328="周转筐－销售出库",N(对接源_01水果!$K328)&lt;&gt;0)),1,0)</f>
        <v>0</v>
      </c>
      <c r="AI328">
        <f>N(AI327)+$AH328</f>
        <v>0</v>
      </c>
      <c r="AJ328" s="7" t="n"/>
      <c r="AL328">
        <f>IF(OR($AL$1="",对接源_01水果!$Y328="",对接源_01水果!$Y328&lt;&gt;$AL$1,对接源_01水果!$B328="",N(对接源_01水果!$AJ328)&lt;=0),0,IF(OR(N(对接源_01水果!$B328)&lt;$AL$2,N(对接源_01水果!$B328)&gt;$AL$3),0,1))</f>
        <v>0</v>
      </c>
      <c r="AM328">
        <f>N(AM327)+$AL328</f>
        <v>0</v>
      </c>
      <c r="AN328">
        <f>IF(对接源_01水果!$AC328="","",对接源_01水果!$AC328)</f>
      </c>
      <c r="AO328">
        <f>IF(AN328="",0,IF(MATCH(AN328,$AN$4:$AN$1203,0)=ROW()-3,1,0))</f>
        <v>0</v>
      </c>
      <c r="AP328">
        <f>N(AP327)+$AO328</f>
        <v>0</v>
      </c>
      <c r="AR328">
        <f>IF(OR($AF328=1,$AH328=1),1,0)</f>
        <v>0</v>
      </c>
      <c r="AS328">
        <f>N(AS327)+$AR328</f>
        <v>0</v>
      </c>
    </row>
    <row r="329" ht="14.25" customHeight="1" s="127">
      <c r="A329" t="str">
        <f>IF(对接源_01水果!$C329="","",对接源_01水果!$C329)</f>
        <v>阿布都</v>
      </c>
      <c r="B329">
        <f>IF(A329="",0,IF(MATCH(A329,$A$4:$A$2403,0)=ROW()-3,1,0))</f>
        <v>0</v>
      </c>
      <c r="C329">
        <f>N(C328)+B329</f>
        <v>18</v>
      </c>
      <c r="K329">
        <f>IF(OR($K$1="",对接源_01水果!$C329="",对接源_01水果!$C329&lt;&gt;$K$1,对接源_01水果!$B329=""),0,IF(OR(N(对接源_01水果!$B329)&lt;$K$2,N(对接源_01水果!$B329)&gt;$K$3),0,1))</f>
        <v>0</v>
      </c>
      <c r="L329">
        <f>IF(OR($L$1="",对接源_01水果!$C329="",对接源_01水果!$C329&lt;&gt;$L$1,对接源_01水果!$B329=""),0,IF(OR(N(对接源_01水果!$B329)&lt;$L$2,N(对接源_01水果!$B329)&gt;$L$3),0,1))</f>
        <v>0</v>
      </c>
      <c r="M329">
        <f>IF(OR($M$1="",对接源_01水果!$C329="",对接源_01水果!$C329&lt;&gt;$M$1,对接源_01水果!$B329=""),0,IF(OR(N(对接源_01水果!$B329)&lt;$M$2,N(对接源_01水果!$B329)&gt;$M$3),0,1))</f>
        <v>0</v>
      </c>
      <c r="N329">
        <f>IF(OR($N$1="",对接源_01水果!$C329="",对接源_01水果!$C329&lt;&gt;$N$1,对接源_01水果!$B329=""),0,IF(OR(N(对接源_01水果!$B329)&lt;$N$2,N(对接源_01水果!$B329)&gt;$N$3),0,1))</f>
        <v>0</v>
      </c>
      <c r="P329">
        <f>IF(AND($K329=1,AND(对接源_01水果!$X329="公司筐",N(对接源_01水果!$T329)&lt;&gt;0)),1,0)</f>
        <v>0</v>
      </c>
      <c r="Q329">
        <f>N(Q328)+$P329</f>
        <v>0</v>
      </c>
      <c r="R329">
        <f>IF(AND($K329=1,AND(对接源_01水果!$X329="公司筐",N(对接源_01水果!$U329)&lt;&gt;0)),1,0)</f>
        <v>0</v>
      </c>
      <c r="S329">
        <f>N(S328)+$R329</f>
        <v>0</v>
      </c>
      <c r="T329">
        <f>IF(AND($K329=1,AND(对接源_01水果!$X329="公司筐",N(对接源_01水果!$V329)&lt;&gt;0)),1,0)</f>
        <v>0</v>
      </c>
      <c r="U329">
        <f>N(U328)+$T329</f>
        <v>21</v>
      </c>
      <c r="V329">
        <f>IF(AND($L329=1,AND(对接源_01水果!$X329="自备筐",N(对接源_01水果!$V329)&lt;&gt;0)),1,0)</f>
        <v>0</v>
      </c>
      <c r="W329">
        <f>N(W328)+$V329</f>
        <v>8</v>
      </c>
      <c r="X329">
        <f>IF(AND($L329=1,AND(对接源_01水果!$X329="自备筐",N(对接源_01水果!$T329)&lt;&gt;0)),1,0)</f>
        <v>0</v>
      </c>
      <c r="Y329">
        <f>N(Y328)+$X329</f>
        <v>0</v>
      </c>
      <c r="Z329">
        <f>IF(AND($M329=1,对接源_01水果!$D329="原料入库"),1,0)</f>
        <v>0</v>
      </c>
      <c r="AA329">
        <f>N(AA328)+$Z329</f>
        <v>24</v>
      </c>
      <c r="AB329">
        <f>IF(AND($M329=1,LEFT(对接源_01水果!$D329,4)="原料出库"),1,0)</f>
        <v>0</v>
      </c>
      <c r="AC329">
        <f>N(AC328)+$AB329</f>
        <v>0</v>
      </c>
      <c r="AD329">
        <f>IF(AND($M329=1,LEFT(对接源_01水果!$D329,4)="成品出库"),1,0)</f>
        <v>0</v>
      </c>
      <c r="AE329">
        <f>N(AE328)+$AD329</f>
        <v>0</v>
      </c>
      <c r="AF329">
        <f>IF(AND($N329=1,AND(LEFT(对接源_01水果!$D329,4)="包装物料",N(对接源_01水果!$K329)&lt;&gt;0)),1,0)</f>
        <v>0</v>
      </c>
      <c r="AG329">
        <f>N(AG328)+$AF329</f>
        <v>0</v>
      </c>
      <c r="AH329">
        <f>IF(AND($N329=1,AND(对接源_01水果!$D329="周转筐－销售出库",N(对接源_01水果!$K329)&lt;&gt;0)),1,0)</f>
        <v>0</v>
      </c>
      <c r="AI329">
        <f>N(AI328)+$AH329</f>
        <v>0</v>
      </c>
      <c r="AJ329" s="7" t="n"/>
      <c r="AL329">
        <f>IF(OR($AL$1="",对接源_01水果!$Y329="",对接源_01水果!$Y329&lt;&gt;$AL$1,对接源_01水果!$B329="",N(对接源_01水果!$AJ329)&lt;=0),0,IF(OR(N(对接源_01水果!$B329)&lt;$AL$2,N(对接源_01水果!$B329)&gt;$AL$3),0,1))</f>
        <v>0</v>
      </c>
      <c r="AM329">
        <f>N(AM328)+$AL329</f>
        <v>0</v>
      </c>
      <c r="AN329">
        <f>IF(对接源_01水果!$AC329="","",对接源_01水果!$AC329)</f>
      </c>
      <c r="AO329">
        <f>IF(AN329="",0,IF(MATCH(AN329,$AN$4:$AN$1203,0)=ROW()-3,1,0))</f>
        <v>0</v>
      </c>
      <c r="AP329">
        <f>N(AP328)+$AO329</f>
        <v>0</v>
      </c>
      <c r="AR329">
        <f>IF(OR($AF329=1,$AH329=1),1,0)</f>
        <v>0</v>
      </c>
      <c r="AS329">
        <f>N(AS328)+$AR329</f>
        <v>0</v>
      </c>
    </row>
    <row r="330" ht="14.25" customHeight="1" s="127">
      <c r="A330" t="str">
        <f>IF(对接源_01水果!$C330="","",对接源_01水果!$C330)</f>
        <v>阿布都</v>
      </c>
      <c r="B330">
        <f>IF(A330="",0,IF(MATCH(A330,$A$4:$A$2403,0)=ROW()-3,1,0))</f>
        <v>0</v>
      </c>
      <c r="C330">
        <f>N(C329)+B330</f>
        <v>18</v>
      </c>
      <c r="K330">
        <f>IF(OR($K$1="",对接源_01水果!$C330="",对接源_01水果!$C330&lt;&gt;$K$1,对接源_01水果!$B330=""),0,IF(OR(N(对接源_01水果!$B330)&lt;$K$2,N(对接源_01水果!$B330)&gt;$K$3),0,1))</f>
        <v>0</v>
      </c>
      <c r="L330">
        <f>IF(OR($L$1="",对接源_01水果!$C330="",对接源_01水果!$C330&lt;&gt;$L$1,对接源_01水果!$B330=""),0,IF(OR(N(对接源_01水果!$B330)&lt;$L$2,N(对接源_01水果!$B330)&gt;$L$3),0,1))</f>
        <v>0</v>
      </c>
      <c r="M330">
        <f>IF(OR($M$1="",对接源_01水果!$C330="",对接源_01水果!$C330&lt;&gt;$M$1,对接源_01水果!$B330=""),0,IF(OR(N(对接源_01水果!$B330)&lt;$M$2,N(对接源_01水果!$B330)&gt;$M$3),0,1))</f>
        <v>0</v>
      </c>
      <c r="N330">
        <f>IF(OR($N$1="",对接源_01水果!$C330="",对接源_01水果!$C330&lt;&gt;$N$1,对接源_01水果!$B330=""),0,IF(OR(N(对接源_01水果!$B330)&lt;$N$2,N(对接源_01水果!$B330)&gt;$N$3),0,1))</f>
        <v>0</v>
      </c>
      <c r="P330">
        <f>IF(AND($K330=1,AND(对接源_01水果!$X330="公司筐",N(对接源_01水果!$T330)&lt;&gt;0)),1,0)</f>
        <v>0</v>
      </c>
      <c r="Q330">
        <f>N(Q329)+$P330</f>
        <v>0</v>
      </c>
      <c r="R330">
        <f>IF(AND($K330=1,AND(对接源_01水果!$X330="公司筐",N(对接源_01水果!$U330)&lt;&gt;0)),1,0)</f>
        <v>0</v>
      </c>
      <c r="S330">
        <f>N(S329)+$R330</f>
        <v>0</v>
      </c>
      <c r="T330">
        <f>IF(AND($K330=1,AND(对接源_01水果!$X330="公司筐",N(对接源_01水果!$V330)&lt;&gt;0)),1,0)</f>
        <v>0</v>
      </c>
      <c r="U330">
        <f>N(U329)+$T330</f>
        <v>21</v>
      </c>
      <c r="V330">
        <f>IF(AND($L330=1,AND(对接源_01水果!$X330="自备筐",N(对接源_01水果!$V330)&lt;&gt;0)),1,0)</f>
        <v>0</v>
      </c>
      <c r="W330">
        <f>N(W329)+$V330</f>
        <v>8</v>
      </c>
      <c r="X330">
        <f>IF(AND($L330=1,AND(对接源_01水果!$X330="自备筐",N(对接源_01水果!$T330)&lt;&gt;0)),1,0)</f>
        <v>0</v>
      </c>
      <c r="Y330">
        <f>N(Y329)+$X330</f>
        <v>0</v>
      </c>
      <c r="Z330">
        <f>IF(AND($M330=1,对接源_01水果!$D330="原料入库"),1,0)</f>
        <v>0</v>
      </c>
      <c r="AA330">
        <f>N(AA329)+$Z330</f>
        <v>24</v>
      </c>
      <c r="AB330">
        <f>IF(AND($M330=1,LEFT(对接源_01水果!$D330,4)="原料出库"),1,0)</f>
        <v>0</v>
      </c>
      <c r="AC330">
        <f>N(AC329)+$AB330</f>
        <v>0</v>
      </c>
      <c r="AD330">
        <f>IF(AND($M330=1,LEFT(对接源_01水果!$D330,4)="成品出库"),1,0)</f>
        <v>0</v>
      </c>
      <c r="AE330">
        <f>N(AE329)+$AD330</f>
        <v>0</v>
      </c>
      <c r="AF330">
        <f>IF(AND($N330=1,AND(LEFT(对接源_01水果!$D330,4)="包装物料",N(对接源_01水果!$K330)&lt;&gt;0)),1,0)</f>
        <v>0</v>
      </c>
      <c r="AG330">
        <f>N(AG329)+$AF330</f>
        <v>0</v>
      </c>
      <c r="AH330">
        <f>IF(AND($N330=1,AND(对接源_01水果!$D330="周转筐－销售出库",N(对接源_01水果!$K330)&lt;&gt;0)),1,0)</f>
        <v>0</v>
      </c>
      <c r="AI330">
        <f>N(AI329)+$AH330</f>
        <v>0</v>
      </c>
      <c r="AJ330" s="7" t="n"/>
      <c r="AL330">
        <f>IF(OR($AL$1="",对接源_01水果!$Y330="",对接源_01水果!$Y330&lt;&gt;$AL$1,对接源_01水果!$B330="",N(对接源_01水果!$AJ330)&lt;=0),0,IF(OR(N(对接源_01水果!$B330)&lt;$AL$2,N(对接源_01水果!$B330)&gt;$AL$3),0,1))</f>
        <v>0</v>
      </c>
      <c r="AM330">
        <f>N(AM329)+$AL330</f>
        <v>0</v>
      </c>
      <c r="AN330">
        <f>IF(对接源_01水果!$AC330="","",对接源_01水果!$AC330)</f>
      </c>
      <c r="AO330">
        <f>IF(AN330="",0,IF(MATCH(AN330,$AN$4:$AN$1203,0)=ROW()-3,1,0))</f>
        <v>0</v>
      </c>
      <c r="AP330">
        <f>N(AP329)+$AO330</f>
        <v>0</v>
      </c>
      <c r="AR330">
        <f>IF(OR($AF330=1,$AH330=1),1,0)</f>
        <v>0</v>
      </c>
      <c r="AS330">
        <f>N(AS329)+$AR330</f>
        <v>0</v>
      </c>
    </row>
    <row r="331" ht="14.25" customHeight="1" s="127">
      <c r="A331" t="str">
        <f>IF(对接源_01水果!$C331="","",对接源_01水果!$C331)</f>
        <v>努尔敦</v>
      </c>
      <c r="B331">
        <f>IF(A331="",0,IF(MATCH(A331,$A$4:$A$2403,0)=ROW()-3,1,0))</f>
        <v>0</v>
      </c>
      <c r="C331">
        <f>N(C330)+B331</f>
        <v>18</v>
      </c>
      <c r="K331">
        <f>IF(OR($K$1="",对接源_01水果!$C331="",对接源_01水果!$C331&lt;&gt;$K$1,对接源_01水果!$B331=""),0,IF(OR(N(对接源_01水果!$B331)&lt;$K$2,N(对接源_01水果!$B331)&gt;$K$3),0,1))</f>
        <v>0</v>
      </c>
      <c r="L331">
        <f>IF(OR($L$1="",对接源_01水果!$C331="",对接源_01水果!$C331&lt;&gt;$L$1,对接源_01水果!$B331=""),0,IF(OR(N(对接源_01水果!$B331)&lt;$L$2,N(对接源_01水果!$B331)&gt;$L$3),0,1))</f>
        <v>0</v>
      </c>
      <c r="M331">
        <f>IF(OR($M$1="",对接源_01水果!$C331="",对接源_01水果!$C331&lt;&gt;$M$1,对接源_01水果!$B331=""),0,IF(OR(N(对接源_01水果!$B331)&lt;$M$2,N(对接源_01水果!$B331)&gt;$M$3),0,1))</f>
        <v>0</v>
      </c>
      <c r="N331">
        <f>IF(OR($N$1="",对接源_01水果!$C331="",对接源_01水果!$C331&lt;&gt;$N$1,对接源_01水果!$B331=""),0,IF(OR(N(对接源_01水果!$B331)&lt;$N$2,N(对接源_01水果!$B331)&gt;$N$3),0,1))</f>
        <v>0</v>
      </c>
      <c r="P331">
        <f>IF(AND($K331=1,AND(对接源_01水果!$X331="公司筐",N(对接源_01水果!$T331)&lt;&gt;0)),1,0)</f>
        <v>0</v>
      </c>
      <c r="Q331">
        <f>N(Q330)+$P331</f>
        <v>0</v>
      </c>
      <c r="R331">
        <f>IF(AND($K331=1,AND(对接源_01水果!$X331="公司筐",N(对接源_01水果!$U331)&lt;&gt;0)),1,0)</f>
        <v>0</v>
      </c>
      <c r="S331">
        <f>N(S330)+$R331</f>
        <v>0</v>
      </c>
      <c r="T331">
        <f>IF(AND($K331=1,AND(对接源_01水果!$X331="公司筐",N(对接源_01水果!$V331)&lt;&gt;0)),1,0)</f>
        <v>0</v>
      </c>
      <c r="U331">
        <f>N(U330)+$T331</f>
        <v>21</v>
      </c>
      <c r="V331">
        <f>IF(AND($L331=1,AND(对接源_01水果!$X331="自备筐",N(对接源_01水果!$V331)&lt;&gt;0)),1,0)</f>
        <v>0</v>
      </c>
      <c r="W331">
        <f>N(W330)+$V331</f>
        <v>8</v>
      </c>
      <c r="X331">
        <f>IF(AND($L331=1,AND(对接源_01水果!$X331="自备筐",N(对接源_01水果!$T331)&lt;&gt;0)),1,0)</f>
        <v>0</v>
      </c>
      <c r="Y331">
        <f>N(Y330)+$X331</f>
        <v>0</v>
      </c>
      <c r="Z331">
        <f>IF(AND($M331=1,对接源_01水果!$D331="原料入库"),1,0)</f>
        <v>0</v>
      </c>
      <c r="AA331">
        <f>N(AA330)+$Z331</f>
        <v>24</v>
      </c>
      <c r="AB331">
        <f>IF(AND($M331=1,LEFT(对接源_01水果!$D331,4)="原料出库"),1,0)</f>
        <v>0</v>
      </c>
      <c r="AC331">
        <f>N(AC330)+$AB331</f>
        <v>0</v>
      </c>
      <c r="AD331">
        <f>IF(AND($M331=1,LEFT(对接源_01水果!$D331,4)="成品出库"),1,0)</f>
        <v>0</v>
      </c>
      <c r="AE331">
        <f>N(AE330)+$AD331</f>
        <v>0</v>
      </c>
      <c r="AF331">
        <f>IF(AND($N331=1,AND(LEFT(对接源_01水果!$D331,4)="包装物料",N(对接源_01水果!$K331)&lt;&gt;0)),1,0)</f>
        <v>0</v>
      </c>
      <c r="AG331">
        <f>N(AG330)+$AF331</f>
        <v>0</v>
      </c>
      <c r="AH331">
        <f>IF(AND($N331=1,AND(对接源_01水果!$D331="周转筐－销售出库",N(对接源_01水果!$K331)&lt;&gt;0)),1,0)</f>
        <v>0</v>
      </c>
      <c r="AI331">
        <f>N(AI330)+$AH331</f>
        <v>0</v>
      </c>
      <c r="AJ331" s="7" t="n"/>
      <c r="AL331">
        <f>IF(OR($AL$1="",对接源_01水果!$Y331="",对接源_01水果!$Y331&lt;&gt;$AL$1,对接源_01水果!$B331="",N(对接源_01水果!$AJ331)&lt;=0),0,IF(OR(N(对接源_01水果!$B331)&lt;$AL$2,N(对接源_01水果!$B331)&gt;$AL$3),0,1))</f>
        <v>0</v>
      </c>
      <c r="AM331">
        <f>N(AM330)+$AL331</f>
        <v>0</v>
      </c>
      <c r="AN331">
        <f>IF(对接源_01水果!$AC331="","",对接源_01水果!$AC331)</f>
      </c>
      <c r="AO331">
        <f>IF(AN331="",0,IF(MATCH(AN331,$AN$4:$AN$1203,0)=ROW()-3,1,0))</f>
        <v>0</v>
      </c>
      <c r="AP331">
        <f>N(AP330)+$AO331</f>
        <v>0</v>
      </c>
      <c r="AR331">
        <f>IF(OR($AF331=1,$AH331=1),1,0)</f>
        <v>0</v>
      </c>
      <c r="AS331">
        <f>N(AS330)+$AR331</f>
        <v>0</v>
      </c>
    </row>
    <row r="332" ht="14.25" customHeight="1" s="127">
      <c r="A332" t="str">
        <f>IF(对接源_01水果!$C332="","",对接源_01水果!$C332)</f>
        <v>努尔敦</v>
      </c>
      <c r="B332">
        <f>IF(A332="",0,IF(MATCH(A332,$A$4:$A$2403,0)=ROW()-3,1,0))</f>
        <v>0</v>
      </c>
      <c r="C332">
        <f>N(C331)+B332</f>
        <v>18</v>
      </c>
      <c r="K332">
        <f>IF(OR($K$1="",对接源_01水果!$C332="",对接源_01水果!$C332&lt;&gt;$K$1,对接源_01水果!$B332=""),0,IF(OR(N(对接源_01水果!$B332)&lt;$K$2,N(对接源_01水果!$B332)&gt;$K$3),0,1))</f>
        <v>0</v>
      </c>
      <c r="L332">
        <f>IF(OR($L$1="",对接源_01水果!$C332="",对接源_01水果!$C332&lt;&gt;$L$1,对接源_01水果!$B332=""),0,IF(OR(N(对接源_01水果!$B332)&lt;$L$2,N(对接源_01水果!$B332)&gt;$L$3),0,1))</f>
        <v>0</v>
      </c>
      <c r="M332">
        <f>IF(OR($M$1="",对接源_01水果!$C332="",对接源_01水果!$C332&lt;&gt;$M$1,对接源_01水果!$B332=""),0,IF(OR(N(对接源_01水果!$B332)&lt;$M$2,N(对接源_01水果!$B332)&gt;$M$3),0,1))</f>
        <v>0</v>
      </c>
      <c r="N332">
        <f>IF(OR($N$1="",对接源_01水果!$C332="",对接源_01水果!$C332&lt;&gt;$N$1,对接源_01水果!$B332=""),0,IF(OR(N(对接源_01水果!$B332)&lt;$N$2,N(对接源_01水果!$B332)&gt;$N$3),0,1))</f>
        <v>0</v>
      </c>
      <c r="P332">
        <f>IF(AND($K332=1,AND(对接源_01水果!$X332="公司筐",N(对接源_01水果!$T332)&lt;&gt;0)),1,0)</f>
        <v>0</v>
      </c>
      <c r="Q332">
        <f>N(Q331)+$P332</f>
        <v>0</v>
      </c>
      <c r="R332">
        <f>IF(AND($K332=1,AND(对接源_01水果!$X332="公司筐",N(对接源_01水果!$U332)&lt;&gt;0)),1,0)</f>
        <v>0</v>
      </c>
      <c r="S332">
        <f>N(S331)+$R332</f>
        <v>0</v>
      </c>
      <c r="T332">
        <f>IF(AND($K332=1,AND(对接源_01水果!$X332="公司筐",N(对接源_01水果!$V332)&lt;&gt;0)),1,0)</f>
        <v>0</v>
      </c>
      <c r="U332">
        <f>N(U331)+$T332</f>
        <v>21</v>
      </c>
      <c r="V332">
        <f>IF(AND($L332=1,AND(对接源_01水果!$X332="自备筐",N(对接源_01水果!$V332)&lt;&gt;0)),1,0)</f>
        <v>0</v>
      </c>
      <c r="W332">
        <f>N(W331)+$V332</f>
        <v>8</v>
      </c>
      <c r="X332">
        <f>IF(AND($L332=1,AND(对接源_01水果!$X332="自备筐",N(对接源_01水果!$T332)&lt;&gt;0)),1,0)</f>
        <v>0</v>
      </c>
      <c r="Y332">
        <f>N(Y331)+$X332</f>
        <v>0</v>
      </c>
      <c r="Z332">
        <f>IF(AND($M332=1,对接源_01水果!$D332="原料入库"),1,0)</f>
        <v>0</v>
      </c>
      <c r="AA332">
        <f>N(AA331)+$Z332</f>
        <v>24</v>
      </c>
      <c r="AB332">
        <f>IF(AND($M332=1,LEFT(对接源_01水果!$D332,4)="原料出库"),1,0)</f>
        <v>0</v>
      </c>
      <c r="AC332">
        <f>N(AC331)+$AB332</f>
        <v>0</v>
      </c>
      <c r="AD332">
        <f>IF(AND($M332=1,LEFT(对接源_01水果!$D332,4)="成品出库"),1,0)</f>
        <v>0</v>
      </c>
      <c r="AE332">
        <f>N(AE331)+$AD332</f>
        <v>0</v>
      </c>
      <c r="AF332">
        <f>IF(AND($N332=1,AND(LEFT(对接源_01水果!$D332,4)="包装物料",N(对接源_01水果!$K332)&lt;&gt;0)),1,0)</f>
        <v>0</v>
      </c>
      <c r="AG332">
        <f>N(AG331)+$AF332</f>
        <v>0</v>
      </c>
      <c r="AH332">
        <f>IF(AND($N332=1,AND(对接源_01水果!$D332="周转筐－销售出库",N(对接源_01水果!$K332)&lt;&gt;0)),1,0)</f>
        <v>0</v>
      </c>
      <c r="AI332">
        <f>N(AI331)+$AH332</f>
        <v>0</v>
      </c>
      <c r="AJ332" s="7" t="n"/>
      <c r="AL332">
        <f>IF(OR($AL$1="",对接源_01水果!$Y332="",对接源_01水果!$Y332&lt;&gt;$AL$1,对接源_01水果!$B332="",N(对接源_01水果!$AJ332)&lt;=0),0,IF(OR(N(对接源_01水果!$B332)&lt;$AL$2,N(对接源_01水果!$B332)&gt;$AL$3),0,1))</f>
        <v>0</v>
      </c>
      <c r="AM332">
        <f>N(AM331)+$AL332</f>
        <v>0</v>
      </c>
      <c r="AN332">
        <f>IF(对接源_01水果!$AC332="","",对接源_01水果!$AC332)</f>
      </c>
      <c r="AO332">
        <f>IF(AN332="",0,IF(MATCH(AN332,$AN$4:$AN$1203,0)=ROW()-3,1,0))</f>
        <v>0</v>
      </c>
      <c r="AP332">
        <f>N(AP331)+$AO332</f>
        <v>0</v>
      </c>
      <c r="AR332">
        <f>IF(OR($AF332=1,$AH332=1),1,0)</f>
        <v>0</v>
      </c>
      <c r="AS332">
        <f>N(AS331)+$AR332</f>
        <v>0</v>
      </c>
    </row>
    <row r="333" ht="14.25" customHeight="1" s="127">
      <c r="A333" t="str">
        <f>IF(对接源_01水果!$C333="","",对接源_01水果!$C333)</f>
        <v>努尔敦</v>
      </c>
      <c r="B333">
        <f>IF(A333="",0,IF(MATCH(A333,$A$4:$A$2403,0)=ROW()-3,1,0))</f>
        <v>0</v>
      </c>
      <c r="C333">
        <f>N(C332)+B333</f>
        <v>18</v>
      </c>
      <c r="K333">
        <f>IF(OR($K$1="",对接源_01水果!$C333="",对接源_01水果!$C333&lt;&gt;$K$1,对接源_01水果!$B333=""),0,IF(OR(N(对接源_01水果!$B333)&lt;$K$2,N(对接源_01水果!$B333)&gt;$K$3),0,1))</f>
        <v>0</v>
      </c>
      <c r="L333">
        <f>IF(OR($L$1="",对接源_01水果!$C333="",对接源_01水果!$C333&lt;&gt;$L$1,对接源_01水果!$B333=""),0,IF(OR(N(对接源_01水果!$B333)&lt;$L$2,N(对接源_01水果!$B333)&gt;$L$3),0,1))</f>
        <v>0</v>
      </c>
      <c r="M333">
        <f>IF(OR($M$1="",对接源_01水果!$C333="",对接源_01水果!$C333&lt;&gt;$M$1,对接源_01水果!$B333=""),0,IF(OR(N(对接源_01水果!$B333)&lt;$M$2,N(对接源_01水果!$B333)&gt;$M$3),0,1))</f>
        <v>0</v>
      </c>
      <c r="N333">
        <f>IF(OR($N$1="",对接源_01水果!$C333="",对接源_01水果!$C333&lt;&gt;$N$1,对接源_01水果!$B333=""),0,IF(OR(N(对接源_01水果!$B333)&lt;$N$2,N(对接源_01水果!$B333)&gt;$N$3),0,1))</f>
        <v>0</v>
      </c>
      <c r="P333">
        <f>IF(AND($K333=1,AND(对接源_01水果!$X333="公司筐",N(对接源_01水果!$T333)&lt;&gt;0)),1,0)</f>
        <v>0</v>
      </c>
      <c r="Q333">
        <f>N(Q332)+$P333</f>
        <v>0</v>
      </c>
      <c r="R333">
        <f>IF(AND($K333=1,AND(对接源_01水果!$X333="公司筐",N(对接源_01水果!$U333)&lt;&gt;0)),1,0)</f>
        <v>0</v>
      </c>
      <c r="S333">
        <f>N(S332)+$R333</f>
        <v>0</v>
      </c>
      <c r="T333">
        <f>IF(AND($K333=1,AND(对接源_01水果!$X333="公司筐",N(对接源_01水果!$V333)&lt;&gt;0)),1,0)</f>
        <v>0</v>
      </c>
      <c r="U333">
        <f>N(U332)+$T333</f>
        <v>21</v>
      </c>
      <c r="V333">
        <f>IF(AND($L333=1,AND(对接源_01水果!$X333="自备筐",N(对接源_01水果!$V333)&lt;&gt;0)),1,0)</f>
        <v>0</v>
      </c>
      <c r="W333">
        <f>N(W332)+$V333</f>
        <v>8</v>
      </c>
      <c r="X333">
        <f>IF(AND($L333=1,AND(对接源_01水果!$X333="自备筐",N(对接源_01水果!$T333)&lt;&gt;0)),1,0)</f>
        <v>0</v>
      </c>
      <c r="Y333">
        <f>N(Y332)+$X333</f>
        <v>0</v>
      </c>
      <c r="Z333">
        <f>IF(AND($M333=1,对接源_01水果!$D333="原料入库"),1,0)</f>
        <v>0</v>
      </c>
      <c r="AA333">
        <f>N(AA332)+$Z333</f>
        <v>24</v>
      </c>
      <c r="AB333">
        <f>IF(AND($M333=1,LEFT(对接源_01水果!$D333,4)="原料出库"),1,0)</f>
        <v>0</v>
      </c>
      <c r="AC333">
        <f>N(AC332)+$AB333</f>
        <v>0</v>
      </c>
      <c r="AD333">
        <f>IF(AND($M333=1,LEFT(对接源_01水果!$D333,4)="成品出库"),1,0)</f>
        <v>0</v>
      </c>
      <c r="AE333">
        <f>N(AE332)+$AD333</f>
        <v>0</v>
      </c>
      <c r="AF333">
        <f>IF(AND($N333=1,AND(LEFT(对接源_01水果!$D333,4)="包装物料",N(对接源_01水果!$K333)&lt;&gt;0)),1,0)</f>
        <v>0</v>
      </c>
      <c r="AG333">
        <f>N(AG332)+$AF333</f>
        <v>0</v>
      </c>
      <c r="AH333">
        <f>IF(AND($N333=1,AND(对接源_01水果!$D333="周转筐－销售出库",N(对接源_01水果!$K333)&lt;&gt;0)),1,0)</f>
        <v>0</v>
      </c>
      <c r="AI333">
        <f>N(AI332)+$AH333</f>
        <v>0</v>
      </c>
      <c r="AJ333" s="7" t="n"/>
      <c r="AL333">
        <f>IF(OR($AL$1="",对接源_01水果!$Y333="",对接源_01水果!$Y333&lt;&gt;$AL$1,对接源_01水果!$B333="",N(对接源_01水果!$AJ333)&lt;=0),0,IF(OR(N(对接源_01水果!$B333)&lt;$AL$2,N(对接源_01水果!$B333)&gt;$AL$3),0,1))</f>
        <v>0</v>
      </c>
      <c r="AM333">
        <f>N(AM332)+$AL333</f>
        <v>0</v>
      </c>
      <c r="AN333">
        <f>IF(对接源_01水果!$AC333="","",对接源_01水果!$AC333)</f>
      </c>
      <c r="AO333">
        <f>IF(AN333="",0,IF(MATCH(AN333,$AN$4:$AN$1203,0)=ROW()-3,1,0))</f>
        <v>0</v>
      </c>
      <c r="AP333">
        <f>N(AP332)+$AO333</f>
        <v>0</v>
      </c>
      <c r="AR333">
        <f>IF(OR($AF333=1,$AH333=1),1,0)</f>
        <v>0</v>
      </c>
      <c r="AS333">
        <f>N(AS332)+$AR333</f>
        <v>0</v>
      </c>
    </row>
    <row r="334" ht="14.25" customHeight="1" s="127">
      <c r="A334" t="str">
        <f>IF(对接源_01水果!$C334="","",对接源_01水果!$C334)</f>
        <v>贾建国</v>
      </c>
      <c r="B334">
        <f>IF(A334="",0,IF(MATCH(A334,$A$4:$A$2403,0)=ROW()-3,1,0))</f>
        <v>0</v>
      </c>
      <c r="C334">
        <f>N(C333)+B334</f>
        <v>18</v>
      </c>
      <c r="K334">
        <f>IF(OR($K$1="",对接源_01水果!$C334="",对接源_01水果!$C334&lt;&gt;$K$1,对接源_01水果!$B334=""),0,IF(OR(N(对接源_01水果!$B334)&lt;$K$2,N(对接源_01水果!$B334)&gt;$K$3),0,1))</f>
        <v>0</v>
      </c>
      <c r="L334">
        <f>IF(OR($L$1="",对接源_01水果!$C334="",对接源_01水果!$C334&lt;&gt;$L$1,对接源_01水果!$B334=""),0,IF(OR(N(对接源_01水果!$B334)&lt;$L$2,N(对接源_01水果!$B334)&gt;$L$3),0,1))</f>
        <v>1</v>
      </c>
      <c r="M334">
        <f>IF(OR($M$1="",对接源_01水果!$C334="",对接源_01水果!$C334&lt;&gt;$M$1,对接源_01水果!$B334=""),0,IF(OR(N(对接源_01水果!$B334)&lt;$M$2,N(对接源_01水果!$B334)&gt;$M$3),0,1))</f>
        <v>0</v>
      </c>
      <c r="N334">
        <f>IF(OR($N$1="",对接源_01水果!$C334="",对接源_01水果!$C334&lt;&gt;$N$1,对接源_01水果!$B334=""),0,IF(OR(N(对接源_01水果!$B334)&lt;$N$2,N(对接源_01水果!$B334)&gt;$N$3),0,1))</f>
        <v>0</v>
      </c>
      <c r="P334">
        <f>IF(AND($K334=1,AND(对接源_01水果!$X334="公司筐",N(对接源_01水果!$T334)&lt;&gt;0)),1,0)</f>
        <v>0</v>
      </c>
      <c r="Q334">
        <f>N(Q333)+$P334</f>
        <v>0</v>
      </c>
      <c r="R334">
        <f>IF(AND($K334=1,AND(对接源_01水果!$X334="公司筐",N(对接源_01水果!$U334)&lt;&gt;0)),1,0)</f>
        <v>0</v>
      </c>
      <c r="S334">
        <f>N(S333)+$R334</f>
        <v>0</v>
      </c>
      <c r="T334">
        <f>IF(AND($K334=1,AND(对接源_01水果!$X334="公司筐",N(对接源_01水果!$V334)&lt;&gt;0)),1,0)</f>
        <v>0</v>
      </c>
      <c r="U334">
        <f>N(U333)+$T334</f>
        <v>21</v>
      </c>
      <c r="V334">
        <f>IF(AND($L334=1,AND(对接源_01水果!$X334="自备筐",N(对接源_01水果!$V334)&lt;&gt;0)),1,0)</f>
        <v>1</v>
      </c>
      <c r="W334">
        <f>N(W333)+$V334</f>
        <v>9</v>
      </c>
      <c r="X334">
        <f>IF(AND($L334=1,AND(对接源_01水果!$X334="自备筐",N(对接源_01水果!$T334)&lt;&gt;0)),1,0)</f>
        <v>0</v>
      </c>
      <c r="Y334">
        <f>N(Y333)+$X334</f>
        <v>0</v>
      </c>
      <c r="Z334">
        <f>IF(AND($M334=1,对接源_01水果!$D334="原料入库"),1,0)</f>
        <v>0</v>
      </c>
      <c r="AA334">
        <f>N(AA333)+$Z334</f>
        <v>24</v>
      </c>
      <c r="AB334">
        <f>IF(AND($M334=1,LEFT(对接源_01水果!$D334,4)="原料出库"),1,0)</f>
        <v>0</v>
      </c>
      <c r="AC334">
        <f>N(AC333)+$AB334</f>
        <v>0</v>
      </c>
      <c r="AD334">
        <f>IF(AND($M334=1,LEFT(对接源_01水果!$D334,4)="成品出库"),1,0)</f>
        <v>0</v>
      </c>
      <c r="AE334">
        <f>N(AE333)+$AD334</f>
        <v>0</v>
      </c>
      <c r="AF334">
        <f>IF(AND($N334=1,AND(LEFT(对接源_01水果!$D334,4)="包装物料",N(对接源_01水果!$K334)&lt;&gt;0)),1,0)</f>
        <v>0</v>
      </c>
      <c r="AG334">
        <f>N(AG333)+$AF334</f>
        <v>0</v>
      </c>
      <c r="AH334">
        <f>IF(AND($N334=1,AND(对接源_01水果!$D334="周转筐－销售出库",N(对接源_01水果!$K334)&lt;&gt;0)),1,0)</f>
        <v>0</v>
      </c>
      <c r="AI334">
        <f>N(AI333)+$AH334</f>
        <v>0</v>
      </c>
      <c r="AJ334" s="7" t="n"/>
      <c r="AL334">
        <f>IF(OR($AL$1="",对接源_01水果!$Y334="",对接源_01水果!$Y334&lt;&gt;$AL$1,对接源_01水果!$B334="",N(对接源_01水果!$AJ334)&lt;=0),0,IF(OR(N(对接源_01水果!$B334)&lt;$AL$2,N(对接源_01水果!$B334)&gt;$AL$3),0,1))</f>
        <v>0</v>
      </c>
      <c r="AM334">
        <f>N(AM333)+$AL334</f>
        <v>0</v>
      </c>
      <c r="AN334">
        <f>IF(对接源_01水果!$AC334="","",对接源_01水果!$AC334)</f>
      </c>
      <c r="AO334">
        <f>IF(AN334="",0,IF(MATCH(AN334,$AN$4:$AN$1203,0)=ROW()-3,1,0))</f>
        <v>0</v>
      </c>
      <c r="AP334">
        <f>N(AP333)+$AO334</f>
        <v>0</v>
      </c>
      <c r="AR334">
        <f>IF(OR($AF334=1,$AH334=1),1,0)</f>
        <v>0</v>
      </c>
      <c r="AS334">
        <f>N(AS333)+$AR334</f>
        <v>0</v>
      </c>
    </row>
    <row r="335" ht="14.25" customHeight="1" s="127">
      <c r="A335" t="str">
        <f>IF(对接源_01水果!$C335="","",对接源_01水果!$C335)</f>
        <v>贾建国</v>
      </c>
      <c r="B335">
        <f>IF(A335="",0,IF(MATCH(A335,$A$4:$A$2403,0)=ROW()-3,1,0))</f>
        <v>0</v>
      </c>
      <c r="C335">
        <f>N(C334)+B335</f>
        <v>18</v>
      </c>
      <c r="K335">
        <f>IF(OR($K$1="",对接源_01水果!$C335="",对接源_01水果!$C335&lt;&gt;$K$1,对接源_01水果!$B335=""),0,IF(OR(N(对接源_01水果!$B335)&lt;$K$2,N(对接源_01水果!$B335)&gt;$K$3),0,1))</f>
        <v>0</v>
      </c>
      <c r="L335">
        <f>IF(OR($L$1="",对接源_01水果!$C335="",对接源_01水果!$C335&lt;&gt;$L$1,对接源_01水果!$B335=""),0,IF(OR(N(对接源_01水果!$B335)&lt;$L$2,N(对接源_01水果!$B335)&gt;$L$3),0,1))</f>
        <v>1</v>
      </c>
      <c r="M335">
        <f>IF(OR($M$1="",对接源_01水果!$C335="",对接源_01水果!$C335&lt;&gt;$M$1,对接源_01水果!$B335=""),0,IF(OR(N(对接源_01水果!$B335)&lt;$M$2,N(对接源_01水果!$B335)&gt;$M$3),0,1))</f>
        <v>0</v>
      </c>
      <c r="N335">
        <f>IF(OR($N$1="",对接源_01水果!$C335="",对接源_01水果!$C335&lt;&gt;$N$1,对接源_01水果!$B335=""),0,IF(OR(N(对接源_01水果!$B335)&lt;$N$2,N(对接源_01水果!$B335)&gt;$N$3),0,1))</f>
        <v>0</v>
      </c>
      <c r="P335">
        <f>IF(AND($K335=1,AND(对接源_01水果!$X335="公司筐",N(对接源_01水果!$T335)&lt;&gt;0)),1,0)</f>
        <v>0</v>
      </c>
      <c r="Q335">
        <f>N(Q334)+$P335</f>
        <v>0</v>
      </c>
      <c r="R335">
        <f>IF(AND($K335=1,AND(对接源_01水果!$X335="公司筐",N(对接源_01水果!$U335)&lt;&gt;0)),1,0)</f>
        <v>0</v>
      </c>
      <c r="S335">
        <f>N(S334)+$R335</f>
        <v>0</v>
      </c>
      <c r="T335">
        <f>IF(AND($K335=1,AND(对接源_01水果!$X335="公司筐",N(对接源_01水果!$V335)&lt;&gt;0)),1,0)</f>
        <v>0</v>
      </c>
      <c r="U335">
        <f>N(U334)+$T335</f>
        <v>21</v>
      </c>
      <c r="V335">
        <f>IF(AND($L335=1,AND(对接源_01水果!$X335="自备筐",N(对接源_01水果!$V335)&lt;&gt;0)),1,0)</f>
        <v>1</v>
      </c>
      <c r="W335">
        <f>N(W334)+$V335</f>
        <v>10</v>
      </c>
      <c r="X335">
        <f>IF(AND($L335=1,AND(对接源_01水果!$X335="自备筐",N(对接源_01水果!$T335)&lt;&gt;0)),1,0)</f>
        <v>0</v>
      </c>
      <c r="Y335">
        <f>N(Y334)+$X335</f>
        <v>0</v>
      </c>
      <c r="Z335">
        <f>IF(AND($M335=1,对接源_01水果!$D335="原料入库"),1,0)</f>
        <v>0</v>
      </c>
      <c r="AA335">
        <f>N(AA334)+$Z335</f>
        <v>24</v>
      </c>
      <c r="AB335">
        <f>IF(AND($M335=1,LEFT(对接源_01水果!$D335,4)="原料出库"),1,0)</f>
        <v>0</v>
      </c>
      <c r="AC335">
        <f>N(AC334)+$AB335</f>
        <v>0</v>
      </c>
      <c r="AD335">
        <f>IF(AND($M335=1,LEFT(对接源_01水果!$D335,4)="成品出库"),1,0)</f>
        <v>0</v>
      </c>
      <c r="AE335">
        <f>N(AE334)+$AD335</f>
        <v>0</v>
      </c>
      <c r="AF335">
        <f>IF(AND($N335=1,AND(LEFT(对接源_01水果!$D335,4)="包装物料",N(对接源_01水果!$K335)&lt;&gt;0)),1,0)</f>
        <v>0</v>
      </c>
      <c r="AG335">
        <f>N(AG334)+$AF335</f>
        <v>0</v>
      </c>
      <c r="AH335">
        <f>IF(AND($N335=1,AND(对接源_01水果!$D335="周转筐－销售出库",N(对接源_01水果!$K335)&lt;&gt;0)),1,0)</f>
        <v>0</v>
      </c>
      <c r="AI335">
        <f>N(AI334)+$AH335</f>
        <v>0</v>
      </c>
      <c r="AJ335" s="7" t="n"/>
      <c r="AL335">
        <f>IF(OR($AL$1="",对接源_01水果!$Y335="",对接源_01水果!$Y335&lt;&gt;$AL$1,对接源_01水果!$B335="",N(对接源_01水果!$AJ335)&lt;=0),0,IF(OR(N(对接源_01水果!$B335)&lt;$AL$2,N(对接源_01水果!$B335)&gt;$AL$3),0,1))</f>
        <v>0</v>
      </c>
      <c r="AM335">
        <f>N(AM334)+$AL335</f>
        <v>0</v>
      </c>
      <c r="AN335">
        <f>IF(对接源_01水果!$AC335="","",对接源_01水果!$AC335)</f>
      </c>
      <c r="AO335">
        <f>IF(AN335="",0,IF(MATCH(AN335,$AN$4:$AN$1203,0)=ROW()-3,1,0))</f>
        <v>0</v>
      </c>
      <c r="AP335">
        <f>N(AP334)+$AO335</f>
        <v>0</v>
      </c>
      <c r="AR335">
        <f>IF(OR($AF335=1,$AH335=1),1,0)</f>
        <v>0</v>
      </c>
      <c r="AS335">
        <f>N(AS334)+$AR335</f>
        <v>0</v>
      </c>
    </row>
    <row r="336" ht="14.25" customHeight="1" s="127">
      <c r="A336" t="str">
        <f>IF(对接源_01水果!$C336="","",对接源_01水果!$C336)</f>
        <v>贾建国</v>
      </c>
      <c r="B336">
        <f>IF(A336="",0,IF(MATCH(A336,$A$4:$A$2403,0)=ROW()-3,1,0))</f>
        <v>0</v>
      </c>
      <c r="C336">
        <f>N(C335)+B336</f>
        <v>18</v>
      </c>
      <c r="K336">
        <f>IF(OR($K$1="",对接源_01水果!$C336="",对接源_01水果!$C336&lt;&gt;$K$1,对接源_01水果!$B336=""),0,IF(OR(N(对接源_01水果!$B336)&lt;$K$2,N(对接源_01水果!$B336)&gt;$K$3),0,1))</f>
        <v>0</v>
      </c>
      <c r="L336">
        <f>IF(OR($L$1="",对接源_01水果!$C336="",对接源_01水果!$C336&lt;&gt;$L$1,对接源_01水果!$B336=""),0,IF(OR(N(对接源_01水果!$B336)&lt;$L$2,N(对接源_01水果!$B336)&gt;$L$3),0,1))</f>
        <v>1</v>
      </c>
      <c r="M336">
        <f>IF(OR($M$1="",对接源_01水果!$C336="",对接源_01水果!$C336&lt;&gt;$M$1,对接源_01水果!$B336=""),0,IF(OR(N(对接源_01水果!$B336)&lt;$M$2,N(对接源_01水果!$B336)&gt;$M$3),0,1))</f>
        <v>0</v>
      </c>
      <c r="N336">
        <f>IF(OR($N$1="",对接源_01水果!$C336="",对接源_01水果!$C336&lt;&gt;$N$1,对接源_01水果!$B336=""),0,IF(OR(N(对接源_01水果!$B336)&lt;$N$2,N(对接源_01水果!$B336)&gt;$N$3),0,1))</f>
        <v>0</v>
      </c>
      <c r="P336">
        <f>IF(AND($K336=1,AND(对接源_01水果!$X336="公司筐",N(对接源_01水果!$T336)&lt;&gt;0)),1,0)</f>
        <v>0</v>
      </c>
      <c r="Q336">
        <f>N(Q335)+$P336</f>
        <v>0</v>
      </c>
      <c r="R336">
        <f>IF(AND($K336=1,AND(对接源_01水果!$X336="公司筐",N(对接源_01水果!$U336)&lt;&gt;0)),1,0)</f>
        <v>0</v>
      </c>
      <c r="S336">
        <f>N(S335)+$R336</f>
        <v>0</v>
      </c>
      <c r="T336">
        <f>IF(AND($K336=1,AND(对接源_01水果!$X336="公司筐",N(对接源_01水果!$V336)&lt;&gt;0)),1,0)</f>
        <v>0</v>
      </c>
      <c r="U336">
        <f>N(U335)+$T336</f>
        <v>21</v>
      </c>
      <c r="V336">
        <f>IF(AND($L336=1,AND(对接源_01水果!$X336="自备筐",N(对接源_01水果!$V336)&lt;&gt;0)),1,0)</f>
        <v>1</v>
      </c>
      <c r="W336">
        <f>N(W335)+$V336</f>
        <v>11</v>
      </c>
      <c r="X336">
        <f>IF(AND($L336=1,AND(对接源_01水果!$X336="自备筐",N(对接源_01水果!$T336)&lt;&gt;0)),1,0)</f>
        <v>0</v>
      </c>
      <c r="Y336">
        <f>N(Y335)+$X336</f>
        <v>0</v>
      </c>
      <c r="Z336">
        <f>IF(AND($M336=1,对接源_01水果!$D336="原料入库"),1,0)</f>
        <v>0</v>
      </c>
      <c r="AA336">
        <f>N(AA335)+$Z336</f>
        <v>24</v>
      </c>
      <c r="AB336">
        <f>IF(AND($M336=1,LEFT(对接源_01水果!$D336,4)="原料出库"),1,0)</f>
        <v>0</v>
      </c>
      <c r="AC336">
        <f>N(AC335)+$AB336</f>
        <v>0</v>
      </c>
      <c r="AD336">
        <f>IF(AND($M336=1,LEFT(对接源_01水果!$D336,4)="成品出库"),1,0)</f>
        <v>0</v>
      </c>
      <c r="AE336">
        <f>N(AE335)+$AD336</f>
        <v>0</v>
      </c>
      <c r="AF336">
        <f>IF(AND($N336=1,AND(LEFT(对接源_01水果!$D336,4)="包装物料",N(对接源_01水果!$K336)&lt;&gt;0)),1,0)</f>
        <v>0</v>
      </c>
      <c r="AG336">
        <f>N(AG335)+$AF336</f>
        <v>0</v>
      </c>
      <c r="AH336">
        <f>IF(AND($N336=1,AND(对接源_01水果!$D336="周转筐－销售出库",N(对接源_01水果!$K336)&lt;&gt;0)),1,0)</f>
        <v>0</v>
      </c>
      <c r="AI336">
        <f>N(AI335)+$AH336</f>
        <v>0</v>
      </c>
      <c r="AJ336" s="7" t="n"/>
      <c r="AL336">
        <f>IF(OR($AL$1="",对接源_01水果!$Y336="",对接源_01水果!$Y336&lt;&gt;$AL$1,对接源_01水果!$B336="",N(对接源_01水果!$AJ336)&lt;=0),0,IF(OR(N(对接源_01水果!$B336)&lt;$AL$2,N(对接源_01水果!$B336)&gt;$AL$3),0,1))</f>
        <v>0</v>
      </c>
      <c r="AM336">
        <f>N(AM335)+$AL336</f>
        <v>0</v>
      </c>
      <c r="AN336">
        <f>IF(对接源_01水果!$AC336="","",对接源_01水果!$AC336)</f>
      </c>
      <c r="AO336">
        <f>IF(AN336="",0,IF(MATCH(AN336,$AN$4:$AN$1203,0)=ROW()-3,1,0))</f>
        <v>0</v>
      </c>
      <c r="AP336">
        <f>N(AP335)+$AO336</f>
        <v>0</v>
      </c>
      <c r="AR336">
        <f>IF(OR($AF336=1,$AH336=1),1,0)</f>
        <v>0</v>
      </c>
      <c r="AS336">
        <f>N(AS335)+$AR336</f>
        <v>0</v>
      </c>
    </row>
    <row r="337" ht="14.25" customHeight="1" s="127">
      <c r="A337" t="str">
        <f>IF(对接源_01水果!$C337="","",对接源_01水果!$C337)</f>
        <v>王灵云</v>
      </c>
      <c r="B337">
        <f>IF(A337="",0,IF(MATCH(A337,$A$4:$A$2403,0)=ROW()-3,1,0))</f>
        <v>0</v>
      </c>
      <c r="C337">
        <f>N(C336)+B337</f>
        <v>18</v>
      </c>
      <c r="K337">
        <f>IF(OR($K$1="",对接源_01水果!$C337="",对接源_01水果!$C337&lt;&gt;$K$1,对接源_01水果!$B337=""),0,IF(OR(N(对接源_01水果!$B337)&lt;$K$2,N(对接源_01水果!$B337)&gt;$K$3),0,1))</f>
        <v>1</v>
      </c>
      <c r="L337">
        <f>IF(OR($L$1="",对接源_01水果!$C337="",对接源_01水果!$C337&lt;&gt;$L$1,对接源_01水果!$B337=""),0,IF(OR(N(对接源_01水果!$B337)&lt;$L$2,N(对接源_01水果!$B337)&gt;$L$3),0,1))</f>
        <v>0</v>
      </c>
      <c r="M337">
        <f>IF(OR($M$1="",对接源_01水果!$C337="",对接源_01水果!$C337&lt;&gt;$M$1,对接源_01水果!$B337=""),0,IF(OR(N(对接源_01水果!$B337)&lt;$M$2,N(对接源_01水果!$B337)&gt;$M$3),0,1))</f>
        <v>0</v>
      </c>
      <c r="N337">
        <f>IF(OR($N$1="",对接源_01水果!$C337="",对接源_01水果!$C337&lt;&gt;$N$1,对接源_01水果!$B337=""),0,IF(OR(N(对接源_01水果!$B337)&lt;$N$2,N(对接源_01水果!$B337)&gt;$N$3),0,1))</f>
        <v>0</v>
      </c>
      <c r="P337">
        <f>IF(AND($K337=1,AND(对接源_01水果!$X337="公司筐",N(对接源_01水果!$T337)&lt;&gt;0)),1,0)</f>
        <v>0</v>
      </c>
      <c r="Q337">
        <f>N(Q336)+$P337</f>
        <v>0</v>
      </c>
      <c r="R337">
        <f>IF(AND($K337=1,AND(对接源_01水果!$X337="公司筐",N(对接源_01水果!$U337)&lt;&gt;0)),1,0)</f>
        <v>0</v>
      </c>
      <c r="S337">
        <f>N(S336)+$R337</f>
        <v>0</v>
      </c>
      <c r="T337">
        <f>IF(AND($K337=1,AND(对接源_01水果!$X337="公司筐",N(对接源_01水果!$V337)&lt;&gt;0)),1,0)</f>
        <v>1</v>
      </c>
      <c r="U337">
        <f>N(U336)+$T337</f>
        <v>22</v>
      </c>
      <c r="V337">
        <f>IF(AND($L337=1,AND(对接源_01水果!$X337="自备筐",N(对接源_01水果!$V337)&lt;&gt;0)),1,0)</f>
        <v>0</v>
      </c>
      <c r="W337">
        <f>N(W336)+$V337</f>
        <v>11</v>
      </c>
      <c r="X337">
        <f>IF(AND($L337=1,AND(对接源_01水果!$X337="自备筐",N(对接源_01水果!$T337)&lt;&gt;0)),1,0)</f>
        <v>0</v>
      </c>
      <c r="Y337">
        <f>N(Y336)+$X337</f>
        <v>0</v>
      </c>
      <c r="Z337">
        <f>IF(AND($M337=1,对接源_01水果!$D337="原料入库"),1,0)</f>
        <v>0</v>
      </c>
      <c r="AA337">
        <f>N(AA336)+$Z337</f>
        <v>24</v>
      </c>
      <c r="AB337">
        <f>IF(AND($M337=1,LEFT(对接源_01水果!$D337,4)="原料出库"),1,0)</f>
        <v>0</v>
      </c>
      <c r="AC337">
        <f>N(AC336)+$AB337</f>
        <v>0</v>
      </c>
      <c r="AD337">
        <f>IF(AND($M337=1,LEFT(对接源_01水果!$D337,4)="成品出库"),1,0)</f>
        <v>0</v>
      </c>
      <c r="AE337">
        <f>N(AE336)+$AD337</f>
        <v>0</v>
      </c>
      <c r="AF337">
        <f>IF(AND($N337=1,AND(LEFT(对接源_01水果!$D337,4)="包装物料",N(对接源_01水果!$K337)&lt;&gt;0)),1,0)</f>
        <v>0</v>
      </c>
      <c r="AG337">
        <f>N(AG336)+$AF337</f>
        <v>0</v>
      </c>
      <c r="AH337">
        <f>IF(AND($N337=1,AND(对接源_01水果!$D337="周转筐－销售出库",N(对接源_01水果!$K337)&lt;&gt;0)),1,0)</f>
        <v>0</v>
      </c>
      <c r="AI337">
        <f>N(AI336)+$AH337</f>
        <v>0</v>
      </c>
      <c r="AJ337" s="7" t="n"/>
      <c r="AL337">
        <f>IF(OR($AL$1="",对接源_01水果!$Y337="",对接源_01水果!$Y337&lt;&gt;$AL$1,对接源_01水果!$B337="",N(对接源_01水果!$AJ337)&lt;=0),0,IF(OR(N(对接源_01水果!$B337)&lt;$AL$2,N(对接源_01水果!$B337)&gt;$AL$3),0,1))</f>
        <v>0</v>
      </c>
      <c r="AM337">
        <f>N(AM336)+$AL337</f>
        <v>0</v>
      </c>
      <c r="AN337">
        <f>IF(对接源_01水果!$AC337="","",对接源_01水果!$AC337)</f>
      </c>
      <c r="AO337">
        <f>IF(AN337="",0,IF(MATCH(AN337,$AN$4:$AN$1203,0)=ROW()-3,1,0))</f>
        <v>0</v>
      </c>
      <c r="AP337">
        <f>N(AP336)+$AO337</f>
        <v>0</v>
      </c>
      <c r="AR337">
        <f>IF(OR($AF337=1,$AH337=1),1,0)</f>
        <v>0</v>
      </c>
      <c r="AS337">
        <f>N(AS336)+$AR337</f>
        <v>0</v>
      </c>
    </row>
    <row r="338" ht="14.25" customHeight="1" s="127">
      <c r="A338" t="str">
        <f>IF(对接源_01水果!$C338="","",对接源_01水果!$C338)</f>
        <v>王灵云</v>
      </c>
      <c r="B338">
        <f>IF(A338="",0,IF(MATCH(A338,$A$4:$A$2403,0)=ROW()-3,1,0))</f>
        <v>0</v>
      </c>
      <c r="C338">
        <f>N(C337)+B338</f>
        <v>18</v>
      </c>
      <c r="K338">
        <f>IF(OR($K$1="",对接源_01水果!$C338="",对接源_01水果!$C338&lt;&gt;$K$1,对接源_01水果!$B338=""),0,IF(OR(N(对接源_01水果!$B338)&lt;$K$2,N(对接源_01水果!$B338)&gt;$K$3),0,1))</f>
        <v>1</v>
      </c>
      <c r="L338">
        <f>IF(OR($L$1="",对接源_01水果!$C338="",对接源_01水果!$C338&lt;&gt;$L$1,对接源_01水果!$B338=""),0,IF(OR(N(对接源_01水果!$B338)&lt;$L$2,N(对接源_01水果!$B338)&gt;$L$3),0,1))</f>
        <v>0</v>
      </c>
      <c r="M338">
        <f>IF(OR($M$1="",对接源_01水果!$C338="",对接源_01水果!$C338&lt;&gt;$M$1,对接源_01水果!$B338=""),0,IF(OR(N(对接源_01水果!$B338)&lt;$M$2,N(对接源_01水果!$B338)&gt;$M$3),0,1))</f>
        <v>0</v>
      </c>
      <c r="N338">
        <f>IF(OR($N$1="",对接源_01水果!$C338="",对接源_01水果!$C338&lt;&gt;$N$1,对接源_01水果!$B338=""),0,IF(OR(N(对接源_01水果!$B338)&lt;$N$2,N(对接源_01水果!$B338)&gt;$N$3),0,1))</f>
        <v>0</v>
      </c>
      <c r="P338">
        <f>IF(AND($K338=1,AND(对接源_01水果!$X338="公司筐",N(对接源_01水果!$T338)&lt;&gt;0)),1,0)</f>
        <v>0</v>
      </c>
      <c r="Q338">
        <f>N(Q337)+$P338</f>
        <v>0</v>
      </c>
      <c r="R338">
        <f>IF(AND($K338=1,AND(对接源_01水果!$X338="公司筐",N(对接源_01水果!$U338)&lt;&gt;0)),1,0)</f>
        <v>0</v>
      </c>
      <c r="S338">
        <f>N(S337)+$R338</f>
        <v>0</v>
      </c>
      <c r="T338">
        <f>IF(AND($K338=1,AND(对接源_01水果!$X338="公司筐",N(对接源_01水果!$V338)&lt;&gt;0)),1,0)</f>
        <v>1</v>
      </c>
      <c r="U338">
        <f>N(U337)+$T338</f>
        <v>23</v>
      </c>
      <c r="V338">
        <f>IF(AND($L338=1,AND(对接源_01水果!$X338="自备筐",N(对接源_01水果!$V338)&lt;&gt;0)),1,0)</f>
        <v>0</v>
      </c>
      <c r="W338">
        <f>N(W337)+$V338</f>
        <v>11</v>
      </c>
      <c r="X338">
        <f>IF(AND($L338=1,AND(对接源_01水果!$X338="自备筐",N(对接源_01水果!$T338)&lt;&gt;0)),1,0)</f>
        <v>0</v>
      </c>
      <c r="Y338">
        <f>N(Y337)+$X338</f>
        <v>0</v>
      </c>
      <c r="Z338">
        <f>IF(AND($M338=1,对接源_01水果!$D338="原料入库"),1,0)</f>
        <v>0</v>
      </c>
      <c r="AA338">
        <f>N(AA337)+$Z338</f>
        <v>24</v>
      </c>
      <c r="AB338">
        <f>IF(AND($M338=1,LEFT(对接源_01水果!$D338,4)="原料出库"),1,0)</f>
        <v>0</v>
      </c>
      <c r="AC338">
        <f>N(AC337)+$AB338</f>
        <v>0</v>
      </c>
      <c r="AD338">
        <f>IF(AND($M338=1,LEFT(对接源_01水果!$D338,4)="成品出库"),1,0)</f>
        <v>0</v>
      </c>
      <c r="AE338">
        <f>N(AE337)+$AD338</f>
        <v>0</v>
      </c>
      <c r="AF338">
        <f>IF(AND($N338=1,AND(LEFT(对接源_01水果!$D338,4)="包装物料",N(对接源_01水果!$K338)&lt;&gt;0)),1,0)</f>
        <v>0</v>
      </c>
      <c r="AG338">
        <f>N(AG337)+$AF338</f>
        <v>0</v>
      </c>
      <c r="AH338">
        <f>IF(AND($N338=1,AND(对接源_01水果!$D338="周转筐－销售出库",N(对接源_01水果!$K338)&lt;&gt;0)),1,0)</f>
        <v>0</v>
      </c>
      <c r="AI338">
        <f>N(AI337)+$AH338</f>
        <v>0</v>
      </c>
      <c r="AJ338" s="7" t="n"/>
      <c r="AL338">
        <f>IF(OR($AL$1="",对接源_01水果!$Y338="",对接源_01水果!$Y338&lt;&gt;$AL$1,对接源_01水果!$B338="",N(对接源_01水果!$AJ338)&lt;=0),0,IF(OR(N(对接源_01水果!$B338)&lt;$AL$2,N(对接源_01水果!$B338)&gt;$AL$3),0,1))</f>
        <v>0</v>
      </c>
      <c r="AM338">
        <f>N(AM337)+$AL338</f>
        <v>0</v>
      </c>
      <c r="AN338">
        <f>IF(对接源_01水果!$AC338="","",对接源_01水果!$AC338)</f>
      </c>
      <c r="AO338">
        <f>IF(AN338="",0,IF(MATCH(AN338,$AN$4:$AN$1203,0)=ROW()-3,1,0))</f>
        <v>0</v>
      </c>
      <c r="AP338">
        <f>N(AP337)+$AO338</f>
        <v>0</v>
      </c>
      <c r="AR338">
        <f>IF(OR($AF338=1,$AH338=1),1,0)</f>
        <v>0</v>
      </c>
      <c r="AS338">
        <f>N(AS337)+$AR338</f>
        <v>0</v>
      </c>
    </row>
    <row r="339" ht="14.25" customHeight="1" s="127">
      <c r="A339" t="str">
        <f>IF(对接源_01水果!$C339="","",对接源_01水果!$C339)</f>
        <v>王灵云</v>
      </c>
      <c r="B339">
        <f>IF(A339="",0,IF(MATCH(A339,$A$4:$A$2403,0)=ROW()-3,1,0))</f>
        <v>0</v>
      </c>
      <c r="C339">
        <f>N(C338)+B339</f>
        <v>18</v>
      </c>
      <c r="K339">
        <f>IF(OR($K$1="",对接源_01水果!$C339="",对接源_01水果!$C339&lt;&gt;$K$1,对接源_01水果!$B339=""),0,IF(OR(N(对接源_01水果!$B339)&lt;$K$2,N(对接源_01水果!$B339)&gt;$K$3),0,1))</f>
        <v>1</v>
      </c>
      <c r="L339">
        <f>IF(OR($L$1="",对接源_01水果!$C339="",对接源_01水果!$C339&lt;&gt;$L$1,对接源_01水果!$B339=""),0,IF(OR(N(对接源_01水果!$B339)&lt;$L$2,N(对接源_01水果!$B339)&gt;$L$3),0,1))</f>
        <v>0</v>
      </c>
      <c r="M339">
        <f>IF(OR($M$1="",对接源_01水果!$C339="",对接源_01水果!$C339&lt;&gt;$M$1,对接源_01水果!$B339=""),0,IF(OR(N(对接源_01水果!$B339)&lt;$M$2,N(对接源_01水果!$B339)&gt;$M$3),0,1))</f>
        <v>0</v>
      </c>
      <c r="N339">
        <f>IF(OR($N$1="",对接源_01水果!$C339="",对接源_01水果!$C339&lt;&gt;$N$1,对接源_01水果!$B339=""),0,IF(OR(N(对接源_01水果!$B339)&lt;$N$2,N(对接源_01水果!$B339)&gt;$N$3),0,1))</f>
        <v>0</v>
      </c>
      <c r="P339">
        <f>IF(AND($K339=1,AND(对接源_01水果!$X339="公司筐",N(对接源_01水果!$T339)&lt;&gt;0)),1,0)</f>
        <v>0</v>
      </c>
      <c r="Q339">
        <f>N(Q338)+$P339</f>
        <v>0</v>
      </c>
      <c r="R339">
        <f>IF(AND($K339=1,AND(对接源_01水果!$X339="公司筐",N(对接源_01水果!$U339)&lt;&gt;0)),1,0)</f>
        <v>0</v>
      </c>
      <c r="S339">
        <f>N(S338)+$R339</f>
        <v>0</v>
      </c>
      <c r="T339">
        <f>IF(AND($K339=1,AND(对接源_01水果!$X339="公司筐",N(对接源_01水果!$V339)&lt;&gt;0)),1,0)</f>
        <v>1</v>
      </c>
      <c r="U339">
        <f>N(U338)+$T339</f>
        <v>24</v>
      </c>
      <c r="V339">
        <f>IF(AND($L339=1,AND(对接源_01水果!$X339="自备筐",N(对接源_01水果!$V339)&lt;&gt;0)),1,0)</f>
        <v>0</v>
      </c>
      <c r="W339">
        <f>N(W338)+$V339</f>
        <v>11</v>
      </c>
      <c r="X339">
        <f>IF(AND($L339=1,AND(对接源_01水果!$X339="自备筐",N(对接源_01水果!$T339)&lt;&gt;0)),1,0)</f>
        <v>0</v>
      </c>
      <c r="Y339">
        <f>N(Y338)+$X339</f>
        <v>0</v>
      </c>
      <c r="Z339">
        <f>IF(AND($M339=1,对接源_01水果!$D339="原料入库"),1,0)</f>
        <v>0</v>
      </c>
      <c r="AA339">
        <f>N(AA338)+$Z339</f>
        <v>24</v>
      </c>
      <c r="AB339">
        <f>IF(AND($M339=1,LEFT(对接源_01水果!$D339,4)="原料出库"),1,0)</f>
        <v>0</v>
      </c>
      <c r="AC339">
        <f>N(AC338)+$AB339</f>
        <v>0</v>
      </c>
      <c r="AD339">
        <f>IF(AND($M339=1,LEFT(对接源_01水果!$D339,4)="成品出库"),1,0)</f>
        <v>0</v>
      </c>
      <c r="AE339">
        <f>N(AE338)+$AD339</f>
        <v>0</v>
      </c>
      <c r="AF339">
        <f>IF(AND($N339=1,AND(LEFT(对接源_01水果!$D339,4)="包装物料",N(对接源_01水果!$K339)&lt;&gt;0)),1,0)</f>
        <v>0</v>
      </c>
      <c r="AG339">
        <f>N(AG338)+$AF339</f>
        <v>0</v>
      </c>
      <c r="AH339">
        <f>IF(AND($N339=1,AND(对接源_01水果!$D339="周转筐－销售出库",N(对接源_01水果!$K339)&lt;&gt;0)),1,0)</f>
        <v>0</v>
      </c>
      <c r="AI339">
        <f>N(AI338)+$AH339</f>
        <v>0</v>
      </c>
      <c r="AJ339" s="7" t="n"/>
      <c r="AL339">
        <f>IF(OR($AL$1="",对接源_01水果!$Y339="",对接源_01水果!$Y339&lt;&gt;$AL$1,对接源_01水果!$B339="",N(对接源_01水果!$AJ339)&lt;=0),0,IF(OR(N(对接源_01水果!$B339)&lt;$AL$2,N(对接源_01水果!$B339)&gt;$AL$3),0,1))</f>
        <v>0</v>
      </c>
      <c r="AM339">
        <f>N(AM338)+$AL339</f>
        <v>0</v>
      </c>
      <c r="AN339">
        <f>IF(对接源_01水果!$AC339="","",对接源_01水果!$AC339)</f>
      </c>
      <c r="AO339">
        <f>IF(AN339="",0,IF(MATCH(AN339,$AN$4:$AN$1203,0)=ROW()-3,1,0))</f>
        <v>0</v>
      </c>
      <c r="AP339">
        <f>N(AP338)+$AO339</f>
        <v>0</v>
      </c>
      <c r="AR339">
        <f>IF(OR($AF339=1,$AH339=1),1,0)</f>
        <v>0</v>
      </c>
      <c r="AS339">
        <f>N(AS338)+$AR339</f>
        <v>0</v>
      </c>
    </row>
    <row r="340" ht="14.25" customHeight="1" s="127">
      <c r="A340" t="str">
        <f>IF(对接源_01水果!$C340="","",对接源_01水果!$C340)</f>
        <v>王照雪</v>
      </c>
      <c r="B340">
        <f>IF(A340="",0,IF(MATCH(A340,$A$4:$A$2403,0)=ROW()-3,1,0))</f>
        <v>0</v>
      </c>
      <c r="C340">
        <f>N(C339)+B340</f>
        <v>18</v>
      </c>
      <c r="K340">
        <f>IF(OR($K$1="",对接源_01水果!$C340="",对接源_01水果!$C340&lt;&gt;$K$1,对接源_01水果!$B340=""),0,IF(OR(N(对接源_01水果!$B340)&lt;$K$2,N(对接源_01水果!$B340)&gt;$K$3),0,1))</f>
        <v>0</v>
      </c>
      <c r="L340">
        <f>IF(OR($L$1="",对接源_01水果!$C340="",对接源_01水果!$C340&lt;&gt;$L$1,对接源_01水果!$B340=""),0,IF(OR(N(对接源_01水果!$B340)&lt;$L$2,N(对接源_01水果!$B340)&gt;$L$3),0,1))</f>
        <v>0</v>
      </c>
      <c r="M340">
        <f>IF(OR($M$1="",对接源_01水果!$C340="",对接源_01水果!$C340&lt;&gt;$M$1,对接源_01水果!$B340=""),0,IF(OR(N(对接源_01水果!$B340)&lt;$M$2,N(对接源_01水果!$B340)&gt;$M$3),0,1))</f>
        <v>0</v>
      </c>
      <c r="N340">
        <f>IF(OR($N$1="",对接源_01水果!$C340="",对接源_01水果!$C340&lt;&gt;$N$1,对接源_01水果!$B340=""),0,IF(OR(N(对接源_01水果!$B340)&lt;$N$2,N(对接源_01水果!$B340)&gt;$N$3),0,1))</f>
        <v>0</v>
      </c>
      <c r="P340">
        <f>IF(AND($K340=1,AND(对接源_01水果!$X340="公司筐",N(对接源_01水果!$T340)&lt;&gt;0)),1,0)</f>
        <v>0</v>
      </c>
      <c r="Q340">
        <f>N(Q339)+$P340</f>
        <v>0</v>
      </c>
      <c r="R340">
        <f>IF(AND($K340=1,AND(对接源_01水果!$X340="公司筐",N(对接源_01水果!$U340)&lt;&gt;0)),1,0)</f>
        <v>0</v>
      </c>
      <c r="S340">
        <f>N(S339)+$R340</f>
        <v>0</v>
      </c>
      <c r="T340">
        <f>IF(AND($K340=1,AND(对接源_01水果!$X340="公司筐",N(对接源_01水果!$V340)&lt;&gt;0)),1,0)</f>
        <v>0</v>
      </c>
      <c r="U340">
        <f>N(U339)+$T340</f>
        <v>24</v>
      </c>
      <c r="V340">
        <f>IF(AND($L340=1,AND(对接源_01水果!$X340="自备筐",N(对接源_01水果!$V340)&lt;&gt;0)),1,0)</f>
        <v>0</v>
      </c>
      <c r="W340">
        <f>N(W339)+$V340</f>
        <v>11</v>
      </c>
      <c r="X340">
        <f>IF(AND($L340=1,AND(对接源_01水果!$X340="自备筐",N(对接源_01水果!$T340)&lt;&gt;0)),1,0)</f>
        <v>0</v>
      </c>
      <c r="Y340">
        <f>N(Y339)+$X340</f>
        <v>0</v>
      </c>
      <c r="Z340">
        <f>IF(AND($M340=1,对接源_01水果!$D340="原料入库"),1,0)</f>
        <v>0</v>
      </c>
      <c r="AA340">
        <f>N(AA339)+$Z340</f>
        <v>24</v>
      </c>
      <c r="AB340">
        <f>IF(AND($M340=1,LEFT(对接源_01水果!$D340,4)="原料出库"),1,0)</f>
        <v>0</v>
      </c>
      <c r="AC340">
        <f>N(AC339)+$AB340</f>
        <v>0</v>
      </c>
      <c r="AD340">
        <f>IF(AND($M340=1,LEFT(对接源_01水果!$D340,4)="成品出库"),1,0)</f>
        <v>0</v>
      </c>
      <c r="AE340">
        <f>N(AE339)+$AD340</f>
        <v>0</v>
      </c>
      <c r="AF340">
        <f>IF(AND($N340=1,AND(LEFT(对接源_01水果!$D340,4)="包装物料",N(对接源_01水果!$K340)&lt;&gt;0)),1,0)</f>
        <v>0</v>
      </c>
      <c r="AG340">
        <f>N(AG339)+$AF340</f>
        <v>0</v>
      </c>
      <c r="AH340">
        <f>IF(AND($N340=1,AND(对接源_01水果!$D340="周转筐－销售出库",N(对接源_01水果!$K340)&lt;&gt;0)),1,0)</f>
        <v>0</v>
      </c>
      <c r="AI340">
        <f>N(AI339)+$AH340</f>
        <v>0</v>
      </c>
      <c r="AJ340" s="7" t="n"/>
      <c r="AL340">
        <f>IF(OR($AL$1="",对接源_01水果!$Y340="",对接源_01水果!$Y340&lt;&gt;$AL$1,对接源_01水果!$B340="",N(对接源_01水果!$AJ340)&lt;=0),0,IF(OR(N(对接源_01水果!$B340)&lt;$AL$2,N(对接源_01水果!$B340)&gt;$AL$3),0,1))</f>
        <v>0</v>
      </c>
      <c r="AM340">
        <f>N(AM339)+$AL340</f>
        <v>0</v>
      </c>
      <c r="AN340">
        <f>IF(对接源_01水果!$AC340="","",对接源_01水果!$AC340)</f>
      </c>
      <c r="AO340">
        <f>IF(AN340="",0,IF(MATCH(AN340,$AN$4:$AN$1203,0)=ROW()-3,1,0))</f>
        <v>0</v>
      </c>
      <c r="AP340">
        <f>N(AP339)+$AO340</f>
        <v>0</v>
      </c>
      <c r="AR340">
        <f>IF(OR($AF340=1,$AH340=1),1,0)</f>
        <v>0</v>
      </c>
      <c r="AS340">
        <f>N(AS339)+$AR340</f>
        <v>0</v>
      </c>
    </row>
    <row r="341" ht="14.25" customHeight="1" s="127">
      <c r="A341" t="str">
        <f>IF(对接源_01水果!$C341="","",对接源_01水果!$C341)</f>
        <v>王照雪</v>
      </c>
      <c r="B341">
        <f>IF(A341="",0,IF(MATCH(A341,$A$4:$A$2403,0)=ROW()-3,1,0))</f>
        <v>0</v>
      </c>
      <c r="C341">
        <f>N(C340)+B341</f>
        <v>18</v>
      </c>
      <c r="K341">
        <f>IF(OR($K$1="",对接源_01水果!$C341="",对接源_01水果!$C341&lt;&gt;$K$1,对接源_01水果!$B341=""),0,IF(OR(N(对接源_01水果!$B341)&lt;$K$2,N(对接源_01水果!$B341)&gt;$K$3),0,1))</f>
        <v>0</v>
      </c>
      <c r="L341">
        <f>IF(OR($L$1="",对接源_01水果!$C341="",对接源_01水果!$C341&lt;&gt;$L$1,对接源_01水果!$B341=""),0,IF(OR(N(对接源_01水果!$B341)&lt;$L$2,N(对接源_01水果!$B341)&gt;$L$3),0,1))</f>
        <v>0</v>
      </c>
      <c r="M341">
        <f>IF(OR($M$1="",对接源_01水果!$C341="",对接源_01水果!$C341&lt;&gt;$M$1,对接源_01水果!$B341=""),0,IF(OR(N(对接源_01水果!$B341)&lt;$M$2,N(对接源_01水果!$B341)&gt;$M$3),0,1))</f>
        <v>0</v>
      </c>
      <c r="N341">
        <f>IF(OR($N$1="",对接源_01水果!$C341="",对接源_01水果!$C341&lt;&gt;$N$1,对接源_01水果!$B341=""),0,IF(OR(N(对接源_01水果!$B341)&lt;$N$2,N(对接源_01水果!$B341)&gt;$N$3),0,1))</f>
        <v>0</v>
      </c>
      <c r="P341">
        <f>IF(AND($K341=1,AND(对接源_01水果!$X341="公司筐",N(对接源_01水果!$T341)&lt;&gt;0)),1,0)</f>
        <v>0</v>
      </c>
      <c r="Q341">
        <f>N(Q340)+$P341</f>
        <v>0</v>
      </c>
      <c r="R341">
        <f>IF(AND($K341=1,AND(对接源_01水果!$X341="公司筐",N(对接源_01水果!$U341)&lt;&gt;0)),1,0)</f>
        <v>0</v>
      </c>
      <c r="S341">
        <f>N(S340)+$R341</f>
        <v>0</v>
      </c>
      <c r="T341">
        <f>IF(AND($K341=1,AND(对接源_01水果!$X341="公司筐",N(对接源_01水果!$V341)&lt;&gt;0)),1,0)</f>
        <v>0</v>
      </c>
      <c r="U341">
        <f>N(U340)+$T341</f>
        <v>24</v>
      </c>
      <c r="V341">
        <f>IF(AND($L341=1,AND(对接源_01水果!$X341="自备筐",N(对接源_01水果!$V341)&lt;&gt;0)),1,0)</f>
        <v>0</v>
      </c>
      <c r="W341">
        <f>N(W340)+$V341</f>
        <v>11</v>
      </c>
      <c r="X341">
        <f>IF(AND($L341=1,AND(对接源_01水果!$X341="自备筐",N(对接源_01水果!$T341)&lt;&gt;0)),1,0)</f>
        <v>0</v>
      </c>
      <c r="Y341">
        <f>N(Y340)+$X341</f>
        <v>0</v>
      </c>
      <c r="Z341">
        <f>IF(AND($M341=1,对接源_01水果!$D341="原料入库"),1,0)</f>
        <v>0</v>
      </c>
      <c r="AA341">
        <f>N(AA340)+$Z341</f>
        <v>24</v>
      </c>
      <c r="AB341">
        <f>IF(AND($M341=1,LEFT(对接源_01水果!$D341,4)="原料出库"),1,0)</f>
        <v>0</v>
      </c>
      <c r="AC341">
        <f>N(AC340)+$AB341</f>
        <v>0</v>
      </c>
      <c r="AD341">
        <f>IF(AND($M341=1,LEFT(对接源_01水果!$D341,4)="成品出库"),1,0)</f>
        <v>0</v>
      </c>
      <c r="AE341">
        <f>N(AE340)+$AD341</f>
        <v>0</v>
      </c>
      <c r="AF341">
        <f>IF(AND($N341=1,AND(LEFT(对接源_01水果!$D341,4)="包装物料",N(对接源_01水果!$K341)&lt;&gt;0)),1,0)</f>
        <v>0</v>
      </c>
      <c r="AG341">
        <f>N(AG340)+$AF341</f>
        <v>0</v>
      </c>
      <c r="AH341">
        <f>IF(AND($N341=1,AND(对接源_01水果!$D341="周转筐－销售出库",N(对接源_01水果!$K341)&lt;&gt;0)),1,0)</f>
        <v>0</v>
      </c>
      <c r="AI341">
        <f>N(AI340)+$AH341</f>
        <v>0</v>
      </c>
      <c r="AJ341" s="7" t="n"/>
      <c r="AL341">
        <f>IF(OR($AL$1="",对接源_01水果!$Y341="",对接源_01水果!$Y341&lt;&gt;$AL$1,对接源_01水果!$B341="",N(对接源_01水果!$AJ341)&lt;=0),0,IF(OR(N(对接源_01水果!$B341)&lt;$AL$2,N(对接源_01水果!$B341)&gt;$AL$3),0,1))</f>
        <v>0</v>
      </c>
      <c r="AM341">
        <f>N(AM340)+$AL341</f>
        <v>0</v>
      </c>
      <c r="AN341">
        <f>IF(对接源_01水果!$AC341="","",对接源_01水果!$AC341)</f>
      </c>
      <c r="AO341">
        <f>IF(AN341="",0,IF(MATCH(AN341,$AN$4:$AN$1203,0)=ROW()-3,1,0))</f>
        <v>0</v>
      </c>
      <c r="AP341">
        <f>N(AP340)+$AO341</f>
        <v>0</v>
      </c>
      <c r="AR341">
        <f>IF(OR($AF341=1,$AH341=1),1,0)</f>
        <v>0</v>
      </c>
      <c r="AS341">
        <f>N(AS340)+$AR341</f>
        <v>0</v>
      </c>
    </row>
    <row r="342" ht="14.25" customHeight="1" s="127">
      <c r="A342" t="str">
        <f>IF(对接源_01水果!$C342="","",对接源_01水果!$C342)</f>
        <v>王照雪</v>
      </c>
      <c r="B342">
        <f>IF(A342="",0,IF(MATCH(A342,$A$4:$A$2403,0)=ROW()-3,1,0))</f>
        <v>0</v>
      </c>
      <c r="C342">
        <f>N(C341)+B342</f>
        <v>18</v>
      </c>
      <c r="K342">
        <f>IF(OR($K$1="",对接源_01水果!$C342="",对接源_01水果!$C342&lt;&gt;$K$1,对接源_01水果!$B342=""),0,IF(OR(N(对接源_01水果!$B342)&lt;$K$2,N(对接源_01水果!$B342)&gt;$K$3),0,1))</f>
        <v>0</v>
      </c>
      <c r="L342">
        <f>IF(OR($L$1="",对接源_01水果!$C342="",对接源_01水果!$C342&lt;&gt;$L$1,对接源_01水果!$B342=""),0,IF(OR(N(对接源_01水果!$B342)&lt;$L$2,N(对接源_01水果!$B342)&gt;$L$3),0,1))</f>
        <v>0</v>
      </c>
      <c r="M342">
        <f>IF(OR($M$1="",对接源_01水果!$C342="",对接源_01水果!$C342&lt;&gt;$M$1,对接源_01水果!$B342=""),0,IF(OR(N(对接源_01水果!$B342)&lt;$M$2,N(对接源_01水果!$B342)&gt;$M$3),0,1))</f>
        <v>0</v>
      </c>
      <c r="N342">
        <f>IF(OR($N$1="",对接源_01水果!$C342="",对接源_01水果!$C342&lt;&gt;$N$1,对接源_01水果!$B342=""),0,IF(OR(N(对接源_01水果!$B342)&lt;$N$2,N(对接源_01水果!$B342)&gt;$N$3),0,1))</f>
        <v>0</v>
      </c>
      <c r="P342">
        <f>IF(AND($K342=1,AND(对接源_01水果!$X342="公司筐",N(对接源_01水果!$T342)&lt;&gt;0)),1,0)</f>
        <v>0</v>
      </c>
      <c r="Q342">
        <f>N(Q341)+$P342</f>
        <v>0</v>
      </c>
      <c r="R342">
        <f>IF(AND($K342=1,AND(对接源_01水果!$X342="公司筐",N(对接源_01水果!$U342)&lt;&gt;0)),1,0)</f>
        <v>0</v>
      </c>
      <c r="S342">
        <f>N(S341)+$R342</f>
        <v>0</v>
      </c>
      <c r="T342">
        <f>IF(AND($K342=1,AND(对接源_01水果!$X342="公司筐",N(对接源_01水果!$V342)&lt;&gt;0)),1,0)</f>
        <v>0</v>
      </c>
      <c r="U342">
        <f>N(U341)+$T342</f>
        <v>24</v>
      </c>
      <c r="V342">
        <f>IF(AND($L342=1,AND(对接源_01水果!$X342="自备筐",N(对接源_01水果!$V342)&lt;&gt;0)),1,0)</f>
        <v>0</v>
      </c>
      <c r="W342">
        <f>N(W341)+$V342</f>
        <v>11</v>
      </c>
      <c r="X342">
        <f>IF(AND($L342=1,AND(对接源_01水果!$X342="自备筐",N(对接源_01水果!$T342)&lt;&gt;0)),1,0)</f>
        <v>0</v>
      </c>
      <c r="Y342">
        <f>N(Y341)+$X342</f>
        <v>0</v>
      </c>
      <c r="Z342">
        <f>IF(AND($M342=1,对接源_01水果!$D342="原料入库"),1,0)</f>
        <v>0</v>
      </c>
      <c r="AA342">
        <f>N(AA341)+$Z342</f>
        <v>24</v>
      </c>
      <c r="AB342">
        <f>IF(AND($M342=1,LEFT(对接源_01水果!$D342,4)="原料出库"),1,0)</f>
        <v>0</v>
      </c>
      <c r="AC342">
        <f>N(AC341)+$AB342</f>
        <v>0</v>
      </c>
      <c r="AD342">
        <f>IF(AND($M342=1,LEFT(对接源_01水果!$D342,4)="成品出库"),1,0)</f>
        <v>0</v>
      </c>
      <c r="AE342">
        <f>N(AE341)+$AD342</f>
        <v>0</v>
      </c>
      <c r="AF342">
        <f>IF(AND($N342=1,AND(LEFT(对接源_01水果!$D342,4)="包装物料",N(对接源_01水果!$K342)&lt;&gt;0)),1,0)</f>
        <v>0</v>
      </c>
      <c r="AG342">
        <f>N(AG341)+$AF342</f>
        <v>0</v>
      </c>
      <c r="AH342">
        <f>IF(AND($N342=1,AND(对接源_01水果!$D342="周转筐－销售出库",N(对接源_01水果!$K342)&lt;&gt;0)),1,0)</f>
        <v>0</v>
      </c>
      <c r="AI342">
        <f>N(AI341)+$AH342</f>
        <v>0</v>
      </c>
      <c r="AJ342" s="7" t="n"/>
      <c r="AL342">
        <f>IF(OR($AL$1="",对接源_01水果!$Y342="",对接源_01水果!$Y342&lt;&gt;$AL$1,对接源_01水果!$B342="",N(对接源_01水果!$AJ342)&lt;=0),0,IF(OR(N(对接源_01水果!$B342)&lt;$AL$2,N(对接源_01水果!$B342)&gt;$AL$3),0,1))</f>
        <v>0</v>
      </c>
      <c r="AM342">
        <f>N(AM341)+$AL342</f>
        <v>0</v>
      </c>
      <c r="AN342">
        <f>IF(对接源_01水果!$AC342="","",对接源_01水果!$AC342)</f>
      </c>
      <c r="AO342">
        <f>IF(AN342="",0,IF(MATCH(AN342,$AN$4:$AN$1203,0)=ROW()-3,1,0))</f>
        <v>0</v>
      </c>
      <c r="AP342">
        <f>N(AP341)+$AO342</f>
        <v>0</v>
      </c>
      <c r="AR342">
        <f>IF(OR($AF342=1,$AH342=1),1,0)</f>
        <v>0</v>
      </c>
      <c r="AS342">
        <f>N(AS341)+$AR342</f>
        <v>0</v>
      </c>
    </row>
    <row r="343" ht="14.25" customHeight="1" s="127">
      <c r="A343" t="str">
        <f>IF(对接源_01水果!$C343="","",对接源_01水果!$C343)</f>
        <v>王照雪</v>
      </c>
      <c r="B343">
        <f>IF(A343="",0,IF(MATCH(A343,$A$4:$A$2403,0)=ROW()-3,1,0))</f>
        <v>0</v>
      </c>
      <c r="C343">
        <f>N(C342)+B343</f>
        <v>18</v>
      </c>
      <c r="K343">
        <f>IF(OR($K$1="",对接源_01水果!$C343="",对接源_01水果!$C343&lt;&gt;$K$1,对接源_01水果!$B343=""),0,IF(OR(N(对接源_01水果!$B343)&lt;$K$2,N(对接源_01水果!$B343)&gt;$K$3),0,1))</f>
        <v>0</v>
      </c>
      <c r="L343">
        <f>IF(OR($L$1="",对接源_01水果!$C343="",对接源_01水果!$C343&lt;&gt;$L$1,对接源_01水果!$B343=""),0,IF(OR(N(对接源_01水果!$B343)&lt;$L$2,N(对接源_01水果!$B343)&gt;$L$3),0,1))</f>
        <v>0</v>
      </c>
      <c r="M343">
        <f>IF(OR($M$1="",对接源_01水果!$C343="",对接源_01水果!$C343&lt;&gt;$M$1,对接源_01水果!$B343=""),0,IF(OR(N(对接源_01水果!$B343)&lt;$M$2,N(对接源_01水果!$B343)&gt;$M$3),0,1))</f>
        <v>0</v>
      </c>
      <c r="N343">
        <f>IF(OR($N$1="",对接源_01水果!$C343="",对接源_01水果!$C343&lt;&gt;$N$1,对接源_01水果!$B343=""),0,IF(OR(N(对接源_01水果!$B343)&lt;$N$2,N(对接源_01水果!$B343)&gt;$N$3),0,1))</f>
        <v>0</v>
      </c>
      <c r="P343">
        <f>IF(AND($K343=1,AND(对接源_01水果!$X343="公司筐",N(对接源_01水果!$T343)&lt;&gt;0)),1,0)</f>
        <v>0</v>
      </c>
      <c r="Q343">
        <f>N(Q342)+$P343</f>
        <v>0</v>
      </c>
      <c r="R343">
        <f>IF(AND($K343=1,AND(对接源_01水果!$X343="公司筐",N(对接源_01水果!$U343)&lt;&gt;0)),1,0)</f>
        <v>0</v>
      </c>
      <c r="S343">
        <f>N(S342)+$R343</f>
        <v>0</v>
      </c>
      <c r="T343">
        <f>IF(AND($K343=1,AND(对接源_01水果!$X343="公司筐",N(对接源_01水果!$V343)&lt;&gt;0)),1,0)</f>
        <v>0</v>
      </c>
      <c r="U343">
        <f>N(U342)+$T343</f>
        <v>24</v>
      </c>
      <c r="V343">
        <f>IF(AND($L343=1,AND(对接源_01水果!$X343="自备筐",N(对接源_01水果!$V343)&lt;&gt;0)),1,0)</f>
        <v>0</v>
      </c>
      <c r="W343">
        <f>N(W342)+$V343</f>
        <v>11</v>
      </c>
      <c r="X343">
        <f>IF(AND($L343=1,AND(对接源_01水果!$X343="自备筐",N(对接源_01水果!$T343)&lt;&gt;0)),1,0)</f>
        <v>0</v>
      </c>
      <c r="Y343">
        <f>N(Y342)+$X343</f>
        <v>0</v>
      </c>
      <c r="Z343">
        <f>IF(AND($M343=1,对接源_01水果!$D343="原料入库"),1,0)</f>
        <v>0</v>
      </c>
      <c r="AA343">
        <f>N(AA342)+$Z343</f>
        <v>24</v>
      </c>
      <c r="AB343">
        <f>IF(AND($M343=1,LEFT(对接源_01水果!$D343,4)="原料出库"),1,0)</f>
        <v>0</v>
      </c>
      <c r="AC343">
        <f>N(AC342)+$AB343</f>
        <v>0</v>
      </c>
      <c r="AD343">
        <f>IF(AND($M343=1,LEFT(对接源_01水果!$D343,4)="成品出库"),1,0)</f>
        <v>0</v>
      </c>
      <c r="AE343">
        <f>N(AE342)+$AD343</f>
        <v>0</v>
      </c>
      <c r="AF343">
        <f>IF(AND($N343=1,AND(LEFT(对接源_01水果!$D343,4)="包装物料",N(对接源_01水果!$K343)&lt;&gt;0)),1,0)</f>
        <v>0</v>
      </c>
      <c r="AG343">
        <f>N(AG342)+$AF343</f>
        <v>0</v>
      </c>
      <c r="AH343">
        <f>IF(AND($N343=1,AND(对接源_01水果!$D343="周转筐－销售出库",N(对接源_01水果!$K343)&lt;&gt;0)),1,0)</f>
        <v>0</v>
      </c>
      <c r="AI343">
        <f>N(AI342)+$AH343</f>
        <v>0</v>
      </c>
      <c r="AJ343" s="7" t="n"/>
      <c r="AL343">
        <f>IF(OR($AL$1="",对接源_01水果!$Y343="",对接源_01水果!$Y343&lt;&gt;$AL$1,对接源_01水果!$B343="",N(对接源_01水果!$AJ343)&lt;=0),0,IF(OR(N(对接源_01水果!$B343)&lt;$AL$2,N(对接源_01水果!$B343)&gt;$AL$3),0,1))</f>
        <v>0</v>
      </c>
      <c r="AM343">
        <f>N(AM342)+$AL343</f>
        <v>0</v>
      </c>
      <c r="AN343">
        <f>IF(对接源_01水果!$AC343="","",对接源_01水果!$AC343)</f>
      </c>
      <c r="AO343">
        <f>IF(AN343="",0,IF(MATCH(AN343,$AN$4:$AN$1203,0)=ROW()-3,1,0))</f>
        <v>0</v>
      </c>
      <c r="AP343">
        <f>N(AP342)+$AO343</f>
        <v>0</v>
      </c>
      <c r="AR343">
        <f>IF(OR($AF343=1,$AH343=1),1,0)</f>
        <v>0</v>
      </c>
      <c r="AS343">
        <f>N(AS342)+$AR343</f>
        <v>0</v>
      </c>
    </row>
    <row r="344" ht="14.25" customHeight="1" s="127">
      <c r="A344" t="str">
        <f>IF(对接源_01水果!$C344="","",对接源_01水果!$C344)</f>
        <v>王照雪</v>
      </c>
      <c r="B344">
        <f>IF(A344="",0,IF(MATCH(A344,$A$4:$A$2403,0)=ROW()-3,1,0))</f>
        <v>0</v>
      </c>
      <c r="C344">
        <f>N(C343)+B344</f>
        <v>18</v>
      </c>
      <c r="K344">
        <f>IF(OR($K$1="",对接源_01水果!$C344="",对接源_01水果!$C344&lt;&gt;$K$1,对接源_01水果!$B344=""),0,IF(OR(N(对接源_01水果!$B344)&lt;$K$2,N(对接源_01水果!$B344)&gt;$K$3),0,1))</f>
        <v>0</v>
      </c>
      <c r="L344">
        <f>IF(OR($L$1="",对接源_01水果!$C344="",对接源_01水果!$C344&lt;&gt;$L$1,对接源_01水果!$B344=""),0,IF(OR(N(对接源_01水果!$B344)&lt;$L$2,N(对接源_01水果!$B344)&gt;$L$3),0,1))</f>
        <v>0</v>
      </c>
      <c r="M344">
        <f>IF(OR($M$1="",对接源_01水果!$C344="",对接源_01水果!$C344&lt;&gt;$M$1,对接源_01水果!$B344=""),0,IF(OR(N(对接源_01水果!$B344)&lt;$M$2,N(对接源_01水果!$B344)&gt;$M$3),0,1))</f>
        <v>0</v>
      </c>
      <c r="N344">
        <f>IF(OR($N$1="",对接源_01水果!$C344="",对接源_01水果!$C344&lt;&gt;$N$1,对接源_01水果!$B344=""),0,IF(OR(N(对接源_01水果!$B344)&lt;$N$2,N(对接源_01水果!$B344)&gt;$N$3),0,1))</f>
        <v>0</v>
      </c>
      <c r="P344">
        <f>IF(AND($K344=1,AND(对接源_01水果!$X344="公司筐",N(对接源_01水果!$T344)&lt;&gt;0)),1,0)</f>
        <v>0</v>
      </c>
      <c r="Q344">
        <f>N(Q343)+$P344</f>
        <v>0</v>
      </c>
      <c r="R344">
        <f>IF(AND($K344=1,AND(对接源_01水果!$X344="公司筐",N(对接源_01水果!$U344)&lt;&gt;0)),1,0)</f>
        <v>0</v>
      </c>
      <c r="S344">
        <f>N(S343)+$R344</f>
        <v>0</v>
      </c>
      <c r="T344">
        <f>IF(AND($K344=1,AND(对接源_01水果!$X344="公司筐",N(对接源_01水果!$V344)&lt;&gt;0)),1,0)</f>
        <v>0</v>
      </c>
      <c r="U344">
        <f>N(U343)+$T344</f>
        <v>24</v>
      </c>
      <c r="V344">
        <f>IF(AND($L344=1,AND(对接源_01水果!$X344="自备筐",N(对接源_01水果!$V344)&lt;&gt;0)),1,0)</f>
        <v>0</v>
      </c>
      <c r="W344">
        <f>N(W343)+$V344</f>
        <v>11</v>
      </c>
      <c r="X344">
        <f>IF(AND($L344=1,AND(对接源_01水果!$X344="自备筐",N(对接源_01水果!$T344)&lt;&gt;0)),1,0)</f>
        <v>0</v>
      </c>
      <c r="Y344">
        <f>N(Y343)+$X344</f>
        <v>0</v>
      </c>
      <c r="Z344">
        <f>IF(AND($M344=1,对接源_01水果!$D344="原料入库"),1,0)</f>
        <v>0</v>
      </c>
      <c r="AA344">
        <f>N(AA343)+$Z344</f>
        <v>24</v>
      </c>
      <c r="AB344">
        <f>IF(AND($M344=1,LEFT(对接源_01水果!$D344,4)="原料出库"),1,0)</f>
        <v>0</v>
      </c>
      <c r="AC344">
        <f>N(AC343)+$AB344</f>
        <v>0</v>
      </c>
      <c r="AD344">
        <f>IF(AND($M344=1,LEFT(对接源_01水果!$D344,4)="成品出库"),1,0)</f>
        <v>0</v>
      </c>
      <c r="AE344">
        <f>N(AE343)+$AD344</f>
        <v>0</v>
      </c>
      <c r="AF344">
        <f>IF(AND($N344=1,AND(LEFT(对接源_01水果!$D344,4)="包装物料",N(对接源_01水果!$K344)&lt;&gt;0)),1,0)</f>
        <v>0</v>
      </c>
      <c r="AG344">
        <f>N(AG343)+$AF344</f>
        <v>0</v>
      </c>
      <c r="AH344">
        <f>IF(AND($N344=1,AND(对接源_01水果!$D344="周转筐－销售出库",N(对接源_01水果!$K344)&lt;&gt;0)),1,0)</f>
        <v>0</v>
      </c>
      <c r="AI344">
        <f>N(AI343)+$AH344</f>
        <v>0</v>
      </c>
      <c r="AJ344" s="7" t="n"/>
      <c r="AL344">
        <f>IF(OR($AL$1="",对接源_01水果!$Y344="",对接源_01水果!$Y344&lt;&gt;$AL$1,对接源_01水果!$B344="",N(对接源_01水果!$AJ344)&lt;=0),0,IF(OR(N(对接源_01水果!$B344)&lt;$AL$2,N(对接源_01水果!$B344)&gt;$AL$3),0,1))</f>
        <v>0</v>
      </c>
      <c r="AM344">
        <f>N(AM343)+$AL344</f>
        <v>0</v>
      </c>
      <c r="AN344">
        <f>IF(对接源_01水果!$AC344="","",对接源_01水果!$AC344)</f>
      </c>
      <c r="AO344">
        <f>IF(AN344="",0,IF(MATCH(AN344,$AN$4:$AN$1203,0)=ROW()-3,1,0))</f>
        <v>0</v>
      </c>
      <c r="AP344">
        <f>N(AP343)+$AO344</f>
        <v>0</v>
      </c>
      <c r="AR344">
        <f>IF(OR($AF344=1,$AH344=1),1,0)</f>
        <v>0</v>
      </c>
      <c r="AS344">
        <f>N(AS343)+$AR344</f>
        <v>0</v>
      </c>
    </row>
    <row r="345" ht="14.25" customHeight="1" s="127">
      <c r="A345" t="str">
        <f>IF(对接源_01水果!$C345="","",对接源_01水果!$C345)</f>
        <v>吐尔逊</v>
      </c>
      <c r="B345">
        <f>IF(A345="",0,IF(MATCH(A345,$A$4:$A$2403,0)=ROW()-3,1,0))</f>
        <v>0</v>
      </c>
      <c r="C345">
        <f>N(C344)+B345</f>
        <v>18</v>
      </c>
      <c r="K345">
        <f>IF(OR($K$1="",对接源_01水果!$C345="",对接源_01水果!$C345&lt;&gt;$K$1,对接源_01水果!$B345=""),0,IF(OR(N(对接源_01水果!$B345)&lt;$K$2,N(对接源_01水果!$B345)&gt;$K$3),0,1))</f>
        <v>0</v>
      </c>
      <c r="L345">
        <f>IF(OR($L$1="",对接源_01水果!$C345="",对接源_01水果!$C345&lt;&gt;$L$1,对接源_01水果!$B345=""),0,IF(OR(N(对接源_01水果!$B345)&lt;$L$2,N(对接源_01水果!$B345)&gt;$L$3),0,1))</f>
        <v>0</v>
      </c>
      <c r="M345">
        <f>IF(OR($M$1="",对接源_01水果!$C345="",对接源_01水果!$C345&lt;&gt;$M$1,对接源_01水果!$B345=""),0,IF(OR(N(对接源_01水果!$B345)&lt;$M$2,N(对接源_01水果!$B345)&gt;$M$3),0,1))</f>
        <v>0</v>
      </c>
      <c r="N345">
        <f>IF(OR($N$1="",对接源_01水果!$C345="",对接源_01水果!$C345&lt;&gt;$N$1,对接源_01水果!$B345=""),0,IF(OR(N(对接源_01水果!$B345)&lt;$N$2,N(对接源_01水果!$B345)&gt;$N$3),0,1))</f>
        <v>0</v>
      </c>
      <c r="P345">
        <f>IF(AND($K345=1,AND(对接源_01水果!$X345="公司筐",N(对接源_01水果!$T345)&lt;&gt;0)),1,0)</f>
        <v>0</v>
      </c>
      <c r="Q345">
        <f>N(Q344)+$P345</f>
        <v>0</v>
      </c>
      <c r="R345">
        <f>IF(AND($K345=1,AND(对接源_01水果!$X345="公司筐",N(对接源_01水果!$U345)&lt;&gt;0)),1,0)</f>
        <v>0</v>
      </c>
      <c r="S345">
        <f>N(S344)+$R345</f>
        <v>0</v>
      </c>
      <c r="T345">
        <f>IF(AND($K345=1,AND(对接源_01水果!$X345="公司筐",N(对接源_01水果!$V345)&lt;&gt;0)),1,0)</f>
        <v>0</v>
      </c>
      <c r="U345">
        <f>N(U344)+$T345</f>
        <v>24</v>
      </c>
      <c r="V345">
        <f>IF(AND($L345=1,AND(对接源_01水果!$X345="自备筐",N(对接源_01水果!$V345)&lt;&gt;0)),1,0)</f>
        <v>0</v>
      </c>
      <c r="W345">
        <f>N(W344)+$V345</f>
        <v>11</v>
      </c>
      <c r="X345">
        <f>IF(AND($L345=1,AND(对接源_01水果!$X345="自备筐",N(对接源_01水果!$T345)&lt;&gt;0)),1,0)</f>
        <v>0</v>
      </c>
      <c r="Y345">
        <f>N(Y344)+$X345</f>
        <v>0</v>
      </c>
      <c r="Z345">
        <f>IF(AND($M345=1,对接源_01水果!$D345="原料入库"),1,0)</f>
        <v>0</v>
      </c>
      <c r="AA345">
        <f>N(AA344)+$Z345</f>
        <v>24</v>
      </c>
      <c r="AB345">
        <f>IF(AND($M345=1,LEFT(对接源_01水果!$D345,4)="原料出库"),1,0)</f>
        <v>0</v>
      </c>
      <c r="AC345">
        <f>N(AC344)+$AB345</f>
        <v>0</v>
      </c>
      <c r="AD345">
        <f>IF(AND($M345=1,LEFT(对接源_01水果!$D345,4)="成品出库"),1,0)</f>
        <v>0</v>
      </c>
      <c r="AE345">
        <f>N(AE344)+$AD345</f>
        <v>0</v>
      </c>
      <c r="AF345">
        <f>IF(AND($N345=1,AND(LEFT(对接源_01水果!$D345,4)="包装物料",N(对接源_01水果!$K345)&lt;&gt;0)),1,0)</f>
        <v>0</v>
      </c>
      <c r="AG345">
        <f>N(AG344)+$AF345</f>
        <v>0</v>
      </c>
      <c r="AH345">
        <f>IF(AND($N345=1,AND(对接源_01水果!$D345="周转筐－销售出库",N(对接源_01水果!$K345)&lt;&gt;0)),1,0)</f>
        <v>0</v>
      </c>
      <c r="AI345">
        <f>N(AI344)+$AH345</f>
        <v>0</v>
      </c>
      <c r="AJ345" s="7" t="n"/>
      <c r="AL345">
        <f>IF(OR($AL$1="",对接源_01水果!$Y345="",对接源_01水果!$Y345&lt;&gt;$AL$1,对接源_01水果!$B345="",N(对接源_01水果!$AJ345)&lt;=0),0,IF(OR(N(对接源_01水果!$B345)&lt;$AL$2,N(对接源_01水果!$B345)&gt;$AL$3),0,1))</f>
        <v>0</v>
      </c>
      <c r="AM345">
        <f>N(AM344)+$AL345</f>
        <v>0</v>
      </c>
      <c r="AN345">
        <f>IF(对接源_01水果!$AC345="","",对接源_01水果!$AC345)</f>
      </c>
      <c r="AO345">
        <f>IF(AN345="",0,IF(MATCH(AN345,$AN$4:$AN$1203,0)=ROW()-3,1,0))</f>
        <v>0</v>
      </c>
      <c r="AP345">
        <f>N(AP344)+$AO345</f>
        <v>0</v>
      </c>
      <c r="AR345">
        <f>IF(OR($AF345=1,$AH345=1),1,0)</f>
        <v>0</v>
      </c>
      <c r="AS345">
        <f>N(AS344)+$AR345</f>
        <v>0</v>
      </c>
    </row>
    <row r="346" ht="14.25" customHeight="1" s="127">
      <c r="A346" t="str">
        <f>IF(对接源_01水果!$C346="","",对接源_01水果!$C346)</f>
        <v>吐尔逊</v>
      </c>
      <c r="B346">
        <f>IF(A346="",0,IF(MATCH(A346,$A$4:$A$2403,0)=ROW()-3,1,0))</f>
        <v>0</v>
      </c>
      <c r="C346">
        <f>N(C345)+B346</f>
        <v>18</v>
      </c>
      <c r="K346">
        <f>IF(OR($K$1="",对接源_01水果!$C346="",对接源_01水果!$C346&lt;&gt;$K$1,对接源_01水果!$B346=""),0,IF(OR(N(对接源_01水果!$B346)&lt;$K$2,N(对接源_01水果!$B346)&gt;$K$3),0,1))</f>
        <v>0</v>
      </c>
      <c r="L346">
        <f>IF(OR($L$1="",对接源_01水果!$C346="",对接源_01水果!$C346&lt;&gt;$L$1,对接源_01水果!$B346=""),0,IF(OR(N(对接源_01水果!$B346)&lt;$L$2,N(对接源_01水果!$B346)&gt;$L$3),0,1))</f>
        <v>0</v>
      </c>
      <c r="M346">
        <f>IF(OR($M$1="",对接源_01水果!$C346="",对接源_01水果!$C346&lt;&gt;$M$1,对接源_01水果!$B346=""),0,IF(OR(N(对接源_01水果!$B346)&lt;$M$2,N(对接源_01水果!$B346)&gt;$M$3),0,1))</f>
        <v>0</v>
      </c>
      <c r="N346">
        <f>IF(OR($N$1="",对接源_01水果!$C346="",对接源_01水果!$C346&lt;&gt;$N$1,对接源_01水果!$B346=""),0,IF(OR(N(对接源_01水果!$B346)&lt;$N$2,N(对接源_01水果!$B346)&gt;$N$3),0,1))</f>
        <v>0</v>
      </c>
      <c r="P346">
        <f>IF(AND($K346=1,AND(对接源_01水果!$X346="公司筐",N(对接源_01水果!$T346)&lt;&gt;0)),1,0)</f>
        <v>0</v>
      </c>
      <c r="Q346">
        <f>N(Q345)+$P346</f>
        <v>0</v>
      </c>
      <c r="R346">
        <f>IF(AND($K346=1,AND(对接源_01水果!$X346="公司筐",N(对接源_01水果!$U346)&lt;&gt;0)),1,0)</f>
        <v>0</v>
      </c>
      <c r="S346">
        <f>N(S345)+$R346</f>
        <v>0</v>
      </c>
      <c r="T346">
        <f>IF(AND($K346=1,AND(对接源_01水果!$X346="公司筐",N(对接源_01水果!$V346)&lt;&gt;0)),1,0)</f>
        <v>0</v>
      </c>
      <c r="U346">
        <f>N(U345)+$T346</f>
        <v>24</v>
      </c>
      <c r="V346">
        <f>IF(AND($L346=1,AND(对接源_01水果!$X346="自备筐",N(对接源_01水果!$V346)&lt;&gt;0)),1,0)</f>
        <v>0</v>
      </c>
      <c r="W346">
        <f>N(W345)+$V346</f>
        <v>11</v>
      </c>
      <c r="X346">
        <f>IF(AND($L346=1,AND(对接源_01水果!$X346="自备筐",N(对接源_01水果!$T346)&lt;&gt;0)),1,0)</f>
        <v>0</v>
      </c>
      <c r="Y346">
        <f>N(Y345)+$X346</f>
        <v>0</v>
      </c>
      <c r="Z346">
        <f>IF(AND($M346=1,对接源_01水果!$D346="原料入库"),1,0)</f>
        <v>0</v>
      </c>
      <c r="AA346">
        <f>N(AA345)+$Z346</f>
        <v>24</v>
      </c>
      <c r="AB346">
        <f>IF(AND($M346=1,LEFT(对接源_01水果!$D346,4)="原料出库"),1,0)</f>
        <v>0</v>
      </c>
      <c r="AC346">
        <f>N(AC345)+$AB346</f>
        <v>0</v>
      </c>
      <c r="AD346">
        <f>IF(AND($M346=1,LEFT(对接源_01水果!$D346,4)="成品出库"),1,0)</f>
        <v>0</v>
      </c>
      <c r="AE346">
        <f>N(AE345)+$AD346</f>
        <v>0</v>
      </c>
      <c r="AF346">
        <f>IF(AND($N346=1,AND(LEFT(对接源_01水果!$D346,4)="包装物料",N(对接源_01水果!$K346)&lt;&gt;0)),1,0)</f>
        <v>0</v>
      </c>
      <c r="AG346">
        <f>N(AG345)+$AF346</f>
        <v>0</v>
      </c>
      <c r="AH346">
        <f>IF(AND($N346=1,AND(对接源_01水果!$D346="周转筐－销售出库",N(对接源_01水果!$K346)&lt;&gt;0)),1,0)</f>
        <v>0</v>
      </c>
      <c r="AI346">
        <f>N(AI345)+$AH346</f>
        <v>0</v>
      </c>
      <c r="AJ346" s="7" t="n"/>
      <c r="AL346">
        <f>IF(OR($AL$1="",对接源_01水果!$Y346="",对接源_01水果!$Y346&lt;&gt;$AL$1,对接源_01水果!$B346="",N(对接源_01水果!$AJ346)&lt;=0),0,IF(OR(N(对接源_01水果!$B346)&lt;$AL$2,N(对接源_01水果!$B346)&gt;$AL$3),0,1))</f>
        <v>0</v>
      </c>
      <c r="AM346">
        <f>N(AM345)+$AL346</f>
        <v>0</v>
      </c>
      <c r="AN346">
        <f>IF(对接源_01水果!$AC346="","",对接源_01水果!$AC346)</f>
      </c>
      <c r="AO346">
        <f>IF(AN346="",0,IF(MATCH(AN346,$AN$4:$AN$1203,0)=ROW()-3,1,0))</f>
        <v>0</v>
      </c>
      <c r="AP346">
        <f>N(AP345)+$AO346</f>
        <v>0</v>
      </c>
      <c r="AR346">
        <f>IF(OR($AF346=1,$AH346=1),1,0)</f>
        <v>0</v>
      </c>
      <c r="AS346">
        <f>N(AS345)+$AR346</f>
        <v>0</v>
      </c>
    </row>
    <row r="347" ht="14.25" customHeight="1" s="127">
      <c r="A347" t="str">
        <f>IF(对接源_01水果!$C347="","",对接源_01水果!$C347)</f>
        <v>努尔敦</v>
      </c>
      <c r="B347">
        <f>IF(A347="",0,IF(MATCH(A347,$A$4:$A$2403,0)=ROW()-3,1,0))</f>
        <v>0</v>
      </c>
      <c r="C347">
        <f>N(C346)+B347</f>
        <v>18</v>
      </c>
      <c r="K347">
        <f>IF(OR($K$1="",对接源_01水果!$C347="",对接源_01水果!$C347&lt;&gt;$K$1,对接源_01水果!$B347=""),0,IF(OR(N(对接源_01水果!$B347)&lt;$K$2,N(对接源_01水果!$B347)&gt;$K$3),0,1))</f>
        <v>0</v>
      </c>
      <c r="L347">
        <f>IF(OR($L$1="",对接源_01水果!$C347="",对接源_01水果!$C347&lt;&gt;$L$1,对接源_01水果!$B347=""),0,IF(OR(N(对接源_01水果!$B347)&lt;$L$2,N(对接源_01水果!$B347)&gt;$L$3),0,1))</f>
        <v>0</v>
      </c>
      <c r="M347">
        <f>IF(OR($M$1="",对接源_01水果!$C347="",对接源_01水果!$C347&lt;&gt;$M$1,对接源_01水果!$B347=""),0,IF(OR(N(对接源_01水果!$B347)&lt;$M$2,N(对接源_01水果!$B347)&gt;$M$3),0,1))</f>
        <v>0</v>
      </c>
      <c r="N347">
        <f>IF(OR($N$1="",对接源_01水果!$C347="",对接源_01水果!$C347&lt;&gt;$N$1,对接源_01水果!$B347=""),0,IF(OR(N(对接源_01水果!$B347)&lt;$N$2,N(对接源_01水果!$B347)&gt;$N$3),0,1))</f>
        <v>0</v>
      </c>
      <c r="P347">
        <f>IF(AND($K347=1,AND(对接源_01水果!$X347="公司筐",N(对接源_01水果!$T347)&lt;&gt;0)),1,0)</f>
        <v>0</v>
      </c>
      <c r="Q347">
        <f>N(Q346)+$P347</f>
        <v>0</v>
      </c>
      <c r="R347">
        <f>IF(AND($K347=1,AND(对接源_01水果!$X347="公司筐",N(对接源_01水果!$U347)&lt;&gt;0)),1,0)</f>
        <v>0</v>
      </c>
      <c r="S347">
        <f>N(S346)+$R347</f>
        <v>0</v>
      </c>
      <c r="T347">
        <f>IF(AND($K347=1,AND(对接源_01水果!$X347="公司筐",N(对接源_01水果!$V347)&lt;&gt;0)),1,0)</f>
        <v>0</v>
      </c>
      <c r="U347">
        <f>N(U346)+$T347</f>
        <v>24</v>
      </c>
      <c r="V347">
        <f>IF(AND($L347=1,AND(对接源_01水果!$X347="自备筐",N(对接源_01水果!$V347)&lt;&gt;0)),1,0)</f>
        <v>0</v>
      </c>
      <c r="W347">
        <f>N(W346)+$V347</f>
        <v>11</v>
      </c>
      <c r="X347">
        <f>IF(AND($L347=1,AND(对接源_01水果!$X347="自备筐",N(对接源_01水果!$T347)&lt;&gt;0)),1,0)</f>
        <v>0</v>
      </c>
      <c r="Y347">
        <f>N(Y346)+$X347</f>
        <v>0</v>
      </c>
      <c r="Z347">
        <f>IF(AND($M347=1,对接源_01水果!$D347="原料入库"),1,0)</f>
        <v>0</v>
      </c>
      <c r="AA347">
        <f>N(AA346)+$Z347</f>
        <v>24</v>
      </c>
      <c r="AB347">
        <f>IF(AND($M347=1,LEFT(对接源_01水果!$D347,4)="原料出库"),1,0)</f>
        <v>0</v>
      </c>
      <c r="AC347">
        <f>N(AC346)+$AB347</f>
        <v>0</v>
      </c>
      <c r="AD347">
        <f>IF(AND($M347=1,LEFT(对接源_01水果!$D347,4)="成品出库"),1,0)</f>
        <v>0</v>
      </c>
      <c r="AE347">
        <f>N(AE346)+$AD347</f>
        <v>0</v>
      </c>
      <c r="AF347">
        <f>IF(AND($N347=1,AND(LEFT(对接源_01水果!$D347,4)="包装物料",N(对接源_01水果!$K347)&lt;&gt;0)),1,0)</f>
        <v>0</v>
      </c>
      <c r="AG347">
        <f>N(AG346)+$AF347</f>
        <v>0</v>
      </c>
      <c r="AH347">
        <f>IF(AND($N347=1,AND(对接源_01水果!$D347="周转筐－销售出库",N(对接源_01水果!$K347)&lt;&gt;0)),1,0)</f>
        <v>0</v>
      </c>
      <c r="AI347">
        <f>N(AI346)+$AH347</f>
        <v>0</v>
      </c>
      <c r="AJ347" s="7" t="n"/>
      <c r="AL347">
        <f>IF(OR($AL$1="",对接源_01水果!$Y347="",对接源_01水果!$Y347&lt;&gt;$AL$1,对接源_01水果!$B347="",N(对接源_01水果!$AJ347)&lt;=0),0,IF(OR(N(对接源_01水果!$B347)&lt;$AL$2,N(对接源_01水果!$B347)&gt;$AL$3),0,1))</f>
        <v>0</v>
      </c>
      <c r="AM347">
        <f>N(AM346)+$AL347</f>
        <v>0</v>
      </c>
      <c r="AN347">
        <f>IF(对接源_01水果!$AC347="","",对接源_01水果!$AC347)</f>
      </c>
      <c r="AO347">
        <f>IF(AN347="",0,IF(MATCH(AN347,$AN$4:$AN$1203,0)=ROW()-3,1,0))</f>
        <v>0</v>
      </c>
      <c r="AP347">
        <f>N(AP346)+$AO347</f>
        <v>0</v>
      </c>
      <c r="AR347">
        <f>IF(OR($AF347=1,$AH347=1),1,0)</f>
        <v>0</v>
      </c>
      <c r="AS347">
        <f>N(AS346)+$AR347</f>
        <v>0</v>
      </c>
    </row>
    <row r="348" ht="14.25" customHeight="1" s="127">
      <c r="A348" t="str">
        <f>IF(对接源_01水果!$C348="","",对接源_01水果!$C348)</f>
        <v>努尔敦</v>
      </c>
      <c r="B348">
        <f>IF(A348="",0,IF(MATCH(A348,$A$4:$A$2403,0)=ROW()-3,1,0))</f>
        <v>0</v>
      </c>
      <c r="C348">
        <f>N(C347)+B348</f>
        <v>18</v>
      </c>
      <c r="K348">
        <f>IF(OR($K$1="",对接源_01水果!$C348="",对接源_01水果!$C348&lt;&gt;$K$1,对接源_01水果!$B348=""),0,IF(OR(N(对接源_01水果!$B348)&lt;$K$2,N(对接源_01水果!$B348)&gt;$K$3),0,1))</f>
        <v>0</v>
      </c>
      <c r="L348">
        <f>IF(OR($L$1="",对接源_01水果!$C348="",对接源_01水果!$C348&lt;&gt;$L$1,对接源_01水果!$B348=""),0,IF(OR(N(对接源_01水果!$B348)&lt;$L$2,N(对接源_01水果!$B348)&gt;$L$3),0,1))</f>
        <v>0</v>
      </c>
      <c r="M348">
        <f>IF(OR($M$1="",对接源_01水果!$C348="",对接源_01水果!$C348&lt;&gt;$M$1,对接源_01水果!$B348=""),0,IF(OR(N(对接源_01水果!$B348)&lt;$M$2,N(对接源_01水果!$B348)&gt;$M$3),0,1))</f>
        <v>0</v>
      </c>
      <c r="N348">
        <f>IF(OR($N$1="",对接源_01水果!$C348="",对接源_01水果!$C348&lt;&gt;$N$1,对接源_01水果!$B348=""),0,IF(OR(N(对接源_01水果!$B348)&lt;$N$2,N(对接源_01水果!$B348)&gt;$N$3),0,1))</f>
        <v>0</v>
      </c>
      <c r="P348">
        <f>IF(AND($K348=1,AND(对接源_01水果!$X348="公司筐",N(对接源_01水果!$T348)&lt;&gt;0)),1,0)</f>
        <v>0</v>
      </c>
      <c r="Q348">
        <f>N(Q347)+$P348</f>
        <v>0</v>
      </c>
      <c r="R348">
        <f>IF(AND($K348=1,AND(对接源_01水果!$X348="公司筐",N(对接源_01水果!$U348)&lt;&gt;0)),1,0)</f>
        <v>0</v>
      </c>
      <c r="S348">
        <f>N(S347)+$R348</f>
        <v>0</v>
      </c>
      <c r="T348">
        <f>IF(AND($K348=1,AND(对接源_01水果!$X348="公司筐",N(对接源_01水果!$V348)&lt;&gt;0)),1,0)</f>
        <v>0</v>
      </c>
      <c r="U348">
        <f>N(U347)+$T348</f>
        <v>24</v>
      </c>
      <c r="V348">
        <f>IF(AND($L348=1,AND(对接源_01水果!$X348="自备筐",N(对接源_01水果!$V348)&lt;&gt;0)),1,0)</f>
        <v>0</v>
      </c>
      <c r="W348">
        <f>N(W347)+$V348</f>
        <v>11</v>
      </c>
      <c r="X348">
        <f>IF(AND($L348=1,AND(对接源_01水果!$X348="自备筐",N(对接源_01水果!$T348)&lt;&gt;0)),1,0)</f>
        <v>0</v>
      </c>
      <c r="Y348">
        <f>N(Y347)+$X348</f>
        <v>0</v>
      </c>
      <c r="Z348">
        <f>IF(AND($M348=1,对接源_01水果!$D348="原料入库"),1,0)</f>
        <v>0</v>
      </c>
      <c r="AA348">
        <f>N(AA347)+$Z348</f>
        <v>24</v>
      </c>
      <c r="AB348">
        <f>IF(AND($M348=1,LEFT(对接源_01水果!$D348,4)="原料出库"),1,0)</f>
        <v>0</v>
      </c>
      <c r="AC348">
        <f>N(AC347)+$AB348</f>
        <v>0</v>
      </c>
      <c r="AD348">
        <f>IF(AND($M348=1,LEFT(对接源_01水果!$D348,4)="成品出库"),1,0)</f>
        <v>0</v>
      </c>
      <c r="AE348">
        <f>N(AE347)+$AD348</f>
        <v>0</v>
      </c>
      <c r="AF348">
        <f>IF(AND($N348=1,AND(LEFT(对接源_01水果!$D348,4)="包装物料",N(对接源_01水果!$K348)&lt;&gt;0)),1,0)</f>
        <v>0</v>
      </c>
      <c r="AG348">
        <f>N(AG347)+$AF348</f>
        <v>0</v>
      </c>
      <c r="AH348">
        <f>IF(AND($N348=1,AND(对接源_01水果!$D348="周转筐－销售出库",N(对接源_01水果!$K348)&lt;&gt;0)),1,0)</f>
        <v>0</v>
      </c>
      <c r="AI348">
        <f>N(AI347)+$AH348</f>
        <v>0</v>
      </c>
      <c r="AJ348" s="7" t="n"/>
      <c r="AL348">
        <f>IF(OR($AL$1="",对接源_01水果!$Y348="",对接源_01水果!$Y348&lt;&gt;$AL$1,对接源_01水果!$B348="",N(对接源_01水果!$AJ348)&lt;=0),0,IF(OR(N(对接源_01水果!$B348)&lt;$AL$2,N(对接源_01水果!$B348)&gt;$AL$3),0,1))</f>
        <v>0</v>
      </c>
      <c r="AM348">
        <f>N(AM347)+$AL348</f>
        <v>0</v>
      </c>
      <c r="AN348">
        <f>IF(对接源_01水果!$AC348="","",对接源_01水果!$AC348)</f>
      </c>
      <c r="AO348">
        <f>IF(AN348="",0,IF(MATCH(AN348,$AN$4:$AN$1203,0)=ROW()-3,1,0))</f>
        <v>0</v>
      </c>
      <c r="AP348">
        <f>N(AP347)+$AO348</f>
        <v>0</v>
      </c>
      <c r="AR348">
        <f>IF(OR($AF348=1,$AH348=1),1,0)</f>
        <v>0</v>
      </c>
      <c r="AS348">
        <f>N(AS347)+$AR348</f>
        <v>0</v>
      </c>
    </row>
    <row r="349" ht="14.25" customHeight="1" s="127">
      <c r="A349" t="str">
        <f>IF(对接源_01水果!$C349="","",对接源_01水果!$C349)</f>
        <v>努尔敦</v>
      </c>
      <c r="B349">
        <f>IF(A349="",0,IF(MATCH(A349,$A$4:$A$2403,0)=ROW()-3,1,0))</f>
        <v>0</v>
      </c>
      <c r="C349">
        <f>N(C348)+B349</f>
        <v>18</v>
      </c>
      <c r="K349">
        <f>IF(OR($K$1="",对接源_01水果!$C349="",对接源_01水果!$C349&lt;&gt;$K$1,对接源_01水果!$B349=""),0,IF(OR(N(对接源_01水果!$B349)&lt;$K$2,N(对接源_01水果!$B349)&gt;$K$3),0,1))</f>
        <v>0</v>
      </c>
      <c r="L349">
        <f>IF(OR($L$1="",对接源_01水果!$C349="",对接源_01水果!$C349&lt;&gt;$L$1,对接源_01水果!$B349=""),0,IF(OR(N(对接源_01水果!$B349)&lt;$L$2,N(对接源_01水果!$B349)&gt;$L$3),0,1))</f>
        <v>0</v>
      </c>
      <c r="M349">
        <f>IF(OR($M$1="",对接源_01水果!$C349="",对接源_01水果!$C349&lt;&gt;$M$1,对接源_01水果!$B349=""),0,IF(OR(N(对接源_01水果!$B349)&lt;$M$2,N(对接源_01水果!$B349)&gt;$M$3),0,1))</f>
        <v>0</v>
      </c>
      <c r="N349">
        <f>IF(OR($N$1="",对接源_01水果!$C349="",对接源_01水果!$C349&lt;&gt;$N$1,对接源_01水果!$B349=""),0,IF(OR(N(对接源_01水果!$B349)&lt;$N$2,N(对接源_01水果!$B349)&gt;$N$3),0,1))</f>
        <v>0</v>
      </c>
      <c r="P349">
        <f>IF(AND($K349=1,AND(对接源_01水果!$X349="公司筐",N(对接源_01水果!$T349)&lt;&gt;0)),1,0)</f>
        <v>0</v>
      </c>
      <c r="Q349">
        <f>N(Q348)+$P349</f>
        <v>0</v>
      </c>
      <c r="R349">
        <f>IF(AND($K349=1,AND(对接源_01水果!$X349="公司筐",N(对接源_01水果!$U349)&lt;&gt;0)),1,0)</f>
        <v>0</v>
      </c>
      <c r="S349">
        <f>N(S348)+$R349</f>
        <v>0</v>
      </c>
      <c r="T349">
        <f>IF(AND($K349=1,AND(对接源_01水果!$X349="公司筐",N(对接源_01水果!$V349)&lt;&gt;0)),1,0)</f>
        <v>0</v>
      </c>
      <c r="U349">
        <f>N(U348)+$T349</f>
        <v>24</v>
      </c>
      <c r="V349">
        <f>IF(AND($L349=1,AND(对接源_01水果!$X349="自备筐",N(对接源_01水果!$V349)&lt;&gt;0)),1,0)</f>
        <v>0</v>
      </c>
      <c r="W349">
        <f>N(W348)+$V349</f>
        <v>11</v>
      </c>
      <c r="X349">
        <f>IF(AND($L349=1,AND(对接源_01水果!$X349="自备筐",N(对接源_01水果!$T349)&lt;&gt;0)),1,0)</f>
        <v>0</v>
      </c>
      <c r="Y349">
        <f>N(Y348)+$X349</f>
        <v>0</v>
      </c>
      <c r="Z349">
        <f>IF(AND($M349=1,对接源_01水果!$D349="原料入库"),1,0)</f>
        <v>0</v>
      </c>
      <c r="AA349">
        <f>N(AA348)+$Z349</f>
        <v>24</v>
      </c>
      <c r="AB349">
        <f>IF(AND($M349=1,LEFT(对接源_01水果!$D349,4)="原料出库"),1,0)</f>
        <v>0</v>
      </c>
      <c r="AC349">
        <f>N(AC348)+$AB349</f>
        <v>0</v>
      </c>
      <c r="AD349">
        <f>IF(AND($M349=1,LEFT(对接源_01水果!$D349,4)="成品出库"),1,0)</f>
        <v>0</v>
      </c>
      <c r="AE349">
        <f>N(AE348)+$AD349</f>
        <v>0</v>
      </c>
      <c r="AF349">
        <f>IF(AND($N349=1,AND(LEFT(对接源_01水果!$D349,4)="包装物料",N(对接源_01水果!$K349)&lt;&gt;0)),1,0)</f>
        <v>0</v>
      </c>
      <c r="AG349">
        <f>N(AG348)+$AF349</f>
        <v>0</v>
      </c>
      <c r="AH349">
        <f>IF(AND($N349=1,AND(对接源_01水果!$D349="周转筐－销售出库",N(对接源_01水果!$K349)&lt;&gt;0)),1,0)</f>
        <v>0</v>
      </c>
      <c r="AI349">
        <f>N(AI348)+$AH349</f>
        <v>0</v>
      </c>
      <c r="AJ349" s="7" t="n"/>
      <c r="AL349">
        <f>IF(OR($AL$1="",对接源_01水果!$Y349="",对接源_01水果!$Y349&lt;&gt;$AL$1,对接源_01水果!$B349="",N(对接源_01水果!$AJ349)&lt;=0),0,IF(OR(N(对接源_01水果!$B349)&lt;$AL$2,N(对接源_01水果!$B349)&gt;$AL$3),0,1))</f>
        <v>0</v>
      </c>
      <c r="AM349">
        <f>N(AM348)+$AL349</f>
        <v>0</v>
      </c>
      <c r="AN349">
        <f>IF(对接源_01水果!$AC349="","",对接源_01水果!$AC349)</f>
      </c>
      <c r="AO349">
        <f>IF(AN349="",0,IF(MATCH(AN349,$AN$4:$AN$1203,0)=ROW()-3,1,0))</f>
        <v>0</v>
      </c>
      <c r="AP349">
        <f>N(AP348)+$AO349</f>
        <v>0</v>
      </c>
      <c r="AR349">
        <f>IF(OR($AF349=1,$AH349=1),1,0)</f>
        <v>0</v>
      </c>
      <c r="AS349">
        <f>N(AS348)+$AR349</f>
        <v>0</v>
      </c>
    </row>
    <row r="350" ht="14.25" customHeight="1" s="127">
      <c r="A350" t="str">
        <f>IF(对接源_01水果!$C350="","",对接源_01水果!$C350)</f>
        <v>艾则孜</v>
      </c>
      <c r="B350">
        <f>IF(A350="",0,IF(MATCH(A350,$A$4:$A$2403,0)=ROW()-3,1,0))</f>
        <v>0</v>
      </c>
      <c r="C350">
        <f>N(C349)+B350</f>
        <v>18</v>
      </c>
      <c r="K350">
        <f>IF(OR($K$1="",对接源_01水果!$C350="",对接源_01水果!$C350&lt;&gt;$K$1,对接源_01水果!$B350=""),0,IF(OR(N(对接源_01水果!$B350)&lt;$K$2,N(对接源_01水果!$B350)&gt;$K$3),0,1))</f>
        <v>0</v>
      </c>
      <c r="L350">
        <f>IF(OR($L$1="",对接源_01水果!$C350="",对接源_01水果!$C350&lt;&gt;$L$1,对接源_01水果!$B350=""),0,IF(OR(N(对接源_01水果!$B350)&lt;$L$2,N(对接源_01水果!$B350)&gt;$L$3),0,1))</f>
        <v>0</v>
      </c>
      <c r="M350">
        <f>IF(OR($M$1="",对接源_01水果!$C350="",对接源_01水果!$C350&lt;&gt;$M$1,对接源_01水果!$B350=""),0,IF(OR(N(对接源_01水果!$B350)&lt;$M$2,N(对接源_01水果!$B350)&gt;$M$3),0,1))</f>
        <v>0</v>
      </c>
      <c r="N350">
        <f>IF(OR($N$1="",对接源_01水果!$C350="",对接源_01水果!$C350&lt;&gt;$N$1,对接源_01水果!$B350=""),0,IF(OR(N(对接源_01水果!$B350)&lt;$N$2,N(对接源_01水果!$B350)&gt;$N$3),0,1))</f>
        <v>0</v>
      </c>
      <c r="P350">
        <f>IF(AND($K350=1,AND(对接源_01水果!$X350="公司筐",N(对接源_01水果!$T350)&lt;&gt;0)),1,0)</f>
        <v>0</v>
      </c>
      <c r="Q350">
        <f>N(Q349)+$P350</f>
        <v>0</v>
      </c>
      <c r="R350">
        <f>IF(AND($K350=1,AND(对接源_01水果!$X350="公司筐",N(对接源_01水果!$U350)&lt;&gt;0)),1,0)</f>
        <v>0</v>
      </c>
      <c r="S350">
        <f>N(S349)+$R350</f>
        <v>0</v>
      </c>
      <c r="T350">
        <f>IF(AND($K350=1,AND(对接源_01水果!$X350="公司筐",N(对接源_01水果!$V350)&lt;&gt;0)),1,0)</f>
        <v>0</v>
      </c>
      <c r="U350">
        <f>N(U349)+$T350</f>
        <v>24</v>
      </c>
      <c r="V350">
        <f>IF(AND($L350=1,AND(对接源_01水果!$X350="自备筐",N(对接源_01水果!$V350)&lt;&gt;0)),1,0)</f>
        <v>0</v>
      </c>
      <c r="W350">
        <f>N(W349)+$V350</f>
        <v>11</v>
      </c>
      <c r="X350">
        <f>IF(AND($L350=1,AND(对接源_01水果!$X350="自备筐",N(对接源_01水果!$T350)&lt;&gt;0)),1,0)</f>
        <v>0</v>
      </c>
      <c r="Y350">
        <f>N(Y349)+$X350</f>
        <v>0</v>
      </c>
      <c r="Z350">
        <f>IF(AND($M350=1,对接源_01水果!$D350="原料入库"),1,0)</f>
        <v>0</v>
      </c>
      <c r="AA350">
        <f>N(AA349)+$Z350</f>
        <v>24</v>
      </c>
      <c r="AB350">
        <f>IF(AND($M350=1,LEFT(对接源_01水果!$D350,4)="原料出库"),1,0)</f>
        <v>0</v>
      </c>
      <c r="AC350">
        <f>N(AC349)+$AB350</f>
        <v>0</v>
      </c>
      <c r="AD350">
        <f>IF(AND($M350=1,LEFT(对接源_01水果!$D350,4)="成品出库"),1,0)</f>
        <v>0</v>
      </c>
      <c r="AE350">
        <f>N(AE349)+$AD350</f>
        <v>0</v>
      </c>
      <c r="AF350">
        <f>IF(AND($N350=1,AND(LEFT(对接源_01水果!$D350,4)="包装物料",N(对接源_01水果!$K350)&lt;&gt;0)),1,0)</f>
        <v>0</v>
      </c>
      <c r="AG350">
        <f>N(AG349)+$AF350</f>
        <v>0</v>
      </c>
      <c r="AH350">
        <f>IF(AND($N350=1,AND(对接源_01水果!$D350="周转筐－销售出库",N(对接源_01水果!$K350)&lt;&gt;0)),1,0)</f>
        <v>0</v>
      </c>
      <c r="AI350">
        <f>N(AI349)+$AH350</f>
        <v>0</v>
      </c>
      <c r="AJ350" s="7" t="n"/>
      <c r="AL350">
        <f>IF(OR($AL$1="",对接源_01水果!$Y350="",对接源_01水果!$Y350&lt;&gt;$AL$1,对接源_01水果!$B350="",N(对接源_01水果!$AJ350)&lt;=0),0,IF(OR(N(对接源_01水果!$B350)&lt;$AL$2,N(对接源_01水果!$B350)&gt;$AL$3),0,1))</f>
        <v>0</v>
      </c>
      <c r="AM350">
        <f>N(AM349)+$AL350</f>
        <v>0</v>
      </c>
      <c r="AN350">
        <f>IF(对接源_01水果!$AC350="","",对接源_01水果!$AC350)</f>
      </c>
      <c r="AO350">
        <f>IF(AN350="",0,IF(MATCH(AN350,$AN$4:$AN$1203,0)=ROW()-3,1,0))</f>
        <v>0</v>
      </c>
      <c r="AP350">
        <f>N(AP349)+$AO350</f>
        <v>0</v>
      </c>
      <c r="AR350">
        <f>IF(OR($AF350=1,$AH350=1),1,0)</f>
        <v>0</v>
      </c>
      <c r="AS350">
        <f>N(AS349)+$AR350</f>
        <v>0</v>
      </c>
    </row>
    <row r="351" ht="14.25" customHeight="1" s="127">
      <c r="A351" t="str">
        <f>IF(对接源_01水果!$C351="","",对接源_01水果!$C351)</f>
        <v>艾则孜</v>
      </c>
      <c r="B351">
        <f>IF(A351="",0,IF(MATCH(A351,$A$4:$A$2403,0)=ROW()-3,1,0))</f>
        <v>0</v>
      </c>
      <c r="C351">
        <f>N(C350)+B351</f>
        <v>18</v>
      </c>
      <c r="K351">
        <f>IF(OR($K$1="",对接源_01水果!$C351="",对接源_01水果!$C351&lt;&gt;$K$1,对接源_01水果!$B351=""),0,IF(OR(N(对接源_01水果!$B351)&lt;$K$2,N(对接源_01水果!$B351)&gt;$K$3),0,1))</f>
        <v>0</v>
      </c>
      <c r="L351">
        <f>IF(OR($L$1="",对接源_01水果!$C351="",对接源_01水果!$C351&lt;&gt;$L$1,对接源_01水果!$B351=""),0,IF(OR(N(对接源_01水果!$B351)&lt;$L$2,N(对接源_01水果!$B351)&gt;$L$3),0,1))</f>
        <v>0</v>
      </c>
      <c r="M351">
        <f>IF(OR($M$1="",对接源_01水果!$C351="",对接源_01水果!$C351&lt;&gt;$M$1,对接源_01水果!$B351=""),0,IF(OR(N(对接源_01水果!$B351)&lt;$M$2,N(对接源_01水果!$B351)&gt;$M$3),0,1))</f>
        <v>0</v>
      </c>
      <c r="N351">
        <f>IF(OR($N$1="",对接源_01水果!$C351="",对接源_01水果!$C351&lt;&gt;$N$1,对接源_01水果!$B351=""),0,IF(OR(N(对接源_01水果!$B351)&lt;$N$2,N(对接源_01水果!$B351)&gt;$N$3),0,1))</f>
        <v>0</v>
      </c>
      <c r="P351">
        <f>IF(AND($K351=1,AND(对接源_01水果!$X351="公司筐",N(对接源_01水果!$T351)&lt;&gt;0)),1,0)</f>
        <v>0</v>
      </c>
      <c r="Q351">
        <f>N(Q350)+$P351</f>
        <v>0</v>
      </c>
      <c r="R351">
        <f>IF(AND($K351=1,AND(对接源_01水果!$X351="公司筐",N(对接源_01水果!$U351)&lt;&gt;0)),1,0)</f>
        <v>0</v>
      </c>
      <c r="S351">
        <f>N(S350)+$R351</f>
        <v>0</v>
      </c>
      <c r="T351">
        <f>IF(AND($K351=1,AND(对接源_01水果!$X351="公司筐",N(对接源_01水果!$V351)&lt;&gt;0)),1,0)</f>
        <v>0</v>
      </c>
      <c r="U351">
        <f>N(U350)+$T351</f>
        <v>24</v>
      </c>
      <c r="V351">
        <f>IF(AND($L351=1,AND(对接源_01水果!$X351="自备筐",N(对接源_01水果!$V351)&lt;&gt;0)),1,0)</f>
        <v>0</v>
      </c>
      <c r="W351">
        <f>N(W350)+$V351</f>
        <v>11</v>
      </c>
      <c r="X351">
        <f>IF(AND($L351=1,AND(对接源_01水果!$X351="自备筐",N(对接源_01水果!$T351)&lt;&gt;0)),1,0)</f>
        <v>0</v>
      </c>
      <c r="Y351">
        <f>N(Y350)+$X351</f>
        <v>0</v>
      </c>
      <c r="Z351">
        <f>IF(AND($M351=1,对接源_01水果!$D351="原料入库"),1,0)</f>
        <v>0</v>
      </c>
      <c r="AA351">
        <f>N(AA350)+$Z351</f>
        <v>24</v>
      </c>
      <c r="AB351">
        <f>IF(AND($M351=1,LEFT(对接源_01水果!$D351,4)="原料出库"),1,0)</f>
        <v>0</v>
      </c>
      <c r="AC351">
        <f>N(AC350)+$AB351</f>
        <v>0</v>
      </c>
      <c r="AD351">
        <f>IF(AND($M351=1,LEFT(对接源_01水果!$D351,4)="成品出库"),1,0)</f>
        <v>0</v>
      </c>
      <c r="AE351">
        <f>N(AE350)+$AD351</f>
        <v>0</v>
      </c>
      <c r="AF351">
        <f>IF(AND($N351=1,AND(LEFT(对接源_01水果!$D351,4)="包装物料",N(对接源_01水果!$K351)&lt;&gt;0)),1,0)</f>
        <v>0</v>
      </c>
      <c r="AG351">
        <f>N(AG350)+$AF351</f>
        <v>0</v>
      </c>
      <c r="AH351">
        <f>IF(AND($N351=1,AND(对接源_01水果!$D351="周转筐－销售出库",N(对接源_01水果!$K351)&lt;&gt;0)),1,0)</f>
        <v>0</v>
      </c>
      <c r="AI351">
        <f>N(AI350)+$AH351</f>
        <v>0</v>
      </c>
      <c r="AJ351" s="7" t="n"/>
      <c r="AL351">
        <f>IF(OR($AL$1="",对接源_01水果!$Y351="",对接源_01水果!$Y351&lt;&gt;$AL$1,对接源_01水果!$B351="",N(对接源_01水果!$AJ351)&lt;=0),0,IF(OR(N(对接源_01水果!$B351)&lt;$AL$2,N(对接源_01水果!$B351)&gt;$AL$3),0,1))</f>
        <v>0</v>
      </c>
      <c r="AM351">
        <f>N(AM350)+$AL351</f>
        <v>0</v>
      </c>
      <c r="AN351">
        <f>IF(对接源_01水果!$AC351="","",对接源_01水果!$AC351)</f>
      </c>
      <c r="AO351">
        <f>IF(AN351="",0,IF(MATCH(AN351,$AN$4:$AN$1203,0)=ROW()-3,1,0))</f>
        <v>0</v>
      </c>
      <c r="AP351">
        <f>N(AP350)+$AO351</f>
        <v>0</v>
      </c>
      <c r="AR351">
        <f>IF(OR($AF351=1,$AH351=1),1,0)</f>
        <v>0</v>
      </c>
      <c r="AS351">
        <f>N(AS350)+$AR351</f>
        <v>0</v>
      </c>
    </row>
    <row r="352" ht="14.25" customHeight="1" s="127">
      <c r="A352" t="str">
        <f>IF(对接源_01水果!$C352="","",对接源_01水果!$C352)</f>
        <v>艾则孜</v>
      </c>
      <c r="B352">
        <f>IF(A352="",0,IF(MATCH(A352,$A$4:$A$2403,0)=ROW()-3,1,0))</f>
        <v>0</v>
      </c>
      <c r="C352">
        <f>N(C351)+B352</f>
        <v>18</v>
      </c>
      <c r="K352">
        <f>IF(OR($K$1="",对接源_01水果!$C352="",对接源_01水果!$C352&lt;&gt;$K$1,对接源_01水果!$B352=""),0,IF(OR(N(对接源_01水果!$B352)&lt;$K$2,N(对接源_01水果!$B352)&gt;$K$3),0,1))</f>
        <v>0</v>
      </c>
      <c r="L352">
        <f>IF(OR($L$1="",对接源_01水果!$C352="",对接源_01水果!$C352&lt;&gt;$L$1,对接源_01水果!$B352=""),0,IF(OR(N(对接源_01水果!$B352)&lt;$L$2,N(对接源_01水果!$B352)&gt;$L$3),0,1))</f>
        <v>0</v>
      </c>
      <c r="M352">
        <f>IF(OR($M$1="",对接源_01水果!$C352="",对接源_01水果!$C352&lt;&gt;$M$1,对接源_01水果!$B352=""),0,IF(OR(N(对接源_01水果!$B352)&lt;$M$2,N(对接源_01水果!$B352)&gt;$M$3),0,1))</f>
        <v>0</v>
      </c>
      <c r="N352">
        <f>IF(OR($N$1="",对接源_01水果!$C352="",对接源_01水果!$C352&lt;&gt;$N$1,对接源_01水果!$B352=""),0,IF(OR(N(对接源_01水果!$B352)&lt;$N$2,N(对接源_01水果!$B352)&gt;$N$3),0,1))</f>
        <v>0</v>
      </c>
      <c r="P352">
        <f>IF(AND($K352=1,AND(对接源_01水果!$X352="公司筐",N(对接源_01水果!$T352)&lt;&gt;0)),1,0)</f>
        <v>0</v>
      </c>
      <c r="Q352">
        <f>N(Q351)+$P352</f>
        <v>0</v>
      </c>
      <c r="R352">
        <f>IF(AND($K352=1,AND(对接源_01水果!$X352="公司筐",N(对接源_01水果!$U352)&lt;&gt;0)),1,0)</f>
        <v>0</v>
      </c>
      <c r="S352">
        <f>N(S351)+$R352</f>
        <v>0</v>
      </c>
      <c r="T352">
        <f>IF(AND($K352=1,AND(对接源_01水果!$X352="公司筐",N(对接源_01水果!$V352)&lt;&gt;0)),1,0)</f>
        <v>0</v>
      </c>
      <c r="U352">
        <f>N(U351)+$T352</f>
        <v>24</v>
      </c>
      <c r="V352">
        <f>IF(AND($L352=1,AND(对接源_01水果!$X352="自备筐",N(对接源_01水果!$V352)&lt;&gt;0)),1,0)</f>
        <v>0</v>
      </c>
      <c r="W352">
        <f>N(W351)+$V352</f>
        <v>11</v>
      </c>
      <c r="X352">
        <f>IF(AND($L352=1,AND(对接源_01水果!$X352="自备筐",N(对接源_01水果!$T352)&lt;&gt;0)),1,0)</f>
        <v>0</v>
      </c>
      <c r="Y352">
        <f>N(Y351)+$X352</f>
        <v>0</v>
      </c>
      <c r="Z352">
        <f>IF(AND($M352=1,对接源_01水果!$D352="原料入库"),1,0)</f>
        <v>0</v>
      </c>
      <c r="AA352">
        <f>N(AA351)+$Z352</f>
        <v>24</v>
      </c>
      <c r="AB352">
        <f>IF(AND($M352=1,LEFT(对接源_01水果!$D352,4)="原料出库"),1,0)</f>
        <v>0</v>
      </c>
      <c r="AC352">
        <f>N(AC351)+$AB352</f>
        <v>0</v>
      </c>
      <c r="AD352">
        <f>IF(AND($M352=1,LEFT(对接源_01水果!$D352,4)="成品出库"),1,0)</f>
        <v>0</v>
      </c>
      <c r="AE352">
        <f>N(AE351)+$AD352</f>
        <v>0</v>
      </c>
      <c r="AF352">
        <f>IF(AND($N352=1,AND(LEFT(对接源_01水果!$D352,4)="包装物料",N(对接源_01水果!$K352)&lt;&gt;0)),1,0)</f>
        <v>0</v>
      </c>
      <c r="AG352">
        <f>N(AG351)+$AF352</f>
        <v>0</v>
      </c>
      <c r="AH352">
        <f>IF(AND($N352=1,AND(对接源_01水果!$D352="周转筐－销售出库",N(对接源_01水果!$K352)&lt;&gt;0)),1,0)</f>
        <v>0</v>
      </c>
      <c r="AI352">
        <f>N(AI351)+$AH352</f>
        <v>0</v>
      </c>
      <c r="AJ352" s="7" t="n"/>
      <c r="AL352">
        <f>IF(OR($AL$1="",对接源_01水果!$Y352="",对接源_01水果!$Y352&lt;&gt;$AL$1,对接源_01水果!$B352="",N(对接源_01水果!$AJ352)&lt;=0),0,IF(OR(N(对接源_01水果!$B352)&lt;$AL$2,N(对接源_01水果!$B352)&gt;$AL$3),0,1))</f>
        <v>0</v>
      </c>
      <c r="AM352">
        <f>N(AM351)+$AL352</f>
        <v>0</v>
      </c>
      <c r="AN352">
        <f>IF(对接源_01水果!$AC352="","",对接源_01水果!$AC352)</f>
      </c>
      <c r="AO352">
        <f>IF(AN352="",0,IF(MATCH(AN352,$AN$4:$AN$1203,0)=ROW()-3,1,0))</f>
        <v>0</v>
      </c>
      <c r="AP352">
        <f>N(AP351)+$AO352</f>
        <v>0</v>
      </c>
      <c r="AR352">
        <f>IF(OR($AF352=1,$AH352=1),1,0)</f>
        <v>0</v>
      </c>
      <c r="AS352">
        <f>N(AS351)+$AR352</f>
        <v>0</v>
      </c>
    </row>
    <row r="353" ht="14.25" customHeight="1" s="127">
      <c r="A353" t="str">
        <f>IF(对接源_01水果!$C353="","",对接源_01水果!$C353)</f>
        <v>王照雪</v>
      </c>
      <c r="B353">
        <f>IF(A353="",0,IF(MATCH(A353,$A$4:$A$2403,0)=ROW()-3,1,0))</f>
        <v>0</v>
      </c>
      <c r="C353">
        <f>N(C352)+B353</f>
        <v>18</v>
      </c>
      <c r="K353">
        <f>IF(OR($K$1="",对接源_01水果!$C353="",对接源_01水果!$C353&lt;&gt;$K$1,对接源_01水果!$B353=""),0,IF(OR(N(对接源_01水果!$B353)&lt;$K$2,N(对接源_01水果!$B353)&gt;$K$3),0,1))</f>
        <v>0</v>
      </c>
      <c r="L353">
        <f>IF(OR($L$1="",对接源_01水果!$C353="",对接源_01水果!$C353&lt;&gt;$L$1,对接源_01水果!$B353=""),0,IF(OR(N(对接源_01水果!$B353)&lt;$L$2,N(对接源_01水果!$B353)&gt;$L$3),0,1))</f>
        <v>0</v>
      </c>
      <c r="M353">
        <f>IF(OR($M$1="",对接源_01水果!$C353="",对接源_01水果!$C353&lt;&gt;$M$1,对接源_01水果!$B353=""),0,IF(OR(N(对接源_01水果!$B353)&lt;$M$2,N(对接源_01水果!$B353)&gt;$M$3),0,1))</f>
        <v>0</v>
      </c>
      <c r="N353">
        <f>IF(OR($N$1="",对接源_01水果!$C353="",对接源_01水果!$C353&lt;&gt;$N$1,对接源_01水果!$B353=""),0,IF(OR(N(对接源_01水果!$B353)&lt;$N$2,N(对接源_01水果!$B353)&gt;$N$3),0,1))</f>
        <v>0</v>
      </c>
      <c r="P353">
        <f>IF(AND($K353=1,AND(对接源_01水果!$X353="公司筐",N(对接源_01水果!$T353)&lt;&gt;0)),1,0)</f>
        <v>0</v>
      </c>
      <c r="Q353">
        <f>N(Q352)+$P353</f>
        <v>0</v>
      </c>
      <c r="R353">
        <f>IF(AND($K353=1,AND(对接源_01水果!$X353="公司筐",N(对接源_01水果!$U353)&lt;&gt;0)),1,0)</f>
        <v>0</v>
      </c>
      <c r="S353">
        <f>N(S352)+$R353</f>
        <v>0</v>
      </c>
      <c r="T353">
        <f>IF(AND($K353=1,AND(对接源_01水果!$X353="公司筐",N(对接源_01水果!$V353)&lt;&gt;0)),1,0)</f>
        <v>0</v>
      </c>
      <c r="U353">
        <f>N(U352)+$T353</f>
        <v>24</v>
      </c>
      <c r="V353">
        <f>IF(AND($L353=1,AND(对接源_01水果!$X353="自备筐",N(对接源_01水果!$V353)&lt;&gt;0)),1,0)</f>
        <v>0</v>
      </c>
      <c r="W353">
        <f>N(W352)+$V353</f>
        <v>11</v>
      </c>
      <c r="X353">
        <f>IF(AND($L353=1,AND(对接源_01水果!$X353="自备筐",N(对接源_01水果!$T353)&lt;&gt;0)),1,0)</f>
        <v>0</v>
      </c>
      <c r="Y353">
        <f>N(Y352)+$X353</f>
        <v>0</v>
      </c>
      <c r="Z353">
        <f>IF(AND($M353=1,对接源_01水果!$D353="原料入库"),1,0)</f>
        <v>0</v>
      </c>
      <c r="AA353">
        <f>N(AA352)+$Z353</f>
        <v>24</v>
      </c>
      <c r="AB353">
        <f>IF(AND($M353=1,LEFT(对接源_01水果!$D353,4)="原料出库"),1,0)</f>
        <v>0</v>
      </c>
      <c r="AC353">
        <f>N(AC352)+$AB353</f>
        <v>0</v>
      </c>
      <c r="AD353">
        <f>IF(AND($M353=1,LEFT(对接源_01水果!$D353,4)="成品出库"),1,0)</f>
        <v>0</v>
      </c>
      <c r="AE353">
        <f>N(AE352)+$AD353</f>
        <v>0</v>
      </c>
      <c r="AF353">
        <f>IF(AND($N353=1,AND(LEFT(对接源_01水果!$D353,4)="包装物料",N(对接源_01水果!$K353)&lt;&gt;0)),1,0)</f>
        <v>0</v>
      </c>
      <c r="AG353">
        <f>N(AG352)+$AF353</f>
        <v>0</v>
      </c>
      <c r="AH353">
        <f>IF(AND($N353=1,AND(对接源_01水果!$D353="周转筐－销售出库",N(对接源_01水果!$K353)&lt;&gt;0)),1,0)</f>
        <v>0</v>
      </c>
      <c r="AI353">
        <f>N(AI352)+$AH353</f>
        <v>0</v>
      </c>
      <c r="AJ353" s="7" t="n"/>
      <c r="AL353">
        <f>IF(OR($AL$1="",对接源_01水果!$Y353="",对接源_01水果!$Y353&lt;&gt;$AL$1,对接源_01水果!$B353="",N(对接源_01水果!$AJ353)&lt;=0),0,IF(OR(N(对接源_01水果!$B353)&lt;$AL$2,N(对接源_01水果!$B353)&gt;$AL$3),0,1))</f>
        <v>0</v>
      </c>
      <c r="AM353">
        <f>N(AM352)+$AL353</f>
        <v>0</v>
      </c>
      <c r="AN353">
        <f>IF(对接源_01水果!$AC353="","",对接源_01水果!$AC353)</f>
      </c>
      <c r="AO353">
        <f>IF(AN353="",0,IF(MATCH(AN353,$AN$4:$AN$1203,0)=ROW()-3,1,0))</f>
        <v>0</v>
      </c>
      <c r="AP353">
        <f>N(AP352)+$AO353</f>
        <v>0</v>
      </c>
      <c r="AR353">
        <f>IF(OR($AF353=1,$AH353=1),1,0)</f>
        <v>0</v>
      </c>
      <c r="AS353">
        <f>N(AS352)+$AR353</f>
        <v>0</v>
      </c>
    </row>
    <row r="354" ht="14.25" customHeight="1" s="127">
      <c r="A354" t="str">
        <f>IF(对接源_01水果!$C354="","",对接源_01水果!$C354)</f>
        <v>王照雪</v>
      </c>
      <c r="B354">
        <f>IF(A354="",0,IF(MATCH(A354,$A$4:$A$2403,0)=ROW()-3,1,0))</f>
        <v>0</v>
      </c>
      <c r="C354">
        <f>N(C353)+B354</f>
        <v>18</v>
      </c>
      <c r="K354">
        <f>IF(OR($K$1="",对接源_01水果!$C354="",对接源_01水果!$C354&lt;&gt;$K$1,对接源_01水果!$B354=""),0,IF(OR(N(对接源_01水果!$B354)&lt;$K$2,N(对接源_01水果!$B354)&gt;$K$3),0,1))</f>
        <v>0</v>
      </c>
      <c r="L354">
        <f>IF(OR($L$1="",对接源_01水果!$C354="",对接源_01水果!$C354&lt;&gt;$L$1,对接源_01水果!$B354=""),0,IF(OR(N(对接源_01水果!$B354)&lt;$L$2,N(对接源_01水果!$B354)&gt;$L$3),0,1))</f>
        <v>0</v>
      </c>
      <c r="M354">
        <f>IF(OR($M$1="",对接源_01水果!$C354="",对接源_01水果!$C354&lt;&gt;$M$1,对接源_01水果!$B354=""),0,IF(OR(N(对接源_01水果!$B354)&lt;$M$2,N(对接源_01水果!$B354)&gt;$M$3),0,1))</f>
        <v>0</v>
      </c>
      <c r="N354">
        <f>IF(OR($N$1="",对接源_01水果!$C354="",对接源_01水果!$C354&lt;&gt;$N$1,对接源_01水果!$B354=""),0,IF(OR(N(对接源_01水果!$B354)&lt;$N$2,N(对接源_01水果!$B354)&gt;$N$3),0,1))</f>
        <v>0</v>
      </c>
      <c r="P354">
        <f>IF(AND($K354=1,AND(对接源_01水果!$X354="公司筐",N(对接源_01水果!$T354)&lt;&gt;0)),1,0)</f>
        <v>0</v>
      </c>
      <c r="Q354">
        <f>N(Q353)+$P354</f>
        <v>0</v>
      </c>
      <c r="R354">
        <f>IF(AND($K354=1,AND(对接源_01水果!$X354="公司筐",N(对接源_01水果!$U354)&lt;&gt;0)),1,0)</f>
        <v>0</v>
      </c>
      <c r="S354">
        <f>N(S353)+$R354</f>
        <v>0</v>
      </c>
      <c r="T354">
        <f>IF(AND($K354=1,AND(对接源_01水果!$X354="公司筐",N(对接源_01水果!$V354)&lt;&gt;0)),1,0)</f>
        <v>0</v>
      </c>
      <c r="U354">
        <f>N(U353)+$T354</f>
        <v>24</v>
      </c>
      <c r="V354">
        <f>IF(AND($L354=1,AND(对接源_01水果!$X354="自备筐",N(对接源_01水果!$V354)&lt;&gt;0)),1,0)</f>
        <v>0</v>
      </c>
      <c r="W354">
        <f>N(W353)+$V354</f>
        <v>11</v>
      </c>
      <c r="X354">
        <f>IF(AND($L354=1,AND(对接源_01水果!$X354="自备筐",N(对接源_01水果!$T354)&lt;&gt;0)),1,0)</f>
        <v>0</v>
      </c>
      <c r="Y354">
        <f>N(Y353)+$X354</f>
        <v>0</v>
      </c>
      <c r="Z354">
        <f>IF(AND($M354=1,对接源_01水果!$D354="原料入库"),1,0)</f>
        <v>0</v>
      </c>
      <c r="AA354">
        <f>N(AA353)+$Z354</f>
        <v>24</v>
      </c>
      <c r="AB354">
        <f>IF(AND($M354=1,LEFT(对接源_01水果!$D354,4)="原料出库"),1,0)</f>
        <v>0</v>
      </c>
      <c r="AC354">
        <f>N(AC353)+$AB354</f>
        <v>0</v>
      </c>
      <c r="AD354">
        <f>IF(AND($M354=1,LEFT(对接源_01水果!$D354,4)="成品出库"),1,0)</f>
        <v>0</v>
      </c>
      <c r="AE354">
        <f>N(AE353)+$AD354</f>
        <v>0</v>
      </c>
      <c r="AF354">
        <f>IF(AND($N354=1,AND(LEFT(对接源_01水果!$D354,4)="包装物料",N(对接源_01水果!$K354)&lt;&gt;0)),1,0)</f>
        <v>0</v>
      </c>
      <c r="AG354">
        <f>N(AG353)+$AF354</f>
        <v>0</v>
      </c>
      <c r="AH354">
        <f>IF(AND($N354=1,AND(对接源_01水果!$D354="周转筐－销售出库",N(对接源_01水果!$K354)&lt;&gt;0)),1,0)</f>
        <v>0</v>
      </c>
      <c r="AI354">
        <f>N(AI353)+$AH354</f>
        <v>0</v>
      </c>
      <c r="AJ354" s="7" t="n"/>
      <c r="AL354">
        <f>IF(OR($AL$1="",对接源_01水果!$Y354="",对接源_01水果!$Y354&lt;&gt;$AL$1,对接源_01水果!$B354="",N(对接源_01水果!$AJ354)&lt;=0),0,IF(OR(N(对接源_01水果!$B354)&lt;$AL$2,N(对接源_01水果!$B354)&gt;$AL$3),0,1))</f>
        <v>0</v>
      </c>
      <c r="AM354">
        <f>N(AM353)+$AL354</f>
        <v>0</v>
      </c>
      <c r="AN354">
        <f>IF(对接源_01水果!$AC354="","",对接源_01水果!$AC354)</f>
      </c>
      <c r="AO354">
        <f>IF(AN354="",0,IF(MATCH(AN354,$AN$4:$AN$1203,0)=ROW()-3,1,0))</f>
        <v>0</v>
      </c>
      <c r="AP354">
        <f>N(AP353)+$AO354</f>
        <v>0</v>
      </c>
      <c r="AR354">
        <f>IF(OR($AF354=1,$AH354=1),1,0)</f>
        <v>0</v>
      </c>
      <c r="AS354">
        <f>N(AS353)+$AR354</f>
        <v>0</v>
      </c>
    </row>
    <row r="355" ht="14.25" customHeight="1" s="127">
      <c r="A355" t="str">
        <f>IF(对接源_01水果!$C355="","",对接源_01水果!$C355)</f>
        <v>王照雪</v>
      </c>
      <c r="B355">
        <f>IF(A355="",0,IF(MATCH(A355,$A$4:$A$2403,0)=ROW()-3,1,0))</f>
        <v>0</v>
      </c>
      <c r="C355">
        <f>N(C354)+B355</f>
        <v>18</v>
      </c>
      <c r="K355">
        <f>IF(OR($K$1="",对接源_01水果!$C355="",对接源_01水果!$C355&lt;&gt;$K$1,对接源_01水果!$B355=""),0,IF(OR(N(对接源_01水果!$B355)&lt;$K$2,N(对接源_01水果!$B355)&gt;$K$3),0,1))</f>
        <v>0</v>
      </c>
      <c r="L355">
        <f>IF(OR($L$1="",对接源_01水果!$C355="",对接源_01水果!$C355&lt;&gt;$L$1,对接源_01水果!$B355=""),0,IF(OR(N(对接源_01水果!$B355)&lt;$L$2,N(对接源_01水果!$B355)&gt;$L$3),0,1))</f>
        <v>0</v>
      </c>
      <c r="M355">
        <f>IF(OR($M$1="",对接源_01水果!$C355="",对接源_01水果!$C355&lt;&gt;$M$1,对接源_01水果!$B355=""),0,IF(OR(N(对接源_01水果!$B355)&lt;$M$2,N(对接源_01水果!$B355)&gt;$M$3),0,1))</f>
        <v>0</v>
      </c>
      <c r="N355">
        <f>IF(OR($N$1="",对接源_01水果!$C355="",对接源_01水果!$C355&lt;&gt;$N$1,对接源_01水果!$B355=""),0,IF(OR(N(对接源_01水果!$B355)&lt;$N$2,N(对接源_01水果!$B355)&gt;$N$3),0,1))</f>
        <v>0</v>
      </c>
      <c r="P355">
        <f>IF(AND($K355=1,AND(对接源_01水果!$X355="公司筐",N(对接源_01水果!$T355)&lt;&gt;0)),1,0)</f>
        <v>0</v>
      </c>
      <c r="Q355">
        <f>N(Q354)+$P355</f>
        <v>0</v>
      </c>
      <c r="R355">
        <f>IF(AND($K355=1,AND(对接源_01水果!$X355="公司筐",N(对接源_01水果!$U355)&lt;&gt;0)),1,0)</f>
        <v>0</v>
      </c>
      <c r="S355">
        <f>N(S354)+$R355</f>
        <v>0</v>
      </c>
      <c r="T355">
        <f>IF(AND($K355=1,AND(对接源_01水果!$X355="公司筐",N(对接源_01水果!$V355)&lt;&gt;0)),1,0)</f>
        <v>0</v>
      </c>
      <c r="U355">
        <f>N(U354)+$T355</f>
        <v>24</v>
      </c>
      <c r="V355">
        <f>IF(AND($L355=1,AND(对接源_01水果!$X355="自备筐",N(对接源_01水果!$V355)&lt;&gt;0)),1,0)</f>
        <v>0</v>
      </c>
      <c r="W355">
        <f>N(W354)+$V355</f>
        <v>11</v>
      </c>
      <c r="X355">
        <f>IF(AND($L355=1,AND(对接源_01水果!$X355="自备筐",N(对接源_01水果!$T355)&lt;&gt;0)),1,0)</f>
        <v>0</v>
      </c>
      <c r="Y355">
        <f>N(Y354)+$X355</f>
        <v>0</v>
      </c>
      <c r="Z355">
        <f>IF(AND($M355=1,对接源_01水果!$D355="原料入库"),1,0)</f>
        <v>0</v>
      </c>
      <c r="AA355">
        <f>N(AA354)+$Z355</f>
        <v>24</v>
      </c>
      <c r="AB355">
        <f>IF(AND($M355=1,LEFT(对接源_01水果!$D355,4)="原料出库"),1,0)</f>
        <v>0</v>
      </c>
      <c r="AC355">
        <f>N(AC354)+$AB355</f>
        <v>0</v>
      </c>
      <c r="AD355">
        <f>IF(AND($M355=1,LEFT(对接源_01水果!$D355,4)="成品出库"),1,0)</f>
        <v>0</v>
      </c>
      <c r="AE355">
        <f>N(AE354)+$AD355</f>
        <v>0</v>
      </c>
      <c r="AF355">
        <f>IF(AND($N355=1,AND(LEFT(对接源_01水果!$D355,4)="包装物料",N(对接源_01水果!$K355)&lt;&gt;0)),1,0)</f>
        <v>0</v>
      </c>
      <c r="AG355">
        <f>N(AG354)+$AF355</f>
        <v>0</v>
      </c>
      <c r="AH355">
        <f>IF(AND($N355=1,AND(对接源_01水果!$D355="周转筐－销售出库",N(对接源_01水果!$K355)&lt;&gt;0)),1,0)</f>
        <v>0</v>
      </c>
      <c r="AI355">
        <f>N(AI354)+$AH355</f>
        <v>0</v>
      </c>
      <c r="AJ355" s="7" t="n"/>
      <c r="AL355">
        <f>IF(OR($AL$1="",对接源_01水果!$Y355="",对接源_01水果!$Y355&lt;&gt;$AL$1,对接源_01水果!$B355="",N(对接源_01水果!$AJ355)&lt;=0),0,IF(OR(N(对接源_01水果!$B355)&lt;$AL$2,N(对接源_01水果!$B355)&gt;$AL$3),0,1))</f>
        <v>0</v>
      </c>
      <c r="AM355">
        <f>N(AM354)+$AL355</f>
        <v>0</v>
      </c>
      <c r="AN355">
        <f>IF(对接源_01水果!$AC355="","",对接源_01水果!$AC355)</f>
      </c>
      <c r="AO355">
        <f>IF(AN355="",0,IF(MATCH(AN355,$AN$4:$AN$1203,0)=ROW()-3,1,0))</f>
        <v>0</v>
      </c>
      <c r="AP355">
        <f>N(AP354)+$AO355</f>
        <v>0</v>
      </c>
      <c r="AR355">
        <f>IF(OR($AF355=1,$AH355=1),1,0)</f>
        <v>0</v>
      </c>
      <c r="AS355">
        <f>N(AS354)+$AR355</f>
        <v>0</v>
      </c>
    </row>
    <row r="356" ht="14.25" customHeight="1" s="127">
      <c r="A356" t="str">
        <f>IF(对接源_01水果!$C356="","",对接源_01水果!$C356)</f>
        <v>马锦祥</v>
      </c>
      <c r="B356">
        <f>IF(A356="",0,IF(MATCH(A356,$A$4:$A$2403,0)=ROW()-3,1,0))</f>
        <v>0</v>
      </c>
      <c r="C356">
        <f>N(C355)+B356</f>
        <v>18</v>
      </c>
      <c r="K356">
        <f>IF(OR($K$1="",对接源_01水果!$C356="",对接源_01水果!$C356&lt;&gt;$K$1,对接源_01水果!$B356=""),0,IF(OR(N(对接源_01水果!$B356)&lt;$K$2,N(对接源_01水果!$B356)&gt;$K$3),0,1))</f>
        <v>0</v>
      </c>
      <c r="L356">
        <f>IF(OR($L$1="",对接源_01水果!$C356="",对接源_01水果!$C356&lt;&gt;$L$1,对接源_01水果!$B356=""),0,IF(OR(N(对接源_01水果!$B356)&lt;$L$2,N(对接源_01水果!$B356)&gt;$L$3),0,1))</f>
        <v>0</v>
      </c>
      <c r="M356">
        <f>IF(OR($M$1="",对接源_01水果!$C356="",对接源_01水果!$C356&lt;&gt;$M$1,对接源_01水果!$B356=""),0,IF(OR(N(对接源_01水果!$B356)&lt;$M$2,N(对接源_01水果!$B356)&gt;$M$3),0,1))</f>
        <v>0</v>
      </c>
      <c r="N356">
        <f>IF(OR($N$1="",对接源_01水果!$C356="",对接源_01水果!$C356&lt;&gt;$N$1,对接源_01水果!$B356=""),0,IF(OR(N(对接源_01水果!$B356)&lt;$N$2,N(对接源_01水果!$B356)&gt;$N$3),0,1))</f>
        <v>0</v>
      </c>
      <c r="P356">
        <f>IF(AND($K356=1,AND(对接源_01水果!$X356="公司筐",N(对接源_01水果!$T356)&lt;&gt;0)),1,0)</f>
        <v>0</v>
      </c>
      <c r="Q356">
        <f>N(Q355)+$P356</f>
        <v>0</v>
      </c>
      <c r="R356">
        <f>IF(AND($K356=1,AND(对接源_01水果!$X356="公司筐",N(对接源_01水果!$U356)&lt;&gt;0)),1,0)</f>
        <v>0</v>
      </c>
      <c r="S356">
        <f>N(S355)+$R356</f>
        <v>0</v>
      </c>
      <c r="T356">
        <f>IF(AND($K356=1,AND(对接源_01水果!$X356="公司筐",N(对接源_01水果!$V356)&lt;&gt;0)),1,0)</f>
        <v>0</v>
      </c>
      <c r="U356">
        <f>N(U355)+$T356</f>
        <v>24</v>
      </c>
      <c r="V356">
        <f>IF(AND($L356=1,AND(对接源_01水果!$X356="自备筐",N(对接源_01水果!$V356)&lt;&gt;0)),1,0)</f>
        <v>0</v>
      </c>
      <c r="W356">
        <f>N(W355)+$V356</f>
        <v>11</v>
      </c>
      <c r="X356">
        <f>IF(AND($L356=1,AND(对接源_01水果!$X356="自备筐",N(对接源_01水果!$T356)&lt;&gt;0)),1,0)</f>
        <v>0</v>
      </c>
      <c r="Y356">
        <f>N(Y355)+$X356</f>
        <v>0</v>
      </c>
      <c r="Z356">
        <f>IF(AND($M356=1,对接源_01水果!$D356="原料入库"),1,0)</f>
        <v>0</v>
      </c>
      <c r="AA356">
        <f>N(AA355)+$Z356</f>
        <v>24</v>
      </c>
      <c r="AB356">
        <f>IF(AND($M356=1,LEFT(对接源_01水果!$D356,4)="原料出库"),1,0)</f>
        <v>0</v>
      </c>
      <c r="AC356">
        <f>N(AC355)+$AB356</f>
        <v>0</v>
      </c>
      <c r="AD356">
        <f>IF(AND($M356=1,LEFT(对接源_01水果!$D356,4)="成品出库"),1,0)</f>
        <v>0</v>
      </c>
      <c r="AE356">
        <f>N(AE355)+$AD356</f>
        <v>0</v>
      </c>
      <c r="AF356">
        <f>IF(AND($N356=1,AND(LEFT(对接源_01水果!$D356,4)="包装物料",N(对接源_01水果!$K356)&lt;&gt;0)),1,0)</f>
        <v>0</v>
      </c>
      <c r="AG356">
        <f>N(AG355)+$AF356</f>
        <v>0</v>
      </c>
      <c r="AH356">
        <f>IF(AND($N356=1,AND(对接源_01水果!$D356="周转筐－销售出库",N(对接源_01水果!$K356)&lt;&gt;0)),1,0)</f>
        <v>0</v>
      </c>
      <c r="AI356">
        <f>N(AI355)+$AH356</f>
        <v>0</v>
      </c>
      <c r="AJ356" s="7" t="n"/>
      <c r="AL356">
        <f>IF(OR($AL$1="",对接源_01水果!$Y356="",对接源_01水果!$Y356&lt;&gt;$AL$1,对接源_01水果!$B356="",N(对接源_01水果!$AJ356)&lt;=0),0,IF(OR(N(对接源_01水果!$B356)&lt;$AL$2,N(对接源_01水果!$B356)&gt;$AL$3),0,1))</f>
        <v>0</v>
      </c>
      <c r="AM356">
        <f>N(AM355)+$AL356</f>
        <v>0</v>
      </c>
      <c r="AN356">
        <f>IF(对接源_01水果!$AC356="","",对接源_01水果!$AC356)</f>
      </c>
      <c r="AO356">
        <f>IF(AN356="",0,IF(MATCH(AN356,$AN$4:$AN$1203,0)=ROW()-3,1,0))</f>
        <v>0</v>
      </c>
      <c r="AP356">
        <f>N(AP355)+$AO356</f>
        <v>0</v>
      </c>
      <c r="AR356">
        <f>IF(OR($AF356=1,$AH356=1),1,0)</f>
        <v>0</v>
      </c>
      <c r="AS356">
        <f>N(AS355)+$AR356</f>
        <v>0</v>
      </c>
    </row>
    <row r="357" ht="14.25" customHeight="1" s="127">
      <c r="A357" t="str">
        <f>IF(对接源_01水果!$C357="","",对接源_01水果!$C357)</f>
        <v>马锦祥</v>
      </c>
      <c r="B357">
        <f>IF(A357="",0,IF(MATCH(A357,$A$4:$A$2403,0)=ROW()-3,1,0))</f>
        <v>0</v>
      </c>
      <c r="C357">
        <f>N(C356)+B357</f>
        <v>18</v>
      </c>
      <c r="K357">
        <f>IF(OR($K$1="",对接源_01水果!$C357="",对接源_01水果!$C357&lt;&gt;$K$1,对接源_01水果!$B357=""),0,IF(OR(N(对接源_01水果!$B357)&lt;$K$2,N(对接源_01水果!$B357)&gt;$K$3),0,1))</f>
        <v>0</v>
      </c>
      <c r="L357">
        <f>IF(OR($L$1="",对接源_01水果!$C357="",对接源_01水果!$C357&lt;&gt;$L$1,对接源_01水果!$B357=""),0,IF(OR(N(对接源_01水果!$B357)&lt;$L$2,N(对接源_01水果!$B357)&gt;$L$3),0,1))</f>
        <v>0</v>
      </c>
      <c r="M357">
        <f>IF(OR($M$1="",对接源_01水果!$C357="",对接源_01水果!$C357&lt;&gt;$M$1,对接源_01水果!$B357=""),0,IF(OR(N(对接源_01水果!$B357)&lt;$M$2,N(对接源_01水果!$B357)&gt;$M$3),0,1))</f>
        <v>0</v>
      </c>
      <c r="N357">
        <f>IF(OR($N$1="",对接源_01水果!$C357="",对接源_01水果!$C357&lt;&gt;$N$1,对接源_01水果!$B357=""),0,IF(OR(N(对接源_01水果!$B357)&lt;$N$2,N(对接源_01水果!$B357)&gt;$N$3),0,1))</f>
        <v>0</v>
      </c>
      <c r="P357">
        <f>IF(AND($K357=1,AND(对接源_01水果!$X357="公司筐",N(对接源_01水果!$T357)&lt;&gt;0)),1,0)</f>
        <v>0</v>
      </c>
      <c r="Q357">
        <f>N(Q356)+$P357</f>
        <v>0</v>
      </c>
      <c r="R357">
        <f>IF(AND($K357=1,AND(对接源_01水果!$X357="公司筐",N(对接源_01水果!$U357)&lt;&gt;0)),1,0)</f>
        <v>0</v>
      </c>
      <c r="S357">
        <f>N(S356)+$R357</f>
        <v>0</v>
      </c>
      <c r="T357">
        <f>IF(AND($K357=1,AND(对接源_01水果!$X357="公司筐",N(对接源_01水果!$V357)&lt;&gt;0)),1,0)</f>
        <v>0</v>
      </c>
      <c r="U357">
        <f>N(U356)+$T357</f>
        <v>24</v>
      </c>
      <c r="V357">
        <f>IF(AND($L357=1,AND(对接源_01水果!$X357="自备筐",N(对接源_01水果!$V357)&lt;&gt;0)),1,0)</f>
        <v>0</v>
      </c>
      <c r="W357">
        <f>N(W356)+$V357</f>
        <v>11</v>
      </c>
      <c r="X357">
        <f>IF(AND($L357=1,AND(对接源_01水果!$X357="自备筐",N(对接源_01水果!$T357)&lt;&gt;0)),1,0)</f>
        <v>0</v>
      </c>
      <c r="Y357">
        <f>N(Y356)+$X357</f>
        <v>0</v>
      </c>
      <c r="Z357">
        <f>IF(AND($M357=1,对接源_01水果!$D357="原料入库"),1,0)</f>
        <v>0</v>
      </c>
      <c r="AA357">
        <f>N(AA356)+$Z357</f>
        <v>24</v>
      </c>
      <c r="AB357">
        <f>IF(AND($M357=1,LEFT(对接源_01水果!$D357,4)="原料出库"),1,0)</f>
        <v>0</v>
      </c>
      <c r="AC357">
        <f>N(AC356)+$AB357</f>
        <v>0</v>
      </c>
      <c r="AD357">
        <f>IF(AND($M357=1,LEFT(对接源_01水果!$D357,4)="成品出库"),1,0)</f>
        <v>0</v>
      </c>
      <c r="AE357">
        <f>N(AE356)+$AD357</f>
        <v>0</v>
      </c>
      <c r="AF357">
        <f>IF(AND($N357=1,AND(LEFT(对接源_01水果!$D357,4)="包装物料",N(对接源_01水果!$K357)&lt;&gt;0)),1,0)</f>
        <v>0</v>
      </c>
      <c r="AG357">
        <f>N(AG356)+$AF357</f>
        <v>0</v>
      </c>
      <c r="AH357">
        <f>IF(AND($N357=1,AND(对接源_01水果!$D357="周转筐－销售出库",N(对接源_01水果!$K357)&lt;&gt;0)),1,0)</f>
        <v>0</v>
      </c>
      <c r="AI357">
        <f>N(AI356)+$AH357</f>
        <v>0</v>
      </c>
      <c r="AJ357" s="7" t="n"/>
      <c r="AL357">
        <f>IF(OR($AL$1="",对接源_01水果!$Y357="",对接源_01水果!$Y357&lt;&gt;$AL$1,对接源_01水果!$B357="",N(对接源_01水果!$AJ357)&lt;=0),0,IF(OR(N(对接源_01水果!$B357)&lt;$AL$2,N(对接源_01水果!$B357)&gt;$AL$3),0,1))</f>
        <v>0</v>
      </c>
      <c r="AM357">
        <f>N(AM356)+$AL357</f>
        <v>0</v>
      </c>
      <c r="AN357">
        <f>IF(对接源_01水果!$AC357="","",对接源_01水果!$AC357)</f>
      </c>
      <c r="AO357">
        <f>IF(AN357="",0,IF(MATCH(AN357,$AN$4:$AN$1203,0)=ROW()-3,1,0))</f>
        <v>0</v>
      </c>
      <c r="AP357">
        <f>N(AP356)+$AO357</f>
        <v>0</v>
      </c>
      <c r="AR357">
        <f>IF(OR($AF357=1,$AH357=1),1,0)</f>
        <v>0</v>
      </c>
      <c r="AS357">
        <f>N(AS356)+$AR357</f>
        <v>0</v>
      </c>
    </row>
    <row r="358" ht="14.25" customHeight="1" s="127">
      <c r="A358" t="str">
        <f>IF(对接源_01水果!$C358="","",对接源_01水果!$C358)</f>
        <v>热合曼+艾则孜</v>
      </c>
      <c r="B358">
        <f>IF(A358="",0,IF(MATCH(A358,$A$4:$A$2403,0)=ROW()-3,1,0))</f>
        <v>0</v>
      </c>
      <c r="C358">
        <f>N(C357)+B358</f>
        <v>18</v>
      </c>
      <c r="K358">
        <f>IF(OR($K$1="",对接源_01水果!$C358="",对接源_01水果!$C358&lt;&gt;$K$1,对接源_01水果!$B358=""),0,IF(OR(N(对接源_01水果!$B358)&lt;$K$2,N(对接源_01水果!$B358)&gt;$K$3),0,1))</f>
        <v>0</v>
      </c>
      <c r="L358">
        <f>IF(OR($L$1="",对接源_01水果!$C358="",对接源_01水果!$C358&lt;&gt;$L$1,对接源_01水果!$B358=""),0,IF(OR(N(对接源_01水果!$B358)&lt;$L$2,N(对接源_01水果!$B358)&gt;$L$3),0,1))</f>
        <v>0</v>
      </c>
      <c r="M358">
        <f>IF(OR($M$1="",对接源_01水果!$C358="",对接源_01水果!$C358&lt;&gt;$M$1,对接源_01水果!$B358=""),0,IF(OR(N(对接源_01水果!$B358)&lt;$M$2,N(对接源_01水果!$B358)&gt;$M$3),0,1))</f>
        <v>0</v>
      </c>
      <c r="N358">
        <f>IF(OR($N$1="",对接源_01水果!$C358="",对接源_01水果!$C358&lt;&gt;$N$1,对接源_01水果!$B358=""),0,IF(OR(N(对接源_01水果!$B358)&lt;$N$2,N(对接源_01水果!$B358)&gt;$N$3),0,1))</f>
        <v>0</v>
      </c>
      <c r="P358">
        <f>IF(AND($K358=1,AND(对接源_01水果!$X358="公司筐",N(对接源_01水果!$T358)&lt;&gt;0)),1,0)</f>
        <v>0</v>
      </c>
      <c r="Q358">
        <f>N(Q357)+$P358</f>
        <v>0</v>
      </c>
      <c r="R358">
        <f>IF(AND($K358=1,AND(对接源_01水果!$X358="公司筐",N(对接源_01水果!$U358)&lt;&gt;0)),1,0)</f>
        <v>0</v>
      </c>
      <c r="S358">
        <f>N(S357)+$R358</f>
        <v>0</v>
      </c>
      <c r="T358">
        <f>IF(AND($K358=1,AND(对接源_01水果!$X358="公司筐",N(对接源_01水果!$V358)&lt;&gt;0)),1,0)</f>
        <v>0</v>
      </c>
      <c r="U358">
        <f>N(U357)+$T358</f>
        <v>24</v>
      </c>
      <c r="V358">
        <f>IF(AND($L358=1,AND(对接源_01水果!$X358="自备筐",N(对接源_01水果!$V358)&lt;&gt;0)),1,0)</f>
        <v>0</v>
      </c>
      <c r="W358">
        <f>N(W357)+$V358</f>
        <v>11</v>
      </c>
      <c r="X358">
        <f>IF(AND($L358=1,AND(对接源_01水果!$X358="自备筐",N(对接源_01水果!$T358)&lt;&gt;0)),1,0)</f>
        <v>0</v>
      </c>
      <c r="Y358">
        <f>N(Y357)+$X358</f>
        <v>0</v>
      </c>
      <c r="Z358">
        <f>IF(AND($M358=1,对接源_01水果!$D358="原料入库"),1,0)</f>
        <v>0</v>
      </c>
      <c r="AA358">
        <f>N(AA357)+$Z358</f>
        <v>24</v>
      </c>
      <c r="AB358">
        <f>IF(AND($M358=1,LEFT(对接源_01水果!$D358,4)="原料出库"),1,0)</f>
        <v>0</v>
      </c>
      <c r="AC358">
        <f>N(AC357)+$AB358</f>
        <v>0</v>
      </c>
      <c r="AD358">
        <f>IF(AND($M358=1,LEFT(对接源_01水果!$D358,4)="成品出库"),1,0)</f>
        <v>0</v>
      </c>
      <c r="AE358">
        <f>N(AE357)+$AD358</f>
        <v>0</v>
      </c>
      <c r="AF358">
        <f>IF(AND($N358=1,AND(LEFT(对接源_01水果!$D358,4)="包装物料",N(对接源_01水果!$K358)&lt;&gt;0)),1,0)</f>
        <v>0</v>
      </c>
      <c r="AG358">
        <f>N(AG357)+$AF358</f>
        <v>0</v>
      </c>
      <c r="AH358">
        <f>IF(AND($N358=1,AND(对接源_01水果!$D358="周转筐－销售出库",N(对接源_01水果!$K358)&lt;&gt;0)),1,0)</f>
        <v>0</v>
      </c>
      <c r="AI358">
        <f>N(AI357)+$AH358</f>
        <v>0</v>
      </c>
      <c r="AJ358" s="7" t="n"/>
      <c r="AL358">
        <f>IF(OR($AL$1="",对接源_01水果!$Y358="",对接源_01水果!$Y358&lt;&gt;$AL$1,对接源_01水果!$B358="",N(对接源_01水果!$AJ358)&lt;=0),0,IF(OR(N(对接源_01水果!$B358)&lt;$AL$2,N(对接源_01水果!$B358)&gt;$AL$3),0,1))</f>
        <v>0</v>
      </c>
      <c r="AM358">
        <f>N(AM357)+$AL358</f>
        <v>0</v>
      </c>
      <c r="AN358">
        <f>IF(对接源_01水果!$AC358="","",对接源_01水果!$AC358)</f>
      </c>
      <c r="AO358">
        <f>IF(AN358="",0,IF(MATCH(AN358,$AN$4:$AN$1203,0)=ROW()-3,1,0))</f>
        <v>0</v>
      </c>
      <c r="AP358">
        <f>N(AP357)+$AO358</f>
        <v>0</v>
      </c>
      <c r="AR358">
        <f>IF(OR($AF358=1,$AH358=1),1,0)</f>
        <v>0</v>
      </c>
      <c r="AS358">
        <f>N(AS357)+$AR358</f>
        <v>0</v>
      </c>
    </row>
    <row r="359" ht="14.25" customHeight="1" s="127">
      <c r="A359" t="str">
        <f>IF(对接源_01水果!$C359="","",对接源_01水果!$C359)</f>
        <v>热合曼+艾则孜</v>
      </c>
      <c r="B359">
        <f>IF(A359="",0,IF(MATCH(A359,$A$4:$A$2403,0)=ROW()-3,1,0))</f>
        <v>0</v>
      </c>
      <c r="C359">
        <f>N(C358)+B359</f>
        <v>18</v>
      </c>
      <c r="K359">
        <f>IF(OR($K$1="",对接源_01水果!$C359="",对接源_01水果!$C359&lt;&gt;$K$1,对接源_01水果!$B359=""),0,IF(OR(N(对接源_01水果!$B359)&lt;$K$2,N(对接源_01水果!$B359)&gt;$K$3),0,1))</f>
        <v>0</v>
      </c>
      <c r="L359">
        <f>IF(OR($L$1="",对接源_01水果!$C359="",对接源_01水果!$C359&lt;&gt;$L$1,对接源_01水果!$B359=""),0,IF(OR(N(对接源_01水果!$B359)&lt;$L$2,N(对接源_01水果!$B359)&gt;$L$3),0,1))</f>
        <v>0</v>
      </c>
      <c r="M359">
        <f>IF(OR($M$1="",对接源_01水果!$C359="",对接源_01水果!$C359&lt;&gt;$M$1,对接源_01水果!$B359=""),0,IF(OR(N(对接源_01水果!$B359)&lt;$M$2,N(对接源_01水果!$B359)&gt;$M$3),0,1))</f>
        <v>0</v>
      </c>
      <c r="N359">
        <f>IF(OR($N$1="",对接源_01水果!$C359="",对接源_01水果!$C359&lt;&gt;$N$1,对接源_01水果!$B359=""),0,IF(OR(N(对接源_01水果!$B359)&lt;$N$2,N(对接源_01水果!$B359)&gt;$N$3),0,1))</f>
        <v>0</v>
      </c>
      <c r="P359">
        <f>IF(AND($K359=1,AND(对接源_01水果!$X359="公司筐",N(对接源_01水果!$T359)&lt;&gt;0)),1,0)</f>
        <v>0</v>
      </c>
      <c r="Q359">
        <f>N(Q358)+$P359</f>
        <v>0</v>
      </c>
      <c r="R359">
        <f>IF(AND($K359=1,AND(对接源_01水果!$X359="公司筐",N(对接源_01水果!$U359)&lt;&gt;0)),1,0)</f>
        <v>0</v>
      </c>
      <c r="S359">
        <f>N(S358)+$R359</f>
        <v>0</v>
      </c>
      <c r="T359">
        <f>IF(AND($K359=1,AND(对接源_01水果!$X359="公司筐",N(对接源_01水果!$V359)&lt;&gt;0)),1,0)</f>
        <v>0</v>
      </c>
      <c r="U359">
        <f>N(U358)+$T359</f>
        <v>24</v>
      </c>
      <c r="V359">
        <f>IF(AND($L359=1,AND(对接源_01水果!$X359="自备筐",N(对接源_01水果!$V359)&lt;&gt;0)),1,0)</f>
        <v>0</v>
      </c>
      <c r="W359">
        <f>N(W358)+$V359</f>
        <v>11</v>
      </c>
      <c r="X359">
        <f>IF(AND($L359=1,AND(对接源_01水果!$X359="自备筐",N(对接源_01水果!$T359)&lt;&gt;0)),1,0)</f>
        <v>0</v>
      </c>
      <c r="Y359">
        <f>N(Y358)+$X359</f>
        <v>0</v>
      </c>
      <c r="Z359">
        <f>IF(AND($M359=1,对接源_01水果!$D359="原料入库"),1,0)</f>
        <v>0</v>
      </c>
      <c r="AA359">
        <f>N(AA358)+$Z359</f>
        <v>24</v>
      </c>
      <c r="AB359">
        <f>IF(AND($M359=1,LEFT(对接源_01水果!$D359,4)="原料出库"),1,0)</f>
        <v>0</v>
      </c>
      <c r="AC359">
        <f>N(AC358)+$AB359</f>
        <v>0</v>
      </c>
      <c r="AD359">
        <f>IF(AND($M359=1,LEFT(对接源_01水果!$D359,4)="成品出库"),1,0)</f>
        <v>0</v>
      </c>
      <c r="AE359">
        <f>N(AE358)+$AD359</f>
        <v>0</v>
      </c>
      <c r="AF359">
        <f>IF(AND($N359=1,AND(LEFT(对接源_01水果!$D359,4)="包装物料",N(对接源_01水果!$K359)&lt;&gt;0)),1,0)</f>
        <v>0</v>
      </c>
      <c r="AG359">
        <f>N(AG358)+$AF359</f>
        <v>0</v>
      </c>
      <c r="AH359">
        <f>IF(AND($N359=1,AND(对接源_01水果!$D359="周转筐－销售出库",N(对接源_01水果!$K359)&lt;&gt;0)),1,0)</f>
        <v>0</v>
      </c>
      <c r="AI359">
        <f>N(AI358)+$AH359</f>
        <v>0</v>
      </c>
      <c r="AJ359" s="7" t="n"/>
      <c r="AL359">
        <f>IF(OR($AL$1="",对接源_01水果!$Y359="",对接源_01水果!$Y359&lt;&gt;$AL$1,对接源_01水果!$B359="",N(对接源_01水果!$AJ359)&lt;=0),0,IF(OR(N(对接源_01水果!$B359)&lt;$AL$2,N(对接源_01水果!$B359)&gt;$AL$3),0,1))</f>
        <v>0</v>
      </c>
      <c r="AM359">
        <f>N(AM358)+$AL359</f>
        <v>0</v>
      </c>
      <c r="AN359">
        <f>IF(对接源_01水果!$AC359="","",对接源_01水果!$AC359)</f>
      </c>
      <c r="AO359">
        <f>IF(AN359="",0,IF(MATCH(AN359,$AN$4:$AN$1203,0)=ROW()-3,1,0))</f>
        <v>0</v>
      </c>
      <c r="AP359">
        <f>N(AP358)+$AO359</f>
        <v>0</v>
      </c>
      <c r="AR359">
        <f>IF(OR($AF359=1,$AH359=1),1,0)</f>
        <v>0</v>
      </c>
      <c r="AS359">
        <f>N(AS358)+$AR359</f>
        <v>0</v>
      </c>
    </row>
    <row r="360" ht="14.25" customHeight="1" s="127">
      <c r="A360" t="str">
        <f>IF(对接源_01水果!$C360="","",对接源_01水果!$C360)</f>
        <v>热合曼+艾则孜</v>
      </c>
      <c r="B360">
        <f>IF(A360="",0,IF(MATCH(A360,$A$4:$A$2403,0)=ROW()-3,1,0))</f>
        <v>0</v>
      </c>
      <c r="C360">
        <f>N(C359)+B360</f>
        <v>18</v>
      </c>
      <c r="K360">
        <f>IF(OR($K$1="",对接源_01水果!$C360="",对接源_01水果!$C360&lt;&gt;$K$1,对接源_01水果!$B360=""),0,IF(OR(N(对接源_01水果!$B360)&lt;$K$2,N(对接源_01水果!$B360)&gt;$K$3),0,1))</f>
        <v>0</v>
      </c>
      <c r="L360">
        <f>IF(OR($L$1="",对接源_01水果!$C360="",对接源_01水果!$C360&lt;&gt;$L$1,对接源_01水果!$B360=""),0,IF(OR(N(对接源_01水果!$B360)&lt;$L$2,N(对接源_01水果!$B360)&gt;$L$3),0,1))</f>
        <v>0</v>
      </c>
      <c r="M360">
        <f>IF(OR($M$1="",对接源_01水果!$C360="",对接源_01水果!$C360&lt;&gt;$M$1,对接源_01水果!$B360=""),0,IF(OR(N(对接源_01水果!$B360)&lt;$M$2,N(对接源_01水果!$B360)&gt;$M$3),0,1))</f>
        <v>0</v>
      </c>
      <c r="N360">
        <f>IF(OR($N$1="",对接源_01水果!$C360="",对接源_01水果!$C360&lt;&gt;$N$1,对接源_01水果!$B360=""),0,IF(OR(N(对接源_01水果!$B360)&lt;$N$2,N(对接源_01水果!$B360)&gt;$N$3),0,1))</f>
        <v>0</v>
      </c>
      <c r="P360">
        <f>IF(AND($K360=1,AND(对接源_01水果!$X360="公司筐",N(对接源_01水果!$T360)&lt;&gt;0)),1,0)</f>
        <v>0</v>
      </c>
      <c r="Q360">
        <f>N(Q359)+$P360</f>
        <v>0</v>
      </c>
      <c r="R360">
        <f>IF(AND($K360=1,AND(对接源_01水果!$X360="公司筐",N(对接源_01水果!$U360)&lt;&gt;0)),1,0)</f>
        <v>0</v>
      </c>
      <c r="S360">
        <f>N(S359)+$R360</f>
        <v>0</v>
      </c>
      <c r="T360">
        <f>IF(AND($K360=1,AND(对接源_01水果!$X360="公司筐",N(对接源_01水果!$V360)&lt;&gt;0)),1,0)</f>
        <v>0</v>
      </c>
      <c r="U360">
        <f>N(U359)+$T360</f>
        <v>24</v>
      </c>
      <c r="V360">
        <f>IF(AND($L360=1,AND(对接源_01水果!$X360="自备筐",N(对接源_01水果!$V360)&lt;&gt;0)),1,0)</f>
        <v>0</v>
      </c>
      <c r="W360">
        <f>N(W359)+$V360</f>
        <v>11</v>
      </c>
      <c r="X360">
        <f>IF(AND($L360=1,AND(对接源_01水果!$X360="自备筐",N(对接源_01水果!$T360)&lt;&gt;0)),1,0)</f>
        <v>0</v>
      </c>
      <c r="Y360">
        <f>N(Y359)+$X360</f>
        <v>0</v>
      </c>
      <c r="Z360">
        <f>IF(AND($M360=1,对接源_01水果!$D360="原料入库"),1,0)</f>
        <v>0</v>
      </c>
      <c r="AA360">
        <f>N(AA359)+$Z360</f>
        <v>24</v>
      </c>
      <c r="AB360">
        <f>IF(AND($M360=1,LEFT(对接源_01水果!$D360,4)="原料出库"),1,0)</f>
        <v>0</v>
      </c>
      <c r="AC360">
        <f>N(AC359)+$AB360</f>
        <v>0</v>
      </c>
      <c r="AD360">
        <f>IF(AND($M360=1,LEFT(对接源_01水果!$D360,4)="成品出库"),1,0)</f>
        <v>0</v>
      </c>
      <c r="AE360">
        <f>N(AE359)+$AD360</f>
        <v>0</v>
      </c>
      <c r="AF360">
        <f>IF(AND($N360=1,AND(LEFT(对接源_01水果!$D360,4)="包装物料",N(对接源_01水果!$K360)&lt;&gt;0)),1,0)</f>
        <v>0</v>
      </c>
      <c r="AG360">
        <f>N(AG359)+$AF360</f>
        <v>0</v>
      </c>
      <c r="AH360">
        <f>IF(AND($N360=1,AND(对接源_01水果!$D360="周转筐－销售出库",N(对接源_01水果!$K360)&lt;&gt;0)),1,0)</f>
        <v>0</v>
      </c>
      <c r="AI360">
        <f>N(AI359)+$AH360</f>
        <v>0</v>
      </c>
      <c r="AJ360" s="7" t="n"/>
      <c r="AL360">
        <f>IF(OR($AL$1="",对接源_01水果!$Y360="",对接源_01水果!$Y360&lt;&gt;$AL$1,对接源_01水果!$B360="",N(对接源_01水果!$AJ360)&lt;=0),0,IF(OR(N(对接源_01水果!$B360)&lt;$AL$2,N(对接源_01水果!$B360)&gt;$AL$3),0,1))</f>
        <v>0</v>
      </c>
      <c r="AM360">
        <f>N(AM359)+$AL360</f>
        <v>0</v>
      </c>
      <c r="AN360">
        <f>IF(对接源_01水果!$AC360="","",对接源_01水果!$AC360)</f>
      </c>
      <c r="AO360">
        <f>IF(AN360="",0,IF(MATCH(AN360,$AN$4:$AN$1203,0)=ROW()-3,1,0))</f>
        <v>0</v>
      </c>
      <c r="AP360">
        <f>N(AP359)+$AO360</f>
        <v>0</v>
      </c>
      <c r="AR360">
        <f>IF(OR($AF360=1,$AH360=1),1,0)</f>
        <v>0</v>
      </c>
      <c r="AS360">
        <f>N(AS359)+$AR360</f>
        <v>0</v>
      </c>
    </row>
    <row r="361" ht="14.25" customHeight="1" s="127">
      <c r="A361" t="str">
        <f>IF(对接源_01水果!$C361="","",对接源_01水果!$C361)</f>
        <v>荆建君</v>
      </c>
      <c r="B361">
        <f>IF(A361="",0,IF(MATCH(A361,$A$4:$A$2403,0)=ROW()-3,1,0))</f>
        <v>0</v>
      </c>
      <c r="C361">
        <f>N(C360)+B361</f>
        <v>18</v>
      </c>
      <c r="K361">
        <f>IF(OR($K$1="",对接源_01水果!$C361="",对接源_01水果!$C361&lt;&gt;$K$1,对接源_01水果!$B361=""),0,IF(OR(N(对接源_01水果!$B361)&lt;$K$2,N(对接源_01水果!$B361)&gt;$K$3),0,1))</f>
        <v>0</v>
      </c>
      <c r="L361">
        <f>IF(OR($L$1="",对接源_01水果!$C361="",对接源_01水果!$C361&lt;&gt;$L$1,对接源_01水果!$B361=""),0,IF(OR(N(对接源_01水果!$B361)&lt;$L$2,N(对接源_01水果!$B361)&gt;$L$3),0,1))</f>
        <v>0</v>
      </c>
      <c r="M361">
        <f>IF(OR($M$1="",对接源_01水果!$C361="",对接源_01水果!$C361&lt;&gt;$M$1,对接源_01水果!$B361=""),0,IF(OR(N(对接源_01水果!$B361)&lt;$M$2,N(对接源_01水果!$B361)&gt;$M$3),0,1))</f>
        <v>0</v>
      </c>
      <c r="N361">
        <f>IF(OR($N$1="",对接源_01水果!$C361="",对接源_01水果!$C361&lt;&gt;$N$1,对接源_01水果!$B361=""),0,IF(OR(N(对接源_01水果!$B361)&lt;$N$2,N(对接源_01水果!$B361)&gt;$N$3),0,1))</f>
        <v>0</v>
      </c>
      <c r="P361">
        <f>IF(AND($K361=1,AND(对接源_01水果!$X361="公司筐",N(对接源_01水果!$T361)&lt;&gt;0)),1,0)</f>
        <v>0</v>
      </c>
      <c r="Q361">
        <f>N(Q360)+$P361</f>
        <v>0</v>
      </c>
      <c r="R361">
        <f>IF(AND($K361=1,AND(对接源_01水果!$X361="公司筐",N(对接源_01水果!$U361)&lt;&gt;0)),1,0)</f>
        <v>0</v>
      </c>
      <c r="S361">
        <f>N(S360)+$R361</f>
        <v>0</v>
      </c>
      <c r="T361">
        <f>IF(AND($K361=1,AND(对接源_01水果!$X361="公司筐",N(对接源_01水果!$V361)&lt;&gt;0)),1,0)</f>
        <v>0</v>
      </c>
      <c r="U361">
        <f>N(U360)+$T361</f>
        <v>24</v>
      </c>
      <c r="V361">
        <f>IF(AND($L361=1,AND(对接源_01水果!$X361="自备筐",N(对接源_01水果!$V361)&lt;&gt;0)),1,0)</f>
        <v>0</v>
      </c>
      <c r="W361">
        <f>N(W360)+$V361</f>
        <v>11</v>
      </c>
      <c r="X361">
        <f>IF(AND($L361=1,AND(对接源_01水果!$X361="自备筐",N(对接源_01水果!$T361)&lt;&gt;0)),1,0)</f>
        <v>0</v>
      </c>
      <c r="Y361">
        <f>N(Y360)+$X361</f>
        <v>0</v>
      </c>
      <c r="Z361">
        <f>IF(AND($M361=1,对接源_01水果!$D361="原料入库"),1,0)</f>
        <v>0</v>
      </c>
      <c r="AA361">
        <f>N(AA360)+$Z361</f>
        <v>24</v>
      </c>
      <c r="AB361">
        <f>IF(AND($M361=1,LEFT(对接源_01水果!$D361,4)="原料出库"),1,0)</f>
        <v>0</v>
      </c>
      <c r="AC361">
        <f>N(AC360)+$AB361</f>
        <v>0</v>
      </c>
      <c r="AD361">
        <f>IF(AND($M361=1,LEFT(对接源_01水果!$D361,4)="成品出库"),1,0)</f>
        <v>0</v>
      </c>
      <c r="AE361">
        <f>N(AE360)+$AD361</f>
        <v>0</v>
      </c>
      <c r="AF361">
        <f>IF(AND($N361=1,AND(LEFT(对接源_01水果!$D361,4)="包装物料",N(对接源_01水果!$K361)&lt;&gt;0)),1,0)</f>
        <v>0</v>
      </c>
      <c r="AG361">
        <f>N(AG360)+$AF361</f>
        <v>0</v>
      </c>
      <c r="AH361">
        <f>IF(AND($N361=1,AND(对接源_01水果!$D361="周转筐－销售出库",N(对接源_01水果!$K361)&lt;&gt;0)),1,0)</f>
        <v>0</v>
      </c>
      <c r="AI361">
        <f>N(AI360)+$AH361</f>
        <v>0</v>
      </c>
      <c r="AJ361" s="7" t="n"/>
      <c r="AL361">
        <f>IF(OR($AL$1="",对接源_01水果!$Y361="",对接源_01水果!$Y361&lt;&gt;$AL$1,对接源_01水果!$B361="",N(对接源_01水果!$AJ361)&lt;=0),0,IF(OR(N(对接源_01水果!$B361)&lt;$AL$2,N(对接源_01水果!$B361)&gt;$AL$3),0,1))</f>
        <v>0</v>
      </c>
      <c r="AM361">
        <f>N(AM360)+$AL361</f>
        <v>0</v>
      </c>
      <c r="AN361">
        <f>IF(对接源_01水果!$AC361="","",对接源_01水果!$AC361)</f>
      </c>
      <c r="AO361">
        <f>IF(AN361="",0,IF(MATCH(AN361,$AN$4:$AN$1203,0)=ROW()-3,1,0))</f>
        <v>0</v>
      </c>
      <c r="AP361">
        <f>N(AP360)+$AO361</f>
        <v>0</v>
      </c>
      <c r="AR361">
        <f>IF(OR($AF361=1,$AH361=1),1,0)</f>
        <v>0</v>
      </c>
      <c r="AS361">
        <f>N(AS360)+$AR361</f>
        <v>0</v>
      </c>
    </row>
    <row r="362" ht="14.25" customHeight="1" s="127">
      <c r="A362" t="str">
        <f>IF(对接源_01水果!$C362="","",对接源_01水果!$C362)</f>
        <v>荆建君</v>
      </c>
      <c r="B362">
        <f>IF(A362="",0,IF(MATCH(A362,$A$4:$A$2403,0)=ROW()-3,1,0))</f>
        <v>0</v>
      </c>
      <c r="C362">
        <f>N(C361)+B362</f>
        <v>18</v>
      </c>
      <c r="K362">
        <f>IF(OR($K$1="",对接源_01水果!$C362="",对接源_01水果!$C362&lt;&gt;$K$1,对接源_01水果!$B362=""),0,IF(OR(N(对接源_01水果!$B362)&lt;$K$2,N(对接源_01水果!$B362)&gt;$K$3),0,1))</f>
        <v>0</v>
      </c>
      <c r="L362">
        <f>IF(OR($L$1="",对接源_01水果!$C362="",对接源_01水果!$C362&lt;&gt;$L$1,对接源_01水果!$B362=""),0,IF(OR(N(对接源_01水果!$B362)&lt;$L$2,N(对接源_01水果!$B362)&gt;$L$3),0,1))</f>
        <v>0</v>
      </c>
      <c r="M362">
        <f>IF(OR($M$1="",对接源_01水果!$C362="",对接源_01水果!$C362&lt;&gt;$M$1,对接源_01水果!$B362=""),0,IF(OR(N(对接源_01水果!$B362)&lt;$M$2,N(对接源_01水果!$B362)&gt;$M$3),0,1))</f>
        <v>0</v>
      </c>
      <c r="N362">
        <f>IF(OR($N$1="",对接源_01水果!$C362="",对接源_01水果!$C362&lt;&gt;$N$1,对接源_01水果!$B362=""),0,IF(OR(N(对接源_01水果!$B362)&lt;$N$2,N(对接源_01水果!$B362)&gt;$N$3),0,1))</f>
        <v>0</v>
      </c>
      <c r="P362">
        <f>IF(AND($K362=1,AND(对接源_01水果!$X362="公司筐",N(对接源_01水果!$T362)&lt;&gt;0)),1,0)</f>
        <v>0</v>
      </c>
      <c r="Q362">
        <f>N(Q361)+$P362</f>
        <v>0</v>
      </c>
      <c r="R362">
        <f>IF(AND($K362=1,AND(对接源_01水果!$X362="公司筐",N(对接源_01水果!$U362)&lt;&gt;0)),1,0)</f>
        <v>0</v>
      </c>
      <c r="S362">
        <f>N(S361)+$R362</f>
        <v>0</v>
      </c>
      <c r="T362">
        <f>IF(AND($K362=1,AND(对接源_01水果!$X362="公司筐",N(对接源_01水果!$V362)&lt;&gt;0)),1,0)</f>
        <v>0</v>
      </c>
      <c r="U362">
        <f>N(U361)+$T362</f>
        <v>24</v>
      </c>
      <c r="V362">
        <f>IF(AND($L362=1,AND(对接源_01水果!$X362="自备筐",N(对接源_01水果!$V362)&lt;&gt;0)),1,0)</f>
        <v>0</v>
      </c>
      <c r="W362">
        <f>N(W361)+$V362</f>
        <v>11</v>
      </c>
      <c r="X362">
        <f>IF(AND($L362=1,AND(对接源_01水果!$X362="自备筐",N(对接源_01水果!$T362)&lt;&gt;0)),1,0)</f>
        <v>0</v>
      </c>
      <c r="Y362">
        <f>N(Y361)+$X362</f>
        <v>0</v>
      </c>
      <c r="Z362">
        <f>IF(AND($M362=1,对接源_01水果!$D362="原料入库"),1,0)</f>
        <v>0</v>
      </c>
      <c r="AA362">
        <f>N(AA361)+$Z362</f>
        <v>24</v>
      </c>
      <c r="AB362">
        <f>IF(AND($M362=1,LEFT(对接源_01水果!$D362,4)="原料出库"),1,0)</f>
        <v>0</v>
      </c>
      <c r="AC362">
        <f>N(AC361)+$AB362</f>
        <v>0</v>
      </c>
      <c r="AD362">
        <f>IF(AND($M362=1,LEFT(对接源_01水果!$D362,4)="成品出库"),1,0)</f>
        <v>0</v>
      </c>
      <c r="AE362">
        <f>N(AE361)+$AD362</f>
        <v>0</v>
      </c>
      <c r="AF362">
        <f>IF(AND($N362=1,AND(LEFT(对接源_01水果!$D362,4)="包装物料",N(对接源_01水果!$K362)&lt;&gt;0)),1,0)</f>
        <v>0</v>
      </c>
      <c r="AG362">
        <f>N(AG361)+$AF362</f>
        <v>0</v>
      </c>
      <c r="AH362">
        <f>IF(AND($N362=1,AND(对接源_01水果!$D362="周转筐－销售出库",N(对接源_01水果!$K362)&lt;&gt;0)),1,0)</f>
        <v>0</v>
      </c>
      <c r="AI362">
        <f>N(AI361)+$AH362</f>
        <v>0</v>
      </c>
      <c r="AJ362" s="7" t="n"/>
      <c r="AL362">
        <f>IF(OR($AL$1="",对接源_01水果!$Y362="",对接源_01水果!$Y362&lt;&gt;$AL$1,对接源_01水果!$B362="",N(对接源_01水果!$AJ362)&lt;=0),0,IF(OR(N(对接源_01水果!$B362)&lt;$AL$2,N(对接源_01水果!$B362)&gt;$AL$3),0,1))</f>
        <v>0</v>
      </c>
      <c r="AM362">
        <f>N(AM361)+$AL362</f>
        <v>0</v>
      </c>
      <c r="AN362">
        <f>IF(对接源_01水果!$AC362="","",对接源_01水果!$AC362)</f>
      </c>
      <c r="AO362">
        <f>IF(AN362="",0,IF(MATCH(AN362,$AN$4:$AN$1203,0)=ROW()-3,1,0))</f>
        <v>0</v>
      </c>
      <c r="AP362">
        <f>N(AP361)+$AO362</f>
        <v>0</v>
      </c>
      <c r="AR362">
        <f>IF(OR($AF362=1,$AH362=1),1,0)</f>
        <v>0</v>
      </c>
      <c r="AS362">
        <f>N(AS361)+$AR362</f>
        <v>0</v>
      </c>
    </row>
    <row r="363" ht="14.25" customHeight="1" s="127">
      <c r="A363" t="str">
        <f>IF(对接源_01水果!$C363="","",对接源_01水果!$C363)</f>
        <v>王灵云</v>
      </c>
      <c r="B363">
        <f>IF(A363="",0,IF(MATCH(A363,$A$4:$A$2403,0)=ROW()-3,1,0))</f>
        <v>0</v>
      </c>
      <c r="C363">
        <f>N(C362)+B363</f>
        <v>18</v>
      </c>
      <c r="K363">
        <f>IF(OR($K$1="",对接源_01水果!$C363="",对接源_01水果!$C363&lt;&gt;$K$1,对接源_01水果!$B363=""),0,IF(OR(N(对接源_01水果!$B363)&lt;$K$2,N(对接源_01水果!$B363)&gt;$K$3),0,1))</f>
        <v>1</v>
      </c>
      <c r="L363">
        <f>IF(OR($L$1="",对接源_01水果!$C363="",对接源_01水果!$C363&lt;&gt;$L$1,对接源_01水果!$B363=""),0,IF(OR(N(对接源_01水果!$B363)&lt;$L$2,N(对接源_01水果!$B363)&gt;$L$3),0,1))</f>
        <v>0</v>
      </c>
      <c r="M363">
        <f>IF(OR($M$1="",对接源_01水果!$C363="",对接源_01水果!$C363&lt;&gt;$M$1,对接源_01水果!$B363=""),0,IF(OR(N(对接源_01水果!$B363)&lt;$M$2,N(对接源_01水果!$B363)&gt;$M$3),0,1))</f>
        <v>0</v>
      </c>
      <c r="N363">
        <f>IF(OR($N$1="",对接源_01水果!$C363="",对接源_01水果!$C363&lt;&gt;$N$1,对接源_01水果!$B363=""),0,IF(OR(N(对接源_01水果!$B363)&lt;$N$2,N(对接源_01水果!$B363)&gt;$N$3),0,1))</f>
        <v>0</v>
      </c>
      <c r="P363">
        <f>IF(AND($K363=1,AND(对接源_01水果!$X363="公司筐",N(对接源_01水果!$T363)&lt;&gt;0)),1,0)</f>
        <v>0</v>
      </c>
      <c r="Q363">
        <f>N(Q362)+$P363</f>
        <v>0</v>
      </c>
      <c r="R363">
        <f>IF(AND($K363=1,AND(对接源_01水果!$X363="公司筐",N(对接源_01水果!$U363)&lt;&gt;0)),1,0)</f>
        <v>0</v>
      </c>
      <c r="S363">
        <f>N(S362)+$R363</f>
        <v>0</v>
      </c>
      <c r="T363">
        <f>IF(AND($K363=1,AND(对接源_01水果!$X363="公司筐",N(对接源_01水果!$V363)&lt;&gt;0)),1,0)</f>
        <v>1</v>
      </c>
      <c r="U363">
        <f>N(U362)+$T363</f>
        <v>25</v>
      </c>
      <c r="V363">
        <f>IF(AND($L363=1,AND(对接源_01水果!$X363="自备筐",N(对接源_01水果!$V363)&lt;&gt;0)),1,0)</f>
        <v>0</v>
      </c>
      <c r="W363">
        <f>N(W362)+$V363</f>
        <v>11</v>
      </c>
      <c r="X363">
        <f>IF(AND($L363=1,AND(对接源_01水果!$X363="自备筐",N(对接源_01水果!$T363)&lt;&gt;0)),1,0)</f>
        <v>0</v>
      </c>
      <c r="Y363">
        <f>N(Y362)+$X363</f>
        <v>0</v>
      </c>
      <c r="Z363">
        <f>IF(AND($M363=1,对接源_01水果!$D363="原料入库"),1,0)</f>
        <v>0</v>
      </c>
      <c r="AA363">
        <f>N(AA362)+$Z363</f>
        <v>24</v>
      </c>
      <c r="AB363">
        <f>IF(AND($M363=1,LEFT(对接源_01水果!$D363,4)="原料出库"),1,0)</f>
        <v>0</v>
      </c>
      <c r="AC363">
        <f>N(AC362)+$AB363</f>
        <v>0</v>
      </c>
      <c r="AD363">
        <f>IF(AND($M363=1,LEFT(对接源_01水果!$D363,4)="成品出库"),1,0)</f>
        <v>0</v>
      </c>
      <c r="AE363">
        <f>N(AE362)+$AD363</f>
        <v>0</v>
      </c>
      <c r="AF363">
        <f>IF(AND($N363=1,AND(LEFT(对接源_01水果!$D363,4)="包装物料",N(对接源_01水果!$K363)&lt;&gt;0)),1,0)</f>
        <v>0</v>
      </c>
      <c r="AG363">
        <f>N(AG362)+$AF363</f>
        <v>0</v>
      </c>
      <c r="AH363">
        <f>IF(AND($N363=1,AND(对接源_01水果!$D363="周转筐－销售出库",N(对接源_01水果!$K363)&lt;&gt;0)),1,0)</f>
        <v>0</v>
      </c>
      <c r="AI363">
        <f>N(AI362)+$AH363</f>
        <v>0</v>
      </c>
      <c r="AJ363" s="7" t="n"/>
      <c r="AL363">
        <f>IF(OR($AL$1="",对接源_01水果!$Y363="",对接源_01水果!$Y363&lt;&gt;$AL$1,对接源_01水果!$B363="",N(对接源_01水果!$AJ363)&lt;=0),0,IF(OR(N(对接源_01水果!$B363)&lt;$AL$2,N(对接源_01水果!$B363)&gt;$AL$3),0,1))</f>
        <v>0</v>
      </c>
      <c r="AM363">
        <f>N(AM362)+$AL363</f>
        <v>0</v>
      </c>
      <c r="AN363">
        <f>IF(对接源_01水果!$AC363="","",对接源_01水果!$AC363)</f>
      </c>
      <c r="AO363">
        <f>IF(AN363="",0,IF(MATCH(AN363,$AN$4:$AN$1203,0)=ROW()-3,1,0))</f>
        <v>0</v>
      </c>
      <c r="AP363">
        <f>N(AP362)+$AO363</f>
        <v>0</v>
      </c>
      <c r="AR363">
        <f>IF(OR($AF363=1,$AH363=1),1,0)</f>
        <v>0</v>
      </c>
      <c r="AS363">
        <f>N(AS362)+$AR363</f>
        <v>0</v>
      </c>
    </row>
    <row r="364" ht="14.25" customHeight="1" s="127">
      <c r="A364" t="str">
        <f>IF(对接源_01水果!$C364="","",对接源_01水果!$C364)</f>
        <v>王灵云</v>
      </c>
      <c r="B364">
        <f>IF(A364="",0,IF(MATCH(A364,$A$4:$A$2403,0)=ROW()-3,1,0))</f>
        <v>0</v>
      </c>
      <c r="C364">
        <f>N(C363)+B364</f>
        <v>18</v>
      </c>
      <c r="K364">
        <f>IF(OR($K$1="",对接源_01水果!$C364="",对接源_01水果!$C364&lt;&gt;$K$1,对接源_01水果!$B364=""),0,IF(OR(N(对接源_01水果!$B364)&lt;$K$2,N(对接源_01水果!$B364)&gt;$K$3),0,1))</f>
        <v>1</v>
      </c>
      <c r="L364">
        <f>IF(OR($L$1="",对接源_01水果!$C364="",对接源_01水果!$C364&lt;&gt;$L$1,对接源_01水果!$B364=""),0,IF(OR(N(对接源_01水果!$B364)&lt;$L$2,N(对接源_01水果!$B364)&gt;$L$3),0,1))</f>
        <v>0</v>
      </c>
      <c r="M364">
        <f>IF(OR($M$1="",对接源_01水果!$C364="",对接源_01水果!$C364&lt;&gt;$M$1,对接源_01水果!$B364=""),0,IF(OR(N(对接源_01水果!$B364)&lt;$M$2,N(对接源_01水果!$B364)&gt;$M$3),0,1))</f>
        <v>0</v>
      </c>
      <c r="N364">
        <f>IF(OR($N$1="",对接源_01水果!$C364="",对接源_01水果!$C364&lt;&gt;$N$1,对接源_01水果!$B364=""),0,IF(OR(N(对接源_01水果!$B364)&lt;$N$2,N(对接源_01水果!$B364)&gt;$N$3),0,1))</f>
        <v>0</v>
      </c>
      <c r="P364">
        <f>IF(AND($K364=1,AND(对接源_01水果!$X364="公司筐",N(对接源_01水果!$T364)&lt;&gt;0)),1,0)</f>
        <v>0</v>
      </c>
      <c r="Q364">
        <f>N(Q363)+$P364</f>
        <v>0</v>
      </c>
      <c r="R364">
        <f>IF(AND($K364=1,AND(对接源_01水果!$X364="公司筐",N(对接源_01水果!$U364)&lt;&gt;0)),1,0)</f>
        <v>0</v>
      </c>
      <c r="S364">
        <f>N(S363)+$R364</f>
        <v>0</v>
      </c>
      <c r="T364">
        <f>IF(AND($K364=1,AND(对接源_01水果!$X364="公司筐",N(对接源_01水果!$V364)&lt;&gt;0)),1,0)</f>
        <v>1</v>
      </c>
      <c r="U364">
        <f>N(U363)+$T364</f>
        <v>26</v>
      </c>
      <c r="V364">
        <f>IF(AND($L364=1,AND(对接源_01水果!$X364="自备筐",N(对接源_01水果!$V364)&lt;&gt;0)),1,0)</f>
        <v>0</v>
      </c>
      <c r="W364">
        <f>N(W363)+$V364</f>
        <v>11</v>
      </c>
      <c r="X364">
        <f>IF(AND($L364=1,AND(对接源_01水果!$X364="自备筐",N(对接源_01水果!$T364)&lt;&gt;0)),1,0)</f>
        <v>0</v>
      </c>
      <c r="Y364">
        <f>N(Y363)+$X364</f>
        <v>0</v>
      </c>
      <c r="Z364">
        <f>IF(AND($M364=1,对接源_01水果!$D364="原料入库"),1,0)</f>
        <v>0</v>
      </c>
      <c r="AA364">
        <f>N(AA363)+$Z364</f>
        <v>24</v>
      </c>
      <c r="AB364">
        <f>IF(AND($M364=1,LEFT(对接源_01水果!$D364,4)="原料出库"),1,0)</f>
        <v>0</v>
      </c>
      <c r="AC364">
        <f>N(AC363)+$AB364</f>
        <v>0</v>
      </c>
      <c r="AD364">
        <f>IF(AND($M364=1,LEFT(对接源_01水果!$D364,4)="成品出库"),1,0)</f>
        <v>0</v>
      </c>
      <c r="AE364">
        <f>N(AE363)+$AD364</f>
        <v>0</v>
      </c>
      <c r="AF364">
        <f>IF(AND($N364=1,AND(LEFT(对接源_01水果!$D364,4)="包装物料",N(对接源_01水果!$K364)&lt;&gt;0)),1,0)</f>
        <v>0</v>
      </c>
      <c r="AG364">
        <f>N(AG363)+$AF364</f>
        <v>0</v>
      </c>
      <c r="AH364">
        <f>IF(AND($N364=1,AND(对接源_01水果!$D364="周转筐－销售出库",N(对接源_01水果!$K364)&lt;&gt;0)),1,0)</f>
        <v>0</v>
      </c>
      <c r="AI364">
        <f>N(AI363)+$AH364</f>
        <v>0</v>
      </c>
      <c r="AJ364" s="7" t="n"/>
      <c r="AL364">
        <f>IF(OR($AL$1="",对接源_01水果!$Y364="",对接源_01水果!$Y364&lt;&gt;$AL$1,对接源_01水果!$B364="",N(对接源_01水果!$AJ364)&lt;=0),0,IF(OR(N(对接源_01水果!$B364)&lt;$AL$2,N(对接源_01水果!$B364)&gt;$AL$3),0,1))</f>
        <v>0</v>
      </c>
      <c r="AM364">
        <f>N(AM363)+$AL364</f>
        <v>0</v>
      </c>
      <c r="AN364">
        <f>IF(对接源_01水果!$AC364="","",对接源_01水果!$AC364)</f>
      </c>
      <c r="AO364">
        <f>IF(AN364="",0,IF(MATCH(AN364,$AN$4:$AN$1203,0)=ROW()-3,1,0))</f>
        <v>0</v>
      </c>
      <c r="AP364">
        <f>N(AP363)+$AO364</f>
        <v>0</v>
      </c>
      <c r="AR364">
        <f>IF(OR($AF364=1,$AH364=1),1,0)</f>
        <v>0</v>
      </c>
      <c r="AS364">
        <f>N(AS363)+$AR364</f>
        <v>0</v>
      </c>
    </row>
    <row r="365" ht="14.25" customHeight="1" s="127">
      <c r="A365" t="str">
        <f>IF(对接源_01水果!$C365="","",对接源_01水果!$C365)</f>
        <v>阿布都</v>
      </c>
      <c r="B365">
        <f>IF(A365="",0,IF(MATCH(A365,$A$4:$A$2403,0)=ROW()-3,1,0))</f>
        <v>0</v>
      </c>
      <c r="C365">
        <f>N(C364)+B365</f>
        <v>18</v>
      </c>
      <c r="K365">
        <f>IF(OR($K$1="",对接源_01水果!$C365="",对接源_01水果!$C365&lt;&gt;$K$1,对接源_01水果!$B365=""),0,IF(OR(N(对接源_01水果!$B365)&lt;$K$2,N(对接源_01水果!$B365)&gt;$K$3),0,1))</f>
        <v>0</v>
      </c>
      <c r="L365">
        <f>IF(OR($L$1="",对接源_01水果!$C365="",对接源_01水果!$C365&lt;&gt;$L$1,对接源_01水果!$B365=""),0,IF(OR(N(对接源_01水果!$B365)&lt;$L$2,N(对接源_01水果!$B365)&gt;$L$3),0,1))</f>
        <v>0</v>
      </c>
      <c r="M365">
        <f>IF(OR($M$1="",对接源_01水果!$C365="",对接源_01水果!$C365&lt;&gt;$M$1,对接源_01水果!$B365=""),0,IF(OR(N(对接源_01水果!$B365)&lt;$M$2,N(对接源_01水果!$B365)&gt;$M$3),0,1))</f>
        <v>0</v>
      </c>
      <c r="N365">
        <f>IF(OR($N$1="",对接源_01水果!$C365="",对接源_01水果!$C365&lt;&gt;$N$1,对接源_01水果!$B365=""),0,IF(OR(N(对接源_01水果!$B365)&lt;$N$2,N(对接源_01水果!$B365)&gt;$N$3),0,1))</f>
        <v>0</v>
      </c>
      <c r="P365">
        <f>IF(AND($K365=1,AND(对接源_01水果!$X365="公司筐",N(对接源_01水果!$T365)&lt;&gt;0)),1,0)</f>
        <v>0</v>
      </c>
      <c r="Q365">
        <f>N(Q364)+$P365</f>
        <v>0</v>
      </c>
      <c r="R365">
        <f>IF(AND($K365=1,AND(对接源_01水果!$X365="公司筐",N(对接源_01水果!$U365)&lt;&gt;0)),1,0)</f>
        <v>0</v>
      </c>
      <c r="S365">
        <f>N(S364)+$R365</f>
        <v>0</v>
      </c>
      <c r="T365">
        <f>IF(AND($K365=1,AND(对接源_01水果!$X365="公司筐",N(对接源_01水果!$V365)&lt;&gt;0)),1,0)</f>
        <v>0</v>
      </c>
      <c r="U365">
        <f>N(U364)+$T365</f>
        <v>26</v>
      </c>
      <c r="V365">
        <f>IF(AND($L365=1,AND(对接源_01水果!$X365="自备筐",N(对接源_01水果!$V365)&lt;&gt;0)),1,0)</f>
        <v>0</v>
      </c>
      <c r="W365">
        <f>N(W364)+$V365</f>
        <v>11</v>
      </c>
      <c r="X365">
        <f>IF(AND($L365=1,AND(对接源_01水果!$X365="自备筐",N(对接源_01水果!$T365)&lt;&gt;0)),1,0)</f>
        <v>0</v>
      </c>
      <c r="Y365">
        <f>N(Y364)+$X365</f>
        <v>0</v>
      </c>
      <c r="Z365">
        <f>IF(AND($M365=1,对接源_01水果!$D365="原料入库"),1,0)</f>
        <v>0</v>
      </c>
      <c r="AA365">
        <f>N(AA364)+$Z365</f>
        <v>24</v>
      </c>
      <c r="AB365">
        <f>IF(AND($M365=1,LEFT(对接源_01水果!$D365,4)="原料出库"),1,0)</f>
        <v>0</v>
      </c>
      <c r="AC365">
        <f>N(AC364)+$AB365</f>
        <v>0</v>
      </c>
      <c r="AD365">
        <f>IF(AND($M365=1,LEFT(对接源_01水果!$D365,4)="成品出库"),1,0)</f>
        <v>0</v>
      </c>
      <c r="AE365">
        <f>N(AE364)+$AD365</f>
        <v>0</v>
      </c>
      <c r="AF365">
        <f>IF(AND($N365=1,AND(LEFT(对接源_01水果!$D365,4)="包装物料",N(对接源_01水果!$K365)&lt;&gt;0)),1,0)</f>
        <v>0</v>
      </c>
      <c r="AG365">
        <f>N(AG364)+$AF365</f>
        <v>0</v>
      </c>
      <c r="AH365">
        <f>IF(AND($N365=1,AND(对接源_01水果!$D365="周转筐－销售出库",N(对接源_01水果!$K365)&lt;&gt;0)),1,0)</f>
        <v>0</v>
      </c>
      <c r="AI365">
        <f>N(AI364)+$AH365</f>
        <v>0</v>
      </c>
      <c r="AJ365" s="7" t="n"/>
      <c r="AL365">
        <f>IF(OR($AL$1="",对接源_01水果!$Y365="",对接源_01水果!$Y365&lt;&gt;$AL$1,对接源_01水果!$B365="",N(对接源_01水果!$AJ365)&lt;=0),0,IF(OR(N(对接源_01水果!$B365)&lt;$AL$2,N(对接源_01水果!$B365)&gt;$AL$3),0,1))</f>
        <v>0</v>
      </c>
      <c r="AM365">
        <f>N(AM364)+$AL365</f>
        <v>0</v>
      </c>
      <c r="AN365">
        <f>IF(对接源_01水果!$AC365="","",对接源_01水果!$AC365)</f>
      </c>
      <c r="AO365">
        <f>IF(AN365="",0,IF(MATCH(AN365,$AN$4:$AN$1203,0)=ROW()-3,1,0))</f>
        <v>0</v>
      </c>
      <c r="AP365">
        <f>N(AP364)+$AO365</f>
        <v>0</v>
      </c>
      <c r="AR365">
        <f>IF(OR($AF365=1,$AH365=1),1,0)</f>
        <v>0</v>
      </c>
      <c r="AS365">
        <f>N(AS364)+$AR365</f>
        <v>0</v>
      </c>
    </row>
    <row r="366" ht="14.25" customHeight="1" s="127">
      <c r="A366" t="str">
        <f>IF(对接源_01水果!$C366="","",对接源_01水果!$C366)</f>
        <v>阿布都</v>
      </c>
      <c r="B366">
        <f>IF(A366="",0,IF(MATCH(A366,$A$4:$A$2403,0)=ROW()-3,1,0))</f>
        <v>0</v>
      </c>
      <c r="C366">
        <f>N(C365)+B366</f>
        <v>18</v>
      </c>
      <c r="K366">
        <f>IF(OR($K$1="",对接源_01水果!$C366="",对接源_01水果!$C366&lt;&gt;$K$1,对接源_01水果!$B366=""),0,IF(OR(N(对接源_01水果!$B366)&lt;$K$2,N(对接源_01水果!$B366)&gt;$K$3),0,1))</f>
        <v>0</v>
      </c>
      <c r="L366">
        <f>IF(OR($L$1="",对接源_01水果!$C366="",对接源_01水果!$C366&lt;&gt;$L$1,对接源_01水果!$B366=""),0,IF(OR(N(对接源_01水果!$B366)&lt;$L$2,N(对接源_01水果!$B366)&gt;$L$3),0,1))</f>
        <v>0</v>
      </c>
      <c r="M366">
        <f>IF(OR($M$1="",对接源_01水果!$C366="",对接源_01水果!$C366&lt;&gt;$M$1,对接源_01水果!$B366=""),0,IF(OR(N(对接源_01水果!$B366)&lt;$M$2,N(对接源_01水果!$B366)&gt;$M$3),0,1))</f>
        <v>0</v>
      </c>
      <c r="N366">
        <f>IF(OR($N$1="",对接源_01水果!$C366="",对接源_01水果!$C366&lt;&gt;$N$1,对接源_01水果!$B366=""),0,IF(OR(N(对接源_01水果!$B366)&lt;$N$2,N(对接源_01水果!$B366)&gt;$N$3),0,1))</f>
        <v>0</v>
      </c>
      <c r="P366">
        <f>IF(AND($K366=1,AND(对接源_01水果!$X366="公司筐",N(对接源_01水果!$T366)&lt;&gt;0)),1,0)</f>
        <v>0</v>
      </c>
      <c r="Q366">
        <f>N(Q365)+$P366</f>
        <v>0</v>
      </c>
      <c r="R366">
        <f>IF(AND($K366=1,AND(对接源_01水果!$X366="公司筐",N(对接源_01水果!$U366)&lt;&gt;0)),1,0)</f>
        <v>0</v>
      </c>
      <c r="S366">
        <f>N(S365)+$R366</f>
        <v>0</v>
      </c>
      <c r="T366">
        <f>IF(AND($K366=1,AND(对接源_01水果!$X366="公司筐",N(对接源_01水果!$V366)&lt;&gt;0)),1,0)</f>
        <v>0</v>
      </c>
      <c r="U366">
        <f>N(U365)+$T366</f>
        <v>26</v>
      </c>
      <c r="V366">
        <f>IF(AND($L366=1,AND(对接源_01水果!$X366="自备筐",N(对接源_01水果!$V366)&lt;&gt;0)),1,0)</f>
        <v>0</v>
      </c>
      <c r="W366">
        <f>N(W365)+$V366</f>
        <v>11</v>
      </c>
      <c r="X366">
        <f>IF(AND($L366=1,AND(对接源_01水果!$X366="自备筐",N(对接源_01水果!$T366)&lt;&gt;0)),1,0)</f>
        <v>0</v>
      </c>
      <c r="Y366">
        <f>N(Y365)+$X366</f>
        <v>0</v>
      </c>
      <c r="Z366">
        <f>IF(AND($M366=1,对接源_01水果!$D366="原料入库"),1,0)</f>
        <v>0</v>
      </c>
      <c r="AA366">
        <f>N(AA365)+$Z366</f>
        <v>24</v>
      </c>
      <c r="AB366">
        <f>IF(AND($M366=1,LEFT(对接源_01水果!$D366,4)="原料出库"),1,0)</f>
        <v>0</v>
      </c>
      <c r="AC366">
        <f>N(AC365)+$AB366</f>
        <v>0</v>
      </c>
      <c r="AD366">
        <f>IF(AND($M366=1,LEFT(对接源_01水果!$D366,4)="成品出库"),1,0)</f>
        <v>0</v>
      </c>
      <c r="AE366">
        <f>N(AE365)+$AD366</f>
        <v>0</v>
      </c>
      <c r="AF366">
        <f>IF(AND($N366=1,AND(LEFT(对接源_01水果!$D366,4)="包装物料",N(对接源_01水果!$K366)&lt;&gt;0)),1,0)</f>
        <v>0</v>
      </c>
      <c r="AG366">
        <f>N(AG365)+$AF366</f>
        <v>0</v>
      </c>
      <c r="AH366">
        <f>IF(AND($N366=1,AND(对接源_01水果!$D366="周转筐－销售出库",N(对接源_01水果!$K366)&lt;&gt;0)),1,0)</f>
        <v>0</v>
      </c>
      <c r="AI366">
        <f>N(AI365)+$AH366</f>
        <v>0</v>
      </c>
      <c r="AJ366" s="7" t="n"/>
      <c r="AL366">
        <f>IF(OR($AL$1="",对接源_01水果!$Y366="",对接源_01水果!$Y366&lt;&gt;$AL$1,对接源_01水果!$B366="",N(对接源_01水果!$AJ366)&lt;=0),0,IF(OR(N(对接源_01水果!$B366)&lt;$AL$2,N(对接源_01水果!$B366)&gt;$AL$3),0,1))</f>
        <v>0</v>
      </c>
      <c r="AM366">
        <f>N(AM365)+$AL366</f>
        <v>0</v>
      </c>
      <c r="AN366">
        <f>IF(对接源_01水果!$AC366="","",对接源_01水果!$AC366)</f>
      </c>
      <c r="AO366">
        <f>IF(AN366="",0,IF(MATCH(AN366,$AN$4:$AN$1203,0)=ROW()-3,1,0))</f>
        <v>0</v>
      </c>
      <c r="AP366">
        <f>N(AP365)+$AO366</f>
        <v>0</v>
      </c>
      <c r="AR366">
        <f>IF(OR($AF366=1,$AH366=1),1,0)</f>
        <v>0</v>
      </c>
      <c r="AS366">
        <f>N(AS365)+$AR366</f>
        <v>0</v>
      </c>
    </row>
    <row r="367" ht="14.25" customHeight="1" s="127">
      <c r="A367" t="str">
        <f>IF(对接源_01水果!$C367="","",对接源_01水果!$C367)</f>
        <v>阿布都</v>
      </c>
      <c r="B367">
        <f>IF(A367="",0,IF(MATCH(A367,$A$4:$A$2403,0)=ROW()-3,1,0))</f>
        <v>0</v>
      </c>
      <c r="C367">
        <f>N(C366)+B367</f>
        <v>18</v>
      </c>
      <c r="K367">
        <f>IF(OR($K$1="",对接源_01水果!$C367="",对接源_01水果!$C367&lt;&gt;$K$1,对接源_01水果!$B367=""),0,IF(OR(N(对接源_01水果!$B367)&lt;$K$2,N(对接源_01水果!$B367)&gt;$K$3),0,1))</f>
        <v>0</v>
      </c>
      <c r="L367">
        <f>IF(OR($L$1="",对接源_01水果!$C367="",对接源_01水果!$C367&lt;&gt;$L$1,对接源_01水果!$B367=""),0,IF(OR(N(对接源_01水果!$B367)&lt;$L$2,N(对接源_01水果!$B367)&gt;$L$3),0,1))</f>
        <v>0</v>
      </c>
      <c r="M367">
        <f>IF(OR($M$1="",对接源_01水果!$C367="",对接源_01水果!$C367&lt;&gt;$M$1,对接源_01水果!$B367=""),0,IF(OR(N(对接源_01水果!$B367)&lt;$M$2,N(对接源_01水果!$B367)&gt;$M$3),0,1))</f>
        <v>0</v>
      </c>
      <c r="N367">
        <f>IF(OR($N$1="",对接源_01水果!$C367="",对接源_01水果!$C367&lt;&gt;$N$1,对接源_01水果!$B367=""),0,IF(OR(N(对接源_01水果!$B367)&lt;$N$2,N(对接源_01水果!$B367)&gt;$N$3),0,1))</f>
        <v>0</v>
      </c>
      <c r="P367">
        <f>IF(AND($K367=1,AND(对接源_01水果!$X367="公司筐",N(对接源_01水果!$T367)&lt;&gt;0)),1,0)</f>
        <v>0</v>
      </c>
      <c r="Q367">
        <f>N(Q366)+$P367</f>
        <v>0</v>
      </c>
      <c r="R367">
        <f>IF(AND($K367=1,AND(对接源_01水果!$X367="公司筐",N(对接源_01水果!$U367)&lt;&gt;0)),1,0)</f>
        <v>0</v>
      </c>
      <c r="S367">
        <f>N(S366)+$R367</f>
        <v>0</v>
      </c>
      <c r="T367">
        <f>IF(AND($K367=1,AND(对接源_01水果!$X367="公司筐",N(对接源_01水果!$V367)&lt;&gt;0)),1,0)</f>
        <v>0</v>
      </c>
      <c r="U367">
        <f>N(U366)+$T367</f>
        <v>26</v>
      </c>
      <c r="V367">
        <f>IF(AND($L367=1,AND(对接源_01水果!$X367="自备筐",N(对接源_01水果!$V367)&lt;&gt;0)),1,0)</f>
        <v>0</v>
      </c>
      <c r="W367">
        <f>N(W366)+$V367</f>
        <v>11</v>
      </c>
      <c r="X367">
        <f>IF(AND($L367=1,AND(对接源_01水果!$X367="自备筐",N(对接源_01水果!$T367)&lt;&gt;0)),1,0)</f>
        <v>0</v>
      </c>
      <c r="Y367">
        <f>N(Y366)+$X367</f>
        <v>0</v>
      </c>
      <c r="Z367">
        <f>IF(AND($M367=1,对接源_01水果!$D367="原料入库"),1,0)</f>
        <v>0</v>
      </c>
      <c r="AA367">
        <f>N(AA366)+$Z367</f>
        <v>24</v>
      </c>
      <c r="AB367">
        <f>IF(AND($M367=1,LEFT(对接源_01水果!$D367,4)="原料出库"),1,0)</f>
        <v>0</v>
      </c>
      <c r="AC367">
        <f>N(AC366)+$AB367</f>
        <v>0</v>
      </c>
      <c r="AD367">
        <f>IF(AND($M367=1,LEFT(对接源_01水果!$D367,4)="成品出库"),1,0)</f>
        <v>0</v>
      </c>
      <c r="AE367">
        <f>N(AE366)+$AD367</f>
        <v>0</v>
      </c>
      <c r="AF367">
        <f>IF(AND($N367=1,AND(LEFT(对接源_01水果!$D367,4)="包装物料",N(对接源_01水果!$K367)&lt;&gt;0)),1,0)</f>
        <v>0</v>
      </c>
      <c r="AG367">
        <f>N(AG366)+$AF367</f>
        <v>0</v>
      </c>
      <c r="AH367">
        <f>IF(AND($N367=1,AND(对接源_01水果!$D367="周转筐－销售出库",N(对接源_01水果!$K367)&lt;&gt;0)),1,0)</f>
        <v>0</v>
      </c>
      <c r="AI367">
        <f>N(AI366)+$AH367</f>
        <v>0</v>
      </c>
      <c r="AJ367" s="7" t="n"/>
      <c r="AL367">
        <f>IF(OR($AL$1="",对接源_01水果!$Y367="",对接源_01水果!$Y367&lt;&gt;$AL$1,对接源_01水果!$B367="",N(对接源_01水果!$AJ367)&lt;=0),0,IF(OR(N(对接源_01水果!$B367)&lt;$AL$2,N(对接源_01水果!$B367)&gt;$AL$3),0,1))</f>
        <v>0</v>
      </c>
      <c r="AM367">
        <f>N(AM366)+$AL367</f>
        <v>0</v>
      </c>
      <c r="AN367">
        <f>IF(对接源_01水果!$AC367="","",对接源_01水果!$AC367)</f>
      </c>
      <c r="AO367">
        <f>IF(AN367="",0,IF(MATCH(AN367,$AN$4:$AN$1203,0)=ROW()-3,1,0))</f>
        <v>0</v>
      </c>
      <c r="AP367">
        <f>N(AP366)+$AO367</f>
        <v>0</v>
      </c>
      <c r="AR367">
        <f>IF(OR($AF367=1,$AH367=1),1,0)</f>
        <v>0</v>
      </c>
      <c r="AS367">
        <f>N(AS366)+$AR367</f>
        <v>0</v>
      </c>
    </row>
    <row r="368" ht="14.25" customHeight="1" s="127">
      <c r="A368" t="str">
        <f>IF(对接源_01水果!$C368="","",对接源_01水果!$C368)</f>
        <v>王照雪</v>
      </c>
      <c r="B368">
        <f>IF(A368="",0,IF(MATCH(A368,$A$4:$A$2403,0)=ROW()-3,1,0))</f>
        <v>0</v>
      </c>
      <c r="C368">
        <f>N(C367)+B368</f>
        <v>18</v>
      </c>
      <c r="K368">
        <f>IF(OR($K$1="",对接源_01水果!$C368="",对接源_01水果!$C368&lt;&gt;$K$1,对接源_01水果!$B368=""),0,IF(OR(N(对接源_01水果!$B368)&lt;$K$2,N(对接源_01水果!$B368)&gt;$K$3),0,1))</f>
        <v>0</v>
      </c>
      <c r="L368">
        <f>IF(OR($L$1="",对接源_01水果!$C368="",对接源_01水果!$C368&lt;&gt;$L$1,对接源_01水果!$B368=""),0,IF(OR(N(对接源_01水果!$B368)&lt;$L$2,N(对接源_01水果!$B368)&gt;$L$3),0,1))</f>
        <v>0</v>
      </c>
      <c r="M368">
        <f>IF(OR($M$1="",对接源_01水果!$C368="",对接源_01水果!$C368&lt;&gt;$M$1,对接源_01水果!$B368=""),0,IF(OR(N(对接源_01水果!$B368)&lt;$M$2,N(对接源_01水果!$B368)&gt;$M$3),0,1))</f>
        <v>0</v>
      </c>
      <c r="N368">
        <f>IF(OR($N$1="",对接源_01水果!$C368="",对接源_01水果!$C368&lt;&gt;$N$1,对接源_01水果!$B368=""),0,IF(OR(N(对接源_01水果!$B368)&lt;$N$2,N(对接源_01水果!$B368)&gt;$N$3),0,1))</f>
        <v>0</v>
      </c>
      <c r="P368">
        <f>IF(AND($K368=1,AND(对接源_01水果!$X368="公司筐",N(对接源_01水果!$T368)&lt;&gt;0)),1,0)</f>
        <v>0</v>
      </c>
      <c r="Q368">
        <f>N(Q367)+$P368</f>
        <v>0</v>
      </c>
      <c r="R368">
        <f>IF(AND($K368=1,AND(对接源_01水果!$X368="公司筐",N(对接源_01水果!$U368)&lt;&gt;0)),1,0)</f>
        <v>0</v>
      </c>
      <c r="S368">
        <f>N(S367)+$R368</f>
        <v>0</v>
      </c>
      <c r="T368">
        <f>IF(AND($K368=1,AND(对接源_01水果!$X368="公司筐",N(对接源_01水果!$V368)&lt;&gt;0)),1,0)</f>
        <v>0</v>
      </c>
      <c r="U368">
        <f>N(U367)+$T368</f>
        <v>26</v>
      </c>
      <c r="V368">
        <f>IF(AND($L368=1,AND(对接源_01水果!$X368="自备筐",N(对接源_01水果!$V368)&lt;&gt;0)),1,0)</f>
        <v>0</v>
      </c>
      <c r="W368">
        <f>N(W367)+$V368</f>
        <v>11</v>
      </c>
      <c r="X368">
        <f>IF(AND($L368=1,AND(对接源_01水果!$X368="自备筐",N(对接源_01水果!$T368)&lt;&gt;0)),1,0)</f>
        <v>0</v>
      </c>
      <c r="Y368">
        <f>N(Y367)+$X368</f>
        <v>0</v>
      </c>
      <c r="Z368">
        <f>IF(AND($M368=1,对接源_01水果!$D368="原料入库"),1,0)</f>
        <v>0</v>
      </c>
      <c r="AA368">
        <f>N(AA367)+$Z368</f>
        <v>24</v>
      </c>
      <c r="AB368">
        <f>IF(AND($M368=1,LEFT(对接源_01水果!$D368,4)="原料出库"),1,0)</f>
        <v>0</v>
      </c>
      <c r="AC368">
        <f>N(AC367)+$AB368</f>
        <v>0</v>
      </c>
      <c r="AD368">
        <f>IF(AND($M368=1,LEFT(对接源_01水果!$D368,4)="成品出库"),1,0)</f>
        <v>0</v>
      </c>
      <c r="AE368">
        <f>N(AE367)+$AD368</f>
        <v>0</v>
      </c>
      <c r="AF368">
        <f>IF(AND($N368=1,AND(LEFT(对接源_01水果!$D368,4)="包装物料",N(对接源_01水果!$K368)&lt;&gt;0)),1,0)</f>
        <v>0</v>
      </c>
      <c r="AG368">
        <f>N(AG367)+$AF368</f>
        <v>0</v>
      </c>
      <c r="AH368">
        <f>IF(AND($N368=1,AND(对接源_01水果!$D368="周转筐－销售出库",N(对接源_01水果!$K368)&lt;&gt;0)),1,0)</f>
        <v>0</v>
      </c>
      <c r="AI368">
        <f>N(AI367)+$AH368</f>
        <v>0</v>
      </c>
      <c r="AJ368" s="7" t="n"/>
      <c r="AL368">
        <f>IF(OR($AL$1="",对接源_01水果!$Y368="",对接源_01水果!$Y368&lt;&gt;$AL$1,对接源_01水果!$B368="",N(对接源_01水果!$AJ368)&lt;=0),0,IF(OR(N(对接源_01水果!$B368)&lt;$AL$2,N(对接源_01水果!$B368)&gt;$AL$3),0,1))</f>
        <v>0</v>
      </c>
      <c r="AM368">
        <f>N(AM367)+$AL368</f>
        <v>0</v>
      </c>
      <c r="AN368">
        <f>IF(对接源_01水果!$AC368="","",对接源_01水果!$AC368)</f>
      </c>
      <c r="AO368">
        <f>IF(AN368="",0,IF(MATCH(AN368,$AN$4:$AN$1203,0)=ROW()-3,1,0))</f>
        <v>0</v>
      </c>
      <c r="AP368">
        <f>N(AP367)+$AO368</f>
        <v>0</v>
      </c>
      <c r="AR368">
        <f>IF(OR($AF368=1,$AH368=1),1,0)</f>
        <v>0</v>
      </c>
      <c r="AS368">
        <f>N(AS367)+$AR368</f>
        <v>0</v>
      </c>
    </row>
    <row r="369" ht="14.25" customHeight="1" s="127">
      <c r="A369" t="str">
        <f>IF(对接源_01水果!$C369="","",对接源_01水果!$C369)</f>
        <v>王照雪</v>
      </c>
      <c r="B369">
        <f>IF(A369="",0,IF(MATCH(A369,$A$4:$A$2403,0)=ROW()-3,1,0))</f>
        <v>0</v>
      </c>
      <c r="C369">
        <f>N(C368)+B369</f>
        <v>18</v>
      </c>
      <c r="K369">
        <f>IF(OR($K$1="",对接源_01水果!$C369="",对接源_01水果!$C369&lt;&gt;$K$1,对接源_01水果!$B369=""),0,IF(OR(N(对接源_01水果!$B369)&lt;$K$2,N(对接源_01水果!$B369)&gt;$K$3),0,1))</f>
        <v>0</v>
      </c>
      <c r="L369">
        <f>IF(OR($L$1="",对接源_01水果!$C369="",对接源_01水果!$C369&lt;&gt;$L$1,对接源_01水果!$B369=""),0,IF(OR(N(对接源_01水果!$B369)&lt;$L$2,N(对接源_01水果!$B369)&gt;$L$3),0,1))</f>
        <v>0</v>
      </c>
      <c r="M369">
        <f>IF(OR($M$1="",对接源_01水果!$C369="",对接源_01水果!$C369&lt;&gt;$M$1,对接源_01水果!$B369=""),0,IF(OR(N(对接源_01水果!$B369)&lt;$M$2,N(对接源_01水果!$B369)&gt;$M$3),0,1))</f>
        <v>0</v>
      </c>
      <c r="N369">
        <f>IF(OR($N$1="",对接源_01水果!$C369="",对接源_01水果!$C369&lt;&gt;$N$1,对接源_01水果!$B369=""),0,IF(OR(N(对接源_01水果!$B369)&lt;$N$2,N(对接源_01水果!$B369)&gt;$N$3),0,1))</f>
        <v>0</v>
      </c>
      <c r="P369">
        <f>IF(AND($K369=1,AND(对接源_01水果!$X369="公司筐",N(对接源_01水果!$T369)&lt;&gt;0)),1,0)</f>
        <v>0</v>
      </c>
      <c r="Q369">
        <f>N(Q368)+$P369</f>
        <v>0</v>
      </c>
      <c r="R369">
        <f>IF(AND($K369=1,AND(对接源_01水果!$X369="公司筐",N(对接源_01水果!$U369)&lt;&gt;0)),1,0)</f>
        <v>0</v>
      </c>
      <c r="S369">
        <f>N(S368)+$R369</f>
        <v>0</v>
      </c>
      <c r="T369">
        <f>IF(AND($K369=1,AND(对接源_01水果!$X369="公司筐",N(对接源_01水果!$V369)&lt;&gt;0)),1,0)</f>
        <v>0</v>
      </c>
      <c r="U369">
        <f>N(U368)+$T369</f>
        <v>26</v>
      </c>
      <c r="V369">
        <f>IF(AND($L369=1,AND(对接源_01水果!$X369="自备筐",N(对接源_01水果!$V369)&lt;&gt;0)),1,0)</f>
        <v>0</v>
      </c>
      <c r="W369">
        <f>N(W368)+$V369</f>
        <v>11</v>
      </c>
      <c r="X369">
        <f>IF(AND($L369=1,AND(对接源_01水果!$X369="自备筐",N(对接源_01水果!$T369)&lt;&gt;0)),1,0)</f>
        <v>0</v>
      </c>
      <c r="Y369">
        <f>N(Y368)+$X369</f>
        <v>0</v>
      </c>
      <c r="Z369">
        <f>IF(AND($M369=1,对接源_01水果!$D369="原料入库"),1,0)</f>
        <v>0</v>
      </c>
      <c r="AA369">
        <f>N(AA368)+$Z369</f>
        <v>24</v>
      </c>
      <c r="AB369">
        <f>IF(AND($M369=1,LEFT(对接源_01水果!$D369,4)="原料出库"),1,0)</f>
        <v>0</v>
      </c>
      <c r="AC369">
        <f>N(AC368)+$AB369</f>
        <v>0</v>
      </c>
      <c r="AD369">
        <f>IF(AND($M369=1,LEFT(对接源_01水果!$D369,4)="成品出库"),1,0)</f>
        <v>0</v>
      </c>
      <c r="AE369">
        <f>N(AE368)+$AD369</f>
        <v>0</v>
      </c>
      <c r="AF369">
        <f>IF(AND($N369=1,AND(LEFT(对接源_01水果!$D369,4)="包装物料",N(对接源_01水果!$K369)&lt;&gt;0)),1,0)</f>
        <v>0</v>
      </c>
      <c r="AG369">
        <f>N(AG368)+$AF369</f>
        <v>0</v>
      </c>
      <c r="AH369">
        <f>IF(AND($N369=1,AND(对接源_01水果!$D369="周转筐－销售出库",N(对接源_01水果!$K369)&lt;&gt;0)),1,0)</f>
        <v>0</v>
      </c>
      <c r="AI369">
        <f>N(AI368)+$AH369</f>
        <v>0</v>
      </c>
      <c r="AJ369" s="7" t="n"/>
      <c r="AL369">
        <f>IF(OR($AL$1="",对接源_01水果!$Y369="",对接源_01水果!$Y369&lt;&gt;$AL$1,对接源_01水果!$B369="",N(对接源_01水果!$AJ369)&lt;=0),0,IF(OR(N(对接源_01水果!$B369)&lt;$AL$2,N(对接源_01水果!$B369)&gt;$AL$3),0,1))</f>
        <v>0</v>
      </c>
      <c r="AM369">
        <f>N(AM368)+$AL369</f>
        <v>0</v>
      </c>
      <c r="AN369">
        <f>IF(对接源_01水果!$AC369="","",对接源_01水果!$AC369)</f>
      </c>
      <c r="AO369">
        <f>IF(AN369="",0,IF(MATCH(AN369,$AN$4:$AN$1203,0)=ROW()-3,1,0))</f>
        <v>0</v>
      </c>
      <c r="AP369">
        <f>N(AP368)+$AO369</f>
        <v>0</v>
      </c>
      <c r="AR369">
        <f>IF(OR($AF369=1,$AH369=1),1,0)</f>
        <v>0</v>
      </c>
      <c r="AS369">
        <f>N(AS368)+$AR369</f>
        <v>0</v>
      </c>
    </row>
    <row r="370" ht="14.25" customHeight="1" s="127">
      <c r="A370" t="str">
        <f>IF(对接源_01水果!$C370="","",对接源_01水果!$C370)</f>
        <v>王照雪</v>
      </c>
      <c r="B370">
        <f>IF(A370="",0,IF(MATCH(A370,$A$4:$A$2403,0)=ROW()-3,1,0))</f>
        <v>0</v>
      </c>
      <c r="C370">
        <f>N(C369)+B370</f>
        <v>18</v>
      </c>
      <c r="K370">
        <f>IF(OR($K$1="",对接源_01水果!$C370="",对接源_01水果!$C370&lt;&gt;$K$1,对接源_01水果!$B370=""),0,IF(OR(N(对接源_01水果!$B370)&lt;$K$2,N(对接源_01水果!$B370)&gt;$K$3),0,1))</f>
        <v>0</v>
      </c>
      <c r="L370">
        <f>IF(OR($L$1="",对接源_01水果!$C370="",对接源_01水果!$C370&lt;&gt;$L$1,对接源_01水果!$B370=""),0,IF(OR(N(对接源_01水果!$B370)&lt;$L$2,N(对接源_01水果!$B370)&gt;$L$3),0,1))</f>
        <v>0</v>
      </c>
      <c r="M370">
        <f>IF(OR($M$1="",对接源_01水果!$C370="",对接源_01水果!$C370&lt;&gt;$M$1,对接源_01水果!$B370=""),0,IF(OR(N(对接源_01水果!$B370)&lt;$M$2,N(对接源_01水果!$B370)&gt;$M$3),0,1))</f>
        <v>0</v>
      </c>
      <c r="N370">
        <f>IF(OR($N$1="",对接源_01水果!$C370="",对接源_01水果!$C370&lt;&gt;$N$1,对接源_01水果!$B370=""),0,IF(OR(N(对接源_01水果!$B370)&lt;$N$2,N(对接源_01水果!$B370)&gt;$N$3),0,1))</f>
        <v>0</v>
      </c>
      <c r="P370">
        <f>IF(AND($K370=1,AND(对接源_01水果!$X370="公司筐",N(对接源_01水果!$T370)&lt;&gt;0)),1,0)</f>
        <v>0</v>
      </c>
      <c r="Q370">
        <f>N(Q369)+$P370</f>
        <v>0</v>
      </c>
      <c r="R370">
        <f>IF(AND($K370=1,AND(对接源_01水果!$X370="公司筐",N(对接源_01水果!$U370)&lt;&gt;0)),1,0)</f>
        <v>0</v>
      </c>
      <c r="S370">
        <f>N(S369)+$R370</f>
        <v>0</v>
      </c>
      <c r="T370">
        <f>IF(AND($K370=1,AND(对接源_01水果!$X370="公司筐",N(对接源_01水果!$V370)&lt;&gt;0)),1,0)</f>
        <v>0</v>
      </c>
      <c r="U370">
        <f>N(U369)+$T370</f>
        <v>26</v>
      </c>
      <c r="V370">
        <f>IF(AND($L370=1,AND(对接源_01水果!$X370="自备筐",N(对接源_01水果!$V370)&lt;&gt;0)),1,0)</f>
        <v>0</v>
      </c>
      <c r="W370">
        <f>N(W369)+$V370</f>
        <v>11</v>
      </c>
      <c r="X370">
        <f>IF(AND($L370=1,AND(对接源_01水果!$X370="自备筐",N(对接源_01水果!$T370)&lt;&gt;0)),1,0)</f>
        <v>0</v>
      </c>
      <c r="Y370">
        <f>N(Y369)+$X370</f>
        <v>0</v>
      </c>
      <c r="Z370">
        <f>IF(AND($M370=1,对接源_01水果!$D370="原料入库"),1,0)</f>
        <v>0</v>
      </c>
      <c r="AA370">
        <f>N(AA369)+$Z370</f>
        <v>24</v>
      </c>
      <c r="AB370">
        <f>IF(AND($M370=1,LEFT(对接源_01水果!$D370,4)="原料出库"),1,0)</f>
        <v>0</v>
      </c>
      <c r="AC370">
        <f>N(AC369)+$AB370</f>
        <v>0</v>
      </c>
      <c r="AD370">
        <f>IF(AND($M370=1,LEFT(对接源_01水果!$D370,4)="成品出库"),1,0)</f>
        <v>0</v>
      </c>
      <c r="AE370">
        <f>N(AE369)+$AD370</f>
        <v>0</v>
      </c>
      <c r="AF370">
        <f>IF(AND($N370=1,AND(LEFT(对接源_01水果!$D370,4)="包装物料",N(对接源_01水果!$K370)&lt;&gt;0)),1,0)</f>
        <v>0</v>
      </c>
      <c r="AG370">
        <f>N(AG369)+$AF370</f>
        <v>0</v>
      </c>
      <c r="AH370">
        <f>IF(AND($N370=1,AND(对接源_01水果!$D370="周转筐－销售出库",N(对接源_01水果!$K370)&lt;&gt;0)),1,0)</f>
        <v>0</v>
      </c>
      <c r="AI370">
        <f>N(AI369)+$AH370</f>
        <v>0</v>
      </c>
      <c r="AJ370" s="7" t="n"/>
      <c r="AL370">
        <f>IF(OR($AL$1="",对接源_01水果!$Y370="",对接源_01水果!$Y370&lt;&gt;$AL$1,对接源_01水果!$B370="",N(对接源_01水果!$AJ370)&lt;=0),0,IF(OR(N(对接源_01水果!$B370)&lt;$AL$2,N(对接源_01水果!$B370)&gt;$AL$3),0,1))</f>
        <v>0</v>
      </c>
      <c r="AM370">
        <f>N(AM369)+$AL370</f>
        <v>0</v>
      </c>
      <c r="AN370">
        <f>IF(对接源_01水果!$AC370="","",对接源_01水果!$AC370)</f>
      </c>
      <c r="AO370">
        <f>IF(AN370="",0,IF(MATCH(AN370,$AN$4:$AN$1203,0)=ROW()-3,1,0))</f>
        <v>0</v>
      </c>
      <c r="AP370">
        <f>N(AP369)+$AO370</f>
        <v>0</v>
      </c>
      <c r="AR370">
        <f>IF(OR($AF370=1,$AH370=1),1,0)</f>
        <v>0</v>
      </c>
      <c r="AS370">
        <f>N(AS369)+$AR370</f>
        <v>0</v>
      </c>
    </row>
    <row r="371" ht="14.25" customHeight="1" s="127">
      <c r="A371" t="str">
        <f>IF(对接源_01水果!$C371="","",对接源_01水果!$C371)</f>
        <v>田浩芝</v>
      </c>
      <c r="B371">
        <f>IF(A371="",0,IF(MATCH(A371,$A$4:$A$2403,0)=ROW()-3,1,0))</f>
        <v>1</v>
      </c>
      <c r="C371">
        <f>N(C370)+B371</f>
        <v>19</v>
      </c>
      <c r="K371">
        <f>IF(OR($K$1="",对接源_01水果!$C371="",对接源_01水果!$C371&lt;&gt;$K$1,对接源_01水果!$B371=""),0,IF(OR(N(对接源_01水果!$B371)&lt;$K$2,N(对接源_01水果!$B371)&gt;$K$3),0,1))</f>
        <v>0</v>
      </c>
      <c r="L371">
        <f>IF(OR($L$1="",对接源_01水果!$C371="",对接源_01水果!$C371&lt;&gt;$L$1,对接源_01水果!$B371=""),0,IF(OR(N(对接源_01水果!$B371)&lt;$L$2,N(对接源_01水果!$B371)&gt;$L$3),0,1))</f>
        <v>0</v>
      </c>
      <c r="M371">
        <f>IF(OR($M$1="",对接源_01水果!$C371="",对接源_01水果!$C371&lt;&gt;$M$1,对接源_01水果!$B371=""),0,IF(OR(N(对接源_01水果!$B371)&lt;$M$2,N(对接源_01水果!$B371)&gt;$M$3),0,1))</f>
        <v>0</v>
      </c>
      <c r="N371">
        <f>IF(OR($N$1="",对接源_01水果!$C371="",对接源_01水果!$C371&lt;&gt;$N$1,对接源_01水果!$B371=""),0,IF(OR(N(对接源_01水果!$B371)&lt;$N$2,N(对接源_01水果!$B371)&gt;$N$3),0,1))</f>
        <v>0</v>
      </c>
      <c r="P371">
        <f>IF(AND($K371=1,AND(对接源_01水果!$X371="公司筐",N(对接源_01水果!$T371)&lt;&gt;0)),1,0)</f>
        <v>0</v>
      </c>
      <c r="Q371">
        <f>N(Q370)+$P371</f>
        <v>0</v>
      </c>
      <c r="R371">
        <f>IF(AND($K371=1,AND(对接源_01水果!$X371="公司筐",N(对接源_01水果!$U371)&lt;&gt;0)),1,0)</f>
        <v>0</v>
      </c>
      <c r="S371">
        <f>N(S370)+$R371</f>
        <v>0</v>
      </c>
      <c r="T371">
        <f>IF(AND($K371=1,AND(对接源_01水果!$X371="公司筐",N(对接源_01水果!$V371)&lt;&gt;0)),1,0)</f>
        <v>0</v>
      </c>
      <c r="U371">
        <f>N(U370)+$T371</f>
        <v>26</v>
      </c>
      <c r="V371">
        <f>IF(AND($L371=1,AND(对接源_01水果!$X371="自备筐",N(对接源_01水果!$V371)&lt;&gt;0)),1,0)</f>
        <v>0</v>
      </c>
      <c r="W371">
        <f>N(W370)+$V371</f>
        <v>11</v>
      </c>
      <c r="X371">
        <f>IF(AND($L371=1,AND(对接源_01水果!$X371="自备筐",N(对接源_01水果!$T371)&lt;&gt;0)),1,0)</f>
        <v>0</v>
      </c>
      <c r="Y371">
        <f>N(Y370)+$X371</f>
        <v>0</v>
      </c>
      <c r="Z371">
        <f>IF(AND($M371=1,对接源_01水果!$D371="原料入库"),1,0)</f>
        <v>0</v>
      </c>
      <c r="AA371">
        <f>N(AA370)+$Z371</f>
        <v>24</v>
      </c>
      <c r="AB371">
        <f>IF(AND($M371=1,LEFT(对接源_01水果!$D371,4)="原料出库"),1,0)</f>
        <v>0</v>
      </c>
      <c r="AC371">
        <f>N(AC370)+$AB371</f>
        <v>0</v>
      </c>
      <c r="AD371">
        <f>IF(AND($M371=1,LEFT(对接源_01水果!$D371,4)="成品出库"),1,0)</f>
        <v>0</v>
      </c>
      <c r="AE371">
        <f>N(AE370)+$AD371</f>
        <v>0</v>
      </c>
      <c r="AF371">
        <f>IF(AND($N371=1,AND(LEFT(对接源_01水果!$D371,4)="包装物料",N(对接源_01水果!$K371)&lt;&gt;0)),1,0)</f>
        <v>0</v>
      </c>
      <c r="AG371">
        <f>N(AG370)+$AF371</f>
        <v>0</v>
      </c>
      <c r="AH371">
        <f>IF(AND($N371=1,AND(对接源_01水果!$D371="周转筐－销售出库",N(对接源_01水果!$K371)&lt;&gt;0)),1,0)</f>
        <v>0</v>
      </c>
      <c r="AI371">
        <f>N(AI370)+$AH371</f>
        <v>0</v>
      </c>
      <c r="AJ371" s="7" t="n"/>
      <c r="AL371">
        <f>IF(OR($AL$1="",对接源_01水果!$Y371="",对接源_01水果!$Y371&lt;&gt;$AL$1,对接源_01水果!$B371="",N(对接源_01水果!$AJ371)&lt;=0),0,IF(OR(N(对接源_01水果!$B371)&lt;$AL$2,N(对接源_01水果!$B371)&gt;$AL$3),0,1))</f>
        <v>0</v>
      </c>
      <c r="AM371">
        <f>N(AM370)+$AL371</f>
        <v>0</v>
      </c>
      <c r="AN371">
        <f>IF(对接源_01水果!$AC371="","",对接源_01水果!$AC371)</f>
      </c>
      <c r="AO371">
        <f>IF(AN371="",0,IF(MATCH(AN371,$AN$4:$AN$1203,0)=ROW()-3,1,0))</f>
        <v>0</v>
      </c>
      <c r="AP371">
        <f>N(AP370)+$AO371</f>
        <v>0</v>
      </c>
      <c r="AR371">
        <f>IF(OR($AF371=1,$AH371=1),1,0)</f>
        <v>0</v>
      </c>
      <c r="AS371">
        <f>N(AS370)+$AR371</f>
        <v>0</v>
      </c>
    </row>
    <row r="372" ht="14.25" customHeight="1" s="127">
      <c r="A372" t="str">
        <f>IF(对接源_01水果!$C372="","",对接源_01水果!$C372)</f>
        <v>麦麦提</v>
      </c>
      <c r="B372">
        <f>IF(A372="",0,IF(MATCH(A372,$A$4:$A$2403,0)=ROW()-3,1,0))</f>
        <v>0</v>
      </c>
      <c r="C372">
        <f>N(C371)+B372</f>
        <v>19</v>
      </c>
      <c r="K372">
        <f>IF(OR($K$1="",对接源_01水果!$C372="",对接源_01水果!$C372&lt;&gt;$K$1,对接源_01水果!$B372=""),0,IF(OR(N(对接源_01水果!$B372)&lt;$K$2,N(对接源_01水果!$B372)&gt;$K$3),0,1))</f>
        <v>0</v>
      </c>
      <c r="L372">
        <f>IF(OR($L$1="",对接源_01水果!$C372="",对接源_01水果!$C372&lt;&gt;$L$1,对接源_01水果!$B372=""),0,IF(OR(N(对接源_01水果!$B372)&lt;$L$2,N(对接源_01水果!$B372)&gt;$L$3),0,1))</f>
        <v>0</v>
      </c>
      <c r="M372">
        <f>IF(OR($M$1="",对接源_01水果!$C372="",对接源_01水果!$C372&lt;&gt;$M$1,对接源_01水果!$B372=""),0,IF(OR(N(对接源_01水果!$B372)&lt;$M$2,N(对接源_01水果!$B372)&gt;$M$3),0,1))</f>
        <v>0</v>
      </c>
      <c r="N372">
        <f>IF(OR($N$1="",对接源_01水果!$C372="",对接源_01水果!$C372&lt;&gt;$N$1,对接源_01水果!$B372=""),0,IF(OR(N(对接源_01水果!$B372)&lt;$N$2,N(对接源_01水果!$B372)&gt;$N$3),0,1))</f>
        <v>1</v>
      </c>
      <c r="P372">
        <f>IF(AND($K372=1,AND(对接源_01水果!$X372="公司筐",N(对接源_01水果!$T372)&lt;&gt;0)),1,0)</f>
        <v>0</v>
      </c>
      <c r="Q372">
        <f>N(Q371)+$P372</f>
        <v>0</v>
      </c>
      <c r="R372">
        <f>IF(AND($K372=1,AND(对接源_01水果!$X372="公司筐",N(对接源_01水果!$U372)&lt;&gt;0)),1,0)</f>
        <v>0</v>
      </c>
      <c r="S372">
        <f>N(S371)+$R372</f>
        <v>0</v>
      </c>
      <c r="T372">
        <f>IF(AND($K372=1,AND(对接源_01水果!$X372="公司筐",N(对接源_01水果!$V372)&lt;&gt;0)),1,0)</f>
        <v>0</v>
      </c>
      <c r="U372">
        <f>N(U371)+$T372</f>
        <v>26</v>
      </c>
      <c r="V372">
        <f>IF(AND($L372=1,AND(对接源_01水果!$X372="自备筐",N(对接源_01水果!$V372)&lt;&gt;0)),1,0)</f>
        <v>0</v>
      </c>
      <c r="W372">
        <f>N(W371)+$V372</f>
        <v>11</v>
      </c>
      <c r="X372">
        <f>IF(AND($L372=1,AND(对接源_01水果!$X372="自备筐",N(对接源_01水果!$T372)&lt;&gt;0)),1,0)</f>
        <v>0</v>
      </c>
      <c r="Y372">
        <f>N(Y371)+$X372</f>
        <v>0</v>
      </c>
      <c r="Z372">
        <f>IF(AND($M372=1,对接源_01水果!$D372="原料入库"),1,0)</f>
        <v>0</v>
      </c>
      <c r="AA372">
        <f>N(AA371)+$Z372</f>
        <v>24</v>
      </c>
      <c r="AB372">
        <f>IF(AND($M372=1,LEFT(对接源_01水果!$D372,4)="原料出库"),1,0)</f>
        <v>0</v>
      </c>
      <c r="AC372">
        <f>N(AC371)+$AB372</f>
        <v>0</v>
      </c>
      <c r="AD372">
        <f>IF(AND($M372=1,LEFT(对接源_01水果!$D372,4)="成品出库"),1,0)</f>
        <v>0</v>
      </c>
      <c r="AE372">
        <f>N(AE371)+$AD372</f>
        <v>0</v>
      </c>
      <c r="AF372">
        <f>IF(AND($N372=1,AND(LEFT(对接源_01水果!$D372,4)="包装物料",N(对接源_01水果!$K372)&lt;&gt;0)),1,0)</f>
        <v>0</v>
      </c>
      <c r="AG372">
        <f>N(AG371)+$AF372</f>
        <v>0</v>
      </c>
      <c r="AH372">
        <f>IF(AND($N372=1,AND(对接源_01水果!$D372="周转筐－销售出库",N(对接源_01水果!$K372)&lt;&gt;0)),1,0)</f>
        <v>0</v>
      </c>
      <c r="AI372">
        <f>N(AI371)+$AH372</f>
        <v>0</v>
      </c>
      <c r="AJ372" s="7" t="n"/>
      <c r="AL372">
        <f>IF(OR($AL$1="",对接源_01水果!$Y372="",对接源_01水果!$Y372&lt;&gt;$AL$1,对接源_01水果!$B372="",N(对接源_01水果!$AJ372)&lt;=0),0,IF(OR(N(对接源_01水果!$B372)&lt;$AL$2,N(对接源_01水果!$B372)&gt;$AL$3),0,1))</f>
        <v>0</v>
      </c>
      <c r="AM372">
        <f>N(AM371)+$AL372</f>
        <v>0</v>
      </c>
      <c r="AN372">
        <f>IF(对接源_01水果!$AC372="","",对接源_01水果!$AC372)</f>
      </c>
      <c r="AO372">
        <f>IF(AN372="",0,IF(MATCH(AN372,$AN$4:$AN$1203,0)=ROW()-3,1,0))</f>
        <v>0</v>
      </c>
      <c r="AP372">
        <f>N(AP371)+$AO372</f>
        <v>0</v>
      </c>
      <c r="AR372">
        <f>IF(OR($AF372=1,$AH372=1),1,0)</f>
        <v>0</v>
      </c>
      <c r="AS372">
        <f>N(AS371)+$AR372</f>
        <v>0</v>
      </c>
    </row>
    <row r="373" ht="14.25" customHeight="1" s="127">
      <c r="A373" t="str">
        <f>IF(对接源_01水果!$C373="","",对接源_01水果!$C373)</f>
        <v>麦麦提</v>
      </c>
      <c r="B373">
        <f>IF(A373="",0,IF(MATCH(A373,$A$4:$A$2403,0)=ROW()-3,1,0))</f>
        <v>0</v>
      </c>
      <c r="C373">
        <f>N(C372)+B373</f>
        <v>19</v>
      </c>
      <c r="K373">
        <f>IF(OR($K$1="",对接源_01水果!$C373="",对接源_01水果!$C373&lt;&gt;$K$1,对接源_01水果!$B373=""),0,IF(OR(N(对接源_01水果!$B373)&lt;$K$2,N(对接源_01水果!$B373)&gt;$K$3),0,1))</f>
        <v>0</v>
      </c>
      <c r="L373">
        <f>IF(OR($L$1="",对接源_01水果!$C373="",对接源_01水果!$C373&lt;&gt;$L$1,对接源_01水果!$B373=""),0,IF(OR(N(对接源_01水果!$B373)&lt;$L$2,N(对接源_01水果!$B373)&gt;$L$3),0,1))</f>
        <v>0</v>
      </c>
      <c r="M373">
        <f>IF(OR($M$1="",对接源_01水果!$C373="",对接源_01水果!$C373&lt;&gt;$M$1,对接源_01水果!$B373=""),0,IF(OR(N(对接源_01水果!$B373)&lt;$M$2,N(对接源_01水果!$B373)&gt;$M$3),0,1))</f>
        <v>0</v>
      </c>
      <c r="N373">
        <f>IF(OR($N$1="",对接源_01水果!$C373="",对接源_01水果!$C373&lt;&gt;$N$1,对接源_01水果!$B373=""),0,IF(OR(N(对接源_01水果!$B373)&lt;$N$2,N(对接源_01水果!$B373)&gt;$N$3),0,1))</f>
        <v>1</v>
      </c>
      <c r="P373">
        <f>IF(AND($K373=1,AND(对接源_01水果!$X373="公司筐",N(对接源_01水果!$T373)&lt;&gt;0)),1,0)</f>
        <v>0</v>
      </c>
      <c r="Q373">
        <f>N(Q372)+$P373</f>
        <v>0</v>
      </c>
      <c r="R373">
        <f>IF(AND($K373=1,AND(对接源_01水果!$X373="公司筐",N(对接源_01水果!$U373)&lt;&gt;0)),1,0)</f>
        <v>0</v>
      </c>
      <c r="S373">
        <f>N(S372)+$R373</f>
        <v>0</v>
      </c>
      <c r="T373">
        <f>IF(AND($K373=1,AND(对接源_01水果!$X373="公司筐",N(对接源_01水果!$V373)&lt;&gt;0)),1,0)</f>
        <v>0</v>
      </c>
      <c r="U373">
        <f>N(U372)+$T373</f>
        <v>26</v>
      </c>
      <c r="V373">
        <f>IF(AND($L373=1,AND(对接源_01水果!$X373="自备筐",N(对接源_01水果!$V373)&lt;&gt;0)),1,0)</f>
        <v>0</v>
      </c>
      <c r="W373">
        <f>N(W372)+$V373</f>
        <v>11</v>
      </c>
      <c r="X373">
        <f>IF(AND($L373=1,AND(对接源_01水果!$X373="自备筐",N(对接源_01水果!$T373)&lt;&gt;0)),1,0)</f>
        <v>0</v>
      </c>
      <c r="Y373">
        <f>N(Y372)+$X373</f>
        <v>0</v>
      </c>
      <c r="Z373">
        <f>IF(AND($M373=1,对接源_01水果!$D373="原料入库"),1,0)</f>
        <v>0</v>
      </c>
      <c r="AA373">
        <f>N(AA372)+$Z373</f>
        <v>24</v>
      </c>
      <c r="AB373">
        <f>IF(AND($M373=1,LEFT(对接源_01水果!$D373,4)="原料出库"),1,0)</f>
        <v>0</v>
      </c>
      <c r="AC373">
        <f>N(AC372)+$AB373</f>
        <v>0</v>
      </c>
      <c r="AD373">
        <f>IF(AND($M373=1,LEFT(对接源_01水果!$D373,4)="成品出库"),1,0)</f>
        <v>0</v>
      </c>
      <c r="AE373">
        <f>N(AE372)+$AD373</f>
        <v>0</v>
      </c>
      <c r="AF373">
        <f>IF(AND($N373=1,AND(LEFT(对接源_01水果!$D373,4)="包装物料",N(对接源_01水果!$K373)&lt;&gt;0)),1,0)</f>
        <v>0</v>
      </c>
      <c r="AG373">
        <f>N(AG372)+$AF373</f>
        <v>0</v>
      </c>
      <c r="AH373">
        <f>IF(AND($N373=1,AND(对接源_01水果!$D373="周转筐－销售出库",N(对接源_01水果!$K373)&lt;&gt;0)),1,0)</f>
        <v>0</v>
      </c>
      <c r="AI373">
        <f>N(AI372)+$AH373</f>
        <v>0</v>
      </c>
      <c r="AJ373" s="7" t="n"/>
      <c r="AL373">
        <f>IF(OR($AL$1="",对接源_01水果!$Y373="",对接源_01水果!$Y373&lt;&gt;$AL$1,对接源_01水果!$B373="",N(对接源_01水果!$AJ373)&lt;=0),0,IF(OR(N(对接源_01水果!$B373)&lt;$AL$2,N(对接源_01水果!$B373)&gt;$AL$3),0,1))</f>
        <v>0</v>
      </c>
      <c r="AM373">
        <f>N(AM372)+$AL373</f>
        <v>0</v>
      </c>
      <c r="AN373">
        <f>IF(对接源_01水果!$AC373="","",对接源_01水果!$AC373)</f>
      </c>
      <c r="AO373">
        <f>IF(AN373="",0,IF(MATCH(AN373,$AN$4:$AN$1203,0)=ROW()-3,1,0))</f>
        <v>0</v>
      </c>
      <c r="AP373">
        <f>N(AP372)+$AO373</f>
        <v>0</v>
      </c>
      <c r="AR373">
        <f>IF(OR($AF373=1,$AH373=1),1,0)</f>
        <v>0</v>
      </c>
      <c r="AS373">
        <f>N(AS372)+$AR373</f>
        <v>0</v>
      </c>
    </row>
    <row r="374" ht="14.25" customHeight="1" s="127">
      <c r="A374" t="str">
        <f>IF(对接源_01水果!$C374="","",对接源_01水果!$C374)</f>
        <v>麦麦提</v>
      </c>
      <c r="B374">
        <f>IF(A374="",0,IF(MATCH(A374,$A$4:$A$2403,0)=ROW()-3,1,0))</f>
        <v>0</v>
      </c>
      <c r="C374">
        <f>N(C373)+B374</f>
        <v>19</v>
      </c>
      <c r="K374">
        <f>IF(OR($K$1="",对接源_01水果!$C374="",对接源_01水果!$C374&lt;&gt;$K$1,对接源_01水果!$B374=""),0,IF(OR(N(对接源_01水果!$B374)&lt;$K$2,N(对接源_01水果!$B374)&gt;$K$3),0,1))</f>
        <v>0</v>
      </c>
      <c r="L374">
        <f>IF(OR($L$1="",对接源_01水果!$C374="",对接源_01水果!$C374&lt;&gt;$L$1,对接源_01水果!$B374=""),0,IF(OR(N(对接源_01水果!$B374)&lt;$L$2,N(对接源_01水果!$B374)&gt;$L$3),0,1))</f>
        <v>0</v>
      </c>
      <c r="M374">
        <f>IF(OR($M$1="",对接源_01水果!$C374="",对接源_01水果!$C374&lt;&gt;$M$1,对接源_01水果!$B374=""),0,IF(OR(N(对接源_01水果!$B374)&lt;$M$2,N(对接源_01水果!$B374)&gt;$M$3),0,1))</f>
        <v>0</v>
      </c>
      <c r="N374">
        <f>IF(OR($N$1="",对接源_01水果!$C374="",对接源_01水果!$C374&lt;&gt;$N$1,对接源_01水果!$B374=""),0,IF(OR(N(对接源_01水果!$B374)&lt;$N$2,N(对接源_01水果!$B374)&gt;$N$3),0,1))</f>
        <v>1</v>
      </c>
      <c r="P374">
        <f>IF(AND($K374=1,AND(对接源_01水果!$X374="公司筐",N(对接源_01水果!$T374)&lt;&gt;0)),1,0)</f>
        <v>0</v>
      </c>
      <c r="Q374">
        <f>N(Q373)+$P374</f>
        <v>0</v>
      </c>
      <c r="R374">
        <f>IF(AND($K374=1,AND(对接源_01水果!$X374="公司筐",N(对接源_01水果!$U374)&lt;&gt;0)),1,0)</f>
        <v>0</v>
      </c>
      <c r="S374">
        <f>N(S373)+$R374</f>
        <v>0</v>
      </c>
      <c r="T374">
        <f>IF(AND($K374=1,AND(对接源_01水果!$X374="公司筐",N(对接源_01水果!$V374)&lt;&gt;0)),1,0)</f>
        <v>0</v>
      </c>
      <c r="U374">
        <f>N(U373)+$T374</f>
        <v>26</v>
      </c>
      <c r="V374">
        <f>IF(AND($L374=1,AND(对接源_01水果!$X374="自备筐",N(对接源_01水果!$V374)&lt;&gt;0)),1,0)</f>
        <v>0</v>
      </c>
      <c r="W374">
        <f>N(W373)+$V374</f>
        <v>11</v>
      </c>
      <c r="X374">
        <f>IF(AND($L374=1,AND(对接源_01水果!$X374="自备筐",N(对接源_01水果!$T374)&lt;&gt;0)),1,0)</f>
        <v>0</v>
      </c>
      <c r="Y374">
        <f>N(Y373)+$X374</f>
        <v>0</v>
      </c>
      <c r="Z374">
        <f>IF(AND($M374=1,对接源_01水果!$D374="原料入库"),1,0)</f>
        <v>0</v>
      </c>
      <c r="AA374">
        <f>N(AA373)+$Z374</f>
        <v>24</v>
      </c>
      <c r="AB374">
        <f>IF(AND($M374=1,LEFT(对接源_01水果!$D374,4)="原料出库"),1,0)</f>
        <v>0</v>
      </c>
      <c r="AC374">
        <f>N(AC373)+$AB374</f>
        <v>0</v>
      </c>
      <c r="AD374">
        <f>IF(AND($M374=1,LEFT(对接源_01水果!$D374,4)="成品出库"),1,0)</f>
        <v>0</v>
      </c>
      <c r="AE374">
        <f>N(AE373)+$AD374</f>
        <v>0</v>
      </c>
      <c r="AF374">
        <f>IF(AND($N374=1,AND(LEFT(对接源_01水果!$D374,4)="包装物料",N(对接源_01水果!$K374)&lt;&gt;0)),1,0)</f>
        <v>0</v>
      </c>
      <c r="AG374">
        <f>N(AG373)+$AF374</f>
        <v>0</v>
      </c>
      <c r="AH374">
        <f>IF(AND($N374=1,AND(对接源_01水果!$D374="周转筐－销售出库",N(对接源_01水果!$K374)&lt;&gt;0)),1,0)</f>
        <v>0</v>
      </c>
      <c r="AI374">
        <f>N(AI373)+$AH374</f>
        <v>0</v>
      </c>
      <c r="AJ374" s="7" t="n"/>
      <c r="AL374">
        <f>IF(OR($AL$1="",对接源_01水果!$Y374="",对接源_01水果!$Y374&lt;&gt;$AL$1,对接源_01水果!$B374="",N(对接源_01水果!$AJ374)&lt;=0),0,IF(OR(N(对接源_01水果!$B374)&lt;$AL$2,N(对接源_01水果!$B374)&gt;$AL$3),0,1))</f>
        <v>0</v>
      </c>
      <c r="AM374">
        <f>N(AM373)+$AL374</f>
        <v>0</v>
      </c>
      <c r="AN374">
        <f>IF(对接源_01水果!$AC374="","",对接源_01水果!$AC374)</f>
      </c>
      <c r="AO374">
        <f>IF(AN374="",0,IF(MATCH(AN374,$AN$4:$AN$1203,0)=ROW()-3,1,0))</f>
        <v>0</v>
      </c>
      <c r="AP374">
        <f>N(AP373)+$AO374</f>
        <v>0</v>
      </c>
      <c r="AR374">
        <f>IF(OR($AF374=1,$AH374=1),1,0)</f>
        <v>0</v>
      </c>
      <c r="AS374">
        <f>N(AS373)+$AR374</f>
        <v>0</v>
      </c>
    </row>
    <row r="375" ht="14.25" customHeight="1" s="127">
      <c r="A375" t="str">
        <f>IF(对接源_01水果!$C375="","",对接源_01水果!$C375)</f>
        <v>努尔敦</v>
      </c>
      <c r="B375">
        <f>IF(A375="",0,IF(MATCH(A375,$A$4:$A$2403,0)=ROW()-3,1,0))</f>
        <v>0</v>
      </c>
      <c r="C375">
        <f>N(C374)+B375</f>
        <v>19</v>
      </c>
      <c r="K375">
        <f>IF(OR($K$1="",对接源_01水果!$C375="",对接源_01水果!$C375&lt;&gt;$K$1,对接源_01水果!$B375=""),0,IF(OR(N(对接源_01水果!$B375)&lt;$K$2,N(对接源_01水果!$B375)&gt;$K$3),0,1))</f>
        <v>0</v>
      </c>
      <c r="L375">
        <f>IF(OR($L$1="",对接源_01水果!$C375="",对接源_01水果!$C375&lt;&gt;$L$1,对接源_01水果!$B375=""),0,IF(OR(N(对接源_01水果!$B375)&lt;$L$2,N(对接源_01水果!$B375)&gt;$L$3),0,1))</f>
        <v>0</v>
      </c>
      <c r="M375">
        <f>IF(OR($M$1="",对接源_01水果!$C375="",对接源_01水果!$C375&lt;&gt;$M$1,对接源_01水果!$B375=""),0,IF(OR(N(对接源_01水果!$B375)&lt;$M$2,N(对接源_01水果!$B375)&gt;$M$3),0,1))</f>
        <v>0</v>
      </c>
      <c r="N375">
        <f>IF(OR($N$1="",对接源_01水果!$C375="",对接源_01水果!$C375&lt;&gt;$N$1,对接源_01水果!$B375=""),0,IF(OR(N(对接源_01水果!$B375)&lt;$N$2,N(对接源_01水果!$B375)&gt;$N$3),0,1))</f>
        <v>0</v>
      </c>
      <c r="P375">
        <f>IF(AND($K375=1,AND(对接源_01水果!$X375="公司筐",N(对接源_01水果!$T375)&lt;&gt;0)),1,0)</f>
        <v>0</v>
      </c>
      <c r="Q375">
        <f>N(Q374)+$P375</f>
        <v>0</v>
      </c>
      <c r="R375">
        <f>IF(AND($K375=1,AND(对接源_01水果!$X375="公司筐",N(对接源_01水果!$U375)&lt;&gt;0)),1,0)</f>
        <v>0</v>
      </c>
      <c r="S375">
        <f>N(S374)+$R375</f>
        <v>0</v>
      </c>
      <c r="T375">
        <f>IF(AND($K375=1,AND(对接源_01水果!$X375="公司筐",N(对接源_01水果!$V375)&lt;&gt;0)),1,0)</f>
        <v>0</v>
      </c>
      <c r="U375">
        <f>N(U374)+$T375</f>
        <v>26</v>
      </c>
      <c r="V375">
        <f>IF(AND($L375=1,AND(对接源_01水果!$X375="自备筐",N(对接源_01水果!$V375)&lt;&gt;0)),1,0)</f>
        <v>0</v>
      </c>
      <c r="W375">
        <f>N(W374)+$V375</f>
        <v>11</v>
      </c>
      <c r="X375">
        <f>IF(AND($L375=1,AND(对接源_01水果!$X375="自备筐",N(对接源_01水果!$T375)&lt;&gt;0)),1,0)</f>
        <v>0</v>
      </c>
      <c r="Y375">
        <f>N(Y374)+$X375</f>
        <v>0</v>
      </c>
      <c r="Z375">
        <f>IF(AND($M375=1,对接源_01水果!$D375="原料入库"),1,0)</f>
        <v>0</v>
      </c>
      <c r="AA375">
        <f>N(AA374)+$Z375</f>
        <v>24</v>
      </c>
      <c r="AB375">
        <f>IF(AND($M375=1,LEFT(对接源_01水果!$D375,4)="原料出库"),1,0)</f>
        <v>0</v>
      </c>
      <c r="AC375">
        <f>N(AC374)+$AB375</f>
        <v>0</v>
      </c>
      <c r="AD375">
        <f>IF(AND($M375=1,LEFT(对接源_01水果!$D375,4)="成品出库"),1,0)</f>
        <v>0</v>
      </c>
      <c r="AE375">
        <f>N(AE374)+$AD375</f>
        <v>0</v>
      </c>
      <c r="AF375">
        <f>IF(AND($N375=1,AND(LEFT(对接源_01水果!$D375,4)="包装物料",N(对接源_01水果!$K375)&lt;&gt;0)),1,0)</f>
        <v>0</v>
      </c>
      <c r="AG375">
        <f>N(AG374)+$AF375</f>
        <v>0</v>
      </c>
      <c r="AH375">
        <f>IF(AND($N375=1,AND(对接源_01水果!$D375="周转筐－销售出库",N(对接源_01水果!$K375)&lt;&gt;0)),1,0)</f>
        <v>0</v>
      </c>
      <c r="AI375">
        <f>N(AI374)+$AH375</f>
        <v>0</v>
      </c>
      <c r="AJ375" s="7" t="n"/>
      <c r="AL375">
        <f>IF(OR($AL$1="",对接源_01水果!$Y375="",对接源_01水果!$Y375&lt;&gt;$AL$1,对接源_01水果!$B375="",N(对接源_01水果!$AJ375)&lt;=0),0,IF(OR(N(对接源_01水果!$B375)&lt;$AL$2,N(对接源_01水果!$B375)&gt;$AL$3),0,1))</f>
        <v>0</v>
      </c>
      <c r="AM375">
        <f>N(AM374)+$AL375</f>
        <v>0</v>
      </c>
      <c r="AN375">
        <f>IF(对接源_01水果!$AC375="","",对接源_01水果!$AC375)</f>
      </c>
      <c r="AO375">
        <f>IF(AN375="",0,IF(MATCH(AN375,$AN$4:$AN$1203,0)=ROW()-3,1,0))</f>
        <v>0</v>
      </c>
      <c r="AP375">
        <f>N(AP374)+$AO375</f>
        <v>0</v>
      </c>
      <c r="AR375">
        <f>IF(OR($AF375=1,$AH375=1),1,0)</f>
        <v>0</v>
      </c>
      <c r="AS375">
        <f>N(AS374)+$AR375</f>
        <v>0</v>
      </c>
    </row>
    <row r="376" ht="14.25" customHeight="1" s="127">
      <c r="A376" t="str">
        <f>IF(对接源_01水果!$C376="","",对接源_01水果!$C376)</f>
        <v>努尔敦</v>
      </c>
      <c r="B376">
        <f>IF(A376="",0,IF(MATCH(A376,$A$4:$A$2403,0)=ROW()-3,1,0))</f>
        <v>0</v>
      </c>
      <c r="C376">
        <f>N(C375)+B376</f>
        <v>19</v>
      </c>
      <c r="K376">
        <f>IF(OR($K$1="",对接源_01水果!$C376="",对接源_01水果!$C376&lt;&gt;$K$1,对接源_01水果!$B376=""),0,IF(OR(N(对接源_01水果!$B376)&lt;$K$2,N(对接源_01水果!$B376)&gt;$K$3),0,1))</f>
        <v>0</v>
      </c>
      <c r="L376">
        <f>IF(OR($L$1="",对接源_01水果!$C376="",对接源_01水果!$C376&lt;&gt;$L$1,对接源_01水果!$B376=""),0,IF(OR(N(对接源_01水果!$B376)&lt;$L$2,N(对接源_01水果!$B376)&gt;$L$3),0,1))</f>
        <v>0</v>
      </c>
      <c r="M376">
        <f>IF(OR($M$1="",对接源_01水果!$C376="",对接源_01水果!$C376&lt;&gt;$M$1,对接源_01水果!$B376=""),0,IF(OR(N(对接源_01水果!$B376)&lt;$M$2,N(对接源_01水果!$B376)&gt;$M$3),0,1))</f>
        <v>0</v>
      </c>
      <c r="N376">
        <f>IF(OR($N$1="",对接源_01水果!$C376="",对接源_01水果!$C376&lt;&gt;$N$1,对接源_01水果!$B376=""),0,IF(OR(N(对接源_01水果!$B376)&lt;$N$2,N(对接源_01水果!$B376)&gt;$N$3),0,1))</f>
        <v>0</v>
      </c>
      <c r="P376">
        <f>IF(AND($K376=1,AND(对接源_01水果!$X376="公司筐",N(对接源_01水果!$T376)&lt;&gt;0)),1,0)</f>
        <v>0</v>
      </c>
      <c r="Q376">
        <f>N(Q375)+$P376</f>
        <v>0</v>
      </c>
      <c r="R376">
        <f>IF(AND($K376=1,AND(对接源_01水果!$X376="公司筐",N(对接源_01水果!$U376)&lt;&gt;0)),1,0)</f>
        <v>0</v>
      </c>
      <c r="S376">
        <f>N(S375)+$R376</f>
        <v>0</v>
      </c>
      <c r="T376">
        <f>IF(AND($K376=1,AND(对接源_01水果!$X376="公司筐",N(对接源_01水果!$V376)&lt;&gt;0)),1,0)</f>
        <v>0</v>
      </c>
      <c r="U376">
        <f>N(U375)+$T376</f>
        <v>26</v>
      </c>
      <c r="V376">
        <f>IF(AND($L376=1,AND(对接源_01水果!$X376="自备筐",N(对接源_01水果!$V376)&lt;&gt;0)),1,0)</f>
        <v>0</v>
      </c>
      <c r="W376">
        <f>N(W375)+$V376</f>
        <v>11</v>
      </c>
      <c r="X376">
        <f>IF(AND($L376=1,AND(对接源_01水果!$X376="自备筐",N(对接源_01水果!$T376)&lt;&gt;0)),1,0)</f>
        <v>0</v>
      </c>
      <c r="Y376">
        <f>N(Y375)+$X376</f>
        <v>0</v>
      </c>
      <c r="Z376">
        <f>IF(AND($M376=1,对接源_01水果!$D376="原料入库"),1,0)</f>
        <v>0</v>
      </c>
      <c r="AA376">
        <f>N(AA375)+$Z376</f>
        <v>24</v>
      </c>
      <c r="AB376">
        <f>IF(AND($M376=1,LEFT(对接源_01水果!$D376,4)="原料出库"),1,0)</f>
        <v>0</v>
      </c>
      <c r="AC376">
        <f>N(AC375)+$AB376</f>
        <v>0</v>
      </c>
      <c r="AD376">
        <f>IF(AND($M376=1,LEFT(对接源_01水果!$D376,4)="成品出库"),1,0)</f>
        <v>0</v>
      </c>
      <c r="AE376">
        <f>N(AE375)+$AD376</f>
        <v>0</v>
      </c>
      <c r="AF376">
        <f>IF(AND($N376=1,AND(LEFT(对接源_01水果!$D376,4)="包装物料",N(对接源_01水果!$K376)&lt;&gt;0)),1,0)</f>
        <v>0</v>
      </c>
      <c r="AG376">
        <f>N(AG375)+$AF376</f>
        <v>0</v>
      </c>
      <c r="AH376">
        <f>IF(AND($N376=1,AND(对接源_01水果!$D376="周转筐－销售出库",N(对接源_01水果!$K376)&lt;&gt;0)),1,0)</f>
        <v>0</v>
      </c>
      <c r="AI376">
        <f>N(AI375)+$AH376</f>
        <v>0</v>
      </c>
      <c r="AJ376" s="7" t="n"/>
      <c r="AL376">
        <f>IF(OR($AL$1="",对接源_01水果!$Y376="",对接源_01水果!$Y376&lt;&gt;$AL$1,对接源_01水果!$B376="",N(对接源_01水果!$AJ376)&lt;=0),0,IF(OR(N(对接源_01水果!$B376)&lt;$AL$2,N(对接源_01水果!$B376)&gt;$AL$3),0,1))</f>
        <v>0</v>
      </c>
      <c r="AM376">
        <f>N(AM375)+$AL376</f>
        <v>0</v>
      </c>
      <c r="AN376">
        <f>IF(对接源_01水果!$AC376="","",对接源_01水果!$AC376)</f>
      </c>
      <c r="AO376">
        <f>IF(AN376="",0,IF(MATCH(AN376,$AN$4:$AN$1203,0)=ROW()-3,1,0))</f>
        <v>0</v>
      </c>
      <c r="AP376">
        <f>N(AP375)+$AO376</f>
        <v>0</v>
      </c>
      <c r="AR376">
        <f>IF(OR($AF376=1,$AH376=1),1,0)</f>
        <v>0</v>
      </c>
      <c r="AS376">
        <f>N(AS375)+$AR376</f>
        <v>0</v>
      </c>
    </row>
    <row r="377" ht="14.25" customHeight="1" s="127">
      <c r="A377" t="str">
        <f>IF(对接源_01水果!$C377="","",对接源_01水果!$C377)</f>
        <v>努尔敦</v>
      </c>
      <c r="B377">
        <f>IF(A377="",0,IF(MATCH(A377,$A$4:$A$2403,0)=ROW()-3,1,0))</f>
        <v>0</v>
      </c>
      <c r="C377">
        <f>N(C376)+B377</f>
        <v>19</v>
      </c>
      <c r="K377">
        <f>IF(OR($K$1="",对接源_01水果!$C377="",对接源_01水果!$C377&lt;&gt;$K$1,对接源_01水果!$B377=""),0,IF(OR(N(对接源_01水果!$B377)&lt;$K$2,N(对接源_01水果!$B377)&gt;$K$3),0,1))</f>
        <v>0</v>
      </c>
      <c r="L377">
        <f>IF(OR($L$1="",对接源_01水果!$C377="",对接源_01水果!$C377&lt;&gt;$L$1,对接源_01水果!$B377=""),0,IF(OR(N(对接源_01水果!$B377)&lt;$L$2,N(对接源_01水果!$B377)&gt;$L$3),0,1))</f>
        <v>0</v>
      </c>
      <c r="M377">
        <f>IF(OR($M$1="",对接源_01水果!$C377="",对接源_01水果!$C377&lt;&gt;$M$1,对接源_01水果!$B377=""),0,IF(OR(N(对接源_01水果!$B377)&lt;$M$2,N(对接源_01水果!$B377)&gt;$M$3),0,1))</f>
        <v>0</v>
      </c>
      <c r="N377">
        <f>IF(OR($N$1="",对接源_01水果!$C377="",对接源_01水果!$C377&lt;&gt;$N$1,对接源_01水果!$B377=""),0,IF(OR(N(对接源_01水果!$B377)&lt;$N$2,N(对接源_01水果!$B377)&gt;$N$3),0,1))</f>
        <v>0</v>
      </c>
      <c r="P377">
        <f>IF(AND($K377=1,AND(对接源_01水果!$X377="公司筐",N(对接源_01水果!$T377)&lt;&gt;0)),1,0)</f>
        <v>0</v>
      </c>
      <c r="Q377">
        <f>N(Q376)+$P377</f>
        <v>0</v>
      </c>
      <c r="R377">
        <f>IF(AND($K377=1,AND(对接源_01水果!$X377="公司筐",N(对接源_01水果!$U377)&lt;&gt;0)),1,0)</f>
        <v>0</v>
      </c>
      <c r="S377">
        <f>N(S376)+$R377</f>
        <v>0</v>
      </c>
      <c r="T377">
        <f>IF(AND($K377=1,AND(对接源_01水果!$X377="公司筐",N(对接源_01水果!$V377)&lt;&gt;0)),1,0)</f>
        <v>0</v>
      </c>
      <c r="U377">
        <f>N(U376)+$T377</f>
        <v>26</v>
      </c>
      <c r="V377">
        <f>IF(AND($L377=1,AND(对接源_01水果!$X377="自备筐",N(对接源_01水果!$V377)&lt;&gt;0)),1,0)</f>
        <v>0</v>
      </c>
      <c r="W377">
        <f>N(W376)+$V377</f>
        <v>11</v>
      </c>
      <c r="X377">
        <f>IF(AND($L377=1,AND(对接源_01水果!$X377="自备筐",N(对接源_01水果!$T377)&lt;&gt;0)),1,0)</f>
        <v>0</v>
      </c>
      <c r="Y377">
        <f>N(Y376)+$X377</f>
        <v>0</v>
      </c>
      <c r="Z377">
        <f>IF(AND($M377=1,对接源_01水果!$D377="原料入库"),1,0)</f>
        <v>0</v>
      </c>
      <c r="AA377">
        <f>N(AA376)+$Z377</f>
        <v>24</v>
      </c>
      <c r="AB377">
        <f>IF(AND($M377=1,LEFT(对接源_01水果!$D377,4)="原料出库"),1,0)</f>
        <v>0</v>
      </c>
      <c r="AC377">
        <f>N(AC376)+$AB377</f>
        <v>0</v>
      </c>
      <c r="AD377">
        <f>IF(AND($M377=1,LEFT(对接源_01水果!$D377,4)="成品出库"),1,0)</f>
        <v>0</v>
      </c>
      <c r="AE377">
        <f>N(AE376)+$AD377</f>
        <v>0</v>
      </c>
      <c r="AF377">
        <f>IF(AND($N377=1,AND(LEFT(对接源_01水果!$D377,4)="包装物料",N(对接源_01水果!$K377)&lt;&gt;0)),1,0)</f>
        <v>0</v>
      </c>
      <c r="AG377">
        <f>N(AG376)+$AF377</f>
        <v>0</v>
      </c>
      <c r="AH377">
        <f>IF(AND($N377=1,AND(对接源_01水果!$D377="周转筐－销售出库",N(对接源_01水果!$K377)&lt;&gt;0)),1,0)</f>
        <v>0</v>
      </c>
      <c r="AI377">
        <f>N(AI376)+$AH377</f>
        <v>0</v>
      </c>
      <c r="AJ377" s="7" t="n"/>
      <c r="AL377">
        <f>IF(OR($AL$1="",对接源_01水果!$Y377="",对接源_01水果!$Y377&lt;&gt;$AL$1,对接源_01水果!$B377="",N(对接源_01水果!$AJ377)&lt;=0),0,IF(OR(N(对接源_01水果!$B377)&lt;$AL$2,N(对接源_01水果!$B377)&gt;$AL$3),0,1))</f>
        <v>0</v>
      </c>
      <c r="AM377">
        <f>N(AM376)+$AL377</f>
        <v>0</v>
      </c>
      <c r="AN377">
        <f>IF(对接源_01水果!$AC377="","",对接源_01水果!$AC377)</f>
      </c>
      <c r="AO377">
        <f>IF(AN377="",0,IF(MATCH(AN377,$AN$4:$AN$1203,0)=ROW()-3,1,0))</f>
        <v>0</v>
      </c>
      <c r="AP377">
        <f>N(AP376)+$AO377</f>
        <v>0</v>
      </c>
      <c r="AR377">
        <f>IF(OR($AF377=1,$AH377=1),1,0)</f>
        <v>0</v>
      </c>
      <c r="AS377">
        <f>N(AS376)+$AR377</f>
        <v>0</v>
      </c>
    </row>
    <row r="378" ht="14.25" customHeight="1" s="127">
      <c r="A378" t="str">
        <f>IF(对接源_01水果!$C378="","",对接源_01水果!$C378)</f>
        <v>王灵云</v>
      </c>
      <c r="B378">
        <f>IF(A378="",0,IF(MATCH(A378,$A$4:$A$2403,0)=ROW()-3,1,0))</f>
        <v>0</v>
      </c>
      <c r="C378">
        <f>N(C377)+B378</f>
        <v>19</v>
      </c>
      <c r="K378">
        <f>IF(OR($K$1="",对接源_01水果!$C378="",对接源_01水果!$C378&lt;&gt;$K$1,对接源_01水果!$B378=""),0,IF(OR(N(对接源_01水果!$B378)&lt;$K$2,N(对接源_01水果!$B378)&gt;$K$3),0,1))</f>
        <v>1</v>
      </c>
      <c r="L378">
        <f>IF(OR($L$1="",对接源_01水果!$C378="",对接源_01水果!$C378&lt;&gt;$L$1,对接源_01水果!$B378=""),0,IF(OR(N(对接源_01水果!$B378)&lt;$L$2,N(对接源_01水果!$B378)&gt;$L$3),0,1))</f>
        <v>0</v>
      </c>
      <c r="M378">
        <f>IF(OR($M$1="",对接源_01水果!$C378="",对接源_01水果!$C378&lt;&gt;$M$1,对接源_01水果!$B378=""),0,IF(OR(N(对接源_01水果!$B378)&lt;$M$2,N(对接源_01水果!$B378)&gt;$M$3),0,1))</f>
        <v>0</v>
      </c>
      <c r="N378">
        <f>IF(OR($N$1="",对接源_01水果!$C378="",对接源_01水果!$C378&lt;&gt;$N$1,对接源_01水果!$B378=""),0,IF(OR(N(对接源_01水果!$B378)&lt;$N$2,N(对接源_01水果!$B378)&gt;$N$3),0,1))</f>
        <v>0</v>
      </c>
      <c r="P378">
        <f>IF(AND($K378=1,AND(对接源_01水果!$X378="公司筐",N(对接源_01水果!$T378)&lt;&gt;0)),1,0)</f>
        <v>0</v>
      </c>
      <c r="Q378">
        <f>N(Q377)+$P378</f>
        <v>0</v>
      </c>
      <c r="R378">
        <f>IF(AND($K378=1,AND(对接源_01水果!$X378="公司筐",N(对接源_01水果!$U378)&lt;&gt;0)),1,0)</f>
        <v>0</v>
      </c>
      <c r="S378">
        <f>N(S377)+$R378</f>
        <v>0</v>
      </c>
      <c r="T378">
        <f>IF(AND($K378=1,AND(对接源_01水果!$X378="公司筐",N(对接源_01水果!$V378)&lt;&gt;0)),1,0)</f>
        <v>1</v>
      </c>
      <c r="U378">
        <f>N(U377)+$T378</f>
        <v>27</v>
      </c>
      <c r="V378">
        <f>IF(AND($L378=1,AND(对接源_01水果!$X378="自备筐",N(对接源_01水果!$V378)&lt;&gt;0)),1,0)</f>
        <v>0</v>
      </c>
      <c r="W378">
        <f>N(W377)+$V378</f>
        <v>11</v>
      </c>
      <c r="X378">
        <f>IF(AND($L378=1,AND(对接源_01水果!$X378="自备筐",N(对接源_01水果!$T378)&lt;&gt;0)),1,0)</f>
        <v>0</v>
      </c>
      <c r="Y378">
        <f>N(Y377)+$X378</f>
        <v>0</v>
      </c>
      <c r="Z378">
        <f>IF(AND($M378=1,对接源_01水果!$D378="原料入库"),1,0)</f>
        <v>0</v>
      </c>
      <c r="AA378">
        <f>N(AA377)+$Z378</f>
        <v>24</v>
      </c>
      <c r="AB378">
        <f>IF(AND($M378=1,LEFT(对接源_01水果!$D378,4)="原料出库"),1,0)</f>
        <v>0</v>
      </c>
      <c r="AC378">
        <f>N(AC377)+$AB378</f>
        <v>0</v>
      </c>
      <c r="AD378">
        <f>IF(AND($M378=1,LEFT(对接源_01水果!$D378,4)="成品出库"),1,0)</f>
        <v>0</v>
      </c>
      <c r="AE378">
        <f>N(AE377)+$AD378</f>
        <v>0</v>
      </c>
      <c r="AF378">
        <f>IF(AND($N378=1,AND(LEFT(对接源_01水果!$D378,4)="包装物料",N(对接源_01水果!$K378)&lt;&gt;0)),1,0)</f>
        <v>0</v>
      </c>
      <c r="AG378">
        <f>N(AG377)+$AF378</f>
        <v>0</v>
      </c>
      <c r="AH378">
        <f>IF(AND($N378=1,AND(对接源_01水果!$D378="周转筐－销售出库",N(对接源_01水果!$K378)&lt;&gt;0)),1,0)</f>
        <v>0</v>
      </c>
      <c r="AI378">
        <f>N(AI377)+$AH378</f>
        <v>0</v>
      </c>
      <c r="AJ378" s="7" t="n"/>
      <c r="AL378">
        <f>IF(OR($AL$1="",对接源_01水果!$Y378="",对接源_01水果!$Y378&lt;&gt;$AL$1,对接源_01水果!$B378="",N(对接源_01水果!$AJ378)&lt;=0),0,IF(OR(N(对接源_01水果!$B378)&lt;$AL$2,N(对接源_01水果!$B378)&gt;$AL$3),0,1))</f>
        <v>0</v>
      </c>
      <c r="AM378">
        <f>N(AM377)+$AL378</f>
        <v>0</v>
      </c>
      <c r="AN378">
        <f>IF(对接源_01水果!$AC378="","",对接源_01水果!$AC378)</f>
      </c>
      <c r="AO378">
        <f>IF(AN378="",0,IF(MATCH(AN378,$AN$4:$AN$1203,0)=ROW()-3,1,0))</f>
        <v>0</v>
      </c>
      <c r="AP378">
        <f>N(AP377)+$AO378</f>
        <v>0</v>
      </c>
      <c r="AR378">
        <f>IF(OR($AF378=1,$AH378=1),1,0)</f>
        <v>0</v>
      </c>
      <c r="AS378">
        <f>N(AS377)+$AR378</f>
        <v>0</v>
      </c>
    </row>
    <row r="379" ht="14.25" customHeight="1" s="127">
      <c r="A379" t="str">
        <f>IF(对接源_01水果!$C379="","",对接源_01水果!$C379)</f>
        <v>王灵云</v>
      </c>
      <c r="B379">
        <f>IF(A379="",0,IF(MATCH(A379,$A$4:$A$2403,0)=ROW()-3,1,0))</f>
        <v>0</v>
      </c>
      <c r="C379">
        <f>N(C378)+B379</f>
        <v>19</v>
      </c>
      <c r="K379">
        <f>IF(OR($K$1="",对接源_01水果!$C379="",对接源_01水果!$C379&lt;&gt;$K$1,对接源_01水果!$B379=""),0,IF(OR(N(对接源_01水果!$B379)&lt;$K$2,N(对接源_01水果!$B379)&gt;$K$3),0,1))</f>
        <v>1</v>
      </c>
      <c r="L379">
        <f>IF(OR($L$1="",对接源_01水果!$C379="",对接源_01水果!$C379&lt;&gt;$L$1,对接源_01水果!$B379=""),0,IF(OR(N(对接源_01水果!$B379)&lt;$L$2,N(对接源_01水果!$B379)&gt;$L$3),0,1))</f>
        <v>0</v>
      </c>
      <c r="M379">
        <f>IF(OR($M$1="",对接源_01水果!$C379="",对接源_01水果!$C379&lt;&gt;$M$1,对接源_01水果!$B379=""),0,IF(OR(N(对接源_01水果!$B379)&lt;$M$2,N(对接源_01水果!$B379)&gt;$M$3),0,1))</f>
        <v>0</v>
      </c>
      <c r="N379">
        <f>IF(OR($N$1="",对接源_01水果!$C379="",对接源_01水果!$C379&lt;&gt;$N$1,对接源_01水果!$B379=""),0,IF(OR(N(对接源_01水果!$B379)&lt;$N$2,N(对接源_01水果!$B379)&gt;$N$3),0,1))</f>
        <v>0</v>
      </c>
      <c r="P379">
        <f>IF(AND($K379=1,AND(对接源_01水果!$X379="公司筐",N(对接源_01水果!$T379)&lt;&gt;0)),1,0)</f>
        <v>0</v>
      </c>
      <c r="Q379">
        <f>N(Q378)+$P379</f>
        <v>0</v>
      </c>
      <c r="R379">
        <f>IF(AND($K379=1,AND(对接源_01水果!$X379="公司筐",N(对接源_01水果!$U379)&lt;&gt;0)),1,0)</f>
        <v>0</v>
      </c>
      <c r="S379">
        <f>N(S378)+$R379</f>
        <v>0</v>
      </c>
      <c r="T379">
        <f>IF(AND($K379=1,AND(对接源_01水果!$X379="公司筐",N(对接源_01水果!$V379)&lt;&gt;0)),1,0)</f>
        <v>1</v>
      </c>
      <c r="U379">
        <f>N(U378)+$T379</f>
        <v>28</v>
      </c>
      <c r="V379">
        <f>IF(AND($L379=1,AND(对接源_01水果!$X379="自备筐",N(对接源_01水果!$V379)&lt;&gt;0)),1,0)</f>
        <v>0</v>
      </c>
      <c r="W379">
        <f>N(W378)+$V379</f>
        <v>11</v>
      </c>
      <c r="X379">
        <f>IF(AND($L379=1,AND(对接源_01水果!$X379="自备筐",N(对接源_01水果!$T379)&lt;&gt;0)),1,0)</f>
        <v>0</v>
      </c>
      <c r="Y379">
        <f>N(Y378)+$X379</f>
        <v>0</v>
      </c>
      <c r="Z379">
        <f>IF(AND($M379=1,对接源_01水果!$D379="原料入库"),1,0)</f>
        <v>0</v>
      </c>
      <c r="AA379">
        <f>N(AA378)+$Z379</f>
        <v>24</v>
      </c>
      <c r="AB379">
        <f>IF(AND($M379=1,LEFT(对接源_01水果!$D379,4)="原料出库"),1,0)</f>
        <v>0</v>
      </c>
      <c r="AC379">
        <f>N(AC378)+$AB379</f>
        <v>0</v>
      </c>
      <c r="AD379">
        <f>IF(AND($M379=1,LEFT(对接源_01水果!$D379,4)="成品出库"),1,0)</f>
        <v>0</v>
      </c>
      <c r="AE379">
        <f>N(AE378)+$AD379</f>
        <v>0</v>
      </c>
      <c r="AF379">
        <f>IF(AND($N379=1,AND(LEFT(对接源_01水果!$D379,4)="包装物料",N(对接源_01水果!$K379)&lt;&gt;0)),1,0)</f>
        <v>0</v>
      </c>
      <c r="AG379">
        <f>N(AG378)+$AF379</f>
        <v>0</v>
      </c>
      <c r="AH379">
        <f>IF(AND($N379=1,AND(对接源_01水果!$D379="周转筐－销售出库",N(对接源_01水果!$K379)&lt;&gt;0)),1,0)</f>
        <v>0</v>
      </c>
      <c r="AI379">
        <f>N(AI378)+$AH379</f>
        <v>0</v>
      </c>
      <c r="AJ379" s="7" t="n"/>
      <c r="AL379">
        <f>IF(OR($AL$1="",对接源_01水果!$Y379="",对接源_01水果!$Y379&lt;&gt;$AL$1,对接源_01水果!$B379="",N(对接源_01水果!$AJ379)&lt;=0),0,IF(OR(N(对接源_01水果!$B379)&lt;$AL$2,N(对接源_01水果!$B379)&gt;$AL$3),0,1))</f>
        <v>0</v>
      </c>
      <c r="AM379">
        <f>N(AM378)+$AL379</f>
        <v>0</v>
      </c>
      <c r="AN379">
        <f>IF(对接源_01水果!$AC379="","",对接源_01水果!$AC379)</f>
      </c>
      <c r="AO379">
        <f>IF(AN379="",0,IF(MATCH(AN379,$AN$4:$AN$1203,0)=ROW()-3,1,0))</f>
        <v>0</v>
      </c>
      <c r="AP379">
        <f>N(AP378)+$AO379</f>
        <v>0</v>
      </c>
      <c r="AR379">
        <f>IF(OR($AF379=1,$AH379=1),1,0)</f>
        <v>0</v>
      </c>
      <c r="AS379">
        <f>N(AS378)+$AR379</f>
        <v>0</v>
      </c>
    </row>
    <row r="380" ht="14.25" customHeight="1" s="127">
      <c r="A380" t="str">
        <f>IF(对接源_01水果!$C380="","",对接源_01水果!$C380)</f>
        <v>王灵云</v>
      </c>
      <c r="B380">
        <f>IF(A380="",0,IF(MATCH(A380,$A$4:$A$2403,0)=ROW()-3,1,0))</f>
        <v>0</v>
      </c>
      <c r="C380">
        <f>N(C379)+B380</f>
        <v>19</v>
      </c>
      <c r="K380">
        <f>IF(OR($K$1="",对接源_01水果!$C380="",对接源_01水果!$C380&lt;&gt;$K$1,对接源_01水果!$B380=""),0,IF(OR(N(对接源_01水果!$B380)&lt;$K$2,N(对接源_01水果!$B380)&gt;$K$3),0,1))</f>
        <v>1</v>
      </c>
      <c r="L380">
        <f>IF(OR($L$1="",对接源_01水果!$C380="",对接源_01水果!$C380&lt;&gt;$L$1,对接源_01水果!$B380=""),0,IF(OR(N(对接源_01水果!$B380)&lt;$L$2,N(对接源_01水果!$B380)&gt;$L$3),0,1))</f>
        <v>0</v>
      </c>
      <c r="M380">
        <f>IF(OR($M$1="",对接源_01水果!$C380="",对接源_01水果!$C380&lt;&gt;$M$1,对接源_01水果!$B380=""),0,IF(OR(N(对接源_01水果!$B380)&lt;$M$2,N(对接源_01水果!$B380)&gt;$M$3),0,1))</f>
        <v>0</v>
      </c>
      <c r="N380">
        <f>IF(OR($N$1="",对接源_01水果!$C380="",对接源_01水果!$C380&lt;&gt;$N$1,对接源_01水果!$B380=""),0,IF(OR(N(对接源_01水果!$B380)&lt;$N$2,N(对接源_01水果!$B380)&gt;$N$3),0,1))</f>
        <v>0</v>
      </c>
      <c r="P380">
        <f>IF(AND($K380=1,AND(对接源_01水果!$X380="公司筐",N(对接源_01水果!$T380)&lt;&gt;0)),1,0)</f>
        <v>0</v>
      </c>
      <c r="Q380">
        <f>N(Q379)+$P380</f>
        <v>0</v>
      </c>
      <c r="R380">
        <f>IF(AND($K380=1,AND(对接源_01水果!$X380="公司筐",N(对接源_01水果!$U380)&lt;&gt;0)),1,0)</f>
        <v>0</v>
      </c>
      <c r="S380">
        <f>N(S379)+$R380</f>
        <v>0</v>
      </c>
      <c r="T380">
        <f>IF(AND($K380=1,AND(对接源_01水果!$X380="公司筐",N(对接源_01水果!$V380)&lt;&gt;0)),1,0)</f>
        <v>1</v>
      </c>
      <c r="U380">
        <f>N(U379)+$T380</f>
        <v>29</v>
      </c>
      <c r="V380">
        <f>IF(AND($L380=1,AND(对接源_01水果!$X380="自备筐",N(对接源_01水果!$V380)&lt;&gt;0)),1,0)</f>
        <v>0</v>
      </c>
      <c r="W380">
        <f>N(W379)+$V380</f>
        <v>11</v>
      </c>
      <c r="X380">
        <f>IF(AND($L380=1,AND(对接源_01水果!$X380="自备筐",N(对接源_01水果!$T380)&lt;&gt;0)),1,0)</f>
        <v>0</v>
      </c>
      <c r="Y380">
        <f>N(Y379)+$X380</f>
        <v>0</v>
      </c>
      <c r="Z380">
        <f>IF(AND($M380=1,对接源_01水果!$D380="原料入库"),1,0)</f>
        <v>0</v>
      </c>
      <c r="AA380">
        <f>N(AA379)+$Z380</f>
        <v>24</v>
      </c>
      <c r="AB380">
        <f>IF(AND($M380=1,LEFT(对接源_01水果!$D380,4)="原料出库"),1,0)</f>
        <v>0</v>
      </c>
      <c r="AC380">
        <f>N(AC379)+$AB380</f>
        <v>0</v>
      </c>
      <c r="AD380">
        <f>IF(AND($M380=1,LEFT(对接源_01水果!$D380,4)="成品出库"),1,0)</f>
        <v>0</v>
      </c>
      <c r="AE380">
        <f>N(AE379)+$AD380</f>
        <v>0</v>
      </c>
      <c r="AF380">
        <f>IF(AND($N380=1,AND(LEFT(对接源_01水果!$D380,4)="包装物料",N(对接源_01水果!$K380)&lt;&gt;0)),1,0)</f>
        <v>0</v>
      </c>
      <c r="AG380">
        <f>N(AG379)+$AF380</f>
        <v>0</v>
      </c>
      <c r="AH380">
        <f>IF(AND($N380=1,AND(对接源_01水果!$D380="周转筐－销售出库",N(对接源_01水果!$K380)&lt;&gt;0)),1,0)</f>
        <v>0</v>
      </c>
      <c r="AI380">
        <f>N(AI379)+$AH380</f>
        <v>0</v>
      </c>
      <c r="AJ380" s="7" t="n"/>
      <c r="AL380">
        <f>IF(OR($AL$1="",对接源_01水果!$Y380="",对接源_01水果!$Y380&lt;&gt;$AL$1,对接源_01水果!$B380="",N(对接源_01水果!$AJ380)&lt;=0),0,IF(OR(N(对接源_01水果!$B380)&lt;$AL$2,N(对接源_01水果!$B380)&gt;$AL$3),0,1))</f>
        <v>0</v>
      </c>
      <c r="AM380">
        <f>N(AM379)+$AL380</f>
        <v>0</v>
      </c>
      <c r="AN380">
        <f>IF(对接源_01水果!$AC380="","",对接源_01水果!$AC380)</f>
      </c>
      <c r="AO380">
        <f>IF(AN380="",0,IF(MATCH(AN380,$AN$4:$AN$1203,0)=ROW()-3,1,0))</f>
        <v>0</v>
      </c>
      <c r="AP380">
        <f>N(AP379)+$AO380</f>
        <v>0</v>
      </c>
      <c r="AR380">
        <f>IF(OR($AF380=1,$AH380=1),1,0)</f>
        <v>0</v>
      </c>
      <c r="AS380">
        <f>N(AS379)+$AR380</f>
        <v>0</v>
      </c>
    </row>
    <row r="381" ht="14.25" customHeight="1" s="127">
      <c r="A381" t="str">
        <f>IF(对接源_01水果!$C381="","",对接源_01水果!$C381)</f>
        <v>王照雪</v>
      </c>
      <c r="B381">
        <f>IF(A381="",0,IF(MATCH(A381,$A$4:$A$2403,0)=ROW()-3,1,0))</f>
        <v>0</v>
      </c>
      <c r="C381">
        <f>N(C380)+B381</f>
        <v>19</v>
      </c>
      <c r="K381">
        <f>IF(OR($K$1="",对接源_01水果!$C381="",对接源_01水果!$C381&lt;&gt;$K$1,对接源_01水果!$B381=""),0,IF(OR(N(对接源_01水果!$B381)&lt;$K$2,N(对接源_01水果!$B381)&gt;$K$3),0,1))</f>
        <v>0</v>
      </c>
      <c r="L381">
        <f>IF(OR($L$1="",对接源_01水果!$C381="",对接源_01水果!$C381&lt;&gt;$L$1,对接源_01水果!$B381=""),0,IF(OR(N(对接源_01水果!$B381)&lt;$L$2,N(对接源_01水果!$B381)&gt;$L$3),0,1))</f>
        <v>0</v>
      </c>
      <c r="M381">
        <f>IF(OR($M$1="",对接源_01水果!$C381="",对接源_01水果!$C381&lt;&gt;$M$1,对接源_01水果!$B381=""),0,IF(OR(N(对接源_01水果!$B381)&lt;$M$2,N(对接源_01水果!$B381)&gt;$M$3),0,1))</f>
        <v>0</v>
      </c>
      <c r="N381">
        <f>IF(OR($N$1="",对接源_01水果!$C381="",对接源_01水果!$C381&lt;&gt;$N$1,对接源_01水果!$B381=""),0,IF(OR(N(对接源_01水果!$B381)&lt;$N$2,N(对接源_01水果!$B381)&gt;$N$3),0,1))</f>
        <v>0</v>
      </c>
      <c r="P381">
        <f>IF(AND($K381=1,AND(对接源_01水果!$X381="公司筐",N(对接源_01水果!$T381)&lt;&gt;0)),1,0)</f>
        <v>0</v>
      </c>
      <c r="Q381">
        <f>N(Q380)+$P381</f>
        <v>0</v>
      </c>
      <c r="R381">
        <f>IF(AND($K381=1,AND(对接源_01水果!$X381="公司筐",N(对接源_01水果!$U381)&lt;&gt;0)),1,0)</f>
        <v>0</v>
      </c>
      <c r="S381">
        <f>N(S380)+$R381</f>
        <v>0</v>
      </c>
      <c r="T381">
        <f>IF(AND($K381=1,AND(对接源_01水果!$X381="公司筐",N(对接源_01水果!$V381)&lt;&gt;0)),1,0)</f>
        <v>0</v>
      </c>
      <c r="U381">
        <f>N(U380)+$T381</f>
        <v>29</v>
      </c>
      <c r="V381">
        <f>IF(AND($L381=1,AND(对接源_01水果!$X381="自备筐",N(对接源_01水果!$V381)&lt;&gt;0)),1,0)</f>
        <v>0</v>
      </c>
      <c r="W381">
        <f>N(W380)+$V381</f>
        <v>11</v>
      </c>
      <c r="X381">
        <f>IF(AND($L381=1,AND(对接源_01水果!$X381="自备筐",N(对接源_01水果!$T381)&lt;&gt;0)),1,0)</f>
        <v>0</v>
      </c>
      <c r="Y381">
        <f>N(Y380)+$X381</f>
        <v>0</v>
      </c>
      <c r="Z381">
        <f>IF(AND($M381=1,对接源_01水果!$D381="原料入库"),1,0)</f>
        <v>0</v>
      </c>
      <c r="AA381">
        <f>N(AA380)+$Z381</f>
        <v>24</v>
      </c>
      <c r="AB381">
        <f>IF(AND($M381=1,LEFT(对接源_01水果!$D381,4)="原料出库"),1,0)</f>
        <v>0</v>
      </c>
      <c r="AC381">
        <f>N(AC380)+$AB381</f>
        <v>0</v>
      </c>
      <c r="AD381">
        <f>IF(AND($M381=1,LEFT(对接源_01水果!$D381,4)="成品出库"),1,0)</f>
        <v>0</v>
      </c>
      <c r="AE381">
        <f>N(AE380)+$AD381</f>
        <v>0</v>
      </c>
      <c r="AF381">
        <f>IF(AND($N381=1,AND(LEFT(对接源_01水果!$D381,4)="包装物料",N(对接源_01水果!$K381)&lt;&gt;0)),1,0)</f>
        <v>0</v>
      </c>
      <c r="AG381">
        <f>N(AG380)+$AF381</f>
        <v>0</v>
      </c>
      <c r="AH381">
        <f>IF(AND($N381=1,AND(对接源_01水果!$D381="周转筐－销售出库",N(对接源_01水果!$K381)&lt;&gt;0)),1,0)</f>
        <v>0</v>
      </c>
      <c r="AI381">
        <f>N(AI380)+$AH381</f>
        <v>0</v>
      </c>
      <c r="AJ381" s="7" t="n"/>
      <c r="AL381">
        <f>IF(OR($AL$1="",对接源_01水果!$Y381="",对接源_01水果!$Y381&lt;&gt;$AL$1,对接源_01水果!$B381="",N(对接源_01水果!$AJ381)&lt;=0),0,IF(OR(N(对接源_01水果!$B381)&lt;$AL$2,N(对接源_01水果!$B381)&gt;$AL$3),0,1))</f>
        <v>0</v>
      </c>
      <c r="AM381">
        <f>N(AM380)+$AL381</f>
        <v>0</v>
      </c>
      <c r="AN381">
        <f>IF(对接源_01水果!$AC381="","",对接源_01水果!$AC381)</f>
      </c>
      <c r="AO381">
        <f>IF(AN381="",0,IF(MATCH(AN381,$AN$4:$AN$1203,0)=ROW()-3,1,0))</f>
        <v>0</v>
      </c>
      <c r="AP381">
        <f>N(AP380)+$AO381</f>
        <v>0</v>
      </c>
      <c r="AR381">
        <f>IF(OR($AF381=1,$AH381=1),1,0)</f>
        <v>0</v>
      </c>
      <c r="AS381">
        <f>N(AS380)+$AR381</f>
        <v>0</v>
      </c>
    </row>
    <row r="382" ht="14.25" customHeight="1" s="127">
      <c r="A382" t="str">
        <f>IF(对接源_01水果!$C382="","",对接源_01水果!$C382)</f>
        <v>王照雪</v>
      </c>
      <c r="B382">
        <f>IF(A382="",0,IF(MATCH(A382,$A$4:$A$2403,0)=ROW()-3,1,0))</f>
        <v>0</v>
      </c>
      <c r="C382">
        <f>N(C381)+B382</f>
        <v>19</v>
      </c>
      <c r="K382">
        <f>IF(OR($K$1="",对接源_01水果!$C382="",对接源_01水果!$C382&lt;&gt;$K$1,对接源_01水果!$B382=""),0,IF(OR(N(对接源_01水果!$B382)&lt;$K$2,N(对接源_01水果!$B382)&gt;$K$3),0,1))</f>
        <v>0</v>
      </c>
      <c r="L382">
        <f>IF(OR($L$1="",对接源_01水果!$C382="",对接源_01水果!$C382&lt;&gt;$L$1,对接源_01水果!$B382=""),0,IF(OR(N(对接源_01水果!$B382)&lt;$L$2,N(对接源_01水果!$B382)&gt;$L$3),0,1))</f>
        <v>0</v>
      </c>
      <c r="M382">
        <f>IF(OR($M$1="",对接源_01水果!$C382="",对接源_01水果!$C382&lt;&gt;$M$1,对接源_01水果!$B382=""),0,IF(OR(N(对接源_01水果!$B382)&lt;$M$2,N(对接源_01水果!$B382)&gt;$M$3),0,1))</f>
        <v>0</v>
      </c>
      <c r="N382">
        <f>IF(OR($N$1="",对接源_01水果!$C382="",对接源_01水果!$C382&lt;&gt;$N$1,对接源_01水果!$B382=""),0,IF(OR(N(对接源_01水果!$B382)&lt;$N$2,N(对接源_01水果!$B382)&gt;$N$3),0,1))</f>
        <v>0</v>
      </c>
      <c r="P382">
        <f>IF(AND($K382=1,AND(对接源_01水果!$X382="公司筐",N(对接源_01水果!$T382)&lt;&gt;0)),1,0)</f>
        <v>0</v>
      </c>
      <c r="Q382">
        <f>N(Q381)+$P382</f>
        <v>0</v>
      </c>
      <c r="R382">
        <f>IF(AND($K382=1,AND(对接源_01水果!$X382="公司筐",N(对接源_01水果!$U382)&lt;&gt;0)),1,0)</f>
        <v>0</v>
      </c>
      <c r="S382">
        <f>N(S381)+$R382</f>
        <v>0</v>
      </c>
      <c r="T382">
        <f>IF(AND($K382=1,AND(对接源_01水果!$X382="公司筐",N(对接源_01水果!$V382)&lt;&gt;0)),1,0)</f>
        <v>0</v>
      </c>
      <c r="U382">
        <f>N(U381)+$T382</f>
        <v>29</v>
      </c>
      <c r="V382">
        <f>IF(AND($L382=1,AND(对接源_01水果!$X382="自备筐",N(对接源_01水果!$V382)&lt;&gt;0)),1,0)</f>
        <v>0</v>
      </c>
      <c r="W382">
        <f>N(W381)+$V382</f>
        <v>11</v>
      </c>
      <c r="X382">
        <f>IF(AND($L382=1,AND(对接源_01水果!$X382="自备筐",N(对接源_01水果!$T382)&lt;&gt;0)),1,0)</f>
        <v>0</v>
      </c>
      <c r="Y382">
        <f>N(Y381)+$X382</f>
        <v>0</v>
      </c>
      <c r="Z382">
        <f>IF(AND($M382=1,对接源_01水果!$D382="原料入库"),1,0)</f>
        <v>0</v>
      </c>
      <c r="AA382">
        <f>N(AA381)+$Z382</f>
        <v>24</v>
      </c>
      <c r="AB382">
        <f>IF(AND($M382=1,LEFT(对接源_01水果!$D382,4)="原料出库"),1,0)</f>
        <v>0</v>
      </c>
      <c r="AC382">
        <f>N(AC381)+$AB382</f>
        <v>0</v>
      </c>
      <c r="AD382">
        <f>IF(AND($M382=1,LEFT(对接源_01水果!$D382,4)="成品出库"),1,0)</f>
        <v>0</v>
      </c>
      <c r="AE382">
        <f>N(AE381)+$AD382</f>
        <v>0</v>
      </c>
      <c r="AF382">
        <f>IF(AND($N382=1,AND(LEFT(对接源_01水果!$D382,4)="包装物料",N(对接源_01水果!$K382)&lt;&gt;0)),1,0)</f>
        <v>0</v>
      </c>
      <c r="AG382">
        <f>N(AG381)+$AF382</f>
        <v>0</v>
      </c>
      <c r="AH382">
        <f>IF(AND($N382=1,AND(对接源_01水果!$D382="周转筐－销售出库",N(对接源_01水果!$K382)&lt;&gt;0)),1,0)</f>
        <v>0</v>
      </c>
      <c r="AI382">
        <f>N(AI381)+$AH382</f>
        <v>0</v>
      </c>
      <c r="AJ382" s="7" t="n"/>
      <c r="AL382">
        <f>IF(OR($AL$1="",对接源_01水果!$Y382="",对接源_01水果!$Y382&lt;&gt;$AL$1,对接源_01水果!$B382="",N(对接源_01水果!$AJ382)&lt;=0),0,IF(OR(N(对接源_01水果!$B382)&lt;$AL$2,N(对接源_01水果!$B382)&gt;$AL$3),0,1))</f>
        <v>0</v>
      </c>
      <c r="AM382">
        <f>N(AM381)+$AL382</f>
        <v>0</v>
      </c>
      <c r="AN382">
        <f>IF(对接源_01水果!$AC382="","",对接源_01水果!$AC382)</f>
      </c>
      <c r="AO382">
        <f>IF(AN382="",0,IF(MATCH(AN382,$AN$4:$AN$1203,0)=ROW()-3,1,0))</f>
        <v>0</v>
      </c>
      <c r="AP382">
        <f>N(AP381)+$AO382</f>
        <v>0</v>
      </c>
      <c r="AR382">
        <f>IF(OR($AF382=1,$AH382=1),1,0)</f>
        <v>0</v>
      </c>
      <c r="AS382">
        <f>N(AS381)+$AR382</f>
        <v>0</v>
      </c>
    </row>
    <row r="383" ht="14.25" customHeight="1" s="127">
      <c r="A383" t="str">
        <f>IF(对接源_01水果!$C383="","",对接源_01水果!$C383)</f>
        <v>王照雪</v>
      </c>
      <c r="B383">
        <f>IF(A383="",0,IF(MATCH(A383,$A$4:$A$2403,0)=ROW()-3,1,0))</f>
        <v>0</v>
      </c>
      <c r="C383">
        <f>N(C382)+B383</f>
        <v>19</v>
      </c>
      <c r="K383">
        <f>IF(OR($K$1="",对接源_01水果!$C383="",对接源_01水果!$C383&lt;&gt;$K$1,对接源_01水果!$B383=""),0,IF(OR(N(对接源_01水果!$B383)&lt;$K$2,N(对接源_01水果!$B383)&gt;$K$3),0,1))</f>
        <v>0</v>
      </c>
      <c r="L383">
        <f>IF(OR($L$1="",对接源_01水果!$C383="",对接源_01水果!$C383&lt;&gt;$L$1,对接源_01水果!$B383=""),0,IF(OR(N(对接源_01水果!$B383)&lt;$L$2,N(对接源_01水果!$B383)&gt;$L$3),0,1))</f>
        <v>0</v>
      </c>
      <c r="M383">
        <f>IF(OR($M$1="",对接源_01水果!$C383="",对接源_01水果!$C383&lt;&gt;$M$1,对接源_01水果!$B383=""),0,IF(OR(N(对接源_01水果!$B383)&lt;$M$2,N(对接源_01水果!$B383)&gt;$M$3),0,1))</f>
        <v>0</v>
      </c>
      <c r="N383">
        <f>IF(OR($N$1="",对接源_01水果!$C383="",对接源_01水果!$C383&lt;&gt;$N$1,对接源_01水果!$B383=""),0,IF(OR(N(对接源_01水果!$B383)&lt;$N$2,N(对接源_01水果!$B383)&gt;$N$3),0,1))</f>
        <v>0</v>
      </c>
      <c r="P383">
        <f>IF(AND($K383=1,AND(对接源_01水果!$X383="公司筐",N(对接源_01水果!$T383)&lt;&gt;0)),1,0)</f>
        <v>0</v>
      </c>
      <c r="Q383">
        <f>N(Q382)+$P383</f>
        <v>0</v>
      </c>
      <c r="R383">
        <f>IF(AND($K383=1,AND(对接源_01水果!$X383="公司筐",N(对接源_01水果!$U383)&lt;&gt;0)),1,0)</f>
        <v>0</v>
      </c>
      <c r="S383">
        <f>N(S382)+$R383</f>
        <v>0</v>
      </c>
      <c r="T383">
        <f>IF(AND($K383=1,AND(对接源_01水果!$X383="公司筐",N(对接源_01水果!$V383)&lt;&gt;0)),1,0)</f>
        <v>0</v>
      </c>
      <c r="U383">
        <f>N(U382)+$T383</f>
        <v>29</v>
      </c>
      <c r="V383">
        <f>IF(AND($L383=1,AND(对接源_01水果!$X383="自备筐",N(对接源_01水果!$V383)&lt;&gt;0)),1,0)</f>
        <v>0</v>
      </c>
      <c r="W383">
        <f>N(W382)+$V383</f>
        <v>11</v>
      </c>
      <c r="X383">
        <f>IF(AND($L383=1,AND(对接源_01水果!$X383="自备筐",N(对接源_01水果!$T383)&lt;&gt;0)),1,0)</f>
        <v>0</v>
      </c>
      <c r="Y383">
        <f>N(Y382)+$X383</f>
        <v>0</v>
      </c>
      <c r="Z383">
        <f>IF(AND($M383=1,对接源_01水果!$D383="原料入库"),1,0)</f>
        <v>0</v>
      </c>
      <c r="AA383">
        <f>N(AA382)+$Z383</f>
        <v>24</v>
      </c>
      <c r="AB383">
        <f>IF(AND($M383=1,LEFT(对接源_01水果!$D383,4)="原料出库"),1,0)</f>
        <v>0</v>
      </c>
      <c r="AC383">
        <f>N(AC382)+$AB383</f>
        <v>0</v>
      </c>
      <c r="AD383">
        <f>IF(AND($M383=1,LEFT(对接源_01水果!$D383,4)="成品出库"),1,0)</f>
        <v>0</v>
      </c>
      <c r="AE383">
        <f>N(AE382)+$AD383</f>
        <v>0</v>
      </c>
      <c r="AF383">
        <f>IF(AND($N383=1,AND(LEFT(对接源_01水果!$D383,4)="包装物料",N(对接源_01水果!$K383)&lt;&gt;0)),1,0)</f>
        <v>0</v>
      </c>
      <c r="AG383">
        <f>N(AG382)+$AF383</f>
        <v>0</v>
      </c>
      <c r="AH383">
        <f>IF(AND($N383=1,AND(对接源_01水果!$D383="周转筐－销售出库",N(对接源_01水果!$K383)&lt;&gt;0)),1,0)</f>
        <v>0</v>
      </c>
      <c r="AI383">
        <f>N(AI382)+$AH383</f>
        <v>0</v>
      </c>
      <c r="AJ383" s="7" t="n"/>
      <c r="AL383">
        <f>IF(OR($AL$1="",对接源_01水果!$Y383="",对接源_01水果!$Y383&lt;&gt;$AL$1,对接源_01水果!$B383="",N(对接源_01水果!$AJ383)&lt;=0),0,IF(OR(N(对接源_01水果!$B383)&lt;$AL$2,N(对接源_01水果!$B383)&gt;$AL$3),0,1))</f>
        <v>0</v>
      </c>
      <c r="AM383">
        <f>N(AM382)+$AL383</f>
        <v>0</v>
      </c>
      <c r="AN383">
        <f>IF(对接源_01水果!$AC383="","",对接源_01水果!$AC383)</f>
      </c>
      <c r="AO383">
        <f>IF(AN383="",0,IF(MATCH(AN383,$AN$4:$AN$1203,0)=ROW()-3,1,0))</f>
        <v>0</v>
      </c>
      <c r="AP383">
        <f>N(AP382)+$AO383</f>
        <v>0</v>
      </c>
      <c r="AR383">
        <f>IF(OR($AF383=1,$AH383=1),1,0)</f>
        <v>0</v>
      </c>
      <c r="AS383">
        <f>N(AS382)+$AR383</f>
        <v>0</v>
      </c>
    </row>
    <row r="384" ht="14.25" customHeight="1" s="127">
      <c r="A384" t="str">
        <f>IF(对接源_01水果!$C384="","",对接源_01水果!$C384)</f>
        <v>王浩</v>
      </c>
      <c r="B384">
        <f>IF(A384="",0,IF(MATCH(A384,$A$4:$A$2403,0)=ROW()-3,1,0))</f>
        <v>0</v>
      </c>
      <c r="C384">
        <f>N(C383)+B384</f>
        <v>19</v>
      </c>
      <c r="K384">
        <f>IF(OR($K$1="",对接源_01水果!$C384="",对接源_01水果!$C384&lt;&gt;$K$1,对接源_01水果!$B384=""),0,IF(OR(N(对接源_01水果!$B384)&lt;$K$2,N(对接源_01水果!$B384)&gt;$K$3),0,1))</f>
        <v>0</v>
      </c>
      <c r="L384">
        <f>IF(OR($L$1="",对接源_01水果!$C384="",对接源_01水果!$C384&lt;&gt;$L$1,对接源_01水果!$B384=""),0,IF(OR(N(对接源_01水果!$B384)&lt;$L$2,N(对接源_01水果!$B384)&gt;$L$3),0,1))</f>
        <v>0</v>
      </c>
      <c r="M384">
        <f>IF(OR($M$1="",对接源_01水果!$C384="",对接源_01水果!$C384&lt;&gt;$M$1,对接源_01水果!$B384=""),0,IF(OR(N(对接源_01水果!$B384)&lt;$M$2,N(对接源_01水果!$B384)&gt;$M$3),0,1))</f>
        <v>0</v>
      </c>
      <c r="N384">
        <f>IF(OR($N$1="",对接源_01水果!$C384="",对接源_01水果!$C384&lt;&gt;$N$1,对接源_01水果!$B384=""),0,IF(OR(N(对接源_01水果!$B384)&lt;$N$2,N(对接源_01水果!$B384)&gt;$N$3),0,1))</f>
        <v>0</v>
      </c>
      <c r="P384">
        <f>IF(AND($K384=1,AND(对接源_01水果!$X384="公司筐",N(对接源_01水果!$T384)&lt;&gt;0)),1,0)</f>
        <v>0</v>
      </c>
      <c r="Q384">
        <f>N(Q383)+$P384</f>
        <v>0</v>
      </c>
      <c r="R384">
        <f>IF(AND($K384=1,AND(对接源_01水果!$X384="公司筐",N(对接源_01水果!$U384)&lt;&gt;0)),1,0)</f>
        <v>0</v>
      </c>
      <c r="S384">
        <f>N(S383)+$R384</f>
        <v>0</v>
      </c>
      <c r="T384">
        <f>IF(AND($K384=1,AND(对接源_01水果!$X384="公司筐",N(对接源_01水果!$V384)&lt;&gt;0)),1,0)</f>
        <v>0</v>
      </c>
      <c r="U384">
        <f>N(U383)+$T384</f>
        <v>29</v>
      </c>
      <c r="V384">
        <f>IF(AND($L384=1,AND(对接源_01水果!$X384="自备筐",N(对接源_01水果!$V384)&lt;&gt;0)),1,0)</f>
        <v>0</v>
      </c>
      <c r="W384">
        <f>N(W383)+$V384</f>
        <v>11</v>
      </c>
      <c r="X384">
        <f>IF(AND($L384=1,AND(对接源_01水果!$X384="自备筐",N(对接源_01水果!$T384)&lt;&gt;0)),1,0)</f>
        <v>0</v>
      </c>
      <c r="Y384">
        <f>N(Y383)+$X384</f>
        <v>0</v>
      </c>
      <c r="Z384">
        <f>IF(AND($M384=1,对接源_01水果!$D384="原料入库"),1,0)</f>
        <v>0</v>
      </c>
      <c r="AA384">
        <f>N(AA383)+$Z384</f>
        <v>24</v>
      </c>
      <c r="AB384">
        <f>IF(AND($M384=1,LEFT(对接源_01水果!$D384,4)="原料出库"),1,0)</f>
        <v>0</v>
      </c>
      <c r="AC384">
        <f>N(AC383)+$AB384</f>
        <v>0</v>
      </c>
      <c r="AD384">
        <f>IF(AND($M384=1,LEFT(对接源_01水果!$D384,4)="成品出库"),1,0)</f>
        <v>0</v>
      </c>
      <c r="AE384">
        <f>N(AE383)+$AD384</f>
        <v>0</v>
      </c>
      <c r="AF384">
        <f>IF(AND($N384=1,AND(LEFT(对接源_01水果!$D384,4)="包装物料",N(对接源_01水果!$K384)&lt;&gt;0)),1,0)</f>
        <v>0</v>
      </c>
      <c r="AG384">
        <f>N(AG383)+$AF384</f>
        <v>0</v>
      </c>
      <c r="AH384">
        <f>IF(AND($N384=1,AND(对接源_01水果!$D384="周转筐－销售出库",N(对接源_01水果!$K384)&lt;&gt;0)),1,0)</f>
        <v>0</v>
      </c>
      <c r="AI384">
        <f>N(AI383)+$AH384</f>
        <v>0</v>
      </c>
      <c r="AJ384" s="7" t="n"/>
      <c r="AL384">
        <f>IF(OR($AL$1="",对接源_01水果!$Y384="",对接源_01水果!$Y384&lt;&gt;$AL$1,对接源_01水果!$B384="",N(对接源_01水果!$AJ384)&lt;=0),0,IF(OR(N(对接源_01水果!$B384)&lt;$AL$2,N(对接源_01水果!$B384)&gt;$AL$3),0,1))</f>
        <v>0</v>
      </c>
      <c r="AM384">
        <f>N(AM383)+$AL384</f>
        <v>0</v>
      </c>
      <c r="AN384">
        <f>IF(对接源_01水果!$AC384="","",对接源_01水果!$AC384)</f>
      </c>
      <c r="AO384">
        <f>IF(AN384="",0,IF(MATCH(AN384,$AN$4:$AN$1203,0)=ROW()-3,1,0))</f>
        <v>0</v>
      </c>
      <c r="AP384">
        <f>N(AP383)+$AO384</f>
        <v>0</v>
      </c>
      <c r="AR384">
        <f>IF(OR($AF384=1,$AH384=1),1,0)</f>
        <v>0</v>
      </c>
      <c r="AS384">
        <f>N(AS383)+$AR384</f>
        <v>0</v>
      </c>
    </row>
    <row r="385" ht="14.25" customHeight="1" s="127">
      <c r="A385" t="str">
        <f>IF(对接源_01水果!$C385="","",对接源_01水果!$C385)</f>
        <v>王浩</v>
      </c>
      <c r="B385">
        <f>IF(A385="",0,IF(MATCH(A385,$A$4:$A$2403,0)=ROW()-3,1,0))</f>
        <v>0</v>
      </c>
      <c r="C385">
        <f>N(C384)+B385</f>
        <v>19</v>
      </c>
      <c r="K385">
        <f>IF(OR($K$1="",对接源_01水果!$C385="",对接源_01水果!$C385&lt;&gt;$K$1,对接源_01水果!$B385=""),0,IF(OR(N(对接源_01水果!$B385)&lt;$K$2,N(对接源_01水果!$B385)&gt;$K$3),0,1))</f>
        <v>0</v>
      </c>
      <c r="L385">
        <f>IF(OR($L$1="",对接源_01水果!$C385="",对接源_01水果!$C385&lt;&gt;$L$1,对接源_01水果!$B385=""),0,IF(OR(N(对接源_01水果!$B385)&lt;$L$2,N(对接源_01水果!$B385)&gt;$L$3),0,1))</f>
        <v>0</v>
      </c>
      <c r="M385">
        <f>IF(OR($M$1="",对接源_01水果!$C385="",对接源_01水果!$C385&lt;&gt;$M$1,对接源_01水果!$B385=""),0,IF(OR(N(对接源_01水果!$B385)&lt;$M$2,N(对接源_01水果!$B385)&gt;$M$3),0,1))</f>
        <v>0</v>
      </c>
      <c r="N385">
        <f>IF(OR($N$1="",对接源_01水果!$C385="",对接源_01水果!$C385&lt;&gt;$N$1,对接源_01水果!$B385=""),0,IF(OR(N(对接源_01水果!$B385)&lt;$N$2,N(对接源_01水果!$B385)&gt;$N$3),0,1))</f>
        <v>0</v>
      </c>
      <c r="P385">
        <f>IF(AND($K385=1,AND(对接源_01水果!$X385="公司筐",N(对接源_01水果!$T385)&lt;&gt;0)),1,0)</f>
        <v>0</v>
      </c>
      <c r="Q385">
        <f>N(Q384)+$P385</f>
        <v>0</v>
      </c>
      <c r="R385">
        <f>IF(AND($K385=1,AND(对接源_01水果!$X385="公司筐",N(对接源_01水果!$U385)&lt;&gt;0)),1,0)</f>
        <v>0</v>
      </c>
      <c r="S385">
        <f>N(S384)+$R385</f>
        <v>0</v>
      </c>
      <c r="T385">
        <f>IF(AND($K385=1,AND(对接源_01水果!$X385="公司筐",N(对接源_01水果!$V385)&lt;&gt;0)),1,0)</f>
        <v>0</v>
      </c>
      <c r="U385">
        <f>N(U384)+$T385</f>
        <v>29</v>
      </c>
      <c r="V385">
        <f>IF(AND($L385=1,AND(对接源_01水果!$X385="自备筐",N(对接源_01水果!$V385)&lt;&gt;0)),1,0)</f>
        <v>0</v>
      </c>
      <c r="W385">
        <f>N(W384)+$V385</f>
        <v>11</v>
      </c>
      <c r="X385">
        <f>IF(AND($L385=1,AND(对接源_01水果!$X385="自备筐",N(对接源_01水果!$T385)&lt;&gt;0)),1,0)</f>
        <v>0</v>
      </c>
      <c r="Y385">
        <f>N(Y384)+$X385</f>
        <v>0</v>
      </c>
      <c r="Z385">
        <f>IF(AND($M385=1,对接源_01水果!$D385="原料入库"),1,0)</f>
        <v>0</v>
      </c>
      <c r="AA385">
        <f>N(AA384)+$Z385</f>
        <v>24</v>
      </c>
      <c r="AB385">
        <f>IF(AND($M385=1,LEFT(对接源_01水果!$D385,4)="原料出库"),1,0)</f>
        <v>0</v>
      </c>
      <c r="AC385">
        <f>N(AC384)+$AB385</f>
        <v>0</v>
      </c>
      <c r="AD385">
        <f>IF(AND($M385=1,LEFT(对接源_01水果!$D385,4)="成品出库"),1,0)</f>
        <v>0</v>
      </c>
      <c r="AE385">
        <f>N(AE384)+$AD385</f>
        <v>0</v>
      </c>
      <c r="AF385">
        <f>IF(AND($N385=1,AND(LEFT(对接源_01水果!$D385,4)="包装物料",N(对接源_01水果!$K385)&lt;&gt;0)),1,0)</f>
        <v>0</v>
      </c>
      <c r="AG385">
        <f>N(AG384)+$AF385</f>
        <v>0</v>
      </c>
      <c r="AH385">
        <f>IF(AND($N385=1,AND(对接源_01水果!$D385="周转筐－销售出库",N(对接源_01水果!$K385)&lt;&gt;0)),1,0)</f>
        <v>0</v>
      </c>
      <c r="AI385">
        <f>N(AI384)+$AH385</f>
        <v>0</v>
      </c>
      <c r="AJ385" s="7" t="n"/>
      <c r="AL385">
        <f>IF(OR($AL$1="",对接源_01水果!$Y385="",对接源_01水果!$Y385&lt;&gt;$AL$1,对接源_01水果!$B385="",N(对接源_01水果!$AJ385)&lt;=0),0,IF(OR(N(对接源_01水果!$B385)&lt;$AL$2,N(对接源_01水果!$B385)&gt;$AL$3),0,1))</f>
        <v>0</v>
      </c>
      <c r="AM385">
        <f>N(AM384)+$AL385</f>
        <v>0</v>
      </c>
      <c r="AN385">
        <f>IF(对接源_01水果!$AC385="","",对接源_01水果!$AC385)</f>
      </c>
      <c r="AO385">
        <f>IF(AN385="",0,IF(MATCH(AN385,$AN$4:$AN$1203,0)=ROW()-3,1,0))</f>
        <v>0</v>
      </c>
      <c r="AP385">
        <f>N(AP384)+$AO385</f>
        <v>0</v>
      </c>
      <c r="AR385">
        <f>IF(OR($AF385=1,$AH385=1),1,0)</f>
        <v>0</v>
      </c>
      <c r="AS385">
        <f>N(AS384)+$AR385</f>
        <v>0</v>
      </c>
    </row>
    <row r="386" ht="14.25" customHeight="1" s="127">
      <c r="A386" t="str">
        <f>IF(对接源_01水果!$C386="","",对接源_01水果!$C386)</f>
        <v>王灵云</v>
      </c>
      <c r="B386">
        <f>IF(A386="",0,IF(MATCH(A386,$A$4:$A$2403,0)=ROW()-3,1,0))</f>
        <v>0</v>
      </c>
      <c r="C386">
        <f>N(C385)+B386</f>
        <v>19</v>
      </c>
      <c r="K386">
        <f>IF(OR($K$1="",对接源_01水果!$C386="",对接源_01水果!$C386&lt;&gt;$K$1,对接源_01水果!$B386=""),0,IF(OR(N(对接源_01水果!$B386)&lt;$K$2,N(对接源_01水果!$B386)&gt;$K$3),0,1))</f>
        <v>1</v>
      </c>
      <c r="L386">
        <f>IF(OR($L$1="",对接源_01水果!$C386="",对接源_01水果!$C386&lt;&gt;$L$1,对接源_01水果!$B386=""),0,IF(OR(N(对接源_01水果!$B386)&lt;$L$2,N(对接源_01水果!$B386)&gt;$L$3),0,1))</f>
        <v>0</v>
      </c>
      <c r="M386">
        <f>IF(OR($M$1="",对接源_01水果!$C386="",对接源_01水果!$C386&lt;&gt;$M$1,对接源_01水果!$B386=""),0,IF(OR(N(对接源_01水果!$B386)&lt;$M$2,N(对接源_01水果!$B386)&gt;$M$3),0,1))</f>
        <v>0</v>
      </c>
      <c r="N386">
        <f>IF(OR($N$1="",对接源_01水果!$C386="",对接源_01水果!$C386&lt;&gt;$N$1,对接源_01水果!$B386=""),0,IF(OR(N(对接源_01水果!$B386)&lt;$N$2,N(对接源_01水果!$B386)&gt;$N$3),0,1))</f>
        <v>0</v>
      </c>
      <c r="P386">
        <f>IF(AND($K386=1,AND(对接源_01水果!$X386="公司筐",N(对接源_01水果!$T386)&lt;&gt;0)),1,0)</f>
        <v>0</v>
      </c>
      <c r="Q386">
        <f>N(Q385)+$P386</f>
        <v>0</v>
      </c>
      <c r="R386">
        <f>IF(AND($K386=1,AND(对接源_01水果!$X386="公司筐",N(对接源_01水果!$U386)&lt;&gt;0)),1,0)</f>
        <v>0</v>
      </c>
      <c r="S386">
        <f>N(S385)+$R386</f>
        <v>0</v>
      </c>
      <c r="T386">
        <f>IF(AND($K386=1,AND(对接源_01水果!$X386="公司筐",N(对接源_01水果!$V386)&lt;&gt;0)),1,0)</f>
        <v>1</v>
      </c>
      <c r="U386">
        <f>N(U385)+$T386</f>
        <v>30</v>
      </c>
      <c r="V386">
        <f>IF(AND($L386=1,AND(对接源_01水果!$X386="自备筐",N(对接源_01水果!$V386)&lt;&gt;0)),1,0)</f>
        <v>0</v>
      </c>
      <c r="W386">
        <f>N(W385)+$V386</f>
        <v>11</v>
      </c>
      <c r="X386">
        <f>IF(AND($L386=1,AND(对接源_01水果!$X386="自备筐",N(对接源_01水果!$T386)&lt;&gt;0)),1,0)</f>
        <v>0</v>
      </c>
      <c r="Y386">
        <f>N(Y385)+$X386</f>
        <v>0</v>
      </c>
      <c r="Z386">
        <f>IF(AND($M386=1,对接源_01水果!$D386="原料入库"),1,0)</f>
        <v>0</v>
      </c>
      <c r="AA386">
        <f>N(AA385)+$Z386</f>
        <v>24</v>
      </c>
      <c r="AB386">
        <f>IF(AND($M386=1,LEFT(对接源_01水果!$D386,4)="原料出库"),1,0)</f>
        <v>0</v>
      </c>
      <c r="AC386">
        <f>N(AC385)+$AB386</f>
        <v>0</v>
      </c>
      <c r="AD386">
        <f>IF(AND($M386=1,LEFT(对接源_01水果!$D386,4)="成品出库"),1,0)</f>
        <v>0</v>
      </c>
      <c r="AE386">
        <f>N(AE385)+$AD386</f>
        <v>0</v>
      </c>
      <c r="AF386">
        <f>IF(AND($N386=1,AND(LEFT(对接源_01水果!$D386,4)="包装物料",N(对接源_01水果!$K386)&lt;&gt;0)),1,0)</f>
        <v>0</v>
      </c>
      <c r="AG386">
        <f>N(AG385)+$AF386</f>
        <v>0</v>
      </c>
      <c r="AH386">
        <f>IF(AND($N386=1,AND(对接源_01水果!$D386="周转筐－销售出库",N(对接源_01水果!$K386)&lt;&gt;0)),1,0)</f>
        <v>0</v>
      </c>
      <c r="AI386">
        <f>N(AI385)+$AH386</f>
        <v>0</v>
      </c>
      <c r="AJ386" s="7" t="n"/>
      <c r="AL386">
        <f>IF(OR($AL$1="",对接源_01水果!$Y386="",对接源_01水果!$Y386&lt;&gt;$AL$1,对接源_01水果!$B386="",N(对接源_01水果!$AJ386)&lt;=0),0,IF(OR(N(对接源_01水果!$B386)&lt;$AL$2,N(对接源_01水果!$B386)&gt;$AL$3),0,1))</f>
        <v>0</v>
      </c>
      <c r="AM386">
        <f>N(AM385)+$AL386</f>
        <v>0</v>
      </c>
      <c r="AN386">
        <f>IF(对接源_01水果!$AC386="","",对接源_01水果!$AC386)</f>
      </c>
      <c r="AO386">
        <f>IF(AN386="",0,IF(MATCH(AN386,$AN$4:$AN$1203,0)=ROW()-3,1,0))</f>
        <v>0</v>
      </c>
      <c r="AP386">
        <f>N(AP385)+$AO386</f>
        <v>0</v>
      </c>
      <c r="AR386">
        <f>IF(OR($AF386=1,$AH386=1),1,0)</f>
        <v>0</v>
      </c>
      <c r="AS386">
        <f>N(AS385)+$AR386</f>
        <v>0</v>
      </c>
    </row>
    <row r="387" ht="14.25" customHeight="1" s="127">
      <c r="A387" t="str">
        <f>IF(对接源_01水果!$C387="","",对接源_01水果!$C387)</f>
        <v>王灵云</v>
      </c>
      <c r="B387">
        <f>IF(A387="",0,IF(MATCH(A387,$A$4:$A$2403,0)=ROW()-3,1,0))</f>
        <v>0</v>
      </c>
      <c r="C387">
        <f>N(C386)+B387</f>
        <v>19</v>
      </c>
      <c r="K387">
        <f>IF(OR($K$1="",对接源_01水果!$C387="",对接源_01水果!$C387&lt;&gt;$K$1,对接源_01水果!$B387=""),0,IF(OR(N(对接源_01水果!$B387)&lt;$K$2,N(对接源_01水果!$B387)&gt;$K$3),0,1))</f>
        <v>1</v>
      </c>
      <c r="L387">
        <f>IF(OR($L$1="",对接源_01水果!$C387="",对接源_01水果!$C387&lt;&gt;$L$1,对接源_01水果!$B387=""),0,IF(OR(N(对接源_01水果!$B387)&lt;$L$2,N(对接源_01水果!$B387)&gt;$L$3),0,1))</f>
        <v>0</v>
      </c>
      <c r="M387">
        <f>IF(OR($M$1="",对接源_01水果!$C387="",对接源_01水果!$C387&lt;&gt;$M$1,对接源_01水果!$B387=""),0,IF(OR(N(对接源_01水果!$B387)&lt;$M$2,N(对接源_01水果!$B387)&gt;$M$3),0,1))</f>
        <v>0</v>
      </c>
      <c r="N387">
        <f>IF(OR($N$1="",对接源_01水果!$C387="",对接源_01水果!$C387&lt;&gt;$N$1,对接源_01水果!$B387=""),0,IF(OR(N(对接源_01水果!$B387)&lt;$N$2,N(对接源_01水果!$B387)&gt;$N$3),0,1))</f>
        <v>0</v>
      </c>
      <c r="P387">
        <f>IF(AND($K387=1,AND(对接源_01水果!$X387="公司筐",N(对接源_01水果!$T387)&lt;&gt;0)),1,0)</f>
        <v>0</v>
      </c>
      <c r="Q387">
        <f>N(Q386)+$P387</f>
        <v>0</v>
      </c>
      <c r="R387">
        <f>IF(AND($K387=1,AND(对接源_01水果!$X387="公司筐",N(对接源_01水果!$U387)&lt;&gt;0)),1,0)</f>
        <v>0</v>
      </c>
      <c r="S387">
        <f>N(S386)+$R387</f>
        <v>0</v>
      </c>
      <c r="T387">
        <f>IF(AND($K387=1,AND(对接源_01水果!$X387="公司筐",N(对接源_01水果!$V387)&lt;&gt;0)),1,0)</f>
        <v>1</v>
      </c>
      <c r="U387">
        <f>N(U386)+$T387</f>
        <v>31</v>
      </c>
      <c r="V387">
        <f>IF(AND($L387=1,AND(对接源_01水果!$X387="自备筐",N(对接源_01水果!$V387)&lt;&gt;0)),1,0)</f>
        <v>0</v>
      </c>
      <c r="W387">
        <f>N(W386)+$V387</f>
        <v>11</v>
      </c>
      <c r="X387">
        <f>IF(AND($L387=1,AND(对接源_01水果!$X387="自备筐",N(对接源_01水果!$T387)&lt;&gt;0)),1,0)</f>
        <v>0</v>
      </c>
      <c r="Y387">
        <f>N(Y386)+$X387</f>
        <v>0</v>
      </c>
      <c r="Z387">
        <f>IF(AND($M387=1,对接源_01水果!$D387="原料入库"),1,0)</f>
        <v>0</v>
      </c>
      <c r="AA387">
        <f>N(AA386)+$Z387</f>
        <v>24</v>
      </c>
      <c r="AB387">
        <f>IF(AND($M387=1,LEFT(对接源_01水果!$D387,4)="原料出库"),1,0)</f>
        <v>0</v>
      </c>
      <c r="AC387">
        <f>N(AC386)+$AB387</f>
        <v>0</v>
      </c>
      <c r="AD387">
        <f>IF(AND($M387=1,LEFT(对接源_01水果!$D387,4)="成品出库"),1,0)</f>
        <v>0</v>
      </c>
      <c r="AE387">
        <f>N(AE386)+$AD387</f>
        <v>0</v>
      </c>
      <c r="AF387">
        <f>IF(AND($N387=1,AND(LEFT(对接源_01水果!$D387,4)="包装物料",N(对接源_01水果!$K387)&lt;&gt;0)),1,0)</f>
        <v>0</v>
      </c>
      <c r="AG387">
        <f>N(AG386)+$AF387</f>
        <v>0</v>
      </c>
      <c r="AH387">
        <f>IF(AND($N387=1,AND(对接源_01水果!$D387="周转筐－销售出库",N(对接源_01水果!$K387)&lt;&gt;0)),1,0)</f>
        <v>0</v>
      </c>
      <c r="AI387">
        <f>N(AI386)+$AH387</f>
        <v>0</v>
      </c>
      <c r="AJ387" s="7" t="n"/>
      <c r="AL387">
        <f>IF(OR($AL$1="",对接源_01水果!$Y387="",对接源_01水果!$Y387&lt;&gt;$AL$1,对接源_01水果!$B387="",N(对接源_01水果!$AJ387)&lt;=0),0,IF(OR(N(对接源_01水果!$B387)&lt;$AL$2,N(对接源_01水果!$B387)&gt;$AL$3),0,1))</f>
        <v>0</v>
      </c>
      <c r="AM387">
        <f>N(AM386)+$AL387</f>
        <v>0</v>
      </c>
      <c r="AN387">
        <f>IF(对接源_01水果!$AC387="","",对接源_01水果!$AC387)</f>
      </c>
      <c r="AO387">
        <f>IF(AN387="",0,IF(MATCH(AN387,$AN$4:$AN$1203,0)=ROW()-3,1,0))</f>
        <v>0</v>
      </c>
      <c r="AP387">
        <f>N(AP386)+$AO387</f>
        <v>0</v>
      </c>
      <c r="AR387">
        <f>IF(OR($AF387=1,$AH387=1),1,0)</f>
        <v>0</v>
      </c>
      <c r="AS387">
        <f>N(AS386)+$AR387</f>
        <v>0</v>
      </c>
    </row>
    <row r="388" ht="14.25" customHeight="1" s="127">
      <c r="A388" t="str">
        <f>IF(对接源_01水果!$C388="","",对接源_01水果!$C388)</f>
        <v>王灵云</v>
      </c>
      <c r="B388">
        <f>IF(A388="",0,IF(MATCH(A388,$A$4:$A$2403,0)=ROW()-3,1,0))</f>
        <v>0</v>
      </c>
      <c r="C388">
        <f>N(C387)+B388</f>
        <v>19</v>
      </c>
      <c r="K388">
        <f>IF(OR($K$1="",对接源_01水果!$C388="",对接源_01水果!$C388&lt;&gt;$K$1,对接源_01水果!$B388=""),0,IF(OR(N(对接源_01水果!$B388)&lt;$K$2,N(对接源_01水果!$B388)&gt;$K$3),0,1))</f>
        <v>1</v>
      </c>
      <c r="L388">
        <f>IF(OR($L$1="",对接源_01水果!$C388="",对接源_01水果!$C388&lt;&gt;$L$1,对接源_01水果!$B388=""),0,IF(OR(N(对接源_01水果!$B388)&lt;$L$2,N(对接源_01水果!$B388)&gt;$L$3),0,1))</f>
        <v>0</v>
      </c>
      <c r="M388">
        <f>IF(OR($M$1="",对接源_01水果!$C388="",对接源_01水果!$C388&lt;&gt;$M$1,对接源_01水果!$B388=""),0,IF(OR(N(对接源_01水果!$B388)&lt;$M$2,N(对接源_01水果!$B388)&gt;$M$3),0,1))</f>
        <v>0</v>
      </c>
      <c r="N388">
        <f>IF(OR($N$1="",对接源_01水果!$C388="",对接源_01水果!$C388&lt;&gt;$N$1,对接源_01水果!$B388=""),0,IF(OR(N(对接源_01水果!$B388)&lt;$N$2,N(对接源_01水果!$B388)&gt;$N$3),0,1))</f>
        <v>0</v>
      </c>
      <c r="P388">
        <f>IF(AND($K388=1,AND(对接源_01水果!$X388="公司筐",N(对接源_01水果!$T388)&lt;&gt;0)),1,0)</f>
        <v>0</v>
      </c>
      <c r="Q388">
        <f>N(Q387)+$P388</f>
        <v>0</v>
      </c>
      <c r="R388">
        <f>IF(AND($K388=1,AND(对接源_01水果!$X388="公司筐",N(对接源_01水果!$U388)&lt;&gt;0)),1,0)</f>
        <v>0</v>
      </c>
      <c r="S388">
        <f>N(S387)+$R388</f>
        <v>0</v>
      </c>
      <c r="T388">
        <f>IF(AND($K388=1,AND(对接源_01水果!$X388="公司筐",N(对接源_01水果!$V388)&lt;&gt;0)),1,0)</f>
        <v>1</v>
      </c>
      <c r="U388">
        <f>N(U387)+$T388</f>
        <v>32</v>
      </c>
      <c r="V388">
        <f>IF(AND($L388=1,AND(对接源_01水果!$X388="自备筐",N(对接源_01水果!$V388)&lt;&gt;0)),1,0)</f>
        <v>0</v>
      </c>
      <c r="W388">
        <f>N(W387)+$V388</f>
        <v>11</v>
      </c>
      <c r="X388">
        <f>IF(AND($L388=1,AND(对接源_01水果!$X388="自备筐",N(对接源_01水果!$T388)&lt;&gt;0)),1,0)</f>
        <v>0</v>
      </c>
      <c r="Y388">
        <f>N(Y387)+$X388</f>
        <v>0</v>
      </c>
      <c r="Z388">
        <f>IF(AND($M388=1,对接源_01水果!$D388="原料入库"),1,0)</f>
        <v>0</v>
      </c>
      <c r="AA388">
        <f>N(AA387)+$Z388</f>
        <v>24</v>
      </c>
      <c r="AB388">
        <f>IF(AND($M388=1,LEFT(对接源_01水果!$D388,4)="原料出库"),1,0)</f>
        <v>0</v>
      </c>
      <c r="AC388">
        <f>N(AC387)+$AB388</f>
        <v>0</v>
      </c>
      <c r="AD388">
        <f>IF(AND($M388=1,LEFT(对接源_01水果!$D388,4)="成品出库"),1,0)</f>
        <v>0</v>
      </c>
      <c r="AE388">
        <f>N(AE387)+$AD388</f>
        <v>0</v>
      </c>
      <c r="AF388">
        <f>IF(AND($N388=1,AND(LEFT(对接源_01水果!$D388,4)="包装物料",N(对接源_01水果!$K388)&lt;&gt;0)),1,0)</f>
        <v>0</v>
      </c>
      <c r="AG388">
        <f>N(AG387)+$AF388</f>
        <v>0</v>
      </c>
      <c r="AH388">
        <f>IF(AND($N388=1,AND(对接源_01水果!$D388="周转筐－销售出库",N(对接源_01水果!$K388)&lt;&gt;0)),1,0)</f>
        <v>0</v>
      </c>
      <c r="AI388">
        <f>N(AI387)+$AH388</f>
        <v>0</v>
      </c>
      <c r="AJ388" s="7" t="n"/>
      <c r="AL388">
        <f>IF(OR($AL$1="",对接源_01水果!$Y388="",对接源_01水果!$Y388&lt;&gt;$AL$1,对接源_01水果!$B388="",N(对接源_01水果!$AJ388)&lt;=0),0,IF(OR(N(对接源_01水果!$B388)&lt;$AL$2,N(对接源_01水果!$B388)&gt;$AL$3),0,1))</f>
        <v>0</v>
      </c>
      <c r="AM388">
        <f>N(AM387)+$AL388</f>
        <v>0</v>
      </c>
      <c r="AN388">
        <f>IF(对接源_01水果!$AC388="","",对接源_01水果!$AC388)</f>
      </c>
      <c r="AO388">
        <f>IF(AN388="",0,IF(MATCH(AN388,$AN$4:$AN$1203,0)=ROW()-3,1,0))</f>
        <v>0</v>
      </c>
      <c r="AP388">
        <f>N(AP387)+$AO388</f>
        <v>0</v>
      </c>
      <c r="AR388">
        <f>IF(OR($AF388=1,$AH388=1),1,0)</f>
        <v>0</v>
      </c>
      <c r="AS388">
        <f>N(AS387)+$AR388</f>
        <v>0</v>
      </c>
    </row>
    <row r="389" ht="14.25" customHeight="1" s="127">
      <c r="A389" t="str">
        <f>IF(对接源_01水果!$C389="","",对接源_01水果!$C389)</f>
        <v>吐尔逊</v>
      </c>
      <c r="B389">
        <f>IF(A389="",0,IF(MATCH(A389,$A$4:$A$2403,0)=ROW()-3,1,0))</f>
        <v>0</v>
      </c>
      <c r="C389">
        <f>N(C388)+B389</f>
        <v>19</v>
      </c>
      <c r="K389">
        <f>IF(OR($K$1="",对接源_01水果!$C389="",对接源_01水果!$C389&lt;&gt;$K$1,对接源_01水果!$B389=""),0,IF(OR(N(对接源_01水果!$B389)&lt;$K$2,N(对接源_01水果!$B389)&gt;$K$3),0,1))</f>
        <v>0</v>
      </c>
      <c r="L389">
        <f>IF(OR($L$1="",对接源_01水果!$C389="",对接源_01水果!$C389&lt;&gt;$L$1,对接源_01水果!$B389=""),0,IF(OR(N(对接源_01水果!$B389)&lt;$L$2,N(对接源_01水果!$B389)&gt;$L$3),0,1))</f>
        <v>0</v>
      </c>
      <c r="M389">
        <f>IF(OR($M$1="",对接源_01水果!$C389="",对接源_01水果!$C389&lt;&gt;$M$1,对接源_01水果!$B389=""),0,IF(OR(N(对接源_01水果!$B389)&lt;$M$2,N(对接源_01水果!$B389)&gt;$M$3),0,1))</f>
        <v>0</v>
      </c>
      <c r="N389">
        <f>IF(OR($N$1="",对接源_01水果!$C389="",对接源_01水果!$C389&lt;&gt;$N$1,对接源_01水果!$B389=""),0,IF(OR(N(对接源_01水果!$B389)&lt;$N$2,N(对接源_01水果!$B389)&gt;$N$3),0,1))</f>
        <v>0</v>
      </c>
      <c r="P389">
        <f>IF(AND($K389=1,AND(对接源_01水果!$X389="公司筐",N(对接源_01水果!$T389)&lt;&gt;0)),1,0)</f>
        <v>0</v>
      </c>
      <c r="Q389">
        <f>N(Q388)+$P389</f>
        <v>0</v>
      </c>
      <c r="R389">
        <f>IF(AND($K389=1,AND(对接源_01水果!$X389="公司筐",N(对接源_01水果!$U389)&lt;&gt;0)),1,0)</f>
        <v>0</v>
      </c>
      <c r="S389">
        <f>N(S388)+$R389</f>
        <v>0</v>
      </c>
      <c r="T389">
        <f>IF(AND($K389=1,AND(对接源_01水果!$X389="公司筐",N(对接源_01水果!$V389)&lt;&gt;0)),1,0)</f>
        <v>0</v>
      </c>
      <c r="U389">
        <f>N(U388)+$T389</f>
        <v>32</v>
      </c>
      <c r="V389">
        <f>IF(AND($L389=1,AND(对接源_01水果!$X389="自备筐",N(对接源_01水果!$V389)&lt;&gt;0)),1,0)</f>
        <v>0</v>
      </c>
      <c r="W389">
        <f>N(W388)+$V389</f>
        <v>11</v>
      </c>
      <c r="X389">
        <f>IF(AND($L389=1,AND(对接源_01水果!$X389="自备筐",N(对接源_01水果!$T389)&lt;&gt;0)),1,0)</f>
        <v>0</v>
      </c>
      <c r="Y389">
        <f>N(Y388)+$X389</f>
        <v>0</v>
      </c>
      <c r="Z389">
        <f>IF(AND($M389=1,对接源_01水果!$D389="原料入库"),1,0)</f>
        <v>0</v>
      </c>
      <c r="AA389">
        <f>N(AA388)+$Z389</f>
        <v>24</v>
      </c>
      <c r="AB389">
        <f>IF(AND($M389=1,LEFT(对接源_01水果!$D389,4)="原料出库"),1,0)</f>
        <v>0</v>
      </c>
      <c r="AC389">
        <f>N(AC388)+$AB389</f>
        <v>0</v>
      </c>
      <c r="AD389">
        <f>IF(AND($M389=1,LEFT(对接源_01水果!$D389,4)="成品出库"),1,0)</f>
        <v>0</v>
      </c>
      <c r="AE389">
        <f>N(AE388)+$AD389</f>
        <v>0</v>
      </c>
      <c r="AF389">
        <f>IF(AND($N389=1,AND(LEFT(对接源_01水果!$D389,4)="包装物料",N(对接源_01水果!$K389)&lt;&gt;0)),1,0)</f>
        <v>0</v>
      </c>
      <c r="AG389">
        <f>N(AG388)+$AF389</f>
        <v>0</v>
      </c>
      <c r="AH389">
        <f>IF(AND($N389=1,AND(对接源_01水果!$D389="周转筐－销售出库",N(对接源_01水果!$K389)&lt;&gt;0)),1,0)</f>
        <v>0</v>
      </c>
      <c r="AI389">
        <f>N(AI388)+$AH389</f>
        <v>0</v>
      </c>
      <c r="AJ389" s="7" t="n"/>
      <c r="AL389">
        <f>IF(OR($AL$1="",对接源_01水果!$Y389="",对接源_01水果!$Y389&lt;&gt;$AL$1,对接源_01水果!$B389="",N(对接源_01水果!$AJ389)&lt;=0),0,IF(OR(N(对接源_01水果!$B389)&lt;$AL$2,N(对接源_01水果!$B389)&gt;$AL$3),0,1))</f>
        <v>0</v>
      </c>
      <c r="AM389">
        <f>N(AM388)+$AL389</f>
        <v>0</v>
      </c>
      <c r="AN389">
        <f>IF(对接源_01水果!$AC389="","",对接源_01水果!$AC389)</f>
      </c>
      <c r="AO389">
        <f>IF(AN389="",0,IF(MATCH(AN389,$AN$4:$AN$1203,0)=ROW()-3,1,0))</f>
        <v>0</v>
      </c>
      <c r="AP389">
        <f>N(AP388)+$AO389</f>
        <v>0</v>
      </c>
      <c r="AR389">
        <f>IF(OR($AF389=1,$AH389=1),1,0)</f>
        <v>0</v>
      </c>
      <c r="AS389">
        <f>N(AS388)+$AR389</f>
        <v>0</v>
      </c>
    </row>
    <row r="390" ht="14.25" customHeight="1" s="127">
      <c r="A390" t="str">
        <f>IF(对接源_01水果!$C390="","",对接源_01水果!$C390)</f>
        <v>吐尔逊</v>
      </c>
      <c r="B390">
        <f>IF(A390="",0,IF(MATCH(A390,$A$4:$A$2403,0)=ROW()-3,1,0))</f>
        <v>0</v>
      </c>
      <c r="C390">
        <f>N(C389)+B390</f>
        <v>19</v>
      </c>
      <c r="K390">
        <f>IF(OR($K$1="",对接源_01水果!$C390="",对接源_01水果!$C390&lt;&gt;$K$1,对接源_01水果!$B390=""),0,IF(OR(N(对接源_01水果!$B390)&lt;$K$2,N(对接源_01水果!$B390)&gt;$K$3),0,1))</f>
        <v>0</v>
      </c>
      <c r="L390">
        <f>IF(OR($L$1="",对接源_01水果!$C390="",对接源_01水果!$C390&lt;&gt;$L$1,对接源_01水果!$B390=""),0,IF(OR(N(对接源_01水果!$B390)&lt;$L$2,N(对接源_01水果!$B390)&gt;$L$3),0,1))</f>
        <v>0</v>
      </c>
      <c r="M390">
        <f>IF(OR($M$1="",对接源_01水果!$C390="",对接源_01水果!$C390&lt;&gt;$M$1,对接源_01水果!$B390=""),0,IF(OR(N(对接源_01水果!$B390)&lt;$M$2,N(对接源_01水果!$B390)&gt;$M$3),0,1))</f>
        <v>0</v>
      </c>
      <c r="N390">
        <f>IF(OR($N$1="",对接源_01水果!$C390="",对接源_01水果!$C390&lt;&gt;$N$1,对接源_01水果!$B390=""),0,IF(OR(N(对接源_01水果!$B390)&lt;$N$2,N(对接源_01水果!$B390)&gt;$N$3),0,1))</f>
        <v>0</v>
      </c>
      <c r="P390">
        <f>IF(AND($K390=1,AND(对接源_01水果!$X390="公司筐",N(对接源_01水果!$T390)&lt;&gt;0)),1,0)</f>
        <v>0</v>
      </c>
      <c r="Q390">
        <f>N(Q389)+$P390</f>
        <v>0</v>
      </c>
      <c r="R390">
        <f>IF(AND($K390=1,AND(对接源_01水果!$X390="公司筐",N(对接源_01水果!$U390)&lt;&gt;0)),1,0)</f>
        <v>0</v>
      </c>
      <c r="S390">
        <f>N(S389)+$R390</f>
        <v>0</v>
      </c>
      <c r="T390">
        <f>IF(AND($K390=1,AND(对接源_01水果!$X390="公司筐",N(对接源_01水果!$V390)&lt;&gt;0)),1,0)</f>
        <v>0</v>
      </c>
      <c r="U390">
        <f>N(U389)+$T390</f>
        <v>32</v>
      </c>
      <c r="V390">
        <f>IF(AND($L390=1,AND(对接源_01水果!$X390="自备筐",N(对接源_01水果!$V390)&lt;&gt;0)),1,0)</f>
        <v>0</v>
      </c>
      <c r="W390">
        <f>N(W389)+$V390</f>
        <v>11</v>
      </c>
      <c r="X390">
        <f>IF(AND($L390=1,AND(对接源_01水果!$X390="自备筐",N(对接源_01水果!$T390)&lt;&gt;0)),1,0)</f>
        <v>0</v>
      </c>
      <c r="Y390">
        <f>N(Y389)+$X390</f>
        <v>0</v>
      </c>
      <c r="Z390">
        <f>IF(AND($M390=1,对接源_01水果!$D390="原料入库"),1,0)</f>
        <v>0</v>
      </c>
      <c r="AA390">
        <f>N(AA389)+$Z390</f>
        <v>24</v>
      </c>
      <c r="AB390">
        <f>IF(AND($M390=1,LEFT(对接源_01水果!$D390,4)="原料出库"),1,0)</f>
        <v>0</v>
      </c>
      <c r="AC390">
        <f>N(AC389)+$AB390</f>
        <v>0</v>
      </c>
      <c r="AD390">
        <f>IF(AND($M390=1,LEFT(对接源_01水果!$D390,4)="成品出库"),1,0)</f>
        <v>0</v>
      </c>
      <c r="AE390">
        <f>N(AE389)+$AD390</f>
        <v>0</v>
      </c>
      <c r="AF390">
        <f>IF(AND($N390=1,AND(LEFT(对接源_01水果!$D390,4)="包装物料",N(对接源_01水果!$K390)&lt;&gt;0)),1,0)</f>
        <v>0</v>
      </c>
      <c r="AG390">
        <f>N(AG389)+$AF390</f>
        <v>0</v>
      </c>
      <c r="AH390">
        <f>IF(AND($N390=1,AND(对接源_01水果!$D390="周转筐－销售出库",N(对接源_01水果!$K390)&lt;&gt;0)),1,0)</f>
        <v>0</v>
      </c>
      <c r="AI390">
        <f>N(AI389)+$AH390</f>
        <v>0</v>
      </c>
      <c r="AJ390" s="7" t="n"/>
      <c r="AL390">
        <f>IF(OR($AL$1="",对接源_01水果!$Y390="",对接源_01水果!$Y390&lt;&gt;$AL$1,对接源_01水果!$B390="",N(对接源_01水果!$AJ390)&lt;=0),0,IF(OR(N(对接源_01水果!$B390)&lt;$AL$2,N(对接源_01水果!$B390)&gt;$AL$3),0,1))</f>
        <v>0</v>
      </c>
      <c r="AM390">
        <f>N(AM389)+$AL390</f>
        <v>0</v>
      </c>
      <c r="AN390">
        <f>IF(对接源_01水果!$AC390="","",对接源_01水果!$AC390)</f>
      </c>
      <c r="AO390">
        <f>IF(AN390="",0,IF(MATCH(AN390,$AN$4:$AN$1203,0)=ROW()-3,1,0))</f>
        <v>0</v>
      </c>
      <c r="AP390">
        <f>N(AP389)+$AO390</f>
        <v>0</v>
      </c>
      <c r="AR390">
        <f>IF(OR($AF390=1,$AH390=1),1,0)</f>
        <v>0</v>
      </c>
      <c r="AS390">
        <f>N(AS389)+$AR390</f>
        <v>0</v>
      </c>
    </row>
    <row r="391" ht="14.25" customHeight="1" s="127">
      <c r="A391" t="str">
        <f>IF(对接源_01水果!$C391="","",对接源_01水果!$C391)</f>
        <v>王照雪</v>
      </c>
      <c r="B391">
        <f>IF(A391="",0,IF(MATCH(A391,$A$4:$A$2403,0)=ROW()-3,1,0))</f>
        <v>0</v>
      </c>
      <c r="C391">
        <f>N(C390)+B391</f>
        <v>19</v>
      </c>
      <c r="K391">
        <f>IF(OR($K$1="",对接源_01水果!$C391="",对接源_01水果!$C391&lt;&gt;$K$1,对接源_01水果!$B391=""),0,IF(OR(N(对接源_01水果!$B391)&lt;$K$2,N(对接源_01水果!$B391)&gt;$K$3),0,1))</f>
        <v>0</v>
      </c>
      <c r="L391">
        <f>IF(OR($L$1="",对接源_01水果!$C391="",对接源_01水果!$C391&lt;&gt;$L$1,对接源_01水果!$B391=""),0,IF(OR(N(对接源_01水果!$B391)&lt;$L$2,N(对接源_01水果!$B391)&gt;$L$3),0,1))</f>
        <v>0</v>
      </c>
      <c r="M391">
        <f>IF(OR($M$1="",对接源_01水果!$C391="",对接源_01水果!$C391&lt;&gt;$M$1,对接源_01水果!$B391=""),0,IF(OR(N(对接源_01水果!$B391)&lt;$M$2,N(对接源_01水果!$B391)&gt;$M$3),0,1))</f>
        <v>0</v>
      </c>
      <c r="N391">
        <f>IF(OR($N$1="",对接源_01水果!$C391="",对接源_01水果!$C391&lt;&gt;$N$1,对接源_01水果!$B391=""),0,IF(OR(N(对接源_01水果!$B391)&lt;$N$2,N(对接源_01水果!$B391)&gt;$N$3),0,1))</f>
        <v>0</v>
      </c>
      <c r="P391">
        <f>IF(AND($K391=1,AND(对接源_01水果!$X391="公司筐",N(对接源_01水果!$T391)&lt;&gt;0)),1,0)</f>
        <v>0</v>
      </c>
      <c r="Q391">
        <f>N(Q390)+$P391</f>
        <v>0</v>
      </c>
      <c r="R391">
        <f>IF(AND($K391=1,AND(对接源_01水果!$X391="公司筐",N(对接源_01水果!$U391)&lt;&gt;0)),1,0)</f>
        <v>0</v>
      </c>
      <c r="S391">
        <f>N(S390)+$R391</f>
        <v>0</v>
      </c>
      <c r="T391">
        <f>IF(AND($K391=1,AND(对接源_01水果!$X391="公司筐",N(对接源_01水果!$V391)&lt;&gt;0)),1,0)</f>
        <v>0</v>
      </c>
      <c r="U391">
        <f>N(U390)+$T391</f>
        <v>32</v>
      </c>
      <c r="V391">
        <f>IF(AND($L391=1,AND(对接源_01水果!$X391="自备筐",N(对接源_01水果!$V391)&lt;&gt;0)),1,0)</f>
        <v>0</v>
      </c>
      <c r="W391">
        <f>N(W390)+$V391</f>
        <v>11</v>
      </c>
      <c r="X391">
        <f>IF(AND($L391=1,AND(对接源_01水果!$X391="自备筐",N(对接源_01水果!$T391)&lt;&gt;0)),1,0)</f>
        <v>0</v>
      </c>
      <c r="Y391">
        <f>N(Y390)+$X391</f>
        <v>0</v>
      </c>
      <c r="Z391">
        <f>IF(AND($M391=1,对接源_01水果!$D391="原料入库"),1,0)</f>
        <v>0</v>
      </c>
      <c r="AA391">
        <f>N(AA390)+$Z391</f>
        <v>24</v>
      </c>
      <c r="AB391">
        <f>IF(AND($M391=1,LEFT(对接源_01水果!$D391,4)="原料出库"),1,0)</f>
        <v>0</v>
      </c>
      <c r="AC391">
        <f>N(AC390)+$AB391</f>
        <v>0</v>
      </c>
      <c r="AD391">
        <f>IF(AND($M391=1,LEFT(对接源_01水果!$D391,4)="成品出库"),1,0)</f>
        <v>0</v>
      </c>
      <c r="AE391">
        <f>N(AE390)+$AD391</f>
        <v>0</v>
      </c>
      <c r="AF391">
        <f>IF(AND($N391=1,AND(LEFT(对接源_01水果!$D391,4)="包装物料",N(对接源_01水果!$K391)&lt;&gt;0)),1,0)</f>
        <v>0</v>
      </c>
      <c r="AG391">
        <f>N(AG390)+$AF391</f>
        <v>0</v>
      </c>
      <c r="AH391">
        <f>IF(AND($N391=1,AND(对接源_01水果!$D391="周转筐－销售出库",N(对接源_01水果!$K391)&lt;&gt;0)),1,0)</f>
        <v>0</v>
      </c>
      <c r="AI391">
        <f>N(AI390)+$AH391</f>
        <v>0</v>
      </c>
      <c r="AJ391" s="7" t="n"/>
      <c r="AL391">
        <f>IF(OR($AL$1="",对接源_01水果!$Y391="",对接源_01水果!$Y391&lt;&gt;$AL$1,对接源_01水果!$B391="",N(对接源_01水果!$AJ391)&lt;=0),0,IF(OR(N(对接源_01水果!$B391)&lt;$AL$2,N(对接源_01水果!$B391)&gt;$AL$3),0,1))</f>
        <v>0</v>
      </c>
      <c r="AM391">
        <f>N(AM390)+$AL391</f>
        <v>0</v>
      </c>
      <c r="AN391">
        <f>IF(对接源_01水果!$AC391="","",对接源_01水果!$AC391)</f>
      </c>
      <c r="AO391">
        <f>IF(AN391="",0,IF(MATCH(AN391,$AN$4:$AN$1203,0)=ROW()-3,1,0))</f>
        <v>0</v>
      </c>
      <c r="AP391">
        <f>N(AP390)+$AO391</f>
        <v>0</v>
      </c>
      <c r="AR391">
        <f>IF(OR($AF391=1,$AH391=1),1,0)</f>
        <v>0</v>
      </c>
      <c r="AS391">
        <f>N(AS390)+$AR391</f>
        <v>0</v>
      </c>
    </row>
    <row r="392" ht="14.25" customHeight="1" s="127">
      <c r="A392" t="str">
        <f>IF(对接源_01水果!$C392="","",对接源_01水果!$C392)</f>
        <v>王照雪</v>
      </c>
      <c r="B392">
        <f>IF(A392="",0,IF(MATCH(A392,$A$4:$A$2403,0)=ROW()-3,1,0))</f>
        <v>0</v>
      </c>
      <c r="C392">
        <f>N(C391)+B392</f>
        <v>19</v>
      </c>
      <c r="K392">
        <f>IF(OR($K$1="",对接源_01水果!$C392="",对接源_01水果!$C392&lt;&gt;$K$1,对接源_01水果!$B392=""),0,IF(OR(N(对接源_01水果!$B392)&lt;$K$2,N(对接源_01水果!$B392)&gt;$K$3),0,1))</f>
        <v>0</v>
      </c>
      <c r="L392">
        <f>IF(OR($L$1="",对接源_01水果!$C392="",对接源_01水果!$C392&lt;&gt;$L$1,对接源_01水果!$B392=""),0,IF(OR(N(对接源_01水果!$B392)&lt;$L$2,N(对接源_01水果!$B392)&gt;$L$3),0,1))</f>
        <v>0</v>
      </c>
      <c r="M392">
        <f>IF(OR($M$1="",对接源_01水果!$C392="",对接源_01水果!$C392&lt;&gt;$M$1,对接源_01水果!$B392=""),0,IF(OR(N(对接源_01水果!$B392)&lt;$M$2,N(对接源_01水果!$B392)&gt;$M$3),0,1))</f>
        <v>0</v>
      </c>
      <c r="N392">
        <f>IF(OR($N$1="",对接源_01水果!$C392="",对接源_01水果!$C392&lt;&gt;$N$1,对接源_01水果!$B392=""),0,IF(OR(N(对接源_01水果!$B392)&lt;$N$2,N(对接源_01水果!$B392)&gt;$N$3),0,1))</f>
        <v>0</v>
      </c>
      <c r="P392">
        <f>IF(AND($K392=1,AND(对接源_01水果!$X392="公司筐",N(对接源_01水果!$T392)&lt;&gt;0)),1,0)</f>
        <v>0</v>
      </c>
      <c r="Q392">
        <f>N(Q391)+$P392</f>
        <v>0</v>
      </c>
      <c r="R392">
        <f>IF(AND($K392=1,AND(对接源_01水果!$X392="公司筐",N(对接源_01水果!$U392)&lt;&gt;0)),1,0)</f>
        <v>0</v>
      </c>
      <c r="S392">
        <f>N(S391)+$R392</f>
        <v>0</v>
      </c>
      <c r="T392">
        <f>IF(AND($K392=1,AND(对接源_01水果!$X392="公司筐",N(对接源_01水果!$V392)&lt;&gt;0)),1,0)</f>
        <v>0</v>
      </c>
      <c r="U392">
        <f>N(U391)+$T392</f>
        <v>32</v>
      </c>
      <c r="V392">
        <f>IF(AND($L392=1,AND(对接源_01水果!$X392="自备筐",N(对接源_01水果!$V392)&lt;&gt;0)),1,0)</f>
        <v>0</v>
      </c>
      <c r="W392">
        <f>N(W391)+$V392</f>
        <v>11</v>
      </c>
      <c r="X392">
        <f>IF(AND($L392=1,AND(对接源_01水果!$X392="自备筐",N(对接源_01水果!$T392)&lt;&gt;0)),1,0)</f>
        <v>0</v>
      </c>
      <c r="Y392">
        <f>N(Y391)+$X392</f>
        <v>0</v>
      </c>
      <c r="Z392">
        <f>IF(AND($M392=1,对接源_01水果!$D392="原料入库"),1,0)</f>
        <v>0</v>
      </c>
      <c r="AA392">
        <f>N(AA391)+$Z392</f>
        <v>24</v>
      </c>
      <c r="AB392">
        <f>IF(AND($M392=1,LEFT(对接源_01水果!$D392,4)="原料出库"),1,0)</f>
        <v>0</v>
      </c>
      <c r="AC392">
        <f>N(AC391)+$AB392</f>
        <v>0</v>
      </c>
      <c r="AD392">
        <f>IF(AND($M392=1,LEFT(对接源_01水果!$D392,4)="成品出库"),1,0)</f>
        <v>0</v>
      </c>
      <c r="AE392">
        <f>N(AE391)+$AD392</f>
        <v>0</v>
      </c>
      <c r="AF392">
        <f>IF(AND($N392=1,AND(LEFT(对接源_01水果!$D392,4)="包装物料",N(对接源_01水果!$K392)&lt;&gt;0)),1,0)</f>
        <v>0</v>
      </c>
      <c r="AG392">
        <f>N(AG391)+$AF392</f>
        <v>0</v>
      </c>
      <c r="AH392">
        <f>IF(AND($N392=1,AND(对接源_01水果!$D392="周转筐－销售出库",N(对接源_01水果!$K392)&lt;&gt;0)),1,0)</f>
        <v>0</v>
      </c>
      <c r="AI392">
        <f>N(AI391)+$AH392</f>
        <v>0</v>
      </c>
      <c r="AJ392" s="7" t="n"/>
      <c r="AL392">
        <f>IF(OR($AL$1="",对接源_01水果!$Y392="",对接源_01水果!$Y392&lt;&gt;$AL$1,对接源_01水果!$B392="",N(对接源_01水果!$AJ392)&lt;=0),0,IF(OR(N(对接源_01水果!$B392)&lt;$AL$2,N(对接源_01水果!$B392)&gt;$AL$3),0,1))</f>
        <v>0</v>
      </c>
      <c r="AM392">
        <f>N(AM391)+$AL392</f>
        <v>0</v>
      </c>
      <c r="AN392">
        <f>IF(对接源_01水果!$AC392="","",对接源_01水果!$AC392)</f>
      </c>
      <c r="AO392">
        <f>IF(AN392="",0,IF(MATCH(AN392,$AN$4:$AN$1203,0)=ROW()-3,1,0))</f>
        <v>0</v>
      </c>
      <c r="AP392">
        <f>N(AP391)+$AO392</f>
        <v>0</v>
      </c>
      <c r="AR392">
        <f>IF(OR($AF392=1,$AH392=1),1,0)</f>
        <v>0</v>
      </c>
      <c r="AS392">
        <f>N(AS391)+$AR392</f>
        <v>0</v>
      </c>
    </row>
    <row r="393" ht="14.25" customHeight="1" s="127">
      <c r="A393" t="str">
        <f>IF(对接源_01水果!$C393="","",对接源_01水果!$C393)</f>
        <v>王照雪</v>
      </c>
      <c r="B393">
        <f>IF(A393="",0,IF(MATCH(A393,$A$4:$A$2403,0)=ROW()-3,1,0))</f>
        <v>0</v>
      </c>
      <c r="C393">
        <f>N(C392)+B393</f>
        <v>19</v>
      </c>
      <c r="K393">
        <f>IF(OR($K$1="",对接源_01水果!$C393="",对接源_01水果!$C393&lt;&gt;$K$1,对接源_01水果!$B393=""),0,IF(OR(N(对接源_01水果!$B393)&lt;$K$2,N(对接源_01水果!$B393)&gt;$K$3),0,1))</f>
        <v>0</v>
      </c>
      <c r="L393">
        <f>IF(OR($L$1="",对接源_01水果!$C393="",对接源_01水果!$C393&lt;&gt;$L$1,对接源_01水果!$B393=""),0,IF(OR(N(对接源_01水果!$B393)&lt;$L$2,N(对接源_01水果!$B393)&gt;$L$3),0,1))</f>
        <v>0</v>
      </c>
      <c r="M393">
        <f>IF(OR($M$1="",对接源_01水果!$C393="",对接源_01水果!$C393&lt;&gt;$M$1,对接源_01水果!$B393=""),0,IF(OR(N(对接源_01水果!$B393)&lt;$M$2,N(对接源_01水果!$B393)&gt;$M$3),0,1))</f>
        <v>0</v>
      </c>
      <c r="N393">
        <f>IF(OR($N$1="",对接源_01水果!$C393="",对接源_01水果!$C393&lt;&gt;$N$1,对接源_01水果!$B393=""),0,IF(OR(N(对接源_01水果!$B393)&lt;$N$2,N(对接源_01水果!$B393)&gt;$N$3),0,1))</f>
        <v>0</v>
      </c>
      <c r="P393">
        <f>IF(AND($K393=1,AND(对接源_01水果!$X393="公司筐",N(对接源_01水果!$T393)&lt;&gt;0)),1,0)</f>
        <v>0</v>
      </c>
      <c r="Q393">
        <f>N(Q392)+$P393</f>
        <v>0</v>
      </c>
      <c r="R393">
        <f>IF(AND($K393=1,AND(对接源_01水果!$X393="公司筐",N(对接源_01水果!$U393)&lt;&gt;0)),1,0)</f>
        <v>0</v>
      </c>
      <c r="S393">
        <f>N(S392)+$R393</f>
        <v>0</v>
      </c>
      <c r="T393">
        <f>IF(AND($K393=1,AND(对接源_01水果!$X393="公司筐",N(对接源_01水果!$V393)&lt;&gt;0)),1,0)</f>
        <v>0</v>
      </c>
      <c r="U393">
        <f>N(U392)+$T393</f>
        <v>32</v>
      </c>
      <c r="V393">
        <f>IF(AND($L393=1,AND(对接源_01水果!$X393="自备筐",N(对接源_01水果!$V393)&lt;&gt;0)),1,0)</f>
        <v>0</v>
      </c>
      <c r="W393">
        <f>N(W392)+$V393</f>
        <v>11</v>
      </c>
      <c r="X393">
        <f>IF(AND($L393=1,AND(对接源_01水果!$X393="自备筐",N(对接源_01水果!$T393)&lt;&gt;0)),1,0)</f>
        <v>0</v>
      </c>
      <c r="Y393">
        <f>N(Y392)+$X393</f>
        <v>0</v>
      </c>
      <c r="Z393">
        <f>IF(AND($M393=1,对接源_01水果!$D393="原料入库"),1,0)</f>
        <v>0</v>
      </c>
      <c r="AA393">
        <f>N(AA392)+$Z393</f>
        <v>24</v>
      </c>
      <c r="AB393">
        <f>IF(AND($M393=1,LEFT(对接源_01水果!$D393,4)="原料出库"),1,0)</f>
        <v>0</v>
      </c>
      <c r="AC393">
        <f>N(AC392)+$AB393</f>
        <v>0</v>
      </c>
      <c r="AD393">
        <f>IF(AND($M393=1,LEFT(对接源_01水果!$D393,4)="成品出库"),1,0)</f>
        <v>0</v>
      </c>
      <c r="AE393">
        <f>N(AE392)+$AD393</f>
        <v>0</v>
      </c>
      <c r="AF393">
        <f>IF(AND($N393=1,AND(LEFT(对接源_01水果!$D393,4)="包装物料",N(对接源_01水果!$K393)&lt;&gt;0)),1,0)</f>
        <v>0</v>
      </c>
      <c r="AG393">
        <f>N(AG392)+$AF393</f>
        <v>0</v>
      </c>
      <c r="AH393">
        <f>IF(AND($N393=1,AND(对接源_01水果!$D393="周转筐－销售出库",N(对接源_01水果!$K393)&lt;&gt;0)),1,0)</f>
        <v>0</v>
      </c>
      <c r="AI393">
        <f>N(AI392)+$AH393</f>
        <v>0</v>
      </c>
      <c r="AJ393" s="7" t="n"/>
      <c r="AL393">
        <f>IF(OR($AL$1="",对接源_01水果!$Y393="",对接源_01水果!$Y393&lt;&gt;$AL$1,对接源_01水果!$B393="",N(对接源_01水果!$AJ393)&lt;=0),0,IF(OR(N(对接源_01水果!$B393)&lt;$AL$2,N(对接源_01水果!$B393)&gt;$AL$3),0,1))</f>
        <v>0</v>
      </c>
      <c r="AM393">
        <f>N(AM392)+$AL393</f>
        <v>0</v>
      </c>
      <c r="AN393">
        <f>IF(对接源_01水果!$AC393="","",对接源_01水果!$AC393)</f>
      </c>
      <c r="AO393">
        <f>IF(AN393="",0,IF(MATCH(AN393,$AN$4:$AN$1203,0)=ROW()-3,1,0))</f>
        <v>0</v>
      </c>
      <c r="AP393">
        <f>N(AP392)+$AO393</f>
        <v>0</v>
      </c>
      <c r="AR393">
        <f>IF(OR($AF393=1,$AH393=1),1,0)</f>
        <v>0</v>
      </c>
      <c r="AS393">
        <f>N(AS392)+$AR393</f>
        <v>0</v>
      </c>
    </row>
    <row r="394" ht="14.25" customHeight="1" s="127">
      <c r="A394" t="str">
        <f>IF(对接源_01水果!$C394="","",对接源_01水果!$C394)</f>
        <v>艾海提</v>
      </c>
      <c r="B394">
        <f>IF(A394="",0,IF(MATCH(A394,$A$4:$A$2403,0)=ROW()-3,1,0))</f>
        <v>1</v>
      </c>
      <c r="C394">
        <f>N(C393)+B394</f>
        <v>20</v>
      </c>
      <c r="K394">
        <f>IF(OR($K$1="",对接源_01水果!$C394="",对接源_01水果!$C394&lt;&gt;$K$1,对接源_01水果!$B394=""),0,IF(OR(N(对接源_01水果!$B394)&lt;$K$2,N(对接源_01水果!$B394)&gt;$K$3),0,1))</f>
        <v>0</v>
      </c>
      <c r="L394">
        <f>IF(OR($L$1="",对接源_01水果!$C394="",对接源_01水果!$C394&lt;&gt;$L$1,对接源_01水果!$B394=""),0,IF(OR(N(对接源_01水果!$B394)&lt;$L$2,N(对接源_01水果!$B394)&gt;$L$3),0,1))</f>
        <v>0</v>
      </c>
      <c r="M394">
        <f>IF(OR($M$1="",对接源_01水果!$C394="",对接源_01水果!$C394&lt;&gt;$M$1,对接源_01水果!$B394=""),0,IF(OR(N(对接源_01水果!$B394)&lt;$M$2,N(对接源_01水果!$B394)&gt;$M$3),0,1))</f>
        <v>0</v>
      </c>
      <c r="N394">
        <f>IF(OR($N$1="",对接源_01水果!$C394="",对接源_01水果!$C394&lt;&gt;$N$1,对接源_01水果!$B394=""),0,IF(OR(N(对接源_01水果!$B394)&lt;$N$2,N(对接源_01水果!$B394)&gt;$N$3),0,1))</f>
        <v>0</v>
      </c>
      <c r="P394">
        <f>IF(AND($K394=1,AND(对接源_01水果!$X394="公司筐",N(对接源_01水果!$T394)&lt;&gt;0)),1,0)</f>
        <v>0</v>
      </c>
      <c r="Q394">
        <f>N(Q393)+$P394</f>
        <v>0</v>
      </c>
      <c r="R394">
        <f>IF(AND($K394=1,AND(对接源_01水果!$X394="公司筐",N(对接源_01水果!$U394)&lt;&gt;0)),1,0)</f>
        <v>0</v>
      </c>
      <c r="S394">
        <f>N(S393)+$R394</f>
        <v>0</v>
      </c>
      <c r="T394">
        <f>IF(AND($K394=1,AND(对接源_01水果!$X394="公司筐",N(对接源_01水果!$V394)&lt;&gt;0)),1,0)</f>
        <v>0</v>
      </c>
      <c r="U394">
        <f>N(U393)+$T394</f>
        <v>32</v>
      </c>
      <c r="V394">
        <f>IF(AND($L394=1,AND(对接源_01水果!$X394="自备筐",N(对接源_01水果!$V394)&lt;&gt;0)),1,0)</f>
        <v>0</v>
      </c>
      <c r="W394">
        <f>N(W393)+$V394</f>
        <v>11</v>
      </c>
      <c r="X394">
        <f>IF(AND($L394=1,AND(对接源_01水果!$X394="自备筐",N(对接源_01水果!$T394)&lt;&gt;0)),1,0)</f>
        <v>0</v>
      </c>
      <c r="Y394">
        <f>N(Y393)+$X394</f>
        <v>0</v>
      </c>
      <c r="Z394">
        <f>IF(AND($M394=1,对接源_01水果!$D394="原料入库"),1,0)</f>
        <v>0</v>
      </c>
      <c r="AA394">
        <f>N(AA393)+$Z394</f>
        <v>24</v>
      </c>
      <c r="AB394">
        <f>IF(AND($M394=1,LEFT(对接源_01水果!$D394,4)="原料出库"),1,0)</f>
        <v>0</v>
      </c>
      <c r="AC394">
        <f>N(AC393)+$AB394</f>
        <v>0</v>
      </c>
      <c r="AD394">
        <f>IF(AND($M394=1,LEFT(对接源_01水果!$D394,4)="成品出库"),1,0)</f>
        <v>0</v>
      </c>
      <c r="AE394">
        <f>N(AE393)+$AD394</f>
        <v>0</v>
      </c>
      <c r="AF394">
        <f>IF(AND($N394=1,AND(LEFT(对接源_01水果!$D394,4)="包装物料",N(对接源_01水果!$K394)&lt;&gt;0)),1,0)</f>
        <v>0</v>
      </c>
      <c r="AG394">
        <f>N(AG393)+$AF394</f>
        <v>0</v>
      </c>
      <c r="AH394">
        <f>IF(AND($N394=1,AND(对接源_01水果!$D394="周转筐－销售出库",N(对接源_01水果!$K394)&lt;&gt;0)),1,0)</f>
        <v>0</v>
      </c>
      <c r="AI394">
        <f>N(AI393)+$AH394</f>
        <v>0</v>
      </c>
      <c r="AJ394" s="7" t="n"/>
      <c r="AL394">
        <f>IF(OR($AL$1="",对接源_01水果!$Y394="",对接源_01水果!$Y394&lt;&gt;$AL$1,对接源_01水果!$B394="",N(对接源_01水果!$AJ394)&lt;=0),0,IF(OR(N(对接源_01水果!$B394)&lt;$AL$2,N(对接源_01水果!$B394)&gt;$AL$3),0,1))</f>
        <v>0</v>
      </c>
      <c r="AM394">
        <f>N(AM393)+$AL394</f>
        <v>0</v>
      </c>
      <c r="AN394">
        <f>IF(对接源_01水果!$AC394="","",对接源_01水果!$AC394)</f>
      </c>
      <c r="AO394">
        <f>IF(AN394="",0,IF(MATCH(AN394,$AN$4:$AN$1203,0)=ROW()-3,1,0))</f>
        <v>0</v>
      </c>
      <c r="AP394">
        <f>N(AP393)+$AO394</f>
        <v>0</v>
      </c>
      <c r="AR394">
        <f>IF(OR($AF394=1,$AH394=1),1,0)</f>
        <v>0</v>
      </c>
      <c r="AS394">
        <f>N(AS393)+$AR394</f>
        <v>0</v>
      </c>
    </row>
    <row r="395" ht="14.25" customHeight="1" s="127">
      <c r="A395" t="str">
        <f>IF(对接源_01水果!$C395="","",对接源_01水果!$C395)</f>
        <v>艾海提</v>
      </c>
      <c r="B395">
        <f>IF(A395="",0,IF(MATCH(A395,$A$4:$A$2403,0)=ROW()-3,1,0))</f>
        <v>0</v>
      </c>
      <c r="C395">
        <f>N(C394)+B395</f>
        <v>20</v>
      </c>
      <c r="K395">
        <f>IF(OR($K$1="",对接源_01水果!$C395="",对接源_01水果!$C395&lt;&gt;$K$1,对接源_01水果!$B395=""),0,IF(OR(N(对接源_01水果!$B395)&lt;$K$2,N(对接源_01水果!$B395)&gt;$K$3),0,1))</f>
        <v>0</v>
      </c>
      <c r="L395">
        <f>IF(OR($L$1="",对接源_01水果!$C395="",对接源_01水果!$C395&lt;&gt;$L$1,对接源_01水果!$B395=""),0,IF(OR(N(对接源_01水果!$B395)&lt;$L$2,N(对接源_01水果!$B395)&gt;$L$3),0,1))</f>
        <v>0</v>
      </c>
      <c r="M395">
        <f>IF(OR($M$1="",对接源_01水果!$C395="",对接源_01水果!$C395&lt;&gt;$M$1,对接源_01水果!$B395=""),0,IF(OR(N(对接源_01水果!$B395)&lt;$M$2,N(对接源_01水果!$B395)&gt;$M$3),0,1))</f>
        <v>0</v>
      </c>
      <c r="N395">
        <f>IF(OR($N$1="",对接源_01水果!$C395="",对接源_01水果!$C395&lt;&gt;$N$1,对接源_01水果!$B395=""),0,IF(OR(N(对接源_01水果!$B395)&lt;$N$2,N(对接源_01水果!$B395)&gt;$N$3),0,1))</f>
        <v>0</v>
      </c>
      <c r="P395">
        <f>IF(AND($K395=1,AND(对接源_01水果!$X395="公司筐",N(对接源_01水果!$T395)&lt;&gt;0)),1,0)</f>
        <v>0</v>
      </c>
      <c r="Q395">
        <f>N(Q394)+$P395</f>
        <v>0</v>
      </c>
      <c r="R395">
        <f>IF(AND($K395=1,AND(对接源_01水果!$X395="公司筐",N(对接源_01水果!$U395)&lt;&gt;0)),1,0)</f>
        <v>0</v>
      </c>
      <c r="S395">
        <f>N(S394)+$R395</f>
        <v>0</v>
      </c>
      <c r="T395">
        <f>IF(AND($K395=1,AND(对接源_01水果!$X395="公司筐",N(对接源_01水果!$V395)&lt;&gt;0)),1,0)</f>
        <v>0</v>
      </c>
      <c r="U395">
        <f>N(U394)+$T395</f>
        <v>32</v>
      </c>
      <c r="V395">
        <f>IF(AND($L395=1,AND(对接源_01水果!$X395="自备筐",N(对接源_01水果!$V395)&lt;&gt;0)),1,0)</f>
        <v>0</v>
      </c>
      <c r="W395">
        <f>N(W394)+$V395</f>
        <v>11</v>
      </c>
      <c r="X395">
        <f>IF(AND($L395=1,AND(对接源_01水果!$X395="自备筐",N(对接源_01水果!$T395)&lt;&gt;0)),1,0)</f>
        <v>0</v>
      </c>
      <c r="Y395">
        <f>N(Y394)+$X395</f>
        <v>0</v>
      </c>
      <c r="Z395">
        <f>IF(AND($M395=1,对接源_01水果!$D395="原料入库"),1,0)</f>
        <v>0</v>
      </c>
      <c r="AA395">
        <f>N(AA394)+$Z395</f>
        <v>24</v>
      </c>
      <c r="AB395">
        <f>IF(AND($M395=1,LEFT(对接源_01水果!$D395,4)="原料出库"),1,0)</f>
        <v>0</v>
      </c>
      <c r="AC395">
        <f>N(AC394)+$AB395</f>
        <v>0</v>
      </c>
      <c r="AD395">
        <f>IF(AND($M395=1,LEFT(对接源_01水果!$D395,4)="成品出库"),1,0)</f>
        <v>0</v>
      </c>
      <c r="AE395">
        <f>N(AE394)+$AD395</f>
        <v>0</v>
      </c>
      <c r="AF395">
        <f>IF(AND($N395=1,AND(LEFT(对接源_01水果!$D395,4)="包装物料",N(对接源_01水果!$K395)&lt;&gt;0)),1,0)</f>
        <v>0</v>
      </c>
      <c r="AG395">
        <f>N(AG394)+$AF395</f>
        <v>0</v>
      </c>
      <c r="AH395">
        <f>IF(AND($N395=1,AND(对接源_01水果!$D395="周转筐－销售出库",N(对接源_01水果!$K395)&lt;&gt;0)),1,0)</f>
        <v>0</v>
      </c>
      <c r="AI395">
        <f>N(AI394)+$AH395</f>
        <v>0</v>
      </c>
      <c r="AJ395" s="7" t="n"/>
      <c r="AL395">
        <f>IF(OR($AL$1="",对接源_01水果!$Y395="",对接源_01水果!$Y395&lt;&gt;$AL$1,对接源_01水果!$B395="",N(对接源_01水果!$AJ395)&lt;=0),0,IF(OR(N(对接源_01水果!$B395)&lt;$AL$2,N(对接源_01水果!$B395)&gt;$AL$3),0,1))</f>
        <v>0</v>
      </c>
      <c r="AM395">
        <f>N(AM394)+$AL395</f>
        <v>0</v>
      </c>
      <c r="AN395">
        <f>IF(对接源_01水果!$AC395="","",对接源_01水果!$AC395)</f>
      </c>
      <c r="AO395">
        <f>IF(AN395="",0,IF(MATCH(AN395,$AN$4:$AN$1203,0)=ROW()-3,1,0))</f>
        <v>0</v>
      </c>
      <c r="AP395">
        <f>N(AP394)+$AO395</f>
        <v>0</v>
      </c>
      <c r="AR395">
        <f>IF(OR($AF395=1,$AH395=1),1,0)</f>
        <v>0</v>
      </c>
      <c r="AS395">
        <f>N(AS394)+$AR395</f>
        <v>0</v>
      </c>
    </row>
    <row r="396" ht="14.25" customHeight="1" s="127">
      <c r="A396" t="str">
        <f>IF(对接源_01水果!$C396="","",对接源_01水果!$C396)</f>
        <v>王灵云</v>
      </c>
      <c r="B396">
        <f>IF(A396="",0,IF(MATCH(A396,$A$4:$A$2403,0)=ROW()-3,1,0))</f>
        <v>0</v>
      </c>
      <c r="C396">
        <f>N(C395)+B396</f>
        <v>20</v>
      </c>
      <c r="K396">
        <f>IF(OR($K$1="",对接源_01水果!$C396="",对接源_01水果!$C396&lt;&gt;$K$1,对接源_01水果!$B396=""),0,IF(OR(N(对接源_01水果!$B396)&lt;$K$2,N(对接源_01水果!$B396)&gt;$K$3),0,1))</f>
        <v>1</v>
      </c>
      <c r="L396">
        <f>IF(OR($L$1="",对接源_01水果!$C396="",对接源_01水果!$C396&lt;&gt;$L$1,对接源_01水果!$B396=""),0,IF(OR(N(对接源_01水果!$B396)&lt;$L$2,N(对接源_01水果!$B396)&gt;$L$3),0,1))</f>
        <v>0</v>
      </c>
      <c r="M396">
        <f>IF(OR($M$1="",对接源_01水果!$C396="",对接源_01水果!$C396&lt;&gt;$M$1,对接源_01水果!$B396=""),0,IF(OR(N(对接源_01水果!$B396)&lt;$M$2,N(对接源_01水果!$B396)&gt;$M$3),0,1))</f>
        <v>0</v>
      </c>
      <c r="N396">
        <f>IF(OR($N$1="",对接源_01水果!$C396="",对接源_01水果!$C396&lt;&gt;$N$1,对接源_01水果!$B396=""),0,IF(OR(N(对接源_01水果!$B396)&lt;$N$2,N(对接源_01水果!$B396)&gt;$N$3),0,1))</f>
        <v>0</v>
      </c>
      <c r="P396">
        <f>IF(AND($K396=1,AND(对接源_01水果!$X396="公司筐",N(对接源_01水果!$T396)&lt;&gt;0)),1,0)</f>
        <v>0</v>
      </c>
      <c r="Q396">
        <f>N(Q395)+$P396</f>
        <v>0</v>
      </c>
      <c r="R396">
        <f>IF(AND($K396=1,AND(对接源_01水果!$X396="公司筐",N(对接源_01水果!$U396)&lt;&gt;0)),1,0)</f>
        <v>0</v>
      </c>
      <c r="S396">
        <f>N(S395)+$R396</f>
        <v>0</v>
      </c>
      <c r="T396">
        <f>IF(AND($K396=1,AND(对接源_01水果!$X396="公司筐",N(对接源_01水果!$V396)&lt;&gt;0)),1,0)</f>
        <v>1</v>
      </c>
      <c r="U396">
        <f>N(U395)+$T396</f>
        <v>33</v>
      </c>
      <c r="V396">
        <f>IF(AND($L396=1,AND(对接源_01水果!$X396="自备筐",N(对接源_01水果!$V396)&lt;&gt;0)),1,0)</f>
        <v>0</v>
      </c>
      <c r="W396">
        <f>N(W395)+$V396</f>
        <v>11</v>
      </c>
      <c r="X396">
        <f>IF(AND($L396=1,AND(对接源_01水果!$X396="自备筐",N(对接源_01水果!$T396)&lt;&gt;0)),1,0)</f>
        <v>0</v>
      </c>
      <c r="Y396">
        <f>N(Y395)+$X396</f>
        <v>0</v>
      </c>
      <c r="Z396">
        <f>IF(AND($M396=1,对接源_01水果!$D396="原料入库"),1,0)</f>
        <v>0</v>
      </c>
      <c r="AA396">
        <f>N(AA395)+$Z396</f>
        <v>24</v>
      </c>
      <c r="AB396">
        <f>IF(AND($M396=1,LEFT(对接源_01水果!$D396,4)="原料出库"),1,0)</f>
        <v>0</v>
      </c>
      <c r="AC396">
        <f>N(AC395)+$AB396</f>
        <v>0</v>
      </c>
      <c r="AD396">
        <f>IF(AND($M396=1,LEFT(对接源_01水果!$D396,4)="成品出库"),1,0)</f>
        <v>0</v>
      </c>
      <c r="AE396">
        <f>N(AE395)+$AD396</f>
        <v>0</v>
      </c>
      <c r="AF396">
        <f>IF(AND($N396=1,AND(LEFT(对接源_01水果!$D396,4)="包装物料",N(对接源_01水果!$K396)&lt;&gt;0)),1,0)</f>
        <v>0</v>
      </c>
      <c r="AG396">
        <f>N(AG395)+$AF396</f>
        <v>0</v>
      </c>
      <c r="AH396">
        <f>IF(AND($N396=1,AND(对接源_01水果!$D396="周转筐－销售出库",N(对接源_01水果!$K396)&lt;&gt;0)),1,0)</f>
        <v>0</v>
      </c>
      <c r="AI396">
        <f>N(AI395)+$AH396</f>
        <v>0</v>
      </c>
      <c r="AJ396" s="7" t="n"/>
      <c r="AL396">
        <f>IF(OR($AL$1="",对接源_01水果!$Y396="",对接源_01水果!$Y396&lt;&gt;$AL$1,对接源_01水果!$B396="",N(对接源_01水果!$AJ396)&lt;=0),0,IF(OR(N(对接源_01水果!$B396)&lt;$AL$2,N(对接源_01水果!$B396)&gt;$AL$3),0,1))</f>
        <v>0</v>
      </c>
      <c r="AM396">
        <f>N(AM395)+$AL396</f>
        <v>0</v>
      </c>
      <c r="AN396">
        <f>IF(对接源_01水果!$AC396="","",对接源_01水果!$AC396)</f>
      </c>
      <c r="AO396">
        <f>IF(AN396="",0,IF(MATCH(AN396,$AN$4:$AN$1203,0)=ROW()-3,1,0))</f>
        <v>0</v>
      </c>
      <c r="AP396">
        <f>N(AP395)+$AO396</f>
        <v>0</v>
      </c>
      <c r="AR396">
        <f>IF(OR($AF396=1,$AH396=1),1,0)</f>
        <v>0</v>
      </c>
      <c r="AS396">
        <f>N(AS395)+$AR396</f>
        <v>0</v>
      </c>
    </row>
    <row r="397" ht="14.25" customHeight="1" s="127">
      <c r="A397" t="str">
        <f>IF(对接源_01水果!$C397="","",对接源_01水果!$C397)</f>
        <v>王灵云</v>
      </c>
      <c r="B397">
        <f>IF(A397="",0,IF(MATCH(A397,$A$4:$A$2403,0)=ROW()-3,1,0))</f>
        <v>0</v>
      </c>
      <c r="C397">
        <f>N(C396)+B397</f>
        <v>20</v>
      </c>
      <c r="K397">
        <f>IF(OR($K$1="",对接源_01水果!$C397="",对接源_01水果!$C397&lt;&gt;$K$1,对接源_01水果!$B397=""),0,IF(OR(N(对接源_01水果!$B397)&lt;$K$2,N(对接源_01水果!$B397)&gt;$K$3),0,1))</f>
        <v>1</v>
      </c>
      <c r="L397">
        <f>IF(OR($L$1="",对接源_01水果!$C397="",对接源_01水果!$C397&lt;&gt;$L$1,对接源_01水果!$B397=""),0,IF(OR(N(对接源_01水果!$B397)&lt;$L$2,N(对接源_01水果!$B397)&gt;$L$3),0,1))</f>
        <v>0</v>
      </c>
      <c r="M397">
        <f>IF(OR($M$1="",对接源_01水果!$C397="",对接源_01水果!$C397&lt;&gt;$M$1,对接源_01水果!$B397=""),0,IF(OR(N(对接源_01水果!$B397)&lt;$M$2,N(对接源_01水果!$B397)&gt;$M$3),0,1))</f>
        <v>0</v>
      </c>
      <c r="N397">
        <f>IF(OR($N$1="",对接源_01水果!$C397="",对接源_01水果!$C397&lt;&gt;$N$1,对接源_01水果!$B397=""),0,IF(OR(N(对接源_01水果!$B397)&lt;$N$2,N(对接源_01水果!$B397)&gt;$N$3),0,1))</f>
        <v>0</v>
      </c>
      <c r="P397">
        <f>IF(AND($K397=1,AND(对接源_01水果!$X397="公司筐",N(对接源_01水果!$T397)&lt;&gt;0)),1,0)</f>
        <v>0</v>
      </c>
      <c r="Q397">
        <f>N(Q396)+$P397</f>
        <v>0</v>
      </c>
      <c r="R397">
        <f>IF(AND($K397=1,AND(对接源_01水果!$X397="公司筐",N(对接源_01水果!$U397)&lt;&gt;0)),1,0)</f>
        <v>0</v>
      </c>
      <c r="S397">
        <f>N(S396)+$R397</f>
        <v>0</v>
      </c>
      <c r="T397">
        <f>IF(AND($K397=1,AND(对接源_01水果!$X397="公司筐",N(对接源_01水果!$V397)&lt;&gt;0)),1,0)</f>
        <v>1</v>
      </c>
      <c r="U397">
        <f>N(U396)+$T397</f>
        <v>34</v>
      </c>
      <c r="V397">
        <f>IF(AND($L397=1,AND(对接源_01水果!$X397="自备筐",N(对接源_01水果!$V397)&lt;&gt;0)),1,0)</f>
        <v>0</v>
      </c>
      <c r="W397">
        <f>N(W396)+$V397</f>
        <v>11</v>
      </c>
      <c r="X397">
        <f>IF(AND($L397=1,AND(对接源_01水果!$X397="自备筐",N(对接源_01水果!$T397)&lt;&gt;0)),1,0)</f>
        <v>0</v>
      </c>
      <c r="Y397">
        <f>N(Y396)+$X397</f>
        <v>0</v>
      </c>
      <c r="Z397">
        <f>IF(AND($M397=1,对接源_01水果!$D397="原料入库"),1,0)</f>
        <v>0</v>
      </c>
      <c r="AA397">
        <f>N(AA396)+$Z397</f>
        <v>24</v>
      </c>
      <c r="AB397">
        <f>IF(AND($M397=1,LEFT(对接源_01水果!$D397,4)="原料出库"),1,0)</f>
        <v>0</v>
      </c>
      <c r="AC397">
        <f>N(AC396)+$AB397</f>
        <v>0</v>
      </c>
      <c r="AD397">
        <f>IF(AND($M397=1,LEFT(对接源_01水果!$D397,4)="成品出库"),1,0)</f>
        <v>0</v>
      </c>
      <c r="AE397">
        <f>N(AE396)+$AD397</f>
        <v>0</v>
      </c>
      <c r="AF397">
        <f>IF(AND($N397=1,AND(LEFT(对接源_01水果!$D397,4)="包装物料",N(对接源_01水果!$K397)&lt;&gt;0)),1,0)</f>
        <v>0</v>
      </c>
      <c r="AG397">
        <f>N(AG396)+$AF397</f>
        <v>0</v>
      </c>
      <c r="AH397">
        <f>IF(AND($N397=1,AND(对接源_01水果!$D397="周转筐－销售出库",N(对接源_01水果!$K397)&lt;&gt;0)),1,0)</f>
        <v>0</v>
      </c>
      <c r="AI397">
        <f>N(AI396)+$AH397</f>
        <v>0</v>
      </c>
      <c r="AJ397" s="7" t="n"/>
      <c r="AL397">
        <f>IF(OR($AL$1="",对接源_01水果!$Y397="",对接源_01水果!$Y397&lt;&gt;$AL$1,对接源_01水果!$B397="",N(对接源_01水果!$AJ397)&lt;=0),0,IF(OR(N(对接源_01水果!$B397)&lt;$AL$2,N(对接源_01水果!$B397)&gt;$AL$3),0,1))</f>
        <v>0</v>
      </c>
      <c r="AM397">
        <f>N(AM396)+$AL397</f>
        <v>0</v>
      </c>
      <c r="AN397">
        <f>IF(对接源_01水果!$AC397="","",对接源_01水果!$AC397)</f>
      </c>
      <c r="AO397">
        <f>IF(AN397="",0,IF(MATCH(AN397,$AN$4:$AN$1203,0)=ROW()-3,1,0))</f>
        <v>0</v>
      </c>
      <c r="AP397">
        <f>N(AP396)+$AO397</f>
        <v>0</v>
      </c>
      <c r="AR397">
        <f>IF(OR($AF397=1,$AH397=1),1,0)</f>
        <v>0</v>
      </c>
      <c r="AS397">
        <f>N(AS396)+$AR397</f>
        <v>0</v>
      </c>
    </row>
    <row r="398" ht="14.25" customHeight="1" s="127">
      <c r="A398" t="str">
        <f>IF(对接源_01水果!$C398="","",对接源_01水果!$C398)</f>
        <v>艾则孜</v>
      </c>
      <c r="B398">
        <f>IF(A398="",0,IF(MATCH(A398,$A$4:$A$2403,0)=ROW()-3,1,0))</f>
        <v>0</v>
      </c>
      <c r="C398">
        <f>N(C397)+B398</f>
        <v>20</v>
      </c>
      <c r="K398">
        <f>IF(OR($K$1="",对接源_01水果!$C398="",对接源_01水果!$C398&lt;&gt;$K$1,对接源_01水果!$B398=""),0,IF(OR(N(对接源_01水果!$B398)&lt;$K$2,N(对接源_01水果!$B398)&gt;$K$3),0,1))</f>
        <v>0</v>
      </c>
      <c r="L398">
        <f>IF(OR($L$1="",对接源_01水果!$C398="",对接源_01水果!$C398&lt;&gt;$L$1,对接源_01水果!$B398=""),0,IF(OR(N(对接源_01水果!$B398)&lt;$L$2,N(对接源_01水果!$B398)&gt;$L$3),0,1))</f>
        <v>0</v>
      </c>
      <c r="M398">
        <f>IF(OR($M$1="",对接源_01水果!$C398="",对接源_01水果!$C398&lt;&gt;$M$1,对接源_01水果!$B398=""),0,IF(OR(N(对接源_01水果!$B398)&lt;$M$2,N(对接源_01水果!$B398)&gt;$M$3),0,1))</f>
        <v>0</v>
      </c>
      <c r="N398">
        <f>IF(OR($N$1="",对接源_01水果!$C398="",对接源_01水果!$C398&lt;&gt;$N$1,对接源_01水果!$B398=""),0,IF(OR(N(对接源_01水果!$B398)&lt;$N$2,N(对接源_01水果!$B398)&gt;$N$3),0,1))</f>
        <v>0</v>
      </c>
      <c r="P398">
        <f>IF(AND($K398=1,AND(对接源_01水果!$X398="公司筐",N(对接源_01水果!$T398)&lt;&gt;0)),1,0)</f>
        <v>0</v>
      </c>
      <c r="Q398">
        <f>N(Q397)+$P398</f>
        <v>0</v>
      </c>
      <c r="R398">
        <f>IF(AND($K398=1,AND(对接源_01水果!$X398="公司筐",N(对接源_01水果!$U398)&lt;&gt;0)),1,0)</f>
        <v>0</v>
      </c>
      <c r="S398">
        <f>N(S397)+$R398</f>
        <v>0</v>
      </c>
      <c r="T398">
        <f>IF(AND($K398=1,AND(对接源_01水果!$X398="公司筐",N(对接源_01水果!$V398)&lt;&gt;0)),1,0)</f>
        <v>0</v>
      </c>
      <c r="U398">
        <f>N(U397)+$T398</f>
        <v>34</v>
      </c>
      <c r="V398">
        <f>IF(AND($L398=1,AND(对接源_01水果!$X398="自备筐",N(对接源_01水果!$V398)&lt;&gt;0)),1,0)</f>
        <v>0</v>
      </c>
      <c r="W398">
        <f>N(W397)+$V398</f>
        <v>11</v>
      </c>
      <c r="X398">
        <f>IF(AND($L398=1,AND(对接源_01水果!$X398="自备筐",N(对接源_01水果!$T398)&lt;&gt;0)),1,0)</f>
        <v>0</v>
      </c>
      <c r="Y398">
        <f>N(Y397)+$X398</f>
        <v>0</v>
      </c>
      <c r="Z398">
        <f>IF(AND($M398=1,对接源_01水果!$D398="原料入库"),1,0)</f>
        <v>0</v>
      </c>
      <c r="AA398">
        <f>N(AA397)+$Z398</f>
        <v>24</v>
      </c>
      <c r="AB398">
        <f>IF(AND($M398=1,LEFT(对接源_01水果!$D398,4)="原料出库"),1,0)</f>
        <v>0</v>
      </c>
      <c r="AC398">
        <f>N(AC397)+$AB398</f>
        <v>0</v>
      </c>
      <c r="AD398">
        <f>IF(AND($M398=1,LEFT(对接源_01水果!$D398,4)="成品出库"),1,0)</f>
        <v>0</v>
      </c>
      <c r="AE398">
        <f>N(AE397)+$AD398</f>
        <v>0</v>
      </c>
      <c r="AF398">
        <f>IF(AND($N398=1,AND(LEFT(对接源_01水果!$D398,4)="包装物料",N(对接源_01水果!$K398)&lt;&gt;0)),1,0)</f>
        <v>0</v>
      </c>
      <c r="AG398">
        <f>N(AG397)+$AF398</f>
        <v>0</v>
      </c>
      <c r="AH398">
        <f>IF(AND($N398=1,AND(对接源_01水果!$D398="周转筐－销售出库",N(对接源_01水果!$K398)&lt;&gt;0)),1,0)</f>
        <v>0</v>
      </c>
      <c r="AI398">
        <f>N(AI397)+$AH398</f>
        <v>0</v>
      </c>
      <c r="AJ398" s="7" t="n"/>
      <c r="AL398">
        <f>IF(OR($AL$1="",对接源_01水果!$Y398="",对接源_01水果!$Y398&lt;&gt;$AL$1,对接源_01水果!$B398="",N(对接源_01水果!$AJ398)&lt;=0),0,IF(OR(N(对接源_01水果!$B398)&lt;$AL$2,N(对接源_01水果!$B398)&gt;$AL$3),0,1))</f>
        <v>0</v>
      </c>
      <c r="AM398">
        <f>N(AM397)+$AL398</f>
        <v>0</v>
      </c>
      <c r="AN398">
        <f>IF(对接源_01水果!$AC398="","",对接源_01水果!$AC398)</f>
      </c>
      <c r="AO398">
        <f>IF(AN398="",0,IF(MATCH(AN398,$AN$4:$AN$1203,0)=ROW()-3,1,0))</f>
        <v>0</v>
      </c>
      <c r="AP398">
        <f>N(AP397)+$AO398</f>
        <v>0</v>
      </c>
      <c r="AR398">
        <f>IF(OR($AF398=1,$AH398=1),1,0)</f>
        <v>0</v>
      </c>
      <c r="AS398">
        <f>N(AS397)+$AR398</f>
        <v>0</v>
      </c>
    </row>
    <row r="399" ht="14.25" customHeight="1" s="127">
      <c r="A399" t="str">
        <f>IF(对接源_01水果!$C399="","",对接源_01水果!$C399)</f>
        <v>艾则孜</v>
      </c>
      <c r="B399">
        <f>IF(A399="",0,IF(MATCH(A399,$A$4:$A$2403,0)=ROW()-3,1,0))</f>
        <v>0</v>
      </c>
      <c r="C399">
        <f>N(C398)+B399</f>
        <v>20</v>
      </c>
      <c r="K399">
        <f>IF(OR($K$1="",对接源_01水果!$C399="",对接源_01水果!$C399&lt;&gt;$K$1,对接源_01水果!$B399=""),0,IF(OR(N(对接源_01水果!$B399)&lt;$K$2,N(对接源_01水果!$B399)&gt;$K$3),0,1))</f>
        <v>0</v>
      </c>
      <c r="L399">
        <f>IF(OR($L$1="",对接源_01水果!$C399="",对接源_01水果!$C399&lt;&gt;$L$1,对接源_01水果!$B399=""),0,IF(OR(N(对接源_01水果!$B399)&lt;$L$2,N(对接源_01水果!$B399)&gt;$L$3),0,1))</f>
        <v>0</v>
      </c>
      <c r="M399">
        <f>IF(OR($M$1="",对接源_01水果!$C399="",对接源_01水果!$C399&lt;&gt;$M$1,对接源_01水果!$B399=""),0,IF(OR(N(对接源_01水果!$B399)&lt;$M$2,N(对接源_01水果!$B399)&gt;$M$3),0,1))</f>
        <v>0</v>
      </c>
      <c r="N399">
        <f>IF(OR($N$1="",对接源_01水果!$C399="",对接源_01水果!$C399&lt;&gt;$N$1,对接源_01水果!$B399=""),0,IF(OR(N(对接源_01水果!$B399)&lt;$N$2,N(对接源_01水果!$B399)&gt;$N$3),0,1))</f>
        <v>0</v>
      </c>
      <c r="P399">
        <f>IF(AND($K399=1,AND(对接源_01水果!$X399="公司筐",N(对接源_01水果!$T399)&lt;&gt;0)),1,0)</f>
        <v>0</v>
      </c>
      <c r="Q399">
        <f>N(Q398)+$P399</f>
        <v>0</v>
      </c>
      <c r="R399">
        <f>IF(AND($K399=1,AND(对接源_01水果!$X399="公司筐",N(对接源_01水果!$U399)&lt;&gt;0)),1,0)</f>
        <v>0</v>
      </c>
      <c r="S399">
        <f>N(S398)+$R399</f>
        <v>0</v>
      </c>
      <c r="T399">
        <f>IF(AND($K399=1,AND(对接源_01水果!$X399="公司筐",N(对接源_01水果!$V399)&lt;&gt;0)),1,0)</f>
        <v>0</v>
      </c>
      <c r="U399">
        <f>N(U398)+$T399</f>
        <v>34</v>
      </c>
      <c r="V399">
        <f>IF(AND($L399=1,AND(对接源_01水果!$X399="自备筐",N(对接源_01水果!$V399)&lt;&gt;0)),1,0)</f>
        <v>0</v>
      </c>
      <c r="W399">
        <f>N(W398)+$V399</f>
        <v>11</v>
      </c>
      <c r="X399">
        <f>IF(AND($L399=1,AND(对接源_01水果!$X399="自备筐",N(对接源_01水果!$T399)&lt;&gt;0)),1,0)</f>
        <v>0</v>
      </c>
      <c r="Y399">
        <f>N(Y398)+$X399</f>
        <v>0</v>
      </c>
      <c r="Z399">
        <f>IF(AND($M399=1,对接源_01水果!$D399="原料入库"),1,0)</f>
        <v>0</v>
      </c>
      <c r="AA399">
        <f>N(AA398)+$Z399</f>
        <v>24</v>
      </c>
      <c r="AB399">
        <f>IF(AND($M399=1,LEFT(对接源_01水果!$D399,4)="原料出库"),1,0)</f>
        <v>0</v>
      </c>
      <c r="AC399">
        <f>N(AC398)+$AB399</f>
        <v>0</v>
      </c>
      <c r="AD399">
        <f>IF(AND($M399=1,LEFT(对接源_01水果!$D399,4)="成品出库"),1,0)</f>
        <v>0</v>
      </c>
      <c r="AE399">
        <f>N(AE398)+$AD399</f>
        <v>0</v>
      </c>
      <c r="AF399">
        <f>IF(AND($N399=1,AND(LEFT(对接源_01水果!$D399,4)="包装物料",N(对接源_01水果!$K399)&lt;&gt;0)),1,0)</f>
        <v>0</v>
      </c>
      <c r="AG399">
        <f>N(AG398)+$AF399</f>
        <v>0</v>
      </c>
      <c r="AH399">
        <f>IF(AND($N399=1,AND(对接源_01水果!$D399="周转筐－销售出库",N(对接源_01水果!$K399)&lt;&gt;0)),1,0)</f>
        <v>0</v>
      </c>
      <c r="AI399">
        <f>N(AI398)+$AH399</f>
        <v>0</v>
      </c>
      <c r="AJ399" s="7" t="n"/>
      <c r="AL399">
        <f>IF(OR($AL$1="",对接源_01水果!$Y399="",对接源_01水果!$Y399&lt;&gt;$AL$1,对接源_01水果!$B399="",N(对接源_01水果!$AJ399)&lt;=0),0,IF(OR(N(对接源_01水果!$B399)&lt;$AL$2,N(对接源_01水果!$B399)&gt;$AL$3),0,1))</f>
        <v>0</v>
      </c>
      <c r="AM399">
        <f>N(AM398)+$AL399</f>
        <v>0</v>
      </c>
      <c r="AN399">
        <f>IF(对接源_01水果!$AC399="","",对接源_01水果!$AC399)</f>
      </c>
      <c r="AO399">
        <f>IF(AN399="",0,IF(MATCH(AN399,$AN$4:$AN$1203,0)=ROW()-3,1,0))</f>
        <v>0</v>
      </c>
      <c r="AP399">
        <f>N(AP398)+$AO399</f>
        <v>0</v>
      </c>
      <c r="AR399">
        <f>IF(OR($AF399=1,$AH399=1),1,0)</f>
        <v>0</v>
      </c>
      <c r="AS399">
        <f>N(AS398)+$AR399</f>
        <v>0</v>
      </c>
    </row>
    <row r="400" ht="14.25" customHeight="1" s="127">
      <c r="A400" t="str">
        <f>IF(对接源_01水果!$C400="","",对接源_01水果!$C400)</f>
        <v>艾则孜</v>
      </c>
      <c r="B400">
        <f>IF(A400="",0,IF(MATCH(A400,$A$4:$A$2403,0)=ROW()-3,1,0))</f>
        <v>0</v>
      </c>
      <c r="C400">
        <f>N(C399)+B400</f>
        <v>20</v>
      </c>
      <c r="K400">
        <f>IF(OR($K$1="",对接源_01水果!$C400="",对接源_01水果!$C400&lt;&gt;$K$1,对接源_01水果!$B400=""),0,IF(OR(N(对接源_01水果!$B400)&lt;$K$2,N(对接源_01水果!$B400)&gt;$K$3),0,1))</f>
        <v>0</v>
      </c>
      <c r="L400">
        <f>IF(OR($L$1="",对接源_01水果!$C400="",对接源_01水果!$C400&lt;&gt;$L$1,对接源_01水果!$B400=""),0,IF(OR(N(对接源_01水果!$B400)&lt;$L$2,N(对接源_01水果!$B400)&gt;$L$3),0,1))</f>
        <v>0</v>
      </c>
      <c r="M400">
        <f>IF(OR($M$1="",对接源_01水果!$C400="",对接源_01水果!$C400&lt;&gt;$M$1,对接源_01水果!$B400=""),0,IF(OR(N(对接源_01水果!$B400)&lt;$M$2,N(对接源_01水果!$B400)&gt;$M$3),0,1))</f>
        <v>0</v>
      </c>
      <c r="N400">
        <f>IF(OR($N$1="",对接源_01水果!$C400="",对接源_01水果!$C400&lt;&gt;$N$1,对接源_01水果!$B400=""),0,IF(OR(N(对接源_01水果!$B400)&lt;$N$2,N(对接源_01水果!$B400)&gt;$N$3),0,1))</f>
        <v>0</v>
      </c>
      <c r="P400">
        <f>IF(AND($K400=1,AND(对接源_01水果!$X400="公司筐",N(对接源_01水果!$T400)&lt;&gt;0)),1,0)</f>
        <v>0</v>
      </c>
      <c r="Q400">
        <f>N(Q399)+$P400</f>
        <v>0</v>
      </c>
      <c r="R400">
        <f>IF(AND($K400=1,AND(对接源_01水果!$X400="公司筐",N(对接源_01水果!$U400)&lt;&gt;0)),1,0)</f>
        <v>0</v>
      </c>
      <c r="S400">
        <f>N(S399)+$R400</f>
        <v>0</v>
      </c>
      <c r="T400">
        <f>IF(AND($K400=1,AND(对接源_01水果!$X400="公司筐",N(对接源_01水果!$V400)&lt;&gt;0)),1,0)</f>
        <v>0</v>
      </c>
      <c r="U400">
        <f>N(U399)+$T400</f>
        <v>34</v>
      </c>
      <c r="V400">
        <f>IF(AND($L400=1,AND(对接源_01水果!$X400="自备筐",N(对接源_01水果!$V400)&lt;&gt;0)),1,0)</f>
        <v>0</v>
      </c>
      <c r="W400">
        <f>N(W399)+$V400</f>
        <v>11</v>
      </c>
      <c r="X400">
        <f>IF(AND($L400=1,AND(对接源_01水果!$X400="自备筐",N(对接源_01水果!$T400)&lt;&gt;0)),1,0)</f>
        <v>0</v>
      </c>
      <c r="Y400">
        <f>N(Y399)+$X400</f>
        <v>0</v>
      </c>
      <c r="Z400">
        <f>IF(AND($M400=1,对接源_01水果!$D400="原料入库"),1,0)</f>
        <v>0</v>
      </c>
      <c r="AA400">
        <f>N(AA399)+$Z400</f>
        <v>24</v>
      </c>
      <c r="AB400">
        <f>IF(AND($M400=1,LEFT(对接源_01水果!$D400,4)="原料出库"),1,0)</f>
        <v>0</v>
      </c>
      <c r="AC400">
        <f>N(AC399)+$AB400</f>
        <v>0</v>
      </c>
      <c r="AD400">
        <f>IF(AND($M400=1,LEFT(对接源_01水果!$D400,4)="成品出库"),1,0)</f>
        <v>0</v>
      </c>
      <c r="AE400">
        <f>N(AE399)+$AD400</f>
        <v>0</v>
      </c>
      <c r="AF400">
        <f>IF(AND($N400=1,AND(LEFT(对接源_01水果!$D400,4)="包装物料",N(对接源_01水果!$K400)&lt;&gt;0)),1,0)</f>
        <v>0</v>
      </c>
      <c r="AG400">
        <f>N(AG399)+$AF400</f>
        <v>0</v>
      </c>
      <c r="AH400">
        <f>IF(AND($N400=1,AND(对接源_01水果!$D400="周转筐－销售出库",N(对接源_01水果!$K400)&lt;&gt;0)),1,0)</f>
        <v>0</v>
      </c>
      <c r="AI400">
        <f>N(AI399)+$AH400</f>
        <v>0</v>
      </c>
      <c r="AJ400" s="7" t="n"/>
      <c r="AL400">
        <f>IF(OR($AL$1="",对接源_01水果!$Y400="",对接源_01水果!$Y400&lt;&gt;$AL$1,对接源_01水果!$B400="",N(对接源_01水果!$AJ400)&lt;=0),0,IF(OR(N(对接源_01水果!$B400)&lt;$AL$2,N(对接源_01水果!$B400)&gt;$AL$3),0,1))</f>
        <v>0</v>
      </c>
      <c r="AM400">
        <f>N(AM399)+$AL400</f>
        <v>0</v>
      </c>
      <c r="AN400">
        <f>IF(对接源_01水果!$AC400="","",对接源_01水果!$AC400)</f>
      </c>
      <c r="AO400">
        <f>IF(AN400="",0,IF(MATCH(AN400,$AN$4:$AN$1203,0)=ROW()-3,1,0))</f>
        <v>0</v>
      </c>
      <c r="AP400">
        <f>N(AP399)+$AO400</f>
        <v>0</v>
      </c>
      <c r="AR400">
        <f>IF(OR($AF400=1,$AH400=1),1,0)</f>
        <v>0</v>
      </c>
      <c r="AS400">
        <f>N(AS399)+$AR400</f>
        <v>0</v>
      </c>
    </row>
    <row r="401" ht="14.25" customHeight="1" s="127">
      <c r="A401" t="str">
        <f>IF(对接源_01水果!$C401="","",对接源_01水果!$C401)</f>
        <v>荆建君</v>
      </c>
      <c r="B401">
        <f>IF(A401="",0,IF(MATCH(A401,$A$4:$A$2403,0)=ROW()-3,1,0))</f>
        <v>0</v>
      </c>
      <c r="C401">
        <f>N(C400)+B401</f>
        <v>20</v>
      </c>
      <c r="K401">
        <f>IF(OR($K$1="",对接源_01水果!$C401="",对接源_01水果!$C401&lt;&gt;$K$1,对接源_01水果!$B401=""),0,IF(OR(N(对接源_01水果!$B401)&lt;$K$2,N(对接源_01水果!$B401)&gt;$K$3),0,1))</f>
        <v>0</v>
      </c>
      <c r="L401">
        <f>IF(OR($L$1="",对接源_01水果!$C401="",对接源_01水果!$C401&lt;&gt;$L$1,对接源_01水果!$B401=""),0,IF(OR(N(对接源_01水果!$B401)&lt;$L$2,N(对接源_01水果!$B401)&gt;$L$3),0,1))</f>
        <v>0</v>
      </c>
      <c r="M401">
        <f>IF(OR($M$1="",对接源_01水果!$C401="",对接源_01水果!$C401&lt;&gt;$M$1,对接源_01水果!$B401=""),0,IF(OR(N(对接源_01水果!$B401)&lt;$M$2,N(对接源_01水果!$B401)&gt;$M$3),0,1))</f>
        <v>0</v>
      </c>
      <c r="N401">
        <f>IF(OR($N$1="",对接源_01水果!$C401="",对接源_01水果!$C401&lt;&gt;$N$1,对接源_01水果!$B401=""),0,IF(OR(N(对接源_01水果!$B401)&lt;$N$2,N(对接源_01水果!$B401)&gt;$N$3),0,1))</f>
        <v>0</v>
      </c>
      <c r="P401">
        <f>IF(AND($K401=1,AND(对接源_01水果!$X401="公司筐",N(对接源_01水果!$T401)&lt;&gt;0)),1,0)</f>
        <v>0</v>
      </c>
      <c r="Q401">
        <f>N(Q400)+$P401</f>
        <v>0</v>
      </c>
      <c r="R401">
        <f>IF(AND($K401=1,AND(对接源_01水果!$X401="公司筐",N(对接源_01水果!$U401)&lt;&gt;0)),1,0)</f>
        <v>0</v>
      </c>
      <c r="S401">
        <f>N(S400)+$R401</f>
        <v>0</v>
      </c>
      <c r="T401">
        <f>IF(AND($K401=1,AND(对接源_01水果!$X401="公司筐",N(对接源_01水果!$V401)&lt;&gt;0)),1,0)</f>
        <v>0</v>
      </c>
      <c r="U401">
        <f>N(U400)+$T401</f>
        <v>34</v>
      </c>
      <c r="V401">
        <f>IF(AND($L401=1,AND(对接源_01水果!$X401="自备筐",N(对接源_01水果!$V401)&lt;&gt;0)),1,0)</f>
        <v>0</v>
      </c>
      <c r="W401">
        <f>N(W400)+$V401</f>
        <v>11</v>
      </c>
      <c r="X401">
        <f>IF(AND($L401=1,AND(对接源_01水果!$X401="自备筐",N(对接源_01水果!$T401)&lt;&gt;0)),1,0)</f>
        <v>0</v>
      </c>
      <c r="Y401">
        <f>N(Y400)+$X401</f>
        <v>0</v>
      </c>
      <c r="Z401">
        <f>IF(AND($M401=1,对接源_01水果!$D401="原料入库"),1,0)</f>
        <v>0</v>
      </c>
      <c r="AA401">
        <f>N(AA400)+$Z401</f>
        <v>24</v>
      </c>
      <c r="AB401">
        <f>IF(AND($M401=1,LEFT(对接源_01水果!$D401,4)="原料出库"),1,0)</f>
        <v>0</v>
      </c>
      <c r="AC401">
        <f>N(AC400)+$AB401</f>
        <v>0</v>
      </c>
      <c r="AD401">
        <f>IF(AND($M401=1,LEFT(对接源_01水果!$D401,4)="成品出库"),1,0)</f>
        <v>0</v>
      </c>
      <c r="AE401">
        <f>N(AE400)+$AD401</f>
        <v>0</v>
      </c>
      <c r="AF401">
        <f>IF(AND($N401=1,AND(LEFT(对接源_01水果!$D401,4)="包装物料",N(对接源_01水果!$K401)&lt;&gt;0)),1,0)</f>
        <v>0</v>
      </c>
      <c r="AG401">
        <f>N(AG400)+$AF401</f>
        <v>0</v>
      </c>
      <c r="AH401">
        <f>IF(AND($N401=1,AND(对接源_01水果!$D401="周转筐－销售出库",N(对接源_01水果!$K401)&lt;&gt;0)),1,0)</f>
        <v>0</v>
      </c>
      <c r="AI401">
        <f>N(AI400)+$AH401</f>
        <v>0</v>
      </c>
      <c r="AJ401" s="7" t="n"/>
      <c r="AL401">
        <f>IF(OR($AL$1="",对接源_01水果!$Y401="",对接源_01水果!$Y401&lt;&gt;$AL$1,对接源_01水果!$B401="",N(对接源_01水果!$AJ401)&lt;=0),0,IF(OR(N(对接源_01水果!$B401)&lt;$AL$2,N(对接源_01水果!$B401)&gt;$AL$3),0,1))</f>
        <v>0</v>
      </c>
      <c r="AM401">
        <f>N(AM400)+$AL401</f>
        <v>0</v>
      </c>
      <c r="AN401">
        <f>IF(对接源_01水果!$AC401="","",对接源_01水果!$AC401)</f>
      </c>
      <c r="AO401">
        <f>IF(AN401="",0,IF(MATCH(AN401,$AN$4:$AN$1203,0)=ROW()-3,1,0))</f>
        <v>0</v>
      </c>
      <c r="AP401">
        <f>N(AP400)+$AO401</f>
        <v>0</v>
      </c>
      <c r="AR401">
        <f>IF(OR($AF401=1,$AH401=1),1,0)</f>
        <v>0</v>
      </c>
      <c r="AS401">
        <f>N(AS400)+$AR401</f>
        <v>0</v>
      </c>
    </row>
    <row r="402" ht="14.25" customHeight="1" s="127">
      <c r="A402" t="str">
        <f>IF(对接源_01水果!$C402="","",对接源_01水果!$C402)</f>
        <v>荆建君</v>
      </c>
      <c r="B402">
        <f>IF(A402="",0,IF(MATCH(A402,$A$4:$A$2403,0)=ROW()-3,1,0))</f>
        <v>0</v>
      </c>
      <c r="C402">
        <f>N(C401)+B402</f>
        <v>20</v>
      </c>
      <c r="K402">
        <f>IF(OR($K$1="",对接源_01水果!$C402="",对接源_01水果!$C402&lt;&gt;$K$1,对接源_01水果!$B402=""),0,IF(OR(N(对接源_01水果!$B402)&lt;$K$2,N(对接源_01水果!$B402)&gt;$K$3),0,1))</f>
        <v>0</v>
      </c>
      <c r="L402">
        <f>IF(OR($L$1="",对接源_01水果!$C402="",对接源_01水果!$C402&lt;&gt;$L$1,对接源_01水果!$B402=""),0,IF(OR(N(对接源_01水果!$B402)&lt;$L$2,N(对接源_01水果!$B402)&gt;$L$3),0,1))</f>
        <v>0</v>
      </c>
      <c r="M402">
        <f>IF(OR($M$1="",对接源_01水果!$C402="",对接源_01水果!$C402&lt;&gt;$M$1,对接源_01水果!$B402=""),0,IF(OR(N(对接源_01水果!$B402)&lt;$M$2,N(对接源_01水果!$B402)&gt;$M$3),0,1))</f>
        <v>0</v>
      </c>
      <c r="N402">
        <f>IF(OR($N$1="",对接源_01水果!$C402="",对接源_01水果!$C402&lt;&gt;$N$1,对接源_01水果!$B402=""),0,IF(OR(N(对接源_01水果!$B402)&lt;$N$2,N(对接源_01水果!$B402)&gt;$N$3),0,1))</f>
        <v>0</v>
      </c>
      <c r="P402">
        <f>IF(AND($K402=1,AND(对接源_01水果!$X402="公司筐",N(对接源_01水果!$T402)&lt;&gt;0)),1,0)</f>
        <v>0</v>
      </c>
      <c r="Q402">
        <f>N(Q401)+$P402</f>
        <v>0</v>
      </c>
      <c r="R402">
        <f>IF(AND($K402=1,AND(对接源_01水果!$X402="公司筐",N(对接源_01水果!$U402)&lt;&gt;0)),1,0)</f>
        <v>0</v>
      </c>
      <c r="S402">
        <f>N(S401)+$R402</f>
        <v>0</v>
      </c>
      <c r="T402">
        <f>IF(AND($K402=1,AND(对接源_01水果!$X402="公司筐",N(对接源_01水果!$V402)&lt;&gt;0)),1,0)</f>
        <v>0</v>
      </c>
      <c r="U402">
        <f>N(U401)+$T402</f>
        <v>34</v>
      </c>
      <c r="V402">
        <f>IF(AND($L402=1,AND(对接源_01水果!$X402="自备筐",N(对接源_01水果!$V402)&lt;&gt;0)),1,0)</f>
        <v>0</v>
      </c>
      <c r="W402">
        <f>N(W401)+$V402</f>
        <v>11</v>
      </c>
      <c r="X402">
        <f>IF(AND($L402=1,AND(对接源_01水果!$X402="自备筐",N(对接源_01水果!$T402)&lt;&gt;0)),1,0)</f>
        <v>0</v>
      </c>
      <c r="Y402">
        <f>N(Y401)+$X402</f>
        <v>0</v>
      </c>
      <c r="Z402">
        <f>IF(AND($M402=1,对接源_01水果!$D402="原料入库"),1,0)</f>
        <v>0</v>
      </c>
      <c r="AA402">
        <f>N(AA401)+$Z402</f>
        <v>24</v>
      </c>
      <c r="AB402">
        <f>IF(AND($M402=1,LEFT(对接源_01水果!$D402,4)="原料出库"),1,0)</f>
        <v>0</v>
      </c>
      <c r="AC402">
        <f>N(AC401)+$AB402</f>
        <v>0</v>
      </c>
      <c r="AD402">
        <f>IF(AND($M402=1,LEFT(对接源_01水果!$D402,4)="成品出库"),1,0)</f>
        <v>0</v>
      </c>
      <c r="AE402">
        <f>N(AE401)+$AD402</f>
        <v>0</v>
      </c>
      <c r="AF402">
        <f>IF(AND($N402=1,AND(LEFT(对接源_01水果!$D402,4)="包装物料",N(对接源_01水果!$K402)&lt;&gt;0)),1,0)</f>
        <v>0</v>
      </c>
      <c r="AG402">
        <f>N(AG401)+$AF402</f>
        <v>0</v>
      </c>
      <c r="AH402">
        <f>IF(AND($N402=1,AND(对接源_01水果!$D402="周转筐－销售出库",N(对接源_01水果!$K402)&lt;&gt;0)),1,0)</f>
        <v>0</v>
      </c>
      <c r="AI402">
        <f>N(AI401)+$AH402</f>
        <v>0</v>
      </c>
      <c r="AJ402" s="7" t="n"/>
      <c r="AL402">
        <f>IF(OR($AL$1="",对接源_01水果!$Y402="",对接源_01水果!$Y402&lt;&gt;$AL$1,对接源_01水果!$B402="",N(对接源_01水果!$AJ402)&lt;=0),0,IF(OR(N(对接源_01水果!$B402)&lt;$AL$2,N(对接源_01水果!$B402)&gt;$AL$3),0,1))</f>
        <v>0</v>
      </c>
      <c r="AM402">
        <f>N(AM401)+$AL402</f>
        <v>0</v>
      </c>
      <c r="AN402">
        <f>IF(对接源_01水果!$AC402="","",对接源_01水果!$AC402)</f>
      </c>
      <c r="AO402">
        <f>IF(AN402="",0,IF(MATCH(AN402,$AN$4:$AN$1203,0)=ROW()-3,1,0))</f>
        <v>0</v>
      </c>
      <c r="AP402">
        <f>N(AP401)+$AO402</f>
        <v>0</v>
      </c>
      <c r="AR402">
        <f>IF(OR($AF402=1,$AH402=1),1,0)</f>
        <v>0</v>
      </c>
      <c r="AS402">
        <f>N(AS401)+$AR402</f>
        <v>0</v>
      </c>
    </row>
    <row r="403" ht="14.25" customHeight="1" s="127">
      <c r="A403" t="str">
        <f>IF(对接源_01水果!$C403="","",对接源_01水果!$C403)</f>
        <v>李现东</v>
      </c>
      <c r="B403">
        <f>IF(A403="",0,IF(MATCH(A403,$A$4:$A$2403,0)=ROW()-3,1,0))</f>
        <v>0</v>
      </c>
      <c r="C403">
        <f>N(C402)+B403</f>
        <v>20</v>
      </c>
      <c r="K403">
        <f>IF(OR($K$1="",对接源_01水果!$C403="",对接源_01水果!$C403&lt;&gt;$K$1,对接源_01水果!$B403=""),0,IF(OR(N(对接源_01水果!$B403)&lt;$K$2,N(对接源_01水果!$B403)&gt;$K$3),0,1))</f>
        <v>0</v>
      </c>
      <c r="L403">
        <f>IF(OR($L$1="",对接源_01水果!$C403="",对接源_01水果!$C403&lt;&gt;$L$1,对接源_01水果!$B403=""),0,IF(OR(N(对接源_01水果!$B403)&lt;$L$2,N(对接源_01水果!$B403)&gt;$L$3),0,1))</f>
        <v>0</v>
      </c>
      <c r="M403">
        <f>IF(OR($M$1="",对接源_01水果!$C403="",对接源_01水果!$C403&lt;&gt;$M$1,对接源_01水果!$B403=""),0,IF(OR(N(对接源_01水果!$B403)&lt;$M$2,N(对接源_01水果!$B403)&gt;$M$3),0,1))</f>
        <v>0</v>
      </c>
      <c r="N403">
        <f>IF(OR($N$1="",对接源_01水果!$C403="",对接源_01水果!$C403&lt;&gt;$N$1,对接源_01水果!$B403=""),0,IF(OR(N(对接源_01水果!$B403)&lt;$N$2,N(对接源_01水果!$B403)&gt;$N$3),0,1))</f>
        <v>0</v>
      </c>
      <c r="P403">
        <f>IF(AND($K403=1,AND(对接源_01水果!$X403="公司筐",N(对接源_01水果!$T403)&lt;&gt;0)),1,0)</f>
        <v>0</v>
      </c>
      <c r="Q403">
        <f>N(Q402)+$P403</f>
        <v>0</v>
      </c>
      <c r="R403">
        <f>IF(AND($K403=1,AND(对接源_01水果!$X403="公司筐",N(对接源_01水果!$U403)&lt;&gt;0)),1,0)</f>
        <v>0</v>
      </c>
      <c r="S403">
        <f>N(S402)+$R403</f>
        <v>0</v>
      </c>
      <c r="T403">
        <f>IF(AND($K403=1,AND(对接源_01水果!$X403="公司筐",N(对接源_01水果!$V403)&lt;&gt;0)),1,0)</f>
        <v>0</v>
      </c>
      <c r="U403">
        <f>N(U402)+$T403</f>
        <v>34</v>
      </c>
      <c r="V403">
        <f>IF(AND($L403=1,AND(对接源_01水果!$X403="自备筐",N(对接源_01水果!$V403)&lt;&gt;0)),1,0)</f>
        <v>0</v>
      </c>
      <c r="W403">
        <f>N(W402)+$V403</f>
        <v>11</v>
      </c>
      <c r="X403">
        <f>IF(AND($L403=1,AND(对接源_01水果!$X403="自备筐",N(对接源_01水果!$T403)&lt;&gt;0)),1,0)</f>
        <v>0</v>
      </c>
      <c r="Y403">
        <f>N(Y402)+$X403</f>
        <v>0</v>
      </c>
      <c r="Z403">
        <f>IF(AND($M403=1,对接源_01水果!$D403="原料入库"),1,0)</f>
        <v>0</v>
      </c>
      <c r="AA403">
        <f>N(AA402)+$Z403</f>
        <v>24</v>
      </c>
      <c r="AB403">
        <f>IF(AND($M403=1,LEFT(对接源_01水果!$D403,4)="原料出库"),1,0)</f>
        <v>0</v>
      </c>
      <c r="AC403">
        <f>N(AC402)+$AB403</f>
        <v>0</v>
      </c>
      <c r="AD403">
        <f>IF(AND($M403=1,LEFT(对接源_01水果!$D403,4)="成品出库"),1,0)</f>
        <v>0</v>
      </c>
      <c r="AE403">
        <f>N(AE402)+$AD403</f>
        <v>0</v>
      </c>
      <c r="AF403">
        <f>IF(AND($N403=1,AND(LEFT(对接源_01水果!$D403,4)="包装物料",N(对接源_01水果!$K403)&lt;&gt;0)),1,0)</f>
        <v>0</v>
      </c>
      <c r="AG403">
        <f>N(AG402)+$AF403</f>
        <v>0</v>
      </c>
      <c r="AH403">
        <f>IF(AND($N403=1,AND(对接源_01水果!$D403="周转筐－销售出库",N(对接源_01水果!$K403)&lt;&gt;0)),1,0)</f>
        <v>0</v>
      </c>
      <c r="AI403">
        <f>N(AI402)+$AH403</f>
        <v>0</v>
      </c>
      <c r="AJ403" s="7" t="n"/>
      <c r="AL403">
        <f>IF(OR($AL$1="",对接源_01水果!$Y403="",对接源_01水果!$Y403&lt;&gt;$AL$1,对接源_01水果!$B403="",N(对接源_01水果!$AJ403)&lt;=0),0,IF(OR(N(对接源_01水果!$B403)&lt;$AL$2,N(对接源_01水果!$B403)&gt;$AL$3),0,1))</f>
        <v>0</v>
      </c>
      <c r="AM403">
        <f>N(AM402)+$AL403</f>
        <v>0</v>
      </c>
      <c r="AN403">
        <f>IF(对接源_01水果!$AC403="","",对接源_01水果!$AC403)</f>
      </c>
      <c r="AO403">
        <f>IF(AN403="",0,IF(MATCH(AN403,$AN$4:$AN$1203,0)=ROW()-3,1,0))</f>
        <v>0</v>
      </c>
      <c r="AP403">
        <f>N(AP402)+$AO403</f>
        <v>0</v>
      </c>
      <c r="AR403">
        <f>IF(OR($AF403=1,$AH403=1),1,0)</f>
        <v>0</v>
      </c>
      <c r="AS403">
        <f>N(AS402)+$AR403</f>
        <v>0</v>
      </c>
    </row>
    <row r="404" ht="14.25" customHeight="1" s="127">
      <c r="A404" t="str">
        <f>IF(对接源_01水果!$C404="","",对接源_01水果!$C404)</f>
        <v>李现东</v>
      </c>
      <c r="B404">
        <f>IF(A404="",0,IF(MATCH(A404,$A$4:$A$2403,0)=ROW()-3,1,0))</f>
        <v>0</v>
      </c>
      <c r="C404">
        <f>N(C403)+B404</f>
        <v>20</v>
      </c>
      <c r="K404">
        <f>IF(OR($K$1="",对接源_01水果!$C404="",对接源_01水果!$C404&lt;&gt;$K$1,对接源_01水果!$B404=""),0,IF(OR(N(对接源_01水果!$B404)&lt;$K$2,N(对接源_01水果!$B404)&gt;$K$3),0,1))</f>
        <v>0</v>
      </c>
      <c r="L404">
        <f>IF(OR($L$1="",对接源_01水果!$C404="",对接源_01水果!$C404&lt;&gt;$L$1,对接源_01水果!$B404=""),0,IF(OR(N(对接源_01水果!$B404)&lt;$L$2,N(对接源_01水果!$B404)&gt;$L$3),0,1))</f>
        <v>0</v>
      </c>
      <c r="M404">
        <f>IF(OR($M$1="",对接源_01水果!$C404="",对接源_01水果!$C404&lt;&gt;$M$1,对接源_01水果!$B404=""),0,IF(OR(N(对接源_01水果!$B404)&lt;$M$2,N(对接源_01水果!$B404)&gt;$M$3),0,1))</f>
        <v>0</v>
      </c>
      <c r="N404">
        <f>IF(OR($N$1="",对接源_01水果!$C404="",对接源_01水果!$C404&lt;&gt;$N$1,对接源_01水果!$B404=""),0,IF(OR(N(对接源_01水果!$B404)&lt;$N$2,N(对接源_01水果!$B404)&gt;$N$3),0,1))</f>
        <v>0</v>
      </c>
      <c r="P404">
        <f>IF(AND($K404=1,AND(对接源_01水果!$X404="公司筐",N(对接源_01水果!$T404)&lt;&gt;0)),1,0)</f>
        <v>0</v>
      </c>
      <c r="Q404">
        <f>N(Q403)+$P404</f>
        <v>0</v>
      </c>
      <c r="R404">
        <f>IF(AND($K404=1,AND(对接源_01水果!$X404="公司筐",N(对接源_01水果!$U404)&lt;&gt;0)),1,0)</f>
        <v>0</v>
      </c>
      <c r="S404">
        <f>N(S403)+$R404</f>
        <v>0</v>
      </c>
      <c r="T404">
        <f>IF(AND($K404=1,AND(对接源_01水果!$X404="公司筐",N(对接源_01水果!$V404)&lt;&gt;0)),1,0)</f>
        <v>0</v>
      </c>
      <c r="U404">
        <f>N(U403)+$T404</f>
        <v>34</v>
      </c>
      <c r="V404">
        <f>IF(AND($L404=1,AND(对接源_01水果!$X404="自备筐",N(对接源_01水果!$V404)&lt;&gt;0)),1,0)</f>
        <v>0</v>
      </c>
      <c r="W404">
        <f>N(W403)+$V404</f>
        <v>11</v>
      </c>
      <c r="X404">
        <f>IF(AND($L404=1,AND(对接源_01水果!$X404="自备筐",N(对接源_01水果!$T404)&lt;&gt;0)),1,0)</f>
        <v>0</v>
      </c>
      <c r="Y404">
        <f>N(Y403)+$X404</f>
        <v>0</v>
      </c>
      <c r="Z404">
        <f>IF(AND($M404=1,对接源_01水果!$D404="原料入库"),1,0)</f>
        <v>0</v>
      </c>
      <c r="AA404">
        <f>N(AA403)+$Z404</f>
        <v>24</v>
      </c>
      <c r="AB404">
        <f>IF(AND($M404=1,LEFT(对接源_01水果!$D404,4)="原料出库"),1,0)</f>
        <v>0</v>
      </c>
      <c r="AC404">
        <f>N(AC403)+$AB404</f>
        <v>0</v>
      </c>
      <c r="AD404">
        <f>IF(AND($M404=1,LEFT(对接源_01水果!$D404,4)="成品出库"),1,0)</f>
        <v>0</v>
      </c>
      <c r="AE404">
        <f>N(AE403)+$AD404</f>
        <v>0</v>
      </c>
      <c r="AF404">
        <f>IF(AND($N404=1,AND(LEFT(对接源_01水果!$D404,4)="包装物料",N(对接源_01水果!$K404)&lt;&gt;0)),1,0)</f>
        <v>0</v>
      </c>
      <c r="AG404">
        <f>N(AG403)+$AF404</f>
        <v>0</v>
      </c>
      <c r="AH404">
        <f>IF(AND($N404=1,AND(对接源_01水果!$D404="周转筐－销售出库",N(对接源_01水果!$K404)&lt;&gt;0)),1,0)</f>
        <v>0</v>
      </c>
      <c r="AI404">
        <f>N(AI403)+$AH404</f>
        <v>0</v>
      </c>
      <c r="AJ404" s="7" t="n"/>
      <c r="AL404">
        <f>IF(OR($AL$1="",对接源_01水果!$Y404="",对接源_01水果!$Y404&lt;&gt;$AL$1,对接源_01水果!$B404="",N(对接源_01水果!$AJ404)&lt;=0),0,IF(OR(N(对接源_01水果!$B404)&lt;$AL$2,N(对接源_01水果!$B404)&gt;$AL$3),0,1))</f>
        <v>0</v>
      </c>
      <c r="AM404">
        <f>N(AM403)+$AL404</f>
        <v>0</v>
      </c>
      <c r="AN404">
        <f>IF(对接源_01水果!$AC404="","",对接源_01水果!$AC404)</f>
      </c>
      <c r="AO404">
        <f>IF(AN404="",0,IF(MATCH(AN404,$AN$4:$AN$1203,0)=ROW()-3,1,0))</f>
        <v>0</v>
      </c>
      <c r="AP404">
        <f>N(AP403)+$AO404</f>
        <v>0</v>
      </c>
      <c r="AR404">
        <f>IF(OR($AF404=1,$AH404=1),1,0)</f>
        <v>0</v>
      </c>
      <c r="AS404">
        <f>N(AS403)+$AR404</f>
        <v>0</v>
      </c>
    </row>
    <row r="405" ht="14.25" customHeight="1" s="127">
      <c r="A405" t="str">
        <f>IF(对接源_01水果!$C405="","",对接源_01水果!$C405)</f>
        <v>李现东</v>
      </c>
      <c r="B405">
        <f>IF(A405="",0,IF(MATCH(A405,$A$4:$A$2403,0)=ROW()-3,1,0))</f>
        <v>0</v>
      </c>
      <c r="C405">
        <f>N(C404)+B405</f>
        <v>20</v>
      </c>
      <c r="K405">
        <f>IF(OR($K$1="",对接源_01水果!$C405="",对接源_01水果!$C405&lt;&gt;$K$1,对接源_01水果!$B405=""),0,IF(OR(N(对接源_01水果!$B405)&lt;$K$2,N(对接源_01水果!$B405)&gt;$K$3),0,1))</f>
        <v>0</v>
      </c>
      <c r="L405">
        <f>IF(OR($L$1="",对接源_01水果!$C405="",对接源_01水果!$C405&lt;&gt;$L$1,对接源_01水果!$B405=""),0,IF(OR(N(对接源_01水果!$B405)&lt;$L$2,N(对接源_01水果!$B405)&gt;$L$3),0,1))</f>
        <v>0</v>
      </c>
      <c r="M405">
        <f>IF(OR($M$1="",对接源_01水果!$C405="",对接源_01水果!$C405&lt;&gt;$M$1,对接源_01水果!$B405=""),0,IF(OR(N(对接源_01水果!$B405)&lt;$M$2,N(对接源_01水果!$B405)&gt;$M$3),0,1))</f>
        <v>0</v>
      </c>
      <c r="N405">
        <f>IF(OR($N$1="",对接源_01水果!$C405="",对接源_01水果!$C405&lt;&gt;$N$1,对接源_01水果!$B405=""),0,IF(OR(N(对接源_01水果!$B405)&lt;$N$2,N(对接源_01水果!$B405)&gt;$N$3),0,1))</f>
        <v>0</v>
      </c>
      <c r="P405">
        <f>IF(AND($K405=1,AND(对接源_01水果!$X405="公司筐",N(对接源_01水果!$T405)&lt;&gt;0)),1,0)</f>
        <v>0</v>
      </c>
      <c r="Q405">
        <f>N(Q404)+$P405</f>
        <v>0</v>
      </c>
      <c r="R405">
        <f>IF(AND($K405=1,AND(对接源_01水果!$X405="公司筐",N(对接源_01水果!$U405)&lt;&gt;0)),1,0)</f>
        <v>0</v>
      </c>
      <c r="S405">
        <f>N(S404)+$R405</f>
        <v>0</v>
      </c>
      <c r="T405">
        <f>IF(AND($K405=1,AND(对接源_01水果!$X405="公司筐",N(对接源_01水果!$V405)&lt;&gt;0)),1,0)</f>
        <v>0</v>
      </c>
      <c r="U405">
        <f>N(U404)+$T405</f>
        <v>34</v>
      </c>
      <c r="V405">
        <f>IF(AND($L405=1,AND(对接源_01水果!$X405="自备筐",N(对接源_01水果!$V405)&lt;&gt;0)),1,0)</f>
        <v>0</v>
      </c>
      <c r="W405">
        <f>N(W404)+$V405</f>
        <v>11</v>
      </c>
      <c r="X405">
        <f>IF(AND($L405=1,AND(对接源_01水果!$X405="自备筐",N(对接源_01水果!$T405)&lt;&gt;0)),1,0)</f>
        <v>0</v>
      </c>
      <c r="Y405">
        <f>N(Y404)+$X405</f>
        <v>0</v>
      </c>
      <c r="Z405">
        <f>IF(AND($M405=1,对接源_01水果!$D405="原料入库"),1,0)</f>
        <v>0</v>
      </c>
      <c r="AA405">
        <f>N(AA404)+$Z405</f>
        <v>24</v>
      </c>
      <c r="AB405">
        <f>IF(AND($M405=1,LEFT(对接源_01水果!$D405,4)="原料出库"),1,0)</f>
        <v>0</v>
      </c>
      <c r="AC405">
        <f>N(AC404)+$AB405</f>
        <v>0</v>
      </c>
      <c r="AD405">
        <f>IF(AND($M405=1,LEFT(对接源_01水果!$D405,4)="成品出库"),1,0)</f>
        <v>0</v>
      </c>
      <c r="AE405">
        <f>N(AE404)+$AD405</f>
        <v>0</v>
      </c>
      <c r="AF405">
        <f>IF(AND($N405=1,AND(LEFT(对接源_01水果!$D405,4)="包装物料",N(对接源_01水果!$K405)&lt;&gt;0)),1,0)</f>
        <v>0</v>
      </c>
      <c r="AG405">
        <f>N(AG404)+$AF405</f>
        <v>0</v>
      </c>
      <c r="AH405">
        <f>IF(AND($N405=1,AND(对接源_01水果!$D405="周转筐－销售出库",N(对接源_01水果!$K405)&lt;&gt;0)),1,0)</f>
        <v>0</v>
      </c>
      <c r="AI405">
        <f>N(AI404)+$AH405</f>
        <v>0</v>
      </c>
      <c r="AJ405" s="7" t="n"/>
      <c r="AL405">
        <f>IF(OR($AL$1="",对接源_01水果!$Y405="",对接源_01水果!$Y405&lt;&gt;$AL$1,对接源_01水果!$B405="",N(对接源_01水果!$AJ405)&lt;=0),0,IF(OR(N(对接源_01水果!$B405)&lt;$AL$2,N(对接源_01水果!$B405)&gt;$AL$3),0,1))</f>
        <v>0</v>
      </c>
      <c r="AM405">
        <f>N(AM404)+$AL405</f>
        <v>0</v>
      </c>
      <c r="AN405">
        <f>IF(对接源_01水果!$AC405="","",对接源_01水果!$AC405)</f>
      </c>
      <c r="AO405">
        <f>IF(AN405="",0,IF(MATCH(AN405,$AN$4:$AN$1203,0)=ROW()-3,1,0))</f>
        <v>0</v>
      </c>
      <c r="AP405">
        <f>N(AP404)+$AO405</f>
        <v>0</v>
      </c>
      <c r="AR405">
        <f>IF(OR($AF405=1,$AH405=1),1,0)</f>
        <v>0</v>
      </c>
      <c r="AS405">
        <f>N(AS404)+$AR405</f>
        <v>0</v>
      </c>
    </row>
    <row r="406" ht="14.25" customHeight="1" s="127">
      <c r="A406" t="str">
        <f>IF(对接源_01水果!$C406="","",对接源_01水果!$C406)</f>
        <v>金龙</v>
      </c>
      <c r="B406">
        <f>IF(A406="",0,IF(MATCH(A406,$A$4:$A$2403,0)=ROW()-3,1,0))</f>
        <v>1</v>
      </c>
      <c r="C406">
        <f>N(C405)+B406</f>
        <v>21</v>
      </c>
      <c r="K406">
        <f>IF(OR($K$1="",对接源_01水果!$C406="",对接源_01水果!$C406&lt;&gt;$K$1,对接源_01水果!$B406=""),0,IF(OR(N(对接源_01水果!$B406)&lt;$K$2,N(对接源_01水果!$B406)&gt;$K$3),0,1))</f>
        <v>0</v>
      </c>
      <c r="L406">
        <f>IF(OR($L$1="",对接源_01水果!$C406="",对接源_01水果!$C406&lt;&gt;$L$1,对接源_01水果!$B406=""),0,IF(OR(N(对接源_01水果!$B406)&lt;$L$2,N(对接源_01水果!$B406)&gt;$L$3),0,1))</f>
        <v>0</v>
      </c>
      <c r="M406">
        <f>IF(OR($M$1="",对接源_01水果!$C406="",对接源_01水果!$C406&lt;&gt;$M$1,对接源_01水果!$B406=""),0,IF(OR(N(对接源_01水果!$B406)&lt;$M$2,N(对接源_01水果!$B406)&gt;$M$3),0,1))</f>
        <v>0</v>
      </c>
      <c r="N406">
        <f>IF(OR($N$1="",对接源_01水果!$C406="",对接源_01水果!$C406&lt;&gt;$N$1,对接源_01水果!$B406=""),0,IF(OR(N(对接源_01水果!$B406)&lt;$N$2,N(对接源_01水果!$B406)&gt;$N$3),0,1))</f>
        <v>0</v>
      </c>
      <c r="P406">
        <f>IF(AND($K406=1,AND(对接源_01水果!$X406="公司筐",N(对接源_01水果!$T406)&lt;&gt;0)),1,0)</f>
        <v>0</v>
      </c>
      <c r="Q406">
        <f>N(Q405)+$P406</f>
        <v>0</v>
      </c>
      <c r="R406">
        <f>IF(AND($K406=1,AND(对接源_01水果!$X406="公司筐",N(对接源_01水果!$U406)&lt;&gt;0)),1,0)</f>
        <v>0</v>
      </c>
      <c r="S406">
        <f>N(S405)+$R406</f>
        <v>0</v>
      </c>
      <c r="T406">
        <f>IF(AND($K406=1,AND(对接源_01水果!$X406="公司筐",N(对接源_01水果!$V406)&lt;&gt;0)),1,0)</f>
        <v>0</v>
      </c>
      <c r="U406">
        <f>N(U405)+$T406</f>
        <v>34</v>
      </c>
      <c r="V406">
        <f>IF(AND($L406=1,AND(对接源_01水果!$X406="自备筐",N(对接源_01水果!$V406)&lt;&gt;0)),1,0)</f>
        <v>0</v>
      </c>
      <c r="W406">
        <f>N(W405)+$V406</f>
        <v>11</v>
      </c>
      <c r="X406">
        <f>IF(AND($L406=1,AND(对接源_01水果!$X406="自备筐",N(对接源_01水果!$T406)&lt;&gt;0)),1,0)</f>
        <v>0</v>
      </c>
      <c r="Y406">
        <f>N(Y405)+$X406</f>
        <v>0</v>
      </c>
      <c r="Z406">
        <f>IF(AND($M406=1,对接源_01水果!$D406="原料入库"),1,0)</f>
        <v>0</v>
      </c>
      <c r="AA406">
        <f>N(AA405)+$Z406</f>
        <v>24</v>
      </c>
      <c r="AB406">
        <f>IF(AND($M406=1,LEFT(对接源_01水果!$D406,4)="原料出库"),1,0)</f>
        <v>0</v>
      </c>
      <c r="AC406">
        <f>N(AC405)+$AB406</f>
        <v>0</v>
      </c>
      <c r="AD406">
        <f>IF(AND($M406=1,LEFT(对接源_01水果!$D406,4)="成品出库"),1,0)</f>
        <v>0</v>
      </c>
      <c r="AE406">
        <f>N(AE405)+$AD406</f>
        <v>0</v>
      </c>
      <c r="AF406">
        <f>IF(AND($N406=1,AND(LEFT(对接源_01水果!$D406,4)="包装物料",N(对接源_01水果!$K406)&lt;&gt;0)),1,0)</f>
        <v>0</v>
      </c>
      <c r="AG406">
        <f>N(AG405)+$AF406</f>
        <v>0</v>
      </c>
      <c r="AH406">
        <f>IF(AND($N406=1,AND(对接源_01水果!$D406="周转筐－销售出库",N(对接源_01水果!$K406)&lt;&gt;0)),1,0)</f>
        <v>0</v>
      </c>
      <c r="AI406">
        <f>N(AI405)+$AH406</f>
        <v>0</v>
      </c>
      <c r="AJ406" s="7" t="n"/>
      <c r="AL406">
        <f>IF(OR($AL$1="",对接源_01水果!$Y406="",对接源_01水果!$Y406&lt;&gt;$AL$1,对接源_01水果!$B406="",N(对接源_01水果!$AJ406)&lt;=0),0,IF(OR(N(对接源_01水果!$B406)&lt;$AL$2,N(对接源_01水果!$B406)&gt;$AL$3),0,1))</f>
        <v>0</v>
      </c>
      <c r="AM406">
        <f>N(AM405)+$AL406</f>
        <v>0</v>
      </c>
      <c r="AN406">
        <f>IF(对接源_01水果!$AC406="","",对接源_01水果!$AC406)</f>
      </c>
      <c r="AO406">
        <f>IF(AN406="",0,IF(MATCH(AN406,$AN$4:$AN$1203,0)=ROW()-3,1,0))</f>
        <v>0</v>
      </c>
      <c r="AP406">
        <f>N(AP405)+$AO406</f>
        <v>0</v>
      </c>
      <c r="AR406">
        <f>IF(OR($AF406=1,$AH406=1),1,0)</f>
        <v>0</v>
      </c>
      <c r="AS406">
        <f>N(AS405)+$AR406</f>
        <v>0</v>
      </c>
    </row>
    <row r="407" ht="14.25" customHeight="1" s="127">
      <c r="A407" t="str">
        <f>IF(对接源_01水果!$C407="","",对接源_01水果!$C407)</f>
        <v>金龙</v>
      </c>
      <c r="B407">
        <f>IF(A407="",0,IF(MATCH(A407,$A$4:$A$2403,0)=ROW()-3,1,0))</f>
        <v>0</v>
      </c>
      <c r="C407">
        <f>N(C406)+B407</f>
        <v>21</v>
      </c>
      <c r="K407">
        <f>IF(OR($K$1="",对接源_01水果!$C407="",对接源_01水果!$C407&lt;&gt;$K$1,对接源_01水果!$B407=""),0,IF(OR(N(对接源_01水果!$B407)&lt;$K$2,N(对接源_01水果!$B407)&gt;$K$3),0,1))</f>
        <v>0</v>
      </c>
      <c r="L407">
        <f>IF(OR($L$1="",对接源_01水果!$C407="",对接源_01水果!$C407&lt;&gt;$L$1,对接源_01水果!$B407=""),0,IF(OR(N(对接源_01水果!$B407)&lt;$L$2,N(对接源_01水果!$B407)&gt;$L$3),0,1))</f>
        <v>0</v>
      </c>
      <c r="M407">
        <f>IF(OR($M$1="",对接源_01水果!$C407="",对接源_01水果!$C407&lt;&gt;$M$1,对接源_01水果!$B407=""),0,IF(OR(N(对接源_01水果!$B407)&lt;$M$2,N(对接源_01水果!$B407)&gt;$M$3),0,1))</f>
        <v>0</v>
      </c>
      <c r="N407">
        <f>IF(OR($N$1="",对接源_01水果!$C407="",对接源_01水果!$C407&lt;&gt;$N$1,对接源_01水果!$B407=""),0,IF(OR(N(对接源_01水果!$B407)&lt;$N$2,N(对接源_01水果!$B407)&gt;$N$3),0,1))</f>
        <v>0</v>
      </c>
      <c r="P407">
        <f>IF(AND($K407=1,AND(对接源_01水果!$X407="公司筐",N(对接源_01水果!$T407)&lt;&gt;0)),1,0)</f>
        <v>0</v>
      </c>
      <c r="Q407">
        <f>N(Q406)+$P407</f>
        <v>0</v>
      </c>
      <c r="R407">
        <f>IF(AND($K407=1,AND(对接源_01水果!$X407="公司筐",N(对接源_01水果!$U407)&lt;&gt;0)),1,0)</f>
        <v>0</v>
      </c>
      <c r="S407">
        <f>N(S406)+$R407</f>
        <v>0</v>
      </c>
      <c r="T407">
        <f>IF(AND($K407=1,AND(对接源_01水果!$X407="公司筐",N(对接源_01水果!$V407)&lt;&gt;0)),1,0)</f>
        <v>0</v>
      </c>
      <c r="U407">
        <f>N(U406)+$T407</f>
        <v>34</v>
      </c>
      <c r="V407">
        <f>IF(AND($L407=1,AND(对接源_01水果!$X407="自备筐",N(对接源_01水果!$V407)&lt;&gt;0)),1,0)</f>
        <v>0</v>
      </c>
      <c r="W407">
        <f>N(W406)+$V407</f>
        <v>11</v>
      </c>
      <c r="X407">
        <f>IF(AND($L407=1,AND(对接源_01水果!$X407="自备筐",N(对接源_01水果!$T407)&lt;&gt;0)),1,0)</f>
        <v>0</v>
      </c>
      <c r="Y407">
        <f>N(Y406)+$X407</f>
        <v>0</v>
      </c>
      <c r="Z407">
        <f>IF(AND($M407=1,对接源_01水果!$D407="原料入库"),1,0)</f>
        <v>0</v>
      </c>
      <c r="AA407">
        <f>N(AA406)+$Z407</f>
        <v>24</v>
      </c>
      <c r="AB407">
        <f>IF(AND($M407=1,LEFT(对接源_01水果!$D407,4)="原料出库"),1,0)</f>
        <v>0</v>
      </c>
      <c r="AC407">
        <f>N(AC406)+$AB407</f>
        <v>0</v>
      </c>
      <c r="AD407">
        <f>IF(AND($M407=1,LEFT(对接源_01水果!$D407,4)="成品出库"),1,0)</f>
        <v>0</v>
      </c>
      <c r="AE407">
        <f>N(AE406)+$AD407</f>
        <v>0</v>
      </c>
      <c r="AF407">
        <f>IF(AND($N407=1,AND(LEFT(对接源_01水果!$D407,4)="包装物料",N(对接源_01水果!$K407)&lt;&gt;0)),1,0)</f>
        <v>0</v>
      </c>
      <c r="AG407">
        <f>N(AG406)+$AF407</f>
        <v>0</v>
      </c>
      <c r="AH407">
        <f>IF(AND($N407=1,AND(对接源_01水果!$D407="周转筐－销售出库",N(对接源_01水果!$K407)&lt;&gt;0)),1,0)</f>
        <v>0</v>
      </c>
      <c r="AI407">
        <f>N(AI406)+$AH407</f>
        <v>0</v>
      </c>
      <c r="AJ407" s="7" t="n"/>
      <c r="AL407">
        <f>IF(OR($AL$1="",对接源_01水果!$Y407="",对接源_01水果!$Y407&lt;&gt;$AL$1,对接源_01水果!$B407="",N(对接源_01水果!$AJ407)&lt;=0),0,IF(OR(N(对接源_01水果!$B407)&lt;$AL$2,N(对接源_01水果!$B407)&gt;$AL$3),0,1))</f>
        <v>0</v>
      </c>
      <c r="AM407">
        <f>N(AM406)+$AL407</f>
        <v>0</v>
      </c>
      <c r="AN407">
        <f>IF(对接源_01水果!$AC407="","",对接源_01水果!$AC407)</f>
      </c>
      <c r="AO407">
        <f>IF(AN407="",0,IF(MATCH(AN407,$AN$4:$AN$1203,0)=ROW()-3,1,0))</f>
        <v>0</v>
      </c>
      <c r="AP407">
        <f>N(AP406)+$AO407</f>
        <v>0</v>
      </c>
      <c r="AR407">
        <f>IF(OR($AF407=1,$AH407=1),1,0)</f>
        <v>0</v>
      </c>
      <c r="AS407">
        <f>N(AS406)+$AR407</f>
        <v>0</v>
      </c>
    </row>
    <row r="408" ht="14.25" customHeight="1" s="127">
      <c r="A408" t="str">
        <f>IF(对接源_01水果!$C408="","",对接源_01水果!$C408)</f>
        <v>艾海提</v>
      </c>
      <c r="B408">
        <f>IF(A408="",0,IF(MATCH(A408,$A$4:$A$2403,0)=ROW()-3,1,0))</f>
        <v>0</v>
      </c>
      <c r="C408">
        <f>N(C407)+B408</f>
        <v>21</v>
      </c>
      <c r="K408">
        <f>IF(OR($K$1="",对接源_01水果!$C408="",对接源_01水果!$C408&lt;&gt;$K$1,对接源_01水果!$B408=""),0,IF(OR(N(对接源_01水果!$B408)&lt;$K$2,N(对接源_01水果!$B408)&gt;$K$3),0,1))</f>
        <v>0</v>
      </c>
      <c r="L408">
        <f>IF(OR($L$1="",对接源_01水果!$C408="",对接源_01水果!$C408&lt;&gt;$L$1,对接源_01水果!$B408=""),0,IF(OR(N(对接源_01水果!$B408)&lt;$L$2,N(对接源_01水果!$B408)&gt;$L$3),0,1))</f>
        <v>0</v>
      </c>
      <c r="M408">
        <f>IF(OR($M$1="",对接源_01水果!$C408="",对接源_01水果!$C408&lt;&gt;$M$1,对接源_01水果!$B408=""),0,IF(OR(N(对接源_01水果!$B408)&lt;$M$2,N(对接源_01水果!$B408)&gt;$M$3),0,1))</f>
        <v>0</v>
      </c>
      <c r="N408">
        <f>IF(OR($N$1="",对接源_01水果!$C408="",对接源_01水果!$C408&lt;&gt;$N$1,对接源_01水果!$B408=""),0,IF(OR(N(对接源_01水果!$B408)&lt;$N$2,N(对接源_01水果!$B408)&gt;$N$3),0,1))</f>
        <v>0</v>
      </c>
      <c r="P408">
        <f>IF(AND($K408=1,AND(对接源_01水果!$X408="公司筐",N(对接源_01水果!$T408)&lt;&gt;0)),1,0)</f>
        <v>0</v>
      </c>
      <c r="Q408">
        <f>N(Q407)+$P408</f>
        <v>0</v>
      </c>
      <c r="R408">
        <f>IF(AND($K408=1,AND(对接源_01水果!$X408="公司筐",N(对接源_01水果!$U408)&lt;&gt;0)),1,0)</f>
        <v>0</v>
      </c>
      <c r="S408">
        <f>N(S407)+$R408</f>
        <v>0</v>
      </c>
      <c r="T408">
        <f>IF(AND($K408=1,AND(对接源_01水果!$X408="公司筐",N(对接源_01水果!$V408)&lt;&gt;0)),1,0)</f>
        <v>0</v>
      </c>
      <c r="U408">
        <f>N(U407)+$T408</f>
        <v>34</v>
      </c>
      <c r="V408">
        <f>IF(AND($L408=1,AND(对接源_01水果!$X408="自备筐",N(对接源_01水果!$V408)&lt;&gt;0)),1,0)</f>
        <v>0</v>
      </c>
      <c r="W408">
        <f>N(W407)+$V408</f>
        <v>11</v>
      </c>
      <c r="X408">
        <f>IF(AND($L408=1,AND(对接源_01水果!$X408="自备筐",N(对接源_01水果!$T408)&lt;&gt;0)),1,0)</f>
        <v>0</v>
      </c>
      <c r="Y408">
        <f>N(Y407)+$X408</f>
        <v>0</v>
      </c>
      <c r="Z408">
        <f>IF(AND($M408=1,对接源_01水果!$D408="原料入库"),1,0)</f>
        <v>0</v>
      </c>
      <c r="AA408">
        <f>N(AA407)+$Z408</f>
        <v>24</v>
      </c>
      <c r="AB408">
        <f>IF(AND($M408=1,LEFT(对接源_01水果!$D408,4)="原料出库"),1,0)</f>
        <v>0</v>
      </c>
      <c r="AC408">
        <f>N(AC407)+$AB408</f>
        <v>0</v>
      </c>
      <c r="AD408">
        <f>IF(AND($M408=1,LEFT(对接源_01水果!$D408,4)="成品出库"),1,0)</f>
        <v>0</v>
      </c>
      <c r="AE408">
        <f>N(AE407)+$AD408</f>
        <v>0</v>
      </c>
      <c r="AF408">
        <f>IF(AND($N408=1,AND(LEFT(对接源_01水果!$D408,4)="包装物料",N(对接源_01水果!$K408)&lt;&gt;0)),1,0)</f>
        <v>0</v>
      </c>
      <c r="AG408">
        <f>N(AG407)+$AF408</f>
        <v>0</v>
      </c>
      <c r="AH408">
        <f>IF(AND($N408=1,AND(对接源_01水果!$D408="周转筐－销售出库",N(对接源_01水果!$K408)&lt;&gt;0)),1,0)</f>
        <v>0</v>
      </c>
      <c r="AI408">
        <f>N(AI407)+$AH408</f>
        <v>0</v>
      </c>
      <c r="AJ408" s="7" t="n"/>
      <c r="AL408">
        <f>IF(OR($AL$1="",对接源_01水果!$Y408="",对接源_01水果!$Y408&lt;&gt;$AL$1,对接源_01水果!$B408="",N(对接源_01水果!$AJ408)&lt;=0),0,IF(OR(N(对接源_01水果!$B408)&lt;$AL$2,N(对接源_01水果!$B408)&gt;$AL$3),0,1))</f>
        <v>0</v>
      </c>
      <c r="AM408">
        <f>N(AM407)+$AL408</f>
        <v>0</v>
      </c>
      <c r="AN408">
        <f>IF(对接源_01水果!$AC408="","",对接源_01水果!$AC408)</f>
      </c>
      <c r="AO408">
        <f>IF(AN408="",0,IF(MATCH(AN408,$AN$4:$AN$1203,0)=ROW()-3,1,0))</f>
        <v>0</v>
      </c>
      <c r="AP408">
        <f>N(AP407)+$AO408</f>
        <v>0</v>
      </c>
      <c r="AR408">
        <f>IF(OR($AF408=1,$AH408=1),1,0)</f>
        <v>0</v>
      </c>
      <c r="AS408">
        <f>N(AS407)+$AR408</f>
        <v>0</v>
      </c>
    </row>
    <row r="409" ht="14.25" customHeight="1" s="127">
      <c r="A409" t="str">
        <f>IF(对接源_01水果!$C409="","",对接源_01水果!$C409)</f>
        <v>艾海提</v>
      </c>
      <c r="B409">
        <f>IF(A409="",0,IF(MATCH(A409,$A$4:$A$2403,0)=ROW()-3,1,0))</f>
        <v>0</v>
      </c>
      <c r="C409">
        <f>N(C408)+B409</f>
        <v>21</v>
      </c>
      <c r="K409">
        <f>IF(OR($K$1="",对接源_01水果!$C409="",对接源_01水果!$C409&lt;&gt;$K$1,对接源_01水果!$B409=""),0,IF(OR(N(对接源_01水果!$B409)&lt;$K$2,N(对接源_01水果!$B409)&gt;$K$3),0,1))</f>
        <v>0</v>
      </c>
      <c r="L409">
        <f>IF(OR($L$1="",对接源_01水果!$C409="",对接源_01水果!$C409&lt;&gt;$L$1,对接源_01水果!$B409=""),0,IF(OR(N(对接源_01水果!$B409)&lt;$L$2,N(对接源_01水果!$B409)&gt;$L$3),0,1))</f>
        <v>0</v>
      </c>
      <c r="M409">
        <f>IF(OR($M$1="",对接源_01水果!$C409="",对接源_01水果!$C409&lt;&gt;$M$1,对接源_01水果!$B409=""),0,IF(OR(N(对接源_01水果!$B409)&lt;$M$2,N(对接源_01水果!$B409)&gt;$M$3),0,1))</f>
        <v>0</v>
      </c>
      <c r="N409">
        <f>IF(OR($N$1="",对接源_01水果!$C409="",对接源_01水果!$C409&lt;&gt;$N$1,对接源_01水果!$B409=""),0,IF(OR(N(对接源_01水果!$B409)&lt;$N$2,N(对接源_01水果!$B409)&gt;$N$3),0,1))</f>
        <v>0</v>
      </c>
      <c r="P409">
        <f>IF(AND($K409=1,AND(对接源_01水果!$X409="公司筐",N(对接源_01水果!$T409)&lt;&gt;0)),1,0)</f>
        <v>0</v>
      </c>
      <c r="Q409">
        <f>N(Q408)+$P409</f>
        <v>0</v>
      </c>
      <c r="R409">
        <f>IF(AND($K409=1,AND(对接源_01水果!$X409="公司筐",N(对接源_01水果!$U409)&lt;&gt;0)),1,0)</f>
        <v>0</v>
      </c>
      <c r="S409">
        <f>N(S408)+$R409</f>
        <v>0</v>
      </c>
      <c r="T409">
        <f>IF(AND($K409=1,AND(对接源_01水果!$X409="公司筐",N(对接源_01水果!$V409)&lt;&gt;0)),1,0)</f>
        <v>0</v>
      </c>
      <c r="U409">
        <f>N(U408)+$T409</f>
        <v>34</v>
      </c>
      <c r="V409">
        <f>IF(AND($L409=1,AND(对接源_01水果!$X409="自备筐",N(对接源_01水果!$V409)&lt;&gt;0)),1,0)</f>
        <v>0</v>
      </c>
      <c r="W409">
        <f>N(W408)+$V409</f>
        <v>11</v>
      </c>
      <c r="X409">
        <f>IF(AND($L409=1,AND(对接源_01水果!$X409="自备筐",N(对接源_01水果!$T409)&lt;&gt;0)),1,0)</f>
        <v>0</v>
      </c>
      <c r="Y409">
        <f>N(Y408)+$X409</f>
        <v>0</v>
      </c>
      <c r="Z409">
        <f>IF(AND($M409=1,对接源_01水果!$D409="原料入库"),1,0)</f>
        <v>0</v>
      </c>
      <c r="AA409">
        <f>N(AA408)+$Z409</f>
        <v>24</v>
      </c>
      <c r="AB409">
        <f>IF(AND($M409=1,LEFT(对接源_01水果!$D409,4)="原料出库"),1,0)</f>
        <v>0</v>
      </c>
      <c r="AC409">
        <f>N(AC408)+$AB409</f>
        <v>0</v>
      </c>
      <c r="AD409">
        <f>IF(AND($M409=1,LEFT(对接源_01水果!$D409,4)="成品出库"),1,0)</f>
        <v>0</v>
      </c>
      <c r="AE409">
        <f>N(AE408)+$AD409</f>
        <v>0</v>
      </c>
      <c r="AF409">
        <f>IF(AND($N409=1,AND(LEFT(对接源_01水果!$D409,4)="包装物料",N(对接源_01水果!$K409)&lt;&gt;0)),1,0)</f>
        <v>0</v>
      </c>
      <c r="AG409">
        <f>N(AG408)+$AF409</f>
        <v>0</v>
      </c>
      <c r="AH409">
        <f>IF(AND($N409=1,AND(对接源_01水果!$D409="周转筐－销售出库",N(对接源_01水果!$K409)&lt;&gt;0)),1,0)</f>
        <v>0</v>
      </c>
      <c r="AI409">
        <f>N(AI408)+$AH409</f>
        <v>0</v>
      </c>
      <c r="AJ409" s="7" t="n"/>
      <c r="AL409">
        <f>IF(OR($AL$1="",对接源_01水果!$Y409="",对接源_01水果!$Y409&lt;&gt;$AL$1,对接源_01水果!$B409="",N(对接源_01水果!$AJ409)&lt;=0),0,IF(OR(N(对接源_01水果!$B409)&lt;$AL$2,N(对接源_01水果!$B409)&gt;$AL$3),0,1))</f>
        <v>0</v>
      </c>
      <c r="AM409">
        <f>N(AM408)+$AL409</f>
        <v>0</v>
      </c>
      <c r="AN409">
        <f>IF(对接源_01水果!$AC409="","",对接源_01水果!$AC409)</f>
      </c>
      <c r="AO409">
        <f>IF(AN409="",0,IF(MATCH(AN409,$AN$4:$AN$1203,0)=ROW()-3,1,0))</f>
        <v>0</v>
      </c>
      <c r="AP409">
        <f>N(AP408)+$AO409</f>
        <v>0</v>
      </c>
      <c r="AR409">
        <f>IF(OR($AF409=1,$AH409=1),1,0)</f>
        <v>0</v>
      </c>
      <c r="AS409">
        <f>N(AS408)+$AR409</f>
        <v>0</v>
      </c>
    </row>
    <row r="410" ht="14.25" customHeight="1" s="127">
      <c r="A410" t="str">
        <f>IF(对接源_01水果!$C410="","",对接源_01水果!$C410)</f>
        <v>艾海提</v>
      </c>
      <c r="B410">
        <f>IF(A410="",0,IF(MATCH(A410,$A$4:$A$2403,0)=ROW()-3,1,0))</f>
        <v>0</v>
      </c>
      <c r="C410">
        <f>N(C409)+B410</f>
        <v>21</v>
      </c>
      <c r="K410">
        <f>IF(OR($K$1="",对接源_01水果!$C410="",对接源_01水果!$C410&lt;&gt;$K$1,对接源_01水果!$B410=""),0,IF(OR(N(对接源_01水果!$B410)&lt;$K$2,N(对接源_01水果!$B410)&gt;$K$3),0,1))</f>
        <v>0</v>
      </c>
      <c r="L410">
        <f>IF(OR($L$1="",对接源_01水果!$C410="",对接源_01水果!$C410&lt;&gt;$L$1,对接源_01水果!$B410=""),0,IF(OR(N(对接源_01水果!$B410)&lt;$L$2,N(对接源_01水果!$B410)&gt;$L$3),0,1))</f>
        <v>0</v>
      </c>
      <c r="M410">
        <f>IF(OR($M$1="",对接源_01水果!$C410="",对接源_01水果!$C410&lt;&gt;$M$1,对接源_01水果!$B410=""),0,IF(OR(N(对接源_01水果!$B410)&lt;$M$2,N(对接源_01水果!$B410)&gt;$M$3),0,1))</f>
        <v>0</v>
      </c>
      <c r="N410">
        <f>IF(OR($N$1="",对接源_01水果!$C410="",对接源_01水果!$C410&lt;&gt;$N$1,对接源_01水果!$B410=""),0,IF(OR(N(对接源_01水果!$B410)&lt;$N$2,N(对接源_01水果!$B410)&gt;$N$3),0,1))</f>
        <v>0</v>
      </c>
      <c r="P410">
        <f>IF(AND($K410=1,AND(对接源_01水果!$X410="公司筐",N(对接源_01水果!$T410)&lt;&gt;0)),1,0)</f>
        <v>0</v>
      </c>
      <c r="Q410">
        <f>N(Q409)+$P410</f>
        <v>0</v>
      </c>
      <c r="R410">
        <f>IF(AND($K410=1,AND(对接源_01水果!$X410="公司筐",N(对接源_01水果!$U410)&lt;&gt;0)),1,0)</f>
        <v>0</v>
      </c>
      <c r="S410">
        <f>N(S409)+$R410</f>
        <v>0</v>
      </c>
      <c r="T410">
        <f>IF(AND($K410=1,AND(对接源_01水果!$X410="公司筐",N(对接源_01水果!$V410)&lt;&gt;0)),1,0)</f>
        <v>0</v>
      </c>
      <c r="U410">
        <f>N(U409)+$T410</f>
        <v>34</v>
      </c>
      <c r="V410">
        <f>IF(AND($L410=1,AND(对接源_01水果!$X410="自备筐",N(对接源_01水果!$V410)&lt;&gt;0)),1,0)</f>
        <v>0</v>
      </c>
      <c r="W410">
        <f>N(W409)+$V410</f>
        <v>11</v>
      </c>
      <c r="X410">
        <f>IF(AND($L410=1,AND(对接源_01水果!$X410="自备筐",N(对接源_01水果!$T410)&lt;&gt;0)),1,0)</f>
        <v>0</v>
      </c>
      <c r="Y410">
        <f>N(Y409)+$X410</f>
        <v>0</v>
      </c>
      <c r="Z410">
        <f>IF(AND($M410=1,对接源_01水果!$D410="原料入库"),1,0)</f>
        <v>0</v>
      </c>
      <c r="AA410">
        <f>N(AA409)+$Z410</f>
        <v>24</v>
      </c>
      <c r="AB410">
        <f>IF(AND($M410=1,LEFT(对接源_01水果!$D410,4)="原料出库"),1,0)</f>
        <v>0</v>
      </c>
      <c r="AC410">
        <f>N(AC409)+$AB410</f>
        <v>0</v>
      </c>
      <c r="AD410">
        <f>IF(AND($M410=1,LEFT(对接源_01水果!$D410,4)="成品出库"),1,0)</f>
        <v>0</v>
      </c>
      <c r="AE410">
        <f>N(AE409)+$AD410</f>
        <v>0</v>
      </c>
      <c r="AF410">
        <f>IF(AND($N410=1,AND(LEFT(对接源_01水果!$D410,4)="包装物料",N(对接源_01水果!$K410)&lt;&gt;0)),1,0)</f>
        <v>0</v>
      </c>
      <c r="AG410">
        <f>N(AG409)+$AF410</f>
        <v>0</v>
      </c>
      <c r="AH410">
        <f>IF(AND($N410=1,AND(对接源_01水果!$D410="周转筐－销售出库",N(对接源_01水果!$K410)&lt;&gt;0)),1,0)</f>
        <v>0</v>
      </c>
      <c r="AI410">
        <f>N(AI409)+$AH410</f>
        <v>0</v>
      </c>
      <c r="AJ410" s="7" t="n"/>
      <c r="AL410">
        <f>IF(OR($AL$1="",对接源_01水果!$Y410="",对接源_01水果!$Y410&lt;&gt;$AL$1,对接源_01水果!$B410="",N(对接源_01水果!$AJ410)&lt;=0),0,IF(OR(N(对接源_01水果!$B410)&lt;$AL$2,N(对接源_01水果!$B410)&gt;$AL$3),0,1))</f>
        <v>0</v>
      </c>
      <c r="AM410">
        <f>N(AM409)+$AL410</f>
        <v>0</v>
      </c>
      <c r="AN410">
        <f>IF(对接源_01水果!$AC410="","",对接源_01水果!$AC410)</f>
      </c>
      <c r="AO410">
        <f>IF(AN410="",0,IF(MATCH(AN410,$AN$4:$AN$1203,0)=ROW()-3,1,0))</f>
        <v>0</v>
      </c>
      <c r="AP410">
        <f>N(AP409)+$AO410</f>
        <v>0</v>
      </c>
      <c r="AR410">
        <f>IF(OR($AF410=1,$AH410=1),1,0)</f>
        <v>0</v>
      </c>
      <c r="AS410">
        <f>N(AS409)+$AR410</f>
        <v>0</v>
      </c>
    </row>
    <row r="411" ht="14.25" customHeight="1" s="127">
      <c r="A411" t="str">
        <f>IF(对接源_01水果!$C411="","",对接源_01水果!$C411)</f>
        <v>阿布都</v>
      </c>
      <c r="B411">
        <f>IF(A411="",0,IF(MATCH(A411,$A$4:$A$2403,0)=ROW()-3,1,0))</f>
        <v>0</v>
      </c>
      <c r="C411">
        <f>N(C410)+B411</f>
        <v>21</v>
      </c>
      <c r="K411">
        <f>IF(OR($K$1="",对接源_01水果!$C411="",对接源_01水果!$C411&lt;&gt;$K$1,对接源_01水果!$B411=""),0,IF(OR(N(对接源_01水果!$B411)&lt;$K$2,N(对接源_01水果!$B411)&gt;$K$3),0,1))</f>
        <v>0</v>
      </c>
      <c r="L411">
        <f>IF(OR($L$1="",对接源_01水果!$C411="",对接源_01水果!$C411&lt;&gt;$L$1,对接源_01水果!$B411=""),0,IF(OR(N(对接源_01水果!$B411)&lt;$L$2,N(对接源_01水果!$B411)&gt;$L$3),0,1))</f>
        <v>0</v>
      </c>
      <c r="M411">
        <f>IF(OR($M$1="",对接源_01水果!$C411="",对接源_01水果!$C411&lt;&gt;$M$1,对接源_01水果!$B411=""),0,IF(OR(N(对接源_01水果!$B411)&lt;$M$2,N(对接源_01水果!$B411)&gt;$M$3),0,1))</f>
        <v>0</v>
      </c>
      <c r="N411">
        <f>IF(OR($N$1="",对接源_01水果!$C411="",对接源_01水果!$C411&lt;&gt;$N$1,对接源_01水果!$B411=""),0,IF(OR(N(对接源_01水果!$B411)&lt;$N$2,N(对接源_01水果!$B411)&gt;$N$3),0,1))</f>
        <v>0</v>
      </c>
      <c r="P411">
        <f>IF(AND($K411=1,AND(对接源_01水果!$X411="公司筐",N(对接源_01水果!$T411)&lt;&gt;0)),1,0)</f>
        <v>0</v>
      </c>
      <c r="Q411">
        <f>N(Q410)+$P411</f>
        <v>0</v>
      </c>
      <c r="R411">
        <f>IF(AND($K411=1,AND(对接源_01水果!$X411="公司筐",N(对接源_01水果!$U411)&lt;&gt;0)),1,0)</f>
        <v>0</v>
      </c>
      <c r="S411">
        <f>N(S410)+$R411</f>
        <v>0</v>
      </c>
      <c r="T411">
        <f>IF(AND($K411=1,AND(对接源_01水果!$X411="公司筐",N(对接源_01水果!$V411)&lt;&gt;0)),1,0)</f>
        <v>0</v>
      </c>
      <c r="U411">
        <f>N(U410)+$T411</f>
        <v>34</v>
      </c>
      <c r="V411">
        <f>IF(AND($L411=1,AND(对接源_01水果!$X411="自备筐",N(对接源_01水果!$V411)&lt;&gt;0)),1,0)</f>
        <v>0</v>
      </c>
      <c r="W411">
        <f>N(W410)+$V411</f>
        <v>11</v>
      </c>
      <c r="X411">
        <f>IF(AND($L411=1,AND(对接源_01水果!$X411="自备筐",N(对接源_01水果!$T411)&lt;&gt;0)),1,0)</f>
        <v>0</v>
      </c>
      <c r="Y411">
        <f>N(Y410)+$X411</f>
        <v>0</v>
      </c>
      <c r="Z411">
        <f>IF(AND($M411=1,对接源_01水果!$D411="原料入库"),1,0)</f>
        <v>0</v>
      </c>
      <c r="AA411">
        <f>N(AA410)+$Z411</f>
        <v>24</v>
      </c>
      <c r="AB411">
        <f>IF(AND($M411=1,LEFT(对接源_01水果!$D411,4)="原料出库"),1,0)</f>
        <v>0</v>
      </c>
      <c r="AC411">
        <f>N(AC410)+$AB411</f>
        <v>0</v>
      </c>
      <c r="AD411">
        <f>IF(AND($M411=1,LEFT(对接源_01水果!$D411,4)="成品出库"),1,0)</f>
        <v>0</v>
      </c>
      <c r="AE411">
        <f>N(AE410)+$AD411</f>
        <v>0</v>
      </c>
      <c r="AF411">
        <f>IF(AND($N411=1,AND(LEFT(对接源_01水果!$D411,4)="包装物料",N(对接源_01水果!$K411)&lt;&gt;0)),1,0)</f>
        <v>0</v>
      </c>
      <c r="AG411">
        <f>N(AG410)+$AF411</f>
        <v>0</v>
      </c>
      <c r="AH411">
        <f>IF(AND($N411=1,AND(对接源_01水果!$D411="周转筐－销售出库",N(对接源_01水果!$K411)&lt;&gt;0)),1,0)</f>
        <v>0</v>
      </c>
      <c r="AI411">
        <f>N(AI410)+$AH411</f>
        <v>0</v>
      </c>
      <c r="AJ411" s="7" t="n"/>
      <c r="AL411">
        <f>IF(OR($AL$1="",对接源_01水果!$Y411="",对接源_01水果!$Y411&lt;&gt;$AL$1,对接源_01水果!$B411="",N(对接源_01水果!$AJ411)&lt;=0),0,IF(OR(N(对接源_01水果!$B411)&lt;$AL$2,N(对接源_01水果!$B411)&gt;$AL$3),0,1))</f>
        <v>0</v>
      </c>
      <c r="AM411">
        <f>N(AM410)+$AL411</f>
        <v>0</v>
      </c>
      <c r="AN411">
        <f>IF(对接源_01水果!$AC411="","",对接源_01水果!$AC411)</f>
      </c>
      <c r="AO411">
        <f>IF(AN411="",0,IF(MATCH(AN411,$AN$4:$AN$1203,0)=ROW()-3,1,0))</f>
        <v>0</v>
      </c>
      <c r="AP411">
        <f>N(AP410)+$AO411</f>
        <v>0</v>
      </c>
      <c r="AR411">
        <f>IF(OR($AF411=1,$AH411=1),1,0)</f>
        <v>0</v>
      </c>
      <c r="AS411">
        <f>N(AS410)+$AR411</f>
        <v>0</v>
      </c>
    </row>
    <row r="412" ht="14.25" customHeight="1" s="127">
      <c r="A412" t="str">
        <f>IF(对接源_01水果!$C412="","",对接源_01水果!$C412)</f>
        <v>阿布都</v>
      </c>
      <c r="B412">
        <f>IF(A412="",0,IF(MATCH(A412,$A$4:$A$2403,0)=ROW()-3,1,0))</f>
        <v>0</v>
      </c>
      <c r="C412">
        <f>N(C411)+B412</f>
        <v>21</v>
      </c>
      <c r="K412">
        <f>IF(OR($K$1="",对接源_01水果!$C412="",对接源_01水果!$C412&lt;&gt;$K$1,对接源_01水果!$B412=""),0,IF(OR(N(对接源_01水果!$B412)&lt;$K$2,N(对接源_01水果!$B412)&gt;$K$3),0,1))</f>
        <v>0</v>
      </c>
      <c r="L412">
        <f>IF(OR($L$1="",对接源_01水果!$C412="",对接源_01水果!$C412&lt;&gt;$L$1,对接源_01水果!$B412=""),0,IF(OR(N(对接源_01水果!$B412)&lt;$L$2,N(对接源_01水果!$B412)&gt;$L$3),0,1))</f>
        <v>0</v>
      </c>
      <c r="M412">
        <f>IF(OR($M$1="",对接源_01水果!$C412="",对接源_01水果!$C412&lt;&gt;$M$1,对接源_01水果!$B412=""),0,IF(OR(N(对接源_01水果!$B412)&lt;$M$2,N(对接源_01水果!$B412)&gt;$M$3),0,1))</f>
        <v>0</v>
      </c>
      <c r="N412">
        <f>IF(OR($N$1="",对接源_01水果!$C412="",对接源_01水果!$C412&lt;&gt;$N$1,对接源_01水果!$B412=""),0,IF(OR(N(对接源_01水果!$B412)&lt;$N$2,N(对接源_01水果!$B412)&gt;$N$3),0,1))</f>
        <v>0</v>
      </c>
      <c r="P412">
        <f>IF(AND($K412=1,AND(对接源_01水果!$X412="公司筐",N(对接源_01水果!$T412)&lt;&gt;0)),1,0)</f>
        <v>0</v>
      </c>
      <c r="Q412">
        <f>N(Q411)+$P412</f>
        <v>0</v>
      </c>
      <c r="R412">
        <f>IF(AND($K412=1,AND(对接源_01水果!$X412="公司筐",N(对接源_01水果!$U412)&lt;&gt;0)),1,0)</f>
        <v>0</v>
      </c>
      <c r="S412">
        <f>N(S411)+$R412</f>
        <v>0</v>
      </c>
      <c r="T412">
        <f>IF(AND($K412=1,AND(对接源_01水果!$X412="公司筐",N(对接源_01水果!$V412)&lt;&gt;0)),1,0)</f>
        <v>0</v>
      </c>
      <c r="U412">
        <f>N(U411)+$T412</f>
        <v>34</v>
      </c>
      <c r="V412">
        <f>IF(AND($L412=1,AND(对接源_01水果!$X412="自备筐",N(对接源_01水果!$V412)&lt;&gt;0)),1,0)</f>
        <v>0</v>
      </c>
      <c r="W412">
        <f>N(W411)+$V412</f>
        <v>11</v>
      </c>
      <c r="X412">
        <f>IF(AND($L412=1,AND(对接源_01水果!$X412="自备筐",N(对接源_01水果!$T412)&lt;&gt;0)),1,0)</f>
        <v>0</v>
      </c>
      <c r="Y412">
        <f>N(Y411)+$X412</f>
        <v>0</v>
      </c>
      <c r="Z412">
        <f>IF(AND($M412=1,对接源_01水果!$D412="原料入库"),1,0)</f>
        <v>0</v>
      </c>
      <c r="AA412">
        <f>N(AA411)+$Z412</f>
        <v>24</v>
      </c>
      <c r="AB412">
        <f>IF(AND($M412=1,LEFT(对接源_01水果!$D412,4)="原料出库"),1,0)</f>
        <v>0</v>
      </c>
      <c r="AC412">
        <f>N(AC411)+$AB412</f>
        <v>0</v>
      </c>
      <c r="AD412">
        <f>IF(AND($M412=1,LEFT(对接源_01水果!$D412,4)="成品出库"),1,0)</f>
        <v>0</v>
      </c>
      <c r="AE412">
        <f>N(AE411)+$AD412</f>
        <v>0</v>
      </c>
      <c r="AF412">
        <f>IF(AND($N412=1,AND(LEFT(对接源_01水果!$D412,4)="包装物料",N(对接源_01水果!$K412)&lt;&gt;0)),1,0)</f>
        <v>0</v>
      </c>
      <c r="AG412">
        <f>N(AG411)+$AF412</f>
        <v>0</v>
      </c>
      <c r="AH412">
        <f>IF(AND($N412=1,AND(对接源_01水果!$D412="周转筐－销售出库",N(对接源_01水果!$K412)&lt;&gt;0)),1,0)</f>
        <v>0</v>
      </c>
      <c r="AI412">
        <f>N(AI411)+$AH412</f>
        <v>0</v>
      </c>
      <c r="AJ412" s="7" t="n"/>
      <c r="AL412">
        <f>IF(OR($AL$1="",对接源_01水果!$Y412="",对接源_01水果!$Y412&lt;&gt;$AL$1,对接源_01水果!$B412="",N(对接源_01水果!$AJ412)&lt;=0),0,IF(OR(N(对接源_01水果!$B412)&lt;$AL$2,N(对接源_01水果!$B412)&gt;$AL$3),0,1))</f>
        <v>0</v>
      </c>
      <c r="AM412">
        <f>N(AM411)+$AL412</f>
        <v>0</v>
      </c>
      <c r="AN412">
        <f>IF(对接源_01水果!$AC412="","",对接源_01水果!$AC412)</f>
      </c>
      <c r="AO412">
        <f>IF(AN412="",0,IF(MATCH(AN412,$AN$4:$AN$1203,0)=ROW()-3,1,0))</f>
        <v>0</v>
      </c>
      <c r="AP412">
        <f>N(AP411)+$AO412</f>
        <v>0</v>
      </c>
      <c r="AR412">
        <f>IF(OR($AF412=1,$AH412=1),1,0)</f>
        <v>0</v>
      </c>
      <c r="AS412">
        <f>N(AS411)+$AR412</f>
        <v>0</v>
      </c>
    </row>
    <row r="413" ht="14.25" customHeight="1" s="127">
      <c r="A413" t="str">
        <f>IF(对接源_01水果!$C413="","",对接源_01水果!$C413)</f>
        <v>阿布都</v>
      </c>
      <c r="B413">
        <f>IF(A413="",0,IF(MATCH(A413,$A$4:$A$2403,0)=ROW()-3,1,0))</f>
        <v>0</v>
      </c>
      <c r="C413">
        <f>N(C412)+B413</f>
        <v>21</v>
      </c>
      <c r="K413">
        <f>IF(OR($K$1="",对接源_01水果!$C413="",对接源_01水果!$C413&lt;&gt;$K$1,对接源_01水果!$B413=""),0,IF(OR(N(对接源_01水果!$B413)&lt;$K$2,N(对接源_01水果!$B413)&gt;$K$3),0,1))</f>
        <v>0</v>
      </c>
      <c r="L413">
        <f>IF(OR($L$1="",对接源_01水果!$C413="",对接源_01水果!$C413&lt;&gt;$L$1,对接源_01水果!$B413=""),0,IF(OR(N(对接源_01水果!$B413)&lt;$L$2,N(对接源_01水果!$B413)&gt;$L$3),0,1))</f>
        <v>0</v>
      </c>
      <c r="M413">
        <f>IF(OR($M$1="",对接源_01水果!$C413="",对接源_01水果!$C413&lt;&gt;$M$1,对接源_01水果!$B413=""),0,IF(OR(N(对接源_01水果!$B413)&lt;$M$2,N(对接源_01水果!$B413)&gt;$M$3),0,1))</f>
        <v>0</v>
      </c>
      <c r="N413">
        <f>IF(OR($N$1="",对接源_01水果!$C413="",对接源_01水果!$C413&lt;&gt;$N$1,对接源_01水果!$B413=""),0,IF(OR(N(对接源_01水果!$B413)&lt;$N$2,N(对接源_01水果!$B413)&gt;$N$3),0,1))</f>
        <v>0</v>
      </c>
      <c r="P413">
        <f>IF(AND($K413=1,AND(对接源_01水果!$X413="公司筐",N(对接源_01水果!$T413)&lt;&gt;0)),1,0)</f>
        <v>0</v>
      </c>
      <c r="Q413">
        <f>N(Q412)+$P413</f>
        <v>0</v>
      </c>
      <c r="R413">
        <f>IF(AND($K413=1,AND(对接源_01水果!$X413="公司筐",N(对接源_01水果!$U413)&lt;&gt;0)),1,0)</f>
        <v>0</v>
      </c>
      <c r="S413">
        <f>N(S412)+$R413</f>
        <v>0</v>
      </c>
      <c r="T413">
        <f>IF(AND($K413=1,AND(对接源_01水果!$X413="公司筐",N(对接源_01水果!$V413)&lt;&gt;0)),1,0)</f>
        <v>0</v>
      </c>
      <c r="U413">
        <f>N(U412)+$T413</f>
        <v>34</v>
      </c>
      <c r="V413">
        <f>IF(AND($L413=1,AND(对接源_01水果!$X413="自备筐",N(对接源_01水果!$V413)&lt;&gt;0)),1,0)</f>
        <v>0</v>
      </c>
      <c r="W413">
        <f>N(W412)+$V413</f>
        <v>11</v>
      </c>
      <c r="X413">
        <f>IF(AND($L413=1,AND(对接源_01水果!$X413="自备筐",N(对接源_01水果!$T413)&lt;&gt;0)),1,0)</f>
        <v>0</v>
      </c>
      <c r="Y413">
        <f>N(Y412)+$X413</f>
        <v>0</v>
      </c>
      <c r="Z413">
        <f>IF(AND($M413=1,对接源_01水果!$D413="原料入库"),1,0)</f>
        <v>0</v>
      </c>
      <c r="AA413">
        <f>N(AA412)+$Z413</f>
        <v>24</v>
      </c>
      <c r="AB413">
        <f>IF(AND($M413=1,LEFT(对接源_01水果!$D413,4)="原料出库"),1,0)</f>
        <v>0</v>
      </c>
      <c r="AC413">
        <f>N(AC412)+$AB413</f>
        <v>0</v>
      </c>
      <c r="AD413">
        <f>IF(AND($M413=1,LEFT(对接源_01水果!$D413,4)="成品出库"),1,0)</f>
        <v>0</v>
      </c>
      <c r="AE413">
        <f>N(AE412)+$AD413</f>
        <v>0</v>
      </c>
      <c r="AF413">
        <f>IF(AND($N413=1,AND(LEFT(对接源_01水果!$D413,4)="包装物料",N(对接源_01水果!$K413)&lt;&gt;0)),1,0)</f>
        <v>0</v>
      </c>
      <c r="AG413">
        <f>N(AG412)+$AF413</f>
        <v>0</v>
      </c>
      <c r="AH413">
        <f>IF(AND($N413=1,AND(对接源_01水果!$D413="周转筐－销售出库",N(对接源_01水果!$K413)&lt;&gt;0)),1,0)</f>
        <v>0</v>
      </c>
      <c r="AI413">
        <f>N(AI412)+$AH413</f>
        <v>0</v>
      </c>
      <c r="AJ413" s="7" t="n"/>
      <c r="AL413">
        <f>IF(OR($AL$1="",对接源_01水果!$Y413="",对接源_01水果!$Y413&lt;&gt;$AL$1,对接源_01水果!$B413="",N(对接源_01水果!$AJ413)&lt;=0),0,IF(OR(N(对接源_01水果!$B413)&lt;$AL$2,N(对接源_01水果!$B413)&gt;$AL$3),0,1))</f>
        <v>0</v>
      </c>
      <c r="AM413">
        <f>N(AM412)+$AL413</f>
        <v>0</v>
      </c>
      <c r="AN413">
        <f>IF(对接源_01水果!$AC413="","",对接源_01水果!$AC413)</f>
      </c>
      <c r="AO413">
        <f>IF(AN413="",0,IF(MATCH(AN413,$AN$4:$AN$1203,0)=ROW()-3,1,0))</f>
        <v>0</v>
      </c>
      <c r="AP413">
        <f>N(AP412)+$AO413</f>
        <v>0</v>
      </c>
      <c r="AR413">
        <f>IF(OR($AF413=1,$AH413=1),1,0)</f>
        <v>0</v>
      </c>
      <c r="AS413">
        <f>N(AS412)+$AR413</f>
        <v>0</v>
      </c>
    </row>
    <row r="414" ht="14.25" customHeight="1" s="127">
      <c r="A414" t="str">
        <f>IF(对接源_01水果!$C414="","",对接源_01水果!$C414)</f>
        <v>努尔敦</v>
      </c>
      <c r="B414">
        <f>IF(A414="",0,IF(MATCH(A414,$A$4:$A$2403,0)=ROW()-3,1,0))</f>
        <v>0</v>
      </c>
      <c r="C414">
        <f>N(C413)+B414</f>
        <v>21</v>
      </c>
      <c r="K414">
        <f>IF(OR($K$1="",对接源_01水果!$C414="",对接源_01水果!$C414&lt;&gt;$K$1,对接源_01水果!$B414=""),0,IF(OR(N(对接源_01水果!$B414)&lt;$K$2,N(对接源_01水果!$B414)&gt;$K$3),0,1))</f>
        <v>0</v>
      </c>
      <c r="L414">
        <f>IF(OR($L$1="",对接源_01水果!$C414="",对接源_01水果!$C414&lt;&gt;$L$1,对接源_01水果!$B414=""),0,IF(OR(N(对接源_01水果!$B414)&lt;$L$2,N(对接源_01水果!$B414)&gt;$L$3),0,1))</f>
        <v>0</v>
      </c>
      <c r="M414">
        <f>IF(OR($M$1="",对接源_01水果!$C414="",对接源_01水果!$C414&lt;&gt;$M$1,对接源_01水果!$B414=""),0,IF(OR(N(对接源_01水果!$B414)&lt;$M$2,N(对接源_01水果!$B414)&gt;$M$3),0,1))</f>
        <v>0</v>
      </c>
      <c r="N414">
        <f>IF(OR($N$1="",对接源_01水果!$C414="",对接源_01水果!$C414&lt;&gt;$N$1,对接源_01水果!$B414=""),0,IF(OR(N(对接源_01水果!$B414)&lt;$N$2,N(对接源_01水果!$B414)&gt;$N$3),0,1))</f>
        <v>0</v>
      </c>
      <c r="P414">
        <f>IF(AND($K414=1,AND(对接源_01水果!$X414="公司筐",N(对接源_01水果!$T414)&lt;&gt;0)),1,0)</f>
        <v>0</v>
      </c>
      <c r="Q414">
        <f>N(Q413)+$P414</f>
        <v>0</v>
      </c>
      <c r="R414">
        <f>IF(AND($K414=1,AND(对接源_01水果!$X414="公司筐",N(对接源_01水果!$U414)&lt;&gt;0)),1,0)</f>
        <v>0</v>
      </c>
      <c r="S414">
        <f>N(S413)+$R414</f>
        <v>0</v>
      </c>
      <c r="T414">
        <f>IF(AND($K414=1,AND(对接源_01水果!$X414="公司筐",N(对接源_01水果!$V414)&lt;&gt;0)),1,0)</f>
        <v>0</v>
      </c>
      <c r="U414">
        <f>N(U413)+$T414</f>
        <v>34</v>
      </c>
      <c r="V414">
        <f>IF(AND($L414=1,AND(对接源_01水果!$X414="自备筐",N(对接源_01水果!$V414)&lt;&gt;0)),1,0)</f>
        <v>0</v>
      </c>
      <c r="W414">
        <f>N(W413)+$V414</f>
        <v>11</v>
      </c>
      <c r="X414">
        <f>IF(AND($L414=1,AND(对接源_01水果!$X414="自备筐",N(对接源_01水果!$T414)&lt;&gt;0)),1,0)</f>
        <v>0</v>
      </c>
      <c r="Y414">
        <f>N(Y413)+$X414</f>
        <v>0</v>
      </c>
      <c r="Z414">
        <f>IF(AND($M414=1,对接源_01水果!$D414="原料入库"),1,0)</f>
        <v>0</v>
      </c>
      <c r="AA414">
        <f>N(AA413)+$Z414</f>
        <v>24</v>
      </c>
      <c r="AB414">
        <f>IF(AND($M414=1,LEFT(对接源_01水果!$D414,4)="原料出库"),1,0)</f>
        <v>0</v>
      </c>
      <c r="AC414">
        <f>N(AC413)+$AB414</f>
        <v>0</v>
      </c>
      <c r="AD414">
        <f>IF(AND($M414=1,LEFT(对接源_01水果!$D414,4)="成品出库"),1,0)</f>
        <v>0</v>
      </c>
      <c r="AE414">
        <f>N(AE413)+$AD414</f>
        <v>0</v>
      </c>
      <c r="AF414">
        <f>IF(AND($N414=1,AND(LEFT(对接源_01水果!$D414,4)="包装物料",N(对接源_01水果!$K414)&lt;&gt;0)),1,0)</f>
        <v>0</v>
      </c>
      <c r="AG414">
        <f>N(AG413)+$AF414</f>
        <v>0</v>
      </c>
      <c r="AH414">
        <f>IF(AND($N414=1,AND(对接源_01水果!$D414="周转筐－销售出库",N(对接源_01水果!$K414)&lt;&gt;0)),1,0)</f>
        <v>0</v>
      </c>
      <c r="AI414">
        <f>N(AI413)+$AH414</f>
        <v>0</v>
      </c>
      <c r="AJ414" s="7" t="n"/>
      <c r="AL414">
        <f>IF(OR($AL$1="",对接源_01水果!$Y414="",对接源_01水果!$Y414&lt;&gt;$AL$1,对接源_01水果!$B414="",N(对接源_01水果!$AJ414)&lt;=0),0,IF(OR(N(对接源_01水果!$B414)&lt;$AL$2,N(对接源_01水果!$B414)&gt;$AL$3),0,1))</f>
        <v>0</v>
      </c>
      <c r="AM414">
        <f>N(AM413)+$AL414</f>
        <v>0</v>
      </c>
      <c r="AN414">
        <f>IF(对接源_01水果!$AC414="","",对接源_01水果!$AC414)</f>
      </c>
      <c r="AO414">
        <f>IF(AN414="",0,IF(MATCH(AN414,$AN$4:$AN$1203,0)=ROW()-3,1,0))</f>
        <v>0</v>
      </c>
      <c r="AP414">
        <f>N(AP413)+$AO414</f>
        <v>0</v>
      </c>
      <c r="AR414">
        <f>IF(OR($AF414=1,$AH414=1),1,0)</f>
        <v>0</v>
      </c>
      <c r="AS414">
        <f>N(AS413)+$AR414</f>
        <v>0</v>
      </c>
    </row>
    <row r="415" ht="14.25" customHeight="1" s="127">
      <c r="A415" t="str">
        <f>IF(对接源_01水果!$C415="","",对接源_01水果!$C415)</f>
        <v>努尔敦</v>
      </c>
      <c r="B415">
        <f>IF(A415="",0,IF(MATCH(A415,$A$4:$A$2403,0)=ROW()-3,1,0))</f>
        <v>0</v>
      </c>
      <c r="C415">
        <f>N(C414)+B415</f>
        <v>21</v>
      </c>
      <c r="K415">
        <f>IF(OR($K$1="",对接源_01水果!$C415="",对接源_01水果!$C415&lt;&gt;$K$1,对接源_01水果!$B415=""),0,IF(OR(N(对接源_01水果!$B415)&lt;$K$2,N(对接源_01水果!$B415)&gt;$K$3),0,1))</f>
        <v>0</v>
      </c>
      <c r="L415">
        <f>IF(OR($L$1="",对接源_01水果!$C415="",对接源_01水果!$C415&lt;&gt;$L$1,对接源_01水果!$B415=""),0,IF(OR(N(对接源_01水果!$B415)&lt;$L$2,N(对接源_01水果!$B415)&gt;$L$3),0,1))</f>
        <v>0</v>
      </c>
      <c r="M415">
        <f>IF(OR($M$1="",对接源_01水果!$C415="",对接源_01水果!$C415&lt;&gt;$M$1,对接源_01水果!$B415=""),0,IF(OR(N(对接源_01水果!$B415)&lt;$M$2,N(对接源_01水果!$B415)&gt;$M$3),0,1))</f>
        <v>0</v>
      </c>
      <c r="N415">
        <f>IF(OR($N$1="",对接源_01水果!$C415="",对接源_01水果!$C415&lt;&gt;$N$1,对接源_01水果!$B415=""),0,IF(OR(N(对接源_01水果!$B415)&lt;$N$2,N(对接源_01水果!$B415)&gt;$N$3),0,1))</f>
        <v>0</v>
      </c>
      <c r="P415">
        <f>IF(AND($K415=1,AND(对接源_01水果!$X415="公司筐",N(对接源_01水果!$T415)&lt;&gt;0)),1,0)</f>
        <v>0</v>
      </c>
      <c r="Q415">
        <f>N(Q414)+$P415</f>
        <v>0</v>
      </c>
      <c r="R415">
        <f>IF(AND($K415=1,AND(对接源_01水果!$X415="公司筐",N(对接源_01水果!$U415)&lt;&gt;0)),1,0)</f>
        <v>0</v>
      </c>
      <c r="S415">
        <f>N(S414)+$R415</f>
        <v>0</v>
      </c>
      <c r="T415">
        <f>IF(AND($K415=1,AND(对接源_01水果!$X415="公司筐",N(对接源_01水果!$V415)&lt;&gt;0)),1,0)</f>
        <v>0</v>
      </c>
      <c r="U415">
        <f>N(U414)+$T415</f>
        <v>34</v>
      </c>
      <c r="V415">
        <f>IF(AND($L415=1,AND(对接源_01水果!$X415="自备筐",N(对接源_01水果!$V415)&lt;&gt;0)),1,0)</f>
        <v>0</v>
      </c>
      <c r="W415">
        <f>N(W414)+$V415</f>
        <v>11</v>
      </c>
      <c r="X415">
        <f>IF(AND($L415=1,AND(对接源_01水果!$X415="自备筐",N(对接源_01水果!$T415)&lt;&gt;0)),1,0)</f>
        <v>0</v>
      </c>
      <c r="Y415">
        <f>N(Y414)+$X415</f>
        <v>0</v>
      </c>
      <c r="Z415">
        <f>IF(AND($M415=1,对接源_01水果!$D415="原料入库"),1,0)</f>
        <v>0</v>
      </c>
      <c r="AA415">
        <f>N(AA414)+$Z415</f>
        <v>24</v>
      </c>
      <c r="AB415">
        <f>IF(AND($M415=1,LEFT(对接源_01水果!$D415,4)="原料出库"),1,0)</f>
        <v>0</v>
      </c>
      <c r="AC415">
        <f>N(AC414)+$AB415</f>
        <v>0</v>
      </c>
      <c r="AD415">
        <f>IF(AND($M415=1,LEFT(对接源_01水果!$D415,4)="成品出库"),1,0)</f>
        <v>0</v>
      </c>
      <c r="AE415">
        <f>N(AE414)+$AD415</f>
        <v>0</v>
      </c>
      <c r="AF415">
        <f>IF(AND($N415=1,AND(LEFT(对接源_01水果!$D415,4)="包装物料",N(对接源_01水果!$K415)&lt;&gt;0)),1,0)</f>
        <v>0</v>
      </c>
      <c r="AG415">
        <f>N(AG414)+$AF415</f>
        <v>0</v>
      </c>
      <c r="AH415">
        <f>IF(AND($N415=1,AND(对接源_01水果!$D415="周转筐－销售出库",N(对接源_01水果!$K415)&lt;&gt;0)),1,0)</f>
        <v>0</v>
      </c>
      <c r="AI415">
        <f>N(AI414)+$AH415</f>
        <v>0</v>
      </c>
      <c r="AJ415" s="7" t="n"/>
      <c r="AL415">
        <f>IF(OR($AL$1="",对接源_01水果!$Y415="",对接源_01水果!$Y415&lt;&gt;$AL$1,对接源_01水果!$B415="",N(对接源_01水果!$AJ415)&lt;=0),0,IF(OR(N(对接源_01水果!$B415)&lt;$AL$2,N(对接源_01水果!$B415)&gt;$AL$3),0,1))</f>
        <v>0</v>
      </c>
      <c r="AM415">
        <f>N(AM414)+$AL415</f>
        <v>0</v>
      </c>
      <c r="AN415">
        <f>IF(对接源_01水果!$AC415="","",对接源_01水果!$AC415)</f>
      </c>
      <c r="AO415">
        <f>IF(AN415="",0,IF(MATCH(AN415,$AN$4:$AN$1203,0)=ROW()-3,1,0))</f>
        <v>0</v>
      </c>
      <c r="AP415">
        <f>N(AP414)+$AO415</f>
        <v>0</v>
      </c>
      <c r="AR415">
        <f>IF(OR($AF415=1,$AH415=1),1,0)</f>
        <v>0</v>
      </c>
      <c r="AS415">
        <f>N(AS414)+$AR415</f>
        <v>0</v>
      </c>
    </row>
    <row r="416" ht="14.25" customHeight="1" s="127">
      <c r="A416" t="str">
        <f>IF(对接源_01水果!$C416="","",对接源_01水果!$C416)</f>
        <v>努尔敦</v>
      </c>
      <c r="B416">
        <f>IF(A416="",0,IF(MATCH(A416,$A$4:$A$2403,0)=ROW()-3,1,0))</f>
        <v>0</v>
      </c>
      <c r="C416">
        <f>N(C415)+B416</f>
        <v>21</v>
      </c>
      <c r="K416">
        <f>IF(OR($K$1="",对接源_01水果!$C416="",对接源_01水果!$C416&lt;&gt;$K$1,对接源_01水果!$B416=""),0,IF(OR(N(对接源_01水果!$B416)&lt;$K$2,N(对接源_01水果!$B416)&gt;$K$3),0,1))</f>
        <v>0</v>
      </c>
      <c r="L416">
        <f>IF(OR($L$1="",对接源_01水果!$C416="",对接源_01水果!$C416&lt;&gt;$L$1,对接源_01水果!$B416=""),0,IF(OR(N(对接源_01水果!$B416)&lt;$L$2,N(对接源_01水果!$B416)&gt;$L$3),0,1))</f>
        <v>0</v>
      </c>
      <c r="M416">
        <f>IF(OR($M$1="",对接源_01水果!$C416="",对接源_01水果!$C416&lt;&gt;$M$1,对接源_01水果!$B416=""),0,IF(OR(N(对接源_01水果!$B416)&lt;$M$2,N(对接源_01水果!$B416)&gt;$M$3),0,1))</f>
        <v>0</v>
      </c>
      <c r="N416">
        <f>IF(OR($N$1="",对接源_01水果!$C416="",对接源_01水果!$C416&lt;&gt;$N$1,对接源_01水果!$B416=""),0,IF(OR(N(对接源_01水果!$B416)&lt;$N$2,N(对接源_01水果!$B416)&gt;$N$3),0,1))</f>
        <v>0</v>
      </c>
      <c r="P416">
        <f>IF(AND($K416=1,AND(对接源_01水果!$X416="公司筐",N(对接源_01水果!$T416)&lt;&gt;0)),1,0)</f>
        <v>0</v>
      </c>
      <c r="Q416">
        <f>N(Q415)+$P416</f>
        <v>0</v>
      </c>
      <c r="R416">
        <f>IF(AND($K416=1,AND(对接源_01水果!$X416="公司筐",N(对接源_01水果!$U416)&lt;&gt;0)),1,0)</f>
        <v>0</v>
      </c>
      <c r="S416">
        <f>N(S415)+$R416</f>
        <v>0</v>
      </c>
      <c r="T416">
        <f>IF(AND($K416=1,AND(对接源_01水果!$X416="公司筐",N(对接源_01水果!$V416)&lt;&gt;0)),1,0)</f>
        <v>0</v>
      </c>
      <c r="U416">
        <f>N(U415)+$T416</f>
        <v>34</v>
      </c>
      <c r="V416">
        <f>IF(AND($L416=1,AND(对接源_01水果!$X416="自备筐",N(对接源_01水果!$V416)&lt;&gt;0)),1,0)</f>
        <v>0</v>
      </c>
      <c r="W416">
        <f>N(W415)+$V416</f>
        <v>11</v>
      </c>
      <c r="X416">
        <f>IF(AND($L416=1,AND(对接源_01水果!$X416="自备筐",N(对接源_01水果!$T416)&lt;&gt;0)),1,0)</f>
        <v>0</v>
      </c>
      <c r="Y416">
        <f>N(Y415)+$X416</f>
        <v>0</v>
      </c>
      <c r="Z416">
        <f>IF(AND($M416=1,对接源_01水果!$D416="原料入库"),1,0)</f>
        <v>0</v>
      </c>
      <c r="AA416">
        <f>N(AA415)+$Z416</f>
        <v>24</v>
      </c>
      <c r="AB416">
        <f>IF(AND($M416=1,LEFT(对接源_01水果!$D416,4)="原料出库"),1,0)</f>
        <v>0</v>
      </c>
      <c r="AC416">
        <f>N(AC415)+$AB416</f>
        <v>0</v>
      </c>
      <c r="AD416">
        <f>IF(AND($M416=1,LEFT(对接源_01水果!$D416,4)="成品出库"),1,0)</f>
        <v>0</v>
      </c>
      <c r="AE416">
        <f>N(AE415)+$AD416</f>
        <v>0</v>
      </c>
      <c r="AF416">
        <f>IF(AND($N416=1,AND(LEFT(对接源_01水果!$D416,4)="包装物料",N(对接源_01水果!$K416)&lt;&gt;0)),1,0)</f>
        <v>0</v>
      </c>
      <c r="AG416">
        <f>N(AG415)+$AF416</f>
        <v>0</v>
      </c>
      <c r="AH416">
        <f>IF(AND($N416=1,AND(对接源_01水果!$D416="周转筐－销售出库",N(对接源_01水果!$K416)&lt;&gt;0)),1,0)</f>
        <v>0</v>
      </c>
      <c r="AI416">
        <f>N(AI415)+$AH416</f>
        <v>0</v>
      </c>
      <c r="AJ416" s="7" t="n"/>
      <c r="AL416">
        <f>IF(OR($AL$1="",对接源_01水果!$Y416="",对接源_01水果!$Y416&lt;&gt;$AL$1,对接源_01水果!$B416="",N(对接源_01水果!$AJ416)&lt;=0),0,IF(OR(N(对接源_01水果!$B416)&lt;$AL$2,N(对接源_01水果!$B416)&gt;$AL$3),0,1))</f>
        <v>0</v>
      </c>
      <c r="AM416">
        <f>N(AM415)+$AL416</f>
        <v>0</v>
      </c>
      <c r="AN416">
        <f>IF(对接源_01水果!$AC416="","",对接源_01水果!$AC416)</f>
      </c>
      <c r="AO416">
        <f>IF(AN416="",0,IF(MATCH(AN416,$AN$4:$AN$1203,0)=ROW()-3,1,0))</f>
        <v>0</v>
      </c>
      <c r="AP416">
        <f>N(AP415)+$AO416</f>
        <v>0</v>
      </c>
      <c r="AR416">
        <f>IF(OR($AF416=1,$AH416=1),1,0)</f>
        <v>0</v>
      </c>
      <c r="AS416">
        <f>N(AS415)+$AR416</f>
        <v>0</v>
      </c>
    </row>
    <row r="417" ht="14.25" customHeight="1" s="127">
      <c r="A417" t="str">
        <f>IF(对接源_01水果!$C417="","",对接源_01水果!$C417)</f>
        <v>努尔敦</v>
      </c>
      <c r="B417">
        <f>IF(A417="",0,IF(MATCH(A417,$A$4:$A$2403,0)=ROW()-3,1,0))</f>
        <v>0</v>
      </c>
      <c r="C417">
        <f>N(C416)+B417</f>
        <v>21</v>
      </c>
      <c r="K417">
        <f>IF(OR($K$1="",对接源_01水果!$C417="",对接源_01水果!$C417&lt;&gt;$K$1,对接源_01水果!$B417=""),0,IF(OR(N(对接源_01水果!$B417)&lt;$K$2,N(对接源_01水果!$B417)&gt;$K$3),0,1))</f>
        <v>0</v>
      </c>
      <c r="L417">
        <f>IF(OR($L$1="",对接源_01水果!$C417="",对接源_01水果!$C417&lt;&gt;$L$1,对接源_01水果!$B417=""),0,IF(OR(N(对接源_01水果!$B417)&lt;$L$2,N(对接源_01水果!$B417)&gt;$L$3),0,1))</f>
        <v>0</v>
      </c>
      <c r="M417">
        <f>IF(OR($M$1="",对接源_01水果!$C417="",对接源_01水果!$C417&lt;&gt;$M$1,对接源_01水果!$B417=""),0,IF(OR(N(对接源_01水果!$B417)&lt;$M$2,N(对接源_01水果!$B417)&gt;$M$3),0,1))</f>
        <v>0</v>
      </c>
      <c r="N417">
        <f>IF(OR($N$1="",对接源_01水果!$C417="",对接源_01水果!$C417&lt;&gt;$N$1,对接源_01水果!$B417=""),0,IF(OR(N(对接源_01水果!$B417)&lt;$N$2,N(对接源_01水果!$B417)&gt;$N$3),0,1))</f>
        <v>0</v>
      </c>
      <c r="P417">
        <f>IF(AND($K417=1,AND(对接源_01水果!$X417="公司筐",N(对接源_01水果!$T417)&lt;&gt;0)),1,0)</f>
        <v>0</v>
      </c>
      <c r="Q417">
        <f>N(Q416)+$P417</f>
        <v>0</v>
      </c>
      <c r="R417">
        <f>IF(AND($K417=1,AND(对接源_01水果!$X417="公司筐",N(对接源_01水果!$U417)&lt;&gt;0)),1,0)</f>
        <v>0</v>
      </c>
      <c r="S417">
        <f>N(S416)+$R417</f>
        <v>0</v>
      </c>
      <c r="T417">
        <f>IF(AND($K417=1,AND(对接源_01水果!$X417="公司筐",N(对接源_01水果!$V417)&lt;&gt;0)),1,0)</f>
        <v>0</v>
      </c>
      <c r="U417">
        <f>N(U416)+$T417</f>
        <v>34</v>
      </c>
      <c r="V417">
        <f>IF(AND($L417=1,AND(对接源_01水果!$X417="自备筐",N(对接源_01水果!$V417)&lt;&gt;0)),1,0)</f>
        <v>0</v>
      </c>
      <c r="W417">
        <f>N(W416)+$V417</f>
        <v>11</v>
      </c>
      <c r="X417">
        <f>IF(AND($L417=1,AND(对接源_01水果!$X417="自备筐",N(对接源_01水果!$T417)&lt;&gt;0)),1,0)</f>
        <v>0</v>
      </c>
      <c r="Y417">
        <f>N(Y416)+$X417</f>
        <v>0</v>
      </c>
      <c r="Z417">
        <f>IF(AND($M417=1,对接源_01水果!$D417="原料入库"),1,0)</f>
        <v>0</v>
      </c>
      <c r="AA417">
        <f>N(AA416)+$Z417</f>
        <v>24</v>
      </c>
      <c r="AB417">
        <f>IF(AND($M417=1,LEFT(对接源_01水果!$D417,4)="原料出库"),1,0)</f>
        <v>0</v>
      </c>
      <c r="AC417">
        <f>N(AC416)+$AB417</f>
        <v>0</v>
      </c>
      <c r="AD417">
        <f>IF(AND($M417=1,LEFT(对接源_01水果!$D417,4)="成品出库"),1,0)</f>
        <v>0</v>
      </c>
      <c r="AE417">
        <f>N(AE416)+$AD417</f>
        <v>0</v>
      </c>
      <c r="AF417">
        <f>IF(AND($N417=1,AND(LEFT(对接源_01水果!$D417,4)="包装物料",N(对接源_01水果!$K417)&lt;&gt;0)),1,0)</f>
        <v>0</v>
      </c>
      <c r="AG417">
        <f>N(AG416)+$AF417</f>
        <v>0</v>
      </c>
      <c r="AH417">
        <f>IF(AND($N417=1,AND(对接源_01水果!$D417="周转筐－销售出库",N(对接源_01水果!$K417)&lt;&gt;0)),1,0)</f>
        <v>0</v>
      </c>
      <c r="AI417">
        <f>N(AI416)+$AH417</f>
        <v>0</v>
      </c>
      <c r="AJ417" s="7" t="n"/>
      <c r="AL417">
        <f>IF(OR($AL$1="",对接源_01水果!$Y417="",对接源_01水果!$Y417&lt;&gt;$AL$1,对接源_01水果!$B417="",N(对接源_01水果!$AJ417)&lt;=0),0,IF(OR(N(对接源_01水果!$B417)&lt;$AL$2,N(对接源_01水果!$B417)&gt;$AL$3),0,1))</f>
        <v>0</v>
      </c>
      <c r="AM417">
        <f>N(AM416)+$AL417</f>
        <v>0</v>
      </c>
      <c r="AN417">
        <f>IF(对接源_01水果!$AC417="","",对接源_01水果!$AC417)</f>
      </c>
      <c r="AO417">
        <f>IF(AN417="",0,IF(MATCH(AN417,$AN$4:$AN$1203,0)=ROW()-3,1,0))</f>
        <v>0</v>
      </c>
      <c r="AP417">
        <f>N(AP416)+$AO417</f>
        <v>0</v>
      </c>
      <c r="AR417">
        <f>IF(OR($AF417=1,$AH417=1),1,0)</f>
        <v>0</v>
      </c>
      <c r="AS417">
        <f>N(AS416)+$AR417</f>
        <v>0</v>
      </c>
    </row>
    <row r="418" ht="14.25" customHeight="1" s="127">
      <c r="A418" t="str">
        <f>IF(对接源_01水果!$C418="","",对接源_01水果!$C418)</f>
        <v>努尔敦</v>
      </c>
      <c r="B418">
        <f>IF(A418="",0,IF(MATCH(A418,$A$4:$A$2403,0)=ROW()-3,1,0))</f>
        <v>0</v>
      </c>
      <c r="C418">
        <f>N(C417)+B418</f>
        <v>21</v>
      </c>
      <c r="K418">
        <f>IF(OR($K$1="",对接源_01水果!$C418="",对接源_01水果!$C418&lt;&gt;$K$1,对接源_01水果!$B418=""),0,IF(OR(N(对接源_01水果!$B418)&lt;$K$2,N(对接源_01水果!$B418)&gt;$K$3),0,1))</f>
        <v>0</v>
      </c>
      <c r="L418">
        <f>IF(OR($L$1="",对接源_01水果!$C418="",对接源_01水果!$C418&lt;&gt;$L$1,对接源_01水果!$B418=""),0,IF(OR(N(对接源_01水果!$B418)&lt;$L$2,N(对接源_01水果!$B418)&gt;$L$3),0,1))</f>
        <v>0</v>
      </c>
      <c r="M418">
        <f>IF(OR($M$1="",对接源_01水果!$C418="",对接源_01水果!$C418&lt;&gt;$M$1,对接源_01水果!$B418=""),0,IF(OR(N(对接源_01水果!$B418)&lt;$M$2,N(对接源_01水果!$B418)&gt;$M$3),0,1))</f>
        <v>0</v>
      </c>
      <c r="N418">
        <f>IF(OR($N$1="",对接源_01水果!$C418="",对接源_01水果!$C418&lt;&gt;$N$1,对接源_01水果!$B418=""),0,IF(OR(N(对接源_01水果!$B418)&lt;$N$2,N(对接源_01水果!$B418)&gt;$N$3),0,1))</f>
        <v>0</v>
      </c>
      <c r="P418">
        <f>IF(AND($K418=1,AND(对接源_01水果!$X418="公司筐",N(对接源_01水果!$T418)&lt;&gt;0)),1,0)</f>
        <v>0</v>
      </c>
      <c r="Q418">
        <f>N(Q417)+$P418</f>
        <v>0</v>
      </c>
      <c r="R418">
        <f>IF(AND($K418=1,AND(对接源_01水果!$X418="公司筐",N(对接源_01水果!$U418)&lt;&gt;0)),1,0)</f>
        <v>0</v>
      </c>
      <c r="S418">
        <f>N(S417)+$R418</f>
        <v>0</v>
      </c>
      <c r="T418">
        <f>IF(AND($K418=1,AND(对接源_01水果!$X418="公司筐",N(对接源_01水果!$V418)&lt;&gt;0)),1,0)</f>
        <v>0</v>
      </c>
      <c r="U418">
        <f>N(U417)+$T418</f>
        <v>34</v>
      </c>
      <c r="V418">
        <f>IF(AND($L418=1,AND(对接源_01水果!$X418="自备筐",N(对接源_01水果!$V418)&lt;&gt;0)),1,0)</f>
        <v>0</v>
      </c>
      <c r="W418">
        <f>N(W417)+$V418</f>
        <v>11</v>
      </c>
      <c r="X418">
        <f>IF(AND($L418=1,AND(对接源_01水果!$X418="自备筐",N(对接源_01水果!$T418)&lt;&gt;0)),1,0)</f>
        <v>0</v>
      </c>
      <c r="Y418">
        <f>N(Y417)+$X418</f>
        <v>0</v>
      </c>
      <c r="Z418">
        <f>IF(AND($M418=1,对接源_01水果!$D418="原料入库"),1,0)</f>
        <v>0</v>
      </c>
      <c r="AA418">
        <f>N(AA417)+$Z418</f>
        <v>24</v>
      </c>
      <c r="AB418">
        <f>IF(AND($M418=1,LEFT(对接源_01水果!$D418,4)="原料出库"),1,0)</f>
        <v>0</v>
      </c>
      <c r="AC418">
        <f>N(AC417)+$AB418</f>
        <v>0</v>
      </c>
      <c r="AD418">
        <f>IF(AND($M418=1,LEFT(对接源_01水果!$D418,4)="成品出库"),1,0)</f>
        <v>0</v>
      </c>
      <c r="AE418">
        <f>N(AE417)+$AD418</f>
        <v>0</v>
      </c>
      <c r="AF418">
        <f>IF(AND($N418=1,AND(LEFT(对接源_01水果!$D418,4)="包装物料",N(对接源_01水果!$K418)&lt;&gt;0)),1,0)</f>
        <v>0</v>
      </c>
      <c r="AG418">
        <f>N(AG417)+$AF418</f>
        <v>0</v>
      </c>
      <c r="AH418">
        <f>IF(AND($N418=1,AND(对接源_01水果!$D418="周转筐－销售出库",N(对接源_01水果!$K418)&lt;&gt;0)),1,0)</f>
        <v>0</v>
      </c>
      <c r="AI418">
        <f>N(AI417)+$AH418</f>
        <v>0</v>
      </c>
      <c r="AJ418" s="7" t="n"/>
      <c r="AL418">
        <f>IF(OR($AL$1="",对接源_01水果!$Y418="",对接源_01水果!$Y418&lt;&gt;$AL$1,对接源_01水果!$B418="",N(对接源_01水果!$AJ418)&lt;=0),0,IF(OR(N(对接源_01水果!$B418)&lt;$AL$2,N(对接源_01水果!$B418)&gt;$AL$3),0,1))</f>
        <v>0</v>
      </c>
      <c r="AM418">
        <f>N(AM417)+$AL418</f>
        <v>0</v>
      </c>
      <c r="AN418">
        <f>IF(对接源_01水果!$AC418="","",对接源_01水果!$AC418)</f>
      </c>
      <c r="AO418">
        <f>IF(AN418="",0,IF(MATCH(AN418,$AN$4:$AN$1203,0)=ROW()-3,1,0))</f>
        <v>0</v>
      </c>
      <c r="AP418">
        <f>N(AP417)+$AO418</f>
        <v>0</v>
      </c>
      <c r="AR418">
        <f>IF(OR($AF418=1,$AH418=1),1,0)</f>
        <v>0</v>
      </c>
      <c r="AS418">
        <f>N(AS417)+$AR418</f>
        <v>0</v>
      </c>
    </row>
    <row r="419" ht="14.25" customHeight="1" s="127">
      <c r="A419" t="str">
        <f>IF(对接源_01水果!$C419="","",对接源_01水果!$C419)</f>
        <v>王灵云</v>
      </c>
      <c r="B419">
        <f>IF(A419="",0,IF(MATCH(A419,$A$4:$A$2403,0)=ROW()-3,1,0))</f>
        <v>0</v>
      </c>
      <c r="C419">
        <f>N(C418)+B419</f>
        <v>21</v>
      </c>
      <c r="K419">
        <f>IF(OR($K$1="",对接源_01水果!$C419="",对接源_01水果!$C419&lt;&gt;$K$1,对接源_01水果!$B419=""),0,IF(OR(N(对接源_01水果!$B419)&lt;$K$2,N(对接源_01水果!$B419)&gt;$K$3),0,1))</f>
        <v>1</v>
      </c>
      <c r="L419">
        <f>IF(OR($L$1="",对接源_01水果!$C419="",对接源_01水果!$C419&lt;&gt;$L$1,对接源_01水果!$B419=""),0,IF(OR(N(对接源_01水果!$B419)&lt;$L$2,N(对接源_01水果!$B419)&gt;$L$3),0,1))</f>
        <v>0</v>
      </c>
      <c r="M419">
        <f>IF(OR($M$1="",对接源_01水果!$C419="",对接源_01水果!$C419&lt;&gt;$M$1,对接源_01水果!$B419=""),0,IF(OR(N(对接源_01水果!$B419)&lt;$M$2,N(对接源_01水果!$B419)&gt;$M$3),0,1))</f>
        <v>0</v>
      </c>
      <c r="N419">
        <f>IF(OR($N$1="",对接源_01水果!$C419="",对接源_01水果!$C419&lt;&gt;$N$1,对接源_01水果!$B419=""),0,IF(OR(N(对接源_01水果!$B419)&lt;$N$2,N(对接源_01水果!$B419)&gt;$N$3),0,1))</f>
        <v>0</v>
      </c>
      <c r="P419">
        <f>IF(AND($K419=1,AND(对接源_01水果!$X419="公司筐",N(对接源_01水果!$T419)&lt;&gt;0)),1,0)</f>
        <v>0</v>
      </c>
      <c r="Q419">
        <f>N(Q418)+$P419</f>
        <v>0</v>
      </c>
      <c r="R419">
        <f>IF(AND($K419=1,AND(对接源_01水果!$X419="公司筐",N(对接源_01水果!$U419)&lt;&gt;0)),1,0)</f>
        <v>0</v>
      </c>
      <c r="S419">
        <f>N(S418)+$R419</f>
        <v>0</v>
      </c>
      <c r="T419">
        <f>IF(AND($K419=1,AND(对接源_01水果!$X419="公司筐",N(对接源_01水果!$V419)&lt;&gt;0)),1,0)</f>
        <v>1</v>
      </c>
      <c r="U419">
        <f>N(U418)+$T419</f>
        <v>35</v>
      </c>
      <c r="V419">
        <f>IF(AND($L419=1,AND(对接源_01水果!$X419="自备筐",N(对接源_01水果!$V419)&lt;&gt;0)),1,0)</f>
        <v>0</v>
      </c>
      <c r="W419">
        <f>N(W418)+$V419</f>
        <v>11</v>
      </c>
      <c r="X419">
        <f>IF(AND($L419=1,AND(对接源_01水果!$X419="自备筐",N(对接源_01水果!$T419)&lt;&gt;0)),1,0)</f>
        <v>0</v>
      </c>
      <c r="Y419">
        <f>N(Y418)+$X419</f>
        <v>0</v>
      </c>
      <c r="Z419">
        <f>IF(AND($M419=1,对接源_01水果!$D419="原料入库"),1,0)</f>
        <v>0</v>
      </c>
      <c r="AA419">
        <f>N(AA418)+$Z419</f>
        <v>24</v>
      </c>
      <c r="AB419">
        <f>IF(AND($M419=1,LEFT(对接源_01水果!$D419,4)="原料出库"),1,0)</f>
        <v>0</v>
      </c>
      <c r="AC419">
        <f>N(AC418)+$AB419</f>
        <v>0</v>
      </c>
      <c r="AD419">
        <f>IF(AND($M419=1,LEFT(对接源_01水果!$D419,4)="成品出库"),1,0)</f>
        <v>0</v>
      </c>
      <c r="AE419">
        <f>N(AE418)+$AD419</f>
        <v>0</v>
      </c>
      <c r="AF419">
        <f>IF(AND($N419=1,AND(LEFT(对接源_01水果!$D419,4)="包装物料",N(对接源_01水果!$K419)&lt;&gt;0)),1,0)</f>
        <v>0</v>
      </c>
      <c r="AG419">
        <f>N(AG418)+$AF419</f>
        <v>0</v>
      </c>
      <c r="AH419">
        <f>IF(AND($N419=1,AND(对接源_01水果!$D419="周转筐－销售出库",N(对接源_01水果!$K419)&lt;&gt;0)),1,0)</f>
        <v>0</v>
      </c>
      <c r="AI419">
        <f>N(AI418)+$AH419</f>
        <v>0</v>
      </c>
      <c r="AJ419" s="7" t="n"/>
      <c r="AL419">
        <f>IF(OR($AL$1="",对接源_01水果!$Y419="",对接源_01水果!$Y419&lt;&gt;$AL$1,对接源_01水果!$B419="",N(对接源_01水果!$AJ419)&lt;=0),0,IF(OR(N(对接源_01水果!$B419)&lt;$AL$2,N(对接源_01水果!$B419)&gt;$AL$3),0,1))</f>
        <v>0</v>
      </c>
      <c r="AM419">
        <f>N(AM418)+$AL419</f>
        <v>0</v>
      </c>
      <c r="AN419">
        <f>IF(对接源_01水果!$AC419="","",对接源_01水果!$AC419)</f>
      </c>
      <c r="AO419">
        <f>IF(AN419="",0,IF(MATCH(AN419,$AN$4:$AN$1203,0)=ROW()-3,1,0))</f>
        <v>0</v>
      </c>
      <c r="AP419">
        <f>N(AP418)+$AO419</f>
        <v>0</v>
      </c>
      <c r="AR419">
        <f>IF(OR($AF419=1,$AH419=1),1,0)</f>
        <v>0</v>
      </c>
      <c r="AS419">
        <f>N(AS418)+$AR419</f>
        <v>0</v>
      </c>
    </row>
    <row r="420" ht="14.25" customHeight="1" s="127">
      <c r="A420" t="str">
        <f>IF(对接源_01水果!$C420="","",对接源_01水果!$C420)</f>
        <v>王灵云</v>
      </c>
      <c r="B420">
        <f>IF(A420="",0,IF(MATCH(A420,$A$4:$A$2403,0)=ROW()-3,1,0))</f>
        <v>0</v>
      </c>
      <c r="C420">
        <f>N(C419)+B420</f>
        <v>21</v>
      </c>
      <c r="K420">
        <f>IF(OR($K$1="",对接源_01水果!$C420="",对接源_01水果!$C420&lt;&gt;$K$1,对接源_01水果!$B420=""),0,IF(OR(N(对接源_01水果!$B420)&lt;$K$2,N(对接源_01水果!$B420)&gt;$K$3),0,1))</f>
        <v>1</v>
      </c>
      <c r="L420">
        <f>IF(OR($L$1="",对接源_01水果!$C420="",对接源_01水果!$C420&lt;&gt;$L$1,对接源_01水果!$B420=""),0,IF(OR(N(对接源_01水果!$B420)&lt;$L$2,N(对接源_01水果!$B420)&gt;$L$3),0,1))</f>
        <v>0</v>
      </c>
      <c r="M420">
        <f>IF(OR($M$1="",对接源_01水果!$C420="",对接源_01水果!$C420&lt;&gt;$M$1,对接源_01水果!$B420=""),0,IF(OR(N(对接源_01水果!$B420)&lt;$M$2,N(对接源_01水果!$B420)&gt;$M$3),0,1))</f>
        <v>0</v>
      </c>
      <c r="N420">
        <f>IF(OR($N$1="",对接源_01水果!$C420="",对接源_01水果!$C420&lt;&gt;$N$1,对接源_01水果!$B420=""),0,IF(OR(N(对接源_01水果!$B420)&lt;$N$2,N(对接源_01水果!$B420)&gt;$N$3),0,1))</f>
        <v>0</v>
      </c>
      <c r="P420">
        <f>IF(AND($K420=1,AND(对接源_01水果!$X420="公司筐",N(对接源_01水果!$T420)&lt;&gt;0)),1,0)</f>
        <v>0</v>
      </c>
      <c r="Q420">
        <f>N(Q419)+$P420</f>
        <v>0</v>
      </c>
      <c r="R420">
        <f>IF(AND($K420=1,AND(对接源_01水果!$X420="公司筐",N(对接源_01水果!$U420)&lt;&gt;0)),1,0)</f>
        <v>0</v>
      </c>
      <c r="S420">
        <f>N(S419)+$R420</f>
        <v>0</v>
      </c>
      <c r="T420">
        <f>IF(AND($K420=1,AND(对接源_01水果!$X420="公司筐",N(对接源_01水果!$V420)&lt;&gt;0)),1,0)</f>
        <v>1</v>
      </c>
      <c r="U420">
        <f>N(U419)+$T420</f>
        <v>36</v>
      </c>
      <c r="V420">
        <f>IF(AND($L420=1,AND(对接源_01水果!$X420="自备筐",N(对接源_01水果!$V420)&lt;&gt;0)),1,0)</f>
        <v>0</v>
      </c>
      <c r="W420">
        <f>N(W419)+$V420</f>
        <v>11</v>
      </c>
      <c r="X420">
        <f>IF(AND($L420=1,AND(对接源_01水果!$X420="自备筐",N(对接源_01水果!$T420)&lt;&gt;0)),1,0)</f>
        <v>0</v>
      </c>
      <c r="Y420">
        <f>N(Y419)+$X420</f>
        <v>0</v>
      </c>
      <c r="Z420">
        <f>IF(AND($M420=1,对接源_01水果!$D420="原料入库"),1,0)</f>
        <v>0</v>
      </c>
      <c r="AA420">
        <f>N(AA419)+$Z420</f>
        <v>24</v>
      </c>
      <c r="AB420">
        <f>IF(AND($M420=1,LEFT(对接源_01水果!$D420,4)="原料出库"),1,0)</f>
        <v>0</v>
      </c>
      <c r="AC420">
        <f>N(AC419)+$AB420</f>
        <v>0</v>
      </c>
      <c r="AD420">
        <f>IF(AND($M420=1,LEFT(对接源_01水果!$D420,4)="成品出库"),1,0)</f>
        <v>0</v>
      </c>
      <c r="AE420">
        <f>N(AE419)+$AD420</f>
        <v>0</v>
      </c>
      <c r="AF420">
        <f>IF(AND($N420=1,AND(LEFT(对接源_01水果!$D420,4)="包装物料",N(对接源_01水果!$K420)&lt;&gt;0)),1,0)</f>
        <v>0</v>
      </c>
      <c r="AG420">
        <f>N(AG419)+$AF420</f>
        <v>0</v>
      </c>
      <c r="AH420">
        <f>IF(AND($N420=1,AND(对接源_01水果!$D420="周转筐－销售出库",N(对接源_01水果!$K420)&lt;&gt;0)),1,0)</f>
        <v>0</v>
      </c>
      <c r="AI420">
        <f>N(AI419)+$AH420</f>
        <v>0</v>
      </c>
      <c r="AJ420" s="7" t="n"/>
      <c r="AL420">
        <f>IF(OR($AL$1="",对接源_01水果!$Y420="",对接源_01水果!$Y420&lt;&gt;$AL$1,对接源_01水果!$B420="",N(对接源_01水果!$AJ420)&lt;=0),0,IF(OR(N(对接源_01水果!$B420)&lt;$AL$2,N(对接源_01水果!$B420)&gt;$AL$3),0,1))</f>
        <v>0</v>
      </c>
      <c r="AM420">
        <f>N(AM419)+$AL420</f>
        <v>0</v>
      </c>
      <c r="AN420">
        <f>IF(对接源_01水果!$AC420="","",对接源_01水果!$AC420)</f>
      </c>
      <c r="AO420">
        <f>IF(AN420="",0,IF(MATCH(AN420,$AN$4:$AN$1203,0)=ROW()-3,1,0))</f>
        <v>0</v>
      </c>
      <c r="AP420">
        <f>N(AP419)+$AO420</f>
        <v>0</v>
      </c>
      <c r="AR420">
        <f>IF(OR($AF420=1,$AH420=1),1,0)</f>
        <v>0</v>
      </c>
      <c r="AS420">
        <f>N(AS419)+$AR420</f>
        <v>0</v>
      </c>
    </row>
    <row r="421" ht="14.25" customHeight="1" s="127">
      <c r="A421" t="str">
        <f>IF(对接源_01水果!$C421="","",对接源_01水果!$C421)</f>
        <v>王灵云</v>
      </c>
      <c r="B421">
        <f>IF(A421="",0,IF(MATCH(A421,$A$4:$A$2403,0)=ROW()-3,1,0))</f>
        <v>0</v>
      </c>
      <c r="C421">
        <f>N(C420)+B421</f>
        <v>21</v>
      </c>
      <c r="K421">
        <f>IF(OR($K$1="",对接源_01水果!$C421="",对接源_01水果!$C421&lt;&gt;$K$1,对接源_01水果!$B421=""),0,IF(OR(N(对接源_01水果!$B421)&lt;$K$2,N(对接源_01水果!$B421)&gt;$K$3),0,1))</f>
        <v>1</v>
      </c>
      <c r="L421">
        <f>IF(OR($L$1="",对接源_01水果!$C421="",对接源_01水果!$C421&lt;&gt;$L$1,对接源_01水果!$B421=""),0,IF(OR(N(对接源_01水果!$B421)&lt;$L$2,N(对接源_01水果!$B421)&gt;$L$3),0,1))</f>
        <v>0</v>
      </c>
      <c r="M421">
        <f>IF(OR($M$1="",对接源_01水果!$C421="",对接源_01水果!$C421&lt;&gt;$M$1,对接源_01水果!$B421=""),0,IF(OR(N(对接源_01水果!$B421)&lt;$M$2,N(对接源_01水果!$B421)&gt;$M$3),0,1))</f>
        <v>0</v>
      </c>
      <c r="N421">
        <f>IF(OR($N$1="",对接源_01水果!$C421="",对接源_01水果!$C421&lt;&gt;$N$1,对接源_01水果!$B421=""),0,IF(OR(N(对接源_01水果!$B421)&lt;$N$2,N(对接源_01水果!$B421)&gt;$N$3),0,1))</f>
        <v>0</v>
      </c>
      <c r="P421">
        <f>IF(AND($K421=1,AND(对接源_01水果!$X421="公司筐",N(对接源_01水果!$T421)&lt;&gt;0)),1,0)</f>
        <v>0</v>
      </c>
      <c r="Q421">
        <f>N(Q420)+$P421</f>
        <v>0</v>
      </c>
      <c r="R421">
        <f>IF(AND($K421=1,AND(对接源_01水果!$X421="公司筐",N(对接源_01水果!$U421)&lt;&gt;0)),1,0)</f>
        <v>0</v>
      </c>
      <c r="S421">
        <f>N(S420)+$R421</f>
        <v>0</v>
      </c>
      <c r="T421">
        <f>IF(AND($K421=1,AND(对接源_01水果!$X421="公司筐",N(对接源_01水果!$V421)&lt;&gt;0)),1,0)</f>
        <v>1</v>
      </c>
      <c r="U421">
        <f>N(U420)+$T421</f>
        <v>37</v>
      </c>
      <c r="V421">
        <f>IF(AND($L421=1,AND(对接源_01水果!$X421="自备筐",N(对接源_01水果!$V421)&lt;&gt;0)),1,0)</f>
        <v>0</v>
      </c>
      <c r="W421">
        <f>N(W420)+$V421</f>
        <v>11</v>
      </c>
      <c r="X421">
        <f>IF(AND($L421=1,AND(对接源_01水果!$X421="自备筐",N(对接源_01水果!$T421)&lt;&gt;0)),1,0)</f>
        <v>0</v>
      </c>
      <c r="Y421">
        <f>N(Y420)+$X421</f>
        <v>0</v>
      </c>
      <c r="Z421">
        <f>IF(AND($M421=1,对接源_01水果!$D421="原料入库"),1,0)</f>
        <v>0</v>
      </c>
      <c r="AA421">
        <f>N(AA420)+$Z421</f>
        <v>24</v>
      </c>
      <c r="AB421">
        <f>IF(AND($M421=1,LEFT(对接源_01水果!$D421,4)="原料出库"),1,0)</f>
        <v>0</v>
      </c>
      <c r="AC421">
        <f>N(AC420)+$AB421</f>
        <v>0</v>
      </c>
      <c r="AD421">
        <f>IF(AND($M421=1,LEFT(对接源_01水果!$D421,4)="成品出库"),1,0)</f>
        <v>0</v>
      </c>
      <c r="AE421">
        <f>N(AE420)+$AD421</f>
        <v>0</v>
      </c>
      <c r="AF421">
        <f>IF(AND($N421=1,AND(LEFT(对接源_01水果!$D421,4)="包装物料",N(对接源_01水果!$K421)&lt;&gt;0)),1,0)</f>
        <v>0</v>
      </c>
      <c r="AG421">
        <f>N(AG420)+$AF421</f>
        <v>0</v>
      </c>
      <c r="AH421">
        <f>IF(AND($N421=1,AND(对接源_01水果!$D421="周转筐－销售出库",N(对接源_01水果!$K421)&lt;&gt;0)),1,0)</f>
        <v>0</v>
      </c>
      <c r="AI421">
        <f>N(AI420)+$AH421</f>
        <v>0</v>
      </c>
      <c r="AJ421" s="7" t="n"/>
      <c r="AL421">
        <f>IF(OR($AL$1="",对接源_01水果!$Y421="",对接源_01水果!$Y421&lt;&gt;$AL$1,对接源_01水果!$B421="",N(对接源_01水果!$AJ421)&lt;=0),0,IF(OR(N(对接源_01水果!$B421)&lt;$AL$2,N(对接源_01水果!$B421)&gt;$AL$3),0,1))</f>
        <v>0</v>
      </c>
      <c r="AM421">
        <f>N(AM420)+$AL421</f>
        <v>0</v>
      </c>
      <c r="AN421">
        <f>IF(对接源_01水果!$AC421="","",对接源_01水果!$AC421)</f>
      </c>
      <c r="AO421">
        <f>IF(AN421="",0,IF(MATCH(AN421,$AN$4:$AN$1203,0)=ROW()-3,1,0))</f>
        <v>0</v>
      </c>
      <c r="AP421">
        <f>N(AP420)+$AO421</f>
        <v>0</v>
      </c>
      <c r="AR421">
        <f>IF(OR($AF421=1,$AH421=1),1,0)</f>
        <v>0</v>
      </c>
      <c r="AS421">
        <f>N(AS420)+$AR421</f>
        <v>0</v>
      </c>
    </row>
    <row r="422" ht="14.25" customHeight="1" s="127">
      <c r="A422" t="str">
        <f>IF(对接源_01水果!$C422="","",对接源_01水果!$C422)</f>
        <v>王灵云</v>
      </c>
      <c r="B422">
        <f>IF(A422="",0,IF(MATCH(A422,$A$4:$A$2403,0)=ROW()-3,1,0))</f>
        <v>0</v>
      </c>
      <c r="C422">
        <f>N(C421)+B422</f>
        <v>21</v>
      </c>
      <c r="K422">
        <f>IF(OR($K$1="",对接源_01水果!$C422="",对接源_01水果!$C422&lt;&gt;$K$1,对接源_01水果!$B422=""),0,IF(OR(N(对接源_01水果!$B422)&lt;$K$2,N(对接源_01水果!$B422)&gt;$K$3),0,1))</f>
        <v>1</v>
      </c>
      <c r="L422">
        <f>IF(OR($L$1="",对接源_01水果!$C422="",对接源_01水果!$C422&lt;&gt;$L$1,对接源_01水果!$B422=""),0,IF(OR(N(对接源_01水果!$B422)&lt;$L$2,N(对接源_01水果!$B422)&gt;$L$3),0,1))</f>
        <v>0</v>
      </c>
      <c r="M422">
        <f>IF(OR($M$1="",对接源_01水果!$C422="",对接源_01水果!$C422&lt;&gt;$M$1,对接源_01水果!$B422=""),0,IF(OR(N(对接源_01水果!$B422)&lt;$M$2,N(对接源_01水果!$B422)&gt;$M$3),0,1))</f>
        <v>0</v>
      </c>
      <c r="N422">
        <f>IF(OR($N$1="",对接源_01水果!$C422="",对接源_01水果!$C422&lt;&gt;$N$1,对接源_01水果!$B422=""),0,IF(OR(N(对接源_01水果!$B422)&lt;$N$2,N(对接源_01水果!$B422)&gt;$N$3),0,1))</f>
        <v>0</v>
      </c>
      <c r="P422">
        <f>IF(AND($K422=1,AND(对接源_01水果!$X422="公司筐",N(对接源_01水果!$T422)&lt;&gt;0)),1,0)</f>
        <v>0</v>
      </c>
      <c r="Q422">
        <f>N(Q421)+$P422</f>
        <v>0</v>
      </c>
      <c r="R422">
        <f>IF(AND($K422=1,AND(对接源_01水果!$X422="公司筐",N(对接源_01水果!$U422)&lt;&gt;0)),1,0)</f>
        <v>0</v>
      </c>
      <c r="S422">
        <f>N(S421)+$R422</f>
        <v>0</v>
      </c>
      <c r="T422">
        <f>IF(AND($K422=1,AND(对接源_01水果!$X422="公司筐",N(对接源_01水果!$V422)&lt;&gt;0)),1,0)</f>
        <v>1</v>
      </c>
      <c r="U422">
        <f>N(U421)+$T422</f>
        <v>38</v>
      </c>
      <c r="V422">
        <f>IF(AND($L422=1,AND(对接源_01水果!$X422="自备筐",N(对接源_01水果!$V422)&lt;&gt;0)),1,0)</f>
        <v>0</v>
      </c>
      <c r="W422">
        <f>N(W421)+$V422</f>
        <v>11</v>
      </c>
      <c r="X422">
        <f>IF(AND($L422=1,AND(对接源_01水果!$X422="自备筐",N(对接源_01水果!$T422)&lt;&gt;0)),1,0)</f>
        <v>0</v>
      </c>
      <c r="Y422">
        <f>N(Y421)+$X422</f>
        <v>0</v>
      </c>
      <c r="Z422">
        <f>IF(AND($M422=1,对接源_01水果!$D422="原料入库"),1,0)</f>
        <v>0</v>
      </c>
      <c r="AA422">
        <f>N(AA421)+$Z422</f>
        <v>24</v>
      </c>
      <c r="AB422">
        <f>IF(AND($M422=1,LEFT(对接源_01水果!$D422,4)="原料出库"),1,0)</f>
        <v>0</v>
      </c>
      <c r="AC422">
        <f>N(AC421)+$AB422</f>
        <v>0</v>
      </c>
      <c r="AD422">
        <f>IF(AND($M422=1,LEFT(对接源_01水果!$D422,4)="成品出库"),1,0)</f>
        <v>0</v>
      </c>
      <c r="AE422">
        <f>N(AE421)+$AD422</f>
        <v>0</v>
      </c>
      <c r="AF422">
        <f>IF(AND($N422=1,AND(LEFT(对接源_01水果!$D422,4)="包装物料",N(对接源_01水果!$K422)&lt;&gt;0)),1,0)</f>
        <v>0</v>
      </c>
      <c r="AG422">
        <f>N(AG421)+$AF422</f>
        <v>0</v>
      </c>
      <c r="AH422">
        <f>IF(AND($N422=1,AND(对接源_01水果!$D422="周转筐－销售出库",N(对接源_01水果!$K422)&lt;&gt;0)),1,0)</f>
        <v>0</v>
      </c>
      <c r="AI422">
        <f>N(AI421)+$AH422</f>
        <v>0</v>
      </c>
      <c r="AJ422" s="7" t="n"/>
      <c r="AL422">
        <f>IF(OR($AL$1="",对接源_01水果!$Y422="",对接源_01水果!$Y422&lt;&gt;$AL$1,对接源_01水果!$B422="",N(对接源_01水果!$AJ422)&lt;=0),0,IF(OR(N(对接源_01水果!$B422)&lt;$AL$2,N(对接源_01水果!$B422)&gt;$AL$3),0,1))</f>
        <v>0</v>
      </c>
      <c r="AM422">
        <f>N(AM421)+$AL422</f>
        <v>0</v>
      </c>
      <c r="AN422">
        <f>IF(对接源_01水果!$AC422="","",对接源_01水果!$AC422)</f>
      </c>
      <c r="AO422">
        <f>IF(AN422="",0,IF(MATCH(AN422,$AN$4:$AN$1203,0)=ROW()-3,1,0))</f>
        <v>0</v>
      </c>
      <c r="AP422">
        <f>N(AP421)+$AO422</f>
        <v>0</v>
      </c>
      <c r="AR422">
        <f>IF(OR($AF422=1,$AH422=1),1,0)</f>
        <v>0</v>
      </c>
      <c r="AS422">
        <f>N(AS421)+$AR422</f>
        <v>0</v>
      </c>
    </row>
    <row r="423" ht="14.25" customHeight="1" s="127">
      <c r="A423" t="str">
        <f>IF(对接源_01水果!$C423="","",对接源_01水果!$C423)</f>
        <v>王灵云</v>
      </c>
      <c r="B423">
        <f>IF(A423="",0,IF(MATCH(A423,$A$4:$A$2403,0)=ROW()-3,1,0))</f>
        <v>0</v>
      </c>
      <c r="C423">
        <f>N(C422)+B423</f>
        <v>21</v>
      </c>
      <c r="K423">
        <f>IF(OR($K$1="",对接源_01水果!$C423="",对接源_01水果!$C423&lt;&gt;$K$1,对接源_01水果!$B423=""),0,IF(OR(N(对接源_01水果!$B423)&lt;$K$2,N(对接源_01水果!$B423)&gt;$K$3),0,1))</f>
        <v>1</v>
      </c>
      <c r="L423">
        <f>IF(OR($L$1="",对接源_01水果!$C423="",对接源_01水果!$C423&lt;&gt;$L$1,对接源_01水果!$B423=""),0,IF(OR(N(对接源_01水果!$B423)&lt;$L$2,N(对接源_01水果!$B423)&gt;$L$3),0,1))</f>
        <v>0</v>
      </c>
      <c r="M423">
        <f>IF(OR($M$1="",对接源_01水果!$C423="",对接源_01水果!$C423&lt;&gt;$M$1,对接源_01水果!$B423=""),0,IF(OR(N(对接源_01水果!$B423)&lt;$M$2,N(对接源_01水果!$B423)&gt;$M$3),0,1))</f>
        <v>0</v>
      </c>
      <c r="N423">
        <f>IF(OR($N$1="",对接源_01水果!$C423="",对接源_01水果!$C423&lt;&gt;$N$1,对接源_01水果!$B423=""),0,IF(OR(N(对接源_01水果!$B423)&lt;$N$2,N(对接源_01水果!$B423)&gt;$N$3),0,1))</f>
        <v>0</v>
      </c>
      <c r="P423">
        <f>IF(AND($K423=1,AND(对接源_01水果!$X423="公司筐",N(对接源_01水果!$T423)&lt;&gt;0)),1,0)</f>
        <v>0</v>
      </c>
      <c r="Q423">
        <f>N(Q422)+$P423</f>
        <v>0</v>
      </c>
      <c r="R423">
        <f>IF(AND($K423=1,AND(对接源_01水果!$X423="公司筐",N(对接源_01水果!$U423)&lt;&gt;0)),1,0)</f>
        <v>0</v>
      </c>
      <c r="S423">
        <f>N(S422)+$R423</f>
        <v>0</v>
      </c>
      <c r="T423">
        <f>IF(AND($K423=1,AND(对接源_01水果!$X423="公司筐",N(对接源_01水果!$V423)&lt;&gt;0)),1,0)</f>
        <v>1</v>
      </c>
      <c r="U423">
        <f>N(U422)+$T423</f>
        <v>39</v>
      </c>
      <c r="V423">
        <f>IF(AND($L423=1,AND(对接源_01水果!$X423="自备筐",N(对接源_01水果!$V423)&lt;&gt;0)),1,0)</f>
        <v>0</v>
      </c>
      <c r="W423">
        <f>N(W422)+$V423</f>
        <v>11</v>
      </c>
      <c r="X423">
        <f>IF(AND($L423=1,AND(对接源_01水果!$X423="自备筐",N(对接源_01水果!$T423)&lt;&gt;0)),1,0)</f>
        <v>0</v>
      </c>
      <c r="Y423">
        <f>N(Y422)+$X423</f>
        <v>0</v>
      </c>
      <c r="Z423">
        <f>IF(AND($M423=1,对接源_01水果!$D423="原料入库"),1,0)</f>
        <v>0</v>
      </c>
      <c r="AA423">
        <f>N(AA422)+$Z423</f>
        <v>24</v>
      </c>
      <c r="AB423">
        <f>IF(AND($M423=1,LEFT(对接源_01水果!$D423,4)="原料出库"),1,0)</f>
        <v>0</v>
      </c>
      <c r="AC423">
        <f>N(AC422)+$AB423</f>
        <v>0</v>
      </c>
      <c r="AD423">
        <f>IF(AND($M423=1,LEFT(对接源_01水果!$D423,4)="成品出库"),1,0)</f>
        <v>0</v>
      </c>
      <c r="AE423">
        <f>N(AE422)+$AD423</f>
        <v>0</v>
      </c>
      <c r="AF423">
        <f>IF(AND($N423=1,AND(LEFT(对接源_01水果!$D423,4)="包装物料",N(对接源_01水果!$K423)&lt;&gt;0)),1,0)</f>
        <v>0</v>
      </c>
      <c r="AG423">
        <f>N(AG422)+$AF423</f>
        <v>0</v>
      </c>
      <c r="AH423">
        <f>IF(AND($N423=1,AND(对接源_01水果!$D423="周转筐－销售出库",N(对接源_01水果!$K423)&lt;&gt;0)),1,0)</f>
        <v>0</v>
      </c>
      <c r="AI423">
        <f>N(AI422)+$AH423</f>
        <v>0</v>
      </c>
      <c r="AJ423" s="7" t="n"/>
      <c r="AL423">
        <f>IF(OR($AL$1="",对接源_01水果!$Y423="",对接源_01水果!$Y423&lt;&gt;$AL$1,对接源_01水果!$B423="",N(对接源_01水果!$AJ423)&lt;=0),0,IF(OR(N(对接源_01水果!$B423)&lt;$AL$2,N(对接源_01水果!$B423)&gt;$AL$3),0,1))</f>
        <v>0</v>
      </c>
      <c r="AM423">
        <f>N(AM422)+$AL423</f>
        <v>0</v>
      </c>
      <c r="AN423">
        <f>IF(对接源_01水果!$AC423="","",对接源_01水果!$AC423)</f>
      </c>
      <c r="AO423">
        <f>IF(AN423="",0,IF(MATCH(AN423,$AN$4:$AN$1203,0)=ROW()-3,1,0))</f>
        <v>0</v>
      </c>
      <c r="AP423">
        <f>N(AP422)+$AO423</f>
        <v>0</v>
      </c>
      <c r="AR423">
        <f>IF(OR($AF423=1,$AH423=1),1,0)</f>
        <v>0</v>
      </c>
      <c r="AS423">
        <f>N(AS422)+$AR423</f>
        <v>0</v>
      </c>
    </row>
    <row r="424" ht="14.25" customHeight="1" s="127">
      <c r="A424" t="str">
        <f>IF(对接源_01水果!$C424="","",对接源_01水果!$C424)</f>
        <v>阿布都</v>
      </c>
      <c r="B424">
        <f>IF(A424="",0,IF(MATCH(A424,$A$4:$A$2403,0)=ROW()-3,1,0))</f>
        <v>0</v>
      </c>
      <c r="C424">
        <f>N(C423)+B424</f>
        <v>21</v>
      </c>
      <c r="K424">
        <f>IF(OR($K$1="",对接源_01水果!$C424="",对接源_01水果!$C424&lt;&gt;$K$1,对接源_01水果!$B424=""),0,IF(OR(N(对接源_01水果!$B424)&lt;$K$2,N(对接源_01水果!$B424)&gt;$K$3),0,1))</f>
        <v>0</v>
      </c>
      <c r="L424">
        <f>IF(OR($L$1="",对接源_01水果!$C424="",对接源_01水果!$C424&lt;&gt;$L$1,对接源_01水果!$B424=""),0,IF(OR(N(对接源_01水果!$B424)&lt;$L$2,N(对接源_01水果!$B424)&gt;$L$3),0,1))</f>
        <v>0</v>
      </c>
      <c r="M424">
        <f>IF(OR($M$1="",对接源_01水果!$C424="",对接源_01水果!$C424&lt;&gt;$M$1,对接源_01水果!$B424=""),0,IF(OR(N(对接源_01水果!$B424)&lt;$M$2,N(对接源_01水果!$B424)&gt;$M$3),0,1))</f>
        <v>0</v>
      </c>
      <c r="N424">
        <f>IF(OR($N$1="",对接源_01水果!$C424="",对接源_01水果!$C424&lt;&gt;$N$1,对接源_01水果!$B424=""),0,IF(OR(N(对接源_01水果!$B424)&lt;$N$2,N(对接源_01水果!$B424)&gt;$N$3),0,1))</f>
        <v>0</v>
      </c>
      <c r="P424">
        <f>IF(AND($K424=1,AND(对接源_01水果!$X424="公司筐",N(对接源_01水果!$T424)&lt;&gt;0)),1,0)</f>
        <v>0</v>
      </c>
      <c r="Q424">
        <f>N(Q423)+$P424</f>
        <v>0</v>
      </c>
      <c r="R424">
        <f>IF(AND($K424=1,AND(对接源_01水果!$X424="公司筐",N(对接源_01水果!$U424)&lt;&gt;0)),1,0)</f>
        <v>0</v>
      </c>
      <c r="S424">
        <f>N(S423)+$R424</f>
        <v>0</v>
      </c>
      <c r="T424">
        <f>IF(AND($K424=1,AND(对接源_01水果!$X424="公司筐",N(对接源_01水果!$V424)&lt;&gt;0)),1,0)</f>
        <v>0</v>
      </c>
      <c r="U424">
        <f>N(U423)+$T424</f>
        <v>39</v>
      </c>
      <c r="V424">
        <f>IF(AND($L424=1,AND(对接源_01水果!$X424="自备筐",N(对接源_01水果!$V424)&lt;&gt;0)),1,0)</f>
        <v>0</v>
      </c>
      <c r="W424">
        <f>N(W423)+$V424</f>
        <v>11</v>
      </c>
      <c r="X424">
        <f>IF(AND($L424=1,AND(对接源_01水果!$X424="自备筐",N(对接源_01水果!$T424)&lt;&gt;0)),1,0)</f>
        <v>0</v>
      </c>
      <c r="Y424">
        <f>N(Y423)+$X424</f>
        <v>0</v>
      </c>
      <c r="Z424">
        <f>IF(AND($M424=1,对接源_01水果!$D424="原料入库"),1,0)</f>
        <v>0</v>
      </c>
      <c r="AA424">
        <f>N(AA423)+$Z424</f>
        <v>24</v>
      </c>
      <c r="AB424">
        <f>IF(AND($M424=1,LEFT(对接源_01水果!$D424,4)="原料出库"),1,0)</f>
        <v>0</v>
      </c>
      <c r="AC424">
        <f>N(AC423)+$AB424</f>
        <v>0</v>
      </c>
      <c r="AD424">
        <f>IF(AND($M424=1,LEFT(对接源_01水果!$D424,4)="成品出库"),1,0)</f>
        <v>0</v>
      </c>
      <c r="AE424">
        <f>N(AE423)+$AD424</f>
        <v>0</v>
      </c>
      <c r="AF424">
        <f>IF(AND($N424=1,AND(LEFT(对接源_01水果!$D424,4)="包装物料",N(对接源_01水果!$K424)&lt;&gt;0)),1,0)</f>
        <v>0</v>
      </c>
      <c r="AG424">
        <f>N(AG423)+$AF424</f>
        <v>0</v>
      </c>
      <c r="AH424">
        <f>IF(AND($N424=1,AND(对接源_01水果!$D424="周转筐－销售出库",N(对接源_01水果!$K424)&lt;&gt;0)),1,0)</f>
        <v>0</v>
      </c>
      <c r="AI424">
        <f>N(AI423)+$AH424</f>
        <v>0</v>
      </c>
      <c r="AJ424" s="7" t="n"/>
      <c r="AL424">
        <f>IF(OR($AL$1="",对接源_01水果!$Y424="",对接源_01水果!$Y424&lt;&gt;$AL$1,对接源_01水果!$B424="",N(对接源_01水果!$AJ424)&lt;=0),0,IF(OR(N(对接源_01水果!$B424)&lt;$AL$2,N(对接源_01水果!$B424)&gt;$AL$3),0,1))</f>
        <v>0</v>
      </c>
      <c r="AM424">
        <f>N(AM423)+$AL424</f>
        <v>0</v>
      </c>
      <c r="AN424">
        <f>IF(对接源_01水果!$AC424="","",对接源_01水果!$AC424)</f>
      </c>
      <c r="AO424">
        <f>IF(AN424="",0,IF(MATCH(AN424,$AN$4:$AN$1203,0)=ROW()-3,1,0))</f>
        <v>0</v>
      </c>
      <c r="AP424">
        <f>N(AP423)+$AO424</f>
        <v>0</v>
      </c>
      <c r="AR424">
        <f>IF(OR($AF424=1,$AH424=1),1,0)</f>
        <v>0</v>
      </c>
      <c r="AS424">
        <f>N(AS423)+$AR424</f>
        <v>0</v>
      </c>
    </row>
    <row r="425" ht="14.25" customHeight="1" s="127">
      <c r="A425" t="str">
        <f>IF(对接源_01水果!$C425="","",对接源_01水果!$C425)</f>
        <v>阿布都</v>
      </c>
      <c r="B425">
        <f>IF(A425="",0,IF(MATCH(A425,$A$4:$A$2403,0)=ROW()-3,1,0))</f>
        <v>0</v>
      </c>
      <c r="C425">
        <f>N(C424)+B425</f>
        <v>21</v>
      </c>
      <c r="K425">
        <f>IF(OR($K$1="",对接源_01水果!$C425="",对接源_01水果!$C425&lt;&gt;$K$1,对接源_01水果!$B425=""),0,IF(OR(N(对接源_01水果!$B425)&lt;$K$2,N(对接源_01水果!$B425)&gt;$K$3),0,1))</f>
        <v>0</v>
      </c>
      <c r="L425">
        <f>IF(OR($L$1="",对接源_01水果!$C425="",对接源_01水果!$C425&lt;&gt;$L$1,对接源_01水果!$B425=""),0,IF(OR(N(对接源_01水果!$B425)&lt;$L$2,N(对接源_01水果!$B425)&gt;$L$3),0,1))</f>
        <v>0</v>
      </c>
      <c r="M425">
        <f>IF(OR($M$1="",对接源_01水果!$C425="",对接源_01水果!$C425&lt;&gt;$M$1,对接源_01水果!$B425=""),0,IF(OR(N(对接源_01水果!$B425)&lt;$M$2,N(对接源_01水果!$B425)&gt;$M$3),0,1))</f>
        <v>0</v>
      </c>
      <c r="N425">
        <f>IF(OR($N$1="",对接源_01水果!$C425="",对接源_01水果!$C425&lt;&gt;$N$1,对接源_01水果!$B425=""),0,IF(OR(N(对接源_01水果!$B425)&lt;$N$2,N(对接源_01水果!$B425)&gt;$N$3),0,1))</f>
        <v>0</v>
      </c>
      <c r="P425">
        <f>IF(AND($K425=1,AND(对接源_01水果!$X425="公司筐",N(对接源_01水果!$T425)&lt;&gt;0)),1,0)</f>
        <v>0</v>
      </c>
      <c r="Q425">
        <f>N(Q424)+$P425</f>
        <v>0</v>
      </c>
      <c r="R425">
        <f>IF(AND($K425=1,AND(对接源_01水果!$X425="公司筐",N(对接源_01水果!$U425)&lt;&gt;0)),1,0)</f>
        <v>0</v>
      </c>
      <c r="S425">
        <f>N(S424)+$R425</f>
        <v>0</v>
      </c>
      <c r="T425">
        <f>IF(AND($K425=1,AND(对接源_01水果!$X425="公司筐",N(对接源_01水果!$V425)&lt;&gt;0)),1,0)</f>
        <v>0</v>
      </c>
      <c r="U425">
        <f>N(U424)+$T425</f>
        <v>39</v>
      </c>
      <c r="V425">
        <f>IF(AND($L425=1,AND(对接源_01水果!$X425="自备筐",N(对接源_01水果!$V425)&lt;&gt;0)),1,0)</f>
        <v>0</v>
      </c>
      <c r="W425">
        <f>N(W424)+$V425</f>
        <v>11</v>
      </c>
      <c r="X425">
        <f>IF(AND($L425=1,AND(对接源_01水果!$X425="自备筐",N(对接源_01水果!$T425)&lt;&gt;0)),1,0)</f>
        <v>0</v>
      </c>
      <c r="Y425">
        <f>N(Y424)+$X425</f>
        <v>0</v>
      </c>
      <c r="Z425">
        <f>IF(AND($M425=1,对接源_01水果!$D425="原料入库"),1,0)</f>
        <v>0</v>
      </c>
      <c r="AA425">
        <f>N(AA424)+$Z425</f>
        <v>24</v>
      </c>
      <c r="AB425">
        <f>IF(AND($M425=1,LEFT(对接源_01水果!$D425,4)="原料出库"),1,0)</f>
        <v>0</v>
      </c>
      <c r="AC425">
        <f>N(AC424)+$AB425</f>
        <v>0</v>
      </c>
      <c r="AD425">
        <f>IF(AND($M425=1,LEFT(对接源_01水果!$D425,4)="成品出库"),1,0)</f>
        <v>0</v>
      </c>
      <c r="AE425">
        <f>N(AE424)+$AD425</f>
        <v>0</v>
      </c>
      <c r="AF425">
        <f>IF(AND($N425=1,AND(LEFT(对接源_01水果!$D425,4)="包装物料",N(对接源_01水果!$K425)&lt;&gt;0)),1,0)</f>
        <v>0</v>
      </c>
      <c r="AG425">
        <f>N(AG424)+$AF425</f>
        <v>0</v>
      </c>
      <c r="AH425">
        <f>IF(AND($N425=1,AND(对接源_01水果!$D425="周转筐－销售出库",N(对接源_01水果!$K425)&lt;&gt;0)),1,0)</f>
        <v>0</v>
      </c>
      <c r="AI425">
        <f>N(AI424)+$AH425</f>
        <v>0</v>
      </c>
      <c r="AJ425" s="7" t="n"/>
      <c r="AL425">
        <f>IF(OR($AL$1="",对接源_01水果!$Y425="",对接源_01水果!$Y425&lt;&gt;$AL$1,对接源_01水果!$B425="",N(对接源_01水果!$AJ425)&lt;=0),0,IF(OR(N(对接源_01水果!$B425)&lt;$AL$2,N(对接源_01水果!$B425)&gt;$AL$3),0,1))</f>
        <v>0</v>
      </c>
      <c r="AM425">
        <f>N(AM424)+$AL425</f>
        <v>0</v>
      </c>
      <c r="AN425">
        <f>IF(对接源_01水果!$AC425="","",对接源_01水果!$AC425)</f>
      </c>
      <c r="AO425">
        <f>IF(AN425="",0,IF(MATCH(AN425,$AN$4:$AN$1203,0)=ROW()-3,1,0))</f>
        <v>0</v>
      </c>
      <c r="AP425">
        <f>N(AP424)+$AO425</f>
        <v>0</v>
      </c>
      <c r="AR425">
        <f>IF(OR($AF425=1,$AH425=1),1,0)</f>
        <v>0</v>
      </c>
      <c r="AS425">
        <f>N(AS424)+$AR425</f>
        <v>0</v>
      </c>
    </row>
    <row r="426" ht="14.25" customHeight="1" s="127">
      <c r="A426" t="str">
        <f>IF(对接源_01水果!$C426="","",对接源_01水果!$C426)</f>
        <v>阿布都</v>
      </c>
      <c r="B426">
        <f>IF(A426="",0,IF(MATCH(A426,$A$4:$A$2403,0)=ROW()-3,1,0))</f>
        <v>0</v>
      </c>
      <c r="C426">
        <f>N(C425)+B426</f>
        <v>21</v>
      </c>
      <c r="K426">
        <f>IF(OR($K$1="",对接源_01水果!$C426="",对接源_01水果!$C426&lt;&gt;$K$1,对接源_01水果!$B426=""),0,IF(OR(N(对接源_01水果!$B426)&lt;$K$2,N(对接源_01水果!$B426)&gt;$K$3),0,1))</f>
        <v>0</v>
      </c>
      <c r="L426">
        <f>IF(OR($L$1="",对接源_01水果!$C426="",对接源_01水果!$C426&lt;&gt;$L$1,对接源_01水果!$B426=""),0,IF(OR(N(对接源_01水果!$B426)&lt;$L$2,N(对接源_01水果!$B426)&gt;$L$3),0,1))</f>
        <v>0</v>
      </c>
      <c r="M426">
        <f>IF(OR($M$1="",对接源_01水果!$C426="",对接源_01水果!$C426&lt;&gt;$M$1,对接源_01水果!$B426=""),0,IF(OR(N(对接源_01水果!$B426)&lt;$M$2,N(对接源_01水果!$B426)&gt;$M$3),0,1))</f>
        <v>0</v>
      </c>
      <c r="N426">
        <f>IF(OR($N$1="",对接源_01水果!$C426="",对接源_01水果!$C426&lt;&gt;$N$1,对接源_01水果!$B426=""),0,IF(OR(N(对接源_01水果!$B426)&lt;$N$2,N(对接源_01水果!$B426)&gt;$N$3),0,1))</f>
        <v>0</v>
      </c>
      <c r="P426">
        <f>IF(AND($K426=1,AND(对接源_01水果!$X426="公司筐",N(对接源_01水果!$T426)&lt;&gt;0)),1,0)</f>
        <v>0</v>
      </c>
      <c r="Q426">
        <f>N(Q425)+$P426</f>
        <v>0</v>
      </c>
      <c r="R426">
        <f>IF(AND($K426=1,AND(对接源_01水果!$X426="公司筐",N(对接源_01水果!$U426)&lt;&gt;0)),1,0)</f>
        <v>0</v>
      </c>
      <c r="S426">
        <f>N(S425)+$R426</f>
        <v>0</v>
      </c>
      <c r="T426">
        <f>IF(AND($K426=1,AND(对接源_01水果!$X426="公司筐",N(对接源_01水果!$V426)&lt;&gt;0)),1,0)</f>
        <v>0</v>
      </c>
      <c r="U426">
        <f>N(U425)+$T426</f>
        <v>39</v>
      </c>
      <c r="V426">
        <f>IF(AND($L426=1,AND(对接源_01水果!$X426="自备筐",N(对接源_01水果!$V426)&lt;&gt;0)),1,0)</f>
        <v>0</v>
      </c>
      <c r="W426">
        <f>N(W425)+$V426</f>
        <v>11</v>
      </c>
      <c r="X426">
        <f>IF(AND($L426=1,AND(对接源_01水果!$X426="自备筐",N(对接源_01水果!$T426)&lt;&gt;0)),1,0)</f>
        <v>0</v>
      </c>
      <c r="Y426">
        <f>N(Y425)+$X426</f>
        <v>0</v>
      </c>
      <c r="Z426">
        <f>IF(AND($M426=1,对接源_01水果!$D426="原料入库"),1,0)</f>
        <v>0</v>
      </c>
      <c r="AA426">
        <f>N(AA425)+$Z426</f>
        <v>24</v>
      </c>
      <c r="AB426">
        <f>IF(AND($M426=1,LEFT(对接源_01水果!$D426,4)="原料出库"),1,0)</f>
        <v>0</v>
      </c>
      <c r="AC426">
        <f>N(AC425)+$AB426</f>
        <v>0</v>
      </c>
      <c r="AD426">
        <f>IF(AND($M426=1,LEFT(对接源_01水果!$D426,4)="成品出库"),1,0)</f>
        <v>0</v>
      </c>
      <c r="AE426">
        <f>N(AE425)+$AD426</f>
        <v>0</v>
      </c>
      <c r="AF426">
        <f>IF(AND($N426=1,AND(LEFT(对接源_01水果!$D426,4)="包装物料",N(对接源_01水果!$K426)&lt;&gt;0)),1,0)</f>
        <v>0</v>
      </c>
      <c r="AG426">
        <f>N(AG425)+$AF426</f>
        <v>0</v>
      </c>
      <c r="AH426">
        <f>IF(AND($N426=1,AND(对接源_01水果!$D426="周转筐－销售出库",N(对接源_01水果!$K426)&lt;&gt;0)),1,0)</f>
        <v>0</v>
      </c>
      <c r="AI426">
        <f>N(AI425)+$AH426</f>
        <v>0</v>
      </c>
      <c r="AJ426" s="7" t="n"/>
      <c r="AL426">
        <f>IF(OR($AL$1="",对接源_01水果!$Y426="",对接源_01水果!$Y426&lt;&gt;$AL$1,对接源_01水果!$B426="",N(对接源_01水果!$AJ426)&lt;=0),0,IF(OR(N(对接源_01水果!$B426)&lt;$AL$2,N(对接源_01水果!$B426)&gt;$AL$3),0,1))</f>
        <v>0</v>
      </c>
      <c r="AM426">
        <f>N(AM425)+$AL426</f>
        <v>0</v>
      </c>
      <c r="AN426">
        <f>IF(对接源_01水果!$AC426="","",对接源_01水果!$AC426)</f>
      </c>
      <c r="AO426">
        <f>IF(AN426="",0,IF(MATCH(AN426,$AN$4:$AN$1203,0)=ROW()-3,1,0))</f>
        <v>0</v>
      </c>
      <c r="AP426">
        <f>N(AP425)+$AO426</f>
        <v>0</v>
      </c>
      <c r="AR426">
        <f>IF(OR($AF426=1,$AH426=1),1,0)</f>
        <v>0</v>
      </c>
      <c r="AS426">
        <f>N(AS425)+$AR426</f>
        <v>0</v>
      </c>
    </row>
    <row r="427" ht="14.25" customHeight="1" s="127">
      <c r="A427" t="str">
        <f>IF(对接源_01水果!$C427="","",对接源_01水果!$C427)</f>
        <v>热合曼+艾则孜</v>
      </c>
      <c r="B427">
        <f>IF(A427="",0,IF(MATCH(A427,$A$4:$A$2403,0)=ROW()-3,1,0))</f>
        <v>0</v>
      </c>
      <c r="C427">
        <f>N(C426)+B427</f>
        <v>21</v>
      </c>
      <c r="K427">
        <f>IF(OR($K$1="",对接源_01水果!$C427="",对接源_01水果!$C427&lt;&gt;$K$1,对接源_01水果!$B427=""),0,IF(OR(N(对接源_01水果!$B427)&lt;$K$2,N(对接源_01水果!$B427)&gt;$K$3),0,1))</f>
        <v>0</v>
      </c>
      <c r="L427">
        <f>IF(OR($L$1="",对接源_01水果!$C427="",对接源_01水果!$C427&lt;&gt;$L$1,对接源_01水果!$B427=""),0,IF(OR(N(对接源_01水果!$B427)&lt;$L$2,N(对接源_01水果!$B427)&gt;$L$3),0,1))</f>
        <v>0</v>
      </c>
      <c r="M427">
        <f>IF(OR($M$1="",对接源_01水果!$C427="",对接源_01水果!$C427&lt;&gt;$M$1,对接源_01水果!$B427=""),0,IF(OR(N(对接源_01水果!$B427)&lt;$M$2,N(对接源_01水果!$B427)&gt;$M$3),0,1))</f>
        <v>0</v>
      </c>
      <c r="N427">
        <f>IF(OR($N$1="",对接源_01水果!$C427="",对接源_01水果!$C427&lt;&gt;$N$1,对接源_01水果!$B427=""),0,IF(OR(N(对接源_01水果!$B427)&lt;$N$2,N(对接源_01水果!$B427)&gt;$N$3),0,1))</f>
        <v>0</v>
      </c>
      <c r="P427">
        <f>IF(AND($K427=1,AND(对接源_01水果!$X427="公司筐",N(对接源_01水果!$T427)&lt;&gt;0)),1,0)</f>
        <v>0</v>
      </c>
      <c r="Q427">
        <f>N(Q426)+$P427</f>
        <v>0</v>
      </c>
      <c r="R427">
        <f>IF(AND($K427=1,AND(对接源_01水果!$X427="公司筐",N(对接源_01水果!$U427)&lt;&gt;0)),1,0)</f>
        <v>0</v>
      </c>
      <c r="S427">
        <f>N(S426)+$R427</f>
        <v>0</v>
      </c>
      <c r="T427">
        <f>IF(AND($K427=1,AND(对接源_01水果!$X427="公司筐",N(对接源_01水果!$V427)&lt;&gt;0)),1,0)</f>
        <v>0</v>
      </c>
      <c r="U427">
        <f>N(U426)+$T427</f>
        <v>39</v>
      </c>
      <c r="V427">
        <f>IF(AND($L427=1,AND(对接源_01水果!$X427="自备筐",N(对接源_01水果!$V427)&lt;&gt;0)),1,0)</f>
        <v>0</v>
      </c>
      <c r="W427">
        <f>N(W426)+$V427</f>
        <v>11</v>
      </c>
      <c r="X427">
        <f>IF(AND($L427=1,AND(对接源_01水果!$X427="自备筐",N(对接源_01水果!$T427)&lt;&gt;0)),1,0)</f>
        <v>0</v>
      </c>
      <c r="Y427">
        <f>N(Y426)+$X427</f>
        <v>0</v>
      </c>
      <c r="Z427">
        <f>IF(AND($M427=1,对接源_01水果!$D427="原料入库"),1,0)</f>
        <v>0</v>
      </c>
      <c r="AA427">
        <f>N(AA426)+$Z427</f>
        <v>24</v>
      </c>
      <c r="AB427">
        <f>IF(AND($M427=1,LEFT(对接源_01水果!$D427,4)="原料出库"),1,0)</f>
        <v>0</v>
      </c>
      <c r="AC427">
        <f>N(AC426)+$AB427</f>
        <v>0</v>
      </c>
      <c r="AD427">
        <f>IF(AND($M427=1,LEFT(对接源_01水果!$D427,4)="成品出库"),1,0)</f>
        <v>0</v>
      </c>
      <c r="AE427">
        <f>N(AE426)+$AD427</f>
        <v>0</v>
      </c>
      <c r="AF427">
        <f>IF(AND($N427=1,AND(LEFT(对接源_01水果!$D427,4)="包装物料",N(对接源_01水果!$K427)&lt;&gt;0)),1,0)</f>
        <v>0</v>
      </c>
      <c r="AG427">
        <f>N(AG426)+$AF427</f>
        <v>0</v>
      </c>
      <c r="AH427">
        <f>IF(AND($N427=1,AND(对接源_01水果!$D427="周转筐－销售出库",N(对接源_01水果!$K427)&lt;&gt;0)),1,0)</f>
        <v>0</v>
      </c>
      <c r="AI427">
        <f>N(AI426)+$AH427</f>
        <v>0</v>
      </c>
      <c r="AJ427" s="7" t="n"/>
      <c r="AL427">
        <f>IF(OR($AL$1="",对接源_01水果!$Y427="",对接源_01水果!$Y427&lt;&gt;$AL$1,对接源_01水果!$B427="",N(对接源_01水果!$AJ427)&lt;=0),0,IF(OR(N(对接源_01水果!$B427)&lt;$AL$2,N(对接源_01水果!$B427)&gt;$AL$3),0,1))</f>
        <v>0</v>
      </c>
      <c r="AM427">
        <f>N(AM426)+$AL427</f>
        <v>0</v>
      </c>
      <c r="AN427">
        <f>IF(对接源_01水果!$AC427="","",对接源_01水果!$AC427)</f>
      </c>
      <c r="AO427">
        <f>IF(AN427="",0,IF(MATCH(AN427,$AN$4:$AN$1203,0)=ROW()-3,1,0))</f>
        <v>0</v>
      </c>
      <c r="AP427">
        <f>N(AP426)+$AO427</f>
        <v>0</v>
      </c>
      <c r="AR427">
        <f>IF(OR($AF427=1,$AH427=1),1,0)</f>
        <v>0</v>
      </c>
      <c r="AS427">
        <f>N(AS426)+$AR427</f>
        <v>0</v>
      </c>
    </row>
    <row r="428" ht="14.25" customHeight="1" s="127">
      <c r="A428" t="str">
        <f>IF(对接源_01水果!$C428="","",对接源_01水果!$C428)</f>
        <v>热合曼+艾则孜</v>
      </c>
      <c r="B428">
        <f>IF(A428="",0,IF(MATCH(A428,$A$4:$A$2403,0)=ROW()-3,1,0))</f>
        <v>0</v>
      </c>
      <c r="C428">
        <f>N(C427)+B428</f>
        <v>21</v>
      </c>
      <c r="K428">
        <f>IF(OR($K$1="",对接源_01水果!$C428="",对接源_01水果!$C428&lt;&gt;$K$1,对接源_01水果!$B428=""),0,IF(OR(N(对接源_01水果!$B428)&lt;$K$2,N(对接源_01水果!$B428)&gt;$K$3),0,1))</f>
        <v>0</v>
      </c>
      <c r="L428">
        <f>IF(OR($L$1="",对接源_01水果!$C428="",对接源_01水果!$C428&lt;&gt;$L$1,对接源_01水果!$B428=""),0,IF(OR(N(对接源_01水果!$B428)&lt;$L$2,N(对接源_01水果!$B428)&gt;$L$3),0,1))</f>
        <v>0</v>
      </c>
      <c r="M428">
        <f>IF(OR($M$1="",对接源_01水果!$C428="",对接源_01水果!$C428&lt;&gt;$M$1,对接源_01水果!$B428=""),0,IF(OR(N(对接源_01水果!$B428)&lt;$M$2,N(对接源_01水果!$B428)&gt;$M$3),0,1))</f>
        <v>0</v>
      </c>
      <c r="N428">
        <f>IF(OR($N$1="",对接源_01水果!$C428="",对接源_01水果!$C428&lt;&gt;$N$1,对接源_01水果!$B428=""),0,IF(OR(N(对接源_01水果!$B428)&lt;$N$2,N(对接源_01水果!$B428)&gt;$N$3),0,1))</f>
        <v>0</v>
      </c>
      <c r="P428">
        <f>IF(AND($K428=1,AND(对接源_01水果!$X428="公司筐",N(对接源_01水果!$T428)&lt;&gt;0)),1,0)</f>
        <v>0</v>
      </c>
      <c r="Q428">
        <f>N(Q427)+$P428</f>
        <v>0</v>
      </c>
      <c r="R428">
        <f>IF(AND($K428=1,AND(对接源_01水果!$X428="公司筐",N(对接源_01水果!$U428)&lt;&gt;0)),1,0)</f>
        <v>0</v>
      </c>
      <c r="S428">
        <f>N(S427)+$R428</f>
        <v>0</v>
      </c>
      <c r="T428">
        <f>IF(AND($K428=1,AND(对接源_01水果!$X428="公司筐",N(对接源_01水果!$V428)&lt;&gt;0)),1,0)</f>
        <v>0</v>
      </c>
      <c r="U428">
        <f>N(U427)+$T428</f>
        <v>39</v>
      </c>
      <c r="V428">
        <f>IF(AND($L428=1,AND(对接源_01水果!$X428="自备筐",N(对接源_01水果!$V428)&lt;&gt;0)),1,0)</f>
        <v>0</v>
      </c>
      <c r="W428">
        <f>N(W427)+$V428</f>
        <v>11</v>
      </c>
      <c r="X428">
        <f>IF(AND($L428=1,AND(对接源_01水果!$X428="自备筐",N(对接源_01水果!$T428)&lt;&gt;0)),1,0)</f>
        <v>0</v>
      </c>
      <c r="Y428">
        <f>N(Y427)+$X428</f>
        <v>0</v>
      </c>
      <c r="Z428">
        <f>IF(AND($M428=1,对接源_01水果!$D428="原料入库"),1,0)</f>
        <v>0</v>
      </c>
      <c r="AA428">
        <f>N(AA427)+$Z428</f>
        <v>24</v>
      </c>
      <c r="AB428">
        <f>IF(AND($M428=1,LEFT(对接源_01水果!$D428,4)="原料出库"),1,0)</f>
        <v>0</v>
      </c>
      <c r="AC428">
        <f>N(AC427)+$AB428</f>
        <v>0</v>
      </c>
      <c r="AD428">
        <f>IF(AND($M428=1,LEFT(对接源_01水果!$D428,4)="成品出库"),1,0)</f>
        <v>0</v>
      </c>
      <c r="AE428">
        <f>N(AE427)+$AD428</f>
        <v>0</v>
      </c>
      <c r="AF428">
        <f>IF(AND($N428=1,AND(LEFT(对接源_01水果!$D428,4)="包装物料",N(对接源_01水果!$K428)&lt;&gt;0)),1,0)</f>
        <v>0</v>
      </c>
      <c r="AG428">
        <f>N(AG427)+$AF428</f>
        <v>0</v>
      </c>
      <c r="AH428">
        <f>IF(AND($N428=1,AND(对接源_01水果!$D428="周转筐－销售出库",N(对接源_01水果!$K428)&lt;&gt;0)),1,0)</f>
        <v>0</v>
      </c>
      <c r="AI428">
        <f>N(AI427)+$AH428</f>
        <v>0</v>
      </c>
      <c r="AJ428" s="7" t="n"/>
      <c r="AL428">
        <f>IF(OR($AL$1="",对接源_01水果!$Y428="",对接源_01水果!$Y428&lt;&gt;$AL$1,对接源_01水果!$B428="",N(对接源_01水果!$AJ428)&lt;=0),0,IF(OR(N(对接源_01水果!$B428)&lt;$AL$2,N(对接源_01水果!$B428)&gt;$AL$3),0,1))</f>
        <v>0</v>
      </c>
      <c r="AM428">
        <f>N(AM427)+$AL428</f>
        <v>0</v>
      </c>
      <c r="AN428">
        <f>IF(对接源_01水果!$AC428="","",对接源_01水果!$AC428)</f>
      </c>
      <c r="AO428">
        <f>IF(AN428="",0,IF(MATCH(AN428,$AN$4:$AN$1203,0)=ROW()-3,1,0))</f>
        <v>0</v>
      </c>
      <c r="AP428">
        <f>N(AP427)+$AO428</f>
        <v>0</v>
      </c>
      <c r="AR428">
        <f>IF(OR($AF428=1,$AH428=1),1,0)</f>
        <v>0</v>
      </c>
      <c r="AS428">
        <f>N(AS427)+$AR428</f>
        <v>0</v>
      </c>
    </row>
    <row r="429" ht="14.25" customHeight="1" s="127">
      <c r="A429" t="str">
        <f>IF(对接源_01水果!$C429="","",对接源_01水果!$C429)</f>
        <v>热合曼+艾则孜</v>
      </c>
      <c r="B429">
        <f>IF(A429="",0,IF(MATCH(A429,$A$4:$A$2403,0)=ROW()-3,1,0))</f>
        <v>0</v>
      </c>
      <c r="C429">
        <f>N(C428)+B429</f>
        <v>21</v>
      </c>
      <c r="K429">
        <f>IF(OR($K$1="",对接源_01水果!$C429="",对接源_01水果!$C429&lt;&gt;$K$1,对接源_01水果!$B429=""),0,IF(OR(N(对接源_01水果!$B429)&lt;$K$2,N(对接源_01水果!$B429)&gt;$K$3),0,1))</f>
        <v>0</v>
      </c>
      <c r="L429">
        <f>IF(OR($L$1="",对接源_01水果!$C429="",对接源_01水果!$C429&lt;&gt;$L$1,对接源_01水果!$B429=""),0,IF(OR(N(对接源_01水果!$B429)&lt;$L$2,N(对接源_01水果!$B429)&gt;$L$3),0,1))</f>
        <v>0</v>
      </c>
      <c r="M429">
        <f>IF(OR($M$1="",对接源_01水果!$C429="",对接源_01水果!$C429&lt;&gt;$M$1,对接源_01水果!$B429=""),0,IF(OR(N(对接源_01水果!$B429)&lt;$M$2,N(对接源_01水果!$B429)&gt;$M$3),0,1))</f>
        <v>0</v>
      </c>
      <c r="N429">
        <f>IF(OR($N$1="",对接源_01水果!$C429="",对接源_01水果!$C429&lt;&gt;$N$1,对接源_01水果!$B429=""),0,IF(OR(N(对接源_01水果!$B429)&lt;$N$2,N(对接源_01水果!$B429)&gt;$N$3),0,1))</f>
        <v>0</v>
      </c>
      <c r="P429">
        <f>IF(AND($K429=1,AND(对接源_01水果!$X429="公司筐",N(对接源_01水果!$T429)&lt;&gt;0)),1,0)</f>
        <v>0</v>
      </c>
      <c r="Q429">
        <f>N(Q428)+$P429</f>
        <v>0</v>
      </c>
      <c r="R429">
        <f>IF(AND($K429=1,AND(对接源_01水果!$X429="公司筐",N(对接源_01水果!$U429)&lt;&gt;0)),1,0)</f>
        <v>0</v>
      </c>
      <c r="S429">
        <f>N(S428)+$R429</f>
        <v>0</v>
      </c>
      <c r="T429">
        <f>IF(AND($K429=1,AND(对接源_01水果!$X429="公司筐",N(对接源_01水果!$V429)&lt;&gt;0)),1,0)</f>
        <v>0</v>
      </c>
      <c r="U429">
        <f>N(U428)+$T429</f>
        <v>39</v>
      </c>
      <c r="V429">
        <f>IF(AND($L429=1,AND(对接源_01水果!$X429="自备筐",N(对接源_01水果!$V429)&lt;&gt;0)),1,0)</f>
        <v>0</v>
      </c>
      <c r="W429">
        <f>N(W428)+$V429</f>
        <v>11</v>
      </c>
      <c r="X429">
        <f>IF(AND($L429=1,AND(对接源_01水果!$X429="自备筐",N(对接源_01水果!$T429)&lt;&gt;0)),1,0)</f>
        <v>0</v>
      </c>
      <c r="Y429">
        <f>N(Y428)+$X429</f>
        <v>0</v>
      </c>
      <c r="Z429">
        <f>IF(AND($M429=1,对接源_01水果!$D429="原料入库"),1,0)</f>
        <v>0</v>
      </c>
      <c r="AA429">
        <f>N(AA428)+$Z429</f>
        <v>24</v>
      </c>
      <c r="AB429">
        <f>IF(AND($M429=1,LEFT(对接源_01水果!$D429,4)="原料出库"),1,0)</f>
        <v>0</v>
      </c>
      <c r="AC429">
        <f>N(AC428)+$AB429</f>
        <v>0</v>
      </c>
      <c r="AD429">
        <f>IF(AND($M429=1,LEFT(对接源_01水果!$D429,4)="成品出库"),1,0)</f>
        <v>0</v>
      </c>
      <c r="AE429">
        <f>N(AE428)+$AD429</f>
        <v>0</v>
      </c>
      <c r="AF429">
        <f>IF(AND($N429=1,AND(LEFT(对接源_01水果!$D429,4)="包装物料",N(对接源_01水果!$K429)&lt;&gt;0)),1,0)</f>
        <v>0</v>
      </c>
      <c r="AG429">
        <f>N(AG428)+$AF429</f>
        <v>0</v>
      </c>
      <c r="AH429">
        <f>IF(AND($N429=1,AND(对接源_01水果!$D429="周转筐－销售出库",N(对接源_01水果!$K429)&lt;&gt;0)),1,0)</f>
        <v>0</v>
      </c>
      <c r="AI429">
        <f>N(AI428)+$AH429</f>
        <v>0</v>
      </c>
      <c r="AJ429" s="7" t="n"/>
      <c r="AL429">
        <f>IF(OR($AL$1="",对接源_01水果!$Y429="",对接源_01水果!$Y429&lt;&gt;$AL$1,对接源_01水果!$B429="",N(对接源_01水果!$AJ429)&lt;=0),0,IF(OR(N(对接源_01水果!$B429)&lt;$AL$2,N(对接源_01水果!$B429)&gt;$AL$3),0,1))</f>
        <v>0</v>
      </c>
      <c r="AM429">
        <f>N(AM428)+$AL429</f>
        <v>0</v>
      </c>
      <c r="AN429">
        <f>IF(对接源_01水果!$AC429="","",对接源_01水果!$AC429)</f>
      </c>
      <c r="AO429">
        <f>IF(AN429="",0,IF(MATCH(AN429,$AN$4:$AN$1203,0)=ROW()-3,1,0))</f>
        <v>0</v>
      </c>
      <c r="AP429">
        <f>N(AP428)+$AO429</f>
        <v>0</v>
      </c>
      <c r="AR429">
        <f>IF(OR($AF429=1,$AH429=1),1,0)</f>
        <v>0</v>
      </c>
      <c r="AS429">
        <f>N(AS428)+$AR429</f>
        <v>0</v>
      </c>
    </row>
    <row r="430" ht="14.25" customHeight="1" s="127">
      <c r="A430" t="str">
        <f>IF(对接源_01水果!$C430="","",对接源_01水果!$C430)</f>
        <v>艾海提</v>
      </c>
      <c r="B430">
        <f>IF(A430="",0,IF(MATCH(A430,$A$4:$A$2403,0)=ROW()-3,1,0))</f>
        <v>0</v>
      </c>
      <c r="C430">
        <f>N(C429)+B430</f>
        <v>21</v>
      </c>
      <c r="K430">
        <f>IF(OR($K$1="",对接源_01水果!$C430="",对接源_01水果!$C430&lt;&gt;$K$1,对接源_01水果!$B430=""),0,IF(OR(N(对接源_01水果!$B430)&lt;$K$2,N(对接源_01水果!$B430)&gt;$K$3),0,1))</f>
        <v>0</v>
      </c>
      <c r="L430">
        <f>IF(OR($L$1="",对接源_01水果!$C430="",对接源_01水果!$C430&lt;&gt;$L$1,对接源_01水果!$B430=""),0,IF(OR(N(对接源_01水果!$B430)&lt;$L$2,N(对接源_01水果!$B430)&gt;$L$3),0,1))</f>
        <v>0</v>
      </c>
      <c r="M430">
        <f>IF(OR($M$1="",对接源_01水果!$C430="",对接源_01水果!$C430&lt;&gt;$M$1,对接源_01水果!$B430=""),0,IF(OR(N(对接源_01水果!$B430)&lt;$M$2,N(对接源_01水果!$B430)&gt;$M$3),0,1))</f>
        <v>0</v>
      </c>
      <c r="N430">
        <f>IF(OR($N$1="",对接源_01水果!$C430="",对接源_01水果!$C430&lt;&gt;$N$1,对接源_01水果!$B430=""),0,IF(OR(N(对接源_01水果!$B430)&lt;$N$2,N(对接源_01水果!$B430)&gt;$N$3),0,1))</f>
        <v>0</v>
      </c>
      <c r="P430">
        <f>IF(AND($K430=1,AND(对接源_01水果!$X430="公司筐",N(对接源_01水果!$T430)&lt;&gt;0)),1,0)</f>
        <v>0</v>
      </c>
      <c r="Q430">
        <f>N(Q429)+$P430</f>
        <v>0</v>
      </c>
      <c r="R430">
        <f>IF(AND($K430=1,AND(对接源_01水果!$X430="公司筐",N(对接源_01水果!$U430)&lt;&gt;0)),1,0)</f>
        <v>0</v>
      </c>
      <c r="S430">
        <f>N(S429)+$R430</f>
        <v>0</v>
      </c>
      <c r="T430">
        <f>IF(AND($K430=1,AND(对接源_01水果!$X430="公司筐",N(对接源_01水果!$V430)&lt;&gt;0)),1,0)</f>
        <v>0</v>
      </c>
      <c r="U430">
        <f>N(U429)+$T430</f>
        <v>39</v>
      </c>
      <c r="V430">
        <f>IF(AND($L430=1,AND(对接源_01水果!$X430="自备筐",N(对接源_01水果!$V430)&lt;&gt;0)),1,0)</f>
        <v>0</v>
      </c>
      <c r="W430">
        <f>N(W429)+$V430</f>
        <v>11</v>
      </c>
      <c r="X430">
        <f>IF(AND($L430=1,AND(对接源_01水果!$X430="自备筐",N(对接源_01水果!$T430)&lt;&gt;0)),1,0)</f>
        <v>0</v>
      </c>
      <c r="Y430">
        <f>N(Y429)+$X430</f>
        <v>0</v>
      </c>
      <c r="Z430">
        <f>IF(AND($M430=1,对接源_01水果!$D430="原料入库"),1,0)</f>
        <v>0</v>
      </c>
      <c r="AA430">
        <f>N(AA429)+$Z430</f>
        <v>24</v>
      </c>
      <c r="AB430">
        <f>IF(AND($M430=1,LEFT(对接源_01水果!$D430,4)="原料出库"),1,0)</f>
        <v>0</v>
      </c>
      <c r="AC430">
        <f>N(AC429)+$AB430</f>
        <v>0</v>
      </c>
      <c r="AD430">
        <f>IF(AND($M430=1,LEFT(对接源_01水果!$D430,4)="成品出库"),1,0)</f>
        <v>0</v>
      </c>
      <c r="AE430">
        <f>N(AE429)+$AD430</f>
        <v>0</v>
      </c>
      <c r="AF430">
        <f>IF(AND($N430=1,AND(LEFT(对接源_01水果!$D430,4)="包装物料",N(对接源_01水果!$K430)&lt;&gt;0)),1,0)</f>
        <v>0</v>
      </c>
      <c r="AG430">
        <f>N(AG429)+$AF430</f>
        <v>0</v>
      </c>
      <c r="AH430">
        <f>IF(AND($N430=1,AND(对接源_01水果!$D430="周转筐－销售出库",N(对接源_01水果!$K430)&lt;&gt;0)),1,0)</f>
        <v>0</v>
      </c>
      <c r="AI430">
        <f>N(AI429)+$AH430</f>
        <v>0</v>
      </c>
      <c r="AJ430" s="7" t="n"/>
      <c r="AL430">
        <f>IF(OR($AL$1="",对接源_01水果!$Y430="",对接源_01水果!$Y430&lt;&gt;$AL$1,对接源_01水果!$B430="",N(对接源_01水果!$AJ430)&lt;=0),0,IF(OR(N(对接源_01水果!$B430)&lt;$AL$2,N(对接源_01水果!$B430)&gt;$AL$3),0,1))</f>
        <v>0</v>
      </c>
      <c r="AM430">
        <f>N(AM429)+$AL430</f>
        <v>0</v>
      </c>
      <c r="AN430">
        <f>IF(对接源_01水果!$AC430="","",对接源_01水果!$AC430)</f>
      </c>
      <c r="AO430">
        <f>IF(AN430="",0,IF(MATCH(AN430,$AN$4:$AN$1203,0)=ROW()-3,1,0))</f>
        <v>0</v>
      </c>
      <c r="AP430">
        <f>N(AP429)+$AO430</f>
        <v>0</v>
      </c>
      <c r="AR430">
        <f>IF(OR($AF430=1,$AH430=1),1,0)</f>
        <v>0</v>
      </c>
      <c r="AS430">
        <f>N(AS429)+$AR430</f>
        <v>0</v>
      </c>
    </row>
    <row r="431" ht="14.25" customHeight="1" s="127">
      <c r="A431" t="str">
        <f>IF(对接源_01水果!$C431="","",对接源_01水果!$C431)</f>
        <v>艾海提</v>
      </c>
      <c r="B431">
        <f>IF(A431="",0,IF(MATCH(A431,$A$4:$A$2403,0)=ROW()-3,1,0))</f>
        <v>0</v>
      </c>
      <c r="C431">
        <f>N(C430)+B431</f>
        <v>21</v>
      </c>
      <c r="K431">
        <f>IF(OR($K$1="",对接源_01水果!$C431="",对接源_01水果!$C431&lt;&gt;$K$1,对接源_01水果!$B431=""),0,IF(OR(N(对接源_01水果!$B431)&lt;$K$2,N(对接源_01水果!$B431)&gt;$K$3),0,1))</f>
        <v>0</v>
      </c>
      <c r="L431">
        <f>IF(OR($L$1="",对接源_01水果!$C431="",对接源_01水果!$C431&lt;&gt;$L$1,对接源_01水果!$B431=""),0,IF(OR(N(对接源_01水果!$B431)&lt;$L$2,N(对接源_01水果!$B431)&gt;$L$3),0,1))</f>
        <v>0</v>
      </c>
      <c r="M431">
        <f>IF(OR($M$1="",对接源_01水果!$C431="",对接源_01水果!$C431&lt;&gt;$M$1,对接源_01水果!$B431=""),0,IF(OR(N(对接源_01水果!$B431)&lt;$M$2,N(对接源_01水果!$B431)&gt;$M$3),0,1))</f>
        <v>0</v>
      </c>
      <c r="N431">
        <f>IF(OR($N$1="",对接源_01水果!$C431="",对接源_01水果!$C431&lt;&gt;$N$1,对接源_01水果!$B431=""),0,IF(OR(N(对接源_01水果!$B431)&lt;$N$2,N(对接源_01水果!$B431)&gt;$N$3),0,1))</f>
        <v>0</v>
      </c>
      <c r="P431">
        <f>IF(AND($K431=1,AND(对接源_01水果!$X431="公司筐",N(对接源_01水果!$T431)&lt;&gt;0)),1,0)</f>
        <v>0</v>
      </c>
      <c r="Q431">
        <f>N(Q430)+$P431</f>
        <v>0</v>
      </c>
      <c r="R431">
        <f>IF(AND($K431=1,AND(对接源_01水果!$X431="公司筐",N(对接源_01水果!$U431)&lt;&gt;0)),1,0)</f>
        <v>0</v>
      </c>
      <c r="S431">
        <f>N(S430)+$R431</f>
        <v>0</v>
      </c>
      <c r="T431">
        <f>IF(AND($K431=1,AND(对接源_01水果!$X431="公司筐",N(对接源_01水果!$V431)&lt;&gt;0)),1,0)</f>
        <v>0</v>
      </c>
      <c r="U431">
        <f>N(U430)+$T431</f>
        <v>39</v>
      </c>
      <c r="V431">
        <f>IF(AND($L431=1,AND(对接源_01水果!$X431="自备筐",N(对接源_01水果!$V431)&lt;&gt;0)),1,0)</f>
        <v>0</v>
      </c>
      <c r="W431">
        <f>N(W430)+$V431</f>
        <v>11</v>
      </c>
      <c r="X431">
        <f>IF(AND($L431=1,AND(对接源_01水果!$X431="自备筐",N(对接源_01水果!$T431)&lt;&gt;0)),1,0)</f>
        <v>0</v>
      </c>
      <c r="Y431">
        <f>N(Y430)+$X431</f>
        <v>0</v>
      </c>
      <c r="Z431">
        <f>IF(AND($M431=1,对接源_01水果!$D431="原料入库"),1,0)</f>
        <v>0</v>
      </c>
      <c r="AA431">
        <f>N(AA430)+$Z431</f>
        <v>24</v>
      </c>
      <c r="AB431">
        <f>IF(AND($M431=1,LEFT(对接源_01水果!$D431,4)="原料出库"),1,0)</f>
        <v>0</v>
      </c>
      <c r="AC431">
        <f>N(AC430)+$AB431</f>
        <v>0</v>
      </c>
      <c r="AD431">
        <f>IF(AND($M431=1,LEFT(对接源_01水果!$D431,4)="成品出库"),1,0)</f>
        <v>0</v>
      </c>
      <c r="AE431">
        <f>N(AE430)+$AD431</f>
        <v>0</v>
      </c>
      <c r="AF431">
        <f>IF(AND($N431=1,AND(LEFT(对接源_01水果!$D431,4)="包装物料",N(对接源_01水果!$K431)&lt;&gt;0)),1,0)</f>
        <v>0</v>
      </c>
      <c r="AG431">
        <f>N(AG430)+$AF431</f>
        <v>0</v>
      </c>
      <c r="AH431">
        <f>IF(AND($N431=1,AND(对接源_01水果!$D431="周转筐－销售出库",N(对接源_01水果!$K431)&lt;&gt;0)),1,0)</f>
        <v>0</v>
      </c>
      <c r="AI431">
        <f>N(AI430)+$AH431</f>
        <v>0</v>
      </c>
      <c r="AJ431" s="7" t="n"/>
      <c r="AL431">
        <f>IF(OR($AL$1="",对接源_01水果!$Y431="",对接源_01水果!$Y431&lt;&gt;$AL$1,对接源_01水果!$B431="",N(对接源_01水果!$AJ431)&lt;=0),0,IF(OR(N(对接源_01水果!$B431)&lt;$AL$2,N(对接源_01水果!$B431)&gt;$AL$3),0,1))</f>
        <v>0</v>
      </c>
      <c r="AM431">
        <f>N(AM430)+$AL431</f>
        <v>0</v>
      </c>
      <c r="AN431">
        <f>IF(对接源_01水果!$AC431="","",对接源_01水果!$AC431)</f>
      </c>
      <c r="AO431">
        <f>IF(AN431="",0,IF(MATCH(AN431,$AN$4:$AN$1203,0)=ROW()-3,1,0))</f>
        <v>0</v>
      </c>
      <c r="AP431">
        <f>N(AP430)+$AO431</f>
        <v>0</v>
      </c>
      <c r="AR431">
        <f>IF(OR($AF431=1,$AH431=1),1,0)</f>
        <v>0</v>
      </c>
      <c r="AS431">
        <f>N(AS430)+$AR431</f>
        <v>0</v>
      </c>
    </row>
    <row r="432" ht="14.25" customHeight="1" s="127">
      <c r="A432" t="str">
        <f>IF(对接源_01水果!$C432="","",对接源_01水果!$C432)</f>
        <v>艾海提</v>
      </c>
      <c r="B432">
        <f>IF(A432="",0,IF(MATCH(A432,$A$4:$A$2403,0)=ROW()-3,1,0))</f>
        <v>0</v>
      </c>
      <c r="C432">
        <f>N(C431)+B432</f>
        <v>21</v>
      </c>
      <c r="K432">
        <f>IF(OR($K$1="",对接源_01水果!$C432="",对接源_01水果!$C432&lt;&gt;$K$1,对接源_01水果!$B432=""),0,IF(OR(N(对接源_01水果!$B432)&lt;$K$2,N(对接源_01水果!$B432)&gt;$K$3),0,1))</f>
        <v>0</v>
      </c>
      <c r="L432">
        <f>IF(OR($L$1="",对接源_01水果!$C432="",对接源_01水果!$C432&lt;&gt;$L$1,对接源_01水果!$B432=""),0,IF(OR(N(对接源_01水果!$B432)&lt;$L$2,N(对接源_01水果!$B432)&gt;$L$3),0,1))</f>
        <v>0</v>
      </c>
      <c r="M432">
        <f>IF(OR($M$1="",对接源_01水果!$C432="",对接源_01水果!$C432&lt;&gt;$M$1,对接源_01水果!$B432=""),0,IF(OR(N(对接源_01水果!$B432)&lt;$M$2,N(对接源_01水果!$B432)&gt;$M$3),0,1))</f>
        <v>0</v>
      </c>
      <c r="N432">
        <f>IF(OR($N$1="",对接源_01水果!$C432="",对接源_01水果!$C432&lt;&gt;$N$1,对接源_01水果!$B432=""),0,IF(OR(N(对接源_01水果!$B432)&lt;$N$2,N(对接源_01水果!$B432)&gt;$N$3),0,1))</f>
        <v>0</v>
      </c>
      <c r="P432">
        <f>IF(AND($K432=1,AND(对接源_01水果!$X432="公司筐",N(对接源_01水果!$T432)&lt;&gt;0)),1,0)</f>
        <v>0</v>
      </c>
      <c r="Q432">
        <f>N(Q431)+$P432</f>
        <v>0</v>
      </c>
      <c r="R432">
        <f>IF(AND($K432=1,AND(对接源_01水果!$X432="公司筐",N(对接源_01水果!$U432)&lt;&gt;0)),1,0)</f>
        <v>0</v>
      </c>
      <c r="S432">
        <f>N(S431)+$R432</f>
        <v>0</v>
      </c>
      <c r="T432">
        <f>IF(AND($K432=1,AND(对接源_01水果!$X432="公司筐",N(对接源_01水果!$V432)&lt;&gt;0)),1,0)</f>
        <v>0</v>
      </c>
      <c r="U432">
        <f>N(U431)+$T432</f>
        <v>39</v>
      </c>
      <c r="V432">
        <f>IF(AND($L432=1,AND(对接源_01水果!$X432="自备筐",N(对接源_01水果!$V432)&lt;&gt;0)),1,0)</f>
        <v>0</v>
      </c>
      <c r="W432">
        <f>N(W431)+$V432</f>
        <v>11</v>
      </c>
      <c r="X432">
        <f>IF(AND($L432=1,AND(对接源_01水果!$X432="自备筐",N(对接源_01水果!$T432)&lt;&gt;0)),1,0)</f>
        <v>0</v>
      </c>
      <c r="Y432">
        <f>N(Y431)+$X432</f>
        <v>0</v>
      </c>
      <c r="Z432">
        <f>IF(AND($M432=1,对接源_01水果!$D432="原料入库"),1,0)</f>
        <v>0</v>
      </c>
      <c r="AA432">
        <f>N(AA431)+$Z432</f>
        <v>24</v>
      </c>
      <c r="AB432">
        <f>IF(AND($M432=1,LEFT(对接源_01水果!$D432,4)="原料出库"),1,0)</f>
        <v>0</v>
      </c>
      <c r="AC432">
        <f>N(AC431)+$AB432</f>
        <v>0</v>
      </c>
      <c r="AD432">
        <f>IF(AND($M432=1,LEFT(对接源_01水果!$D432,4)="成品出库"),1,0)</f>
        <v>0</v>
      </c>
      <c r="AE432">
        <f>N(AE431)+$AD432</f>
        <v>0</v>
      </c>
      <c r="AF432">
        <f>IF(AND($N432=1,AND(LEFT(对接源_01水果!$D432,4)="包装物料",N(对接源_01水果!$K432)&lt;&gt;0)),1,0)</f>
        <v>0</v>
      </c>
      <c r="AG432">
        <f>N(AG431)+$AF432</f>
        <v>0</v>
      </c>
      <c r="AH432">
        <f>IF(AND($N432=1,AND(对接源_01水果!$D432="周转筐－销售出库",N(对接源_01水果!$K432)&lt;&gt;0)),1,0)</f>
        <v>0</v>
      </c>
      <c r="AI432">
        <f>N(AI431)+$AH432</f>
        <v>0</v>
      </c>
      <c r="AJ432" s="7" t="n"/>
      <c r="AL432">
        <f>IF(OR($AL$1="",对接源_01水果!$Y432="",对接源_01水果!$Y432&lt;&gt;$AL$1,对接源_01水果!$B432="",N(对接源_01水果!$AJ432)&lt;=0),0,IF(OR(N(对接源_01水果!$B432)&lt;$AL$2,N(对接源_01水果!$B432)&gt;$AL$3),0,1))</f>
        <v>0</v>
      </c>
      <c r="AM432">
        <f>N(AM431)+$AL432</f>
        <v>0</v>
      </c>
      <c r="AN432">
        <f>IF(对接源_01水果!$AC432="","",对接源_01水果!$AC432)</f>
      </c>
      <c r="AO432">
        <f>IF(AN432="",0,IF(MATCH(AN432,$AN$4:$AN$1203,0)=ROW()-3,1,0))</f>
        <v>0</v>
      </c>
      <c r="AP432">
        <f>N(AP431)+$AO432</f>
        <v>0</v>
      </c>
      <c r="AR432">
        <f>IF(OR($AF432=1,$AH432=1),1,0)</f>
        <v>0</v>
      </c>
      <c r="AS432">
        <f>N(AS431)+$AR432</f>
        <v>0</v>
      </c>
    </row>
    <row r="433" ht="14.25" customHeight="1" s="127">
      <c r="A433" t="str">
        <f>IF(对接源_01水果!$C433="","",对接源_01水果!$C433)</f>
        <v>金龙</v>
      </c>
      <c r="B433">
        <f>IF(A433="",0,IF(MATCH(A433,$A$4:$A$2403,0)=ROW()-3,1,0))</f>
        <v>0</v>
      </c>
      <c r="C433">
        <f>N(C432)+B433</f>
        <v>21</v>
      </c>
      <c r="K433">
        <f>IF(OR($K$1="",对接源_01水果!$C433="",对接源_01水果!$C433&lt;&gt;$K$1,对接源_01水果!$B433=""),0,IF(OR(N(对接源_01水果!$B433)&lt;$K$2,N(对接源_01水果!$B433)&gt;$K$3),0,1))</f>
        <v>0</v>
      </c>
      <c r="L433">
        <f>IF(OR($L$1="",对接源_01水果!$C433="",对接源_01水果!$C433&lt;&gt;$L$1,对接源_01水果!$B433=""),0,IF(OR(N(对接源_01水果!$B433)&lt;$L$2,N(对接源_01水果!$B433)&gt;$L$3),0,1))</f>
        <v>0</v>
      </c>
      <c r="M433">
        <f>IF(OR($M$1="",对接源_01水果!$C433="",对接源_01水果!$C433&lt;&gt;$M$1,对接源_01水果!$B433=""),0,IF(OR(N(对接源_01水果!$B433)&lt;$M$2,N(对接源_01水果!$B433)&gt;$M$3),0,1))</f>
        <v>0</v>
      </c>
      <c r="N433">
        <f>IF(OR($N$1="",对接源_01水果!$C433="",对接源_01水果!$C433&lt;&gt;$N$1,对接源_01水果!$B433=""),0,IF(OR(N(对接源_01水果!$B433)&lt;$N$2,N(对接源_01水果!$B433)&gt;$N$3),0,1))</f>
        <v>0</v>
      </c>
      <c r="P433">
        <f>IF(AND($K433=1,AND(对接源_01水果!$X433="公司筐",N(对接源_01水果!$T433)&lt;&gt;0)),1,0)</f>
        <v>0</v>
      </c>
      <c r="Q433">
        <f>N(Q432)+$P433</f>
        <v>0</v>
      </c>
      <c r="R433">
        <f>IF(AND($K433=1,AND(对接源_01水果!$X433="公司筐",N(对接源_01水果!$U433)&lt;&gt;0)),1,0)</f>
        <v>0</v>
      </c>
      <c r="S433">
        <f>N(S432)+$R433</f>
        <v>0</v>
      </c>
      <c r="T433">
        <f>IF(AND($K433=1,AND(对接源_01水果!$X433="公司筐",N(对接源_01水果!$V433)&lt;&gt;0)),1,0)</f>
        <v>0</v>
      </c>
      <c r="U433">
        <f>N(U432)+$T433</f>
        <v>39</v>
      </c>
      <c r="V433">
        <f>IF(AND($L433=1,AND(对接源_01水果!$X433="自备筐",N(对接源_01水果!$V433)&lt;&gt;0)),1,0)</f>
        <v>0</v>
      </c>
      <c r="W433">
        <f>N(W432)+$V433</f>
        <v>11</v>
      </c>
      <c r="X433">
        <f>IF(AND($L433=1,AND(对接源_01水果!$X433="自备筐",N(对接源_01水果!$T433)&lt;&gt;0)),1,0)</f>
        <v>0</v>
      </c>
      <c r="Y433">
        <f>N(Y432)+$X433</f>
        <v>0</v>
      </c>
      <c r="Z433">
        <f>IF(AND($M433=1,对接源_01水果!$D433="原料入库"),1,0)</f>
        <v>0</v>
      </c>
      <c r="AA433">
        <f>N(AA432)+$Z433</f>
        <v>24</v>
      </c>
      <c r="AB433">
        <f>IF(AND($M433=1,LEFT(对接源_01水果!$D433,4)="原料出库"),1,0)</f>
        <v>0</v>
      </c>
      <c r="AC433">
        <f>N(AC432)+$AB433</f>
        <v>0</v>
      </c>
      <c r="AD433">
        <f>IF(AND($M433=1,LEFT(对接源_01水果!$D433,4)="成品出库"),1,0)</f>
        <v>0</v>
      </c>
      <c r="AE433">
        <f>N(AE432)+$AD433</f>
        <v>0</v>
      </c>
      <c r="AF433">
        <f>IF(AND($N433=1,AND(LEFT(对接源_01水果!$D433,4)="包装物料",N(对接源_01水果!$K433)&lt;&gt;0)),1,0)</f>
        <v>0</v>
      </c>
      <c r="AG433">
        <f>N(AG432)+$AF433</f>
        <v>0</v>
      </c>
      <c r="AH433">
        <f>IF(AND($N433=1,AND(对接源_01水果!$D433="周转筐－销售出库",N(对接源_01水果!$K433)&lt;&gt;0)),1,0)</f>
        <v>0</v>
      </c>
      <c r="AI433">
        <f>N(AI432)+$AH433</f>
        <v>0</v>
      </c>
      <c r="AJ433" s="7" t="n"/>
      <c r="AL433">
        <f>IF(OR($AL$1="",对接源_01水果!$Y433="",对接源_01水果!$Y433&lt;&gt;$AL$1,对接源_01水果!$B433="",N(对接源_01水果!$AJ433)&lt;=0),0,IF(OR(N(对接源_01水果!$B433)&lt;$AL$2,N(对接源_01水果!$B433)&gt;$AL$3),0,1))</f>
        <v>0</v>
      </c>
      <c r="AM433">
        <f>N(AM432)+$AL433</f>
        <v>0</v>
      </c>
      <c r="AN433">
        <f>IF(对接源_01水果!$AC433="","",对接源_01水果!$AC433)</f>
      </c>
      <c r="AO433">
        <f>IF(AN433="",0,IF(MATCH(AN433,$AN$4:$AN$1203,0)=ROW()-3,1,0))</f>
        <v>0</v>
      </c>
      <c r="AP433">
        <f>N(AP432)+$AO433</f>
        <v>0</v>
      </c>
      <c r="AR433">
        <f>IF(OR($AF433=1,$AH433=1),1,0)</f>
        <v>0</v>
      </c>
      <c r="AS433">
        <f>N(AS432)+$AR433</f>
        <v>0</v>
      </c>
    </row>
    <row r="434" ht="14.25" customHeight="1" s="127">
      <c r="A434" t="str">
        <f>IF(对接源_01水果!$C434="","",对接源_01水果!$C434)</f>
        <v>王灵云</v>
      </c>
      <c r="B434">
        <f>IF(A434="",0,IF(MATCH(A434,$A$4:$A$2403,0)=ROW()-3,1,0))</f>
        <v>0</v>
      </c>
      <c r="C434">
        <f>N(C433)+B434</f>
        <v>21</v>
      </c>
      <c r="K434">
        <f>IF(OR($K$1="",对接源_01水果!$C434="",对接源_01水果!$C434&lt;&gt;$K$1,对接源_01水果!$B434=""),0,IF(OR(N(对接源_01水果!$B434)&lt;$K$2,N(对接源_01水果!$B434)&gt;$K$3),0,1))</f>
        <v>1</v>
      </c>
      <c r="L434">
        <f>IF(OR($L$1="",对接源_01水果!$C434="",对接源_01水果!$C434&lt;&gt;$L$1,对接源_01水果!$B434=""),0,IF(OR(N(对接源_01水果!$B434)&lt;$L$2,N(对接源_01水果!$B434)&gt;$L$3),0,1))</f>
        <v>0</v>
      </c>
      <c r="M434">
        <f>IF(OR($M$1="",对接源_01水果!$C434="",对接源_01水果!$C434&lt;&gt;$M$1,对接源_01水果!$B434=""),0,IF(OR(N(对接源_01水果!$B434)&lt;$M$2,N(对接源_01水果!$B434)&gt;$M$3),0,1))</f>
        <v>0</v>
      </c>
      <c r="N434">
        <f>IF(OR($N$1="",对接源_01水果!$C434="",对接源_01水果!$C434&lt;&gt;$N$1,对接源_01水果!$B434=""),0,IF(OR(N(对接源_01水果!$B434)&lt;$N$2,N(对接源_01水果!$B434)&gt;$N$3),0,1))</f>
        <v>0</v>
      </c>
      <c r="P434">
        <f>IF(AND($K434=1,AND(对接源_01水果!$X434="公司筐",N(对接源_01水果!$T434)&lt;&gt;0)),1,0)</f>
        <v>0</v>
      </c>
      <c r="Q434">
        <f>N(Q433)+$P434</f>
        <v>0</v>
      </c>
      <c r="R434">
        <f>IF(AND($K434=1,AND(对接源_01水果!$X434="公司筐",N(对接源_01水果!$U434)&lt;&gt;0)),1,0)</f>
        <v>0</v>
      </c>
      <c r="S434">
        <f>N(S433)+$R434</f>
        <v>0</v>
      </c>
      <c r="T434">
        <f>IF(AND($K434=1,AND(对接源_01水果!$X434="公司筐",N(对接源_01水果!$V434)&lt;&gt;0)),1,0)</f>
        <v>1</v>
      </c>
      <c r="U434">
        <f>N(U433)+$T434</f>
        <v>40</v>
      </c>
      <c r="V434">
        <f>IF(AND($L434=1,AND(对接源_01水果!$X434="自备筐",N(对接源_01水果!$V434)&lt;&gt;0)),1,0)</f>
        <v>0</v>
      </c>
      <c r="W434">
        <f>N(W433)+$V434</f>
        <v>11</v>
      </c>
      <c r="X434">
        <f>IF(AND($L434=1,AND(对接源_01水果!$X434="自备筐",N(对接源_01水果!$T434)&lt;&gt;0)),1,0)</f>
        <v>0</v>
      </c>
      <c r="Y434">
        <f>N(Y433)+$X434</f>
        <v>0</v>
      </c>
      <c r="Z434">
        <f>IF(AND($M434=1,对接源_01水果!$D434="原料入库"),1,0)</f>
        <v>0</v>
      </c>
      <c r="AA434">
        <f>N(AA433)+$Z434</f>
        <v>24</v>
      </c>
      <c r="AB434">
        <f>IF(AND($M434=1,LEFT(对接源_01水果!$D434,4)="原料出库"),1,0)</f>
        <v>0</v>
      </c>
      <c r="AC434">
        <f>N(AC433)+$AB434</f>
        <v>0</v>
      </c>
      <c r="AD434">
        <f>IF(AND($M434=1,LEFT(对接源_01水果!$D434,4)="成品出库"),1,0)</f>
        <v>0</v>
      </c>
      <c r="AE434">
        <f>N(AE433)+$AD434</f>
        <v>0</v>
      </c>
      <c r="AF434">
        <f>IF(AND($N434=1,AND(LEFT(对接源_01水果!$D434,4)="包装物料",N(对接源_01水果!$K434)&lt;&gt;0)),1,0)</f>
        <v>0</v>
      </c>
      <c r="AG434">
        <f>N(AG433)+$AF434</f>
        <v>0</v>
      </c>
      <c r="AH434">
        <f>IF(AND($N434=1,AND(对接源_01水果!$D434="周转筐－销售出库",N(对接源_01水果!$K434)&lt;&gt;0)),1,0)</f>
        <v>0</v>
      </c>
      <c r="AI434">
        <f>N(AI433)+$AH434</f>
        <v>0</v>
      </c>
      <c r="AJ434" s="7" t="n"/>
      <c r="AL434">
        <f>IF(OR($AL$1="",对接源_01水果!$Y434="",对接源_01水果!$Y434&lt;&gt;$AL$1,对接源_01水果!$B434="",N(对接源_01水果!$AJ434)&lt;=0),0,IF(OR(N(对接源_01水果!$B434)&lt;$AL$2,N(对接源_01水果!$B434)&gt;$AL$3),0,1))</f>
        <v>0</v>
      </c>
      <c r="AM434">
        <f>N(AM433)+$AL434</f>
        <v>0</v>
      </c>
      <c r="AN434">
        <f>IF(对接源_01水果!$AC434="","",对接源_01水果!$AC434)</f>
      </c>
      <c r="AO434">
        <f>IF(AN434="",0,IF(MATCH(AN434,$AN$4:$AN$1203,0)=ROW()-3,1,0))</f>
        <v>0</v>
      </c>
      <c r="AP434">
        <f>N(AP433)+$AO434</f>
        <v>0</v>
      </c>
      <c r="AR434">
        <f>IF(OR($AF434=1,$AH434=1),1,0)</f>
        <v>0</v>
      </c>
      <c r="AS434">
        <f>N(AS433)+$AR434</f>
        <v>0</v>
      </c>
    </row>
    <row r="435" ht="14.25" customHeight="1" s="127">
      <c r="A435" t="str">
        <f>IF(对接源_01水果!$C435="","",对接源_01水果!$C435)</f>
        <v>王灵云</v>
      </c>
      <c r="B435">
        <f>IF(A435="",0,IF(MATCH(A435,$A$4:$A$2403,0)=ROW()-3,1,0))</f>
        <v>0</v>
      </c>
      <c r="C435">
        <f>N(C434)+B435</f>
        <v>21</v>
      </c>
      <c r="K435">
        <f>IF(OR($K$1="",对接源_01水果!$C435="",对接源_01水果!$C435&lt;&gt;$K$1,对接源_01水果!$B435=""),0,IF(OR(N(对接源_01水果!$B435)&lt;$K$2,N(对接源_01水果!$B435)&gt;$K$3),0,1))</f>
        <v>1</v>
      </c>
      <c r="L435">
        <f>IF(OR($L$1="",对接源_01水果!$C435="",对接源_01水果!$C435&lt;&gt;$L$1,对接源_01水果!$B435=""),0,IF(OR(N(对接源_01水果!$B435)&lt;$L$2,N(对接源_01水果!$B435)&gt;$L$3),0,1))</f>
        <v>0</v>
      </c>
      <c r="M435">
        <f>IF(OR($M$1="",对接源_01水果!$C435="",对接源_01水果!$C435&lt;&gt;$M$1,对接源_01水果!$B435=""),0,IF(OR(N(对接源_01水果!$B435)&lt;$M$2,N(对接源_01水果!$B435)&gt;$M$3),0,1))</f>
        <v>0</v>
      </c>
      <c r="N435">
        <f>IF(OR($N$1="",对接源_01水果!$C435="",对接源_01水果!$C435&lt;&gt;$N$1,对接源_01水果!$B435=""),0,IF(OR(N(对接源_01水果!$B435)&lt;$N$2,N(对接源_01水果!$B435)&gt;$N$3),0,1))</f>
        <v>0</v>
      </c>
      <c r="P435">
        <f>IF(AND($K435=1,AND(对接源_01水果!$X435="公司筐",N(对接源_01水果!$T435)&lt;&gt;0)),1,0)</f>
        <v>0</v>
      </c>
      <c r="Q435">
        <f>N(Q434)+$P435</f>
        <v>0</v>
      </c>
      <c r="R435">
        <f>IF(AND($K435=1,AND(对接源_01水果!$X435="公司筐",N(对接源_01水果!$U435)&lt;&gt;0)),1,0)</f>
        <v>0</v>
      </c>
      <c r="S435">
        <f>N(S434)+$R435</f>
        <v>0</v>
      </c>
      <c r="T435">
        <f>IF(AND($K435=1,AND(对接源_01水果!$X435="公司筐",N(对接源_01水果!$V435)&lt;&gt;0)),1,0)</f>
        <v>1</v>
      </c>
      <c r="U435">
        <f>N(U434)+$T435</f>
        <v>41</v>
      </c>
      <c r="V435">
        <f>IF(AND($L435=1,AND(对接源_01水果!$X435="自备筐",N(对接源_01水果!$V435)&lt;&gt;0)),1,0)</f>
        <v>0</v>
      </c>
      <c r="W435">
        <f>N(W434)+$V435</f>
        <v>11</v>
      </c>
      <c r="X435">
        <f>IF(AND($L435=1,AND(对接源_01水果!$X435="自备筐",N(对接源_01水果!$T435)&lt;&gt;0)),1,0)</f>
        <v>0</v>
      </c>
      <c r="Y435">
        <f>N(Y434)+$X435</f>
        <v>0</v>
      </c>
      <c r="Z435">
        <f>IF(AND($M435=1,对接源_01水果!$D435="原料入库"),1,0)</f>
        <v>0</v>
      </c>
      <c r="AA435">
        <f>N(AA434)+$Z435</f>
        <v>24</v>
      </c>
      <c r="AB435">
        <f>IF(AND($M435=1,LEFT(对接源_01水果!$D435,4)="原料出库"),1,0)</f>
        <v>0</v>
      </c>
      <c r="AC435">
        <f>N(AC434)+$AB435</f>
        <v>0</v>
      </c>
      <c r="AD435">
        <f>IF(AND($M435=1,LEFT(对接源_01水果!$D435,4)="成品出库"),1,0)</f>
        <v>0</v>
      </c>
      <c r="AE435">
        <f>N(AE434)+$AD435</f>
        <v>0</v>
      </c>
      <c r="AF435">
        <f>IF(AND($N435=1,AND(LEFT(对接源_01水果!$D435,4)="包装物料",N(对接源_01水果!$K435)&lt;&gt;0)),1,0)</f>
        <v>0</v>
      </c>
      <c r="AG435">
        <f>N(AG434)+$AF435</f>
        <v>0</v>
      </c>
      <c r="AH435">
        <f>IF(AND($N435=1,AND(对接源_01水果!$D435="周转筐－销售出库",N(对接源_01水果!$K435)&lt;&gt;0)),1,0)</f>
        <v>0</v>
      </c>
      <c r="AI435">
        <f>N(AI434)+$AH435</f>
        <v>0</v>
      </c>
      <c r="AJ435" s="7" t="n"/>
      <c r="AL435">
        <f>IF(OR($AL$1="",对接源_01水果!$Y435="",对接源_01水果!$Y435&lt;&gt;$AL$1,对接源_01水果!$B435="",N(对接源_01水果!$AJ435)&lt;=0),0,IF(OR(N(对接源_01水果!$B435)&lt;$AL$2,N(对接源_01水果!$B435)&gt;$AL$3),0,1))</f>
        <v>0</v>
      </c>
      <c r="AM435">
        <f>N(AM434)+$AL435</f>
        <v>0</v>
      </c>
      <c r="AN435">
        <f>IF(对接源_01水果!$AC435="","",对接源_01水果!$AC435)</f>
      </c>
      <c r="AO435">
        <f>IF(AN435="",0,IF(MATCH(AN435,$AN$4:$AN$1203,0)=ROW()-3,1,0))</f>
        <v>0</v>
      </c>
      <c r="AP435">
        <f>N(AP434)+$AO435</f>
        <v>0</v>
      </c>
      <c r="AR435">
        <f>IF(OR($AF435=1,$AH435=1),1,0)</f>
        <v>0</v>
      </c>
      <c r="AS435">
        <f>N(AS434)+$AR435</f>
        <v>0</v>
      </c>
    </row>
    <row r="436" ht="14.25" customHeight="1" s="127">
      <c r="A436" t="str">
        <f>IF(对接源_01水果!$C436="","",对接源_01水果!$C436)</f>
        <v>努尔敦</v>
      </c>
      <c r="B436">
        <f>IF(A436="",0,IF(MATCH(A436,$A$4:$A$2403,0)=ROW()-3,1,0))</f>
        <v>0</v>
      </c>
      <c r="C436">
        <f>N(C435)+B436</f>
        <v>21</v>
      </c>
      <c r="K436">
        <f>IF(OR($K$1="",对接源_01水果!$C436="",对接源_01水果!$C436&lt;&gt;$K$1,对接源_01水果!$B436=""),0,IF(OR(N(对接源_01水果!$B436)&lt;$K$2,N(对接源_01水果!$B436)&gt;$K$3),0,1))</f>
        <v>0</v>
      </c>
      <c r="L436">
        <f>IF(OR($L$1="",对接源_01水果!$C436="",对接源_01水果!$C436&lt;&gt;$L$1,对接源_01水果!$B436=""),0,IF(OR(N(对接源_01水果!$B436)&lt;$L$2,N(对接源_01水果!$B436)&gt;$L$3),0,1))</f>
        <v>0</v>
      </c>
      <c r="M436">
        <f>IF(OR($M$1="",对接源_01水果!$C436="",对接源_01水果!$C436&lt;&gt;$M$1,对接源_01水果!$B436=""),0,IF(OR(N(对接源_01水果!$B436)&lt;$M$2,N(对接源_01水果!$B436)&gt;$M$3),0,1))</f>
        <v>0</v>
      </c>
      <c r="N436">
        <f>IF(OR($N$1="",对接源_01水果!$C436="",对接源_01水果!$C436&lt;&gt;$N$1,对接源_01水果!$B436=""),0,IF(OR(N(对接源_01水果!$B436)&lt;$N$2,N(对接源_01水果!$B436)&gt;$N$3),0,1))</f>
        <v>0</v>
      </c>
      <c r="P436">
        <f>IF(AND($K436=1,AND(对接源_01水果!$X436="公司筐",N(对接源_01水果!$T436)&lt;&gt;0)),1,0)</f>
        <v>0</v>
      </c>
      <c r="Q436">
        <f>N(Q435)+$P436</f>
        <v>0</v>
      </c>
      <c r="R436">
        <f>IF(AND($K436=1,AND(对接源_01水果!$X436="公司筐",N(对接源_01水果!$U436)&lt;&gt;0)),1,0)</f>
        <v>0</v>
      </c>
      <c r="S436">
        <f>N(S435)+$R436</f>
        <v>0</v>
      </c>
      <c r="T436">
        <f>IF(AND($K436=1,AND(对接源_01水果!$X436="公司筐",N(对接源_01水果!$V436)&lt;&gt;0)),1,0)</f>
        <v>0</v>
      </c>
      <c r="U436">
        <f>N(U435)+$T436</f>
        <v>41</v>
      </c>
      <c r="V436">
        <f>IF(AND($L436=1,AND(对接源_01水果!$X436="自备筐",N(对接源_01水果!$V436)&lt;&gt;0)),1,0)</f>
        <v>0</v>
      </c>
      <c r="W436">
        <f>N(W435)+$V436</f>
        <v>11</v>
      </c>
      <c r="X436">
        <f>IF(AND($L436=1,AND(对接源_01水果!$X436="自备筐",N(对接源_01水果!$T436)&lt;&gt;0)),1,0)</f>
        <v>0</v>
      </c>
      <c r="Y436">
        <f>N(Y435)+$X436</f>
        <v>0</v>
      </c>
      <c r="Z436">
        <f>IF(AND($M436=1,对接源_01水果!$D436="原料入库"),1,0)</f>
        <v>0</v>
      </c>
      <c r="AA436">
        <f>N(AA435)+$Z436</f>
        <v>24</v>
      </c>
      <c r="AB436">
        <f>IF(AND($M436=1,LEFT(对接源_01水果!$D436,4)="原料出库"),1,0)</f>
        <v>0</v>
      </c>
      <c r="AC436">
        <f>N(AC435)+$AB436</f>
        <v>0</v>
      </c>
      <c r="AD436">
        <f>IF(AND($M436=1,LEFT(对接源_01水果!$D436,4)="成品出库"),1,0)</f>
        <v>0</v>
      </c>
      <c r="AE436">
        <f>N(AE435)+$AD436</f>
        <v>0</v>
      </c>
      <c r="AF436">
        <f>IF(AND($N436=1,AND(LEFT(对接源_01水果!$D436,4)="包装物料",N(对接源_01水果!$K436)&lt;&gt;0)),1,0)</f>
        <v>0</v>
      </c>
      <c r="AG436">
        <f>N(AG435)+$AF436</f>
        <v>0</v>
      </c>
      <c r="AH436">
        <f>IF(AND($N436=1,AND(对接源_01水果!$D436="周转筐－销售出库",N(对接源_01水果!$K436)&lt;&gt;0)),1,0)</f>
        <v>0</v>
      </c>
      <c r="AI436">
        <f>N(AI435)+$AH436</f>
        <v>0</v>
      </c>
      <c r="AJ436" s="7" t="n"/>
      <c r="AL436">
        <f>IF(OR($AL$1="",对接源_01水果!$Y436="",对接源_01水果!$Y436&lt;&gt;$AL$1,对接源_01水果!$B436="",N(对接源_01水果!$AJ436)&lt;=0),0,IF(OR(N(对接源_01水果!$B436)&lt;$AL$2,N(对接源_01水果!$B436)&gt;$AL$3),0,1))</f>
        <v>0</v>
      </c>
      <c r="AM436">
        <f>N(AM435)+$AL436</f>
        <v>0</v>
      </c>
      <c r="AN436">
        <f>IF(对接源_01水果!$AC436="","",对接源_01水果!$AC436)</f>
      </c>
      <c r="AO436">
        <f>IF(AN436="",0,IF(MATCH(AN436,$AN$4:$AN$1203,0)=ROW()-3,1,0))</f>
        <v>0</v>
      </c>
      <c r="AP436">
        <f>N(AP435)+$AO436</f>
        <v>0</v>
      </c>
      <c r="AR436">
        <f>IF(OR($AF436=1,$AH436=1),1,0)</f>
        <v>0</v>
      </c>
      <c r="AS436">
        <f>N(AS435)+$AR436</f>
        <v>0</v>
      </c>
    </row>
    <row r="437" ht="14.25" customHeight="1" s="127">
      <c r="A437" t="str">
        <f>IF(对接源_01水果!$C437="","",对接源_01水果!$C437)</f>
        <v>努尔敦</v>
      </c>
      <c r="B437">
        <f>IF(A437="",0,IF(MATCH(A437,$A$4:$A$2403,0)=ROW()-3,1,0))</f>
        <v>0</v>
      </c>
      <c r="C437">
        <f>N(C436)+B437</f>
        <v>21</v>
      </c>
      <c r="K437">
        <f>IF(OR($K$1="",对接源_01水果!$C437="",对接源_01水果!$C437&lt;&gt;$K$1,对接源_01水果!$B437=""),0,IF(OR(N(对接源_01水果!$B437)&lt;$K$2,N(对接源_01水果!$B437)&gt;$K$3),0,1))</f>
        <v>0</v>
      </c>
      <c r="L437">
        <f>IF(OR($L$1="",对接源_01水果!$C437="",对接源_01水果!$C437&lt;&gt;$L$1,对接源_01水果!$B437=""),0,IF(OR(N(对接源_01水果!$B437)&lt;$L$2,N(对接源_01水果!$B437)&gt;$L$3),0,1))</f>
        <v>0</v>
      </c>
      <c r="M437">
        <f>IF(OR($M$1="",对接源_01水果!$C437="",对接源_01水果!$C437&lt;&gt;$M$1,对接源_01水果!$B437=""),0,IF(OR(N(对接源_01水果!$B437)&lt;$M$2,N(对接源_01水果!$B437)&gt;$M$3),0,1))</f>
        <v>0</v>
      </c>
      <c r="N437">
        <f>IF(OR($N$1="",对接源_01水果!$C437="",对接源_01水果!$C437&lt;&gt;$N$1,对接源_01水果!$B437=""),0,IF(OR(N(对接源_01水果!$B437)&lt;$N$2,N(对接源_01水果!$B437)&gt;$N$3),0,1))</f>
        <v>0</v>
      </c>
      <c r="P437">
        <f>IF(AND($K437=1,AND(对接源_01水果!$X437="公司筐",N(对接源_01水果!$T437)&lt;&gt;0)),1,0)</f>
        <v>0</v>
      </c>
      <c r="Q437">
        <f>N(Q436)+$P437</f>
        <v>0</v>
      </c>
      <c r="R437">
        <f>IF(AND($K437=1,AND(对接源_01水果!$X437="公司筐",N(对接源_01水果!$U437)&lt;&gt;0)),1,0)</f>
        <v>0</v>
      </c>
      <c r="S437">
        <f>N(S436)+$R437</f>
        <v>0</v>
      </c>
      <c r="T437">
        <f>IF(AND($K437=1,AND(对接源_01水果!$X437="公司筐",N(对接源_01水果!$V437)&lt;&gt;0)),1,0)</f>
        <v>0</v>
      </c>
      <c r="U437">
        <f>N(U436)+$T437</f>
        <v>41</v>
      </c>
      <c r="V437">
        <f>IF(AND($L437=1,AND(对接源_01水果!$X437="自备筐",N(对接源_01水果!$V437)&lt;&gt;0)),1,0)</f>
        <v>0</v>
      </c>
      <c r="W437">
        <f>N(W436)+$V437</f>
        <v>11</v>
      </c>
      <c r="X437">
        <f>IF(AND($L437=1,AND(对接源_01水果!$X437="自备筐",N(对接源_01水果!$T437)&lt;&gt;0)),1,0)</f>
        <v>0</v>
      </c>
      <c r="Y437">
        <f>N(Y436)+$X437</f>
        <v>0</v>
      </c>
      <c r="Z437">
        <f>IF(AND($M437=1,对接源_01水果!$D437="原料入库"),1,0)</f>
        <v>0</v>
      </c>
      <c r="AA437">
        <f>N(AA436)+$Z437</f>
        <v>24</v>
      </c>
      <c r="AB437">
        <f>IF(AND($M437=1,LEFT(对接源_01水果!$D437,4)="原料出库"),1,0)</f>
        <v>0</v>
      </c>
      <c r="AC437">
        <f>N(AC436)+$AB437</f>
        <v>0</v>
      </c>
      <c r="AD437">
        <f>IF(AND($M437=1,LEFT(对接源_01水果!$D437,4)="成品出库"),1,0)</f>
        <v>0</v>
      </c>
      <c r="AE437">
        <f>N(AE436)+$AD437</f>
        <v>0</v>
      </c>
      <c r="AF437">
        <f>IF(AND($N437=1,AND(LEFT(对接源_01水果!$D437,4)="包装物料",N(对接源_01水果!$K437)&lt;&gt;0)),1,0)</f>
        <v>0</v>
      </c>
      <c r="AG437">
        <f>N(AG436)+$AF437</f>
        <v>0</v>
      </c>
      <c r="AH437">
        <f>IF(AND($N437=1,AND(对接源_01水果!$D437="周转筐－销售出库",N(对接源_01水果!$K437)&lt;&gt;0)),1,0)</f>
        <v>0</v>
      </c>
      <c r="AI437">
        <f>N(AI436)+$AH437</f>
        <v>0</v>
      </c>
      <c r="AJ437" s="7" t="n"/>
      <c r="AL437">
        <f>IF(OR($AL$1="",对接源_01水果!$Y437="",对接源_01水果!$Y437&lt;&gt;$AL$1,对接源_01水果!$B437="",N(对接源_01水果!$AJ437)&lt;=0),0,IF(OR(N(对接源_01水果!$B437)&lt;$AL$2,N(对接源_01水果!$B437)&gt;$AL$3),0,1))</f>
        <v>0</v>
      </c>
      <c r="AM437">
        <f>N(AM436)+$AL437</f>
        <v>0</v>
      </c>
      <c r="AN437">
        <f>IF(对接源_01水果!$AC437="","",对接源_01水果!$AC437)</f>
      </c>
      <c r="AO437">
        <f>IF(AN437="",0,IF(MATCH(AN437,$AN$4:$AN$1203,0)=ROW()-3,1,0))</f>
        <v>0</v>
      </c>
      <c r="AP437">
        <f>N(AP436)+$AO437</f>
        <v>0</v>
      </c>
      <c r="AR437">
        <f>IF(OR($AF437=1,$AH437=1),1,0)</f>
        <v>0</v>
      </c>
      <c r="AS437">
        <f>N(AS436)+$AR437</f>
        <v>0</v>
      </c>
    </row>
    <row r="438" ht="14.25" customHeight="1" s="127">
      <c r="A438" t="str">
        <f>IF(对接源_01水果!$C438="","",对接源_01水果!$C438)</f>
        <v>麦麦提</v>
      </c>
      <c r="B438">
        <f>IF(A438="",0,IF(MATCH(A438,$A$4:$A$2403,0)=ROW()-3,1,0))</f>
        <v>0</v>
      </c>
      <c r="C438">
        <f>N(C437)+B438</f>
        <v>21</v>
      </c>
      <c r="K438">
        <f>IF(OR($K$1="",对接源_01水果!$C438="",对接源_01水果!$C438&lt;&gt;$K$1,对接源_01水果!$B438=""),0,IF(OR(N(对接源_01水果!$B438)&lt;$K$2,N(对接源_01水果!$B438)&gt;$K$3),0,1))</f>
        <v>0</v>
      </c>
      <c r="L438">
        <f>IF(OR($L$1="",对接源_01水果!$C438="",对接源_01水果!$C438&lt;&gt;$L$1,对接源_01水果!$B438=""),0,IF(OR(N(对接源_01水果!$B438)&lt;$L$2,N(对接源_01水果!$B438)&gt;$L$3),0,1))</f>
        <v>0</v>
      </c>
      <c r="M438">
        <f>IF(OR($M$1="",对接源_01水果!$C438="",对接源_01水果!$C438&lt;&gt;$M$1,对接源_01水果!$B438=""),0,IF(OR(N(对接源_01水果!$B438)&lt;$M$2,N(对接源_01水果!$B438)&gt;$M$3),0,1))</f>
        <v>0</v>
      </c>
      <c r="N438">
        <f>IF(OR($N$1="",对接源_01水果!$C438="",对接源_01水果!$C438&lt;&gt;$N$1,对接源_01水果!$B438=""),0,IF(OR(N(对接源_01水果!$B438)&lt;$N$2,N(对接源_01水果!$B438)&gt;$N$3),0,1))</f>
        <v>1</v>
      </c>
      <c r="P438">
        <f>IF(AND($K438=1,AND(对接源_01水果!$X438="公司筐",N(对接源_01水果!$T438)&lt;&gt;0)),1,0)</f>
        <v>0</v>
      </c>
      <c r="Q438">
        <f>N(Q437)+$P438</f>
        <v>0</v>
      </c>
      <c r="R438">
        <f>IF(AND($K438=1,AND(对接源_01水果!$X438="公司筐",N(对接源_01水果!$U438)&lt;&gt;0)),1,0)</f>
        <v>0</v>
      </c>
      <c r="S438">
        <f>N(S437)+$R438</f>
        <v>0</v>
      </c>
      <c r="T438">
        <f>IF(AND($K438=1,AND(对接源_01水果!$X438="公司筐",N(对接源_01水果!$V438)&lt;&gt;0)),1,0)</f>
        <v>0</v>
      </c>
      <c r="U438">
        <f>N(U437)+$T438</f>
        <v>41</v>
      </c>
      <c r="V438">
        <f>IF(AND($L438=1,AND(对接源_01水果!$X438="自备筐",N(对接源_01水果!$V438)&lt;&gt;0)),1,0)</f>
        <v>0</v>
      </c>
      <c r="W438">
        <f>N(W437)+$V438</f>
        <v>11</v>
      </c>
      <c r="X438">
        <f>IF(AND($L438=1,AND(对接源_01水果!$X438="自备筐",N(对接源_01水果!$T438)&lt;&gt;0)),1,0)</f>
        <v>0</v>
      </c>
      <c r="Y438">
        <f>N(Y437)+$X438</f>
        <v>0</v>
      </c>
      <c r="Z438">
        <f>IF(AND($M438=1,对接源_01水果!$D438="原料入库"),1,0)</f>
        <v>0</v>
      </c>
      <c r="AA438">
        <f>N(AA437)+$Z438</f>
        <v>24</v>
      </c>
      <c r="AB438">
        <f>IF(AND($M438=1,LEFT(对接源_01水果!$D438,4)="原料出库"),1,0)</f>
        <v>0</v>
      </c>
      <c r="AC438">
        <f>N(AC437)+$AB438</f>
        <v>0</v>
      </c>
      <c r="AD438">
        <f>IF(AND($M438=1,LEFT(对接源_01水果!$D438,4)="成品出库"),1,0)</f>
        <v>0</v>
      </c>
      <c r="AE438">
        <f>N(AE437)+$AD438</f>
        <v>0</v>
      </c>
      <c r="AF438">
        <f>IF(AND($N438=1,AND(LEFT(对接源_01水果!$D438,4)="包装物料",N(对接源_01水果!$K438)&lt;&gt;0)),1,0)</f>
        <v>0</v>
      </c>
      <c r="AG438">
        <f>N(AG437)+$AF438</f>
        <v>0</v>
      </c>
      <c r="AH438">
        <f>IF(AND($N438=1,AND(对接源_01水果!$D438="周转筐－销售出库",N(对接源_01水果!$K438)&lt;&gt;0)),1,0)</f>
        <v>0</v>
      </c>
      <c r="AI438">
        <f>N(AI437)+$AH438</f>
        <v>0</v>
      </c>
      <c r="AJ438" s="7" t="n"/>
      <c r="AL438">
        <f>IF(OR($AL$1="",对接源_01水果!$Y438="",对接源_01水果!$Y438&lt;&gt;$AL$1,对接源_01水果!$B438="",N(对接源_01水果!$AJ438)&lt;=0),0,IF(OR(N(对接源_01水果!$B438)&lt;$AL$2,N(对接源_01水果!$B438)&gt;$AL$3),0,1))</f>
        <v>0</v>
      </c>
      <c r="AM438">
        <f>N(AM437)+$AL438</f>
        <v>0</v>
      </c>
      <c r="AN438">
        <f>IF(对接源_01水果!$AC438="","",对接源_01水果!$AC438)</f>
      </c>
      <c r="AO438">
        <f>IF(AN438="",0,IF(MATCH(AN438,$AN$4:$AN$1203,0)=ROW()-3,1,0))</f>
        <v>0</v>
      </c>
      <c r="AP438">
        <f>N(AP437)+$AO438</f>
        <v>0</v>
      </c>
      <c r="AR438">
        <f>IF(OR($AF438=1,$AH438=1),1,0)</f>
        <v>0</v>
      </c>
      <c r="AS438">
        <f>N(AS437)+$AR438</f>
        <v>0</v>
      </c>
    </row>
    <row r="439" ht="14.25" customHeight="1" s="127">
      <c r="A439" t="str">
        <f>IF(对接源_01水果!$C439="","",对接源_01水果!$C439)</f>
        <v>麦麦提</v>
      </c>
      <c r="B439">
        <f>IF(A439="",0,IF(MATCH(A439,$A$4:$A$2403,0)=ROW()-3,1,0))</f>
        <v>0</v>
      </c>
      <c r="C439">
        <f>N(C438)+B439</f>
        <v>21</v>
      </c>
      <c r="K439">
        <f>IF(OR($K$1="",对接源_01水果!$C439="",对接源_01水果!$C439&lt;&gt;$K$1,对接源_01水果!$B439=""),0,IF(OR(N(对接源_01水果!$B439)&lt;$K$2,N(对接源_01水果!$B439)&gt;$K$3),0,1))</f>
        <v>0</v>
      </c>
      <c r="L439">
        <f>IF(OR($L$1="",对接源_01水果!$C439="",对接源_01水果!$C439&lt;&gt;$L$1,对接源_01水果!$B439=""),0,IF(OR(N(对接源_01水果!$B439)&lt;$L$2,N(对接源_01水果!$B439)&gt;$L$3),0,1))</f>
        <v>0</v>
      </c>
      <c r="M439">
        <f>IF(OR($M$1="",对接源_01水果!$C439="",对接源_01水果!$C439&lt;&gt;$M$1,对接源_01水果!$B439=""),0,IF(OR(N(对接源_01水果!$B439)&lt;$M$2,N(对接源_01水果!$B439)&gt;$M$3),0,1))</f>
        <v>0</v>
      </c>
      <c r="N439">
        <f>IF(OR($N$1="",对接源_01水果!$C439="",对接源_01水果!$C439&lt;&gt;$N$1,对接源_01水果!$B439=""),0,IF(OR(N(对接源_01水果!$B439)&lt;$N$2,N(对接源_01水果!$B439)&gt;$N$3),0,1))</f>
        <v>1</v>
      </c>
      <c r="P439">
        <f>IF(AND($K439=1,AND(对接源_01水果!$X439="公司筐",N(对接源_01水果!$T439)&lt;&gt;0)),1,0)</f>
        <v>0</v>
      </c>
      <c r="Q439">
        <f>N(Q438)+$P439</f>
        <v>0</v>
      </c>
      <c r="R439">
        <f>IF(AND($K439=1,AND(对接源_01水果!$X439="公司筐",N(对接源_01水果!$U439)&lt;&gt;0)),1,0)</f>
        <v>0</v>
      </c>
      <c r="S439">
        <f>N(S438)+$R439</f>
        <v>0</v>
      </c>
      <c r="T439">
        <f>IF(AND($K439=1,AND(对接源_01水果!$X439="公司筐",N(对接源_01水果!$V439)&lt;&gt;0)),1,0)</f>
        <v>0</v>
      </c>
      <c r="U439">
        <f>N(U438)+$T439</f>
        <v>41</v>
      </c>
      <c r="V439">
        <f>IF(AND($L439=1,AND(对接源_01水果!$X439="自备筐",N(对接源_01水果!$V439)&lt;&gt;0)),1,0)</f>
        <v>0</v>
      </c>
      <c r="W439">
        <f>N(W438)+$V439</f>
        <v>11</v>
      </c>
      <c r="X439">
        <f>IF(AND($L439=1,AND(对接源_01水果!$X439="自备筐",N(对接源_01水果!$T439)&lt;&gt;0)),1,0)</f>
        <v>0</v>
      </c>
      <c r="Y439">
        <f>N(Y438)+$X439</f>
        <v>0</v>
      </c>
      <c r="Z439">
        <f>IF(AND($M439=1,对接源_01水果!$D439="原料入库"),1,0)</f>
        <v>0</v>
      </c>
      <c r="AA439">
        <f>N(AA438)+$Z439</f>
        <v>24</v>
      </c>
      <c r="AB439">
        <f>IF(AND($M439=1,LEFT(对接源_01水果!$D439,4)="原料出库"),1,0)</f>
        <v>0</v>
      </c>
      <c r="AC439">
        <f>N(AC438)+$AB439</f>
        <v>0</v>
      </c>
      <c r="AD439">
        <f>IF(AND($M439=1,LEFT(对接源_01水果!$D439,4)="成品出库"),1,0)</f>
        <v>0</v>
      </c>
      <c r="AE439">
        <f>N(AE438)+$AD439</f>
        <v>0</v>
      </c>
      <c r="AF439">
        <f>IF(AND($N439=1,AND(LEFT(对接源_01水果!$D439,4)="包装物料",N(对接源_01水果!$K439)&lt;&gt;0)),1,0)</f>
        <v>0</v>
      </c>
      <c r="AG439">
        <f>N(AG438)+$AF439</f>
        <v>0</v>
      </c>
      <c r="AH439">
        <f>IF(AND($N439=1,AND(对接源_01水果!$D439="周转筐－销售出库",N(对接源_01水果!$K439)&lt;&gt;0)),1,0)</f>
        <v>0</v>
      </c>
      <c r="AI439">
        <f>N(AI438)+$AH439</f>
        <v>0</v>
      </c>
      <c r="AJ439" s="7" t="n"/>
      <c r="AL439">
        <f>IF(OR($AL$1="",对接源_01水果!$Y439="",对接源_01水果!$Y439&lt;&gt;$AL$1,对接源_01水果!$B439="",N(对接源_01水果!$AJ439)&lt;=0),0,IF(OR(N(对接源_01水果!$B439)&lt;$AL$2,N(对接源_01水果!$B439)&gt;$AL$3),0,1))</f>
        <v>0</v>
      </c>
      <c r="AM439">
        <f>N(AM438)+$AL439</f>
        <v>0</v>
      </c>
      <c r="AN439">
        <f>IF(对接源_01水果!$AC439="","",对接源_01水果!$AC439)</f>
      </c>
      <c r="AO439">
        <f>IF(AN439="",0,IF(MATCH(AN439,$AN$4:$AN$1203,0)=ROW()-3,1,0))</f>
        <v>0</v>
      </c>
      <c r="AP439">
        <f>N(AP438)+$AO439</f>
        <v>0</v>
      </c>
      <c r="AR439">
        <f>IF(OR($AF439=1,$AH439=1),1,0)</f>
        <v>0</v>
      </c>
      <c r="AS439">
        <f>N(AS438)+$AR439</f>
        <v>0</v>
      </c>
    </row>
    <row r="440" ht="14.25" customHeight="1" s="127">
      <c r="A440" t="str">
        <f>IF(对接源_01水果!$C440="","",对接源_01水果!$C440)</f>
        <v>麦麦提</v>
      </c>
      <c r="B440">
        <f>IF(A440="",0,IF(MATCH(A440,$A$4:$A$2403,0)=ROW()-3,1,0))</f>
        <v>0</v>
      </c>
      <c r="C440">
        <f>N(C439)+B440</f>
        <v>21</v>
      </c>
      <c r="K440">
        <f>IF(OR($K$1="",对接源_01水果!$C440="",对接源_01水果!$C440&lt;&gt;$K$1,对接源_01水果!$B440=""),0,IF(OR(N(对接源_01水果!$B440)&lt;$K$2,N(对接源_01水果!$B440)&gt;$K$3),0,1))</f>
        <v>0</v>
      </c>
      <c r="L440">
        <f>IF(OR($L$1="",对接源_01水果!$C440="",对接源_01水果!$C440&lt;&gt;$L$1,对接源_01水果!$B440=""),0,IF(OR(N(对接源_01水果!$B440)&lt;$L$2,N(对接源_01水果!$B440)&gt;$L$3),0,1))</f>
        <v>0</v>
      </c>
      <c r="M440">
        <f>IF(OR($M$1="",对接源_01水果!$C440="",对接源_01水果!$C440&lt;&gt;$M$1,对接源_01水果!$B440=""),0,IF(OR(N(对接源_01水果!$B440)&lt;$M$2,N(对接源_01水果!$B440)&gt;$M$3),0,1))</f>
        <v>0</v>
      </c>
      <c r="N440">
        <f>IF(OR($N$1="",对接源_01水果!$C440="",对接源_01水果!$C440&lt;&gt;$N$1,对接源_01水果!$B440=""),0,IF(OR(N(对接源_01水果!$B440)&lt;$N$2,N(对接源_01水果!$B440)&gt;$N$3),0,1))</f>
        <v>1</v>
      </c>
      <c r="P440">
        <f>IF(AND($K440=1,AND(对接源_01水果!$X440="公司筐",N(对接源_01水果!$T440)&lt;&gt;0)),1,0)</f>
        <v>0</v>
      </c>
      <c r="Q440">
        <f>N(Q439)+$P440</f>
        <v>0</v>
      </c>
      <c r="R440">
        <f>IF(AND($K440=1,AND(对接源_01水果!$X440="公司筐",N(对接源_01水果!$U440)&lt;&gt;0)),1,0)</f>
        <v>0</v>
      </c>
      <c r="S440">
        <f>N(S439)+$R440</f>
        <v>0</v>
      </c>
      <c r="T440">
        <f>IF(AND($K440=1,AND(对接源_01水果!$X440="公司筐",N(对接源_01水果!$V440)&lt;&gt;0)),1,0)</f>
        <v>0</v>
      </c>
      <c r="U440">
        <f>N(U439)+$T440</f>
        <v>41</v>
      </c>
      <c r="V440">
        <f>IF(AND($L440=1,AND(对接源_01水果!$X440="自备筐",N(对接源_01水果!$V440)&lt;&gt;0)),1,0)</f>
        <v>0</v>
      </c>
      <c r="W440">
        <f>N(W439)+$V440</f>
        <v>11</v>
      </c>
      <c r="X440">
        <f>IF(AND($L440=1,AND(对接源_01水果!$X440="自备筐",N(对接源_01水果!$T440)&lt;&gt;0)),1,0)</f>
        <v>0</v>
      </c>
      <c r="Y440">
        <f>N(Y439)+$X440</f>
        <v>0</v>
      </c>
      <c r="Z440">
        <f>IF(AND($M440=1,对接源_01水果!$D440="原料入库"),1,0)</f>
        <v>0</v>
      </c>
      <c r="AA440">
        <f>N(AA439)+$Z440</f>
        <v>24</v>
      </c>
      <c r="AB440">
        <f>IF(AND($M440=1,LEFT(对接源_01水果!$D440,4)="原料出库"),1,0)</f>
        <v>0</v>
      </c>
      <c r="AC440">
        <f>N(AC439)+$AB440</f>
        <v>0</v>
      </c>
      <c r="AD440">
        <f>IF(AND($M440=1,LEFT(对接源_01水果!$D440,4)="成品出库"),1,0)</f>
        <v>0</v>
      </c>
      <c r="AE440">
        <f>N(AE439)+$AD440</f>
        <v>0</v>
      </c>
      <c r="AF440">
        <f>IF(AND($N440=1,AND(LEFT(对接源_01水果!$D440,4)="包装物料",N(对接源_01水果!$K440)&lt;&gt;0)),1,0)</f>
        <v>0</v>
      </c>
      <c r="AG440">
        <f>N(AG439)+$AF440</f>
        <v>0</v>
      </c>
      <c r="AH440">
        <f>IF(AND($N440=1,AND(对接源_01水果!$D440="周转筐－销售出库",N(对接源_01水果!$K440)&lt;&gt;0)),1,0)</f>
        <v>0</v>
      </c>
      <c r="AI440">
        <f>N(AI439)+$AH440</f>
        <v>0</v>
      </c>
      <c r="AJ440" s="7" t="n"/>
      <c r="AL440">
        <f>IF(OR($AL$1="",对接源_01水果!$Y440="",对接源_01水果!$Y440&lt;&gt;$AL$1,对接源_01水果!$B440="",N(对接源_01水果!$AJ440)&lt;=0),0,IF(OR(N(对接源_01水果!$B440)&lt;$AL$2,N(对接源_01水果!$B440)&gt;$AL$3),0,1))</f>
        <v>0</v>
      </c>
      <c r="AM440">
        <f>N(AM439)+$AL440</f>
        <v>0</v>
      </c>
      <c r="AN440">
        <f>IF(对接源_01水果!$AC440="","",对接源_01水果!$AC440)</f>
      </c>
      <c r="AO440">
        <f>IF(AN440="",0,IF(MATCH(AN440,$AN$4:$AN$1203,0)=ROW()-3,1,0))</f>
        <v>0</v>
      </c>
      <c r="AP440">
        <f>N(AP439)+$AO440</f>
        <v>0</v>
      </c>
      <c r="AR440">
        <f>IF(OR($AF440=1,$AH440=1),1,0)</f>
        <v>0</v>
      </c>
      <c r="AS440">
        <f>N(AS439)+$AR440</f>
        <v>0</v>
      </c>
    </row>
    <row r="441" ht="14.25" customHeight="1" s="127">
      <c r="A441" t="str">
        <f>IF(对接源_01水果!$C441="","",对接源_01水果!$C441)</f>
        <v>王照雪</v>
      </c>
      <c r="B441">
        <f>IF(A441="",0,IF(MATCH(A441,$A$4:$A$2403,0)=ROW()-3,1,0))</f>
        <v>0</v>
      </c>
      <c r="C441">
        <f>N(C440)+B441</f>
        <v>21</v>
      </c>
      <c r="K441">
        <f>IF(OR($K$1="",对接源_01水果!$C441="",对接源_01水果!$C441&lt;&gt;$K$1,对接源_01水果!$B441=""),0,IF(OR(N(对接源_01水果!$B441)&lt;$K$2,N(对接源_01水果!$B441)&gt;$K$3),0,1))</f>
        <v>0</v>
      </c>
      <c r="L441">
        <f>IF(OR($L$1="",对接源_01水果!$C441="",对接源_01水果!$C441&lt;&gt;$L$1,对接源_01水果!$B441=""),0,IF(OR(N(对接源_01水果!$B441)&lt;$L$2,N(对接源_01水果!$B441)&gt;$L$3),0,1))</f>
        <v>0</v>
      </c>
      <c r="M441">
        <f>IF(OR($M$1="",对接源_01水果!$C441="",对接源_01水果!$C441&lt;&gt;$M$1,对接源_01水果!$B441=""),0,IF(OR(N(对接源_01水果!$B441)&lt;$M$2,N(对接源_01水果!$B441)&gt;$M$3),0,1))</f>
        <v>0</v>
      </c>
      <c r="N441">
        <f>IF(OR($N$1="",对接源_01水果!$C441="",对接源_01水果!$C441&lt;&gt;$N$1,对接源_01水果!$B441=""),0,IF(OR(N(对接源_01水果!$B441)&lt;$N$2,N(对接源_01水果!$B441)&gt;$N$3),0,1))</f>
        <v>0</v>
      </c>
      <c r="P441">
        <f>IF(AND($K441=1,AND(对接源_01水果!$X441="公司筐",N(对接源_01水果!$T441)&lt;&gt;0)),1,0)</f>
        <v>0</v>
      </c>
      <c r="Q441">
        <f>N(Q440)+$P441</f>
        <v>0</v>
      </c>
      <c r="R441">
        <f>IF(AND($K441=1,AND(对接源_01水果!$X441="公司筐",N(对接源_01水果!$U441)&lt;&gt;0)),1,0)</f>
        <v>0</v>
      </c>
      <c r="S441">
        <f>N(S440)+$R441</f>
        <v>0</v>
      </c>
      <c r="T441">
        <f>IF(AND($K441=1,AND(对接源_01水果!$X441="公司筐",N(对接源_01水果!$V441)&lt;&gt;0)),1,0)</f>
        <v>0</v>
      </c>
      <c r="U441">
        <f>N(U440)+$T441</f>
        <v>41</v>
      </c>
      <c r="V441">
        <f>IF(AND($L441=1,AND(对接源_01水果!$X441="自备筐",N(对接源_01水果!$V441)&lt;&gt;0)),1,0)</f>
        <v>0</v>
      </c>
      <c r="W441">
        <f>N(W440)+$V441</f>
        <v>11</v>
      </c>
      <c r="X441">
        <f>IF(AND($L441=1,AND(对接源_01水果!$X441="自备筐",N(对接源_01水果!$T441)&lt;&gt;0)),1,0)</f>
        <v>0</v>
      </c>
      <c r="Y441">
        <f>N(Y440)+$X441</f>
        <v>0</v>
      </c>
      <c r="Z441">
        <f>IF(AND($M441=1,对接源_01水果!$D441="原料入库"),1,0)</f>
        <v>0</v>
      </c>
      <c r="AA441">
        <f>N(AA440)+$Z441</f>
        <v>24</v>
      </c>
      <c r="AB441">
        <f>IF(AND($M441=1,LEFT(对接源_01水果!$D441,4)="原料出库"),1,0)</f>
        <v>0</v>
      </c>
      <c r="AC441">
        <f>N(AC440)+$AB441</f>
        <v>0</v>
      </c>
      <c r="AD441">
        <f>IF(AND($M441=1,LEFT(对接源_01水果!$D441,4)="成品出库"),1,0)</f>
        <v>0</v>
      </c>
      <c r="AE441">
        <f>N(AE440)+$AD441</f>
        <v>0</v>
      </c>
      <c r="AF441">
        <f>IF(AND($N441=1,AND(LEFT(对接源_01水果!$D441,4)="包装物料",N(对接源_01水果!$K441)&lt;&gt;0)),1,0)</f>
        <v>0</v>
      </c>
      <c r="AG441">
        <f>N(AG440)+$AF441</f>
        <v>0</v>
      </c>
      <c r="AH441">
        <f>IF(AND($N441=1,AND(对接源_01水果!$D441="周转筐－销售出库",N(对接源_01水果!$K441)&lt;&gt;0)),1,0)</f>
        <v>0</v>
      </c>
      <c r="AI441">
        <f>N(AI440)+$AH441</f>
        <v>0</v>
      </c>
      <c r="AJ441" s="7" t="n"/>
      <c r="AL441">
        <f>IF(OR($AL$1="",对接源_01水果!$Y441="",对接源_01水果!$Y441&lt;&gt;$AL$1,对接源_01水果!$B441="",N(对接源_01水果!$AJ441)&lt;=0),0,IF(OR(N(对接源_01水果!$B441)&lt;$AL$2,N(对接源_01水果!$B441)&gt;$AL$3),0,1))</f>
        <v>0</v>
      </c>
      <c r="AM441">
        <f>N(AM440)+$AL441</f>
        <v>0</v>
      </c>
      <c r="AN441">
        <f>IF(对接源_01水果!$AC441="","",对接源_01水果!$AC441)</f>
      </c>
      <c r="AO441">
        <f>IF(AN441="",0,IF(MATCH(AN441,$AN$4:$AN$1203,0)=ROW()-3,1,0))</f>
        <v>0</v>
      </c>
      <c r="AP441">
        <f>N(AP440)+$AO441</f>
        <v>0</v>
      </c>
      <c r="AR441">
        <f>IF(OR($AF441=1,$AH441=1),1,0)</f>
        <v>0</v>
      </c>
      <c r="AS441">
        <f>N(AS440)+$AR441</f>
        <v>0</v>
      </c>
    </row>
    <row r="442" ht="14.25" customHeight="1" s="127">
      <c r="A442" t="str">
        <f>IF(对接源_01水果!$C442="","",对接源_01水果!$C442)</f>
        <v>李现东</v>
      </c>
      <c r="B442">
        <f>IF(A442="",0,IF(MATCH(A442,$A$4:$A$2403,0)=ROW()-3,1,0))</f>
        <v>0</v>
      </c>
      <c r="C442">
        <f>N(C441)+B442</f>
        <v>21</v>
      </c>
      <c r="K442">
        <f>IF(OR($K$1="",对接源_01水果!$C442="",对接源_01水果!$C442&lt;&gt;$K$1,对接源_01水果!$B442=""),0,IF(OR(N(对接源_01水果!$B442)&lt;$K$2,N(对接源_01水果!$B442)&gt;$K$3),0,1))</f>
        <v>0</v>
      </c>
      <c r="L442">
        <f>IF(OR($L$1="",对接源_01水果!$C442="",对接源_01水果!$C442&lt;&gt;$L$1,对接源_01水果!$B442=""),0,IF(OR(N(对接源_01水果!$B442)&lt;$L$2,N(对接源_01水果!$B442)&gt;$L$3),0,1))</f>
        <v>0</v>
      </c>
      <c r="M442">
        <f>IF(OR($M$1="",对接源_01水果!$C442="",对接源_01水果!$C442&lt;&gt;$M$1,对接源_01水果!$B442=""),0,IF(OR(N(对接源_01水果!$B442)&lt;$M$2,N(对接源_01水果!$B442)&gt;$M$3),0,1))</f>
        <v>0</v>
      </c>
      <c r="N442">
        <f>IF(OR($N$1="",对接源_01水果!$C442="",对接源_01水果!$C442&lt;&gt;$N$1,对接源_01水果!$B442=""),0,IF(OR(N(对接源_01水果!$B442)&lt;$N$2,N(对接源_01水果!$B442)&gt;$N$3),0,1))</f>
        <v>0</v>
      </c>
      <c r="P442">
        <f>IF(AND($K442=1,AND(对接源_01水果!$X442="公司筐",N(对接源_01水果!$T442)&lt;&gt;0)),1,0)</f>
        <v>0</v>
      </c>
      <c r="Q442">
        <f>N(Q441)+$P442</f>
        <v>0</v>
      </c>
      <c r="R442">
        <f>IF(AND($K442=1,AND(对接源_01水果!$X442="公司筐",N(对接源_01水果!$U442)&lt;&gt;0)),1,0)</f>
        <v>0</v>
      </c>
      <c r="S442">
        <f>N(S441)+$R442</f>
        <v>0</v>
      </c>
      <c r="T442">
        <f>IF(AND($K442=1,AND(对接源_01水果!$X442="公司筐",N(对接源_01水果!$V442)&lt;&gt;0)),1,0)</f>
        <v>0</v>
      </c>
      <c r="U442">
        <f>N(U441)+$T442</f>
        <v>41</v>
      </c>
      <c r="V442">
        <f>IF(AND($L442=1,AND(对接源_01水果!$X442="自备筐",N(对接源_01水果!$V442)&lt;&gt;0)),1,0)</f>
        <v>0</v>
      </c>
      <c r="W442">
        <f>N(W441)+$V442</f>
        <v>11</v>
      </c>
      <c r="X442">
        <f>IF(AND($L442=1,AND(对接源_01水果!$X442="自备筐",N(对接源_01水果!$T442)&lt;&gt;0)),1,0)</f>
        <v>0</v>
      </c>
      <c r="Y442">
        <f>N(Y441)+$X442</f>
        <v>0</v>
      </c>
      <c r="Z442">
        <f>IF(AND($M442=1,对接源_01水果!$D442="原料入库"),1,0)</f>
        <v>0</v>
      </c>
      <c r="AA442">
        <f>N(AA441)+$Z442</f>
        <v>24</v>
      </c>
      <c r="AB442">
        <f>IF(AND($M442=1,LEFT(对接源_01水果!$D442,4)="原料出库"),1,0)</f>
        <v>0</v>
      </c>
      <c r="AC442">
        <f>N(AC441)+$AB442</f>
        <v>0</v>
      </c>
      <c r="AD442">
        <f>IF(AND($M442=1,LEFT(对接源_01水果!$D442,4)="成品出库"),1,0)</f>
        <v>0</v>
      </c>
      <c r="AE442">
        <f>N(AE441)+$AD442</f>
        <v>0</v>
      </c>
      <c r="AF442">
        <f>IF(AND($N442=1,AND(LEFT(对接源_01水果!$D442,4)="包装物料",N(对接源_01水果!$K442)&lt;&gt;0)),1,0)</f>
        <v>0</v>
      </c>
      <c r="AG442">
        <f>N(AG441)+$AF442</f>
        <v>0</v>
      </c>
      <c r="AH442">
        <f>IF(AND($N442=1,AND(对接源_01水果!$D442="周转筐－销售出库",N(对接源_01水果!$K442)&lt;&gt;0)),1,0)</f>
        <v>0</v>
      </c>
      <c r="AI442">
        <f>N(AI441)+$AH442</f>
        <v>0</v>
      </c>
      <c r="AJ442" s="7" t="n"/>
      <c r="AL442">
        <f>IF(OR($AL$1="",对接源_01水果!$Y442="",对接源_01水果!$Y442&lt;&gt;$AL$1,对接源_01水果!$B442="",N(对接源_01水果!$AJ442)&lt;=0),0,IF(OR(N(对接源_01水果!$B442)&lt;$AL$2,N(对接源_01水果!$B442)&gt;$AL$3),0,1))</f>
        <v>0</v>
      </c>
      <c r="AM442">
        <f>N(AM441)+$AL442</f>
        <v>0</v>
      </c>
      <c r="AN442">
        <f>IF(对接源_01水果!$AC442="","",对接源_01水果!$AC442)</f>
      </c>
      <c r="AO442">
        <f>IF(AN442="",0,IF(MATCH(AN442,$AN$4:$AN$1203,0)=ROW()-3,1,0))</f>
        <v>0</v>
      </c>
      <c r="AP442">
        <f>N(AP441)+$AO442</f>
        <v>0</v>
      </c>
      <c r="AR442">
        <f>IF(OR($AF442=1,$AH442=1),1,0)</f>
        <v>0</v>
      </c>
      <c r="AS442">
        <f>N(AS441)+$AR442</f>
        <v>0</v>
      </c>
    </row>
    <row r="443" ht="14.25" customHeight="1" s="127">
      <c r="A443" t="str">
        <f>IF(对接源_01水果!$C443="","",对接源_01水果!$C443)</f>
        <v>李现东</v>
      </c>
      <c r="B443">
        <f>IF(A443="",0,IF(MATCH(A443,$A$4:$A$2403,0)=ROW()-3,1,0))</f>
        <v>0</v>
      </c>
      <c r="C443">
        <f>N(C442)+B443</f>
        <v>21</v>
      </c>
      <c r="K443">
        <f>IF(OR($K$1="",对接源_01水果!$C443="",对接源_01水果!$C443&lt;&gt;$K$1,对接源_01水果!$B443=""),0,IF(OR(N(对接源_01水果!$B443)&lt;$K$2,N(对接源_01水果!$B443)&gt;$K$3),0,1))</f>
        <v>0</v>
      </c>
      <c r="L443">
        <f>IF(OR($L$1="",对接源_01水果!$C443="",对接源_01水果!$C443&lt;&gt;$L$1,对接源_01水果!$B443=""),0,IF(OR(N(对接源_01水果!$B443)&lt;$L$2,N(对接源_01水果!$B443)&gt;$L$3),0,1))</f>
        <v>0</v>
      </c>
      <c r="M443">
        <f>IF(OR($M$1="",对接源_01水果!$C443="",对接源_01水果!$C443&lt;&gt;$M$1,对接源_01水果!$B443=""),0,IF(OR(N(对接源_01水果!$B443)&lt;$M$2,N(对接源_01水果!$B443)&gt;$M$3),0,1))</f>
        <v>0</v>
      </c>
      <c r="N443">
        <f>IF(OR($N$1="",对接源_01水果!$C443="",对接源_01水果!$C443&lt;&gt;$N$1,对接源_01水果!$B443=""),0,IF(OR(N(对接源_01水果!$B443)&lt;$N$2,N(对接源_01水果!$B443)&gt;$N$3),0,1))</f>
        <v>0</v>
      </c>
      <c r="P443">
        <f>IF(AND($K443=1,AND(对接源_01水果!$X443="公司筐",N(对接源_01水果!$T443)&lt;&gt;0)),1,0)</f>
        <v>0</v>
      </c>
      <c r="Q443">
        <f>N(Q442)+$P443</f>
        <v>0</v>
      </c>
      <c r="R443">
        <f>IF(AND($K443=1,AND(对接源_01水果!$X443="公司筐",N(对接源_01水果!$U443)&lt;&gt;0)),1,0)</f>
        <v>0</v>
      </c>
      <c r="S443">
        <f>N(S442)+$R443</f>
        <v>0</v>
      </c>
      <c r="T443">
        <f>IF(AND($K443=1,AND(对接源_01水果!$X443="公司筐",N(对接源_01水果!$V443)&lt;&gt;0)),1,0)</f>
        <v>0</v>
      </c>
      <c r="U443">
        <f>N(U442)+$T443</f>
        <v>41</v>
      </c>
      <c r="V443">
        <f>IF(AND($L443=1,AND(对接源_01水果!$X443="自备筐",N(对接源_01水果!$V443)&lt;&gt;0)),1,0)</f>
        <v>0</v>
      </c>
      <c r="W443">
        <f>N(W442)+$V443</f>
        <v>11</v>
      </c>
      <c r="X443">
        <f>IF(AND($L443=1,AND(对接源_01水果!$X443="自备筐",N(对接源_01水果!$T443)&lt;&gt;0)),1,0)</f>
        <v>0</v>
      </c>
      <c r="Y443">
        <f>N(Y442)+$X443</f>
        <v>0</v>
      </c>
      <c r="Z443">
        <f>IF(AND($M443=1,对接源_01水果!$D443="原料入库"),1,0)</f>
        <v>0</v>
      </c>
      <c r="AA443">
        <f>N(AA442)+$Z443</f>
        <v>24</v>
      </c>
      <c r="AB443">
        <f>IF(AND($M443=1,LEFT(对接源_01水果!$D443,4)="原料出库"),1,0)</f>
        <v>0</v>
      </c>
      <c r="AC443">
        <f>N(AC442)+$AB443</f>
        <v>0</v>
      </c>
      <c r="AD443">
        <f>IF(AND($M443=1,LEFT(对接源_01水果!$D443,4)="成品出库"),1,0)</f>
        <v>0</v>
      </c>
      <c r="AE443">
        <f>N(AE442)+$AD443</f>
        <v>0</v>
      </c>
      <c r="AF443">
        <f>IF(AND($N443=1,AND(LEFT(对接源_01水果!$D443,4)="包装物料",N(对接源_01水果!$K443)&lt;&gt;0)),1,0)</f>
        <v>0</v>
      </c>
      <c r="AG443">
        <f>N(AG442)+$AF443</f>
        <v>0</v>
      </c>
      <c r="AH443">
        <f>IF(AND($N443=1,AND(对接源_01水果!$D443="周转筐－销售出库",N(对接源_01水果!$K443)&lt;&gt;0)),1,0)</f>
        <v>0</v>
      </c>
      <c r="AI443">
        <f>N(AI442)+$AH443</f>
        <v>0</v>
      </c>
      <c r="AJ443" s="7" t="n"/>
      <c r="AL443">
        <f>IF(OR($AL$1="",对接源_01水果!$Y443="",对接源_01水果!$Y443&lt;&gt;$AL$1,对接源_01水果!$B443="",N(对接源_01水果!$AJ443)&lt;=0),0,IF(OR(N(对接源_01水果!$B443)&lt;$AL$2,N(对接源_01水果!$B443)&gt;$AL$3),0,1))</f>
        <v>0</v>
      </c>
      <c r="AM443">
        <f>N(AM442)+$AL443</f>
        <v>0</v>
      </c>
      <c r="AN443">
        <f>IF(对接源_01水果!$AC443="","",对接源_01水果!$AC443)</f>
      </c>
      <c r="AO443">
        <f>IF(AN443="",0,IF(MATCH(AN443,$AN$4:$AN$1203,0)=ROW()-3,1,0))</f>
        <v>0</v>
      </c>
      <c r="AP443">
        <f>N(AP442)+$AO443</f>
        <v>0</v>
      </c>
      <c r="AR443">
        <f>IF(OR($AF443=1,$AH443=1),1,0)</f>
        <v>0</v>
      </c>
      <c r="AS443">
        <f>N(AS442)+$AR443</f>
        <v>0</v>
      </c>
    </row>
    <row r="444" ht="14.25" customHeight="1" s="127">
      <c r="A444" t="str">
        <f>IF(对接源_01水果!$C444="","",对接源_01水果!$C444)</f>
        <v>李现东</v>
      </c>
      <c r="B444">
        <f>IF(A444="",0,IF(MATCH(A444,$A$4:$A$2403,0)=ROW()-3,1,0))</f>
        <v>0</v>
      </c>
      <c r="C444">
        <f>N(C443)+B444</f>
        <v>21</v>
      </c>
      <c r="K444">
        <f>IF(OR($K$1="",对接源_01水果!$C444="",对接源_01水果!$C444&lt;&gt;$K$1,对接源_01水果!$B444=""),0,IF(OR(N(对接源_01水果!$B444)&lt;$K$2,N(对接源_01水果!$B444)&gt;$K$3),0,1))</f>
        <v>0</v>
      </c>
      <c r="L444">
        <f>IF(OR($L$1="",对接源_01水果!$C444="",对接源_01水果!$C444&lt;&gt;$L$1,对接源_01水果!$B444=""),0,IF(OR(N(对接源_01水果!$B444)&lt;$L$2,N(对接源_01水果!$B444)&gt;$L$3),0,1))</f>
        <v>0</v>
      </c>
      <c r="M444">
        <f>IF(OR($M$1="",对接源_01水果!$C444="",对接源_01水果!$C444&lt;&gt;$M$1,对接源_01水果!$B444=""),0,IF(OR(N(对接源_01水果!$B444)&lt;$M$2,N(对接源_01水果!$B444)&gt;$M$3),0,1))</f>
        <v>0</v>
      </c>
      <c r="N444">
        <f>IF(OR($N$1="",对接源_01水果!$C444="",对接源_01水果!$C444&lt;&gt;$N$1,对接源_01水果!$B444=""),0,IF(OR(N(对接源_01水果!$B444)&lt;$N$2,N(对接源_01水果!$B444)&gt;$N$3),0,1))</f>
        <v>0</v>
      </c>
      <c r="P444">
        <f>IF(AND($K444=1,AND(对接源_01水果!$X444="公司筐",N(对接源_01水果!$T444)&lt;&gt;0)),1,0)</f>
        <v>0</v>
      </c>
      <c r="Q444">
        <f>N(Q443)+$P444</f>
        <v>0</v>
      </c>
      <c r="R444">
        <f>IF(AND($K444=1,AND(对接源_01水果!$X444="公司筐",N(对接源_01水果!$U444)&lt;&gt;0)),1,0)</f>
        <v>0</v>
      </c>
      <c r="S444">
        <f>N(S443)+$R444</f>
        <v>0</v>
      </c>
      <c r="T444">
        <f>IF(AND($K444=1,AND(对接源_01水果!$X444="公司筐",N(对接源_01水果!$V444)&lt;&gt;0)),1,0)</f>
        <v>0</v>
      </c>
      <c r="U444">
        <f>N(U443)+$T444</f>
        <v>41</v>
      </c>
      <c r="V444">
        <f>IF(AND($L444=1,AND(对接源_01水果!$X444="自备筐",N(对接源_01水果!$V444)&lt;&gt;0)),1,0)</f>
        <v>0</v>
      </c>
      <c r="W444">
        <f>N(W443)+$V444</f>
        <v>11</v>
      </c>
      <c r="X444">
        <f>IF(AND($L444=1,AND(对接源_01水果!$X444="自备筐",N(对接源_01水果!$T444)&lt;&gt;0)),1,0)</f>
        <v>0</v>
      </c>
      <c r="Y444">
        <f>N(Y443)+$X444</f>
        <v>0</v>
      </c>
      <c r="Z444">
        <f>IF(AND($M444=1,对接源_01水果!$D444="原料入库"),1,0)</f>
        <v>0</v>
      </c>
      <c r="AA444">
        <f>N(AA443)+$Z444</f>
        <v>24</v>
      </c>
      <c r="AB444">
        <f>IF(AND($M444=1,LEFT(对接源_01水果!$D444,4)="原料出库"),1,0)</f>
        <v>0</v>
      </c>
      <c r="AC444">
        <f>N(AC443)+$AB444</f>
        <v>0</v>
      </c>
      <c r="AD444">
        <f>IF(AND($M444=1,LEFT(对接源_01水果!$D444,4)="成品出库"),1,0)</f>
        <v>0</v>
      </c>
      <c r="AE444">
        <f>N(AE443)+$AD444</f>
        <v>0</v>
      </c>
      <c r="AF444">
        <f>IF(AND($N444=1,AND(LEFT(对接源_01水果!$D444,4)="包装物料",N(对接源_01水果!$K444)&lt;&gt;0)),1,0)</f>
        <v>0</v>
      </c>
      <c r="AG444">
        <f>N(AG443)+$AF444</f>
        <v>0</v>
      </c>
      <c r="AH444">
        <f>IF(AND($N444=1,AND(对接源_01水果!$D444="周转筐－销售出库",N(对接源_01水果!$K444)&lt;&gt;0)),1,0)</f>
        <v>0</v>
      </c>
      <c r="AI444">
        <f>N(AI443)+$AH444</f>
        <v>0</v>
      </c>
      <c r="AJ444" s="7" t="n"/>
      <c r="AL444">
        <f>IF(OR($AL$1="",对接源_01水果!$Y444="",对接源_01水果!$Y444&lt;&gt;$AL$1,对接源_01水果!$B444="",N(对接源_01水果!$AJ444)&lt;=0),0,IF(OR(N(对接源_01水果!$B444)&lt;$AL$2,N(对接源_01水果!$B444)&gt;$AL$3),0,1))</f>
        <v>0</v>
      </c>
      <c r="AM444">
        <f>N(AM443)+$AL444</f>
        <v>0</v>
      </c>
      <c r="AN444">
        <f>IF(对接源_01水果!$AC444="","",对接源_01水果!$AC444)</f>
      </c>
      <c r="AO444">
        <f>IF(AN444="",0,IF(MATCH(AN444,$AN$4:$AN$1203,0)=ROW()-3,1,0))</f>
        <v>0</v>
      </c>
      <c r="AP444">
        <f>N(AP443)+$AO444</f>
        <v>0</v>
      </c>
      <c r="AR444">
        <f>IF(OR($AF444=1,$AH444=1),1,0)</f>
        <v>0</v>
      </c>
      <c r="AS444">
        <f>N(AS443)+$AR444</f>
        <v>0</v>
      </c>
    </row>
    <row r="445" ht="14.25" customHeight="1" s="127">
      <c r="A445" t="str">
        <f>IF(对接源_01水果!$C445="","",对接源_01水果!$C445)</f>
        <v>荆建君</v>
      </c>
      <c r="B445">
        <f>IF(A445="",0,IF(MATCH(A445,$A$4:$A$2403,0)=ROW()-3,1,0))</f>
        <v>0</v>
      </c>
      <c r="C445">
        <f>N(C444)+B445</f>
        <v>21</v>
      </c>
      <c r="K445">
        <f>IF(OR($K$1="",对接源_01水果!$C445="",对接源_01水果!$C445&lt;&gt;$K$1,对接源_01水果!$B445=""),0,IF(OR(N(对接源_01水果!$B445)&lt;$K$2,N(对接源_01水果!$B445)&gt;$K$3),0,1))</f>
        <v>0</v>
      </c>
      <c r="L445">
        <f>IF(OR($L$1="",对接源_01水果!$C445="",对接源_01水果!$C445&lt;&gt;$L$1,对接源_01水果!$B445=""),0,IF(OR(N(对接源_01水果!$B445)&lt;$L$2,N(对接源_01水果!$B445)&gt;$L$3),0,1))</f>
        <v>0</v>
      </c>
      <c r="M445">
        <f>IF(OR($M$1="",对接源_01水果!$C445="",对接源_01水果!$C445&lt;&gt;$M$1,对接源_01水果!$B445=""),0,IF(OR(N(对接源_01水果!$B445)&lt;$M$2,N(对接源_01水果!$B445)&gt;$M$3),0,1))</f>
        <v>0</v>
      </c>
      <c r="N445">
        <f>IF(OR($N$1="",对接源_01水果!$C445="",对接源_01水果!$C445&lt;&gt;$N$1,对接源_01水果!$B445=""),0,IF(OR(N(对接源_01水果!$B445)&lt;$N$2,N(对接源_01水果!$B445)&gt;$N$3),0,1))</f>
        <v>0</v>
      </c>
      <c r="P445">
        <f>IF(AND($K445=1,AND(对接源_01水果!$X445="公司筐",N(对接源_01水果!$T445)&lt;&gt;0)),1,0)</f>
        <v>0</v>
      </c>
      <c r="Q445">
        <f>N(Q444)+$P445</f>
        <v>0</v>
      </c>
      <c r="R445">
        <f>IF(AND($K445=1,AND(对接源_01水果!$X445="公司筐",N(对接源_01水果!$U445)&lt;&gt;0)),1,0)</f>
        <v>0</v>
      </c>
      <c r="S445">
        <f>N(S444)+$R445</f>
        <v>0</v>
      </c>
      <c r="T445">
        <f>IF(AND($K445=1,AND(对接源_01水果!$X445="公司筐",N(对接源_01水果!$V445)&lt;&gt;0)),1,0)</f>
        <v>0</v>
      </c>
      <c r="U445">
        <f>N(U444)+$T445</f>
        <v>41</v>
      </c>
      <c r="V445">
        <f>IF(AND($L445=1,AND(对接源_01水果!$X445="自备筐",N(对接源_01水果!$V445)&lt;&gt;0)),1,0)</f>
        <v>0</v>
      </c>
      <c r="W445">
        <f>N(W444)+$V445</f>
        <v>11</v>
      </c>
      <c r="X445">
        <f>IF(AND($L445=1,AND(对接源_01水果!$X445="自备筐",N(对接源_01水果!$T445)&lt;&gt;0)),1,0)</f>
        <v>0</v>
      </c>
      <c r="Y445">
        <f>N(Y444)+$X445</f>
        <v>0</v>
      </c>
      <c r="Z445">
        <f>IF(AND($M445=1,对接源_01水果!$D445="原料入库"),1,0)</f>
        <v>0</v>
      </c>
      <c r="AA445">
        <f>N(AA444)+$Z445</f>
        <v>24</v>
      </c>
      <c r="AB445">
        <f>IF(AND($M445=1,LEFT(对接源_01水果!$D445,4)="原料出库"),1,0)</f>
        <v>0</v>
      </c>
      <c r="AC445">
        <f>N(AC444)+$AB445</f>
        <v>0</v>
      </c>
      <c r="AD445">
        <f>IF(AND($M445=1,LEFT(对接源_01水果!$D445,4)="成品出库"),1,0)</f>
        <v>0</v>
      </c>
      <c r="AE445">
        <f>N(AE444)+$AD445</f>
        <v>0</v>
      </c>
      <c r="AF445">
        <f>IF(AND($N445=1,AND(LEFT(对接源_01水果!$D445,4)="包装物料",N(对接源_01水果!$K445)&lt;&gt;0)),1,0)</f>
        <v>0</v>
      </c>
      <c r="AG445">
        <f>N(AG444)+$AF445</f>
        <v>0</v>
      </c>
      <c r="AH445">
        <f>IF(AND($N445=1,AND(对接源_01水果!$D445="周转筐－销售出库",N(对接源_01水果!$K445)&lt;&gt;0)),1,0)</f>
        <v>0</v>
      </c>
      <c r="AI445">
        <f>N(AI444)+$AH445</f>
        <v>0</v>
      </c>
      <c r="AJ445" s="7" t="n"/>
      <c r="AL445">
        <f>IF(OR($AL$1="",对接源_01水果!$Y445="",对接源_01水果!$Y445&lt;&gt;$AL$1,对接源_01水果!$B445="",N(对接源_01水果!$AJ445)&lt;=0),0,IF(OR(N(对接源_01水果!$B445)&lt;$AL$2,N(对接源_01水果!$B445)&gt;$AL$3),0,1))</f>
        <v>0</v>
      </c>
      <c r="AM445">
        <f>N(AM444)+$AL445</f>
        <v>0</v>
      </c>
      <c r="AN445">
        <f>IF(对接源_01水果!$AC445="","",对接源_01水果!$AC445)</f>
      </c>
      <c r="AO445">
        <f>IF(AN445="",0,IF(MATCH(AN445,$AN$4:$AN$1203,0)=ROW()-3,1,0))</f>
        <v>0</v>
      </c>
      <c r="AP445">
        <f>N(AP444)+$AO445</f>
        <v>0</v>
      </c>
      <c r="AR445">
        <f>IF(OR($AF445=1,$AH445=1),1,0)</f>
        <v>0</v>
      </c>
      <c r="AS445">
        <f>N(AS444)+$AR445</f>
        <v>0</v>
      </c>
    </row>
    <row r="446" ht="14.25" customHeight="1" s="127">
      <c r="A446" t="str">
        <f>IF(对接源_01水果!$C446="","",对接源_01水果!$C446)</f>
        <v>荆建君</v>
      </c>
      <c r="B446">
        <f>IF(A446="",0,IF(MATCH(A446,$A$4:$A$2403,0)=ROW()-3,1,0))</f>
        <v>0</v>
      </c>
      <c r="C446">
        <f>N(C445)+B446</f>
        <v>21</v>
      </c>
      <c r="K446">
        <f>IF(OR($K$1="",对接源_01水果!$C446="",对接源_01水果!$C446&lt;&gt;$K$1,对接源_01水果!$B446=""),0,IF(OR(N(对接源_01水果!$B446)&lt;$K$2,N(对接源_01水果!$B446)&gt;$K$3),0,1))</f>
        <v>0</v>
      </c>
      <c r="L446">
        <f>IF(OR($L$1="",对接源_01水果!$C446="",对接源_01水果!$C446&lt;&gt;$L$1,对接源_01水果!$B446=""),0,IF(OR(N(对接源_01水果!$B446)&lt;$L$2,N(对接源_01水果!$B446)&gt;$L$3),0,1))</f>
        <v>0</v>
      </c>
      <c r="M446">
        <f>IF(OR($M$1="",对接源_01水果!$C446="",对接源_01水果!$C446&lt;&gt;$M$1,对接源_01水果!$B446=""),0,IF(OR(N(对接源_01水果!$B446)&lt;$M$2,N(对接源_01水果!$B446)&gt;$M$3),0,1))</f>
        <v>0</v>
      </c>
      <c r="N446">
        <f>IF(OR($N$1="",对接源_01水果!$C446="",对接源_01水果!$C446&lt;&gt;$N$1,对接源_01水果!$B446=""),0,IF(OR(N(对接源_01水果!$B446)&lt;$N$2,N(对接源_01水果!$B446)&gt;$N$3),0,1))</f>
        <v>0</v>
      </c>
      <c r="P446">
        <f>IF(AND($K446=1,AND(对接源_01水果!$X446="公司筐",N(对接源_01水果!$T446)&lt;&gt;0)),1,0)</f>
        <v>0</v>
      </c>
      <c r="Q446">
        <f>N(Q445)+$P446</f>
        <v>0</v>
      </c>
      <c r="R446">
        <f>IF(AND($K446=1,AND(对接源_01水果!$X446="公司筐",N(对接源_01水果!$U446)&lt;&gt;0)),1,0)</f>
        <v>0</v>
      </c>
      <c r="S446">
        <f>N(S445)+$R446</f>
        <v>0</v>
      </c>
      <c r="T446">
        <f>IF(AND($K446=1,AND(对接源_01水果!$X446="公司筐",N(对接源_01水果!$V446)&lt;&gt;0)),1,0)</f>
        <v>0</v>
      </c>
      <c r="U446">
        <f>N(U445)+$T446</f>
        <v>41</v>
      </c>
      <c r="V446">
        <f>IF(AND($L446=1,AND(对接源_01水果!$X446="自备筐",N(对接源_01水果!$V446)&lt;&gt;0)),1,0)</f>
        <v>0</v>
      </c>
      <c r="W446">
        <f>N(W445)+$V446</f>
        <v>11</v>
      </c>
      <c r="X446">
        <f>IF(AND($L446=1,AND(对接源_01水果!$X446="自备筐",N(对接源_01水果!$T446)&lt;&gt;0)),1,0)</f>
        <v>0</v>
      </c>
      <c r="Y446">
        <f>N(Y445)+$X446</f>
        <v>0</v>
      </c>
      <c r="Z446">
        <f>IF(AND($M446=1,对接源_01水果!$D446="原料入库"),1,0)</f>
        <v>0</v>
      </c>
      <c r="AA446">
        <f>N(AA445)+$Z446</f>
        <v>24</v>
      </c>
      <c r="AB446">
        <f>IF(AND($M446=1,LEFT(对接源_01水果!$D446,4)="原料出库"),1,0)</f>
        <v>0</v>
      </c>
      <c r="AC446">
        <f>N(AC445)+$AB446</f>
        <v>0</v>
      </c>
      <c r="AD446">
        <f>IF(AND($M446=1,LEFT(对接源_01水果!$D446,4)="成品出库"),1,0)</f>
        <v>0</v>
      </c>
      <c r="AE446">
        <f>N(AE445)+$AD446</f>
        <v>0</v>
      </c>
      <c r="AF446">
        <f>IF(AND($N446=1,AND(LEFT(对接源_01水果!$D446,4)="包装物料",N(对接源_01水果!$K446)&lt;&gt;0)),1,0)</f>
        <v>0</v>
      </c>
      <c r="AG446">
        <f>N(AG445)+$AF446</f>
        <v>0</v>
      </c>
      <c r="AH446">
        <f>IF(AND($N446=1,AND(对接源_01水果!$D446="周转筐－销售出库",N(对接源_01水果!$K446)&lt;&gt;0)),1,0)</f>
        <v>0</v>
      </c>
      <c r="AI446">
        <f>N(AI445)+$AH446</f>
        <v>0</v>
      </c>
      <c r="AJ446" s="7" t="n"/>
      <c r="AL446">
        <f>IF(OR($AL$1="",对接源_01水果!$Y446="",对接源_01水果!$Y446&lt;&gt;$AL$1,对接源_01水果!$B446="",N(对接源_01水果!$AJ446)&lt;=0),0,IF(OR(N(对接源_01水果!$B446)&lt;$AL$2,N(对接源_01水果!$B446)&gt;$AL$3),0,1))</f>
        <v>0</v>
      </c>
      <c r="AM446">
        <f>N(AM445)+$AL446</f>
        <v>0</v>
      </c>
      <c r="AN446">
        <f>IF(对接源_01水果!$AC446="","",对接源_01水果!$AC446)</f>
      </c>
      <c r="AO446">
        <f>IF(AN446="",0,IF(MATCH(AN446,$AN$4:$AN$1203,0)=ROW()-3,1,0))</f>
        <v>0</v>
      </c>
      <c r="AP446">
        <f>N(AP445)+$AO446</f>
        <v>0</v>
      </c>
      <c r="AR446">
        <f>IF(OR($AF446=1,$AH446=1),1,0)</f>
        <v>0</v>
      </c>
      <c r="AS446">
        <f>N(AS445)+$AR446</f>
        <v>0</v>
      </c>
    </row>
    <row r="447" ht="14.25" customHeight="1" s="127">
      <c r="A447" t="str">
        <f>IF(对接源_01水果!$C447="","",对接源_01水果!$C447)</f>
        <v>努尔敦</v>
      </c>
      <c r="B447">
        <f>IF(A447="",0,IF(MATCH(A447,$A$4:$A$2403,0)=ROW()-3,1,0))</f>
        <v>0</v>
      </c>
      <c r="C447">
        <f>N(C446)+B447</f>
        <v>21</v>
      </c>
      <c r="K447">
        <f>IF(OR($K$1="",对接源_01水果!$C447="",对接源_01水果!$C447&lt;&gt;$K$1,对接源_01水果!$B447=""),0,IF(OR(N(对接源_01水果!$B447)&lt;$K$2,N(对接源_01水果!$B447)&gt;$K$3),0,1))</f>
        <v>0</v>
      </c>
      <c r="L447">
        <f>IF(OR($L$1="",对接源_01水果!$C447="",对接源_01水果!$C447&lt;&gt;$L$1,对接源_01水果!$B447=""),0,IF(OR(N(对接源_01水果!$B447)&lt;$L$2,N(对接源_01水果!$B447)&gt;$L$3),0,1))</f>
        <v>0</v>
      </c>
      <c r="M447">
        <f>IF(OR($M$1="",对接源_01水果!$C447="",对接源_01水果!$C447&lt;&gt;$M$1,对接源_01水果!$B447=""),0,IF(OR(N(对接源_01水果!$B447)&lt;$M$2,N(对接源_01水果!$B447)&gt;$M$3),0,1))</f>
        <v>0</v>
      </c>
      <c r="N447">
        <f>IF(OR($N$1="",对接源_01水果!$C447="",对接源_01水果!$C447&lt;&gt;$N$1,对接源_01水果!$B447=""),0,IF(OR(N(对接源_01水果!$B447)&lt;$N$2,N(对接源_01水果!$B447)&gt;$N$3),0,1))</f>
        <v>0</v>
      </c>
      <c r="P447">
        <f>IF(AND($K447=1,AND(对接源_01水果!$X447="公司筐",N(对接源_01水果!$T447)&lt;&gt;0)),1,0)</f>
        <v>0</v>
      </c>
      <c r="Q447">
        <f>N(Q446)+$P447</f>
        <v>0</v>
      </c>
      <c r="R447">
        <f>IF(AND($K447=1,AND(对接源_01水果!$X447="公司筐",N(对接源_01水果!$U447)&lt;&gt;0)),1,0)</f>
        <v>0</v>
      </c>
      <c r="S447">
        <f>N(S446)+$R447</f>
        <v>0</v>
      </c>
      <c r="T447">
        <f>IF(AND($K447=1,AND(对接源_01水果!$X447="公司筐",N(对接源_01水果!$V447)&lt;&gt;0)),1,0)</f>
        <v>0</v>
      </c>
      <c r="U447">
        <f>N(U446)+$T447</f>
        <v>41</v>
      </c>
      <c r="V447">
        <f>IF(AND($L447=1,AND(对接源_01水果!$X447="自备筐",N(对接源_01水果!$V447)&lt;&gt;0)),1,0)</f>
        <v>0</v>
      </c>
      <c r="W447">
        <f>N(W446)+$V447</f>
        <v>11</v>
      </c>
      <c r="X447">
        <f>IF(AND($L447=1,AND(对接源_01水果!$X447="自备筐",N(对接源_01水果!$T447)&lt;&gt;0)),1,0)</f>
        <v>0</v>
      </c>
      <c r="Y447">
        <f>N(Y446)+$X447</f>
        <v>0</v>
      </c>
      <c r="Z447">
        <f>IF(AND($M447=1,对接源_01水果!$D447="原料入库"),1,0)</f>
        <v>0</v>
      </c>
      <c r="AA447">
        <f>N(AA446)+$Z447</f>
        <v>24</v>
      </c>
      <c r="AB447">
        <f>IF(AND($M447=1,LEFT(对接源_01水果!$D447,4)="原料出库"),1,0)</f>
        <v>0</v>
      </c>
      <c r="AC447">
        <f>N(AC446)+$AB447</f>
        <v>0</v>
      </c>
      <c r="AD447">
        <f>IF(AND($M447=1,LEFT(对接源_01水果!$D447,4)="成品出库"),1,0)</f>
        <v>0</v>
      </c>
      <c r="AE447">
        <f>N(AE446)+$AD447</f>
        <v>0</v>
      </c>
      <c r="AF447">
        <f>IF(AND($N447=1,AND(LEFT(对接源_01水果!$D447,4)="包装物料",N(对接源_01水果!$K447)&lt;&gt;0)),1,0)</f>
        <v>0</v>
      </c>
      <c r="AG447">
        <f>N(AG446)+$AF447</f>
        <v>0</v>
      </c>
      <c r="AH447">
        <f>IF(AND($N447=1,AND(对接源_01水果!$D447="周转筐－销售出库",N(对接源_01水果!$K447)&lt;&gt;0)),1,0)</f>
        <v>0</v>
      </c>
      <c r="AI447">
        <f>N(AI446)+$AH447</f>
        <v>0</v>
      </c>
      <c r="AJ447" s="7" t="n"/>
      <c r="AL447">
        <f>IF(OR($AL$1="",对接源_01水果!$Y447="",对接源_01水果!$Y447&lt;&gt;$AL$1,对接源_01水果!$B447="",N(对接源_01水果!$AJ447)&lt;=0),0,IF(OR(N(对接源_01水果!$B447)&lt;$AL$2,N(对接源_01水果!$B447)&gt;$AL$3),0,1))</f>
        <v>0</v>
      </c>
      <c r="AM447">
        <f>N(AM446)+$AL447</f>
        <v>0</v>
      </c>
      <c r="AN447">
        <f>IF(对接源_01水果!$AC447="","",对接源_01水果!$AC447)</f>
      </c>
      <c r="AO447">
        <f>IF(AN447="",0,IF(MATCH(AN447,$AN$4:$AN$1203,0)=ROW()-3,1,0))</f>
        <v>0</v>
      </c>
      <c r="AP447">
        <f>N(AP446)+$AO447</f>
        <v>0</v>
      </c>
      <c r="AR447">
        <f>IF(OR($AF447=1,$AH447=1),1,0)</f>
        <v>0</v>
      </c>
      <c r="AS447">
        <f>N(AS446)+$AR447</f>
        <v>0</v>
      </c>
    </row>
    <row r="448" ht="14.25" customHeight="1" s="127">
      <c r="A448" t="str">
        <f>IF(对接源_01水果!$C448="","",对接源_01水果!$C448)</f>
        <v>努尔敦</v>
      </c>
      <c r="B448">
        <f>IF(A448="",0,IF(MATCH(A448,$A$4:$A$2403,0)=ROW()-3,1,0))</f>
        <v>0</v>
      </c>
      <c r="C448">
        <f>N(C447)+B448</f>
        <v>21</v>
      </c>
      <c r="K448">
        <f>IF(OR($K$1="",对接源_01水果!$C448="",对接源_01水果!$C448&lt;&gt;$K$1,对接源_01水果!$B448=""),0,IF(OR(N(对接源_01水果!$B448)&lt;$K$2,N(对接源_01水果!$B448)&gt;$K$3),0,1))</f>
        <v>0</v>
      </c>
      <c r="L448">
        <f>IF(OR($L$1="",对接源_01水果!$C448="",对接源_01水果!$C448&lt;&gt;$L$1,对接源_01水果!$B448=""),0,IF(OR(N(对接源_01水果!$B448)&lt;$L$2,N(对接源_01水果!$B448)&gt;$L$3),0,1))</f>
        <v>0</v>
      </c>
      <c r="M448">
        <f>IF(OR($M$1="",对接源_01水果!$C448="",对接源_01水果!$C448&lt;&gt;$M$1,对接源_01水果!$B448=""),0,IF(OR(N(对接源_01水果!$B448)&lt;$M$2,N(对接源_01水果!$B448)&gt;$M$3),0,1))</f>
        <v>0</v>
      </c>
      <c r="N448">
        <f>IF(OR($N$1="",对接源_01水果!$C448="",对接源_01水果!$C448&lt;&gt;$N$1,对接源_01水果!$B448=""),0,IF(OR(N(对接源_01水果!$B448)&lt;$N$2,N(对接源_01水果!$B448)&gt;$N$3),0,1))</f>
        <v>0</v>
      </c>
      <c r="P448">
        <f>IF(AND($K448=1,AND(对接源_01水果!$X448="公司筐",N(对接源_01水果!$T448)&lt;&gt;0)),1,0)</f>
        <v>0</v>
      </c>
      <c r="Q448">
        <f>N(Q447)+$P448</f>
        <v>0</v>
      </c>
      <c r="R448">
        <f>IF(AND($K448=1,AND(对接源_01水果!$X448="公司筐",N(对接源_01水果!$U448)&lt;&gt;0)),1,0)</f>
        <v>0</v>
      </c>
      <c r="S448">
        <f>N(S447)+$R448</f>
        <v>0</v>
      </c>
      <c r="T448">
        <f>IF(AND($K448=1,AND(对接源_01水果!$X448="公司筐",N(对接源_01水果!$V448)&lt;&gt;0)),1,0)</f>
        <v>0</v>
      </c>
      <c r="U448">
        <f>N(U447)+$T448</f>
        <v>41</v>
      </c>
      <c r="V448">
        <f>IF(AND($L448=1,AND(对接源_01水果!$X448="自备筐",N(对接源_01水果!$V448)&lt;&gt;0)),1,0)</f>
        <v>0</v>
      </c>
      <c r="W448">
        <f>N(W447)+$V448</f>
        <v>11</v>
      </c>
      <c r="X448">
        <f>IF(AND($L448=1,AND(对接源_01水果!$X448="自备筐",N(对接源_01水果!$T448)&lt;&gt;0)),1,0)</f>
        <v>0</v>
      </c>
      <c r="Y448">
        <f>N(Y447)+$X448</f>
        <v>0</v>
      </c>
      <c r="Z448">
        <f>IF(AND($M448=1,对接源_01水果!$D448="原料入库"),1,0)</f>
        <v>0</v>
      </c>
      <c r="AA448">
        <f>N(AA447)+$Z448</f>
        <v>24</v>
      </c>
      <c r="AB448">
        <f>IF(AND($M448=1,LEFT(对接源_01水果!$D448,4)="原料出库"),1,0)</f>
        <v>0</v>
      </c>
      <c r="AC448">
        <f>N(AC447)+$AB448</f>
        <v>0</v>
      </c>
      <c r="AD448">
        <f>IF(AND($M448=1,LEFT(对接源_01水果!$D448,4)="成品出库"),1,0)</f>
        <v>0</v>
      </c>
      <c r="AE448">
        <f>N(AE447)+$AD448</f>
        <v>0</v>
      </c>
      <c r="AF448">
        <f>IF(AND($N448=1,AND(LEFT(对接源_01水果!$D448,4)="包装物料",N(对接源_01水果!$K448)&lt;&gt;0)),1,0)</f>
        <v>0</v>
      </c>
      <c r="AG448">
        <f>N(AG447)+$AF448</f>
        <v>0</v>
      </c>
      <c r="AH448">
        <f>IF(AND($N448=1,AND(对接源_01水果!$D448="周转筐－销售出库",N(对接源_01水果!$K448)&lt;&gt;0)),1,0)</f>
        <v>0</v>
      </c>
      <c r="AI448">
        <f>N(AI447)+$AH448</f>
        <v>0</v>
      </c>
      <c r="AJ448" s="7" t="n"/>
      <c r="AL448">
        <f>IF(OR($AL$1="",对接源_01水果!$Y448="",对接源_01水果!$Y448&lt;&gt;$AL$1,对接源_01水果!$B448="",N(对接源_01水果!$AJ448)&lt;=0),0,IF(OR(N(对接源_01水果!$B448)&lt;$AL$2,N(对接源_01水果!$B448)&gt;$AL$3),0,1))</f>
        <v>0</v>
      </c>
      <c r="AM448">
        <f>N(AM447)+$AL448</f>
        <v>0</v>
      </c>
      <c r="AN448">
        <f>IF(对接源_01水果!$AC448="","",对接源_01水果!$AC448)</f>
      </c>
      <c r="AO448">
        <f>IF(AN448="",0,IF(MATCH(AN448,$AN$4:$AN$1203,0)=ROW()-3,1,0))</f>
        <v>0</v>
      </c>
      <c r="AP448">
        <f>N(AP447)+$AO448</f>
        <v>0</v>
      </c>
      <c r="AR448">
        <f>IF(OR($AF448=1,$AH448=1),1,0)</f>
        <v>0</v>
      </c>
      <c r="AS448">
        <f>N(AS447)+$AR448</f>
        <v>0</v>
      </c>
    </row>
    <row r="449" ht="14.25" customHeight="1" s="127">
      <c r="A449" t="str">
        <f>IF(对接源_01水果!$C449="","",对接源_01水果!$C449)</f>
        <v>努尔敦</v>
      </c>
      <c r="B449">
        <f>IF(A449="",0,IF(MATCH(A449,$A$4:$A$2403,0)=ROW()-3,1,0))</f>
        <v>0</v>
      </c>
      <c r="C449">
        <f>N(C448)+B449</f>
        <v>21</v>
      </c>
      <c r="K449">
        <f>IF(OR($K$1="",对接源_01水果!$C449="",对接源_01水果!$C449&lt;&gt;$K$1,对接源_01水果!$B449=""),0,IF(OR(N(对接源_01水果!$B449)&lt;$K$2,N(对接源_01水果!$B449)&gt;$K$3),0,1))</f>
        <v>0</v>
      </c>
      <c r="L449">
        <f>IF(OR($L$1="",对接源_01水果!$C449="",对接源_01水果!$C449&lt;&gt;$L$1,对接源_01水果!$B449=""),0,IF(OR(N(对接源_01水果!$B449)&lt;$L$2,N(对接源_01水果!$B449)&gt;$L$3),0,1))</f>
        <v>0</v>
      </c>
      <c r="M449">
        <f>IF(OR($M$1="",对接源_01水果!$C449="",对接源_01水果!$C449&lt;&gt;$M$1,对接源_01水果!$B449=""),0,IF(OR(N(对接源_01水果!$B449)&lt;$M$2,N(对接源_01水果!$B449)&gt;$M$3),0,1))</f>
        <v>0</v>
      </c>
      <c r="N449">
        <f>IF(OR($N$1="",对接源_01水果!$C449="",对接源_01水果!$C449&lt;&gt;$N$1,对接源_01水果!$B449=""),0,IF(OR(N(对接源_01水果!$B449)&lt;$N$2,N(对接源_01水果!$B449)&gt;$N$3),0,1))</f>
        <v>0</v>
      </c>
      <c r="P449">
        <f>IF(AND($K449=1,AND(对接源_01水果!$X449="公司筐",N(对接源_01水果!$T449)&lt;&gt;0)),1,0)</f>
        <v>0</v>
      </c>
      <c r="Q449">
        <f>N(Q448)+$P449</f>
        <v>0</v>
      </c>
      <c r="R449">
        <f>IF(AND($K449=1,AND(对接源_01水果!$X449="公司筐",N(对接源_01水果!$U449)&lt;&gt;0)),1,0)</f>
        <v>0</v>
      </c>
      <c r="S449">
        <f>N(S448)+$R449</f>
        <v>0</v>
      </c>
      <c r="T449">
        <f>IF(AND($K449=1,AND(对接源_01水果!$X449="公司筐",N(对接源_01水果!$V449)&lt;&gt;0)),1,0)</f>
        <v>0</v>
      </c>
      <c r="U449">
        <f>N(U448)+$T449</f>
        <v>41</v>
      </c>
      <c r="V449">
        <f>IF(AND($L449=1,AND(对接源_01水果!$X449="自备筐",N(对接源_01水果!$V449)&lt;&gt;0)),1,0)</f>
        <v>0</v>
      </c>
      <c r="W449">
        <f>N(W448)+$V449</f>
        <v>11</v>
      </c>
      <c r="X449">
        <f>IF(AND($L449=1,AND(对接源_01水果!$X449="自备筐",N(对接源_01水果!$T449)&lt;&gt;0)),1,0)</f>
        <v>0</v>
      </c>
      <c r="Y449">
        <f>N(Y448)+$X449</f>
        <v>0</v>
      </c>
      <c r="Z449">
        <f>IF(AND($M449=1,对接源_01水果!$D449="原料入库"),1,0)</f>
        <v>0</v>
      </c>
      <c r="AA449">
        <f>N(AA448)+$Z449</f>
        <v>24</v>
      </c>
      <c r="AB449">
        <f>IF(AND($M449=1,LEFT(对接源_01水果!$D449,4)="原料出库"),1,0)</f>
        <v>0</v>
      </c>
      <c r="AC449">
        <f>N(AC448)+$AB449</f>
        <v>0</v>
      </c>
      <c r="AD449">
        <f>IF(AND($M449=1,LEFT(对接源_01水果!$D449,4)="成品出库"),1,0)</f>
        <v>0</v>
      </c>
      <c r="AE449">
        <f>N(AE448)+$AD449</f>
        <v>0</v>
      </c>
      <c r="AF449">
        <f>IF(AND($N449=1,AND(LEFT(对接源_01水果!$D449,4)="包装物料",N(对接源_01水果!$K449)&lt;&gt;0)),1,0)</f>
        <v>0</v>
      </c>
      <c r="AG449">
        <f>N(AG448)+$AF449</f>
        <v>0</v>
      </c>
      <c r="AH449">
        <f>IF(AND($N449=1,AND(对接源_01水果!$D449="周转筐－销售出库",N(对接源_01水果!$K449)&lt;&gt;0)),1,0)</f>
        <v>0</v>
      </c>
      <c r="AI449">
        <f>N(AI448)+$AH449</f>
        <v>0</v>
      </c>
      <c r="AJ449" s="7" t="n"/>
      <c r="AL449">
        <f>IF(OR($AL$1="",对接源_01水果!$Y449="",对接源_01水果!$Y449&lt;&gt;$AL$1,对接源_01水果!$B449="",N(对接源_01水果!$AJ449)&lt;=0),0,IF(OR(N(对接源_01水果!$B449)&lt;$AL$2,N(对接源_01水果!$B449)&gt;$AL$3),0,1))</f>
        <v>0</v>
      </c>
      <c r="AM449">
        <f>N(AM448)+$AL449</f>
        <v>0</v>
      </c>
      <c r="AN449">
        <f>IF(对接源_01水果!$AC449="","",对接源_01水果!$AC449)</f>
      </c>
      <c r="AO449">
        <f>IF(AN449="",0,IF(MATCH(AN449,$AN$4:$AN$1203,0)=ROW()-3,1,0))</f>
        <v>0</v>
      </c>
      <c r="AP449">
        <f>N(AP448)+$AO449</f>
        <v>0</v>
      </c>
      <c r="AR449">
        <f>IF(OR($AF449=1,$AH449=1),1,0)</f>
        <v>0</v>
      </c>
      <c r="AS449">
        <f>N(AS448)+$AR449</f>
        <v>0</v>
      </c>
    </row>
    <row r="450" ht="14.25" customHeight="1" s="127">
      <c r="A450" t="str">
        <f>IF(对接源_01水果!$C450="","",对接源_01水果!$C450)</f>
        <v>王灵云</v>
      </c>
      <c r="B450">
        <f>IF(A450="",0,IF(MATCH(A450,$A$4:$A$2403,0)=ROW()-3,1,0))</f>
        <v>0</v>
      </c>
      <c r="C450">
        <f>N(C449)+B450</f>
        <v>21</v>
      </c>
      <c r="K450">
        <f>IF(OR($K$1="",对接源_01水果!$C450="",对接源_01水果!$C450&lt;&gt;$K$1,对接源_01水果!$B450=""),0,IF(OR(N(对接源_01水果!$B450)&lt;$K$2,N(对接源_01水果!$B450)&gt;$K$3),0,1))</f>
        <v>1</v>
      </c>
      <c r="L450">
        <f>IF(OR($L$1="",对接源_01水果!$C450="",对接源_01水果!$C450&lt;&gt;$L$1,对接源_01水果!$B450=""),0,IF(OR(N(对接源_01水果!$B450)&lt;$L$2,N(对接源_01水果!$B450)&gt;$L$3),0,1))</f>
        <v>0</v>
      </c>
      <c r="M450">
        <f>IF(OR($M$1="",对接源_01水果!$C450="",对接源_01水果!$C450&lt;&gt;$M$1,对接源_01水果!$B450=""),0,IF(OR(N(对接源_01水果!$B450)&lt;$M$2,N(对接源_01水果!$B450)&gt;$M$3),0,1))</f>
        <v>0</v>
      </c>
      <c r="N450">
        <f>IF(OR($N$1="",对接源_01水果!$C450="",对接源_01水果!$C450&lt;&gt;$N$1,对接源_01水果!$B450=""),0,IF(OR(N(对接源_01水果!$B450)&lt;$N$2,N(对接源_01水果!$B450)&gt;$N$3),0,1))</f>
        <v>0</v>
      </c>
      <c r="P450">
        <f>IF(AND($K450=1,AND(对接源_01水果!$X450="公司筐",N(对接源_01水果!$T450)&lt;&gt;0)),1,0)</f>
        <v>0</v>
      </c>
      <c r="Q450">
        <f>N(Q449)+$P450</f>
        <v>0</v>
      </c>
      <c r="R450">
        <f>IF(AND($K450=1,AND(对接源_01水果!$X450="公司筐",N(对接源_01水果!$U450)&lt;&gt;0)),1,0)</f>
        <v>0</v>
      </c>
      <c r="S450">
        <f>N(S449)+$R450</f>
        <v>0</v>
      </c>
      <c r="T450">
        <f>IF(AND($K450=1,AND(对接源_01水果!$X450="公司筐",N(对接源_01水果!$V450)&lt;&gt;0)),1,0)</f>
        <v>1</v>
      </c>
      <c r="U450">
        <f>N(U449)+$T450</f>
        <v>42</v>
      </c>
      <c r="V450">
        <f>IF(AND($L450=1,AND(对接源_01水果!$X450="自备筐",N(对接源_01水果!$V450)&lt;&gt;0)),1,0)</f>
        <v>0</v>
      </c>
      <c r="W450">
        <f>N(W449)+$V450</f>
        <v>11</v>
      </c>
      <c r="X450">
        <f>IF(AND($L450=1,AND(对接源_01水果!$X450="自备筐",N(对接源_01水果!$T450)&lt;&gt;0)),1,0)</f>
        <v>0</v>
      </c>
      <c r="Y450">
        <f>N(Y449)+$X450</f>
        <v>0</v>
      </c>
      <c r="Z450">
        <f>IF(AND($M450=1,对接源_01水果!$D450="原料入库"),1,0)</f>
        <v>0</v>
      </c>
      <c r="AA450">
        <f>N(AA449)+$Z450</f>
        <v>24</v>
      </c>
      <c r="AB450">
        <f>IF(AND($M450=1,LEFT(对接源_01水果!$D450,4)="原料出库"),1,0)</f>
        <v>0</v>
      </c>
      <c r="AC450">
        <f>N(AC449)+$AB450</f>
        <v>0</v>
      </c>
      <c r="AD450">
        <f>IF(AND($M450=1,LEFT(对接源_01水果!$D450,4)="成品出库"),1,0)</f>
        <v>0</v>
      </c>
      <c r="AE450">
        <f>N(AE449)+$AD450</f>
        <v>0</v>
      </c>
      <c r="AF450">
        <f>IF(AND($N450=1,AND(LEFT(对接源_01水果!$D450,4)="包装物料",N(对接源_01水果!$K450)&lt;&gt;0)),1,0)</f>
        <v>0</v>
      </c>
      <c r="AG450">
        <f>N(AG449)+$AF450</f>
        <v>0</v>
      </c>
      <c r="AH450">
        <f>IF(AND($N450=1,AND(对接源_01水果!$D450="周转筐－销售出库",N(对接源_01水果!$K450)&lt;&gt;0)),1,0)</f>
        <v>0</v>
      </c>
      <c r="AI450">
        <f>N(AI449)+$AH450</f>
        <v>0</v>
      </c>
      <c r="AJ450" s="7" t="n"/>
      <c r="AL450">
        <f>IF(OR($AL$1="",对接源_01水果!$Y450="",对接源_01水果!$Y450&lt;&gt;$AL$1,对接源_01水果!$B450="",N(对接源_01水果!$AJ450)&lt;=0),0,IF(OR(N(对接源_01水果!$B450)&lt;$AL$2,N(对接源_01水果!$B450)&gt;$AL$3),0,1))</f>
        <v>0</v>
      </c>
      <c r="AM450">
        <f>N(AM449)+$AL450</f>
        <v>0</v>
      </c>
      <c r="AN450">
        <f>IF(对接源_01水果!$AC450="","",对接源_01水果!$AC450)</f>
      </c>
      <c r="AO450">
        <f>IF(AN450="",0,IF(MATCH(AN450,$AN$4:$AN$1203,0)=ROW()-3,1,0))</f>
        <v>0</v>
      </c>
      <c r="AP450">
        <f>N(AP449)+$AO450</f>
        <v>0</v>
      </c>
      <c r="AR450">
        <f>IF(OR($AF450=1,$AH450=1),1,0)</f>
        <v>0</v>
      </c>
      <c r="AS450">
        <f>N(AS449)+$AR450</f>
        <v>0</v>
      </c>
    </row>
    <row r="451" ht="14.25" customHeight="1" s="127">
      <c r="A451" t="str">
        <f>IF(对接源_01水果!$C451="","",对接源_01水果!$C451)</f>
        <v>王灵云</v>
      </c>
      <c r="B451">
        <f>IF(A451="",0,IF(MATCH(A451,$A$4:$A$2403,0)=ROW()-3,1,0))</f>
        <v>0</v>
      </c>
      <c r="C451">
        <f>N(C450)+B451</f>
        <v>21</v>
      </c>
      <c r="K451">
        <f>IF(OR($K$1="",对接源_01水果!$C451="",对接源_01水果!$C451&lt;&gt;$K$1,对接源_01水果!$B451=""),0,IF(OR(N(对接源_01水果!$B451)&lt;$K$2,N(对接源_01水果!$B451)&gt;$K$3),0,1))</f>
        <v>1</v>
      </c>
      <c r="L451">
        <f>IF(OR($L$1="",对接源_01水果!$C451="",对接源_01水果!$C451&lt;&gt;$L$1,对接源_01水果!$B451=""),0,IF(OR(N(对接源_01水果!$B451)&lt;$L$2,N(对接源_01水果!$B451)&gt;$L$3),0,1))</f>
        <v>0</v>
      </c>
      <c r="M451">
        <f>IF(OR($M$1="",对接源_01水果!$C451="",对接源_01水果!$C451&lt;&gt;$M$1,对接源_01水果!$B451=""),0,IF(OR(N(对接源_01水果!$B451)&lt;$M$2,N(对接源_01水果!$B451)&gt;$M$3),0,1))</f>
        <v>0</v>
      </c>
      <c r="N451">
        <f>IF(OR($N$1="",对接源_01水果!$C451="",对接源_01水果!$C451&lt;&gt;$N$1,对接源_01水果!$B451=""),0,IF(OR(N(对接源_01水果!$B451)&lt;$N$2,N(对接源_01水果!$B451)&gt;$N$3),0,1))</f>
        <v>0</v>
      </c>
      <c r="P451">
        <f>IF(AND($K451=1,AND(对接源_01水果!$X451="公司筐",N(对接源_01水果!$T451)&lt;&gt;0)),1,0)</f>
        <v>0</v>
      </c>
      <c r="Q451">
        <f>N(Q450)+$P451</f>
        <v>0</v>
      </c>
      <c r="R451">
        <f>IF(AND($K451=1,AND(对接源_01水果!$X451="公司筐",N(对接源_01水果!$U451)&lt;&gt;0)),1,0)</f>
        <v>0</v>
      </c>
      <c r="S451">
        <f>N(S450)+$R451</f>
        <v>0</v>
      </c>
      <c r="T451">
        <f>IF(AND($K451=1,AND(对接源_01水果!$X451="公司筐",N(对接源_01水果!$V451)&lt;&gt;0)),1,0)</f>
        <v>1</v>
      </c>
      <c r="U451">
        <f>N(U450)+$T451</f>
        <v>43</v>
      </c>
      <c r="V451">
        <f>IF(AND($L451=1,AND(对接源_01水果!$X451="自备筐",N(对接源_01水果!$V451)&lt;&gt;0)),1,0)</f>
        <v>0</v>
      </c>
      <c r="W451">
        <f>N(W450)+$V451</f>
        <v>11</v>
      </c>
      <c r="X451">
        <f>IF(AND($L451=1,AND(对接源_01水果!$X451="自备筐",N(对接源_01水果!$T451)&lt;&gt;0)),1,0)</f>
        <v>0</v>
      </c>
      <c r="Y451">
        <f>N(Y450)+$X451</f>
        <v>0</v>
      </c>
      <c r="Z451">
        <f>IF(AND($M451=1,对接源_01水果!$D451="原料入库"),1,0)</f>
        <v>0</v>
      </c>
      <c r="AA451">
        <f>N(AA450)+$Z451</f>
        <v>24</v>
      </c>
      <c r="AB451">
        <f>IF(AND($M451=1,LEFT(对接源_01水果!$D451,4)="原料出库"),1,0)</f>
        <v>0</v>
      </c>
      <c r="AC451">
        <f>N(AC450)+$AB451</f>
        <v>0</v>
      </c>
      <c r="AD451">
        <f>IF(AND($M451=1,LEFT(对接源_01水果!$D451,4)="成品出库"),1,0)</f>
        <v>0</v>
      </c>
      <c r="AE451">
        <f>N(AE450)+$AD451</f>
        <v>0</v>
      </c>
      <c r="AF451">
        <f>IF(AND($N451=1,AND(LEFT(对接源_01水果!$D451,4)="包装物料",N(对接源_01水果!$K451)&lt;&gt;0)),1,0)</f>
        <v>0</v>
      </c>
      <c r="AG451">
        <f>N(AG450)+$AF451</f>
        <v>0</v>
      </c>
      <c r="AH451">
        <f>IF(AND($N451=1,AND(对接源_01水果!$D451="周转筐－销售出库",N(对接源_01水果!$K451)&lt;&gt;0)),1,0)</f>
        <v>0</v>
      </c>
      <c r="AI451">
        <f>N(AI450)+$AH451</f>
        <v>0</v>
      </c>
      <c r="AJ451" s="7" t="n"/>
      <c r="AL451">
        <f>IF(OR($AL$1="",对接源_01水果!$Y451="",对接源_01水果!$Y451&lt;&gt;$AL$1,对接源_01水果!$B451="",N(对接源_01水果!$AJ451)&lt;=0),0,IF(OR(N(对接源_01水果!$B451)&lt;$AL$2,N(对接源_01水果!$B451)&gt;$AL$3),0,1))</f>
        <v>0</v>
      </c>
      <c r="AM451">
        <f>N(AM450)+$AL451</f>
        <v>0</v>
      </c>
      <c r="AN451">
        <f>IF(对接源_01水果!$AC451="","",对接源_01水果!$AC451)</f>
      </c>
      <c r="AO451">
        <f>IF(AN451="",0,IF(MATCH(AN451,$AN$4:$AN$1203,0)=ROW()-3,1,0))</f>
        <v>0</v>
      </c>
      <c r="AP451">
        <f>N(AP450)+$AO451</f>
        <v>0</v>
      </c>
      <c r="AR451">
        <f>IF(OR($AF451=1,$AH451=1),1,0)</f>
        <v>0</v>
      </c>
      <c r="AS451">
        <f>N(AS450)+$AR451</f>
        <v>0</v>
      </c>
    </row>
    <row r="452" ht="14.25" customHeight="1" s="127">
      <c r="A452" t="str">
        <f>IF(对接源_01水果!$C452="","",对接源_01水果!$C452)</f>
        <v>吐尔地</v>
      </c>
      <c r="B452">
        <f>IF(A452="",0,IF(MATCH(A452,$A$4:$A$2403,0)=ROW()-3,1,0))</f>
        <v>1</v>
      </c>
      <c r="C452">
        <f>N(C451)+B452</f>
        <v>22</v>
      </c>
      <c r="K452">
        <f>IF(OR($K$1="",对接源_01水果!$C452="",对接源_01水果!$C452&lt;&gt;$K$1,对接源_01水果!$B452=""),0,IF(OR(N(对接源_01水果!$B452)&lt;$K$2,N(对接源_01水果!$B452)&gt;$K$3),0,1))</f>
        <v>0</v>
      </c>
      <c r="L452">
        <f>IF(OR($L$1="",对接源_01水果!$C452="",对接源_01水果!$C452&lt;&gt;$L$1,对接源_01水果!$B452=""),0,IF(OR(N(对接源_01水果!$B452)&lt;$L$2,N(对接源_01水果!$B452)&gt;$L$3),0,1))</f>
        <v>0</v>
      </c>
      <c r="M452">
        <f>IF(OR($M$1="",对接源_01水果!$C452="",对接源_01水果!$C452&lt;&gt;$M$1,对接源_01水果!$B452=""),0,IF(OR(N(对接源_01水果!$B452)&lt;$M$2,N(对接源_01水果!$B452)&gt;$M$3),0,1))</f>
        <v>0</v>
      </c>
      <c r="N452">
        <f>IF(OR($N$1="",对接源_01水果!$C452="",对接源_01水果!$C452&lt;&gt;$N$1,对接源_01水果!$B452=""),0,IF(OR(N(对接源_01水果!$B452)&lt;$N$2,N(对接源_01水果!$B452)&gt;$N$3),0,1))</f>
        <v>0</v>
      </c>
      <c r="P452">
        <f>IF(AND($K452=1,AND(对接源_01水果!$X452="公司筐",N(对接源_01水果!$T452)&lt;&gt;0)),1,0)</f>
        <v>0</v>
      </c>
      <c r="Q452">
        <f>N(Q451)+$P452</f>
        <v>0</v>
      </c>
      <c r="R452">
        <f>IF(AND($K452=1,AND(对接源_01水果!$X452="公司筐",N(对接源_01水果!$U452)&lt;&gt;0)),1,0)</f>
        <v>0</v>
      </c>
      <c r="S452">
        <f>N(S451)+$R452</f>
        <v>0</v>
      </c>
      <c r="T452">
        <f>IF(AND($K452=1,AND(对接源_01水果!$X452="公司筐",N(对接源_01水果!$V452)&lt;&gt;0)),1,0)</f>
        <v>0</v>
      </c>
      <c r="U452">
        <f>N(U451)+$T452</f>
        <v>43</v>
      </c>
      <c r="V452">
        <f>IF(AND($L452=1,AND(对接源_01水果!$X452="自备筐",N(对接源_01水果!$V452)&lt;&gt;0)),1,0)</f>
        <v>0</v>
      </c>
      <c r="W452">
        <f>N(W451)+$V452</f>
        <v>11</v>
      </c>
      <c r="X452">
        <f>IF(AND($L452=1,AND(对接源_01水果!$X452="自备筐",N(对接源_01水果!$T452)&lt;&gt;0)),1,0)</f>
        <v>0</v>
      </c>
      <c r="Y452">
        <f>N(Y451)+$X452</f>
        <v>0</v>
      </c>
      <c r="Z452">
        <f>IF(AND($M452=1,对接源_01水果!$D452="原料入库"),1,0)</f>
        <v>0</v>
      </c>
      <c r="AA452">
        <f>N(AA451)+$Z452</f>
        <v>24</v>
      </c>
      <c r="AB452">
        <f>IF(AND($M452=1,LEFT(对接源_01水果!$D452,4)="原料出库"),1,0)</f>
        <v>0</v>
      </c>
      <c r="AC452">
        <f>N(AC451)+$AB452</f>
        <v>0</v>
      </c>
      <c r="AD452">
        <f>IF(AND($M452=1,LEFT(对接源_01水果!$D452,4)="成品出库"),1,0)</f>
        <v>0</v>
      </c>
      <c r="AE452">
        <f>N(AE451)+$AD452</f>
        <v>0</v>
      </c>
      <c r="AF452">
        <f>IF(AND($N452=1,AND(LEFT(对接源_01水果!$D452,4)="包装物料",N(对接源_01水果!$K452)&lt;&gt;0)),1,0)</f>
        <v>0</v>
      </c>
      <c r="AG452">
        <f>N(AG451)+$AF452</f>
        <v>0</v>
      </c>
      <c r="AH452">
        <f>IF(AND($N452=1,AND(对接源_01水果!$D452="周转筐－销售出库",N(对接源_01水果!$K452)&lt;&gt;0)),1,0)</f>
        <v>0</v>
      </c>
      <c r="AI452">
        <f>N(AI451)+$AH452</f>
        <v>0</v>
      </c>
      <c r="AJ452" s="7" t="n"/>
      <c r="AL452">
        <f>IF(OR($AL$1="",对接源_01水果!$Y452="",对接源_01水果!$Y452&lt;&gt;$AL$1,对接源_01水果!$B452="",N(对接源_01水果!$AJ452)&lt;=0),0,IF(OR(N(对接源_01水果!$B452)&lt;$AL$2,N(对接源_01水果!$B452)&gt;$AL$3),0,1))</f>
        <v>0</v>
      </c>
      <c r="AM452">
        <f>N(AM451)+$AL452</f>
        <v>0</v>
      </c>
      <c r="AN452">
        <f>IF(对接源_01水果!$AC452="","",对接源_01水果!$AC452)</f>
      </c>
      <c r="AO452">
        <f>IF(AN452="",0,IF(MATCH(AN452,$AN$4:$AN$1203,0)=ROW()-3,1,0))</f>
        <v>0</v>
      </c>
      <c r="AP452">
        <f>N(AP451)+$AO452</f>
        <v>0</v>
      </c>
      <c r="AR452">
        <f>IF(OR($AF452=1,$AH452=1),1,0)</f>
        <v>0</v>
      </c>
      <c r="AS452">
        <f>N(AS451)+$AR452</f>
        <v>0</v>
      </c>
    </row>
    <row r="453" ht="14.25" customHeight="1" s="127">
      <c r="A453" t="str">
        <f>IF(对接源_01水果!$C453="","",对接源_01水果!$C453)</f>
        <v>吐尔地</v>
      </c>
      <c r="B453">
        <f>IF(A453="",0,IF(MATCH(A453,$A$4:$A$2403,0)=ROW()-3,1,0))</f>
        <v>0</v>
      </c>
      <c r="C453">
        <f>N(C452)+B453</f>
        <v>22</v>
      </c>
      <c r="K453">
        <f>IF(OR($K$1="",对接源_01水果!$C453="",对接源_01水果!$C453&lt;&gt;$K$1,对接源_01水果!$B453=""),0,IF(OR(N(对接源_01水果!$B453)&lt;$K$2,N(对接源_01水果!$B453)&gt;$K$3),0,1))</f>
        <v>0</v>
      </c>
      <c r="L453">
        <f>IF(OR($L$1="",对接源_01水果!$C453="",对接源_01水果!$C453&lt;&gt;$L$1,对接源_01水果!$B453=""),0,IF(OR(N(对接源_01水果!$B453)&lt;$L$2,N(对接源_01水果!$B453)&gt;$L$3),0,1))</f>
        <v>0</v>
      </c>
      <c r="M453">
        <f>IF(OR($M$1="",对接源_01水果!$C453="",对接源_01水果!$C453&lt;&gt;$M$1,对接源_01水果!$B453=""),0,IF(OR(N(对接源_01水果!$B453)&lt;$M$2,N(对接源_01水果!$B453)&gt;$M$3),0,1))</f>
        <v>0</v>
      </c>
      <c r="N453">
        <f>IF(OR($N$1="",对接源_01水果!$C453="",对接源_01水果!$C453&lt;&gt;$N$1,对接源_01水果!$B453=""),0,IF(OR(N(对接源_01水果!$B453)&lt;$N$2,N(对接源_01水果!$B453)&gt;$N$3),0,1))</f>
        <v>0</v>
      </c>
      <c r="P453">
        <f>IF(AND($K453=1,AND(对接源_01水果!$X453="公司筐",N(对接源_01水果!$T453)&lt;&gt;0)),1,0)</f>
        <v>0</v>
      </c>
      <c r="Q453">
        <f>N(Q452)+$P453</f>
        <v>0</v>
      </c>
      <c r="R453">
        <f>IF(AND($K453=1,AND(对接源_01水果!$X453="公司筐",N(对接源_01水果!$U453)&lt;&gt;0)),1,0)</f>
        <v>0</v>
      </c>
      <c r="S453">
        <f>N(S452)+$R453</f>
        <v>0</v>
      </c>
      <c r="T453">
        <f>IF(AND($K453=1,AND(对接源_01水果!$X453="公司筐",N(对接源_01水果!$V453)&lt;&gt;0)),1,0)</f>
        <v>0</v>
      </c>
      <c r="U453">
        <f>N(U452)+$T453</f>
        <v>43</v>
      </c>
      <c r="V453">
        <f>IF(AND($L453=1,AND(对接源_01水果!$X453="自备筐",N(对接源_01水果!$V453)&lt;&gt;0)),1,0)</f>
        <v>0</v>
      </c>
      <c r="W453">
        <f>N(W452)+$V453</f>
        <v>11</v>
      </c>
      <c r="X453">
        <f>IF(AND($L453=1,AND(对接源_01水果!$X453="自备筐",N(对接源_01水果!$T453)&lt;&gt;0)),1,0)</f>
        <v>0</v>
      </c>
      <c r="Y453">
        <f>N(Y452)+$X453</f>
        <v>0</v>
      </c>
      <c r="Z453">
        <f>IF(AND($M453=1,对接源_01水果!$D453="原料入库"),1,0)</f>
        <v>0</v>
      </c>
      <c r="AA453">
        <f>N(AA452)+$Z453</f>
        <v>24</v>
      </c>
      <c r="AB453">
        <f>IF(AND($M453=1,LEFT(对接源_01水果!$D453,4)="原料出库"),1,0)</f>
        <v>0</v>
      </c>
      <c r="AC453">
        <f>N(AC452)+$AB453</f>
        <v>0</v>
      </c>
      <c r="AD453">
        <f>IF(AND($M453=1,LEFT(对接源_01水果!$D453,4)="成品出库"),1,0)</f>
        <v>0</v>
      </c>
      <c r="AE453">
        <f>N(AE452)+$AD453</f>
        <v>0</v>
      </c>
      <c r="AF453">
        <f>IF(AND($N453=1,AND(LEFT(对接源_01水果!$D453,4)="包装物料",N(对接源_01水果!$K453)&lt;&gt;0)),1,0)</f>
        <v>0</v>
      </c>
      <c r="AG453">
        <f>N(AG452)+$AF453</f>
        <v>0</v>
      </c>
      <c r="AH453">
        <f>IF(AND($N453=1,AND(对接源_01水果!$D453="周转筐－销售出库",N(对接源_01水果!$K453)&lt;&gt;0)),1,0)</f>
        <v>0</v>
      </c>
      <c r="AI453">
        <f>N(AI452)+$AH453</f>
        <v>0</v>
      </c>
      <c r="AJ453" s="7" t="n"/>
      <c r="AL453">
        <f>IF(OR($AL$1="",对接源_01水果!$Y453="",对接源_01水果!$Y453&lt;&gt;$AL$1,对接源_01水果!$B453="",N(对接源_01水果!$AJ453)&lt;=0),0,IF(OR(N(对接源_01水果!$B453)&lt;$AL$2,N(对接源_01水果!$B453)&gt;$AL$3),0,1))</f>
        <v>0</v>
      </c>
      <c r="AM453">
        <f>N(AM452)+$AL453</f>
        <v>0</v>
      </c>
      <c r="AN453">
        <f>IF(对接源_01水果!$AC453="","",对接源_01水果!$AC453)</f>
      </c>
      <c r="AO453">
        <f>IF(AN453="",0,IF(MATCH(AN453,$AN$4:$AN$1203,0)=ROW()-3,1,0))</f>
        <v>0</v>
      </c>
      <c r="AP453">
        <f>N(AP452)+$AO453</f>
        <v>0</v>
      </c>
      <c r="AR453">
        <f>IF(OR($AF453=1,$AH453=1),1,0)</f>
        <v>0</v>
      </c>
      <c r="AS453">
        <f>N(AS452)+$AR453</f>
        <v>0</v>
      </c>
    </row>
    <row r="454" ht="14.25" customHeight="1" s="127">
      <c r="A454" t="str">
        <f>IF(对接源_01水果!$C454="","",对接源_01水果!$C454)</f>
        <v>吐尔地</v>
      </c>
      <c r="B454">
        <f>IF(A454="",0,IF(MATCH(A454,$A$4:$A$2403,0)=ROW()-3,1,0))</f>
        <v>0</v>
      </c>
      <c r="C454">
        <f>N(C453)+B454</f>
        <v>22</v>
      </c>
      <c r="K454">
        <f>IF(OR($K$1="",对接源_01水果!$C454="",对接源_01水果!$C454&lt;&gt;$K$1,对接源_01水果!$B454=""),0,IF(OR(N(对接源_01水果!$B454)&lt;$K$2,N(对接源_01水果!$B454)&gt;$K$3),0,1))</f>
        <v>0</v>
      </c>
      <c r="L454">
        <f>IF(OR($L$1="",对接源_01水果!$C454="",对接源_01水果!$C454&lt;&gt;$L$1,对接源_01水果!$B454=""),0,IF(OR(N(对接源_01水果!$B454)&lt;$L$2,N(对接源_01水果!$B454)&gt;$L$3),0,1))</f>
        <v>0</v>
      </c>
      <c r="M454">
        <f>IF(OR($M$1="",对接源_01水果!$C454="",对接源_01水果!$C454&lt;&gt;$M$1,对接源_01水果!$B454=""),0,IF(OR(N(对接源_01水果!$B454)&lt;$M$2,N(对接源_01水果!$B454)&gt;$M$3),0,1))</f>
        <v>0</v>
      </c>
      <c r="N454">
        <f>IF(OR($N$1="",对接源_01水果!$C454="",对接源_01水果!$C454&lt;&gt;$N$1,对接源_01水果!$B454=""),0,IF(OR(N(对接源_01水果!$B454)&lt;$N$2,N(对接源_01水果!$B454)&gt;$N$3),0,1))</f>
        <v>0</v>
      </c>
      <c r="P454">
        <f>IF(AND($K454=1,AND(对接源_01水果!$X454="公司筐",N(对接源_01水果!$T454)&lt;&gt;0)),1,0)</f>
        <v>0</v>
      </c>
      <c r="Q454">
        <f>N(Q453)+$P454</f>
        <v>0</v>
      </c>
      <c r="R454">
        <f>IF(AND($K454=1,AND(对接源_01水果!$X454="公司筐",N(对接源_01水果!$U454)&lt;&gt;0)),1,0)</f>
        <v>0</v>
      </c>
      <c r="S454">
        <f>N(S453)+$R454</f>
        <v>0</v>
      </c>
      <c r="T454">
        <f>IF(AND($K454=1,AND(对接源_01水果!$X454="公司筐",N(对接源_01水果!$V454)&lt;&gt;0)),1,0)</f>
        <v>0</v>
      </c>
      <c r="U454">
        <f>N(U453)+$T454</f>
        <v>43</v>
      </c>
      <c r="V454">
        <f>IF(AND($L454=1,AND(对接源_01水果!$X454="自备筐",N(对接源_01水果!$V454)&lt;&gt;0)),1,0)</f>
        <v>0</v>
      </c>
      <c r="W454">
        <f>N(W453)+$V454</f>
        <v>11</v>
      </c>
      <c r="X454">
        <f>IF(AND($L454=1,AND(对接源_01水果!$X454="自备筐",N(对接源_01水果!$T454)&lt;&gt;0)),1,0)</f>
        <v>0</v>
      </c>
      <c r="Y454">
        <f>N(Y453)+$X454</f>
        <v>0</v>
      </c>
      <c r="Z454">
        <f>IF(AND($M454=1,对接源_01水果!$D454="原料入库"),1,0)</f>
        <v>0</v>
      </c>
      <c r="AA454">
        <f>N(AA453)+$Z454</f>
        <v>24</v>
      </c>
      <c r="AB454">
        <f>IF(AND($M454=1,LEFT(对接源_01水果!$D454,4)="原料出库"),1,0)</f>
        <v>0</v>
      </c>
      <c r="AC454">
        <f>N(AC453)+$AB454</f>
        <v>0</v>
      </c>
      <c r="AD454">
        <f>IF(AND($M454=1,LEFT(对接源_01水果!$D454,4)="成品出库"),1,0)</f>
        <v>0</v>
      </c>
      <c r="AE454">
        <f>N(AE453)+$AD454</f>
        <v>0</v>
      </c>
      <c r="AF454">
        <f>IF(AND($N454=1,AND(LEFT(对接源_01水果!$D454,4)="包装物料",N(对接源_01水果!$K454)&lt;&gt;0)),1,0)</f>
        <v>0</v>
      </c>
      <c r="AG454">
        <f>N(AG453)+$AF454</f>
        <v>0</v>
      </c>
      <c r="AH454">
        <f>IF(AND($N454=1,AND(对接源_01水果!$D454="周转筐－销售出库",N(对接源_01水果!$K454)&lt;&gt;0)),1,0)</f>
        <v>0</v>
      </c>
      <c r="AI454">
        <f>N(AI453)+$AH454</f>
        <v>0</v>
      </c>
      <c r="AJ454" s="7" t="n"/>
      <c r="AL454">
        <f>IF(OR($AL$1="",对接源_01水果!$Y454="",对接源_01水果!$Y454&lt;&gt;$AL$1,对接源_01水果!$B454="",N(对接源_01水果!$AJ454)&lt;=0),0,IF(OR(N(对接源_01水果!$B454)&lt;$AL$2,N(对接源_01水果!$B454)&gt;$AL$3),0,1))</f>
        <v>0</v>
      </c>
      <c r="AM454">
        <f>N(AM453)+$AL454</f>
        <v>0</v>
      </c>
      <c r="AN454">
        <f>IF(对接源_01水果!$AC454="","",对接源_01水果!$AC454)</f>
      </c>
      <c r="AO454">
        <f>IF(AN454="",0,IF(MATCH(AN454,$AN$4:$AN$1203,0)=ROW()-3,1,0))</f>
        <v>0</v>
      </c>
      <c r="AP454">
        <f>N(AP453)+$AO454</f>
        <v>0</v>
      </c>
      <c r="AR454">
        <f>IF(OR($AF454=1,$AH454=1),1,0)</f>
        <v>0</v>
      </c>
      <c r="AS454">
        <f>N(AS453)+$AR454</f>
        <v>0</v>
      </c>
    </row>
    <row r="455" ht="14.25" customHeight="1" s="127">
      <c r="A455" t="str">
        <f>IF(对接源_01水果!$C455="","",对接源_01水果!$C455)</f>
        <v>吐尔地</v>
      </c>
      <c r="B455">
        <f>IF(A455="",0,IF(MATCH(A455,$A$4:$A$2403,0)=ROW()-3,1,0))</f>
        <v>0</v>
      </c>
      <c r="C455">
        <f>N(C454)+B455</f>
        <v>22</v>
      </c>
      <c r="K455">
        <f>IF(OR($K$1="",对接源_01水果!$C455="",对接源_01水果!$C455&lt;&gt;$K$1,对接源_01水果!$B455=""),0,IF(OR(N(对接源_01水果!$B455)&lt;$K$2,N(对接源_01水果!$B455)&gt;$K$3),0,1))</f>
        <v>0</v>
      </c>
      <c r="L455">
        <f>IF(OR($L$1="",对接源_01水果!$C455="",对接源_01水果!$C455&lt;&gt;$L$1,对接源_01水果!$B455=""),0,IF(OR(N(对接源_01水果!$B455)&lt;$L$2,N(对接源_01水果!$B455)&gt;$L$3),0,1))</f>
        <v>0</v>
      </c>
      <c r="M455">
        <f>IF(OR($M$1="",对接源_01水果!$C455="",对接源_01水果!$C455&lt;&gt;$M$1,对接源_01水果!$B455=""),0,IF(OR(N(对接源_01水果!$B455)&lt;$M$2,N(对接源_01水果!$B455)&gt;$M$3),0,1))</f>
        <v>0</v>
      </c>
      <c r="N455">
        <f>IF(OR($N$1="",对接源_01水果!$C455="",对接源_01水果!$C455&lt;&gt;$N$1,对接源_01水果!$B455=""),0,IF(OR(N(对接源_01水果!$B455)&lt;$N$2,N(对接源_01水果!$B455)&gt;$N$3),0,1))</f>
        <v>0</v>
      </c>
      <c r="P455">
        <f>IF(AND($K455=1,AND(对接源_01水果!$X455="公司筐",N(对接源_01水果!$T455)&lt;&gt;0)),1,0)</f>
        <v>0</v>
      </c>
      <c r="Q455">
        <f>N(Q454)+$P455</f>
        <v>0</v>
      </c>
      <c r="R455">
        <f>IF(AND($K455=1,AND(对接源_01水果!$X455="公司筐",N(对接源_01水果!$U455)&lt;&gt;0)),1,0)</f>
        <v>0</v>
      </c>
      <c r="S455">
        <f>N(S454)+$R455</f>
        <v>0</v>
      </c>
      <c r="T455">
        <f>IF(AND($K455=1,AND(对接源_01水果!$X455="公司筐",N(对接源_01水果!$V455)&lt;&gt;0)),1,0)</f>
        <v>0</v>
      </c>
      <c r="U455">
        <f>N(U454)+$T455</f>
        <v>43</v>
      </c>
      <c r="V455">
        <f>IF(AND($L455=1,AND(对接源_01水果!$X455="自备筐",N(对接源_01水果!$V455)&lt;&gt;0)),1,0)</f>
        <v>0</v>
      </c>
      <c r="W455">
        <f>N(W454)+$V455</f>
        <v>11</v>
      </c>
      <c r="X455">
        <f>IF(AND($L455=1,AND(对接源_01水果!$X455="自备筐",N(对接源_01水果!$T455)&lt;&gt;0)),1,0)</f>
        <v>0</v>
      </c>
      <c r="Y455">
        <f>N(Y454)+$X455</f>
        <v>0</v>
      </c>
      <c r="Z455">
        <f>IF(AND($M455=1,对接源_01水果!$D455="原料入库"),1,0)</f>
        <v>0</v>
      </c>
      <c r="AA455">
        <f>N(AA454)+$Z455</f>
        <v>24</v>
      </c>
      <c r="AB455">
        <f>IF(AND($M455=1,LEFT(对接源_01水果!$D455,4)="原料出库"),1,0)</f>
        <v>0</v>
      </c>
      <c r="AC455">
        <f>N(AC454)+$AB455</f>
        <v>0</v>
      </c>
      <c r="AD455">
        <f>IF(AND($M455=1,LEFT(对接源_01水果!$D455,4)="成品出库"),1,0)</f>
        <v>0</v>
      </c>
      <c r="AE455">
        <f>N(AE454)+$AD455</f>
        <v>0</v>
      </c>
      <c r="AF455">
        <f>IF(AND($N455=1,AND(LEFT(对接源_01水果!$D455,4)="包装物料",N(对接源_01水果!$K455)&lt;&gt;0)),1,0)</f>
        <v>0</v>
      </c>
      <c r="AG455">
        <f>N(AG454)+$AF455</f>
        <v>0</v>
      </c>
      <c r="AH455">
        <f>IF(AND($N455=1,AND(对接源_01水果!$D455="周转筐－销售出库",N(对接源_01水果!$K455)&lt;&gt;0)),1,0)</f>
        <v>0</v>
      </c>
      <c r="AI455">
        <f>N(AI454)+$AH455</f>
        <v>0</v>
      </c>
      <c r="AJ455" s="7" t="n"/>
      <c r="AL455">
        <f>IF(OR($AL$1="",对接源_01水果!$Y455="",对接源_01水果!$Y455&lt;&gt;$AL$1,对接源_01水果!$B455="",N(对接源_01水果!$AJ455)&lt;=0),0,IF(OR(N(对接源_01水果!$B455)&lt;$AL$2,N(对接源_01水果!$B455)&gt;$AL$3),0,1))</f>
        <v>0</v>
      </c>
      <c r="AM455">
        <f>N(AM454)+$AL455</f>
        <v>0</v>
      </c>
      <c r="AN455">
        <f>IF(对接源_01水果!$AC455="","",对接源_01水果!$AC455)</f>
      </c>
      <c r="AO455">
        <f>IF(AN455="",0,IF(MATCH(AN455,$AN$4:$AN$1203,0)=ROW()-3,1,0))</f>
        <v>0</v>
      </c>
      <c r="AP455">
        <f>N(AP454)+$AO455</f>
        <v>0</v>
      </c>
      <c r="AR455">
        <f>IF(OR($AF455=1,$AH455=1),1,0)</f>
        <v>0</v>
      </c>
      <c r="AS455">
        <f>N(AS454)+$AR455</f>
        <v>0</v>
      </c>
    </row>
    <row r="456" ht="14.25" customHeight="1" s="127">
      <c r="A456" t="str">
        <f>IF(对接源_01水果!$C456="","",对接源_01水果!$C456)</f>
        <v>阿布都</v>
      </c>
      <c r="B456">
        <f>IF(A456="",0,IF(MATCH(A456,$A$4:$A$2403,0)=ROW()-3,1,0))</f>
        <v>0</v>
      </c>
      <c r="C456">
        <f>N(C455)+B456</f>
        <v>22</v>
      </c>
      <c r="K456">
        <f>IF(OR($K$1="",对接源_01水果!$C456="",对接源_01水果!$C456&lt;&gt;$K$1,对接源_01水果!$B456=""),0,IF(OR(N(对接源_01水果!$B456)&lt;$K$2,N(对接源_01水果!$B456)&gt;$K$3),0,1))</f>
        <v>0</v>
      </c>
      <c r="L456">
        <f>IF(OR($L$1="",对接源_01水果!$C456="",对接源_01水果!$C456&lt;&gt;$L$1,对接源_01水果!$B456=""),0,IF(OR(N(对接源_01水果!$B456)&lt;$L$2,N(对接源_01水果!$B456)&gt;$L$3),0,1))</f>
        <v>0</v>
      </c>
      <c r="M456">
        <f>IF(OR($M$1="",对接源_01水果!$C456="",对接源_01水果!$C456&lt;&gt;$M$1,对接源_01水果!$B456=""),0,IF(OR(N(对接源_01水果!$B456)&lt;$M$2,N(对接源_01水果!$B456)&gt;$M$3),0,1))</f>
        <v>0</v>
      </c>
      <c r="N456">
        <f>IF(OR($N$1="",对接源_01水果!$C456="",对接源_01水果!$C456&lt;&gt;$N$1,对接源_01水果!$B456=""),0,IF(OR(N(对接源_01水果!$B456)&lt;$N$2,N(对接源_01水果!$B456)&gt;$N$3),0,1))</f>
        <v>0</v>
      </c>
      <c r="P456">
        <f>IF(AND($K456=1,AND(对接源_01水果!$X456="公司筐",N(对接源_01水果!$T456)&lt;&gt;0)),1,0)</f>
        <v>0</v>
      </c>
      <c r="Q456">
        <f>N(Q455)+$P456</f>
        <v>0</v>
      </c>
      <c r="R456">
        <f>IF(AND($K456=1,AND(对接源_01水果!$X456="公司筐",N(对接源_01水果!$U456)&lt;&gt;0)),1,0)</f>
        <v>0</v>
      </c>
      <c r="S456">
        <f>N(S455)+$R456</f>
        <v>0</v>
      </c>
      <c r="T456">
        <f>IF(AND($K456=1,AND(对接源_01水果!$X456="公司筐",N(对接源_01水果!$V456)&lt;&gt;0)),1,0)</f>
        <v>0</v>
      </c>
      <c r="U456">
        <f>N(U455)+$T456</f>
        <v>43</v>
      </c>
      <c r="V456">
        <f>IF(AND($L456=1,AND(对接源_01水果!$X456="自备筐",N(对接源_01水果!$V456)&lt;&gt;0)),1,0)</f>
        <v>0</v>
      </c>
      <c r="W456">
        <f>N(W455)+$V456</f>
        <v>11</v>
      </c>
      <c r="X456">
        <f>IF(AND($L456=1,AND(对接源_01水果!$X456="自备筐",N(对接源_01水果!$T456)&lt;&gt;0)),1,0)</f>
        <v>0</v>
      </c>
      <c r="Y456">
        <f>N(Y455)+$X456</f>
        <v>0</v>
      </c>
      <c r="Z456">
        <f>IF(AND($M456=1,对接源_01水果!$D456="原料入库"),1,0)</f>
        <v>0</v>
      </c>
      <c r="AA456">
        <f>N(AA455)+$Z456</f>
        <v>24</v>
      </c>
      <c r="AB456">
        <f>IF(AND($M456=1,LEFT(对接源_01水果!$D456,4)="原料出库"),1,0)</f>
        <v>0</v>
      </c>
      <c r="AC456">
        <f>N(AC455)+$AB456</f>
        <v>0</v>
      </c>
      <c r="AD456">
        <f>IF(AND($M456=1,LEFT(对接源_01水果!$D456,4)="成品出库"),1,0)</f>
        <v>0</v>
      </c>
      <c r="AE456">
        <f>N(AE455)+$AD456</f>
        <v>0</v>
      </c>
      <c r="AF456">
        <f>IF(AND($N456=1,AND(LEFT(对接源_01水果!$D456,4)="包装物料",N(对接源_01水果!$K456)&lt;&gt;0)),1,0)</f>
        <v>0</v>
      </c>
      <c r="AG456">
        <f>N(AG455)+$AF456</f>
        <v>0</v>
      </c>
      <c r="AH456">
        <f>IF(AND($N456=1,AND(对接源_01水果!$D456="周转筐－销售出库",N(对接源_01水果!$K456)&lt;&gt;0)),1,0)</f>
        <v>0</v>
      </c>
      <c r="AI456">
        <f>N(AI455)+$AH456</f>
        <v>0</v>
      </c>
      <c r="AJ456" s="7" t="n"/>
      <c r="AL456">
        <f>IF(OR($AL$1="",对接源_01水果!$Y456="",对接源_01水果!$Y456&lt;&gt;$AL$1,对接源_01水果!$B456="",N(对接源_01水果!$AJ456)&lt;=0),0,IF(OR(N(对接源_01水果!$B456)&lt;$AL$2,N(对接源_01水果!$B456)&gt;$AL$3),0,1))</f>
        <v>0</v>
      </c>
      <c r="AM456">
        <f>N(AM455)+$AL456</f>
        <v>0</v>
      </c>
      <c r="AN456">
        <f>IF(对接源_01水果!$AC456="","",对接源_01水果!$AC456)</f>
      </c>
      <c r="AO456">
        <f>IF(AN456="",0,IF(MATCH(AN456,$AN$4:$AN$1203,0)=ROW()-3,1,0))</f>
        <v>0</v>
      </c>
      <c r="AP456">
        <f>N(AP455)+$AO456</f>
        <v>0</v>
      </c>
      <c r="AR456">
        <f>IF(OR($AF456=1,$AH456=1),1,0)</f>
        <v>0</v>
      </c>
      <c r="AS456">
        <f>N(AS455)+$AR456</f>
        <v>0</v>
      </c>
    </row>
    <row r="457" ht="14.25" customHeight="1" s="127">
      <c r="A457" t="str">
        <f>IF(对接源_01水果!$C457="","",对接源_01水果!$C457)</f>
        <v>阿布都</v>
      </c>
      <c r="B457">
        <f>IF(A457="",0,IF(MATCH(A457,$A$4:$A$2403,0)=ROW()-3,1,0))</f>
        <v>0</v>
      </c>
      <c r="C457">
        <f>N(C456)+B457</f>
        <v>22</v>
      </c>
      <c r="K457">
        <f>IF(OR($K$1="",对接源_01水果!$C457="",对接源_01水果!$C457&lt;&gt;$K$1,对接源_01水果!$B457=""),0,IF(OR(N(对接源_01水果!$B457)&lt;$K$2,N(对接源_01水果!$B457)&gt;$K$3),0,1))</f>
        <v>0</v>
      </c>
      <c r="L457">
        <f>IF(OR($L$1="",对接源_01水果!$C457="",对接源_01水果!$C457&lt;&gt;$L$1,对接源_01水果!$B457=""),0,IF(OR(N(对接源_01水果!$B457)&lt;$L$2,N(对接源_01水果!$B457)&gt;$L$3),0,1))</f>
        <v>0</v>
      </c>
      <c r="M457">
        <f>IF(OR($M$1="",对接源_01水果!$C457="",对接源_01水果!$C457&lt;&gt;$M$1,对接源_01水果!$B457=""),0,IF(OR(N(对接源_01水果!$B457)&lt;$M$2,N(对接源_01水果!$B457)&gt;$M$3),0,1))</f>
        <v>0</v>
      </c>
      <c r="N457">
        <f>IF(OR($N$1="",对接源_01水果!$C457="",对接源_01水果!$C457&lt;&gt;$N$1,对接源_01水果!$B457=""),0,IF(OR(N(对接源_01水果!$B457)&lt;$N$2,N(对接源_01水果!$B457)&gt;$N$3),0,1))</f>
        <v>0</v>
      </c>
      <c r="P457">
        <f>IF(AND($K457=1,AND(对接源_01水果!$X457="公司筐",N(对接源_01水果!$T457)&lt;&gt;0)),1,0)</f>
        <v>0</v>
      </c>
      <c r="Q457">
        <f>N(Q456)+$P457</f>
        <v>0</v>
      </c>
      <c r="R457">
        <f>IF(AND($K457=1,AND(对接源_01水果!$X457="公司筐",N(对接源_01水果!$U457)&lt;&gt;0)),1,0)</f>
        <v>0</v>
      </c>
      <c r="S457">
        <f>N(S456)+$R457</f>
        <v>0</v>
      </c>
      <c r="T457">
        <f>IF(AND($K457=1,AND(对接源_01水果!$X457="公司筐",N(对接源_01水果!$V457)&lt;&gt;0)),1,0)</f>
        <v>0</v>
      </c>
      <c r="U457">
        <f>N(U456)+$T457</f>
        <v>43</v>
      </c>
      <c r="V457">
        <f>IF(AND($L457=1,AND(对接源_01水果!$X457="自备筐",N(对接源_01水果!$V457)&lt;&gt;0)),1,0)</f>
        <v>0</v>
      </c>
      <c r="W457">
        <f>N(W456)+$V457</f>
        <v>11</v>
      </c>
      <c r="X457">
        <f>IF(AND($L457=1,AND(对接源_01水果!$X457="自备筐",N(对接源_01水果!$T457)&lt;&gt;0)),1,0)</f>
        <v>0</v>
      </c>
      <c r="Y457">
        <f>N(Y456)+$X457</f>
        <v>0</v>
      </c>
      <c r="Z457">
        <f>IF(AND($M457=1,对接源_01水果!$D457="原料入库"),1,0)</f>
        <v>0</v>
      </c>
      <c r="AA457">
        <f>N(AA456)+$Z457</f>
        <v>24</v>
      </c>
      <c r="AB457">
        <f>IF(AND($M457=1,LEFT(对接源_01水果!$D457,4)="原料出库"),1,0)</f>
        <v>0</v>
      </c>
      <c r="AC457">
        <f>N(AC456)+$AB457</f>
        <v>0</v>
      </c>
      <c r="AD457">
        <f>IF(AND($M457=1,LEFT(对接源_01水果!$D457,4)="成品出库"),1,0)</f>
        <v>0</v>
      </c>
      <c r="AE457">
        <f>N(AE456)+$AD457</f>
        <v>0</v>
      </c>
      <c r="AF457">
        <f>IF(AND($N457=1,AND(LEFT(对接源_01水果!$D457,4)="包装物料",N(对接源_01水果!$K457)&lt;&gt;0)),1,0)</f>
        <v>0</v>
      </c>
      <c r="AG457">
        <f>N(AG456)+$AF457</f>
        <v>0</v>
      </c>
      <c r="AH457">
        <f>IF(AND($N457=1,AND(对接源_01水果!$D457="周转筐－销售出库",N(对接源_01水果!$K457)&lt;&gt;0)),1,0)</f>
        <v>0</v>
      </c>
      <c r="AI457">
        <f>N(AI456)+$AH457</f>
        <v>0</v>
      </c>
      <c r="AJ457" s="7" t="n"/>
      <c r="AL457">
        <f>IF(OR($AL$1="",对接源_01水果!$Y457="",对接源_01水果!$Y457&lt;&gt;$AL$1,对接源_01水果!$B457="",N(对接源_01水果!$AJ457)&lt;=0),0,IF(OR(N(对接源_01水果!$B457)&lt;$AL$2,N(对接源_01水果!$B457)&gt;$AL$3),0,1))</f>
        <v>0</v>
      </c>
      <c r="AM457">
        <f>N(AM456)+$AL457</f>
        <v>0</v>
      </c>
      <c r="AN457">
        <f>IF(对接源_01水果!$AC457="","",对接源_01水果!$AC457)</f>
      </c>
      <c r="AO457">
        <f>IF(AN457="",0,IF(MATCH(AN457,$AN$4:$AN$1203,0)=ROW()-3,1,0))</f>
        <v>0</v>
      </c>
      <c r="AP457">
        <f>N(AP456)+$AO457</f>
        <v>0</v>
      </c>
      <c r="AR457">
        <f>IF(OR($AF457=1,$AH457=1),1,0)</f>
        <v>0</v>
      </c>
      <c r="AS457">
        <f>N(AS456)+$AR457</f>
        <v>0</v>
      </c>
    </row>
    <row r="458" ht="14.25" customHeight="1" s="127">
      <c r="A458" t="str">
        <f>IF(对接源_01水果!$C458="","",对接源_01水果!$C458)</f>
        <v>阿布都</v>
      </c>
      <c r="B458">
        <f>IF(A458="",0,IF(MATCH(A458,$A$4:$A$2403,0)=ROW()-3,1,0))</f>
        <v>0</v>
      </c>
      <c r="C458">
        <f>N(C457)+B458</f>
        <v>22</v>
      </c>
      <c r="K458">
        <f>IF(OR($K$1="",对接源_01水果!$C458="",对接源_01水果!$C458&lt;&gt;$K$1,对接源_01水果!$B458=""),0,IF(OR(N(对接源_01水果!$B458)&lt;$K$2,N(对接源_01水果!$B458)&gt;$K$3),0,1))</f>
        <v>0</v>
      </c>
      <c r="L458">
        <f>IF(OR($L$1="",对接源_01水果!$C458="",对接源_01水果!$C458&lt;&gt;$L$1,对接源_01水果!$B458=""),0,IF(OR(N(对接源_01水果!$B458)&lt;$L$2,N(对接源_01水果!$B458)&gt;$L$3),0,1))</f>
        <v>0</v>
      </c>
      <c r="M458">
        <f>IF(OR($M$1="",对接源_01水果!$C458="",对接源_01水果!$C458&lt;&gt;$M$1,对接源_01水果!$B458=""),0,IF(OR(N(对接源_01水果!$B458)&lt;$M$2,N(对接源_01水果!$B458)&gt;$M$3),0,1))</f>
        <v>0</v>
      </c>
      <c r="N458">
        <f>IF(OR($N$1="",对接源_01水果!$C458="",对接源_01水果!$C458&lt;&gt;$N$1,对接源_01水果!$B458=""),0,IF(OR(N(对接源_01水果!$B458)&lt;$N$2,N(对接源_01水果!$B458)&gt;$N$3),0,1))</f>
        <v>0</v>
      </c>
      <c r="P458">
        <f>IF(AND($K458=1,AND(对接源_01水果!$X458="公司筐",N(对接源_01水果!$T458)&lt;&gt;0)),1,0)</f>
        <v>0</v>
      </c>
      <c r="Q458">
        <f>N(Q457)+$P458</f>
        <v>0</v>
      </c>
      <c r="R458">
        <f>IF(AND($K458=1,AND(对接源_01水果!$X458="公司筐",N(对接源_01水果!$U458)&lt;&gt;0)),1,0)</f>
        <v>0</v>
      </c>
      <c r="S458">
        <f>N(S457)+$R458</f>
        <v>0</v>
      </c>
      <c r="T458">
        <f>IF(AND($K458=1,AND(对接源_01水果!$X458="公司筐",N(对接源_01水果!$V458)&lt;&gt;0)),1,0)</f>
        <v>0</v>
      </c>
      <c r="U458">
        <f>N(U457)+$T458</f>
        <v>43</v>
      </c>
      <c r="V458">
        <f>IF(AND($L458=1,AND(对接源_01水果!$X458="自备筐",N(对接源_01水果!$V458)&lt;&gt;0)),1,0)</f>
        <v>0</v>
      </c>
      <c r="W458">
        <f>N(W457)+$V458</f>
        <v>11</v>
      </c>
      <c r="X458">
        <f>IF(AND($L458=1,AND(对接源_01水果!$X458="自备筐",N(对接源_01水果!$T458)&lt;&gt;0)),1,0)</f>
        <v>0</v>
      </c>
      <c r="Y458">
        <f>N(Y457)+$X458</f>
        <v>0</v>
      </c>
      <c r="Z458">
        <f>IF(AND($M458=1,对接源_01水果!$D458="原料入库"),1,0)</f>
        <v>0</v>
      </c>
      <c r="AA458">
        <f>N(AA457)+$Z458</f>
        <v>24</v>
      </c>
      <c r="AB458">
        <f>IF(AND($M458=1,LEFT(对接源_01水果!$D458,4)="原料出库"),1,0)</f>
        <v>0</v>
      </c>
      <c r="AC458">
        <f>N(AC457)+$AB458</f>
        <v>0</v>
      </c>
      <c r="AD458">
        <f>IF(AND($M458=1,LEFT(对接源_01水果!$D458,4)="成品出库"),1,0)</f>
        <v>0</v>
      </c>
      <c r="AE458">
        <f>N(AE457)+$AD458</f>
        <v>0</v>
      </c>
      <c r="AF458">
        <f>IF(AND($N458=1,AND(LEFT(对接源_01水果!$D458,4)="包装物料",N(对接源_01水果!$K458)&lt;&gt;0)),1,0)</f>
        <v>0</v>
      </c>
      <c r="AG458">
        <f>N(AG457)+$AF458</f>
        <v>0</v>
      </c>
      <c r="AH458">
        <f>IF(AND($N458=1,AND(对接源_01水果!$D458="周转筐－销售出库",N(对接源_01水果!$K458)&lt;&gt;0)),1,0)</f>
        <v>0</v>
      </c>
      <c r="AI458">
        <f>N(AI457)+$AH458</f>
        <v>0</v>
      </c>
      <c r="AJ458" s="7" t="n"/>
      <c r="AL458">
        <f>IF(OR($AL$1="",对接源_01水果!$Y458="",对接源_01水果!$Y458&lt;&gt;$AL$1,对接源_01水果!$B458="",N(对接源_01水果!$AJ458)&lt;=0),0,IF(OR(N(对接源_01水果!$B458)&lt;$AL$2,N(对接源_01水果!$B458)&gt;$AL$3),0,1))</f>
        <v>0</v>
      </c>
      <c r="AM458">
        <f>N(AM457)+$AL458</f>
        <v>0</v>
      </c>
      <c r="AN458">
        <f>IF(对接源_01水果!$AC458="","",对接源_01水果!$AC458)</f>
      </c>
      <c r="AO458">
        <f>IF(AN458="",0,IF(MATCH(AN458,$AN$4:$AN$1203,0)=ROW()-3,1,0))</f>
        <v>0</v>
      </c>
      <c r="AP458">
        <f>N(AP457)+$AO458</f>
        <v>0</v>
      </c>
      <c r="AR458">
        <f>IF(OR($AF458=1,$AH458=1),1,0)</f>
        <v>0</v>
      </c>
      <c r="AS458">
        <f>N(AS457)+$AR458</f>
        <v>0</v>
      </c>
    </row>
    <row r="459" ht="14.25" customHeight="1" s="127">
      <c r="A459" t="str">
        <f>IF(对接源_01水果!$C459="","",对接源_01水果!$C459)</f>
        <v>荆建君</v>
      </c>
      <c r="B459">
        <f>IF(A459="",0,IF(MATCH(A459,$A$4:$A$2403,0)=ROW()-3,1,0))</f>
        <v>0</v>
      </c>
      <c r="C459">
        <f>N(C458)+B459</f>
        <v>22</v>
      </c>
      <c r="K459">
        <f>IF(OR($K$1="",对接源_01水果!$C459="",对接源_01水果!$C459&lt;&gt;$K$1,对接源_01水果!$B459=""),0,IF(OR(N(对接源_01水果!$B459)&lt;$K$2,N(对接源_01水果!$B459)&gt;$K$3),0,1))</f>
        <v>0</v>
      </c>
      <c r="L459">
        <f>IF(OR($L$1="",对接源_01水果!$C459="",对接源_01水果!$C459&lt;&gt;$L$1,对接源_01水果!$B459=""),0,IF(OR(N(对接源_01水果!$B459)&lt;$L$2,N(对接源_01水果!$B459)&gt;$L$3),0,1))</f>
        <v>0</v>
      </c>
      <c r="M459">
        <f>IF(OR($M$1="",对接源_01水果!$C459="",对接源_01水果!$C459&lt;&gt;$M$1,对接源_01水果!$B459=""),0,IF(OR(N(对接源_01水果!$B459)&lt;$M$2,N(对接源_01水果!$B459)&gt;$M$3),0,1))</f>
        <v>0</v>
      </c>
      <c r="N459">
        <f>IF(OR($N$1="",对接源_01水果!$C459="",对接源_01水果!$C459&lt;&gt;$N$1,对接源_01水果!$B459=""),0,IF(OR(N(对接源_01水果!$B459)&lt;$N$2,N(对接源_01水果!$B459)&gt;$N$3),0,1))</f>
        <v>0</v>
      </c>
      <c r="P459">
        <f>IF(AND($K459=1,AND(对接源_01水果!$X459="公司筐",N(对接源_01水果!$T459)&lt;&gt;0)),1,0)</f>
        <v>0</v>
      </c>
      <c r="Q459">
        <f>N(Q458)+$P459</f>
        <v>0</v>
      </c>
      <c r="R459">
        <f>IF(AND($K459=1,AND(对接源_01水果!$X459="公司筐",N(对接源_01水果!$U459)&lt;&gt;0)),1,0)</f>
        <v>0</v>
      </c>
      <c r="S459">
        <f>N(S458)+$R459</f>
        <v>0</v>
      </c>
      <c r="T459">
        <f>IF(AND($K459=1,AND(对接源_01水果!$X459="公司筐",N(对接源_01水果!$V459)&lt;&gt;0)),1,0)</f>
        <v>0</v>
      </c>
      <c r="U459">
        <f>N(U458)+$T459</f>
        <v>43</v>
      </c>
      <c r="V459">
        <f>IF(AND($L459=1,AND(对接源_01水果!$X459="自备筐",N(对接源_01水果!$V459)&lt;&gt;0)),1,0)</f>
        <v>0</v>
      </c>
      <c r="W459">
        <f>N(W458)+$V459</f>
        <v>11</v>
      </c>
      <c r="X459">
        <f>IF(AND($L459=1,AND(对接源_01水果!$X459="自备筐",N(对接源_01水果!$T459)&lt;&gt;0)),1,0)</f>
        <v>0</v>
      </c>
      <c r="Y459">
        <f>N(Y458)+$X459</f>
        <v>0</v>
      </c>
      <c r="Z459">
        <f>IF(AND($M459=1,对接源_01水果!$D459="原料入库"),1,0)</f>
        <v>0</v>
      </c>
      <c r="AA459">
        <f>N(AA458)+$Z459</f>
        <v>24</v>
      </c>
      <c r="AB459">
        <f>IF(AND($M459=1,LEFT(对接源_01水果!$D459,4)="原料出库"),1,0)</f>
        <v>0</v>
      </c>
      <c r="AC459">
        <f>N(AC458)+$AB459</f>
        <v>0</v>
      </c>
      <c r="AD459">
        <f>IF(AND($M459=1,LEFT(对接源_01水果!$D459,4)="成品出库"),1,0)</f>
        <v>0</v>
      </c>
      <c r="AE459">
        <f>N(AE458)+$AD459</f>
        <v>0</v>
      </c>
      <c r="AF459">
        <f>IF(AND($N459=1,AND(LEFT(对接源_01水果!$D459,4)="包装物料",N(对接源_01水果!$K459)&lt;&gt;0)),1,0)</f>
        <v>0</v>
      </c>
      <c r="AG459">
        <f>N(AG458)+$AF459</f>
        <v>0</v>
      </c>
      <c r="AH459">
        <f>IF(AND($N459=1,AND(对接源_01水果!$D459="周转筐－销售出库",N(对接源_01水果!$K459)&lt;&gt;0)),1,0)</f>
        <v>0</v>
      </c>
      <c r="AI459">
        <f>N(AI458)+$AH459</f>
        <v>0</v>
      </c>
      <c r="AJ459" s="7" t="n"/>
      <c r="AL459">
        <f>IF(OR($AL$1="",对接源_01水果!$Y459="",对接源_01水果!$Y459&lt;&gt;$AL$1,对接源_01水果!$B459="",N(对接源_01水果!$AJ459)&lt;=0),0,IF(OR(N(对接源_01水果!$B459)&lt;$AL$2,N(对接源_01水果!$B459)&gt;$AL$3),0,1))</f>
        <v>0</v>
      </c>
      <c r="AM459">
        <f>N(AM458)+$AL459</f>
        <v>0</v>
      </c>
      <c r="AN459">
        <f>IF(对接源_01水果!$AC459="","",对接源_01水果!$AC459)</f>
      </c>
      <c r="AO459">
        <f>IF(AN459="",0,IF(MATCH(AN459,$AN$4:$AN$1203,0)=ROW()-3,1,0))</f>
        <v>0</v>
      </c>
      <c r="AP459">
        <f>N(AP458)+$AO459</f>
        <v>0</v>
      </c>
      <c r="AR459">
        <f>IF(OR($AF459=1,$AH459=1),1,0)</f>
        <v>0</v>
      </c>
      <c r="AS459">
        <f>N(AS458)+$AR459</f>
        <v>0</v>
      </c>
    </row>
    <row r="460" ht="14.25" customHeight="1" s="127">
      <c r="A460" t="str">
        <f>IF(对接源_01水果!$C460="","",对接源_01水果!$C460)</f>
        <v>荆建君</v>
      </c>
      <c r="B460">
        <f>IF(A460="",0,IF(MATCH(A460,$A$4:$A$2403,0)=ROW()-3,1,0))</f>
        <v>0</v>
      </c>
      <c r="C460">
        <f>N(C459)+B460</f>
        <v>22</v>
      </c>
      <c r="K460">
        <f>IF(OR($K$1="",对接源_01水果!$C460="",对接源_01水果!$C460&lt;&gt;$K$1,对接源_01水果!$B460=""),0,IF(OR(N(对接源_01水果!$B460)&lt;$K$2,N(对接源_01水果!$B460)&gt;$K$3),0,1))</f>
        <v>0</v>
      </c>
      <c r="L460">
        <f>IF(OR($L$1="",对接源_01水果!$C460="",对接源_01水果!$C460&lt;&gt;$L$1,对接源_01水果!$B460=""),0,IF(OR(N(对接源_01水果!$B460)&lt;$L$2,N(对接源_01水果!$B460)&gt;$L$3),0,1))</f>
        <v>0</v>
      </c>
      <c r="M460">
        <f>IF(OR($M$1="",对接源_01水果!$C460="",对接源_01水果!$C460&lt;&gt;$M$1,对接源_01水果!$B460=""),0,IF(OR(N(对接源_01水果!$B460)&lt;$M$2,N(对接源_01水果!$B460)&gt;$M$3),0,1))</f>
        <v>0</v>
      </c>
      <c r="N460">
        <f>IF(OR($N$1="",对接源_01水果!$C460="",对接源_01水果!$C460&lt;&gt;$N$1,对接源_01水果!$B460=""),0,IF(OR(N(对接源_01水果!$B460)&lt;$N$2,N(对接源_01水果!$B460)&gt;$N$3),0,1))</f>
        <v>0</v>
      </c>
      <c r="P460">
        <f>IF(AND($K460=1,AND(对接源_01水果!$X460="公司筐",N(对接源_01水果!$T460)&lt;&gt;0)),1,0)</f>
        <v>0</v>
      </c>
      <c r="Q460">
        <f>N(Q459)+$P460</f>
        <v>0</v>
      </c>
      <c r="R460">
        <f>IF(AND($K460=1,AND(对接源_01水果!$X460="公司筐",N(对接源_01水果!$U460)&lt;&gt;0)),1,0)</f>
        <v>0</v>
      </c>
      <c r="S460">
        <f>N(S459)+$R460</f>
        <v>0</v>
      </c>
      <c r="T460">
        <f>IF(AND($K460=1,AND(对接源_01水果!$X460="公司筐",N(对接源_01水果!$V460)&lt;&gt;0)),1,0)</f>
        <v>0</v>
      </c>
      <c r="U460">
        <f>N(U459)+$T460</f>
        <v>43</v>
      </c>
      <c r="V460">
        <f>IF(AND($L460=1,AND(对接源_01水果!$X460="自备筐",N(对接源_01水果!$V460)&lt;&gt;0)),1,0)</f>
        <v>0</v>
      </c>
      <c r="W460">
        <f>N(W459)+$V460</f>
        <v>11</v>
      </c>
      <c r="X460">
        <f>IF(AND($L460=1,AND(对接源_01水果!$X460="自备筐",N(对接源_01水果!$T460)&lt;&gt;0)),1,0)</f>
        <v>0</v>
      </c>
      <c r="Y460">
        <f>N(Y459)+$X460</f>
        <v>0</v>
      </c>
      <c r="Z460">
        <f>IF(AND($M460=1,对接源_01水果!$D460="原料入库"),1,0)</f>
        <v>0</v>
      </c>
      <c r="AA460">
        <f>N(AA459)+$Z460</f>
        <v>24</v>
      </c>
      <c r="AB460">
        <f>IF(AND($M460=1,LEFT(对接源_01水果!$D460,4)="原料出库"),1,0)</f>
        <v>0</v>
      </c>
      <c r="AC460">
        <f>N(AC459)+$AB460</f>
        <v>0</v>
      </c>
      <c r="AD460">
        <f>IF(AND($M460=1,LEFT(对接源_01水果!$D460,4)="成品出库"),1,0)</f>
        <v>0</v>
      </c>
      <c r="AE460">
        <f>N(AE459)+$AD460</f>
        <v>0</v>
      </c>
      <c r="AF460">
        <f>IF(AND($N460=1,AND(LEFT(对接源_01水果!$D460,4)="包装物料",N(对接源_01水果!$K460)&lt;&gt;0)),1,0)</f>
        <v>0</v>
      </c>
      <c r="AG460">
        <f>N(AG459)+$AF460</f>
        <v>0</v>
      </c>
      <c r="AH460">
        <f>IF(AND($N460=1,AND(对接源_01水果!$D460="周转筐－销售出库",N(对接源_01水果!$K460)&lt;&gt;0)),1,0)</f>
        <v>0</v>
      </c>
      <c r="AI460">
        <f>N(AI459)+$AH460</f>
        <v>0</v>
      </c>
      <c r="AJ460" s="7" t="n"/>
      <c r="AL460">
        <f>IF(OR($AL$1="",对接源_01水果!$Y460="",对接源_01水果!$Y460&lt;&gt;$AL$1,对接源_01水果!$B460="",N(对接源_01水果!$AJ460)&lt;=0),0,IF(OR(N(对接源_01水果!$B460)&lt;$AL$2,N(对接源_01水果!$B460)&gt;$AL$3),0,1))</f>
        <v>0</v>
      </c>
      <c r="AM460">
        <f>N(AM459)+$AL460</f>
        <v>0</v>
      </c>
      <c r="AN460">
        <f>IF(对接源_01水果!$AC460="","",对接源_01水果!$AC460)</f>
      </c>
      <c r="AO460">
        <f>IF(AN460="",0,IF(MATCH(AN460,$AN$4:$AN$1203,0)=ROW()-3,1,0))</f>
        <v>0</v>
      </c>
      <c r="AP460">
        <f>N(AP459)+$AO460</f>
        <v>0</v>
      </c>
      <c r="AR460">
        <f>IF(OR($AF460=1,$AH460=1),1,0)</f>
        <v>0</v>
      </c>
      <c r="AS460">
        <f>N(AS459)+$AR460</f>
        <v>0</v>
      </c>
    </row>
    <row r="461" ht="14.25" customHeight="1" s="127">
      <c r="A461" t="str">
        <f>IF(对接源_01水果!$C461="","",对接源_01水果!$C461)</f>
        <v>王灵云</v>
      </c>
      <c r="B461">
        <f>IF(A461="",0,IF(MATCH(A461,$A$4:$A$2403,0)=ROW()-3,1,0))</f>
        <v>0</v>
      </c>
      <c r="C461">
        <f>N(C460)+B461</f>
        <v>22</v>
      </c>
      <c r="K461">
        <f>IF(OR($K$1="",对接源_01水果!$C461="",对接源_01水果!$C461&lt;&gt;$K$1,对接源_01水果!$B461=""),0,IF(OR(N(对接源_01水果!$B461)&lt;$K$2,N(对接源_01水果!$B461)&gt;$K$3),0,1))</f>
        <v>1</v>
      </c>
      <c r="L461">
        <f>IF(OR($L$1="",对接源_01水果!$C461="",对接源_01水果!$C461&lt;&gt;$L$1,对接源_01水果!$B461=""),0,IF(OR(N(对接源_01水果!$B461)&lt;$L$2,N(对接源_01水果!$B461)&gt;$L$3),0,1))</f>
        <v>0</v>
      </c>
      <c r="M461">
        <f>IF(OR($M$1="",对接源_01水果!$C461="",对接源_01水果!$C461&lt;&gt;$M$1,对接源_01水果!$B461=""),0,IF(OR(N(对接源_01水果!$B461)&lt;$M$2,N(对接源_01水果!$B461)&gt;$M$3),0,1))</f>
        <v>0</v>
      </c>
      <c r="N461">
        <f>IF(OR($N$1="",对接源_01水果!$C461="",对接源_01水果!$C461&lt;&gt;$N$1,对接源_01水果!$B461=""),0,IF(OR(N(对接源_01水果!$B461)&lt;$N$2,N(对接源_01水果!$B461)&gt;$N$3),0,1))</f>
        <v>0</v>
      </c>
      <c r="P461">
        <f>IF(AND($K461=1,AND(对接源_01水果!$X461="公司筐",N(对接源_01水果!$T461)&lt;&gt;0)),1,0)</f>
        <v>0</v>
      </c>
      <c r="Q461">
        <f>N(Q460)+$P461</f>
        <v>0</v>
      </c>
      <c r="R461">
        <f>IF(AND($K461=1,AND(对接源_01水果!$X461="公司筐",N(对接源_01水果!$U461)&lt;&gt;0)),1,0)</f>
        <v>0</v>
      </c>
      <c r="S461">
        <f>N(S460)+$R461</f>
        <v>0</v>
      </c>
      <c r="T461">
        <f>IF(AND($K461=1,AND(对接源_01水果!$X461="公司筐",N(对接源_01水果!$V461)&lt;&gt;0)),1,0)</f>
        <v>1</v>
      </c>
      <c r="U461">
        <f>N(U460)+$T461</f>
        <v>44</v>
      </c>
      <c r="V461">
        <f>IF(AND($L461=1,AND(对接源_01水果!$X461="自备筐",N(对接源_01水果!$V461)&lt;&gt;0)),1,0)</f>
        <v>0</v>
      </c>
      <c r="W461">
        <f>N(W460)+$V461</f>
        <v>11</v>
      </c>
      <c r="X461">
        <f>IF(AND($L461=1,AND(对接源_01水果!$X461="自备筐",N(对接源_01水果!$T461)&lt;&gt;0)),1,0)</f>
        <v>0</v>
      </c>
      <c r="Y461">
        <f>N(Y460)+$X461</f>
        <v>0</v>
      </c>
      <c r="Z461">
        <f>IF(AND($M461=1,对接源_01水果!$D461="原料入库"),1,0)</f>
        <v>0</v>
      </c>
      <c r="AA461">
        <f>N(AA460)+$Z461</f>
        <v>24</v>
      </c>
      <c r="AB461">
        <f>IF(AND($M461=1,LEFT(对接源_01水果!$D461,4)="原料出库"),1,0)</f>
        <v>0</v>
      </c>
      <c r="AC461">
        <f>N(AC460)+$AB461</f>
        <v>0</v>
      </c>
      <c r="AD461">
        <f>IF(AND($M461=1,LEFT(对接源_01水果!$D461,4)="成品出库"),1,0)</f>
        <v>0</v>
      </c>
      <c r="AE461">
        <f>N(AE460)+$AD461</f>
        <v>0</v>
      </c>
      <c r="AF461">
        <f>IF(AND($N461=1,AND(LEFT(对接源_01水果!$D461,4)="包装物料",N(对接源_01水果!$K461)&lt;&gt;0)),1,0)</f>
        <v>0</v>
      </c>
      <c r="AG461">
        <f>N(AG460)+$AF461</f>
        <v>0</v>
      </c>
      <c r="AH461">
        <f>IF(AND($N461=1,AND(对接源_01水果!$D461="周转筐－销售出库",N(对接源_01水果!$K461)&lt;&gt;0)),1,0)</f>
        <v>0</v>
      </c>
      <c r="AI461">
        <f>N(AI460)+$AH461</f>
        <v>0</v>
      </c>
      <c r="AJ461" s="7" t="n"/>
      <c r="AL461">
        <f>IF(OR($AL$1="",对接源_01水果!$Y461="",对接源_01水果!$Y461&lt;&gt;$AL$1,对接源_01水果!$B461="",N(对接源_01水果!$AJ461)&lt;=0),0,IF(OR(N(对接源_01水果!$B461)&lt;$AL$2,N(对接源_01水果!$B461)&gt;$AL$3),0,1))</f>
        <v>0</v>
      </c>
      <c r="AM461">
        <f>N(AM460)+$AL461</f>
        <v>0</v>
      </c>
      <c r="AN461">
        <f>IF(对接源_01水果!$AC461="","",对接源_01水果!$AC461)</f>
      </c>
      <c r="AO461">
        <f>IF(AN461="",0,IF(MATCH(AN461,$AN$4:$AN$1203,0)=ROW()-3,1,0))</f>
        <v>0</v>
      </c>
      <c r="AP461">
        <f>N(AP460)+$AO461</f>
        <v>0</v>
      </c>
      <c r="AR461">
        <f>IF(OR($AF461=1,$AH461=1),1,0)</f>
        <v>0</v>
      </c>
      <c r="AS461">
        <f>N(AS460)+$AR461</f>
        <v>0</v>
      </c>
    </row>
    <row r="462" ht="14.25" customHeight="1" s="127">
      <c r="A462" t="str">
        <f>IF(对接源_01水果!$C462="","",对接源_01水果!$C462)</f>
        <v>热合曼</v>
      </c>
      <c r="B462">
        <f>IF(A462="",0,IF(MATCH(A462,$A$4:$A$2403,0)=ROW()-3,1,0))</f>
        <v>0</v>
      </c>
      <c r="C462">
        <f>N(C461)+B462</f>
        <v>22</v>
      </c>
      <c r="K462">
        <f>IF(OR($K$1="",对接源_01水果!$C462="",对接源_01水果!$C462&lt;&gt;$K$1,对接源_01水果!$B462=""),0,IF(OR(N(对接源_01水果!$B462)&lt;$K$2,N(对接源_01水果!$B462)&gt;$K$3),0,1))</f>
        <v>0</v>
      </c>
      <c r="L462">
        <f>IF(OR($L$1="",对接源_01水果!$C462="",对接源_01水果!$C462&lt;&gt;$L$1,对接源_01水果!$B462=""),0,IF(OR(N(对接源_01水果!$B462)&lt;$L$2,N(对接源_01水果!$B462)&gt;$L$3),0,1))</f>
        <v>0</v>
      </c>
      <c r="M462">
        <f>IF(OR($M$1="",对接源_01水果!$C462="",对接源_01水果!$C462&lt;&gt;$M$1,对接源_01水果!$B462=""),0,IF(OR(N(对接源_01水果!$B462)&lt;$M$2,N(对接源_01水果!$B462)&gt;$M$3),0,1))</f>
        <v>0</v>
      </c>
      <c r="N462">
        <f>IF(OR($N$1="",对接源_01水果!$C462="",对接源_01水果!$C462&lt;&gt;$N$1,对接源_01水果!$B462=""),0,IF(OR(N(对接源_01水果!$B462)&lt;$N$2,N(对接源_01水果!$B462)&gt;$N$3),0,1))</f>
        <v>0</v>
      </c>
      <c r="P462">
        <f>IF(AND($K462=1,AND(对接源_01水果!$X462="公司筐",N(对接源_01水果!$T462)&lt;&gt;0)),1,0)</f>
        <v>0</v>
      </c>
      <c r="Q462">
        <f>N(Q461)+$P462</f>
        <v>0</v>
      </c>
      <c r="R462">
        <f>IF(AND($K462=1,AND(对接源_01水果!$X462="公司筐",N(对接源_01水果!$U462)&lt;&gt;0)),1,0)</f>
        <v>0</v>
      </c>
      <c r="S462">
        <f>N(S461)+$R462</f>
        <v>0</v>
      </c>
      <c r="T462">
        <f>IF(AND($K462=1,AND(对接源_01水果!$X462="公司筐",N(对接源_01水果!$V462)&lt;&gt;0)),1,0)</f>
        <v>0</v>
      </c>
      <c r="U462">
        <f>N(U461)+$T462</f>
        <v>44</v>
      </c>
      <c r="V462">
        <f>IF(AND($L462=1,AND(对接源_01水果!$X462="自备筐",N(对接源_01水果!$V462)&lt;&gt;0)),1,0)</f>
        <v>0</v>
      </c>
      <c r="W462">
        <f>N(W461)+$V462</f>
        <v>11</v>
      </c>
      <c r="X462">
        <f>IF(AND($L462=1,AND(对接源_01水果!$X462="自备筐",N(对接源_01水果!$T462)&lt;&gt;0)),1,0)</f>
        <v>0</v>
      </c>
      <c r="Y462">
        <f>N(Y461)+$X462</f>
        <v>0</v>
      </c>
      <c r="Z462">
        <f>IF(AND($M462=1,对接源_01水果!$D462="原料入库"),1,0)</f>
        <v>0</v>
      </c>
      <c r="AA462">
        <f>N(AA461)+$Z462</f>
        <v>24</v>
      </c>
      <c r="AB462">
        <f>IF(AND($M462=1,LEFT(对接源_01水果!$D462,4)="原料出库"),1,0)</f>
        <v>0</v>
      </c>
      <c r="AC462">
        <f>N(AC461)+$AB462</f>
        <v>0</v>
      </c>
      <c r="AD462">
        <f>IF(AND($M462=1,LEFT(对接源_01水果!$D462,4)="成品出库"),1,0)</f>
        <v>0</v>
      </c>
      <c r="AE462">
        <f>N(AE461)+$AD462</f>
        <v>0</v>
      </c>
      <c r="AF462">
        <f>IF(AND($N462=1,AND(LEFT(对接源_01水果!$D462,4)="包装物料",N(对接源_01水果!$K462)&lt;&gt;0)),1,0)</f>
        <v>0</v>
      </c>
      <c r="AG462">
        <f>N(AG461)+$AF462</f>
        <v>0</v>
      </c>
      <c r="AH462">
        <f>IF(AND($N462=1,AND(对接源_01水果!$D462="周转筐－销售出库",N(对接源_01水果!$K462)&lt;&gt;0)),1,0)</f>
        <v>0</v>
      </c>
      <c r="AI462">
        <f>N(AI461)+$AH462</f>
        <v>0</v>
      </c>
      <c r="AJ462" s="7" t="n"/>
      <c r="AL462">
        <f>IF(OR($AL$1="",对接源_01水果!$Y462="",对接源_01水果!$Y462&lt;&gt;$AL$1,对接源_01水果!$B462="",N(对接源_01水果!$AJ462)&lt;=0),0,IF(OR(N(对接源_01水果!$B462)&lt;$AL$2,N(对接源_01水果!$B462)&gt;$AL$3),0,1))</f>
        <v>0</v>
      </c>
      <c r="AM462">
        <f>N(AM461)+$AL462</f>
        <v>0</v>
      </c>
      <c r="AN462">
        <f>IF(对接源_01水果!$AC462="","",对接源_01水果!$AC462)</f>
      </c>
      <c r="AO462">
        <f>IF(AN462="",0,IF(MATCH(AN462,$AN$4:$AN$1203,0)=ROW()-3,1,0))</f>
        <v>0</v>
      </c>
      <c r="AP462">
        <f>N(AP461)+$AO462</f>
        <v>0</v>
      </c>
      <c r="AR462">
        <f>IF(OR($AF462=1,$AH462=1),1,0)</f>
        <v>0</v>
      </c>
      <c r="AS462">
        <f>N(AS461)+$AR462</f>
        <v>0</v>
      </c>
    </row>
    <row r="463" ht="14.25" customHeight="1" s="127">
      <c r="A463" t="str">
        <f>IF(对接源_01水果!$C463="","",对接源_01水果!$C463)</f>
        <v>热合曼</v>
      </c>
      <c r="B463">
        <f>IF(A463="",0,IF(MATCH(A463,$A$4:$A$2403,0)=ROW()-3,1,0))</f>
        <v>0</v>
      </c>
      <c r="C463">
        <f>N(C462)+B463</f>
        <v>22</v>
      </c>
      <c r="K463">
        <f>IF(OR($K$1="",对接源_01水果!$C463="",对接源_01水果!$C463&lt;&gt;$K$1,对接源_01水果!$B463=""),0,IF(OR(N(对接源_01水果!$B463)&lt;$K$2,N(对接源_01水果!$B463)&gt;$K$3),0,1))</f>
        <v>0</v>
      </c>
      <c r="L463">
        <f>IF(OR($L$1="",对接源_01水果!$C463="",对接源_01水果!$C463&lt;&gt;$L$1,对接源_01水果!$B463=""),0,IF(OR(N(对接源_01水果!$B463)&lt;$L$2,N(对接源_01水果!$B463)&gt;$L$3),0,1))</f>
        <v>0</v>
      </c>
      <c r="M463">
        <f>IF(OR($M$1="",对接源_01水果!$C463="",对接源_01水果!$C463&lt;&gt;$M$1,对接源_01水果!$B463=""),0,IF(OR(N(对接源_01水果!$B463)&lt;$M$2,N(对接源_01水果!$B463)&gt;$M$3),0,1))</f>
        <v>0</v>
      </c>
      <c r="N463">
        <f>IF(OR($N$1="",对接源_01水果!$C463="",对接源_01水果!$C463&lt;&gt;$N$1,对接源_01水果!$B463=""),0,IF(OR(N(对接源_01水果!$B463)&lt;$N$2,N(对接源_01水果!$B463)&gt;$N$3),0,1))</f>
        <v>0</v>
      </c>
      <c r="P463">
        <f>IF(AND($K463=1,AND(对接源_01水果!$X463="公司筐",N(对接源_01水果!$T463)&lt;&gt;0)),1,0)</f>
        <v>0</v>
      </c>
      <c r="Q463">
        <f>N(Q462)+$P463</f>
        <v>0</v>
      </c>
      <c r="R463">
        <f>IF(AND($K463=1,AND(对接源_01水果!$X463="公司筐",N(对接源_01水果!$U463)&lt;&gt;0)),1,0)</f>
        <v>0</v>
      </c>
      <c r="S463">
        <f>N(S462)+$R463</f>
        <v>0</v>
      </c>
      <c r="T463">
        <f>IF(AND($K463=1,AND(对接源_01水果!$X463="公司筐",N(对接源_01水果!$V463)&lt;&gt;0)),1,0)</f>
        <v>0</v>
      </c>
      <c r="U463">
        <f>N(U462)+$T463</f>
        <v>44</v>
      </c>
      <c r="V463">
        <f>IF(AND($L463=1,AND(对接源_01水果!$X463="自备筐",N(对接源_01水果!$V463)&lt;&gt;0)),1,0)</f>
        <v>0</v>
      </c>
      <c r="W463">
        <f>N(W462)+$V463</f>
        <v>11</v>
      </c>
      <c r="X463">
        <f>IF(AND($L463=1,AND(对接源_01水果!$X463="自备筐",N(对接源_01水果!$T463)&lt;&gt;0)),1,0)</f>
        <v>0</v>
      </c>
      <c r="Y463">
        <f>N(Y462)+$X463</f>
        <v>0</v>
      </c>
      <c r="Z463">
        <f>IF(AND($M463=1,对接源_01水果!$D463="原料入库"),1,0)</f>
        <v>0</v>
      </c>
      <c r="AA463">
        <f>N(AA462)+$Z463</f>
        <v>24</v>
      </c>
      <c r="AB463">
        <f>IF(AND($M463=1,LEFT(对接源_01水果!$D463,4)="原料出库"),1,0)</f>
        <v>0</v>
      </c>
      <c r="AC463">
        <f>N(AC462)+$AB463</f>
        <v>0</v>
      </c>
      <c r="AD463">
        <f>IF(AND($M463=1,LEFT(对接源_01水果!$D463,4)="成品出库"),1,0)</f>
        <v>0</v>
      </c>
      <c r="AE463">
        <f>N(AE462)+$AD463</f>
        <v>0</v>
      </c>
      <c r="AF463">
        <f>IF(AND($N463=1,AND(LEFT(对接源_01水果!$D463,4)="包装物料",N(对接源_01水果!$K463)&lt;&gt;0)),1,0)</f>
        <v>0</v>
      </c>
      <c r="AG463">
        <f>N(AG462)+$AF463</f>
        <v>0</v>
      </c>
      <c r="AH463">
        <f>IF(AND($N463=1,AND(对接源_01水果!$D463="周转筐－销售出库",N(对接源_01水果!$K463)&lt;&gt;0)),1,0)</f>
        <v>0</v>
      </c>
      <c r="AI463">
        <f>N(AI462)+$AH463</f>
        <v>0</v>
      </c>
      <c r="AJ463" s="7" t="n"/>
      <c r="AL463">
        <f>IF(OR($AL$1="",对接源_01水果!$Y463="",对接源_01水果!$Y463&lt;&gt;$AL$1,对接源_01水果!$B463="",N(对接源_01水果!$AJ463)&lt;=0),0,IF(OR(N(对接源_01水果!$B463)&lt;$AL$2,N(对接源_01水果!$B463)&gt;$AL$3),0,1))</f>
        <v>0</v>
      </c>
      <c r="AM463">
        <f>N(AM462)+$AL463</f>
        <v>0</v>
      </c>
      <c r="AN463">
        <f>IF(对接源_01水果!$AC463="","",对接源_01水果!$AC463)</f>
      </c>
      <c r="AO463">
        <f>IF(AN463="",0,IF(MATCH(AN463,$AN$4:$AN$1203,0)=ROW()-3,1,0))</f>
        <v>0</v>
      </c>
      <c r="AP463">
        <f>N(AP462)+$AO463</f>
        <v>0</v>
      </c>
      <c r="AR463">
        <f>IF(OR($AF463=1,$AH463=1),1,0)</f>
        <v>0</v>
      </c>
      <c r="AS463">
        <f>N(AS462)+$AR463</f>
        <v>0</v>
      </c>
    </row>
    <row r="464" ht="14.25" customHeight="1" s="127">
      <c r="A464" t="str">
        <f>IF(对接源_01水果!$C464="","",对接源_01水果!$C464)</f>
        <v>热合曼</v>
      </c>
      <c r="B464">
        <f>IF(A464="",0,IF(MATCH(A464,$A$4:$A$2403,0)=ROW()-3,1,0))</f>
        <v>0</v>
      </c>
      <c r="C464">
        <f>N(C463)+B464</f>
        <v>22</v>
      </c>
      <c r="K464">
        <f>IF(OR($K$1="",对接源_01水果!$C464="",对接源_01水果!$C464&lt;&gt;$K$1,对接源_01水果!$B464=""),0,IF(OR(N(对接源_01水果!$B464)&lt;$K$2,N(对接源_01水果!$B464)&gt;$K$3),0,1))</f>
        <v>0</v>
      </c>
      <c r="L464">
        <f>IF(OR($L$1="",对接源_01水果!$C464="",对接源_01水果!$C464&lt;&gt;$L$1,对接源_01水果!$B464=""),0,IF(OR(N(对接源_01水果!$B464)&lt;$L$2,N(对接源_01水果!$B464)&gt;$L$3),0,1))</f>
        <v>0</v>
      </c>
      <c r="M464">
        <f>IF(OR($M$1="",对接源_01水果!$C464="",对接源_01水果!$C464&lt;&gt;$M$1,对接源_01水果!$B464=""),0,IF(OR(N(对接源_01水果!$B464)&lt;$M$2,N(对接源_01水果!$B464)&gt;$M$3),0,1))</f>
        <v>0</v>
      </c>
      <c r="N464">
        <f>IF(OR($N$1="",对接源_01水果!$C464="",对接源_01水果!$C464&lt;&gt;$N$1,对接源_01水果!$B464=""),0,IF(OR(N(对接源_01水果!$B464)&lt;$N$2,N(对接源_01水果!$B464)&gt;$N$3),0,1))</f>
        <v>0</v>
      </c>
      <c r="P464">
        <f>IF(AND($K464=1,AND(对接源_01水果!$X464="公司筐",N(对接源_01水果!$T464)&lt;&gt;0)),1,0)</f>
        <v>0</v>
      </c>
      <c r="Q464">
        <f>N(Q463)+$P464</f>
        <v>0</v>
      </c>
      <c r="R464">
        <f>IF(AND($K464=1,AND(对接源_01水果!$X464="公司筐",N(对接源_01水果!$U464)&lt;&gt;0)),1,0)</f>
        <v>0</v>
      </c>
      <c r="S464">
        <f>N(S463)+$R464</f>
        <v>0</v>
      </c>
      <c r="T464">
        <f>IF(AND($K464=1,AND(对接源_01水果!$X464="公司筐",N(对接源_01水果!$V464)&lt;&gt;0)),1,0)</f>
        <v>0</v>
      </c>
      <c r="U464">
        <f>N(U463)+$T464</f>
        <v>44</v>
      </c>
      <c r="V464">
        <f>IF(AND($L464=1,AND(对接源_01水果!$X464="自备筐",N(对接源_01水果!$V464)&lt;&gt;0)),1,0)</f>
        <v>0</v>
      </c>
      <c r="W464">
        <f>N(W463)+$V464</f>
        <v>11</v>
      </c>
      <c r="X464">
        <f>IF(AND($L464=1,AND(对接源_01水果!$X464="自备筐",N(对接源_01水果!$T464)&lt;&gt;0)),1,0)</f>
        <v>0</v>
      </c>
      <c r="Y464">
        <f>N(Y463)+$X464</f>
        <v>0</v>
      </c>
      <c r="Z464">
        <f>IF(AND($M464=1,对接源_01水果!$D464="原料入库"),1,0)</f>
        <v>0</v>
      </c>
      <c r="AA464">
        <f>N(AA463)+$Z464</f>
        <v>24</v>
      </c>
      <c r="AB464">
        <f>IF(AND($M464=1,LEFT(对接源_01水果!$D464,4)="原料出库"),1,0)</f>
        <v>0</v>
      </c>
      <c r="AC464">
        <f>N(AC463)+$AB464</f>
        <v>0</v>
      </c>
      <c r="AD464">
        <f>IF(AND($M464=1,LEFT(对接源_01水果!$D464,4)="成品出库"),1,0)</f>
        <v>0</v>
      </c>
      <c r="AE464">
        <f>N(AE463)+$AD464</f>
        <v>0</v>
      </c>
      <c r="AF464">
        <f>IF(AND($N464=1,AND(LEFT(对接源_01水果!$D464,4)="包装物料",N(对接源_01水果!$K464)&lt;&gt;0)),1,0)</f>
        <v>0</v>
      </c>
      <c r="AG464">
        <f>N(AG463)+$AF464</f>
        <v>0</v>
      </c>
      <c r="AH464">
        <f>IF(AND($N464=1,AND(对接源_01水果!$D464="周转筐－销售出库",N(对接源_01水果!$K464)&lt;&gt;0)),1,0)</f>
        <v>0</v>
      </c>
      <c r="AI464">
        <f>N(AI463)+$AH464</f>
        <v>0</v>
      </c>
      <c r="AJ464" s="7" t="n"/>
      <c r="AL464">
        <f>IF(OR($AL$1="",对接源_01水果!$Y464="",对接源_01水果!$Y464&lt;&gt;$AL$1,对接源_01水果!$B464="",N(对接源_01水果!$AJ464)&lt;=0),0,IF(OR(N(对接源_01水果!$B464)&lt;$AL$2,N(对接源_01水果!$B464)&gt;$AL$3),0,1))</f>
        <v>0</v>
      </c>
      <c r="AM464">
        <f>N(AM463)+$AL464</f>
        <v>0</v>
      </c>
      <c r="AN464">
        <f>IF(对接源_01水果!$AC464="","",对接源_01水果!$AC464)</f>
      </c>
      <c r="AO464">
        <f>IF(AN464="",0,IF(MATCH(AN464,$AN$4:$AN$1203,0)=ROW()-3,1,0))</f>
        <v>0</v>
      </c>
      <c r="AP464">
        <f>N(AP463)+$AO464</f>
        <v>0</v>
      </c>
      <c r="AR464">
        <f>IF(OR($AF464=1,$AH464=1),1,0)</f>
        <v>0</v>
      </c>
      <c r="AS464">
        <f>N(AS463)+$AR464</f>
        <v>0</v>
      </c>
    </row>
    <row r="465" ht="14.25" customHeight="1" s="127">
      <c r="A465" t="str">
        <f>IF(对接源_01水果!$C465="","",对接源_01水果!$C465)</f>
        <v>努尔敦</v>
      </c>
      <c r="B465">
        <f>IF(A465="",0,IF(MATCH(A465,$A$4:$A$2403,0)=ROW()-3,1,0))</f>
        <v>0</v>
      </c>
      <c r="C465">
        <f>N(C464)+B465</f>
        <v>22</v>
      </c>
      <c r="K465">
        <f>IF(OR($K$1="",对接源_01水果!$C465="",对接源_01水果!$C465&lt;&gt;$K$1,对接源_01水果!$B465=""),0,IF(OR(N(对接源_01水果!$B465)&lt;$K$2,N(对接源_01水果!$B465)&gt;$K$3),0,1))</f>
        <v>0</v>
      </c>
      <c r="L465">
        <f>IF(OR($L$1="",对接源_01水果!$C465="",对接源_01水果!$C465&lt;&gt;$L$1,对接源_01水果!$B465=""),0,IF(OR(N(对接源_01水果!$B465)&lt;$L$2,N(对接源_01水果!$B465)&gt;$L$3),0,1))</f>
        <v>0</v>
      </c>
      <c r="M465">
        <f>IF(OR($M$1="",对接源_01水果!$C465="",对接源_01水果!$C465&lt;&gt;$M$1,对接源_01水果!$B465=""),0,IF(OR(N(对接源_01水果!$B465)&lt;$M$2,N(对接源_01水果!$B465)&gt;$M$3),0,1))</f>
        <v>0</v>
      </c>
      <c r="N465">
        <f>IF(OR($N$1="",对接源_01水果!$C465="",对接源_01水果!$C465&lt;&gt;$N$1,对接源_01水果!$B465=""),0,IF(OR(N(对接源_01水果!$B465)&lt;$N$2,N(对接源_01水果!$B465)&gt;$N$3),0,1))</f>
        <v>0</v>
      </c>
      <c r="P465">
        <f>IF(AND($K465=1,AND(对接源_01水果!$X465="公司筐",N(对接源_01水果!$T465)&lt;&gt;0)),1,0)</f>
        <v>0</v>
      </c>
      <c r="Q465">
        <f>N(Q464)+$P465</f>
        <v>0</v>
      </c>
      <c r="R465">
        <f>IF(AND($K465=1,AND(对接源_01水果!$X465="公司筐",N(对接源_01水果!$U465)&lt;&gt;0)),1,0)</f>
        <v>0</v>
      </c>
      <c r="S465">
        <f>N(S464)+$R465</f>
        <v>0</v>
      </c>
      <c r="T465">
        <f>IF(AND($K465=1,AND(对接源_01水果!$X465="公司筐",N(对接源_01水果!$V465)&lt;&gt;0)),1,0)</f>
        <v>0</v>
      </c>
      <c r="U465">
        <f>N(U464)+$T465</f>
        <v>44</v>
      </c>
      <c r="V465">
        <f>IF(AND($L465=1,AND(对接源_01水果!$X465="自备筐",N(对接源_01水果!$V465)&lt;&gt;0)),1,0)</f>
        <v>0</v>
      </c>
      <c r="W465">
        <f>N(W464)+$V465</f>
        <v>11</v>
      </c>
      <c r="X465">
        <f>IF(AND($L465=1,AND(对接源_01水果!$X465="自备筐",N(对接源_01水果!$T465)&lt;&gt;0)),1,0)</f>
        <v>0</v>
      </c>
      <c r="Y465">
        <f>N(Y464)+$X465</f>
        <v>0</v>
      </c>
      <c r="Z465">
        <f>IF(AND($M465=1,对接源_01水果!$D465="原料入库"),1,0)</f>
        <v>0</v>
      </c>
      <c r="AA465">
        <f>N(AA464)+$Z465</f>
        <v>24</v>
      </c>
      <c r="AB465">
        <f>IF(AND($M465=1,LEFT(对接源_01水果!$D465,4)="原料出库"),1,0)</f>
        <v>0</v>
      </c>
      <c r="AC465">
        <f>N(AC464)+$AB465</f>
        <v>0</v>
      </c>
      <c r="AD465">
        <f>IF(AND($M465=1,LEFT(对接源_01水果!$D465,4)="成品出库"),1,0)</f>
        <v>0</v>
      </c>
      <c r="AE465">
        <f>N(AE464)+$AD465</f>
        <v>0</v>
      </c>
      <c r="AF465">
        <f>IF(AND($N465=1,AND(LEFT(对接源_01水果!$D465,4)="包装物料",N(对接源_01水果!$K465)&lt;&gt;0)),1,0)</f>
        <v>0</v>
      </c>
      <c r="AG465">
        <f>N(AG464)+$AF465</f>
        <v>0</v>
      </c>
      <c r="AH465">
        <f>IF(AND($N465=1,AND(对接源_01水果!$D465="周转筐－销售出库",N(对接源_01水果!$K465)&lt;&gt;0)),1,0)</f>
        <v>0</v>
      </c>
      <c r="AI465">
        <f>N(AI464)+$AH465</f>
        <v>0</v>
      </c>
      <c r="AJ465" s="7" t="n"/>
      <c r="AL465">
        <f>IF(OR($AL$1="",对接源_01水果!$Y465="",对接源_01水果!$Y465&lt;&gt;$AL$1,对接源_01水果!$B465="",N(对接源_01水果!$AJ465)&lt;=0),0,IF(OR(N(对接源_01水果!$B465)&lt;$AL$2,N(对接源_01水果!$B465)&gt;$AL$3),0,1))</f>
        <v>0</v>
      </c>
      <c r="AM465">
        <f>N(AM464)+$AL465</f>
        <v>0</v>
      </c>
      <c r="AN465">
        <f>IF(对接源_01水果!$AC465="","",对接源_01水果!$AC465)</f>
      </c>
      <c r="AO465">
        <f>IF(AN465="",0,IF(MATCH(AN465,$AN$4:$AN$1203,0)=ROW()-3,1,0))</f>
        <v>0</v>
      </c>
      <c r="AP465">
        <f>N(AP464)+$AO465</f>
        <v>0</v>
      </c>
      <c r="AR465">
        <f>IF(OR($AF465=1,$AH465=1),1,0)</f>
        <v>0</v>
      </c>
      <c r="AS465">
        <f>N(AS464)+$AR465</f>
        <v>0</v>
      </c>
    </row>
    <row r="466" ht="14.25" customHeight="1" s="127">
      <c r="A466" t="str">
        <f>IF(对接源_01水果!$C466="","",对接源_01水果!$C466)</f>
        <v>努尔敦</v>
      </c>
      <c r="B466">
        <f>IF(A466="",0,IF(MATCH(A466,$A$4:$A$2403,0)=ROW()-3,1,0))</f>
        <v>0</v>
      </c>
      <c r="C466">
        <f>N(C465)+B466</f>
        <v>22</v>
      </c>
      <c r="K466">
        <f>IF(OR($K$1="",对接源_01水果!$C466="",对接源_01水果!$C466&lt;&gt;$K$1,对接源_01水果!$B466=""),0,IF(OR(N(对接源_01水果!$B466)&lt;$K$2,N(对接源_01水果!$B466)&gt;$K$3),0,1))</f>
        <v>0</v>
      </c>
      <c r="L466">
        <f>IF(OR($L$1="",对接源_01水果!$C466="",对接源_01水果!$C466&lt;&gt;$L$1,对接源_01水果!$B466=""),0,IF(OR(N(对接源_01水果!$B466)&lt;$L$2,N(对接源_01水果!$B466)&gt;$L$3),0,1))</f>
        <v>0</v>
      </c>
      <c r="M466">
        <f>IF(OR($M$1="",对接源_01水果!$C466="",对接源_01水果!$C466&lt;&gt;$M$1,对接源_01水果!$B466=""),0,IF(OR(N(对接源_01水果!$B466)&lt;$M$2,N(对接源_01水果!$B466)&gt;$M$3),0,1))</f>
        <v>0</v>
      </c>
      <c r="N466">
        <f>IF(OR($N$1="",对接源_01水果!$C466="",对接源_01水果!$C466&lt;&gt;$N$1,对接源_01水果!$B466=""),0,IF(OR(N(对接源_01水果!$B466)&lt;$N$2,N(对接源_01水果!$B466)&gt;$N$3),0,1))</f>
        <v>0</v>
      </c>
      <c r="P466">
        <f>IF(AND($K466=1,AND(对接源_01水果!$X466="公司筐",N(对接源_01水果!$T466)&lt;&gt;0)),1,0)</f>
        <v>0</v>
      </c>
      <c r="Q466">
        <f>N(Q465)+$P466</f>
        <v>0</v>
      </c>
      <c r="R466">
        <f>IF(AND($K466=1,AND(对接源_01水果!$X466="公司筐",N(对接源_01水果!$U466)&lt;&gt;0)),1,0)</f>
        <v>0</v>
      </c>
      <c r="S466">
        <f>N(S465)+$R466</f>
        <v>0</v>
      </c>
      <c r="T466">
        <f>IF(AND($K466=1,AND(对接源_01水果!$X466="公司筐",N(对接源_01水果!$V466)&lt;&gt;0)),1,0)</f>
        <v>0</v>
      </c>
      <c r="U466">
        <f>N(U465)+$T466</f>
        <v>44</v>
      </c>
      <c r="V466">
        <f>IF(AND($L466=1,AND(对接源_01水果!$X466="自备筐",N(对接源_01水果!$V466)&lt;&gt;0)),1,0)</f>
        <v>0</v>
      </c>
      <c r="W466">
        <f>N(W465)+$V466</f>
        <v>11</v>
      </c>
      <c r="X466">
        <f>IF(AND($L466=1,AND(对接源_01水果!$X466="自备筐",N(对接源_01水果!$T466)&lt;&gt;0)),1,0)</f>
        <v>0</v>
      </c>
      <c r="Y466">
        <f>N(Y465)+$X466</f>
        <v>0</v>
      </c>
      <c r="Z466">
        <f>IF(AND($M466=1,对接源_01水果!$D466="原料入库"),1,0)</f>
        <v>0</v>
      </c>
      <c r="AA466">
        <f>N(AA465)+$Z466</f>
        <v>24</v>
      </c>
      <c r="AB466">
        <f>IF(AND($M466=1,LEFT(对接源_01水果!$D466,4)="原料出库"),1,0)</f>
        <v>0</v>
      </c>
      <c r="AC466">
        <f>N(AC465)+$AB466</f>
        <v>0</v>
      </c>
      <c r="AD466">
        <f>IF(AND($M466=1,LEFT(对接源_01水果!$D466,4)="成品出库"),1,0)</f>
        <v>0</v>
      </c>
      <c r="AE466">
        <f>N(AE465)+$AD466</f>
        <v>0</v>
      </c>
      <c r="AF466">
        <f>IF(AND($N466=1,AND(LEFT(对接源_01水果!$D466,4)="包装物料",N(对接源_01水果!$K466)&lt;&gt;0)),1,0)</f>
        <v>0</v>
      </c>
      <c r="AG466">
        <f>N(AG465)+$AF466</f>
        <v>0</v>
      </c>
      <c r="AH466">
        <f>IF(AND($N466=1,AND(对接源_01水果!$D466="周转筐－销售出库",N(对接源_01水果!$K466)&lt;&gt;0)),1,0)</f>
        <v>0</v>
      </c>
      <c r="AI466">
        <f>N(AI465)+$AH466</f>
        <v>0</v>
      </c>
      <c r="AJ466" s="7" t="n"/>
      <c r="AL466">
        <f>IF(OR($AL$1="",对接源_01水果!$Y466="",对接源_01水果!$Y466&lt;&gt;$AL$1,对接源_01水果!$B466="",N(对接源_01水果!$AJ466)&lt;=0),0,IF(OR(N(对接源_01水果!$B466)&lt;$AL$2,N(对接源_01水果!$B466)&gt;$AL$3),0,1))</f>
        <v>0</v>
      </c>
      <c r="AM466">
        <f>N(AM465)+$AL466</f>
        <v>0</v>
      </c>
      <c r="AN466">
        <f>IF(对接源_01水果!$AC466="","",对接源_01水果!$AC466)</f>
      </c>
      <c r="AO466">
        <f>IF(AN466="",0,IF(MATCH(AN466,$AN$4:$AN$1203,0)=ROW()-3,1,0))</f>
        <v>0</v>
      </c>
      <c r="AP466">
        <f>N(AP465)+$AO466</f>
        <v>0</v>
      </c>
      <c r="AR466">
        <f>IF(OR($AF466=1,$AH466=1),1,0)</f>
        <v>0</v>
      </c>
      <c r="AS466">
        <f>N(AS465)+$AR466</f>
        <v>0</v>
      </c>
    </row>
    <row r="467" ht="14.25" customHeight="1" s="127">
      <c r="A467" t="str">
        <f>IF(对接源_01水果!$C467="","",对接源_01水果!$C467)</f>
        <v>努尔敦</v>
      </c>
      <c r="B467">
        <f>IF(A467="",0,IF(MATCH(A467,$A$4:$A$2403,0)=ROW()-3,1,0))</f>
        <v>0</v>
      </c>
      <c r="C467">
        <f>N(C466)+B467</f>
        <v>22</v>
      </c>
      <c r="K467">
        <f>IF(OR($K$1="",对接源_01水果!$C467="",对接源_01水果!$C467&lt;&gt;$K$1,对接源_01水果!$B467=""),0,IF(OR(N(对接源_01水果!$B467)&lt;$K$2,N(对接源_01水果!$B467)&gt;$K$3),0,1))</f>
        <v>0</v>
      </c>
      <c r="L467">
        <f>IF(OR($L$1="",对接源_01水果!$C467="",对接源_01水果!$C467&lt;&gt;$L$1,对接源_01水果!$B467=""),0,IF(OR(N(对接源_01水果!$B467)&lt;$L$2,N(对接源_01水果!$B467)&gt;$L$3),0,1))</f>
        <v>0</v>
      </c>
      <c r="M467">
        <f>IF(OR($M$1="",对接源_01水果!$C467="",对接源_01水果!$C467&lt;&gt;$M$1,对接源_01水果!$B467=""),0,IF(OR(N(对接源_01水果!$B467)&lt;$M$2,N(对接源_01水果!$B467)&gt;$M$3),0,1))</f>
        <v>0</v>
      </c>
      <c r="N467">
        <f>IF(OR($N$1="",对接源_01水果!$C467="",对接源_01水果!$C467&lt;&gt;$N$1,对接源_01水果!$B467=""),0,IF(OR(N(对接源_01水果!$B467)&lt;$N$2,N(对接源_01水果!$B467)&gt;$N$3),0,1))</f>
        <v>0</v>
      </c>
      <c r="P467">
        <f>IF(AND($K467=1,AND(对接源_01水果!$X467="公司筐",N(对接源_01水果!$T467)&lt;&gt;0)),1,0)</f>
        <v>0</v>
      </c>
      <c r="Q467">
        <f>N(Q466)+$P467</f>
        <v>0</v>
      </c>
      <c r="R467">
        <f>IF(AND($K467=1,AND(对接源_01水果!$X467="公司筐",N(对接源_01水果!$U467)&lt;&gt;0)),1,0)</f>
        <v>0</v>
      </c>
      <c r="S467">
        <f>N(S466)+$R467</f>
        <v>0</v>
      </c>
      <c r="T467">
        <f>IF(AND($K467=1,AND(对接源_01水果!$X467="公司筐",N(对接源_01水果!$V467)&lt;&gt;0)),1,0)</f>
        <v>0</v>
      </c>
      <c r="U467">
        <f>N(U466)+$T467</f>
        <v>44</v>
      </c>
      <c r="V467">
        <f>IF(AND($L467=1,AND(对接源_01水果!$X467="自备筐",N(对接源_01水果!$V467)&lt;&gt;0)),1,0)</f>
        <v>0</v>
      </c>
      <c r="W467">
        <f>N(W466)+$V467</f>
        <v>11</v>
      </c>
      <c r="X467">
        <f>IF(AND($L467=1,AND(对接源_01水果!$X467="自备筐",N(对接源_01水果!$T467)&lt;&gt;0)),1,0)</f>
        <v>0</v>
      </c>
      <c r="Y467">
        <f>N(Y466)+$X467</f>
        <v>0</v>
      </c>
      <c r="Z467">
        <f>IF(AND($M467=1,对接源_01水果!$D467="原料入库"),1,0)</f>
        <v>0</v>
      </c>
      <c r="AA467">
        <f>N(AA466)+$Z467</f>
        <v>24</v>
      </c>
      <c r="AB467">
        <f>IF(AND($M467=1,LEFT(对接源_01水果!$D467,4)="原料出库"),1,0)</f>
        <v>0</v>
      </c>
      <c r="AC467">
        <f>N(AC466)+$AB467</f>
        <v>0</v>
      </c>
      <c r="AD467">
        <f>IF(AND($M467=1,LEFT(对接源_01水果!$D467,4)="成品出库"),1,0)</f>
        <v>0</v>
      </c>
      <c r="AE467">
        <f>N(AE466)+$AD467</f>
        <v>0</v>
      </c>
      <c r="AF467">
        <f>IF(AND($N467=1,AND(LEFT(对接源_01水果!$D467,4)="包装物料",N(对接源_01水果!$K467)&lt;&gt;0)),1,0)</f>
        <v>0</v>
      </c>
      <c r="AG467">
        <f>N(AG466)+$AF467</f>
        <v>0</v>
      </c>
      <c r="AH467">
        <f>IF(AND($N467=1,AND(对接源_01水果!$D467="周转筐－销售出库",N(对接源_01水果!$K467)&lt;&gt;0)),1,0)</f>
        <v>0</v>
      </c>
      <c r="AI467">
        <f>N(AI466)+$AH467</f>
        <v>0</v>
      </c>
      <c r="AJ467" s="7" t="n"/>
      <c r="AL467">
        <f>IF(OR($AL$1="",对接源_01水果!$Y467="",对接源_01水果!$Y467&lt;&gt;$AL$1,对接源_01水果!$B467="",N(对接源_01水果!$AJ467)&lt;=0),0,IF(OR(N(对接源_01水果!$B467)&lt;$AL$2,N(对接源_01水果!$B467)&gt;$AL$3),0,1))</f>
        <v>0</v>
      </c>
      <c r="AM467">
        <f>N(AM466)+$AL467</f>
        <v>0</v>
      </c>
      <c r="AN467">
        <f>IF(对接源_01水果!$AC467="","",对接源_01水果!$AC467)</f>
      </c>
      <c r="AO467">
        <f>IF(AN467="",0,IF(MATCH(AN467,$AN$4:$AN$1203,0)=ROW()-3,1,0))</f>
        <v>0</v>
      </c>
      <c r="AP467">
        <f>N(AP466)+$AO467</f>
        <v>0</v>
      </c>
      <c r="AR467">
        <f>IF(OR($AF467=1,$AH467=1),1,0)</f>
        <v>0</v>
      </c>
      <c r="AS467">
        <f>N(AS466)+$AR467</f>
        <v>0</v>
      </c>
    </row>
    <row r="468" ht="14.25" customHeight="1" s="127">
      <c r="A468" t="str">
        <f>IF(对接源_01水果!$C468="","",对接源_01水果!$C468)</f>
        <v>王灵云</v>
      </c>
      <c r="B468">
        <f>IF(A468="",0,IF(MATCH(A468,$A$4:$A$2403,0)=ROW()-3,1,0))</f>
        <v>0</v>
      </c>
      <c r="C468">
        <f>N(C467)+B468</f>
        <v>22</v>
      </c>
      <c r="K468">
        <f>IF(OR($K$1="",对接源_01水果!$C468="",对接源_01水果!$C468&lt;&gt;$K$1,对接源_01水果!$B468=""),0,IF(OR(N(对接源_01水果!$B468)&lt;$K$2,N(对接源_01水果!$B468)&gt;$K$3),0,1))</f>
        <v>1</v>
      </c>
      <c r="L468">
        <f>IF(OR($L$1="",对接源_01水果!$C468="",对接源_01水果!$C468&lt;&gt;$L$1,对接源_01水果!$B468=""),0,IF(OR(N(对接源_01水果!$B468)&lt;$L$2,N(对接源_01水果!$B468)&gt;$L$3),0,1))</f>
        <v>0</v>
      </c>
      <c r="M468">
        <f>IF(OR($M$1="",对接源_01水果!$C468="",对接源_01水果!$C468&lt;&gt;$M$1,对接源_01水果!$B468=""),0,IF(OR(N(对接源_01水果!$B468)&lt;$M$2,N(对接源_01水果!$B468)&gt;$M$3),0,1))</f>
        <v>0</v>
      </c>
      <c r="N468">
        <f>IF(OR($N$1="",对接源_01水果!$C468="",对接源_01水果!$C468&lt;&gt;$N$1,对接源_01水果!$B468=""),0,IF(OR(N(对接源_01水果!$B468)&lt;$N$2,N(对接源_01水果!$B468)&gt;$N$3),0,1))</f>
        <v>0</v>
      </c>
      <c r="P468">
        <f>IF(AND($K468=1,AND(对接源_01水果!$X468="公司筐",N(对接源_01水果!$T468)&lt;&gt;0)),1,0)</f>
        <v>0</v>
      </c>
      <c r="Q468">
        <f>N(Q467)+$P468</f>
        <v>0</v>
      </c>
      <c r="R468">
        <f>IF(AND($K468=1,AND(对接源_01水果!$X468="公司筐",N(对接源_01水果!$U468)&lt;&gt;0)),1,0)</f>
        <v>0</v>
      </c>
      <c r="S468">
        <f>N(S467)+$R468</f>
        <v>0</v>
      </c>
      <c r="T468">
        <f>IF(AND($K468=1,AND(对接源_01水果!$X468="公司筐",N(对接源_01水果!$V468)&lt;&gt;0)),1,0)</f>
        <v>1</v>
      </c>
      <c r="U468">
        <f>N(U467)+$T468</f>
        <v>45</v>
      </c>
      <c r="V468">
        <f>IF(AND($L468=1,AND(对接源_01水果!$X468="自备筐",N(对接源_01水果!$V468)&lt;&gt;0)),1,0)</f>
        <v>0</v>
      </c>
      <c r="W468">
        <f>N(W467)+$V468</f>
        <v>11</v>
      </c>
      <c r="X468">
        <f>IF(AND($L468=1,AND(对接源_01水果!$X468="自备筐",N(对接源_01水果!$T468)&lt;&gt;0)),1,0)</f>
        <v>0</v>
      </c>
      <c r="Y468">
        <f>N(Y467)+$X468</f>
        <v>0</v>
      </c>
      <c r="Z468">
        <f>IF(AND($M468=1,对接源_01水果!$D468="原料入库"),1,0)</f>
        <v>0</v>
      </c>
      <c r="AA468">
        <f>N(AA467)+$Z468</f>
        <v>24</v>
      </c>
      <c r="AB468">
        <f>IF(AND($M468=1,LEFT(对接源_01水果!$D468,4)="原料出库"),1,0)</f>
        <v>0</v>
      </c>
      <c r="AC468">
        <f>N(AC467)+$AB468</f>
        <v>0</v>
      </c>
      <c r="AD468">
        <f>IF(AND($M468=1,LEFT(对接源_01水果!$D468,4)="成品出库"),1,0)</f>
        <v>0</v>
      </c>
      <c r="AE468">
        <f>N(AE467)+$AD468</f>
        <v>0</v>
      </c>
      <c r="AF468">
        <f>IF(AND($N468=1,AND(LEFT(对接源_01水果!$D468,4)="包装物料",N(对接源_01水果!$K468)&lt;&gt;0)),1,0)</f>
        <v>0</v>
      </c>
      <c r="AG468">
        <f>N(AG467)+$AF468</f>
        <v>0</v>
      </c>
      <c r="AH468">
        <f>IF(AND($N468=1,AND(对接源_01水果!$D468="周转筐－销售出库",N(对接源_01水果!$K468)&lt;&gt;0)),1,0)</f>
        <v>0</v>
      </c>
      <c r="AI468">
        <f>N(AI467)+$AH468</f>
        <v>0</v>
      </c>
      <c r="AJ468" s="7" t="n"/>
      <c r="AL468">
        <f>IF(OR($AL$1="",对接源_01水果!$Y468="",对接源_01水果!$Y468&lt;&gt;$AL$1,对接源_01水果!$B468="",N(对接源_01水果!$AJ468)&lt;=0),0,IF(OR(N(对接源_01水果!$B468)&lt;$AL$2,N(对接源_01水果!$B468)&gt;$AL$3),0,1))</f>
        <v>0</v>
      </c>
      <c r="AM468">
        <f>N(AM467)+$AL468</f>
        <v>0</v>
      </c>
      <c r="AN468">
        <f>IF(对接源_01水果!$AC468="","",对接源_01水果!$AC468)</f>
      </c>
      <c r="AO468">
        <f>IF(AN468="",0,IF(MATCH(AN468,$AN$4:$AN$1203,0)=ROW()-3,1,0))</f>
        <v>0</v>
      </c>
      <c r="AP468">
        <f>N(AP467)+$AO468</f>
        <v>0</v>
      </c>
      <c r="AR468">
        <f>IF(OR($AF468=1,$AH468=1),1,0)</f>
        <v>0</v>
      </c>
      <c r="AS468">
        <f>N(AS467)+$AR468</f>
        <v>0</v>
      </c>
    </row>
    <row r="469" ht="14.25" customHeight="1" s="127">
      <c r="A469" t="str">
        <f>IF(对接源_01水果!$C469="","",对接源_01水果!$C469)</f>
        <v>王灵云</v>
      </c>
      <c r="B469">
        <f>IF(A469="",0,IF(MATCH(A469,$A$4:$A$2403,0)=ROW()-3,1,0))</f>
        <v>0</v>
      </c>
      <c r="C469">
        <f>N(C468)+B469</f>
        <v>22</v>
      </c>
      <c r="K469">
        <f>IF(OR($K$1="",对接源_01水果!$C469="",对接源_01水果!$C469&lt;&gt;$K$1,对接源_01水果!$B469=""),0,IF(OR(N(对接源_01水果!$B469)&lt;$K$2,N(对接源_01水果!$B469)&gt;$K$3),0,1))</f>
        <v>1</v>
      </c>
      <c r="L469">
        <f>IF(OR($L$1="",对接源_01水果!$C469="",对接源_01水果!$C469&lt;&gt;$L$1,对接源_01水果!$B469=""),0,IF(OR(N(对接源_01水果!$B469)&lt;$L$2,N(对接源_01水果!$B469)&gt;$L$3),0,1))</f>
        <v>0</v>
      </c>
      <c r="M469">
        <f>IF(OR($M$1="",对接源_01水果!$C469="",对接源_01水果!$C469&lt;&gt;$M$1,对接源_01水果!$B469=""),0,IF(OR(N(对接源_01水果!$B469)&lt;$M$2,N(对接源_01水果!$B469)&gt;$M$3),0,1))</f>
        <v>0</v>
      </c>
      <c r="N469">
        <f>IF(OR($N$1="",对接源_01水果!$C469="",对接源_01水果!$C469&lt;&gt;$N$1,对接源_01水果!$B469=""),0,IF(OR(N(对接源_01水果!$B469)&lt;$N$2,N(对接源_01水果!$B469)&gt;$N$3),0,1))</f>
        <v>0</v>
      </c>
      <c r="P469">
        <f>IF(AND($K469=1,AND(对接源_01水果!$X469="公司筐",N(对接源_01水果!$T469)&lt;&gt;0)),1,0)</f>
        <v>0</v>
      </c>
      <c r="Q469">
        <f>N(Q468)+$P469</f>
        <v>0</v>
      </c>
      <c r="R469">
        <f>IF(AND($K469=1,AND(对接源_01水果!$X469="公司筐",N(对接源_01水果!$U469)&lt;&gt;0)),1,0)</f>
        <v>0</v>
      </c>
      <c r="S469">
        <f>N(S468)+$R469</f>
        <v>0</v>
      </c>
      <c r="T469">
        <f>IF(AND($K469=1,AND(对接源_01水果!$X469="公司筐",N(对接源_01水果!$V469)&lt;&gt;0)),1,0)</f>
        <v>1</v>
      </c>
      <c r="U469">
        <f>N(U468)+$T469</f>
        <v>46</v>
      </c>
      <c r="V469">
        <f>IF(AND($L469=1,AND(对接源_01水果!$X469="自备筐",N(对接源_01水果!$V469)&lt;&gt;0)),1,0)</f>
        <v>0</v>
      </c>
      <c r="W469">
        <f>N(W468)+$V469</f>
        <v>11</v>
      </c>
      <c r="X469">
        <f>IF(AND($L469=1,AND(对接源_01水果!$X469="自备筐",N(对接源_01水果!$T469)&lt;&gt;0)),1,0)</f>
        <v>0</v>
      </c>
      <c r="Y469">
        <f>N(Y468)+$X469</f>
        <v>0</v>
      </c>
      <c r="Z469">
        <f>IF(AND($M469=1,对接源_01水果!$D469="原料入库"),1,0)</f>
        <v>0</v>
      </c>
      <c r="AA469">
        <f>N(AA468)+$Z469</f>
        <v>24</v>
      </c>
      <c r="AB469">
        <f>IF(AND($M469=1,LEFT(对接源_01水果!$D469,4)="原料出库"),1,0)</f>
        <v>0</v>
      </c>
      <c r="AC469">
        <f>N(AC468)+$AB469</f>
        <v>0</v>
      </c>
      <c r="AD469">
        <f>IF(AND($M469=1,LEFT(对接源_01水果!$D469,4)="成品出库"),1,0)</f>
        <v>0</v>
      </c>
      <c r="AE469">
        <f>N(AE468)+$AD469</f>
        <v>0</v>
      </c>
      <c r="AF469">
        <f>IF(AND($N469=1,AND(LEFT(对接源_01水果!$D469,4)="包装物料",N(对接源_01水果!$K469)&lt;&gt;0)),1,0)</f>
        <v>0</v>
      </c>
      <c r="AG469">
        <f>N(AG468)+$AF469</f>
        <v>0</v>
      </c>
      <c r="AH469">
        <f>IF(AND($N469=1,AND(对接源_01水果!$D469="周转筐－销售出库",N(对接源_01水果!$K469)&lt;&gt;0)),1,0)</f>
        <v>0</v>
      </c>
      <c r="AI469">
        <f>N(AI468)+$AH469</f>
        <v>0</v>
      </c>
      <c r="AJ469" s="7" t="n"/>
      <c r="AL469">
        <f>IF(OR($AL$1="",对接源_01水果!$Y469="",对接源_01水果!$Y469&lt;&gt;$AL$1,对接源_01水果!$B469="",N(对接源_01水果!$AJ469)&lt;=0),0,IF(OR(N(对接源_01水果!$B469)&lt;$AL$2,N(对接源_01水果!$B469)&gt;$AL$3),0,1))</f>
        <v>0</v>
      </c>
      <c r="AM469">
        <f>N(AM468)+$AL469</f>
        <v>0</v>
      </c>
      <c r="AN469">
        <f>IF(对接源_01水果!$AC469="","",对接源_01水果!$AC469)</f>
      </c>
      <c r="AO469">
        <f>IF(AN469="",0,IF(MATCH(AN469,$AN$4:$AN$1203,0)=ROW()-3,1,0))</f>
        <v>0</v>
      </c>
      <c r="AP469">
        <f>N(AP468)+$AO469</f>
        <v>0</v>
      </c>
      <c r="AR469">
        <f>IF(OR($AF469=1,$AH469=1),1,0)</f>
        <v>0</v>
      </c>
      <c r="AS469">
        <f>N(AS468)+$AR469</f>
        <v>0</v>
      </c>
    </row>
    <row r="470" ht="14.25" customHeight="1" s="127">
      <c r="A470" t="str">
        <f>IF(对接源_01水果!$C470="","",对接源_01水果!$C470)</f>
        <v>王灵云</v>
      </c>
      <c r="B470">
        <f>IF(A470="",0,IF(MATCH(A470,$A$4:$A$2403,0)=ROW()-3,1,0))</f>
        <v>0</v>
      </c>
      <c r="C470">
        <f>N(C469)+B470</f>
        <v>22</v>
      </c>
      <c r="K470">
        <f>IF(OR($K$1="",对接源_01水果!$C470="",对接源_01水果!$C470&lt;&gt;$K$1,对接源_01水果!$B470=""),0,IF(OR(N(对接源_01水果!$B470)&lt;$K$2,N(对接源_01水果!$B470)&gt;$K$3),0,1))</f>
        <v>1</v>
      </c>
      <c r="L470">
        <f>IF(OR($L$1="",对接源_01水果!$C470="",对接源_01水果!$C470&lt;&gt;$L$1,对接源_01水果!$B470=""),0,IF(OR(N(对接源_01水果!$B470)&lt;$L$2,N(对接源_01水果!$B470)&gt;$L$3),0,1))</f>
        <v>0</v>
      </c>
      <c r="M470">
        <f>IF(OR($M$1="",对接源_01水果!$C470="",对接源_01水果!$C470&lt;&gt;$M$1,对接源_01水果!$B470=""),0,IF(OR(N(对接源_01水果!$B470)&lt;$M$2,N(对接源_01水果!$B470)&gt;$M$3),0,1))</f>
        <v>0</v>
      </c>
      <c r="N470">
        <f>IF(OR($N$1="",对接源_01水果!$C470="",对接源_01水果!$C470&lt;&gt;$N$1,对接源_01水果!$B470=""),0,IF(OR(N(对接源_01水果!$B470)&lt;$N$2,N(对接源_01水果!$B470)&gt;$N$3),0,1))</f>
        <v>0</v>
      </c>
      <c r="P470">
        <f>IF(AND($K470=1,AND(对接源_01水果!$X470="公司筐",N(对接源_01水果!$T470)&lt;&gt;0)),1,0)</f>
        <v>0</v>
      </c>
      <c r="Q470">
        <f>N(Q469)+$P470</f>
        <v>0</v>
      </c>
      <c r="R470">
        <f>IF(AND($K470=1,AND(对接源_01水果!$X470="公司筐",N(对接源_01水果!$U470)&lt;&gt;0)),1,0)</f>
        <v>0</v>
      </c>
      <c r="S470">
        <f>N(S469)+$R470</f>
        <v>0</v>
      </c>
      <c r="T470">
        <f>IF(AND($K470=1,AND(对接源_01水果!$X470="公司筐",N(对接源_01水果!$V470)&lt;&gt;0)),1,0)</f>
        <v>1</v>
      </c>
      <c r="U470">
        <f>N(U469)+$T470</f>
        <v>47</v>
      </c>
      <c r="V470">
        <f>IF(AND($L470=1,AND(对接源_01水果!$X470="自备筐",N(对接源_01水果!$V470)&lt;&gt;0)),1,0)</f>
        <v>0</v>
      </c>
      <c r="W470">
        <f>N(W469)+$V470</f>
        <v>11</v>
      </c>
      <c r="X470">
        <f>IF(AND($L470=1,AND(对接源_01水果!$X470="自备筐",N(对接源_01水果!$T470)&lt;&gt;0)),1,0)</f>
        <v>0</v>
      </c>
      <c r="Y470">
        <f>N(Y469)+$X470</f>
        <v>0</v>
      </c>
      <c r="Z470">
        <f>IF(AND($M470=1,对接源_01水果!$D470="原料入库"),1,0)</f>
        <v>0</v>
      </c>
      <c r="AA470">
        <f>N(AA469)+$Z470</f>
        <v>24</v>
      </c>
      <c r="AB470">
        <f>IF(AND($M470=1,LEFT(对接源_01水果!$D470,4)="原料出库"),1,0)</f>
        <v>0</v>
      </c>
      <c r="AC470">
        <f>N(AC469)+$AB470</f>
        <v>0</v>
      </c>
      <c r="AD470">
        <f>IF(AND($M470=1,LEFT(对接源_01水果!$D470,4)="成品出库"),1,0)</f>
        <v>0</v>
      </c>
      <c r="AE470">
        <f>N(AE469)+$AD470</f>
        <v>0</v>
      </c>
      <c r="AF470">
        <f>IF(AND($N470=1,AND(LEFT(对接源_01水果!$D470,4)="包装物料",N(对接源_01水果!$K470)&lt;&gt;0)),1,0)</f>
        <v>0</v>
      </c>
      <c r="AG470">
        <f>N(AG469)+$AF470</f>
        <v>0</v>
      </c>
      <c r="AH470">
        <f>IF(AND($N470=1,AND(对接源_01水果!$D470="周转筐－销售出库",N(对接源_01水果!$K470)&lt;&gt;0)),1,0)</f>
        <v>0</v>
      </c>
      <c r="AI470">
        <f>N(AI469)+$AH470</f>
        <v>0</v>
      </c>
      <c r="AJ470" s="7" t="n"/>
      <c r="AL470">
        <f>IF(OR($AL$1="",对接源_01水果!$Y470="",对接源_01水果!$Y470&lt;&gt;$AL$1,对接源_01水果!$B470="",N(对接源_01水果!$AJ470)&lt;=0),0,IF(OR(N(对接源_01水果!$B470)&lt;$AL$2,N(对接源_01水果!$B470)&gt;$AL$3),0,1))</f>
        <v>0</v>
      </c>
      <c r="AM470">
        <f>N(AM469)+$AL470</f>
        <v>0</v>
      </c>
      <c r="AN470">
        <f>IF(对接源_01水果!$AC470="","",对接源_01水果!$AC470)</f>
      </c>
      <c r="AO470">
        <f>IF(AN470="",0,IF(MATCH(AN470,$AN$4:$AN$1203,0)=ROW()-3,1,0))</f>
        <v>0</v>
      </c>
      <c r="AP470">
        <f>N(AP469)+$AO470</f>
        <v>0</v>
      </c>
      <c r="AR470">
        <f>IF(OR($AF470=1,$AH470=1),1,0)</f>
        <v>0</v>
      </c>
      <c r="AS470">
        <f>N(AS469)+$AR470</f>
        <v>0</v>
      </c>
    </row>
    <row r="471" ht="14.25" customHeight="1" s="127">
      <c r="A471" t="str">
        <f>IF(对接源_01水果!$C471="","",对接源_01水果!$C471)</f>
        <v>荆建君</v>
      </c>
      <c r="B471">
        <f>IF(A471="",0,IF(MATCH(A471,$A$4:$A$2403,0)=ROW()-3,1,0))</f>
        <v>0</v>
      </c>
      <c r="C471">
        <f>N(C470)+B471</f>
        <v>22</v>
      </c>
      <c r="K471">
        <f>IF(OR($K$1="",对接源_01水果!$C471="",对接源_01水果!$C471&lt;&gt;$K$1,对接源_01水果!$B471=""),0,IF(OR(N(对接源_01水果!$B471)&lt;$K$2,N(对接源_01水果!$B471)&gt;$K$3),0,1))</f>
        <v>0</v>
      </c>
      <c r="L471">
        <f>IF(OR($L$1="",对接源_01水果!$C471="",对接源_01水果!$C471&lt;&gt;$L$1,对接源_01水果!$B471=""),0,IF(OR(N(对接源_01水果!$B471)&lt;$L$2,N(对接源_01水果!$B471)&gt;$L$3),0,1))</f>
        <v>0</v>
      </c>
      <c r="M471">
        <f>IF(OR($M$1="",对接源_01水果!$C471="",对接源_01水果!$C471&lt;&gt;$M$1,对接源_01水果!$B471=""),0,IF(OR(N(对接源_01水果!$B471)&lt;$M$2,N(对接源_01水果!$B471)&gt;$M$3),0,1))</f>
        <v>0</v>
      </c>
      <c r="N471">
        <f>IF(OR($N$1="",对接源_01水果!$C471="",对接源_01水果!$C471&lt;&gt;$N$1,对接源_01水果!$B471=""),0,IF(OR(N(对接源_01水果!$B471)&lt;$N$2,N(对接源_01水果!$B471)&gt;$N$3),0,1))</f>
        <v>0</v>
      </c>
      <c r="P471">
        <f>IF(AND($K471=1,AND(对接源_01水果!$X471="公司筐",N(对接源_01水果!$T471)&lt;&gt;0)),1,0)</f>
        <v>0</v>
      </c>
      <c r="Q471">
        <f>N(Q470)+$P471</f>
        <v>0</v>
      </c>
      <c r="R471">
        <f>IF(AND($K471=1,AND(对接源_01水果!$X471="公司筐",N(对接源_01水果!$U471)&lt;&gt;0)),1,0)</f>
        <v>0</v>
      </c>
      <c r="S471">
        <f>N(S470)+$R471</f>
        <v>0</v>
      </c>
      <c r="T471">
        <f>IF(AND($K471=1,AND(对接源_01水果!$X471="公司筐",N(对接源_01水果!$V471)&lt;&gt;0)),1,0)</f>
        <v>0</v>
      </c>
      <c r="U471">
        <f>N(U470)+$T471</f>
        <v>47</v>
      </c>
      <c r="V471">
        <f>IF(AND($L471=1,AND(对接源_01水果!$X471="自备筐",N(对接源_01水果!$V471)&lt;&gt;0)),1,0)</f>
        <v>0</v>
      </c>
      <c r="W471">
        <f>N(W470)+$V471</f>
        <v>11</v>
      </c>
      <c r="X471">
        <f>IF(AND($L471=1,AND(对接源_01水果!$X471="自备筐",N(对接源_01水果!$T471)&lt;&gt;0)),1,0)</f>
        <v>0</v>
      </c>
      <c r="Y471">
        <f>N(Y470)+$X471</f>
        <v>0</v>
      </c>
      <c r="Z471">
        <f>IF(AND($M471=1,对接源_01水果!$D471="原料入库"),1,0)</f>
        <v>0</v>
      </c>
      <c r="AA471">
        <f>N(AA470)+$Z471</f>
        <v>24</v>
      </c>
      <c r="AB471">
        <f>IF(AND($M471=1,LEFT(对接源_01水果!$D471,4)="原料出库"),1,0)</f>
        <v>0</v>
      </c>
      <c r="AC471">
        <f>N(AC470)+$AB471</f>
        <v>0</v>
      </c>
      <c r="AD471">
        <f>IF(AND($M471=1,LEFT(对接源_01水果!$D471,4)="成品出库"),1,0)</f>
        <v>0</v>
      </c>
      <c r="AE471">
        <f>N(AE470)+$AD471</f>
        <v>0</v>
      </c>
      <c r="AF471">
        <f>IF(AND($N471=1,AND(LEFT(对接源_01水果!$D471,4)="包装物料",N(对接源_01水果!$K471)&lt;&gt;0)),1,0)</f>
        <v>0</v>
      </c>
      <c r="AG471">
        <f>N(AG470)+$AF471</f>
        <v>0</v>
      </c>
      <c r="AH471">
        <f>IF(AND($N471=1,AND(对接源_01水果!$D471="周转筐－销售出库",N(对接源_01水果!$K471)&lt;&gt;0)),1,0)</f>
        <v>0</v>
      </c>
      <c r="AI471">
        <f>N(AI470)+$AH471</f>
        <v>0</v>
      </c>
      <c r="AJ471" s="7" t="n"/>
      <c r="AL471">
        <f>IF(OR($AL$1="",对接源_01水果!$Y471="",对接源_01水果!$Y471&lt;&gt;$AL$1,对接源_01水果!$B471="",N(对接源_01水果!$AJ471)&lt;=0),0,IF(OR(N(对接源_01水果!$B471)&lt;$AL$2,N(对接源_01水果!$B471)&gt;$AL$3),0,1))</f>
        <v>0</v>
      </c>
      <c r="AM471">
        <f>N(AM470)+$AL471</f>
        <v>0</v>
      </c>
      <c r="AN471">
        <f>IF(对接源_01水果!$AC471="","",对接源_01水果!$AC471)</f>
      </c>
      <c r="AO471">
        <f>IF(AN471="",0,IF(MATCH(AN471,$AN$4:$AN$1203,0)=ROW()-3,1,0))</f>
        <v>0</v>
      </c>
      <c r="AP471">
        <f>N(AP470)+$AO471</f>
        <v>0</v>
      </c>
      <c r="AR471">
        <f>IF(OR($AF471=1,$AH471=1),1,0)</f>
        <v>0</v>
      </c>
      <c r="AS471">
        <f>N(AS470)+$AR471</f>
        <v>0</v>
      </c>
    </row>
    <row r="472" ht="14.25" customHeight="1" s="127">
      <c r="A472" t="str">
        <f>IF(对接源_01水果!$C472="","",对接源_01水果!$C472)</f>
        <v>荆建君</v>
      </c>
      <c r="B472">
        <f>IF(A472="",0,IF(MATCH(A472,$A$4:$A$2403,0)=ROW()-3,1,0))</f>
        <v>0</v>
      </c>
      <c r="C472">
        <f>N(C471)+B472</f>
        <v>22</v>
      </c>
      <c r="K472">
        <f>IF(OR($K$1="",对接源_01水果!$C472="",对接源_01水果!$C472&lt;&gt;$K$1,对接源_01水果!$B472=""),0,IF(OR(N(对接源_01水果!$B472)&lt;$K$2,N(对接源_01水果!$B472)&gt;$K$3),0,1))</f>
        <v>0</v>
      </c>
      <c r="L472">
        <f>IF(OR($L$1="",对接源_01水果!$C472="",对接源_01水果!$C472&lt;&gt;$L$1,对接源_01水果!$B472=""),0,IF(OR(N(对接源_01水果!$B472)&lt;$L$2,N(对接源_01水果!$B472)&gt;$L$3),0,1))</f>
        <v>0</v>
      </c>
      <c r="M472">
        <f>IF(OR($M$1="",对接源_01水果!$C472="",对接源_01水果!$C472&lt;&gt;$M$1,对接源_01水果!$B472=""),0,IF(OR(N(对接源_01水果!$B472)&lt;$M$2,N(对接源_01水果!$B472)&gt;$M$3),0,1))</f>
        <v>0</v>
      </c>
      <c r="N472">
        <f>IF(OR($N$1="",对接源_01水果!$C472="",对接源_01水果!$C472&lt;&gt;$N$1,对接源_01水果!$B472=""),0,IF(OR(N(对接源_01水果!$B472)&lt;$N$2,N(对接源_01水果!$B472)&gt;$N$3),0,1))</f>
        <v>0</v>
      </c>
      <c r="P472">
        <f>IF(AND($K472=1,AND(对接源_01水果!$X472="公司筐",N(对接源_01水果!$T472)&lt;&gt;0)),1,0)</f>
        <v>0</v>
      </c>
      <c r="Q472">
        <f>N(Q471)+$P472</f>
        <v>0</v>
      </c>
      <c r="R472">
        <f>IF(AND($K472=1,AND(对接源_01水果!$X472="公司筐",N(对接源_01水果!$U472)&lt;&gt;0)),1,0)</f>
        <v>0</v>
      </c>
      <c r="S472">
        <f>N(S471)+$R472</f>
        <v>0</v>
      </c>
      <c r="T472">
        <f>IF(AND($K472=1,AND(对接源_01水果!$X472="公司筐",N(对接源_01水果!$V472)&lt;&gt;0)),1,0)</f>
        <v>0</v>
      </c>
      <c r="U472">
        <f>N(U471)+$T472</f>
        <v>47</v>
      </c>
      <c r="V472">
        <f>IF(AND($L472=1,AND(对接源_01水果!$X472="自备筐",N(对接源_01水果!$V472)&lt;&gt;0)),1,0)</f>
        <v>0</v>
      </c>
      <c r="W472">
        <f>N(W471)+$V472</f>
        <v>11</v>
      </c>
      <c r="X472">
        <f>IF(AND($L472=1,AND(对接源_01水果!$X472="自备筐",N(对接源_01水果!$T472)&lt;&gt;0)),1,0)</f>
        <v>0</v>
      </c>
      <c r="Y472">
        <f>N(Y471)+$X472</f>
        <v>0</v>
      </c>
      <c r="Z472">
        <f>IF(AND($M472=1,对接源_01水果!$D472="原料入库"),1,0)</f>
        <v>0</v>
      </c>
      <c r="AA472">
        <f>N(AA471)+$Z472</f>
        <v>24</v>
      </c>
      <c r="AB472">
        <f>IF(AND($M472=1,LEFT(对接源_01水果!$D472,4)="原料出库"),1,0)</f>
        <v>0</v>
      </c>
      <c r="AC472">
        <f>N(AC471)+$AB472</f>
        <v>0</v>
      </c>
      <c r="AD472">
        <f>IF(AND($M472=1,LEFT(对接源_01水果!$D472,4)="成品出库"),1,0)</f>
        <v>0</v>
      </c>
      <c r="AE472">
        <f>N(AE471)+$AD472</f>
        <v>0</v>
      </c>
      <c r="AF472">
        <f>IF(AND($N472=1,AND(LEFT(对接源_01水果!$D472,4)="包装物料",N(对接源_01水果!$K472)&lt;&gt;0)),1,0)</f>
        <v>0</v>
      </c>
      <c r="AG472">
        <f>N(AG471)+$AF472</f>
        <v>0</v>
      </c>
      <c r="AH472">
        <f>IF(AND($N472=1,AND(对接源_01水果!$D472="周转筐－销售出库",N(对接源_01水果!$K472)&lt;&gt;0)),1,0)</f>
        <v>0</v>
      </c>
      <c r="AI472">
        <f>N(AI471)+$AH472</f>
        <v>0</v>
      </c>
      <c r="AJ472" s="7" t="n"/>
      <c r="AL472">
        <f>IF(OR($AL$1="",对接源_01水果!$Y472="",对接源_01水果!$Y472&lt;&gt;$AL$1,对接源_01水果!$B472="",N(对接源_01水果!$AJ472)&lt;=0),0,IF(OR(N(对接源_01水果!$B472)&lt;$AL$2,N(对接源_01水果!$B472)&gt;$AL$3),0,1))</f>
        <v>0</v>
      </c>
      <c r="AM472">
        <f>N(AM471)+$AL472</f>
        <v>0</v>
      </c>
      <c r="AN472">
        <f>IF(对接源_01水果!$AC472="","",对接源_01水果!$AC472)</f>
      </c>
      <c r="AO472">
        <f>IF(AN472="",0,IF(MATCH(AN472,$AN$4:$AN$1203,0)=ROW()-3,1,0))</f>
        <v>0</v>
      </c>
      <c r="AP472">
        <f>N(AP471)+$AO472</f>
        <v>0</v>
      </c>
      <c r="AR472">
        <f>IF(OR($AF472=1,$AH472=1),1,0)</f>
        <v>0</v>
      </c>
      <c r="AS472">
        <f>N(AS471)+$AR472</f>
        <v>0</v>
      </c>
    </row>
    <row r="473" ht="14.25" customHeight="1" s="127">
      <c r="A473" t="str">
        <f>IF(对接源_01水果!$C473="","",对接源_01水果!$C473)</f>
        <v>麦麦提</v>
      </c>
      <c r="B473">
        <f>IF(A473="",0,IF(MATCH(A473,$A$4:$A$2403,0)=ROW()-3,1,0))</f>
        <v>0</v>
      </c>
      <c r="C473">
        <f>N(C472)+B473</f>
        <v>22</v>
      </c>
      <c r="K473">
        <f>IF(OR($K$1="",对接源_01水果!$C473="",对接源_01水果!$C473&lt;&gt;$K$1,对接源_01水果!$B473=""),0,IF(OR(N(对接源_01水果!$B473)&lt;$K$2,N(对接源_01水果!$B473)&gt;$K$3),0,1))</f>
        <v>0</v>
      </c>
      <c r="L473">
        <f>IF(OR($L$1="",对接源_01水果!$C473="",对接源_01水果!$C473&lt;&gt;$L$1,对接源_01水果!$B473=""),0,IF(OR(N(对接源_01水果!$B473)&lt;$L$2,N(对接源_01水果!$B473)&gt;$L$3),0,1))</f>
        <v>0</v>
      </c>
      <c r="M473">
        <f>IF(OR($M$1="",对接源_01水果!$C473="",对接源_01水果!$C473&lt;&gt;$M$1,对接源_01水果!$B473=""),0,IF(OR(N(对接源_01水果!$B473)&lt;$M$2,N(对接源_01水果!$B473)&gt;$M$3),0,1))</f>
        <v>0</v>
      </c>
      <c r="N473">
        <f>IF(OR($N$1="",对接源_01水果!$C473="",对接源_01水果!$C473&lt;&gt;$N$1,对接源_01水果!$B473=""),0,IF(OR(N(对接源_01水果!$B473)&lt;$N$2,N(对接源_01水果!$B473)&gt;$N$3),0,1))</f>
        <v>1</v>
      </c>
      <c r="P473">
        <f>IF(AND($K473=1,AND(对接源_01水果!$X473="公司筐",N(对接源_01水果!$T473)&lt;&gt;0)),1,0)</f>
        <v>0</v>
      </c>
      <c r="Q473">
        <f>N(Q472)+$P473</f>
        <v>0</v>
      </c>
      <c r="R473">
        <f>IF(AND($K473=1,AND(对接源_01水果!$X473="公司筐",N(对接源_01水果!$U473)&lt;&gt;0)),1,0)</f>
        <v>0</v>
      </c>
      <c r="S473">
        <f>N(S472)+$R473</f>
        <v>0</v>
      </c>
      <c r="T473">
        <f>IF(AND($K473=1,AND(对接源_01水果!$X473="公司筐",N(对接源_01水果!$V473)&lt;&gt;0)),1,0)</f>
        <v>0</v>
      </c>
      <c r="U473">
        <f>N(U472)+$T473</f>
        <v>47</v>
      </c>
      <c r="V473">
        <f>IF(AND($L473=1,AND(对接源_01水果!$X473="自备筐",N(对接源_01水果!$V473)&lt;&gt;0)),1,0)</f>
        <v>0</v>
      </c>
      <c r="W473">
        <f>N(W472)+$V473</f>
        <v>11</v>
      </c>
      <c r="X473">
        <f>IF(AND($L473=1,AND(对接源_01水果!$X473="自备筐",N(对接源_01水果!$T473)&lt;&gt;0)),1,0)</f>
        <v>0</v>
      </c>
      <c r="Y473">
        <f>N(Y472)+$X473</f>
        <v>0</v>
      </c>
      <c r="Z473">
        <f>IF(AND($M473=1,对接源_01水果!$D473="原料入库"),1,0)</f>
        <v>0</v>
      </c>
      <c r="AA473">
        <f>N(AA472)+$Z473</f>
        <v>24</v>
      </c>
      <c r="AB473">
        <f>IF(AND($M473=1,LEFT(对接源_01水果!$D473,4)="原料出库"),1,0)</f>
        <v>0</v>
      </c>
      <c r="AC473">
        <f>N(AC472)+$AB473</f>
        <v>0</v>
      </c>
      <c r="AD473">
        <f>IF(AND($M473=1,LEFT(对接源_01水果!$D473,4)="成品出库"),1,0)</f>
        <v>0</v>
      </c>
      <c r="AE473">
        <f>N(AE472)+$AD473</f>
        <v>0</v>
      </c>
      <c r="AF473">
        <f>IF(AND($N473=1,AND(LEFT(对接源_01水果!$D473,4)="包装物料",N(对接源_01水果!$K473)&lt;&gt;0)),1,0)</f>
        <v>0</v>
      </c>
      <c r="AG473">
        <f>N(AG472)+$AF473</f>
        <v>0</v>
      </c>
      <c r="AH473">
        <f>IF(AND($N473=1,AND(对接源_01水果!$D473="周转筐－销售出库",N(对接源_01水果!$K473)&lt;&gt;0)),1,0)</f>
        <v>0</v>
      </c>
      <c r="AI473">
        <f>N(AI472)+$AH473</f>
        <v>0</v>
      </c>
      <c r="AJ473" s="7" t="n"/>
      <c r="AL473">
        <f>IF(OR($AL$1="",对接源_01水果!$Y473="",对接源_01水果!$Y473&lt;&gt;$AL$1,对接源_01水果!$B473="",N(对接源_01水果!$AJ473)&lt;=0),0,IF(OR(N(对接源_01水果!$B473)&lt;$AL$2,N(对接源_01水果!$B473)&gt;$AL$3),0,1))</f>
        <v>0</v>
      </c>
      <c r="AM473">
        <f>N(AM472)+$AL473</f>
        <v>0</v>
      </c>
      <c r="AN473">
        <f>IF(对接源_01水果!$AC473="","",对接源_01水果!$AC473)</f>
      </c>
      <c r="AO473">
        <f>IF(AN473="",0,IF(MATCH(AN473,$AN$4:$AN$1203,0)=ROW()-3,1,0))</f>
        <v>0</v>
      </c>
      <c r="AP473">
        <f>N(AP472)+$AO473</f>
        <v>0</v>
      </c>
      <c r="AR473">
        <f>IF(OR($AF473=1,$AH473=1),1,0)</f>
        <v>0</v>
      </c>
      <c r="AS473">
        <f>N(AS472)+$AR473</f>
        <v>0</v>
      </c>
    </row>
    <row r="474" ht="14.25" customHeight="1" s="127">
      <c r="A474" t="str">
        <f>IF(对接源_01水果!$C474="","",对接源_01水果!$C474)</f>
        <v>麦麦提</v>
      </c>
      <c r="B474">
        <f>IF(A474="",0,IF(MATCH(A474,$A$4:$A$2403,0)=ROW()-3,1,0))</f>
        <v>0</v>
      </c>
      <c r="C474">
        <f>N(C473)+B474</f>
        <v>22</v>
      </c>
      <c r="K474">
        <f>IF(OR($K$1="",对接源_01水果!$C474="",对接源_01水果!$C474&lt;&gt;$K$1,对接源_01水果!$B474=""),0,IF(OR(N(对接源_01水果!$B474)&lt;$K$2,N(对接源_01水果!$B474)&gt;$K$3),0,1))</f>
        <v>0</v>
      </c>
      <c r="L474">
        <f>IF(OR($L$1="",对接源_01水果!$C474="",对接源_01水果!$C474&lt;&gt;$L$1,对接源_01水果!$B474=""),0,IF(OR(N(对接源_01水果!$B474)&lt;$L$2,N(对接源_01水果!$B474)&gt;$L$3),0,1))</f>
        <v>0</v>
      </c>
      <c r="M474">
        <f>IF(OR($M$1="",对接源_01水果!$C474="",对接源_01水果!$C474&lt;&gt;$M$1,对接源_01水果!$B474=""),0,IF(OR(N(对接源_01水果!$B474)&lt;$M$2,N(对接源_01水果!$B474)&gt;$M$3),0,1))</f>
        <v>0</v>
      </c>
      <c r="N474">
        <f>IF(OR($N$1="",对接源_01水果!$C474="",对接源_01水果!$C474&lt;&gt;$N$1,对接源_01水果!$B474=""),0,IF(OR(N(对接源_01水果!$B474)&lt;$N$2,N(对接源_01水果!$B474)&gt;$N$3),0,1))</f>
        <v>1</v>
      </c>
      <c r="P474">
        <f>IF(AND($K474=1,AND(对接源_01水果!$X474="公司筐",N(对接源_01水果!$T474)&lt;&gt;0)),1,0)</f>
        <v>0</v>
      </c>
      <c r="Q474">
        <f>N(Q473)+$P474</f>
        <v>0</v>
      </c>
      <c r="R474">
        <f>IF(AND($K474=1,AND(对接源_01水果!$X474="公司筐",N(对接源_01水果!$U474)&lt;&gt;0)),1,0)</f>
        <v>0</v>
      </c>
      <c r="S474">
        <f>N(S473)+$R474</f>
        <v>0</v>
      </c>
      <c r="T474">
        <f>IF(AND($K474=1,AND(对接源_01水果!$X474="公司筐",N(对接源_01水果!$V474)&lt;&gt;0)),1,0)</f>
        <v>0</v>
      </c>
      <c r="U474">
        <f>N(U473)+$T474</f>
        <v>47</v>
      </c>
      <c r="V474">
        <f>IF(AND($L474=1,AND(对接源_01水果!$X474="自备筐",N(对接源_01水果!$V474)&lt;&gt;0)),1,0)</f>
        <v>0</v>
      </c>
      <c r="W474">
        <f>N(W473)+$V474</f>
        <v>11</v>
      </c>
      <c r="X474">
        <f>IF(AND($L474=1,AND(对接源_01水果!$X474="自备筐",N(对接源_01水果!$T474)&lt;&gt;0)),1,0)</f>
        <v>0</v>
      </c>
      <c r="Y474">
        <f>N(Y473)+$X474</f>
        <v>0</v>
      </c>
      <c r="Z474">
        <f>IF(AND($M474=1,对接源_01水果!$D474="原料入库"),1,0)</f>
        <v>0</v>
      </c>
      <c r="AA474">
        <f>N(AA473)+$Z474</f>
        <v>24</v>
      </c>
      <c r="AB474">
        <f>IF(AND($M474=1,LEFT(对接源_01水果!$D474,4)="原料出库"),1,0)</f>
        <v>0</v>
      </c>
      <c r="AC474">
        <f>N(AC473)+$AB474</f>
        <v>0</v>
      </c>
      <c r="AD474">
        <f>IF(AND($M474=1,LEFT(对接源_01水果!$D474,4)="成品出库"),1,0)</f>
        <v>0</v>
      </c>
      <c r="AE474">
        <f>N(AE473)+$AD474</f>
        <v>0</v>
      </c>
      <c r="AF474">
        <f>IF(AND($N474=1,AND(LEFT(对接源_01水果!$D474,4)="包装物料",N(对接源_01水果!$K474)&lt;&gt;0)),1,0)</f>
        <v>0</v>
      </c>
      <c r="AG474">
        <f>N(AG473)+$AF474</f>
        <v>0</v>
      </c>
      <c r="AH474">
        <f>IF(AND($N474=1,AND(对接源_01水果!$D474="周转筐－销售出库",N(对接源_01水果!$K474)&lt;&gt;0)),1,0)</f>
        <v>0</v>
      </c>
      <c r="AI474">
        <f>N(AI473)+$AH474</f>
        <v>0</v>
      </c>
      <c r="AJ474" s="7" t="n"/>
      <c r="AL474">
        <f>IF(OR($AL$1="",对接源_01水果!$Y474="",对接源_01水果!$Y474&lt;&gt;$AL$1,对接源_01水果!$B474="",N(对接源_01水果!$AJ474)&lt;=0),0,IF(OR(N(对接源_01水果!$B474)&lt;$AL$2,N(对接源_01水果!$B474)&gt;$AL$3),0,1))</f>
        <v>0</v>
      </c>
      <c r="AM474">
        <f>N(AM473)+$AL474</f>
        <v>0</v>
      </c>
      <c r="AN474">
        <f>IF(对接源_01水果!$AC474="","",对接源_01水果!$AC474)</f>
      </c>
      <c r="AO474">
        <f>IF(AN474="",0,IF(MATCH(AN474,$AN$4:$AN$1203,0)=ROW()-3,1,0))</f>
        <v>0</v>
      </c>
      <c r="AP474">
        <f>N(AP473)+$AO474</f>
        <v>0</v>
      </c>
      <c r="AR474">
        <f>IF(OR($AF474=1,$AH474=1),1,0)</f>
        <v>0</v>
      </c>
      <c r="AS474">
        <f>N(AS473)+$AR474</f>
        <v>0</v>
      </c>
    </row>
    <row r="475" ht="14.25" customHeight="1" s="127">
      <c r="A475" t="str">
        <f>IF(对接源_01水果!$C475="","",对接源_01水果!$C475)</f>
        <v>麦麦提</v>
      </c>
      <c r="B475">
        <f>IF(A475="",0,IF(MATCH(A475,$A$4:$A$2403,0)=ROW()-3,1,0))</f>
        <v>0</v>
      </c>
      <c r="C475">
        <f>N(C474)+B475</f>
        <v>22</v>
      </c>
      <c r="K475">
        <f>IF(OR($K$1="",对接源_01水果!$C475="",对接源_01水果!$C475&lt;&gt;$K$1,对接源_01水果!$B475=""),0,IF(OR(N(对接源_01水果!$B475)&lt;$K$2,N(对接源_01水果!$B475)&gt;$K$3),0,1))</f>
        <v>0</v>
      </c>
      <c r="L475">
        <f>IF(OR($L$1="",对接源_01水果!$C475="",对接源_01水果!$C475&lt;&gt;$L$1,对接源_01水果!$B475=""),0,IF(OR(N(对接源_01水果!$B475)&lt;$L$2,N(对接源_01水果!$B475)&gt;$L$3),0,1))</f>
        <v>0</v>
      </c>
      <c r="M475">
        <f>IF(OR($M$1="",对接源_01水果!$C475="",对接源_01水果!$C475&lt;&gt;$M$1,对接源_01水果!$B475=""),0,IF(OR(N(对接源_01水果!$B475)&lt;$M$2,N(对接源_01水果!$B475)&gt;$M$3),0,1))</f>
        <v>0</v>
      </c>
      <c r="N475">
        <f>IF(OR($N$1="",对接源_01水果!$C475="",对接源_01水果!$C475&lt;&gt;$N$1,对接源_01水果!$B475=""),0,IF(OR(N(对接源_01水果!$B475)&lt;$N$2,N(对接源_01水果!$B475)&gt;$N$3),0,1))</f>
        <v>1</v>
      </c>
      <c r="P475">
        <f>IF(AND($K475=1,AND(对接源_01水果!$X475="公司筐",N(对接源_01水果!$T475)&lt;&gt;0)),1,0)</f>
        <v>0</v>
      </c>
      <c r="Q475">
        <f>N(Q474)+$P475</f>
        <v>0</v>
      </c>
      <c r="R475">
        <f>IF(AND($K475=1,AND(对接源_01水果!$X475="公司筐",N(对接源_01水果!$U475)&lt;&gt;0)),1,0)</f>
        <v>0</v>
      </c>
      <c r="S475">
        <f>N(S474)+$R475</f>
        <v>0</v>
      </c>
      <c r="T475">
        <f>IF(AND($K475=1,AND(对接源_01水果!$X475="公司筐",N(对接源_01水果!$V475)&lt;&gt;0)),1,0)</f>
        <v>0</v>
      </c>
      <c r="U475">
        <f>N(U474)+$T475</f>
        <v>47</v>
      </c>
      <c r="V475">
        <f>IF(AND($L475=1,AND(对接源_01水果!$X475="自备筐",N(对接源_01水果!$V475)&lt;&gt;0)),1,0)</f>
        <v>0</v>
      </c>
      <c r="W475">
        <f>N(W474)+$V475</f>
        <v>11</v>
      </c>
      <c r="X475">
        <f>IF(AND($L475=1,AND(对接源_01水果!$X475="自备筐",N(对接源_01水果!$T475)&lt;&gt;0)),1,0)</f>
        <v>0</v>
      </c>
      <c r="Y475">
        <f>N(Y474)+$X475</f>
        <v>0</v>
      </c>
      <c r="Z475">
        <f>IF(AND($M475=1,对接源_01水果!$D475="原料入库"),1,0)</f>
        <v>0</v>
      </c>
      <c r="AA475">
        <f>N(AA474)+$Z475</f>
        <v>24</v>
      </c>
      <c r="AB475">
        <f>IF(AND($M475=1,LEFT(对接源_01水果!$D475,4)="原料出库"),1,0)</f>
        <v>0</v>
      </c>
      <c r="AC475">
        <f>N(AC474)+$AB475</f>
        <v>0</v>
      </c>
      <c r="AD475">
        <f>IF(AND($M475=1,LEFT(对接源_01水果!$D475,4)="成品出库"),1,0)</f>
        <v>0</v>
      </c>
      <c r="AE475">
        <f>N(AE474)+$AD475</f>
        <v>0</v>
      </c>
      <c r="AF475">
        <f>IF(AND($N475=1,AND(LEFT(对接源_01水果!$D475,4)="包装物料",N(对接源_01水果!$K475)&lt;&gt;0)),1,0)</f>
        <v>0</v>
      </c>
      <c r="AG475">
        <f>N(AG474)+$AF475</f>
        <v>0</v>
      </c>
      <c r="AH475">
        <f>IF(AND($N475=1,AND(对接源_01水果!$D475="周转筐－销售出库",N(对接源_01水果!$K475)&lt;&gt;0)),1,0)</f>
        <v>0</v>
      </c>
      <c r="AI475">
        <f>N(AI474)+$AH475</f>
        <v>0</v>
      </c>
      <c r="AJ475" s="7" t="n"/>
      <c r="AL475">
        <f>IF(OR($AL$1="",对接源_01水果!$Y475="",对接源_01水果!$Y475&lt;&gt;$AL$1,对接源_01水果!$B475="",N(对接源_01水果!$AJ475)&lt;=0),0,IF(OR(N(对接源_01水果!$B475)&lt;$AL$2,N(对接源_01水果!$B475)&gt;$AL$3),0,1))</f>
        <v>0</v>
      </c>
      <c r="AM475">
        <f>N(AM474)+$AL475</f>
        <v>0</v>
      </c>
      <c r="AN475">
        <f>IF(对接源_01水果!$AC475="","",对接源_01水果!$AC475)</f>
      </c>
      <c r="AO475">
        <f>IF(AN475="",0,IF(MATCH(AN475,$AN$4:$AN$1203,0)=ROW()-3,1,0))</f>
        <v>0</v>
      </c>
      <c r="AP475">
        <f>N(AP474)+$AO475</f>
        <v>0</v>
      </c>
      <c r="AR475">
        <f>IF(OR($AF475=1,$AH475=1),1,0)</f>
        <v>0</v>
      </c>
      <c r="AS475">
        <f>N(AS474)+$AR475</f>
        <v>0</v>
      </c>
    </row>
    <row r="476" ht="14.25" customHeight="1" s="127">
      <c r="A476" t="str">
        <f>IF(对接源_01水果!$C476="","",对接源_01水果!$C476)</f>
        <v>吐尔地</v>
      </c>
      <c r="B476">
        <f>IF(A476="",0,IF(MATCH(A476,$A$4:$A$2403,0)=ROW()-3,1,0))</f>
        <v>0</v>
      </c>
      <c r="C476">
        <f>N(C475)+B476</f>
        <v>22</v>
      </c>
      <c r="K476">
        <f>IF(OR($K$1="",对接源_01水果!$C476="",对接源_01水果!$C476&lt;&gt;$K$1,对接源_01水果!$B476=""),0,IF(OR(N(对接源_01水果!$B476)&lt;$K$2,N(对接源_01水果!$B476)&gt;$K$3),0,1))</f>
        <v>0</v>
      </c>
      <c r="L476">
        <f>IF(OR($L$1="",对接源_01水果!$C476="",对接源_01水果!$C476&lt;&gt;$L$1,对接源_01水果!$B476=""),0,IF(OR(N(对接源_01水果!$B476)&lt;$L$2,N(对接源_01水果!$B476)&gt;$L$3),0,1))</f>
        <v>0</v>
      </c>
      <c r="M476">
        <f>IF(OR($M$1="",对接源_01水果!$C476="",对接源_01水果!$C476&lt;&gt;$M$1,对接源_01水果!$B476=""),0,IF(OR(N(对接源_01水果!$B476)&lt;$M$2,N(对接源_01水果!$B476)&gt;$M$3),0,1))</f>
        <v>0</v>
      </c>
      <c r="N476">
        <f>IF(OR($N$1="",对接源_01水果!$C476="",对接源_01水果!$C476&lt;&gt;$N$1,对接源_01水果!$B476=""),0,IF(OR(N(对接源_01水果!$B476)&lt;$N$2,N(对接源_01水果!$B476)&gt;$N$3),0,1))</f>
        <v>0</v>
      </c>
      <c r="P476">
        <f>IF(AND($K476=1,AND(对接源_01水果!$X476="公司筐",N(对接源_01水果!$T476)&lt;&gt;0)),1,0)</f>
        <v>0</v>
      </c>
      <c r="Q476">
        <f>N(Q475)+$P476</f>
        <v>0</v>
      </c>
      <c r="R476">
        <f>IF(AND($K476=1,AND(对接源_01水果!$X476="公司筐",N(对接源_01水果!$U476)&lt;&gt;0)),1,0)</f>
        <v>0</v>
      </c>
      <c r="S476">
        <f>N(S475)+$R476</f>
        <v>0</v>
      </c>
      <c r="T476">
        <f>IF(AND($K476=1,AND(对接源_01水果!$X476="公司筐",N(对接源_01水果!$V476)&lt;&gt;0)),1,0)</f>
        <v>0</v>
      </c>
      <c r="U476">
        <f>N(U475)+$T476</f>
        <v>47</v>
      </c>
      <c r="V476">
        <f>IF(AND($L476=1,AND(对接源_01水果!$X476="自备筐",N(对接源_01水果!$V476)&lt;&gt;0)),1,0)</f>
        <v>0</v>
      </c>
      <c r="W476">
        <f>N(W475)+$V476</f>
        <v>11</v>
      </c>
      <c r="X476">
        <f>IF(AND($L476=1,AND(对接源_01水果!$X476="自备筐",N(对接源_01水果!$T476)&lt;&gt;0)),1,0)</f>
        <v>0</v>
      </c>
      <c r="Y476">
        <f>N(Y475)+$X476</f>
        <v>0</v>
      </c>
      <c r="Z476">
        <f>IF(AND($M476=1,对接源_01水果!$D476="原料入库"),1,0)</f>
        <v>0</v>
      </c>
      <c r="AA476">
        <f>N(AA475)+$Z476</f>
        <v>24</v>
      </c>
      <c r="AB476">
        <f>IF(AND($M476=1,LEFT(对接源_01水果!$D476,4)="原料出库"),1,0)</f>
        <v>0</v>
      </c>
      <c r="AC476">
        <f>N(AC475)+$AB476</f>
        <v>0</v>
      </c>
      <c r="AD476">
        <f>IF(AND($M476=1,LEFT(对接源_01水果!$D476,4)="成品出库"),1,0)</f>
        <v>0</v>
      </c>
      <c r="AE476">
        <f>N(AE475)+$AD476</f>
        <v>0</v>
      </c>
      <c r="AF476">
        <f>IF(AND($N476=1,AND(LEFT(对接源_01水果!$D476,4)="包装物料",N(对接源_01水果!$K476)&lt;&gt;0)),1,0)</f>
        <v>0</v>
      </c>
      <c r="AG476">
        <f>N(AG475)+$AF476</f>
        <v>0</v>
      </c>
      <c r="AH476">
        <f>IF(AND($N476=1,AND(对接源_01水果!$D476="周转筐－销售出库",N(对接源_01水果!$K476)&lt;&gt;0)),1,0)</f>
        <v>0</v>
      </c>
      <c r="AI476">
        <f>N(AI475)+$AH476</f>
        <v>0</v>
      </c>
      <c r="AJ476" s="7" t="n"/>
      <c r="AL476">
        <f>IF(OR($AL$1="",对接源_01水果!$Y476="",对接源_01水果!$Y476&lt;&gt;$AL$1,对接源_01水果!$B476="",N(对接源_01水果!$AJ476)&lt;=0),0,IF(OR(N(对接源_01水果!$B476)&lt;$AL$2,N(对接源_01水果!$B476)&gt;$AL$3),0,1))</f>
        <v>0</v>
      </c>
      <c r="AM476">
        <f>N(AM475)+$AL476</f>
        <v>0</v>
      </c>
      <c r="AN476">
        <f>IF(对接源_01水果!$AC476="","",对接源_01水果!$AC476)</f>
      </c>
      <c r="AO476">
        <f>IF(AN476="",0,IF(MATCH(AN476,$AN$4:$AN$1203,0)=ROW()-3,1,0))</f>
        <v>0</v>
      </c>
      <c r="AP476">
        <f>N(AP475)+$AO476</f>
        <v>0</v>
      </c>
      <c r="AR476">
        <f>IF(OR($AF476=1,$AH476=1),1,0)</f>
        <v>0</v>
      </c>
      <c r="AS476">
        <f>N(AS475)+$AR476</f>
        <v>0</v>
      </c>
    </row>
    <row r="477" ht="14.25" customHeight="1" s="127">
      <c r="A477" t="str">
        <f>IF(对接源_01水果!$C477="","",对接源_01水果!$C477)</f>
        <v>吐尔地</v>
      </c>
      <c r="B477">
        <f>IF(A477="",0,IF(MATCH(A477,$A$4:$A$2403,0)=ROW()-3,1,0))</f>
        <v>0</v>
      </c>
      <c r="C477">
        <f>N(C476)+B477</f>
        <v>22</v>
      </c>
      <c r="K477">
        <f>IF(OR($K$1="",对接源_01水果!$C477="",对接源_01水果!$C477&lt;&gt;$K$1,对接源_01水果!$B477=""),0,IF(OR(N(对接源_01水果!$B477)&lt;$K$2,N(对接源_01水果!$B477)&gt;$K$3),0,1))</f>
        <v>0</v>
      </c>
      <c r="L477">
        <f>IF(OR($L$1="",对接源_01水果!$C477="",对接源_01水果!$C477&lt;&gt;$L$1,对接源_01水果!$B477=""),0,IF(OR(N(对接源_01水果!$B477)&lt;$L$2,N(对接源_01水果!$B477)&gt;$L$3),0,1))</f>
        <v>0</v>
      </c>
      <c r="M477">
        <f>IF(OR($M$1="",对接源_01水果!$C477="",对接源_01水果!$C477&lt;&gt;$M$1,对接源_01水果!$B477=""),0,IF(OR(N(对接源_01水果!$B477)&lt;$M$2,N(对接源_01水果!$B477)&gt;$M$3),0,1))</f>
        <v>0</v>
      </c>
      <c r="N477">
        <f>IF(OR($N$1="",对接源_01水果!$C477="",对接源_01水果!$C477&lt;&gt;$N$1,对接源_01水果!$B477=""),0,IF(OR(N(对接源_01水果!$B477)&lt;$N$2,N(对接源_01水果!$B477)&gt;$N$3),0,1))</f>
        <v>0</v>
      </c>
      <c r="P477">
        <f>IF(AND($K477=1,AND(对接源_01水果!$X477="公司筐",N(对接源_01水果!$T477)&lt;&gt;0)),1,0)</f>
        <v>0</v>
      </c>
      <c r="Q477">
        <f>N(Q476)+$P477</f>
        <v>0</v>
      </c>
      <c r="R477">
        <f>IF(AND($K477=1,AND(对接源_01水果!$X477="公司筐",N(对接源_01水果!$U477)&lt;&gt;0)),1,0)</f>
        <v>0</v>
      </c>
      <c r="S477">
        <f>N(S476)+$R477</f>
        <v>0</v>
      </c>
      <c r="T477">
        <f>IF(AND($K477=1,AND(对接源_01水果!$X477="公司筐",N(对接源_01水果!$V477)&lt;&gt;0)),1,0)</f>
        <v>0</v>
      </c>
      <c r="U477">
        <f>N(U476)+$T477</f>
        <v>47</v>
      </c>
      <c r="V477">
        <f>IF(AND($L477=1,AND(对接源_01水果!$X477="自备筐",N(对接源_01水果!$V477)&lt;&gt;0)),1,0)</f>
        <v>0</v>
      </c>
      <c r="W477">
        <f>N(W476)+$V477</f>
        <v>11</v>
      </c>
      <c r="X477">
        <f>IF(AND($L477=1,AND(对接源_01水果!$X477="自备筐",N(对接源_01水果!$T477)&lt;&gt;0)),1,0)</f>
        <v>0</v>
      </c>
      <c r="Y477">
        <f>N(Y476)+$X477</f>
        <v>0</v>
      </c>
      <c r="Z477">
        <f>IF(AND($M477=1,对接源_01水果!$D477="原料入库"),1,0)</f>
        <v>0</v>
      </c>
      <c r="AA477">
        <f>N(AA476)+$Z477</f>
        <v>24</v>
      </c>
      <c r="AB477">
        <f>IF(AND($M477=1,LEFT(对接源_01水果!$D477,4)="原料出库"),1,0)</f>
        <v>0</v>
      </c>
      <c r="AC477">
        <f>N(AC476)+$AB477</f>
        <v>0</v>
      </c>
      <c r="AD477">
        <f>IF(AND($M477=1,LEFT(对接源_01水果!$D477,4)="成品出库"),1,0)</f>
        <v>0</v>
      </c>
      <c r="AE477">
        <f>N(AE476)+$AD477</f>
        <v>0</v>
      </c>
      <c r="AF477">
        <f>IF(AND($N477=1,AND(LEFT(对接源_01水果!$D477,4)="包装物料",N(对接源_01水果!$K477)&lt;&gt;0)),1,0)</f>
        <v>0</v>
      </c>
      <c r="AG477">
        <f>N(AG476)+$AF477</f>
        <v>0</v>
      </c>
      <c r="AH477">
        <f>IF(AND($N477=1,AND(对接源_01水果!$D477="周转筐－销售出库",N(对接源_01水果!$K477)&lt;&gt;0)),1,0)</f>
        <v>0</v>
      </c>
      <c r="AI477">
        <f>N(AI476)+$AH477</f>
        <v>0</v>
      </c>
      <c r="AJ477" s="7" t="n"/>
      <c r="AL477">
        <f>IF(OR($AL$1="",对接源_01水果!$Y477="",对接源_01水果!$Y477&lt;&gt;$AL$1,对接源_01水果!$B477="",N(对接源_01水果!$AJ477)&lt;=0),0,IF(OR(N(对接源_01水果!$B477)&lt;$AL$2,N(对接源_01水果!$B477)&gt;$AL$3),0,1))</f>
        <v>0</v>
      </c>
      <c r="AM477">
        <f>N(AM476)+$AL477</f>
        <v>0</v>
      </c>
      <c r="AN477">
        <f>IF(对接源_01水果!$AC477="","",对接源_01水果!$AC477)</f>
      </c>
      <c r="AO477">
        <f>IF(AN477="",0,IF(MATCH(AN477,$AN$4:$AN$1203,0)=ROW()-3,1,0))</f>
        <v>0</v>
      </c>
      <c r="AP477">
        <f>N(AP476)+$AO477</f>
        <v>0</v>
      </c>
      <c r="AR477">
        <f>IF(OR($AF477=1,$AH477=1),1,0)</f>
        <v>0</v>
      </c>
      <c r="AS477">
        <f>N(AS476)+$AR477</f>
        <v>0</v>
      </c>
    </row>
    <row r="478" ht="14.25" customHeight="1" s="127">
      <c r="A478" t="str">
        <f>IF(对接源_01水果!$C478="","",对接源_01水果!$C478)</f>
        <v>吐尔地</v>
      </c>
      <c r="B478">
        <f>IF(A478="",0,IF(MATCH(A478,$A$4:$A$2403,0)=ROW()-3,1,0))</f>
        <v>0</v>
      </c>
      <c r="C478">
        <f>N(C477)+B478</f>
        <v>22</v>
      </c>
      <c r="K478">
        <f>IF(OR($K$1="",对接源_01水果!$C478="",对接源_01水果!$C478&lt;&gt;$K$1,对接源_01水果!$B478=""),0,IF(OR(N(对接源_01水果!$B478)&lt;$K$2,N(对接源_01水果!$B478)&gt;$K$3),0,1))</f>
        <v>0</v>
      </c>
      <c r="L478">
        <f>IF(OR($L$1="",对接源_01水果!$C478="",对接源_01水果!$C478&lt;&gt;$L$1,对接源_01水果!$B478=""),0,IF(OR(N(对接源_01水果!$B478)&lt;$L$2,N(对接源_01水果!$B478)&gt;$L$3),0,1))</f>
        <v>0</v>
      </c>
      <c r="M478">
        <f>IF(OR($M$1="",对接源_01水果!$C478="",对接源_01水果!$C478&lt;&gt;$M$1,对接源_01水果!$B478=""),0,IF(OR(N(对接源_01水果!$B478)&lt;$M$2,N(对接源_01水果!$B478)&gt;$M$3),0,1))</f>
        <v>0</v>
      </c>
      <c r="N478">
        <f>IF(OR($N$1="",对接源_01水果!$C478="",对接源_01水果!$C478&lt;&gt;$N$1,对接源_01水果!$B478=""),0,IF(OR(N(对接源_01水果!$B478)&lt;$N$2,N(对接源_01水果!$B478)&gt;$N$3),0,1))</f>
        <v>0</v>
      </c>
      <c r="P478">
        <f>IF(AND($K478=1,AND(对接源_01水果!$X478="公司筐",N(对接源_01水果!$T478)&lt;&gt;0)),1,0)</f>
        <v>0</v>
      </c>
      <c r="Q478">
        <f>N(Q477)+$P478</f>
        <v>0</v>
      </c>
      <c r="R478">
        <f>IF(AND($K478=1,AND(对接源_01水果!$X478="公司筐",N(对接源_01水果!$U478)&lt;&gt;0)),1,0)</f>
        <v>0</v>
      </c>
      <c r="S478">
        <f>N(S477)+$R478</f>
        <v>0</v>
      </c>
      <c r="T478">
        <f>IF(AND($K478=1,AND(对接源_01水果!$X478="公司筐",N(对接源_01水果!$V478)&lt;&gt;0)),1,0)</f>
        <v>0</v>
      </c>
      <c r="U478">
        <f>N(U477)+$T478</f>
        <v>47</v>
      </c>
      <c r="V478">
        <f>IF(AND($L478=1,AND(对接源_01水果!$X478="自备筐",N(对接源_01水果!$V478)&lt;&gt;0)),1,0)</f>
        <v>0</v>
      </c>
      <c r="W478">
        <f>N(W477)+$V478</f>
        <v>11</v>
      </c>
      <c r="X478">
        <f>IF(AND($L478=1,AND(对接源_01水果!$X478="自备筐",N(对接源_01水果!$T478)&lt;&gt;0)),1,0)</f>
        <v>0</v>
      </c>
      <c r="Y478">
        <f>N(Y477)+$X478</f>
        <v>0</v>
      </c>
      <c r="Z478">
        <f>IF(AND($M478=1,对接源_01水果!$D478="原料入库"),1,0)</f>
        <v>0</v>
      </c>
      <c r="AA478">
        <f>N(AA477)+$Z478</f>
        <v>24</v>
      </c>
      <c r="AB478">
        <f>IF(AND($M478=1,LEFT(对接源_01水果!$D478,4)="原料出库"),1,0)</f>
        <v>0</v>
      </c>
      <c r="AC478">
        <f>N(AC477)+$AB478</f>
        <v>0</v>
      </c>
      <c r="AD478">
        <f>IF(AND($M478=1,LEFT(对接源_01水果!$D478,4)="成品出库"),1,0)</f>
        <v>0</v>
      </c>
      <c r="AE478">
        <f>N(AE477)+$AD478</f>
        <v>0</v>
      </c>
      <c r="AF478">
        <f>IF(AND($N478=1,AND(LEFT(对接源_01水果!$D478,4)="包装物料",N(对接源_01水果!$K478)&lt;&gt;0)),1,0)</f>
        <v>0</v>
      </c>
      <c r="AG478">
        <f>N(AG477)+$AF478</f>
        <v>0</v>
      </c>
      <c r="AH478">
        <f>IF(AND($N478=1,AND(对接源_01水果!$D478="周转筐－销售出库",N(对接源_01水果!$K478)&lt;&gt;0)),1,0)</f>
        <v>0</v>
      </c>
      <c r="AI478">
        <f>N(AI477)+$AH478</f>
        <v>0</v>
      </c>
      <c r="AJ478" s="7" t="n"/>
      <c r="AL478">
        <f>IF(OR($AL$1="",对接源_01水果!$Y478="",对接源_01水果!$Y478&lt;&gt;$AL$1,对接源_01水果!$B478="",N(对接源_01水果!$AJ478)&lt;=0),0,IF(OR(N(对接源_01水果!$B478)&lt;$AL$2,N(对接源_01水果!$B478)&gt;$AL$3),0,1))</f>
        <v>0</v>
      </c>
      <c r="AM478">
        <f>N(AM477)+$AL478</f>
        <v>0</v>
      </c>
      <c r="AN478">
        <f>IF(对接源_01水果!$AC478="","",对接源_01水果!$AC478)</f>
      </c>
      <c r="AO478">
        <f>IF(AN478="",0,IF(MATCH(AN478,$AN$4:$AN$1203,0)=ROW()-3,1,0))</f>
        <v>0</v>
      </c>
      <c r="AP478">
        <f>N(AP477)+$AO478</f>
        <v>0</v>
      </c>
      <c r="AR478">
        <f>IF(OR($AF478=1,$AH478=1),1,0)</f>
        <v>0</v>
      </c>
      <c r="AS478">
        <f>N(AS477)+$AR478</f>
        <v>0</v>
      </c>
    </row>
    <row r="479" ht="14.25" customHeight="1" s="127">
      <c r="A479" t="str">
        <f>IF(对接源_01水果!$C479="","",对接源_01水果!$C479)</f>
        <v>王照雪</v>
      </c>
      <c r="B479">
        <f>IF(A479="",0,IF(MATCH(A479,$A$4:$A$2403,0)=ROW()-3,1,0))</f>
        <v>0</v>
      </c>
      <c r="C479">
        <f>N(C478)+B479</f>
        <v>22</v>
      </c>
      <c r="K479">
        <f>IF(OR($K$1="",对接源_01水果!$C479="",对接源_01水果!$C479&lt;&gt;$K$1,对接源_01水果!$B479=""),0,IF(OR(N(对接源_01水果!$B479)&lt;$K$2,N(对接源_01水果!$B479)&gt;$K$3),0,1))</f>
        <v>0</v>
      </c>
      <c r="L479">
        <f>IF(OR($L$1="",对接源_01水果!$C479="",对接源_01水果!$C479&lt;&gt;$L$1,对接源_01水果!$B479=""),0,IF(OR(N(对接源_01水果!$B479)&lt;$L$2,N(对接源_01水果!$B479)&gt;$L$3),0,1))</f>
        <v>0</v>
      </c>
      <c r="M479">
        <f>IF(OR($M$1="",对接源_01水果!$C479="",对接源_01水果!$C479&lt;&gt;$M$1,对接源_01水果!$B479=""),0,IF(OR(N(对接源_01水果!$B479)&lt;$M$2,N(对接源_01水果!$B479)&gt;$M$3),0,1))</f>
        <v>0</v>
      </c>
      <c r="N479">
        <f>IF(OR($N$1="",对接源_01水果!$C479="",对接源_01水果!$C479&lt;&gt;$N$1,对接源_01水果!$B479=""),0,IF(OR(N(对接源_01水果!$B479)&lt;$N$2,N(对接源_01水果!$B479)&gt;$N$3),0,1))</f>
        <v>0</v>
      </c>
      <c r="P479">
        <f>IF(AND($K479=1,AND(对接源_01水果!$X479="公司筐",N(对接源_01水果!$T479)&lt;&gt;0)),1,0)</f>
        <v>0</v>
      </c>
      <c r="Q479">
        <f>N(Q478)+$P479</f>
        <v>0</v>
      </c>
      <c r="R479">
        <f>IF(AND($K479=1,AND(对接源_01水果!$X479="公司筐",N(对接源_01水果!$U479)&lt;&gt;0)),1,0)</f>
        <v>0</v>
      </c>
      <c r="S479">
        <f>N(S478)+$R479</f>
        <v>0</v>
      </c>
      <c r="T479">
        <f>IF(AND($K479=1,AND(对接源_01水果!$X479="公司筐",N(对接源_01水果!$V479)&lt;&gt;0)),1,0)</f>
        <v>0</v>
      </c>
      <c r="U479">
        <f>N(U478)+$T479</f>
        <v>47</v>
      </c>
      <c r="V479">
        <f>IF(AND($L479=1,AND(对接源_01水果!$X479="自备筐",N(对接源_01水果!$V479)&lt;&gt;0)),1,0)</f>
        <v>0</v>
      </c>
      <c r="W479">
        <f>N(W478)+$V479</f>
        <v>11</v>
      </c>
      <c r="X479">
        <f>IF(AND($L479=1,AND(对接源_01水果!$X479="自备筐",N(对接源_01水果!$T479)&lt;&gt;0)),1,0)</f>
        <v>0</v>
      </c>
      <c r="Y479">
        <f>N(Y478)+$X479</f>
        <v>0</v>
      </c>
      <c r="Z479">
        <f>IF(AND($M479=1,对接源_01水果!$D479="原料入库"),1,0)</f>
        <v>0</v>
      </c>
      <c r="AA479">
        <f>N(AA478)+$Z479</f>
        <v>24</v>
      </c>
      <c r="AB479">
        <f>IF(AND($M479=1,LEFT(对接源_01水果!$D479,4)="原料出库"),1,0)</f>
        <v>0</v>
      </c>
      <c r="AC479">
        <f>N(AC478)+$AB479</f>
        <v>0</v>
      </c>
      <c r="AD479">
        <f>IF(AND($M479=1,LEFT(对接源_01水果!$D479,4)="成品出库"),1,0)</f>
        <v>0</v>
      </c>
      <c r="AE479">
        <f>N(AE478)+$AD479</f>
        <v>0</v>
      </c>
      <c r="AF479">
        <f>IF(AND($N479=1,AND(LEFT(对接源_01水果!$D479,4)="包装物料",N(对接源_01水果!$K479)&lt;&gt;0)),1,0)</f>
        <v>0</v>
      </c>
      <c r="AG479">
        <f>N(AG478)+$AF479</f>
        <v>0</v>
      </c>
      <c r="AH479">
        <f>IF(AND($N479=1,AND(对接源_01水果!$D479="周转筐－销售出库",N(对接源_01水果!$K479)&lt;&gt;0)),1,0)</f>
        <v>0</v>
      </c>
      <c r="AI479">
        <f>N(AI478)+$AH479</f>
        <v>0</v>
      </c>
      <c r="AJ479" s="7" t="n"/>
      <c r="AL479">
        <f>IF(OR($AL$1="",对接源_01水果!$Y479="",对接源_01水果!$Y479&lt;&gt;$AL$1,对接源_01水果!$B479="",N(对接源_01水果!$AJ479)&lt;=0),0,IF(OR(N(对接源_01水果!$B479)&lt;$AL$2,N(对接源_01水果!$B479)&gt;$AL$3),0,1))</f>
        <v>0</v>
      </c>
      <c r="AM479">
        <f>N(AM478)+$AL479</f>
        <v>0</v>
      </c>
      <c r="AN479">
        <f>IF(对接源_01水果!$AC479="","",对接源_01水果!$AC479)</f>
      </c>
      <c r="AO479">
        <f>IF(AN479="",0,IF(MATCH(AN479,$AN$4:$AN$1203,0)=ROW()-3,1,0))</f>
        <v>0</v>
      </c>
      <c r="AP479">
        <f>N(AP478)+$AO479</f>
        <v>0</v>
      </c>
      <c r="AR479">
        <f>IF(OR($AF479=1,$AH479=1),1,0)</f>
        <v>0</v>
      </c>
      <c r="AS479">
        <f>N(AS478)+$AR479</f>
        <v>0</v>
      </c>
    </row>
    <row r="480" ht="14.25" customHeight="1" s="127">
      <c r="A480" t="str">
        <f>IF(对接源_01水果!$C480="","",对接源_01水果!$C480)</f>
        <v>王照雪</v>
      </c>
      <c r="B480">
        <f>IF(A480="",0,IF(MATCH(A480,$A$4:$A$2403,0)=ROW()-3,1,0))</f>
        <v>0</v>
      </c>
      <c r="C480">
        <f>N(C479)+B480</f>
        <v>22</v>
      </c>
      <c r="K480">
        <f>IF(OR($K$1="",对接源_01水果!$C480="",对接源_01水果!$C480&lt;&gt;$K$1,对接源_01水果!$B480=""),0,IF(OR(N(对接源_01水果!$B480)&lt;$K$2,N(对接源_01水果!$B480)&gt;$K$3),0,1))</f>
        <v>0</v>
      </c>
      <c r="L480">
        <f>IF(OR($L$1="",对接源_01水果!$C480="",对接源_01水果!$C480&lt;&gt;$L$1,对接源_01水果!$B480=""),0,IF(OR(N(对接源_01水果!$B480)&lt;$L$2,N(对接源_01水果!$B480)&gt;$L$3),0,1))</f>
        <v>0</v>
      </c>
      <c r="M480">
        <f>IF(OR($M$1="",对接源_01水果!$C480="",对接源_01水果!$C480&lt;&gt;$M$1,对接源_01水果!$B480=""),0,IF(OR(N(对接源_01水果!$B480)&lt;$M$2,N(对接源_01水果!$B480)&gt;$M$3),0,1))</f>
        <v>0</v>
      </c>
      <c r="N480">
        <f>IF(OR($N$1="",对接源_01水果!$C480="",对接源_01水果!$C480&lt;&gt;$N$1,对接源_01水果!$B480=""),0,IF(OR(N(对接源_01水果!$B480)&lt;$N$2,N(对接源_01水果!$B480)&gt;$N$3),0,1))</f>
        <v>0</v>
      </c>
      <c r="P480">
        <f>IF(AND($K480=1,AND(对接源_01水果!$X480="公司筐",N(对接源_01水果!$T480)&lt;&gt;0)),1,0)</f>
        <v>0</v>
      </c>
      <c r="Q480">
        <f>N(Q479)+$P480</f>
        <v>0</v>
      </c>
      <c r="R480">
        <f>IF(AND($K480=1,AND(对接源_01水果!$X480="公司筐",N(对接源_01水果!$U480)&lt;&gt;0)),1,0)</f>
        <v>0</v>
      </c>
      <c r="S480">
        <f>N(S479)+$R480</f>
        <v>0</v>
      </c>
      <c r="T480">
        <f>IF(AND($K480=1,AND(对接源_01水果!$X480="公司筐",N(对接源_01水果!$V480)&lt;&gt;0)),1,0)</f>
        <v>0</v>
      </c>
      <c r="U480">
        <f>N(U479)+$T480</f>
        <v>47</v>
      </c>
      <c r="V480">
        <f>IF(AND($L480=1,AND(对接源_01水果!$X480="自备筐",N(对接源_01水果!$V480)&lt;&gt;0)),1,0)</f>
        <v>0</v>
      </c>
      <c r="W480">
        <f>N(W479)+$V480</f>
        <v>11</v>
      </c>
      <c r="X480">
        <f>IF(AND($L480=1,AND(对接源_01水果!$X480="自备筐",N(对接源_01水果!$T480)&lt;&gt;0)),1,0)</f>
        <v>0</v>
      </c>
      <c r="Y480">
        <f>N(Y479)+$X480</f>
        <v>0</v>
      </c>
      <c r="Z480">
        <f>IF(AND($M480=1,对接源_01水果!$D480="原料入库"),1,0)</f>
        <v>0</v>
      </c>
      <c r="AA480">
        <f>N(AA479)+$Z480</f>
        <v>24</v>
      </c>
      <c r="AB480">
        <f>IF(AND($M480=1,LEFT(对接源_01水果!$D480,4)="原料出库"),1,0)</f>
        <v>0</v>
      </c>
      <c r="AC480">
        <f>N(AC479)+$AB480</f>
        <v>0</v>
      </c>
      <c r="AD480">
        <f>IF(AND($M480=1,LEFT(对接源_01水果!$D480,4)="成品出库"),1,0)</f>
        <v>0</v>
      </c>
      <c r="AE480">
        <f>N(AE479)+$AD480</f>
        <v>0</v>
      </c>
      <c r="AF480">
        <f>IF(AND($N480=1,AND(LEFT(对接源_01水果!$D480,4)="包装物料",N(对接源_01水果!$K480)&lt;&gt;0)),1,0)</f>
        <v>0</v>
      </c>
      <c r="AG480">
        <f>N(AG479)+$AF480</f>
        <v>0</v>
      </c>
      <c r="AH480">
        <f>IF(AND($N480=1,AND(对接源_01水果!$D480="周转筐－销售出库",N(对接源_01水果!$K480)&lt;&gt;0)),1,0)</f>
        <v>0</v>
      </c>
      <c r="AI480">
        <f>N(AI479)+$AH480</f>
        <v>0</v>
      </c>
      <c r="AJ480" s="7" t="n"/>
      <c r="AL480">
        <f>IF(OR($AL$1="",对接源_01水果!$Y480="",对接源_01水果!$Y480&lt;&gt;$AL$1,对接源_01水果!$B480="",N(对接源_01水果!$AJ480)&lt;=0),0,IF(OR(N(对接源_01水果!$B480)&lt;$AL$2,N(对接源_01水果!$B480)&gt;$AL$3),0,1))</f>
        <v>0</v>
      </c>
      <c r="AM480">
        <f>N(AM479)+$AL480</f>
        <v>0</v>
      </c>
      <c r="AN480">
        <f>IF(对接源_01水果!$AC480="","",对接源_01水果!$AC480)</f>
      </c>
      <c r="AO480">
        <f>IF(AN480="",0,IF(MATCH(AN480,$AN$4:$AN$1203,0)=ROW()-3,1,0))</f>
        <v>0</v>
      </c>
      <c r="AP480">
        <f>N(AP479)+$AO480</f>
        <v>0</v>
      </c>
      <c r="AR480">
        <f>IF(OR($AF480=1,$AH480=1),1,0)</f>
        <v>0</v>
      </c>
      <c r="AS480">
        <f>N(AS479)+$AR480</f>
        <v>0</v>
      </c>
    </row>
    <row r="481" ht="14.25" customHeight="1" s="127">
      <c r="A481" t="str">
        <f>IF(对接源_01水果!$C481="","",对接源_01水果!$C481)</f>
        <v>伍元虎</v>
      </c>
      <c r="B481">
        <f>IF(A481="",0,IF(MATCH(A481,$A$4:$A$2403,0)=ROW()-3,1,0))</f>
        <v>0</v>
      </c>
      <c r="C481">
        <f>N(C480)+B481</f>
        <v>22</v>
      </c>
      <c r="K481">
        <f>IF(OR($K$1="",对接源_01水果!$C481="",对接源_01水果!$C481&lt;&gt;$K$1,对接源_01水果!$B481=""),0,IF(OR(N(对接源_01水果!$B481)&lt;$K$2,N(对接源_01水果!$B481)&gt;$K$3),0,1))</f>
        <v>0</v>
      </c>
      <c r="L481">
        <f>IF(OR($L$1="",对接源_01水果!$C481="",对接源_01水果!$C481&lt;&gt;$L$1,对接源_01水果!$B481=""),0,IF(OR(N(对接源_01水果!$B481)&lt;$L$2,N(对接源_01水果!$B481)&gt;$L$3),0,1))</f>
        <v>0</v>
      </c>
      <c r="M481">
        <f>IF(OR($M$1="",对接源_01水果!$C481="",对接源_01水果!$C481&lt;&gt;$M$1,对接源_01水果!$B481=""),0,IF(OR(N(对接源_01水果!$B481)&lt;$M$2,N(对接源_01水果!$B481)&gt;$M$3),0,1))</f>
        <v>0</v>
      </c>
      <c r="N481">
        <f>IF(OR($N$1="",对接源_01水果!$C481="",对接源_01水果!$C481&lt;&gt;$N$1,对接源_01水果!$B481=""),0,IF(OR(N(对接源_01水果!$B481)&lt;$N$2,N(对接源_01水果!$B481)&gt;$N$3),0,1))</f>
        <v>0</v>
      </c>
      <c r="P481">
        <f>IF(AND($K481=1,AND(对接源_01水果!$X481="公司筐",N(对接源_01水果!$T481)&lt;&gt;0)),1,0)</f>
        <v>0</v>
      </c>
      <c r="Q481">
        <f>N(Q480)+$P481</f>
        <v>0</v>
      </c>
      <c r="R481">
        <f>IF(AND($K481=1,AND(对接源_01水果!$X481="公司筐",N(对接源_01水果!$U481)&lt;&gt;0)),1,0)</f>
        <v>0</v>
      </c>
      <c r="S481">
        <f>N(S480)+$R481</f>
        <v>0</v>
      </c>
      <c r="T481">
        <f>IF(AND($K481=1,AND(对接源_01水果!$X481="公司筐",N(对接源_01水果!$V481)&lt;&gt;0)),1,0)</f>
        <v>0</v>
      </c>
      <c r="U481">
        <f>N(U480)+$T481</f>
        <v>47</v>
      </c>
      <c r="V481">
        <f>IF(AND($L481=1,AND(对接源_01水果!$X481="自备筐",N(对接源_01水果!$V481)&lt;&gt;0)),1,0)</f>
        <v>0</v>
      </c>
      <c r="W481">
        <f>N(W480)+$V481</f>
        <v>11</v>
      </c>
      <c r="X481">
        <f>IF(AND($L481=1,AND(对接源_01水果!$X481="自备筐",N(对接源_01水果!$T481)&lt;&gt;0)),1,0)</f>
        <v>0</v>
      </c>
      <c r="Y481">
        <f>N(Y480)+$X481</f>
        <v>0</v>
      </c>
      <c r="Z481">
        <f>IF(AND($M481=1,对接源_01水果!$D481="原料入库"),1,0)</f>
        <v>0</v>
      </c>
      <c r="AA481">
        <f>N(AA480)+$Z481</f>
        <v>24</v>
      </c>
      <c r="AB481">
        <f>IF(AND($M481=1,LEFT(对接源_01水果!$D481,4)="原料出库"),1,0)</f>
        <v>0</v>
      </c>
      <c r="AC481">
        <f>N(AC480)+$AB481</f>
        <v>0</v>
      </c>
      <c r="AD481">
        <f>IF(AND($M481=1,LEFT(对接源_01水果!$D481,4)="成品出库"),1,0)</f>
        <v>0</v>
      </c>
      <c r="AE481">
        <f>N(AE480)+$AD481</f>
        <v>0</v>
      </c>
      <c r="AF481">
        <f>IF(AND($N481=1,AND(LEFT(对接源_01水果!$D481,4)="包装物料",N(对接源_01水果!$K481)&lt;&gt;0)),1,0)</f>
        <v>0</v>
      </c>
      <c r="AG481">
        <f>N(AG480)+$AF481</f>
        <v>0</v>
      </c>
      <c r="AH481">
        <f>IF(AND($N481=1,AND(对接源_01水果!$D481="周转筐－销售出库",N(对接源_01水果!$K481)&lt;&gt;0)),1,0)</f>
        <v>0</v>
      </c>
      <c r="AI481">
        <f>N(AI480)+$AH481</f>
        <v>0</v>
      </c>
      <c r="AJ481" s="7" t="n"/>
      <c r="AL481">
        <f>IF(OR($AL$1="",对接源_01水果!$Y481="",对接源_01水果!$Y481&lt;&gt;$AL$1,对接源_01水果!$B481="",N(对接源_01水果!$AJ481)&lt;=0),0,IF(OR(N(对接源_01水果!$B481)&lt;$AL$2,N(对接源_01水果!$B481)&gt;$AL$3),0,1))</f>
        <v>0</v>
      </c>
      <c r="AM481">
        <f>N(AM480)+$AL481</f>
        <v>0</v>
      </c>
      <c r="AN481">
        <f>IF(对接源_01水果!$AC481="","",对接源_01水果!$AC481)</f>
      </c>
      <c r="AO481">
        <f>IF(AN481="",0,IF(MATCH(AN481,$AN$4:$AN$1203,0)=ROW()-3,1,0))</f>
        <v>0</v>
      </c>
      <c r="AP481">
        <f>N(AP480)+$AO481</f>
        <v>0</v>
      </c>
      <c r="AR481">
        <f>IF(OR($AF481=1,$AH481=1),1,0)</f>
        <v>0</v>
      </c>
      <c r="AS481">
        <f>N(AS480)+$AR481</f>
        <v>0</v>
      </c>
    </row>
    <row r="482" ht="14.25" customHeight="1" s="127">
      <c r="A482" t="str">
        <f>IF(对接源_01水果!$C482="","",对接源_01水果!$C482)</f>
        <v>聂新平</v>
      </c>
      <c r="B482">
        <f>IF(A482="",0,IF(MATCH(A482,$A$4:$A$2403,0)=ROW()-3,1,0))</f>
        <v>0</v>
      </c>
      <c r="C482">
        <f>N(C481)+B482</f>
        <v>22</v>
      </c>
      <c r="K482">
        <f>IF(OR($K$1="",对接源_01水果!$C482="",对接源_01水果!$C482&lt;&gt;$K$1,对接源_01水果!$B482=""),0,IF(OR(N(对接源_01水果!$B482)&lt;$K$2,N(对接源_01水果!$B482)&gt;$K$3),0,1))</f>
        <v>0</v>
      </c>
      <c r="L482">
        <f>IF(OR($L$1="",对接源_01水果!$C482="",对接源_01水果!$C482&lt;&gt;$L$1,对接源_01水果!$B482=""),0,IF(OR(N(对接源_01水果!$B482)&lt;$L$2,N(对接源_01水果!$B482)&gt;$L$3),0,1))</f>
        <v>0</v>
      </c>
      <c r="M482">
        <f>IF(OR($M$1="",对接源_01水果!$C482="",对接源_01水果!$C482&lt;&gt;$M$1,对接源_01水果!$B482=""),0,IF(OR(N(对接源_01水果!$B482)&lt;$M$2,N(对接源_01水果!$B482)&gt;$M$3),0,1))</f>
        <v>0</v>
      </c>
      <c r="N482">
        <f>IF(OR($N$1="",对接源_01水果!$C482="",对接源_01水果!$C482&lt;&gt;$N$1,对接源_01水果!$B482=""),0,IF(OR(N(对接源_01水果!$B482)&lt;$N$2,N(对接源_01水果!$B482)&gt;$N$3),0,1))</f>
        <v>0</v>
      </c>
      <c r="P482">
        <f>IF(AND($K482=1,AND(对接源_01水果!$X482="公司筐",N(对接源_01水果!$T482)&lt;&gt;0)),1,0)</f>
        <v>0</v>
      </c>
      <c r="Q482">
        <f>N(Q481)+$P482</f>
        <v>0</v>
      </c>
      <c r="R482">
        <f>IF(AND($K482=1,AND(对接源_01水果!$X482="公司筐",N(对接源_01水果!$U482)&lt;&gt;0)),1,0)</f>
        <v>0</v>
      </c>
      <c r="S482">
        <f>N(S481)+$R482</f>
        <v>0</v>
      </c>
      <c r="T482">
        <f>IF(AND($K482=1,AND(对接源_01水果!$X482="公司筐",N(对接源_01水果!$V482)&lt;&gt;0)),1,0)</f>
        <v>0</v>
      </c>
      <c r="U482">
        <f>N(U481)+$T482</f>
        <v>47</v>
      </c>
      <c r="V482">
        <f>IF(AND($L482=1,AND(对接源_01水果!$X482="自备筐",N(对接源_01水果!$V482)&lt;&gt;0)),1,0)</f>
        <v>0</v>
      </c>
      <c r="W482">
        <f>N(W481)+$V482</f>
        <v>11</v>
      </c>
      <c r="X482">
        <f>IF(AND($L482=1,AND(对接源_01水果!$X482="自备筐",N(对接源_01水果!$T482)&lt;&gt;0)),1,0)</f>
        <v>0</v>
      </c>
      <c r="Y482">
        <f>N(Y481)+$X482</f>
        <v>0</v>
      </c>
      <c r="Z482">
        <f>IF(AND($M482=1,对接源_01水果!$D482="原料入库"),1,0)</f>
        <v>0</v>
      </c>
      <c r="AA482">
        <f>N(AA481)+$Z482</f>
        <v>24</v>
      </c>
      <c r="AB482">
        <f>IF(AND($M482=1,LEFT(对接源_01水果!$D482,4)="原料出库"),1,0)</f>
        <v>0</v>
      </c>
      <c r="AC482">
        <f>N(AC481)+$AB482</f>
        <v>0</v>
      </c>
      <c r="AD482">
        <f>IF(AND($M482=1,LEFT(对接源_01水果!$D482,4)="成品出库"),1,0)</f>
        <v>0</v>
      </c>
      <c r="AE482">
        <f>N(AE481)+$AD482</f>
        <v>0</v>
      </c>
      <c r="AF482">
        <f>IF(AND($N482=1,AND(LEFT(对接源_01水果!$D482,4)="包装物料",N(对接源_01水果!$K482)&lt;&gt;0)),1,0)</f>
        <v>0</v>
      </c>
      <c r="AG482">
        <f>N(AG481)+$AF482</f>
        <v>0</v>
      </c>
      <c r="AH482">
        <f>IF(AND($N482=1,AND(对接源_01水果!$D482="周转筐－销售出库",N(对接源_01水果!$K482)&lt;&gt;0)),1,0)</f>
        <v>0</v>
      </c>
      <c r="AI482">
        <f>N(AI481)+$AH482</f>
        <v>0</v>
      </c>
      <c r="AJ482" s="7" t="n"/>
      <c r="AL482">
        <f>IF(OR($AL$1="",对接源_01水果!$Y482="",对接源_01水果!$Y482&lt;&gt;$AL$1,对接源_01水果!$B482="",N(对接源_01水果!$AJ482)&lt;=0),0,IF(OR(N(对接源_01水果!$B482)&lt;$AL$2,N(对接源_01水果!$B482)&gt;$AL$3),0,1))</f>
        <v>0</v>
      </c>
      <c r="AM482">
        <f>N(AM481)+$AL482</f>
        <v>0</v>
      </c>
      <c r="AN482">
        <f>IF(对接源_01水果!$AC482="","",对接源_01水果!$AC482)</f>
      </c>
      <c r="AO482">
        <f>IF(AN482="",0,IF(MATCH(AN482,$AN$4:$AN$1203,0)=ROW()-3,1,0))</f>
        <v>0</v>
      </c>
      <c r="AP482">
        <f>N(AP481)+$AO482</f>
        <v>0</v>
      </c>
      <c r="AR482">
        <f>IF(OR($AF482=1,$AH482=1),1,0)</f>
        <v>0</v>
      </c>
      <c r="AS482">
        <f>N(AS481)+$AR482</f>
        <v>0</v>
      </c>
    </row>
    <row r="483" ht="14.25" customHeight="1" s="127">
      <c r="A483" t="str">
        <f>IF(对接源_01水果!$C483="","",对接源_01水果!$C483)</f>
        <v>聂新平</v>
      </c>
      <c r="B483">
        <f>IF(A483="",0,IF(MATCH(A483,$A$4:$A$2403,0)=ROW()-3,1,0))</f>
        <v>0</v>
      </c>
      <c r="C483">
        <f>N(C482)+B483</f>
        <v>22</v>
      </c>
      <c r="K483">
        <f>IF(OR($K$1="",对接源_01水果!$C483="",对接源_01水果!$C483&lt;&gt;$K$1,对接源_01水果!$B483=""),0,IF(OR(N(对接源_01水果!$B483)&lt;$K$2,N(对接源_01水果!$B483)&gt;$K$3),0,1))</f>
        <v>0</v>
      </c>
      <c r="L483">
        <f>IF(OR($L$1="",对接源_01水果!$C483="",对接源_01水果!$C483&lt;&gt;$L$1,对接源_01水果!$B483=""),0,IF(OR(N(对接源_01水果!$B483)&lt;$L$2,N(对接源_01水果!$B483)&gt;$L$3),0,1))</f>
        <v>0</v>
      </c>
      <c r="M483">
        <f>IF(OR($M$1="",对接源_01水果!$C483="",对接源_01水果!$C483&lt;&gt;$M$1,对接源_01水果!$B483=""),0,IF(OR(N(对接源_01水果!$B483)&lt;$M$2,N(对接源_01水果!$B483)&gt;$M$3),0,1))</f>
        <v>0</v>
      </c>
      <c r="N483">
        <f>IF(OR($N$1="",对接源_01水果!$C483="",对接源_01水果!$C483&lt;&gt;$N$1,对接源_01水果!$B483=""),0,IF(OR(N(对接源_01水果!$B483)&lt;$N$2,N(对接源_01水果!$B483)&gt;$N$3),0,1))</f>
        <v>0</v>
      </c>
      <c r="P483">
        <f>IF(AND($K483=1,AND(对接源_01水果!$X483="公司筐",N(对接源_01水果!$T483)&lt;&gt;0)),1,0)</f>
        <v>0</v>
      </c>
      <c r="Q483">
        <f>N(Q482)+$P483</f>
        <v>0</v>
      </c>
      <c r="R483">
        <f>IF(AND($K483=1,AND(对接源_01水果!$X483="公司筐",N(对接源_01水果!$U483)&lt;&gt;0)),1,0)</f>
        <v>0</v>
      </c>
      <c r="S483">
        <f>N(S482)+$R483</f>
        <v>0</v>
      </c>
      <c r="T483">
        <f>IF(AND($K483=1,AND(对接源_01水果!$X483="公司筐",N(对接源_01水果!$V483)&lt;&gt;0)),1,0)</f>
        <v>0</v>
      </c>
      <c r="U483">
        <f>N(U482)+$T483</f>
        <v>47</v>
      </c>
      <c r="V483">
        <f>IF(AND($L483=1,AND(对接源_01水果!$X483="自备筐",N(对接源_01水果!$V483)&lt;&gt;0)),1,0)</f>
        <v>0</v>
      </c>
      <c r="W483">
        <f>N(W482)+$V483</f>
        <v>11</v>
      </c>
      <c r="X483">
        <f>IF(AND($L483=1,AND(对接源_01水果!$X483="自备筐",N(对接源_01水果!$T483)&lt;&gt;0)),1,0)</f>
        <v>0</v>
      </c>
      <c r="Y483">
        <f>N(Y482)+$X483</f>
        <v>0</v>
      </c>
      <c r="Z483">
        <f>IF(AND($M483=1,对接源_01水果!$D483="原料入库"),1,0)</f>
        <v>0</v>
      </c>
      <c r="AA483">
        <f>N(AA482)+$Z483</f>
        <v>24</v>
      </c>
      <c r="AB483">
        <f>IF(AND($M483=1,LEFT(对接源_01水果!$D483,4)="原料出库"),1,0)</f>
        <v>0</v>
      </c>
      <c r="AC483">
        <f>N(AC482)+$AB483</f>
        <v>0</v>
      </c>
      <c r="AD483">
        <f>IF(AND($M483=1,LEFT(对接源_01水果!$D483,4)="成品出库"),1,0)</f>
        <v>0</v>
      </c>
      <c r="AE483">
        <f>N(AE482)+$AD483</f>
        <v>0</v>
      </c>
      <c r="AF483">
        <f>IF(AND($N483=1,AND(LEFT(对接源_01水果!$D483,4)="包装物料",N(对接源_01水果!$K483)&lt;&gt;0)),1,0)</f>
        <v>0</v>
      </c>
      <c r="AG483">
        <f>N(AG482)+$AF483</f>
        <v>0</v>
      </c>
      <c r="AH483">
        <f>IF(AND($N483=1,AND(对接源_01水果!$D483="周转筐－销售出库",N(对接源_01水果!$K483)&lt;&gt;0)),1,0)</f>
        <v>0</v>
      </c>
      <c r="AI483">
        <f>N(AI482)+$AH483</f>
        <v>0</v>
      </c>
      <c r="AJ483" s="7" t="n"/>
      <c r="AL483">
        <f>IF(OR($AL$1="",对接源_01水果!$Y483="",对接源_01水果!$Y483&lt;&gt;$AL$1,对接源_01水果!$B483="",N(对接源_01水果!$AJ483)&lt;=0),0,IF(OR(N(对接源_01水果!$B483)&lt;$AL$2,N(对接源_01水果!$B483)&gt;$AL$3),0,1))</f>
        <v>0</v>
      </c>
      <c r="AM483">
        <f>N(AM482)+$AL483</f>
        <v>0</v>
      </c>
      <c r="AN483">
        <f>IF(对接源_01水果!$AC483="","",对接源_01水果!$AC483)</f>
      </c>
      <c r="AO483">
        <f>IF(AN483="",0,IF(MATCH(AN483,$AN$4:$AN$1203,0)=ROW()-3,1,0))</f>
        <v>0</v>
      </c>
      <c r="AP483">
        <f>N(AP482)+$AO483</f>
        <v>0</v>
      </c>
      <c r="AR483">
        <f>IF(OR($AF483=1,$AH483=1),1,0)</f>
        <v>0</v>
      </c>
      <c r="AS483">
        <f>N(AS482)+$AR483</f>
        <v>0</v>
      </c>
    </row>
    <row r="484" ht="14.25" customHeight="1" s="127">
      <c r="A484" t="str">
        <f>IF(对接源_01水果!$C484="","",对接源_01水果!$C484)</f>
        <v>王照雪</v>
      </c>
      <c r="B484">
        <f>IF(A484="",0,IF(MATCH(A484,$A$4:$A$2403,0)=ROW()-3,1,0))</f>
        <v>0</v>
      </c>
      <c r="C484">
        <f>N(C483)+B484</f>
        <v>22</v>
      </c>
      <c r="K484">
        <f>IF(OR($K$1="",对接源_01水果!$C484="",对接源_01水果!$C484&lt;&gt;$K$1,对接源_01水果!$B484=""),0,IF(OR(N(对接源_01水果!$B484)&lt;$K$2,N(对接源_01水果!$B484)&gt;$K$3),0,1))</f>
        <v>0</v>
      </c>
      <c r="L484">
        <f>IF(OR($L$1="",对接源_01水果!$C484="",对接源_01水果!$C484&lt;&gt;$L$1,对接源_01水果!$B484=""),0,IF(OR(N(对接源_01水果!$B484)&lt;$L$2,N(对接源_01水果!$B484)&gt;$L$3),0,1))</f>
        <v>0</v>
      </c>
      <c r="M484">
        <f>IF(OR($M$1="",对接源_01水果!$C484="",对接源_01水果!$C484&lt;&gt;$M$1,对接源_01水果!$B484=""),0,IF(OR(N(对接源_01水果!$B484)&lt;$M$2,N(对接源_01水果!$B484)&gt;$M$3),0,1))</f>
        <v>0</v>
      </c>
      <c r="N484">
        <f>IF(OR($N$1="",对接源_01水果!$C484="",对接源_01水果!$C484&lt;&gt;$N$1,对接源_01水果!$B484=""),0,IF(OR(N(对接源_01水果!$B484)&lt;$N$2,N(对接源_01水果!$B484)&gt;$N$3),0,1))</f>
        <v>0</v>
      </c>
      <c r="P484">
        <f>IF(AND($K484=1,AND(对接源_01水果!$X484="公司筐",N(对接源_01水果!$T484)&lt;&gt;0)),1,0)</f>
        <v>0</v>
      </c>
      <c r="Q484">
        <f>N(Q483)+$P484</f>
        <v>0</v>
      </c>
      <c r="R484">
        <f>IF(AND($K484=1,AND(对接源_01水果!$X484="公司筐",N(对接源_01水果!$U484)&lt;&gt;0)),1,0)</f>
        <v>0</v>
      </c>
      <c r="S484">
        <f>N(S483)+$R484</f>
        <v>0</v>
      </c>
      <c r="T484">
        <f>IF(AND($K484=1,AND(对接源_01水果!$X484="公司筐",N(对接源_01水果!$V484)&lt;&gt;0)),1,0)</f>
        <v>0</v>
      </c>
      <c r="U484">
        <f>N(U483)+$T484</f>
        <v>47</v>
      </c>
      <c r="V484">
        <f>IF(AND($L484=1,AND(对接源_01水果!$X484="自备筐",N(对接源_01水果!$V484)&lt;&gt;0)),1,0)</f>
        <v>0</v>
      </c>
      <c r="W484">
        <f>N(W483)+$V484</f>
        <v>11</v>
      </c>
      <c r="X484">
        <f>IF(AND($L484=1,AND(对接源_01水果!$X484="自备筐",N(对接源_01水果!$T484)&lt;&gt;0)),1,0)</f>
        <v>0</v>
      </c>
      <c r="Y484">
        <f>N(Y483)+$X484</f>
        <v>0</v>
      </c>
      <c r="Z484">
        <f>IF(AND($M484=1,对接源_01水果!$D484="原料入库"),1,0)</f>
        <v>0</v>
      </c>
      <c r="AA484">
        <f>N(AA483)+$Z484</f>
        <v>24</v>
      </c>
      <c r="AB484">
        <f>IF(AND($M484=1,LEFT(对接源_01水果!$D484,4)="原料出库"),1,0)</f>
        <v>0</v>
      </c>
      <c r="AC484">
        <f>N(AC483)+$AB484</f>
        <v>0</v>
      </c>
      <c r="AD484">
        <f>IF(AND($M484=1,LEFT(对接源_01水果!$D484,4)="成品出库"),1,0)</f>
        <v>0</v>
      </c>
      <c r="AE484">
        <f>N(AE483)+$AD484</f>
        <v>0</v>
      </c>
      <c r="AF484">
        <f>IF(AND($N484=1,AND(LEFT(对接源_01水果!$D484,4)="包装物料",N(对接源_01水果!$K484)&lt;&gt;0)),1,0)</f>
        <v>0</v>
      </c>
      <c r="AG484">
        <f>N(AG483)+$AF484</f>
        <v>0</v>
      </c>
      <c r="AH484">
        <f>IF(AND($N484=1,AND(对接源_01水果!$D484="周转筐－销售出库",N(对接源_01水果!$K484)&lt;&gt;0)),1,0)</f>
        <v>0</v>
      </c>
      <c r="AI484">
        <f>N(AI483)+$AH484</f>
        <v>0</v>
      </c>
      <c r="AJ484" s="7" t="n"/>
      <c r="AL484">
        <f>IF(OR($AL$1="",对接源_01水果!$Y484="",对接源_01水果!$Y484&lt;&gt;$AL$1,对接源_01水果!$B484="",N(对接源_01水果!$AJ484)&lt;=0),0,IF(OR(N(对接源_01水果!$B484)&lt;$AL$2,N(对接源_01水果!$B484)&gt;$AL$3),0,1))</f>
        <v>0</v>
      </c>
      <c r="AM484">
        <f>N(AM483)+$AL484</f>
        <v>0</v>
      </c>
      <c r="AN484">
        <f>IF(对接源_01水果!$AC484="","",对接源_01水果!$AC484)</f>
      </c>
      <c r="AO484">
        <f>IF(AN484="",0,IF(MATCH(AN484,$AN$4:$AN$1203,0)=ROW()-3,1,0))</f>
        <v>0</v>
      </c>
      <c r="AP484">
        <f>N(AP483)+$AO484</f>
        <v>0</v>
      </c>
      <c r="AR484">
        <f>IF(OR($AF484=1,$AH484=1),1,0)</f>
        <v>0</v>
      </c>
      <c r="AS484">
        <f>N(AS483)+$AR484</f>
        <v>0</v>
      </c>
    </row>
    <row r="485" ht="14.25" customHeight="1" s="127">
      <c r="A485" t="str">
        <f>IF(对接源_01水果!$C485="","",对接源_01水果!$C485)</f>
        <v>王照雪</v>
      </c>
      <c r="B485">
        <f>IF(A485="",0,IF(MATCH(A485,$A$4:$A$2403,0)=ROW()-3,1,0))</f>
        <v>0</v>
      </c>
      <c r="C485">
        <f>N(C484)+B485</f>
        <v>22</v>
      </c>
      <c r="K485">
        <f>IF(OR($K$1="",对接源_01水果!$C485="",对接源_01水果!$C485&lt;&gt;$K$1,对接源_01水果!$B485=""),0,IF(OR(N(对接源_01水果!$B485)&lt;$K$2,N(对接源_01水果!$B485)&gt;$K$3),0,1))</f>
        <v>0</v>
      </c>
      <c r="L485">
        <f>IF(OR($L$1="",对接源_01水果!$C485="",对接源_01水果!$C485&lt;&gt;$L$1,对接源_01水果!$B485=""),0,IF(OR(N(对接源_01水果!$B485)&lt;$L$2,N(对接源_01水果!$B485)&gt;$L$3),0,1))</f>
        <v>0</v>
      </c>
      <c r="M485">
        <f>IF(OR($M$1="",对接源_01水果!$C485="",对接源_01水果!$C485&lt;&gt;$M$1,对接源_01水果!$B485=""),0,IF(OR(N(对接源_01水果!$B485)&lt;$M$2,N(对接源_01水果!$B485)&gt;$M$3),0,1))</f>
        <v>0</v>
      </c>
      <c r="N485">
        <f>IF(OR($N$1="",对接源_01水果!$C485="",对接源_01水果!$C485&lt;&gt;$N$1,对接源_01水果!$B485=""),0,IF(OR(N(对接源_01水果!$B485)&lt;$N$2,N(对接源_01水果!$B485)&gt;$N$3),0,1))</f>
        <v>0</v>
      </c>
      <c r="P485">
        <f>IF(AND($K485=1,AND(对接源_01水果!$X485="公司筐",N(对接源_01水果!$T485)&lt;&gt;0)),1,0)</f>
        <v>0</v>
      </c>
      <c r="Q485">
        <f>N(Q484)+$P485</f>
        <v>0</v>
      </c>
      <c r="R485">
        <f>IF(AND($K485=1,AND(对接源_01水果!$X485="公司筐",N(对接源_01水果!$U485)&lt;&gt;0)),1,0)</f>
        <v>0</v>
      </c>
      <c r="S485">
        <f>N(S484)+$R485</f>
        <v>0</v>
      </c>
      <c r="T485">
        <f>IF(AND($K485=1,AND(对接源_01水果!$X485="公司筐",N(对接源_01水果!$V485)&lt;&gt;0)),1,0)</f>
        <v>0</v>
      </c>
      <c r="U485">
        <f>N(U484)+$T485</f>
        <v>47</v>
      </c>
      <c r="V485">
        <f>IF(AND($L485=1,AND(对接源_01水果!$X485="自备筐",N(对接源_01水果!$V485)&lt;&gt;0)),1,0)</f>
        <v>0</v>
      </c>
      <c r="W485">
        <f>N(W484)+$V485</f>
        <v>11</v>
      </c>
      <c r="X485">
        <f>IF(AND($L485=1,AND(对接源_01水果!$X485="自备筐",N(对接源_01水果!$T485)&lt;&gt;0)),1,0)</f>
        <v>0</v>
      </c>
      <c r="Y485">
        <f>N(Y484)+$X485</f>
        <v>0</v>
      </c>
      <c r="Z485">
        <f>IF(AND($M485=1,对接源_01水果!$D485="原料入库"),1,0)</f>
        <v>0</v>
      </c>
      <c r="AA485">
        <f>N(AA484)+$Z485</f>
        <v>24</v>
      </c>
      <c r="AB485">
        <f>IF(AND($M485=1,LEFT(对接源_01水果!$D485,4)="原料出库"),1,0)</f>
        <v>0</v>
      </c>
      <c r="AC485">
        <f>N(AC484)+$AB485</f>
        <v>0</v>
      </c>
      <c r="AD485">
        <f>IF(AND($M485=1,LEFT(对接源_01水果!$D485,4)="成品出库"),1,0)</f>
        <v>0</v>
      </c>
      <c r="AE485">
        <f>N(AE484)+$AD485</f>
        <v>0</v>
      </c>
      <c r="AF485">
        <f>IF(AND($N485=1,AND(LEFT(对接源_01水果!$D485,4)="包装物料",N(对接源_01水果!$K485)&lt;&gt;0)),1,0)</f>
        <v>0</v>
      </c>
      <c r="AG485">
        <f>N(AG484)+$AF485</f>
        <v>0</v>
      </c>
      <c r="AH485">
        <f>IF(AND($N485=1,AND(对接源_01水果!$D485="周转筐－销售出库",N(对接源_01水果!$K485)&lt;&gt;0)),1,0)</f>
        <v>0</v>
      </c>
      <c r="AI485">
        <f>N(AI484)+$AH485</f>
        <v>0</v>
      </c>
      <c r="AJ485" s="7" t="n"/>
      <c r="AL485">
        <f>IF(OR($AL$1="",对接源_01水果!$Y485="",对接源_01水果!$Y485&lt;&gt;$AL$1,对接源_01水果!$B485="",N(对接源_01水果!$AJ485)&lt;=0),0,IF(OR(N(对接源_01水果!$B485)&lt;$AL$2,N(对接源_01水果!$B485)&gt;$AL$3),0,1))</f>
        <v>0</v>
      </c>
      <c r="AM485">
        <f>N(AM484)+$AL485</f>
        <v>0</v>
      </c>
      <c r="AN485">
        <f>IF(对接源_01水果!$AC485="","",对接源_01水果!$AC485)</f>
      </c>
      <c r="AO485">
        <f>IF(AN485="",0,IF(MATCH(AN485,$AN$4:$AN$1203,0)=ROW()-3,1,0))</f>
        <v>0</v>
      </c>
      <c r="AP485">
        <f>N(AP484)+$AO485</f>
        <v>0</v>
      </c>
      <c r="AR485">
        <f>IF(OR($AF485=1,$AH485=1),1,0)</f>
        <v>0</v>
      </c>
      <c r="AS485">
        <f>N(AS484)+$AR485</f>
        <v>0</v>
      </c>
    </row>
    <row r="486" ht="14.25" customHeight="1" s="127">
      <c r="A486" t="str">
        <f>IF(对接源_01水果!$C486="","",对接源_01水果!$C486)</f>
        <v>王照雪</v>
      </c>
      <c r="B486">
        <f>IF(A486="",0,IF(MATCH(A486,$A$4:$A$2403,0)=ROW()-3,1,0))</f>
        <v>0</v>
      </c>
      <c r="C486">
        <f>N(C485)+B486</f>
        <v>22</v>
      </c>
      <c r="K486">
        <f>IF(OR($K$1="",对接源_01水果!$C486="",对接源_01水果!$C486&lt;&gt;$K$1,对接源_01水果!$B486=""),0,IF(OR(N(对接源_01水果!$B486)&lt;$K$2,N(对接源_01水果!$B486)&gt;$K$3),0,1))</f>
        <v>0</v>
      </c>
      <c r="L486">
        <f>IF(OR($L$1="",对接源_01水果!$C486="",对接源_01水果!$C486&lt;&gt;$L$1,对接源_01水果!$B486=""),0,IF(OR(N(对接源_01水果!$B486)&lt;$L$2,N(对接源_01水果!$B486)&gt;$L$3),0,1))</f>
        <v>0</v>
      </c>
      <c r="M486">
        <f>IF(OR($M$1="",对接源_01水果!$C486="",对接源_01水果!$C486&lt;&gt;$M$1,对接源_01水果!$B486=""),0,IF(OR(N(对接源_01水果!$B486)&lt;$M$2,N(对接源_01水果!$B486)&gt;$M$3),0,1))</f>
        <v>0</v>
      </c>
      <c r="N486">
        <f>IF(OR($N$1="",对接源_01水果!$C486="",对接源_01水果!$C486&lt;&gt;$N$1,对接源_01水果!$B486=""),0,IF(OR(N(对接源_01水果!$B486)&lt;$N$2,N(对接源_01水果!$B486)&gt;$N$3),0,1))</f>
        <v>0</v>
      </c>
      <c r="P486">
        <f>IF(AND($K486=1,AND(对接源_01水果!$X486="公司筐",N(对接源_01水果!$T486)&lt;&gt;0)),1,0)</f>
        <v>0</v>
      </c>
      <c r="Q486">
        <f>N(Q485)+$P486</f>
        <v>0</v>
      </c>
      <c r="R486">
        <f>IF(AND($K486=1,AND(对接源_01水果!$X486="公司筐",N(对接源_01水果!$U486)&lt;&gt;0)),1,0)</f>
        <v>0</v>
      </c>
      <c r="S486">
        <f>N(S485)+$R486</f>
        <v>0</v>
      </c>
      <c r="T486">
        <f>IF(AND($K486=1,AND(对接源_01水果!$X486="公司筐",N(对接源_01水果!$V486)&lt;&gt;0)),1,0)</f>
        <v>0</v>
      </c>
      <c r="U486">
        <f>N(U485)+$T486</f>
        <v>47</v>
      </c>
      <c r="V486">
        <f>IF(AND($L486=1,AND(对接源_01水果!$X486="自备筐",N(对接源_01水果!$V486)&lt;&gt;0)),1,0)</f>
        <v>0</v>
      </c>
      <c r="W486">
        <f>N(W485)+$V486</f>
        <v>11</v>
      </c>
      <c r="X486">
        <f>IF(AND($L486=1,AND(对接源_01水果!$X486="自备筐",N(对接源_01水果!$T486)&lt;&gt;0)),1,0)</f>
        <v>0</v>
      </c>
      <c r="Y486">
        <f>N(Y485)+$X486</f>
        <v>0</v>
      </c>
      <c r="Z486">
        <f>IF(AND($M486=1,对接源_01水果!$D486="原料入库"),1,0)</f>
        <v>0</v>
      </c>
      <c r="AA486">
        <f>N(AA485)+$Z486</f>
        <v>24</v>
      </c>
      <c r="AB486">
        <f>IF(AND($M486=1,LEFT(对接源_01水果!$D486,4)="原料出库"),1,0)</f>
        <v>0</v>
      </c>
      <c r="AC486">
        <f>N(AC485)+$AB486</f>
        <v>0</v>
      </c>
      <c r="AD486">
        <f>IF(AND($M486=1,LEFT(对接源_01水果!$D486,4)="成品出库"),1,0)</f>
        <v>0</v>
      </c>
      <c r="AE486">
        <f>N(AE485)+$AD486</f>
        <v>0</v>
      </c>
      <c r="AF486">
        <f>IF(AND($N486=1,AND(LEFT(对接源_01水果!$D486,4)="包装物料",N(对接源_01水果!$K486)&lt;&gt;0)),1,0)</f>
        <v>0</v>
      </c>
      <c r="AG486">
        <f>N(AG485)+$AF486</f>
        <v>0</v>
      </c>
      <c r="AH486">
        <f>IF(AND($N486=1,AND(对接源_01水果!$D486="周转筐－销售出库",N(对接源_01水果!$K486)&lt;&gt;0)),1,0)</f>
        <v>0</v>
      </c>
      <c r="AI486">
        <f>N(AI485)+$AH486</f>
        <v>0</v>
      </c>
      <c r="AJ486" s="7" t="n"/>
      <c r="AL486">
        <f>IF(OR($AL$1="",对接源_01水果!$Y486="",对接源_01水果!$Y486&lt;&gt;$AL$1,对接源_01水果!$B486="",N(对接源_01水果!$AJ486)&lt;=0),0,IF(OR(N(对接源_01水果!$B486)&lt;$AL$2,N(对接源_01水果!$B486)&gt;$AL$3),0,1))</f>
        <v>0</v>
      </c>
      <c r="AM486">
        <f>N(AM485)+$AL486</f>
        <v>0</v>
      </c>
      <c r="AN486">
        <f>IF(对接源_01水果!$AC486="","",对接源_01水果!$AC486)</f>
      </c>
      <c r="AO486">
        <f>IF(AN486="",0,IF(MATCH(AN486,$AN$4:$AN$1203,0)=ROW()-3,1,0))</f>
        <v>0</v>
      </c>
      <c r="AP486">
        <f>N(AP485)+$AO486</f>
        <v>0</v>
      </c>
      <c r="AR486">
        <f>IF(OR($AF486=1,$AH486=1),1,0)</f>
        <v>0</v>
      </c>
      <c r="AS486">
        <f>N(AS485)+$AR486</f>
        <v>0</v>
      </c>
    </row>
    <row r="487" ht="14.25" customHeight="1" s="127">
      <c r="A487" t="str">
        <f>IF(对接源_01水果!$C487="","",对接源_01水果!$C487)</f>
        <v>王照雪</v>
      </c>
      <c r="B487">
        <f>IF(A487="",0,IF(MATCH(A487,$A$4:$A$2403,0)=ROW()-3,1,0))</f>
        <v>0</v>
      </c>
      <c r="C487">
        <f>N(C486)+B487</f>
        <v>22</v>
      </c>
      <c r="K487">
        <f>IF(OR($K$1="",对接源_01水果!$C487="",对接源_01水果!$C487&lt;&gt;$K$1,对接源_01水果!$B487=""),0,IF(OR(N(对接源_01水果!$B487)&lt;$K$2,N(对接源_01水果!$B487)&gt;$K$3),0,1))</f>
        <v>0</v>
      </c>
      <c r="L487">
        <f>IF(OR($L$1="",对接源_01水果!$C487="",对接源_01水果!$C487&lt;&gt;$L$1,对接源_01水果!$B487=""),0,IF(OR(N(对接源_01水果!$B487)&lt;$L$2,N(对接源_01水果!$B487)&gt;$L$3),0,1))</f>
        <v>0</v>
      </c>
      <c r="M487">
        <f>IF(OR($M$1="",对接源_01水果!$C487="",对接源_01水果!$C487&lt;&gt;$M$1,对接源_01水果!$B487=""),0,IF(OR(N(对接源_01水果!$B487)&lt;$M$2,N(对接源_01水果!$B487)&gt;$M$3),0,1))</f>
        <v>0</v>
      </c>
      <c r="N487">
        <f>IF(OR($N$1="",对接源_01水果!$C487="",对接源_01水果!$C487&lt;&gt;$N$1,对接源_01水果!$B487=""),0,IF(OR(N(对接源_01水果!$B487)&lt;$N$2,N(对接源_01水果!$B487)&gt;$N$3),0,1))</f>
        <v>0</v>
      </c>
      <c r="P487">
        <f>IF(AND($K487=1,AND(对接源_01水果!$X487="公司筐",N(对接源_01水果!$T487)&lt;&gt;0)),1,0)</f>
        <v>0</v>
      </c>
      <c r="Q487">
        <f>N(Q486)+$P487</f>
        <v>0</v>
      </c>
      <c r="R487">
        <f>IF(AND($K487=1,AND(对接源_01水果!$X487="公司筐",N(对接源_01水果!$U487)&lt;&gt;0)),1,0)</f>
        <v>0</v>
      </c>
      <c r="S487">
        <f>N(S486)+$R487</f>
        <v>0</v>
      </c>
      <c r="T487">
        <f>IF(AND($K487=1,AND(对接源_01水果!$X487="公司筐",N(对接源_01水果!$V487)&lt;&gt;0)),1,0)</f>
        <v>0</v>
      </c>
      <c r="U487">
        <f>N(U486)+$T487</f>
        <v>47</v>
      </c>
      <c r="V487">
        <f>IF(AND($L487=1,AND(对接源_01水果!$X487="自备筐",N(对接源_01水果!$V487)&lt;&gt;0)),1,0)</f>
        <v>0</v>
      </c>
      <c r="W487">
        <f>N(W486)+$V487</f>
        <v>11</v>
      </c>
      <c r="X487">
        <f>IF(AND($L487=1,AND(对接源_01水果!$X487="自备筐",N(对接源_01水果!$T487)&lt;&gt;0)),1,0)</f>
        <v>0</v>
      </c>
      <c r="Y487">
        <f>N(Y486)+$X487</f>
        <v>0</v>
      </c>
      <c r="Z487">
        <f>IF(AND($M487=1,对接源_01水果!$D487="原料入库"),1,0)</f>
        <v>0</v>
      </c>
      <c r="AA487">
        <f>N(AA486)+$Z487</f>
        <v>24</v>
      </c>
      <c r="AB487">
        <f>IF(AND($M487=1,LEFT(对接源_01水果!$D487,4)="原料出库"),1,0)</f>
        <v>0</v>
      </c>
      <c r="AC487">
        <f>N(AC486)+$AB487</f>
        <v>0</v>
      </c>
      <c r="AD487">
        <f>IF(AND($M487=1,LEFT(对接源_01水果!$D487,4)="成品出库"),1,0)</f>
        <v>0</v>
      </c>
      <c r="AE487">
        <f>N(AE486)+$AD487</f>
        <v>0</v>
      </c>
      <c r="AF487">
        <f>IF(AND($N487=1,AND(LEFT(对接源_01水果!$D487,4)="包装物料",N(对接源_01水果!$K487)&lt;&gt;0)),1,0)</f>
        <v>0</v>
      </c>
      <c r="AG487">
        <f>N(AG486)+$AF487</f>
        <v>0</v>
      </c>
      <c r="AH487">
        <f>IF(AND($N487=1,AND(对接源_01水果!$D487="周转筐－销售出库",N(对接源_01水果!$K487)&lt;&gt;0)),1,0)</f>
        <v>0</v>
      </c>
      <c r="AI487">
        <f>N(AI486)+$AH487</f>
        <v>0</v>
      </c>
      <c r="AJ487" s="7" t="n"/>
      <c r="AL487">
        <f>IF(OR($AL$1="",对接源_01水果!$Y487="",对接源_01水果!$Y487&lt;&gt;$AL$1,对接源_01水果!$B487="",N(对接源_01水果!$AJ487)&lt;=0),0,IF(OR(N(对接源_01水果!$B487)&lt;$AL$2,N(对接源_01水果!$B487)&gt;$AL$3),0,1))</f>
        <v>0</v>
      </c>
      <c r="AM487">
        <f>N(AM486)+$AL487</f>
        <v>0</v>
      </c>
      <c r="AN487">
        <f>IF(对接源_01水果!$AC487="","",对接源_01水果!$AC487)</f>
      </c>
      <c r="AO487">
        <f>IF(AN487="",0,IF(MATCH(AN487,$AN$4:$AN$1203,0)=ROW()-3,1,0))</f>
        <v>0</v>
      </c>
      <c r="AP487">
        <f>N(AP486)+$AO487</f>
        <v>0</v>
      </c>
      <c r="AR487">
        <f>IF(OR($AF487=1,$AH487=1),1,0)</f>
        <v>0</v>
      </c>
      <c r="AS487">
        <f>N(AS486)+$AR487</f>
        <v>0</v>
      </c>
    </row>
    <row r="488" ht="14.25" customHeight="1" s="127">
      <c r="A488" t="str">
        <f>IF(对接源_01水果!$C488="","",对接源_01水果!$C488)</f>
        <v>马锦祥</v>
      </c>
      <c r="B488">
        <f>IF(A488="",0,IF(MATCH(A488,$A$4:$A$2403,0)=ROW()-3,1,0))</f>
        <v>0</v>
      </c>
      <c r="C488">
        <f>N(C487)+B488</f>
        <v>22</v>
      </c>
      <c r="K488">
        <f>IF(OR($K$1="",对接源_01水果!$C488="",对接源_01水果!$C488&lt;&gt;$K$1,对接源_01水果!$B488=""),0,IF(OR(N(对接源_01水果!$B488)&lt;$K$2,N(对接源_01水果!$B488)&gt;$K$3),0,1))</f>
        <v>0</v>
      </c>
      <c r="L488">
        <f>IF(OR($L$1="",对接源_01水果!$C488="",对接源_01水果!$C488&lt;&gt;$L$1,对接源_01水果!$B488=""),0,IF(OR(N(对接源_01水果!$B488)&lt;$L$2,N(对接源_01水果!$B488)&gt;$L$3),0,1))</f>
        <v>0</v>
      </c>
      <c r="M488">
        <f>IF(OR($M$1="",对接源_01水果!$C488="",对接源_01水果!$C488&lt;&gt;$M$1,对接源_01水果!$B488=""),0,IF(OR(N(对接源_01水果!$B488)&lt;$M$2,N(对接源_01水果!$B488)&gt;$M$3),0,1))</f>
        <v>0</v>
      </c>
      <c r="N488">
        <f>IF(OR($N$1="",对接源_01水果!$C488="",对接源_01水果!$C488&lt;&gt;$N$1,对接源_01水果!$B488=""),0,IF(OR(N(对接源_01水果!$B488)&lt;$N$2,N(对接源_01水果!$B488)&gt;$N$3),0,1))</f>
        <v>0</v>
      </c>
      <c r="P488">
        <f>IF(AND($K488=1,AND(对接源_01水果!$X488="公司筐",N(对接源_01水果!$T488)&lt;&gt;0)),1,0)</f>
        <v>0</v>
      </c>
      <c r="Q488">
        <f>N(Q487)+$P488</f>
        <v>0</v>
      </c>
      <c r="R488">
        <f>IF(AND($K488=1,AND(对接源_01水果!$X488="公司筐",N(对接源_01水果!$U488)&lt;&gt;0)),1,0)</f>
        <v>0</v>
      </c>
      <c r="S488">
        <f>N(S487)+$R488</f>
        <v>0</v>
      </c>
      <c r="T488">
        <f>IF(AND($K488=1,AND(对接源_01水果!$X488="公司筐",N(对接源_01水果!$V488)&lt;&gt;0)),1,0)</f>
        <v>0</v>
      </c>
      <c r="U488">
        <f>N(U487)+$T488</f>
        <v>47</v>
      </c>
      <c r="V488">
        <f>IF(AND($L488=1,AND(对接源_01水果!$X488="自备筐",N(对接源_01水果!$V488)&lt;&gt;0)),1,0)</f>
        <v>0</v>
      </c>
      <c r="W488">
        <f>N(W487)+$V488</f>
        <v>11</v>
      </c>
      <c r="X488">
        <f>IF(AND($L488=1,AND(对接源_01水果!$X488="自备筐",N(对接源_01水果!$T488)&lt;&gt;0)),1,0)</f>
        <v>0</v>
      </c>
      <c r="Y488">
        <f>N(Y487)+$X488</f>
        <v>0</v>
      </c>
      <c r="Z488">
        <f>IF(AND($M488=1,对接源_01水果!$D488="原料入库"),1,0)</f>
        <v>0</v>
      </c>
      <c r="AA488">
        <f>N(AA487)+$Z488</f>
        <v>24</v>
      </c>
      <c r="AB488">
        <f>IF(AND($M488=1,LEFT(对接源_01水果!$D488,4)="原料出库"),1,0)</f>
        <v>0</v>
      </c>
      <c r="AC488">
        <f>N(AC487)+$AB488</f>
        <v>0</v>
      </c>
      <c r="AD488">
        <f>IF(AND($M488=1,LEFT(对接源_01水果!$D488,4)="成品出库"),1,0)</f>
        <v>0</v>
      </c>
      <c r="AE488">
        <f>N(AE487)+$AD488</f>
        <v>0</v>
      </c>
      <c r="AF488">
        <f>IF(AND($N488=1,AND(LEFT(对接源_01水果!$D488,4)="包装物料",N(对接源_01水果!$K488)&lt;&gt;0)),1,0)</f>
        <v>0</v>
      </c>
      <c r="AG488">
        <f>N(AG487)+$AF488</f>
        <v>0</v>
      </c>
      <c r="AH488">
        <f>IF(AND($N488=1,AND(对接源_01水果!$D488="周转筐－销售出库",N(对接源_01水果!$K488)&lt;&gt;0)),1,0)</f>
        <v>0</v>
      </c>
      <c r="AI488">
        <f>N(AI487)+$AH488</f>
        <v>0</v>
      </c>
      <c r="AJ488" s="7" t="n"/>
      <c r="AL488">
        <f>IF(OR($AL$1="",对接源_01水果!$Y488="",对接源_01水果!$Y488&lt;&gt;$AL$1,对接源_01水果!$B488="",N(对接源_01水果!$AJ488)&lt;=0),0,IF(OR(N(对接源_01水果!$B488)&lt;$AL$2,N(对接源_01水果!$B488)&gt;$AL$3),0,1))</f>
        <v>0</v>
      </c>
      <c r="AM488">
        <f>N(AM487)+$AL488</f>
        <v>0</v>
      </c>
      <c r="AN488">
        <f>IF(对接源_01水果!$AC488="","",对接源_01水果!$AC488)</f>
      </c>
      <c r="AO488">
        <f>IF(AN488="",0,IF(MATCH(AN488,$AN$4:$AN$1203,0)=ROW()-3,1,0))</f>
        <v>0</v>
      </c>
      <c r="AP488">
        <f>N(AP487)+$AO488</f>
        <v>0</v>
      </c>
      <c r="AR488">
        <f>IF(OR($AF488=1,$AH488=1),1,0)</f>
        <v>0</v>
      </c>
      <c r="AS488">
        <f>N(AS487)+$AR488</f>
        <v>0</v>
      </c>
    </row>
    <row r="489" ht="14.25" customHeight="1" s="127">
      <c r="A489" t="str">
        <f>IF(对接源_01水果!$C489="","",对接源_01水果!$C489)</f>
        <v>聂新平</v>
      </c>
      <c r="B489">
        <f>IF(A489="",0,IF(MATCH(A489,$A$4:$A$2403,0)=ROW()-3,1,0))</f>
        <v>0</v>
      </c>
      <c r="C489">
        <f>N(C488)+B489</f>
        <v>22</v>
      </c>
      <c r="K489">
        <f>IF(OR($K$1="",对接源_01水果!$C489="",对接源_01水果!$C489&lt;&gt;$K$1,对接源_01水果!$B489=""),0,IF(OR(N(对接源_01水果!$B489)&lt;$K$2,N(对接源_01水果!$B489)&gt;$K$3),0,1))</f>
        <v>0</v>
      </c>
      <c r="L489">
        <f>IF(OR($L$1="",对接源_01水果!$C489="",对接源_01水果!$C489&lt;&gt;$L$1,对接源_01水果!$B489=""),0,IF(OR(N(对接源_01水果!$B489)&lt;$L$2,N(对接源_01水果!$B489)&gt;$L$3),0,1))</f>
        <v>0</v>
      </c>
      <c r="M489">
        <f>IF(OR($M$1="",对接源_01水果!$C489="",对接源_01水果!$C489&lt;&gt;$M$1,对接源_01水果!$B489=""),0,IF(OR(N(对接源_01水果!$B489)&lt;$M$2,N(对接源_01水果!$B489)&gt;$M$3),0,1))</f>
        <v>0</v>
      </c>
      <c r="N489">
        <f>IF(OR($N$1="",对接源_01水果!$C489="",对接源_01水果!$C489&lt;&gt;$N$1,对接源_01水果!$B489=""),0,IF(OR(N(对接源_01水果!$B489)&lt;$N$2,N(对接源_01水果!$B489)&gt;$N$3),0,1))</f>
        <v>0</v>
      </c>
      <c r="P489">
        <f>IF(AND($K489=1,AND(对接源_01水果!$X489="公司筐",N(对接源_01水果!$T489)&lt;&gt;0)),1,0)</f>
        <v>0</v>
      </c>
      <c r="Q489">
        <f>N(Q488)+$P489</f>
        <v>0</v>
      </c>
      <c r="R489">
        <f>IF(AND($K489=1,AND(对接源_01水果!$X489="公司筐",N(对接源_01水果!$U489)&lt;&gt;0)),1,0)</f>
        <v>0</v>
      </c>
      <c r="S489">
        <f>N(S488)+$R489</f>
        <v>0</v>
      </c>
      <c r="T489">
        <f>IF(AND($K489=1,AND(对接源_01水果!$X489="公司筐",N(对接源_01水果!$V489)&lt;&gt;0)),1,0)</f>
        <v>0</v>
      </c>
      <c r="U489">
        <f>N(U488)+$T489</f>
        <v>47</v>
      </c>
      <c r="V489">
        <f>IF(AND($L489=1,AND(对接源_01水果!$X489="自备筐",N(对接源_01水果!$V489)&lt;&gt;0)),1,0)</f>
        <v>0</v>
      </c>
      <c r="W489">
        <f>N(W488)+$V489</f>
        <v>11</v>
      </c>
      <c r="X489">
        <f>IF(AND($L489=1,AND(对接源_01水果!$X489="自备筐",N(对接源_01水果!$T489)&lt;&gt;0)),1,0)</f>
        <v>0</v>
      </c>
      <c r="Y489">
        <f>N(Y488)+$X489</f>
        <v>0</v>
      </c>
      <c r="Z489">
        <f>IF(AND($M489=1,对接源_01水果!$D489="原料入库"),1,0)</f>
        <v>0</v>
      </c>
      <c r="AA489">
        <f>N(AA488)+$Z489</f>
        <v>24</v>
      </c>
      <c r="AB489">
        <f>IF(AND($M489=1,LEFT(对接源_01水果!$D489,4)="原料出库"),1,0)</f>
        <v>0</v>
      </c>
      <c r="AC489">
        <f>N(AC488)+$AB489</f>
        <v>0</v>
      </c>
      <c r="AD489">
        <f>IF(AND($M489=1,LEFT(对接源_01水果!$D489,4)="成品出库"),1,0)</f>
        <v>0</v>
      </c>
      <c r="AE489">
        <f>N(AE488)+$AD489</f>
        <v>0</v>
      </c>
      <c r="AF489">
        <f>IF(AND($N489=1,AND(LEFT(对接源_01水果!$D489,4)="包装物料",N(对接源_01水果!$K489)&lt;&gt;0)),1,0)</f>
        <v>0</v>
      </c>
      <c r="AG489">
        <f>N(AG488)+$AF489</f>
        <v>0</v>
      </c>
      <c r="AH489">
        <f>IF(AND($N489=1,AND(对接源_01水果!$D489="周转筐－销售出库",N(对接源_01水果!$K489)&lt;&gt;0)),1,0)</f>
        <v>0</v>
      </c>
      <c r="AI489">
        <f>N(AI488)+$AH489</f>
        <v>0</v>
      </c>
      <c r="AJ489" s="7" t="n"/>
      <c r="AL489">
        <f>IF(OR($AL$1="",对接源_01水果!$Y489="",对接源_01水果!$Y489&lt;&gt;$AL$1,对接源_01水果!$B489="",N(对接源_01水果!$AJ489)&lt;=0),0,IF(OR(N(对接源_01水果!$B489)&lt;$AL$2,N(对接源_01水果!$B489)&gt;$AL$3),0,1))</f>
        <v>0</v>
      </c>
      <c r="AM489">
        <f>N(AM488)+$AL489</f>
        <v>0</v>
      </c>
      <c r="AN489">
        <f>IF(对接源_01水果!$AC489="","",对接源_01水果!$AC489)</f>
      </c>
      <c r="AO489">
        <f>IF(AN489="",0,IF(MATCH(AN489,$AN$4:$AN$1203,0)=ROW()-3,1,0))</f>
        <v>0</v>
      </c>
      <c r="AP489">
        <f>N(AP488)+$AO489</f>
        <v>0</v>
      </c>
      <c r="AR489">
        <f>IF(OR($AF489=1,$AH489=1),1,0)</f>
        <v>0</v>
      </c>
      <c r="AS489">
        <f>N(AS488)+$AR489</f>
        <v>0</v>
      </c>
    </row>
    <row r="490" ht="14.25" customHeight="1" s="127">
      <c r="A490" t="str">
        <f>IF(对接源_01水果!$C490="","",对接源_01水果!$C490)</f>
        <v>王照雪</v>
      </c>
      <c r="B490">
        <f>IF(A490="",0,IF(MATCH(A490,$A$4:$A$2403,0)=ROW()-3,1,0))</f>
        <v>0</v>
      </c>
      <c r="C490">
        <f>N(C489)+B490</f>
        <v>22</v>
      </c>
      <c r="K490">
        <f>IF(OR($K$1="",对接源_01水果!$C490="",对接源_01水果!$C490&lt;&gt;$K$1,对接源_01水果!$B490=""),0,IF(OR(N(对接源_01水果!$B490)&lt;$K$2,N(对接源_01水果!$B490)&gt;$K$3),0,1))</f>
        <v>0</v>
      </c>
      <c r="L490">
        <f>IF(OR($L$1="",对接源_01水果!$C490="",对接源_01水果!$C490&lt;&gt;$L$1,对接源_01水果!$B490=""),0,IF(OR(N(对接源_01水果!$B490)&lt;$L$2,N(对接源_01水果!$B490)&gt;$L$3),0,1))</f>
        <v>0</v>
      </c>
      <c r="M490">
        <f>IF(OR($M$1="",对接源_01水果!$C490="",对接源_01水果!$C490&lt;&gt;$M$1,对接源_01水果!$B490=""),0,IF(OR(N(对接源_01水果!$B490)&lt;$M$2,N(对接源_01水果!$B490)&gt;$M$3),0,1))</f>
        <v>0</v>
      </c>
      <c r="N490">
        <f>IF(OR($N$1="",对接源_01水果!$C490="",对接源_01水果!$C490&lt;&gt;$N$1,对接源_01水果!$B490=""),0,IF(OR(N(对接源_01水果!$B490)&lt;$N$2,N(对接源_01水果!$B490)&gt;$N$3),0,1))</f>
        <v>0</v>
      </c>
      <c r="P490">
        <f>IF(AND($K490=1,AND(对接源_01水果!$X490="公司筐",N(对接源_01水果!$T490)&lt;&gt;0)),1,0)</f>
        <v>0</v>
      </c>
      <c r="Q490">
        <f>N(Q489)+$P490</f>
        <v>0</v>
      </c>
      <c r="R490">
        <f>IF(AND($K490=1,AND(对接源_01水果!$X490="公司筐",N(对接源_01水果!$U490)&lt;&gt;0)),1,0)</f>
        <v>0</v>
      </c>
      <c r="S490">
        <f>N(S489)+$R490</f>
        <v>0</v>
      </c>
      <c r="T490">
        <f>IF(AND($K490=1,AND(对接源_01水果!$X490="公司筐",N(对接源_01水果!$V490)&lt;&gt;0)),1,0)</f>
        <v>0</v>
      </c>
      <c r="U490">
        <f>N(U489)+$T490</f>
        <v>47</v>
      </c>
      <c r="V490">
        <f>IF(AND($L490=1,AND(对接源_01水果!$X490="自备筐",N(对接源_01水果!$V490)&lt;&gt;0)),1,0)</f>
        <v>0</v>
      </c>
      <c r="W490">
        <f>N(W489)+$V490</f>
        <v>11</v>
      </c>
      <c r="X490">
        <f>IF(AND($L490=1,AND(对接源_01水果!$X490="自备筐",N(对接源_01水果!$T490)&lt;&gt;0)),1,0)</f>
        <v>0</v>
      </c>
      <c r="Y490">
        <f>N(Y489)+$X490</f>
        <v>0</v>
      </c>
      <c r="Z490">
        <f>IF(AND($M490=1,对接源_01水果!$D490="原料入库"),1,0)</f>
        <v>0</v>
      </c>
      <c r="AA490">
        <f>N(AA489)+$Z490</f>
        <v>24</v>
      </c>
      <c r="AB490">
        <f>IF(AND($M490=1,LEFT(对接源_01水果!$D490,4)="原料出库"),1,0)</f>
        <v>0</v>
      </c>
      <c r="AC490">
        <f>N(AC489)+$AB490</f>
        <v>0</v>
      </c>
      <c r="AD490">
        <f>IF(AND($M490=1,LEFT(对接源_01水果!$D490,4)="成品出库"),1,0)</f>
        <v>0</v>
      </c>
      <c r="AE490">
        <f>N(AE489)+$AD490</f>
        <v>0</v>
      </c>
      <c r="AF490">
        <f>IF(AND($N490=1,AND(LEFT(对接源_01水果!$D490,4)="包装物料",N(对接源_01水果!$K490)&lt;&gt;0)),1,0)</f>
        <v>0</v>
      </c>
      <c r="AG490">
        <f>N(AG489)+$AF490</f>
        <v>0</v>
      </c>
      <c r="AH490">
        <f>IF(AND($N490=1,AND(对接源_01水果!$D490="周转筐－销售出库",N(对接源_01水果!$K490)&lt;&gt;0)),1,0)</f>
        <v>0</v>
      </c>
      <c r="AI490">
        <f>N(AI489)+$AH490</f>
        <v>0</v>
      </c>
      <c r="AJ490" s="7" t="n"/>
      <c r="AL490">
        <f>IF(OR($AL$1="",对接源_01水果!$Y490="",对接源_01水果!$Y490&lt;&gt;$AL$1,对接源_01水果!$B490="",N(对接源_01水果!$AJ490)&lt;=0),0,IF(OR(N(对接源_01水果!$B490)&lt;$AL$2,N(对接源_01水果!$B490)&gt;$AL$3),0,1))</f>
        <v>0</v>
      </c>
      <c r="AM490">
        <f>N(AM489)+$AL490</f>
        <v>0</v>
      </c>
      <c r="AN490">
        <f>IF(对接源_01水果!$AC490="","",对接源_01水果!$AC490)</f>
      </c>
      <c r="AO490">
        <f>IF(AN490="",0,IF(MATCH(AN490,$AN$4:$AN$1203,0)=ROW()-3,1,0))</f>
        <v>0</v>
      </c>
      <c r="AP490">
        <f>N(AP489)+$AO490</f>
        <v>0</v>
      </c>
      <c r="AR490">
        <f>IF(OR($AF490=1,$AH490=1),1,0)</f>
        <v>0</v>
      </c>
      <c r="AS490">
        <f>N(AS489)+$AR490</f>
        <v>0</v>
      </c>
    </row>
    <row r="491" ht="14.25" customHeight="1" s="127">
      <c r="A491" t="str">
        <f>IF(对接源_01水果!$C491="","",对接源_01水果!$C491)</f>
        <v>聂新平</v>
      </c>
      <c r="B491">
        <f>IF(A491="",0,IF(MATCH(A491,$A$4:$A$2403,0)=ROW()-3,1,0))</f>
        <v>0</v>
      </c>
      <c r="C491">
        <f>N(C490)+B491</f>
        <v>22</v>
      </c>
      <c r="K491">
        <f>IF(OR($K$1="",对接源_01水果!$C491="",对接源_01水果!$C491&lt;&gt;$K$1,对接源_01水果!$B491=""),0,IF(OR(N(对接源_01水果!$B491)&lt;$K$2,N(对接源_01水果!$B491)&gt;$K$3),0,1))</f>
        <v>0</v>
      </c>
      <c r="L491">
        <f>IF(OR($L$1="",对接源_01水果!$C491="",对接源_01水果!$C491&lt;&gt;$L$1,对接源_01水果!$B491=""),0,IF(OR(N(对接源_01水果!$B491)&lt;$L$2,N(对接源_01水果!$B491)&gt;$L$3),0,1))</f>
        <v>0</v>
      </c>
      <c r="M491">
        <f>IF(OR($M$1="",对接源_01水果!$C491="",对接源_01水果!$C491&lt;&gt;$M$1,对接源_01水果!$B491=""),0,IF(OR(N(对接源_01水果!$B491)&lt;$M$2,N(对接源_01水果!$B491)&gt;$M$3),0,1))</f>
        <v>0</v>
      </c>
      <c r="N491">
        <f>IF(OR($N$1="",对接源_01水果!$C491="",对接源_01水果!$C491&lt;&gt;$N$1,对接源_01水果!$B491=""),0,IF(OR(N(对接源_01水果!$B491)&lt;$N$2,N(对接源_01水果!$B491)&gt;$N$3),0,1))</f>
        <v>0</v>
      </c>
      <c r="P491">
        <f>IF(AND($K491=1,AND(对接源_01水果!$X491="公司筐",N(对接源_01水果!$T491)&lt;&gt;0)),1,0)</f>
        <v>0</v>
      </c>
      <c r="Q491">
        <f>N(Q490)+$P491</f>
        <v>0</v>
      </c>
      <c r="R491">
        <f>IF(AND($K491=1,AND(对接源_01水果!$X491="公司筐",N(对接源_01水果!$U491)&lt;&gt;0)),1,0)</f>
        <v>0</v>
      </c>
      <c r="S491">
        <f>N(S490)+$R491</f>
        <v>0</v>
      </c>
      <c r="T491">
        <f>IF(AND($K491=1,AND(对接源_01水果!$X491="公司筐",N(对接源_01水果!$V491)&lt;&gt;0)),1,0)</f>
        <v>0</v>
      </c>
      <c r="U491">
        <f>N(U490)+$T491</f>
        <v>47</v>
      </c>
      <c r="V491">
        <f>IF(AND($L491=1,AND(对接源_01水果!$X491="自备筐",N(对接源_01水果!$V491)&lt;&gt;0)),1,0)</f>
        <v>0</v>
      </c>
      <c r="W491">
        <f>N(W490)+$V491</f>
        <v>11</v>
      </c>
      <c r="X491">
        <f>IF(AND($L491=1,AND(对接源_01水果!$X491="自备筐",N(对接源_01水果!$T491)&lt;&gt;0)),1,0)</f>
        <v>0</v>
      </c>
      <c r="Y491">
        <f>N(Y490)+$X491</f>
        <v>0</v>
      </c>
      <c r="Z491">
        <f>IF(AND($M491=1,对接源_01水果!$D491="原料入库"),1,0)</f>
        <v>0</v>
      </c>
      <c r="AA491">
        <f>N(AA490)+$Z491</f>
        <v>24</v>
      </c>
      <c r="AB491">
        <f>IF(AND($M491=1,LEFT(对接源_01水果!$D491,4)="原料出库"),1,0)</f>
        <v>0</v>
      </c>
      <c r="AC491">
        <f>N(AC490)+$AB491</f>
        <v>0</v>
      </c>
      <c r="AD491">
        <f>IF(AND($M491=1,LEFT(对接源_01水果!$D491,4)="成品出库"),1,0)</f>
        <v>0</v>
      </c>
      <c r="AE491">
        <f>N(AE490)+$AD491</f>
        <v>0</v>
      </c>
      <c r="AF491">
        <f>IF(AND($N491=1,AND(LEFT(对接源_01水果!$D491,4)="包装物料",N(对接源_01水果!$K491)&lt;&gt;0)),1,0)</f>
        <v>0</v>
      </c>
      <c r="AG491">
        <f>N(AG490)+$AF491</f>
        <v>0</v>
      </c>
      <c r="AH491">
        <f>IF(AND($N491=1,AND(对接源_01水果!$D491="周转筐－销售出库",N(对接源_01水果!$K491)&lt;&gt;0)),1,0)</f>
        <v>0</v>
      </c>
      <c r="AI491">
        <f>N(AI490)+$AH491</f>
        <v>0</v>
      </c>
      <c r="AJ491" s="7" t="n"/>
      <c r="AL491">
        <f>IF(OR($AL$1="",对接源_01水果!$Y491="",对接源_01水果!$Y491&lt;&gt;$AL$1,对接源_01水果!$B491="",N(对接源_01水果!$AJ491)&lt;=0),0,IF(OR(N(对接源_01水果!$B491)&lt;$AL$2,N(对接源_01水果!$B491)&gt;$AL$3),0,1))</f>
        <v>0</v>
      </c>
      <c r="AM491">
        <f>N(AM490)+$AL491</f>
        <v>0</v>
      </c>
      <c r="AN491">
        <f>IF(对接源_01水果!$AC491="","",对接源_01水果!$AC491)</f>
      </c>
      <c r="AO491">
        <f>IF(AN491="",0,IF(MATCH(AN491,$AN$4:$AN$1203,0)=ROW()-3,1,0))</f>
        <v>0</v>
      </c>
      <c r="AP491">
        <f>N(AP490)+$AO491</f>
        <v>0</v>
      </c>
      <c r="AR491">
        <f>IF(OR($AF491=1,$AH491=1),1,0)</f>
        <v>0</v>
      </c>
      <c r="AS491">
        <f>N(AS490)+$AR491</f>
        <v>0</v>
      </c>
    </row>
    <row r="492" ht="14.25" customHeight="1" s="127">
      <c r="A492" t="str">
        <f>IF(对接源_01水果!$C492="","",对接源_01水果!$C492)</f>
        <v>王照雪</v>
      </c>
      <c r="B492">
        <f>IF(A492="",0,IF(MATCH(A492,$A$4:$A$2403,0)=ROW()-3,1,0))</f>
        <v>0</v>
      </c>
      <c r="C492">
        <f>N(C491)+B492</f>
        <v>22</v>
      </c>
      <c r="K492">
        <f>IF(OR($K$1="",对接源_01水果!$C492="",对接源_01水果!$C492&lt;&gt;$K$1,对接源_01水果!$B492=""),0,IF(OR(N(对接源_01水果!$B492)&lt;$K$2,N(对接源_01水果!$B492)&gt;$K$3),0,1))</f>
        <v>0</v>
      </c>
      <c r="L492">
        <f>IF(OR($L$1="",对接源_01水果!$C492="",对接源_01水果!$C492&lt;&gt;$L$1,对接源_01水果!$B492=""),0,IF(OR(N(对接源_01水果!$B492)&lt;$L$2,N(对接源_01水果!$B492)&gt;$L$3),0,1))</f>
        <v>0</v>
      </c>
      <c r="M492">
        <f>IF(OR($M$1="",对接源_01水果!$C492="",对接源_01水果!$C492&lt;&gt;$M$1,对接源_01水果!$B492=""),0,IF(OR(N(对接源_01水果!$B492)&lt;$M$2,N(对接源_01水果!$B492)&gt;$M$3),0,1))</f>
        <v>0</v>
      </c>
      <c r="N492">
        <f>IF(OR($N$1="",对接源_01水果!$C492="",对接源_01水果!$C492&lt;&gt;$N$1,对接源_01水果!$B492=""),0,IF(OR(N(对接源_01水果!$B492)&lt;$N$2,N(对接源_01水果!$B492)&gt;$N$3),0,1))</f>
        <v>0</v>
      </c>
      <c r="P492">
        <f>IF(AND($K492=1,AND(对接源_01水果!$X492="公司筐",N(对接源_01水果!$T492)&lt;&gt;0)),1,0)</f>
        <v>0</v>
      </c>
      <c r="Q492">
        <f>N(Q491)+$P492</f>
        <v>0</v>
      </c>
      <c r="R492">
        <f>IF(AND($K492=1,AND(对接源_01水果!$X492="公司筐",N(对接源_01水果!$U492)&lt;&gt;0)),1,0)</f>
        <v>0</v>
      </c>
      <c r="S492">
        <f>N(S491)+$R492</f>
        <v>0</v>
      </c>
      <c r="T492">
        <f>IF(AND($K492=1,AND(对接源_01水果!$X492="公司筐",N(对接源_01水果!$V492)&lt;&gt;0)),1,0)</f>
        <v>0</v>
      </c>
      <c r="U492">
        <f>N(U491)+$T492</f>
        <v>47</v>
      </c>
      <c r="V492">
        <f>IF(AND($L492=1,AND(对接源_01水果!$X492="自备筐",N(对接源_01水果!$V492)&lt;&gt;0)),1,0)</f>
        <v>0</v>
      </c>
      <c r="W492">
        <f>N(W491)+$V492</f>
        <v>11</v>
      </c>
      <c r="X492">
        <f>IF(AND($L492=1,AND(对接源_01水果!$X492="自备筐",N(对接源_01水果!$T492)&lt;&gt;0)),1,0)</f>
        <v>0</v>
      </c>
      <c r="Y492">
        <f>N(Y491)+$X492</f>
        <v>0</v>
      </c>
      <c r="Z492">
        <f>IF(AND($M492=1,对接源_01水果!$D492="原料入库"),1,0)</f>
        <v>0</v>
      </c>
      <c r="AA492">
        <f>N(AA491)+$Z492</f>
        <v>24</v>
      </c>
      <c r="AB492">
        <f>IF(AND($M492=1,LEFT(对接源_01水果!$D492,4)="原料出库"),1,0)</f>
        <v>0</v>
      </c>
      <c r="AC492">
        <f>N(AC491)+$AB492</f>
        <v>0</v>
      </c>
      <c r="AD492">
        <f>IF(AND($M492=1,LEFT(对接源_01水果!$D492,4)="成品出库"),1,0)</f>
        <v>0</v>
      </c>
      <c r="AE492">
        <f>N(AE491)+$AD492</f>
        <v>0</v>
      </c>
      <c r="AF492">
        <f>IF(AND($N492=1,AND(LEFT(对接源_01水果!$D492,4)="包装物料",N(对接源_01水果!$K492)&lt;&gt;0)),1,0)</f>
        <v>0</v>
      </c>
      <c r="AG492">
        <f>N(AG491)+$AF492</f>
        <v>0</v>
      </c>
      <c r="AH492">
        <f>IF(AND($N492=1,AND(对接源_01水果!$D492="周转筐－销售出库",N(对接源_01水果!$K492)&lt;&gt;0)),1,0)</f>
        <v>0</v>
      </c>
      <c r="AI492">
        <f>N(AI491)+$AH492</f>
        <v>0</v>
      </c>
      <c r="AJ492" s="7" t="n"/>
      <c r="AL492">
        <f>IF(OR($AL$1="",对接源_01水果!$Y492="",对接源_01水果!$Y492&lt;&gt;$AL$1,对接源_01水果!$B492="",N(对接源_01水果!$AJ492)&lt;=0),0,IF(OR(N(对接源_01水果!$B492)&lt;$AL$2,N(对接源_01水果!$B492)&gt;$AL$3),0,1))</f>
        <v>0</v>
      </c>
      <c r="AM492">
        <f>N(AM491)+$AL492</f>
        <v>0</v>
      </c>
      <c r="AN492">
        <f>IF(对接源_01水果!$AC492="","",对接源_01水果!$AC492)</f>
      </c>
      <c r="AO492">
        <f>IF(AN492="",0,IF(MATCH(AN492,$AN$4:$AN$1203,0)=ROW()-3,1,0))</f>
        <v>0</v>
      </c>
      <c r="AP492">
        <f>N(AP491)+$AO492</f>
        <v>0</v>
      </c>
      <c r="AR492">
        <f>IF(OR($AF492=1,$AH492=1),1,0)</f>
        <v>0</v>
      </c>
      <c r="AS492">
        <f>N(AS491)+$AR492</f>
        <v>0</v>
      </c>
    </row>
    <row r="493" ht="14.25" customHeight="1" s="127">
      <c r="A493" t="str">
        <f>IF(对接源_01水果!$C493="","",对接源_01水果!$C493)</f>
        <v>王照雪</v>
      </c>
      <c r="B493">
        <f>IF(A493="",0,IF(MATCH(A493,$A$4:$A$2403,0)=ROW()-3,1,0))</f>
        <v>0</v>
      </c>
      <c r="C493">
        <f>N(C492)+B493</f>
        <v>22</v>
      </c>
      <c r="K493">
        <f>IF(OR($K$1="",对接源_01水果!$C493="",对接源_01水果!$C493&lt;&gt;$K$1,对接源_01水果!$B493=""),0,IF(OR(N(对接源_01水果!$B493)&lt;$K$2,N(对接源_01水果!$B493)&gt;$K$3),0,1))</f>
        <v>0</v>
      </c>
      <c r="L493">
        <f>IF(OR($L$1="",对接源_01水果!$C493="",对接源_01水果!$C493&lt;&gt;$L$1,对接源_01水果!$B493=""),0,IF(OR(N(对接源_01水果!$B493)&lt;$L$2,N(对接源_01水果!$B493)&gt;$L$3),0,1))</f>
        <v>0</v>
      </c>
      <c r="M493">
        <f>IF(OR($M$1="",对接源_01水果!$C493="",对接源_01水果!$C493&lt;&gt;$M$1,对接源_01水果!$B493=""),0,IF(OR(N(对接源_01水果!$B493)&lt;$M$2,N(对接源_01水果!$B493)&gt;$M$3),0,1))</f>
        <v>0</v>
      </c>
      <c r="N493">
        <f>IF(OR($N$1="",对接源_01水果!$C493="",对接源_01水果!$C493&lt;&gt;$N$1,对接源_01水果!$B493=""),0,IF(OR(N(对接源_01水果!$B493)&lt;$N$2,N(对接源_01水果!$B493)&gt;$N$3),0,1))</f>
        <v>0</v>
      </c>
      <c r="P493">
        <f>IF(AND($K493=1,AND(对接源_01水果!$X493="公司筐",N(对接源_01水果!$T493)&lt;&gt;0)),1,0)</f>
        <v>0</v>
      </c>
      <c r="Q493">
        <f>N(Q492)+$P493</f>
        <v>0</v>
      </c>
      <c r="R493">
        <f>IF(AND($K493=1,AND(对接源_01水果!$X493="公司筐",N(对接源_01水果!$U493)&lt;&gt;0)),1,0)</f>
        <v>0</v>
      </c>
      <c r="S493">
        <f>N(S492)+$R493</f>
        <v>0</v>
      </c>
      <c r="T493">
        <f>IF(AND($K493=1,AND(对接源_01水果!$X493="公司筐",N(对接源_01水果!$V493)&lt;&gt;0)),1,0)</f>
        <v>0</v>
      </c>
      <c r="U493">
        <f>N(U492)+$T493</f>
        <v>47</v>
      </c>
      <c r="V493">
        <f>IF(AND($L493=1,AND(对接源_01水果!$X493="自备筐",N(对接源_01水果!$V493)&lt;&gt;0)),1,0)</f>
        <v>0</v>
      </c>
      <c r="W493">
        <f>N(W492)+$V493</f>
        <v>11</v>
      </c>
      <c r="X493">
        <f>IF(AND($L493=1,AND(对接源_01水果!$X493="自备筐",N(对接源_01水果!$T493)&lt;&gt;0)),1,0)</f>
        <v>0</v>
      </c>
      <c r="Y493">
        <f>N(Y492)+$X493</f>
        <v>0</v>
      </c>
      <c r="Z493">
        <f>IF(AND($M493=1,对接源_01水果!$D493="原料入库"),1,0)</f>
        <v>0</v>
      </c>
      <c r="AA493">
        <f>N(AA492)+$Z493</f>
        <v>24</v>
      </c>
      <c r="AB493">
        <f>IF(AND($M493=1,LEFT(对接源_01水果!$D493,4)="原料出库"),1,0)</f>
        <v>0</v>
      </c>
      <c r="AC493">
        <f>N(AC492)+$AB493</f>
        <v>0</v>
      </c>
      <c r="AD493">
        <f>IF(AND($M493=1,LEFT(对接源_01水果!$D493,4)="成品出库"),1,0)</f>
        <v>0</v>
      </c>
      <c r="AE493">
        <f>N(AE492)+$AD493</f>
        <v>0</v>
      </c>
      <c r="AF493">
        <f>IF(AND($N493=1,AND(LEFT(对接源_01水果!$D493,4)="包装物料",N(对接源_01水果!$K493)&lt;&gt;0)),1,0)</f>
        <v>0</v>
      </c>
      <c r="AG493">
        <f>N(AG492)+$AF493</f>
        <v>0</v>
      </c>
      <c r="AH493">
        <f>IF(AND($N493=1,AND(对接源_01水果!$D493="周转筐－销售出库",N(对接源_01水果!$K493)&lt;&gt;0)),1,0)</f>
        <v>0</v>
      </c>
      <c r="AI493">
        <f>N(AI492)+$AH493</f>
        <v>0</v>
      </c>
      <c r="AJ493" s="7" t="n"/>
      <c r="AL493">
        <f>IF(OR($AL$1="",对接源_01水果!$Y493="",对接源_01水果!$Y493&lt;&gt;$AL$1,对接源_01水果!$B493="",N(对接源_01水果!$AJ493)&lt;=0),0,IF(OR(N(对接源_01水果!$B493)&lt;$AL$2,N(对接源_01水果!$B493)&gt;$AL$3),0,1))</f>
        <v>0</v>
      </c>
      <c r="AM493">
        <f>N(AM492)+$AL493</f>
        <v>0</v>
      </c>
      <c r="AN493">
        <f>IF(对接源_01水果!$AC493="","",对接源_01水果!$AC493)</f>
      </c>
      <c r="AO493">
        <f>IF(AN493="",0,IF(MATCH(AN493,$AN$4:$AN$1203,0)=ROW()-3,1,0))</f>
        <v>0</v>
      </c>
      <c r="AP493">
        <f>N(AP492)+$AO493</f>
        <v>0</v>
      </c>
      <c r="AR493">
        <f>IF(OR($AF493=1,$AH493=1),1,0)</f>
        <v>0</v>
      </c>
      <c r="AS493">
        <f>N(AS492)+$AR493</f>
        <v>0</v>
      </c>
    </row>
    <row r="494" ht="14.25" customHeight="1" s="127">
      <c r="A494" t="str">
        <f>IF(对接源_01水果!$C494="","",对接源_01水果!$C494)</f>
        <v>聂新平</v>
      </c>
      <c r="B494">
        <f>IF(A494="",0,IF(MATCH(A494,$A$4:$A$2403,0)=ROW()-3,1,0))</f>
        <v>0</v>
      </c>
      <c r="C494">
        <f>N(C493)+B494</f>
        <v>22</v>
      </c>
      <c r="K494">
        <f>IF(OR($K$1="",对接源_01水果!$C494="",对接源_01水果!$C494&lt;&gt;$K$1,对接源_01水果!$B494=""),0,IF(OR(N(对接源_01水果!$B494)&lt;$K$2,N(对接源_01水果!$B494)&gt;$K$3),0,1))</f>
        <v>0</v>
      </c>
      <c r="L494">
        <f>IF(OR($L$1="",对接源_01水果!$C494="",对接源_01水果!$C494&lt;&gt;$L$1,对接源_01水果!$B494=""),0,IF(OR(N(对接源_01水果!$B494)&lt;$L$2,N(对接源_01水果!$B494)&gt;$L$3),0,1))</f>
        <v>0</v>
      </c>
      <c r="M494">
        <f>IF(OR($M$1="",对接源_01水果!$C494="",对接源_01水果!$C494&lt;&gt;$M$1,对接源_01水果!$B494=""),0,IF(OR(N(对接源_01水果!$B494)&lt;$M$2,N(对接源_01水果!$B494)&gt;$M$3),0,1))</f>
        <v>0</v>
      </c>
      <c r="N494">
        <f>IF(OR($N$1="",对接源_01水果!$C494="",对接源_01水果!$C494&lt;&gt;$N$1,对接源_01水果!$B494=""),0,IF(OR(N(对接源_01水果!$B494)&lt;$N$2,N(对接源_01水果!$B494)&gt;$N$3),0,1))</f>
        <v>0</v>
      </c>
      <c r="P494">
        <f>IF(AND($K494=1,AND(对接源_01水果!$X494="公司筐",N(对接源_01水果!$T494)&lt;&gt;0)),1,0)</f>
        <v>0</v>
      </c>
      <c r="Q494">
        <f>N(Q493)+$P494</f>
        <v>0</v>
      </c>
      <c r="R494">
        <f>IF(AND($K494=1,AND(对接源_01水果!$X494="公司筐",N(对接源_01水果!$U494)&lt;&gt;0)),1,0)</f>
        <v>0</v>
      </c>
      <c r="S494">
        <f>N(S493)+$R494</f>
        <v>0</v>
      </c>
      <c r="T494">
        <f>IF(AND($K494=1,AND(对接源_01水果!$X494="公司筐",N(对接源_01水果!$V494)&lt;&gt;0)),1,0)</f>
        <v>0</v>
      </c>
      <c r="U494">
        <f>N(U493)+$T494</f>
        <v>47</v>
      </c>
      <c r="V494">
        <f>IF(AND($L494=1,AND(对接源_01水果!$X494="自备筐",N(对接源_01水果!$V494)&lt;&gt;0)),1,0)</f>
        <v>0</v>
      </c>
      <c r="W494">
        <f>N(W493)+$V494</f>
        <v>11</v>
      </c>
      <c r="X494">
        <f>IF(AND($L494=1,AND(对接源_01水果!$X494="自备筐",N(对接源_01水果!$T494)&lt;&gt;0)),1,0)</f>
        <v>0</v>
      </c>
      <c r="Y494">
        <f>N(Y493)+$X494</f>
        <v>0</v>
      </c>
      <c r="Z494">
        <f>IF(AND($M494=1,对接源_01水果!$D494="原料入库"),1,0)</f>
        <v>0</v>
      </c>
      <c r="AA494">
        <f>N(AA493)+$Z494</f>
        <v>24</v>
      </c>
      <c r="AB494">
        <f>IF(AND($M494=1,LEFT(对接源_01水果!$D494,4)="原料出库"),1,0)</f>
        <v>0</v>
      </c>
      <c r="AC494">
        <f>N(AC493)+$AB494</f>
        <v>0</v>
      </c>
      <c r="AD494">
        <f>IF(AND($M494=1,LEFT(对接源_01水果!$D494,4)="成品出库"),1,0)</f>
        <v>0</v>
      </c>
      <c r="AE494">
        <f>N(AE493)+$AD494</f>
        <v>0</v>
      </c>
      <c r="AF494">
        <f>IF(AND($N494=1,AND(LEFT(对接源_01水果!$D494,4)="包装物料",N(对接源_01水果!$K494)&lt;&gt;0)),1,0)</f>
        <v>0</v>
      </c>
      <c r="AG494">
        <f>N(AG493)+$AF494</f>
        <v>0</v>
      </c>
      <c r="AH494">
        <f>IF(AND($N494=1,AND(对接源_01水果!$D494="周转筐－销售出库",N(对接源_01水果!$K494)&lt;&gt;0)),1,0)</f>
        <v>0</v>
      </c>
      <c r="AI494">
        <f>N(AI493)+$AH494</f>
        <v>0</v>
      </c>
      <c r="AJ494" s="7" t="n"/>
      <c r="AL494">
        <f>IF(OR($AL$1="",对接源_01水果!$Y494="",对接源_01水果!$Y494&lt;&gt;$AL$1,对接源_01水果!$B494="",N(对接源_01水果!$AJ494)&lt;=0),0,IF(OR(N(对接源_01水果!$B494)&lt;$AL$2,N(对接源_01水果!$B494)&gt;$AL$3),0,1))</f>
        <v>0</v>
      </c>
      <c r="AM494">
        <f>N(AM493)+$AL494</f>
        <v>0</v>
      </c>
      <c r="AN494">
        <f>IF(对接源_01水果!$AC494="","",对接源_01水果!$AC494)</f>
      </c>
      <c r="AO494">
        <f>IF(AN494="",0,IF(MATCH(AN494,$AN$4:$AN$1203,0)=ROW()-3,1,0))</f>
        <v>0</v>
      </c>
      <c r="AP494">
        <f>N(AP493)+$AO494</f>
        <v>0</v>
      </c>
      <c r="AR494">
        <f>IF(OR($AF494=1,$AH494=1),1,0)</f>
        <v>0</v>
      </c>
      <c r="AS494">
        <f>N(AS493)+$AR494</f>
        <v>0</v>
      </c>
    </row>
    <row r="495" ht="14.25" customHeight="1" s="127">
      <c r="A495" t="str">
        <f>IF(对接源_01水果!$C495="","",对接源_01水果!$C495)</f>
        <v>王照雪</v>
      </c>
      <c r="B495">
        <f>IF(A495="",0,IF(MATCH(A495,$A$4:$A$2403,0)=ROW()-3,1,0))</f>
        <v>0</v>
      </c>
      <c r="C495">
        <f>N(C494)+B495</f>
        <v>22</v>
      </c>
      <c r="K495">
        <f>IF(OR($K$1="",对接源_01水果!$C495="",对接源_01水果!$C495&lt;&gt;$K$1,对接源_01水果!$B495=""),0,IF(OR(N(对接源_01水果!$B495)&lt;$K$2,N(对接源_01水果!$B495)&gt;$K$3),0,1))</f>
        <v>0</v>
      </c>
      <c r="L495">
        <f>IF(OR($L$1="",对接源_01水果!$C495="",对接源_01水果!$C495&lt;&gt;$L$1,对接源_01水果!$B495=""),0,IF(OR(N(对接源_01水果!$B495)&lt;$L$2,N(对接源_01水果!$B495)&gt;$L$3),0,1))</f>
        <v>0</v>
      </c>
      <c r="M495">
        <f>IF(OR($M$1="",对接源_01水果!$C495="",对接源_01水果!$C495&lt;&gt;$M$1,对接源_01水果!$B495=""),0,IF(OR(N(对接源_01水果!$B495)&lt;$M$2,N(对接源_01水果!$B495)&gt;$M$3),0,1))</f>
        <v>0</v>
      </c>
      <c r="N495">
        <f>IF(OR($N$1="",对接源_01水果!$C495="",对接源_01水果!$C495&lt;&gt;$N$1,对接源_01水果!$B495=""),0,IF(OR(N(对接源_01水果!$B495)&lt;$N$2,N(对接源_01水果!$B495)&gt;$N$3),0,1))</f>
        <v>0</v>
      </c>
      <c r="P495">
        <f>IF(AND($K495=1,AND(对接源_01水果!$X495="公司筐",N(对接源_01水果!$T495)&lt;&gt;0)),1,0)</f>
        <v>0</v>
      </c>
      <c r="Q495">
        <f>N(Q494)+$P495</f>
        <v>0</v>
      </c>
      <c r="R495">
        <f>IF(AND($K495=1,AND(对接源_01水果!$X495="公司筐",N(对接源_01水果!$U495)&lt;&gt;0)),1,0)</f>
        <v>0</v>
      </c>
      <c r="S495">
        <f>N(S494)+$R495</f>
        <v>0</v>
      </c>
      <c r="T495">
        <f>IF(AND($K495=1,AND(对接源_01水果!$X495="公司筐",N(对接源_01水果!$V495)&lt;&gt;0)),1,0)</f>
        <v>0</v>
      </c>
      <c r="U495">
        <f>N(U494)+$T495</f>
        <v>47</v>
      </c>
      <c r="V495">
        <f>IF(AND($L495=1,AND(对接源_01水果!$X495="自备筐",N(对接源_01水果!$V495)&lt;&gt;0)),1,0)</f>
        <v>0</v>
      </c>
      <c r="W495">
        <f>N(W494)+$V495</f>
        <v>11</v>
      </c>
      <c r="X495">
        <f>IF(AND($L495=1,AND(对接源_01水果!$X495="自备筐",N(对接源_01水果!$T495)&lt;&gt;0)),1,0)</f>
        <v>0</v>
      </c>
      <c r="Y495">
        <f>N(Y494)+$X495</f>
        <v>0</v>
      </c>
      <c r="Z495">
        <f>IF(AND($M495=1,对接源_01水果!$D495="原料入库"),1,0)</f>
        <v>0</v>
      </c>
      <c r="AA495">
        <f>N(AA494)+$Z495</f>
        <v>24</v>
      </c>
      <c r="AB495">
        <f>IF(AND($M495=1,LEFT(对接源_01水果!$D495,4)="原料出库"),1,0)</f>
        <v>0</v>
      </c>
      <c r="AC495">
        <f>N(AC494)+$AB495</f>
        <v>0</v>
      </c>
      <c r="AD495">
        <f>IF(AND($M495=1,LEFT(对接源_01水果!$D495,4)="成品出库"),1,0)</f>
        <v>0</v>
      </c>
      <c r="AE495">
        <f>N(AE494)+$AD495</f>
        <v>0</v>
      </c>
      <c r="AF495">
        <f>IF(AND($N495=1,AND(LEFT(对接源_01水果!$D495,4)="包装物料",N(对接源_01水果!$K495)&lt;&gt;0)),1,0)</f>
        <v>0</v>
      </c>
      <c r="AG495">
        <f>N(AG494)+$AF495</f>
        <v>0</v>
      </c>
      <c r="AH495">
        <f>IF(AND($N495=1,AND(对接源_01水果!$D495="周转筐－销售出库",N(对接源_01水果!$K495)&lt;&gt;0)),1,0)</f>
        <v>0</v>
      </c>
      <c r="AI495">
        <f>N(AI494)+$AH495</f>
        <v>0</v>
      </c>
      <c r="AJ495" s="7" t="n"/>
      <c r="AL495">
        <f>IF(OR($AL$1="",对接源_01水果!$Y495="",对接源_01水果!$Y495&lt;&gt;$AL$1,对接源_01水果!$B495="",N(对接源_01水果!$AJ495)&lt;=0),0,IF(OR(N(对接源_01水果!$B495)&lt;$AL$2,N(对接源_01水果!$B495)&gt;$AL$3),0,1))</f>
        <v>0</v>
      </c>
      <c r="AM495">
        <f>N(AM494)+$AL495</f>
        <v>0</v>
      </c>
      <c r="AN495">
        <f>IF(对接源_01水果!$AC495="","",对接源_01水果!$AC495)</f>
      </c>
      <c r="AO495">
        <f>IF(AN495="",0,IF(MATCH(AN495,$AN$4:$AN$1203,0)=ROW()-3,1,0))</f>
        <v>0</v>
      </c>
      <c r="AP495">
        <f>N(AP494)+$AO495</f>
        <v>0</v>
      </c>
      <c r="AR495">
        <f>IF(OR($AF495=1,$AH495=1),1,0)</f>
        <v>0</v>
      </c>
      <c r="AS495">
        <f>N(AS494)+$AR495</f>
        <v>0</v>
      </c>
    </row>
    <row r="496" ht="14.25" customHeight="1" s="127">
      <c r="A496" t="str">
        <f>IF(对接源_01水果!$C496="","",对接源_01水果!$C496)</f>
        <v>聂新平</v>
      </c>
      <c r="B496">
        <f>IF(A496="",0,IF(MATCH(A496,$A$4:$A$2403,0)=ROW()-3,1,0))</f>
        <v>0</v>
      </c>
      <c r="C496">
        <f>N(C495)+B496</f>
        <v>22</v>
      </c>
      <c r="K496">
        <f>IF(OR($K$1="",对接源_01水果!$C496="",对接源_01水果!$C496&lt;&gt;$K$1,对接源_01水果!$B496=""),0,IF(OR(N(对接源_01水果!$B496)&lt;$K$2,N(对接源_01水果!$B496)&gt;$K$3),0,1))</f>
        <v>0</v>
      </c>
      <c r="L496">
        <f>IF(OR($L$1="",对接源_01水果!$C496="",对接源_01水果!$C496&lt;&gt;$L$1,对接源_01水果!$B496=""),0,IF(OR(N(对接源_01水果!$B496)&lt;$L$2,N(对接源_01水果!$B496)&gt;$L$3),0,1))</f>
        <v>0</v>
      </c>
      <c r="M496">
        <f>IF(OR($M$1="",对接源_01水果!$C496="",对接源_01水果!$C496&lt;&gt;$M$1,对接源_01水果!$B496=""),0,IF(OR(N(对接源_01水果!$B496)&lt;$M$2,N(对接源_01水果!$B496)&gt;$M$3),0,1))</f>
        <v>0</v>
      </c>
      <c r="N496">
        <f>IF(OR($N$1="",对接源_01水果!$C496="",对接源_01水果!$C496&lt;&gt;$N$1,对接源_01水果!$B496=""),0,IF(OR(N(对接源_01水果!$B496)&lt;$N$2,N(对接源_01水果!$B496)&gt;$N$3),0,1))</f>
        <v>0</v>
      </c>
      <c r="P496">
        <f>IF(AND($K496=1,AND(对接源_01水果!$X496="公司筐",N(对接源_01水果!$T496)&lt;&gt;0)),1,0)</f>
        <v>0</v>
      </c>
      <c r="Q496">
        <f>N(Q495)+$P496</f>
        <v>0</v>
      </c>
      <c r="R496">
        <f>IF(AND($K496=1,AND(对接源_01水果!$X496="公司筐",N(对接源_01水果!$U496)&lt;&gt;0)),1,0)</f>
        <v>0</v>
      </c>
      <c r="S496">
        <f>N(S495)+$R496</f>
        <v>0</v>
      </c>
      <c r="T496">
        <f>IF(AND($K496=1,AND(对接源_01水果!$X496="公司筐",N(对接源_01水果!$V496)&lt;&gt;0)),1,0)</f>
        <v>0</v>
      </c>
      <c r="U496">
        <f>N(U495)+$T496</f>
        <v>47</v>
      </c>
      <c r="V496">
        <f>IF(AND($L496=1,AND(对接源_01水果!$X496="自备筐",N(对接源_01水果!$V496)&lt;&gt;0)),1,0)</f>
        <v>0</v>
      </c>
      <c r="W496">
        <f>N(W495)+$V496</f>
        <v>11</v>
      </c>
      <c r="X496">
        <f>IF(AND($L496=1,AND(对接源_01水果!$X496="自备筐",N(对接源_01水果!$T496)&lt;&gt;0)),1,0)</f>
        <v>0</v>
      </c>
      <c r="Y496">
        <f>N(Y495)+$X496</f>
        <v>0</v>
      </c>
      <c r="Z496">
        <f>IF(AND($M496=1,对接源_01水果!$D496="原料入库"),1,0)</f>
        <v>0</v>
      </c>
      <c r="AA496">
        <f>N(AA495)+$Z496</f>
        <v>24</v>
      </c>
      <c r="AB496">
        <f>IF(AND($M496=1,LEFT(对接源_01水果!$D496,4)="原料出库"),1,0)</f>
        <v>0</v>
      </c>
      <c r="AC496">
        <f>N(AC495)+$AB496</f>
        <v>0</v>
      </c>
      <c r="AD496">
        <f>IF(AND($M496=1,LEFT(对接源_01水果!$D496,4)="成品出库"),1,0)</f>
        <v>0</v>
      </c>
      <c r="AE496">
        <f>N(AE495)+$AD496</f>
        <v>0</v>
      </c>
      <c r="AF496">
        <f>IF(AND($N496=1,AND(LEFT(对接源_01水果!$D496,4)="包装物料",N(对接源_01水果!$K496)&lt;&gt;0)),1,0)</f>
        <v>0</v>
      </c>
      <c r="AG496">
        <f>N(AG495)+$AF496</f>
        <v>0</v>
      </c>
      <c r="AH496">
        <f>IF(AND($N496=1,AND(对接源_01水果!$D496="周转筐－销售出库",N(对接源_01水果!$K496)&lt;&gt;0)),1,0)</f>
        <v>0</v>
      </c>
      <c r="AI496">
        <f>N(AI495)+$AH496</f>
        <v>0</v>
      </c>
      <c r="AJ496" s="7" t="n"/>
      <c r="AL496">
        <f>IF(OR($AL$1="",对接源_01水果!$Y496="",对接源_01水果!$Y496&lt;&gt;$AL$1,对接源_01水果!$B496="",N(对接源_01水果!$AJ496)&lt;=0),0,IF(OR(N(对接源_01水果!$B496)&lt;$AL$2,N(对接源_01水果!$B496)&gt;$AL$3),0,1))</f>
        <v>0</v>
      </c>
      <c r="AM496">
        <f>N(AM495)+$AL496</f>
        <v>0</v>
      </c>
      <c r="AN496">
        <f>IF(对接源_01水果!$AC496="","",对接源_01水果!$AC496)</f>
      </c>
      <c r="AO496">
        <f>IF(AN496="",0,IF(MATCH(AN496,$AN$4:$AN$1203,0)=ROW()-3,1,0))</f>
        <v>0</v>
      </c>
      <c r="AP496">
        <f>N(AP495)+$AO496</f>
        <v>0</v>
      </c>
      <c r="AR496">
        <f>IF(OR($AF496=1,$AH496=1),1,0)</f>
        <v>0</v>
      </c>
      <c r="AS496">
        <f>N(AS495)+$AR496</f>
        <v>0</v>
      </c>
    </row>
    <row r="497" ht="14.25" customHeight="1" s="127">
      <c r="A497" t="str">
        <f>IF(对接源_01水果!$C497="","",对接源_01水果!$C497)</f>
        <v>聂新平</v>
      </c>
      <c r="B497">
        <f>IF(A497="",0,IF(MATCH(A497,$A$4:$A$2403,0)=ROW()-3,1,0))</f>
        <v>0</v>
      </c>
      <c r="C497">
        <f>N(C496)+B497</f>
        <v>22</v>
      </c>
      <c r="K497">
        <f>IF(OR($K$1="",对接源_01水果!$C497="",对接源_01水果!$C497&lt;&gt;$K$1,对接源_01水果!$B497=""),0,IF(OR(N(对接源_01水果!$B497)&lt;$K$2,N(对接源_01水果!$B497)&gt;$K$3),0,1))</f>
        <v>0</v>
      </c>
      <c r="L497">
        <f>IF(OR($L$1="",对接源_01水果!$C497="",对接源_01水果!$C497&lt;&gt;$L$1,对接源_01水果!$B497=""),0,IF(OR(N(对接源_01水果!$B497)&lt;$L$2,N(对接源_01水果!$B497)&gt;$L$3),0,1))</f>
        <v>0</v>
      </c>
      <c r="M497">
        <f>IF(OR($M$1="",对接源_01水果!$C497="",对接源_01水果!$C497&lt;&gt;$M$1,对接源_01水果!$B497=""),0,IF(OR(N(对接源_01水果!$B497)&lt;$M$2,N(对接源_01水果!$B497)&gt;$M$3),0,1))</f>
        <v>0</v>
      </c>
      <c r="N497">
        <f>IF(OR($N$1="",对接源_01水果!$C497="",对接源_01水果!$C497&lt;&gt;$N$1,对接源_01水果!$B497=""),0,IF(OR(N(对接源_01水果!$B497)&lt;$N$2,N(对接源_01水果!$B497)&gt;$N$3),0,1))</f>
        <v>0</v>
      </c>
      <c r="P497">
        <f>IF(AND($K497=1,AND(对接源_01水果!$X497="公司筐",N(对接源_01水果!$T497)&lt;&gt;0)),1,0)</f>
        <v>0</v>
      </c>
      <c r="Q497">
        <f>N(Q496)+$P497</f>
        <v>0</v>
      </c>
      <c r="R497">
        <f>IF(AND($K497=1,AND(对接源_01水果!$X497="公司筐",N(对接源_01水果!$U497)&lt;&gt;0)),1,0)</f>
        <v>0</v>
      </c>
      <c r="S497">
        <f>N(S496)+$R497</f>
        <v>0</v>
      </c>
      <c r="T497">
        <f>IF(AND($K497=1,AND(对接源_01水果!$X497="公司筐",N(对接源_01水果!$V497)&lt;&gt;0)),1,0)</f>
        <v>0</v>
      </c>
      <c r="U497">
        <f>N(U496)+$T497</f>
        <v>47</v>
      </c>
      <c r="V497">
        <f>IF(AND($L497=1,AND(对接源_01水果!$X497="自备筐",N(对接源_01水果!$V497)&lt;&gt;0)),1,0)</f>
        <v>0</v>
      </c>
      <c r="W497">
        <f>N(W496)+$V497</f>
        <v>11</v>
      </c>
      <c r="X497">
        <f>IF(AND($L497=1,AND(对接源_01水果!$X497="自备筐",N(对接源_01水果!$T497)&lt;&gt;0)),1,0)</f>
        <v>0</v>
      </c>
      <c r="Y497">
        <f>N(Y496)+$X497</f>
        <v>0</v>
      </c>
      <c r="Z497">
        <f>IF(AND($M497=1,对接源_01水果!$D497="原料入库"),1,0)</f>
        <v>0</v>
      </c>
      <c r="AA497">
        <f>N(AA496)+$Z497</f>
        <v>24</v>
      </c>
      <c r="AB497">
        <f>IF(AND($M497=1,LEFT(对接源_01水果!$D497,4)="原料出库"),1,0)</f>
        <v>0</v>
      </c>
      <c r="AC497">
        <f>N(AC496)+$AB497</f>
        <v>0</v>
      </c>
      <c r="AD497">
        <f>IF(AND($M497=1,LEFT(对接源_01水果!$D497,4)="成品出库"),1,0)</f>
        <v>0</v>
      </c>
      <c r="AE497">
        <f>N(AE496)+$AD497</f>
        <v>0</v>
      </c>
      <c r="AF497">
        <f>IF(AND($N497=1,AND(LEFT(对接源_01水果!$D497,4)="包装物料",N(对接源_01水果!$K497)&lt;&gt;0)),1,0)</f>
        <v>0</v>
      </c>
      <c r="AG497">
        <f>N(AG496)+$AF497</f>
        <v>0</v>
      </c>
      <c r="AH497">
        <f>IF(AND($N497=1,AND(对接源_01水果!$D497="周转筐－销售出库",N(对接源_01水果!$K497)&lt;&gt;0)),1,0)</f>
        <v>0</v>
      </c>
      <c r="AI497">
        <f>N(AI496)+$AH497</f>
        <v>0</v>
      </c>
      <c r="AJ497" s="7" t="n"/>
      <c r="AL497">
        <f>IF(OR($AL$1="",对接源_01水果!$Y497="",对接源_01水果!$Y497&lt;&gt;$AL$1,对接源_01水果!$B497="",N(对接源_01水果!$AJ497)&lt;=0),0,IF(OR(N(对接源_01水果!$B497)&lt;$AL$2,N(对接源_01水果!$B497)&gt;$AL$3),0,1))</f>
        <v>0</v>
      </c>
      <c r="AM497">
        <f>N(AM496)+$AL497</f>
        <v>0</v>
      </c>
      <c r="AN497">
        <f>IF(对接源_01水果!$AC497="","",对接源_01水果!$AC497)</f>
      </c>
      <c r="AO497">
        <f>IF(AN497="",0,IF(MATCH(AN497,$AN$4:$AN$1203,0)=ROW()-3,1,0))</f>
        <v>0</v>
      </c>
      <c r="AP497">
        <f>N(AP496)+$AO497</f>
        <v>0</v>
      </c>
      <c r="AR497">
        <f>IF(OR($AF497=1,$AH497=1),1,0)</f>
        <v>0</v>
      </c>
      <c r="AS497">
        <f>N(AS496)+$AR497</f>
        <v>0</v>
      </c>
    </row>
    <row r="498" ht="14.25" customHeight="1" s="127">
      <c r="A498" t="str">
        <f>IF(对接源_01水果!$C498="","",对接源_01水果!$C498)</f>
        <v>聂新平</v>
      </c>
      <c r="B498">
        <f>IF(A498="",0,IF(MATCH(A498,$A$4:$A$2403,0)=ROW()-3,1,0))</f>
        <v>0</v>
      </c>
      <c r="C498">
        <f>N(C497)+B498</f>
        <v>22</v>
      </c>
      <c r="K498">
        <f>IF(OR($K$1="",对接源_01水果!$C498="",对接源_01水果!$C498&lt;&gt;$K$1,对接源_01水果!$B498=""),0,IF(OR(N(对接源_01水果!$B498)&lt;$K$2,N(对接源_01水果!$B498)&gt;$K$3),0,1))</f>
        <v>0</v>
      </c>
      <c r="L498">
        <f>IF(OR($L$1="",对接源_01水果!$C498="",对接源_01水果!$C498&lt;&gt;$L$1,对接源_01水果!$B498=""),0,IF(OR(N(对接源_01水果!$B498)&lt;$L$2,N(对接源_01水果!$B498)&gt;$L$3),0,1))</f>
        <v>0</v>
      </c>
      <c r="M498">
        <f>IF(OR($M$1="",对接源_01水果!$C498="",对接源_01水果!$C498&lt;&gt;$M$1,对接源_01水果!$B498=""),0,IF(OR(N(对接源_01水果!$B498)&lt;$M$2,N(对接源_01水果!$B498)&gt;$M$3),0,1))</f>
        <v>0</v>
      </c>
      <c r="N498">
        <f>IF(OR($N$1="",对接源_01水果!$C498="",对接源_01水果!$C498&lt;&gt;$N$1,对接源_01水果!$B498=""),0,IF(OR(N(对接源_01水果!$B498)&lt;$N$2,N(对接源_01水果!$B498)&gt;$N$3),0,1))</f>
        <v>0</v>
      </c>
      <c r="P498">
        <f>IF(AND($K498=1,AND(对接源_01水果!$X498="公司筐",N(对接源_01水果!$T498)&lt;&gt;0)),1,0)</f>
        <v>0</v>
      </c>
      <c r="Q498">
        <f>N(Q497)+$P498</f>
        <v>0</v>
      </c>
      <c r="R498">
        <f>IF(AND($K498=1,AND(对接源_01水果!$X498="公司筐",N(对接源_01水果!$U498)&lt;&gt;0)),1,0)</f>
        <v>0</v>
      </c>
      <c r="S498">
        <f>N(S497)+$R498</f>
        <v>0</v>
      </c>
      <c r="T498">
        <f>IF(AND($K498=1,AND(对接源_01水果!$X498="公司筐",N(对接源_01水果!$V498)&lt;&gt;0)),1,0)</f>
        <v>0</v>
      </c>
      <c r="U498">
        <f>N(U497)+$T498</f>
        <v>47</v>
      </c>
      <c r="V498">
        <f>IF(AND($L498=1,AND(对接源_01水果!$X498="自备筐",N(对接源_01水果!$V498)&lt;&gt;0)),1,0)</f>
        <v>0</v>
      </c>
      <c r="W498">
        <f>N(W497)+$V498</f>
        <v>11</v>
      </c>
      <c r="X498">
        <f>IF(AND($L498=1,AND(对接源_01水果!$X498="自备筐",N(对接源_01水果!$T498)&lt;&gt;0)),1,0)</f>
        <v>0</v>
      </c>
      <c r="Y498">
        <f>N(Y497)+$X498</f>
        <v>0</v>
      </c>
      <c r="Z498">
        <f>IF(AND($M498=1,对接源_01水果!$D498="原料入库"),1,0)</f>
        <v>0</v>
      </c>
      <c r="AA498">
        <f>N(AA497)+$Z498</f>
        <v>24</v>
      </c>
      <c r="AB498">
        <f>IF(AND($M498=1,LEFT(对接源_01水果!$D498,4)="原料出库"),1,0)</f>
        <v>0</v>
      </c>
      <c r="AC498">
        <f>N(AC497)+$AB498</f>
        <v>0</v>
      </c>
      <c r="AD498">
        <f>IF(AND($M498=1,LEFT(对接源_01水果!$D498,4)="成品出库"),1,0)</f>
        <v>0</v>
      </c>
      <c r="AE498">
        <f>N(AE497)+$AD498</f>
        <v>0</v>
      </c>
      <c r="AF498">
        <f>IF(AND($N498=1,AND(LEFT(对接源_01水果!$D498,4)="包装物料",N(对接源_01水果!$K498)&lt;&gt;0)),1,0)</f>
        <v>0</v>
      </c>
      <c r="AG498">
        <f>N(AG497)+$AF498</f>
        <v>0</v>
      </c>
      <c r="AH498">
        <f>IF(AND($N498=1,AND(对接源_01水果!$D498="周转筐－销售出库",N(对接源_01水果!$K498)&lt;&gt;0)),1,0)</f>
        <v>0</v>
      </c>
      <c r="AI498">
        <f>N(AI497)+$AH498</f>
        <v>0</v>
      </c>
      <c r="AJ498" s="7" t="n"/>
      <c r="AL498">
        <f>IF(OR($AL$1="",对接源_01水果!$Y498="",对接源_01水果!$Y498&lt;&gt;$AL$1,对接源_01水果!$B498="",N(对接源_01水果!$AJ498)&lt;=0),0,IF(OR(N(对接源_01水果!$B498)&lt;$AL$2,N(对接源_01水果!$B498)&gt;$AL$3),0,1))</f>
        <v>0</v>
      </c>
      <c r="AM498">
        <f>N(AM497)+$AL498</f>
        <v>0</v>
      </c>
      <c r="AN498">
        <f>IF(对接源_01水果!$AC498="","",对接源_01水果!$AC498)</f>
      </c>
      <c r="AO498">
        <f>IF(AN498="",0,IF(MATCH(AN498,$AN$4:$AN$1203,0)=ROW()-3,1,0))</f>
        <v>0</v>
      </c>
      <c r="AP498">
        <f>N(AP497)+$AO498</f>
        <v>0</v>
      </c>
      <c r="AR498">
        <f>IF(OR($AF498=1,$AH498=1),1,0)</f>
        <v>0</v>
      </c>
      <c r="AS498">
        <f>N(AS497)+$AR498</f>
        <v>0</v>
      </c>
    </row>
    <row r="499" ht="14.25" customHeight="1" s="127">
      <c r="A499" t="str">
        <f>IF(对接源_01水果!$C499="","",对接源_01水果!$C499)</f>
        <v>王照雪</v>
      </c>
      <c r="B499">
        <f>IF(A499="",0,IF(MATCH(A499,$A$4:$A$2403,0)=ROW()-3,1,0))</f>
        <v>0</v>
      </c>
      <c r="C499">
        <f>N(C498)+B499</f>
        <v>22</v>
      </c>
      <c r="K499">
        <f>IF(OR($K$1="",对接源_01水果!$C499="",对接源_01水果!$C499&lt;&gt;$K$1,对接源_01水果!$B499=""),0,IF(OR(N(对接源_01水果!$B499)&lt;$K$2,N(对接源_01水果!$B499)&gt;$K$3),0,1))</f>
        <v>0</v>
      </c>
      <c r="L499">
        <f>IF(OR($L$1="",对接源_01水果!$C499="",对接源_01水果!$C499&lt;&gt;$L$1,对接源_01水果!$B499=""),0,IF(OR(N(对接源_01水果!$B499)&lt;$L$2,N(对接源_01水果!$B499)&gt;$L$3),0,1))</f>
        <v>0</v>
      </c>
      <c r="M499">
        <f>IF(OR($M$1="",对接源_01水果!$C499="",对接源_01水果!$C499&lt;&gt;$M$1,对接源_01水果!$B499=""),0,IF(OR(N(对接源_01水果!$B499)&lt;$M$2,N(对接源_01水果!$B499)&gt;$M$3),0,1))</f>
        <v>0</v>
      </c>
      <c r="N499">
        <f>IF(OR($N$1="",对接源_01水果!$C499="",对接源_01水果!$C499&lt;&gt;$N$1,对接源_01水果!$B499=""),0,IF(OR(N(对接源_01水果!$B499)&lt;$N$2,N(对接源_01水果!$B499)&gt;$N$3),0,1))</f>
        <v>0</v>
      </c>
      <c r="P499">
        <f>IF(AND($K499=1,AND(对接源_01水果!$X499="公司筐",N(对接源_01水果!$T499)&lt;&gt;0)),1,0)</f>
        <v>0</v>
      </c>
      <c r="Q499">
        <f>N(Q498)+$P499</f>
        <v>0</v>
      </c>
      <c r="R499">
        <f>IF(AND($K499=1,AND(对接源_01水果!$X499="公司筐",N(对接源_01水果!$U499)&lt;&gt;0)),1,0)</f>
        <v>0</v>
      </c>
      <c r="S499">
        <f>N(S498)+$R499</f>
        <v>0</v>
      </c>
      <c r="T499">
        <f>IF(AND($K499=1,AND(对接源_01水果!$X499="公司筐",N(对接源_01水果!$V499)&lt;&gt;0)),1,0)</f>
        <v>0</v>
      </c>
      <c r="U499">
        <f>N(U498)+$T499</f>
        <v>47</v>
      </c>
      <c r="V499">
        <f>IF(AND($L499=1,AND(对接源_01水果!$X499="自备筐",N(对接源_01水果!$V499)&lt;&gt;0)),1,0)</f>
        <v>0</v>
      </c>
      <c r="W499">
        <f>N(W498)+$V499</f>
        <v>11</v>
      </c>
      <c r="X499">
        <f>IF(AND($L499=1,AND(对接源_01水果!$X499="自备筐",N(对接源_01水果!$T499)&lt;&gt;0)),1,0)</f>
        <v>0</v>
      </c>
      <c r="Y499">
        <f>N(Y498)+$X499</f>
        <v>0</v>
      </c>
      <c r="Z499">
        <f>IF(AND($M499=1,对接源_01水果!$D499="原料入库"),1,0)</f>
        <v>0</v>
      </c>
      <c r="AA499">
        <f>N(AA498)+$Z499</f>
        <v>24</v>
      </c>
      <c r="AB499">
        <f>IF(AND($M499=1,LEFT(对接源_01水果!$D499,4)="原料出库"),1,0)</f>
        <v>0</v>
      </c>
      <c r="AC499">
        <f>N(AC498)+$AB499</f>
        <v>0</v>
      </c>
      <c r="AD499">
        <f>IF(AND($M499=1,LEFT(对接源_01水果!$D499,4)="成品出库"),1,0)</f>
        <v>0</v>
      </c>
      <c r="AE499">
        <f>N(AE498)+$AD499</f>
        <v>0</v>
      </c>
      <c r="AF499">
        <f>IF(AND($N499=1,AND(LEFT(对接源_01水果!$D499,4)="包装物料",N(对接源_01水果!$K499)&lt;&gt;0)),1,0)</f>
        <v>0</v>
      </c>
      <c r="AG499">
        <f>N(AG498)+$AF499</f>
        <v>0</v>
      </c>
      <c r="AH499">
        <f>IF(AND($N499=1,AND(对接源_01水果!$D499="周转筐－销售出库",N(对接源_01水果!$K499)&lt;&gt;0)),1,0)</f>
        <v>0</v>
      </c>
      <c r="AI499">
        <f>N(AI498)+$AH499</f>
        <v>0</v>
      </c>
      <c r="AJ499" s="7" t="n"/>
      <c r="AL499">
        <f>IF(OR($AL$1="",对接源_01水果!$Y499="",对接源_01水果!$Y499&lt;&gt;$AL$1,对接源_01水果!$B499="",N(对接源_01水果!$AJ499)&lt;=0),0,IF(OR(N(对接源_01水果!$B499)&lt;$AL$2,N(对接源_01水果!$B499)&gt;$AL$3),0,1))</f>
        <v>0</v>
      </c>
      <c r="AM499">
        <f>N(AM498)+$AL499</f>
        <v>0</v>
      </c>
      <c r="AN499">
        <f>IF(对接源_01水果!$AC499="","",对接源_01水果!$AC499)</f>
      </c>
      <c r="AO499">
        <f>IF(AN499="",0,IF(MATCH(AN499,$AN$4:$AN$1203,0)=ROW()-3,1,0))</f>
        <v>0</v>
      </c>
      <c r="AP499">
        <f>N(AP498)+$AO499</f>
        <v>0</v>
      </c>
      <c r="AR499">
        <f>IF(OR($AF499=1,$AH499=1),1,0)</f>
        <v>0</v>
      </c>
      <c r="AS499">
        <f>N(AS498)+$AR499</f>
        <v>0</v>
      </c>
    </row>
    <row r="500" ht="14.25" customHeight="1" s="127">
      <c r="A500" t="str">
        <f>IF(对接源_01水果!$C500="","",对接源_01水果!$C500)</f>
        <v>王照雪</v>
      </c>
      <c r="B500">
        <f>IF(A500="",0,IF(MATCH(A500,$A$4:$A$2403,0)=ROW()-3,1,0))</f>
        <v>0</v>
      </c>
      <c r="C500">
        <f>N(C499)+B500</f>
        <v>22</v>
      </c>
      <c r="K500">
        <f>IF(OR($K$1="",对接源_01水果!$C500="",对接源_01水果!$C500&lt;&gt;$K$1,对接源_01水果!$B500=""),0,IF(OR(N(对接源_01水果!$B500)&lt;$K$2,N(对接源_01水果!$B500)&gt;$K$3),0,1))</f>
        <v>0</v>
      </c>
      <c r="L500">
        <f>IF(OR($L$1="",对接源_01水果!$C500="",对接源_01水果!$C500&lt;&gt;$L$1,对接源_01水果!$B500=""),0,IF(OR(N(对接源_01水果!$B500)&lt;$L$2,N(对接源_01水果!$B500)&gt;$L$3),0,1))</f>
        <v>0</v>
      </c>
      <c r="M500">
        <f>IF(OR($M$1="",对接源_01水果!$C500="",对接源_01水果!$C500&lt;&gt;$M$1,对接源_01水果!$B500=""),0,IF(OR(N(对接源_01水果!$B500)&lt;$M$2,N(对接源_01水果!$B500)&gt;$M$3),0,1))</f>
        <v>0</v>
      </c>
      <c r="N500">
        <f>IF(OR($N$1="",对接源_01水果!$C500="",对接源_01水果!$C500&lt;&gt;$N$1,对接源_01水果!$B500=""),0,IF(OR(N(对接源_01水果!$B500)&lt;$N$2,N(对接源_01水果!$B500)&gt;$N$3),0,1))</f>
        <v>0</v>
      </c>
      <c r="P500">
        <f>IF(AND($K500=1,AND(对接源_01水果!$X500="公司筐",N(对接源_01水果!$T500)&lt;&gt;0)),1,0)</f>
        <v>0</v>
      </c>
      <c r="Q500">
        <f>N(Q499)+$P500</f>
        <v>0</v>
      </c>
      <c r="R500">
        <f>IF(AND($K500=1,AND(对接源_01水果!$X500="公司筐",N(对接源_01水果!$U500)&lt;&gt;0)),1,0)</f>
        <v>0</v>
      </c>
      <c r="S500">
        <f>N(S499)+$R500</f>
        <v>0</v>
      </c>
      <c r="T500">
        <f>IF(AND($K500=1,AND(对接源_01水果!$X500="公司筐",N(对接源_01水果!$V500)&lt;&gt;0)),1,0)</f>
        <v>0</v>
      </c>
      <c r="U500">
        <f>N(U499)+$T500</f>
        <v>47</v>
      </c>
      <c r="V500">
        <f>IF(AND($L500=1,AND(对接源_01水果!$X500="自备筐",N(对接源_01水果!$V500)&lt;&gt;0)),1,0)</f>
        <v>0</v>
      </c>
      <c r="W500">
        <f>N(W499)+$V500</f>
        <v>11</v>
      </c>
      <c r="X500">
        <f>IF(AND($L500=1,AND(对接源_01水果!$X500="自备筐",N(对接源_01水果!$T500)&lt;&gt;0)),1,0)</f>
        <v>0</v>
      </c>
      <c r="Y500">
        <f>N(Y499)+$X500</f>
        <v>0</v>
      </c>
      <c r="Z500">
        <f>IF(AND($M500=1,对接源_01水果!$D500="原料入库"),1,0)</f>
        <v>0</v>
      </c>
      <c r="AA500">
        <f>N(AA499)+$Z500</f>
        <v>24</v>
      </c>
      <c r="AB500">
        <f>IF(AND($M500=1,LEFT(对接源_01水果!$D500,4)="原料出库"),1,0)</f>
        <v>0</v>
      </c>
      <c r="AC500">
        <f>N(AC499)+$AB500</f>
        <v>0</v>
      </c>
      <c r="AD500">
        <f>IF(AND($M500=1,LEFT(对接源_01水果!$D500,4)="成品出库"),1,0)</f>
        <v>0</v>
      </c>
      <c r="AE500">
        <f>N(AE499)+$AD500</f>
        <v>0</v>
      </c>
      <c r="AF500">
        <f>IF(AND($N500=1,AND(LEFT(对接源_01水果!$D500,4)="包装物料",N(对接源_01水果!$K500)&lt;&gt;0)),1,0)</f>
        <v>0</v>
      </c>
      <c r="AG500">
        <f>N(AG499)+$AF500</f>
        <v>0</v>
      </c>
      <c r="AH500">
        <f>IF(AND($N500=1,AND(对接源_01水果!$D500="周转筐－销售出库",N(对接源_01水果!$K500)&lt;&gt;0)),1,0)</f>
        <v>0</v>
      </c>
      <c r="AI500">
        <f>N(AI499)+$AH500</f>
        <v>0</v>
      </c>
      <c r="AJ500" s="7" t="n"/>
      <c r="AL500">
        <f>IF(OR($AL$1="",对接源_01水果!$Y500="",对接源_01水果!$Y500&lt;&gt;$AL$1,对接源_01水果!$B500="",N(对接源_01水果!$AJ500)&lt;=0),0,IF(OR(N(对接源_01水果!$B500)&lt;$AL$2,N(对接源_01水果!$B500)&gt;$AL$3),0,1))</f>
        <v>0</v>
      </c>
      <c r="AM500">
        <f>N(AM499)+$AL500</f>
        <v>0</v>
      </c>
      <c r="AN500">
        <f>IF(对接源_01水果!$AC500="","",对接源_01水果!$AC500)</f>
      </c>
      <c r="AO500">
        <f>IF(AN500="",0,IF(MATCH(AN500,$AN$4:$AN$1203,0)=ROW()-3,1,0))</f>
        <v>0</v>
      </c>
      <c r="AP500">
        <f>N(AP499)+$AO500</f>
        <v>0</v>
      </c>
      <c r="AR500">
        <f>IF(OR($AF500=1,$AH500=1),1,0)</f>
        <v>0</v>
      </c>
      <c r="AS500">
        <f>N(AS499)+$AR500</f>
        <v>0</v>
      </c>
    </row>
    <row r="501" ht="14.25" customHeight="1" s="127">
      <c r="A501" t="str">
        <f>IF(对接源_01水果!$C501="","",对接源_01水果!$C501)</f>
        <v>聂新平</v>
      </c>
      <c r="B501">
        <f>IF(A501="",0,IF(MATCH(A501,$A$4:$A$2403,0)=ROW()-3,1,0))</f>
        <v>0</v>
      </c>
      <c r="C501">
        <f>N(C500)+B501</f>
        <v>22</v>
      </c>
      <c r="K501">
        <f>IF(OR($K$1="",对接源_01水果!$C501="",对接源_01水果!$C501&lt;&gt;$K$1,对接源_01水果!$B501=""),0,IF(OR(N(对接源_01水果!$B501)&lt;$K$2,N(对接源_01水果!$B501)&gt;$K$3),0,1))</f>
        <v>0</v>
      </c>
      <c r="L501">
        <f>IF(OR($L$1="",对接源_01水果!$C501="",对接源_01水果!$C501&lt;&gt;$L$1,对接源_01水果!$B501=""),0,IF(OR(N(对接源_01水果!$B501)&lt;$L$2,N(对接源_01水果!$B501)&gt;$L$3),0,1))</f>
        <v>0</v>
      </c>
      <c r="M501">
        <f>IF(OR($M$1="",对接源_01水果!$C501="",对接源_01水果!$C501&lt;&gt;$M$1,对接源_01水果!$B501=""),0,IF(OR(N(对接源_01水果!$B501)&lt;$M$2,N(对接源_01水果!$B501)&gt;$M$3),0,1))</f>
        <v>0</v>
      </c>
      <c r="N501">
        <f>IF(OR($N$1="",对接源_01水果!$C501="",对接源_01水果!$C501&lt;&gt;$N$1,对接源_01水果!$B501=""),0,IF(OR(N(对接源_01水果!$B501)&lt;$N$2,N(对接源_01水果!$B501)&gt;$N$3),0,1))</f>
        <v>0</v>
      </c>
      <c r="P501">
        <f>IF(AND($K501=1,AND(对接源_01水果!$X501="公司筐",N(对接源_01水果!$T501)&lt;&gt;0)),1,0)</f>
        <v>0</v>
      </c>
      <c r="Q501">
        <f>N(Q500)+$P501</f>
        <v>0</v>
      </c>
      <c r="R501">
        <f>IF(AND($K501=1,AND(对接源_01水果!$X501="公司筐",N(对接源_01水果!$U501)&lt;&gt;0)),1,0)</f>
        <v>0</v>
      </c>
      <c r="S501">
        <f>N(S500)+$R501</f>
        <v>0</v>
      </c>
      <c r="T501">
        <f>IF(AND($K501=1,AND(对接源_01水果!$X501="公司筐",N(对接源_01水果!$V501)&lt;&gt;0)),1,0)</f>
        <v>0</v>
      </c>
      <c r="U501">
        <f>N(U500)+$T501</f>
        <v>47</v>
      </c>
      <c r="V501">
        <f>IF(AND($L501=1,AND(对接源_01水果!$X501="自备筐",N(对接源_01水果!$V501)&lt;&gt;0)),1,0)</f>
        <v>0</v>
      </c>
      <c r="W501">
        <f>N(W500)+$V501</f>
        <v>11</v>
      </c>
      <c r="X501">
        <f>IF(AND($L501=1,AND(对接源_01水果!$X501="自备筐",N(对接源_01水果!$T501)&lt;&gt;0)),1,0)</f>
        <v>0</v>
      </c>
      <c r="Y501">
        <f>N(Y500)+$X501</f>
        <v>0</v>
      </c>
      <c r="Z501">
        <f>IF(AND($M501=1,对接源_01水果!$D501="原料入库"),1,0)</f>
        <v>0</v>
      </c>
      <c r="AA501">
        <f>N(AA500)+$Z501</f>
        <v>24</v>
      </c>
      <c r="AB501">
        <f>IF(AND($M501=1,LEFT(对接源_01水果!$D501,4)="原料出库"),1,0)</f>
        <v>0</v>
      </c>
      <c r="AC501">
        <f>N(AC500)+$AB501</f>
        <v>0</v>
      </c>
      <c r="AD501">
        <f>IF(AND($M501=1,LEFT(对接源_01水果!$D501,4)="成品出库"),1,0)</f>
        <v>0</v>
      </c>
      <c r="AE501">
        <f>N(AE500)+$AD501</f>
        <v>0</v>
      </c>
      <c r="AF501">
        <f>IF(AND($N501=1,AND(LEFT(对接源_01水果!$D501,4)="包装物料",N(对接源_01水果!$K501)&lt;&gt;0)),1,0)</f>
        <v>0</v>
      </c>
      <c r="AG501">
        <f>N(AG500)+$AF501</f>
        <v>0</v>
      </c>
      <c r="AH501">
        <f>IF(AND($N501=1,AND(对接源_01水果!$D501="周转筐－销售出库",N(对接源_01水果!$K501)&lt;&gt;0)),1,0)</f>
        <v>0</v>
      </c>
      <c r="AI501">
        <f>N(AI500)+$AH501</f>
        <v>0</v>
      </c>
      <c r="AJ501" s="7" t="n"/>
      <c r="AL501">
        <f>IF(OR($AL$1="",对接源_01水果!$Y501="",对接源_01水果!$Y501&lt;&gt;$AL$1,对接源_01水果!$B501="",N(对接源_01水果!$AJ501)&lt;=0),0,IF(OR(N(对接源_01水果!$B501)&lt;$AL$2,N(对接源_01水果!$B501)&gt;$AL$3),0,1))</f>
        <v>0</v>
      </c>
      <c r="AM501">
        <f>N(AM500)+$AL501</f>
        <v>0</v>
      </c>
      <c r="AN501">
        <f>IF(对接源_01水果!$AC501="","",对接源_01水果!$AC501)</f>
      </c>
      <c r="AO501">
        <f>IF(AN501="",0,IF(MATCH(AN501,$AN$4:$AN$1203,0)=ROW()-3,1,0))</f>
        <v>0</v>
      </c>
      <c r="AP501">
        <f>N(AP500)+$AO501</f>
        <v>0</v>
      </c>
      <c r="AR501">
        <f>IF(OR($AF501=1,$AH501=1),1,0)</f>
        <v>0</v>
      </c>
      <c r="AS501">
        <f>N(AS500)+$AR501</f>
        <v>0</v>
      </c>
    </row>
    <row r="502" ht="14.25" customHeight="1" s="127">
      <c r="A502" t="str">
        <f>IF(对接源_01水果!$C502="","",对接源_01水果!$C502)</f>
        <v>聂新平</v>
      </c>
      <c r="B502">
        <f>IF(A502="",0,IF(MATCH(A502,$A$4:$A$2403,0)=ROW()-3,1,0))</f>
        <v>0</v>
      </c>
      <c r="C502">
        <f>N(C501)+B502</f>
        <v>22</v>
      </c>
      <c r="K502">
        <f>IF(OR($K$1="",对接源_01水果!$C502="",对接源_01水果!$C502&lt;&gt;$K$1,对接源_01水果!$B502=""),0,IF(OR(N(对接源_01水果!$B502)&lt;$K$2,N(对接源_01水果!$B502)&gt;$K$3),0,1))</f>
        <v>0</v>
      </c>
      <c r="L502">
        <f>IF(OR($L$1="",对接源_01水果!$C502="",对接源_01水果!$C502&lt;&gt;$L$1,对接源_01水果!$B502=""),0,IF(OR(N(对接源_01水果!$B502)&lt;$L$2,N(对接源_01水果!$B502)&gt;$L$3),0,1))</f>
        <v>0</v>
      </c>
      <c r="M502">
        <f>IF(OR($M$1="",对接源_01水果!$C502="",对接源_01水果!$C502&lt;&gt;$M$1,对接源_01水果!$B502=""),0,IF(OR(N(对接源_01水果!$B502)&lt;$M$2,N(对接源_01水果!$B502)&gt;$M$3),0,1))</f>
        <v>0</v>
      </c>
      <c r="N502">
        <f>IF(OR($N$1="",对接源_01水果!$C502="",对接源_01水果!$C502&lt;&gt;$N$1,对接源_01水果!$B502=""),0,IF(OR(N(对接源_01水果!$B502)&lt;$N$2,N(对接源_01水果!$B502)&gt;$N$3),0,1))</f>
        <v>0</v>
      </c>
      <c r="P502">
        <f>IF(AND($K502=1,AND(对接源_01水果!$X502="公司筐",N(对接源_01水果!$T502)&lt;&gt;0)),1,0)</f>
        <v>0</v>
      </c>
      <c r="Q502">
        <f>N(Q501)+$P502</f>
        <v>0</v>
      </c>
      <c r="R502">
        <f>IF(AND($K502=1,AND(对接源_01水果!$X502="公司筐",N(对接源_01水果!$U502)&lt;&gt;0)),1,0)</f>
        <v>0</v>
      </c>
      <c r="S502">
        <f>N(S501)+$R502</f>
        <v>0</v>
      </c>
      <c r="T502">
        <f>IF(AND($K502=1,AND(对接源_01水果!$X502="公司筐",N(对接源_01水果!$V502)&lt;&gt;0)),1,0)</f>
        <v>0</v>
      </c>
      <c r="U502">
        <f>N(U501)+$T502</f>
        <v>47</v>
      </c>
      <c r="V502">
        <f>IF(AND($L502=1,AND(对接源_01水果!$X502="自备筐",N(对接源_01水果!$V502)&lt;&gt;0)),1,0)</f>
        <v>0</v>
      </c>
      <c r="W502">
        <f>N(W501)+$V502</f>
        <v>11</v>
      </c>
      <c r="X502">
        <f>IF(AND($L502=1,AND(对接源_01水果!$X502="自备筐",N(对接源_01水果!$T502)&lt;&gt;0)),1,0)</f>
        <v>0</v>
      </c>
      <c r="Y502">
        <f>N(Y501)+$X502</f>
        <v>0</v>
      </c>
      <c r="Z502">
        <f>IF(AND($M502=1,对接源_01水果!$D502="原料入库"),1,0)</f>
        <v>0</v>
      </c>
      <c r="AA502">
        <f>N(AA501)+$Z502</f>
        <v>24</v>
      </c>
      <c r="AB502">
        <f>IF(AND($M502=1,LEFT(对接源_01水果!$D502,4)="原料出库"),1,0)</f>
        <v>0</v>
      </c>
      <c r="AC502">
        <f>N(AC501)+$AB502</f>
        <v>0</v>
      </c>
      <c r="AD502">
        <f>IF(AND($M502=1,LEFT(对接源_01水果!$D502,4)="成品出库"),1,0)</f>
        <v>0</v>
      </c>
      <c r="AE502">
        <f>N(AE501)+$AD502</f>
        <v>0</v>
      </c>
      <c r="AF502">
        <f>IF(AND($N502=1,AND(LEFT(对接源_01水果!$D502,4)="包装物料",N(对接源_01水果!$K502)&lt;&gt;0)),1,0)</f>
        <v>0</v>
      </c>
      <c r="AG502">
        <f>N(AG501)+$AF502</f>
        <v>0</v>
      </c>
      <c r="AH502">
        <f>IF(AND($N502=1,AND(对接源_01水果!$D502="周转筐－销售出库",N(对接源_01水果!$K502)&lt;&gt;0)),1,0)</f>
        <v>0</v>
      </c>
      <c r="AI502">
        <f>N(AI501)+$AH502</f>
        <v>0</v>
      </c>
      <c r="AJ502" s="7" t="n"/>
      <c r="AL502">
        <f>IF(OR($AL$1="",对接源_01水果!$Y502="",对接源_01水果!$Y502&lt;&gt;$AL$1,对接源_01水果!$B502="",N(对接源_01水果!$AJ502)&lt;=0),0,IF(OR(N(对接源_01水果!$B502)&lt;$AL$2,N(对接源_01水果!$B502)&gt;$AL$3),0,1))</f>
        <v>0</v>
      </c>
      <c r="AM502">
        <f>N(AM501)+$AL502</f>
        <v>0</v>
      </c>
      <c r="AN502">
        <f>IF(对接源_01水果!$AC502="","",对接源_01水果!$AC502)</f>
      </c>
      <c r="AO502">
        <f>IF(AN502="",0,IF(MATCH(AN502,$AN$4:$AN$1203,0)=ROW()-3,1,0))</f>
        <v>0</v>
      </c>
      <c r="AP502">
        <f>N(AP501)+$AO502</f>
        <v>0</v>
      </c>
      <c r="AR502">
        <f>IF(OR($AF502=1,$AH502=1),1,0)</f>
        <v>0</v>
      </c>
      <c r="AS502">
        <f>N(AS501)+$AR502</f>
        <v>0</v>
      </c>
    </row>
    <row r="503" ht="14.25" customHeight="1" s="127">
      <c r="A503" t="str">
        <f>IF(对接源_01水果!$C503="","",对接源_01水果!$C503)</f>
        <v>聂新平</v>
      </c>
      <c r="B503">
        <f>IF(A503="",0,IF(MATCH(A503,$A$4:$A$2403,0)=ROW()-3,1,0))</f>
        <v>0</v>
      </c>
      <c r="C503">
        <f>N(C502)+B503</f>
        <v>22</v>
      </c>
      <c r="K503">
        <f>IF(OR($K$1="",对接源_01水果!$C503="",对接源_01水果!$C503&lt;&gt;$K$1,对接源_01水果!$B503=""),0,IF(OR(N(对接源_01水果!$B503)&lt;$K$2,N(对接源_01水果!$B503)&gt;$K$3),0,1))</f>
        <v>0</v>
      </c>
      <c r="L503">
        <f>IF(OR($L$1="",对接源_01水果!$C503="",对接源_01水果!$C503&lt;&gt;$L$1,对接源_01水果!$B503=""),0,IF(OR(N(对接源_01水果!$B503)&lt;$L$2,N(对接源_01水果!$B503)&gt;$L$3),0,1))</f>
        <v>0</v>
      </c>
      <c r="M503">
        <f>IF(OR($M$1="",对接源_01水果!$C503="",对接源_01水果!$C503&lt;&gt;$M$1,对接源_01水果!$B503=""),0,IF(OR(N(对接源_01水果!$B503)&lt;$M$2,N(对接源_01水果!$B503)&gt;$M$3),0,1))</f>
        <v>0</v>
      </c>
      <c r="N503">
        <f>IF(OR($N$1="",对接源_01水果!$C503="",对接源_01水果!$C503&lt;&gt;$N$1,对接源_01水果!$B503=""),0,IF(OR(N(对接源_01水果!$B503)&lt;$N$2,N(对接源_01水果!$B503)&gt;$N$3),0,1))</f>
        <v>0</v>
      </c>
      <c r="P503">
        <f>IF(AND($K503=1,AND(对接源_01水果!$X503="公司筐",N(对接源_01水果!$T503)&lt;&gt;0)),1,0)</f>
        <v>0</v>
      </c>
      <c r="Q503">
        <f>N(Q502)+$P503</f>
        <v>0</v>
      </c>
      <c r="R503">
        <f>IF(AND($K503=1,AND(对接源_01水果!$X503="公司筐",N(对接源_01水果!$U503)&lt;&gt;0)),1,0)</f>
        <v>0</v>
      </c>
      <c r="S503">
        <f>N(S502)+$R503</f>
        <v>0</v>
      </c>
      <c r="T503">
        <f>IF(AND($K503=1,AND(对接源_01水果!$X503="公司筐",N(对接源_01水果!$V503)&lt;&gt;0)),1,0)</f>
        <v>0</v>
      </c>
      <c r="U503">
        <f>N(U502)+$T503</f>
        <v>47</v>
      </c>
      <c r="V503">
        <f>IF(AND($L503=1,AND(对接源_01水果!$X503="自备筐",N(对接源_01水果!$V503)&lt;&gt;0)),1,0)</f>
        <v>0</v>
      </c>
      <c r="W503">
        <f>N(W502)+$V503</f>
        <v>11</v>
      </c>
      <c r="X503">
        <f>IF(AND($L503=1,AND(对接源_01水果!$X503="自备筐",N(对接源_01水果!$T503)&lt;&gt;0)),1,0)</f>
        <v>0</v>
      </c>
      <c r="Y503">
        <f>N(Y502)+$X503</f>
        <v>0</v>
      </c>
      <c r="Z503">
        <f>IF(AND($M503=1,对接源_01水果!$D503="原料入库"),1,0)</f>
        <v>0</v>
      </c>
      <c r="AA503">
        <f>N(AA502)+$Z503</f>
        <v>24</v>
      </c>
      <c r="AB503">
        <f>IF(AND($M503=1,LEFT(对接源_01水果!$D503,4)="原料出库"),1,0)</f>
        <v>0</v>
      </c>
      <c r="AC503">
        <f>N(AC502)+$AB503</f>
        <v>0</v>
      </c>
      <c r="AD503">
        <f>IF(AND($M503=1,LEFT(对接源_01水果!$D503,4)="成品出库"),1,0)</f>
        <v>0</v>
      </c>
      <c r="AE503">
        <f>N(AE502)+$AD503</f>
        <v>0</v>
      </c>
      <c r="AF503">
        <f>IF(AND($N503=1,AND(LEFT(对接源_01水果!$D503,4)="包装物料",N(对接源_01水果!$K503)&lt;&gt;0)),1,0)</f>
        <v>0</v>
      </c>
      <c r="AG503">
        <f>N(AG502)+$AF503</f>
        <v>0</v>
      </c>
      <c r="AH503">
        <f>IF(AND($N503=1,AND(对接源_01水果!$D503="周转筐－销售出库",N(对接源_01水果!$K503)&lt;&gt;0)),1,0)</f>
        <v>0</v>
      </c>
      <c r="AI503">
        <f>N(AI502)+$AH503</f>
        <v>0</v>
      </c>
      <c r="AJ503" s="7" t="n"/>
      <c r="AL503">
        <f>IF(OR($AL$1="",对接源_01水果!$Y503="",对接源_01水果!$Y503&lt;&gt;$AL$1,对接源_01水果!$B503="",N(对接源_01水果!$AJ503)&lt;=0),0,IF(OR(N(对接源_01水果!$B503)&lt;$AL$2,N(对接源_01水果!$B503)&gt;$AL$3),0,1))</f>
        <v>0</v>
      </c>
      <c r="AM503">
        <f>N(AM502)+$AL503</f>
        <v>0</v>
      </c>
      <c r="AN503">
        <f>IF(对接源_01水果!$AC503="","",对接源_01水果!$AC503)</f>
      </c>
      <c r="AO503">
        <f>IF(AN503="",0,IF(MATCH(AN503,$AN$4:$AN$1203,0)=ROW()-3,1,0))</f>
        <v>0</v>
      </c>
      <c r="AP503">
        <f>N(AP502)+$AO503</f>
        <v>0</v>
      </c>
      <c r="AR503">
        <f>IF(OR($AF503=1,$AH503=1),1,0)</f>
        <v>0</v>
      </c>
      <c r="AS503">
        <f>N(AS502)+$AR503</f>
        <v>0</v>
      </c>
    </row>
    <row r="504" ht="14.25" customHeight="1" s="127">
      <c r="A504" t="str">
        <f>IF(对接源_01水果!$C504="","",对接源_01水果!$C504)</f>
        <v>聂新平</v>
      </c>
      <c r="B504">
        <f>IF(A504="",0,IF(MATCH(A504,$A$4:$A$2403,0)=ROW()-3,1,0))</f>
        <v>0</v>
      </c>
      <c r="C504">
        <f>N(C503)+B504</f>
        <v>22</v>
      </c>
      <c r="K504">
        <f>IF(OR($K$1="",对接源_01水果!$C504="",对接源_01水果!$C504&lt;&gt;$K$1,对接源_01水果!$B504=""),0,IF(OR(N(对接源_01水果!$B504)&lt;$K$2,N(对接源_01水果!$B504)&gt;$K$3),0,1))</f>
        <v>0</v>
      </c>
      <c r="L504">
        <f>IF(OR($L$1="",对接源_01水果!$C504="",对接源_01水果!$C504&lt;&gt;$L$1,对接源_01水果!$B504=""),0,IF(OR(N(对接源_01水果!$B504)&lt;$L$2,N(对接源_01水果!$B504)&gt;$L$3),0,1))</f>
        <v>0</v>
      </c>
      <c r="M504">
        <f>IF(OR($M$1="",对接源_01水果!$C504="",对接源_01水果!$C504&lt;&gt;$M$1,对接源_01水果!$B504=""),0,IF(OR(N(对接源_01水果!$B504)&lt;$M$2,N(对接源_01水果!$B504)&gt;$M$3),0,1))</f>
        <v>0</v>
      </c>
      <c r="N504">
        <f>IF(OR($N$1="",对接源_01水果!$C504="",对接源_01水果!$C504&lt;&gt;$N$1,对接源_01水果!$B504=""),0,IF(OR(N(对接源_01水果!$B504)&lt;$N$2,N(对接源_01水果!$B504)&gt;$N$3),0,1))</f>
        <v>0</v>
      </c>
      <c r="P504">
        <f>IF(AND($K504=1,AND(对接源_01水果!$X504="公司筐",N(对接源_01水果!$T504)&lt;&gt;0)),1,0)</f>
        <v>0</v>
      </c>
      <c r="Q504">
        <f>N(Q503)+$P504</f>
        <v>0</v>
      </c>
      <c r="R504">
        <f>IF(AND($K504=1,AND(对接源_01水果!$X504="公司筐",N(对接源_01水果!$U504)&lt;&gt;0)),1,0)</f>
        <v>0</v>
      </c>
      <c r="S504">
        <f>N(S503)+$R504</f>
        <v>0</v>
      </c>
      <c r="T504">
        <f>IF(AND($K504=1,AND(对接源_01水果!$X504="公司筐",N(对接源_01水果!$V504)&lt;&gt;0)),1,0)</f>
        <v>0</v>
      </c>
      <c r="U504">
        <f>N(U503)+$T504</f>
        <v>47</v>
      </c>
      <c r="V504">
        <f>IF(AND($L504=1,AND(对接源_01水果!$X504="自备筐",N(对接源_01水果!$V504)&lt;&gt;0)),1,0)</f>
        <v>0</v>
      </c>
      <c r="W504">
        <f>N(W503)+$V504</f>
        <v>11</v>
      </c>
      <c r="X504">
        <f>IF(AND($L504=1,AND(对接源_01水果!$X504="自备筐",N(对接源_01水果!$T504)&lt;&gt;0)),1,0)</f>
        <v>0</v>
      </c>
      <c r="Y504">
        <f>N(Y503)+$X504</f>
        <v>0</v>
      </c>
      <c r="Z504">
        <f>IF(AND($M504=1,对接源_01水果!$D504="原料入库"),1,0)</f>
        <v>0</v>
      </c>
      <c r="AA504">
        <f>N(AA503)+$Z504</f>
        <v>24</v>
      </c>
      <c r="AB504">
        <f>IF(AND($M504=1,LEFT(对接源_01水果!$D504,4)="原料出库"),1,0)</f>
        <v>0</v>
      </c>
      <c r="AC504">
        <f>N(AC503)+$AB504</f>
        <v>0</v>
      </c>
      <c r="AD504">
        <f>IF(AND($M504=1,LEFT(对接源_01水果!$D504,4)="成品出库"),1,0)</f>
        <v>0</v>
      </c>
      <c r="AE504">
        <f>N(AE503)+$AD504</f>
        <v>0</v>
      </c>
      <c r="AF504">
        <f>IF(AND($N504=1,AND(LEFT(对接源_01水果!$D504,4)="包装物料",N(对接源_01水果!$K504)&lt;&gt;0)),1,0)</f>
        <v>0</v>
      </c>
      <c r="AG504">
        <f>N(AG503)+$AF504</f>
        <v>0</v>
      </c>
      <c r="AH504">
        <f>IF(AND($N504=1,AND(对接源_01水果!$D504="周转筐－销售出库",N(对接源_01水果!$K504)&lt;&gt;0)),1,0)</f>
        <v>0</v>
      </c>
      <c r="AI504">
        <f>N(AI503)+$AH504</f>
        <v>0</v>
      </c>
      <c r="AJ504" s="7" t="n"/>
      <c r="AL504">
        <f>IF(OR($AL$1="",对接源_01水果!$Y504="",对接源_01水果!$Y504&lt;&gt;$AL$1,对接源_01水果!$B504="",N(对接源_01水果!$AJ504)&lt;=0),0,IF(OR(N(对接源_01水果!$B504)&lt;$AL$2,N(对接源_01水果!$B504)&gt;$AL$3),0,1))</f>
        <v>0</v>
      </c>
      <c r="AM504">
        <f>N(AM503)+$AL504</f>
        <v>0</v>
      </c>
      <c r="AN504">
        <f>IF(对接源_01水果!$AC504="","",对接源_01水果!$AC504)</f>
      </c>
      <c r="AO504">
        <f>IF(AN504="",0,IF(MATCH(AN504,$AN$4:$AN$1203,0)=ROW()-3,1,0))</f>
        <v>0</v>
      </c>
      <c r="AP504">
        <f>N(AP503)+$AO504</f>
        <v>0</v>
      </c>
      <c r="AR504">
        <f>IF(OR($AF504=1,$AH504=1),1,0)</f>
        <v>0</v>
      </c>
      <c r="AS504">
        <f>N(AS503)+$AR504</f>
        <v>0</v>
      </c>
    </row>
    <row r="505" ht="14.25" customHeight="1" s="127">
      <c r="A505" t="str">
        <f>IF(对接源_01水果!$C505="","",对接源_01水果!$C505)</f>
        <v>聂新平</v>
      </c>
      <c r="B505">
        <f>IF(A505="",0,IF(MATCH(A505,$A$4:$A$2403,0)=ROW()-3,1,0))</f>
        <v>0</v>
      </c>
      <c r="C505">
        <f>N(C504)+B505</f>
        <v>22</v>
      </c>
      <c r="K505">
        <f>IF(OR($K$1="",对接源_01水果!$C505="",对接源_01水果!$C505&lt;&gt;$K$1,对接源_01水果!$B505=""),0,IF(OR(N(对接源_01水果!$B505)&lt;$K$2,N(对接源_01水果!$B505)&gt;$K$3),0,1))</f>
        <v>0</v>
      </c>
      <c r="L505">
        <f>IF(OR($L$1="",对接源_01水果!$C505="",对接源_01水果!$C505&lt;&gt;$L$1,对接源_01水果!$B505=""),0,IF(OR(N(对接源_01水果!$B505)&lt;$L$2,N(对接源_01水果!$B505)&gt;$L$3),0,1))</f>
        <v>0</v>
      </c>
      <c r="M505">
        <f>IF(OR($M$1="",对接源_01水果!$C505="",对接源_01水果!$C505&lt;&gt;$M$1,对接源_01水果!$B505=""),0,IF(OR(N(对接源_01水果!$B505)&lt;$M$2,N(对接源_01水果!$B505)&gt;$M$3),0,1))</f>
        <v>0</v>
      </c>
      <c r="N505">
        <f>IF(OR($N$1="",对接源_01水果!$C505="",对接源_01水果!$C505&lt;&gt;$N$1,对接源_01水果!$B505=""),0,IF(OR(N(对接源_01水果!$B505)&lt;$N$2,N(对接源_01水果!$B505)&gt;$N$3),0,1))</f>
        <v>0</v>
      </c>
      <c r="P505">
        <f>IF(AND($K505=1,AND(对接源_01水果!$X505="公司筐",N(对接源_01水果!$T505)&lt;&gt;0)),1,0)</f>
        <v>0</v>
      </c>
      <c r="Q505">
        <f>N(Q504)+$P505</f>
        <v>0</v>
      </c>
      <c r="R505">
        <f>IF(AND($K505=1,AND(对接源_01水果!$X505="公司筐",N(对接源_01水果!$U505)&lt;&gt;0)),1,0)</f>
        <v>0</v>
      </c>
      <c r="S505">
        <f>N(S504)+$R505</f>
        <v>0</v>
      </c>
      <c r="T505">
        <f>IF(AND($K505=1,AND(对接源_01水果!$X505="公司筐",N(对接源_01水果!$V505)&lt;&gt;0)),1,0)</f>
        <v>0</v>
      </c>
      <c r="U505">
        <f>N(U504)+$T505</f>
        <v>47</v>
      </c>
      <c r="V505">
        <f>IF(AND($L505=1,AND(对接源_01水果!$X505="自备筐",N(对接源_01水果!$V505)&lt;&gt;0)),1,0)</f>
        <v>0</v>
      </c>
      <c r="W505">
        <f>N(W504)+$V505</f>
        <v>11</v>
      </c>
      <c r="X505">
        <f>IF(AND($L505=1,AND(对接源_01水果!$X505="自备筐",N(对接源_01水果!$T505)&lt;&gt;0)),1,0)</f>
        <v>0</v>
      </c>
      <c r="Y505">
        <f>N(Y504)+$X505</f>
        <v>0</v>
      </c>
      <c r="Z505">
        <f>IF(AND($M505=1,对接源_01水果!$D505="原料入库"),1,0)</f>
        <v>0</v>
      </c>
      <c r="AA505">
        <f>N(AA504)+$Z505</f>
        <v>24</v>
      </c>
      <c r="AB505">
        <f>IF(AND($M505=1,LEFT(对接源_01水果!$D505,4)="原料出库"),1,0)</f>
        <v>0</v>
      </c>
      <c r="AC505">
        <f>N(AC504)+$AB505</f>
        <v>0</v>
      </c>
      <c r="AD505">
        <f>IF(AND($M505=1,LEFT(对接源_01水果!$D505,4)="成品出库"),1,0)</f>
        <v>0</v>
      </c>
      <c r="AE505">
        <f>N(AE504)+$AD505</f>
        <v>0</v>
      </c>
      <c r="AF505">
        <f>IF(AND($N505=1,AND(LEFT(对接源_01水果!$D505,4)="包装物料",N(对接源_01水果!$K505)&lt;&gt;0)),1,0)</f>
        <v>0</v>
      </c>
      <c r="AG505">
        <f>N(AG504)+$AF505</f>
        <v>0</v>
      </c>
      <c r="AH505">
        <f>IF(AND($N505=1,AND(对接源_01水果!$D505="周转筐－销售出库",N(对接源_01水果!$K505)&lt;&gt;0)),1,0)</f>
        <v>0</v>
      </c>
      <c r="AI505">
        <f>N(AI504)+$AH505</f>
        <v>0</v>
      </c>
      <c r="AJ505" s="7" t="n"/>
      <c r="AL505">
        <f>IF(OR($AL$1="",对接源_01水果!$Y505="",对接源_01水果!$Y505&lt;&gt;$AL$1,对接源_01水果!$B505="",N(对接源_01水果!$AJ505)&lt;=0),0,IF(OR(N(对接源_01水果!$B505)&lt;$AL$2,N(对接源_01水果!$B505)&gt;$AL$3),0,1))</f>
        <v>0</v>
      </c>
      <c r="AM505">
        <f>N(AM504)+$AL505</f>
        <v>0</v>
      </c>
      <c r="AN505">
        <f>IF(对接源_01水果!$AC505="","",对接源_01水果!$AC505)</f>
      </c>
      <c r="AO505">
        <f>IF(AN505="",0,IF(MATCH(AN505,$AN$4:$AN$1203,0)=ROW()-3,1,0))</f>
        <v>0</v>
      </c>
      <c r="AP505">
        <f>N(AP504)+$AO505</f>
        <v>0</v>
      </c>
      <c r="AR505">
        <f>IF(OR($AF505=1,$AH505=1),1,0)</f>
        <v>0</v>
      </c>
      <c r="AS505">
        <f>N(AS504)+$AR505</f>
        <v>0</v>
      </c>
    </row>
    <row r="506" ht="14.25" customHeight="1" s="127">
      <c r="A506" t="str">
        <f>IF(对接源_01水果!$C506="","",对接源_01水果!$C506)</f>
        <v>聂新平</v>
      </c>
      <c r="B506">
        <f>IF(A506="",0,IF(MATCH(A506,$A$4:$A$2403,0)=ROW()-3,1,0))</f>
        <v>0</v>
      </c>
      <c r="C506">
        <f>N(C505)+B506</f>
        <v>22</v>
      </c>
      <c r="K506">
        <f>IF(OR($K$1="",对接源_01水果!$C506="",对接源_01水果!$C506&lt;&gt;$K$1,对接源_01水果!$B506=""),0,IF(OR(N(对接源_01水果!$B506)&lt;$K$2,N(对接源_01水果!$B506)&gt;$K$3),0,1))</f>
        <v>0</v>
      </c>
      <c r="L506">
        <f>IF(OR($L$1="",对接源_01水果!$C506="",对接源_01水果!$C506&lt;&gt;$L$1,对接源_01水果!$B506=""),0,IF(OR(N(对接源_01水果!$B506)&lt;$L$2,N(对接源_01水果!$B506)&gt;$L$3),0,1))</f>
        <v>0</v>
      </c>
      <c r="M506">
        <f>IF(OR($M$1="",对接源_01水果!$C506="",对接源_01水果!$C506&lt;&gt;$M$1,对接源_01水果!$B506=""),0,IF(OR(N(对接源_01水果!$B506)&lt;$M$2,N(对接源_01水果!$B506)&gt;$M$3),0,1))</f>
        <v>0</v>
      </c>
      <c r="N506">
        <f>IF(OR($N$1="",对接源_01水果!$C506="",对接源_01水果!$C506&lt;&gt;$N$1,对接源_01水果!$B506=""),0,IF(OR(N(对接源_01水果!$B506)&lt;$N$2,N(对接源_01水果!$B506)&gt;$N$3),0,1))</f>
        <v>0</v>
      </c>
      <c r="P506">
        <f>IF(AND($K506=1,AND(对接源_01水果!$X506="公司筐",N(对接源_01水果!$T506)&lt;&gt;0)),1,0)</f>
        <v>0</v>
      </c>
      <c r="Q506">
        <f>N(Q505)+$P506</f>
        <v>0</v>
      </c>
      <c r="R506">
        <f>IF(AND($K506=1,AND(对接源_01水果!$X506="公司筐",N(对接源_01水果!$U506)&lt;&gt;0)),1,0)</f>
        <v>0</v>
      </c>
      <c r="S506">
        <f>N(S505)+$R506</f>
        <v>0</v>
      </c>
      <c r="T506">
        <f>IF(AND($K506=1,AND(对接源_01水果!$X506="公司筐",N(对接源_01水果!$V506)&lt;&gt;0)),1,0)</f>
        <v>0</v>
      </c>
      <c r="U506">
        <f>N(U505)+$T506</f>
        <v>47</v>
      </c>
      <c r="V506">
        <f>IF(AND($L506=1,AND(对接源_01水果!$X506="自备筐",N(对接源_01水果!$V506)&lt;&gt;0)),1,0)</f>
        <v>0</v>
      </c>
      <c r="W506">
        <f>N(W505)+$V506</f>
        <v>11</v>
      </c>
      <c r="X506">
        <f>IF(AND($L506=1,AND(对接源_01水果!$X506="自备筐",N(对接源_01水果!$T506)&lt;&gt;0)),1,0)</f>
        <v>0</v>
      </c>
      <c r="Y506">
        <f>N(Y505)+$X506</f>
        <v>0</v>
      </c>
      <c r="Z506">
        <f>IF(AND($M506=1,对接源_01水果!$D506="原料入库"),1,0)</f>
        <v>0</v>
      </c>
      <c r="AA506">
        <f>N(AA505)+$Z506</f>
        <v>24</v>
      </c>
      <c r="AB506">
        <f>IF(AND($M506=1,LEFT(对接源_01水果!$D506,4)="原料出库"),1,0)</f>
        <v>0</v>
      </c>
      <c r="AC506">
        <f>N(AC505)+$AB506</f>
        <v>0</v>
      </c>
      <c r="AD506">
        <f>IF(AND($M506=1,LEFT(对接源_01水果!$D506,4)="成品出库"),1,0)</f>
        <v>0</v>
      </c>
      <c r="AE506">
        <f>N(AE505)+$AD506</f>
        <v>0</v>
      </c>
      <c r="AF506">
        <f>IF(AND($N506=1,AND(LEFT(对接源_01水果!$D506,4)="包装物料",N(对接源_01水果!$K506)&lt;&gt;0)),1,0)</f>
        <v>0</v>
      </c>
      <c r="AG506">
        <f>N(AG505)+$AF506</f>
        <v>0</v>
      </c>
      <c r="AH506">
        <f>IF(AND($N506=1,AND(对接源_01水果!$D506="周转筐－销售出库",N(对接源_01水果!$K506)&lt;&gt;0)),1,0)</f>
        <v>0</v>
      </c>
      <c r="AI506">
        <f>N(AI505)+$AH506</f>
        <v>0</v>
      </c>
      <c r="AJ506" s="7" t="n"/>
      <c r="AL506">
        <f>IF(OR($AL$1="",对接源_01水果!$Y506="",对接源_01水果!$Y506&lt;&gt;$AL$1,对接源_01水果!$B506="",N(对接源_01水果!$AJ506)&lt;=0),0,IF(OR(N(对接源_01水果!$B506)&lt;$AL$2,N(对接源_01水果!$B506)&gt;$AL$3),0,1))</f>
        <v>0</v>
      </c>
      <c r="AM506">
        <f>N(AM505)+$AL506</f>
        <v>0</v>
      </c>
      <c r="AN506">
        <f>IF(对接源_01水果!$AC506="","",对接源_01水果!$AC506)</f>
      </c>
      <c r="AO506">
        <f>IF(AN506="",0,IF(MATCH(AN506,$AN$4:$AN$1203,0)=ROW()-3,1,0))</f>
        <v>0</v>
      </c>
      <c r="AP506">
        <f>N(AP505)+$AO506</f>
        <v>0</v>
      </c>
      <c r="AR506">
        <f>IF(OR($AF506=1,$AH506=1),1,0)</f>
        <v>0</v>
      </c>
      <c r="AS506">
        <f>N(AS505)+$AR506</f>
        <v>0</v>
      </c>
    </row>
    <row r="507" ht="14.25" customHeight="1" s="127">
      <c r="A507" t="str">
        <f>IF(对接源_01水果!$C507="","",对接源_01水果!$C507)</f>
        <v>王照雪</v>
      </c>
      <c r="B507">
        <f>IF(A507="",0,IF(MATCH(A507,$A$4:$A$2403,0)=ROW()-3,1,0))</f>
        <v>0</v>
      </c>
      <c r="C507">
        <f>N(C506)+B507</f>
        <v>22</v>
      </c>
      <c r="K507">
        <f>IF(OR($K$1="",对接源_01水果!$C507="",对接源_01水果!$C507&lt;&gt;$K$1,对接源_01水果!$B507=""),0,IF(OR(N(对接源_01水果!$B507)&lt;$K$2,N(对接源_01水果!$B507)&gt;$K$3),0,1))</f>
        <v>0</v>
      </c>
      <c r="L507">
        <f>IF(OR($L$1="",对接源_01水果!$C507="",对接源_01水果!$C507&lt;&gt;$L$1,对接源_01水果!$B507=""),0,IF(OR(N(对接源_01水果!$B507)&lt;$L$2,N(对接源_01水果!$B507)&gt;$L$3),0,1))</f>
        <v>0</v>
      </c>
      <c r="M507">
        <f>IF(OR($M$1="",对接源_01水果!$C507="",对接源_01水果!$C507&lt;&gt;$M$1,对接源_01水果!$B507=""),0,IF(OR(N(对接源_01水果!$B507)&lt;$M$2,N(对接源_01水果!$B507)&gt;$M$3),0,1))</f>
        <v>0</v>
      </c>
      <c r="N507">
        <f>IF(OR($N$1="",对接源_01水果!$C507="",对接源_01水果!$C507&lt;&gt;$N$1,对接源_01水果!$B507=""),0,IF(OR(N(对接源_01水果!$B507)&lt;$N$2,N(对接源_01水果!$B507)&gt;$N$3),0,1))</f>
        <v>0</v>
      </c>
      <c r="P507">
        <f>IF(AND($K507=1,AND(对接源_01水果!$X507="公司筐",N(对接源_01水果!$T507)&lt;&gt;0)),1,0)</f>
        <v>0</v>
      </c>
      <c r="Q507">
        <f>N(Q506)+$P507</f>
        <v>0</v>
      </c>
      <c r="R507">
        <f>IF(AND($K507=1,AND(对接源_01水果!$X507="公司筐",N(对接源_01水果!$U507)&lt;&gt;0)),1,0)</f>
        <v>0</v>
      </c>
      <c r="S507">
        <f>N(S506)+$R507</f>
        <v>0</v>
      </c>
      <c r="T507">
        <f>IF(AND($K507=1,AND(对接源_01水果!$X507="公司筐",N(对接源_01水果!$V507)&lt;&gt;0)),1,0)</f>
        <v>0</v>
      </c>
      <c r="U507">
        <f>N(U506)+$T507</f>
        <v>47</v>
      </c>
      <c r="V507">
        <f>IF(AND($L507=1,AND(对接源_01水果!$X507="自备筐",N(对接源_01水果!$V507)&lt;&gt;0)),1,0)</f>
        <v>0</v>
      </c>
      <c r="W507">
        <f>N(W506)+$V507</f>
        <v>11</v>
      </c>
      <c r="X507">
        <f>IF(AND($L507=1,AND(对接源_01水果!$X507="自备筐",N(对接源_01水果!$T507)&lt;&gt;0)),1,0)</f>
        <v>0</v>
      </c>
      <c r="Y507">
        <f>N(Y506)+$X507</f>
        <v>0</v>
      </c>
      <c r="Z507">
        <f>IF(AND($M507=1,对接源_01水果!$D507="原料入库"),1,0)</f>
        <v>0</v>
      </c>
      <c r="AA507">
        <f>N(AA506)+$Z507</f>
        <v>24</v>
      </c>
      <c r="AB507">
        <f>IF(AND($M507=1,LEFT(对接源_01水果!$D507,4)="原料出库"),1,0)</f>
        <v>0</v>
      </c>
      <c r="AC507">
        <f>N(AC506)+$AB507</f>
        <v>0</v>
      </c>
      <c r="AD507">
        <f>IF(AND($M507=1,LEFT(对接源_01水果!$D507,4)="成品出库"),1,0)</f>
        <v>0</v>
      </c>
      <c r="AE507">
        <f>N(AE506)+$AD507</f>
        <v>0</v>
      </c>
      <c r="AF507">
        <f>IF(AND($N507=1,AND(LEFT(对接源_01水果!$D507,4)="包装物料",N(对接源_01水果!$K507)&lt;&gt;0)),1,0)</f>
        <v>0</v>
      </c>
      <c r="AG507">
        <f>N(AG506)+$AF507</f>
        <v>0</v>
      </c>
      <c r="AH507">
        <f>IF(AND($N507=1,AND(对接源_01水果!$D507="周转筐－销售出库",N(对接源_01水果!$K507)&lt;&gt;0)),1,0)</f>
        <v>0</v>
      </c>
      <c r="AI507">
        <f>N(AI506)+$AH507</f>
        <v>0</v>
      </c>
      <c r="AJ507" s="7" t="n"/>
      <c r="AL507">
        <f>IF(OR($AL$1="",对接源_01水果!$Y507="",对接源_01水果!$Y507&lt;&gt;$AL$1,对接源_01水果!$B507="",N(对接源_01水果!$AJ507)&lt;=0),0,IF(OR(N(对接源_01水果!$B507)&lt;$AL$2,N(对接源_01水果!$B507)&gt;$AL$3),0,1))</f>
        <v>0</v>
      </c>
      <c r="AM507">
        <f>N(AM506)+$AL507</f>
        <v>0</v>
      </c>
      <c r="AN507">
        <f>IF(对接源_01水果!$AC507="","",对接源_01水果!$AC507)</f>
      </c>
      <c r="AO507">
        <f>IF(AN507="",0,IF(MATCH(AN507,$AN$4:$AN$1203,0)=ROW()-3,1,0))</f>
        <v>0</v>
      </c>
      <c r="AP507">
        <f>N(AP506)+$AO507</f>
        <v>0</v>
      </c>
      <c r="AR507">
        <f>IF(OR($AF507=1,$AH507=1),1,0)</f>
        <v>0</v>
      </c>
      <c r="AS507">
        <f>N(AS506)+$AR507</f>
        <v>0</v>
      </c>
    </row>
    <row r="508" ht="14.25" customHeight="1" s="127">
      <c r="A508" t="str">
        <f>IF(对接源_01水果!$C508="","",对接源_01水果!$C508)</f>
        <v>聂新平</v>
      </c>
      <c r="B508">
        <f>IF(A508="",0,IF(MATCH(A508,$A$4:$A$2403,0)=ROW()-3,1,0))</f>
        <v>0</v>
      </c>
      <c r="C508">
        <f>N(C507)+B508</f>
        <v>22</v>
      </c>
      <c r="K508">
        <f>IF(OR($K$1="",对接源_01水果!$C508="",对接源_01水果!$C508&lt;&gt;$K$1,对接源_01水果!$B508=""),0,IF(OR(N(对接源_01水果!$B508)&lt;$K$2,N(对接源_01水果!$B508)&gt;$K$3),0,1))</f>
        <v>0</v>
      </c>
      <c r="L508">
        <f>IF(OR($L$1="",对接源_01水果!$C508="",对接源_01水果!$C508&lt;&gt;$L$1,对接源_01水果!$B508=""),0,IF(OR(N(对接源_01水果!$B508)&lt;$L$2,N(对接源_01水果!$B508)&gt;$L$3),0,1))</f>
        <v>0</v>
      </c>
      <c r="M508">
        <f>IF(OR($M$1="",对接源_01水果!$C508="",对接源_01水果!$C508&lt;&gt;$M$1,对接源_01水果!$B508=""),0,IF(OR(N(对接源_01水果!$B508)&lt;$M$2,N(对接源_01水果!$B508)&gt;$M$3),0,1))</f>
        <v>0</v>
      </c>
      <c r="N508">
        <f>IF(OR($N$1="",对接源_01水果!$C508="",对接源_01水果!$C508&lt;&gt;$N$1,对接源_01水果!$B508=""),0,IF(OR(N(对接源_01水果!$B508)&lt;$N$2,N(对接源_01水果!$B508)&gt;$N$3),0,1))</f>
        <v>0</v>
      </c>
      <c r="P508">
        <f>IF(AND($K508=1,AND(对接源_01水果!$X508="公司筐",N(对接源_01水果!$T508)&lt;&gt;0)),1,0)</f>
        <v>0</v>
      </c>
      <c r="Q508">
        <f>N(Q507)+$P508</f>
        <v>0</v>
      </c>
      <c r="R508">
        <f>IF(AND($K508=1,AND(对接源_01水果!$X508="公司筐",N(对接源_01水果!$U508)&lt;&gt;0)),1,0)</f>
        <v>0</v>
      </c>
      <c r="S508">
        <f>N(S507)+$R508</f>
        <v>0</v>
      </c>
      <c r="T508">
        <f>IF(AND($K508=1,AND(对接源_01水果!$X508="公司筐",N(对接源_01水果!$V508)&lt;&gt;0)),1,0)</f>
        <v>0</v>
      </c>
      <c r="U508">
        <f>N(U507)+$T508</f>
        <v>47</v>
      </c>
      <c r="V508">
        <f>IF(AND($L508=1,AND(对接源_01水果!$X508="自备筐",N(对接源_01水果!$V508)&lt;&gt;0)),1,0)</f>
        <v>0</v>
      </c>
      <c r="W508">
        <f>N(W507)+$V508</f>
        <v>11</v>
      </c>
      <c r="X508">
        <f>IF(AND($L508=1,AND(对接源_01水果!$X508="自备筐",N(对接源_01水果!$T508)&lt;&gt;0)),1,0)</f>
        <v>0</v>
      </c>
      <c r="Y508">
        <f>N(Y507)+$X508</f>
        <v>0</v>
      </c>
      <c r="Z508">
        <f>IF(AND($M508=1,对接源_01水果!$D508="原料入库"),1,0)</f>
        <v>0</v>
      </c>
      <c r="AA508">
        <f>N(AA507)+$Z508</f>
        <v>24</v>
      </c>
      <c r="AB508">
        <f>IF(AND($M508=1,LEFT(对接源_01水果!$D508,4)="原料出库"),1,0)</f>
        <v>0</v>
      </c>
      <c r="AC508">
        <f>N(AC507)+$AB508</f>
        <v>0</v>
      </c>
      <c r="AD508">
        <f>IF(AND($M508=1,LEFT(对接源_01水果!$D508,4)="成品出库"),1,0)</f>
        <v>0</v>
      </c>
      <c r="AE508">
        <f>N(AE507)+$AD508</f>
        <v>0</v>
      </c>
      <c r="AF508">
        <f>IF(AND($N508=1,AND(LEFT(对接源_01水果!$D508,4)="包装物料",N(对接源_01水果!$K508)&lt;&gt;0)),1,0)</f>
        <v>0</v>
      </c>
      <c r="AG508">
        <f>N(AG507)+$AF508</f>
        <v>0</v>
      </c>
      <c r="AH508">
        <f>IF(AND($N508=1,AND(对接源_01水果!$D508="周转筐－销售出库",N(对接源_01水果!$K508)&lt;&gt;0)),1,0)</f>
        <v>0</v>
      </c>
      <c r="AI508">
        <f>N(AI507)+$AH508</f>
        <v>0</v>
      </c>
      <c r="AJ508" s="7" t="n"/>
      <c r="AL508">
        <f>IF(OR($AL$1="",对接源_01水果!$Y508="",对接源_01水果!$Y508&lt;&gt;$AL$1,对接源_01水果!$B508="",N(对接源_01水果!$AJ508)&lt;=0),0,IF(OR(N(对接源_01水果!$B508)&lt;$AL$2,N(对接源_01水果!$B508)&gt;$AL$3),0,1))</f>
        <v>0</v>
      </c>
      <c r="AM508">
        <f>N(AM507)+$AL508</f>
        <v>0</v>
      </c>
      <c r="AN508">
        <f>IF(对接源_01水果!$AC508="","",对接源_01水果!$AC508)</f>
      </c>
      <c r="AO508">
        <f>IF(AN508="",0,IF(MATCH(AN508,$AN$4:$AN$1203,0)=ROW()-3,1,0))</f>
        <v>0</v>
      </c>
      <c r="AP508">
        <f>N(AP507)+$AO508</f>
        <v>0</v>
      </c>
      <c r="AR508">
        <f>IF(OR($AF508=1,$AH508=1),1,0)</f>
        <v>0</v>
      </c>
      <c r="AS508">
        <f>N(AS507)+$AR508</f>
        <v>0</v>
      </c>
    </row>
    <row r="509" ht="14.25" customHeight="1" s="127">
      <c r="A509" t="str">
        <f>IF(对接源_01水果!$C509="","",对接源_01水果!$C509)</f>
        <v>聂新平</v>
      </c>
      <c r="B509">
        <f>IF(A509="",0,IF(MATCH(A509,$A$4:$A$2403,0)=ROW()-3,1,0))</f>
        <v>0</v>
      </c>
      <c r="C509">
        <f>N(C508)+B509</f>
        <v>22</v>
      </c>
      <c r="K509">
        <f>IF(OR($K$1="",对接源_01水果!$C509="",对接源_01水果!$C509&lt;&gt;$K$1,对接源_01水果!$B509=""),0,IF(OR(N(对接源_01水果!$B509)&lt;$K$2,N(对接源_01水果!$B509)&gt;$K$3),0,1))</f>
        <v>0</v>
      </c>
      <c r="L509">
        <f>IF(OR($L$1="",对接源_01水果!$C509="",对接源_01水果!$C509&lt;&gt;$L$1,对接源_01水果!$B509=""),0,IF(OR(N(对接源_01水果!$B509)&lt;$L$2,N(对接源_01水果!$B509)&gt;$L$3),0,1))</f>
        <v>0</v>
      </c>
      <c r="M509">
        <f>IF(OR($M$1="",对接源_01水果!$C509="",对接源_01水果!$C509&lt;&gt;$M$1,对接源_01水果!$B509=""),0,IF(OR(N(对接源_01水果!$B509)&lt;$M$2,N(对接源_01水果!$B509)&gt;$M$3),0,1))</f>
        <v>0</v>
      </c>
      <c r="N509">
        <f>IF(OR($N$1="",对接源_01水果!$C509="",对接源_01水果!$C509&lt;&gt;$N$1,对接源_01水果!$B509=""),0,IF(OR(N(对接源_01水果!$B509)&lt;$N$2,N(对接源_01水果!$B509)&gt;$N$3),0,1))</f>
        <v>0</v>
      </c>
      <c r="P509">
        <f>IF(AND($K509=1,AND(对接源_01水果!$X509="公司筐",N(对接源_01水果!$T509)&lt;&gt;0)),1,0)</f>
        <v>0</v>
      </c>
      <c r="Q509">
        <f>N(Q508)+$P509</f>
        <v>0</v>
      </c>
      <c r="R509">
        <f>IF(AND($K509=1,AND(对接源_01水果!$X509="公司筐",N(对接源_01水果!$U509)&lt;&gt;0)),1,0)</f>
        <v>0</v>
      </c>
      <c r="S509">
        <f>N(S508)+$R509</f>
        <v>0</v>
      </c>
      <c r="T509">
        <f>IF(AND($K509=1,AND(对接源_01水果!$X509="公司筐",N(对接源_01水果!$V509)&lt;&gt;0)),1,0)</f>
        <v>0</v>
      </c>
      <c r="U509">
        <f>N(U508)+$T509</f>
        <v>47</v>
      </c>
      <c r="V509">
        <f>IF(AND($L509=1,AND(对接源_01水果!$X509="自备筐",N(对接源_01水果!$V509)&lt;&gt;0)),1,0)</f>
        <v>0</v>
      </c>
      <c r="W509">
        <f>N(W508)+$V509</f>
        <v>11</v>
      </c>
      <c r="X509">
        <f>IF(AND($L509=1,AND(对接源_01水果!$X509="自备筐",N(对接源_01水果!$T509)&lt;&gt;0)),1,0)</f>
        <v>0</v>
      </c>
      <c r="Y509">
        <f>N(Y508)+$X509</f>
        <v>0</v>
      </c>
      <c r="Z509">
        <f>IF(AND($M509=1,对接源_01水果!$D509="原料入库"),1,0)</f>
        <v>0</v>
      </c>
      <c r="AA509">
        <f>N(AA508)+$Z509</f>
        <v>24</v>
      </c>
      <c r="AB509">
        <f>IF(AND($M509=1,LEFT(对接源_01水果!$D509,4)="原料出库"),1,0)</f>
        <v>0</v>
      </c>
      <c r="AC509">
        <f>N(AC508)+$AB509</f>
        <v>0</v>
      </c>
      <c r="AD509">
        <f>IF(AND($M509=1,LEFT(对接源_01水果!$D509,4)="成品出库"),1,0)</f>
        <v>0</v>
      </c>
      <c r="AE509">
        <f>N(AE508)+$AD509</f>
        <v>0</v>
      </c>
      <c r="AF509">
        <f>IF(AND($N509=1,AND(LEFT(对接源_01水果!$D509,4)="包装物料",N(对接源_01水果!$K509)&lt;&gt;0)),1,0)</f>
        <v>0</v>
      </c>
      <c r="AG509">
        <f>N(AG508)+$AF509</f>
        <v>0</v>
      </c>
      <c r="AH509">
        <f>IF(AND($N509=1,AND(对接源_01水果!$D509="周转筐－销售出库",N(对接源_01水果!$K509)&lt;&gt;0)),1,0)</f>
        <v>0</v>
      </c>
      <c r="AI509">
        <f>N(AI508)+$AH509</f>
        <v>0</v>
      </c>
      <c r="AJ509" s="7" t="n"/>
      <c r="AL509">
        <f>IF(OR($AL$1="",对接源_01水果!$Y509="",对接源_01水果!$Y509&lt;&gt;$AL$1,对接源_01水果!$B509="",N(对接源_01水果!$AJ509)&lt;=0),0,IF(OR(N(对接源_01水果!$B509)&lt;$AL$2,N(对接源_01水果!$B509)&gt;$AL$3),0,1))</f>
        <v>0</v>
      </c>
      <c r="AM509">
        <f>N(AM508)+$AL509</f>
        <v>0</v>
      </c>
      <c r="AN509">
        <f>IF(对接源_01水果!$AC509="","",对接源_01水果!$AC509)</f>
      </c>
      <c r="AO509">
        <f>IF(AN509="",0,IF(MATCH(AN509,$AN$4:$AN$1203,0)=ROW()-3,1,0))</f>
        <v>0</v>
      </c>
      <c r="AP509">
        <f>N(AP508)+$AO509</f>
        <v>0</v>
      </c>
      <c r="AR509">
        <f>IF(OR($AF509=1,$AH509=1),1,0)</f>
        <v>0</v>
      </c>
      <c r="AS509">
        <f>N(AS508)+$AR509</f>
        <v>0</v>
      </c>
    </row>
    <row r="510" ht="14.25" customHeight="1" s="127">
      <c r="A510" t="str">
        <f>IF(对接源_01水果!$C510="","",对接源_01水果!$C510)</f>
        <v>聂新平</v>
      </c>
      <c r="B510">
        <f>IF(A510="",0,IF(MATCH(A510,$A$4:$A$2403,0)=ROW()-3,1,0))</f>
        <v>0</v>
      </c>
      <c r="C510">
        <f>N(C509)+B510</f>
        <v>22</v>
      </c>
      <c r="K510">
        <f>IF(OR($K$1="",对接源_01水果!$C510="",对接源_01水果!$C510&lt;&gt;$K$1,对接源_01水果!$B510=""),0,IF(OR(N(对接源_01水果!$B510)&lt;$K$2,N(对接源_01水果!$B510)&gt;$K$3),0,1))</f>
        <v>0</v>
      </c>
      <c r="L510">
        <f>IF(OR($L$1="",对接源_01水果!$C510="",对接源_01水果!$C510&lt;&gt;$L$1,对接源_01水果!$B510=""),0,IF(OR(N(对接源_01水果!$B510)&lt;$L$2,N(对接源_01水果!$B510)&gt;$L$3),0,1))</f>
        <v>0</v>
      </c>
      <c r="M510">
        <f>IF(OR($M$1="",对接源_01水果!$C510="",对接源_01水果!$C510&lt;&gt;$M$1,对接源_01水果!$B510=""),0,IF(OR(N(对接源_01水果!$B510)&lt;$M$2,N(对接源_01水果!$B510)&gt;$M$3),0,1))</f>
        <v>0</v>
      </c>
      <c r="N510">
        <f>IF(OR($N$1="",对接源_01水果!$C510="",对接源_01水果!$C510&lt;&gt;$N$1,对接源_01水果!$B510=""),0,IF(OR(N(对接源_01水果!$B510)&lt;$N$2,N(对接源_01水果!$B510)&gt;$N$3),0,1))</f>
        <v>0</v>
      </c>
      <c r="P510">
        <f>IF(AND($K510=1,AND(对接源_01水果!$X510="公司筐",N(对接源_01水果!$T510)&lt;&gt;0)),1,0)</f>
        <v>0</v>
      </c>
      <c r="Q510">
        <f>N(Q509)+$P510</f>
        <v>0</v>
      </c>
      <c r="R510">
        <f>IF(AND($K510=1,AND(对接源_01水果!$X510="公司筐",N(对接源_01水果!$U510)&lt;&gt;0)),1,0)</f>
        <v>0</v>
      </c>
      <c r="S510">
        <f>N(S509)+$R510</f>
        <v>0</v>
      </c>
      <c r="T510">
        <f>IF(AND($K510=1,AND(对接源_01水果!$X510="公司筐",N(对接源_01水果!$V510)&lt;&gt;0)),1,0)</f>
        <v>0</v>
      </c>
      <c r="U510">
        <f>N(U509)+$T510</f>
        <v>47</v>
      </c>
      <c r="V510">
        <f>IF(AND($L510=1,AND(对接源_01水果!$X510="自备筐",N(对接源_01水果!$V510)&lt;&gt;0)),1,0)</f>
        <v>0</v>
      </c>
      <c r="W510">
        <f>N(W509)+$V510</f>
        <v>11</v>
      </c>
      <c r="X510">
        <f>IF(AND($L510=1,AND(对接源_01水果!$X510="自备筐",N(对接源_01水果!$T510)&lt;&gt;0)),1,0)</f>
        <v>0</v>
      </c>
      <c r="Y510">
        <f>N(Y509)+$X510</f>
        <v>0</v>
      </c>
      <c r="Z510">
        <f>IF(AND($M510=1,对接源_01水果!$D510="原料入库"),1,0)</f>
        <v>0</v>
      </c>
      <c r="AA510">
        <f>N(AA509)+$Z510</f>
        <v>24</v>
      </c>
      <c r="AB510">
        <f>IF(AND($M510=1,LEFT(对接源_01水果!$D510,4)="原料出库"),1,0)</f>
        <v>0</v>
      </c>
      <c r="AC510">
        <f>N(AC509)+$AB510</f>
        <v>0</v>
      </c>
      <c r="AD510">
        <f>IF(AND($M510=1,LEFT(对接源_01水果!$D510,4)="成品出库"),1,0)</f>
        <v>0</v>
      </c>
      <c r="AE510">
        <f>N(AE509)+$AD510</f>
        <v>0</v>
      </c>
      <c r="AF510">
        <f>IF(AND($N510=1,AND(LEFT(对接源_01水果!$D510,4)="包装物料",N(对接源_01水果!$K510)&lt;&gt;0)),1,0)</f>
        <v>0</v>
      </c>
      <c r="AG510">
        <f>N(AG509)+$AF510</f>
        <v>0</v>
      </c>
      <c r="AH510">
        <f>IF(AND($N510=1,AND(对接源_01水果!$D510="周转筐－销售出库",N(对接源_01水果!$K510)&lt;&gt;0)),1,0)</f>
        <v>0</v>
      </c>
      <c r="AI510">
        <f>N(AI509)+$AH510</f>
        <v>0</v>
      </c>
      <c r="AJ510" s="7" t="n"/>
      <c r="AL510">
        <f>IF(OR($AL$1="",对接源_01水果!$Y510="",对接源_01水果!$Y510&lt;&gt;$AL$1,对接源_01水果!$B510="",N(对接源_01水果!$AJ510)&lt;=0),0,IF(OR(N(对接源_01水果!$B510)&lt;$AL$2,N(对接源_01水果!$B510)&gt;$AL$3),0,1))</f>
        <v>0</v>
      </c>
      <c r="AM510">
        <f>N(AM509)+$AL510</f>
        <v>0</v>
      </c>
      <c r="AN510">
        <f>IF(对接源_01水果!$AC510="","",对接源_01水果!$AC510)</f>
      </c>
      <c r="AO510">
        <f>IF(AN510="",0,IF(MATCH(AN510,$AN$4:$AN$1203,0)=ROW()-3,1,0))</f>
        <v>0</v>
      </c>
      <c r="AP510">
        <f>N(AP509)+$AO510</f>
        <v>0</v>
      </c>
      <c r="AR510">
        <f>IF(OR($AF510=1,$AH510=1),1,0)</f>
        <v>0</v>
      </c>
      <c r="AS510">
        <f>N(AS509)+$AR510</f>
        <v>0</v>
      </c>
    </row>
    <row r="511" ht="14.25" customHeight="1" s="127">
      <c r="A511" t="str">
        <f>IF(对接源_01水果!$C511="","",对接源_01水果!$C511)</f>
        <v>聂新平</v>
      </c>
      <c r="B511">
        <f>IF(A511="",0,IF(MATCH(A511,$A$4:$A$2403,0)=ROW()-3,1,0))</f>
        <v>0</v>
      </c>
      <c r="C511">
        <f>N(C510)+B511</f>
        <v>22</v>
      </c>
      <c r="K511">
        <f>IF(OR($K$1="",对接源_01水果!$C511="",对接源_01水果!$C511&lt;&gt;$K$1,对接源_01水果!$B511=""),0,IF(OR(N(对接源_01水果!$B511)&lt;$K$2,N(对接源_01水果!$B511)&gt;$K$3),0,1))</f>
        <v>0</v>
      </c>
      <c r="L511">
        <f>IF(OR($L$1="",对接源_01水果!$C511="",对接源_01水果!$C511&lt;&gt;$L$1,对接源_01水果!$B511=""),0,IF(OR(N(对接源_01水果!$B511)&lt;$L$2,N(对接源_01水果!$B511)&gt;$L$3),0,1))</f>
        <v>0</v>
      </c>
      <c r="M511">
        <f>IF(OR($M$1="",对接源_01水果!$C511="",对接源_01水果!$C511&lt;&gt;$M$1,对接源_01水果!$B511=""),0,IF(OR(N(对接源_01水果!$B511)&lt;$M$2,N(对接源_01水果!$B511)&gt;$M$3),0,1))</f>
        <v>0</v>
      </c>
      <c r="N511">
        <f>IF(OR($N$1="",对接源_01水果!$C511="",对接源_01水果!$C511&lt;&gt;$N$1,对接源_01水果!$B511=""),0,IF(OR(N(对接源_01水果!$B511)&lt;$N$2,N(对接源_01水果!$B511)&gt;$N$3),0,1))</f>
        <v>0</v>
      </c>
      <c r="P511">
        <f>IF(AND($K511=1,AND(对接源_01水果!$X511="公司筐",N(对接源_01水果!$T511)&lt;&gt;0)),1,0)</f>
        <v>0</v>
      </c>
      <c r="Q511">
        <f>N(Q510)+$P511</f>
        <v>0</v>
      </c>
      <c r="R511">
        <f>IF(AND($K511=1,AND(对接源_01水果!$X511="公司筐",N(对接源_01水果!$U511)&lt;&gt;0)),1,0)</f>
        <v>0</v>
      </c>
      <c r="S511">
        <f>N(S510)+$R511</f>
        <v>0</v>
      </c>
      <c r="T511">
        <f>IF(AND($K511=1,AND(对接源_01水果!$X511="公司筐",N(对接源_01水果!$V511)&lt;&gt;0)),1,0)</f>
        <v>0</v>
      </c>
      <c r="U511">
        <f>N(U510)+$T511</f>
        <v>47</v>
      </c>
      <c r="V511">
        <f>IF(AND($L511=1,AND(对接源_01水果!$X511="自备筐",N(对接源_01水果!$V511)&lt;&gt;0)),1,0)</f>
        <v>0</v>
      </c>
      <c r="W511">
        <f>N(W510)+$V511</f>
        <v>11</v>
      </c>
      <c r="X511">
        <f>IF(AND($L511=1,AND(对接源_01水果!$X511="自备筐",N(对接源_01水果!$T511)&lt;&gt;0)),1,0)</f>
        <v>0</v>
      </c>
      <c r="Y511">
        <f>N(Y510)+$X511</f>
        <v>0</v>
      </c>
      <c r="Z511">
        <f>IF(AND($M511=1,对接源_01水果!$D511="原料入库"),1,0)</f>
        <v>0</v>
      </c>
      <c r="AA511">
        <f>N(AA510)+$Z511</f>
        <v>24</v>
      </c>
      <c r="AB511">
        <f>IF(AND($M511=1,LEFT(对接源_01水果!$D511,4)="原料出库"),1,0)</f>
        <v>0</v>
      </c>
      <c r="AC511">
        <f>N(AC510)+$AB511</f>
        <v>0</v>
      </c>
      <c r="AD511">
        <f>IF(AND($M511=1,LEFT(对接源_01水果!$D511,4)="成品出库"),1,0)</f>
        <v>0</v>
      </c>
      <c r="AE511">
        <f>N(AE510)+$AD511</f>
        <v>0</v>
      </c>
      <c r="AF511">
        <f>IF(AND($N511=1,AND(LEFT(对接源_01水果!$D511,4)="包装物料",N(对接源_01水果!$K511)&lt;&gt;0)),1,0)</f>
        <v>0</v>
      </c>
      <c r="AG511">
        <f>N(AG510)+$AF511</f>
        <v>0</v>
      </c>
      <c r="AH511">
        <f>IF(AND($N511=1,AND(对接源_01水果!$D511="周转筐－销售出库",N(对接源_01水果!$K511)&lt;&gt;0)),1,0)</f>
        <v>0</v>
      </c>
      <c r="AI511">
        <f>N(AI510)+$AH511</f>
        <v>0</v>
      </c>
      <c r="AJ511" s="7" t="n"/>
      <c r="AL511">
        <f>IF(OR($AL$1="",对接源_01水果!$Y511="",对接源_01水果!$Y511&lt;&gt;$AL$1,对接源_01水果!$B511="",N(对接源_01水果!$AJ511)&lt;=0),0,IF(OR(N(对接源_01水果!$B511)&lt;$AL$2,N(对接源_01水果!$B511)&gt;$AL$3),0,1))</f>
        <v>0</v>
      </c>
      <c r="AM511">
        <f>N(AM510)+$AL511</f>
        <v>0</v>
      </c>
      <c r="AN511">
        <f>IF(对接源_01水果!$AC511="","",对接源_01水果!$AC511)</f>
      </c>
      <c r="AO511">
        <f>IF(AN511="",0,IF(MATCH(AN511,$AN$4:$AN$1203,0)=ROW()-3,1,0))</f>
        <v>0</v>
      </c>
      <c r="AP511">
        <f>N(AP510)+$AO511</f>
        <v>0</v>
      </c>
      <c r="AR511">
        <f>IF(OR($AF511=1,$AH511=1),1,0)</f>
        <v>0</v>
      </c>
      <c r="AS511">
        <f>N(AS510)+$AR511</f>
        <v>0</v>
      </c>
    </row>
    <row r="512" ht="14.25" customHeight="1" s="127">
      <c r="A512" t="str">
        <f>IF(对接源_01水果!$C512="","",对接源_01水果!$C512)</f>
        <v>聂新平</v>
      </c>
      <c r="B512">
        <f>IF(A512="",0,IF(MATCH(A512,$A$4:$A$2403,0)=ROW()-3,1,0))</f>
        <v>0</v>
      </c>
      <c r="C512">
        <f>N(C511)+B512</f>
        <v>22</v>
      </c>
      <c r="K512">
        <f>IF(OR($K$1="",对接源_01水果!$C512="",对接源_01水果!$C512&lt;&gt;$K$1,对接源_01水果!$B512=""),0,IF(OR(N(对接源_01水果!$B512)&lt;$K$2,N(对接源_01水果!$B512)&gt;$K$3),0,1))</f>
        <v>0</v>
      </c>
      <c r="L512">
        <f>IF(OR($L$1="",对接源_01水果!$C512="",对接源_01水果!$C512&lt;&gt;$L$1,对接源_01水果!$B512=""),0,IF(OR(N(对接源_01水果!$B512)&lt;$L$2,N(对接源_01水果!$B512)&gt;$L$3),0,1))</f>
        <v>0</v>
      </c>
      <c r="M512">
        <f>IF(OR($M$1="",对接源_01水果!$C512="",对接源_01水果!$C512&lt;&gt;$M$1,对接源_01水果!$B512=""),0,IF(OR(N(对接源_01水果!$B512)&lt;$M$2,N(对接源_01水果!$B512)&gt;$M$3),0,1))</f>
        <v>0</v>
      </c>
      <c r="N512">
        <f>IF(OR($N$1="",对接源_01水果!$C512="",对接源_01水果!$C512&lt;&gt;$N$1,对接源_01水果!$B512=""),0,IF(OR(N(对接源_01水果!$B512)&lt;$N$2,N(对接源_01水果!$B512)&gt;$N$3),0,1))</f>
        <v>0</v>
      </c>
      <c r="P512">
        <f>IF(AND($K512=1,AND(对接源_01水果!$X512="公司筐",N(对接源_01水果!$T512)&lt;&gt;0)),1,0)</f>
        <v>0</v>
      </c>
      <c r="Q512">
        <f>N(Q511)+$P512</f>
        <v>0</v>
      </c>
      <c r="R512">
        <f>IF(AND($K512=1,AND(对接源_01水果!$X512="公司筐",N(对接源_01水果!$U512)&lt;&gt;0)),1,0)</f>
        <v>0</v>
      </c>
      <c r="S512">
        <f>N(S511)+$R512</f>
        <v>0</v>
      </c>
      <c r="T512">
        <f>IF(AND($K512=1,AND(对接源_01水果!$X512="公司筐",N(对接源_01水果!$V512)&lt;&gt;0)),1,0)</f>
        <v>0</v>
      </c>
      <c r="U512">
        <f>N(U511)+$T512</f>
        <v>47</v>
      </c>
      <c r="V512">
        <f>IF(AND($L512=1,AND(对接源_01水果!$X512="自备筐",N(对接源_01水果!$V512)&lt;&gt;0)),1,0)</f>
        <v>0</v>
      </c>
      <c r="W512">
        <f>N(W511)+$V512</f>
        <v>11</v>
      </c>
      <c r="X512">
        <f>IF(AND($L512=1,AND(对接源_01水果!$X512="自备筐",N(对接源_01水果!$T512)&lt;&gt;0)),1,0)</f>
        <v>0</v>
      </c>
      <c r="Y512">
        <f>N(Y511)+$X512</f>
        <v>0</v>
      </c>
      <c r="Z512">
        <f>IF(AND($M512=1,对接源_01水果!$D512="原料入库"),1,0)</f>
        <v>0</v>
      </c>
      <c r="AA512">
        <f>N(AA511)+$Z512</f>
        <v>24</v>
      </c>
      <c r="AB512">
        <f>IF(AND($M512=1,LEFT(对接源_01水果!$D512,4)="原料出库"),1,0)</f>
        <v>0</v>
      </c>
      <c r="AC512">
        <f>N(AC511)+$AB512</f>
        <v>0</v>
      </c>
      <c r="AD512">
        <f>IF(AND($M512=1,LEFT(对接源_01水果!$D512,4)="成品出库"),1,0)</f>
        <v>0</v>
      </c>
      <c r="AE512">
        <f>N(AE511)+$AD512</f>
        <v>0</v>
      </c>
      <c r="AF512">
        <f>IF(AND($N512=1,AND(LEFT(对接源_01水果!$D512,4)="包装物料",N(对接源_01水果!$K512)&lt;&gt;0)),1,0)</f>
        <v>0</v>
      </c>
      <c r="AG512">
        <f>N(AG511)+$AF512</f>
        <v>0</v>
      </c>
      <c r="AH512">
        <f>IF(AND($N512=1,AND(对接源_01水果!$D512="周转筐－销售出库",N(对接源_01水果!$K512)&lt;&gt;0)),1,0)</f>
        <v>0</v>
      </c>
      <c r="AI512">
        <f>N(AI511)+$AH512</f>
        <v>0</v>
      </c>
      <c r="AJ512" s="7" t="n"/>
      <c r="AL512">
        <f>IF(OR($AL$1="",对接源_01水果!$Y512="",对接源_01水果!$Y512&lt;&gt;$AL$1,对接源_01水果!$B512="",N(对接源_01水果!$AJ512)&lt;=0),0,IF(OR(N(对接源_01水果!$B512)&lt;$AL$2,N(对接源_01水果!$B512)&gt;$AL$3),0,1))</f>
        <v>0</v>
      </c>
      <c r="AM512">
        <f>N(AM511)+$AL512</f>
        <v>0</v>
      </c>
      <c r="AN512">
        <f>IF(对接源_01水果!$AC512="","",对接源_01水果!$AC512)</f>
      </c>
      <c r="AO512">
        <f>IF(AN512="",0,IF(MATCH(AN512,$AN$4:$AN$1203,0)=ROW()-3,1,0))</f>
        <v>0</v>
      </c>
      <c r="AP512">
        <f>N(AP511)+$AO512</f>
        <v>0</v>
      </c>
      <c r="AR512">
        <f>IF(OR($AF512=1,$AH512=1),1,0)</f>
        <v>0</v>
      </c>
      <c r="AS512">
        <f>N(AS511)+$AR512</f>
        <v>0</v>
      </c>
    </row>
    <row r="513" ht="14.25" customHeight="1" s="127">
      <c r="A513" t="str">
        <f>IF(对接源_01水果!$C513="","",对接源_01水果!$C513)</f>
        <v>王照雪</v>
      </c>
      <c r="B513">
        <f>IF(A513="",0,IF(MATCH(A513,$A$4:$A$2403,0)=ROW()-3,1,0))</f>
        <v>0</v>
      </c>
      <c r="C513">
        <f>N(C512)+B513</f>
        <v>22</v>
      </c>
      <c r="K513">
        <f>IF(OR($K$1="",对接源_01水果!$C513="",对接源_01水果!$C513&lt;&gt;$K$1,对接源_01水果!$B513=""),0,IF(OR(N(对接源_01水果!$B513)&lt;$K$2,N(对接源_01水果!$B513)&gt;$K$3),0,1))</f>
        <v>0</v>
      </c>
      <c r="L513">
        <f>IF(OR($L$1="",对接源_01水果!$C513="",对接源_01水果!$C513&lt;&gt;$L$1,对接源_01水果!$B513=""),0,IF(OR(N(对接源_01水果!$B513)&lt;$L$2,N(对接源_01水果!$B513)&gt;$L$3),0,1))</f>
        <v>0</v>
      </c>
      <c r="M513">
        <f>IF(OR($M$1="",对接源_01水果!$C513="",对接源_01水果!$C513&lt;&gt;$M$1,对接源_01水果!$B513=""),0,IF(OR(N(对接源_01水果!$B513)&lt;$M$2,N(对接源_01水果!$B513)&gt;$M$3),0,1))</f>
        <v>0</v>
      </c>
      <c r="N513">
        <f>IF(OR($N$1="",对接源_01水果!$C513="",对接源_01水果!$C513&lt;&gt;$N$1,对接源_01水果!$B513=""),0,IF(OR(N(对接源_01水果!$B513)&lt;$N$2,N(对接源_01水果!$B513)&gt;$N$3),0,1))</f>
        <v>0</v>
      </c>
      <c r="P513">
        <f>IF(AND($K513=1,AND(对接源_01水果!$X513="公司筐",N(对接源_01水果!$T513)&lt;&gt;0)),1,0)</f>
        <v>0</v>
      </c>
      <c r="Q513">
        <f>N(Q512)+$P513</f>
        <v>0</v>
      </c>
      <c r="R513">
        <f>IF(AND($K513=1,AND(对接源_01水果!$X513="公司筐",N(对接源_01水果!$U513)&lt;&gt;0)),1,0)</f>
        <v>0</v>
      </c>
      <c r="S513">
        <f>N(S512)+$R513</f>
        <v>0</v>
      </c>
      <c r="T513">
        <f>IF(AND($K513=1,AND(对接源_01水果!$X513="公司筐",N(对接源_01水果!$V513)&lt;&gt;0)),1,0)</f>
        <v>0</v>
      </c>
      <c r="U513">
        <f>N(U512)+$T513</f>
        <v>47</v>
      </c>
      <c r="V513">
        <f>IF(AND($L513=1,AND(对接源_01水果!$X513="自备筐",N(对接源_01水果!$V513)&lt;&gt;0)),1,0)</f>
        <v>0</v>
      </c>
      <c r="W513">
        <f>N(W512)+$V513</f>
        <v>11</v>
      </c>
      <c r="X513">
        <f>IF(AND($L513=1,AND(对接源_01水果!$X513="自备筐",N(对接源_01水果!$T513)&lt;&gt;0)),1,0)</f>
        <v>0</v>
      </c>
      <c r="Y513">
        <f>N(Y512)+$X513</f>
        <v>0</v>
      </c>
      <c r="Z513">
        <f>IF(AND($M513=1,对接源_01水果!$D513="原料入库"),1,0)</f>
        <v>0</v>
      </c>
      <c r="AA513">
        <f>N(AA512)+$Z513</f>
        <v>24</v>
      </c>
      <c r="AB513">
        <f>IF(AND($M513=1,LEFT(对接源_01水果!$D513,4)="原料出库"),1,0)</f>
        <v>0</v>
      </c>
      <c r="AC513">
        <f>N(AC512)+$AB513</f>
        <v>0</v>
      </c>
      <c r="AD513">
        <f>IF(AND($M513=1,LEFT(对接源_01水果!$D513,4)="成品出库"),1,0)</f>
        <v>0</v>
      </c>
      <c r="AE513">
        <f>N(AE512)+$AD513</f>
        <v>0</v>
      </c>
      <c r="AF513">
        <f>IF(AND($N513=1,AND(LEFT(对接源_01水果!$D513,4)="包装物料",N(对接源_01水果!$K513)&lt;&gt;0)),1,0)</f>
        <v>0</v>
      </c>
      <c r="AG513">
        <f>N(AG512)+$AF513</f>
        <v>0</v>
      </c>
      <c r="AH513">
        <f>IF(AND($N513=1,AND(对接源_01水果!$D513="周转筐－销售出库",N(对接源_01水果!$K513)&lt;&gt;0)),1,0)</f>
        <v>0</v>
      </c>
      <c r="AI513">
        <f>N(AI512)+$AH513</f>
        <v>0</v>
      </c>
      <c r="AJ513" s="7" t="n"/>
      <c r="AL513">
        <f>IF(OR($AL$1="",对接源_01水果!$Y513="",对接源_01水果!$Y513&lt;&gt;$AL$1,对接源_01水果!$B513="",N(对接源_01水果!$AJ513)&lt;=0),0,IF(OR(N(对接源_01水果!$B513)&lt;$AL$2,N(对接源_01水果!$B513)&gt;$AL$3),0,1))</f>
        <v>0</v>
      </c>
      <c r="AM513">
        <f>N(AM512)+$AL513</f>
        <v>0</v>
      </c>
      <c r="AN513">
        <f>IF(对接源_01水果!$AC513="","",对接源_01水果!$AC513)</f>
      </c>
      <c r="AO513">
        <f>IF(AN513="",0,IF(MATCH(AN513,$AN$4:$AN$1203,0)=ROW()-3,1,0))</f>
        <v>0</v>
      </c>
      <c r="AP513">
        <f>N(AP512)+$AO513</f>
        <v>0</v>
      </c>
      <c r="AR513">
        <f>IF(OR($AF513=1,$AH513=1),1,0)</f>
        <v>0</v>
      </c>
      <c r="AS513">
        <f>N(AS512)+$AR513</f>
        <v>0</v>
      </c>
    </row>
    <row r="514" ht="14.25" customHeight="1" s="127">
      <c r="A514" t="str">
        <f>IF(对接源_01水果!$C514="","",对接源_01水果!$C514)</f>
        <v>麦麦提</v>
      </c>
      <c r="B514">
        <f>IF(A514="",0,IF(MATCH(A514,$A$4:$A$2403,0)=ROW()-3,1,0))</f>
        <v>0</v>
      </c>
      <c r="C514">
        <f>N(C513)+B514</f>
        <v>22</v>
      </c>
      <c r="K514">
        <f>IF(OR($K$1="",对接源_01水果!$C514="",对接源_01水果!$C514&lt;&gt;$K$1,对接源_01水果!$B514=""),0,IF(OR(N(对接源_01水果!$B514)&lt;$K$2,N(对接源_01水果!$B514)&gt;$K$3),0,1))</f>
        <v>0</v>
      </c>
      <c r="L514">
        <f>IF(OR($L$1="",对接源_01水果!$C514="",对接源_01水果!$C514&lt;&gt;$L$1,对接源_01水果!$B514=""),0,IF(OR(N(对接源_01水果!$B514)&lt;$L$2,N(对接源_01水果!$B514)&gt;$L$3),0,1))</f>
        <v>0</v>
      </c>
      <c r="M514">
        <f>IF(OR($M$1="",对接源_01水果!$C514="",对接源_01水果!$C514&lt;&gt;$M$1,对接源_01水果!$B514=""),0,IF(OR(N(对接源_01水果!$B514)&lt;$M$2,N(对接源_01水果!$B514)&gt;$M$3),0,1))</f>
        <v>0</v>
      </c>
      <c r="N514">
        <f>IF(OR($N$1="",对接源_01水果!$C514="",对接源_01水果!$C514&lt;&gt;$N$1,对接源_01水果!$B514=""),0,IF(OR(N(对接源_01水果!$B514)&lt;$N$2,N(对接源_01水果!$B514)&gt;$N$3),0,1))</f>
        <v>1</v>
      </c>
      <c r="P514">
        <f>IF(AND($K514=1,AND(对接源_01水果!$X514="公司筐",N(对接源_01水果!$T514)&lt;&gt;0)),1,0)</f>
        <v>0</v>
      </c>
      <c r="Q514">
        <f>N(Q513)+$P514</f>
        <v>0</v>
      </c>
      <c r="R514">
        <f>IF(AND($K514=1,AND(对接源_01水果!$X514="公司筐",N(对接源_01水果!$U514)&lt;&gt;0)),1,0)</f>
        <v>0</v>
      </c>
      <c r="S514">
        <f>N(S513)+$R514</f>
        <v>0</v>
      </c>
      <c r="T514">
        <f>IF(AND($K514=1,AND(对接源_01水果!$X514="公司筐",N(对接源_01水果!$V514)&lt;&gt;0)),1,0)</f>
        <v>0</v>
      </c>
      <c r="U514">
        <f>N(U513)+$T514</f>
        <v>47</v>
      </c>
      <c r="V514">
        <f>IF(AND($L514=1,AND(对接源_01水果!$X514="自备筐",N(对接源_01水果!$V514)&lt;&gt;0)),1,0)</f>
        <v>0</v>
      </c>
      <c r="W514">
        <f>N(W513)+$V514</f>
        <v>11</v>
      </c>
      <c r="X514">
        <f>IF(AND($L514=1,AND(对接源_01水果!$X514="自备筐",N(对接源_01水果!$T514)&lt;&gt;0)),1,0)</f>
        <v>0</v>
      </c>
      <c r="Y514">
        <f>N(Y513)+$X514</f>
        <v>0</v>
      </c>
      <c r="Z514">
        <f>IF(AND($M514=1,对接源_01水果!$D514="原料入库"),1,0)</f>
        <v>0</v>
      </c>
      <c r="AA514">
        <f>N(AA513)+$Z514</f>
        <v>24</v>
      </c>
      <c r="AB514">
        <f>IF(AND($M514=1,LEFT(对接源_01水果!$D514,4)="原料出库"),1,0)</f>
        <v>0</v>
      </c>
      <c r="AC514">
        <f>N(AC513)+$AB514</f>
        <v>0</v>
      </c>
      <c r="AD514">
        <f>IF(AND($M514=1,LEFT(对接源_01水果!$D514,4)="成品出库"),1,0)</f>
        <v>0</v>
      </c>
      <c r="AE514">
        <f>N(AE513)+$AD514</f>
        <v>0</v>
      </c>
      <c r="AF514">
        <f>IF(AND($N514=1,AND(LEFT(对接源_01水果!$D514,4)="包装物料",N(对接源_01水果!$K514)&lt;&gt;0)),1,0)</f>
        <v>0</v>
      </c>
      <c r="AG514">
        <f>N(AG513)+$AF514</f>
        <v>0</v>
      </c>
      <c r="AH514">
        <f>IF(AND($N514=1,AND(对接源_01水果!$D514="周转筐－销售出库",N(对接源_01水果!$K514)&lt;&gt;0)),1,0)</f>
        <v>0</v>
      </c>
      <c r="AI514">
        <f>N(AI513)+$AH514</f>
        <v>0</v>
      </c>
      <c r="AJ514" s="7" t="n"/>
      <c r="AL514">
        <f>IF(OR($AL$1="",对接源_01水果!$Y514="",对接源_01水果!$Y514&lt;&gt;$AL$1,对接源_01水果!$B514="",N(对接源_01水果!$AJ514)&lt;=0),0,IF(OR(N(对接源_01水果!$B514)&lt;$AL$2,N(对接源_01水果!$B514)&gt;$AL$3),0,1))</f>
        <v>0</v>
      </c>
      <c r="AM514">
        <f>N(AM513)+$AL514</f>
        <v>0</v>
      </c>
      <c r="AN514">
        <f>IF(对接源_01水果!$AC514="","",对接源_01水果!$AC514)</f>
      </c>
      <c r="AO514">
        <f>IF(AN514="",0,IF(MATCH(AN514,$AN$4:$AN$1203,0)=ROW()-3,1,0))</f>
        <v>0</v>
      </c>
      <c r="AP514">
        <f>N(AP513)+$AO514</f>
        <v>0</v>
      </c>
      <c r="AR514">
        <f>IF(OR($AF514=1,$AH514=1),1,0)</f>
        <v>0</v>
      </c>
      <c r="AS514">
        <f>N(AS513)+$AR514</f>
        <v>0</v>
      </c>
    </row>
    <row r="515" ht="14.25" customHeight="1" s="127">
      <c r="A515" t="str">
        <f>IF(对接源_01水果!$C515="","",对接源_01水果!$C515)</f>
        <v>聂新平</v>
      </c>
      <c r="B515">
        <f>IF(A515="",0,IF(MATCH(A515,$A$4:$A$2403,0)=ROW()-3,1,0))</f>
        <v>0</v>
      </c>
      <c r="C515">
        <f>N(C514)+B515</f>
        <v>22</v>
      </c>
      <c r="K515">
        <f>IF(OR($K$1="",对接源_01水果!$C515="",对接源_01水果!$C515&lt;&gt;$K$1,对接源_01水果!$B515=""),0,IF(OR(N(对接源_01水果!$B515)&lt;$K$2,N(对接源_01水果!$B515)&gt;$K$3),0,1))</f>
        <v>0</v>
      </c>
      <c r="L515">
        <f>IF(OR($L$1="",对接源_01水果!$C515="",对接源_01水果!$C515&lt;&gt;$L$1,对接源_01水果!$B515=""),0,IF(OR(N(对接源_01水果!$B515)&lt;$L$2,N(对接源_01水果!$B515)&gt;$L$3),0,1))</f>
        <v>0</v>
      </c>
      <c r="M515">
        <f>IF(OR($M$1="",对接源_01水果!$C515="",对接源_01水果!$C515&lt;&gt;$M$1,对接源_01水果!$B515=""),0,IF(OR(N(对接源_01水果!$B515)&lt;$M$2,N(对接源_01水果!$B515)&gt;$M$3),0,1))</f>
        <v>0</v>
      </c>
      <c r="N515">
        <f>IF(OR($N$1="",对接源_01水果!$C515="",对接源_01水果!$C515&lt;&gt;$N$1,对接源_01水果!$B515=""),0,IF(OR(N(对接源_01水果!$B515)&lt;$N$2,N(对接源_01水果!$B515)&gt;$N$3),0,1))</f>
        <v>0</v>
      </c>
      <c r="P515">
        <f>IF(AND($K515=1,AND(对接源_01水果!$X515="公司筐",N(对接源_01水果!$T515)&lt;&gt;0)),1,0)</f>
        <v>0</v>
      </c>
      <c r="Q515">
        <f>N(Q514)+$P515</f>
        <v>0</v>
      </c>
      <c r="R515">
        <f>IF(AND($K515=1,AND(对接源_01水果!$X515="公司筐",N(对接源_01水果!$U515)&lt;&gt;0)),1,0)</f>
        <v>0</v>
      </c>
      <c r="S515">
        <f>N(S514)+$R515</f>
        <v>0</v>
      </c>
      <c r="T515">
        <f>IF(AND($K515=1,AND(对接源_01水果!$X515="公司筐",N(对接源_01水果!$V515)&lt;&gt;0)),1,0)</f>
        <v>0</v>
      </c>
      <c r="U515">
        <f>N(U514)+$T515</f>
        <v>47</v>
      </c>
      <c r="V515">
        <f>IF(AND($L515=1,AND(对接源_01水果!$X515="自备筐",N(对接源_01水果!$V515)&lt;&gt;0)),1,0)</f>
        <v>0</v>
      </c>
      <c r="W515">
        <f>N(W514)+$V515</f>
        <v>11</v>
      </c>
      <c r="X515">
        <f>IF(AND($L515=1,AND(对接源_01水果!$X515="自备筐",N(对接源_01水果!$T515)&lt;&gt;0)),1,0)</f>
        <v>0</v>
      </c>
      <c r="Y515">
        <f>N(Y514)+$X515</f>
        <v>0</v>
      </c>
      <c r="Z515">
        <f>IF(AND($M515=1,对接源_01水果!$D515="原料入库"),1,0)</f>
        <v>0</v>
      </c>
      <c r="AA515">
        <f>N(AA514)+$Z515</f>
        <v>24</v>
      </c>
      <c r="AB515">
        <f>IF(AND($M515=1,LEFT(对接源_01水果!$D515,4)="原料出库"),1,0)</f>
        <v>0</v>
      </c>
      <c r="AC515">
        <f>N(AC514)+$AB515</f>
        <v>0</v>
      </c>
      <c r="AD515">
        <f>IF(AND($M515=1,LEFT(对接源_01水果!$D515,4)="成品出库"),1,0)</f>
        <v>0</v>
      </c>
      <c r="AE515">
        <f>N(AE514)+$AD515</f>
        <v>0</v>
      </c>
      <c r="AF515">
        <f>IF(AND($N515=1,AND(LEFT(对接源_01水果!$D515,4)="包装物料",N(对接源_01水果!$K515)&lt;&gt;0)),1,0)</f>
        <v>0</v>
      </c>
      <c r="AG515">
        <f>N(AG514)+$AF515</f>
        <v>0</v>
      </c>
      <c r="AH515">
        <f>IF(AND($N515=1,AND(对接源_01水果!$D515="周转筐－销售出库",N(对接源_01水果!$K515)&lt;&gt;0)),1,0)</f>
        <v>0</v>
      </c>
      <c r="AI515">
        <f>N(AI514)+$AH515</f>
        <v>0</v>
      </c>
      <c r="AJ515" s="7" t="n"/>
      <c r="AL515">
        <f>IF(OR($AL$1="",对接源_01水果!$Y515="",对接源_01水果!$Y515&lt;&gt;$AL$1,对接源_01水果!$B515="",N(对接源_01水果!$AJ515)&lt;=0),0,IF(OR(N(对接源_01水果!$B515)&lt;$AL$2,N(对接源_01水果!$B515)&gt;$AL$3),0,1))</f>
        <v>0</v>
      </c>
      <c r="AM515">
        <f>N(AM514)+$AL515</f>
        <v>0</v>
      </c>
      <c r="AN515">
        <f>IF(对接源_01水果!$AC515="","",对接源_01水果!$AC515)</f>
      </c>
      <c r="AO515">
        <f>IF(AN515="",0,IF(MATCH(AN515,$AN$4:$AN$1203,0)=ROW()-3,1,0))</f>
        <v>0</v>
      </c>
      <c r="AP515">
        <f>N(AP514)+$AO515</f>
        <v>0</v>
      </c>
      <c r="AR515">
        <f>IF(OR($AF515=1,$AH515=1),1,0)</f>
        <v>0</v>
      </c>
      <c r="AS515">
        <f>N(AS514)+$AR515</f>
        <v>0</v>
      </c>
    </row>
    <row r="516" ht="14.25" customHeight="1" s="127">
      <c r="A516" t="str">
        <f>IF(对接源_01水果!$C516="","",对接源_01水果!$C516)</f>
        <v>王照雪</v>
      </c>
      <c r="B516">
        <f>IF(A516="",0,IF(MATCH(A516,$A$4:$A$2403,0)=ROW()-3,1,0))</f>
        <v>0</v>
      </c>
      <c r="C516">
        <f>N(C515)+B516</f>
        <v>22</v>
      </c>
      <c r="K516">
        <f>IF(OR($K$1="",对接源_01水果!$C516="",对接源_01水果!$C516&lt;&gt;$K$1,对接源_01水果!$B516=""),0,IF(OR(N(对接源_01水果!$B516)&lt;$K$2,N(对接源_01水果!$B516)&gt;$K$3),0,1))</f>
        <v>0</v>
      </c>
      <c r="L516">
        <f>IF(OR($L$1="",对接源_01水果!$C516="",对接源_01水果!$C516&lt;&gt;$L$1,对接源_01水果!$B516=""),0,IF(OR(N(对接源_01水果!$B516)&lt;$L$2,N(对接源_01水果!$B516)&gt;$L$3),0,1))</f>
        <v>0</v>
      </c>
      <c r="M516">
        <f>IF(OR($M$1="",对接源_01水果!$C516="",对接源_01水果!$C516&lt;&gt;$M$1,对接源_01水果!$B516=""),0,IF(OR(N(对接源_01水果!$B516)&lt;$M$2,N(对接源_01水果!$B516)&gt;$M$3),0,1))</f>
        <v>0</v>
      </c>
      <c r="N516">
        <f>IF(OR($N$1="",对接源_01水果!$C516="",对接源_01水果!$C516&lt;&gt;$N$1,对接源_01水果!$B516=""),0,IF(OR(N(对接源_01水果!$B516)&lt;$N$2,N(对接源_01水果!$B516)&gt;$N$3),0,1))</f>
        <v>0</v>
      </c>
      <c r="P516">
        <f>IF(AND($K516=1,AND(对接源_01水果!$X516="公司筐",N(对接源_01水果!$T516)&lt;&gt;0)),1,0)</f>
        <v>0</v>
      </c>
      <c r="Q516">
        <f>N(Q515)+$P516</f>
        <v>0</v>
      </c>
      <c r="R516">
        <f>IF(AND($K516=1,AND(对接源_01水果!$X516="公司筐",N(对接源_01水果!$U516)&lt;&gt;0)),1,0)</f>
        <v>0</v>
      </c>
      <c r="S516">
        <f>N(S515)+$R516</f>
        <v>0</v>
      </c>
      <c r="T516">
        <f>IF(AND($K516=1,AND(对接源_01水果!$X516="公司筐",N(对接源_01水果!$V516)&lt;&gt;0)),1,0)</f>
        <v>0</v>
      </c>
      <c r="U516">
        <f>N(U515)+$T516</f>
        <v>47</v>
      </c>
      <c r="V516">
        <f>IF(AND($L516=1,AND(对接源_01水果!$X516="自备筐",N(对接源_01水果!$V516)&lt;&gt;0)),1,0)</f>
        <v>0</v>
      </c>
      <c r="W516">
        <f>N(W515)+$V516</f>
        <v>11</v>
      </c>
      <c r="X516">
        <f>IF(AND($L516=1,AND(对接源_01水果!$X516="自备筐",N(对接源_01水果!$T516)&lt;&gt;0)),1,0)</f>
        <v>0</v>
      </c>
      <c r="Y516">
        <f>N(Y515)+$X516</f>
        <v>0</v>
      </c>
      <c r="Z516">
        <f>IF(AND($M516=1,对接源_01水果!$D516="原料入库"),1,0)</f>
        <v>0</v>
      </c>
      <c r="AA516">
        <f>N(AA515)+$Z516</f>
        <v>24</v>
      </c>
      <c r="AB516">
        <f>IF(AND($M516=1,LEFT(对接源_01水果!$D516,4)="原料出库"),1,0)</f>
        <v>0</v>
      </c>
      <c r="AC516">
        <f>N(AC515)+$AB516</f>
        <v>0</v>
      </c>
      <c r="AD516">
        <f>IF(AND($M516=1,LEFT(对接源_01水果!$D516,4)="成品出库"),1,0)</f>
        <v>0</v>
      </c>
      <c r="AE516">
        <f>N(AE515)+$AD516</f>
        <v>0</v>
      </c>
      <c r="AF516">
        <f>IF(AND($N516=1,AND(LEFT(对接源_01水果!$D516,4)="包装物料",N(对接源_01水果!$K516)&lt;&gt;0)),1,0)</f>
        <v>0</v>
      </c>
      <c r="AG516">
        <f>N(AG515)+$AF516</f>
        <v>0</v>
      </c>
      <c r="AH516">
        <f>IF(AND($N516=1,AND(对接源_01水果!$D516="周转筐－销售出库",N(对接源_01水果!$K516)&lt;&gt;0)),1,0)</f>
        <v>0</v>
      </c>
      <c r="AI516">
        <f>N(AI515)+$AH516</f>
        <v>0</v>
      </c>
      <c r="AJ516" s="7" t="n"/>
      <c r="AL516">
        <f>IF(OR($AL$1="",对接源_01水果!$Y516="",对接源_01水果!$Y516&lt;&gt;$AL$1,对接源_01水果!$B516="",N(对接源_01水果!$AJ516)&lt;=0),0,IF(OR(N(对接源_01水果!$B516)&lt;$AL$2,N(对接源_01水果!$B516)&gt;$AL$3),0,1))</f>
        <v>0</v>
      </c>
      <c r="AM516">
        <f>N(AM515)+$AL516</f>
        <v>0</v>
      </c>
      <c r="AN516">
        <f>IF(对接源_01水果!$AC516="","",对接源_01水果!$AC516)</f>
      </c>
      <c r="AO516">
        <f>IF(AN516="",0,IF(MATCH(AN516,$AN$4:$AN$1203,0)=ROW()-3,1,0))</f>
        <v>0</v>
      </c>
      <c r="AP516">
        <f>N(AP515)+$AO516</f>
        <v>0</v>
      </c>
      <c r="AR516">
        <f>IF(OR($AF516=1,$AH516=1),1,0)</f>
        <v>0</v>
      </c>
      <c r="AS516">
        <f>N(AS515)+$AR516</f>
        <v>0</v>
      </c>
    </row>
    <row r="517" ht="14.25" customHeight="1" s="127">
      <c r="A517" t="str">
        <f>IF(对接源_01水果!$C517="","",对接源_01水果!$C517)</f>
        <v>王照雪</v>
      </c>
      <c r="B517">
        <f>IF(A517="",0,IF(MATCH(A517,$A$4:$A$2403,0)=ROW()-3,1,0))</f>
        <v>0</v>
      </c>
      <c r="C517">
        <f>N(C516)+B517</f>
        <v>22</v>
      </c>
      <c r="K517">
        <f>IF(OR($K$1="",对接源_01水果!$C517="",对接源_01水果!$C517&lt;&gt;$K$1,对接源_01水果!$B517=""),0,IF(OR(N(对接源_01水果!$B517)&lt;$K$2,N(对接源_01水果!$B517)&gt;$K$3),0,1))</f>
        <v>0</v>
      </c>
      <c r="L517">
        <f>IF(OR($L$1="",对接源_01水果!$C517="",对接源_01水果!$C517&lt;&gt;$L$1,对接源_01水果!$B517=""),0,IF(OR(N(对接源_01水果!$B517)&lt;$L$2,N(对接源_01水果!$B517)&gt;$L$3),0,1))</f>
        <v>0</v>
      </c>
      <c r="M517">
        <f>IF(OR($M$1="",对接源_01水果!$C517="",对接源_01水果!$C517&lt;&gt;$M$1,对接源_01水果!$B517=""),0,IF(OR(N(对接源_01水果!$B517)&lt;$M$2,N(对接源_01水果!$B517)&gt;$M$3),0,1))</f>
        <v>0</v>
      </c>
      <c r="N517">
        <f>IF(OR($N$1="",对接源_01水果!$C517="",对接源_01水果!$C517&lt;&gt;$N$1,对接源_01水果!$B517=""),0,IF(OR(N(对接源_01水果!$B517)&lt;$N$2,N(对接源_01水果!$B517)&gt;$N$3),0,1))</f>
        <v>0</v>
      </c>
      <c r="P517">
        <f>IF(AND($K517=1,AND(对接源_01水果!$X517="公司筐",N(对接源_01水果!$T517)&lt;&gt;0)),1,0)</f>
        <v>0</v>
      </c>
      <c r="Q517">
        <f>N(Q516)+$P517</f>
        <v>0</v>
      </c>
      <c r="R517">
        <f>IF(AND($K517=1,AND(对接源_01水果!$X517="公司筐",N(对接源_01水果!$U517)&lt;&gt;0)),1,0)</f>
        <v>0</v>
      </c>
      <c r="S517">
        <f>N(S516)+$R517</f>
        <v>0</v>
      </c>
      <c r="T517">
        <f>IF(AND($K517=1,AND(对接源_01水果!$X517="公司筐",N(对接源_01水果!$V517)&lt;&gt;0)),1,0)</f>
        <v>0</v>
      </c>
      <c r="U517">
        <f>N(U516)+$T517</f>
        <v>47</v>
      </c>
      <c r="V517">
        <f>IF(AND($L517=1,AND(对接源_01水果!$X517="自备筐",N(对接源_01水果!$V517)&lt;&gt;0)),1,0)</f>
        <v>0</v>
      </c>
      <c r="W517">
        <f>N(W516)+$V517</f>
        <v>11</v>
      </c>
      <c r="X517">
        <f>IF(AND($L517=1,AND(对接源_01水果!$X517="自备筐",N(对接源_01水果!$T517)&lt;&gt;0)),1,0)</f>
        <v>0</v>
      </c>
      <c r="Y517">
        <f>N(Y516)+$X517</f>
        <v>0</v>
      </c>
      <c r="Z517">
        <f>IF(AND($M517=1,对接源_01水果!$D517="原料入库"),1,0)</f>
        <v>0</v>
      </c>
      <c r="AA517">
        <f>N(AA516)+$Z517</f>
        <v>24</v>
      </c>
      <c r="AB517">
        <f>IF(AND($M517=1,LEFT(对接源_01水果!$D517,4)="原料出库"),1,0)</f>
        <v>0</v>
      </c>
      <c r="AC517">
        <f>N(AC516)+$AB517</f>
        <v>0</v>
      </c>
      <c r="AD517">
        <f>IF(AND($M517=1,LEFT(对接源_01水果!$D517,4)="成品出库"),1,0)</f>
        <v>0</v>
      </c>
      <c r="AE517">
        <f>N(AE516)+$AD517</f>
        <v>0</v>
      </c>
      <c r="AF517">
        <f>IF(AND($N517=1,AND(LEFT(对接源_01水果!$D517,4)="包装物料",N(对接源_01水果!$K517)&lt;&gt;0)),1,0)</f>
        <v>0</v>
      </c>
      <c r="AG517">
        <f>N(AG516)+$AF517</f>
        <v>0</v>
      </c>
      <c r="AH517">
        <f>IF(AND($N517=1,AND(对接源_01水果!$D517="周转筐－销售出库",N(对接源_01水果!$K517)&lt;&gt;0)),1,0)</f>
        <v>0</v>
      </c>
      <c r="AI517">
        <f>N(AI516)+$AH517</f>
        <v>0</v>
      </c>
      <c r="AJ517" s="7" t="n"/>
      <c r="AL517">
        <f>IF(OR($AL$1="",对接源_01水果!$Y517="",对接源_01水果!$Y517&lt;&gt;$AL$1,对接源_01水果!$B517="",N(对接源_01水果!$AJ517)&lt;=0),0,IF(OR(N(对接源_01水果!$B517)&lt;$AL$2,N(对接源_01水果!$B517)&gt;$AL$3),0,1))</f>
        <v>0</v>
      </c>
      <c r="AM517">
        <f>N(AM516)+$AL517</f>
        <v>0</v>
      </c>
      <c r="AN517">
        <f>IF(对接源_01水果!$AC517="","",对接源_01水果!$AC517)</f>
      </c>
      <c r="AO517">
        <f>IF(AN517="",0,IF(MATCH(AN517,$AN$4:$AN$1203,0)=ROW()-3,1,0))</f>
        <v>0</v>
      </c>
      <c r="AP517">
        <f>N(AP516)+$AO517</f>
        <v>0</v>
      </c>
      <c r="AR517">
        <f>IF(OR($AF517=1,$AH517=1),1,0)</f>
        <v>0</v>
      </c>
      <c r="AS517">
        <f>N(AS516)+$AR517</f>
        <v>0</v>
      </c>
    </row>
    <row r="518" ht="14.25" customHeight="1" s="127">
      <c r="A518" t="str">
        <f>IF(对接源_01水果!$C518="","",对接源_01水果!$C518)</f>
        <v>王照雪</v>
      </c>
      <c r="B518">
        <f>IF(A518="",0,IF(MATCH(A518,$A$4:$A$2403,0)=ROW()-3,1,0))</f>
        <v>0</v>
      </c>
      <c r="C518">
        <f>N(C517)+B518</f>
        <v>22</v>
      </c>
      <c r="K518">
        <f>IF(OR($K$1="",对接源_01水果!$C518="",对接源_01水果!$C518&lt;&gt;$K$1,对接源_01水果!$B518=""),0,IF(OR(N(对接源_01水果!$B518)&lt;$K$2,N(对接源_01水果!$B518)&gt;$K$3),0,1))</f>
        <v>0</v>
      </c>
      <c r="L518">
        <f>IF(OR($L$1="",对接源_01水果!$C518="",对接源_01水果!$C518&lt;&gt;$L$1,对接源_01水果!$B518=""),0,IF(OR(N(对接源_01水果!$B518)&lt;$L$2,N(对接源_01水果!$B518)&gt;$L$3),0,1))</f>
        <v>0</v>
      </c>
      <c r="M518">
        <f>IF(OR($M$1="",对接源_01水果!$C518="",对接源_01水果!$C518&lt;&gt;$M$1,对接源_01水果!$B518=""),0,IF(OR(N(对接源_01水果!$B518)&lt;$M$2,N(对接源_01水果!$B518)&gt;$M$3),0,1))</f>
        <v>0</v>
      </c>
      <c r="N518">
        <f>IF(OR($N$1="",对接源_01水果!$C518="",对接源_01水果!$C518&lt;&gt;$N$1,对接源_01水果!$B518=""),0,IF(OR(N(对接源_01水果!$B518)&lt;$N$2,N(对接源_01水果!$B518)&gt;$N$3),0,1))</f>
        <v>0</v>
      </c>
      <c r="P518">
        <f>IF(AND($K518=1,AND(对接源_01水果!$X518="公司筐",N(对接源_01水果!$T518)&lt;&gt;0)),1,0)</f>
        <v>0</v>
      </c>
      <c r="Q518">
        <f>N(Q517)+$P518</f>
        <v>0</v>
      </c>
      <c r="R518">
        <f>IF(AND($K518=1,AND(对接源_01水果!$X518="公司筐",N(对接源_01水果!$U518)&lt;&gt;0)),1,0)</f>
        <v>0</v>
      </c>
      <c r="S518">
        <f>N(S517)+$R518</f>
        <v>0</v>
      </c>
      <c r="T518">
        <f>IF(AND($K518=1,AND(对接源_01水果!$X518="公司筐",N(对接源_01水果!$V518)&lt;&gt;0)),1,0)</f>
        <v>0</v>
      </c>
      <c r="U518">
        <f>N(U517)+$T518</f>
        <v>47</v>
      </c>
      <c r="V518">
        <f>IF(AND($L518=1,AND(对接源_01水果!$X518="自备筐",N(对接源_01水果!$V518)&lt;&gt;0)),1,0)</f>
        <v>0</v>
      </c>
      <c r="W518">
        <f>N(W517)+$V518</f>
        <v>11</v>
      </c>
      <c r="X518">
        <f>IF(AND($L518=1,AND(对接源_01水果!$X518="自备筐",N(对接源_01水果!$T518)&lt;&gt;0)),1,0)</f>
        <v>0</v>
      </c>
      <c r="Y518">
        <f>N(Y517)+$X518</f>
        <v>0</v>
      </c>
      <c r="Z518">
        <f>IF(AND($M518=1,对接源_01水果!$D518="原料入库"),1,0)</f>
        <v>0</v>
      </c>
      <c r="AA518">
        <f>N(AA517)+$Z518</f>
        <v>24</v>
      </c>
      <c r="AB518">
        <f>IF(AND($M518=1,LEFT(对接源_01水果!$D518,4)="原料出库"),1,0)</f>
        <v>0</v>
      </c>
      <c r="AC518">
        <f>N(AC517)+$AB518</f>
        <v>0</v>
      </c>
      <c r="AD518">
        <f>IF(AND($M518=1,LEFT(对接源_01水果!$D518,4)="成品出库"),1,0)</f>
        <v>0</v>
      </c>
      <c r="AE518">
        <f>N(AE517)+$AD518</f>
        <v>0</v>
      </c>
      <c r="AF518">
        <f>IF(AND($N518=1,AND(LEFT(对接源_01水果!$D518,4)="包装物料",N(对接源_01水果!$K518)&lt;&gt;0)),1,0)</f>
        <v>0</v>
      </c>
      <c r="AG518">
        <f>N(AG517)+$AF518</f>
        <v>0</v>
      </c>
      <c r="AH518">
        <f>IF(AND($N518=1,AND(对接源_01水果!$D518="周转筐－销售出库",N(对接源_01水果!$K518)&lt;&gt;0)),1,0)</f>
        <v>0</v>
      </c>
      <c r="AI518">
        <f>N(AI517)+$AH518</f>
        <v>0</v>
      </c>
      <c r="AJ518" s="7" t="n"/>
      <c r="AL518">
        <f>IF(OR($AL$1="",对接源_01水果!$Y518="",对接源_01水果!$Y518&lt;&gt;$AL$1,对接源_01水果!$B518="",N(对接源_01水果!$AJ518)&lt;=0),0,IF(OR(N(对接源_01水果!$B518)&lt;$AL$2,N(对接源_01水果!$B518)&gt;$AL$3),0,1))</f>
        <v>0</v>
      </c>
      <c r="AM518">
        <f>N(AM517)+$AL518</f>
        <v>0</v>
      </c>
      <c r="AN518">
        <f>IF(对接源_01水果!$AC518="","",对接源_01水果!$AC518)</f>
      </c>
      <c r="AO518">
        <f>IF(AN518="",0,IF(MATCH(AN518,$AN$4:$AN$1203,0)=ROW()-3,1,0))</f>
        <v>0</v>
      </c>
      <c r="AP518">
        <f>N(AP517)+$AO518</f>
        <v>0</v>
      </c>
      <c r="AR518">
        <f>IF(OR($AF518=1,$AH518=1),1,0)</f>
        <v>0</v>
      </c>
      <c r="AS518">
        <f>N(AS517)+$AR518</f>
        <v>0</v>
      </c>
    </row>
    <row r="519" ht="14.25" customHeight="1" s="127">
      <c r="A519" t="str">
        <f>IF(对接源_01水果!$C519="","",对接源_01水果!$C519)</f>
        <v>王照雪</v>
      </c>
      <c r="B519">
        <f>IF(A519="",0,IF(MATCH(A519,$A$4:$A$2403,0)=ROW()-3,1,0))</f>
        <v>0</v>
      </c>
      <c r="C519">
        <f>N(C518)+B519</f>
        <v>22</v>
      </c>
      <c r="K519">
        <f>IF(OR($K$1="",对接源_01水果!$C519="",对接源_01水果!$C519&lt;&gt;$K$1,对接源_01水果!$B519=""),0,IF(OR(N(对接源_01水果!$B519)&lt;$K$2,N(对接源_01水果!$B519)&gt;$K$3),0,1))</f>
        <v>0</v>
      </c>
      <c r="L519">
        <f>IF(OR($L$1="",对接源_01水果!$C519="",对接源_01水果!$C519&lt;&gt;$L$1,对接源_01水果!$B519=""),0,IF(OR(N(对接源_01水果!$B519)&lt;$L$2,N(对接源_01水果!$B519)&gt;$L$3),0,1))</f>
        <v>0</v>
      </c>
      <c r="M519">
        <f>IF(OR($M$1="",对接源_01水果!$C519="",对接源_01水果!$C519&lt;&gt;$M$1,对接源_01水果!$B519=""),0,IF(OR(N(对接源_01水果!$B519)&lt;$M$2,N(对接源_01水果!$B519)&gt;$M$3),0,1))</f>
        <v>0</v>
      </c>
      <c r="N519">
        <f>IF(OR($N$1="",对接源_01水果!$C519="",对接源_01水果!$C519&lt;&gt;$N$1,对接源_01水果!$B519=""),0,IF(OR(N(对接源_01水果!$B519)&lt;$N$2,N(对接源_01水果!$B519)&gt;$N$3),0,1))</f>
        <v>0</v>
      </c>
      <c r="P519">
        <f>IF(AND($K519=1,AND(对接源_01水果!$X519="公司筐",N(对接源_01水果!$T519)&lt;&gt;0)),1,0)</f>
        <v>0</v>
      </c>
      <c r="Q519">
        <f>N(Q518)+$P519</f>
        <v>0</v>
      </c>
      <c r="R519">
        <f>IF(AND($K519=1,AND(对接源_01水果!$X519="公司筐",N(对接源_01水果!$U519)&lt;&gt;0)),1,0)</f>
        <v>0</v>
      </c>
      <c r="S519">
        <f>N(S518)+$R519</f>
        <v>0</v>
      </c>
      <c r="T519">
        <f>IF(AND($K519=1,AND(对接源_01水果!$X519="公司筐",N(对接源_01水果!$V519)&lt;&gt;0)),1,0)</f>
        <v>0</v>
      </c>
      <c r="U519">
        <f>N(U518)+$T519</f>
        <v>47</v>
      </c>
      <c r="V519">
        <f>IF(AND($L519=1,AND(对接源_01水果!$X519="自备筐",N(对接源_01水果!$V519)&lt;&gt;0)),1,0)</f>
        <v>0</v>
      </c>
      <c r="W519">
        <f>N(W518)+$V519</f>
        <v>11</v>
      </c>
      <c r="X519">
        <f>IF(AND($L519=1,AND(对接源_01水果!$X519="自备筐",N(对接源_01水果!$T519)&lt;&gt;0)),1,0)</f>
        <v>0</v>
      </c>
      <c r="Y519">
        <f>N(Y518)+$X519</f>
        <v>0</v>
      </c>
      <c r="Z519">
        <f>IF(AND($M519=1,对接源_01水果!$D519="原料入库"),1,0)</f>
        <v>0</v>
      </c>
      <c r="AA519">
        <f>N(AA518)+$Z519</f>
        <v>24</v>
      </c>
      <c r="AB519">
        <f>IF(AND($M519=1,LEFT(对接源_01水果!$D519,4)="原料出库"),1,0)</f>
        <v>0</v>
      </c>
      <c r="AC519">
        <f>N(AC518)+$AB519</f>
        <v>0</v>
      </c>
      <c r="AD519">
        <f>IF(AND($M519=1,LEFT(对接源_01水果!$D519,4)="成品出库"),1,0)</f>
        <v>0</v>
      </c>
      <c r="AE519">
        <f>N(AE518)+$AD519</f>
        <v>0</v>
      </c>
      <c r="AF519">
        <f>IF(AND($N519=1,AND(LEFT(对接源_01水果!$D519,4)="包装物料",N(对接源_01水果!$K519)&lt;&gt;0)),1,0)</f>
        <v>0</v>
      </c>
      <c r="AG519">
        <f>N(AG518)+$AF519</f>
        <v>0</v>
      </c>
      <c r="AH519">
        <f>IF(AND($N519=1,AND(对接源_01水果!$D519="周转筐－销售出库",N(对接源_01水果!$K519)&lt;&gt;0)),1,0)</f>
        <v>0</v>
      </c>
      <c r="AI519">
        <f>N(AI518)+$AH519</f>
        <v>0</v>
      </c>
      <c r="AJ519" s="7" t="n"/>
      <c r="AL519">
        <f>IF(OR($AL$1="",对接源_01水果!$Y519="",对接源_01水果!$Y519&lt;&gt;$AL$1,对接源_01水果!$B519="",N(对接源_01水果!$AJ519)&lt;=0),0,IF(OR(N(对接源_01水果!$B519)&lt;$AL$2,N(对接源_01水果!$B519)&gt;$AL$3),0,1))</f>
        <v>0</v>
      </c>
      <c r="AM519">
        <f>N(AM518)+$AL519</f>
        <v>0</v>
      </c>
      <c r="AN519">
        <f>IF(对接源_01水果!$AC519="","",对接源_01水果!$AC519)</f>
      </c>
      <c r="AO519">
        <f>IF(AN519="",0,IF(MATCH(AN519,$AN$4:$AN$1203,0)=ROW()-3,1,0))</f>
        <v>0</v>
      </c>
      <c r="AP519">
        <f>N(AP518)+$AO519</f>
        <v>0</v>
      </c>
      <c r="AR519">
        <f>IF(OR($AF519=1,$AH519=1),1,0)</f>
        <v>0</v>
      </c>
      <c r="AS519">
        <f>N(AS518)+$AR519</f>
        <v>0</v>
      </c>
    </row>
    <row r="520" ht="14.25" customHeight="1" s="127">
      <c r="A520" t="str">
        <f>IF(对接源_01水果!$C520="","",对接源_01水果!$C520)</f>
        <v>王照雪</v>
      </c>
      <c r="B520">
        <f>IF(A520="",0,IF(MATCH(A520,$A$4:$A$2403,0)=ROW()-3,1,0))</f>
        <v>0</v>
      </c>
      <c r="C520">
        <f>N(C519)+B520</f>
        <v>22</v>
      </c>
      <c r="K520">
        <f>IF(OR($K$1="",对接源_01水果!$C520="",对接源_01水果!$C520&lt;&gt;$K$1,对接源_01水果!$B520=""),0,IF(OR(N(对接源_01水果!$B520)&lt;$K$2,N(对接源_01水果!$B520)&gt;$K$3),0,1))</f>
        <v>0</v>
      </c>
      <c r="L520">
        <f>IF(OR($L$1="",对接源_01水果!$C520="",对接源_01水果!$C520&lt;&gt;$L$1,对接源_01水果!$B520=""),0,IF(OR(N(对接源_01水果!$B520)&lt;$L$2,N(对接源_01水果!$B520)&gt;$L$3),0,1))</f>
        <v>0</v>
      </c>
      <c r="M520">
        <f>IF(OR($M$1="",对接源_01水果!$C520="",对接源_01水果!$C520&lt;&gt;$M$1,对接源_01水果!$B520=""),0,IF(OR(N(对接源_01水果!$B520)&lt;$M$2,N(对接源_01水果!$B520)&gt;$M$3),0,1))</f>
        <v>0</v>
      </c>
      <c r="N520">
        <f>IF(OR($N$1="",对接源_01水果!$C520="",对接源_01水果!$C520&lt;&gt;$N$1,对接源_01水果!$B520=""),0,IF(OR(N(对接源_01水果!$B520)&lt;$N$2,N(对接源_01水果!$B520)&gt;$N$3),0,1))</f>
        <v>0</v>
      </c>
      <c r="P520">
        <f>IF(AND($K520=1,AND(对接源_01水果!$X520="公司筐",N(对接源_01水果!$T520)&lt;&gt;0)),1,0)</f>
        <v>0</v>
      </c>
      <c r="Q520">
        <f>N(Q519)+$P520</f>
        <v>0</v>
      </c>
      <c r="R520">
        <f>IF(AND($K520=1,AND(对接源_01水果!$X520="公司筐",N(对接源_01水果!$U520)&lt;&gt;0)),1,0)</f>
        <v>0</v>
      </c>
      <c r="S520">
        <f>N(S519)+$R520</f>
        <v>0</v>
      </c>
      <c r="T520">
        <f>IF(AND($K520=1,AND(对接源_01水果!$X520="公司筐",N(对接源_01水果!$V520)&lt;&gt;0)),1,0)</f>
        <v>0</v>
      </c>
      <c r="U520">
        <f>N(U519)+$T520</f>
        <v>47</v>
      </c>
      <c r="V520">
        <f>IF(AND($L520=1,AND(对接源_01水果!$X520="自备筐",N(对接源_01水果!$V520)&lt;&gt;0)),1,0)</f>
        <v>0</v>
      </c>
      <c r="W520">
        <f>N(W519)+$V520</f>
        <v>11</v>
      </c>
      <c r="X520">
        <f>IF(AND($L520=1,AND(对接源_01水果!$X520="自备筐",N(对接源_01水果!$T520)&lt;&gt;0)),1,0)</f>
        <v>0</v>
      </c>
      <c r="Y520">
        <f>N(Y519)+$X520</f>
        <v>0</v>
      </c>
      <c r="Z520">
        <f>IF(AND($M520=1,对接源_01水果!$D520="原料入库"),1,0)</f>
        <v>0</v>
      </c>
      <c r="AA520">
        <f>N(AA519)+$Z520</f>
        <v>24</v>
      </c>
      <c r="AB520">
        <f>IF(AND($M520=1,LEFT(对接源_01水果!$D520,4)="原料出库"),1,0)</f>
        <v>0</v>
      </c>
      <c r="AC520">
        <f>N(AC519)+$AB520</f>
        <v>0</v>
      </c>
      <c r="AD520">
        <f>IF(AND($M520=1,LEFT(对接源_01水果!$D520,4)="成品出库"),1,0)</f>
        <v>0</v>
      </c>
      <c r="AE520">
        <f>N(AE519)+$AD520</f>
        <v>0</v>
      </c>
      <c r="AF520">
        <f>IF(AND($N520=1,AND(LEFT(对接源_01水果!$D520,4)="包装物料",N(对接源_01水果!$K520)&lt;&gt;0)),1,0)</f>
        <v>0</v>
      </c>
      <c r="AG520">
        <f>N(AG519)+$AF520</f>
        <v>0</v>
      </c>
      <c r="AH520">
        <f>IF(AND($N520=1,AND(对接源_01水果!$D520="周转筐－销售出库",N(对接源_01水果!$K520)&lt;&gt;0)),1,0)</f>
        <v>0</v>
      </c>
      <c r="AI520">
        <f>N(AI519)+$AH520</f>
        <v>0</v>
      </c>
      <c r="AJ520" s="7" t="n"/>
      <c r="AL520">
        <f>IF(OR($AL$1="",对接源_01水果!$Y520="",对接源_01水果!$Y520&lt;&gt;$AL$1,对接源_01水果!$B520="",N(对接源_01水果!$AJ520)&lt;=0),0,IF(OR(N(对接源_01水果!$B520)&lt;$AL$2,N(对接源_01水果!$B520)&gt;$AL$3),0,1))</f>
        <v>0</v>
      </c>
      <c r="AM520">
        <f>N(AM519)+$AL520</f>
        <v>0</v>
      </c>
      <c r="AN520">
        <f>IF(对接源_01水果!$AC520="","",对接源_01水果!$AC520)</f>
      </c>
      <c r="AO520">
        <f>IF(AN520="",0,IF(MATCH(AN520,$AN$4:$AN$1203,0)=ROW()-3,1,0))</f>
        <v>0</v>
      </c>
      <c r="AP520">
        <f>N(AP519)+$AO520</f>
        <v>0</v>
      </c>
      <c r="AR520">
        <f>IF(OR($AF520=1,$AH520=1),1,0)</f>
        <v>0</v>
      </c>
      <c r="AS520">
        <f>N(AS519)+$AR520</f>
        <v>0</v>
      </c>
    </row>
    <row r="521" ht="14.25" customHeight="1" s="127">
      <c r="A521" t="str">
        <f>IF(对接源_01水果!$C521="","",对接源_01水果!$C521)</f>
        <v>王照雪</v>
      </c>
      <c r="B521">
        <f>IF(A521="",0,IF(MATCH(A521,$A$4:$A$2403,0)=ROW()-3,1,0))</f>
        <v>0</v>
      </c>
      <c r="C521">
        <f>N(C520)+B521</f>
        <v>22</v>
      </c>
      <c r="K521">
        <f>IF(OR($K$1="",对接源_01水果!$C521="",对接源_01水果!$C521&lt;&gt;$K$1,对接源_01水果!$B521=""),0,IF(OR(N(对接源_01水果!$B521)&lt;$K$2,N(对接源_01水果!$B521)&gt;$K$3),0,1))</f>
        <v>0</v>
      </c>
      <c r="L521">
        <f>IF(OR($L$1="",对接源_01水果!$C521="",对接源_01水果!$C521&lt;&gt;$L$1,对接源_01水果!$B521=""),0,IF(OR(N(对接源_01水果!$B521)&lt;$L$2,N(对接源_01水果!$B521)&gt;$L$3),0,1))</f>
        <v>0</v>
      </c>
      <c r="M521">
        <f>IF(OR($M$1="",对接源_01水果!$C521="",对接源_01水果!$C521&lt;&gt;$M$1,对接源_01水果!$B521=""),0,IF(OR(N(对接源_01水果!$B521)&lt;$M$2,N(对接源_01水果!$B521)&gt;$M$3),0,1))</f>
        <v>0</v>
      </c>
      <c r="N521">
        <f>IF(OR($N$1="",对接源_01水果!$C521="",对接源_01水果!$C521&lt;&gt;$N$1,对接源_01水果!$B521=""),0,IF(OR(N(对接源_01水果!$B521)&lt;$N$2,N(对接源_01水果!$B521)&gt;$N$3),0,1))</f>
        <v>0</v>
      </c>
      <c r="P521">
        <f>IF(AND($K521=1,AND(对接源_01水果!$X521="公司筐",N(对接源_01水果!$T521)&lt;&gt;0)),1,0)</f>
        <v>0</v>
      </c>
      <c r="Q521">
        <f>N(Q520)+$P521</f>
        <v>0</v>
      </c>
      <c r="R521">
        <f>IF(AND($K521=1,AND(对接源_01水果!$X521="公司筐",N(对接源_01水果!$U521)&lt;&gt;0)),1,0)</f>
        <v>0</v>
      </c>
      <c r="S521">
        <f>N(S520)+$R521</f>
        <v>0</v>
      </c>
      <c r="T521">
        <f>IF(AND($K521=1,AND(对接源_01水果!$X521="公司筐",N(对接源_01水果!$V521)&lt;&gt;0)),1,0)</f>
        <v>0</v>
      </c>
      <c r="U521">
        <f>N(U520)+$T521</f>
        <v>47</v>
      </c>
      <c r="V521">
        <f>IF(AND($L521=1,AND(对接源_01水果!$X521="自备筐",N(对接源_01水果!$V521)&lt;&gt;0)),1,0)</f>
        <v>0</v>
      </c>
      <c r="W521">
        <f>N(W520)+$V521</f>
        <v>11</v>
      </c>
      <c r="X521">
        <f>IF(AND($L521=1,AND(对接源_01水果!$X521="自备筐",N(对接源_01水果!$T521)&lt;&gt;0)),1,0)</f>
        <v>0</v>
      </c>
      <c r="Y521">
        <f>N(Y520)+$X521</f>
        <v>0</v>
      </c>
      <c r="Z521">
        <f>IF(AND($M521=1,对接源_01水果!$D521="原料入库"),1,0)</f>
        <v>0</v>
      </c>
      <c r="AA521">
        <f>N(AA520)+$Z521</f>
        <v>24</v>
      </c>
      <c r="AB521">
        <f>IF(AND($M521=1,LEFT(对接源_01水果!$D521,4)="原料出库"),1,0)</f>
        <v>0</v>
      </c>
      <c r="AC521">
        <f>N(AC520)+$AB521</f>
        <v>0</v>
      </c>
      <c r="AD521">
        <f>IF(AND($M521=1,LEFT(对接源_01水果!$D521,4)="成品出库"),1,0)</f>
        <v>0</v>
      </c>
      <c r="AE521">
        <f>N(AE520)+$AD521</f>
        <v>0</v>
      </c>
      <c r="AF521">
        <f>IF(AND($N521=1,AND(LEFT(对接源_01水果!$D521,4)="包装物料",N(对接源_01水果!$K521)&lt;&gt;0)),1,0)</f>
        <v>0</v>
      </c>
      <c r="AG521">
        <f>N(AG520)+$AF521</f>
        <v>0</v>
      </c>
      <c r="AH521">
        <f>IF(AND($N521=1,AND(对接源_01水果!$D521="周转筐－销售出库",N(对接源_01水果!$K521)&lt;&gt;0)),1,0)</f>
        <v>0</v>
      </c>
      <c r="AI521">
        <f>N(AI520)+$AH521</f>
        <v>0</v>
      </c>
      <c r="AJ521" s="7" t="n"/>
      <c r="AL521">
        <f>IF(OR($AL$1="",对接源_01水果!$Y521="",对接源_01水果!$Y521&lt;&gt;$AL$1,对接源_01水果!$B521="",N(对接源_01水果!$AJ521)&lt;=0),0,IF(OR(N(对接源_01水果!$B521)&lt;$AL$2,N(对接源_01水果!$B521)&gt;$AL$3),0,1))</f>
        <v>0</v>
      </c>
      <c r="AM521">
        <f>N(AM520)+$AL521</f>
        <v>0</v>
      </c>
      <c r="AN521">
        <f>IF(对接源_01水果!$AC521="","",对接源_01水果!$AC521)</f>
      </c>
      <c r="AO521">
        <f>IF(AN521="",0,IF(MATCH(AN521,$AN$4:$AN$1203,0)=ROW()-3,1,0))</f>
        <v>0</v>
      </c>
      <c r="AP521">
        <f>N(AP520)+$AO521</f>
        <v>0</v>
      </c>
      <c r="AR521">
        <f>IF(OR($AF521=1,$AH521=1),1,0)</f>
        <v>0</v>
      </c>
      <c r="AS521">
        <f>N(AS520)+$AR521</f>
        <v>0</v>
      </c>
    </row>
    <row r="522" ht="14.25" customHeight="1" s="127">
      <c r="A522" t="str">
        <f>IF(对接源_01水果!$C522="","",对接源_01水果!$C522)</f>
        <v>王照雪</v>
      </c>
      <c r="B522">
        <f>IF(A522="",0,IF(MATCH(A522,$A$4:$A$2403,0)=ROW()-3,1,0))</f>
        <v>0</v>
      </c>
      <c r="C522">
        <f>N(C521)+B522</f>
        <v>22</v>
      </c>
      <c r="K522">
        <f>IF(OR($K$1="",对接源_01水果!$C522="",对接源_01水果!$C522&lt;&gt;$K$1,对接源_01水果!$B522=""),0,IF(OR(N(对接源_01水果!$B522)&lt;$K$2,N(对接源_01水果!$B522)&gt;$K$3),0,1))</f>
        <v>0</v>
      </c>
      <c r="L522">
        <f>IF(OR($L$1="",对接源_01水果!$C522="",对接源_01水果!$C522&lt;&gt;$L$1,对接源_01水果!$B522=""),0,IF(OR(N(对接源_01水果!$B522)&lt;$L$2,N(对接源_01水果!$B522)&gt;$L$3),0,1))</f>
        <v>0</v>
      </c>
      <c r="M522">
        <f>IF(OR($M$1="",对接源_01水果!$C522="",对接源_01水果!$C522&lt;&gt;$M$1,对接源_01水果!$B522=""),0,IF(OR(N(对接源_01水果!$B522)&lt;$M$2,N(对接源_01水果!$B522)&gt;$M$3),0,1))</f>
        <v>0</v>
      </c>
      <c r="N522">
        <f>IF(OR($N$1="",对接源_01水果!$C522="",对接源_01水果!$C522&lt;&gt;$N$1,对接源_01水果!$B522=""),0,IF(OR(N(对接源_01水果!$B522)&lt;$N$2,N(对接源_01水果!$B522)&gt;$N$3),0,1))</f>
        <v>0</v>
      </c>
      <c r="P522">
        <f>IF(AND($K522=1,AND(对接源_01水果!$X522="公司筐",N(对接源_01水果!$T522)&lt;&gt;0)),1,0)</f>
        <v>0</v>
      </c>
      <c r="Q522">
        <f>N(Q521)+$P522</f>
        <v>0</v>
      </c>
      <c r="R522">
        <f>IF(AND($K522=1,AND(对接源_01水果!$X522="公司筐",N(对接源_01水果!$U522)&lt;&gt;0)),1,0)</f>
        <v>0</v>
      </c>
      <c r="S522">
        <f>N(S521)+$R522</f>
        <v>0</v>
      </c>
      <c r="T522">
        <f>IF(AND($K522=1,AND(对接源_01水果!$X522="公司筐",N(对接源_01水果!$V522)&lt;&gt;0)),1,0)</f>
        <v>0</v>
      </c>
      <c r="U522">
        <f>N(U521)+$T522</f>
        <v>47</v>
      </c>
      <c r="V522">
        <f>IF(AND($L522=1,AND(对接源_01水果!$X522="自备筐",N(对接源_01水果!$V522)&lt;&gt;0)),1,0)</f>
        <v>0</v>
      </c>
      <c r="W522">
        <f>N(W521)+$V522</f>
        <v>11</v>
      </c>
      <c r="X522">
        <f>IF(AND($L522=1,AND(对接源_01水果!$X522="自备筐",N(对接源_01水果!$T522)&lt;&gt;0)),1,0)</f>
        <v>0</v>
      </c>
      <c r="Y522">
        <f>N(Y521)+$X522</f>
        <v>0</v>
      </c>
      <c r="Z522">
        <f>IF(AND($M522=1,对接源_01水果!$D522="原料入库"),1,0)</f>
        <v>0</v>
      </c>
      <c r="AA522">
        <f>N(AA521)+$Z522</f>
        <v>24</v>
      </c>
      <c r="AB522">
        <f>IF(AND($M522=1,LEFT(对接源_01水果!$D522,4)="原料出库"),1,0)</f>
        <v>0</v>
      </c>
      <c r="AC522">
        <f>N(AC521)+$AB522</f>
        <v>0</v>
      </c>
      <c r="AD522">
        <f>IF(AND($M522=1,LEFT(对接源_01水果!$D522,4)="成品出库"),1,0)</f>
        <v>0</v>
      </c>
      <c r="AE522">
        <f>N(AE521)+$AD522</f>
        <v>0</v>
      </c>
      <c r="AF522">
        <f>IF(AND($N522=1,AND(LEFT(对接源_01水果!$D522,4)="包装物料",N(对接源_01水果!$K522)&lt;&gt;0)),1,0)</f>
        <v>0</v>
      </c>
      <c r="AG522">
        <f>N(AG521)+$AF522</f>
        <v>0</v>
      </c>
      <c r="AH522">
        <f>IF(AND($N522=1,AND(对接源_01水果!$D522="周转筐－销售出库",N(对接源_01水果!$K522)&lt;&gt;0)),1,0)</f>
        <v>0</v>
      </c>
      <c r="AI522">
        <f>N(AI521)+$AH522</f>
        <v>0</v>
      </c>
      <c r="AJ522" s="7" t="n"/>
      <c r="AL522">
        <f>IF(OR($AL$1="",对接源_01水果!$Y522="",对接源_01水果!$Y522&lt;&gt;$AL$1,对接源_01水果!$B522="",N(对接源_01水果!$AJ522)&lt;=0),0,IF(OR(N(对接源_01水果!$B522)&lt;$AL$2,N(对接源_01水果!$B522)&gt;$AL$3),0,1))</f>
        <v>0</v>
      </c>
      <c r="AM522">
        <f>N(AM521)+$AL522</f>
        <v>0</v>
      </c>
      <c r="AN522">
        <f>IF(对接源_01水果!$AC522="","",对接源_01水果!$AC522)</f>
      </c>
      <c r="AO522">
        <f>IF(AN522="",0,IF(MATCH(AN522,$AN$4:$AN$1203,0)=ROW()-3,1,0))</f>
        <v>0</v>
      </c>
      <c r="AP522">
        <f>N(AP521)+$AO522</f>
        <v>0</v>
      </c>
      <c r="AR522">
        <f>IF(OR($AF522=1,$AH522=1),1,0)</f>
        <v>0</v>
      </c>
      <c r="AS522">
        <f>N(AS521)+$AR522</f>
        <v>0</v>
      </c>
    </row>
    <row r="523" ht="14.25" customHeight="1" s="127">
      <c r="A523" t="str">
        <f>IF(对接源_01水果!$C523="","",对接源_01水果!$C523)</f>
        <v>王照雪</v>
      </c>
      <c r="B523">
        <f>IF(A523="",0,IF(MATCH(A523,$A$4:$A$2403,0)=ROW()-3,1,0))</f>
        <v>0</v>
      </c>
      <c r="C523">
        <f>N(C522)+B523</f>
        <v>22</v>
      </c>
      <c r="K523">
        <f>IF(OR($K$1="",对接源_01水果!$C523="",对接源_01水果!$C523&lt;&gt;$K$1,对接源_01水果!$B523=""),0,IF(OR(N(对接源_01水果!$B523)&lt;$K$2,N(对接源_01水果!$B523)&gt;$K$3),0,1))</f>
        <v>0</v>
      </c>
      <c r="L523">
        <f>IF(OR($L$1="",对接源_01水果!$C523="",对接源_01水果!$C523&lt;&gt;$L$1,对接源_01水果!$B523=""),0,IF(OR(N(对接源_01水果!$B523)&lt;$L$2,N(对接源_01水果!$B523)&gt;$L$3),0,1))</f>
        <v>0</v>
      </c>
      <c r="M523">
        <f>IF(OR($M$1="",对接源_01水果!$C523="",对接源_01水果!$C523&lt;&gt;$M$1,对接源_01水果!$B523=""),0,IF(OR(N(对接源_01水果!$B523)&lt;$M$2,N(对接源_01水果!$B523)&gt;$M$3),0,1))</f>
        <v>0</v>
      </c>
      <c r="N523">
        <f>IF(OR($N$1="",对接源_01水果!$C523="",对接源_01水果!$C523&lt;&gt;$N$1,对接源_01水果!$B523=""),0,IF(OR(N(对接源_01水果!$B523)&lt;$N$2,N(对接源_01水果!$B523)&gt;$N$3),0,1))</f>
        <v>0</v>
      </c>
      <c r="P523">
        <f>IF(AND($K523=1,AND(对接源_01水果!$X523="公司筐",N(对接源_01水果!$T523)&lt;&gt;0)),1,0)</f>
        <v>0</v>
      </c>
      <c r="Q523">
        <f>N(Q522)+$P523</f>
        <v>0</v>
      </c>
      <c r="R523">
        <f>IF(AND($K523=1,AND(对接源_01水果!$X523="公司筐",N(对接源_01水果!$U523)&lt;&gt;0)),1,0)</f>
        <v>0</v>
      </c>
      <c r="S523">
        <f>N(S522)+$R523</f>
        <v>0</v>
      </c>
      <c r="T523">
        <f>IF(AND($K523=1,AND(对接源_01水果!$X523="公司筐",N(对接源_01水果!$V523)&lt;&gt;0)),1,0)</f>
        <v>0</v>
      </c>
      <c r="U523">
        <f>N(U522)+$T523</f>
        <v>47</v>
      </c>
      <c r="V523">
        <f>IF(AND($L523=1,AND(对接源_01水果!$X523="自备筐",N(对接源_01水果!$V523)&lt;&gt;0)),1,0)</f>
        <v>0</v>
      </c>
      <c r="W523">
        <f>N(W522)+$V523</f>
        <v>11</v>
      </c>
      <c r="X523">
        <f>IF(AND($L523=1,AND(对接源_01水果!$X523="自备筐",N(对接源_01水果!$T523)&lt;&gt;0)),1,0)</f>
        <v>0</v>
      </c>
      <c r="Y523">
        <f>N(Y522)+$X523</f>
        <v>0</v>
      </c>
      <c r="Z523">
        <f>IF(AND($M523=1,对接源_01水果!$D523="原料入库"),1,0)</f>
        <v>0</v>
      </c>
      <c r="AA523">
        <f>N(AA522)+$Z523</f>
        <v>24</v>
      </c>
      <c r="AB523">
        <f>IF(AND($M523=1,LEFT(对接源_01水果!$D523,4)="原料出库"),1,0)</f>
        <v>0</v>
      </c>
      <c r="AC523">
        <f>N(AC522)+$AB523</f>
        <v>0</v>
      </c>
      <c r="AD523">
        <f>IF(AND($M523=1,LEFT(对接源_01水果!$D523,4)="成品出库"),1,0)</f>
        <v>0</v>
      </c>
      <c r="AE523">
        <f>N(AE522)+$AD523</f>
        <v>0</v>
      </c>
      <c r="AF523">
        <f>IF(AND($N523=1,AND(LEFT(对接源_01水果!$D523,4)="包装物料",N(对接源_01水果!$K523)&lt;&gt;0)),1,0)</f>
        <v>0</v>
      </c>
      <c r="AG523">
        <f>N(AG522)+$AF523</f>
        <v>0</v>
      </c>
      <c r="AH523">
        <f>IF(AND($N523=1,AND(对接源_01水果!$D523="周转筐－销售出库",N(对接源_01水果!$K523)&lt;&gt;0)),1,0)</f>
        <v>0</v>
      </c>
      <c r="AI523">
        <f>N(AI522)+$AH523</f>
        <v>0</v>
      </c>
      <c r="AJ523" s="7" t="n"/>
      <c r="AL523">
        <f>IF(OR($AL$1="",对接源_01水果!$Y523="",对接源_01水果!$Y523&lt;&gt;$AL$1,对接源_01水果!$B523="",N(对接源_01水果!$AJ523)&lt;=0),0,IF(OR(N(对接源_01水果!$B523)&lt;$AL$2,N(对接源_01水果!$B523)&gt;$AL$3),0,1))</f>
        <v>0</v>
      </c>
      <c r="AM523">
        <f>N(AM522)+$AL523</f>
        <v>0</v>
      </c>
      <c r="AN523">
        <f>IF(对接源_01水果!$AC523="","",对接源_01水果!$AC523)</f>
      </c>
      <c r="AO523">
        <f>IF(AN523="",0,IF(MATCH(AN523,$AN$4:$AN$1203,0)=ROW()-3,1,0))</f>
        <v>0</v>
      </c>
      <c r="AP523">
        <f>N(AP522)+$AO523</f>
        <v>0</v>
      </c>
      <c r="AR523">
        <f>IF(OR($AF523=1,$AH523=1),1,0)</f>
        <v>0</v>
      </c>
      <c r="AS523">
        <f>N(AS522)+$AR523</f>
        <v>0</v>
      </c>
    </row>
    <row r="524" ht="14.25" customHeight="1" s="127">
      <c r="A524" t="str">
        <f>IF(对接源_01水果!$C524="","",对接源_01水果!$C524)</f>
        <v>王照雪</v>
      </c>
      <c r="B524">
        <f>IF(A524="",0,IF(MATCH(A524,$A$4:$A$2403,0)=ROW()-3,1,0))</f>
        <v>0</v>
      </c>
      <c r="C524">
        <f>N(C523)+B524</f>
        <v>22</v>
      </c>
      <c r="K524">
        <f>IF(OR($K$1="",对接源_01水果!$C524="",对接源_01水果!$C524&lt;&gt;$K$1,对接源_01水果!$B524=""),0,IF(OR(N(对接源_01水果!$B524)&lt;$K$2,N(对接源_01水果!$B524)&gt;$K$3),0,1))</f>
        <v>0</v>
      </c>
      <c r="L524">
        <f>IF(OR($L$1="",对接源_01水果!$C524="",对接源_01水果!$C524&lt;&gt;$L$1,对接源_01水果!$B524=""),0,IF(OR(N(对接源_01水果!$B524)&lt;$L$2,N(对接源_01水果!$B524)&gt;$L$3),0,1))</f>
        <v>0</v>
      </c>
      <c r="M524">
        <f>IF(OR($M$1="",对接源_01水果!$C524="",对接源_01水果!$C524&lt;&gt;$M$1,对接源_01水果!$B524=""),0,IF(OR(N(对接源_01水果!$B524)&lt;$M$2,N(对接源_01水果!$B524)&gt;$M$3),0,1))</f>
        <v>0</v>
      </c>
      <c r="N524">
        <f>IF(OR($N$1="",对接源_01水果!$C524="",对接源_01水果!$C524&lt;&gt;$N$1,对接源_01水果!$B524=""),0,IF(OR(N(对接源_01水果!$B524)&lt;$N$2,N(对接源_01水果!$B524)&gt;$N$3),0,1))</f>
        <v>0</v>
      </c>
      <c r="P524">
        <f>IF(AND($K524=1,AND(对接源_01水果!$X524="公司筐",N(对接源_01水果!$T524)&lt;&gt;0)),1,0)</f>
        <v>0</v>
      </c>
      <c r="Q524">
        <f>N(Q523)+$P524</f>
        <v>0</v>
      </c>
      <c r="R524">
        <f>IF(AND($K524=1,AND(对接源_01水果!$X524="公司筐",N(对接源_01水果!$U524)&lt;&gt;0)),1,0)</f>
        <v>0</v>
      </c>
      <c r="S524">
        <f>N(S523)+$R524</f>
        <v>0</v>
      </c>
      <c r="T524">
        <f>IF(AND($K524=1,AND(对接源_01水果!$X524="公司筐",N(对接源_01水果!$V524)&lt;&gt;0)),1,0)</f>
        <v>0</v>
      </c>
      <c r="U524">
        <f>N(U523)+$T524</f>
        <v>47</v>
      </c>
      <c r="V524">
        <f>IF(AND($L524=1,AND(对接源_01水果!$X524="自备筐",N(对接源_01水果!$V524)&lt;&gt;0)),1,0)</f>
        <v>0</v>
      </c>
      <c r="W524">
        <f>N(W523)+$V524</f>
        <v>11</v>
      </c>
      <c r="X524">
        <f>IF(AND($L524=1,AND(对接源_01水果!$X524="自备筐",N(对接源_01水果!$T524)&lt;&gt;0)),1,0)</f>
        <v>0</v>
      </c>
      <c r="Y524">
        <f>N(Y523)+$X524</f>
        <v>0</v>
      </c>
      <c r="Z524">
        <f>IF(AND($M524=1,对接源_01水果!$D524="原料入库"),1,0)</f>
        <v>0</v>
      </c>
      <c r="AA524">
        <f>N(AA523)+$Z524</f>
        <v>24</v>
      </c>
      <c r="AB524">
        <f>IF(AND($M524=1,LEFT(对接源_01水果!$D524,4)="原料出库"),1,0)</f>
        <v>0</v>
      </c>
      <c r="AC524">
        <f>N(AC523)+$AB524</f>
        <v>0</v>
      </c>
      <c r="AD524">
        <f>IF(AND($M524=1,LEFT(对接源_01水果!$D524,4)="成品出库"),1,0)</f>
        <v>0</v>
      </c>
      <c r="AE524">
        <f>N(AE523)+$AD524</f>
        <v>0</v>
      </c>
      <c r="AF524">
        <f>IF(AND($N524=1,AND(LEFT(对接源_01水果!$D524,4)="包装物料",N(对接源_01水果!$K524)&lt;&gt;0)),1,0)</f>
        <v>0</v>
      </c>
      <c r="AG524">
        <f>N(AG523)+$AF524</f>
        <v>0</v>
      </c>
      <c r="AH524">
        <f>IF(AND($N524=1,AND(对接源_01水果!$D524="周转筐－销售出库",N(对接源_01水果!$K524)&lt;&gt;0)),1,0)</f>
        <v>0</v>
      </c>
      <c r="AI524">
        <f>N(AI523)+$AH524</f>
        <v>0</v>
      </c>
      <c r="AJ524" s="7" t="n"/>
      <c r="AL524">
        <f>IF(OR($AL$1="",对接源_01水果!$Y524="",对接源_01水果!$Y524&lt;&gt;$AL$1,对接源_01水果!$B524="",N(对接源_01水果!$AJ524)&lt;=0),0,IF(OR(N(对接源_01水果!$B524)&lt;$AL$2,N(对接源_01水果!$B524)&gt;$AL$3),0,1))</f>
        <v>0</v>
      </c>
      <c r="AM524">
        <f>N(AM523)+$AL524</f>
        <v>0</v>
      </c>
      <c r="AN524">
        <f>IF(对接源_01水果!$AC524="","",对接源_01水果!$AC524)</f>
      </c>
      <c r="AO524">
        <f>IF(AN524="",0,IF(MATCH(AN524,$AN$4:$AN$1203,0)=ROW()-3,1,0))</f>
        <v>0</v>
      </c>
      <c r="AP524">
        <f>N(AP523)+$AO524</f>
        <v>0</v>
      </c>
      <c r="AR524">
        <f>IF(OR($AF524=1,$AH524=1),1,0)</f>
        <v>0</v>
      </c>
      <c r="AS524">
        <f>N(AS523)+$AR524</f>
        <v>0</v>
      </c>
    </row>
    <row r="525" ht="14.25" customHeight="1" s="127">
      <c r="A525" t="str">
        <f>IF(对接源_01水果!$C525="","",对接源_01水果!$C525)</f>
        <v>麦麦提</v>
      </c>
      <c r="B525">
        <f>IF(A525="",0,IF(MATCH(A525,$A$4:$A$2403,0)=ROW()-3,1,0))</f>
        <v>0</v>
      </c>
      <c r="C525">
        <f>N(C524)+B525</f>
        <v>22</v>
      </c>
      <c r="K525">
        <f>IF(OR($K$1="",对接源_01水果!$C525="",对接源_01水果!$C525&lt;&gt;$K$1,对接源_01水果!$B525=""),0,IF(OR(N(对接源_01水果!$B525)&lt;$K$2,N(对接源_01水果!$B525)&gt;$K$3),0,1))</f>
        <v>0</v>
      </c>
      <c r="L525">
        <f>IF(OR($L$1="",对接源_01水果!$C525="",对接源_01水果!$C525&lt;&gt;$L$1,对接源_01水果!$B525=""),0,IF(OR(N(对接源_01水果!$B525)&lt;$L$2,N(对接源_01水果!$B525)&gt;$L$3),0,1))</f>
        <v>0</v>
      </c>
      <c r="M525">
        <f>IF(OR($M$1="",对接源_01水果!$C525="",对接源_01水果!$C525&lt;&gt;$M$1,对接源_01水果!$B525=""),0,IF(OR(N(对接源_01水果!$B525)&lt;$M$2,N(对接源_01水果!$B525)&gt;$M$3),0,1))</f>
        <v>0</v>
      </c>
      <c r="N525">
        <f>IF(OR($N$1="",对接源_01水果!$C525="",对接源_01水果!$C525&lt;&gt;$N$1,对接源_01水果!$B525=""),0,IF(OR(N(对接源_01水果!$B525)&lt;$N$2,N(对接源_01水果!$B525)&gt;$N$3),0,1))</f>
        <v>1</v>
      </c>
      <c r="P525">
        <f>IF(AND($K525=1,AND(对接源_01水果!$X525="公司筐",N(对接源_01水果!$T525)&lt;&gt;0)),1,0)</f>
        <v>0</v>
      </c>
      <c r="Q525">
        <f>N(Q524)+$P525</f>
        <v>0</v>
      </c>
      <c r="R525">
        <f>IF(AND($K525=1,AND(对接源_01水果!$X525="公司筐",N(对接源_01水果!$U525)&lt;&gt;0)),1,0)</f>
        <v>0</v>
      </c>
      <c r="S525">
        <f>N(S524)+$R525</f>
        <v>0</v>
      </c>
      <c r="T525">
        <f>IF(AND($K525=1,AND(对接源_01水果!$X525="公司筐",N(对接源_01水果!$V525)&lt;&gt;0)),1,0)</f>
        <v>0</v>
      </c>
      <c r="U525">
        <f>N(U524)+$T525</f>
        <v>47</v>
      </c>
      <c r="V525">
        <f>IF(AND($L525=1,AND(对接源_01水果!$X525="自备筐",N(对接源_01水果!$V525)&lt;&gt;0)),1,0)</f>
        <v>0</v>
      </c>
      <c r="W525">
        <f>N(W524)+$V525</f>
        <v>11</v>
      </c>
      <c r="X525">
        <f>IF(AND($L525=1,AND(对接源_01水果!$X525="自备筐",N(对接源_01水果!$T525)&lt;&gt;0)),1,0)</f>
        <v>0</v>
      </c>
      <c r="Y525">
        <f>N(Y524)+$X525</f>
        <v>0</v>
      </c>
      <c r="Z525">
        <f>IF(AND($M525=1,对接源_01水果!$D525="原料入库"),1,0)</f>
        <v>0</v>
      </c>
      <c r="AA525">
        <f>N(AA524)+$Z525</f>
        <v>24</v>
      </c>
      <c r="AB525">
        <f>IF(AND($M525=1,LEFT(对接源_01水果!$D525,4)="原料出库"),1,0)</f>
        <v>0</v>
      </c>
      <c r="AC525">
        <f>N(AC524)+$AB525</f>
        <v>0</v>
      </c>
      <c r="AD525">
        <f>IF(AND($M525=1,LEFT(对接源_01水果!$D525,4)="成品出库"),1,0)</f>
        <v>0</v>
      </c>
      <c r="AE525">
        <f>N(AE524)+$AD525</f>
        <v>0</v>
      </c>
      <c r="AF525">
        <f>IF(AND($N525=1,AND(LEFT(对接源_01水果!$D525,4)="包装物料",N(对接源_01水果!$K525)&lt;&gt;0)),1,0)</f>
        <v>0</v>
      </c>
      <c r="AG525">
        <f>N(AG524)+$AF525</f>
        <v>0</v>
      </c>
      <c r="AH525">
        <f>IF(AND($N525=1,AND(对接源_01水果!$D525="周转筐－销售出库",N(对接源_01水果!$K525)&lt;&gt;0)),1,0)</f>
        <v>0</v>
      </c>
      <c r="AI525">
        <f>N(AI524)+$AH525</f>
        <v>0</v>
      </c>
      <c r="AJ525" s="7" t="n"/>
      <c r="AL525">
        <f>IF(OR($AL$1="",对接源_01水果!$Y525="",对接源_01水果!$Y525&lt;&gt;$AL$1,对接源_01水果!$B525="",N(对接源_01水果!$AJ525)&lt;=0),0,IF(OR(N(对接源_01水果!$B525)&lt;$AL$2,N(对接源_01水果!$B525)&gt;$AL$3),0,1))</f>
        <v>0</v>
      </c>
      <c r="AM525">
        <f>N(AM524)+$AL525</f>
        <v>0</v>
      </c>
      <c r="AN525">
        <f>IF(对接源_01水果!$AC525="","",对接源_01水果!$AC525)</f>
      </c>
      <c r="AO525">
        <f>IF(AN525="",0,IF(MATCH(AN525,$AN$4:$AN$1203,0)=ROW()-3,1,0))</f>
        <v>0</v>
      </c>
      <c r="AP525">
        <f>N(AP524)+$AO525</f>
        <v>0</v>
      </c>
      <c r="AR525">
        <f>IF(OR($AF525=1,$AH525=1),1,0)</f>
        <v>0</v>
      </c>
      <c r="AS525">
        <f>N(AS524)+$AR525</f>
        <v>0</v>
      </c>
    </row>
    <row r="526" ht="14.25" customHeight="1" s="127">
      <c r="A526" t="str">
        <f>IF(对接源_01水果!$C526="","",对接源_01水果!$C526)</f>
        <v>王浩</v>
      </c>
      <c r="B526">
        <f>IF(A526="",0,IF(MATCH(A526,$A$4:$A$2403,0)=ROW()-3,1,0))</f>
        <v>0</v>
      </c>
      <c r="C526">
        <f>N(C525)+B526</f>
        <v>22</v>
      </c>
      <c r="K526">
        <f>IF(OR($K$1="",对接源_01水果!$C526="",对接源_01水果!$C526&lt;&gt;$K$1,对接源_01水果!$B526=""),0,IF(OR(N(对接源_01水果!$B526)&lt;$K$2,N(对接源_01水果!$B526)&gt;$K$3),0,1))</f>
        <v>0</v>
      </c>
      <c r="L526">
        <f>IF(OR($L$1="",对接源_01水果!$C526="",对接源_01水果!$C526&lt;&gt;$L$1,对接源_01水果!$B526=""),0,IF(OR(N(对接源_01水果!$B526)&lt;$L$2,N(对接源_01水果!$B526)&gt;$L$3),0,1))</f>
        <v>0</v>
      </c>
      <c r="M526">
        <f>IF(OR($M$1="",对接源_01水果!$C526="",对接源_01水果!$C526&lt;&gt;$M$1,对接源_01水果!$B526=""),0,IF(OR(N(对接源_01水果!$B526)&lt;$M$2,N(对接源_01水果!$B526)&gt;$M$3),0,1))</f>
        <v>0</v>
      </c>
      <c r="N526">
        <f>IF(OR($N$1="",对接源_01水果!$C526="",对接源_01水果!$C526&lt;&gt;$N$1,对接源_01水果!$B526=""),0,IF(OR(N(对接源_01水果!$B526)&lt;$N$2,N(对接源_01水果!$B526)&gt;$N$3),0,1))</f>
        <v>0</v>
      </c>
      <c r="P526">
        <f>IF(AND($K526=1,AND(对接源_01水果!$X526="公司筐",N(对接源_01水果!$T526)&lt;&gt;0)),1,0)</f>
        <v>0</v>
      </c>
      <c r="Q526">
        <f>N(Q525)+$P526</f>
        <v>0</v>
      </c>
      <c r="R526">
        <f>IF(AND($K526=1,AND(对接源_01水果!$X526="公司筐",N(对接源_01水果!$U526)&lt;&gt;0)),1,0)</f>
        <v>0</v>
      </c>
      <c r="S526">
        <f>N(S525)+$R526</f>
        <v>0</v>
      </c>
      <c r="T526">
        <f>IF(AND($K526=1,AND(对接源_01水果!$X526="公司筐",N(对接源_01水果!$V526)&lt;&gt;0)),1,0)</f>
        <v>0</v>
      </c>
      <c r="U526">
        <f>N(U525)+$T526</f>
        <v>47</v>
      </c>
      <c r="V526">
        <f>IF(AND($L526=1,AND(对接源_01水果!$X526="自备筐",N(对接源_01水果!$V526)&lt;&gt;0)),1,0)</f>
        <v>0</v>
      </c>
      <c r="W526">
        <f>N(W525)+$V526</f>
        <v>11</v>
      </c>
      <c r="X526">
        <f>IF(AND($L526=1,AND(对接源_01水果!$X526="自备筐",N(对接源_01水果!$T526)&lt;&gt;0)),1,0)</f>
        <v>0</v>
      </c>
      <c r="Y526">
        <f>N(Y525)+$X526</f>
        <v>0</v>
      </c>
      <c r="Z526">
        <f>IF(AND($M526=1,对接源_01水果!$D526="原料入库"),1,0)</f>
        <v>0</v>
      </c>
      <c r="AA526">
        <f>N(AA525)+$Z526</f>
        <v>24</v>
      </c>
      <c r="AB526">
        <f>IF(AND($M526=1,LEFT(对接源_01水果!$D526,4)="原料出库"),1,0)</f>
        <v>0</v>
      </c>
      <c r="AC526">
        <f>N(AC525)+$AB526</f>
        <v>0</v>
      </c>
      <c r="AD526">
        <f>IF(AND($M526=1,LEFT(对接源_01水果!$D526,4)="成品出库"),1,0)</f>
        <v>0</v>
      </c>
      <c r="AE526">
        <f>N(AE525)+$AD526</f>
        <v>0</v>
      </c>
      <c r="AF526">
        <f>IF(AND($N526=1,AND(LEFT(对接源_01水果!$D526,4)="包装物料",N(对接源_01水果!$K526)&lt;&gt;0)),1,0)</f>
        <v>0</v>
      </c>
      <c r="AG526">
        <f>N(AG525)+$AF526</f>
        <v>0</v>
      </c>
      <c r="AH526">
        <f>IF(AND($N526=1,AND(对接源_01水果!$D526="周转筐－销售出库",N(对接源_01水果!$K526)&lt;&gt;0)),1,0)</f>
        <v>0</v>
      </c>
      <c r="AI526">
        <f>N(AI525)+$AH526</f>
        <v>0</v>
      </c>
      <c r="AJ526" s="7" t="n"/>
      <c r="AL526">
        <f>IF(OR($AL$1="",对接源_01水果!$Y526="",对接源_01水果!$Y526&lt;&gt;$AL$1,对接源_01水果!$B526="",N(对接源_01水果!$AJ526)&lt;=0),0,IF(OR(N(对接源_01水果!$B526)&lt;$AL$2,N(对接源_01水果!$B526)&gt;$AL$3),0,1))</f>
        <v>0</v>
      </c>
      <c r="AM526">
        <f>N(AM525)+$AL526</f>
        <v>0</v>
      </c>
      <c r="AN526">
        <f>IF(对接源_01水果!$AC526="","",对接源_01水果!$AC526)</f>
      </c>
      <c r="AO526">
        <f>IF(AN526="",0,IF(MATCH(AN526,$AN$4:$AN$1203,0)=ROW()-3,1,0))</f>
        <v>0</v>
      </c>
      <c r="AP526">
        <f>N(AP525)+$AO526</f>
        <v>0</v>
      </c>
      <c r="AR526">
        <f>IF(OR($AF526=1,$AH526=1),1,0)</f>
        <v>0</v>
      </c>
      <c r="AS526">
        <f>N(AS525)+$AR526</f>
        <v>0</v>
      </c>
    </row>
    <row r="527" ht="14.25" customHeight="1" s="127">
      <c r="A527" t="str">
        <f>IF(对接源_01水果!$C527="","",对接源_01水果!$C527)</f>
        <v>麦麦提</v>
      </c>
      <c r="B527">
        <f>IF(A527="",0,IF(MATCH(A527,$A$4:$A$2403,0)=ROW()-3,1,0))</f>
        <v>0</v>
      </c>
      <c r="C527">
        <f>N(C526)+B527</f>
        <v>22</v>
      </c>
      <c r="K527">
        <f>IF(OR($K$1="",对接源_01水果!$C527="",对接源_01水果!$C527&lt;&gt;$K$1,对接源_01水果!$B527=""),0,IF(OR(N(对接源_01水果!$B527)&lt;$K$2,N(对接源_01水果!$B527)&gt;$K$3),0,1))</f>
        <v>0</v>
      </c>
      <c r="L527">
        <f>IF(OR($L$1="",对接源_01水果!$C527="",对接源_01水果!$C527&lt;&gt;$L$1,对接源_01水果!$B527=""),0,IF(OR(N(对接源_01水果!$B527)&lt;$L$2,N(对接源_01水果!$B527)&gt;$L$3),0,1))</f>
        <v>0</v>
      </c>
      <c r="M527">
        <f>IF(OR($M$1="",对接源_01水果!$C527="",对接源_01水果!$C527&lt;&gt;$M$1,对接源_01水果!$B527=""),0,IF(OR(N(对接源_01水果!$B527)&lt;$M$2,N(对接源_01水果!$B527)&gt;$M$3),0,1))</f>
        <v>0</v>
      </c>
      <c r="N527">
        <f>IF(OR($N$1="",对接源_01水果!$C527="",对接源_01水果!$C527&lt;&gt;$N$1,对接源_01水果!$B527=""),0,IF(OR(N(对接源_01水果!$B527)&lt;$N$2,N(对接源_01水果!$B527)&gt;$N$3),0,1))</f>
        <v>1</v>
      </c>
      <c r="P527">
        <f>IF(AND($K527=1,AND(对接源_01水果!$X527="公司筐",N(对接源_01水果!$T527)&lt;&gt;0)),1,0)</f>
        <v>0</v>
      </c>
      <c r="Q527">
        <f>N(Q526)+$P527</f>
        <v>0</v>
      </c>
      <c r="R527">
        <f>IF(AND($K527=1,AND(对接源_01水果!$X527="公司筐",N(对接源_01水果!$U527)&lt;&gt;0)),1,0)</f>
        <v>0</v>
      </c>
      <c r="S527">
        <f>N(S526)+$R527</f>
        <v>0</v>
      </c>
      <c r="T527">
        <f>IF(AND($K527=1,AND(对接源_01水果!$X527="公司筐",N(对接源_01水果!$V527)&lt;&gt;0)),1,0)</f>
        <v>0</v>
      </c>
      <c r="U527">
        <f>N(U526)+$T527</f>
        <v>47</v>
      </c>
      <c r="V527">
        <f>IF(AND($L527=1,AND(对接源_01水果!$X527="自备筐",N(对接源_01水果!$V527)&lt;&gt;0)),1,0)</f>
        <v>0</v>
      </c>
      <c r="W527">
        <f>N(W526)+$V527</f>
        <v>11</v>
      </c>
      <c r="X527">
        <f>IF(AND($L527=1,AND(对接源_01水果!$X527="自备筐",N(对接源_01水果!$T527)&lt;&gt;0)),1,0)</f>
        <v>0</v>
      </c>
      <c r="Y527">
        <f>N(Y526)+$X527</f>
        <v>0</v>
      </c>
      <c r="Z527">
        <f>IF(AND($M527=1,对接源_01水果!$D527="原料入库"),1,0)</f>
        <v>0</v>
      </c>
      <c r="AA527">
        <f>N(AA526)+$Z527</f>
        <v>24</v>
      </c>
      <c r="AB527">
        <f>IF(AND($M527=1,LEFT(对接源_01水果!$D527,4)="原料出库"),1,0)</f>
        <v>0</v>
      </c>
      <c r="AC527">
        <f>N(AC526)+$AB527</f>
        <v>0</v>
      </c>
      <c r="AD527">
        <f>IF(AND($M527=1,LEFT(对接源_01水果!$D527,4)="成品出库"),1,0)</f>
        <v>0</v>
      </c>
      <c r="AE527">
        <f>N(AE526)+$AD527</f>
        <v>0</v>
      </c>
      <c r="AF527">
        <f>IF(AND($N527=1,AND(LEFT(对接源_01水果!$D527,4)="包装物料",N(对接源_01水果!$K527)&lt;&gt;0)),1,0)</f>
        <v>0</v>
      </c>
      <c r="AG527">
        <f>N(AG526)+$AF527</f>
        <v>0</v>
      </c>
      <c r="AH527">
        <f>IF(AND($N527=1,AND(对接源_01水果!$D527="周转筐－销售出库",N(对接源_01水果!$K527)&lt;&gt;0)),1,0)</f>
        <v>0</v>
      </c>
      <c r="AI527">
        <f>N(AI526)+$AH527</f>
        <v>0</v>
      </c>
      <c r="AJ527" s="7" t="n"/>
      <c r="AL527">
        <f>IF(OR($AL$1="",对接源_01水果!$Y527="",对接源_01水果!$Y527&lt;&gt;$AL$1,对接源_01水果!$B527="",N(对接源_01水果!$AJ527)&lt;=0),0,IF(OR(N(对接源_01水果!$B527)&lt;$AL$2,N(对接源_01水果!$B527)&gt;$AL$3),0,1))</f>
        <v>0</v>
      </c>
      <c r="AM527">
        <f>N(AM526)+$AL527</f>
        <v>0</v>
      </c>
      <c r="AN527">
        <f>IF(对接源_01水果!$AC527="","",对接源_01水果!$AC527)</f>
      </c>
      <c r="AO527">
        <f>IF(AN527="",0,IF(MATCH(AN527,$AN$4:$AN$1203,0)=ROW()-3,1,0))</f>
        <v>0</v>
      </c>
      <c r="AP527">
        <f>N(AP526)+$AO527</f>
        <v>0</v>
      </c>
      <c r="AR527">
        <f>IF(OR($AF527=1,$AH527=1),1,0)</f>
        <v>0</v>
      </c>
      <c r="AS527">
        <f>N(AS526)+$AR527</f>
        <v>0</v>
      </c>
    </row>
    <row r="528" ht="14.25" customHeight="1" s="127">
      <c r="A528" t="str">
        <f>IF(对接源_01水果!$C528="","",对接源_01水果!$C528)</f>
        <v>王照雪</v>
      </c>
      <c r="B528">
        <f>IF(A528="",0,IF(MATCH(A528,$A$4:$A$2403,0)=ROW()-3,1,0))</f>
        <v>0</v>
      </c>
      <c r="C528">
        <f>N(C527)+B528</f>
        <v>22</v>
      </c>
      <c r="K528">
        <f>IF(OR($K$1="",对接源_01水果!$C528="",对接源_01水果!$C528&lt;&gt;$K$1,对接源_01水果!$B528=""),0,IF(OR(N(对接源_01水果!$B528)&lt;$K$2,N(对接源_01水果!$B528)&gt;$K$3),0,1))</f>
        <v>0</v>
      </c>
      <c r="L528">
        <f>IF(OR($L$1="",对接源_01水果!$C528="",对接源_01水果!$C528&lt;&gt;$L$1,对接源_01水果!$B528=""),0,IF(OR(N(对接源_01水果!$B528)&lt;$L$2,N(对接源_01水果!$B528)&gt;$L$3),0,1))</f>
        <v>0</v>
      </c>
      <c r="M528">
        <f>IF(OR($M$1="",对接源_01水果!$C528="",对接源_01水果!$C528&lt;&gt;$M$1,对接源_01水果!$B528=""),0,IF(OR(N(对接源_01水果!$B528)&lt;$M$2,N(对接源_01水果!$B528)&gt;$M$3),0,1))</f>
        <v>0</v>
      </c>
      <c r="N528">
        <f>IF(OR($N$1="",对接源_01水果!$C528="",对接源_01水果!$C528&lt;&gt;$N$1,对接源_01水果!$B528=""),0,IF(OR(N(对接源_01水果!$B528)&lt;$N$2,N(对接源_01水果!$B528)&gt;$N$3),0,1))</f>
        <v>0</v>
      </c>
      <c r="P528">
        <f>IF(AND($K528=1,AND(对接源_01水果!$X528="公司筐",N(对接源_01水果!$T528)&lt;&gt;0)),1,0)</f>
        <v>0</v>
      </c>
      <c r="Q528">
        <f>N(Q527)+$P528</f>
        <v>0</v>
      </c>
      <c r="R528">
        <f>IF(AND($K528=1,AND(对接源_01水果!$X528="公司筐",N(对接源_01水果!$U528)&lt;&gt;0)),1,0)</f>
        <v>0</v>
      </c>
      <c r="S528">
        <f>N(S527)+$R528</f>
        <v>0</v>
      </c>
      <c r="T528">
        <f>IF(AND($K528=1,AND(对接源_01水果!$X528="公司筐",N(对接源_01水果!$V528)&lt;&gt;0)),1,0)</f>
        <v>0</v>
      </c>
      <c r="U528">
        <f>N(U527)+$T528</f>
        <v>47</v>
      </c>
      <c r="V528">
        <f>IF(AND($L528=1,AND(对接源_01水果!$X528="自备筐",N(对接源_01水果!$V528)&lt;&gt;0)),1,0)</f>
        <v>0</v>
      </c>
      <c r="W528">
        <f>N(W527)+$V528</f>
        <v>11</v>
      </c>
      <c r="X528">
        <f>IF(AND($L528=1,AND(对接源_01水果!$X528="自备筐",N(对接源_01水果!$T528)&lt;&gt;0)),1,0)</f>
        <v>0</v>
      </c>
      <c r="Y528">
        <f>N(Y527)+$X528</f>
        <v>0</v>
      </c>
      <c r="Z528">
        <f>IF(AND($M528=1,对接源_01水果!$D528="原料入库"),1,0)</f>
        <v>0</v>
      </c>
      <c r="AA528">
        <f>N(AA527)+$Z528</f>
        <v>24</v>
      </c>
      <c r="AB528">
        <f>IF(AND($M528=1,LEFT(对接源_01水果!$D528,4)="原料出库"),1,0)</f>
        <v>0</v>
      </c>
      <c r="AC528">
        <f>N(AC527)+$AB528</f>
        <v>0</v>
      </c>
      <c r="AD528">
        <f>IF(AND($M528=1,LEFT(对接源_01水果!$D528,4)="成品出库"),1,0)</f>
        <v>0</v>
      </c>
      <c r="AE528">
        <f>N(AE527)+$AD528</f>
        <v>0</v>
      </c>
      <c r="AF528">
        <f>IF(AND($N528=1,AND(LEFT(对接源_01水果!$D528,4)="包装物料",N(对接源_01水果!$K528)&lt;&gt;0)),1,0)</f>
        <v>0</v>
      </c>
      <c r="AG528">
        <f>N(AG527)+$AF528</f>
        <v>0</v>
      </c>
      <c r="AH528">
        <f>IF(AND($N528=1,AND(对接源_01水果!$D528="周转筐－销售出库",N(对接源_01水果!$K528)&lt;&gt;0)),1,0)</f>
        <v>0</v>
      </c>
      <c r="AI528">
        <f>N(AI527)+$AH528</f>
        <v>0</v>
      </c>
      <c r="AJ528" s="7" t="n"/>
      <c r="AL528">
        <f>IF(OR($AL$1="",对接源_01水果!$Y528="",对接源_01水果!$Y528&lt;&gt;$AL$1,对接源_01水果!$B528="",N(对接源_01水果!$AJ528)&lt;=0),0,IF(OR(N(对接源_01水果!$B528)&lt;$AL$2,N(对接源_01水果!$B528)&gt;$AL$3),0,1))</f>
        <v>0</v>
      </c>
      <c r="AM528">
        <f>N(AM527)+$AL528</f>
        <v>0</v>
      </c>
      <c r="AN528">
        <f>IF(对接源_01水果!$AC528="","",对接源_01水果!$AC528)</f>
      </c>
      <c r="AO528">
        <f>IF(AN528="",0,IF(MATCH(AN528,$AN$4:$AN$1203,0)=ROW()-3,1,0))</f>
        <v>0</v>
      </c>
      <c r="AP528">
        <f>N(AP527)+$AO528</f>
        <v>0</v>
      </c>
      <c r="AR528">
        <f>IF(OR($AF528=1,$AH528=1),1,0)</f>
        <v>0</v>
      </c>
      <c r="AS528">
        <f>N(AS527)+$AR528</f>
        <v>0</v>
      </c>
    </row>
    <row r="529" ht="14.25" customHeight="1" s="127">
      <c r="A529" t="str">
        <f>IF(对接源_01水果!$C529="","",对接源_01水果!$C529)</f>
        <v>王照雪</v>
      </c>
      <c r="B529">
        <f>IF(A529="",0,IF(MATCH(A529,$A$4:$A$2403,0)=ROW()-3,1,0))</f>
        <v>0</v>
      </c>
      <c r="C529">
        <f>N(C528)+B529</f>
        <v>22</v>
      </c>
      <c r="K529">
        <f>IF(OR($K$1="",对接源_01水果!$C529="",对接源_01水果!$C529&lt;&gt;$K$1,对接源_01水果!$B529=""),0,IF(OR(N(对接源_01水果!$B529)&lt;$K$2,N(对接源_01水果!$B529)&gt;$K$3),0,1))</f>
        <v>0</v>
      </c>
      <c r="L529">
        <f>IF(OR($L$1="",对接源_01水果!$C529="",对接源_01水果!$C529&lt;&gt;$L$1,对接源_01水果!$B529=""),0,IF(OR(N(对接源_01水果!$B529)&lt;$L$2,N(对接源_01水果!$B529)&gt;$L$3),0,1))</f>
        <v>0</v>
      </c>
      <c r="M529">
        <f>IF(OR($M$1="",对接源_01水果!$C529="",对接源_01水果!$C529&lt;&gt;$M$1,对接源_01水果!$B529=""),0,IF(OR(N(对接源_01水果!$B529)&lt;$M$2,N(对接源_01水果!$B529)&gt;$M$3),0,1))</f>
        <v>0</v>
      </c>
      <c r="N529">
        <f>IF(OR($N$1="",对接源_01水果!$C529="",对接源_01水果!$C529&lt;&gt;$N$1,对接源_01水果!$B529=""),0,IF(OR(N(对接源_01水果!$B529)&lt;$N$2,N(对接源_01水果!$B529)&gt;$N$3),0,1))</f>
        <v>0</v>
      </c>
      <c r="P529">
        <f>IF(AND($K529=1,AND(对接源_01水果!$X529="公司筐",N(对接源_01水果!$T529)&lt;&gt;0)),1,0)</f>
        <v>0</v>
      </c>
      <c r="Q529">
        <f>N(Q528)+$P529</f>
        <v>0</v>
      </c>
      <c r="R529">
        <f>IF(AND($K529=1,AND(对接源_01水果!$X529="公司筐",N(对接源_01水果!$U529)&lt;&gt;0)),1,0)</f>
        <v>0</v>
      </c>
      <c r="S529">
        <f>N(S528)+$R529</f>
        <v>0</v>
      </c>
      <c r="T529">
        <f>IF(AND($K529=1,AND(对接源_01水果!$X529="公司筐",N(对接源_01水果!$V529)&lt;&gt;0)),1,0)</f>
        <v>0</v>
      </c>
      <c r="U529">
        <f>N(U528)+$T529</f>
        <v>47</v>
      </c>
      <c r="V529">
        <f>IF(AND($L529=1,AND(对接源_01水果!$X529="自备筐",N(对接源_01水果!$V529)&lt;&gt;0)),1,0)</f>
        <v>0</v>
      </c>
      <c r="W529">
        <f>N(W528)+$V529</f>
        <v>11</v>
      </c>
      <c r="X529">
        <f>IF(AND($L529=1,AND(对接源_01水果!$X529="自备筐",N(对接源_01水果!$T529)&lt;&gt;0)),1,0)</f>
        <v>0</v>
      </c>
      <c r="Y529">
        <f>N(Y528)+$X529</f>
        <v>0</v>
      </c>
      <c r="Z529">
        <f>IF(AND($M529=1,对接源_01水果!$D529="原料入库"),1,0)</f>
        <v>0</v>
      </c>
      <c r="AA529">
        <f>N(AA528)+$Z529</f>
        <v>24</v>
      </c>
      <c r="AB529">
        <f>IF(AND($M529=1,LEFT(对接源_01水果!$D529,4)="原料出库"),1,0)</f>
        <v>0</v>
      </c>
      <c r="AC529">
        <f>N(AC528)+$AB529</f>
        <v>0</v>
      </c>
      <c r="AD529">
        <f>IF(AND($M529=1,LEFT(对接源_01水果!$D529,4)="成品出库"),1,0)</f>
        <v>0</v>
      </c>
      <c r="AE529">
        <f>N(AE528)+$AD529</f>
        <v>0</v>
      </c>
      <c r="AF529">
        <f>IF(AND($N529=1,AND(LEFT(对接源_01水果!$D529,4)="包装物料",N(对接源_01水果!$K529)&lt;&gt;0)),1,0)</f>
        <v>0</v>
      </c>
      <c r="AG529">
        <f>N(AG528)+$AF529</f>
        <v>0</v>
      </c>
      <c r="AH529">
        <f>IF(AND($N529=1,AND(对接源_01水果!$D529="周转筐－销售出库",N(对接源_01水果!$K529)&lt;&gt;0)),1,0)</f>
        <v>0</v>
      </c>
      <c r="AI529">
        <f>N(AI528)+$AH529</f>
        <v>0</v>
      </c>
      <c r="AJ529" s="7" t="n"/>
      <c r="AL529">
        <f>IF(OR($AL$1="",对接源_01水果!$Y529="",对接源_01水果!$Y529&lt;&gt;$AL$1,对接源_01水果!$B529="",N(对接源_01水果!$AJ529)&lt;=0),0,IF(OR(N(对接源_01水果!$B529)&lt;$AL$2,N(对接源_01水果!$B529)&gt;$AL$3),0,1))</f>
        <v>0</v>
      </c>
      <c r="AM529">
        <f>N(AM528)+$AL529</f>
        <v>0</v>
      </c>
      <c r="AN529">
        <f>IF(对接源_01水果!$AC529="","",对接源_01水果!$AC529)</f>
      </c>
      <c r="AO529">
        <f>IF(AN529="",0,IF(MATCH(AN529,$AN$4:$AN$1203,0)=ROW()-3,1,0))</f>
        <v>0</v>
      </c>
      <c r="AP529">
        <f>N(AP528)+$AO529</f>
        <v>0</v>
      </c>
      <c r="AR529">
        <f>IF(OR($AF529=1,$AH529=1),1,0)</f>
        <v>0</v>
      </c>
      <c r="AS529">
        <f>N(AS528)+$AR529</f>
        <v>0</v>
      </c>
    </row>
    <row r="530" ht="14.25" customHeight="1" s="127">
      <c r="A530" t="str">
        <f>IF(对接源_01水果!$C530="","",对接源_01水果!$C530)</f>
        <v>王照雪</v>
      </c>
      <c r="B530">
        <f>IF(A530="",0,IF(MATCH(A530,$A$4:$A$2403,0)=ROW()-3,1,0))</f>
        <v>0</v>
      </c>
      <c r="C530">
        <f>N(C529)+B530</f>
        <v>22</v>
      </c>
      <c r="K530">
        <f>IF(OR($K$1="",对接源_01水果!$C530="",对接源_01水果!$C530&lt;&gt;$K$1,对接源_01水果!$B530=""),0,IF(OR(N(对接源_01水果!$B530)&lt;$K$2,N(对接源_01水果!$B530)&gt;$K$3),0,1))</f>
        <v>0</v>
      </c>
      <c r="L530">
        <f>IF(OR($L$1="",对接源_01水果!$C530="",对接源_01水果!$C530&lt;&gt;$L$1,对接源_01水果!$B530=""),0,IF(OR(N(对接源_01水果!$B530)&lt;$L$2,N(对接源_01水果!$B530)&gt;$L$3),0,1))</f>
        <v>0</v>
      </c>
      <c r="M530">
        <f>IF(OR($M$1="",对接源_01水果!$C530="",对接源_01水果!$C530&lt;&gt;$M$1,对接源_01水果!$B530=""),0,IF(OR(N(对接源_01水果!$B530)&lt;$M$2,N(对接源_01水果!$B530)&gt;$M$3),0,1))</f>
        <v>0</v>
      </c>
      <c r="N530">
        <f>IF(OR($N$1="",对接源_01水果!$C530="",对接源_01水果!$C530&lt;&gt;$N$1,对接源_01水果!$B530=""),0,IF(OR(N(对接源_01水果!$B530)&lt;$N$2,N(对接源_01水果!$B530)&gt;$N$3),0,1))</f>
        <v>0</v>
      </c>
      <c r="P530">
        <f>IF(AND($K530=1,AND(对接源_01水果!$X530="公司筐",N(对接源_01水果!$T530)&lt;&gt;0)),1,0)</f>
        <v>0</v>
      </c>
      <c r="Q530">
        <f>N(Q529)+$P530</f>
        <v>0</v>
      </c>
      <c r="R530">
        <f>IF(AND($K530=1,AND(对接源_01水果!$X530="公司筐",N(对接源_01水果!$U530)&lt;&gt;0)),1,0)</f>
        <v>0</v>
      </c>
      <c r="S530">
        <f>N(S529)+$R530</f>
        <v>0</v>
      </c>
      <c r="T530">
        <f>IF(AND($K530=1,AND(对接源_01水果!$X530="公司筐",N(对接源_01水果!$V530)&lt;&gt;0)),1,0)</f>
        <v>0</v>
      </c>
      <c r="U530">
        <f>N(U529)+$T530</f>
        <v>47</v>
      </c>
      <c r="V530">
        <f>IF(AND($L530=1,AND(对接源_01水果!$X530="自备筐",N(对接源_01水果!$V530)&lt;&gt;0)),1,0)</f>
        <v>0</v>
      </c>
      <c r="W530">
        <f>N(W529)+$V530</f>
        <v>11</v>
      </c>
      <c r="X530">
        <f>IF(AND($L530=1,AND(对接源_01水果!$X530="自备筐",N(对接源_01水果!$T530)&lt;&gt;0)),1,0)</f>
        <v>0</v>
      </c>
      <c r="Y530">
        <f>N(Y529)+$X530</f>
        <v>0</v>
      </c>
      <c r="Z530">
        <f>IF(AND($M530=1,对接源_01水果!$D530="原料入库"),1,0)</f>
        <v>0</v>
      </c>
      <c r="AA530">
        <f>N(AA529)+$Z530</f>
        <v>24</v>
      </c>
      <c r="AB530">
        <f>IF(AND($M530=1,LEFT(对接源_01水果!$D530,4)="原料出库"),1,0)</f>
        <v>0</v>
      </c>
      <c r="AC530">
        <f>N(AC529)+$AB530</f>
        <v>0</v>
      </c>
      <c r="AD530">
        <f>IF(AND($M530=1,LEFT(对接源_01水果!$D530,4)="成品出库"),1,0)</f>
        <v>0</v>
      </c>
      <c r="AE530">
        <f>N(AE529)+$AD530</f>
        <v>0</v>
      </c>
      <c r="AF530">
        <f>IF(AND($N530=1,AND(LEFT(对接源_01水果!$D530,4)="包装物料",N(对接源_01水果!$K530)&lt;&gt;0)),1,0)</f>
        <v>0</v>
      </c>
      <c r="AG530">
        <f>N(AG529)+$AF530</f>
        <v>0</v>
      </c>
      <c r="AH530">
        <f>IF(AND($N530=1,AND(对接源_01水果!$D530="周转筐－销售出库",N(对接源_01水果!$K530)&lt;&gt;0)),1,0)</f>
        <v>0</v>
      </c>
      <c r="AI530">
        <f>N(AI529)+$AH530</f>
        <v>0</v>
      </c>
      <c r="AJ530" s="7" t="n"/>
      <c r="AL530">
        <f>IF(OR($AL$1="",对接源_01水果!$Y530="",对接源_01水果!$Y530&lt;&gt;$AL$1,对接源_01水果!$B530="",N(对接源_01水果!$AJ530)&lt;=0),0,IF(OR(N(对接源_01水果!$B530)&lt;$AL$2,N(对接源_01水果!$B530)&gt;$AL$3),0,1))</f>
        <v>0</v>
      </c>
      <c r="AM530">
        <f>N(AM529)+$AL530</f>
        <v>0</v>
      </c>
      <c r="AN530">
        <f>IF(对接源_01水果!$AC530="","",对接源_01水果!$AC530)</f>
      </c>
      <c r="AO530">
        <f>IF(AN530="",0,IF(MATCH(AN530,$AN$4:$AN$1203,0)=ROW()-3,1,0))</f>
        <v>0</v>
      </c>
      <c r="AP530">
        <f>N(AP529)+$AO530</f>
        <v>0</v>
      </c>
      <c r="AR530">
        <f>IF(OR($AF530=1,$AH530=1),1,0)</f>
        <v>0</v>
      </c>
      <c r="AS530">
        <f>N(AS529)+$AR530</f>
        <v>0</v>
      </c>
    </row>
    <row r="531" ht="14.25" customHeight="1" s="127">
      <c r="A531" t="str">
        <f>IF(对接源_01水果!$C531="","",对接源_01水果!$C531)</f>
        <v>王照雪</v>
      </c>
      <c r="B531">
        <f>IF(A531="",0,IF(MATCH(A531,$A$4:$A$2403,0)=ROW()-3,1,0))</f>
        <v>0</v>
      </c>
      <c r="C531">
        <f>N(C530)+B531</f>
        <v>22</v>
      </c>
      <c r="K531">
        <f>IF(OR($K$1="",对接源_01水果!$C531="",对接源_01水果!$C531&lt;&gt;$K$1,对接源_01水果!$B531=""),0,IF(OR(N(对接源_01水果!$B531)&lt;$K$2,N(对接源_01水果!$B531)&gt;$K$3),0,1))</f>
        <v>0</v>
      </c>
      <c r="L531">
        <f>IF(OR($L$1="",对接源_01水果!$C531="",对接源_01水果!$C531&lt;&gt;$L$1,对接源_01水果!$B531=""),0,IF(OR(N(对接源_01水果!$B531)&lt;$L$2,N(对接源_01水果!$B531)&gt;$L$3),0,1))</f>
        <v>0</v>
      </c>
      <c r="M531">
        <f>IF(OR($M$1="",对接源_01水果!$C531="",对接源_01水果!$C531&lt;&gt;$M$1,对接源_01水果!$B531=""),0,IF(OR(N(对接源_01水果!$B531)&lt;$M$2,N(对接源_01水果!$B531)&gt;$M$3),0,1))</f>
        <v>0</v>
      </c>
      <c r="N531">
        <f>IF(OR($N$1="",对接源_01水果!$C531="",对接源_01水果!$C531&lt;&gt;$N$1,对接源_01水果!$B531=""),0,IF(OR(N(对接源_01水果!$B531)&lt;$N$2,N(对接源_01水果!$B531)&gt;$N$3),0,1))</f>
        <v>0</v>
      </c>
      <c r="P531">
        <f>IF(AND($K531=1,AND(对接源_01水果!$X531="公司筐",N(对接源_01水果!$T531)&lt;&gt;0)),1,0)</f>
        <v>0</v>
      </c>
      <c r="Q531">
        <f>N(Q530)+$P531</f>
        <v>0</v>
      </c>
      <c r="R531">
        <f>IF(AND($K531=1,AND(对接源_01水果!$X531="公司筐",N(对接源_01水果!$U531)&lt;&gt;0)),1,0)</f>
        <v>0</v>
      </c>
      <c r="S531">
        <f>N(S530)+$R531</f>
        <v>0</v>
      </c>
      <c r="T531">
        <f>IF(AND($K531=1,AND(对接源_01水果!$X531="公司筐",N(对接源_01水果!$V531)&lt;&gt;0)),1,0)</f>
        <v>0</v>
      </c>
      <c r="U531">
        <f>N(U530)+$T531</f>
        <v>47</v>
      </c>
      <c r="V531">
        <f>IF(AND($L531=1,AND(对接源_01水果!$X531="自备筐",N(对接源_01水果!$V531)&lt;&gt;0)),1,0)</f>
        <v>0</v>
      </c>
      <c r="W531">
        <f>N(W530)+$V531</f>
        <v>11</v>
      </c>
      <c r="X531">
        <f>IF(AND($L531=1,AND(对接源_01水果!$X531="自备筐",N(对接源_01水果!$T531)&lt;&gt;0)),1,0)</f>
        <v>0</v>
      </c>
      <c r="Y531">
        <f>N(Y530)+$X531</f>
        <v>0</v>
      </c>
      <c r="Z531">
        <f>IF(AND($M531=1,对接源_01水果!$D531="原料入库"),1,0)</f>
        <v>0</v>
      </c>
      <c r="AA531">
        <f>N(AA530)+$Z531</f>
        <v>24</v>
      </c>
      <c r="AB531">
        <f>IF(AND($M531=1,LEFT(对接源_01水果!$D531,4)="原料出库"),1,0)</f>
        <v>0</v>
      </c>
      <c r="AC531">
        <f>N(AC530)+$AB531</f>
        <v>0</v>
      </c>
      <c r="AD531">
        <f>IF(AND($M531=1,LEFT(对接源_01水果!$D531,4)="成品出库"),1,0)</f>
        <v>0</v>
      </c>
      <c r="AE531">
        <f>N(AE530)+$AD531</f>
        <v>0</v>
      </c>
      <c r="AF531">
        <f>IF(AND($N531=1,AND(LEFT(对接源_01水果!$D531,4)="包装物料",N(对接源_01水果!$K531)&lt;&gt;0)),1,0)</f>
        <v>0</v>
      </c>
      <c r="AG531">
        <f>N(AG530)+$AF531</f>
        <v>0</v>
      </c>
      <c r="AH531">
        <f>IF(AND($N531=1,AND(对接源_01水果!$D531="周转筐－销售出库",N(对接源_01水果!$K531)&lt;&gt;0)),1,0)</f>
        <v>0</v>
      </c>
      <c r="AI531">
        <f>N(AI530)+$AH531</f>
        <v>0</v>
      </c>
      <c r="AJ531" s="7" t="n"/>
      <c r="AL531">
        <f>IF(OR($AL$1="",对接源_01水果!$Y531="",对接源_01水果!$Y531&lt;&gt;$AL$1,对接源_01水果!$B531="",N(对接源_01水果!$AJ531)&lt;=0),0,IF(OR(N(对接源_01水果!$B531)&lt;$AL$2,N(对接源_01水果!$B531)&gt;$AL$3),0,1))</f>
        <v>0</v>
      </c>
      <c r="AM531">
        <f>N(AM530)+$AL531</f>
        <v>0</v>
      </c>
      <c r="AN531">
        <f>IF(对接源_01水果!$AC531="","",对接源_01水果!$AC531)</f>
      </c>
      <c r="AO531">
        <f>IF(AN531="",0,IF(MATCH(AN531,$AN$4:$AN$1203,0)=ROW()-3,1,0))</f>
        <v>0</v>
      </c>
      <c r="AP531">
        <f>N(AP530)+$AO531</f>
        <v>0</v>
      </c>
      <c r="AR531">
        <f>IF(OR($AF531=1,$AH531=1),1,0)</f>
        <v>0</v>
      </c>
      <c r="AS531">
        <f>N(AS530)+$AR531</f>
        <v>0</v>
      </c>
    </row>
    <row r="532" ht="14.25" customHeight="1" s="127">
      <c r="A532" t="str">
        <f>IF(对接源_01水果!$C532="","",对接源_01水果!$C532)</f>
        <v>王浩</v>
      </c>
      <c r="B532">
        <f>IF(A532="",0,IF(MATCH(A532,$A$4:$A$2403,0)=ROW()-3,1,0))</f>
        <v>0</v>
      </c>
      <c r="C532">
        <f>N(C531)+B532</f>
        <v>22</v>
      </c>
      <c r="K532">
        <f>IF(OR($K$1="",对接源_01水果!$C532="",对接源_01水果!$C532&lt;&gt;$K$1,对接源_01水果!$B532=""),0,IF(OR(N(对接源_01水果!$B532)&lt;$K$2,N(对接源_01水果!$B532)&gt;$K$3),0,1))</f>
        <v>0</v>
      </c>
      <c r="L532">
        <f>IF(OR($L$1="",对接源_01水果!$C532="",对接源_01水果!$C532&lt;&gt;$L$1,对接源_01水果!$B532=""),0,IF(OR(N(对接源_01水果!$B532)&lt;$L$2,N(对接源_01水果!$B532)&gt;$L$3),0,1))</f>
        <v>0</v>
      </c>
      <c r="M532">
        <f>IF(OR($M$1="",对接源_01水果!$C532="",对接源_01水果!$C532&lt;&gt;$M$1,对接源_01水果!$B532=""),0,IF(OR(N(对接源_01水果!$B532)&lt;$M$2,N(对接源_01水果!$B532)&gt;$M$3),0,1))</f>
        <v>0</v>
      </c>
      <c r="N532">
        <f>IF(OR($N$1="",对接源_01水果!$C532="",对接源_01水果!$C532&lt;&gt;$N$1,对接源_01水果!$B532=""),0,IF(OR(N(对接源_01水果!$B532)&lt;$N$2,N(对接源_01水果!$B532)&gt;$N$3),0,1))</f>
        <v>0</v>
      </c>
      <c r="P532">
        <f>IF(AND($K532=1,AND(对接源_01水果!$X532="公司筐",N(对接源_01水果!$T532)&lt;&gt;0)),1,0)</f>
        <v>0</v>
      </c>
      <c r="Q532">
        <f>N(Q531)+$P532</f>
        <v>0</v>
      </c>
      <c r="R532">
        <f>IF(AND($K532=1,AND(对接源_01水果!$X532="公司筐",N(对接源_01水果!$U532)&lt;&gt;0)),1,0)</f>
        <v>0</v>
      </c>
      <c r="S532">
        <f>N(S531)+$R532</f>
        <v>0</v>
      </c>
      <c r="T532">
        <f>IF(AND($K532=1,AND(对接源_01水果!$X532="公司筐",N(对接源_01水果!$V532)&lt;&gt;0)),1,0)</f>
        <v>0</v>
      </c>
      <c r="U532">
        <f>N(U531)+$T532</f>
        <v>47</v>
      </c>
      <c r="V532">
        <f>IF(AND($L532=1,AND(对接源_01水果!$X532="自备筐",N(对接源_01水果!$V532)&lt;&gt;0)),1,0)</f>
        <v>0</v>
      </c>
      <c r="W532">
        <f>N(W531)+$V532</f>
        <v>11</v>
      </c>
      <c r="X532">
        <f>IF(AND($L532=1,AND(对接源_01水果!$X532="自备筐",N(对接源_01水果!$T532)&lt;&gt;0)),1,0)</f>
        <v>0</v>
      </c>
      <c r="Y532">
        <f>N(Y531)+$X532</f>
        <v>0</v>
      </c>
      <c r="Z532">
        <f>IF(AND($M532=1,对接源_01水果!$D532="原料入库"),1,0)</f>
        <v>0</v>
      </c>
      <c r="AA532">
        <f>N(AA531)+$Z532</f>
        <v>24</v>
      </c>
      <c r="AB532">
        <f>IF(AND($M532=1,LEFT(对接源_01水果!$D532,4)="原料出库"),1,0)</f>
        <v>0</v>
      </c>
      <c r="AC532">
        <f>N(AC531)+$AB532</f>
        <v>0</v>
      </c>
      <c r="AD532">
        <f>IF(AND($M532=1,LEFT(对接源_01水果!$D532,4)="成品出库"),1,0)</f>
        <v>0</v>
      </c>
      <c r="AE532">
        <f>N(AE531)+$AD532</f>
        <v>0</v>
      </c>
      <c r="AF532">
        <f>IF(AND($N532=1,AND(LEFT(对接源_01水果!$D532,4)="包装物料",N(对接源_01水果!$K532)&lt;&gt;0)),1,0)</f>
        <v>0</v>
      </c>
      <c r="AG532">
        <f>N(AG531)+$AF532</f>
        <v>0</v>
      </c>
      <c r="AH532">
        <f>IF(AND($N532=1,AND(对接源_01水果!$D532="周转筐－销售出库",N(对接源_01水果!$K532)&lt;&gt;0)),1,0)</f>
        <v>0</v>
      </c>
      <c r="AI532">
        <f>N(AI531)+$AH532</f>
        <v>0</v>
      </c>
      <c r="AJ532" s="7" t="n"/>
      <c r="AL532">
        <f>IF(OR($AL$1="",对接源_01水果!$Y532="",对接源_01水果!$Y532&lt;&gt;$AL$1,对接源_01水果!$B532="",N(对接源_01水果!$AJ532)&lt;=0),0,IF(OR(N(对接源_01水果!$B532)&lt;$AL$2,N(对接源_01水果!$B532)&gt;$AL$3),0,1))</f>
        <v>0</v>
      </c>
      <c r="AM532">
        <f>N(AM531)+$AL532</f>
        <v>0</v>
      </c>
      <c r="AN532">
        <f>IF(对接源_01水果!$AC532="","",对接源_01水果!$AC532)</f>
      </c>
      <c r="AO532">
        <f>IF(AN532="",0,IF(MATCH(AN532,$AN$4:$AN$1203,0)=ROW()-3,1,0))</f>
        <v>0</v>
      </c>
      <c r="AP532">
        <f>N(AP531)+$AO532</f>
        <v>0</v>
      </c>
      <c r="AR532">
        <f>IF(OR($AF532=1,$AH532=1),1,0)</f>
        <v>0</v>
      </c>
      <c r="AS532">
        <f>N(AS531)+$AR532</f>
        <v>0</v>
      </c>
    </row>
    <row r="533" ht="14.25" customHeight="1" s="127">
      <c r="A533" t="str">
        <f>IF(对接源_01水果!$C533="","",对接源_01水果!$C533)</f>
        <v>王浩</v>
      </c>
      <c r="B533">
        <f>IF(A533="",0,IF(MATCH(A533,$A$4:$A$2403,0)=ROW()-3,1,0))</f>
        <v>0</v>
      </c>
      <c r="C533">
        <f>N(C532)+B533</f>
        <v>22</v>
      </c>
      <c r="K533">
        <f>IF(OR($K$1="",对接源_01水果!$C533="",对接源_01水果!$C533&lt;&gt;$K$1,对接源_01水果!$B533=""),0,IF(OR(N(对接源_01水果!$B533)&lt;$K$2,N(对接源_01水果!$B533)&gt;$K$3),0,1))</f>
        <v>0</v>
      </c>
      <c r="L533">
        <f>IF(OR($L$1="",对接源_01水果!$C533="",对接源_01水果!$C533&lt;&gt;$L$1,对接源_01水果!$B533=""),0,IF(OR(N(对接源_01水果!$B533)&lt;$L$2,N(对接源_01水果!$B533)&gt;$L$3),0,1))</f>
        <v>0</v>
      </c>
      <c r="M533">
        <f>IF(OR($M$1="",对接源_01水果!$C533="",对接源_01水果!$C533&lt;&gt;$M$1,对接源_01水果!$B533=""),0,IF(OR(N(对接源_01水果!$B533)&lt;$M$2,N(对接源_01水果!$B533)&gt;$M$3),0,1))</f>
        <v>0</v>
      </c>
      <c r="N533">
        <f>IF(OR($N$1="",对接源_01水果!$C533="",对接源_01水果!$C533&lt;&gt;$N$1,对接源_01水果!$B533=""),0,IF(OR(N(对接源_01水果!$B533)&lt;$N$2,N(对接源_01水果!$B533)&gt;$N$3),0,1))</f>
        <v>0</v>
      </c>
      <c r="P533">
        <f>IF(AND($K533=1,AND(对接源_01水果!$X533="公司筐",N(对接源_01水果!$T533)&lt;&gt;0)),1,0)</f>
        <v>0</v>
      </c>
      <c r="Q533">
        <f>N(Q532)+$P533</f>
        <v>0</v>
      </c>
      <c r="R533">
        <f>IF(AND($K533=1,AND(对接源_01水果!$X533="公司筐",N(对接源_01水果!$U533)&lt;&gt;0)),1,0)</f>
        <v>0</v>
      </c>
      <c r="S533">
        <f>N(S532)+$R533</f>
        <v>0</v>
      </c>
      <c r="T533">
        <f>IF(AND($K533=1,AND(对接源_01水果!$X533="公司筐",N(对接源_01水果!$V533)&lt;&gt;0)),1,0)</f>
        <v>0</v>
      </c>
      <c r="U533">
        <f>N(U532)+$T533</f>
        <v>47</v>
      </c>
      <c r="V533">
        <f>IF(AND($L533=1,AND(对接源_01水果!$X533="自备筐",N(对接源_01水果!$V533)&lt;&gt;0)),1,0)</f>
        <v>0</v>
      </c>
      <c r="W533">
        <f>N(W532)+$V533</f>
        <v>11</v>
      </c>
      <c r="X533">
        <f>IF(AND($L533=1,AND(对接源_01水果!$X533="自备筐",N(对接源_01水果!$T533)&lt;&gt;0)),1,0)</f>
        <v>0</v>
      </c>
      <c r="Y533">
        <f>N(Y532)+$X533</f>
        <v>0</v>
      </c>
      <c r="Z533">
        <f>IF(AND($M533=1,对接源_01水果!$D533="原料入库"),1,0)</f>
        <v>0</v>
      </c>
      <c r="AA533">
        <f>N(AA532)+$Z533</f>
        <v>24</v>
      </c>
      <c r="AB533">
        <f>IF(AND($M533=1,LEFT(对接源_01水果!$D533,4)="原料出库"),1,0)</f>
        <v>0</v>
      </c>
      <c r="AC533">
        <f>N(AC532)+$AB533</f>
        <v>0</v>
      </c>
      <c r="AD533">
        <f>IF(AND($M533=1,LEFT(对接源_01水果!$D533,4)="成品出库"),1,0)</f>
        <v>0</v>
      </c>
      <c r="AE533">
        <f>N(AE532)+$AD533</f>
        <v>0</v>
      </c>
      <c r="AF533">
        <f>IF(AND($N533=1,AND(LEFT(对接源_01水果!$D533,4)="包装物料",N(对接源_01水果!$K533)&lt;&gt;0)),1,0)</f>
        <v>0</v>
      </c>
      <c r="AG533">
        <f>N(AG532)+$AF533</f>
        <v>0</v>
      </c>
      <c r="AH533">
        <f>IF(AND($N533=1,AND(对接源_01水果!$D533="周转筐－销售出库",N(对接源_01水果!$K533)&lt;&gt;0)),1,0)</f>
        <v>0</v>
      </c>
      <c r="AI533">
        <f>N(AI532)+$AH533</f>
        <v>0</v>
      </c>
      <c r="AJ533" s="7" t="n"/>
      <c r="AL533">
        <f>IF(OR($AL$1="",对接源_01水果!$Y533="",对接源_01水果!$Y533&lt;&gt;$AL$1,对接源_01水果!$B533="",N(对接源_01水果!$AJ533)&lt;=0),0,IF(OR(N(对接源_01水果!$B533)&lt;$AL$2,N(对接源_01水果!$B533)&gt;$AL$3),0,1))</f>
        <v>0</v>
      </c>
      <c r="AM533">
        <f>N(AM532)+$AL533</f>
        <v>0</v>
      </c>
      <c r="AN533">
        <f>IF(对接源_01水果!$AC533="","",对接源_01水果!$AC533)</f>
      </c>
      <c r="AO533">
        <f>IF(AN533="",0,IF(MATCH(AN533,$AN$4:$AN$1203,0)=ROW()-3,1,0))</f>
        <v>0</v>
      </c>
      <c r="AP533">
        <f>N(AP532)+$AO533</f>
        <v>0</v>
      </c>
      <c r="AR533">
        <f>IF(OR($AF533=1,$AH533=1),1,0)</f>
        <v>0</v>
      </c>
      <c r="AS533">
        <f>N(AS532)+$AR533</f>
        <v>0</v>
      </c>
    </row>
    <row r="534" ht="14.25" customHeight="1" s="127">
      <c r="A534" t="str">
        <f>IF(对接源_01水果!$C534="","",对接源_01水果!$C534)</f>
        <v>王照雪</v>
      </c>
      <c r="B534">
        <f>IF(A534="",0,IF(MATCH(A534,$A$4:$A$2403,0)=ROW()-3,1,0))</f>
        <v>0</v>
      </c>
      <c r="C534">
        <f>N(C533)+B534</f>
        <v>22</v>
      </c>
      <c r="K534">
        <f>IF(OR($K$1="",对接源_01水果!$C534="",对接源_01水果!$C534&lt;&gt;$K$1,对接源_01水果!$B534=""),0,IF(OR(N(对接源_01水果!$B534)&lt;$K$2,N(对接源_01水果!$B534)&gt;$K$3),0,1))</f>
        <v>0</v>
      </c>
      <c r="L534">
        <f>IF(OR($L$1="",对接源_01水果!$C534="",对接源_01水果!$C534&lt;&gt;$L$1,对接源_01水果!$B534=""),0,IF(OR(N(对接源_01水果!$B534)&lt;$L$2,N(对接源_01水果!$B534)&gt;$L$3),0,1))</f>
        <v>0</v>
      </c>
      <c r="M534">
        <f>IF(OR($M$1="",对接源_01水果!$C534="",对接源_01水果!$C534&lt;&gt;$M$1,对接源_01水果!$B534=""),0,IF(OR(N(对接源_01水果!$B534)&lt;$M$2,N(对接源_01水果!$B534)&gt;$M$3),0,1))</f>
        <v>0</v>
      </c>
      <c r="N534">
        <f>IF(OR($N$1="",对接源_01水果!$C534="",对接源_01水果!$C534&lt;&gt;$N$1,对接源_01水果!$B534=""),0,IF(OR(N(对接源_01水果!$B534)&lt;$N$2,N(对接源_01水果!$B534)&gt;$N$3),0,1))</f>
        <v>0</v>
      </c>
      <c r="P534">
        <f>IF(AND($K534=1,AND(对接源_01水果!$X534="公司筐",N(对接源_01水果!$T534)&lt;&gt;0)),1,0)</f>
        <v>0</v>
      </c>
      <c r="Q534">
        <f>N(Q533)+$P534</f>
        <v>0</v>
      </c>
      <c r="R534">
        <f>IF(AND($K534=1,AND(对接源_01水果!$X534="公司筐",N(对接源_01水果!$U534)&lt;&gt;0)),1,0)</f>
        <v>0</v>
      </c>
      <c r="S534">
        <f>N(S533)+$R534</f>
        <v>0</v>
      </c>
      <c r="T534">
        <f>IF(AND($K534=1,AND(对接源_01水果!$X534="公司筐",N(对接源_01水果!$V534)&lt;&gt;0)),1,0)</f>
        <v>0</v>
      </c>
      <c r="U534">
        <f>N(U533)+$T534</f>
        <v>47</v>
      </c>
      <c r="V534">
        <f>IF(AND($L534=1,AND(对接源_01水果!$X534="自备筐",N(对接源_01水果!$V534)&lt;&gt;0)),1,0)</f>
        <v>0</v>
      </c>
      <c r="W534">
        <f>N(W533)+$V534</f>
        <v>11</v>
      </c>
      <c r="X534">
        <f>IF(AND($L534=1,AND(对接源_01水果!$X534="自备筐",N(对接源_01水果!$T534)&lt;&gt;0)),1,0)</f>
        <v>0</v>
      </c>
      <c r="Y534">
        <f>N(Y533)+$X534</f>
        <v>0</v>
      </c>
      <c r="Z534">
        <f>IF(AND($M534=1,对接源_01水果!$D534="原料入库"),1,0)</f>
        <v>0</v>
      </c>
      <c r="AA534">
        <f>N(AA533)+$Z534</f>
        <v>24</v>
      </c>
      <c r="AB534">
        <f>IF(AND($M534=1,LEFT(对接源_01水果!$D534,4)="原料出库"),1,0)</f>
        <v>0</v>
      </c>
      <c r="AC534">
        <f>N(AC533)+$AB534</f>
        <v>0</v>
      </c>
      <c r="AD534">
        <f>IF(AND($M534=1,LEFT(对接源_01水果!$D534,4)="成品出库"),1,0)</f>
        <v>0</v>
      </c>
      <c r="AE534">
        <f>N(AE533)+$AD534</f>
        <v>0</v>
      </c>
      <c r="AF534">
        <f>IF(AND($N534=1,AND(LEFT(对接源_01水果!$D534,4)="包装物料",N(对接源_01水果!$K534)&lt;&gt;0)),1,0)</f>
        <v>0</v>
      </c>
      <c r="AG534">
        <f>N(AG533)+$AF534</f>
        <v>0</v>
      </c>
      <c r="AH534">
        <f>IF(AND($N534=1,AND(对接源_01水果!$D534="周转筐－销售出库",N(对接源_01水果!$K534)&lt;&gt;0)),1,0)</f>
        <v>0</v>
      </c>
      <c r="AI534">
        <f>N(AI533)+$AH534</f>
        <v>0</v>
      </c>
      <c r="AJ534" s="7" t="n"/>
      <c r="AL534">
        <f>IF(OR($AL$1="",对接源_01水果!$Y534="",对接源_01水果!$Y534&lt;&gt;$AL$1,对接源_01水果!$B534="",N(对接源_01水果!$AJ534)&lt;=0),0,IF(OR(N(对接源_01水果!$B534)&lt;$AL$2,N(对接源_01水果!$B534)&gt;$AL$3),0,1))</f>
        <v>0</v>
      </c>
      <c r="AM534">
        <f>N(AM533)+$AL534</f>
        <v>0</v>
      </c>
      <c r="AN534">
        <f>IF(对接源_01水果!$AC534="","",对接源_01水果!$AC534)</f>
      </c>
      <c r="AO534">
        <f>IF(AN534="",0,IF(MATCH(AN534,$AN$4:$AN$1203,0)=ROW()-3,1,0))</f>
        <v>0</v>
      </c>
      <c r="AP534">
        <f>N(AP533)+$AO534</f>
        <v>0</v>
      </c>
      <c r="AR534">
        <f>IF(OR($AF534=1,$AH534=1),1,0)</f>
        <v>0</v>
      </c>
      <c r="AS534">
        <f>N(AS533)+$AR534</f>
        <v>0</v>
      </c>
    </row>
    <row r="535" ht="14.25" customHeight="1" s="127">
      <c r="A535" t="str">
        <f>IF(对接源_01水果!$C535="","",对接源_01水果!$C535)</f>
        <v>王照雪</v>
      </c>
      <c r="B535">
        <f>IF(A535="",0,IF(MATCH(A535,$A$4:$A$2403,0)=ROW()-3,1,0))</f>
        <v>0</v>
      </c>
      <c r="C535">
        <f>N(C534)+B535</f>
        <v>22</v>
      </c>
      <c r="K535">
        <f>IF(OR($K$1="",对接源_01水果!$C535="",对接源_01水果!$C535&lt;&gt;$K$1,对接源_01水果!$B535=""),0,IF(OR(N(对接源_01水果!$B535)&lt;$K$2,N(对接源_01水果!$B535)&gt;$K$3),0,1))</f>
        <v>0</v>
      </c>
      <c r="L535">
        <f>IF(OR($L$1="",对接源_01水果!$C535="",对接源_01水果!$C535&lt;&gt;$L$1,对接源_01水果!$B535=""),0,IF(OR(N(对接源_01水果!$B535)&lt;$L$2,N(对接源_01水果!$B535)&gt;$L$3),0,1))</f>
        <v>0</v>
      </c>
      <c r="M535">
        <f>IF(OR($M$1="",对接源_01水果!$C535="",对接源_01水果!$C535&lt;&gt;$M$1,对接源_01水果!$B535=""),0,IF(OR(N(对接源_01水果!$B535)&lt;$M$2,N(对接源_01水果!$B535)&gt;$M$3),0,1))</f>
        <v>0</v>
      </c>
      <c r="N535">
        <f>IF(OR($N$1="",对接源_01水果!$C535="",对接源_01水果!$C535&lt;&gt;$N$1,对接源_01水果!$B535=""),0,IF(OR(N(对接源_01水果!$B535)&lt;$N$2,N(对接源_01水果!$B535)&gt;$N$3),0,1))</f>
        <v>0</v>
      </c>
      <c r="P535">
        <f>IF(AND($K535=1,AND(对接源_01水果!$X535="公司筐",N(对接源_01水果!$T535)&lt;&gt;0)),1,0)</f>
        <v>0</v>
      </c>
      <c r="Q535">
        <f>N(Q534)+$P535</f>
        <v>0</v>
      </c>
      <c r="R535">
        <f>IF(AND($K535=1,AND(对接源_01水果!$X535="公司筐",N(对接源_01水果!$U535)&lt;&gt;0)),1,0)</f>
        <v>0</v>
      </c>
      <c r="S535">
        <f>N(S534)+$R535</f>
        <v>0</v>
      </c>
      <c r="T535">
        <f>IF(AND($K535=1,AND(对接源_01水果!$X535="公司筐",N(对接源_01水果!$V535)&lt;&gt;0)),1,0)</f>
        <v>0</v>
      </c>
      <c r="U535">
        <f>N(U534)+$T535</f>
        <v>47</v>
      </c>
      <c r="V535">
        <f>IF(AND($L535=1,AND(对接源_01水果!$X535="自备筐",N(对接源_01水果!$V535)&lt;&gt;0)),1,0)</f>
        <v>0</v>
      </c>
      <c r="W535">
        <f>N(W534)+$V535</f>
        <v>11</v>
      </c>
      <c r="X535">
        <f>IF(AND($L535=1,AND(对接源_01水果!$X535="自备筐",N(对接源_01水果!$T535)&lt;&gt;0)),1,0)</f>
        <v>0</v>
      </c>
      <c r="Y535">
        <f>N(Y534)+$X535</f>
        <v>0</v>
      </c>
      <c r="Z535">
        <f>IF(AND($M535=1,对接源_01水果!$D535="原料入库"),1,0)</f>
        <v>0</v>
      </c>
      <c r="AA535">
        <f>N(AA534)+$Z535</f>
        <v>24</v>
      </c>
      <c r="AB535">
        <f>IF(AND($M535=1,LEFT(对接源_01水果!$D535,4)="原料出库"),1,0)</f>
        <v>0</v>
      </c>
      <c r="AC535">
        <f>N(AC534)+$AB535</f>
        <v>0</v>
      </c>
      <c r="AD535">
        <f>IF(AND($M535=1,LEFT(对接源_01水果!$D535,4)="成品出库"),1,0)</f>
        <v>0</v>
      </c>
      <c r="AE535">
        <f>N(AE534)+$AD535</f>
        <v>0</v>
      </c>
      <c r="AF535">
        <f>IF(AND($N535=1,AND(LEFT(对接源_01水果!$D535,4)="包装物料",N(对接源_01水果!$K535)&lt;&gt;0)),1,0)</f>
        <v>0</v>
      </c>
      <c r="AG535">
        <f>N(AG534)+$AF535</f>
        <v>0</v>
      </c>
      <c r="AH535">
        <f>IF(AND($N535=1,AND(对接源_01水果!$D535="周转筐－销售出库",N(对接源_01水果!$K535)&lt;&gt;0)),1,0)</f>
        <v>0</v>
      </c>
      <c r="AI535">
        <f>N(AI534)+$AH535</f>
        <v>0</v>
      </c>
      <c r="AJ535" s="7" t="n"/>
      <c r="AL535">
        <f>IF(OR($AL$1="",对接源_01水果!$Y535="",对接源_01水果!$Y535&lt;&gt;$AL$1,对接源_01水果!$B535="",N(对接源_01水果!$AJ535)&lt;=0),0,IF(OR(N(对接源_01水果!$B535)&lt;$AL$2,N(对接源_01水果!$B535)&gt;$AL$3),0,1))</f>
        <v>0</v>
      </c>
      <c r="AM535">
        <f>N(AM534)+$AL535</f>
        <v>0</v>
      </c>
      <c r="AN535">
        <f>IF(对接源_01水果!$AC535="","",对接源_01水果!$AC535)</f>
      </c>
      <c r="AO535">
        <f>IF(AN535="",0,IF(MATCH(AN535,$AN$4:$AN$1203,0)=ROW()-3,1,0))</f>
        <v>0</v>
      </c>
      <c r="AP535">
        <f>N(AP534)+$AO535</f>
        <v>0</v>
      </c>
      <c r="AR535">
        <f>IF(OR($AF535=1,$AH535=1),1,0)</f>
        <v>0</v>
      </c>
      <c r="AS535">
        <f>N(AS534)+$AR535</f>
        <v>0</v>
      </c>
    </row>
    <row r="536" ht="14.25" customHeight="1" s="127">
      <c r="A536" t="str">
        <f>IF(对接源_01水果!$C536="","",对接源_01水果!$C536)</f>
        <v>王照雪</v>
      </c>
      <c r="B536">
        <f>IF(A536="",0,IF(MATCH(A536,$A$4:$A$2403,0)=ROW()-3,1,0))</f>
        <v>0</v>
      </c>
      <c r="C536">
        <f>N(C535)+B536</f>
        <v>22</v>
      </c>
      <c r="K536">
        <f>IF(OR($K$1="",对接源_01水果!$C536="",对接源_01水果!$C536&lt;&gt;$K$1,对接源_01水果!$B536=""),0,IF(OR(N(对接源_01水果!$B536)&lt;$K$2,N(对接源_01水果!$B536)&gt;$K$3),0,1))</f>
        <v>0</v>
      </c>
      <c r="L536">
        <f>IF(OR($L$1="",对接源_01水果!$C536="",对接源_01水果!$C536&lt;&gt;$L$1,对接源_01水果!$B536=""),0,IF(OR(N(对接源_01水果!$B536)&lt;$L$2,N(对接源_01水果!$B536)&gt;$L$3),0,1))</f>
        <v>0</v>
      </c>
      <c r="M536">
        <f>IF(OR($M$1="",对接源_01水果!$C536="",对接源_01水果!$C536&lt;&gt;$M$1,对接源_01水果!$B536=""),0,IF(OR(N(对接源_01水果!$B536)&lt;$M$2,N(对接源_01水果!$B536)&gt;$M$3),0,1))</f>
        <v>0</v>
      </c>
      <c r="N536">
        <f>IF(OR($N$1="",对接源_01水果!$C536="",对接源_01水果!$C536&lt;&gt;$N$1,对接源_01水果!$B536=""),0,IF(OR(N(对接源_01水果!$B536)&lt;$N$2,N(对接源_01水果!$B536)&gt;$N$3),0,1))</f>
        <v>0</v>
      </c>
      <c r="P536">
        <f>IF(AND($K536=1,AND(对接源_01水果!$X536="公司筐",N(对接源_01水果!$T536)&lt;&gt;0)),1,0)</f>
        <v>0</v>
      </c>
      <c r="Q536">
        <f>N(Q535)+$P536</f>
        <v>0</v>
      </c>
      <c r="R536">
        <f>IF(AND($K536=1,AND(对接源_01水果!$X536="公司筐",N(对接源_01水果!$U536)&lt;&gt;0)),1,0)</f>
        <v>0</v>
      </c>
      <c r="S536">
        <f>N(S535)+$R536</f>
        <v>0</v>
      </c>
      <c r="T536">
        <f>IF(AND($K536=1,AND(对接源_01水果!$X536="公司筐",N(对接源_01水果!$V536)&lt;&gt;0)),1,0)</f>
        <v>0</v>
      </c>
      <c r="U536">
        <f>N(U535)+$T536</f>
        <v>47</v>
      </c>
      <c r="V536">
        <f>IF(AND($L536=1,AND(对接源_01水果!$X536="自备筐",N(对接源_01水果!$V536)&lt;&gt;0)),1,0)</f>
        <v>0</v>
      </c>
      <c r="W536">
        <f>N(W535)+$V536</f>
        <v>11</v>
      </c>
      <c r="X536">
        <f>IF(AND($L536=1,AND(对接源_01水果!$X536="自备筐",N(对接源_01水果!$T536)&lt;&gt;0)),1,0)</f>
        <v>0</v>
      </c>
      <c r="Y536">
        <f>N(Y535)+$X536</f>
        <v>0</v>
      </c>
      <c r="Z536">
        <f>IF(AND($M536=1,对接源_01水果!$D536="原料入库"),1,0)</f>
        <v>0</v>
      </c>
      <c r="AA536">
        <f>N(AA535)+$Z536</f>
        <v>24</v>
      </c>
      <c r="AB536">
        <f>IF(AND($M536=1,LEFT(对接源_01水果!$D536,4)="原料出库"),1,0)</f>
        <v>0</v>
      </c>
      <c r="AC536">
        <f>N(AC535)+$AB536</f>
        <v>0</v>
      </c>
      <c r="AD536">
        <f>IF(AND($M536=1,LEFT(对接源_01水果!$D536,4)="成品出库"),1,0)</f>
        <v>0</v>
      </c>
      <c r="AE536">
        <f>N(AE535)+$AD536</f>
        <v>0</v>
      </c>
      <c r="AF536">
        <f>IF(AND($N536=1,AND(LEFT(对接源_01水果!$D536,4)="包装物料",N(对接源_01水果!$K536)&lt;&gt;0)),1,0)</f>
        <v>0</v>
      </c>
      <c r="AG536">
        <f>N(AG535)+$AF536</f>
        <v>0</v>
      </c>
      <c r="AH536">
        <f>IF(AND($N536=1,AND(对接源_01水果!$D536="周转筐－销售出库",N(对接源_01水果!$K536)&lt;&gt;0)),1,0)</f>
        <v>0</v>
      </c>
      <c r="AI536">
        <f>N(AI535)+$AH536</f>
        <v>0</v>
      </c>
      <c r="AJ536" s="7" t="n"/>
      <c r="AL536">
        <f>IF(OR($AL$1="",对接源_01水果!$Y536="",对接源_01水果!$Y536&lt;&gt;$AL$1,对接源_01水果!$B536="",N(对接源_01水果!$AJ536)&lt;=0),0,IF(OR(N(对接源_01水果!$B536)&lt;$AL$2,N(对接源_01水果!$B536)&gt;$AL$3),0,1))</f>
        <v>0</v>
      </c>
      <c r="AM536">
        <f>N(AM535)+$AL536</f>
        <v>0</v>
      </c>
      <c r="AN536">
        <f>IF(对接源_01水果!$AC536="","",对接源_01水果!$AC536)</f>
      </c>
      <c r="AO536">
        <f>IF(AN536="",0,IF(MATCH(AN536,$AN$4:$AN$1203,0)=ROW()-3,1,0))</f>
        <v>0</v>
      </c>
      <c r="AP536">
        <f>N(AP535)+$AO536</f>
        <v>0</v>
      </c>
      <c r="AR536">
        <f>IF(OR($AF536=1,$AH536=1),1,0)</f>
        <v>0</v>
      </c>
      <c r="AS536">
        <f>N(AS535)+$AR536</f>
        <v>0</v>
      </c>
    </row>
    <row r="537" ht="14.25" customHeight="1" s="127">
      <c r="A537" t="str">
        <f>IF(对接源_01水果!$C537="","",对接源_01水果!$C537)</f>
        <v>麦麦提</v>
      </c>
      <c r="B537">
        <f>IF(A537="",0,IF(MATCH(A537,$A$4:$A$2403,0)=ROW()-3,1,0))</f>
        <v>0</v>
      </c>
      <c r="C537">
        <f>N(C536)+B537</f>
        <v>22</v>
      </c>
      <c r="K537">
        <f>IF(OR($K$1="",对接源_01水果!$C537="",对接源_01水果!$C537&lt;&gt;$K$1,对接源_01水果!$B537=""),0,IF(OR(N(对接源_01水果!$B537)&lt;$K$2,N(对接源_01水果!$B537)&gt;$K$3),0,1))</f>
        <v>0</v>
      </c>
      <c r="L537">
        <f>IF(OR($L$1="",对接源_01水果!$C537="",对接源_01水果!$C537&lt;&gt;$L$1,对接源_01水果!$B537=""),0,IF(OR(N(对接源_01水果!$B537)&lt;$L$2,N(对接源_01水果!$B537)&gt;$L$3),0,1))</f>
        <v>0</v>
      </c>
      <c r="M537">
        <f>IF(OR($M$1="",对接源_01水果!$C537="",对接源_01水果!$C537&lt;&gt;$M$1,对接源_01水果!$B537=""),0,IF(OR(N(对接源_01水果!$B537)&lt;$M$2,N(对接源_01水果!$B537)&gt;$M$3),0,1))</f>
        <v>0</v>
      </c>
      <c r="N537">
        <f>IF(OR($N$1="",对接源_01水果!$C537="",对接源_01水果!$C537&lt;&gt;$N$1,对接源_01水果!$B537=""),0,IF(OR(N(对接源_01水果!$B537)&lt;$N$2,N(对接源_01水果!$B537)&gt;$N$3),0,1))</f>
        <v>1</v>
      </c>
      <c r="P537">
        <f>IF(AND($K537=1,AND(对接源_01水果!$X537="公司筐",N(对接源_01水果!$T537)&lt;&gt;0)),1,0)</f>
        <v>0</v>
      </c>
      <c r="Q537">
        <f>N(Q536)+$P537</f>
        <v>0</v>
      </c>
      <c r="R537">
        <f>IF(AND($K537=1,AND(对接源_01水果!$X537="公司筐",N(对接源_01水果!$U537)&lt;&gt;0)),1,0)</f>
        <v>0</v>
      </c>
      <c r="S537">
        <f>N(S536)+$R537</f>
        <v>0</v>
      </c>
      <c r="T537">
        <f>IF(AND($K537=1,AND(对接源_01水果!$X537="公司筐",N(对接源_01水果!$V537)&lt;&gt;0)),1,0)</f>
        <v>0</v>
      </c>
      <c r="U537">
        <f>N(U536)+$T537</f>
        <v>47</v>
      </c>
      <c r="V537">
        <f>IF(AND($L537=1,AND(对接源_01水果!$X537="自备筐",N(对接源_01水果!$V537)&lt;&gt;0)),1,0)</f>
        <v>0</v>
      </c>
      <c r="W537">
        <f>N(W536)+$V537</f>
        <v>11</v>
      </c>
      <c r="X537">
        <f>IF(AND($L537=1,AND(对接源_01水果!$X537="自备筐",N(对接源_01水果!$T537)&lt;&gt;0)),1,0)</f>
        <v>0</v>
      </c>
      <c r="Y537">
        <f>N(Y536)+$X537</f>
        <v>0</v>
      </c>
      <c r="Z537">
        <f>IF(AND($M537=1,对接源_01水果!$D537="原料入库"),1,0)</f>
        <v>0</v>
      </c>
      <c r="AA537">
        <f>N(AA536)+$Z537</f>
        <v>24</v>
      </c>
      <c r="AB537">
        <f>IF(AND($M537=1,LEFT(对接源_01水果!$D537,4)="原料出库"),1,0)</f>
        <v>0</v>
      </c>
      <c r="AC537">
        <f>N(AC536)+$AB537</f>
        <v>0</v>
      </c>
      <c r="AD537">
        <f>IF(AND($M537=1,LEFT(对接源_01水果!$D537,4)="成品出库"),1,0)</f>
        <v>0</v>
      </c>
      <c r="AE537">
        <f>N(AE536)+$AD537</f>
        <v>0</v>
      </c>
      <c r="AF537">
        <f>IF(AND($N537=1,AND(LEFT(对接源_01水果!$D537,4)="包装物料",N(对接源_01水果!$K537)&lt;&gt;0)),1,0)</f>
        <v>0</v>
      </c>
      <c r="AG537">
        <f>N(AG536)+$AF537</f>
        <v>0</v>
      </c>
      <c r="AH537">
        <f>IF(AND($N537=1,AND(对接源_01水果!$D537="周转筐－销售出库",N(对接源_01水果!$K537)&lt;&gt;0)),1,0)</f>
        <v>0</v>
      </c>
      <c r="AI537">
        <f>N(AI536)+$AH537</f>
        <v>0</v>
      </c>
      <c r="AJ537" s="7" t="n"/>
      <c r="AL537">
        <f>IF(OR($AL$1="",对接源_01水果!$Y537="",对接源_01水果!$Y537&lt;&gt;$AL$1,对接源_01水果!$B537="",N(对接源_01水果!$AJ537)&lt;=0),0,IF(OR(N(对接源_01水果!$B537)&lt;$AL$2,N(对接源_01水果!$B537)&gt;$AL$3),0,1))</f>
        <v>0</v>
      </c>
      <c r="AM537">
        <f>N(AM536)+$AL537</f>
        <v>0</v>
      </c>
      <c r="AN537">
        <f>IF(对接源_01水果!$AC537="","",对接源_01水果!$AC537)</f>
      </c>
      <c r="AO537">
        <f>IF(AN537="",0,IF(MATCH(AN537,$AN$4:$AN$1203,0)=ROW()-3,1,0))</f>
        <v>0</v>
      </c>
      <c r="AP537">
        <f>N(AP536)+$AO537</f>
        <v>0</v>
      </c>
      <c r="AR537">
        <f>IF(OR($AF537=1,$AH537=1),1,0)</f>
        <v>0</v>
      </c>
      <c r="AS537">
        <f>N(AS536)+$AR537</f>
        <v>0</v>
      </c>
    </row>
    <row r="538" ht="14.25" customHeight="1" s="127">
      <c r="A538" t="str">
        <f>IF(对接源_01水果!$C538="","",对接源_01水果!$C538)</f>
        <v>王灵云</v>
      </c>
      <c r="B538">
        <f>IF(A538="",0,IF(MATCH(A538,$A$4:$A$2403,0)=ROW()-3,1,0))</f>
        <v>0</v>
      </c>
      <c r="C538">
        <f>N(C537)+B538</f>
        <v>22</v>
      </c>
      <c r="K538">
        <f>IF(OR($K$1="",对接源_01水果!$C538="",对接源_01水果!$C538&lt;&gt;$K$1,对接源_01水果!$B538=""),0,IF(OR(N(对接源_01水果!$B538)&lt;$K$2,N(对接源_01水果!$B538)&gt;$K$3),0,1))</f>
        <v>1</v>
      </c>
      <c r="L538">
        <f>IF(OR($L$1="",对接源_01水果!$C538="",对接源_01水果!$C538&lt;&gt;$L$1,对接源_01水果!$B538=""),0,IF(OR(N(对接源_01水果!$B538)&lt;$L$2,N(对接源_01水果!$B538)&gt;$L$3),0,1))</f>
        <v>0</v>
      </c>
      <c r="M538">
        <f>IF(OR($M$1="",对接源_01水果!$C538="",对接源_01水果!$C538&lt;&gt;$M$1,对接源_01水果!$B538=""),0,IF(OR(N(对接源_01水果!$B538)&lt;$M$2,N(对接源_01水果!$B538)&gt;$M$3),0,1))</f>
        <v>0</v>
      </c>
      <c r="N538">
        <f>IF(OR($N$1="",对接源_01水果!$C538="",对接源_01水果!$C538&lt;&gt;$N$1,对接源_01水果!$B538=""),0,IF(OR(N(对接源_01水果!$B538)&lt;$N$2,N(对接源_01水果!$B538)&gt;$N$3),0,1))</f>
        <v>0</v>
      </c>
      <c r="P538">
        <f>IF(AND($K538=1,AND(对接源_01水果!$X538="公司筐",N(对接源_01水果!$T538)&lt;&gt;0)),1,0)</f>
        <v>0</v>
      </c>
      <c r="Q538">
        <f>N(Q537)+$P538</f>
        <v>0</v>
      </c>
      <c r="R538">
        <f>IF(AND($K538=1,AND(对接源_01水果!$X538="公司筐",N(对接源_01水果!$U538)&lt;&gt;0)),1,0)</f>
        <v>0</v>
      </c>
      <c r="S538">
        <f>N(S537)+$R538</f>
        <v>0</v>
      </c>
      <c r="T538">
        <f>IF(AND($K538=1,AND(对接源_01水果!$X538="公司筐",N(对接源_01水果!$V538)&lt;&gt;0)),1,0)</f>
        <v>0</v>
      </c>
      <c r="U538">
        <f>N(U537)+$T538</f>
        <v>47</v>
      </c>
      <c r="V538">
        <f>IF(AND($L538=1,AND(对接源_01水果!$X538="自备筐",N(对接源_01水果!$V538)&lt;&gt;0)),1,0)</f>
        <v>0</v>
      </c>
      <c r="W538">
        <f>N(W537)+$V538</f>
        <v>11</v>
      </c>
      <c r="X538">
        <f>IF(AND($L538=1,AND(对接源_01水果!$X538="自备筐",N(对接源_01水果!$T538)&lt;&gt;0)),1,0)</f>
        <v>0</v>
      </c>
      <c r="Y538">
        <f>N(Y537)+$X538</f>
        <v>0</v>
      </c>
      <c r="Z538">
        <f>IF(AND($M538=1,对接源_01水果!$D538="原料入库"),1,0)</f>
        <v>0</v>
      </c>
      <c r="AA538">
        <f>N(AA537)+$Z538</f>
        <v>24</v>
      </c>
      <c r="AB538">
        <f>IF(AND($M538=1,LEFT(对接源_01水果!$D538,4)="原料出库"),1,0)</f>
        <v>0</v>
      </c>
      <c r="AC538">
        <f>N(AC537)+$AB538</f>
        <v>0</v>
      </c>
      <c r="AD538">
        <f>IF(AND($M538=1,LEFT(对接源_01水果!$D538,4)="成品出库"),1,0)</f>
        <v>0</v>
      </c>
      <c r="AE538">
        <f>N(AE537)+$AD538</f>
        <v>0</v>
      </c>
      <c r="AF538">
        <f>IF(AND($N538=1,AND(LEFT(对接源_01水果!$D538,4)="包装物料",N(对接源_01水果!$K538)&lt;&gt;0)),1,0)</f>
        <v>0</v>
      </c>
      <c r="AG538">
        <f>N(AG537)+$AF538</f>
        <v>0</v>
      </c>
      <c r="AH538">
        <f>IF(AND($N538=1,AND(对接源_01水果!$D538="周转筐－销售出库",N(对接源_01水果!$K538)&lt;&gt;0)),1,0)</f>
        <v>0</v>
      </c>
      <c r="AI538">
        <f>N(AI537)+$AH538</f>
        <v>0</v>
      </c>
      <c r="AJ538" s="7" t="n"/>
      <c r="AL538">
        <f>IF(OR($AL$1="",对接源_01水果!$Y538="",对接源_01水果!$Y538&lt;&gt;$AL$1,对接源_01水果!$B538="",N(对接源_01水果!$AJ538)&lt;=0),0,IF(OR(N(对接源_01水果!$B538)&lt;$AL$2,N(对接源_01水果!$B538)&gt;$AL$3),0,1))</f>
        <v>0</v>
      </c>
      <c r="AM538">
        <f>N(AM537)+$AL538</f>
        <v>0</v>
      </c>
      <c r="AN538">
        <f>IF(对接源_01水果!$AC538="","",对接源_01水果!$AC538)</f>
      </c>
      <c r="AO538">
        <f>IF(AN538="",0,IF(MATCH(AN538,$AN$4:$AN$1203,0)=ROW()-3,1,0))</f>
        <v>0</v>
      </c>
      <c r="AP538">
        <f>N(AP537)+$AO538</f>
        <v>0</v>
      </c>
      <c r="AR538">
        <f>IF(OR($AF538=1,$AH538=1),1,0)</f>
        <v>0</v>
      </c>
      <c r="AS538">
        <f>N(AS537)+$AR538</f>
        <v>0</v>
      </c>
    </row>
    <row r="539" ht="14.25" customHeight="1" s="127">
      <c r="A539" t="str">
        <f>IF(对接源_01水果!$C539="","",对接源_01水果!$C539)</f>
        <v>王灵云</v>
      </c>
      <c r="B539">
        <f>IF(A539="",0,IF(MATCH(A539,$A$4:$A$2403,0)=ROW()-3,1,0))</f>
        <v>0</v>
      </c>
      <c r="C539">
        <f>N(C538)+B539</f>
        <v>22</v>
      </c>
      <c r="K539">
        <f>IF(OR($K$1="",对接源_01水果!$C539="",对接源_01水果!$C539&lt;&gt;$K$1,对接源_01水果!$B539=""),0,IF(OR(N(对接源_01水果!$B539)&lt;$K$2,N(对接源_01水果!$B539)&gt;$K$3),0,1))</f>
        <v>1</v>
      </c>
      <c r="L539">
        <f>IF(OR($L$1="",对接源_01水果!$C539="",对接源_01水果!$C539&lt;&gt;$L$1,对接源_01水果!$B539=""),0,IF(OR(N(对接源_01水果!$B539)&lt;$L$2,N(对接源_01水果!$B539)&gt;$L$3),0,1))</f>
        <v>0</v>
      </c>
      <c r="M539">
        <f>IF(OR($M$1="",对接源_01水果!$C539="",对接源_01水果!$C539&lt;&gt;$M$1,对接源_01水果!$B539=""),0,IF(OR(N(对接源_01水果!$B539)&lt;$M$2,N(对接源_01水果!$B539)&gt;$M$3),0,1))</f>
        <v>0</v>
      </c>
      <c r="N539">
        <f>IF(OR($N$1="",对接源_01水果!$C539="",对接源_01水果!$C539&lt;&gt;$N$1,对接源_01水果!$B539=""),0,IF(OR(N(对接源_01水果!$B539)&lt;$N$2,N(对接源_01水果!$B539)&gt;$N$3),0,1))</f>
        <v>0</v>
      </c>
      <c r="P539">
        <f>IF(AND($K539=1,AND(对接源_01水果!$X539="公司筐",N(对接源_01水果!$T539)&lt;&gt;0)),1,0)</f>
        <v>0</v>
      </c>
      <c r="Q539">
        <f>N(Q538)+$P539</f>
        <v>0</v>
      </c>
      <c r="R539">
        <f>IF(AND($K539=1,AND(对接源_01水果!$X539="公司筐",N(对接源_01水果!$U539)&lt;&gt;0)),1,0)</f>
        <v>0</v>
      </c>
      <c r="S539">
        <f>N(S538)+$R539</f>
        <v>0</v>
      </c>
      <c r="T539">
        <f>IF(AND($K539=1,AND(对接源_01水果!$X539="公司筐",N(对接源_01水果!$V539)&lt;&gt;0)),1,0)</f>
        <v>0</v>
      </c>
      <c r="U539">
        <f>N(U538)+$T539</f>
        <v>47</v>
      </c>
      <c r="V539">
        <f>IF(AND($L539=1,AND(对接源_01水果!$X539="自备筐",N(对接源_01水果!$V539)&lt;&gt;0)),1,0)</f>
        <v>0</v>
      </c>
      <c r="W539">
        <f>N(W538)+$V539</f>
        <v>11</v>
      </c>
      <c r="X539">
        <f>IF(AND($L539=1,AND(对接源_01水果!$X539="自备筐",N(对接源_01水果!$T539)&lt;&gt;0)),1,0)</f>
        <v>0</v>
      </c>
      <c r="Y539">
        <f>N(Y538)+$X539</f>
        <v>0</v>
      </c>
      <c r="Z539">
        <f>IF(AND($M539=1,对接源_01水果!$D539="原料入库"),1,0)</f>
        <v>0</v>
      </c>
      <c r="AA539">
        <f>N(AA538)+$Z539</f>
        <v>24</v>
      </c>
      <c r="AB539">
        <f>IF(AND($M539=1,LEFT(对接源_01水果!$D539,4)="原料出库"),1,0)</f>
        <v>0</v>
      </c>
      <c r="AC539">
        <f>N(AC538)+$AB539</f>
        <v>0</v>
      </c>
      <c r="AD539">
        <f>IF(AND($M539=1,LEFT(对接源_01水果!$D539,4)="成品出库"),1,0)</f>
        <v>0</v>
      </c>
      <c r="AE539">
        <f>N(AE538)+$AD539</f>
        <v>0</v>
      </c>
      <c r="AF539">
        <f>IF(AND($N539=1,AND(LEFT(对接源_01水果!$D539,4)="包装物料",N(对接源_01水果!$K539)&lt;&gt;0)),1,0)</f>
        <v>0</v>
      </c>
      <c r="AG539">
        <f>N(AG538)+$AF539</f>
        <v>0</v>
      </c>
      <c r="AH539">
        <f>IF(AND($N539=1,AND(对接源_01水果!$D539="周转筐－销售出库",N(对接源_01水果!$K539)&lt;&gt;0)),1,0)</f>
        <v>0</v>
      </c>
      <c r="AI539">
        <f>N(AI538)+$AH539</f>
        <v>0</v>
      </c>
      <c r="AJ539" s="7" t="n"/>
      <c r="AL539">
        <f>IF(OR($AL$1="",对接源_01水果!$Y539="",对接源_01水果!$Y539&lt;&gt;$AL$1,对接源_01水果!$B539="",N(对接源_01水果!$AJ539)&lt;=0),0,IF(OR(N(对接源_01水果!$B539)&lt;$AL$2,N(对接源_01水果!$B539)&gt;$AL$3),0,1))</f>
        <v>0</v>
      </c>
      <c r="AM539">
        <f>N(AM538)+$AL539</f>
        <v>0</v>
      </c>
      <c r="AN539">
        <f>IF(对接源_01水果!$AC539="","",对接源_01水果!$AC539)</f>
      </c>
      <c r="AO539">
        <f>IF(AN539="",0,IF(MATCH(AN539,$AN$4:$AN$1203,0)=ROW()-3,1,0))</f>
        <v>0</v>
      </c>
      <c r="AP539">
        <f>N(AP538)+$AO539</f>
        <v>0</v>
      </c>
      <c r="AR539">
        <f>IF(OR($AF539=1,$AH539=1),1,0)</f>
        <v>0</v>
      </c>
      <c r="AS539">
        <f>N(AS538)+$AR539</f>
        <v>0</v>
      </c>
    </row>
    <row r="540" ht="14.25" customHeight="1" s="127">
      <c r="A540" t="str">
        <f>IF(对接源_01水果!$C540="","",对接源_01水果!$C540)</f>
        <v>王灵云</v>
      </c>
      <c r="B540">
        <f>IF(A540="",0,IF(MATCH(A540,$A$4:$A$2403,0)=ROW()-3,1,0))</f>
        <v>0</v>
      </c>
      <c r="C540">
        <f>N(C539)+B540</f>
        <v>22</v>
      </c>
      <c r="K540">
        <f>IF(OR($K$1="",对接源_01水果!$C540="",对接源_01水果!$C540&lt;&gt;$K$1,对接源_01水果!$B540=""),0,IF(OR(N(对接源_01水果!$B540)&lt;$K$2,N(对接源_01水果!$B540)&gt;$K$3),0,1))</f>
        <v>1</v>
      </c>
      <c r="L540">
        <f>IF(OR($L$1="",对接源_01水果!$C540="",对接源_01水果!$C540&lt;&gt;$L$1,对接源_01水果!$B540=""),0,IF(OR(N(对接源_01水果!$B540)&lt;$L$2,N(对接源_01水果!$B540)&gt;$L$3),0,1))</f>
        <v>0</v>
      </c>
      <c r="M540">
        <f>IF(OR($M$1="",对接源_01水果!$C540="",对接源_01水果!$C540&lt;&gt;$M$1,对接源_01水果!$B540=""),0,IF(OR(N(对接源_01水果!$B540)&lt;$M$2,N(对接源_01水果!$B540)&gt;$M$3),0,1))</f>
        <v>0</v>
      </c>
      <c r="N540">
        <f>IF(OR($N$1="",对接源_01水果!$C540="",对接源_01水果!$C540&lt;&gt;$N$1,对接源_01水果!$B540=""),0,IF(OR(N(对接源_01水果!$B540)&lt;$N$2,N(对接源_01水果!$B540)&gt;$N$3),0,1))</f>
        <v>0</v>
      </c>
      <c r="P540">
        <f>IF(AND($K540=1,AND(对接源_01水果!$X540="公司筐",N(对接源_01水果!$T540)&lt;&gt;0)),1,0)</f>
        <v>0</v>
      </c>
      <c r="Q540">
        <f>N(Q539)+$P540</f>
        <v>0</v>
      </c>
      <c r="R540">
        <f>IF(AND($K540=1,AND(对接源_01水果!$X540="公司筐",N(对接源_01水果!$U540)&lt;&gt;0)),1,0)</f>
        <v>0</v>
      </c>
      <c r="S540">
        <f>N(S539)+$R540</f>
        <v>0</v>
      </c>
      <c r="T540">
        <f>IF(AND($K540=1,AND(对接源_01水果!$X540="公司筐",N(对接源_01水果!$V540)&lt;&gt;0)),1,0)</f>
        <v>0</v>
      </c>
      <c r="U540">
        <f>N(U539)+$T540</f>
        <v>47</v>
      </c>
      <c r="V540">
        <f>IF(AND($L540=1,AND(对接源_01水果!$X540="自备筐",N(对接源_01水果!$V540)&lt;&gt;0)),1,0)</f>
        <v>0</v>
      </c>
      <c r="W540">
        <f>N(W539)+$V540</f>
        <v>11</v>
      </c>
      <c r="X540">
        <f>IF(AND($L540=1,AND(对接源_01水果!$X540="自备筐",N(对接源_01水果!$T540)&lt;&gt;0)),1,0)</f>
        <v>0</v>
      </c>
      <c r="Y540">
        <f>N(Y539)+$X540</f>
        <v>0</v>
      </c>
      <c r="Z540">
        <f>IF(AND($M540=1,对接源_01水果!$D540="原料入库"),1,0)</f>
        <v>0</v>
      </c>
      <c r="AA540">
        <f>N(AA539)+$Z540</f>
        <v>24</v>
      </c>
      <c r="AB540">
        <f>IF(AND($M540=1,LEFT(对接源_01水果!$D540,4)="原料出库"),1,0)</f>
        <v>0</v>
      </c>
      <c r="AC540">
        <f>N(AC539)+$AB540</f>
        <v>0</v>
      </c>
      <c r="AD540">
        <f>IF(AND($M540=1,LEFT(对接源_01水果!$D540,4)="成品出库"),1,0)</f>
        <v>0</v>
      </c>
      <c r="AE540">
        <f>N(AE539)+$AD540</f>
        <v>0</v>
      </c>
      <c r="AF540">
        <f>IF(AND($N540=1,AND(LEFT(对接源_01水果!$D540,4)="包装物料",N(对接源_01水果!$K540)&lt;&gt;0)),1,0)</f>
        <v>0</v>
      </c>
      <c r="AG540">
        <f>N(AG539)+$AF540</f>
        <v>0</v>
      </c>
      <c r="AH540">
        <f>IF(AND($N540=1,AND(对接源_01水果!$D540="周转筐－销售出库",N(对接源_01水果!$K540)&lt;&gt;0)),1,0)</f>
        <v>0</v>
      </c>
      <c r="AI540">
        <f>N(AI539)+$AH540</f>
        <v>0</v>
      </c>
      <c r="AJ540" s="7" t="n"/>
      <c r="AL540">
        <f>IF(OR($AL$1="",对接源_01水果!$Y540="",对接源_01水果!$Y540&lt;&gt;$AL$1,对接源_01水果!$B540="",N(对接源_01水果!$AJ540)&lt;=0),0,IF(OR(N(对接源_01水果!$B540)&lt;$AL$2,N(对接源_01水果!$B540)&gt;$AL$3),0,1))</f>
        <v>0</v>
      </c>
      <c r="AM540">
        <f>N(AM539)+$AL540</f>
        <v>0</v>
      </c>
      <c r="AN540">
        <f>IF(对接源_01水果!$AC540="","",对接源_01水果!$AC540)</f>
      </c>
      <c r="AO540">
        <f>IF(AN540="",0,IF(MATCH(AN540,$AN$4:$AN$1203,0)=ROW()-3,1,0))</f>
        <v>0</v>
      </c>
      <c r="AP540">
        <f>N(AP539)+$AO540</f>
        <v>0</v>
      </c>
      <c r="AR540">
        <f>IF(OR($AF540=1,$AH540=1),1,0)</f>
        <v>0</v>
      </c>
      <c r="AS540">
        <f>N(AS539)+$AR540</f>
        <v>0</v>
      </c>
    </row>
    <row r="541" ht="14.25" customHeight="1" s="127">
      <c r="A541" t="str">
        <f>IF(对接源_01水果!$C541="","",对接源_01水果!$C541)</f>
        <v>麦麦提</v>
      </c>
      <c r="B541">
        <f>IF(A541="",0,IF(MATCH(A541,$A$4:$A$2403,0)=ROW()-3,1,0))</f>
        <v>0</v>
      </c>
      <c r="C541">
        <f>N(C540)+B541</f>
        <v>22</v>
      </c>
      <c r="K541">
        <f>IF(OR($K$1="",对接源_01水果!$C541="",对接源_01水果!$C541&lt;&gt;$K$1,对接源_01水果!$B541=""),0,IF(OR(N(对接源_01水果!$B541)&lt;$K$2,N(对接源_01水果!$B541)&gt;$K$3),0,1))</f>
        <v>0</v>
      </c>
      <c r="L541">
        <f>IF(OR($L$1="",对接源_01水果!$C541="",对接源_01水果!$C541&lt;&gt;$L$1,对接源_01水果!$B541=""),0,IF(OR(N(对接源_01水果!$B541)&lt;$L$2,N(对接源_01水果!$B541)&gt;$L$3),0,1))</f>
        <v>0</v>
      </c>
      <c r="M541">
        <f>IF(OR($M$1="",对接源_01水果!$C541="",对接源_01水果!$C541&lt;&gt;$M$1,对接源_01水果!$B541=""),0,IF(OR(N(对接源_01水果!$B541)&lt;$M$2,N(对接源_01水果!$B541)&gt;$M$3),0,1))</f>
        <v>0</v>
      </c>
      <c r="N541">
        <f>IF(OR($N$1="",对接源_01水果!$C541="",对接源_01水果!$C541&lt;&gt;$N$1,对接源_01水果!$B541=""),0,IF(OR(N(对接源_01水果!$B541)&lt;$N$2,N(对接源_01水果!$B541)&gt;$N$3),0,1))</f>
        <v>1</v>
      </c>
      <c r="P541">
        <f>IF(AND($K541=1,AND(对接源_01水果!$X541="公司筐",N(对接源_01水果!$T541)&lt;&gt;0)),1,0)</f>
        <v>0</v>
      </c>
      <c r="Q541">
        <f>N(Q540)+$P541</f>
        <v>0</v>
      </c>
      <c r="R541">
        <f>IF(AND($K541=1,AND(对接源_01水果!$X541="公司筐",N(对接源_01水果!$U541)&lt;&gt;0)),1,0)</f>
        <v>0</v>
      </c>
      <c r="S541">
        <f>N(S540)+$R541</f>
        <v>0</v>
      </c>
      <c r="T541">
        <f>IF(AND($K541=1,AND(对接源_01水果!$X541="公司筐",N(对接源_01水果!$V541)&lt;&gt;0)),1,0)</f>
        <v>0</v>
      </c>
      <c r="U541">
        <f>N(U540)+$T541</f>
        <v>47</v>
      </c>
      <c r="V541">
        <f>IF(AND($L541=1,AND(对接源_01水果!$X541="自备筐",N(对接源_01水果!$V541)&lt;&gt;0)),1,0)</f>
        <v>0</v>
      </c>
      <c r="W541">
        <f>N(W540)+$V541</f>
        <v>11</v>
      </c>
      <c r="X541">
        <f>IF(AND($L541=1,AND(对接源_01水果!$X541="自备筐",N(对接源_01水果!$T541)&lt;&gt;0)),1,0)</f>
        <v>0</v>
      </c>
      <c r="Y541">
        <f>N(Y540)+$X541</f>
        <v>0</v>
      </c>
      <c r="Z541">
        <f>IF(AND($M541=1,对接源_01水果!$D541="原料入库"),1,0)</f>
        <v>0</v>
      </c>
      <c r="AA541">
        <f>N(AA540)+$Z541</f>
        <v>24</v>
      </c>
      <c r="AB541">
        <f>IF(AND($M541=1,LEFT(对接源_01水果!$D541,4)="原料出库"),1,0)</f>
        <v>0</v>
      </c>
      <c r="AC541">
        <f>N(AC540)+$AB541</f>
        <v>0</v>
      </c>
      <c r="AD541">
        <f>IF(AND($M541=1,LEFT(对接源_01水果!$D541,4)="成品出库"),1,0)</f>
        <v>0</v>
      </c>
      <c r="AE541">
        <f>N(AE540)+$AD541</f>
        <v>0</v>
      </c>
      <c r="AF541">
        <f>IF(AND($N541=1,AND(LEFT(对接源_01水果!$D541,4)="包装物料",N(对接源_01水果!$K541)&lt;&gt;0)),1,0)</f>
        <v>0</v>
      </c>
      <c r="AG541">
        <f>N(AG540)+$AF541</f>
        <v>0</v>
      </c>
      <c r="AH541">
        <f>IF(AND($N541=1,AND(对接源_01水果!$D541="周转筐－销售出库",N(对接源_01水果!$K541)&lt;&gt;0)),1,0)</f>
        <v>0</v>
      </c>
      <c r="AI541">
        <f>N(AI540)+$AH541</f>
        <v>0</v>
      </c>
      <c r="AJ541" s="7" t="n"/>
      <c r="AL541">
        <f>IF(OR($AL$1="",对接源_01水果!$Y541="",对接源_01水果!$Y541&lt;&gt;$AL$1,对接源_01水果!$B541="",N(对接源_01水果!$AJ541)&lt;=0),0,IF(OR(N(对接源_01水果!$B541)&lt;$AL$2,N(对接源_01水果!$B541)&gt;$AL$3),0,1))</f>
        <v>0</v>
      </c>
      <c r="AM541">
        <f>N(AM540)+$AL541</f>
        <v>0</v>
      </c>
      <c r="AN541">
        <f>IF(对接源_01水果!$AC541="","",对接源_01水果!$AC541)</f>
      </c>
      <c r="AO541">
        <f>IF(AN541="",0,IF(MATCH(AN541,$AN$4:$AN$1203,0)=ROW()-3,1,0))</f>
        <v>0</v>
      </c>
      <c r="AP541">
        <f>N(AP540)+$AO541</f>
        <v>0</v>
      </c>
      <c r="AR541">
        <f>IF(OR($AF541=1,$AH541=1),1,0)</f>
        <v>0</v>
      </c>
      <c r="AS541">
        <f>N(AS540)+$AR541</f>
        <v>0</v>
      </c>
    </row>
    <row r="542" ht="14.25" customHeight="1" s="127">
      <c r="A542" t="str">
        <f>IF(对接源_01水果!$C542="","",对接源_01水果!$C542)</f>
        <v>王照雪</v>
      </c>
      <c r="B542">
        <f>IF(A542="",0,IF(MATCH(A542,$A$4:$A$2403,0)=ROW()-3,1,0))</f>
        <v>0</v>
      </c>
      <c r="C542">
        <f>N(C541)+B542</f>
        <v>22</v>
      </c>
      <c r="K542">
        <f>IF(OR($K$1="",对接源_01水果!$C542="",对接源_01水果!$C542&lt;&gt;$K$1,对接源_01水果!$B542=""),0,IF(OR(N(对接源_01水果!$B542)&lt;$K$2,N(对接源_01水果!$B542)&gt;$K$3),0,1))</f>
        <v>0</v>
      </c>
      <c r="L542">
        <f>IF(OR($L$1="",对接源_01水果!$C542="",对接源_01水果!$C542&lt;&gt;$L$1,对接源_01水果!$B542=""),0,IF(OR(N(对接源_01水果!$B542)&lt;$L$2,N(对接源_01水果!$B542)&gt;$L$3),0,1))</f>
        <v>0</v>
      </c>
      <c r="M542">
        <f>IF(OR($M$1="",对接源_01水果!$C542="",对接源_01水果!$C542&lt;&gt;$M$1,对接源_01水果!$B542=""),0,IF(OR(N(对接源_01水果!$B542)&lt;$M$2,N(对接源_01水果!$B542)&gt;$M$3),0,1))</f>
        <v>0</v>
      </c>
      <c r="N542">
        <f>IF(OR($N$1="",对接源_01水果!$C542="",对接源_01水果!$C542&lt;&gt;$N$1,对接源_01水果!$B542=""),0,IF(OR(N(对接源_01水果!$B542)&lt;$N$2,N(对接源_01水果!$B542)&gt;$N$3),0,1))</f>
        <v>0</v>
      </c>
      <c r="P542">
        <f>IF(AND($K542=1,AND(对接源_01水果!$X542="公司筐",N(对接源_01水果!$T542)&lt;&gt;0)),1,0)</f>
        <v>0</v>
      </c>
      <c r="Q542">
        <f>N(Q541)+$P542</f>
        <v>0</v>
      </c>
      <c r="R542">
        <f>IF(AND($K542=1,AND(对接源_01水果!$X542="公司筐",N(对接源_01水果!$U542)&lt;&gt;0)),1,0)</f>
        <v>0</v>
      </c>
      <c r="S542">
        <f>N(S541)+$R542</f>
        <v>0</v>
      </c>
      <c r="T542">
        <f>IF(AND($K542=1,AND(对接源_01水果!$X542="公司筐",N(对接源_01水果!$V542)&lt;&gt;0)),1,0)</f>
        <v>0</v>
      </c>
      <c r="U542">
        <f>N(U541)+$T542</f>
        <v>47</v>
      </c>
      <c r="V542">
        <f>IF(AND($L542=1,AND(对接源_01水果!$X542="自备筐",N(对接源_01水果!$V542)&lt;&gt;0)),1,0)</f>
        <v>0</v>
      </c>
      <c r="W542">
        <f>N(W541)+$V542</f>
        <v>11</v>
      </c>
      <c r="X542">
        <f>IF(AND($L542=1,AND(对接源_01水果!$X542="自备筐",N(对接源_01水果!$T542)&lt;&gt;0)),1,0)</f>
        <v>0</v>
      </c>
      <c r="Y542">
        <f>N(Y541)+$X542</f>
        <v>0</v>
      </c>
      <c r="Z542">
        <f>IF(AND($M542=1,对接源_01水果!$D542="原料入库"),1,0)</f>
        <v>0</v>
      </c>
      <c r="AA542">
        <f>N(AA541)+$Z542</f>
        <v>24</v>
      </c>
      <c r="AB542">
        <f>IF(AND($M542=1,LEFT(对接源_01水果!$D542,4)="原料出库"),1,0)</f>
        <v>0</v>
      </c>
      <c r="AC542">
        <f>N(AC541)+$AB542</f>
        <v>0</v>
      </c>
      <c r="AD542">
        <f>IF(AND($M542=1,LEFT(对接源_01水果!$D542,4)="成品出库"),1,0)</f>
        <v>0</v>
      </c>
      <c r="AE542">
        <f>N(AE541)+$AD542</f>
        <v>0</v>
      </c>
      <c r="AF542">
        <f>IF(AND($N542=1,AND(LEFT(对接源_01水果!$D542,4)="包装物料",N(对接源_01水果!$K542)&lt;&gt;0)),1,0)</f>
        <v>0</v>
      </c>
      <c r="AG542">
        <f>N(AG541)+$AF542</f>
        <v>0</v>
      </c>
      <c r="AH542">
        <f>IF(AND($N542=1,AND(对接源_01水果!$D542="周转筐－销售出库",N(对接源_01水果!$K542)&lt;&gt;0)),1,0)</f>
        <v>0</v>
      </c>
      <c r="AI542">
        <f>N(AI541)+$AH542</f>
        <v>0</v>
      </c>
      <c r="AJ542" s="7" t="n"/>
      <c r="AL542">
        <f>IF(OR($AL$1="",对接源_01水果!$Y542="",对接源_01水果!$Y542&lt;&gt;$AL$1,对接源_01水果!$B542="",N(对接源_01水果!$AJ542)&lt;=0),0,IF(OR(N(对接源_01水果!$B542)&lt;$AL$2,N(对接源_01水果!$B542)&gt;$AL$3),0,1))</f>
        <v>0</v>
      </c>
      <c r="AM542">
        <f>N(AM541)+$AL542</f>
        <v>0</v>
      </c>
      <c r="AN542">
        <f>IF(对接源_01水果!$AC542="","",对接源_01水果!$AC542)</f>
      </c>
      <c r="AO542">
        <f>IF(AN542="",0,IF(MATCH(AN542,$AN$4:$AN$1203,0)=ROW()-3,1,0))</f>
        <v>0</v>
      </c>
      <c r="AP542">
        <f>N(AP541)+$AO542</f>
        <v>0</v>
      </c>
      <c r="AR542">
        <f>IF(OR($AF542=1,$AH542=1),1,0)</f>
        <v>0</v>
      </c>
      <c r="AS542">
        <f>N(AS541)+$AR542</f>
        <v>0</v>
      </c>
    </row>
    <row r="543" ht="14.25" customHeight="1" s="127">
      <c r="A543" t="str">
        <f>IF(对接源_01水果!$C543="","",对接源_01水果!$C543)</f>
        <v>王照雪</v>
      </c>
      <c r="B543">
        <f>IF(A543="",0,IF(MATCH(A543,$A$4:$A$2403,0)=ROW()-3,1,0))</f>
        <v>0</v>
      </c>
      <c r="C543">
        <f>N(C542)+B543</f>
        <v>22</v>
      </c>
      <c r="K543">
        <f>IF(OR($K$1="",对接源_01水果!$C543="",对接源_01水果!$C543&lt;&gt;$K$1,对接源_01水果!$B543=""),0,IF(OR(N(对接源_01水果!$B543)&lt;$K$2,N(对接源_01水果!$B543)&gt;$K$3),0,1))</f>
        <v>0</v>
      </c>
      <c r="L543">
        <f>IF(OR($L$1="",对接源_01水果!$C543="",对接源_01水果!$C543&lt;&gt;$L$1,对接源_01水果!$B543=""),0,IF(OR(N(对接源_01水果!$B543)&lt;$L$2,N(对接源_01水果!$B543)&gt;$L$3),0,1))</f>
        <v>0</v>
      </c>
      <c r="M543">
        <f>IF(OR($M$1="",对接源_01水果!$C543="",对接源_01水果!$C543&lt;&gt;$M$1,对接源_01水果!$B543=""),0,IF(OR(N(对接源_01水果!$B543)&lt;$M$2,N(对接源_01水果!$B543)&gt;$M$3),0,1))</f>
        <v>0</v>
      </c>
      <c r="N543">
        <f>IF(OR($N$1="",对接源_01水果!$C543="",对接源_01水果!$C543&lt;&gt;$N$1,对接源_01水果!$B543=""),0,IF(OR(N(对接源_01水果!$B543)&lt;$N$2,N(对接源_01水果!$B543)&gt;$N$3),0,1))</f>
        <v>0</v>
      </c>
      <c r="P543">
        <f>IF(AND($K543=1,AND(对接源_01水果!$X543="公司筐",N(对接源_01水果!$T543)&lt;&gt;0)),1,0)</f>
        <v>0</v>
      </c>
      <c r="Q543">
        <f>N(Q542)+$P543</f>
        <v>0</v>
      </c>
      <c r="R543">
        <f>IF(AND($K543=1,AND(对接源_01水果!$X543="公司筐",N(对接源_01水果!$U543)&lt;&gt;0)),1,0)</f>
        <v>0</v>
      </c>
      <c r="S543">
        <f>N(S542)+$R543</f>
        <v>0</v>
      </c>
      <c r="T543">
        <f>IF(AND($K543=1,AND(对接源_01水果!$X543="公司筐",N(对接源_01水果!$V543)&lt;&gt;0)),1,0)</f>
        <v>0</v>
      </c>
      <c r="U543">
        <f>N(U542)+$T543</f>
        <v>47</v>
      </c>
      <c r="V543">
        <f>IF(AND($L543=1,AND(对接源_01水果!$X543="自备筐",N(对接源_01水果!$V543)&lt;&gt;0)),1,0)</f>
        <v>0</v>
      </c>
      <c r="W543">
        <f>N(W542)+$V543</f>
        <v>11</v>
      </c>
      <c r="X543">
        <f>IF(AND($L543=1,AND(对接源_01水果!$X543="自备筐",N(对接源_01水果!$T543)&lt;&gt;0)),1,0)</f>
        <v>0</v>
      </c>
      <c r="Y543">
        <f>N(Y542)+$X543</f>
        <v>0</v>
      </c>
      <c r="Z543">
        <f>IF(AND($M543=1,对接源_01水果!$D543="原料入库"),1,0)</f>
        <v>0</v>
      </c>
      <c r="AA543">
        <f>N(AA542)+$Z543</f>
        <v>24</v>
      </c>
      <c r="AB543">
        <f>IF(AND($M543=1,LEFT(对接源_01水果!$D543,4)="原料出库"),1,0)</f>
        <v>0</v>
      </c>
      <c r="AC543">
        <f>N(AC542)+$AB543</f>
        <v>0</v>
      </c>
      <c r="AD543">
        <f>IF(AND($M543=1,LEFT(对接源_01水果!$D543,4)="成品出库"),1,0)</f>
        <v>0</v>
      </c>
      <c r="AE543">
        <f>N(AE542)+$AD543</f>
        <v>0</v>
      </c>
      <c r="AF543">
        <f>IF(AND($N543=1,AND(LEFT(对接源_01水果!$D543,4)="包装物料",N(对接源_01水果!$K543)&lt;&gt;0)),1,0)</f>
        <v>0</v>
      </c>
      <c r="AG543">
        <f>N(AG542)+$AF543</f>
        <v>0</v>
      </c>
      <c r="AH543">
        <f>IF(AND($N543=1,AND(对接源_01水果!$D543="周转筐－销售出库",N(对接源_01水果!$K543)&lt;&gt;0)),1,0)</f>
        <v>0</v>
      </c>
      <c r="AI543">
        <f>N(AI542)+$AH543</f>
        <v>0</v>
      </c>
      <c r="AJ543" s="7" t="n"/>
      <c r="AL543">
        <f>IF(OR($AL$1="",对接源_01水果!$Y543="",对接源_01水果!$Y543&lt;&gt;$AL$1,对接源_01水果!$B543="",N(对接源_01水果!$AJ543)&lt;=0),0,IF(OR(N(对接源_01水果!$B543)&lt;$AL$2,N(对接源_01水果!$B543)&gt;$AL$3),0,1))</f>
        <v>0</v>
      </c>
      <c r="AM543">
        <f>N(AM542)+$AL543</f>
        <v>0</v>
      </c>
      <c r="AN543">
        <f>IF(对接源_01水果!$AC543="","",对接源_01水果!$AC543)</f>
      </c>
      <c r="AO543">
        <f>IF(AN543="",0,IF(MATCH(AN543,$AN$4:$AN$1203,0)=ROW()-3,1,0))</f>
        <v>0</v>
      </c>
      <c r="AP543">
        <f>N(AP542)+$AO543</f>
        <v>0</v>
      </c>
      <c r="AR543">
        <f>IF(OR($AF543=1,$AH543=1),1,0)</f>
        <v>0</v>
      </c>
      <c r="AS543">
        <f>N(AS542)+$AR543</f>
        <v>0</v>
      </c>
    </row>
    <row r="544" ht="14.25" customHeight="1" s="127">
      <c r="A544" t="str">
        <f>IF(对接源_01水果!$C544="","",对接源_01水果!$C544)</f>
        <v>麦麦提</v>
      </c>
      <c r="B544">
        <f>IF(A544="",0,IF(MATCH(A544,$A$4:$A$2403,0)=ROW()-3,1,0))</f>
        <v>0</v>
      </c>
      <c r="C544">
        <f>N(C543)+B544</f>
        <v>22</v>
      </c>
      <c r="K544">
        <f>IF(OR($K$1="",对接源_01水果!$C544="",对接源_01水果!$C544&lt;&gt;$K$1,对接源_01水果!$B544=""),0,IF(OR(N(对接源_01水果!$B544)&lt;$K$2,N(对接源_01水果!$B544)&gt;$K$3),0,1))</f>
        <v>0</v>
      </c>
      <c r="L544">
        <f>IF(OR($L$1="",对接源_01水果!$C544="",对接源_01水果!$C544&lt;&gt;$L$1,对接源_01水果!$B544=""),0,IF(OR(N(对接源_01水果!$B544)&lt;$L$2,N(对接源_01水果!$B544)&gt;$L$3),0,1))</f>
        <v>0</v>
      </c>
      <c r="M544">
        <f>IF(OR($M$1="",对接源_01水果!$C544="",对接源_01水果!$C544&lt;&gt;$M$1,对接源_01水果!$B544=""),0,IF(OR(N(对接源_01水果!$B544)&lt;$M$2,N(对接源_01水果!$B544)&gt;$M$3),0,1))</f>
        <v>0</v>
      </c>
      <c r="N544">
        <f>IF(OR($N$1="",对接源_01水果!$C544="",对接源_01水果!$C544&lt;&gt;$N$1,对接源_01水果!$B544=""),0,IF(OR(N(对接源_01水果!$B544)&lt;$N$2,N(对接源_01水果!$B544)&gt;$N$3),0,1))</f>
        <v>1</v>
      </c>
      <c r="P544">
        <f>IF(AND($K544=1,AND(对接源_01水果!$X544="公司筐",N(对接源_01水果!$T544)&lt;&gt;0)),1,0)</f>
        <v>0</v>
      </c>
      <c r="Q544">
        <f>N(Q543)+$P544</f>
        <v>0</v>
      </c>
      <c r="R544">
        <f>IF(AND($K544=1,AND(对接源_01水果!$X544="公司筐",N(对接源_01水果!$U544)&lt;&gt;0)),1,0)</f>
        <v>0</v>
      </c>
      <c r="S544">
        <f>N(S543)+$R544</f>
        <v>0</v>
      </c>
      <c r="T544">
        <f>IF(AND($K544=1,AND(对接源_01水果!$X544="公司筐",N(对接源_01水果!$V544)&lt;&gt;0)),1,0)</f>
        <v>0</v>
      </c>
      <c r="U544">
        <f>N(U543)+$T544</f>
        <v>47</v>
      </c>
      <c r="V544">
        <f>IF(AND($L544=1,AND(对接源_01水果!$X544="自备筐",N(对接源_01水果!$V544)&lt;&gt;0)),1,0)</f>
        <v>0</v>
      </c>
      <c r="W544">
        <f>N(W543)+$V544</f>
        <v>11</v>
      </c>
      <c r="X544">
        <f>IF(AND($L544=1,AND(对接源_01水果!$X544="自备筐",N(对接源_01水果!$T544)&lt;&gt;0)),1,0)</f>
        <v>0</v>
      </c>
      <c r="Y544">
        <f>N(Y543)+$X544</f>
        <v>0</v>
      </c>
      <c r="Z544">
        <f>IF(AND($M544=1,对接源_01水果!$D544="原料入库"),1,0)</f>
        <v>0</v>
      </c>
      <c r="AA544">
        <f>N(AA543)+$Z544</f>
        <v>24</v>
      </c>
      <c r="AB544">
        <f>IF(AND($M544=1,LEFT(对接源_01水果!$D544,4)="原料出库"),1,0)</f>
        <v>0</v>
      </c>
      <c r="AC544">
        <f>N(AC543)+$AB544</f>
        <v>0</v>
      </c>
      <c r="AD544">
        <f>IF(AND($M544=1,LEFT(对接源_01水果!$D544,4)="成品出库"),1,0)</f>
        <v>0</v>
      </c>
      <c r="AE544">
        <f>N(AE543)+$AD544</f>
        <v>0</v>
      </c>
      <c r="AF544">
        <f>IF(AND($N544=1,AND(LEFT(对接源_01水果!$D544,4)="包装物料",N(对接源_01水果!$K544)&lt;&gt;0)),1,0)</f>
        <v>0</v>
      </c>
      <c r="AG544">
        <f>N(AG543)+$AF544</f>
        <v>0</v>
      </c>
      <c r="AH544">
        <f>IF(AND($N544=1,AND(对接源_01水果!$D544="周转筐－销售出库",N(对接源_01水果!$K544)&lt;&gt;0)),1,0)</f>
        <v>0</v>
      </c>
      <c r="AI544">
        <f>N(AI543)+$AH544</f>
        <v>0</v>
      </c>
      <c r="AJ544" s="7" t="n"/>
      <c r="AL544">
        <f>IF(OR($AL$1="",对接源_01水果!$Y544="",对接源_01水果!$Y544&lt;&gt;$AL$1,对接源_01水果!$B544="",N(对接源_01水果!$AJ544)&lt;=0),0,IF(OR(N(对接源_01水果!$B544)&lt;$AL$2,N(对接源_01水果!$B544)&gt;$AL$3),0,1))</f>
        <v>0</v>
      </c>
      <c r="AM544">
        <f>N(AM543)+$AL544</f>
        <v>0</v>
      </c>
      <c r="AN544">
        <f>IF(对接源_01水果!$AC544="","",对接源_01水果!$AC544)</f>
      </c>
      <c r="AO544">
        <f>IF(AN544="",0,IF(MATCH(AN544,$AN$4:$AN$1203,0)=ROW()-3,1,0))</f>
        <v>0</v>
      </c>
      <c r="AP544">
        <f>N(AP543)+$AO544</f>
        <v>0</v>
      </c>
      <c r="AR544">
        <f>IF(OR($AF544=1,$AH544=1),1,0)</f>
        <v>0</v>
      </c>
      <c r="AS544">
        <f>N(AS543)+$AR544</f>
        <v>0</v>
      </c>
    </row>
    <row r="545" ht="14.25" customHeight="1" s="127">
      <c r="A545" t="str">
        <f>IF(对接源_01水果!$C545="","",对接源_01水果!$C545)</f>
        <v>王灵云</v>
      </c>
      <c r="B545">
        <f>IF(A545="",0,IF(MATCH(A545,$A$4:$A$2403,0)=ROW()-3,1,0))</f>
        <v>0</v>
      </c>
      <c r="C545">
        <f>N(C544)+B545</f>
        <v>22</v>
      </c>
      <c r="K545">
        <f>IF(OR($K$1="",对接源_01水果!$C545="",对接源_01水果!$C545&lt;&gt;$K$1,对接源_01水果!$B545=""),0,IF(OR(N(对接源_01水果!$B545)&lt;$K$2,N(对接源_01水果!$B545)&gt;$K$3),0,1))</f>
        <v>1</v>
      </c>
      <c r="L545">
        <f>IF(OR($L$1="",对接源_01水果!$C545="",对接源_01水果!$C545&lt;&gt;$L$1,对接源_01水果!$B545=""),0,IF(OR(N(对接源_01水果!$B545)&lt;$L$2,N(对接源_01水果!$B545)&gt;$L$3),0,1))</f>
        <v>0</v>
      </c>
      <c r="M545">
        <f>IF(OR($M$1="",对接源_01水果!$C545="",对接源_01水果!$C545&lt;&gt;$M$1,对接源_01水果!$B545=""),0,IF(OR(N(对接源_01水果!$B545)&lt;$M$2,N(对接源_01水果!$B545)&gt;$M$3),0,1))</f>
        <v>0</v>
      </c>
      <c r="N545">
        <f>IF(OR($N$1="",对接源_01水果!$C545="",对接源_01水果!$C545&lt;&gt;$N$1,对接源_01水果!$B545=""),0,IF(OR(N(对接源_01水果!$B545)&lt;$N$2,N(对接源_01水果!$B545)&gt;$N$3),0,1))</f>
        <v>0</v>
      </c>
      <c r="P545">
        <f>IF(AND($K545=1,AND(对接源_01水果!$X545="公司筐",N(对接源_01水果!$T545)&lt;&gt;0)),1,0)</f>
        <v>0</v>
      </c>
      <c r="Q545">
        <f>N(Q544)+$P545</f>
        <v>0</v>
      </c>
      <c r="R545">
        <f>IF(AND($K545=1,AND(对接源_01水果!$X545="公司筐",N(对接源_01水果!$U545)&lt;&gt;0)),1,0)</f>
        <v>0</v>
      </c>
      <c r="S545">
        <f>N(S544)+$R545</f>
        <v>0</v>
      </c>
      <c r="T545">
        <f>IF(AND($K545=1,AND(对接源_01水果!$X545="公司筐",N(对接源_01水果!$V545)&lt;&gt;0)),1,0)</f>
        <v>0</v>
      </c>
      <c r="U545">
        <f>N(U544)+$T545</f>
        <v>47</v>
      </c>
      <c r="V545">
        <f>IF(AND($L545=1,AND(对接源_01水果!$X545="自备筐",N(对接源_01水果!$V545)&lt;&gt;0)),1,0)</f>
        <v>0</v>
      </c>
      <c r="W545">
        <f>N(W544)+$V545</f>
        <v>11</v>
      </c>
      <c r="X545">
        <f>IF(AND($L545=1,AND(对接源_01水果!$X545="自备筐",N(对接源_01水果!$T545)&lt;&gt;0)),1,0)</f>
        <v>0</v>
      </c>
      <c r="Y545">
        <f>N(Y544)+$X545</f>
        <v>0</v>
      </c>
      <c r="Z545">
        <f>IF(AND($M545=1,对接源_01水果!$D545="原料入库"),1,0)</f>
        <v>0</v>
      </c>
      <c r="AA545">
        <f>N(AA544)+$Z545</f>
        <v>24</v>
      </c>
      <c r="AB545">
        <f>IF(AND($M545=1,LEFT(对接源_01水果!$D545,4)="原料出库"),1,0)</f>
        <v>0</v>
      </c>
      <c r="AC545">
        <f>N(AC544)+$AB545</f>
        <v>0</v>
      </c>
      <c r="AD545">
        <f>IF(AND($M545=1,LEFT(对接源_01水果!$D545,4)="成品出库"),1,0)</f>
        <v>0</v>
      </c>
      <c r="AE545">
        <f>N(AE544)+$AD545</f>
        <v>0</v>
      </c>
      <c r="AF545">
        <f>IF(AND($N545=1,AND(LEFT(对接源_01水果!$D545,4)="包装物料",N(对接源_01水果!$K545)&lt;&gt;0)),1,0)</f>
        <v>0</v>
      </c>
      <c r="AG545">
        <f>N(AG544)+$AF545</f>
        <v>0</v>
      </c>
      <c r="AH545">
        <f>IF(AND($N545=1,AND(对接源_01水果!$D545="周转筐－销售出库",N(对接源_01水果!$K545)&lt;&gt;0)),1,0)</f>
        <v>0</v>
      </c>
      <c r="AI545">
        <f>N(AI544)+$AH545</f>
        <v>0</v>
      </c>
      <c r="AJ545" s="7" t="n"/>
      <c r="AL545">
        <f>IF(OR($AL$1="",对接源_01水果!$Y545="",对接源_01水果!$Y545&lt;&gt;$AL$1,对接源_01水果!$B545="",N(对接源_01水果!$AJ545)&lt;=0),0,IF(OR(N(对接源_01水果!$B545)&lt;$AL$2,N(对接源_01水果!$B545)&gt;$AL$3),0,1))</f>
        <v>0</v>
      </c>
      <c r="AM545">
        <f>N(AM544)+$AL545</f>
        <v>0</v>
      </c>
      <c r="AN545">
        <f>IF(对接源_01水果!$AC545="","",对接源_01水果!$AC545)</f>
      </c>
      <c r="AO545">
        <f>IF(AN545="",0,IF(MATCH(AN545,$AN$4:$AN$1203,0)=ROW()-3,1,0))</f>
        <v>0</v>
      </c>
      <c r="AP545">
        <f>N(AP544)+$AO545</f>
        <v>0</v>
      </c>
      <c r="AR545">
        <f>IF(OR($AF545=1,$AH545=1),1,0)</f>
        <v>0</v>
      </c>
      <c r="AS545">
        <f>N(AS544)+$AR545</f>
        <v>0</v>
      </c>
    </row>
    <row r="546" ht="14.25" customHeight="1" s="127">
      <c r="A546" t="str">
        <f>IF(对接源_01水果!$C546="","",对接源_01水果!$C546)</f>
        <v>麦麦提</v>
      </c>
      <c r="B546">
        <f>IF(A546="",0,IF(MATCH(A546,$A$4:$A$2403,0)=ROW()-3,1,0))</f>
        <v>0</v>
      </c>
      <c r="C546">
        <f>N(C545)+B546</f>
        <v>22</v>
      </c>
      <c r="K546">
        <f>IF(OR($K$1="",对接源_01水果!$C546="",对接源_01水果!$C546&lt;&gt;$K$1,对接源_01水果!$B546=""),0,IF(OR(N(对接源_01水果!$B546)&lt;$K$2,N(对接源_01水果!$B546)&gt;$K$3),0,1))</f>
        <v>0</v>
      </c>
      <c r="L546">
        <f>IF(OR($L$1="",对接源_01水果!$C546="",对接源_01水果!$C546&lt;&gt;$L$1,对接源_01水果!$B546=""),0,IF(OR(N(对接源_01水果!$B546)&lt;$L$2,N(对接源_01水果!$B546)&gt;$L$3),0,1))</f>
        <v>0</v>
      </c>
      <c r="M546">
        <f>IF(OR($M$1="",对接源_01水果!$C546="",对接源_01水果!$C546&lt;&gt;$M$1,对接源_01水果!$B546=""),0,IF(OR(N(对接源_01水果!$B546)&lt;$M$2,N(对接源_01水果!$B546)&gt;$M$3),0,1))</f>
        <v>0</v>
      </c>
      <c r="N546">
        <f>IF(OR($N$1="",对接源_01水果!$C546="",对接源_01水果!$C546&lt;&gt;$N$1,对接源_01水果!$B546=""),0,IF(OR(N(对接源_01水果!$B546)&lt;$N$2,N(对接源_01水果!$B546)&gt;$N$3),0,1))</f>
        <v>1</v>
      </c>
      <c r="P546">
        <f>IF(AND($K546=1,AND(对接源_01水果!$X546="公司筐",N(对接源_01水果!$T546)&lt;&gt;0)),1,0)</f>
        <v>0</v>
      </c>
      <c r="Q546">
        <f>N(Q545)+$P546</f>
        <v>0</v>
      </c>
      <c r="R546">
        <f>IF(AND($K546=1,AND(对接源_01水果!$X546="公司筐",N(对接源_01水果!$U546)&lt;&gt;0)),1,0)</f>
        <v>0</v>
      </c>
      <c r="S546">
        <f>N(S545)+$R546</f>
        <v>0</v>
      </c>
      <c r="T546">
        <f>IF(AND($K546=1,AND(对接源_01水果!$X546="公司筐",N(对接源_01水果!$V546)&lt;&gt;0)),1,0)</f>
        <v>0</v>
      </c>
      <c r="U546">
        <f>N(U545)+$T546</f>
        <v>47</v>
      </c>
      <c r="V546">
        <f>IF(AND($L546=1,AND(对接源_01水果!$X546="自备筐",N(对接源_01水果!$V546)&lt;&gt;0)),1,0)</f>
        <v>0</v>
      </c>
      <c r="W546">
        <f>N(W545)+$V546</f>
        <v>11</v>
      </c>
      <c r="X546">
        <f>IF(AND($L546=1,AND(对接源_01水果!$X546="自备筐",N(对接源_01水果!$T546)&lt;&gt;0)),1,0)</f>
        <v>0</v>
      </c>
      <c r="Y546">
        <f>N(Y545)+$X546</f>
        <v>0</v>
      </c>
      <c r="Z546">
        <f>IF(AND($M546=1,对接源_01水果!$D546="原料入库"),1,0)</f>
        <v>0</v>
      </c>
      <c r="AA546">
        <f>N(AA545)+$Z546</f>
        <v>24</v>
      </c>
      <c r="AB546">
        <f>IF(AND($M546=1,LEFT(对接源_01水果!$D546,4)="原料出库"),1,0)</f>
        <v>0</v>
      </c>
      <c r="AC546">
        <f>N(AC545)+$AB546</f>
        <v>0</v>
      </c>
      <c r="AD546">
        <f>IF(AND($M546=1,LEFT(对接源_01水果!$D546,4)="成品出库"),1,0)</f>
        <v>0</v>
      </c>
      <c r="AE546">
        <f>N(AE545)+$AD546</f>
        <v>0</v>
      </c>
      <c r="AF546">
        <f>IF(AND($N546=1,AND(LEFT(对接源_01水果!$D546,4)="包装物料",N(对接源_01水果!$K546)&lt;&gt;0)),1,0)</f>
        <v>0</v>
      </c>
      <c r="AG546">
        <f>N(AG545)+$AF546</f>
        <v>0</v>
      </c>
      <c r="AH546">
        <f>IF(AND($N546=1,AND(对接源_01水果!$D546="周转筐－销售出库",N(对接源_01水果!$K546)&lt;&gt;0)),1,0)</f>
        <v>0</v>
      </c>
      <c r="AI546">
        <f>N(AI545)+$AH546</f>
        <v>0</v>
      </c>
      <c r="AJ546" s="7" t="n"/>
      <c r="AL546">
        <f>IF(OR($AL$1="",对接源_01水果!$Y546="",对接源_01水果!$Y546&lt;&gt;$AL$1,对接源_01水果!$B546="",N(对接源_01水果!$AJ546)&lt;=0),0,IF(OR(N(对接源_01水果!$B546)&lt;$AL$2,N(对接源_01水果!$B546)&gt;$AL$3),0,1))</f>
        <v>0</v>
      </c>
      <c r="AM546">
        <f>N(AM545)+$AL546</f>
        <v>0</v>
      </c>
      <c r="AN546">
        <f>IF(对接源_01水果!$AC546="","",对接源_01水果!$AC546)</f>
      </c>
      <c r="AO546">
        <f>IF(AN546="",0,IF(MATCH(AN546,$AN$4:$AN$1203,0)=ROW()-3,1,0))</f>
        <v>0</v>
      </c>
      <c r="AP546">
        <f>N(AP545)+$AO546</f>
        <v>0</v>
      </c>
      <c r="AR546">
        <f>IF(OR($AF546=1,$AH546=1),1,0)</f>
        <v>0</v>
      </c>
      <c r="AS546">
        <f>N(AS545)+$AR546</f>
        <v>0</v>
      </c>
    </row>
    <row r="547" ht="14.25" customHeight="1" s="127">
      <c r="A547" t="str">
        <f>IF(对接源_01水果!$C547="","",对接源_01水果!$C547)</f>
        <v>马锦祥</v>
      </c>
      <c r="B547">
        <f>IF(A547="",0,IF(MATCH(A547,$A$4:$A$2403,0)=ROW()-3,1,0))</f>
        <v>0</v>
      </c>
      <c r="C547">
        <f>N(C546)+B547</f>
        <v>22</v>
      </c>
      <c r="K547">
        <f>IF(OR($K$1="",对接源_01水果!$C547="",对接源_01水果!$C547&lt;&gt;$K$1,对接源_01水果!$B547=""),0,IF(OR(N(对接源_01水果!$B547)&lt;$K$2,N(对接源_01水果!$B547)&gt;$K$3),0,1))</f>
        <v>0</v>
      </c>
      <c r="L547">
        <f>IF(OR($L$1="",对接源_01水果!$C547="",对接源_01水果!$C547&lt;&gt;$L$1,对接源_01水果!$B547=""),0,IF(OR(N(对接源_01水果!$B547)&lt;$L$2,N(对接源_01水果!$B547)&gt;$L$3),0,1))</f>
        <v>0</v>
      </c>
      <c r="M547">
        <f>IF(OR($M$1="",对接源_01水果!$C547="",对接源_01水果!$C547&lt;&gt;$M$1,对接源_01水果!$B547=""),0,IF(OR(N(对接源_01水果!$B547)&lt;$M$2,N(对接源_01水果!$B547)&gt;$M$3),0,1))</f>
        <v>0</v>
      </c>
      <c r="N547">
        <f>IF(OR($N$1="",对接源_01水果!$C547="",对接源_01水果!$C547&lt;&gt;$N$1,对接源_01水果!$B547=""),0,IF(OR(N(对接源_01水果!$B547)&lt;$N$2,N(对接源_01水果!$B547)&gt;$N$3),0,1))</f>
        <v>0</v>
      </c>
      <c r="P547">
        <f>IF(AND($K547=1,AND(对接源_01水果!$X547="公司筐",N(对接源_01水果!$T547)&lt;&gt;0)),1,0)</f>
        <v>0</v>
      </c>
      <c r="Q547">
        <f>N(Q546)+$P547</f>
        <v>0</v>
      </c>
      <c r="R547">
        <f>IF(AND($K547=1,AND(对接源_01水果!$X547="公司筐",N(对接源_01水果!$U547)&lt;&gt;0)),1,0)</f>
        <v>0</v>
      </c>
      <c r="S547">
        <f>N(S546)+$R547</f>
        <v>0</v>
      </c>
      <c r="T547">
        <f>IF(AND($K547=1,AND(对接源_01水果!$X547="公司筐",N(对接源_01水果!$V547)&lt;&gt;0)),1,0)</f>
        <v>0</v>
      </c>
      <c r="U547">
        <f>N(U546)+$T547</f>
        <v>47</v>
      </c>
      <c r="V547">
        <f>IF(AND($L547=1,AND(对接源_01水果!$X547="自备筐",N(对接源_01水果!$V547)&lt;&gt;0)),1,0)</f>
        <v>0</v>
      </c>
      <c r="W547">
        <f>N(W546)+$V547</f>
        <v>11</v>
      </c>
      <c r="X547">
        <f>IF(AND($L547=1,AND(对接源_01水果!$X547="自备筐",N(对接源_01水果!$T547)&lt;&gt;0)),1,0)</f>
        <v>0</v>
      </c>
      <c r="Y547">
        <f>N(Y546)+$X547</f>
        <v>0</v>
      </c>
      <c r="Z547">
        <f>IF(AND($M547=1,对接源_01水果!$D547="原料入库"),1,0)</f>
        <v>0</v>
      </c>
      <c r="AA547">
        <f>N(AA546)+$Z547</f>
        <v>24</v>
      </c>
      <c r="AB547">
        <f>IF(AND($M547=1,LEFT(对接源_01水果!$D547,4)="原料出库"),1,0)</f>
        <v>0</v>
      </c>
      <c r="AC547">
        <f>N(AC546)+$AB547</f>
        <v>0</v>
      </c>
      <c r="AD547">
        <f>IF(AND($M547=1,LEFT(对接源_01水果!$D547,4)="成品出库"),1,0)</f>
        <v>0</v>
      </c>
      <c r="AE547">
        <f>N(AE546)+$AD547</f>
        <v>0</v>
      </c>
      <c r="AF547">
        <f>IF(AND($N547=1,AND(LEFT(对接源_01水果!$D547,4)="包装物料",N(对接源_01水果!$K547)&lt;&gt;0)),1,0)</f>
        <v>0</v>
      </c>
      <c r="AG547">
        <f>N(AG546)+$AF547</f>
        <v>0</v>
      </c>
      <c r="AH547">
        <f>IF(AND($N547=1,AND(对接源_01水果!$D547="周转筐－销售出库",N(对接源_01水果!$K547)&lt;&gt;0)),1,0)</f>
        <v>0</v>
      </c>
      <c r="AI547">
        <f>N(AI546)+$AH547</f>
        <v>0</v>
      </c>
      <c r="AJ547" s="7" t="n"/>
      <c r="AL547">
        <f>IF(OR($AL$1="",对接源_01水果!$Y547="",对接源_01水果!$Y547&lt;&gt;$AL$1,对接源_01水果!$B547="",N(对接源_01水果!$AJ547)&lt;=0),0,IF(OR(N(对接源_01水果!$B547)&lt;$AL$2,N(对接源_01水果!$B547)&gt;$AL$3),0,1))</f>
        <v>0</v>
      </c>
      <c r="AM547">
        <f>N(AM546)+$AL547</f>
        <v>0</v>
      </c>
      <c r="AN547">
        <f>IF(对接源_01水果!$AC547="","",对接源_01水果!$AC547)</f>
      </c>
      <c r="AO547">
        <f>IF(AN547="",0,IF(MATCH(AN547,$AN$4:$AN$1203,0)=ROW()-3,1,0))</f>
        <v>0</v>
      </c>
      <c r="AP547">
        <f>N(AP546)+$AO547</f>
        <v>0</v>
      </c>
      <c r="AR547">
        <f>IF(OR($AF547=1,$AH547=1),1,0)</f>
        <v>0</v>
      </c>
      <c r="AS547">
        <f>N(AS546)+$AR547</f>
        <v>0</v>
      </c>
    </row>
    <row r="548" ht="14.25" customHeight="1" s="127">
      <c r="A548" t="str">
        <f>IF(对接源_01水果!$C548="","",对接源_01水果!$C548)</f>
        <v>王照雪</v>
      </c>
      <c r="B548">
        <f>IF(A548="",0,IF(MATCH(A548,$A$4:$A$2403,0)=ROW()-3,1,0))</f>
        <v>0</v>
      </c>
      <c r="C548">
        <f>N(C547)+B548</f>
        <v>22</v>
      </c>
      <c r="K548">
        <f>IF(OR($K$1="",对接源_01水果!$C548="",对接源_01水果!$C548&lt;&gt;$K$1,对接源_01水果!$B548=""),0,IF(OR(N(对接源_01水果!$B548)&lt;$K$2,N(对接源_01水果!$B548)&gt;$K$3),0,1))</f>
        <v>0</v>
      </c>
      <c r="L548">
        <f>IF(OR($L$1="",对接源_01水果!$C548="",对接源_01水果!$C548&lt;&gt;$L$1,对接源_01水果!$B548=""),0,IF(OR(N(对接源_01水果!$B548)&lt;$L$2,N(对接源_01水果!$B548)&gt;$L$3),0,1))</f>
        <v>0</v>
      </c>
      <c r="M548">
        <f>IF(OR($M$1="",对接源_01水果!$C548="",对接源_01水果!$C548&lt;&gt;$M$1,对接源_01水果!$B548=""),0,IF(OR(N(对接源_01水果!$B548)&lt;$M$2,N(对接源_01水果!$B548)&gt;$M$3),0,1))</f>
        <v>0</v>
      </c>
      <c r="N548">
        <f>IF(OR($N$1="",对接源_01水果!$C548="",对接源_01水果!$C548&lt;&gt;$N$1,对接源_01水果!$B548=""),0,IF(OR(N(对接源_01水果!$B548)&lt;$N$2,N(对接源_01水果!$B548)&gt;$N$3),0,1))</f>
        <v>0</v>
      </c>
      <c r="P548">
        <f>IF(AND($K548=1,AND(对接源_01水果!$X548="公司筐",N(对接源_01水果!$T548)&lt;&gt;0)),1,0)</f>
        <v>0</v>
      </c>
      <c r="Q548">
        <f>N(Q547)+$P548</f>
        <v>0</v>
      </c>
      <c r="R548">
        <f>IF(AND($K548=1,AND(对接源_01水果!$X548="公司筐",N(对接源_01水果!$U548)&lt;&gt;0)),1,0)</f>
        <v>0</v>
      </c>
      <c r="S548">
        <f>N(S547)+$R548</f>
        <v>0</v>
      </c>
      <c r="T548">
        <f>IF(AND($K548=1,AND(对接源_01水果!$X548="公司筐",N(对接源_01水果!$V548)&lt;&gt;0)),1,0)</f>
        <v>0</v>
      </c>
      <c r="U548">
        <f>N(U547)+$T548</f>
        <v>47</v>
      </c>
      <c r="V548">
        <f>IF(AND($L548=1,AND(对接源_01水果!$X548="自备筐",N(对接源_01水果!$V548)&lt;&gt;0)),1,0)</f>
        <v>0</v>
      </c>
      <c r="W548">
        <f>N(W547)+$V548</f>
        <v>11</v>
      </c>
      <c r="X548">
        <f>IF(AND($L548=1,AND(对接源_01水果!$X548="自备筐",N(对接源_01水果!$T548)&lt;&gt;0)),1,0)</f>
        <v>0</v>
      </c>
      <c r="Y548">
        <f>N(Y547)+$X548</f>
        <v>0</v>
      </c>
      <c r="Z548">
        <f>IF(AND($M548=1,对接源_01水果!$D548="原料入库"),1,0)</f>
        <v>0</v>
      </c>
      <c r="AA548">
        <f>N(AA547)+$Z548</f>
        <v>24</v>
      </c>
      <c r="AB548">
        <f>IF(AND($M548=1,LEFT(对接源_01水果!$D548,4)="原料出库"),1,0)</f>
        <v>0</v>
      </c>
      <c r="AC548">
        <f>N(AC547)+$AB548</f>
        <v>0</v>
      </c>
      <c r="AD548">
        <f>IF(AND($M548=1,LEFT(对接源_01水果!$D548,4)="成品出库"),1,0)</f>
        <v>0</v>
      </c>
      <c r="AE548">
        <f>N(AE547)+$AD548</f>
        <v>0</v>
      </c>
      <c r="AF548">
        <f>IF(AND($N548=1,AND(LEFT(对接源_01水果!$D548,4)="包装物料",N(对接源_01水果!$K548)&lt;&gt;0)),1,0)</f>
        <v>0</v>
      </c>
      <c r="AG548">
        <f>N(AG547)+$AF548</f>
        <v>0</v>
      </c>
      <c r="AH548">
        <f>IF(AND($N548=1,AND(对接源_01水果!$D548="周转筐－销售出库",N(对接源_01水果!$K548)&lt;&gt;0)),1,0)</f>
        <v>0</v>
      </c>
      <c r="AI548">
        <f>N(AI547)+$AH548</f>
        <v>0</v>
      </c>
      <c r="AJ548" s="7" t="n"/>
      <c r="AL548">
        <f>IF(OR($AL$1="",对接源_01水果!$Y548="",对接源_01水果!$Y548&lt;&gt;$AL$1,对接源_01水果!$B548="",N(对接源_01水果!$AJ548)&lt;=0),0,IF(OR(N(对接源_01水果!$B548)&lt;$AL$2,N(对接源_01水果!$B548)&gt;$AL$3),0,1))</f>
        <v>0</v>
      </c>
      <c r="AM548">
        <f>N(AM547)+$AL548</f>
        <v>0</v>
      </c>
      <c r="AN548">
        <f>IF(对接源_01水果!$AC548="","",对接源_01水果!$AC548)</f>
      </c>
      <c r="AO548">
        <f>IF(AN548="",0,IF(MATCH(AN548,$AN$4:$AN$1203,0)=ROW()-3,1,0))</f>
        <v>0</v>
      </c>
      <c r="AP548">
        <f>N(AP547)+$AO548</f>
        <v>0</v>
      </c>
      <c r="AR548">
        <f>IF(OR($AF548=1,$AH548=1),1,0)</f>
        <v>0</v>
      </c>
      <c r="AS548">
        <f>N(AS547)+$AR548</f>
        <v>0</v>
      </c>
    </row>
    <row r="549" ht="14.25" customHeight="1" s="127">
      <c r="A549" t="str">
        <f>IF(对接源_01水果!$C549="","",对接源_01水果!$C549)</f>
        <v>王灵云</v>
      </c>
      <c r="B549">
        <f>IF(A549="",0,IF(MATCH(A549,$A$4:$A$2403,0)=ROW()-3,1,0))</f>
        <v>0</v>
      </c>
      <c r="C549">
        <f>N(C548)+B549</f>
        <v>22</v>
      </c>
      <c r="K549">
        <f>IF(OR($K$1="",对接源_01水果!$C549="",对接源_01水果!$C549&lt;&gt;$K$1,对接源_01水果!$B549=""),0,IF(OR(N(对接源_01水果!$B549)&lt;$K$2,N(对接源_01水果!$B549)&gt;$K$3),0,1))</f>
        <v>1</v>
      </c>
      <c r="L549">
        <f>IF(OR($L$1="",对接源_01水果!$C549="",对接源_01水果!$C549&lt;&gt;$L$1,对接源_01水果!$B549=""),0,IF(OR(N(对接源_01水果!$B549)&lt;$L$2,N(对接源_01水果!$B549)&gt;$L$3),0,1))</f>
        <v>0</v>
      </c>
      <c r="M549">
        <f>IF(OR($M$1="",对接源_01水果!$C549="",对接源_01水果!$C549&lt;&gt;$M$1,对接源_01水果!$B549=""),0,IF(OR(N(对接源_01水果!$B549)&lt;$M$2,N(对接源_01水果!$B549)&gt;$M$3),0,1))</f>
        <v>0</v>
      </c>
      <c r="N549">
        <f>IF(OR($N$1="",对接源_01水果!$C549="",对接源_01水果!$C549&lt;&gt;$N$1,对接源_01水果!$B549=""),0,IF(OR(N(对接源_01水果!$B549)&lt;$N$2,N(对接源_01水果!$B549)&gt;$N$3),0,1))</f>
        <v>0</v>
      </c>
      <c r="P549">
        <f>IF(AND($K549=1,AND(对接源_01水果!$X549="公司筐",N(对接源_01水果!$T549)&lt;&gt;0)),1,0)</f>
        <v>0</v>
      </c>
      <c r="Q549">
        <f>N(Q548)+$P549</f>
        <v>0</v>
      </c>
      <c r="R549">
        <f>IF(AND($K549=1,AND(对接源_01水果!$X549="公司筐",N(对接源_01水果!$U549)&lt;&gt;0)),1,0)</f>
        <v>0</v>
      </c>
      <c r="S549">
        <f>N(S548)+$R549</f>
        <v>0</v>
      </c>
      <c r="T549">
        <f>IF(AND($K549=1,AND(对接源_01水果!$X549="公司筐",N(对接源_01水果!$V549)&lt;&gt;0)),1,0)</f>
        <v>0</v>
      </c>
      <c r="U549">
        <f>N(U548)+$T549</f>
        <v>47</v>
      </c>
      <c r="V549">
        <f>IF(AND($L549=1,AND(对接源_01水果!$X549="自备筐",N(对接源_01水果!$V549)&lt;&gt;0)),1,0)</f>
        <v>0</v>
      </c>
      <c r="W549">
        <f>N(W548)+$V549</f>
        <v>11</v>
      </c>
      <c r="X549">
        <f>IF(AND($L549=1,AND(对接源_01水果!$X549="自备筐",N(对接源_01水果!$T549)&lt;&gt;0)),1,0)</f>
        <v>0</v>
      </c>
      <c r="Y549">
        <f>N(Y548)+$X549</f>
        <v>0</v>
      </c>
      <c r="Z549">
        <f>IF(AND($M549=1,对接源_01水果!$D549="原料入库"),1,0)</f>
        <v>0</v>
      </c>
      <c r="AA549">
        <f>N(AA548)+$Z549</f>
        <v>24</v>
      </c>
      <c r="AB549">
        <f>IF(AND($M549=1,LEFT(对接源_01水果!$D549,4)="原料出库"),1,0)</f>
        <v>0</v>
      </c>
      <c r="AC549">
        <f>N(AC548)+$AB549</f>
        <v>0</v>
      </c>
      <c r="AD549">
        <f>IF(AND($M549=1,LEFT(对接源_01水果!$D549,4)="成品出库"),1,0)</f>
        <v>0</v>
      </c>
      <c r="AE549">
        <f>N(AE548)+$AD549</f>
        <v>0</v>
      </c>
      <c r="AF549">
        <f>IF(AND($N549=1,AND(LEFT(对接源_01水果!$D549,4)="包装物料",N(对接源_01水果!$K549)&lt;&gt;0)),1,0)</f>
        <v>0</v>
      </c>
      <c r="AG549">
        <f>N(AG548)+$AF549</f>
        <v>0</v>
      </c>
      <c r="AH549">
        <f>IF(AND($N549=1,AND(对接源_01水果!$D549="周转筐－销售出库",N(对接源_01水果!$K549)&lt;&gt;0)),1,0)</f>
        <v>0</v>
      </c>
      <c r="AI549">
        <f>N(AI548)+$AH549</f>
        <v>0</v>
      </c>
      <c r="AJ549" s="7" t="n"/>
      <c r="AL549">
        <f>IF(OR($AL$1="",对接源_01水果!$Y549="",对接源_01水果!$Y549&lt;&gt;$AL$1,对接源_01水果!$B549="",N(对接源_01水果!$AJ549)&lt;=0),0,IF(OR(N(对接源_01水果!$B549)&lt;$AL$2,N(对接源_01水果!$B549)&gt;$AL$3),0,1))</f>
        <v>0</v>
      </c>
      <c r="AM549">
        <f>N(AM548)+$AL549</f>
        <v>0</v>
      </c>
      <c r="AN549">
        <f>IF(对接源_01水果!$AC549="","",对接源_01水果!$AC549)</f>
      </c>
      <c r="AO549">
        <f>IF(AN549="",0,IF(MATCH(AN549,$AN$4:$AN$1203,0)=ROW()-3,1,0))</f>
        <v>0</v>
      </c>
      <c r="AP549">
        <f>N(AP548)+$AO549</f>
        <v>0</v>
      </c>
      <c r="AR549">
        <f>IF(OR($AF549=1,$AH549=1),1,0)</f>
        <v>0</v>
      </c>
      <c r="AS549">
        <f>N(AS548)+$AR549</f>
        <v>0</v>
      </c>
    </row>
    <row r="550" ht="14.25" customHeight="1" s="127">
      <c r="A550" t="str">
        <f>IF(对接源_01水果!$C550="","",对接源_01水果!$C550)</f>
        <v>王照雪</v>
      </c>
      <c r="B550">
        <f>IF(A550="",0,IF(MATCH(A550,$A$4:$A$2403,0)=ROW()-3,1,0))</f>
        <v>0</v>
      </c>
      <c r="C550">
        <f>N(C549)+B550</f>
        <v>22</v>
      </c>
      <c r="K550">
        <f>IF(OR($K$1="",对接源_01水果!$C550="",对接源_01水果!$C550&lt;&gt;$K$1,对接源_01水果!$B550=""),0,IF(OR(N(对接源_01水果!$B550)&lt;$K$2,N(对接源_01水果!$B550)&gt;$K$3),0,1))</f>
        <v>0</v>
      </c>
      <c r="L550">
        <f>IF(OR($L$1="",对接源_01水果!$C550="",对接源_01水果!$C550&lt;&gt;$L$1,对接源_01水果!$B550=""),0,IF(OR(N(对接源_01水果!$B550)&lt;$L$2,N(对接源_01水果!$B550)&gt;$L$3),0,1))</f>
        <v>0</v>
      </c>
      <c r="M550">
        <f>IF(OR($M$1="",对接源_01水果!$C550="",对接源_01水果!$C550&lt;&gt;$M$1,对接源_01水果!$B550=""),0,IF(OR(N(对接源_01水果!$B550)&lt;$M$2,N(对接源_01水果!$B550)&gt;$M$3),0,1))</f>
        <v>0</v>
      </c>
      <c r="N550">
        <f>IF(OR($N$1="",对接源_01水果!$C550="",对接源_01水果!$C550&lt;&gt;$N$1,对接源_01水果!$B550=""),0,IF(OR(N(对接源_01水果!$B550)&lt;$N$2,N(对接源_01水果!$B550)&gt;$N$3),0,1))</f>
        <v>0</v>
      </c>
      <c r="P550">
        <f>IF(AND($K550=1,AND(对接源_01水果!$X550="公司筐",N(对接源_01水果!$T550)&lt;&gt;0)),1,0)</f>
        <v>0</v>
      </c>
      <c r="Q550">
        <f>N(Q549)+$P550</f>
        <v>0</v>
      </c>
      <c r="R550">
        <f>IF(AND($K550=1,AND(对接源_01水果!$X550="公司筐",N(对接源_01水果!$U550)&lt;&gt;0)),1,0)</f>
        <v>0</v>
      </c>
      <c r="S550">
        <f>N(S549)+$R550</f>
        <v>0</v>
      </c>
      <c r="T550">
        <f>IF(AND($K550=1,AND(对接源_01水果!$X550="公司筐",N(对接源_01水果!$V550)&lt;&gt;0)),1,0)</f>
        <v>0</v>
      </c>
      <c r="U550">
        <f>N(U549)+$T550</f>
        <v>47</v>
      </c>
      <c r="V550">
        <f>IF(AND($L550=1,AND(对接源_01水果!$X550="自备筐",N(对接源_01水果!$V550)&lt;&gt;0)),1,0)</f>
        <v>0</v>
      </c>
      <c r="W550">
        <f>N(W549)+$V550</f>
        <v>11</v>
      </c>
      <c r="X550">
        <f>IF(AND($L550=1,AND(对接源_01水果!$X550="自备筐",N(对接源_01水果!$T550)&lt;&gt;0)),1,0)</f>
        <v>0</v>
      </c>
      <c r="Y550">
        <f>N(Y549)+$X550</f>
        <v>0</v>
      </c>
      <c r="Z550">
        <f>IF(AND($M550=1,对接源_01水果!$D550="原料入库"),1,0)</f>
        <v>0</v>
      </c>
      <c r="AA550">
        <f>N(AA549)+$Z550</f>
        <v>24</v>
      </c>
      <c r="AB550">
        <f>IF(AND($M550=1,LEFT(对接源_01水果!$D550,4)="原料出库"),1,0)</f>
        <v>0</v>
      </c>
      <c r="AC550">
        <f>N(AC549)+$AB550</f>
        <v>0</v>
      </c>
      <c r="AD550">
        <f>IF(AND($M550=1,LEFT(对接源_01水果!$D550,4)="成品出库"),1,0)</f>
        <v>0</v>
      </c>
      <c r="AE550">
        <f>N(AE549)+$AD550</f>
        <v>0</v>
      </c>
      <c r="AF550">
        <f>IF(AND($N550=1,AND(LEFT(对接源_01水果!$D550,4)="包装物料",N(对接源_01水果!$K550)&lt;&gt;0)),1,0)</f>
        <v>0</v>
      </c>
      <c r="AG550">
        <f>N(AG549)+$AF550</f>
        <v>0</v>
      </c>
      <c r="AH550">
        <f>IF(AND($N550=1,AND(对接源_01水果!$D550="周转筐－销售出库",N(对接源_01水果!$K550)&lt;&gt;0)),1,0)</f>
        <v>0</v>
      </c>
      <c r="AI550">
        <f>N(AI549)+$AH550</f>
        <v>0</v>
      </c>
      <c r="AJ550" s="7" t="n"/>
      <c r="AL550">
        <f>IF(OR($AL$1="",对接源_01水果!$Y550="",对接源_01水果!$Y550&lt;&gt;$AL$1,对接源_01水果!$B550="",N(对接源_01水果!$AJ550)&lt;=0),0,IF(OR(N(对接源_01水果!$B550)&lt;$AL$2,N(对接源_01水果!$B550)&gt;$AL$3),0,1))</f>
        <v>0</v>
      </c>
      <c r="AM550">
        <f>N(AM549)+$AL550</f>
        <v>0</v>
      </c>
      <c r="AN550">
        <f>IF(对接源_01水果!$AC550="","",对接源_01水果!$AC550)</f>
      </c>
      <c r="AO550">
        <f>IF(AN550="",0,IF(MATCH(AN550,$AN$4:$AN$1203,0)=ROW()-3,1,0))</f>
        <v>0</v>
      </c>
      <c r="AP550">
        <f>N(AP549)+$AO550</f>
        <v>0</v>
      </c>
      <c r="AR550">
        <f>IF(OR($AF550=1,$AH550=1),1,0)</f>
        <v>0</v>
      </c>
      <c r="AS550">
        <f>N(AS549)+$AR550</f>
        <v>0</v>
      </c>
    </row>
    <row r="551" ht="14.25" customHeight="1" s="127">
      <c r="A551" t="str">
        <f>IF(对接源_01水果!$C551="","",对接源_01水果!$C551)</f>
        <v>王照雪</v>
      </c>
      <c r="B551">
        <f>IF(A551="",0,IF(MATCH(A551,$A$4:$A$2403,0)=ROW()-3,1,0))</f>
        <v>0</v>
      </c>
      <c r="C551">
        <f>N(C550)+B551</f>
        <v>22</v>
      </c>
      <c r="K551">
        <f>IF(OR($K$1="",对接源_01水果!$C551="",对接源_01水果!$C551&lt;&gt;$K$1,对接源_01水果!$B551=""),0,IF(OR(N(对接源_01水果!$B551)&lt;$K$2,N(对接源_01水果!$B551)&gt;$K$3),0,1))</f>
        <v>0</v>
      </c>
      <c r="L551">
        <f>IF(OR($L$1="",对接源_01水果!$C551="",对接源_01水果!$C551&lt;&gt;$L$1,对接源_01水果!$B551=""),0,IF(OR(N(对接源_01水果!$B551)&lt;$L$2,N(对接源_01水果!$B551)&gt;$L$3),0,1))</f>
        <v>0</v>
      </c>
      <c r="M551">
        <f>IF(OR($M$1="",对接源_01水果!$C551="",对接源_01水果!$C551&lt;&gt;$M$1,对接源_01水果!$B551=""),0,IF(OR(N(对接源_01水果!$B551)&lt;$M$2,N(对接源_01水果!$B551)&gt;$M$3),0,1))</f>
        <v>0</v>
      </c>
      <c r="N551">
        <f>IF(OR($N$1="",对接源_01水果!$C551="",对接源_01水果!$C551&lt;&gt;$N$1,对接源_01水果!$B551=""),0,IF(OR(N(对接源_01水果!$B551)&lt;$N$2,N(对接源_01水果!$B551)&gt;$N$3),0,1))</f>
        <v>0</v>
      </c>
      <c r="P551">
        <f>IF(AND($K551=1,AND(对接源_01水果!$X551="公司筐",N(对接源_01水果!$T551)&lt;&gt;0)),1,0)</f>
        <v>0</v>
      </c>
      <c r="Q551">
        <f>N(Q550)+$P551</f>
        <v>0</v>
      </c>
      <c r="R551">
        <f>IF(AND($K551=1,AND(对接源_01水果!$X551="公司筐",N(对接源_01水果!$U551)&lt;&gt;0)),1,0)</f>
        <v>0</v>
      </c>
      <c r="S551">
        <f>N(S550)+$R551</f>
        <v>0</v>
      </c>
      <c r="T551">
        <f>IF(AND($K551=1,AND(对接源_01水果!$X551="公司筐",N(对接源_01水果!$V551)&lt;&gt;0)),1,0)</f>
        <v>0</v>
      </c>
      <c r="U551">
        <f>N(U550)+$T551</f>
        <v>47</v>
      </c>
      <c r="V551">
        <f>IF(AND($L551=1,AND(对接源_01水果!$X551="自备筐",N(对接源_01水果!$V551)&lt;&gt;0)),1,0)</f>
        <v>0</v>
      </c>
      <c r="W551">
        <f>N(W550)+$V551</f>
        <v>11</v>
      </c>
      <c r="X551">
        <f>IF(AND($L551=1,AND(对接源_01水果!$X551="自备筐",N(对接源_01水果!$T551)&lt;&gt;0)),1,0)</f>
        <v>0</v>
      </c>
      <c r="Y551">
        <f>N(Y550)+$X551</f>
        <v>0</v>
      </c>
      <c r="Z551">
        <f>IF(AND($M551=1,对接源_01水果!$D551="原料入库"),1,0)</f>
        <v>0</v>
      </c>
      <c r="AA551">
        <f>N(AA550)+$Z551</f>
        <v>24</v>
      </c>
      <c r="AB551">
        <f>IF(AND($M551=1,LEFT(对接源_01水果!$D551,4)="原料出库"),1,0)</f>
        <v>0</v>
      </c>
      <c r="AC551">
        <f>N(AC550)+$AB551</f>
        <v>0</v>
      </c>
      <c r="AD551">
        <f>IF(AND($M551=1,LEFT(对接源_01水果!$D551,4)="成品出库"),1,0)</f>
        <v>0</v>
      </c>
      <c r="AE551">
        <f>N(AE550)+$AD551</f>
        <v>0</v>
      </c>
      <c r="AF551">
        <f>IF(AND($N551=1,AND(LEFT(对接源_01水果!$D551,4)="包装物料",N(对接源_01水果!$K551)&lt;&gt;0)),1,0)</f>
        <v>0</v>
      </c>
      <c r="AG551">
        <f>N(AG550)+$AF551</f>
        <v>0</v>
      </c>
      <c r="AH551">
        <f>IF(AND($N551=1,AND(对接源_01水果!$D551="周转筐－销售出库",N(对接源_01水果!$K551)&lt;&gt;0)),1,0)</f>
        <v>0</v>
      </c>
      <c r="AI551">
        <f>N(AI550)+$AH551</f>
        <v>0</v>
      </c>
      <c r="AJ551" s="7" t="n"/>
      <c r="AL551">
        <f>IF(OR($AL$1="",对接源_01水果!$Y551="",对接源_01水果!$Y551&lt;&gt;$AL$1,对接源_01水果!$B551="",N(对接源_01水果!$AJ551)&lt;=0),0,IF(OR(N(对接源_01水果!$B551)&lt;$AL$2,N(对接源_01水果!$B551)&gt;$AL$3),0,1))</f>
        <v>0</v>
      </c>
      <c r="AM551">
        <f>N(AM550)+$AL551</f>
        <v>0</v>
      </c>
      <c r="AN551">
        <f>IF(对接源_01水果!$AC551="","",对接源_01水果!$AC551)</f>
      </c>
      <c r="AO551">
        <f>IF(AN551="",0,IF(MATCH(AN551,$AN$4:$AN$1203,0)=ROW()-3,1,0))</f>
        <v>0</v>
      </c>
      <c r="AP551">
        <f>N(AP550)+$AO551</f>
        <v>0</v>
      </c>
      <c r="AR551">
        <f>IF(OR($AF551=1,$AH551=1),1,0)</f>
        <v>0</v>
      </c>
      <c r="AS551">
        <f>N(AS550)+$AR551</f>
        <v>0</v>
      </c>
    </row>
    <row r="552" ht="14.25" customHeight="1" s="127">
      <c r="A552" t="str">
        <f>IF(对接源_01水果!$C552="","",对接源_01水果!$C552)</f>
        <v>王灵云</v>
      </c>
      <c r="B552">
        <f>IF(A552="",0,IF(MATCH(A552,$A$4:$A$2403,0)=ROW()-3,1,0))</f>
        <v>0</v>
      </c>
      <c r="C552">
        <f>N(C551)+B552</f>
        <v>22</v>
      </c>
      <c r="K552">
        <f>IF(OR($K$1="",对接源_01水果!$C552="",对接源_01水果!$C552&lt;&gt;$K$1,对接源_01水果!$B552=""),0,IF(OR(N(对接源_01水果!$B552)&lt;$K$2,N(对接源_01水果!$B552)&gt;$K$3),0,1))</f>
        <v>1</v>
      </c>
      <c r="L552">
        <f>IF(OR($L$1="",对接源_01水果!$C552="",对接源_01水果!$C552&lt;&gt;$L$1,对接源_01水果!$B552=""),0,IF(OR(N(对接源_01水果!$B552)&lt;$L$2,N(对接源_01水果!$B552)&gt;$L$3),0,1))</f>
        <v>0</v>
      </c>
      <c r="M552">
        <f>IF(OR($M$1="",对接源_01水果!$C552="",对接源_01水果!$C552&lt;&gt;$M$1,对接源_01水果!$B552=""),0,IF(OR(N(对接源_01水果!$B552)&lt;$M$2,N(对接源_01水果!$B552)&gt;$M$3),0,1))</f>
        <v>0</v>
      </c>
      <c r="N552">
        <f>IF(OR($N$1="",对接源_01水果!$C552="",对接源_01水果!$C552&lt;&gt;$N$1,对接源_01水果!$B552=""),0,IF(OR(N(对接源_01水果!$B552)&lt;$N$2,N(对接源_01水果!$B552)&gt;$N$3),0,1))</f>
        <v>0</v>
      </c>
      <c r="P552">
        <f>IF(AND($K552=1,AND(对接源_01水果!$X552="公司筐",N(对接源_01水果!$T552)&lt;&gt;0)),1,0)</f>
        <v>0</v>
      </c>
      <c r="Q552">
        <f>N(Q551)+$P552</f>
        <v>0</v>
      </c>
      <c r="R552">
        <f>IF(AND($K552=1,AND(对接源_01水果!$X552="公司筐",N(对接源_01水果!$U552)&lt;&gt;0)),1,0)</f>
        <v>0</v>
      </c>
      <c r="S552">
        <f>N(S551)+$R552</f>
        <v>0</v>
      </c>
      <c r="T552">
        <f>IF(AND($K552=1,AND(对接源_01水果!$X552="公司筐",N(对接源_01水果!$V552)&lt;&gt;0)),1,0)</f>
        <v>0</v>
      </c>
      <c r="U552">
        <f>N(U551)+$T552</f>
        <v>47</v>
      </c>
      <c r="V552">
        <f>IF(AND($L552=1,AND(对接源_01水果!$X552="自备筐",N(对接源_01水果!$V552)&lt;&gt;0)),1,0)</f>
        <v>0</v>
      </c>
      <c r="W552">
        <f>N(W551)+$V552</f>
        <v>11</v>
      </c>
      <c r="X552">
        <f>IF(AND($L552=1,AND(对接源_01水果!$X552="自备筐",N(对接源_01水果!$T552)&lt;&gt;0)),1,0)</f>
        <v>0</v>
      </c>
      <c r="Y552">
        <f>N(Y551)+$X552</f>
        <v>0</v>
      </c>
      <c r="Z552">
        <f>IF(AND($M552=1,对接源_01水果!$D552="原料入库"),1,0)</f>
        <v>0</v>
      </c>
      <c r="AA552">
        <f>N(AA551)+$Z552</f>
        <v>24</v>
      </c>
      <c r="AB552">
        <f>IF(AND($M552=1,LEFT(对接源_01水果!$D552,4)="原料出库"),1,0)</f>
        <v>0</v>
      </c>
      <c r="AC552">
        <f>N(AC551)+$AB552</f>
        <v>0</v>
      </c>
      <c r="AD552">
        <f>IF(AND($M552=1,LEFT(对接源_01水果!$D552,4)="成品出库"),1,0)</f>
        <v>0</v>
      </c>
      <c r="AE552">
        <f>N(AE551)+$AD552</f>
        <v>0</v>
      </c>
      <c r="AF552">
        <f>IF(AND($N552=1,AND(LEFT(对接源_01水果!$D552,4)="包装物料",N(对接源_01水果!$K552)&lt;&gt;0)),1,0)</f>
        <v>0</v>
      </c>
      <c r="AG552">
        <f>N(AG551)+$AF552</f>
        <v>0</v>
      </c>
      <c r="AH552">
        <f>IF(AND($N552=1,AND(对接源_01水果!$D552="周转筐－销售出库",N(对接源_01水果!$K552)&lt;&gt;0)),1,0)</f>
        <v>0</v>
      </c>
      <c r="AI552">
        <f>N(AI551)+$AH552</f>
        <v>0</v>
      </c>
      <c r="AJ552" s="7" t="n"/>
      <c r="AL552">
        <f>IF(OR($AL$1="",对接源_01水果!$Y552="",对接源_01水果!$Y552&lt;&gt;$AL$1,对接源_01水果!$B552="",N(对接源_01水果!$AJ552)&lt;=0),0,IF(OR(N(对接源_01水果!$B552)&lt;$AL$2,N(对接源_01水果!$B552)&gt;$AL$3),0,1))</f>
        <v>0</v>
      </c>
      <c r="AM552">
        <f>N(AM551)+$AL552</f>
        <v>0</v>
      </c>
      <c r="AN552">
        <f>IF(对接源_01水果!$AC552="","",对接源_01水果!$AC552)</f>
      </c>
      <c r="AO552">
        <f>IF(AN552="",0,IF(MATCH(AN552,$AN$4:$AN$1203,0)=ROW()-3,1,0))</f>
        <v>0</v>
      </c>
      <c r="AP552">
        <f>N(AP551)+$AO552</f>
        <v>0</v>
      </c>
      <c r="AR552">
        <f>IF(OR($AF552=1,$AH552=1),1,0)</f>
        <v>0</v>
      </c>
      <c r="AS552">
        <f>N(AS551)+$AR552</f>
        <v>0</v>
      </c>
    </row>
    <row r="553" ht="14.25" customHeight="1" s="127">
      <c r="A553" t="str">
        <f>IF(对接源_01水果!$C553="","",对接源_01水果!$C553)</f>
        <v>麦麦提</v>
      </c>
      <c r="B553">
        <f>IF(A553="",0,IF(MATCH(A553,$A$4:$A$2403,0)=ROW()-3,1,0))</f>
        <v>0</v>
      </c>
      <c r="C553">
        <f>N(C552)+B553</f>
        <v>22</v>
      </c>
      <c r="K553">
        <f>IF(OR($K$1="",对接源_01水果!$C553="",对接源_01水果!$C553&lt;&gt;$K$1,对接源_01水果!$B553=""),0,IF(OR(N(对接源_01水果!$B553)&lt;$K$2,N(对接源_01水果!$B553)&gt;$K$3),0,1))</f>
        <v>0</v>
      </c>
      <c r="L553">
        <f>IF(OR($L$1="",对接源_01水果!$C553="",对接源_01水果!$C553&lt;&gt;$L$1,对接源_01水果!$B553=""),0,IF(OR(N(对接源_01水果!$B553)&lt;$L$2,N(对接源_01水果!$B553)&gt;$L$3),0,1))</f>
        <v>0</v>
      </c>
      <c r="M553">
        <f>IF(OR($M$1="",对接源_01水果!$C553="",对接源_01水果!$C553&lt;&gt;$M$1,对接源_01水果!$B553=""),0,IF(OR(N(对接源_01水果!$B553)&lt;$M$2,N(对接源_01水果!$B553)&gt;$M$3),0,1))</f>
        <v>0</v>
      </c>
      <c r="N553">
        <f>IF(OR($N$1="",对接源_01水果!$C553="",对接源_01水果!$C553&lt;&gt;$N$1,对接源_01水果!$B553=""),0,IF(OR(N(对接源_01水果!$B553)&lt;$N$2,N(对接源_01水果!$B553)&gt;$N$3),0,1))</f>
        <v>1</v>
      </c>
      <c r="P553">
        <f>IF(AND($K553=1,AND(对接源_01水果!$X553="公司筐",N(对接源_01水果!$T553)&lt;&gt;0)),1,0)</f>
        <v>0</v>
      </c>
      <c r="Q553">
        <f>N(Q552)+$P553</f>
        <v>0</v>
      </c>
      <c r="R553">
        <f>IF(AND($K553=1,AND(对接源_01水果!$X553="公司筐",N(对接源_01水果!$U553)&lt;&gt;0)),1,0)</f>
        <v>0</v>
      </c>
      <c r="S553">
        <f>N(S552)+$R553</f>
        <v>0</v>
      </c>
      <c r="T553">
        <f>IF(AND($K553=1,AND(对接源_01水果!$X553="公司筐",N(对接源_01水果!$V553)&lt;&gt;0)),1,0)</f>
        <v>0</v>
      </c>
      <c r="U553">
        <f>N(U552)+$T553</f>
        <v>47</v>
      </c>
      <c r="V553">
        <f>IF(AND($L553=1,AND(对接源_01水果!$X553="自备筐",N(对接源_01水果!$V553)&lt;&gt;0)),1,0)</f>
        <v>0</v>
      </c>
      <c r="W553">
        <f>N(W552)+$V553</f>
        <v>11</v>
      </c>
      <c r="X553">
        <f>IF(AND($L553=1,AND(对接源_01水果!$X553="自备筐",N(对接源_01水果!$T553)&lt;&gt;0)),1,0)</f>
        <v>0</v>
      </c>
      <c r="Y553">
        <f>N(Y552)+$X553</f>
        <v>0</v>
      </c>
      <c r="Z553">
        <f>IF(AND($M553=1,对接源_01水果!$D553="原料入库"),1,0)</f>
        <v>0</v>
      </c>
      <c r="AA553">
        <f>N(AA552)+$Z553</f>
        <v>24</v>
      </c>
      <c r="AB553">
        <f>IF(AND($M553=1,LEFT(对接源_01水果!$D553,4)="原料出库"),1,0)</f>
        <v>0</v>
      </c>
      <c r="AC553">
        <f>N(AC552)+$AB553</f>
        <v>0</v>
      </c>
      <c r="AD553">
        <f>IF(AND($M553=1,LEFT(对接源_01水果!$D553,4)="成品出库"),1,0)</f>
        <v>0</v>
      </c>
      <c r="AE553">
        <f>N(AE552)+$AD553</f>
        <v>0</v>
      </c>
      <c r="AF553">
        <f>IF(AND($N553=1,AND(LEFT(对接源_01水果!$D553,4)="包装物料",N(对接源_01水果!$K553)&lt;&gt;0)),1,0)</f>
        <v>0</v>
      </c>
      <c r="AG553">
        <f>N(AG552)+$AF553</f>
        <v>0</v>
      </c>
      <c r="AH553">
        <f>IF(AND($N553=1,AND(对接源_01水果!$D553="周转筐－销售出库",N(对接源_01水果!$K553)&lt;&gt;0)),1,0)</f>
        <v>0</v>
      </c>
      <c r="AI553">
        <f>N(AI552)+$AH553</f>
        <v>0</v>
      </c>
      <c r="AJ553" s="7" t="n"/>
      <c r="AL553">
        <f>IF(OR($AL$1="",对接源_01水果!$Y553="",对接源_01水果!$Y553&lt;&gt;$AL$1,对接源_01水果!$B553="",N(对接源_01水果!$AJ553)&lt;=0),0,IF(OR(N(对接源_01水果!$B553)&lt;$AL$2,N(对接源_01水果!$B553)&gt;$AL$3),0,1))</f>
        <v>0</v>
      </c>
      <c r="AM553">
        <f>N(AM552)+$AL553</f>
        <v>0</v>
      </c>
      <c r="AN553">
        <f>IF(对接源_01水果!$AC553="","",对接源_01水果!$AC553)</f>
      </c>
      <c r="AO553">
        <f>IF(AN553="",0,IF(MATCH(AN553,$AN$4:$AN$1203,0)=ROW()-3,1,0))</f>
        <v>0</v>
      </c>
      <c r="AP553">
        <f>N(AP552)+$AO553</f>
        <v>0</v>
      </c>
      <c r="AR553">
        <f>IF(OR($AF553=1,$AH553=1),1,0)</f>
        <v>0</v>
      </c>
      <c r="AS553">
        <f>N(AS552)+$AR553</f>
        <v>0</v>
      </c>
    </row>
    <row r="554" ht="14.25" customHeight="1" s="127">
      <c r="A554" t="str">
        <f>IF(对接源_01水果!$C554="","",对接源_01水果!$C554)</f>
        <v>王灵云</v>
      </c>
      <c r="B554">
        <f>IF(A554="",0,IF(MATCH(A554,$A$4:$A$2403,0)=ROW()-3,1,0))</f>
        <v>0</v>
      </c>
      <c r="C554">
        <f>N(C553)+B554</f>
        <v>22</v>
      </c>
      <c r="K554">
        <f>IF(OR($K$1="",对接源_01水果!$C554="",对接源_01水果!$C554&lt;&gt;$K$1,对接源_01水果!$B554=""),0,IF(OR(N(对接源_01水果!$B554)&lt;$K$2,N(对接源_01水果!$B554)&gt;$K$3),0,1))</f>
        <v>1</v>
      </c>
      <c r="L554">
        <f>IF(OR($L$1="",对接源_01水果!$C554="",对接源_01水果!$C554&lt;&gt;$L$1,对接源_01水果!$B554=""),0,IF(OR(N(对接源_01水果!$B554)&lt;$L$2,N(对接源_01水果!$B554)&gt;$L$3),0,1))</f>
        <v>0</v>
      </c>
      <c r="M554">
        <f>IF(OR($M$1="",对接源_01水果!$C554="",对接源_01水果!$C554&lt;&gt;$M$1,对接源_01水果!$B554=""),0,IF(OR(N(对接源_01水果!$B554)&lt;$M$2,N(对接源_01水果!$B554)&gt;$M$3),0,1))</f>
        <v>0</v>
      </c>
      <c r="N554">
        <f>IF(OR($N$1="",对接源_01水果!$C554="",对接源_01水果!$C554&lt;&gt;$N$1,对接源_01水果!$B554=""),0,IF(OR(N(对接源_01水果!$B554)&lt;$N$2,N(对接源_01水果!$B554)&gt;$N$3),0,1))</f>
        <v>0</v>
      </c>
      <c r="P554">
        <f>IF(AND($K554=1,AND(对接源_01水果!$X554="公司筐",N(对接源_01水果!$T554)&lt;&gt;0)),1,0)</f>
        <v>0</v>
      </c>
      <c r="Q554">
        <f>N(Q553)+$P554</f>
        <v>0</v>
      </c>
      <c r="R554">
        <f>IF(AND($K554=1,AND(对接源_01水果!$X554="公司筐",N(对接源_01水果!$U554)&lt;&gt;0)),1,0)</f>
        <v>0</v>
      </c>
      <c r="S554">
        <f>N(S553)+$R554</f>
        <v>0</v>
      </c>
      <c r="T554">
        <f>IF(AND($K554=1,AND(对接源_01水果!$X554="公司筐",N(对接源_01水果!$V554)&lt;&gt;0)),1,0)</f>
        <v>0</v>
      </c>
      <c r="U554">
        <f>N(U553)+$T554</f>
        <v>47</v>
      </c>
      <c r="V554">
        <f>IF(AND($L554=1,AND(对接源_01水果!$X554="自备筐",N(对接源_01水果!$V554)&lt;&gt;0)),1,0)</f>
        <v>0</v>
      </c>
      <c r="W554">
        <f>N(W553)+$V554</f>
        <v>11</v>
      </c>
      <c r="X554">
        <f>IF(AND($L554=1,AND(对接源_01水果!$X554="自备筐",N(对接源_01水果!$T554)&lt;&gt;0)),1,0)</f>
        <v>0</v>
      </c>
      <c r="Y554">
        <f>N(Y553)+$X554</f>
        <v>0</v>
      </c>
      <c r="Z554">
        <f>IF(AND($M554=1,对接源_01水果!$D554="原料入库"),1,0)</f>
        <v>0</v>
      </c>
      <c r="AA554">
        <f>N(AA553)+$Z554</f>
        <v>24</v>
      </c>
      <c r="AB554">
        <f>IF(AND($M554=1,LEFT(对接源_01水果!$D554,4)="原料出库"),1,0)</f>
        <v>0</v>
      </c>
      <c r="AC554">
        <f>N(AC553)+$AB554</f>
        <v>0</v>
      </c>
      <c r="AD554">
        <f>IF(AND($M554=1,LEFT(对接源_01水果!$D554,4)="成品出库"),1,0)</f>
        <v>0</v>
      </c>
      <c r="AE554">
        <f>N(AE553)+$AD554</f>
        <v>0</v>
      </c>
      <c r="AF554">
        <f>IF(AND($N554=1,AND(LEFT(对接源_01水果!$D554,4)="包装物料",N(对接源_01水果!$K554)&lt;&gt;0)),1,0)</f>
        <v>0</v>
      </c>
      <c r="AG554">
        <f>N(AG553)+$AF554</f>
        <v>0</v>
      </c>
      <c r="AH554">
        <f>IF(AND($N554=1,AND(对接源_01水果!$D554="周转筐－销售出库",N(对接源_01水果!$K554)&lt;&gt;0)),1,0)</f>
        <v>0</v>
      </c>
      <c r="AI554">
        <f>N(AI553)+$AH554</f>
        <v>0</v>
      </c>
      <c r="AJ554" s="7" t="n"/>
      <c r="AL554">
        <f>IF(OR($AL$1="",对接源_01水果!$Y554="",对接源_01水果!$Y554&lt;&gt;$AL$1,对接源_01水果!$B554="",N(对接源_01水果!$AJ554)&lt;=0),0,IF(OR(N(对接源_01水果!$B554)&lt;$AL$2,N(对接源_01水果!$B554)&gt;$AL$3),0,1))</f>
        <v>0</v>
      </c>
      <c r="AM554">
        <f>N(AM553)+$AL554</f>
        <v>0</v>
      </c>
      <c r="AN554">
        <f>IF(对接源_01水果!$AC554="","",对接源_01水果!$AC554)</f>
      </c>
      <c r="AO554">
        <f>IF(AN554="",0,IF(MATCH(AN554,$AN$4:$AN$1203,0)=ROW()-3,1,0))</f>
        <v>0</v>
      </c>
      <c r="AP554">
        <f>N(AP553)+$AO554</f>
        <v>0</v>
      </c>
      <c r="AR554">
        <f>IF(OR($AF554=1,$AH554=1),1,0)</f>
        <v>0</v>
      </c>
      <c r="AS554">
        <f>N(AS553)+$AR554</f>
        <v>0</v>
      </c>
    </row>
    <row r="555" ht="14.25" customHeight="1" s="127">
      <c r="A555" t="str">
        <f>IF(对接源_01水果!$C555="","",对接源_01水果!$C555)</f>
        <v>王照雪</v>
      </c>
      <c r="B555">
        <f>IF(A555="",0,IF(MATCH(A555,$A$4:$A$2403,0)=ROW()-3,1,0))</f>
        <v>0</v>
      </c>
      <c r="C555">
        <f>N(C554)+B555</f>
        <v>22</v>
      </c>
      <c r="K555">
        <f>IF(OR($K$1="",对接源_01水果!$C555="",对接源_01水果!$C555&lt;&gt;$K$1,对接源_01水果!$B555=""),0,IF(OR(N(对接源_01水果!$B555)&lt;$K$2,N(对接源_01水果!$B555)&gt;$K$3),0,1))</f>
        <v>0</v>
      </c>
      <c r="L555">
        <f>IF(OR($L$1="",对接源_01水果!$C555="",对接源_01水果!$C555&lt;&gt;$L$1,对接源_01水果!$B555=""),0,IF(OR(N(对接源_01水果!$B555)&lt;$L$2,N(对接源_01水果!$B555)&gt;$L$3),0,1))</f>
        <v>0</v>
      </c>
      <c r="M555">
        <f>IF(OR($M$1="",对接源_01水果!$C555="",对接源_01水果!$C555&lt;&gt;$M$1,对接源_01水果!$B555=""),0,IF(OR(N(对接源_01水果!$B555)&lt;$M$2,N(对接源_01水果!$B555)&gt;$M$3),0,1))</f>
        <v>0</v>
      </c>
      <c r="N555">
        <f>IF(OR($N$1="",对接源_01水果!$C555="",对接源_01水果!$C555&lt;&gt;$N$1,对接源_01水果!$B555=""),0,IF(OR(N(对接源_01水果!$B555)&lt;$N$2,N(对接源_01水果!$B555)&gt;$N$3),0,1))</f>
        <v>0</v>
      </c>
      <c r="P555">
        <f>IF(AND($K555=1,AND(对接源_01水果!$X555="公司筐",N(对接源_01水果!$T555)&lt;&gt;0)),1,0)</f>
        <v>0</v>
      </c>
      <c r="Q555">
        <f>N(Q554)+$P555</f>
        <v>0</v>
      </c>
      <c r="R555">
        <f>IF(AND($K555=1,AND(对接源_01水果!$X555="公司筐",N(对接源_01水果!$U555)&lt;&gt;0)),1,0)</f>
        <v>0</v>
      </c>
      <c r="S555">
        <f>N(S554)+$R555</f>
        <v>0</v>
      </c>
      <c r="T555">
        <f>IF(AND($K555=1,AND(对接源_01水果!$X555="公司筐",N(对接源_01水果!$V555)&lt;&gt;0)),1,0)</f>
        <v>0</v>
      </c>
      <c r="U555">
        <f>N(U554)+$T555</f>
        <v>47</v>
      </c>
      <c r="V555">
        <f>IF(AND($L555=1,AND(对接源_01水果!$X555="自备筐",N(对接源_01水果!$V555)&lt;&gt;0)),1,0)</f>
        <v>0</v>
      </c>
      <c r="W555">
        <f>N(W554)+$V555</f>
        <v>11</v>
      </c>
      <c r="X555">
        <f>IF(AND($L555=1,AND(对接源_01水果!$X555="自备筐",N(对接源_01水果!$T555)&lt;&gt;0)),1,0)</f>
        <v>0</v>
      </c>
      <c r="Y555">
        <f>N(Y554)+$X555</f>
        <v>0</v>
      </c>
      <c r="Z555">
        <f>IF(AND($M555=1,对接源_01水果!$D555="原料入库"),1,0)</f>
        <v>0</v>
      </c>
      <c r="AA555">
        <f>N(AA554)+$Z555</f>
        <v>24</v>
      </c>
      <c r="AB555">
        <f>IF(AND($M555=1,LEFT(对接源_01水果!$D555,4)="原料出库"),1,0)</f>
        <v>0</v>
      </c>
      <c r="AC555">
        <f>N(AC554)+$AB555</f>
        <v>0</v>
      </c>
      <c r="AD555">
        <f>IF(AND($M555=1,LEFT(对接源_01水果!$D555,4)="成品出库"),1,0)</f>
        <v>0</v>
      </c>
      <c r="AE555">
        <f>N(AE554)+$AD555</f>
        <v>0</v>
      </c>
      <c r="AF555">
        <f>IF(AND($N555=1,AND(LEFT(对接源_01水果!$D555,4)="包装物料",N(对接源_01水果!$K555)&lt;&gt;0)),1,0)</f>
        <v>0</v>
      </c>
      <c r="AG555">
        <f>N(AG554)+$AF555</f>
        <v>0</v>
      </c>
      <c r="AH555">
        <f>IF(AND($N555=1,AND(对接源_01水果!$D555="周转筐－销售出库",N(对接源_01水果!$K555)&lt;&gt;0)),1,0)</f>
        <v>0</v>
      </c>
      <c r="AI555">
        <f>N(AI554)+$AH555</f>
        <v>0</v>
      </c>
      <c r="AJ555" s="7" t="n"/>
      <c r="AL555">
        <f>IF(OR($AL$1="",对接源_01水果!$Y555="",对接源_01水果!$Y555&lt;&gt;$AL$1,对接源_01水果!$B555="",N(对接源_01水果!$AJ555)&lt;=0),0,IF(OR(N(对接源_01水果!$B555)&lt;$AL$2,N(对接源_01水果!$B555)&gt;$AL$3),0,1))</f>
        <v>0</v>
      </c>
      <c r="AM555">
        <f>N(AM554)+$AL555</f>
        <v>0</v>
      </c>
      <c r="AN555">
        <f>IF(对接源_01水果!$AC555="","",对接源_01水果!$AC555)</f>
      </c>
      <c r="AO555">
        <f>IF(AN555="",0,IF(MATCH(AN555,$AN$4:$AN$1203,0)=ROW()-3,1,0))</f>
        <v>0</v>
      </c>
      <c r="AP555">
        <f>N(AP554)+$AO555</f>
        <v>0</v>
      </c>
      <c r="AR555">
        <f>IF(OR($AF555=1,$AH555=1),1,0)</f>
        <v>0</v>
      </c>
      <c r="AS555">
        <f>N(AS554)+$AR555</f>
        <v>0</v>
      </c>
    </row>
    <row r="556" ht="14.25" customHeight="1" s="127">
      <c r="A556" t="str">
        <f>IF(对接源_01水果!$C556="","",对接源_01水果!$C556)</f>
        <v>王灵云</v>
      </c>
      <c r="B556">
        <f>IF(A556="",0,IF(MATCH(A556,$A$4:$A$2403,0)=ROW()-3,1,0))</f>
        <v>0</v>
      </c>
      <c r="C556">
        <f>N(C555)+B556</f>
        <v>22</v>
      </c>
      <c r="K556">
        <f>IF(OR($K$1="",对接源_01水果!$C556="",对接源_01水果!$C556&lt;&gt;$K$1,对接源_01水果!$B556=""),0,IF(OR(N(对接源_01水果!$B556)&lt;$K$2,N(对接源_01水果!$B556)&gt;$K$3),0,1))</f>
        <v>1</v>
      </c>
      <c r="L556">
        <f>IF(OR($L$1="",对接源_01水果!$C556="",对接源_01水果!$C556&lt;&gt;$L$1,对接源_01水果!$B556=""),0,IF(OR(N(对接源_01水果!$B556)&lt;$L$2,N(对接源_01水果!$B556)&gt;$L$3),0,1))</f>
        <v>0</v>
      </c>
      <c r="M556">
        <f>IF(OR($M$1="",对接源_01水果!$C556="",对接源_01水果!$C556&lt;&gt;$M$1,对接源_01水果!$B556=""),0,IF(OR(N(对接源_01水果!$B556)&lt;$M$2,N(对接源_01水果!$B556)&gt;$M$3),0,1))</f>
        <v>0</v>
      </c>
      <c r="N556">
        <f>IF(OR($N$1="",对接源_01水果!$C556="",对接源_01水果!$C556&lt;&gt;$N$1,对接源_01水果!$B556=""),0,IF(OR(N(对接源_01水果!$B556)&lt;$N$2,N(对接源_01水果!$B556)&gt;$N$3),0,1))</f>
        <v>0</v>
      </c>
      <c r="P556">
        <f>IF(AND($K556=1,AND(对接源_01水果!$X556="公司筐",N(对接源_01水果!$T556)&lt;&gt;0)),1,0)</f>
        <v>0</v>
      </c>
      <c r="Q556">
        <f>N(Q555)+$P556</f>
        <v>0</v>
      </c>
      <c r="R556">
        <f>IF(AND($K556=1,AND(对接源_01水果!$X556="公司筐",N(对接源_01水果!$U556)&lt;&gt;0)),1,0)</f>
        <v>0</v>
      </c>
      <c r="S556">
        <f>N(S555)+$R556</f>
        <v>0</v>
      </c>
      <c r="T556">
        <f>IF(AND($K556=1,AND(对接源_01水果!$X556="公司筐",N(对接源_01水果!$V556)&lt;&gt;0)),1,0)</f>
        <v>0</v>
      </c>
      <c r="U556">
        <f>N(U555)+$T556</f>
        <v>47</v>
      </c>
      <c r="V556">
        <f>IF(AND($L556=1,AND(对接源_01水果!$X556="自备筐",N(对接源_01水果!$V556)&lt;&gt;0)),1,0)</f>
        <v>0</v>
      </c>
      <c r="W556">
        <f>N(W555)+$V556</f>
        <v>11</v>
      </c>
      <c r="X556">
        <f>IF(AND($L556=1,AND(对接源_01水果!$X556="自备筐",N(对接源_01水果!$T556)&lt;&gt;0)),1,0)</f>
        <v>0</v>
      </c>
      <c r="Y556">
        <f>N(Y555)+$X556</f>
        <v>0</v>
      </c>
      <c r="Z556">
        <f>IF(AND($M556=1,对接源_01水果!$D556="原料入库"),1,0)</f>
        <v>0</v>
      </c>
      <c r="AA556">
        <f>N(AA555)+$Z556</f>
        <v>24</v>
      </c>
      <c r="AB556">
        <f>IF(AND($M556=1,LEFT(对接源_01水果!$D556,4)="原料出库"),1,0)</f>
        <v>0</v>
      </c>
      <c r="AC556">
        <f>N(AC555)+$AB556</f>
        <v>0</v>
      </c>
      <c r="AD556">
        <f>IF(AND($M556=1,LEFT(对接源_01水果!$D556,4)="成品出库"),1,0)</f>
        <v>0</v>
      </c>
      <c r="AE556">
        <f>N(AE555)+$AD556</f>
        <v>0</v>
      </c>
      <c r="AF556">
        <f>IF(AND($N556=1,AND(LEFT(对接源_01水果!$D556,4)="包装物料",N(对接源_01水果!$K556)&lt;&gt;0)),1,0)</f>
        <v>0</v>
      </c>
      <c r="AG556">
        <f>N(AG555)+$AF556</f>
        <v>0</v>
      </c>
      <c r="AH556">
        <f>IF(AND($N556=1,AND(对接源_01水果!$D556="周转筐－销售出库",N(对接源_01水果!$K556)&lt;&gt;0)),1,0)</f>
        <v>0</v>
      </c>
      <c r="AI556">
        <f>N(AI555)+$AH556</f>
        <v>0</v>
      </c>
      <c r="AJ556" s="7" t="n"/>
      <c r="AL556">
        <f>IF(OR($AL$1="",对接源_01水果!$Y556="",对接源_01水果!$Y556&lt;&gt;$AL$1,对接源_01水果!$B556="",N(对接源_01水果!$AJ556)&lt;=0),0,IF(OR(N(对接源_01水果!$B556)&lt;$AL$2,N(对接源_01水果!$B556)&gt;$AL$3),0,1))</f>
        <v>0</v>
      </c>
      <c r="AM556">
        <f>N(AM555)+$AL556</f>
        <v>0</v>
      </c>
      <c r="AN556">
        <f>IF(对接源_01水果!$AC556="","",对接源_01水果!$AC556)</f>
      </c>
      <c r="AO556">
        <f>IF(AN556="",0,IF(MATCH(AN556,$AN$4:$AN$1203,0)=ROW()-3,1,0))</f>
        <v>0</v>
      </c>
      <c r="AP556">
        <f>N(AP555)+$AO556</f>
        <v>0</v>
      </c>
      <c r="AR556">
        <f>IF(OR($AF556=1,$AH556=1),1,0)</f>
        <v>0</v>
      </c>
      <c r="AS556">
        <f>N(AS555)+$AR556</f>
        <v>0</v>
      </c>
    </row>
    <row r="557" ht="14.25" customHeight="1" s="127">
      <c r="A557" t="str">
        <f>IF(对接源_01水果!$C557="","",对接源_01水果!$C557)</f>
        <v>王照雪</v>
      </c>
      <c r="B557">
        <f>IF(A557="",0,IF(MATCH(A557,$A$4:$A$2403,0)=ROW()-3,1,0))</f>
        <v>0</v>
      </c>
      <c r="C557">
        <f>N(C556)+B557</f>
        <v>22</v>
      </c>
      <c r="K557">
        <f>IF(OR($K$1="",对接源_01水果!$C557="",对接源_01水果!$C557&lt;&gt;$K$1,对接源_01水果!$B557=""),0,IF(OR(N(对接源_01水果!$B557)&lt;$K$2,N(对接源_01水果!$B557)&gt;$K$3),0,1))</f>
        <v>0</v>
      </c>
      <c r="L557">
        <f>IF(OR($L$1="",对接源_01水果!$C557="",对接源_01水果!$C557&lt;&gt;$L$1,对接源_01水果!$B557=""),0,IF(OR(N(对接源_01水果!$B557)&lt;$L$2,N(对接源_01水果!$B557)&gt;$L$3),0,1))</f>
        <v>0</v>
      </c>
      <c r="M557">
        <f>IF(OR($M$1="",对接源_01水果!$C557="",对接源_01水果!$C557&lt;&gt;$M$1,对接源_01水果!$B557=""),0,IF(OR(N(对接源_01水果!$B557)&lt;$M$2,N(对接源_01水果!$B557)&gt;$M$3),0,1))</f>
        <v>0</v>
      </c>
      <c r="N557">
        <f>IF(OR($N$1="",对接源_01水果!$C557="",对接源_01水果!$C557&lt;&gt;$N$1,对接源_01水果!$B557=""),0,IF(OR(N(对接源_01水果!$B557)&lt;$N$2,N(对接源_01水果!$B557)&gt;$N$3),0,1))</f>
        <v>0</v>
      </c>
      <c r="P557">
        <f>IF(AND($K557=1,AND(对接源_01水果!$X557="公司筐",N(对接源_01水果!$T557)&lt;&gt;0)),1,0)</f>
        <v>0</v>
      </c>
      <c r="Q557">
        <f>N(Q556)+$P557</f>
        <v>0</v>
      </c>
      <c r="R557">
        <f>IF(AND($K557=1,AND(对接源_01水果!$X557="公司筐",N(对接源_01水果!$U557)&lt;&gt;0)),1,0)</f>
        <v>0</v>
      </c>
      <c r="S557">
        <f>N(S556)+$R557</f>
        <v>0</v>
      </c>
      <c r="T557">
        <f>IF(AND($K557=1,AND(对接源_01水果!$X557="公司筐",N(对接源_01水果!$V557)&lt;&gt;0)),1,0)</f>
        <v>0</v>
      </c>
      <c r="U557">
        <f>N(U556)+$T557</f>
        <v>47</v>
      </c>
      <c r="V557">
        <f>IF(AND($L557=1,AND(对接源_01水果!$X557="自备筐",N(对接源_01水果!$V557)&lt;&gt;0)),1,0)</f>
        <v>0</v>
      </c>
      <c r="W557">
        <f>N(W556)+$V557</f>
        <v>11</v>
      </c>
      <c r="X557">
        <f>IF(AND($L557=1,AND(对接源_01水果!$X557="自备筐",N(对接源_01水果!$T557)&lt;&gt;0)),1,0)</f>
        <v>0</v>
      </c>
      <c r="Y557">
        <f>N(Y556)+$X557</f>
        <v>0</v>
      </c>
      <c r="Z557">
        <f>IF(AND($M557=1,对接源_01水果!$D557="原料入库"),1,0)</f>
        <v>0</v>
      </c>
      <c r="AA557">
        <f>N(AA556)+$Z557</f>
        <v>24</v>
      </c>
      <c r="AB557">
        <f>IF(AND($M557=1,LEFT(对接源_01水果!$D557,4)="原料出库"),1,0)</f>
        <v>0</v>
      </c>
      <c r="AC557">
        <f>N(AC556)+$AB557</f>
        <v>0</v>
      </c>
      <c r="AD557">
        <f>IF(AND($M557=1,LEFT(对接源_01水果!$D557,4)="成品出库"),1,0)</f>
        <v>0</v>
      </c>
      <c r="AE557">
        <f>N(AE556)+$AD557</f>
        <v>0</v>
      </c>
      <c r="AF557">
        <f>IF(AND($N557=1,AND(LEFT(对接源_01水果!$D557,4)="包装物料",N(对接源_01水果!$K557)&lt;&gt;0)),1,0)</f>
        <v>0</v>
      </c>
      <c r="AG557">
        <f>N(AG556)+$AF557</f>
        <v>0</v>
      </c>
      <c r="AH557">
        <f>IF(AND($N557=1,AND(对接源_01水果!$D557="周转筐－销售出库",N(对接源_01水果!$K557)&lt;&gt;0)),1,0)</f>
        <v>0</v>
      </c>
      <c r="AI557">
        <f>N(AI556)+$AH557</f>
        <v>0</v>
      </c>
      <c r="AJ557" s="7" t="n"/>
      <c r="AL557">
        <f>IF(OR($AL$1="",对接源_01水果!$Y557="",对接源_01水果!$Y557&lt;&gt;$AL$1,对接源_01水果!$B557="",N(对接源_01水果!$AJ557)&lt;=0),0,IF(OR(N(对接源_01水果!$B557)&lt;$AL$2,N(对接源_01水果!$B557)&gt;$AL$3),0,1))</f>
        <v>0</v>
      </c>
      <c r="AM557">
        <f>N(AM556)+$AL557</f>
        <v>0</v>
      </c>
      <c r="AN557">
        <f>IF(对接源_01水果!$AC557="","",对接源_01水果!$AC557)</f>
      </c>
      <c r="AO557">
        <f>IF(AN557="",0,IF(MATCH(AN557,$AN$4:$AN$1203,0)=ROW()-3,1,0))</f>
        <v>0</v>
      </c>
      <c r="AP557">
        <f>N(AP556)+$AO557</f>
        <v>0</v>
      </c>
      <c r="AR557">
        <f>IF(OR($AF557=1,$AH557=1),1,0)</f>
        <v>0</v>
      </c>
      <c r="AS557">
        <f>N(AS556)+$AR557</f>
        <v>0</v>
      </c>
    </row>
    <row r="558" ht="14.25" customHeight="1" s="127">
      <c r="A558" t="str">
        <f>IF(对接源_01水果!$C558="","",对接源_01水果!$C558)</f>
        <v>王浩</v>
      </c>
      <c r="B558">
        <f>IF(A558="",0,IF(MATCH(A558,$A$4:$A$2403,0)=ROW()-3,1,0))</f>
        <v>0</v>
      </c>
      <c r="C558">
        <f>N(C557)+B558</f>
        <v>22</v>
      </c>
      <c r="K558">
        <f>IF(OR($K$1="",对接源_01水果!$C558="",对接源_01水果!$C558&lt;&gt;$K$1,对接源_01水果!$B558=""),0,IF(OR(N(对接源_01水果!$B558)&lt;$K$2,N(对接源_01水果!$B558)&gt;$K$3),0,1))</f>
        <v>0</v>
      </c>
      <c r="L558">
        <f>IF(OR($L$1="",对接源_01水果!$C558="",对接源_01水果!$C558&lt;&gt;$L$1,对接源_01水果!$B558=""),0,IF(OR(N(对接源_01水果!$B558)&lt;$L$2,N(对接源_01水果!$B558)&gt;$L$3),0,1))</f>
        <v>0</v>
      </c>
      <c r="M558">
        <f>IF(OR($M$1="",对接源_01水果!$C558="",对接源_01水果!$C558&lt;&gt;$M$1,对接源_01水果!$B558=""),0,IF(OR(N(对接源_01水果!$B558)&lt;$M$2,N(对接源_01水果!$B558)&gt;$M$3),0,1))</f>
        <v>0</v>
      </c>
      <c r="N558">
        <f>IF(OR($N$1="",对接源_01水果!$C558="",对接源_01水果!$C558&lt;&gt;$N$1,对接源_01水果!$B558=""),0,IF(OR(N(对接源_01水果!$B558)&lt;$N$2,N(对接源_01水果!$B558)&gt;$N$3),0,1))</f>
        <v>0</v>
      </c>
      <c r="P558">
        <f>IF(AND($K558=1,AND(对接源_01水果!$X558="公司筐",N(对接源_01水果!$T558)&lt;&gt;0)),1,0)</f>
        <v>0</v>
      </c>
      <c r="Q558">
        <f>N(Q557)+$P558</f>
        <v>0</v>
      </c>
      <c r="R558">
        <f>IF(AND($K558=1,AND(对接源_01水果!$X558="公司筐",N(对接源_01水果!$U558)&lt;&gt;0)),1,0)</f>
        <v>0</v>
      </c>
      <c r="S558">
        <f>N(S557)+$R558</f>
        <v>0</v>
      </c>
      <c r="T558">
        <f>IF(AND($K558=1,AND(对接源_01水果!$X558="公司筐",N(对接源_01水果!$V558)&lt;&gt;0)),1,0)</f>
        <v>0</v>
      </c>
      <c r="U558">
        <f>N(U557)+$T558</f>
        <v>47</v>
      </c>
      <c r="V558">
        <f>IF(AND($L558=1,AND(对接源_01水果!$X558="自备筐",N(对接源_01水果!$V558)&lt;&gt;0)),1,0)</f>
        <v>0</v>
      </c>
      <c r="W558">
        <f>N(W557)+$V558</f>
        <v>11</v>
      </c>
      <c r="X558">
        <f>IF(AND($L558=1,AND(对接源_01水果!$X558="自备筐",N(对接源_01水果!$T558)&lt;&gt;0)),1,0)</f>
        <v>0</v>
      </c>
      <c r="Y558">
        <f>N(Y557)+$X558</f>
        <v>0</v>
      </c>
      <c r="Z558">
        <f>IF(AND($M558=1,对接源_01水果!$D558="原料入库"),1,0)</f>
        <v>0</v>
      </c>
      <c r="AA558">
        <f>N(AA557)+$Z558</f>
        <v>24</v>
      </c>
      <c r="AB558">
        <f>IF(AND($M558=1,LEFT(对接源_01水果!$D558,4)="原料出库"),1,0)</f>
        <v>0</v>
      </c>
      <c r="AC558">
        <f>N(AC557)+$AB558</f>
        <v>0</v>
      </c>
      <c r="AD558">
        <f>IF(AND($M558=1,LEFT(对接源_01水果!$D558,4)="成品出库"),1,0)</f>
        <v>0</v>
      </c>
      <c r="AE558">
        <f>N(AE557)+$AD558</f>
        <v>0</v>
      </c>
      <c r="AF558">
        <f>IF(AND($N558=1,AND(LEFT(对接源_01水果!$D558,4)="包装物料",N(对接源_01水果!$K558)&lt;&gt;0)),1,0)</f>
        <v>0</v>
      </c>
      <c r="AG558">
        <f>N(AG557)+$AF558</f>
        <v>0</v>
      </c>
      <c r="AH558">
        <f>IF(AND($N558=1,AND(对接源_01水果!$D558="周转筐－销售出库",N(对接源_01水果!$K558)&lt;&gt;0)),1,0)</f>
        <v>0</v>
      </c>
      <c r="AI558">
        <f>N(AI557)+$AH558</f>
        <v>0</v>
      </c>
      <c r="AJ558" s="7" t="n"/>
      <c r="AL558">
        <f>IF(OR($AL$1="",对接源_01水果!$Y558="",对接源_01水果!$Y558&lt;&gt;$AL$1,对接源_01水果!$B558="",N(对接源_01水果!$AJ558)&lt;=0),0,IF(OR(N(对接源_01水果!$B558)&lt;$AL$2,N(对接源_01水果!$B558)&gt;$AL$3),0,1))</f>
        <v>0</v>
      </c>
      <c r="AM558">
        <f>N(AM557)+$AL558</f>
        <v>0</v>
      </c>
      <c r="AN558">
        <f>IF(对接源_01水果!$AC558="","",对接源_01水果!$AC558)</f>
      </c>
      <c r="AO558">
        <f>IF(AN558="",0,IF(MATCH(AN558,$AN$4:$AN$1203,0)=ROW()-3,1,0))</f>
        <v>0</v>
      </c>
      <c r="AP558">
        <f>N(AP557)+$AO558</f>
        <v>0</v>
      </c>
      <c r="AR558">
        <f>IF(OR($AF558=1,$AH558=1),1,0)</f>
        <v>0</v>
      </c>
      <c r="AS558">
        <f>N(AS557)+$AR558</f>
        <v>0</v>
      </c>
    </row>
    <row r="559" ht="14.25" customHeight="1" s="127">
      <c r="A559" t="str">
        <f>IF(对接源_01水果!$C559="","",对接源_01水果!$C559)</f>
        <v>王浩</v>
      </c>
      <c r="B559">
        <f>IF(A559="",0,IF(MATCH(A559,$A$4:$A$2403,0)=ROW()-3,1,0))</f>
        <v>0</v>
      </c>
      <c r="C559">
        <f>N(C558)+B559</f>
        <v>22</v>
      </c>
      <c r="K559">
        <f>IF(OR($K$1="",对接源_01水果!$C559="",对接源_01水果!$C559&lt;&gt;$K$1,对接源_01水果!$B559=""),0,IF(OR(N(对接源_01水果!$B559)&lt;$K$2,N(对接源_01水果!$B559)&gt;$K$3),0,1))</f>
        <v>0</v>
      </c>
      <c r="L559">
        <f>IF(OR($L$1="",对接源_01水果!$C559="",对接源_01水果!$C559&lt;&gt;$L$1,对接源_01水果!$B559=""),0,IF(OR(N(对接源_01水果!$B559)&lt;$L$2,N(对接源_01水果!$B559)&gt;$L$3),0,1))</f>
        <v>0</v>
      </c>
      <c r="M559">
        <f>IF(OR($M$1="",对接源_01水果!$C559="",对接源_01水果!$C559&lt;&gt;$M$1,对接源_01水果!$B559=""),0,IF(OR(N(对接源_01水果!$B559)&lt;$M$2,N(对接源_01水果!$B559)&gt;$M$3),0,1))</f>
        <v>0</v>
      </c>
      <c r="N559">
        <f>IF(OR($N$1="",对接源_01水果!$C559="",对接源_01水果!$C559&lt;&gt;$N$1,对接源_01水果!$B559=""),0,IF(OR(N(对接源_01水果!$B559)&lt;$N$2,N(对接源_01水果!$B559)&gt;$N$3),0,1))</f>
        <v>0</v>
      </c>
      <c r="P559">
        <f>IF(AND($K559=1,AND(对接源_01水果!$X559="公司筐",N(对接源_01水果!$T559)&lt;&gt;0)),1,0)</f>
        <v>0</v>
      </c>
      <c r="Q559">
        <f>N(Q558)+$P559</f>
        <v>0</v>
      </c>
      <c r="R559">
        <f>IF(AND($K559=1,AND(对接源_01水果!$X559="公司筐",N(对接源_01水果!$U559)&lt;&gt;0)),1,0)</f>
        <v>0</v>
      </c>
      <c r="S559">
        <f>N(S558)+$R559</f>
        <v>0</v>
      </c>
      <c r="T559">
        <f>IF(AND($K559=1,AND(对接源_01水果!$X559="公司筐",N(对接源_01水果!$V559)&lt;&gt;0)),1,0)</f>
        <v>0</v>
      </c>
      <c r="U559">
        <f>N(U558)+$T559</f>
        <v>47</v>
      </c>
      <c r="V559">
        <f>IF(AND($L559=1,AND(对接源_01水果!$X559="自备筐",N(对接源_01水果!$V559)&lt;&gt;0)),1,0)</f>
        <v>0</v>
      </c>
      <c r="W559">
        <f>N(W558)+$V559</f>
        <v>11</v>
      </c>
      <c r="X559">
        <f>IF(AND($L559=1,AND(对接源_01水果!$X559="自备筐",N(对接源_01水果!$T559)&lt;&gt;0)),1,0)</f>
        <v>0</v>
      </c>
      <c r="Y559">
        <f>N(Y558)+$X559</f>
        <v>0</v>
      </c>
      <c r="Z559">
        <f>IF(AND($M559=1,对接源_01水果!$D559="原料入库"),1,0)</f>
        <v>0</v>
      </c>
      <c r="AA559">
        <f>N(AA558)+$Z559</f>
        <v>24</v>
      </c>
      <c r="AB559">
        <f>IF(AND($M559=1,LEFT(对接源_01水果!$D559,4)="原料出库"),1,0)</f>
        <v>0</v>
      </c>
      <c r="AC559">
        <f>N(AC558)+$AB559</f>
        <v>0</v>
      </c>
      <c r="AD559">
        <f>IF(AND($M559=1,LEFT(对接源_01水果!$D559,4)="成品出库"),1,0)</f>
        <v>0</v>
      </c>
      <c r="AE559">
        <f>N(AE558)+$AD559</f>
        <v>0</v>
      </c>
      <c r="AF559">
        <f>IF(AND($N559=1,AND(LEFT(对接源_01水果!$D559,4)="包装物料",N(对接源_01水果!$K559)&lt;&gt;0)),1,0)</f>
        <v>0</v>
      </c>
      <c r="AG559">
        <f>N(AG558)+$AF559</f>
        <v>0</v>
      </c>
      <c r="AH559">
        <f>IF(AND($N559=1,AND(对接源_01水果!$D559="周转筐－销售出库",N(对接源_01水果!$K559)&lt;&gt;0)),1,0)</f>
        <v>0</v>
      </c>
      <c r="AI559">
        <f>N(AI558)+$AH559</f>
        <v>0</v>
      </c>
      <c r="AJ559" s="7" t="n"/>
      <c r="AL559">
        <f>IF(OR($AL$1="",对接源_01水果!$Y559="",对接源_01水果!$Y559&lt;&gt;$AL$1,对接源_01水果!$B559="",N(对接源_01水果!$AJ559)&lt;=0),0,IF(OR(N(对接源_01水果!$B559)&lt;$AL$2,N(对接源_01水果!$B559)&gt;$AL$3),0,1))</f>
        <v>0</v>
      </c>
      <c r="AM559">
        <f>N(AM558)+$AL559</f>
        <v>0</v>
      </c>
      <c r="AN559">
        <f>IF(对接源_01水果!$AC559="","",对接源_01水果!$AC559)</f>
      </c>
      <c r="AO559">
        <f>IF(AN559="",0,IF(MATCH(AN559,$AN$4:$AN$1203,0)=ROW()-3,1,0))</f>
        <v>0</v>
      </c>
      <c r="AP559">
        <f>N(AP558)+$AO559</f>
        <v>0</v>
      </c>
      <c r="AR559">
        <f>IF(OR($AF559=1,$AH559=1),1,0)</f>
        <v>0</v>
      </c>
      <c r="AS559">
        <f>N(AS558)+$AR559</f>
        <v>0</v>
      </c>
    </row>
    <row r="560" ht="14.25" customHeight="1" s="127">
      <c r="A560" t="str">
        <f>IF(对接源_01水果!$C560="","",对接源_01水果!$C560)</f>
        <v>王灵云</v>
      </c>
      <c r="B560">
        <f>IF(A560="",0,IF(MATCH(A560,$A$4:$A$2403,0)=ROW()-3,1,0))</f>
        <v>0</v>
      </c>
      <c r="C560">
        <f>N(C559)+B560</f>
        <v>22</v>
      </c>
      <c r="K560">
        <f>IF(OR($K$1="",对接源_01水果!$C560="",对接源_01水果!$C560&lt;&gt;$K$1,对接源_01水果!$B560=""),0,IF(OR(N(对接源_01水果!$B560)&lt;$K$2,N(对接源_01水果!$B560)&gt;$K$3),0,1))</f>
        <v>1</v>
      </c>
      <c r="L560">
        <f>IF(OR($L$1="",对接源_01水果!$C560="",对接源_01水果!$C560&lt;&gt;$L$1,对接源_01水果!$B560=""),0,IF(OR(N(对接源_01水果!$B560)&lt;$L$2,N(对接源_01水果!$B560)&gt;$L$3),0,1))</f>
        <v>0</v>
      </c>
      <c r="M560">
        <f>IF(OR($M$1="",对接源_01水果!$C560="",对接源_01水果!$C560&lt;&gt;$M$1,对接源_01水果!$B560=""),0,IF(OR(N(对接源_01水果!$B560)&lt;$M$2,N(对接源_01水果!$B560)&gt;$M$3),0,1))</f>
        <v>0</v>
      </c>
      <c r="N560">
        <f>IF(OR($N$1="",对接源_01水果!$C560="",对接源_01水果!$C560&lt;&gt;$N$1,对接源_01水果!$B560=""),0,IF(OR(N(对接源_01水果!$B560)&lt;$N$2,N(对接源_01水果!$B560)&gt;$N$3),0,1))</f>
        <v>0</v>
      </c>
      <c r="P560">
        <f>IF(AND($K560=1,AND(对接源_01水果!$X560="公司筐",N(对接源_01水果!$T560)&lt;&gt;0)),1,0)</f>
        <v>0</v>
      </c>
      <c r="Q560">
        <f>N(Q559)+$P560</f>
        <v>0</v>
      </c>
      <c r="R560">
        <f>IF(AND($K560=1,AND(对接源_01水果!$X560="公司筐",N(对接源_01水果!$U560)&lt;&gt;0)),1,0)</f>
        <v>0</v>
      </c>
      <c r="S560">
        <f>N(S559)+$R560</f>
        <v>0</v>
      </c>
      <c r="T560">
        <f>IF(AND($K560=1,AND(对接源_01水果!$X560="公司筐",N(对接源_01水果!$V560)&lt;&gt;0)),1,0)</f>
        <v>0</v>
      </c>
      <c r="U560">
        <f>N(U559)+$T560</f>
        <v>47</v>
      </c>
      <c r="V560">
        <f>IF(AND($L560=1,AND(对接源_01水果!$X560="自备筐",N(对接源_01水果!$V560)&lt;&gt;0)),1,0)</f>
        <v>0</v>
      </c>
      <c r="W560">
        <f>N(W559)+$V560</f>
        <v>11</v>
      </c>
      <c r="X560">
        <f>IF(AND($L560=1,AND(对接源_01水果!$X560="自备筐",N(对接源_01水果!$T560)&lt;&gt;0)),1,0)</f>
        <v>0</v>
      </c>
      <c r="Y560">
        <f>N(Y559)+$X560</f>
        <v>0</v>
      </c>
      <c r="Z560">
        <f>IF(AND($M560=1,对接源_01水果!$D560="原料入库"),1,0)</f>
        <v>0</v>
      </c>
      <c r="AA560">
        <f>N(AA559)+$Z560</f>
        <v>24</v>
      </c>
      <c r="AB560">
        <f>IF(AND($M560=1,LEFT(对接源_01水果!$D560,4)="原料出库"),1,0)</f>
        <v>0</v>
      </c>
      <c r="AC560">
        <f>N(AC559)+$AB560</f>
        <v>0</v>
      </c>
      <c r="AD560">
        <f>IF(AND($M560=1,LEFT(对接源_01水果!$D560,4)="成品出库"),1,0)</f>
        <v>0</v>
      </c>
      <c r="AE560">
        <f>N(AE559)+$AD560</f>
        <v>0</v>
      </c>
      <c r="AF560">
        <f>IF(AND($N560=1,AND(LEFT(对接源_01水果!$D560,4)="包装物料",N(对接源_01水果!$K560)&lt;&gt;0)),1,0)</f>
        <v>0</v>
      </c>
      <c r="AG560">
        <f>N(AG559)+$AF560</f>
        <v>0</v>
      </c>
      <c r="AH560">
        <f>IF(AND($N560=1,AND(对接源_01水果!$D560="周转筐－销售出库",N(对接源_01水果!$K560)&lt;&gt;0)),1,0)</f>
        <v>0</v>
      </c>
      <c r="AI560">
        <f>N(AI559)+$AH560</f>
        <v>0</v>
      </c>
      <c r="AJ560" s="7" t="n"/>
      <c r="AL560">
        <f>IF(OR($AL$1="",对接源_01水果!$Y560="",对接源_01水果!$Y560&lt;&gt;$AL$1,对接源_01水果!$B560="",N(对接源_01水果!$AJ560)&lt;=0),0,IF(OR(N(对接源_01水果!$B560)&lt;$AL$2,N(对接源_01水果!$B560)&gt;$AL$3),0,1))</f>
        <v>0</v>
      </c>
      <c r="AM560">
        <f>N(AM559)+$AL560</f>
        <v>0</v>
      </c>
      <c r="AN560">
        <f>IF(对接源_01水果!$AC560="","",对接源_01水果!$AC560)</f>
      </c>
      <c r="AO560">
        <f>IF(AN560="",0,IF(MATCH(AN560,$AN$4:$AN$1203,0)=ROW()-3,1,0))</f>
        <v>0</v>
      </c>
      <c r="AP560">
        <f>N(AP559)+$AO560</f>
        <v>0</v>
      </c>
      <c r="AR560">
        <f>IF(OR($AF560=1,$AH560=1),1,0)</f>
        <v>0</v>
      </c>
      <c r="AS560">
        <f>N(AS559)+$AR560</f>
        <v>0</v>
      </c>
    </row>
    <row r="561" ht="14.25" customHeight="1" s="127">
      <c r="A561" t="str">
        <f>IF(对接源_01水果!$C561="","",对接源_01水果!$C561)</f>
        <v>王照雪</v>
      </c>
      <c r="B561">
        <f>IF(A561="",0,IF(MATCH(A561,$A$4:$A$2403,0)=ROW()-3,1,0))</f>
        <v>0</v>
      </c>
      <c r="C561">
        <f>N(C560)+B561</f>
        <v>22</v>
      </c>
      <c r="K561">
        <f>IF(OR($K$1="",对接源_01水果!$C561="",对接源_01水果!$C561&lt;&gt;$K$1,对接源_01水果!$B561=""),0,IF(OR(N(对接源_01水果!$B561)&lt;$K$2,N(对接源_01水果!$B561)&gt;$K$3),0,1))</f>
        <v>0</v>
      </c>
      <c r="L561">
        <f>IF(OR($L$1="",对接源_01水果!$C561="",对接源_01水果!$C561&lt;&gt;$L$1,对接源_01水果!$B561=""),0,IF(OR(N(对接源_01水果!$B561)&lt;$L$2,N(对接源_01水果!$B561)&gt;$L$3),0,1))</f>
        <v>0</v>
      </c>
      <c r="M561">
        <f>IF(OR($M$1="",对接源_01水果!$C561="",对接源_01水果!$C561&lt;&gt;$M$1,对接源_01水果!$B561=""),0,IF(OR(N(对接源_01水果!$B561)&lt;$M$2,N(对接源_01水果!$B561)&gt;$M$3),0,1))</f>
        <v>0</v>
      </c>
      <c r="N561">
        <f>IF(OR($N$1="",对接源_01水果!$C561="",对接源_01水果!$C561&lt;&gt;$N$1,对接源_01水果!$B561=""),0,IF(OR(N(对接源_01水果!$B561)&lt;$N$2,N(对接源_01水果!$B561)&gt;$N$3),0,1))</f>
        <v>0</v>
      </c>
      <c r="P561">
        <f>IF(AND($K561=1,AND(对接源_01水果!$X561="公司筐",N(对接源_01水果!$T561)&lt;&gt;0)),1,0)</f>
        <v>0</v>
      </c>
      <c r="Q561">
        <f>N(Q560)+$P561</f>
        <v>0</v>
      </c>
      <c r="R561">
        <f>IF(AND($K561=1,AND(对接源_01水果!$X561="公司筐",N(对接源_01水果!$U561)&lt;&gt;0)),1,0)</f>
        <v>0</v>
      </c>
      <c r="S561">
        <f>N(S560)+$R561</f>
        <v>0</v>
      </c>
      <c r="T561">
        <f>IF(AND($K561=1,AND(对接源_01水果!$X561="公司筐",N(对接源_01水果!$V561)&lt;&gt;0)),1,0)</f>
        <v>0</v>
      </c>
      <c r="U561">
        <f>N(U560)+$T561</f>
        <v>47</v>
      </c>
      <c r="V561">
        <f>IF(AND($L561=1,AND(对接源_01水果!$X561="自备筐",N(对接源_01水果!$V561)&lt;&gt;0)),1,0)</f>
        <v>0</v>
      </c>
      <c r="W561">
        <f>N(W560)+$V561</f>
        <v>11</v>
      </c>
      <c r="X561">
        <f>IF(AND($L561=1,AND(对接源_01水果!$X561="自备筐",N(对接源_01水果!$T561)&lt;&gt;0)),1,0)</f>
        <v>0</v>
      </c>
      <c r="Y561">
        <f>N(Y560)+$X561</f>
        <v>0</v>
      </c>
      <c r="Z561">
        <f>IF(AND($M561=1,对接源_01水果!$D561="原料入库"),1,0)</f>
        <v>0</v>
      </c>
      <c r="AA561">
        <f>N(AA560)+$Z561</f>
        <v>24</v>
      </c>
      <c r="AB561">
        <f>IF(AND($M561=1,LEFT(对接源_01水果!$D561,4)="原料出库"),1,0)</f>
        <v>0</v>
      </c>
      <c r="AC561">
        <f>N(AC560)+$AB561</f>
        <v>0</v>
      </c>
      <c r="AD561">
        <f>IF(AND($M561=1,LEFT(对接源_01水果!$D561,4)="成品出库"),1,0)</f>
        <v>0</v>
      </c>
      <c r="AE561">
        <f>N(AE560)+$AD561</f>
        <v>0</v>
      </c>
      <c r="AF561">
        <f>IF(AND($N561=1,AND(LEFT(对接源_01水果!$D561,4)="包装物料",N(对接源_01水果!$K561)&lt;&gt;0)),1,0)</f>
        <v>0</v>
      </c>
      <c r="AG561">
        <f>N(AG560)+$AF561</f>
        <v>0</v>
      </c>
      <c r="AH561">
        <f>IF(AND($N561=1,AND(对接源_01水果!$D561="周转筐－销售出库",N(对接源_01水果!$K561)&lt;&gt;0)),1,0)</f>
        <v>0</v>
      </c>
      <c r="AI561">
        <f>N(AI560)+$AH561</f>
        <v>0</v>
      </c>
      <c r="AJ561" s="7" t="n"/>
      <c r="AL561">
        <f>IF(OR($AL$1="",对接源_01水果!$Y561="",对接源_01水果!$Y561&lt;&gt;$AL$1,对接源_01水果!$B561="",N(对接源_01水果!$AJ561)&lt;=0),0,IF(OR(N(对接源_01水果!$B561)&lt;$AL$2,N(对接源_01水果!$B561)&gt;$AL$3),0,1))</f>
        <v>0</v>
      </c>
      <c r="AM561">
        <f>N(AM560)+$AL561</f>
        <v>0</v>
      </c>
      <c r="AN561">
        <f>IF(对接源_01水果!$AC561="","",对接源_01水果!$AC561)</f>
      </c>
      <c r="AO561">
        <f>IF(AN561="",0,IF(MATCH(AN561,$AN$4:$AN$1203,0)=ROW()-3,1,0))</f>
        <v>0</v>
      </c>
      <c r="AP561">
        <f>N(AP560)+$AO561</f>
        <v>0</v>
      </c>
      <c r="AR561">
        <f>IF(OR($AF561=1,$AH561=1),1,0)</f>
        <v>0</v>
      </c>
      <c r="AS561">
        <f>N(AS560)+$AR561</f>
        <v>0</v>
      </c>
    </row>
    <row r="562" ht="14.25" customHeight="1" s="127">
      <c r="A562" t="str">
        <f>IF(对接源_01水果!$C562="","",对接源_01水果!$C562)</f>
        <v>王灵云</v>
      </c>
      <c r="B562">
        <f>IF(A562="",0,IF(MATCH(A562,$A$4:$A$2403,0)=ROW()-3,1,0))</f>
        <v>0</v>
      </c>
      <c r="C562">
        <f>N(C561)+B562</f>
        <v>22</v>
      </c>
      <c r="K562">
        <f>IF(OR($K$1="",对接源_01水果!$C562="",对接源_01水果!$C562&lt;&gt;$K$1,对接源_01水果!$B562=""),0,IF(OR(N(对接源_01水果!$B562)&lt;$K$2,N(对接源_01水果!$B562)&gt;$K$3),0,1))</f>
        <v>1</v>
      </c>
      <c r="L562">
        <f>IF(OR($L$1="",对接源_01水果!$C562="",对接源_01水果!$C562&lt;&gt;$L$1,对接源_01水果!$B562=""),0,IF(OR(N(对接源_01水果!$B562)&lt;$L$2,N(对接源_01水果!$B562)&gt;$L$3),0,1))</f>
        <v>0</v>
      </c>
      <c r="M562">
        <f>IF(OR($M$1="",对接源_01水果!$C562="",对接源_01水果!$C562&lt;&gt;$M$1,对接源_01水果!$B562=""),0,IF(OR(N(对接源_01水果!$B562)&lt;$M$2,N(对接源_01水果!$B562)&gt;$M$3),0,1))</f>
        <v>0</v>
      </c>
      <c r="N562">
        <f>IF(OR($N$1="",对接源_01水果!$C562="",对接源_01水果!$C562&lt;&gt;$N$1,对接源_01水果!$B562=""),0,IF(OR(N(对接源_01水果!$B562)&lt;$N$2,N(对接源_01水果!$B562)&gt;$N$3),0,1))</f>
        <v>0</v>
      </c>
      <c r="P562">
        <f>IF(AND($K562=1,AND(对接源_01水果!$X562="公司筐",N(对接源_01水果!$T562)&lt;&gt;0)),1,0)</f>
        <v>0</v>
      </c>
      <c r="Q562">
        <f>N(Q561)+$P562</f>
        <v>0</v>
      </c>
      <c r="R562">
        <f>IF(AND($K562=1,AND(对接源_01水果!$X562="公司筐",N(对接源_01水果!$U562)&lt;&gt;0)),1,0)</f>
        <v>0</v>
      </c>
      <c r="S562">
        <f>N(S561)+$R562</f>
        <v>0</v>
      </c>
      <c r="T562">
        <f>IF(AND($K562=1,AND(对接源_01水果!$X562="公司筐",N(对接源_01水果!$V562)&lt;&gt;0)),1,0)</f>
        <v>0</v>
      </c>
      <c r="U562">
        <f>N(U561)+$T562</f>
        <v>47</v>
      </c>
      <c r="V562">
        <f>IF(AND($L562=1,AND(对接源_01水果!$X562="自备筐",N(对接源_01水果!$V562)&lt;&gt;0)),1,0)</f>
        <v>0</v>
      </c>
      <c r="W562">
        <f>N(W561)+$V562</f>
        <v>11</v>
      </c>
      <c r="X562">
        <f>IF(AND($L562=1,AND(对接源_01水果!$X562="自备筐",N(对接源_01水果!$T562)&lt;&gt;0)),1,0)</f>
        <v>0</v>
      </c>
      <c r="Y562">
        <f>N(Y561)+$X562</f>
        <v>0</v>
      </c>
      <c r="Z562">
        <f>IF(AND($M562=1,对接源_01水果!$D562="原料入库"),1,0)</f>
        <v>0</v>
      </c>
      <c r="AA562">
        <f>N(AA561)+$Z562</f>
        <v>24</v>
      </c>
      <c r="AB562">
        <f>IF(AND($M562=1,LEFT(对接源_01水果!$D562,4)="原料出库"),1,0)</f>
        <v>0</v>
      </c>
      <c r="AC562">
        <f>N(AC561)+$AB562</f>
        <v>0</v>
      </c>
      <c r="AD562">
        <f>IF(AND($M562=1,LEFT(对接源_01水果!$D562,4)="成品出库"),1,0)</f>
        <v>0</v>
      </c>
      <c r="AE562">
        <f>N(AE561)+$AD562</f>
        <v>0</v>
      </c>
      <c r="AF562">
        <f>IF(AND($N562=1,AND(LEFT(对接源_01水果!$D562,4)="包装物料",N(对接源_01水果!$K562)&lt;&gt;0)),1,0)</f>
        <v>0</v>
      </c>
      <c r="AG562">
        <f>N(AG561)+$AF562</f>
        <v>0</v>
      </c>
      <c r="AH562">
        <f>IF(AND($N562=1,AND(对接源_01水果!$D562="周转筐－销售出库",N(对接源_01水果!$K562)&lt;&gt;0)),1,0)</f>
        <v>0</v>
      </c>
      <c r="AI562">
        <f>N(AI561)+$AH562</f>
        <v>0</v>
      </c>
      <c r="AJ562" s="7" t="n"/>
      <c r="AL562">
        <f>IF(OR($AL$1="",对接源_01水果!$Y562="",对接源_01水果!$Y562&lt;&gt;$AL$1,对接源_01水果!$B562="",N(对接源_01水果!$AJ562)&lt;=0),0,IF(OR(N(对接源_01水果!$B562)&lt;$AL$2,N(对接源_01水果!$B562)&gt;$AL$3),0,1))</f>
        <v>0</v>
      </c>
      <c r="AM562">
        <f>N(AM561)+$AL562</f>
        <v>0</v>
      </c>
      <c r="AN562">
        <f>IF(对接源_01水果!$AC562="","",对接源_01水果!$AC562)</f>
      </c>
      <c r="AO562">
        <f>IF(AN562="",0,IF(MATCH(AN562,$AN$4:$AN$1203,0)=ROW()-3,1,0))</f>
        <v>0</v>
      </c>
      <c r="AP562">
        <f>N(AP561)+$AO562</f>
        <v>0</v>
      </c>
      <c r="AR562">
        <f>IF(OR($AF562=1,$AH562=1),1,0)</f>
        <v>0</v>
      </c>
      <c r="AS562">
        <f>N(AS561)+$AR562</f>
        <v>0</v>
      </c>
    </row>
    <row r="563" ht="14.25" customHeight="1" s="127">
      <c r="A563" t="str">
        <f>IF(对接源_01水果!$C563="","",对接源_01水果!$C563)</f>
        <v>王灵云</v>
      </c>
      <c r="B563">
        <f>IF(A563="",0,IF(MATCH(A563,$A$4:$A$2403,0)=ROW()-3,1,0))</f>
        <v>0</v>
      </c>
      <c r="C563">
        <f>N(C562)+B563</f>
        <v>22</v>
      </c>
      <c r="K563">
        <f>IF(OR($K$1="",对接源_01水果!$C563="",对接源_01水果!$C563&lt;&gt;$K$1,对接源_01水果!$B563=""),0,IF(OR(N(对接源_01水果!$B563)&lt;$K$2,N(对接源_01水果!$B563)&gt;$K$3),0,1))</f>
        <v>1</v>
      </c>
      <c r="L563">
        <f>IF(OR($L$1="",对接源_01水果!$C563="",对接源_01水果!$C563&lt;&gt;$L$1,对接源_01水果!$B563=""),0,IF(OR(N(对接源_01水果!$B563)&lt;$L$2,N(对接源_01水果!$B563)&gt;$L$3),0,1))</f>
        <v>0</v>
      </c>
      <c r="M563">
        <f>IF(OR($M$1="",对接源_01水果!$C563="",对接源_01水果!$C563&lt;&gt;$M$1,对接源_01水果!$B563=""),0,IF(OR(N(对接源_01水果!$B563)&lt;$M$2,N(对接源_01水果!$B563)&gt;$M$3),0,1))</f>
        <v>0</v>
      </c>
      <c r="N563">
        <f>IF(OR($N$1="",对接源_01水果!$C563="",对接源_01水果!$C563&lt;&gt;$N$1,对接源_01水果!$B563=""),0,IF(OR(N(对接源_01水果!$B563)&lt;$N$2,N(对接源_01水果!$B563)&gt;$N$3),0,1))</f>
        <v>0</v>
      </c>
      <c r="P563">
        <f>IF(AND($K563=1,AND(对接源_01水果!$X563="公司筐",N(对接源_01水果!$T563)&lt;&gt;0)),1,0)</f>
        <v>0</v>
      </c>
      <c r="Q563">
        <f>N(Q562)+$P563</f>
        <v>0</v>
      </c>
      <c r="R563">
        <f>IF(AND($K563=1,AND(对接源_01水果!$X563="公司筐",N(对接源_01水果!$U563)&lt;&gt;0)),1,0)</f>
        <v>0</v>
      </c>
      <c r="S563">
        <f>N(S562)+$R563</f>
        <v>0</v>
      </c>
      <c r="T563">
        <f>IF(AND($K563=1,AND(对接源_01水果!$X563="公司筐",N(对接源_01水果!$V563)&lt;&gt;0)),1,0)</f>
        <v>0</v>
      </c>
      <c r="U563">
        <f>N(U562)+$T563</f>
        <v>47</v>
      </c>
      <c r="V563">
        <f>IF(AND($L563=1,AND(对接源_01水果!$X563="自备筐",N(对接源_01水果!$V563)&lt;&gt;0)),1,0)</f>
        <v>0</v>
      </c>
      <c r="W563">
        <f>N(W562)+$V563</f>
        <v>11</v>
      </c>
      <c r="X563">
        <f>IF(AND($L563=1,AND(对接源_01水果!$X563="自备筐",N(对接源_01水果!$T563)&lt;&gt;0)),1,0)</f>
        <v>0</v>
      </c>
      <c r="Y563">
        <f>N(Y562)+$X563</f>
        <v>0</v>
      </c>
      <c r="Z563">
        <f>IF(AND($M563=1,对接源_01水果!$D563="原料入库"),1,0)</f>
        <v>0</v>
      </c>
      <c r="AA563">
        <f>N(AA562)+$Z563</f>
        <v>24</v>
      </c>
      <c r="AB563">
        <f>IF(AND($M563=1,LEFT(对接源_01水果!$D563,4)="原料出库"),1,0)</f>
        <v>0</v>
      </c>
      <c r="AC563">
        <f>N(AC562)+$AB563</f>
        <v>0</v>
      </c>
      <c r="AD563">
        <f>IF(AND($M563=1,LEFT(对接源_01水果!$D563,4)="成品出库"),1,0)</f>
        <v>0</v>
      </c>
      <c r="AE563">
        <f>N(AE562)+$AD563</f>
        <v>0</v>
      </c>
      <c r="AF563">
        <f>IF(AND($N563=1,AND(LEFT(对接源_01水果!$D563,4)="包装物料",N(对接源_01水果!$K563)&lt;&gt;0)),1,0)</f>
        <v>0</v>
      </c>
      <c r="AG563">
        <f>N(AG562)+$AF563</f>
        <v>0</v>
      </c>
      <c r="AH563">
        <f>IF(AND($N563=1,AND(对接源_01水果!$D563="周转筐－销售出库",N(对接源_01水果!$K563)&lt;&gt;0)),1,0)</f>
        <v>0</v>
      </c>
      <c r="AI563">
        <f>N(AI562)+$AH563</f>
        <v>0</v>
      </c>
      <c r="AJ563" s="7" t="n"/>
      <c r="AL563">
        <f>IF(OR($AL$1="",对接源_01水果!$Y563="",对接源_01水果!$Y563&lt;&gt;$AL$1,对接源_01水果!$B563="",N(对接源_01水果!$AJ563)&lt;=0),0,IF(OR(N(对接源_01水果!$B563)&lt;$AL$2,N(对接源_01水果!$B563)&gt;$AL$3),0,1))</f>
        <v>0</v>
      </c>
      <c r="AM563">
        <f>N(AM562)+$AL563</f>
        <v>0</v>
      </c>
      <c r="AN563">
        <f>IF(对接源_01水果!$AC563="","",对接源_01水果!$AC563)</f>
      </c>
      <c r="AO563">
        <f>IF(AN563="",0,IF(MATCH(AN563,$AN$4:$AN$1203,0)=ROW()-3,1,0))</f>
        <v>0</v>
      </c>
      <c r="AP563">
        <f>N(AP562)+$AO563</f>
        <v>0</v>
      </c>
      <c r="AR563">
        <f>IF(OR($AF563=1,$AH563=1),1,0)</f>
        <v>0</v>
      </c>
      <c r="AS563">
        <f>N(AS562)+$AR563</f>
        <v>0</v>
      </c>
    </row>
    <row r="564" ht="14.25" customHeight="1" s="127">
      <c r="A564" t="str">
        <f>IF(对接源_01水果!$C564="","",对接源_01水果!$C564)</f>
        <v>王照雪</v>
      </c>
      <c r="B564">
        <f>IF(A564="",0,IF(MATCH(A564,$A$4:$A$2403,0)=ROW()-3,1,0))</f>
        <v>0</v>
      </c>
      <c r="C564">
        <f>N(C563)+B564</f>
        <v>22</v>
      </c>
      <c r="K564">
        <f>IF(OR($K$1="",对接源_01水果!$C564="",对接源_01水果!$C564&lt;&gt;$K$1,对接源_01水果!$B564=""),0,IF(OR(N(对接源_01水果!$B564)&lt;$K$2,N(对接源_01水果!$B564)&gt;$K$3),0,1))</f>
        <v>0</v>
      </c>
      <c r="L564">
        <f>IF(OR($L$1="",对接源_01水果!$C564="",对接源_01水果!$C564&lt;&gt;$L$1,对接源_01水果!$B564=""),0,IF(OR(N(对接源_01水果!$B564)&lt;$L$2,N(对接源_01水果!$B564)&gt;$L$3),0,1))</f>
        <v>0</v>
      </c>
      <c r="M564">
        <f>IF(OR($M$1="",对接源_01水果!$C564="",对接源_01水果!$C564&lt;&gt;$M$1,对接源_01水果!$B564=""),0,IF(OR(N(对接源_01水果!$B564)&lt;$M$2,N(对接源_01水果!$B564)&gt;$M$3),0,1))</f>
        <v>0</v>
      </c>
      <c r="N564">
        <f>IF(OR($N$1="",对接源_01水果!$C564="",对接源_01水果!$C564&lt;&gt;$N$1,对接源_01水果!$B564=""),0,IF(OR(N(对接源_01水果!$B564)&lt;$N$2,N(对接源_01水果!$B564)&gt;$N$3),0,1))</f>
        <v>0</v>
      </c>
      <c r="P564">
        <f>IF(AND($K564=1,AND(对接源_01水果!$X564="公司筐",N(对接源_01水果!$T564)&lt;&gt;0)),1,0)</f>
        <v>0</v>
      </c>
      <c r="Q564">
        <f>N(Q563)+$P564</f>
        <v>0</v>
      </c>
      <c r="R564">
        <f>IF(AND($K564=1,AND(对接源_01水果!$X564="公司筐",N(对接源_01水果!$U564)&lt;&gt;0)),1,0)</f>
        <v>0</v>
      </c>
      <c r="S564">
        <f>N(S563)+$R564</f>
        <v>0</v>
      </c>
      <c r="T564">
        <f>IF(AND($K564=1,AND(对接源_01水果!$X564="公司筐",N(对接源_01水果!$V564)&lt;&gt;0)),1,0)</f>
        <v>0</v>
      </c>
      <c r="U564">
        <f>N(U563)+$T564</f>
        <v>47</v>
      </c>
      <c r="V564">
        <f>IF(AND($L564=1,AND(对接源_01水果!$X564="自备筐",N(对接源_01水果!$V564)&lt;&gt;0)),1,0)</f>
        <v>0</v>
      </c>
      <c r="W564">
        <f>N(W563)+$V564</f>
        <v>11</v>
      </c>
      <c r="X564">
        <f>IF(AND($L564=1,AND(对接源_01水果!$X564="自备筐",N(对接源_01水果!$T564)&lt;&gt;0)),1,0)</f>
        <v>0</v>
      </c>
      <c r="Y564">
        <f>N(Y563)+$X564</f>
        <v>0</v>
      </c>
      <c r="Z564">
        <f>IF(AND($M564=1,对接源_01水果!$D564="原料入库"),1,0)</f>
        <v>0</v>
      </c>
      <c r="AA564">
        <f>N(AA563)+$Z564</f>
        <v>24</v>
      </c>
      <c r="AB564">
        <f>IF(AND($M564=1,LEFT(对接源_01水果!$D564,4)="原料出库"),1,0)</f>
        <v>0</v>
      </c>
      <c r="AC564">
        <f>N(AC563)+$AB564</f>
        <v>0</v>
      </c>
      <c r="AD564">
        <f>IF(AND($M564=1,LEFT(对接源_01水果!$D564,4)="成品出库"),1,0)</f>
        <v>0</v>
      </c>
      <c r="AE564">
        <f>N(AE563)+$AD564</f>
        <v>0</v>
      </c>
      <c r="AF564">
        <f>IF(AND($N564=1,AND(LEFT(对接源_01水果!$D564,4)="包装物料",N(对接源_01水果!$K564)&lt;&gt;0)),1,0)</f>
        <v>0</v>
      </c>
      <c r="AG564">
        <f>N(AG563)+$AF564</f>
        <v>0</v>
      </c>
      <c r="AH564">
        <f>IF(AND($N564=1,AND(对接源_01水果!$D564="周转筐－销售出库",N(对接源_01水果!$K564)&lt;&gt;0)),1,0)</f>
        <v>0</v>
      </c>
      <c r="AI564">
        <f>N(AI563)+$AH564</f>
        <v>0</v>
      </c>
      <c r="AJ564" s="7" t="n"/>
      <c r="AL564">
        <f>IF(OR($AL$1="",对接源_01水果!$Y564="",对接源_01水果!$Y564&lt;&gt;$AL$1,对接源_01水果!$B564="",N(对接源_01水果!$AJ564)&lt;=0),0,IF(OR(N(对接源_01水果!$B564)&lt;$AL$2,N(对接源_01水果!$B564)&gt;$AL$3),0,1))</f>
        <v>0</v>
      </c>
      <c r="AM564">
        <f>N(AM563)+$AL564</f>
        <v>0</v>
      </c>
      <c r="AN564" t="str">
        <f>IF(对接源_01水果!$AC564="","",对接源_01水果!$AC564)</f>
        <v>电商/主播</v>
      </c>
      <c r="AO564">
        <f>IF(AN564="",0,IF(MATCH(AN564,$AN$4:$AN$1203,0)=ROW()-3,1,0))</f>
        <v>1</v>
      </c>
      <c r="AP564">
        <f>N(AP563)+$AO564</f>
        <v>1</v>
      </c>
      <c r="AR564">
        <f>IF(OR($AF564=1,$AH564=1),1,0)</f>
        <v>0</v>
      </c>
      <c r="AS564">
        <f>N(AS563)+$AR564</f>
        <v>0</v>
      </c>
    </row>
    <row r="565" ht="14.25" customHeight="1" s="127">
      <c r="A565" t="str">
        <f>IF(对接源_01水果!$C565="","",对接源_01水果!$C565)</f>
        <v>王照雪</v>
      </c>
      <c r="B565">
        <f>IF(A565="",0,IF(MATCH(A565,$A$4:$A$2403,0)=ROW()-3,1,0))</f>
        <v>0</v>
      </c>
      <c r="C565">
        <f>N(C564)+B565</f>
        <v>22</v>
      </c>
      <c r="K565">
        <f>IF(OR($K$1="",对接源_01水果!$C565="",对接源_01水果!$C565&lt;&gt;$K$1,对接源_01水果!$B565=""),0,IF(OR(N(对接源_01水果!$B565)&lt;$K$2,N(对接源_01水果!$B565)&gt;$K$3),0,1))</f>
        <v>0</v>
      </c>
      <c r="L565">
        <f>IF(OR($L$1="",对接源_01水果!$C565="",对接源_01水果!$C565&lt;&gt;$L$1,对接源_01水果!$B565=""),0,IF(OR(N(对接源_01水果!$B565)&lt;$L$2,N(对接源_01水果!$B565)&gt;$L$3),0,1))</f>
        <v>0</v>
      </c>
      <c r="M565">
        <f>IF(OR($M$1="",对接源_01水果!$C565="",对接源_01水果!$C565&lt;&gt;$M$1,对接源_01水果!$B565=""),0,IF(OR(N(对接源_01水果!$B565)&lt;$M$2,N(对接源_01水果!$B565)&gt;$M$3),0,1))</f>
        <v>0</v>
      </c>
      <c r="N565">
        <f>IF(OR($N$1="",对接源_01水果!$C565="",对接源_01水果!$C565&lt;&gt;$N$1,对接源_01水果!$B565=""),0,IF(OR(N(对接源_01水果!$B565)&lt;$N$2,N(对接源_01水果!$B565)&gt;$N$3),0,1))</f>
        <v>0</v>
      </c>
      <c r="P565">
        <f>IF(AND($K565=1,AND(对接源_01水果!$X565="公司筐",N(对接源_01水果!$T565)&lt;&gt;0)),1,0)</f>
        <v>0</v>
      </c>
      <c r="Q565">
        <f>N(Q564)+$P565</f>
        <v>0</v>
      </c>
      <c r="R565">
        <f>IF(AND($K565=1,AND(对接源_01水果!$X565="公司筐",N(对接源_01水果!$U565)&lt;&gt;0)),1,0)</f>
        <v>0</v>
      </c>
      <c r="S565">
        <f>N(S564)+$R565</f>
        <v>0</v>
      </c>
      <c r="T565">
        <f>IF(AND($K565=1,AND(对接源_01水果!$X565="公司筐",N(对接源_01水果!$V565)&lt;&gt;0)),1,0)</f>
        <v>0</v>
      </c>
      <c r="U565">
        <f>N(U564)+$T565</f>
        <v>47</v>
      </c>
      <c r="V565">
        <f>IF(AND($L565=1,AND(对接源_01水果!$X565="自备筐",N(对接源_01水果!$V565)&lt;&gt;0)),1,0)</f>
        <v>0</v>
      </c>
      <c r="W565">
        <f>N(W564)+$V565</f>
        <v>11</v>
      </c>
      <c r="X565">
        <f>IF(AND($L565=1,AND(对接源_01水果!$X565="自备筐",N(对接源_01水果!$T565)&lt;&gt;0)),1,0)</f>
        <v>0</v>
      </c>
      <c r="Y565">
        <f>N(Y564)+$X565</f>
        <v>0</v>
      </c>
      <c r="Z565">
        <f>IF(AND($M565=1,对接源_01水果!$D565="原料入库"),1,0)</f>
        <v>0</v>
      </c>
      <c r="AA565">
        <f>N(AA564)+$Z565</f>
        <v>24</v>
      </c>
      <c r="AB565">
        <f>IF(AND($M565=1,LEFT(对接源_01水果!$D565,4)="原料出库"),1,0)</f>
        <v>0</v>
      </c>
      <c r="AC565">
        <f>N(AC564)+$AB565</f>
        <v>0</v>
      </c>
      <c r="AD565">
        <f>IF(AND($M565=1,LEFT(对接源_01水果!$D565,4)="成品出库"),1,0)</f>
        <v>0</v>
      </c>
      <c r="AE565">
        <f>N(AE564)+$AD565</f>
        <v>0</v>
      </c>
      <c r="AF565">
        <f>IF(AND($N565=1,AND(LEFT(对接源_01水果!$D565,4)="包装物料",N(对接源_01水果!$K565)&lt;&gt;0)),1,0)</f>
        <v>0</v>
      </c>
      <c r="AG565">
        <f>N(AG564)+$AF565</f>
        <v>0</v>
      </c>
      <c r="AH565">
        <f>IF(AND($N565=1,AND(对接源_01水果!$D565="周转筐－销售出库",N(对接源_01水果!$K565)&lt;&gt;0)),1,0)</f>
        <v>0</v>
      </c>
      <c r="AI565">
        <f>N(AI564)+$AH565</f>
        <v>0</v>
      </c>
      <c r="AJ565" s="7" t="n"/>
      <c r="AL565">
        <f>IF(OR($AL$1="",对接源_01水果!$Y565="",对接源_01水果!$Y565&lt;&gt;$AL$1,对接源_01水果!$B565="",N(对接源_01水果!$AJ565)&lt;=0),0,IF(OR(N(对接源_01水果!$B565)&lt;$AL$2,N(对接源_01水果!$B565)&gt;$AL$3),0,1))</f>
        <v>0</v>
      </c>
      <c r="AM565">
        <f>N(AM564)+$AL565</f>
        <v>0</v>
      </c>
      <c r="AN565" t="str">
        <f>IF(对接源_01水果!$AC565="","",对接源_01水果!$AC565)</f>
        <v>电商/主播</v>
      </c>
      <c r="AO565">
        <f>IF(AN565="",0,IF(MATCH(AN565,$AN$4:$AN$1203,0)=ROW()-3,1,0))</f>
        <v>0</v>
      </c>
      <c r="AP565">
        <f>N(AP564)+$AO565</f>
        <v>1</v>
      </c>
      <c r="AR565">
        <f>IF(OR($AF565=1,$AH565=1),1,0)</f>
        <v>0</v>
      </c>
      <c r="AS565">
        <f>N(AS564)+$AR565</f>
        <v>0</v>
      </c>
    </row>
    <row r="566" ht="14.25" customHeight="1" s="127">
      <c r="A566" t="str">
        <f>IF(对接源_01水果!$C566="","",对接源_01水果!$C566)</f>
        <v>王照雪</v>
      </c>
      <c r="B566">
        <f>IF(A566="",0,IF(MATCH(A566,$A$4:$A$2403,0)=ROW()-3,1,0))</f>
        <v>0</v>
      </c>
      <c r="C566">
        <f>N(C565)+B566</f>
        <v>22</v>
      </c>
      <c r="K566">
        <f>IF(OR($K$1="",对接源_01水果!$C566="",对接源_01水果!$C566&lt;&gt;$K$1,对接源_01水果!$B566=""),0,IF(OR(N(对接源_01水果!$B566)&lt;$K$2,N(对接源_01水果!$B566)&gt;$K$3),0,1))</f>
        <v>0</v>
      </c>
      <c r="L566">
        <f>IF(OR($L$1="",对接源_01水果!$C566="",对接源_01水果!$C566&lt;&gt;$L$1,对接源_01水果!$B566=""),0,IF(OR(N(对接源_01水果!$B566)&lt;$L$2,N(对接源_01水果!$B566)&gt;$L$3),0,1))</f>
        <v>0</v>
      </c>
      <c r="M566">
        <f>IF(OR($M$1="",对接源_01水果!$C566="",对接源_01水果!$C566&lt;&gt;$M$1,对接源_01水果!$B566=""),0,IF(OR(N(对接源_01水果!$B566)&lt;$M$2,N(对接源_01水果!$B566)&gt;$M$3),0,1))</f>
        <v>0</v>
      </c>
      <c r="N566">
        <f>IF(OR($N$1="",对接源_01水果!$C566="",对接源_01水果!$C566&lt;&gt;$N$1,对接源_01水果!$B566=""),0,IF(OR(N(对接源_01水果!$B566)&lt;$N$2,N(对接源_01水果!$B566)&gt;$N$3),0,1))</f>
        <v>0</v>
      </c>
      <c r="P566">
        <f>IF(AND($K566=1,AND(对接源_01水果!$X566="公司筐",N(对接源_01水果!$T566)&lt;&gt;0)),1,0)</f>
        <v>0</v>
      </c>
      <c r="Q566">
        <f>N(Q565)+$P566</f>
        <v>0</v>
      </c>
      <c r="R566">
        <f>IF(AND($K566=1,AND(对接源_01水果!$X566="公司筐",N(对接源_01水果!$U566)&lt;&gt;0)),1,0)</f>
        <v>0</v>
      </c>
      <c r="S566">
        <f>N(S565)+$R566</f>
        <v>0</v>
      </c>
      <c r="T566">
        <f>IF(AND($K566=1,AND(对接源_01水果!$X566="公司筐",N(对接源_01水果!$V566)&lt;&gt;0)),1,0)</f>
        <v>0</v>
      </c>
      <c r="U566">
        <f>N(U565)+$T566</f>
        <v>47</v>
      </c>
      <c r="V566">
        <f>IF(AND($L566=1,AND(对接源_01水果!$X566="自备筐",N(对接源_01水果!$V566)&lt;&gt;0)),1,0)</f>
        <v>0</v>
      </c>
      <c r="W566">
        <f>N(W565)+$V566</f>
        <v>11</v>
      </c>
      <c r="X566">
        <f>IF(AND($L566=1,AND(对接源_01水果!$X566="自备筐",N(对接源_01水果!$T566)&lt;&gt;0)),1,0)</f>
        <v>0</v>
      </c>
      <c r="Y566">
        <f>N(Y565)+$X566</f>
        <v>0</v>
      </c>
      <c r="Z566">
        <f>IF(AND($M566=1,对接源_01水果!$D566="原料入库"),1,0)</f>
        <v>0</v>
      </c>
      <c r="AA566">
        <f>N(AA565)+$Z566</f>
        <v>24</v>
      </c>
      <c r="AB566">
        <f>IF(AND($M566=1,LEFT(对接源_01水果!$D566,4)="原料出库"),1,0)</f>
        <v>0</v>
      </c>
      <c r="AC566">
        <f>N(AC565)+$AB566</f>
        <v>0</v>
      </c>
      <c r="AD566">
        <f>IF(AND($M566=1,LEFT(对接源_01水果!$D566,4)="成品出库"),1,0)</f>
        <v>0</v>
      </c>
      <c r="AE566">
        <f>N(AE565)+$AD566</f>
        <v>0</v>
      </c>
      <c r="AF566">
        <f>IF(AND($N566=1,AND(LEFT(对接源_01水果!$D566,4)="包装物料",N(对接源_01水果!$K566)&lt;&gt;0)),1,0)</f>
        <v>0</v>
      </c>
      <c r="AG566">
        <f>N(AG565)+$AF566</f>
        <v>0</v>
      </c>
      <c r="AH566">
        <f>IF(AND($N566=1,AND(对接源_01水果!$D566="周转筐－销售出库",N(对接源_01水果!$K566)&lt;&gt;0)),1,0)</f>
        <v>0</v>
      </c>
      <c r="AI566">
        <f>N(AI565)+$AH566</f>
        <v>0</v>
      </c>
      <c r="AJ566" s="7" t="n"/>
      <c r="AL566">
        <f>IF(OR($AL$1="",对接源_01水果!$Y566="",对接源_01水果!$Y566&lt;&gt;$AL$1,对接源_01水果!$B566="",N(对接源_01水果!$AJ566)&lt;=0),0,IF(OR(N(对接源_01水果!$B566)&lt;$AL$2,N(对接源_01水果!$B566)&gt;$AL$3),0,1))</f>
        <v>0</v>
      </c>
      <c r="AM566">
        <f>N(AM565)+$AL566</f>
        <v>0</v>
      </c>
      <c r="AN566" t="str">
        <f>IF(对接源_01水果!$AC566="","",对接源_01水果!$AC566)</f>
        <v>电商/主播</v>
      </c>
      <c r="AO566">
        <f>IF(AN566="",0,IF(MATCH(AN566,$AN$4:$AN$1203,0)=ROW()-3,1,0))</f>
        <v>0</v>
      </c>
      <c r="AP566">
        <f>N(AP565)+$AO566</f>
        <v>1</v>
      </c>
      <c r="AR566">
        <f>IF(OR($AF566=1,$AH566=1),1,0)</f>
        <v>0</v>
      </c>
      <c r="AS566">
        <f>N(AS565)+$AR566</f>
        <v>0</v>
      </c>
    </row>
    <row r="567" ht="14.25" customHeight="1" s="127">
      <c r="A567" t="str">
        <f>IF(对接源_01水果!$C567="","",对接源_01水果!$C567)</f>
        <v>王照雪</v>
      </c>
      <c r="B567">
        <f>IF(A567="",0,IF(MATCH(A567,$A$4:$A$2403,0)=ROW()-3,1,0))</f>
        <v>0</v>
      </c>
      <c r="C567">
        <f>N(C566)+B567</f>
        <v>22</v>
      </c>
      <c r="K567">
        <f>IF(OR($K$1="",对接源_01水果!$C567="",对接源_01水果!$C567&lt;&gt;$K$1,对接源_01水果!$B567=""),0,IF(OR(N(对接源_01水果!$B567)&lt;$K$2,N(对接源_01水果!$B567)&gt;$K$3),0,1))</f>
        <v>0</v>
      </c>
      <c r="L567">
        <f>IF(OR($L$1="",对接源_01水果!$C567="",对接源_01水果!$C567&lt;&gt;$L$1,对接源_01水果!$B567=""),0,IF(OR(N(对接源_01水果!$B567)&lt;$L$2,N(对接源_01水果!$B567)&gt;$L$3),0,1))</f>
        <v>0</v>
      </c>
      <c r="M567">
        <f>IF(OR($M$1="",对接源_01水果!$C567="",对接源_01水果!$C567&lt;&gt;$M$1,对接源_01水果!$B567=""),0,IF(OR(N(对接源_01水果!$B567)&lt;$M$2,N(对接源_01水果!$B567)&gt;$M$3),0,1))</f>
        <v>0</v>
      </c>
      <c r="N567">
        <f>IF(OR($N$1="",对接源_01水果!$C567="",对接源_01水果!$C567&lt;&gt;$N$1,对接源_01水果!$B567=""),0,IF(OR(N(对接源_01水果!$B567)&lt;$N$2,N(对接源_01水果!$B567)&gt;$N$3),0,1))</f>
        <v>0</v>
      </c>
      <c r="P567">
        <f>IF(AND($K567=1,AND(对接源_01水果!$X567="公司筐",N(对接源_01水果!$T567)&lt;&gt;0)),1,0)</f>
        <v>0</v>
      </c>
      <c r="Q567">
        <f>N(Q566)+$P567</f>
        <v>0</v>
      </c>
      <c r="R567">
        <f>IF(AND($K567=1,AND(对接源_01水果!$X567="公司筐",N(对接源_01水果!$U567)&lt;&gt;0)),1,0)</f>
        <v>0</v>
      </c>
      <c r="S567">
        <f>N(S566)+$R567</f>
        <v>0</v>
      </c>
      <c r="T567">
        <f>IF(AND($K567=1,AND(对接源_01水果!$X567="公司筐",N(对接源_01水果!$V567)&lt;&gt;0)),1,0)</f>
        <v>0</v>
      </c>
      <c r="U567">
        <f>N(U566)+$T567</f>
        <v>47</v>
      </c>
      <c r="V567">
        <f>IF(AND($L567=1,AND(对接源_01水果!$X567="自备筐",N(对接源_01水果!$V567)&lt;&gt;0)),1,0)</f>
        <v>0</v>
      </c>
      <c r="W567">
        <f>N(W566)+$V567</f>
        <v>11</v>
      </c>
      <c r="X567">
        <f>IF(AND($L567=1,AND(对接源_01水果!$X567="自备筐",N(对接源_01水果!$T567)&lt;&gt;0)),1,0)</f>
        <v>0</v>
      </c>
      <c r="Y567">
        <f>N(Y566)+$X567</f>
        <v>0</v>
      </c>
      <c r="Z567">
        <f>IF(AND($M567=1,对接源_01水果!$D567="原料入库"),1,0)</f>
        <v>0</v>
      </c>
      <c r="AA567">
        <f>N(AA566)+$Z567</f>
        <v>24</v>
      </c>
      <c r="AB567">
        <f>IF(AND($M567=1,LEFT(对接源_01水果!$D567,4)="原料出库"),1,0)</f>
        <v>0</v>
      </c>
      <c r="AC567">
        <f>N(AC566)+$AB567</f>
        <v>0</v>
      </c>
      <c r="AD567">
        <f>IF(AND($M567=1,LEFT(对接源_01水果!$D567,4)="成品出库"),1,0)</f>
        <v>0</v>
      </c>
      <c r="AE567">
        <f>N(AE566)+$AD567</f>
        <v>0</v>
      </c>
      <c r="AF567">
        <f>IF(AND($N567=1,AND(LEFT(对接源_01水果!$D567,4)="包装物料",N(对接源_01水果!$K567)&lt;&gt;0)),1,0)</f>
        <v>0</v>
      </c>
      <c r="AG567">
        <f>N(AG566)+$AF567</f>
        <v>0</v>
      </c>
      <c r="AH567">
        <f>IF(AND($N567=1,AND(对接源_01水果!$D567="周转筐－销售出库",N(对接源_01水果!$K567)&lt;&gt;0)),1,0)</f>
        <v>0</v>
      </c>
      <c r="AI567">
        <f>N(AI566)+$AH567</f>
        <v>0</v>
      </c>
      <c r="AJ567" s="7" t="n"/>
      <c r="AL567">
        <f>IF(OR($AL$1="",对接源_01水果!$Y567="",对接源_01水果!$Y567&lt;&gt;$AL$1,对接源_01水果!$B567="",N(对接源_01水果!$AJ567)&lt;=0),0,IF(OR(N(对接源_01水果!$B567)&lt;$AL$2,N(对接源_01水果!$B567)&gt;$AL$3),0,1))</f>
        <v>0</v>
      </c>
      <c r="AM567">
        <f>N(AM566)+$AL567</f>
        <v>0</v>
      </c>
      <c r="AN567" t="str">
        <f>IF(对接源_01水果!$AC567="","",对接源_01水果!$AC567)</f>
        <v>电商/主播</v>
      </c>
      <c r="AO567">
        <f>IF(AN567="",0,IF(MATCH(AN567,$AN$4:$AN$1203,0)=ROW()-3,1,0))</f>
        <v>0</v>
      </c>
      <c r="AP567">
        <f>N(AP566)+$AO567</f>
        <v>1</v>
      </c>
      <c r="AR567">
        <f>IF(OR($AF567=1,$AH567=1),1,0)</f>
        <v>0</v>
      </c>
      <c r="AS567">
        <f>N(AS566)+$AR567</f>
        <v>0</v>
      </c>
    </row>
    <row r="568" ht="14.25" customHeight="1" s="127">
      <c r="A568" t="str">
        <f>IF(对接源_01水果!$C568="","",对接源_01水果!$C568)</f>
        <v>王照雪</v>
      </c>
      <c r="B568">
        <f>IF(A568="",0,IF(MATCH(A568,$A$4:$A$2403,0)=ROW()-3,1,0))</f>
        <v>0</v>
      </c>
      <c r="C568">
        <f>N(C567)+B568</f>
        <v>22</v>
      </c>
      <c r="K568">
        <f>IF(OR($K$1="",对接源_01水果!$C568="",对接源_01水果!$C568&lt;&gt;$K$1,对接源_01水果!$B568=""),0,IF(OR(N(对接源_01水果!$B568)&lt;$K$2,N(对接源_01水果!$B568)&gt;$K$3),0,1))</f>
        <v>0</v>
      </c>
      <c r="L568">
        <f>IF(OR($L$1="",对接源_01水果!$C568="",对接源_01水果!$C568&lt;&gt;$L$1,对接源_01水果!$B568=""),0,IF(OR(N(对接源_01水果!$B568)&lt;$L$2,N(对接源_01水果!$B568)&gt;$L$3),0,1))</f>
        <v>0</v>
      </c>
      <c r="M568">
        <f>IF(OR($M$1="",对接源_01水果!$C568="",对接源_01水果!$C568&lt;&gt;$M$1,对接源_01水果!$B568=""),0,IF(OR(N(对接源_01水果!$B568)&lt;$M$2,N(对接源_01水果!$B568)&gt;$M$3),0,1))</f>
        <v>0</v>
      </c>
      <c r="N568">
        <f>IF(OR($N$1="",对接源_01水果!$C568="",对接源_01水果!$C568&lt;&gt;$N$1,对接源_01水果!$B568=""),0,IF(OR(N(对接源_01水果!$B568)&lt;$N$2,N(对接源_01水果!$B568)&gt;$N$3),0,1))</f>
        <v>0</v>
      </c>
      <c r="P568">
        <f>IF(AND($K568=1,AND(对接源_01水果!$X568="公司筐",N(对接源_01水果!$T568)&lt;&gt;0)),1,0)</f>
        <v>0</v>
      </c>
      <c r="Q568">
        <f>N(Q567)+$P568</f>
        <v>0</v>
      </c>
      <c r="R568">
        <f>IF(AND($K568=1,AND(对接源_01水果!$X568="公司筐",N(对接源_01水果!$U568)&lt;&gt;0)),1,0)</f>
        <v>0</v>
      </c>
      <c r="S568">
        <f>N(S567)+$R568</f>
        <v>0</v>
      </c>
      <c r="T568">
        <f>IF(AND($K568=1,AND(对接源_01水果!$X568="公司筐",N(对接源_01水果!$V568)&lt;&gt;0)),1,0)</f>
        <v>0</v>
      </c>
      <c r="U568">
        <f>N(U567)+$T568</f>
        <v>47</v>
      </c>
      <c r="V568">
        <f>IF(AND($L568=1,AND(对接源_01水果!$X568="自备筐",N(对接源_01水果!$V568)&lt;&gt;0)),1,0)</f>
        <v>0</v>
      </c>
      <c r="W568">
        <f>N(W567)+$V568</f>
        <v>11</v>
      </c>
      <c r="X568">
        <f>IF(AND($L568=1,AND(对接源_01水果!$X568="自备筐",N(对接源_01水果!$T568)&lt;&gt;0)),1,0)</f>
        <v>0</v>
      </c>
      <c r="Y568">
        <f>N(Y567)+$X568</f>
        <v>0</v>
      </c>
      <c r="Z568">
        <f>IF(AND($M568=1,对接源_01水果!$D568="原料入库"),1,0)</f>
        <v>0</v>
      </c>
      <c r="AA568">
        <f>N(AA567)+$Z568</f>
        <v>24</v>
      </c>
      <c r="AB568">
        <f>IF(AND($M568=1,LEFT(对接源_01水果!$D568,4)="原料出库"),1,0)</f>
        <v>0</v>
      </c>
      <c r="AC568">
        <f>N(AC567)+$AB568</f>
        <v>0</v>
      </c>
      <c r="AD568">
        <f>IF(AND($M568=1,LEFT(对接源_01水果!$D568,4)="成品出库"),1,0)</f>
        <v>0</v>
      </c>
      <c r="AE568">
        <f>N(AE567)+$AD568</f>
        <v>0</v>
      </c>
      <c r="AF568">
        <f>IF(AND($N568=1,AND(LEFT(对接源_01水果!$D568,4)="包装物料",N(对接源_01水果!$K568)&lt;&gt;0)),1,0)</f>
        <v>0</v>
      </c>
      <c r="AG568">
        <f>N(AG567)+$AF568</f>
        <v>0</v>
      </c>
      <c r="AH568">
        <f>IF(AND($N568=1,AND(对接源_01水果!$D568="周转筐－销售出库",N(对接源_01水果!$K568)&lt;&gt;0)),1,0)</f>
        <v>0</v>
      </c>
      <c r="AI568">
        <f>N(AI567)+$AH568</f>
        <v>0</v>
      </c>
      <c r="AJ568" s="7" t="n"/>
      <c r="AL568">
        <f>IF(OR($AL$1="",对接源_01水果!$Y568="",对接源_01水果!$Y568&lt;&gt;$AL$1,对接源_01水果!$B568="",N(对接源_01水果!$AJ568)&lt;=0),0,IF(OR(N(对接源_01水果!$B568)&lt;$AL$2,N(对接源_01水果!$B568)&gt;$AL$3),0,1))</f>
        <v>0</v>
      </c>
      <c r="AM568">
        <f>N(AM567)+$AL568</f>
        <v>0</v>
      </c>
      <c r="AN568" t="str">
        <f>IF(对接源_01水果!$AC568="","",对接源_01水果!$AC568)</f>
        <v>电商/主播</v>
      </c>
      <c r="AO568">
        <f>IF(AN568="",0,IF(MATCH(AN568,$AN$4:$AN$1203,0)=ROW()-3,1,0))</f>
        <v>0</v>
      </c>
      <c r="AP568">
        <f>N(AP567)+$AO568</f>
        <v>1</v>
      </c>
      <c r="AR568">
        <f>IF(OR($AF568=1,$AH568=1),1,0)</f>
        <v>0</v>
      </c>
      <c r="AS568">
        <f>N(AS567)+$AR568</f>
        <v>0</v>
      </c>
    </row>
    <row r="569" ht="14.25" customHeight="1" s="127">
      <c r="A569" t="str">
        <f>IF(对接源_01水果!$C569="","",对接源_01水果!$C569)</f>
        <v>王照雪</v>
      </c>
      <c r="B569">
        <f>IF(A569="",0,IF(MATCH(A569,$A$4:$A$2403,0)=ROW()-3,1,0))</f>
        <v>0</v>
      </c>
      <c r="C569">
        <f>N(C568)+B569</f>
        <v>22</v>
      </c>
      <c r="K569">
        <f>IF(OR($K$1="",对接源_01水果!$C569="",对接源_01水果!$C569&lt;&gt;$K$1,对接源_01水果!$B569=""),0,IF(OR(N(对接源_01水果!$B569)&lt;$K$2,N(对接源_01水果!$B569)&gt;$K$3),0,1))</f>
        <v>0</v>
      </c>
      <c r="L569">
        <f>IF(OR($L$1="",对接源_01水果!$C569="",对接源_01水果!$C569&lt;&gt;$L$1,对接源_01水果!$B569=""),0,IF(OR(N(对接源_01水果!$B569)&lt;$L$2,N(对接源_01水果!$B569)&gt;$L$3),0,1))</f>
        <v>0</v>
      </c>
      <c r="M569">
        <f>IF(OR($M$1="",对接源_01水果!$C569="",对接源_01水果!$C569&lt;&gt;$M$1,对接源_01水果!$B569=""),0,IF(OR(N(对接源_01水果!$B569)&lt;$M$2,N(对接源_01水果!$B569)&gt;$M$3),0,1))</f>
        <v>0</v>
      </c>
      <c r="N569">
        <f>IF(OR($N$1="",对接源_01水果!$C569="",对接源_01水果!$C569&lt;&gt;$N$1,对接源_01水果!$B569=""),0,IF(OR(N(对接源_01水果!$B569)&lt;$N$2,N(对接源_01水果!$B569)&gt;$N$3),0,1))</f>
        <v>0</v>
      </c>
      <c r="P569">
        <f>IF(AND($K569=1,AND(对接源_01水果!$X569="公司筐",N(对接源_01水果!$T569)&lt;&gt;0)),1,0)</f>
        <v>0</v>
      </c>
      <c r="Q569">
        <f>N(Q568)+$P569</f>
        <v>0</v>
      </c>
      <c r="R569">
        <f>IF(AND($K569=1,AND(对接源_01水果!$X569="公司筐",N(对接源_01水果!$U569)&lt;&gt;0)),1,0)</f>
        <v>0</v>
      </c>
      <c r="S569">
        <f>N(S568)+$R569</f>
        <v>0</v>
      </c>
      <c r="T569">
        <f>IF(AND($K569=1,AND(对接源_01水果!$X569="公司筐",N(对接源_01水果!$V569)&lt;&gt;0)),1,0)</f>
        <v>0</v>
      </c>
      <c r="U569">
        <f>N(U568)+$T569</f>
        <v>47</v>
      </c>
      <c r="V569">
        <f>IF(AND($L569=1,AND(对接源_01水果!$X569="自备筐",N(对接源_01水果!$V569)&lt;&gt;0)),1,0)</f>
        <v>0</v>
      </c>
      <c r="W569">
        <f>N(W568)+$V569</f>
        <v>11</v>
      </c>
      <c r="X569">
        <f>IF(AND($L569=1,AND(对接源_01水果!$X569="自备筐",N(对接源_01水果!$T569)&lt;&gt;0)),1,0)</f>
        <v>0</v>
      </c>
      <c r="Y569">
        <f>N(Y568)+$X569</f>
        <v>0</v>
      </c>
      <c r="Z569">
        <f>IF(AND($M569=1,对接源_01水果!$D569="原料入库"),1,0)</f>
        <v>0</v>
      </c>
      <c r="AA569">
        <f>N(AA568)+$Z569</f>
        <v>24</v>
      </c>
      <c r="AB569">
        <f>IF(AND($M569=1,LEFT(对接源_01水果!$D569,4)="原料出库"),1,0)</f>
        <v>0</v>
      </c>
      <c r="AC569">
        <f>N(AC568)+$AB569</f>
        <v>0</v>
      </c>
      <c r="AD569">
        <f>IF(AND($M569=1,LEFT(对接源_01水果!$D569,4)="成品出库"),1,0)</f>
        <v>0</v>
      </c>
      <c r="AE569">
        <f>N(AE568)+$AD569</f>
        <v>0</v>
      </c>
      <c r="AF569">
        <f>IF(AND($N569=1,AND(LEFT(对接源_01水果!$D569,4)="包装物料",N(对接源_01水果!$K569)&lt;&gt;0)),1,0)</f>
        <v>0</v>
      </c>
      <c r="AG569">
        <f>N(AG568)+$AF569</f>
        <v>0</v>
      </c>
      <c r="AH569">
        <f>IF(AND($N569=1,AND(对接源_01水果!$D569="周转筐－销售出库",N(对接源_01水果!$K569)&lt;&gt;0)),1,0)</f>
        <v>0</v>
      </c>
      <c r="AI569">
        <f>N(AI568)+$AH569</f>
        <v>0</v>
      </c>
      <c r="AJ569" s="7" t="n"/>
      <c r="AL569">
        <f>IF(OR($AL$1="",对接源_01水果!$Y569="",对接源_01水果!$Y569&lt;&gt;$AL$1,对接源_01水果!$B569="",N(对接源_01水果!$AJ569)&lt;=0),0,IF(OR(N(对接源_01水果!$B569)&lt;$AL$2,N(对接源_01水果!$B569)&gt;$AL$3),0,1))</f>
        <v>0</v>
      </c>
      <c r="AM569">
        <f>N(AM568)+$AL569</f>
        <v>0</v>
      </c>
      <c r="AN569" t="str">
        <f>IF(对接源_01水果!$AC569="","",对接源_01水果!$AC569)</f>
        <v>电商/主播</v>
      </c>
      <c r="AO569">
        <f>IF(AN569="",0,IF(MATCH(AN569,$AN$4:$AN$1203,0)=ROW()-3,1,0))</f>
        <v>0</v>
      </c>
      <c r="AP569">
        <f>N(AP568)+$AO569</f>
        <v>1</v>
      </c>
      <c r="AR569">
        <f>IF(OR($AF569=1,$AH569=1),1,0)</f>
        <v>0</v>
      </c>
      <c r="AS569">
        <f>N(AS568)+$AR569</f>
        <v>0</v>
      </c>
    </row>
    <row r="570" ht="14.25" customHeight="1" s="127">
      <c r="A570" t="str">
        <f>IF(对接源_01水果!$C570="","",对接源_01水果!$C570)</f>
        <v>王照雪</v>
      </c>
      <c r="B570">
        <f>IF(A570="",0,IF(MATCH(A570,$A$4:$A$2403,0)=ROW()-3,1,0))</f>
        <v>0</v>
      </c>
      <c r="C570">
        <f>N(C569)+B570</f>
        <v>22</v>
      </c>
      <c r="K570">
        <f>IF(OR($K$1="",对接源_01水果!$C570="",对接源_01水果!$C570&lt;&gt;$K$1,对接源_01水果!$B570=""),0,IF(OR(N(对接源_01水果!$B570)&lt;$K$2,N(对接源_01水果!$B570)&gt;$K$3),0,1))</f>
        <v>0</v>
      </c>
      <c r="L570">
        <f>IF(OR($L$1="",对接源_01水果!$C570="",对接源_01水果!$C570&lt;&gt;$L$1,对接源_01水果!$B570=""),0,IF(OR(N(对接源_01水果!$B570)&lt;$L$2,N(对接源_01水果!$B570)&gt;$L$3),0,1))</f>
        <v>0</v>
      </c>
      <c r="M570">
        <f>IF(OR($M$1="",对接源_01水果!$C570="",对接源_01水果!$C570&lt;&gt;$M$1,对接源_01水果!$B570=""),0,IF(OR(N(对接源_01水果!$B570)&lt;$M$2,N(对接源_01水果!$B570)&gt;$M$3),0,1))</f>
        <v>0</v>
      </c>
      <c r="N570">
        <f>IF(OR($N$1="",对接源_01水果!$C570="",对接源_01水果!$C570&lt;&gt;$N$1,对接源_01水果!$B570=""),0,IF(OR(N(对接源_01水果!$B570)&lt;$N$2,N(对接源_01水果!$B570)&gt;$N$3),0,1))</f>
        <v>0</v>
      </c>
      <c r="P570">
        <f>IF(AND($K570=1,AND(对接源_01水果!$X570="公司筐",N(对接源_01水果!$T570)&lt;&gt;0)),1,0)</f>
        <v>0</v>
      </c>
      <c r="Q570">
        <f>N(Q569)+$P570</f>
        <v>0</v>
      </c>
      <c r="R570">
        <f>IF(AND($K570=1,AND(对接源_01水果!$X570="公司筐",N(对接源_01水果!$U570)&lt;&gt;0)),1,0)</f>
        <v>0</v>
      </c>
      <c r="S570">
        <f>N(S569)+$R570</f>
        <v>0</v>
      </c>
      <c r="T570">
        <f>IF(AND($K570=1,AND(对接源_01水果!$X570="公司筐",N(对接源_01水果!$V570)&lt;&gt;0)),1,0)</f>
        <v>0</v>
      </c>
      <c r="U570">
        <f>N(U569)+$T570</f>
        <v>47</v>
      </c>
      <c r="V570">
        <f>IF(AND($L570=1,AND(对接源_01水果!$X570="自备筐",N(对接源_01水果!$V570)&lt;&gt;0)),1,0)</f>
        <v>0</v>
      </c>
      <c r="W570">
        <f>N(W569)+$V570</f>
        <v>11</v>
      </c>
      <c r="X570">
        <f>IF(AND($L570=1,AND(对接源_01水果!$X570="自备筐",N(对接源_01水果!$T570)&lt;&gt;0)),1,0)</f>
        <v>0</v>
      </c>
      <c r="Y570">
        <f>N(Y569)+$X570</f>
        <v>0</v>
      </c>
      <c r="Z570">
        <f>IF(AND($M570=1,对接源_01水果!$D570="原料入库"),1,0)</f>
        <v>0</v>
      </c>
      <c r="AA570">
        <f>N(AA569)+$Z570</f>
        <v>24</v>
      </c>
      <c r="AB570">
        <f>IF(AND($M570=1,LEFT(对接源_01水果!$D570,4)="原料出库"),1,0)</f>
        <v>0</v>
      </c>
      <c r="AC570">
        <f>N(AC569)+$AB570</f>
        <v>0</v>
      </c>
      <c r="AD570">
        <f>IF(AND($M570=1,LEFT(对接源_01水果!$D570,4)="成品出库"),1,0)</f>
        <v>0</v>
      </c>
      <c r="AE570">
        <f>N(AE569)+$AD570</f>
        <v>0</v>
      </c>
      <c r="AF570">
        <f>IF(AND($N570=1,AND(LEFT(对接源_01水果!$D570,4)="包装物料",N(对接源_01水果!$K570)&lt;&gt;0)),1,0)</f>
        <v>0</v>
      </c>
      <c r="AG570">
        <f>N(AG569)+$AF570</f>
        <v>0</v>
      </c>
      <c r="AH570">
        <f>IF(AND($N570=1,AND(对接源_01水果!$D570="周转筐－销售出库",N(对接源_01水果!$K570)&lt;&gt;0)),1,0)</f>
        <v>0</v>
      </c>
      <c r="AI570">
        <f>N(AI569)+$AH570</f>
        <v>0</v>
      </c>
      <c r="AJ570" s="7" t="n"/>
      <c r="AL570">
        <f>IF(OR($AL$1="",对接源_01水果!$Y570="",对接源_01水果!$Y570&lt;&gt;$AL$1,对接源_01水果!$B570="",N(对接源_01水果!$AJ570)&lt;=0),0,IF(OR(N(对接源_01水果!$B570)&lt;$AL$2,N(对接源_01水果!$B570)&gt;$AL$3),0,1))</f>
        <v>0</v>
      </c>
      <c r="AM570">
        <f>N(AM569)+$AL570</f>
        <v>0</v>
      </c>
      <c r="AN570" t="str">
        <f>IF(对接源_01水果!$AC570="","",对接源_01水果!$AC570)</f>
        <v>电商/主播</v>
      </c>
      <c r="AO570">
        <f>IF(AN570="",0,IF(MATCH(AN570,$AN$4:$AN$1203,0)=ROW()-3,1,0))</f>
        <v>0</v>
      </c>
      <c r="AP570">
        <f>N(AP569)+$AO570</f>
        <v>1</v>
      </c>
      <c r="AR570">
        <f>IF(OR($AF570=1,$AH570=1),1,0)</f>
        <v>0</v>
      </c>
      <c r="AS570">
        <f>N(AS569)+$AR570</f>
        <v>0</v>
      </c>
    </row>
    <row r="571" ht="14.25" customHeight="1" s="127">
      <c r="A571" t="str">
        <f>IF(对接源_01水果!$C571="","",对接源_01水果!$C571)</f>
        <v>王照雪</v>
      </c>
      <c r="B571">
        <f>IF(A571="",0,IF(MATCH(A571,$A$4:$A$2403,0)=ROW()-3,1,0))</f>
        <v>0</v>
      </c>
      <c r="C571">
        <f>N(C570)+B571</f>
        <v>22</v>
      </c>
      <c r="K571">
        <f>IF(OR($K$1="",对接源_01水果!$C571="",对接源_01水果!$C571&lt;&gt;$K$1,对接源_01水果!$B571=""),0,IF(OR(N(对接源_01水果!$B571)&lt;$K$2,N(对接源_01水果!$B571)&gt;$K$3),0,1))</f>
        <v>0</v>
      </c>
      <c r="L571">
        <f>IF(OR($L$1="",对接源_01水果!$C571="",对接源_01水果!$C571&lt;&gt;$L$1,对接源_01水果!$B571=""),0,IF(OR(N(对接源_01水果!$B571)&lt;$L$2,N(对接源_01水果!$B571)&gt;$L$3),0,1))</f>
        <v>0</v>
      </c>
      <c r="M571">
        <f>IF(OR($M$1="",对接源_01水果!$C571="",对接源_01水果!$C571&lt;&gt;$M$1,对接源_01水果!$B571=""),0,IF(OR(N(对接源_01水果!$B571)&lt;$M$2,N(对接源_01水果!$B571)&gt;$M$3),0,1))</f>
        <v>0</v>
      </c>
      <c r="N571">
        <f>IF(OR($N$1="",对接源_01水果!$C571="",对接源_01水果!$C571&lt;&gt;$N$1,对接源_01水果!$B571=""),0,IF(OR(N(对接源_01水果!$B571)&lt;$N$2,N(对接源_01水果!$B571)&gt;$N$3),0,1))</f>
        <v>0</v>
      </c>
      <c r="P571">
        <f>IF(AND($K571=1,AND(对接源_01水果!$X571="公司筐",N(对接源_01水果!$T571)&lt;&gt;0)),1,0)</f>
        <v>0</v>
      </c>
      <c r="Q571">
        <f>N(Q570)+$P571</f>
        <v>0</v>
      </c>
      <c r="R571">
        <f>IF(AND($K571=1,AND(对接源_01水果!$X571="公司筐",N(对接源_01水果!$U571)&lt;&gt;0)),1,0)</f>
        <v>0</v>
      </c>
      <c r="S571">
        <f>N(S570)+$R571</f>
        <v>0</v>
      </c>
      <c r="T571">
        <f>IF(AND($K571=1,AND(对接源_01水果!$X571="公司筐",N(对接源_01水果!$V571)&lt;&gt;0)),1,0)</f>
        <v>0</v>
      </c>
      <c r="U571">
        <f>N(U570)+$T571</f>
        <v>47</v>
      </c>
      <c r="V571">
        <f>IF(AND($L571=1,AND(对接源_01水果!$X571="自备筐",N(对接源_01水果!$V571)&lt;&gt;0)),1,0)</f>
        <v>0</v>
      </c>
      <c r="W571">
        <f>N(W570)+$V571</f>
        <v>11</v>
      </c>
      <c r="X571">
        <f>IF(AND($L571=1,AND(对接源_01水果!$X571="自备筐",N(对接源_01水果!$T571)&lt;&gt;0)),1,0)</f>
        <v>0</v>
      </c>
      <c r="Y571">
        <f>N(Y570)+$X571</f>
        <v>0</v>
      </c>
      <c r="Z571">
        <f>IF(AND($M571=1,对接源_01水果!$D571="原料入库"),1,0)</f>
        <v>0</v>
      </c>
      <c r="AA571">
        <f>N(AA570)+$Z571</f>
        <v>24</v>
      </c>
      <c r="AB571">
        <f>IF(AND($M571=1,LEFT(对接源_01水果!$D571,4)="原料出库"),1,0)</f>
        <v>0</v>
      </c>
      <c r="AC571">
        <f>N(AC570)+$AB571</f>
        <v>0</v>
      </c>
      <c r="AD571">
        <f>IF(AND($M571=1,LEFT(对接源_01水果!$D571,4)="成品出库"),1,0)</f>
        <v>0</v>
      </c>
      <c r="AE571">
        <f>N(AE570)+$AD571</f>
        <v>0</v>
      </c>
      <c r="AF571">
        <f>IF(AND($N571=1,AND(LEFT(对接源_01水果!$D571,4)="包装物料",N(对接源_01水果!$K571)&lt;&gt;0)),1,0)</f>
        <v>0</v>
      </c>
      <c r="AG571">
        <f>N(AG570)+$AF571</f>
        <v>0</v>
      </c>
      <c r="AH571">
        <f>IF(AND($N571=1,AND(对接源_01水果!$D571="周转筐－销售出库",N(对接源_01水果!$K571)&lt;&gt;0)),1,0)</f>
        <v>0</v>
      </c>
      <c r="AI571">
        <f>N(AI570)+$AH571</f>
        <v>0</v>
      </c>
      <c r="AJ571" s="7" t="n"/>
      <c r="AL571">
        <f>IF(OR($AL$1="",对接源_01水果!$Y571="",对接源_01水果!$Y571&lt;&gt;$AL$1,对接源_01水果!$B571="",N(对接源_01水果!$AJ571)&lt;=0),0,IF(OR(N(对接源_01水果!$B571)&lt;$AL$2,N(对接源_01水果!$B571)&gt;$AL$3),0,1))</f>
        <v>0</v>
      </c>
      <c r="AM571">
        <f>N(AM570)+$AL571</f>
        <v>0</v>
      </c>
      <c r="AN571" t="str">
        <f>IF(对接源_01水果!$AC571="","",对接源_01水果!$AC571)</f>
        <v>电商/主播</v>
      </c>
      <c r="AO571">
        <f>IF(AN571="",0,IF(MATCH(AN571,$AN$4:$AN$1203,0)=ROW()-3,1,0))</f>
        <v>0</v>
      </c>
      <c r="AP571">
        <f>N(AP570)+$AO571</f>
        <v>1</v>
      </c>
      <c r="AR571">
        <f>IF(OR($AF571=1,$AH571=1),1,0)</f>
        <v>0</v>
      </c>
      <c r="AS571">
        <f>N(AS570)+$AR571</f>
        <v>0</v>
      </c>
    </row>
    <row r="572" ht="14.25" customHeight="1" s="127">
      <c r="A572" t="str">
        <f>IF(对接源_01水果!$C572="","",对接源_01水果!$C572)</f>
        <v>王照雪</v>
      </c>
      <c r="B572">
        <f>IF(A572="",0,IF(MATCH(A572,$A$4:$A$2403,0)=ROW()-3,1,0))</f>
        <v>0</v>
      </c>
      <c r="C572">
        <f>N(C571)+B572</f>
        <v>22</v>
      </c>
      <c r="K572">
        <f>IF(OR($K$1="",对接源_01水果!$C572="",对接源_01水果!$C572&lt;&gt;$K$1,对接源_01水果!$B572=""),0,IF(OR(N(对接源_01水果!$B572)&lt;$K$2,N(对接源_01水果!$B572)&gt;$K$3),0,1))</f>
        <v>0</v>
      </c>
      <c r="L572">
        <f>IF(OR($L$1="",对接源_01水果!$C572="",对接源_01水果!$C572&lt;&gt;$L$1,对接源_01水果!$B572=""),0,IF(OR(N(对接源_01水果!$B572)&lt;$L$2,N(对接源_01水果!$B572)&gt;$L$3),0,1))</f>
        <v>0</v>
      </c>
      <c r="M572">
        <f>IF(OR($M$1="",对接源_01水果!$C572="",对接源_01水果!$C572&lt;&gt;$M$1,对接源_01水果!$B572=""),0,IF(OR(N(对接源_01水果!$B572)&lt;$M$2,N(对接源_01水果!$B572)&gt;$M$3),0,1))</f>
        <v>0</v>
      </c>
      <c r="N572">
        <f>IF(OR($N$1="",对接源_01水果!$C572="",对接源_01水果!$C572&lt;&gt;$N$1,对接源_01水果!$B572=""),0,IF(OR(N(对接源_01水果!$B572)&lt;$N$2,N(对接源_01水果!$B572)&gt;$N$3),0,1))</f>
        <v>0</v>
      </c>
      <c r="P572">
        <f>IF(AND($K572=1,AND(对接源_01水果!$X572="公司筐",N(对接源_01水果!$T572)&lt;&gt;0)),1,0)</f>
        <v>0</v>
      </c>
      <c r="Q572">
        <f>N(Q571)+$P572</f>
        <v>0</v>
      </c>
      <c r="R572">
        <f>IF(AND($K572=1,AND(对接源_01水果!$X572="公司筐",N(对接源_01水果!$U572)&lt;&gt;0)),1,0)</f>
        <v>0</v>
      </c>
      <c r="S572">
        <f>N(S571)+$R572</f>
        <v>0</v>
      </c>
      <c r="T572">
        <f>IF(AND($K572=1,AND(对接源_01水果!$X572="公司筐",N(对接源_01水果!$V572)&lt;&gt;0)),1,0)</f>
        <v>0</v>
      </c>
      <c r="U572">
        <f>N(U571)+$T572</f>
        <v>47</v>
      </c>
      <c r="V572">
        <f>IF(AND($L572=1,AND(对接源_01水果!$X572="自备筐",N(对接源_01水果!$V572)&lt;&gt;0)),1,0)</f>
        <v>0</v>
      </c>
      <c r="W572">
        <f>N(W571)+$V572</f>
        <v>11</v>
      </c>
      <c r="X572">
        <f>IF(AND($L572=1,AND(对接源_01水果!$X572="自备筐",N(对接源_01水果!$T572)&lt;&gt;0)),1,0)</f>
        <v>0</v>
      </c>
      <c r="Y572">
        <f>N(Y571)+$X572</f>
        <v>0</v>
      </c>
      <c r="Z572">
        <f>IF(AND($M572=1,对接源_01水果!$D572="原料入库"),1,0)</f>
        <v>0</v>
      </c>
      <c r="AA572">
        <f>N(AA571)+$Z572</f>
        <v>24</v>
      </c>
      <c r="AB572">
        <f>IF(AND($M572=1,LEFT(对接源_01水果!$D572,4)="原料出库"),1,0)</f>
        <v>0</v>
      </c>
      <c r="AC572">
        <f>N(AC571)+$AB572</f>
        <v>0</v>
      </c>
      <c r="AD572">
        <f>IF(AND($M572=1,LEFT(对接源_01水果!$D572,4)="成品出库"),1,0)</f>
        <v>0</v>
      </c>
      <c r="AE572">
        <f>N(AE571)+$AD572</f>
        <v>0</v>
      </c>
      <c r="AF572">
        <f>IF(AND($N572=1,AND(LEFT(对接源_01水果!$D572,4)="包装物料",N(对接源_01水果!$K572)&lt;&gt;0)),1,0)</f>
        <v>0</v>
      </c>
      <c r="AG572">
        <f>N(AG571)+$AF572</f>
        <v>0</v>
      </c>
      <c r="AH572">
        <f>IF(AND($N572=1,AND(对接源_01水果!$D572="周转筐－销售出库",N(对接源_01水果!$K572)&lt;&gt;0)),1,0)</f>
        <v>0</v>
      </c>
      <c r="AI572">
        <f>N(AI571)+$AH572</f>
        <v>0</v>
      </c>
      <c r="AJ572" s="7" t="n"/>
      <c r="AL572">
        <f>IF(OR($AL$1="",对接源_01水果!$Y572="",对接源_01水果!$Y572&lt;&gt;$AL$1,对接源_01水果!$B572="",N(对接源_01水果!$AJ572)&lt;=0),0,IF(OR(N(对接源_01水果!$B572)&lt;$AL$2,N(对接源_01水果!$B572)&gt;$AL$3),0,1))</f>
        <v>0</v>
      </c>
      <c r="AM572">
        <f>N(AM571)+$AL572</f>
        <v>0</v>
      </c>
      <c r="AN572" t="str">
        <f>IF(对接源_01水果!$AC572="","",对接源_01水果!$AC572)</f>
        <v>电商/主播</v>
      </c>
      <c r="AO572">
        <f>IF(AN572="",0,IF(MATCH(AN572,$AN$4:$AN$1203,0)=ROW()-3,1,0))</f>
        <v>0</v>
      </c>
      <c r="AP572">
        <f>N(AP571)+$AO572</f>
        <v>1</v>
      </c>
      <c r="AR572">
        <f>IF(OR($AF572=1,$AH572=1),1,0)</f>
        <v>0</v>
      </c>
      <c r="AS572">
        <f>N(AS571)+$AR572</f>
        <v>0</v>
      </c>
    </row>
    <row r="573" ht="14.25" customHeight="1" s="127">
      <c r="A573" t="str">
        <f>IF(对接源_01水果!$C573="","",对接源_01水果!$C573)</f>
        <v>王照雪</v>
      </c>
      <c r="B573">
        <f>IF(A573="",0,IF(MATCH(A573,$A$4:$A$2403,0)=ROW()-3,1,0))</f>
        <v>0</v>
      </c>
      <c r="C573">
        <f>N(C572)+B573</f>
        <v>22</v>
      </c>
      <c r="K573">
        <f>IF(OR($K$1="",对接源_01水果!$C573="",对接源_01水果!$C573&lt;&gt;$K$1,对接源_01水果!$B573=""),0,IF(OR(N(对接源_01水果!$B573)&lt;$K$2,N(对接源_01水果!$B573)&gt;$K$3),0,1))</f>
        <v>0</v>
      </c>
      <c r="L573">
        <f>IF(OR($L$1="",对接源_01水果!$C573="",对接源_01水果!$C573&lt;&gt;$L$1,对接源_01水果!$B573=""),0,IF(OR(N(对接源_01水果!$B573)&lt;$L$2,N(对接源_01水果!$B573)&gt;$L$3),0,1))</f>
        <v>0</v>
      </c>
      <c r="M573">
        <f>IF(OR($M$1="",对接源_01水果!$C573="",对接源_01水果!$C573&lt;&gt;$M$1,对接源_01水果!$B573=""),0,IF(OR(N(对接源_01水果!$B573)&lt;$M$2,N(对接源_01水果!$B573)&gt;$M$3),0,1))</f>
        <v>0</v>
      </c>
      <c r="N573">
        <f>IF(OR($N$1="",对接源_01水果!$C573="",对接源_01水果!$C573&lt;&gt;$N$1,对接源_01水果!$B573=""),0,IF(OR(N(对接源_01水果!$B573)&lt;$N$2,N(对接源_01水果!$B573)&gt;$N$3),0,1))</f>
        <v>0</v>
      </c>
      <c r="P573">
        <f>IF(AND($K573=1,AND(对接源_01水果!$X573="公司筐",N(对接源_01水果!$T573)&lt;&gt;0)),1,0)</f>
        <v>0</v>
      </c>
      <c r="Q573">
        <f>N(Q572)+$P573</f>
        <v>0</v>
      </c>
      <c r="R573">
        <f>IF(AND($K573=1,AND(对接源_01水果!$X573="公司筐",N(对接源_01水果!$U573)&lt;&gt;0)),1,0)</f>
        <v>0</v>
      </c>
      <c r="S573">
        <f>N(S572)+$R573</f>
        <v>0</v>
      </c>
      <c r="T573">
        <f>IF(AND($K573=1,AND(对接源_01水果!$X573="公司筐",N(对接源_01水果!$V573)&lt;&gt;0)),1,0)</f>
        <v>0</v>
      </c>
      <c r="U573">
        <f>N(U572)+$T573</f>
        <v>47</v>
      </c>
      <c r="V573">
        <f>IF(AND($L573=1,AND(对接源_01水果!$X573="自备筐",N(对接源_01水果!$V573)&lt;&gt;0)),1,0)</f>
        <v>0</v>
      </c>
      <c r="W573">
        <f>N(W572)+$V573</f>
        <v>11</v>
      </c>
      <c r="X573">
        <f>IF(AND($L573=1,AND(对接源_01水果!$X573="自备筐",N(对接源_01水果!$T573)&lt;&gt;0)),1,0)</f>
        <v>0</v>
      </c>
      <c r="Y573">
        <f>N(Y572)+$X573</f>
        <v>0</v>
      </c>
      <c r="Z573">
        <f>IF(AND($M573=1,对接源_01水果!$D573="原料入库"),1,0)</f>
        <v>0</v>
      </c>
      <c r="AA573">
        <f>N(AA572)+$Z573</f>
        <v>24</v>
      </c>
      <c r="AB573">
        <f>IF(AND($M573=1,LEFT(对接源_01水果!$D573,4)="原料出库"),1,0)</f>
        <v>0</v>
      </c>
      <c r="AC573">
        <f>N(AC572)+$AB573</f>
        <v>0</v>
      </c>
      <c r="AD573">
        <f>IF(AND($M573=1,LEFT(对接源_01水果!$D573,4)="成品出库"),1,0)</f>
        <v>0</v>
      </c>
      <c r="AE573">
        <f>N(AE572)+$AD573</f>
        <v>0</v>
      </c>
      <c r="AF573">
        <f>IF(AND($N573=1,AND(LEFT(对接源_01水果!$D573,4)="包装物料",N(对接源_01水果!$K573)&lt;&gt;0)),1,0)</f>
        <v>0</v>
      </c>
      <c r="AG573">
        <f>N(AG572)+$AF573</f>
        <v>0</v>
      </c>
      <c r="AH573">
        <f>IF(AND($N573=1,AND(对接源_01水果!$D573="周转筐－销售出库",N(对接源_01水果!$K573)&lt;&gt;0)),1,0)</f>
        <v>0</v>
      </c>
      <c r="AI573">
        <f>N(AI572)+$AH573</f>
        <v>0</v>
      </c>
      <c r="AJ573" s="7" t="n"/>
      <c r="AL573">
        <f>IF(OR($AL$1="",对接源_01水果!$Y573="",对接源_01水果!$Y573&lt;&gt;$AL$1,对接源_01水果!$B573="",N(对接源_01水果!$AJ573)&lt;=0),0,IF(OR(N(对接源_01水果!$B573)&lt;$AL$2,N(对接源_01水果!$B573)&gt;$AL$3),0,1))</f>
        <v>0</v>
      </c>
      <c r="AM573">
        <f>N(AM572)+$AL573</f>
        <v>0</v>
      </c>
      <c r="AN573" t="str">
        <f>IF(对接源_01水果!$AC573="","",对接源_01水果!$AC573)</f>
        <v>电商/主播</v>
      </c>
      <c r="AO573">
        <f>IF(AN573="",0,IF(MATCH(AN573,$AN$4:$AN$1203,0)=ROW()-3,1,0))</f>
        <v>0</v>
      </c>
      <c r="AP573">
        <f>N(AP572)+$AO573</f>
        <v>1</v>
      </c>
      <c r="AR573">
        <f>IF(OR($AF573=1,$AH573=1),1,0)</f>
        <v>0</v>
      </c>
      <c r="AS573">
        <f>N(AS572)+$AR573</f>
        <v>0</v>
      </c>
    </row>
    <row r="574" ht="14.25" customHeight="1" s="127">
      <c r="A574" t="str">
        <f>IF(对接源_01水果!$C574="","",对接源_01水果!$C574)</f>
        <v>王照雪</v>
      </c>
      <c r="B574">
        <f>IF(A574="",0,IF(MATCH(A574,$A$4:$A$2403,0)=ROW()-3,1,0))</f>
        <v>0</v>
      </c>
      <c r="C574">
        <f>N(C573)+B574</f>
        <v>22</v>
      </c>
      <c r="K574">
        <f>IF(OR($K$1="",对接源_01水果!$C574="",对接源_01水果!$C574&lt;&gt;$K$1,对接源_01水果!$B574=""),0,IF(OR(N(对接源_01水果!$B574)&lt;$K$2,N(对接源_01水果!$B574)&gt;$K$3),0,1))</f>
        <v>0</v>
      </c>
      <c r="L574">
        <f>IF(OR($L$1="",对接源_01水果!$C574="",对接源_01水果!$C574&lt;&gt;$L$1,对接源_01水果!$B574=""),0,IF(OR(N(对接源_01水果!$B574)&lt;$L$2,N(对接源_01水果!$B574)&gt;$L$3),0,1))</f>
        <v>0</v>
      </c>
      <c r="M574">
        <f>IF(OR($M$1="",对接源_01水果!$C574="",对接源_01水果!$C574&lt;&gt;$M$1,对接源_01水果!$B574=""),0,IF(OR(N(对接源_01水果!$B574)&lt;$M$2,N(对接源_01水果!$B574)&gt;$M$3),0,1))</f>
        <v>0</v>
      </c>
      <c r="N574">
        <f>IF(OR($N$1="",对接源_01水果!$C574="",对接源_01水果!$C574&lt;&gt;$N$1,对接源_01水果!$B574=""),0,IF(OR(N(对接源_01水果!$B574)&lt;$N$2,N(对接源_01水果!$B574)&gt;$N$3),0,1))</f>
        <v>0</v>
      </c>
      <c r="P574">
        <f>IF(AND($K574=1,AND(对接源_01水果!$X574="公司筐",N(对接源_01水果!$T574)&lt;&gt;0)),1,0)</f>
        <v>0</v>
      </c>
      <c r="Q574">
        <f>N(Q573)+$P574</f>
        <v>0</v>
      </c>
      <c r="R574">
        <f>IF(AND($K574=1,AND(对接源_01水果!$X574="公司筐",N(对接源_01水果!$U574)&lt;&gt;0)),1,0)</f>
        <v>0</v>
      </c>
      <c r="S574">
        <f>N(S573)+$R574</f>
        <v>0</v>
      </c>
      <c r="T574">
        <f>IF(AND($K574=1,AND(对接源_01水果!$X574="公司筐",N(对接源_01水果!$V574)&lt;&gt;0)),1,0)</f>
        <v>0</v>
      </c>
      <c r="U574">
        <f>N(U573)+$T574</f>
        <v>47</v>
      </c>
      <c r="V574">
        <f>IF(AND($L574=1,AND(对接源_01水果!$X574="自备筐",N(对接源_01水果!$V574)&lt;&gt;0)),1,0)</f>
        <v>0</v>
      </c>
      <c r="W574">
        <f>N(W573)+$V574</f>
        <v>11</v>
      </c>
      <c r="X574">
        <f>IF(AND($L574=1,AND(对接源_01水果!$X574="自备筐",N(对接源_01水果!$T574)&lt;&gt;0)),1,0)</f>
        <v>0</v>
      </c>
      <c r="Y574">
        <f>N(Y573)+$X574</f>
        <v>0</v>
      </c>
      <c r="Z574">
        <f>IF(AND($M574=1,对接源_01水果!$D574="原料入库"),1,0)</f>
        <v>0</v>
      </c>
      <c r="AA574">
        <f>N(AA573)+$Z574</f>
        <v>24</v>
      </c>
      <c r="AB574">
        <f>IF(AND($M574=1,LEFT(对接源_01水果!$D574,4)="原料出库"),1,0)</f>
        <v>0</v>
      </c>
      <c r="AC574">
        <f>N(AC573)+$AB574</f>
        <v>0</v>
      </c>
      <c r="AD574">
        <f>IF(AND($M574=1,LEFT(对接源_01水果!$D574,4)="成品出库"),1,0)</f>
        <v>0</v>
      </c>
      <c r="AE574">
        <f>N(AE573)+$AD574</f>
        <v>0</v>
      </c>
      <c r="AF574">
        <f>IF(AND($N574=1,AND(LEFT(对接源_01水果!$D574,4)="包装物料",N(对接源_01水果!$K574)&lt;&gt;0)),1,0)</f>
        <v>0</v>
      </c>
      <c r="AG574">
        <f>N(AG573)+$AF574</f>
        <v>0</v>
      </c>
      <c r="AH574">
        <f>IF(AND($N574=1,AND(对接源_01水果!$D574="周转筐－销售出库",N(对接源_01水果!$K574)&lt;&gt;0)),1,0)</f>
        <v>0</v>
      </c>
      <c r="AI574">
        <f>N(AI573)+$AH574</f>
        <v>0</v>
      </c>
      <c r="AJ574" s="7" t="n"/>
      <c r="AL574">
        <f>IF(OR($AL$1="",对接源_01水果!$Y574="",对接源_01水果!$Y574&lt;&gt;$AL$1,对接源_01水果!$B574="",N(对接源_01水果!$AJ574)&lt;=0),0,IF(OR(N(对接源_01水果!$B574)&lt;$AL$2,N(对接源_01水果!$B574)&gt;$AL$3),0,1))</f>
        <v>0</v>
      </c>
      <c r="AM574">
        <f>N(AM573)+$AL574</f>
        <v>0</v>
      </c>
      <c r="AN574" t="str">
        <f>IF(对接源_01水果!$AC574="","",对接源_01水果!$AC574)</f>
        <v>电商/主播</v>
      </c>
      <c r="AO574">
        <f>IF(AN574="",0,IF(MATCH(AN574,$AN$4:$AN$1203,0)=ROW()-3,1,0))</f>
        <v>0</v>
      </c>
      <c r="AP574">
        <f>N(AP573)+$AO574</f>
        <v>1</v>
      </c>
      <c r="AR574">
        <f>IF(OR($AF574=1,$AH574=1),1,0)</f>
        <v>0</v>
      </c>
      <c r="AS574">
        <f>N(AS573)+$AR574</f>
        <v>0</v>
      </c>
    </row>
    <row r="575" ht="14.25" customHeight="1" s="127">
      <c r="A575" t="str">
        <f>IF(对接源_01水果!$C575="","",对接源_01水果!$C575)</f>
        <v>王照雪</v>
      </c>
      <c r="B575">
        <f>IF(A575="",0,IF(MATCH(A575,$A$4:$A$2403,0)=ROW()-3,1,0))</f>
        <v>0</v>
      </c>
      <c r="C575">
        <f>N(C574)+B575</f>
        <v>22</v>
      </c>
      <c r="K575">
        <f>IF(OR($K$1="",对接源_01水果!$C575="",对接源_01水果!$C575&lt;&gt;$K$1,对接源_01水果!$B575=""),0,IF(OR(N(对接源_01水果!$B575)&lt;$K$2,N(对接源_01水果!$B575)&gt;$K$3),0,1))</f>
        <v>0</v>
      </c>
      <c r="L575">
        <f>IF(OR($L$1="",对接源_01水果!$C575="",对接源_01水果!$C575&lt;&gt;$L$1,对接源_01水果!$B575=""),0,IF(OR(N(对接源_01水果!$B575)&lt;$L$2,N(对接源_01水果!$B575)&gt;$L$3),0,1))</f>
        <v>0</v>
      </c>
      <c r="M575">
        <f>IF(OR($M$1="",对接源_01水果!$C575="",对接源_01水果!$C575&lt;&gt;$M$1,对接源_01水果!$B575=""),0,IF(OR(N(对接源_01水果!$B575)&lt;$M$2,N(对接源_01水果!$B575)&gt;$M$3),0,1))</f>
        <v>0</v>
      </c>
      <c r="N575">
        <f>IF(OR($N$1="",对接源_01水果!$C575="",对接源_01水果!$C575&lt;&gt;$N$1,对接源_01水果!$B575=""),0,IF(OR(N(对接源_01水果!$B575)&lt;$N$2,N(对接源_01水果!$B575)&gt;$N$3),0,1))</f>
        <v>0</v>
      </c>
      <c r="P575">
        <f>IF(AND($K575=1,AND(对接源_01水果!$X575="公司筐",N(对接源_01水果!$T575)&lt;&gt;0)),1,0)</f>
        <v>0</v>
      </c>
      <c r="Q575">
        <f>N(Q574)+$P575</f>
        <v>0</v>
      </c>
      <c r="R575">
        <f>IF(AND($K575=1,AND(对接源_01水果!$X575="公司筐",N(对接源_01水果!$U575)&lt;&gt;0)),1,0)</f>
        <v>0</v>
      </c>
      <c r="S575">
        <f>N(S574)+$R575</f>
        <v>0</v>
      </c>
      <c r="T575">
        <f>IF(AND($K575=1,AND(对接源_01水果!$X575="公司筐",N(对接源_01水果!$V575)&lt;&gt;0)),1,0)</f>
        <v>0</v>
      </c>
      <c r="U575">
        <f>N(U574)+$T575</f>
        <v>47</v>
      </c>
      <c r="V575">
        <f>IF(AND($L575=1,AND(对接源_01水果!$X575="自备筐",N(对接源_01水果!$V575)&lt;&gt;0)),1,0)</f>
        <v>0</v>
      </c>
      <c r="W575">
        <f>N(W574)+$V575</f>
        <v>11</v>
      </c>
      <c r="X575">
        <f>IF(AND($L575=1,AND(对接源_01水果!$X575="自备筐",N(对接源_01水果!$T575)&lt;&gt;0)),1,0)</f>
        <v>0</v>
      </c>
      <c r="Y575">
        <f>N(Y574)+$X575</f>
        <v>0</v>
      </c>
      <c r="Z575">
        <f>IF(AND($M575=1,对接源_01水果!$D575="原料入库"),1,0)</f>
        <v>0</v>
      </c>
      <c r="AA575">
        <f>N(AA574)+$Z575</f>
        <v>24</v>
      </c>
      <c r="AB575">
        <f>IF(AND($M575=1,LEFT(对接源_01水果!$D575,4)="原料出库"),1,0)</f>
        <v>0</v>
      </c>
      <c r="AC575">
        <f>N(AC574)+$AB575</f>
        <v>0</v>
      </c>
      <c r="AD575">
        <f>IF(AND($M575=1,LEFT(对接源_01水果!$D575,4)="成品出库"),1,0)</f>
        <v>0</v>
      </c>
      <c r="AE575">
        <f>N(AE574)+$AD575</f>
        <v>0</v>
      </c>
      <c r="AF575">
        <f>IF(AND($N575=1,AND(LEFT(对接源_01水果!$D575,4)="包装物料",N(对接源_01水果!$K575)&lt;&gt;0)),1,0)</f>
        <v>0</v>
      </c>
      <c r="AG575">
        <f>N(AG574)+$AF575</f>
        <v>0</v>
      </c>
      <c r="AH575">
        <f>IF(AND($N575=1,AND(对接源_01水果!$D575="周转筐－销售出库",N(对接源_01水果!$K575)&lt;&gt;0)),1,0)</f>
        <v>0</v>
      </c>
      <c r="AI575">
        <f>N(AI574)+$AH575</f>
        <v>0</v>
      </c>
      <c r="AJ575" s="7" t="n"/>
      <c r="AL575">
        <f>IF(OR($AL$1="",对接源_01水果!$Y575="",对接源_01水果!$Y575&lt;&gt;$AL$1,对接源_01水果!$B575="",N(对接源_01水果!$AJ575)&lt;=0),0,IF(OR(N(对接源_01水果!$B575)&lt;$AL$2,N(对接源_01水果!$B575)&gt;$AL$3),0,1))</f>
        <v>0</v>
      </c>
      <c r="AM575">
        <f>N(AM574)+$AL575</f>
        <v>0</v>
      </c>
      <c r="AN575" t="str">
        <f>IF(对接源_01水果!$AC575="","",对接源_01水果!$AC575)</f>
        <v>电商/主播</v>
      </c>
      <c r="AO575">
        <f>IF(AN575="",0,IF(MATCH(AN575,$AN$4:$AN$1203,0)=ROW()-3,1,0))</f>
        <v>0</v>
      </c>
      <c r="AP575">
        <f>N(AP574)+$AO575</f>
        <v>1</v>
      </c>
      <c r="AR575">
        <f>IF(OR($AF575=1,$AH575=1),1,0)</f>
        <v>0</v>
      </c>
      <c r="AS575">
        <f>N(AS574)+$AR575</f>
        <v>0</v>
      </c>
    </row>
    <row r="576" ht="14.25" customHeight="1" s="127">
      <c r="A576" t="str">
        <f>IF(对接源_01水果!$C576="","",对接源_01水果!$C576)</f>
        <v>王照雪</v>
      </c>
      <c r="B576">
        <f>IF(A576="",0,IF(MATCH(A576,$A$4:$A$2403,0)=ROW()-3,1,0))</f>
        <v>0</v>
      </c>
      <c r="C576">
        <f>N(C575)+B576</f>
        <v>22</v>
      </c>
      <c r="K576">
        <f>IF(OR($K$1="",对接源_01水果!$C576="",对接源_01水果!$C576&lt;&gt;$K$1,对接源_01水果!$B576=""),0,IF(OR(N(对接源_01水果!$B576)&lt;$K$2,N(对接源_01水果!$B576)&gt;$K$3),0,1))</f>
        <v>0</v>
      </c>
      <c r="L576">
        <f>IF(OR($L$1="",对接源_01水果!$C576="",对接源_01水果!$C576&lt;&gt;$L$1,对接源_01水果!$B576=""),0,IF(OR(N(对接源_01水果!$B576)&lt;$L$2,N(对接源_01水果!$B576)&gt;$L$3),0,1))</f>
        <v>0</v>
      </c>
      <c r="M576">
        <f>IF(OR($M$1="",对接源_01水果!$C576="",对接源_01水果!$C576&lt;&gt;$M$1,对接源_01水果!$B576=""),0,IF(OR(N(对接源_01水果!$B576)&lt;$M$2,N(对接源_01水果!$B576)&gt;$M$3),0,1))</f>
        <v>0</v>
      </c>
      <c r="N576">
        <f>IF(OR($N$1="",对接源_01水果!$C576="",对接源_01水果!$C576&lt;&gt;$N$1,对接源_01水果!$B576=""),0,IF(OR(N(对接源_01水果!$B576)&lt;$N$2,N(对接源_01水果!$B576)&gt;$N$3),0,1))</f>
        <v>0</v>
      </c>
      <c r="P576">
        <f>IF(AND($K576=1,AND(对接源_01水果!$X576="公司筐",N(对接源_01水果!$T576)&lt;&gt;0)),1,0)</f>
        <v>0</v>
      </c>
      <c r="Q576">
        <f>N(Q575)+$P576</f>
        <v>0</v>
      </c>
      <c r="R576">
        <f>IF(AND($K576=1,AND(对接源_01水果!$X576="公司筐",N(对接源_01水果!$U576)&lt;&gt;0)),1,0)</f>
        <v>0</v>
      </c>
      <c r="S576">
        <f>N(S575)+$R576</f>
        <v>0</v>
      </c>
      <c r="T576">
        <f>IF(AND($K576=1,AND(对接源_01水果!$X576="公司筐",N(对接源_01水果!$V576)&lt;&gt;0)),1,0)</f>
        <v>0</v>
      </c>
      <c r="U576">
        <f>N(U575)+$T576</f>
        <v>47</v>
      </c>
      <c r="V576">
        <f>IF(AND($L576=1,AND(对接源_01水果!$X576="自备筐",N(对接源_01水果!$V576)&lt;&gt;0)),1,0)</f>
        <v>0</v>
      </c>
      <c r="W576">
        <f>N(W575)+$V576</f>
        <v>11</v>
      </c>
      <c r="X576">
        <f>IF(AND($L576=1,AND(对接源_01水果!$X576="自备筐",N(对接源_01水果!$T576)&lt;&gt;0)),1,0)</f>
        <v>0</v>
      </c>
      <c r="Y576">
        <f>N(Y575)+$X576</f>
        <v>0</v>
      </c>
      <c r="Z576">
        <f>IF(AND($M576=1,对接源_01水果!$D576="原料入库"),1,0)</f>
        <v>0</v>
      </c>
      <c r="AA576">
        <f>N(AA575)+$Z576</f>
        <v>24</v>
      </c>
      <c r="AB576">
        <f>IF(AND($M576=1,LEFT(对接源_01水果!$D576,4)="原料出库"),1,0)</f>
        <v>0</v>
      </c>
      <c r="AC576">
        <f>N(AC575)+$AB576</f>
        <v>0</v>
      </c>
      <c r="AD576">
        <f>IF(AND($M576=1,LEFT(对接源_01水果!$D576,4)="成品出库"),1,0)</f>
        <v>0</v>
      </c>
      <c r="AE576">
        <f>N(AE575)+$AD576</f>
        <v>0</v>
      </c>
      <c r="AF576">
        <f>IF(AND($N576=1,AND(LEFT(对接源_01水果!$D576,4)="包装物料",N(对接源_01水果!$K576)&lt;&gt;0)),1,0)</f>
        <v>0</v>
      </c>
      <c r="AG576">
        <f>N(AG575)+$AF576</f>
        <v>0</v>
      </c>
      <c r="AH576">
        <f>IF(AND($N576=1,AND(对接源_01水果!$D576="周转筐－销售出库",N(对接源_01水果!$K576)&lt;&gt;0)),1,0)</f>
        <v>0</v>
      </c>
      <c r="AI576">
        <f>N(AI575)+$AH576</f>
        <v>0</v>
      </c>
      <c r="AJ576" s="7" t="n"/>
      <c r="AL576">
        <f>IF(OR($AL$1="",对接源_01水果!$Y576="",对接源_01水果!$Y576&lt;&gt;$AL$1,对接源_01水果!$B576="",N(对接源_01水果!$AJ576)&lt;=0),0,IF(OR(N(对接源_01水果!$B576)&lt;$AL$2,N(对接源_01水果!$B576)&gt;$AL$3),0,1))</f>
        <v>0</v>
      </c>
      <c r="AM576">
        <f>N(AM575)+$AL576</f>
        <v>0</v>
      </c>
      <c r="AN576" t="str">
        <f>IF(对接源_01水果!$AC576="","",对接源_01水果!$AC576)</f>
        <v>电商/主播</v>
      </c>
      <c r="AO576">
        <f>IF(AN576="",0,IF(MATCH(AN576,$AN$4:$AN$1203,0)=ROW()-3,1,0))</f>
        <v>0</v>
      </c>
      <c r="AP576">
        <f>N(AP575)+$AO576</f>
        <v>1</v>
      </c>
      <c r="AR576">
        <f>IF(OR($AF576=1,$AH576=1),1,0)</f>
        <v>0</v>
      </c>
      <c r="AS576">
        <f>N(AS575)+$AR576</f>
        <v>0</v>
      </c>
    </row>
    <row r="577" ht="14.25" customHeight="1" s="127">
      <c r="A577" t="str">
        <f>IF(对接源_01水果!$C577="","",对接源_01水果!$C577)</f>
        <v>王照雪</v>
      </c>
      <c r="B577">
        <f>IF(A577="",0,IF(MATCH(A577,$A$4:$A$2403,0)=ROW()-3,1,0))</f>
        <v>0</v>
      </c>
      <c r="C577">
        <f>N(C576)+B577</f>
        <v>22</v>
      </c>
      <c r="K577">
        <f>IF(OR($K$1="",对接源_01水果!$C577="",对接源_01水果!$C577&lt;&gt;$K$1,对接源_01水果!$B577=""),0,IF(OR(N(对接源_01水果!$B577)&lt;$K$2,N(对接源_01水果!$B577)&gt;$K$3),0,1))</f>
        <v>0</v>
      </c>
      <c r="L577">
        <f>IF(OR($L$1="",对接源_01水果!$C577="",对接源_01水果!$C577&lt;&gt;$L$1,对接源_01水果!$B577=""),0,IF(OR(N(对接源_01水果!$B577)&lt;$L$2,N(对接源_01水果!$B577)&gt;$L$3),0,1))</f>
        <v>0</v>
      </c>
      <c r="M577">
        <f>IF(OR($M$1="",对接源_01水果!$C577="",对接源_01水果!$C577&lt;&gt;$M$1,对接源_01水果!$B577=""),0,IF(OR(N(对接源_01水果!$B577)&lt;$M$2,N(对接源_01水果!$B577)&gt;$M$3),0,1))</f>
        <v>0</v>
      </c>
      <c r="N577">
        <f>IF(OR($N$1="",对接源_01水果!$C577="",对接源_01水果!$C577&lt;&gt;$N$1,对接源_01水果!$B577=""),0,IF(OR(N(对接源_01水果!$B577)&lt;$N$2,N(对接源_01水果!$B577)&gt;$N$3),0,1))</f>
        <v>0</v>
      </c>
      <c r="P577">
        <f>IF(AND($K577=1,AND(对接源_01水果!$X577="公司筐",N(对接源_01水果!$T577)&lt;&gt;0)),1,0)</f>
        <v>0</v>
      </c>
      <c r="Q577">
        <f>N(Q576)+$P577</f>
        <v>0</v>
      </c>
      <c r="R577">
        <f>IF(AND($K577=1,AND(对接源_01水果!$X577="公司筐",N(对接源_01水果!$U577)&lt;&gt;0)),1,0)</f>
        <v>0</v>
      </c>
      <c r="S577">
        <f>N(S576)+$R577</f>
        <v>0</v>
      </c>
      <c r="T577">
        <f>IF(AND($K577=1,AND(对接源_01水果!$X577="公司筐",N(对接源_01水果!$V577)&lt;&gt;0)),1,0)</f>
        <v>0</v>
      </c>
      <c r="U577">
        <f>N(U576)+$T577</f>
        <v>47</v>
      </c>
      <c r="V577">
        <f>IF(AND($L577=1,AND(对接源_01水果!$X577="自备筐",N(对接源_01水果!$V577)&lt;&gt;0)),1,0)</f>
        <v>0</v>
      </c>
      <c r="W577">
        <f>N(W576)+$V577</f>
        <v>11</v>
      </c>
      <c r="X577">
        <f>IF(AND($L577=1,AND(对接源_01水果!$X577="自备筐",N(对接源_01水果!$T577)&lt;&gt;0)),1,0)</f>
        <v>0</v>
      </c>
      <c r="Y577">
        <f>N(Y576)+$X577</f>
        <v>0</v>
      </c>
      <c r="Z577">
        <f>IF(AND($M577=1,对接源_01水果!$D577="原料入库"),1,0)</f>
        <v>0</v>
      </c>
      <c r="AA577">
        <f>N(AA576)+$Z577</f>
        <v>24</v>
      </c>
      <c r="AB577">
        <f>IF(AND($M577=1,LEFT(对接源_01水果!$D577,4)="原料出库"),1,0)</f>
        <v>0</v>
      </c>
      <c r="AC577">
        <f>N(AC576)+$AB577</f>
        <v>0</v>
      </c>
      <c r="AD577">
        <f>IF(AND($M577=1,LEFT(对接源_01水果!$D577,4)="成品出库"),1,0)</f>
        <v>0</v>
      </c>
      <c r="AE577">
        <f>N(AE576)+$AD577</f>
        <v>0</v>
      </c>
      <c r="AF577">
        <f>IF(AND($N577=1,AND(LEFT(对接源_01水果!$D577,4)="包装物料",N(对接源_01水果!$K577)&lt;&gt;0)),1,0)</f>
        <v>0</v>
      </c>
      <c r="AG577">
        <f>N(AG576)+$AF577</f>
        <v>0</v>
      </c>
      <c r="AH577">
        <f>IF(AND($N577=1,AND(对接源_01水果!$D577="周转筐－销售出库",N(对接源_01水果!$K577)&lt;&gt;0)),1,0)</f>
        <v>0</v>
      </c>
      <c r="AI577">
        <f>N(AI576)+$AH577</f>
        <v>0</v>
      </c>
      <c r="AJ577" s="7" t="n"/>
      <c r="AL577">
        <f>IF(OR($AL$1="",对接源_01水果!$Y577="",对接源_01水果!$Y577&lt;&gt;$AL$1,对接源_01水果!$B577="",N(对接源_01水果!$AJ577)&lt;=0),0,IF(OR(N(对接源_01水果!$B577)&lt;$AL$2,N(对接源_01水果!$B577)&gt;$AL$3),0,1))</f>
        <v>0</v>
      </c>
      <c r="AM577">
        <f>N(AM576)+$AL577</f>
        <v>0</v>
      </c>
      <c r="AN577" t="str">
        <f>IF(对接源_01水果!$AC577="","",对接源_01水果!$AC577)</f>
        <v>王照雪</v>
      </c>
      <c r="AO577">
        <f>IF(AN577="",0,IF(MATCH(AN577,$AN$4:$AN$1203,0)=ROW()-3,1,0))</f>
        <v>1</v>
      </c>
      <c r="AP577">
        <f>N(AP576)+$AO577</f>
        <v>2</v>
      </c>
      <c r="AR577">
        <f>IF(OR($AF577=1,$AH577=1),1,0)</f>
        <v>0</v>
      </c>
      <c r="AS577">
        <f>N(AS576)+$AR577</f>
        <v>0</v>
      </c>
    </row>
    <row r="578" ht="14.25" customHeight="1" s="127">
      <c r="A578" t="str">
        <f>IF(对接源_01水果!$C578="","",对接源_01水果!$C578)</f>
        <v>王照雪</v>
      </c>
      <c r="B578">
        <f>IF(A578="",0,IF(MATCH(A578,$A$4:$A$2403,0)=ROW()-3,1,0))</f>
        <v>0</v>
      </c>
      <c r="C578">
        <f>N(C577)+B578</f>
        <v>22</v>
      </c>
      <c r="K578">
        <f>IF(OR($K$1="",对接源_01水果!$C578="",对接源_01水果!$C578&lt;&gt;$K$1,对接源_01水果!$B578=""),0,IF(OR(N(对接源_01水果!$B578)&lt;$K$2,N(对接源_01水果!$B578)&gt;$K$3),0,1))</f>
        <v>0</v>
      </c>
      <c r="L578">
        <f>IF(OR($L$1="",对接源_01水果!$C578="",对接源_01水果!$C578&lt;&gt;$L$1,对接源_01水果!$B578=""),0,IF(OR(N(对接源_01水果!$B578)&lt;$L$2,N(对接源_01水果!$B578)&gt;$L$3),0,1))</f>
        <v>0</v>
      </c>
      <c r="M578">
        <f>IF(OR($M$1="",对接源_01水果!$C578="",对接源_01水果!$C578&lt;&gt;$M$1,对接源_01水果!$B578=""),0,IF(OR(N(对接源_01水果!$B578)&lt;$M$2,N(对接源_01水果!$B578)&gt;$M$3),0,1))</f>
        <v>0</v>
      </c>
      <c r="N578">
        <f>IF(OR($N$1="",对接源_01水果!$C578="",对接源_01水果!$C578&lt;&gt;$N$1,对接源_01水果!$B578=""),0,IF(OR(N(对接源_01水果!$B578)&lt;$N$2,N(对接源_01水果!$B578)&gt;$N$3),0,1))</f>
        <v>0</v>
      </c>
      <c r="P578">
        <f>IF(AND($K578=1,AND(对接源_01水果!$X578="公司筐",N(对接源_01水果!$T578)&lt;&gt;0)),1,0)</f>
        <v>0</v>
      </c>
      <c r="Q578">
        <f>N(Q577)+$P578</f>
        <v>0</v>
      </c>
      <c r="R578">
        <f>IF(AND($K578=1,AND(对接源_01水果!$X578="公司筐",N(对接源_01水果!$U578)&lt;&gt;0)),1,0)</f>
        <v>0</v>
      </c>
      <c r="S578">
        <f>N(S577)+$R578</f>
        <v>0</v>
      </c>
      <c r="T578">
        <f>IF(AND($K578=1,AND(对接源_01水果!$X578="公司筐",N(对接源_01水果!$V578)&lt;&gt;0)),1,0)</f>
        <v>0</v>
      </c>
      <c r="U578">
        <f>N(U577)+$T578</f>
        <v>47</v>
      </c>
      <c r="V578">
        <f>IF(AND($L578=1,AND(对接源_01水果!$X578="自备筐",N(对接源_01水果!$V578)&lt;&gt;0)),1,0)</f>
        <v>0</v>
      </c>
      <c r="W578">
        <f>N(W577)+$V578</f>
        <v>11</v>
      </c>
      <c r="X578">
        <f>IF(AND($L578=1,AND(对接源_01水果!$X578="自备筐",N(对接源_01水果!$T578)&lt;&gt;0)),1,0)</f>
        <v>0</v>
      </c>
      <c r="Y578">
        <f>N(Y577)+$X578</f>
        <v>0</v>
      </c>
      <c r="Z578">
        <f>IF(AND($M578=1,对接源_01水果!$D578="原料入库"),1,0)</f>
        <v>0</v>
      </c>
      <c r="AA578">
        <f>N(AA577)+$Z578</f>
        <v>24</v>
      </c>
      <c r="AB578">
        <f>IF(AND($M578=1,LEFT(对接源_01水果!$D578,4)="原料出库"),1,0)</f>
        <v>0</v>
      </c>
      <c r="AC578">
        <f>N(AC577)+$AB578</f>
        <v>0</v>
      </c>
      <c r="AD578">
        <f>IF(AND($M578=1,LEFT(对接源_01水果!$D578,4)="成品出库"),1,0)</f>
        <v>0</v>
      </c>
      <c r="AE578">
        <f>N(AE577)+$AD578</f>
        <v>0</v>
      </c>
      <c r="AF578">
        <f>IF(AND($N578=1,AND(LEFT(对接源_01水果!$D578,4)="包装物料",N(对接源_01水果!$K578)&lt;&gt;0)),1,0)</f>
        <v>0</v>
      </c>
      <c r="AG578">
        <f>N(AG577)+$AF578</f>
        <v>0</v>
      </c>
      <c r="AH578">
        <f>IF(AND($N578=1,AND(对接源_01水果!$D578="周转筐－销售出库",N(对接源_01水果!$K578)&lt;&gt;0)),1,0)</f>
        <v>0</v>
      </c>
      <c r="AI578">
        <f>N(AI577)+$AH578</f>
        <v>0</v>
      </c>
      <c r="AJ578" s="7" t="n"/>
      <c r="AL578">
        <f>IF(OR($AL$1="",对接源_01水果!$Y578="",对接源_01水果!$Y578&lt;&gt;$AL$1,对接源_01水果!$B578="",N(对接源_01水果!$AJ578)&lt;=0),0,IF(OR(N(对接源_01水果!$B578)&lt;$AL$2,N(对接源_01水果!$B578)&gt;$AL$3),0,1))</f>
        <v>0</v>
      </c>
      <c r="AM578">
        <f>N(AM577)+$AL578</f>
        <v>0</v>
      </c>
      <c r="AN578" t="str">
        <f>IF(对接源_01水果!$AC578="","",对接源_01水果!$AC578)</f>
        <v>电商/主播</v>
      </c>
      <c r="AO578">
        <f>IF(AN578="",0,IF(MATCH(AN578,$AN$4:$AN$1203,0)=ROW()-3,1,0))</f>
        <v>0</v>
      </c>
      <c r="AP578">
        <f>N(AP577)+$AO578</f>
        <v>2</v>
      </c>
      <c r="AR578">
        <f>IF(OR($AF578=1,$AH578=1),1,0)</f>
        <v>0</v>
      </c>
      <c r="AS578">
        <f>N(AS577)+$AR578</f>
        <v>0</v>
      </c>
    </row>
    <row r="579" ht="14.25" customHeight="1" s="127">
      <c r="A579" t="str">
        <f>IF(对接源_01水果!$C579="","",对接源_01水果!$C579)</f>
        <v>王照雪</v>
      </c>
      <c r="B579">
        <f>IF(A579="",0,IF(MATCH(A579,$A$4:$A$2403,0)=ROW()-3,1,0))</f>
        <v>0</v>
      </c>
      <c r="C579">
        <f>N(C578)+B579</f>
        <v>22</v>
      </c>
      <c r="K579">
        <f>IF(OR($K$1="",对接源_01水果!$C579="",对接源_01水果!$C579&lt;&gt;$K$1,对接源_01水果!$B579=""),0,IF(OR(N(对接源_01水果!$B579)&lt;$K$2,N(对接源_01水果!$B579)&gt;$K$3),0,1))</f>
        <v>0</v>
      </c>
      <c r="L579">
        <f>IF(OR($L$1="",对接源_01水果!$C579="",对接源_01水果!$C579&lt;&gt;$L$1,对接源_01水果!$B579=""),0,IF(OR(N(对接源_01水果!$B579)&lt;$L$2,N(对接源_01水果!$B579)&gt;$L$3),0,1))</f>
        <v>0</v>
      </c>
      <c r="M579">
        <f>IF(OR($M$1="",对接源_01水果!$C579="",对接源_01水果!$C579&lt;&gt;$M$1,对接源_01水果!$B579=""),0,IF(OR(N(对接源_01水果!$B579)&lt;$M$2,N(对接源_01水果!$B579)&gt;$M$3),0,1))</f>
        <v>0</v>
      </c>
      <c r="N579">
        <f>IF(OR($N$1="",对接源_01水果!$C579="",对接源_01水果!$C579&lt;&gt;$N$1,对接源_01水果!$B579=""),0,IF(OR(N(对接源_01水果!$B579)&lt;$N$2,N(对接源_01水果!$B579)&gt;$N$3),0,1))</f>
        <v>0</v>
      </c>
      <c r="P579">
        <f>IF(AND($K579=1,AND(对接源_01水果!$X579="公司筐",N(对接源_01水果!$T579)&lt;&gt;0)),1,0)</f>
        <v>0</v>
      </c>
      <c r="Q579">
        <f>N(Q578)+$P579</f>
        <v>0</v>
      </c>
      <c r="R579">
        <f>IF(AND($K579=1,AND(对接源_01水果!$X579="公司筐",N(对接源_01水果!$U579)&lt;&gt;0)),1,0)</f>
        <v>0</v>
      </c>
      <c r="S579">
        <f>N(S578)+$R579</f>
        <v>0</v>
      </c>
      <c r="T579">
        <f>IF(AND($K579=1,AND(对接源_01水果!$X579="公司筐",N(对接源_01水果!$V579)&lt;&gt;0)),1,0)</f>
        <v>0</v>
      </c>
      <c r="U579">
        <f>N(U578)+$T579</f>
        <v>47</v>
      </c>
      <c r="V579">
        <f>IF(AND($L579=1,AND(对接源_01水果!$X579="自备筐",N(对接源_01水果!$V579)&lt;&gt;0)),1,0)</f>
        <v>0</v>
      </c>
      <c r="W579">
        <f>N(W578)+$V579</f>
        <v>11</v>
      </c>
      <c r="X579">
        <f>IF(AND($L579=1,AND(对接源_01水果!$X579="自备筐",N(对接源_01水果!$T579)&lt;&gt;0)),1,0)</f>
        <v>0</v>
      </c>
      <c r="Y579">
        <f>N(Y578)+$X579</f>
        <v>0</v>
      </c>
      <c r="Z579">
        <f>IF(AND($M579=1,对接源_01水果!$D579="原料入库"),1,0)</f>
        <v>0</v>
      </c>
      <c r="AA579">
        <f>N(AA578)+$Z579</f>
        <v>24</v>
      </c>
      <c r="AB579">
        <f>IF(AND($M579=1,LEFT(对接源_01水果!$D579,4)="原料出库"),1,0)</f>
        <v>0</v>
      </c>
      <c r="AC579">
        <f>N(AC578)+$AB579</f>
        <v>0</v>
      </c>
      <c r="AD579">
        <f>IF(AND($M579=1,LEFT(对接源_01水果!$D579,4)="成品出库"),1,0)</f>
        <v>0</v>
      </c>
      <c r="AE579">
        <f>N(AE578)+$AD579</f>
        <v>0</v>
      </c>
      <c r="AF579">
        <f>IF(AND($N579=1,AND(LEFT(对接源_01水果!$D579,4)="包装物料",N(对接源_01水果!$K579)&lt;&gt;0)),1,0)</f>
        <v>0</v>
      </c>
      <c r="AG579">
        <f>N(AG578)+$AF579</f>
        <v>0</v>
      </c>
      <c r="AH579">
        <f>IF(AND($N579=1,AND(对接源_01水果!$D579="周转筐－销售出库",N(对接源_01水果!$K579)&lt;&gt;0)),1,0)</f>
        <v>0</v>
      </c>
      <c r="AI579">
        <f>N(AI578)+$AH579</f>
        <v>0</v>
      </c>
      <c r="AJ579" s="7" t="n"/>
      <c r="AL579">
        <f>IF(OR($AL$1="",对接源_01水果!$Y579="",对接源_01水果!$Y579&lt;&gt;$AL$1,对接源_01水果!$B579="",N(对接源_01水果!$AJ579)&lt;=0),0,IF(OR(N(对接源_01水果!$B579)&lt;$AL$2,N(对接源_01水果!$B579)&gt;$AL$3),0,1))</f>
        <v>0</v>
      </c>
      <c r="AM579">
        <f>N(AM578)+$AL579</f>
        <v>0</v>
      </c>
      <c r="AN579" t="str">
        <f>IF(对接源_01水果!$AC579="","",对接源_01水果!$AC579)</f>
        <v>电商/主播</v>
      </c>
      <c r="AO579">
        <f>IF(AN579="",0,IF(MATCH(AN579,$AN$4:$AN$1203,0)=ROW()-3,1,0))</f>
        <v>0</v>
      </c>
      <c r="AP579">
        <f>N(AP578)+$AO579</f>
        <v>2</v>
      </c>
      <c r="AR579">
        <f>IF(OR($AF579=1,$AH579=1),1,0)</f>
        <v>0</v>
      </c>
      <c r="AS579">
        <f>N(AS578)+$AR579</f>
        <v>0</v>
      </c>
    </row>
    <row r="580" ht="14.25" customHeight="1" s="127">
      <c r="A580" t="str">
        <f>IF(对接源_01水果!$C580="","",对接源_01水果!$C580)</f>
        <v>聂新平</v>
      </c>
      <c r="B580">
        <f>IF(A580="",0,IF(MATCH(A580,$A$4:$A$2403,0)=ROW()-3,1,0))</f>
        <v>0</v>
      </c>
      <c r="C580">
        <f>N(C579)+B580</f>
        <v>22</v>
      </c>
      <c r="K580">
        <f>IF(OR($K$1="",对接源_01水果!$C580="",对接源_01水果!$C580&lt;&gt;$K$1,对接源_01水果!$B580=""),0,IF(OR(N(对接源_01水果!$B580)&lt;$K$2,N(对接源_01水果!$B580)&gt;$K$3),0,1))</f>
        <v>0</v>
      </c>
      <c r="L580">
        <f>IF(OR($L$1="",对接源_01水果!$C580="",对接源_01水果!$C580&lt;&gt;$L$1,对接源_01水果!$B580=""),0,IF(OR(N(对接源_01水果!$B580)&lt;$L$2,N(对接源_01水果!$B580)&gt;$L$3),0,1))</f>
        <v>0</v>
      </c>
      <c r="M580">
        <f>IF(OR($M$1="",对接源_01水果!$C580="",对接源_01水果!$C580&lt;&gt;$M$1,对接源_01水果!$B580=""),0,IF(OR(N(对接源_01水果!$B580)&lt;$M$2,N(对接源_01水果!$B580)&gt;$M$3),0,1))</f>
        <v>0</v>
      </c>
      <c r="N580">
        <f>IF(OR($N$1="",对接源_01水果!$C580="",对接源_01水果!$C580&lt;&gt;$N$1,对接源_01水果!$B580=""),0,IF(OR(N(对接源_01水果!$B580)&lt;$N$2,N(对接源_01水果!$B580)&gt;$N$3),0,1))</f>
        <v>0</v>
      </c>
      <c r="P580">
        <f>IF(AND($K580=1,AND(对接源_01水果!$X580="公司筐",N(对接源_01水果!$T580)&lt;&gt;0)),1,0)</f>
        <v>0</v>
      </c>
      <c r="Q580">
        <f>N(Q579)+$P580</f>
        <v>0</v>
      </c>
      <c r="R580">
        <f>IF(AND($K580=1,AND(对接源_01水果!$X580="公司筐",N(对接源_01水果!$U580)&lt;&gt;0)),1,0)</f>
        <v>0</v>
      </c>
      <c r="S580">
        <f>N(S579)+$R580</f>
        <v>0</v>
      </c>
      <c r="T580">
        <f>IF(AND($K580=1,AND(对接源_01水果!$X580="公司筐",N(对接源_01水果!$V580)&lt;&gt;0)),1,0)</f>
        <v>0</v>
      </c>
      <c r="U580">
        <f>N(U579)+$T580</f>
        <v>47</v>
      </c>
      <c r="V580">
        <f>IF(AND($L580=1,AND(对接源_01水果!$X580="自备筐",N(对接源_01水果!$V580)&lt;&gt;0)),1,0)</f>
        <v>0</v>
      </c>
      <c r="W580">
        <f>N(W579)+$V580</f>
        <v>11</v>
      </c>
      <c r="X580">
        <f>IF(AND($L580=1,AND(对接源_01水果!$X580="自备筐",N(对接源_01水果!$T580)&lt;&gt;0)),1,0)</f>
        <v>0</v>
      </c>
      <c r="Y580">
        <f>N(Y579)+$X580</f>
        <v>0</v>
      </c>
      <c r="Z580">
        <f>IF(AND($M580=1,对接源_01水果!$D580="原料入库"),1,0)</f>
        <v>0</v>
      </c>
      <c r="AA580">
        <f>N(AA579)+$Z580</f>
        <v>24</v>
      </c>
      <c r="AB580">
        <f>IF(AND($M580=1,LEFT(对接源_01水果!$D580,4)="原料出库"),1,0)</f>
        <v>0</v>
      </c>
      <c r="AC580">
        <f>N(AC579)+$AB580</f>
        <v>0</v>
      </c>
      <c r="AD580">
        <f>IF(AND($M580=1,LEFT(对接源_01水果!$D580,4)="成品出库"),1,0)</f>
        <v>0</v>
      </c>
      <c r="AE580">
        <f>N(AE579)+$AD580</f>
        <v>0</v>
      </c>
      <c r="AF580">
        <f>IF(AND($N580=1,AND(LEFT(对接源_01水果!$D580,4)="包装物料",N(对接源_01水果!$K580)&lt;&gt;0)),1,0)</f>
        <v>0</v>
      </c>
      <c r="AG580">
        <f>N(AG579)+$AF580</f>
        <v>0</v>
      </c>
      <c r="AH580">
        <f>IF(AND($N580=1,AND(对接源_01水果!$D580="周转筐－销售出库",N(对接源_01水果!$K580)&lt;&gt;0)),1,0)</f>
        <v>0</v>
      </c>
      <c r="AI580">
        <f>N(AI579)+$AH580</f>
        <v>0</v>
      </c>
      <c r="AJ580" s="7" t="n"/>
      <c r="AL580">
        <f>IF(OR($AL$1="",对接源_01水果!$Y580="",对接源_01水果!$Y580&lt;&gt;$AL$1,对接源_01水果!$B580="",N(对接源_01水果!$AJ580)&lt;=0),0,IF(OR(N(对接源_01水果!$B580)&lt;$AL$2,N(对接源_01水果!$B580)&gt;$AL$3),0,1))</f>
        <v>0</v>
      </c>
      <c r="AM580">
        <f>N(AM579)+$AL580</f>
        <v>0</v>
      </c>
      <c r="AN580" t="str">
        <f>IF(对接源_01水果!$AC580="","",对接源_01水果!$AC580)</f>
        <v>伍元虎</v>
      </c>
      <c r="AO580">
        <f>IF(AN580="",0,IF(MATCH(AN580,$AN$4:$AN$1203,0)=ROW()-3,1,0))</f>
        <v>1</v>
      </c>
      <c r="AP580">
        <f>N(AP579)+$AO580</f>
        <v>3</v>
      </c>
      <c r="AR580">
        <f>IF(OR($AF580=1,$AH580=1),1,0)</f>
        <v>0</v>
      </c>
      <c r="AS580">
        <f>N(AS579)+$AR580</f>
        <v>0</v>
      </c>
    </row>
    <row r="581" ht="14.25" customHeight="1" s="127">
      <c r="A581" t="str">
        <f>IF(对接源_01水果!$C581="","",对接源_01水果!$C581)</f>
        <v>王照雪</v>
      </c>
      <c r="B581">
        <f>IF(A581="",0,IF(MATCH(A581,$A$4:$A$2403,0)=ROW()-3,1,0))</f>
        <v>0</v>
      </c>
      <c r="C581">
        <f>N(C580)+B581</f>
        <v>22</v>
      </c>
      <c r="K581">
        <f>IF(OR($K$1="",对接源_01水果!$C581="",对接源_01水果!$C581&lt;&gt;$K$1,对接源_01水果!$B581=""),0,IF(OR(N(对接源_01水果!$B581)&lt;$K$2,N(对接源_01水果!$B581)&gt;$K$3),0,1))</f>
        <v>0</v>
      </c>
      <c r="L581">
        <f>IF(OR($L$1="",对接源_01水果!$C581="",对接源_01水果!$C581&lt;&gt;$L$1,对接源_01水果!$B581=""),0,IF(OR(N(对接源_01水果!$B581)&lt;$L$2,N(对接源_01水果!$B581)&gt;$L$3),0,1))</f>
        <v>0</v>
      </c>
      <c r="M581">
        <f>IF(OR($M$1="",对接源_01水果!$C581="",对接源_01水果!$C581&lt;&gt;$M$1,对接源_01水果!$B581=""),0,IF(OR(N(对接源_01水果!$B581)&lt;$M$2,N(对接源_01水果!$B581)&gt;$M$3),0,1))</f>
        <v>0</v>
      </c>
      <c r="N581">
        <f>IF(OR($N$1="",对接源_01水果!$C581="",对接源_01水果!$C581&lt;&gt;$N$1,对接源_01水果!$B581=""),0,IF(OR(N(对接源_01水果!$B581)&lt;$N$2,N(对接源_01水果!$B581)&gt;$N$3),0,1))</f>
        <v>0</v>
      </c>
      <c r="P581">
        <f>IF(AND($K581=1,AND(对接源_01水果!$X581="公司筐",N(对接源_01水果!$T581)&lt;&gt;0)),1,0)</f>
        <v>0</v>
      </c>
      <c r="Q581">
        <f>N(Q580)+$P581</f>
        <v>0</v>
      </c>
      <c r="R581">
        <f>IF(AND($K581=1,AND(对接源_01水果!$X581="公司筐",N(对接源_01水果!$U581)&lt;&gt;0)),1,0)</f>
        <v>0</v>
      </c>
      <c r="S581">
        <f>N(S580)+$R581</f>
        <v>0</v>
      </c>
      <c r="T581">
        <f>IF(AND($K581=1,AND(对接源_01水果!$X581="公司筐",N(对接源_01水果!$V581)&lt;&gt;0)),1,0)</f>
        <v>0</v>
      </c>
      <c r="U581">
        <f>N(U580)+$T581</f>
        <v>47</v>
      </c>
      <c r="V581">
        <f>IF(AND($L581=1,AND(对接源_01水果!$X581="自备筐",N(对接源_01水果!$V581)&lt;&gt;0)),1,0)</f>
        <v>0</v>
      </c>
      <c r="W581">
        <f>N(W580)+$V581</f>
        <v>11</v>
      </c>
      <c r="X581">
        <f>IF(AND($L581=1,AND(对接源_01水果!$X581="自备筐",N(对接源_01水果!$T581)&lt;&gt;0)),1,0)</f>
        <v>0</v>
      </c>
      <c r="Y581">
        <f>N(Y580)+$X581</f>
        <v>0</v>
      </c>
      <c r="Z581">
        <f>IF(AND($M581=1,对接源_01水果!$D581="原料入库"),1,0)</f>
        <v>0</v>
      </c>
      <c r="AA581">
        <f>N(AA580)+$Z581</f>
        <v>24</v>
      </c>
      <c r="AB581">
        <f>IF(AND($M581=1,LEFT(对接源_01水果!$D581,4)="原料出库"),1,0)</f>
        <v>0</v>
      </c>
      <c r="AC581">
        <f>N(AC580)+$AB581</f>
        <v>0</v>
      </c>
      <c r="AD581">
        <f>IF(AND($M581=1,LEFT(对接源_01水果!$D581,4)="成品出库"),1,0)</f>
        <v>0</v>
      </c>
      <c r="AE581">
        <f>N(AE580)+$AD581</f>
        <v>0</v>
      </c>
      <c r="AF581">
        <f>IF(AND($N581=1,AND(LEFT(对接源_01水果!$D581,4)="包装物料",N(对接源_01水果!$K581)&lt;&gt;0)),1,0)</f>
        <v>0</v>
      </c>
      <c r="AG581">
        <f>N(AG580)+$AF581</f>
        <v>0</v>
      </c>
      <c r="AH581">
        <f>IF(AND($N581=1,AND(对接源_01水果!$D581="周转筐－销售出库",N(对接源_01水果!$K581)&lt;&gt;0)),1,0)</f>
        <v>0</v>
      </c>
      <c r="AI581">
        <f>N(AI580)+$AH581</f>
        <v>0</v>
      </c>
      <c r="AJ581" s="7" t="n"/>
      <c r="AL581">
        <f>IF(OR($AL$1="",对接源_01水果!$Y581="",对接源_01水果!$Y581&lt;&gt;$AL$1,对接源_01水果!$B581="",N(对接源_01水果!$AJ581)&lt;=0),0,IF(OR(N(对接源_01水果!$B581)&lt;$AL$2,N(对接源_01水果!$B581)&gt;$AL$3),0,1))</f>
        <v>0</v>
      </c>
      <c r="AM581">
        <f>N(AM580)+$AL581</f>
        <v>0</v>
      </c>
      <c r="AN581" t="str">
        <f>IF(对接源_01水果!$AC581="","",对接源_01水果!$AC581)</f>
        <v>王照雪</v>
      </c>
      <c r="AO581">
        <f>IF(AN581="",0,IF(MATCH(AN581,$AN$4:$AN$1203,0)=ROW()-3,1,0))</f>
        <v>0</v>
      </c>
      <c r="AP581">
        <f>N(AP580)+$AO581</f>
        <v>3</v>
      </c>
      <c r="AR581">
        <f>IF(OR($AF581=1,$AH581=1),1,0)</f>
        <v>0</v>
      </c>
      <c r="AS581">
        <f>N(AS580)+$AR581</f>
        <v>0</v>
      </c>
    </row>
    <row r="582" ht="14.25" customHeight="1" s="127">
      <c r="A582" t="str">
        <f>IF(对接源_01水果!$C582="","",对接源_01水果!$C582)</f>
        <v>王照雪</v>
      </c>
      <c r="B582">
        <f>IF(A582="",0,IF(MATCH(A582,$A$4:$A$2403,0)=ROW()-3,1,0))</f>
        <v>0</v>
      </c>
      <c r="C582">
        <f>N(C581)+B582</f>
        <v>22</v>
      </c>
      <c r="K582">
        <f>IF(OR($K$1="",对接源_01水果!$C582="",对接源_01水果!$C582&lt;&gt;$K$1,对接源_01水果!$B582=""),0,IF(OR(N(对接源_01水果!$B582)&lt;$K$2,N(对接源_01水果!$B582)&gt;$K$3),0,1))</f>
        <v>0</v>
      </c>
      <c r="L582">
        <f>IF(OR($L$1="",对接源_01水果!$C582="",对接源_01水果!$C582&lt;&gt;$L$1,对接源_01水果!$B582=""),0,IF(OR(N(对接源_01水果!$B582)&lt;$L$2,N(对接源_01水果!$B582)&gt;$L$3),0,1))</f>
        <v>0</v>
      </c>
      <c r="M582">
        <f>IF(OR($M$1="",对接源_01水果!$C582="",对接源_01水果!$C582&lt;&gt;$M$1,对接源_01水果!$B582=""),0,IF(OR(N(对接源_01水果!$B582)&lt;$M$2,N(对接源_01水果!$B582)&gt;$M$3),0,1))</f>
        <v>0</v>
      </c>
      <c r="N582">
        <f>IF(OR($N$1="",对接源_01水果!$C582="",对接源_01水果!$C582&lt;&gt;$N$1,对接源_01水果!$B582=""),0,IF(OR(N(对接源_01水果!$B582)&lt;$N$2,N(对接源_01水果!$B582)&gt;$N$3),0,1))</f>
        <v>0</v>
      </c>
      <c r="P582">
        <f>IF(AND($K582=1,AND(对接源_01水果!$X582="公司筐",N(对接源_01水果!$T582)&lt;&gt;0)),1,0)</f>
        <v>0</v>
      </c>
      <c r="Q582">
        <f>N(Q581)+$P582</f>
        <v>0</v>
      </c>
      <c r="R582">
        <f>IF(AND($K582=1,AND(对接源_01水果!$X582="公司筐",N(对接源_01水果!$U582)&lt;&gt;0)),1,0)</f>
        <v>0</v>
      </c>
      <c r="S582">
        <f>N(S581)+$R582</f>
        <v>0</v>
      </c>
      <c r="T582">
        <f>IF(AND($K582=1,AND(对接源_01水果!$X582="公司筐",N(对接源_01水果!$V582)&lt;&gt;0)),1,0)</f>
        <v>0</v>
      </c>
      <c r="U582">
        <f>N(U581)+$T582</f>
        <v>47</v>
      </c>
      <c r="V582">
        <f>IF(AND($L582=1,AND(对接源_01水果!$X582="自备筐",N(对接源_01水果!$V582)&lt;&gt;0)),1,0)</f>
        <v>0</v>
      </c>
      <c r="W582">
        <f>N(W581)+$V582</f>
        <v>11</v>
      </c>
      <c r="X582">
        <f>IF(AND($L582=1,AND(对接源_01水果!$X582="自备筐",N(对接源_01水果!$T582)&lt;&gt;0)),1,0)</f>
        <v>0</v>
      </c>
      <c r="Y582">
        <f>N(Y581)+$X582</f>
        <v>0</v>
      </c>
      <c r="Z582">
        <f>IF(AND($M582=1,对接源_01水果!$D582="原料入库"),1,0)</f>
        <v>0</v>
      </c>
      <c r="AA582">
        <f>N(AA581)+$Z582</f>
        <v>24</v>
      </c>
      <c r="AB582">
        <f>IF(AND($M582=1,LEFT(对接源_01水果!$D582,4)="原料出库"),1,0)</f>
        <v>0</v>
      </c>
      <c r="AC582">
        <f>N(AC581)+$AB582</f>
        <v>0</v>
      </c>
      <c r="AD582">
        <f>IF(AND($M582=1,LEFT(对接源_01水果!$D582,4)="成品出库"),1,0)</f>
        <v>0</v>
      </c>
      <c r="AE582">
        <f>N(AE581)+$AD582</f>
        <v>0</v>
      </c>
      <c r="AF582">
        <f>IF(AND($N582=1,AND(LEFT(对接源_01水果!$D582,4)="包装物料",N(对接源_01水果!$K582)&lt;&gt;0)),1,0)</f>
        <v>0</v>
      </c>
      <c r="AG582">
        <f>N(AG581)+$AF582</f>
        <v>0</v>
      </c>
      <c r="AH582">
        <f>IF(AND($N582=1,AND(对接源_01水果!$D582="周转筐－销售出库",N(对接源_01水果!$K582)&lt;&gt;0)),1,0)</f>
        <v>0</v>
      </c>
      <c r="AI582">
        <f>N(AI581)+$AH582</f>
        <v>0</v>
      </c>
      <c r="AJ582" s="7" t="n"/>
      <c r="AL582">
        <f>IF(OR($AL$1="",对接源_01水果!$Y582="",对接源_01水果!$Y582&lt;&gt;$AL$1,对接源_01水果!$B582="",N(对接源_01水果!$AJ582)&lt;=0),0,IF(OR(N(对接源_01水果!$B582)&lt;$AL$2,N(对接源_01水果!$B582)&gt;$AL$3),0,1))</f>
        <v>0</v>
      </c>
      <c r="AM582">
        <f>N(AM581)+$AL582</f>
        <v>0</v>
      </c>
      <c r="AN582" t="str">
        <f>IF(对接源_01水果!$AC582="","",对接源_01水果!$AC582)</f>
        <v>电商/主播</v>
      </c>
      <c r="AO582">
        <f>IF(AN582="",0,IF(MATCH(AN582,$AN$4:$AN$1203,0)=ROW()-3,1,0))</f>
        <v>0</v>
      </c>
      <c r="AP582">
        <f>N(AP581)+$AO582</f>
        <v>3</v>
      </c>
      <c r="AR582">
        <f>IF(OR($AF582=1,$AH582=1),1,0)</f>
        <v>0</v>
      </c>
      <c r="AS582">
        <f>N(AS581)+$AR582</f>
        <v>0</v>
      </c>
    </row>
    <row r="583" ht="14.25" customHeight="1" s="127">
      <c r="A583" t="str">
        <f>IF(对接源_01水果!$C583="","",对接源_01水果!$C583)</f>
        <v>王照雪</v>
      </c>
      <c r="B583">
        <f>IF(A583="",0,IF(MATCH(A583,$A$4:$A$2403,0)=ROW()-3,1,0))</f>
        <v>0</v>
      </c>
      <c r="C583">
        <f>N(C582)+B583</f>
        <v>22</v>
      </c>
      <c r="K583">
        <f>IF(OR($K$1="",对接源_01水果!$C583="",对接源_01水果!$C583&lt;&gt;$K$1,对接源_01水果!$B583=""),0,IF(OR(N(对接源_01水果!$B583)&lt;$K$2,N(对接源_01水果!$B583)&gt;$K$3),0,1))</f>
        <v>0</v>
      </c>
      <c r="L583">
        <f>IF(OR($L$1="",对接源_01水果!$C583="",对接源_01水果!$C583&lt;&gt;$L$1,对接源_01水果!$B583=""),0,IF(OR(N(对接源_01水果!$B583)&lt;$L$2,N(对接源_01水果!$B583)&gt;$L$3),0,1))</f>
        <v>0</v>
      </c>
      <c r="M583">
        <f>IF(OR($M$1="",对接源_01水果!$C583="",对接源_01水果!$C583&lt;&gt;$M$1,对接源_01水果!$B583=""),0,IF(OR(N(对接源_01水果!$B583)&lt;$M$2,N(对接源_01水果!$B583)&gt;$M$3),0,1))</f>
        <v>0</v>
      </c>
      <c r="N583">
        <f>IF(OR($N$1="",对接源_01水果!$C583="",对接源_01水果!$C583&lt;&gt;$N$1,对接源_01水果!$B583=""),0,IF(OR(N(对接源_01水果!$B583)&lt;$N$2,N(对接源_01水果!$B583)&gt;$N$3),0,1))</f>
        <v>0</v>
      </c>
      <c r="P583">
        <f>IF(AND($K583=1,AND(对接源_01水果!$X583="公司筐",N(对接源_01水果!$T583)&lt;&gt;0)),1,0)</f>
        <v>0</v>
      </c>
      <c r="Q583">
        <f>N(Q582)+$P583</f>
        <v>0</v>
      </c>
      <c r="R583">
        <f>IF(AND($K583=1,AND(对接源_01水果!$X583="公司筐",N(对接源_01水果!$U583)&lt;&gt;0)),1,0)</f>
        <v>0</v>
      </c>
      <c r="S583">
        <f>N(S582)+$R583</f>
        <v>0</v>
      </c>
      <c r="T583">
        <f>IF(AND($K583=1,AND(对接源_01水果!$X583="公司筐",N(对接源_01水果!$V583)&lt;&gt;0)),1,0)</f>
        <v>0</v>
      </c>
      <c r="U583">
        <f>N(U582)+$T583</f>
        <v>47</v>
      </c>
      <c r="V583">
        <f>IF(AND($L583=1,AND(对接源_01水果!$X583="自备筐",N(对接源_01水果!$V583)&lt;&gt;0)),1,0)</f>
        <v>0</v>
      </c>
      <c r="W583">
        <f>N(W582)+$V583</f>
        <v>11</v>
      </c>
      <c r="X583">
        <f>IF(AND($L583=1,AND(对接源_01水果!$X583="自备筐",N(对接源_01水果!$T583)&lt;&gt;0)),1,0)</f>
        <v>0</v>
      </c>
      <c r="Y583">
        <f>N(Y582)+$X583</f>
        <v>0</v>
      </c>
      <c r="Z583">
        <f>IF(AND($M583=1,对接源_01水果!$D583="原料入库"),1,0)</f>
        <v>0</v>
      </c>
      <c r="AA583">
        <f>N(AA582)+$Z583</f>
        <v>24</v>
      </c>
      <c r="AB583">
        <f>IF(AND($M583=1,LEFT(对接源_01水果!$D583,4)="原料出库"),1,0)</f>
        <v>0</v>
      </c>
      <c r="AC583">
        <f>N(AC582)+$AB583</f>
        <v>0</v>
      </c>
      <c r="AD583">
        <f>IF(AND($M583=1,LEFT(对接源_01水果!$D583,4)="成品出库"),1,0)</f>
        <v>0</v>
      </c>
      <c r="AE583">
        <f>N(AE582)+$AD583</f>
        <v>0</v>
      </c>
      <c r="AF583">
        <f>IF(AND($N583=1,AND(LEFT(对接源_01水果!$D583,4)="包装物料",N(对接源_01水果!$K583)&lt;&gt;0)),1,0)</f>
        <v>0</v>
      </c>
      <c r="AG583">
        <f>N(AG582)+$AF583</f>
        <v>0</v>
      </c>
      <c r="AH583">
        <f>IF(AND($N583=1,AND(对接源_01水果!$D583="周转筐－销售出库",N(对接源_01水果!$K583)&lt;&gt;0)),1,0)</f>
        <v>0</v>
      </c>
      <c r="AI583">
        <f>N(AI582)+$AH583</f>
        <v>0</v>
      </c>
      <c r="AJ583" s="7" t="n"/>
      <c r="AL583">
        <f>IF(OR($AL$1="",对接源_01水果!$Y583="",对接源_01水果!$Y583&lt;&gt;$AL$1,对接源_01水果!$B583="",N(对接源_01水果!$AJ583)&lt;=0),0,IF(OR(N(对接源_01水果!$B583)&lt;$AL$2,N(对接源_01水果!$B583)&gt;$AL$3),0,1))</f>
        <v>0</v>
      </c>
      <c r="AM583">
        <f>N(AM582)+$AL583</f>
        <v>0</v>
      </c>
      <c r="AN583" t="str">
        <f>IF(对接源_01水果!$AC583="","",对接源_01水果!$AC583)</f>
        <v>电商/主播</v>
      </c>
      <c r="AO583">
        <f>IF(AN583="",0,IF(MATCH(AN583,$AN$4:$AN$1203,0)=ROW()-3,1,0))</f>
        <v>0</v>
      </c>
      <c r="AP583">
        <f>N(AP582)+$AO583</f>
        <v>3</v>
      </c>
      <c r="AR583">
        <f>IF(OR($AF583=1,$AH583=1),1,0)</f>
        <v>0</v>
      </c>
      <c r="AS583">
        <f>N(AS582)+$AR583</f>
        <v>0</v>
      </c>
    </row>
    <row r="584" ht="14.25" customHeight="1" s="127">
      <c r="A584" t="str">
        <f>IF(对接源_01水果!$C584="","",对接源_01水果!$C584)</f>
        <v>王照雪</v>
      </c>
      <c r="B584">
        <f>IF(A584="",0,IF(MATCH(A584,$A$4:$A$2403,0)=ROW()-3,1,0))</f>
        <v>0</v>
      </c>
      <c r="C584">
        <f>N(C583)+B584</f>
        <v>22</v>
      </c>
      <c r="K584">
        <f>IF(OR($K$1="",对接源_01水果!$C584="",对接源_01水果!$C584&lt;&gt;$K$1,对接源_01水果!$B584=""),0,IF(OR(N(对接源_01水果!$B584)&lt;$K$2,N(对接源_01水果!$B584)&gt;$K$3),0,1))</f>
        <v>0</v>
      </c>
      <c r="L584">
        <f>IF(OR($L$1="",对接源_01水果!$C584="",对接源_01水果!$C584&lt;&gt;$L$1,对接源_01水果!$B584=""),0,IF(OR(N(对接源_01水果!$B584)&lt;$L$2,N(对接源_01水果!$B584)&gt;$L$3),0,1))</f>
        <v>0</v>
      </c>
      <c r="M584">
        <f>IF(OR($M$1="",对接源_01水果!$C584="",对接源_01水果!$C584&lt;&gt;$M$1,对接源_01水果!$B584=""),0,IF(OR(N(对接源_01水果!$B584)&lt;$M$2,N(对接源_01水果!$B584)&gt;$M$3),0,1))</f>
        <v>0</v>
      </c>
      <c r="N584">
        <f>IF(OR($N$1="",对接源_01水果!$C584="",对接源_01水果!$C584&lt;&gt;$N$1,对接源_01水果!$B584=""),0,IF(OR(N(对接源_01水果!$B584)&lt;$N$2,N(对接源_01水果!$B584)&gt;$N$3),0,1))</f>
        <v>0</v>
      </c>
      <c r="P584">
        <f>IF(AND($K584=1,AND(对接源_01水果!$X584="公司筐",N(对接源_01水果!$T584)&lt;&gt;0)),1,0)</f>
        <v>0</v>
      </c>
      <c r="Q584">
        <f>N(Q583)+$P584</f>
        <v>0</v>
      </c>
      <c r="R584">
        <f>IF(AND($K584=1,AND(对接源_01水果!$X584="公司筐",N(对接源_01水果!$U584)&lt;&gt;0)),1,0)</f>
        <v>0</v>
      </c>
      <c r="S584">
        <f>N(S583)+$R584</f>
        <v>0</v>
      </c>
      <c r="T584">
        <f>IF(AND($K584=1,AND(对接源_01水果!$X584="公司筐",N(对接源_01水果!$V584)&lt;&gt;0)),1,0)</f>
        <v>0</v>
      </c>
      <c r="U584">
        <f>N(U583)+$T584</f>
        <v>47</v>
      </c>
      <c r="V584">
        <f>IF(AND($L584=1,AND(对接源_01水果!$X584="自备筐",N(对接源_01水果!$V584)&lt;&gt;0)),1,0)</f>
        <v>0</v>
      </c>
      <c r="W584">
        <f>N(W583)+$V584</f>
        <v>11</v>
      </c>
      <c r="X584">
        <f>IF(AND($L584=1,AND(对接源_01水果!$X584="自备筐",N(对接源_01水果!$T584)&lt;&gt;0)),1,0)</f>
        <v>0</v>
      </c>
      <c r="Y584">
        <f>N(Y583)+$X584</f>
        <v>0</v>
      </c>
      <c r="Z584">
        <f>IF(AND($M584=1,对接源_01水果!$D584="原料入库"),1,0)</f>
        <v>0</v>
      </c>
      <c r="AA584">
        <f>N(AA583)+$Z584</f>
        <v>24</v>
      </c>
      <c r="AB584">
        <f>IF(AND($M584=1,LEFT(对接源_01水果!$D584,4)="原料出库"),1,0)</f>
        <v>0</v>
      </c>
      <c r="AC584">
        <f>N(AC583)+$AB584</f>
        <v>0</v>
      </c>
      <c r="AD584">
        <f>IF(AND($M584=1,LEFT(对接源_01水果!$D584,4)="成品出库"),1,0)</f>
        <v>0</v>
      </c>
      <c r="AE584">
        <f>N(AE583)+$AD584</f>
        <v>0</v>
      </c>
      <c r="AF584">
        <f>IF(AND($N584=1,AND(LEFT(对接源_01水果!$D584,4)="包装物料",N(对接源_01水果!$K584)&lt;&gt;0)),1,0)</f>
        <v>0</v>
      </c>
      <c r="AG584">
        <f>N(AG583)+$AF584</f>
        <v>0</v>
      </c>
      <c r="AH584">
        <f>IF(AND($N584=1,AND(对接源_01水果!$D584="周转筐－销售出库",N(对接源_01水果!$K584)&lt;&gt;0)),1,0)</f>
        <v>0</v>
      </c>
      <c r="AI584">
        <f>N(AI583)+$AH584</f>
        <v>0</v>
      </c>
      <c r="AJ584" s="7" t="n"/>
      <c r="AL584">
        <f>IF(OR($AL$1="",对接源_01水果!$Y584="",对接源_01水果!$Y584&lt;&gt;$AL$1,对接源_01水果!$B584="",N(对接源_01水果!$AJ584)&lt;=0),0,IF(OR(N(对接源_01水果!$B584)&lt;$AL$2,N(对接源_01水果!$B584)&gt;$AL$3),0,1))</f>
        <v>0</v>
      </c>
      <c r="AM584">
        <f>N(AM583)+$AL584</f>
        <v>0</v>
      </c>
      <c r="AN584" t="str">
        <f>IF(对接源_01水果!$AC584="","",对接源_01水果!$AC584)</f>
        <v>王照雪</v>
      </c>
      <c r="AO584">
        <f>IF(AN584="",0,IF(MATCH(AN584,$AN$4:$AN$1203,0)=ROW()-3,1,0))</f>
        <v>0</v>
      </c>
      <c r="AP584">
        <f>N(AP583)+$AO584</f>
        <v>3</v>
      </c>
      <c r="AR584">
        <f>IF(OR($AF584=1,$AH584=1),1,0)</f>
        <v>0</v>
      </c>
      <c r="AS584">
        <f>N(AS583)+$AR584</f>
        <v>0</v>
      </c>
    </row>
    <row r="585" ht="14.25" customHeight="1" s="127">
      <c r="A585" t="str">
        <f>IF(对接源_01水果!$C585="","",对接源_01水果!$C585)</f>
        <v>王照雪</v>
      </c>
      <c r="B585">
        <f>IF(A585="",0,IF(MATCH(A585,$A$4:$A$2403,0)=ROW()-3,1,0))</f>
        <v>0</v>
      </c>
      <c r="C585">
        <f>N(C584)+B585</f>
        <v>22</v>
      </c>
      <c r="K585">
        <f>IF(OR($K$1="",对接源_01水果!$C585="",对接源_01水果!$C585&lt;&gt;$K$1,对接源_01水果!$B585=""),0,IF(OR(N(对接源_01水果!$B585)&lt;$K$2,N(对接源_01水果!$B585)&gt;$K$3),0,1))</f>
        <v>0</v>
      </c>
      <c r="L585">
        <f>IF(OR($L$1="",对接源_01水果!$C585="",对接源_01水果!$C585&lt;&gt;$L$1,对接源_01水果!$B585=""),0,IF(OR(N(对接源_01水果!$B585)&lt;$L$2,N(对接源_01水果!$B585)&gt;$L$3),0,1))</f>
        <v>0</v>
      </c>
      <c r="M585">
        <f>IF(OR($M$1="",对接源_01水果!$C585="",对接源_01水果!$C585&lt;&gt;$M$1,对接源_01水果!$B585=""),0,IF(OR(N(对接源_01水果!$B585)&lt;$M$2,N(对接源_01水果!$B585)&gt;$M$3),0,1))</f>
        <v>0</v>
      </c>
      <c r="N585">
        <f>IF(OR($N$1="",对接源_01水果!$C585="",对接源_01水果!$C585&lt;&gt;$N$1,对接源_01水果!$B585=""),0,IF(OR(N(对接源_01水果!$B585)&lt;$N$2,N(对接源_01水果!$B585)&gt;$N$3),0,1))</f>
        <v>0</v>
      </c>
      <c r="P585">
        <f>IF(AND($K585=1,AND(对接源_01水果!$X585="公司筐",N(对接源_01水果!$T585)&lt;&gt;0)),1,0)</f>
        <v>0</v>
      </c>
      <c r="Q585">
        <f>N(Q584)+$P585</f>
        <v>0</v>
      </c>
      <c r="R585">
        <f>IF(AND($K585=1,AND(对接源_01水果!$X585="公司筐",N(对接源_01水果!$U585)&lt;&gt;0)),1,0)</f>
        <v>0</v>
      </c>
      <c r="S585">
        <f>N(S584)+$R585</f>
        <v>0</v>
      </c>
      <c r="T585">
        <f>IF(AND($K585=1,AND(对接源_01水果!$X585="公司筐",N(对接源_01水果!$V585)&lt;&gt;0)),1,0)</f>
        <v>0</v>
      </c>
      <c r="U585">
        <f>N(U584)+$T585</f>
        <v>47</v>
      </c>
      <c r="V585">
        <f>IF(AND($L585=1,AND(对接源_01水果!$X585="自备筐",N(对接源_01水果!$V585)&lt;&gt;0)),1,0)</f>
        <v>0</v>
      </c>
      <c r="W585">
        <f>N(W584)+$V585</f>
        <v>11</v>
      </c>
      <c r="X585">
        <f>IF(AND($L585=1,AND(对接源_01水果!$X585="自备筐",N(对接源_01水果!$T585)&lt;&gt;0)),1,0)</f>
        <v>0</v>
      </c>
      <c r="Y585">
        <f>N(Y584)+$X585</f>
        <v>0</v>
      </c>
      <c r="Z585">
        <f>IF(AND($M585=1,对接源_01水果!$D585="原料入库"),1,0)</f>
        <v>0</v>
      </c>
      <c r="AA585">
        <f>N(AA584)+$Z585</f>
        <v>24</v>
      </c>
      <c r="AB585">
        <f>IF(AND($M585=1,LEFT(对接源_01水果!$D585,4)="原料出库"),1,0)</f>
        <v>0</v>
      </c>
      <c r="AC585">
        <f>N(AC584)+$AB585</f>
        <v>0</v>
      </c>
      <c r="AD585">
        <f>IF(AND($M585=1,LEFT(对接源_01水果!$D585,4)="成品出库"),1,0)</f>
        <v>0</v>
      </c>
      <c r="AE585">
        <f>N(AE584)+$AD585</f>
        <v>0</v>
      </c>
      <c r="AF585">
        <f>IF(AND($N585=1,AND(LEFT(对接源_01水果!$D585,4)="包装物料",N(对接源_01水果!$K585)&lt;&gt;0)),1,0)</f>
        <v>0</v>
      </c>
      <c r="AG585">
        <f>N(AG584)+$AF585</f>
        <v>0</v>
      </c>
      <c r="AH585">
        <f>IF(AND($N585=1,AND(对接源_01水果!$D585="周转筐－销售出库",N(对接源_01水果!$K585)&lt;&gt;0)),1,0)</f>
        <v>0</v>
      </c>
      <c r="AI585">
        <f>N(AI584)+$AH585</f>
        <v>0</v>
      </c>
      <c r="AJ585" s="7" t="n"/>
      <c r="AL585">
        <f>IF(OR($AL$1="",对接源_01水果!$Y585="",对接源_01水果!$Y585&lt;&gt;$AL$1,对接源_01水果!$B585="",N(对接源_01水果!$AJ585)&lt;=0),0,IF(OR(N(对接源_01水果!$B585)&lt;$AL$2,N(对接源_01水果!$B585)&gt;$AL$3),0,1))</f>
        <v>0</v>
      </c>
      <c r="AM585">
        <f>N(AM584)+$AL585</f>
        <v>0</v>
      </c>
      <c r="AN585" t="str">
        <f>IF(对接源_01水果!$AC585="","",对接源_01水果!$AC585)</f>
        <v>电商/主播</v>
      </c>
      <c r="AO585">
        <f>IF(AN585="",0,IF(MATCH(AN585,$AN$4:$AN$1203,0)=ROW()-3,1,0))</f>
        <v>0</v>
      </c>
      <c r="AP585">
        <f>N(AP584)+$AO585</f>
        <v>3</v>
      </c>
      <c r="AR585">
        <f>IF(OR($AF585=1,$AH585=1),1,0)</f>
        <v>0</v>
      </c>
      <c r="AS585">
        <f>N(AS584)+$AR585</f>
        <v>0</v>
      </c>
    </row>
    <row r="586" ht="14.25" customHeight="1" s="127">
      <c r="A586" t="str">
        <f>IF(对接源_01水果!$C586="","",对接源_01水果!$C586)</f>
        <v>王照雪</v>
      </c>
      <c r="B586">
        <f>IF(A586="",0,IF(MATCH(A586,$A$4:$A$2403,0)=ROW()-3,1,0))</f>
        <v>0</v>
      </c>
      <c r="C586">
        <f>N(C585)+B586</f>
        <v>22</v>
      </c>
      <c r="K586">
        <f>IF(OR($K$1="",对接源_01水果!$C586="",对接源_01水果!$C586&lt;&gt;$K$1,对接源_01水果!$B586=""),0,IF(OR(N(对接源_01水果!$B586)&lt;$K$2,N(对接源_01水果!$B586)&gt;$K$3),0,1))</f>
        <v>0</v>
      </c>
      <c r="L586">
        <f>IF(OR($L$1="",对接源_01水果!$C586="",对接源_01水果!$C586&lt;&gt;$L$1,对接源_01水果!$B586=""),0,IF(OR(N(对接源_01水果!$B586)&lt;$L$2,N(对接源_01水果!$B586)&gt;$L$3),0,1))</f>
        <v>0</v>
      </c>
      <c r="M586">
        <f>IF(OR($M$1="",对接源_01水果!$C586="",对接源_01水果!$C586&lt;&gt;$M$1,对接源_01水果!$B586=""),0,IF(OR(N(对接源_01水果!$B586)&lt;$M$2,N(对接源_01水果!$B586)&gt;$M$3),0,1))</f>
        <v>0</v>
      </c>
      <c r="N586">
        <f>IF(OR($N$1="",对接源_01水果!$C586="",对接源_01水果!$C586&lt;&gt;$N$1,对接源_01水果!$B586=""),0,IF(OR(N(对接源_01水果!$B586)&lt;$N$2,N(对接源_01水果!$B586)&gt;$N$3),0,1))</f>
        <v>0</v>
      </c>
      <c r="P586">
        <f>IF(AND($K586=1,AND(对接源_01水果!$X586="公司筐",N(对接源_01水果!$T586)&lt;&gt;0)),1,0)</f>
        <v>0</v>
      </c>
      <c r="Q586">
        <f>N(Q585)+$P586</f>
        <v>0</v>
      </c>
      <c r="R586">
        <f>IF(AND($K586=1,AND(对接源_01水果!$X586="公司筐",N(对接源_01水果!$U586)&lt;&gt;0)),1,0)</f>
        <v>0</v>
      </c>
      <c r="S586">
        <f>N(S585)+$R586</f>
        <v>0</v>
      </c>
      <c r="T586">
        <f>IF(AND($K586=1,AND(对接源_01水果!$X586="公司筐",N(对接源_01水果!$V586)&lt;&gt;0)),1,0)</f>
        <v>0</v>
      </c>
      <c r="U586">
        <f>N(U585)+$T586</f>
        <v>47</v>
      </c>
      <c r="V586">
        <f>IF(AND($L586=1,AND(对接源_01水果!$X586="自备筐",N(对接源_01水果!$V586)&lt;&gt;0)),1,0)</f>
        <v>0</v>
      </c>
      <c r="W586">
        <f>N(W585)+$V586</f>
        <v>11</v>
      </c>
      <c r="X586">
        <f>IF(AND($L586=1,AND(对接源_01水果!$X586="自备筐",N(对接源_01水果!$T586)&lt;&gt;0)),1,0)</f>
        <v>0</v>
      </c>
      <c r="Y586">
        <f>N(Y585)+$X586</f>
        <v>0</v>
      </c>
      <c r="Z586">
        <f>IF(AND($M586=1,对接源_01水果!$D586="原料入库"),1,0)</f>
        <v>0</v>
      </c>
      <c r="AA586">
        <f>N(AA585)+$Z586</f>
        <v>24</v>
      </c>
      <c r="AB586">
        <f>IF(AND($M586=1,LEFT(对接源_01水果!$D586,4)="原料出库"),1,0)</f>
        <v>0</v>
      </c>
      <c r="AC586">
        <f>N(AC585)+$AB586</f>
        <v>0</v>
      </c>
      <c r="AD586">
        <f>IF(AND($M586=1,LEFT(对接源_01水果!$D586,4)="成品出库"),1,0)</f>
        <v>0</v>
      </c>
      <c r="AE586">
        <f>N(AE585)+$AD586</f>
        <v>0</v>
      </c>
      <c r="AF586">
        <f>IF(AND($N586=1,AND(LEFT(对接源_01水果!$D586,4)="包装物料",N(对接源_01水果!$K586)&lt;&gt;0)),1,0)</f>
        <v>0</v>
      </c>
      <c r="AG586">
        <f>N(AG585)+$AF586</f>
        <v>0</v>
      </c>
      <c r="AH586">
        <f>IF(AND($N586=1,AND(对接源_01水果!$D586="周转筐－销售出库",N(对接源_01水果!$K586)&lt;&gt;0)),1,0)</f>
        <v>0</v>
      </c>
      <c r="AI586">
        <f>N(AI585)+$AH586</f>
        <v>0</v>
      </c>
      <c r="AJ586" s="7" t="n"/>
      <c r="AL586">
        <f>IF(OR($AL$1="",对接源_01水果!$Y586="",对接源_01水果!$Y586&lt;&gt;$AL$1,对接源_01水果!$B586="",N(对接源_01水果!$AJ586)&lt;=0),0,IF(OR(N(对接源_01水果!$B586)&lt;$AL$2,N(对接源_01水果!$B586)&gt;$AL$3),0,1))</f>
        <v>0</v>
      </c>
      <c r="AM586">
        <f>N(AM585)+$AL586</f>
        <v>0</v>
      </c>
      <c r="AN586" t="str">
        <f>IF(对接源_01水果!$AC586="","",对接源_01水果!$AC586)</f>
        <v>电商/主播</v>
      </c>
      <c r="AO586">
        <f>IF(AN586="",0,IF(MATCH(AN586,$AN$4:$AN$1203,0)=ROW()-3,1,0))</f>
        <v>0</v>
      </c>
      <c r="AP586">
        <f>N(AP585)+$AO586</f>
        <v>3</v>
      </c>
      <c r="AR586">
        <f>IF(OR($AF586=1,$AH586=1),1,0)</f>
        <v>0</v>
      </c>
      <c r="AS586">
        <f>N(AS585)+$AR586</f>
        <v>0</v>
      </c>
    </row>
    <row r="587" ht="14.25" customHeight="1" s="127">
      <c r="A587" t="str">
        <f>IF(对接源_01水果!$C587="","",对接源_01水果!$C587)</f>
        <v>王照雪</v>
      </c>
      <c r="B587">
        <f>IF(A587="",0,IF(MATCH(A587,$A$4:$A$2403,0)=ROW()-3,1,0))</f>
        <v>0</v>
      </c>
      <c r="C587">
        <f>N(C586)+B587</f>
        <v>22</v>
      </c>
      <c r="K587">
        <f>IF(OR($K$1="",对接源_01水果!$C587="",对接源_01水果!$C587&lt;&gt;$K$1,对接源_01水果!$B587=""),0,IF(OR(N(对接源_01水果!$B587)&lt;$K$2,N(对接源_01水果!$B587)&gt;$K$3),0,1))</f>
        <v>0</v>
      </c>
      <c r="L587">
        <f>IF(OR($L$1="",对接源_01水果!$C587="",对接源_01水果!$C587&lt;&gt;$L$1,对接源_01水果!$B587=""),0,IF(OR(N(对接源_01水果!$B587)&lt;$L$2,N(对接源_01水果!$B587)&gt;$L$3),0,1))</f>
        <v>0</v>
      </c>
      <c r="M587">
        <f>IF(OR($M$1="",对接源_01水果!$C587="",对接源_01水果!$C587&lt;&gt;$M$1,对接源_01水果!$B587=""),0,IF(OR(N(对接源_01水果!$B587)&lt;$M$2,N(对接源_01水果!$B587)&gt;$M$3),0,1))</f>
        <v>0</v>
      </c>
      <c r="N587">
        <f>IF(OR($N$1="",对接源_01水果!$C587="",对接源_01水果!$C587&lt;&gt;$N$1,对接源_01水果!$B587=""),0,IF(OR(N(对接源_01水果!$B587)&lt;$N$2,N(对接源_01水果!$B587)&gt;$N$3),0,1))</f>
        <v>0</v>
      </c>
      <c r="P587">
        <f>IF(AND($K587=1,AND(对接源_01水果!$X587="公司筐",N(对接源_01水果!$T587)&lt;&gt;0)),1,0)</f>
        <v>0</v>
      </c>
      <c r="Q587">
        <f>N(Q586)+$P587</f>
        <v>0</v>
      </c>
      <c r="R587">
        <f>IF(AND($K587=1,AND(对接源_01水果!$X587="公司筐",N(对接源_01水果!$U587)&lt;&gt;0)),1,0)</f>
        <v>0</v>
      </c>
      <c r="S587">
        <f>N(S586)+$R587</f>
        <v>0</v>
      </c>
      <c r="T587">
        <f>IF(AND($K587=1,AND(对接源_01水果!$X587="公司筐",N(对接源_01水果!$V587)&lt;&gt;0)),1,0)</f>
        <v>0</v>
      </c>
      <c r="U587">
        <f>N(U586)+$T587</f>
        <v>47</v>
      </c>
      <c r="V587">
        <f>IF(AND($L587=1,AND(对接源_01水果!$X587="自备筐",N(对接源_01水果!$V587)&lt;&gt;0)),1,0)</f>
        <v>0</v>
      </c>
      <c r="W587">
        <f>N(W586)+$V587</f>
        <v>11</v>
      </c>
      <c r="X587">
        <f>IF(AND($L587=1,AND(对接源_01水果!$X587="自备筐",N(对接源_01水果!$T587)&lt;&gt;0)),1,0)</f>
        <v>0</v>
      </c>
      <c r="Y587">
        <f>N(Y586)+$X587</f>
        <v>0</v>
      </c>
      <c r="Z587">
        <f>IF(AND($M587=1,对接源_01水果!$D587="原料入库"),1,0)</f>
        <v>0</v>
      </c>
      <c r="AA587">
        <f>N(AA586)+$Z587</f>
        <v>24</v>
      </c>
      <c r="AB587">
        <f>IF(AND($M587=1,LEFT(对接源_01水果!$D587,4)="原料出库"),1,0)</f>
        <v>0</v>
      </c>
      <c r="AC587">
        <f>N(AC586)+$AB587</f>
        <v>0</v>
      </c>
      <c r="AD587">
        <f>IF(AND($M587=1,LEFT(对接源_01水果!$D587,4)="成品出库"),1,0)</f>
        <v>0</v>
      </c>
      <c r="AE587">
        <f>N(AE586)+$AD587</f>
        <v>0</v>
      </c>
      <c r="AF587">
        <f>IF(AND($N587=1,AND(LEFT(对接源_01水果!$D587,4)="包装物料",N(对接源_01水果!$K587)&lt;&gt;0)),1,0)</f>
        <v>0</v>
      </c>
      <c r="AG587">
        <f>N(AG586)+$AF587</f>
        <v>0</v>
      </c>
      <c r="AH587">
        <f>IF(AND($N587=1,AND(对接源_01水果!$D587="周转筐－销售出库",N(对接源_01水果!$K587)&lt;&gt;0)),1,0)</f>
        <v>0</v>
      </c>
      <c r="AI587">
        <f>N(AI586)+$AH587</f>
        <v>0</v>
      </c>
      <c r="AJ587" s="7" t="n"/>
      <c r="AL587">
        <f>IF(OR($AL$1="",对接源_01水果!$Y587="",对接源_01水果!$Y587&lt;&gt;$AL$1,对接源_01水果!$B587="",N(对接源_01水果!$AJ587)&lt;=0),0,IF(OR(N(对接源_01水果!$B587)&lt;$AL$2,N(对接源_01水果!$B587)&gt;$AL$3),0,1))</f>
        <v>0</v>
      </c>
      <c r="AM587">
        <f>N(AM586)+$AL587</f>
        <v>0</v>
      </c>
      <c r="AN587" t="str">
        <f>IF(对接源_01水果!$AC587="","",对接源_01水果!$AC587)</f>
        <v>电商/主播</v>
      </c>
      <c r="AO587">
        <f>IF(AN587="",0,IF(MATCH(AN587,$AN$4:$AN$1203,0)=ROW()-3,1,0))</f>
        <v>0</v>
      </c>
      <c r="AP587">
        <f>N(AP586)+$AO587</f>
        <v>3</v>
      </c>
      <c r="AR587">
        <f>IF(OR($AF587=1,$AH587=1),1,0)</f>
        <v>0</v>
      </c>
      <c r="AS587">
        <f>N(AS586)+$AR587</f>
        <v>0</v>
      </c>
    </row>
    <row r="588" ht="14.25" customHeight="1" s="127">
      <c r="A588" t="str">
        <f>IF(对接源_01水果!$C588="","",对接源_01水果!$C588)</f>
        <v>王照雪</v>
      </c>
      <c r="B588">
        <f>IF(A588="",0,IF(MATCH(A588,$A$4:$A$2403,0)=ROW()-3,1,0))</f>
        <v>0</v>
      </c>
      <c r="C588">
        <f>N(C587)+B588</f>
        <v>22</v>
      </c>
      <c r="K588">
        <f>IF(OR($K$1="",对接源_01水果!$C588="",对接源_01水果!$C588&lt;&gt;$K$1,对接源_01水果!$B588=""),0,IF(OR(N(对接源_01水果!$B588)&lt;$K$2,N(对接源_01水果!$B588)&gt;$K$3),0,1))</f>
        <v>0</v>
      </c>
      <c r="L588">
        <f>IF(OR($L$1="",对接源_01水果!$C588="",对接源_01水果!$C588&lt;&gt;$L$1,对接源_01水果!$B588=""),0,IF(OR(N(对接源_01水果!$B588)&lt;$L$2,N(对接源_01水果!$B588)&gt;$L$3),0,1))</f>
        <v>0</v>
      </c>
      <c r="M588">
        <f>IF(OR($M$1="",对接源_01水果!$C588="",对接源_01水果!$C588&lt;&gt;$M$1,对接源_01水果!$B588=""),0,IF(OR(N(对接源_01水果!$B588)&lt;$M$2,N(对接源_01水果!$B588)&gt;$M$3),0,1))</f>
        <v>0</v>
      </c>
      <c r="N588">
        <f>IF(OR($N$1="",对接源_01水果!$C588="",对接源_01水果!$C588&lt;&gt;$N$1,对接源_01水果!$B588=""),0,IF(OR(N(对接源_01水果!$B588)&lt;$N$2,N(对接源_01水果!$B588)&gt;$N$3),0,1))</f>
        <v>0</v>
      </c>
      <c r="P588">
        <f>IF(AND($K588=1,AND(对接源_01水果!$X588="公司筐",N(对接源_01水果!$T588)&lt;&gt;0)),1,0)</f>
        <v>0</v>
      </c>
      <c r="Q588">
        <f>N(Q587)+$P588</f>
        <v>0</v>
      </c>
      <c r="R588">
        <f>IF(AND($K588=1,AND(对接源_01水果!$X588="公司筐",N(对接源_01水果!$U588)&lt;&gt;0)),1,0)</f>
        <v>0</v>
      </c>
      <c r="S588">
        <f>N(S587)+$R588</f>
        <v>0</v>
      </c>
      <c r="T588">
        <f>IF(AND($K588=1,AND(对接源_01水果!$X588="公司筐",N(对接源_01水果!$V588)&lt;&gt;0)),1,0)</f>
        <v>0</v>
      </c>
      <c r="U588">
        <f>N(U587)+$T588</f>
        <v>47</v>
      </c>
      <c r="V588">
        <f>IF(AND($L588=1,AND(对接源_01水果!$X588="自备筐",N(对接源_01水果!$V588)&lt;&gt;0)),1,0)</f>
        <v>0</v>
      </c>
      <c r="W588">
        <f>N(W587)+$V588</f>
        <v>11</v>
      </c>
      <c r="X588">
        <f>IF(AND($L588=1,AND(对接源_01水果!$X588="自备筐",N(对接源_01水果!$T588)&lt;&gt;0)),1,0)</f>
        <v>0</v>
      </c>
      <c r="Y588">
        <f>N(Y587)+$X588</f>
        <v>0</v>
      </c>
      <c r="Z588">
        <f>IF(AND($M588=1,对接源_01水果!$D588="原料入库"),1,0)</f>
        <v>0</v>
      </c>
      <c r="AA588">
        <f>N(AA587)+$Z588</f>
        <v>24</v>
      </c>
      <c r="AB588">
        <f>IF(AND($M588=1,LEFT(对接源_01水果!$D588,4)="原料出库"),1,0)</f>
        <v>0</v>
      </c>
      <c r="AC588">
        <f>N(AC587)+$AB588</f>
        <v>0</v>
      </c>
      <c r="AD588">
        <f>IF(AND($M588=1,LEFT(对接源_01水果!$D588,4)="成品出库"),1,0)</f>
        <v>0</v>
      </c>
      <c r="AE588">
        <f>N(AE587)+$AD588</f>
        <v>0</v>
      </c>
      <c r="AF588">
        <f>IF(AND($N588=1,AND(LEFT(对接源_01水果!$D588,4)="包装物料",N(对接源_01水果!$K588)&lt;&gt;0)),1,0)</f>
        <v>0</v>
      </c>
      <c r="AG588">
        <f>N(AG587)+$AF588</f>
        <v>0</v>
      </c>
      <c r="AH588">
        <f>IF(AND($N588=1,AND(对接源_01水果!$D588="周转筐－销售出库",N(对接源_01水果!$K588)&lt;&gt;0)),1,0)</f>
        <v>0</v>
      </c>
      <c r="AI588">
        <f>N(AI587)+$AH588</f>
        <v>0</v>
      </c>
      <c r="AJ588" s="7" t="n"/>
      <c r="AL588">
        <f>IF(OR($AL$1="",对接源_01水果!$Y588="",对接源_01水果!$Y588&lt;&gt;$AL$1,对接源_01水果!$B588="",N(对接源_01水果!$AJ588)&lt;=0),0,IF(OR(N(对接源_01水果!$B588)&lt;$AL$2,N(对接源_01水果!$B588)&gt;$AL$3),0,1))</f>
        <v>0</v>
      </c>
      <c r="AM588">
        <f>N(AM587)+$AL588</f>
        <v>0</v>
      </c>
      <c r="AN588" t="str">
        <f>IF(对接源_01水果!$AC588="","",对接源_01水果!$AC588)</f>
        <v>电商/主播</v>
      </c>
      <c r="AO588">
        <f>IF(AN588="",0,IF(MATCH(AN588,$AN$4:$AN$1203,0)=ROW()-3,1,0))</f>
        <v>0</v>
      </c>
      <c r="AP588">
        <f>N(AP587)+$AO588</f>
        <v>3</v>
      </c>
      <c r="AR588">
        <f>IF(OR($AF588=1,$AH588=1),1,0)</f>
        <v>0</v>
      </c>
      <c r="AS588">
        <f>N(AS587)+$AR588</f>
        <v>0</v>
      </c>
    </row>
    <row r="589" ht="14.25" customHeight="1" s="127">
      <c r="A589" t="str">
        <f>IF(对接源_01水果!$C589="","",对接源_01水果!$C589)</f>
        <v>王照雪</v>
      </c>
      <c r="B589">
        <f>IF(A589="",0,IF(MATCH(A589,$A$4:$A$2403,0)=ROW()-3,1,0))</f>
        <v>0</v>
      </c>
      <c r="C589">
        <f>N(C588)+B589</f>
        <v>22</v>
      </c>
      <c r="K589">
        <f>IF(OR($K$1="",对接源_01水果!$C589="",对接源_01水果!$C589&lt;&gt;$K$1,对接源_01水果!$B589=""),0,IF(OR(N(对接源_01水果!$B589)&lt;$K$2,N(对接源_01水果!$B589)&gt;$K$3),0,1))</f>
        <v>0</v>
      </c>
      <c r="L589">
        <f>IF(OR($L$1="",对接源_01水果!$C589="",对接源_01水果!$C589&lt;&gt;$L$1,对接源_01水果!$B589=""),0,IF(OR(N(对接源_01水果!$B589)&lt;$L$2,N(对接源_01水果!$B589)&gt;$L$3),0,1))</f>
        <v>0</v>
      </c>
      <c r="M589">
        <f>IF(OR($M$1="",对接源_01水果!$C589="",对接源_01水果!$C589&lt;&gt;$M$1,对接源_01水果!$B589=""),0,IF(OR(N(对接源_01水果!$B589)&lt;$M$2,N(对接源_01水果!$B589)&gt;$M$3),0,1))</f>
        <v>0</v>
      </c>
      <c r="N589">
        <f>IF(OR($N$1="",对接源_01水果!$C589="",对接源_01水果!$C589&lt;&gt;$N$1,对接源_01水果!$B589=""),0,IF(OR(N(对接源_01水果!$B589)&lt;$N$2,N(对接源_01水果!$B589)&gt;$N$3),0,1))</f>
        <v>0</v>
      </c>
      <c r="P589">
        <f>IF(AND($K589=1,AND(对接源_01水果!$X589="公司筐",N(对接源_01水果!$T589)&lt;&gt;0)),1,0)</f>
        <v>0</v>
      </c>
      <c r="Q589">
        <f>N(Q588)+$P589</f>
        <v>0</v>
      </c>
      <c r="R589">
        <f>IF(AND($K589=1,AND(对接源_01水果!$X589="公司筐",N(对接源_01水果!$U589)&lt;&gt;0)),1,0)</f>
        <v>0</v>
      </c>
      <c r="S589">
        <f>N(S588)+$R589</f>
        <v>0</v>
      </c>
      <c r="T589">
        <f>IF(AND($K589=1,AND(对接源_01水果!$X589="公司筐",N(对接源_01水果!$V589)&lt;&gt;0)),1,0)</f>
        <v>0</v>
      </c>
      <c r="U589">
        <f>N(U588)+$T589</f>
        <v>47</v>
      </c>
      <c r="V589">
        <f>IF(AND($L589=1,AND(对接源_01水果!$X589="自备筐",N(对接源_01水果!$V589)&lt;&gt;0)),1,0)</f>
        <v>0</v>
      </c>
      <c r="W589">
        <f>N(W588)+$V589</f>
        <v>11</v>
      </c>
      <c r="X589">
        <f>IF(AND($L589=1,AND(对接源_01水果!$X589="自备筐",N(对接源_01水果!$T589)&lt;&gt;0)),1,0)</f>
        <v>0</v>
      </c>
      <c r="Y589">
        <f>N(Y588)+$X589</f>
        <v>0</v>
      </c>
      <c r="Z589">
        <f>IF(AND($M589=1,对接源_01水果!$D589="原料入库"),1,0)</f>
        <v>0</v>
      </c>
      <c r="AA589">
        <f>N(AA588)+$Z589</f>
        <v>24</v>
      </c>
      <c r="AB589">
        <f>IF(AND($M589=1,LEFT(对接源_01水果!$D589,4)="原料出库"),1,0)</f>
        <v>0</v>
      </c>
      <c r="AC589">
        <f>N(AC588)+$AB589</f>
        <v>0</v>
      </c>
      <c r="AD589">
        <f>IF(AND($M589=1,LEFT(对接源_01水果!$D589,4)="成品出库"),1,0)</f>
        <v>0</v>
      </c>
      <c r="AE589">
        <f>N(AE588)+$AD589</f>
        <v>0</v>
      </c>
      <c r="AF589">
        <f>IF(AND($N589=1,AND(LEFT(对接源_01水果!$D589,4)="包装物料",N(对接源_01水果!$K589)&lt;&gt;0)),1,0)</f>
        <v>0</v>
      </c>
      <c r="AG589">
        <f>N(AG588)+$AF589</f>
        <v>0</v>
      </c>
      <c r="AH589">
        <f>IF(AND($N589=1,AND(对接源_01水果!$D589="周转筐－销售出库",N(对接源_01水果!$K589)&lt;&gt;0)),1,0)</f>
        <v>0</v>
      </c>
      <c r="AI589">
        <f>N(AI588)+$AH589</f>
        <v>0</v>
      </c>
      <c r="AJ589" s="7" t="n"/>
      <c r="AL589">
        <f>IF(OR($AL$1="",对接源_01水果!$Y589="",对接源_01水果!$Y589&lt;&gt;$AL$1,对接源_01水果!$B589="",N(对接源_01水果!$AJ589)&lt;=0),0,IF(OR(N(对接源_01水果!$B589)&lt;$AL$2,N(对接源_01水果!$B589)&gt;$AL$3),0,1))</f>
        <v>0</v>
      </c>
      <c r="AM589">
        <f>N(AM588)+$AL589</f>
        <v>0</v>
      </c>
      <c r="AN589" t="str">
        <f>IF(对接源_01水果!$AC589="","",对接源_01水果!$AC589)</f>
        <v>电商/主播</v>
      </c>
      <c r="AO589">
        <f>IF(AN589="",0,IF(MATCH(AN589,$AN$4:$AN$1203,0)=ROW()-3,1,0))</f>
        <v>0</v>
      </c>
      <c r="AP589">
        <f>N(AP588)+$AO589</f>
        <v>3</v>
      </c>
      <c r="AR589">
        <f>IF(OR($AF589=1,$AH589=1),1,0)</f>
        <v>0</v>
      </c>
      <c r="AS589">
        <f>N(AS588)+$AR589</f>
        <v>0</v>
      </c>
    </row>
    <row r="590" ht="14.25" customHeight="1" s="127">
      <c r="A590" t="str">
        <f>IF(对接源_01水果!$C590="","",对接源_01水果!$C590)</f>
        <v>王照雪</v>
      </c>
      <c r="B590">
        <f>IF(A590="",0,IF(MATCH(A590,$A$4:$A$2403,0)=ROW()-3,1,0))</f>
        <v>0</v>
      </c>
      <c r="C590">
        <f>N(C589)+B590</f>
        <v>22</v>
      </c>
      <c r="K590">
        <f>IF(OR($K$1="",对接源_01水果!$C590="",对接源_01水果!$C590&lt;&gt;$K$1,对接源_01水果!$B590=""),0,IF(OR(N(对接源_01水果!$B590)&lt;$K$2,N(对接源_01水果!$B590)&gt;$K$3),0,1))</f>
        <v>0</v>
      </c>
      <c r="L590">
        <f>IF(OR($L$1="",对接源_01水果!$C590="",对接源_01水果!$C590&lt;&gt;$L$1,对接源_01水果!$B590=""),0,IF(OR(N(对接源_01水果!$B590)&lt;$L$2,N(对接源_01水果!$B590)&gt;$L$3),0,1))</f>
        <v>0</v>
      </c>
      <c r="M590">
        <f>IF(OR($M$1="",对接源_01水果!$C590="",对接源_01水果!$C590&lt;&gt;$M$1,对接源_01水果!$B590=""),0,IF(OR(N(对接源_01水果!$B590)&lt;$M$2,N(对接源_01水果!$B590)&gt;$M$3),0,1))</f>
        <v>0</v>
      </c>
      <c r="N590">
        <f>IF(OR($N$1="",对接源_01水果!$C590="",对接源_01水果!$C590&lt;&gt;$N$1,对接源_01水果!$B590=""),0,IF(OR(N(对接源_01水果!$B590)&lt;$N$2,N(对接源_01水果!$B590)&gt;$N$3),0,1))</f>
        <v>0</v>
      </c>
      <c r="P590">
        <f>IF(AND($K590=1,AND(对接源_01水果!$X590="公司筐",N(对接源_01水果!$T590)&lt;&gt;0)),1,0)</f>
        <v>0</v>
      </c>
      <c r="Q590">
        <f>N(Q589)+$P590</f>
        <v>0</v>
      </c>
      <c r="R590">
        <f>IF(AND($K590=1,AND(对接源_01水果!$X590="公司筐",N(对接源_01水果!$U590)&lt;&gt;0)),1,0)</f>
        <v>0</v>
      </c>
      <c r="S590">
        <f>N(S589)+$R590</f>
        <v>0</v>
      </c>
      <c r="T590">
        <f>IF(AND($K590=1,AND(对接源_01水果!$X590="公司筐",N(对接源_01水果!$V590)&lt;&gt;0)),1,0)</f>
        <v>0</v>
      </c>
      <c r="U590">
        <f>N(U589)+$T590</f>
        <v>47</v>
      </c>
      <c r="V590">
        <f>IF(AND($L590=1,AND(对接源_01水果!$X590="自备筐",N(对接源_01水果!$V590)&lt;&gt;0)),1,0)</f>
        <v>0</v>
      </c>
      <c r="W590">
        <f>N(W589)+$V590</f>
        <v>11</v>
      </c>
      <c r="X590">
        <f>IF(AND($L590=1,AND(对接源_01水果!$X590="自备筐",N(对接源_01水果!$T590)&lt;&gt;0)),1,0)</f>
        <v>0</v>
      </c>
      <c r="Y590">
        <f>N(Y589)+$X590</f>
        <v>0</v>
      </c>
      <c r="Z590">
        <f>IF(AND($M590=1,对接源_01水果!$D590="原料入库"),1,0)</f>
        <v>0</v>
      </c>
      <c r="AA590">
        <f>N(AA589)+$Z590</f>
        <v>24</v>
      </c>
      <c r="AB590">
        <f>IF(AND($M590=1,LEFT(对接源_01水果!$D590,4)="原料出库"),1,0)</f>
        <v>0</v>
      </c>
      <c r="AC590">
        <f>N(AC589)+$AB590</f>
        <v>0</v>
      </c>
      <c r="AD590">
        <f>IF(AND($M590=1,LEFT(对接源_01水果!$D590,4)="成品出库"),1,0)</f>
        <v>0</v>
      </c>
      <c r="AE590">
        <f>N(AE589)+$AD590</f>
        <v>0</v>
      </c>
      <c r="AF590">
        <f>IF(AND($N590=1,AND(LEFT(对接源_01水果!$D590,4)="包装物料",N(对接源_01水果!$K590)&lt;&gt;0)),1,0)</f>
        <v>0</v>
      </c>
      <c r="AG590">
        <f>N(AG589)+$AF590</f>
        <v>0</v>
      </c>
      <c r="AH590">
        <f>IF(AND($N590=1,AND(对接源_01水果!$D590="周转筐－销售出库",N(对接源_01水果!$K590)&lt;&gt;0)),1,0)</f>
        <v>0</v>
      </c>
      <c r="AI590">
        <f>N(AI589)+$AH590</f>
        <v>0</v>
      </c>
      <c r="AJ590" s="7" t="n"/>
      <c r="AL590">
        <f>IF(OR($AL$1="",对接源_01水果!$Y590="",对接源_01水果!$Y590&lt;&gt;$AL$1,对接源_01水果!$B590="",N(对接源_01水果!$AJ590)&lt;=0),0,IF(OR(N(对接源_01水果!$B590)&lt;$AL$2,N(对接源_01水果!$B590)&gt;$AL$3),0,1))</f>
        <v>0</v>
      </c>
      <c r="AM590">
        <f>N(AM589)+$AL590</f>
        <v>0</v>
      </c>
      <c r="AN590" t="str">
        <f>IF(对接源_01水果!$AC590="","",对接源_01水果!$AC590)</f>
        <v>电商/主播</v>
      </c>
      <c r="AO590">
        <f>IF(AN590="",0,IF(MATCH(AN590,$AN$4:$AN$1203,0)=ROW()-3,1,0))</f>
        <v>0</v>
      </c>
      <c r="AP590">
        <f>N(AP589)+$AO590</f>
        <v>3</v>
      </c>
      <c r="AR590">
        <f>IF(OR($AF590=1,$AH590=1),1,0)</f>
        <v>0</v>
      </c>
      <c r="AS590">
        <f>N(AS589)+$AR590</f>
        <v>0</v>
      </c>
    </row>
    <row r="591" ht="14.25" customHeight="1" s="127">
      <c r="A591" t="str">
        <f>IF(对接源_01水果!$C591="","",对接源_01水果!$C591)</f>
        <v>聂新平</v>
      </c>
      <c r="B591">
        <f>IF(A591="",0,IF(MATCH(A591,$A$4:$A$2403,0)=ROW()-3,1,0))</f>
        <v>0</v>
      </c>
      <c r="C591">
        <f>N(C590)+B591</f>
        <v>22</v>
      </c>
      <c r="K591">
        <f>IF(OR($K$1="",对接源_01水果!$C591="",对接源_01水果!$C591&lt;&gt;$K$1,对接源_01水果!$B591=""),0,IF(OR(N(对接源_01水果!$B591)&lt;$K$2,N(对接源_01水果!$B591)&gt;$K$3),0,1))</f>
        <v>0</v>
      </c>
      <c r="L591">
        <f>IF(OR($L$1="",对接源_01水果!$C591="",对接源_01水果!$C591&lt;&gt;$L$1,对接源_01水果!$B591=""),0,IF(OR(N(对接源_01水果!$B591)&lt;$L$2,N(对接源_01水果!$B591)&gt;$L$3),0,1))</f>
        <v>0</v>
      </c>
      <c r="M591">
        <f>IF(OR($M$1="",对接源_01水果!$C591="",对接源_01水果!$C591&lt;&gt;$M$1,对接源_01水果!$B591=""),0,IF(OR(N(对接源_01水果!$B591)&lt;$M$2,N(对接源_01水果!$B591)&gt;$M$3),0,1))</f>
        <v>0</v>
      </c>
      <c r="N591">
        <f>IF(OR($N$1="",对接源_01水果!$C591="",对接源_01水果!$C591&lt;&gt;$N$1,对接源_01水果!$B591=""),0,IF(OR(N(对接源_01水果!$B591)&lt;$N$2,N(对接源_01水果!$B591)&gt;$N$3),0,1))</f>
        <v>0</v>
      </c>
      <c r="P591">
        <f>IF(AND($K591=1,AND(对接源_01水果!$X591="公司筐",N(对接源_01水果!$T591)&lt;&gt;0)),1,0)</f>
        <v>0</v>
      </c>
      <c r="Q591">
        <f>N(Q590)+$P591</f>
        <v>0</v>
      </c>
      <c r="R591">
        <f>IF(AND($K591=1,AND(对接源_01水果!$X591="公司筐",N(对接源_01水果!$U591)&lt;&gt;0)),1,0)</f>
        <v>0</v>
      </c>
      <c r="S591">
        <f>N(S590)+$R591</f>
        <v>0</v>
      </c>
      <c r="T591">
        <f>IF(AND($K591=1,AND(对接源_01水果!$X591="公司筐",N(对接源_01水果!$V591)&lt;&gt;0)),1,0)</f>
        <v>0</v>
      </c>
      <c r="U591">
        <f>N(U590)+$T591</f>
        <v>47</v>
      </c>
      <c r="V591">
        <f>IF(AND($L591=1,AND(对接源_01水果!$X591="自备筐",N(对接源_01水果!$V591)&lt;&gt;0)),1,0)</f>
        <v>0</v>
      </c>
      <c r="W591">
        <f>N(W590)+$V591</f>
        <v>11</v>
      </c>
      <c r="X591">
        <f>IF(AND($L591=1,AND(对接源_01水果!$X591="自备筐",N(对接源_01水果!$T591)&lt;&gt;0)),1,0)</f>
        <v>0</v>
      </c>
      <c r="Y591">
        <f>N(Y590)+$X591</f>
        <v>0</v>
      </c>
      <c r="Z591">
        <f>IF(AND($M591=1,对接源_01水果!$D591="原料入库"),1,0)</f>
        <v>0</v>
      </c>
      <c r="AA591">
        <f>N(AA590)+$Z591</f>
        <v>24</v>
      </c>
      <c r="AB591">
        <f>IF(AND($M591=1,LEFT(对接源_01水果!$D591,4)="原料出库"),1,0)</f>
        <v>0</v>
      </c>
      <c r="AC591">
        <f>N(AC590)+$AB591</f>
        <v>0</v>
      </c>
      <c r="AD591">
        <f>IF(AND($M591=1,LEFT(对接源_01水果!$D591,4)="成品出库"),1,0)</f>
        <v>0</v>
      </c>
      <c r="AE591">
        <f>N(AE590)+$AD591</f>
        <v>0</v>
      </c>
      <c r="AF591">
        <f>IF(AND($N591=1,AND(LEFT(对接源_01水果!$D591,4)="包装物料",N(对接源_01水果!$K591)&lt;&gt;0)),1,0)</f>
        <v>0</v>
      </c>
      <c r="AG591">
        <f>N(AG590)+$AF591</f>
        <v>0</v>
      </c>
      <c r="AH591">
        <f>IF(AND($N591=1,AND(对接源_01水果!$D591="周转筐－销售出库",N(对接源_01水果!$K591)&lt;&gt;0)),1,0)</f>
        <v>0</v>
      </c>
      <c r="AI591">
        <f>N(AI590)+$AH591</f>
        <v>0</v>
      </c>
      <c r="AJ591" s="7" t="n"/>
      <c r="AL591">
        <f>IF(OR($AL$1="",对接源_01水果!$Y591="",对接源_01水果!$Y591&lt;&gt;$AL$1,对接源_01水果!$B591="",N(对接源_01水果!$AJ591)&lt;=0),0,IF(OR(N(对接源_01水果!$B591)&lt;$AL$2,N(对接源_01水果!$B591)&gt;$AL$3),0,1))</f>
        <v>0</v>
      </c>
      <c r="AM591">
        <f>N(AM590)+$AL591</f>
        <v>0</v>
      </c>
      <c r="AN591" t="str">
        <f>IF(对接源_01水果!$AC591="","",对接源_01水果!$AC591)</f>
        <v>聂新平</v>
      </c>
      <c r="AO591">
        <f>IF(AN591="",0,IF(MATCH(AN591,$AN$4:$AN$1203,0)=ROW()-3,1,0))</f>
        <v>1</v>
      </c>
      <c r="AP591">
        <f>N(AP590)+$AO591</f>
        <v>4</v>
      </c>
      <c r="AR591">
        <f>IF(OR($AF591=1,$AH591=1),1,0)</f>
        <v>0</v>
      </c>
      <c r="AS591">
        <f>N(AS590)+$AR591</f>
        <v>0</v>
      </c>
    </row>
    <row r="592" ht="14.25" customHeight="1" s="127">
      <c r="A592" t="str">
        <f>IF(对接源_01水果!$C592="","",对接源_01水果!$C592)</f>
        <v>王照雪</v>
      </c>
      <c r="B592">
        <f>IF(A592="",0,IF(MATCH(A592,$A$4:$A$2403,0)=ROW()-3,1,0))</f>
        <v>0</v>
      </c>
      <c r="C592">
        <f>N(C591)+B592</f>
        <v>22</v>
      </c>
      <c r="K592">
        <f>IF(OR($K$1="",对接源_01水果!$C592="",对接源_01水果!$C592&lt;&gt;$K$1,对接源_01水果!$B592=""),0,IF(OR(N(对接源_01水果!$B592)&lt;$K$2,N(对接源_01水果!$B592)&gt;$K$3),0,1))</f>
        <v>0</v>
      </c>
      <c r="L592">
        <f>IF(OR($L$1="",对接源_01水果!$C592="",对接源_01水果!$C592&lt;&gt;$L$1,对接源_01水果!$B592=""),0,IF(OR(N(对接源_01水果!$B592)&lt;$L$2,N(对接源_01水果!$B592)&gt;$L$3),0,1))</f>
        <v>0</v>
      </c>
      <c r="M592">
        <f>IF(OR($M$1="",对接源_01水果!$C592="",对接源_01水果!$C592&lt;&gt;$M$1,对接源_01水果!$B592=""),0,IF(OR(N(对接源_01水果!$B592)&lt;$M$2,N(对接源_01水果!$B592)&gt;$M$3),0,1))</f>
        <v>0</v>
      </c>
      <c r="N592">
        <f>IF(OR($N$1="",对接源_01水果!$C592="",对接源_01水果!$C592&lt;&gt;$N$1,对接源_01水果!$B592=""),0,IF(OR(N(对接源_01水果!$B592)&lt;$N$2,N(对接源_01水果!$B592)&gt;$N$3),0,1))</f>
        <v>0</v>
      </c>
      <c r="P592">
        <f>IF(AND($K592=1,AND(对接源_01水果!$X592="公司筐",N(对接源_01水果!$T592)&lt;&gt;0)),1,0)</f>
        <v>0</v>
      </c>
      <c r="Q592">
        <f>N(Q591)+$P592</f>
        <v>0</v>
      </c>
      <c r="R592">
        <f>IF(AND($K592=1,AND(对接源_01水果!$X592="公司筐",N(对接源_01水果!$U592)&lt;&gt;0)),1,0)</f>
        <v>0</v>
      </c>
      <c r="S592">
        <f>N(S591)+$R592</f>
        <v>0</v>
      </c>
      <c r="T592">
        <f>IF(AND($K592=1,AND(对接源_01水果!$X592="公司筐",N(对接源_01水果!$V592)&lt;&gt;0)),1,0)</f>
        <v>0</v>
      </c>
      <c r="U592">
        <f>N(U591)+$T592</f>
        <v>47</v>
      </c>
      <c r="V592">
        <f>IF(AND($L592=1,AND(对接源_01水果!$X592="自备筐",N(对接源_01水果!$V592)&lt;&gt;0)),1,0)</f>
        <v>0</v>
      </c>
      <c r="W592">
        <f>N(W591)+$V592</f>
        <v>11</v>
      </c>
      <c r="X592">
        <f>IF(AND($L592=1,AND(对接源_01水果!$X592="自备筐",N(对接源_01水果!$T592)&lt;&gt;0)),1,0)</f>
        <v>0</v>
      </c>
      <c r="Y592">
        <f>N(Y591)+$X592</f>
        <v>0</v>
      </c>
      <c r="Z592">
        <f>IF(AND($M592=1,对接源_01水果!$D592="原料入库"),1,0)</f>
        <v>0</v>
      </c>
      <c r="AA592">
        <f>N(AA591)+$Z592</f>
        <v>24</v>
      </c>
      <c r="AB592">
        <f>IF(AND($M592=1,LEFT(对接源_01水果!$D592,4)="原料出库"),1,0)</f>
        <v>0</v>
      </c>
      <c r="AC592">
        <f>N(AC591)+$AB592</f>
        <v>0</v>
      </c>
      <c r="AD592">
        <f>IF(AND($M592=1,LEFT(对接源_01水果!$D592,4)="成品出库"),1,0)</f>
        <v>0</v>
      </c>
      <c r="AE592">
        <f>N(AE591)+$AD592</f>
        <v>0</v>
      </c>
      <c r="AF592">
        <f>IF(AND($N592=1,AND(LEFT(对接源_01水果!$D592,4)="包装物料",N(对接源_01水果!$K592)&lt;&gt;0)),1,0)</f>
        <v>0</v>
      </c>
      <c r="AG592">
        <f>N(AG591)+$AF592</f>
        <v>0</v>
      </c>
      <c r="AH592">
        <f>IF(AND($N592=1,AND(对接源_01水果!$D592="周转筐－销售出库",N(对接源_01水果!$K592)&lt;&gt;0)),1,0)</f>
        <v>0</v>
      </c>
      <c r="AI592">
        <f>N(AI591)+$AH592</f>
        <v>0</v>
      </c>
      <c r="AJ592" s="7" t="n"/>
      <c r="AL592">
        <f>IF(OR($AL$1="",对接源_01水果!$Y592="",对接源_01水果!$Y592&lt;&gt;$AL$1,对接源_01水果!$B592="",N(对接源_01水果!$AJ592)&lt;=0),0,IF(OR(N(对接源_01水果!$B592)&lt;$AL$2,N(对接源_01水果!$B592)&gt;$AL$3),0,1))</f>
        <v>0</v>
      </c>
      <c r="AM592">
        <f>N(AM591)+$AL592</f>
        <v>0</v>
      </c>
      <c r="AN592" t="str">
        <f>IF(对接源_01水果!$AC592="","",对接源_01水果!$AC592)</f>
        <v>电商/主播</v>
      </c>
      <c r="AO592">
        <f>IF(AN592="",0,IF(MATCH(AN592,$AN$4:$AN$1203,0)=ROW()-3,1,0))</f>
        <v>0</v>
      </c>
      <c r="AP592">
        <f>N(AP591)+$AO592</f>
        <v>4</v>
      </c>
      <c r="AR592">
        <f>IF(OR($AF592=1,$AH592=1),1,0)</f>
        <v>0</v>
      </c>
      <c r="AS592">
        <f>N(AS591)+$AR592</f>
        <v>0</v>
      </c>
    </row>
    <row r="593" ht="14.25" customHeight="1" s="127">
      <c r="A593" t="str">
        <f>IF(对接源_01水果!$C593="","",对接源_01水果!$C593)</f>
        <v>王照雪</v>
      </c>
      <c r="B593">
        <f>IF(A593="",0,IF(MATCH(A593,$A$4:$A$2403,0)=ROW()-3,1,0))</f>
        <v>0</v>
      </c>
      <c r="C593">
        <f>N(C592)+B593</f>
        <v>22</v>
      </c>
      <c r="K593">
        <f>IF(OR($K$1="",对接源_01水果!$C593="",对接源_01水果!$C593&lt;&gt;$K$1,对接源_01水果!$B593=""),0,IF(OR(N(对接源_01水果!$B593)&lt;$K$2,N(对接源_01水果!$B593)&gt;$K$3),0,1))</f>
        <v>0</v>
      </c>
      <c r="L593">
        <f>IF(OR($L$1="",对接源_01水果!$C593="",对接源_01水果!$C593&lt;&gt;$L$1,对接源_01水果!$B593=""),0,IF(OR(N(对接源_01水果!$B593)&lt;$L$2,N(对接源_01水果!$B593)&gt;$L$3),0,1))</f>
        <v>0</v>
      </c>
      <c r="M593">
        <f>IF(OR($M$1="",对接源_01水果!$C593="",对接源_01水果!$C593&lt;&gt;$M$1,对接源_01水果!$B593=""),0,IF(OR(N(对接源_01水果!$B593)&lt;$M$2,N(对接源_01水果!$B593)&gt;$M$3),0,1))</f>
        <v>0</v>
      </c>
      <c r="N593">
        <f>IF(OR($N$1="",对接源_01水果!$C593="",对接源_01水果!$C593&lt;&gt;$N$1,对接源_01水果!$B593=""),0,IF(OR(N(对接源_01水果!$B593)&lt;$N$2,N(对接源_01水果!$B593)&gt;$N$3),0,1))</f>
        <v>0</v>
      </c>
      <c r="P593">
        <f>IF(AND($K593=1,AND(对接源_01水果!$X593="公司筐",N(对接源_01水果!$T593)&lt;&gt;0)),1,0)</f>
        <v>0</v>
      </c>
      <c r="Q593">
        <f>N(Q592)+$P593</f>
        <v>0</v>
      </c>
      <c r="R593">
        <f>IF(AND($K593=1,AND(对接源_01水果!$X593="公司筐",N(对接源_01水果!$U593)&lt;&gt;0)),1,0)</f>
        <v>0</v>
      </c>
      <c r="S593">
        <f>N(S592)+$R593</f>
        <v>0</v>
      </c>
      <c r="T593">
        <f>IF(AND($K593=1,AND(对接源_01水果!$X593="公司筐",N(对接源_01水果!$V593)&lt;&gt;0)),1,0)</f>
        <v>0</v>
      </c>
      <c r="U593">
        <f>N(U592)+$T593</f>
        <v>47</v>
      </c>
      <c r="V593">
        <f>IF(AND($L593=1,AND(对接源_01水果!$X593="自备筐",N(对接源_01水果!$V593)&lt;&gt;0)),1,0)</f>
        <v>0</v>
      </c>
      <c r="W593">
        <f>N(W592)+$V593</f>
        <v>11</v>
      </c>
      <c r="X593">
        <f>IF(AND($L593=1,AND(对接源_01水果!$X593="自备筐",N(对接源_01水果!$T593)&lt;&gt;0)),1,0)</f>
        <v>0</v>
      </c>
      <c r="Y593">
        <f>N(Y592)+$X593</f>
        <v>0</v>
      </c>
      <c r="Z593">
        <f>IF(AND($M593=1,对接源_01水果!$D593="原料入库"),1,0)</f>
        <v>0</v>
      </c>
      <c r="AA593">
        <f>N(AA592)+$Z593</f>
        <v>24</v>
      </c>
      <c r="AB593">
        <f>IF(AND($M593=1,LEFT(对接源_01水果!$D593,4)="原料出库"),1,0)</f>
        <v>0</v>
      </c>
      <c r="AC593">
        <f>N(AC592)+$AB593</f>
        <v>0</v>
      </c>
      <c r="AD593">
        <f>IF(AND($M593=1,LEFT(对接源_01水果!$D593,4)="成品出库"),1,0)</f>
        <v>0</v>
      </c>
      <c r="AE593">
        <f>N(AE592)+$AD593</f>
        <v>0</v>
      </c>
      <c r="AF593">
        <f>IF(AND($N593=1,AND(LEFT(对接源_01水果!$D593,4)="包装物料",N(对接源_01水果!$K593)&lt;&gt;0)),1,0)</f>
        <v>0</v>
      </c>
      <c r="AG593">
        <f>N(AG592)+$AF593</f>
        <v>0</v>
      </c>
      <c r="AH593">
        <f>IF(AND($N593=1,AND(对接源_01水果!$D593="周转筐－销售出库",N(对接源_01水果!$K593)&lt;&gt;0)),1,0)</f>
        <v>0</v>
      </c>
      <c r="AI593">
        <f>N(AI592)+$AH593</f>
        <v>0</v>
      </c>
      <c r="AJ593" s="7" t="n"/>
      <c r="AL593">
        <f>IF(OR($AL$1="",对接源_01水果!$Y593="",对接源_01水果!$Y593&lt;&gt;$AL$1,对接源_01水果!$B593="",N(对接源_01水果!$AJ593)&lt;=0),0,IF(OR(N(对接源_01水果!$B593)&lt;$AL$2,N(对接源_01水果!$B593)&gt;$AL$3),0,1))</f>
        <v>0</v>
      </c>
      <c r="AM593">
        <f>N(AM592)+$AL593</f>
        <v>0</v>
      </c>
      <c r="AN593" t="str">
        <f>IF(对接源_01水果!$AC593="","",对接源_01水果!$AC593)</f>
        <v>电商/主播</v>
      </c>
      <c r="AO593">
        <f>IF(AN593="",0,IF(MATCH(AN593,$AN$4:$AN$1203,0)=ROW()-3,1,0))</f>
        <v>0</v>
      </c>
      <c r="AP593">
        <f>N(AP592)+$AO593</f>
        <v>4</v>
      </c>
      <c r="AR593">
        <f>IF(OR($AF593=1,$AH593=1),1,0)</f>
        <v>0</v>
      </c>
      <c r="AS593">
        <f>N(AS592)+$AR593</f>
        <v>0</v>
      </c>
    </row>
    <row r="594" ht="14.25" customHeight="1" s="127">
      <c r="A594" t="str">
        <f>IF(对接源_01水果!$C594="","",对接源_01水果!$C594)</f>
        <v>王照雪</v>
      </c>
      <c r="B594">
        <f>IF(A594="",0,IF(MATCH(A594,$A$4:$A$2403,0)=ROW()-3,1,0))</f>
        <v>0</v>
      </c>
      <c r="C594">
        <f>N(C593)+B594</f>
        <v>22</v>
      </c>
      <c r="K594">
        <f>IF(OR($K$1="",对接源_01水果!$C594="",对接源_01水果!$C594&lt;&gt;$K$1,对接源_01水果!$B594=""),0,IF(OR(N(对接源_01水果!$B594)&lt;$K$2,N(对接源_01水果!$B594)&gt;$K$3),0,1))</f>
        <v>0</v>
      </c>
      <c r="L594">
        <f>IF(OR($L$1="",对接源_01水果!$C594="",对接源_01水果!$C594&lt;&gt;$L$1,对接源_01水果!$B594=""),0,IF(OR(N(对接源_01水果!$B594)&lt;$L$2,N(对接源_01水果!$B594)&gt;$L$3),0,1))</f>
        <v>0</v>
      </c>
      <c r="M594">
        <f>IF(OR($M$1="",对接源_01水果!$C594="",对接源_01水果!$C594&lt;&gt;$M$1,对接源_01水果!$B594=""),0,IF(OR(N(对接源_01水果!$B594)&lt;$M$2,N(对接源_01水果!$B594)&gt;$M$3),0,1))</f>
        <v>0</v>
      </c>
      <c r="N594">
        <f>IF(OR($N$1="",对接源_01水果!$C594="",对接源_01水果!$C594&lt;&gt;$N$1,对接源_01水果!$B594=""),0,IF(OR(N(对接源_01水果!$B594)&lt;$N$2,N(对接源_01水果!$B594)&gt;$N$3),0,1))</f>
        <v>0</v>
      </c>
      <c r="P594">
        <f>IF(AND($K594=1,AND(对接源_01水果!$X594="公司筐",N(对接源_01水果!$T594)&lt;&gt;0)),1,0)</f>
        <v>0</v>
      </c>
      <c r="Q594">
        <f>N(Q593)+$P594</f>
        <v>0</v>
      </c>
      <c r="R594">
        <f>IF(AND($K594=1,AND(对接源_01水果!$X594="公司筐",N(对接源_01水果!$U594)&lt;&gt;0)),1,0)</f>
        <v>0</v>
      </c>
      <c r="S594">
        <f>N(S593)+$R594</f>
        <v>0</v>
      </c>
      <c r="T594">
        <f>IF(AND($K594=1,AND(对接源_01水果!$X594="公司筐",N(对接源_01水果!$V594)&lt;&gt;0)),1,0)</f>
        <v>0</v>
      </c>
      <c r="U594">
        <f>N(U593)+$T594</f>
        <v>47</v>
      </c>
      <c r="V594">
        <f>IF(AND($L594=1,AND(对接源_01水果!$X594="自备筐",N(对接源_01水果!$V594)&lt;&gt;0)),1,0)</f>
        <v>0</v>
      </c>
      <c r="W594">
        <f>N(W593)+$V594</f>
        <v>11</v>
      </c>
      <c r="X594">
        <f>IF(AND($L594=1,AND(对接源_01水果!$X594="自备筐",N(对接源_01水果!$T594)&lt;&gt;0)),1,0)</f>
        <v>0</v>
      </c>
      <c r="Y594">
        <f>N(Y593)+$X594</f>
        <v>0</v>
      </c>
      <c r="Z594">
        <f>IF(AND($M594=1,对接源_01水果!$D594="原料入库"),1,0)</f>
        <v>0</v>
      </c>
      <c r="AA594">
        <f>N(AA593)+$Z594</f>
        <v>24</v>
      </c>
      <c r="AB594">
        <f>IF(AND($M594=1,LEFT(对接源_01水果!$D594,4)="原料出库"),1,0)</f>
        <v>0</v>
      </c>
      <c r="AC594">
        <f>N(AC593)+$AB594</f>
        <v>0</v>
      </c>
      <c r="AD594">
        <f>IF(AND($M594=1,LEFT(对接源_01水果!$D594,4)="成品出库"),1,0)</f>
        <v>0</v>
      </c>
      <c r="AE594">
        <f>N(AE593)+$AD594</f>
        <v>0</v>
      </c>
      <c r="AF594">
        <f>IF(AND($N594=1,AND(LEFT(对接源_01水果!$D594,4)="包装物料",N(对接源_01水果!$K594)&lt;&gt;0)),1,0)</f>
        <v>0</v>
      </c>
      <c r="AG594">
        <f>N(AG593)+$AF594</f>
        <v>0</v>
      </c>
      <c r="AH594">
        <f>IF(AND($N594=1,AND(对接源_01水果!$D594="周转筐－销售出库",N(对接源_01水果!$K594)&lt;&gt;0)),1,0)</f>
        <v>0</v>
      </c>
      <c r="AI594">
        <f>N(AI593)+$AH594</f>
        <v>0</v>
      </c>
      <c r="AJ594" s="7" t="n"/>
      <c r="AL594">
        <f>IF(OR($AL$1="",对接源_01水果!$Y594="",对接源_01水果!$Y594&lt;&gt;$AL$1,对接源_01水果!$B594="",N(对接源_01水果!$AJ594)&lt;=0),0,IF(OR(N(对接源_01水果!$B594)&lt;$AL$2,N(对接源_01水果!$B594)&gt;$AL$3),0,1))</f>
        <v>0</v>
      </c>
      <c r="AM594">
        <f>N(AM593)+$AL594</f>
        <v>0</v>
      </c>
      <c r="AN594" t="str">
        <f>IF(对接源_01水果!$AC594="","",对接源_01水果!$AC594)</f>
        <v>电商/主播</v>
      </c>
      <c r="AO594">
        <f>IF(AN594="",0,IF(MATCH(AN594,$AN$4:$AN$1203,0)=ROW()-3,1,0))</f>
        <v>0</v>
      </c>
      <c r="AP594">
        <f>N(AP593)+$AO594</f>
        <v>4</v>
      </c>
      <c r="AR594">
        <f>IF(OR($AF594=1,$AH594=1),1,0)</f>
        <v>0</v>
      </c>
      <c r="AS594">
        <f>N(AS593)+$AR594</f>
        <v>0</v>
      </c>
    </row>
    <row r="595" ht="14.25" customHeight="1" s="127">
      <c r="A595" t="str">
        <f>IF(对接源_01水果!$C595="","",对接源_01水果!$C595)</f>
        <v>聂新平</v>
      </c>
      <c r="B595">
        <f>IF(A595="",0,IF(MATCH(A595,$A$4:$A$2403,0)=ROW()-3,1,0))</f>
        <v>0</v>
      </c>
      <c r="C595">
        <f>N(C594)+B595</f>
        <v>22</v>
      </c>
      <c r="K595">
        <f>IF(OR($K$1="",对接源_01水果!$C595="",对接源_01水果!$C595&lt;&gt;$K$1,对接源_01水果!$B595=""),0,IF(OR(N(对接源_01水果!$B595)&lt;$K$2,N(对接源_01水果!$B595)&gt;$K$3),0,1))</f>
        <v>0</v>
      </c>
      <c r="L595">
        <f>IF(OR($L$1="",对接源_01水果!$C595="",对接源_01水果!$C595&lt;&gt;$L$1,对接源_01水果!$B595=""),0,IF(OR(N(对接源_01水果!$B595)&lt;$L$2,N(对接源_01水果!$B595)&gt;$L$3),0,1))</f>
        <v>0</v>
      </c>
      <c r="M595">
        <f>IF(OR($M$1="",对接源_01水果!$C595="",对接源_01水果!$C595&lt;&gt;$M$1,对接源_01水果!$B595=""),0,IF(OR(N(对接源_01水果!$B595)&lt;$M$2,N(对接源_01水果!$B595)&gt;$M$3),0,1))</f>
        <v>0</v>
      </c>
      <c r="N595">
        <f>IF(OR($N$1="",对接源_01水果!$C595="",对接源_01水果!$C595&lt;&gt;$N$1,对接源_01水果!$B595=""),0,IF(OR(N(对接源_01水果!$B595)&lt;$N$2,N(对接源_01水果!$B595)&gt;$N$3),0,1))</f>
        <v>0</v>
      </c>
      <c r="P595">
        <f>IF(AND($K595=1,AND(对接源_01水果!$X595="公司筐",N(对接源_01水果!$T595)&lt;&gt;0)),1,0)</f>
        <v>0</v>
      </c>
      <c r="Q595">
        <f>N(Q594)+$P595</f>
        <v>0</v>
      </c>
      <c r="R595">
        <f>IF(AND($K595=1,AND(对接源_01水果!$X595="公司筐",N(对接源_01水果!$U595)&lt;&gt;0)),1,0)</f>
        <v>0</v>
      </c>
      <c r="S595">
        <f>N(S594)+$R595</f>
        <v>0</v>
      </c>
      <c r="T595">
        <f>IF(AND($K595=1,AND(对接源_01水果!$X595="公司筐",N(对接源_01水果!$V595)&lt;&gt;0)),1,0)</f>
        <v>0</v>
      </c>
      <c r="U595">
        <f>N(U594)+$T595</f>
        <v>47</v>
      </c>
      <c r="V595">
        <f>IF(AND($L595=1,AND(对接源_01水果!$X595="自备筐",N(对接源_01水果!$V595)&lt;&gt;0)),1,0)</f>
        <v>0</v>
      </c>
      <c r="W595">
        <f>N(W594)+$V595</f>
        <v>11</v>
      </c>
      <c r="X595">
        <f>IF(AND($L595=1,AND(对接源_01水果!$X595="自备筐",N(对接源_01水果!$T595)&lt;&gt;0)),1,0)</f>
        <v>0</v>
      </c>
      <c r="Y595">
        <f>N(Y594)+$X595</f>
        <v>0</v>
      </c>
      <c r="Z595">
        <f>IF(AND($M595=1,对接源_01水果!$D595="原料入库"),1,0)</f>
        <v>0</v>
      </c>
      <c r="AA595">
        <f>N(AA594)+$Z595</f>
        <v>24</v>
      </c>
      <c r="AB595">
        <f>IF(AND($M595=1,LEFT(对接源_01水果!$D595,4)="原料出库"),1,0)</f>
        <v>0</v>
      </c>
      <c r="AC595">
        <f>N(AC594)+$AB595</f>
        <v>0</v>
      </c>
      <c r="AD595">
        <f>IF(AND($M595=1,LEFT(对接源_01水果!$D595,4)="成品出库"),1,0)</f>
        <v>0</v>
      </c>
      <c r="AE595">
        <f>N(AE594)+$AD595</f>
        <v>0</v>
      </c>
      <c r="AF595">
        <f>IF(AND($N595=1,AND(LEFT(对接源_01水果!$D595,4)="包装物料",N(对接源_01水果!$K595)&lt;&gt;0)),1,0)</f>
        <v>0</v>
      </c>
      <c r="AG595">
        <f>N(AG594)+$AF595</f>
        <v>0</v>
      </c>
      <c r="AH595">
        <f>IF(AND($N595=1,AND(对接源_01水果!$D595="周转筐－销售出库",N(对接源_01水果!$K595)&lt;&gt;0)),1,0)</f>
        <v>0</v>
      </c>
      <c r="AI595">
        <f>N(AI594)+$AH595</f>
        <v>0</v>
      </c>
      <c r="AJ595" s="7" t="n"/>
      <c r="AL595">
        <f>IF(OR($AL$1="",对接源_01水果!$Y595="",对接源_01水果!$Y595&lt;&gt;$AL$1,对接源_01水果!$B595="",N(对接源_01水果!$AJ595)&lt;=0),0,IF(OR(N(对接源_01水果!$B595)&lt;$AL$2,N(对接源_01水果!$B595)&gt;$AL$3),0,1))</f>
        <v>0</v>
      </c>
      <c r="AM595">
        <f>N(AM594)+$AL595</f>
        <v>0</v>
      </c>
      <c r="AN595" t="str">
        <f>IF(对接源_01水果!$AC595="","",对接源_01水果!$AC595)</f>
        <v>聂新平</v>
      </c>
      <c r="AO595">
        <f>IF(AN595="",0,IF(MATCH(AN595,$AN$4:$AN$1203,0)=ROW()-3,1,0))</f>
        <v>0</v>
      </c>
      <c r="AP595">
        <f>N(AP594)+$AO595</f>
        <v>4</v>
      </c>
      <c r="AR595">
        <f>IF(OR($AF595=1,$AH595=1),1,0)</f>
        <v>0</v>
      </c>
      <c r="AS595">
        <f>N(AS594)+$AR595</f>
        <v>0</v>
      </c>
    </row>
    <row r="596" ht="14.25" customHeight="1" s="127">
      <c r="A596" t="str">
        <f>IF(对接源_01水果!$C596="","",对接源_01水果!$C596)</f>
        <v>聂新平</v>
      </c>
      <c r="B596">
        <f>IF(A596="",0,IF(MATCH(A596,$A$4:$A$2403,0)=ROW()-3,1,0))</f>
        <v>0</v>
      </c>
      <c r="C596">
        <f>N(C595)+B596</f>
        <v>22</v>
      </c>
      <c r="K596">
        <f>IF(OR($K$1="",对接源_01水果!$C596="",对接源_01水果!$C596&lt;&gt;$K$1,对接源_01水果!$B596=""),0,IF(OR(N(对接源_01水果!$B596)&lt;$K$2,N(对接源_01水果!$B596)&gt;$K$3),0,1))</f>
        <v>0</v>
      </c>
      <c r="L596">
        <f>IF(OR($L$1="",对接源_01水果!$C596="",对接源_01水果!$C596&lt;&gt;$L$1,对接源_01水果!$B596=""),0,IF(OR(N(对接源_01水果!$B596)&lt;$L$2,N(对接源_01水果!$B596)&gt;$L$3),0,1))</f>
        <v>0</v>
      </c>
      <c r="M596">
        <f>IF(OR($M$1="",对接源_01水果!$C596="",对接源_01水果!$C596&lt;&gt;$M$1,对接源_01水果!$B596=""),0,IF(OR(N(对接源_01水果!$B596)&lt;$M$2,N(对接源_01水果!$B596)&gt;$M$3),0,1))</f>
        <v>0</v>
      </c>
      <c r="N596">
        <f>IF(OR($N$1="",对接源_01水果!$C596="",对接源_01水果!$C596&lt;&gt;$N$1,对接源_01水果!$B596=""),0,IF(OR(N(对接源_01水果!$B596)&lt;$N$2,N(对接源_01水果!$B596)&gt;$N$3),0,1))</f>
        <v>0</v>
      </c>
      <c r="P596">
        <f>IF(AND($K596=1,AND(对接源_01水果!$X596="公司筐",N(对接源_01水果!$T596)&lt;&gt;0)),1,0)</f>
        <v>0</v>
      </c>
      <c r="Q596">
        <f>N(Q595)+$P596</f>
        <v>0</v>
      </c>
      <c r="R596">
        <f>IF(AND($K596=1,AND(对接源_01水果!$X596="公司筐",N(对接源_01水果!$U596)&lt;&gt;0)),1,0)</f>
        <v>0</v>
      </c>
      <c r="S596">
        <f>N(S595)+$R596</f>
        <v>0</v>
      </c>
      <c r="T596">
        <f>IF(AND($K596=1,AND(对接源_01水果!$X596="公司筐",N(对接源_01水果!$V596)&lt;&gt;0)),1,0)</f>
        <v>0</v>
      </c>
      <c r="U596">
        <f>N(U595)+$T596</f>
        <v>47</v>
      </c>
      <c r="V596">
        <f>IF(AND($L596=1,AND(对接源_01水果!$X596="自备筐",N(对接源_01水果!$V596)&lt;&gt;0)),1,0)</f>
        <v>0</v>
      </c>
      <c r="W596">
        <f>N(W595)+$V596</f>
        <v>11</v>
      </c>
      <c r="X596">
        <f>IF(AND($L596=1,AND(对接源_01水果!$X596="自备筐",N(对接源_01水果!$T596)&lt;&gt;0)),1,0)</f>
        <v>0</v>
      </c>
      <c r="Y596">
        <f>N(Y595)+$X596</f>
        <v>0</v>
      </c>
      <c r="Z596">
        <f>IF(AND($M596=1,对接源_01水果!$D596="原料入库"),1,0)</f>
        <v>0</v>
      </c>
      <c r="AA596">
        <f>N(AA595)+$Z596</f>
        <v>24</v>
      </c>
      <c r="AB596">
        <f>IF(AND($M596=1,LEFT(对接源_01水果!$D596,4)="原料出库"),1,0)</f>
        <v>0</v>
      </c>
      <c r="AC596">
        <f>N(AC595)+$AB596</f>
        <v>0</v>
      </c>
      <c r="AD596">
        <f>IF(AND($M596=1,LEFT(对接源_01水果!$D596,4)="成品出库"),1,0)</f>
        <v>0</v>
      </c>
      <c r="AE596">
        <f>N(AE595)+$AD596</f>
        <v>0</v>
      </c>
      <c r="AF596">
        <f>IF(AND($N596=1,AND(LEFT(对接源_01水果!$D596,4)="包装物料",N(对接源_01水果!$K596)&lt;&gt;0)),1,0)</f>
        <v>0</v>
      </c>
      <c r="AG596">
        <f>N(AG595)+$AF596</f>
        <v>0</v>
      </c>
      <c r="AH596">
        <f>IF(AND($N596=1,AND(对接源_01水果!$D596="周转筐－销售出库",N(对接源_01水果!$K596)&lt;&gt;0)),1,0)</f>
        <v>0</v>
      </c>
      <c r="AI596">
        <f>N(AI595)+$AH596</f>
        <v>0</v>
      </c>
      <c r="AJ596" s="7" t="n"/>
      <c r="AL596">
        <f>IF(OR($AL$1="",对接源_01水果!$Y596="",对接源_01水果!$Y596&lt;&gt;$AL$1,对接源_01水果!$B596="",N(对接源_01水果!$AJ596)&lt;=0),0,IF(OR(N(对接源_01水果!$B596)&lt;$AL$2,N(对接源_01水果!$B596)&gt;$AL$3),0,1))</f>
        <v>0</v>
      </c>
      <c r="AM596">
        <f>N(AM595)+$AL596</f>
        <v>0</v>
      </c>
      <c r="AN596" t="str">
        <f>IF(对接源_01水果!$AC596="","",对接源_01水果!$AC596)</f>
        <v>聂新平</v>
      </c>
      <c r="AO596">
        <f>IF(AN596="",0,IF(MATCH(AN596,$AN$4:$AN$1203,0)=ROW()-3,1,0))</f>
        <v>0</v>
      </c>
      <c r="AP596">
        <f>N(AP595)+$AO596</f>
        <v>4</v>
      </c>
      <c r="AR596">
        <f>IF(OR($AF596=1,$AH596=1),1,0)</f>
        <v>0</v>
      </c>
      <c r="AS596">
        <f>N(AS595)+$AR596</f>
        <v>0</v>
      </c>
    </row>
    <row r="597" ht="14.25" customHeight="1" s="127">
      <c r="A597" t="str">
        <f>IF(对接源_01水果!$C597="","",对接源_01水果!$C597)</f>
        <v>王照雪</v>
      </c>
      <c r="B597">
        <f>IF(A597="",0,IF(MATCH(A597,$A$4:$A$2403,0)=ROW()-3,1,0))</f>
        <v>0</v>
      </c>
      <c r="C597">
        <f>N(C596)+B597</f>
        <v>22</v>
      </c>
      <c r="K597">
        <f>IF(OR($K$1="",对接源_01水果!$C597="",对接源_01水果!$C597&lt;&gt;$K$1,对接源_01水果!$B597=""),0,IF(OR(N(对接源_01水果!$B597)&lt;$K$2,N(对接源_01水果!$B597)&gt;$K$3),0,1))</f>
        <v>0</v>
      </c>
      <c r="L597">
        <f>IF(OR($L$1="",对接源_01水果!$C597="",对接源_01水果!$C597&lt;&gt;$L$1,对接源_01水果!$B597=""),0,IF(OR(N(对接源_01水果!$B597)&lt;$L$2,N(对接源_01水果!$B597)&gt;$L$3),0,1))</f>
        <v>0</v>
      </c>
      <c r="M597">
        <f>IF(OR($M$1="",对接源_01水果!$C597="",对接源_01水果!$C597&lt;&gt;$M$1,对接源_01水果!$B597=""),0,IF(OR(N(对接源_01水果!$B597)&lt;$M$2,N(对接源_01水果!$B597)&gt;$M$3),0,1))</f>
        <v>0</v>
      </c>
      <c r="N597">
        <f>IF(OR($N$1="",对接源_01水果!$C597="",对接源_01水果!$C597&lt;&gt;$N$1,对接源_01水果!$B597=""),0,IF(OR(N(对接源_01水果!$B597)&lt;$N$2,N(对接源_01水果!$B597)&gt;$N$3),0,1))</f>
        <v>0</v>
      </c>
      <c r="P597">
        <f>IF(AND($K597=1,AND(对接源_01水果!$X597="公司筐",N(对接源_01水果!$T597)&lt;&gt;0)),1,0)</f>
        <v>0</v>
      </c>
      <c r="Q597">
        <f>N(Q596)+$P597</f>
        <v>0</v>
      </c>
      <c r="R597">
        <f>IF(AND($K597=1,AND(对接源_01水果!$X597="公司筐",N(对接源_01水果!$U597)&lt;&gt;0)),1,0)</f>
        <v>0</v>
      </c>
      <c r="S597">
        <f>N(S596)+$R597</f>
        <v>0</v>
      </c>
      <c r="T597">
        <f>IF(AND($K597=1,AND(对接源_01水果!$X597="公司筐",N(对接源_01水果!$V597)&lt;&gt;0)),1,0)</f>
        <v>0</v>
      </c>
      <c r="U597">
        <f>N(U596)+$T597</f>
        <v>47</v>
      </c>
      <c r="V597">
        <f>IF(AND($L597=1,AND(对接源_01水果!$X597="自备筐",N(对接源_01水果!$V597)&lt;&gt;0)),1,0)</f>
        <v>0</v>
      </c>
      <c r="W597">
        <f>N(W596)+$V597</f>
        <v>11</v>
      </c>
      <c r="X597">
        <f>IF(AND($L597=1,AND(对接源_01水果!$X597="自备筐",N(对接源_01水果!$T597)&lt;&gt;0)),1,0)</f>
        <v>0</v>
      </c>
      <c r="Y597">
        <f>N(Y596)+$X597</f>
        <v>0</v>
      </c>
      <c r="Z597">
        <f>IF(AND($M597=1,对接源_01水果!$D597="原料入库"),1,0)</f>
        <v>0</v>
      </c>
      <c r="AA597">
        <f>N(AA596)+$Z597</f>
        <v>24</v>
      </c>
      <c r="AB597">
        <f>IF(AND($M597=1,LEFT(对接源_01水果!$D597,4)="原料出库"),1,0)</f>
        <v>0</v>
      </c>
      <c r="AC597">
        <f>N(AC596)+$AB597</f>
        <v>0</v>
      </c>
      <c r="AD597">
        <f>IF(AND($M597=1,LEFT(对接源_01水果!$D597,4)="成品出库"),1,0)</f>
        <v>0</v>
      </c>
      <c r="AE597">
        <f>N(AE596)+$AD597</f>
        <v>0</v>
      </c>
      <c r="AF597">
        <f>IF(AND($N597=1,AND(LEFT(对接源_01水果!$D597,4)="包装物料",N(对接源_01水果!$K597)&lt;&gt;0)),1,0)</f>
        <v>0</v>
      </c>
      <c r="AG597">
        <f>N(AG596)+$AF597</f>
        <v>0</v>
      </c>
      <c r="AH597">
        <f>IF(AND($N597=1,AND(对接源_01水果!$D597="周转筐－销售出库",N(对接源_01水果!$K597)&lt;&gt;0)),1,0)</f>
        <v>0</v>
      </c>
      <c r="AI597">
        <f>N(AI596)+$AH597</f>
        <v>0</v>
      </c>
      <c r="AJ597" s="7" t="n"/>
      <c r="AL597">
        <f>IF(OR($AL$1="",对接源_01水果!$Y597="",对接源_01水果!$Y597&lt;&gt;$AL$1,对接源_01水果!$B597="",N(对接源_01水果!$AJ597)&lt;=0),0,IF(OR(N(对接源_01水果!$B597)&lt;$AL$2,N(对接源_01水果!$B597)&gt;$AL$3),0,1))</f>
        <v>0</v>
      </c>
      <c r="AM597">
        <f>N(AM596)+$AL597</f>
        <v>0</v>
      </c>
      <c r="AN597" t="str">
        <f>IF(对接源_01水果!$AC597="","",对接源_01水果!$AC597)</f>
        <v>电商/主播</v>
      </c>
      <c r="AO597">
        <f>IF(AN597="",0,IF(MATCH(AN597,$AN$4:$AN$1203,0)=ROW()-3,1,0))</f>
        <v>0</v>
      </c>
      <c r="AP597">
        <f>N(AP596)+$AO597</f>
        <v>4</v>
      </c>
      <c r="AR597">
        <f>IF(OR($AF597=1,$AH597=1),1,0)</f>
        <v>0</v>
      </c>
      <c r="AS597">
        <f>N(AS596)+$AR597</f>
        <v>0</v>
      </c>
    </row>
    <row r="598" ht="14.25" customHeight="1" s="127">
      <c r="A598" t="str">
        <f>IF(对接源_01水果!$C598="","",对接源_01水果!$C598)</f>
        <v>王照雪</v>
      </c>
      <c r="B598">
        <f>IF(A598="",0,IF(MATCH(A598,$A$4:$A$2403,0)=ROW()-3,1,0))</f>
        <v>0</v>
      </c>
      <c r="C598">
        <f>N(C597)+B598</f>
        <v>22</v>
      </c>
      <c r="K598">
        <f>IF(OR($K$1="",对接源_01水果!$C598="",对接源_01水果!$C598&lt;&gt;$K$1,对接源_01水果!$B598=""),0,IF(OR(N(对接源_01水果!$B598)&lt;$K$2,N(对接源_01水果!$B598)&gt;$K$3),0,1))</f>
        <v>0</v>
      </c>
      <c r="L598">
        <f>IF(OR($L$1="",对接源_01水果!$C598="",对接源_01水果!$C598&lt;&gt;$L$1,对接源_01水果!$B598=""),0,IF(OR(N(对接源_01水果!$B598)&lt;$L$2,N(对接源_01水果!$B598)&gt;$L$3),0,1))</f>
        <v>0</v>
      </c>
      <c r="M598">
        <f>IF(OR($M$1="",对接源_01水果!$C598="",对接源_01水果!$C598&lt;&gt;$M$1,对接源_01水果!$B598=""),0,IF(OR(N(对接源_01水果!$B598)&lt;$M$2,N(对接源_01水果!$B598)&gt;$M$3),0,1))</f>
        <v>0</v>
      </c>
      <c r="N598">
        <f>IF(OR($N$1="",对接源_01水果!$C598="",对接源_01水果!$C598&lt;&gt;$N$1,对接源_01水果!$B598=""),0,IF(OR(N(对接源_01水果!$B598)&lt;$N$2,N(对接源_01水果!$B598)&gt;$N$3),0,1))</f>
        <v>0</v>
      </c>
      <c r="P598">
        <f>IF(AND($K598=1,AND(对接源_01水果!$X598="公司筐",N(对接源_01水果!$T598)&lt;&gt;0)),1,0)</f>
        <v>0</v>
      </c>
      <c r="Q598">
        <f>N(Q597)+$P598</f>
        <v>0</v>
      </c>
      <c r="R598">
        <f>IF(AND($K598=1,AND(对接源_01水果!$X598="公司筐",N(对接源_01水果!$U598)&lt;&gt;0)),1,0)</f>
        <v>0</v>
      </c>
      <c r="S598">
        <f>N(S597)+$R598</f>
        <v>0</v>
      </c>
      <c r="T598">
        <f>IF(AND($K598=1,AND(对接源_01水果!$X598="公司筐",N(对接源_01水果!$V598)&lt;&gt;0)),1,0)</f>
        <v>0</v>
      </c>
      <c r="U598">
        <f>N(U597)+$T598</f>
        <v>47</v>
      </c>
      <c r="V598">
        <f>IF(AND($L598=1,AND(对接源_01水果!$X598="自备筐",N(对接源_01水果!$V598)&lt;&gt;0)),1,0)</f>
        <v>0</v>
      </c>
      <c r="W598">
        <f>N(W597)+$V598</f>
        <v>11</v>
      </c>
      <c r="X598">
        <f>IF(AND($L598=1,AND(对接源_01水果!$X598="自备筐",N(对接源_01水果!$T598)&lt;&gt;0)),1,0)</f>
        <v>0</v>
      </c>
      <c r="Y598">
        <f>N(Y597)+$X598</f>
        <v>0</v>
      </c>
      <c r="Z598">
        <f>IF(AND($M598=1,对接源_01水果!$D598="原料入库"),1,0)</f>
        <v>0</v>
      </c>
      <c r="AA598">
        <f>N(AA597)+$Z598</f>
        <v>24</v>
      </c>
      <c r="AB598">
        <f>IF(AND($M598=1,LEFT(对接源_01水果!$D598,4)="原料出库"),1,0)</f>
        <v>0</v>
      </c>
      <c r="AC598">
        <f>N(AC597)+$AB598</f>
        <v>0</v>
      </c>
      <c r="AD598">
        <f>IF(AND($M598=1,LEFT(对接源_01水果!$D598,4)="成品出库"),1,0)</f>
        <v>0</v>
      </c>
      <c r="AE598">
        <f>N(AE597)+$AD598</f>
        <v>0</v>
      </c>
      <c r="AF598">
        <f>IF(AND($N598=1,AND(LEFT(对接源_01水果!$D598,4)="包装物料",N(对接源_01水果!$K598)&lt;&gt;0)),1,0)</f>
        <v>0</v>
      </c>
      <c r="AG598">
        <f>N(AG597)+$AF598</f>
        <v>0</v>
      </c>
      <c r="AH598">
        <f>IF(AND($N598=1,AND(对接源_01水果!$D598="周转筐－销售出库",N(对接源_01水果!$K598)&lt;&gt;0)),1,0)</f>
        <v>0</v>
      </c>
      <c r="AI598">
        <f>N(AI597)+$AH598</f>
        <v>0</v>
      </c>
      <c r="AJ598" s="7" t="n"/>
      <c r="AL598">
        <f>IF(OR($AL$1="",对接源_01水果!$Y598="",对接源_01水果!$Y598&lt;&gt;$AL$1,对接源_01水果!$B598="",N(对接源_01水果!$AJ598)&lt;=0),0,IF(OR(N(对接源_01水果!$B598)&lt;$AL$2,N(对接源_01水果!$B598)&gt;$AL$3),0,1))</f>
        <v>0</v>
      </c>
      <c r="AM598">
        <f>N(AM597)+$AL598</f>
        <v>0</v>
      </c>
      <c r="AN598" t="str">
        <f>IF(对接源_01水果!$AC598="","",对接源_01水果!$AC598)</f>
        <v>电商/主播</v>
      </c>
      <c r="AO598">
        <f>IF(AN598="",0,IF(MATCH(AN598,$AN$4:$AN$1203,0)=ROW()-3,1,0))</f>
        <v>0</v>
      </c>
      <c r="AP598">
        <f>N(AP597)+$AO598</f>
        <v>4</v>
      </c>
      <c r="AR598">
        <f>IF(OR($AF598=1,$AH598=1),1,0)</f>
        <v>0</v>
      </c>
      <c r="AS598">
        <f>N(AS597)+$AR598</f>
        <v>0</v>
      </c>
    </row>
    <row r="599" ht="14.25" customHeight="1" s="127">
      <c r="A599" t="str">
        <f>IF(对接源_01水果!$C599="","",对接源_01水果!$C599)</f>
        <v>王照雪</v>
      </c>
      <c r="B599">
        <f>IF(A599="",0,IF(MATCH(A599,$A$4:$A$2403,0)=ROW()-3,1,0))</f>
        <v>0</v>
      </c>
      <c r="C599">
        <f>N(C598)+B599</f>
        <v>22</v>
      </c>
      <c r="K599">
        <f>IF(OR($K$1="",对接源_01水果!$C599="",对接源_01水果!$C599&lt;&gt;$K$1,对接源_01水果!$B599=""),0,IF(OR(N(对接源_01水果!$B599)&lt;$K$2,N(对接源_01水果!$B599)&gt;$K$3),0,1))</f>
        <v>0</v>
      </c>
      <c r="L599">
        <f>IF(OR($L$1="",对接源_01水果!$C599="",对接源_01水果!$C599&lt;&gt;$L$1,对接源_01水果!$B599=""),0,IF(OR(N(对接源_01水果!$B599)&lt;$L$2,N(对接源_01水果!$B599)&gt;$L$3),0,1))</f>
        <v>0</v>
      </c>
      <c r="M599">
        <f>IF(OR($M$1="",对接源_01水果!$C599="",对接源_01水果!$C599&lt;&gt;$M$1,对接源_01水果!$B599=""),0,IF(OR(N(对接源_01水果!$B599)&lt;$M$2,N(对接源_01水果!$B599)&gt;$M$3),0,1))</f>
        <v>0</v>
      </c>
      <c r="N599">
        <f>IF(OR($N$1="",对接源_01水果!$C599="",对接源_01水果!$C599&lt;&gt;$N$1,对接源_01水果!$B599=""),0,IF(OR(N(对接源_01水果!$B599)&lt;$N$2,N(对接源_01水果!$B599)&gt;$N$3),0,1))</f>
        <v>0</v>
      </c>
      <c r="P599">
        <f>IF(AND($K599=1,AND(对接源_01水果!$X599="公司筐",N(对接源_01水果!$T599)&lt;&gt;0)),1,0)</f>
        <v>0</v>
      </c>
      <c r="Q599">
        <f>N(Q598)+$P599</f>
        <v>0</v>
      </c>
      <c r="R599">
        <f>IF(AND($K599=1,AND(对接源_01水果!$X599="公司筐",N(对接源_01水果!$U599)&lt;&gt;0)),1,0)</f>
        <v>0</v>
      </c>
      <c r="S599">
        <f>N(S598)+$R599</f>
        <v>0</v>
      </c>
      <c r="T599">
        <f>IF(AND($K599=1,AND(对接源_01水果!$X599="公司筐",N(对接源_01水果!$V599)&lt;&gt;0)),1,0)</f>
        <v>0</v>
      </c>
      <c r="U599">
        <f>N(U598)+$T599</f>
        <v>47</v>
      </c>
      <c r="V599">
        <f>IF(AND($L599=1,AND(对接源_01水果!$X599="自备筐",N(对接源_01水果!$V599)&lt;&gt;0)),1,0)</f>
        <v>0</v>
      </c>
      <c r="W599">
        <f>N(W598)+$V599</f>
        <v>11</v>
      </c>
      <c r="X599">
        <f>IF(AND($L599=1,AND(对接源_01水果!$X599="自备筐",N(对接源_01水果!$T599)&lt;&gt;0)),1,0)</f>
        <v>0</v>
      </c>
      <c r="Y599">
        <f>N(Y598)+$X599</f>
        <v>0</v>
      </c>
      <c r="Z599">
        <f>IF(AND($M599=1,对接源_01水果!$D599="原料入库"),1,0)</f>
        <v>0</v>
      </c>
      <c r="AA599">
        <f>N(AA598)+$Z599</f>
        <v>24</v>
      </c>
      <c r="AB599">
        <f>IF(AND($M599=1,LEFT(对接源_01水果!$D599,4)="原料出库"),1,0)</f>
        <v>0</v>
      </c>
      <c r="AC599">
        <f>N(AC598)+$AB599</f>
        <v>0</v>
      </c>
      <c r="AD599">
        <f>IF(AND($M599=1,LEFT(对接源_01水果!$D599,4)="成品出库"),1,0)</f>
        <v>0</v>
      </c>
      <c r="AE599">
        <f>N(AE598)+$AD599</f>
        <v>0</v>
      </c>
      <c r="AF599">
        <f>IF(AND($N599=1,AND(LEFT(对接源_01水果!$D599,4)="包装物料",N(对接源_01水果!$K599)&lt;&gt;0)),1,0)</f>
        <v>0</v>
      </c>
      <c r="AG599">
        <f>N(AG598)+$AF599</f>
        <v>0</v>
      </c>
      <c r="AH599">
        <f>IF(AND($N599=1,AND(对接源_01水果!$D599="周转筐－销售出库",N(对接源_01水果!$K599)&lt;&gt;0)),1,0)</f>
        <v>0</v>
      </c>
      <c r="AI599">
        <f>N(AI598)+$AH599</f>
        <v>0</v>
      </c>
      <c r="AJ599" s="7" t="n"/>
      <c r="AL599">
        <f>IF(OR($AL$1="",对接源_01水果!$Y599="",对接源_01水果!$Y599&lt;&gt;$AL$1,对接源_01水果!$B599="",N(对接源_01水果!$AJ599)&lt;=0),0,IF(OR(N(对接源_01水果!$B599)&lt;$AL$2,N(对接源_01水果!$B599)&gt;$AL$3),0,1))</f>
        <v>0</v>
      </c>
      <c r="AM599">
        <f>N(AM598)+$AL599</f>
        <v>0</v>
      </c>
      <c r="AN599" t="str">
        <f>IF(对接源_01水果!$AC599="","",对接源_01水果!$AC599)</f>
        <v>电商/主播</v>
      </c>
      <c r="AO599">
        <f>IF(AN599="",0,IF(MATCH(AN599,$AN$4:$AN$1203,0)=ROW()-3,1,0))</f>
        <v>0</v>
      </c>
      <c r="AP599">
        <f>N(AP598)+$AO599</f>
        <v>4</v>
      </c>
      <c r="AR599">
        <f>IF(OR($AF599=1,$AH599=1),1,0)</f>
        <v>0</v>
      </c>
      <c r="AS599">
        <f>N(AS598)+$AR599</f>
        <v>0</v>
      </c>
    </row>
    <row r="600" ht="14.25" customHeight="1" s="127">
      <c r="A600" t="str">
        <f>IF(对接源_01水果!$C600="","",对接源_01水果!$C600)</f>
        <v>王照雪</v>
      </c>
      <c r="B600">
        <f>IF(A600="",0,IF(MATCH(A600,$A$4:$A$2403,0)=ROW()-3,1,0))</f>
        <v>0</v>
      </c>
      <c r="C600">
        <f>N(C599)+B600</f>
        <v>22</v>
      </c>
      <c r="K600">
        <f>IF(OR($K$1="",对接源_01水果!$C600="",对接源_01水果!$C600&lt;&gt;$K$1,对接源_01水果!$B600=""),0,IF(OR(N(对接源_01水果!$B600)&lt;$K$2,N(对接源_01水果!$B600)&gt;$K$3),0,1))</f>
        <v>0</v>
      </c>
      <c r="L600">
        <f>IF(OR($L$1="",对接源_01水果!$C600="",对接源_01水果!$C600&lt;&gt;$L$1,对接源_01水果!$B600=""),0,IF(OR(N(对接源_01水果!$B600)&lt;$L$2,N(对接源_01水果!$B600)&gt;$L$3),0,1))</f>
        <v>0</v>
      </c>
      <c r="M600">
        <f>IF(OR($M$1="",对接源_01水果!$C600="",对接源_01水果!$C600&lt;&gt;$M$1,对接源_01水果!$B600=""),0,IF(OR(N(对接源_01水果!$B600)&lt;$M$2,N(对接源_01水果!$B600)&gt;$M$3),0,1))</f>
        <v>0</v>
      </c>
      <c r="N600">
        <f>IF(OR($N$1="",对接源_01水果!$C600="",对接源_01水果!$C600&lt;&gt;$N$1,对接源_01水果!$B600=""),0,IF(OR(N(对接源_01水果!$B600)&lt;$N$2,N(对接源_01水果!$B600)&gt;$N$3),0,1))</f>
        <v>0</v>
      </c>
      <c r="P600">
        <f>IF(AND($K600=1,AND(对接源_01水果!$X600="公司筐",N(对接源_01水果!$T600)&lt;&gt;0)),1,0)</f>
        <v>0</v>
      </c>
      <c r="Q600">
        <f>N(Q599)+$P600</f>
        <v>0</v>
      </c>
      <c r="R600">
        <f>IF(AND($K600=1,AND(对接源_01水果!$X600="公司筐",N(对接源_01水果!$U600)&lt;&gt;0)),1,0)</f>
        <v>0</v>
      </c>
      <c r="S600">
        <f>N(S599)+$R600</f>
        <v>0</v>
      </c>
      <c r="T600">
        <f>IF(AND($K600=1,AND(对接源_01水果!$X600="公司筐",N(对接源_01水果!$V600)&lt;&gt;0)),1,0)</f>
        <v>0</v>
      </c>
      <c r="U600">
        <f>N(U599)+$T600</f>
        <v>47</v>
      </c>
      <c r="V600">
        <f>IF(AND($L600=1,AND(对接源_01水果!$X600="自备筐",N(对接源_01水果!$V600)&lt;&gt;0)),1,0)</f>
        <v>0</v>
      </c>
      <c r="W600">
        <f>N(W599)+$V600</f>
        <v>11</v>
      </c>
      <c r="X600">
        <f>IF(AND($L600=1,AND(对接源_01水果!$X600="自备筐",N(对接源_01水果!$T600)&lt;&gt;0)),1,0)</f>
        <v>0</v>
      </c>
      <c r="Y600">
        <f>N(Y599)+$X600</f>
        <v>0</v>
      </c>
      <c r="Z600">
        <f>IF(AND($M600=1,对接源_01水果!$D600="原料入库"),1,0)</f>
        <v>0</v>
      </c>
      <c r="AA600">
        <f>N(AA599)+$Z600</f>
        <v>24</v>
      </c>
      <c r="AB600">
        <f>IF(AND($M600=1,LEFT(对接源_01水果!$D600,4)="原料出库"),1,0)</f>
        <v>0</v>
      </c>
      <c r="AC600">
        <f>N(AC599)+$AB600</f>
        <v>0</v>
      </c>
      <c r="AD600">
        <f>IF(AND($M600=1,LEFT(对接源_01水果!$D600,4)="成品出库"),1,0)</f>
        <v>0</v>
      </c>
      <c r="AE600">
        <f>N(AE599)+$AD600</f>
        <v>0</v>
      </c>
      <c r="AF600">
        <f>IF(AND($N600=1,AND(LEFT(对接源_01水果!$D600,4)="包装物料",N(对接源_01水果!$K600)&lt;&gt;0)),1,0)</f>
        <v>0</v>
      </c>
      <c r="AG600">
        <f>N(AG599)+$AF600</f>
        <v>0</v>
      </c>
      <c r="AH600">
        <f>IF(AND($N600=1,AND(对接源_01水果!$D600="周转筐－销售出库",N(对接源_01水果!$K600)&lt;&gt;0)),1,0)</f>
        <v>0</v>
      </c>
      <c r="AI600">
        <f>N(AI599)+$AH600</f>
        <v>0</v>
      </c>
      <c r="AJ600" s="7" t="n"/>
      <c r="AL600">
        <f>IF(OR($AL$1="",对接源_01水果!$Y600="",对接源_01水果!$Y600&lt;&gt;$AL$1,对接源_01水果!$B600="",N(对接源_01水果!$AJ600)&lt;=0),0,IF(OR(N(对接源_01水果!$B600)&lt;$AL$2,N(对接源_01水果!$B600)&gt;$AL$3),0,1))</f>
        <v>0</v>
      </c>
      <c r="AM600">
        <f>N(AM599)+$AL600</f>
        <v>0</v>
      </c>
      <c r="AN600" t="str">
        <f>IF(对接源_01水果!$AC600="","",对接源_01水果!$AC600)</f>
        <v>电商/主播</v>
      </c>
      <c r="AO600">
        <f>IF(AN600="",0,IF(MATCH(AN600,$AN$4:$AN$1203,0)=ROW()-3,1,0))</f>
        <v>0</v>
      </c>
      <c r="AP600">
        <f>N(AP599)+$AO600</f>
        <v>4</v>
      </c>
      <c r="AR600">
        <f>IF(OR($AF600=1,$AH600=1),1,0)</f>
        <v>0</v>
      </c>
      <c r="AS600">
        <f>N(AS599)+$AR600</f>
        <v>0</v>
      </c>
    </row>
    <row r="601" ht="14.25" customHeight="1" s="127">
      <c r="A601" t="str">
        <f>IF(对接源_01水果!$C601="","",对接源_01水果!$C601)</f>
        <v>王照雪</v>
      </c>
      <c r="B601">
        <f>IF(A601="",0,IF(MATCH(A601,$A$4:$A$2403,0)=ROW()-3,1,0))</f>
        <v>0</v>
      </c>
      <c r="C601">
        <f>N(C600)+B601</f>
        <v>22</v>
      </c>
      <c r="K601">
        <f>IF(OR($K$1="",对接源_01水果!$C601="",对接源_01水果!$C601&lt;&gt;$K$1,对接源_01水果!$B601=""),0,IF(OR(N(对接源_01水果!$B601)&lt;$K$2,N(对接源_01水果!$B601)&gt;$K$3),0,1))</f>
        <v>0</v>
      </c>
      <c r="L601">
        <f>IF(OR($L$1="",对接源_01水果!$C601="",对接源_01水果!$C601&lt;&gt;$L$1,对接源_01水果!$B601=""),0,IF(OR(N(对接源_01水果!$B601)&lt;$L$2,N(对接源_01水果!$B601)&gt;$L$3),0,1))</f>
        <v>0</v>
      </c>
      <c r="M601">
        <f>IF(OR($M$1="",对接源_01水果!$C601="",对接源_01水果!$C601&lt;&gt;$M$1,对接源_01水果!$B601=""),0,IF(OR(N(对接源_01水果!$B601)&lt;$M$2,N(对接源_01水果!$B601)&gt;$M$3),0,1))</f>
        <v>0</v>
      </c>
      <c r="N601">
        <f>IF(OR($N$1="",对接源_01水果!$C601="",对接源_01水果!$C601&lt;&gt;$N$1,对接源_01水果!$B601=""),0,IF(OR(N(对接源_01水果!$B601)&lt;$N$2,N(对接源_01水果!$B601)&gt;$N$3),0,1))</f>
        <v>0</v>
      </c>
      <c r="P601">
        <f>IF(AND($K601=1,AND(对接源_01水果!$X601="公司筐",N(对接源_01水果!$T601)&lt;&gt;0)),1,0)</f>
        <v>0</v>
      </c>
      <c r="Q601">
        <f>N(Q600)+$P601</f>
        <v>0</v>
      </c>
      <c r="R601">
        <f>IF(AND($K601=1,AND(对接源_01水果!$X601="公司筐",N(对接源_01水果!$U601)&lt;&gt;0)),1,0)</f>
        <v>0</v>
      </c>
      <c r="S601">
        <f>N(S600)+$R601</f>
        <v>0</v>
      </c>
      <c r="T601">
        <f>IF(AND($K601=1,AND(对接源_01水果!$X601="公司筐",N(对接源_01水果!$V601)&lt;&gt;0)),1,0)</f>
        <v>0</v>
      </c>
      <c r="U601">
        <f>N(U600)+$T601</f>
        <v>47</v>
      </c>
      <c r="V601">
        <f>IF(AND($L601=1,AND(对接源_01水果!$X601="自备筐",N(对接源_01水果!$V601)&lt;&gt;0)),1,0)</f>
        <v>0</v>
      </c>
      <c r="W601">
        <f>N(W600)+$V601</f>
        <v>11</v>
      </c>
      <c r="X601">
        <f>IF(AND($L601=1,AND(对接源_01水果!$X601="自备筐",N(对接源_01水果!$T601)&lt;&gt;0)),1,0)</f>
        <v>0</v>
      </c>
      <c r="Y601">
        <f>N(Y600)+$X601</f>
        <v>0</v>
      </c>
      <c r="Z601">
        <f>IF(AND($M601=1,对接源_01水果!$D601="原料入库"),1,0)</f>
        <v>0</v>
      </c>
      <c r="AA601">
        <f>N(AA600)+$Z601</f>
        <v>24</v>
      </c>
      <c r="AB601">
        <f>IF(AND($M601=1,LEFT(对接源_01水果!$D601,4)="原料出库"),1,0)</f>
        <v>0</v>
      </c>
      <c r="AC601">
        <f>N(AC600)+$AB601</f>
        <v>0</v>
      </c>
      <c r="AD601">
        <f>IF(AND($M601=1,LEFT(对接源_01水果!$D601,4)="成品出库"),1,0)</f>
        <v>0</v>
      </c>
      <c r="AE601">
        <f>N(AE600)+$AD601</f>
        <v>0</v>
      </c>
      <c r="AF601">
        <f>IF(AND($N601=1,AND(LEFT(对接源_01水果!$D601,4)="包装物料",N(对接源_01水果!$K601)&lt;&gt;0)),1,0)</f>
        <v>0</v>
      </c>
      <c r="AG601">
        <f>N(AG600)+$AF601</f>
        <v>0</v>
      </c>
      <c r="AH601">
        <f>IF(AND($N601=1,AND(对接源_01水果!$D601="周转筐－销售出库",N(对接源_01水果!$K601)&lt;&gt;0)),1,0)</f>
        <v>0</v>
      </c>
      <c r="AI601">
        <f>N(AI600)+$AH601</f>
        <v>0</v>
      </c>
      <c r="AJ601" s="7" t="n"/>
      <c r="AL601">
        <f>IF(OR($AL$1="",对接源_01水果!$Y601="",对接源_01水果!$Y601&lt;&gt;$AL$1,对接源_01水果!$B601="",N(对接源_01水果!$AJ601)&lt;=0),0,IF(OR(N(对接源_01水果!$B601)&lt;$AL$2,N(对接源_01水果!$B601)&gt;$AL$3),0,1))</f>
        <v>0</v>
      </c>
      <c r="AM601">
        <f>N(AM600)+$AL601</f>
        <v>0</v>
      </c>
      <c r="AN601" t="str">
        <f>IF(对接源_01水果!$AC601="","",对接源_01水果!$AC601)</f>
        <v>电商/主播</v>
      </c>
      <c r="AO601">
        <f>IF(AN601="",0,IF(MATCH(AN601,$AN$4:$AN$1203,0)=ROW()-3,1,0))</f>
        <v>0</v>
      </c>
      <c r="AP601">
        <f>N(AP600)+$AO601</f>
        <v>4</v>
      </c>
      <c r="AR601">
        <f>IF(OR($AF601=1,$AH601=1),1,0)</f>
        <v>0</v>
      </c>
      <c r="AS601">
        <f>N(AS600)+$AR601</f>
        <v>0</v>
      </c>
    </row>
    <row r="602" ht="14.25" customHeight="1" s="127">
      <c r="A602" t="str">
        <f>IF(对接源_01水果!$C602="","",对接源_01水果!$C602)</f>
        <v>王照雪</v>
      </c>
      <c r="B602">
        <f>IF(A602="",0,IF(MATCH(A602,$A$4:$A$2403,0)=ROW()-3,1,0))</f>
        <v>0</v>
      </c>
      <c r="C602">
        <f>N(C601)+B602</f>
        <v>22</v>
      </c>
      <c r="K602">
        <f>IF(OR($K$1="",对接源_01水果!$C602="",对接源_01水果!$C602&lt;&gt;$K$1,对接源_01水果!$B602=""),0,IF(OR(N(对接源_01水果!$B602)&lt;$K$2,N(对接源_01水果!$B602)&gt;$K$3),0,1))</f>
        <v>0</v>
      </c>
      <c r="L602">
        <f>IF(OR($L$1="",对接源_01水果!$C602="",对接源_01水果!$C602&lt;&gt;$L$1,对接源_01水果!$B602=""),0,IF(OR(N(对接源_01水果!$B602)&lt;$L$2,N(对接源_01水果!$B602)&gt;$L$3),0,1))</f>
        <v>0</v>
      </c>
      <c r="M602">
        <f>IF(OR($M$1="",对接源_01水果!$C602="",对接源_01水果!$C602&lt;&gt;$M$1,对接源_01水果!$B602=""),0,IF(OR(N(对接源_01水果!$B602)&lt;$M$2,N(对接源_01水果!$B602)&gt;$M$3),0,1))</f>
        <v>0</v>
      </c>
      <c r="N602">
        <f>IF(OR($N$1="",对接源_01水果!$C602="",对接源_01水果!$C602&lt;&gt;$N$1,对接源_01水果!$B602=""),0,IF(OR(N(对接源_01水果!$B602)&lt;$N$2,N(对接源_01水果!$B602)&gt;$N$3),0,1))</f>
        <v>0</v>
      </c>
      <c r="P602">
        <f>IF(AND($K602=1,AND(对接源_01水果!$X602="公司筐",N(对接源_01水果!$T602)&lt;&gt;0)),1,0)</f>
        <v>0</v>
      </c>
      <c r="Q602">
        <f>N(Q601)+$P602</f>
        <v>0</v>
      </c>
      <c r="R602">
        <f>IF(AND($K602=1,AND(对接源_01水果!$X602="公司筐",N(对接源_01水果!$U602)&lt;&gt;0)),1,0)</f>
        <v>0</v>
      </c>
      <c r="S602">
        <f>N(S601)+$R602</f>
        <v>0</v>
      </c>
      <c r="T602">
        <f>IF(AND($K602=1,AND(对接源_01水果!$X602="公司筐",N(对接源_01水果!$V602)&lt;&gt;0)),1,0)</f>
        <v>0</v>
      </c>
      <c r="U602">
        <f>N(U601)+$T602</f>
        <v>47</v>
      </c>
      <c r="V602">
        <f>IF(AND($L602=1,AND(对接源_01水果!$X602="自备筐",N(对接源_01水果!$V602)&lt;&gt;0)),1,0)</f>
        <v>0</v>
      </c>
      <c r="W602">
        <f>N(W601)+$V602</f>
        <v>11</v>
      </c>
      <c r="X602">
        <f>IF(AND($L602=1,AND(对接源_01水果!$X602="自备筐",N(对接源_01水果!$T602)&lt;&gt;0)),1,0)</f>
        <v>0</v>
      </c>
      <c r="Y602">
        <f>N(Y601)+$X602</f>
        <v>0</v>
      </c>
      <c r="Z602">
        <f>IF(AND($M602=1,对接源_01水果!$D602="原料入库"),1,0)</f>
        <v>0</v>
      </c>
      <c r="AA602">
        <f>N(AA601)+$Z602</f>
        <v>24</v>
      </c>
      <c r="AB602">
        <f>IF(AND($M602=1,LEFT(对接源_01水果!$D602,4)="原料出库"),1,0)</f>
        <v>0</v>
      </c>
      <c r="AC602">
        <f>N(AC601)+$AB602</f>
        <v>0</v>
      </c>
      <c r="AD602">
        <f>IF(AND($M602=1,LEFT(对接源_01水果!$D602,4)="成品出库"),1,0)</f>
        <v>0</v>
      </c>
      <c r="AE602">
        <f>N(AE601)+$AD602</f>
        <v>0</v>
      </c>
      <c r="AF602">
        <f>IF(AND($N602=1,AND(LEFT(对接源_01水果!$D602,4)="包装物料",N(对接源_01水果!$K602)&lt;&gt;0)),1,0)</f>
        <v>0</v>
      </c>
      <c r="AG602">
        <f>N(AG601)+$AF602</f>
        <v>0</v>
      </c>
      <c r="AH602">
        <f>IF(AND($N602=1,AND(对接源_01水果!$D602="周转筐－销售出库",N(对接源_01水果!$K602)&lt;&gt;0)),1,0)</f>
        <v>0</v>
      </c>
      <c r="AI602">
        <f>N(AI601)+$AH602</f>
        <v>0</v>
      </c>
      <c r="AJ602" s="7" t="n"/>
      <c r="AL602">
        <f>IF(OR($AL$1="",对接源_01水果!$Y602="",对接源_01水果!$Y602&lt;&gt;$AL$1,对接源_01水果!$B602="",N(对接源_01水果!$AJ602)&lt;=0),0,IF(OR(N(对接源_01水果!$B602)&lt;$AL$2,N(对接源_01水果!$B602)&gt;$AL$3),0,1))</f>
        <v>0</v>
      </c>
      <c r="AM602">
        <f>N(AM601)+$AL602</f>
        <v>0</v>
      </c>
      <c r="AN602" t="str">
        <f>IF(对接源_01水果!$AC602="","",对接源_01水果!$AC602)</f>
        <v>王照雪</v>
      </c>
      <c r="AO602">
        <f>IF(AN602="",0,IF(MATCH(AN602,$AN$4:$AN$1203,0)=ROW()-3,1,0))</f>
        <v>0</v>
      </c>
      <c r="AP602">
        <f>N(AP601)+$AO602</f>
        <v>4</v>
      </c>
      <c r="AR602">
        <f>IF(OR($AF602=1,$AH602=1),1,0)</f>
        <v>0</v>
      </c>
      <c r="AS602">
        <f>N(AS601)+$AR602</f>
        <v>0</v>
      </c>
    </row>
    <row r="603" ht="14.25" customHeight="1" s="127">
      <c r="A603" t="str">
        <f>IF(对接源_01水果!$C603="","",对接源_01水果!$C603)</f>
        <v>王照雪</v>
      </c>
      <c r="B603">
        <f>IF(A603="",0,IF(MATCH(A603,$A$4:$A$2403,0)=ROW()-3,1,0))</f>
        <v>0</v>
      </c>
      <c r="C603">
        <f>N(C602)+B603</f>
        <v>22</v>
      </c>
      <c r="K603">
        <f>IF(OR($K$1="",对接源_01水果!$C603="",对接源_01水果!$C603&lt;&gt;$K$1,对接源_01水果!$B603=""),0,IF(OR(N(对接源_01水果!$B603)&lt;$K$2,N(对接源_01水果!$B603)&gt;$K$3),0,1))</f>
        <v>0</v>
      </c>
      <c r="L603">
        <f>IF(OR($L$1="",对接源_01水果!$C603="",对接源_01水果!$C603&lt;&gt;$L$1,对接源_01水果!$B603=""),0,IF(OR(N(对接源_01水果!$B603)&lt;$L$2,N(对接源_01水果!$B603)&gt;$L$3),0,1))</f>
        <v>0</v>
      </c>
      <c r="M603">
        <f>IF(OR($M$1="",对接源_01水果!$C603="",对接源_01水果!$C603&lt;&gt;$M$1,对接源_01水果!$B603=""),0,IF(OR(N(对接源_01水果!$B603)&lt;$M$2,N(对接源_01水果!$B603)&gt;$M$3),0,1))</f>
        <v>0</v>
      </c>
      <c r="N603">
        <f>IF(OR($N$1="",对接源_01水果!$C603="",对接源_01水果!$C603&lt;&gt;$N$1,对接源_01水果!$B603=""),0,IF(OR(N(对接源_01水果!$B603)&lt;$N$2,N(对接源_01水果!$B603)&gt;$N$3),0,1))</f>
        <v>0</v>
      </c>
      <c r="P603">
        <f>IF(AND($K603=1,AND(对接源_01水果!$X603="公司筐",N(对接源_01水果!$T603)&lt;&gt;0)),1,0)</f>
        <v>0</v>
      </c>
      <c r="Q603">
        <f>N(Q602)+$P603</f>
        <v>0</v>
      </c>
      <c r="R603">
        <f>IF(AND($K603=1,AND(对接源_01水果!$X603="公司筐",N(对接源_01水果!$U603)&lt;&gt;0)),1,0)</f>
        <v>0</v>
      </c>
      <c r="S603">
        <f>N(S602)+$R603</f>
        <v>0</v>
      </c>
      <c r="T603">
        <f>IF(AND($K603=1,AND(对接源_01水果!$X603="公司筐",N(对接源_01水果!$V603)&lt;&gt;0)),1,0)</f>
        <v>0</v>
      </c>
      <c r="U603">
        <f>N(U602)+$T603</f>
        <v>47</v>
      </c>
      <c r="V603">
        <f>IF(AND($L603=1,AND(对接源_01水果!$X603="自备筐",N(对接源_01水果!$V603)&lt;&gt;0)),1,0)</f>
        <v>0</v>
      </c>
      <c r="W603">
        <f>N(W602)+$V603</f>
        <v>11</v>
      </c>
      <c r="X603">
        <f>IF(AND($L603=1,AND(对接源_01水果!$X603="自备筐",N(对接源_01水果!$T603)&lt;&gt;0)),1,0)</f>
        <v>0</v>
      </c>
      <c r="Y603">
        <f>N(Y602)+$X603</f>
        <v>0</v>
      </c>
      <c r="Z603">
        <f>IF(AND($M603=1,对接源_01水果!$D603="原料入库"),1,0)</f>
        <v>0</v>
      </c>
      <c r="AA603">
        <f>N(AA602)+$Z603</f>
        <v>24</v>
      </c>
      <c r="AB603">
        <f>IF(AND($M603=1,LEFT(对接源_01水果!$D603,4)="原料出库"),1,0)</f>
        <v>0</v>
      </c>
      <c r="AC603">
        <f>N(AC602)+$AB603</f>
        <v>0</v>
      </c>
      <c r="AD603">
        <f>IF(AND($M603=1,LEFT(对接源_01水果!$D603,4)="成品出库"),1,0)</f>
        <v>0</v>
      </c>
      <c r="AE603">
        <f>N(AE602)+$AD603</f>
        <v>0</v>
      </c>
      <c r="AF603">
        <f>IF(AND($N603=1,AND(LEFT(对接源_01水果!$D603,4)="包装物料",N(对接源_01水果!$K603)&lt;&gt;0)),1,0)</f>
        <v>0</v>
      </c>
      <c r="AG603">
        <f>N(AG602)+$AF603</f>
        <v>0</v>
      </c>
      <c r="AH603">
        <f>IF(AND($N603=1,AND(对接源_01水果!$D603="周转筐－销售出库",N(对接源_01水果!$K603)&lt;&gt;0)),1,0)</f>
        <v>0</v>
      </c>
      <c r="AI603">
        <f>N(AI602)+$AH603</f>
        <v>0</v>
      </c>
      <c r="AJ603" s="7" t="n"/>
      <c r="AL603">
        <f>IF(OR($AL$1="",对接源_01水果!$Y603="",对接源_01水果!$Y603&lt;&gt;$AL$1,对接源_01水果!$B603="",N(对接源_01水果!$AJ603)&lt;=0),0,IF(OR(N(对接源_01水果!$B603)&lt;$AL$2,N(对接源_01水果!$B603)&gt;$AL$3),0,1))</f>
        <v>0</v>
      </c>
      <c r="AM603">
        <f>N(AM602)+$AL603</f>
        <v>0</v>
      </c>
      <c r="AN603" t="str">
        <f>IF(对接源_01水果!$AC603="","",对接源_01水果!$AC603)</f>
        <v>电商/主播</v>
      </c>
      <c r="AO603">
        <f>IF(AN603="",0,IF(MATCH(AN603,$AN$4:$AN$1203,0)=ROW()-3,1,0))</f>
        <v>0</v>
      </c>
      <c r="AP603">
        <f>N(AP602)+$AO603</f>
        <v>4</v>
      </c>
      <c r="AR603">
        <f>IF(OR($AF603=1,$AH603=1),1,0)</f>
        <v>0</v>
      </c>
      <c r="AS603">
        <f>N(AS602)+$AR603</f>
        <v>0</v>
      </c>
    </row>
    <row r="604" ht="14.25" customHeight="1" s="127">
      <c r="A604" t="str">
        <f>IF(对接源_01水果!$C604="","",对接源_01水果!$C604)</f>
        <v>王照雪</v>
      </c>
      <c r="B604">
        <f>IF(A604="",0,IF(MATCH(A604,$A$4:$A$2403,0)=ROW()-3,1,0))</f>
        <v>0</v>
      </c>
      <c r="C604">
        <f>N(C603)+B604</f>
        <v>22</v>
      </c>
      <c r="K604">
        <f>IF(OR($K$1="",对接源_01水果!$C604="",对接源_01水果!$C604&lt;&gt;$K$1,对接源_01水果!$B604=""),0,IF(OR(N(对接源_01水果!$B604)&lt;$K$2,N(对接源_01水果!$B604)&gt;$K$3),0,1))</f>
        <v>0</v>
      </c>
      <c r="L604">
        <f>IF(OR($L$1="",对接源_01水果!$C604="",对接源_01水果!$C604&lt;&gt;$L$1,对接源_01水果!$B604=""),0,IF(OR(N(对接源_01水果!$B604)&lt;$L$2,N(对接源_01水果!$B604)&gt;$L$3),0,1))</f>
        <v>0</v>
      </c>
      <c r="M604">
        <f>IF(OR($M$1="",对接源_01水果!$C604="",对接源_01水果!$C604&lt;&gt;$M$1,对接源_01水果!$B604=""),0,IF(OR(N(对接源_01水果!$B604)&lt;$M$2,N(对接源_01水果!$B604)&gt;$M$3),0,1))</f>
        <v>0</v>
      </c>
      <c r="N604">
        <f>IF(OR($N$1="",对接源_01水果!$C604="",对接源_01水果!$C604&lt;&gt;$N$1,对接源_01水果!$B604=""),0,IF(OR(N(对接源_01水果!$B604)&lt;$N$2,N(对接源_01水果!$B604)&gt;$N$3),0,1))</f>
        <v>0</v>
      </c>
      <c r="P604">
        <f>IF(AND($K604=1,AND(对接源_01水果!$X604="公司筐",N(对接源_01水果!$T604)&lt;&gt;0)),1,0)</f>
        <v>0</v>
      </c>
      <c r="Q604">
        <f>N(Q603)+$P604</f>
        <v>0</v>
      </c>
      <c r="R604">
        <f>IF(AND($K604=1,AND(对接源_01水果!$X604="公司筐",N(对接源_01水果!$U604)&lt;&gt;0)),1,0)</f>
        <v>0</v>
      </c>
      <c r="S604">
        <f>N(S603)+$R604</f>
        <v>0</v>
      </c>
      <c r="T604">
        <f>IF(AND($K604=1,AND(对接源_01水果!$X604="公司筐",N(对接源_01水果!$V604)&lt;&gt;0)),1,0)</f>
        <v>0</v>
      </c>
      <c r="U604">
        <f>N(U603)+$T604</f>
        <v>47</v>
      </c>
      <c r="V604">
        <f>IF(AND($L604=1,AND(对接源_01水果!$X604="自备筐",N(对接源_01水果!$V604)&lt;&gt;0)),1,0)</f>
        <v>0</v>
      </c>
      <c r="W604">
        <f>N(W603)+$V604</f>
        <v>11</v>
      </c>
      <c r="X604">
        <f>IF(AND($L604=1,AND(对接源_01水果!$X604="自备筐",N(对接源_01水果!$T604)&lt;&gt;0)),1,0)</f>
        <v>0</v>
      </c>
      <c r="Y604">
        <f>N(Y603)+$X604</f>
        <v>0</v>
      </c>
      <c r="Z604">
        <f>IF(AND($M604=1,对接源_01水果!$D604="原料入库"),1,0)</f>
        <v>0</v>
      </c>
      <c r="AA604">
        <f>N(AA603)+$Z604</f>
        <v>24</v>
      </c>
      <c r="AB604">
        <f>IF(AND($M604=1,LEFT(对接源_01水果!$D604,4)="原料出库"),1,0)</f>
        <v>0</v>
      </c>
      <c r="AC604">
        <f>N(AC603)+$AB604</f>
        <v>0</v>
      </c>
      <c r="AD604">
        <f>IF(AND($M604=1,LEFT(对接源_01水果!$D604,4)="成品出库"),1,0)</f>
        <v>0</v>
      </c>
      <c r="AE604">
        <f>N(AE603)+$AD604</f>
        <v>0</v>
      </c>
      <c r="AF604">
        <f>IF(AND($N604=1,AND(LEFT(对接源_01水果!$D604,4)="包装物料",N(对接源_01水果!$K604)&lt;&gt;0)),1,0)</f>
        <v>0</v>
      </c>
      <c r="AG604">
        <f>N(AG603)+$AF604</f>
        <v>0</v>
      </c>
      <c r="AH604">
        <f>IF(AND($N604=1,AND(对接源_01水果!$D604="周转筐－销售出库",N(对接源_01水果!$K604)&lt;&gt;0)),1,0)</f>
        <v>0</v>
      </c>
      <c r="AI604">
        <f>N(AI603)+$AH604</f>
        <v>0</v>
      </c>
      <c r="AJ604" s="7" t="n"/>
      <c r="AL604">
        <f>IF(OR($AL$1="",对接源_01水果!$Y604="",对接源_01水果!$Y604&lt;&gt;$AL$1,对接源_01水果!$B604="",N(对接源_01水果!$AJ604)&lt;=0),0,IF(OR(N(对接源_01水果!$B604)&lt;$AL$2,N(对接源_01水果!$B604)&gt;$AL$3),0,1))</f>
        <v>0</v>
      </c>
      <c r="AM604">
        <f>N(AM603)+$AL604</f>
        <v>0</v>
      </c>
      <c r="AN604" t="str">
        <f>IF(对接源_01水果!$AC604="","",对接源_01水果!$AC604)</f>
        <v>电商/主播</v>
      </c>
      <c r="AO604">
        <f>IF(AN604="",0,IF(MATCH(AN604,$AN$4:$AN$1203,0)=ROW()-3,1,0))</f>
        <v>0</v>
      </c>
      <c r="AP604">
        <f>N(AP603)+$AO604</f>
        <v>4</v>
      </c>
      <c r="AR604">
        <f>IF(OR($AF604=1,$AH604=1),1,0)</f>
        <v>0</v>
      </c>
      <c r="AS604">
        <f>N(AS603)+$AR604</f>
        <v>0</v>
      </c>
    </row>
    <row r="605" ht="14.25" customHeight="1" s="127">
      <c r="A605" t="str">
        <f>IF(对接源_01水果!$C605="","",对接源_01水果!$C605)</f>
        <v>王照雪</v>
      </c>
      <c r="B605">
        <f>IF(A605="",0,IF(MATCH(A605,$A$4:$A$2403,0)=ROW()-3,1,0))</f>
        <v>0</v>
      </c>
      <c r="C605">
        <f>N(C604)+B605</f>
        <v>22</v>
      </c>
      <c r="K605">
        <f>IF(OR($K$1="",对接源_01水果!$C605="",对接源_01水果!$C605&lt;&gt;$K$1,对接源_01水果!$B605=""),0,IF(OR(N(对接源_01水果!$B605)&lt;$K$2,N(对接源_01水果!$B605)&gt;$K$3),0,1))</f>
        <v>0</v>
      </c>
      <c r="L605">
        <f>IF(OR($L$1="",对接源_01水果!$C605="",对接源_01水果!$C605&lt;&gt;$L$1,对接源_01水果!$B605=""),0,IF(OR(N(对接源_01水果!$B605)&lt;$L$2,N(对接源_01水果!$B605)&gt;$L$3),0,1))</f>
        <v>0</v>
      </c>
      <c r="M605">
        <f>IF(OR($M$1="",对接源_01水果!$C605="",对接源_01水果!$C605&lt;&gt;$M$1,对接源_01水果!$B605=""),0,IF(OR(N(对接源_01水果!$B605)&lt;$M$2,N(对接源_01水果!$B605)&gt;$M$3),0,1))</f>
        <v>0</v>
      </c>
      <c r="N605">
        <f>IF(OR($N$1="",对接源_01水果!$C605="",对接源_01水果!$C605&lt;&gt;$N$1,对接源_01水果!$B605=""),0,IF(OR(N(对接源_01水果!$B605)&lt;$N$2,N(对接源_01水果!$B605)&gt;$N$3),0,1))</f>
        <v>0</v>
      </c>
      <c r="P605">
        <f>IF(AND($K605=1,AND(对接源_01水果!$X605="公司筐",N(对接源_01水果!$T605)&lt;&gt;0)),1,0)</f>
        <v>0</v>
      </c>
      <c r="Q605">
        <f>N(Q604)+$P605</f>
        <v>0</v>
      </c>
      <c r="R605">
        <f>IF(AND($K605=1,AND(对接源_01水果!$X605="公司筐",N(对接源_01水果!$U605)&lt;&gt;0)),1,0)</f>
        <v>0</v>
      </c>
      <c r="S605">
        <f>N(S604)+$R605</f>
        <v>0</v>
      </c>
      <c r="T605">
        <f>IF(AND($K605=1,AND(对接源_01水果!$X605="公司筐",N(对接源_01水果!$V605)&lt;&gt;0)),1,0)</f>
        <v>0</v>
      </c>
      <c r="U605">
        <f>N(U604)+$T605</f>
        <v>47</v>
      </c>
      <c r="V605">
        <f>IF(AND($L605=1,AND(对接源_01水果!$X605="自备筐",N(对接源_01水果!$V605)&lt;&gt;0)),1,0)</f>
        <v>0</v>
      </c>
      <c r="W605">
        <f>N(W604)+$V605</f>
        <v>11</v>
      </c>
      <c r="X605">
        <f>IF(AND($L605=1,AND(对接源_01水果!$X605="自备筐",N(对接源_01水果!$T605)&lt;&gt;0)),1,0)</f>
        <v>0</v>
      </c>
      <c r="Y605">
        <f>N(Y604)+$X605</f>
        <v>0</v>
      </c>
      <c r="Z605">
        <f>IF(AND($M605=1,对接源_01水果!$D605="原料入库"),1,0)</f>
        <v>0</v>
      </c>
      <c r="AA605">
        <f>N(AA604)+$Z605</f>
        <v>24</v>
      </c>
      <c r="AB605">
        <f>IF(AND($M605=1,LEFT(对接源_01水果!$D605,4)="原料出库"),1,0)</f>
        <v>0</v>
      </c>
      <c r="AC605">
        <f>N(AC604)+$AB605</f>
        <v>0</v>
      </c>
      <c r="AD605">
        <f>IF(AND($M605=1,LEFT(对接源_01水果!$D605,4)="成品出库"),1,0)</f>
        <v>0</v>
      </c>
      <c r="AE605">
        <f>N(AE604)+$AD605</f>
        <v>0</v>
      </c>
      <c r="AF605">
        <f>IF(AND($N605=1,AND(LEFT(对接源_01水果!$D605,4)="包装物料",N(对接源_01水果!$K605)&lt;&gt;0)),1,0)</f>
        <v>0</v>
      </c>
      <c r="AG605">
        <f>N(AG604)+$AF605</f>
        <v>0</v>
      </c>
      <c r="AH605">
        <f>IF(AND($N605=1,AND(对接源_01水果!$D605="周转筐－销售出库",N(对接源_01水果!$K605)&lt;&gt;0)),1,0)</f>
        <v>0</v>
      </c>
      <c r="AI605">
        <f>N(AI604)+$AH605</f>
        <v>0</v>
      </c>
      <c r="AJ605" s="7" t="n"/>
      <c r="AL605">
        <f>IF(OR($AL$1="",对接源_01水果!$Y605="",对接源_01水果!$Y605&lt;&gt;$AL$1,对接源_01水果!$B605="",N(对接源_01水果!$AJ605)&lt;=0),0,IF(OR(N(对接源_01水果!$B605)&lt;$AL$2,N(对接源_01水果!$B605)&gt;$AL$3),0,1))</f>
        <v>0</v>
      </c>
      <c r="AM605">
        <f>N(AM604)+$AL605</f>
        <v>0</v>
      </c>
      <c r="AN605" t="str">
        <f>IF(对接源_01水果!$AC605="","",对接源_01水果!$AC605)</f>
        <v>电商/主播</v>
      </c>
      <c r="AO605">
        <f>IF(AN605="",0,IF(MATCH(AN605,$AN$4:$AN$1203,0)=ROW()-3,1,0))</f>
        <v>0</v>
      </c>
      <c r="AP605">
        <f>N(AP604)+$AO605</f>
        <v>4</v>
      </c>
      <c r="AR605">
        <f>IF(OR($AF605=1,$AH605=1),1,0)</f>
        <v>0</v>
      </c>
      <c r="AS605">
        <f>N(AS604)+$AR605</f>
        <v>0</v>
      </c>
    </row>
    <row r="606" ht="14.25" customHeight="1" s="127">
      <c r="A606" t="str">
        <f>IF(对接源_01水果!$C606="","",对接源_01水果!$C606)</f>
        <v>王照雪</v>
      </c>
      <c r="B606">
        <f>IF(A606="",0,IF(MATCH(A606,$A$4:$A$2403,0)=ROW()-3,1,0))</f>
        <v>0</v>
      </c>
      <c r="C606">
        <f>N(C605)+B606</f>
        <v>22</v>
      </c>
      <c r="K606">
        <f>IF(OR($K$1="",对接源_01水果!$C606="",对接源_01水果!$C606&lt;&gt;$K$1,对接源_01水果!$B606=""),0,IF(OR(N(对接源_01水果!$B606)&lt;$K$2,N(对接源_01水果!$B606)&gt;$K$3),0,1))</f>
        <v>0</v>
      </c>
      <c r="L606">
        <f>IF(OR($L$1="",对接源_01水果!$C606="",对接源_01水果!$C606&lt;&gt;$L$1,对接源_01水果!$B606=""),0,IF(OR(N(对接源_01水果!$B606)&lt;$L$2,N(对接源_01水果!$B606)&gt;$L$3),0,1))</f>
        <v>0</v>
      </c>
      <c r="M606">
        <f>IF(OR($M$1="",对接源_01水果!$C606="",对接源_01水果!$C606&lt;&gt;$M$1,对接源_01水果!$B606=""),0,IF(OR(N(对接源_01水果!$B606)&lt;$M$2,N(对接源_01水果!$B606)&gt;$M$3),0,1))</f>
        <v>0</v>
      </c>
      <c r="N606">
        <f>IF(OR($N$1="",对接源_01水果!$C606="",对接源_01水果!$C606&lt;&gt;$N$1,对接源_01水果!$B606=""),0,IF(OR(N(对接源_01水果!$B606)&lt;$N$2,N(对接源_01水果!$B606)&gt;$N$3),0,1))</f>
        <v>0</v>
      </c>
      <c r="P606">
        <f>IF(AND($K606=1,AND(对接源_01水果!$X606="公司筐",N(对接源_01水果!$T606)&lt;&gt;0)),1,0)</f>
        <v>0</v>
      </c>
      <c r="Q606">
        <f>N(Q605)+$P606</f>
        <v>0</v>
      </c>
      <c r="R606">
        <f>IF(AND($K606=1,AND(对接源_01水果!$X606="公司筐",N(对接源_01水果!$U606)&lt;&gt;0)),1,0)</f>
        <v>0</v>
      </c>
      <c r="S606">
        <f>N(S605)+$R606</f>
        <v>0</v>
      </c>
      <c r="T606">
        <f>IF(AND($K606=1,AND(对接源_01水果!$X606="公司筐",N(对接源_01水果!$V606)&lt;&gt;0)),1,0)</f>
        <v>0</v>
      </c>
      <c r="U606">
        <f>N(U605)+$T606</f>
        <v>47</v>
      </c>
      <c r="V606">
        <f>IF(AND($L606=1,AND(对接源_01水果!$X606="自备筐",N(对接源_01水果!$V606)&lt;&gt;0)),1,0)</f>
        <v>0</v>
      </c>
      <c r="W606">
        <f>N(W605)+$V606</f>
        <v>11</v>
      </c>
      <c r="X606">
        <f>IF(AND($L606=1,AND(对接源_01水果!$X606="自备筐",N(对接源_01水果!$T606)&lt;&gt;0)),1,0)</f>
        <v>0</v>
      </c>
      <c r="Y606">
        <f>N(Y605)+$X606</f>
        <v>0</v>
      </c>
      <c r="Z606">
        <f>IF(AND($M606=1,对接源_01水果!$D606="原料入库"),1,0)</f>
        <v>0</v>
      </c>
      <c r="AA606">
        <f>N(AA605)+$Z606</f>
        <v>24</v>
      </c>
      <c r="AB606">
        <f>IF(AND($M606=1,LEFT(对接源_01水果!$D606,4)="原料出库"),1,0)</f>
        <v>0</v>
      </c>
      <c r="AC606">
        <f>N(AC605)+$AB606</f>
        <v>0</v>
      </c>
      <c r="AD606">
        <f>IF(AND($M606=1,LEFT(对接源_01水果!$D606,4)="成品出库"),1,0)</f>
        <v>0</v>
      </c>
      <c r="AE606">
        <f>N(AE605)+$AD606</f>
        <v>0</v>
      </c>
      <c r="AF606">
        <f>IF(AND($N606=1,AND(LEFT(对接源_01水果!$D606,4)="包装物料",N(对接源_01水果!$K606)&lt;&gt;0)),1,0)</f>
        <v>0</v>
      </c>
      <c r="AG606">
        <f>N(AG605)+$AF606</f>
        <v>0</v>
      </c>
      <c r="AH606">
        <f>IF(AND($N606=1,AND(对接源_01水果!$D606="周转筐－销售出库",N(对接源_01水果!$K606)&lt;&gt;0)),1,0)</f>
        <v>0</v>
      </c>
      <c r="AI606">
        <f>N(AI605)+$AH606</f>
        <v>0</v>
      </c>
      <c r="AJ606" s="7" t="n"/>
      <c r="AL606">
        <f>IF(OR($AL$1="",对接源_01水果!$Y606="",对接源_01水果!$Y606&lt;&gt;$AL$1,对接源_01水果!$B606="",N(对接源_01水果!$AJ606)&lt;=0),0,IF(OR(N(对接源_01水果!$B606)&lt;$AL$2,N(对接源_01水果!$B606)&gt;$AL$3),0,1))</f>
        <v>0</v>
      </c>
      <c r="AM606">
        <f>N(AM605)+$AL606</f>
        <v>0</v>
      </c>
      <c r="AN606" t="str">
        <f>IF(对接源_01水果!$AC606="","",对接源_01水果!$AC606)</f>
        <v>电商/主播</v>
      </c>
      <c r="AO606">
        <f>IF(AN606="",0,IF(MATCH(AN606,$AN$4:$AN$1203,0)=ROW()-3,1,0))</f>
        <v>0</v>
      </c>
      <c r="AP606">
        <f>N(AP605)+$AO606</f>
        <v>4</v>
      </c>
      <c r="AR606">
        <f>IF(OR($AF606=1,$AH606=1),1,0)</f>
        <v>0</v>
      </c>
      <c r="AS606">
        <f>N(AS605)+$AR606</f>
        <v>0</v>
      </c>
    </row>
    <row r="607" ht="14.25" customHeight="1" s="127">
      <c r="A607" t="str">
        <f>IF(对接源_01水果!$C607="","",对接源_01水果!$C607)</f>
        <v>王照雪</v>
      </c>
      <c r="B607">
        <f>IF(A607="",0,IF(MATCH(A607,$A$4:$A$2403,0)=ROW()-3,1,0))</f>
        <v>0</v>
      </c>
      <c r="C607">
        <f>N(C606)+B607</f>
        <v>22</v>
      </c>
      <c r="K607">
        <f>IF(OR($K$1="",对接源_01水果!$C607="",对接源_01水果!$C607&lt;&gt;$K$1,对接源_01水果!$B607=""),0,IF(OR(N(对接源_01水果!$B607)&lt;$K$2,N(对接源_01水果!$B607)&gt;$K$3),0,1))</f>
        <v>0</v>
      </c>
      <c r="L607">
        <f>IF(OR($L$1="",对接源_01水果!$C607="",对接源_01水果!$C607&lt;&gt;$L$1,对接源_01水果!$B607=""),0,IF(OR(N(对接源_01水果!$B607)&lt;$L$2,N(对接源_01水果!$B607)&gt;$L$3),0,1))</f>
        <v>0</v>
      </c>
      <c r="M607">
        <f>IF(OR($M$1="",对接源_01水果!$C607="",对接源_01水果!$C607&lt;&gt;$M$1,对接源_01水果!$B607=""),0,IF(OR(N(对接源_01水果!$B607)&lt;$M$2,N(对接源_01水果!$B607)&gt;$M$3),0,1))</f>
        <v>0</v>
      </c>
      <c r="N607">
        <f>IF(OR($N$1="",对接源_01水果!$C607="",对接源_01水果!$C607&lt;&gt;$N$1,对接源_01水果!$B607=""),0,IF(OR(N(对接源_01水果!$B607)&lt;$N$2,N(对接源_01水果!$B607)&gt;$N$3),0,1))</f>
        <v>0</v>
      </c>
      <c r="P607">
        <f>IF(AND($K607=1,AND(对接源_01水果!$X607="公司筐",N(对接源_01水果!$T607)&lt;&gt;0)),1,0)</f>
        <v>0</v>
      </c>
      <c r="Q607">
        <f>N(Q606)+$P607</f>
        <v>0</v>
      </c>
      <c r="R607">
        <f>IF(AND($K607=1,AND(对接源_01水果!$X607="公司筐",N(对接源_01水果!$U607)&lt;&gt;0)),1,0)</f>
        <v>0</v>
      </c>
      <c r="S607">
        <f>N(S606)+$R607</f>
        <v>0</v>
      </c>
      <c r="T607">
        <f>IF(AND($K607=1,AND(对接源_01水果!$X607="公司筐",N(对接源_01水果!$V607)&lt;&gt;0)),1,0)</f>
        <v>0</v>
      </c>
      <c r="U607">
        <f>N(U606)+$T607</f>
        <v>47</v>
      </c>
      <c r="V607">
        <f>IF(AND($L607=1,AND(对接源_01水果!$X607="自备筐",N(对接源_01水果!$V607)&lt;&gt;0)),1,0)</f>
        <v>0</v>
      </c>
      <c r="W607">
        <f>N(W606)+$V607</f>
        <v>11</v>
      </c>
      <c r="X607">
        <f>IF(AND($L607=1,AND(对接源_01水果!$X607="自备筐",N(对接源_01水果!$T607)&lt;&gt;0)),1,0)</f>
        <v>0</v>
      </c>
      <c r="Y607">
        <f>N(Y606)+$X607</f>
        <v>0</v>
      </c>
      <c r="Z607">
        <f>IF(AND($M607=1,对接源_01水果!$D607="原料入库"),1,0)</f>
        <v>0</v>
      </c>
      <c r="AA607">
        <f>N(AA606)+$Z607</f>
        <v>24</v>
      </c>
      <c r="AB607">
        <f>IF(AND($M607=1,LEFT(对接源_01水果!$D607,4)="原料出库"),1,0)</f>
        <v>0</v>
      </c>
      <c r="AC607">
        <f>N(AC606)+$AB607</f>
        <v>0</v>
      </c>
      <c r="AD607">
        <f>IF(AND($M607=1,LEFT(对接源_01水果!$D607,4)="成品出库"),1,0)</f>
        <v>0</v>
      </c>
      <c r="AE607">
        <f>N(AE606)+$AD607</f>
        <v>0</v>
      </c>
      <c r="AF607">
        <f>IF(AND($N607=1,AND(LEFT(对接源_01水果!$D607,4)="包装物料",N(对接源_01水果!$K607)&lt;&gt;0)),1,0)</f>
        <v>0</v>
      </c>
      <c r="AG607">
        <f>N(AG606)+$AF607</f>
        <v>0</v>
      </c>
      <c r="AH607">
        <f>IF(AND($N607=1,AND(对接源_01水果!$D607="周转筐－销售出库",N(对接源_01水果!$K607)&lt;&gt;0)),1,0)</f>
        <v>0</v>
      </c>
      <c r="AI607">
        <f>N(AI606)+$AH607</f>
        <v>0</v>
      </c>
      <c r="AJ607" s="7" t="n"/>
      <c r="AL607">
        <f>IF(OR($AL$1="",对接源_01水果!$Y607="",对接源_01水果!$Y607&lt;&gt;$AL$1,对接源_01水果!$B607="",N(对接源_01水果!$AJ607)&lt;=0),0,IF(OR(N(对接源_01水果!$B607)&lt;$AL$2,N(对接源_01水果!$B607)&gt;$AL$3),0,1))</f>
        <v>0</v>
      </c>
      <c r="AM607">
        <f>N(AM606)+$AL607</f>
        <v>0</v>
      </c>
      <c r="AN607" t="str">
        <f>IF(对接源_01水果!$AC607="","",对接源_01水果!$AC607)</f>
        <v>电商/主播</v>
      </c>
      <c r="AO607">
        <f>IF(AN607="",0,IF(MATCH(AN607,$AN$4:$AN$1203,0)=ROW()-3,1,0))</f>
        <v>0</v>
      </c>
      <c r="AP607">
        <f>N(AP606)+$AO607</f>
        <v>4</v>
      </c>
      <c r="AR607">
        <f>IF(OR($AF607=1,$AH607=1),1,0)</f>
        <v>0</v>
      </c>
      <c r="AS607">
        <f>N(AS606)+$AR607</f>
        <v>0</v>
      </c>
    </row>
    <row r="608" ht="14.25" customHeight="1" s="127">
      <c r="A608" t="str">
        <f>IF(对接源_01水果!$C608="","",对接源_01水果!$C608)</f>
        <v>王照雪</v>
      </c>
      <c r="B608">
        <f>IF(A608="",0,IF(MATCH(A608,$A$4:$A$2403,0)=ROW()-3,1,0))</f>
        <v>0</v>
      </c>
      <c r="C608">
        <f>N(C607)+B608</f>
        <v>22</v>
      </c>
      <c r="K608">
        <f>IF(OR($K$1="",对接源_01水果!$C608="",对接源_01水果!$C608&lt;&gt;$K$1,对接源_01水果!$B608=""),0,IF(OR(N(对接源_01水果!$B608)&lt;$K$2,N(对接源_01水果!$B608)&gt;$K$3),0,1))</f>
        <v>0</v>
      </c>
      <c r="L608">
        <f>IF(OR($L$1="",对接源_01水果!$C608="",对接源_01水果!$C608&lt;&gt;$L$1,对接源_01水果!$B608=""),0,IF(OR(N(对接源_01水果!$B608)&lt;$L$2,N(对接源_01水果!$B608)&gt;$L$3),0,1))</f>
        <v>0</v>
      </c>
      <c r="M608">
        <f>IF(OR($M$1="",对接源_01水果!$C608="",对接源_01水果!$C608&lt;&gt;$M$1,对接源_01水果!$B608=""),0,IF(OR(N(对接源_01水果!$B608)&lt;$M$2,N(对接源_01水果!$B608)&gt;$M$3),0,1))</f>
        <v>0</v>
      </c>
      <c r="N608">
        <f>IF(OR($N$1="",对接源_01水果!$C608="",对接源_01水果!$C608&lt;&gt;$N$1,对接源_01水果!$B608=""),0,IF(OR(N(对接源_01水果!$B608)&lt;$N$2,N(对接源_01水果!$B608)&gt;$N$3),0,1))</f>
        <v>0</v>
      </c>
      <c r="P608">
        <f>IF(AND($K608=1,AND(对接源_01水果!$X608="公司筐",N(对接源_01水果!$T608)&lt;&gt;0)),1,0)</f>
        <v>0</v>
      </c>
      <c r="Q608">
        <f>N(Q607)+$P608</f>
        <v>0</v>
      </c>
      <c r="R608">
        <f>IF(AND($K608=1,AND(对接源_01水果!$X608="公司筐",N(对接源_01水果!$U608)&lt;&gt;0)),1,0)</f>
        <v>0</v>
      </c>
      <c r="S608">
        <f>N(S607)+$R608</f>
        <v>0</v>
      </c>
      <c r="T608">
        <f>IF(AND($K608=1,AND(对接源_01水果!$X608="公司筐",N(对接源_01水果!$V608)&lt;&gt;0)),1,0)</f>
        <v>0</v>
      </c>
      <c r="U608">
        <f>N(U607)+$T608</f>
        <v>47</v>
      </c>
      <c r="V608">
        <f>IF(AND($L608=1,AND(对接源_01水果!$X608="自备筐",N(对接源_01水果!$V608)&lt;&gt;0)),1,0)</f>
        <v>0</v>
      </c>
      <c r="W608">
        <f>N(W607)+$V608</f>
        <v>11</v>
      </c>
      <c r="X608">
        <f>IF(AND($L608=1,AND(对接源_01水果!$X608="自备筐",N(对接源_01水果!$T608)&lt;&gt;0)),1,0)</f>
        <v>0</v>
      </c>
      <c r="Y608">
        <f>N(Y607)+$X608</f>
        <v>0</v>
      </c>
      <c r="Z608">
        <f>IF(AND($M608=1,对接源_01水果!$D608="原料入库"),1,0)</f>
        <v>0</v>
      </c>
      <c r="AA608">
        <f>N(AA607)+$Z608</f>
        <v>24</v>
      </c>
      <c r="AB608">
        <f>IF(AND($M608=1,LEFT(对接源_01水果!$D608,4)="原料出库"),1,0)</f>
        <v>0</v>
      </c>
      <c r="AC608">
        <f>N(AC607)+$AB608</f>
        <v>0</v>
      </c>
      <c r="AD608">
        <f>IF(AND($M608=1,LEFT(对接源_01水果!$D608,4)="成品出库"),1,0)</f>
        <v>0</v>
      </c>
      <c r="AE608">
        <f>N(AE607)+$AD608</f>
        <v>0</v>
      </c>
      <c r="AF608">
        <f>IF(AND($N608=1,AND(LEFT(对接源_01水果!$D608,4)="包装物料",N(对接源_01水果!$K608)&lt;&gt;0)),1,0)</f>
        <v>0</v>
      </c>
      <c r="AG608">
        <f>N(AG607)+$AF608</f>
        <v>0</v>
      </c>
      <c r="AH608">
        <f>IF(AND($N608=1,AND(对接源_01水果!$D608="周转筐－销售出库",N(对接源_01水果!$K608)&lt;&gt;0)),1,0)</f>
        <v>0</v>
      </c>
      <c r="AI608">
        <f>N(AI607)+$AH608</f>
        <v>0</v>
      </c>
      <c r="AJ608" s="7" t="n"/>
      <c r="AL608">
        <f>IF(OR($AL$1="",对接源_01水果!$Y608="",对接源_01水果!$Y608&lt;&gt;$AL$1,对接源_01水果!$B608="",N(对接源_01水果!$AJ608)&lt;=0),0,IF(OR(N(对接源_01水果!$B608)&lt;$AL$2,N(对接源_01水果!$B608)&gt;$AL$3),0,1))</f>
        <v>0</v>
      </c>
      <c r="AM608">
        <f>N(AM607)+$AL608</f>
        <v>0</v>
      </c>
      <c r="AN608" t="str">
        <f>IF(对接源_01水果!$AC608="","",对接源_01水果!$AC608)</f>
        <v>电商/主播</v>
      </c>
      <c r="AO608">
        <f>IF(AN608="",0,IF(MATCH(AN608,$AN$4:$AN$1203,0)=ROW()-3,1,0))</f>
        <v>0</v>
      </c>
      <c r="AP608">
        <f>N(AP607)+$AO608</f>
        <v>4</v>
      </c>
      <c r="AR608">
        <f>IF(OR($AF608=1,$AH608=1),1,0)</f>
        <v>0</v>
      </c>
      <c r="AS608">
        <f>N(AS607)+$AR608</f>
        <v>0</v>
      </c>
    </row>
    <row r="609" ht="14.25" customHeight="1" s="127">
      <c r="A609" t="str">
        <f>IF(对接源_01水果!$C609="","",对接源_01水果!$C609)</f>
        <v>王照雪</v>
      </c>
      <c r="B609">
        <f>IF(A609="",0,IF(MATCH(A609,$A$4:$A$2403,0)=ROW()-3,1,0))</f>
        <v>0</v>
      </c>
      <c r="C609">
        <f>N(C608)+B609</f>
        <v>22</v>
      </c>
      <c r="K609">
        <f>IF(OR($K$1="",对接源_01水果!$C609="",对接源_01水果!$C609&lt;&gt;$K$1,对接源_01水果!$B609=""),0,IF(OR(N(对接源_01水果!$B609)&lt;$K$2,N(对接源_01水果!$B609)&gt;$K$3),0,1))</f>
        <v>0</v>
      </c>
      <c r="L609">
        <f>IF(OR($L$1="",对接源_01水果!$C609="",对接源_01水果!$C609&lt;&gt;$L$1,对接源_01水果!$B609=""),0,IF(OR(N(对接源_01水果!$B609)&lt;$L$2,N(对接源_01水果!$B609)&gt;$L$3),0,1))</f>
        <v>0</v>
      </c>
      <c r="M609">
        <f>IF(OR($M$1="",对接源_01水果!$C609="",对接源_01水果!$C609&lt;&gt;$M$1,对接源_01水果!$B609=""),0,IF(OR(N(对接源_01水果!$B609)&lt;$M$2,N(对接源_01水果!$B609)&gt;$M$3),0,1))</f>
        <v>0</v>
      </c>
      <c r="N609">
        <f>IF(OR($N$1="",对接源_01水果!$C609="",对接源_01水果!$C609&lt;&gt;$N$1,对接源_01水果!$B609=""),0,IF(OR(N(对接源_01水果!$B609)&lt;$N$2,N(对接源_01水果!$B609)&gt;$N$3),0,1))</f>
        <v>0</v>
      </c>
      <c r="P609">
        <f>IF(AND($K609=1,AND(对接源_01水果!$X609="公司筐",N(对接源_01水果!$T609)&lt;&gt;0)),1,0)</f>
        <v>0</v>
      </c>
      <c r="Q609">
        <f>N(Q608)+$P609</f>
        <v>0</v>
      </c>
      <c r="R609">
        <f>IF(AND($K609=1,AND(对接源_01水果!$X609="公司筐",N(对接源_01水果!$U609)&lt;&gt;0)),1,0)</f>
        <v>0</v>
      </c>
      <c r="S609">
        <f>N(S608)+$R609</f>
        <v>0</v>
      </c>
      <c r="T609">
        <f>IF(AND($K609=1,AND(对接源_01水果!$X609="公司筐",N(对接源_01水果!$V609)&lt;&gt;0)),1,0)</f>
        <v>0</v>
      </c>
      <c r="U609">
        <f>N(U608)+$T609</f>
        <v>47</v>
      </c>
      <c r="V609">
        <f>IF(AND($L609=1,AND(对接源_01水果!$X609="自备筐",N(对接源_01水果!$V609)&lt;&gt;0)),1,0)</f>
        <v>0</v>
      </c>
      <c r="W609">
        <f>N(W608)+$V609</f>
        <v>11</v>
      </c>
      <c r="X609">
        <f>IF(AND($L609=1,AND(对接源_01水果!$X609="自备筐",N(对接源_01水果!$T609)&lt;&gt;0)),1,0)</f>
        <v>0</v>
      </c>
      <c r="Y609">
        <f>N(Y608)+$X609</f>
        <v>0</v>
      </c>
      <c r="Z609">
        <f>IF(AND($M609=1,对接源_01水果!$D609="原料入库"),1,0)</f>
        <v>0</v>
      </c>
      <c r="AA609">
        <f>N(AA608)+$Z609</f>
        <v>24</v>
      </c>
      <c r="AB609">
        <f>IF(AND($M609=1,LEFT(对接源_01水果!$D609,4)="原料出库"),1,0)</f>
        <v>0</v>
      </c>
      <c r="AC609">
        <f>N(AC608)+$AB609</f>
        <v>0</v>
      </c>
      <c r="AD609">
        <f>IF(AND($M609=1,LEFT(对接源_01水果!$D609,4)="成品出库"),1,0)</f>
        <v>0</v>
      </c>
      <c r="AE609">
        <f>N(AE608)+$AD609</f>
        <v>0</v>
      </c>
      <c r="AF609">
        <f>IF(AND($N609=1,AND(LEFT(对接源_01水果!$D609,4)="包装物料",N(对接源_01水果!$K609)&lt;&gt;0)),1,0)</f>
        <v>0</v>
      </c>
      <c r="AG609">
        <f>N(AG608)+$AF609</f>
        <v>0</v>
      </c>
      <c r="AH609">
        <f>IF(AND($N609=1,AND(对接源_01水果!$D609="周转筐－销售出库",N(对接源_01水果!$K609)&lt;&gt;0)),1,0)</f>
        <v>0</v>
      </c>
      <c r="AI609">
        <f>N(AI608)+$AH609</f>
        <v>0</v>
      </c>
      <c r="AJ609" s="7" t="n"/>
      <c r="AL609">
        <f>IF(OR($AL$1="",对接源_01水果!$Y609="",对接源_01水果!$Y609&lt;&gt;$AL$1,对接源_01水果!$B609="",N(对接源_01水果!$AJ609)&lt;=0),0,IF(OR(N(对接源_01水果!$B609)&lt;$AL$2,N(对接源_01水果!$B609)&gt;$AL$3),0,1))</f>
        <v>0</v>
      </c>
      <c r="AM609">
        <f>N(AM608)+$AL609</f>
        <v>0</v>
      </c>
      <c r="AN609" t="str">
        <f>IF(对接源_01水果!$AC609="","",对接源_01水果!$AC609)</f>
        <v>电商/主播</v>
      </c>
      <c r="AO609">
        <f>IF(AN609="",0,IF(MATCH(AN609,$AN$4:$AN$1203,0)=ROW()-3,1,0))</f>
        <v>0</v>
      </c>
      <c r="AP609">
        <f>N(AP608)+$AO609</f>
        <v>4</v>
      </c>
      <c r="AR609">
        <f>IF(OR($AF609=1,$AH609=1),1,0)</f>
        <v>0</v>
      </c>
      <c r="AS609">
        <f>N(AS608)+$AR609</f>
        <v>0</v>
      </c>
    </row>
    <row r="610" ht="14.25" customHeight="1" s="127">
      <c r="A610" t="str">
        <f>IF(对接源_01水果!$C610="","",对接源_01水果!$C610)</f>
        <v>王照雪</v>
      </c>
      <c r="B610">
        <f>IF(A610="",0,IF(MATCH(A610,$A$4:$A$2403,0)=ROW()-3,1,0))</f>
        <v>0</v>
      </c>
      <c r="C610">
        <f>N(C609)+B610</f>
        <v>22</v>
      </c>
      <c r="K610">
        <f>IF(OR($K$1="",对接源_01水果!$C610="",对接源_01水果!$C610&lt;&gt;$K$1,对接源_01水果!$B610=""),0,IF(OR(N(对接源_01水果!$B610)&lt;$K$2,N(对接源_01水果!$B610)&gt;$K$3),0,1))</f>
        <v>0</v>
      </c>
      <c r="L610">
        <f>IF(OR($L$1="",对接源_01水果!$C610="",对接源_01水果!$C610&lt;&gt;$L$1,对接源_01水果!$B610=""),0,IF(OR(N(对接源_01水果!$B610)&lt;$L$2,N(对接源_01水果!$B610)&gt;$L$3),0,1))</f>
        <v>0</v>
      </c>
      <c r="M610">
        <f>IF(OR($M$1="",对接源_01水果!$C610="",对接源_01水果!$C610&lt;&gt;$M$1,对接源_01水果!$B610=""),0,IF(OR(N(对接源_01水果!$B610)&lt;$M$2,N(对接源_01水果!$B610)&gt;$M$3),0,1))</f>
        <v>0</v>
      </c>
      <c r="N610">
        <f>IF(OR($N$1="",对接源_01水果!$C610="",对接源_01水果!$C610&lt;&gt;$N$1,对接源_01水果!$B610=""),0,IF(OR(N(对接源_01水果!$B610)&lt;$N$2,N(对接源_01水果!$B610)&gt;$N$3),0,1))</f>
        <v>0</v>
      </c>
      <c r="P610">
        <f>IF(AND($K610=1,AND(对接源_01水果!$X610="公司筐",N(对接源_01水果!$T610)&lt;&gt;0)),1,0)</f>
        <v>0</v>
      </c>
      <c r="Q610">
        <f>N(Q609)+$P610</f>
        <v>0</v>
      </c>
      <c r="R610">
        <f>IF(AND($K610=1,AND(对接源_01水果!$X610="公司筐",N(对接源_01水果!$U610)&lt;&gt;0)),1,0)</f>
        <v>0</v>
      </c>
      <c r="S610">
        <f>N(S609)+$R610</f>
        <v>0</v>
      </c>
      <c r="T610">
        <f>IF(AND($K610=1,AND(对接源_01水果!$X610="公司筐",N(对接源_01水果!$V610)&lt;&gt;0)),1,0)</f>
        <v>0</v>
      </c>
      <c r="U610">
        <f>N(U609)+$T610</f>
        <v>47</v>
      </c>
      <c r="V610">
        <f>IF(AND($L610=1,AND(对接源_01水果!$X610="自备筐",N(对接源_01水果!$V610)&lt;&gt;0)),1,0)</f>
        <v>0</v>
      </c>
      <c r="W610">
        <f>N(W609)+$V610</f>
        <v>11</v>
      </c>
      <c r="X610">
        <f>IF(AND($L610=1,AND(对接源_01水果!$X610="自备筐",N(对接源_01水果!$T610)&lt;&gt;0)),1,0)</f>
        <v>0</v>
      </c>
      <c r="Y610">
        <f>N(Y609)+$X610</f>
        <v>0</v>
      </c>
      <c r="Z610">
        <f>IF(AND($M610=1,对接源_01水果!$D610="原料入库"),1,0)</f>
        <v>0</v>
      </c>
      <c r="AA610">
        <f>N(AA609)+$Z610</f>
        <v>24</v>
      </c>
      <c r="AB610">
        <f>IF(AND($M610=1,LEFT(对接源_01水果!$D610,4)="原料出库"),1,0)</f>
        <v>0</v>
      </c>
      <c r="AC610">
        <f>N(AC609)+$AB610</f>
        <v>0</v>
      </c>
      <c r="AD610">
        <f>IF(AND($M610=1,LEFT(对接源_01水果!$D610,4)="成品出库"),1,0)</f>
        <v>0</v>
      </c>
      <c r="AE610">
        <f>N(AE609)+$AD610</f>
        <v>0</v>
      </c>
      <c r="AF610">
        <f>IF(AND($N610=1,AND(LEFT(对接源_01水果!$D610,4)="包装物料",N(对接源_01水果!$K610)&lt;&gt;0)),1,0)</f>
        <v>0</v>
      </c>
      <c r="AG610">
        <f>N(AG609)+$AF610</f>
        <v>0</v>
      </c>
      <c r="AH610">
        <f>IF(AND($N610=1,AND(对接源_01水果!$D610="周转筐－销售出库",N(对接源_01水果!$K610)&lt;&gt;0)),1,0)</f>
        <v>0</v>
      </c>
      <c r="AI610">
        <f>N(AI609)+$AH610</f>
        <v>0</v>
      </c>
      <c r="AJ610" s="7" t="n"/>
      <c r="AL610">
        <f>IF(OR($AL$1="",对接源_01水果!$Y610="",对接源_01水果!$Y610&lt;&gt;$AL$1,对接源_01水果!$B610="",N(对接源_01水果!$AJ610)&lt;=0),0,IF(OR(N(对接源_01水果!$B610)&lt;$AL$2,N(对接源_01水果!$B610)&gt;$AL$3),0,1))</f>
        <v>0</v>
      </c>
      <c r="AM610">
        <f>N(AM609)+$AL610</f>
        <v>0</v>
      </c>
      <c r="AN610" t="str">
        <f>IF(对接源_01水果!$AC610="","",对接源_01水果!$AC610)</f>
        <v>电商/主播</v>
      </c>
      <c r="AO610">
        <f>IF(AN610="",0,IF(MATCH(AN610,$AN$4:$AN$1203,0)=ROW()-3,1,0))</f>
        <v>0</v>
      </c>
      <c r="AP610">
        <f>N(AP609)+$AO610</f>
        <v>4</v>
      </c>
      <c r="AR610">
        <f>IF(OR($AF610=1,$AH610=1),1,0)</f>
        <v>0</v>
      </c>
      <c r="AS610">
        <f>N(AS609)+$AR610</f>
        <v>0</v>
      </c>
    </row>
    <row r="611" ht="14.25" customHeight="1" s="127">
      <c r="A611" t="str">
        <f>IF(对接源_01水果!$C611="","",对接源_01水果!$C611)</f>
        <v>王照雪</v>
      </c>
      <c r="B611">
        <f>IF(A611="",0,IF(MATCH(A611,$A$4:$A$2403,0)=ROW()-3,1,0))</f>
        <v>0</v>
      </c>
      <c r="C611">
        <f>N(C610)+B611</f>
        <v>22</v>
      </c>
      <c r="K611">
        <f>IF(OR($K$1="",对接源_01水果!$C611="",对接源_01水果!$C611&lt;&gt;$K$1,对接源_01水果!$B611=""),0,IF(OR(N(对接源_01水果!$B611)&lt;$K$2,N(对接源_01水果!$B611)&gt;$K$3),0,1))</f>
        <v>0</v>
      </c>
      <c r="L611">
        <f>IF(OR($L$1="",对接源_01水果!$C611="",对接源_01水果!$C611&lt;&gt;$L$1,对接源_01水果!$B611=""),0,IF(OR(N(对接源_01水果!$B611)&lt;$L$2,N(对接源_01水果!$B611)&gt;$L$3),0,1))</f>
        <v>0</v>
      </c>
      <c r="M611">
        <f>IF(OR($M$1="",对接源_01水果!$C611="",对接源_01水果!$C611&lt;&gt;$M$1,对接源_01水果!$B611=""),0,IF(OR(N(对接源_01水果!$B611)&lt;$M$2,N(对接源_01水果!$B611)&gt;$M$3),0,1))</f>
        <v>0</v>
      </c>
      <c r="N611">
        <f>IF(OR($N$1="",对接源_01水果!$C611="",对接源_01水果!$C611&lt;&gt;$N$1,对接源_01水果!$B611=""),0,IF(OR(N(对接源_01水果!$B611)&lt;$N$2,N(对接源_01水果!$B611)&gt;$N$3),0,1))</f>
        <v>0</v>
      </c>
      <c r="P611">
        <f>IF(AND($K611=1,AND(对接源_01水果!$X611="公司筐",N(对接源_01水果!$T611)&lt;&gt;0)),1,0)</f>
        <v>0</v>
      </c>
      <c r="Q611">
        <f>N(Q610)+$P611</f>
        <v>0</v>
      </c>
      <c r="R611">
        <f>IF(AND($K611=1,AND(对接源_01水果!$X611="公司筐",N(对接源_01水果!$U611)&lt;&gt;0)),1,0)</f>
        <v>0</v>
      </c>
      <c r="S611">
        <f>N(S610)+$R611</f>
        <v>0</v>
      </c>
      <c r="T611">
        <f>IF(AND($K611=1,AND(对接源_01水果!$X611="公司筐",N(对接源_01水果!$V611)&lt;&gt;0)),1,0)</f>
        <v>0</v>
      </c>
      <c r="U611">
        <f>N(U610)+$T611</f>
        <v>47</v>
      </c>
      <c r="V611">
        <f>IF(AND($L611=1,AND(对接源_01水果!$X611="自备筐",N(对接源_01水果!$V611)&lt;&gt;0)),1,0)</f>
        <v>0</v>
      </c>
      <c r="W611">
        <f>N(W610)+$V611</f>
        <v>11</v>
      </c>
      <c r="X611">
        <f>IF(AND($L611=1,AND(对接源_01水果!$X611="自备筐",N(对接源_01水果!$T611)&lt;&gt;0)),1,0)</f>
        <v>0</v>
      </c>
      <c r="Y611">
        <f>N(Y610)+$X611</f>
        <v>0</v>
      </c>
      <c r="Z611">
        <f>IF(AND($M611=1,对接源_01水果!$D611="原料入库"),1,0)</f>
        <v>0</v>
      </c>
      <c r="AA611">
        <f>N(AA610)+$Z611</f>
        <v>24</v>
      </c>
      <c r="AB611">
        <f>IF(AND($M611=1,LEFT(对接源_01水果!$D611,4)="原料出库"),1,0)</f>
        <v>0</v>
      </c>
      <c r="AC611">
        <f>N(AC610)+$AB611</f>
        <v>0</v>
      </c>
      <c r="AD611">
        <f>IF(AND($M611=1,LEFT(对接源_01水果!$D611,4)="成品出库"),1,0)</f>
        <v>0</v>
      </c>
      <c r="AE611">
        <f>N(AE610)+$AD611</f>
        <v>0</v>
      </c>
      <c r="AF611">
        <f>IF(AND($N611=1,AND(LEFT(对接源_01水果!$D611,4)="包装物料",N(对接源_01水果!$K611)&lt;&gt;0)),1,0)</f>
        <v>0</v>
      </c>
      <c r="AG611">
        <f>N(AG610)+$AF611</f>
        <v>0</v>
      </c>
      <c r="AH611">
        <f>IF(AND($N611=1,AND(对接源_01水果!$D611="周转筐－销售出库",N(对接源_01水果!$K611)&lt;&gt;0)),1,0)</f>
        <v>0</v>
      </c>
      <c r="AI611">
        <f>N(AI610)+$AH611</f>
        <v>0</v>
      </c>
      <c r="AJ611" s="7" t="n"/>
      <c r="AL611">
        <f>IF(OR($AL$1="",对接源_01水果!$Y611="",对接源_01水果!$Y611&lt;&gt;$AL$1,对接源_01水果!$B611="",N(对接源_01水果!$AJ611)&lt;=0),0,IF(OR(N(对接源_01水果!$B611)&lt;$AL$2,N(对接源_01水果!$B611)&gt;$AL$3),0,1))</f>
        <v>0</v>
      </c>
      <c r="AM611">
        <f>N(AM610)+$AL611</f>
        <v>0</v>
      </c>
      <c r="AN611" t="str">
        <f>IF(对接源_01水果!$AC611="","",对接源_01水果!$AC611)</f>
        <v>电商/主播</v>
      </c>
      <c r="AO611">
        <f>IF(AN611="",0,IF(MATCH(AN611,$AN$4:$AN$1203,0)=ROW()-3,1,0))</f>
        <v>0</v>
      </c>
      <c r="AP611">
        <f>N(AP610)+$AO611</f>
        <v>4</v>
      </c>
      <c r="AR611">
        <f>IF(OR($AF611=1,$AH611=1),1,0)</f>
        <v>0</v>
      </c>
      <c r="AS611">
        <f>N(AS610)+$AR611</f>
        <v>0</v>
      </c>
    </row>
    <row r="612" ht="14.25" customHeight="1" s="127">
      <c r="A612" t="str">
        <f>IF(对接源_01水果!$C612="","",对接源_01水果!$C612)</f>
        <v>王照雪</v>
      </c>
      <c r="B612">
        <f>IF(A612="",0,IF(MATCH(A612,$A$4:$A$2403,0)=ROW()-3,1,0))</f>
        <v>0</v>
      </c>
      <c r="C612">
        <f>N(C611)+B612</f>
        <v>22</v>
      </c>
      <c r="K612">
        <f>IF(OR($K$1="",对接源_01水果!$C612="",对接源_01水果!$C612&lt;&gt;$K$1,对接源_01水果!$B612=""),0,IF(OR(N(对接源_01水果!$B612)&lt;$K$2,N(对接源_01水果!$B612)&gt;$K$3),0,1))</f>
        <v>0</v>
      </c>
      <c r="L612">
        <f>IF(OR($L$1="",对接源_01水果!$C612="",对接源_01水果!$C612&lt;&gt;$L$1,对接源_01水果!$B612=""),0,IF(OR(N(对接源_01水果!$B612)&lt;$L$2,N(对接源_01水果!$B612)&gt;$L$3),0,1))</f>
        <v>0</v>
      </c>
      <c r="M612">
        <f>IF(OR($M$1="",对接源_01水果!$C612="",对接源_01水果!$C612&lt;&gt;$M$1,对接源_01水果!$B612=""),0,IF(OR(N(对接源_01水果!$B612)&lt;$M$2,N(对接源_01水果!$B612)&gt;$M$3),0,1))</f>
        <v>0</v>
      </c>
      <c r="N612">
        <f>IF(OR($N$1="",对接源_01水果!$C612="",对接源_01水果!$C612&lt;&gt;$N$1,对接源_01水果!$B612=""),0,IF(OR(N(对接源_01水果!$B612)&lt;$N$2,N(对接源_01水果!$B612)&gt;$N$3),0,1))</f>
        <v>0</v>
      </c>
      <c r="P612">
        <f>IF(AND($K612=1,AND(对接源_01水果!$X612="公司筐",N(对接源_01水果!$T612)&lt;&gt;0)),1,0)</f>
        <v>0</v>
      </c>
      <c r="Q612">
        <f>N(Q611)+$P612</f>
        <v>0</v>
      </c>
      <c r="R612">
        <f>IF(AND($K612=1,AND(对接源_01水果!$X612="公司筐",N(对接源_01水果!$U612)&lt;&gt;0)),1,0)</f>
        <v>0</v>
      </c>
      <c r="S612">
        <f>N(S611)+$R612</f>
        <v>0</v>
      </c>
      <c r="T612">
        <f>IF(AND($K612=1,AND(对接源_01水果!$X612="公司筐",N(对接源_01水果!$V612)&lt;&gt;0)),1,0)</f>
        <v>0</v>
      </c>
      <c r="U612">
        <f>N(U611)+$T612</f>
        <v>47</v>
      </c>
      <c r="V612">
        <f>IF(AND($L612=1,AND(对接源_01水果!$X612="自备筐",N(对接源_01水果!$V612)&lt;&gt;0)),1,0)</f>
        <v>0</v>
      </c>
      <c r="W612">
        <f>N(W611)+$V612</f>
        <v>11</v>
      </c>
      <c r="X612">
        <f>IF(AND($L612=1,AND(对接源_01水果!$X612="自备筐",N(对接源_01水果!$T612)&lt;&gt;0)),1,0)</f>
        <v>0</v>
      </c>
      <c r="Y612">
        <f>N(Y611)+$X612</f>
        <v>0</v>
      </c>
      <c r="Z612">
        <f>IF(AND($M612=1,对接源_01水果!$D612="原料入库"),1,0)</f>
        <v>0</v>
      </c>
      <c r="AA612">
        <f>N(AA611)+$Z612</f>
        <v>24</v>
      </c>
      <c r="AB612">
        <f>IF(AND($M612=1,LEFT(对接源_01水果!$D612,4)="原料出库"),1,0)</f>
        <v>0</v>
      </c>
      <c r="AC612">
        <f>N(AC611)+$AB612</f>
        <v>0</v>
      </c>
      <c r="AD612">
        <f>IF(AND($M612=1,LEFT(对接源_01水果!$D612,4)="成品出库"),1,0)</f>
        <v>0</v>
      </c>
      <c r="AE612">
        <f>N(AE611)+$AD612</f>
        <v>0</v>
      </c>
      <c r="AF612">
        <f>IF(AND($N612=1,AND(LEFT(对接源_01水果!$D612,4)="包装物料",N(对接源_01水果!$K612)&lt;&gt;0)),1,0)</f>
        <v>0</v>
      </c>
      <c r="AG612">
        <f>N(AG611)+$AF612</f>
        <v>0</v>
      </c>
      <c r="AH612">
        <f>IF(AND($N612=1,AND(对接源_01水果!$D612="周转筐－销售出库",N(对接源_01水果!$K612)&lt;&gt;0)),1,0)</f>
        <v>0</v>
      </c>
      <c r="AI612">
        <f>N(AI611)+$AH612</f>
        <v>0</v>
      </c>
      <c r="AJ612" s="7" t="n"/>
      <c r="AL612">
        <f>IF(OR($AL$1="",对接源_01水果!$Y612="",对接源_01水果!$Y612&lt;&gt;$AL$1,对接源_01水果!$B612="",N(对接源_01水果!$AJ612)&lt;=0),0,IF(OR(N(对接源_01水果!$B612)&lt;$AL$2,N(对接源_01水果!$B612)&gt;$AL$3),0,1))</f>
        <v>0</v>
      </c>
      <c r="AM612">
        <f>N(AM611)+$AL612</f>
        <v>0</v>
      </c>
      <c r="AN612" t="str">
        <f>IF(对接源_01水果!$AC612="","",对接源_01水果!$AC612)</f>
        <v>电商/主播</v>
      </c>
      <c r="AO612">
        <f>IF(AN612="",0,IF(MATCH(AN612,$AN$4:$AN$1203,0)=ROW()-3,1,0))</f>
        <v>0</v>
      </c>
      <c r="AP612">
        <f>N(AP611)+$AO612</f>
        <v>4</v>
      </c>
      <c r="AR612">
        <f>IF(OR($AF612=1,$AH612=1),1,0)</f>
        <v>0</v>
      </c>
      <c r="AS612">
        <f>N(AS611)+$AR612</f>
        <v>0</v>
      </c>
    </row>
    <row r="613" ht="14.25" customHeight="1" s="127">
      <c r="A613" t="str">
        <f>IF(对接源_01水果!$C613="","",对接源_01水果!$C613)</f>
        <v>王照雪</v>
      </c>
      <c r="B613">
        <f>IF(A613="",0,IF(MATCH(A613,$A$4:$A$2403,0)=ROW()-3,1,0))</f>
        <v>0</v>
      </c>
      <c r="C613">
        <f>N(C612)+B613</f>
        <v>22</v>
      </c>
      <c r="K613">
        <f>IF(OR($K$1="",对接源_01水果!$C613="",对接源_01水果!$C613&lt;&gt;$K$1,对接源_01水果!$B613=""),0,IF(OR(N(对接源_01水果!$B613)&lt;$K$2,N(对接源_01水果!$B613)&gt;$K$3),0,1))</f>
        <v>0</v>
      </c>
      <c r="L613">
        <f>IF(OR($L$1="",对接源_01水果!$C613="",对接源_01水果!$C613&lt;&gt;$L$1,对接源_01水果!$B613=""),0,IF(OR(N(对接源_01水果!$B613)&lt;$L$2,N(对接源_01水果!$B613)&gt;$L$3),0,1))</f>
        <v>0</v>
      </c>
      <c r="M613">
        <f>IF(OR($M$1="",对接源_01水果!$C613="",对接源_01水果!$C613&lt;&gt;$M$1,对接源_01水果!$B613=""),0,IF(OR(N(对接源_01水果!$B613)&lt;$M$2,N(对接源_01水果!$B613)&gt;$M$3),0,1))</f>
        <v>0</v>
      </c>
      <c r="N613">
        <f>IF(OR($N$1="",对接源_01水果!$C613="",对接源_01水果!$C613&lt;&gt;$N$1,对接源_01水果!$B613=""),0,IF(OR(N(对接源_01水果!$B613)&lt;$N$2,N(对接源_01水果!$B613)&gt;$N$3),0,1))</f>
        <v>0</v>
      </c>
      <c r="P613">
        <f>IF(AND($K613=1,AND(对接源_01水果!$X613="公司筐",N(对接源_01水果!$T613)&lt;&gt;0)),1,0)</f>
        <v>0</v>
      </c>
      <c r="Q613">
        <f>N(Q612)+$P613</f>
        <v>0</v>
      </c>
      <c r="R613">
        <f>IF(AND($K613=1,AND(对接源_01水果!$X613="公司筐",N(对接源_01水果!$U613)&lt;&gt;0)),1,0)</f>
        <v>0</v>
      </c>
      <c r="S613">
        <f>N(S612)+$R613</f>
        <v>0</v>
      </c>
      <c r="T613">
        <f>IF(AND($K613=1,AND(对接源_01水果!$X613="公司筐",N(对接源_01水果!$V613)&lt;&gt;0)),1,0)</f>
        <v>0</v>
      </c>
      <c r="U613">
        <f>N(U612)+$T613</f>
        <v>47</v>
      </c>
      <c r="V613">
        <f>IF(AND($L613=1,AND(对接源_01水果!$X613="自备筐",N(对接源_01水果!$V613)&lt;&gt;0)),1,0)</f>
        <v>0</v>
      </c>
      <c r="W613">
        <f>N(W612)+$V613</f>
        <v>11</v>
      </c>
      <c r="X613">
        <f>IF(AND($L613=1,AND(对接源_01水果!$X613="自备筐",N(对接源_01水果!$T613)&lt;&gt;0)),1,0)</f>
        <v>0</v>
      </c>
      <c r="Y613">
        <f>N(Y612)+$X613</f>
        <v>0</v>
      </c>
      <c r="Z613">
        <f>IF(AND($M613=1,对接源_01水果!$D613="原料入库"),1,0)</f>
        <v>0</v>
      </c>
      <c r="AA613">
        <f>N(AA612)+$Z613</f>
        <v>24</v>
      </c>
      <c r="AB613">
        <f>IF(AND($M613=1,LEFT(对接源_01水果!$D613,4)="原料出库"),1,0)</f>
        <v>0</v>
      </c>
      <c r="AC613">
        <f>N(AC612)+$AB613</f>
        <v>0</v>
      </c>
      <c r="AD613">
        <f>IF(AND($M613=1,LEFT(对接源_01水果!$D613,4)="成品出库"),1,0)</f>
        <v>0</v>
      </c>
      <c r="AE613">
        <f>N(AE612)+$AD613</f>
        <v>0</v>
      </c>
      <c r="AF613">
        <f>IF(AND($N613=1,AND(LEFT(对接源_01水果!$D613,4)="包装物料",N(对接源_01水果!$K613)&lt;&gt;0)),1,0)</f>
        <v>0</v>
      </c>
      <c r="AG613">
        <f>N(AG612)+$AF613</f>
        <v>0</v>
      </c>
      <c r="AH613">
        <f>IF(AND($N613=1,AND(对接源_01水果!$D613="周转筐－销售出库",N(对接源_01水果!$K613)&lt;&gt;0)),1,0)</f>
        <v>0</v>
      </c>
      <c r="AI613">
        <f>N(AI612)+$AH613</f>
        <v>0</v>
      </c>
      <c r="AJ613" s="7" t="n"/>
      <c r="AL613">
        <f>IF(OR($AL$1="",对接源_01水果!$Y613="",对接源_01水果!$Y613&lt;&gt;$AL$1,对接源_01水果!$B613="",N(对接源_01水果!$AJ613)&lt;=0),0,IF(OR(N(对接源_01水果!$B613)&lt;$AL$2,N(对接源_01水果!$B613)&gt;$AL$3),0,1))</f>
        <v>0</v>
      </c>
      <c r="AM613">
        <f>N(AM612)+$AL613</f>
        <v>0</v>
      </c>
      <c r="AN613" t="str">
        <f>IF(对接源_01水果!$AC613="","",对接源_01水果!$AC613)</f>
        <v>电商/主播</v>
      </c>
      <c r="AO613">
        <f>IF(AN613="",0,IF(MATCH(AN613,$AN$4:$AN$1203,0)=ROW()-3,1,0))</f>
        <v>0</v>
      </c>
      <c r="AP613">
        <f>N(AP612)+$AO613</f>
        <v>4</v>
      </c>
      <c r="AR613">
        <f>IF(OR($AF613=1,$AH613=1),1,0)</f>
        <v>0</v>
      </c>
      <c r="AS613">
        <f>N(AS612)+$AR613</f>
        <v>0</v>
      </c>
    </row>
    <row r="614" ht="14.25" customHeight="1" s="127">
      <c r="A614" t="str">
        <f>IF(对接源_01水果!$C614="","",对接源_01水果!$C614)</f>
        <v>王照雪</v>
      </c>
      <c r="B614">
        <f>IF(A614="",0,IF(MATCH(A614,$A$4:$A$2403,0)=ROW()-3,1,0))</f>
        <v>0</v>
      </c>
      <c r="C614">
        <f>N(C613)+B614</f>
        <v>22</v>
      </c>
      <c r="K614">
        <f>IF(OR($K$1="",对接源_01水果!$C614="",对接源_01水果!$C614&lt;&gt;$K$1,对接源_01水果!$B614=""),0,IF(OR(N(对接源_01水果!$B614)&lt;$K$2,N(对接源_01水果!$B614)&gt;$K$3),0,1))</f>
        <v>0</v>
      </c>
      <c r="L614">
        <f>IF(OR($L$1="",对接源_01水果!$C614="",对接源_01水果!$C614&lt;&gt;$L$1,对接源_01水果!$B614=""),0,IF(OR(N(对接源_01水果!$B614)&lt;$L$2,N(对接源_01水果!$B614)&gt;$L$3),0,1))</f>
        <v>0</v>
      </c>
      <c r="M614">
        <f>IF(OR($M$1="",对接源_01水果!$C614="",对接源_01水果!$C614&lt;&gt;$M$1,对接源_01水果!$B614=""),0,IF(OR(N(对接源_01水果!$B614)&lt;$M$2,N(对接源_01水果!$B614)&gt;$M$3),0,1))</f>
        <v>0</v>
      </c>
      <c r="N614">
        <f>IF(OR($N$1="",对接源_01水果!$C614="",对接源_01水果!$C614&lt;&gt;$N$1,对接源_01水果!$B614=""),0,IF(OR(N(对接源_01水果!$B614)&lt;$N$2,N(对接源_01水果!$B614)&gt;$N$3),0,1))</f>
        <v>0</v>
      </c>
      <c r="P614">
        <f>IF(AND($K614=1,AND(对接源_01水果!$X614="公司筐",N(对接源_01水果!$T614)&lt;&gt;0)),1,0)</f>
        <v>0</v>
      </c>
      <c r="Q614">
        <f>N(Q613)+$P614</f>
        <v>0</v>
      </c>
      <c r="R614">
        <f>IF(AND($K614=1,AND(对接源_01水果!$X614="公司筐",N(对接源_01水果!$U614)&lt;&gt;0)),1,0)</f>
        <v>0</v>
      </c>
      <c r="S614">
        <f>N(S613)+$R614</f>
        <v>0</v>
      </c>
      <c r="T614">
        <f>IF(AND($K614=1,AND(对接源_01水果!$X614="公司筐",N(对接源_01水果!$V614)&lt;&gt;0)),1,0)</f>
        <v>0</v>
      </c>
      <c r="U614">
        <f>N(U613)+$T614</f>
        <v>47</v>
      </c>
      <c r="V614">
        <f>IF(AND($L614=1,AND(对接源_01水果!$X614="自备筐",N(对接源_01水果!$V614)&lt;&gt;0)),1,0)</f>
        <v>0</v>
      </c>
      <c r="W614">
        <f>N(W613)+$V614</f>
        <v>11</v>
      </c>
      <c r="X614">
        <f>IF(AND($L614=1,AND(对接源_01水果!$X614="自备筐",N(对接源_01水果!$T614)&lt;&gt;0)),1,0)</f>
        <v>0</v>
      </c>
      <c r="Y614">
        <f>N(Y613)+$X614</f>
        <v>0</v>
      </c>
      <c r="Z614">
        <f>IF(AND($M614=1,对接源_01水果!$D614="原料入库"),1,0)</f>
        <v>0</v>
      </c>
      <c r="AA614">
        <f>N(AA613)+$Z614</f>
        <v>24</v>
      </c>
      <c r="AB614">
        <f>IF(AND($M614=1,LEFT(对接源_01水果!$D614,4)="原料出库"),1,0)</f>
        <v>0</v>
      </c>
      <c r="AC614">
        <f>N(AC613)+$AB614</f>
        <v>0</v>
      </c>
      <c r="AD614">
        <f>IF(AND($M614=1,LEFT(对接源_01水果!$D614,4)="成品出库"),1,0)</f>
        <v>0</v>
      </c>
      <c r="AE614">
        <f>N(AE613)+$AD614</f>
        <v>0</v>
      </c>
      <c r="AF614">
        <f>IF(AND($N614=1,AND(LEFT(对接源_01水果!$D614,4)="包装物料",N(对接源_01水果!$K614)&lt;&gt;0)),1,0)</f>
        <v>0</v>
      </c>
      <c r="AG614">
        <f>N(AG613)+$AF614</f>
        <v>0</v>
      </c>
      <c r="AH614">
        <f>IF(AND($N614=1,AND(对接源_01水果!$D614="周转筐－销售出库",N(对接源_01水果!$K614)&lt;&gt;0)),1,0)</f>
        <v>0</v>
      </c>
      <c r="AI614">
        <f>N(AI613)+$AH614</f>
        <v>0</v>
      </c>
      <c r="AJ614" s="7" t="n"/>
      <c r="AL614">
        <f>IF(OR($AL$1="",对接源_01水果!$Y614="",对接源_01水果!$Y614&lt;&gt;$AL$1,对接源_01水果!$B614="",N(对接源_01水果!$AJ614)&lt;=0),0,IF(OR(N(对接源_01水果!$B614)&lt;$AL$2,N(对接源_01水果!$B614)&gt;$AL$3),0,1))</f>
        <v>0</v>
      </c>
      <c r="AM614">
        <f>N(AM613)+$AL614</f>
        <v>0</v>
      </c>
      <c r="AN614" t="str">
        <f>IF(对接源_01水果!$AC614="","",对接源_01水果!$AC614)</f>
        <v>王照雪</v>
      </c>
      <c r="AO614">
        <f>IF(AN614="",0,IF(MATCH(AN614,$AN$4:$AN$1203,0)=ROW()-3,1,0))</f>
        <v>0</v>
      </c>
      <c r="AP614">
        <f>N(AP613)+$AO614</f>
        <v>4</v>
      </c>
      <c r="AR614">
        <f>IF(OR($AF614=1,$AH614=1),1,0)</f>
        <v>0</v>
      </c>
      <c r="AS614">
        <f>N(AS613)+$AR614</f>
        <v>0</v>
      </c>
    </row>
    <row r="615" ht="14.25" customHeight="1" s="127">
      <c r="A615" t="str">
        <f>IF(对接源_01水果!$C615="","",对接源_01水果!$C615)</f>
        <v>王照雪</v>
      </c>
      <c r="B615">
        <f>IF(A615="",0,IF(MATCH(A615,$A$4:$A$2403,0)=ROW()-3,1,0))</f>
        <v>0</v>
      </c>
      <c r="C615">
        <f>N(C614)+B615</f>
        <v>22</v>
      </c>
      <c r="K615">
        <f>IF(OR($K$1="",对接源_01水果!$C615="",对接源_01水果!$C615&lt;&gt;$K$1,对接源_01水果!$B615=""),0,IF(OR(N(对接源_01水果!$B615)&lt;$K$2,N(对接源_01水果!$B615)&gt;$K$3),0,1))</f>
        <v>0</v>
      </c>
      <c r="L615">
        <f>IF(OR($L$1="",对接源_01水果!$C615="",对接源_01水果!$C615&lt;&gt;$L$1,对接源_01水果!$B615=""),0,IF(OR(N(对接源_01水果!$B615)&lt;$L$2,N(对接源_01水果!$B615)&gt;$L$3),0,1))</f>
        <v>0</v>
      </c>
      <c r="M615">
        <f>IF(OR($M$1="",对接源_01水果!$C615="",对接源_01水果!$C615&lt;&gt;$M$1,对接源_01水果!$B615=""),0,IF(OR(N(对接源_01水果!$B615)&lt;$M$2,N(对接源_01水果!$B615)&gt;$M$3),0,1))</f>
        <v>0</v>
      </c>
      <c r="N615">
        <f>IF(OR($N$1="",对接源_01水果!$C615="",对接源_01水果!$C615&lt;&gt;$N$1,对接源_01水果!$B615=""),0,IF(OR(N(对接源_01水果!$B615)&lt;$N$2,N(对接源_01水果!$B615)&gt;$N$3),0,1))</f>
        <v>0</v>
      </c>
      <c r="P615">
        <f>IF(AND($K615=1,AND(对接源_01水果!$X615="公司筐",N(对接源_01水果!$T615)&lt;&gt;0)),1,0)</f>
        <v>0</v>
      </c>
      <c r="Q615">
        <f>N(Q614)+$P615</f>
        <v>0</v>
      </c>
      <c r="R615">
        <f>IF(AND($K615=1,AND(对接源_01水果!$X615="公司筐",N(对接源_01水果!$U615)&lt;&gt;0)),1,0)</f>
        <v>0</v>
      </c>
      <c r="S615">
        <f>N(S614)+$R615</f>
        <v>0</v>
      </c>
      <c r="T615">
        <f>IF(AND($K615=1,AND(对接源_01水果!$X615="公司筐",N(对接源_01水果!$V615)&lt;&gt;0)),1,0)</f>
        <v>0</v>
      </c>
      <c r="U615">
        <f>N(U614)+$T615</f>
        <v>47</v>
      </c>
      <c r="V615">
        <f>IF(AND($L615=1,AND(对接源_01水果!$X615="自备筐",N(对接源_01水果!$V615)&lt;&gt;0)),1,0)</f>
        <v>0</v>
      </c>
      <c r="W615">
        <f>N(W614)+$V615</f>
        <v>11</v>
      </c>
      <c r="X615">
        <f>IF(AND($L615=1,AND(对接源_01水果!$X615="自备筐",N(对接源_01水果!$T615)&lt;&gt;0)),1,0)</f>
        <v>0</v>
      </c>
      <c r="Y615">
        <f>N(Y614)+$X615</f>
        <v>0</v>
      </c>
      <c r="Z615">
        <f>IF(AND($M615=1,对接源_01水果!$D615="原料入库"),1,0)</f>
        <v>0</v>
      </c>
      <c r="AA615">
        <f>N(AA614)+$Z615</f>
        <v>24</v>
      </c>
      <c r="AB615">
        <f>IF(AND($M615=1,LEFT(对接源_01水果!$D615,4)="原料出库"),1,0)</f>
        <v>0</v>
      </c>
      <c r="AC615">
        <f>N(AC614)+$AB615</f>
        <v>0</v>
      </c>
      <c r="AD615">
        <f>IF(AND($M615=1,LEFT(对接源_01水果!$D615,4)="成品出库"),1,0)</f>
        <v>0</v>
      </c>
      <c r="AE615">
        <f>N(AE614)+$AD615</f>
        <v>0</v>
      </c>
      <c r="AF615">
        <f>IF(AND($N615=1,AND(LEFT(对接源_01水果!$D615,4)="包装物料",N(对接源_01水果!$K615)&lt;&gt;0)),1,0)</f>
        <v>0</v>
      </c>
      <c r="AG615">
        <f>N(AG614)+$AF615</f>
        <v>0</v>
      </c>
      <c r="AH615">
        <f>IF(AND($N615=1,AND(对接源_01水果!$D615="周转筐－销售出库",N(对接源_01水果!$K615)&lt;&gt;0)),1,0)</f>
        <v>0</v>
      </c>
      <c r="AI615">
        <f>N(AI614)+$AH615</f>
        <v>0</v>
      </c>
      <c r="AJ615" s="7" t="n"/>
      <c r="AL615">
        <f>IF(OR($AL$1="",对接源_01水果!$Y615="",对接源_01水果!$Y615&lt;&gt;$AL$1,对接源_01水果!$B615="",N(对接源_01水果!$AJ615)&lt;=0),0,IF(OR(N(对接源_01水果!$B615)&lt;$AL$2,N(对接源_01水果!$B615)&gt;$AL$3),0,1))</f>
        <v>0</v>
      </c>
      <c r="AM615">
        <f>N(AM614)+$AL615</f>
        <v>0</v>
      </c>
      <c r="AN615" t="str">
        <f>IF(对接源_01水果!$AC615="","",对接源_01水果!$AC615)</f>
        <v>电商/主播</v>
      </c>
      <c r="AO615">
        <f>IF(AN615="",0,IF(MATCH(AN615,$AN$4:$AN$1203,0)=ROW()-3,1,0))</f>
        <v>0</v>
      </c>
      <c r="AP615">
        <f>N(AP614)+$AO615</f>
        <v>4</v>
      </c>
      <c r="AR615">
        <f>IF(OR($AF615=1,$AH615=1),1,0)</f>
        <v>0</v>
      </c>
      <c r="AS615">
        <f>N(AS614)+$AR615</f>
        <v>0</v>
      </c>
    </row>
    <row r="616" ht="14.25" customHeight="1" s="127">
      <c r="A616" t="str">
        <f>IF(对接源_01水果!$C616="","",对接源_01水果!$C616)</f>
        <v>王照雪</v>
      </c>
      <c r="B616">
        <f>IF(A616="",0,IF(MATCH(A616,$A$4:$A$2403,0)=ROW()-3,1,0))</f>
        <v>0</v>
      </c>
      <c r="C616">
        <f>N(C615)+B616</f>
        <v>22</v>
      </c>
      <c r="K616">
        <f>IF(OR($K$1="",对接源_01水果!$C616="",对接源_01水果!$C616&lt;&gt;$K$1,对接源_01水果!$B616=""),0,IF(OR(N(对接源_01水果!$B616)&lt;$K$2,N(对接源_01水果!$B616)&gt;$K$3),0,1))</f>
        <v>0</v>
      </c>
      <c r="L616">
        <f>IF(OR($L$1="",对接源_01水果!$C616="",对接源_01水果!$C616&lt;&gt;$L$1,对接源_01水果!$B616=""),0,IF(OR(N(对接源_01水果!$B616)&lt;$L$2,N(对接源_01水果!$B616)&gt;$L$3),0,1))</f>
        <v>0</v>
      </c>
      <c r="M616">
        <f>IF(OR($M$1="",对接源_01水果!$C616="",对接源_01水果!$C616&lt;&gt;$M$1,对接源_01水果!$B616=""),0,IF(OR(N(对接源_01水果!$B616)&lt;$M$2,N(对接源_01水果!$B616)&gt;$M$3),0,1))</f>
        <v>0</v>
      </c>
      <c r="N616">
        <f>IF(OR($N$1="",对接源_01水果!$C616="",对接源_01水果!$C616&lt;&gt;$N$1,对接源_01水果!$B616=""),0,IF(OR(N(对接源_01水果!$B616)&lt;$N$2,N(对接源_01水果!$B616)&gt;$N$3),0,1))</f>
        <v>0</v>
      </c>
      <c r="P616">
        <f>IF(AND($K616=1,AND(对接源_01水果!$X616="公司筐",N(对接源_01水果!$T616)&lt;&gt;0)),1,0)</f>
        <v>0</v>
      </c>
      <c r="Q616">
        <f>N(Q615)+$P616</f>
        <v>0</v>
      </c>
      <c r="R616">
        <f>IF(AND($K616=1,AND(对接源_01水果!$X616="公司筐",N(对接源_01水果!$U616)&lt;&gt;0)),1,0)</f>
        <v>0</v>
      </c>
      <c r="S616">
        <f>N(S615)+$R616</f>
        <v>0</v>
      </c>
      <c r="T616">
        <f>IF(AND($K616=1,AND(对接源_01水果!$X616="公司筐",N(对接源_01水果!$V616)&lt;&gt;0)),1,0)</f>
        <v>0</v>
      </c>
      <c r="U616">
        <f>N(U615)+$T616</f>
        <v>47</v>
      </c>
      <c r="V616">
        <f>IF(AND($L616=1,AND(对接源_01水果!$X616="自备筐",N(对接源_01水果!$V616)&lt;&gt;0)),1,0)</f>
        <v>0</v>
      </c>
      <c r="W616">
        <f>N(W615)+$V616</f>
        <v>11</v>
      </c>
      <c r="X616">
        <f>IF(AND($L616=1,AND(对接源_01水果!$X616="自备筐",N(对接源_01水果!$T616)&lt;&gt;0)),1,0)</f>
        <v>0</v>
      </c>
      <c r="Y616">
        <f>N(Y615)+$X616</f>
        <v>0</v>
      </c>
      <c r="Z616">
        <f>IF(AND($M616=1,对接源_01水果!$D616="原料入库"),1,0)</f>
        <v>0</v>
      </c>
      <c r="AA616">
        <f>N(AA615)+$Z616</f>
        <v>24</v>
      </c>
      <c r="AB616">
        <f>IF(AND($M616=1,LEFT(对接源_01水果!$D616,4)="原料出库"),1,0)</f>
        <v>0</v>
      </c>
      <c r="AC616">
        <f>N(AC615)+$AB616</f>
        <v>0</v>
      </c>
      <c r="AD616">
        <f>IF(AND($M616=1,LEFT(对接源_01水果!$D616,4)="成品出库"),1,0)</f>
        <v>0</v>
      </c>
      <c r="AE616">
        <f>N(AE615)+$AD616</f>
        <v>0</v>
      </c>
      <c r="AF616">
        <f>IF(AND($N616=1,AND(LEFT(对接源_01水果!$D616,4)="包装物料",N(对接源_01水果!$K616)&lt;&gt;0)),1,0)</f>
        <v>0</v>
      </c>
      <c r="AG616">
        <f>N(AG615)+$AF616</f>
        <v>0</v>
      </c>
      <c r="AH616">
        <f>IF(AND($N616=1,AND(对接源_01水果!$D616="周转筐－销售出库",N(对接源_01水果!$K616)&lt;&gt;0)),1,0)</f>
        <v>0</v>
      </c>
      <c r="AI616">
        <f>N(AI615)+$AH616</f>
        <v>0</v>
      </c>
      <c r="AJ616" s="7" t="n"/>
      <c r="AL616">
        <f>IF(OR($AL$1="",对接源_01水果!$Y616="",对接源_01水果!$Y616&lt;&gt;$AL$1,对接源_01水果!$B616="",N(对接源_01水果!$AJ616)&lt;=0),0,IF(OR(N(对接源_01水果!$B616)&lt;$AL$2,N(对接源_01水果!$B616)&gt;$AL$3),0,1))</f>
        <v>0</v>
      </c>
      <c r="AM616">
        <f>N(AM615)+$AL616</f>
        <v>0</v>
      </c>
      <c r="AN616" t="str">
        <f>IF(对接源_01水果!$AC616="","",对接源_01水果!$AC616)</f>
        <v>电商/主播</v>
      </c>
      <c r="AO616">
        <f>IF(AN616="",0,IF(MATCH(AN616,$AN$4:$AN$1203,0)=ROW()-3,1,0))</f>
        <v>0</v>
      </c>
      <c r="AP616">
        <f>N(AP615)+$AO616</f>
        <v>4</v>
      </c>
      <c r="AR616">
        <f>IF(OR($AF616=1,$AH616=1),1,0)</f>
        <v>0</v>
      </c>
      <c r="AS616">
        <f>N(AS615)+$AR616</f>
        <v>0</v>
      </c>
    </row>
    <row r="617" ht="14.25" customHeight="1" s="127">
      <c r="A617" t="str">
        <f>IF(对接源_01水果!$C617="","",对接源_01水果!$C617)</f>
        <v>王照雪</v>
      </c>
      <c r="B617">
        <f>IF(A617="",0,IF(MATCH(A617,$A$4:$A$2403,0)=ROW()-3,1,0))</f>
        <v>0</v>
      </c>
      <c r="C617">
        <f>N(C616)+B617</f>
        <v>22</v>
      </c>
      <c r="K617">
        <f>IF(OR($K$1="",对接源_01水果!$C617="",对接源_01水果!$C617&lt;&gt;$K$1,对接源_01水果!$B617=""),0,IF(OR(N(对接源_01水果!$B617)&lt;$K$2,N(对接源_01水果!$B617)&gt;$K$3),0,1))</f>
        <v>0</v>
      </c>
      <c r="L617">
        <f>IF(OR($L$1="",对接源_01水果!$C617="",对接源_01水果!$C617&lt;&gt;$L$1,对接源_01水果!$B617=""),0,IF(OR(N(对接源_01水果!$B617)&lt;$L$2,N(对接源_01水果!$B617)&gt;$L$3),0,1))</f>
        <v>0</v>
      </c>
      <c r="M617">
        <f>IF(OR($M$1="",对接源_01水果!$C617="",对接源_01水果!$C617&lt;&gt;$M$1,对接源_01水果!$B617=""),0,IF(OR(N(对接源_01水果!$B617)&lt;$M$2,N(对接源_01水果!$B617)&gt;$M$3),0,1))</f>
        <v>0</v>
      </c>
      <c r="N617">
        <f>IF(OR($N$1="",对接源_01水果!$C617="",对接源_01水果!$C617&lt;&gt;$N$1,对接源_01水果!$B617=""),0,IF(OR(N(对接源_01水果!$B617)&lt;$N$2,N(对接源_01水果!$B617)&gt;$N$3),0,1))</f>
        <v>0</v>
      </c>
      <c r="P617">
        <f>IF(AND($K617=1,AND(对接源_01水果!$X617="公司筐",N(对接源_01水果!$T617)&lt;&gt;0)),1,0)</f>
        <v>0</v>
      </c>
      <c r="Q617">
        <f>N(Q616)+$P617</f>
        <v>0</v>
      </c>
      <c r="R617">
        <f>IF(AND($K617=1,AND(对接源_01水果!$X617="公司筐",N(对接源_01水果!$U617)&lt;&gt;0)),1,0)</f>
        <v>0</v>
      </c>
      <c r="S617">
        <f>N(S616)+$R617</f>
        <v>0</v>
      </c>
      <c r="T617">
        <f>IF(AND($K617=1,AND(对接源_01水果!$X617="公司筐",N(对接源_01水果!$V617)&lt;&gt;0)),1,0)</f>
        <v>0</v>
      </c>
      <c r="U617">
        <f>N(U616)+$T617</f>
        <v>47</v>
      </c>
      <c r="V617">
        <f>IF(AND($L617=1,AND(对接源_01水果!$X617="自备筐",N(对接源_01水果!$V617)&lt;&gt;0)),1,0)</f>
        <v>0</v>
      </c>
      <c r="W617">
        <f>N(W616)+$V617</f>
        <v>11</v>
      </c>
      <c r="X617">
        <f>IF(AND($L617=1,AND(对接源_01水果!$X617="自备筐",N(对接源_01水果!$T617)&lt;&gt;0)),1,0)</f>
        <v>0</v>
      </c>
      <c r="Y617">
        <f>N(Y616)+$X617</f>
        <v>0</v>
      </c>
      <c r="Z617">
        <f>IF(AND($M617=1,对接源_01水果!$D617="原料入库"),1,0)</f>
        <v>0</v>
      </c>
      <c r="AA617">
        <f>N(AA616)+$Z617</f>
        <v>24</v>
      </c>
      <c r="AB617">
        <f>IF(AND($M617=1,LEFT(对接源_01水果!$D617,4)="原料出库"),1,0)</f>
        <v>0</v>
      </c>
      <c r="AC617">
        <f>N(AC616)+$AB617</f>
        <v>0</v>
      </c>
      <c r="AD617">
        <f>IF(AND($M617=1,LEFT(对接源_01水果!$D617,4)="成品出库"),1,0)</f>
        <v>0</v>
      </c>
      <c r="AE617">
        <f>N(AE616)+$AD617</f>
        <v>0</v>
      </c>
      <c r="AF617">
        <f>IF(AND($N617=1,AND(LEFT(对接源_01水果!$D617,4)="包装物料",N(对接源_01水果!$K617)&lt;&gt;0)),1,0)</f>
        <v>0</v>
      </c>
      <c r="AG617">
        <f>N(AG616)+$AF617</f>
        <v>0</v>
      </c>
      <c r="AH617">
        <f>IF(AND($N617=1,AND(对接源_01水果!$D617="周转筐－销售出库",N(对接源_01水果!$K617)&lt;&gt;0)),1,0)</f>
        <v>0</v>
      </c>
      <c r="AI617">
        <f>N(AI616)+$AH617</f>
        <v>0</v>
      </c>
      <c r="AJ617" s="7" t="n"/>
      <c r="AL617">
        <f>IF(OR($AL$1="",对接源_01水果!$Y617="",对接源_01水果!$Y617&lt;&gt;$AL$1,对接源_01水果!$B617="",N(对接源_01水果!$AJ617)&lt;=0),0,IF(OR(N(对接源_01水果!$B617)&lt;$AL$2,N(对接源_01水果!$B617)&gt;$AL$3),0,1))</f>
        <v>0</v>
      </c>
      <c r="AM617">
        <f>N(AM616)+$AL617</f>
        <v>0</v>
      </c>
      <c r="AN617" t="str">
        <f>IF(对接源_01水果!$AC617="","",对接源_01水果!$AC617)</f>
        <v>王照雪</v>
      </c>
      <c r="AO617">
        <f>IF(AN617="",0,IF(MATCH(AN617,$AN$4:$AN$1203,0)=ROW()-3,1,0))</f>
        <v>0</v>
      </c>
      <c r="AP617">
        <f>N(AP616)+$AO617</f>
        <v>4</v>
      </c>
      <c r="AR617">
        <f>IF(OR($AF617=1,$AH617=1),1,0)</f>
        <v>0</v>
      </c>
      <c r="AS617">
        <f>N(AS616)+$AR617</f>
        <v>0</v>
      </c>
    </row>
    <row r="618" ht="14.25" customHeight="1" s="127">
      <c r="A618" t="str">
        <f>IF(对接源_01水果!$C618="","",对接源_01水果!$C618)</f>
        <v>王照雪</v>
      </c>
      <c r="B618">
        <f>IF(A618="",0,IF(MATCH(A618,$A$4:$A$2403,0)=ROW()-3,1,0))</f>
        <v>0</v>
      </c>
      <c r="C618">
        <f>N(C617)+B618</f>
        <v>22</v>
      </c>
      <c r="K618">
        <f>IF(OR($K$1="",对接源_01水果!$C618="",对接源_01水果!$C618&lt;&gt;$K$1,对接源_01水果!$B618=""),0,IF(OR(N(对接源_01水果!$B618)&lt;$K$2,N(对接源_01水果!$B618)&gt;$K$3),0,1))</f>
        <v>0</v>
      </c>
      <c r="L618">
        <f>IF(OR($L$1="",对接源_01水果!$C618="",对接源_01水果!$C618&lt;&gt;$L$1,对接源_01水果!$B618=""),0,IF(OR(N(对接源_01水果!$B618)&lt;$L$2,N(对接源_01水果!$B618)&gt;$L$3),0,1))</f>
        <v>0</v>
      </c>
      <c r="M618">
        <f>IF(OR($M$1="",对接源_01水果!$C618="",对接源_01水果!$C618&lt;&gt;$M$1,对接源_01水果!$B618=""),0,IF(OR(N(对接源_01水果!$B618)&lt;$M$2,N(对接源_01水果!$B618)&gt;$M$3),0,1))</f>
        <v>0</v>
      </c>
      <c r="N618">
        <f>IF(OR($N$1="",对接源_01水果!$C618="",对接源_01水果!$C618&lt;&gt;$N$1,对接源_01水果!$B618=""),0,IF(OR(N(对接源_01水果!$B618)&lt;$N$2,N(对接源_01水果!$B618)&gt;$N$3),0,1))</f>
        <v>0</v>
      </c>
      <c r="P618">
        <f>IF(AND($K618=1,AND(对接源_01水果!$X618="公司筐",N(对接源_01水果!$T618)&lt;&gt;0)),1,0)</f>
        <v>0</v>
      </c>
      <c r="Q618">
        <f>N(Q617)+$P618</f>
        <v>0</v>
      </c>
      <c r="R618">
        <f>IF(AND($K618=1,AND(对接源_01水果!$X618="公司筐",N(对接源_01水果!$U618)&lt;&gt;0)),1,0)</f>
        <v>0</v>
      </c>
      <c r="S618">
        <f>N(S617)+$R618</f>
        <v>0</v>
      </c>
      <c r="T618">
        <f>IF(AND($K618=1,AND(对接源_01水果!$X618="公司筐",N(对接源_01水果!$V618)&lt;&gt;0)),1,0)</f>
        <v>0</v>
      </c>
      <c r="U618">
        <f>N(U617)+$T618</f>
        <v>47</v>
      </c>
      <c r="V618">
        <f>IF(AND($L618=1,AND(对接源_01水果!$X618="自备筐",N(对接源_01水果!$V618)&lt;&gt;0)),1,0)</f>
        <v>0</v>
      </c>
      <c r="W618">
        <f>N(W617)+$V618</f>
        <v>11</v>
      </c>
      <c r="X618">
        <f>IF(AND($L618=1,AND(对接源_01水果!$X618="自备筐",N(对接源_01水果!$T618)&lt;&gt;0)),1,0)</f>
        <v>0</v>
      </c>
      <c r="Y618">
        <f>N(Y617)+$X618</f>
        <v>0</v>
      </c>
      <c r="Z618">
        <f>IF(AND($M618=1,对接源_01水果!$D618="原料入库"),1,0)</f>
        <v>0</v>
      </c>
      <c r="AA618">
        <f>N(AA617)+$Z618</f>
        <v>24</v>
      </c>
      <c r="AB618">
        <f>IF(AND($M618=1,LEFT(对接源_01水果!$D618,4)="原料出库"),1,0)</f>
        <v>0</v>
      </c>
      <c r="AC618">
        <f>N(AC617)+$AB618</f>
        <v>0</v>
      </c>
      <c r="AD618">
        <f>IF(AND($M618=1,LEFT(对接源_01水果!$D618,4)="成品出库"),1,0)</f>
        <v>0</v>
      </c>
      <c r="AE618">
        <f>N(AE617)+$AD618</f>
        <v>0</v>
      </c>
      <c r="AF618">
        <f>IF(AND($N618=1,AND(LEFT(对接源_01水果!$D618,4)="包装物料",N(对接源_01水果!$K618)&lt;&gt;0)),1,0)</f>
        <v>0</v>
      </c>
      <c r="AG618">
        <f>N(AG617)+$AF618</f>
        <v>0</v>
      </c>
      <c r="AH618">
        <f>IF(AND($N618=1,AND(对接源_01水果!$D618="周转筐－销售出库",N(对接源_01水果!$K618)&lt;&gt;0)),1,0)</f>
        <v>0</v>
      </c>
      <c r="AI618">
        <f>N(AI617)+$AH618</f>
        <v>0</v>
      </c>
      <c r="AJ618" s="7" t="n"/>
      <c r="AL618">
        <f>IF(OR($AL$1="",对接源_01水果!$Y618="",对接源_01水果!$Y618&lt;&gt;$AL$1,对接源_01水果!$B618="",N(对接源_01水果!$AJ618)&lt;=0),0,IF(OR(N(对接源_01水果!$B618)&lt;$AL$2,N(对接源_01水果!$B618)&gt;$AL$3),0,1))</f>
        <v>0</v>
      </c>
      <c r="AM618">
        <f>N(AM617)+$AL618</f>
        <v>0</v>
      </c>
      <c r="AN618" t="str">
        <f>IF(对接源_01水果!$AC618="","",对接源_01水果!$AC618)</f>
        <v>王照雪</v>
      </c>
      <c r="AO618">
        <f>IF(AN618="",0,IF(MATCH(AN618,$AN$4:$AN$1203,0)=ROW()-3,1,0))</f>
        <v>0</v>
      </c>
      <c r="AP618">
        <f>N(AP617)+$AO618</f>
        <v>4</v>
      </c>
      <c r="AR618">
        <f>IF(OR($AF618=1,$AH618=1),1,0)</f>
        <v>0</v>
      </c>
      <c r="AS618">
        <f>N(AS617)+$AR618</f>
        <v>0</v>
      </c>
    </row>
    <row r="619" ht="14.25" customHeight="1" s="127">
      <c r="A619" t="str">
        <f>IF(对接源_01水果!$C619="","",对接源_01水果!$C619)</f>
        <v>王照雪</v>
      </c>
      <c r="B619">
        <f>IF(A619="",0,IF(MATCH(A619,$A$4:$A$2403,0)=ROW()-3,1,0))</f>
        <v>0</v>
      </c>
      <c r="C619">
        <f>N(C618)+B619</f>
        <v>22</v>
      </c>
      <c r="K619">
        <f>IF(OR($K$1="",对接源_01水果!$C619="",对接源_01水果!$C619&lt;&gt;$K$1,对接源_01水果!$B619=""),0,IF(OR(N(对接源_01水果!$B619)&lt;$K$2,N(对接源_01水果!$B619)&gt;$K$3),0,1))</f>
        <v>0</v>
      </c>
      <c r="L619">
        <f>IF(OR($L$1="",对接源_01水果!$C619="",对接源_01水果!$C619&lt;&gt;$L$1,对接源_01水果!$B619=""),0,IF(OR(N(对接源_01水果!$B619)&lt;$L$2,N(对接源_01水果!$B619)&gt;$L$3),0,1))</f>
        <v>0</v>
      </c>
      <c r="M619">
        <f>IF(OR($M$1="",对接源_01水果!$C619="",对接源_01水果!$C619&lt;&gt;$M$1,对接源_01水果!$B619=""),0,IF(OR(N(对接源_01水果!$B619)&lt;$M$2,N(对接源_01水果!$B619)&gt;$M$3),0,1))</f>
        <v>0</v>
      </c>
      <c r="N619">
        <f>IF(OR($N$1="",对接源_01水果!$C619="",对接源_01水果!$C619&lt;&gt;$N$1,对接源_01水果!$B619=""),0,IF(OR(N(对接源_01水果!$B619)&lt;$N$2,N(对接源_01水果!$B619)&gt;$N$3),0,1))</f>
        <v>0</v>
      </c>
      <c r="P619">
        <f>IF(AND($K619=1,AND(对接源_01水果!$X619="公司筐",N(对接源_01水果!$T619)&lt;&gt;0)),1,0)</f>
        <v>0</v>
      </c>
      <c r="Q619">
        <f>N(Q618)+$P619</f>
        <v>0</v>
      </c>
      <c r="R619">
        <f>IF(AND($K619=1,AND(对接源_01水果!$X619="公司筐",N(对接源_01水果!$U619)&lt;&gt;0)),1,0)</f>
        <v>0</v>
      </c>
      <c r="S619">
        <f>N(S618)+$R619</f>
        <v>0</v>
      </c>
      <c r="T619">
        <f>IF(AND($K619=1,AND(对接源_01水果!$X619="公司筐",N(对接源_01水果!$V619)&lt;&gt;0)),1,0)</f>
        <v>0</v>
      </c>
      <c r="U619">
        <f>N(U618)+$T619</f>
        <v>47</v>
      </c>
      <c r="V619">
        <f>IF(AND($L619=1,AND(对接源_01水果!$X619="自备筐",N(对接源_01水果!$V619)&lt;&gt;0)),1,0)</f>
        <v>0</v>
      </c>
      <c r="W619">
        <f>N(W618)+$V619</f>
        <v>11</v>
      </c>
      <c r="X619">
        <f>IF(AND($L619=1,AND(对接源_01水果!$X619="自备筐",N(对接源_01水果!$T619)&lt;&gt;0)),1,0)</f>
        <v>0</v>
      </c>
      <c r="Y619">
        <f>N(Y618)+$X619</f>
        <v>0</v>
      </c>
      <c r="Z619">
        <f>IF(AND($M619=1,对接源_01水果!$D619="原料入库"),1,0)</f>
        <v>0</v>
      </c>
      <c r="AA619">
        <f>N(AA618)+$Z619</f>
        <v>24</v>
      </c>
      <c r="AB619">
        <f>IF(AND($M619=1,LEFT(对接源_01水果!$D619,4)="原料出库"),1,0)</f>
        <v>0</v>
      </c>
      <c r="AC619">
        <f>N(AC618)+$AB619</f>
        <v>0</v>
      </c>
      <c r="AD619">
        <f>IF(AND($M619=1,LEFT(对接源_01水果!$D619,4)="成品出库"),1,0)</f>
        <v>0</v>
      </c>
      <c r="AE619">
        <f>N(AE618)+$AD619</f>
        <v>0</v>
      </c>
      <c r="AF619">
        <f>IF(AND($N619=1,AND(LEFT(对接源_01水果!$D619,4)="包装物料",N(对接源_01水果!$K619)&lt;&gt;0)),1,0)</f>
        <v>0</v>
      </c>
      <c r="AG619">
        <f>N(AG618)+$AF619</f>
        <v>0</v>
      </c>
      <c r="AH619">
        <f>IF(AND($N619=1,AND(对接源_01水果!$D619="周转筐－销售出库",N(对接源_01水果!$K619)&lt;&gt;0)),1,0)</f>
        <v>0</v>
      </c>
      <c r="AI619">
        <f>N(AI618)+$AH619</f>
        <v>0</v>
      </c>
      <c r="AJ619" s="7" t="n"/>
      <c r="AL619">
        <f>IF(OR($AL$1="",对接源_01水果!$Y619="",对接源_01水果!$Y619&lt;&gt;$AL$1,对接源_01水果!$B619="",N(对接源_01水果!$AJ619)&lt;=0),0,IF(OR(N(对接源_01水果!$B619)&lt;$AL$2,N(对接源_01水果!$B619)&gt;$AL$3),0,1))</f>
        <v>0</v>
      </c>
      <c r="AM619">
        <f>N(AM618)+$AL619</f>
        <v>0</v>
      </c>
      <c r="AN619" t="str">
        <f>IF(对接源_01水果!$AC619="","",对接源_01水果!$AC619)</f>
        <v>电商/主播</v>
      </c>
      <c r="AO619">
        <f>IF(AN619="",0,IF(MATCH(AN619,$AN$4:$AN$1203,0)=ROW()-3,1,0))</f>
        <v>0</v>
      </c>
      <c r="AP619">
        <f>N(AP618)+$AO619</f>
        <v>4</v>
      </c>
      <c r="AR619">
        <f>IF(OR($AF619=1,$AH619=1),1,0)</f>
        <v>0</v>
      </c>
      <c r="AS619">
        <f>N(AS618)+$AR619</f>
        <v>0</v>
      </c>
    </row>
    <row r="620" ht="14.25" customHeight="1" s="127">
      <c r="A620" t="str">
        <f>IF(对接源_01水果!$C620="","",对接源_01水果!$C620)</f>
        <v>王照雪</v>
      </c>
      <c r="B620">
        <f>IF(A620="",0,IF(MATCH(A620,$A$4:$A$2403,0)=ROW()-3,1,0))</f>
        <v>0</v>
      </c>
      <c r="C620">
        <f>N(C619)+B620</f>
        <v>22</v>
      </c>
      <c r="K620">
        <f>IF(OR($K$1="",对接源_01水果!$C620="",对接源_01水果!$C620&lt;&gt;$K$1,对接源_01水果!$B620=""),0,IF(OR(N(对接源_01水果!$B620)&lt;$K$2,N(对接源_01水果!$B620)&gt;$K$3),0,1))</f>
        <v>0</v>
      </c>
      <c r="L620">
        <f>IF(OR($L$1="",对接源_01水果!$C620="",对接源_01水果!$C620&lt;&gt;$L$1,对接源_01水果!$B620=""),0,IF(OR(N(对接源_01水果!$B620)&lt;$L$2,N(对接源_01水果!$B620)&gt;$L$3),0,1))</f>
        <v>0</v>
      </c>
      <c r="M620">
        <f>IF(OR($M$1="",对接源_01水果!$C620="",对接源_01水果!$C620&lt;&gt;$M$1,对接源_01水果!$B620=""),0,IF(OR(N(对接源_01水果!$B620)&lt;$M$2,N(对接源_01水果!$B620)&gt;$M$3),0,1))</f>
        <v>0</v>
      </c>
      <c r="N620">
        <f>IF(OR($N$1="",对接源_01水果!$C620="",对接源_01水果!$C620&lt;&gt;$N$1,对接源_01水果!$B620=""),0,IF(OR(N(对接源_01水果!$B620)&lt;$N$2,N(对接源_01水果!$B620)&gt;$N$3),0,1))</f>
        <v>0</v>
      </c>
      <c r="P620">
        <f>IF(AND($K620=1,AND(对接源_01水果!$X620="公司筐",N(对接源_01水果!$T620)&lt;&gt;0)),1,0)</f>
        <v>0</v>
      </c>
      <c r="Q620">
        <f>N(Q619)+$P620</f>
        <v>0</v>
      </c>
      <c r="R620">
        <f>IF(AND($K620=1,AND(对接源_01水果!$X620="公司筐",N(对接源_01水果!$U620)&lt;&gt;0)),1,0)</f>
        <v>0</v>
      </c>
      <c r="S620">
        <f>N(S619)+$R620</f>
        <v>0</v>
      </c>
      <c r="T620">
        <f>IF(AND($K620=1,AND(对接源_01水果!$X620="公司筐",N(对接源_01水果!$V620)&lt;&gt;0)),1,0)</f>
        <v>0</v>
      </c>
      <c r="U620">
        <f>N(U619)+$T620</f>
        <v>47</v>
      </c>
      <c r="V620">
        <f>IF(AND($L620=1,AND(对接源_01水果!$X620="自备筐",N(对接源_01水果!$V620)&lt;&gt;0)),1,0)</f>
        <v>0</v>
      </c>
      <c r="W620">
        <f>N(W619)+$V620</f>
        <v>11</v>
      </c>
      <c r="X620">
        <f>IF(AND($L620=1,AND(对接源_01水果!$X620="自备筐",N(对接源_01水果!$T620)&lt;&gt;0)),1,0)</f>
        <v>0</v>
      </c>
      <c r="Y620">
        <f>N(Y619)+$X620</f>
        <v>0</v>
      </c>
      <c r="Z620">
        <f>IF(AND($M620=1,对接源_01水果!$D620="原料入库"),1,0)</f>
        <v>0</v>
      </c>
      <c r="AA620">
        <f>N(AA619)+$Z620</f>
        <v>24</v>
      </c>
      <c r="AB620">
        <f>IF(AND($M620=1,LEFT(对接源_01水果!$D620,4)="原料出库"),1,0)</f>
        <v>0</v>
      </c>
      <c r="AC620">
        <f>N(AC619)+$AB620</f>
        <v>0</v>
      </c>
      <c r="AD620">
        <f>IF(AND($M620=1,LEFT(对接源_01水果!$D620,4)="成品出库"),1,0)</f>
        <v>0</v>
      </c>
      <c r="AE620">
        <f>N(AE619)+$AD620</f>
        <v>0</v>
      </c>
      <c r="AF620">
        <f>IF(AND($N620=1,AND(LEFT(对接源_01水果!$D620,4)="包装物料",N(对接源_01水果!$K620)&lt;&gt;0)),1,0)</f>
        <v>0</v>
      </c>
      <c r="AG620">
        <f>N(AG619)+$AF620</f>
        <v>0</v>
      </c>
      <c r="AH620">
        <f>IF(AND($N620=1,AND(对接源_01水果!$D620="周转筐－销售出库",N(对接源_01水果!$K620)&lt;&gt;0)),1,0)</f>
        <v>0</v>
      </c>
      <c r="AI620">
        <f>N(AI619)+$AH620</f>
        <v>0</v>
      </c>
      <c r="AJ620" s="7" t="n"/>
      <c r="AL620">
        <f>IF(OR($AL$1="",对接源_01水果!$Y620="",对接源_01水果!$Y620&lt;&gt;$AL$1,对接源_01水果!$B620="",N(对接源_01水果!$AJ620)&lt;=0),0,IF(OR(N(对接源_01水果!$B620)&lt;$AL$2,N(对接源_01水果!$B620)&gt;$AL$3),0,1))</f>
        <v>0</v>
      </c>
      <c r="AM620">
        <f>N(AM619)+$AL620</f>
        <v>0</v>
      </c>
      <c r="AN620" t="str">
        <f>IF(对接源_01水果!$AC620="","",对接源_01水果!$AC620)</f>
        <v>王照雪</v>
      </c>
      <c r="AO620">
        <f>IF(AN620="",0,IF(MATCH(AN620,$AN$4:$AN$1203,0)=ROW()-3,1,0))</f>
        <v>0</v>
      </c>
      <c r="AP620">
        <f>N(AP619)+$AO620</f>
        <v>4</v>
      </c>
      <c r="AR620">
        <f>IF(OR($AF620=1,$AH620=1),1,0)</f>
        <v>0</v>
      </c>
      <c r="AS620">
        <f>N(AS619)+$AR620</f>
        <v>0</v>
      </c>
    </row>
    <row r="621" ht="14.25" customHeight="1" s="127">
      <c r="A621" t="str">
        <f>IF(对接源_01水果!$C621="","",对接源_01水果!$C621)</f>
        <v>王照雪</v>
      </c>
      <c r="B621">
        <f>IF(A621="",0,IF(MATCH(A621,$A$4:$A$2403,0)=ROW()-3,1,0))</f>
        <v>0</v>
      </c>
      <c r="C621">
        <f>N(C620)+B621</f>
        <v>22</v>
      </c>
      <c r="K621">
        <f>IF(OR($K$1="",对接源_01水果!$C621="",对接源_01水果!$C621&lt;&gt;$K$1,对接源_01水果!$B621=""),0,IF(OR(N(对接源_01水果!$B621)&lt;$K$2,N(对接源_01水果!$B621)&gt;$K$3),0,1))</f>
        <v>0</v>
      </c>
      <c r="L621">
        <f>IF(OR($L$1="",对接源_01水果!$C621="",对接源_01水果!$C621&lt;&gt;$L$1,对接源_01水果!$B621=""),0,IF(OR(N(对接源_01水果!$B621)&lt;$L$2,N(对接源_01水果!$B621)&gt;$L$3),0,1))</f>
        <v>0</v>
      </c>
      <c r="M621">
        <f>IF(OR($M$1="",对接源_01水果!$C621="",对接源_01水果!$C621&lt;&gt;$M$1,对接源_01水果!$B621=""),0,IF(OR(N(对接源_01水果!$B621)&lt;$M$2,N(对接源_01水果!$B621)&gt;$M$3),0,1))</f>
        <v>0</v>
      </c>
      <c r="N621">
        <f>IF(OR($N$1="",对接源_01水果!$C621="",对接源_01水果!$C621&lt;&gt;$N$1,对接源_01水果!$B621=""),0,IF(OR(N(对接源_01水果!$B621)&lt;$N$2,N(对接源_01水果!$B621)&gt;$N$3),0,1))</f>
        <v>0</v>
      </c>
      <c r="P621">
        <f>IF(AND($K621=1,AND(对接源_01水果!$X621="公司筐",N(对接源_01水果!$T621)&lt;&gt;0)),1,0)</f>
        <v>0</v>
      </c>
      <c r="Q621">
        <f>N(Q620)+$P621</f>
        <v>0</v>
      </c>
      <c r="R621">
        <f>IF(AND($K621=1,AND(对接源_01水果!$X621="公司筐",N(对接源_01水果!$U621)&lt;&gt;0)),1,0)</f>
        <v>0</v>
      </c>
      <c r="S621">
        <f>N(S620)+$R621</f>
        <v>0</v>
      </c>
      <c r="T621">
        <f>IF(AND($K621=1,AND(对接源_01水果!$X621="公司筐",N(对接源_01水果!$V621)&lt;&gt;0)),1,0)</f>
        <v>0</v>
      </c>
      <c r="U621">
        <f>N(U620)+$T621</f>
        <v>47</v>
      </c>
      <c r="V621">
        <f>IF(AND($L621=1,AND(对接源_01水果!$X621="自备筐",N(对接源_01水果!$V621)&lt;&gt;0)),1,0)</f>
        <v>0</v>
      </c>
      <c r="W621">
        <f>N(W620)+$V621</f>
        <v>11</v>
      </c>
      <c r="X621">
        <f>IF(AND($L621=1,AND(对接源_01水果!$X621="自备筐",N(对接源_01水果!$T621)&lt;&gt;0)),1,0)</f>
        <v>0</v>
      </c>
      <c r="Y621">
        <f>N(Y620)+$X621</f>
        <v>0</v>
      </c>
      <c r="Z621">
        <f>IF(AND($M621=1,对接源_01水果!$D621="原料入库"),1,0)</f>
        <v>0</v>
      </c>
      <c r="AA621">
        <f>N(AA620)+$Z621</f>
        <v>24</v>
      </c>
      <c r="AB621">
        <f>IF(AND($M621=1,LEFT(对接源_01水果!$D621,4)="原料出库"),1,0)</f>
        <v>0</v>
      </c>
      <c r="AC621">
        <f>N(AC620)+$AB621</f>
        <v>0</v>
      </c>
      <c r="AD621">
        <f>IF(AND($M621=1,LEFT(对接源_01水果!$D621,4)="成品出库"),1,0)</f>
        <v>0</v>
      </c>
      <c r="AE621">
        <f>N(AE620)+$AD621</f>
        <v>0</v>
      </c>
      <c r="AF621">
        <f>IF(AND($N621=1,AND(LEFT(对接源_01水果!$D621,4)="包装物料",N(对接源_01水果!$K621)&lt;&gt;0)),1,0)</f>
        <v>0</v>
      </c>
      <c r="AG621">
        <f>N(AG620)+$AF621</f>
        <v>0</v>
      </c>
      <c r="AH621">
        <f>IF(AND($N621=1,AND(对接源_01水果!$D621="周转筐－销售出库",N(对接源_01水果!$K621)&lt;&gt;0)),1,0)</f>
        <v>0</v>
      </c>
      <c r="AI621">
        <f>N(AI620)+$AH621</f>
        <v>0</v>
      </c>
      <c r="AJ621" s="7" t="n"/>
      <c r="AL621">
        <f>IF(OR($AL$1="",对接源_01水果!$Y621="",对接源_01水果!$Y621&lt;&gt;$AL$1,对接源_01水果!$B621="",N(对接源_01水果!$AJ621)&lt;=0),0,IF(OR(N(对接源_01水果!$B621)&lt;$AL$2,N(对接源_01水果!$B621)&gt;$AL$3),0,1))</f>
        <v>0</v>
      </c>
      <c r="AM621">
        <f>N(AM620)+$AL621</f>
        <v>0</v>
      </c>
      <c r="AN621" t="str">
        <f>IF(对接源_01水果!$AC621="","",对接源_01水果!$AC621)</f>
        <v>四连书记</v>
      </c>
      <c r="AO621">
        <f>IF(AN621="",0,IF(MATCH(AN621,$AN$4:$AN$1203,0)=ROW()-3,1,0))</f>
        <v>1</v>
      </c>
      <c r="AP621">
        <f>N(AP620)+$AO621</f>
        <v>5</v>
      </c>
      <c r="AR621">
        <f>IF(OR($AF621=1,$AH621=1),1,0)</f>
        <v>0</v>
      </c>
      <c r="AS621">
        <f>N(AS620)+$AR621</f>
        <v>0</v>
      </c>
    </row>
    <row r="622" ht="14.25" customHeight="1" s="127">
      <c r="A622" t="str">
        <f>IF(对接源_01水果!$C622="","",对接源_01水果!$C622)</f>
        <v>王照雪</v>
      </c>
      <c r="B622">
        <f>IF(A622="",0,IF(MATCH(A622,$A$4:$A$2403,0)=ROW()-3,1,0))</f>
        <v>0</v>
      </c>
      <c r="C622">
        <f>N(C621)+B622</f>
        <v>22</v>
      </c>
      <c r="K622">
        <f>IF(OR($K$1="",对接源_01水果!$C622="",对接源_01水果!$C622&lt;&gt;$K$1,对接源_01水果!$B622=""),0,IF(OR(N(对接源_01水果!$B622)&lt;$K$2,N(对接源_01水果!$B622)&gt;$K$3),0,1))</f>
        <v>0</v>
      </c>
      <c r="L622">
        <f>IF(OR($L$1="",对接源_01水果!$C622="",对接源_01水果!$C622&lt;&gt;$L$1,对接源_01水果!$B622=""),0,IF(OR(N(对接源_01水果!$B622)&lt;$L$2,N(对接源_01水果!$B622)&gt;$L$3),0,1))</f>
        <v>0</v>
      </c>
      <c r="M622">
        <f>IF(OR($M$1="",对接源_01水果!$C622="",对接源_01水果!$C622&lt;&gt;$M$1,对接源_01水果!$B622=""),0,IF(OR(N(对接源_01水果!$B622)&lt;$M$2,N(对接源_01水果!$B622)&gt;$M$3),0,1))</f>
        <v>0</v>
      </c>
      <c r="N622">
        <f>IF(OR($N$1="",对接源_01水果!$C622="",对接源_01水果!$C622&lt;&gt;$N$1,对接源_01水果!$B622=""),0,IF(OR(N(对接源_01水果!$B622)&lt;$N$2,N(对接源_01水果!$B622)&gt;$N$3),0,1))</f>
        <v>0</v>
      </c>
      <c r="P622">
        <f>IF(AND($K622=1,AND(对接源_01水果!$X622="公司筐",N(对接源_01水果!$T622)&lt;&gt;0)),1,0)</f>
        <v>0</v>
      </c>
      <c r="Q622">
        <f>N(Q621)+$P622</f>
        <v>0</v>
      </c>
      <c r="R622">
        <f>IF(AND($K622=1,AND(对接源_01水果!$X622="公司筐",N(对接源_01水果!$U622)&lt;&gt;0)),1,0)</f>
        <v>0</v>
      </c>
      <c r="S622">
        <f>N(S621)+$R622</f>
        <v>0</v>
      </c>
      <c r="T622">
        <f>IF(AND($K622=1,AND(对接源_01水果!$X622="公司筐",N(对接源_01水果!$V622)&lt;&gt;0)),1,0)</f>
        <v>0</v>
      </c>
      <c r="U622">
        <f>N(U621)+$T622</f>
        <v>47</v>
      </c>
      <c r="V622">
        <f>IF(AND($L622=1,AND(对接源_01水果!$X622="自备筐",N(对接源_01水果!$V622)&lt;&gt;0)),1,0)</f>
        <v>0</v>
      </c>
      <c r="W622">
        <f>N(W621)+$V622</f>
        <v>11</v>
      </c>
      <c r="X622">
        <f>IF(AND($L622=1,AND(对接源_01水果!$X622="自备筐",N(对接源_01水果!$T622)&lt;&gt;0)),1,0)</f>
        <v>0</v>
      </c>
      <c r="Y622">
        <f>N(Y621)+$X622</f>
        <v>0</v>
      </c>
      <c r="Z622">
        <f>IF(AND($M622=1,对接源_01水果!$D622="原料入库"),1,0)</f>
        <v>0</v>
      </c>
      <c r="AA622">
        <f>N(AA621)+$Z622</f>
        <v>24</v>
      </c>
      <c r="AB622">
        <f>IF(AND($M622=1,LEFT(对接源_01水果!$D622,4)="原料出库"),1,0)</f>
        <v>0</v>
      </c>
      <c r="AC622">
        <f>N(AC621)+$AB622</f>
        <v>0</v>
      </c>
      <c r="AD622">
        <f>IF(AND($M622=1,LEFT(对接源_01水果!$D622,4)="成品出库"),1,0)</f>
        <v>0</v>
      </c>
      <c r="AE622">
        <f>N(AE621)+$AD622</f>
        <v>0</v>
      </c>
      <c r="AF622">
        <f>IF(AND($N622=1,AND(LEFT(对接源_01水果!$D622,4)="包装物料",N(对接源_01水果!$K622)&lt;&gt;0)),1,0)</f>
        <v>0</v>
      </c>
      <c r="AG622">
        <f>N(AG621)+$AF622</f>
        <v>0</v>
      </c>
      <c r="AH622">
        <f>IF(AND($N622=1,AND(对接源_01水果!$D622="周转筐－销售出库",N(对接源_01水果!$K622)&lt;&gt;0)),1,0)</f>
        <v>0</v>
      </c>
      <c r="AI622">
        <f>N(AI621)+$AH622</f>
        <v>0</v>
      </c>
      <c r="AJ622" s="7" t="n"/>
      <c r="AL622">
        <f>IF(OR($AL$1="",对接源_01水果!$Y622="",对接源_01水果!$Y622&lt;&gt;$AL$1,对接源_01水果!$B622="",N(对接源_01水果!$AJ622)&lt;=0),0,IF(OR(N(对接源_01水果!$B622)&lt;$AL$2,N(对接源_01水果!$B622)&gt;$AL$3),0,1))</f>
        <v>0</v>
      </c>
      <c r="AM622">
        <f>N(AM621)+$AL622</f>
        <v>0</v>
      </c>
      <c r="AN622" t="str">
        <f>IF(对接源_01水果!$AC622="","",对接源_01水果!$AC622)</f>
        <v>电商/主播</v>
      </c>
      <c r="AO622">
        <f>IF(AN622="",0,IF(MATCH(AN622,$AN$4:$AN$1203,0)=ROW()-3,1,0))</f>
        <v>0</v>
      </c>
      <c r="AP622">
        <f>N(AP621)+$AO622</f>
        <v>5</v>
      </c>
      <c r="AR622">
        <f>IF(OR($AF622=1,$AH622=1),1,0)</f>
        <v>0</v>
      </c>
      <c r="AS622">
        <f>N(AS621)+$AR622</f>
        <v>0</v>
      </c>
    </row>
    <row r="623" ht="14.25" customHeight="1" s="127">
      <c r="A623" t="str">
        <f>IF(对接源_01水果!$C623="","",对接源_01水果!$C623)</f>
        <v>王照雪</v>
      </c>
      <c r="B623">
        <f>IF(A623="",0,IF(MATCH(A623,$A$4:$A$2403,0)=ROW()-3,1,0))</f>
        <v>0</v>
      </c>
      <c r="C623">
        <f>N(C622)+B623</f>
        <v>22</v>
      </c>
      <c r="K623">
        <f>IF(OR($K$1="",对接源_01水果!$C623="",对接源_01水果!$C623&lt;&gt;$K$1,对接源_01水果!$B623=""),0,IF(OR(N(对接源_01水果!$B623)&lt;$K$2,N(对接源_01水果!$B623)&gt;$K$3),0,1))</f>
        <v>0</v>
      </c>
      <c r="L623">
        <f>IF(OR($L$1="",对接源_01水果!$C623="",对接源_01水果!$C623&lt;&gt;$L$1,对接源_01水果!$B623=""),0,IF(OR(N(对接源_01水果!$B623)&lt;$L$2,N(对接源_01水果!$B623)&gt;$L$3),0,1))</f>
        <v>0</v>
      </c>
      <c r="M623">
        <f>IF(OR($M$1="",对接源_01水果!$C623="",对接源_01水果!$C623&lt;&gt;$M$1,对接源_01水果!$B623=""),0,IF(OR(N(对接源_01水果!$B623)&lt;$M$2,N(对接源_01水果!$B623)&gt;$M$3),0,1))</f>
        <v>0</v>
      </c>
      <c r="N623">
        <f>IF(OR($N$1="",对接源_01水果!$C623="",对接源_01水果!$C623&lt;&gt;$N$1,对接源_01水果!$B623=""),0,IF(OR(N(对接源_01水果!$B623)&lt;$N$2,N(对接源_01水果!$B623)&gt;$N$3),0,1))</f>
        <v>0</v>
      </c>
      <c r="P623">
        <f>IF(AND($K623=1,AND(对接源_01水果!$X623="公司筐",N(对接源_01水果!$T623)&lt;&gt;0)),1,0)</f>
        <v>0</v>
      </c>
      <c r="Q623">
        <f>N(Q622)+$P623</f>
        <v>0</v>
      </c>
      <c r="R623">
        <f>IF(AND($K623=1,AND(对接源_01水果!$X623="公司筐",N(对接源_01水果!$U623)&lt;&gt;0)),1,0)</f>
        <v>0</v>
      </c>
      <c r="S623">
        <f>N(S622)+$R623</f>
        <v>0</v>
      </c>
      <c r="T623">
        <f>IF(AND($K623=1,AND(对接源_01水果!$X623="公司筐",N(对接源_01水果!$V623)&lt;&gt;0)),1,0)</f>
        <v>0</v>
      </c>
      <c r="U623">
        <f>N(U622)+$T623</f>
        <v>47</v>
      </c>
      <c r="V623">
        <f>IF(AND($L623=1,AND(对接源_01水果!$X623="自备筐",N(对接源_01水果!$V623)&lt;&gt;0)),1,0)</f>
        <v>0</v>
      </c>
      <c r="W623">
        <f>N(W622)+$V623</f>
        <v>11</v>
      </c>
      <c r="X623">
        <f>IF(AND($L623=1,AND(对接源_01水果!$X623="自备筐",N(对接源_01水果!$T623)&lt;&gt;0)),1,0)</f>
        <v>0</v>
      </c>
      <c r="Y623">
        <f>N(Y622)+$X623</f>
        <v>0</v>
      </c>
      <c r="Z623">
        <f>IF(AND($M623=1,对接源_01水果!$D623="原料入库"),1,0)</f>
        <v>0</v>
      </c>
      <c r="AA623">
        <f>N(AA622)+$Z623</f>
        <v>24</v>
      </c>
      <c r="AB623">
        <f>IF(AND($M623=1,LEFT(对接源_01水果!$D623,4)="原料出库"),1,0)</f>
        <v>0</v>
      </c>
      <c r="AC623">
        <f>N(AC622)+$AB623</f>
        <v>0</v>
      </c>
      <c r="AD623">
        <f>IF(AND($M623=1,LEFT(对接源_01水果!$D623,4)="成品出库"),1,0)</f>
        <v>0</v>
      </c>
      <c r="AE623">
        <f>N(AE622)+$AD623</f>
        <v>0</v>
      </c>
      <c r="AF623">
        <f>IF(AND($N623=1,AND(LEFT(对接源_01水果!$D623,4)="包装物料",N(对接源_01水果!$K623)&lt;&gt;0)),1,0)</f>
        <v>0</v>
      </c>
      <c r="AG623">
        <f>N(AG622)+$AF623</f>
        <v>0</v>
      </c>
      <c r="AH623">
        <f>IF(AND($N623=1,AND(对接源_01水果!$D623="周转筐－销售出库",N(对接源_01水果!$K623)&lt;&gt;0)),1,0)</f>
        <v>0</v>
      </c>
      <c r="AI623">
        <f>N(AI622)+$AH623</f>
        <v>0</v>
      </c>
      <c r="AJ623" s="7" t="n"/>
      <c r="AL623">
        <f>IF(OR($AL$1="",对接源_01水果!$Y623="",对接源_01水果!$Y623&lt;&gt;$AL$1,对接源_01水果!$B623="",N(对接源_01水果!$AJ623)&lt;=0),0,IF(OR(N(对接源_01水果!$B623)&lt;$AL$2,N(对接源_01水果!$B623)&gt;$AL$3),0,1))</f>
        <v>0</v>
      </c>
      <c r="AM623">
        <f>N(AM622)+$AL623</f>
        <v>0</v>
      </c>
      <c r="AN623" t="str">
        <f>IF(对接源_01水果!$AC623="","",对接源_01水果!$AC623)</f>
        <v>王照雪</v>
      </c>
      <c r="AO623">
        <f>IF(AN623="",0,IF(MATCH(AN623,$AN$4:$AN$1203,0)=ROW()-3,1,0))</f>
        <v>0</v>
      </c>
      <c r="AP623">
        <f>N(AP622)+$AO623</f>
        <v>5</v>
      </c>
      <c r="AR623">
        <f>IF(OR($AF623=1,$AH623=1),1,0)</f>
        <v>0</v>
      </c>
      <c r="AS623">
        <f>N(AS622)+$AR623</f>
        <v>0</v>
      </c>
    </row>
    <row r="624" ht="14.25" customHeight="1" s="127">
      <c r="A624" t="str">
        <f>IF(对接源_01水果!$C624="","",对接源_01水果!$C624)</f>
        <v>王照雪</v>
      </c>
      <c r="B624">
        <f>IF(A624="",0,IF(MATCH(A624,$A$4:$A$2403,0)=ROW()-3,1,0))</f>
        <v>0</v>
      </c>
      <c r="C624">
        <f>N(C623)+B624</f>
        <v>22</v>
      </c>
      <c r="K624">
        <f>IF(OR($K$1="",对接源_01水果!$C624="",对接源_01水果!$C624&lt;&gt;$K$1,对接源_01水果!$B624=""),0,IF(OR(N(对接源_01水果!$B624)&lt;$K$2,N(对接源_01水果!$B624)&gt;$K$3),0,1))</f>
        <v>0</v>
      </c>
      <c r="L624">
        <f>IF(OR($L$1="",对接源_01水果!$C624="",对接源_01水果!$C624&lt;&gt;$L$1,对接源_01水果!$B624=""),0,IF(OR(N(对接源_01水果!$B624)&lt;$L$2,N(对接源_01水果!$B624)&gt;$L$3),0,1))</f>
        <v>0</v>
      </c>
      <c r="M624">
        <f>IF(OR($M$1="",对接源_01水果!$C624="",对接源_01水果!$C624&lt;&gt;$M$1,对接源_01水果!$B624=""),0,IF(OR(N(对接源_01水果!$B624)&lt;$M$2,N(对接源_01水果!$B624)&gt;$M$3),0,1))</f>
        <v>0</v>
      </c>
      <c r="N624">
        <f>IF(OR($N$1="",对接源_01水果!$C624="",对接源_01水果!$C624&lt;&gt;$N$1,对接源_01水果!$B624=""),0,IF(OR(N(对接源_01水果!$B624)&lt;$N$2,N(对接源_01水果!$B624)&gt;$N$3),0,1))</f>
        <v>0</v>
      </c>
      <c r="P624">
        <f>IF(AND($K624=1,AND(对接源_01水果!$X624="公司筐",N(对接源_01水果!$T624)&lt;&gt;0)),1,0)</f>
        <v>0</v>
      </c>
      <c r="Q624">
        <f>N(Q623)+$P624</f>
        <v>0</v>
      </c>
      <c r="R624">
        <f>IF(AND($K624=1,AND(对接源_01水果!$X624="公司筐",N(对接源_01水果!$U624)&lt;&gt;0)),1,0)</f>
        <v>0</v>
      </c>
      <c r="S624">
        <f>N(S623)+$R624</f>
        <v>0</v>
      </c>
      <c r="T624">
        <f>IF(AND($K624=1,AND(对接源_01水果!$X624="公司筐",N(对接源_01水果!$V624)&lt;&gt;0)),1,0)</f>
        <v>0</v>
      </c>
      <c r="U624">
        <f>N(U623)+$T624</f>
        <v>47</v>
      </c>
      <c r="V624">
        <f>IF(AND($L624=1,AND(对接源_01水果!$X624="自备筐",N(对接源_01水果!$V624)&lt;&gt;0)),1,0)</f>
        <v>0</v>
      </c>
      <c r="W624">
        <f>N(W623)+$V624</f>
        <v>11</v>
      </c>
      <c r="X624">
        <f>IF(AND($L624=1,AND(对接源_01水果!$X624="自备筐",N(对接源_01水果!$T624)&lt;&gt;0)),1,0)</f>
        <v>0</v>
      </c>
      <c r="Y624">
        <f>N(Y623)+$X624</f>
        <v>0</v>
      </c>
      <c r="Z624">
        <f>IF(AND($M624=1,对接源_01水果!$D624="原料入库"),1,0)</f>
        <v>0</v>
      </c>
      <c r="AA624">
        <f>N(AA623)+$Z624</f>
        <v>24</v>
      </c>
      <c r="AB624">
        <f>IF(AND($M624=1,LEFT(对接源_01水果!$D624,4)="原料出库"),1,0)</f>
        <v>0</v>
      </c>
      <c r="AC624">
        <f>N(AC623)+$AB624</f>
        <v>0</v>
      </c>
      <c r="AD624">
        <f>IF(AND($M624=1,LEFT(对接源_01水果!$D624,4)="成品出库"),1,0)</f>
        <v>0</v>
      </c>
      <c r="AE624">
        <f>N(AE623)+$AD624</f>
        <v>0</v>
      </c>
      <c r="AF624">
        <f>IF(AND($N624=1,AND(LEFT(对接源_01水果!$D624,4)="包装物料",N(对接源_01水果!$K624)&lt;&gt;0)),1,0)</f>
        <v>0</v>
      </c>
      <c r="AG624">
        <f>N(AG623)+$AF624</f>
        <v>0</v>
      </c>
      <c r="AH624">
        <f>IF(AND($N624=1,AND(对接源_01水果!$D624="周转筐－销售出库",N(对接源_01水果!$K624)&lt;&gt;0)),1,0)</f>
        <v>0</v>
      </c>
      <c r="AI624">
        <f>N(AI623)+$AH624</f>
        <v>0</v>
      </c>
      <c r="AJ624" s="7" t="n"/>
      <c r="AL624">
        <f>IF(OR($AL$1="",对接源_01水果!$Y624="",对接源_01水果!$Y624&lt;&gt;$AL$1,对接源_01水果!$B624="",N(对接源_01水果!$AJ624)&lt;=0),0,IF(OR(N(对接源_01水果!$B624)&lt;$AL$2,N(对接源_01水果!$B624)&gt;$AL$3),0,1))</f>
        <v>0</v>
      </c>
      <c r="AM624">
        <f>N(AM623)+$AL624</f>
        <v>0</v>
      </c>
      <c r="AN624" t="str">
        <f>IF(对接源_01水果!$AC624="","",对接源_01水果!$AC624)</f>
        <v>王照雪</v>
      </c>
      <c r="AO624">
        <f>IF(AN624="",0,IF(MATCH(AN624,$AN$4:$AN$1203,0)=ROW()-3,1,0))</f>
        <v>0</v>
      </c>
      <c r="AP624">
        <f>N(AP623)+$AO624</f>
        <v>5</v>
      </c>
      <c r="AR624">
        <f>IF(OR($AF624=1,$AH624=1),1,0)</f>
        <v>0</v>
      </c>
      <c r="AS624">
        <f>N(AS623)+$AR624</f>
        <v>0</v>
      </c>
    </row>
    <row r="625" ht="14.25" customHeight="1" s="127">
      <c r="A625" t="str">
        <f>IF(对接源_01水果!$C625="","",对接源_01水果!$C625)</f>
        <v>王灵云</v>
      </c>
      <c r="B625">
        <f>IF(A625="",0,IF(MATCH(A625,$A$4:$A$2403,0)=ROW()-3,1,0))</f>
        <v>0</v>
      </c>
      <c r="C625">
        <f>N(C624)+B625</f>
        <v>22</v>
      </c>
      <c r="K625">
        <f>IF(OR($K$1="",对接源_01水果!$C625="",对接源_01水果!$C625&lt;&gt;$K$1,对接源_01水果!$B625=""),0,IF(OR(N(对接源_01水果!$B625)&lt;$K$2,N(对接源_01水果!$B625)&gt;$K$3),0,1))</f>
        <v>1</v>
      </c>
      <c r="L625">
        <f>IF(OR($L$1="",对接源_01水果!$C625="",对接源_01水果!$C625&lt;&gt;$L$1,对接源_01水果!$B625=""),0,IF(OR(N(对接源_01水果!$B625)&lt;$L$2,N(对接源_01水果!$B625)&gt;$L$3),0,1))</f>
        <v>0</v>
      </c>
      <c r="M625">
        <f>IF(OR($M$1="",对接源_01水果!$C625="",对接源_01水果!$C625&lt;&gt;$M$1,对接源_01水果!$B625=""),0,IF(OR(N(对接源_01水果!$B625)&lt;$M$2,N(对接源_01水果!$B625)&gt;$M$3),0,1))</f>
        <v>0</v>
      </c>
      <c r="N625">
        <f>IF(OR($N$1="",对接源_01水果!$C625="",对接源_01水果!$C625&lt;&gt;$N$1,对接源_01水果!$B625=""),0,IF(OR(N(对接源_01水果!$B625)&lt;$N$2,N(对接源_01水果!$B625)&gt;$N$3),0,1))</f>
        <v>0</v>
      </c>
      <c r="P625">
        <f>IF(AND($K625=1,AND(对接源_01水果!$X625="公司筐",N(对接源_01水果!$T625)&lt;&gt;0)),1,0)</f>
        <v>0</v>
      </c>
      <c r="Q625">
        <f>N(Q624)+$P625</f>
        <v>0</v>
      </c>
      <c r="R625">
        <f>IF(AND($K625=1,AND(对接源_01水果!$X625="公司筐",N(对接源_01水果!$U625)&lt;&gt;0)),1,0)</f>
        <v>0</v>
      </c>
      <c r="S625">
        <f>N(S624)+$R625</f>
        <v>0</v>
      </c>
      <c r="T625">
        <f>IF(AND($K625=1,AND(对接源_01水果!$X625="公司筐",N(对接源_01水果!$V625)&lt;&gt;0)),1,0)</f>
        <v>0</v>
      </c>
      <c r="U625">
        <f>N(U624)+$T625</f>
        <v>47</v>
      </c>
      <c r="V625">
        <f>IF(AND($L625=1,AND(对接源_01水果!$X625="自备筐",N(对接源_01水果!$V625)&lt;&gt;0)),1,0)</f>
        <v>0</v>
      </c>
      <c r="W625">
        <f>N(W624)+$V625</f>
        <v>11</v>
      </c>
      <c r="X625">
        <f>IF(AND($L625=1,AND(对接源_01水果!$X625="自备筐",N(对接源_01水果!$T625)&lt;&gt;0)),1,0)</f>
        <v>0</v>
      </c>
      <c r="Y625">
        <f>N(Y624)+$X625</f>
        <v>0</v>
      </c>
      <c r="Z625">
        <f>IF(AND($M625=1,对接源_01水果!$D625="原料入库"),1,0)</f>
        <v>0</v>
      </c>
      <c r="AA625">
        <f>N(AA624)+$Z625</f>
        <v>24</v>
      </c>
      <c r="AB625">
        <f>IF(AND($M625=1,LEFT(对接源_01水果!$D625,4)="原料出库"),1,0)</f>
        <v>0</v>
      </c>
      <c r="AC625">
        <f>N(AC624)+$AB625</f>
        <v>0</v>
      </c>
      <c r="AD625">
        <f>IF(AND($M625=1,LEFT(对接源_01水果!$D625,4)="成品出库"),1,0)</f>
        <v>0</v>
      </c>
      <c r="AE625">
        <f>N(AE624)+$AD625</f>
        <v>0</v>
      </c>
      <c r="AF625">
        <f>IF(AND($N625=1,AND(LEFT(对接源_01水果!$D625,4)="包装物料",N(对接源_01水果!$K625)&lt;&gt;0)),1,0)</f>
        <v>0</v>
      </c>
      <c r="AG625">
        <f>N(AG624)+$AF625</f>
        <v>0</v>
      </c>
      <c r="AH625">
        <f>IF(AND($N625=1,AND(对接源_01水果!$D625="周转筐－销售出库",N(对接源_01水果!$K625)&lt;&gt;0)),1,0)</f>
        <v>0</v>
      </c>
      <c r="AI625">
        <f>N(AI624)+$AH625</f>
        <v>0</v>
      </c>
      <c r="AJ625" s="7" t="n"/>
      <c r="AL625">
        <f>IF(OR($AL$1="",对接源_01水果!$Y625="",对接源_01水果!$Y625&lt;&gt;$AL$1,对接源_01水果!$B625="",N(对接源_01水果!$AJ625)&lt;=0),0,IF(OR(N(对接源_01水果!$B625)&lt;$AL$2,N(对接源_01水果!$B625)&gt;$AL$3),0,1))</f>
        <v>0</v>
      </c>
      <c r="AM625">
        <f>N(AM624)+$AL625</f>
        <v>0</v>
      </c>
      <c r="AN625" t="str">
        <f>IF(对接源_01水果!$AC625="","",对接源_01水果!$AC625)</f>
        <v>王灵云</v>
      </c>
      <c r="AO625">
        <f>IF(AN625="",0,IF(MATCH(AN625,$AN$4:$AN$1203,0)=ROW()-3,1,0))</f>
        <v>1</v>
      </c>
      <c r="AP625">
        <f>N(AP624)+$AO625</f>
        <v>6</v>
      </c>
      <c r="AR625">
        <f>IF(OR($AF625=1,$AH625=1),1,0)</f>
        <v>0</v>
      </c>
      <c r="AS625">
        <f>N(AS624)+$AR625</f>
        <v>0</v>
      </c>
    </row>
    <row r="626" ht="14.25" customHeight="1" s="127">
      <c r="A626" t="str">
        <f>IF(对接源_01水果!$C626="","",对接源_01水果!$C626)</f>
        <v>麦麦提</v>
      </c>
      <c r="B626">
        <f>IF(A626="",0,IF(MATCH(A626,$A$4:$A$2403,0)=ROW()-3,1,0))</f>
        <v>0</v>
      </c>
      <c r="C626">
        <f>N(C625)+B626</f>
        <v>22</v>
      </c>
      <c r="K626">
        <f>IF(OR($K$1="",对接源_01水果!$C626="",对接源_01水果!$C626&lt;&gt;$K$1,对接源_01水果!$B626=""),0,IF(OR(N(对接源_01水果!$B626)&lt;$K$2,N(对接源_01水果!$B626)&gt;$K$3),0,1))</f>
        <v>0</v>
      </c>
      <c r="L626">
        <f>IF(OR($L$1="",对接源_01水果!$C626="",对接源_01水果!$C626&lt;&gt;$L$1,对接源_01水果!$B626=""),0,IF(OR(N(对接源_01水果!$B626)&lt;$L$2,N(对接源_01水果!$B626)&gt;$L$3),0,1))</f>
        <v>0</v>
      </c>
      <c r="M626">
        <f>IF(OR($M$1="",对接源_01水果!$C626="",对接源_01水果!$C626&lt;&gt;$M$1,对接源_01水果!$B626=""),0,IF(OR(N(对接源_01水果!$B626)&lt;$M$2,N(对接源_01水果!$B626)&gt;$M$3),0,1))</f>
        <v>0</v>
      </c>
      <c r="N626">
        <f>IF(OR($N$1="",对接源_01水果!$C626="",对接源_01水果!$C626&lt;&gt;$N$1,对接源_01水果!$B626=""),0,IF(OR(N(对接源_01水果!$B626)&lt;$N$2,N(对接源_01水果!$B626)&gt;$N$3),0,1))</f>
        <v>1</v>
      </c>
      <c r="P626">
        <f>IF(AND($K626=1,AND(对接源_01水果!$X626="公司筐",N(对接源_01水果!$T626)&lt;&gt;0)),1,0)</f>
        <v>0</v>
      </c>
      <c r="Q626">
        <f>N(Q625)+$P626</f>
        <v>0</v>
      </c>
      <c r="R626">
        <f>IF(AND($K626=1,AND(对接源_01水果!$X626="公司筐",N(对接源_01水果!$U626)&lt;&gt;0)),1,0)</f>
        <v>0</v>
      </c>
      <c r="S626">
        <f>N(S625)+$R626</f>
        <v>0</v>
      </c>
      <c r="T626">
        <f>IF(AND($K626=1,AND(对接源_01水果!$X626="公司筐",N(对接源_01水果!$V626)&lt;&gt;0)),1,0)</f>
        <v>0</v>
      </c>
      <c r="U626">
        <f>N(U625)+$T626</f>
        <v>47</v>
      </c>
      <c r="V626">
        <f>IF(AND($L626=1,AND(对接源_01水果!$X626="自备筐",N(对接源_01水果!$V626)&lt;&gt;0)),1,0)</f>
        <v>0</v>
      </c>
      <c r="W626">
        <f>N(W625)+$V626</f>
        <v>11</v>
      </c>
      <c r="X626">
        <f>IF(AND($L626=1,AND(对接源_01水果!$X626="自备筐",N(对接源_01水果!$T626)&lt;&gt;0)),1,0)</f>
        <v>0</v>
      </c>
      <c r="Y626">
        <f>N(Y625)+$X626</f>
        <v>0</v>
      </c>
      <c r="Z626">
        <f>IF(AND($M626=1,对接源_01水果!$D626="原料入库"),1,0)</f>
        <v>0</v>
      </c>
      <c r="AA626">
        <f>N(AA625)+$Z626</f>
        <v>24</v>
      </c>
      <c r="AB626">
        <f>IF(AND($M626=1,LEFT(对接源_01水果!$D626,4)="原料出库"),1,0)</f>
        <v>0</v>
      </c>
      <c r="AC626">
        <f>N(AC625)+$AB626</f>
        <v>0</v>
      </c>
      <c r="AD626">
        <f>IF(AND($M626=1,LEFT(对接源_01水果!$D626,4)="成品出库"),1,0)</f>
        <v>0</v>
      </c>
      <c r="AE626">
        <f>N(AE625)+$AD626</f>
        <v>0</v>
      </c>
      <c r="AF626">
        <f>IF(AND($N626=1,AND(LEFT(对接源_01水果!$D626,4)="包装物料",N(对接源_01水果!$K626)&lt;&gt;0)),1,0)</f>
        <v>0</v>
      </c>
      <c r="AG626">
        <f>N(AG625)+$AF626</f>
        <v>0</v>
      </c>
      <c r="AH626">
        <f>IF(AND($N626=1,AND(对接源_01水果!$D626="周转筐－销售出库",N(对接源_01水果!$K626)&lt;&gt;0)),1,0)</f>
        <v>0</v>
      </c>
      <c r="AI626">
        <f>N(AI625)+$AH626</f>
        <v>0</v>
      </c>
      <c r="AJ626" s="7" t="n"/>
      <c r="AL626">
        <f>IF(OR($AL$1="",对接源_01水果!$Y626="",对接源_01水果!$Y626&lt;&gt;$AL$1,对接源_01水果!$B626="",N(对接源_01水果!$AJ626)&lt;=0),0,IF(OR(N(对接源_01水果!$B626)&lt;$AL$2,N(对接源_01水果!$B626)&gt;$AL$3),0,1))</f>
        <v>0</v>
      </c>
      <c r="AM626">
        <f>N(AM625)+$AL626</f>
        <v>0</v>
      </c>
      <c r="AN626" t="str">
        <f>IF(对接源_01水果!$AC626="","",对接源_01水果!$AC626)</f>
        <v>麦麦提</v>
      </c>
      <c r="AO626">
        <f>IF(AN626="",0,IF(MATCH(AN626,$AN$4:$AN$1203,0)=ROW()-3,1,0))</f>
        <v>1</v>
      </c>
      <c r="AP626">
        <f>N(AP625)+$AO626</f>
        <v>7</v>
      </c>
      <c r="AR626">
        <f>IF(OR($AF626=1,$AH626=1),1,0)</f>
        <v>0</v>
      </c>
      <c r="AS626">
        <f>N(AS625)+$AR626</f>
        <v>0</v>
      </c>
    </row>
    <row r="627" ht="14.25" customHeight="1" s="127">
      <c r="A627" t="str">
        <f>IF(对接源_01水果!$C627="","",对接源_01水果!$C627)</f>
        <v>麦麦提</v>
      </c>
      <c r="B627">
        <f>IF(A627="",0,IF(MATCH(A627,$A$4:$A$2403,0)=ROW()-3,1,0))</f>
        <v>0</v>
      </c>
      <c r="C627">
        <f>N(C626)+B627</f>
        <v>22</v>
      </c>
      <c r="K627">
        <f>IF(OR($K$1="",对接源_01水果!$C627="",对接源_01水果!$C627&lt;&gt;$K$1,对接源_01水果!$B627=""),0,IF(OR(N(对接源_01水果!$B627)&lt;$K$2,N(对接源_01水果!$B627)&gt;$K$3),0,1))</f>
        <v>0</v>
      </c>
      <c r="L627">
        <f>IF(OR($L$1="",对接源_01水果!$C627="",对接源_01水果!$C627&lt;&gt;$L$1,对接源_01水果!$B627=""),0,IF(OR(N(对接源_01水果!$B627)&lt;$L$2,N(对接源_01水果!$B627)&gt;$L$3),0,1))</f>
        <v>0</v>
      </c>
      <c r="M627">
        <f>IF(OR($M$1="",对接源_01水果!$C627="",对接源_01水果!$C627&lt;&gt;$M$1,对接源_01水果!$B627=""),0,IF(OR(N(对接源_01水果!$B627)&lt;$M$2,N(对接源_01水果!$B627)&gt;$M$3),0,1))</f>
        <v>0</v>
      </c>
      <c r="N627">
        <f>IF(OR($N$1="",对接源_01水果!$C627="",对接源_01水果!$C627&lt;&gt;$N$1,对接源_01水果!$B627=""),0,IF(OR(N(对接源_01水果!$B627)&lt;$N$2,N(对接源_01水果!$B627)&gt;$N$3),0,1))</f>
        <v>1</v>
      </c>
      <c r="P627">
        <f>IF(AND($K627=1,AND(对接源_01水果!$X627="公司筐",N(对接源_01水果!$T627)&lt;&gt;0)),1,0)</f>
        <v>0</v>
      </c>
      <c r="Q627">
        <f>N(Q626)+$P627</f>
        <v>0</v>
      </c>
      <c r="R627">
        <f>IF(AND($K627=1,AND(对接源_01水果!$X627="公司筐",N(对接源_01水果!$U627)&lt;&gt;0)),1,0)</f>
        <v>0</v>
      </c>
      <c r="S627">
        <f>N(S626)+$R627</f>
        <v>0</v>
      </c>
      <c r="T627">
        <f>IF(AND($K627=1,AND(对接源_01水果!$X627="公司筐",N(对接源_01水果!$V627)&lt;&gt;0)),1,0)</f>
        <v>0</v>
      </c>
      <c r="U627">
        <f>N(U626)+$T627</f>
        <v>47</v>
      </c>
      <c r="V627">
        <f>IF(AND($L627=1,AND(对接源_01水果!$X627="自备筐",N(对接源_01水果!$V627)&lt;&gt;0)),1,0)</f>
        <v>0</v>
      </c>
      <c r="W627">
        <f>N(W626)+$V627</f>
        <v>11</v>
      </c>
      <c r="X627">
        <f>IF(AND($L627=1,AND(对接源_01水果!$X627="自备筐",N(对接源_01水果!$T627)&lt;&gt;0)),1,0)</f>
        <v>0</v>
      </c>
      <c r="Y627">
        <f>N(Y626)+$X627</f>
        <v>0</v>
      </c>
      <c r="Z627">
        <f>IF(AND($M627=1,对接源_01水果!$D627="原料入库"),1,0)</f>
        <v>0</v>
      </c>
      <c r="AA627">
        <f>N(AA626)+$Z627</f>
        <v>24</v>
      </c>
      <c r="AB627">
        <f>IF(AND($M627=1,LEFT(对接源_01水果!$D627,4)="原料出库"),1,0)</f>
        <v>0</v>
      </c>
      <c r="AC627">
        <f>N(AC626)+$AB627</f>
        <v>0</v>
      </c>
      <c r="AD627">
        <f>IF(AND($M627=1,LEFT(对接源_01水果!$D627,4)="成品出库"),1,0)</f>
        <v>0</v>
      </c>
      <c r="AE627">
        <f>N(AE626)+$AD627</f>
        <v>0</v>
      </c>
      <c r="AF627">
        <f>IF(AND($N627=1,AND(LEFT(对接源_01水果!$D627,4)="包装物料",N(对接源_01水果!$K627)&lt;&gt;0)),1,0)</f>
        <v>0</v>
      </c>
      <c r="AG627">
        <f>N(AG626)+$AF627</f>
        <v>0</v>
      </c>
      <c r="AH627">
        <f>IF(AND($N627=1,AND(对接源_01水果!$D627="周转筐－销售出库",N(对接源_01水果!$K627)&lt;&gt;0)),1,0)</f>
        <v>0</v>
      </c>
      <c r="AI627">
        <f>N(AI626)+$AH627</f>
        <v>0</v>
      </c>
      <c r="AJ627" s="7" t="n"/>
      <c r="AL627">
        <f>IF(OR($AL$1="",对接源_01水果!$Y627="",对接源_01水果!$Y627&lt;&gt;$AL$1,对接源_01水果!$B627="",N(对接源_01水果!$AJ627)&lt;=0),0,IF(OR(N(对接源_01水果!$B627)&lt;$AL$2,N(对接源_01水果!$B627)&gt;$AL$3),0,1))</f>
        <v>0</v>
      </c>
      <c r="AM627">
        <f>N(AM626)+$AL627</f>
        <v>0</v>
      </c>
      <c r="AN627" t="str">
        <f>IF(对接源_01水果!$AC627="","",对接源_01水果!$AC627)</f>
        <v>麦麦提</v>
      </c>
      <c r="AO627">
        <f>IF(AN627="",0,IF(MATCH(AN627,$AN$4:$AN$1203,0)=ROW()-3,1,0))</f>
        <v>0</v>
      </c>
      <c r="AP627">
        <f>N(AP626)+$AO627</f>
        <v>7</v>
      </c>
      <c r="AR627">
        <f>IF(OR($AF627=1,$AH627=1),1,0)</f>
        <v>0</v>
      </c>
      <c r="AS627">
        <f>N(AS626)+$AR627</f>
        <v>0</v>
      </c>
    </row>
    <row r="628" ht="14.25" customHeight="1" s="127">
      <c r="A628" t="str">
        <f>IF(对接源_01水果!$C628="","",对接源_01水果!$C628)</f>
        <v>王灵云</v>
      </c>
      <c r="B628">
        <f>IF(A628="",0,IF(MATCH(A628,$A$4:$A$2403,0)=ROW()-3,1,0))</f>
        <v>0</v>
      </c>
      <c r="C628">
        <f>N(C627)+B628</f>
        <v>22</v>
      </c>
      <c r="K628">
        <f>IF(OR($K$1="",对接源_01水果!$C628="",对接源_01水果!$C628&lt;&gt;$K$1,对接源_01水果!$B628=""),0,IF(OR(N(对接源_01水果!$B628)&lt;$K$2,N(对接源_01水果!$B628)&gt;$K$3),0,1))</f>
        <v>1</v>
      </c>
      <c r="L628">
        <f>IF(OR($L$1="",对接源_01水果!$C628="",对接源_01水果!$C628&lt;&gt;$L$1,对接源_01水果!$B628=""),0,IF(OR(N(对接源_01水果!$B628)&lt;$L$2,N(对接源_01水果!$B628)&gt;$L$3),0,1))</f>
        <v>0</v>
      </c>
      <c r="M628">
        <f>IF(OR($M$1="",对接源_01水果!$C628="",对接源_01水果!$C628&lt;&gt;$M$1,对接源_01水果!$B628=""),0,IF(OR(N(对接源_01水果!$B628)&lt;$M$2,N(对接源_01水果!$B628)&gt;$M$3),0,1))</f>
        <v>0</v>
      </c>
      <c r="N628">
        <f>IF(OR($N$1="",对接源_01水果!$C628="",对接源_01水果!$C628&lt;&gt;$N$1,对接源_01水果!$B628=""),0,IF(OR(N(对接源_01水果!$B628)&lt;$N$2,N(对接源_01水果!$B628)&gt;$N$3),0,1))</f>
        <v>0</v>
      </c>
      <c r="P628">
        <f>IF(AND($K628=1,AND(对接源_01水果!$X628="公司筐",N(对接源_01水果!$T628)&lt;&gt;0)),1,0)</f>
        <v>0</v>
      </c>
      <c r="Q628">
        <f>N(Q627)+$P628</f>
        <v>0</v>
      </c>
      <c r="R628">
        <f>IF(AND($K628=1,AND(对接源_01水果!$X628="公司筐",N(对接源_01水果!$U628)&lt;&gt;0)),1,0)</f>
        <v>0</v>
      </c>
      <c r="S628">
        <f>N(S627)+$R628</f>
        <v>0</v>
      </c>
      <c r="T628">
        <f>IF(AND($K628=1,AND(对接源_01水果!$X628="公司筐",N(对接源_01水果!$V628)&lt;&gt;0)),1,0)</f>
        <v>0</v>
      </c>
      <c r="U628">
        <f>N(U627)+$T628</f>
        <v>47</v>
      </c>
      <c r="V628">
        <f>IF(AND($L628=1,AND(对接源_01水果!$X628="自备筐",N(对接源_01水果!$V628)&lt;&gt;0)),1,0)</f>
        <v>0</v>
      </c>
      <c r="W628">
        <f>N(W627)+$V628</f>
        <v>11</v>
      </c>
      <c r="X628">
        <f>IF(AND($L628=1,AND(对接源_01水果!$X628="自备筐",N(对接源_01水果!$T628)&lt;&gt;0)),1,0)</f>
        <v>0</v>
      </c>
      <c r="Y628">
        <f>N(Y627)+$X628</f>
        <v>0</v>
      </c>
      <c r="Z628">
        <f>IF(AND($M628=1,对接源_01水果!$D628="原料入库"),1,0)</f>
        <v>0</v>
      </c>
      <c r="AA628">
        <f>N(AA627)+$Z628</f>
        <v>24</v>
      </c>
      <c r="AB628">
        <f>IF(AND($M628=1,LEFT(对接源_01水果!$D628,4)="原料出库"),1,0)</f>
        <v>0</v>
      </c>
      <c r="AC628">
        <f>N(AC627)+$AB628</f>
        <v>0</v>
      </c>
      <c r="AD628">
        <f>IF(AND($M628=1,LEFT(对接源_01水果!$D628,4)="成品出库"),1,0)</f>
        <v>0</v>
      </c>
      <c r="AE628">
        <f>N(AE627)+$AD628</f>
        <v>0</v>
      </c>
      <c r="AF628">
        <f>IF(AND($N628=1,AND(LEFT(对接源_01水果!$D628,4)="包装物料",N(对接源_01水果!$K628)&lt;&gt;0)),1,0)</f>
        <v>0</v>
      </c>
      <c r="AG628">
        <f>N(AG627)+$AF628</f>
        <v>0</v>
      </c>
      <c r="AH628">
        <f>IF(AND($N628=1,AND(对接源_01水果!$D628="周转筐－销售出库",N(对接源_01水果!$K628)&lt;&gt;0)),1,0)</f>
        <v>0</v>
      </c>
      <c r="AI628">
        <f>N(AI627)+$AH628</f>
        <v>0</v>
      </c>
      <c r="AJ628" s="7" t="n"/>
      <c r="AL628">
        <f>IF(OR($AL$1="",对接源_01水果!$Y628="",对接源_01水果!$Y628&lt;&gt;$AL$1,对接源_01水果!$B628="",N(对接源_01水果!$AJ628)&lt;=0),0,IF(OR(N(对接源_01水果!$B628)&lt;$AL$2,N(对接源_01水果!$B628)&gt;$AL$3),0,1))</f>
        <v>0</v>
      </c>
      <c r="AM628">
        <f>N(AM627)+$AL628</f>
        <v>0</v>
      </c>
      <c r="AN628" t="str">
        <f>IF(对接源_01水果!$AC628="","",对接源_01水果!$AC628)</f>
        <v>王灵云</v>
      </c>
      <c r="AO628">
        <f>IF(AN628="",0,IF(MATCH(AN628,$AN$4:$AN$1203,0)=ROW()-3,1,0))</f>
        <v>0</v>
      </c>
      <c r="AP628">
        <f>N(AP627)+$AO628</f>
        <v>7</v>
      </c>
      <c r="AR628">
        <f>IF(OR($AF628=1,$AH628=1),1,0)</f>
        <v>0</v>
      </c>
      <c r="AS628">
        <f>N(AS627)+$AR628</f>
        <v>0</v>
      </c>
    </row>
    <row r="629" ht="14.25" customHeight="1" s="127">
      <c r="A629" t="str">
        <f>IF(对接源_01水果!$C629="","",对接源_01水果!$C629)</f>
        <v>王灵云</v>
      </c>
      <c r="B629">
        <f>IF(A629="",0,IF(MATCH(A629,$A$4:$A$2403,0)=ROW()-3,1,0))</f>
        <v>0</v>
      </c>
      <c r="C629">
        <f>N(C628)+B629</f>
        <v>22</v>
      </c>
      <c r="K629">
        <f>IF(OR($K$1="",对接源_01水果!$C629="",对接源_01水果!$C629&lt;&gt;$K$1,对接源_01水果!$B629=""),0,IF(OR(N(对接源_01水果!$B629)&lt;$K$2,N(对接源_01水果!$B629)&gt;$K$3),0,1))</f>
        <v>1</v>
      </c>
      <c r="L629">
        <f>IF(OR($L$1="",对接源_01水果!$C629="",对接源_01水果!$C629&lt;&gt;$L$1,对接源_01水果!$B629=""),0,IF(OR(N(对接源_01水果!$B629)&lt;$L$2,N(对接源_01水果!$B629)&gt;$L$3),0,1))</f>
        <v>0</v>
      </c>
      <c r="M629">
        <f>IF(OR($M$1="",对接源_01水果!$C629="",对接源_01水果!$C629&lt;&gt;$M$1,对接源_01水果!$B629=""),0,IF(OR(N(对接源_01水果!$B629)&lt;$M$2,N(对接源_01水果!$B629)&gt;$M$3),0,1))</f>
        <v>0</v>
      </c>
      <c r="N629">
        <f>IF(OR($N$1="",对接源_01水果!$C629="",对接源_01水果!$C629&lt;&gt;$N$1,对接源_01水果!$B629=""),0,IF(OR(N(对接源_01水果!$B629)&lt;$N$2,N(对接源_01水果!$B629)&gt;$N$3),0,1))</f>
        <v>0</v>
      </c>
      <c r="P629">
        <f>IF(AND($K629=1,AND(对接源_01水果!$X629="公司筐",N(对接源_01水果!$T629)&lt;&gt;0)),1,0)</f>
        <v>0</v>
      </c>
      <c r="Q629">
        <f>N(Q628)+$P629</f>
        <v>0</v>
      </c>
      <c r="R629">
        <f>IF(AND($K629=1,AND(对接源_01水果!$X629="公司筐",N(对接源_01水果!$U629)&lt;&gt;0)),1,0)</f>
        <v>0</v>
      </c>
      <c r="S629">
        <f>N(S628)+$R629</f>
        <v>0</v>
      </c>
      <c r="T629">
        <f>IF(AND($K629=1,AND(对接源_01水果!$X629="公司筐",N(对接源_01水果!$V629)&lt;&gt;0)),1,0)</f>
        <v>0</v>
      </c>
      <c r="U629">
        <f>N(U628)+$T629</f>
        <v>47</v>
      </c>
      <c r="V629">
        <f>IF(AND($L629=1,AND(对接源_01水果!$X629="自备筐",N(对接源_01水果!$V629)&lt;&gt;0)),1,0)</f>
        <v>0</v>
      </c>
      <c r="W629">
        <f>N(W628)+$V629</f>
        <v>11</v>
      </c>
      <c r="X629">
        <f>IF(AND($L629=1,AND(对接源_01水果!$X629="自备筐",N(对接源_01水果!$T629)&lt;&gt;0)),1,0)</f>
        <v>0</v>
      </c>
      <c r="Y629">
        <f>N(Y628)+$X629</f>
        <v>0</v>
      </c>
      <c r="Z629">
        <f>IF(AND($M629=1,对接源_01水果!$D629="原料入库"),1,0)</f>
        <v>0</v>
      </c>
      <c r="AA629">
        <f>N(AA628)+$Z629</f>
        <v>24</v>
      </c>
      <c r="AB629">
        <f>IF(AND($M629=1,LEFT(对接源_01水果!$D629,4)="原料出库"),1,0)</f>
        <v>0</v>
      </c>
      <c r="AC629">
        <f>N(AC628)+$AB629</f>
        <v>0</v>
      </c>
      <c r="AD629">
        <f>IF(AND($M629=1,LEFT(对接源_01水果!$D629,4)="成品出库"),1,0)</f>
        <v>0</v>
      </c>
      <c r="AE629">
        <f>N(AE628)+$AD629</f>
        <v>0</v>
      </c>
      <c r="AF629">
        <f>IF(AND($N629=1,AND(LEFT(对接源_01水果!$D629,4)="包装物料",N(对接源_01水果!$K629)&lt;&gt;0)),1,0)</f>
        <v>0</v>
      </c>
      <c r="AG629">
        <f>N(AG628)+$AF629</f>
        <v>0</v>
      </c>
      <c r="AH629">
        <f>IF(AND($N629=1,AND(对接源_01水果!$D629="周转筐－销售出库",N(对接源_01水果!$K629)&lt;&gt;0)),1,0)</f>
        <v>0</v>
      </c>
      <c r="AI629">
        <f>N(AI628)+$AH629</f>
        <v>0</v>
      </c>
      <c r="AJ629" s="7" t="n"/>
      <c r="AL629">
        <f>IF(OR($AL$1="",对接源_01水果!$Y629="",对接源_01水果!$Y629&lt;&gt;$AL$1,对接源_01水果!$B629="",N(对接源_01水果!$AJ629)&lt;=0),0,IF(OR(N(对接源_01水果!$B629)&lt;$AL$2,N(对接源_01水果!$B629)&gt;$AL$3),0,1))</f>
        <v>0</v>
      </c>
      <c r="AM629">
        <f>N(AM628)+$AL629</f>
        <v>0</v>
      </c>
      <c r="AN629" t="str">
        <f>IF(对接源_01水果!$AC629="","",对接源_01水果!$AC629)</f>
        <v>王灵云</v>
      </c>
      <c r="AO629">
        <f>IF(AN629="",0,IF(MATCH(AN629,$AN$4:$AN$1203,0)=ROW()-3,1,0))</f>
        <v>0</v>
      </c>
      <c r="AP629">
        <f>N(AP628)+$AO629</f>
        <v>7</v>
      </c>
      <c r="AR629">
        <f>IF(OR($AF629=1,$AH629=1),1,0)</f>
        <v>0</v>
      </c>
      <c r="AS629">
        <f>N(AS628)+$AR629</f>
        <v>0</v>
      </c>
    </row>
    <row r="630" ht="14.25" customHeight="1" s="127">
      <c r="A630" t="str">
        <f>IF(对接源_01水果!$C630="","",对接源_01水果!$C630)</f>
        <v>麦麦提</v>
      </c>
      <c r="B630">
        <f>IF(A630="",0,IF(MATCH(A630,$A$4:$A$2403,0)=ROW()-3,1,0))</f>
        <v>0</v>
      </c>
      <c r="C630">
        <f>N(C629)+B630</f>
        <v>22</v>
      </c>
      <c r="K630">
        <f>IF(OR($K$1="",对接源_01水果!$C630="",对接源_01水果!$C630&lt;&gt;$K$1,对接源_01水果!$B630=""),0,IF(OR(N(对接源_01水果!$B630)&lt;$K$2,N(对接源_01水果!$B630)&gt;$K$3),0,1))</f>
        <v>0</v>
      </c>
      <c r="L630">
        <f>IF(OR($L$1="",对接源_01水果!$C630="",对接源_01水果!$C630&lt;&gt;$L$1,对接源_01水果!$B630=""),0,IF(OR(N(对接源_01水果!$B630)&lt;$L$2,N(对接源_01水果!$B630)&gt;$L$3),0,1))</f>
        <v>0</v>
      </c>
      <c r="M630">
        <f>IF(OR($M$1="",对接源_01水果!$C630="",对接源_01水果!$C630&lt;&gt;$M$1,对接源_01水果!$B630=""),0,IF(OR(N(对接源_01水果!$B630)&lt;$M$2,N(对接源_01水果!$B630)&gt;$M$3),0,1))</f>
        <v>0</v>
      </c>
      <c r="N630">
        <f>IF(OR($N$1="",对接源_01水果!$C630="",对接源_01水果!$C630&lt;&gt;$N$1,对接源_01水果!$B630=""),0,IF(OR(N(对接源_01水果!$B630)&lt;$N$2,N(对接源_01水果!$B630)&gt;$N$3),0,1))</f>
        <v>1</v>
      </c>
      <c r="P630">
        <f>IF(AND($K630=1,AND(对接源_01水果!$X630="公司筐",N(对接源_01水果!$T630)&lt;&gt;0)),1,0)</f>
        <v>0</v>
      </c>
      <c r="Q630">
        <f>N(Q629)+$P630</f>
        <v>0</v>
      </c>
      <c r="R630">
        <f>IF(AND($K630=1,AND(对接源_01水果!$X630="公司筐",N(对接源_01水果!$U630)&lt;&gt;0)),1,0)</f>
        <v>0</v>
      </c>
      <c r="S630">
        <f>N(S629)+$R630</f>
        <v>0</v>
      </c>
      <c r="T630">
        <f>IF(AND($K630=1,AND(对接源_01水果!$X630="公司筐",N(对接源_01水果!$V630)&lt;&gt;0)),1,0)</f>
        <v>0</v>
      </c>
      <c r="U630">
        <f>N(U629)+$T630</f>
        <v>47</v>
      </c>
      <c r="V630">
        <f>IF(AND($L630=1,AND(对接源_01水果!$X630="自备筐",N(对接源_01水果!$V630)&lt;&gt;0)),1,0)</f>
        <v>0</v>
      </c>
      <c r="W630">
        <f>N(W629)+$V630</f>
        <v>11</v>
      </c>
      <c r="X630">
        <f>IF(AND($L630=1,AND(对接源_01水果!$X630="自备筐",N(对接源_01水果!$T630)&lt;&gt;0)),1,0)</f>
        <v>0</v>
      </c>
      <c r="Y630">
        <f>N(Y629)+$X630</f>
        <v>0</v>
      </c>
      <c r="Z630">
        <f>IF(AND($M630=1,对接源_01水果!$D630="原料入库"),1,0)</f>
        <v>0</v>
      </c>
      <c r="AA630">
        <f>N(AA629)+$Z630</f>
        <v>24</v>
      </c>
      <c r="AB630">
        <f>IF(AND($M630=1,LEFT(对接源_01水果!$D630,4)="原料出库"),1,0)</f>
        <v>0</v>
      </c>
      <c r="AC630">
        <f>N(AC629)+$AB630</f>
        <v>0</v>
      </c>
      <c r="AD630">
        <f>IF(AND($M630=1,LEFT(对接源_01水果!$D630,4)="成品出库"),1,0)</f>
        <v>0</v>
      </c>
      <c r="AE630">
        <f>N(AE629)+$AD630</f>
        <v>0</v>
      </c>
      <c r="AF630">
        <f>IF(AND($N630=1,AND(LEFT(对接源_01水果!$D630,4)="包装物料",N(对接源_01水果!$K630)&lt;&gt;0)),1,0)</f>
        <v>0</v>
      </c>
      <c r="AG630">
        <f>N(AG629)+$AF630</f>
        <v>0</v>
      </c>
      <c r="AH630">
        <f>IF(AND($N630=1,AND(对接源_01水果!$D630="周转筐－销售出库",N(对接源_01水果!$K630)&lt;&gt;0)),1,0)</f>
        <v>0</v>
      </c>
      <c r="AI630">
        <f>N(AI629)+$AH630</f>
        <v>0</v>
      </c>
      <c r="AJ630" s="7" t="n"/>
      <c r="AL630">
        <f>IF(OR($AL$1="",对接源_01水果!$Y630="",对接源_01水果!$Y630&lt;&gt;$AL$1,对接源_01水果!$B630="",N(对接源_01水果!$AJ630)&lt;=0),0,IF(OR(N(对接源_01水果!$B630)&lt;$AL$2,N(对接源_01水果!$B630)&gt;$AL$3),0,1))</f>
        <v>0</v>
      </c>
      <c r="AM630">
        <f>N(AM629)+$AL630</f>
        <v>0</v>
      </c>
      <c r="AN630" t="str">
        <f>IF(对接源_01水果!$AC630="","",对接源_01水果!$AC630)</f>
        <v>汇金纸箱厂</v>
      </c>
      <c r="AO630">
        <f>IF(AN630="",0,IF(MATCH(AN630,$AN$4:$AN$1203,0)=ROW()-3,1,0))</f>
        <v>1</v>
      </c>
      <c r="AP630">
        <f>N(AP629)+$AO630</f>
        <v>8</v>
      </c>
      <c r="AR630">
        <f>IF(OR($AF630=1,$AH630=1),1,0)</f>
        <v>0</v>
      </c>
      <c r="AS630">
        <f>N(AS629)+$AR630</f>
        <v>0</v>
      </c>
    </row>
    <row r="631" ht="14.25" customHeight="1" s="127">
      <c r="A631" t="str">
        <f>IF(对接源_01水果!$C631="","",对接源_01水果!$C631)</f>
        <v>王照雪</v>
      </c>
      <c r="B631">
        <f>IF(A631="",0,IF(MATCH(A631,$A$4:$A$2403,0)=ROW()-3,1,0))</f>
        <v>0</v>
      </c>
      <c r="C631">
        <f>N(C630)+B631</f>
        <v>22</v>
      </c>
      <c r="K631">
        <f>IF(OR($K$1="",对接源_01水果!$C631="",对接源_01水果!$C631&lt;&gt;$K$1,对接源_01水果!$B631=""),0,IF(OR(N(对接源_01水果!$B631)&lt;$K$2,N(对接源_01水果!$B631)&gt;$K$3),0,1))</f>
        <v>0</v>
      </c>
      <c r="L631">
        <f>IF(OR($L$1="",对接源_01水果!$C631="",对接源_01水果!$C631&lt;&gt;$L$1,对接源_01水果!$B631=""),0,IF(OR(N(对接源_01水果!$B631)&lt;$L$2,N(对接源_01水果!$B631)&gt;$L$3),0,1))</f>
        <v>0</v>
      </c>
      <c r="M631">
        <f>IF(OR($M$1="",对接源_01水果!$C631="",对接源_01水果!$C631&lt;&gt;$M$1,对接源_01水果!$B631=""),0,IF(OR(N(对接源_01水果!$B631)&lt;$M$2,N(对接源_01水果!$B631)&gt;$M$3),0,1))</f>
        <v>0</v>
      </c>
      <c r="N631">
        <f>IF(OR($N$1="",对接源_01水果!$C631="",对接源_01水果!$C631&lt;&gt;$N$1,对接源_01水果!$B631=""),0,IF(OR(N(对接源_01水果!$B631)&lt;$N$2,N(对接源_01水果!$B631)&gt;$N$3),0,1))</f>
        <v>0</v>
      </c>
      <c r="P631">
        <f>IF(AND($K631=1,AND(对接源_01水果!$X631="公司筐",N(对接源_01水果!$T631)&lt;&gt;0)),1,0)</f>
        <v>0</v>
      </c>
      <c r="Q631">
        <f>N(Q630)+$P631</f>
        <v>0</v>
      </c>
      <c r="R631">
        <f>IF(AND($K631=1,AND(对接源_01水果!$X631="公司筐",N(对接源_01水果!$U631)&lt;&gt;0)),1,0)</f>
        <v>0</v>
      </c>
      <c r="S631">
        <f>N(S630)+$R631</f>
        <v>0</v>
      </c>
      <c r="T631">
        <f>IF(AND($K631=1,AND(对接源_01水果!$X631="公司筐",N(对接源_01水果!$V631)&lt;&gt;0)),1,0)</f>
        <v>0</v>
      </c>
      <c r="U631">
        <f>N(U630)+$T631</f>
        <v>47</v>
      </c>
      <c r="V631">
        <f>IF(AND($L631=1,AND(对接源_01水果!$X631="自备筐",N(对接源_01水果!$V631)&lt;&gt;0)),1,0)</f>
        <v>0</v>
      </c>
      <c r="W631">
        <f>N(W630)+$V631</f>
        <v>11</v>
      </c>
      <c r="X631">
        <f>IF(AND($L631=1,AND(对接源_01水果!$X631="自备筐",N(对接源_01水果!$T631)&lt;&gt;0)),1,0)</f>
        <v>0</v>
      </c>
      <c r="Y631">
        <f>N(Y630)+$X631</f>
        <v>0</v>
      </c>
      <c r="Z631">
        <f>IF(AND($M631=1,对接源_01水果!$D631="原料入库"),1,0)</f>
        <v>0</v>
      </c>
      <c r="AA631">
        <f>N(AA630)+$Z631</f>
        <v>24</v>
      </c>
      <c r="AB631">
        <f>IF(AND($M631=1,LEFT(对接源_01水果!$D631,4)="原料出库"),1,0)</f>
        <v>0</v>
      </c>
      <c r="AC631">
        <f>N(AC630)+$AB631</f>
        <v>0</v>
      </c>
      <c r="AD631">
        <f>IF(AND($M631=1,LEFT(对接源_01水果!$D631,4)="成品出库"),1,0)</f>
        <v>0</v>
      </c>
      <c r="AE631">
        <f>N(AE630)+$AD631</f>
        <v>0</v>
      </c>
      <c r="AF631">
        <f>IF(AND($N631=1,AND(LEFT(对接源_01水果!$D631,4)="包装物料",N(对接源_01水果!$K631)&lt;&gt;0)),1,0)</f>
        <v>0</v>
      </c>
      <c r="AG631">
        <f>N(AG630)+$AF631</f>
        <v>0</v>
      </c>
      <c r="AH631">
        <f>IF(AND($N631=1,AND(对接源_01水果!$D631="周转筐－销售出库",N(对接源_01水果!$K631)&lt;&gt;0)),1,0)</f>
        <v>0</v>
      </c>
      <c r="AI631">
        <f>N(AI630)+$AH631</f>
        <v>0</v>
      </c>
      <c r="AJ631" s="7" t="n"/>
      <c r="AL631">
        <f>IF(OR($AL$1="",对接源_01水果!$Y631="",对接源_01水果!$Y631&lt;&gt;$AL$1,对接源_01水果!$B631="",N(对接源_01水果!$AJ631)&lt;=0),0,IF(OR(N(对接源_01水果!$B631)&lt;$AL$2,N(对接源_01水果!$B631)&gt;$AL$3),0,1))</f>
        <v>0</v>
      </c>
      <c r="AM631">
        <f>N(AM630)+$AL631</f>
        <v>0</v>
      </c>
      <c r="AN631" t="str">
        <f>IF(对接源_01水果!$AC631="","",对接源_01水果!$AC631)</f>
        <v>顾宝民</v>
      </c>
      <c r="AO631">
        <f>IF(AN631="",0,IF(MATCH(AN631,$AN$4:$AN$1203,0)=ROW()-3,1,0))</f>
        <v>1</v>
      </c>
      <c r="AP631">
        <f>N(AP630)+$AO631</f>
        <v>9</v>
      </c>
      <c r="AR631">
        <f>IF(OR($AF631=1,$AH631=1),1,0)</f>
        <v>0</v>
      </c>
      <c r="AS631">
        <f>N(AS630)+$AR631</f>
        <v>0</v>
      </c>
    </row>
    <row r="632" ht="14.25" customHeight="1" s="127">
      <c r="A632" t="str">
        <f>IF(对接源_01水果!$C632="","",对接源_01水果!$C632)</f>
        <v>王浩</v>
      </c>
      <c r="B632">
        <f>IF(A632="",0,IF(MATCH(A632,$A$4:$A$2403,0)=ROW()-3,1,0))</f>
        <v>0</v>
      </c>
      <c r="C632">
        <f>N(C631)+B632</f>
        <v>22</v>
      </c>
      <c r="K632">
        <f>IF(OR($K$1="",对接源_01水果!$C632="",对接源_01水果!$C632&lt;&gt;$K$1,对接源_01水果!$B632=""),0,IF(OR(N(对接源_01水果!$B632)&lt;$K$2,N(对接源_01水果!$B632)&gt;$K$3),0,1))</f>
        <v>0</v>
      </c>
      <c r="L632">
        <f>IF(OR($L$1="",对接源_01水果!$C632="",对接源_01水果!$C632&lt;&gt;$L$1,对接源_01水果!$B632=""),0,IF(OR(N(对接源_01水果!$B632)&lt;$L$2,N(对接源_01水果!$B632)&gt;$L$3),0,1))</f>
        <v>0</v>
      </c>
      <c r="M632">
        <f>IF(OR($M$1="",对接源_01水果!$C632="",对接源_01水果!$C632&lt;&gt;$M$1,对接源_01水果!$B632=""),0,IF(OR(N(对接源_01水果!$B632)&lt;$M$2,N(对接源_01水果!$B632)&gt;$M$3),0,1))</f>
        <v>0</v>
      </c>
      <c r="N632">
        <f>IF(OR($N$1="",对接源_01水果!$C632="",对接源_01水果!$C632&lt;&gt;$N$1,对接源_01水果!$B632=""),0,IF(OR(N(对接源_01水果!$B632)&lt;$N$2,N(对接源_01水果!$B632)&gt;$N$3),0,1))</f>
        <v>0</v>
      </c>
      <c r="P632">
        <f>IF(AND($K632=1,AND(对接源_01水果!$X632="公司筐",N(对接源_01水果!$T632)&lt;&gt;0)),1,0)</f>
        <v>0</v>
      </c>
      <c r="Q632">
        <f>N(Q631)+$P632</f>
        <v>0</v>
      </c>
      <c r="R632">
        <f>IF(AND($K632=1,AND(对接源_01水果!$X632="公司筐",N(对接源_01水果!$U632)&lt;&gt;0)),1,0)</f>
        <v>0</v>
      </c>
      <c r="S632">
        <f>N(S631)+$R632</f>
        <v>0</v>
      </c>
      <c r="T632">
        <f>IF(AND($K632=1,AND(对接源_01水果!$X632="公司筐",N(对接源_01水果!$V632)&lt;&gt;0)),1,0)</f>
        <v>0</v>
      </c>
      <c r="U632">
        <f>N(U631)+$T632</f>
        <v>47</v>
      </c>
      <c r="V632">
        <f>IF(AND($L632=1,AND(对接源_01水果!$X632="自备筐",N(对接源_01水果!$V632)&lt;&gt;0)),1,0)</f>
        <v>0</v>
      </c>
      <c r="W632">
        <f>N(W631)+$V632</f>
        <v>11</v>
      </c>
      <c r="X632">
        <f>IF(AND($L632=1,AND(对接源_01水果!$X632="自备筐",N(对接源_01水果!$T632)&lt;&gt;0)),1,0)</f>
        <v>0</v>
      </c>
      <c r="Y632">
        <f>N(Y631)+$X632</f>
        <v>0</v>
      </c>
      <c r="Z632">
        <f>IF(AND($M632=1,对接源_01水果!$D632="原料入库"),1,0)</f>
        <v>0</v>
      </c>
      <c r="AA632">
        <f>N(AA631)+$Z632</f>
        <v>24</v>
      </c>
      <c r="AB632">
        <f>IF(AND($M632=1,LEFT(对接源_01水果!$D632,4)="原料出库"),1,0)</f>
        <v>0</v>
      </c>
      <c r="AC632">
        <f>N(AC631)+$AB632</f>
        <v>0</v>
      </c>
      <c r="AD632">
        <f>IF(AND($M632=1,LEFT(对接源_01水果!$D632,4)="成品出库"),1,0)</f>
        <v>0</v>
      </c>
      <c r="AE632">
        <f>N(AE631)+$AD632</f>
        <v>0</v>
      </c>
      <c r="AF632">
        <f>IF(AND($N632=1,AND(LEFT(对接源_01水果!$D632,4)="包装物料",N(对接源_01水果!$K632)&lt;&gt;0)),1,0)</f>
        <v>0</v>
      </c>
      <c r="AG632">
        <f>N(AG631)+$AF632</f>
        <v>0</v>
      </c>
      <c r="AH632">
        <f>IF(AND($N632=1,AND(对接源_01水果!$D632="周转筐－销售出库",N(对接源_01水果!$K632)&lt;&gt;0)),1,0)</f>
        <v>0</v>
      </c>
      <c r="AI632">
        <f>N(AI631)+$AH632</f>
        <v>0</v>
      </c>
      <c r="AJ632" s="7" t="n"/>
      <c r="AL632">
        <f>IF(OR($AL$1="",对接源_01水果!$Y632="",对接源_01水果!$Y632&lt;&gt;$AL$1,对接源_01水果!$B632="",N(对接源_01水果!$AJ632)&lt;=0),0,IF(OR(N(对接源_01水果!$B632)&lt;$AL$2,N(对接源_01水果!$B632)&gt;$AL$3),0,1))</f>
        <v>0</v>
      </c>
      <c r="AM632">
        <f>N(AM631)+$AL632</f>
        <v>0</v>
      </c>
      <c r="AN632" t="str">
        <f>IF(对接源_01水果!$AC632="","",对接源_01水果!$AC632)</f>
        <v>大汪总</v>
      </c>
      <c r="AO632">
        <f>IF(AN632="",0,IF(MATCH(AN632,$AN$4:$AN$1203,0)=ROW()-3,1,0))</f>
        <v>1</v>
      </c>
      <c r="AP632">
        <f>N(AP631)+$AO632</f>
        <v>10</v>
      </c>
      <c r="AR632">
        <f>IF(OR($AF632=1,$AH632=1),1,0)</f>
        <v>0</v>
      </c>
      <c r="AS632">
        <f>N(AS631)+$AR632</f>
        <v>0</v>
      </c>
    </row>
    <row r="633" ht="14.25" customHeight="1" s="127">
      <c r="A633" t="str">
        <f>IF(对接源_01水果!$C633="","",对接源_01水果!$C633)</f>
        <v>王浩</v>
      </c>
      <c r="B633">
        <f>IF(A633="",0,IF(MATCH(A633,$A$4:$A$2403,0)=ROW()-3,1,0))</f>
        <v>0</v>
      </c>
      <c r="C633">
        <f>N(C632)+B633</f>
        <v>22</v>
      </c>
      <c r="K633">
        <f>IF(OR($K$1="",对接源_01水果!$C633="",对接源_01水果!$C633&lt;&gt;$K$1,对接源_01水果!$B633=""),0,IF(OR(N(对接源_01水果!$B633)&lt;$K$2,N(对接源_01水果!$B633)&gt;$K$3),0,1))</f>
        <v>0</v>
      </c>
      <c r="L633">
        <f>IF(OR($L$1="",对接源_01水果!$C633="",对接源_01水果!$C633&lt;&gt;$L$1,对接源_01水果!$B633=""),0,IF(OR(N(对接源_01水果!$B633)&lt;$L$2,N(对接源_01水果!$B633)&gt;$L$3),0,1))</f>
        <v>0</v>
      </c>
      <c r="M633">
        <f>IF(OR($M$1="",对接源_01水果!$C633="",对接源_01水果!$C633&lt;&gt;$M$1,对接源_01水果!$B633=""),0,IF(OR(N(对接源_01水果!$B633)&lt;$M$2,N(对接源_01水果!$B633)&gt;$M$3),0,1))</f>
        <v>0</v>
      </c>
      <c r="N633">
        <f>IF(OR($N$1="",对接源_01水果!$C633="",对接源_01水果!$C633&lt;&gt;$N$1,对接源_01水果!$B633=""),0,IF(OR(N(对接源_01水果!$B633)&lt;$N$2,N(对接源_01水果!$B633)&gt;$N$3),0,1))</f>
        <v>0</v>
      </c>
      <c r="P633">
        <f>IF(AND($K633=1,AND(对接源_01水果!$X633="公司筐",N(对接源_01水果!$T633)&lt;&gt;0)),1,0)</f>
        <v>0</v>
      </c>
      <c r="Q633">
        <f>N(Q632)+$P633</f>
        <v>0</v>
      </c>
      <c r="R633">
        <f>IF(AND($K633=1,AND(对接源_01水果!$X633="公司筐",N(对接源_01水果!$U633)&lt;&gt;0)),1,0)</f>
        <v>0</v>
      </c>
      <c r="S633">
        <f>N(S632)+$R633</f>
        <v>0</v>
      </c>
      <c r="T633">
        <f>IF(AND($K633=1,AND(对接源_01水果!$X633="公司筐",N(对接源_01水果!$V633)&lt;&gt;0)),1,0)</f>
        <v>0</v>
      </c>
      <c r="U633">
        <f>N(U632)+$T633</f>
        <v>47</v>
      </c>
      <c r="V633">
        <f>IF(AND($L633=1,AND(对接源_01水果!$X633="自备筐",N(对接源_01水果!$V633)&lt;&gt;0)),1,0)</f>
        <v>0</v>
      </c>
      <c r="W633">
        <f>N(W632)+$V633</f>
        <v>11</v>
      </c>
      <c r="X633">
        <f>IF(AND($L633=1,AND(对接源_01水果!$X633="自备筐",N(对接源_01水果!$T633)&lt;&gt;0)),1,0)</f>
        <v>0</v>
      </c>
      <c r="Y633">
        <f>N(Y632)+$X633</f>
        <v>0</v>
      </c>
      <c r="Z633">
        <f>IF(AND($M633=1,对接源_01水果!$D633="原料入库"),1,0)</f>
        <v>0</v>
      </c>
      <c r="AA633">
        <f>N(AA632)+$Z633</f>
        <v>24</v>
      </c>
      <c r="AB633">
        <f>IF(AND($M633=1,LEFT(对接源_01水果!$D633,4)="原料出库"),1,0)</f>
        <v>0</v>
      </c>
      <c r="AC633">
        <f>N(AC632)+$AB633</f>
        <v>0</v>
      </c>
      <c r="AD633">
        <f>IF(AND($M633=1,LEFT(对接源_01水果!$D633,4)="成品出库"),1,0)</f>
        <v>0</v>
      </c>
      <c r="AE633">
        <f>N(AE632)+$AD633</f>
        <v>0</v>
      </c>
      <c r="AF633">
        <f>IF(AND($N633=1,AND(LEFT(对接源_01水果!$D633,4)="包装物料",N(对接源_01水果!$K633)&lt;&gt;0)),1,0)</f>
        <v>0</v>
      </c>
      <c r="AG633">
        <f>N(AG632)+$AF633</f>
        <v>0</v>
      </c>
      <c r="AH633">
        <f>IF(AND($N633=1,AND(对接源_01水果!$D633="周转筐－销售出库",N(对接源_01水果!$K633)&lt;&gt;0)),1,0)</f>
        <v>0</v>
      </c>
      <c r="AI633">
        <f>N(AI632)+$AH633</f>
        <v>0</v>
      </c>
      <c r="AJ633" s="7" t="n"/>
      <c r="AL633">
        <f>IF(OR($AL$1="",对接源_01水果!$Y633="",对接源_01水果!$Y633&lt;&gt;$AL$1,对接源_01水果!$B633="",N(对接源_01水果!$AJ633)&lt;=0),0,IF(OR(N(对接源_01水果!$B633)&lt;$AL$2,N(对接源_01水果!$B633)&gt;$AL$3),0,1))</f>
        <v>0</v>
      </c>
      <c r="AM633">
        <f>N(AM632)+$AL633</f>
        <v>0</v>
      </c>
      <c r="AN633" t="str">
        <f>IF(对接源_01水果!$AC633="","",对接源_01水果!$AC633)</f>
        <v>大汪总</v>
      </c>
      <c r="AO633">
        <f>IF(AN633="",0,IF(MATCH(AN633,$AN$4:$AN$1203,0)=ROW()-3,1,0))</f>
        <v>0</v>
      </c>
      <c r="AP633">
        <f>N(AP632)+$AO633</f>
        <v>10</v>
      </c>
      <c r="AR633">
        <f>IF(OR($AF633=1,$AH633=1),1,0)</f>
        <v>0</v>
      </c>
      <c r="AS633">
        <f>N(AS632)+$AR633</f>
        <v>0</v>
      </c>
    </row>
    <row r="634" ht="14.25" customHeight="1" s="127">
      <c r="A634" t="str">
        <f>IF(对接源_01水果!$C634="","",对接源_01水果!$C634)</f>
        <v>王照雪</v>
      </c>
      <c r="B634">
        <f>IF(A634="",0,IF(MATCH(A634,$A$4:$A$2403,0)=ROW()-3,1,0))</f>
        <v>0</v>
      </c>
      <c r="C634">
        <f>N(C633)+B634</f>
        <v>22</v>
      </c>
      <c r="K634">
        <f>IF(OR($K$1="",对接源_01水果!$C634="",对接源_01水果!$C634&lt;&gt;$K$1,对接源_01水果!$B634=""),0,IF(OR(N(对接源_01水果!$B634)&lt;$K$2,N(对接源_01水果!$B634)&gt;$K$3),0,1))</f>
        <v>0</v>
      </c>
      <c r="L634">
        <f>IF(OR($L$1="",对接源_01水果!$C634="",对接源_01水果!$C634&lt;&gt;$L$1,对接源_01水果!$B634=""),0,IF(OR(N(对接源_01水果!$B634)&lt;$L$2,N(对接源_01水果!$B634)&gt;$L$3),0,1))</f>
        <v>0</v>
      </c>
      <c r="M634">
        <f>IF(OR($M$1="",对接源_01水果!$C634="",对接源_01水果!$C634&lt;&gt;$M$1,对接源_01水果!$B634=""),0,IF(OR(N(对接源_01水果!$B634)&lt;$M$2,N(对接源_01水果!$B634)&gt;$M$3),0,1))</f>
        <v>0</v>
      </c>
      <c r="N634">
        <f>IF(OR($N$1="",对接源_01水果!$C634="",对接源_01水果!$C634&lt;&gt;$N$1,对接源_01水果!$B634=""),0,IF(OR(N(对接源_01水果!$B634)&lt;$N$2,N(对接源_01水果!$B634)&gt;$N$3),0,1))</f>
        <v>0</v>
      </c>
      <c r="P634">
        <f>IF(AND($K634=1,AND(对接源_01水果!$X634="公司筐",N(对接源_01水果!$T634)&lt;&gt;0)),1,0)</f>
        <v>0</v>
      </c>
      <c r="Q634">
        <f>N(Q633)+$P634</f>
        <v>0</v>
      </c>
      <c r="R634">
        <f>IF(AND($K634=1,AND(对接源_01水果!$X634="公司筐",N(对接源_01水果!$U634)&lt;&gt;0)),1,0)</f>
        <v>0</v>
      </c>
      <c r="S634">
        <f>N(S633)+$R634</f>
        <v>0</v>
      </c>
      <c r="T634">
        <f>IF(AND($K634=1,AND(对接源_01水果!$X634="公司筐",N(对接源_01水果!$V634)&lt;&gt;0)),1,0)</f>
        <v>0</v>
      </c>
      <c r="U634">
        <f>N(U633)+$T634</f>
        <v>47</v>
      </c>
      <c r="V634">
        <f>IF(AND($L634=1,AND(对接源_01水果!$X634="自备筐",N(对接源_01水果!$V634)&lt;&gt;0)),1,0)</f>
        <v>0</v>
      </c>
      <c r="W634">
        <f>N(W633)+$V634</f>
        <v>11</v>
      </c>
      <c r="X634">
        <f>IF(AND($L634=1,AND(对接源_01水果!$X634="自备筐",N(对接源_01水果!$T634)&lt;&gt;0)),1,0)</f>
        <v>0</v>
      </c>
      <c r="Y634">
        <f>N(Y633)+$X634</f>
        <v>0</v>
      </c>
      <c r="Z634">
        <f>IF(AND($M634=1,对接源_01水果!$D634="原料入库"),1,0)</f>
        <v>0</v>
      </c>
      <c r="AA634">
        <f>N(AA633)+$Z634</f>
        <v>24</v>
      </c>
      <c r="AB634">
        <f>IF(AND($M634=1,LEFT(对接源_01水果!$D634,4)="原料出库"),1,0)</f>
        <v>0</v>
      </c>
      <c r="AC634">
        <f>N(AC633)+$AB634</f>
        <v>0</v>
      </c>
      <c r="AD634">
        <f>IF(AND($M634=1,LEFT(对接源_01水果!$D634,4)="成品出库"),1,0)</f>
        <v>0</v>
      </c>
      <c r="AE634">
        <f>N(AE633)+$AD634</f>
        <v>0</v>
      </c>
      <c r="AF634">
        <f>IF(AND($N634=1,AND(LEFT(对接源_01水果!$D634,4)="包装物料",N(对接源_01水果!$K634)&lt;&gt;0)),1,0)</f>
        <v>0</v>
      </c>
      <c r="AG634">
        <f>N(AG633)+$AF634</f>
        <v>0</v>
      </c>
      <c r="AH634">
        <f>IF(AND($N634=1,AND(对接源_01水果!$D634="周转筐－销售出库",N(对接源_01水果!$K634)&lt;&gt;0)),1,0)</f>
        <v>0</v>
      </c>
      <c r="AI634">
        <f>N(AI633)+$AH634</f>
        <v>0</v>
      </c>
      <c r="AJ634" s="7" t="n"/>
      <c r="AL634">
        <f>IF(OR($AL$1="",对接源_01水果!$Y634="",对接源_01水果!$Y634&lt;&gt;$AL$1,对接源_01水果!$B634="",N(对接源_01水果!$AJ634)&lt;=0),0,IF(OR(N(对接源_01水果!$B634)&lt;$AL$2,N(对接源_01水果!$B634)&gt;$AL$3),0,1))</f>
        <v>0</v>
      </c>
      <c r="AM634">
        <f>N(AM633)+$AL634</f>
        <v>0</v>
      </c>
      <c r="AN634" t="str">
        <f>IF(对接源_01水果!$AC634="","",对接源_01水果!$AC634)</f>
        <v>松鼠</v>
      </c>
      <c r="AO634">
        <f>IF(AN634="",0,IF(MATCH(AN634,$AN$4:$AN$1203,0)=ROW()-3,1,0))</f>
        <v>1</v>
      </c>
      <c r="AP634">
        <f>N(AP633)+$AO634</f>
        <v>11</v>
      </c>
      <c r="AR634">
        <f>IF(OR($AF634=1,$AH634=1),1,0)</f>
        <v>0</v>
      </c>
      <c r="AS634">
        <f>N(AS633)+$AR634</f>
        <v>0</v>
      </c>
    </row>
    <row r="635" ht="14.25" customHeight="1" s="127">
      <c r="A635" t="str">
        <f>IF(对接源_01水果!$C635="","",对接源_01水果!$C635)</f>
        <v>王照雪</v>
      </c>
      <c r="B635">
        <f>IF(A635="",0,IF(MATCH(A635,$A$4:$A$2403,0)=ROW()-3,1,0))</f>
        <v>0</v>
      </c>
      <c r="C635">
        <f>N(C634)+B635</f>
        <v>22</v>
      </c>
      <c r="K635">
        <f>IF(OR($K$1="",对接源_01水果!$C635="",对接源_01水果!$C635&lt;&gt;$K$1,对接源_01水果!$B635=""),0,IF(OR(N(对接源_01水果!$B635)&lt;$K$2,N(对接源_01水果!$B635)&gt;$K$3),0,1))</f>
        <v>0</v>
      </c>
      <c r="L635">
        <f>IF(OR($L$1="",对接源_01水果!$C635="",对接源_01水果!$C635&lt;&gt;$L$1,对接源_01水果!$B635=""),0,IF(OR(N(对接源_01水果!$B635)&lt;$L$2,N(对接源_01水果!$B635)&gt;$L$3),0,1))</f>
        <v>0</v>
      </c>
      <c r="M635">
        <f>IF(OR($M$1="",对接源_01水果!$C635="",对接源_01水果!$C635&lt;&gt;$M$1,对接源_01水果!$B635=""),0,IF(OR(N(对接源_01水果!$B635)&lt;$M$2,N(对接源_01水果!$B635)&gt;$M$3),0,1))</f>
        <v>0</v>
      </c>
      <c r="N635">
        <f>IF(OR($N$1="",对接源_01水果!$C635="",对接源_01水果!$C635&lt;&gt;$N$1,对接源_01水果!$B635=""),0,IF(OR(N(对接源_01水果!$B635)&lt;$N$2,N(对接源_01水果!$B635)&gt;$N$3),0,1))</f>
        <v>0</v>
      </c>
      <c r="P635">
        <f>IF(AND($K635=1,AND(对接源_01水果!$X635="公司筐",N(对接源_01水果!$T635)&lt;&gt;0)),1,0)</f>
        <v>0</v>
      </c>
      <c r="Q635">
        <f>N(Q634)+$P635</f>
        <v>0</v>
      </c>
      <c r="R635">
        <f>IF(AND($K635=1,AND(对接源_01水果!$X635="公司筐",N(对接源_01水果!$U635)&lt;&gt;0)),1,0)</f>
        <v>0</v>
      </c>
      <c r="S635">
        <f>N(S634)+$R635</f>
        <v>0</v>
      </c>
      <c r="T635">
        <f>IF(AND($K635=1,AND(对接源_01水果!$X635="公司筐",N(对接源_01水果!$V635)&lt;&gt;0)),1,0)</f>
        <v>0</v>
      </c>
      <c r="U635">
        <f>N(U634)+$T635</f>
        <v>47</v>
      </c>
      <c r="V635">
        <f>IF(AND($L635=1,AND(对接源_01水果!$X635="自备筐",N(对接源_01水果!$V635)&lt;&gt;0)),1,0)</f>
        <v>0</v>
      </c>
      <c r="W635">
        <f>N(W634)+$V635</f>
        <v>11</v>
      </c>
      <c r="X635">
        <f>IF(AND($L635=1,AND(对接源_01水果!$X635="自备筐",N(对接源_01水果!$T635)&lt;&gt;0)),1,0)</f>
        <v>0</v>
      </c>
      <c r="Y635">
        <f>N(Y634)+$X635</f>
        <v>0</v>
      </c>
      <c r="Z635">
        <f>IF(AND($M635=1,对接源_01水果!$D635="原料入库"),1,0)</f>
        <v>0</v>
      </c>
      <c r="AA635">
        <f>N(AA634)+$Z635</f>
        <v>24</v>
      </c>
      <c r="AB635">
        <f>IF(AND($M635=1,LEFT(对接源_01水果!$D635,4)="原料出库"),1,0)</f>
        <v>0</v>
      </c>
      <c r="AC635">
        <f>N(AC634)+$AB635</f>
        <v>0</v>
      </c>
      <c r="AD635">
        <f>IF(AND($M635=1,LEFT(对接源_01水果!$D635,4)="成品出库"),1,0)</f>
        <v>0</v>
      </c>
      <c r="AE635">
        <f>N(AE634)+$AD635</f>
        <v>0</v>
      </c>
      <c r="AF635">
        <f>IF(AND($N635=1,AND(LEFT(对接源_01水果!$D635,4)="包装物料",N(对接源_01水果!$K635)&lt;&gt;0)),1,0)</f>
        <v>0</v>
      </c>
      <c r="AG635">
        <f>N(AG634)+$AF635</f>
        <v>0</v>
      </c>
      <c r="AH635">
        <f>IF(AND($N635=1,AND(对接源_01水果!$D635="周转筐－销售出库",N(对接源_01水果!$K635)&lt;&gt;0)),1,0)</f>
        <v>0</v>
      </c>
      <c r="AI635">
        <f>N(AI634)+$AH635</f>
        <v>0</v>
      </c>
      <c r="AJ635" s="7" t="n"/>
      <c r="AL635">
        <f>IF(OR($AL$1="",对接源_01水果!$Y635="",对接源_01水果!$Y635&lt;&gt;$AL$1,对接源_01水果!$B635="",N(对接源_01水果!$AJ635)&lt;=0),0,IF(OR(N(对接源_01水果!$B635)&lt;$AL$2,N(对接源_01水果!$B635)&gt;$AL$3),0,1))</f>
        <v>0</v>
      </c>
      <c r="AM635">
        <f>N(AM634)+$AL635</f>
        <v>0</v>
      </c>
      <c r="AN635" t="str">
        <f>IF(对接源_01水果!$AC635="","",对接源_01水果!$AC635)</f>
        <v>松鼠</v>
      </c>
      <c r="AO635">
        <f>IF(AN635="",0,IF(MATCH(AN635,$AN$4:$AN$1203,0)=ROW()-3,1,0))</f>
        <v>0</v>
      </c>
      <c r="AP635">
        <f>N(AP634)+$AO635</f>
        <v>11</v>
      </c>
      <c r="AR635">
        <f>IF(OR($AF635=1,$AH635=1),1,0)</f>
        <v>0</v>
      </c>
      <c r="AS635">
        <f>N(AS634)+$AR635</f>
        <v>0</v>
      </c>
    </row>
    <row r="636" ht="14.25" customHeight="1" s="127">
      <c r="A636" t="str">
        <f>IF(对接源_01水果!$C636="","",对接源_01水果!$C636)</f>
        <v>王照雪</v>
      </c>
      <c r="B636">
        <f>IF(A636="",0,IF(MATCH(A636,$A$4:$A$2403,0)=ROW()-3,1,0))</f>
        <v>0</v>
      </c>
      <c r="C636">
        <f>N(C635)+B636</f>
        <v>22</v>
      </c>
      <c r="K636">
        <f>IF(OR($K$1="",对接源_01水果!$C636="",对接源_01水果!$C636&lt;&gt;$K$1,对接源_01水果!$B636=""),0,IF(OR(N(对接源_01水果!$B636)&lt;$K$2,N(对接源_01水果!$B636)&gt;$K$3),0,1))</f>
        <v>0</v>
      </c>
      <c r="L636">
        <f>IF(OR($L$1="",对接源_01水果!$C636="",对接源_01水果!$C636&lt;&gt;$L$1,对接源_01水果!$B636=""),0,IF(OR(N(对接源_01水果!$B636)&lt;$L$2,N(对接源_01水果!$B636)&gt;$L$3),0,1))</f>
        <v>0</v>
      </c>
      <c r="M636">
        <f>IF(OR($M$1="",对接源_01水果!$C636="",对接源_01水果!$C636&lt;&gt;$M$1,对接源_01水果!$B636=""),0,IF(OR(N(对接源_01水果!$B636)&lt;$M$2,N(对接源_01水果!$B636)&gt;$M$3),0,1))</f>
        <v>0</v>
      </c>
      <c r="N636">
        <f>IF(OR($N$1="",对接源_01水果!$C636="",对接源_01水果!$C636&lt;&gt;$N$1,对接源_01水果!$B636=""),0,IF(OR(N(对接源_01水果!$B636)&lt;$N$2,N(对接源_01水果!$B636)&gt;$N$3),0,1))</f>
        <v>0</v>
      </c>
      <c r="P636">
        <f>IF(AND($K636=1,AND(对接源_01水果!$X636="公司筐",N(对接源_01水果!$T636)&lt;&gt;0)),1,0)</f>
        <v>0</v>
      </c>
      <c r="Q636">
        <f>N(Q635)+$P636</f>
        <v>0</v>
      </c>
      <c r="R636">
        <f>IF(AND($K636=1,AND(对接源_01水果!$X636="公司筐",N(对接源_01水果!$U636)&lt;&gt;0)),1,0)</f>
        <v>0</v>
      </c>
      <c r="S636">
        <f>N(S635)+$R636</f>
        <v>0</v>
      </c>
      <c r="T636">
        <f>IF(AND($K636=1,AND(对接源_01水果!$X636="公司筐",N(对接源_01水果!$V636)&lt;&gt;0)),1,0)</f>
        <v>0</v>
      </c>
      <c r="U636">
        <f>N(U635)+$T636</f>
        <v>47</v>
      </c>
      <c r="V636">
        <f>IF(AND($L636=1,AND(对接源_01水果!$X636="自备筐",N(对接源_01水果!$V636)&lt;&gt;0)),1,0)</f>
        <v>0</v>
      </c>
      <c r="W636">
        <f>N(W635)+$V636</f>
        <v>11</v>
      </c>
      <c r="X636">
        <f>IF(AND($L636=1,AND(对接源_01水果!$X636="自备筐",N(对接源_01水果!$T636)&lt;&gt;0)),1,0)</f>
        <v>0</v>
      </c>
      <c r="Y636">
        <f>N(Y635)+$X636</f>
        <v>0</v>
      </c>
      <c r="Z636">
        <f>IF(AND($M636=1,对接源_01水果!$D636="原料入库"),1,0)</f>
        <v>0</v>
      </c>
      <c r="AA636">
        <f>N(AA635)+$Z636</f>
        <v>24</v>
      </c>
      <c r="AB636">
        <f>IF(AND($M636=1,LEFT(对接源_01水果!$D636,4)="原料出库"),1,0)</f>
        <v>0</v>
      </c>
      <c r="AC636">
        <f>N(AC635)+$AB636</f>
        <v>0</v>
      </c>
      <c r="AD636">
        <f>IF(AND($M636=1,LEFT(对接源_01水果!$D636,4)="成品出库"),1,0)</f>
        <v>0</v>
      </c>
      <c r="AE636">
        <f>N(AE635)+$AD636</f>
        <v>0</v>
      </c>
      <c r="AF636">
        <f>IF(AND($N636=1,AND(LEFT(对接源_01水果!$D636,4)="包装物料",N(对接源_01水果!$K636)&lt;&gt;0)),1,0)</f>
        <v>0</v>
      </c>
      <c r="AG636">
        <f>N(AG635)+$AF636</f>
        <v>0</v>
      </c>
      <c r="AH636">
        <f>IF(AND($N636=1,AND(对接源_01水果!$D636="周转筐－销售出库",N(对接源_01水果!$K636)&lt;&gt;0)),1,0)</f>
        <v>0</v>
      </c>
      <c r="AI636">
        <f>N(AI635)+$AH636</f>
        <v>0</v>
      </c>
      <c r="AJ636" s="7" t="n"/>
      <c r="AL636">
        <f>IF(OR($AL$1="",对接源_01水果!$Y636="",对接源_01水果!$Y636&lt;&gt;$AL$1,对接源_01水果!$B636="",N(对接源_01水果!$AJ636)&lt;=0),0,IF(OR(N(对接源_01水果!$B636)&lt;$AL$2,N(对接源_01水果!$B636)&gt;$AL$3),0,1))</f>
        <v>1</v>
      </c>
      <c r="AM636">
        <f>N(AM635)+$AL636</f>
        <v>1</v>
      </c>
      <c r="AN636" t="str">
        <f>IF(对接源_01水果!$AC636="","",对接源_01水果!$AC636)</f>
        <v>大汪总</v>
      </c>
      <c r="AO636">
        <f>IF(AN636="",0,IF(MATCH(AN636,$AN$4:$AN$1203,0)=ROW()-3,1,0))</f>
        <v>0</v>
      </c>
      <c r="AP636">
        <f>N(AP635)+$AO636</f>
        <v>11</v>
      </c>
      <c r="AR636">
        <f>IF(OR($AF636=1,$AH636=1),1,0)</f>
        <v>0</v>
      </c>
      <c r="AS636">
        <f>N(AS635)+$AR636</f>
        <v>0</v>
      </c>
    </row>
    <row r="637" ht="14.25" customHeight="1" s="127">
      <c r="A637" t="str">
        <f>IF(对接源_01水果!$C637="","",对接源_01水果!$C637)</f>
        <v>王照雪</v>
      </c>
      <c r="B637">
        <f>IF(A637="",0,IF(MATCH(A637,$A$4:$A$2403,0)=ROW()-3,1,0))</f>
        <v>0</v>
      </c>
      <c r="C637">
        <f>N(C636)+B637</f>
        <v>22</v>
      </c>
      <c r="K637">
        <f>IF(OR($K$1="",对接源_01水果!$C637="",对接源_01水果!$C637&lt;&gt;$K$1,对接源_01水果!$B637=""),0,IF(OR(N(对接源_01水果!$B637)&lt;$K$2,N(对接源_01水果!$B637)&gt;$K$3),0,1))</f>
        <v>0</v>
      </c>
      <c r="L637">
        <f>IF(OR($L$1="",对接源_01水果!$C637="",对接源_01水果!$C637&lt;&gt;$L$1,对接源_01水果!$B637=""),0,IF(OR(N(对接源_01水果!$B637)&lt;$L$2,N(对接源_01水果!$B637)&gt;$L$3),0,1))</f>
        <v>0</v>
      </c>
      <c r="M637">
        <f>IF(OR($M$1="",对接源_01水果!$C637="",对接源_01水果!$C637&lt;&gt;$M$1,对接源_01水果!$B637=""),0,IF(OR(N(对接源_01水果!$B637)&lt;$M$2,N(对接源_01水果!$B637)&gt;$M$3),0,1))</f>
        <v>0</v>
      </c>
      <c r="N637">
        <f>IF(OR($N$1="",对接源_01水果!$C637="",对接源_01水果!$C637&lt;&gt;$N$1,对接源_01水果!$B637=""),0,IF(OR(N(对接源_01水果!$B637)&lt;$N$2,N(对接源_01水果!$B637)&gt;$N$3),0,1))</f>
        <v>0</v>
      </c>
      <c r="P637">
        <f>IF(AND($K637=1,AND(对接源_01水果!$X637="公司筐",N(对接源_01水果!$T637)&lt;&gt;0)),1,0)</f>
        <v>0</v>
      </c>
      <c r="Q637">
        <f>N(Q636)+$P637</f>
        <v>0</v>
      </c>
      <c r="R637">
        <f>IF(AND($K637=1,AND(对接源_01水果!$X637="公司筐",N(对接源_01水果!$U637)&lt;&gt;0)),1,0)</f>
        <v>0</v>
      </c>
      <c r="S637">
        <f>N(S636)+$R637</f>
        <v>0</v>
      </c>
      <c r="T637">
        <f>IF(AND($K637=1,AND(对接源_01水果!$X637="公司筐",N(对接源_01水果!$V637)&lt;&gt;0)),1,0)</f>
        <v>0</v>
      </c>
      <c r="U637">
        <f>N(U636)+$T637</f>
        <v>47</v>
      </c>
      <c r="V637">
        <f>IF(AND($L637=1,AND(对接源_01水果!$X637="自备筐",N(对接源_01水果!$V637)&lt;&gt;0)),1,0)</f>
        <v>0</v>
      </c>
      <c r="W637">
        <f>N(W636)+$V637</f>
        <v>11</v>
      </c>
      <c r="X637">
        <f>IF(AND($L637=1,AND(对接源_01水果!$X637="自备筐",N(对接源_01水果!$T637)&lt;&gt;0)),1,0)</f>
        <v>0</v>
      </c>
      <c r="Y637">
        <f>N(Y636)+$X637</f>
        <v>0</v>
      </c>
      <c r="Z637">
        <f>IF(AND($M637=1,对接源_01水果!$D637="原料入库"),1,0)</f>
        <v>0</v>
      </c>
      <c r="AA637">
        <f>N(AA636)+$Z637</f>
        <v>24</v>
      </c>
      <c r="AB637">
        <f>IF(AND($M637=1,LEFT(对接源_01水果!$D637,4)="原料出库"),1,0)</f>
        <v>0</v>
      </c>
      <c r="AC637">
        <f>N(AC636)+$AB637</f>
        <v>0</v>
      </c>
      <c r="AD637">
        <f>IF(AND($M637=1,LEFT(对接源_01水果!$D637,4)="成品出库"),1,0)</f>
        <v>0</v>
      </c>
      <c r="AE637">
        <f>N(AE636)+$AD637</f>
        <v>0</v>
      </c>
      <c r="AF637">
        <f>IF(AND($N637=1,AND(LEFT(对接源_01水果!$D637,4)="包装物料",N(对接源_01水果!$K637)&lt;&gt;0)),1,0)</f>
        <v>0</v>
      </c>
      <c r="AG637">
        <f>N(AG636)+$AF637</f>
        <v>0</v>
      </c>
      <c r="AH637">
        <f>IF(AND($N637=1,AND(对接源_01水果!$D637="周转筐－销售出库",N(对接源_01水果!$K637)&lt;&gt;0)),1,0)</f>
        <v>0</v>
      </c>
      <c r="AI637">
        <f>N(AI636)+$AH637</f>
        <v>0</v>
      </c>
      <c r="AJ637" s="7" t="n"/>
      <c r="AL637">
        <f>IF(OR($AL$1="",对接源_01水果!$Y637="",对接源_01水果!$Y637&lt;&gt;$AL$1,对接源_01水果!$B637="",N(对接源_01水果!$AJ637)&lt;=0),0,IF(OR(N(对接源_01水果!$B637)&lt;$AL$2,N(对接源_01水果!$B637)&gt;$AL$3),0,1))</f>
        <v>1</v>
      </c>
      <c r="AM637">
        <f>N(AM636)+$AL637</f>
        <v>2</v>
      </c>
      <c r="AN637" t="str">
        <f>IF(对接源_01水果!$AC637="","",对接源_01水果!$AC637)</f>
        <v>大汪总</v>
      </c>
      <c r="AO637">
        <f>IF(AN637="",0,IF(MATCH(AN637,$AN$4:$AN$1203,0)=ROW()-3,1,0))</f>
        <v>0</v>
      </c>
      <c r="AP637">
        <f>N(AP636)+$AO637</f>
        <v>11</v>
      </c>
      <c r="AR637">
        <f>IF(OR($AF637=1,$AH637=1),1,0)</f>
        <v>0</v>
      </c>
      <c r="AS637">
        <f>N(AS636)+$AR637</f>
        <v>0</v>
      </c>
    </row>
    <row r="638" ht="14.25" customHeight="1" s="127">
      <c r="A638" t="str">
        <f>IF(对接源_01水果!$C638="","",对接源_01水果!$C638)</f>
        <v>王浩</v>
      </c>
      <c r="B638">
        <f>IF(A638="",0,IF(MATCH(A638,$A$4:$A$2403,0)=ROW()-3,1,0))</f>
        <v>0</v>
      </c>
      <c r="C638">
        <f>N(C637)+B638</f>
        <v>22</v>
      </c>
      <c r="K638">
        <f>IF(OR($K$1="",对接源_01水果!$C638="",对接源_01水果!$C638&lt;&gt;$K$1,对接源_01水果!$B638=""),0,IF(OR(N(对接源_01水果!$B638)&lt;$K$2,N(对接源_01水果!$B638)&gt;$K$3),0,1))</f>
        <v>0</v>
      </c>
      <c r="L638">
        <f>IF(OR($L$1="",对接源_01水果!$C638="",对接源_01水果!$C638&lt;&gt;$L$1,对接源_01水果!$B638=""),0,IF(OR(N(对接源_01水果!$B638)&lt;$L$2,N(对接源_01水果!$B638)&gt;$L$3),0,1))</f>
        <v>0</v>
      </c>
      <c r="M638">
        <f>IF(OR($M$1="",对接源_01水果!$C638="",对接源_01水果!$C638&lt;&gt;$M$1,对接源_01水果!$B638=""),0,IF(OR(N(对接源_01水果!$B638)&lt;$M$2,N(对接源_01水果!$B638)&gt;$M$3),0,1))</f>
        <v>0</v>
      </c>
      <c r="N638">
        <f>IF(OR($N$1="",对接源_01水果!$C638="",对接源_01水果!$C638&lt;&gt;$N$1,对接源_01水果!$B638=""),0,IF(OR(N(对接源_01水果!$B638)&lt;$N$2,N(对接源_01水果!$B638)&gt;$N$3),0,1))</f>
        <v>0</v>
      </c>
      <c r="P638">
        <f>IF(AND($K638=1,AND(对接源_01水果!$X638="公司筐",N(对接源_01水果!$T638)&lt;&gt;0)),1,0)</f>
        <v>0</v>
      </c>
      <c r="Q638">
        <f>N(Q637)+$P638</f>
        <v>0</v>
      </c>
      <c r="R638">
        <f>IF(AND($K638=1,AND(对接源_01水果!$X638="公司筐",N(对接源_01水果!$U638)&lt;&gt;0)),1,0)</f>
        <v>0</v>
      </c>
      <c r="S638">
        <f>N(S637)+$R638</f>
        <v>0</v>
      </c>
      <c r="T638">
        <f>IF(AND($K638=1,AND(对接源_01水果!$X638="公司筐",N(对接源_01水果!$V638)&lt;&gt;0)),1,0)</f>
        <v>0</v>
      </c>
      <c r="U638">
        <f>N(U637)+$T638</f>
        <v>47</v>
      </c>
      <c r="V638">
        <f>IF(AND($L638=1,AND(对接源_01水果!$X638="自备筐",N(对接源_01水果!$V638)&lt;&gt;0)),1,0)</f>
        <v>0</v>
      </c>
      <c r="W638">
        <f>N(W637)+$V638</f>
        <v>11</v>
      </c>
      <c r="X638">
        <f>IF(AND($L638=1,AND(对接源_01水果!$X638="自备筐",N(对接源_01水果!$T638)&lt;&gt;0)),1,0)</f>
        <v>0</v>
      </c>
      <c r="Y638">
        <f>N(Y637)+$X638</f>
        <v>0</v>
      </c>
      <c r="Z638">
        <f>IF(AND($M638=1,对接源_01水果!$D638="原料入库"),1,0)</f>
        <v>0</v>
      </c>
      <c r="AA638">
        <f>N(AA637)+$Z638</f>
        <v>24</v>
      </c>
      <c r="AB638">
        <f>IF(AND($M638=1,LEFT(对接源_01水果!$D638,4)="原料出库"),1,0)</f>
        <v>0</v>
      </c>
      <c r="AC638">
        <f>N(AC637)+$AB638</f>
        <v>0</v>
      </c>
      <c r="AD638">
        <f>IF(AND($M638=1,LEFT(对接源_01水果!$D638,4)="成品出库"),1,0)</f>
        <v>0</v>
      </c>
      <c r="AE638">
        <f>N(AE637)+$AD638</f>
        <v>0</v>
      </c>
      <c r="AF638">
        <f>IF(AND($N638=1,AND(LEFT(对接源_01水果!$D638,4)="包装物料",N(对接源_01水果!$K638)&lt;&gt;0)),1,0)</f>
        <v>0</v>
      </c>
      <c r="AG638">
        <f>N(AG637)+$AF638</f>
        <v>0</v>
      </c>
      <c r="AH638">
        <f>IF(AND($N638=1,AND(对接源_01水果!$D638="周转筐－销售出库",N(对接源_01水果!$K638)&lt;&gt;0)),1,0)</f>
        <v>0</v>
      </c>
      <c r="AI638">
        <f>N(AI637)+$AH638</f>
        <v>0</v>
      </c>
      <c r="AJ638" s="7" t="n"/>
      <c r="AL638">
        <f>IF(OR($AL$1="",对接源_01水果!$Y638="",对接源_01水果!$Y638&lt;&gt;$AL$1,对接源_01水果!$B638="",N(对接源_01水果!$AJ638)&lt;=0),0,IF(OR(N(对接源_01水果!$B638)&lt;$AL$2,N(对接源_01水果!$B638)&gt;$AL$3),0,1))</f>
        <v>0</v>
      </c>
      <c r="AM638">
        <f>N(AM637)+$AL638</f>
        <v>2</v>
      </c>
      <c r="AN638" t="str">
        <f>IF(对接源_01水果!$AC638="","",对接源_01水果!$AC638)</f>
        <v>大汪总</v>
      </c>
      <c r="AO638">
        <f>IF(AN638="",0,IF(MATCH(AN638,$AN$4:$AN$1203,0)=ROW()-3,1,0))</f>
        <v>0</v>
      </c>
      <c r="AP638">
        <f>N(AP637)+$AO638</f>
        <v>11</v>
      </c>
      <c r="AR638">
        <f>IF(OR($AF638=1,$AH638=1),1,0)</f>
        <v>0</v>
      </c>
      <c r="AS638">
        <f>N(AS637)+$AR638</f>
        <v>0</v>
      </c>
    </row>
    <row r="639" ht="14.25" customHeight="1" s="127">
      <c r="A639" t="str">
        <f>IF(对接源_01水果!$C639="","",对接源_01水果!$C639)</f>
        <v>王浩</v>
      </c>
      <c r="B639">
        <f>IF(A639="",0,IF(MATCH(A639,$A$4:$A$2403,0)=ROW()-3,1,0))</f>
        <v>0</v>
      </c>
      <c r="C639">
        <f>N(C638)+B639</f>
        <v>22</v>
      </c>
      <c r="K639">
        <f>IF(OR($K$1="",对接源_01水果!$C639="",对接源_01水果!$C639&lt;&gt;$K$1,对接源_01水果!$B639=""),0,IF(OR(N(对接源_01水果!$B639)&lt;$K$2,N(对接源_01水果!$B639)&gt;$K$3),0,1))</f>
        <v>0</v>
      </c>
      <c r="L639">
        <f>IF(OR($L$1="",对接源_01水果!$C639="",对接源_01水果!$C639&lt;&gt;$L$1,对接源_01水果!$B639=""),0,IF(OR(N(对接源_01水果!$B639)&lt;$L$2,N(对接源_01水果!$B639)&gt;$L$3),0,1))</f>
        <v>0</v>
      </c>
      <c r="M639">
        <f>IF(OR($M$1="",对接源_01水果!$C639="",对接源_01水果!$C639&lt;&gt;$M$1,对接源_01水果!$B639=""),0,IF(OR(N(对接源_01水果!$B639)&lt;$M$2,N(对接源_01水果!$B639)&gt;$M$3),0,1))</f>
        <v>0</v>
      </c>
      <c r="N639">
        <f>IF(OR($N$1="",对接源_01水果!$C639="",对接源_01水果!$C639&lt;&gt;$N$1,对接源_01水果!$B639=""),0,IF(OR(N(对接源_01水果!$B639)&lt;$N$2,N(对接源_01水果!$B639)&gt;$N$3),0,1))</f>
        <v>0</v>
      </c>
      <c r="P639">
        <f>IF(AND($K639=1,AND(对接源_01水果!$X639="公司筐",N(对接源_01水果!$T639)&lt;&gt;0)),1,0)</f>
        <v>0</v>
      </c>
      <c r="Q639">
        <f>N(Q638)+$P639</f>
        <v>0</v>
      </c>
      <c r="R639">
        <f>IF(AND($K639=1,AND(对接源_01水果!$X639="公司筐",N(对接源_01水果!$U639)&lt;&gt;0)),1,0)</f>
        <v>0</v>
      </c>
      <c r="S639">
        <f>N(S638)+$R639</f>
        <v>0</v>
      </c>
      <c r="T639">
        <f>IF(AND($K639=1,AND(对接源_01水果!$X639="公司筐",N(对接源_01水果!$V639)&lt;&gt;0)),1,0)</f>
        <v>0</v>
      </c>
      <c r="U639">
        <f>N(U638)+$T639</f>
        <v>47</v>
      </c>
      <c r="V639">
        <f>IF(AND($L639=1,AND(对接源_01水果!$X639="自备筐",N(对接源_01水果!$V639)&lt;&gt;0)),1,0)</f>
        <v>0</v>
      </c>
      <c r="W639">
        <f>N(W638)+$V639</f>
        <v>11</v>
      </c>
      <c r="X639">
        <f>IF(AND($L639=1,AND(对接源_01水果!$X639="自备筐",N(对接源_01水果!$T639)&lt;&gt;0)),1,0)</f>
        <v>0</v>
      </c>
      <c r="Y639">
        <f>N(Y638)+$X639</f>
        <v>0</v>
      </c>
      <c r="Z639">
        <f>IF(AND($M639=1,对接源_01水果!$D639="原料入库"),1,0)</f>
        <v>0</v>
      </c>
      <c r="AA639">
        <f>N(AA638)+$Z639</f>
        <v>24</v>
      </c>
      <c r="AB639">
        <f>IF(AND($M639=1,LEFT(对接源_01水果!$D639,4)="原料出库"),1,0)</f>
        <v>0</v>
      </c>
      <c r="AC639">
        <f>N(AC638)+$AB639</f>
        <v>0</v>
      </c>
      <c r="AD639">
        <f>IF(AND($M639=1,LEFT(对接源_01水果!$D639,4)="成品出库"),1,0)</f>
        <v>0</v>
      </c>
      <c r="AE639">
        <f>N(AE638)+$AD639</f>
        <v>0</v>
      </c>
      <c r="AF639">
        <f>IF(AND($N639=1,AND(LEFT(对接源_01水果!$D639,4)="包装物料",N(对接源_01水果!$K639)&lt;&gt;0)),1,0)</f>
        <v>0</v>
      </c>
      <c r="AG639">
        <f>N(AG638)+$AF639</f>
        <v>0</v>
      </c>
      <c r="AH639">
        <f>IF(AND($N639=1,AND(对接源_01水果!$D639="周转筐－销售出库",N(对接源_01水果!$K639)&lt;&gt;0)),1,0)</f>
        <v>0</v>
      </c>
      <c r="AI639">
        <f>N(AI638)+$AH639</f>
        <v>0</v>
      </c>
      <c r="AJ639" s="7" t="n"/>
      <c r="AL639">
        <f>IF(OR($AL$1="",对接源_01水果!$Y639="",对接源_01水果!$Y639&lt;&gt;$AL$1,对接源_01水果!$B639="",N(对接源_01水果!$AJ639)&lt;=0),0,IF(OR(N(对接源_01水果!$B639)&lt;$AL$2,N(对接源_01水果!$B639)&gt;$AL$3),0,1))</f>
        <v>0</v>
      </c>
      <c r="AM639">
        <f>N(AM638)+$AL639</f>
        <v>2</v>
      </c>
      <c r="AN639" t="str">
        <f>IF(对接源_01水果!$AC639="","",对接源_01水果!$AC639)</f>
        <v>谢老大</v>
      </c>
      <c r="AO639">
        <f>IF(AN639="",0,IF(MATCH(AN639,$AN$4:$AN$1203,0)=ROW()-3,1,0))</f>
        <v>1</v>
      </c>
      <c r="AP639">
        <f>N(AP638)+$AO639</f>
        <v>12</v>
      </c>
      <c r="AR639">
        <f>IF(OR($AF639=1,$AH639=1),1,0)</f>
        <v>0</v>
      </c>
      <c r="AS639">
        <f>N(AS638)+$AR639</f>
        <v>0</v>
      </c>
    </row>
    <row r="640" ht="14.25" customHeight="1" s="127">
      <c r="A640" t="str">
        <f>IF(对接源_01水果!$C640="","",对接源_01水果!$C640)</f>
        <v>王浩</v>
      </c>
      <c r="B640">
        <f>IF(A640="",0,IF(MATCH(A640,$A$4:$A$2403,0)=ROW()-3,1,0))</f>
        <v>0</v>
      </c>
      <c r="C640">
        <f>N(C639)+B640</f>
        <v>22</v>
      </c>
      <c r="K640">
        <f>IF(OR($K$1="",对接源_01水果!$C640="",对接源_01水果!$C640&lt;&gt;$K$1,对接源_01水果!$B640=""),0,IF(OR(N(对接源_01水果!$B640)&lt;$K$2,N(对接源_01水果!$B640)&gt;$K$3),0,1))</f>
        <v>0</v>
      </c>
      <c r="L640">
        <f>IF(OR($L$1="",对接源_01水果!$C640="",对接源_01水果!$C640&lt;&gt;$L$1,对接源_01水果!$B640=""),0,IF(OR(N(对接源_01水果!$B640)&lt;$L$2,N(对接源_01水果!$B640)&gt;$L$3),0,1))</f>
        <v>0</v>
      </c>
      <c r="M640">
        <f>IF(OR($M$1="",对接源_01水果!$C640="",对接源_01水果!$C640&lt;&gt;$M$1,对接源_01水果!$B640=""),0,IF(OR(N(对接源_01水果!$B640)&lt;$M$2,N(对接源_01水果!$B640)&gt;$M$3),0,1))</f>
        <v>0</v>
      </c>
      <c r="N640">
        <f>IF(OR($N$1="",对接源_01水果!$C640="",对接源_01水果!$C640&lt;&gt;$N$1,对接源_01水果!$B640=""),0,IF(OR(N(对接源_01水果!$B640)&lt;$N$2,N(对接源_01水果!$B640)&gt;$N$3),0,1))</f>
        <v>0</v>
      </c>
      <c r="P640">
        <f>IF(AND($K640=1,AND(对接源_01水果!$X640="公司筐",N(对接源_01水果!$T640)&lt;&gt;0)),1,0)</f>
        <v>0</v>
      </c>
      <c r="Q640">
        <f>N(Q639)+$P640</f>
        <v>0</v>
      </c>
      <c r="R640">
        <f>IF(AND($K640=1,AND(对接源_01水果!$X640="公司筐",N(对接源_01水果!$U640)&lt;&gt;0)),1,0)</f>
        <v>0</v>
      </c>
      <c r="S640">
        <f>N(S639)+$R640</f>
        <v>0</v>
      </c>
      <c r="T640">
        <f>IF(AND($K640=1,AND(对接源_01水果!$X640="公司筐",N(对接源_01水果!$V640)&lt;&gt;0)),1,0)</f>
        <v>0</v>
      </c>
      <c r="U640">
        <f>N(U639)+$T640</f>
        <v>47</v>
      </c>
      <c r="V640">
        <f>IF(AND($L640=1,AND(对接源_01水果!$X640="自备筐",N(对接源_01水果!$V640)&lt;&gt;0)),1,0)</f>
        <v>0</v>
      </c>
      <c r="W640">
        <f>N(W639)+$V640</f>
        <v>11</v>
      </c>
      <c r="X640">
        <f>IF(AND($L640=1,AND(对接源_01水果!$X640="自备筐",N(对接源_01水果!$T640)&lt;&gt;0)),1,0)</f>
        <v>0</v>
      </c>
      <c r="Y640">
        <f>N(Y639)+$X640</f>
        <v>0</v>
      </c>
      <c r="Z640">
        <f>IF(AND($M640=1,对接源_01水果!$D640="原料入库"),1,0)</f>
        <v>0</v>
      </c>
      <c r="AA640">
        <f>N(AA639)+$Z640</f>
        <v>24</v>
      </c>
      <c r="AB640">
        <f>IF(AND($M640=1,LEFT(对接源_01水果!$D640,4)="原料出库"),1,0)</f>
        <v>0</v>
      </c>
      <c r="AC640">
        <f>N(AC639)+$AB640</f>
        <v>0</v>
      </c>
      <c r="AD640">
        <f>IF(AND($M640=1,LEFT(对接源_01水果!$D640,4)="成品出库"),1,0)</f>
        <v>0</v>
      </c>
      <c r="AE640">
        <f>N(AE639)+$AD640</f>
        <v>0</v>
      </c>
      <c r="AF640">
        <f>IF(AND($N640=1,AND(LEFT(对接源_01水果!$D640,4)="包装物料",N(对接源_01水果!$K640)&lt;&gt;0)),1,0)</f>
        <v>0</v>
      </c>
      <c r="AG640">
        <f>N(AG639)+$AF640</f>
        <v>0</v>
      </c>
      <c r="AH640">
        <f>IF(AND($N640=1,AND(对接源_01水果!$D640="周转筐－销售出库",N(对接源_01水果!$K640)&lt;&gt;0)),1,0)</f>
        <v>0</v>
      </c>
      <c r="AI640">
        <f>N(AI639)+$AH640</f>
        <v>0</v>
      </c>
      <c r="AJ640" s="7" t="n"/>
      <c r="AL640">
        <f>IF(OR($AL$1="",对接源_01水果!$Y640="",对接源_01水果!$Y640&lt;&gt;$AL$1,对接源_01水果!$B640="",N(对接源_01水果!$AJ640)&lt;=0),0,IF(OR(N(对接源_01水果!$B640)&lt;$AL$2,N(对接源_01水果!$B640)&gt;$AL$3),0,1))</f>
        <v>0</v>
      </c>
      <c r="AM640">
        <f>N(AM639)+$AL640</f>
        <v>2</v>
      </c>
      <c r="AN640" t="str">
        <f>IF(对接源_01水果!$AC640="","",对接源_01水果!$AC640)</f>
        <v>老师</v>
      </c>
      <c r="AO640">
        <f>IF(AN640="",0,IF(MATCH(AN640,$AN$4:$AN$1203,0)=ROW()-3,1,0))</f>
        <v>1</v>
      </c>
      <c r="AP640">
        <f>N(AP639)+$AO640</f>
        <v>13</v>
      </c>
      <c r="AR640">
        <f>IF(OR($AF640=1,$AH640=1),1,0)</f>
        <v>0</v>
      </c>
      <c r="AS640">
        <f>N(AS639)+$AR640</f>
        <v>0</v>
      </c>
    </row>
    <row r="641" ht="14.25" customHeight="1" s="127">
      <c r="A641">
        <f>IF(对接源_01水果!$C641="","",对接源_01水果!$C641)</f>
      </c>
      <c r="B641">
        <f>IF(A641="",0,IF(MATCH(A641,$A$4:$A$2403,0)=ROW()-3,1,0))</f>
        <v>0</v>
      </c>
      <c r="C641">
        <f>N(C640)+B641</f>
        <v>22</v>
      </c>
      <c r="K641">
        <f>IF(OR($K$1="",对接源_01水果!$C641="",对接源_01水果!$C641&lt;&gt;$K$1,对接源_01水果!$B641=""),0,IF(OR(N(对接源_01水果!$B641)&lt;$K$2,N(对接源_01水果!$B641)&gt;$K$3),0,1))</f>
        <v>0</v>
      </c>
      <c r="L641">
        <f>IF(OR($L$1="",对接源_01水果!$C641="",对接源_01水果!$C641&lt;&gt;$L$1,对接源_01水果!$B641=""),0,IF(OR(N(对接源_01水果!$B641)&lt;$L$2,N(对接源_01水果!$B641)&gt;$L$3),0,1))</f>
        <v>0</v>
      </c>
      <c r="M641">
        <f>IF(OR($M$1="",对接源_01水果!$C641="",对接源_01水果!$C641&lt;&gt;$M$1,对接源_01水果!$B641=""),0,IF(OR(N(对接源_01水果!$B641)&lt;$M$2,N(对接源_01水果!$B641)&gt;$M$3),0,1))</f>
        <v>0</v>
      </c>
      <c r="N641">
        <f>IF(OR($N$1="",对接源_01水果!$C641="",对接源_01水果!$C641&lt;&gt;$N$1,对接源_01水果!$B641=""),0,IF(OR(N(对接源_01水果!$B641)&lt;$N$2,N(对接源_01水果!$B641)&gt;$N$3),0,1))</f>
        <v>0</v>
      </c>
      <c r="P641">
        <f>IF(AND($K641=1,AND(对接源_01水果!$X641="公司筐",N(对接源_01水果!$T641)&lt;&gt;0)),1,0)</f>
        <v>0</v>
      </c>
      <c r="Q641">
        <f>N(Q640)+$P641</f>
        <v>0</v>
      </c>
      <c r="R641">
        <f>IF(AND($K641=1,AND(对接源_01水果!$X641="公司筐",N(对接源_01水果!$U641)&lt;&gt;0)),1,0)</f>
        <v>0</v>
      </c>
      <c r="S641">
        <f>N(S640)+$R641</f>
        <v>0</v>
      </c>
      <c r="T641">
        <f>IF(AND($K641=1,AND(对接源_01水果!$X641="公司筐",N(对接源_01水果!$V641)&lt;&gt;0)),1,0)</f>
        <v>0</v>
      </c>
      <c r="U641">
        <f>N(U640)+$T641</f>
        <v>47</v>
      </c>
      <c r="V641">
        <f>IF(AND($L641=1,AND(对接源_01水果!$X641="自备筐",N(对接源_01水果!$V641)&lt;&gt;0)),1,0)</f>
        <v>0</v>
      </c>
      <c r="W641">
        <f>N(W640)+$V641</f>
        <v>11</v>
      </c>
      <c r="X641">
        <f>IF(AND($L641=1,AND(对接源_01水果!$X641="自备筐",N(对接源_01水果!$T641)&lt;&gt;0)),1,0)</f>
        <v>0</v>
      </c>
      <c r="Y641">
        <f>N(Y640)+$X641</f>
        <v>0</v>
      </c>
      <c r="Z641">
        <f>IF(AND($M641=1,对接源_01水果!$D641="原料入库"),1,0)</f>
        <v>0</v>
      </c>
      <c r="AA641">
        <f>N(AA640)+$Z641</f>
        <v>24</v>
      </c>
      <c r="AB641">
        <f>IF(AND($M641=1,LEFT(对接源_01水果!$D641,4)="原料出库"),1,0)</f>
        <v>0</v>
      </c>
      <c r="AC641">
        <f>N(AC640)+$AB641</f>
        <v>0</v>
      </c>
      <c r="AD641">
        <f>IF(AND($M641=1,LEFT(对接源_01水果!$D641,4)="成品出库"),1,0)</f>
        <v>0</v>
      </c>
      <c r="AE641">
        <f>N(AE640)+$AD641</f>
        <v>0</v>
      </c>
      <c r="AF641">
        <f>IF(AND($N641=1,AND(LEFT(对接源_01水果!$D641,4)="包装物料",N(对接源_01水果!$K641)&lt;&gt;0)),1,0)</f>
        <v>0</v>
      </c>
      <c r="AG641">
        <f>N(AG640)+$AF641</f>
        <v>0</v>
      </c>
      <c r="AH641">
        <f>IF(AND($N641=1,AND(对接源_01水果!$D641="周转筐－销售出库",N(对接源_01水果!$K641)&lt;&gt;0)),1,0)</f>
        <v>0</v>
      </c>
      <c r="AI641">
        <f>N(AI640)+$AH641</f>
        <v>0</v>
      </c>
      <c r="AJ641" s="7" t="n"/>
      <c r="AL641">
        <f>IF(OR($AL$1="",对接源_01水果!$Y641="",对接源_01水果!$Y641&lt;&gt;$AL$1,对接源_01水果!$B641="",N(对接源_01水果!$AJ641)&lt;=0),0,IF(OR(N(对接源_01水果!$B641)&lt;$AL$2,N(对接源_01水果!$B641)&gt;$AL$3),0,1))</f>
        <v>0</v>
      </c>
      <c r="AM641">
        <f>N(AM640)+$AL641</f>
        <v>2</v>
      </c>
      <c r="AN641">
        <f>IF(对接源_01水果!$AC641="","",对接源_01水果!$AC641)</f>
      </c>
      <c r="AO641">
        <f>IF(AN641="",0,IF(MATCH(AN641,$AN$4:$AN$1203,0)=ROW()-3,1,0))</f>
        <v>0</v>
      </c>
      <c r="AP641">
        <f>N(AP640)+$AO641</f>
        <v>13</v>
      </c>
      <c r="AR641">
        <f>IF(OR($AF641=1,$AH641=1),1,0)</f>
        <v>0</v>
      </c>
      <c r="AS641">
        <f>N(AS640)+$AR641</f>
        <v>0</v>
      </c>
    </row>
    <row r="642" ht="14.25" customHeight="1" s="127">
      <c r="A642">
        <f>IF(对接源_01水果!$C642="","",对接源_01水果!$C642)</f>
      </c>
      <c r="B642">
        <f>IF(A642="",0,IF(MATCH(A642,$A$4:$A$2403,0)=ROW()-3,1,0))</f>
        <v>0</v>
      </c>
      <c r="C642">
        <f>N(C641)+B642</f>
        <v>22</v>
      </c>
      <c r="K642">
        <f>IF(OR($K$1="",对接源_01水果!$C642="",对接源_01水果!$C642&lt;&gt;$K$1,对接源_01水果!$B642=""),0,IF(OR(N(对接源_01水果!$B642)&lt;$K$2,N(对接源_01水果!$B642)&gt;$K$3),0,1))</f>
        <v>0</v>
      </c>
      <c r="L642">
        <f>IF(OR($L$1="",对接源_01水果!$C642="",对接源_01水果!$C642&lt;&gt;$L$1,对接源_01水果!$B642=""),0,IF(OR(N(对接源_01水果!$B642)&lt;$L$2,N(对接源_01水果!$B642)&gt;$L$3),0,1))</f>
        <v>0</v>
      </c>
      <c r="M642">
        <f>IF(OR($M$1="",对接源_01水果!$C642="",对接源_01水果!$C642&lt;&gt;$M$1,对接源_01水果!$B642=""),0,IF(OR(N(对接源_01水果!$B642)&lt;$M$2,N(对接源_01水果!$B642)&gt;$M$3),0,1))</f>
        <v>0</v>
      </c>
      <c r="N642">
        <f>IF(OR($N$1="",对接源_01水果!$C642="",对接源_01水果!$C642&lt;&gt;$N$1,对接源_01水果!$B642=""),0,IF(OR(N(对接源_01水果!$B642)&lt;$N$2,N(对接源_01水果!$B642)&gt;$N$3),0,1))</f>
        <v>0</v>
      </c>
      <c r="P642">
        <f>IF(AND($K642=1,AND(对接源_01水果!$X642="公司筐",N(对接源_01水果!$T642)&lt;&gt;0)),1,0)</f>
        <v>0</v>
      </c>
      <c r="Q642">
        <f>N(Q641)+$P642</f>
        <v>0</v>
      </c>
      <c r="R642">
        <f>IF(AND($K642=1,AND(对接源_01水果!$X642="公司筐",N(对接源_01水果!$U642)&lt;&gt;0)),1,0)</f>
        <v>0</v>
      </c>
      <c r="S642">
        <f>N(S641)+$R642</f>
        <v>0</v>
      </c>
      <c r="T642">
        <f>IF(AND($K642=1,AND(对接源_01水果!$X642="公司筐",N(对接源_01水果!$V642)&lt;&gt;0)),1,0)</f>
        <v>0</v>
      </c>
      <c r="U642">
        <f>N(U641)+$T642</f>
        <v>47</v>
      </c>
      <c r="V642">
        <f>IF(AND($L642=1,AND(对接源_01水果!$X642="自备筐",N(对接源_01水果!$V642)&lt;&gt;0)),1,0)</f>
        <v>0</v>
      </c>
      <c r="W642">
        <f>N(W641)+$V642</f>
        <v>11</v>
      </c>
      <c r="X642">
        <f>IF(AND($L642=1,AND(对接源_01水果!$X642="自备筐",N(对接源_01水果!$T642)&lt;&gt;0)),1,0)</f>
        <v>0</v>
      </c>
      <c r="Y642">
        <f>N(Y641)+$X642</f>
        <v>0</v>
      </c>
      <c r="Z642">
        <f>IF(AND($M642=1,对接源_01水果!$D642="原料入库"),1,0)</f>
        <v>0</v>
      </c>
      <c r="AA642">
        <f>N(AA641)+$Z642</f>
        <v>24</v>
      </c>
      <c r="AB642">
        <f>IF(AND($M642=1,LEFT(对接源_01水果!$D642,4)="原料出库"),1,0)</f>
        <v>0</v>
      </c>
      <c r="AC642">
        <f>N(AC641)+$AB642</f>
        <v>0</v>
      </c>
      <c r="AD642">
        <f>IF(AND($M642=1,LEFT(对接源_01水果!$D642,4)="成品出库"),1,0)</f>
        <v>0</v>
      </c>
      <c r="AE642">
        <f>N(AE641)+$AD642</f>
        <v>0</v>
      </c>
      <c r="AF642">
        <f>IF(AND($N642=1,AND(LEFT(对接源_01水果!$D642,4)="包装物料",N(对接源_01水果!$K642)&lt;&gt;0)),1,0)</f>
        <v>0</v>
      </c>
      <c r="AG642">
        <f>N(AG641)+$AF642</f>
        <v>0</v>
      </c>
      <c r="AH642">
        <f>IF(AND($N642=1,AND(对接源_01水果!$D642="周转筐－销售出库",N(对接源_01水果!$K642)&lt;&gt;0)),1,0)</f>
        <v>0</v>
      </c>
      <c r="AI642">
        <f>N(AI641)+$AH642</f>
        <v>0</v>
      </c>
      <c r="AJ642" s="7" t="n"/>
      <c r="AL642">
        <f>IF(OR($AL$1="",对接源_01水果!$Y642="",对接源_01水果!$Y642&lt;&gt;$AL$1,对接源_01水果!$B642="",N(对接源_01水果!$AJ642)&lt;=0),0,IF(OR(N(对接源_01水果!$B642)&lt;$AL$2,N(对接源_01水果!$B642)&gt;$AL$3),0,1))</f>
        <v>0</v>
      </c>
      <c r="AM642">
        <f>N(AM641)+$AL642</f>
        <v>2</v>
      </c>
      <c r="AN642">
        <f>IF(对接源_01水果!$AC642="","",对接源_01水果!$AC642)</f>
      </c>
      <c r="AO642">
        <f>IF(AN642="",0,IF(MATCH(AN642,$AN$4:$AN$1203,0)=ROW()-3,1,0))</f>
        <v>0</v>
      </c>
      <c r="AP642">
        <f>N(AP641)+$AO642</f>
        <v>13</v>
      </c>
      <c r="AR642">
        <f>IF(OR($AF642=1,$AH642=1),1,0)</f>
        <v>0</v>
      </c>
      <c r="AS642">
        <f>N(AS641)+$AR642</f>
        <v>0</v>
      </c>
    </row>
    <row r="643" ht="14.25" customHeight="1" s="127">
      <c r="A643">
        <f>IF(对接源_01水果!$C643="","",对接源_01水果!$C643)</f>
      </c>
      <c r="B643">
        <f>IF(A643="",0,IF(MATCH(A643,$A$4:$A$2403,0)=ROW()-3,1,0))</f>
        <v>0</v>
      </c>
      <c r="C643">
        <f>N(C642)+B643</f>
        <v>22</v>
      </c>
      <c r="K643">
        <f>IF(OR($K$1="",对接源_01水果!$C643="",对接源_01水果!$C643&lt;&gt;$K$1,对接源_01水果!$B643=""),0,IF(OR(N(对接源_01水果!$B643)&lt;$K$2,N(对接源_01水果!$B643)&gt;$K$3),0,1))</f>
        <v>0</v>
      </c>
      <c r="L643">
        <f>IF(OR($L$1="",对接源_01水果!$C643="",对接源_01水果!$C643&lt;&gt;$L$1,对接源_01水果!$B643=""),0,IF(OR(N(对接源_01水果!$B643)&lt;$L$2,N(对接源_01水果!$B643)&gt;$L$3),0,1))</f>
        <v>0</v>
      </c>
      <c r="M643">
        <f>IF(OR($M$1="",对接源_01水果!$C643="",对接源_01水果!$C643&lt;&gt;$M$1,对接源_01水果!$B643=""),0,IF(OR(N(对接源_01水果!$B643)&lt;$M$2,N(对接源_01水果!$B643)&gt;$M$3),0,1))</f>
        <v>0</v>
      </c>
      <c r="N643">
        <f>IF(OR($N$1="",对接源_01水果!$C643="",对接源_01水果!$C643&lt;&gt;$N$1,对接源_01水果!$B643=""),0,IF(OR(N(对接源_01水果!$B643)&lt;$N$2,N(对接源_01水果!$B643)&gt;$N$3),0,1))</f>
        <v>0</v>
      </c>
      <c r="P643">
        <f>IF(AND($K643=1,AND(对接源_01水果!$X643="公司筐",N(对接源_01水果!$T643)&lt;&gt;0)),1,0)</f>
        <v>0</v>
      </c>
      <c r="Q643">
        <f>N(Q642)+$P643</f>
        <v>0</v>
      </c>
      <c r="R643">
        <f>IF(AND($K643=1,AND(对接源_01水果!$X643="公司筐",N(对接源_01水果!$U643)&lt;&gt;0)),1,0)</f>
        <v>0</v>
      </c>
      <c r="S643">
        <f>N(S642)+$R643</f>
        <v>0</v>
      </c>
      <c r="T643">
        <f>IF(AND($K643=1,AND(对接源_01水果!$X643="公司筐",N(对接源_01水果!$V643)&lt;&gt;0)),1,0)</f>
        <v>0</v>
      </c>
      <c r="U643">
        <f>N(U642)+$T643</f>
        <v>47</v>
      </c>
      <c r="V643">
        <f>IF(AND($L643=1,AND(对接源_01水果!$X643="自备筐",N(对接源_01水果!$V643)&lt;&gt;0)),1,0)</f>
        <v>0</v>
      </c>
      <c r="W643">
        <f>N(W642)+$V643</f>
        <v>11</v>
      </c>
      <c r="X643">
        <f>IF(AND($L643=1,AND(对接源_01水果!$X643="自备筐",N(对接源_01水果!$T643)&lt;&gt;0)),1,0)</f>
        <v>0</v>
      </c>
      <c r="Y643">
        <f>N(Y642)+$X643</f>
        <v>0</v>
      </c>
      <c r="Z643">
        <f>IF(AND($M643=1,对接源_01水果!$D643="原料入库"),1,0)</f>
        <v>0</v>
      </c>
      <c r="AA643">
        <f>N(AA642)+$Z643</f>
        <v>24</v>
      </c>
      <c r="AB643">
        <f>IF(AND($M643=1,LEFT(对接源_01水果!$D643,4)="原料出库"),1,0)</f>
        <v>0</v>
      </c>
      <c r="AC643">
        <f>N(AC642)+$AB643</f>
        <v>0</v>
      </c>
      <c r="AD643">
        <f>IF(AND($M643=1,LEFT(对接源_01水果!$D643,4)="成品出库"),1,0)</f>
        <v>0</v>
      </c>
      <c r="AE643">
        <f>N(AE642)+$AD643</f>
        <v>0</v>
      </c>
      <c r="AF643">
        <f>IF(AND($N643=1,AND(LEFT(对接源_01水果!$D643,4)="包装物料",N(对接源_01水果!$K643)&lt;&gt;0)),1,0)</f>
        <v>0</v>
      </c>
      <c r="AG643">
        <f>N(AG642)+$AF643</f>
        <v>0</v>
      </c>
      <c r="AH643">
        <f>IF(AND($N643=1,AND(对接源_01水果!$D643="周转筐－销售出库",N(对接源_01水果!$K643)&lt;&gt;0)),1,0)</f>
        <v>0</v>
      </c>
      <c r="AI643">
        <f>N(AI642)+$AH643</f>
        <v>0</v>
      </c>
      <c r="AJ643" s="7" t="n"/>
      <c r="AL643">
        <f>IF(OR($AL$1="",对接源_01水果!$Y643="",对接源_01水果!$Y643&lt;&gt;$AL$1,对接源_01水果!$B643="",N(对接源_01水果!$AJ643)&lt;=0),0,IF(OR(N(对接源_01水果!$B643)&lt;$AL$2,N(对接源_01水果!$B643)&gt;$AL$3),0,1))</f>
        <v>0</v>
      </c>
      <c r="AM643">
        <f>N(AM642)+$AL643</f>
        <v>2</v>
      </c>
      <c r="AN643">
        <f>IF(对接源_01水果!$AC643="","",对接源_01水果!$AC643)</f>
      </c>
      <c r="AO643">
        <f>IF(AN643="",0,IF(MATCH(AN643,$AN$4:$AN$1203,0)=ROW()-3,1,0))</f>
        <v>0</v>
      </c>
      <c r="AP643">
        <f>N(AP642)+$AO643</f>
        <v>13</v>
      </c>
      <c r="AR643">
        <f>IF(OR($AF643=1,$AH643=1),1,0)</f>
        <v>0</v>
      </c>
      <c r="AS643">
        <f>N(AS642)+$AR643</f>
        <v>0</v>
      </c>
    </row>
    <row r="644" ht="14.25" customHeight="1" s="127">
      <c r="A644">
        <f>IF(对接源_01水果!$C644="","",对接源_01水果!$C644)</f>
      </c>
      <c r="B644">
        <f>IF(A644="",0,IF(MATCH(A644,$A$4:$A$2403,0)=ROW()-3,1,0))</f>
        <v>0</v>
      </c>
      <c r="C644">
        <f>N(C643)+B644</f>
        <v>22</v>
      </c>
      <c r="K644">
        <f>IF(OR($K$1="",对接源_01水果!$C644="",对接源_01水果!$C644&lt;&gt;$K$1,对接源_01水果!$B644=""),0,IF(OR(N(对接源_01水果!$B644)&lt;$K$2,N(对接源_01水果!$B644)&gt;$K$3),0,1))</f>
        <v>0</v>
      </c>
      <c r="L644">
        <f>IF(OR($L$1="",对接源_01水果!$C644="",对接源_01水果!$C644&lt;&gt;$L$1,对接源_01水果!$B644=""),0,IF(OR(N(对接源_01水果!$B644)&lt;$L$2,N(对接源_01水果!$B644)&gt;$L$3),0,1))</f>
        <v>0</v>
      </c>
      <c r="M644">
        <f>IF(OR($M$1="",对接源_01水果!$C644="",对接源_01水果!$C644&lt;&gt;$M$1,对接源_01水果!$B644=""),0,IF(OR(N(对接源_01水果!$B644)&lt;$M$2,N(对接源_01水果!$B644)&gt;$M$3),0,1))</f>
        <v>0</v>
      </c>
      <c r="N644">
        <f>IF(OR($N$1="",对接源_01水果!$C644="",对接源_01水果!$C644&lt;&gt;$N$1,对接源_01水果!$B644=""),0,IF(OR(N(对接源_01水果!$B644)&lt;$N$2,N(对接源_01水果!$B644)&gt;$N$3),0,1))</f>
        <v>0</v>
      </c>
      <c r="P644">
        <f>IF(AND($K644=1,AND(对接源_01水果!$X644="公司筐",N(对接源_01水果!$T644)&lt;&gt;0)),1,0)</f>
        <v>0</v>
      </c>
      <c r="Q644">
        <f>N(Q643)+$P644</f>
        <v>0</v>
      </c>
      <c r="R644">
        <f>IF(AND($K644=1,AND(对接源_01水果!$X644="公司筐",N(对接源_01水果!$U644)&lt;&gt;0)),1,0)</f>
        <v>0</v>
      </c>
      <c r="S644">
        <f>N(S643)+$R644</f>
        <v>0</v>
      </c>
      <c r="T644">
        <f>IF(AND($K644=1,AND(对接源_01水果!$X644="公司筐",N(对接源_01水果!$V644)&lt;&gt;0)),1,0)</f>
        <v>0</v>
      </c>
      <c r="U644">
        <f>N(U643)+$T644</f>
        <v>47</v>
      </c>
      <c r="V644">
        <f>IF(AND($L644=1,AND(对接源_01水果!$X644="自备筐",N(对接源_01水果!$V644)&lt;&gt;0)),1,0)</f>
        <v>0</v>
      </c>
      <c r="W644">
        <f>N(W643)+$V644</f>
        <v>11</v>
      </c>
      <c r="X644">
        <f>IF(AND($L644=1,AND(对接源_01水果!$X644="自备筐",N(对接源_01水果!$T644)&lt;&gt;0)),1,0)</f>
        <v>0</v>
      </c>
      <c r="Y644">
        <f>N(Y643)+$X644</f>
        <v>0</v>
      </c>
      <c r="Z644">
        <f>IF(AND($M644=1,对接源_01水果!$D644="原料入库"),1,0)</f>
        <v>0</v>
      </c>
      <c r="AA644">
        <f>N(AA643)+$Z644</f>
        <v>24</v>
      </c>
      <c r="AB644">
        <f>IF(AND($M644=1,LEFT(对接源_01水果!$D644,4)="原料出库"),1,0)</f>
        <v>0</v>
      </c>
      <c r="AC644">
        <f>N(AC643)+$AB644</f>
        <v>0</v>
      </c>
      <c r="AD644">
        <f>IF(AND($M644=1,LEFT(对接源_01水果!$D644,4)="成品出库"),1,0)</f>
        <v>0</v>
      </c>
      <c r="AE644">
        <f>N(AE643)+$AD644</f>
        <v>0</v>
      </c>
      <c r="AF644">
        <f>IF(AND($N644=1,AND(LEFT(对接源_01水果!$D644,4)="包装物料",N(对接源_01水果!$K644)&lt;&gt;0)),1,0)</f>
        <v>0</v>
      </c>
      <c r="AG644">
        <f>N(AG643)+$AF644</f>
        <v>0</v>
      </c>
      <c r="AH644">
        <f>IF(AND($N644=1,AND(对接源_01水果!$D644="周转筐－销售出库",N(对接源_01水果!$K644)&lt;&gt;0)),1,0)</f>
        <v>0</v>
      </c>
      <c r="AI644">
        <f>N(AI643)+$AH644</f>
        <v>0</v>
      </c>
      <c r="AJ644" s="7" t="n"/>
      <c r="AL644">
        <f>IF(OR($AL$1="",对接源_01水果!$Y644="",对接源_01水果!$Y644&lt;&gt;$AL$1,对接源_01水果!$B644="",N(对接源_01水果!$AJ644)&lt;=0),0,IF(OR(N(对接源_01水果!$B644)&lt;$AL$2,N(对接源_01水果!$B644)&gt;$AL$3),0,1))</f>
        <v>0</v>
      </c>
      <c r="AM644">
        <f>N(AM643)+$AL644</f>
        <v>2</v>
      </c>
      <c r="AN644">
        <f>IF(对接源_01水果!$AC644="","",对接源_01水果!$AC644)</f>
      </c>
      <c r="AO644">
        <f>IF(AN644="",0,IF(MATCH(AN644,$AN$4:$AN$1203,0)=ROW()-3,1,0))</f>
        <v>0</v>
      </c>
      <c r="AP644">
        <f>N(AP643)+$AO644</f>
        <v>13</v>
      </c>
      <c r="AR644">
        <f>IF(OR($AF644=1,$AH644=1),1,0)</f>
        <v>0</v>
      </c>
      <c r="AS644">
        <f>N(AS643)+$AR644</f>
        <v>0</v>
      </c>
    </row>
    <row r="645" ht="14.25" customHeight="1" s="127">
      <c r="A645">
        <f>IF(对接源_01水果!$C645="","",对接源_01水果!$C645)</f>
      </c>
      <c r="B645">
        <f>IF(A645="",0,IF(MATCH(A645,$A$4:$A$2403,0)=ROW()-3,1,0))</f>
        <v>0</v>
      </c>
      <c r="C645">
        <f>N(C644)+B645</f>
        <v>22</v>
      </c>
      <c r="K645">
        <f>IF(OR($K$1="",对接源_01水果!$C645="",对接源_01水果!$C645&lt;&gt;$K$1,对接源_01水果!$B645=""),0,IF(OR(N(对接源_01水果!$B645)&lt;$K$2,N(对接源_01水果!$B645)&gt;$K$3),0,1))</f>
        <v>0</v>
      </c>
      <c r="L645">
        <f>IF(OR($L$1="",对接源_01水果!$C645="",对接源_01水果!$C645&lt;&gt;$L$1,对接源_01水果!$B645=""),0,IF(OR(N(对接源_01水果!$B645)&lt;$L$2,N(对接源_01水果!$B645)&gt;$L$3),0,1))</f>
        <v>0</v>
      </c>
      <c r="M645">
        <f>IF(OR($M$1="",对接源_01水果!$C645="",对接源_01水果!$C645&lt;&gt;$M$1,对接源_01水果!$B645=""),0,IF(OR(N(对接源_01水果!$B645)&lt;$M$2,N(对接源_01水果!$B645)&gt;$M$3),0,1))</f>
        <v>0</v>
      </c>
      <c r="N645">
        <f>IF(OR($N$1="",对接源_01水果!$C645="",对接源_01水果!$C645&lt;&gt;$N$1,对接源_01水果!$B645=""),0,IF(OR(N(对接源_01水果!$B645)&lt;$N$2,N(对接源_01水果!$B645)&gt;$N$3),0,1))</f>
        <v>0</v>
      </c>
      <c r="P645">
        <f>IF(AND($K645=1,AND(对接源_01水果!$X645="公司筐",N(对接源_01水果!$T645)&lt;&gt;0)),1,0)</f>
        <v>0</v>
      </c>
      <c r="Q645">
        <f>N(Q644)+$P645</f>
        <v>0</v>
      </c>
      <c r="R645">
        <f>IF(AND($K645=1,AND(对接源_01水果!$X645="公司筐",N(对接源_01水果!$U645)&lt;&gt;0)),1,0)</f>
        <v>0</v>
      </c>
      <c r="S645">
        <f>N(S644)+$R645</f>
        <v>0</v>
      </c>
      <c r="T645">
        <f>IF(AND($K645=1,AND(对接源_01水果!$X645="公司筐",N(对接源_01水果!$V645)&lt;&gt;0)),1,0)</f>
        <v>0</v>
      </c>
      <c r="U645">
        <f>N(U644)+$T645</f>
        <v>47</v>
      </c>
      <c r="V645">
        <f>IF(AND($L645=1,AND(对接源_01水果!$X645="自备筐",N(对接源_01水果!$V645)&lt;&gt;0)),1,0)</f>
        <v>0</v>
      </c>
      <c r="W645">
        <f>N(W644)+$V645</f>
        <v>11</v>
      </c>
      <c r="X645">
        <f>IF(AND($L645=1,AND(对接源_01水果!$X645="自备筐",N(对接源_01水果!$T645)&lt;&gt;0)),1,0)</f>
        <v>0</v>
      </c>
      <c r="Y645">
        <f>N(Y644)+$X645</f>
        <v>0</v>
      </c>
      <c r="Z645">
        <f>IF(AND($M645=1,对接源_01水果!$D645="原料入库"),1,0)</f>
        <v>0</v>
      </c>
      <c r="AA645">
        <f>N(AA644)+$Z645</f>
        <v>24</v>
      </c>
      <c r="AB645">
        <f>IF(AND($M645=1,LEFT(对接源_01水果!$D645,4)="原料出库"),1,0)</f>
        <v>0</v>
      </c>
      <c r="AC645">
        <f>N(AC644)+$AB645</f>
        <v>0</v>
      </c>
      <c r="AD645">
        <f>IF(AND($M645=1,LEFT(对接源_01水果!$D645,4)="成品出库"),1,0)</f>
        <v>0</v>
      </c>
      <c r="AE645">
        <f>N(AE644)+$AD645</f>
        <v>0</v>
      </c>
      <c r="AF645">
        <f>IF(AND($N645=1,AND(LEFT(对接源_01水果!$D645,4)="包装物料",N(对接源_01水果!$K645)&lt;&gt;0)),1,0)</f>
        <v>0</v>
      </c>
      <c r="AG645">
        <f>N(AG644)+$AF645</f>
        <v>0</v>
      </c>
      <c r="AH645">
        <f>IF(AND($N645=1,AND(对接源_01水果!$D645="周转筐－销售出库",N(对接源_01水果!$K645)&lt;&gt;0)),1,0)</f>
        <v>0</v>
      </c>
      <c r="AI645">
        <f>N(AI644)+$AH645</f>
        <v>0</v>
      </c>
      <c r="AJ645" s="7" t="n"/>
      <c r="AL645">
        <f>IF(OR($AL$1="",对接源_01水果!$Y645="",对接源_01水果!$Y645&lt;&gt;$AL$1,对接源_01水果!$B645="",N(对接源_01水果!$AJ645)&lt;=0),0,IF(OR(N(对接源_01水果!$B645)&lt;$AL$2,N(对接源_01水果!$B645)&gt;$AL$3),0,1))</f>
        <v>0</v>
      </c>
      <c r="AM645">
        <f>N(AM644)+$AL645</f>
        <v>2</v>
      </c>
      <c r="AN645">
        <f>IF(对接源_01水果!$AC645="","",对接源_01水果!$AC645)</f>
      </c>
      <c r="AO645">
        <f>IF(AN645="",0,IF(MATCH(AN645,$AN$4:$AN$1203,0)=ROW()-3,1,0))</f>
        <v>0</v>
      </c>
      <c r="AP645">
        <f>N(AP644)+$AO645</f>
        <v>13</v>
      </c>
      <c r="AR645">
        <f>IF(OR($AF645=1,$AH645=1),1,0)</f>
        <v>0</v>
      </c>
      <c r="AS645">
        <f>N(AS644)+$AR645</f>
        <v>0</v>
      </c>
    </row>
    <row r="646" ht="14.25" customHeight="1" s="127">
      <c r="A646">
        <f>IF(对接源_01水果!$C646="","",对接源_01水果!$C646)</f>
      </c>
      <c r="B646">
        <f>IF(A646="",0,IF(MATCH(A646,$A$4:$A$2403,0)=ROW()-3,1,0))</f>
        <v>0</v>
      </c>
      <c r="C646">
        <f>N(C645)+B646</f>
        <v>22</v>
      </c>
      <c r="K646">
        <f>IF(OR($K$1="",对接源_01水果!$C646="",对接源_01水果!$C646&lt;&gt;$K$1,对接源_01水果!$B646=""),0,IF(OR(N(对接源_01水果!$B646)&lt;$K$2,N(对接源_01水果!$B646)&gt;$K$3),0,1))</f>
        <v>0</v>
      </c>
      <c r="L646">
        <f>IF(OR($L$1="",对接源_01水果!$C646="",对接源_01水果!$C646&lt;&gt;$L$1,对接源_01水果!$B646=""),0,IF(OR(N(对接源_01水果!$B646)&lt;$L$2,N(对接源_01水果!$B646)&gt;$L$3),0,1))</f>
        <v>0</v>
      </c>
      <c r="M646">
        <f>IF(OR($M$1="",对接源_01水果!$C646="",对接源_01水果!$C646&lt;&gt;$M$1,对接源_01水果!$B646=""),0,IF(OR(N(对接源_01水果!$B646)&lt;$M$2,N(对接源_01水果!$B646)&gt;$M$3),0,1))</f>
        <v>0</v>
      </c>
      <c r="N646">
        <f>IF(OR($N$1="",对接源_01水果!$C646="",对接源_01水果!$C646&lt;&gt;$N$1,对接源_01水果!$B646=""),0,IF(OR(N(对接源_01水果!$B646)&lt;$N$2,N(对接源_01水果!$B646)&gt;$N$3),0,1))</f>
        <v>0</v>
      </c>
      <c r="P646">
        <f>IF(AND($K646=1,AND(对接源_01水果!$X646="公司筐",N(对接源_01水果!$T646)&lt;&gt;0)),1,0)</f>
        <v>0</v>
      </c>
      <c r="Q646">
        <f>N(Q645)+$P646</f>
        <v>0</v>
      </c>
      <c r="R646">
        <f>IF(AND($K646=1,AND(对接源_01水果!$X646="公司筐",N(对接源_01水果!$U646)&lt;&gt;0)),1,0)</f>
        <v>0</v>
      </c>
      <c r="S646">
        <f>N(S645)+$R646</f>
        <v>0</v>
      </c>
      <c r="T646">
        <f>IF(AND($K646=1,AND(对接源_01水果!$X646="公司筐",N(对接源_01水果!$V646)&lt;&gt;0)),1,0)</f>
        <v>0</v>
      </c>
      <c r="U646">
        <f>N(U645)+$T646</f>
        <v>47</v>
      </c>
      <c r="V646">
        <f>IF(AND($L646=1,AND(对接源_01水果!$X646="自备筐",N(对接源_01水果!$V646)&lt;&gt;0)),1,0)</f>
        <v>0</v>
      </c>
      <c r="W646">
        <f>N(W645)+$V646</f>
        <v>11</v>
      </c>
      <c r="X646">
        <f>IF(AND($L646=1,AND(对接源_01水果!$X646="自备筐",N(对接源_01水果!$T646)&lt;&gt;0)),1,0)</f>
        <v>0</v>
      </c>
      <c r="Y646">
        <f>N(Y645)+$X646</f>
        <v>0</v>
      </c>
      <c r="Z646">
        <f>IF(AND($M646=1,对接源_01水果!$D646="原料入库"),1,0)</f>
        <v>0</v>
      </c>
      <c r="AA646">
        <f>N(AA645)+$Z646</f>
        <v>24</v>
      </c>
      <c r="AB646">
        <f>IF(AND($M646=1,LEFT(对接源_01水果!$D646,4)="原料出库"),1,0)</f>
        <v>0</v>
      </c>
      <c r="AC646">
        <f>N(AC645)+$AB646</f>
        <v>0</v>
      </c>
      <c r="AD646">
        <f>IF(AND($M646=1,LEFT(对接源_01水果!$D646,4)="成品出库"),1,0)</f>
        <v>0</v>
      </c>
      <c r="AE646">
        <f>N(AE645)+$AD646</f>
        <v>0</v>
      </c>
      <c r="AF646">
        <f>IF(AND($N646=1,AND(LEFT(对接源_01水果!$D646,4)="包装物料",N(对接源_01水果!$K646)&lt;&gt;0)),1,0)</f>
        <v>0</v>
      </c>
      <c r="AG646">
        <f>N(AG645)+$AF646</f>
        <v>0</v>
      </c>
      <c r="AH646">
        <f>IF(AND($N646=1,AND(对接源_01水果!$D646="周转筐－销售出库",N(对接源_01水果!$K646)&lt;&gt;0)),1,0)</f>
        <v>0</v>
      </c>
      <c r="AI646">
        <f>N(AI645)+$AH646</f>
        <v>0</v>
      </c>
      <c r="AJ646" s="7" t="n"/>
      <c r="AL646">
        <f>IF(OR($AL$1="",对接源_01水果!$Y646="",对接源_01水果!$Y646&lt;&gt;$AL$1,对接源_01水果!$B646="",N(对接源_01水果!$AJ646)&lt;=0),0,IF(OR(N(对接源_01水果!$B646)&lt;$AL$2,N(对接源_01水果!$B646)&gt;$AL$3),0,1))</f>
        <v>0</v>
      </c>
      <c r="AM646">
        <f>N(AM645)+$AL646</f>
        <v>2</v>
      </c>
      <c r="AN646">
        <f>IF(对接源_01水果!$AC646="","",对接源_01水果!$AC646)</f>
      </c>
      <c r="AO646">
        <f>IF(AN646="",0,IF(MATCH(AN646,$AN$4:$AN$1203,0)=ROW()-3,1,0))</f>
        <v>0</v>
      </c>
      <c r="AP646">
        <f>N(AP645)+$AO646</f>
        <v>13</v>
      </c>
      <c r="AR646">
        <f>IF(OR($AF646=1,$AH646=1),1,0)</f>
        <v>0</v>
      </c>
      <c r="AS646">
        <f>N(AS645)+$AR646</f>
        <v>0</v>
      </c>
    </row>
    <row r="647" ht="14.25" customHeight="1" s="127">
      <c r="A647">
        <f>IF(对接源_01水果!$C647="","",对接源_01水果!$C647)</f>
      </c>
      <c r="B647">
        <f>IF(A647="",0,IF(MATCH(A647,$A$4:$A$2403,0)=ROW()-3,1,0))</f>
        <v>0</v>
      </c>
      <c r="C647">
        <f>N(C646)+B647</f>
        <v>22</v>
      </c>
      <c r="K647">
        <f>IF(OR($K$1="",对接源_01水果!$C647="",对接源_01水果!$C647&lt;&gt;$K$1,对接源_01水果!$B647=""),0,IF(OR(N(对接源_01水果!$B647)&lt;$K$2,N(对接源_01水果!$B647)&gt;$K$3),0,1))</f>
        <v>0</v>
      </c>
      <c r="L647">
        <f>IF(OR($L$1="",对接源_01水果!$C647="",对接源_01水果!$C647&lt;&gt;$L$1,对接源_01水果!$B647=""),0,IF(OR(N(对接源_01水果!$B647)&lt;$L$2,N(对接源_01水果!$B647)&gt;$L$3),0,1))</f>
        <v>0</v>
      </c>
      <c r="M647">
        <f>IF(OR($M$1="",对接源_01水果!$C647="",对接源_01水果!$C647&lt;&gt;$M$1,对接源_01水果!$B647=""),0,IF(OR(N(对接源_01水果!$B647)&lt;$M$2,N(对接源_01水果!$B647)&gt;$M$3),0,1))</f>
        <v>0</v>
      </c>
      <c r="N647">
        <f>IF(OR($N$1="",对接源_01水果!$C647="",对接源_01水果!$C647&lt;&gt;$N$1,对接源_01水果!$B647=""),0,IF(OR(N(对接源_01水果!$B647)&lt;$N$2,N(对接源_01水果!$B647)&gt;$N$3),0,1))</f>
        <v>0</v>
      </c>
      <c r="P647">
        <f>IF(AND($K647=1,AND(对接源_01水果!$X647="公司筐",N(对接源_01水果!$T647)&lt;&gt;0)),1,0)</f>
        <v>0</v>
      </c>
      <c r="Q647">
        <f>N(Q646)+$P647</f>
        <v>0</v>
      </c>
      <c r="R647">
        <f>IF(AND($K647=1,AND(对接源_01水果!$X647="公司筐",N(对接源_01水果!$U647)&lt;&gt;0)),1,0)</f>
        <v>0</v>
      </c>
      <c r="S647">
        <f>N(S646)+$R647</f>
        <v>0</v>
      </c>
      <c r="T647">
        <f>IF(AND($K647=1,AND(对接源_01水果!$X647="公司筐",N(对接源_01水果!$V647)&lt;&gt;0)),1,0)</f>
        <v>0</v>
      </c>
      <c r="U647">
        <f>N(U646)+$T647</f>
        <v>47</v>
      </c>
      <c r="V647">
        <f>IF(AND($L647=1,AND(对接源_01水果!$X647="自备筐",N(对接源_01水果!$V647)&lt;&gt;0)),1,0)</f>
        <v>0</v>
      </c>
      <c r="W647">
        <f>N(W646)+$V647</f>
        <v>11</v>
      </c>
      <c r="X647">
        <f>IF(AND($L647=1,AND(对接源_01水果!$X647="自备筐",N(对接源_01水果!$T647)&lt;&gt;0)),1,0)</f>
        <v>0</v>
      </c>
      <c r="Y647">
        <f>N(Y646)+$X647</f>
        <v>0</v>
      </c>
      <c r="Z647">
        <f>IF(AND($M647=1,对接源_01水果!$D647="原料入库"),1,0)</f>
        <v>0</v>
      </c>
      <c r="AA647">
        <f>N(AA646)+$Z647</f>
        <v>24</v>
      </c>
      <c r="AB647">
        <f>IF(AND($M647=1,LEFT(对接源_01水果!$D647,4)="原料出库"),1,0)</f>
        <v>0</v>
      </c>
      <c r="AC647">
        <f>N(AC646)+$AB647</f>
        <v>0</v>
      </c>
      <c r="AD647">
        <f>IF(AND($M647=1,LEFT(对接源_01水果!$D647,4)="成品出库"),1,0)</f>
        <v>0</v>
      </c>
      <c r="AE647">
        <f>N(AE646)+$AD647</f>
        <v>0</v>
      </c>
      <c r="AF647">
        <f>IF(AND($N647=1,AND(LEFT(对接源_01水果!$D647,4)="包装物料",N(对接源_01水果!$K647)&lt;&gt;0)),1,0)</f>
        <v>0</v>
      </c>
      <c r="AG647">
        <f>N(AG646)+$AF647</f>
        <v>0</v>
      </c>
      <c r="AH647">
        <f>IF(AND($N647=1,AND(对接源_01水果!$D647="周转筐－销售出库",N(对接源_01水果!$K647)&lt;&gt;0)),1,0)</f>
        <v>0</v>
      </c>
      <c r="AI647">
        <f>N(AI646)+$AH647</f>
        <v>0</v>
      </c>
      <c r="AJ647" s="7" t="n"/>
      <c r="AL647">
        <f>IF(OR($AL$1="",对接源_01水果!$Y647="",对接源_01水果!$Y647&lt;&gt;$AL$1,对接源_01水果!$B647="",N(对接源_01水果!$AJ647)&lt;=0),0,IF(OR(N(对接源_01水果!$B647)&lt;$AL$2,N(对接源_01水果!$B647)&gt;$AL$3),0,1))</f>
        <v>0</v>
      </c>
      <c r="AM647">
        <f>N(AM646)+$AL647</f>
        <v>2</v>
      </c>
      <c r="AN647">
        <f>IF(对接源_01水果!$AC647="","",对接源_01水果!$AC647)</f>
      </c>
      <c r="AO647">
        <f>IF(AN647="",0,IF(MATCH(AN647,$AN$4:$AN$1203,0)=ROW()-3,1,0))</f>
        <v>0</v>
      </c>
      <c r="AP647">
        <f>N(AP646)+$AO647</f>
        <v>13</v>
      </c>
      <c r="AR647">
        <f>IF(OR($AF647=1,$AH647=1),1,0)</f>
        <v>0</v>
      </c>
      <c r="AS647">
        <f>N(AS646)+$AR647</f>
        <v>0</v>
      </c>
    </row>
    <row r="648" ht="14.25" customHeight="1" s="127">
      <c r="A648">
        <f>IF(对接源_01水果!$C648="","",对接源_01水果!$C648)</f>
      </c>
      <c r="B648">
        <f>IF(A648="",0,IF(MATCH(A648,$A$4:$A$2403,0)=ROW()-3,1,0))</f>
        <v>0</v>
      </c>
      <c r="C648">
        <f>N(C647)+B648</f>
        <v>22</v>
      </c>
      <c r="K648">
        <f>IF(OR($K$1="",对接源_01水果!$C648="",对接源_01水果!$C648&lt;&gt;$K$1,对接源_01水果!$B648=""),0,IF(OR(N(对接源_01水果!$B648)&lt;$K$2,N(对接源_01水果!$B648)&gt;$K$3),0,1))</f>
        <v>0</v>
      </c>
      <c r="L648">
        <f>IF(OR($L$1="",对接源_01水果!$C648="",对接源_01水果!$C648&lt;&gt;$L$1,对接源_01水果!$B648=""),0,IF(OR(N(对接源_01水果!$B648)&lt;$L$2,N(对接源_01水果!$B648)&gt;$L$3),0,1))</f>
        <v>0</v>
      </c>
      <c r="M648">
        <f>IF(OR($M$1="",对接源_01水果!$C648="",对接源_01水果!$C648&lt;&gt;$M$1,对接源_01水果!$B648=""),0,IF(OR(N(对接源_01水果!$B648)&lt;$M$2,N(对接源_01水果!$B648)&gt;$M$3),0,1))</f>
        <v>0</v>
      </c>
      <c r="N648">
        <f>IF(OR($N$1="",对接源_01水果!$C648="",对接源_01水果!$C648&lt;&gt;$N$1,对接源_01水果!$B648=""),0,IF(OR(N(对接源_01水果!$B648)&lt;$N$2,N(对接源_01水果!$B648)&gt;$N$3),0,1))</f>
        <v>0</v>
      </c>
      <c r="P648">
        <f>IF(AND($K648=1,AND(对接源_01水果!$X648="公司筐",N(对接源_01水果!$T648)&lt;&gt;0)),1,0)</f>
        <v>0</v>
      </c>
      <c r="Q648">
        <f>N(Q647)+$P648</f>
        <v>0</v>
      </c>
      <c r="R648">
        <f>IF(AND($K648=1,AND(对接源_01水果!$X648="公司筐",N(对接源_01水果!$U648)&lt;&gt;0)),1,0)</f>
        <v>0</v>
      </c>
      <c r="S648">
        <f>N(S647)+$R648</f>
        <v>0</v>
      </c>
      <c r="T648">
        <f>IF(AND($K648=1,AND(对接源_01水果!$X648="公司筐",N(对接源_01水果!$V648)&lt;&gt;0)),1,0)</f>
        <v>0</v>
      </c>
      <c r="U648">
        <f>N(U647)+$T648</f>
        <v>47</v>
      </c>
      <c r="V648">
        <f>IF(AND($L648=1,AND(对接源_01水果!$X648="自备筐",N(对接源_01水果!$V648)&lt;&gt;0)),1,0)</f>
        <v>0</v>
      </c>
      <c r="W648">
        <f>N(W647)+$V648</f>
        <v>11</v>
      </c>
      <c r="X648">
        <f>IF(AND($L648=1,AND(对接源_01水果!$X648="自备筐",N(对接源_01水果!$T648)&lt;&gt;0)),1,0)</f>
        <v>0</v>
      </c>
      <c r="Y648">
        <f>N(Y647)+$X648</f>
        <v>0</v>
      </c>
      <c r="Z648">
        <f>IF(AND($M648=1,对接源_01水果!$D648="原料入库"),1,0)</f>
        <v>0</v>
      </c>
      <c r="AA648">
        <f>N(AA647)+$Z648</f>
        <v>24</v>
      </c>
      <c r="AB648">
        <f>IF(AND($M648=1,LEFT(对接源_01水果!$D648,4)="原料出库"),1,0)</f>
        <v>0</v>
      </c>
      <c r="AC648">
        <f>N(AC647)+$AB648</f>
        <v>0</v>
      </c>
      <c r="AD648">
        <f>IF(AND($M648=1,LEFT(对接源_01水果!$D648,4)="成品出库"),1,0)</f>
        <v>0</v>
      </c>
      <c r="AE648">
        <f>N(AE647)+$AD648</f>
        <v>0</v>
      </c>
      <c r="AF648">
        <f>IF(AND($N648=1,AND(LEFT(对接源_01水果!$D648,4)="包装物料",N(对接源_01水果!$K648)&lt;&gt;0)),1,0)</f>
        <v>0</v>
      </c>
      <c r="AG648">
        <f>N(AG647)+$AF648</f>
        <v>0</v>
      </c>
      <c r="AH648">
        <f>IF(AND($N648=1,AND(对接源_01水果!$D648="周转筐－销售出库",N(对接源_01水果!$K648)&lt;&gt;0)),1,0)</f>
        <v>0</v>
      </c>
      <c r="AI648">
        <f>N(AI647)+$AH648</f>
        <v>0</v>
      </c>
      <c r="AJ648" s="7" t="n"/>
      <c r="AL648">
        <f>IF(OR($AL$1="",对接源_01水果!$Y648="",对接源_01水果!$Y648&lt;&gt;$AL$1,对接源_01水果!$B648="",N(对接源_01水果!$AJ648)&lt;=0),0,IF(OR(N(对接源_01水果!$B648)&lt;$AL$2,N(对接源_01水果!$B648)&gt;$AL$3),0,1))</f>
        <v>0</v>
      </c>
      <c r="AM648">
        <f>N(AM647)+$AL648</f>
        <v>2</v>
      </c>
      <c r="AN648">
        <f>IF(对接源_01水果!$AC648="","",对接源_01水果!$AC648)</f>
      </c>
      <c r="AO648">
        <f>IF(AN648="",0,IF(MATCH(AN648,$AN$4:$AN$1203,0)=ROW()-3,1,0))</f>
        <v>0</v>
      </c>
      <c r="AP648">
        <f>N(AP647)+$AO648</f>
        <v>13</v>
      </c>
      <c r="AR648">
        <f>IF(OR($AF648=1,$AH648=1),1,0)</f>
        <v>0</v>
      </c>
      <c r="AS648">
        <f>N(AS647)+$AR648</f>
        <v>0</v>
      </c>
    </row>
    <row r="649" ht="14.25" customHeight="1" s="127">
      <c r="A649">
        <f>IF(对接源_01水果!$C649="","",对接源_01水果!$C649)</f>
      </c>
      <c r="B649">
        <f>IF(A649="",0,IF(MATCH(A649,$A$4:$A$2403,0)=ROW()-3,1,0))</f>
        <v>0</v>
      </c>
      <c r="C649">
        <f>N(C648)+B649</f>
        <v>22</v>
      </c>
      <c r="K649">
        <f>IF(OR($K$1="",对接源_01水果!$C649="",对接源_01水果!$C649&lt;&gt;$K$1,对接源_01水果!$B649=""),0,IF(OR(N(对接源_01水果!$B649)&lt;$K$2,N(对接源_01水果!$B649)&gt;$K$3),0,1))</f>
        <v>0</v>
      </c>
      <c r="L649">
        <f>IF(OR($L$1="",对接源_01水果!$C649="",对接源_01水果!$C649&lt;&gt;$L$1,对接源_01水果!$B649=""),0,IF(OR(N(对接源_01水果!$B649)&lt;$L$2,N(对接源_01水果!$B649)&gt;$L$3),0,1))</f>
        <v>0</v>
      </c>
      <c r="M649">
        <f>IF(OR($M$1="",对接源_01水果!$C649="",对接源_01水果!$C649&lt;&gt;$M$1,对接源_01水果!$B649=""),0,IF(OR(N(对接源_01水果!$B649)&lt;$M$2,N(对接源_01水果!$B649)&gt;$M$3),0,1))</f>
        <v>0</v>
      </c>
      <c r="N649">
        <f>IF(OR($N$1="",对接源_01水果!$C649="",对接源_01水果!$C649&lt;&gt;$N$1,对接源_01水果!$B649=""),0,IF(OR(N(对接源_01水果!$B649)&lt;$N$2,N(对接源_01水果!$B649)&gt;$N$3),0,1))</f>
        <v>0</v>
      </c>
      <c r="P649">
        <f>IF(AND($K649=1,AND(对接源_01水果!$X649="公司筐",N(对接源_01水果!$T649)&lt;&gt;0)),1,0)</f>
        <v>0</v>
      </c>
      <c r="Q649">
        <f>N(Q648)+$P649</f>
        <v>0</v>
      </c>
      <c r="R649">
        <f>IF(AND($K649=1,AND(对接源_01水果!$X649="公司筐",N(对接源_01水果!$U649)&lt;&gt;0)),1,0)</f>
        <v>0</v>
      </c>
      <c r="S649">
        <f>N(S648)+$R649</f>
        <v>0</v>
      </c>
      <c r="T649">
        <f>IF(AND($K649=1,AND(对接源_01水果!$X649="公司筐",N(对接源_01水果!$V649)&lt;&gt;0)),1,0)</f>
        <v>0</v>
      </c>
      <c r="U649">
        <f>N(U648)+$T649</f>
        <v>47</v>
      </c>
      <c r="V649">
        <f>IF(AND($L649=1,AND(对接源_01水果!$X649="自备筐",N(对接源_01水果!$V649)&lt;&gt;0)),1,0)</f>
        <v>0</v>
      </c>
      <c r="W649">
        <f>N(W648)+$V649</f>
        <v>11</v>
      </c>
      <c r="X649">
        <f>IF(AND($L649=1,AND(对接源_01水果!$X649="自备筐",N(对接源_01水果!$T649)&lt;&gt;0)),1,0)</f>
        <v>0</v>
      </c>
      <c r="Y649">
        <f>N(Y648)+$X649</f>
        <v>0</v>
      </c>
      <c r="Z649">
        <f>IF(AND($M649=1,对接源_01水果!$D649="原料入库"),1,0)</f>
        <v>0</v>
      </c>
      <c r="AA649">
        <f>N(AA648)+$Z649</f>
        <v>24</v>
      </c>
      <c r="AB649">
        <f>IF(AND($M649=1,LEFT(对接源_01水果!$D649,4)="原料出库"),1,0)</f>
        <v>0</v>
      </c>
      <c r="AC649">
        <f>N(AC648)+$AB649</f>
        <v>0</v>
      </c>
      <c r="AD649">
        <f>IF(AND($M649=1,LEFT(对接源_01水果!$D649,4)="成品出库"),1,0)</f>
        <v>0</v>
      </c>
      <c r="AE649">
        <f>N(AE648)+$AD649</f>
        <v>0</v>
      </c>
      <c r="AF649">
        <f>IF(AND($N649=1,AND(LEFT(对接源_01水果!$D649,4)="包装物料",N(对接源_01水果!$K649)&lt;&gt;0)),1,0)</f>
        <v>0</v>
      </c>
      <c r="AG649">
        <f>N(AG648)+$AF649</f>
        <v>0</v>
      </c>
      <c r="AH649">
        <f>IF(AND($N649=1,AND(对接源_01水果!$D649="周转筐－销售出库",N(对接源_01水果!$K649)&lt;&gt;0)),1,0)</f>
        <v>0</v>
      </c>
      <c r="AI649">
        <f>N(AI648)+$AH649</f>
        <v>0</v>
      </c>
      <c r="AJ649" s="7" t="n"/>
      <c r="AL649">
        <f>IF(OR($AL$1="",对接源_01水果!$Y649="",对接源_01水果!$Y649&lt;&gt;$AL$1,对接源_01水果!$B649="",N(对接源_01水果!$AJ649)&lt;=0),0,IF(OR(N(对接源_01水果!$B649)&lt;$AL$2,N(对接源_01水果!$B649)&gt;$AL$3),0,1))</f>
        <v>0</v>
      </c>
      <c r="AM649">
        <f>N(AM648)+$AL649</f>
        <v>2</v>
      </c>
      <c r="AN649">
        <f>IF(对接源_01水果!$AC649="","",对接源_01水果!$AC649)</f>
      </c>
      <c r="AO649">
        <f>IF(AN649="",0,IF(MATCH(AN649,$AN$4:$AN$1203,0)=ROW()-3,1,0))</f>
        <v>0</v>
      </c>
      <c r="AP649">
        <f>N(AP648)+$AO649</f>
        <v>13</v>
      </c>
      <c r="AR649">
        <f>IF(OR($AF649=1,$AH649=1),1,0)</f>
        <v>0</v>
      </c>
      <c r="AS649">
        <f>N(AS648)+$AR649</f>
        <v>0</v>
      </c>
    </row>
    <row r="650" ht="14.25" customHeight="1" s="127">
      <c r="A650">
        <f>IF(对接源_01水果!$C650="","",对接源_01水果!$C650)</f>
      </c>
      <c r="B650">
        <f>IF(A650="",0,IF(MATCH(A650,$A$4:$A$2403,0)=ROW()-3,1,0))</f>
        <v>0</v>
      </c>
      <c r="C650">
        <f>N(C649)+B650</f>
        <v>22</v>
      </c>
      <c r="K650">
        <f>IF(OR($K$1="",对接源_01水果!$C650="",对接源_01水果!$C650&lt;&gt;$K$1,对接源_01水果!$B650=""),0,IF(OR(N(对接源_01水果!$B650)&lt;$K$2,N(对接源_01水果!$B650)&gt;$K$3),0,1))</f>
        <v>0</v>
      </c>
      <c r="L650">
        <f>IF(OR($L$1="",对接源_01水果!$C650="",对接源_01水果!$C650&lt;&gt;$L$1,对接源_01水果!$B650=""),0,IF(OR(N(对接源_01水果!$B650)&lt;$L$2,N(对接源_01水果!$B650)&gt;$L$3),0,1))</f>
        <v>0</v>
      </c>
      <c r="M650">
        <f>IF(OR($M$1="",对接源_01水果!$C650="",对接源_01水果!$C650&lt;&gt;$M$1,对接源_01水果!$B650=""),0,IF(OR(N(对接源_01水果!$B650)&lt;$M$2,N(对接源_01水果!$B650)&gt;$M$3),0,1))</f>
        <v>0</v>
      </c>
      <c r="N650">
        <f>IF(OR($N$1="",对接源_01水果!$C650="",对接源_01水果!$C650&lt;&gt;$N$1,对接源_01水果!$B650=""),0,IF(OR(N(对接源_01水果!$B650)&lt;$N$2,N(对接源_01水果!$B650)&gt;$N$3),0,1))</f>
        <v>0</v>
      </c>
      <c r="P650">
        <f>IF(AND($K650=1,AND(对接源_01水果!$X650="公司筐",N(对接源_01水果!$T650)&lt;&gt;0)),1,0)</f>
        <v>0</v>
      </c>
      <c r="Q650">
        <f>N(Q649)+$P650</f>
        <v>0</v>
      </c>
      <c r="R650">
        <f>IF(AND($K650=1,AND(对接源_01水果!$X650="公司筐",N(对接源_01水果!$U650)&lt;&gt;0)),1,0)</f>
        <v>0</v>
      </c>
      <c r="S650">
        <f>N(S649)+$R650</f>
        <v>0</v>
      </c>
      <c r="T650">
        <f>IF(AND($K650=1,AND(对接源_01水果!$X650="公司筐",N(对接源_01水果!$V650)&lt;&gt;0)),1,0)</f>
        <v>0</v>
      </c>
      <c r="U650">
        <f>N(U649)+$T650</f>
        <v>47</v>
      </c>
      <c r="V650">
        <f>IF(AND($L650=1,AND(对接源_01水果!$X650="自备筐",N(对接源_01水果!$V650)&lt;&gt;0)),1,0)</f>
        <v>0</v>
      </c>
      <c r="W650">
        <f>N(W649)+$V650</f>
        <v>11</v>
      </c>
      <c r="X650">
        <f>IF(AND($L650=1,AND(对接源_01水果!$X650="自备筐",N(对接源_01水果!$T650)&lt;&gt;0)),1,0)</f>
        <v>0</v>
      </c>
      <c r="Y650">
        <f>N(Y649)+$X650</f>
        <v>0</v>
      </c>
      <c r="Z650">
        <f>IF(AND($M650=1,对接源_01水果!$D650="原料入库"),1,0)</f>
        <v>0</v>
      </c>
      <c r="AA650">
        <f>N(AA649)+$Z650</f>
        <v>24</v>
      </c>
      <c r="AB650">
        <f>IF(AND($M650=1,LEFT(对接源_01水果!$D650,4)="原料出库"),1,0)</f>
        <v>0</v>
      </c>
      <c r="AC650">
        <f>N(AC649)+$AB650</f>
        <v>0</v>
      </c>
      <c r="AD650">
        <f>IF(AND($M650=1,LEFT(对接源_01水果!$D650,4)="成品出库"),1,0)</f>
        <v>0</v>
      </c>
      <c r="AE650">
        <f>N(AE649)+$AD650</f>
        <v>0</v>
      </c>
      <c r="AF650">
        <f>IF(AND($N650=1,AND(LEFT(对接源_01水果!$D650,4)="包装物料",N(对接源_01水果!$K650)&lt;&gt;0)),1,0)</f>
        <v>0</v>
      </c>
      <c r="AG650">
        <f>N(AG649)+$AF650</f>
        <v>0</v>
      </c>
      <c r="AH650">
        <f>IF(AND($N650=1,AND(对接源_01水果!$D650="周转筐－销售出库",N(对接源_01水果!$K650)&lt;&gt;0)),1,0)</f>
        <v>0</v>
      </c>
      <c r="AI650">
        <f>N(AI649)+$AH650</f>
        <v>0</v>
      </c>
      <c r="AJ650" s="7" t="n"/>
      <c r="AL650">
        <f>IF(OR($AL$1="",对接源_01水果!$Y650="",对接源_01水果!$Y650&lt;&gt;$AL$1,对接源_01水果!$B650="",N(对接源_01水果!$AJ650)&lt;=0),0,IF(OR(N(对接源_01水果!$B650)&lt;$AL$2,N(对接源_01水果!$B650)&gt;$AL$3),0,1))</f>
        <v>0</v>
      </c>
      <c r="AM650">
        <f>N(AM649)+$AL650</f>
        <v>2</v>
      </c>
      <c r="AN650">
        <f>IF(对接源_01水果!$AC650="","",对接源_01水果!$AC650)</f>
      </c>
      <c r="AO650">
        <f>IF(AN650="",0,IF(MATCH(AN650,$AN$4:$AN$1203,0)=ROW()-3,1,0))</f>
        <v>0</v>
      </c>
      <c r="AP650">
        <f>N(AP649)+$AO650</f>
        <v>13</v>
      </c>
      <c r="AR650">
        <f>IF(OR($AF650=1,$AH650=1),1,0)</f>
        <v>0</v>
      </c>
      <c r="AS650">
        <f>N(AS649)+$AR650</f>
        <v>0</v>
      </c>
    </row>
    <row r="651" ht="14.25" customHeight="1" s="127">
      <c r="A651">
        <f>IF(对接源_01水果!$C651="","",对接源_01水果!$C651)</f>
      </c>
      <c r="B651">
        <f>IF(A651="",0,IF(MATCH(A651,$A$4:$A$2403,0)=ROW()-3,1,0))</f>
        <v>0</v>
      </c>
      <c r="C651">
        <f>N(C650)+B651</f>
        <v>22</v>
      </c>
      <c r="K651">
        <f>IF(OR($K$1="",对接源_01水果!$C651="",对接源_01水果!$C651&lt;&gt;$K$1,对接源_01水果!$B651=""),0,IF(OR(N(对接源_01水果!$B651)&lt;$K$2,N(对接源_01水果!$B651)&gt;$K$3),0,1))</f>
        <v>0</v>
      </c>
      <c r="L651">
        <f>IF(OR($L$1="",对接源_01水果!$C651="",对接源_01水果!$C651&lt;&gt;$L$1,对接源_01水果!$B651=""),0,IF(OR(N(对接源_01水果!$B651)&lt;$L$2,N(对接源_01水果!$B651)&gt;$L$3),0,1))</f>
        <v>0</v>
      </c>
      <c r="M651">
        <f>IF(OR($M$1="",对接源_01水果!$C651="",对接源_01水果!$C651&lt;&gt;$M$1,对接源_01水果!$B651=""),0,IF(OR(N(对接源_01水果!$B651)&lt;$M$2,N(对接源_01水果!$B651)&gt;$M$3),0,1))</f>
        <v>0</v>
      </c>
      <c r="N651">
        <f>IF(OR($N$1="",对接源_01水果!$C651="",对接源_01水果!$C651&lt;&gt;$N$1,对接源_01水果!$B651=""),0,IF(OR(N(对接源_01水果!$B651)&lt;$N$2,N(对接源_01水果!$B651)&gt;$N$3),0,1))</f>
        <v>0</v>
      </c>
      <c r="P651">
        <f>IF(AND($K651=1,AND(对接源_01水果!$X651="公司筐",N(对接源_01水果!$T651)&lt;&gt;0)),1,0)</f>
        <v>0</v>
      </c>
      <c r="Q651">
        <f>N(Q650)+$P651</f>
        <v>0</v>
      </c>
      <c r="R651">
        <f>IF(AND($K651=1,AND(对接源_01水果!$X651="公司筐",N(对接源_01水果!$U651)&lt;&gt;0)),1,0)</f>
        <v>0</v>
      </c>
      <c r="S651">
        <f>N(S650)+$R651</f>
        <v>0</v>
      </c>
      <c r="T651">
        <f>IF(AND($K651=1,AND(对接源_01水果!$X651="公司筐",N(对接源_01水果!$V651)&lt;&gt;0)),1,0)</f>
        <v>0</v>
      </c>
      <c r="U651">
        <f>N(U650)+$T651</f>
        <v>47</v>
      </c>
      <c r="V651">
        <f>IF(AND($L651=1,AND(对接源_01水果!$X651="自备筐",N(对接源_01水果!$V651)&lt;&gt;0)),1,0)</f>
        <v>0</v>
      </c>
      <c r="W651">
        <f>N(W650)+$V651</f>
        <v>11</v>
      </c>
      <c r="X651">
        <f>IF(AND($L651=1,AND(对接源_01水果!$X651="自备筐",N(对接源_01水果!$T651)&lt;&gt;0)),1,0)</f>
        <v>0</v>
      </c>
      <c r="Y651">
        <f>N(Y650)+$X651</f>
        <v>0</v>
      </c>
      <c r="Z651">
        <f>IF(AND($M651=1,对接源_01水果!$D651="原料入库"),1,0)</f>
        <v>0</v>
      </c>
      <c r="AA651">
        <f>N(AA650)+$Z651</f>
        <v>24</v>
      </c>
      <c r="AB651">
        <f>IF(AND($M651=1,LEFT(对接源_01水果!$D651,4)="原料出库"),1,0)</f>
        <v>0</v>
      </c>
      <c r="AC651">
        <f>N(AC650)+$AB651</f>
        <v>0</v>
      </c>
      <c r="AD651">
        <f>IF(AND($M651=1,LEFT(对接源_01水果!$D651,4)="成品出库"),1,0)</f>
        <v>0</v>
      </c>
      <c r="AE651">
        <f>N(AE650)+$AD651</f>
        <v>0</v>
      </c>
      <c r="AF651">
        <f>IF(AND($N651=1,AND(LEFT(对接源_01水果!$D651,4)="包装物料",N(对接源_01水果!$K651)&lt;&gt;0)),1,0)</f>
        <v>0</v>
      </c>
      <c r="AG651">
        <f>N(AG650)+$AF651</f>
        <v>0</v>
      </c>
      <c r="AH651">
        <f>IF(AND($N651=1,AND(对接源_01水果!$D651="周转筐－销售出库",N(对接源_01水果!$K651)&lt;&gt;0)),1,0)</f>
        <v>0</v>
      </c>
      <c r="AI651">
        <f>N(AI650)+$AH651</f>
        <v>0</v>
      </c>
      <c r="AJ651" s="7" t="n"/>
      <c r="AL651">
        <f>IF(OR($AL$1="",对接源_01水果!$Y651="",对接源_01水果!$Y651&lt;&gt;$AL$1,对接源_01水果!$B651="",N(对接源_01水果!$AJ651)&lt;=0),0,IF(OR(N(对接源_01水果!$B651)&lt;$AL$2,N(对接源_01水果!$B651)&gt;$AL$3),0,1))</f>
        <v>0</v>
      </c>
      <c r="AM651">
        <f>N(AM650)+$AL651</f>
        <v>2</v>
      </c>
      <c r="AN651">
        <f>IF(对接源_01水果!$AC651="","",对接源_01水果!$AC651)</f>
      </c>
      <c r="AO651">
        <f>IF(AN651="",0,IF(MATCH(AN651,$AN$4:$AN$1203,0)=ROW()-3,1,0))</f>
        <v>0</v>
      </c>
      <c r="AP651">
        <f>N(AP650)+$AO651</f>
        <v>13</v>
      </c>
      <c r="AR651">
        <f>IF(OR($AF651=1,$AH651=1),1,0)</f>
        <v>0</v>
      </c>
      <c r="AS651">
        <f>N(AS650)+$AR651</f>
        <v>0</v>
      </c>
    </row>
    <row r="652" ht="14.25" customHeight="1" s="127">
      <c r="A652">
        <f>IF(对接源_01水果!$C652="","",对接源_01水果!$C652)</f>
      </c>
      <c r="B652">
        <f>IF(A652="",0,IF(MATCH(A652,$A$4:$A$2403,0)=ROW()-3,1,0))</f>
        <v>0</v>
      </c>
      <c r="C652">
        <f>N(C651)+B652</f>
        <v>22</v>
      </c>
      <c r="K652">
        <f>IF(OR($K$1="",对接源_01水果!$C652="",对接源_01水果!$C652&lt;&gt;$K$1,对接源_01水果!$B652=""),0,IF(OR(N(对接源_01水果!$B652)&lt;$K$2,N(对接源_01水果!$B652)&gt;$K$3),0,1))</f>
        <v>0</v>
      </c>
      <c r="L652">
        <f>IF(OR($L$1="",对接源_01水果!$C652="",对接源_01水果!$C652&lt;&gt;$L$1,对接源_01水果!$B652=""),0,IF(OR(N(对接源_01水果!$B652)&lt;$L$2,N(对接源_01水果!$B652)&gt;$L$3),0,1))</f>
        <v>0</v>
      </c>
      <c r="M652">
        <f>IF(OR($M$1="",对接源_01水果!$C652="",对接源_01水果!$C652&lt;&gt;$M$1,对接源_01水果!$B652=""),0,IF(OR(N(对接源_01水果!$B652)&lt;$M$2,N(对接源_01水果!$B652)&gt;$M$3),0,1))</f>
        <v>0</v>
      </c>
      <c r="N652">
        <f>IF(OR($N$1="",对接源_01水果!$C652="",对接源_01水果!$C652&lt;&gt;$N$1,对接源_01水果!$B652=""),0,IF(OR(N(对接源_01水果!$B652)&lt;$N$2,N(对接源_01水果!$B652)&gt;$N$3),0,1))</f>
        <v>0</v>
      </c>
      <c r="P652">
        <f>IF(AND($K652=1,AND(对接源_01水果!$X652="公司筐",N(对接源_01水果!$T652)&lt;&gt;0)),1,0)</f>
        <v>0</v>
      </c>
      <c r="Q652">
        <f>N(Q651)+$P652</f>
        <v>0</v>
      </c>
      <c r="R652">
        <f>IF(AND($K652=1,AND(对接源_01水果!$X652="公司筐",N(对接源_01水果!$U652)&lt;&gt;0)),1,0)</f>
        <v>0</v>
      </c>
      <c r="S652">
        <f>N(S651)+$R652</f>
        <v>0</v>
      </c>
      <c r="T652">
        <f>IF(AND($K652=1,AND(对接源_01水果!$X652="公司筐",N(对接源_01水果!$V652)&lt;&gt;0)),1,0)</f>
        <v>0</v>
      </c>
      <c r="U652">
        <f>N(U651)+$T652</f>
        <v>47</v>
      </c>
      <c r="V652">
        <f>IF(AND($L652=1,AND(对接源_01水果!$X652="自备筐",N(对接源_01水果!$V652)&lt;&gt;0)),1,0)</f>
        <v>0</v>
      </c>
      <c r="W652">
        <f>N(W651)+$V652</f>
        <v>11</v>
      </c>
      <c r="X652">
        <f>IF(AND($L652=1,AND(对接源_01水果!$X652="自备筐",N(对接源_01水果!$T652)&lt;&gt;0)),1,0)</f>
        <v>0</v>
      </c>
      <c r="Y652">
        <f>N(Y651)+$X652</f>
        <v>0</v>
      </c>
      <c r="Z652">
        <f>IF(AND($M652=1,对接源_01水果!$D652="原料入库"),1,0)</f>
        <v>0</v>
      </c>
      <c r="AA652">
        <f>N(AA651)+$Z652</f>
        <v>24</v>
      </c>
      <c r="AB652">
        <f>IF(AND($M652=1,LEFT(对接源_01水果!$D652,4)="原料出库"),1,0)</f>
        <v>0</v>
      </c>
      <c r="AC652">
        <f>N(AC651)+$AB652</f>
        <v>0</v>
      </c>
      <c r="AD652">
        <f>IF(AND($M652=1,LEFT(对接源_01水果!$D652,4)="成品出库"),1,0)</f>
        <v>0</v>
      </c>
      <c r="AE652">
        <f>N(AE651)+$AD652</f>
        <v>0</v>
      </c>
      <c r="AF652">
        <f>IF(AND($N652=1,AND(LEFT(对接源_01水果!$D652,4)="包装物料",N(对接源_01水果!$K652)&lt;&gt;0)),1,0)</f>
        <v>0</v>
      </c>
      <c r="AG652">
        <f>N(AG651)+$AF652</f>
        <v>0</v>
      </c>
      <c r="AH652">
        <f>IF(AND($N652=1,AND(对接源_01水果!$D652="周转筐－销售出库",N(对接源_01水果!$K652)&lt;&gt;0)),1,0)</f>
        <v>0</v>
      </c>
      <c r="AI652">
        <f>N(AI651)+$AH652</f>
        <v>0</v>
      </c>
      <c r="AJ652" s="7" t="n"/>
      <c r="AL652">
        <f>IF(OR($AL$1="",对接源_01水果!$Y652="",对接源_01水果!$Y652&lt;&gt;$AL$1,对接源_01水果!$B652="",N(对接源_01水果!$AJ652)&lt;=0),0,IF(OR(N(对接源_01水果!$B652)&lt;$AL$2,N(对接源_01水果!$B652)&gt;$AL$3),0,1))</f>
        <v>0</v>
      </c>
      <c r="AM652">
        <f>N(AM651)+$AL652</f>
        <v>2</v>
      </c>
      <c r="AN652">
        <f>IF(对接源_01水果!$AC652="","",对接源_01水果!$AC652)</f>
      </c>
      <c r="AO652">
        <f>IF(AN652="",0,IF(MATCH(AN652,$AN$4:$AN$1203,0)=ROW()-3,1,0))</f>
        <v>0</v>
      </c>
      <c r="AP652">
        <f>N(AP651)+$AO652</f>
        <v>13</v>
      </c>
      <c r="AR652">
        <f>IF(OR($AF652=1,$AH652=1),1,0)</f>
        <v>0</v>
      </c>
      <c r="AS652">
        <f>N(AS651)+$AR652</f>
        <v>0</v>
      </c>
    </row>
    <row r="653" ht="14.25" customHeight="1" s="127">
      <c r="A653">
        <f>IF(对接源_01水果!$C653="","",对接源_01水果!$C653)</f>
      </c>
      <c r="B653">
        <f>IF(A653="",0,IF(MATCH(A653,$A$4:$A$2403,0)=ROW()-3,1,0))</f>
        <v>0</v>
      </c>
      <c r="C653">
        <f>N(C652)+B653</f>
        <v>22</v>
      </c>
      <c r="K653">
        <f>IF(OR($K$1="",对接源_01水果!$C653="",对接源_01水果!$C653&lt;&gt;$K$1,对接源_01水果!$B653=""),0,IF(OR(N(对接源_01水果!$B653)&lt;$K$2,N(对接源_01水果!$B653)&gt;$K$3),0,1))</f>
        <v>0</v>
      </c>
      <c r="L653">
        <f>IF(OR($L$1="",对接源_01水果!$C653="",对接源_01水果!$C653&lt;&gt;$L$1,对接源_01水果!$B653=""),0,IF(OR(N(对接源_01水果!$B653)&lt;$L$2,N(对接源_01水果!$B653)&gt;$L$3),0,1))</f>
        <v>0</v>
      </c>
      <c r="M653">
        <f>IF(OR($M$1="",对接源_01水果!$C653="",对接源_01水果!$C653&lt;&gt;$M$1,对接源_01水果!$B653=""),0,IF(OR(N(对接源_01水果!$B653)&lt;$M$2,N(对接源_01水果!$B653)&gt;$M$3),0,1))</f>
        <v>0</v>
      </c>
      <c r="N653">
        <f>IF(OR($N$1="",对接源_01水果!$C653="",对接源_01水果!$C653&lt;&gt;$N$1,对接源_01水果!$B653=""),0,IF(OR(N(对接源_01水果!$B653)&lt;$N$2,N(对接源_01水果!$B653)&gt;$N$3),0,1))</f>
        <v>0</v>
      </c>
      <c r="P653">
        <f>IF(AND($K653=1,AND(对接源_01水果!$X653="公司筐",N(对接源_01水果!$T653)&lt;&gt;0)),1,0)</f>
        <v>0</v>
      </c>
      <c r="Q653">
        <f>N(Q652)+$P653</f>
        <v>0</v>
      </c>
      <c r="R653">
        <f>IF(AND($K653=1,AND(对接源_01水果!$X653="公司筐",N(对接源_01水果!$U653)&lt;&gt;0)),1,0)</f>
        <v>0</v>
      </c>
      <c r="S653">
        <f>N(S652)+$R653</f>
        <v>0</v>
      </c>
      <c r="T653">
        <f>IF(AND($K653=1,AND(对接源_01水果!$X653="公司筐",N(对接源_01水果!$V653)&lt;&gt;0)),1,0)</f>
        <v>0</v>
      </c>
      <c r="U653">
        <f>N(U652)+$T653</f>
        <v>47</v>
      </c>
      <c r="V653">
        <f>IF(AND($L653=1,AND(对接源_01水果!$X653="自备筐",N(对接源_01水果!$V653)&lt;&gt;0)),1,0)</f>
        <v>0</v>
      </c>
      <c r="W653">
        <f>N(W652)+$V653</f>
        <v>11</v>
      </c>
      <c r="X653">
        <f>IF(AND($L653=1,AND(对接源_01水果!$X653="自备筐",N(对接源_01水果!$T653)&lt;&gt;0)),1,0)</f>
        <v>0</v>
      </c>
      <c r="Y653">
        <f>N(Y652)+$X653</f>
        <v>0</v>
      </c>
      <c r="Z653">
        <f>IF(AND($M653=1,对接源_01水果!$D653="原料入库"),1,0)</f>
        <v>0</v>
      </c>
      <c r="AA653">
        <f>N(AA652)+$Z653</f>
        <v>24</v>
      </c>
      <c r="AB653">
        <f>IF(AND($M653=1,LEFT(对接源_01水果!$D653,4)="原料出库"),1,0)</f>
        <v>0</v>
      </c>
      <c r="AC653">
        <f>N(AC652)+$AB653</f>
        <v>0</v>
      </c>
      <c r="AD653">
        <f>IF(AND($M653=1,LEFT(对接源_01水果!$D653,4)="成品出库"),1,0)</f>
        <v>0</v>
      </c>
      <c r="AE653">
        <f>N(AE652)+$AD653</f>
        <v>0</v>
      </c>
      <c r="AF653">
        <f>IF(AND($N653=1,AND(LEFT(对接源_01水果!$D653,4)="包装物料",N(对接源_01水果!$K653)&lt;&gt;0)),1,0)</f>
        <v>0</v>
      </c>
      <c r="AG653">
        <f>N(AG652)+$AF653</f>
        <v>0</v>
      </c>
      <c r="AH653">
        <f>IF(AND($N653=1,AND(对接源_01水果!$D653="周转筐－销售出库",N(对接源_01水果!$K653)&lt;&gt;0)),1,0)</f>
        <v>0</v>
      </c>
      <c r="AI653">
        <f>N(AI652)+$AH653</f>
        <v>0</v>
      </c>
      <c r="AJ653" s="7" t="n"/>
      <c r="AL653">
        <f>IF(OR($AL$1="",对接源_01水果!$Y653="",对接源_01水果!$Y653&lt;&gt;$AL$1,对接源_01水果!$B653="",N(对接源_01水果!$AJ653)&lt;=0),0,IF(OR(N(对接源_01水果!$B653)&lt;$AL$2,N(对接源_01水果!$B653)&gt;$AL$3),0,1))</f>
        <v>0</v>
      </c>
      <c r="AM653">
        <f>N(AM652)+$AL653</f>
        <v>2</v>
      </c>
      <c r="AN653">
        <f>IF(对接源_01水果!$AC653="","",对接源_01水果!$AC653)</f>
      </c>
      <c r="AO653">
        <f>IF(AN653="",0,IF(MATCH(AN653,$AN$4:$AN$1203,0)=ROW()-3,1,0))</f>
        <v>0</v>
      </c>
      <c r="AP653">
        <f>N(AP652)+$AO653</f>
        <v>13</v>
      </c>
      <c r="AR653">
        <f>IF(OR($AF653=1,$AH653=1),1,0)</f>
        <v>0</v>
      </c>
      <c r="AS653">
        <f>N(AS652)+$AR653</f>
        <v>0</v>
      </c>
    </row>
    <row r="654" ht="14.25" customHeight="1" s="127">
      <c r="A654">
        <f>IF(对接源_01水果!$C654="","",对接源_01水果!$C654)</f>
      </c>
      <c r="B654">
        <f>IF(A654="",0,IF(MATCH(A654,$A$4:$A$2403,0)=ROW()-3,1,0))</f>
        <v>0</v>
      </c>
      <c r="C654">
        <f>N(C653)+B654</f>
        <v>22</v>
      </c>
      <c r="K654">
        <f>IF(OR($K$1="",对接源_01水果!$C654="",对接源_01水果!$C654&lt;&gt;$K$1,对接源_01水果!$B654=""),0,IF(OR(N(对接源_01水果!$B654)&lt;$K$2,N(对接源_01水果!$B654)&gt;$K$3),0,1))</f>
        <v>0</v>
      </c>
      <c r="L654">
        <f>IF(OR($L$1="",对接源_01水果!$C654="",对接源_01水果!$C654&lt;&gt;$L$1,对接源_01水果!$B654=""),0,IF(OR(N(对接源_01水果!$B654)&lt;$L$2,N(对接源_01水果!$B654)&gt;$L$3),0,1))</f>
        <v>0</v>
      </c>
      <c r="M654">
        <f>IF(OR($M$1="",对接源_01水果!$C654="",对接源_01水果!$C654&lt;&gt;$M$1,对接源_01水果!$B654=""),0,IF(OR(N(对接源_01水果!$B654)&lt;$M$2,N(对接源_01水果!$B654)&gt;$M$3),0,1))</f>
        <v>0</v>
      </c>
      <c r="N654">
        <f>IF(OR($N$1="",对接源_01水果!$C654="",对接源_01水果!$C654&lt;&gt;$N$1,对接源_01水果!$B654=""),0,IF(OR(N(对接源_01水果!$B654)&lt;$N$2,N(对接源_01水果!$B654)&gt;$N$3),0,1))</f>
        <v>0</v>
      </c>
      <c r="P654">
        <f>IF(AND($K654=1,AND(对接源_01水果!$X654="公司筐",N(对接源_01水果!$T654)&lt;&gt;0)),1,0)</f>
        <v>0</v>
      </c>
      <c r="Q654">
        <f>N(Q653)+$P654</f>
        <v>0</v>
      </c>
      <c r="R654">
        <f>IF(AND($K654=1,AND(对接源_01水果!$X654="公司筐",N(对接源_01水果!$U654)&lt;&gt;0)),1,0)</f>
        <v>0</v>
      </c>
      <c r="S654">
        <f>N(S653)+$R654</f>
        <v>0</v>
      </c>
      <c r="T654">
        <f>IF(AND($K654=1,AND(对接源_01水果!$X654="公司筐",N(对接源_01水果!$V654)&lt;&gt;0)),1,0)</f>
        <v>0</v>
      </c>
      <c r="U654">
        <f>N(U653)+$T654</f>
        <v>47</v>
      </c>
      <c r="V654">
        <f>IF(AND($L654=1,AND(对接源_01水果!$X654="自备筐",N(对接源_01水果!$V654)&lt;&gt;0)),1,0)</f>
        <v>0</v>
      </c>
      <c r="W654">
        <f>N(W653)+$V654</f>
        <v>11</v>
      </c>
      <c r="X654">
        <f>IF(AND($L654=1,AND(对接源_01水果!$X654="自备筐",N(对接源_01水果!$T654)&lt;&gt;0)),1,0)</f>
        <v>0</v>
      </c>
      <c r="Y654">
        <f>N(Y653)+$X654</f>
        <v>0</v>
      </c>
      <c r="Z654">
        <f>IF(AND($M654=1,对接源_01水果!$D654="原料入库"),1,0)</f>
        <v>0</v>
      </c>
      <c r="AA654">
        <f>N(AA653)+$Z654</f>
        <v>24</v>
      </c>
      <c r="AB654">
        <f>IF(AND($M654=1,LEFT(对接源_01水果!$D654,4)="原料出库"),1,0)</f>
        <v>0</v>
      </c>
      <c r="AC654">
        <f>N(AC653)+$AB654</f>
        <v>0</v>
      </c>
      <c r="AD654">
        <f>IF(AND($M654=1,LEFT(对接源_01水果!$D654,4)="成品出库"),1,0)</f>
        <v>0</v>
      </c>
      <c r="AE654">
        <f>N(AE653)+$AD654</f>
        <v>0</v>
      </c>
      <c r="AF654">
        <f>IF(AND($N654=1,AND(LEFT(对接源_01水果!$D654,4)="包装物料",N(对接源_01水果!$K654)&lt;&gt;0)),1,0)</f>
        <v>0</v>
      </c>
      <c r="AG654">
        <f>N(AG653)+$AF654</f>
        <v>0</v>
      </c>
      <c r="AH654">
        <f>IF(AND($N654=1,AND(对接源_01水果!$D654="周转筐－销售出库",N(对接源_01水果!$K654)&lt;&gt;0)),1,0)</f>
        <v>0</v>
      </c>
      <c r="AI654">
        <f>N(AI653)+$AH654</f>
        <v>0</v>
      </c>
      <c r="AJ654" s="7" t="n"/>
      <c r="AL654">
        <f>IF(OR($AL$1="",对接源_01水果!$Y654="",对接源_01水果!$Y654&lt;&gt;$AL$1,对接源_01水果!$B654="",N(对接源_01水果!$AJ654)&lt;=0),0,IF(OR(N(对接源_01水果!$B654)&lt;$AL$2,N(对接源_01水果!$B654)&gt;$AL$3),0,1))</f>
        <v>0</v>
      </c>
      <c r="AM654">
        <f>N(AM653)+$AL654</f>
        <v>2</v>
      </c>
      <c r="AN654">
        <f>IF(对接源_01水果!$AC654="","",对接源_01水果!$AC654)</f>
      </c>
      <c r="AO654">
        <f>IF(AN654="",0,IF(MATCH(AN654,$AN$4:$AN$1203,0)=ROW()-3,1,0))</f>
        <v>0</v>
      </c>
      <c r="AP654">
        <f>N(AP653)+$AO654</f>
        <v>13</v>
      </c>
      <c r="AR654">
        <f>IF(OR($AF654=1,$AH654=1),1,0)</f>
        <v>0</v>
      </c>
      <c r="AS654">
        <f>N(AS653)+$AR654</f>
        <v>0</v>
      </c>
    </row>
    <row r="655" ht="14.25" customHeight="1" s="127">
      <c r="A655">
        <f>IF(对接源_01水果!$C655="","",对接源_01水果!$C655)</f>
      </c>
      <c r="B655">
        <f>IF(A655="",0,IF(MATCH(A655,$A$4:$A$2403,0)=ROW()-3,1,0))</f>
        <v>0</v>
      </c>
      <c r="C655">
        <f>N(C654)+B655</f>
        <v>22</v>
      </c>
      <c r="K655">
        <f>IF(OR($K$1="",对接源_01水果!$C655="",对接源_01水果!$C655&lt;&gt;$K$1,对接源_01水果!$B655=""),0,IF(OR(N(对接源_01水果!$B655)&lt;$K$2,N(对接源_01水果!$B655)&gt;$K$3),0,1))</f>
        <v>0</v>
      </c>
      <c r="L655">
        <f>IF(OR($L$1="",对接源_01水果!$C655="",对接源_01水果!$C655&lt;&gt;$L$1,对接源_01水果!$B655=""),0,IF(OR(N(对接源_01水果!$B655)&lt;$L$2,N(对接源_01水果!$B655)&gt;$L$3),0,1))</f>
        <v>0</v>
      </c>
      <c r="M655">
        <f>IF(OR($M$1="",对接源_01水果!$C655="",对接源_01水果!$C655&lt;&gt;$M$1,对接源_01水果!$B655=""),0,IF(OR(N(对接源_01水果!$B655)&lt;$M$2,N(对接源_01水果!$B655)&gt;$M$3),0,1))</f>
        <v>0</v>
      </c>
      <c r="N655">
        <f>IF(OR($N$1="",对接源_01水果!$C655="",对接源_01水果!$C655&lt;&gt;$N$1,对接源_01水果!$B655=""),0,IF(OR(N(对接源_01水果!$B655)&lt;$N$2,N(对接源_01水果!$B655)&gt;$N$3),0,1))</f>
        <v>0</v>
      </c>
      <c r="P655">
        <f>IF(AND($K655=1,AND(对接源_01水果!$X655="公司筐",N(对接源_01水果!$T655)&lt;&gt;0)),1,0)</f>
        <v>0</v>
      </c>
      <c r="Q655">
        <f>N(Q654)+$P655</f>
        <v>0</v>
      </c>
      <c r="R655">
        <f>IF(AND($K655=1,AND(对接源_01水果!$X655="公司筐",N(对接源_01水果!$U655)&lt;&gt;0)),1,0)</f>
        <v>0</v>
      </c>
      <c r="S655">
        <f>N(S654)+$R655</f>
        <v>0</v>
      </c>
      <c r="T655">
        <f>IF(AND($K655=1,AND(对接源_01水果!$X655="公司筐",N(对接源_01水果!$V655)&lt;&gt;0)),1,0)</f>
        <v>0</v>
      </c>
      <c r="U655">
        <f>N(U654)+$T655</f>
        <v>47</v>
      </c>
      <c r="V655">
        <f>IF(AND($L655=1,AND(对接源_01水果!$X655="自备筐",N(对接源_01水果!$V655)&lt;&gt;0)),1,0)</f>
        <v>0</v>
      </c>
      <c r="W655">
        <f>N(W654)+$V655</f>
        <v>11</v>
      </c>
      <c r="X655">
        <f>IF(AND($L655=1,AND(对接源_01水果!$X655="自备筐",N(对接源_01水果!$T655)&lt;&gt;0)),1,0)</f>
        <v>0</v>
      </c>
      <c r="Y655">
        <f>N(Y654)+$X655</f>
        <v>0</v>
      </c>
      <c r="Z655">
        <f>IF(AND($M655=1,对接源_01水果!$D655="原料入库"),1,0)</f>
        <v>0</v>
      </c>
      <c r="AA655">
        <f>N(AA654)+$Z655</f>
        <v>24</v>
      </c>
      <c r="AB655">
        <f>IF(AND($M655=1,LEFT(对接源_01水果!$D655,4)="原料出库"),1,0)</f>
        <v>0</v>
      </c>
      <c r="AC655">
        <f>N(AC654)+$AB655</f>
        <v>0</v>
      </c>
      <c r="AD655">
        <f>IF(AND($M655=1,LEFT(对接源_01水果!$D655,4)="成品出库"),1,0)</f>
        <v>0</v>
      </c>
      <c r="AE655">
        <f>N(AE654)+$AD655</f>
        <v>0</v>
      </c>
      <c r="AF655">
        <f>IF(AND($N655=1,AND(LEFT(对接源_01水果!$D655,4)="包装物料",N(对接源_01水果!$K655)&lt;&gt;0)),1,0)</f>
        <v>0</v>
      </c>
      <c r="AG655">
        <f>N(AG654)+$AF655</f>
        <v>0</v>
      </c>
      <c r="AH655">
        <f>IF(AND($N655=1,AND(对接源_01水果!$D655="周转筐－销售出库",N(对接源_01水果!$K655)&lt;&gt;0)),1,0)</f>
        <v>0</v>
      </c>
      <c r="AI655">
        <f>N(AI654)+$AH655</f>
        <v>0</v>
      </c>
      <c r="AJ655" s="7" t="n"/>
      <c r="AL655">
        <f>IF(OR($AL$1="",对接源_01水果!$Y655="",对接源_01水果!$Y655&lt;&gt;$AL$1,对接源_01水果!$B655="",N(对接源_01水果!$AJ655)&lt;=0),0,IF(OR(N(对接源_01水果!$B655)&lt;$AL$2,N(对接源_01水果!$B655)&gt;$AL$3),0,1))</f>
        <v>0</v>
      </c>
      <c r="AM655">
        <f>N(AM654)+$AL655</f>
        <v>2</v>
      </c>
      <c r="AN655">
        <f>IF(对接源_01水果!$AC655="","",对接源_01水果!$AC655)</f>
      </c>
      <c r="AO655">
        <f>IF(AN655="",0,IF(MATCH(AN655,$AN$4:$AN$1203,0)=ROW()-3,1,0))</f>
        <v>0</v>
      </c>
      <c r="AP655">
        <f>N(AP654)+$AO655</f>
        <v>13</v>
      </c>
      <c r="AR655">
        <f>IF(OR($AF655=1,$AH655=1),1,0)</f>
        <v>0</v>
      </c>
      <c r="AS655">
        <f>N(AS654)+$AR655</f>
        <v>0</v>
      </c>
    </row>
    <row r="656" ht="14.25" customHeight="1" s="127">
      <c r="A656">
        <f>IF(对接源_01水果!$C656="","",对接源_01水果!$C656)</f>
      </c>
      <c r="B656">
        <f>IF(A656="",0,IF(MATCH(A656,$A$4:$A$2403,0)=ROW()-3,1,0))</f>
        <v>0</v>
      </c>
      <c r="C656">
        <f>N(C655)+B656</f>
        <v>22</v>
      </c>
      <c r="K656">
        <f>IF(OR($K$1="",对接源_01水果!$C656="",对接源_01水果!$C656&lt;&gt;$K$1,对接源_01水果!$B656=""),0,IF(OR(N(对接源_01水果!$B656)&lt;$K$2,N(对接源_01水果!$B656)&gt;$K$3),0,1))</f>
        <v>0</v>
      </c>
      <c r="L656">
        <f>IF(OR($L$1="",对接源_01水果!$C656="",对接源_01水果!$C656&lt;&gt;$L$1,对接源_01水果!$B656=""),0,IF(OR(N(对接源_01水果!$B656)&lt;$L$2,N(对接源_01水果!$B656)&gt;$L$3),0,1))</f>
        <v>0</v>
      </c>
      <c r="M656">
        <f>IF(OR($M$1="",对接源_01水果!$C656="",对接源_01水果!$C656&lt;&gt;$M$1,对接源_01水果!$B656=""),0,IF(OR(N(对接源_01水果!$B656)&lt;$M$2,N(对接源_01水果!$B656)&gt;$M$3),0,1))</f>
        <v>0</v>
      </c>
      <c r="N656">
        <f>IF(OR($N$1="",对接源_01水果!$C656="",对接源_01水果!$C656&lt;&gt;$N$1,对接源_01水果!$B656=""),0,IF(OR(N(对接源_01水果!$B656)&lt;$N$2,N(对接源_01水果!$B656)&gt;$N$3),0,1))</f>
        <v>0</v>
      </c>
      <c r="P656">
        <f>IF(AND($K656=1,AND(对接源_01水果!$X656="公司筐",N(对接源_01水果!$T656)&lt;&gt;0)),1,0)</f>
        <v>0</v>
      </c>
      <c r="Q656">
        <f>N(Q655)+$P656</f>
        <v>0</v>
      </c>
      <c r="R656">
        <f>IF(AND($K656=1,AND(对接源_01水果!$X656="公司筐",N(对接源_01水果!$U656)&lt;&gt;0)),1,0)</f>
        <v>0</v>
      </c>
      <c r="S656">
        <f>N(S655)+$R656</f>
        <v>0</v>
      </c>
      <c r="T656">
        <f>IF(AND($K656=1,AND(对接源_01水果!$X656="公司筐",N(对接源_01水果!$V656)&lt;&gt;0)),1,0)</f>
        <v>0</v>
      </c>
      <c r="U656">
        <f>N(U655)+$T656</f>
        <v>47</v>
      </c>
      <c r="V656">
        <f>IF(AND($L656=1,AND(对接源_01水果!$X656="自备筐",N(对接源_01水果!$V656)&lt;&gt;0)),1,0)</f>
        <v>0</v>
      </c>
      <c r="W656">
        <f>N(W655)+$V656</f>
        <v>11</v>
      </c>
      <c r="X656">
        <f>IF(AND($L656=1,AND(对接源_01水果!$X656="自备筐",N(对接源_01水果!$T656)&lt;&gt;0)),1,0)</f>
        <v>0</v>
      </c>
      <c r="Y656">
        <f>N(Y655)+$X656</f>
        <v>0</v>
      </c>
      <c r="Z656">
        <f>IF(AND($M656=1,对接源_01水果!$D656="原料入库"),1,0)</f>
        <v>0</v>
      </c>
      <c r="AA656">
        <f>N(AA655)+$Z656</f>
        <v>24</v>
      </c>
      <c r="AB656">
        <f>IF(AND($M656=1,LEFT(对接源_01水果!$D656,4)="原料出库"),1,0)</f>
        <v>0</v>
      </c>
      <c r="AC656">
        <f>N(AC655)+$AB656</f>
        <v>0</v>
      </c>
      <c r="AD656">
        <f>IF(AND($M656=1,LEFT(对接源_01水果!$D656,4)="成品出库"),1,0)</f>
        <v>0</v>
      </c>
      <c r="AE656">
        <f>N(AE655)+$AD656</f>
        <v>0</v>
      </c>
      <c r="AF656">
        <f>IF(AND($N656=1,AND(LEFT(对接源_01水果!$D656,4)="包装物料",N(对接源_01水果!$K656)&lt;&gt;0)),1,0)</f>
        <v>0</v>
      </c>
      <c r="AG656">
        <f>N(AG655)+$AF656</f>
        <v>0</v>
      </c>
      <c r="AH656">
        <f>IF(AND($N656=1,AND(对接源_01水果!$D656="周转筐－销售出库",N(对接源_01水果!$K656)&lt;&gt;0)),1,0)</f>
        <v>0</v>
      </c>
      <c r="AI656">
        <f>N(AI655)+$AH656</f>
        <v>0</v>
      </c>
      <c r="AJ656" s="7" t="n"/>
      <c r="AL656">
        <f>IF(OR($AL$1="",对接源_01水果!$Y656="",对接源_01水果!$Y656&lt;&gt;$AL$1,对接源_01水果!$B656="",N(对接源_01水果!$AJ656)&lt;=0),0,IF(OR(N(对接源_01水果!$B656)&lt;$AL$2,N(对接源_01水果!$B656)&gt;$AL$3),0,1))</f>
        <v>0</v>
      </c>
      <c r="AM656">
        <f>N(AM655)+$AL656</f>
        <v>2</v>
      </c>
      <c r="AN656">
        <f>IF(对接源_01水果!$AC656="","",对接源_01水果!$AC656)</f>
      </c>
      <c r="AO656">
        <f>IF(AN656="",0,IF(MATCH(AN656,$AN$4:$AN$1203,0)=ROW()-3,1,0))</f>
        <v>0</v>
      </c>
      <c r="AP656">
        <f>N(AP655)+$AO656</f>
        <v>13</v>
      </c>
      <c r="AR656">
        <f>IF(OR($AF656=1,$AH656=1),1,0)</f>
        <v>0</v>
      </c>
      <c r="AS656">
        <f>N(AS655)+$AR656</f>
        <v>0</v>
      </c>
    </row>
    <row r="657" ht="14.25" customHeight="1" s="127">
      <c r="A657">
        <f>IF(对接源_01水果!$C657="","",对接源_01水果!$C657)</f>
      </c>
      <c r="B657">
        <f>IF(A657="",0,IF(MATCH(A657,$A$4:$A$2403,0)=ROW()-3,1,0))</f>
        <v>0</v>
      </c>
      <c r="C657">
        <f>N(C656)+B657</f>
        <v>22</v>
      </c>
      <c r="K657">
        <f>IF(OR($K$1="",对接源_01水果!$C657="",对接源_01水果!$C657&lt;&gt;$K$1,对接源_01水果!$B657=""),0,IF(OR(N(对接源_01水果!$B657)&lt;$K$2,N(对接源_01水果!$B657)&gt;$K$3),0,1))</f>
        <v>0</v>
      </c>
      <c r="L657">
        <f>IF(OR($L$1="",对接源_01水果!$C657="",对接源_01水果!$C657&lt;&gt;$L$1,对接源_01水果!$B657=""),0,IF(OR(N(对接源_01水果!$B657)&lt;$L$2,N(对接源_01水果!$B657)&gt;$L$3),0,1))</f>
        <v>0</v>
      </c>
      <c r="M657">
        <f>IF(OR($M$1="",对接源_01水果!$C657="",对接源_01水果!$C657&lt;&gt;$M$1,对接源_01水果!$B657=""),0,IF(OR(N(对接源_01水果!$B657)&lt;$M$2,N(对接源_01水果!$B657)&gt;$M$3),0,1))</f>
        <v>0</v>
      </c>
      <c r="N657">
        <f>IF(OR($N$1="",对接源_01水果!$C657="",对接源_01水果!$C657&lt;&gt;$N$1,对接源_01水果!$B657=""),0,IF(OR(N(对接源_01水果!$B657)&lt;$N$2,N(对接源_01水果!$B657)&gt;$N$3),0,1))</f>
        <v>0</v>
      </c>
      <c r="P657">
        <f>IF(AND($K657=1,AND(对接源_01水果!$X657="公司筐",N(对接源_01水果!$T657)&lt;&gt;0)),1,0)</f>
        <v>0</v>
      </c>
      <c r="Q657">
        <f>N(Q656)+$P657</f>
        <v>0</v>
      </c>
      <c r="R657">
        <f>IF(AND($K657=1,AND(对接源_01水果!$X657="公司筐",N(对接源_01水果!$U657)&lt;&gt;0)),1,0)</f>
        <v>0</v>
      </c>
      <c r="S657">
        <f>N(S656)+$R657</f>
        <v>0</v>
      </c>
      <c r="T657">
        <f>IF(AND($K657=1,AND(对接源_01水果!$X657="公司筐",N(对接源_01水果!$V657)&lt;&gt;0)),1,0)</f>
        <v>0</v>
      </c>
      <c r="U657">
        <f>N(U656)+$T657</f>
        <v>47</v>
      </c>
      <c r="V657">
        <f>IF(AND($L657=1,AND(对接源_01水果!$X657="自备筐",N(对接源_01水果!$V657)&lt;&gt;0)),1,0)</f>
        <v>0</v>
      </c>
      <c r="W657">
        <f>N(W656)+$V657</f>
        <v>11</v>
      </c>
      <c r="X657">
        <f>IF(AND($L657=1,AND(对接源_01水果!$X657="自备筐",N(对接源_01水果!$T657)&lt;&gt;0)),1,0)</f>
        <v>0</v>
      </c>
      <c r="Y657">
        <f>N(Y656)+$X657</f>
        <v>0</v>
      </c>
      <c r="Z657">
        <f>IF(AND($M657=1,对接源_01水果!$D657="原料入库"),1,0)</f>
        <v>0</v>
      </c>
      <c r="AA657">
        <f>N(AA656)+$Z657</f>
        <v>24</v>
      </c>
      <c r="AB657">
        <f>IF(AND($M657=1,LEFT(对接源_01水果!$D657,4)="原料出库"),1,0)</f>
        <v>0</v>
      </c>
      <c r="AC657">
        <f>N(AC656)+$AB657</f>
        <v>0</v>
      </c>
      <c r="AD657">
        <f>IF(AND($M657=1,LEFT(对接源_01水果!$D657,4)="成品出库"),1,0)</f>
        <v>0</v>
      </c>
      <c r="AE657">
        <f>N(AE656)+$AD657</f>
        <v>0</v>
      </c>
      <c r="AF657">
        <f>IF(AND($N657=1,AND(LEFT(对接源_01水果!$D657,4)="包装物料",N(对接源_01水果!$K657)&lt;&gt;0)),1,0)</f>
        <v>0</v>
      </c>
      <c r="AG657">
        <f>N(AG656)+$AF657</f>
        <v>0</v>
      </c>
      <c r="AH657">
        <f>IF(AND($N657=1,AND(对接源_01水果!$D657="周转筐－销售出库",N(对接源_01水果!$K657)&lt;&gt;0)),1,0)</f>
        <v>0</v>
      </c>
      <c r="AI657">
        <f>N(AI656)+$AH657</f>
        <v>0</v>
      </c>
      <c r="AJ657" s="7" t="n"/>
      <c r="AL657">
        <f>IF(OR($AL$1="",对接源_01水果!$Y657="",对接源_01水果!$Y657&lt;&gt;$AL$1,对接源_01水果!$B657="",N(对接源_01水果!$AJ657)&lt;=0),0,IF(OR(N(对接源_01水果!$B657)&lt;$AL$2,N(对接源_01水果!$B657)&gt;$AL$3),0,1))</f>
        <v>0</v>
      </c>
      <c r="AM657">
        <f>N(AM656)+$AL657</f>
        <v>2</v>
      </c>
      <c r="AN657">
        <f>IF(对接源_01水果!$AC657="","",对接源_01水果!$AC657)</f>
      </c>
      <c r="AO657">
        <f>IF(AN657="",0,IF(MATCH(AN657,$AN$4:$AN$1203,0)=ROW()-3,1,0))</f>
        <v>0</v>
      </c>
      <c r="AP657">
        <f>N(AP656)+$AO657</f>
        <v>13</v>
      </c>
      <c r="AR657">
        <f>IF(OR($AF657=1,$AH657=1),1,0)</f>
        <v>0</v>
      </c>
      <c r="AS657">
        <f>N(AS656)+$AR657</f>
        <v>0</v>
      </c>
    </row>
    <row r="658" ht="14.25" customHeight="1" s="127">
      <c r="A658">
        <f>IF(对接源_01水果!$C658="","",对接源_01水果!$C658)</f>
      </c>
      <c r="B658">
        <f>IF(A658="",0,IF(MATCH(A658,$A$4:$A$2403,0)=ROW()-3,1,0))</f>
        <v>0</v>
      </c>
      <c r="C658">
        <f>N(C657)+B658</f>
        <v>22</v>
      </c>
      <c r="K658">
        <f>IF(OR($K$1="",对接源_01水果!$C658="",对接源_01水果!$C658&lt;&gt;$K$1,对接源_01水果!$B658=""),0,IF(OR(N(对接源_01水果!$B658)&lt;$K$2,N(对接源_01水果!$B658)&gt;$K$3),0,1))</f>
        <v>0</v>
      </c>
      <c r="L658">
        <f>IF(OR($L$1="",对接源_01水果!$C658="",对接源_01水果!$C658&lt;&gt;$L$1,对接源_01水果!$B658=""),0,IF(OR(N(对接源_01水果!$B658)&lt;$L$2,N(对接源_01水果!$B658)&gt;$L$3),0,1))</f>
        <v>0</v>
      </c>
      <c r="M658">
        <f>IF(OR($M$1="",对接源_01水果!$C658="",对接源_01水果!$C658&lt;&gt;$M$1,对接源_01水果!$B658=""),0,IF(OR(N(对接源_01水果!$B658)&lt;$M$2,N(对接源_01水果!$B658)&gt;$M$3),0,1))</f>
        <v>0</v>
      </c>
      <c r="N658">
        <f>IF(OR($N$1="",对接源_01水果!$C658="",对接源_01水果!$C658&lt;&gt;$N$1,对接源_01水果!$B658=""),0,IF(OR(N(对接源_01水果!$B658)&lt;$N$2,N(对接源_01水果!$B658)&gt;$N$3),0,1))</f>
        <v>0</v>
      </c>
      <c r="P658">
        <f>IF(AND($K658=1,AND(对接源_01水果!$X658="公司筐",N(对接源_01水果!$T658)&lt;&gt;0)),1,0)</f>
        <v>0</v>
      </c>
      <c r="Q658">
        <f>N(Q657)+$P658</f>
        <v>0</v>
      </c>
      <c r="R658">
        <f>IF(AND($K658=1,AND(对接源_01水果!$X658="公司筐",N(对接源_01水果!$U658)&lt;&gt;0)),1,0)</f>
        <v>0</v>
      </c>
      <c r="S658">
        <f>N(S657)+$R658</f>
        <v>0</v>
      </c>
      <c r="T658">
        <f>IF(AND($K658=1,AND(对接源_01水果!$X658="公司筐",N(对接源_01水果!$V658)&lt;&gt;0)),1,0)</f>
        <v>0</v>
      </c>
      <c r="U658">
        <f>N(U657)+$T658</f>
        <v>47</v>
      </c>
      <c r="V658">
        <f>IF(AND($L658=1,AND(对接源_01水果!$X658="自备筐",N(对接源_01水果!$V658)&lt;&gt;0)),1,0)</f>
        <v>0</v>
      </c>
      <c r="W658">
        <f>N(W657)+$V658</f>
        <v>11</v>
      </c>
      <c r="X658">
        <f>IF(AND($L658=1,AND(对接源_01水果!$X658="自备筐",N(对接源_01水果!$T658)&lt;&gt;0)),1,0)</f>
        <v>0</v>
      </c>
      <c r="Y658">
        <f>N(Y657)+$X658</f>
        <v>0</v>
      </c>
      <c r="Z658">
        <f>IF(AND($M658=1,对接源_01水果!$D658="原料入库"),1,0)</f>
        <v>0</v>
      </c>
      <c r="AA658">
        <f>N(AA657)+$Z658</f>
        <v>24</v>
      </c>
      <c r="AB658">
        <f>IF(AND($M658=1,LEFT(对接源_01水果!$D658,4)="原料出库"),1,0)</f>
        <v>0</v>
      </c>
      <c r="AC658">
        <f>N(AC657)+$AB658</f>
        <v>0</v>
      </c>
      <c r="AD658">
        <f>IF(AND($M658=1,LEFT(对接源_01水果!$D658,4)="成品出库"),1,0)</f>
        <v>0</v>
      </c>
      <c r="AE658">
        <f>N(AE657)+$AD658</f>
        <v>0</v>
      </c>
      <c r="AF658">
        <f>IF(AND($N658=1,AND(LEFT(对接源_01水果!$D658,4)="包装物料",N(对接源_01水果!$K658)&lt;&gt;0)),1,0)</f>
        <v>0</v>
      </c>
      <c r="AG658">
        <f>N(AG657)+$AF658</f>
        <v>0</v>
      </c>
      <c r="AH658">
        <f>IF(AND($N658=1,AND(对接源_01水果!$D658="周转筐－销售出库",N(对接源_01水果!$K658)&lt;&gt;0)),1,0)</f>
        <v>0</v>
      </c>
      <c r="AI658">
        <f>N(AI657)+$AH658</f>
        <v>0</v>
      </c>
      <c r="AJ658" s="7" t="n"/>
      <c r="AL658">
        <f>IF(OR($AL$1="",对接源_01水果!$Y658="",对接源_01水果!$Y658&lt;&gt;$AL$1,对接源_01水果!$B658="",N(对接源_01水果!$AJ658)&lt;=0),0,IF(OR(N(对接源_01水果!$B658)&lt;$AL$2,N(对接源_01水果!$B658)&gt;$AL$3),0,1))</f>
        <v>0</v>
      </c>
      <c r="AM658">
        <f>N(AM657)+$AL658</f>
        <v>2</v>
      </c>
      <c r="AN658">
        <f>IF(对接源_01水果!$AC658="","",对接源_01水果!$AC658)</f>
      </c>
      <c r="AO658">
        <f>IF(AN658="",0,IF(MATCH(AN658,$AN$4:$AN$1203,0)=ROW()-3,1,0))</f>
        <v>0</v>
      </c>
      <c r="AP658">
        <f>N(AP657)+$AO658</f>
        <v>13</v>
      </c>
      <c r="AR658">
        <f>IF(OR($AF658=1,$AH658=1),1,0)</f>
        <v>0</v>
      </c>
      <c r="AS658">
        <f>N(AS657)+$AR658</f>
        <v>0</v>
      </c>
    </row>
    <row r="659" ht="14.25" customHeight="1" s="127">
      <c r="A659">
        <f>IF(对接源_01水果!$C659="","",对接源_01水果!$C659)</f>
      </c>
      <c r="B659">
        <f>IF(A659="",0,IF(MATCH(A659,$A$4:$A$2403,0)=ROW()-3,1,0))</f>
        <v>0</v>
      </c>
      <c r="C659">
        <f>N(C658)+B659</f>
        <v>22</v>
      </c>
      <c r="K659">
        <f>IF(OR($K$1="",对接源_01水果!$C659="",对接源_01水果!$C659&lt;&gt;$K$1,对接源_01水果!$B659=""),0,IF(OR(N(对接源_01水果!$B659)&lt;$K$2,N(对接源_01水果!$B659)&gt;$K$3),0,1))</f>
        <v>0</v>
      </c>
      <c r="L659">
        <f>IF(OR($L$1="",对接源_01水果!$C659="",对接源_01水果!$C659&lt;&gt;$L$1,对接源_01水果!$B659=""),0,IF(OR(N(对接源_01水果!$B659)&lt;$L$2,N(对接源_01水果!$B659)&gt;$L$3),0,1))</f>
        <v>0</v>
      </c>
      <c r="M659">
        <f>IF(OR($M$1="",对接源_01水果!$C659="",对接源_01水果!$C659&lt;&gt;$M$1,对接源_01水果!$B659=""),0,IF(OR(N(对接源_01水果!$B659)&lt;$M$2,N(对接源_01水果!$B659)&gt;$M$3),0,1))</f>
        <v>0</v>
      </c>
      <c r="N659">
        <f>IF(OR($N$1="",对接源_01水果!$C659="",对接源_01水果!$C659&lt;&gt;$N$1,对接源_01水果!$B659=""),0,IF(OR(N(对接源_01水果!$B659)&lt;$N$2,N(对接源_01水果!$B659)&gt;$N$3),0,1))</f>
        <v>0</v>
      </c>
      <c r="P659">
        <f>IF(AND($K659=1,AND(对接源_01水果!$X659="公司筐",N(对接源_01水果!$T659)&lt;&gt;0)),1,0)</f>
        <v>0</v>
      </c>
      <c r="Q659">
        <f>N(Q658)+$P659</f>
        <v>0</v>
      </c>
      <c r="R659">
        <f>IF(AND($K659=1,AND(对接源_01水果!$X659="公司筐",N(对接源_01水果!$U659)&lt;&gt;0)),1,0)</f>
        <v>0</v>
      </c>
      <c r="S659">
        <f>N(S658)+$R659</f>
        <v>0</v>
      </c>
      <c r="T659">
        <f>IF(AND($K659=1,AND(对接源_01水果!$X659="公司筐",N(对接源_01水果!$V659)&lt;&gt;0)),1,0)</f>
        <v>0</v>
      </c>
      <c r="U659">
        <f>N(U658)+$T659</f>
        <v>47</v>
      </c>
      <c r="V659">
        <f>IF(AND($L659=1,AND(对接源_01水果!$X659="自备筐",N(对接源_01水果!$V659)&lt;&gt;0)),1,0)</f>
        <v>0</v>
      </c>
      <c r="W659">
        <f>N(W658)+$V659</f>
        <v>11</v>
      </c>
      <c r="X659">
        <f>IF(AND($L659=1,AND(对接源_01水果!$X659="自备筐",N(对接源_01水果!$T659)&lt;&gt;0)),1,0)</f>
        <v>0</v>
      </c>
      <c r="Y659">
        <f>N(Y658)+$X659</f>
        <v>0</v>
      </c>
      <c r="Z659">
        <f>IF(AND($M659=1,对接源_01水果!$D659="原料入库"),1,0)</f>
        <v>0</v>
      </c>
      <c r="AA659">
        <f>N(AA658)+$Z659</f>
        <v>24</v>
      </c>
      <c r="AB659">
        <f>IF(AND($M659=1,LEFT(对接源_01水果!$D659,4)="原料出库"),1,0)</f>
        <v>0</v>
      </c>
      <c r="AC659">
        <f>N(AC658)+$AB659</f>
        <v>0</v>
      </c>
      <c r="AD659">
        <f>IF(AND($M659=1,LEFT(对接源_01水果!$D659,4)="成品出库"),1,0)</f>
        <v>0</v>
      </c>
      <c r="AE659">
        <f>N(AE658)+$AD659</f>
        <v>0</v>
      </c>
      <c r="AF659">
        <f>IF(AND($N659=1,AND(LEFT(对接源_01水果!$D659,4)="包装物料",N(对接源_01水果!$K659)&lt;&gt;0)),1,0)</f>
        <v>0</v>
      </c>
      <c r="AG659">
        <f>N(AG658)+$AF659</f>
        <v>0</v>
      </c>
      <c r="AH659">
        <f>IF(AND($N659=1,AND(对接源_01水果!$D659="周转筐－销售出库",N(对接源_01水果!$K659)&lt;&gt;0)),1,0)</f>
        <v>0</v>
      </c>
      <c r="AI659">
        <f>N(AI658)+$AH659</f>
        <v>0</v>
      </c>
      <c r="AJ659" s="7" t="n"/>
      <c r="AL659">
        <f>IF(OR($AL$1="",对接源_01水果!$Y659="",对接源_01水果!$Y659&lt;&gt;$AL$1,对接源_01水果!$B659="",N(对接源_01水果!$AJ659)&lt;=0),0,IF(OR(N(对接源_01水果!$B659)&lt;$AL$2,N(对接源_01水果!$B659)&gt;$AL$3),0,1))</f>
        <v>0</v>
      </c>
      <c r="AM659">
        <f>N(AM658)+$AL659</f>
        <v>2</v>
      </c>
      <c r="AN659">
        <f>IF(对接源_01水果!$AC659="","",对接源_01水果!$AC659)</f>
      </c>
      <c r="AO659">
        <f>IF(AN659="",0,IF(MATCH(AN659,$AN$4:$AN$1203,0)=ROW()-3,1,0))</f>
        <v>0</v>
      </c>
      <c r="AP659">
        <f>N(AP658)+$AO659</f>
        <v>13</v>
      </c>
      <c r="AR659">
        <f>IF(OR($AF659=1,$AH659=1),1,0)</f>
        <v>0</v>
      </c>
      <c r="AS659">
        <f>N(AS658)+$AR659</f>
        <v>0</v>
      </c>
    </row>
    <row r="660" ht="14.25" customHeight="1" s="127">
      <c r="A660">
        <f>IF(对接源_01水果!$C660="","",对接源_01水果!$C660)</f>
      </c>
      <c r="B660">
        <f>IF(A660="",0,IF(MATCH(A660,$A$4:$A$2403,0)=ROW()-3,1,0))</f>
        <v>0</v>
      </c>
      <c r="C660">
        <f>N(C659)+B660</f>
        <v>22</v>
      </c>
      <c r="K660">
        <f>IF(OR($K$1="",对接源_01水果!$C660="",对接源_01水果!$C660&lt;&gt;$K$1,对接源_01水果!$B660=""),0,IF(OR(N(对接源_01水果!$B660)&lt;$K$2,N(对接源_01水果!$B660)&gt;$K$3),0,1))</f>
        <v>0</v>
      </c>
      <c r="L660">
        <f>IF(OR($L$1="",对接源_01水果!$C660="",对接源_01水果!$C660&lt;&gt;$L$1,对接源_01水果!$B660=""),0,IF(OR(N(对接源_01水果!$B660)&lt;$L$2,N(对接源_01水果!$B660)&gt;$L$3),0,1))</f>
        <v>0</v>
      </c>
      <c r="M660">
        <f>IF(OR($M$1="",对接源_01水果!$C660="",对接源_01水果!$C660&lt;&gt;$M$1,对接源_01水果!$B660=""),0,IF(OR(N(对接源_01水果!$B660)&lt;$M$2,N(对接源_01水果!$B660)&gt;$M$3),0,1))</f>
        <v>0</v>
      </c>
      <c r="N660">
        <f>IF(OR($N$1="",对接源_01水果!$C660="",对接源_01水果!$C660&lt;&gt;$N$1,对接源_01水果!$B660=""),0,IF(OR(N(对接源_01水果!$B660)&lt;$N$2,N(对接源_01水果!$B660)&gt;$N$3),0,1))</f>
        <v>0</v>
      </c>
      <c r="P660">
        <f>IF(AND($K660=1,AND(对接源_01水果!$X660="公司筐",N(对接源_01水果!$T660)&lt;&gt;0)),1,0)</f>
        <v>0</v>
      </c>
      <c r="Q660">
        <f>N(Q659)+$P660</f>
        <v>0</v>
      </c>
      <c r="R660">
        <f>IF(AND($K660=1,AND(对接源_01水果!$X660="公司筐",N(对接源_01水果!$U660)&lt;&gt;0)),1,0)</f>
        <v>0</v>
      </c>
      <c r="S660">
        <f>N(S659)+$R660</f>
        <v>0</v>
      </c>
      <c r="T660">
        <f>IF(AND($K660=1,AND(对接源_01水果!$X660="公司筐",N(对接源_01水果!$V660)&lt;&gt;0)),1,0)</f>
        <v>0</v>
      </c>
      <c r="U660">
        <f>N(U659)+$T660</f>
        <v>47</v>
      </c>
      <c r="V660">
        <f>IF(AND($L660=1,AND(对接源_01水果!$X660="自备筐",N(对接源_01水果!$V660)&lt;&gt;0)),1,0)</f>
        <v>0</v>
      </c>
      <c r="W660">
        <f>N(W659)+$V660</f>
        <v>11</v>
      </c>
      <c r="X660">
        <f>IF(AND($L660=1,AND(对接源_01水果!$X660="自备筐",N(对接源_01水果!$T660)&lt;&gt;0)),1,0)</f>
        <v>0</v>
      </c>
      <c r="Y660">
        <f>N(Y659)+$X660</f>
        <v>0</v>
      </c>
      <c r="Z660">
        <f>IF(AND($M660=1,对接源_01水果!$D660="原料入库"),1,0)</f>
        <v>0</v>
      </c>
      <c r="AA660">
        <f>N(AA659)+$Z660</f>
        <v>24</v>
      </c>
      <c r="AB660">
        <f>IF(AND($M660=1,LEFT(对接源_01水果!$D660,4)="原料出库"),1,0)</f>
        <v>0</v>
      </c>
      <c r="AC660">
        <f>N(AC659)+$AB660</f>
        <v>0</v>
      </c>
      <c r="AD660">
        <f>IF(AND($M660=1,LEFT(对接源_01水果!$D660,4)="成品出库"),1,0)</f>
        <v>0</v>
      </c>
      <c r="AE660">
        <f>N(AE659)+$AD660</f>
        <v>0</v>
      </c>
      <c r="AF660">
        <f>IF(AND($N660=1,AND(LEFT(对接源_01水果!$D660,4)="包装物料",N(对接源_01水果!$K660)&lt;&gt;0)),1,0)</f>
        <v>0</v>
      </c>
      <c r="AG660">
        <f>N(AG659)+$AF660</f>
        <v>0</v>
      </c>
      <c r="AH660">
        <f>IF(AND($N660=1,AND(对接源_01水果!$D660="周转筐－销售出库",N(对接源_01水果!$K660)&lt;&gt;0)),1,0)</f>
        <v>0</v>
      </c>
      <c r="AI660">
        <f>N(AI659)+$AH660</f>
        <v>0</v>
      </c>
      <c r="AJ660" s="7" t="n"/>
      <c r="AL660">
        <f>IF(OR($AL$1="",对接源_01水果!$Y660="",对接源_01水果!$Y660&lt;&gt;$AL$1,对接源_01水果!$B660="",N(对接源_01水果!$AJ660)&lt;=0),0,IF(OR(N(对接源_01水果!$B660)&lt;$AL$2,N(对接源_01水果!$B660)&gt;$AL$3),0,1))</f>
        <v>0</v>
      </c>
      <c r="AM660">
        <f>N(AM659)+$AL660</f>
        <v>2</v>
      </c>
      <c r="AN660">
        <f>IF(对接源_01水果!$AC660="","",对接源_01水果!$AC660)</f>
      </c>
      <c r="AO660">
        <f>IF(AN660="",0,IF(MATCH(AN660,$AN$4:$AN$1203,0)=ROW()-3,1,0))</f>
        <v>0</v>
      </c>
      <c r="AP660">
        <f>N(AP659)+$AO660</f>
        <v>13</v>
      </c>
      <c r="AR660">
        <f>IF(OR($AF660=1,$AH660=1),1,0)</f>
        <v>0</v>
      </c>
      <c r="AS660">
        <f>N(AS659)+$AR660</f>
        <v>0</v>
      </c>
    </row>
    <row r="661" ht="14.25" customHeight="1" s="127">
      <c r="A661">
        <f>IF(对接源_01水果!$C661="","",对接源_01水果!$C661)</f>
      </c>
      <c r="B661">
        <f>IF(A661="",0,IF(MATCH(A661,$A$4:$A$2403,0)=ROW()-3,1,0))</f>
        <v>0</v>
      </c>
      <c r="C661">
        <f>N(C660)+B661</f>
        <v>22</v>
      </c>
      <c r="K661">
        <f>IF(OR($K$1="",对接源_01水果!$C661="",对接源_01水果!$C661&lt;&gt;$K$1,对接源_01水果!$B661=""),0,IF(OR(N(对接源_01水果!$B661)&lt;$K$2,N(对接源_01水果!$B661)&gt;$K$3),0,1))</f>
        <v>0</v>
      </c>
      <c r="L661">
        <f>IF(OR($L$1="",对接源_01水果!$C661="",对接源_01水果!$C661&lt;&gt;$L$1,对接源_01水果!$B661=""),0,IF(OR(N(对接源_01水果!$B661)&lt;$L$2,N(对接源_01水果!$B661)&gt;$L$3),0,1))</f>
        <v>0</v>
      </c>
      <c r="M661">
        <f>IF(OR($M$1="",对接源_01水果!$C661="",对接源_01水果!$C661&lt;&gt;$M$1,对接源_01水果!$B661=""),0,IF(OR(N(对接源_01水果!$B661)&lt;$M$2,N(对接源_01水果!$B661)&gt;$M$3),0,1))</f>
        <v>0</v>
      </c>
      <c r="N661">
        <f>IF(OR($N$1="",对接源_01水果!$C661="",对接源_01水果!$C661&lt;&gt;$N$1,对接源_01水果!$B661=""),0,IF(OR(N(对接源_01水果!$B661)&lt;$N$2,N(对接源_01水果!$B661)&gt;$N$3),0,1))</f>
        <v>0</v>
      </c>
      <c r="P661">
        <f>IF(AND($K661=1,AND(对接源_01水果!$X661="公司筐",N(对接源_01水果!$T661)&lt;&gt;0)),1,0)</f>
        <v>0</v>
      </c>
      <c r="Q661">
        <f>N(Q660)+$P661</f>
        <v>0</v>
      </c>
      <c r="R661">
        <f>IF(AND($K661=1,AND(对接源_01水果!$X661="公司筐",N(对接源_01水果!$U661)&lt;&gt;0)),1,0)</f>
        <v>0</v>
      </c>
      <c r="S661">
        <f>N(S660)+$R661</f>
        <v>0</v>
      </c>
      <c r="T661">
        <f>IF(AND($K661=1,AND(对接源_01水果!$X661="公司筐",N(对接源_01水果!$V661)&lt;&gt;0)),1,0)</f>
        <v>0</v>
      </c>
      <c r="U661">
        <f>N(U660)+$T661</f>
        <v>47</v>
      </c>
      <c r="V661">
        <f>IF(AND($L661=1,AND(对接源_01水果!$X661="自备筐",N(对接源_01水果!$V661)&lt;&gt;0)),1,0)</f>
        <v>0</v>
      </c>
      <c r="W661">
        <f>N(W660)+$V661</f>
        <v>11</v>
      </c>
      <c r="X661">
        <f>IF(AND($L661=1,AND(对接源_01水果!$X661="自备筐",N(对接源_01水果!$T661)&lt;&gt;0)),1,0)</f>
        <v>0</v>
      </c>
      <c r="Y661">
        <f>N(Y660)+$X661</f>
        <v>0</v>
      </c>
      <c r="Z661">
        <f>IF(AND($M661=1,对接源_01水果!$D661="原料入库"),1,0)</f>
        <v>0</v>
      </c>
      <c r="AA661">
        <f>N(AA660)+$Z661</f>
        <v>24</v>
      </c>
      <c r="AB661">
        <f>IF(AND($M661=1,LEFT(对接源_01水果!$D661,4)="原料出库"),1,0)</f>
        <v>0</v>
      </c>
      <c r="AC661">
        <f>N(AC660)+$AB661</f>
        <v>0</v>
      </c>
      <c r="AD661">
        <f>IF(AND($M661=1,LEFT(对接源_01水果!$D661,4)="成品出库"),1,0)</f>
        <v>0</v>
      </c>
      <c r="AE661">
        <f>N(AE660)+$AD661</f>
        <v>0</v>
      </c>
      <c r="AF661">
        <f>IF(AND($N661=1,AND(LEFT(对接源_01水果!$D661,4)="包装物料",N(对接源_01水果!$K661)&lt;&gt;0)),1,0)</f>
        <v>0</v>
      </c>
      <c r="AG661">
        <f>N(AG660)+$AF661</f>
        <v>0</v>
      </c>
      <c r="AH661">
        <f>IF(AND($N661=1,AND(对接源_01水果!$D661="周转筐－销售出库",N(对接源_01水果!$K661)&lt;&gt;0)),1,0)</f>
        <v>0</v>
      </c>
      <c r="AI661">
        <f>N(AI660)+$AH661</f>
        <v>0</v>
      </c>
      <c r="AJ661" s="7" t="n"/>
      <c r="AL661">
        <f>IF(OR($AL$1="",对接源_01水果!$Y661="",对接源_01水果!$Y661&lt;&gt;$AL$1,对接源_01水果!$B661="",N(对接源_01水果!$AJ661)&lt;=0),0,IF(OR(N(对接源_01水果!$B661)&lt;$AL$2,N(对接源_01水果!$B661)&gt;$AL$3),0,1))</f>
        <v>0</v>
      </c>
      <c r="AM661">
        <f>N(AM660)+$AL661</f>
        <v>2</v>
      </c>
      <c r="AN661">
        <f>IF(对接源_01水果!$AC661="","",对接源_01水果!$AC661)</f>
      </c>
      <c r="AO661">
        <f>IF(AN661="",0,IF(MATCH(AN661,$AN$4:$AN$1203,0)=ROW()-3,1,0))</f>
        <v>0</v>
      </c>
      <c r="AP661">
        <f>N(AP660)+$AO661</f>
        <v>13</v>
      </c>
      <c r="AR661">
        <f>IF(OR($AF661=1,$AH661=1),1,0)</f>
        <v>0</v>
      </c>
      <c r="AS661">
        <f>N(AS660)+$AR661</f>
        <v>0</v>
      </c>
    </row>
    <row r="662" ht="14.25" customHeight="1" s="127">
      <c r="A662">
        <f>IF(对接源_01水果!$C662="","",对接源_01水果!$C662)</f>
      </c>
      <c r="B662">
        <f>IF(A662="",0,IF(MATCH(A662,$A$4:$A$2403,0)=ROW()-3,1,0))</f>
        <v>0</v>
      </c>
      <c r="C662">
        <f>N(C661)+B662</f>
        <v>22</v>
      </c>
      <c r="K662">
        <f>IF(OR($K$1="",对接源_01水果!$C662="",对接源_01水果!$C662&lt;&gt;$K$1,对接源_01水果!$B662=""),0,IF(OR(N(对接源_01水果!$B662)&lt;$K$2,N(对接源_01水果!$B662)&gt;$K$3),0,1))</f>
        <v>0</v>
      </c>
      <c r="L662">
        <f>IF(OR($L$1="",对接源_01水果!$C662="",对接源_01水果!$C662&lt;&gt;$L$1,对接源_01水果!$B662=""),0,IF(OR(N(对接源_01水果!$B662)&lt;$L$2,N(对接源_01水果!$B662)&gt;$L$3),0,1))</f>
        <v>0</v>
      </c>
      <c r="M662">
        <f>IF(OR($M$1="",对接源_01水果!$C662="",对接源_01水果!$C662&lt;&gt;$M$1,对接源_01水果!$B662=""),0,IF(OR(N(对接源_01水果!$B662)&lt;$M$2,N(对接源_01水果!$B662)&gt;$M$3),0,1))</f>
        <v>0</v>
      </c>
      <c r="N662">
        <f>IF(OR($N$1="",对接源_01水果!$C662="",对接源_01水果!$C662&lt;&gt;$N$1,对接源_01水果!$B662=""),0,IF(OR(N(对接源_01水果!$B662)&lt;$N$2,N(对接源_01水果!$B662)&gt;$N$3),0,1))</f>
        <v>0</v>
      </c>
      <c r="P662">
        <f>IF(AND($K662=1,AND(对接源_01水果!$X662="公司筐",N(对接源_01水果!$T662)&lt;&gt;0)),1,0)</f>
        <v>0</v>
      </c>
      <c r="Q662">
        <f>N(Q661)+$P662</f>
        <v>0</v>
      </c>
      <c r="R662">
        <f>IF(AND($K662=1,AND(对接源_01水果!$X662="公司筐",N(对接源_01水果!$U662)&lt;&gt;0)),1,0)</f>
        <v>0</v>
      </c>
      <c r="S662">
        <f>N(S661)+$R662</f>
        <v>0</v>
      </c>
      <c r="T662">
        <f>IF(AND($K662=1,AND(对接源_01水果!$X662="公司筐",N(对接源_01水果!$V662)&lt;&gt;0)),1,0)</f>
        <v>0</v>
      </c>
      <c r="U662">
        <f>N(U661)+$T662</f>
        <v>47</v>
      </c>
      <c r="V662">
        <f>IF(AND($L662=1,AND(对接源_01水果!$X662="自备筐",N(对接源_01水果!$V662)&lt;&gt;0)),1,0)</f>
        <v>0</v>
      </c>
      <c r="W662">
        <f>N(W661)+$V662</f>
        <v>11</v>
      </c>
      <c r="X662">
        <f>IF(AND($L662=1,AND(对接源_01水果!$X662="自备筐",N(对接源_01水果!$T662)&lt;&gt;0)),1,0)</f>
        <v>0</v>
      </c>
      <c r="Y662">
        <f>N(Y661)+$X662</f>
        <v>0</v>
      </c>
      <c r="Z662">
        <f>IF(AND($M662=1,对接源_01水果!$D662="原料入库"),1,0)</f>
        <v>0</v>
      </c>
      <c r="AA662">
        <f>N(AA661)+$Z662</f>
        <v>24</v>
      </c>
      <c r="AB662">
        <f>IF(AND($M662=1,LEFT(对接源_01水果!$D662,4)="原料出库"),1,0)</f>
        <v>0</v>
      </c>
      <c r="AC662">
        <f>N(AC661)+$AB662</f>
        <v>0</v>
      </c>
      <c r="AD662">
        <f>IF(AND($M662=1,LEFT(对接源_01水果!$D662,4)="成品出库"),1,0)</f>
        <v>0</v>
      </c>
      <c r="AE662">
        <f>N(AE661)+$AD662</f>
        <v>0</v>
      </c>
      <c r="AF662">
        <f>IF(AND($N662=1,AND(LEFT(对接源_01水果!$D662,4)="包装物料",N(对接源_01水果!$K662)&lt;&gt;0)),1,0)</f>
        <v>0</v>
      </c>
      <c r="AG662">
        <f>N(AG661)+$AF662</f>
        <v>0</v>
      </c>
      <c r="AH662">
        <f>IF(AND($N662=1,AND(对接源_01水果!$D662="周转筐－销售出库",N(对接源_01水果!$K662)&lt;&gt;0)),1,0)</f>
        <v>0</v>
      </c>
      <c r="AI662">
        <f>N(AI661)+$AH662</f>
        <v>0</v>
      </c>
      <c r="AJ662" s="7" t="n"/>
      <c r="AL662">
        <f>IF(OR($AL$1="",对接源_01水果!$Y662="",对接源_01水果!$Y662&lt;&gt;$AL$1,对接源_01水果!$B662="",N(对接源_01水果!$AJ662)&lt;=0),0,IF(OR(N(对接源_01水果!$B662)&lt;$AL$2,N(对接源_01水果!$B662)&gt;$AL$3),0,1))</f>
        <v>0</v>
      </c>
      <c r="AM662">
        <f>N(AM661)+$AL662</f>
        <v>2</v>
      </c>
      <c r="AN662">
        <f>IF(对接源_01水果!$AC662="","",对接源_01水果!$AC662)</f>
      </c>
      <c r="AO662">
        <f>IF(AN662="",0,IF(MATCH(AN662,$AN$4:$AN$1203,0)=ROW()-3,1,0))</f>
        <v>0</v>
      </c>
      <c r="AP662">
        <f>N(AP661)+$AO662</f>
        <v>13</v>
      </c>
      <c r="AR662">
        <f>IF(OR($AF662=1,$AH662=1),1,0)</f>
        <v>0</v>
      </c>
      <c r="AS662">
        <f>N(AS661)+$AR662</f>
        <v>0</v>
      </c>
    </row>
    <row r="663" ht="14.25" customHeight="1" s="127">
      <c r="A663">
        <f>IF(对接源_01水果!$C663="","",对接源_01水果!$C663)</f>
      </c>
      <c r="B663">
        <f>IF(A663="",0,IF(MATCH(A663,$A$4:$A$2403,0)=ROW()-3,1,0))</f>
        <v>0</v>
      </c>
      <c r="C663">
        <f>N(C662)+B663</f>
        <v>22</v>
      </c>
      <c r="K663">
        <f>IF(OR($K$1="",对接源_01水果!$C663="",对接源_01水果!$C663&lt;&gt;$K$1,对接源_01水果!$B663=""),0,IF(OR(N(对接源_01水果!$B663)&lt;$K$2,N(对接源_01水果!$B663)&gt;$K$3),0,1))</f>
        <v>0</v>
      </c>
      <c r="L663">
        <f>IF(OR($L$1="",对接源_01水果!$C663="",对接源_01水果!$C663&lt;&gt;$L$1,对接源_01水果!$B663=""),0,IF(OR(N(对接源_01水果!$B663)&lt;$L$2,N(对接源_01水果!$B663)&gt;$L$3),0,1))</f>
        <v>0</v>
      </c>
      <c r="M663">
        <f>IF(OR($M$1="",对接源_01水果!$C663="",对接源_01水果!$C663&lt;&gt;$M$1,对接源_01水果!$B663=""),0,IF(OR(N(对接源_01水果!$B663)&lt;$M$2,N(对接源_01水果!$B663)&gt;$M$3),0,1))</f>
        <v>0</v>
      </c>
      <c r="N663">
        <f>IF(OR($N$1="",对接源_01水果!$C663="",对接源_01水果!$C663&lt;&gt;$N$1,对接源_01水果!$B663=""),0,IF(OR(N(对接源_01水果!$B663)&lt;$N$2,N(对接源_01水果!$B663)&gt;$N$3),0,1))</f>
        <v>0</v>
      </c>
      <c r="P663">
        <f>IF(AND($K663=1,AND(对接源_01水果!$X663="公司筐",N(对接源_01水果!$T663)&lt;&gt;0)),1,0)</f>
        <v>0</v>
      </c>
      <c r="Q663">
        <f>N(Q662)+$P663</f>
        <v>0</v>
      </c>
      <c r="R663">
        <f>IF(AND($K663=1,AND(对接源_01水果!$X663="公司筐",N(对接源_01水果!$U663)&lt;&gt;0)),1,0)</f>
        <v>0</v>
      </c>
      <c r="S663">
        <f>N(S662)+$R663</f>
        <v>0</v>
      </c>
      <c r="T663">
        <f>IF(AND($K663=1,AND(对接源_01水果!$X663="公司筐",N(对接源_01水果!$V663)&lt;&gt;0)),1,0)</f>
        <v>0</v>
      </c>
      <c r="U663">
        <f>N(U662)+$T663</f>
        <v>47</v>
      </c>
      <c r="V663">
        <f>IF(AND($L663=1,AND(对接源_01水果!$X663="自备筐",N(对接源_01水果!$V663)&lt;&gt;0)),1,0)</f>
        <v>0</v>
      </c>
      <c r="W663">
        <f>N(W662)+$V663</f>
        <v>11</v>
      </c>
      <c r="X663">
        <f>IF(AND($L663=1,AND(对接源_01水果!$X663="自备筐",N(对接源_01水果!$T663)&lt;&gt;0)),1,0)</f>
        <v>0</v>
      </c>
      <c r="Y663">
        <f>N(Y662)+$X663</f>
        <v>0</v>
      </c>
      <c r="Z663">
        <f>IF(AND($M663=1,对接源_01水果!$D663="原料入库"),1,0)</f>
        <v>0</v>
      </c>
      <c r="AA663">
        <f>N(AA662)+$Z663</f>
        <v>24</v>
      </c>
      <c r="AB663">
        <f>IF(AND($M663=1,LEFT(对接源_01水果!$D663,4)="原料出库"),1,0)</f>
        <v>0</v>
      </c>
      <c r="AC663">
        <f>N(AC662)+$AB663</f>
        <v>0</v>
      </c>
      <c r="AD663">
        <f>IF(AND($M663=1,LEFT(对接源_01水果!$D663,4)="成品出库"),1,0)</f>
        <v>0</v>
      </c>
      <c r="AE663">
        <f>N(AE662)+$AD663</f>
        <v>0</v>
      </c>
      <c r="AF663">
        <f>IF(AND($N663=1,AND(LEFT(对接源_01水果!$D663,4)="包装物料",N(对接源_01水果!$K663)&lt;&gt;0)),1,0)</f>
        <v>0</v>
      </c>
      <c r="AG663">
        <f>N(AG662)+$AF663</f>
        <v>0</v>
      </c>
      <c r="AH663">
        <f>IF(AND($N663=1,AND(对接源_01水果!$D663="周转筐－销售出库",N(对接源_01水果!$K663)&lt;&gt;0)),1,0)</f>
        <v>0</v>
      </c>
      <c r="AI663">
        <f>N(AI662)+$AH663</f>
        <v>0</v>
      </c>
      <c r="AJ663" s="7" t="n"/>
      <c r="AL663">
        <f>IF(OR($AL$1="",对接源_01水果!$Y663="",对接源_01水果!$Y663&lt;&gt;$AL$1,对接源_01水果!$B663="",N(对接源_01水果!$AJ663)&lt;=0),0,IF(OR(N(对接源_01水果!$B663)&lt;$AL$2,N(对接源_01水果!$B663)&gt;$AL$3),0,1))</f>
        <v>0</v>
      </c>
      <c r="AM663">
        <f>N(AM662)+$AL663</f>
        <v>2</v>
      </c>
      <c r="AN663">
        <f>IF(对接源_01水果!$AC663="","",对接源_01水果!$AC663)</f>
      </c>
      <c r="AO663">
        <f>IF(AN663="",0,IF(MATCH(AN663,$AN$4:$AN$1203,0)=ROW()-3,1,0))</f>
        <v>0</v>
      </c>
      <c r="AP663">
        <f>N(AP662)+$AO663</f>
        <v>13</v>
      </c>
      <c r="AR663">
        <f>IF(OR($AF663=1,$AH663=1),1,0)</f>
        <v>0</v>
      </c>
      <c r="AS663">
        <f>N(AS662)+$AR663</f>
        <v>0</v>
      </c>
    </row>
    <row r="664" ht="14.25" customHeight="1" s="127">
      <c r="A664">
        <f>IF(对接源_01水果!$C664="","",对接源_01水果!$C664)</f>
      </c>
      <c r="B664">
        <f>IF(A664="",0,IF(MATCH(A664,$A$4:$A$2403,0)=ROW()-3,1,0))</f>
        <v>0</v>
      </c>
      <c r="C664">
        <f>N(C663)+B664</f>
        <v>22</v>
      </c>
      <c r="K664">
        <f>IF(OR($K$1="",对接源_01水果!$C664="",对接源_01水果!$C664&lt;&gt;$K$1,对接源_01水果!$B664=""),0,IF(OR(N(对接源_01水果!$B664)&lt;$K$2,N(对接源_01水果!$B664)&gt;$K$3),0,1))</f>
        <v>0</v>
      </c>
      <c r="L664">
        <f>IF(OR($L$1="",对接源_01水果!$C664="",对接源_01水果!$C664&lt;&gt;$L$1,对接源_01水果!$B664=""),0,IF(OR(N(对接源_01水果!$B664)&lt;$L$2,N(对接源_01水果!$B664)&gt;$L$3),0,1))</f>
        <v>0</v>
      </c>
      <c r="M664">
        <f>IF(OR($M$1="",对接源_01水果!$C664="",对接源_01水果!$C664&lt;&gt;$M$1,对接源_01水果!$B664=""),0,IF(OR(N(对接源_01水果!$B664)&lt;$M$2,N(对接源_01水果!$B664)&gt;$M$3),0,1))</f>
        <v>0</v>
      </c>
      <c r="N664">
        <f>IF(OR($N$1="",对接源_01水果!$C664="",对接源_01水果!$C664&lt;&gt;$N$1,对接源_01水果!$B664=""),0,IF(OR(N(对接源_01水果!$B664)&lt;$N$2,N(对接源_01水果!$B664)&gt;$N$3),0,1))</f>
        <v>0</v>
      </c>
      <c r="P664">
        <f>IF(AND($K664=1,AND(对接源_01水果!$X664="公司筐",N(对接源_01水果!$T664)&lt;&gt;0)),1,0)</f>
        <v>0</v>
      </c>
      <c r="Q664">
        <f>N(Q663)+$P664</f>
        <v>0</v>
      </c>
      <c r="R664">
        <f>IF(AND($K664=1,AND(对接源_01水果!$X664="公司筐",N(对接源_01水果!$U664)&lt;&gt;0)),1,0)</f>
        <v>0</v>
      </c>
      <c r="S664">
        <f>N(S663)+$R664</f>
        <v>0</v>
      </c>
      <c r="T664">
        <f>IF(AND($K664=1,AND(对接源_01水果!$X664="公司筐",N(对接源_01水果!$V664)&lt;&gt;0)),1,0)</f>
        <v>0</v>
      </c>
      <c r="U664">
        <f>N(U663)+$T664</f>
        <v>47</v>
      </c>
      <c r="V664">
        <f>IF(AND($L664=1,AND(对接源_01水果!$X664="自备筐",N(对接源_01水果!$V664)&lt;&gt;0)),1,0)</f>
        <v>0</v>
      </c>
      <c r="W664">
        <f>N(W663)+$V664</f>
        <v>11</v>
      </c>
      <c r="X664">
        <f>IF(AND($L664=1,AND(对接源_01水果!$X664="自备筐",N(对接源_01水果!$T664)&lt;&gt;0)),1,0)</f>
        <v>0</v>
      </c>
      <c r="Y664">
        <f>N(Y663)+$X664</f>
        <v>0</v>
      </c>
      <c r="Z664">
        <f>IF(AND($M664=1,对接源_01水果!$D664="原料入库"),1,0)</f>
        <v>0</v>
      </c>
      <c r="AA664">
        <f>N(AA663)+$Z664</f>
        <v>24</v>
      </c>
      <c r="AB664">
        <f>IF(AND($M664=1,LEFT(对接源_01水果!$D664,4)="原料出库"),1,0)</f>
        <v>0</v>
      </c>
      <c r="AC664">
        <f>N(AC663)+$AB664</f>
        <v>0</v>
      </c>
      <c r="AD664">
        <f>IF(AND($M664=1,LEFT(对接源_01水果!$D664,4)="成品出库"),1,0)</f>
        <v>0</v>
      </c>
      <c r="AE664">
        <f>N(AE663)+$AD664</f>
        <v>0</v>
      </c>
      <c r="AF664">
        <f>IF(AND($N664=1,AND(LEFT(对接源_01水果!$D664,4)="包装物料",N(对接源_01水果!$K664)&lt;&gt;0)),1,0)</f>
        <v>0</v>
      </c>
      <c r="AG664">
        <f>N(AG663)+$AF664</f>
        <v>0</v>
      </c>
      <c r="AH664">
        <f>IF(AND($N664=1,AND(对接源_01水果!$D664="周转筐－销售出库",N(对接源_01水果!$K664)&lt;&gt;0)),1,0)</f>
        <v>0</v>
      </c>
      <c r="AI664">
        <f>N(AI663)+$AH664</f>
        <v>0</v>
      </c>
      <c r="AJ664" s="7" t="n"/>
      <c r="AL664">
        <f>IF(OR($AL$1="",对接源_01水果!$Y664="",对接源_01水果!$Y664&lt;&gt;$AL$1,对接源_01水果!$B664="",N(对接源_01水果!$AJ664)&lt;=0),0,IF(OR(N(对接源_01水果!$B664)&lt;$AL$2,N(对接源_01水果!$B664)&gt;$AL$3),0,1))</f>
        <v>0</v>
      </c>
      <c r="AM664">
        <f>N(AM663)+$AL664</f>
        <v>2</v>
      </c>
      <c r="AN664">
        <f>IF(对接源_01水果!$AC664="","",对接源_01水果!$AC664)</f>
      </c>
      <c r="AO664">
        <f>IF(AN664="",0,IF(MATCH(AN664,$AN$4:$AN$1203,0)=ROW()-3,1,0))</f>
        <v>0</v>
      </c>
      <c r="AP664">
        <f>N(AP663)+$AO664</f>
        <v>13</v>
      </c>
      <c r="AR664">
        <f>IF(OR($AF664=1,$AH664=1),1,0)</f>
        <v>0</v>
      </c>
      <c r="AS664">
        <f>N(AS663)+$AR664</f>
        <v>0</v>
      </c>
    </row>
    <row r="665" ht="14.25" customHeight="1" s="127">
      <c r="A665">
        <f>IF(对接源_01水果!$C665="","",对接源_01水果!$C665)</f>
      </c>
      <c r="B665">
        <f>IF(A665="",0,IF(MATCH(A665,$A$4:$A$2403,0)=ROW()-3,1,0))</f>
        <v>0</v>
      </c>
      <c r="C665">
        <f>N(C664)+B665</f>
        <v>22</v>
      </c>
      <c r="K665">
        <f>IF(OR($K$1="",对接源_01水果!$C665="",对接源_01水果!$C665&lt;&gt;$K$1,对接源_01水果!$B665=""),0,IF(OR(N(对接源_01水果!$B665)&lt;$K$2,N(对接源_01水果!$B665)&gt;$K$3),0,1))</f>
        <v>0</v>
      </c>
      <c r="L665">
        <f>IF(OR($L$1="",对接源_01水果!$C665="",对接源_01水果!$C665&lt;&gt;$L$1,对接源_01水果!$B665=""),0,IF(OR(N(对接源_01水果!$B665)&lt;$L$2,N(对接源_01水果!$B665)&gt;$L$3),0,1))</f>
        <v>0</v>
      </c>
      <c r="M665">
        <f>IF(OR($M$1="",对接源_01水果!$C665="",对接源_01水果!$C665&lt;&gt;$M$1,对接源_01水果!$B665=""),0,IF(OR(N(对接源_01水果!$B665)&lt;$M$2,N(对接源_01水果!$B665)&gt;$M$3),0,1))</f>
        <v>0</v>
      </c>
      <c r="N665">
        <f>IF(OR($N$1="",对接源_01水果!$C665="",对接源_01水果!$C665&lt;&gt;$N$1,对接源_01水果!$B665=""),0,IF(OR(N(对接源_01水果!$B665)&lt;$N$2,N(对接源_01水果!$B665)&gt;$N$3),0,1))</f>
        <v>0</v>
      </c>
      <c r="P665">
        <f>IF(AND($K665=1,AND(对接源_01水果!$X665="公司筐",N(对接源_01水果!$T665)&lt;&gt;0)),1,0)</f>
        <v>0</v>
      </c>
      <c r="Q665">
        <f>N(Q664)+$P665</f>
        <v>0</v>
      </c>
      <c r="R665">
        <f>IF(AND($K665=1,AND(对接源_01水果!$X665="公司筐",N(对接源_01水果!$U665)&lt;&gt;0)),1,0)</f>
        <v>0</v>
      </c>
      <c r="S665">
        <f>N(S664)+$R665</f>
        <v>0</v>
      </c>
      <c r="T665">
        <f>IF(AND($K665=1,AND(对接源_01水果!$X665="公司筐",N(对接源_01水果!$V665)&lt;&gt;0)),1,0)</f>
        <v>0</v>
      </c>
      <c r="U665">
        <f>N(U664)+$T665</f>
        <v>47</v>
      </c>
      <c r="V665">
        <f>IF(AND($L665=1,AND(对接源_01水果!$X665="自备筐",N(对接源_01水果!$V665)&lt;&gt;0)),1,0)</f>
        <v>0</v>
      </c>
      <c r="W665">
        <f>N(W664)+$V665</f>
        <v>11</v>
      </c>
      <c r="X665">
        <f>IF(AND($L665=1,AND(对接源_01水果!$X665="自备筐",N(对接源_01水果!$T665)&lt;&gt;0)),1,0)</f>
        <v>0</v>
      </c>
      <c r="Y665">
        <f>N(Y664)+$X665</f>
        <v>0</v>
      </c>
      <c r="Z665">
        <f>IF(AND($M665=1,对接源_01水果!$D665="原料入库"),1,0)</f>
        <v>0</v>
      </c>
      <c r="AA665">
        <f>N(AA664)+$Z665</f>
        <v>24</v>
      </c>
      <c r="AB665">
        <f>IF(AND($M665=1,LEFT(对接源_01水果!$D665,4)="原料出库"),1,0)</f>
        <v>0</v>
      </c>
      <c r="AC665">
        <f>N(AC664)+$AB665</f>
        <v>0</v>
      </c>
      <c r="AD665">
        <f>IF(AND($M665=1,LEFT(对接源_01水果!$D665,4)="成品出库"),1,0)</f>
        <v>0</v>
      </c>
      <c r="AE665">
        <f>N(AE664)+$AD665</f>
        <v>0</v>
      </c>
      <c r="AF665">
        <f>IF(AND($N665=1,AND(LEFT(对接源_01水果!$D665,4)="包装物料",N(对接源_01水果!$K665)&lt;&gt;0)),1,0)</f>
        <v>0</v>
      </c>
      <c r="AG665">
        <f>N(AG664)+$AF665</f>
        <v>0</v>
      </c>
      <c r="AH665">
        <f>IF(AND($N665=1,AND(对接源_01水果!$D665="周转筐－销售出库",N(对接源_01水果!$K665)&lt;&gt;0)),1,0)</f>
        <v>0</v>
      </c>
      <c r="AI665">
        <f>N(AI664)+$AH665</f>
        <v>0</v>
      </c>
      <c r="AJ665" s="7" t="n"/>
      <c r="AL665">
        <f>IF(OR($AL$1="",对接源_01水果!$Y665="",对接源_01水果!$Y665&lt;&gt;$AL$1,对接源_01水果!$B665="",N(对接源_01水果!$AJ665)&lt;=0),0,IF(OR(N(对接源_01水果!$B665)&lt;$AL$2,N(对接源_01水果!$B665)&gt;$AL$3),0,1))</f>
        <v>0</v>
      </c>
      <c r="AM665">
        <f>N(AM664)+$AL665</f>
        <v>2</v>
      </c>
      <c r="AN665">
        <f>IF(对接源_01水果!$AC665="","",对接源_01水果!$AC665)</f>
      </c>
      <c r="AO665">
        <f>IF(AN665="",0,IF(MATCH(AN665,$AN$4:$AN$1203,0)=ROW()-3,1,0))</f>
        <v>0</v>
      </c>
      <c r="AP665">
        <f>N(AP664)+$AO665</f>
        <v>13</v>
      </c>
      <c r="AR665">
        <f>IF(OR($AF665=1,$AH665=1),1,0)</f>
        <v>0</v>
      </c>
      <c r="AS665">
        <f>N(AS664)+$AR665</f>
        <v>0</v>
      </c>
    </row>
    <row r="666" ht="14.25" customHeight="1" s="127">
      <c r="A666">
        <f>IF(对接源_01水果!$C666="","",对接源_01水果!$C666)</f>
      </c>
      <c r="B666">
        <f>IF(A666="",0,IF(MATCH(A666,$A$4:$A$2403,0)=ROW()-3,1,0))</f>
        <v>0</v>
      </c>
      <c r="C666">
        <f>N(C665)+B666</f>
        <v>22</v>
      </c>
      <c r="K666">
        <f>IF(OR($K$1="",对接源_01水果!$C666="",对接源_01水果!$C666&lt;&gt;$K$1,对接源_01水果!$B666=""),0,IF(OR(N(对接源_01水果!$B666)&lt;$K$2,N(对接源_01水果!$B666)&gt;$K$3),0,1))</f>
        <v>0</v>
      </c>
      <c r="L666">
        <f>IF(OR($L$1="",对接源_01水果!$C666="",对接源_01水果!$C666&lt;&gt;$L$1,对接源_01水果!$B666=""),0,IF(OR(N(对接源_01水果!$B666)&lt;$L$2,N(对接源_01水果!$B666)&gt;$L$3),0,1))</f>
        <v>0</v>
      </c>
      <c r="M666">
        <f>IF(OR($M$1="",对接源_01水果!$C666="",对接源_01水果!$C666&lt;&gt;$M$1,对接源_01水果!$B666=""),0,IF(OR(N(对接源_01水果!$B666)&lt;$M$2,N(对接源_01水果!$B666)&gt;$M$3),0,1))</f>
        <v>0</v>
      </c>
      <c r="N666">
        <f>IF(OR($N$1="",对接源_01水果!$C666="",对接源_01水果!$C666&lt;&gt;$N$1,对接源_01水果!$B666=""),0,IF(OR(N(对接源_01水果!$B666)&lt;$N$2,N(对接源_01水果!$B666)&gt;$N$3),0,1))</f>
        <v>0</v>
      </c>
      <c r="P666">
        <f>IF(AND($K666=1,AND(对接源_01水果!$X666="公司筐",N(对接源_01水果!$T666)&lt;&gt;0)),1,0)</f>
        <v>0</v>
      </c>
      <c r="Q666">
        <f>N(Q665)+$P666</f>
        <v>0</v>
      </c>
      <c r="R666">
        <f>IF(AND($K666=1,AND(对接源_01水果!$X666="公司筐",N(对接源_01水果!$U666)&lt;&gt;0)),1,0)</f>
        <v>0</v>
      </c>
      <c r="S666">
        <f>N(S665)+$R666</f>
        <v>0</v>
      </c>
      <c r="T666">
        <f>IF(AND($K666=1,AND(对接源_01水果!$X666="公司筐",N(对接源_01水果!$V666)&lt;&gt;0)),1,0)</f>
        <v>0</v>
      </c>
      <c r="U666">
        <f>N(U665)+$T666</f>
        <v>47</v>
      </c>
      <c r="V666">
        <f>IF(AND($L666=1,AND(对接源_01水果!$X666="自备筐",N(对接源_01水果!$V666)&lt;&gt;0)),1,0)</f>
        <v>0</v>
      </c>
      <c r="W666">
        <f>N(W665)+$V666</f>
        <v>11</v>
      </c>
      <c r="X666">
        <f>IF(AND($L666=1,AND(对接源_01水果!$X666="自备筐",N(对接源_01水果!$T666)&lt;&gt;0)),1,0)</f>
        <v>0</v>
      </c>
      <c r="Y666">
        <f>N(Y665)+$X666</f>
        <v>0</v>
      </c>
      <c r="Z666">
        <f>IF(AND($M666=1,对接源_01水果!$D666="原料入库"),1,0)</f>
        <v>0</v>
      </c>
      <c r="AA666">
        <f>N(AA665)+$Z666</f>
        <v>24</v>
      </c>
      <c r="AB666">
        <f>IF(AND($M666=1,LEFT(对接源_01水果!$D666,4)="原料出库"),1,0)</f>
        <v>0</v>
      </c>
      <c r="AC666">
        <f>N(AC665)+$AB666</f>
        <v>0</v>
      </c>
      <c r="AD666">
        <f>IF(AND($M666=1,LEFT(对接源_01水果!$D666,4)="成品出库"),1,0)</f>
        <v>0</v>
      </c>
      <c r="AE666">
        <f>N(AE665)+$AD666</f>
        <v>0</v>
      </c>
      <c r="AF666">
        <f>IF(AND($N666=1,AND(LEFT(对接源_01水果!$D666,4)="包装物料",N(对接源_01水果!$K666)&lt;&gt;0)),1,0)</f>
        <v>0</v>
      </c>
      <c r="AG666">
        <f>N(AG665)+$AF666</f>
        <v>0</v>
      </c>
      <c r="AH666">
        <f>IF(AND($N666=1,AND(对接源_01水果!$D666="周转筐－销售出库",N(对接源_01水果!$K666)&lt;&gt;0)),1,0)</f>
        <v>0</v>
      </c>
      <c r="AI666">
        <f>N(AI665)+$AH666</f>
        <v>0</v>
      </c>
      <c r="AJ666" s="7" t="n"/>
      <c r="AL666">
        <f>IF(OR($AL$1="",对接源_01水果!$Y666="",对接源_01水果!$Y666&lt;&gt;$AL$1,对接源_01水果!$B666="",N(对接源_01水果!$AJ666)&lt;=0),0,IF(OR(N(对接源_01水果!$B666)&lt;$AL$2,N(对接源_01水果!$B666)&gt;$AL$3),0,1))</f>
        <v>0</v>
      </c>
      <c r="AM666">
        <f>N(AM665)+$AL666</f>
        <v>2</v>
      </c>
      <c r="AN666">
        <f>IF(对接源_01水果!$AC666="","",对接源_01水果!$AC666)</f>
      </c>
      <c r="AO666">
        <f>IF(AN666="",0,IF(MATCH(AN666,$AN$4:$AN$1203,0)=ROW()-3,1,0))</f>
        <v>0</v>
      </c>
      <c r="AP666">
        <f>N(AP665)+$AO666</f>
        <v>13</v>
      </c>
      <c r="AR666">
        <f>IF(OR($AF666=1,$AH666=1),1,0)</f>
        <v>0</v>
      </c>
      <c r="AS666">
        <f>N(AS665)+$AR666</f>
        <v>0</v>
      </c>
    </row>
    <row r="667" ht="14.25" customHeight="1" s="127">
      <c r="A667">
        <f>IF(对接源_01水果!$C667="","",对接源_01水果!$C667)</f>
      </c>
      <c r="B667">
        <f>IF(A667="",0,IF(MATCH(A667,$A$4:$A$2403,0)=ROW()-3,1,0))</f>
        <v>0</v>
      </c>
      <c r="C667">
        <f>N(C666)+B667</f>
        <v>22</v>
      </c>
      <c r="K667">
        <f>IF(OR($K$1="",对接源_01水果!$C667="",对接源_01水果!$C667&lt;&gt;$K$1,对接源_01水果!$B667=""),0,IF(OR(N(对接源_01水果!$B667)&lt;$K$2,N(对接源_01水果!$B667)&gt;$K$3),0,1))</f>
        <v>0</v>
      </c>
      <c r="L667">
        <f>IF(OR($L$1="",对接源_01水果!$C667="",对接源_01水果!$C667&lt;&gt;$L$1,对接源_01水果!$B667=""),0,IF(OR(N(对接源_01水果!$B667)&lt;$L$2,N(对接源_01水果!$B667)&gt;$L$3),0,1))</f>
        <v>0</v>
      </c>
      <c r="M667">
        <f>IF(OR($M$1="",对接源_01水果!$C667="",对接源_01水果!$C667&lt;&gt;$M$1,对接源_01水果!$B667=""),0,IF(OR(N(对接源_01水果!$B667)&lt;$M$2,N(对接源_01水果!$B667)&gt;$M$3),0,1))</f>
        <v>0</v>
      </c>
      <c r="N667">
        <f>IF(OR($N$1="",对接源_01水果!$C667="",对接源_01水果!$C667&lt;&gt;$N$1,对接源_01水果!$B667=""),0,IF(OR(N(对接源_01水果!$B667)&lt;$N$2,N(对接源_01水果!$B667)&gt;$N$3),0,1))</f>
        <v>0</v>
      </c>
      <c r="P667">
        <f>IF(AND($K667=1,AND(对接源_01水果!$X667="公司筐",N(对接源_01水果!$T667)&lt;&gt;0)),1,0)</f>
        <v>0</v>
      </c>
      <c r="Q667">
        <f>N(Q666)+$P667</f>
        <v>0</v>
      </c>
      <c r="R667">
        <f>IF(AND($K667=1,AND(对接源_01水果!$X667="公司筐",N(对接源_01水果!$U667)&lt;&gt;0)),1,0)</f>
        <v>0</v>
      </c>
      <c r="S667">
        <f>N(S666)+$R667</f>
        <v>0</v>
      </c>
      <c r="T667">
        <f>IF(AND($K667=1,AND(对接源_01水果!$X667="公司筐",N(对接源_01水果!$V667)&lt;&gt;0)),1,0)</f>
        <v>0</v>
      </c>
      <c r="U667">
        <f>N(U666)+$T667</f>
        <v>47</v>
      </c>
      <c r="V667">
        <f>IF(AND($L667=1,AND(对接源_01水果!$X667="自备筐",N(对接源_01水果!$V667)&lt;&gt;0)),1,0)</f>
        <v>0</v>
      </c>
      <c r="W667">
        <f>N(W666)+$V667</f>
        <v>11</v>
      </c>
      <c r="X667">
        <f>IF(AND($L667=1,AND(对接源_01水果!$X667="自备筐",N(对接源_01水果!$T667)&lt;&gt;0)),1,0)</f>
        <v>0</v>
      </c>
      <c r="Y667">
        <f>N(Y666)+$X667</f>
        <v>0</v>
      </c>
      <c r="Z667">
        <f>IF(AND($M667=1,对接源_01水果!$D667="原料入库"),1,0)</f>
        <v>0</v>
      </c>
      <c r="AA667">
        <f>N(AA666)+$Z667</f>
        <v>24</v>
      </c>
      <c r="AB667">
        <f>IF(AND($M667=1,LEFT(对接源_01水果!$D667,4)="原料出库"),1,0)</f>
        <v>0</v>
      </c>
      <c r="AC667">
        <f>N(AC666)+$AB667</f>
        <v>0</v>
      </c>
      <c r="AD667">
        <f>IF(AND($M667=1,LEFT(对接源_01水果!$D667,4)="成品出库"),1,0)</f>
        <v>0</v>
      </c>
      <c r="AE667">
        <f>N(AE666)+$AD667</f>
        <v>0</v>
      </c>
      <c r="AF667">
        <f>IF(AND($N667=1,AND(LEFT(对接源_01水果!$D667,4)="包装物料",N(对接源_01水果!$K667)&lt;&gt;0)),1,0)</f>
        <v>0</v>
      </c>
      <c r="AG667">
        <f>N(AG666)+$AF667</f>
        <v>0</v>
      </c>
      <c r="AH667">
        <f>IF(AND($N667=1,AND(对接源_01水果!$D667="周转筐－销售出库",N(对接源_01水果!$K667)&lt;&gt;0)),1,0)</f>
        <v>0</v>
      </c>
      <c r="AI667">
        <f>N(AI666)+$AH667</f>
        <v>0</v>
      </c>
      <c r="AJ667" s="7" t="n"/>
      <c r="AL667">
        <f>IF(OR($AL$1="",对接源_01水果!$Y667="",对接源_01水果!$Y667&lt;&gt;$AL$1,对接源_01水果!$B667="",N(对接源_01水果!$AJ667)&lt;=0),0,IF(OR(N(对接源_01水果!$B667)&lt;$AL$2,N(对接源_01水果!$B667)&gt;$AL$3),0,1))</f>
        <v>0</v>
      </c>
      <c r="AM667">
        <f>N(AM666)+$AL667</f>
        <v>2</v>
      </c>
      <c r="AN667">
        <f>IF(对接源_01水果!$AC667="","",对接源_01水果!$AC667)</f>
      </c>
      <c r="AO667">
        <f>IF(AN667="",0,IF(MATCH(AN667,$AN$4:$AN$1203,0)=ROW()-3,1,0))</f>
        <v>0</v>
      </c>
      <c r="AP667">
        <f>N(AP666)+$AO667</f>
        <v>13</v>
      </c>
      <c r="AR667">
        <f>IF(OR($AF667=1,$AH667=1),1,0)</f>
        <v>0</v>
      </c>
      <c r="AS667">
        <f>N(AS666)+$AR667</f>
        <v>0</v>
      </c>
    </row>
    <row r="668" ht="14.25" customHeight="1" s="127">
      <c r="A668">
        <f>IF(对接源_01水果!$C668="","",对接源_01水果!$C668)</f>
      </c>
      <c r="B668">
        <f>IF(A668="",0,IF(MATCH(A668,$A$4:$A$2403,0)=ROW()-3,1,0))</f>
        <v>0</v>
      </c>
      <c r="C668">
        <f>N(C667)+B668</f>
        <v>22</v>
      </c>
      <c r="K668">
        <f>IF(OR($K$1="",对接源_01水果!$C668="",对接源_01水果!$C668&lt;&gt;$K$1,对接源_01水果!$B668=""),0,IF(OR(N(对接源_01水果!$B668)&lt;$K$2,N(对接源_01水果!$B668)&gt;$K$3),0,1))</f>
        <v>0</v>
      </c>
      <c r="L668">
        <f>IF(OR($L$1="",对接源_01水果!$C668="",对接源_01水果!$C668&lt;&gt;$L$1,对接源_01水果!$B668=""),0,IF(OR(N(对接源_01水果!$B668)&lt;$L$2,N(对接源_01水果!$B668)&gt;$L$3),0,1))</f>
        <v>0</v>
      </c>
      <c r="M668">
        <f>IF(OR($M$1="",对接源_01水果!$C668="",对接源_01水果!$C668&lt;&gt;$M$1,对接源_01水果!$B668=""),0,IF(OR(N(对接源_01水果!$B668)&lt;$M$2,N(对接源_01水果!$B668)&gt;$M$3),0,1))</f>
        <v>0</v>
      </c>
      <c r="N668">
        <f>IF(OR($N$1="",对接源_01水果!$C668="",对接源_01水果!$C668&lt;&gt;$N$1,对接源_01水果!$B668=""),0,IF(OR(N(对接源_01水果!$B668)&lt;$N$2,N(对接源_01水果!$B668)&gt;$N$3),0,1))</f>
        <v>0</v>
      </c>
      <c r="P668">
        <f>IF(AND($K668=1,AND(对接源_01水果!$X668="公司筐",N(对接源_01水果!$T668)&lt;&gt;0)),1,0)</f>
        <v>0</v>
      </c>
      <c r="Q668">
        <f>N(Q667)+$P668</f>
        <v>0</v>
      </c>
      <c r="R668">
        <f>IF(AND($K668=1,AND(对接源_01水果!$X668="公司筐",N(对接源_01水果!$U668)&lt;&gt;0)),1,0)</f>
        <v>0</v>
      </c>
      <c r="S668">
        <f>N(S667)+$R668</f>
        <v>0</v>
      </c>
      <c r="T668">
        <f>IF(AND($K668=1,AND(对接源_01水果!$X668="公司筐",N(对接源_01水果!$V668)&lt;&gt;0)),1,0)</f>
        <v>0</v>
      </c>
      <c r="U668">
        <f>N(U667)+$T668</f>
        <v>47</v>
      </c>
      <c r="V668">
        <f>IF(AND($L668=1,AND(对接源_01水果!$X668="自备筐",N(对接源_01水果!$V668)&lt;&gt;0)),1,0)</f>
        <v>0</v>
      </c>
      <c r="W668">
        <f>N(W667)+$V668</f>
        <v>11</v>
      </c>
      <c r="X668">
        <f>IF(AND($L668=1,AND(对接源_01水果!$X668="自备筐",N(对接源_01水果!$T668)&lt;&gt;0)),1,0)</f>
        <v>0</v>
      </c>
      <c r="Y668">
        <f>N(Y667)+$X668</f>
        <v>0</v>
      </c>
      <c r="Z668">
        <f>IF(AND($M668=1,对接源_01水果!$D668="原料入库"),1,0)</f>
        <v>0</v>
      </c>
      <c r="AA668">
        <f>N(AA667)+$Z668</f>
        <v>24</v>
      </c>
      <c r="AB668">
        <f>IF(AND($M668=1,LEFT(对接源_01水果!$D668,4)="原料出库"),1,0)</f>
        <v>0</v>
      </c>
      <c r="AC668">
        <f>N(AC667)+$AB668</f>
        <v>0</v>
      </c>
      <c r="AD668">
        <f>IF(AND($M668=1,LEFT(对接源_01水果!$D668,4)="成品出库"),1,0)</f>
        <v>0</v>
      </c>
      <c r="AE668">
        <f>N(AE667)+$AD668</f>
        <v>0</v>
      </c>
      <c r="AF668">
        <f>IF(AND($N668=1,AND(LEFT(对接源_01水果!$D668,4)="包装物料",N(对接源_01水果!$K668)&lt;&gt;0)),1,0)</f>
        <v>0</v>
      </c>
      <c r="AG668">
        <f>N(AG667)+$AF668</f>
        <v>0</v>
      </c>
      <c r="AH668">
        <f>IF(AND($N668=1,AND(对接源_01水果!$D668="周转筐－销售出库",N(对接源_01水果!$K668)&lt;&gt;0)),1,0)</f>
        <v>0</v>
      </c>
      <c r="AI668">
        <f>N(AI667)+$AH668</f>
        <v>0</v>
      </c>
      <c r="AJ668" s="7" t="n"/>
      <c r="AL668">
        <f>IF(OR($AL$1="",对接源_01水果!$Y668="",对接源_01水果!$Y668&lt;&gt;$AL$1,对接源_01水果!$B668="",N(对接源_01水果!$AJ668)&lt;=0),0,IF(OR(N(对接源_01水果!$B668)&lt;$AL$2,N(对接源_01水果!$B668)&gt;$AL$3),0,1))</f>
        <v>0</v>
      </c>
      <c r="AM668">
        <f>N(AM667)+$AL668</f>
        <v>2</v>
      </c>
      <c r="AN668">
        <f>IF(对接源_01水果!$AC668="","",对接源_01水果!$AC668)</f>
      </c>
      <c r="AO668">
        <f>IF(AN668="",0,IF(MATCH(AN668,$AN$4:$AN$1203,0)=ROW()-3,1,0))</f>
        <v>0</v>
      </c>
      <c r="AP668">
        <f>N(AP667)+$AO668</f>
        <v>13</v>
      </c>
      <c r="AR668">
        <f>IF(OR($AF668=1,$AH668=1),1,0)</f>
        <v>0</v>
      </c>
      <c r="AS668">
        <f>N(AS667)+$AR668</f>
        <v>0</v>
      </c>
    </row>
    <row r="669" ht="14.25" customHeight="1" s="127">
      <c r="A669">
        <f>IF(对接源_01水果!$C669="","",对接源_01水果!$C669)</f>
      </c>
      <c r="B669">
        <f>IF(A669="",0,IF(MATCH(A669,$A$4:$A$2403,0)=ROW()-3,1,0))</f>
        <v>0</v>
      </c>
      <c r="C669">
        <f>N(C668)+B669</f>
        <v>22</v>
      </c>
      <c r="K669">
        <f>IF(OR($K$1="",对接源_01水果!$C669="",对接源_01水果!$C669&lt;&gt;$K$1,对接源_01水果!$B669=""),0,IF(OR(N(对接源_01水果!$B669)&lt;$K$2,N(对接源_01水果!$B669)&gt;$K$3),0,1))</f>
        <v>0</v>
      </c>
      <c r="L669">
        <f>IF(OR($L$1="",对接源_01水果!$C669="",对接源_01水果!$C669&lt;&gt;$L$1,对接源_01水果!$B669=""),0,IF(OR(N(对接源_01水果!$B669)&lt;$L$2,N(对接源_01水果!$B669)&gt;$L$3),0,1))</f>
        <v>0</v>
      </c>
      <c r="M669">
        <f>IF(OR($M$1="",对接源_01水果!$C669="",对接源_01水果!$C669&lt;&gt;$M$1,对接源_01水果!$B669=""),0,IF(OR(N(对接源_01水果!$B669)&lt;$M$2,N(对接源_01水果!$B669)&gt;$M$3),0,1))</f>
        <v>0</v>
      </c>
      <c r="N669">
        <f>IF(OR($N$1="",对接源_01水果!$C669="",对接源_01水果!$C669&lt;&gt;$N$1,对接源_01水果!$B669=""),0,IF(OR(N(对接源_01水果!$B669)&lt;$N$2,N(对接源_01水果!$B669)&gt;$N$3),0,1))</f>
        <v>0</v>
      </c>
      <c r="P669">
        <f>IF(AND($K669=1,AND(对接源_01水果!$X669="公司筐",N(对接源_01水果!$T669)&lt;&gt;0)),1,0)</f>
        <v>0</v>
      </c>
      <c r="Q669">
        <f>N(Q668)+$P669</f>
        <v>0</v>
      </c>
      <c r="R669">
        <f>IF(AND($K669=1,AND(对接源_01水果!$X669="公司筐",N(对接源_01水果!$U669)&lt;&gt;0)),1,0)</f>
        <v>0</v>
      </c>
      <c r="S669">
        <f>N(S668)+$R669</f>
        <v>0</v>
      </c>
      <c r="T669">
        <f>IF(AND($K669=1,AND(对接源_01水果!$X669="公司筐",N(对接源_01水果!$V669)&lt;&gt;0)),1,0)</f>
        <v>0</v>
      </c>
      <c r="U669">
        <f>N(U668)+$T669</f>
        <v>47</v>
      </c>
      <c r="V669">
        <f>IF(AND($L669=1,AND(对接源_01水果!$X669="自备筐",N(对接源_01水果!$V669)&lt;&gt;0)),1,0)</f>
        <v>0</v>
      </c>
      <c r="W669">
        <f>N(W668)+$V669</f>
        <v>11</v>
      </c>
      <c r="X669">
        <f>IF(AND($L669=1,AND(对接源_01水果!$X669="自备筐",N(对接源_01水果!$T669)&lt;&gt;0)),1,0)</f>
        <v>0</v>
      </c>
      <c r="Y669">
        <f>N(Y668)+$X669</f>
        <v>0</v>
      </c>
      <c r="Z669">
        <f>IF(AND($M669=1,对接源_01水果!$D669="原料入库"),1,0)</f>
        <v>0</v>
      </c>
      <c r="AA669">
        <f>N(AA668)+$Z669</f>
        <v>24</v>
      </c>
      <c r="AB669">
        <f>IF(AND($M669=1,LEFT(对接源_01水果!$D669,4)="原料出库"),1,0)</f>
        <v>0</v>
      </c>
      <c r="AC669">
        <f>N(AC668)+$AB669</f>
        <v>0</v>
      </c>
      <c r="AD669">
        <f>IF(AND($M669=1,LEFT(对接源_01水果!$D669,4)="成品出库"),1,0)</f>
        <v>0</v>
      </c>
      <c r="AE669">
        <f>N(AE668)+$AD669</f>
        <v>0</v>
      </c>
      <c r="AF669">
        <f>IF(AND($N669=1,AND(LEFT(对接源_01水果!$D669,4)="包装物料",N(对接源_01水果!$K669)&lt;&gt;0)),1,0)</f>
        <v>0</v>
      </c>
      <c r="AG669">
        <f>N(AG668)+$AF669</f>
        <v>0</v>
      </c>
      <c r="AH669">
        <f>IF(AND($N669=1,AND(对接源_01水果!$D669="周转筐－销售出库",N(对接源_01水果!$K669)&lt;&gt;0)),1,0)</f>
        <v>0</v>
      </c>
      <c r="AI669">
        <f>N(AI668)+$AH669</f>
        <v>0</v>
      </c>
      <c r="AJ669" s="7" t="n"/>
      <c r="AL669">
        <f>IF(OR($AL$1="",对接源_01水果!$Y669="",对接源_01水果!$Y669&lt;&gt;$AL$1,对接源_01水果!$B669="",N(对接源_01水果!$AJ669)&lt;=0),0,IF(OR(N(对接源_01水果!$B669)&lt;$AL$2,N(对接源_01水果!$B669)&gt;$AL$3),0,1))</f>
        <v>0</v>
      </c>
      <c r="AM669">
        <f>N(AM668)+$AL669</f>
        <v>2</v>
      </c>
      <c r="AN669">
        <f>IF(对接源_01水果!$AC669="","",对接源_01水果!$AC669)</f>
      </c>
      <c r="AO669">
        <f>IF(AN669="",0,IF(MATCH(AN669,$AN$4:$AN$1203,0)=ROW()-3,1,0))</f>
        <v>0</v>
      </c>
      <c r="AP669">
        <f>N(AP668)+$AO669</f>
        <v>13</v>
      </c>
      <c r="AR669">
        <f>IF(OR($AF669=1,$AH669=1),1,0)</f>
        <v>0</v>
      </c>
      <c r="AS669">
        <f>N(AS668)+$AR669</f>
        <v>0</v>
      </c>
    </row>
    <row r="670" ht="14.25" customHeight="1" s="127">
      <c r="A670">
        <f>IF(对接源_01水果!$C670="","",对接源_01水果!$C670)</f>
      </c>
      <c r="B670">
        <f>IF(A670="",0,IF(MATCH(A670,$A$4:$A$2403,0)=ROW()-3,1,0))</f>
        <v>0</v>
      </c>
      <c r="C670">
        <f>N(C669)+B670</f>
        <v>22</v>
      </c>
      <c r="K670">
        <f>IF(OR($K$1="",对接源_01水果!$C670="",对接源_01水果!$C670&lt;&gt;$K$1,对接源_01水果!$B670=""),0,IF(OR(N(对接源_01水果!$B670)&lt;$K$2,N(对接源_01水果!$B670)&gt;$K$3),0,1))</f>
        <v>0</v>
      </c>
      <c r="L670">
        <f>IF(OR($L$1="",对接源_01水果!$C670="",对接源_01水果!$C670&lt;&gt;$L$1,对接源_01水果!$B670=""),0,IF(OR(N(对接源_01水果!$B670)&lt;$L$2,N(对接源_01水果!$B670)&gt;$L$3),0,1))</f>
        <v>0</v>
      </c>
      <c r="M670">
        <f>IF(OR($M$1="",对接源_01水果!$C670="",对接源_01水果!$C670&lt;&gt;$M$1,对接源_01水果!$B670=""),0,IF(OR(N(对接源_01水果!$B670)&lt;$M$2,N(对接源_01水果!$B670)&gt;$M$3),0,1))</f>
        <v>0</v>
      </c>
      <c r="N670">
        <f>IF(OR($N$1="",对接源_01水果!$C670="",对接源_01水果!$C670&lt;&gt;$N$1,对接源_01水果!$B670=""),0,IF(OR(N(对接源_01水果!$B670)&lt;$N$2,N(对接源_01水果!$B670)&gt;$N$3),0,1))</f>
        <v>0</v>
      </c>
      <c r="P670">
        <f>IF(AND($K670=1,AND(对接源_01水果!$X670="公司筐",N(对接源_01水果!$T670)&lt;&gt;0)),1,0)</f>
        <v>0</v>
      </c>
      <c r="Q670">
        <f>N(Q669)+$P670</f>
        <v>0</v>
      </c>
      <c r="R670">
        <f>IF(AND($K670=1,AND(对接源_01水果!$X670="公司筐",N(对接源_01水果!$U670)&lt;&gt;0)),1,0)</f>
        <v>0</v>
      </c>
      <c r="S670">
        <f>N(S669)+$R670</f>
        <v>0</v>
      </c>
      <c r="T670">
        <f>IF(AND($K670=1,AND(对接源_01水果!$X670="公司筐",N(对接源_01水果!$V670)&lt;&gt;0)),1,0)</f>
        <v>0</v>
      </c>
      <c r="U670">
        <f>N(U669)+$T670</f>
        <v>47</v>
      </c>
      <c r="V670">
        <f>IF(AND($L670=1,AND(对接源_01水果!$X670="自备筐",N(对接源_01水果!$V670)&lt;&gt;0)),1,0)</f>
        <v>0</v>
      </c>
      <c r="W670">
        <f>N(W669)+$V670</f>
        <v>11</v>
      </c>
      <c r="X670">
        <f>IF(AND($L670=1,AND(对接源_01水果!$X670="自备筐",N(对接源_01水果!$T670)&lt;&gt;0)),1,0)</f>
        <v>0</v>
      </c>
      <c r="Y670">
        <f>N(Y669)+$X670</f>
        <v>0</v>
      </c>
      <c r="Z670">
        <f>IF(AND($M670=1,对接源_01水果!$D670="原料入库"),1,0)</f>
        <v>0</v>
      </c>
      <c r="AA670">
        <f>N(AA669)+$Z670</f>
        <v>24</v>
      </c>
      <c r="AB670">
        <f>IF(AND($M670=1,LEFT(对接源_01水果!$D670,4)="原料出库"),1,0)</f>
        <v>0</v>
      </c>
      <c r="AC670">
        <f>N(AC669)+$AB670</f>
        <v>0</v>
      </c>
      <c r="AD670">
        <f>IF(AND($M670=1,LEFT(对接源_01水果!$D670,4)="成品出库"),1,0)</f>
        <v>0</v>
      </c>
      <c r="AE670">
        <f>N(AE669)+$AD670</f>
        <v>0</v>
      </c>
      <c r="AF670">
        <f>IF(AND($N670=1,AND(LEFT(对接源_01水果!$D670,4)="包装物料",N(对接源_01水果!$K670)&lt;&gt;0)),1,0)</f>
        <v>0</v>
      </c>
      <c r="AG670">
        <f>N(AG669)+$AF670</f>
        <v>0</v>
      </c>
      <c r="AH670">
        <f>IF(AND($N670=1,AND(对接源_01水果!$D670="周转筐－销售出库",N(对接源_01水果!$K670)&lt;&gt;0)),1,0)</f>
        <v>0</v>
      </c>
      <c r="AI670">
        <f>N(AI669)+$AH670</f>
        <v>0</v>
      </c>
      <c r="AJ670" s="7" t="n"/>
      <c r="AL670">
        <f>IF(OR($AL$1="",对接源_01水果!$Y670="",对接源_01水果!$Y670&lt;&gt;$AL$1,对接源_01水果!$B670="",N(对接源_01水果!$AJ670)&lt;=0),0,IF(OR(N(对接源_01水果!$B670)&lt;$AL$2,N(对接源_01水果!$B670)&gt;$AL$3),0,1))</f>
        <v>0</v>
      </c>
      <c r="AM670">
        <f>N(AM669)+$AL670</f>
        <v>2</v>
      </c>
      <c r="AN670">
        <f>IF(对接源_01水果!$AC670="","",对接源_01水果!$AC670)</f>
      </c>
      <c r="AO670">
        <f>IF(AN670="",0,IF(MATCH(AN670,$AN$4:$AN$1203,0)=ROW()-3,1,0))</f>
        <v>0</v>
      </c>
      <c r="AP670">
        <f>N(AP669)+$AO670</f>
        <v>13</v>
      </c>
      <c r="AR670">
        <f>IF(OR($AF670=1,$AH670=1),1,0)</f>
        <v>0</v>
      </c>
      <c r="AS670">
        <f>N(AS669)+$AR670</f>
        <v>0</v>
      </c>
    </row>
    <row r="671" ht="14.25" customHeight="1" s="127">
      <c r="A671">
        <f>IF(对接源_01水果!$C671="","",对接源_01水果!$C671)</f>
      </c>
      <c r="B671">
        <f>IF(A671="",0,IF(MATCH(A671,$A$4:$A$2403,0)=ROW()-3,1,0))</f>
        <v>0</v>
      </c>
      <c r="C671">
        <f>N(C670)+B671</f>
        <v>22</v>
      </c>
      <c r="K671">
        <f>IF(OR($K$1="",对接源_01水果!$C671="",对接源_01水果!$C671&lt;&gt;$K$1,对接源_01水果!$B671=""),0,IF(OR(N(对接源_01水果!$B671)&lt;$K$2,N(对接源_01水果!$B671)&gt;$K$3),0,1))</f>
        <v>0</v>
      </c>
      <c r="L671">
        <f>IF(OR($L$1="",对接源_01水果!$C671="",对接源_01水果!$C671&lt;&gt;$L$1,对接源_01水果!$B671=""),0,IF(OR(N(对接源_01水果!$B671)&lt;$L$2,N(对接源_01水果!$B671)&gt;$L$3),0,1))</f>
        <v>0</v>
      </c>
      <c r="M671">
        <f>IF(OR($M$1="",对接源_01水果!$C671="",对接源_01水果!$C671&lt;&gt;$M$1,对接源_01水果!$B671=""),0,IF(OR(N(对接源_01水果!$B671)&lt;$M$2,N(对接源_01水果!$B671)&gt;$M$3),0,1))</f>
        <v>0</v>
      </c>
      <c r="N671">
        <f>IF(OR($N$1="",对接源_01水果!$C671="",对接源_01水果!$C671&lt;&gt;$N$1,对接源_01水果!$B671=""),0,IF(OR(N(对接源_01水果!$B671)&lt;$N$2,N(对接源_01水果!$B671)&gt;$N$3),0,1))</f>
        <v>0</v>
      </c>
      <c r="P671">
        <f>IF(AND($K671=1,AND(对接源_01水果!$X671="公司筐",N(对接源_01水果!$T671)&lt;&gt;0)),1,0)</f>
        <v>0</v>
      </c>
      <c r="Q671">
        <f>N(Q670)+$P671</f>
        <v>0</v>
      </c>
      <c r="R671">
        <f>IF(AND($K671=1,AND(对接源_01水果!$X671="公司筐",N(对接源_01水果!$U671)&lt;&gt;0)),1,0)</f>
        <v>0</v>
      </c>
      <c r="S671">
        <f>N(S670)+$R671</f>
        <v>0</v>
      </c>
      <c r="T671">
        <f>IF(AND($K671=1,AND(对接源_01水果!$X671="公司筐",N(对接源_01水果!$V671)&lt;&gt;0)),1,0)</f>
        <v>0</v>
      </c>
      <c r="U671">
        <f>N(U670)+$T671</f>
        <v>47</v>
      </c>
      <c r="V671">
        <f>IF(AND($L671=1,AND(对接源_01水果!$X671="自备筐",N(对接源_01水果!$V671)&lt;&gt;0)),1,0)</f>
        <v>0</v>
      </c>
      <c r="W671">
        <f>N(W670)+$V671</f>
        <v>11</v>
      </c>
      <c r="X671">
        <f>IF(AND($L671=1,AND(对接源_01水果!$X671="自备筐",N(对接源_01水果!$T671)&lt;&gt;0)),1,0)</f>
        <v>0</v>
      </c>
      <c r="Y671">
        <f>N(Y670)+$X671</f>
        <v>0</v>
      </c>
      <c r="Z671">
        <f>IF(AND($M671=1,对接源_01水果!$D671="原料入库"),1,0)</f>
        <v>0</v>
      </c>
      <c r="AA671">
        <f>N(AA670)+$Z671</f>
        <v>24</v>
      </c>
      <c r="AB671">
        <f>IF(AND($M671=1,LEFT(对接源_01水果!$D671,4)="原料出库"),1,0)</f>
        <v>0</v>
      </c>
      <c r="AC671">
        <f>N(AC670)+$AB671</f>
        <v>0</v>
      </c>
      <c r="AD671">
        <f>IF(AND($M671=1,LEFT(对接源_01水果!$D671,4)="成品出库"),1,0)</f>
        <v>0</v>
      </c>
      <c r="AE671">
        <f>N(AE670)+$AD671</f>
        <v>0</v>
      </c>
      <c r="AF671">
        <f>IF(AND($N671=1,AND(LEFT(对接源_01水果!$D671,4)="包装物料",N(对接源_01水果!$K671)&lt;&gt;0)),1,0)</f>
        <v>0</v>
      </c>
      <c r="AG671">
        <f>N(AG670)+$AF671</f>
        <v>0</v>
      </c>
      <c r="AH671">
        <f>IF(AND($N671=1,AND(对接源_01水果!$D671="周转筐－销售出库",N(对接源_01水果!$K671)&lt;&gt;0)),1,0)</f>
        <v>0</v>
      </c>
      <c r="AI671">
        <f>N(AI670)+$AH671</f>
        <v>0</v>
      </c>
      <c r="AJ671" s="7" t="n"/>
      <c r="AL671">
        <f>IF(OR($AL$1="",对接源_01水果!$Y671="",对接源_01水果!$Y671&lt;&gt;$AL$1,对接源_01水果!$B671="",N(对接源_01水果!$AJ671)&lt;=0),0,IF(OR(N(对接源_01水果!$B671)&lt;$AL$2,N(对接源_01水果!$B671)&gt;$AL$3),0,1))</f>
        <v>0</v>
      </c>
      <c r="AM671">
        <f>N(AM670)+$AL671</f>
        <v>2</v>
      </c>
      <c r="AN671">
        <f>IF(对接源_01水果!$AC671="","",对接源_01水果!$AC671)</f>
      </c>
      <c r="AO671">
        <f>IF(AN671="",0,IF(MATCH(AN671,$AN$4:$AN$1203,0)=ROW()-3,1,0))</f>
        <v>0</v>
      </c>
      <c r="AP671">
        <f>N(AP670)+$AO671</f>
        <v>13</v>
      </c>
      <c r="AR671">
        <f>IF(OR($AF671=1,$AH671=1),1,0)</f>
        <v>0</v>
      </c>
      <c r="AS671">
        <f>N(AS670)+$AR671</f>
        <v>0</v>
      </c>
    </row>
    <row r="672" ht="14.25" customHeight="1" s="127">
      <c r="A672">
        <f>IF(对接源_01水果!$C672="","",对接源_01水果!$C672)</f>
      </c>
      <c r="B672">
        <f>IF(A672="",0,IF(MATCH(A672,$A$4:$A$2403,0)=ROW()-3,1,0))</f>
        <v>0</v>
      </c>
      <c r="C672">
        <f>N(C671)+B672</f>
        <v>22</v>
      </c>
      <c r="K672">
        <f>IF(OR($K$1="",对接源_01水果!$C672="",对接源_01水果!$C672&lt;&gt;$K$1,对接源_01水果!$B672=""),0,IF(OR(N(对接源_01水果!$B672)&lt;$K$2,N(对接源_01水果!$B672)&gt;$K$3),0,1))</f>
        <v>0</v>
      </c>
      <c r="L672">
        <f>IF(OR($L$1="",对接源_01水果!$C672="",对接源_01水果!$C672&lt;&gt;$L$1,对接源_01水果!$B672=""),0,IF(OR(N(对接源_01水果!$B672)&lt;$L$2,N(对接源_01水果!$B672)&gt;$L$3),0,1))</f>
        <v>0</v>
      </c>
      <c r="M672">
        <f>IF(OR($M$1="",对接源_01水果!$C672="",对接源_01水果!$C672&lt;&gt;$M$1,对接源_01水果!$B672=""),0,IF(OR(N(对接源_01水果!$B672)&lt;$M$2,N(对接源_01水果!$B672)&gt;$M$3),0,1))</f>
        <v>0</v>
      </c>
      <c r="N672">
        <f>IF(OR($N$1="",对接源_01水果!$C672="",对接源_01水果!$C672&lt;&gt;$N$1,对接源_01水果!$B672=""),0,IF(OR(N(对接源_01水果!$B672)&lt;$N$2,N(对接源_01水果!$B672)&gt;$N$3),0,1))</f>
        <v>0</v>
      </c>
      <c r="P672">
        <f>IF(AND($K672=1,AND(对接源_01水果!$X672="公司筐",N(对接源_01水果!$T672)&lt;&gt;0)),1,0)</f>
        <v>0</v>
      </c>
      <c r="Q672">
        <f>N(Q671)+$P672</f>
        <v>0</v>
      </c>
      <c r="R672">
        <f>IF(AND($K672=1,AND(对接源_01水果!$X672="公司筐",N(对接源_01水果!$U672)&lt;&gt;0)),1,0)</f>
        <v>0</v>
      </c>
      <c r="S672">
        <f>N(S671)+$R672</f>
        <v>0</v>
      </c>
      <c r="T672">
        <f>IF(AND($K672=1,AND(对接源_01水果!$X672="公司筐",N(对接源_01水果!$V672)&lt;&gt;0)),1,0)</f>
        <v>0</v>
      </c>
      <c r="U672">
        <f>N(U671)+$T672</f>
        <v>47</v>
      </c>
      <c r="V672">
        <f>IF(AND($L672=1,AND(对接源_01水果!$X672="自备筐",N(对接源_01水果!$V672)&lt;&gt;0)),1,0)</f>
        <v>0</v>
      </c>
      <c r="W672">
        <f>N(W671)+$V672</f>
        <v>11</v>
      </c>
      <c r="X672">
        <f>IF(AND($L672=1,AND(对接源_01水果!$X672="自备筐",N(对接源_01水果!$T672)&lt;&gt;0)),1,0)</f>
        <v>0</v>
      </c>
      <c r="Y672">
        <f>N(Y671)+$X672</f>
        <v>0</v>
      </c>
      <c r="Z672">
        <f>IF(AND($M672=1,对接源_01水果!$D672="原料入库"),1,0)</f>
        <v>0</v>
      </c>
      <c r="AA672">
        <f>N(AA671)+$Z672</f>
        <v>24</v>
      </c>
      <c r="AB672">
        <f>IF(AND($M672=1,LEFT(对接源_01水果!$D672,4)="原料出库"),1,0)</f>
        <v>0</v>
      </c>
      <c r="AC672">
        <f>N(AC671)+$AB672</f>
        <v>0</v>
      </c>
      <c r="AD672">
        <f>IF(AND($M672=1,LEFT(对接源_01水果!$D672,4)="成品出库"),1,0)</f>
        <v>0</v>
      </c>
      <c r="AE672">
        <f>N(AE671)+$AD672</f>
        <v>0</v>
      </c>
      <c r="AF672">
        <f>IF(AND($N672=1,AND(LEFT(对接源_01水果!$D672,4)="包装物料",N(对接源_01水果!$K672)&lt;&gt;0)),1,0)</f>
        <v>0</v>
      </c>
      <c r="AG672">
        <f>N(AG671)+$AF672</f>
        <v>0</v>
      </c>
      <c r="AH672">
        <f>IF(AND($N672=1,AND(对接源_01水果!$D672="周转筐－销售出库",N(对接源_01水果!$K672)&lt;&gt;0)),1,0)</f>
        <v>0</v>
      </c>
      <c r="AI672">
        <f>N(AI671)+$AH672</f>
        <v>0</v>
      </c>
      <c r="AJ672" s="7" t="n"/>
      <c r="AL672">
        <f>IF(OR($AL$1="",对接源_01水果!$Y672="",对接源_01水果!$Y672&lt;&gt;$AL$1,对接源_01水果!$B672="",N(对接源_01水果!$AJ672)&lt;=0),0,IF(OR(N(对接源_01水果!$B672)&lt;$AL$2,N(对接源_01水果!$B672)&gt;$AL$3),0,1))</f>
        <v>0</v>
      </c>
      <c r="AM672">
        <f>N(AM671)+$AL672</f>
        <v>2</v>
      </c>
      <c r="AN672">
        <f>IF(对接源_01水果!$AC672="","",对接源_01水果!$AC672)</f>
      </c>
      <c r="AO672">
        <f>IF(AN672="",0,IF(MATCH(AN672,$AN$4:$AN$1203,0)=ROW()-3,1,0))</f>
        <v>0</v>
      </c>
      <c r="AP672">
        <f>N(AP671)+$AO672</f>
        <v>13</v>
      </c>
      <c r="AR672">
        <f>IF(OR($AF672=1,$AH672=1),1,0)</f>
        <v>0</v>
      </c>
      <c r="AS672">
        <f>N(AS671)+$AR672</f>
        <v>0</v>
      </c>
    </row>
    <row r="673" ht="14.25" customHeight="1" s="127">
      <c r="A673">
        <f>IF(对接源_01水果!$C673="","",对接源_01水果!$C673)</f>
      </c>
      <c r="B673">
        <f>IF(A673="",0,IF(MATCH(A673,$A$4:$A$2403,0)=ROW()-3,1,0))</f>
        <v>0</v>
      </c>
      <c r="C673">
        <f>N(C672)+B673</f>
        <v>22</v>
      </c>
      <c r="K673">
        <f>IF(OR($K$1="",对接源_01水果!$C673="",对接源_01水果!$C673&lt;&gt;$K$1,对接源_01水果!$B673=""),0,IF(OR(N(对接源_01水果!$B673)&lt;$K$2,N(对接源_01水果!$B673)&gt;$K$3),0,1))</f>
        <v>0</v>
      </c>
      <c r="L673">
        <f>IF(OR($L$1="",对接源_01水果!$C673="",对接源_01水果!$C673&lt;&gt;$L$1,对接源_01水果!$B673=""),0,IF(OR(N(对接源_01水果!$B673)&lt;$L$2,N(对接源_01水果!$B673)&gt;$L$3),0,1))</f>
        <v>0</v>
      </c>
      <c r="M673">
        <f>IF(OR($M$1="",对接源_01水果!$C673="",对接源_01水果!$C673&lt;&gt;$M$1,对接源_01水果!$B673=""),0,IF(OR(N(对接源_01水果!$B673)&lt;$M$2,N(对接源_01水果!$B673)&gt;$M$3),0,1))</f>
        <v>0</v>
      </c>
      <c r="N673">
        <f>IF(OR($N$1="",对接源_01水果!$C673="",对接源_01水果!$C673&lt;&gt;$N$1,对接源_01水果!$B673=""),0,IF(OR(N(对接源_01水果!$B673)&lt;$N$2,N(对接源_01水果!$B673)&gt;$N$3),0,1))</f>
        <v>0</v>
      </c>
      <c r="P673">
        <f>IF(AND($K673=1,AND(对接源_01水果!$X673="公司筐",N(对接源_01水果!$T673)&lt;&gt;0)),1,0)</f>
        <v>0</v>
      </c>
      <c r="Q673">
        <f>N(Q672)+$P673</f>
        <v>0</v>
      </c>
      <c r="R673">
        <f>IF(AND($K673=1,AND(对接源_01水果!$X673="公司筐",N(对接源_01水果!$U673)&lt;&gt;0)),1,0)</f>
        <v>0</v>
      </c>
      <c r="S673">
        <f>N(S672)+$R673</f>
        <v>0</v>
      </c>
      <c r="T673">
        <f>IF(AND($K673=1,AND(对接源_01水果!$X673="公司筐",N(对接源_01水果!$V673)&lt;&gt;0)),1,0)</f>
        <v>0</v>
      </c>
      <c r="U673">
        <f>N(U672)+$T673</f>
        <v>47</v>
      </c>
      <c r="V673">
        <f>IF(AND($L673=1,AND(对接源_01水果!$X673="自备筐",N(对接源_01水果!$V673)&lt;&gt;0)),1,0)</f>
        <v>0</v>
      </c>
      <c r="W673">
        <f>N(W672)+$V673</f>
        <v>11</v>
      </c>
      <c r="X673">
        <f>IF(AND($L673=1,AND(对接源_01水果!$X673="自备筐",N(对接源_01水果!$T673)&lt;&gt;0)),1,0)</f>
        <v>0</v>
      </c>
      <c r="Y673">
        <f>N(Y672)+$X673</f>
        <v>0</v>
      </c>
      <c r="Z673">
        <f>IF(AND($M673=1,对接源_01水果!$D673="原料入库"),1,0)</f>
        <v>0</v>
      </c>
      <c r="AA673">
        <f>N(AA672)+$Z673</f>
        <v>24</v>
      </c>
      <c r="AB673">
        <f>IF(AND($M673=1,LEFT(对接源_01水果!$D673,4)="原料出库"),1,0)</f>
        <v>0</v>
      </c>
      <c r="AC673">
        <f>N(AC672)+$AB673</f>
        <v>0</v>
      </c>
      <c r="AD673">
        <f>IF(AND($M673=1,LEFT(对接源_01水果!$D673,4)="成品出库"),1,0)</f>
        <v>0</v>
      </c>
      <c r="AE673">
        <f>N(AE672)+$AD673</f>
        <v>0</v>
      </c>
      <c r="AF673">
        <f>IF(AND($N673=1,AND(LEFT(对接源_01水果!$D673,4)="包装物料",N(对接源_01水果!$K673)&lt;&gt;0)),1,0)</f>
        <v>0</v>
      </c>
      <c r="AG673">
        <f>N(AG672)+$AF673</f>
        <v>0</v>
      </c>
      <c r="AH673">
        <f>IF(AND($N673=1,AND(对接源_01水果!$D673="周转筐－销售出库",N(对接源_01水果!$K673)&lt;&gt;0)),1,0)</f>
        <v>0</v>
      </c>
      <c r="AI673">
        <f>N(AI672)+$AH673</f>
        <v>0</v>
      </c>
      <c r="AJ673" s="7" t="n"/>
      <c r="AL673">
        <f>IF(OR($AL$1="",对接源_01水果!$Y673="",对接源_01水果!$Y673&lt;&gt;$AL$1,对接源_01水果!$B673="",N(对接源_01水果!$AJ673)&lt;=0),0,IF(OR(N(对接源_01水果!$B673)&lt;$AL$2,N(对接源_01水果!$B673)&gt;$AL$3),0,1))</f>
        <v>0</v>
      </c>
      <c r="AM673">
        <f>N(AM672)+$AL673</f>
        <v>2</v>
      </c>
      <c r="AN673">
        <f>IF(对接源_01水果!$AC673="","",对接源_01水果!$AC673)</f>
      </c>
      <c r="AO673">
        <f>IF(AN673="",0,IF(MATCH(AN673,$AN$4:$AN$1203,0)=ROW()-3,1,0))</f>
        <v>0</v>
      </c>
      <c r="AP673">
        <f>N(AP672)+$AO673</f>
        <v>13</v>
      </c>
      <c r="AR673">
        <f>IF(OR($AF673=1,$AH673=1),1,0)</f>
        <v>0</v>
      </c>
      <c r="AS673">
        <f>N(AS672)+$AR673</f>
        <v>0</v>
      </c>
    </row>
    <row r="674" ht="14.25" customHeight="1" s="127">
      <c r="A674">
        <f>IF(对接源_01水果!$C674="","",对接源_01水果!$C674)</f>
      </c>
      <c r="B674">
        <f>IF(A674="",0,IF(MATCH(A674,$A$4:$A$2403,0)=ROW()-3,1,0))</f>
        <v>0</v>
      </c>
      <c r="C674">
        <f>N(C673)+B674</f>
        <v>22</v>
      </c>
      <c r="K674">
        <f>IF(OR($K$1="",对接源_01水果!$C674="",对接源_01水果!$C674&lt;&gt;$K$1,对接源_01水果!$B674=""),0,IF(OR(N(对接源_01水果!$B674)&lt;$K$2,N(对接源_01水果!$B674)&gt;$K$3),0,1))</f>
        <v>0</v>
      </c>
      <c r="L674">
        <f>IF(OR($L$1="",对接源_01水果!$C674="",对接源_01水果!$C674&lt;&gt;$L$1,对接源_01水果!$B674=""),0,IF(OR(N(对接源_01水果!$B674)&lt;$L$2,N(对接源_01水果!$B674)&gt;$L$3),0,1))</f>
        <v>0</v>
      </c>
      <c r="M674">
        <f>IF(OR($M$1="",对接源_01水果!$C674="",对接源_01水果!$C674&lt;&gt;$M$1,对接源_01水果!$B674=""),0,IF(OR(N(对接源_01水果!$B674)&lt;$M$2,N(对接源_01水果!$B674)&gt;$M$3),0,1))</f>
        <v>0</v>
      </c>
      <c r="N674">
        <f>IF(OR($N$1="",对接源_01水果!$C674="",对接源_01水果!$C674&lt;&gt;$N$1,对接源_01水果!$B674=""),0,IF(OR(N(对接源_01水果!$B674)&lt;$N$2,N(对接源_01水果!$B674)&gt;$N$3),0,1))</f>
        <v>0</v>
      </c>
      <c r="P674">
        <f>IF(AND($K674=1,AND(对接源_01水果!$X674="公司筐",N(对接源_01水果!$T674)&lt;&gt;0)),1,0)</f>
        <v>0</v>
      </c>
      <c r="Q674">
        <f>N(Q673)+$P674</f>
        <v>0</v>
      </c>
      <c r="R674">
        <f>IF(AND($K674=1,AND(对接源_01水果!$X674="公司筐",N(对接源_01水果!$U674)&lt;&gt;0)),1,0)</f>
        <v>0</v>
      </c>
      <c r="S674">
        <f>N(S673)+$R674</f>
        <v>0</v>
      </c>
      <c r="T674">
        <f>IF(AND($K674=1,AND(对接源_01水果!$X674="公司筐",N(对接源_01水果!$V674)&lt;&gt;0)),1,0)</f>
        <v>0</v>
      </c>
      <c r="U674">
        <f>N(U673)+$T674</f>
        <v>47</v>
      </c>
      <c r="V674">
        <f>IF(AND($L674=1,AND(对接源_01水果!$X674="自备筐",N(对接源_01水果!$V674)&lt;&gt;0)),1,0)</f>
        <v>0</v>
      </c>
      <c r="W674">
        <f>N(W673)+$V674</f>
        <v>11</v>
      </c>
      <c r="X674">
        <f>IF(AND($L674=1,AND(对接源_01水果!$X674="自备筐",N(对接源_01水果!$T674)&lt;&gt;0)),1,0)</f>
        <v>0</v>
      </c>
      <c r="Y674">
        <f>N(Y673)+$X674</f>
        <v>0</v>
      </c>
      <c r="Z674">
        <f>IF(AND($M674=1,对接源_01水果!$D674="原料入库"),1,0)</f>
        <v>0</v>
      </c>
      <c r="AA674">
        <f>N(AA673)+$Z674</f>
        <v>24</v>
      </c>
      <c r="AB674">
        <f>IF(AND($M674=1,LEFT(对接源_01水果!$D674,4)="原料出库"),1,0)</f>
        <v>0</v>
      </c>
      <c r="AC674">
        <f>N(AC673)+$AB674</f>
        <v>0</v>
      </c>
      <c r="AD674">
        <f>IF(AND($M674=1,LEFT(对接源_01水果!$D674,4)="成品出库"),1,0)</f>
        <v>0</v>
      </c>
      <c r="AE674">
        <f>N(AE673)+$AD674</f>
        <v>0</v>
      </c>
      <c r="AF674">
        <f>IF(AND($N674=1,AND(LEFT(对接源_01水果!$D674,4)="包装物料",N(对接源_01水果!$K674)&lt;&gt;0)),1,0)</f>
        <v>0</v>
      </c>
      <c r="AG674">
        <f>N(AG673)+$AF674</f>
        <v>0</v>
      </c>
      <c r="AH674">
        <f>IF(AND($N674=1,AND(对接源_01水果!$D674="周转筐－销售出库",N(对接源_01水果!$K674)&lt;&gt;0)),1,0)</f>
        <v>0</v>
      </c>
      <c r="AI674">
        <f>N(AI673)+$AH674</f>
        <v>0</v>
      </c>
      <c r="AJ674" s="7" t="n"/>
      <c r="AL674">
        <f>IF(OR($AL$1="",对接源_01水果!$Y674="",对接源_01水果!$Y674&lt;&gt;$AL$1,对接源_01水果!$B674="",N(对接源_01水果!$AJ674)&lt;=0),0,IF(OR(N(对接源_01水果!$B674)&lt;$AL$2,N(对接源_01水果!$B674)&gt;$AL$3),0,1))</f>
        <v>0</v>
      </c>
      <c r="AM674">
        <f>N(AM673)+$AL674</f>
        <v>2</v>
      </c>
      <c r="AN674">
        <f>IF(对接源_01水果!$AC674="","",对接源_01水果!$AC674)</f>
      </c>
      <c r="AO674">
        <f>IF(AN674="",0,IF(MATCH(AN674,$AN$4:$AN$1203,0)=ROW()-3,1,0))</f>
        <v>0</v>
      </c>
      <c r="AP674">
        <f>N(AP673)+$AO674</f>
        <v>13</v>
      </c>
      <c r="AR674">
        <f>IF(OR($AF674=1,$AH674=1),1,0)</f>
        <v>0</v>
      </c>
      <c r="AS674">
        <f>N(AS673)+$AR674</f>
        <v>0</v>
      </c>
    </row>
    <row r="675" ht="14.25" customHeight="1" s="127">
      <c r="A675">
        <f>IF(对接源_01水果!$C675="","",对接源_01水果!$C675)</f>
      </c>
      <c r="B675">
        <f>IF(A675="",0,IF(MATCH(A675,$A$4:$A$2403,0)=ROW()-3,1,0))</f>
        <v>0</v>
      </c>
      <c r="C675">
        <f>N(C674)+B675</f>
        <v>22</v>
      </c>
      <c r="K675">
        <f>IF(OR($K$1="",对接源_01水果!$C675="",对接源_01水果!$C675&lt;&gt;$K$1,对接源_01水果!$B675=""),0,IF(OR(N(对接源_01水果!$B675)&lt;$K$2,N(对接源_01水果!$B675)&gt;$K$3),0,1))</f>
        <v>0</v>
      </c>
      <c r="L675">
        <f>IF(OR($L$1="",对接源_01水果!$C675="",对接源_01水果!$C675&lt;&gt;$L$1,对接源_01水果!$B675=""),0,IF(OR(N(对接源_01水果!$B675)&lt;$L$2,N(对接源_01水果!$B675)&gt;$L$3),0,1))</f>
        <v>0</v>
      </c>
      <c r="M675">
        <f>IF(OR($M$1="",对接源_01水果!$C675="",对接源_01水果!$C675&lt;&gt;$M$1,对接源_01水果!$B675=""),0,IF(OR(N(对接源_01水果!$B675)&lt;$M$2,N(对接源_01水果!$B675)&gt;$M$3),0,1))</f>
        <v>0</v>
      </c>
      <c r="N675">
        <f>IF(OR($N$1="",对接源_01水果!$C675="",对接源_01水果!$C675&lt;&gt;$N$1,对接源_01水果!$B675=""),0,IF(OR(N(对接源_01水果!$B675)&lt;$N$2,N(对接源_01水果!$B675)&gt;$N$3),0,1))</f>
        <v>0</v>
      </c>
      <c r="P675">
        <f>IF(AND($K675=1,AND(对接源_01水果!$X675="公司筐",N(对接源_01水果!$T675)&lt;&gt;0)),1,0)</f>
        <v>0</v>
      </c>
      <c r="Q675">
        <f>N(Q674)+$P675</f>
        <v>0</v>
      </c>
      <c r="R675">
        <f>IF(AND($K675=1,AND(对接源_01水果!$X675="公司筐",N(对接源_01水果!$U675)&lt;&gt;0)),1,0)</f>
        <v>0</v>
      </c>
      <c r="S675">
        <f>N(S674)+$R675</f>
        <v>0</v>
      </c>
      <c r="T675">
        <f>IF(AND($K675=1,AND(对接源_01水果!$X675="公司筐",N(对接源_01水果!$V675)&lt;&gt;0)),1,0)</f>
        <v>0</v>
      </c>
      <c r="U675">
        <f>N(U674)+$T675</f>
        <v>47</v>
      </c>
      <c r="V675">
        <f>IF(AND($L675=1,AND(对接源_01水果!$X675="自备筐",N(对接源_01水果!$V675)&lt;&gt;0)),1,0)</f>
        <v>0</v>
      </c>
      <c r="W675">
        <f>N(W674)+$V675</f>
        <v>11</v>
      </c>
      <c r="X675">
        <f>IF(AND($L675=1,AND(对接源_01水果!$X675="自备筐",N(对接源_01水果!$T675)&lt;&gt;0)),1,0)</f>
        <v>0</v>
      </c>
      <c r="Y675">
        <f>N(Y674)+$X675</f>
        <v>0</v>
      </c>
      <c r="Z675">
        <f>IF(AND($M675=1,对接源_01水果!$D675="原料入库"),1,0)</f>
        <v>0</v>
      </c>
      <c r="AA675">
        <f>N(AA674)+$Z675</f>
        <v>24</v>
      </c>
      <c r="AB675">
        <f>IF(AND($M675=1,LEFT(对接源_01水果!$D675,4)="原料出库"),1,0)</f>
        <v>0</v>
      </c>
      <c r="AC675">
        <f>N(AC674)+$AB675</f>
        <v>0</v>
      </c>
      <c r="AD675">
        <f>IF(AND($M675=1,LEFT(对接源_01水果!$D675,4)="成品出库"),1,0)</f>
        <v>0</v>
      </c>
      <c r="AE675">
        <f>N(AE674)+$AD675</f>
        <v>0</v>
      </c>
      <c r="AF675">
        <f>IF(AND($N675=1,AND(LEFT(对接源_01水果!$D675,4)="包装物料",N(对接源_01水果!$K675)&lt;&gt;0)),1,0)</f>
        <v>0</v>
      </c>
      <c r="AG675">
        <f>N(AG674)+$AF675</f>
        <v>0</v>
      </c>
      <c r="AH675">
        <f>IF(AND($N675=1,AND(对接源_01水果!$D675="周转筐－销售出库",N(对接源_01水果!$K675)&lt;&gt;0)),1,0)</f>
        <v>0</v>
      </c>
      <c r="AI675">
        <f>N(AI674)+$AH675</f>
        <v>0</v>
      </c>
      <c r="AJ675" s="7" t="n"/>
      <c r="AL675">
        <f>IF(OR($AL$1="",对接源_01水果!$Y675="",对接源_01水果!$Y675&lt;&gt;$AL$1,对接源_01水果!$B675="",N(对接源_01水果!$AJ675)&lt;=0),0,IF(OR(N(对接源_01水果!$B675)&lt;$AL$2,N(对接源_01水果!$B675)&gt;$AL$3),0,1))</f>
        <v>0</v>
      </c>
      <c r="AM675">
        <f>N(AM674)+$AL675</f>
        <v>2</v>
      </c>
      <c r="AN675">
        <f>IF(对接源_01水果!$AC675="","",对接源_01水果!$AC675)</f>
      </c>
      <c r="AO675">
        <f>IF(AN675="",0,IF(MATCH(AN675,$AN$4:$AN$1203,0)=ROW()-3,1,0))</f>
        <v>0</v>
      </c>
      <c r="AP675">
        <f>N(AP674)+$AO675</f>
        <v>13</v>
      </c>
      <c r="AR675">
        <f>IF(OR($AF675=1,$AH675=1),1,0)</f>
        <v>0</v>
      </c>
      <c r="AS675">
        <f>N(AS674)+$AR675</f>
        <v>0</v>
      </c>
    </row>
    <row r="676" ht="14.25" customHeight="1" s="127">
      <c r="A676">
        <f>IF(对接源_01水果!$C676="","",对接源_01水果!$C676)</f>
      </c>
      <c r="B676">
        <f>IF(A676="",0,IF(MATCH(A676,$A$4:$A$2403,0)=ROW()-3,1,0))</f>
        <v>0</v>
      </c>
      <c r="C676">
        <f>N(C675)+B676</f>
        <v>22</v>
      </c>
      <c r="K676">
        <f>IF(OR($K$1="",对接源_01水果!$C676="",对接源_01水果!$C676&lt;&gt;$K$1,对接源_01水果!$B676=""),0,IF(OR(N(对接源_01水果!$B676)&lt;$K$2,N(对接源_01水果!$B676)&gt;$K$3),0,1))</f>
        <v>0</v>
      </c>
      <c r="L676">
        <f>IF(OR($L$1="",对接源_01水果!$C676="",对接源_01水果!$C676&lt;&gt;$L$1,对接源_01水果!$B676=""),0,IF(OR(N(对接源_01水果!$B676)&lt;$L$2,N(对接源_01水果!$B676)&gt;$L$3),0,1))</f>
        <v>0</v>
      </c>
      <c r="M676">
        <f>IF(OR($M$1="",对接源_01水果!$C676="",对接源_01水果!$C676&lt;&gt;$M$1,对接源_01水果!$B676=""),0,IF(OR(N(对接源_01水果!$B676)&lt;$M$2,N(对接源_01水果!$B676)&gt;$M$3),0,1))</f>
        <v>0</v>
      </c>
      <c r="N676">
        <f>IF(OR($N$1="",对接源_01水果!$C676="",对接源_01水果!$C676&lt;&gt;$N$1,对接源_01水果!$B676=""),0,IF(OR(N(对接源_01水果!$B676)&lt;$N$2,N(对接源_01水果!$B676)&gt;$N$3),0,1))</f>
        <v>0</v>
      </c>
      <c r="P676">
        <f>IF(AND($K676=1,AND(对接源_01水果!$X676="公司筐",N(对接源_01水果!$T676)&lt;&gt;0)),1,0)</f>
        <v>0</v>
      </c>
      <c r="Q676">
        <f>N(Q675)+$P676</f>
        <v>0</v>
      </c>
      <c r="R676">
        <f>IF(AND($K676=1,AND(对接源_01水果!$X676="公司筐",N(对接源_01水果!$U676)&lt;&gt;0)),1,0)</f>
        <v>0</v>
      </c>
      <c r="S676">
        <f>N(S675)+$R676</f>
        <v>0</v>
      </c>
      <c r="T676">
        <f>IF(AND($K676=1,AND(对接源_01水果!$X676="公司筐",N(对接源_01水果!$V676)&lt;&gt;0)),1,0)</f>
        <v>0</v>
      </c>
      <c r="U676">
        <f>N(U675)+$T676</f>
        <v>47</v>
      </c>
      <c r="V676">
        <f>IF(AND($L676=1,AND(对接源_01水果!$X676="自备筐",N(对接源_01水果!$V676)&lt;&gt;0)),1,0)</f>
        <v>0</v>
      </c>
      <c r="W676">
        <f>N(W675)+$V676</f>
        <v>11</v>
      </c>
      <c r="X676">
        <f>IF(AND($L676=1,AND(对接源_01水果!$X676="自备筐",N(对接源_01水果!$T676)&lt;&gt;0)),1,0)</f>
        <v>0</v>
      </c>
      <c r="Y676">
        <f>N(Y675)+$X676</f>
        <v>0</v>
      </c>
      <c r="Z676">
        <f>IF(AND($M676=1,对接源_01水果!$D676="原料入库"),1,0)</f>
        <v>0</v>
      </c>
      <c r="AA676">
        <f>N(AA675)+$Z676</f>
        <v>24</v>
      </c>
      <c r="AB676">
        <f>IF(AND($M676=1,LEFT(对接源_01水果!$D676,4)="原料出库"),1,0)</f>
        <v>0</v>
      </c>
      <c r="AC676">
        <f>N(AC675)+$AB676</f>
        <v>0</v>
      </c>
      <c r="AD676">
        <f>IF(AND($M676=1,LEFT(对接源_01水果!$D676,4)="成品出库"),1,0)</f>
        <v>0</v>
      </c>
      <c r="AE676">
        <f>N(AE675)+$AD676</f>
        <v>0</v>
      </c>
      <c r="AF676">
        <f>IF(AND($N676=1,AND(LEFT(对接源_01水果!$D676,4)="包装物料",N(对接源_01水果!$K676)&lt;&gt;0)),1,0)</f>
        <v>0</v>
      </c>
      <c r="AG676">
        <f>N(AG675)+$AF676</f>
        <v>0</v>
      </c>
      <c r="AH676">
        <f>IF(AND($N676=1,AND(对接源_01水果!$D676="周转筐－销售出库",N(对接源_01水果!$K676)&lt;&gt;0)),1,0)</f>
        <v>0</v>
      </c>
      <c r="AI676">
        <f>N(AI675)+$AH676</f>
        <v>0</v>
      </c>
      <c r="AJ676" s="7" t="n"/>
      <c r="AL676">
        <f>IF(OR($AL$1="",对接源_01水果!$Y676="",对接源_01水果!$Y676&lt;&gt;$AL$1,对接源_01水果!$B676="",N(对接源_01水果!$AJ676)&lt;=0),0,IF(OR(N(对接源_01水果!$B676)&lt;$AL$2,N(对接源_01水果!$B676)&gt;$AL$3),0,1))</f>
        <v>0</v>
      </c>
      <c r="AM676">
        <f>N(AM675)+$AL676</f>
        <v>2</v>
      </c>
      <c r="AN676">
        <f>IF(对接源_01水果!$AC676="","",对接源_01水果!$AC676)</f>
      </c>
      <c r="AO676">
        <f>IF(AN676="",0,IF(MATCH(AN676,$AN$4:$AN$1203,0)=ROW()-3,1,0))</f>
        <v>0</v>
      </c>
      <c r="AP676">
        <f>N(AP675)+$AO676</f>
        <v>13</v>
      </c>
      <c r="AR676">
        <f>IF(OR($AF676=1,$AH676=1),1,0)</f>
        <v>0</v>
      </c>
      <c r="AS676">
        <f>N(AS675)+$AR676</f>
        <v>0</v>
      </c>
    </row>
    <row r="677" ht="14.25" customHeight="1" s="127">
      <c r="A677">
        <f>IF(对接源_01水果!$C677="","",对接源_01水果!$C677)</f>
      </c>
      <c r="B677">
        <f>IF(A677="",0,IF(MATCH(A677,$A$4:$A$2403,0)=ROW()-3,1,0))</f>
        <v>0</v>
      </c>
      <c r="C677">
        <f>N(C676)+B677</f>
        <v>22</v>
      </c>
      <c r="K677">
        <f>IF(OR($K$1="",对接源_01水果!$C677="",对接源_01水果!$C677&lt;&gt;$K$1,对接源_01水果!$B677=""),0,IF(OR(N(对接源_01水果!$B677)&lt;$K$2,N(对接源_01水果!$B677)&gt;$K$3),0,1))</f>
        <v>0</v>
      </c>
      <c r="L677">
        <f>IF(OR($L$1="",对接源_01水果!$C677="",对接源_01水果!$C677&lt;&gt;$L$1,对接源_01水果!$B677=""),0,IF(OR(N(对接源_01水果!$B677)&lt;$L$2,N(对接源_01水果!$B677)&gt;$L$3),0,1))</f>
        <v>0</v>
      </c>
      <c r="M677">
        <f>IF(OR($M$1="",对接源_01水果!$C677="",对接源_01水果!$C677&lt;&gt;$M$1,对接源_01水果!$B677=""),0,IF(OR(N(对接源_01水果!$B677)&lt;$M$2,N(对接源_01水果!$B677)&gt;$M$3),0,1))</f>
        <v>0</v>
      </c>
      <c r="N677">
        <f>IF(OR($N$1="",对接源_01水果!$C677="",对接源_01水果!$C677&lt;&gt;$N$1,对接源_01水果!$B677=""),0,IF(OR(N(对接源_01水果!$B677)&lt;$N$2,N(对接源_01水果!$B677)&gt;$N$3),0,1))</f>
        <v>0</v>
      </c>
      <c r="P677">
        <f>IF(AND($K677=1,AND(对接源_01水果!$X677="公司筐",N(对接源_01水果!$T677)&lt;&gt;0)),1,0)</f>
        <v>0</v>
      </c>
      <c r="Q677">
        <f>N(Q676)+$P677</f>
        <v>0</v>
      </c>
      <c r="R677">
        <f>IF(AND($K677=1,AND(对接源_01水果!$X677="公司筐",N(对接源_01水果!$U677)&lt;&gt;0)),1,0)</f>
        <v>0</v>
      </c>
      <c r="S677">
        <f>N(S676)+$R677</f>
        <v>0</v>
      </c>
      <c r="T677">
        <f>IF(AND($K677=1,AND(对接源_01水果!$X677="公司筐",N(对接源_01水果!$V677)&lt;&gt;0)),1,0)</f>
        <v>0</v>
      </c>
      <c r="U677">
        <f>N(U676)+$T677</f>
        <v>47</v>
      </c>
      <c r="V677">
        <f>IF(AND($L677=1,AND(对接源_01水果!$X677="自备筐",N(对接源_01水果!$V677)&lt;&gt;0)),1,0)</f>
        <v>0</v>
      </c>
      <c r="W677">
        <f>N(W676)+$V677</f>
        <v>11</v>
      </c>
      <c r="X677">
        <f>IF(AND($L677=1,AND(对接源_01水果!$X677="自备筐",N(对接源_01水果!$T677)&lt;&gt;0)),1,0)</f>
        <v>0</v>
      </c>
      <c r="Y677">
        <f>N(Y676)+$X677</f>
        <v>0</v>
      </c>
      <c r="Z677">
        <f>IF(AND($M677=1,对接源_01水果!$D677="原料入库"),1,0)</f>
        <v>0</v>
      </c>
      <c r="AA677">
        <f>N(AA676)+$Z677</f>
        <v>24</v>
      </c>
      <c r="AB677">
        <f>IF(AND($M677=1,LEFT(对接源_01水果!$D677,4)="原料出库"),1,0)</f>
        <v>0</v>
      </c>
      <c r="AC677">
        <f>N(AC676)+$AB677</f>
        <v>0</v>
      </c>
      <c r="AD677">
        <f>IF(AND($M677=1,LEFT(对接源_01水果!$D677,4)="成品出库"),1,0)</f>
        <v>0</v>
      </c>
      <c r="AE677">
        <f>N(AE676)+$AD677</f>
        <v>0</v>
      </c>
      <c r="AF677">
        <f>IF(AND($N677=1,AND(LEFT(对接源_01水果!$D677,4)="包装物料",N(对接源_01水果!$K677)&lt;&gt;0)),1,0)</f>
        <v>0</v>
      </c>
      <c r="AG677">
        <f>N(AG676)+$AF677</f>
        <v>0</v>
      </c>
      <c r="AH677">
        <f>IF(AND($N677=1,AND(对接源_01水果!$D677="周转筐－销售出库",N(对接源_01水果!$K677)&lt;&gt;0)),1,0)</f>
        <v>0</v>
      </c>
      <c r="AI677">
        <f>N(AI676)+$AH677</f>
        <v>0</v>
      </c>
      <c r="AJ677" s="7" t="n"/>
      <c r="AL677">
        <f>IF(OR($AL$1="",对接源_01水果!$Y677="",对接源_01水果!$Y677&lt;&gt;$AL$1,对接源_01水果!$B677="",N(对接源_01水果!$AJ677)&lt;=0),0,IF(OR(N(对接源_01水果!$B677)&lt;$AL$2,N(对接源_01水果!$B677)&gt;$AL$3),0,1))</f>
        <v>0</v>
      </c>
      <c r="AM677">
        <f>N(AM676)+$AL677</f>
        <v>2</v>
      </c>
      <c r="AN677">
        <f>IF(对接源_01水果!$AC677="","",对接源_01水果!$AC677)</f>
      </c>
      <c r="AO677">
        <f>IF(AN677="",0,IF(MATCH(AN677,$AN$4:$AN$1203,0)=ROW()-3,1,0))</f>
        <v>0</v>
      </c>
      <c r="AP677">
        <f>N(AP676)+$AO677</f>
        <v>13</v>
      </c>
      <c r="AR677">
        <f>IF(OR($AF677=1,$AH677=1),1,0)</f>
        <v>0</v>
      </c>
      <c r="AS677">
        <f>N(AS676)+$AR677</f>
        <v>0</v>
      </c>
    </row>
    <row r="678" ht="14.25" customHeight="1" s="127">
      <c r="A678">
        <f>IF(对接源_01水果!$C678="","",对接源_01水果!$C678)</f>
      </c>
      <c r="B678">
        <f>IF(A678="",0,IF(MATCH(A678,$A$4:$A$2403,0)=ROW()-3,1,0))</f>
        <v>0</v>
      </c>
      <c r="C678">
        <f>N(C677)+B678</f>
        <v>22</v>
      </c>
      <c r="K678">
        <f>IF(OR($K$1="",对接源_01水果!$C678="",对接源_01水果!$C678&lt;&gt;$K$1,对接源_01水果!$B678=""),0,IF(OR(N(对接源_01水果!$B678)&lt;$K$2,N(对接源_01水果!$B678)&gt;$K$3),0,1))</f>
        <v>0</v>
      </c>
      <c r="L678">
        <f>IF(OR($L$1="",对接源_01水果!$C678="",对接源_01水果!$C678&lt;&gt;$L$1,对接源_01水果!$B678=""),0,IF(OR(N(对接源_01水果!$B678)&lt;$L$2,N(对接源_01水果!$B678)&gt;$L$3),0,1))</f>
        <v>0</v>
      </c>
      <c r="M678">
        <f>IF(OR($M$1="",对接源_01水果!$C678="",对接源_01水果!$C678&lt;&gt;$M$1,对接源_01水果!$B678=""),0,IF(OR(N(对接源_01水果!$B678)&lt;$M$2,N(对接源_01水果!$B678)&gt;$M$3),0,1))</f>
        <v>0</v>
      </c>
      <c r="N678">
        <f>IF(OR($N$1="",对接源_01水果!$C678="",对接源_01水果!$C678&lt;&gt;$N$1,对接源_01水果!$B678=""),0,IF(OR(N(对接源_01水果!$B678)&lt;$N$2,N(对接源_01水果!$B678)&gt;$N$3),0,1))</f>
        <v>0</v>
      </c>
      <c r="P678">
        <f>IF(AND($K678=1,AND(对接源_01水果!$X678="公司筐",N(对接源_01水果!$T678)&lt;&gt;0)),1,0)</f>
        <v>0</v>
      </c>
      <c r="Q678">
        <f>N(Q677)+$P678</f>
        <v>0</v>
      </c>
      <c r="R678">
        <f>IF(AND($K678=1,AND(对接源_01水果!$X678="公司筐",N(对接源_01水果!$U678)&lt;&gt;0)),1,0)</f>
        <v>0</v>
      </c>
      <c r="S678">
        <f>N(S677)+$R678</f>
        <v>0</v>
      </c>
      <c r="T678">
        <f>IF(AND($K678=1,AND(对接源_01水果!$X678="公司筐",N(对接源_01水果!$V678)&lt;&gt;0)),1,0)</f>
        <v>0</v>
      </c>
      <c r="U678">
        <f>N(U677)+$T678</f>
        <v>47</v>
      </c>
      <c r="V678">
        <f>IF(AND($L678=1,AND(对接源_01水果!$X678="自备筐",N(对接源_01水果!$V678)&lt;&gt;0)),1,0)</f>
        <v>0</v>
      </c>
      <c r="W678">
        <f>N(W677)+$V678</f>
        <v>11</v>
      </c>
      <c r="X678">
        <f>IF(AND($L678=1,AND(对接源_01水果!$X678="自备筐",N(对接源_01水果!$T678)&lt;&gt;0)),1,0)</f>
        <v>0</v>
      </c>
      <c r="Y678">
        <f>N(Y677)+$X678</f>
        <v>0</v>
      </c>
      <c r="Z678">
        <f>IF(AND($M678=1,对接源_01水果!$D678="原料入库"),1,0)</f>
        <v>0</v>
      </c>
      <c r="AA678">
        <f>N(AA677)+$Z678</f>
        <v>24</v>
      </c>
      <c r="AB678">
        <f>IF(AND($M678=1,LEFT(对接源_01水果!$D678,4)="原料出库"),1,0)</f>
        <v>0</v>
      </c>
      <c r="AC678">
        <f>N(AC677)+$AB678</f>
        <v>0</v>
      </c>
      <c r="AD678">
        <f>IF(AND($M678=1,LEFT(对接源_01水果!$D678,4)="成品出库"),1,0)</f>
        <v>0</v>
      </c>
      <c r="AE678">
        <f>N(AE677)+$AD678</f>
        <v>0</v>
      </c>
      <c r="AF678">
        <f>IF(AND($N678=1,AND(LEFT(对接源_01水果!$D678,4)="包装物料",N(对接源_01水果!$K678)&lt;&gt;0)),1,0)</f>
        <v>0</v>
      </c>
      <c r="AG678">
        <f>N(AG677)+$AF678</f>
        <v>0</v>
      </c>
      <c r="AH678">
        <f>IF(AND($N678=1,AND(对接源_01水果!$D678="周转筐－销售出库",N(对接源_01水果!$K678)&lt;&gt;0)),1,0)</f>
        <v>0</v>
      </c>
      <c r="AI678">
        <f>N(AI677)+$AH678</f>
        <v>0</v>
      </c>
      <c r="AJ678" s="7" t="n"/>
      <c r="AL678">
        <f>IF(OR($AL$1="",对接源_01水果!$Y678="",对接源_01水果!$Y678&lt;&gt;$AL$1,对接源_01水果!$B678="",N(对接源_01水果!$AJ678)&lt;=0),0,IF(OR(N(对接源_01水果!$B678)&lt;$AL$2,N(对接源_01水果!$B678)&gt;$AL$3),0,1))</f>
        <v>0</v>
      </c>
      <c r="AM678">
        <f>N(AM677)+$AL678</f>
        <v>2</v>
      </c>
      <c r="AN678">
        <f>IF(对接源_01水果!$AC678="","",对接源_01水果!$AC678)</f>
      </c>
      <c r="AO678">
        <f>IF(AN678="",0,IF(MATCH(AN678,$AN$4:$AN$1203,0)=ROW()-3,1,0))</f>
        <v>0</v>
      </c>
      <c r="AP678">
        <f>N(AP677)+$AO678</f>
        <v>13</v>
      </c>
      <c r="AR678">
        <f>IF(OR($AF678=1,$AH678=1),1,0)</f>
        <v>0</v>
      </c>
      <c r="AS678">
        <f>N(AS677)+$AR678</f>
        <v>0</v>
      </c>
    </row>
    <row r="679" ht="14.25" customHeight="1" s="127">
      <c r="A679">
        <f>IF(对接源_01水果!$C679="","",对接源_01水果!$C679)</f>
      </c>
      <c r="B679">
        <f>IF(A679="",0,IF(MATCH(A679,$A$4:$A$2403,0)=ROW()-3,1,0))</f>
        <v>0</v>
      </c>
      <c r="C679">
        <f>N(C678)+B679</f>
        <v>22</v>
      </c>
      <c r="K679">
        <f>IF(OR($K$1="",对接源_01水果!$C679="",对接源_01水果!$C679&lt;&gt;$K$1,对接源_01水果!$B679=""),0,IF(OR(N(对接源_01水果!$B679)&lt;$K$2,N(对接源_01水果!$B679)&gt;$K$3),0,1))</f>
        <v>0</v>
      </c>
      <c r="L679">
        <f>IF(OR($L$1="",对接源_01水果!$C679="",对接源_01水果!$C679&lt;&gt;$L$1,对接源_01水果!$B679=""),0,IF(OR(N(对接源_01水果!$B679)&lt;$L$2,N(对接源_01水果!$B679)&gt;$L$3),0,1))</f>
        <v>0</v>
      </c>
      <c r="M679">
        <f>IF(OR($M$1="",对接源_01水果!$C679="",对接源_01水果!$C679&lt;&gt;$M$1,对接源_01水果!$B679=""),0,IF(OR(N(对接源_01水果!$B679)&lt;$M$2,N(对接源_01水果!$B679)&gt;$M$3),0,1))</f>
        <v>0</v>
      </c>
      <c r="N679">
        <f>IF(OR($N$1="",对接源_01水果!$C679="",对接源_01水果!$C679&lt;&gt;$N$1,对接源_01水果!$B679=""),0,IF(OR(N(对接源_01水果!$B679)&lt;$N$2,N(对接源_01水果!$B679)&gt;$N$3),0,1))</f>
        <v>0</v>
      </c>
      <c r="P679">
        <f>IF(AND($K679=1,AND(对接源_01水果!$X679="公司筐",N(对接源_01水果!$T679)&lt;&gt;0)),1,0)</f>
        <v>0</v>
      </c>
      <c r="Q679">
        <f>N(Q678)+$P679</f>
        <v>0</v>
      </c>
      <c r="R679">
        <f>IF(AND($K679=1,AND(对接源_01水果!$X679="公司筐",N(对接源_01水果!$U679)&lt;&gt;0)),1,0)</f>
        <v>0</v>
      </c>
      <c r="S679">
        <f>N(S678)+$R679</f>
        <v>0</v>
      </c>
      <c r="T679">
        <f>IF(AND($K679=1,AND(对接源_01水果!$X679="公司筐",N(对接源_01水果!$V679)&lt;&gt;0)),1,0)</f>
        <v>0</v>
      </c>
      <c r="U679">
        <f>N(U678)+$T679</f>
        <v>47</v>
      </c>
      <c r="V679">
        <f>IF(AND($L679=1,AND(对接源_01水果!$X679="自备筐",N(对接源_01水果!$V679)&lt;&gt;0)),1,0)</f>
        <v>0</v>
      </c>
      <c r="W679">
        <f>N(W678)+$V679</f>
        <v>11</v>
      </c>
      <c r="X679">
        <f>IF(AND($L679=1,AND(对接源_01水果!$X679="自备筐",N(对接源_01水果!$T679)&lt;&gt;0)),1,0)</f>
        <v>0</v>
      </c>
      <c r="Y679">
        <f>N(Y678)+$X679</f>
        <v>0</v>
      </c>
      <c r="Z679">
        <f>IF(AND($M679=1,对接源_01水果!$D679="原料入库"),1,0)</f>
        <v>0</v>
      </c>
      <c r="AA679">
        <f>N(AA678)+$Z679</f>
        <v>24</v>
      </c>
      <c r="AB679">
        <f>IF(AND($M679=1,LEFT(对接源_01水果!$D679,4)="原料出库"),1,0)</f>
        <v>0</v>
      </c>
      <c r="AC679">
        <f>N(AC678)+$AB679</f>
        <v>0</v>
      </c>
      <c r="AD679">
        <f>IF(AND($M679=1,LEFT(对接源_01水果!$D679,4)="成品出库"),1,0)</f>
        <v>0</v>
      </c>
      <c r="AE679">
        <f>N(AE678)+$AD679</f>
        <v>0</v>
      </c>
      <c r="AF679">
        <f>IF(AND($N679=1,AND(LEFT(对接源_01水果!$D679,4)="包装物料",N(对接源_01水果!$K679)&lt;&gt;0)),1,0)</f>
        <v>0</v>
      </c>
      <c r="AG679">
        <f>N(AG678)+$AF679</f>
        <v>0</v>
      </c>
      <c r="AH679">
        <f>IF(AND($N679=1,AND(对接源_01水果!$D679="周转筐－销售出库",N(对接源_01水果!$K679)&lt;&gt;0)),1,0)</f>
        <v>0</v>
      </c>
      <c r="AI679">
        <f>N(AI678)+$AH679</f>
        <v>0</v>
      </c>
      <c r="AJ679" s="7" t="n"/>
      <c r="AL679">
        <f>IF(OR($AL$1="",对接源_01水果!$Y679="",对接源_01水果!$Y679&lt;&gt;$AL$1,对接源_01水果!$B679="",N(对接源_01水果!$AJ679)&lt;=0),0,IF(OR(N(对接源_01水果!$B679)&lt;$AL$2,N(对接源_01水果!$B679)&gt;$AL$3),0,1))</f>
        <v>0</v>
      </c>
      <c r="AM679">
        <f>N(AM678)+$AL679</f>
        <v>2</v>
      </c>
      <c r="AN679">
        <f>IF(对接源_01水果!$AC679="","",对接源_01水果!$AC679)</f>
      </c>
      <c r="AO679">
        <f>IF(AN679="",0,IF(MATCH(AN679,$AN$4:$AN$1203,0)=ROW()-3,1,0))</f>
        <v>0</v>
      </c>
      <c r="AP679">
        <f>N(AP678)+$AO679</f>
        <v>13</v>
      </c>
      <c r="AR679">
        <f>IF(OR($AF679=1,$AH679=1),1,0)</f>
        <v>0</v>
      </c>
      <c r="AS679">
        <f>N(AS678)+$AR679</f>
        <v>0</v>
      </c>
    </row>
    <row r="680" ht="14.25" customHeight="1" s="127">
      <c r="A680">
        <f>IF(对接源_01水果!$C680="","",对接源_01水果!$C680)</f>
      </c>
      <c r="B680">
        <f>IF(A680="",0,IF(MATCH(A680,$A$4:$A$2403,0)=ROW()-3,1,0))</f>
        <v>0</v>
      </c>
      <c r="C680">
        <f>N(C679)+B680</f>
        <v>22</v>
      </c>
      <c r="K680">
        <f>IF(OR($K$1="",对接源_01水果!$C680="",对接源_01水果!$C680&lt;&gt;$K$1,对接源_01水果!$B680=""),0,IF(OR(N(对接源_01水果!$B680)&lt;$K$2,N(对接源_01水果!$B680)&gt;$K$3),0,1))</f>
        <v>0</v>
      </c>
      <c r="L680">
        <f>IF(OR($L$1="",对接源_01水果!$C680="",对接源_01水果!$C680&lt;&gt;$L$1,对接源_01水果!$B680=""),0,IF(OR(N(对接源_01水果!$B680)&lt;$L$2,N(对接源_01水果!$B680)&gt;$L$3),0,1))</f>
        <v>0</v>
      </c>
      <c r="M680">
        <f>IF(OR($M$1="",对接源_01水果!$C680="",对接源_01水果!$C680&lt;&gt;$M$1,对接源_01水果!$B680=""),0,IF(OR(N(对接源_01水果!$B680)&lt;$M$2,N(对接源_01水果!$B680)&gt;$M$3),0,1))</f>
        <v>0</v>
      </c>
      <c r="N680">
        <f>IF(OR($N$1="",对接源_01水果!$C680="",对接源_01水果!$C680&lt;&gt;$N$1,对接源_01水果!$B680=""),0,IF(OR(N(对接源_01水果!$B680)&lt;$N$2,N(对接源_01水果!$B680)&gt;$N$3),0,1))</f>
        <v>0</v>
      </c>
      <c r="P680">
        <f>IF(AND($K680=1,AND(对接源_01水果!$X680="公司筐",N(对接源_01水果!$T680)&lt;&gt;0)),1,0)</f>
        <v>0</v>
      </c>
      <c r="Q680">
        <f>N(Q679)+$P680</f>
        <v>0</v>
      </c>
      <c r="R680">
        <f>IF(AND($K680=1,AND(对接源_01水果!$X680="公司筐",N(对接源_01水果!$U680)&lt;&gt;0)),1,0)</f>
        <v>0</v>
      </c>
      <c r="S680">
        <f>N(S679)+$R680</f>
        <v>0</v>
      </c>
      <c r="T680">
        <f>IF(AND($K680=1,AND(对接源_01水果!$X680="公司筐",N(对接源_01水果!$V680)&lt;&gt;0)),1,0)</f>
        <v>0</v>
      </c>
      <c r="U680">
        <f>N(U679)+$T680</f>
        <v>47</v>
      </c>
      <c r="V680">
        <f>IF(AND($L680=1,AND(对接源_01水果!$X680="自备筐",N(对接源_01水果!$V680)&lt;&gt;0)),1,0)</f>
        <v>0</v>
      </c>
      <c r="W680">
        <f>N(W679)+$V680</f>
        <v>11</v>
      </c>
      <c r="X680">
        <f>IF(AND($L680=1,AND(对接源_01水果!$X680="自备筐",N(对接源_01水果!$T680)&lt;&gt;0)),1,0)</f>
        <v>0</v>
      </c>
      <c r="Y680">
        <f>N(Y679)+$X680</f>
        <v>0</v>
      </c>
      <c r="Z680">
        <f>IF(AND($M680=1,对接源_01水果!$D680="原料入库"),1,0)</f>
        <v>0</v>
      </c>
      <c r="AA680">
        <f>N(AA679)+$Z680</f>
        <v>24</v>
      </c>
      <c r="AB680">
        <f>IF(AND($M680=1,LEFT(对接源_01水果!$D680,4)="原料出库"),1,0)</f>
        <v>0</v>
      </c>
      <c r="AC680">
        <f>N(AC679)+$AB680</f>
        <v>0</v>
      </c>
      <c r="AD680">
        <f>IF(AND($M680=1,LEFT(对接源_01水果!$D680,4)="成品出库"),1,0)</f>
        <v>0</v>
      </c>
      <c r="AE680">
        <f>N(AE679)+$AD680</f>
        <v>0</v>
      </c>
      <c r="AF680">
        <f>IF(AND($N680=1,AND(LEFT(对接源_01水果!$D680,4)="包装物料",N(对接源_01水果!$K680)&lt;&gt;0)),1,0)</f>
        <v>0</v>
      </c>
      <c r="AG680">
        <f>N(AG679)+$AF680</f>
        <v>0</v>
      </c>
      <c r="AH680">
        <f>IF(AND($N680=1,AND(对接源_01水果!$D680="周转筐－销售出库",N(对接源_01水果!$K680)&lt;&gt;0)),1,0)</f>
        <v>0</v>
      </c>
      <c r="AI680">
        <f>N(AI679)+$AH680</f>
        <v>0</v>
      </c>
      <c r="AJ680" s="7" t="n"/>
      <c r="AL680">
        <f>IF(OR($AL$1="",对接源_01水果!$Y680="",对接源_01水果!$Y680&lt;&gt;$AL$1,对接源_01水果!$B680="",N(对接源_01水果!$AJ680)&lt;=0),0,IF(OR(N(对接源_01水果!$B680)&lt;$AL$2,N(对接源_01水果!$B680)&gt;$AL$3),0,1))</f>
        <v>0</v>
      </c>
      <c r="AM680">
        <f>N(AM679)+$AL680</f>
        <v>2</v>
      </c>
      <c r="AN680">
        <f>IF(对接源_01水果!$AC680="","",对接源_01水果!$AC680)</f>
      </c>
      <c r="AO680">
        <f>IF(AN680="",0,IF(MATCH(AN680,$AN$4:$AN$1203,0)=ROW()-3,1,0))</f>
        <v>0</v>
      </c>
      <c r="AP680">
        <f>N(AP679)+$AO680</f>
        <v>13</v>
      </c>
      <c r="AR680">
        <f>IF(OR($AF680=1,$AH680=1),1,0)</f>
        <v>0</v>
      </c>
      <c r="AS680">
        <f>N(AS679)+$AR680</f>
        <v>0</v>
      </c>
    </row>
    <row r="681" ht="14.25" customHeight="1" s="127">
      <c r="A681">
        <f>IF(对接源_01水果!$C681="","",对接源_01水果!$C681)</f>
      </c>
      <c r="B681">
        <f>IF(A681="",0,IF(MATCH(A681,$A$4:$A$2403,0)=ROW()-3,1,0))</f>
        <v>0</v>
      </c>
      <c r="C681">
        <f>N(C680)+B681</f>
        <v>22</v>
      </c>
      <c r="K681">
        <f>IF(OR($K$1="",对接源_01水果!$C681="",对接源_01水果!$C681&lt;&gt;$K$1,对接源_01水果!$B681=""),0,IF(OR(N(对接源_01水果!$B681)&lt;$K$2,N(对接源_01水果!$B681)&gt;$K$3),0,1))</f>
        <v>0</v>
      </c>
      <c r="L681">
        <f>IF(OR($L$1="",对接源_01水果!$C681="",对接源_01水果!$C681&lt;&gt;$L$1,对接源_01水果!$B681=""),0,IF(OR(N(对接源_01水果!$B681)&lt;$L$2,N(对接源_01水果!$B681)&gt;$L$3),0,1))</f>
        <v>0</v>
      </c>
      <c r="M681">
        <f>IF(OR($M$1="",对接源_01水果!$C681="",对接源_01水果!$C681&lt;&gt;$M$1,对接源_01水果!$B681=""),0,IF(OR(N(对接源_01水果!$B681)&lt;$M$2,N(对接源_01水果!$B681)&gt;$M$3),0,1))</f>
        <v>0</v>
      </c>
      <c r="N681">
        <f>IF(OR($N$1="",对接源_01水果!$C681="",对接源_01水果!$C681&lt;&gt;$N$1,对接源_01水果!$B681=""),0,IF(OR(N(对接源_01水果!$B681)&lt;$N$2,N(对接源_01水果!$B681)&gt;$N$3),0,1))</f>
        <v>0</v>
      </c>
      <c r="P681">
        <f>IF(AND($K681=1,AND(对接源_01水果!$X681="公司筐",N(对接源_01水果!$T681)&lt;&gt;0)),1,0)</f>
        <v>0</v>
      </c>
      <c r="Q681">
        <f>N(Q680)+$P681</f>
        <v>0</v>
      </c>
      <c r="R681">
        <f>IF(AND($K681=1,AND(对接源_01水果!$X681="公司筐",N(对接源_01水果!$U681)&lt;&gt;0)),1,0)</f>
        <v>0</v>
      </c>
      <c r="S681">
        <f>N(S680)+$R681</f>
        <v>0</v>
      </c>
      <c r="T681">
        <f>IF(AND($K681=1,AND(对接源_01水果!$X681="公司筐",N(对接源_01水果!$V681)&lt;&gt;0)),1,0)</f>
        <v>0</v>
      </c>
      <c r="U681">
        <f>N(U680)+$T681</f>
        <v>47</v>
      </c>
      <c r="V681">
        <f>IF(AND($L681=1,AND(对接源_01水果!$X681="自备筐",N(对接源_01水果!$V681)&lt;&gt;0)),1,0)</f>
        <v>0</v>
      </c>
      <c r="W681">
        <f>N(W680)+$V681</f>
        <v>11</v>
      </c>
      <c r="X681">
        <f>IF(AND($L681=1,AND(对接源_01水果!$X681="自备筐",N(对接源_01水果!$T681)&lt;&gt;0)),1,0)</f>
        <v>0</v>
      </c>
      <c r="Y681">
        <f>N(Y680)+$X681</f>
        <v>0</v>
      </c>
      <c r="Z681">
        <f>IF(AND($M681=1,对接源_01水果!$D681="原料入库"),1,0)</f>
        <v>0</v>
      </c>
      <c r="AA681">
        <f>N(AA680)+$Z681</f>
        <v>24</v>
      </c>
      <c r="AB681">
        <f>IF(AND($M681=1,LEFT(对接源_01水果!$D681,4)="原料出库"),1,0)</f>
        <v>0</v>
      </c>
      <c r="AC681">
        <f>N(AC680)+$AB681</f>
        <v>0</v>
      </c>
      <c r="AD681">
        <f>IF(AND($M681=1,LEFT(对接源_01水果!$D681,4)="成品出库"),1,0)</f>
        <v>0</v>
      </c>
      <c r="AE681">
        <f>N(AE680)+$AD681</f>
        <v>0</v>
      </c>
      <c r="AF681">
        <f>IF(AND($N681=1,AND(LEFT(对接源_01水果!$D681,4)="包装物料",N(对接源_01水果!$K681)&lt;&gt;0)),1,0)</f>
        <v>0</v>
      </c>
      <c r="AG681">
        <f>N(AG680)+$AF681</f>
        <v>0</v>
      </c>
      <c r="AH681">
        <f>IF(AND($N681=1,AND(对接源_01水果!$D681="周转筐－销售出库",N(对接源_01水果!$K681)&lt;&gt;0)),1,0)</f>
        <v>0</v>
      </c>
      <c r="AI681">
        <f>N(AI680)+$AH681</f>
        <v>0</v>
      </c>
      <c r="AJ681" s="7" t="n"/>
      <c r="AL681">
        <f>IF(OR($AL$1="",对接源_01水果!$Y681="",对接源_01水果!$Y681&lt;&gt;$AL$1,对接源_01水果!$B681="",N(对接源_01水果!$AJ681)&lt;=0),0,IF(OR(N(对接源_01水果!$B681)&lt;$AL$2,N(对接源_01水果!$B681)&gt;$AL$3),0,1))</f>
        <v>0</v>
      </c>
      <c r="AM681">
        <f>N(AM680)+$AL681</f>
        <v>2</v>
      </c>
      <c r="AN681">
        <f>IF(对接源_01水果!$AC681="","",对接源_01水果!$AC681)</f>
      </c>
      <c r="AO681">
        <f>IF(AN681="",0,IF(MATCH(AN681,$AN$4:$AN$1203,0)=ROW()-3,1,0))</f>
        <v>0</v>
      </c>
      <c r="AP681">
        <f>N(AP680)+$AO681</f>
        <v>13</v>
      </c>
      <c r="AR681">
        <f>IF(OR($AF681=1,$AH681=1),1,0)</f>
        <v>0</v>
      </c>
      <c r="AS681">
        <f>N(AS680)+$AR681</f>
        <v>0</v>
      </c>
    </row>
    <row r="682" ht="14.25" customHeight="1" s="127">
      <c r="A682">
        <f>IF(对接源_01水果!$C682="","",对接源_01水果!$C682)</f>
      </c>
      <c r="B682">
        <f>IF(A682="",0,IF(MATCH(A682,$A$4:$A$2403,0)=ROW()-3,1,0))</f>
        <v>0</v>
      </c>
      <c r="C682">
        <f>N(C681)+B682</f>
        <v>22</v>
      </c>
      <c r="K682">
        <f>IF(OR($K$1="",对接源_01水果!$C682="",对接源_01水果!$C682&lt;&gt;$K$1,对接源_01水果!$B682=""),0,IF(OR(N(对接源_01水果!$B682)&lt;$K$2,N(对接源_01水果!$B682)&gt;$K$3),0,1))</f>
        <v>0</v>
      </c>
      <c r="L682">
        <f>IF(OR($L$1="",对接源_01水果!$C682="",对接源_01水果!$C682&lt;&gt;$L$1,对接源_01水果!$B682=""),0,IF(OR(N(对接源_01水果!$B682)&lt;$L$2,N(对接源_01水果!$B682)&gt;$L$3),0,1))</f>
        <v>0</v>
      </c>
      <c r="M682">
        <f>IF(OR($M$1="",对接源_01水果!$C682="",对接源_01水果!$C682&lt;&gt;$M$1,对接源_01水果!$B682=""),0,IF(OR(N(对接源_01水果!$B682)&lt;$M$2,N(对接源_01水果!$B682)&gt;$M$3),0,1))</f>
        <v>0</v>
      </c>
      <c r="N682">
        <f>IF(OR($N$1="",对接源_01水果!$C682="",对接源_01水果!$C682&lt;&gt;$N$1,对接源_01水果!$B682=""),0,IF(OR(N(对接源_01水果!$B682)&lt;$N$2,N(对接源_01水果!$B682)&gt;$N$3),0,1))</f>
        <v>0</v>
      </c>
      <c r="P682">
        <f>IF(AND($K682=1,AND(对接源_01水果!$X682="公司筐",N(对接源_01水果!$T682)&lt;&gt;0)),1,0)</f>
        <v>0</v>
      </c>
      <c r="Q682">
        <f>N(Q681)+$P682</f>
        <v>0</v>
      </c>
      <c r="R682">
        <f>IF(AND($K682=1,AND(对接源_01水果!$X682="公司筐",N(对接源_01水果!$U682)&lt;&gt;0)),1,0)</f>
        <v>0</v>
      </c>
      <c r="S682">
        <f>N(S681)+$R682</f>
        <v>0</v>
      </c>
      <c r="T682">
        <f>IF(AND($K682=1,AND(对接源_01水果!$X682="公司筐",N(对接源_01水果!$V682)&lt;&gt;0)),1,0)</f>
        <v>0</v>
      </c>
      <c r="U682">
        <f>N(U681)+$T682</f>
        <v>47</v>
      </c>
      <c r="V682">
        <f>IF(AND($L682=1,AND(对接源_01水果!$X682="自备筐",N(对接源_01水果!$V682)&lt;&gt;0)),1,0)</f>
        <v>0</v>
      </c>
      <c r="W682">
        <f>N(W681)+$V682</f>
        <v>11</v>
      </c>
      <c r="X682">
        <f>IF(AND($L682=1,AND(对接源_01水果!$X682="自备筐",N(对接源_01水果!$T682)&lt;&gt;0)),1,0)</f>
        <v>0</v>
      </c>
      <c r="Y682">
        <f>N(Y681)+$X682</f>
        <v>0</v>
      </c>
      <c r="Z682">
        <f>IF(AND($M682=1,对接源_01水果!$D682="原料入库"),1,0)</f>
        <v>0</v>
      </c>
      <c r="AA682">
        <f>N(AA681)+$Z682</f>
        <v>24</v>
      </c>
      <c r="AB682">
        <f>IF(AND($M682=1,LEFT(对接源_01水果!$D682,4)="原料出库"),1,0)</f>
        <v>0</v>
      </c>
      <c r="AC682">
        <f>N(AC681)+$AB682</f>
        <v>0</v>
      </c>
      <c r="AD682">
        <f>IF(AND($M682=1,LEFT(对接源_01水果!$D682,4)="成品出库"),1,0)</f>
        <v>0</v>
      </c>
      <c r="AE682">
        <f>N(AE681)+$AD682</f>
        <v>0</v>
      </c>
      <c r="AF682">
        <f>IF(AND($N682=1,AND(LEFT(对接源_01水果!$D682,4)="包装物料",N(对接源_01水果!$K682)&lt;&gt;0)),1,0)</f>
        <v>0</v>
      </c>
      <c r="AG682">
        <f>N(AG681)+$AF682</f>
        <v>0</v>
      </c>
      <c r="AH682">
        <f>IF(AND($N682=1,AND(对接源_01水果!$D682="周转筐－销售出库",N(对接源_01水果!$K682)&lt;&gt;0)),1,0)</f>
        <v>0</v>
      </c>
      <c r="AI682">
        <f>N(AI681)+$AH682</f>
        <v>0</v>
      </c>
      <c r="AJ682" s="7" t="n"/>
      <c r="AL682">
        <f>IF(OR($AL$1="",对接源_01水果!$Y682="",对接源_01水果!$Y682&lt;&gt;$AL$1,对接源_01水果!$B682="",N(对接源_01水果!$AJ682)&lt;=0),0,IF(OR(N(对接源_01水果!$B682)&lt;$AL$2,N(对接源_01水果!$B682)&gt;$AL$3),0,1))</f>
        <v>0</v>
      </c>
      <c r="AM682">
        <f>N(AM681)+$AL682</f>
        <v>2</v>
      </c>
      <c r="AN682">
        <f>IF(对接源_01水果!$AC682="","",对接源_01水果!$AC682)</f>
      </c>
      <c r="AO682">
        <f>IF(AN682="",0,IF(MATCH(AN682,$AN$4:$AN$1203,0)=ROW()-3,1,0))</f>
        <v>0</v>
      </c>
      <c r="AP682">
        <f>N(AP681)+$AO682</f>
        <v>13</v>
      </c>
      <c r="AR682">
        <f>IF(OR($AF682=1,$AH682=1),1,0)</f>
        <v>0</v>
      </c>
      <c r="AS682">
        <f>N(AS681)+$AR682</f>
        <v>0</v>
      </c>
    </row>
    <row r="683" ht="14.25" customHeight="1" s="127">
      <c r="A683">
        <f>IF(对接源_01水果!$C683="","",对接源_01水果!$C683)</f>
      </c>
      <c r="B683">
        <f>IF(A683="",0,IF(MATCH(A683,$A$4:$A$2403,0)=ROW()-3,1,0))</f>
        <v>0</v>
      </c>
      <c r="C683">
        <f>N(C682)+B683</f>
        <v>22</v>
      </c>
      <c r="K683">
        <f>IF(OR($K$1="",对接源_01水果!$C683="",对接源_01水果!$C683&lt;&gt;$K$1,对接源_01水果!$B683=""),0,IF(OR(N(对接源_01水果!$B683)&lt;$K$2,N(对接源_01水果!$B683)&gt;$K$3),0,1))</f>
        <v>0</v>
      </c>
      <c r="L683">
        <f>IF(OR($L$1="",对接源_01水果!$C683="",对接源_01水果!$C683&lt;&gt;$L$1,对接源_01水果!$B683=""),0,IF(OR(N(对接源_01水果!$B683)&lt;$L$2,N(对接源_01水果!$B683)&gt;$L$3),0,1))</f>
        <v>0</v>
      </c>
      <c r="M683">
        <f>IF(OR($M$1="",对接源_01水果!$C683="",对接源_01水果!$C683&lt;&gt;$M$1,对接源_01水果!$B683=""),0,IF(OR(N(对接源_01水果!$B683)&lt;$M$2,N(对接源_01水果!$B683)&gt;$M$3),0,1))</f>
        <v>0</v>
      </c>
      <c r="N683">
        <f>IF(OR($N$1="",对接源_01水果!$C683="",对接源_01水果!$C683&lt;&gt;$N$1,对接源_01水果!$B683=""),0,IF(OR(N(对接源_01水果!$B683)&lt;$N$2,N(对接源_01水果!$B683)&gt;$N$3),0,1))</f>
        <v>0</v>
      </c>
      <c r="P683">
        <f>IF(AND($K683=1,AND(对接源_01水果!$X683="公司筐",N(对接源_01水果!$T683)&lt;&gt;0)),1,0)</f>
        <v>0</v>
      </c>
      <c r="Q683">
        <f>N(Q682)+$P683</f>
        <v>0</v>
      </c>
      <c r="R683">
        <f>IF(AND($K683=1,AND(对接源_01水果!$X683="公司筐",N(对接源_01水果!$U683)&lt;&gt;0)),1,0)</f>
        <v>0</v>
      </c>
      <c r="S683">
        <f>N(S682)+$R683</f>
        <v>0</v>
      </c>
      <c r="T683">
        <f>IF(AND($K683=1,AND(对接源_01水果!$X683="公司筐",N(对接源_01水果!$V683)&lt;&gt;0)),1,0)</f>
        <v>0</v>
      </c>
      <c r="U683">
        <f>N(U682)+$T683</f>
        <v>47</v>
      </c>
      <c r="V683">
        <f>IF(AND($L683=1,AND(对接源_01水果!$X683="自备筐",N(对接源_01水果!$V683)&lt;&gt;0)),1,0)</f>
        <v>0</v>
      </c>
      <c r="W683">
        <f>N(W682)+$V683</f>
        <v>11</v>
      </c>
      <c r="X683">
        <f>IF(AND($L683=1,AND(对接源_01水果!$X683="自备筐",N(对接源_01水果!$T683)&lt;&gt;0)),1,0)</f>
        <v>0</v>
      </c>
      <c r="Y683">
        <f>N(Y682)+$X683</f>
        <v>0</v>
      </c>
      <c r="Z683">
        <f>IF(AND($M683=1,对接源_01水果!$D683="原料入库"),1,0)</f>
        <v>0</v>
      </c>
      <c r="AA683">
        <f>N(AA682)+$Z683</f>
        <v>24</v>
      </c>
      <c r="AB683">
        <f>IF(AND($M683=1,LEFT(对接源_01水果!$D683,4)="原料出库"),1,0)</f>
        <v>0</v>
      </c>
      <c r="AC683">
        <f>N(AC682)+$AB683</f>
        <v>0</v>
      </c>
      <c r="AD683">
        <f>IF(AND($M683=1,LEFT(对接源_01水果!$D683,4)="成品出库"),1,0)</f>
        <v>0</v>
      </c>
      <c r="AE683">
        <f>N(AE682)+$AD683</f>
        <v>0</v>
      </c>
      <c r="AF683">
        <f>IF(AND($N683=1,AND(LEFT(对接源_01水果!$D683,4)="包装物料",N(对接源_01水果!$K683)&lt;&gt;0)),1,0)</f>
        <v>0</v>
      </c>
      <c r="AG683">
        <f>N(AG682)+$AF683</f>
        <v>0</v>
      </c>
      <c r="AH683">
        <f>IF(AND($N683=1,AND(对接源_01水果!$D683="周转筐－销售出库",N(对接源_01水果!$K683)&lt;&gt;0)),1,0)</f>
        <v>0</v>
      </c>
      <c r="AI683">
        <f>N(AI682)+$AH683</f>
        <v>0</v>
      </c>
      <c r="AJ683" s="7" t="n"/>
      <c r="AL683">
        <f>IF(OR($AL$1="",对接源_01水果!$Y683="",对接源_01水果!$Y683&lt;&gt;$AL$1,对接源_01水果!$B683="",N(对接源_01水果!$AJ683)&lt;=0),0,IF(OR(N(对接源_01水果!$B683)&lt;$AL$2,N(对接源_01水果!$B683)&gt;$AL$3),0,1))</f>
        <v>0</v>
      </c>
      <c r="AM683">
        <f>N(AM682)+$AL683</f>
        <v>2</v>
      </c>
      <c r="AN683">
        <f>IF(对接源_01水果!$AC683="","",对接源_01水果!$AC683)</f>
      </c>
      <c r="AO683">
        <f>IF(AN683="",0,IF(MATCH(AN683,$AN$4:$AN$1203,0)=ROW()-3,1,0))</f>
        <v>0</v>
      </c>
      <c r="AP683">
        <f>N(AP682)+$AO683</f>
        <v>13</v>
      </c>
      <c r="AR683">
        <f>IF(OR($AF683=1,$AH683=1),1,0)</f>
        <v>0</v>
      </c>
      <c r="AS683">
        <f>N(AS682)+$AR683</f>
        <v>0</v>
      </c>
    </row>
    <row r="684" ht="14.25" customHeight="1" s="127">
      <c r="A684">
        <f>IF(对接源_01水果!$C684="","",对接源_01水果!$C684)</f>
      </c>
      <c r="B684">
        <f>IF(A684="",0,IF(MATCH(A684,$A$4:$A$2403,0)=ROW()-3,1,0))</f>
        <v>0</v>
      </c>
      <c r="C684">
        <f>N(C683)+B684</f>
        <v>22</v>
      </c>
      <c r="K684">
        <f>IF(OR($K$1="",对接源_01水果!$C684="",对接源_01水果!$C684&lt;&gt;$K$1,对接源_01水果!$B684=""),0,IF(OR(N(对接源_01水果!$B684)&lt;$K$2,N(对接源_01水果!$B684)&gt;$K$3),0,1))</f>
        <v>0</v>
      </c>
      <c r="L684">
        <f>IF(OR($L$1="",对接源_01水果!$C684="",对接源_01水果!$C684&lt;&gt;$L$1,对接源_01水果!$B684=""),0,IF(OR(N(对接源_01水果!$B684)&lt;$L$2,N(对接源_01水果!$B684)&gt;$L$3),0,1))</f>
        <v>0</v>
      </c>
      <c r="M684">
        <f>IF(OR($M$1="",对接源_01水果!$C684="",对接源_01水果!$C684&lt;&gt;$M$1,对接源_01水果!$B684=""),0,IF(OR(N(对接源_01水果!$B684)&lt;$M$2,N(对接源_01水果!$B684)&gt;$M$3),0,1))</f>
        <v>0</v>
      </c>
      <c r="N684">
        <f>IF(OR($N$1="",对接源_01水果!$C684="",对接源_01水果!$C684&lt;&gt;$N$1,对接源_01水果!$B684=""),0,IF(OR(N(对接源_01水果!$B684)&lt;$N$2,N(对接源_01水果!$B684)&gt;$N$3),0,1))</f>
        <v>0</v>
      </c>
      <c r="P684">
        <f>IF(AND($K684=1,AND(对接源_01水果!$X684="公司筐",N(对接源_01水果!$T684)&lt;&gt;0)),1,0)</f>
        <v>0</v>
      </c>
      <c r="Q684">
        <f>N(Q683)+$P684</f>
        <v>0</v>
      </c>
      <c r="R684">
        <f>IF(AND($K684=1,AND(对接源_01水果!$X684="公司筐",N(对接源_01水果!$U684)&lt;&gt;0)),1,0)</f>
        <v>0</v>
      </c>
      <c r="S684">
        <f>N(S683)+$R684</f>
        <v>0</v>
      </c>
      <c r="T684">
        <f>IF(AND($K684=1,AND(对接源_01水果!$X684="公司筐",N(对接源_01水果!$V684)&lt;&gt;0)),1,0)</f>
        <v>0</v>
      </c>
      <c r="U684">
        <f>N(U683)+$T684</f>
        <v>47</v>
      </c>
      <c r="V684">
        <f>IF(AND($L684=1,AND(对接源_01水果!$X684="自备筐",N(对接源_01水果!$V684)&lt;&gt;0)),1,0)</f>
        <v>0</v>
      </c>
      <c r="W684">
        <f>N(W683)+$V684</f>
        <v>11</v>
      </c>
      <c r="X684">
        <f>IF(AND($L684=1,AND(对接源_01水果!$X684="自备筐",N(对接源_01水果!$T684)&lt;&gt;0)),1,0)</f>
        <v>0</v>
      </c>
      <c r="Y684">
        <f>N(Y683)+$X684</f>
        <v>0</v>
      </c>
      <c r="Z684">
        <f>IF(AND($M684=1,对接源_01水果!$D684="原料入库"),1,0)</f>
        <v>0</v>
      </c>
      <c r="AA684">
        <f>N(AA683)+$Z684</f>
        <v>24</v>
      </c>
      <c r="AB684">
        <f>IF(AND($M684=1,LEFT(对接源_01水果!$D684,4)="原料出库"),1,0)</f>
        <v>0</v>
      </c>
      <c r="AC684">
        <f>N(AC683)+$AB684</f>
        <v>0</v>
      </c>
      <c r="AD684">
        <f>IF(AND($M684=1,LEFT(对接源_01水果!$D684,4)="成品出库"),1,0)</f>
        <v>0</v>
      </c>
      <c r="AE684">
        <f>N(AE683)+$AD684</f>
        <v>0</v>
      </c>
      <c r="AF684">
        <f>IF(AND($N684=1,AND(LEFT(对接源_01水果!$D684,4)="包装物料",N(对接源_01水果!$K684)&lt;&gt;0)),1,0)</f>
        <v>0</v>
      </c>
      <c r="AG684">
        <f>N(AG683)+$AF684</f>
        <v>0</v>
      </c>
      <c r="AH684">
        <f>IF(AND($N684=1,AND(对接源_01水果!$D684="周转筐－销售出库",N(对接源_01水果!$K684)&lt;&gt;0)),1,0)</f>
        <v>0</v>
      </c>
      <c r="AI684">
        <f>N(AI683)+$AH684</f>
        <v>0</v>
      </c>
      <c r="AJ684" s="7" t="n"/>
      <c r="AL684">
        <f>IF(OR($AL$1="",对接源_01水果!$Y684="",对接源_01水果!$Y684&lt;&gt;$AL$1,对接源_01水果!$B684="",N(对接源_01水果!$AJ684)&lt;=0),0,IF(OR(N(对接源_01水果!$B684)&lt;$AL$2,N(对接源_01水果!$B684)&gt;$AL$3),0,1))</f>
        <v>0</v>
      </c>
      <c r="AM684">
        <f>N(AM683)+$AL684</f>
        <v>2</v>
      </c>
      <c r="AN684">
        <f>IF(对接源_01水果!$AC684="","",对接源_01水果!$AC684)</f>
      </c>
      <c r="AO684">
        <f>IF(AN684="",0,IF(MATCH(AN684,$AN$4:$AN$1203,0)=ROW()-3,1,0))</f>
        <v>0</v>
      </c>
      <c r="AP684">
        <f>N(AP683)+$AO684</f>
        <v>13</v>
      </c>
      <c r="AR684">
        <f>IF(OR($AF684=1,$AH684=1),1,0)</f>
        <v>0</v>
      </c>
      <c r="AS684">
        <f>N(AS683)+$AR684</f>
        <v>0</v>
      </c>
    </row>
    <row r="685" ht="14.25" customHeight="1" s="127">
      <c r="A685">
        <f>IF(对接源_01水果!$C685="","",对接源_01水果!$C685)</f>
      </c>
      <c r="B685">
        <f>IF(A685="",0,IF(MATCH(A685,$A$4:$A$2403,0)=ROW()-3,1,0))</f>
        <v>0</v>
      </c>
      <c r="C685">
        <f>N(C684)+B685</f>
        <v>22</v>
      </c>
      <c r="K685">
        <f>IF(OR($K$1="",对接源_01水果!$C685="",对接源_01水果!$C685&lt;&gt;$K$1,对接源_01水果!$B685=""),0,IF(OR(N(对接源_01水果!$B685)&lt;$K$2,N(对接源_01水果!$B685)&gt;$K$3),0,1))</f>
        <v>0</v>
      </c>
      <c r="L685">
        <f>IF(OR($L$1="",对接源_01水果!$C685="",对接源_01水果!$C685&lt;&gt;$L$1,对接源_01水果!$B685=""),0,IF(OR(N(对接源_01水果!$B685)&lt;$L$2,N(对接源_01水果!$B685)&gt;$L$3),0,1))</f>
        <v>0</v>
      </c>
      <c r="M685">
        <f>IF(OR($M$1="",对接源_01水果!$C685="",对接源_01水果!$C685&lt;&gt;$M$1,对接源_01水果!$B685=""),0,IF(OR(N(对接源_01水果!$B685)&lt;$M$2,N(对接源_01水果!$B685)&gt;$M$3),0,1))</f>
        <v>0</v>
      </c>
      <c r="N685">
        <f>IF(OR($N$1="",对接源_01水果!$C685="",对接源_01水果!$C685&lt;&gt;$N$1,对接源_01水果!$B685=""),0,IF(OR(N(对接源_01水果!$B685)&lt;$N$2,N(对接源_01水果!$B685)&gt;$N$3),0,1))</f>
        <v>0</v>
      </c>
      <c r="P685">
        <f>IF(AND($K685=1,AND(对接源_01水果!$X685="公司筐",N(对接源_01水果!$T685)&lt;&gt;0)),1,0)</f>
        <v>0</v>
      </c>
      <c r="Q685">
        <f>N(Q684)+$P685</f>
        <v>0</v>
      </c>
      <c r="R685">
        <f>IF(AND($K685=1,AND(对接源_01水果!$X685="公司筐",N(对接源_01水果!$U685)&lt;&gt;0)),1,0)</f>
        <v>0</v>
      </c>
      <c r="S685">
        <f>N(S684)+$R685</f>
        <v>0</v>
      </c>
      <c r="T685">
        <f>IF(AND($K685=1,AND(对接源_01水果!$X685="公司筐",N(对接源_01水果!$V685)&lt;&gt;0)),1,0)</f>
        <v>0</v>
      </c>
      <c r="U685">
        <f>N(U684)+$T685</f>
        <v>47</v>
      </c>
      <c r="V685">
        <f>IF(AND($L685=1,AND(对接源_01水果!$X685="自备筐",N(对接源_01水果!$V685)&lt;&gt;0)),1,0)</f>
        <v>0</v>
      </c>
      <c r="W685">
        <f>N(W684)+$V685</f>
        <v>11</v>
      </c>
      <c r="X685">
        <f>IF(AND($L685=1,AND(对接源_01水果!$X685="自备筐",N(对接源_01水果!$T685)&lt;&gt;0)),1,0)</f>
        <v>0</v>
      </c>
      <c r="Y685">
        <f>N(Y684)+$X685</f>
        <v>0</v>
      </c>
      <c r="Z685">
        <f>IF(AND($M685=1,对接源_01水果!$D685="原料入库"),1,0)</f>
        <v>0</v>
      </c>
      <c r="AA685">
        <f>N(AA684)+$Z685</f>
        <v>24</v>
      </c>
      <c r="AB685">
        <f>IF(AND($M685=1,LEFT(对接源_01水果!$D685,4)="原料出库"),1,0)</f>
        <v>0</v>
      </c>
      <c r="AC685">
        <f>N(AC684)+$AB685</f>
        <v>0</v>
      </c>
      <c r="AD685">
        <f>IF(AND($M685=1,LEFT(对接源_01水果!$D685,4)="成品出库"),1,0)</f>
        <v>0</v>
      </c>
      <c r="AE685">
        <f>N(AE684)+$AD685</f>
        <v>0</v>
      </c>
      <c r="AF685">
        <f>IF(AND($N685=1,AND(LEFT(对接源_01水果!$D685,4)="包装物料",N(对接源_01水果!$K685)&lt;&gt;0)),1,0)</f>
        <v>0</v>
      </c>
      <c r="AG685">
        <f>N(AG684)+$AF685</f>
        <v>0</v>
      </c>
      <c r="AH685">
        <f>IF(AND($N685=1,AND(对接源_01水果!$D685="周转筐－销售出库",N(对接源_01水果!$K685)&lt;&gt;0)),1,0)</f>
        <v>0</v>
      </c>
      <c r="AI685">
        <f>N(AI684)+$AH685</f>
        <v>0</v>
      </c>
      <c r="AJ685" s="7" t="n"/>
      <c r="AL685">
        <f>IF(OR($AL$1="",对接源_01水果!$Y685="",对接源_01水果!$Y685&lt;&gt;$AL$1,对接源_01水果!$B685="",N(对接源_01水果!$AJ685)&lt;=0),0,IF(OR(N(对接源_01水果!$B685)&lt;$AL$2,N(对接源_01水果!$B685)&gt;$AL$3),0,1))</f>
        <v>0</v>
      </c>
      <c r="AM685">
        <f>N(AM684)+$AL685</f>
        <v>2</v>
      </c>
      <c r="AN685">
        <f>IF(对接源_01水果!$AC685="","",对接源_01水果!$AC685)</f>
      </c>
      <c r="AO685">
        <f>IF(AN685="",0,IF(MATCH(AN685,$AN$4:$AN$1203,0)=ROW()-3,1,0))</f>
        <v>0</v>
      </c>
      <c r="AP685">
        <f>N(AP684)+$AO685</f>
        <v>13</v>
      </c>
      <c r="AR685">
        <f>IF(OR($AF685=1,$AH685=1),1,0)</f>
        <v>0</v>
      </c>
      <c r="AS685">
        <f>N(AS684)+$AR685</f>
        <v>0</v>
      </c>
    </row>
    <row r="686" ht="14.25" customHeight="1" s="127">
      <c r="A686">
        <f>IF(对接源_01水果!$C686="","",对接源_01水果!$C686)</f>
      </c>
      <c r="B686">
        <f>IF(A686="",0,IF(MATCH(A686,$A$4:$A$2403,0)=ROW()-3,1,0))</f>
        <v>0</v>
      </c>
      <c r="C686">
        <f>N(C685)+B686</f>
        <v>22</v>
      </c>
      <c r="K686">
        <f>IF(OR($K$1="",对接源_01水果!$C686="",对接源_01水果!$C686&lt;&gt;$K$1,对接源_01水果!$B686=""),0,IF(OR(N(对接源_01水果!$B686)&lt;$K$2,N(对接源_01水果!$B686)&gt;$K$3),0,1))</f>
        <v>0</v>
      </c>
      <c r="L686">
        <f>IF(OR($L$1="",对接源_01水果!$C686="",对接源_01水果!$C686&lt;&gt;$L$1,对接源_01水果!$B686=""),0,IF(OR(N(对接源_01水果!$B686)&lt;$L$2,N(对接源_01水果!$B686)&gt;$L$3),0,1))</f>
        <v>0</v>
      </c>
      <c r="M686">
        <f>IF(OR($M$1="",对接源_01水果!$C686="",对接源_01水果!$C686&lt;&gt;$M$1,对接源_01水果!$B686=""),0,IF(OR(N(对接源_01水果!$B686)&lt;$M$2,N(对接源_01水果!$B686)&gt;$M$3),0,1))</f>
        <v>0</v>
      </c>
      <c r="N686">
        <f>IF(OR($N$1="",对接源_01水果!$C686="",对接源_01水果!$C686&lt;&gt;$N$1,对接源_01水果!$B686=""),0,IF(OR(N(对接源_01水果!$B686)&lt;$N$2,N(对接源_01水果!$B686)&gt;$N$3),0,1))</f>
        <v>0</v>
      </c>
      <c r="P686">
        <f>IF(AND($K686=1,AND(对接源_01水果!$X686="公司筐",N(对接源_01水果!$T686)&lt;&gt;0)),1,0)</f>
        <v>0</v>
      </c>
      <c r="Q686">
        <f>N(Q685)+$P686</f>
        <v>0</v>
      </c>
      <c r="R686">
        <f>IF(AND($K686=1,AND(对接源_01水果!$X686="公司筐",N(对接源_01水果!$U686)&lt;&gt;0)),1,0)</f>
        <v>0</v>
      </c>
      <c r="S686">
        <f>N(S685)+$R686</f>
        <v>0</v>
      </c>
      <c r="T686">
        <f>IF(AND($K686=1,AND(对接源_01水果!$X686="公司筐",N(对接源_01水果!$V686)&lt;&gt;0)),1,0)</f>
        <v>0</v>
      </c>
      <c r="U686">
        <f>N(U685)+$T686</f>
        <v>47</v>
      </c>
      <c r="V686">
        <f>IF(AND($L686=1,AND(对接源_01水果!$X686="自备筐",N(对接源_01水果!$V686)&lt;&gt;0)),1,0)</f>
        <v>0</v>
      </c>
      <c r="W686">
        <f>N(W685)+$V686</f>
        <v>11</v>
      </c>
      <c r="X686">
        <f>IF(AND($L686=1,AND(对接源_01水果!$X686="自备筐",N(对接源_01水果!$T686)&lt;&gt;0)),1,0)</f>
        <v>0</v>
      </c>
      <c r="Y686">
        <f>N(Y685)+$X686</f>
        <v>0</v>
      </c>
      <c r="Z686">
        <f>IF(AND($M686=1,对接源_01水果!$D686="原料入库"),1,0)</f>
        <v>0</v>
      </c>
      <c r="AA686">
        <f>N(AA685)+$Z686</f>
        <v>24</v>
      </c>
      <c r="AB686">
        <f>IF(AND($M686=1,LEFT(对接源_01水果!$D686,4)="原料出库"),1,0)</f>
        <v>0</v>
      </c>
      <c r="AC686">
        <f>N(AC685)+$AB686</f>
        <v>0</v>
      </c>
      <c r="AD686">
        <f>IF(AND($M686=1,LEFT(对接源_01水果!$D686,4)="成品出库"),1,0)</f>
        <v>0</v>
      </c>
      <c r="AE686">
        <f>N(AE685)+$AD686</f>
        <v>0</v>
      </c>
      <c r="AF686">
        <f>IF(AND($N686=1,AND(LEFT(对接源_01水果!$D686,4)="包装物料",N(对接源_01水果!$K686)&lt;&gt;0)),1,0)</f>
        <v>0</v>
      </c>
      <c r="AG686">
        <f>N(AG685)+$AF686</f>
        <v>0</v>
      </c>
      <c r="AH686">
        <f>IF(AND($N686=1,AND(对接源_01水果!$D686="周转筐－销售出库",N(对接源_01水果!$K686)&lt;&gt;0)),1,0)</f>
        <v>0</v>
      </c>
      <c r="AI686">
        <f>N(AI685)+$AH686</f>
        <v>0</v>
      </c>
      <c r="AJ686" s="7" t="n"/>
      <c r="AL686">
        <f>IF(OR($AL$1="",对接源_01水果!$Y686="",对接源_01水果!$Y686&lt;&gt;$AL$1,对接源_01水果!$B686="",N(对接源_01水果!$AJ686)&lt;=0),0,IF(OR(N(对接源_01水果!$B686)&lt;$AL$2,N(对接源_01水果!$B686)&gt;$AL$3),0,1))</f>
        <v>0</v>
      </c>
      <c r="AM686">
        <f>N(AM685)+$AL686</f>
        <v>2</v>
      </c>
      <c r="AN686">
        <f>IF(对接源_01水果!$AC686="","",对接源_01水果!$AC686)</f>
      </c>
      <c r="AO686">
        <f>IF(AN686="",0,IF(MATCH(AN686,$AN$4:$AN$1203,0)=ROW()-3,1,0))</f>
        <v>0</v>
      </c>
      <c r="AP686">
        <f>N(AP685)+$AO686</f>
        <v>13</v>
      </c>
      <c r="AR686">
        <f>IF(OR($AF686=1,$AH686=1),1,0)</f>
        <v>0</v>
      </c>
      <c r="AS686">
        <f>N(AS685)+$AR686</f>
        <v>0</v>
      </c>
    </row>
    <row r="687" ht="14.25" customHeight="1" s="127">
      <c r="A687">
        <f>IF(对接源_01水果!$C687="","",对接源_01水果!$C687)</f>
      </c>
      <c r="B687">
        <f>IF(A687="",0,IF(MATCH(A687,$A$4:$A$2403,0)=ROW()-3,1,0))</f>
        <v>0</v>
      </c>
      <c r="C687">
        <f>N(C686)+B687</f>
        <v>22</v>
      </c>
      <c r="K687">
        <f>IF(OR($K$1="",对接源_01水果!$C687="",对接源_01水果!$C687&lt;&gt;$K$1,对接源_01水果!$B687=""),0,IF(OR(N(对接源_01水果!$B687)&lt;$K$2,N(对接源_01水果!$B687)&gt;$K$3),0,1))</f>
        <v>0</v>
      </c>
      <c r="L687">
        <f>IF(OR($L$1="",对接源_01水果!$C687="",对接源_01水果!$C687&lt;&gt;$L$1,对接源_01水果!$B687=""),0,IF(OR(N(对接源_01水果!$B687)&lt;$L$2,N(对接源_01水果!$B687)&gt;$L$3),0,1))</f>
        <v>0</v>
      </c>
      <c r="M687">
        <f>IF(OR($M$1="",对接源_01水果!$C687="",对接源_01水果!$C687&lt;&gt;$M$1,对接源_01水果!$B687=""),0,IF(OR(N(对接源_01水果!$B687)&lt;$M$2,N(对接源_01水果!$B687)&gt;$M$3),0,1))</f>
        <v>0</v>
      </c>
      <c r="N687">
        <f>IF(OR($N$1="",对接源_01水果!$C687="",对接源_01水果!$C687&lt;&gt;$N$1,对接源_01水果!$B687=""),0,IF(OR(N(对接源_01水果!$B687)&lt;$N$2,N(对接源_01水果!$B687)&gt;$N$3),0,1))</f>
        <v>0</v>
      </c>
      <c r="P687">
        <f>IF(AND($K687=1,AND(对接源_01水果!$X687="公司筐",N(对接源_01水果!$T687)&lt;&gt;0)),1,0)</f>
        <v>0</v>
      </c>
      <c r="Q687">
        <f>N(Q686)+$P687</f>
        <v>0</v>
      </c>
      <c r="R687">
        <f>IF(AND($K687=1,AND(对接源_01水果!$X687="公司筐",N(对接源_01水果!$U687)&lt;&gt;0)),1,0)</f>
        <v>0</v>
      </c>
      <c r="S687">
        <f>N(S686)+$R687</f>
        <v>0</v>
      </c>
      <c r="T687">
        <f>IF(AND($K687=1,AND(对接源_01水果!$X687="公司筐",N(对接源_01水果!$V687)&lt;&gt;0)),1,0)</f>
        <v>0</v>
      </c>
      <c r="U687">
        <f>N(U686)+$T687</f>
        <v>47</v>
      </c>
      <c r="V687">
        <f>IF(AND($L687=1,AND(对接源_01水果!$X687="自备筐",N(对接源_01水果!$V687)&lt;&gt;0)),1,0)</f>
        <v>0</v>
      </c>
      <c r="W687">
        <f>N(W686)+$V687</f>
        <v>11</v>
      </c>
      <c r="X687">
        <f>IF(AND($L687=1,AND(对接源_01水果!$X687="自备筐",N(对接源_01水果!$T687)&lt;&gt;0)),1,0)</f>
        <v>0</v>
      </c>
      <c r="Y687">
        <f>N(Y686)+$X687</f>
        <v>0</v>
      </c>
      <c r="Z687">
        <f>IF(AND($M687=1,对接源_01水果!$D687="原料入库"),1,0)</f>
        <v>0</v>
      </c>
      <c r="AA687">
        <f>N(AA686)+$Z687</f>
        <v>24</v>
      </c>
      <c r="AB687">
        <f>IF(AND($M687=1,LEFT(对接源_01水果!$D687,4)="原料出库"),1,0)</f>
        <v>0</v>
      </c>
      <c r="AC687">
        <f>N(AC686)+$AB687</f>
        <v>0</v>
      </c>
      <c r="AD687">
        <f>IF(AND($M687=1,LEFT(对接源_01水果!$D687,4)="成品出库"),1,0)</f>
        <v>0</v>
      </c>
      <c r="AE687">
        <f>N(AE686)+$AD687</f>
        <v>0</v>
      </c>
      <c r="AF687">
        <f>IF(AND($N687=1,AND(LEFT(对接源_01水果!$D687,4)="包装物料",N(对接源_01水果!$K687)&lt;&gt;0)),1,0)</f>
        <v>0</v>
      </c>
      <c r="AG687">
        <f>N(AG686)+$AF687</f>
        <v>0</v>
      </c>
      <c r="AH687">
        <f>IF(AND($N687=1,AND(对接源_01水果!$D687="周转筐－销售出库",N(对接源_01水果!$K687)&lt;&gt;0)),1,0)</f>
        <v>0</v>
      </c>
      <c r="AI687">
        <f>N(AI686)+$AH687</f>
        <v>0</v>
      </c>
      <c r="AJ687" s="7" t="n"/>
      <c r="AL687">
        <f>IF(OR($AL$1="",对接源_01水果!$Y687="",对接源_01水果!$Y687&lt;&gt;$AL$1,对接源_01水果!$B687="",N(对接源_01水果!$AJ687)&lt;=0),0,IF(OR(N(对接源_01水果!$B687)&lt;$AL$2,N(对接源_01水果!$B687)&gt;$AL$3),0,1))</f>
        <v>0</v>
      </c>
      <c r="AM687">
        <f>N(AM686)+$AL687</f>
        <v>2</v>
      </c>
      <c r="AN687">
        <f>IF(对接源_01水果!$AC687="","",对接源_01水果!$AC687)</f>
      </c>
      <c r="AO687">
        <f>IF(AN687="",0,IF(MATCH(AN687,$AN$4:$AN$1203,0)=ROW()-3,1,0))</f>
        <v>0</v>
      </c>
      <c r="AP687">
        <f>N(AP686)+$AO687</f>
        <v>13</v>
      </c>
      <c r="AR687">
        <f>IF(OR($AF687=1,$AH687=1),1,0)</f>
        <v>0</v>
      </c>
      <c r="AS687">
        <f>N(AS686)+$AR687</f>
        <v>0</v>
      </c>
    </row>
    <row r="688" ht="14.25" customHeight="1" s="127">
      <c r="A688">
        <f>IF(对接源_01水果!$C688="","",对接源_01水果!$C688)</f>
      </c>
      <c r="B688">
        <f>IF(A688="",0,IF(MATCH(A688,$A$4:$A$2403,0)=ROW()-3,1,0))</f>
        <v>0</v>
      </c>
      <c r="C688">
        <f>N(C687)+B688</f>
        <v>22</v>
      </c>
      <c r="K688">
        <f>IF(OR($K$1="",对接源_01水果!$C688="",对接源_01水果!$C688&lt;&gt;$K$1,对接源_01水果!$B688=""),0,IF(OR(N(对接源_01水果!$B688)&lt;$K$2,N(对接源_01水果!$B688)&gt;$K$3),0,1))</f>
        <v>0</v>
      </c>
      <c r="L688">
        <f>IF(OR($L$1="",对接源_01水果!$C688="",对接源_01水果!$C688&lt;&gt;$L$1,对接源_01水果!$B688=""),0,IF(OR(N(对接源_01水果!$B688)&lt;$L$2,N(对接源_01水果!$B688)&gt;$L$3),0,1))</f>
        <v>0</v>
      </c>
      <c r="M688">
        <f>IF(OR($M$1="",对接源_01水果!$C688="",对接源_01水果!$C688&lt;&gt;$M$1,对接源_01水果!$B688=""),0,IF(OR(N(对接源_01水果!$B688)&lt;$M$2,N(对接源_01水果!$B688)&gt;$M$3),0,1))</f>
        <v>0</v>
      </c>
      <c r="N688">
        <f>IF(OR($N$1="",对接源_01水果!$C688="",对接源_01水果!$C688&lt;&gt;$N$1,对接源_01水果!$B688=""),0,IF(OR(N(对接源_01水果!$B688)&lt;$N$2,N(对接源_01水果!$B688)&gt;$N$3),0,1))</f>
        <v>0</v>
      </c>
      <c r="P688">
        <f>IF(AND($K688=1,AND(对接源_01水果!$X688="公司筐",N(对接源_01水果!$T688)&lt;&gt;0)),1,0)</f>
        <v>0</v>
      </c>
      <c r="Q688">
        <f>N(Q687)+$P688</f>
        <v>0</v>
      </c>
      <c r="R688">
        <f>IF(AND($K688=1,AND(对接源_01水果!$X688="公司筐",N(对接源_01水果!$U688)&lt;&gt;0)),1,0)</f>
        <v>0</v>
      </c>
      <c r="S688">
        <f>N(S687)+$R688</f>
        <v>0</v>
      </c>
      <c r="T688">
        <f>IF(AND($K688=1,AND(对接源_01水果!$X688="公司筐",N(对接源_01水果!$V688)&lt;&gt;0)),1,0)</f>
        <v>0</v>
      </c>
      <c r="U688">
        <f>N(U687)+$T688</f>
        <v>47</v>
      </c>
      <c r="V688">
        <f>IF(AND($L688=1,AND(对接源_01水果!$X688="自备筐",N(对接源_01水果!$V688)&lt;&gt;0)),1,0)</f>
        <v>0</v>
      </c>
      <c r="W688">
        <f>N(W687)+$V688</f>
        <v>11</v>
      </c>
      <c r="X688">
        <f>IF(AND($L688=1,AND(对接源_01水果!$X688="自备筐",N(对接源_01水果!$T688)&lt;&gt;0)),1,0)</f>
        <v>0</v>
      </c>
      <c r="Y688">
        <f>N(Y687)+$X688</f>
        <v>0</v>
      </c>
      <c r="Z688">
        <f>IF(AND($M688=1,对接源_01水果!$D688="原料入库"),1,0)</f>
        <v>0</v>
      </c>
      <c r="AA688">
        <f>N(AA687)+$Z688</f>
        <v>24</v>
      </c>
      <c r="AB688">
        <f>IF(AND($M688=1,LEFT(对接源_01水果!$D688,4)="原料出库"),1,0)</f>
        <v>0</v>
      </c>
      <c r="AC688">
        <f>N(AC687)+$AB688</f>
        <v>0</v>
      </c>
      <c r="AD688">
        <f>IF(AND($M688=1,LEFT(对接源_01水果!$D688,4)="成品出库"),1,0)</f>
        <v>0</v>
      </c>
      <c r="AE688">
        <f>N(AE687)+$AD688</f>
        <v>0</v>
      </c>
      <c r="AF688">
        <f>IF(AND($N688=1,AND(LEFT(对接源_01水果!$D688,4)="包装物料",N(对接源_01水果!$K688)&lt;&gt;0)),1,0)</f>
        <v>0</v>
      </c>
      <c r="AG688">
        <f>N(AG687)+$AF688</f>
        <v>0</v>
      </c>
      <c r="AH688">
        <f>IF(AND($N688=1,AND(对接源_01水果!$D688="周转筐－销售出库",N(对接源_01水果!$K688)&lt;&gt;0)),1,0)</f>
        <v>0</v>
      </c>
      <c r="AI688">
        <f>N(AI687)+$AH688</f>
        <v>0</v>
      </c>
      <c r="AJ688" s="7" t="n"/>
      <c r="AL688">
        <f>IF(OR($AL$1="",对接源_01水果!$Y688="",对接源_01水果!$Y688&lt;&gt;$AL$1,对接源_01水果!$B688="",N(对接源_01水果!$AJ688)&lt;=0),0,IF(OR(N(对接源_01水果!$B688)&lt;$AL$2,N(对接源_01水果!$B688)&gt;$AL$3),0,1))</f>
        <v>0</v>
      </c>
      <c r="AM688">
        <f>N(AM687)+$AL688</f>
        <v>2</v>
      </c>
      <c r="AN688">
        <f>IF(对接源_01水果!$AC688="","",对接源_01水果!$AC688)</f>
      </c>
      <c r="AO688">
        <f>IF(AN688="",0,IF(MATCH(AN688,$AN$4:$AN$1203,0)=ROW()-3,1,0))</f>
        <v>0</v>
      </c>
      <c r="AP688">
        <f>N(AP687)+$AO688</f>
        <v>13</v>
      </c>
      <c r="AR688">
        <f>IF(OR($AF688=1,$AH688=1),1,0)</f>
        <v>0</v>
      </c>
      <c r="AS688">
        <f>N(AS687)+$AR688</f>
        <v>0</v>
      </c>
    </row>
    <row r="689" ht="14.25" customHeight="1" s="127">
      <c r="A689">
        <f>IF(对接源_01水果!$C689="","",对接源_01水果!$C689)</f>
      </c>
      <c r="B689">
        <f>IF(A689="",0,IF(MATCH(A689,$A$4:$A$2403,0)=ROW()-3,1,0))</f>
        <v>0</v>
      </c>
      <c r="C689">
        <f>N(C688)+B689</f>
        <v>22</v>
      </c>
      <c r="K689">
        <f>IF(OR($K$1="",对接源_01水果!$C689="",对接源_01水果!$C689&lt;&gt;$K$1,对接源_01水果!$B689=""),0,IF(OR(N(对接源_01水果!$B689)&lt;$K$2,N(对接源_01水果!$B689)&gt;$K$3),0,1))</f>
        <v>0</v>
      </c>
      <c r="L689">
        <f>IF(OR($L$1="",对接源_01水果!$C689="",对接源_01水果!$C689&lt;&gt;$L$1,对接源_01水果!$B689=""),0,IF(OR(N(对接源_01水果!$B689)&lt;$L$2,N(对接源_01水果!$B689)&gt;$L$3),0,1))</f>
        <v>0</v>
      </c>
      <c r="M689">
        <f>IF(OR($M$1="",对接源_01水果!$C689="",对接源_01水果!$C689&lt;&gt;$M$1,对接源_01水果!$B689=""),0,IF(OR(N(对接源_01水果!$B689)&lt;$M$2,N(对接源_01水果!$B689)&gt;$M$3),0,1))</f>
        <v>0</v>
      </c>
      <c r="N689">
        <f>IF(OR($N$1="",对接源_01水果!$C689="",对接源_01水果!$C689&lt;&gt;$N$1,对接源_01水果!$B689=""),0,IF(OR(N(对接源_01水果!$B689)&lt;$N$2,N(对接源_01水果!$B689)&gt;$N$3),0,1))</f>
        <v>0</v>
      </c>
      <c r="P689">
        <f>IF(AND($K689=1,AND(对接源_01水果!$X689="公司筐",N(对接源_01水果!$T689)&lt;&gt;0)),1,0)</f>
        <v>0</v>
      </c>
      <c r="Q689">
        <f>N(Q688)+$P689</f>
        <v>0</v>
      </c>
      <c r="R689">
        <f>IF(AND($K689=1,AND(对接源_01水果!$X689="公司筐",N(对接源_01水果!$U689)&lt;&gt;0)),1,0)</f>
        <v>0</v>
      </c>
      <c r="S689">
        <f>N(S688)+$R689</f>
        <v>0</v>
      </c>
      <c r="T689">
        <f>IF(AND($K689=1,AND(对接源_01水果!$X689="公司筐",N(对接源_01水果!$V689)&lt;&gt;0)),1,0)</f>
        <v>0</v>
      </c>
      <c r="U689">
        <f>N(U688)+$T689</f>
        <v>47</v>
      </c>
      <c r="V689">
        <f>IF(AND($L689=1,AND(对接源_01水果!$X689="自备筐",N(对接源_01水果!$V689)&lt;&gt;0)),1,0)</f>
        <v>0</v>
      </c>
      <c r="W689">
        <f>N(W688)+$V689</f>
        <v>11</v>
      </c>
      <c r="X689">
        <f>IF(AND($L689=1,AND(对接源_01水果!$X689="自备筐",N(对接源_01水果!$T689)&lt;&gt;0)),1,0)</f>
        <v>0</v>
      </c>
      <c r="Y689">
        <f>N(Y688)+$X689</f>
        <v>0</v>
      </c>
      <c r="Z689">
        <f>IF(AND($M689=1,对接源_01水果!$D689="原料入库"),1,0)</f>
        <v>0</v>
      </c>
      <c r="AA689">
        <f>N(AA688)+$Z689</f>
        <v>24</v>
      </c>
      <c r="AB689">
        <f>IF(AND($M689=1,LEFT(对接源_01水果!$D689,4)="原料出库"),1,0)</f>
        <v>0</v>
      </c>
      <c r="AC689">
        <f>N(AC688)+$AB689</f>
        <v>0</v>
      </c>
      <c r="AD689">
        <f>IF(AND($M689=1,LEFT(对接源_01水果!$D689,4)="成品出库"),1,0)</f>
        <v>0</v>
      </c>
      <c r="AE689">
        <f>N(AE688)+$AD689</f>
        <v>0</v>
      </c>
      <c r="AF689">
        <f>IF(AND($N689=1,AND(LEFT(对接源_01水果!$D689,4)="包装物料",N(对接源_01水果!$K689)&lt;&gt;0)),1,0)</f>
        <v>0</v>
      </c>
      <c r="AG689">
        <f>N(AG688)+$AF689</f>
        <v>0</v>
      </c>
      <c r="AH689">
        <f>IF(AND($N689=1,AND(对接源_01水果!$D689="周转筐－销售出库",N(对接源_01水果!$K689)&lt;&gt;0)),1,0)</f>
        <v>0</v>
      </c>
      <c r="AI689">
        <f>N(AI688)+$AH689</f>
        <v>0</v>
      </c>
      <c r="AJ689" s="7" t="n"/>
      <c r="AL689">
        <f>IF(OR($AL$1="",对接源_01水果!$Y689="",对接源_01水果!$Y689&lt;&gt;$AL$1,对接源_01水果!$B689="",N(对接源_01水果!$AJ689)&lt;=0),0,IF(OR(N(对接源_01水果!$B689)&lt;$AL$2,N(对接源_01水果!$B689)&gt;$AL$3),0,1))</f>
        <v>0</v>
      </c>
      <c r="AM689">
        <f>N(AM688)+$AL689</f>
        <v>2</v>
      </c>
      <c r="AN689">
        <f>IF(对接源_01水果!$AC689="","",对接源_01水果!$AC689)</f>
      </c>
      <c r="AO689">
        <f>IF(AN689="",0,IF(MATCH(AN689,$AN$4:$AN$1203,0)=ROW()-3,1,0))</f>
        <v>0</v>
      </c>
      <c r="AP689">
        <f>N(AP688)+$AO689</f>
        <v>13</v>
      </c>
      <c r="AR689">
        <f>IF(OR($AF689=1,$AH689=1),1,0)</f>
        <v>0</v>
      </c>
      <c r="AS689">
        <f>N(AS688)+$AR689</f>
        <v>0</v>
      </c>
    </row>
    <row r="690" ht="14.25" customHeight="1" s="127">
      <c r="A690">
        <f>IF(对接源_01水果!$C690="","",对接源_01水果!$C690)</f>
      </c>
      <c r="B690">
        <f>IF(A690="",0,IF(MATCH(A690,$A$4:$A$2403,0)=ROW()-3,1,0))</f>
        <v>0</v>
      </c>
      <c r="C690">
        <f>N(C689)+B690</f>
        <v>22</v>
      </c>
      <c r="K690">
        <f>IF(OR($K$1="",对接源_01水果!$C690="",对接源_01水果!$C690&lt;&gt;$K$1,对接源_01水果!$B690=""),0,IF(OR(N(对接源_01水果!$B690)&lt;$K$2,N(对接源_01水果!$B690)&gt;$K$3),0,1))</f>
        <v>0</v>
      </c>
      <c r="L690">
        <f>IF(OR($L$1="",对接源_01水果!$C690="",对接源_01水果!$C690&lt;&gt;$L$1,对接源_01水果!$B690=""),0,IF(OR(N(对接源_01水果!$B690)&lt;$L$2,N(对接源_01水果!$B690)&gt;$L$3),0,1))</f>
        <v>0</v>
      </c>
      <c r="M690">
        <f>IF(OR($M$1="",对接源_01水果!$C690="",对接源_01水果!$C690&lt;&gt;$M$1,对接源_01水果!$B690=""),0,IF(OR(N(对接源_01水果!$B690)&lt;$M$2,N(对接源_01水果!$B690)&gt;$M$3),0,1))</f>
        <v>0</v>
      </c>
      <c r="N690">
        <f>IF(OR($N$1="",对接源_01水果!$C690="",对接源_01水果!$C690&lt;&gt;$N$1,对接源_01水果!$B690=""),0,IF(OR(N(对接源_01水果!$B690)&lt;$N$2,N(对接源_01水果!$B690)&gt;$N$3),0,1))</f>
        <v>0</v>
      </c>
      <c r="P690">
        <f>IF(AND($K690=1,AND(对接源_01水果!$X690="公司筐",N(对接源_01水果!$T690)&lt;&gt;0)),1,0)</f>
        <v>0</v>
      </c>
      <c r="Q690">
        <f>N(Q689)+$P690</f>
        <v>0</v>
      </c>
      <c r="R690">
        <f>IF(AND($K690=1,AND(对接源_01水果!$X690="公司筐",N(对接源_01水果!$U690)&lt;&gt;0)),1,0)</f>
        <v>0</v>
      </c>
      <c r="S690">
        <f>N(S689)+$R690</f>
        <v>0</v>
      </c>
      <c r="T690">
        <f>IF(AND($K690=1,AND(对接源_01水果!$X690="公司筐",N(对接源_01水果!$V690)&lt;&gt;0)),1,0)</f>
        <v>0</v>
      </c>
      <c r="U690">
        <f>N(U689)+$T690</f>
        <v>47</v>
      </c>
      <c r="V690">
        <f>IF(AND($L690=1,AND(对接源_01水果!$X690="自备筐",N(对接源_01水果!$V690)&lt;&gt;0)),1,0)</f>
        <v>0</v>
      </c>
      <c r="W690">
        <f>N(W689)+$V690</f>
        <v>11</v>
      </c>
      <c r="X690">
        <f>IF(AND($L690=1,AND(对接源_01水果!$X690="自备筐",N(对接源_01水果!$T690)&lt;&gt;0)),1,0)</f>
        <v>0</v>
      </c>
      <c r="Y690">
        <f>N(Y689)+$X690</f>
        <v>0</v>
      </c>
      <c r="Z690">
        <f>IF(AND($M690=1,对接源_01水果!$D690="原料入库"),1,0)</f>
        <v>0</v>
      </c>
      <c r="AA690">
        <f>N(AA689)+$Z690</f>
        <v>24</v>
      </c>
      <c r="AB690">
        <f>IF(AND($M690=1,LEFT(对接源_01水果!$D690,4)="原料出库"),1,0)</f>
        <v>0</v>
      </c>
      <c r="AC690">
        <f>N(AC689)+$AB690</f>
        <v>0</v>
      </c>
      <c r="AD690">
        <f>IF(AND($M690=1,LEFT(对接源_01水果!$D690,4)="成品出库"),1,0)</f>
        <v>0</v>
      </c>
      <c r="AE690">
        <f>N(AE689)+$AD690</f>
        <v>0</v>
      </c>
      <c r="AF690">
        <f>IF(AND($N690=1,AND(LEFT(对接源_01水果!$D690,4)="包装物料",N(对接源_01水果!$K690)&lt;&gt;0)),1,0)</f>
        <v>0</v>
      </c>
      <c r="AG690">
        <f>N(AG689)+$AF690</f>
        <v>0</v>
      </c>
      <c r="AH690">
        <f>IF(AND($N690=1,AND(对接源_01水果!$D690="周转筐－销售出库",N(对接源_01水果!$K690)&lt;&gt;0)),1,0)</f>
        <v>0</v>
      </c>
      <c r="AI690">
        <f>N(AI689)+$AH690</f>
        <v>0</v>
      </c>
      <c r="AJ690" s="7" t="n"/>
      <c r="AL690">
        <f>IF(OR($AL$1="",对接源_01水果!$Y690="",对接源_01水果!$Y690&lt;&gt;$AL$1,对接源_01水果!$B690="",N(对接源_01水果!$AJ690)&lt;=0),0,IF(OR(N(对接源_01水果!$B690)&lt;$AL$2,N(对接源_01水果!$B690)&gt;$AL$3),0,1))</f>
        <v>0</v>
      </c>
      <c r="AM690">
        <f>N(AM689)+$AL690</f>
        <v>2</v>
      </c>
      <c r="AN690">
        <f>IF(对接源_01水果!$AC690="","",对接源_01水果!$AC690)</f>
      </c>
      <c r="AO690">
        <f>IF(AN690="",0,IF(MATCH(AN690,$AN$4:$AN$1203,0)=ROW()-3,1,0))</f>
        <v>0</v>
      </c>
      <c r="AP690">
        <f>N(AP689)+$AO690</f>
        <v>13</v>
      </c>
      <c r="AR690">
        <f>IF(OR($AF690=1,$AH690=1),1,0)</f>
        <v>0</v>
      </c>
      <c r="AS690">
        <f>N(AS689)+$AR690</f>
        <v>0</v>
      </c>
    </row>
    <row r="691" ht="14.25" customHeight="1" s="127">
      <c r="A691">
        <f>IF(对接源_01水果!$C691="","",对接源_01水果!$C691)</f>
      </c>
      <c r="B691">
        <f>IF(A691="",0,IF(MATCH(A691,$A$4:$A$2403,0)=ROW()-3,1,0))</f>
        <v>0</v>
      </c>
      <c r="C691">
        <f>N(C690)+B691</f>
        <v>22</v>
      </c>
      <c r="K691">
        <f>IF(OR($K$1="",对接源_01水果!$C691="",对接源_01水果!$C691&lt;&gt;$K$1,对接源_01水果!$B691=""),0,IF(OR(N(对接源_01水果!$B691)&lt;$K$2,N(对接源_01水果!$B691)&gt;$K$3),0,1))</f>
        <v>0</v>
      </c>
      <c r="L691">
        <f>IF(OR($L$1="",对接源_01水果!$C691="",对接源_01水果!$C691&lt;&gt;$L$1,对接源_01水果!$B691=""),0,IF(OR(N(对接源_01水果!$B691)&lt;$L$2,N(对接源_01水果!$B691)&gt;$L$3),0,1))</f>
        <v>0</v>
      </c>
      <c r="M691">
        <f>IF(OR($M$1="",对接源_01水果!$C691="",对接源_01水果!$C691&lt;&gt;$M$1,对接源_01水果!$B691=""),0,IF(OR(N(对接源_01水果!$B691)&lt;$M$2,N(对接源_01水果!$B691)&gt;$M$3),0,1))</f>
        <v>0</v>
      </c>
      <c r="N691">
        <f>IF(OR($N$1="",对接源_01水果!$C691="",对接源_01水果!$C691&lt;&gt;$N$1,对接源_01水果!$B691=""),0,IF(OR(N(对接源_01水果!$B691)&lt;$N$2,N(对接源_01水果!$B691)&gt;$N$3),0,1))</f>
        <v>0</v>
      </c>
      <c r="P691">
        <f>IF(AND($K691=1,AND(对接源_01水果!$X691="公司筐",N(对接源_01水果!$T691)&lt;&gt;0)),1,0)</f>
        <v>0</v>
      </c>
      <c r="Q691">
        <f>N(Q690)+$P691</f>
        <v>0</v>
      </c>
      <c r="R691">
        <f>IF(AND($K691=1,AND(对接源_01水果!$X691="公司筐",N(对接源_01水果!$U691)&lt;&gt;0)),1,0)</f>
        <v>0</v>
      </c>
      <c r="S691">
        <f>N(S690)+$R691</f>
        <v>0</v>
      </c>
      <c r="T691">
        <f>IF(AND($K691=1,AND(对接源_01水果!$X691="公司筐",N(对接源_01水果!$V691)&lt;&gt;0)),1,0)</f>
        <v>0</v>
      </c>
      <c r="U691">
        <f>N(U690)+$T691</f>
        <v>47</v>
      </c>
      <c r="V691">
        <f>IF(AND($L691=1,AND(对接源_01水果!$X691="自备筐",N(对接源_01水果!$V691)&lt;&gt;0)),1,0)</f>
        <v>0</v>
      </c>
      <c r="W691">
        <f>N(W690)+$V691</f>
        <v>11</v>
      </c>
      <c r="X691">
        <f>IF(AND($L691=1,AND(对接源_01水果!$X691="自备筐",N(对接源_01水果!$T691)&lt;&gt;0)),1,0)</f>
        <v>0</v>
      </c>
      <c r="Y691">
        <f>N(Y690)+$X691</f>
        <v>0</v>
      </c>
      <c r="Z691">
        <f>IF(AND($M691=1,对接源_01水果!$D691="原料入库"),1,0)</f>
        <v>0</v>
      </c>
      <c r="AA691">
        <f>N(AA690)+$Z691</f>
        <v>24</v>
      </c>
      <c r="AB691">
        <f>IF(AND($M691=1,LEFT(对接源_01水果!$D691,4)="原料出库"),1,0)</f>
        <v>0</v>
      </c>
      <c r="AC691">
        <f>N(AC690)+$AB691</f>
        <v>0</v>
      </c>
      <c r="AD691">
        <f>IF(AND($M691=1,LEFT(对接源_01水果!$D691,4)="成品出库"),1,0)</f>
        <v>0</v>
      </c>
      <c r="AE691">
        <f>N(AE690)+$AD691</f>
        <v>0</v>
      </c>
      <c r="AF691">
        <f>IF(AND($N691=1,AND(LEFT(对接源_01水果!$D691,4)="包装物料",N(对接源_01水果!$K691)&lt;&gt;0)),1,0)</f>
        <v>0</v>
      </c>
      <c r="AG691">
        <f>N(AG690)+$AF691</f>
        <v>0</v>
      </c>
      <c r="AH691">
        <f>IF(AND($N691=1,AND(对接源_01水果!$D691="周转筐－销售出库",N(对接源_01水果!$K691)&lt;&gt;0)),1,0)</f>
        <v>0</v>
      </c>
      <c r="AI691">
        <f>N(AI690)+$AH691</f>
        <v>0</v>
      </c>
      <c r="AJ691" s="7" t="n"/>
      <c r="AL691">
        <f>IF(OR($AL$1="",对接源_01水果!$Y691="",对接源_01水果!$Y691&lt;&gt;$AL$1,对接源_01水果!$B691="",N(对接源_01水果!$AJ691)&lt;=0),0,IF(OR(N(对接源_01水果!$B691)&lt;$AL$2,N(对接源_01水果!$B691)&gt;$AL$3),0,1))</f>
        <v>0</v>
      </c>
      <c r="AM691">
        <f>N(AM690)+$AL691</f>
        <v>2</v>
      </c>
      <c r="AN691">
        <f>IF(对接源_01水果!$AC691="","",对接源_01水果!$AC691)</f>
      </c>
      <c r="AO691">
        <f>IF(AN691="",0,IF(MATCH(AN691,$AN$4:$AN$1203,0)=ROW()-3,1,0))</f>
        <v>0</v>
      </c>
      <c r="AP691">
        <f>N(AP690)+$AO691</f>
        <v>13</v>
      </c>
      <c r="AR691">
        <f>IF(OR($AF691=1,$AH691=1),1,0)</f>
        <v>0</v>
      </c>
      <c r="AS691">
        <f>N(AS690)+$AR691</f>
        <v>0</v>
      </c>
    </row>
    <row r="692" ht="14.25" customHeight="1" s="127">
      <c r="A692">
        <f>IF(对接源_01水果!$C692="","",对接源_01水果!$C692)</f>
      </c>
      <c r="B692">
        <f>IF(A692="",0,IF(MATCH(A692,$A$4:$A$2403,0)=ROW()-3,1,0))</f>
        <v>0</v>
      </c>
      <c r="C692">
        <f>N(C691)+B692</f>
        <v>22</v>
      </c>
      <c r="K692">
        <f>IF(OR($K$1="",对接源_01水果!$C692="",对接源_01水果!$C692&lt;&gt;$K$1,对接源_01水果!$B692=""),0,IF(OR(N(对接源_01水果!$B692)&lt;$K$2,N(对接源_01水果!$B692)&gt;$K$3),0,1))</f>
        <v>0</v>
      </c>
      <c r="L692">
        <f>IF(OR($L$1="",对接源_01水果!$C692="",对接源_01水果!$C692&lt;&gt;$L$1,对接源_01水果!$B692=""),0,IF(OR(N(对接源_01水果!$B692)&lt;$L$2,N(对接源_01水果!$B692)&gt;$L$3),0,1))</f>
        <v>0</v>
      </c>
      <c r="M692">
        <f>IF(OR($M$1="",对接源_01水果!$C692="",对接源_01水果!$C692&lt;&gt;$M$1,对接源_01水果!$B692=""),0,IF(OR(N(对接源_01水果!$B692)&lt;$M$2,N(对接源_01水果!$B692)&gt;$M$3),0,1))</f>
        <v>0</v>
      </c>
      <c r="N692">
        <f>IF(OR($N$1="",对接源_01水果!$C692="",对接源_01水果!$C692&lt;&gt;$N$1,对接源_01水果!$B692=""),0,IF(OR(N(对接源_01水果!$B692)&lt;$N$2,N(对接源_01水果!$B692)&gt;$N$3),0,1))</f>
        <v>0</v>
      </c>
      <c r="P692">
        <f>IF(AND($K692=1,AND(对接源_01水果!$X692="公司筐",N(对接源_01水果!$T692)&lt;&gt;0)),1,0)</f>
        <v>0</v>
      </c>
      <c r="Q692">
        <f>N(Q691)+$P692</f>
        <v>0</v>
      </c>
      <c r="R692">
        <f>IF(AND($K692=1,AND(对接源_01水果!$X692="公司筐",N(对接源_01水果!$U692)&lt;&gt;0)),1,0)</f>
        <v>0</v>
      </c>
      <c r="S692">
        <f>N(S691)+$R692</f>
        <v>0</v>
      </c>
      <c r="T692">
        <f>IF(AND($K692=1,AND(对接源_01水果!$X692="公司筐",N(对接源_01水果!$V692)&lt;&gt;0)),1,0)</f>
        <v>0</v>
      </c>
      <c r="U692">
        <f>N(U691)+$T692</f>
        <v>47</v>
      </c>
      <c r="V692">
        <f>IF(AND($L692=1,AND(对接源_01水果!$X692="自备筐",N(对接源_01水果!$V692)&lt;&gt;0)),1,0)</f>
        <v>0</v>
      </c>
      <c r="W692">
        <f>N(W691)+$V692</f>
        <v>11</v>
      </c>
      <c r="X692">
        <f>IF(AND($L692=1,AND(对接源_01水果!$X692="自备筐",N(对接源_01水果!$T692)&lt;&gt;0)),1,0)</f>
        <v>0</v>
      </c>
      <c r="Y692">
        <f>N(Y691)+$X692</f>
        <v>0</v>
      </c>
      <c r="Z692">
        <f>IF(AND($M692=1,对接源_01水果!$D692="原料入库"),1,0)</f>
        <v>0</v>
      </c>
      <c r="AA692">
        <f>N(AA691)+$Z692</f>
        <v>24</v>
      </c>
      <c r="AB692">
        <f>IF(AND($M692=1,LEFT(对接源_01水果!$D692,4)="原料出库"),1,0)</f>
        <v>0</v>
      </c>
      <c r="AC692">
        <f>N(AC691)+$AB692</f>
        <v>0</v>
      </c>
      <c r="AD692">
        <f>IF(AND($M692=1,LEFT(对接源_01水果!$D692,4)="成品出库"),1,0)</f>
        <v>0</v>
      </c>
      <c r="AE692">
        <f>N(AE691)+$AD692</f>
        <v>0</v>
      </c>
      <c r="AF692">
        <f>IF(AND($N692=1,AND(LEFT(对接源_01水果!$D692,4)="包装物料",N(对接源_01水果!$K692)&lt;&gt;0)),1,0)</f>
        <v>0</v>
      </c>
      <c r="AG692">
        <f>N(AG691)+$AF692</f>
        <v>0</v>
      </c>
      <c r="AH692">
        <f>IF(AND($N692=1,AND(对接源_01水果!$D692="周转筐－销售出库",N(对接源_01水果!$K692)&lt;&gt;0)),1,0)</f>
        <v>0</v>
      </c>
      <c r="AI692">
        <f>N(AI691)+$AH692</f>
        <v>0</v>
      </c>
      <c r="AJ692" s="7" t="n"/>
      <c r="AL692">
        <f>IF(OR($AL$1="",对接源_01水果!$Y692="",对接源_01水果!$Y692&lt;&gt;$AL$1,对接源_01水果!$B692="",N(对接源_01水果!$AJ692)&lt;=0),0,IF(OR(N(对接源_01水果!$B692)&lt;$AL$2,N(对接源_01水果!$B692)&gt;$AL$3),0,1))</f>
        <v>0</v>
      </c>
      <c r="AM692">
        <f>N(AM691)+$AL692</f>
        <v>2</v>
      </c>
      <c r="AN692">
        <f>IF(对接源_01水果!$AC692="","",对接源_01水果!$AC692)</f>
      </c>
      <c r="AO692">
        <f>IF(AN692="",0,IF(MATCH(AN692,$AN$4:$AN$1203,0)=ROW()-3,1,0))</f>
        <v>0</v>
      </c>
      <c r="AP692">
        <f>N(AP691)+$AO692</f>
        <v>13</v>
      </c>
      <c r="AR692">
        <f>IF(OR($AF692=1,$AH692=1),1,0)</f>
        <v>0</v>
      </c>
      <c r="AS692">
        <f>N(AS691)+$AR692</f>
        <v>0</v>
      </c>
    </row>
    <row r="693" ht="14.25" customHeight="1" s="127">
      <c r="A693">
        <f>IF(对接源_01水果!$C693="","",对接源_01水果!$C693)</f>
      </c>
      <c r="B693">
        <f>IF(A693="",0,IF(MATCH(A693,$A$4:$A$2403,0)=ROW()-3,1,0))</f>
        <v>0</v>
      </c>
      <c r="C693">
        <f>N(C692)+B693</f>
        <v>22</v>
      </c>
      <c r="K693">
        <f>IF(OR($K$1="",对接源_01水果!$C693="",对接源_01水果!$C693&lt;&gt;$K$1,对接源_01水果!$B693=""),0,IF(OR(N(对接源_01水果!$B693)&lt;$K$2,N(对接源_01水果!$B693)&gt;$K$3),0,1))</f>
        <v>0</v>
      </c>
      <c r="L693">
        <f>IF(OR($L$1="",对接源_01水果!$C693="",对接源_01水果!$C693&lt;&gt;$L$1,对接源_01水果!$B693=""),0,IF(OR(N(对接源_01水果!$B693)&lt;$L$2,N(对接源_01水果!$B693)&gt;$L$3),0,1))</f>
        <v>0</v>
      </c>
      <c r="M693">
        <f>IF(OR($M$1="",对接源_01水果!$C693="",对接源_01水果!$C693&lt;&gt;$M$1,对接源_01水果!$B693=""),0,IF(OR(N(对接源_01水果!$B693)&lt;$M$2,N(对接源_01水果!$B693)&gt;$M$3),0,1))</f>
        <v>0</v>
      </c>
      <c r="N693">
        <f>IF(OR($N$1="",对接源_01水果!$C693="",对接源_01水果!$C693&lt;&gt;$N$1,对接源_01水果!$B693=""),0,IF(OR(N(对接源_01水果!$B693)&lt;$N$2,N(对接源_01水果!$B693)&gt;$N$3),0,1))</f>
        <v>0</v>
      </c>
      <c r="P693">
        <f>IF(AND($K693=1,AND(对接源_01水果!$X693="公司筐",N(对接源_01水果!$T693)&lt;&gt;0)),1,0)</f>
        <v>0</v>
      </c>
      <c r="Q693">
        <f>N(Q692)+$P693</f>
        <v>0</v>
      </c>
      <c r="R693">
        <f>IF(AND($K693=1,AND(对接源_01水果!$X693="公司筐",N(对接源_01水果!$U693)&lt;&gt;0)),1,0)</f>
        <v>0</v>
      </c>
      <c r="S693">
        <f>N(S692)+$R693</f>
        <v>0</v>
      </c>
      <c r="T693">
        <f>IF(AND($K693=1,AND(对接源_01水果!$X693="公司筐",N(对接源_01水果!$V693)&lt;&gt;0)),1,0)</f>
        <v>0</v>
      </c>
      <c r="U693">
        <f>N(U692)+$T693</f>
        <v>47</v>
      </c>
      <c r="V693">
        <f>IF(AND($L693=1,AND(对接源_01水果!$X693="自备筐",N(对接源_01水果!$V693)&lt;&gt;0)),1,0)</f>
        <v>0</v>
      </c>
      <c r="W693">
        <f>N(W692)+$V693</f>
        <v>11</v>
      </c>
      <c r="X693">
        <f>IF(AND($L693=1,AND(对接源_01水果!$X693="自备筐",N(对接源_01水果!$T693)&lt;&gt;0)),1,0)</f>
        <v>0</v>
      </c>
      <c r="Y693">
        <f>N(Y692)+$X693</f>
        <v>0</v>
      </c>
      <c r="Z693">
        <f>IF(AND($M693=1,对接源_01水果!$D693="原料入库"),1,0)</f>
        <v>0</v>
      </c>
      <c r="AA693">
        <f>N(AA692)+$Z693</f>
        <v>24</v>
      </c>
      <c r="AB693">
        <f>IF(AND($M693=1,LEFT(对接源_01水果!$D693,4)="原料出库"),1,0)</f>
        <v>0</v>
      </c>
      <c r="AC693">
        <f>N(AC692)+$AB693</f>
        <v>0</v>
      </c>
      <c r="AD693">
        <f>IF(AND($M693=1,LEFT(对接源_01水果!$D693,4)="成品出库"),1,0)</f>
        <v>0</v>
      </c>
      <c r="AE693">
        <f>N(AE692)+$AD693</f>
        <v>0</v>
      </c>
      <c r="AF693">
        <f>IF(AND($N693=1,AND(LEFT(对接源_01水果!$D693,4)="包装物料",N(对接源_01水果!$K693)&lt;&gt;0)),1,0)</f>
        <v>0</v>
      </c>
      <c r="AG693">
        <f>N(AG692)+$AF693</f>
        <v>0</v>
      </c>
      <c r="AH693">
        <f>IF(AND($N693=1,AND(对接源_01水果!$D693="周转筐－销售出库",N(对接源_01水果!$K693)&lt;&gt;0)),1,0)</f>
        <v>0</v>
      </c>
      <c r="AI693">
        <f>N(AI692)+$AH693</f>
        <v>0</v>
      </c>
      <c r="AJ693" s="7" t="n"/>
      <c r="AL693">
        <f>IF(OR($AL$1="",对接源_01水果!$Y693="",对接源_01水果!$Y693&lt;&gt;$AL$1,对接源_01水果!$B693="",N(对接源_01水果!$AJ693)&lt;=0),0,IF(OR(N(对接源_01水果!$B693)&lt;$AL$2,N(对接源_01水果!$B693)&gt;$AL$3),0,1))</f>
        <v>0</v>
      </c>
      <c r="AM693">
        <f>N(AM692)+$AL693</f>
        <v>2</v>
      </c>
      <c r="AN693">
        <f>IF(对接源_01水果!$AC693="","",对接源_01水果!$AC693)</f>
      </c>
      <c r="AO693">
        <f>IF(AN693="",0,IF(MATCH(AN693,$AN$4:$AN$1203,0)=ROW()-3,1,0))</f>
        <v>0</v>
      </c>
      <c r="AP693">
        <f>N(AP692)+$AO693</f>
        <v>13</v>
      </c>
      <c r="AR693">
        <f>IF(OR($AF693=1,$AH693=1),1,0)</f>
        <v>0</v>
      </c>
      <c r="AS693">
        <f>N(AS692)+$AR693</f>
        <v>0</v>
      </c>
    </row>
    <row r="694" ht="14.25" customHeight="1" s="127">
      <c r="A694">
        <f>IF(对接源_01水果!$C694="","",对接源_01水果!$C694)</f>
      </c>
      <c r="B694">
        <f>IF(A694="",0,IF(MATCH(A694,$A$4:$A$2403,0)=ROW()-3,1,0))</f>
        <v>0</v>
      </c>
      <c r="C694">
        <f>N(C693)+B694</f>
        <v>22</v>
      </c>
      <c r="K694">
        <f>IF(OR($K$1="",对接源_01水果!$C694="",对接源_01水果!$C694&lt;&gt;$K$1,对接源_01水果!$B694=""),0,IF(OR(N(对接源_01水果!$B694)&lt;$K$2,N(对接源_01水果!$B694)&gt;$K$3),0,1))</f>
        <v>0</v>
      </c>
      <c r="L694">
        <f>IF(OR($L$1="",对接源_01水果!$C694="",对接源_01水果!$C694&lt;&gt;$L$1,对接源_01水果!$B694=""),0,IF(OR(N(对接源_01水果!$B694)&lt;$L$2,N(对接源_01水果!$B694)&gt;$L$3),0,1))</f>
        <v>0</v>
      </c>
      <c r="M694">
        <f>IF(OR($M$1="",对接源_01水果!$C694="",对接源_01水果!$C694&lt;&gt;$M$1,对接源_01水果!$B694=""),0,IF(OR(N(对接源_01水果!$B694)&lt;$M$2,N(对接源_01水果!$B694)&gt;$M$3),0,1))</f>
        <v>0</v>
      </c>
      <c r="N694">
        <f>IF(OR($N$1="",对接源_01水果!$C694="",对接源_01水果!$C694&lt;&gt;$N$1,对接源_01水果!$B694=""),0,IF(OR(N(对接源_01水果!$B694)&lt;$N$2,N(对接源_01水果!$B694)&gt;$N$3),0,1))</f>
        <v>0</v>
      </c>
      <c r="P694">
        <f>IF(AND($K694=1,AND(对接源_01水果!$X694="公司筐",N(对接源_01水果!$T694)&lt;&gt;0)),1,0)</f>
        <v>0</v>
      </c>
      <c r="Q694">
        <f>N(Q693)+$P694</f>
        <v>0</v>
      </c>
      <c r="R694">
        <f>IF(AND($K694=1,AND(对接源_01水果!$X694="公司筐",N(对接源_01水果!$U694)&lt;&gt;0)),1,0)</f>
        <v>0</v>
      </c>
      <c r="S694">
        <f>N(S693)+$R694</f>
        <v>0</v>
      </c>
      <c r="T694">
        <f>IF(AND($K694=1,AND(对接源_01水果!$X694="公司筐",N(对接源_01水果!$V694)&lt;&gt;0)),1,0)</f>
        <v>0</v>
      </c>
      <c r="U694">
        <f>N(U693)+$T694</f>
        <v>47</v>
      </c>
      <c r="V694">
        <f>IF(AND($L694=1,AND(对接源_01水果!$X694="自备筐",N(对接源_01水果!$V694)&lt;&gt;0)),1,0)</f>
        <v>0</v>
      </c>
      <c r="W694">
        <f>N(W693)+$V694</f>
        <v>11</v>
      </c>
      <c r="X694">
        <f>IF(AND($L694=1,AND(对接源_01水果!$X694="自备筐",N(对接源_01水果!$T694)&lt;&gt;0)),1,0)</f>
        <v>0</v>
      </c>
      <c r="Y694">
        <f>N(Y693)+$X694</f>
        <v>0</v>
      </c>
      <c r="Z694">
        <f>IF(AND($M694=1,对接源_01水果!$D694="原料入库"),1,0)</f>
        <v>0</v>
      </c>
      <c r="AA694">
        <f>N(AA693)+$Z694</f>
        <v>24</v>
      </c>
      <c r="AB694">
        <f>IF(AND($M694=1,LEFT(对接源_01水果!$D694,4)="原料出库"),1,0)</f>
        <v>0</v>
      </c>
      <c r="AC694">
        <f>N(AC693)+$AB694</f>
        <v>0</v>
      </c>
      <c r="AD694">
        <f>IF(AND($M694=1,LEFT(对接源_01水果!$D694,4)="成品出库"),1,0)</f>
        <v>0</v>
      </c>
      <c r="AE694">
        <f>N(AE693)+$AD694</f>
        <v>0</v>
      </c>
      <c r="AF694">
        <f>IF(AND($N694=1,AND(LEFT(对接源_01水果!$D694,4)="包装物料",N(对接源_01水果!$K694)&lt;&gt;0)),1,0)</f>
        <v>0</v>
      </c>
      <c r="AG694">
        <f>N(AG693)+$AF694</f>
        <v>0</v>
      </c>
      <c r="AH694">
        <f>IF(AND($N694=1,AND(对接源_01水果!$D694="周转筐－销售出库",N(对接源_01水果!$K694)&lt;&gt;0)),1,0)</f>
        <v>0</v>
      </c>
      <c r="AI694">
        <f>N(AI693)+$AH694</f>
        <v>0</v>
      </c>
      <c r="AJ694" s="7" t="n"/>
      <c r="AL694">
        <f>IF(OR($AL$1="",对接源_01水果!$Y694="",对接源_01水果!$Y694&lt;&gt;$AL$1,对接源_01水果!$B694="",N(对接源_01水果!$AJ694)&lt;=0),0,IF(OR(N(对接源_01水果!$B694)&lt;$AL$2,N(对接源_01水果!$B694)&gt;$AL$3),0,1))</f>
        <v>0</v>
      </c>
      <c r="AM694">
        <f>N(AM693)+$AL694</f>
        <v>2</v>
      </c>
      <c r="AN694">
        <f>IF(对接源_01水果!$AC694="","",对接源_01水果!$AC694)</f>
      </c>
      <c r="AO694">
        <f>IF(AN694="",0,IF(MATCH(AN694,$AN$4:$AN$1203,0)=ROW()-3,1,0))</f>
        <v>0</v>
      </c>
      <c r="AP694">
        <f>N(AP693)+$AO694</f>
        <v>13</v>
      </c>
      <c r="AR694">
        <f>IF(OR($AF694=1,$AH694=1),1,0)</f>
        <v>0</v>
      </c>
      <c r="AS694">
        <f>N(AS693)+$AR694</f>
        <v>0</v>
      </c>
    </row>
    <row r="695" ht="14.25" customHeight="1" s="127">
      <c r="A695">
        <f>IF(对接源_01水果!$C695="","",对接源_01水果!$C695)</f>
      </c>
      <c r="B695">
        <f>IF(A695="",0,IF(MATCH(A695,$A$4:$A$2403,0)=ROW()-3,1,0))</f>
        <v>0</v>
      </c>
      <c r="C695">
        <f>N(C694)+B695</f>
        <v>22</v>
      </c>
      <c r="K695">
        <f>IF(OR($K$1="",对接源_01水果!$C695="",对接源_01水果!$C695&lt;&gt;$K$1,对接源_01水果!$B695=""),0,IF(OR(N(对接源_01水果!$B695)&lt;$K$2,N(对接源_01水果!$B695)&gt;$K$3),0,1))</f>
        <v>0</v>
      </c>
      <c r="L695">
        <f>IF(OR($L$1="",对接源_01水果!$C695="",对接源_01水果!$C695&lt;&gt;$L$1,对接源_01水果!$B695=""),0,IF(OR(N(对接源_01水果!$B695)&lt;$L$2,N(对接源_01水果!$B695)&gt;$L$3),0,1))</f>
        <v>0</v>
      </c>
      <c r="M695">
        <f>IF(OR($M$1="",对接源_01水果!$C695="",对接源_01水果!$C695&lt;&gt;$M$1,对接源_01水果!$B695=""),0,IF(OR(N(对接源_01水果!$B695)&lt;$M$2,N(对接源_01水果!$B695)&gt;$M$3),0,1))</f>
        <v>0</v>
      </c>
      <c r="N695">
        <f>IF(OR($N$1="",对接源_01水果!$C695="",对接源_01水果!$C695&lt;&gt;$N$1,对接源_01水果!$B695=""),0,IF(OR(N(对接源_01水果!$B695)&lt;$N$2,N(对接源_01水果!$B695)&gt;$N$3),0,1))</f>
        <v>0</v>
      </c>
      <c r="P695">
        <f>IF(AND($K695=1,AND(对接源_01水果!$X695="公司筐",N(对接源_01水果!$T695)&lt;&gt;0)),1,0)</f>
        <v>0</v>
      </c>
      <c r="Q695">
        <f>N(Q694)+$P695</f>
        <v>0</v>
      </c>
      <c r="R695">
        <f>IF(AND($K695=1,AND(对接源_01水果!$X695="公司筐",N(对接源_01水果!$U695)&lt;&gt;0)),1,0)</f>
        <v>0</v>
      </c>
      <c r="S695">
        <f>N(S694)+$R695</f>
        <v>0</v>
      </c>
      <c r="T695">
        <f>IF(AND($K695=1,AND(对接源_01水果!$X695="公司筐",N(对接源_01水果!$V695)&lt;&gt;0)),1,0)</f>
        <v>0</v>
      </c>
      <c r="U695">
        <f>N(U694)+$T695</f>
        <v>47</v>
      </c>
      <c r="V695">
        <f>IF(AND($L695=1,AND(对接源_01水果!$X695="自备筐",N(对接源_01水果!$V695)&lt;&gt;0)),1,0)</f>
        <v>0</v>
      </c>
      <c r="W695">
        <f>N(W694)+$V695</f>
        <v>11</v>
      </c>
      <c r="X695">
        <f>IF(AND($L695=1,AND(对接源_01水果!$X695="自备筐",N(对接源_01水果!$T695)&lt;&gt;0)),1,0)</f>
        <v>0</v>
      </c>
      <c r="Y695">
        <f>N(Y694)+$X695</f>
        <v>0</v>
      </c>
      <c r="Z695">
        <f>IF(AND($M695=1,对接源_01水果!$D695="原料入库"),1,0)</f>
        <v>0</v>
      </c>
      <c r="AA695">
        <f>N(AA694)+$Z695</f>
        <v>24</v>
      </c>
      <c r="AB695">
        <f>IF(AND($M695=1,LEFT(对接源_01水果!$D695,4)="原料出库"),1,0)</f>
        <v>0</v>
      </c>
      <c r="AC695">
        <f>N(AC694)+$AB695</f>
        <v>0</v>
      </c>
      <c r="AD695">
        <f>IF(AND($M695=1,LEFT(对接源_01水果!$D695,4)="成品出库"),1,0)</f>
        <v>0</v>
      </c>
      <c r="AE695">
        <f>N(AE694)+$AD695</f>
        <v>0</v>
      </c>
      <c r="AF695">
        <f>IF(AND($N695=1,AND(LEFT(对接源_01水果!$D695,4)="包装物料",N(对接源_01水果!$K695)&lt;&gt;0)),1,0)</f>
        <v>0</v>
      </c>
      <c r="AG695">
        <f>N(AG694)+$AF695</f>
        <v>0</v>
      </c>
      <c r="AH695">
        <f>IF(AND($N695=1,AND(对接源_01水果!$D695="周转筐－销售出库",N(对接源_01水果!$K695)&lt;&gt;0)),1,0)</f>
        <v>0</v>
      </c>
      <c r="AI695">
        <f>N(AI694)+$AH695</f>
        <v>0</v>
      </c>
      <c r="AJ695" s="7" t="n"/>
      <c r="AL695">
        <f>IF(OR($AL$1="",对接源_01水果!$Y695="",对接源_01水果!$Y695&lt;&gt;$AL$1,对接源_01水果!$B695="",N(对接源_01水果!$AJ695)&lt;=0),0,IF(OR(N(对接源_01水果!$B695)&lt;$AL$2,N(对接源_01水果!$B695)&gt;$AL$3),0,1))</f>
        <v>0</v>
      </c>
      <c r="AM695">
        <f>N(AM694)+$AL695</f>
        <v>2</v>
      </c>
      <c r="AN695">
        <f>IF(对接源_01水果!$AC695="","",对接源_01水果!$AC695)</f>
      </c>
      <c r="AO695">
        <f>IF(AN695="",0,IF(MATCH(AN695,$AN$4:$AN$1203,0)=ROW()-3,1,0))</f>
        <v>0</v>
      </c>
      <c r="AP695">
        <f>N(AP694)+$AO695</f>
        <v>13</v>
      </c>
      <c r="AR695">
        <f>IF(OR($AF695=1,$AH695=1),1,0)</f>
        <v>0</v>
      </c>
      <c r="AS695">
        <f>N(AS694)+$AR695</f>
        <v>0</v>
      </c>
    </row>
    <row r="696" ht="14.25" customHeight="1" s="127">
      <c r="A696">
        <f>IF(对接源_01水果!$C696="","",对接源_01水果!$C696)</f>
      </c>
      <c r="B696">
        <f>IF(A696="",0,IF(MATCH(A696,$A$4:$A$2403,0)=ROW()-3,1,0))</f>
        <v>0</v>
      </c>
      <c r="C696">
        <f>N(C695)+B696</f>
        <v>22</v>
      </c>
      <c r="K696">
        <f>IF(OR($K$1="",对接源_01水果!$C696="",对接源_01水果!$C696&lt;&gt;$K$1,对接源_01水果!$B696=""),0,IF(OR(N(对接源_01水果!$B696)&lt;$K$2,N(对接源_01水果!$B696)&gt;$K$3),0,1))</f>
        <v>0</v>
      </c>
      <c r="L696">
        <f>IF(OR($L$1="",对接源_01水果!$C696="",对接源_01水果!$C696&lt;&gt;$L$1,对接源_01水果!$B696=""),0,IF(OR(N(对接源_01水果!$B696)&lt;$L$2,N(对接源_01水果!$B696)&gt;$L$3),0,1))</f>
        <v>0</v>
      </c>
      <c r="M696">
        <f>IF(OR($M$1="",对接源_01水果!$C696="",对接源_01水果!$C696&lt;&gt;$M$1,对接源_01水果!$B696=""),0,IF(OR(N(对接源_01水果!$B696)&lt;$M$2,N(对接源_01水果!$B696)&gt;$M$3),0,1))</f>
        <v>0</v>
      </c>
      <c r="N696">
        <f>IF(OR($N$1="",对接源_01水果!$C696="",对接源_01水果!$C696&lt;&gt;$N$1,对接源_01水果!$B696=""),0,IF(OR(N(对接源_01水果!$B696)&lt;$N$2,N(对接源_01水果!$B696)&gt;$N$3),0,1))</f>
        <v>0</v>
      </c>
      <c r="P696">
        <f>IF(AND($K696=1,AND(对接源_01水果!$X696="公司筐",N(对接源_01水果!$T696)&lt;&gt;0)),1,0)</f>
        <v>0</v>
      </c>
      <c r="Q696">
        <f>N(Q695)+$P696</f>
        <v>0</v>
      </c>
      <c r="R696">
        <f>IF(AND($K696=1,AND(对接源_01水果!$X696="公司筐",N(对接源_01水果!$U696)&lt;&gt;0)),1,0)</f>
        <v>0</v>
      </c>
      <c r="S696">
        <f>N(S695)+$R696</f>
        <v>0</v>
      </c>
      <c r="T696">
        <f>IF(AND($K696=1,AND(对接源_01水果!$X696="公司筐",N(对接源_01水果!$V696)&lt;&gt;0)),1,0)</f>
        <v>0</v>
      </c>
      <c r="U696">
        <f>N(U695)+$T696</f>
        <v>47</v>
      </c>
      <c r="V696">
        <f>IF(AND($L696=1,AND(对接源_01水果!$X696="自备筐",N(对接源_01水果!$V696)&lt;&gt;0)),1,0)</f>
        <v>0</v>
      </c>
      <c r="W696">
        <f>N(W695)+$V696</f>
        <v>11</v>
      </c>
      <c r="X696">
        <f>IF(AND($L696=1,AND(对接源_01水果!$X696="自备筐",N(对接源_01水果!$T696)&lt;&gt;0)),1,0)</f>
        <v>0</v>
      </c>
      <c r="Y696">
        <f>N(Y695)+$X696</f>
        <v>0</v>
      </c>
      <c r="Z696">
        <f>IF(AND($M696=1,对接源_01水果!$D696="原料入库"),1,0)</f>
        <v>0</v>
      </c>
      <c r="AA696">
        <f>N(AA695)+$Z696</f>
        <v>24</v>
      </c>
      <c r="AB696">
        <f>IF(AND($M696=1,LEFT(对接源_01水果!$D696,4)="原料出库"),1,0)</f>
        <v>0</v>
      </c>
      <c r="AC696">
        <f>N(AC695)+$AB696</f>
        <v>0</v>
      </c>
      <c r="AD696">
        <f>IF(AND($M696=1,LEFT(对接源_01水果!$D696,4)="成品出库"),1,0)</f>
        <v>0</v>
      </c>
      <c r="AE696">
        <f>N(AE695)+$AD696</f>
        <v>0</v>
      </c>
      <c r="AF696">
        <f>IF(AND($N696=1,AND(LEFT(对接源_01水果!$D696,4)="包装物料",N(对接源_01水果!$K696)&lt;&gt;0)),1,0)</f>
        <v>0</v>
      </c>
      <c r="AG696">
        <f>N(AG695)+$AF696</f>
        <v>0</v>
      </c>
      <c r="AH696">
        <f>IF(AND($N696=1,AND(对接源_01水果!$D696="周转筐－销售出库",N(对接源_01水果!$K696)&lt;&gt;0)),1,0)</f>
        <v>0</v>
      </c>
      <c r="AI696">
        <f>N(AI695)+$AH696</f>
        <v>0</v>
      </c>
      <c r="AJ696" s="7" t="n"/>
      <c r="AL696">
        <f>IF(OR($AL$1="",对接源_01水果!$Y696="",对接源_01水果!$Y696&lt;&gt;$AL$1,对接源_01水果!$B696="",N(对接源_01水果!$AJ696)&lt;=0),0,IF(OR(N(对接源_01水果!$B696)&lt;$AL$2,N(对接源_01水果!$B696)&gt;$AL$3),0,1))</f>
        <v>0</v>
      </c>
      <c r="AM696">
        <f>N(AM695)+$AL696</f>
        <v>2</v>
      </c>
      <c r="AN696">
        <f>IF(对接源_01水果!$AC696="","",对接源_01水果!$AC696)</f>
      </c>
      <c r="AO696">
        <f>IF(AN696="",0,IF(MATCH(AN696,$AN$4:$AN$1203,0)=ROW()-3,1,0))</f>
        <v>0</v>
      </c>
      <c r="AP696">
        <f>N(AP695)+$AO696</f>
        <v>13</v>
      </c>
      <c r="AR696">
        <f>IF(OR($AF696=1,$AH696=1),1,0)</f>
        <v>0</v>
      </c>
      <c r="AS696">
        <f>N(AS695)+$AR696</f>
        <v>0</v>
      </c>
    </row>
    <row r="697" ht="14.25" customHeight="1" s="127">
      <c r="A697">
        <f>IF(对接源_01水果!$C697="","",对接源_01水果!$C697)</f>
      </c>
      <c r="B697">
        <f>IF(A697="",0,IF(MATCH(A697,$A$4:$A$2403,0)=ROW()-3,1,0))</f>
        <v>0</v>
      </c>
      <c r="C697">
        <f>N(C696)+B697</f>
        <v>22</v>
      </c>
      <c r="K697">
        <f>IF(OR($K$1="",对接源_01水果!$C697="",对接源_01水果!$C697&lt;&gt;$K$1,对接源_01水果!$B697=""),0,IF(OR(N(对接源_01水果!$B697)&lt;$K$2,N(对接源_01水果!$B697)&gt;$K$3),0,1))</f>
        <v>0</v>
      </c>
      <c r="L697">
        <f>IF(OR($L$1="",对接源_01水果!$C697="",对接源_01水果!$C697&lt;&gt;$L$1,对接源_01水果!$B697=""),0,IF(OR(N(对接源_01水果!$B697)&lt;$L$2,N(对接源_01水果!$B697)&gt;$L$3),0,1))</f>
        <v>0</v>
      </c>
      <c r="M697">
        <f>IF(OR($M$1="",对接源_01水果!$C697="",对接源_01水果!$C697&lt;&gt;$M$1,对接源_01水果!$B697=""),0,IF(OR(N(对接源_01水果!$B697)&lt;$M$2,N(对接源_01水果!$B697)&gt;$M$3),0,1))</f>
        <v>0</v>
      </c>
      <c r="N697">
        <f>IF(OR($N$1="",对接源_01水果!$C697="",对接源_01水果!$C697&lt;&gt;$N$1,对接源_01水果!$B697=""),0,IF(OR(N(对接源_01水果!$B697)&lt;$N$2,N(对接源_01水果!$B697)&gt;$N$3),0,1))</f>
        <v>0</v>
      </c>
      <c r="P697">
        <f>IF(AND($K697=1,AND(对接源_01水果!$X697="公司筐",N(对接源_01水果!$T697)&lt;&gt;0)),1,0)</f>
        <v>0</v>
      </c>
      <c r="Q697">
        <f>N(Q696)+$P697</f>
        <v>0</v>
      </c>
      <c r="R697">
        <f>IF(AND($K697=1,AND(对接源_01水果!$X697="公司筐",N(对接源_01水果!$U697)&lt;&gt;0)),1,0)</f>
        <v>0</v>
      </c>
      <c r="S697">
        <f>N(S696)+$R697</f>
        <v>0</v>
      </c>
      <c r="T697">
        <f>IF(AND($K697=1,AND(对接源_01水果!$X697="公司筐",N(对接源_01水果!$V697)&lt;&gt;0)),1,0)</f>
        <v>0</v>
      </c>
      <c r="U697">
        <f>N(U696)+$T697</f>
        <v>47</v>
      </c>
      <c r="V697">
        <f>IF(AND($L697=1,AND(对接源_01水果!$X697="自备筐",N(对接源_01水果!$V697)&lt;&gt;0)),1,0)</f>
        <v>0</v>
      </c>
      <c r="W697">
        <f>N(W696)+$V697</f>
        <v>11</v>
      </c>
      <c r="X697">
        <f>IF(AND($L697=1,AND(对接源_01水果!$X697="自备筐",N(对接源_01水果!$T697)&lt;&gt;0)),1,0)</f>
        <v>0</v>
      </c>
      <c r="Y697">
        <f>N(Y696)+$X697</f>
        <v>0</v>
      </c>
      <c r="Z697">
        <f>IF(AND($M697=1,对接源_01水果!$D697="原料入库"),1,0)</f>
        <v>0</v>
      </c>
      <c r="AA697">
        <f>N(AA696)+$Z697</f>
        <v>24</v>
      </c>
      <c r="AB697">
        <f>IF(AND($M697=1,LEFT(对接源_01水果!$D697,4)="原料出库"),1,0)</f>
        <v>0</v>
      </c>
      <c r="AC697">
        <f>N(AC696)+$AB697</f>
        <v>0</v>
      </c>
      <c r="AD697">
        <f>IF(AND($M697=1,LEFT(对接源_01水果!$D697,4)="成品出库"),1,0)</f>
        <v>0</v>
      </c>
      <c r="AE697">
        <f>N(AE696)+$AD697</f>
        <v>0</v>
      </c>
      <c r="AF697">
        <f>IF(AND($N697=1,AND(LEFT(对接源_01水果!$D697,4)="包装物料",N(对接源_01水果!$K697)&lt;&gt;0)),1,0)</f>
        <v>0</v>
      </c>
      <c r="AG697">
        <f>N(AG696)+$AF697</f>
        <v>0</v>
      </c>
      <c r="AH697">
        <f>IF(AND($N697=1,AND(对接源_01水果!$D697="周转筐－销售出库",N(对接源_01水果!$K697)&lt;&gt;0)),1,0)</f>
        <v>0</v>
      </c>
      <c r="AI697">
        <f>N(AI696)+$AH697</f>
        <v>0</v>
      </c>
      <c r="AJ697" s="7" t="n"/>
      <c r="AL697">
        <f>IF(OR($AL$1="",对接源_01水果!$Y697="",对接源_01水果!$Y697&lt;&gt;$AL$1,对接源_01水果!$B697="",N(对接源_01水果!$AJ697)&lt;=0),0,IF(OR(N(对接源_01水果!$B697)&lt;$AL$2,N(对接源_01水果!$B697)&gt;$AL$3),0,1))</f>
        <v>0</v>
      </c>
      <c r="AM697">
        <f>N(AM696)+$AL697</f>
        <v>2</v>
      </c>
      <c r="AN697">
        <f>IF(对接源_01水果!$AC697="","",对接源_01水果!$AC697)</f>
      </c>
      <c r="AO697">
        <f>IF(AN697="",0,IF(MATCH(AN697,$AN$4:$AN$1203,0)=ROW()-3,1,0))</f>
        <v>0</v>
      </c>
      <c r="AP697">
        <f>N(AP696)+$AO697</f>
        <v>13</v>
      </c>
      <c r="AR697">
        <f>IF(OR($AF697=1,$AH697=1),1,0)</f>
        <v>0</v>
      </c>
      <c r="AS697">
        <f>N(AS696)+$AR697</f>
        <v>0</v>
      </c>
    </row>
    <row r="698" ht="14.25" customHeight="1" s="127">
      <c r="A698">
        <f>IF(对接源_01水果!$C698="","",对接源_01水果!$C698)</f>
      </c>
      <c r="B698">
        <f>IF(A698="",0,IF(MATCH(A698,$A$4:$A$2403,0)=ROW()-3,1,0))</f>
        <v>0</v>
      </c>
      <c r="C698">
        <f>N(C697)+B698</f>
        <v>22</v>
      </c>
      <c r="K698">
        <f>IF(OR($K$1="",对接源_01水果!$C698="",对接源_01水果!$C698&lt;&gt;$K$1,对接源_01水果!$B698=""),0,IF(OR(N(对接源_01水果!$B698)&lt;$K$2,N(对接源_01水果!$B698)&gt;$K$3),0,1))</f>
        <v>0</v>
      </c>
      <c r="L698">
        <f>IF(OR($L$1="",对接源_01水果!$C698="",对接源_01水果!$C698&lt;&gt;$L$1,对接源_01水果!$B698=""),0,IF(OR(N(对接源_01水果!$B698)&lt;$L$2,N(对接源_01水果!$B698)&gt;$L$3),0,1))</f>
        <v>0</v>
      </c>
      <c r="M698">
        <f>IF(OR($M$1="",对接源_01水果!$C698="",对接源_01水果!$C698&lt;&gt;$M$1,对接源_01水果!$B698=""),0,IF(OR(N(对接源_01水果!$B698)&lt;$M$2,N(对接源_01水果!$B698)&gt;$M$3),0,1))</f>
        <v>0</v>
      </c>
      <c r="N698">
        <f>IF(OR($N$1="",对接源_01水果!$C698="",对接源_01水果!$C698&lt;&gt;$N$1,对接源_01水果!$B698=""),0,IF(OR(N(对接源_01水果!$B698)&lt;$N$2,N(对接源_01水果!$B698)&gt;$N$3),0,1))</f>
        <v>0</v>
      </c>
      <c r="P698">
        <f>IF(AND($K698=1,AND(对接源_01水果!$X698="公司筐",N(对接源_01水果!$T698)&lt;&gt;0)),1,0)</f>
        <v>0</v>
      </c>
      <c r="Q698">
        <f>N(Q697)+$P698</f>
        <v>0</v>
      </c>
      <c r="R698">
        <f>IF(AND($K698=1,AND(对接源_01水果!$X698="公司筐",N(对接源_01水果!$U698)&lt;&gt;0)),1,0)</f>
        <v>0</v>
      </c>
      <c r="S698">
        <f>N(S697)+$R698</f>
        <v>0</v>
      </c>
      <c r="T698">
        <f>IF(AND($K698=1,AND(对接源_01水果!$X698="公司筐",N(对接源_01水果!$V698)&lt;&gt;0)),1,0)</f>
        <v>0</v>
      </c>
      <c r="U698">
        <f>N(U697)+$T698</f>
        <v>47</v>
      </c>
      <c r="V698">
        <f>IF(AND($L698=1,AND(对接源_01水果!$X698="自备筐",N(对接源_01水果!$V698)&lt;&gt;0)),1,0)</f>
        <v>0</v>
      </c>
      <c r="W698">
        <f>N(W697)+$V698</f>
        <v>11</v>
      </c>
      <c r="X698">
        <f>IF(AND($L698=1,AND(对接源_01水果!$X698="自备筐",N(对接源_01水果!$T698)&lt;&gt;0)),1,0)</f>
        <v>0</v>
      </c>
      <c r="Y698">
        <f>N(Y697)+$X698</f>
        <v>0</v>
      </c>
      <c r="Z698">
        <f>IF(AND($M698=1,对接源_01水果!$D698="原料入库"),1,0)</f>
        <v>0</v>
      </c>
      <c r="AA698">
        <f>N(AA697)+$Z698</f>
        <v>24</v>
      </c>
      <c r="AB698">
        <f>IF(AND($M698=1,LEFT(对接源_01水果!$D698,4)="原料出库"),1,0)</f>
        <v>0</v>
      </c>
      <c r="AC698">
        <f>N(AC697)+$AB698</f>
        <v>0</v>
      </c>
      <c r="AD698">
        <f>IF(AND($M698=1,LEFT(对接源_01水果!$D698,4)="成品出库"),1,0)</f>
        <v>0</v>
      </c>
      <c r="AE698">
        <f>N(AE697)+$AD698</f>
        <v>0</v>
      </c>
      <c r="AF698">
        <f>IF(AND($N698=1,AND(LEFT(对接源_01水果!$D698,4)="包装物料",N(对接源_01水果!$K698)&lt;&gt;0)),1,0)</f>
        <v>0</v>
      </c>
      <c r="AG698">
        <f>N(AG697)+$AF698</f>
        <v>0</v>
      </c>
      <c r="AH698">
        <f>IF(AND($N698=1,AND(对接源_01水果!$D698="周转筐－销售出库",N(对接源_01水果!$K698)&lt;&gt;0)),1,0)</f>
        <v>0</v>
      </c>
      <c r="AI698">
        <f>N(AI697)+$AH698</f>
        <v>0</v>
      </c>
      <c r="AJ698" s="7" t="n"/>
      <c r="AL698">
        <f>IF(OR($AL$1="",对接源_01水果!$Y698="",对接源_01水果!$Y698&lt;&gt;$AL$1,对接源_01水果!$B698="",N(对接源_01水果!$AJ698)&lt;=0),0,IF(OR(N(对接源_01水果!$B698)&lt;$AL$2,N(对接源_01水果!$B698)&gt;$AL$3),0,1))</f>
        <v>0</v>
      </c>
      <c r="AM698">
        <f>N(AM697)+$AL698</f>
        <v>2</v>
      </c>
      <c r="AN698">
        <f>IF(对接源_01水果!$AC698="","",对接源_01水果!$AC698)</f>
      </c>
      <c r="AO698">
        <f>IF(AN698="",0,IF(MATCH(AN698,$AN$4:$AN$1203,0)=ROW()-3,1,0))</f>
        <v>0</v>
      </c>
      <c r="AP698">
        <f>N(AP697)+$AO698</f>
        <v>13</v>
      </c>
      <c r="AR698">
        <f>IF(OR($AF698=1,$AH698=1),1,0)</f>
        <v>0</v>
      </c>
      <c r="AS698">
        <f>N(AS697)+$AR698</f>
        <v>0</v>
      </c>
    </row>
    <row r="699" ht="14.25" customHeight="1" s="127">
      <c r="A699">
        <f>IF(对接源_01水果!$C699="","",对接源_01水果!$C699)</f>
      </c>
      <c r="B699">
        <f>IF(A699="",0,IF(MATCH(A699,$A$4:$A$2403,0)=ROW()-3,1,0))</f>
        <v>0</v>
      </c>
      <c r="C699">
        <f>N(C698)+B699</f>
        <v>22</v>
      </c>
      <c r="K699">
        <f>IF(OR($K$1="",对接源_01水果!$C699="",对接源_01水果!$C699&lt;&gt;$K$1,对接源_01水果!$B699=""),0,IF(OR(N(对接源_01水果!$B699)&lt;$K$2,N(对接源_01水果!$B699)&gt;$K$3),0,1))</f>
        <v>0</v>
      </c>
      <c r="L699">
        <f>IF(OR($L$1="",对接源_01水果!$C699="",对接源_01水果!$C699&lt;&gt;$L$1,对接源_01水果!$B699=""),0,IF(OR(N(对接源_01水果!$B699)&lt;$L$2,N(对接源_01水果!$B699)&gt;$L$3),0,1))</f>
        <v>0</v>
      </c>
      <c r="M699">
        <f>IF(OR($M$1="",对接源_01水果!$C699="",对接源_01水果!$C699&lt;&gt;$M$1,对接源_01水果!$B699=""),0,IF(OR(N(对接源_01水果!$B699)&lt;$M$2,N(对接源_01水果!$B699)&gt;$M$3),0,1))</f>
        <v>0</v>
      </c>
      <c r="N699">
        <f>IF(OR($N$1="",对接源_01水果!$C699="",对接源_01水果!$C699&lt;&gt;$N$1,对接源_01水果!$B699=""),0,IF(OR(N(对接源_01水果!$B699)&lt;$N$2,N(对接源_01水果!$B699)&gt;$N$3),0,1))</f>
        <v>0</v>
      </c>
      <c r="P699">
        <f>IF(AND($K699=1,AND(对接源_01水果!$X699="公司筐",N(对接源_01水果!$T699)&lt;&gt;0)),1,0)</f>
        <v>0</v>
      </c>
      <c r="Q699">
        <f>N(Q698)+$P699</f>
        <v>0</v>
      </c>
      <c r="R699">
        <f>IF(AND($K699=1,AND(对接源_01水果!$X699="公司筐",N(对接源_01水果!$U699)&lt;&gt;0)),1,0)</f>
        <v>0</v>
      </c>
      <c r="S699">
        <f>N(S698)+$R699</f>
        <v>0</v>
      </c>
      <c r="T699">
        <f>IF(AND($K699=1,AND(对接源_01水果!$X699="公司筐",N(对接源_01水果!$V699)&lt;&gt;0)),1,0)</f>
        <v>0</v>
      </c>
      <c r="U699">
        <f>N(U698)+$T699</f>
        <v>47</v>
      </c>
      <c r="V699">
        <f>IF(AND($L699=1,AND(对接源_01水果!$X699="自备筐",N(对接源_01水果!$V699)&lt;&gt;0)),1,0)</f>
        <v>0</v>
      </c>
      <c r="W699">
        <f>N(W698)+$V699</f>
        <v>11</v>
      </c>
      <c r="X699">
        <f>IF(AND($L699=1,AND(对接源_01水果!$X699="自备筐",N(对接源_01水果!$T699)&lt;&gt;0)),1,0)</f>
        <v>0</v>
      </c>
      <c r="Y699">
        <f>N(Y698)+$X699</f>
        <v>0</v>
      </c>
      <c r="Z699">
        <f>IF(AND($M699=1,对接源_01水果!$D699="原料入库"),1,0)</f>
        <v>0</v>
      </c>
      <c r="AA699">
        <f>N(AA698)+$Z699</f>
        <v>24</v>
      </c>
      <c r="AB699">
        <f>IF(AND($M699=1,LEFT(对接源_01水果!$D699,4)="原料出库"),1,0)</f>
        <v>0</v>
      </c>
      <c r="AC699">
        <f>N(AC698)+$AB699</f>
        <v>0</v>
      </c>
      <c r="AD699">
        <f>IF(AND($M699=1,LEFT(对接源_01水果!$D699,4)="成品出库"),1,0)</f>
        <v>0</v>
      </c>
      <c r="AE699">
        <f>N(AE698)+$AD699</f>
        <v>0</v>
      </c>
      <c r="AF699">
        <f>IF(AND($N699=1,AND(LEFT(对接源_01水果!$D699,4)="包装物料",N(对接源_01水果!$K699)&lt;&gt;0)),1,0)</f>
        <v>0</v>
      </c>
      <c r="AG699">
        <f>N(AG698)+$AF699</f>
        <v>0</v>
      </c>
      <c r="AH699">
        <f>IF(AND($N699=1,AND(对接源_01水果!$D699="周转筐－销售出库",N(对接源_01水果!$K699)&lt;&gt;0)),1,0)</f>
        <v>0</v>
      </c>
      <c r="AI699">
        <f>N(AI698)+$AH699</f>
        <v>0</v>
      </c>
      <c r="AJ699" s="7" t="n"/>
      <c r="AL699">
        <f>IF(OR($AL$1="",对接源_01水果!$Y699="",对接源_01水果!$Y699&lt;&gt;$AL$1,对接源_01水果!$B699="",N(对接源_01水果!$AJ699)&lt;=0),0,IF(OR(N(对接源_01水果!$B699)&lt;$AL$2,N(对接源_01水果!$B699)&gt;$AL$3),0,1))</f>
        <v>0</v>
      </c>
      <c r="AM699">
        <f>N(AM698)+$AL699</f>
        <v>2</v>
      </c>
      <c r="AN699">
        <f>IF(对接源_01水果!$AC699="","",对接源_01水果!$AC699)</f>
      </c>
      <c r="AO699">
        <f>IF(AN699="",0,IF(MATCH(AN699,$AN$4:$AN$1203,0)=ROW()-3,1,0))</f>
        <v>0</v>
      </c>
      <c r="AP699">
        <f>N(AP698)+$AO699</f>
        <v>13</v>
      </c>
      <c r="AR699">
        <f>IF(OR($AF699=1,$AH699=1),1,0)</f>
        <v>0</v>
      </c>
      <c r="AS699">
        <f>N(AS698)+$AR699</f>
        <v>0</v>
      </c>
    </row>
    <row r="700" ht="14.25" customHeight="1" s="127">
      <c r="A700">
        <f>IF(对接源_01水果!$C700="","",对接源_01水果!$C700)</f>
      </c>
      <c r="B700">
        <f>IF(A700="",0,IF(MATCH(A700,$A$4:$A$2403,0)=ROW()-3,1,0))</f>
        <v>0</v>
      </c>
      <c r="C700">
        <f>N(C699)+B700</f>
        <v>22</v>
      </c>
      <c r="K700">
        <f>IF(OR($K$1="",对接源_01水果!$C700="",对接源_01水果!$C700&lt;&gt;$K$1,对接源_01水果!$B700=""),0,IF(OR(N(对接源_01水果!$B700)&lt;$K$2,N(对接源_01水果!$B700)&gt;$K$3),0,1))</f>
        <v>0</v>
      </c>
      <c r="L700">
        <f>IF(OR($L$1="",对接源_01水果!$C700="",对接源_01水果!$C700&lt;&gt;$L$1,对接源_01水果!$B700=""),0,IF(OR(N(对接源_01水果!$B700)&lt;$L$2,N(对接源_01水果!$B700)&gt;$L$3),0,1))</f>
        <v>0</v>
      </c>
      <c r="M700">
        <f>IF(OR($M$1="",对接源_01水果!$C700="",对接源_01水果!$C700&lt;&gt;$M$1,对接源_01水果!$B700=""),0,IF(OR(N(对接源_01水果!$B700)&lt;$M$2,N(对接源_01水果!$B700)&gt;$M$3),0,1))</f>
        <v>0</v>
      </c>
      <c r="N700">
        <f>IF(OR($N$1="",对接源_01水果!$C700="",对接源_01水果!$C700&lt;&gt;$N$1,对接源_01水果!$B700=""),0,IF(OR(N(对接源_01水果!$B700)&lt;$N$2,N(对接源_01水果!$B700)&gt;$N$3),0,1))</f>
        <v>0</v>
      </c>
      <c r="P700">
        <f>IF(AND($K700=1,AND(对接源_01水果!$X700="公司筐",N(对接源_01水果!$T700)&lt;&gt;0)),1,0)</f>
        <v>0</v>
      </c>
      <c r="Q700">
        <f>N(Q699)+$P700</f>
        <v>0</v>
      </c>
      <c r="R700">
        <f>IF(AND($K700=1,AND(对接源_01水果!$X700="公司筐",N(对接源_01水果!$U700)&lt;&gt;0)),1,0)</f>
        <v>0</v>
      </c>
      <c r="S700">
        <f>N(S699)+$R700</f>
        <v>0</v>
      </c>
      <c r="T700">
        <f>IF(AND($K700=1,AND(对接源_01水果!$X700="公司筐",N(对接源_01水果!$V700)&lt;&gt;0)),1,0)</f>
        <v>0</v>
      </c>
      <c r="U700">
        <f>N(U699)+$T700</f>
        <v>47</v>
      </c>
      <c r="V700">
        <f>IF(AND($L700=1,AND(对接源_01水果!$X700="自备筐",N(对接源_01水果!$V700)&lt;&gt;0)),1,0)</f>
        <v>0</v>
      </c>
      <c r="W700">
        <f>N(W699)+$V700</f>
        <v>11</v>
      </c>
      <c r="X700">
        <f>IF(AND($L700=1,AND(对接源_01水果!$X700="自备筐",N(对接源_01水果!$T700)&lt;&gt;0)),1,0)</f>
        <v>0</v>
      </c>
      <c r="Y700">
        <f>N(Y699)+$X700</f>
        <v>0</v>
      </c>
      <c r="Z700">
        <f>IF(AND($M700=1,对接源_01水果!$D700="原料入库"),1,0)</f>
        <v>0</v>
      </c>
      <c r="AA700">
        <f>N(AA699)+$Z700</f>
        <v>24</v>
      </c>
      <c r="AB700">
        <f>IF(AND($M700=1,LEFT(对接源_01水果!$D700,4)="原料出库"),1,0)</f>
        <v>0</v>
      </c>
      <c r="AC700">
        <f>N(AC699)+$AB700</f>
        <v>0</v>
      </c>
      <c r="AD700">
        <f>IF(AND($M700=1,LEFT(对接源_01水果!$D700,4)="成品出库"),1,0)</f>
        <v>0</v>
      </c>
      <c r="AE700">
        <f>N(AE699)+$AD700</f>
        <v>0</v>
      </c>
      <c r="AF700">
        <f>IF(AND($N700=1,AND(LEFT(对接源_01水果!$D700,4)="包装物料",N(对接源_01水果!$K700)&lt;&gt;0)),1,0)</f>
        <v>0</v>
      </c>
      <c r="AG700">
        <f>N(AG699)+$AF700</f>
        <v>0</v>
      </c>
      <c r="AH700">
        <f>IF(AND($N700=1,AND(对接源_01水果!$D700="周转筐－销售出库",N(对接源_01水果!$K700)&lt;&gt;0)),1,0)</f>
        <v>0</v>
      </c>
      <c r="AI700">
        <f>N(AI699)+$AH700</f>
        <v>0</v>
      </c>
      <c r="AJ700" s="7" t="n"/>
      <c r="AL700">
        <f>IF(OR($AL$1="",对接源_01水果!$Y700="",对接源_01水果!$Y700&lt;&gt;$AL$1,对接源_01水果!$B700="",N(对接源_01水果!$AJ700)&lt;=0),0,IF(OR(N(对接源_01水果!$B700)&lt;$AL$2,N(对接源_01水果!$B700)&gt;$AL$3),0,1))</f>
        <v>0</v>
      </c>
      <c r="AM700">
        <f>N(AM699)+$AL700</f>
        <v>2</v>
      </c>
      <c r="AN700">
        <f>IF(对接源_01水果!$AC700="","",对接源_01水果!$AC700)</f>
      </c>
      <c r="AO700">
        <f>IF(AN700="",0,IF(MATCH(AN700,$AN$4:$AN$1203,0)=ROW()-3,1,0))</f>
        <v>0</v>
      </c>
      <c r="AP700">
        <f>N(AP699)+$AO700</f>
        <v>13</v>
      </c>
      <c r="AR700">
        <f>IF(OR($AF700=1,$AH700=1),1,0)</f>
        <v>0</v>
      </c>
      <c r="AS700">
        <f>N(AS699)+$AR700</f>
        <v>0</v>
      </c>
    </row>
    <row r="701" ht="14.25" customHeight="1" s="127">
      <c r="A701">
        <f>IF(对接源_01水果!$C701="","",对接源_01水果!$C701)</f>
      </c>
      <c r="B701">
        <f>IF(A701="",0,IF(MATCH(A701,$A$4:$A$2403,0)=ROW()-3,1,0))</f>
        <v>0</v>
      </c>
      <c r="C701">
        <f>N(C700)+B701</f>
        <v>22</v>
      </c>
      <c r="K701">
        <f>IF(OR($K$1="",对接源_01水果!$C701="",对接源_01水果!$C701&lt;&gt;$K$1,对接源_01水果!$B701=""),0,IF(OR(N(对接源_01水果!$B701)&lt;$K$2,N(对接源_01水果!$B701)&gt;$K$3),0,1))</f>
        <v>0</v>
      </c>
      <c r="L701">
        <f>IF(OR($L$1="",对接源_01水果!$C701="",对接源_01水果!$C701&lt;&gt;$L$1,对接源_01水果!$B701=""),0,IF(OR(N(对接源_01水果!$B701)&lt;$L$2,N(对接源_01水果!$B701)&gt;$L$3),0,1))</f>
        <v>0</v>
      </c>
      <c r="M701">
        <f>IF(OR($M$1="",对接源_01水果!$C701="",对接源_01水果!$C701&lt;&gt;$M$1,对接源_01水果!$B701=""),0,IF(OR(N(对接源_01水果!$B701)&lt;$M$2,N(对接源_01水果!$B701)&gt;$M$3),0,1))</f>
        <v>0</v>
      </c>
      <c r="N701">
        <f>IF(OR($N$1="",对接源_01水果!$C701="",对接源_01水果!$C701&lt;&gt;$N$1,对接源_01水果!$B701=""),0,IF(OR(N(对接源_01水果!$B701)&lt;$N$2,N(对接源_01水果!$B701)&gt;$N$3),0,1))</f>
        <v>0</v>
      </c>
      <c r="P701">
        <f>IF(AND($K701=1,AND(对接源_01水果!$X701="公司筐",N(对接源_01水果!$T701)&lt;&gt;0)),1,0)</f>
        <v>0</v>
      </c>
      <c r="Q701">
        <f>N(Q700)+$P701</f>
        <v>0</v>
      </c>
      <c r="R701">
        <f>IF(AND($K701=1,AND(对接源_01水果!$X701="公司筐",N(对接源_01水果!$U701)&lt;&gt;0)),1,0)</f>
        <v>0</v>
      </c>
      <c r="S701">
        <f>N(S700)+$R701</f>
        <v>0</v>
      </c>
      <c r="T701">
        <f>IF(AND($K701=1,AND(对接源_01水果!$X701="公司筐",N(对接源_01水果!$V701)&lt;&gt;0)),1,0)</f>
        <v>0</v>
      </c>
      <c r="U701">
        <f>N(U700)+$T701</f>
        <v>47</v>
      </c>
      <c r="V701">
        <f>IF(AND($L701=1,AND(对接源_01水果!$X701="自备筐",N(对接源_01水果!$V701)&lt;&gt;0)),1,0)</f>
        <v>0</v>
      </c>
      <c r="W701">
        <f>N(W700)+$V701</f>
        <v>11</v>
      </c>
      <c r="X701">
        <f>IF(AND($L701=1,AND(对接源_01水果!$X701="自备筐",N(对接源_01水果!$T701)&lt;&gt;0)),1,0)</f>
        <v>0</v>
      </c>
      <c r="Y701">
        <f>N(Y700)+$X701</f>
        <v>0</v>
      </c>
      <c r="Z701">
        <f>IF(AND($M701=1,对接源_01水果!$D701="原料入库"),1,0)</f>
        <v>0</v>
      </c>
      <c r="AA701">
        <f>N(AA700)+$Z701</f>
        <v>24</v>
      </c>
      <c r="AB701">
        <f>IF(AND($M701=1,LEFT(对接源_01水果!$D701,4)="原料出库"),1,0)</f>
        <v>0</v>
      </c>
      <c r="AC701">
        <f>N(AC700)+$AB701</f>
        <v>0</v>
      </c>
      <c r="AD701">
        <f>IF(AND($M701=1,LEFT(对接源_01水果!$D701,4)="成品出库"),1,0)</f>
        <v>0</v>
      </c>
      <c r="AE701">
        <f>N(AE700)+$AD701</f>
        <v>0</v>
      </c>
      <c r="AF701">
        <f>IF(AND($N701=1,AND(LEFT(对接源_01水果!$D701,4)="包装物料",N(对接源_01水果!$K701)&lt;&gt;0)),1,0)</f>
        <v>0</v>
      </c>
      <c r="AG701">
        <f>N(AG700)+$AF701</f>
        <v>0</v>
      </c>
      <c r="AH701">
        <f>IF(AND($N701=1,AND(对接源_01水果!$D701="周转筐－销售出库",N(对接源_01水果!$K701)&lt;&gt;0)),1,0)</f>
        <v>0</v>
      </c>
      <c r="AI701">
        <f>N(AI700)+$AH701</f>
        <v>0</v>
      </c>
      <c r="AJ701" s="7" t="n"/>
      <c r="AL701">
        <f>IF(OR($AL$1="",对接源_01水果!$Y701="",对接源_01水果!$Y701&lt;&gt;$AL$1,对接源_01水果!$B701="",N(对接源_01水果!$AJ701)&lt;=0),0,IF(OR(N(对接源_01水果!$B701)&lt;$AL$2,N(对接源_01水果!$B701)&gt;$AL$3),0,1))</f>
        <v>0</v>
      </c>
      <c r="AM701">
        <f>N(AM700)+$AL701</f>
        <v>2</v>
      </c>
      <c r="AN701">
        <f>IF(对接源_01水果!$AC701="","",对接源_01水果!$AC701)</f>
      </c>
      <c r="AO701">
        <f>IF(AN701="",0,IF(MATCH(AN701,$AN$4:$AN$1203,0)=ROW()-3,1,0))</f>
        <v>0</v>
      </c>
      <c r="AP701">
        <f>N(AP700)+$AO701</f>
        <v>13</v>
      </c>
      <c r="AR701">
        <f>IF(OR($AF701=1,$AH701=1),1,0)</f>
        <v>0</v>
      </c>
      <c r="AS701">
        <f>N(AS700)+$AR701</f>
        <v>0</v>
      </c>
    </row>
    <row r="702" ht="14.25" customHeight="1" s="127">
      <c r="A702">
        <f>IF(对接源_01水果!$C702="","",对接源_01水果!$C702)</f>
      </c>
      <c r="B702">
        <f>IF(A702="",0,IF(MATCH(A702,$A$4:$A$2403,0)=ROW()-3,1,0))</f>
        <v>0</v>
      </c>
      <c r="C702">
        <f>N(C701)+B702</f>
        <v>22</v>
      </c>
      <c r="K702">
        <f>IF(OR($K$1="",对接源_01水果!$C702="",对接源_01水果!$C702&lt;&gt;$K$1,对接源_01水果!$B702=""),0,IF(OR(N(对接源_01水果!$B702)&lt;$K$2,N(对接源_01水果!$B702)&gt;$K$3),0,1))</f>
        <v>0</v>
      </c>
      <c r="L702">
        <f>IF(OR($L$1="",对接源_01水果!$C702="",对接源_01水果!$C702&lt;&gt;$L$1,对接源_01水果!$B702=""),0,IF(OR(N(对接源_01水果!$B702)&lt;$L$2,N(对接源_01水果!$B702)&gt;$L$3),0,1))</f>
        <v>0</v>
      </c>
      <c r="M702">
        <f>IF(OR($M$1="",对接源_01水果!$C702="",对接源_01水果!$C702&lt;&gt;$M$1,对接源_01水果!$B702=""),0,IF(OR(N(对接源_01水果!$B702)&lt;$M$2,N(对接源_01水果!$B702)&gt;$M$3),0,1))</f>
        <v>0</v>
      </c>
      <c r="N702">
        <f>IF(OR($N$1="",对接源_01水果!$C702="",对接源_01水果!$C702&lt;&gt;$N$1,对接源_01水果!$B702=""),0,IF(OR(N(对接源_01水果!$B702)&lt;$N$2,N(对接源_01水果!$B702)&gt;$N$3),0,1))</f>
        <v>0</v>
      </c>
      <c r="P702">
        <f>IF(AND($K702=1,AND(对接源_01水果!$X702="公司筐",N(对接源_01水果!$T702)&lt;&gt;0)),1,0)</f>
        <v>0</v>
      </c>
      <c r="Q702">
        <f>N(Q701)+$P702</f>
        <v>0</v>
      </c>
      <c r="R702">
        <f>IF(AND($K702=1,AND(对接源_01水果!$X702="公司筐",N(对接源_01水果!$U702)&lt;&gt;0)),1,0)</f>
        <v>0</v>
      </c>
      <c r="S702">
        <f>N(S701)+$R702</f>
        <v>0</v>
      </c>
      <c r="T702">
        <f>IF(AND($K702=1,AND(对接源_01水果!$X702="公司筐",N(对接源_01水果!$V702)&lt;&gt;0)),1,0)</f>
        <v>0</v>
      </c>
      <c r="U702">
        <f>N(U701)+$T702</f>
        <v>47</v>
      </c>
      <c r="V702">
        <f>IF(AND($L702=1,AND(对接源_01水果!$X702="自备筐",N(对接源_01水果!$V702)&lt;&gt;0)),1,0)</f>
        <v>0</v>
      </c>
      <c r="W702">
        <f>N(W701)+$V702</f>
        <v>11</v>
      </c>
      <c r="X702">
        <f>IF(AND($L702=1,AND(对接源_01水果!$X702="自备筐",N(对接源_01水果!$T702)&lt;&gt;0)),1,0)</f>
        <v>0</v>
      </c>
      <c r="Y702">
        <f>N(Y701)+$X702</f>
        <v>0</v>
      </c>
      <c r="Z702">
        <f>IF(AND($M702=1,对接源_01水果!$D702="原料入库"),1,0)</f>
        <v>0</v>
      </c>
      <c r="AA702">
        <f>N(AA701)+$Z702</f>
        <v>24</v>
      </c>
      <c r="AB702">
        <f>IF(AND($M702=1,LEFT(对接源_01水果!$D702,4)="原料出库"),1,0)</f>
        <v>0</v>
      </c>
      <c r="AC702">
        <f>N(AC701)+$AB702</f>
        <v>0</v>
      </c>
      <c r="AD702">
        <f>IF(AND($M702=1,LEFT(对接源_01水果!$D702,4)="成品出库"),1,0)</f>
        <v>0</v>
      </c>
      <c r="AE702">
        <f>N(AE701)+$AD702</f>
        <v>0</v>
      </c>
      <c r="AF702">
        <f>IF(AND($N702=1,AND(LEFT(对接源_01水果!$D702,4)="包装物料",N(对接源_01水果!$K702)&lt;&gt;0)),1,0)</f>
        <v>0</v>
      </c>
      <c r="AG702">
        <f>N(AG701)+$AF702</f>
        <v>0</v>
      </c>
      <c r="AH702">
        <f>IF(AND($N702=1,AND(对接源_01水果!$D702="周转筐－销售出库",N(对接源_01水果!$K702)&lt;&gt;0)),1,0)</f>
        <v>0</v>
      </c>
      <c r="AI702">
        <f>N(AI701)+$AH702</f>
        <v>0</v>
      </c>
      <c r="AJ702" s="7" t="n"/>
      <c r="AL702">
        <f>IF(OR($AL$1="",对接源_01水果!$Y702="",对接源_01水果!$Y702&lt;&gt;$AL$1,对接源_01水果!$B702="",N(对接源_01水果!$AJ702)&lt;=0),0,IF(OR(N(对接源_01水果!$B702)&lt;$AL$2,N(对接源_01水果!$B702)&gt;$AL$3),0,1))</f>
        <v>0</v>
      </c>
      <c r="AM702">
        <f>N(AM701)+$AL702</f>
        <v>2</v>
      </c>
      <c r="AN702">
        <f>IF(对接源_01水果!$AC702="","",对接源_01水果!$AC702)</f>
      </c>
      <c r="AO702">
        <f>IF(AN702="",0,IF(MATCH(AN702,$AN$4:$AN$1203,0)=ROW()-3,1,0))</f>
        <v>0</v>
      </c>
      <c r="AP702">
        <f>N(AP701)+$AO702</f>
        <v>13</v>
      </c>
      <c r="AR702">
        <f>IF(OR($AF702=1,$AH702=1),1,0)</f>
        <v>0</v>
      </c>
      <c r="AS702">
        <f>N(AS701)+$AR702</f>
        <v>0</v>
      </c>
    </row>
    <row r="703" ht="14.25" customHeight="1" s="127">
      <c r="A703">
        <f>IF(对接源_01水果!$C703="","",对接源_01水果!$C703)</f>
      </c>
      <c r="B703">
        <f>IF(A703="",0,IF(MATCH(A703,$A$4:$A$2403,0)=ROW()-3,1,0))</f>
        <v>0</v>
      </c>
      <c r="C703">
        <f>N(C702)+B703</f>
        <v>22</v>
      </c>
      <c r="K703">
        <f>IF(OR($K$1="",对接源_01水果!$C703="",对接源_01水果!$C703&lt;&gt;$K$1,对接源_01水果!$B703=""),0,IF(OR(N(对接源_01水果!$B703)&lt;$K$2,N(对接源_01水果!$B703)&gt;$K$3),0,1))</f>
        <v>0</v>
      </c>
      <c r="L703">
        <f>IF(OR($L$1="",对接源_01水果!$C703="",对接源_01水果!$C703&lt;&gt;$L$1,对接源_01水果!$B703=""),0,IF(OR(N(对接源_01水果!$B703)&lt;$L$2,N(对接源_01水果!$B703)&gt;$L$3),0,1))</f>
        <v>0</v>
      </c>
      <c r="M703">
        <f>IF(OR($M$1="",对接源_01水果!$C703="",对接源_01水果!$C703&lt;&gt;$M$1,对接源_01水果!$B703=""),0,IF(OR(N(对接源_01水果!$B703)&lt;$M$2,N(对接源_01水果!$B703)&gt;$M$3),0,1))</f>
        <v>0</v>
      </c>
      <c r="N703">
        <f>IF(OR($N$1="",对接源_01水果!$C703="",对接源_01水果!$C703&lt;&gt;$N$1,对接源_01水果!$B703=""),0,IF(OR(N(对接源_01水果!$B703)&lt;$N$2,N(对接源_01水果!$B703)&gt;$N$3),0,1))</f>
        <v>0</v>
      </c>
      <c r="P703">
        <f>IF(AND($K703=1,AND(对接源_01水果!$X703="公司筐",N(对接源_01水果!$T703)&lt;&gt;0)),1,0)</f>
        <v>0</v>
      </c>
      <c r="Q703">
        <f>N(Q702)+$P703</f>
        <v>0</v>
      </c>
      <c r="R703">
        <f>IF(AND($K703=1,AND(对接源_01水果!$X703="公司筐",N(对接源_01水果!$U703)&lt;&gt;0)),1,0)</f>
        <v>0</v>
      </c>
      <c r="S703">
        <f>N(S702)+$R703</f>
        <v>0</v>
      </c>
      <c r="T703">
        <f>IF(AND($K703=1,AND(对接源_01水果!$X703="公司筐",N(对接源_01水果!$V703)&lt;&gt;0)),1,0)</f>
        <v>0</v>
      </c>
      <c r="U703">
        <f>N(U702)+$T703</f>
        <v>47</v>
      </c>
      <c r="V703">
        <f>IF(AND($L703=1,AND(对接源_01水果!$X703="自备筐",N(对接源_01水果!$V703)&lt;&gt;0)),1,0)</f>
        <v>0</v>
      </c>
      <c r="W703">
        <f>N(W702)+$V703</f>
        <v>11</v>
      </c>
      <c r="X703">
        <f>IF(AND($L703=1,AND(对接源_01水果!$X703="自备筐",N(对接源_01水果!$T703)&lt;&gt;0)),1,0)</f>
        <v>0</v>
      </c>
      <c r="Y703">
        <f>N(Y702)+$X703</f>
        <v>0</v>
      </c>
      <c r="Z703">
        <f>IF(AND($M703=1,对接源_01水果!$D703="原料入库"),1,0)</f>
        <v>0</v>
      </c>
      <c r="AA703">
        <f>N(AA702)+$Z703</f>
        <v>24</v>
      </c>
      <c r="AB703">
        <f>IF(AND($M703=1,LEFT(对接源_01水果!$D703,4)="原料出库"),1,0)</f>
        <v>0</v>
      </c>
      <c r="AC703">
        <f>N(AC702)+$AB703</f>
        <v>0</v>
      </c>
      <c r="AD703">
        <f>IF(AND($M703=1,LEFT(对接源_01水果!$D703,4)="成品出库"),1,0)</f>
        <v>0</v>
      </c>
      <c r="AE703">
        <f>N(AE702)+$AD703</f>
        <v>0</v>
      </c>
      <c r="AF703">
        <f>IF(AND($N703=1,AND(LEFT(对接源_01水果!$D703,4)="包装物料",N(对接源_01水果!$K703)&lt;&gt;0)),1,0)</f>
        <v>0</v>
      </c>
      <c r="AG703">
        <f>N(AG702)+$AF703</f>
        <v>0</v>
      </c>
      <c r="AH703">
        <f>IF(AND($N703=1,AND(对接源_01水果!$D703="周转筐－销售出库",N(对接源_01水果!$K703)&lt;&gt;0)),1,0)</f>
        <v>0</v>
      </c>
      <c r="AI703">
        <f>N(AI702)+$AH703</f>
        <v>0</v>
      </c>
      <c r="AJ703" s="7" t="n"/>
      <c r="AL703">
        <f>IF(OR($AL$1="",对接源_01水果!$Y703="",对接源_01水果!$Y703&lt;&gt;$AL$1,对接源_01水果!$B703="",N(对接源_01水果!$AJ703)&lt;=0),0,IF(OR(N(对接源_01水果!$B703)&lt;$AL$2,N(对接源_01水果!$B703)&gt;$AL$3),0,1))</f>
        <v>0</v>
      </c>
      <c r="AM703">
        <f>N(AM702)+$AL703</f>
        <v>2</v>
      </c>
      <c r="AN703">
        <f>IF(对接源_01水果!$AC703="","",对接源_01水果!$AC703)</f>
      </c>
      <c r="AO703">
        <f>IF(AN703="",0,IF(MATCH(AN703,$AN$4:$AN$1203,0)=ROW()-3,1,0))</f>
        <v>0</v>
      </c>
      <c r="AP703">
        <f>N(AP702)+$AO703</f>
        <v>13</v>
      </c>
      <c r="AR703">
        <f>IF(OR($AF703=1,$AH703=1),1,0)</f>
        <v>0</v>
      </c>
      <c r="AS703">
        <f>N(AS702)+$AR703</f>
        <v>0</v>
      </c>
    </row>
    <row r="704" ht="14.25" customHeight="1" s="127">
      <c r="A704">
        <f>IF(对接源_01水果!$C704="","",对接源_01水果!$C704)</f>
      </c>
      <c r="B704">
        <f>IF(A704="",0,IF(MATCH(A704,$A$4:$A$2403,0)=ROW()-3,1,0))</f>
        <v>0</v>
      </c>
      <c r="C704">
        <f>N(C703)+B704</f>
        <v>22</v>
      </c>
      <c r="K704">
        <f>IF(OR($K$1="",对接源_01水果!$C704="",对接源_01水果!$C704&lt;&gt;$K$1,对接源_01水果!$B704=""),0,IF(OR(N(对接源_01水果!$B704)&lt;$K$2,N(对接源_01水果!$B704)&gt;$K$3),0,1))</f>
        <v>0</v>
      </c>
      <c r="L704">
        <f>IF(OR($L$1="",对接源_01水果!$C704="",对接源_01水果!$C704&lt;&gt;$L$1,对接源_01水果!$B704=""),0,IF(OR(N(对接源_01水果!$B704)&lt;$L$2,N(对接源_01水果!$B704)&gt;$L$3),0,1))</f>
        <v>0</v>
      </c>
      <c r="M704">
        <f>IF(OR($M$1="",对接源_01水果!$C704="",对接源_01水果!$C704&lt;&gt;$M$1,对接源_01水果!$B704=""),0,IF(OR(N(对接源_01水果!$B704)&lt;$M$2,N(对接源_01水果!$B704)&gt;$M$3),0,1))</f>
        <v>0</v>
      </c>
      <c r="N704">
        <f>IF(OR($N$1="",对接源_01水果!$C704="",对接源_01水果!$C704&lt;&gt;$N$1,对接源_01水果!$B704=""),0,IF(OR(N(对接源_01水果!$B704)&lt;$N$2,N(对接源_01水果!$B704)&gt;$N$3),0,1))</f>
        <v>0</v>
      </c>
      <c r="P704">
        <f>IF(AND($K704=1,AND(对接源_01水果!$X704="公司筐",N(对接源_01水果!$T704)&lt;&gt;0)),1,0)</f>
        <v>0</v>
      </c>
      <c r="Q704">
        <f>N(Q703)+$P704</f>
        <v>0</v>
      </c>
      <c r="R704">
        <f>IF(AND($K704=1,AND(对接源_01水果!$X704="公司筐",N(对接源_01水果!$U704)&lt;&gt;0)),1,0)</f>
        <v>0</v>
      </c>
      <c r="S704">
        <f>N(S703)+$R704</f>
        <v>0</v>
      </c>
      <c r="T704">
        <f>IF(AND($K704=1,AND(对接源_01水果!$X704="公司筐",N(对接源_01水果!$V704)&lt;&gt;0)),1,0)</f>
        <v>0</v>
      </c>
      <c r="U704">
        <f>N(U703)+$T704</f>
        <v>47</v>
      </c>
      <c r="V704">
        <f>IF(AND($L704=1,AND(对接源_01水果!$X704="自备筐",N(对接源_01水果!$V704)&lt;&gt;0)),1,0)</f>
        <v>0</v>
      </c>
      <c r="W704">
        <f>N(W703)+$V704</f>
        <v>11</v>
      </c>
      <c r="X704">
        <f>IF(AND($L704=1,AND(对接源_01水果!$X704="自备筐",N(对接源_01水果!$T704)&lt;&gt;0)),1,0)</f>
        <v>0</v>
      </c>
      <c r="Y704">
        <f>N(Y703)+$X704</f>
        <v>0</v>
      </c>
      <c r="Z704">
        <f>IF(AND($M704=1,对接源_01水果!$D704="原料入库"),1,0)</f>
        <v>0</v>
      </c>
      <c r="AA704">
        <f>N(AA703)+$Z704</f>
        <v>24</v>
      </c>
      <c r="AB704">
        <f>IF(AND($M704=1,LEFT(对接源_01水果!$D704,4)="原料出库"),1,0)</f>
        <v>0</v>
      </c>
      <c r="AC704">
        <f>N(AC703)+$AB704</f>
        <v>0</v>
      </c>
      <c r="AD704">
        <f>IF(AND($M704=1,LEFT(对接源_01水果!$D704,4)="成品出库"),1,0)</f>
        <v>0</v>
      </c>
      <c r="AE704">
        <f>N(AE703)+$AD704</f>
        <v>0</v>
      </c>
      <c r="AF704">
        <f>IF(AND($N704=1,AND(LEFT(对接源_01水果!$D704,4)="包装物料",N(对接源_01水果!$K704)&lt;&gt;0)),1,0)</f>
        <v>0</v>
      </c>
      <c r="AG704">
        <f>N(AG703)+$AF704</f>
        <v>0</v>
      </c>
      <c r="AH704">
        <f>IF(AND($N704=1,AND(对接源_01水果!$D704="周转筐－销售出库",N(对接源_01水果!$K704)&lt;&gt;0)),1,0)</f>
        <v>0</v>
      </c>
      <c r="AI704">
        <f>N(AI703)+$AH704</f>
        <v>0</v>
      </c>
      <c r="AJ704" s="7" t="n"/>
      <c r="AL704">
        <f>IF(OR($AL$1="",对接源_01水果!$Y704="",对接源_01水果!$Y704&lt;&gt;$AL$1,对接源_01水果!$B704="",N(对接源_01水果!$AJ704)&lt;=0),0,IF(OR(N(对接源_01水果!$B704)&lt;$AL$2,N(对接源_01水果!$B704)&gt;$AL$3),0,1))</f>
        <v>0</v>
      </c>
      <c r="AM704">
        <f>N(AM703)+$AL704</f>
        <v>2</v>
      </c>
      <c r="AN704">
        <f>IF(对接源_01水果!$AC704="","",对接源_01水果!$AC704)</f>
      </c>
      <c r="AO704">
        <f>IF(AN704="",0,IF(MATCH(AN704,$AN$4:$AN$1203,0)=ROW()-3,1,0))</f>
        <v>0</v>
      </c>
      <c r="AP704">
        <f>N(AP703)+$AO704</f>
        <v>13</v>
      </c>
      <c r="AR704">
        <f>IF(OR($AF704=1,$AH704=1),1,0)</f>
        <v>0</v>
      </c>
      <c r="AS704">
        <f>N(AS703)+$AR704</f>
        <v>0</v>
      </c>
    </row>
    <row r="705" ht="14.25" customHeight="1" s="127">
      <c r="A705">
        <f>IF(对接源_01水果!$C705="","",对接源_01水果!$C705)</f>
      </c>
      <c r="B705">
        <f>IF(A705="",0,IF(MATCH(A705,$A$4:$A$2403,0)=ROW()-3,1,0))</f>
        <v>0</v>
      </c>
      <c r="C705">
        <f>N(C704)+B705</f>
        <v>22</v>
      </c>
      <c r="K705">
        <f>IF(OR($K$1="",对接源_01水果!$C705="",对接源_01水果!$C705&lt;&gt;$K$1,对接源_01水果!$B705=""),0,IF(OR(N(对接源_01水果!$B705)&lt;$K$2,N(对接源_01水果!$B705)&gt;$K$3),0,1))</f>
        <v>0</v>
      </c>
      <c r="L705">
        <f>IF(OR($L$1="",对接源_01水果!$C705="",对接源_01水果!$C705&lt;&gt;$L$1,对接源_01水果!$B705=""),0,IF(OR(N(对接源_01水果!$B705)&lt;$L$2,N(对接源_01水果!$B705)&gt;$L$3),0,1))</f>
        <v>0</v>
      </c>
      <c r="M705">
        <f>IF(OR($M$1="",对接源_01水果!$C705="",对接源_01水果!$C705&lt;&gt;$M$1,对接源_01水果!$B705=""),0,IF(OR(N(对接源_01水果!$B705)&lt;$M$2,N(对接源_01水果!$B705)&gt;$M$3),0,1))</f>
        <v>0</v>
      </c>
      <c r="N705">
        <f>IF(OR($N$1="",对接源_01水果!$C705="",对接源_01水果!$C705&lt;&gt;$N$1,对接源_01水果!$B705=""),0,IF(OR(N(对接源_01水果!$B705)&lt;$N$2,N(对接源_01水果!$B705)&gt;$N$3),0,1))</f>
        <v>0</v>
      </c>
      <c r="P705">
        <f>IF(AND($K705=1,AND(对接源_01水果!$X705="公司筐",N(对接源_01水果!$T705)&lt;&gt;0)),1,0)</f>
        <v>0</v>
      </c>
      <c r="Q705">
        <f>N(Q704)+$P705</f>
        <v>0</v>
      </c>
      <c r="R705">
        <f>IF(AND($K705=1,AND(对接源_01水果!$X705="公司筐",N(对接源_01水果!$U705)&lt;&gt;0)),1,0)</f>
        <v>0</v>
      </c>
      <c r="S705">
        <f>N(S704)+$R705</f>
        <v>0</v>
      </c>
      <c r="T705">
        <f>IF(AND($K705=1,AND(对接源_01水果!$X705="公司筐",N(对接源_01水果!$V705)&lt;&gt;0)),1,0)</f>
        <v>0</v>
      </c>
      <c r="U705">
        <f>N(U704)+$T705</f>
        <v>47</v>
      </c>
      <c r="V705">
        <f>IF(AND($L705=1,AND(对接源_01水果!$X705="自备筐",N(对接源_01水果!$V705)&lt;&gt;0)),1,0)</f>
        <v>0</v>
      </c>
      <c r="W705">
        <f>N(W704)+$V705</f>
        <v>11</v>
      </c>
      <c r="X705">
        <f>IF(AND($L705=1,AND(对接源_01水果!$X705="自备筐",N(对接源_01水果!$T705)&lt;&gt;0)),1,0)</f>
        <v>0</v>
      </c>
      <c r="Y705">
        <f>N(Y704)+$X705</f>
        <v>0</v>
      </c>
      <c r="Z705">
        <f>IF(AND($M705=1,对接源_01水果!$D705="原料入库"),1,0)</f>
        <v>0</v>
      </c>
      <c r="AA705">
        <f>N(AA704)+$Z705</f>
        <v>24</v>
      </c>
      <c r="AB705">
        <f>IF(AND($M705=1,LEFT(对接源_01水果!$D705,4)="原料出库"),1,0)</f>
        <v>0</v>
      </c>
      <c r="AC705">
        <f>N(AC704)+$AB705</f>
        <v>0</v>
      </c>
      <c r="AD705">
        <f>IF(AND($M705=1,LEFT(对接源_01水果!$D705,4)="成品出库"),1,0)</f>
        <v>0</v>
      </c>
      <c r="AE705">
        <f>N(AE704)+$AD705</f>
        <v>0</v>
      </c>
      <c r="AF705">
        <f>IF(AND($N705=1,AND(LEFT(对接源_01水果!$D705,4)="包装物料",N(对接源_01水果!$K705)&lt;&gt;0)),1,0)</f>
        <v>0</v>
      </c>
      <c r="AG705">
        <f>N(AG704)+$AF705</f>
        <v>0</v>
      </c>
      <c r="AH705">
        <f>IF(AND($N705=1,AND(对接源_01水果!$D705="周转筐－销售出库",N(对接源_01水果!$K705)&lt;&gt;0)),1,0)</f>
        <v>0</v>
      </c>
      <c r="AI705">
        <f>N(AI704)+$AH705</f>
        <v>0</v>
      </c>
      <c r="AJ705" s="7" t="n"/>
      <c r="AL705">
        <f>IF(OR($AL$1="",对接源_01水果!$Y705="",对接源_01水果!$Y705&lt;&gt;$AL$1,对接源_01水果!$B705="",N(对接源_01水果!$AJ705)&lt;=0),0,IF(OR(N(对接源_01水果!$B705)&lt;$AL$2,N(对接源_01水果!$B705)&gt;$AL$3),0,1))</f>
        <v>0</v>
      </c>
      <c r="AM705">
        <f>N(AM704)+$AL705</f>
        <v>2</v>
      </c>
      <c r="AN705">
        <f>IF(对接源_01水果!$AC705="","",对接源_01水果!$AC705)</f>
      </c>
      <c r="AO705">
        <f>IF(AN705="",0,IF(MATCH(AN705,$AN$4:$AN$1203,0)=ROW()-3,1,0))</f>
        <v>0</v>
      </c>
      <c r="AP705">
        <f>N(AP704)+$AO705</f>
        <v>13</v>
      </c>
      <c r="AR705">
        <f>IF(OR($AF705=1,$AH705=1),1,0)</f>
        <v>0</v>
      </c>
      <c r="AS705">
        <f>N(AS704)+$AR705</f>
        <v>0</v>
      </c>
    </row>
    <row r="706" ht="14.25" customHeight="1" s="127">
      <c r="A706">
        <f>IF(对接源_01水果!$C706="","",对接源_01水果!$C706)</f>
      </c>
      <c r="B706">
        <f>IF(A706="",0,IF(MATCH(A706,$A$4:$A$2403,0)=ROW()-3,1,0))</f>
        <v>0</v>
      </c>
      <c r="C706">
        <f>N(C705)+B706</f>
        <v>22</v>
      </c>
      <c r="K706">
        <f>IF(OR($K$1="",对接源_01水果!$C706="",对接源_01水果!$C706&lt;&gt;$K$1,对接源_01水果!$B706=""),0,IF(OR(N(对接源_01水果!$B706)&lt;$K$2,N(对接源_01水果!$B706)&gt;$K$3),0,1))</f>
        <v>0</v>
      </c>
      <c r="L706">
        <f>IF(OR($L$1="",对接源_01水果!$C706="",对接源_01水果!$C706&lt;&gt;$L$1,对接源_01水果!$B706=""),0,IF(OR(N(对接源_01水果!$B706)&lt;$L$2,N(对接源_01水果!$B706)&gt;$L$3),0,1))</f>
        <v>0</v>
      </c>
      <c r="M706">
        <f>IF(OR($M$1="",对接源_01水果!$C706="",对接源_01水果!$C706&lt;&gt;$M$1,对接源_01水果!$B706=""),0,IF(OR(N(对接源_01水果!$B706)&lt;$M$2,N(对接源_01水果!$B706)&gt;$M$3),0,1))</f>
        <v>0</v>
      </c>
      <c r="N706">
        <f>IF(OR($N$1="",对接源_01水果!$C706="",对接源_01水果!$C706&lt;&gt;$N$1,对接源_01水果!$B706=""),0,IF(OR(N(对接源_01水果!$B706)&lt;$N$2,N(对接源_01水果!$B706)&gt;$N$3),0,1))</f>
        <v>0</v>
      </c>
      <c r="P706">
        <f>IF(AND($K706=1,AND(对接源_01水果!$X706="公司筐",N(对接源_01水果!$T706)&lt;&gt;0)),1,0)</f>
        <v>0</v>
      </c>
      <c r="Q706">
        <f>N(Q705)+$P706</f>
        <v>0</v>
      </c>
      <c r="R706">
        <f>IF(AND($K706=1,AND(对接源_01水果!$X706="公司筐",N(对接源_01水果!$U706)&lt;&gt;0)),1,0)</f>
        <v>0</v>
      </c>
      <c r="S706">
        <f>N(S705)+$R706</f>
        <v>0</v>
      </c>
      <c r="T706">
        <f>IF(AND($K706=1,AND(对接源_01水果!$X706="公司筐",N(对接源_01水果!$V706)&lt;&gt;0)),1,0)</f>
        <v>0</v>
      </c>
      <c r="U706">
        <f>N(U705)+$T706</f>
        <v>47</v>
      </c>
      <c r="V706">
        <f>IF(AND($L706=1,AND(对接源_01水果!$X706="自备筐",N(对接源_01水果!$V706)&lt;&gt;0)),1,0)</f>
        <v>0</v>
      </c>
      <c r="W706">
        <f>N(W705)+$V706</f>
        <v>11</v>
      </c>
      <c r="X706">
        <f>IF(AND($L706=1,AND(对接源_01水果!$X706="自备筐",N(对接源_01水果!$T706)&lt;&gt;0)),1,0)</f>
        <v>0</v>
      </c>
      <c r="Y706">
        <f>N(Y705)+$X706</f>
        <v>0</v>
      </c>
      <c r="Z706">
        <f>IF(AND($M706=1,对接源_01水果!$D706="原料入库"),1,0)</f>
        <v>0</v>
      </c>
      <c r="AA706">
        <f>N(AA705)+$Z706</f>
        <v>24</v>
      </c>
      <c r="AB706">
        <f>IF(AND($M706=1,LEFT(对接源_01水果!$D706,4)="原料出库"),1,0)</f>
        <v>0</v>
      </c>
      <c r="AC706">
        <f>N(AC705)+$AB706</f>
        <v>0</v>
      </c>
      <c r="AD706">
        <f>IF(AND($M706=1,LEFT(对接源_01水果!$D706,4)="成品出库"),1,0)</f>
        <v>0</v>
      </c>
      <c r="AE706">
        <f>N(AE705)+$AD706</f>
        <v>0</v>
      </c>
      <c r="AF706">
        <f>IF(AND($N706=1,AND(LEFT(对接源_01水果!$D706,4)="包装物料",N(对接源_01水果!$K706)&lt;&gt;0)),1,0)</f>
        <v>0</v>
      </c>
      <c r="AG706">
        <f>N(AG705)+$AF706</f>
        <v>0</v>
      </c>
      <c r="AH706">
        <f>IF(AND($N706=1,AND(对接源_01水果!$D706="周转筐－销售出库",N(对接源_01水果!$K706)&lt;&gt;0)),1,0)</f>
        <v>0</v>
      </c>
      <c r="AI706">
        <f>N(AI705)+$AH706</f>
        <v>0</v>
      </c>
      <c r="AJ706" s="7" t="n"/>
      <c r="AL706">
        <f>IF(OR($AL$1="",对接源_01水果!$Y706="",对接源_01水果!$Y706&lt;&gt;$AL$1,对接源_01水果!$B706="",N(对接源_01水果!$AJ706)&lt;=0),0,IF(OR(N(对接源_01水果!$B706)&lt;$AL$2,N(对接源_01水果!$B706)&gt;$AL$3),0,1))</f>
        <v>0</v>
      </c>
      <c r="AM706">
        <f>N(AM705)+$AL706</f>
        <v>2</v>
      </c>
      <c r="AN706">
        <f>IF(对接源_01水果!$AC706="","",对接源_01水果!$AC706)</f>
      </c>
      <c r="AO706">
        <f>IF(AN706="",0,IF(MATCH(AN706,$AN$4:$AN$1203,0)=ROW()-3,1,0))</f>
        <v>0</v>
      </c>
      <c r="AP706">
        <f>N(AP705)+$AO706</f>
        <v>13</v>
      </c>
      <c r="AR706">
        <f>IF(OR($AF706=1,$AH706=1),1,0)</f>
        <v>0</v>
      </c>
      <c r="AS706">
        <f>N(AS705)+$AR706</f>
        <v>0</v>
      </c>
    </row>
    <row r="707" ht="14.25" customHeight="1" s="127">
      <c r="A707">
        <f>IF(对接源_01水果!$C707="","",对接源_01水果!$C707)</f>
      </c>
      <c r="B707">
        <f>IF(A707="",0,IF(MATCH(A707,$A$4:$A$2403,0)=ROW()-3,1,0))</f>
        <v>0</v>
      </c>
      <c r="C707">
        <f>N(C706)+B707</f>
        <v>22</v>
      </c>
      <c r="K707">
        <f>IF(OR($K$1="",对接源_01水果!$C707="",对接源_01水果!$C707&lt;&gt;$K$1,对接源_01水果!$B707=""),0,IF(OR(N(对接源_01水果!$B707)&lt;$K$2,N(对接源_01水果!$B707)&gt;$K$3),0,1))</f>
        <v>0</v>
      </c>
      <c r="L707">
        <f>IF(OR($L$1="",对接源_01水果!$C707="",对接源_01水果!$C707&lt;&gt;$L$1,对接源_01水果!$B707=""),0,IF(OR(N(对接源_01水果!$B707)&lt;$L$2,N(对接源_01水果!$B707)&gt;$L$3),0,1))</f>
        <v>0</v>
      </c>
      <c r="M707">
        <f>IF(OR($M$1="",对接源_01水果!$C707="",对接源_01水果!$C707&lt;&gt;$M$1,对接源_01水果!$B707=""),0,IF(OR(N(对接源_01水果!$B707)&lt;$M$2,N(对接源_01水果!$B707)&gt;$M$3),0,1))</f>
        <v>0</v>
      </c>
      <c r="N707">
        <f>IF(OR($N$1="",对接源_01水果!$C707="",对接源_01水果!$C707&lt;&gt;$N$1,对接源_01水果!$B707=""),0,IF(OR(N(对接源_01水果!$B707)&lt;$N$2,N(对接源_01水果!$B707)&gt;$N$3),0,1))</f>
        <v>0</v>
      </c>
      <c r="P707">
        <f>IF(AND($K707=1,AND(对接源_01水果!$X707="公司筐",N(对接源_01水果!$T707)&lt;&gt;0)),1,0)</f>
        <v>0</v>
      </c>
      <c r="Q707">
        <f>N(Q706)+$P707</f>
        <v>0</v>
      </c>
      <c r="R707">
        <f>IF(AND($K707=1,AND(对接源_01水果!$X707="公司筐",N(对接源_01水果!$U707)&lt;&gt;0)),1,0)</f>
        <v>0</v>
      </c>
      <c r="S707">
        <f>N(S706)+$R707</f>
        <v>0</v>
      </c>
      <c r="T707">
        <f>IF(AND($K707=1,AND(对接源_01水果!$X707="公司筐",N(对接源_01水果!$V707)&lt;&gt;0)),1,0)</f>
        <v>0</v>
      </c>
      <c r="U707">
        <f>N(U706)+$T707</f>
        <v>47</v>
      </c>
      <c r="V707">
        <f>IF(AND($L707=1,AND(对接源_01水果!$X707="自备筐",N(对接源_01水果!$V707)&lt;&gt;0)),1,0)</f>
        <v>0</v>
      </c>
      <c r="W707">
        <f>N(W706)+$V707</f>
        <v>11</v>
      </c>
      <c r="X707">
        <f>IF(AND($L707=1,AND(对接源_01水果!$X707="自备筐",N(对接源_01水果!$T707)&lt;&gt;0)),1,0)</f>
        <v>0</v>
      </c>
      <c r="Y707">
        <f>N(Y706)+$X707</f>
        <v>0</v>
      </c>
      <c r="Z707">
        <f>IF(AND($M707=1,对接源_01水果!$D707="原料入库"),1,0)</f>
        <v>0</v>
      </c>
      <c r="AA707">
        <f>N(AA706)+$Z707</f>
        <v>24</v>
      </c>
      <c r="AB707">
        <f>IF(AND($M707=1,LEFT(对接源_01水果!$D707,4)="原料出库"),1,0)</f>
        <v>0</v>
      </c>
      <c r="AC707">
        <f>N(AC706)+$AB707</f>
        <v>0</v>
      </c>
      <c r="AD707">
        <f>IF(AND($M707=1,LEFT(对接源_01水果!$D707,4)="成品出库"),1,0)</f>
        <v>0</v>
      </c>
      <c r="AE707">
        <f>N(AE706)+$AD707</f>
        <v>0</v>
      </c>
      <c r="AF707">
        <f>IF(AND($N707=1,AND(LEFT(对接源_01水果!$D707,4)="包装物料",N(对接源_01水果!$K707)&lt;&gt;0)),1,0)</f>
        <v>0</v>
      </c>
      <c r="AG707">
        <f>N(AG706)+$AF707</f>
        <v>0</v>
      </c>
      <c r="AH707">
        <f>IF(AND($N707=1,AND(对接源_01水果!$D707="周转筐－销售出库",N(对接源_01水果!$K707)&lt;&gt;0)),1,0)</f>
        <v>0</v>
      </c>
      <c r="AI707">
        <f>N(AI706)+$AH707</f>
        <v>0</v>
      </c>
      <c r="AJ707" s="7" t="n"/>
      <c r="AL707">
        <f>IF(OR($AL$1="",对接源_01水果!$Y707="",对接源_01水果!$Y707&lt;&gt;$AL$1,对接源_01水果!$B707="",N(对接源_01水果!$AJ707)&lt;=0),0,IF(OR(N(对接源_01水果!$B707)&lt;$AL$2,N(对接源_01水果!$B707)&gt;$AL$3),0,1))</f>
        <v>0</v>
      </c>
      <c r="AM707">
        <f>N(AM706)+$AL707</f>
        <v>2</v>
      </c>
      <c r="AN707">
        <f>IF(对接源_01水果!$AC707="","",对接源_01水果!$AC707)</f>
      </c>
      <c r="AO707">
        <f>IF(AN707="",0,IF(MATCH(AN707,$AN$4:$AN$1203,0)=ROW()-3,1,0))</f>
        <v>0</v>
      </c>
      <c r="AP707">
        <f>N(AP706)+$AO707</f>
        <v>13</v>
      </c>
      <c r="AR707">
        <f>IF(OR($AF707=1,$AH707=1),1,0)</f>
        <v>0</v>
      </c>
      <c r="AS707">
        <f>N(AS706)+$AR707</f>
        <v>0</v>
      </c>
    </row>
    <row r="708" ht="14.25" customHeight="1" s="127">
      <c r="A708">
        <f>IF(对接源_01水果!$C708="","",对接源_01水果!$C708)</f>
      </c>
      <c r="B708">
        <f>IF(A708="",0,IF(MATCH(A708,$A$4:$A$2403,0)=ROW()-3,1,0))</f>
        <v>0</v>
      </c>
      <c r="C708">
        <f>N(C707)+B708</f>
        <v>22</v>
      </c>
      <c r="K708">
        <f>IF(OR($K$1="",对接源_01水果!$C708="",对接源_01水果!$C708&lt;&gt;$K$1,对接源_01水果!$B708=""),0,IF(OR(N(对接源_01水果!$B708)&lt;$K$2,N(对接源_01水果!$B708)&gt;$K$3),0,1))</f>
        <v>0</v>
      </c>
      <c r="L708">
        <f>IF(OR($L$1="",对接源_01水果!$C708="",对接源_01水果!$C708&lt;&gt;$L$1,对接源_01水果!$B708=""),0,IF(OR(N(对接源_01水果!$B708)&lt;$L$2,N(对接源_01水果!$B708)&gt;$L$3),0,1))</f>
        <v>0</v>
      </c>
      <c r="M708">
        <f>IF(OR($M$1="",对接源_01水果!$C708="",对接源_01水果!$C708&lt;&gt;$M$1,对接源_01水果!$B708=""),0,IF(OR(N(对接源_01水果!$B708)&lt;$M$2,N(对接源_01水果!$B708)&gt;$M$3),0,1))</f>
        <v>0</v>
      </c>
      <c r="N708">
        <f>IF(OR($N$1="",对接源_01水果!$C708="",对接源_01水果!$C708&lt;&gt;$N$1,对接源_01水果!$B708=""),0,IF(OR(N(对接源_01水果!$B708)&lt;$N$2,N(对接源_01水果!$B708)&gt;$N$3),0,1))</f>
        <v>0</v>
      </c>
      <c r="P708">
        <f>IF(AND($K708=1,AND(对接源_01水果!$X708="公司筐",N(对接源_01水果!$T708)&lt;&gt;0)),1,0)</f>
        <v>0</v>
      </c>
      <c r="Q708">
        <f>N(Q707)+$P708</f>
        <v>0</v>
      </c>
      <c r="R708">
        <f>IF(AND($K708=1,AND(对接源_01水果!$X708="公司筐",N(对接源_01水果!$U708)&lt;&gt;0)),1,0)</f>
        <v>0</v>
      </c>
      <c r="S708">
        <f>N(S707)+$R708</f>
        <v>0</v>
      </c>
      <c r="T708">
        <f>IF(AND($K708=1,AND(对接源_01水果!$X708="公司筐",N(对接源_01水果!$V708)&lt;&gt;0)),1,0)</f>
        <v>0</v>
      </c>
      <c r="U708">
        <f>N(U707)+$T708</f>
        <v>47</v>
      </c>
      <c r="V708">
        <f>IF(AND($L708=1,AND(对接源_01水果!$X708="自备筐",N(对接源_01水果!$V708)&lt;&gt;0)),1,0)</f>
        <v>0</v>
      </c>
      <c r="W708">
        <f>N(W707)+$V708</f>
        <v>11</v>
      </c>
      <c r="X708">
        <f>IF(AND($L708=1,AND(对接源_01水果!$X708="自备筐",N(对接源_01水果!$T708)&lt;&gt;0)),1,0)</f>
        <v>0</v>
      </c>
      <c r="Y708">
        <f>N(Y707)+$X708</f>
        <v>0</v>
      </c>
      <c r="Z708">
        <f>IF(AND($M708=1,对接源_01水果!$D708="原料入库"),1,0)</f>
        <v>0</v>
      </c>
      <c r="AA708">
        <f>N(AA707)+$Z708</f>
        <v>24</v>
      </c>
      <c r="AB708">
        <f>IF(AND($M708=1,LEFT(对接源_01水果!$D708,4)="原料出库"),1,0)</f>
        <v>0</v>
      </c>
      <c r="AC708">
        <f>N(AC707)+$AB708</f>
        <v>0</v>
      </c>
      <c r="AD708">
        <f>IF(AND($M708=1,LEFT(对接源_01水果!$D708,4)="成品出库"),1,0)</f>
        <v>0</v>
      </c>
      <c r="AE708">
        <f>N(AE707)+$AD708</f>
        <v>0</v>
      </c>
      <c r="AF708">
        <f>IF(AND($N708=1,AND(LEFT(对接源_01水果!$D708,4)="包装物料",N(对接源_01水果!$K708)&lt;&gt;0)),1,0)</f>
        <v>0</v>
      </c>
      <c r="AG708">
        <f>N(AG707)+$AF708</f>
        <v>0</v>
      </c>
      <c r="AH708">
        <f>IF(AND($N708=1,AND(对接源_01水果!$D708="周转筐－销售出库",N(对接源_01水果!$K708)&lt;&gt;0)),1,0)</f>
        <v>0</v>
      </c>
      <c r="AI708">
        <f>N(AI707)+$AH708</f>
        <v>0</v>
      </c>
      <c r="AJ708" s="7" t="n"/>
      <c r="AL708">
        <f>IF(OR($AL$1="",对接源_01水果!$Y708="",对接源_01水果!$Y708&lt;&gt;$AL$1,对接源_01水果!$B708="",N(对接源_01水果!$AJ708)&lt;=0),0,IF(OR(N(对接源_01水果!$B708)&lt;$AL$2,N(对接源_01水果!$B708)&gt;$AL$3),0,1))</f>
        <v>0</v>
      </c>
      <c r="AM708">
        <f>N(AM707)+$AL708</f>
        <v>2</v>
      </c>
      <c r="AN708">
        <f>IF(对接源_01水果!$AC708="","",对接源_01水果!$AC708)</f>
      </c>
      <c r="AO708">
        <f>IF(AN708="",0,IF(MATCH(AN708,$AN$4:$AN$1203,0)=ROW()-3,1,0))</f>
        <v>0</v>
      </c>
      <c r="AP708">
        <f>N(AP707)+$AO708</f>
        <v>13</v>
      </c>
      <c r="AR708">
        <f>IF(OR($AF708=1,$AH708=1),1,0)</f>
        <v>0</v>
      </c>
      <c r="AS708">
        <f>N(AS707)+$AR708</f>
        <v>0</v>
      </c>
    </row>
    <row r="709" ht="14.25" customHeight="1" s="127">
      <c r="A709">
        <f>IF(对接源_01水果!$C709="","",对接源_01水果!$C709)</f>
      </c>
      <c r="B709">
        <f>IF(A709="",0,IF(MATCH(A709,$A$4:$A$2403,0)=ROW()-3,1,0))</f>
        <v>0</v>
      </c>
      <c r="C709">
        <f>N(C708)+B709</f>
        <v>22</v>
      </c>
      <c r="K709">
        <f>IF(OR($K$1="",对接源_01水果!$C709="",对接源_01水果!$C709&lt;&gt;$K$1,对接源_01水果!$B709=""),0,IF(OR(N(对接源_01水果!$B709)&lt;$K$2,N(对接源_01水果!$B709)&gt;$K$3),0,1))</f>
        <v>0</v>
      </c>
      <c r="L709">
        <f>IF(OR($L$1="",对接源_01水果!$C709="",对接源_01水果!$C709&lt;&gt;$L$1,对接源_01水果!$B709=""),0,IF(OR(N(对接源_01水果!$B709)&lt;$L$2,N(对接源_01水果!$B709)&gt;$L$3),0,1))</f>
        <v>0</v>
      </c>
      <c r="M709">
        <f>IF(OR($M$1="",对接源_01水果!$C709="",对接源_01水果!$C709&lt;&gt;$M$1,对接源_01水果!$B709=""),0,IF(OR(N(对接源_01水果!$B709)&lt;$M$2,N(对接源_01水果!$B709)&gt;$M$3),0,1))</f>
        <v>0</v>
      </c>
      <c r="N709">
        <f>IF(OR($N$1="",对接源_01水果!$C709="",对接源_01水果!$C709&lt;&gt;$N$1,对接源_01水果!$B709=""),0,IF(OR(N(对接源_01水果!$B709)&lt;$N$2,N(对接源_01水果!$B709)&gt;$N$3),0,1))</f>
        <v>0</v>
      </c>
      <c r="P709">
        <f>IF(AND($K709=1,AND(对接源_01水果!$X709="公司筐",N(对接源_01水果!$T709)&lt;&gt;0)),1,0)</f>
        <v>0</v>
      </c>
      <c r="Q709">
        <f>N(Q708)+$P709</f>
        <v>0</v>
      </c>
      <c r="R709">
        <f>IF(AND($K709=1,AND(对接源_01水果!$X709="公司筐",N(对接源_01水果!$U709)&lt;&gt;0)),1,0)</f>
        <v>0</v>
      </c>
      <c r="S709">
        <f>N(S708)+$R709</f>
        <v>0</v>
      </c>
      <c r="T709">
        <f>IF(AND($K709=1,AND(对接源_01水果!$X709="公司筐",N(对接源_01水果!$V709)&lt;&gt;0)),1,0)</f>
        <v>0</v>
      </c>
      <c r="U709">
        <f>N(U708)+$T709</f>
        <v>47</v>
      </c>
      <c r="V709">
        <f>IF(AND($L709=1,AND(对接源_01水果!$X709="自备筐",N(对接源_01水果!$V709)&lt;&gt;0)),1,0)</f>
        <v>0</v>
      </c>
      <c r="W709">
        <f>N(W708)+$V709</f>
        <v>11</v>
      </c>
      <c r="X709">
        <f>IF(AND($L709=1,AND(对接源_01水果!$X709="自备筐",N(对接源_01水果!$T709)&lt;&gt;0)),1,0)</f>
        <v>0</v>
      </c>
      <c r="Y709">
        <f>N(Y708)+$X709</f>
        <v>0</v>
      </c>
      <c r="Z709">
        <f>IF(AND($M709=1,对接源_01水果!$D709="原料入库"),1,0)</f>
        <v>0</v>
      </c>
      <c r="AA709">
        <f>N(AA708)+$Z709</f>
        <v>24</v>
      </c>
      <c r="AB709">
        <f>IF(AND($M709=1,LEFT(对接源_01水果!$D709,4)="原料出库"),1,0)</f>
        <v>0</v>
      </c>
      <c r="AC709">
        <f>N(AC708)+$AB709</f>
        <v>0</v>
      </c>
      <c r="AD709">
        <f>IF(AND($M709=1,LEFT(对接源_01水果!$D709,4)="成品出库"),1,0)</f>
        <v>0</v>
      </c>
      <c r="AE709">
        <f>N(AE708)+$AD709</f>
        <v>0</v>
      </c>
      <c r="AF709">
        <f>IF(AND($N709=1,AND(LEFT(对接源_01水果!$D709,4)="包装物料",N(对接源_01水果!$K709)&lt;&gt;0)),1,0)</f>
        <v>0</v>
      </c>
      <c r="AG709">
        <f>N(AG708)+$AF709</f>
        <v>0</v>
      </c>
      <c r="AH709">
        <f>IF(AND($N709=1,AND(对接源_01水果!$D709="周转筐－销售出库",N(对接源_01水果!$K709)&lt;&gt;0)),1,0)</f>
        <v>0</v>
      </c>
      <c r="AI709">
        <f>N(AI708)+$AH709</f>
        <v>0</v>
      </c>
      <c r="AJ709" s="7" t="n"/>
      <c r="AL709">
        <f>IF(OR($AL$1="",对接源_01水果!$Y709="",对接源_01水果!$Y709&lt;&gt;$AL$1,对接源_01水果!$B709="",N(对接源_01水果!$AJ709)&lt;=0),0,IF(OR(N(对接源_01水果!$B709)&lt;$AL$2,N(对接源_01水果!$B709)&gt;$AL$3),0,1))</f>
        <v>0</v>
      </c>
      <c r="AM709">
        <f>N(AM708)+$AL709</f>
        <v>2</v>
      </c>
      <c r="AN709">
        <f>IF(对接源_01水果!$AC709="","",对接源_01水果!$AC709)</f>
      </c>
      <c r="AO709">
        <f>IF(AN709="",0,IF(MATCH(AN709,$AN$4:$AN$1203,0)=ROW()-3,1,0))</f>
        <v>0</v>
      </c>
      <c r="AP709">
        <f>N(AP708)+$AO709</f>
        <v>13</v>
      </c>
      <c r="AR709">
        <f>IF(OR($AF709=1,$AH709=1),1,0)</f>
        <v>0</v>
      </c>
      <c r="AS709">
        <f>N(AS708)+$AR709</f>
        <v>0</v>
      </c>
    </row>
    <row r="710" ht="14.25" customHeight="1" s="127">
      <c r="A710">
        <f>IF(对接源_01水果!$C710="","",对接源_01水果!$C710)</f>
      </c>
      <c r="B710">
        <f>IF(A710="",0,IF(MATCH(A710,$A$4:$A$2403,0)=ROW()-3,1,0))</f>
        <v>0</v>
      </c>
      <c r="C710">
        <f>N(C709)+B710</f>
        <v>22</v>
      </c>
      <c r="K710">
        <f>IF(OR($K$1="",对接源_01水果!$C710="",对接源_01水果!$C710&lt;&gt;$K$1,对接源_01水果!$B710=""),0,IF(OR(N(对接源_01水果!$B710)&lt;$K$2,N(对接源_01水果!$B710)&gt;$K$3),0,1))</f>
        <v>0</v>
      </c>
      <c r="L710">
        <f>IF(OR($L$1="",对接源_01水果!$C710="",对接源_01水果!$C710&lt;&gt;$L$1,对接源_01水果!$B710=""),0,IF(OR(N(对接源_01水果!$B710)&lt;$L$2,N(对接源_01水果!$B710)&gt;$L$3),0,1))</f>
        <v>0</v>
      </c>
      <c r="M710">
        <f>IF(OR($M$1="",对接源_01水果!$C710="",对接源_01水果!$C710&lt;&gt;$M$1,对接源_01水果!$B710=""),0,IF(OR(N(对接源_01水果!$B710)&lt;$M$2,N(对接源_01水果!$B710)&gt;$M$3),0,1))</f>
        <v>0</v>
      </c>
      <c r="N710">
        <f>IF(OR($N$1="",对接源_01水果!$C710="",对接源_01水果!$C710&lt;&gt;$N$1,对接源_01水果!$B710=""),0,IF(OR(N(对接源_01水果!$B710)&lt;$N$2,N(对接源_01水果!$B710)&gt;$N$3),0,1))</f>
        <v>0</v>
      </c>
      <c r="P710">
        <f>IF(AND($K710=1,AND(对接源_01水果!$X710="公司筐",N(对接源_01水果!$T710)&lt;&gt;0)),1,0)</f>
        <v>0</v>
      </c>
      <c r="Q710">
        <f>N(Q709)+$P710</f>
        <v>0</v>
      </c>
      <c r="R710">
        <f>IF(AND($K710=1,AND(对接源_01水果!$X710="公司筐",N(对接源_01水果!$U710)&lt;&gt;0)),1,0)</f>
        <v>0</v>
      </c>
      <c r="S710">
        <f>N(S709)+$R710</f>
        <v>0</v>
      </c>
      <c r="T710">
        <f>IF(AND($K710=1,AND(对接源_01水果!$X710="公司筐",N(对接源_01水果!$V710)&lt;&gt;0)),1,0)</f>
        <v>0</v>
      </c>
      <c r="U710">
        <f>N(U709)+$T710</f>
        <v>47</v>
      </c>
      <c r="V710">
        <f>IF(AND($L710=1,AND(对接源_01水果!$X710="自备筐",N(对接源_01水果!$V710)&lt;&gt;0)),1,0)</f>
        <v>0</v>
      </c>
      <c r="W710">
        <f>N(W709)+$V710</f>
        <v>11</v>
      </c>
      <c r="X710">
        <f>IF(AND($L710=1,AND(对接源_01水果!$X710="自备筐",N(对接源_01水果!$T710)&lt;&gt;0)),1,0)</f>
        <v>0</v>
      </c>
      <c r="Y710">
        <f>N(Y709)+$X710</f>
        <v>0</v>
      </c>
      <c r="Z710">
        <f>IF(AND($M710=1,对接源_01水果!$D710="原料入库"),1,0)</f>
        <v>0</v>
      </c>
      <c r="AA710">
        <f>N(AA709)+$Z710</f>
        <v>24</v>
      </c>
      <c r="AB710">
        <f>IF(AND($M710=1,LEFT(对接源_01水果!$D710,4)="原料出库"),1,0)</f>
        <v>0</v>
      </c>
      <c r="AC710">
        <f>N(AC709)+$AB710</f>
        <v>0</v>
      </c>
      <c r="AD710">
        <f>IF(AND($M710=1,LEFT(对接源_01水果!$D710,4)="成品出库"),1,0)</f>
        <v>0</v>
      </c>
      <c r="AE710">
        <f>N(AE709)+$AD710</f>
        <v>0</v>
      </c>
      <c r="AF710">
        <f>IF(AND($N710=1,AND(LEFT(对接源_01水果!$D710,4)="包装物料",N(对接源_01水果!$K710)&lt;&gt;0)),1,0)</f>
        <v>0</v>
      </c>
      <c r="AG710">
        <f>N(AG709)+$AF710</f>
        <v>0</v>
      </c>
      <c r="AH710">
        <f>IF(AND($N710=1,AND(对接源_01水果!$D710="周转筐－销售出库",N(对接源_01水果!$K710)&lt;&gt;0)),1,0)</f>
        <v>0</v>
      </c>
      <c r="AI710">
        <f>N(AI709)+$AH710</f>
        <v>0</v>
      </c>
      <c r="AJ710" s="7" t="n"/>
      <c r="AL710">
        <f>IF(OR($AL$1="",对接源_01水果!$Y710="",对接源_01水果!$Y710&lt;&gt;$AL$1,对接源_01水果!$B710="",N(对接源_01水果!$AJ710)&lt;=0),0,IF(OR(N(对接源_01水果!$B710)&lt;$AL$2,N(对接源_01水果!$B710)&gt;$AL$3),0,1))</f>
        <v>0</v>
      </c>
      <c r="AM710">
        <f>N(AM709)+$AL710</f>
        <v>2</v>
      </c>
      <c r="AN710">
        <f>IF(对接源_01水果!$AC710="","",对接源_01水果!$AC710)</f>
      </c>
      <c r="AO710">
        <f>IF(AN710="",0,IF(MATCH(AN710,$AN$4:$AN$1203,0)=ROW()-3,1,0))</f>
        <v>0</v>
      </c>
      <c r="AP710">
        <f>N(AP709)+$AO710</f>
        <v>13</v>
      </c>
      <c r="AR710">
        <f>IF(OR($AF710=1,$AH710=1),1,0)</f>
        <v>0</v>
      </c>
      <c r="AS710">
        <f>N(AS709)+$AR710</f>
        <v>0</v>
      </c>
    </row>
    <row r="711" ht="14.25" customHeight="1" s="127">
      <c r="A711">
        <f>IF(对接源_01水果!$C711="","",对接源_01水果!$C711)</f>
      </c>
      <c r="B711">
        <f>IF(A711="",0,IF(MATCH(A711,$A$4:$A$2403,0)=ROW()-3,1,0))</f>
        <v>0</v>
      </c>
      <c r="C711">
        <f>N(C710)+B711</f>
        <v>22</v>
      </c>
      <c r="K711">
        <f>IF(OR($K$1="",对接源_01水果!$C711="",对接源_01水果!$C711&lt;&gt;$K$1,对接源_01水果!$B711=""),0,IF(OR(N(对接源_01水果!$B711)&lt;$K$2,N(对接源_01水果!$B711)&gt;$K$3),0,1))</f>
        <v>0</v>
      </c>
      <c r="L711">
        <f>IF(OR($L$1="",对接源_01水果!$C711="",对接源_01水果!$C711&lt;&gt;$L$1,对接源_01水果!$B711=""),0,IF(OR(N(对接源_01水果!$B711)&lt;$L$2,N(对接源_01水果!$B711)&gt;$L$3),0,1))</f>
        <v>0</v>
      </c>
      <c r="M711">
        <f>IF(OR($M$1="",对接源_01水果!$C711="",对接源_01水果!$C711&lt;&gt;$M$1,对接源_01水果!$B711=""),0,IF(OR(N(对接源_01水果!$B711)&lt;$M$2,N(对接源_01水果!$B711)&gt;$M$3),0,1))</f>
        <v>0</v>
      </c>
      <c r="N711">
        <f>IF(OR($N$1="",对接源_01水果!$C711="",对接源_01水果!$C711&lt;&gt;$N$1,对接源_01水果!$B711=""),0,IF(OR(N(对接源_01水果!$B711)&lt;$N$2,N(对接源_01水果!$B711)&gt;$N$3),0,1))</f>
        <v>0</v>
      </c>
      <c r="P711">
        <f>IF(AND($K711=1,AND(对接源_01水果!$X711="公司筐",N(对接源_01水果!$T711)&lt;&gt;0)),1,0)</f>
        <v>0</v>
      </c>
      <c r="Q711">
        <f>N(Q710)+$P711</f>
        <v>0</v>
      </c>
      <c r="R711">
        <f>IF(AND($K711=1,AND(对接源_01水果!$X711="公司筐",N(对接源_01水果!$U711)&lt;&gt;0)),1,0)</f>
        <v>0</v>
      </c>
      <c r="S711">
        <f>N(S710)+$R711</f>
        <v>0</v>
      </c>
      <c r="T711">
        <f>IF(AND($K711=1,AND(对接源_01水果!$X711="公司筐",N(对接源_01水果!$V711)&lt;&gt;0)),1,0)</f>
        <v>0</v>
      </c>
      <c r="U711">
        <f>N(U710)+$T711</f>
        <v>47</v>
      </c>
      <c r="V711">
        <f>IF(AND($L711=1,AND(对接源_01水果!$X711="自备筐",N(对接源_01水果!$V711)&lt;&gt;0)),1,0)</f>
        <v>0</v>
      </c>
      <c r="W711">
        <f>N(W710)+$V711</f>
        <v>11</v>
      </c>
      <c r="X711">
        <f>IF(AND($L711=1,AND(对接源_01水果!$X711="自备筐",N(对接源_01水果!$T711)&lt;&gt;0)),1,0)</f>
        <v>0</v>
      </c>
      <c r="Y711">
        <f>N(Y710)+$X711</f>
        <v>0</v>
      </c>
      <c r="Z711">
        <f>IF(AND($M711=1,对接源_01水果!$D711="原料入库"),1,0)</f>
        <v>0</v>
      </c>
      <c r="AA711">
        <f>N(AA710)+$Z711</f>
        <v>24</v>
      </c>
      <c r="AB711">
        <f>IF(AND($M711=1,LEFT(对接源_01水果!$D711,4)="原料出库"),1,0)</f>
        <v>0</v>
      </c>
      <c r="AC711">
        <f>N(AC710)+$AB711</f>
        <v>0</v>
      </c>
      <c r="AD711">
        <f>IF(AND($M711=1,LEFT(对接源_01水果!$D711,4)="成品出库"),1,0)</f>
        <v>0</v>
      </c>
      <c r="AE711">
        <f>N(AE710)+$AD711</f>
        <v>0</v>
      </c>
      <c r="AF711">
        <f>IF(AND($N711=1,AND(LEFT(对接源_01水果!$D711,4)="包装物料",N(对接源_01水果!$K711)&lt;&gt;0)),1,0)</f>
        <v>0</v>
      </c>
      <c r="AG711">
        <f>N(AG710)+$AF711</f>
        <v>0</v>
      </c>
      <c r="AH711">
        <f>IF(AND($N711=1,AND(对接源_01水果!$D711="周转筐－销售出库",N(对接源_01水果!$K711)&lt;&gt;0)),1,0)</f>
        <v>0</v>
      </c>
      <c r="AI711">
        <f>N(AI710)+$AH711</f>
        <v>0</v>
      </c>
      <c r="AJ711" s="7" t="n"/>
      <c r="AL711">
        <f>IF(OR($AL$1="",对接源_01水果!$Y711="",对接源_01水果!$Y711&lt;&gt;$AL$1,对接源_01水果!$B711="",N(对接源_01水果!$AJ711)&lt;=0),0,IF(OR(N(对接源_01水果!$B711)&lt;$AL$2,N(对接源_01水果!$B711)&gt;$AL$3),0,1))</f>
        <v>0</v>
      </c>
      <c r="AM711">
        <f>N(AM710)+$AL711</f>
        <v>2</v>
      </c>
      <c r="AN711">
        <f>IF(对接源_01水果!$AC711="","",对接源_01水果!$AC711)</f>
      </c>
      <c r="AO711">
        <f>IF(AN711="",0,IF(MATCH(AN711,$AN$4:$AN$1203,0)=ROW()-3,1,0))</f>
        <v>0</v>
      </c>
      <c r="AP711">
        <f>N(AP710)+$AO711</f>
        <v>13</v>
      </c>
      <c r="AR711">
        <f>IF(OR($AF711=1,$AH711=1),1,0)</f>
        <v>0</v>
      </c>
      <c r="AS711">
        <f>N(AS710)+$AR711</f>
        <v>0</v>
      </c>
    </row>
    <row r="712" ht="14.25" customHeight="1" s="127">
      <c r="A712">
        <f>IF(对接源_01水果!$C712="","",对接源_01水果!$C712)</f>
      </c>
      <c r="B712">
        <f>IF(A712="",0,IF(MATCH(A712,$A$4:$A$2403,0)=ROW()-3,1,0))</f>
        <v>0</v>
      </c>
      <c r="C712">
        <f>N(C711)+B712</f>
        <v>22</v>
      </c>
      <c r="K712">
        <f>IF(OR($K$1="",对接源_01水果!$C712="",对接源_01水果!$C712&lt;&gt;$K$1,对接源_01水果!$B712=""),0,IF(OR(N(对接源_01水果!$B712)&lt;$K$2,N(对接源_01水果!$B712)&gt;$K$3),0,1))</f>
        <v>0</v>
      </c>
      <c r="L712">
        <f>IF(OR($L$1="",对接源_01水果!$C712="",对接源_01水果!$C712&lt;&gt;$L$1,对接源_01水果!$B712=""),0,IF(OR(N(对接源_01水果!$B712)&lt;$L$2,N(对接源_01水果!$B712)&gt;$L$3),0,1))</f>
        <v>0</v>
      </c>
      <c r="M712">
        <f>IF(OR($M$1="",对接源_01水果!$C712="",对接源_01水果!$C712&lt;&gt;$M$1,对接源_01水果!$B712=""),0,IF(OR(N(对接源_01水果!$B712)&lt;$M$2,N(对接源_01水果!$B712)&gt;$M$3),0,1))</f>
        <v>0</v>
      </c>
      <c r="N712">
        <f>IF(OR($N$1="",对接源_01水果!$C712="",对接源_01水果!$C712&lt;&gt;$N$1,对接源_01水果!$B712=""),0,IF(OR(N(对接源_01水果!$B712)&lt;$N$2,N(对接源_01水果!$B712)&gt;$N$3),0,1))</f>
        <v>0</v>
      </c>
      <c r="P712">
        <f>IF(AND($K712=1,AND(对接源_01水果!$X712="公司筐",N(对接源_01水果!$T712)&lt;&gt;0)),1,0)</f>
        <v>0</v>
      </c>
      <c r="Q712">
        <f>N(Q711)+$P712</f>
        <v>0</v>
      </c>
      <c r="R712">
        <f>IF(AND($K712=1,AND(对接源_01水果!$X712="公司筐",N(对接源_01水果!$U712)&lt;&gt;0)),1,0)</f>
        <v>0</v>
      </c>
      <c r="S712">
        <f>N(S711)+$R712</f>
        <v>0</v>
      </c>
      <c r="T712">
        <f>IF(AND($K712=1,AND(对接源_01水果!$X712="公司筐",N(对接源_01水果!$V712)&lt;&gt;0)),1,0)</f>
        <v>0</v>
      </c>
      <c r="U712">
        <f>N(U711)+$T712</f>
        <v>47</v>
      </c>
      <c r="V712">
        <f>IF(AND($L712=1,AND(对接源_01水果!$X712="自备筐",N(对接源_01水果!$V712)&lt;&gt;0)),1,0)</f>
        <v>0</v>
      </c>
      <c r="W712">
        <f>N(W711)+$V712</f>
        <v>11</v>
      </c>
      <c r="X712">
        <f>IF(AND($L712=1,AND(对接源_01水果!$X712="自备筐",N(对接源_01水果!$T712)&lt;&gt;0)),1,0)</f>
        <v>0</v>
      </c>
      <c r="Y712">
        <f>N(Y711)+$X712</f>
        <v>0</v>
      </c>
      <c r="Z712">
        <f>IF(AND($M712=1,对接源_01水果!$D712="原料入库"),1,0)</f>
        <v>0</v>
      </c>
      <c r="AA712">
        <f>N(AA711)+$Z712</f>
        <v>24</v>
      </c>
      <c r="AB712">
        <f>IF(AND($M712=1,LEFT(对接源_01水果!$D712,4)="原料出库"),1,0)</f>
        <v>0</v>
      </c>
      <c r="AC712">
        <f>N(AC711)+$AB712</f>
        <v>0</v>
      </c>
      <c r="AD712">
        <f>IF(AND($M712=1,LEFT(对接源_01水果!$D712,4)="成品出库"),1,0)</f>
        <v>0</v>
      </c>
      <c r="AE712">
        <f>N(AE711)+$AD712</f>
        <v>0</v>
      </c>
      <c r="AF712">
        <f>IF(AND($N712=1,AND(LEFT(对接源_01水果!$D712,4)="包装物料",N(对接源_01水果!$K712)&lt;&gt;0)),1,0)</f>
        <v>0</v>
      </c>
      <c r="AG712">
        <f>N(AG711)+$AF712</f>
        <v>0</v>
      </c>
      <c r="AH712">
        <f>IF(AND($N712=1,AND(对接源_01水果!$D712="周转筐－销售出库",N(对接源_01水果!$K712)&lt;&gt;0)),1,0)</f>
        <v>0</v>
      </c>
      <c r="AI712">
        <f>N(AI711)+$AH712</f>
        <v>0</v>
      </c>
      <c r="AJ712" s="7" t="n"/>
      <c r="AL712">
        <f>IF(OR($AL$1="",对接源_01水果!$Y712="",对接源_01水果!$Y712&lt;&gt;$AL$1,对接源_01水果!$B712="",N(对接源_01水果!$AJ712)&lt;=0),0,IF(OR(N(对接源_01水果!$B712)&lt;$AL$2,N(对接源_01水果!$B712)&gt;$AL$3),0,1))</f>
        <v>0</v>
      </c>
      <c r="AM712">
        <f>N(AM711)+$AL712</f>
        <v>2</v>
      </c>
      <c r="AN712">
        <f>IF(对接源_01水果!$AC712="","",对接源_01水果!$AC712)</f>
      </c>
      <c r="AO712">
        <f>IF(AN712="",0,IF(MATCH(AN712,$AN$4:$AN$1203,0)=ROW()-3,1,0))</f>
        <v>0</v>
      </c>
      <c r="AP712">
        <f>N(AP711)+$AO712</f>
        <v>13</v>
      </c>
      <c r="AR712">
        <f>IF(OR($AF712=1,$AH712=1),1,0)</f>
        <v>0</v>
      </c>
      <c r="AS712">
        <f>N(AS711)+$AR712</f>
        <v>0</v>
      </c>
    </row>
    <row r="713" ht="14.25" customHeight="1" s="127">
      <c r="A713">
        <f>IF(对接源_01水果!$C713="","",对接源_01水果!$C713)</f>
      </c>
      <c r="B713">
        <f>IF(A713="",0,IF(MATCH(A713,$A$4:$A$2403,0)=ROW()-3,1,0))</f>
        <v>0</v>
      </c>
      <c r="C713">
        <f>N(C712)+B713</f>
        <v>22</v>
      </c>
      <c r="K713">
        <f>IF(OR($K$1="",对接源_01水果!$C713="",对接源_01水果!$C713&lt;&gt;$K$1,对接源_01水果!$B713=""),0,IF(OR(N(对接源_01水果!$B713)&lt;$K$2,N(对接源_01水果!$B713)&gt;$K$3),0,1))</f>
        <v>0</v>
      </c>
      <c r="L713">
        <f>IF(OR($L$1="",对接源_01水果!$C713="",对接源_01水果!$C713&lt;&gt;$L$1,对接源_01水果!$B713=""),0,IF(OR(N(对接源_01水果!$B713)&lt;$L$2,N(对接源_01水果!$B713)&gt;$L$3),0,1))</f>
        <v>0</v>
      </c>
      <c r="M713">
        <f>IF(OR($M$1="",对接源_01水果!$C713="",对接源_01水果!$C713&lt;&gt;$M$1,对接源_01水果!$B713=""),0,IF(OR(N(对接源_01水果!$B713)&lt;$M$2,N(对接源_01水果!$B713)&gt;$M$3),0,1))</f>
        <v>0</v>
      </c>
      <c r="N713">
        <f>IF(OR($N$1="",对接源_01水果!$C713="",对接源_01水果!$C713&lt;&gt;$N$1,对接源_01水果!$B713=""),0,IF(OR(N(对接源_01水果!$B713)&lt;$N$2,N(对接源_01水果!$B713)&gt;$N$3),0,1))</f>
        <v>0</v>
      </c>
      <c r="P713">
        <f>IF(AND($K713=1,AND(对接源_01水果!$X713="公司筐",N(对接源_01水果!$T713)&lt;&gt;0)),1,0)</f>
        <v>0</v>
      </c>
      <c r="Q713">
        <f>N(Q712)+$P713</f>
        <v>0</v>
      </c>
      <c r="R713">
        <f>IF(AND($K713=1,AND(对接源_01水果!$X713="公司筐",N(对接源_01水果!$U713)&lt;&gt;0)),1,0)</f>
        <v>0</v>
      </c>
      <c r="S713">
        <f>N(S712)+$R713</f>
        <v>0</v>
      </c>
      <c r="T713">
        <f>IF(AND($K713=1,AND(对接源_01水果!$X713="公司筐",N(对接源_01水果!$V713)&lt;&gt;0)),1,0)</f>
        <v>0</v>
      </c>
      <c r="U713">
        <f>N(U712)+$T713</f>
        <v>47</v>
      </c>
      <c r="V713">
        <f>IF(AND($L713=1,AND(对接源_01水果!$X713="自备筐",N(对接源_01水果!$V713)&lt;&gt;0)),1,0)</f>
        <v>0</v>
      </c>
      <c r="W713">
        <f>N(W712)+$V713</f>
        <v>11</v>
      </c>
      <c r="X713">
        <f>IF(AND($L713=1,AND(对接源_01水果!$X713="自备筐",N(对接源_01水果!$T713)&lt;&gt;0)),1,0)</f>
        <v>0</v>
      </c>
      <c r="Y713">
        <f>N(Y712)+$X713</f>
        <v>0</v>
      </c>
      <c r="Z713">
        <f>IF(AND($M713=1,对接源_01水果!$D713="原料入库"),1,0)</f>
        <v>0</v>
      </c>
      <c r="AA713">
        <f>N(AA712)+$Z713</f>
        <v>24</v>
      </c>
      <c r="AB713">
        <f>IF(AND($M713=1,LEFT(对接源_01水果!$D713,4)="原料出库"),1,0)</f>
        <v>0</v>
      </c>
      <c r="AC713">
        <f>N(AC712)+$AB713</f>
        <v>0</v>
      </c>
      <c r="AD713">
        <f>IF(AND($M713=1,LEFT(对接源_01水果!$D713,4)="成品出库"),1,0)</f>
        <v>0</v>
      </c>
      <c r="AE713">
        <f>N(AE712)+$AD713</f>
        <v>0</v>
      </c>
      <c r="AF713">
        <f>IF(AND($N713=1,AND(LEFT(对接源_01水果!$D713,4)="包装物料",N(对接源_01水果!$K713)&lt;&gt;0)),1,0)</f>
        <v>0</v>
      </c>
      <c r="AG713">
        <f>N(AG712)+$AF713</f>
        <v>0</v>
      </c>
      <c r="AH713">
        <f>IF(AND($N713=1,AND(对接源_01水果!$D713="周转筐－销售出库",N(对接源_01水果!$K713)&lt;&gt;0)),1,0)</f>
        <v>0</v>
      </c>
      <c r="AI713">
        <f>N(AI712)+$AH713</f>
        <v>0</v>
      </c>
      <c r="AJ713" s="7" t="n"/>
      <c r="AL713">
        <f>IF(OR($AL$1="",对接源_01水果!$Y713="",对接源_01水果!$Y713&lt;&gt;$AL$1,对接源_01水果!$B713="",N(对接源_01水果!$AJ713)&lt;=0),0,IF(OR(N(对接源_01水果!$B713)&lt;$AL$2,N(对接源_01水果!$B713)&gt;$AL$3),0,1))</f>
        <v>0</v>
      </c>
      <c r="AM713">
        <f>N(AM712)+$AL713</f>
        <v>2</v>
      </c>
      <c r="AN713">
        <f>IF(对接源_01水果!$AC713="","",对接源_01水果!$AC713)</f>
      </c>
      <c r="AO713">
        <f>IF(AN713="",0,IF(MATCH(AN713,$AN$4:$AN$1203,0)=ROW()-3,1,0))</f>
        <v>0</v>
      </c>
      <c r="AP713">
        <f>N(AP712)+$AO713</f>
        <v>13</v>
      </c>
      <c r="AR713">
        <f>IF(OR($AF713=1,$AH713=1),1,0)</f>
        <v>0</v>
      </c>
      <c r="AS713">
        <f>N(AS712)+$AR713</f>
        <v>0</v>
      </c>
    </row>
    <row r="714" ht="14.25" customHeight="1" s="127">
      <c r="A714">
        <f>IF(对接源_01水果!$C714="","",对接源_01水果!$C714)</f>
      </c>
      <c r="B714">
        <f>IF(A714="",0,IF(MATCH(A714,$A$4:$A$2403,0)=ROW()-3,1,0))</f>
        <v>0</v>
      </c>
      <c r="C714">
        <f>N(C713)+B714</f>
        <v>22</v>
      </c>
      <c r="K714">
        <f>IF(OR($K$1="",对接源_01水果!$C714="",对接源_01水果!$C714&lt;&gt;$K$1,对接源_01水果!$B714=""),0,IF(OR(N(对接源_01水果!$B714)&lt;$K$2,N(对接源_01水果!$B714)&gt;$K$3),0,1))</f>
        <v>0</v>
      </c>
      <c r="L714">
        <f>IF(OR($L$1="",对接源_01水果!$C714="",对接源_01水果!$C714&lt;&gt;$L$1,对接源_01水果!$B714=""),0,IF(OR(N(对接源_01水果!$B714)&lt;$L$2,N(对接源_01水果!$B714)&gt;$L$3),0,1))</f>
        <v>0</v>
      </c>
      <c r="M714">
        <f>IF(OR($M$1="",对接源_01水果!$C714="",对接源_01水果!$C714&lt;&gt;$M$1,对接源_01水果!$B714=""),0,IF(OR(N(对接源_01水果!$B714)&lt;$M$2,N(对接源_01水果!$B714)&gt;$M$3),0,1))</f>
        <v>0</v>
      </c>
      <c r="N714">
        <f>IF(OR($N$1="",对接源_01水果!$C714="",对接源_01水果!$C714&lt;&gt;$N$1,对接源_01水果!$B714=""),0,IF(OR(N(对接源_01水果!$B714)&lt;$N$2,N(对接源_01水果!$B714)&gt;$N$3),0,1))</f>
        <v>0</v>
      </c>
      <c r="P714">
        <f>IF(AND($K714=1,AND(对接源_01水果!$X714="公司筐",N(对接源_01水果!$T714)&lt;&gt;0)),1,0)</f>
        <v>0</v>
      </c>
      <c r="Q714">
        <f>N(Q713)+$P714</f>
        <v>0</v>
      </c>
      <c r="R714">
        <f>IF(AND($K714=1,AND(对接源_01水果!$X714="公司筐",N(对接源_01水果!$U714)&lt;&gt;0)),1,0)</f>
        <v>0</v>
      </c>
      <c r="S714">
        <f>N(S713)+$R714</f>
        <v>0</v>
      </c>
      <c r="T714">
        <f>IF(AND($K714=1,AND(对接源_01水果!$X714="公司筐",N(对接源_01水果!$V714)&lt;&gt;0)),1,0)</f>
        <v>0</v>
      </c>
      <c r="U714">
        <f>N(U713)+$T714</f>
        <v>47</v>
      </c>
      <c r="V714">
        <f>IF(AND($L714=1,AND(对接源_01水果!$X714="自备筐",N(对接源_01水果!$V714)&lt;&gt;0)),1,0)</f>
        <v>0</v>
      </c>
      <c r="W714">
        <f>N(W713)+$V714</f>
        <v>11</v>
      </c>
      <c r="X714">
        <f>IF(AND($L714=1,AND(对接源_01水果!$X714="自备筐",N(对接源_01水果!$T714)&lt;&gt;0)),1,0)</f>
        <v>0</v>
      </c>
      <c r="Y714">
        <f>N(Y713)+$X714</f>
        <v>0</v>
      </c>
      <c r="Z714">
        <f>IF(AND($M714=1,对接源_01水果!$D714="原料入库"),1,0)</f>
        <v>0</v>
      </c>
      <c r="AA714">
        <f>N(AA713)+$Z714</f>
        <v>24</v>
      </c>
      <c r="AB714">
        <f>IF(AND($M714=1,LEFT(对接源_01水果!$D714,4)="原料出库"),1,0)</f>
        <v>0</v>
      </c>
      <c r="AC714">
        <f>N(AC713)+$AB714</f>
        <v>0</v>
      </c>
      <c r="AD714">
        <f>IF(AND($M714=1,LEFT(对接源_01水果!$D714,4)="成品出库"),1,0)</f>
        <v>0</v>
      </c>
      <c r="AE714">
        <f>N(AE713)+$AD714</f>
        <v>0</v>
      </c>
      <c r="AF714">
        <f>IF(AND($N714=1,AND(LEFT(对接源_01水果!$D714,4)="包装物料",N(对接源_01水果!$K714)&lt;&gt;0)),1,0)</f>
        <v>0</v>
      </c>
      <c r="AG714">
        <f>N(AG713)+$AF714</f>
        <v>0</v>
      </c>
      <c r="AH714">
        <f>IF(AND($N714=1,AND(对接源_01水果!$D714="周转筐－销售出库",N(对接源_01水果!$K714)&lt;&gt;0)),1,0)</f>
        <v>0</v>
      </c>
      <c r="AI714">
        <f>N(AI713)+$AH714</f>
        <v>0</v>
      </c>
      <c r="AJ714" s="7" t="n"/>
      <c r="AL714">
        <f>IF(OR($AL$1="",对接源_01水果!$Y714="",对接源_01水果!$Y714&lt;&gt;$AL$1,对接源_01水果!$B714="",N(对接源_01水果!$AJ714)&lt;=0),0,IF(OR(N(对接源_01水果!$B714)&lt;$AL$2,N(对接源_01水果!$B714)&gt;$AL$3),0,1))</f>
        <v>0</v>
      </c>
      <c r="AM714">
        <f>N(AM713)+$AL714</f>
        <v>2</v>
      </c>
      <c r="AN714">
        <f>IF(对接源_01水果!$AC714="","",对接源_01水果!$AC714)</f>
      </c>
      <c r="AO714">
        <f>IF(AN714="",0,IF(MATCH(AN714,$AN$4:$AN$1203,0)=ROW()-3,1,0))</f>
        <v>0</v>
      </c>
      <c r="AP714">
        <f>N(AP713)+$AO714</f>
        <v>13</v>
      </c>
      <c r="AR714">
        <f>IF(OR($AF714=1,$AH714=1),1,0)</f>
        <v>0</v>
      </c>
      <c r="AS714">
        <f>N(AS713)+$AR714</f>
        <v>0</v>
      </c>
    </row>
    <row r="715" ht="14.25" customHeight="1" s="127">
      <c r="A715">
        <f>IF(对接源_01水果!$C715="","",对接源_01水果!$C715)</f>
      </c>
      <c r="B715">
        <f>IF(A715="",0,IF(MATCH(A715,$A$4:$A$2403,0)=ROW()-3,1,0))</f>
        <v>0</v>
      </c>
      <c r="C715">
        <f>N(C714)+B715</f>
        <v>22</v>
      </c>
      <c r="K715">
        <f>IF(OR($K$1="",对接源_01水果!$C715="",对接源_01水果!$C715&lt;&gt;$K$1,对接源_01水果!$B715=""),0,IF(OR(N(对接源_01水果!$B715)&lt;$K$2,N(对接源_01水果!$B715)&gt;$K$3),0,1))</f>
        <v>0</v>
      </c>
      <c r="L715">
        <f>IF(OR($L$1="",对接源_01水果!$C715="",对接源_01水果!$C715&lt;&gt;$L$1,对接源_01水果!$B715=""),0,IF(OR(N(对接源_01水果!$B715)&lt;$L$2,N(对接源_01水果!$B715)&gt;$L$3),0,1))</f>
        <v>0</v>
      </c>
      <c r="M715">
        <f>IF(OR($M$1="",对接源_01水果!$C715="",对接源_01水果!$C715&lt;&gt;$M$1,对接源_01水果!$B715=""),0,IF(OR(N(对接源_01水果!$B715)&lt;$M$2,N(对接源_01水果!$B715)&gt;$M$3),0,1))</f>
        <v>0</v>
      </c>
      <c r="N715">
        <f>IF(OR($N$1="",对接源_01水果!$C715="",对接源_01水果!$C715&lt;&gt;$N$1,对接源_01水果!$B715=""),0,IF(OR(N(对接源_01水果!$B715)&lt;$N$2,N(对接源_01水果!$B715)&gt;$N$3),0,1))</f>
        <v>0</v>
      </c>
      <c r="P715">
        <f>IF(AND($K715=1,AND(对接源_01水果!$X715="公司筐",N(对接源_01水果!$T715)&lt;&gt;0)),1,0)</f>
        <v>0</v>
      </c>
      <c r="Q715">
        <f>N(Q714)+$P715</f>
        <v>0</v>
      </c>
      <c r="R715">
        <f>IF(AND($K715=1,AND(对接源_01水果!$X715="公司筐",N(对接源_01水果!$U715)&lt;&gt;0)),1,0)</f>
        <v>0</v>
      </c>
      <c r="S715">
        <f>N(S714)+$R715</f>
        <v>0</v>
      </c>
      <c r="T715">
        <f>IF(AND($K715=1,AND(对接源_01水果!$X715="公司筐",N(对接源_01水果!$V715)&lt;&gt;0)),1,0)</f>
        <v>0</v>
      </c>
      <c r="U715">
        <f>N(U714)+$T715</f>
        <v>47</v>
      </c>
      <c r="V715">
        <f>IF(AND($L715=1,AND(对接源_01水果!$X715="自备筐",N(对接源_01水果!$V715)&lt;&gt;0)),1,0)</f>
        <v>0</v>
      </c>
      <c r="W715">
        <f>N(W714)+$V715</f>
        <v>11</v>
      </c>
      <c r="X715">
        <f>IF(AND($L715=1,AND(对接源_01水果!$X715="自备筐",N(对接源_01水果!$T715)&lt;&gt;0)),1,0)</f>
        <v>0</v>
      </c>
      <c r="Y715">
        <f>N(Y714)+$X715</f>
        <v>0</v>
      </c>
      <c r="Z715">
        <f>IF(AND($M715=1,对接源_01水果!$D715="原料入库"),1,0)</f>
        <v>0</v>
      </c>
      <c r="AA715">
        <f>N(AA714)+$Z715</f>
        <v>24</v>
      </c>
      <c r="AB715">
        <f>IF(AND($M715=1,LEFT(对接源_01水果!$D715,4)="原料出库"),1,0)</f>
        <v>0</v>
      </c>
      <c r="AC715">
        <f>N(AC714)+$AB715</f>
        <v>0</v>
      </c>
      <c r="AD715">
        <f>IF(AND($M715=1,LEFT(对接源_01水果!$D715,4)="成品出库"),1,0)</f>
        <v>0</v>
      </c>
      <c r="AE715">
        <f>N(AE714)+$AD715</f>
        <v>0</v>
      </c>
      <c r="AF715">
        <f>IF(AND($N715=1,AND(LEFT(对接源_01水果!$D715,4)="包装物料",N(对接源_01水果!$K715)&lt;&gt;0)),1,0)</f>
        <v>0</v>
      </c>
      <c r="AG715">
        <f>N(AG714)+$AF715</f>
        <v>0</v>
      </c>
      <c r="AH715">
        <f>IF(AND($N715=1,AND(对接源_01水果!$D715="周转筐－销售出库",N(对接源_01水果!$K715)&lt;&gt;0)),1,0)</f>
        <v>0</v>
      </c>
      <c r="AI715">
        <f>N(AI714)+$AH715</f>
        <v>0</v>
      </c>
      <c r="AJ715" s="7" t="n"/>
      <c r="AL715">
        <f>IF(OR($AL$1="",对接源_01水果!$Y715="",对接源_01水果!$Y715&lt;&gt;$AL$1,对接源_01水果!$B715="",N(对接源_01水果!$AJ715)&lt;=0),0,IF(OR(N(对接源_01水果!$B715)&lt;$AL$2,N(对接源_01水果!$B715)&gt;$AL$3),0,1))</f>
        <v>0</v>
      </c>
      <c r="AM715">
        <f>N(AM714)+$AL715</f>
        <v>2</v>
      </c>
      <c r="AN715">
        <f>IF(对接源_01水果!$AC715="","",对接源_01水果!$AC715)</f>
      </c>
      <c r="AO715">
        <f>IF(AN715="",0,IF(MATCH(AN715,$AN$4:$AN$1203,0)=ROW()-3,1,0))</f>
        <v>0</v>
      </c>
      <c r="AP715">
        <f>N(AP714)+$AO715</f>
        <v>13</v>
      </c>
      <c r="AR715">
        <f>IF(OR($AF715=1,$AH715=1),1,0)</f>
        <v>0</v>
      </c>
      <c r="AS715">
        <f>N(AS714)+$AR715</f>
        <v>0</v>
      </c>
    </row>
    <row r="716" ht="14.25" customHeight="1" s="127">
      <c r="A716">
        <f>IF(对接源_01水果!$C716="","",对接源_01水果!$C716)</f>
      </c>
      <c r="B716">
        <f>IF(A716="",0,IF(MATCH(A716,$A$4:$A$2403,0)=ROW()-3,1,0))</f>
        <v>0</v>
      </c>
      <c r="C716">
        <f>N(C715)+B716</f>
        <v>22</v>
      </c>
      <c r="K716">
        <f>IF(OR($K$1="",对接源_01水果!$C716="",对接源_01水果!$C716&lt;&gt;$K$1,对接源_01水果!$B716=""),0,IF(OR(N(对接源_01水果!$B716)&lt;$K$2,N(对接源_01水果!$B716)&gt;$K$3),0,1))</f>
        <v>0</v>
      </c>
      <c r="L716">
        <f>IF(OR($L$1="",对接源_01水果!$C716="",对接源_01水果!$C716&lt;&gt;$L$1,对接源_01水果!$B716=""),0,IF(OR(N(对接源_01水果!$B716)&lt;$L$2,N(对接源_01水果!$B716)&gt;$L$3),0,1))</f>
        <v>0</v>
      </c>
      <c r="M716">
        <f>IF(OR($M$1="",对接源_01水果!$C716="",对接源_01水果!$C716&lt;&gt;$M$1,对接源_01水果!$B716=""),0,IF(OR(N(对接源_01水果!$B716)&lt;$M$2,N(对接源_01水果!$B716)&gt;$M$3),0,1))</f>
        <v>0</v>
      </c>
      <c r="N716">
        <f>IF(OR($N$1="",对接源_01水果!$C716="",对接源_01水果!$C716&lt;&gt;$N$1,对接源_01水果!$B716=""),0,IF(OR(N(对接源_01水果!$B716)&lt;$N$2,N(对接源_01水果!$B716)&gt;$N$3),0,1))</f>
        <v>0</v>
      </c>
      <c r="P716">
        <f>IF(AND($K716=1,AND(对接源_01水果!$X716="公司筐",N(对接源_01水果!$T716)&lt;&gt;0)),1,0)</f>
        <v>0</v>
      </c>
      <c r="Q716">
        <f>N(Q715)+$P716</f>
        <v>0</v>
      </c>
      <c r="R716">
        <f>IF(AND($K716=1,AND(对接源_01水果!$X716="公司筐",N(对接源_01水果!$U716)&lt;&gt;0)),1,0)</f>
        <v>0</v>
      </c>
      <c r="S716">
        <f>N(S715)+$R716</f>
        <v>0</v>
      </c>
      <c r="T716">
        <f>IF(AND($K716=1,AND(对接源_01水果!$X716="公司筐",N(对接源_01水果!$V716)&lt;&gt;0)),1,0)</f>
        <v>0</v>
      </c>
      <c r="U716">
        <f>N(U715)+$T716</f>
        <v>47</v>
      </c>
      <c r="V716">
        <f>IF(AND($L716=1,AND(对接源_01水果!$X716="自备筐",N(对接源_01水果!$V716)&lt;&gt;0)),1,0)</f>
        <v>0</v>
      </c>
      <c r="W716">
        <f>N(W715)+$V716</f>
        <v>11</v>
      </c>
      <c r="X716">
        <f>IF(AND($L716=1,AND(对接源_01水果!$X716="自备筐",N(对接源_01水果!$T716)&lt;&gt;0)),1,0)</f>
        <v>0</v>
      </c>
      <c r="Y716">
        <f>N(Y715)+$X716</f>
        <v>0</v>
      </c>
      <c r="Z716">
        <f>IF(AND($M716=1,对接源_01水果!$D716="原料入库"),1,0)</f>
        <v>0</v>
      </c>
      <c r="AA716">
        <f>N(AA715)+$Z716</f>
        <v>24</v>
      </c>
      <c r="AB716">
        <f>IF(AND($M716=1,LEFT(对接源_01水果!$D716,4)="原料出库"),1,0)</f>
        <v>0</v>
      </c>
      <c r="AC716">
        <f>N(AC715)+$AB716</f>
        <v>0</v>
      </c>
      <c r="AD716">
        <f>IF(AND($M716=1,LEFT(对接源_01水果!$D716,4)="成品出库"),1,0)</f>
        <v>0</v>
      </c>
      <c r="AE716">
        <f>N(AE715)+$AD716</f>
        <v>0</v>
      </c>
      <c r="AF716">
        <f>IF(AND($N716=1,AND(LEFT(对接源_01水果!$D716,4)="包装物料",N(对接源_01水果!$K716)&lt;&gt;0)),1,0)</f>
        <v>0</v>
      </c>
      <c r="AG716">
        <f>N(AG715)+$AF716</f>
        <v>0</v>
      </c>
      <c r="AH716">
        <f>IF(AND($N716=1,AND(对接源_01水果!$D716="周转筐－销售出库",N(对接源_01水果!$K716)&lt;&gt;0)),1,0)</f>
        <v>0</v>
      </c>
      <c r="AI716">
        <f>N(AI715)+$AH716</f>
        <v>0</v>
      </c>
      <c r="AJ716" s="7" t="n"/>
      <c r="AL716">
        <f>IF(OR($AL$1="",对接源_01水果!$Y716="",对接源_01水果!$Y716&lt;&gt;$AL$1,对接源_01水果!$B716="",N(对接源_01水果!$AJ716)&lt;=0),0,IF(OR(N(对接源_01水果!$B716)&lt;$AL$2,N(对接源_01水果!$B716)&gt;$AL$3),0,1))</f>
        <v>0</v>
      </c>
      <c r="AM716">
        <f>N(AM715)+$AL716</f>
        <v>2</v>
      </c>
      <c r="AN716">
        <f>IF(对接源_01水果!$AC716="","",对接源_01水果!$AC716)</f>
      </c>
      <c r="AO716">
        <f>IF(AN716="",0,IF(MATCH(AN716,$AN$4:$AN$1203,0)=ROW()-3,1,0))</f>
        <v>0</v>
      </c>
      <c r="AP716">
        <f>N(AP715)+$AO716</f>
        <v>13</v>
      </c>
      <c r="AR716">
        <f>IF(OR($AF716=1,$AH716=1),1,0)</f>
        <v>0</v>
      </c>
      <c r="AS716">
        <f>N(AS715)+$AR716</f>
        <v>0</v>
      </c>
    </row>
    <row r="717" ht="14.25" customHeight="1" s="127">
      <c r="A717">
        <f>IF(对接源_01水果!$C717="","",对接源_01水果!$C717)</f>
      </c>
      <c r="B717">
        <f>IF(A717="",0,IF(MATCH(A717,$A$4:$A$2403,0)=ROW()-3,1,0))</f>
        <v>0</v>
      </c>
      <c r="C717">
        <f>N(C716)+B717</f>
        <v>22</v>
      </c>
      <c r="K717">
        <f>IF(OR($K$1="",对接源_01水果!$C717="",对接源_01水果!$C717&lt;&gt;$K$1,对接源_01水果!$B717=""),0,IF(OR(N(对接源_01水果!$B717)&lt;$K$2,N(对接源_01水果!$B717)&gt;$K$3),0,1))</f>
        <v>0</v>
      </c>
      <c r="L717">
        <f>IF(OR($L$1="",对接源_01水果!$C717="",对接源_01水果!$C717&lt;&gt;$L$1,对接源_01水果!$B717=""),0,IF(OR(N(对接源_01水果!$B717)&lt;$L$2,N(对接源_01水果!$B717)&gt;$L$3),0,1))</f>
        <v>0</v>
      </c>
      <c r="M717">
        <f>IF(OR($M$1="",对接源_01水果!$C717="",对接源_01水果!$C717&lt;&gt;$M$1,对接源_01水果!$B717=""),0,IF(OR(N(对接源_01水果!$B717)&lt;$M$2,N(对接源_01水果!$B717)&gt;$M$3),0,1))</f>
        <v>0</v>
      </c>
      <c r="N717">
        <f>IF(OR($N$1="",对接源_01水果!$C717="",对接源_01水果!$C717&lt;&gt;$N$1,对接源_01水果!$B717=""),0,IF(OR(N(对接源_01水果!$B717)&lt;$N$2,N(对接源_01水果!$B717)&gt;$N$3),0,1))</f>
        <v>0</v>
      </c>
      <c r="P717">
        <f>IF(AND($K717=1,AND(对接源_01水果!$X717="公司筐",N(对接源_01水果!$T717)&lt;&gt;0)),1,0)</f>
        <v>0</v>
      </c>
      <c r="Q717">
        <f>N(Q716)+$P717</f>
        <v>0</v>
      </c>
      <c r="R717">
        <f>IF(AND($K717=1,AND(对接源_01水果!$X717="公司筐",N(对接源_01水果!$U717)&lt;&gt;0)),1,0)</f>
        <v>0</v>
      </c>
      <c r="S717">
        <f>N(S716)+$R717</f>
        <v>0</v>
      </c>
      <c r="T717">
        <f>IF(AND($K717=1,AND(对接源_01水果!$X717="公司筐",N(对接源_01水果!$V717)&lt;&gt;0)),1,0)</f>
        <v>0</v>
      </c>
      <c r="U717">
        <f>N(U716)+$T717</f>
        <v>47</v>
      </c>
      <c r="V717">
        <f>IF(AND($L717=1,AND(对接源_01水果!$X717="自备筐",N(对接源_01水果!$V717)&lt;&gt;0)),1,0)</f>
        <v>0</v>
      </c>
      <c r="W717">
        <f>N(W716)+$V717</f>
        <v>11</v>
      </c>
      <c r="X717">
        <f>IF(AND($L717=1,AND(对接源_01水果!$X717="自备筐",N(对接源_01水果!$T717)&lt;&gt;0)),1,0)</f>
        <v>0</v>
      </c>
      <c r="Y717">
        <f>N(Y716)+$X717</f>
        <v>0</v>
      </c>
      <c r="Z717">
        <f>IF(AND($M717=1,对接源_01水果!$D717="原料入库"),1,0)</f>
        <v>0</v>
      </c>
      <c r="AA717">
        <f>N(AA716)+$Z717</f>
        <v>24</v>
      </c>
      <c r="AB717">
        <f>IF(AND($M717=1,LEFT(对接源_01水果!$D717,4)="原料出库"),1,0)</f>
        <v>0</v>
      </c>
      <c r="AC717">
        <f>N(AC716)+$AB717</f>
        <v>0</v>
      </c>
      <c r="AD717">
        <f>IF(AND($M717=1,LEFT(对接源_01水果!$D717,4)="成品出库"),1,0)</f>
        <v>0</v>
      </c>
      <c r="AE717">
        <f>N(AE716)+$AD717</f>
        <v>0</v>
      </c>
      <c r="AF717">
        <f>IF(AND($N717=1,AND(LEFT(对接源_01水果!$D717,4)="包装物料",N(对接源_01水果!$K717)&lt;&gt;0)),1,0)</f>
        <v>0</v>
      </c>
      <c r="AG717">
        <f>N(AG716)+$AF717</f>
        <v>0</v>
      </c>
      <c r="AH717">
        <f>IF(AND($N717=1,AND(对接源_01水果!$D717="周转筐－销售出库",N(对接源_01水果!$K717)&lt;&gt;0)),1,0)</f>
        <v>0</v>
      </c>
      <c r="AI717">
        <f>N(AI716)+$AH717</f>
        <v>0</v>
      </c>
      <c r="AJ717" s="7" t="n"/>
      <c r="AL717">
        <f>IF(OR($AL$1="",对接源_01水果!$Y717="",对接源_01水果!$Y717&lt;&gt;$AL$1,对接源_01水果!$B717="",N(对接源_01水果!$AJ717)&lt;=0),0,IF(OR(N(对接源_01水果!$B717)&lt;$AL$2,N(对接源_01水果!$B717)&gt;$AL$3),0,1))</f>
        <v>0</v>
      </c>
      <c r="AM717">
        <f>N(AM716)+$AL717</f>
        <v>2</v>
      </c>
      <c r="AN717">
        <f>IF(对接源_01水果!$AC717="","",对接源_01水果!$AC717)</f>
      </c>
      <c r="AO717">
        <f>IF(AN717="",0,IF(MATCH(AN717,$AN$4:$AN$1203,0)=ROW()-3,1,0))</f>
        <v>0</v>
      </c>
      <c r="AP717">
        <f>N(AP716)+$AO717</f>
        <v>13</v>
      </c>
      <c r="AR717">
        <f>IF(OR($AF717=1,$AH717=1),1,0)</f>
        <v>0</v>
      </c>
      <c r="AS717">
        <f>N(AS716)+$AR717</f>
        <v>0</v>
      </c>
    </row>
    <row r="718" ht="14.25" customHeight="1" s="127">
      <c r="A718">
        <f>IF(对接源_01水果!$C718="","",对接源_01水果!$C718)</f>
      </c>
      <c r="B718">
        <f>IF(A718="",0,IF(MATCH(A718,$A$4:$A$2403,0)=ROW()-3,1,0))</f>
        <v>0</v>
      </c>
      <c r="C718">
        <f>N(C717)+B718</f>
        <v>22</v>
      </c>
      <c r="K718">
        <f>IF(OR($K$1="",对接源_01水果!$C718="",对接源_01水果!$C718&lt;&gt;$K$1,对接源_01水果!$B718=""),0,IF(OR(N(对接源_01水果!$B718)&lt;$K$2,N(对接源_01水果!$B718)&gt;$K$3),0,1))</f>
        <v>0</v>
      </c>
      <c r="L718">
        <f>IF(OR($L$1="",对接源_01水果!$C718="",对接源_01水果!$C718&lt;&gt;$L$1,对接源_01水果!$B718=""),0,IF(OR(N(对接源_01水果!$B718)&lt;$L$2,N(对接源_01水果!$B718)&gt;$L$3),0,1))</f>
        <v>0</v>
      </c>
      <c r="M718">
        <f>IF(OR($M$1="",对接源_01水果!$C718="",对接源_01水果!$C718&lt;&gt;$M$1,对接源_01水果!$B718=""),0,IF(OR(N(对接源_01水果!$B718)&lt;$M$2,N(对接源_01水果!$B718)&gt;$M$3),0,1))</f>
        <v>0</v>
      </c>
      <c r="N718">
        <f>IF(OR($N$1="",对接源_01水果!$C718="",对接源_01水果!$C718&lt;&gt;$N$1,对接源_01水果!$B718=""),0,IF(OR(N(对接源_01水果!$B718)&lt;$N$2,N(对接源_01水果!$B718)&gt;$N$3),0,1))</f>
        <v>0</v>
      </c>
      <c r="P718">
        <f>IF(AND($K718=1,AND(对接源_01水果!$X718="公司筐",N(对接源_01水果!$T718)&lt;&gt;0)),1,0)</f>
        <v>0</v>
      </c>
      <c r="Q718">
        <f>N(Q717)+$P718</f>
        <v>0</v>
      </c>
      <c r="R718">
        <f>IF(AND($K718=1,AND(对接源_01水果!$X718="公司筐",N(对接源_01水果!$U718)&lt;&gt;0)),1,0)</f>
        <v>0</v>
      </c>
      <c r="S718">
        <f>N(S717)+$R718</f>
        <v>0</v>
      </c>
      <c r="T718">
        <f>IF(AND($K718=1,AND(对接源_01水果!$X718="公司筐",N(对接源_01水果!$V718)&lt;&gt;0)),1,0)</f>
        <v>0</v>
      </c>
      <c r="U718">
        <f>N(U717)+$T718</f>
        <v>47</v>
      </c>
      <c r="V718">
        <f>IF(AND($L718=1,AND(对接源_01水果!$X718="自备筐",N(对接源_01水果!$V718)&lt;&gt;0)),1,0)</f>
        <v>0</v>
      </c>
      <c r="W718">
        <f>N(W717)+$V718</f>
        <v>11</v>
      </c>
      <c r="X718">
        <f>IF(AND($L718=1,AND(对接源_01水果!$X718="自备筐",N(对接源_01水果!$T718)&lt;&gt;0)),1,0)</f>
        <v>0</v>
      </c>
      <c r="Y718">
        <f>N(Y717)+$X718</f>
        <v>0</v>
      </c>
      <c r="Z718">
        <f>IF(AND($M718=1,对接源_01水果!$D718="原料入库"),1,0)</f>
        <v>0</v>
      </c>
      <c r="AA718">
        <f>N(AA717)+$Z718</f>
        <v>24</v>
      </c>
      <c r="AB718">
        <f>IF(AND($M718=1,LEFT(对接源_01水果!$D718,4)="原料出库"),1,0)</f>
        <v>0</v>
      </c>
      <c r="AC718">
        <f>N(AC717)+$AB718</f>
        <v>0</v>
      </c>
      <c r="AD718">
        <f>IF(AND($M718=1,LEFT(对接源_01水果!$D718,4)="成品出库"),1,0)</f>
        <v>0</v>
      </c>
      <c r="AE718">
        <f>N(AE717)+$AD718</f>
        <v>0</v>
      </c>
      <c r="AF718">
        <f>IF(AND($N718=1,AND(LEFT(对接源_01水果!$D718,4)="包装物料",N(对接源_01水果!$K718)&lt;&gt;0)),1,0)</f>
        <v>0</v>
      </c>
      <c r="AG718">
        <f>N(AG717)+$AF718</f>
        <v>0</v>
      </c>
      <c r="AH718">
        <f>IF(AND($N718=1,AND(对接源_01水果!$D718="周转筐－销售出库",N(对接源_01水果!$K718)&lt;&gt;0)),1,0)</f>
        <v>0</v>
      </c>
      <c r="AI718">
        <f>N(AI717)+$AH718</f>
        <v>0</v>
      </c>
      <c r="AJ718" s="7" t="n"/>
      <c r="AL718">
        <f>IF(OR($AL$1="",对接源_01水果!$Y718="",对接源_01水果!$Y718&lt;&gt;$AL$1,对接源_01水果!$B718="",N(对接源_01水果!$AJ718)&lt;=0),0,IF(OR(N(对接源_01水果!$B718)&lt;$AL$2,N(对接源_01水果!$B718)&gt;$AL$3),0,1))</f>
        <v>0</v>
      </c>
      <c r="AM718">
        <f>N(AM717)+$AL718</f>
        <v>2</v>
      </c>
      <c r="AN718">
        <f>IF(对接源_01水果!$AC718="","",对接源_01水果!$AC718)</f>
      </c>
      <c r="AO718">
        <f>IF(AN718="",0,IF(MATCH(AN718,$AN$4:$AN$1203,0)=ROW()-3,1,0))</f>
        <v>0</v>
      </c>
      <c r="AP718">
        <f>N(AP717)+$AO718</f>
        <v>13</v>
      </c>
      <c r="AR718">
        <f>IF(OR($AF718=1,$AH718=1),1,0)</f>
        <v>0</v>
      </c>
      <c r="AS718">
        <f>N(AS717)+$AR718</f>
        <v>0</v>
      </c>
    </row>
    <row r="719" ht="14.25" customHeight="1" s="127">
      <c r="A719">
        <f>IF(对接源_01水果!$C719="","",对接源_01水果!$C719)</f>
      </c>
      <c r="B719">
        <f>IF(A719="",0,IF(MATCH(A719,$A$4:$A$2403,0)=ROW()-3,1,0))</f>
        <v>0</v>
      </c>
      <c r="C719">
        <f>N(C718)+B719</f>
        <v>22</v>
      </c>
      <c r="K719">
        <f>IF(OR($K$1="",对接源_01水果!$C719="",对接源_01水果!$C719&lt;&gt;$K$1,对接源_01水果!$B719=""),0,IF(OR(N(对接源_01水果!$B719)&lt;$K$2,N(对接源_01水果!$B719)&gt;$K$3),0,1))</f>
        <v>0</v>
      </c>
      <c r="L719">
        <f>IF(OR($L$1="",对接源_01水果!$C719="",对接源_01水果!$C719&lt;&gt;$L$1,对接源_01水果!$B719=""),0,IF(OR(N(对接源_01水果!$B719)&lt;$L$2,N(对接源_01水果!$B719)&gt;$L$3),0,1))</f>
        <v>0</v>
      </c>
      <c r="M719">
        <f>IF(OR($M$1="",对接源_01水果!$C719="",对接源_01水果!$C719&lt;&gt;$M$1,对接源_01水果!$B719=""),0,IF(OR(N(对接源_01水果!$B719)&lt;$M$2,N(对接源_01水果!$B719)&gt;$M$3),0,1))</f>
        <v>0</v>
      </c>
      <c r="N719">
        <f>IF(OR($N$1="",对接源_01水果!$C719="",对接源_01水果!$C719&lt;&gt;$N$1,对接源_01水果!$B719=""),0,IF(OR(N(对接源_01水果!$B719)&lt;$N$2,N(对接源_01水果!$B719)&gt;$N$3),0,1))</f>
        <v>0</v>
      </c>
      <c r="P719">
        <f>IF(AND($K719=1,AND(对接源_01水果!$X719="公司筐",N(对接源_01水果!$T719)&lt;&gt;0)),1,0)</f>
        <v>0</v>
      </c>
      <c r="Q719">
        <f>N(Q718)+$P719</f>
        <v>0</v>
      </c>
      <c r="R719">
        <f>IF(AND($K719=1,AND(对接源_01水果!$X719="公司筐",N(对接源_01水果!$U719)&lt;&gt;0)),1,0)</f>
        <v>0</v>
      </c>
      <c r="S719">
        <f>N(S718)+$R719</f>
        <v>0</v>
      </c>
      <c r="T719">
        <f>IF(AND($K719=1,AND(对接源_01水果!$X719="公司筐",N(对接源_01水果!$V719)&lt;&gt;0)),1,0)</f>
        <v>0</v>
      </c>
      <c r="U719">
        <f>N(U718)+$T719</f>
        <v>47</v>
      </c>
      <c r="V719">
        <f>IF(AND($L719=1,AND(对接源_01水果!$X719="自备筐",N(对接源_01水果!$V719)&lt;&gt;0)),1,0)</f>
        <v>0</v>
      </c>
      <c r="W719">
        <f>N(W718)+$V719</f>
        <v>11</v>
      </c>
      <c r="X719">
        <f>IF(AND($L719=1,AND(对接源_01水果!$X719="自备筐",N(对接源_01水果!$T719)&lt;&gt;0)),1,0)</f>
        <v>0</v>
      </c>
      <c r="Y719">
        <f>N(Y718)+$X719</f>
        <v>0</v>
      </c>
      <c r="Z719">
        <f>IF(AND($M719=1,对接源_01水果!$D719="原料入库"),1,0)</f>
        <v>0</v>
      </c>
      <c r="AA719">
        <f>N(AA718)+$Z719</f>
        <v>24</v>
      </c>
      <c r="AB719">
        <f>IF(AND($M719=1,LEFT(对接源_01水果!$D719,4)="原料出库"),1,0)</f>
        <v>0</v>
      </c>
      <c r="AC719">
        <f>N(AC718)+$AB719</f>
        <v>0</v>
      </c>
      <c r="AD719">
        <f>IF(AND($M719=1,LEFT(对接源_01水果!$D719,4)="成品出库"),1,0)</f>
        <v>0</v>
      </c>
      <c r="AE719">
        <f>N(AE718)+$AD719</f>
        <v>0</v>
      </c>
      <c r="AF719">
        <f>IF(AND($N719=1,AND(LEFT(对接源_01水果!$D719,4)="包装物料",N(对接源_01水果!$K719)&lt;&gt;0)),1,0)</f>
        <v>0</v>
      </c>
      <c r="AG719">
        <f>N(AG718)+$AF719</f>
        <v>0</v>
      </c>
      <c r="AH719">
        <f>IF(AND($N719=1,AND(对接源_01水果!$D719="周转筐－销售出库",N(对接源_01水果!$K719)&lt;&gt;0)),1,0)</f>
        <v>0</v>
      </c>
      <c r="AI719">
        <f>N(AI718)+$AH719</f>
        <v>0</v>
      </c>
      <c r="AJ719" s="7" t="n"/>
      <c r="AL719">
        <f>IF(OR($AL$1="",对接源_01水果!$Y719="",对接源_01水果!$Y719&lt;&gt;$AL$1,对接源_01水果!$B719="",N(对接源_01水果!$AJ719)&lt;=0),0,IF(OR(N(对接源_01水果!$B719)&lt;$AL$2,N(对接源_01水果!$B719)&gt;$AL$3),0,1))</f>
        <v>0</v>
      </c>
      <c r="AM719">
        <f>N(AM718)+$AL719</f>
        <v>2</v>
      </c>
      <c r="AN719">
        <f>IF(对接源_01水果!$AC719="","",对接源_01水果!$AC719)</f>
      </c>
      <c r="AO719">
        <f>IF(AN719="",0,IF(MATCH(AN719,$AN$4:$AN$1203,0)=ROW()-3,1,0))</f>
        <v>0</v>
      </c>
      <c r="AP719">
        <f>N(AP718)+$AO719</f>
        <v>13</v>
      </c>
      <c r="AR719">
        <f>IF(OR($AF719=1,$AH719=1),1,0)</f>
        <v>0</v>
      </c>
      <c r="AS719">
        <f>N(AS718)+$AR719</f>
        <v>0</v>
      </c>
    </row>
    <row r="720" ht="14.25" customHeight="1" s="127">
      <c r="A720">
        <f>IF(对接源_01水果!$C720="","",对接源_01水果!$C720)</f>
      </c>
      <c r="B720">
        <f>IF(A720="",0,IF(MATCH(A720,$A$4:$A$2403,0)=ROW()-3,1,0))</f>
        <v>0</v>
      </c>
      <c r="C720">
        <f>N(C719)+B720</f>
        <v>22</v>
      </c>
      <c r="K720">
        <f>IF(OR($K$1="",对接源_01水果!$C720="",对接源_01水果!$C720&lt;&gt;$K$1,对接源_01水果!$B720=""),0,IF(OR(N(对接源_01水果!$B720)&lt;$K$2,N(对接源_01水果!$B720)&gt;$K$3),0,1))</f>
        <v>0</v>
      </c>
      <c r="L720">
        <f>IF(OR($L$1="",对接源_01水果!$C720="",对接源_01水果!$C720&lt;&gt;$L$1,对接源_01水果!$B720=""),0,IF(OR(N(对接源_01水果!$B720)&lt;$L$2,N(对接源_01水果!$B720)&gt;$L$3),0,1))</f>
        <v>0</v>
      </c>
      <c r="M720">
        <f>IF(OR($M$1="",对接源_01水果!$C720="",对接源_01水果!$C720&lt;&gt;$M$1,对接源_01水果!$B720=""),0,IF(OR(N(对接源_01水果!$B720)&lt;$M$2,N(对接源_01水果!$B720)&gt;$M$3),0,1))</f>
        <v>0</v>
      </c>
      <c r="N720">
        <f>IF(OR($N$1="",对接源_01水果!$C720="",对接源_01水果!$C720&lt;&gt;$N$1,对接源_01水果!$B720=""),0,IF(OR(N(对接源_01水果!$B720)&lt;$N$2,N(对接源_01水果!$B720)&gt;$N$3),0,1))</f>
        <v>0</v>
      </c>
      <c r="P720">
        <f>IF(AND($K720=1,AND(对接源_01水果!$X720="公司筐",N(对接源_01水果!$T720)&lt;&gt;0)),1,0)</f>
        <v>0</v>
      </c>
      <c r="Q720">
        <f>N(Q719)+$P720</f>
        <v>0</v>
      </c>
      <c r="R720">
        <f>IF(AND($K720=1,AND(对接源_01水果!$X720="公司筐",N(对接源_01水果!$U720)&lt;&gt;0)),1,0)</f>
        <v>0</v>
      </c>
      <c r="S720">
        <f>N(S719)+$R720</f>
        <v>0</v>
      </c>
      <c r="T720">
        <f>IF(AND($K720=1,AND(对接源_01水果!$X720="公司筐",N(对接源_01水果!$V720)&lt;&gt;0)),1,0)</f>
        <v>0</v>
      </c>
      <c r="U720">
        <f>N(U719)+$T720</f>
        <v>47</v>
      </c>
      <c r="V720">
        <f>IF(AND($L720=1,AND(对接源_01水果!$X720="自备筐",N(对接源_01水果!$V720)&lt;&gt;0)),1,0)</f>
        <v>0</v>
      </c>
      <c r="W720">
        <f>N(W719)+$V720</f>
        <v>11</v>
      </c>
      <c r="X720">
        <f>IF(AND($L720=1,AND(对接源_01水果!$X720="自备筐",N(对接源_01水果!$T720)&lt;&gt;0)),1,0)</f>
        <v>0</v>
      </c>
      <c r="Y720">
        <f>N(Y719)+$X720</f>
        <v>0</v>
      </c>
      <c r="Z720">
        <f>IF(AND($M720=1,对接源_01水果!$D720="原料入库"),1,0)</f>
        <v>0</v>
      </c>
      <c r="AA720">
        <f>N(AA719)+$Z720</f>
        <v>24</v>
      </c>
      <c r="AB720">
        <f>IF(AND($M720=1,LEFT(对接源_01水果!$D720,4)="原料出库"),1,0)</f>
        <v>0</v>
      </c>
      <c r="AC720">
        <f>N(AC719)+$AB720</f>
        <v>0</v>
      </c>
      <c r="AD720">
        <f>IF(AND($M720=1,LEFT(对接源_01水果!$D720,4)="成品出库"),1,0)</f>
        <v>0</v>
      </c>
      <c r="AE720">
        <f>N(AE719)+$AD720</f>
        <v>0</v>
      </c>
      <c r="AF720">
        <f>IF(AND($N720=1,AND(LEFT(对接源_01水果!$D720,4)="包装物料",N(对接源_01水果!$K720)&lt;&gt;0)),1,0)</f>
        <v>0</v>
      </c>
      <c r="AG720">
        <f>N(AG719)+$AF720</f>
        <v>0</v>
      </c>
      <c r="AH720">
        <f>IF(AND($N720=1,AND(对接源_01水果!$D720="周转筐－销售出库",N(对接源_01水果!$K720)&lt;&gt;0)),1,0)</f>
        <v>0</v>
      </c>
      <c r="AI720">
        <f>N(AI719)+$AH720</f>
        <v>0</v>
      </c>
      <c r="AJ720" s="7" t="n"/>
      <c r="AL720">
        <f>IF(OR($AL$1="",对接源_01水果!$Y720="",对接源_01水果!$Y720&lt;&gt;$AL$1,对接源_01水果!$B720="",N(对接源_01水果!$AJ720)&lt;=0),0,IF(OR(N(对接源_01水果!$B720)&lt;$AL$2,N(对接源_01水果!$B720)&gt;$AL$3),0,1))</f>
        <v>0</v>
      </c>
      <c r="AM720">
        <f>N(AM719)+$AL720</f>
        <v>2</v>
      </c>
      <c r="AN720">
        <f>IF(对接源_01水果!$AC720="","",对接源_01水果!$AC720)</f>
      </c>
      <c r="AO720">
        <f>IF(AN720="",0,IF(MATCH(AN720,$AN$4:$AN$1203,0)=ROW()-3,1,0))</f>
        <v>0</v>
      </c>
      <c r="AP720">
        <f>N(AP719)+$AO720</f>
        <v>13</v>
      </c>
      <c r="AR720">
        <f>IF(OR($AF720=1,$AH720=1),1,0)</f>
        <v>0</v>
      </c>
      <c r="AS720">
        <f>N(AS719)+$AR720</f>
        <v>0</v>
      </c>
    </row>
    <row r="721" ht="14.25" customHeight="1" s="127">
      <c r="A721">
        <f>IF(对接源_01水果!$C721="","",对接源_01水果!$C721)</f>
      </c>
      <c r="B721">
        <f>IF(A721="",0,IF(MATCH(A721,$A$4:$A$2403,0)=ROW()-3,1,0))</f>
        <v>0</v>
      </c>
      <c r="C721">
        <f>N(C720)+B721</f>
        <v>22</v>
      </c>
      <c r="K721">
        <f>IF(OR($K$1="",对接源_01水果!$C721="",对接源_01水果!$C721&lt;&gt;$K$1,对接源_01水果!$B721=""),0,IF(OR(N(对接源_01水果!$B721)&lt;$K$2,N(对接源_01水果!$B721)&gt;$K$3),0,1))</f>
        <v>0</v>
      </c>
      <c r="L721">
        <f>IF(OR($L$1="",对接源_01水果!$C721="",对接源_01水果!$C721&lt;&gt;$L$1,对接源_01水果!$B721=""),0,IF(OR(N(对接源_01水果!$B721)&lt;$L$2,N(对接源_01水果!$B721)&gt;$L$3),0,1))</f>
        <v>0</v>
      </c>
      <c r="M721">
        <f>IF(OR($M$1="",对接源_01水果!$C721="",对接源_01水果!$C721&lt;&gt;$M$1,对接源_01水果!$B721=""),0,IF(OR(N(对接源_01水果!$B721)&lt;$M$2,N(对接源_01水果!$B721)&gt;$M$3),0,1))</f>
        <v>0</v>
      </c>
      <c r="N721">
        <f>IF(OR($N$1="",对接源_01水果!$C721="",对接源_01水果!$C721&lt;&gt;$N$1,对接源_01水果!$B721=""),0,IF(OR(N(对接源_01水果!$B721)&lt;$N$2,N(对接源_01水果!$B721)&gt;$N$3),0,1))</f>
        <v>0</v>
      </c>
      <c r="P721">
        <f>IF(AND($K721=1,AND(对接源_01水果!$X721="公司筐",N(对接源_01水果!$T721)&lt;&gt;0)),1,0)</f>
        <v>0</v>
      </c>
      <c r="Q721">
        <f>N(Q720)+$P721</f>
        <v>0</v>
      </c>
      <c r="R721">
        <f>IF(AND($K721=1,AND(对接源_01水果!$X721="公司筐",N(对接源_01水果!$U721)&lt;&gt;0)),1,0)</f>
        <v>0</v>
      </c>
      <c r="S721">
        <f>N(S720)+$R721</f>
        <v>0</v>
      </c>
      <c r="T721">
        <f>IF(AND($K721=1,AND(对接源_01水果!$X721="公司筐",N(对接源_01水果!$V721)&lt;&gt;0)),1,0)</f>
        <v>0</v>
      </c>
      <c r="U721">
        <f>N(U720)+$T721</f>
        <v>47</v>
      </c>
      <c r="V721">
        <f>IF(AND($L721=1,AND(对接源_01水果!$X721="自备筐",N(对接源_01水果!$V721)&lt;&gt;0)),1,0)</f>
        <v>0</v>
      </c>
      <c r="W721">
        <f>N(W720)+$V721</f>
        <v>11</v>
      </c>
      <c r="X721">
        <f>IF(AND($L721=1,AND(对接源_01水果!$X721="自备筐",N(对接源_01水果!$T721)&lt;&gt;0)),1,0)</f>
        <v>0</v>
      </c>
      <c r="Y721">
        <f>N(Y720)+$X721</f>
        <v>0</v>
      </c>
      <c r="Z721">
        <f>IF(AND($M721=1,对接源_01水果!$D721="原料入库"),1,0)</f>
        <v>0</v>
      </c>
      <c r="AA721">
        <f>N(AA720)+$Z721</f>
        <v>24</v>
      </c>
      <c r="AB721">
        <f>IF(AND($M721=1,LEFT(对接源_01水果!$D721,4)="原料出库"),1,0)</f>
        <v>0</v>
      </c>
      <c r="AC721">
        <f>N(AC720)+$AB721</f>
        <v>0</v>
      </c>
      <c r="AD721">
        <f>IF(AND($M721=1,LEFT(对接源_01水果!$D721,4)="成品出库"),1,0)</f>
        <v>0</v>
      </c>
      <c r="AE721">
        <f>N(AE720)+$AD721</f>
        <v>0</v>
      </c>
      <c r="AF721">
        <f>IF(AND($N721=1,AND(LEFT(对接源_01水果!$D721,4)="包装物料",N(对接源_01水果!$K721)&lt;&gt;0)),1,0)</f>
        <v>0</v>
      </c>
      <c r="AG721">
        <f>N(AG720)+$AF721</f>
        <v>0</v>
      </c>
      <c r="AH721">
        <f>IF(AND($N721=1,AND(对接源_01水果!$D721="周转筐－销售出库",N(对接源_01水果!$K721)&lt;&gt;0)),1,0)</f>
        <v>0</v>
      </c>
      <c r="AI721">
        <f>N(AI720)+$AH721</f>
        <v>0</v>
      </c>
      <c r="AJ721" s="7" t="n"/>
      <c r="AL721">
        <f>IF(OR($AL$1="",对接源_01水果!$Y721="",对接源_01水果!$Y721&lt;&gt;$AL$1,对接源_01水果!$B721="",N(对接源_01水果!$AJ721)&lt;=0),0,IF(OR(N(对接源_01水果!$B721)&lt;$AL$2,N(对接源_01水果!$B721)&gt;$AL$3),0,1))</f>
        <v>0</v>
      </c>
      <c r="AM721">
        <f>N(AM720)+$AL721</f>
        <v>2</v>
      </c>
      <c r="AN721">
        <f>IF(对接源_01水果!$AC721="","",对接源_01水果!$AC721)</f>
      </c>
      <c r="AO721">
        <f>IF(AN721="",0,IF(MATCH(AN721,$AN$4:$AN$1203,0)=ROW()-3,1,0))</f>
        <v>0</v>
      </c>
      <c r="AP721">
        <f>N(AP720)+$AO721</f>
        <v>13</v>
      </c>
      <c r="AR721">
        <f>IF(OR($AF721=1,$AH721=1),1,0)</f>
        <v>0</v>
      </c>
      <c r="AS721">
        <f>N(AS720)+$AR721</f>
        <v>0</v>
      </c>
    </row>
    <row r="722" ht="14.25" customHeight="1" s="127">
      <c r="A722">
        <f>IF(对接源_01水果!$C722="","",对接源_01水果!$C722)</f>
      </c>
      <c r="B722">
        <f>IF(A722="",0,IF(MATCH(A722,$A$4:$A$2403,0)=ROW()-3,1,0))</f>
        <v>0</v>
      </c>
      <c r="C722">
        <f>N(C721)+B722</f>
        <v>22</v>
      </c>
      <c r="K722">
        <f>IF(OR($K$1="",对接源_01水果!$C722="",对接源_01水果!$C722&lt;&gt;$K$1,对接源_01水果!$B722=""),0,IF(OR(N(对接源_01水果!$B722)&lt;$K$2,N(对接源_01水果!$B722)&gt;$K$3),0,1))</f>
        <v>0</v>
      </c>
      <c r="L722">
        <f>IF(OR($L$1="",对接源_01水果!$C722="",对接源_01水果!$C722&lt;&gt;$L$1,对接源_01水果!$B722=""),0,IF(OR(N(对接源_01水果!$B722)&lt;$L$2,N(对接源_01水果!$B722)&gt;$L$3),0,1))</f>
        <v>0</v>
      </c>
      <c r="M722">
        <f>IF(OR($M$1="",对接源_01水果!$C722="",对接源_01水果!$C722&lt;&gt;$M$1,对接源_01水果!$B722=""),0,IF(OR(N(对接源_01水果!$B722)&lt;$M$2,N(对接源_01水果!$B722)&gt;$M$3),0,1))</f>
        <v>0</v>
      </c>
      <c r="N722">
        <f>IF(OR($N$1="",对接源_01水果!$C722="",对接源_01水果!$C722&lt;&gt;$N$1,对接源_01水果!$B722=""),0,IF(OR(N(对接源_01水果!$B722)&lt;$N$2,N(对接源_01水果!$B722)&gt;$N$3),0,1))</f>
        <v>0</v>
      </c>
      <c r="P722">
        <f>IF(AND($K722=1,AND(对接源_01水果!$X722="公司筐",N(对接源_01水果!$T722)&lt;&gt;0)),1,0)</f>
        <v>0</v>
      </c>
      <c r="Q722">
        <f>N(Q721)+$P722</f>
        <v>0</v>
      </c>
      <c r="R722">
        <f>IF(AND($K722=1,AND(对接源_01水果!$X722="公司筐",N(对接源_01水果!$U722)&lt;&gt;0)),1,0)</f>
        <v>0</v>
      </c>
      <c r="S722">
        <f>N(S721)+$R722</f>
        <v>0</v>
      </c>
      <c r="T722">
        <f>IF(AND($K722=1,AND(对接源_01水果!$X722="公司筐",N(对接源_01水果!$V722)&lt;&gt;0)),1,0)</f>
        <v>0</v>
      </c>
      <c r="U722">
        <f>N(U721)+$T722</f>
        <v>47</v>
      </c>
      <c r="V722">
        <f>IF(AND($L722=1,AND(对接源_01水果!$X722="自备筐",N(对接源_01水果!$V722)&lt;&gt;0)),1,0)</f>
        <v>0</v>
      </c>
      <c r="W722">
        <f>N(W721)+$V722</f>
        <v>11</v>
      </c>
      <c r="X722">
        <f>IF(AND($L722=1,AND(对接源_01水果!$X722="自备筐",N(对接源_01水果!$T722)&lt;&gt;0)),1,0)</f>
        <v>0</v>
      </c>
      <c r="Y722">
        <f>N(Y721)+$X722</f>
        <v>0</v>
      </c>
      <c r="Z722">
        <f>IF(AND($M722=1,对接源_01水果!$D722="原料入库"),1,0)</f>
        <v>0</v>
      </c>
      <c r="AA722">
        <f>N(AA721)+$Z722</f>
        <v>24</v>
      </c>
      <c r="AB722">
        <f>IF(AND($M722=1,LEFT(对接源_01水果!$D722,4)="原料出库"),1,0)</f>
        <v>0</v>
      </c>
      <c r="AC722">
        <f>N(AC721)+$AB722</f>
        <v>0</v>
      </c>
      <c r="AD722">
        <f>IF(AND($M722=1,LEFT(对接源_01水果!$D722,4)="成品出库"),1,0)</f>
        <v>0</v>
      </c>
      <c r="AE722">
        <f>N(AE721)+$AD722</f>
        <v>0</v>
      </c>
      <c r="AF722">
        <f>IF(AND($N722=1,AND(LEFT(对接源_01水果!$D722,4)="包装物料",N(对接源_01水果!$K722)&lt;&gt;0)),1,0)</f>
        <v>0</v>
      </c>
      <c r="AG722">
        <f>N(AG721)+$AF722</f>
        <v>0</v>
      </c>
      <c r="AH722">
        <f>IF(AND($N722=1,AND(对接源_01水果!$D722="周转筐－销售出库",N(对接源_01水果!$K722)&lt;&gt;0)),1,0)</f>
        <v>0</v>
      </c>
      <c r="AI722">
        <f>N(AI721)+$AH722</f>
        <v>0</v>
      </c>
      <c r="AJ722" s="7" t="n"/>
      <c r="AL722">
        <f>IF(OR($AL$1="",对接源_01水果!$Y722="",对接源_01水果!$Y722&lt;&gt;$AL$1,对接源_01水果!$B722="",N(对接源_01水果!$AJ722)&lt;=0),0,IF(OR(N(对接源_01水果!$B722)&lt;$AL$2,N(对接源_01水果!$B722)&gt;$AL$3),0,1))</f>
        <v>0</v>
      </c>
      <c r="AM722">
        <f>N(AM721)+$AL722</f>
        <v>2</v>
      </c>
      <c r="AN722">
        <f>IF(对接源_01水果!$AC722="","",对接源_01水果!$AC722)</f>
      </c>
      <c r="AO722">
        <f>IF(AN722="",0,IF(MATCH(AN722,$AN$4:$AN$1203,0)=ROW()-3,1,0))</f>
        <v>0</v>
      </c>
      <c r="AP722">
        <f>N(AP721)+$AO722</f>
        <v>13</v>
      </c>
      <c r="AR722">
        <f>IF(OR($AF722=1,$AH722=1),1,0)</f>
        <v>0</v>
      </c>
      <c r="AS722">
        <f>N(AS721)+$AR722</f>
        <v>0</v>
      </c>
    </row>
    <row r="723" ht="14.25" customHeight="1" s="127">
      <c r="A723">
        <f>IF(对接源_01水果!$C723="","",对接源_01水果!$C723)</f>
      </c>
      <c r="B723">
        <f>IF(A723="",0,IF(MATCH(A723,$A$4:$A$2403,0)=ROW()-3,1,0))</f>
        <v>0</v>
      </c>
      <c r="C723">
        <f>N(C722)+B723</f>
        <v>22</v>
      </c>
      <c r="K723">
        <f>IF(OR($K$1="",对接源_01水果!$C723="",对接源_01水果!$C723&lt;&gt;$K$1,对接源_01水果!$B723=""),0,IF(OR(N(对接源_01水果!$B723)&lt;$K$2,N(对接源_01水果!$B723)&gt;$K$3),0,1))</f>
        <v>0</v>
      </c>
      <c r="L723">
        <f>IF(OR($L$1="",对接源_01水果!$C723="",对接源_01水果!$C723&lt;&gt;$L$1,对接源_01水果!$B723=""),0,IF(OR(N(对接源_01水果!$B723)&lt;$L$2,N(对接源_01水果!$B723)&gt;$L$3),0,1))</f>
        <v>0</v>
      </c>
      <c r="M723">
        <f>IF(OR($M$1="",对接源_01水果!$C723="",对接源_01水果!$C723&lt;&gt;$M$1,对接源_01水果!$B723=""),0,IF(OR(N(对接源_01水果!$B723)&lt;$M$2,N(对接源_01水果!$B723)&gt;$M$3),0,1))</f>
        <v>0</v>
      </c>
      <c r="N723">
        <f>IF(OR($N$1="",对接源_01水果!$C723="",对接源_01水果!$C723&lt;&gt;$N$1,对接源_01水果!$B723=""),0,IF(OR(N(对接源_01水果!$B723)&lt;$N$2,N(对接源_01水果!$B723)&gt;$N$3),0,1))</f>
        <v>0</v>
      </c>
      <c r="P723">
        <f>IF(AND($K723=1,AND(对接源_01水果!$X723="公司筐",N(对接源_01水果!$T723)&lt;&gt;0)),1,0)</f>
        <v>0</v>
      </c>
      <c r="Q723">
        <f>N(Q722)+$P723</f>
        <v>0</v>
      </c>
      <c r="R723">
        <f>IF(AND($K723=1,AND(对接源_01水果!$X723="公司筐",N(对接源_01水果!$U723)&lt;&gt;0)),1,0)</f>
        <v>0</v>
      </c>
      <c r="S723">
        <f>N(S722)+$R723</f>
        <v>0</v>
      </c>
      <c r="T723">
        <f>IF(AND($K723=1,AND(对接源_01水果!$X723="公司筐",N(对接源_01水果!$V723)&lt;&gt;0)),1,0)</f>
        <v>0</v>
      </c>
      <c r="U723">
        <f>N(U722)+$T723</f>
        <v>47</v>
      </c>
      <c r="V723">
        <f>IF(AND($L723=1,AND(对接源_01水果!$X723="自备筐",N(对接源_01水果!$V723)&lt;&gt;0)),1,0)</f>
        <v>0</v>
      </c>
      <c r="W723">
        <f>N(W722)+$V723</f>
        <v>11</v>
      </c>
      <c r="X723">
        <f>IF(AND($L723=1,AND(对接源_01水果!$X723="自备筐",N(对接源_01水果!$T723)&lt;&gt;0)),1,0)</f>
        <v>0</v>
      </c>
      <c r="Y723">
        <f>N(Y722)+$X723</f>
        <v>0</v>
      </c>
      <c r="Z723">
        <f>IF(AND($M723=1,对接源_01水果!$D723="原料入库"),1,0)</f>
        <v>0</v>
      </c>
      <c r="AA723">
        <f>N(AA722)+$Z723</f>
        <v>24</v>
      </c>
      <c r="AB723">
        <f>IF(AND($M723=1,LEFT(对接源_01水果!$D723,4)="原料出库"),1,0)</f>
        <v>0</v>
      </c>
      <c r="AC723">
        <f>N(AC722)+$AB723</f>
        <v>0</v>
      </c>
      <c r="AD723">
        <f>IF(AND($M723=1,LEFT(对接源_01水果!$D723,4)="成品出库"),1,0)</f>
        <v>0</v>
      </c>
      <c r="AE723">
        <f>N(AE722)+$AD723</f>
        <v>0</v>
      </c>
      <c r="AF723">
        <f>IF(AND($N723=1,AND(LEFT(对接源_01水果!$D723,4)="包装物料",N(对接源_01水果!$K723)&lt;&gt;0)),1,0)</f>
        <v>0</v>
      </c>
      <c r="AG723">
        <f>N(AG722)+$AF723</f>
        <v>0</v>
      </c>
      <c r="AH723">
        <f>IF(AND($N723=1,AND(对接源_01水果!$D723="周转筐－销售出库",N(对接源_01水果!$K723)&lt;&gt;0)),1,0)</f>
        <v>0</v>
      </c>
      <c r="AI723">
        <f>N(AI722)+$AH723</f>
        <v>0</v>
      </c>
      <c r="AJ723" s="7" t="n"/>
      <c r="AL723">
        <f>IF(OR($AL$1="",对接源_01水果!$Y723="",对接源_01水果!$Y723&lt;&gt;$AL$1,对接源_01水果!$B723="",N(对接源_01水果!$AJ723)&lt;=0),0,IF(OR(N(对接源_01水果!$B723)&lt;$AL$2,N(对接源_01水果!$B723)&gt;$AL$3),0,1))</f>
        <v>0</v>
      </c>
      <c r="AM723">
        <f>N(AM722)+$AL723</f>
        <v>2</v>
      </c>
      <c r="AN723">
        <f>IF(对接源_01水果!$AC723="","",对接源_01水果!$AC723)</f>
      </c>
      <c r="AO723">
        <f>IF(AN723="",0,IF(MATCH(AN723,$AN$4:$AN$1203,0)=ROW()-3,1,0))</f>
        <v>0</v>
      </c>
      <c r="AP723">
        <f>N(AP722)+$AO723</f>
        <v>13</v>
      </c>
      <c r="AR723">
        <f>IF(OR($AF723=1,$AH723=1),1,0)</f>
        <v>0</v>
      </c>
      <c r="AS723">
        <f>N(AS722)+$AR723</f>
        <v>0</v>
      </c>
    </row>
    <row r="724" ht="14.25" customHeight="1" s="127">
      <c r="A724">
        <f>IF(对接源_01水果!$C724="","",对接源_01水果!$C724)</f>
      </c>
      <c r="B724">
        <f>IF(A724="",0,IF(MATCH(A724,$A$4:$A$2403,0)=ROW()-3,1,0))</f>
        <v>0</v>
      </c>
      <c r="C724">
        <f>N(C723)+B724</f>
        <v>22</v>
      </c>
      <c r="K724">
        <f>IF(OR($K$1="",对接源_01水果!$C724="",对接源_01水果!$C724&lt;&gt;$K$1,对接源_01水果!$B724=""),0,IF(OR(N(对接源_01水果!$B724)&lt;$K$2,N(对接源_01水果!$B724)&gt;$K$3),0,1))</f>
        <v>0</v>
      </c>
      <c r="L724">
        <f>IF(OR($L$1="",对接源_01水果!$C724="",对接源_01水果!$C724&lt;&gt;$L$1,对接源_01水果!$B724=""),0,IF(OR(N(对接源_01水果!$B724)&lt;$L$2,N(对接源_01水果!$B724)&gt;$L$3),0,1))</f>
        <v>0</v>
      </c>
      <c r="M724">
        <f>IF(OR($M$1="",对接源_01水果!$C724="",对接源_01水果!$C724&lt;&gt;$M$1,对接源_01水果!$B724=""),0,IF(OR(N(对接源_01水果!$B724)&lt;$M$2,N(对接源_01水果!$B724)&gt;$M$3),0,1))</f>
        <v>0</v>
      </c>
      <c r="N724">
        <f>IF(OR($N$1="",对接源_01水果!$C724="",对接源_01水果!$C724&lt;&gt;$N$1,对接源_01水果!$B724=""),0,IF(OR(N(对接源_01水果!$B724)&lt;$N$2,N(对接源_01水果!$B724)&gt;$N$3),0,1))</f>
        <v>0</v>
      </c>
      <c r="P724">
        <f>IF(AND($K724=1,AND(对接源_01水果!$X724="公司筐",N(对接源_01水果!$T724)&lt;&gt;0)),1,0)</f>
        <v>0</v>
      </c>
      <c r="Q724">
        <f>N(Q723)+$P724</f>
        <v>0</v>
      </c>
      <c r="R724">
        <f>IF(AND($K724=1,AND(对接源_01水果!$X724="公司筐",N(对接源_01水果!$U724)&lt;&gt;0)),1,0)</f>
        <v>0</v>
      </c>
      <c r="S724">
        <f>N(S723)+$R724</f>
        <v>0</v>
      </c>
      <c r="T724">
        <f>IF(AND($K724=1,AND(对接源_01水果!$X724="公司筐",N(对接源_01水果!$V724)&lt;&gt;0)),1,0)</f>
        <v>0</v>
      </c>
      <c r="U724">
        <f>N(U723)+$T724</f>
        <v>47</v>
      </c>
      <c r="V724">
        <f>IF(AND($L724=1,AND(对接源_01水果!$X724="自备筐",N(对接源_01水果!$V724)&lt;&gt;0)),1,0)</f>
        <v>0</v>
      </c>
      <c r="W724">
        <f>N(W723)+$V724</f>
        <v>11</v>
      </c>
      <c r="X724">
        <f>IF(AND($L724=1,AND(对接源_01水果!$X724="自备筐",N(对接源_01水果!$T724)&lt;&gt;0)),1,0)</f>
        <v>0</v>
      </c>
      <c r="Y724">
        <f>N(Y723)+$X724</f>
        <v>0</v>
      </c>
      <c r="Z724">
        <f>IF(AND($M724=1,对接源_01水果!$D724="原料入库"),1,0)</f>
        <v>0</v>
      </c>
      <c r="AA724">
        <f>N(AA723)+$Z724</f>
        <v>24</v>
      </c>
      <c r="AB724">
        <f>IF(AND($M724=1,LEFT(对接源_01水果!$D724,4)="原料出库"),1,0)</f>
        <v>0</v>
      </c>
      <c r="AC724">
        <f>N(AC723)+$AB724</f>
        <v>0</v>
      </c>
      <c r="AD724">
        <f>IF(AND($M724=1,LEFT(对接源_01水果!$D724,4)="成品出库"),1,0)</f>
        <v>0</v>
      </c>
      <c r="AE724">
        <f>N(AE723)+$AD724</f>
        <v>0</v>
      </c>
      <c r="AF724">
        <f>IF(AND($N724=1,AND(LEFT(对接源_01水果!$D724,4)="包装物料",N(对接源_01水果!$K724)&lt;&gt;0)),1,0)</f>
        <v>0</v>
      </c>
      <c r="AG724">
        <f>N(AG723)+$AF724</f>
        <v>0</v>
      </c>
      <c r="AH724">
        <f>IF(AND($N724=1,AND(对接源_01水果!$D724="周转筐－销售出库",N(对接源_01水果!$K724)&lt;&gt;0)),1,0)</f>
        <v>0</v>
      </c>
      <c r="AI724">
        <f>N(AI723)+$AH724</f>
        <v>0</v>
      </c>
      <c r="AJ724" s="7" t="n"/>
      <c r="AL724">
        <f>IF(OR($AL$1="",对接源_01水果!$Y724="",对接源_01水果!$Y724&lt;&gt;$AL$1,对接源_01水果!$B724="",N(对接源_01水果!$AJ724)&lt;=0),0,IF(OR(N(对接源_01水果!$B724)&lt;$AL$2,N(对接源_01水果!$B724)&gt;$AL$3),0,1))</f>
        <v>0</v>
      </c>
      <c r="AM724">
        <f>N(AM723)+$AL724</f>
        <v>2</v>
      </c>
      <c r="AN724">
        <f>IF(对接源_01水果!$AC724="","",对接源_01水果!$AC724)</f>
      </c>
      <c r="AO724">
        <f>IF(AN724="",0,IF(MATCH(AN724,$AN$4:$AN$1203,0)=ROW()-3,1,0))</f>
        <v>0</v>
      </c>
      <c r="AP724">
        <f>N(AP723)+$AO724</f>
        <v>13</v>
      </c>
      <c r="AR724">
        <f>IF(OR($AF724=1,$AH724=1),1,0)</f>
        <v>0</v>
      </c>
      <c r="AS724">
        <f>N(AS723)+$AR724</f>
        <v>0</v>
      </c>
    </row>
    <row r="725" ht="14.25" customHeight="1" s="127">
      <c r="A725">
        <f>IF(对接源_01水果!$C725="","",对接源_01水果!$C725)</f>
      </c>
      <c r="B725">
        <f>IF(A725="",0,IF(MATCH(A725,$A$4:$A$2403,0)=ROW()-3,1,0))</f>
        <v>0</v>
      </c>
      <c r="C725">
        <f>N(C724)+B725</f>
        <v>22</v>
      </c>
      <c r="K725">
        <f>IF(OR($K$1="",对接源_01水果!$C725="",对接源_01水果!$C725&lt;&gt;$K$1,对接源_01水果!$B725=""),0,IF(OR(N(对接源_01水果!$B725)&lt;$K$2,N(对接源_01水果!$B725)&gt;$K$3),0,1))</f>
        <v>0</v>
      </c>
      <c r="L725">
        <f>IF(OR($L$1="",对接源_01水果!$C725="",对接源_01水果!$C725&lt;&gt;$L$1,对接源_01水果!$B725=""),0,IF(OR(N(对接源_01水果!$B725)&lt;$L$2,N(对接源_01水果!$B725)&gt;$L$3),0,1))</f>
        <v>0</v>
      </c>
      <c r="M725">
        <f>IF(OR($M$1="",对接源_01水果!$C725="",对接源_01水果!$C725&lt;&gt;$M$1,对接源_01水果!$B725=""),0,IF(OR(N(对接源_01水果!$B725)&lt;$M$2,N(对接源_01水果!$B725)&gt;$M$3),0,1))</f>
        <v>0</v>
      </c>
      <c r="N725">
        <f>IF(OR($N$1="",对接源_01水果!$C725="",对接源_01水果!$C725&lt;&gt;$N$1,对接源_01水果!$B725=""),0,IF(OR(N(对接源_01水果!$B725)&lt;$N$2,N(对接源_01水果!$B725)&gt;$N$3),0,1))</f>
        <v>0</v>
      </c>
      <c r="P725">
        <f>IF(AND($K725=1,AND(对接源_01水果!$X725="公司筐",N(对接源_01水果!$T725)&lt;&gt;0)),1,0)</f>
        <v>0</v>
      </c>
      <c r="Q725">
        <f>N(Q724)+$P725</f>
        <v>0</v>
      </c>
      <c r="R725">
        <f>IF(AND($K725=1,AND(对接源_01水果!$X725="公司筐",N(对接源_01水果!$U725)&lt;&gt;0)),1,0)</f>
        <v>0</v>
      </c>
      <c r="S725">
        <f>N(S724)+$R725</f>
        <v>0</v>
      </c>
      <c r="T725">
        <f>IF(AND($K725=1,AND(对接源_01水果!$X725="公司筐",N(对接源_01水果!$V725)&lt;&gt;0)),1,0)</f>
        <v>0</v>
      </c>
      <c r="U725">
        <f>N(U724)+$T725</f>
        <v>47</v>
      </c>
      <c r="V725">
        <f>IF(AND($L725=1,AND(对接源_01水果!$X725="自备筐",N(对接源_01水果!$V725)&lt;&gt;0)),1,0)</f>
        <v>0</v>
      </c>
      <c r="W725">
        <f>N(W724)+$V725</f>
        <v>11</v>
      </c>
      <c r="X725">
        <f>IF(AND($L725=1,AND(对接源_01水果!$X725="自备筐",N(对接源_01水果!$T725)&lt;&gt;0)),1,0)</f>
        <v>0</v>
      </c>
      <c r="Y725">
        <f>N(Y724)+$X725</f>
        <v>0</v>
      </c>
      <c r="Z725">
        <f>IF(AND($M725=1,对接源_01水果!$D725="原料入库"),1,0)</f>
        <v>0</v>
      </c>
      <c r="AA725">
        <f>N(AA724)+$Z725</f>
        <v>24</v>
      </c>
      <c r="AB725">
        <f>IF(AND($M725=1,LEFT(对接源_01水果!$D725,4)="原料出库"),1,0)</f>
        <v>0</v>
      </c>
      <c r="AC725">
        <f>N(AC724)+$AB725</f>
        <v>0</v>
      </c>
      <c r="AD725">
        <f>IF(AND($M725=1,LEFT(对接源_01水果!$D725,4)="成品出库"),1,0)</f>
        <v>0</v>
      </c>
      <c r="AE725">
        <f>N(AE724)+$AD725</f>
        <v>0</v>
      </c>
      <c r="AF725">
        <f>IF(AND($N725=1,AND(LEFT(对接源_01水果!$D725,4)="包装物料",N(对接源_01水果!$K725)&lt;&gt;0)),1,0)</f>
        <v>0</v>
      </c>
      <c r="AG725">
        <f>N(AG724)+$AF725</f>
        <v>0</v>
      </c>
      <c r="AH725">
        <f>IF(AND($N725=1,AND(对接源_01水果!$D725="周转筐－销售出库",N(对接源_01水果!$K725)&lt;&gt;0)),1,0)</f>
        <v>0</v>
      </c>
      <c r="AI725">
        <f>N(AI724)+$AH725</f>
        <v>0</v>
      </c>
      <c r="AJ725" s="7" t="n"/>
      <c r="AL725">
        <f>IF(OR($AL$1="",对接源_01水果!$Y725="",对接源_01水果!$Y725&lt;&gt;$AL$1,对接源_01水果!$B725="",N(对接源_01水果!$AJ725)&lt;=0),0,IF(OR(N(对接源_01水果!$B725)&lt;$AL$2,N(对接源_01水果!$B725)&gt;$AL$3),0,1))</f>
        <v>0</v>
      </c>
      <c r="AM725">
        <f>N(AM724)+$AL725</f>
        <v>2</v>
      </c>
      <c r="AN725">
        <f>IF(对接源_01水果!$AC725="","",对接源_01水果!$AC725)</f>
      </c>
      <c r="AO725">
        <f>IF(AN725="",0,IF(MATCH(AN725,$AN$4:$AN$1203,0)=ROW()-3,1,0))</f>
        <v>0</v>
      </c>
      <c r="AP725">
        <f>N(AP724)+$AO725</f>
        <v>13</v>
      </c>
      <c r="AR725">
        <f>IF(OR($AF725=1,$AH725=1),1,0)</f>
        <v>0</v>
      </c>
      <c r="AS725">
        <f>N(AS724)+$AR725</f>
        <v>0</v>
      </c>
    </row>
    <row r="726" ht="14.25" customHeight="1" s="127">
      <c r="A726">
        <f>IF(对接源_01水果!$C726="","",对接源_01水果!$C726)</f>
      </c>
      <c r="B726">
        <f>IF(A726="",0,IF(MATCH(A726,$A$4:$A$2403,0)=ROW()-3,1,0))</f>
        <v>0</v>
      </c>
      <c r="C726">
        <f>N(C725)+B726</f>
        <v>22</v>
      </c>
      <c r="K726">
        <f>IF(OR($K$1="",对接源_01水果!$C726="",对接源_01水果!$C726&lt;&gt;$K$1,对接源_01水果!$B726=""),0,IF(OR(N(对接源_01水果!$B726)&lt;$K$2,N(对接源_01水果!$B726)&gt;$K$3),0,1))</f>
        <v>0</v>
      </c>
      <c r="L726">
        <f>IF(OR($L$1="",对接源_01水果!$C726="",对接源_01水果!$C726&lt;&gt;$L$1,对接源_01水果!$B726=""),0,IF(OR(N(对接源_01水果!$B726)&lt;$L$2,N(对接源_01水果!$B726)&gt;$L$3),0,1))</f>
        <v>0</v>
      </c>
      <c r="M726">
        <f>IF(OR($M$1="",对接源_01水果!$C726="",对接源_01水果!$C726&lt;&gt;$M$1,对接源_01水果!$B726=""),0,IF(OR(N(对接源_01水果!$B726)&lt;$M$2,N(对接源_01水果!$B726)&gt;$M$3),0,1))</f>
        <v>0</v>
      </c>
      <c r="N726">
        <f>IF(OR($N$1="",对接源_01水果!$C726="",对接源_01水果!$C726&lt;&gt;$N$1,对接源_01水果!$B726=""),0,IF(OR(N(对接源_01水果!$B726)&lt;$N$2,N(对接源_01水果!$B726)&gt;$N$3),0,1))</f>
        <v>0</v>
      </c>
      <c r="P726">
        <f>IF(AND($K726=1,AND(对接源_01水果!$X726="公司筐",N(对接源_01水果!$T726)&lt;&gt;0)),1,0)</f>
        <v>0</v>
      </c>
      <c r="Q726">
        <f>N(Q725)+$P726</f>
        <v>0</v>
      </c>
      <c r="R726">
        <f>IF(AND($K726=1,AND(对接源_01水果!$X726="公司筐",N(对接源_01水果!$U726)&lt;&gt;0)),1,0)</f>
        <v>0</v>
      </c>
      <c r="S726">
        <f>N(S725)+$R726</f>
        <v>0</v>
      </c>
      <c r="T726">
        <f>IF(AND($K726=1,AND(对接源_01水果!$X726="公司筐",N(对接源_01水果!$V726)&lt;&gt;0)),1,0)</f>
        <v>0</v>
      </c>
      <c r="U726">
        <f>N(U725)+$T726</f>
        <v>47</v>
      </c>
      <c r="V726">
        <f>IF(AND($L726=1,AND(对接源_01水果!$X726="自备筐",N(对接源_01水果!$V726)&lt;&gt;0)),1,0)</f>
        <v>0</v>
      </c>
      <c r="W726">
        <f>N(W725)+$V726</f>
        <v>11</v>
      </c>
      <c r="X726">
        <f>IF(AND($L726=1,AND(对接源_01水果!$X726="自备筐",N(对接源_01水果!$T726)&lt;&gt;0)),1,0)</f>
        <v>0</v>
      </c>
      <c r="Y726">
        <f>N(Y725)+$X726</f>
        <v>0</v>
      </c>
      <c r="Z726">
        <f>IF(AND($M726=1,对接源_01水果!$D726="原料入库"),1,0)</f>
        <v>0</v>
      </c>
      <c r="AA726">
        <f>N(AA725)+$Z726</f>
        <v>24</v>
      </c>
      <c r="AB726">
        <f>IF(AND($M726=1,LEFT(对接源_01水果!$D726,4)="原料出库"),1,0)</f>
        <v>0</v>
      </c>
      <c r="AC726">
        <f>N(AC725)+$AB726</f>
        <v>0</v>
      </c>
      <c r="AD726">
        <f>IF(AND($M726=1,LEFT(对接源_01水果!$D726,4)="成品出库"),1,0)</f>
        <v>0</v>
      </c>
      <c r="AE726">
        <f>N(AE725)+$AD726</f>
        <v>0</v>
      </c>
      <c r="AF726">
        <f>IF(AND($N726=1,AND(LEFT(对接源_01水果!$D726,4)="包装物料",N(对接源_01水果!$K726)&lt;&gt;0)),1,0)</f>
        <v>0</v>
      </c>
      <c r="AG726">
        <f>N(AG725)+$AF726</f>
        <v>0</v>
      </c>
      <c r="AH726">
        <f>IF(AND($N726=1,AND(对接源_01水果!$D726="周转筐－销售出库",N(对接源_01水果!$K726)&lt;&gt;0)),1,0)</f>
        <v>0</v>
      </c>
      <c r="AI726">
        <f>N(AI725)+$AH726</f>
        <v>0</v>
      </c>
      <c r="AJ726" s="7" t="n"/>
      <c r="AL726">
        <f>IF(OR($AL$1="",对接源_01水果!$Y726="",对接源_01水果!$Y726&lt;&gt;$AL$1,对接源_01水果!$B726="",N(对接源_01水果!$AJ726)&lt;=0),0,IF(OR(N(对接源_01水果!$B726)&lt;$AL$2,N(对接源_01水果!$B726)&gt;$AL$3),0,1))</f>
        <v>0</v>
      </c>
      <c r="AM726">
        <f>N(AM725)+$AL726</f>
        <v>2</v>
      </c>
      <c r="AN726">
        <f>IF(对接源_01水果!$AC726="","",对接源_01水果!$AC726)</f>
      </c>
      <c r="AO726">
        <f>IF(AN726="",0,IF(MATCH(AN726,$AN$4:$AN$1203,0)=ROW()-3,1,0))</f>
        <v>0</v>
      </c>
      <c r="AP726">
        <f>N(AP725)+$AO726</f>
        <v>13</v>
      </c>
      <c r="AR726">
        <f>IF(OR($AF726=1,$AH726=1),1,0)</f>
        <v>0</v>
      </c>
      <c r="AS726">
        <f>N(AS725)+$AR726</f>
        <v>0</v>
      </c>
    </row>
    <row r="727" ht="14.25" customHeight="1" s="127">
      <c r="A727">
        <f>IF(对接源_01水果!$C727="","",对接源_01水果!$C727)</f>
      </c>
      <c r="B727">
        <f>IF(A727="",0,IF(MATCH(A727,$A$4:$A$2403,0)=ROW()-3,1,0))</f>
        <v>0</v>
      </c>
      <c r="C727">
        <f>N(C726)+B727</f>
        <v>22</v>
      </c>
      <c r="K727">
        <f>IF(OR($K$1="",对接源_01水果!$C727="",对接源_01水果!$C727&lt;&gt;$K$1,对接源_01水果!$B727=""),0,IF(OR(N(对接源_01水果!$B727)&lt;$K$2,N(对接源_01水果!$B727)&gt;$K$3),0,1))</f>
        <v>0</v>
      </c>
      <c r="L727">
        <f>IF(OR($L$1="",对接源_01水果!$C727="",对接源_01水果!$C727&lt;&gt;$L$1,对接源_01水果!$B727=""),0,IF(OR(N(对接源_01水果!$B727)&lt;$L$2,N(对接源_01水果!$B727)&gt;$L$3),0,1))</f>
        <v>0</v>
      </c>
      <c r="M727">
        <f>IF(OR($M$1="",对接源_01水果!$C727="",对接源_01水果!$C727&lt;&gt;$M$1,对接源_01水果!$B727=""),0,IF(OR(N(对接源_01水果!$B727)&lt;$M$2,N(对接源_01水果!$B727)&gt;$M$3),0,1))</f>
        <v>0</v>
      </c>
      <c r="N727">
        <f>IF(OR($N$1="",对接源_01水果!$C727="",对接源_01水果!$C727&lt;&gt;$N$1,对接源_01水果!$B727=""),0,IF(OR(N(对接源_01水果!$B727)&lt;$N$2,N(对接源_01水果!$B727)&gt;$N$3),0,1))</f>
        <v>0</v>
      </c>
      <c r="P727">
        <f>IF(AND($K727=1,AND(对接源_01水果!$X727="公司筐",N(对接源_01水果!$T727)&lt;&gt;0)),1,0)</f>
        <v>0</v>
      </c>
      <c r="Q727">
        <f>N(Q726)+$P727</f>
        <v>0</v>
      </c>
      <c r="R727">
        <f>IF(AND($K727=1,AND(对接源_01水果!$X727="公司筐",N(对接源_01水果!$U727)&lt;&gt;0)),1,0)</f>
        <v>0</v>
      </c>
      <c r="S727">
        <f>N(S726)+$R727</f>
        <v>0</v>
      </c>
      <c r="T727">
        <f>IF(AND($K727=1,AND(对接源_01水果!$X727="公司筐",N(对接源_01水果!$V727)&lt;&gt;0)),1,0)</f>
        <v>0</v>
      </c>
      <c r="U727">
        <f>N(U726)+$T727</f>
        <v>47</v>
      </c>
      <c r="V727">
        <f>IF(AND($L727=1,AND(对接源_01水果!$X727="自备筐",N(对接源_01水果!$V727)&lt;&gt;0)),1,0)</f>
        <v>0</v>
      </c>
      <c r="W727">
        <f>N(W726)+$V727</f>
        <v>11</v>
      </c>
      <c r="X727">
        <f>IF(AND($L727=1,AND(对接源_01水果!$X727="自备筐",N(对接源_01水果!$T727)&lt;&gt;0)),1,0)</f>
        <v>0</v>
      </c>
      <c r="Y727">
        <f>N(Y726)+$X727</f>
        <v>0</v>
      </c>
      <c r="Z727">
        <f>IF(AND($M727=1,对接源_01水果!$D727="原料入库"),1,0)</f>
        <v>0</v>
      </c>
      <c r="AA727">
        <f>N(AA726)+$Z727</f>
        <v>24</v>
      </c>
      <c r="AB727">
        <f>IF(AND($M727=1,LEFT(对接源_01水果!$D727,4)="原料出库"),1,0)</f>
        <v>0</v>
      </c>
      <c r="AC727">
        <f>N(AC726)+$AB727</f>
        <v>0</v>
      </c>
      <c r="AD727">
        <f>IF(AND($M727=1,LEFT(对接源_01水果!$D727,4)="成品出库"),1,0)</f>
        <v>0</v>
      </c>
      <c r="AE727">
        <f>N(AE726)+$AD727</f>
        <v>0</v>
      </c>
      <c r="AF727">
        <f>IF(AND($N727=1,AND(LEFT(对接源_01水果!$D727,4)="包装物料",N(对接源_01水果!$K727)&lt;&gt;0)),1,0)</f>
        <v>0</v>
      </c>
      <c r="AG727">
        <f>N(AG726)+$AF727</f>
        <v>0</v>
      </c>
      <c r="AH727">
        <f>IF(AND($N727=1,AND(对接源_01水果!$D727="周转筐－销售出库",N(对接源_01水果!$K727)&lt;&gt;0)),1,0)</f>
        <v>0</v>
      </c>
      <c r="AI727">
        <f>N(AI726)+$AH727</f>
        <v>0</v>
      </c>
      <c r="AJ727" s="7" t="n"/>
      <c r="AL727">
        <f>IF(OR($AL$1="",对接源_01水果!$Y727="",对接源_01水果!$Y727&lt;&gt;$AL$1,对接源_01水果!$B727="",N(对接源_01水果!$AJ727)&lt;=0),0,IF(OR(N(对接源_01水果!$B727)&lt;$AL$2,N(对接源_01水果!$B727)&gt;$AL$3),0,1))</f>
        <v>0</v>
      </c>
      <c r="AM727">
        <f>N(AM726)+$AL727</f>
        <v>2</v>
      </c>
      <c r="AN727">
        <f>IF(对接源_01水果!$AC727="","",对接源_01水果!$AC727)</f>
      </c>
      <c r="AO727">
        <f>IF(AN727="",0,IF(MATCH(AN727,$AN$4:$AN$1203,0)=ROW()-3,1,0))</f>
        <v>0</v>
      </c>
      <c r="AP727">
        <f>N(AP726)+$AO727</f>
        <v>13</v>
      </c>
      <c r="AR727">
        <f>IF(OR($AF727=1,$AH727=1),1,0)</f>
        <v>0</v>
      </c>
      <c r="AS727">
        <f>N(AS726)+$AR727</f>
        <v>0</v>
      </c>
    </row>
    <row r="728" ht="14.25" customHeight="1" s="127">
      <c r="A728">
        <f>IF(对接源_01水果!$C728="","",对接源_01水果!$C728)</f>
      </c>
      <c r="B728">
        <f>IF(A728="",0,IF(MATCH(A728,$A$4:$A$2403,0)=ROW()-3,1,0))</f>
        <v>0</v>
      </c>
      <c r="C728">
        <f>N(C727)+B728</f>
        <v>22</v>
      </c>
      <c r="K728">
        <f>IF(OR($K$1="",对接源_01水果!$C728="",对接源_01水果!$C728&lt;&gt;$K$1,对接源_01水果!$B728=""),0,IF(OR(N(对接源_01水果!$B728)&lt;$K$2,N(对接源_01水果!$B728)&gt;$K$3),0,1))</f>
        <v>0</v>
      </c>
      <c r="L728">
        <f>IF(OR($L$1="",对接源_01水果!$C728="",对接源_01水果!$C728&lt;&gt;$L$1,对接源_01水果!$B728=""),0,IF(OR(N(对接源_01水果!$B728)&lt;$L$2,N(对接源_01水果!$B728)&gt;$L$3),0,1))</f>
        <v>0</v>
      </c>
      <c r="M728">
        <f>IF(OR($M$1="",对接源_01水果!$C728="",对接源_01水果!$C728&lt;&gt;$M$1,对接源_01水果!$B728=""),0,IF(OR(N(对接源_01水果!$B728)&lt;$M$2,N(对接源_01水果!$B728)&gt;$M$3),0,1))</f>
        <v>0</v>
      </c>
      <c r="N728">
        <f>IF(OR($N$1="",对接源_01水果!$C728="",对接源_01水果!$C728&lt;&gt;$N$1,对接源_01水果!$B728=""),0,IF(OR(N(对接源_01水果!$B728)&lt;$N$2,N(对接源_01水果!$B728)&gt;$N$3),0,1))</f>
        <v>0</v>
      </c>
      <c r="P728">
        <f>IF(AND($K728=1,AND(对接源_01水果!$X728="公司筐",N(对接源_01水果!$T728)&lt;&gt;0)),1,0)</f>
        <v>0</v>
      </c>
      <c r="Q728">
        <f>N(Q727)+$P728</f>
        <v>0</v>
      </c>
      <c r="R728">
        <f>IF(AND($K728=1,AND(对接源_01水果!$X728="公司筐",N(对接源_01水果!$U728)&lt;&gt;0)),1,0)</f>
        <v>0</v>
      </c>
      <c r="S728">
        <f>N(S727)+$R728</f>
        <v>0</v>
      </c>
      <c r="T728">
        <f>IF(AND($K728=1,AND(对接源_01水果!$X728="公司筐",N(对接源_01水果!$V728)&lt;&gt;0)),1,0)</f>
        <v>0</v>
      </c>
      <c r="U728">
        <f>N(U727)+$T728</f>
        <v>47</v>
      </c>
      <c r="V728">
        <f>IF(AND($L728=1,AND(对接源_01水果!$X728="自备筐",N(对接源_01水果!$V728)&lt;&gt;0)),1,0)</f>
        <v>0</v>
      </c>
      <c r="W728">
        <f>N(W727)+$V728</f>
        <v>11</v>
      </c>
      <c r="X728">
        <f>IF(AND($L728=1,AND(对接源_01水果!$X728="自备筐",N(对接源_01水果!$T728)&lt;&gt;0)),1,0)</f>
        <v>0</v>
      </c>
      <c r="Y728">
        <f>N(Y727)+$X728</f>
        <v>0</v>
      </c>
      <c r="Z728">
        <f>IF(AND($M728=1,对接源_01水果!$D728="原料入库"),1,0)</f>
        <v>0</v>
      </c>
      <c r="AA728">
        <f>N(AA727)+$Z728</f>
        <v>24</v>
      </c>
      <c r="AB728">
        <f>IF(AND($M728=1,LEFT(对接源_01水果!$D728,4)="原料出库"),1,0)</f>
        <v>0</v>
      </c>
      <c r="AC728">
        <f>N(AC727)+$AB728</f>
        <v>0</v>
      </c>
      <c r="AD728">
        <f>IF(AND($M728=1,LEFT(对接源_01水果!$D728,4)="成品出库"),1,0)</f>
        <v>0</v>
      </c>
      <c r="AE728">
        <f>N(AE727)+$AD728</f>
        <v>0</v>
      </c>
      <c r="AF728">
        <f>IF(AND($N728=1,AND(LEFT(对接源_01水果!$D728,4)="包装物料",N(对接源_01水果!$K728)&lt;&gt;0)),1,0)</f>
        <v>0</v>
      </c>
      <c r="AG728">
        <f>N(AG727)+$AF728</f>
        <v>0</v>
      </c>
      <c r="AH728">
        <f>IF(AND($N728=1,AND(对接源_01水果!$D728="周转筐－销售出库",N(对接源_01水果!$K728)&lt;&gt;0)),1,0)</f>
        <v>0</v>
      </c>
      <c r="AI728">
        <f>N(AI727)+$AH728</f>
        <v>0</v>
      </c>
      <c r="AJ728" s="7" t="n"/>
      <c r="AL728">
        <f>IF(OR($AL$1="",对接源_01水果!$Y728="",对接源_01水果!$Y728&lt;&gt;$AL$1,对接源_01水果!$B728="",N(对接源_01水果!$AJ728)&lt;=0),0,IF(OR(N(对接源_01水果!$B728)&lt;$AL$2,N(对接源_01水果!$B728)&gt;$AL$3),0,1))</f>
        <v>0</v>
      </c>
      <c r="AM728">
        <f>N(AM727)+$AL728</f>
        <v>2</v>
      </c>
      <c r="AN728">
        <f>IF(对接源_01水果!$AC728="","",对接源_01水果!$AC728)</f>
      </c>
      <c r="AO728">
        <f>IF(AN728="",0,IF(MATCH(AN728,$AN$4:$AN$1203,0)=ROW()-3,1,0))</f>
        <v>0</v>
      </c>
      <c r="AP728">
        <f>N(AP727)+$AO728</f>
        <v>13</v>
      </c>
      <c r="AR728">
        <f>IF(OR($AF728=1,$AH728=1),1,0)</f>
        <v>0</v>
      </c>
      <c r="AS728">
        <f>N(AS727)+$AR728</f>
        <v>0</v>
      </c>
    </row>
    <row r="729" ht="14.25" customHeight="1" s="127">
      <c r="A729">
        <f>IF(对接源_01水果!$C729="","",对接源_01水果!$C729)</f>
      </c>
      <c r="B729">
        <f>IF(A729="",0,IF(MATCH(A729,$A$4:$A$2403,0)=ROW()-3,1,0))</f>
        <v>0</v>
      </c>
      <c r="C729">
        <f>N(C728)+B729</f>
        <v>22</v>
      </c>
      <c r="K729">
        <f>IF(OR($K$1="",对接源_01水果!$C729="",对接源_01水果!$C729&lt;&gt;$K$1,对接源_01水果!$B729=""),0,IF(OR(N(对接源_01水果!$B729)&lt;$K$2,N(对接源_01水果!$B729)&gt;$K$3),0,1))</f>
        <v>0</v>
      </c>
      <c r="L729">
        <f>IF(OR($L$1="",对接源_01水果!$C729="",对接源_01水果!$C729&lt;&gt;$L$1,对接源_01水果!$B729=""),0,IF(OR(N(对接源_01水果!$B729)&lt;$L$2,N(对接源_01水果!$B729)&gt;$L$3),0,1))</f>
        <v>0</v>
      </c>
      <c r="M729">
        <f>IF(OR($M$1="",对接源_01水果!$C729="",对接源_01水果!$C729&lt;&gt;$M$1,对接源_01水果!$B729=""),0,IF(OR(N(对接源_01水果!$B729)&lt;$M$2,N(对接源_01水果!$B729)&gt;$M$3),0,1))</f>
        <v>0</v>
      </c>
      <c r="N729">
        <f>IF(OR($N$1="",对接源_01水果!$C729="",对接源_01水果!$C729&lt;&gt;$N$1,对接源_01水果!$B729=""),0,IF(OR(N(对接源_01水果!$B729)&lt;$N$2,N(对接源_01水果!$B729)&gt;$N$3),0,1))</f>
        <v>0</v>
      </c>
      <c r="P729">
        <f>IF(AND($K729=1,AND(对接源_01水果!$X729="公司筐",N(对接源_01水果!$T729)&lt;&gt;0)),1,0)</f>
        <v>0</v>
      </c>
      <c r="Q729">
        <f>N(Q728)+$P729</f>
        <v>0</v>
      </c>
      <c r="R729">
        <f>IF(AND($K729=1,AND(对接源_01水果!$X729="公司筐",N(对接源_01水果!$U729)&lt;&gt;0)),1,0)</f>
        <v>0</v>
      </c>
      <c r="S729">
        <f>N(S728)+$R729</f>
        <v>0</v>
      </c>
      <c r="T729">
        <f>IF(AND($K729=1,AND(对接源_01水果!$X729="公司筐",N(对接源_01水果!$V729)&lt;&gt;0)),1,0)</f>
        <v>0</v>
      </c>
      <c r="U729">
        <f>N(U728)+$T729</f>
        <v>47</v>
      </c>
      <c r="V729">
        <f>IF(AND($L729=1,AND(对接源_01水果!$X729="自备筐",N(对接源_01水果!$V729)&lt;&gt;0)),1,0)</f>
        <v>0</v>
      </c>
      <c r="W729">
        <f>N(W728)+$V729</f>
        <v>11</v>
      </c>
      <c r="X729">
        <f>IF(AND($L729=1,AND(对接源_01水果!$X729="自备筐",N(对接源_01水果!$T729)&lt;&gt;0)),1,0)</f>
        <v>0</v>
      </c>
      <c r="Y729">
        <f>N(Y728)+$X729</f>
        <v>0</v>
      </c>
      <c r="Z729">
        <f>IF(AND($M729=1,对接源_01水果!$D729="原料入库"),1,0)</f>
        <v>0</v>
      </c>
      <c r="AA729">
        <f>N(AA728)+$Z729</f>
        <v>24</v>
      </c>
      <c r="AB729">
        <f>IF(AND($M729=1,LEFT(对接源_01水果!$D729,4)="原料出库"),1,0)</f>
        <v>0</v>
      </c>
      <c r="AC729">
        <f>N(AC728)+$AB729</f>
        <v>0</v>
      </c>
      <c r="AD729">
        <f>IF(AND($M729=1,LEFT(对接源_01水果!$D729,4)="成品出库"),1,0)</f>
        <v>0</v>
      </c>
      <c r="AE729">
        <f>N(AE728)+$AD729</f>
        <v>0</v>
      </c>
      <c r="AF729">
        <f>IF(AND($N729=1,AND(LEFT(对接源_01水果!$D729,4)="包装物料",N(对接源_01水果!$K729)&lt;&gt;0)),1,0)</f>
        <v>0</v>
      </c>
      <c r="AG729">
        <f>N(AG728)+$AF729</f>
        <v>0</v>
      </c>
      <c r="AH729">
        <f>IF(AND($N729=1,AND(对接源_01水果!$D729="周转筐－销售出库",N(对接源_01水果!$K729)&lt;&gt;0)),1,0)</f>
        <v>0</v>
      </c>
      <c r="AI729">
        <f>N(AI728)+$AH729</f>
        <v>0</v>
      </c>
      <c r="AJ729" s="7" t="n"/>
      <c r="AL729">
        <f>IF(OR($AL$1="",对接源_01水果!$Y729="",对接源_01水果!$Y729&lt;&gt;$AL$1,对接源_01水果!$B729="",N(对接源_01水果!$AJ729)&lt;=0),0,IF(OR(N(对接源_01水果!$B729)&lt;$AL$2,N(对接源_01水果!$B729)&gt;$AL$3),0,1))</f>
        <v>0</v>
      </c>
      <c r="AM729">
        <f>N(AM728)+$AL729</f>
        <v>2</v>
      </c>
      <c r="AN729">
        <f>IF(对接源_01水果!$AC729="","",对接源_01水果!$AC729)</f>
      </c>
      <c r="AO729">
        <f>IF(AN729="",0,IF(MATCH(AN729,$AN$4:$AN$1203,0)=ROW()-3,1,0))</f>
        <v>0</v>
      </c>
      <c r="AP729">
        <f>N(AP728)+$AO729</f>
        <v>13</v>
      </c>
      <c r="AR729">
        <f>IF(OR($AF729=1,$AH729=1),1,0)</f>
        <v>0</v>
      </c>
      <c r="AS729">
        <f>N(AS728)+$AR729</f>
        <v>0</v>
      </c>
    </row>
    <row r="730" ht="14.25" customHeight="1" s="127">
      <c r="A730">
        <f>IF(对接源_01水果!$C730="","",对接源_01水果!$C730)</f>
      </c>
      <c r="B730">
        <f>IF(A730="",0,IF(MATCH(A730,$A$4:$A$2403,0)=ROW()-3,1,0))</f>
        <v>0</v>
      </c>
      <c r="C730">
        <f>N(C729)+B730</f>
        <v>22</v>
      </c>
      <c r="K730">
        <f>IF(OR($K$1="",对接源_01水果!$C730="",对接源_01水果!$C730&lt;&gt;$K$1,对接源_01水果!$B730=""),0,IF(OR(N(对接源_01水果!$B730)&lt;$K$2,N(对接源_01水果!$B730)&gt;$K$3),0,1))</f>
        <v>0</v>
      </c>
      <c r="L730">
        <f>IF(OR($L$1="",对接源_01水果!$C730="",对接源_01水果!$C730&lt;&gt;$L$1,对接源_01水果!$B730=""),0,IF(OR(N(对接源_01水果!$B730)&lt;$L$2,N(对接源_01水果!$B730)&gt;$L$3),0,1))</f>
        <v>0</v>
      </c>
      <c r="M730">
        <f>IF(OR($M$1="",对接源_01水果!$C730="",对接源_01水果!$C730&lt;&gt;$M$1,对接源_01水果!$B730=""),0,IF(OR(N(对接源_01水果!$B730)&lt;$M$2,N(对接源_01水果!$B730)&gt;$M$3),0,1))</f>
        <v>0</v>
      </c>
      <c r="N730">
        <f>IF(OR($N$1="",对接源_01水果!$C730="",对接源_01水果!$C730&lt;&gt;$N$1,对接源_01水果!$B730=""),0,IF(OR(N(对接源_01水果!$B730)&lt;$N$2,N(对接源_01水果!$B730)&gt;$N$3),0,1))</f>
        <v>0</v>
      </c>
      <c r="P730">
        <f>IF(AND($K730=1,AND(对接源_01水果!$X730="公司筐",N(对接源_01水果!$T730)&lt;&gt;0)),1,0)</f>
        <v>0</v>
      </c>
      <c r="Q730">
        <f>N(Q729)+$P730</f>
        <v>0</v>
      </c>
      <c r="R730">
        <f>IF(AND($K730=1,AND(对接源_01水果!$X730="公司筐",N(对接源_01水果!$U730)&lt;&gt;0)),1,0)</f>
        <v>0</v>
      </c>
      <c r="S730">
        <f>N(S729)+$R730</f>
        <v>0</v>
      </c>
      <c r="T730">
        <f>IF(AND($K730=1,AND(对接源_01水果!$X730="公司筐",N(对接源_01水果!$V730)&lt;&gt;0)),1,0)</f>
        <v>0</v>
      </c>
      <c r="U730">
        <f>N(U729)+$T730</f>
        <v>47</v>
      </c>
      <c r="V730">
        <f>IF(AND($L730=1,AND(对接源_01水果!$X730="自备筐",N(对接源_01水果!$V730)&lt;&gt;0)),1,0)</f>
        <v>0</v>
      </c>
      <c r="W730">
        <f>N(W729)+$V730</f>
        <v>11</v>
      </c>
      <c r="X730">
        <f>IF(AND($L730=1,AND(对接源_01水果!$X730="自备筐",N(对接源_01水果!$T730)&lt;&gt;0)),1,0)</f>
        <v>0</v>
      </c>
      <c r="Y730">
        <f>N(Y729)+$X730</f>
        <v>0</v>
      </c>
      <c r="Z730">
        <f>IF(AND($M730=1,对接源_01水果!$D730="原料入库"),1,0)</f>
        <v>0</v>
      </c>
      <c r="AA730">
        <f>N(AA729)+$Z730</f>
        <v>24</v>
      </c>
      <c r="AB730">
        <f>IF(AND($M730=1,LEFT(对接源_01水果!$D730,4)="原料出库"),1,0)</f>
        <v>0</v>
      </c>
      <c r="AC730">
        <f>N(AC729)+$AB730</f>
        <v>0</v>
      </c>
      <c r="AD730">
        <f>IF(AND($M730=1,LEFT(对接源_01水果!$D730,4)="成品出库"),1,0)</f>
        <v>0</v>
      </c>
      <c r="AE730">
        <f>N(AE729)+$AD730</f>
        <v>0</v>
      </c>
      <c r="AF730">
        <f>IF(AND($N730=1,AND(LEFT(对接源_01水果!$D730,4)="包装物料",N(对接源_01水果!$K730)&lt;&gt;0)),1,0)</f>
        <v>0</v>
      </c>
      <c r="AG730">
        <f>N(AG729)+$AF730</f>
        <v>0</v>
      </c>
      <c r="AH730">
        <f>IF(AND($N730=1,AND(对接源_01水果!$D730="周转筐－销售出库",N(对接源_01水果!$K730)&lt;&gt;0)),1,0)</f>
        <v>0</v>
      </c>
      <c r="AI730">
        <f>N(AI729)+$AH730</f>
        <v>0</v>
      </c>
      <c r="AJ730" s="7" t="n"/>
      <c r="AL730">
        <f>IF(OR($AL$1="",对接源_01水果!$Y730="",对接源_01水果!$Y730&lt;&gt;$AL$1,对接源_01水果!$B730="",N(对接源_01水果!$AJ730)&lt;=0),0,IF(OR(N(对接源_01水果!$B730)&lt;$AL$2,N(对接源_01水果!$B730)&gt;$AL$3),0,1))</f>
        <v>0</v>
      </c>
      <c r="AM730">
        <f>N(AM729)+$AL730</f>
        <v>2</v>
      </c>
      <c r="AN730">
        <f>IF(对接源_01水果!$AC730="","",对接源_01水果!$AC730)</f>
      </c>
      <c r="AO730">
        <f>IF(AN730="",0,IF(MATCH(AN730,$AN$4:$AN$1203,0)=ROW()-3,1,0))</f>
        <v>0</v>
      </c>
      <c r="AP730">
        <f>N(AP729)+$AO730</f>
        <v>13</v>
      </c>
      <c r="AR730">
        <f>IF(OR($AF730=1,$AH730=1),1,0)</f>
        <v>0</v>
      </c>
      <c r="AS730">
        <f>N(AS729)+$AR730</f>
        <v>0</v>
      </c>
    </row>
    <row r="731" ht="14.25" customHeight="1" s="127">
      <c r="A731">
        <f>IF(对接源_01水果!$C731="","",对接源_01水果!$C731)</f>
      </c>
      <c r="B731">
        <f>IF(A731="",0,IF(MATCH(A731,$A$4:$A$2403,0)=ROW()-3,1,0))</f>
        <v>0</v>
      </c>
      <c r="C731">
        <f>N(C730)+B731</f>
        <v>22</v>
      </c>
      <c r="K731">
        <f>IF(OR($K$1="",对接源_01水果!$C731="",对接源_01水果!$C731&lt;&gt;$K$1,对接源_01水果!$B731=""),0,IF(OR(N(对接源_01水果!$B731)&lt;$K$2,N(对接源_01水果!$B731)&gt;$K$3),0,1))</f>
        <v>0</v>
      </c>
      <c r="L731">
        <f>IF(OR($L$1="",对接源_01水果!$C731="",对接源_01水果!$C731&lt;&gt;$L$1,对接源_01水果!$B731=""),0,IF(OR(N(对接源_01水果!$B731)&lt;$L$2,N(对接源_01水果!$B731)&gt;$L$3),0,1))</f>
        <v>0</v>
      </c>
      <c r="M731">
        <f>IF(OR($M$1="",对接源_01水果!$C731="",对接源_01水果!$C731&lt;&gt;$M$1,对接源_01水果!$B731=""),0,IF(OR(N(对接源_01水果!$B731)&lt;$M$2,N(对接源_01水果!$B731)&gt;$M$3),0,1))</f>
        <v>0</v>
      </c>
      <c r="N731">
        <f>IF(OR($N$1="",对接源_01水果!$C731="",对接源_01水果!$C731&lt;&gt;$N$1,对接源_01水果!$B731=""),0,IF(OR(N(对接源_01水果!$B731)&lt;$N$2,N(对接源_01水果!$B731)&gt;$N$3),0,1))</f>
        <v>0</v>
      </c>
      <c r="P731">
        <f>IF(AND($K731=1,AND(对接源_01水果!$X731="公司筐",N(对接源_01水果!$T731)&lt;&gt;0)),1,0)</f>
        <v>0</v>
      </c>
      <c r="Q731">
        <f>N(Q730)+$P731</f>
        <v>0</v>
      </c>
      <c r="R731">
        <f>IF(AND($K731=1,AND(对接源_01水果!$X731="公司筐",N(对接源_01水果!$U731)&lt;&gt;0)),1,0)</f>
        <v>0</v>
      </c>
      <c r="S731">
        <f>N(S730)+$R731</f>
        <v>0</v>
      </c>
      <c r="T731">
        <f>IF(AND($K731=1,AND(对接源_01水果!$X731="公司筐",N(对接源_01水果!$V731)&lt;&gt;0)),1,0)</f>
        <v>0</v>
      </c>
      <c r="U731">
        <f>N(U730)+$T731</f>
        <v>47</v>
      </c>
      <c r="V731">
        <f>IF(AND($L731=1,AND(对接源_01水果!$X731="自备筐",N(对接源_01水果!$V731)&lt;&gt;0)),1,0)</f>
        <v>0</v>
      </c>
      <c r="W731">
        <f>N(W730)+$V731</f>
        <v>11</v>
      </c>
      <c r="X731">
        <f>IF(AND($L731=1,AND(对接源_01水果!$X731="自备筐",N(对接源_01水果!$T731)&lt;&gt;0)),1,0)</f>
        <v>0</v>
      </c>
      <c r="Y731">
        <f>N(Y730)+$X731</f>
        <v>0</v>
      </c>
      <c r="Z731">
        <f>IF(AND($M731=1,对接源_01水果!$D731="原料入库"),1,0)</f>
        <v>0</v>
      </c>
      <c r="AA731">
        <f>N(AA730)+$Z731</f>
        <v>24</v>
      </c>
      <c r="AB731">
        <f>IF(AND($M731=1,LEFT(对接源_01水果!$D731,4)="原料出库"),1,0)</f>
        <v>0</v>
      </c>
      <c r="AC731">
        <f>N(AC730)+$AB731</f>
        <v>0</v>
      </c>
      <c r="AD731">
        <f>IF(AND($M731=1,LEFT(对接源_01水果!$D731,4)="成品出库"),1,0)</f>
        <v>0</v>
      </c>
      <c r="AE731">
        <f>N(AE730)+$AD731</f>
        <v>0</v>
      </c>
      <c r="AF731">
        <f>IF(AND($N731=1,AND(LEFT(对接源_01水果!$D731,4)="包装物料",N(对接源_01水果!$K731)&lt;&gt;0)),1,0)</f>
        <v>0</v>
      </c>
      <c r="AG731">
        <f>N(AG730)+$AF731</f>
        <v>0</v>
      </c>
      <c r="AH731">
        <f>IF(AND($N731=1,AND(对接源_01水果!$D731="周转筐－销售出库",N(对接源_01水果!$K731)&lt;&gt;0)),1,0)</f>
        <v>0</v>
      </c>
      <c r="AI731">
        <f>N(AI730)+$AH731</f>
        <v>0</v>
      </c>
      <c r="AJ731" s="7" t="n"/>
      <c r="AL731">
        <f>IF(OR($AL$1="",对接源_01水果!$Y731="",对接源_01水果!$Y731&lt;&gt;$AL$1,对接源_01水果!$B731="",N(对接源_01水果!$AJ731)&lt;=0),0,IF(OR(N(对接源_01水果!$B731)&lt;$AL$2,N(对接源_01水果!$B731)&gt;$AL$3),0,1))</f>
        <v>0</v>
      </c>
      <c r="AM731">
        <f>N(AM730)+$AL731</f>
        <v>2</v>
      </c>
      <c r="AN731">
        <f>IF(对接源_01水果!$AC731="","",对接源_01水果!$AC731)</f>
      </c>
      <c r="AO731">
        <f>IF(AN731="",0,IF(MATCH(AN731,$AN$4:$AN$1203,0)=ROW()-3,1,0))</f>
        <v>0</v>
      </c>
      <c r="AP731">
        <f>N(AP730)+$AO731</f>
        <v>13</v>
      </c>
      <c r="AR731">
        <f>IF(OR($AF731=1,$AH731=1),1,0)</f>
        <v>0</v>
      </c>
      <c r="AS731">
        <f>N(AS730)+$AR731</f>
        <v>0</v>
      </c>
    </row>
    <row r="732" ht="14.25" customHeight="1" s="127">
      <c r="A732">
        <f>IF(对接源_01水果!$C732="","",对接源_01水果!$C732)</f>
      </c>
      <c r="B732">
        <f>IF(A732="",0,IF(MATCH(A732,$A$4:$A$2403,0)=ROW()-3,1,0))</f>
        <v>0</v>
      </c>
      <c r="C732">
        <f>N(C731)+B732</f>
        <v>22</v>
      </c>
      <c r="K732">
        <f>IF(OR($K$1="",对接源_01水果!$C732="",对接源_01水果!$C732&lt;&gt;$K$1,对接源_01水果!$B732=""),0,IF(OR(N(对接源_01水果!$B732)&lt;$K$2,N(对接源_01水果!$B732)&gt;$K$3),0,1))</f>
        <v>0</v>
      </c>
      <c r="L732">
        <f>IF(OR($L$1="",对接源_01水果!$C732="",对接源_01水果!$C732&lt;&gt;$L$1,对接源_01水果!$B732=""),0,IF(OR(N(对接源_01水果!$B732)&lt;$L$2,N(对接源_01水果!$B732)&gt;$L$3),0,1))</f>
        <v>0</v>
      </c>
      <c r="M732">
        <f>IF(OR($M$1="",对接源_01水果!$C732="",对接源_01水果!$C732&lt;&gt;$M$1,对接源_01水果!$B732=""),0,IF(OR(N(对接源_01水果!$B732)&lt;$M$2,N(对接源_01水果!$B732)&gt;$M$3),0,1))</f>
        <v>0</v>
      </c>
      <c r="N732">
        <f>IF(OR($N$1="",对接源_01水果!$C732="",对接源_01水果!$C732&lt;&gt;$N$1,对接源_01水果!$B732=""),0,IF(OR(N(对接源_01水果!$B732)&lt;$N$2,N(对接源_01水果!$B732)&gt;$N$3),0,1))</f>
        <v>0</v>
      </c>
      <c r="P732">
        <f>IF(AND($K732=1,AND(对接源_01水果!$X732="公司筐",N(对接源_01水果!$T732)&lt;&gt;0)),1,0)</f>
        <v>0</v>
      </c>
      <c r="Q732">
        <f>N(Q731)+$P732</f>
        <v>0</v>
      </c>
      <c r="R732">
        <f>IF(AND($K732=1,AND(对接源_01水果!$X732="公司筐",N(对接源_01水果!$U732)&lt;&gt;0)),1,0)</f>
        <v>0</v>
      </c>
      <c r="S732">
        <f>N(S731)+$R732</f>
        <v>0</v>
      </c>
      <c r="T732">
        <f>IF(AND($K732=1,AND(对接源_01水果!$X732="公司筐",N(对接源_01水果!$V732)&lt;&gt;0)),1,0)</f>
        <v>0</v>
      </c>
      <c r="U732">
        <f>N(U731)+$T732</f>
        <v>47</v>
      </c>
      <c r="V732">
        <f>IF(AND($L732=1,AND(对接源_01水果!$X732="自备筐",N(对接源_01水果!$V732)&lt;&gt;0)),1,0)</f>
        <v>0</v>
      </c>
      <c r="W732">
        <f>N(W731)+$V732</f>
        <v>11</v>
      </c>
      <c r="X732">
        <f>IF(AND($L732=1,AND(对接源_01水果!$X732="自备筐",N(对接源_01水果!$T732)&lt;&gt;0)),1,0)</f>
        <v>0</v>
      </c>
      <c r="Y732">
        <f>N(Y731)+$X732</f>
        <v>0</v>
      </c>
      <c r="Z732">
        <f>IF(AND($M732=1,对接源_01水果!$D732="原料入库"),1,0)</f>
        <v>0</v>
      </c>
      <c r="AA732">
        <f>N(AA731)+$Z732</f>
        <v>24</v>
      </c>
      <c r="AB732">
        <f>IF(AND($M732=1,LEFT(对接源_01水果!$D732,4)="原料出库"),1,0)</f>
        <v>0</v>
      </c>
      <c r="AC732">
        <f>N(AC731)+$AB732</f>
        <v>0</v>
      </c>
      <c r="AD732">
        <f>IF(AND($M732=1,LEFT(对接源_01水果!$D732,4)="成品出库"),1,0)</f>
        <v>0</v>
      </c>
      <c r="AE732">
        <f>N(AE731)+$AD732</f>
        <v>0</v>
      </c>
      <c r="AF732">
        <f>IF(AND($N732=1,AND(LEFT(对接源_01水果!$D732,4)="包装物料",N(对接源_01水果!$K732)&lt;&gt;0)),1,0)</f>
        <v>0</v>
      </c>
      <c r="AG732">
        <f>N(AG731)+$AF732</f>
        <v>0</v>
      </c>
      <c r="AH732">
        <f>IF(AND($N732=1,AND(对接源_01水果!$D732="周转筐－销售出库",N(对接源_01水果!$K732)&lt;&gt;0)),1,0)</f>
        <v>0</v>
      </c>
      <c r="AI732">
        <f>N(AI731)+$AH732</f>
        <v>0</v>
      </c>
      <c r="AJ732" s="7" t="n"/>
      <c r="AL732">
        <f>IF(OR($AL$1="",对接源_01水果!$Y732="",对接源_01水果!$Y732&lt;&gt;$AL$1,对接源_01水果!$B732="",N(对接源_01水果!$AJ732)&lt;=0),0,IF(OR(N(对接源_01水果!$B732)&lt;$AL$2,N(对接源_01水果!$B732)&gt;$AL$3),0,1))</f>
        <v>0</v>
      </c>
      <c r="AM732">
        <f>N(AM731)+$AL732</f>
        <v>2</v>
      </c>
      <c r="AN732">
        <f>IF(对接源_01水果!$AC732="","",对接源_01水果!$AC732)</f>
      </c>
      <c r="AO732">
        <f>IF(AN732="",0,IF(MATCH(AN732,$AN$4:$AN$1203,0)=ROW()-3,1,0))</f>
        <v>0</v>
      </c>
      <c r="AP732">
        <f>N(AP731)+$AO732</f>
        <v>13</v>
      </c>
      <c r="AR732">
        <f>IF(OR($AF732=1,$AH732=1),1,0)</f>
        <v>0</v>
      </c>
      <c r="AS732">
        <f>N(AS731)+$AR732</f>
        <v>0</v>
      </c>
    </row>
    <row r="733" ht="14.25" customHeight="1" s="127">
      <c r="A733">
        <f>IF(对接源_01水果!$C733="","",对接源_01水果!$C733)</f>
      </c>
      <c r="B733">
        <f>IF(A733="",0,IF(MATCH(A733,$A$4:$A$2403,0)=ROW()-3,1,0))</f>
        <v>0</v>
      </c>
      <c r="C733">
        <f>N(C732)+B733</f>
        <v>22</v>
      </c>
      <c r="K733">
        <f>IF(OR($K$1="",对接源_01水果!$C733="",对接源_01水果!$C733&lt;&gt;$K$1,对接源_01水果!$B733=""),0,IF(OR(N(对接源_01水果!$B733)&lt;$K$2,N(对接源_01水果!$B733)&gt;$K$3),0,1))</f>
        <v>0</v>
      </c>
      <c r="L733">
        <f>IF(OR($L$1="",对接源_01水果!$C733="",对接源_01水果!$C733&lt;&gt;$L$1,对接源_01水果!$B733=""),0,IF(OR(N(对接源_01水果!$B733)&lt;$L$2,N(对接源_01水果!$B733)&gt;$L$3),0,1))</f>
        <v>0</v>
      </c>
      <c r="M733">
        <f>IF(OR($M$1="",对接源_01水果!$C733="",对接源_01水果!$C733&lt;&gt;$M$1,对接源_01水果!$B733=""),0,IF(OR(N(对接源_01水果!$B733)&lt;$M$2,N(对接源_01水果!$B733)&gt;$M$3),0,1))</f>
        <v>0</v>
      </c>
      <c r="N733">
        <f>IF(OR($N$1="",对接源_01水果!$C733="",对接源_01水果!$C733&lt;&gt;$N$1,对接源_01水果!$B733=""),0,IF(OR(N(对接源_01水果!$B733)&lt;$N$2,N(对接源_01水果!$B733)&gt;$N$3),0,1))</f>
        <v>0</v>
      </c>
      <c r="P733">
        <f>IF(AND($K733=1,AND(对接源_01水果!$X733="公司筐",N(对接源_01水果!$T733)&lt;&gt;0)),1,0)</f>
        <v>0</v>
      </c>
      <c r="Q733">
        <f>N(Q732)+$P733</f>
        <v>0</v>
      </c>
      <c r="R733">
        <f>IF(AND($K733=1,AND(对接源_01水果!$X733="公司筐",N(对接源_01水果!$U733)&lt;&gt;0)),1,0)</f>
        <v>0</v>
      </c>
      <c r="S733">
        <f>N(S732)+$R733</f>
        <v>0</v>
      </c>
      <c r="T733">
        <f>IF(AND($K733=1,AND(对接源_01水果!$X733="公司筐",N(对接源_01水果!$V733)&lt;&gt;0)),1,0)</f>
        <v>0</v>
      </c>
      <c r="U733">
        <f>N(U732)+$T733</f>
        <v>47</v>
      </c>
      <c r="V733">
        <f>IF(AND($L733=1,AND(对接源_01水果!$X733="自备筐",N(对接源_01水果!$V733)&lt;&gt;0)),1,0)</f>
        <v>0</v>
      </c>
      <c r="W733">
        <f>N(W732)+$V733</f>
        <v>11</v>
      </c>
      <c r="X733">
        <f>IF(AND($L733=1,AND(对接源_01水果!$X733="自备筐",N(对接源_01水果!$T733)&lt;&gt;0)),1,0)</f>
        <v>0</v>
      </c>
      <c r="Y733">
        <f>N(Y732)+$X733</f>
        <v>0</v>
      </c>
      <c r="Z733">
        <f>IF(AND($M733=1,对接源_01水果!$D733="原料入库"),1,0)</f>
        <v>0</v>
      </c>
      <c r="AA733">
        <f>N(AA732)+$Z733</f>
        <v>24</v>
      </c>
      <c r="AB733">
        <f>IF(AND($M733=1,LEFT(对接源_01水果!$D733,4)="原料出库"),1,0)</f>
        <v>0</v>
      </c>
      <c r="AC733">
        <f>N(AC732)+$AB733</f>
        <v>0</v>
      </c>
      <c r="AD733">
        <f>IF(AND($M733=1,LEFT(对接源_01水果!$D733,4)="成品出库"),1,0)</f>
        <v>0</v>
      </c>
      <c r="AE733">
        <f>N(AE732)+$AD733</f>
        <v>0</v>
      </c>
      <c r="AF733">
        <f>IF(AND($N733=1,AND(LEFT(对接源_01水果!$D733,4)="包装物料",N(对接源_01水果!$K733)&lt;&gt;0)),1,0)</f>
        <v>0</v>
      </c>
      <c r="AG733">
        <f>N(AG732)+$AF733</f>
        <v>0</v>
      </c>
      <c r="AH733">
        <f>IF(AND($N733=1,AND(对接源_01水果!$D733="周转筐－销售出库",N(对接源_01水果!$K733)&lt;&gt;0)),1,0)</f>
        <v>0</v>
      </c>
      <c r="AI733">
        <f>N(AI732)+$AH733</f>
        <v>0</v>
      </c>
      <c r="AJ733" s="7" t="n"/>
      <c r="AL733">
        <f>IF(OR($AL$1="",对接源_01水果!$Y733="",对接源_01水果!$Y733&lt;&gt;$AL$1,对接源_01水果!$B733="",N(对接源_01水果!$AJ733)&lt;=0),0,IF(OR(N(对接源_01水果!$B733)&lt;$AL$2,N(对接源_01水果!$B733)&gt;$AL$3),0,1))</f>
        <v>0</v>
      </c>
      <c r="AM733">
        <f>N(AM732)+$AL733</f>
        <v>2</v>
      </c>
      <c r="AN733">
        <f>IF(对接源_01水果!$AC733="","",对接源_01水果!$AC733)</f>
      </c>
      <c r="AO733">
        <f>IF(AN733="",0,IF(MATCH(AN733,$AN$4:$AN$1203,0)=ROW()-3,1,0))</f>
        <v>0</v>
      </c>
      <c r="AP733">
        <f>N(AP732)+$AO733</f>
        <v>13</v>
      </c>
      <c r="AR733">
        <f>IF(OR($AF733=1,$AH733=1),1,0)</f>
        <v>0</v>
      </c>
      <c r="AS733">
        <f>N(AS732)+$AR733</f>
        <v>0</v>
      </c>
    </row>
    <row r="734" ht="14.25" customHeight="1" s="127">
      <c r="A734">
        <f>IF(对接源_01水果!$C734="","",对接源_01水果!$C734)</f>
      </c>
      <c r="B734">
        <f>IF(A734="",0,IF(MATCH(A734,$A$4:$A$2403,0)=ROW()-3,1,0))</f>
        <v>0</v>
      </c>
      <c r="C734">
        <f>N(C733)+B734</f>
        <v>22</v>
      </c>
      <c r="K734">
        <f>IF(OR($K$1="",对接源_01水果!$C734="",对接源_01水果!$C734&lt;&gt;$K$1,对接源_01水果!$B734=""),0,IF(OR(N(对接源_01水果!$B734)&lt;$K$2,N(对接源_01水果!$B734)&gt;$K$3),0,1))</f>
        <v>0</v>
      </c>
      <c r="L734">
        <f>IF(OR($L$1="",对接源_01水果!$C734="",对接源_01水果!$C734&lt;&gt;$L$1,对接源_01水果!$B734=""),0,IF(OR(N(对接源_01水果!$B734)&lt;$L$2,N(对接源_01水果!$B734)&gt;$L$3),0,1))</f>
        <v>0</v>
      </c>
      <c r="M734">
        <f>IF(OR($M$1="",对接源_01水果!$C734="",对接源_01水果!$C734&lt;&gt;$M$1,对接源_01水果!$B734=""),0,IF(OR(N(对接源_01水果!$B734)&lt;$M$2,N(对接源_01水果!$B734)&gt;$M$3),0,1))</f>
        <v>0</v>
      </c>
      <c r="N734">
        <f>IF(OR($N$1="",对接源_01水果!$C734="",对接源_01水果!$C734&lt;&gt;$N$1,对接源_01水果!$B734=""),0,IF(OR(N(对接源_01水果!$B734)&lt;$N$2,N(对接源_01水果!$B734)&gt;$N$3),0,1))</f>
        <v>0</v>
      </c>
      <c r="P734">
        <f>IF(AND($K734=1,AND(对接源_01水果!$X734="公司筐",N(对接源_01水果!$T734)&lt;&gt;0)),1,0)</f>
        <v>0</v>
      </c>
      <c r="Q734">
        <f>N(Q733)+$P734</f>
        <v>0</v>
      </c>
      <c r="R734">
        <f>IF(AND($K734=1,AND(对接源_01水果!$X734="公司筐",N(对接源_01水果!$U734)&lt;&gt;0)),1,0)</f>
        <v>0</v>
      </c>
      <c r="S734">
        <f>N(S733)+$R734</f>
        <v>0</v>
      </c>
      <c r="T734">
        <f>IF(AND($K734=1,AND(对接源_01水果!$X734="公司筐",N(对接源_01水果!$V734)&lt;&gt;0)),1,0)</f>
        <v>0</v>
      </c>
      <c r="U734">
        <f>N(U733)+$T734</f>
        <v>47</v>
      </c>
      <c r="V734">
        <f>IF(AND($L734=1,AND(对接源_01水果!$X734="自备筐",N(对接源_01水果!$V734)&lt;&gt;0)),1,0)</f>
        <v>0</v>
      </c>
      <c r="W734">
        <f>N(W733)+$V734</f>
        <v>11</v>
      </c>
      <c r="X734">
        <f>IF(AND($L734=1,AND(对接源_01水果!$X734="自备筐",N(对接源_01水果!$T734)&lt;&gt;0)),1,0)</f>
        <v>0</v>
      </c>
      <c r="Y734">
        <f>N(Y733)+$X734</f>
        <v>0</v>
      </c>
      <c r="Z734">
        <f>IF(AND($M734=1,对接源_01水果!$D734="原料入库"),1,0)</f>
        <v>0</v>
      </c>
      <c r="AA734">
        <f>N(AA733)+$Z734</f>
        <v>24</v>
      </c>
      <c r="AB734">
        <f>IF(AND($M734=1,LEFT(对接源_01水果!$D734,4)="原料出库"),1,0)</f>
        <v>0</v>
      </c>
      <c r="AC734">
        <f>N(AC733)+$AB734</f>
        <v>0</v>
      </c>
      <c r="AD734">
        <f>IF(AND($M734=1,LEFT(对接源_01水果!$D734,4)="成品出库"),1,0)</f>
        <v>0</v>
      </c>
      <c r="AE734">
        <f>N(AE733)+$AD734</f>
        <v>0</v>
      </c>
      <c r="AF734">
        <f>IF(AND($N734=1,AND(LEFT(对接源_01水果!$D734,4)="包装物料",N(对接源_01水果!$K734)&lt;&gt;0)),1,0)</f>
        <v>0</v>
      </c>
      <c r="AG734">
        <f>N(AG733)+$AF734</f>
        <v>0</v>
      </c>
      <c r="AH734">
        <f>IF(AND($N734=1,AND(对接源_01水果!$D734="周转筐－销售出库",N(对接源_01水果!$K734)&lt;&gt;0)),1,0)</f>
        <v>0</v>
      </c>
      <c r="AI734">
        <f>N(AI733)+$AH734</f>
        <v>0</v>
      </c>
      <c r="AJ734" s="7" t="n"/>
      <c r="AL734">
        <f>IF(OR($AL$1="",对接源_01水果!$Y734="",对接源_01水果!$Y734&lt;&gt;$AL$1,对接源_01水果!$B734="",N(对接源_01水果!$AJ734)&lt;=0),0,IF(OR(N(对接源_01水果!$B734)&lt;$AL$2,N(对接源_01水果!$B734)&gt;$AL$3),0,1))</f>
        <v>0</v>
      </c>
      <c r="AM734">
        <f>N(AM733)+$AL734</f>
        <v>2</v>
      </c>
      <c r="AN734">
        <f>IF(对接源_01水果!$AC734="","",对接源_01水果!$AC734)</f>
      </c>
      <c r="AO734">
        <f>IF(AN734="",0,IF(MATCH(AN734,$AN$4:$AN$1203,0)=ROW()-3,1,0))</f>
        <v>0</v>
      </c>
      <c r="AP734">
        <f>N(AP733)+$AO734</f>
        <v>13</v>
      </c>
      <c r="AR734">
        <f>IF(OR($AF734=1,$AH734=1),1,0)</f>
        <v>0</v>
      </c>
      <c r="AS734">
        <f>N(AS733)+$AR734</f>
        <v>0</v>
      </c>
    </row>
    <row r="735" ht="14.25" customHeight="1" s="127">
      <c r="A735">
        <f>IF(对接源_01水果!$C735="","",对接源_01水果!$C735)</f>
      </c>
      <c r="B735">
        <f>IF(A735="",0,IF(MATCH(A735,$A$4:$A$2403,0)=ROW()-3,1,0))</f>
        <v>0</v>
      </c>
      <c r="C735">
        <f>N(C734)+B735</f>
        <v>22</v>
      </c>
      <c r="K735">
        <f>IF(OR($K$1="",对接源_01水果!$C735="",对接源_01水果!$C735&lt;&gt;$K$1,对接源_01水果!$B735=""),0,IF(OR(N(对接源_01水果!$B735)&lt;$K$2,N(对接源_01水果!$B735)&gt;$K$3),0,1))</f>
        <v>0</v>
      </c>
      <c r="L735">
        <f>IF(OR($L$1="",对接源_01水果!$C735="",对接源_01水果!$C735&lt;&gt;$L$1,对接源_01水果!$B735=""),0,IF(OR(N(对接源_01水果!$B735)&lt;$L$2,N(对接源_01水果!$B735)&gt;$L$3),0,1))</f>
        <v>0</v>
      </c>
      <c r="M735">
        <f>IF(OR($M$1="",对接源_01水果!$C735="",对接源_01水果!$C735&lt;&gt;$M$1,对接源_01水果!$B735=""),0,IF(OR(N(对接源_01水果!$B735)&lt;$M$2,N(对接源_01水果!$B735)&gt;$M$3),0,1))</f>
        <v>0</v>
      </c>
      <c r="N735">
        <f>IF(OR($N$1="",对接源_01水果!$C735="",对接源_01水果!$C735&lt;&gt;$N$1,对接源_01水果!$B735=""),0,IF(OR(N(对接源_01水果!$B735)&lt;$N$2,N(对接源_01水果!$B735)&gt;$N$3),0,1))</f>
        <v>0</v>
      </c>
      <c r="P735">
        <f>IF(AND($K735=1,AND(对接源_01水果!$X735="公司筐",N(对接源_01水果!$T735)&lt;&gt;0)),1,0)</f>
        <v>0</v>
      </c>
      <c r="Q735">
        <f>N(Q734)+$P735</f>
        <v>0</v>
      </c>
      <c r="R735">
        <f>IF(AND($K735=1,AND(对接源_01水果!$X735="公司筐",N(对接源_01水果!$U735)&lt;&gt;0)),1,0)</f>
        <v>0</v>
      </c>
      <c r="S735">
        <f>N(S734)+$R735</f>
        <v>0</v>
      </c>
      <c r="T735">
        <f>IF(AND($K735=1,AND(对接源_01水果!$X735="公司筐",N(对接源_01水果!$V735)&lt;&gt;0)),1,0)</f>
        <v>0</v>
      </c>
      <c r="U735">
        <f>N(U734)+$T735</f>
        <v>47</v>
      </c>
      <c r="V735">
        <f>IF(AND($L735=1,AND(对接源_01水果!$X735="自备筐",N(对接源_01水果!$V735)&lt;&gt;0)),1,0)</f>
        <v>0</v>
      </c>
      <c r="W735">
        <f>N(W734)+$V735</f>
        <v>11</v>
      </c>
      <c r="X735">
        <f>IF(AND($L735=1,AND(对接源_01水果!$X735="自备筐",N(对接源_01水果!$T735)&lt;&gt;0)),1,0)</f>
        <v>0</v>
      </c>
      <c r="Y735">
        <f>N(Y734)+$X735</f>
        <v>0</v>
      </c>
      <c r="Z735">
        <f>IF(AND($M735=1,对接源_01水果!$D735="原料入库"),1,0)</f>
        <v>0</v>
      </c>
      <c r="AA735">
        <f>N(AA734)+$Z735</f>
        <v>24</v>
      </c>
      <c r="AB735">
        <f>IF(AND($M735=1,LEFT(对接源_01水果!$D735,4)="原料出库"),1,0)</f>
        <v>0</v>
      </c>
      <c r="AC735">
        <f>N(AC734)+$AB735</f>
        <v>0</v>
      </c>
      <c r="AD735">
        <f>IF(AND($M735=1,LEFT(对接源_01水果!$D735,4)="成品出库"),1,0)</f>
        <v>0</v>
      </c>
      <c r="AE735">
        <f>N(AE734)+$AD735</f>
        <v>0</v>
      </c>
      <c r="AF735">
        <f>IF(AND($N735=1,AND(LEFT(对接源_01水果!$D735,4)="包装物料",N(对接源_01水果!$K735)&lt;&gt;0)),1,0)</f>
        <v>0</v>
      </c>
      <c r="AG735">
        <f>N(AG734)+$AF735</f>
        <v>0</v>
      </c>
      <c r="AH735">
        <f>IF(AND($N735=1,AND(对接源_01水果!$D735="周转筐－销售出库",N(对接源_01水果!$K735)&lt;&gt;0)),1,0)</f>
        <v>0</v>
      </c>
      <c r="AI735">
        <f>N(AI734)+$AH735</f>
        <v>0</v>
      </c>
      <c r="AJ735" s="7" t="n"/>
      <c r="AL735">
        <f>IF(OR($AL$1="",对接源_01水果!$Y735="",对接源_01水果!$Y735&lt;&gt;$AL$1,对接源_01水果!$B735="",N(对接源_01水果!$AJ735)&lt;=0),0,IF(OR(N(对接源_01水果!$B735)&lt;$AL$2,N(对接源_01水果!$B735)&gt;$AL$3),0,1))</f>
        <v>0</v>
      </c>
      <c r="AM735">
        <f>N(AM734)+$AL735</f>
        <v>2</v>
      </c>
      <c r="AN735">
        <f>IF(对接源_01水果!$AC735="","",对接源_01水果!$AC735)</f>
      </c>
      <c r="AO735">
        <f>IF(AN735="",0,IF(MATCH(AN735,$AN$4:$AN$1203,0)=ROW()-3,1,0))</f>
        <v>0</v>
      </c>
      <c r="AP735">
        <f>N(AP734)+$AO735</f>
        <v>13</v>
      </c>
      <c r="AR735">
        <f>IF(OR($AF735=1,$AH735=1),1,0)</f>
        <v>0</v>
      </c>
      <c r="AS735">
        <f>N(AS734)+$AR735</f>
        <v>0</v>
      </c>
    </row>
    <row r="736" ht="14.25" customHeight="1" s="127">
      <c r="A736">
        <f>IF(对接源_01水果!$C736="","",对接源_01水果!$C736)</f>
      </c>
      <c r="B736">
        <f>IF(A736="",0,IF(MATCH(A736,$A$4:$A$2403,0)=ROW()-3,1,0))</f>
        <v>0</v>
      </c>
      <c r="C736">
        <f>N(C735)+B736</f>
        <v>22</v>
      </c>
      <c r="K736">
        <f>IF(OR($K$1="",对接源_01水果!$C736="",对接源_01水果!$C736&lt;&gt;$K$1,对接源_01水果!$B736=""),0,IF(OR(N(对接源_01水果!$B736)&lt;$K$2,N(对接源_01水果!$B736)&gt;$K$3),0,1))</f>
        <v>0</v>
      </c>
      <c r="L736">
        <f>IF(OR($L$1="",对接源_01水果!$C736="",对接源_01水果!$C736&lt;&gt;$L$1,对接源_01水果!$B736=""),0,IF(OR(N(对接源_01水果!$B736)&lt;$L$2,N(对接源_01水果!$B736)&gt;$L$3),0,1))</f>
        <v>0</v>
      </c>
      <c r="M736">
        <f>IF(OR($M$1="",对接源_01水果!$C736="",对接源_01水果!$C736&lt;&gt;$M$1,对接源_01水果!$B736=""),0,IF(OR(N(对接源_01水果!$B736)&lt;$M$2,N(对接源_01水果!$B736)&gt;$M$3),0,1))</f>
        <v>0</v>
      </c>
      <c r="N736">
        <f>IF(OR($N$1="",对接源_01水果!$C736="",对接源_01水果!$C736&lt;&gt;$N$1,对接源_01水果!$B736=""),0,IF(OR(N(对接源_01水果!$B736)&lt;$N$2,N(对接源_01水果!$B736)&gt;$N$3),0,1))</f>
        <v>0</v>
      </c>
      <c r="P736">
        <f>IF(AND($K736=1,AND(对接源_01水果!$X736="公司筐",N(对接源_01水果!$T736)&lt;&gt;0)),1,0)</f>
        <v>0</v>
      </c>
      <c r="Q736">
        <f>N(Q735)+$P736</f>
        <v>0</v>
      </c>
      <c r="R736">
        <f>IF(AND($K736=1,AND(对接源_01水果!$X736="公司筐",N(对接源_01水果!$U736)&lt;&gt;0)),1,0)</f>
        <v>0</v>
      </c>
      <c r="S736">
        <f>N(S735)+$R736</f>
        <v>0</v>
      </c>
      <c r="T736">
        <f>IF(AND($K736=1,AND(对接源_01水果!$X736="公司筐",N(对接源_01水果!$V736)&lt;&gt;0)),1,0)</f>
        <v>0</v>
      </c>
      <c r="U736">
        <f>N(U735)+$T736</f>
        <v>47</v>
      </c>
      <c r="V736">
        <f>IF(AND($L736=1,AND(对接源_01水果!$X736="自备筐",N(对接源_01水果!$V736)&lt;&gt;0)),1,0)</f>
        <v>0</v>
      </c>
      <c r="W736">
        <f>N(W735)+$V736</f>
        <v>11</v>
      </c>
      <c r="X736">
        <f>IF(AND($L736=1,AND(对接源_01水果!$X736="自备筐",N(对接源_01水果!$T736)&lt;&gt;0)),1,0)</f>
        <v>0</v>
      </c>
      <c r="Y736">
        <f>N(Y735)+$X736</f>
        <v>0</v>
      </c>
      <c r="Z736">
        <f>IF(AND($M736=1,对接源_01水果!$D736="原料入库"),1,0)</f>
        <v>0</v>
      </c>
      <c r="AA736">
        <f>N(AA735)+$Z736</f>
        <v>24</v>
      </c>
      <c r="AB736">
        <f>IF(AND($M736=1,LEFT(对接源_01水果!$D736,4)="原料出库"),1,0)</f>
        <v>0</v>
      </c>
      <c r="AC736">
        <f>N(AC735)+$AB736</f>
        <v>0</v>
      </c>
      <c r="AD736">
        <f>IF(AND($M736=1,LEFT(对接源_01水果!$D736,4)="成品出库"),1,0)</f>
        <v>0</v>
      </c>
      <c r="AE736">
        <f>N(AE735)+$AD736</f>
        <v>0</v>
      </c>
      <c r="AF736">
        <f>IF(AND($N736=1,AND(LEFT(对接源_01水果!$D736,4)="包装物料",N(对接源_01水果!$K736)&lt;&gt;0)),1,0)</f>
        <v>0</v>
      </c>
      <c r="AG736">
        <f>N(AG735)+$AF736</f>
        <v>0</v>
      </c>
      <c r="AH736">
        <f>IF(AND($N736=1,AND(对接源_01水果!$D736="周转筐－销售出库",N(对接源_01水果!$K736)&lt;&gt;0)),1,0)</f>
        <v>0</v>
      </c>
      <c r="AI736">
        <f>N(AI735)+$AH736</f>
        <v>0</v>
      </c>
      <c r="AJ736" s="7" t="n"/>
      <c r="AL736">
        <f>IF(OR($AL$1="",对接源_01水果!$Y736="",对接源_01水果!$Y736&lt;&gt;$AL$1,对接源_01水果!$B736="",N(对接源_01水果!$AJ736)&lt;=0),0,IF(OR(N(对接源_01水果!$B736)&lt;$AL$2,N(对接源_01水果!$B736)&gt;$AL$3),0,1))</f>
        <v>0</v>
      </c>
      <c r="AM736">
        <f>N(AM735)+$AL736</f>
        <v>2</v>
      </c>
      <c r="AN736">
        <f>IF(对接源_01水果!$AC736="","",对接源_01水果!$AC736)</f>
      </c>
      <c r="AO736">
        <f>IF(AN736="",0,IF(MATCH(AN736,$AN$4:$AN$1203,0)=ROW()-3,1,0))</f>
        <v>0</v>
      </c>
      <c r="AP736">
        <f>N(AP735)+$AO736</f>
        <v>13</v>
      </c>
      <c r="AR736">
        <f>IF(OR($AF736=1,$AH736=1),1,0)</f>
        <v>0</v>
      </c>
      <c r="AS736">
        <f>N(AS735)+$AR736</f>
        <v>0</v>
      </c>
    </row>
    <row r="737" ht="14.25" customHeight="1" s="127">
      <c r="A737">
        <f>IF(对接源_01水果!$C737="","",对接源_01水果!$C737)</f>
      </c>
      <c r="B737">
        <f>IF(A737="",0,IF(MATCH(A737,$A$4:$A$2403,0)=ROW()-3,1,0))</f>
        <v>0</v>
      </c>
      <c r="C737">
        <f>N(C736)+B737</f>
        <v>22</v>
      </c>
      <c r="K737">
        <f>IF(OR($K$1="",对接源_01水果!$C737="",对接源_01水果!$C737&lt;&gt;$K$1,对接源_01水果!$B737=""),0,IF(OR(N(对接源_01水果!$B737)&lt;$K$2,N(对接源_01水果!$B737)&gt;$K$3),0,1))</f>
        <v>0</v>
      </c>
      <c r="L737">
        <f>IF(OR($L$1="",对接源_01水果!$C737="",对接源_01水果!$C737&lt;&gt;$L$1,对接源_01水果!$B737=""),0,IF(OR(N(对接源_01水果!$B737)&lt;$L$2,N(对接源_01水果!$B737)&gt;$L$3),0,1))</f>
        <v>0</v>
      </c>
      <c r="M737">
        <f>IF(OR($M$1="",对接源_01水果!$C737="",对接源_01水果!$C737&lt;&gt;$M$1,对接源_01水果!$B737=""),0,IF(OR(N(对接源_01水果!$B737)&lt;$M$2,N(对接源_01水果!$B737)&gt;$M$3),0,1))</f>
        <v>0</v>
      </c>
      <c r="N737">
        <f>IF(OR($N$1="",对接源_01水果!$C737="",对接源_01水果!$C737&lt;&gt;$N$1,对接源_01水果!$B737=""),0,IF(OR(N(对接源_01水果!$B737)&lt;$N$2,N(对接源_01水果!$B737)&gt;$N$3),0,1))</f>
        <v>0</v>
      </c>
      <c r="P737">
        <f>IF(AND($K737=1,AND(对接源_01水果!$X737="公司筐",N(对接源_01水果!$T737)&lt;&gt;0)),1,0)</f>
        <v>0</v>
      </c>
      <c r="Q737">
        <f>N(Q736)+$P737</f>
        <v>0</v>
      </c>
      <c r="R737">
        <f>IF(AND($K737=1,AND(对接源_01水果!$X737="公司筐",N(对接源_01水果!$U737)&lt;&gt;0)),1,0)</f>
        <v>0</v>
      </c>
      <c r="S737">
        <f>N(S736)+$R737</f>
        <v>0</v>
      </c>
      <c r="T737">
        <f>IF(AND($K737=1,AND(对接源_01水果!$X737="公司筐",N(对接源_01水果!$V737)&lt;&gt;0)),1,0)</f>
        <v>0</v>
      </c>
      <c r="U737">
        <f>N(U736)+$T737</f>
        <v>47</v>
      </c>
      <c r="V737">
        <f>IF(AND($L737=1,AND(对接源_01水果!$X737="自备筐",N(对接源_01水果!$V737)&lt;&gt;0)),1,0)</f>
        <v>0</v>
      </c>
      <c r="W737">
        <f>N(W736)+$V737</f>
        <v>11</v>
      </c>
      <c r="X737">
        <f>IF(AND($L737=1,AND(对接源_01水果!$X737="自备筐",N(对接源_01水果!$T737)&lt;&gt;0)),1,0)</f>
        <v>0</v>
      </c>
      <c r="Y737">
        <f>N(Y736)+$X737</f>
        <v>0</v>
      </c>
      <c r="Z737">
        <f>IF(AND($M737=1,对接源_01水果!$D737="原料入库"),1,0)</f>
        <v>0</v>
      </c>
      <c r="AA737">
        <f>N(AA736)+$Z737</f>
        <v>24</v>
      </c>
      <c r="AB737">
        <f>IF(AND($M737=1,LEFT(对接源_01水果!$D737,4)="原料出库"),1,0)</f>
        <v>0</v>
      </c>
      <c r="AC737">
        <f>N(AC736)+$AB737</f>
        <v>0</v>
      </c>
      <c r="AD737">
        <f>IF(AND($M737=1,LEFT(对接源_01水果!$D737,4)="成品出库"),1,0)</f>
        <v>0</v>
      </c>
      <c r="AE737">
        <f>N(AE736)+$AD737</f>
        <v>0</v>
      </c>
      <c r="AF737">
        <f>IF(AND($N737=1,AND(LEFT(对接源_01水果!$D737,4)="包装物料",N(对接源_01水果!$K737)&lt;&gt;0)),1,0)</f>
        <v>0</v>
      </c>
      <c r="AG737">
        <f>N(AG736)+$AF737</f>
        <v>0</v>
      </c>
      <c r="AH737">
        <f>IF(AND($N737=1,AND(对接源_01水果!$D737="周转筐－销售出库",N(对接源_01水果!$K737)&lt;&gt;0)),1,0)</f>
        <v>0</v>
      </c>
      <c r="AI737">
        <f>N(AI736)+$AH737</f>
        <v>0</v>
      </c>
      <c r="AJ737" s="7" t="n"/>
      <c r="AL737">
        <f>IF(OR($AL$1="",对接源_01水果!$Y737="",对接源_01水果!$Y737&lt;&gt;$AL$1,对接源_01水果!$B737="",N(对接源_01水果!$AJ737)&lt;=0),0,IF(OR(N(对接源_01水果!$B737)&lt;$AL$2,N(对接源_01水果!$B737)&gt;$AL$3),0,1))</f>
        <v>0</v>
      </c>
      <c r="AM737">
        <f>N(AM736)+$AL737</f>
        <v>2</v>
      </c>
      <c r="AN737">
        <f>IF(对接源_01水果!$AC737="","",对接源_01水果!$AC737)</f>
      </c>
      <c r="AO737">
        <f>IF(AN737="",0,IF(MATCH(AN737,$AN$4:$AN$1203,0)=ROW()-3,1,0))</f>
        <v>0</v>
      </c>
      <c r="AP737">
        <f>N(AP736)+$AO737</f>
        <v>13</v>
      </c>
      <c r="AR737">
        <f>IF(OR($AF737=1,$AH737=1),1,0)</f>
        <v>0</v>
      </c>
      <c r="AS737">
        <f>N(AS736)+$AR737</f>
        <v>0</v>
      </c>
    </row>
    <row r="738" ht="14.25" customHeight="1" s="127">
      <c r="A738">
        <f>IF(对接源_01水果!$C738="","",对接源_01水果!$C738)</f>
      </c>
      <c r="B738">
        <f>IF(A738="",0,IF(MATCH(A738,$A$4:$A$2403,0)=ROW()-3,1,0))</f>
        <v>0</v>
      </c>
      <c r="C738">
        <f>N(C737)+B738</f>
        <v>22</v>
      </c>
      <c r="K738">
        <f>IF(OR($K$1="",对接源_01水果!$C738="",对接源_01水果!$C738&lt;&gt;$K$1,对接源_01水果!$B738=""),0,IF(OR(N(对接源_01水果!$B738)&lt;$K$2,N(对接源_01水果!$B738)&gt;$K$3),0,1))</f>
        <v>0</v>
      </c>
      <c r="L738">
        <f>IF(OR($L$1="",对接源_01水果!$C738="",对接源_01水果!$C738&lt;&gt;$L$1,对接源_01水果!$B738=""),0,IF(OR(N(对接源_01水果!$B738)&lt;$L$2,N(对接源_01水果!$B738)&gt;$L$3),0,1))</f>
        <v>0</v>
      </c>
      <c r="M738">
        <f>IF(OR($M$1="",对接源_01水果!$C738="",对接源_01水果!$C738&lt;&gt;$M$1,对接源_01水果!$B738=""),0,IF(OR(N(对接源_01水果!$B738)&lt;$M$2,N(对接源_01水果!$B738)&gt;$M$3),0,1))</f>
        <v>0</v>
      </c>
      <c r="N738">
        <f>IF(OR($N$1="",对接源_01水果!$C738="",对接源_01水果!$C738&lt;&gt;$N$1,对接源_01水果!$B738=""),0,IF(OR(N(对接源_01水果!$B738)&lt;$N$2,N(对接源_01水果!$B738)&gt;$N$3),0,1))</f>
        <v>0</v>
      </c>
      <c r="P738">
        <f>IF(AND($K738=1,AND(对接源_01水果!$X738="公司筐",N(对接源_01水果!$T738)&lt;&gt;0)),1,0)</f>
        <v>0</v>
      </c>
      <c r="Q738">
        <f>N(Q737)+$P738</f>
        <v>0</v>
      </c>
      <c r="R738">
        <f>IF(AND($K738=1,AND(对接源_01水果!$X738="公司筐",N(对接源_01水果!$U738)&lt;&gt;0)),1,0)</f>
        <v>0</v>
      </c>
      <c r="S738">
        <f>N(S737)+$R738</f>
        <v>0</v>
      </c>
      <c r="T738">
        <f>IF(AND($K738=1,AND(对接源_01水果!$X738="公司筐",N(对接源_01水果!$V738)&lt;&gt;0)),1,0)</f>
        <v>0</v>
      </c>
      <c r="U738">
        <f>N(U737)+$T738</f>
        <v>47</v>
      </c>
      <c r="V738">
        <f>IF(AND($L738=1,AND(对接源_01水果!$X738="自备筐",N(对接源_01水果!$V738)&lt;&gt;0)),1,0)</f>
        <v>0</v>
      </c>
      <c r="W738">
        <f>N(W737)+$V738</f>
        <v>11</v>
      </c>
      <c r="X738">
        <f>IF(AND($L738=1,AND(对接源_01水果!$X738="自备筐",N(对接源_01水果!$T738)&lt;&gt;0)),1,0)</f>
        <v>0</v>
      </c>
      <c r="Y738">
        <f>N(Y737)+$X738</f>
        <v>0</v>
      </c>
      <c r="Z738">
        <f>IF(AND($M738=1,对接源_01水果!$D738="原料入库"),1,0)</f>
        <v>0</v>
      </c>
      <c r="AA738">
        <f>N(AA737)+$Z738</f>
        <v>24</v>
      </c>
      <c r="AB738">
        <f>IF(AND($M738=1,LEFT(对接源_01水果!$D738,4)="原料出库"),1,0)</f>
        <v>0</v>
      </c>
      <c r="AC738">
        <f>N(AC737)+$AB738</f>
        <v>0</v>
      </c>
      <c r="AD738">
        <f>IF(AND($M738=1,LEFT(对接源_01水果!$D738,4)="成品出库"),1,0)</f>
        <v>0</v>
      </c>
      <c r="AE738">
        <f>N(AE737)+$AD738</f>
        <v>0</v>
      </c>
      <c r="AF738">
        <f>IF(AND($N738=1,AND(LEFT(对接源_01水果!$D738,4)="包装物料",N(对接源_01水果!$K738)&lt;&gt;0)),1,0)</f>
        <v>0</v>
      </c>
      <c r="AG738">
        <f>N(AG737)+$AF738</f>
        <v>0</v>
      </c>
      <c r="AH738">
        <f>IF(AND($N738=1,AND(对接源_01水果!$D738="周转筐－销售出库",N(对接源_01水果!$K738)&lt;&gt;0)),1,0)</f>
        <v>0</v>
      </c>
      <c r="AI738">
        <f>N(AI737)+$AH738</f>
        <v>0</v>
      </c>
      <c r="AJ738" s="7" t="n"/>
      <c r="AL738">
        <f>IF(OR($AL$1="",对接源_01水果!$Y738="",对接源_01水果!$Y738&lt;&gt;$AL$1,对接源_01水果!$B738="",N(对接源_01水果!$AJ738)&lt;=0),0,IF(OR(N(对接源_01水果!$B738)&lt;$AL$2,N(对接源_01水果!$B738)&gt;$AL$3),0,1))</f>
        <v>0</v>
      </c>
      <c r="AM738">
        <f>N(AM737)+$AL738</f>
        <v>2</v>
      </c>
      <c r="AN738">
        <f>IF(对接源_01水果!$AC738="","",对接源_01水果!$AC738)</f>
      </c>
      <c r="AO738">
        <f>IF(AN738="",0,IF(MATCH(AN738,$AN$4:$AN$1203,0)=ROW()-3,1,0))</f>
        <v>0</v>
      </c>
      <c r="AP738">
        <f>N(AP737)+$AO738</f>
        <v>13</v>
      </c>
      <c r="AR738">
        <f>IF(OR($AF738=1,$AH738=1),1,0)</f>
        <v>0</v>
      </c>
      <c r="AS738">
        <f>N(AS737)+$AR738</f>
        <v>0</v>
      </c>
    </row>
    <row r="739" ht="14.25" customHeight="1" s="127">
      <c r="A739">
        <f>IF(对接源_01水果!$C739="","",对接源_01水果!$C739)</f>
      </c>
      <c r="B739">
        <f>IF(A739="",0,IF(MATCH(A739,$A$4:$A$2403,0)=ROW()-3,1,0))</f>
        <v>0</v>
      </c>
      <c r="C739">
        <f>N(C738)+B739</f>
        <v>22</v>
      </c>
      <c r="K739">
        <f>IF(OR($K$1="",对接源_01水果!$C739="",对接源_01水果!$C739&lt;&gt;$K$1,对接源_01水果!$B739=""),0,IF(OR(N(对接源_01水果!$B739)&lt;$K$2,N(对接源_01水果!$B739)&gt;$K$3),0,1))</f>
        <v>0</v>
      </c>
      <c r="L739">
        <f>IF(OR($L$1="",对接源_01水果!$C739="",对接源_01水果!$C739&lt;&gt;$L$1,对接源_01水果!$B739=""),0,IF(OR(N(对接源_01水果!$B739)&lt;$L$2,N(对接源_01水果!$B739)&gt;$L$3),0,1))</f>
        <v>0</v>
      </c>
      <c r="M739">
        <f>IF(OR($M$1="",对接源_01水果!$C739="",对接源_01水果!$C739&lt;&gt;$M$1,对接源_01水果!$B739=""),0,IF(OR(N(对接源_01水果!$B739)&lt;$M$2,N(对接源_01水果!$B739)&gt;$M$3),0,1))</f>
        <v>0</v>
      </c>
      <c r="N739">
        <f>IF(OR($N$1="",对接源_01水果!$C739="",对接源_01水果!$C739&lt;&gt;$N$1,对接源_01水果!$B739=""),0,IF(OR(N(对接源_01水果!$B739)&lt;$N$2,N(对接源_01水果!$B739)&gt;$N$3),0,1))</f>
        <v>0</v>
      </c>
      <c r="P739">
        <f>IF(AND($K739=1,AND(对接源_01水果!$X739="公司筐",N(对接源_01水果!$T739)&lt;&gt;0)),1,0)</f>
        <v>0</v>
      </c>
      <c r="Q739">
        <f>N(Q738)+$P739</f>
        <v>0</v>
      </c>
      <c r="R739">
        <f>IF(AND($K739=1,AND(对接源_01水果!$X739="公司筐",N(对接源_01水果!$U739)&lt;&gt;0)),1,0)</f>
        <v>0</v>
      </c>
      <c r="S739">
        <f>N(S738)+$R739</f>
        <v>0</v>
      </c>
      <c r="T739">
        <f>IF(AND($K739=1,AND(对接源_01水果!$X739="公司筐",N(对接源_01水果!$V739)&lt;&gt;0)),1,0)</f>
        <v>0</v>
      </c>
      <c r="U739">
        <f>N(U738)+$T739</f>
        <v>47</v>
      </c>
      <c r="V739">
        <f>IF(AND($L739=1,AND(对接源_01水果!$X739="自备筐",N(对接源_01水果!$V739)&lt;&gt;0)),1,0)</f>
        <v>0</v>
      </c>
      <c r="W739">
        <f>N(W738)+$V739</f>
        <v>11</v>
      </c>
      <c r="X739">
        <f>IF(AND($L739=1,AND(对接源_01水果!$X739="自备筐",N(对接源_01水果!$T739)&lt;&gt;0)),1,0)</f>
        <v>0</v>
      </c>
      <c r="Y739">
        <f>N(Y738)+$X739</f>
        <v>0</v>
      </c>
      <c r="Z739">
        <f>IF(AND($M739=1,对接源_01水果!$D739="原料入库"),1,0)</f>
        <v>0</v>
      </c>
      <c r="AA739">
        <f>N(AA738)+$Z739</f>
        <v>24</v>
      </c>
      <c r="AB739">
        <f>IF(AND($M739=1,LEFT(对接源_01水果!$D739,4)="原料出库"),1,0)</f>
        <v>0</v>
      </c>
      <c r="AC739">
        <f>N(AC738)+$AB739</f>
        <v>0</v>
      </c>
      <c r="AD739">
        <f>IF(AND($M739=1,LEFT(对接源_01水果!$D739,4)="成品出库"),1,0)</f>
        <v>0</v>
      </c>
      <c r="AE739">
        <f>N(AE738)+$AD739</f>
        <v>0</v>
      </c>
      <c r="AF739">
        <f>IF(AND($N739=1,AND(LEFT(对接源_01水果!$D739,4)="包装物料",N(对接源_01水果!$K739)&lt;&gt;0)),1,0)</f>
        <v>0</v>
      </c>
      <c r="AG739">
        <f>N(AG738)+$AF739</f>
        <v>0</v>
      </c>
      <c r="AH739">
        <f>IF(AND($N739=1,AND(对接源_01水果!$D739="周转筐－销售出库",N(对接源_01水果!$K739)&lt;&gt;0)),1,0)</f>
        <v>0</v>
      </c>
      <c r="AI739">
        <f>N(AI738)+$AH739</f>
        <v>0</v>
      </c>
      <c r="AJ739" s="7" t="n"/>
      <c r="AL739">
        <f>IF(OR($AL$1="",对接源_01水果!$Y739="",对接源_01水果!$Y739&lt;&gt;$AL$1,对接源_01水果!$B739="",N(对接源_01水果!$AJ739)&lt;=0),0,IF(OR(N(对接源_01水果!$B739)&lt;$AL$2,N(对接源_01水果!$B739)&gt;$AL$3),0,1))</f>
        <v>0</v>
      </c>
      <c r="AM739">
        <f>N(AM738)+$AL739</f>
        <v>2</v>
      </c>
      <c r="AN739">
        <f>IF(对接源_01水果!$AC739="","",对接源_01水果!$AC739)</f>
      </c>
      <c r="AO739">
        <f>IF(AN739="",0,IF(MATCH(AN739,$AN$4:$AN$1203,0)=ROW()-3,1,0))</f>
        <v>0</v>
      </c>
      <c r="AP739">
        <f>N(AP738)+$AO739</f>
        <v>13</v>
      </c>
      <c r="AR739">
        <f>IF(OR($AF739=1,$AH739=1),1,0)</f>
        <v>0</v>
      </c>
      <c r="AS739">
        <f>N(AS738)+$AR739</f>
        <v>0</v>
      </c>
    </row>
    <row r="740" ht="14.25" customHeight="1" s="127">
      <c r="A740">
        <f>IF(对接源_01水果!$C740="","",对接源_01水果!$C740)</f>
      </c>
      <c r="B740">
        <f>IF(A740="",0,IF(MATCH(A740,$A$4:$A$2403,0)=ROW()-3,1,0))</f>
        <v>0</v>
      </c>
      <c r="C740">
        <f>N(C739)+B740</f>
        <v>22</v>
      </c>
      <c r="K740">
        <f>IF(OR($K$1="",对接源_01水果!$C740="",对接源_01水果!$C740&lt;&gt;$K$1,对接源_01水果!$B740=""),0,IF(OR(N(对接源_01水果!$B740)&lt;$K$2,N(对接源_01水果!$B740)&gt;$K$3),0,1))</f>
        <v>0</v>
      </c>
      <c r="L740">
        <f>IF(OR($L$1="",对接源_01水果!$C740="",对接源_01水果!$C740&lt;&gt;$L$1,对接源_01水果!$B740=""),0,IF(OR(N(对接源_01水果!$B740)&lt;$L$2,N(对接源_01水果!$B740)&gt;$L$3),0,1))</f>
        <v>0</v>
      </c>
      <c r="M740">
        <f>IF(OR($M$1="",对接源_01水果!$C740="",对接源_01水果!$C740&lt;&gt;$M$1,对接源_01水果!$B740=""),0,IF(OR(N(对接源_01水果!$B740)&lt;$M$2,N(对接源_01水果!$B740)&gt;$M$3),0,1))</f>
        <v>0</v>
      </c>
      <c r="N740">
        <f>IF(OR($N$1="",对接源_01水果!$C740="",对接源_01水果!$C740&lt;&gt;$N$1,对接源_01水果!$B740=""),0,IF(OR(N(对接源_01水果!$B740)&lt;$N$2,N(对接源_01水果!$B740)&gt;$N$3),0,1))</f>
        <v>0</v>
      </c>
      <c r="P740">
        <f>IF(AND($K740=1,AND(对接源_01水果!$X740="公司筐",N(对接源_01水果!$T740)&lt;&gt;0)),1,0)</f>
        <v>0</v>
      </c>
      <c r="Q740">
        <f>N(Q739)+$P740</f>
        <v>0</v>
      </c>
      <c r="R740">
        <f>IF(AND($K740=1,AND(对接源_01水果!$X740="公司筐",N(对接源_01水果!$U740)&lt;&gt;0)),1,0)</f>
        <v>0</v>
      </c>
      <c r="S740">
        <f>N(S739)+$R740</f>
        <v>0</v>
      </c>
      <c r="T740">
        <f>IF(AND($K740=1,AND(对接源_01水果!$X740="公司筐",N(对接源_01水果!$V740)&lt;&gt;0)),1,0)</f>
        <v>0</v>
      </c>
      <c r="U740">
        <f>N(U739)+$T740</f>
        <v>47</v>
      </c>
      <c r="V740">
        <f>IF(AND($L740=1,AND(对接源_01水果!$X740="自备筐",N(对接源_01水果!$V740)&lt;&gt;0)),1,0)</f>
        <v>0</v>
      </c>
      <c r="W740">
        <f>N(W739)+$V740</f>
        <v>11</v>
      </c>
      <c r="X740">
        <f>IF(AND($L740=1,AND(对接源_01水果!$X740="自备筐",N(对接源_01水果!$T740)&lt;&gt;0)),1,0)</f>
        <v>0</v>
      </c>
      <c r="Y740">
        <f>N(Y739)+$X740</f>
        <v>0</v>
      </c>
      <c r="Z740">
        <f>IF(AND($M740=1,对接源_01水果!$D740="原料入库"),1,0)</f>
        <v>0</v>
      </c>
      <c r="AA740">
        <f>N(AA739)+$Z740</f>
        <v>24</v>
      </c>
      <c r="AB740">
        <f>IF(AND($M740=1,LEFT(对接源_01水果!$D740,4)="原料出库"),1,0)</f>
        <v>0</v>
      </c>
      <c r="AC740">
        <f>N(AC739)+$AB740</f>
        <v>0</v>
      </c>
      <c r="AD740">
        <f>IF(AND($M740=1,LEFT(对接源_01水果!$D740,4)="成品出库"),1,0)</f>
        <v>0</v>
      </c>
      <c r="AE740">
        <f>N(AE739)+$AD740</f>
        <v>0</v>
      </c>
      <c r="AF740">
        <f>IF(AND($N740=1,AND(LEFT(对接源_01水果!$D740,4)="包装物料",N(对接源_01水果!$K740)&lt;&gt;0)),1,0)</f>
        <v>0</v>
      </c>
      <c r="AG740">
        <f>N(AG739)+$AF740</f>
        <v>0</v>
      </c>
      <c r="AH740">
        <f>IF(AND($N740=1,AND(对接源_01水果!$D740="周转筐－销售出库",N(对接源_01水果!$K740)&lt;&gt;0)),1,0)</f>
        <v>0</v>
      </c>
      <c r="AI740">
        <f>N(AI739)+$AH740</f>
        <v>0</v>
      </c>
      <c r="AJ740" s="7" t="n"/>
      <c r="AL740">
        <f>IF(OR($AL$1="",对接源_01水果!$Y740="",对接源_01水果!$Y740&lt;&gt;$AL$1,对接源_01水果!$B740="",N(对接源_01水果!$AJ740)&lt;=0),0,IF(OR(N(对接源_01水果!$B740)&lt;$AL$2,N(对接源_01水果!$B740)&gt;$AL$3),0,1))</f>
        <v>0</v>
      </c>
      <c r="AM740">
        <f>N(AM739)+$AL740</f>
        <v>2</v>
      </c>
      <c r="AN740">
        <f>IF(对接源_01水果!$AC740="","",对接源_01水果!$AC740)</f>
      </c>
      <c r="AO740">
        <f>IF(AN740="",0,IF(MATCH(AN740,$AN$4:$AN$1203,0)=ROW()-3,1,0))</f>
        <v>0</v>
      </c>
      <c r="AP740">
        <f>N(AP739)+$AO740</f>
        <v>13</v>
      </c>
      <c r="AR740">
        <f>IF(OR($AF740=1,$AH740=1),1,0)</f>
        <v>0</v>
      </c>
      <c r="AS740">
        <f>N(AS739)+$AR740</f>
        <v>0</v>
      </c>
    </row>
    <row r="741" ht="14.25" customHeight="1" s="127">
      <c r="A741">
        <f>IF(对接源_01水果!$C741="","",对接源_01水果!$C741)</f>
      </c>
      <c r="B741">
        <f>IF(A741="",0,IF(MATCH(A741,$A$4:$A$2403,0)=ROW()-3,1,0))</f>
        <v>0</v>
      </c>
      <c r="C741">
        <f>N(C740)+B741</f>
        <v>22</v>
      </c>
      <c r="K741">
        <f>IF(OR($K$1="",对接源_01水果!$C741="",对接源_01水果!$C741&lt;&gt;$K$1,对接源_01水果!$B741=""),0,IF(OR(N(对接源_01水果!$B741)&lt;$K$2,N(对接源_01水果!$B741)&gt;$K$3),0,1))</f>
        <v>0</v>
      </c>
      <c r="L741">
        <f>IF(OR($L$1="",对接源_01水果!$C741="",对接源_01水果!$C741&lt;&gt;$L$1,对接源_01水果!$B741=""),0,IF(OR(N(对接源_01水果!$B741)&lt;$L$2,N(对接源_01水果!$B741)&gt;$L$3),0,1))</f>
        <v>0</v>
      </c>
      <c r="M741">
        <f>IF(OR($M$1="",对接源_01水果!$C741="",对接源_01水果!$C741&lt;&gt;$M$1,对接源_01水果!$B741=""),0,IF(OR(N(对接源_01水果!$B741)&lt;$M$2,N(对接源_01水果!$B741)&gt;$M$3),0,1))</f>
        <v>0</v>
      </c>
      <c r="N741">
        <f>IF(OR($N$1="",对接源_01水果!$C741="",对接源_01水果!$C741&lt;&gt;$N$1,对接源_01水果!$B741=""),0,IF(OR(N(对接源_01水果!$B741)&lt;$N$2,N(对接源_01水果!$B741)&gt;$N$3),0,1))</f>
        <v>0</v>
      </c>
      <c r="P741">
        <f>IF(AND($K741=1,AND(对接源_01水果!$X741="公司筐",N(对接源_01水果!$T741)&lt;&gt;0)),1,0)</f>
        <v>0</v>
      </c>
      <c r="Q741">
        <f>N(Q740)+$P741</f>
        <v>0</v>
      </c>
      <c r="R741">
        <f>IF(AND($K741=1,AND(对接源_01水果!$X741="公司筐",N(对接源_01水果!$U741)&lt;&gt;0)),1,0)</f>
        <v>0</v>
      </c>
      <c r="S741">
        <f>N(S740)+$R741</f>
        <v>0</v>
      </c>
      <c r="T741">
        <f>IF(AND($K741=1,AND(对接源_01水果!$X741="公司筐",N(对接源_01水果!$V741)&lt;&gt;0)),1,0)</f>
        <v>0</v>
      </c>
      <c r="U741">
        <f>N(U740)+$T741</f>
        <v>47</v>
      </c>
      <c r="V741">
        <f>IF(AND($L741=1,AND(对接源_01水果!$X741="自备筐",N(对接源_01水果!$V741)&lt;&gt;0)),1,0)</f>
        <v>0</v>
      </c>
      <c r="W741">
        <f>N(W740)+$V741</f>
        <v>11</v>
      </c>
      <c r="X741">
        <f>IF(AND($L741=1,AND(对接源_01水果!$X741="自备筐",N(对接源_01水果!$T741)&lt;&gt;0)),1,0)</f>
        <v>0</v>
      </c>
      <c r="Y741">
        <f>N(Y740)+$X741</f>
        <v>0</v>
      </c>
      <c r="Z741">
        <f>IF(AND($M741=1,对接源_01水果!$D741="原料入库"),1,0)</f>
        <v>0</v>
      </c>
      <c r="AA741">
        <f>N(AA740)+$Z741</f>
        <v>24</v>
      </c>
      <c r="AB741">
        <f>IF(AND($M741=1,LEFT(对接源_01水果!$D741,4)="原料出库"),1,0)</f>
        <v>0</v>
      </c>
      <c r="AC741">
        <f>N(AC740)+$AB741</f>
        <v>0</v>
      </c>
      <c r="AD741">
        <f>IF(AND($M741=1,LEFT(对接源_01水果!$D741,4)="成品出库"),1,0)</f>
        <v>0</v>
      </c>
      <c r="AE741">
        <f>N(AE740)+$AD741</f>
        <v>0</v>
      </c>
      <c r="AF741">
        <f>IF(AND($N741=1,AND(LEFT(对接源_01水果!$D741,4)="包装物料",N(对接源_01水果!$K741)&lt;&gt;0)),1,0)</f>
        <v>0</v>
      </c>
      <c r="AG741">
        <f>N(AG740)+$AF741</f>
        <v>0</v>
      </c>
      <c r="AH741">
        <f>IF(AND($N741=1,AND(对接源_01水果!$D741="周转筐－销售出库",N(对接源_01水果!$K741)&lt;&gt;0)),1,0)</f>
        <v>0</v>
      </c>
      <c r="AI741">
        <f>N(AI740)+$AH741</f>
        <v>0</v>
      </c>
      <c r="AJ741" s="7" t="n"/>
      <c r="AL741">
        <f>IF(OR($AL$1="",对接源_01水果!$Y741="",对接源_01水果!$Y741&lt;&gt;$AL$1,对接源_01水果!$B741="",N(对接源_01水果!$AJ741)&lt;=0),0,IF(OR(N(对接源_01水果!$B741)&lt;$AL$2,N(对接源_01水果!$B741)&gt;$AL$3),0,1))</f>
        <v>0</v>
      </c>
      <c r="AM741">
        <f>N(AM740)+$AL741</f>
        <v>2</v>
      </c>
      <c r="AN741">
        <f>IF(对接源_01水果!$AC741="","",对接源_01水果!$AC741)</f>
      </c>
      <c r="AO741">
        <f>IF(AN741="",0,IF(MATCH(AN741,$AN$4:$AN$1203,0)=ROW()-3,1,0))</f>
        <v>0</v>
      </c>
      <c r="AP741">
        <f>N(AP740)+$AO741</f>
        <v>13</v>
      </c>
      <c r="AR741">
        <f>IF(OR($AF741=1,$AH741=1),1,0)</f>
        <v>0</v>
      </c>
      <c r="AS741">
        <f>N(AS740)+$AR741</f>
        <v>0</v>
      </c>
    </row>
    <row r="742" ht="14.25" customHeight="1" s="127">
      <c r="A742">
        <f>IF(对接源_01水果!$C742="","",对接源_01水果!$C742)</f>
      </c>
      <c r="B742">
        <f>IF(A742="",0,IF(MATCH(A742,$A$4:$A$2403,0)=ROW()-3,1,0))</f>
        <v>0</v>
      </c>
      <c r="C742">
        <f>N(C741)+B742</f>
        <v>22</v>
      </c>
      <c r="K742">
        <f>IF(OR($K$1="",对接源_01水果!$C742="",对接源_01水果!$C742&lt;&gt;$K$1,对接源_01水果!$B742=""),0,IF(OR(N(对接源_01水果!$B742)&lt;$K$2,N(对接源_01水果!$B742)&gt;$K$3),0,1))</f>
        <v>0</v>
      </c>
      <c r="L742">
        <f>IF(OR($L$1="",对接源_01水果!$C742="",对接源_01水果!$C742&lt;&gt;$L$1,对接源_01水果!$B742=""),0,IF(OR(N(对接源_01水果!$B742)&lt;$L$2,N(对接源_01水果!$B742)&gt;$L$3),0,1))</f>
        <v>0</v>
      </c>
      <c r="M742">
        <f>IF(OR($M$1="",对接源_01水果!$C742="",对接源_01水果!$C742&lt;&gt;$M$1,对接源_01水果!$B742=""),0,IF(OR(N(对接源_01水果!$B742)&lt;$M$2,N(对接源_01水果!$B742)&gt;$M$3),0,1))</f>
        <v>0</v>
      </c>
      <c r="N742">
        <f>IF(OR($N$1="",对接源_01水果!$C742="",对接源_01水果!$C742&lt;&gt;$N$1,对接源_01水果!$B742=""),0,IF(OR(N(对接源_01水果!$B742)&lt;$N$2,N(对接源_01水果!$B742)&gt;$N$3),0,1))</f>
        <v>0</v>
      </c>
      <c r="P742">
        <f>IF(AND($K742=1,AND(对接源_01水果!$X742="公司筐",N(对接源_01水果!$T742)&lt;&gt;0)),1,0)</f>
        <v>0</v>
      </c>
      <c r="Q742">
        <f>N(Q741)+$P742</f>
        <v>0</v>
      </c>
      <c r="R742">
        <f>IF(AND($K742=1,AND(对接源_01水果!$X742="公司筐",N(对接源_01水果!$U742)&lt;&gt;0)),1,0)</f>
        <v>0</v>
      </c>
      <c r="S742">
        <f>N(S741)+$R742</f>
        <v>0</v>
      </c>
      <c r="T742">
        <f>IF(AND($K742=1,AND(对接源_01水果!$X742="公司筐",N(对接源_01水果!$V742)&lt;&gt;0)),1,0)</f>
        <v>0</v>
      </c>
      <c r="U742">
        <f>N(U741)+$T742</f>
        <v>47</v>
      </c>
      <c r="V742">
        <f>IF(AND($L742=1,AND(对接源_01水果!$X742="自备筐",N(对接源_01水果!$V742)&lt;&gt;0)),1,0)</f>
        <v>0</v>
      </c>
      <c r="W742">
        <f>N(W741)+$V742</f>
        <v>11</v>
      </c>
      <c r="X742">
        <f>IF(AND($L742=1,AND(对接源_01水果!$X742="自备筐",N(对接源_01水果!$T742)&lt;&gt;0)),1,0)</f>
        <v>0</v>
      </c>
      <c r="Y742">
        <f>N(Y741)+$X742</f>
        <v>0</v>
      </c>
      <c r="Z742">
        <f>IF(AND($M742=1,对接源_01水果!$D742="原料入库"),1,0)</f>
        <v>0</v>
      </c>
      <c r="AA742">
        <f>N(AA741)+$Z742</f>
        <v>24</v>
      </c>
      <c r="AB742">
        <f>IF(AND($M742=1,LEFT(对接源_01水果!$D742,4)="原料出库"),1,0)</f>
        <v>0</v>
      </c>
      <c r="AC742">
        <f>N(AC741)+$AB742</f>
        <v>0</v>
      </c>
      <c r="AD742">
        <f>IF(AND($M742=1,LEFT(对接源_01水果!$D742,4)="成品出库"),1,0)</f>
        <v>0</v>
      </c>
      <c r="AE742">
        <f>N(AE741)+$AD742</f>
        <v>0</v>
      </c>
      <c r="AF742">
        <f>IF(AND($N742=1,AND(LEFT(对接源_01水果!$D742,4)="包装物料",N(对接源_01水果!$K742)&lt;&gt;0)),1,0)</f>
        <v>0</v>
      </c>
      <c r="AG742">
        <f>N(AG741)+$AF742</f>
        <v>0</v>
      </c>
      <c r="AH742">
        <f>IF(AND($N742=1,AND(对接源_01水果!$D742="周转筐－销售出库",N(对接源_01水果!$K742)&lt;&gt;0)),1,0)</f>
        <v>0</v>
      </c>
      <c r="AI742">
        <f>N(AI741)+$AH742</f>
        <v>0</v>
      </c>
      <c r="AJ742" s="7" t="n"/>
      <c r="AL742">
        <f>IF(OR($AL$1="",对接源_01水果!$Y742="",对接源_01水果!$Y742&lt;&gt;$AL$1,对接源_01水果!$B742="",N(对接源_01水果!$AJ742)&lt;=0),0,IF(OR(N(对接源_01水果!$B742)&lt;$AL$2,N(对接源_01水果!$B742)&gt;$AL$3),0,1))</f>
        <v>0</v>
      </c>
      <c r="AM742">
        <f>N(AM741)+$AL742</f>
        <v>2</v>
      </c>
      <c r="AN742">
        <f>IF(对接源_01水果!$AC742="","",对接源_01水果!$AC742)</f>
      </c>
      <c r="AO742">
        <f>IF(AN742="",0,IF(MATCH(AN742,$AN$4:$AN$1203,0)=ROW()-3,1,0))</f>
        <v>0</v>
      </c>
      <c r="AP742">
        <f>N(AP741)+$AO742</f>
        <v>13</v>
      </c>
      <c r="AR742">
        <f>IF(OR($AF742=1,$AH742=1),1,0)</f>
        <v>0</v>
      </c>
      <c r="AS742">
        <f>N(AS741)+$AR742</f>
        <v>0</v>
      </c>
    </row>
    <row r="743" ht="14.25" customHeight="1" s="127">
      <c r="A743">
        <f>IF(对接源_01水果!$C743="","",对接源_01水果!$C743)</f>
      </c>
      <c r="B743">
        <f>IF(A743="",0,IF(MATCH(A743,$A$4:$A$2403,0)=ROW()-3,1,0))</f>
        <v>0</v>
      </c>
      <c r="C743">
        <f>N(C742)+B743</f>
        <v>22</v>
      </c>
      <c r="K743">
        <f>IF(OR($K$1="",对接源_01水果!$C743="",对接源_01水果!$C743&lt;&gt;$K$1,对接源_01水果!$B743=""),0,IF(OR(N(对接源_01水果!$B743)&lt;$K$2,N(对接源_01水果!$B743)&gt;$K$3),0,1))</f>
        <v>0</v>
      </c>
      <c r="L743">
        <f>IF(OR($L$1="",对接源_01水果!$C743="",对接源_01水果!$C743&lt;&gt;$L$1,对接源_01水果!$B743=""),0,IF(OR(N(对接源_01水果!$B743)&lt;$L$2,N(对接源_01水果!$B743)&gt;$L$3),0,1))</f>
        <v>0</v>
      </c>
      <c r="M743">
        <f>IF(OR($M$1="",对接源_01水果!$C743="",对接源_01水果!$C743&lt;&gt;$M$1,对接源_01水果!$B743=""),0,IF(OR(N(对接源_01水果!$B743)&lt;$M$2,N(对接源_01水果!$B743)&gt;$M$3),0,1))</f>
        <v>0</v>
      </c>
      <c r="N743">
        <f>IF(OR($N$1="",对接源_01水果!$C743="",对接源_01水果!$C743&lt;&gt;$N$1,对接源_01水果!$B743=""),0,IF(OR(N(对接源_01水果!$B743)&lt;$N$2,N(对接源_01水果!$B743)&gt;$N$3),0,1))</f>
        <v>0</v>
      </c>
      <c r="P743">
        <f>IF(AND($K743=1,AND(对接源_01水果!$X743="公司筐",N(对接源_01水果!$T743)&lt;&gt;0)),1,0)</f>
        <v>0</v>
      </c>
      <c r="Q743">
        <f>N(Q742)+$P743</f>
        <v>0</v>
      </c>
      <c r="R743">
        <f>IF(AND($K743=1,AND(对接源_01水果!$X743="公司筐",N(对接源_01水果!$U743)&lt;&gt;0)),1,0)</f>
        <v>0</v>
      </c>
      <c r="S743">
        <f>N(S742)+$R743</f>
        <v>0</v>
      </c>
      <c r="T743">
        <f>IF(AND($K743=1,AND(对接源_01水果!$X743="公司筐",N(对接源_01水果!$V743)&lt;&gt;0)),1,0)</f>
        <v>0</v>
      </c>
      <c r="U743">
        <f>N(U742)+$T743</f>
        <v>47</v>
      </c>
      <c r="V743">
        <f>IF(AND($L743=1,AND(对接源_01水果!$X743="自备筐",N(对接源_01水果!$V743)&lt;&gt;0)),1,0)</f>
        <v>0</v>
      </c>
      <c r="W743">
        <f>N(W742)+$V743</f>
        <v>11</v>
      </c>
      <c r="X743">
        <f>IF(AND($L743=1,AND(对接源_01水果!$X743="自备筐",N(对接源_01水果!$T743)&lt;&gt;0)),1,0)</f>
        <v>0</v>
      </c>
      <c r="Y743">
        <f>N(Y742)+$X743</f>
        <v>0</v>
      </c>
      <c r="Z743">
        <f>IF(AND($M743=1,对接源_01水果!$D743="原料入库"),1,0)</f>
        <v>0</v>
      </c>
      <c r="AA743">
        <f>N(AA742)+$Z743</f>
        <v>24</v>
      </c>
      <c r="AB743">
        <f>IF(AND($M743=1,LEFT(对接源_01水果!$D743,4)="原料出库"),1,0)</f>
        <v>0</v>
      </c>
      <c r="AC743">
        <f>N(AC742)+$AB743</f>
        <v>0</v>
      </c>
      <c r="AD743">
        <f>IF(AND($M743=1,LEFT(对接源_01水果!$D743,4)="成品出库"),1,0)</f>
        <v>0</v>
      </c>
      <c r="AE743">
        <f>N(AE742)+$AD743</f>
        <v>0</v>
      </c>
      <c r="AF743">
        <f>IF(AND($N743=1,AND(LEFT(对接源_01水果!$D743,4)="包装物料",N(对接源_01水果!$K743)&lt;&gt;0)),1,0)</f>
        <v>0</v>
      </c>
      <c r="AG743">
        <f>N(AG742)+$AF743</f>
        <v>0</v>
      </c>
      <c r="AH743">
        <f>IF(AND($N743=1,AND(对接源_01水果!$D743="周转筐－销售出库",N(对接源_01水果!$K743)&lt;&gt;0)),1,0)</f>
        <v>0</v>
      </c>
      <c r="AI743">
        <f>N(AI742)+$AH743</f>
        <v>0</v>
      </c>
      <c r="AJ743" s="7" t="n"/>
      <c r="AL743">
        <f>IF(OR($AL$1="",对接源_01水果!$Y743="",对接源_01水果!$Y743&lt;&gt;$AL$1,对接源_01水果!$B743="",N(对接源_01水果!$AJ743)&lt;=0),0,IF(OR(N(对接源_01水果!$B743)&lt;$AL$2,N(对接源_01水果!$B743)&gt;$AL$3),0,1))</f>
        <v>0</v>
      </c>
      <c r="AM743">
        <f>N(AM742)+$AL743</f>
        <v>2</v>
      </c>
      <c r="AN743">
        <f>IF(对接源_01水果!$AC743="","",对接源_01水果!$AC743)</f>
      </c>
      <c r="AO743">
        <f>IF(AN743="",0,IF(MATCH(AN743,$AN$4:$AN$1203,0)=ROW()-3,1,0))</f>
        <v>0</v>
      </c>
      <c r="AP743">
        <f>N(AP742)+$AO743</f>
        <v>13</v>
      </c>
      <c r="AR743">
        <f>IF(OR($AF743=1,$AH743=1),1,0)</f>
        <v>0</v>
      </c>
      <c r="AS743">
        <f>N(AS742)+$AR743</f>
        <v>0</v>
      </c>
    </row>
    <row r="744" ht="14.25" customHeight="1" s="127">
      <c r="A744">
        <f>IF(对接源_01水果!$C744="","",对接源_01水果!$C744)</f>
      </c>
      <c r="B744">
        <f>IF(A744="",0,IF(MATCH(A744,$A$4:$A$2403,0)=ROW()-3,1,0))</f>
        <v>0</v>
      </c>
      <c r="C744">
        <f>N(C743)+B744</f>
        <v>22</v>
      </c>
      <c r="K744">
        <f>IF(OR($K$1="",对接源_01水果!$C744="",对接源_01水果!$C744&lt;&gt;$K$1,对接源_01水果!$B744=""),0,IF(OR(N(对接源_01水果!$B744)&lt;$K$2,N(对接源_01水果!$B744)&gt;$K$3),0,1))</f>
        <v>0</v>
      </c>
      <c r="L744">
        <f>IF(OR($L$1="",对接源_01水果!$C744="",对接源_01水果!$C744&lt;&gt;$L$1,对接源_01水果!$B744=""),0,IF(OR(N(对接源_01水果!$B744)&lt;$L$2,N(对接源_01水果!$B744)&gt;$L$3),0,1))</f>
        <v>0</v>
      </c>
      <c r="M744">
        <f>IF(OR($M$1="",对接源_01水果!$C744="",对接源_01水果!$C744&lt;&gt;$M$1,对接源_01水果!$B744=""),0,IF(OR(N(对接源_01水果!$B744)&lt;$M$2,N(对接源_01水果!$B744)&gt;$M$3),0,1))</f>
        <v>0</v>
      </c>
      <c r="N744">
        <f>IF(OR($N$1="",对接源_01水果!$C744="",对接源_01水果!$C744&lt;&gt;$N$1,对接源_01水果!$B744=""),0,IF(OR(N(对接源_01水果!$B744)&lt;$N$2,N(对接源_01水果!$B744)&gt;$N$3),0,1))</f>
        <v>0</v>
      </c>
      <c r="P744">
        <f>IF(AND($K744=1,AND(对接源_01水果!$X744="公司筐",N(对接源_01水果!$T744)&lt;&gt;0)),1,0)</f>
        <v>0</v>
      </c>
      <c r="Q744">
        <f>N(Q743)+$P744</f>
        <v>0</v>
      </c>
      <c r="R744">
        <f>IF(AND($K744=1,AND(对接源_01水果!$X744="公司筐",N(对接源_01水果!$U744)&lt;&gt;0)),1,0)</f>
        <v>0</v>
      </c>
      <c r="S744">
        <f>N(S743)+$R744</f>
        <v>0</v>
      </c>
      <c r="T744">
        <f>IF(AND($K744=1,AND(对接源_01水果!$X744="公司筐",N(对接源_01水果!$V744)&lt;&gt;0)),1,0)</f>
        <v>0</v>
      </c>
      <c r="U744">
        <f>N(U743)+$T744</f>
        <v>47</v>
      </c>
      <c r="V744">
        <f>IF(AND($L744=1,AND(对接源_01水果!$X744="自备筐",N(对接源_01水果!$V744)&lt;&gt;0)),1,0)</f>
        <v>0</v>
      </c>
      <c r="W744">
        <f>N(W743)+$V744</f>
        <v>11</v>
      </c>
      <c r="X744">
        <f>IF(AND($L744=1,AND(对接源_01水果!$X744="自备筐",N(对接源_01水果!$T744)&lt;&gt;0)),1,0)</f>
        <v>0</v>
      </c>
      <c r="Y744">
        <f>N(Y743)+$X744</f>
        <v>0</v>
      </c>
      <c r="Z744">
        <f>IF(AND($M744=1,对接源_01水果!$D744="原料入库"),1,0)</f>
        <v>0</v>
      </c>
      <c r="AA744">
        <f>N(AA743)+$Z744</f>
        <v>24</v>
      </c>
      <c r="AB744">
        <f>IF(AND($M744=1,LEFT(对接源_01水果!$D744,4)="原料出库"),1,0)</f>
        <v>0</v>
      </c>
      <c r="AC744">
        <f>N(AC743)+$AB744</f>
        <v>0</v>
      </c>
      <c r="AD744">
        <f>IF(AND($M744=1,LEFT(对接源_01水果!$D744,4)="成品出库"),1,0)</f>
        <v>0</v>
      </c>
      <c r="AE744">
        <f>N(AE743)+$AD744</f>
        <v>0</v>
      </c>
      <c r="AF744">
        <f>IF(AND($N744=1,AND(LEFT(对接源_01水果!$D744,4)="包装物料",N(对接源_01水果!$K744)&lt;&gt;0)),1,0)</f>
        <v>0</v>
      </c>
      <c r="AG744">
        <f>N(AG743)+$AF744</f>
        <v>0</v>
      </c>
      <c r="AH744">
        <f>IF(AND($N744=1,AND(对接源_01水果!$D744="周转筐－销售出库",N(对接源_01水果!$K744)&lt;&gt;0)),1,0)</f>
        <v>0</v>
      </c>
      <c r="AI744">
        <f>N(AI743)+$AH744</f>
        <v>0</v>
      </c>
      <c r="AJ744" s="7" t="n"/>
      <c r="AL744">
        <f>IF(OR($AL$1="",对接源_01水果!$Y744="",对接源_01水果!$Y744&lt;&gt;$AL$1,对接源_01水果!$B744="",N(对接源_01水果!$AJ744)&lt;=0),0,IF(OR(N(对接源_01水果!$B744)&lt;$AL$2,N(对接源_01水果!$B744)&gt;$AL$3),0,1))</f>
        <v>0</v>
      </c>
      <c r="AM744">
        <f>N(AM743)+$AL744</f>
        <v>2</v>
      </c>
      <c r="AN744">
        <f>IF(对接源_01水果!$AC744="","",对接源_01水果!$AC744)</f>
      </c>
      <c r="AO744">
        <f>IF(AN744="",0,IF(MATCH(AN744,$AN$4:$AN$1203,0)=ROW()-3,1,0))</f>
        <v>0</v>
      </c>
      <c r="AP744">
        <f>N(AP743)+$AO744</f>
        <v>13</v>
      </c>
      <c r="AR744">
        <f>IF(OR($AF744=1,$AH744=1),1,0)</f>
        <v>0</v>
      </c>
      <c r="AS744">
        <f>N(AS743)+$AR744</f>
        <v>0</v>
      </c>
    </row>
    <row r="745" ht="14.25" customHeight="1" s="127">
      <c r="A745">
        <f>IF(对接源_01水果!$C745="","",对接源_01水果!$C745)</f>
      </c>
      <c r="B745">
        <f>IF(A745="",0,IF(MATCH(A745,$A$4:$A$2403,0)=ROW()-3,1,0))</f>
        <v>0</v>
      </c>
      <c r="C745">
        <f>N(C744)+B745</f>
        <v>22</v>
      </c>
      <c r="K745">
        <f>IF(OR($K$1="",对接源_01水果!$C745="",对接源_01水果!$C745&lt;&gt;$K$1,对接源_01水果!$B745=""),0,IF(OR(N(对接源_01水果!$B745)&lt;$K$2,N(对接源_01水果!$B745)&gt;$K$3),0,1))</f>
        <v>0</v>
      </c>
      <c r="L745">
        <f>IF(OR($L$1="",对接源_01水果!$C745="",对接源_01水果!$C745&lt;&gt;$L$1,对接源_01水果!$B745=""),0,IF(OR(N(对接源_01水果!$B745)&lt;$L$2,N(对接源_01水果!$B745)&gt;$L$3),0,1))</f>
        <v>0</v>
      </c>
      <c r="M745">
        <f>IF(OR($M$1="",对接源_01水果!$C745="",对接源_01水果!$C745&lt;&gt;$M$1,对接源_01水果!$B745=""),0,IF(OR(N(对接源_01水果!$B745)&lt;$M$2,N(对接源_01水果!$B745)&gt;$M$3),0,1))</f>
        <v>0</v>
      </c>
      <c r="N745">
        <f>IF(OR($N$1="",对接源_01水果!$C745="",对接源_01水果!$C745&lt;&gt;$N$1,对接源_01水果!$B745=""),0,IF(OR(N(对接源_01水果!$B745)&lt;$N$2,N(对接源_01水果!$B745)&gt;$N$3),0,1))</f>
        <v>0</v>
      </c>
      <c r="P745">
        <f>IF(AND($K745=1,AND(对接源_01水果!$X745="公司筐",N(对接源_01水果!$T745)&lt;&gt;0)),1,0)</f>
        <v>0</v>
      </c>
      <c r="Q745">
        <f>N(Q744)+$P745</f>
        <v>0</v>
      </c>
      <c r="R745">
        <f>IF(AND($K745=1,AND(对接源_01水果!$X745="公司筐",N(对接源_01水果!$U745)&lt;&gt;0)),1,0)</f>
        <v>0</v>
      </c>
      <c r="S745">
        <f>N(S744)+$R745</f>
        <v>0</v>
      </c>
      <c r="T745">
        <f>IF(AND($K745=1,AND(对接源_01水果!$X745="公司筐",N(对接源_01水果!$V745)&lt;&gt;0)),1,0)</f>
        <v>0</v>
      </c>
      <c r="U745">
        <f>N(U744)+$T745</f>
        <v>47</v>
      </c>
      <c r="V745">
        <f>IF(AND($L745=1,AND(对接源_01水果!$X745="自备筐",N(对接源_01水果!$V745)&lt;&gt;0)),1,0)</f>
        <v>0</v>
      </c>
      <c r="W745">
        <f>N(W744)+$V745</f>
        <v>11</v>
      </c>
      <c r="X745">
        <f>IF(AND($L745=1,AND(对接源_01水果!$X745="自备筐",N(对接源_01水果!$T745)&lt;&gt;0)),1,0)</f>
        <v>0</v>
      </c>
      <c r="Y745">
        <f>N(Y744)+$X745</f>
        <v>0</v>
      </c>
      <c r="Z745">
        <f>IF(AND($M745=1,对接源_01水果!$D745="原料入库"),1,0)</f>
        <v>0</v>
      </c>
      <c r="AA745">
        <f>N(AA744)+$Z745</f>
        <v>24</v>
      </c>
      <c r="AB745">
        <f>IF(AND($M745=1,LEFT(对接源_01水果!$D745,4)="原料出库"),1,0)</f>
        <v>0</v>
      </c>
      <c r="AC745">
        <f>N(AC744)+$AB745</f>
        <v>0</v>
      </c>
      <c r="AD745">
        <f>IF(AND($M745=1,LEFT(对接源_01水果!$D745,4)="成品出库"),1,0)</f>
        <v>0</v>
      </c>
      <c r="AE745">
        <f>N(AE744)+$AD745</f>
        <v>0</v>
      </c>
      <c r="AF745">
        <f>IF(AND($N745=1,AND(LEFT(对接源_01水果!$D745,4)="包装物料",N(对接源_01水果!$K745)&lt;&gt;0)),1,0)</f>
        <v>0</v>
      </c>
      <c r="AG745">
        <f>N(AG744)+$AF745</f>
        <v>0</v>
      </c>
      <c r="AH745">
        <f>IF(AND($N745=1,AND(对接源_01水果!$D745="周转筐－销售出库",N(对接源_01水果!$K745)&lt;&gt;0)),1,0)</f>
        <v>0</v>
      </c>
      <c r="AI745">
        <f>N(AI744)+$AH745</f>
        <v>0</v>
      </c>
      <c r="AJ745" s="7" t="n"/>
      <c r="AL745">
        <f>IF(OR($AL$1="",对接源_01水果!$Y745="",对接源_01水果!$Y745&lt;&gt;$AL$1,对接源_01水果!$B745="",N(对接源_01水果!$AJ745)&lt;=0),0,IF(OR(N(对接源_01水果!$B745)&lt;$AL$2,N(对接源_01水果!$B745)&gt;$AL$3),0,1))</f>
        <v>0</v>
      </c>
      <c r="AM745">
        <f>N(AM744)+$AL745</f>
        <v>2</v>
      </c>
      <c r="AN745">
        <f>IF(对接源_01水果!$AC745="","",对接源_01水果!$AC745)</f>
      </c>
      <c r="AO745">
        <f>IF(AN745="",0,IF(MATCH(AN745,$AN$4:$AN$1203,0)=ROW()-3,1,0))</f>
        <v>0</v>
      </c>
      <c r="AP745">
        <f>N(AP744)+$AO745</f>
        <v>13</v>
      </c>
      <c r="AR745">
        <f>IF(OR($AF745=1,$AH745=1),1,0)</f>
        <v>0</v>
      </c>
      <c r="AS745">
        <f>N(AS744)+$AR745</f>
        <v>0</v>
      </c>
    </row>
    <row r="746" ht="14.25" customHeight="1" s="127">
      <c r="A746">
        <f>IF(对接源_01水果!$C746="","",对接源_01水果!$C746)</f>
      </c>
      <c r="B746">
        <f>IF(A746="",0,IF(MATCH(A746,$A$4:$A$2403,0)=ROW()-3,1,0))</f>
        <v>0</v>
      </c>
      <c r="C746">
        <f>N(C745)+B746</f>
        <v>22</v>
      </c>
      <c r="K746">
        <f>IF(OR($K$1="",对接源_01水果!$C746="",对接源_01水果!$C746&lt;&gt;$K$1,对接源_01水果!$B746=""),0,IF(OR(N(对接源_01水果!$B746)&lt;$K$2,N(对接源_01水果!$B746)&gt;$K$3),0,1))</f>
        <v>0</v>
      </c>
      <c r="L746">
        <f>IF(OR($L$1="",对接源_01水果!$C746="",对接源_01水果!$C746&lt;&gt;$L$1,对接源_01水果!$B746=""),0,IF(OR(N(对接源_01水果!$B746)&lt;$L$2,N(对接源_01水果!$B746)&gt;$L$3),0,1))</f>
        <v>0</v>
      </c>
      <c r="M746">
        <f>IF(OR($M$1="",对接源_01水果!$C746="",对接源_01水果!$C746&lt;&gt;$M$1,对接源_01水果!$B746=""),0,IF(OR(N(对接源_01水果!$B746)&lt;$M$2,N(对接源_01水果!$B746)&gt;$M$3),0,1))</f>
        <v>0</v>
      </c>
      <c r="N746">
        <f>IF(OR($N$1="",对接源_01水果!$C746="",对接源_01水果!$C746&lt;&gt;$N$1,对接源_01水果!$B746=""),0,IF(OR(N(对接源_01水果!$B746)&lt;$N$2,N(对接源_01水果!$B746)&gt;$N$3),0,1))</f>
        <v>0</v>
      </c>
      <c r="P746">
        <f>IF(AND($K746=1,AND(对接源_01水果!$X746="公司筐",N(对接源_01水果!$T746)&lt;&gt;0)),1,0)</f>
        <v>0</v>
      </c>
      <c r="Q746">
        <f>N(Q745)+$P746</f>
        <v>0</v>
      </c>
      <c r="R746">
        <f>IF(AND($K746=1,AND(对接源_01水果!$X746="公司筐",N(对接源_01水果!$U746)&lt;&gt;0)),1,0)</f>
        <v>0</v>
      </c>
      <c r="S746">
        <f>N(S745)+$R746</f>
        <v>0</v>
      </c>
      <c r="T746">
        <f>IF(AND($K746=1,AND(对接源_01水果!$X746="公司筐",N(对接源_01水果!$V746)&lt;&gt;0)),1,0)</f>
        <v>0</v>
      </c>
      <c r="U746">
        <f>N(U745)+$T746</f>
        <v>47</v>
      </c>
      <c r="V746">
        <f>IF(AND($L746=1,AND(对接源_01水果!$X746="自备筐",N(对接源_01水果!$V746)&lt;&gt;0)),1,0)</f>
        <v>0</v>
      </c>
      <c r="W746">
        <f>N(W745)+$V746</f>
        <v>11</v>
      </c>
      <c r="X746">
        <f>IF(AND($L746=1,AND(对接源_01水果!$X746="自备筐",N(对接源_01水果!$T746)&lt;&gt;0)),1,0)</f>
        <v>0</v>
      </c>
      <c r="Y746">
        <f>N(Y745)+$X746</f>
        <v>0</v>
      </c>
      <c r="Z746">
        <f>IF(AND($M746=1,对接源_01水果!$D746="原料入库"),1,0)</f>
        <v>0</v>
      </c>
      <c r="AA746">
        <f>N(AA745)+$Z746</f>
        <v>24</v>
      </c>
      <c r="AB746">
        <f>IF(AND($M746=1,LEFT(对接源_01水果!$D746,4)="原料出库"),1,0)</f>
        <v>0</v>
      </c>
      <c r="AC746">
        <f>N(AC745)+$AB746</f>
        <v>0</v>
      </c>
      <c r="AD746">
        <f>IF(AND($M746=1,LEFT(对接源_01水果!$D746,4)="成品出库"),1,0)</f>
        <v>0</v>
      </c>
      <c r="AE746">
        <f>N(AE745)+$AD746</f>
        <v>0</v>
      </c>
      <c r="AF746">
        <f>IF(AND($N746=1,AND(LEFT(对接源_01水果!$D746,4)="包装物料",N(对接源_01水果!$K746)&lt;&gt;0)),1,0)</f>
        <v>0</v>
      </c>
      <c r="AG746">
        <f>N(AG745)+$AF746</f>
        <v>0</v>
      </c>
      <c r="AH746">
        <f>IF(AND($N746=1,AND(对接源_01水果!$D746="周转筐－销售出库",N(对接源_01水果!$K746)&lt;&gt;0)),1,0)</f>
        <v>0</v>
      </c>
      <c r="AI746">
        <f>N(AI745)+$AH746</f>
        <v>0</v>
      </c>
      <c r="AJ746" s="7" t="n"/>
      <c r="AL746">
        <f>IF(OR($AL$1="",对接源_01水果!$Y746="",对接源_01水果!$Y746&lt;&gt;$AL$1,对接源_01水果!$B746="",N(对接源_01水果!$AJ746)&lt;=0),0,IF(OR(N(对接源_01水果!$B746)&lt;$AL$2,N(对接源_01水果!$B746)&gt;$AL$3),0,1))</f>
        <v>0</v>
      </c>
      <c r="AM746">
        <f>N(AM745)+$AL746</f>
        <v>2</v>
      </c>
      <c r="AN746">
        <f>IF(对接源_01水果!$AC746="","",对接源_01水果!$AC746)</f>
      </c>
      <c r="AO746">
        <f>IF(AN746="",0,IF(MATCH(AN746,$AN$4:$AN$1203,0)=ROW()-3,1,0))</f>
        <v>0</v>
      </c>
      <c r="AP746">
        <f>N(AP745)+$AO746</f>
        <v>13</v>
      </c>
      <c r="AR746">
        <f>IF(OR($AF746=1,$AH746=1),1,0)</f>
        <v>0</v>
      </c>
      <c r="AS746">
        <f>N(AS745)+$AR746</f>
        <v>0</v>
      </c>
    </row>
    <row r="747" ht="14.25" customHeight="1" s="127">
      <c r="A747">
        <f>IF(对接源_01水果!$C747="","",对接源_01水果!$C747)</f>
      </c>
      <c r="B747">
        <f>IF(A747="",0,IF(MATCH(A747,$A$4:$A$2403,0)=ROW()-3,1,0))</f>
        <v>0</v>
      </c>
      <c r="C747">
        <f>N(C746)+B747</f>
        <v>22</v>
      </c>
      <c r="K747">
        <f>IF(OR($K$1="",对接源_01水果!$C747="",对接源_01水果!$C747&lt;&gt;$K$1,对接源_01水果!$B747=""),0,IF(OR(N(对接源_01水果!$B747)&lt;$K$2,N(对接源_01水果!$B747)&gt;$K$3),0,1))</f>
        <v>0</v>
      </c>
      <c r="L747">
        <f>IF(OR($L$1="",对接源_01水果!$C747="",对接源_01水果!$C747&lt;&gt;$L$1,对接源_01水果!$B747=""),0,IF(OR(N(对接源_01水果!$B747)&lt;$L$2,N(对接源_01水果!$B747)&gt;$L$3),0,1))</f>
        <v>0</v>
      </c>
      <c r="M747">
        <f>IF(OR($M$1="",对接源_01水果!$C747="",对接源_01水果!$C747&lt;&gt;$M$1,对接源_01水果!$B747=""),0,IF(OR(N(对接源_01水果!$B747)&lt;$M$2,N(对接源_01水果!$B747)&gt;$M$3),0,1))</f>
        <v>0</v>
      </c>
      <c r="N747">
        <f>IF(OR($N$1="",对接源_01水果!$C747="",对接源_01水果!$C747&lt;&gt;$N$1,对接源_01水果!$B747=""),0,IF(OR(N(对接源_01水果!$B747)&lt;$N$2,N(对接源_01水果!$B747)&gt;$N$3),0,1))</f>
        <v>0</v>
      </c>
      <c r="P747">
        <f>IF(AND($K747=1,AND(对接源_01水果!$X747="公司筐",N(对接源_01水果!$T747)&lt;&gt;0)),1,0)</f>
        <v>0</v>
      </c>
      <c r="Q747">
        <f>N(Q746)+$P747</f>
        <v>0</v>
      </c>
      <c r="R747">
        <f>IF(AND($K747=1,AND(对接源_01水果!$X747="公司筐",N(对接源_01水果!$U747)&lt;&gt;0)),1,0)</f>
        <v>0</v>
      </c>
      <c r="S747">
        <f>N(S746)+$R747</f>
        <v>0</v>
      </c>
      <c r="T747">
        <f>IF(AND($K747=1,AND(对接源_01水果!$X747="公司筐",N(对接源_01水果!$V747)&lt;&gt;0)),1,0)</f>
        <v>0</v>
      </c>
      <c r="U747">
        <f>N(U746)+$T747</f>
        <v>47</v>
      </c>
      <c r="V747">
        <f>IF(AND($L747=1,AND(对接源_01水果!$X747="自备筐",N(对接源_01水果!$V747)&lt;&gt;0)),1,0)</f>
        <v>0</v>
      </c>
      <c r="W747">
        <f>N(W746)+$V747</f>
        <v>11</v>
      </c>
      <c r="X747">
        <f>IF(AND($L747=1,AND(对接源_01水果!$X747="自备筐",N(对接源_01水果!$T747)&lt;&gt;0)),1,0)</f>
        <v>0</v>
      </c>
      <c r="Y747">
        <f>N(Y746)+$X747</f>
        <v>0</v>
      </c>
      <c r="Z747">
        <f>IF(AND($M747=1,对接源_01水果!$D747="原料入库"),1,0)</f>
        <v>0</v>
      </c>
      <c r="AA747">
        <f>N(AA746)+$Z747</f>
        <v>24</v>
      </c>
      <c r="AB747">
        <f>IF(AND($M747=1,LEFT(对接源_01水果!$D747,4)="原料出库"),1,0)</f>
        <v>0</v>
      </c>
      <c r="AC747">
        <f>N(AC746)+$AB747</f>
        <v>0</v>
      </c>
      <c r="AD747">
        <f>IF(AND($M747=1,LEFT(对接源_01水果!$D747,4)="成品出库"),1,0)</f>
        <v>0</v>
      </c>
      <c r="AE747">
        <f>N(AE746)+$AD747</f>
        <v>0</v>
      </c>
      <c r="AF747">
        <f>IF(AND($N747=1,AND(LEFT(对接源_01水果!$D747,4)="包装物料",N(对接源_01水果!$K747)&lt;&gt;0)),1,0)</f>
        <v>0</v>
      </c>
      <c r="AG747">
        <f>N(AG746)+$AF747</f>
        <v>0</v>
      </c>
      <c r="AH747">
        <f>IF(AND($N747=1,AND(对接源_01水果!$D747="周转筐－销售出库",N(对接源_01水果!$K747)&lt;&gt;0)),1,0)</f>
        <v>0</v>
      </c>
      <c r="AI747">
        <f>N(AI746)+$AH747</f>
        <v>0</v>
      </c>
      <c r="AJ747" s="7" t="n"/>
      <c r="AL747">
        <f>IF(OR($AL$1="",对接源_01水果!$Y747="",对接源_01水果!$Y747&lt;&gt;$AL$1,对接源_01水果!$B747="",N(对接源_01水果!$AJ747)&lt;=0),0,IF(OR(N(对接源_01水果!$B747)&lt;$AL$2,N(对接源_01水果!$B747)&gt;$AL$3),0,1))</f>
        <v>0</v>
      </c>
      <c r="AM747">
        <f>N(AM746)+$AL747</f>
        <v>2</v>
      </c>
      <c r="AN747">
        <f>IF(对接源_01水果!$AC747="","",对接源_01水果!$AC747)</f>
      </c>
      <c r="AO747">
        <f>IF(AN747="",0,IF(MATCH(AN747,$AN$4:$AN$1203,0)=ROW()-3,1,0))</f>
        <v>0</v>
      </c>
      <c r="AP747">
        <f>N(AP746)+$AO747</f>
        <v>13</v>
      </c>
      <c r="AR747">
        <f>IF(OR($AF747=1,$AH747=1),1,0)</f>
        <v>0</v>
      </c>
      <c r="AS747">
        <f>N(AS746)+$AR747</f>
        <v>0</v>
      </c>
    </row>
    <row r="748" ht="14.25" customHeight="1" s="127">
      <c r="A748">
        <f>IF(对接源_01水果!$C748="","",对接源_01水果!$C748)</f>
      </c>
      <c r="B748">
        <f>IF(A748="",0,IF(MATCH(A748,$A$4:$A$2403,0)=ROW()-3,1,0))</f>
        <v>0</v>
      </c>
      <c r="C748">
        <f>N(C747)+B748</f>
        <v>22</v>
      </c>
      <c r="K748">
        <f>IF(OR($K$1="",对接源_01水果!$C748="",对接源_01水果!$C748&lt;&gt;$K$1,对接源_01水果!$B748=""),0,IF(OR(N(对接源_01水果!$B748)&lt;$K$2,N(对接源_01水果!$B748)&gt;$K$3),0,1))</f>
        <v>0</v>
      </c>
      <c r="L748">
        <f>IF(OR($L$1="",对接源_01水果!$C748="",对接源_01水果!$C748&lt;&gt;$L$1,对接源_01水果!$B748=""),0,IF(OR(N(对接源_01水果!$B748)&lt;$L$2,N(对接源_01水果!$B748)&gt;$L$3),0,1))</f>
        <v>0</v>
      </c>
      <c r="M748">
        <f>IF(OR($M$1="",对接源_01水果!$C748="",对接源_01水果!$C748&lt;&gt;$M$1,对接源_01水果!$B748=""),0,IF(OR(N(对接源_01水果!$B748)&lt;$M$2,N(对接源_01水果!$B748)&gt;$M$3),0,1))</f>
        <v>0</v>
      </c>
      <c r="N748">
        <f>IF(OR($N$1="",对接源_01水果!$C748="",对接源_01水果!$C748&lt;&gt;$N$1,对接源_01水果!$B748=""),0,IF(OR(N(对接源_01水果!$B748)&lt;$N$2,N(对接源_01水果!$B748)&gt;$N$3),0,1))</f>
        <v>0</v>
      </c>
      <c r="P748">
        <f>IF(AND($K748=1,AND(对接源_01水果!$X748="公司筐",N(对接源_01水果!$T748)&lt;&gt;0)),1,0)</f>
        <v>0</v>
      </c>
      <c r="Q748">
        <f>N(Q747)+$P748</f>
        <v>0</v>
      </c>
      <c r="R748">
        <f>IF(AND($K748=1,AND(对接源_01水果!$X748="公司筐",N(对接源_01水果!$U748)&lt;&gt;0)),1,0)</f>
        <v>0</v>
      </c>
      <c r="S748">
        <f>N(S747)+$R748</f>
        <v>0</v>
      </c>
      <c r="T748">
        <f>IF(AND($K748=1,AND(对接源_01水果!$X748="公司筐",N(对接源_01水果!$V748)&lt;&gt;0)),1,0)</f>
        <v>0</v>
      </c>
      <c r="U748">
        <f>N(U747)+$T748</f>
        <v>47</v>
      </c>
      <c r="V748">
        <f>IF(AND($L748=1,AND(对接源_01水果!$X748="自备筐",N(对接源_01水果!$V748)&lt;&gt;0)),1,0)</f>
        <v>0</v>
      </c>
      <c r="W748">
        <f>N(W747)+$V748</f>
        <v>11</v>
      </c>
      <c r="X748">
        <f>IF(AND($L748=1,AND(对接源_01水果!$X748="自备筐",N(对接源_01水果!$T748)&lt;&gt;0)),1,0)</f>
        <v>0</v>
      </c>
      <c r="Y748">
        <f>N(Y747)+$X748</f>
        <v>0</v>
      </c>
      <c r="Z748">
        <f>IF(AND($M748=1,对接源_01水果!$D748="原料入库"),1,0)</f>
        <v>0</v>
      </c>
      <c r="AA748">
        <f>N(AA747)+$Z748</f>
        <v>24</v>
      </c>
      <c r="AB748">
        <f>IF(AND($M748=1,LEFT(对接源_01水果!$D748,4)="原料出库"),1,0)</f>
        <v>0</v>
      </c>
      <c r="AC748">
        <f>N(AC747)+$AB748</f>
        <v>0</v>
      </c>
      <c r="AD748">
        <f>IF(AND($M748=1,LEFT(对接源_01水果!$D748,4)="成品出库"),1,0)</f>
        <v>0</v>
      </c>
      <c r="AE748">
        <f>N(AE747)+$AD748</f>
        <v>0</v>
      </c>
      <c r="AF748">
        <f>IF(AND($N748=1,AND(LEFT(对接源_01水果!$D748,4)="包装物料",N(对接源_01水果!$K748)&lt;&gt;0)),1,0)</f>
        <v>0</v>
      </c>
      <c r="AG748">
        <f>N(AG747)+$AF748</f>
        <v>0</v>
      </c>
      <c r="AH748">
        <f>IF(AND($N748=1,AND(对接源_01水果!$D748="周转筐－销售出库",N(对接源_01水果!$K748)&lt;&gt;0)),1,0)</f>
        <v>0</v>
      </c>
      <c r="AI748">
        <f>N(AI747)+$AH748</f>
        <v>0</v>
      </c>
      <c r="AJ748" s="7" t="n"/>
      <c r="AL748">
        <f>IF(OR($AL$1="",对接源_01水果!$Y748="",对接源_01水果!$Y748&lt;&gt;$AL$1,对接源_01水果!$B748="",N(对接源_01水果!$AJ748)&lt;=0),0,IF(OR(N(对接源_01水果!$B748)&lt;$AL$2,N(对接源_01水果!$B748)&gt;$AL$3),0,1))</f>
        <v>0</v>
      </c>
      <c r="AM748">
        <f>N(AM747)+$AL748</f>
        <v>2</v>
      </c>
      <c r="AN748">
        <f>IF(对接源_01水果!$AC748="","",对接源_01水果!$AC748)</f>
      </c>
      <c r="AO748">
        <f>IF(AN748="",0,IF(MATCH(AN748,$AN$4:$AN$1203,0)=ROW()-3,1,0))</f>
        <v>0</v>
      </c>
      <c r="AP748">
        <f>N(AP747)+$AO748</f>
        <v>13</v>
      </c>
      <c r="AR748">
        <f>IF(OR($AF748=1,$AH748=1),1,0)</f>
        <v>0</v>
      </c>
      <c r="AS748">
        <f>N(AS747)+$AR748</f>
        <v>0</v>
      </c>
    </row>
    <row r="749" ht="14.25" customHeight="1" s="127">
      <c r="A749">
        <f>IF(对接源_01水果!$C749="","",对接源_01水果!$C749)</f>
      </c>
      <c r="B749">
        <f>IF(A749="",0,IF(MATCH(A749,$A$4:$A$2403,0)=ROW()-3,1,0))</f>
        <v>0</v>
      </c>
      <c r="C749">
        <f>N(C748)+B749</f>
        <v>22</v>
      </c>
      <c r="K749">
        <f>IF(OR($K$1="",对接源_01水果!$C749="",对接源_01水果!$C749&lt;&gt;$K$1,对接源_01水果!$B749=""),0,IF(OR(N(对接源_01水果!$B749)&lt;$K$2,N(对接源_01水果!$B749)&gt;$K$3),0,1))</f>
        <v>0</v>
      </c>
      <c r="L749">
        <f>IF(OR($L$1="",对接源_01水果!$C749="",对接源_01水果!$C749&lt;&gt;$L$1,对接源_01水果!$B749=""),0,IF(OR(N(对接源_01水果!$B749)&lt;$L$2,N(对接源_01水果!$B749)&gt;$L$3),0,1))</f>
        <v>0</v>
      </c>
      <c r="M749">
        <f>IF(OR($M$1="",对接源_01水果!$C749="",对接源_01水果!$C749&lt;&gt;$M$1,对接源_01水果!$B749=""),0,IF(OR(N(对接源_01水果!$B749)&lt;$M$2,N(对接源_01水果!$B749)&gt;$M$3),0,1))</f>
        <v>0</v>
      </c>
      <c r="N749">
        <f>IF(OR($N$1="",对接源_01水果!$C749="",对接源_01水果!$C749&lt;&gt;$N$1,对接源_01水果!$B749=""),0,IF(OR(N(对接源_01水果!$B749)&lt;$N$2,N(对接源_01水果!$B749)&gt;$N$3),0,1))</f>
        <v>0</v>
      </c>
      <c r="P749">
        <f>IF(AND($K749=1,AND(对接源_01水果!$X749="公司筐",N(对接源_01水果!$T749)&lt;&gt;0)),1,0)</f>
        <v>0</v>
      </c>
      <c r="Q749">
        <f>N(Q748)+$P749</f>
        <v>0</v>
      </c>
      <c r="R749">
        <f>IF(AND($K749=1,AND(对接源_01水果!$X749="公司筐",N(对接源_01水果!$U749)&lt;&gt;0)),1,0)</f>
        <v>0</v>
      </c>
      <c r="S749">
        <f>N(S748)+$R749</f>
        <v>0</v>
      </c>
      <c r="T749">
        <f>IF(AND($K749=1,AND(对接源_01水果!$X749="公司筐",N(对接源_01水果!$V749)&lt;&gt;0)),1,0)</f>
        <v>0</v>
      </c>
      <c r="U749">
        <f>N(U748)+$T749</f>
        <v>47</v>
      </c>
      <c r="V749">
        <f>IF(AND($L749=1,AND(对接源_01水果!$X749="自备筐",N(对接源_01水果!$V749)&lt;&gt;0)),1,0)</f>
        <v>0</v>
      </c>
      <c r="W749">
        <f>N(W748)+$V749</f>
        <v>11</v>
      </c>
      <c r="X749">
        <f>IF(AND($L749=1,AND(对接源_01水果!$X749="自备筐",N(对接源_01水果!$T749)&lt;&gt;0)),1,0)</f>
        <v>0</v>
      </c>
      <c r="Y749">
        <f>N(Y748)+$X749</f>
        <v>0</v>
      </c>
      <c r="Z749">
        <f>IF(AND($M749=1,对接源_01水果!$D749="原料入库"),1,0)</f>
        <v>0</v>
      </c>
      <c r="AA749">
        <f>N(AA748)+$Z749</f>
        <v>24</v>
      </c>
      <c r="AB749">
        <f>IF(AND($M749=1,LEFT(对接源_01水果!$D749,4)="原料出库"),1,0)</f>
        <v>0</v>
      </c>
      <c r="AC749">
        <f>N(AC748)+$AB749</f>
        <v>0</v>
      </c>
      <c r="AD749">
        <f>IF(AND($M749=1,LEFT(对接源_01水果!$D749,4)="成品出库"),1,0)</f>
        <v>0</v>
      </c>
      <c r="AE749">
        <f>N(AE748)+$AD749</f>
        <v>0</v>
      </c>
      <c r="AF749">
        <f>IF(AND($N749=1,AND(LEFT(对接源_01水果!$D749,4)="包装物料",N(对接源_01水果!$K749)&lt;&gt;0)),1,0)</f>
        <v>0</v>
      </c>
      <c r="AG749">
        <f>N(AG748)+$AF749</f>
        <v>0</v>
      </c>
      <c r="AH749">
        <f>IF(AND($N749=1,AND(对接源_01水果!$D749="周转筐－销售出库",N(对接源_01水果!$K749)&lt;&gt;0)),1,0)</f>
        <v>0</v>
      </c>
      <c r="AI749">
        <f>N(AI748)+$AH749</f>
        <v>0</v>
      </c>
      <c r="AJ749" s="7" t="n"/>
      <c r="AL749">
        <f>IF(OR($AL$1="",对接源_01水果!$Y749="",对接源_01水果!$Y749&lt;&gt;$AL$1,对接源_01水果!$B749="",N(对接源_01水果!$AJ749)&lt;=0),0,IF(OR(N(对接源_01水果!$B749)&lt;$AL$2,N(对接源_01水果!$B749)&gt;$AL$3),0,1))</f>
        <v>0</v>
      </c>
      <c r="AM749">
        <f>N(AM748)+$AL749</f>
        <v>2</v>
      </c>
      <c r="AN749">
        <f>IF(对接源_01水果!$AC749="","",对接源_01水果!$AC749)</f>
      </c>
      <c r="AO749">
        <f>IF(AN749="",0,IF(MATCH(AN749,$AN$4:$AN$1203,0)=ROW()-3,1,0))</f>
        <v>0</v>
      </c>
      <c r="AP749">
        <f>N(AP748)+$AO749</f>
        <v>13</v>
      </c>
      <c r="AR749">
        <f>IF(OR($AF749=1,$AH749=1),1,0)</f>
        <v>0</v>
      </c>
      <c r="AS749">
        <f>N(AS748)+$AR749</f>
        <v>0</v>
      </c>
    </row>
    <row r="750" ht="14.25" customHeight="1" s="127">
      <c r="A750">
        <f>IF(对接源_01水果!$C750="","",对接源_01水果!$C750)</f>
      </c>
      <c r="B750">
        <f>IF(A750="",0,IF(MATCH(A750,$A$4:$A$2403,0)=ROW()-3,1,0))</f>
        <v>0</v>
      </c>
      <c r="C750">
        <f>N(C749)+B750</f>
        <v>22</v>
      </c>
      <c r="K750">
        <f>IF(OR($K$1="",对接源_01水果!$C750="",对接源_01水果!$C750&lt;&gt;$K$1,对接源_01水果!$B750=""),0,IF(OR(N(对接源_01水果!$B750)&lt;$K$2,N(对接源_01水果!$B750)&gt;$K$3),0,1))</f>
        <v>0</v>
      </c>
      <c r="L750">
        <f>IF(OR($L$1="",对接源_01水果!$C750="",对接源_01水果!$C750&lt;&gt;$L$1,对接源_01水果!$B750=""),0,IF(OR(N(对接源_01水果!$B750)&lt;$L$2,N(对接源_01水果!$B750)&gt;$L$3),0,1))</f>
        <v>0</v>
      </c>
      <c r="M750">
        <f>IF(OR($M$1="",对接源_01水果!$C750="",对接源_01水果!$C750&lt;&gt;$M$1,对接源_01水果!$B750=""),0,IF(OR(N(对接源_01水果!$B750)&lt;$M$2,N(对接源_01水果!$B750)&gt;$M$3),0,1))</f>
        <v>0</v>
      </c>
      <c r="N750">
        <f>IF(OR($N$1="",对接源_01水果!$C750="",对接源_01水果!$C750&lt;&gt;$N$1,对接源_01水果!$B750=""),0,IF(OR(N(对接源_01水果!$B750)&lt;$N$2,N(对接源_01水果!$B750)&gt;$N$3),0,1))</f>
        <v>0</v>
      </c>
      <c r="P750">
        <f>IF(AND($K750=1,AND(对接源_01水果!$X750="公司筐",N(对接源_01水果!$T750)&lt;&gt;0)),1,0)</f>
        <v>0</v>
      </c>
      <c r="Q750">
        <f>N(Q749)+$P750</f>
        <v>0</v>
      </c>
      <c r="R750">
        <f>IF(AND($K750=1,AND(对接源_01水果!$X750="公司筐",N(对接源_01水果!$U750)&lt;&gt;0)),1,0)</f>
        <v>0</v>
      </c>
      <c r="S750">
        <f>N(S749)+$R750</f>
        <v>0</v>
      </c>
      <c r="T750">
        <f>IF(AND($K750=1,AND(对接源_01水果!$X750="公司筐",N(对接源_01水果!$V750)&lt;&gt;0)),1,0)</f>
        <v>0</v>
      </c>
      <c r="U750">
        <f>N(U749)+$T750</f>
        <v>47</v>
      </c>
      <c r="V750">
        <f>IF(AND($L750=1,AND(对接源_01水果!$X750="自备筐",N(对接源_01水果!$V750)&lt;&gt;0)),1,0)</f>
        <v>0</v>
      </c>
      <c r="W750">
        <f>N(W749)+$V750</f>
        <v>11</v>
      </c>
      <c r="X750">
        <f>IF(AND($L750=1,AND(对接源_01水果!$X750="自备筐",N(对接源_01水果!$T750)&lt;&gt;0)),1,0)</f>
        <v>0</v>
      </c>
      <c r="Y750">
        <f>N(Y749)+$X750</f>
        <v>0</v>
      </c>
      <c r="Z750">
        <f>IF(AND($M750=1,对接源_01水果!$D750="原料入库"),1,0)</f>
        <v>0</v>
      </c>
      <c r="AA750">
        <f>N(AA749)+$Z750</f>
        <v>24</v>
      </c>
      <c r="AB750">
        <f>IF(AND($M750=1,LEFT(对接源_01水果!$D750,4)="原料出库"),1,0)</f>
        <v>0</v>
      </c>
      <c r="AC750">
        <f>N(AC749)+$AB750</f>
        <v>0</v>
      </c>
      <c r="AD750">
        <f>IF(AND($M750=1,LEFT(对接源_01水果!$D750,4)="成品出库"),1,0)</f>
        <v>0</v>
      </c>
      <c r="AE750">
        <f>N(AE749)+$AD750</f>
        <v>0</v>
      </c>
      <c r="AF750">
        <f>IF(AND($N750=1,AND(LEFT(对接源_01水果!$D750,4)="包装物料",N(对接源_01水果!$K750)&lt;&gt;0)),1,0)</f>
        <v>0</v>
      </c>
      <c r="AG750">
        <f>N(AG749)+$AF750</f>
        <v>0</v>
      </c>
      <c r="AH750">
        <f>IF(AND($N750=1,AND(对接源_01水果!$D750="周转筐－销售出库",N(对接源_01水果!$K750)&lt;&gt;0)),1,0)</f>
        <v>0</v>
      </c>
      <c r="AI750">
        <f>N(AI749)+$AH750</f>
        <v>0</v>
      </c>
      <c r="AJ750" s="7" t="n"/>
      <c r="AL750">
        <f>IF(OR($AL$1="",对接源_01水果!$Y750="",对接源_01水果!$Y750&lt;&gt;$AL$1,对接源_01水果!$B750="",N(对接源_01水果!$AJ750)&lt;=0),0,IF(OR(N(对接源_01水果!$B750)&lt;$AL$2,N(对接源_01水果!$B750)&gt;$AL$3),0,1))</f>
        <v>0</v>
      </c>
      <c r="AM750">
        <f>N(AM749)+$AL750</f>
        <v>2</v>
      </c>
      <c r="AN750">
        <f>IF(对接源_01水果!$AC750="","",对接源_01水果!$AC750)</f>
      </c>
      <c r="AO750">
        <f>IF(AN750="",0,IF(MATCH(AN750,$AN$4:$AN$1203,0)=ROW()-3,1,0))</f>
        <v>0</v>
      </c>
      <c r="AP750">
        <f>N(AP749)+$AO750</f>
        <v>13</v>
      </c>
      <c r="AR750">
        <f>IF(OR($AF750=1,$AH750=1),1,0)</f>
        <v>0</v>
      </c>
      <c r="AS750">
        <f>N(AS749)+$AR750</f>
        <v>0</v>
      </c>
    </row>
    <row r="751" ht="14.25" customHeight="1" s="127">
      <c r="A751">
        <f>IF(对接源_01水果!$C751="","",对接源_01水果!$C751)</f>
      </c>
      <c r="B751">
        <f>IF(A751="",0,IF(MATCH(A751,$A$4:$A$2403,0)=ROW()-3,1,0))</f>
        <v>0</v>
      </c>
      <c r="C751">
        <f>N(C750)+B751</f>
        <v>22</v>
      </c>
      <c r="K751">
        <f>IF(OR($K$1="",对接源_01水果!$C751="",对接源_01水果!$C751&lt;&gt;$K$1,对接源_01水果!$B751=""),0,IF(OR(N(对接源_01水果!$B751)&lt;$K$2,N(对接源_01水果!$B751)&gt;$K$3),0,1))</f>
        <v>0</v>
      </c>
      <c r="L751">
        <f>IF(OR($L$1="",对接源_01水果!$C751="",对接源_01水果!$C751&lt;&gt;$L$1,对接源_01水果!$B751=""),0,IF(OR(N(对接源_01水果!$B751)&lt;$L$2,N(对接源_01水果!$B751)&gt;$L$3),0,1))</f>
        <v>0</v>
      </c>
      <c r="M751">
        <f>IF(OR($M$1="",对接源_01水果!$C751="",对接源_01水果!$C751&lt;&gt;$M$1,对接源_01水果!$B751=""),0,IF(OR(N(对接源_01水果!$B751)&lt;$M$2,N(对接源_01水果!$B751)&gt;$M$3),0,1))</f>
        <v>0</v>
      </c>
      <c r="N751">
        <f>IF(OR($N$1="",对接源_01水果!$C751="",对接源_01水果!$C751&lt;&gt;$N$1,对接源_01水果!$B751=""),0,IF(OR(N(对接源_01水果!$B751)&lt;$N$2,N(对接源_01水果!$B751)&gt;$N$3),0,1))</f>
        <v>0</v>
      </c>
      <c r="P751">
        <f>IF(AND($K751=1,AND(对接源_01水果!$X751="公司筐",N(对接源_01水果!$T751)&lt;&gt;0)),1,0)</f>
        <v>0</v>
      </c>
      <c r="Q751">
        <f>N(Q750)+$P751</f>
        <v>0</v>
      </c>
      <c r="R751">
        <f>IF(AND($K751=1,AND(对接源_01水果!$X751="公司筐",N(对接源_01水果!$U751)&lt;&gt;0)),1,0)</f>
        <v>0</v>
      </c>
      <c r="S751">
        <f>N(S750)+$R751</f>
        <v>0</v>
      </c>
      <c r="T751">
        <f>IF(AND($K751=1,AND(对接源_01水果!$X751="公司筐",N(对接源_01水果!$V751)&lt;&gt;0)),1,0)</f>
        <v>0</v>
      </c>
      <c r="U751">
        <f>N(U750)+$T751</f>
        <v>47</v>
      </c>
      <c r="V751">
        <f>IF(AND($L751=1,AND(对接源_01水果!$X751="自备筐",N(对接源_01水果!$V751)&lt;&gt;0)),1,0)</f>
        <v>0</v>
      </c>
      <c r="W751">
        <f>N(W750)+$V751</f>
        <v>11</v>
      </c>
      <c r="X751">
        <f>IF(AND($L751=1,AND(对接源_01水果!$X751="自备筐",N(对接源_01水果!$T751)&lt;&gt;0)),1,0)</f>
        <v>0</v>
      </c>
      <c r="Y751">
        <f>N(Y750)+$X751</f>
        <v>0</v>
      </c>
      <c r="Z751">
        <f>IF(AND($M751=1,对接源_01水果!$D751="原料入库"),1,0)</f>
        <v>0</v>
      </c>
      <c r="AA751">
        <f>N(AA750)+$Z751</f>
        <v>24</v>
      </c>
      <c r="AB751">
        <f>IF(AND($M751=1,LEFT(对接源_01水果!$D751,4)="原料出库"),1,0)</f>
        <v>0</v>
      </c>
      <c r="AC751">
        <f>N(AC750)+$AB751</f>
        <v>0</v>
      </c>
      <c r="AD751">
        <f>IF(AND($M751=1,LEFT(对接源_01水果!$D751,4)="成品出库"),1,0)</f>
        <v>0</v>
      </c>
      <c r="AE751">
        <f>N(AE750)+$AD751</f>
        <v>0</v>
      </c>
      <c r="AF751">
        <f>IF(AND($N751=1,AND(LEFT(对接源_01水果!$D751,4)="包装物料",N(对接源_01水果!$K751)&lt;&gt;0)),1,0)</f>
        <v>0</v>
      </c>
      <c r="AG751">
        <f>N(AG750)+$AF751</f>
        <v>0</v>
      </c>
      <c r="AH751">
        <f>IF(AND($N751=1,AND(对接源_01水果!$D751="周转筐－销售出库",N(对接源_01水果!$K751)&lt;&gt;0)),1,0)</f>
        <v>0</v>
      </c>
      <c r="AI751">
        <f>N(AI750)+$AH751</f>
        <v>0</v>
      </c>
      <c r="AJ751" s="7" t="n"/>
      <c r="AL751">
        <f>IF(OR($AL$1="",对接源_01水果!$Y751="",对接源_01水果!$Y751&lt;&gt;$AL$1,对接源_01水果!$B751="",N(对接源_01水果!$AJ751)&lt;=0),0,IF(OR(N(对接源_01水果!$B751)&lt;$AL$2,N(对接源_01水果!$B751)&gt;$AL$3),0,1))</f>
        <v>0</v>
      </c>
      <c r="AM751">
        <f>N(AM750)+$AL751</f>
        <v>2</v>
      </c>
      <c r="AN751">
        <f>IF(对接源_01水果!$AC751="","",对接源_01水果!$AC751)</f>
      </c>
      <c r="AO751">
        <f>IF(AN751="",0,IF(MATCH(AN751,$AN$4:$AN$1203,0)=ROW()-3,1,0))</f>
        <v>0</v>
      </c>
      <c r="AP751">
        <f>N(AP750)+$AO751</f>
        <v>13</v>
      </c>
      <c r="AR751">
        <f>IF(OR($AF751=1,$AH751=1),1,0)</f>
        <v>0</v>
      </c>
      <c r="AS751">
        <f>N(AS750)+$AR751</f>
        <v>0</v>
      </c>
    </row>
    <row r="752" ht="14.25" customHeight="1" s="127">
      <c r="A752">
        <f>IF(对接源_01水果!$C752="","",对接源_01水果!$C752)</f>
      </c>
      <c r="B752">
        <f>IF(A752="",0,IF(MATCH(A752,$A$4:$A$2403,0)=ROW()-3,1,0))</f>
        <v>0</v>
      </c>
      <c r="C752">
        <f>N(C751)+B752</f>
        <v>22</v>
      </c>
      <c r="K752">
        <f>IF(OR($K$1="",对接源_01水果!$C752="",对接源_01水果!$C752&lt;&gt;$K$1,对接源_01水果!$B752=""),0,IF(OR(N(对接源_01水果!$B752)&lt;$K$2,N(对接源_01水果!$B752)&gt;$K$3),0,1))</f>
        <v>0</v>
      </c>
      <c r="L752">
        <f>IF(OR($L$1="",对接源_01水果!$C752="",对接源_01水果!$C752&lt;&gt;$L$1,对接源_01水果!$B752=""),0,IF(OR(N(对接源_01水果!$B752)&lt;$L$2,N(对接源_01水果!$B752)&gt;$L$3),0,1))</f>
        <v>0</v>
      </c>
      <c r="M752">
        <f>IF(OR($M$1="",对接源_01水果!$C752="",对接源_01水果!$C752&lt;&gt;$M$1,对接源_01水果!$B752=""),0,IF(OR(N(对接源_01水果!$B752)&lt;$M$2,N(对接源_01水果!$B752)&gt;$M$3),0,1))</f>
        <v>0</v>
      </c>
      <c r="N752">
        <f>IF(OR($N$1="",对接源_01水果!$C752="",对接源_01水果!$C752&lt;&gt;$N$1,对接源_01水果!$B752=""),0,IF(OR(N(对接源_01水果!$B752)&lt;$N$2,N(对接源_01水果!$B752)&gt;$N$3),0,1))</f>
        <v>0</v>
      </c>
      <c r="P752">
        <f>IF(AND($K752=1,AND(对接源_01水果!$X752="公司筐",N(对接源_01水果!$T752)&lt;&gt;0)),1,0)</f>
        <v>0</v>
      </c>
      <c r="Q752">
        <f>N(Q751)+$P752</f>
        <v>0</v>
      </c>
      <c r="R752">
        <f>IF(AND($K752=1,AND(对接源_01水果!$X752="公司筐",N(对接源_01水果!$U752)&lt;&gt;0)),1,0)</f>
        <v>0</v>
      </c>
      <c r="S752">
        <f>N(S751)+$R752</f>
        <v>0</v>
      </c>
      <c r="T752">
        <f>IF(AND($K752=1,AND(对接源_01水果!$X752="公司筐",N(对接源_01水果!$V752)&lt;&gt;0)),1,0)</f>
        <v>0</v>
      </c>
      <c r="U752">
        <f>N(U751)+$T752</f>
        <v>47</v>
      </c>
      <c r="V752">
        <f>IF(AND($L752=1,AND(对接源_01水果!$X752="自备筐",N(对接源_01水果!$V752)&lt;&gt;0)),1,0)</f>
        <v>0</v>
      </c>
      <c r="W752">
        <f>N(W751)+$V752</f>
        <v>11</v>
      </c>
      <c r="X752">
        <f>IF(AND($L752=1,AND(对接源_01水果!$X752="自备筐",N(对接源_01水果!$T752)&lt;&gt;0)),1,0)</f>
        <v>0</v>
      </c>
      <c r="Y752">
        <f>N(Y751)+$X752</f>
        <v>0</v>
      </c>
      <c r="Z752">
        <f>IF(AND($M752=1,对接源_01水果!$D752="原料入库"),1,0)</f>
        <v>0</v>
      </c>
      <c r="AA752">
        <f>N(AA751)+$Z752</f>
        <v>24</v>
      </c>
      <c r="AB752">
        <f>IF(AND($M752=1,LEFT(对接源_01水果!$D752,4)="原料出库"),1,0)</f>
        <v>0</v>
      </c>
      <c r="AC752">
        <f>N(AC751)+$AB752</f>
        <v>0</v>
      </c>
      <c r="AD752">
        <f>IF(AND($M752=1,LEFT(对接源_01水果!$D752,4)="成品出库"),1,0)</f>
        <v>0</v>
      </c>
      <c r="AE752">
        <f>N(AE751)+$AD752</f>
        <v>0</v>
      </c>
      <c r="AF752">
        <f>IF(AND($N752=1,AND(LEFT(对接源_01水果!$D752,4)="包装物料",N(对接源_01水果!$K752)&lt;&gt;0)),1,0)</f>
        <v>0</v>
      </c>
      <c r="AG752">
        <f>N(AG751)+$AF752</f>
        <v>0</v>
      </c>
      <c r="AH752">
        <f>IF(AND($N752=1,AND(对接源_01水果!$D752="周转筐－销售出库",N(对接源_01水果!$K752)&lt;&gt;0)),1,0)</f>
        <v>0</v>
      </c>
      <c r="AI752">
        <f>N(AI751)+$AH752</f>
        <v>0</v>
      </c>
      <c r="AJ752" s="7" t="n"/>
      <c r="AL752">
        <f>IF(OR($AL$1="",对接源_01水果!$Y752="",对接源_01水果!$Y752&lt;&gt;$AL$1,对接源_01水果!$B752="",N(对接源_01水果!$AJ752)&lt;=0),0,IF(OR(N(对接源_01水果!$B752)&lt;$AL$2,N(对接源_01水果!$B752)&gt;$AL$3),0,1))</f>
        <v>0</v>
      </c>
      <c r="AM752">
        <f>N(AM751)+$AL752</f>
        <v>2</v>
      </c>
      <c r="AN752">
        <f>IF(对接源_01水果!$AC752="","",对接源_01水果!$AC752)</f>
      </c>
      <c r="AO752">
        <f>IF(AN752="",0,IF(MATCH(AN752,$AN$4:$AN$1203,0)=ROW()-3,1,0))</f>
        <v>0</v>
      </c>
      <c r="AP752">
        <f>N(AP751)+$AO752</f>
        <v>13</v>
      </c>
      <c r="AR752">
        <f>IF(OR($AF752=1,$AH752=1),1,0)</f>
        <v>0</v>
      </c>
      <c r="AS752">
        <f>N(AS751)+$AR752</f>
        <v>0</v>
      </c>
    </row>
    <row r="753" ht="14.25" customHeight="1" s="127">
      <c r="A753">
        <f>IF(对接源_01水果!$C753="","",对接源_01水果!$C753)</f>
      </c>
      <c r="B753">
        <f>IF(A753="",0,IF(MATCH(A753,$A$4:$A$2403,0)=ROW()-3,1,0))</f>
        <v>0</v>
      </c>
      <c r="C753">
        <f>N(C752)+B753</f>
        <v>22</v>
      </c>
      <c r="K753">
        <f>IF(OR($K$1="",对接源_01水果!$C753="",对接源_01水果!$C753&lt;&gt;$K$1,对接源_01水果!$B753=""),0,IF(OR(N(对接源_01水果!$B753)&lt;$K$2,N(对接源_01水果!$B753)&gt;$K$3),0,1))</f>
        <v>0</v>
      </c>
      <c r="L753">
        <f>IF(OR($L$1="",对接源_01水果!$C753="",对接源_01水果!$C753&lt;&gt;$L$1,对接源_01水果!$B753=""),0,IF(OR(N(对接源_01水果!$B753)&lt;$L$2,N(对接源_01水果!$B753)&gt;$L$3),0,1))</f>
        <v>0</v>
      </c>
      <c r="M753">
        <f>IF(OR($M$1="",对接源_01水果!$C753="",对接源_01水果!$C753&lt;&gt;$M$1,对接源_01水果!$B753=""),0,IF(OR(N(对接源_01水果!$B753)&lt;$M$2,N(对接源_01水果!$B753)&gt;$M$3),0,1))</f>
        <v>0</v>
      </c>
      <c r="N753">
        <f>IF(OR($N$1="",对接源_01水果!$C753="",对接源_01水果!$C753&lt;&gt;$N$1,对接源_01水果!$B753=""),0,IF(OR(N(对接源_01水果!$B753)&lt;$N$2,N(对接源_01水果!$B753)&gt;$N$3),0,1))</f>
        <v>0</v>
      </c>
      <c r="P753">
        <f>IF(AND($K753=1,AND(对接源_01水果!$X753="公司筐",N(对接源_01水果!$T753)&lt;&gt;0)),1,0)</f>
        <v>0</v>
      </c>
      <c r="Q753">
        <f>N(Q752)+$P753</f>
        <v>0</v>
      </c>
      <c r="R753">
        <f>IF(AND($K753=1,AND(对接源_01水果!$X753="公司筐",N(对接源_01水果!$U753)&lt;&gt;0)),1,0)</f>
        <v>0</v>
      </c>
      <c r="S753">
        <f>N(S752)+$R753</f>
        <v>0</v>
      </c>
      <c r="T753">
        <f>IF(AND($K753=1,AND(对接源_01水果!$X753="公司筐",N(对接源_01水果!$V753)&lt;&gt;0)),1,0)</f>
        <v>0</v>
      </c>
      <c r="U753">
        <f>N(U752)+$T753</f>
        <v>47</v>
      </c>
      <c r="V753">
        <f>IF(AND($L753=1,AND(对接源_01水果!$X753="自备筐",N(对接源_01水果!$V753)&lt;&gt;0)),1,0)</f>
        <v>0</v>
      </c>
      <c r="W753">
        <f>N(W752)+$V753</f>
        <v>11</v>
      </c>
      <c r="X753">
        <f>IF(AND($L753=1,AND(对接源_01水果!$X753="自备筐",N(对接源_01水果!$T753)&lt;&gt;0)),1,0)</f>
        <v>0</v>
      </c>
      <c r="Y753">
        <f>N(Y752)+$X753</f>
        <v>0</v>
      </c>
      <c r="Z753">
        <f>IF(AND($M753=1,对接源_01水果!$D753="原料入库"),1,0)</f>
        <v>0</v>
      </c>
      <c r="AA753">
        <f>N(AA752)+$Z753</f>
        <v>24</v>
      </c>
      <c r="AB753">
        <f>IF(AND($M753=1,LEFT(对接源_01水果!$D753,4)="原料出库"),1,0)</f>
        <v>0</v>
      </c>
      <c r="AC753">
        <f>N(AC752)+$AB753</f>
        <v>0</v>
      </c>
      <c r="AD753">
        <f>IF(AND($M753=1,LEFT(对接源_01水果!$D753,4)="成品出库"),1,0)</f>
        <v>0</v>
      </c>
      <c r="AE753">
        <f>N(AE752)+$AD753</f>
        <v>0</v>
      </c>
      <c r="AF753">
        <f>IF(AND($N753=1,AND(LEFT(对接源_01水果!$D753,4)="包装物料",N(对接源_01水果!$K753)&lt;&gt;0)),1,0)</f>
        <v>0</v>
      </c>
      <c r="AG753">
        <f>N(AG752)+$AF753</f>
        <v>0</v>
      </c>
      <c r="AH753">
        <f>IF(AND($N753=1,AND(对接源_01水果!$D753="周转筐－销售出库",N(对接源_01水果!$K753)&lt;&gt;0)),1,0)</f>
        <v>0</v>
      </c>
      <c r="AI753">
        <f>N(AI752)+$AH753</f>
        <v>0</v>
      </c>
      <c r="AJ753" s="7" t="n"/>
      <c r="AL753">
        <f>IF(OR($AL$1="",对接源_01水果!$Y753="",对接源_01水果!$Y753&lt;&gt;$AL$1,对接源_01水果!$B753="",N(对接源_01水果!$AJ753)&lt;=0),0,IF(OR(N(对接源_01水果!$B753)&lt;$AL$2,N(对接源_01水果!$B753)&gt;$AL$3),0,1))</f>
        <v>0</v>
      </c>
      <c r="AM753">
        <f>N(AM752)+$AL753</f>
        <v>2</v>
      </c>
      <c r="AN753">
        <f>IF(对接源_01水果!$AC753="","",对接源_01水果!$AC753)</f>
      </c>
      <c r="AO753">
        <f>IF(AN753="",0,IF(MATCH(AN753,$AN$4:$AN$1203,0)=ROW()-3,1,0))</f>
        <v>0</v>
      </c>
      <c r="AP753">
        <f>N(AP752)+$AO753</f>
        <v>13</v>
      </c>
      <c r="AR753">
        <f>IF(OR($AF753=1,$AH753=1),1,0)</f>
        <v>0</v>
      </c>
      <c r="AS753">
        <f>N(AS752)+$AR753</f>
        <v>0</v>
      </c>
    </row>
    <row r="754" ht="14.25" customHeight="1" s="127">
      <c r="A754">
        <f>IF(对接源_01水果!$C754="","",对接源_01水果!$C754)</f>
      </c>
      <c r="B754">
        <f>IF(A754="",0,IF(MATCH(A754,$A$4:$A$2403,0)=ROW()-3,1,0))</f>
        <v>0</v>
      </c>
      <c r="C754">
        <f>N(C753)+B754</f>
        <v>22</v>
      </c>
      <c r="K754">
        <f>IF(OR($K$1="",对接源_01水果!$C754="",对接源_01水果!$C754&lt;&gt;$K$1,对接源_01水果!$B754=""),0,IF(OR(N(对接源_01水果!$B754)&lt;$K$2,N(对接源_01水果!$B754)&gt;$K$3),0,1))</f>
        <v>0</v>
      </c>
      <c r="L754">
        <f>IF(OR($L$1="",对接源_01水果!$C754="",对接源_01水果!$C754&lt;&gt;$L$1,对接源_01水果!$B754=""),0,IF(OR(N(对接源_01水果!$B754)&lt;$L$2,N(对接源_01水果!$B754)&gt;$L$3),0,1))</f>
        <v>0</v>
      </c>
      <c r="M754">
        <f>IF(OR($M$1="",对接源_01水果!$C754="",对接源_01水果!$C754&lt;&gt;$M$1,对接源_01水果!$B754=""),0,IF(OR(N(对接源_01水果!$B754)&lt;$M$2,N(对接源_01水果!$B754)&gt;$M$3),0,1))</f>
        <v>0</v>
      </c>
      <c r="N754">
        <f>IF(OR($N$1="",对接源_01水果!$C754="",对接源_01水果!$C754&lt;&gt;$N$1,对接源_01水果!$B754=""),0,IF(OR(N(对接源_01水果!$B754)&lt;$N$2,N(对接源_01水果!$B754)&gt;$N$3),0,1))</f>
        <v>0</v>
      </c>
      <c r="P754">
        <f>IF(AND($K754=1,AND(对接源_01水果!$X754="公司筐",N(对接源_01水果!$T754)&lt;&gt;0)),1,0)</f>
        <v>0</v>
      </c>
      <c r="Q754">
        <f>N(Q753)+$P754</f>
        <v>0</v>
      </c>
      <c r="R754">
        <f>IF(AND($K754=1,AND(对接源_01水果!$X754="公司筐",N(对接源_01水果!$U754)&lt;&gt;0)),1,0)</f>
        <v>0</v>
      </c>
      <c r="S754">
        <f>N(S753)+$R754</f>
        <v>0</v>
      </c>
      <c r="T754">
        <f>IF(AND($K754=1,AND(对接源_01水果!$X754="公司筐",N(对接源_01水果!$V754)&lt;&gt;0)),1,0)</f>
        <v>0</v>
      </c>
      <c r="U754">
        <f>N(U753)+$T754</f>
        <v>47</v>
      </c>
      <c r="V754">
        <f>IF(AND($L754=1,AND(对接源_01水果!$X754="自备筐",N(对接源_01水果!$V754)&lt;&gt;0)),1,0)</f>
        <v>0</v>
      </c>
      <c r="W754">
        <f>N(W753)+$V754</f>
        <v>11</v>
      </c>
      <c r="X754">
        <f>IF(AND($L754=1,AND(对接源_01水果!$X754="自备筐",N(对接源_01水果!$T754)&lt;&gt;0)),1,0)</f>
        <v>0</v>
      </c>
      <c r="Y754">
        <f>N(Y753)+$X754</f>
        <v>0</v>
      </c>
      <c r="Z754">
        <f>IF(AND($M754=1,对接源_01水果!$D754="原料入库"),1,0)</f>
        <v>0</v>
      </c>
      <c r="AA754">
        <f>N(AA753)+$Z754</f>
        <v>24</v>
      </c>
      <c r="AB754">
        <f>IF(AND($M754=1,LEFT(对接源_01水果!$D754,4)="原料出库"),1,0)</f>
        <v>0</v>
      </c>
      <c r="AC754">
        <f>N(AC753)+$AB754</f>
        <v>0</v>
      </c>
      <c r="AD754">
        <f>IF(AND($M754=1,LEFT(对接源_01水果!$D754,4)="成品出库"),1,0)</f>
        <v>0</v>
      </c>
      <c r="AE754">
        <f>N(AE753)+$AD754</f>
        <v>0</v>
      </c>
      <c r="AF754">
        <f>IF(AND($N754=1,AND(LEFT(对接源_01水果!$D754,4)="包装物料",N(对接源_01水果!$K754)&lt;&gt;0)),1,0)</f>
        <v>0</v>
      </c>
      <c r="AG754">
        <f>N(AG753)+$AF754</f>
        <v>0</v>
      </c>
      <c r="AH754">
        <f>IF(AND($N754=1,AND(对接源_01水果!$D754="周转筐－销售出库",N(对接源_01水果!$K754)&lt;&gt;0)),1,0)</f>
        <v>0</v>
      </c>
      <c r="AI754">
        <f>N(AI753)+$AH754</f>
        <v>0</v>
      </c>
      <c r="AJ754" s="7" t="n"/>
      <c r="AL754">
        <f>IF(OR($AL$1="",对接源_01水果!$Y754="",对接源_01水果!$Y754&lt;&gt;$AL$1,对接源_01水果!$B754="",N(对接源_01水果!$AJ754)&lt;=0),0,IF(OR(N(对接源_01水果!$B754)&lt;$AL$2,N(对接源_01水果!$B754)&gt;$AL$3),0,1))</f>
        <v>0</v>
      </c>
      <c r="AM754">
        <f>N(AM753)+$AL754</f>
        <v>2</v>
      </c>
      <c r="AN754">
        <f>IF(对接源_01水果!$AC754="","",对接源_01水果!$AC754)</f>
      </c>
      <c r="AO754">
        <f>IF(AN754="",0,IF(MATCH(AN754,$AN$4:$AN$1203,0)=ROW()-3,1,0))</f>
        <v>0</v>
      </c>
      <c r="AP754">
        <f>N(AP753)+$AO754</f>
        <v>13</v>
      </c>
      <c r="AR754">
        <f>IF(OR($AF754=1,$AH754=1),1,0)</f>
        <v>0</v>
      </c>
      <c r="AS754">
        <f>N(AS753)+$AR754</f>
        <v>0</v>
      </c>
    </row>
    <row r="755" ht="14.25" customHeight="1" s="127">
      <c r="A755">
        <f>IF(对接源_01水果!$C755="","",对接源_01水果!$C755)</f>
      </c>
      <c r="B755">
        <f>IF(A755="",0,IF(MATCH(A755,$A$4:$A$2403,0)=ROW()-3,1,0))</f>
        <v>0</v>
      </c>
      <c r="C755">
        <f>N(C754)+B755</f>
        <v>22</v>
      </c>
      <c r="K755">
        <f>IF(OR($K$1="",对接源_01水果!$C755="",对接源_01水果!$C755&lt;&gt;$K$1,对接源_01水果!$B755=""),0,IF(OR(N(对接源_01水果!$B755)&lt;$K$2,N(对接源_01水果!$B755)&gt;$K$3),0,1))</f>
        <v>0</v>
      </c>
      <c r="L755">
        <f>IF(OR($L$1="",对接源_01水果!$C755="",对接源_01水果!$C755&lt;&gt;$L$1,对接源_01水果!$B755=""),0,IF(OR(N(对接源_01水果!$B755)&lt;$L$2,N(对接源_01水果!$B755)&gt;$L$3),0,1))</f>
        <v>0</v>
      </c>
      <c r="M755">
        <f>IF(OR($M$1="",对接源_01水果!$C755="",对接源_01水果!$C755&lt;&gt;$M$1,对接源_01水果!$B755=""),0,IF(OR(N(对接源_01水果!$B755)&lt;$M$2,N(对接源_01水果!$B755)&gt;$M$3),0,1))</f>
        <v>0</v>
      </c>
      <c r="N755">
        <f>IF(OR($N$1="",对接源_01水果!$C755="",对接源_01水果!$C755&lt;&gt;$N$1,对接源_01水果!$B755=""),0,IF(OR(N(对接源_01水果!$B755)&lt;$N$2,N(对接源_01水果!$B755)&gt;$N$3),0,1))</f>
        <v>0</v>
      </c>
      <c r="P755">
        <f>IF(AND($K755=1,AND(对接源_01水果!$X755="公司筐",N(对接源_01水果!$T755)&lt;&gt;0)),1,0)</f>
        <v>0</v>
      </c>
      <c r="Q755">
        <f>N(Q754)+$P755</f>
        <v>0</v>
      </c>
      <c r="R755">
        <f>IF(AND($K755=1,AND(对接源_01水果!$X755="公司筐",N(对接源_01水果!$U755)&lt;&gt;0)),1,0)</f>
        <v>0</v>
      </c>
      <c r="S755">
        <f>N(S754)+$R755</f>
        <v>0</v>
      </c>
      <c r="T755">
        <f>IF(AND($K755=1,AND(对接源_01水果!$X755="公司筐",N(对接源_01水果!$V755)&lt;&gt;0)),1,0)</f>
        <v>0</v>
      </c>
      <c r="U755">
        <f>N(U754)+$T755</f>
        <v>47</v>
      </c>
      <c r="V755">
        <f>IF(AND($L755=1,AND(对接源_01水果!$X755="自备筐",N(对接源_01水果!$V755)&lt;&gt;0)),1,0)</f>
        <v>0</v>
      </c>
      <c r="W755">
        <f>N(W754)+$V755</f>
        <v>11</v>
      </c>
      <c r="X755">
        <f>IF(AND($L755=1,AND(对接源_01水果!$X755="自备筐",N(对接源_01水果!$T755)&lt;&gt;0)),1,0)</f>
        <v>0</v>
      </c>
      <c r="Y755">
        <f>N(Y754)+$X755</f>
        <v>0</v>
      </c>
      <c r="Z755">
        <f>IF(AND($M755=1,对接源_01水果!$D755="原料入库"),1,0)</f>
        <v>0</v>
      </c>
      <c r="AA755">
        <f>N(AA754)+$Z755</f>
        <v>24</v>
      </c>
      <c r="AB755">
        <f>IF(AND($M755=1,LEFT(对接源_01水果!$D755,4)="原料出库"),1,0)</f>
        <v>0</v>
      </c>
      <c r="AC755">
        <f>N(AC754)+$AB755</f>
        <v>0</v>
      </c>
      <c r="AD755">
        <f>IF(AND($M755=1,LEFT(对接源_01水果!$D755,4)="成品出库"),1,0)</f>
        <v>0</v>
      </c>
      <c r="AE755">
        <f>N(AE754)+$AD755</f>
        <v>0</v>
      </c>
      <c r="AF755">
        <f>IF(AND($N755=1,AND(LEFT(对接源_01水果!$D755,4)="包装物料",N(对接源_01水果!$K755)&lt;&gt;0)),1,0)</f>
        <v>0</v>
      </c>
      <c r="AG755">
        <f>N(AG754)+$AF755</f>
        <v>0</v>
      </c>
      <c r="AH755">
        <f>IF(AND($N755=1,AND(对接源_01水果!$D755="周转筐－销售出库",N(对接源_01水果!$K755)&lt;&gt;0)),1,0)</f>
        <v>0</v>
      </c>
      <c r="AI755">
        <f>N(AI754)+$AH755</f>
        <v>0</v>
      </c>
      <c r="AJ755" s="7" t="n"/>
      <c r="AL755">
        <f>IF(OR($AL$1="",对接源_01水果!$Y755="",对接源_01水果!$Y755&lt;&gt;$AL$1,对接源_01水果!$B755="",N(对接源_01水果!$AJ755)&lt;=0),0,IF(OR(N(对接源_01水果!$B755)&lt;$AL$2,N(对接源_01水果!$B755)&gt;$AL$3),0,1))</f>
        <v>0</v>
      </c>
      <c r="AM755">
        <f>N(AM754)+$AL755</f>
        <v>2</v>
      </c>
      <c r="AN755">
        <f>IF(对接源_01水果!$AC755="","",对接源_01水果!$AC755)</f>
      </c>
      <c r="AO755">
        <f>IF(AN755="",0,IF(MATCH(AN755,$AN$4:$AN$1203,0)=ROW()-3,1,0))</f>
        <v>0</v>
      </c>
      <c r="AP755">
        <f>N(AP754)+$AO755</f>
        <v>13</v>
      </c>
      <c r="AR755">
        <f>IF(OR($AF755=1,$AH755=1),1,0)</f>
        <v>0</v>
      </c>
      <c r="AS755">
        <f>N(AS754)+$AR755</f>
        <v>0</v>
      </c>
    </row>
    <row r="756" ht="14.25" customHeight="1" s="127">
      <c r="A756">
        <f>IF(对接源_01水果!$C756="","",对接源_01水果!$C756)</f>
      </c>
      <c r="B756">
        <f>IF(A756="",0,IF(MATCH(A756,$A$4:$A$2403,0)=ROW()-3,1,0))</f>
        <v>0</v>
      </c>
      <c r="C756">
        <f>N(C755)+B756</f>
        <v>22</v>
      </c>
      <c r="K756">
        <f>IF(OR($K$1="",对接源_01水果!$C756="",对接源_01水果!$C756&lt;&gt;$K$1,对接源_01水果!$B756=""),0,IF(OR(N(对接源_01水果!$B756)&lt;$K$2,N(对接源_01水果!$B756)&gt;$K$3),0,1))</f>
        <v>0</v>
      </c>
      <c r="L756">
        <f>IF(OR($L$1="",对接源_01水果!$C756="",对接源_01水果!$C756&lt;&gt;$L$1,对接源_01水果!$B756=""),0,IF(OR(N(对接源_01水果!$B756)&lt;$L$2,N(对接源_01水果!$B756)&gt;$L$3),0,1))</f>
        <v>0</v>
      </c>
      <c r="M756">
        <f>IF(OR($M$1="",对接源_01水果!$C756="",对接源_01水果!$C756&lt;&gt;$M$1,对接源_01水果!$B756=""),0,IF(OR(N(对接源_01水果!$B756)&lt;$M$2,N(对接源_01水果!$B756)&gt;$M$3),0,1))</f>
        <v>0</v>
      </c>
      <c r="N756">
        <f>IF(OR($N$1="",对接源_01水果!$C756="",对接源_01水果!$C756&lt;&gt;$N$1,对接源_01水果!$B756=""),0,IF(OR(N(对接源_01水果!$B756)&lt;$N$2,N(对接源_01水果!$B756)&gt;$N$3),0,1))</f>
        <v>0</v>
      </c>
      <c r="P756">
        <f>IF(AND($K756=1,AND(对接源_01水果!$X756="公司筐",N(对接源_01水果!$T756)&lt;&gt;0)),1,0)</f>
        <v>0</v>
      </c>
      <c r="Q756">
        <f>N(Q755)+$P756</f>
        <v>0</v>
      </c>
      <c r="R756">
        <f>IF(AND($K756=1,AND(对接源_01水果!$X756="公司筐",N(对接源_01水果!$U756)&lt;&gt;0)),1,0)</f>
        <v>0</v>
      </c>
      <c r="S756">
        <f>N(S755)+$R756</f>
        <v>0</v>
      </c>
      <c r="T756">
        <f>IF(AND($K756=1,AND(对接源_01水果!$X756="公司筐",N(对接源_01水果!$V756)&lt;&gt;0)),1,0)</f>
        <v>0</v>
      </c>
      <c r="U756">
        <f>N(U755)+$T756</f>
        <v>47</v>
      </c>
      <c r="V756">
        <f>IF(AND($L756=1,AND(对接源_01水果!$X756="自备筐",N(对接源_01水果!$V756)&lt;&gt;0)),1,0)</f>
        <v>0</v>
      </c>
      <c r="W756">
        <f>N(W755)+$V756</f>
        <v>11</v>
      </c>
      <c r="X756">
        <f>IF(AND($L756=1,AND(对接源_01水果!$X756="自备筐",N(对接源_01水果!$T756)&lt;&gt;0)),1,0)</f>
        <v>0</v>
      </c>
      <c r="Y756">
        <f>N(Y755)+$X756</f>
        <v>0</v>
      </c>
      <c r="Z756">
        <f>IF(AND($M756=1,对接源_01水果!$D756="原料入库"),1,0)</f>
        <v>0</v>
      </c>
      <c r="AA756">
        <f>N(AA755)+$Z756</f>
        <v>24</v>
      </c>
      <c r="AB756">
        <f>IF(AND($M756=1,LEFT(对接源_01水果!$D756,4)="原料出库"),1,0)</f>
        <v>0</v>
      </c>
      <c r="AC756">
        <f>N(AC755)+$AB756</f>
        <v>0</v>
      </c>
      <c r="AD756">
        <f>IF(AND($M756=1,LEFT(对接源_01水果!$D756,4)="成品出库"),1,0)</f>
        <v>0</v>
      </c>
      <c r="AE756">
        <f>N(AE755)+$AD756</f>
        <v>0</v>
      </c>
      <c r="AF756">
        <f>IF(AND($N756=1,AND(LEFT(对接源_01水果!$D756,4)="包装物料",N(对接源_01水果!$K756)&lt;&gt;0)),1,0)</f>
        <v>0</v>
      </c>
      <c r="AG756">
        <f>N(AG755)+$AF756</f>
        <v>0</v>
      </c>
      <c r="AH756">
        <f>IF(AND($N756=1,AND(对接源_01水果!$D756="周转筐－销售出库",N(对接源_01水果!$K756)&lt;&gt;0)),1,0)</f>
        <v>0</v>
      </c>
      <c r="AI756">
        <f>N(AI755)+$AH756</f>
        <v>0</v>
      </c>
      <c r="AJ756" s="7" t="n"/>
      <c r="AL756">
        <f>IF(OR($AL$1="",对接源_01水果!$Y756="",对接源_01水果!$Y756&lt;&gt;$AL$1,对接源_01水果!$B756="",N(对接源_01水果!$AJ756)&lt;=0),0,IF(OR(N(对接源_01水果!$B756)&lt;$AL$2,N(对接源_01水果!$B756)&gt;$AL$3),0,1))</f>
        <v>0</v>
      </c>
      <c r="AM756">
        <f>N(AM755)+$AL756</f>
        <v>2</v>
      </c>
      <c r="AN756">
        <f>IF(对接源_01水果!$AC756="","",对接源_01水果!$AC756)</f>
      </c>
      <c r="AO756">
        <f>IF(AN756="",0,IF(MATCH(AN756,$AN$4:$AN$1203,0)=ROW()-3,1,0))</f>
        <v>0</v>
      </c>
      <c r="AP756">
        <f>N(AP755)+$AO756</f>
        <v>13</v>
      </c>
      <c r="AR756">
        <f>IF(OR($AF756=1,$AH756=1),1,0)</f>
        <v>0</v>
      </c>
      <c r="AS756">
        <f>N(AS755)+$AR756</f>
        <v>0</v>
      </c>
    </row>
    <row r="757" ht="14.25" customHeight="1" s="127">
      <c r="A757">
        <f>IF(对接源_01水果!$C757="","",对接源_01水果!$C757)</f>
      </c>
      <c r="B757">
        <f>IF(A757="",0,IF(MATCH(A757,$A$4:$A$2403,0)=ROW()-3,1,0))</f>
        <v>0</v>
      </c>
      <c r="C757">
        <f>N(C756)+B757</f>
        <v>22</v>
      </c>
      <c r="K757">
        <f>IF(OR($K$1="",对接源_01水果!$C757="",对接源_01水果!$C757&lt;&gt;$K$1,对接源_01水果!$B757=""),0,IF(OR(N(对接源_01水果!$B757)&lt;$K$2,N(对接源_01水果!$B757)&gt;$K$3),0,1))</f>
        <v>0</v>
      </c>
      <c r="L757">
        <f>IF(OR($L$1="",对接源_01水果!$C757="",对接源_01水果!$C757&lt;&gt;$L$1,对接源_01水果!$B757=""),0,IF(OR(N(对接源_01水果!$B757)&lt;$L$2,N(对接源_01水果!$B757)&gt;$L$3),0,1))</f>
        <v>0</v>
      </c>
      <c r="M757">
        <f>IF(OR($M$1="",对接源_01水果!$C757="",对接源_01水果!$C757&lt;&gt;$M$1,对接源_01水果!$B757=""),0,IF(OR(N(对接源_01水果!$B757)&lt;$M$2,N(对接源_01水果!$B757)&gt;$M$3),0,1))</f>
        <v>0</v>
      </c>
      <c r="N757">
        <f>IF(OR($N$1="",对接源_01水果!$C757="",对接源_01水果!$C757&lt;&gt;$N$1,对接源_01水果!$B757=""),0,IF(OR(N(对接源_01水果!$B757)&lt;$N$2,N(对接源_01水果!$B757)&gt;$N$3),0,1))</f>
        <v>0</v>
      </c>
      <c r="P757">
        <f>IF(AND($K757=1,AND(对接源_01水果!$X757="公司筐",N(对接源_01水果!$T757)&lt;&gt;0)),1,0)</f>
        <v>0</v>
      </c>
      <c r="Q757">
        <f>N(Q756)+$P757</f>
        <v>0</v>
      </c>
      <c r="R757">
        <f>IF(AND($K757=1,AND(对接源_01水果!$X757="公司筐",N(对接源_01水果!$U757)&lt;&gt;0)),1,0)</f>
        <v>0</v>
      </c>
      <c r="S757">
        <f>N(S756)+$R757</f>
        <v>0</v>
      </c>
      <c r="T757">
        <f>IF(AND($K757=1,AND(对接源_01水果!$X757="公司筐",N(对接源_01水果!$V757)&lt;&gt;0)),1,0)</f>
        <v>0</v>
      </c>
      <c r="U757">
        <f>N(U756)+$T757</f>
        <v>47</v>
      </c>
      <c r="V757">
        <f>IF(AND($L757=1,AND(对接源_01水果!$X757="自备筐",N(对接源_01水果!$V757)&lt;&gt;0)),1,0)</f>
        <v>0</v>
      </c>
      <c r="W757">
        <f>N(W756)+$V757</f>
        <v>11</v>
      </c>
      <c r="X757">
        <f>IF(AND($L757=1,AND(对接源_01水果!$X757="自备筐",N(对接源_01水果!$T757)&lt;&gt;0)),1,0)</f>
        <v>0</v>
      </c>
      <c r="Y757">
        <f>N(Y756)+$X757</f>
        <v>0</v>
      </c>
      <c r="Z757">
        <f>IF(AND($M757=1,对接源_01水果!$D757="原料入库"),1,0)</f>
        <v>0</v>
      </c>
      <c r="AA757">
        <f>N(AA756)+$Z757</f>
        <v>24</v>
      </c>
      <c r="AB757">
        <f>IF(AND($M757=1,LEFT(对接源_01水果!$D757,4)="原料出库"),1,0)</f>
        <v>0</v>
      </c>
      <c r="AC757">
        <f>N(AC756)+$AB757</f>
        <v>0</v>
      </c>
      <c r="AD757">
        <f>IF(AND($M757=1,LEFT(对接源_01水果!$D757,4)="成品出库"),1,0)</f>
        <v>0</v>
      </c>
      <c r="AE757">
        <f>N(AE756)+$AD757</f>
        <v>0</v>
      </c>
      <c r="AF757">
        <f>IF(AND($N757=1,AND(LEFT(对接源_01水果!$D757,4)="包装物料",N(对接源_01水果!$K757)&lt;&gt;0)),1,0)</f>
        <v>0</v>
      </c>
      <c r="AG757">
        <f>N(AG756)+$AF757</f>
        <v>0</v>
      </c>
      <c r="AH757">
        <f>IF(AND($N757=1,AND(对接源_01水果!$D757="周转筐－销售出库",N(对接源_01水果!$K757)&lt;&gt;0)),1,0)</f>
        <v>0</v>
      </c>
      <c r="AI757">
        <f>N(AI756)+$AH757</f>
        <v>0</v>
      </c>
      <c r="AJ757" s="7" t="n"/>
      <c r="AL757">
        <f>IF(OR($AL$1="",对接源_01水果!$Y757="",对接源_01水果!$Y757&lt;&gt;$AL$1,对接源_01水果!$B757="",N(对接源_01水果!$AJ757)&lt;=0),0,IF(OR(N(对接源_01水果!$B757)&lt;$AL$2,N(对接源_01水果!$B757)&gt;$AL$3),0,1))</f>
        <v>0</v>
      </c>
      <c r="AM757">
        <f>N(AM756)+$AL757</f>
        <v>2</v>
      </c>
      <c r="AN757">
        <f>IF(对接源_01水果!$AC757="","",对接源_01水果!$AC757)</f>
      </c>
      <c r="AO757">
        <f>IF(AN757="",0,IF(MATCH(AN757,$AN$4:$AN$1203,0)=ROW()-3,1,0))</f>
        <v>0</v>
      </c>
      <c r="AP757">
        <f>N(AP756)+$AO757</f>
        <v>13</v>
      </c>
      <c r="AR757">
        <f>IF(OR($AF757=1,$AH757=1),1,0)</f>
        <v>0</v>
      </c>
      <c r="AS757">
        <f>N(AS756)+$AR757</f>
        <v>0</v>
      </c>
    </row>
    <row r="758" ht="14.25" customHeight="1" s="127">
      <c r="A758">
        <f>IF(对接源_01水果!$C758="","",对接源_01水果!$C758)</f>
      </c>
      <c r="B758">
        <f>IF(A758="",0,IF(MATCH(A758,$A$4:$A$2403,0)=ROW()-3,1,0))</f>
        <v>0</v>
      </c>
      <c r="C758">
        <f>N(C757)+B758</f>
        <v>22</v>
      </c>
      <c r="K758">
        <f>IF(OR($K$1="",对接源_01水果!$C758="",对接源_01水果!$C758&lt;&gt;$K$1,对接源_01水果!$B758=""),0,IF(OR(N(对接源_01水果!$B758)&lt;$K$2,N(对接源_01水果!$B758)&gt;$K$3),0,1))</f>
        <v>0</v>
      </c>
      <c r="L758">
        <f>IF(OR($L$1="",对接源_01水果!$C758="",对接源_01水果!$C758&lt;&gt;$L$1,对接源_01水果!$B758=""),0,IF(OR(N(对接源_01水果!$B758)&lt;$L$2,N(对接源_01水果!$B758)&gt;$L$3),0,1))</f>
        <v>0</v>
      </c>
      <c r="M758">
        <f>IF(OR($M$1="",对接源_01水果!$C758="",对接源_01水果!$C758&lt;&gt;$M$1,对接源_01水果!$B758=""),0,IF(OR(N(对接源_01水果!$B758)&lt;$M$2,N(对接源_01水果!$B758)&gt;$M$3),0,1))</f>
        <v>0</v>
      </c>
      <c r="N758">
        <f>IF(OR($N$1="",对接源_01水果!$C758="",对接源_01水果!$C758&lt;&gt;$N$1,对接源_01水果!$B758=""),0,IF(OR(N(对接源_01水果!$B758)&lt;$N$2,N(对接源_01水果!$B758)&gt;$N$3),0,1))</f>
        <v>0</v>
      </c>
      <c r="P758">
        <f>IF(AND($K758=1,AND(对接源_01水果!$X758="公司筐",N(对接源_01水果!$T758)&lt;&gt;0)),1,0)</f>
        <v>0</v>
      </c>
      <c r="Q758">
        <f>N(Q757)+$P758</f>
        <v>0</v>
      </c>
      <c r="R758">
        <f>IF(AND($K758=1,AND(对接源_01水果!$X758="公司筐",N(对接源_01水果!$U758)&lt;&gt;0)),1,0)</f>
        <v>0</v>
      </c>
      <c r="S758">
        <f>N(S757)+$R758</f>
        <v>0</v>
      </c>
      <c r="T758">
        <f>IF(AND($K758=1,AND(对接源_01水果!$X758="公司筐",N(对接源_01水果!$V758)&lt;&gt;0)),1,0)</f>
        <v>0</v>
      </c>
      <c r="U758">
        <f>N(U757)+$T758</f>
        <v>47</v>
      </c>
      <c r="V758">
        <f>IF(AND($L758=1,AND(对接源_01水果!$X758="自备筐",N(对接源_01水果!$V758)&lt;&gt;0)),1,0)</f>
        <v>0</v>
      </c>
      <c r="W758">
        <f>N(W757)+$V758</f>
        <v>11</v>
      </c>
      <c r="X758">
        <f>IF(AND($L758=1,AND(对接源_01水果!$X758="自备筐",N(对接源_01水果!$T758)&lt;&gt;0)),1,0)</f>
        <v>0</v>
      </c>
      <c r="Y758">
        <f>N(Y757)+$X758</f>
        <v>0</v>
      </c>
      <c r="Z758">
        <f>IF(AND($M758=1,对接源_01水果!$D758="原料入库"),1,0)</f>
        <v>0</v>
      </c>
      <c r="AA758">
        <f>N(AA757)+$Z758</f>
        <v>24</v>
      </c>
      <c r="AB758">
        <f>IF(AND($M758=1,LEFT(对接源_01水果!$D758,4)="原料出库"),1,0)</f>
        <v>0</v>
      </c>
      <c r="AC758">
        <f>N(AC757)+$AB758</f>
        <v>0</v>
      </c>
      <c r="AD758">
        <f>IF(AND($M758=1,LEFT(对接源_01水果!$D758,4)="成品出库"),1,0)</f>
        <v>0</v>
      </c>
      <c r="AE758">
        <f>N(AE757)+$AD758</f>
        <v>0</v>
      </c>
      <c r="AF758">
        <f>IF(AND($N758=1,AND(LEFT(对接源_01水果!$D758,4)="包装物料",N(对接源_01水果!$K758)&lt;&gt;0)),1,0)</f>
        <v>0</v>
      </c>
      <c r="AG758">
        <f>N(AG757)+$AF758</f>
        <v>0</v>
      </c>
      <c r="AH758">
        <f>IF(AND($N758=1,AND(对接源_01水果!$D758="周转筐－销售出库",N(对接源_01水果!$K758)&lt;&gt;0)),1,0)</f>
        <v>0</v>
      </c>
      <c r="AI758">
        <f>N(AI757)+$AH758</f>
        <v>0</v>
      </c>
      <c r="AJ758" s="7" t="n"/>
      <c r="AL758">
        <f>IF(OR($AL$1="",对接源_01水果!$Y758="",对接源_01水果!$Y758&lt;&gt;$AL$1,对接源_01水果!$B758="",N(对接源_01水果!$AJ758)&lt;=0),0,IF(OR(N(对接源_01水果!$B758)&lt;$AL$2,N(对接源_01水果!$B758)&gt;$AL$3),0,1))</f>
        <v>0</v>
      </c>
      <c r="AM758">
        <f>N(AM757)+$AL758</f>
        <v>2</v>
      </c>
      <c r="AN758">
        <f>IF(对接源_01水果!$AC758="","",对接源_01水果!$AC758)</f>
      </c>
      <c r="AO758">
        <f>IF(AN758="",0,IF(MATCH(AN758,$AN$4:$AN$1203,0)=ROW()-3,1,0))</f>
        <v>0</v>
      </c>
      <c r="AP758">
        <f>N(AP757)+$AO758</f>
        <v>13</v>
      </c>
      <c r="AR758">
        <f>IF(OR($AF758=1,$AH758=1),1,0)</f>
        <v>0</v>
      </c>
      <c r="AS758">
        <f>N(AS757)+$AR758</f>
        <v>0</v>
      </c>
    </row>
    <row r="759" ht="14.25" customHeight="1" s="127">
      <c r="A759">
        <f>IF(对接源_01水果!$C759="","",对接源_01水果!$C759)</f>
      </c>
      <c r="B759">
        <f>IF(A759="",0,IF(MATCH(A759,$A$4:$A$2403,0)=ROW()-3,1,0))</f>
        <v>0</v>
      </c>
      <c r="C759">
        <f>N(C758)+B759</f>
        <v>22</v>
      </c>
      <c r="K759">
        <f>IF(OR($K$1="",对接源_01水果!$C759="",对接源_01水果!$C759&lt;&gt;$K$1,对接源_01水果!$B759=""),0,IF(OR(N(对接源_01水果!$B759)&lt;$K$2,N(对接源_01水果!$B759)&gt;$K$3),0,1))</f>
        <v>0</v>
      </c>
      <c r="L759">
        <f>IF(OR($L$1="",对接源_01水果!$C759="",对接源_01水果!$C759&lt;&gt;$L$1,对接源_01水果!$B759=""),0,IF(OR(N(对接源_01水果!$B759)&lt;$L$2,N(对接源_01水果!$B759)&gt;$L$3),0,1))</f>
        <v>0</v>
      </c>
      <c r="M759">
        <f>IF(OR($M$1="",对接源_01水果!$C759="",对接源_01水果!$C759&lt;&gt;$M$1,对接源_01水果!$B759=""),0,IF(OR(N(对接源_01水果!$B759)&lt;$M$2,N(对接源_01水果!$B759)&gt;$M$3),0,1))</f>
        <v>0</v>
      </c>
      <c r="N759">
        <f>IF(OR($N$1="",对接源_01水果!$C759="",对接源_01水果!$C759&lt;&gt;$N$1,对接源_01水果!$B759=""),0,IF(OR(N(对接源_01水果!$B759)&lt;$N$2,N(对接源_01水果!$B759)&gt;$N$3),0,1))</f>
        <v>0</v>
      </c>
      <c r="P759">
        <f>IF(AND($K759=1,AND(对接源_01水果!$X759="公司筐",N(对接源_01水果!$T759)&lt;&gt;0)),1,0)</f>
        <v>0</v>
      </c>
      <c r="Q759">
        <f>N(Q758)+$P759</f>
        <v>0</v>
      </c>
      <c r="R759">
        <f>IF(AND($K759=1,AND(对接源_01水果!$X759="公司筐",N(对接源_01水果!$U759)&lt;&gt;0)),1,0)</f>
        <v>0</v>
      </c>
      <c r="S759">
        <f>N(S758)+$R759</f>
        <v>0</v>
      </c>
      <c r="T759">
        <f>IF(AND($K759=1,AND(对接源_01水果!$X759="公司筐",N(对接源_01水果!$V759)&lt;&gt;0)),1,0)</f>
        <v>0</v>
      </c>
      <c r="U759">
        <f>N(U758)+$T759</f>
        <v>47</v>
      </c>
      <c r="V759">
        <f>IF(AND($L759=1,AND(对接源_01水果!$X759="自备筐",N(对接源_01水果!$V759)&lt;&gt;0)),1,0)</f>
        <v>0</v>
      </c>
      <c r="W759">
        <f>N(W758)+$V759</f>
        <v>11</v>
      </c>
      <c r="X759">
        <f>IF(AND($L759=1,AND(对接源_01水果!$X759="自备筐",N(对接源_01水果!$T759)&lt;&gt;0)),1,0)</f>
        <v>0</v>
      </c>
      <c r="Y759">
        <f>N(Y758)+$X759</f>
        <v>0</v>
      </c>
      <c r="Z759">
        <f>IF(AND($M759=1,对接源_01水果!$D759="原料入库"),1,0)</f>
        <v>0</v>
      </c>
      <c r="AA759">
        <f>N(AA758)+$Z759</f>
        <v>24</v>
      </c>
      <c r="AB759">
        <f>IF(AND($M759=1,LEFT(对接源_01水果!$D759,4)="原料出库"),1,0)</f>
        <v>0</v>
      </c>
      <c r="AC759">
        <f>N(AC758)+$AB759</f>
        <v>0</v>
      </c>
      <c r="AD759">
        <f>IF(AND($M759=1,LEFT(对接源_01水果!$D759,4)="成品出库"),1,0)</f>
        <v>0</v>
      </c>
      <c r="AE759">
        <f>N(AE758)+$AD759</f>
        <v>0</v>
      </c>
      <c r="AF759">
        <f>IF(AND($N759=1,AND(LEFT(对接源_01水果!$D759,4)="包装物料",N(对接源_01水果!$K759)&lt;&gt;0)),1,0)</f>
        <v>0</v>
      </c>
      <c r="AG759">
        <f>N(AG758)+$AF759</f>
        <v>0</v>
      </c>
      <c r="AH759">
        <f>IF(AND($N759=1,AND(对接源_01水果!$D759="周转筐－销售出库",N(对接源_01水果!$K759)&lt;&gt;0)),1,0)</f>
        <v>0</v>
      </c>
      <c r="AI759">
        <f>N(AI758)+$AH759</f>
        <v>0</v>
      </c>
      <c r="AJ759" s="7" t="n"/>
      <c r="AL759">
        <f>IF(OR($AL$1="",对接源_01水果!$Y759="",对接源_01水果!$Y759&lt;&gt;$AL$1,对接源_01水果!$B759="",N(对接源_01水果!$AJ759)&lt;=0),0,IF(OR(N(对接源_01水果!$B759)&lt;$AL$2,N(对接源_01水果!$B759)&gt;$AL$3),0,1))</f>
        <v>0</v>
      </c>
      <c r="AM759">
        <f>N(AM758)+$AL759</f>
        <v>2</v>
      </c>
      <c r="AN759">
        <f>IF(对接源_01水果!$AC759="","",对接源_01水果!$AC759)</f>
      </c>
      <c r="AO759">
        <f>IF(AN759="",0,IF(MATCH(AN759,$AN$4:$AN$1203,0)=ROW()-3,1,0))</f>
        <v>0</v>
      </c>
      <c r="AP759">
        <f>N(AP758)+$AO759</f>
        <v>13</v>
      </c>
      <c r="AR759">
        <f>IF(OR($AF759=1,$AH759=1),1,0)</f>
        <v>0</v>
      </c>
      <c r="AS759">
        <f>N(AS758)+$AR759</f>
        <v>0</v>
      </c>
    </row>
    <row r="760" ht="14.25" customHeight="1" s="127">
      <c r="A760">
        <f>IF(对接源_01水果!$C760="","",对接源_01水果!$C760)</f>
      </c>
      <c r="B760">
        <f>IF(A760="",0,IF(MATCH(A760,$A$4:$A$2403,0)=ROW()-3,1,0))</f>
        <v>0</v>
      </c>
      <c r="C760">
        <f>N(C759)+B760</f>
        <v>22</v>
      </c>
      <c r="K760">
        <f>IF(OR($K$1="",对接源_01水果!$C760="",对接源_01水果!$C760&lt;&gt;$K$1,对接源_01水果!$B760=""),0,IF(OR(N(对接源_01水果!$B760)&lt;$K$2,N(对接源_01水果!$B760)&gt;$K$3),0,1))</f>
        <v>0</v>
      </c>
      <c r="L760">
        <f>IF(OR($L$1="",对接源_01水果!$C760="",对接源_01水果!$C760&lt;&gt;$L$1,对接源_01水果!$B760=""),0,IF(OR(N(对接源_01水果!$B760)&lt;$L$2,N(对接源_01水果!$B760)&gt;$L$3),0,1))</f>
        <v>0</v>
      </c>
      <c r="M760">
        <f>IF(OR($M$1="",对接源_01水果!$C760="",对接源_01水果!$C760&lt;&gt;$M$1,对接源_01水果!$B760=""),0,IF(OR(N(对接源_01水果!$B760)&lt;$M$2,N(对接源_01水果!$B760)&gt;$M$3),0,1))</f>
        <v>0</v>
      </c>
      <c r="N760">
        <f>IF(OR($N$1="",对接源_01水果!$C760="",对接源_01水果!$C760&lt;&gt;$N$1,对接源_01水果!$B760=""),0,IF(OR(N(对接源_01水果!$B760)&lt;$N$2,N(对接源_01水果!$B760)&gt;$N$3),0,1))</f>
        <v>0</v>
      </c>
      <c r="P760">
        <f>IF(AND($K760=1,AND(对接源_01水果!$X760="公司筐",N(对接源_01水果!$T760)&lt;&gt;0)),1,0)</f>
        <v>0</v>
      </c>
      <c r="Q760">
        <f>N(Q759)+$P760</f>
        <v>0</v>
      </c>
      <c r="R760">
        <f>IF(AND($K760=1,AND(对接源_01水果!$X760="公司筐",N(对接源_01水果!$U760)&lt;&gt;0)),1,0)</f>
        <v>0</v>
      </c>
      <c r="S760">
        <f>N(S759)+$R760</f>
        <v>0</v>
      </c>
      <c r="T760">
        <f>IF(AND($K760=1,AND(对接源_01水果!$X760="公司筐",N(对接源_01水果!$V760)&lt;&gt;0)),1,0)</f>
        <v>0</v>
      </c>
      <c r="U760">
        <f>N(U759)+$T760</f>
        <v>47</v>
      </c>
      <c r="V760">
        <f>IF(AND($L760=1,AND(对接源_01水果!$X760="自备筐",N(对接源_01水果!$V760)&lt;&gt;0)),1,0)</f>
        <v>0</v>
      </c>
      <c r="W760">
        <f>N(W759)+$V760</f>
        <v>11</v>
      </c>
      <c r="X760">
        <f>IF(AND($L760=1,AND(对接源_01水果!$X760="自备筐",N(对接源_01水果!$T760)&lt;&gt;0)),1,0)</f>
        <v>0</v>
      </c>
      <c r="Y760">
        <f>N(Y759)+$X760</f>
        <v>0</v>
      </c>
      <c r="Z760">
        <f>IF(AND($M760=1,对接源_01水果!$D760="原料入库"),1,0)</f>
        <v>0</v>
      </c>
      <c r="AA760">
        <f>N(AA759)+$Z760</f>
        <v>24</v>
      </c>
      <c r="AB760">
        <f>IF(AND($M760=1,LEFT(对接源_01水果!$D760,4)="原料出库"),1,0)</f>
        <v>0</v>
      </c>
      <c r="AC760">
        <f>N(AC759)+$AB760</f>
        <v>0</v>
      </c>
      <c r="AD760">
        <f>IF(AND($M760=1,LEFT(对接源_01水果!$D760,4)="成品出库"),1,0)</f>
        <v>0</v>
      </c>
      <c r="AE760">
        <f>N(AE759)+$AD760</f>
        <v>0</v>
      </c>
      <c r="AF760">
        <f>IF(AND($N760=1,AND(LEFT(对接源_01水果!$D760,4)="包装物料",N(对接源_01水果!$K760)&lt;&gt;0)),1,0)</f>
        <v>0</v>
      </c>
      <c r="AG760">
        <f>N(AG759)+$AF760</f>
        <v>0</v>
      </c>
      <c r="AH760">
        <f>IF(AND($N760=1,AND(对接源_01水果!$D760="周转筐－销售出库",N(对接源_01水果!$K760)&lt;&gt;0)),1,0)</f>
        <v>0</v>
      </c>
      <c r="AI760">
        <f>N(AI759)+$AH760</f>
        <v>0</v>
      </c>
      <c r="AJ760" s="7" t="n"/>
      <c r="AL760">
        <f>IF(OR($AL$1="",对接源_01水果!$Y760="",对接源_01水果!$Y760&lt;&gt;$AL$1,对接源_01水果!$B760="",N(对接源_01水果!$AJ760)&lt;=0),0,IF(OR(N(对接源_01水果!$B760)&lt;$AL$2,N(对接源_01水果!$B760)&gt;$AL$3),0,1))</f>
        <v>0</v>
      </c>
      <c r="AM760">
        <f>N(AM759)+$AL760</f>
        <v>2</v>
      </c>
      <c r="AN760">
        <f>IF(对接源_01水果!$AC760="","",对接源_01水果!$AC760)</f>
      </c>
      <c r="AO760">
        <f>IF(AN760="",0,IF(MATCH(AN760,$AN$4:$AN$1203,0)=ROW()-3,1,0))</f>
        <v>0</v>
      </c>
      <c r="AP760">
        <f>N(AP759)+$AO760</f>
        <v>13</v>
      </c>
      <c r="AR760">
        <f>IF(OR($AF760=1,$AH760=1),1,0)</f>
        <v>0</v>
      </c>
      <c r="AS760">
        <f>N(AS759)+$AR760</f>
        <v>0</v>
      </c>
    </row>
    <row r="761" ht="14.25" customHeight="1" s="127">
      <c r="A761">
        <f>IF(对接源_01水果!$C761="","",对接源_01水果!$C761)</f>
      </c>
      <c r="B761">
        <f>IF(A761="",0,IF(MATCH(A761,$A$4:$A$2403,0)=ROW()-3,1,0))</f>
        <v>0</v>
      </c>
      <c r="C761">
        <f>N(C760)+B761</f>
        <v>22</v>
      </c>
      <c r="K761">
        <f>IF(OR($K$1="",对接源_01水果!$C761="",对接源_01水果!$C761&lt;&gt;$K$1,对接源_01水果!$B761=""),0,IF(OR(N(对接源_01水果!$B761)&lt;$K$2,N(对接源_01水果!$B761)&gt;$K$3),0,1))</f>
        <v>0</v>
      </c>
      <c r="L761">
        <f>IF(OR($L$1="",对接源_01水果!$C761="",对接源_01水果!$C761&lt;&gt;$L$1,对接源_01水果!$B761=""),0,IF(OR(N(对接源_01水果!$B761)&lt;$L$2,N(对接源_01水果!$B761)&gt;$L$3),0,1))</f>
        <v>0</v>
      </c>
      <c r="M761">
        <f>IF(OR($M$1="",对接源_01水果!$C761="",对接源_01水果!$C761&lt;&gt;$M$1,对接源_01水果!$B761=""),0,IF(OR(N(对接源_01水果!$B761)&lt;$M$2,N(对接源_01水果!$B761)&gt;$M$3),0,1))</f>
        <v>0</v>
      </c>
      <c r="N761">
        <f>IF(OR($N$1="",对接源_01水果!$C761="",对接源_01水果!$C761&lt;&gt;$N$1,对接源_01水果!$B761=""),0,IF(OR(N(对接源_01水果!$B761)&lt;$N$2,N(对接源_01水果!$B761)&gt;$N$3),0,1))</f>
        <v>0</v>
      </c>
      <c r="P761">
        <f>IF(AND($K761=1,AND(对接源_01水果!$X761="公司筐",N(对接源_01水果!$T761)&lt;&gt;0)),1,0)</f>
        <v>0</v>
      </c>
      <c r="Q761">
        <f>N(Q760)+$P761</f>
        <v>0</v>
      </c>
      <c r="R761">
        <f>IF(AND($K761=1,AND(对接源_01水果!$X761="公司筐",N(对接源_01水果!$U761)&lt;&gt;0)),1,0)</f>
        <v>0</v>
      </c>
      <c r="S761">
        <f>N(S760)+$R761</f>
        <v>0</v>
      </c>
      <c r="T761">
        <f>IF(AND($K761=1,AND(对接源_01水果!$X761="公司筐",N(对接源_01水果!$V761)&lt;&gt;0)),1,0)</f>
        <v>0</v>
      </c>
      <c r="U761">
        <f>N(U760)+$T761</f>
        <v>47</v>
      </c>
      <c r="V761">
        <f>IF(AND($L761=1,AND(对接源_01水果!$X761="自备筐",N(对接源_01水果!$V761)&lt;&gt;0)),1,0)</f>
        <v>0</v>
      </c>
      <c r="W761">
        <f>N(W760)+$V761</f>
        <v>11</v>
      </c>
      <c r="X761">
        <f>IF(AND($L761=1,AND(对接源_01水果!$X761="自备筐",N(对接源_01水果!$T761)&lt;&gt;0)),1,0)</f>
        <v>0</v>
      </c>
      <c r="Y761">
        <f>N(Y760)+$X761</f>
        <v>0</v>
      </c>
      <c r="Z761">
        <f>IF(AND($M761=1,对接源_01水果!$D761="原料入库"),1,0)</f>
        <v>0</v>
      </c>
      <c r="AA761">
        <f>N(AA760)+$Z761</f>
        <v>24</v>
      </c>
      <c r="AB761">
        <f>IF(AND($M761=1,LEFT(对接源_01水果!$D761,4)="原料出库"),1,0)</f>
        <v>0</v>
      </c>
      <c r="AC761">
        <f>N(AC760)+$AB761</f>
        <v>0</v>
      </c>
      <c r="AD761">
        <f>IF(AND($M761=1,LEFT(对接源_01水果!$D761,4)="成品出库"),1,0)</f>
        <v>0</v>
      </c>
      <c r="AE761">
        <f>N(AE760)+$AD761</f>
        <v>0</v>
      </c>
      <c r="AF761">
        <f>IF(AND($N761=1,AND(LEFT(对接源_01水果!$D761,4)="包装物料",N(对接源_01水果!$K761)&lt;&gt;0)),1,0)</f>
        <v>0</v>
      </c>
      <c r="AG761">
        <f>N(AG760)+$AF761</f>
        <v>0</v>
      </c>
      <c r="AH761">
        <f>IF(AND($N761=1,AND(对接源_01水果!$D761="周转筐－销售出库",N(对接源_01水果!$K761)&lt;&gt;0)),1,0)</f>
        <v>0</v>
      </c>
      <c r="AI761">
        <f>N(AI760)+$AH761</f>
        <v>0</v>
      </c>
      <c r="AJ761" s="7" t="n"/>
      <c r="AL761">
        <f>IF(OR($AL$1="",对接源_01水果!$Y761="",对接源_01水果!$Y761&lt;&gt;$AL$1,对接源_01水果!$B761="",N(对接源_01水果!$AJ761)&lt;=0),0,IF(OR(N(对接源_01水果!$B761)&lt;$AL$2,N(对接源_01水果!$B761)&gt;$AL$3),0,1))</f>
        <v>0</v>
      </c>
      <c r="AM761">
        <f>N(AM760)+$AL761</f>
        <v>2</v>
      </c>
      <c r="AN761">
        <f>IF(对接源_01水果!$AC761="","",对接源_01水果!$AC761)</f>
      </c>
      <c r="AO761">
        <f>IF(AN761="",0,IF(MATCH(AN761,$AN$4:$AN$1203,0)=ROW()-3,1,0))</f>
        <v>0</v>
      </c>
      <c r="AP761">
        <f>N(AP760)+$AO761</f>
        <v>13</v>
      </c>
      <c r="AR761">
        <f>IF(OR($AF761=1,$AH761=1),1,0)</f>
        <v>0</v>
      </c>
      <c r="AS761">
        <f>N(AS760)+$AR761</f>
        <v>0</v>
      </c>
    </row>
    <row r="762" ht="14.25" customHeight="1" s="127">
      <c r="A762">
        <f>IF(对接源_01水果!$C762="","",对接源_01水果!$C762)</f>
      </c>
      <c r="B762">
        <f>IF(A762="",0,IF(MATCH(A762,$A$4:$A$2403,0)=ROW()-3,1,0))</f>
        <v>0</v>
      </c>
      <c r="C762">
        <f>N(C761)+B762</f>
        <v>22</v>
      </c>
      <c r="K762">
        <f>IF(OR($K$1="",对接源_01水果!$C762="",对接源_01水果!$C762&lt;&gt;$K$1,对接源_01水果!$B762=""),0,IF(OR(N(对接源_01水果!$B762)&lt;$K$2,N(对接源_01水果!$B762)&gt;$K$3),0,1))</f>
        <v>0</v>
      </c>
      <c r="L762">
        <f>IF(OR($L$1="",对接源_01水果!$C762="",对接源_01水果!$C762&lt;&gt;$L$1,对接源_01水果!$B762=""),0,IF(OR(N(对接源_01水果!$B762)&lt;$L$2,N(对接源_01水果!$B762)&gt;$L$3),0,1))</f>
        <v>0</v>
      </c>
      <c r="M762">
        <f>IF(OR($M$1="",对接源_01水果!$C762="",对接源_01水果!$C762&lt;&gt;$M$1,对接源_01水果!$B762=""),0,IF(OR(N(对接源_01水果!$B762)&lt;$M$2,N(对接源_01水果!$B762)&gt;$M$3),0,1))</f>
        <v>0</v>
      </c>
      <c r="N762">
        <f>IF(OR($N$1="",对接源_01水果!$C762="",对接源_01水果!$C762&lt;&gt;$N$1,对接源_01水果!$B762=""),0,IF(OR(N(对接源_01水果!$B762)&lt;$N$2,N(对接源_01水果!$B762)&gt;$N$3),0,1))</f>
        <v>0</v>
      </c>
      <c r="P762">
        <f>IF(AND($K762=1,AND(对接源_01水果!$X762="公司筐",N(对接源_01水果!$T762)&lt;&gt;0)),1,0)</f>
        <v>0</v>
      </c>
      <c r="Q762">
        <f>N(Q761)+$P762</f>
        <v>0</v>
      </c>
      <c r="R762">
        <f>IF(AND($K762=1,AND(对接源_01水果!$X762="公司筐",N(对接源_01水果!$U762)&lt;&gt;0)),1,0)</f>
        <v>0</v>
      </c>
      <c r="S762">
        <f>N(S761)+$R762</f>
        <v>0</v>
      </c>
      <c r="T762">
        <f>IF(AND($K762=1,AND(对接源_01水果!$X762="公司筐",N(对接源_01水果!$V762)&lt;&gt;0)),1,0)</f>
        <v>0</v>
      </c>
      <c r="U762">
        <f>N(U761)+$T762</f>
        <v>47</v>
      </c>
      <c r="V762">
        <f>IF(AND($L762=1,AND(对接源_01水果!$X762="自备筐",N(对接源_01水果!$V762)&lt;&gt;0)),1,0)</f>
        <v>0</v>
      </c>
      <c r="W762">
        <f>N(W761)+$V762</f>
        <v>11</v>
      </c>
      <c r="X762">
        <f>IF(AND($L762=1,AND(对接源_01水果!$X762="自备筐",N(对接源_01水果!$T762)&lt;&gt;0)),1,0)</f>
        <v>0</v>
      </c>
      <c r="Y762">
        <f>N(Y761)+$X762</f>
        <v>0</v>
      </c>
      <c r="Z762">
        <f>IF(AND($M762=1,对接源_01水果!$D762="原料入库"),1,0)</f>
        <v>0</v>
      </c>
      <c r="AA762">
        <f>N(AA761)+$Z762</f>
        <v>24</v>
      </c>
      <c r="AB762">
        <f>IF(AND($M762=1,LEFT(对接源_01水果!$D762,4)="原料出库"),1,0)</f>
        <v>0</v>
      </c>
      <c r="AC762">
        <f>N(AC761)+$AB762</f>
        <v>0</v>
      </c>
      <c r="AD762">
        <f>IF(AND($M762=1,LEFT(对接源_01水果!$D762,4)="成品出库"),1,0)</f>
        <v>0</v>
      </c>
      <c r="AE762">
        <f>N(AE761)+$AD762</f>
        <v>0</v>
      </c>
      <c r="AF762">
        <f>IF(AND($N762=1,AND(LEFT(对接源_01水果!$D762,4)="包装物料",N(对接源_01水果!$K762)&lt;&gt;0)),1,0)</f>
        <v>0</v>
      </c>
      <c r="AG762">
        <f>N(AG761)+$AF762</f>
        <v>0</v>
      </c>
      <c r="AH762">
        <f>IF(AND($N762=1,AND(对接源_01水果!$D762="周转筐－销售出库",N(对接源_01水果!$K762)&lt;&gt;0)),1,0)</f>
        <v>0</v>
      </c>
      <c r="AI762">
        <f>N(AI761)+$AH762</f>
        <v>0</v>
      </c>
      <c r="AJ762" s="7" t="n"/>
      <c r="AL762">
        <f>IF(OR($AL$1="",对接源_01水果!$Y762="",对接源_01水果!$Y762&lt;&gt;$AL$1,对接源_01水果!$B762="",N(对接源_01水果!$AJ762)&lt;=0),0,IF(OR(N(对接源_01水果!$B762)&lt;$AL$2,N(对接源_01水果!$B762)&gt;$AL$3),0,1))</f>
        <v>0</v>
      </c>
      <c r="AM762">
        <f>N(AM761)+$AL762</f>
        <v>2</v>
      </c>
      <c r="AN762">
        <f>IF(对接源_01水果!$AC762="","",对接源_01水果!$AC762)</f>
      </c>
      <c r="AO762">
        <f>IF(AN762="",0,IF(MATCH(AN762,$AN$4:$AN$1203,0)=ROW()-3,1,0))</f>
        <v>0</v>
      </c>
      <c r="AP762">
        <f>N(AP761)+$AO762</f>
        <v>13</v>
      </c>
      <c r="AR762">
        <f>IF(OR($AF762=1,$AH762=1),1,0)</f>
        <v>0</v>
      </c>
      <c r="AS762">
        <f>N(AS761)+$AR762</f>
        <v>0</v>
      </c>
    </row>
    <row r="763" ht="14.25" customHeight="1" s="127">
      <c r="A763">
        <f>IF(对接源_01水果!$C763="","",对接源_01水果!$C763)</f>
      </c>
      <c r="B763">
        <f>IF(A763="",0,IF(MATCH(A763,$A$4:$A$2403,0)=ROW()-3,1,0))</f>
        <v>0</v>
      </c>
      <c r="C763">
        <f>N(C762)+B763</f>
        <v>22</v>
      </c>
      <c r="K763">
        <f>IF(OR($K$1="",对接源_01水果!$C763="",对接源_01水果!$C763&lt;&gt;$K$1,对接源_01水果!$B763=""),0,IF(OR(N(对接源_01水果!$B763)&lt;$K$2,N(对接源_01水果!$B763)&gt;$K$3),0,1))</f>
        <v>0</v>
      </c>
      <c r="L763">
        <f>IF(OR($L$1="",对接源_01水果!$C763="",对接源_01水果!$C763&lt;&gt;$L$1,对接源_01水果!$B763=""),0,IF(OR(N(对接源_01水果!$B763)&lt;$L$2,N(对接源_01水果!$B763)&gt;$L$3),0,1))</f>
        <v>0</v>
      </c>
      <c r="M763">
        <f>IF(OR($M$1="",对接源_01水果!$C763="",对接源_01水果!$C763&lt;&gt;$M$1,对接源_01水果!$B763=""),0,IF(OR(N(对接源_01水果!$B763)&lt;$M$2,N(对接源_01水果!$B763)&gt;$M$3),0,1))</f>
        <v>0</v>
      </c>
      <c r="N763">
        <f>IF(OR($N$1="",对接源_01水果!$C763="",对接源_01水果!$C763&lt;&gt;$N$1,对接源_01水果!$B763=""),0,IF(OR(N(对接源_01水果!$B763)&lt;$N$2,N(对接源_01水果!$B763)&gt;$N$3),0,1))</f>
        <v>0</v>
      </c>
      <c r="P763">
        <f>IF(AND($K763=1,AND(对接源_01水果!$X763="公司筐",N(对接源_01水果!$T763)&lt;&gt;0)),1,0)</f>
        <v>0</v>
      </c>
      <c r="Q763">
        <f>N(Q762)+$P763</f>
        <v>0</v>
      </c>
      <c r="R763">
        <f>IF(AND($K763=1,AND(对接源_01水果!$X763="公司筐",N(对接源_01水果!$U763)&lt;&gt;0)),1,0)</f>
        <v>0</v>
      </c>
      <c r="S763">
        <f>N(S762)+$R763</f>
        <v>0</v>
      </c>
      <c r="T763">
        <f>IF(AND($K763=1,AND(对接源_01水果!$X763="公司筐",N(对接源_01水果!$V763)&lt;&gt;0)),1,0)</f>
        <v>0</v>
      </c>
      <c r="U763">
        <f>N(U762)+$T763</f>
        <v>47</v>
      </c>
      <c r="V763">
        <f>IF(AND($L763=1,AND(对接源_01水果!$X763="自备筐",N(对接源_01水果!$V763)&lt;&gt;0)),1,0)</f>
        <v>0</v>
      </c>
      <c r="W763">
        <f>N(W762)+$V763</f>
        <v>11</v>
      </c>
      <c r="X763">
        <f>IF(AND($L763=1,AND(对接源_01水果!$X763="自备筐",N(对接源_01水果!$T763)&lt;&gt;0)),1,0)</f>
        <v>0</v>
      </c>
      <c r="Y763">
        <f>N(Y762)+$X763</f>
        <v>0</v>
      </c>
      <c r="Z763">
        <f>IF(AND($M763=1,对接源_01水果!$D763="原料入库"),1,0)</f>
        <v>0</v>
      </c>
      <c r="AA763">
        <f>N(AA762)+$Z763</f>
        <v>24</v>
      </c>
      <c r="AB763">
        <f>IF(AND($M763=1,LEFT(对接源_01水果!$D763,4)="原料出库"),1,0)</f>
        <v>0</v>
      </c>
      <c r="AC763">
        <f>N(AC762)+$AB763</f>
        <v>0</v>
      </c>
      <c r="AD763">
        <f>IF(AND($M763=1,LEFT(对接源_01水果!$D763,4)="成品出库"),1,0)</f>
        <v>0</v>
      </c>
      <c r="AE763">
        <f>N(AE762)+$AD763</f>
        <v>0</v>
      </c>
      <c r="AF763">
        <f>IF(AND($N763=1,AND(LEFT(对接源_01水果!$D763,4)="包装物料",N(对接源_01水果!$K763)&lt;&gt;0)),1,0)</f>
        <v>0</v>
      </c>
      <c r="AG763">
        <f>N(AG762)+$AF763</f>
        <v>0</v>
      </c>
      <c r="AH763">
        <f>IF(AND($N763=1,AND(对接源_01水果!$D763="周转筐－销售出库",N(对接源_01水果!$K763)&lt;&gt;0)),1,0)</f>
        <v>0</v>
      </c>
      <c r="AI763">
        <f>N(AI762)+$AH763</f>
        <v>0</v>
      </c>
      <c r="AJ763" s="7" t="n"/>
      <c r="AL763">
        <f>IF(OR($AL$1="",对接源_01水果!$Y763="",对接源_01水果!$Y763&lt;&gt;$AL$1,对接源_01水果!$B763="",N(对接源_01水果!$AJ763)&lt;=0),0,IF(OR(N(对接源_01水果!$B763)&lt;$AL$2,N(对接源_01水果!$B763)&gt;$AL$3),0,1))</f>
        <v>0</v>
      </c>
      <c r="AM763">
        <f>N(AM762)+$AL763</f>
        <v>2</v>
      </c>
      <c r="AN763">
        <f>IF(对接源_01水果!$AC763="","",对接源_01水果!$AC763)</f>
      </c>
      <c r="AO763">
        <f>IF(AN763="",0,IF(MATCH(AN763,$AN$4:$AN$1203,0)=ROW()-3,1,0))</f>
        <v>0</v>
      </c>
      <c r="AP763">
        <f>N(AP762)+$AO763</f>
        <v>13</v>
      </c>
      <c r="AR763">
        <f>IF(OR($AF763=1,$AH763=1),1,0)</f>
        <v>0</v>
      </c>
      <c r="AS763">
        <f>N(AS762)+$AR763</f>
        <v>0</v>
      </c>
    </row>
    <row r="764" ht="14.25" customHeight="1" s="127">
      <c r="A764">
        <f>IF(对接源_01水果!$C764="","",对接源_01水果!$C764)</f>
      </c>
      <c r="B764">
        <f>IF(A764="",0,IF(MATCH(A764,$A$4:$A$2403,0)=ROW()-3,1,0))</f>
        <v>0</v>
      </c>
      <c r="C764">
        <f>N(C763)+B764</f>
        <v>22</v>
      </c>
      <c r="K764">
        <f>IF(OR($K$1="",对接源_01水果!$C764="",对接源_01水果!$C764&lt;&gt;$K$1,对接源_01水果!$B764=""),0,IF(OR(N(对接源_01水果!$B764)&lt;$K$2,N(对接源_01水果!$B764)&gt;$K$3),0,1))</f>
        <v>0</v>
      </c>
      <c r="L764">
        <f>IF(OR($L$1="",对接源_01水果!$C764="",对接源_01水果!$C764&lt;&gt;$L$1,对接源_01水果!$B764=""),0,IF(OR(N(对接源_01水果!$B764)&lt;$L$2,N(对接源_01水果!$B764)&gt;$L$3),0,1))</f>
        <v>0</v>
      </c>
      <c r="M764">
        <f>IF(OR($M$1="",对接源_01水果!$C764="",对接源_01水果!$C764&lt;&gt;$M$1,对接源_01水果!$B764=""),0,IF(OR(N(对接源_01水果!$B764)&lt;$M$2,N(对接源_01水果!$B764)&gt;$M$3),0,1))</f>
        <v>0</v>
      </c>
      <c r="N764">
        <f>IF(OR($N$1="",对接源_01水果!$C764="",对接源_01水果!$C764&lt;&gt;$N$1,对接源_01水果!$B764=""),0,IF(OR(N(对接源_01水果!$B764)&lt;$N$2,N(对接源_01水果!$B764)&gt;$N$3),0,1))</f>
        <v>0</v>
      </c>
      <c r="P764">
        <f>IF(AND($K764=1,AND(对接源_01水果!$X764="公司筐",N(对接源_01水果!$T764)&lt;&gt;0)),1,0)</f>
        <v>0</v>
      </c>
      <c r="Q764">
        <f>N(Q763)+$P764</f>
        <v>0</v>
      </c>
      <c r="R764">
        <f>IF(AND($K764=1,AND(对接源_01水果!$X764="公司筐",N(对接源_01水果!$U764)&lt;&gt;0)),1,0)</f>
        <v>0</v>
      </c>
      <c r="S764">
        <f>N(S763)+$R764</f>
        <v>0</v>
      </c>
      <c r="T764">
        <f>IF(AND($K764=1,AND(对接源_01水果!$X764="公司筐",N(对接源_01水果!$V764)&lt;&gt;0)),1,0)</f>
        <v>0</v>
      </c>
      <c r="U764">
        <f>N(U763)+$T764</f>
        <v>47</v>
      </c>
      <c r="V764">
        <f>IF(AND($L764=1,AND(对接源_01水果!$X764="自备筐",N(对接源_01水果!$V764)&lt;&gt;0)),1,0)</f>
        <v>0</v>
      </c>
      <c r="W764">
        <f>N(W763)+$V764</f>
        <v>11</v>
      </c>
      <c r="X764">
        <f>IF(AND($L764=1,AND(对接源_01水果!$X764="自备筐",N(对接源_01水果!$T764)&lt;&gt;0)),1,0)</f>
        <v>0</v>
      </c>
      <c r="Y764">
        <f>N(Y763)+$X764</f>
        <v>0</v>
      </c>
      <c r="Z764">
        <f>IF(AND($M764=1,对接源_01水果!$D764="原料入库"),1,0)</f>
        <v>0</v>
      </c>
      <c r="AA764">
        <f>N(AA763)+$Z764</f>
        <v>24</v>
      </c>
      <c r="AB764">
        <f>IF(AND($M764=1,LEFT(对接源_01水果!$D764,4)="原料出库"),1,0)</f>
        <v>0</v>
      </c>
      <c r="AC764">
        <f>N(AC763)+$AB764</f>
        <v>0</v>
      </c>
      <c r="AD764">
        <f>IF(AND($M764=1,LEFT(对接源_01水果!$D764,4)="成品出库"),1,0)</f>
        <v>0</v>
      </c>
      <c r="AE764">
        <f>N(AE763)+$AD764</f>
        <v>0</v>
      </c>
      <c r="AF764">
        <f>IF(AND($N764=1,AND(LEFT(对接源_01水果!$D764,4)="包装物料",N(对接源_01水果!$K764)&lt;&gt;0)),1,0)</f>
        <v>0</v>
      </c>
      <c r="AG764">
        <f>N(AG763)+$AF764</f>
        <v>0</v>
      </c>
      <c r="AH764">
        <f>IF(AND($N764=1,AND(对接源_01水果!$D764="周转筐－销售出库",N(对接源_01水果!$K764)&lt;&gt;0)),1,0)</f>
        <v>0</v>
      </c>
      <c r="AI764">
        <f>N(AI763)+$AH764</f>
        <v>0</v>
      </c>
      <c r="AJ764" s="7" t="n"/>
      <c r="AL764">
        <f>IF(OR($AL$1="",对接源_01水果!$Y764="",对接源_01水果!$Y764&lt;&gt;$AL$1,对接源_01水果!$B764="",N(对接源_01水果!$AJ764)&lt;=0),0,IF(OR(N(对接源_01水果!$B764)&lt;$AL$2,N(对接源_01水果!$B764)&gt;$AL$3),0,1))</f>
        <v>0</v>
      </c>
      <c r="AM764">
        <f>N(AM763)+$AL764</f>
        <v>2</v>
      </c>
      <c r="AN764">
        <f>IF(对接源_01水果!$AC764="","",对接源_01水果!$AC764)</f>
      </c>
      <c r="AO764">
        <f>IF(AN764="",0,IF(MATCH(AN764,$AN$4:$AN$1203,0)=ROW()-3,1,0))</f>
        <v>0</v>
      </c>
      <c r="AP764">
        <f>N(AP763)+$AO764</f>
        <v>13</v>
      </c>
      <c r="AR764">
        <f>IF(OR($AF764=1,$AH764=1),1,0)</f>
        <v>0</v>
      </c>
      <c r="AS764">
        <f>N(AS763)+$AR764</f>
        <v>0</v>
      </c>
    </row>
    <row r="765" ht="14.25" customHeight="1" s="127">
      <c r="A765">
        <f>IF(对接源_01水果!$C765="","",对接源_01水果!$C765)</f>
      </c>
      <c r="B765">
        <f>IF(A765="",0,IF(MATCH(A765,$A$4:$A$2403,0)=ROW()-3,1,0))</f>
        <v>0</v>
      </c>
      <c r="C765">
        <f>N(C764)+B765</f>
        <v>22</v>
      </c>
      <c r="K765">
        <f>IF(OR($K$1="",对接源_01水果!$C765="",对接源_01水果!$C765&lt;&gt;$K$1,对接源_01水果!$B765=""),0,IF(OR(N(对接源_01水果!$B765)&lt;$K$2,N(对接源_01水果!$B765)&gt;$K$3),0,1))</f>
        <v>0</v>
      </c>
      <c r="L765">
        <f>IF(OR($L$1="",对接源_01水果!$C765="",对接源_01水果!$C765&lt;&gt;$L$1,对接源_01水果!$B765=""),0,IF(OR(N(对接源_01水果!$B765)&lt;$L$2,N(对接源_01水果!$B765)&gt;$L$3),0,1))</f>
        <v>0</v>
      </c>
      <c r="M765">
        <f>IF(OR($M$1="",对接源_01水果!$C765="",对接源_01水果!$C765&lt;&gt;$M$1,对接源_01水果!$B765=""),0,IF(OR(N(对接源_01水果!$B765)&lt;$M$2,N(对接源_01水果!$B765)&gt;$M$3),0,1))</f>
        <v>0</v>
      </c>
      <c r="N765">
        <f>IF(OR($N$1="",对接源_01水果!$C765="",对接源_01水果!$C765&lt;&gt;$N$1,对接源_01水果!$B765=""),0,IF(OR(N(对接源_01水果!$B765)&lt;$N$2,N(对接源_01水果!$B765)&gt;$N$3),0,1))</f>
        <v>0</v>
      </c>
      <c r="P765">
        <f>IF(AND($K765=1,AND(对接源_01水果!$X765="公司筐",N(对接源_01水果!$T765)&lt;&gt;0)),1,0)</f>
        <v>0</v>
      </c>
      <c r="Q765">
        <f>N(Q764)+$P765</f>
        <v>0</v>
      </c>
      <c r="R765">
        <f>IF(AND($K765=1,AND(对接源_01水果!$X765="公司筐",N(对接源_01水果!$U765)&lt;&gt;0)),1,0)</f>
        <v>0</v>
      </c>
      <c r="S765">
        <f>N(S764)+$R765</f>
        <v>0</v>
      </c>
      <c r="T765">
        <f>IF(AND($K765=1,AND(对接源_01水果!$X765="公司筐",N(对接源_01水果!$V765)&lt;&gt;0)),1,0)</f>
        <v>0</v>
      </c>
      <c r="U765">
        <f>N(U764)+$T765</f>
        <v>47</v>
      </c>
      <c r="V765">
        <f>IF(AND($L765=1,AND(对接源_01水果!$X765="自备筐",N(对接源_01水果!$V765)&lt;&gt;0)),1,0)</f>
        <v>0</v>
      </c>
      <c r="W765">
        <f>N(W764)+$V765</f>
        <v>11</v>
      </c>
      <c r="X765">
        <f>IF(AND($L765=1,AND(对接源_01水果!$X765="自备筐",N(对接源_01水果!$T765)&lt;&gt;0)),1,0)</f>
        <v>0</v>
      </c>
      <c r="Y765">
        <f>N(Y764)+$X765</f>
        <v>0</v>
      </c>
      <c r="Z765">
        <f>IF(AND($M765=1,对接源_01水果!$D765="原料入库"),1,0)</f>
        <v>0</v>
      </c>
      <c r="AA765">
        <f>N(AA764)+$Z765</f>
        <v>24</v>
      </c>
      <c r="AB765">
        <f>IF(AND($M765=1,LEFT(对接源_01水果!$D765,4)="原料出库"),1,0)</f>
        <v>0</v>
      </c>
      <c r="AC765">
        <f>N(AC764)+$AB765</f>
        <v>0</v>
      </c>
      <c r="AD765">
        <f>IF(AND($M765=1,LEFT(对接源_01水果!$D765,4)="成品出库"),1,0)</f>
        <v>0</v>
      </c>
      <c r="AE765">
        <f>N(AE764)+$AD765</f>
        <v>0</v>
      </c>
      <c r="AF765">
        <f>IF(AND($N765=1,AND(LEFT(对接源_01水果!$D765,4)="包装物料",N(对接源_01水果!$K765)&lt;&gt;0)),1,0)</f>
        <v>0</v>
      </c>
      <c r="AG765">
        <f>N(AG764)+$AF765</f>
        <v>0</v>
      </c>
      <c r="AH765">
        <f>IF(AND($N765=1,AND(对接源_01水果!$D765="周转筐－销售出库",N(对接源_01水果!$K765)&lt;&gt;0)),1,0)</f>
        <v>0</v>
      </c>
      <c r="AI765">
        <f>N(AI764)+$AH765</f>
        <v>0</v>
      </c>
      <c r="AJ765" s="7" t="n"/>
      <c r="AL765">
        <f>IF(OR($AL$1="",对接源_01水果!$Y765="",对接源_01水果!$Y765&lt;&gt;$AL$1,对接源_01水果!$B765="",N(对接源_01水果!$AJ765)&lt;=0),0,IF(OR(N(对接源_01水果!$B765)&lt;$AL$2,N(对接源_01水果!$B765)&gt;$AL$3),0,1))</f>
        <v>0</v>
      </c>
      <c r="AM765">
        <f>N(AM764)+$AL765</f>
        <v>2</v>
      </c>
      <c r="AN765">
        <f>IF(对接源_01水果!$AC765="","",对接源_01水果!$AC765)</f>
      </c>
      <c r="AO765">
        <f>IF(AN765="",0,IF(MATCH(AN765,$AN$4:$AN$1203,0)=ROW()-3,1,0))</f>
        <v>0</v>
      </c>
      <c r="AP765">
        <f>N(AP764)+$AO765</f>
        <v>13</v>
      </c>
      <c r="AR765">
        <f>IF(OR($AF765=1,$AH765=1),1,0)</f>
        <v>0</v>
      </c>
      <c r="AS765">
        <f>N(AS764)+$AR765</f>
        <v>0</v>
      </c>
    </row>
    <row r="766" ht="14.25" customHeight="1" s="127">
      <c r="A766">
        <f>IF(对接源_01水果!$C766="","",对接源_01水果!$C766)</f>
      </c>
      <c r="B766">
        <f>IF(A766="",0,IF(MATCH(A766,$A$4:$A$2403,0)=ROW()-3,1,0))</f>
        <v>0</v>
      </c>
      <c r="C766">
        <f>N(C765)+B766</f>
        <v>22</v>
      </c>
      <c r="K766">
        <f>IF(OR($K$1="",对接源_01水果!$C766="",对接源_01水果!$C766&lt;&gt;$K$1,对接源_01水果!$B766=""),0,IF(OR(N(对接源_01水果!$B766)&lt;$K$2,N(对接源_01水果!$B766)&gt;$K$3),0,1))</f>
        <v>0</v>
      </c>
      <c r="L766">
        <f>IF(OR($L$1="",对接源_01水果!$C766="",对接源_01水果!$C766&lt;&gt;$L$1,对接源_01水果!$B766=""),0,IF(OR(N(对接源_01水果!$B766)&lt;$L$2,N(对接源_01水果!$B766)&gt;$L$3),0,1))</f>
        <v>0</v>
      </c>
      <c r="M766">
        <f>IF(OR($M$1="",对接源_01水果!$C766="",对接源_01水果!$C766&lt;&gt;$M$1,对接源_01水果!$B766=""),0,IF(OR(N(对接源_01水果!$B766)&lt;$M$2,N(对接源_01水果!$B766)&gt;$M$3),0,1))</f>
        <v>0</v>
      </c>
      <c r="N766">
        <f>IF(OR($N$1="",对接源_01水果!$C766="",对接源_01水果!$C766&lt;&gt;$N$1,对接源_01水果!$B766=""),0,IF(OR(N(对接源_01水果!$B766)&lt;$N$2,N(对接源_01水果!$B766)&gt;$N$3),0,1))</f>
        <v>0</v>
      </c>
      <c r="P766">
        <f>IF(AND($K766=1,AND(对接源_01水果!$X766="公司筐",N(对接源_01水果!$T766)&lt;&gt;0)),1,0)</f>
        <v>0</v>
      </c>
      <c r="Q766">
        <f>N(Q765)+$P766</f>
        <v>0</v>
      </c>
      <c r="R766">
        <f>IF(AND($K766=1,AND(对接源_01水果!$X766="公司筐",N(对接源_01水果!$U766)&lt;&gt;0)),1,0)</f>
        <v>0</v>
      </c>
      <c r="S766">
        <f>N(S765)+$R766</f>
        <v>0</v>
      </c>
      <c r="T766">
        <f>IF(AND($K766=1,AND(对接源_01水果!$X766="公司筐",N(对接源_01水果!$V766)&lt;&gt;0)),1,0)</f>
        <v>0</v>
      </c>
      <c r="U766">
        <f>N(U765)+$T766</f>
        <v>47</v>
      </c>
      <c r="V766">
        <f>IF(AND($L766=1,AND(对接源_01水果!$X766="自备筐",N(对接源_01水果!$V766)&lt;&gt;0)),1,0)</f>
        <v>0</v>
      </c>
      <c r="W766">
        <f>N(W765)+$V766</f>
        <v>11</v>
      </c>
      <c r="X766">
        <f>IF(AND($L766=1,AND(对接源_01水果!$X766="自备筐",N(对接源_01水果!$T766)&lt;&gt;0)),1,0)</f>
        <v>0</v>
      </c>
      <c r="Y766">
        <f>N(Y765)+$X766</f>
        <v>0</v>
      </c>
      <c r="Z766">
        <f>IF(AND($M766=1,对接源_01水果!$D766="原料入库"),1,0)</f>
        <v>0</v>
      </c>
      <c r="AA766">
        <f>N(AA765)+$Z766</f>
        <v>24</v>
      </c>
      <c r="AB766">
        <f>IF(AND($M766=1,LEFT(对接源_01水果!$D766,4)="原料出库"),1,0)</f>
        <v>0</v>
      </c>
      <c r="AC766">
        <f>N(AC765)+$AB766</f>
        <v>0</v>
      </c>
      <c r="AD766">
        <f>IF(AND($M766=1,LEFT(对接源_01水果!$D766,4)="成品出库"),1,0)</f>
        <v>0</v>
      </c>
      <c r="AE766">
        <f>N(AE765)+$AD766</f>
        <v>0</v>
      </c>
      <c r="AF766">
        <f>IF(AND($N766=1,AND(LEFT(对接源_01水果!$D766,4)="包装物料",N(对接源_01水果!$K766)&lt;&gt;0)),1,0)</f>
        <v>0</v>
      </c>
      <c r="AG766">
        <f>N(AG765)+$AF766</f>
        <v>0</v>
      </c>
      <c r="AH766">
        <f>IF(AND($N766=1,AND(对接源_01水果!$D766="周转筐－销售出库",N(对接源_01水果!$K766)&lt;&gt;0)),1,0)</f>
        <v>0</v>
      </c>
      <c r="AI766">
        <f>N(AI765)+$AH766</f>
        <v>0</v>
      </c>
      <c r="AJ766" s="7" t="n"/>
      <c r="AL766">
        <f>IF(OR($AL$1="",对接源_01水果!$Y766="",对接源_01水果!$Y766&lt;&gt;$AL$1,对接源_01水果!$B766="",N(对接源_01水果!$AJ766)&lt;=0),0,IF(OR(N(对接源_01水果!$B766)&lt;$AL$2,N(对接源_01水果!$B766)&gt;$AL$3),0,1))</f>
        <v>0</v>
      </c>
      <c r="AM766">
        <f>N(AM765)+$AL766</f>
        <v>2</v>
      </c>
      <c r="AN766">
        <f>IF(对接源_01水果!$AC766="","",对接源_01水果!$AC766)</f>
      </c>
      <c r="AO766">
        <f>IF(AN766="",0,IF(MATCH(AN766,$AN$4:$AN$1203,0)=ROW()-3,1,0))</f>
        <v>0</v>
      </c>
      <c r="AP766">
        <f>N(AP765)+$AO766</f>
        <v>13</v>
      </c>
      <c r="AR766">
        <f>IF(OR($AF766=1,$AH766=1),1,0)</f>
        <v>0</v>
      </c>
      <c r="AS766">
        <f>N(AS765)+$AR766</f>
        <v>0</v>
      </c>
    </row>
    <row r="767" ht="14.25" customHeight="1" s="127">
      <c r="A767">
        <f>IF(对接源_01水果!$C767="","",对接源_01水果!$C767)</f>
      </c>
      <c r="B767">
        <f>IF(A767="",0,IF(MATCH(A767,$A$4:$A$2403,0)=ROW()-3,1,0))</f>
        <v>0</v>
      </c>
      <c r="C767">
        <f>N(C766)+B767</f>
        <v>22</v>
      </c>
      <c r="K767">
        <f>IF(OR($K$1="",对接源_01水果!$C767="",对接源_01水果!$C767&lt;&gt;$K$1,对接源_01水果!$B767=""),0,IF(OR(N(对接源_01水果!$B767)&lt;$K$2,N(对接源_01水果!$B767)&gt;$K$3),0,1))</f>
        <v>0</v>
      </c>
      <c r="L767">
        <f>IF(OR($L$1="",对接源_01水果!$C767="",对接源_01水果!$C767&lt;&gt;$L$1,对接源_01水果!$B767=""),0,IF(OR(N(对接源_01水果!$B767)&lt;$L$2,N(对接源_01水果!$B767)&gt;$L$3),0,1))</f>
        <v>0</v>
      </c>
      <c r="M767">
        <f>IF(OR($M$1="",对接源_01水果!$C767="",对接源_01水果!$C767&lt;&gt;$M$1,对接源_01水果!$B767=""),0,IF(OR(N(对接源_01水果!$B767)&lt;$M$2,N(对接源_01水果!$B767)&gt;$M$3),0,1))</f>
        <v>0</v>
      </c>
      <c r="N767">
        <f>IF(OR($N$1="",对接源_01水果!$C767="",对接源_01水果!$C767&lt;&gt;$N$1,对接源_01水果!$B767=""),0,IF(OR(N(对接源_01水果!$B767)&lt;$N$2,N(对接源_01水果!$B767)&gt;$N$3),0,1))</f>
        <v>0</v>
      </c>
      <c r="P767">
        <f>IF(AND($K767=1,AND(对接源_01水果!$X767="公司筐",N(对接源_01水果!$T767)&lt;&gt;0)),1,0)</f>
        <v>0</v>
      </c>
      <c r="Q767">
        <f>N(Q766)+$P767</f>
        <v>0</v>
      </c>
      <c r="R767">
        <f>IF(AND($K767=1,AND(对接源_01水果!$X767="公司筐",N(对接源_01水果!$U767)&lt;&gt;0)),1,0)</f>
        <v>0</v>
      </c>
      <c r="S767">
        <f>N(S766)+$R767</f>
        <v>0</v>
      </c>
      <c r="T767">
        <f>IF(AND($K767=1,AND(对接源_01水果!$X767="公司筐",N(对接源_01水果!$V767)&lt;&gt;0)),1,0)</f>
        <v>0</v>
      </c>
      <c r="U767">
        <f>N(U766)+$T767</f>
        <v>47</v>
      </c>
      <c r="V767">
        <f>IF(AND($L767=1,AND(对接源_01水果!$X767="自备筐",N(对接源_01水果!$V767)&lt;&gt;0)),1,0)</f>
        <v>0</v>
      </c>
      <c r="W767">
        <f>N(W766)+$V767</f>
        <v>11</v>
      </c>
      <c r="X767">
        <f>IF(AND($L767=1,AND(对接源_01水果!$X767="自备筐",N(对接源_01水果!$T767)&lt;&gt;0)),1,0)</f>
        <v>0</v>
      </c>
      <c r="Y767">
        <f>N(Y766)+$X767</f>
        <v>0</v>
      </c>
      <c r="Z767">
        <f>IF(AND($M767=1,对接源_01水果!$D767="原料入库"),1,0)</f>
        <v>0</v>
      </c>
      <c r="AA767">
        <f>N(AA766)+$Z767</f>
        <v>24</v>
      </c>
      <c r="AB767">
        <f>IF(AND($M767=1,LEFT(对接源_01水果!$D767,4)="原料出库"),1,0)</f>
        <v>0</v>
      </c>
      <c r="AC767">
        <f>N(AC766)+$AB767</f>
        <v>0</v>
      </c>
      <c r="AD767">
        <f>IF(AND($M767=1,LEFT(对接源_01水果!$D767,4)="成品出库"),1,0)</f>
        <v>0</v>
      </c>
      <c r="AE767">
        <f>N(AE766)+$AD767</f>
        <v>0</v>
      </c>
      <c r="AF767">
        <f>IF(AND($N767=1,AND(LEFT(对接源_01水果!$D767,4)="包装物料",N(对接源_01水果!$K767)&lt;&gt;0)),1,0)</f>
        <v>0</v>
      </c>
      <c r="AG767">
        <f>N(AG766)+$AF767</f>
        <v>0</v>
      </c>
      <c r="AH767">
        <f>IF(AND($N767=1,AND(对接源_01水果!$D767="周转筐－销售出库",N(对接源_01水果!$K767)&lt;&gt;0)),1,0)</f>
        <v>0</v>
      </c>
      <c r="AI767">
        <f>N(AI766)+$AH767</f>
        <v>0</v>
      </c>
      <c r="AJ767" s="7" t="n"/>
      <c r="AL767">
        <f>IF(OR($AL$1="",对接源_01水果!$Y767="",对接源_01水果!$Y767&lt;&gt;$AL$1,对接源_01水果!$B767="",N(对接源_01水果!$AJ767)&lt;=0),0,IF(OR(N(对接源_01水果!$B767)&lt;$AL$2,N(对接源_01水果!$B767)&gt;$AL$3),0,1))</f>
        <v>0</v>
      </c>
      <c r="AM767">
        <f>N(AM766)+$AL767</f>
        <v>2</v>
      </c>
      <c r="AN767">
        <f>IF(对接源_01水果!$AC767="","",对接源_01水果!$AC767)</f>
      </c>
      <c r="AO767">
        <f>IF(AN767="",0,IF(MATCH(AN767,$AN$4:$AN$1203,0)=ROW()-3,1,0))</f>
        <v>0</v>
      </c>
      <c r="AP767">
        <f>N(AP766)+$AO767</f>
        <v>13</v>
      </c>
      <c r="AR767">
        <f>IF(OR($AF767=1,$AH767=1),1,0)</f>
        <v>0</v>
      </c>
      <c r="AS767">
        <f>N(AS766)+$AR767</f>
        <v>0</v>
      </c>
    </row>
    <row r="768" ht="14.25" customHeight="1" s="127">
      <c r="A768">
        <f>IF(对接源_01水果!$C768="","",对接源_01水果!$C768)</f>
      </c>
      <c r="B768">
        <f>IF(A768="",0,IF(MATCH(A768,$A$4:$A$2403,0)=ROW()-3,1,0))</f>
        <v>0</v>
      </c>
      <c r="C768">
        <f>N(C767)+B768</f>
        <v>22</v>
      </c>
      <c r="K768">
        <f>IF(OR($K$1="",对接源_01水果!$C768="",对接源_01水果!$C768&lt;&gt;$K$1,对接源_01水果!$B768=""),0,IF(OR(N(对接源_01水果!$B768)&lt;$K$2,N(对接源_01水果!$B768)&gt;$K$3),0,1))</f>
        <v>0</v>
      </c>
      <c r="L768">
        <f>IF(OR($L$1="",对接源_01水果!$C768="",对接源_01水果!$C768&lt;&gt;$L$1,对接源_01水果!$B768=""),0,IF(OR(N(对接源_01水果!$B768)&lt;$L$2,N(对接源_01水果!$B768)&gt;$L$3),0,1))</f>
        <v>0</v>
      </c>
      <c r="M768">
        <f>IF(OR($M$1="",对接源_01水果!$C768="",对接源_01水果!$C768&lt;&gt;$M$1,对接源_01水果!$B768=""),0,IF(OR(N(对接源_01水果!$B768)&lt;$M$2,N(对接源_01水果!$B768)&gt;$M$3),0,1))</f>
        <v>0</v>
      </c>
      <c r="N768">
        <f>IF(OR($N$1="",对接源_01水果!$C768="",对接源_01水果!$C768&lt;&gt;$N$1,对接源_01水果!$B768=""),0,IF(OR(N(对接源_01水果!$B768)&lt;$N$2,N(对接源_01水果!$B768)&gt;$N$3),0,1))</f>
        <v>0</v>
      </c>
      <c r="P768">
        <f>IF(AND($K768=1,AND(对接源_01水果!$X768="公司筐",N(对接源_01水果!$T768)&lt;&gt;0)),1,0)</f>
        <v>0</v>
      </c>
      <c r="Q768">
        <f>N(Q767)+$P768</f>
        <v>0</v>
      </c>
      <c r="R768">
        <f>IF(AND($K768=1,AND(对接源_01水果!$X768="公司筐",N(对接源_01水果!$U768)&lt;&gt;0)),1,0)</f>
        <v>0</v>
      </c>
      <c r="S768">
        <f>N(S767)+$R768</f>
        <v>0</v>
      </c>
      <c r="T768">
        <f>IF(AND($K768=1,AND(对接源_01水果!$X768="公司筐",N(对接源_01水果!$V768)&lt;&gt;0)),1,0)</f>
        <v>0</v>
      </c>
      <c r="U768">
        <f>N(U767)+$T768</f>
        <v>47</v>
      </c>
      <c r="V768">
        <f>IF(AND($L768=1,AND(对接源_01水果!$X768="自备筐",N(对接源_01水果!$V768)&lt;&gt;0)),1,0)</f>
        <v>0</v>
      </c>
      <c r="W768">
        <f>N(W767)+$V768</f>
        <v>11</v>
      </c>
      <c r="X768">
        <f>IF(AND($L768=1,AND(对接源_01水果!$X768="自备筐",N(对接源_01水果!$T768)&lt;&gt;0)),1,0)</f>
        <v>0</v>
      </c>
      <c r="Y768">
        <f>N(Y767)+$X768</f>
        <v>0</v>
      </c>
      <c r="Z768">
        <f>IF(AND($M768=1,对接源_01水果!$D768="原料入库"),1,0)</f>
        <v>0</v>
      </c>
      <c r="AA768">
        <f>N(AA767)+$Z768</f>
        <v>24</v>
      </c>
      <c r="AB768">
        <f>IF(AND($M768=1,LEFT(对接源_01水果!$D768,4)="原料出库"),1,0)</f>
        <v>0</v>
      </c>
      <c r="AC768">
        <f>N(AC767)+$AB768</f>
        <v>0</v>
      </c>
      <c r="AD768">
        <f>IF(AND($M768=1,LEFT(对接源_01水果!$D768,4)="成品出库"),1,0)</f>
        <v>0</v>
      </c>
      <c r="AE768">
        <f>N(AE767)+$AD768</f>
        <v>0</v>
      </c>
      <c r="AF768">
        <f>IF(AND($N768=1,AND(LEFT(对接源_01水果!$D768,4)="包装物料",N(对接源_01水果!$K768)&lt;&gt;0)),1,0)</f>
        <v>0</v>
      </c>
      <c r="AG768">
        <f>N(AG767)+$AF768</f>
        <v>0</v>
      </c>
      <c r="AH768">
        <f>IF(AND($N768=1,AND(对接源_01水果!$D768="周转筐－销售出库",N(对接源_01水果!$K768)&lt;&gt;0)),1,0)</f>
        <v>0</v>
      </c>
      <c r="AI768">
        <f>N(AI767)+$AH768</f>
        <v>0</v>
      </c>
      <c r="AJ768" s="7" t="n"/>
      <c r="AL768">
        <f>IF(OR($AL$1="",对接源_01水果!$Y768="",对接源_01水果!$Y768&lt;&gt;$AL$1,对接源_01水果!$B768="",N(对接源_01水果!$AJ768)&lt;=0),0,IF(OR(N(对接源_01水果!$B768)&lt;$AL$2,N(对接源_01水果!$B768)&gt;$AL$3),0,1))</f>
        <v>0</v>
      </c>
      <c r="AM768">
        <f>N(AM767)+$AL768</f>
        <v>2</v>
      </c>
      <c r="AN768">
        <f>IF(对接源_01水果!$AC768="","",对接源_01水果!$AC768)</f>
      </c>
      <c r="AO768">
        <f>IF(AN768="",0,IF(MATCH(AN768,$AN$4:$AN$1203,0)=ROW()-3,1,0))</f>
        <v>0</v>
      </c>
      <c r="AP768">
        <f>N(AP767)+$AO768</f>
        <v>13</v>
      </c>
      <c r="AR768">
        <f>IF(OR($AF768=1,$AH768=1),1,0)</f>
        <v>0</v>
      </c>
      <c r="AS768">
        <f>N(AS767)+$AR768</f>
        <v>0</v>
      </c>
    </row>
    <row r="769" ht="14.25" customHeight="1" s="127">
      <c r="A769">
        <f>IF(对接源_01水果!$C769="","",对接源_01水果!$C769)</f>
      </c>
      <c r="B769">
        <f>IF(A769="",0,IF(MATCH(A769,$A$4:$A$2403,0)=ROW()-3,1,0))</f>
        <v>0</v>
      </c>
      <c r="C769">
        <f>N(C768)+B769</f>
        <v>22</v>
      </c>
      <c r="K769">
        <f>IF(OR($K$1="",对接源_01水果!$C769="",对接源_01水果!$C769&lt;&gt;$K$1,对接源_01水果!$B769=""),0,IF(OR(N(对接源_01水果!$B769)&lt;$K$2,N(对接源_01水果!$B769)&gt;$K$3),0,1))</f>
        <v>0</v>
      </c>
      <c r="L769">
        <f>IF(OR($L$1="",对接源_01水果!$C769="",对接源_01水果!$C769&lt;&gt;$L$1,对接源_01水果!$B769=""),0,IF(OR(N(对接源_01水果!$B769)&lt;$L$2,N(对接源_01水果!$B769)&gt;$L$3),0,1))</f>
        <v>0</v>
      </c>
      <c r="M769">
        <f>IF(OR($M$1="",对接源_01水果!$C769="",对接源_01水果!$C769&lt;&gt;$M$1,对接源_01水果!$B769=""),0,IF(OR(N(对接源_01水果!$B769)&lt;$M$2,N(对接源_01水果!$B769)&gt;$M$3),0,1))</f>
        <v>0</v>
      </c>
      <c r="N769">
        <f>IF(OR($N$1="",对接源_01水果!$C769="",对接源_01水果!$C769&lt;&gt;$N$1,对接源_01水果!$B769=""),0,IF(OR(N(对接源_01水果!$B769)&lt;$N$2,N(对接源_01水果!$B769)&gt;$N$3),0,1))</f>
        <v>0</v>
      </c>
      <c r="P769">
        <f>IF(AND($K769=1,AND(对接源_01水果!$X769="公司筐",N(对接源_01水果!$T769)&lt;&gt;0)),1,0)</f>
        <v>0</v>
      </c>
      <c r="Q769">
        <f>N(Q768)+$P769</f>
        <v>0</v>
      </c>
      <c r="R769">
        <f>IF(AND($K769=1,AND(对接源_01水果!$X769="公司筐",N(对接源_01水果!$U769)&lt;&gt;0)),1,0)</f>
        <v>0</v>
      </c>
      <c r="S769">
        <f>N(S768)+$R769</f>
        <v>0</v>
      </c>
      <c r="T769">
        <f>IF(AND($K769=1,AND(对接源_01水果!$X769="公司筐",N(对接源_01水果!$V769)&lt;&gt;0)),1,0)</f>
        <v>0</v>
      </c>
      <c r="U769">
        <f>N(U768)+$T769</f>
        <v>47</v>
      </c>
      <c r="V769">
        <f>IF(AND($L769=1,AND(对接源_01水果!$X769="自备筐",N(对接源_01水果!$V769)&lt;&gt;0)),1,0)</f>
        <v>0</v>
      </c>
      <c r="W769">
        <f>N(W768)+$V769</f>
        <v>11</v>
      </c>
      <c r="X769">
        <f>IF(AND($L769=1,AND(对接源_01水果!$X769="自备筐",N(对接源_01水果!$T769)&lt;&gt;0)),1,0)</f>
        <v>0</v>
      </c>
      <c r="Y769">
        <f>N(Y768)+$X769</f>
        <v>0</v>
      </c>
      <c r="Z769">
        <f>IF(AND($M769=1,对接源_01水果!$D769="原料入库"),1,0)</f>
        <v>0</v>
      </c>
      <c r="AA769">
        <f>N(AA768)+$Z769</f>
        <v>24</v>
      </c>
      <c r="AB769">
        <f>IF(AND($M769=1,LEFT(对接源_01水果!$D769,4)="原料出库"),1,0)</f>
        <v>0</v>
      </c>
      <c r="AC769">
        <f>N(AC768)+$AB769</f>
        <v>0</v>
      </c>
      <c r="AD769">
        <f>IF(AND($M769=1,LEFT(对接源_01水果!$D769,4)="成品出库"),1,0)</f>
        <v>0</v>
      </c>
      <c r="AE769">
        <f>N(AE768)+$AD769</f>
        <v>0</v>
      </c>
      <c r="AF769">
        <f>IF(AND($N769=1,AND(LEFT(对接源_01水果!$D769,4)="包装物料",N(对接源_01水果!$K769)&lt;&gt;0)),1,0)</f>
        <v>0</v>
      </c>
      <c r="AG769">
        <f>N(AG768)+$AF769</f>
        <v>0</v>
      </c>
      <c r="AH769">
        <f>IF(AND($N769=1,AND(对接源_01水果!$D769="周转筐－销售出库",N(对接源_01水果!$K769)&lt;&gt;0)),1,0)</f>
        <v>0</v>
      </c>
      <c r="AI769">
        <f>N(AI768)+$AH769</f>
        <v>0</v>
      </c>
      <c r="AJ769" s="7" t="n"/>
      <c r="AL769">
        <f>IF(OR($AL$1="",对接源_01水果!$Y769="",对接源_01水果!$Y769&lt;&gt;$AL$1,对接源_01水果!$B769="",N(对接源_01水果!$AJ769)&lt;=0),0,IF(OR(N(对接源_01水果!$B769)&lt;$AL$2,N(对接源_01水果!$B769)&gt;$AL$3),0,1))</f>
        <v>0</v>
      </c>
      <c r="AM769">
        <f>N(AM768)+$AL769</f>
        <v>2</v>
      </c>
      <c r="AN769">
        <f>IF(对接源_01水果!$AC769="","",对接源_01水果!$AC769)</f>
      </c>
      <c r="AO769">
        <f>IF(AN769="",0,IF(MATCH(AN769,$AN$4:$AN$1203,0)=ROW()-3,1,0))</f>
        <v>0</v>
      </c>
      <c r="AP769">
        <f>N(AP768)+$AO769</f>
        <v>13</v>
      </c>
      <c r="AR769">
        <f>IF(OR($AF769=1,$AH769=1),1,0)</f>
        <v>0</v>
      </c>
      <c r="AS769">
        <f>N(AS768)+$AR769</f>
        <v>0</v>
      </c>
    </row>
    <row r="770" ht="14.25" customHeight="1" s="127">
      <c r="A770">
        <f>IF(对接源_01水果!$C770="","",对接源_01水果!$C770)</f>
      </c>
      <c r="B770">
        <f>IF(A770="",0,IF(MATCH(A770,$A$4:$A$2403,0)=ROW()-3,1,0))</f>
        <v>0</v>
      </c>
      <c r="C770">
        <f>N(C769)+B770</f>
        <v>22</v>
      </c>
      <c r="K770">
        <f>IF(OR($K$1="",对接源_01水果!$C770="",对接源_01水果!$C770&lt;&gt;$K$1,对接源_01水果!$B770=""),0,IF(OR(N(对接源_01水果!$B770)&lt;$K$2,N(对接源_01水果!$B770)&gt;$K$3),0,1))</f>
        <v>0</v>
      </c>
      <c r="L770">
        <f>IF(OR($L$1="",对接源_01水果!$C770="",对接源_01水果!$C770&lt;&gt;$L$1,对接源_01水果!$B770=""),0,IF(OR(N(对接源_01水果!$B770)&lt;$L$2,N(对接源_01水果!$B770)&gt;$L$3),0,1))</f>
        <v>0</v>
      </c>
      <c r="M770">
        <f>IF(OR($M$1="",对接源_01水果!$C770="",对接源_01水果!$C770&lt;&gt;$M$1,对接源_01水果!$B770=""),0,IF(OR(N(对接源_01水果!$B770)&lt;$M$2,N(对接源_01水果!$B770)&gt;$M$3),0,1))</f>
        <v>0</v>
      </c>
      <c r="N770">
        <f>IF(OR($N$1="",对接源_01水果!$C770="",对接源_01水果!$C770&lt;&gt;$N$1,对接源_01水果!$B770=""),0,IF(OR(N(对接源_01水果!$B770)&lt;$N$2,N(对接源_01水果!$B770)&gt;$N$3),0,1))</f>
        <v>0</v>
      </c>
      <c r="P770">
        <f>IF(AND($K770=1,AND(对接源_01水果!$X770="公司筐",N(对接源_01水果!$T770)&lt;&gt;0)),1,0)</f>
        <v>0</v>
      </c>
      <c r="Q770">
        <f>N(Q769)+$P770</f>
        <v>0</v>
      </c>
      <c r="R770">
        <f>IF(AND($K770=1,AND(对接源_01水果!$X770="公司筐",N(对接源_01水果!$U770)&lt;&gt;0)),1,0)</f>
        <v>0</v>
      </c>
      <c r="S770">
        <f>N(S769)+$R770</f>
        <v>0</v>
      </c>
      <c r="T770">
        <f>IF(AND($K770=1,AND(对接源_01水果!$X770="公司筐",N(对接源_01水果!$V770)&lt;&gt;0)),1,0)</f>
        <v>0</v>
      </c>
      <c r="U770">
        <f>N(U769)+$T770</f>
        <v>47</v>
      </c>
      <c r="V770">
        <f>IF(AND($L770=1,AND(对接源_01水果!$X770="自备筐",N(对接源_01水果!$V770)&lt;&gt;0)),1,0)</f>
        <v>0</v>
      </c>
      <c r="W770">
        <f>N(W769)+$V770</f>
        <v>11</v>
      </c>
      <c r="X770">
        <f>IF(AND($L770=1,AND(对接源_01水果!$X770="自备筐",N(对接源_01水果!$T770)&lt;&gt;0)),1,0)</f>
        <v>0</v>
      </c>
      <c r="Y770">
        <f>N(Y769)+$X770</f>
        <v>0</v>
      </c>
      <c r="Z770">
        <f>IF(AND($M770=1,对接源_01水果!$D770="原料入库"),1,0)</f>
        <v>0</v>
      </c>
      <c r="AA770">
        <f>N(AA769)+$Z770</f>
        <v>24</v>
      </c>
      <c r="AB770">
        <f>IF(AND($M770=1,LEFT(对接源_01水果!$D770,4)="原料出库"),1,0)</f>
        <v>0</v>
      </c>
      <c r="AC770">
        <f>N(AC769)+$AB770</f>
        <v>0</v>
      </c>
      <c r="AD770">
        <f>IF(AND($M770=1,LEFT(对接源_01水果!$D770,4)="成品出库"),1,0)</f>
        <v>0</v>
      </c>
      <c r="AE770">
        <f>N(AE769)+$AD770</f>
        <v>0</v>
      </c>
      <c r="AF770">
        <f>IF(AND($N770=1,AND(LEFT(对接源_01水果!$D770,4)="包装物料",N(对接源_01水果!$K770)&lt;&gt;0)),1,0)</f>
        <v>0</v>
      </c>
      <c r="AG770">
        <f>N(AG769)+$AF770</f>
        <v>0</v>
      </c>
      <c r="AH770">
        <f>IF(AND($N770=1,AND(对接源_01水果!$D770="周转筐－销售出库",N(对接源_01水果!$K770)&lt;&gt;0)),1,0)</f>
        <v>0</v>
      </c>
      <c r="AI770">
        <f>N(AI769)+$AH770</f>
        <v>0</v>
      </c>
      <c r="AJ770" s="7" t="n"/>
      <c r="AL770">
        <f>IF(OR($AL$1="",对接源_01水果!$Y770="",对接源_01水果!$Y770&lt;&gt;$AL$1,对接源_01水果!$B770="",N(对接源_01水果!$AJ770)&lt;=0),0,IF(OR(N(对接源_01水果!$B770)&lt;$AL$2,N(对接源_01水果!$B770)&gt;$AL$3),0,1))</f>
        <v>0</v>
      </c>
      <c r="AM770">
        <f>N(AM769)+$AL770</f>
        <v>2</v>
      </c>
      <c r="AN770">
        <f>IF(对接源_01水果!$AC770="","",对接源_01水果!$AC770)</f>
      </c>
      <c r="AO770">
        <f>IF(AN770="",0,IF(MATCH(AN770,$AN$4:$AN$1203,0)=ROW()-3,1,0))</f>
        <v>0</v>
      </c>
      <c r="AP770">
        <f>N(AP769)+$AO770</f>
        <v>13</v>
      </c>
      <c r="AR770">
        <f>IF(OR($AF770=1,$AH770=1),1,0)</f>
        <v>0</v>
      </c>
      <c r="AS770">
        <f>N(AS769)+$AR770</f>
        <v>0</v>
      </c>
    </row>
    <row r="771" ht="14.25" customHeight="1" s="127">
      <c r="A771">
        <f>IF(对接源_01水果!$C771="","",对接源_01水果!$C771)</f>
      </c>
      <c r="B771">
        <f>IF(A771="",0,IF(MATCH(A771,$A$4:$A$2403,0)=ROW()-3,1,0))</f>
        <v>0</v>
      </c>
      <c r="C771">
        <f>N(C770)+B771</f>
        <v>22</v>
      </c>
      <c r="K771">
        <f>IF(OR($K$1="",对接源_01水果!$C771="",对接源_01水果!$C771&lt;&gt;$K$1,对接源_01水果!$B771=""),0,IF(OR(N(对接源_01水果!$B771)&lt;$K$2,N(对接源_01水果!$B771)&gt;$K$3),0,1))</f>
        <v>0</v>
      </c>
      <c r="L771">
        <f>IF(OR($L$1="",对接源_01水果!$C771="",对接源_01水果!$C771&lt;&gt;$L$1,对接源_01水果!$B771=""),0,IF(OR(N(对接源_01水果!$B771)&lt;$L$2,N(对接源_01水果!$B771)&gt;$L$3),0,1))</f>
        <v>0</v>
      </c>
      <c r="M771">
        <f>IF(OR($M$1="",对接源_01水果!$C771="",对接源_01水果!$C771&lt;&gt;$M$1,对接源_01水果!$B771=""),0,IF(OR(N(对接源_01水果!$B771)&lt;$M$2,N(对接源_01水果!$B771)&gt;$M$3),0,1))</f>
        <v>0</v>
      </c>
      <c r="N771">
        <f>IF(OR($N$1="",对接源_01水果!$C771="",对接源_01水果!$C771&lt;&gt;$N$1,对接源_01水果!$B771=""),0,IF(OR(N(对接源_01水果!$B771)&lt;$N$2,N(对接源_01水果!$B771)&gt;$N$3),0,1))</f>
        <v>0</v>
      </c>
      <c r="P771">
        <f>IF(AND($K771=1,AND(对接源_01水果!$X771="公司筐",N(对接源_01水果!$T771)&lt;&gt;0)),1,0)</f>
        <v>0</v>
      </c>
      <c r="Q771">
        <f>N(Q770)+$P771</f>
        <v>0</v>
      </c>
      <c r="R771">
        <f>IF(AND($K771=1,AND(对接源_01水果!$X771="公司筐",N(对接源_01水果!$U771)&lt;&gt;0)),1,0)</f>
        <v>0</v>
      </c>
      <c r="S771">
        <f>N(S770)+$R771</f>
        <v>0</v>
      </c>
      <c r="T771">
        <f>IF(AND($K771=1,AND(对接源_01水果!$X771="公司筐",N(对接源_01水果!$V771)&lt;&gt;0)),1,0)</f>
        <v>0</v>
      </c>
      <c r="U771">
        <f>N(U770)+$T771</f>
        <v>47</v>
      </c>
      <c r="V771">
        <f>IF(AND($L771=1,AND(对接源_01水果!$X771="自备筐",N(对接源_01水果!$V771)&lt;&gt;0)),1,0)</f>
        <v>0</v>
      </c>
      <c r="W771">
        <f>N(W770)+$V771</f>
        <v>11</v>
      </c>
      <c r="X771">
        <f>IF(AND($L771=1,AND(对接源_01水果!$X771="自备筐",N(对接源_01水果!$T771)&lt;&gt;0)),1,0)</f>
        <v>0</v>
      </c>
      <c r="Y771">
        <f>N(Y770)+$X771</f>
        <v>0</v>
      </c>
      <c r="Z771">
        <f>IF(AND($M771=1,对接源_01水果!$D771="原料入库"),1,0)</f>
        <v>0</v>
      </c>
      <c r="AA771">
        <f>N(AA770)+$Z771</f>
        <v>24</v>
      </c>
      <c r="AB771">
        <f>IF(AND($M771=1,LEFT(对接源_01水果!$D771,4)="原料出库"),1,0)</f>
        <v>0</v>
      </c>
      <c r="AC771">
        <f>N(AC770)+$AB771</f>
        <v>0</v>
      </c>
      <c r="AD771">
        <f>IF(AND($M771=1,LEFT(对接源_01水果!$D771,4)="成品出库"),1,0)</f>
        <v>0</v>
      </c>
      <c r="AE771">
        <f>N(AE770)+$AD771</f>
        <v>0</v>
      </c>
      <c r="AF771">
        <f>IF(AND($N771=1,AND(LEFT(对接源_01水果!$D771,4)="包装物料",N(对接源_01水果!$K771)&lt;&gt;0)),1,0)</f>
        <v>0</v>
      </c>
      <c r="AG771">
        <f>N(AG770)+$AF771</f>
        <v>0</v>
      </c>
      <c r="AH771">
        <f>IF(AND($N771=1,AND(对接源_01水果!$D771="周转筐－销售出库",N(对接源_01水果!$K771)&lt;&gt;0)),1,0)</f>
        <v>0</v>
      </c>
      <c r="AI771">
        <f>N(AI770)+$AH771</f>
        <v>0</v>
      </c>
      <c r="AJ771" s="7" t="n"/>
      <c r="AL771">
        <f>IF(OR($AL$1="",对接源_01水果!$Y771="",对接源_01水果!$Y771&lt;&gt;$AL$1,对接源_01水果!$B771="",N(对接源_01水果!$AJ771)&lt;=0),0,IF(OR(N(对接源_01水果!$B771)&lt;$AL$2,N(对接源_01水果!$B771)&gt;$AL$3),0,1))</f>
        <v>0</v>
      </c>
      <c r="AM771">
        <f>N(AM770)+$AL771</f>
        <v>2</v>
      </c>
      <c r="AN771">
        <f>IF(对接源_01水果!$AC771="","",对接源_01水果!$AC771)</f>
      </c>
      <c r="AO771">
        <f>IF(AN771="",0,IF(MATCH(AN771,$AN$4:$AN$1203,0)=ROW()-3,1,0))</f>
        <v>0</v>
      </c>
      <c r="AP771">
        <f>N(AP770)+$AO771</f>
        <v>13</v>
      </c>
      <c r="AR771">
        <f>IF(OR($AF771=1,$AH771=1),1,0)</f>
        <v>0</v>
      </c>
      <c r="AS771">
        <f>N(AS770)+$AR771</f>
        <v>0</v>
      </c>
    </row>
    <row r="772" ht="14.25" customHeight="1" s="127">
      <c r="A772">
        <f>IF(对接源_01水果!$C772="","",对接源_01水果!$C772)</f>
      </c>
      <c r="B772">
        <f>IF(A772="",0,IF(MATCH(A772,$A$4:$A$2403,0)=ROW()-3,1,0))</f>
        <v>0</v>
      </c>
      <c r="C772">
        <f>N(C771)+B772</f>
        <v>22</v>
      </c>
      <c r="K772">
        <f>IF(OR($K$1="",对接源_01水果!$C772="",对接源_01水果!$C772&lt;&gt;$K$1,对接源_01水果!$B772=""),0,IF(OR(N(对接源_01水果!$B772)&lt;$K$2,N(对接源_01水果!$B772)&gt;$K$3),0,1))</f>
        <v>0</v>
      </c>
      <c r="L772">
        <f>IF(OR($L$1="",对接源_01水果!$C772="",对接源_01水果!$C772&lt;&gt;$L$1,对接源_01水果!$B772=""),0,IF(OR(N(对接源_01水果!$B772)&lt;$L$2,N(对接源_01水果!$B772)&gt;$L$3),0,1))</f>
        <v>0</v>
      </c>
      <c r="M772">
        <f>IF(OR($M$1="",对接源_01水果!$C772="",对接源_01水果!$C772&lt;&gt;$M$1,对接源_01水果!$B772=""),0,IF(OR(N(对接源_01水果!$B772)&lt;$M$2,N(对接源_01水果!$B772)&gt;$M$3),0,1))</f>
        <v>0</v>
      </c>
      <c r="N772">
        <f>IF(OR($N$1="",对接源_01水果!$C772="",对接源_01水果!$C772&lt;&gt;$N$1,对接源_01水果!$B772=""),0,IF(OR(N(对接源_01水果!$B772)&lt;$N$2,N(对接源_01水果!$B772)&gt;$N$3),0,1))</f>
        <v>0</v>
      </c>
      <c r="P772">
        <f>IF(AND($K772=1,AND(对接源_01水果!$X772="公司筐",N(对接源_01水果!$T772)&lt;&gt;0)),1,0)</f>
        <v>0</v>
      </c>
      <c r="Q772">
        <f>N(Q771)+$P772</f>
        <v>0</v>
      </c>
      <c r="R772">
        <f>IF(AND($K772=1,AND(对接源_01水果!$X772="公司筐",N(对接源_01水果!$U772)&lt;&gt;0)),1,0)</f>
        <v>0</v>
      </c>
      <c r="S772">
        <f>N(S771)+$R772</f>
        <v>0</v>
      </c>
      <c r="T772">
        <f>IF(AND($K772=1,AND(对接源_01水果!$X772="公司筐",N(对接源_01水果!$V772)&lt;&gt;0)),1,0)</f>
        <v>0</v>
      </c>
      <c r="U772">
        <f>N(U771)+$T772</f>
        <v>47</v>
      </c>
      <c r="V772">
        <f>IF(AND($L772=1,AND(对接源_01水果!$X772="自备筐",N(对接源_01水果!$V772)&lt;&gt;0)),1,0)</f>
        <v>0</v>
      </c>
      <c r="W772">
        <f>N(W771)+$V772</f>
        <v>11</v>
      </c>
      <c r="X772">
        <f>IF(AND($L772=1,AND(对接源_01水果!$X772="自备筐",N(对接源_01水果!$T772)&lt;&gt;0)),1,0)</f>
        <v>0</v>
      </c>
      <c r="Y772">
        <f>N(Y771)+$X772</f>
        <v>0</v>
      </c>
      <c r="Z772">
        <f>IF(AND($M772=1,对接源_01水果!$D772="原料入库"),1,0)</f>
        <v>0</v>
      </c>
      <c r="AA772">
        <f>N(AA771)+$Z772</f>
        <v>24</v>
      </c>
      <c r="AB772">
        <f>IF(AND($M772=1,LEFT(对接源_01水果!$D772,4)="原料出库"),1,0)</f>
        <v>0</v>
      </c>
      <c r="AC772">
        <f>N(AC771)+$AB772</f>
        <v>0</v>
      </c>
      <c r="AD772">
        <f>IF(AND($M772=1,LEFT(对接源_01水果!$D772,4)="成品出库"),1,0)</f>
        <v>0</v>
      </c>
      <c r="AE772">
        <f>N(AE771)+$AD772</f>
        <v>0</v>
      </c>
      <c r="AF772">
        <f>IF(AND($N772=1,AND(LEFT(对接源_01水果!$D772,4)="包装物料",N(对接源_01水果!$K772)&lt;&gt;0)),1,0)</f>
        <v>0</v>
      </c>
      <c r="AG772">
        <f>N(AG771)+$AF772</f>
        <v>0</v>
      </c>
      <c r="AH772">
        <f>IF(AND($N772=1,AND(对接源_01水果!$D772="周转筐－销售出库",N(对接源_01水果!$K772)&lt;&gt;0)),1,0)</f>
        <v>0</v>
      </c>
      <c r="AI772">
        <f>N(AI771)+$AH772</f>
        <v>0</v>
      </c>
      <c r="AJ772" s="7" t="n"/>
      <c r="AL772">
        <f>IF(OR($AL$1="",对接源_01水果!$Y772="",对接源_01水果!$Y772&lt;&gt;$AL$1,对接源_01水果!$B772="",N(对接源_01水果!$AJ772)&lt;=0),0,IF(OR(N(对接源_01水果!$B772)&lt;$AL$2,N(对接源_01水果!$B772)&gt;$AL$3),0,1))</f>
        <v>0</v>
      </c>
      <c r="AM772">
        <f>N(AM771)+$AL772</f>
        <v>2</v>
      </c>
      <c r="AN772">
        <f>IF(对接源_01水果!$AC772="","",对接源_01水果!$AC772)</f>
      </c>
      <c r="AO772">
        <f>IF(AN772="",0,IF(MATCH(AN772,$AN$4:$AN$1203,0)=ROW()-3,1,0))</f>
        <v>0</v>
      </c>
      <c r="AP772">
        <f>N(AP771)+$AO772</f>
        <v>13</v>
      </c>
      <c r="AR772">
        <f>IF(OR($AF772=1,$AH772=1),1,0)</f>
        <v>0</v>
      </c>
      <c r="AS772">
        <f>N(AS771)+$AR772</f>
        <v>0</v>
      </c>
    </row>
    <row r="773" ht="14.25" customHeight="1" s="127">
      <c r="A773">
        <f>IF(对接源_01水果!$C773="","",对接源_01水果!$C773)</f>
      </c>
      <c r="B773">
        <f>IF(A773="",0,IF(MATCH(A773,$A$4:$A$2403,0)=ROW()-3,1,0))</f>
        <v>0</v>
      </c>
      <c r="C773">
        <f>N(C772)+B773</f>
        <v>22</v>
      </c>
      <c r="K773">
        <f>IF(OR($K$1="",对接源_01水果!$C773="",对接源_01水果!$C773&lt;&gt;$K$1,对接源_01水果!$B773=""),0,IF(OR(N(对接源_01水果!$B773)&lt;$K$2,N(对接源_01水果!$B773)&gt;$K$3),0,1))</f>
        <v>0</v>
      </c>
      <c r="L773">
        <f>IF(OR($L$1="",对接源_01水果!$C773="",对接源_01水果!$C773&lt;&gt;$L$1,对接源_01水果!$B773=""),0,IF(OR(N(对接源_01水果!$B773)&lt;$L$2,N(对接源_01水果!$B773)&gt;$L$3),0,1))</f>
        <v>0</v>
      </c>
      <c r="M773">
        <f>IF(OR($M$1="",对接源_01水果!$C773="",对接源_01水果!$C773&lt;&gt;$M$1,对接源_01水果!$B773=""),0,IF(OR(N(对接源_01水果!$B773)&lt;$M$2,N(对接源_01水果!$B773)&gt;$M$3),0,1))</f>
        <v>0</v>
      </c>
      <c r="N773">
        <f>IF(OR($N$1="",对接源_01水果!$C773="",对接源_01水果!$C773&lt;&gt;$N$1,对接源_01水果!$B773=""),0,IF(OR(N(对接源_01水果!$B773)&lt;$N$2,N(对接源_01水果!$B773)&gt;$N$3),0,1))</f>
        <v>0</v>
      </c>
      <c r="P773">
        <f>IF(AND($K773=1,AND(对接源_01水果!$X773="公司筐",N(对接源_01水果!$T773)&lt;&gt;0)),1,0)</f>
        <v>0</v>
      </c>
      <c r="Q773">
        <f>N(Q772)+$P773</f>
        <v>0</v>
      </c>
      <c r="R773">
        <f>IF(AND($K773=1,AND(对接源_01水果!$X773="公司筐",N(对接源_01水果!$U773)&lt;&gt;0)),1,0)</f>
        <v>0</v>
      </c>
      <c r="S773">
        <f>N(S772)+$R773</f>
        <v>0</v>
      </c>
      <c r="T773">
        <f>IF(AND($K773=1,AND(对接源_01水果!$X773="公司筐",N(对接源_01水果!$V773)&lt;&gt;0)),1,0)</f>
        <v>0</v>
      </c>
      <c r="U773">
        <f>N(U772)+$T773</f>
        <v>47</v>
      </c>
      <c r="V773">
        <f>IF(AND($L773=1,AND(对接源_01水果!$X773="自备筐",N(对接源_01水果!$V773)&lt;&gt;0)),1,0)</f>
        <v>0</v>
      </c>
      <c r="W773">
        <f>N(W772)+$V773</f>
        <v>11</v>
      </c>
      <c r="X773">
        <f>IF(AND($L773=1,AND(对接源_01水果!$X773="自备筐",N(对接源_01水果!$T773)&lt;&gt;0)),1,0)</f>
        <v>0</v>
      </c>
      <c r="Y773">
        <f>N(Y772)+$X773</f>
        <v>0</v>
      </c>
      <c r="Z773">
        <f>IF(AND($M773=1,对接源_01水果!$D773="原料入库"),1,0)</f>
        <v>0</v>
      </c>
      <c r="AA773">
        <f>N(AA772)+$Z773</f>
        <v>24</v>
      </c>
      <c r="AB773">
        <f>IF(AND($M773=1,LEFT(对接源_01水果!$D773,4)="原料出库"),1,0)</f>
        <v>0</v>
      </c>
      <c r="AC773">
        <f>N(AC772)+$AB773</f>
        <v>0</v>
      </c>
      <c r="AD773">
        <f>IF(AND($M773=1,LEFT(对接源_01水果!$D773,4)="成品出库"),1,0)</f>
        <v>0</v>
      </c>
      <c r="AE773">
        <f>N(AE772)+$AD773</f>
        <v>0</v>
      </c>
      <c r="AF773">
        <f>IF(AND($N773=1,AND(LEFT(对接源_01水果!$D773,4)="包装物料",N(对接源_01水果!$K773)&lt;&gt;0)),1,0)</f>
        <v>0</v>
      </c>
      <c r="AG773">
        <f>N(AG772)+$AF773</f>
        <v>0</v>
      </c>
      <c r="AH773">
        <f>IF(AND($N773=1,AND(对接源_01水果!$D773="周转筐－销售出库",N(对接源_01水果!$K773)&lt;&gt;0)),1,0)</f>
        <v>0</v>
      </c>
      <c r="AI773">
        <f>N(AI772)+$AH773</f>
        <v>0</v>
      </c>
      <c r="AJ773" s="7" t="n"/>
      <c r="AL773">
        <f>IF(OR($AL$1="",对接源_01水果!$Y773="",对接源_01水果!$Y773&lt;&gt;$AL$1,对接源_01水果!$B773="",N(对接源_01水果!$AJ773)&lt;=0),0,IF(OR(N(对接源_01水果!$B773)&lt;$AL$2,N(对接源_01水果!$B773)&gt;$AL$3),0,1))</f>
        <v>0</v>
      </c>
      <c r="AM773">
        <f>N(AM772)+$AL773</f>
        <v>2</v>
      </c>
      <c r="AN773">
        <f>IF(对接源_01水果!$AC773="","",对接源_01水果!$AC773)</f>
      </c>
      <c r="AO773">
        <f>IF(AN773="",0,IF(MATCH(AN773,$AN$4:$AN$1203,0)=ROW()-3,1,0))</f>
        <v>0</v>
      </c>
      <c r="AP773">
        <f>N(AP772)+$AO773</f>
        <v>13</v>
      </c>
      <c r="AR773">
        <f>IF(OR($AF773=1,$AH773=1),1,0)</f>
        <v>0</v>
      </c>
      <c r="AS773">
        <f>N(AS772)+$AR773</f>
        <v>0</v>
      </c>
    </row>
    <row r="774" ht="14.25" customHeight="1" s="127">
      <c r="A774">
        <f>IF(对接源_01水果!$C774="","",对接源_01水果!$C774)</f>
      </c>
      <c r="B774">
        <f>IF(A774="",0,IF(MATCH(A774,$A$4:$A$2403,0)=ROW()-3,1,0))</f>
        <v>0</v>
      </c>
      <c r="C774">
        <f>N(C773)+B774</f>
        <v>22</v>
      </c>
      <c r="K774">
        <f>IF(OR($K$1="",对接源_01水果!$C774="",对接源_01水果!$C774&lt;&gt;$K$1,对接源_01水果!$B774=""),0,IF(OR(N(对接源_01水果!$B774)&lt;$K$2,N(对接源_01水果!$B774)&gt;$K$3),0,1))</f>
        <v>0</v>
      </c>
      <c r="L774">
        <f>IF(OR($L$1="",对接源_01水果!$C774="",对接源_01水果!$C774&lt;&gt;$L$1,对接源_01水果!$B774=""),0,IF(OR(N(对接源_01水果!$B774)&lt;$L$2,N(对接源_01水果!$B774)&gt;$L$3),0,1))</f>
        <v>0</v>
      </c>
      <c r="M774">
        <f>IF(OR($M$1="",对接源_01水果!$C774="",对接源_01水果!$C774&lt;&gt;$M$1,对接源_01水果!$B774=""),0,IF(OR(N(对接源_01水果!$B774)&lt;$M$2,N(对接源_01水果!$B774)&gt;$M$3),0,1))</f>
        <v>0</v>
      </c>
      <c r="N774">
        <f>IF(OR($N$1="",对接源_01水果!$C774="",对接源_01水果!$C774&lt;&gt;$N$1,对接源_01水果!$B774=""),0,IF(OR(N(对接源_01水果!$B774)&lt;$N$2,N(对接源_01水果!$B774)&gt;$N$3),0,1))</f>
        <v>0</v>
      </c>
      <c r="P774">
        <f>IF(AND($K774=1,AND(对接源_01水果!$X774="公司筐",N(对接源_01水果!$T774)&lt;&gt;0)),1,0)</f>
        <v>0</v>
      </c>
      <c r="Q774">
        <f>N(Q773)+$P774</f>
        <v>0</v>
      </c>
      <c r="R774">
        <f>IF(AND($K774=1,AND(对接源_01水果!$X774="公司筐",N(对接源_01水果!$U774)&lt;&gt;0)),1,0)</f>
        <v>0</v>
      </c>
      <c r="S774">
        <f>N(S773)+$R774</f>
        <v>0</v>
      </c>
      <c r="T774">
        <f>IF(AND($K774=1,AND(对接源_01水果!$X774="公司筐",N(对接源_01水果!$V774)&lt;&gt;0)),1,0)</f>
        <v>0</v>
      </c>
      <c r="U774">
        <f>N(U773)+$T774</f>
        <v>47</v>
      </c>
      <c r="V774">
        <f>IF(AND($L774=1,AND(对接源_01水果!$X774="自备筐",N(对接源_01水果!$V774)&lt;&gt;0)),1,0)</f>
        <v>0</v>
      </c>
      <c r="W774">
        <f>N(W773)+$V774</f>
        <v>11</v>
      </c>
      <c r="X774">
        <f>IF(AND($L774=1,AND(对接源_01水果!$X774="自备筐",N(对接源_01水果!$T774)&lt;&gt;0)),1,0)</f>
        <v>0</v>
      </c>
      <c r="Y774">
        <f>N(Y773)+$X774</f>
        <v>0</v>
      </c>
      <c r="Z774">
        <f>IF(AND($M774=1,对接源_01水果!$D774="原料入库"),1,0)</f>
        <v>0</v>
      </c>
      <c r="AA774">
        <f>N(AA773)+$Z774</f>
        <v>24</v>
      </c>
      <c r="AB774">
        <f>IF(AND($M774=1,LEFT(对接源_01水果!$D774,4)="原料出库"),1,0)</f>
        <v>0</v>
      </c>
      <c r="AC774">
        <f>N(AC773)+$AB774</f>
        <v>0</v>
      </c>
      <c r="AD774">
        <f>IF(AND($M774=1,LEFT(对接源_01水果!$D774,4)="成品出库"),1,0)</f>
        <v>0</v>
      </c>
      <c r="AE774">
        <f>N(AE773)+$AD774</f>
        <v>0</v>
      </c>
      <c r="AF774">
        <f>IF(AND($N774=1,AND(LEFT(对接源_01水果!$D774,4)="包装物料",N(对接源_01水果!$K774)&lt;&gt;0)),1,0)</f>
        <v>0</v>
      </c>
      <c r="AG774">
        <f>N(AG773)+$AF774</f>
        <v>0</v>
      </c>
      <c r="AH774">
        <f>IF(AND($N774=1,AND(对接源_01水果!$D774="周转筐－销售出库",N(对接源_01水果!$K774)&lt;&gt;0)),1,0)</f>
        <v>0</v>
      </c>
      <c r="AI774">
        <f>N(AI773)+$AH774</f>
        <v>0</v>
      </c>
      <c r="AJ774" s="7" t="n"/>
      <c r="AL774">
        <f>IF(OR($AL$1="",对接源_01水果!$Y774="",对接源_01水果!$Y774&lt;&gt;$AL$1,对接源_01水果!$B774="",N(对接源_01水果!$AJ774)&lt;=0),0,IF(OR(N(对接源_01水果!$B774)&lt;$AL$2,N(对接源_01水果!$B774)&gt;$AL$3),0,1))</f>
        <v>0</v>
      </c>
      <c r="AM774">
        <f>N(AM773)+$AL774</f>
        <v>2</v>
      </c>
      <c r="AN774">
        <f>IF(对接源_01水果!$AC774="","",对接源_01水果!$AC774)</f>
      </c>
      <c r="AO774">
        <f>IF(AN774="",0,IF(MATCH(AN774,$AN$4:$AN$1203,0)=ROW()-3,1,0))</f>
        <v>0</v>
      </c>
      <c r="AP774">
        <f>N(AP773)+$AO774</f>
        <v>13</v>
      </c>
      <c r="AR774">
        <f>IF(OR($AF774=1,$AH774=1),1,0)</f>
        <v>0</v>
      </c>
      <c r="AS774">
        <f>N(AS773)+$AR774</f>
        <v>0</v>
      </c>
    </row>
    <row r="775" ht="14.25" customHeight="1" s="127">
      <c r="A775">
        <f>IF(对接源_01水果!$C775="","",对接源_01水果!$C775)</f>
      </c>
      <c r="B775">
        <f>IF(A775="",0,IF(MATCH(A775,$A$4:$A$2403,0)=ROW()-3,1,0))</f>
        <v>0</v>
      </c>
      <c r="C775">
        <f>N(C774)+B775</f>
        <v>22</v>
      </c>
      <c r="K775">
        <f>IF(OR($K$1="",对接源_01水果!$C775="",对接源_01水果!$C775&lt;&gt;$K$1,对接源_01水果!$B775=""),0,IF(OR(N(对接源_01水果!$B775)&lt;$K$2,N(对接源_01水果!$B775)&gt;$K$3),0,1))</f>
        <v>0</v>
      </c>
      <c r="L775">
        <f>IF(OR($L$1="",对接源_01水果!$C775="",对接源_01水果!$C775&lt;&gt;$L$1,对接源_01水果!$B775=""),0,IF(OR(N(对接源_01水果!$B775)&lt;$L$2,N(对接源_01水果!$B775)&gt;$L$3),0,1))</f>
        <v>0</v>
      </c>
      <c r="M775">
        <f>IF(OR($M$1="",对接源_01水果!$C775="",对接源_01水果!$C775&lt;&gt;$M$1,对接源_01水果!$B775=""),0,IF(OR(N(对接源_01水果!$B775)&lt;$M$2,N(对接源_01水果!$B775)&gt;$M$3),0,1))</f>
        <v>0</v>
      </c>
      <c r="N775">
        <f>IF(OR($N$1="",对接源_01水果!$C775="",对接源_01水果!$C775&lt;&gt;$N$1,对接源_01水果!$B775=""),0,IF(OR(N(对接源_01水果!$B775)&lt;$N$2,N(对接源_01水果!$B775)&gt;$N$3),0,1))</f>
        <v>0</v>
      </c>
      <c r="P775">
        <f>IF(AND($K775=1,AND(对接源_01水果!$X775="公司筐",N(对接源_01水果!$T775)&lt;&gt;0)),1,0)</f>
        <v>0</v>
      </c>
      <c r="Q775">
        <f>N(Q774)+$P775</f>
        <v>0</v>
      </c>
      <c r="R775">
        <f>IF(AND($K775=1,AND(对接源_01水果!$X775="公司筐",N(对接源_01水果!$U775)&lt;&gt;0)),1,0)</f>
        <v>0</v>
      </c>
      <c r="S775">
        <f>N(S774)+$R775</f>
        <v>0</v>
      </c>
      <c r="T775">
        <f>IF(AND($K775=1,AND(对接源_01水果!$X775="公司筐",N(对接源_01水果!$V775)&lt;&gt;0)),1,0)</f>
        <v>0</v>
      </c>
      <c r="U775">
        <f>N(U774)+$T775</f>
        <v>47</v>
      </c>
      <c r="V775">
        <f>IF(AND($L775=1,AND(对接源_01水果!$X775="自备筐",N(对接源_01水果!$V775)&lt;&gt;0)),1,0)</f>
        <v>0</v>
      </c>
      <c r="W775">
        <f>N(W774)+$V775</f>
        <v>11</v>
      </c>
      <c r="X775">
        <f>IF(AND($L775=1,AND(对接源_01水果!$X775="自备筐",N(对接源_01水果!$T775)&lt;&gt;0)),1,0)</f>
        <v>0</v>
      </c>
      <c r="Y775">
        <f>N(Y774)+$X775</f>
        <v>0</v>
      </c>
      <c r="Z775">
        <f>IF(AND($M775=1,对接源_01水果!$D775="原料入库"),1,0)</f>
        <v>0</v>
      </c>
      <c r="AA775">
        <f>N(AA774)+$Z775</f>
        <v>24</v>
      </c>
      <c r="AB775">
        <f>IF(AND($M775=1,LEFT(对接源_01水果!$D775,4)="原料出库"),1,0)</f>
        <v>0</v>
      </c>
      <c r="AC775">
        <f>N(AC774)+$AB775</f>
        <v>0</v>
      </c>
      <c r="AD775">
        <f>IF(AND($M775=1,LEFT(对接源_01水果!$D775,4)="成品出库"),1,0)</f>
        <v>0</v>
      </c>
      <c r="AE775">
        <f>N(AE774)+$AD775</f>
        <v>0</v>
      </c>
      <c r="AF775">
        <f>IF(AND($N775=1,AND(LEFT(对接源_01水果!$D775,4)="包装物料",N(对接源_01水果!$K775)&lt;&gt;0)),1,0)</f>
        <v>0</v>
      </c>
      <c r="AG775">
        <f>N(AG774)+$AF775</f>
        <v>0</v>
      </c>
      <c r="AH775">
        <f>IF(AND($N775=1,AND(对接源_01水果!$D775="周转筐－销售出库",N(对接源_01水果!$K775)&lt;&gt;0)),1,0)</f>
        <v>0</v>
      </c>
      <c r="AI775">
        <f>N(AI774)+$AH775</f>
        <v>0</v>
      </c>
      <c r="AJ775" s="7" t="n"/>
      <c r="AL775">
        <f>IF(OR($AL$1="",对接源_01水果!$Y775="",对接源_01水果!$Y775&lt;&gt;$AL$1,对接源_01水果!$B775="",N(对接源_01水果!$AJ775)&lt;=0),0,IF(OR(N(对接源_01水果!$B775)&lt;$AL$2,N(对接源_01水果!$B775)&gt;$AL$3),0,1))</f>
        <v>0</v>
      </c>
      <c r="AM775">
        <f>N(AM774)+$AL775</f>
        <v>2</v>
      </c>
      <c r="AN775">
        <f>IF(对接源_01水果!$AC775="","",对接源_01水果!$AC775)</f>
      </c>
      <c r="AO775">
        <f>IF(AN775="",0,IF(MATCH(AN775,$AN$4:$AN$1203,0)=ROW()-3,1,0))</f>
        <v>0</v>
      </c>
      <c r="AP775">
        <f>N(AP774)+$AO775</f>
        <v>13</v>
      </c>
      <c r="AR775">
        <f>IF(OR($AF775=1,$AH775=1),1,0)</f>
        <v>0</v>
      </c>
      <c r="AS775">
        <f>N(AS774)+$AR775</f>
        <v>0</v>
      </c>
    </row>
    <row r="776" ht="14.25" customHeight="1" s="127">
      <c r="A776">
        <f>IF(对接源_01水果!$C776="","",对接源_01水果!$C776)</f>
      </c>
      <c r="B776">
        <f>IF(A776="",0,IF(MATCH(A776,$A$4:$A$2403,0)=ROW()-3,1,0))</f>
        <v>0</v>
      </c>
      <c r="C776">
        <f>N(C775)+B776</f>
        <v>22</v>
      </c>
      <c r="K776">
        <f>IF(OR($K$1="",对接源_01水果!$C776="",对接源_01水果!$C776&lt;&gt;$K$1,对接源_01水果!$B776=""),0,IF(OR(N(对接源_01水果!$B776)&lt;$K$2,N(对接源_01水果!$B776)&gt;$K$3),0,1))</f>
        <v>0</v>
      </c>
      <c r="L776">
        <f>IF(OR($L$1="",对接源_01水果!$C776="",对接源_01水果!$C776&lt;&gt;$L$1,对接源_01水果!$B776=""),0,IF(OR(N(对接源_01水果!$B776)&lt;$L$2,N(对接源_01水果!$B776)&gt;$L$3),0,1))</f>
        <v>0</v>
      </c>
      <c r="M776">
        <f>IF(OR($M$1="",对接源_01水果!$C776="",对接源_01水果!$C776&lt;&gt;$M$1,对接源_01水果!$B776=""),0,IF(OR(N(对接源_01水果!$B776)&lt;$M$2,N(对接源_01水果!$B776)&gt;$M$3),0,1))</f>
        <v>0</v>
      </c>
      <c r="N776">
        <f>IF(OR($N$1="",对接源_01水果!$C776="",对接源_01水果!$C776&lt;&gt;$N$1,对接源_01水果!$B776=""),0,IF(OR(N(对接源_01水果!$B776)&lt;$N$2,N(对接源_01水果!$B776)&gt;$N$3),0,1))</f>
        <v>0</v>
      </c>
      <c r="P776">
        <f>IF(AND($K776=1,AND(对接源_01水果!$X776="公司筐",N(对接源_01水果!$T776)&lt;&gt;0)),1,0)</f>
        <v>0</v>
      </c>
      <c r="Q776">
        <f>N(Q775)+$P776</f>
        <v>0</v>
      </c>
      <c r="R776">
        <f>IF(AND($K776=1,AND(对接源_01水果!$X776="公司筐",N(对接源_01水果!$U776)&lt;&gt;0)),1,0)</f>
        <v>0</v>
      </c>
      <c r="S776">
        <f>N(S775)+$R776</f>
        <v>0</v>
      </c>
      <c r="T776">
        <f>IF(AND($K776=1,AND(对接源_01水果!$X776="公司筐",N(对接源_01水果!$V776)&lt;&gt;0)),1,0)</f>
        <v>0</v>
      </c>
      <c r="U776">
        <f>N(U775)+$T776</f>
        <v>47</v>
      </c>
      <c r="V776">
        <f>IF(AND($L776=1,AND(对接源_01水果!$X776="自备筐",N(对接源_01水果!$V776)&lt;&gt;0)),1,0)</f>
        <v>0</v>
      </c>
      <c r="W776">
        <f>N(W775)+$V776</f>
        <v>11</v>
      </c>
      <c r="X776">
        <f>IF(AND($L776=1,AND(对接源_01水果!$X776="自备筐",N(对接源_01水果!$T776)&lt;&gt;0)),1,0)</f>
        <v>0</v>
      </c>
      <c r="Y776">
        <f>N(Y775)+$X776</f>
        <v>0</v>
      </c>
      <c r="Z776">
        <f>IF(AND($M776=1,对接源_01水果!$D776="原料入库"),1,0)</f>
        <v>0</v>
      </c>
      <c r="AA776">
        <f>N(AA775)+$Z776</f>
        <v>24</v>
      </c>
      <c r="AB776">
        <f>IF(AND($M776=1,LEFT(对接源_01水果!$D776,4)="原料出库"),1,0)</f>
        <v>0</v>
      </c>
      <c r="AC776">
        <f>N(AC775)+$AB776</f>
        <v>0</v>
      </c>
      <c r="AD776">
        <f>IF(AND($M776=1,LEFT(对接源_01水果!$D776,4)="成品出库"),1,0)</f>
        <v>0</v>
      </c>
      <c r="AE776">
        <f>N(AE775)+$AD776</f>
        <v>0</v>
      </c>
      <c r="AF776">
        <f>IF(AND($N776=1,AND(LEFT(对接源_01水果!$D776,4)="包装物料",N(对接源_01水果!$K776)&lt;&gt;0)),1,0)</f>
        <v>0</v>
      </c>
      <c r="AG776">
        <f>N(AG775)+$AF776</f>
        <v>0</v>
      </c>
      <c r="AH776">
        <f>IF(AND($N776=1,AND(对接源_01水果!$D776="周转筐－销售出库",N(对接源_01水果!$K776)&lt;&gt;0)),1,0)</f>
        <v>0</v>
      </c>
      <c r="AI776">
        <f>N(AI775)+$AH776</f>
        <v>0</v>
      </c>
      <c r="AJ776" s="7" t="n"/>
      <c r="AL776">
        <f>IF(OR($AL$1="",对接源_01水果!$Y776="",对接源_01水果!$Y776&lt;&gt;$AL$1,对接源_01水果!$B776="",N(对接源_01水果!$AJ776)&lt;=0),0,IF(OR(N(对接源_01水果!$B776)&lt;$AL$2,N(对接源_01水果!$B776)&gt;$AL$3),0,1))</f>
        <v>0</v>
      </c>
      <c r="AM776">
        <f>N(AM775)+$AL776</f>
        <v>2</v>
      </c>
      <c r="AN776">
        <f>IF(对接源_01水果!$AC776="","",对接源_01水果!$AC776)</f>
      </c>
      <c r="AO776">
        <f>IF(AN776="",0,IF(MATCH(AN776,$AN$4:$AN$1203,0)=ROW()-3,1,0))</f>
        <v>0</v>
      </c>
      <c r="AP776">
        <f>N(AP775)+$AO776</f>
        <v>13</v>
      </c>
      <c r="AR776">
        <f>IF(OR($AF776=1,$AH776=1),1,0)</f>
        <v>0</v>
      </c>
      <c r="AS776">
        <f>N(AS775)+$AR776</f>
        <v>0</v>
      </c>
    </row>
    <row r="777" ht="14.25" customHeight="1" s="127">
      <c r="A777">
        <f>IF(对接源_01水果!$C777="","",对接源_01水果!$C777)</f>
      </c>
      <c r="B777">
        <f>IF(A777="",0,IF(MATCH(A777,$A$4:$A$2403,0)=ROW()-3,1,0))</f>
        <v>0</v>
      </c>
      <c r="C777">
        <f>N(C776)+B777</f>
        <v>22</v>
      </c>
      <c r="K777">
        <f>IF(OR($K$1="",对接源_01水果!$C777="",对接源_01水果!$C777&lt;&gt;$K$1,对接源_01水果!$B777=""),0,IF(OR(N(对接源_01水果!$B777)&lt;$K$2,N(对接源_01水果!$B777)&gt;$K$3),0,1))</f>
        <v>0</v>
      </c>
      <c r="L777">
        <f>IF(OR($L$1="",对接源_01水果!$C777="",对接源_01水果!$C777&lt;&gt;$L$1,对接源_01水果!$B777=""),0,IF(OR(N(对接源_01水果!$B777)&lt;$L$2,N(对接源_01水果!$B777)&gt;$L$3),0,1))</f>
        <v>0</v>
      </c>
      <c r="M777">
        <f>IF(OR($M$1="",对接源_01水果!$C777="",对接源_01水果!$C777&lt;&gt;$M$1,对接源_01水果!$B777=""),0,IF(OR(N(对接源_01水果!$B777)&lt;$M$2,N(对接源_01水果!$B777)&gt;$M$3),0,1))</f>
        <v>0</v>
      </c>
      <c r="N777">
        <f>IF(OR($N$1="",对接源_01水果!$C777="",对接源_01水果!$C777&lt;&gt;$N$1,对接源_01水果!$B777=""),0,IF(OR(N(对接源_01水果!$B777)&lt;$N$2,N(对接源_01水果!$B777)&gt;$N$3),0,1))</f>
        <v>0</v>
      </c>
      <c r="P777">
        <f>IF(AND($K777=1,AND(对接源_01水果!$X777="公司筐",N(对接源_01水果!$T777)&lt;&gt;0)),1,0)</f>
        <v>0</v>
      </c>
      <c r="Q777">
        <f>N(Q776)+$P777</f>
        <v>0</v>
      </c>
      <c r="R777">
        <f>IF(AND($K777=1,AND(对接源_01水果!$X777="公司筐",N(对接源_01水果!$U777)&lt;&gt;0)),1,0)</f>
        <v>0</v>
      </c>
      <c r="S777">
        <f>N(S776)+$R777</f>
        <v>0</v>
      </c>
      <c r="T777">
        <f>IF(AND($K777=1,AND(对接源_01水果!$X777="公司筐",N(对接源_01水果!$V777)&lt;&gt;0)),1,0)</f>
        <v>0</v>
      </c>
      <c r="U777">
        <f>N(U776)+$T777</f>
        <v>47</v>
      </c>
      <c r="V777">
        <f>IF(AND($L777=1,AND(对接源_01水果!$X777="自备筐",N(对接源_01水果!$V777)&lt;&gt;0)),1,0)</f>
        <v>0</v>
      </c>
      <c r="W777">
        <f>N(W776)+$V777</f>
        <v>11</v>
      </c>
      <c r="X777">
        <f>IF(AND($L777=1,AND(对接源_01水果!$X777="自备筐",N(对接源_01水果!$T777)&lt;&gt;0)),1,0)</f>
        <v>0</v>
      </c>
      <c r="Y777">
        <f>N(Y776)+$X777</f>
        <v>0</v>
      </c>
      <c r="Z777">
        <f>IF(AND($M777=1,对接源_01水果!$D777="原料入库"),1,0)</f>
        <v>0</v>
      </c>
      <c r="AA777">
        <f>N(AA776)+$Z777</f>
        <v>24</v>
      </c>
      <c r="AB777">
        <f>IF(AND($M777=1,LEFT(对接源_01水果!$D777,4)="原料出库"),1,0)</f>
        <v>0</v>
      </c>
      <c r="AC777">
        <f>N(AC776)+$AB777</f>
        <v>0</v>
      </c>
      <c r="AD777">
        <f>IF(AND($M777=1,LEFT(对接源_01水果!$D777,4)="成品出库"),1,0)</f>
        <v>0</v>
      </c>
      <c r="AE777">
        <f>N(AE776)+$AD777</f>
        <v>0</v>
      </c>
      <c r="AF777">
        <f>IF(AND($N777=1,AND(LEFT(对接源_01水果!$D777,4)="包装物料",N(对接源_01水果!$K777)&lt;&gt;0)),1,0)</f>
        <v>0</v>
      </c>
      <c r="AG777">
        <f>N(AG776)+$AF777</f>
        <v>0</v>
      </c>
      <c r="AH777">
        <f>IF(AND($N777=1,AND(对接源_01水果!$D777="周转筐－销售出库",N(对接源_01水果!$K777)&lt;&gt;0)),1,0)</f>
        <v>0</v>
      </c>
      <c r="AI777">
        <f>N(AI776)+$AH777</f>
        <v>0</v>
      </c>
      <c r="AJ777" s="7" t="n"/>
      <c r="AL777">
        <f>IF(OR($AL$1="",对接源_01水果!$Y777="",对接源_01水果!$Y777&lt;&gt;$AL$1,对接源_01水果!$B777="",N(对接源_01水果!$AJ777)&lt;=0),0,IF(OR(N(对接源_01水果!$B777)&lt;$AL$2,N(对接源_01水果!$B777)&gt;$AL$3),0,1))</f>
        <v>0</v>
      </c>
      <c r="AM777">
        <f>N(AM776)+$AL777</f>
        <v>2</v>
      </c>
      <c r="AN777">
        <f>IF(对接源_01水果!$AC777="","",对接源_01水果!$AC777)</f>
      </c>
      <c r="AO777">
        <f>IF(AN777="",0,IF(MATCH(AN777,$AN$4:$AN$1203,0)=ROW()-3,1,0))</f>
        <v>0</v>
      </c>
      <c r="AP777">
        <f>N(AP776)+$AO777</f>
        <v>13</v>
      </c>
      <c r="AR777">
        <f>IF(OR($AF777=1,$AH777=1),1,0)</f>
        <v>0</v>
      </c>
      <c r="AS777">
        <f>N(AS776)+$AR777</f>
        <v>0</v>
      </c>
    </row>
    <row r="778" ht="14.25" customHeight="1" s="127">
      <c r="A778">
        <f>IF(对接源_01水果!$C778="","",对接源_01水果!$C778)</f>
      </c>
      <c r="B778">
        <f>IF(A778="",0,IF(MATCH(A778,$A$4:$A$2403,0)=ROW()-3,1,0))</f>
        <v>0</v>
      </c>
      <c r="C778">
        <f>N(C777)+B778</f>
        <v>22</v>
      </c>
      <c r="K778">
        <f>IF(OR($K$1="",对接源_01水果!$C778="",对接源_01水果!$C778&lt;&gt;$K$1,对接源_01水果!$B778=""),0,IF(OR(N(对接源_01水果!$B778)&lt;$K$2,N(对接源_01水果!$B778)&gt;$K$3),0,1))</f>
        <v>0</v>
      </c>
      <c r="L778">
        <f>IF(OR($L$1="",对接源_01水果!$C778="",对接源_01水果!$C778&lt;&gt;$L$1,对接源_01水果!$B778=""),0,IF(OR(N(对接源_01水果!$B778)&lt;$L$2,N(对接源_01水果!$B778)&gt;$L$3),0,1))</f>
        <v>0</v>
      </c>
      <c r="M778">
        <f>IF(OR($M$1="",对接源_01水果!$C778="",对接源_01水果!$C778&lt;&gt;$M$1,对接源_01水果!$B778=""),0,IF(OR(N(对接源_01水果!$B778)&lt;$M$2,N(对接源_01水果!$B778)&gt;$M$3),0,1))</f>
        <v>0</v>
      </c>
      <c r="N778">
        <f>IF(OR($N$1="",对接源_01水果!$C778="",对接源_01水果!$C778&lt;&gt;$N$1,对接源_01水果!$B778=""),0,IF(OR(N(对接源_01水果!$B778)&lt;$N$2,N(对接源_01水果!$B778)&gt;$N$3),0,1))</f>
        <v>0</v>
      </c>
      <c r="P778">
        <f>IF(AND($K778=1,AND(对接源_01水果!$X778="公司筐",N(对接源_01水果!$T778)&lt;&gt;0)),1,0)</f>
        <v>0</v>
      </c>
      <c r="Q778">
        <f>N(Q777)+$P778</f>
        <v>0</v>
      </c>
      <c r="R778">
        <f>IF(AND($K778=1,AND(对接源_01水果!$X778="公司筐",N(对接源_01水果!$U778)&lt;&gt;0)),1,0)</f>
        <v>0</v>
      </c>
      <c r="S778">
        <f>N(S777)+$R778</f>
        <v>0</v>
      </c>
      <c r="T778">
        <f>IF(AND($K778=1,AND(对接源_01水果!$X778="公司筐",N(对接源_01水果!$V778)&lt;&gt;0)),1,0)</f>
        <v>0</v>
      </c>
      <c r="U778">
        <f>N(U777)+$T778</f>
        <v>47</v>
      </c>
      <c r="V778">
        <f>IF(AND($L778=1,AND(对接源_01水果!$X778="自备筐",N(对接源_01水果!$V778)&lt;&gt;0)),1,0)</f>
        <v>0</v>
      </c>
      <c r="W778">
        <f>N(W777)+$V778</f>
        <v>11</v>
      </c>
      <c r="X778">
        <f>IF(AND($L778=1,AND(对接源_01水果!$X778="自备筐",N(对接源_01水果!$T778)&lt;&gt;0)),1,0)</f>
        <v>0</v>
      </c>
      <c r="Y778">
        <f>N(Y777)+$X778</f>
        <v>0</v>
      </c>
      <c r="Z778">
        <f>IF(AND($M778=1,对接源_01水果!$D778="原料入库"),1,0)</f>
        <v>0</v>
      </c>
      <c r="AA778">
        <f>N(AA777)+$Z778</f>
        <v>24</v>
      </c>
      <c r="AB778">
        <f>IF(AND($M778=1,LEFT(对接源_01水果!$D778,4)="原料出库"),1,0)</f>
        <v>0</v>
      </c>
      <c r="AC778">
        <f>N(AC777)+$AB778</f>
        <v>0</v>
      </c>
      <c r="AD778">
        <f>IF(AND($M778=1,LEFT(对接源_01水果!$D778,4)="成品出库"),1,0)</f>
        <v>0</v>
      </c>
      <c r="AE778">
        <f>N(AE777)+$AD778</f>
        <v>0</v>
      </c>
      <c r="AF778">
        <f>IF(AND($N778=1,AND(LEFT(对接源_01水果!$D778,4)="包装物料",N(对接源_01水果!$K778)&lt;&gt;0)),1,0)</f>
        <v>0</v>
      </c>
      <c r="AG778">
        <f>N(AG777)+$AF778</f>
        <v>0</v>
      </c>
      <c r="AH778">
        <f>IF(AND($N778=1,AND(对接源_01水果!$D778="周转筐－销售出库",N(对接源_01水果!$K778)&lt;&gt;0)),1,0)</f>
        <v>0</v>
      </c>
      <c r="AI778">
        <f>N(AI777)+$AH778</f>
        <v>0</v>
      </c>
      <c r="AJ778" s="7" t="n"/>
      <c r="AL778">
        <f>IF(OR($AL$1="",对接源_01水果!$Y778="",对接源_01水果!$Y778&lt;&gt;$AL$1,对接源_01水果!$B778="",N(对接源_01水果!$AJ778)&lt;=0),0,IF(OR(N(对接源_01水果!$B778)&lt;$AL$2,N(对接源_01水果!$B778)&gt;$AL$3),0,1))</f>
        <v>0</v>
      </c>
      <c r="AM778">
        <f>N(AM777)+$AL778</f>
        <v>2</v>
      </c>
      <c r="AN778">
        <f>IF(对接源_01水果!$AC778="","",对接源_01水果!$AC778)</f>
      </c>
      <c r="AO778">
        <f>IF(AN778="",0,IF(MATCH(AN778,$AN$4:$AN$1203,0)=ROW()-3,1,0))</f>
        <v>0</v>
      </c>
      <c r="AP778">
        <f>N(AP777)+$AO778</f>
        <v>13</v>
      </c>
      <c r="AR778">
        <f>IF(OR($AF778=1,$AH778=1),1,0)</f>
        <v>0</v>
      </c>
      <c r="AS778">
        <f>N(AS777)+$AR778</f>
        <v>0</v>
      </c>
    </row>
    <row r="779" ht="14.25" customHeight="1" s="127">
      <c r="A779">
        <f>IF(对接源_01水果!$C779="","",对接源_01水果!$C779)</f>
      </c>
      <c r="B779">
        <f>IF(A779="",0,IF(MATCH(A779,$A$4:$A$2403,0)=ROW()-3,1,0))</f>
        <v>0</v>
      </c>
      <c r="C779">
        <f>N(C778)+B779</f>
        <v>22</v>
      </c>
      <c r="K779">
        <f>IF(OR($K$1="",对接源_01水果!$C779="",对接源_01水果!$C779&lt;&gt;$K$1,对接源_01水果!$B779=""),0,IF(OR(N(对接源_01水果!$B779)&lt;$K$2,N(对接源_01水果!$B779)&gt;$K$3),0,1))</f>
        <v>0</v>
      </c>
      <c r="L779">
        <f>IF(OR($L$1="",对接源_01水果!$C779="",对接源_01水果!$C779&lt;&gt;$L$1,对接源_01水果!$B779=""),0,IF(OR(N(对接源_01水果!$B779)&lt;$L$2,N(对接源_01水果!$B779)&gt;$L$3),0,1))</f>
        <v>0</v>
      </c>
      <c r="M779">
        <f>IF(OR($M$1="",对接源_01水果!$C779="",对接源_01水果!$C779&lt;&gt;$M$1,对接源_01水果!$B779=""),0,IF(OR(N(对接源_01水果!$B779)&lt;$M$2,N(对接源_01水果!$B779)&gt;$M$3),0,1))</f>
        <v>0</v>
      </c>
      <c r="N779">
        <f>IF(OR($N$1="",对接源_01水果!$C779="",对接源_01水果!$C779&lt;&gt;$N$1,对接源_01水果!$B779=""),0,IF(OR(N(对接源_01水果!$B779)&lt;$N$2,N(对接源_01水果!$B779)&gt;$N$3),0,1))</f>
        <v>0</v>
      </c>
      <c r="P779">
        <f>IF(AND($K779=1,AND(对接源_01水果!$X779="公司筐",N(对接源_01水果!$T779)&lt;&gt;0)),1,0)</f>
        <v>0</v>
      </c>
      <c r="Q779">
        <f>N(Q778)+$P779</f>
        <v>0</v>
      </c>
      <c r="R779">
        <f>IF(AND($K779=1,AND(对接源_01水果!$X779="公司筐",N(对接源_01水果!$U779)&lt;&gt;0)),1,0)</f>
        <v>0</v>
      </c>
      <c r="S779">
        <f>N(S778)+$R779</f>
        <v>0</v>
      </c>
      <c r="T779">
        <f>IF(AND($K779=1,AND(对接源_01水果!$X779="公司筐",N(对接源_01水果!$V779)&lt;&gt;0)),1,0)</f>
        <v>0</v>
      </c>
      <c r="U779">
        <f>N(U778)+$T779</f>
        <v>47</v>
      </c>
      <c r="V779">
        <f>IF(AND($L779=1,AND(对接源_01水果!$X779="自备筐",N(对接源_01水果!$V779)&lt;&gt;0)),1,0)</f>
        <v>0</v>
      </c>
      <c r="W779">
        <f>N(W778)+$V779</f>
        <v>11</v>
      </c>
      <c r="X779">
        <f>IF(AND($L779=1,AND(对接源_01水果!$X779="自备筐",N(对接源_01水果!$T779)&lt;&gt;0)),1,0)</f>
        <v>0</v>
      </c>
      <c r="Y779">
        <f>N(Y778)+$X779</f>
        <v>0</v>
      </c>
      <c r="Z779">
        <f>IF(AND($M779=1,对接源_01水果!$D779="原料入库"),1,0)</f>
        <v>0</v>
      </c>
      <c r="AA779">
        <f>N(AA778)+$Z779</f>
        <v>24</v>
      </c>
      <c r="AB779">
        <f>IF(AND($M779=1,LEFT(对接源_01水果!$D779,4)="原料出库"),1,0)</f>
        <v>0</v>
      </c>
      <c r="AC779">
        <f>N(AC778)+$AB779</f>
        <v>0</v>
      </c>
      <c r="AD779">
        <f>IF(AND($M779=1,LEFT(对接源_01水果!$D779,4)="成品出库"),1,0)</f>
        <v>0</v>
      </c>
      <c r="AE779">
        <f>N(AE778)+$AD779</f>
        <v>0</v>
      </c>
      <c r="AF779">
        <f>IF(AND($N779=1,AND(LEFT(对接源_01水果!$D779,4)="包装物料",N(对接源_01水果!$K779)&lt;&gt;0)),1,0)</f>
        <v>0</v>
      </c>
      <c r="AG779">
        <f>N(AG778)+$AF779</f>
        <v>0</v>
      </c>
      <c r="AH779">
        <f>IF(AND($N779=1,AND(对接源_01水果!$D779="周转筐－销售出库",N(对接源_01水果!$K779)&lt;&gt;0)),1,0)</f>
        <v>0</v>
      </c>
      <c r="AI779">
        <f>N(AI778)+$AH779</f>
        <v>0</v>
      </c>
      <c r="AJ779" s="7" t="n"/>
      <c r="AL779">
        <f>IF(OR($AL$1="",对接源_01水果!$Y779="",对接源_01水果!$Y779&lt;&gt;$AL$1,对接源_01水果!$B779="",N(对接源_01水果!$AJ779)&lt;=0),0,IF(OR(N(对接源_01水果!$B779)&lt;$AL$2,N(对接源_01水果!$B779)&gt;$AL$3),0,1))</f>
        <v>0</v>
      </c>
      <c r="AM779">
        <f>N(AM778)+$AL779</f>
        <v>2</v>
      </c>
      <c r="AN779">
        <f>IF(对接源_01水果!$AC779="","",对接源_01水果!$AC779)</f>
      </c>
      <c r="AO779">
        <f>IF(AN779="",0,IF(MATCH(AN779,$AN$4:$AN$1203,0)=ROW()-3,1,0))</f>
        <v>0</v>
      </c>
      <c r="AP779">
        <f>N(AP778)+$AO779</f>
        <v>13</v>
      </c>
      <c r="AR779">
        <f>IF(OR($AF779=1,$AH779=1),1,0)</f>
        <v>0</v>
      </c>
      <c r="AS779">
        <f>N(AS778)+$AR779</f>
        <v>0</v>
      </c>
    </row>
    <row r="780" ht="14.25" customHeight="1" s="127">
      <c r="A780">
        <f>IF(对接源_01水果!$C780="","",对接源_01水果!$C780)</f>
      </c>
      <c r="B780">
        <f>IF(A780="",0,IF(MATCH(A780,$A$4:$A$2403,0)=ROW()-3,1,0))</f>
        <v>0</v>
      </c>
      <c r="C780">
        <f>N(C779)+B780</f>
        <v>22</v>
      </c>
      <c r="K780">
        <f>IF(OR($K$1="",对接源_01水果!$C780="",对接源_01水果!$C780&lt;&gt;$K$1,对接源_01水果!$B780=""),0,IF(OR(N(对接源_01水果!$B780)&lt;$K$2,N(对接源_01水果!$B780)&gt;$K$3),0,1))</f>
        <v>0</v>
      </c>
      <c r="L780">
        <f>IF(OR($L$1="",对接源_01水果!$C780="",对接源_01水果!$C780&lt;&gt;$L$1,对接源_01水果!$B780=""),0,IF(OR(N(对接源_01水果!$B780)&lt;$L$2,N(对接源_01水果!$B780)&gt;$L$3),0,1))</f>
        <v>0</v>
      </c>
      <c r="M780">
        <f>IF(OR($M$1="",对接源_01水果!$C780="",对接源_01水果!$C780&lt;&gt;$M$1,对接源_01水果!$B780=""),0,IF(OR(N(对接源_01水果!$B780)&lt;$M$2,N(对接源_01水果!$B780)&gt;$M$3),0,1))</f>
        <v>0</v>
      </c>
      <c r="N780">
        <f>IF(OR($N$1="",对接源_01水果!$C780="",对接源_01水果!$C780&lt;&gt;$N$1,对接源_01水果!$B780=""),0,IF(OR(N(对接源_01水果!$B780)&lt;$N$2,N(对接源_01水果!$B780)&gt;$N$3),0,1))</f>
        <v>0</v>
      </c>
      <c r="P780">
        <f>IF(AND($K780=1,AND(对接源_01水果!$X780="公司筐",N(对接源_01水果!$T780)&lt;&gt;0)),1,0)</f>
        <v>0</v>
      </c>
      <c r="Q780">
        <f>N(Q779)+$P780</f>
        <v>0</v>
      </c>
      <c r="R780">
        <f>IF(AND($K780=1,AND(对接源_01水果!$X780="公司筐",N(对接源_01水果!$U780)&lt;&gt;0)),1,0)</f>
        <v>0</v>
      </c>
      <c r="S780">
        <f>N(S779)+$R780</f>
        <v>0</v>
      </c>
      <c r="T780">
        <f>IF(AND($K780=1,AND(对接源_01水果!$X780="公司筐",N(对接源_01水果!$V780)&lt;&gt;0)),1,0)</f>
        <v>0</v>
      </c>
      <c r="U780">
        <f>N(U779)+$T780</f>
        <v>47</v>
      </c>
      <c r="V780">
        <f>IF(AND($L780=1,AND(对接源_01水果!$X780="自备筐",N(对接源_01水果!$V780)&lt;&gt;0)),1,0)</f>
        <v>0</v>
      </c>
      <c r="W780">
        <f>N(W779)+$V780</f>
        <v>11</v>
      </c>
      <c r="X780">
        <f>IF(AND($L780=1,AND(对接源_01水果!$X780="自备筐",N(对接源_01水果!$T780)&lt;&gt;0)),1,0)</f>
        <v>0</v>
      </c>
      <c r="Y780">
        <f>N(Y779)+$X780</f>
        <v>0</v>
      </c>
      <c r="Z780">
        <f>IF(AND($M780=1,对接源_01水果!$D780="原料入库"),1,0)</f>
        <v>0</v>
      </c>
      <c r="AA780">
        <f>N(AA779)+$Z780</f>
        <v>24</v>
      </c>
      <c r="AB780">
        <f>IF(AND($M780=1,LEFT(对接源_01水果!$D780,4)="原料出库"),1,0)</f>
        <v>0</v>
      </c>
      <c r="AC780">
        <f>N(AC779)+$AB780</f>
        <v>0</v>
      </c>
      <c r="AD780">
        <f>IF(AND($M780=1,LEFT(对接源_01水果!$D780,4)="成品出库"),1,0)</f>
        <v>0</v>
      </c>
      <c r="AE780">
        <f>N(AE779)+$AD780</f>
        <v>0</v>
      </c>
      <c r="AF780">
        <f>IF(AND($N780=1,AND(LEFT(对接源_01水果!$D780,4)="包装物料",N(对接源_01水果!$K780)&lt;&gt;0)),1,0)</f>
        <v>0</v>
      </c>
      <c r="AG780">
        <f>N(AG779)+$AF780</f>
        <v>0</v>
      </c>
      <c r="AH780">
        <f>IF(AND($N780=1,AND(对接源_01水果!$D780="周转筐－销售出库",N(对接源_01水果!$K780)&lt;&gt;0)),1,0)</f>
        <v>0</v>
      </c>
      <c r="AI780">
        <f>N(AI779)+$AH780</f>
        <v>0</v>
      </c>
      <c r="AJ780" s="7" t="n"/>
      <c r="AL780">
        <f>IF(OR($AL$1="",对接源_01水果!$Y780="",对接源_01水果!$Y780&lt;&gt;$AL$1,对接源_01水果!$B780="",N(对接源_01水果!$AJ780)&lt;=0),0,IF(OR(N(对接源_01水果!$B780)&lt;$AL$2,N(对接源_01水果!$B780)&gt;$AL$3),0,1))</f>
        <v>0</v>
      </c>
      <c r="AM780">
        <f>N(AM779)+$AL780</f>
        <v>2</v>
      </c>
      <c r="AN780">
        <f>IF(对接源_01水果!$AC780="","",对接源_01水果!$AC780)</f>
      </c>
      <c r="AO780">
        <f>IF(AN780="",0,IF(MATCH(AN780,$AN$4:$AN$1203,0)=ROW()-3,1,0))</f>
        <v>0</v>
      </c>
      <c r="AP780">
        <f>N(AP779)+$AO780</f>
        <v>13</v>
      </c>
      <c r="AR780">
        <f>IF(OR($AF780=1,$AH780=1),1,0)</f>
        <v>0</v>
      </c>
      <c r="AS780">
        <f>N(AS779)+$AR780</f>
        <v>0</v>
      </c>
    </row>
    <row r="781" ht="14.25" customHeight="1" s="127">
      <c r="A781">
        <f>IF(对接源_01水果!$C781="","",对接源_01水果!$C781)</f>
      </c>
      <c r="B781">
        <f>IF(A781="",0,IF(MATCH(A781,$A$4:$A$2403,0)=ROW()-3,1,0))</f>
        <v>0</v>
      </c>
      <c r="C781">
        <f>N(C780)+B781</f>
        <v>22</v>
      </c>
      <c r="K781">
        <f>IF(OR($K$1="",对接源_01水果!$C781="",对接源_01水果!$C781&lt;&gt;$K$1,对接源_01水果!$B781=""),0,IF(OR(N(对接源_01水果!$B781)&lt;$K$2,N(对接源_01水果!$B781)&gt;$K$3),0,1))</f>
        <v>0</v>
      </c>
      <c r="L781">
        <f>IF(OR($L$1="",对接源_01水果!$C781="",对接源_01水果!$C781&lt;&gt;$L$1,对接源_01水果!$B781=""),0,IF(OR(N(对接源_01水果!$B781)&lt;$L$2,N(对接源_01水果!$B781)&gt;$L$3),0,1))</f>
        <v>0</v>
      </c>
      <c r="M781">
        <f>IF(OR($M$1="",对接源_01水果!$C781="",对接源_01水果!$C781&lt;&gt;$M$1,对接源_01水果!$B781=""),0,IF(OR(N(对接源_01水果!$B781)&lt;$M$2,N(对接源_01水果!$B781)&gt;$M$3),0,1))</f>
        <v>0</v>
      </c>
      <c r="N781">
        <f>IF(OR($N$1="",对接源_01水果!$C781="",对接源_01水果!$C781&lt;&gt;$N$1,对接源_01水果!$B781=""),0,IF(OR(N(对接源_01水果!$B781)&lt;$N$2,N(对接源_01水果!$B781)&gt;$N$3),0,1))</f>
        <v>0</v>
      </c>
      <c r="P781">
        <f>IF(AND($K781=1,AND(对接源_01水果!$X781="公司筐",N(对接源_01水果!$T781)&lt;&gt;0)),1,0)</f>
        <v>0</v>
      </c>
      <c r="Q781">
        <f>N(Q780)+$P781</f>
        <v>0</v>
      </c>
      <c r="R781">
        <f>IF(AND($K781=1,AND(对接源_01水果!$X781="公司筐",N(对接源_01水果!$U781)&lt;&gt;0)),1,0)</f>
        <v>0</v>
      </c>
      <c r="S781">
        <f>N(S780)+$R781</f>
        <v>0</v>
      </c>
      <c r="T781">
        <f>IF(AND($K781=1,AND(对接源_01水果!$X781="公司筐",N(对接源_01水果!$V781)&lt;&gt;0)),1,0)</f>
        <v>0</v>
      </c>
      <c r="U781">
        <f>N(U780)+$T781</f>
        <v>47</v>
      </c>
      <c r="V781">
        <f>IF(AND($L781=1,AND(对接源_01水果!$X781="自备筐",N(对接源_01水果!$V781)&lt;&gt;0)),1,0)</f>
        <v>0</v>
      </c>
      <c r="W781">
        <f>N(W780)+$V781</f>
        <v>11</v>
      </c>
      <c r="X781">
        <f>IF(AND($L781=1,AND(对接源_01水果!$X781="自备筐",N(对接源_01水果!$T781)&lt;&gt;0)),1,0)</f>
        <v>0</v>
      </c>
      <c r="Y781">
        <f>N(Y780)+$X781</f>
        <v>0</v>
      </c>
      <c r="Z781">
        <f>IF(AND($M781=1,对接源_01水果!$D781="原料入库"),1,0)</f>
        <v>0</v>
      </c>
      <c r="AA781">
        <f>N(AA780)+$Z781</f>
        <v>24</v>
      </c>
      <c r="AB781">
        <f>IF(AND($M781=1,LEFT(对接源_01水果!$D781,4)="原料出库"),1,0)</f>
        <v>0</v>
      </c>
      <c r="AC781">
        <f>N(AC780)+$AB781</f>
        <v>0</v>
      </c>
      <c r="AD781">
        <f>IF(AND($M781=1,LEFT(对接源_01水果!$D781,4)="成品出库"),1,0)</f>
        <v>0</v>
      </c>
      <c r="AE781">
        <f>N(AE780)+$AD781</f>
        <v>0</v>
      </c>
      <c r="AF781">
        <f>IF(AND($N781=1,AND(LEFT(对接源_01水果!$D781,4)="包装物料",N(对接源_01水果!$K781)&lt;&gt;0)),1,0)</f>
        <v>0</v>
      </c>
      <c r="AG781">
        <f>N(AG780)+$AF781</f>
        <v>0</v>
      </c>
      <c r="AH781">
        <f>IF(AND($N781=1,AND(对接源_01水果!$D781="周转筐－销售出库",N(对接源_01水果!$K781)&lt;&gt;0)),1,0)</f>
        <v>0</v>
      </c>
      <c r="AI781">
        <f>N(AI780)+$AH781</f>
        <v>0</v>
      </c>
      <c r="AJ781" s="7" t="n"/>
      <c r="AL781">
        <f>IF(OR($AL$1="",对接源_01水果!$Y781="",对接源_01水果!$Y781&lt;&gt;$AL$1,对接源_01水果!$B781="",N(对接源_01水果!$AJ781)&lt;=0),0,IF(OR(N(对接源_01水果!$B781)&lt;$AL$2,N(对接源_01水果!$B781)&gt;$AL$3),0,1))</f>
        <v>0</v>
      </c>
      <c r="AM781">
        <f>N(AM780)+$AL781</f>
        <v>2</v>
      </c>
      <c r="AN781">
        <f>IF(对接源_01水果!$AC781="","",对接源_01水果!$AC781)</f>
      </c>
      <c r="AO781">
        <f>IF(AN781="",0,IF(MATCH(AN781,$AN$4:$AN$1203,0)=ROW()-3,1,0))</f>
        <v>0</v>
      </c>
      <c r="AP781">
        <f>N(AP780)+$AO781</f>
        <v>13</v>
      </c>
      <c r="AR781">
        <f>IF(OR($AF781=1,$AH781=1),1,0)</f>
        <v>0</v>
      </c>
      <c r="AS781">
        <f>N(AS780)+$AR781</f>
        <v>0</v>
      </c>
    </row>
    <row r="782" ht="14.25" customHeight="1" s="127">
      <c r="A782">
        <f>IF(对接源_01水果!$C782="","",对接源_01水果!$C782)</f>
      </c>
      <c r="B782">
        <f>IF(A782="",0,IF(MATCH(A782,$A$4:$A$2403,0)=ROW()-3,1,0))</f>
        <v>0</v>
      </c>
      <c r="C782">
        <f>N(C781)+B782</f>
        <v>22</v>
      </c>
      <c r="K782">
        <f>IF(OR($K$1="",对接源_01水果!$C782="",对接源_01水果!$C782&lt;&gt;$K$1,对接源_01水果!$B782=""),0,IF(OR(N(对接源_01水果!$B782)&lt;$K$2,N(对接源_01水果!$B782)&gt;$K$3),0,1))</f>
        <v>0</v>
      </c>
      <c r="L782">
        <f>IF(OR($L$1="",对接源_01水果!$C782="",对接源_01水果!$C782&lt;&gt;$L$1,对接源_01水果!$B782=""),0,IF(OR(N(对接源_01水果!$B782)&lt;$L$2,N(对接源_01水果!$B782)&gt;$L$3),0,1))</f>
        <v>0</v>
      </c>
      <c r="M782">
        <f>IF(OR($M$1="",对接源_01水果!$C782="",对接源_01水果!$C782&lt;&gt;$M$1,对接源_01水果!$B782=""),0,IF(OR(N(对接源_01水果!$B782)&lt;$M$2,N(对接源_01水果!$B782)&gt;$M$3),0,1))</f>
        <v>0</v>
      </c>
      <c r="N782">
        <f>IF(OR($N$1="",对接源_01水果!$C782="",对接源_01水果!$C782&lt;&gt;$N$1,对接源_01水果!$B782=""),0,IF(OR(N(对接源_01水果!$B782)&lt;$N$2,N(对接源_01水果!$B782)&gt;$N$3),0,1))</f>
        <v>0</v>
      </c>
      <c r="P782">
        <f>IF(AND($K782=1,AND(对接源_01水果!$X782="公司筐",N(对接源_01水果!$T782)&lt;&gt;0)),1,0)</f>
        <v>0</v>
      </c>
      <c r="Q782">
        <f>N(Q781)+$P782</f>
        <v>0</v>
      </c>
      <c r="R782">
        <f>IF(AND($K782=1,AND(对接源_01水果!$X782="公司筐",N(对接源_01水果!$U782)&lt;&gt;0)),1,0)</f>
        <v>0</v>
      </c>
      <c r="S782">
        <f>N(S781)+$R782</f>
        <v>0</v>
      </c>
      <c r="T782">
        <f>IF(AND($K782=1,AND(对接源_01水果!$X782="公司筐",N(对接源_01水果!$V782)&lt;&gt;0)),1,0)</f>
        <v>0</v>
      </c>
      <c r="U782">
        <f>N(U781)+$T782</f>
        <v>47</v>
      </c>
      <c r="V782">
        <f>IF(AND($L782=1,AND(对接源_01水果!$X782="自备筐",N(对接源_01水果!$V782)&lt;&gt;0)),1,0)</f>
        <v>0</v>
      </c>
      <c r="W782">
        <f>N(W781)+$V782</f>
        <v>11</v>
      </c>
      <c r="X782">
        <f>IF(AND($L782=1,AND(对接源_01水果!$X782="自备筐",N(对接源_01水果!$T782)&lt;&gt;0)),1,0)</f>
        <v>0</v>
      </c>
      <c r="Y782">
        <f>N(Y781)+$X782</f>
        <v>0</v>
      </c>
      <c r="Z782">
        <f>IF(AND($M782=1,对接源_01水果!$D782="原料入库"),1,0)</f>
        <v>0</v>
      </c>
      <c r="AA782">
        <f>N(AA781)+$Z782</f>
        <v>24</v>
      </c>
      <c r="AB782">
        <f>IF(AND($M782=1,LEFT(对接源_01水果!$D782,4)="原料出库"),1,0)</f>
        <v>0</v>
      </c>
      <c r="AC782">
        <f>N(AC781)+$AB782</f>
        <v>0</v>
      </c>
      <c r="AD782">
        <f>IF(AND($M782=1,LEFT(对接源_01水果!$D782,4)="成品出库"),1,0)</f>
        <v>0</v>
      </c>
      <c r="AE782">
        <f>N(AE781)+$AD782</f>
        <v>0</v>
      </c>
      <c r="AF782">
        <f>IF(AND($N782=1,AND(LEFT(对接源_01水果!$D782,4)="包装物料",N(对接源_01水果!$K782)&lt;&gt;0)),1,0)</f>
        <v>0</v>
      </c>
      <c r="AG782">
        <f>N(AG781)+$AF782</f>
        <v>0</v>
      </c>
      <c r="AH782">
        <f>IF(AND($N782=1,AND(对接源_01水果!$D782="周转筐－销售出库",N(对接源_01水果!$K782)&lt;&gt;0)),1,0)</f>
        <v>0</v>
      </c>
      <c r="AI782">
        <f>N(AI781)+$AH782</f>
        <v>0</v>
      </c>
      <c r="AJ782" s="7" t="n"/>
      <c r="AL782">
        <f>IF(OR($AL$1="",对接源_01水果!$Y782="",对接源_01水果!$Y782&lt;&gt;$AL$1,对接源_01水果!$B782="",N(对接源_01水果!$AJ782)&lt;=0),0,IF(OR(N(对接源_01水果!$B782)&lt;$AL$2,N(对接源_01水果!$B782)&gt;$AL$3),0,1))</f>
        <v>0</v>
      </c>
      <c r="AM782">
        <f>N(AM781)+$AL782</f>
        <v>2</v>
      </c>
      <c r="AN782">
        <f>IF(对接源_01水果!$AC782="","",对接源_01水果!$AC782)</f>
      </c>
      <c r="AO782">
        <f>IF(AN782="",0,IF(MATCH(AN782,$AN$4:$AN$1203,0)=ROW()-3,1,0))</f>
        <v>0</v>
      </c>
      <c r="AP782">
        <f>N(AP781)+$AO782</f>
        <v>13</v>
      </c>
      <c r="AR782">
        <f>IF(OR($AF782=1,$AH782=1),1,0)</f>
        <v>0</v>
      </c>
      <c r="AS782">
        <f>N(AS781)+$AR782</f>
        <v>0</v>
      </c>
    </row>
    <row r="783" ht="14.25" customHeight="1" s="127">
      <c r="A783">
        <f>IF(对接源_01水果!$C783="","",对接源_01水果!$C783)</f>
      </c>
      <c r="B783">
        <f>IF(A783="",0,IF(MATCH(A783,$A$4:$A$2403,0)=ROW()-3,1,0))</f>
        <v>0</v>
      </c>
      <c r="C783">
        <f>N(C782)+B783</f>
        <v>22</v>
      </c>
      <c r="K783">
        <f>IF(OR($K$1="",对接源_01水果!$C783="",对接源_01水果!$C783&lt;&gt;$K$1,对接源_01水果!$B783=""),0,IF(OR(N(对接源_01水果!$B783)&lt;$K$2,N(对接源_01水果!$B783)&gt;$K$3),0,1))</f>
        <v>0</v>
      </c>
      <c r="L783">
        <f>IF(OR($L$1="",对接源_01水果!$C783="",对接源_01水果!$C783&lt;&gt;$L$1,对接源_01水果!$B783=""),0,IF(OR(N(对接源_01水果!$B783)&lt;$L$2,N(对接源_01水果!$B783)&gt;$L$3),0,1))</f>
        <v>0</v>
      </c>
      <c r="M783">
        <f>IF(OR($M$1="",对接源_01水果!$C783="",对接源_01水果!$C783&lt;&gt;$M$1,对接源_01水果!$B783=""),0,IF(OR(N(对接源_01水果!$B783)&lt;$M$2,N(对接源_01水果!$B783)&gt;$M$3),0,1))</f>
        <v>0</v>
      </c>
      <c r="N783">
        <f>IF(OR($N$1="",对接源_01水果!$C783="",对接源_01水果!$C783&lt;&gt;$N$1,对接源_01水果!$B783=""),0,IF(OR(N(对接源_01水果!$B783)&lt;$N$2,N(对接源_01水果!$B783)&gt;$N$3),0,1))</f>
        <v>0</v>
      </c>
      <c r="P783">
        <f>IF(AND($K783=1,AND(对接源_01水果!$X783="公司筐",N(对接源_01水果!$T783)&lt;&gt;0)),1,0)</f>
        <v>0</v>
      </c>
      <c r="Q783">
        <f>N(Q782)+$P783</f>
        <v>0</v>
      </c>
      <c r="R783">
        <f>IF(AND($K783=1,AND(对接源_01水果!$X783="公司筐",N(对接源_01水果!$U783)&lt;&gt;0)),1,0)</f>
        <v>0</v>
      </c>
      <c r="S783">
        <f>N(S782)+$R783</f>
        <v>0</v>
      </c>
      <c r="T783">
        <f>IF(AND($K783=1,AND(对接源_01水果!$X783="公司筐",N(对接源_01水果!$V783)&lt;&gt;0)),1,0)</f>
        <v>0</v>
      </c>
      <c r="U783">
        <f>N(U782)+$T783</f>
        <v>47</v>
      </c>
      <c r="V783">
        <f>IF(AND($L783=1,AND(对接源_01水果!$X783="自备筐",N(对接源_01水果!$V783)&lt;&gt;0)),1,0)</f>
        <v>0</v>
      </c>
      <c r="W783">
        <f>N(W782)+$V783</f>
        <v>11</v>
      </c>
      <c r="X783">
        <f>IF(AND($L783=1,AND(对接源_01水果!$X783="自备筐",N(对接源_01水果!$T783)&lt;&gt;0)),1,0)</f>
        <v>0</v>
      </c>
      <c r="Y783">
        <f>N(Y782)+$X783</f>
        <v>0</v>
      </c>
      <c r="Z783">
        <f>IF(AND($M783=1,对接源_01水果!$D783="原料入库"),1,0)</f>
        <v>0</v>
      </c>
      <c r="AA783">
        <f>N(AA782)+$Z783</f>
        <v>24</v>
      </c>
      <c r="AB783">
        <f>IF(AND($M783=1,LEFT(对接源_01水果!$D783,4)="原料出库"),1,0)</f>
        <v>0</v>
      </c>
      <c r="AC783">
        <f>N(AC782)+$AB783</f>
        <v>0</v>
      </c>
      <c r="AD783">
        <f>IF(AND($M783=1,LEFT(对接源_01水果!$D783,4)="成品出库"),1,0)</f>
        <v>0</v>
      </c>
      <c r="AE783">
        <f>N(AE782)+$AD783</f>
        <v>0</v>
      </c>
      <c r="AF783">
        <f>IF(AND($N783=1,AND(LEFT(对接源_01水果!$D783,4)="包装物料",N(对接源_01水果!$K783)&lt;&gt;0)),1,0)</f>
        <v>0</v>
      </c>
      <c r="AG783">
        <f>N(AG782)+$AF783</f>
        <v>0</v>
      </c>
      <c r="AH783">
        <f>IF(AND($N783=1,AND(对接源_01水果!$D783="周转筐－销售出库",N(对接源_01水果!$K783)&lt;&gt;0)),1,0)</f>
        <v>0</v>
      </c>
      <c r="AI783">
        <f>N(AI782)+$AH783</f>
        <v>0</v>
      </c>
      <c r="AJ783" s="7" t="n"/>
      <c r="AL783">
        <f>IF(OR($AL$1="",对接源_01水果!$Y783="",对接源_01水果!$Y783&lt;&gt;$AL$1,对接源_01水果!$B783="",N(对接源_01水果!$AJ783)&lt;=0),0,IF(OR(N(对接源_01水果!$B783)&lt;$AL$2,N(对接源_01水果!$B783)&gt;$AL$3),0,1))</f>
        <v>0</v>
      </c>
      <c r="AM783">
        <f>N(AM782)+$AL783</f>
        <v>2</v>
      </c>
      <c r="AN783">
        <f>IF(对接源_01水果!$AC783="","",对接源_01水果!$AC783)</f>
      </c>
      <c r="AO783">
        <f>IF(AN783="",0,IF(MATCH(AN783,$AN$4:$AN$1203,0)=ROW()-3,1,0))</f>
        <v>0</v>
      </c>
      <c r="AP783">
        <f>N(AP782)+$AO783</f>
        <v>13</v>
      </c>
      <c r="AR783">
        <f>IF(OR($AF783=1,$AH783=1),1,0)</f>
        <v>0</v>
      </c>
      <c r="AS783">
        <f>N(AS782)+$AR783</f>
        <v>0</v>
      </c>
    </row>
    <row r="784" ht="14.25" customHeight="1" s="127">
      <c r="A784">
        <f>IF(对接源_01水果!$C784="","",对接源_01水果!$C784)</f>
      </c>
      <c r="B784">
        <f>IF(A784="",0,IF(MATCH(A784,$A$4:$A$2403,0)=ROW()-3,1,0))</f>
        <v>0</v>
      </c>
      <c r="C784">
        <f>N(C783)+B784</f>
        <v>22</v>
      </c>
      <c r="K784">
        <f>IF(OR($K$1="",对接源_01水果!$C784="",对接源_01水果!$C784&lt;&gt;$K$1,对接源_01水果!$B784=""),0,IF(OR(N(对接源_01水果!$B784)&lt;$K$2,N(对接源_01水果!$B784)&gt;$K$3),0,1))</f>
        <v>0</v>
      </c>
      <c r="L784">
        <f>IF(OR($L$1="",对接源_01水果!$C784="",对接源_01水果!$C784&lt;&gt;$L$1,对接源_01水果!$B784=""),0,IF(OR(N(对接源_01水果!$B784)&lt;$L$2,N(对接源_01水果!$B784)&gt;$L$3),0,1))</f>
        <v>0</v>
      </c>
      <c r="M784">
        <f>IF(OR($M$1="",对接源_01水果!$C784="",对接源_01水果!$C784&lt;&gt;$M$1,对接源_01水果!$B784=""),0,IF(OR(N(对接源_01水果!$B784)&lt;$M$2,N(对接源_01水果!$B784)&gt;$M$3),0,1))</f>
        <v>0</v>
      </c>
      <c r="N784">
        <f>IF(OR($N$1="",对接源_01水果!$C784="",对接源_01水果!$C784&lt;&gt;$N$1,对接源_01水果!$B784=""),0,IF(OR(N(对接源_01水果!$B784)&lt;$N$2,N(对接源_01水果!$B784)&gt;$N$3),0,1))</f>
        <v>0</v>
      </c>
      <c r="P784">
        <f>IF(AND($K784=1,AND(对接源_01水果!$X784="公司筐",N(对接源_01水果!$T784)&lt;&gt;0)),1,0)</f>
        <v>0</v>
      </c>
      <c r="Q784">
        <f>N(Q783)+$P784</f>
        <v>0</v>
      </c>
      <c r="R784">
        <f>IF(AND($K784=1,AND(对接源_01水果!$X784="公司筐",N(对接源_01水果!$U784)&lt;&gt;0)),1,0)</f>
        <v>0</v>
      </c>
      <c r="S784">
        <f>N(S783)+$R784</f>
        <v>0</v>
      </c>
      <c r="T784">
        <f>IF(AND($K784=1,AND(对接源_01水果!$X784="公司筐",N(对接源_01水果!$V784)&lt;&gt;0)),1,0)</f>
        <v>0</v>
      </c>
      <c r="U784">
        <f>N(U783)+$T784</f>
        <v>47</v>
      </c>
      <c r="V784">
        <f>IF(AND($L784=1,AND(对接源_01水果!$X784="自备筐",N(对接源_01水果!$V784)&lt;&gt;0)),1,0)</f>
        <v>0</v>
      </c>
      <c r="W784">
        <f>N(W783)+$V784</f>
        <v>11</v>
      </c>
      <c r="X784">
        <f>IF(AND($L784=1,AND(对接源_01水果!$X784="自备筐",N(对接源_01水果!$T784)&lt;&gt;0)),1,0)</f>
        <v>0</v>
      </c>
      <c r="Y784">
        <f>N(Y783)+$X784</f>
        <v>0</v>
      </c>
      <c r="Z784">
        <f>IF(AND($M784=1,对接源_01水果!$D784="原料入库"),1,0)</f>
        <v>0</v>
      </c>
      <c r="AA784">
        <f>N(AA783)+$Z784</f>
        <v>24</v>
      </c>
      <c r="AB784">
        <f>IF(AND($M784=1,LEFT(对接源_01水果!$D784,4)="原料出库"),1,0)</f>
        <v>0</v>
      </c>
      <c r="AC784">
        <f>N(AC783)+$AB784</f>
        <v>0</v>
      </c>
      <c r="AD784">
        <f>IF(AND($M784=1,LEFT(对接源_01水果!$D784,4)="成品出库"),1,0)</f>
        <v>0</v>
      </c>
      <c r="AE784">
        <f>N(AE783)+$AD784</f>
        <v>0</v>
      </c>
      <c r="AF784">
        <f>IF(AND($N784=1,AND(LEFT(对接源_01水果!$D784,4)="包装物料",N(对接源_01水果!$K784)&lt;&gt;0)),1,0)</f>
        <v>0</v>
      </c>
      <c r="AG784">
        <f>N(AG783)+$AF784</f>
        <v>0</v>
      </c>
      <c r="AH784">
        <f>IF(AND($N784=1,AND(对接源_01水果!$D784="周转筐－销售出库",N(对接源_01水果!$K784)&lt;&gt;0)),1,0)</f>
        <v>0</v>
      </c>
      <c r="AI784">
        <f>N(AI783)+$AH784</f>
        <v>0</v>
      </c>
      <c r="AJ784" s="7" t="n"/>
      <c r="AL784">
        <f>IF(OR($AL$1="",对接源_01水果!$Y784="",对接源_01水果!$Y784&lt;&gt;$AL$1,对接源_01水果!$B784="",N(对接源_01水果!$AJ784)&lt;=0),0,IF(OR(N(对接源_01水果!$B784)&lt;$AL$2,N(对接源_01水果!$B784)&gt;$AL$3),0,1))</f>
        <v>0</v>
      </c>
      <c r="AM784">
        <f>N(AM783)+$AL784</f>
        <v>2</v>
      </c>
      <c r="AN784">
        <f>IF(对接源_01水果!$AC784="","",对接源_01水果!$AC784)</f>
      </c>
      <c r="AO784">
        <f>IF(AN784="",0,IF(MATCH(AN784,$AN$4:$AN$1203,0)=ROW()-3,1,0))</f>
        <v>0</v>
      </c>
      <c r="AP784">
        <f>N(AP783)+$AO784</f>
        <v>13</v>
      </c>
      <c r="AR784">
        <f>IF(OR($AF784=1,$AH784=1),1,0)</f>
        <v>0</v>
      </c>
      <c r="AS784">
        <f>N(AS783)+$AR784</f>
        <v>0</v>
      </c>
    </row>
    <row r="785" ht="14.25" customHeight="1" s="127">
      <c r="A785">
        <f>IF(对接源_01水果!$C785="","",对接源_01水果!$C785)</f>
      </c>
      <c r="B785">
        <f>IF(A785="",0,IF(MATCH(A785,$A$4:$A$2403,0)=ROW()-3,1,0))</f>
        <v>0</v>
      </c>
      <c r="C785">
        <f>N(C784)+B785</f>
        <v>22</v>
      </c>
      <c r="K785">
        <f>IF(OR($K$1="",对接源_01水果!$C785="",对接源_01水果!$C785&lt;&gt;$K$1,对接源_01水果!$B785=""),0,IF(OR(N(对接源_01水果!$B785)&lt;$K$2,N(对接源_01水果!$B785)&gt;$K$3),0,1))</f>
        <v>0</v>
      </c>
      <c r="L785">
        <f>IF(OR($L$1="",对接源_01水果!$C785="",对接源_01水果!$C785&lt;&gt;$L$1,对接源_01水果!$B785=""),0,IF(OR(N(对接源_01水果!$B785)&lt;$L$2,N(对接源_01水果!$B785)&gt;$L$3),0,1))</f>
        <v>0</v>
      </c>
      <c r="M785">
        <f>IF(OR($M$1="",对接源_01水果!$C785="",对接源_01水果!$C785&lt;&gt;$M$1,对接源_01水果!$B785=""),0,IF(OR(N(对接源_01水果!$B785)&lt;$M$2,N(对接源_01水果!$B785)&gt;$M$3),0,1))</f>
        <v>0</v>
      </c>
      <c r="N785">
        <f>IF(OR($N$1="",对接源_01水果!$C785="",对接源_01水果!$C785&lt;&gt;$N$1,对接源_01水果!$B785=""),0,IF(OR(N(对接源_01水果!$B785)&lt;$N$2,N(对接源_01水果!$B785)&gt;$N$3),0,1))</f>
        <v>0</v>
      </c>
      <c r="P785">
        <f>IF(AND($K785=1,AND(对接源_01水果!$X785="公司筐",N(对接源_01水果!$T785)&lt;&gt;0)),1,0)</f>
        <v>0</v>
      </c>
      <c r="Q785">
        <f>N(Q784)+$P785</f>
        <v>0</v>
      </c>
      <c r="R785">
        <f>IF(AND($K785=1,AND(对接源_01水果!$X785="公司筐",N(对接源_01水果!$U785)&lt;&gt;0)),1,0)</f>
        <v>0</v>
      </c>
      <c r="S785">
        <f>N(S784)+$R785</f>
        <v>0</v>
      </c>
      <c r="T785">
        <f>IF(AND($K785=1,AND(对接源_01水果!$X785="公司筐",N(对接源_01水果!$V785)&lt;&gt;0)),1,0)</f>
        <v>0</v>
      </c>
      <c r="U785">
        <f>N(U784)+$T785</f>
        <v>47</v>
      </c>
      <c r="V785">
        <f>IF(AND($L785=1,AND(对接源_01水果!$X785="自备筐",N(对接源_01水果!$V785)&lt;&gt;0)),1,0)</f>
        <v>0</v>
      </c>
      <c r="W785">
        <f>N(W784)+$V785</f>
        <v>11</v>
      </c>
      <c r="X785">
        <f>IF(AND($L785=1,AND(对接源_01水果!$X785="自备筐",N(对接源_01水果!$T785)&lt;&gt;0)),1,0)</f>
        <v>0</v>
      </c>
      <c r="Y785">
        <f>N(Y784)+$X785</f>
        <v>0</v>
      </c>
      <c r="Z785">
        <f>IF(AND($M785=1,对接源_01水果!$D785="原料入库"),1,0)</f>
        <v>0</v>
      </c>
      <c r="AA785">
        <f>N(AA784)+$Z785</f>
        <v>24</v>
      </c>
      <c r="AB785">
        <f>IF(AND($M785=1,LEFT(对接源_01水果!$D785,4)="原料出库"),1,0)</f>
        <v>0</v>
      </c>
      <c r="AC785">
        <f>N(AC784)+$AB785</f>
        <v>0</v>
      </c>
      <c r="AD785">
        <f>IF(AND($M785=1,LEFT(对接源_01水果!$D785,4)="成品出库"),1,0)</f>
        <v>0</v>
      </c>
      <c r="AE785">
        <f>N(AE784)+$AD785</f>
        <v>0</v>
      </c>
      <c r="AF785">
        <f>IF(AND($N785=1,AND(LEFT(对接源_01水果!$D785,4)="包装物料",N(对接源_01水果!$K785)&lt;&gt;0)),1,0)</f>
        <v>0</v>
      </c>
      <c r="AG785">
        <f>N(AG784)+$AF785</f>
        <v>0</v>
      </c>
      <c r="AH785">
        <f>IF(AND($N785=1,AND(对接源_01水果!$D785="周转筐－销售出库",N(对接源_01水果!$K785)&lt;&gt;0)),1,0)</f>
        <v>0</v>
      </c>
      <c r="AI785">
        <f>N(AI784)+$AH785</f>
        <v>0</v>
      </c>
      <c r="AJ785" s="7" t="n"/>
      <c r="AL785">
        <f>IF(OR($AL$1="",对接源_01水果!$Y785="",对接源_01水果!$Y785&lt;&gt;$AL$1,对接源_01水果!$B785="",N(对接源_01水果!$AJ785)&lt;=0),0,IF(OR(N(对接源_01水果!$B785)&lt;$AL$2,N(对接源_01水果!$B785)&gt;$AL$3),0,1))</f>
        <v>0</v>
      </c>
      <c r="AM785">
        <f>N(AM784)+$AL785</f>
        <v>2</v>
      </c>
      <c r="AN785">
        <f>IF(对接源_01水果!$AC785="","",对接源_01水果!$AC785)</f>
      </c>
      <c r="AO785">
        <f>IF(AN785="",0,IF(MATCH(AN785,$AN$4:$AN$1203,0)=ROW()-3,1,0))</f>
        <v>0</v>
      </c>
      <c r="AP785">
        <f>N(AP784)+$AO785</f>
        <v>13</v>
      </c>
      <c r="AR785">
        <f>IF(OR($AF785=1,$AH785=1),1,0)</f>
        <v>0</v>
      </c>
      <c r="AS785">
        <f>N(AS784)+$AR785</f>
        <v>0</v>
      </c>
    </row>
    <row r="786" ht="14.25" customHeight="1" s="127">
      <c r="A786">
        <f>IF(对接源_01水果!$C786="","",对接源_01水果!$C786)</f>
      </c>
      <c r="B786">
        <f>IF(A786="",0,IF(MATCH(A786,$A$4:$A$2403,0)=ROW()-3,1,0))</f>
        <v>0</v>
      </c>
      <c r="C786">
        <f>N(C785)+B786</f>
        <v>22</v>
      </c>
      <c r="K786">
        <f>IF(OR($K$1="",对接源_01水果!$C786="",对接源_01水果!$C786&lt;&gt;$K$1,对接源_01水果!$B786=""),0,IF(OR(N(对接源_01水果!$B786)&lt;$K$2,N(对接源_01水果!$B786)&gt;$K$3),0,1))</f>
        <v>0</v>
      </c>
      <c r="L786">
        <f>IF(OR($L$1="",对接源_01水果!$C786="",对接源_01水果!$C786&lt;&gt;$L$1,对接源_01水果!$B786=""),0,IF(OR(N(对接源_01水果!$B786)&lt;$L$2,N(对接源_01水果!$B786)&gt;$L$3),0,1))</f>
        <v>0</v>
      </c>
      <c r="M786">
        <f>IF(OR($M$1="",对接源_01水果!$C786="",对接源_01水果!$C786&lt;&gt;$M$1,对接源_01水果!$B786=""),0,IF(OR(N(对接源_01水果!$B786)&lt;$M$2,N(对接源_01水果!$B786)&gt;$M$3),0,1))</f>
        <v>0</v>
      </c>
      <c r="N786">
        <f>IF(OR($N$1="",对接源_01水果!$C786="",对接源_01水果!$C786&lt;&gt;$N$1,对接源_01水果!$B786=""),0,IF(OR(N(对接源_01水果!$B786)&lt;$N$2,N(对接源_01水果!$B786)&gt;$N$3),0,1))</f>
        <v>0</v>
      </c>
      <c r="P786">
        <f>IF(AND($K786=1,AND(对接源_01水果!$X786="公司筐",N(对接源_01水果!$T786)&lt;&gt;0)),1,0)</f>
        <v>0</v>
      </c>
      <c r="Q786">
        <f>N(Q785)+$P786</f>
        <v>0</v>
      </c>
      <c r="R786">
        <f>IF(AND($K786=1,AND(对接源_01水果!$X786="公司筐",N(对接源_01水果!$U786)&lt;&gt;0)),1,0)</f>
        <v>0</v>
      </c>
      <c r="S786">
        <f>N(S785)+$R786</f>
        <v>0</v>
      </c>
      <c r="T786">
        <f>IF(AND($K786=1,AND(对接源_01水果!$X786="公司筐",N(对接源_01水果!$V786)&lt;&gt;0)),1,0)</f>
        <v>0</v>
      </c>
      <c r="U786">
        <f>N(U785)+$T786</f>
        <v>47</v>
      </c>
      <c r="V786">
        <f>IF(AND($L786=1,AND(对接源_01水果!$X786="自备筐",N(对接源_01水果!$V786)&lt;&gt;0)),1,0)</f>
        <v>0</v>
      </c>
      <c r="W786">
        <f>N(W785)+$V786</f>
        <v>11</v>
      </c>
      <c r="X786">
        <f>IF(AND($L786=1,AND(对接源_01水果!$X786="自备筐",N(对接源_01水果!$T786)&lt;&gt;0)),1,0)</f>
        <v>0</v>
      </c>
      <c r="Y786">
        <f>N(Y785)+$X786</f>
        <v>0</v>
      </c>
      <c r="Z786">
        <f>IF(AND($M786=1,对接源_01水果!$D786="原料入库"),1,0)</f>
        <v>0</v>
      </c>
      <c r="AA786">
        <f>N(AA785)+$Z786</f>
        <v>24</v>
      </c>
      <c r="AB786">
        <f>IF(AND($M786=1,LEFT(对接源_01水果!$D786,4)="原料出库"),1,0)</f>
        <v>0</v>
      </c>
      <c r="AC786">
        <f>N(AC785)+$AB786</f>
        <v>0</v>
      </c>
      <c r="AD786">
        <f>IF(AND($M786=1,LEFT(对接源_01水果!$D786,4)="成品出库"),1,0)</f>
        <v>0</v>
      </c>
      <c r="AE786">
        <f>N(AE785)+$AD786</f>
        <v>0</v>
      </c>
      <c r="AF786">
        <f>IF(AND($N786=1,AND(LEFT(对接源_01水果!$D786,4)="包装物料",N(对接源_01水果!$K786)&lt;&gt;0)),1,0)</f>
        <v>0</v>
      </c>
      <c r="AG786">
        <f>N(AG785)+$AF786</f>
        <v>0</v>
      </c>
      <c r="AH786">
        <f>IF(AND($N786=1,AND(对接源_01水果!$D786="周转筐－销售出库",N(对接源_01水果!$K786)&lt;&gt;0)),1,0)</f>
        <v>0</v>
      </c>
      <c r="AI786">
        <f>N(AI785)+$AH786</f>
        <v>0</v>
      </c>
      <c r="AJ786" s="7" t="n"/>
      <c r="AL786">
        <f>IF(OR($AL$1="",对接源_01水果!$Y786="",对接源_01水果!$Y786&lt;&gt;$AL$1,对接源_01水果!$B786="",N(对接源_01水果!$AJ786)&lt;=0),0,IF(OR(N(对接源_01水果!$B786)&lt;$AL$2,N(对接源_01水果!$B786)&gt;$AL$3),0,1))</f>
        <v>0</v>
      </c>
      <c r="AM786">
        <f>N(AM785)+$AL786</f>
        <v>2</v>
      </c>
      <c r="AN786">
        <f>IF(对接源_01水果!$AC786="","",对接源_01水果!$AC786)</f>
      </c>
      <c r="AO786">
        <f>IF(AN786="",0,IF(MATCH(AN786,$AN$4:$AN$1203,0)=ROW()-3,1,0))</f>
        <v>0</v>
      </c>
      <c r="AP786">
        <f>N(AP785)+$AO786</f>
        <v>13</v>
      </c>
      <c r="AR786">
        <f>IF(OR($AF786=1,$AH786=1),1,0)</f>
        <v>0</v>
      </c>
      <c r="AS786">
        <f>N(AS785)+$AR786</f>
        <v>0</v>
      </c>
    </row>
    <row r="787" ht="14.25" customHeight="1" s="127">
      <c r="A787">
        <f>IF(对接源_01水果!$C787="","",对接源_01水果!$C787)</f>
      </c>
      <c r="B787">
        <f>IF(A787="",0,IF(MATCH(A787,$A$4:$A$2403,0)=ROW()-3,1,0))</f>
        <v>0</v>
      </c>
      <c r="C787">
        <f>N(C786)+B787</f>
        <v>22</v>
      </c>
      <c r="K787">
        <f>IF(OR($K$1="",对接源_01水果!$C787="",对接源_01水果!$C787&lt;&gt;$K$1,对接源_01水果!$B787=""),0,IF(OR(N(对接源_01水果!$B787)&lt;$K$2,N(对接源_01水果!$B787)&gt;$K$3),0,1))</f>
        <v>0</v>
      </c>
      <c r="L787">
        <f>IF(OR($L$1="",对接源_01水果!$C787="",对接源_01水果!$C787&lt;&gt;$L$1,对接源_01水果!$B787=""),0,IF(OR(N(对接源_01水果!$B787)&lt;$L$2,N(对接源_01水果!$B787)&gt;$L$3),0,1))</f>
        <v>0</v>
      </c>
      <c r="M787">
        <f>IF(OR($M$1="",对接源_01水果!$C787="",对接源_01水果!$C787&lt;&gt;$M$1,对接源_01水果!$B787=""),0,IF(OR(N(对接源_01水果!$B787)&lt;$M$2,N(对接源_01水果!$B787)&gt;$M$3),0,1))</f>
        <v>0</v>
      </c>
      <c r="N787">
        <f>IF(OR($N$1="",对接源_01水果!$C787="",对接源_01水果!$C787&lt;&gt;$N$1,对接源_01水果!$B787=""),0,IF(OR(N(对接源_01水果!$B787)&lt;$N$2,N(对接源_01水果!$B787)&gt;$N$3),0,1))</f>
        <v>0</v>
      </c>
      <c r="P787">
        <f>IF(AND($K787=1,AND(对接源_01水果!$X787="公司筐",N(对接源_01水果!$T787)&lt;&gt;0)),1,0)</f>
        <v>0</v>
      </c>
      <c r="Q787">
        <f>N(Q786)+$P787</f>
        <v>0</v>
      </c>
      <c r="R787">
        <f>IF(AND($K787=1,AND(对接源_01水果!$X787="公司筐",N(对接源_01水果!$U787)&lt;&gt;0)),1,0)</f>
        <v>0</v>
      </c>
      <c r="S787">
        <f>N(S786)+$R787</f>
        <v>0</v>
      </c>
      <c r="T787">
        <f>IF(AND($K787=1,AND(对接源_01水果!$X787="公司筐",N(对接源_01水果!$V787)&lt;&gt;0)),1,0)</f>
        <v>0</v>
      </c>
      <c r="U787">
        <f>N(U786)+$T787</f>
        <v>47</v>
      </c>
      <c r="V787">
        <f>IF(AND($L787=1,AND(对接源_01水果!$X787="自备筐",N(对接源_01水果!$V787)&lt;&gt;0)),1,0)</f>
        <v>0</v>
      </c>
      <c r="W787">
        <f>N(W786)+$V787</f>
        <v>11</v>
      </c>
      <c r="X787">
        <f>IF(AND($L787=1,AND(对接源_01水果!$X787="自备筐",N(对接源_01水果!$T787)&lt;&gt;0)),1,0)</f>
        <v>0</v>
      </c>
      <c r="Y787">
        <f>N(Y786)+$X787</f>
        <v>0</v>
      </c>
      <c r="Z787">
        <f>IF(AND($M787=1,对接源_01水果!$D787="原料入库"),1,0)</f>
        <v>0</v>
      </c>
      <c r="AA787">
        <f>N(AA786)+$Z787</f>
        <v>24</v>
      </c>
      <c r="AB787">
        <f>IF(AND($M787=1,LEFT(对接源_01水果!$D787,4)="原料出库"),1,0)</f>
        <v>0</v>
      </c>
      <c r="AC787">
        <f>N(AC786)+$AB787</f>
        <v>0</v>
      </c>
      <c r="AD787">
        <f>IF(AND($M787=1,LEFT(对接源_01水果!$D787,4)="成品出库"),1,0)</f>
        <v>0</v>
      </c>
      <c r="AE787">
        <f>N(AE786)+$AD787</f>
        <v>0</v>
      </c>
      <c r="AF787">
        <f>IF(AND($N787=1,AND(LEFT(对接源_01水果!$D787,4)="包装物料",N(对接源_01水果!$K787)&lt;&gt;0)),1,0)</f>
        <v>0</v>
      </c>
      <c r="AG787">
        <f>N(AG786)+$AF787</f>
        <v>0</v>
      </c>
      <c r="AH787">
        <f>IF(AND($N787=1,AND(对接源_01水果!$D787="周转筐－销售出库",N(对接源_01水果!$K787)&lt;&gt;0)),1,0)</f>
        <v>0</v>
      </c>
      <c r="AI787">
        <f>N(AI786)+$AH787</f>
        <v>0</v>
      </c>
      <c r="AJ787" s="7" t="n"/>
      <c r="AL787">
        <f>IF(OR($AL$1="",对接源_01水果!$Y787="",对接源_01水果!$Y787&lt;&gt;$AL$1,对接源_01水果!$B787="",N(对接源_01水果!$AJ787)&lt;=0),0,IF(OR(N(对接源_01水果!$B787)&lt;$AL$2,N(对接源_01水果!$B787)&gt;$AL$3),0,1))</f>
        <v>0</v>
      </c>
      <c r="AM787">
        <f>N(AM786)+$AL787</f>
        <v>2</v>
      </c>
      <c r="AN787">
        <f>IF(对接源_01水果!$AC787="","",对接源_01水果!$AC787)</f>
      </c>
      <c r="AO787">
        <f>IF(AN787="",0,IF(MATCH(AN787,$AN$4:$AN$1203,0)=ROW()-3,1,0))</f>
        <v>0</v>
      </c>
      <c r="AP787">
        <f>N(AP786)+$AO787</f>
        <v>13</v>
      </c>
      <c r="AR787">
        <f>IF(OR($AF787=1,$AH787=1),1,0)</f>
        <v>0</v>
      </c>
      <c r="AS787">
        <f>N(AS786)+$AR787</f>
        <v>0</v>
      </c>
    </row>
    <row r="788" ht="14.25" customHeight="1" s="127">
      <c r="A788">
        <f>IF(对接源_01水果!$C788="","",对接源_01水果!$C788)</f>
      </c>
      <c r="B788">
        <f>IF(A788="",0,IF(MATCH(A788,$A$4:$A$2403,0)=ROW()-3,1,0))</f>
        <v>0</v>
      </c>
      <c r="C788">
        <f>N(C787)+B788</f>
        <v>22</v>
      </c>
      <c r="K788">
        <f>IF(OR($K$1="",对接源_01水果!$C788="",对接源_01水果!$C788&lt;&gt;$K$1,对接源_01水果!$B788=""),0,IF(OR(N(对接源_01水果!$B788)&lt;$K$2,N(对接源_01水果!$B788)&gt;$K$3),0,1))</f>
        <v>0</v>
      </c>
      <c r="L788">
        <f>IF(OR($L$1="",对接源_01水果!$C788="",对接源_01水果!$C788&lt;&gt;$L$1,对接源_01水果!$B788=""),0,IF(OR(N(对接源_01水果!$B788)&lt;$L$2,N(对接源_01水果!$B788)&gt;$L$3),0,1))</f>
        <v>0</v>
      </c>
      <c r="M788">
        <f>IF(OR($M$1="",对接源_01水果!$C788="",对接源_01水果!$C788&lt;&gt;$M$1,对接源_01水果!$B788=""),0,IF(OR(N(对接源_01水果!$B788)&lt;$M$2,N(对接源_01水果!$B788)&gt;$M$3),0,1))</f>
        <v>0</v>
      </c>
      <c r="N788">
        <f>IF(OR($N$1="",对接源_01水果!$C788="",对接源_01水果!$C788&lt;&gt;$N$1,对接源_01水果!$B788=""),0,IF(OR(N(对接源_01水果!$B788)&lt;$N$2,N(对接源_01水果!$B788)&gt;$N$3),0,1))</f>
        <v>0</v>
      </c>
      <c r="P788">
        <f>IF(AND($K788=1,AND(对接源_01水果!$X788="公司筐",N(对接源_01水果!$T788)&lt;&gt;0)),1,0)</f>
        <v>0</v>
      </c>
      <c r="Q788">
        <f>N(Q787)+$P788</f>
        <v>0</v>
      </c>
      <c r="R788">
        <f>IF(AND($K788=1,AND(对接源_01水果!$X788="公司筐",N(对接源_01水果!$U788)&lt;&gt;0)),1,0)</f>
        <v>0</v>
      </c>
      <c r="S788">
        <f>N(S787)+$R788</f>
        <v>0</v>
      </c>
      <c r="T788">
        <f>IF(AND($K788=1,AND(对接源_01水果!$X788="公司筐",N(对接源_01水果!$V788)&lt;&gt;0)),1,0)</f>
        <v>0</v>
      </c>
      <c r="U788">
        <f>N(U787)+$T788</f>
        <v>47</v>
      </c>
      <c r="V788">
        <f>IF(AND($L788=1,AND(对接源_01水果!$X788="自备筐",N(对接源_01水果!$V788)&lt;&gt;0)),1,0)</f>
        <v>0</v>
      </c>
      <c r="W788">
        <f>N(W787)+$V788</f>
        <v>11</v>
      </c>
      <c r="X788">
        <f>IF(AND($L788=1,AND(对接源_01水果!$X788="自备筐",N(对接源_01水果!$T788)&lt;&gt;0)),1,0)</f>
        <v>0</v>
      </c>
      <c r="Y788">
        <f>N(Y787)+$X788</f>
        <v>0</v>
      </c>
      <c r="Z788">
        <f>IF(AND($M788=1,对接源_01水果!$D788="原料入库"),1,0)</f>
        <v>0</v>
      </c>
      <c r="AA788">
        <f>N(AA787)+$Z788</f>
        <v>24</v>
      </c>
      <c r="AB788">
        <f>IF(AND($M788=1,LEFT(对接源_01水果!$D788,4)="原料出库"),1,0)</f>
        <v>0</v>
      </c>
      <c r="AC788">
        <f>N(AC787)+$AB788</f>
        <v>0</v>
      </c>
      <c r="AD788">
        <f>IF(AND($M788=1,LEFT(对接源_01水果!$D788,4)="成品出库"),1,0)</f>
        <v>0</v>
      </c>
      <c r="AE788">
        <f>N(AE787)+$AD788</f>
        <v>0</v>
      </c>
      <c r="AF788">
        <f>IF(AND($N788=1,AND(LEFT(对接源_01水果!$D788,4)="包装物料",N(对接源_01水果!$K788)&lt;&gt;0)),1,0)</f>
        <v>0</v>
      </c>
      <c r="AG788">
        <f>N(AG787)+$AF788</f>
        <v>0</v>
      </c>
      <c r="AH788">
        <f>IF(AND($N788=1,AND(对接源_01水果!$D788="周转筐－销售出库",N(对接源_01水果!$K788)&lt;&gt;0)),1,0)</f>
        <v>0</v>
      </c>
      <c r="AI788">
        <f>N(AI787)+$AH788</f>
        <v>0</v>
      </c>
      <c r="AJ788" s="7" t="n"/>
      <c r="AL788">
        <f>IF(OR($AL$1="",对接源_01水果!$Y788="",对接源_01水果!$Y788&lt;&gt;$AL$1,对接源_01水果!$B788="",N(对接源_01水果!$AJ788)&lt;=0),0,IF(OR(N(对接源_01水果!$B788)&lt;$AL$2,N(对接源_01水果!$B788)&gt;$AL$3),0,1))</f>
        <v>0</v>
      </c>
      <c r="AM788">
        <f>N(AM787)+$AL788</f>
        <v>2</v>
      </c>
      <c r="AN788">
        <f>IF(对接源_01水果!$AC788="","",对接源_01水果!$AC788)</f>
      </c>
      <c r="AO788">
        <f>IF(AN788="",0,IF(MATCH(AN788,$AN$4:$AN$1203,0)=ROW()-3,1,0))</f>
        <v>0</v>
      </c>
      <c r="AP788">
        <f>N(AP787)+$AO788</f>
        <v>13</v>
      </c>
      <c r="AR788">
        <f>IF(OR($AF788=1,$AH788=1),1,0)</f>
        <v>0</v>
      </c>
      <c r="AS788">
        <f>N(AS787)+$AR788</f>
        <v>0</v>
      </c>
    </row>
    <row r="789" ht="14.25" customHeight="1" s="127">
      <c r="A789">
        <f>IF(对接源_01水果!$C789="","",对接源_01水果!$C789)</f>
      </c>
      <c r="B789">
        <f>IF(A789="",0,IF(MATCH(A789,$A$4:$A$2403,0)=ROW()-3,1,0))</f>
        <v>0</v>
      </c>
      <c r="C789">
        <f>N(C788)+B789</f>
        <v>22</v>
      </c>
      <c r="K789">
        <f>IF(OR($K$1="",对接源_01水果!$C789="",对接源_01水果!$C789&lt;&gt;$K$1,对接源_01水果!$B789=""),0,IF(OR(N(对接源_01水果!$B789)&lt;$K$2,N(对接源_01水果!$B789)&gt;$K$3),0,1))</f>
        <v>0</v>
      </c>
      <c r="L789">
        <f>IF(OR($L$1="",对接源_01水果!$C789="",对接源_01水果!$C789&lt;&gt;$L$1,对接源_01水果!$B789=""),0,IF(OR(N(对接源_01水果!$B789)&lt;$L$2,N(对接源_01水果!$B789)&gt;$L$3),0,1))</f>
        <v>0</v>
      </c>
      <c r="M789">
        <f>IF(OR($M$1="",对接源_01水果!$C789="",对接源_01水果!$C789&lt;&gt;$M$1,对接源_01水果!$B789=""),0,IF(OR(N(对接源_01水果!$B789)&lt;$M$2,N(对接源_01水果!$B789)&gt;$M$3),0,1))</f>
        <v>0</v>
      </c>
      <c r="N789">
        <f>IF(OR($N$1="",对接源_01水果!$C789="",对接源_01水果!$C789&lt;&gt;$N$1,对接源_01水果!$B789=""),0,IF(OR(N(对接源_01水果!$B789)&lt;$N$2,N(对接源_01水果!$B789)&gt;$N$3),0,1))</f>
        <v>0</v>
      </c>
      <c r="P789">
        <f>IF(AND($K789=1,AND(对接源_01水果!$X789="公司筐",N(对接源_01水果!$T789)&lt;&gt;0)),1,0)</f>
        <v>0</v>
      </c>
      <c r="Q789">
        <f>N(Q788)+$P789</f>
        <v>0</v>
      </c>
      <c r="R789">
        <f>IF(AND($K789=1,AND(对接源_01水果!$X789="公司筐",N(对接源_01水果!$U789)&lt;&gt;0)),1,0)</f>
        <v>0</v>
      </c>
      <c r="S789">
        <f>N(S788)+$R789</f>
        <v>0</v>
      </c>
      <c r="T789">
        <f>IF(AND($K789=1,AND(对接源_01水果!$X789="公司筐",N(对接源_01水果!$V789)&lt;&gt;0)),1,0)</f>
        <v>0</v>
      </c>
      <c r="U789">
        <f>N(U788)+$T789</f>
        <v>47</v>
      </c>
      <c r="V789">
        <f>IF(AND($L789=1,AND(对接源_01水果!$X789="自备筐",N(对接源_01水果!$V789)&lt;&gt;0)),1,0)</f>
        <v>0</v>
      </c>
      <c r="W789">
        <f>N(W788)+$V789</f>
        <v>11</v>
      </c>
      <c r="X789">
        <f>IF(AND($L789=1,AND(对接源_01水果!$X789="自备筐",N(对接源_01水果!$T789)&lt;&gt;0)),1,0)</f>
        <v>0</v>
      </c>
      <c r="Y789">
        <f>N(Y788)+$X789</f>
        <v>0</v>
      </c>
      <c r="Z789">
        <f>IF(AND($M789=1,对接源_01水果!$D789="原料入库"),1,0)</f>
        <v>0</v>
      </c>
      <c r="AA789">
        <f>N(AA788)+$Z789</f>
        <v>24</v>
      </c>
      <c r="AB789">
        <f>IF(AND($M789=1,LEFT(对接源_01水果!$D789,4)="原料出库"),1,0)</f>
        <v>0</v>
      </c>
      <c r="AC789">
        <f>N(AC788)+$AB789</f>
        <v>0</v>
      </c>
      <c r="AD789">
        <f>IF(AND($M789=1,LEFT(对接源_01水果!$D789,4)="成品出库"),1,0)</f>
        <v>0</v>
      </c>
      <c r="AE789">
        <f>N(AE788)+$AD789</f>
        <v>0</v>
      </c>
      <c r="AF789">
        <f>IF(AND($N789=1,AND(LEFT(对接源_01水果!$D789,4)="包装物料",N(对接源_01水果!$K789)&lt;&gt;0)),1,0)</f>
        <v>0</v>
      </c>
      <c r="AG789">
        <f>N(AG788)+$AF789</f>
        <v>0</v>
      </c>
      <c r="AH789">
        <f>IF(AND($N789=1,AND(对接源_01水果!$D789="周转筐－销售出库",N(对接源_01水果!$K789)&lt;&gt;0)),1,0)</f>
        <v>0</v>
      </c>
      <c r="AI789">
        <f>N(AI788)+$AH789</f>
        <v>0</v>
      </c>
      <c r="AJ789" s="7" t="n"/>
      <c r="AL789">
        <f>IF(OR($AL$1="",对接源_01水果!$Y789="",对接源_01水果!$Y789&lt;&gt;$AL$1,对接源_01水果!$B789="",N(对接源_01水果!$AJ789)&lt;=0),0,IF(OR(N(对接源_01水果!$B789)&lt;$AL$2,N(对接源_01水果!$B789)&gt;$AL$3),0,1))</f>
        <v>0</v>
      </c>
      <c r="AM789">
        <f>N(AM788)+$AL789</f>
        <v>2</v>
      </c>
      <c r="AN789">
        <f>IF(对接源_01水果!$AC789="","",对接源_01水果!$AC789)</f>
      </c>
      <c r="AO789">
        <f>IF(AN789="",0,IF(MATCH(AN789,$AN$4:$AN$1203,0)=ROW()-3,1,0))</f>
        <v>0</v>
      </c>
      <c r="AP789">
        <f>N(AP788)+$AO789</f>
        <v>13</v>
      </c>
      <c r="AR789">
        <f>IF(OR($AF789=1,$AH789=1),1,0)</f>
        <v>0</v>
      </c>
      <c r="AS789">
        <f>N(AS788)+$AR789</f>
        <v>0</v>
      </c>
    </row>
    <row r="790" ht="14.25" customHeight="1" s="127">
      <c r="A790">
        <f>IF(对接源_01水果!$C790="","",对接源_01水果!$C790)</f>
      </c>
      <c r="B790">
        <f>IF(A790="",0,IF(MATCH(A790,$A$4:$A$2403,0)=ROW()-3,1,0))</f>
        <v>0</v>
      </c>
      <c r="C790">
        <f>N(C789)+B790</f>
        <v>22</v>
      </c>
      <c r="K790">
        <f>IF(OR($K$1="",对接源_01水果!$C790="",对接源_01水果!$C790&lt;&gt;$K$1,对接源_01水果!$B790=""),0,IF(OR(N(对接源_01水果!$B790)&lt;$K$2,N(对接源_01水果!$B790)&gt;$K$3),0,1))</f>
        <v>0</v>
      </c>
      <c r="L790">
        <f>IF(OR($L$1="",对接源_01水果!$C790="",对接源_01水果!$C790&lt;&gt;$L$1,对接源_01水果!$B790=""),0,IF(OR(N(对接源_01水果!$B790)&lt;$L$2,N(对接源_01水果!$B790)&gt;$L$3),0,1))</f>
        <v>0</v>
      </c>
      <c r="M790">
        <f>IF(OR($M$1="",对接源_01水果!$C790="",对接源_01水果!$C790&lt;&gt;$M$1,对接源_01水果!$B790=""),0,IF(OR(N(对接源_01水果!$B790)&lt;$M$2,N(对接源_01水果!$B790)&gt;$M$3),0,1))</f>
        <v>0</v>
      </c>
      <c r="N790">
        <f>IF(OR($N$1="",对接源_01水果!$C790="",对接源_01水果!$C790&lt;&gt;$N$1,对接源_01水果!$B790=""),0,IF(OR(N(对接源_01水果!$B790)&lt;$N$2,N(对接源_01水果!$B790)&gt;$N$3),0,1))</f>
        <v>0</v>
      </c>
      <c r="P790">
        <f>IF(AND($K790=1,AND(对接源_01水果!$X790="公司筐",N(对接源_01水果!$T790)&lt;&gt;0)),1,0)</f>
        <v>0</v>
      </c>
      <c r="Q790">
        <f>N(Q789)+$P790</f>
        <v>0</v>
      </c>
      <c r="R790">
        <f>IF(AND($K790=1,AND(对接源_01水果!$X790="公司筐",N(对接源_01水果!$U790)&lt;&gt;0)),1,0)</f>
        <v>0</v>
      </c>
      <c r="S790">
        <f>N(S789)+$R790</f>
        <v>0</v>
      </c>
      <c r="T790">
        <f>IF(AND($K790=1,AND(对接源_01水果!$X790="公司筐",N(对接源_01水果!$V790)&lt;&gt;0)),1,0)</f>
        <v>0</v>
      </c>
      <c r="U790">
        <f>N(U789)+$T790</f>
        <v>47</v>
      </c>
      <c r="V790">
        <f>IF(AND($L790=1,AND(对接源_01水果!$X790="自备筐",N(对接源_01水果!$V790)&lt;&gt;0)),1,0)</f>
        <v>0</v>
      </c>
      <c r="W790">
        <f>N(W789)+$V790</f>
        <v>11</v>
      </c>
      <c r="X790">
        <f>IF(AND($L790=1,AND(对接源_01水果!$X790="自备筐",N(对接源_01水果!$T790)&lt;&gt;0)),1,0)</f>
        <v>0</v>
      </c>
      <c r="Y790">
        <f>N(Y789)+$X790</f>
        <v>0</v>
      </c>
      <c r="Z790">
        <f>IF(AND($M790=1,对接源_01水果!$D790="原料入库"),1,0)</f>
        <v>0</v>
      </c>
      <c r="AA790">
        <f>N(AA789)+$Z790</f>
        <v>24</v>
      </c>
      <c r="AB790">
        <f>IF(AND($M790=1,LEFT(对接源_01水果!$D790,4)="原料出库"),1,0)</f>
        <v>0</v>
      </c>
      <c r="AC790">
        <f>N(AC789)+$AB790</f>
        <v>0</v>
      </c>
      <c r="AD790">
        <f>IF(AND($M790=1,LEFT(对接源_01水果!$D790,4)="成品出库"),1,0)</f>
        <v>0</v>
      </c>
      <c r="AE790">
        <f>N(AE789)+$AD790</f>
        <v>0</v>
      </c>
      <c r="AF790">
        <f>IF(AND($N790=1,AND(LEFT(对接源_01水果!$D790,4)="包装物料",N(对接源_01水果!$K790)&lt;&gt;0)),1,0)</f>
        <v>0</v>
      </c>
      <c r="AG790">
        <f>N(AG789)+$AF790</f>
        <v>0</v>
      </c>
      <c r="AH790">
        <f>IF(AND($N790=1,AND(对接源_01水果!$D790="周转筐－销售出库",N(对接源_01水果!$K790)&lt;&gt;0)),1,0)</f>
        <v>0</v>
      </c>
      <c r="AI790">
        <f>N(AI789)+$AH790</f>
        <v>0</v>
      </c>
      <c r="AJ790" s="7" t="n"/>
      <c r="AL790">
        <f>IF(OR($AL$1="",对接源_01水果!$Y790="",对接源_01水果!$Y790&lt;&gt;$AL$1,对接源_01水果!$B790="",N(对接源_01水果!$AJ790)&lt;=0),0,IF(OR(N(对接源_01水果!$B790)&lt;$AL$2,N(对接源_01水果!$B790)&gt;$AL$3),0,1))</f>
        <v>0</v>
      </c>
      <c r="AM790">
        <f>N(AM789)+$AL790</f>
        <v>2</v>
      </c>
      <c r="AN790">
        <f>IF(对接源_01水果!$AC790="","",对接源_01水果!$AC790)</f>
      </c>
      <c r="AO790">
        <f>IF(AN790="",0,IF(MATCH(AN790,$AN$4:$AN$1203,0)=ROW()-3,1,0))</f>
        <v>0</v>
      </c>
      <c r="AP790">
        <f>N(AP789)+$AO790</f>
        <v>13</v>
      </c>
      <c r="AR790">
        <f>IF(OR($AF790=1,$AH790=1),1,0)</f>
        <v>0</v>
      </c>
      <c r="AS790">
        <f>N(AS789)+$AR790</f>
        <v>0</v>
      </c>
    </row>
    <row r="791" ht="14.25" customHeight="1" s="127">
      <c r="A791">
        <f>IF(对接源_01水果!$C791="","",对接源_01水果!$C791)</f>
      </c>
      <c r="B791">
        <f>IF(A791="",0,IF(MATCH(A791,$A$4:$A$2403,0)=ROW()-3,1,0))</f>
        <v>0</v>
      </c>
      <c r="C791">
        <f>N(C790)+B791</f>
        <v>22</v>
      </c>
      <c r="K791">
        <f>IF(OR($K$1="",对接源_01水果!$C791="",对接源_01水果!$C791&lt;&gt;$K$1,对接源_01水果!$B791=""),0,IF(OR(N(对接源_01水果!$B791)&lt;$K$2,N(对接源_01水果!$B791)&gt;$K$3),0,1))</f>
        <v>0</v>
      </c>
      <c r="L791">
        <f>IF(OR($L$1="",对接源_01水果!$C791="",对接源_01水果!$C791&lt;&gt;$L$1,对接源_01水果!$B791=""),0,IF(OR(N(对接源_01水果!$B791)&lt;$L$2,N(对接源_01水果!$B791)&gt;$L$3),0,1))</f>
        <v>0</v>
      </c>
      <c r="M791">
        <f>IF(OR($M$1="",对接源_01水果!$C791="",对接源_01水果!$C791&lt;&gt;$M$1,对接源_01水果!$B791=""),0,IF(OR(N(对接源_01水果!$B791)&lt;$M$2,N(对接源_01水果!$B791)&gt;$M$3),0,1))</f>
        <v>0</v>
      </c>
      <c r="N791">
        <f>IF(OR($N$1="",对接源_01水果!$C791="",对接源_01水果!$C791&lt;&gt;$N$1,对接源_01水果!$B791=""),0,IF(OR(N(对接源_01水果!$B791)&lt;$N$2,N(对接源_01水果!$B791)&gt;$N$3),0,1))</f>
        <v>0</v>
      </c>
      <c r="P791">
        <f>IF(AND($K791=1,AND(对接源_01水果!$X791="公司筐",N(对接源_01水果!$T791)&lt;&gt;0)),1,0)</f>
        <v>0</v>
      </c>
      <c r="Q791">
        <f>N(Q790)+$P791</f>
        <v>0</v>
      </c>
      <c r="R791">
        <f>IF(AND($K791=1,AND(对接源_01水果!$X791="公司筐",N(对接源_01水果!$U791)&lt;&gt;0)),1,0)</f>
        <v>0</v>
      </c>
      <c r="S791">
        <f>N(S790)+$R791</f>
        <v>0</v>
      </c>
      <c r="T791">
        <f>IF(AND($K791=1,AND(对接源_01水果!$X791="公司筐",N(对接源_01水果!$V791)&lt;&gt;0)),1,0)</f>
        <v>0</v>
      </c>
      <c r="U791">
        <f>N(U790)+$T791</f>
        <v>47</v>
      </c>
      <c r="V791">
        <f>IF(AND($L791=1,AND(对接源_01水果!$X791="自备筐",N(对接源_01水果!$V791)&lt;&gt;0)),1,0)</f>
        <v>0</v>
      </c>
      <c r="W791">
        <f>N(W790)+$V791</f>
        <v>11</v>
      </c>
      <c r="X791">
        <f>IF(AND($L791=1,AND(对接源_01水果!$X791="自备筐",N(对接源_01水果!$T791)&lt;&gt;0)),1,0)</f>
        <v>0</v>
      </c>
      <c r="Y791">
        <f>N(Y790)+$X791</f>
        <v>0</v>
      </c>
      <c r="Z791">
        <f>IF(AND($M791=1,对接源_01水果!$D791="原料入库"),1,0)</f>
        <v>0</v>
      </c>
      <c r="AA791">
        <f>N(AA790)+$Z791</f>
        <v>24</v>
      </c>
      <c r="AB791">
        <f>IF(AND($M791=1,LEFT(对接源_01水果!$D791,4)="原料出库"),1,0)</f>
        <v>0</v>
      </c>
      <c r="AC791">
        <f>N(AC790)+$AB791</f>
        <v>0</v>
      </c>
      <c r="AD791">
        <f>IF(AND($M791=1,LEFT(对接源_01水果!$D791,4)="成品出库"),1,0)</f>
        <v>0</v>
      </c>
      <c r="AE791">
        <f>N(AE790)+$AD791</f>
        <v>0</v>
      </c>
      <c r="AF791">
        <f>IF(AND($N791=1,AND(LEFT(对接源_01水果!$D791,4)="包装物料",N(对接源_01水果!$K791)&lt;&gt;0)),1,0)</f>
        <v>0</v>
      </c>
      <c r="AG791">
        <f>N(AG790)+$AF791</f>
        <v>0</v>
      </c>
      <c r="AH791">
        <f>IF(AND($N791=1,AND(对接源_01水果!$D791="周转筐－销售出库",N(对接源_01水果!$K791)&lt;&gt;0)),1,0)</f>
        <v>0</v>
      </c>
      <c r="AI791">
        <f>N(AI790)+$AH791</f>
        <v>0</v>
      </c>
      <c r="AJ791" s="7" t="n"/>
      <c r="AL791">
        <f>IF(OR($AL$1="",对接源_01水果!$Y791="",对接源_01水果!$Y791&lt;&gt;$AL$1,对接源_01水果!$B791="",N(对接源_01水果!$AJ791)&lt;=0),0,IF(OR(N(对接源_01水果!$B791)&lt;$AL$2,N(对接源_01水果!$B791)&gt;$AL$3),0,1))</f>
        <v>0</v>
      </c>
      <c r="AM791">
        <f>N(AM790)+$AL791</f>
        <v>2</v>
      </c>
      <c r="AN791">
        <f>IF(对接源_01水果!$AC791="","",对接源_01水果!$AC791)</f>
      </c>
      <c r="AO791">
        <f>IF(AN791="",0,IF(MATCH(AN791,$AN$4:$AN$1203,0)=ROW()-3,1,0))</f>
        <v>0</v>
      </c>
      <c r="AP791">
        <f>N(AP790)+$AO791</f>
        <v>13</v>
      </c>
      <c r="AR791">
        <f>IF(OR($AF791=1,$AH791=1),1,0)</f>
        <v>0</v>
      </c>
      <c r="AS791">
        <f>N(AS790)+$AR791</f>
        <v>0</v>
      </c>
    </row>
    <row r="792" ht="14.25" customHeight="1" s="127">
      <c r="A792">
        <f>IF(对接源_01水果!$C792="","",对接源_01水果!$C792)</f>
      </c>
      <c r="B792">
        <f>IF(A792="",0,IF(MATCH(A792,$A$4:$A$2403,0)=ROW()-3,1,0))</f>
        <v>0</v>
      </c>
      <c r="C792">
        <f>N(C791)+B792</f>
        <v>22</v>
      </c>
      <c r="K792">
        <f>IF(OR($K$1="",对接源_01水果!$C792="",对接源_01水果!$C792&lt;&gt;$K$1,对接源_01水果!$B792=""),0,IF(OR(N(对接源_01水果!$B792)&lt;$K$2,N(对接源_01水果!$B792)&gt;$K$3),0,1))</f>
        <v>0</v>
      </c>
      <c r="L792">
        <f>IF(OR($L$1="",对接源_01水果!$C792="",对接源_01水果!$C792&lt;&gt;$L$1,对接源_01水果!$B792=""),0,IF(OR(N(对接源_01水果!$B792)&lt;$L$2,N(对接源_01水果!$B792)&gt;$L$3),0,1))</f>
        <v>0</v>
      </c>
      <c r="M792">
        <f>IF(OR($M$1="",对接源_01水果!$C792="",对接源_01水果!$C792&lt;&gt;$M$1,对接源_01水果!$B792=""),0,IF(OR(N(对接源_01水果!$B792)&lt;$M$2,N(对接源_01水果!$B792)&gt;$M$3),0,1))</f>
        <v>0</v>
      </c>
      <c r="N792">
        <f>IF(OR($N$1="",对接源_01水果!$C792="",对接源_01水果!$C792&lt;&gt;$N$1,对接源_01水果!$B792=""),0,IF(OR(N(对接源_01水果!$B792)&lt;$N$2,N(对接源_01水果!$B792)&gt;$N$3),0,1))</f>
        <v>0</v>
      </c>
      <c r="P792">
        <f>IF(AND($K792=1,AND(对接源_01水果!$X792="公司筐",N(对接源_01水果!$T792)&lt;&gt;0)),1,0)</f>
        <v>0</v>
      </c>
      <c r="Q792">
        <f>N(Q791)+$P792</f>
        <v>0</v>
      </c>
      <c r="R792">
        <f>IF(AND($K792=1,AND(对接源_01水果!$X792="公司筐",N(对接源_01水果!$U792)&lt;&gt;0)),1,0)</f>
        <v>0</v>
      </c>
      <c r="S792">
        <f>N(S791)+$R792</f>
        <v>0</v>
      </c>
      <c r="T792">
        <f>IF(AND($K792=1,AND(对接源_01水果!$X792="公司筐",N(对接源_01水果!$V792)&lt;&gt;0)),1,0)</f>
        <v>0</v>
      </c>
      <c r="U792">
        <f>N(U791)+$T792</f>
        <v>47</v>
      </c>
      <c r="V792">
        <f>IF(AND($L792=1,AND(对接源_01水果!$X792="自备筐",N(对接源_01水果!$V792)&lt;&gt;0)),1,0)</f>
        <v>0</v>
      </c>
      <c r="W792">
        <f>N(W791)+$V792</f>
        <v>11</v>
      </c>
      <c r="X792">
        <f>IF(AND($L792=1,AND(对接源_01水果!$X792="自备筐",N(对接源_01水果!$T792)&lt;&gt;0)),1,0)</f>
        <v>0</v>
      </c>
      <c r="Y792">
        <f>N(Y791)+$X792</f>
        <v>0</v>
      </c>
      <c r="Z792">
        <f>IF(AND($M792=1,对接源_01水果!$D792="原料入库"),1,0)</f>
        <v>0</v>
      </c>
      <c r="AA792">
        <f>N(AA791)+$Z792</f>
        <v>24</v>
      </c>
      <c r="AB792">
        <f>IF(AND($M792=1,LEFT(对接源_01水果!$D792,4)="原料出库"),1,0)</f>
        <v>0</v>
      </c>
      <c r="AC792">
        <f>N(AC791)+$AB792</f>
        <v>0</v>
      </c>
      <c r="AD792">
        <f>IF(AND($M792=1,LEFT(对接源_01水果!$D792,4)="成品出库"),1,0)</f>
        <v>0</v>
      </c>
      <c r="AE792">
        <f>N(AE791)+$AD792</f>
        <v>0</v>
      </c>
      <c r="AF792">
        <f>IF(AND($N792=1,AND(LEFT(对接源_01水果!$D792,4)="包装物料",N(对接源_01水果!$K792)&lt;&gt;0)),1,0)</f>
        <v>0</v>
      </c>
      <c r="AG792">
        <f>N(AG791)+$AF792</f>
        <v>0</v>
      </c>
      <c r="AH792">
        <f>IF(AND($N792=1,AND(对接源_01水果!$D792="周转筐－销售出库",N(对接源_01水果!$K792)&lt;&gt;0)),1,0)</f>
        <v>0</v>
      </c>
      <c r="AI792">
        <f>N(AI791)+$AH792</f>
        <v>0</v>
      </c>
      <c r="AJ792" s="7" t="n"/>
      <c r="AL792">
        <f>IF(OR($AL$1="",对接源_01水果!$Y792="",对接源_01水果!$Y792&lt;&gt;$AL$1,对接源_01水果!$B792="",N(对接源_01水果!$AJ792)&lt;=0),0,IF(OR(N(对接源_01水果!$B792)&lt;$AL$2,N(对接源_01水果!$B792)&gt;$AL$3),0,1))</f>
        <v>0</v>
      </c>
      <c r="AM792">
        <f>N(AM791)+$AL792</f>
        <v>2</v>
      </c>
      <c r="AN792">
        <f>IF(对接源_01水果!$AC792="","",对接源_01水果!$AC792)</f>
      </c>
      <c r="AO792">
        <f>IF(AN792="",0,IF(MATCH(AN792,$AN$4:$AN$1203,0)=ROW()-3,1,0))</f>
        <v>0</v>
      </c>
      <c r="AP792">
        <f>N(AP791)+$AO792</f>
        <v>13</v>
      </c>
      <c r="AR792">
        <f>IF(OR($AF792=1,$AH792=1),1,0)</f>
        <v>0</v>
      </c>
      <c r="AS792">
        <f>N(AS791)+$AR792</f>
        <v>0</v>
      </c>
    </row>
    <row r="793" ht="14.25" customHeight="1" s="127">
      <c r="A793">
        <f>IF(对接源_01水果!$C793="","",对接源_01水果!$C793)</f>
      </c>
      <c r="B793">
        <f>IF(A793="",0,IF(MATCH(A793,$A$4:$A$2403,0)=ROW()-3,1,0))</f>
        <v>0</v>
      </c>
      <c r="C793">
        <f>N(C792)+B793</f>
        <v>22</v>
      </c>
      <c r="K793">
        <f>IF(OR($K$1="",对接源_01水果!$C793="",对接源_01水果!$C793&lt;&gt;$K$1,对接源_01水果!$B793=""),0,IF(OR(N(对接源_01水果!$B793)&lt;$K$2,N(对接源_01水果!$B793)&gt;$K$3),0,1))</f>
        <v>0</v>
      </c>
      <c r="L793">
        <f>IF(OR($L$1="",对接源_01水果!$C793="",对接源_01水果!$C793&lt;&gt;$L$1,对接源_01水果!$B793=""),0,IF(OR(N(对接源_01水果!$B793)&lt;$L$2,N(对接源_01水果!$B793)&gt;$L$3),0,1))</f>
        <v>0</v>
      </c>
      <c r="M793">
        <f>IF(OR($M$1="",对接源_01水果!$C793="",对接源_01水果!$C793&lt;&gt;$M$1,对接源_01水果!$B793=""),0,IF(OR(N(对接源_01水果!$B793)&lt;$M$2,N(对接源_01水果!$B793)&gt;$M$3),0,1))</f>
        <v>0</v>
      </c>
      <c r="N793">
        <f>IF(OR($N$1="",对接源_01水果!$C793="",对接源_01水果!$C793&lt;&gt;$N$1,对接源_01水果!$B793=""),0,IF(OR(N(对接源_01水果!$B793)&lt;$N$2,N(对接源_01水果!$B793)&gt;$N$3),0,1))</f>
        <v>0</v>
      </c>
      <c r="P793">
        <f>IF(AND($K793=1,AND(对接源_01水果!$X793="公司筐",N(对接源_01水果!$T793)&lt;&gt;0)),1,0)</f>
        <v>0</v>
      </c>
      <c r="Q793">
        <f>N(Q792)+$P793</f>
        <v>0</v>
      </c>
      <c r="R793">
        <f>IF(AND($K793=1,AND(对接源_01水果!$X793="公司筐",N(对接源_01水果!$U793)&lt;&gt;0)),1,0)</f>
        <v>0</v>
      </c>
      <c r="S793">
        <f>N(S792)+$R793</f>
        <v>0</v>
      </c>
      <c r="T793">
        <f>IF(AND($K793=1,AND(对接源_01水果!$X793="公司筐",N(对接源_01水果!$V793)&lt;&gt;0)),1,0)</f>
        <v>0</v>
      </c>
      <c r="U793">
        <f>N(U792)+$T793</f>
        <v>47</v>
      </c>
      <c r="V793">
        <f>IF(AND($L793=1,AND(对接源_01水果!$X793="自备筐",N(对接源_01水果!$V793)&lt;&gt;0)),1,0)</f>
        <v>0</v>
      </c>
      <c r="W793">
        <f>N(W792)+$V793</f>
        <v>11</v>
      </c>
      <c r="X793">
        <f>IF(AND($L793=1,AND(对接源_01水果!$X793="自备筐",N(对接源_01水果!$T793)&lt;&gt;0)),1,0)</f>
        <v>0</v>
      </c>
      <c r="Y793">
        <f>N(Y792)+$X793</f>
        <v>0</v>
      </c>
      <c r="Z793">
        <f>IF(AND($M793=1,对接源_01水果!$D793="原料入库"),1,0)</f>
        <v>0</v>
      </c>
      <c r="AA793">
        <f>N(AA792)+$Z793</f>
        <v>24</v>
      </c>
      <c r="AB793">
        <f>IF(AND($M793=1,LEFT(对接源_01水果!$D793,4)="原料出库"),1,0)</f>
        <v>0</v>
      </c>
      <c r="AC793">
        <f>N(AC792)+$AB793</f>
        <v>0</v>
      </c>
      <c r="AD793">
        <f>IF(AND($M793=1,LEFT(对接源_01水果!$D793,4)="成品出库"),1,0)</f>
        <v>0</v>
      </c>
      <c r="AE793">
        <f>N(AE792)+$AD793</f>
        <v>0</v>
      </c>
      <c r="AF793">
        <f>IF(AND($N793=1,AND(LEFT(对接源_01水果!$D793,4)="包装物料",N(对接源_01水果!$K793)&lt;&gt;0)),1,0)</f>
        <v>0</v>
      </c>
      <c r="AG793">
        <f>N(AG792)+$AF793</f>
        <v>0</v>
      </c>
      <c r="AH793">
        <f>IF(AND($N793=1,AND(对接源_01水果!$D793="周转筐－销售出库",N(对接源_01水果!$K793)&lt;&gt;0)),1,0)</f>
        <v>0</v>
      </c>
      <c r="AI793">
        <f>N(AI792)+$AH793</f>
        <v>0</v>
      </c>
      <c r="AJ793" s="7" t="n"/>
      <c r="AL793">
        <f>IF(OR($AL$1="",对接源_01水果!$Y793="",对接源_01水果!$Y793&lt;&gt;$AL$1,对接源_01水果!$B793="",N(对接源_01水果!$AJ793)&lt;=0),0,IF(OR(N(对接源_01水果!$B793)&lt;$AL$2,N(对接源_01水果!$B793)&gt;$AL$3),0,1))</f>
        <v>0</v>
      </c>
      <c r="AM793">
        <f>N(AM792)+$AL793</f>
        <v>2</v>
      </c>
      <c r="AN793">
        <f>IF(对接源_01水果!$AC793="","",对接源_01水果!$AC793)</f>
      </c>
      <c r="AO793">
        <f>IF(AN793="",0,IF(MATCH(AN793,$AN$4:$AN$1203,0)=ROW()-3,1,0))</f>
        <v>0</v>
      </c>
      <c r="AP793">
        <f>N(AP792)+$AO793</f>
        <v>13</v>
      </c>
      <c r="AR793">
        <f>IF(OR($AF793=1,$AH793=1),1,0)</f>
        <v>0</v>
      </c>
      <c r="AS793">
        <f>N(AS792)+$AR793</f>
        <v>0</v>
      </c>
    </row>
    <row r="794" ht="14.25" customHeight="1" s="127">
      <c r="A794">
        <f>IF(对接源_01水果!$C794="","",对接源_01水果!$C794)</f>
      </c>
      <c r="B794">
        <f>IF(A794="",0,IF(MATCH(A794,$A$4:$A$2403,0)=ROW()-3,1,0))</f>
        <v>0</v>
      </c>
      <c r="C794">
        <f>N(C793)+B794</f>
        <v>22</v>
      </c>
      <c r="K794">
        <f>IF(OR($K$1="",对接源_01水果!$C794="",对接源_01水果!$C794&lt;&gt;$K$1,对接源_01水果!$B794=""),0,IF(OR(N(对接源_01水果!$B794)&lt;$K$2,N(对接源_01水果!$B794)&gt;$K$3),0,1))</f>
        <v>0</v>
      </c>
      <c r="L794">
        <f>IF(OR($L$1="",对接源_01水果!$C794="",对接源_01水果!$C794&lt;&gt;$L$1,对接源_01水果!$B794=""),0,IF(OR(N(对接源_01水果!$B794)&lt;$L$2,N(对接源_01水果!$B794)&gt;$L$3),0,1))</f>
        <v>0</v>
      </c>
      <c r="M794">
        <f>IF(OR($M$1="",对接源_01水果!$C794="",对接源_01水果!$C794&lt;&gt;$M$1,对接源_01水果!$B794=""),0,IF(OR(N(对接源_01水果!$B794)&lt;$M$2,N(对接源_01水果!$B794)&gt;$M$3),0,1))</f>
        <v>0</v>
      </c>
      <c r="N794">
        <f>IF(OR($N$1="",对接源_01水果!$C794="",对接源_01水果!$C794&lt;&gt;$N$1,对接源_01水果!$B794=""),0,IF(OR(N(对接源_01水果!$B794)&lt;$N$2,N(对接源_01水果!$B794)&gt;$N$3),0,1))</f>
        <v>0</v>
      </c>
      <c r="P794">
        <f>IF(AND($K794=1,AND(对接源_01水果!$X794="公司筐",N(对接源_01水果!$T794)&lt;&gt;0)),1,0)</f>
        <v>0</v>
      </c>
      <c r="Q794">
        <f>N(Q793)+$P794</f>
        <v>0</v>
      </c>
      <c r="R794">
        <f>IF(AND($K794=1,AND(对接源_01水果!$X794="公司筐",N(对接源_01水果!$U794)&lt;&gt;0)),1,0)</f>
        <v>0</v>
      </c>
      <c r="S794">
        <f>N(S793)+$R794</f>
        <v>0</v>
      </c>
      <c r="T794">
        <f>IF(AND($K794=1,AND(对接源_01水果!$X794="公司筐",N(对接源_01水果!$V794)&lt;&gt;0)),1,0)</f>
        <v>0</v>
      </c>
      <c r="U794">
        <f>N(U793)+$T794</f>
        <v>47</v>
      </c>
      <c r="V794">
        <f>IF(AND($L794=1,AND(对接源_01水果!$X794="自备筐",N(对接源_01水果!$V794)&lt;&gt;0)),1,0)</f>
        <v>0</v>
      </c>
      <c r="W794">
        <f>N(W793)+$V794</f>
        <v>11</v>
      </c>
      <c r="X794">
        <f>IF(AND($L794=1,AND(对接源_01水果!$X794="自备筐",N(对接源_01水果!$T794)&lt;&gt;0)),1,0)</f>
        <v>0</v>
      </c>
      <c r="Y794">
        <f>N(Y793)+$X794</f>
        <v>0</v>
      </c>
      <c r="Z794">
        <f>IF(AND($M794=1,对接源_01水果!$D794="原料入库"),1,0)</f>
        <v>0</v>
      </c>
      <c r="AA794">
        <f>N(AA793)+$Z794</f>
        <v>24</v>
      </c>
      <c r="AB794">
        <f>IF(AND($M794=1,LEFT(对接源_01水果!$D794,4)="原料出库"),1,0)</f>
        <v>0</v>
      </c>
      <c r="AC794">
        <f>N(AC793)+$AB794</f>
        <v>0</v>
      </c>
      <c r="AD794">
        <f>IF(AND($M794=1,LEFT(对接源_01水果!$D794,4)="成品出库"),1,0)</f>
        <v>0</v>
      </c>
      <c r="AE794">
        <f>N(AE793)+$AD794</f>
        <v>0</v>
      </c>
      <c r="AF794">
        <f>IF(AND($N794=1,AND(LEFT(对接源_01水果!$D794,4)="包装物料",N(对接源_01水果!$K794)&lt;&gt;0)),1,0)</f>
        <v>0</v>
      </c>
      <c r="AG794">
        <f>N(AG793)+$AF794</f>
        <v>0</v>
      </c>
      <c r="AH794">
        <f>IF(AND($N794=1,AND(对接源_01水果!$D794="周转筐－销售出库",N(对接源_01水果!$K794)&lt;&gt;0)),1,0)</f>
        <v>0</v>
      </c>
      <c r="AI794">
        <f>N(AI793)+$AH794</f>
        <v>0</v>
      </c>
      <c r="AJ794" s="7" t="n"/>
      <c r="AL794">
        <f>IF(OR($AL$1="",对接源_01水果!$Y794="",对接源_01水果!$Y794&lt;&gt;$AL$1,对接源_01水果!$B794="",N(对接源_01水果!$AJ794)&lt;=0),0,IF(OR(N(对接源_01水果!$B794)&lt;$AL$2,N(对接源_01水果!$B794)&gt;$AL$3),0,1))</f>
        <v>0</v>
      </c>
      <c r="AM794">
        <f>N(AM793)+$AL794</f>
        <v>2</v>
      </c>
      <c r="AN794">
        <f>IF(对接源_01水果!$AC794="","",对接源_01水果!$AC794)</f>
      </c>
      <c r="AO794">
        <f>IF(AN794="",0,IF(MATCH(AN794,$AN$4:$AN$1203,0)=ROW()-3,1,0))</f>
        <v>0</v>
      </c>
      <c r="AP794">
        <f>N(AP793)+$AO794</f>
        <v>13</v>
      </c>
      <c r="AR794">
        <f>IF(OR($AF794=1,$AH794=1),1,0)</f>
        <v>0</v>
      </c>
      <c r="AS794">
        <f>N(AS793)+$AR794</f>
        <v>0</v>
      </c>
    </row>
    <row r="795" ht="14.25" customHeight="1" s="127">
      <c r="A795">
        <f>IF(对接源_01水果!$C795="","",对接源_01水果!$C795)</f>
      </c>
      <c r="B795">
        <f>IF(A795="",0,IF(MATCH(A795,$A$4:$A$2403,0)=ROW()-3,1,0))</f>
        <v>0</v>
      </c>
      <c r="C795">
        <f>N(C794)+B795</f>
        <v>22</v>
      </c>
      <c r="K795">
        <f>IF(OR($K$1="",对接源_01水果!$C795="",对接源_01水果!$C795&lt;&gt;$K$1,对接源_01水果!$B795=""),0,IF(OR(N(对接源_01水果!$B795)&lt;$K$2,N(对接源_01水果!$B795)&gt;$K$3),0,1))</f>
        <v>0</v>
      </c>
      <c r="L795">
        <f>IF(OR($L$1="",对接源_01水果!$C795="",对接源_01水果!$C795&lt;&gt;$L$1,对接源_01水果!$B795=""),0,IF(OR(N(对接源_01水果!$B795)&lt;$L$2,N(对接源_01水果!$B795)&gt;$L$3),0,1))</f>
        <v>0</v>
      </c>
      <c r="M795">
        <f>IF(OR($M$1="",对接源_01水果!$C795="",对接源_01水果!$C795&lt;&gt;$M$1,对接源_01水果!$B795=""),0,IF(OR(N(对接源_01水果!$B795)&lt;$M$2,N(对接源_01水果!$B795)&gt;$M$3),0,1))</f>
        <v>0</v>
      </c>
      <c r="N795">
        <f>IF(OR($N$1="",对接源_01水果!$C795="",对接源_01水果!$C795&lt;&gt;$N$1,对接源_01水果!$B795=""),0,IF(OR(N(对接源_01水果!$B795)&lt;$N$2,N(对接源_01水果!$B795)&gt;$N$3),0,1))</f>
        <v>0</v>
      </c>
      <c r="P795">
        <f>IF(AND($K795=1,AND(对接源_01水果!$X795="公司筐",N(对接源_01水果!$T795)&lt;&gt;0)),1,0)</f>
        <v>0</v>
      </c>
      <c r="Q795">
        <f>N(Q794)+$P795</f>
        <v>0</v>
      </c>
      <c r="R795">
        <f>IF(AND($K795=1,AND(对接源_01水果!$X795="公司筐",N(对接源_01水果!$U795)&lt;&gt;0)),1,0)</f>
        <v>0</v>
      </c>
      <c r="S795">
        <f>N(S794)+$R795</f>
        <v>0</v>
      </c>
      <c r="T795">
        <f>IF(AND($K795=1,AND(对接源_01水果!$X795="公司筐",N(对接源_01水果!$V795)&lt;&gt;0)),1,0)</f>
        <v>0</v>
      </c>
      <c r="U795">
        <f>N(U794)+$T795</f>
        <v>47</v>
      </c>
      <c r="V795">
        <f>IF(AND($L795=1,AND(对接源_01水果!$X795="自备筐",N(对接源_01水果!$V795)&lt;&gt;0)),1,0)</f>
        <v>0</v>
      </c>
      <c r="W795">
        <f>N(W794)+$V795</f>
        <v>11</v>
      </c>
      <c r="X795">
        <f>IF(AND($L795=1,AND(对接源_01水果!$X795="自备筐",N(对接源_01水果!$T795)&lt;&gt;0)),1,0)</f>
        <v>0</v>
      </c>
      <c r="Y795">
        <f>N(Y794)+$X795</f>
        <v>0</v>
      </c>
      <c r="Z795">
        <f>IF(AND($M795=1,对接源_01水果!$D795="原料入库"),1,0)</f>
        <v>0</v>
      </c>
      <c r="AA795">
        <f>N(AA794)+$Z795</f>
        <v>24</v>
      </c>
      <c r="AB795">
        <f>IF(AND($M795=1,LEFT(对接源_01水果!$D795,4)="原料出库"),1,0)</f>
        <v>0</v>
      </c>
      <c r="AC795">
        <f>N(AC794)+$AB795</f>
        <v>0</v>
      </c>
      <c r="AD795">
        <f>IF(AND($M795=1,LEFT(对接源_01水果!$D795,4)="成品出库"),1,0)</f>
        <v>0</v>
      </c>
      <c r="AE795">
        <f>N(AE794)+$AD795</f>
        <v>0</v>
      </c>
      <c r="AF795">
        <f>IF(AND($N795=1,AND(LEFT(对接源_01水果!$D795,4)="包装物料",N(对接源_01水果!$K795)&lt;&gt;0)),1,0)</f>
        <v>0</v>
      </c>
      <c r="AG795">
        <f>N(AG794)+$AF795</f>
        <v>0</v>
      </c>
      <c r="AH795">
        <f>IF(AND($N795=1,AND(对接源_01水果!$D795="周转筐－销售出库",N(对接源_01水果!$K795)&lt;&gt;0)),1,0)</f>
        <v>0</v>
      </c>
      <c r="AI795">
        <f>N(AI794)+$AH795</f>
        <v>0</v>
      </c>
      <c r="AJ795" s="7" t="n"/>
      <c r="AL795">
        <f>IF(OR($AL$1="",对接源_01水果!$Y795="",对接源_01水果!$Y795&lt;&gt;$AL$1,对接源_01水果!$B795="",N(对接源_01水果!$AJ795)&lt;=0),0,IF(OR(N(对接源_01水果!$B795)&lt;$AL$2,N(对接源_01水果!$B795)&gt;$AL$3),0,1))</f>
        <v>0</v>
      </c>
      <c r="AM795">
        <f>N(AM794)+$AL795</f>
        <v>2</v>
      </c>
      <c r="AN795">
        <f>IF(对接源_01水果!$AC795="","",对接源_01水果!$AC795)</f>
      </c>
      <c r="AO795">
        <f>IF(AN795="",0,IF(MATCH(AN795,$AN$4:$AN$1203,0)=ROW()-3,1,0))</f>
        <v>0</v>
      </c>
      <c r="AP795">
        <f>N(AP794)+$AO795</f>
        <v>13</v>
      </c>
      <c r="AR795">
        <f>IF(OR($AF795=1,$AH795=1),1,0)</f>
        <v>0</v>
      </c>
      <c r="AS795">
        <f>N(AS794)+$AR795</f>
        <v>0</v>
      </c>
    </row>
    <row r="796" ht="14.25" customHeight="1" s="127">
      <c r="A796">
        <f>IF(对接源_01水果!$C796="","",对接源_01水果!$C796)</f>
      </c>
      <c r="B796">
        <f>IF(A796="",0,IF(MATCH(A796,$A$4:$A$2403,0)=ROW()-3,1,0))</f>
        <v>0</v>
      </c>
      <c r="C796">
        <f>N(C795)+B796</f>
        <v>22</v>
      </c>
      <c r="K796">
        <f>IF(OR($K$1="",对接源_01水果!$C796="",对接源_01水果!$C796&lt;&gt;$K$1,对接源_01水果!$B796=""),0,IF(OR(N(对接源_01水果!$B796)&lt;$K$2,N(对接源_01水果!$B796)&gt;$K$3),0,1))</f>
        <v>0</v>
      </c>
      <c r="L796">
        <f>IF(OR($L$1="",对接源_01水果!$C796="",对接源_01水果!$C796&lt;&gt;$L$1,对接源_01水果!$B796=""),0,IF(OR(N(对接源_01水果!$B796)&lt;$L$2,N(对接源_01水果!$B796)&gt;$L$3),0,1))</f>
        <v>0</v>
      </c>
      <c r="M796">
        <f>IF(OR($M$1="",对接源_01水果!$C796="",对接源_01水果!$C796&lt;&gt;$M$1,对接源_01水果!$B796=""),0,IF(OR(N(对接源_01水果!$B796)&lt;$M$2,N(对接源_01水果!$B796)&gt;$M$3),0,1))</f>
        <v>0</v>
      </c>
      <c r="N796">
        <f>IF(OR($N$1="",对接源_01水果!$C796="",对接源_01水果!$C796&lt;&gt;$N$1,对接源_01水果!$B796=""),0,IF(OR(N(对接源_01水果!$B796)&lt;$N$2,N(对接源_01水果!$B796)&gt;$N$3),0,1))</f>
        <v>0</v>
      </c>
      <c r="P796">
        <f>IF(AND($K796=1,AND(对接源_01水果!$X796="公司筐",N(对接源_01水果!$T796)&lt;&gt;0)),1,0)</f>
        <v>0</v>
      </c>
      <c r="Q796">
        <f>N(Q795)+$P796</f>
        <v>0</v>
      </c>
      <c r="R796">
        <f>IF(AND($K796=1,AND(对接源_01水果!$X796="公司筐",N(对接源_01水果!$U796)&lt;&gt;0)),1,0)</f>
        <v>0</v>
      </c>
      <c r="S796">
        <f>N(S795)+$R796</f>
        <v>0</v>
      </c>
      <c r="T796">
        <f>IF(AND($K796=1,AND(对接源_01水果!$X796="公司筐",N(对接源_01水果!$V796)&lt;&gt;0)),1,0)</f>
        <v>0</v>
      </c>
      <c r="U796">
        <f>N(U795)+$T796</f>
        <v>47</v>
      </c>
      <c r="V796">
        <f>IF(AND($L796=1,AND(对接源_01水果!$X796="自备筐",N(对接源_01水果!$V796)&lt;&gt;0)),1,0)</f>
        <v>0</v>
      </c>
      <c r="W796">
        <f>N(W795)+$V796</f>
        <v>11</v>
      </c>
      <c r="X796">
        <f>IF(AND($L796=1,AND(对接源_01水果!$X796="自备筐",N(对接源_01水果!$T796)&lt;&gt;0)),1,0)</f>
        <v>0</v>
      </c>
      <c r="Y796">
        <f>N(Y795)+$X796</f>
        <v>0</v>
      </c>
      <c r="Z796">
        <f>IF(AND($M796=1,对接源_01水果!$D796="原料入库"),1,0)</f>
        <v>0</v>
      </c>
      <c r="AA796">
        <f>N(AA795)+$Z796</f>
        <v>24</v>
      </c>
      <c r="AB796">
        <f>IF(AND($M796=1,LEFT(对接源_01水果!$D796,4)="原料出库"),1,0)</f>
        <v>0</v>
      </c>
      <c r="AC796">
        <f>N(AC795)+$AB796</f>
        <v>0</v>
      </c>
      <c r="AD796">
        <f>IF(AND($M796=1,LEFT(对接源_01水果!$D796,4)="成品出库"),1,0)</f>
        <v>0</v>
      </c>
      <c r="AE796">
        <f>N(AE795)+$AD796</f>
        <v>0</v>
      </c>
      <c r="AF796">
        <f>IF(AND($N796=1,AND(LEFT(对接源_01水果!$D796,4)="包装物料",N(对接源_01水果!$K796)&lt;&gt;0)),1,0)</f>
        <v>0</v>
      </c>
      <c r="AG796">
        <f>N(AG795)+$AF796</f>
        <v>0</v>
      </c>
      <c r="AH796">
        <f>IF(AND($N796=1,AND(对接源_01水果!$D796="周转筐－销售出库",N(对接源_01水果!$K796)&lt;&gt;0)),1,0)</f>
        <v>0</v>
      </c>
      <c r="AI796">
        <f>N(AI795)+$AH796</f>
        <v>0</v>
      </c>
      <c r="AJ796" s="7" t="n"/>
      <c r="AL796">
        <f>IF(OR($AL$1="",对接源_01水果!$Y796="",对接源_01水果!$Y796&lt;&gt;$AL$1,对接源_01水果!$B796="",N(对接源_01水果!$AJ796)&lt;=0),0,IF(OR(N(对接源_01水果!$B796)&lt;$AL$2,N(对接源_01水果!$B796)&gt;$AL$3),0,1))</f>
        <v>0</v>
      </c>
      <c r="AM796">
        <f>N(AM795)+$AL796</f>
        <v>2</v>
      </c>
      <c r="AN796">
        <f>IF(对接源_01水果!$AC796="","",对接源_01水果!$AC796)</f>
      </c>
      <c r="AO796">
        <f>IF(AN796="",0,IF(MATCH(AN796,$AN$4:$AN$1203,0)=ROW()-3,1,0))</f>
        <v>0</v>
      </c>
      <c r="AP796">
        <f>N(AP795)+$AO796</f>
        <v>13</v>
      </c>
      <c r="AR796">
        <f>IF(OR($AF796=1,$AH796=1),1,0)</f>
        <v>0</v>
      </c>
      <c r="AS796">
        <f>N(AS795)+$AR796</f>
        <v>0</v>
      </c>
    </row>
    <row r="797" ht="14.25" customHeight="1" s="127">
      <c r="A797">
        <f>IF(对接源_01水果!$C797="","",对接源_01水果!$C797)</f>
      </c>
      <c r="B797">
        <f>IF(A797="",0,IF(MATCH(A797,$A$4:$A$2403,0)=ROW()-3,1,0))</f>
        <v>0</v>
      </c>
      <c r="C797">
        <f>N(C796)+B797</f>
        <v>22</v>
      </c>
      <c r="K797">
        <f>IF(OR($K$1="",对接源_01水果!$C797="",对接源_01水果!$C797&lt;&gt;$K$1,对接源_01水果!$B797=""),0,IF(OR(N(对接源_01水果!$B797)&lt;$K$2,N(对接源_01水果!$B797)&gt;$K$3),0,1))</f>
        <v>0</v>
      </c>
      <c r="L797">
        <f>IF(OR($L$1="",对接源_01水果!$C797="",对接源_01水果!$C797&lt;&gt;$L$1,对接源_01水果!$B797=""),0,IF(OR(N(对接源_01水果!$B797)&lt;$L$2,N(对接源_01水果!$B797)&gt;$L$3),0,1))</f>
        <v>0</v>
      </c>
      <c r="M797">
        <f>IF(OR($M$1="",对接源_01水果!$C797="",对接源_01水果!$C797&lt;&gt;$M$1,对接源_01水果!$B797=""),0,IF(OR(N(对接源_01水果!$B797)&lt;$M$2,N(对接源_01水果!$B797)&gt;$M$3),0,1))</f>
        <v>0</v>
      </c>
      <c r="N797">
        <f>IF(OR($N$1="",对接源_01水果!$C797="",对接源_01水果!$C797&lt;&gt;$N$1,对接源_01水果!$B797=""),0,IF(OR(N(对接源_01水果!$B797)&lt;$N$2,N(对接源_01水果!$B797)&gt;$N$3),0,1))</f>
        <v>0</v>
      </c>
      <c r="P797">
        <f>IF(AND($K797=1,AND(对接源_01水果!$X797="公司筐",N(对接源_01水果!$T797)&lt;&gt;0)),1,0)</f>
        <v>0</v>
      </c>
      <c r="Q797">
        <f>N(Q796)+$P797</f>
        <v>0</v>
      </c>
      <c r="R797">
        <f>IF(AND($K797=1,AND(对接源_01水果!$X797="公司筐",N(对接源_01水果!$U797)&lt;&gt;0)),1,0)</f>
        <v>0</v>
      </c>
      <c r="S797">
        <f>N(S796)+$R797</f>
        <v>0</v>
      </c>
      <c r="T797">
        <f>IF(AND($K797=1,AND(对接源_01水果!$X797="公司筐",N(对接源_01水果!$V797)&lt;&gt;0)),1,0)</f>
        <v>0</v>
      </c>
      <c r="U797">
        <f>N(U796)+$T797</f>
        <v>47</v>
      </c>
      <c r="V797">
        <f>IF(AND($L797=1,AND(对接源_01水果!$X797="自备筐",N(对接源_01水果!$V797)&lt;&gt;0)),1,0)</f>
        <v>0</v>
      </c>
      <c r="W797">
        <f>N(W796)+$V797</f>
        <v>11</v>
      </c>
      <c r="X797">
        <f>IF(AND($L797=1,AND(对接源_01水果!$X797="自备筐",N(对接源_01水果!$T797)&lt;&gt;0)),1,0)</f>
        <v>0</v>
      </c>
      <c r="Y797">
        <f>N(Y796)+$X797</f>
        <v>0</v>
      </c>
      <c r="Z797">
        <f>IF(AND($M797=1,对接源_01水果!$D797="原料入库"),1,0)</f>
        <v>0</v>
      </c>
      <c r="AA797">
        <f>N(AA796)+$Z797</f>
        <v>24</v>
      </c>
      <c r="AB797">
        <f>IF(AND($M797=1,LEFT(对接源_01水果!$D797,4)="原料出库"),1,0)</f>
        <v>0</v>
      </c>
      <c r="AC797">
        <f>N(AC796)+$AB797</f>
        <v>0</v>
      </c>
      <c r="AD797">
        <f>IF(AND($M797=1,LEFT(对接源_01水果!$D797,4)="成品出库"),1,0)</f>
        <v>0</v>
      </c>
      <c r="AE797">
        <f>N(AE796)+$AD797</f>
        <v>0</v>
      </c>
      <c r="AF797">
        <f>IF(AND($N797=1,AND(LEFT(对接源_01水果!$D797,4)="包装物料",N(对接源_01水果!$K797)&lt;&gt;0)),1,0)</f>
        <v>0</v>
      </c>
      <c r="AG797">
        <f>N(AG796)+$AF797</f>
        <v>0</v>
      </c>
      <c r="AH797">
        <f>IF(AND($N797=1,AND(对接源_01水果!$D797="周转筐－销售出库",N(对接源_01水果!$K797)&lt;&gt;0)),1,0)</f>
        <v>0</v>
      </c>
      <c r="AI797">
        <f>N(AI796)+$AH797</f>
        <v>0</v>
      </c>
      <c r="AJ797" s="7" t="n"/>
      <c r="AL797">
        <f>IF(OR($AL$1="",对接源_01水果!$Y797="",对接源_01水果!$Y797&lt;&gt;$AL$1,对接源_01水果!$B797="",N(对接源_01水果!$AJ797)&lt;=0),0,IF(OR(N(对接源_01水果!$B797)&lt;$AL$2,N(对接源_01水果!$B797)&gt;$AL$3),0,1))</f>
        <v>0</v>
      </c>
      <c r="AM797">
        <f>N(AM796)+$AL797</f>
        <v>2</v>
      </c>
      <c r="AN797">
        <f>IF(对接源_01水果!$AC797="","",对接源_01水果!$AC797)</f>
      </c>
      <c r="AO797">
        <f>IF(AN797="",0,IF(MATCH(AN797,$AN$4:$AN$1203,0)=ROW()-3,1,0))</f>
        <v>0</v>
      </c>
      <c r="AP797">
        <f>N(AP796)+$AO797</f>
        <v>13</v>
      </c>
      <c r="AR797">
        <f>IF(OR($AF797=1,$AH797=1),1,0)</f>
        <v>0</v>
      </c>
      <c r="AS797">
        <f>N(AS796)+$AR797</f>
        <v>0</v>
      </c>
    </row>
    <row r="798" ht="14.25" customHeight="1" s="127">
      <c r="A798">
        <f>IF(对接源_01水果!$C798="","",对接源_01水果!$C798)</f>
      </c>
      <c r="B798">
        <f>IF(A798="",0,IF(MATCH(A798,$A$4:$A$2403,0)=ROW()-3,1,0))</f>
        <v>0</v>
      </c>
      <c r="C798">
        <f>N(C797)+B798</f>
        <v>22</v>
      </c>
      <c r="K798">
        <f>IF(OR($K$1="",对接源_01水果!$C798="",对接源_01水果!$C798&lt;&gt;$K$1,对接源_01水果!$B798=""),0,IF(OR(N(对接源_01水果!$B798)&lt;$K$2,N(对接源_01水果!$B798)&gt;$K$3),0,1))</f>
        <v>0</v>
      </c>
      <c r="L798">
        <f>IF(OR($L$1="",对接源_01水果!$C798="",对接源_01水果!$C798&lt;&gt;$L$1,对接源_01水果!$B798=""),0,IF(OR(N(对接源_01水果!$B798)&lt;$L$2,N(对接源_01水果!$B798)&gt;$L$3),0,1))</f>
        <v>0</v>
      </c>
      <c r="M798">
        <f>IF(OR($M$1="",对接源_01水果!$C798="",对接源_01水果!$C798&lt;&gt;$M$1,对接源_01水果!$B798=""),0,IF(OR(N(对接源_01水果!$B798)&lt;$M$2,N(对接源_01水果!$B798)&gt;$M$3),0,1))</f>
        <v>0</v>
      </c>
      <c r="N798">
        <f>IF(OR($N$1="",对接源_01水果!$C798="",对接源_01水果!$C798&lt;&gt;$N$1,对接源_01水果!$B798=""),0,IF(OR(N(对接源_01水果!$B798)&lt;$N$2,N(对接源_01水果!$B798)&gt;$N$3),0,1))</f>
        <v>0</v>
      </c>
      <c r="P798">
        <f>IF(AND($K798=1,AND(对接源_01水果!$X798="公司筐",N(对接源_01水果!$T798)&lt;&gt;0)),1,0)</f>
        <v>0</v>
      </c>
      <c r="Q798">
        <f>N(Q797)+$P798</f>
        <v>0</v>
      </c>
      <c r="R798">
        <f>IF(AND($K798=1,AND(对接源_01水果!$X798="公司筐",N(对接源_01水果!$U798)&lt;&gt;0)),1,0)</f>
        <v>0</v>
      </c>
      <c r="S798">
        <f>N(S797)+$R798</f>
        <v>0</v>
      </c>
      <c r="T798">
        <f>IF(AND($K798=1,AND(对接源_01水果!$X798="公司筐",N(对接源_01水果!$V798)&lt;&gt;0)),1,0)</f>
        <v>0</v>
      </c>
      <c r="U798">
        <f>N(U797)+$T798</f>
        <v>47</v>
      </c>
      <c r="V798">
        <f>IF(AND($L798=1,AND(对接源_01水果!$X798="自备筐",N(对接源_01水果!$V798)&lt;&gt;0)),1,0)</f>
        <v>0</v>
      </c>
      <c r="W798">
        <f>N(W797)+$V798</f>
        <v>11</v>
      </c>
      <c r="X798">
        <f>IF(AND($L798=1,AND(对接源_01水果!$X798="自备筐",N(对接源_01水果!$T798)&lt;&gt;0)),1,0)</f>
        <v>0</v>
      </c>
      <c r="Y798">
        <f>N(Y797)+$X798</f>
        <v>0</v>
      </c>
      <c r="Z798">
        <f>IF(AND($M798=1,对接源_01水果!$D798="原料入库"),1,0)</f>
        <v>0</v>
      </c>
      <c r="AA798">
        <f>N(AA797)+$Z798</f>
        <v>24</v>
      </c>
      <c r="AB798">
        <f>IF(AND($M798=1,LEFT(对接源_01水果!$D798,4)="原料出库"),1,0)</f>
        <v>0</v>
      </c>
      <c r="AC798">
        <f>N(AC797)+$AB798</f>
        <v>0</v>
      </c>
      <c r="AD798">
        <f>IF(AND($M798=1,LEFT(对接源_01水果!$D798,4)="成品出库"),1,0)</f>
        <v>0</v>
      </c>
      <c r="AE798">
        <f>N(AE797)+$AD798</f>
        <v>0</v>
      </c>
      <c r="AF798">
        <f>IF(AND($N798=1,AND(LEFT(对接源_01水果!$D798,4)="包装物料",N(对接源_01水果!$K798)&lt;&gt;0)),1,0)</f>
        <v>0</v>
      </c>
      <c r="AG798">
        <f>N(AG797)+$AF798</f>
        <v>0</v>
      </c>
      <c r="AH798">
        <f>IF(AND($N798=1,AND(对接源_01水果!$D798="周转筐－销售出库",N(对接源_01水果!$K798)&lt;&gt;0)),1,0)</f>
        <v>0</v>
      </c>
      <c r="AI798">
        <f>N(AI797)+$AH798</f>
        <v>0</v>
      </c>
      <c r="AJ798" s="7" t="n"/>
      <c r="AL798">
        <f>IF(OR($AL$1="",对接源_01水果!$Y798="",对接源_01水果!$Y798&lt;&gt;$AL$1,对接源_01水果!$B798="",N(对接源_01水果!$AJ798)&lt;=0),0,IF(OR(N(对接源_01水果!$B798)&lt;$AL$2,N(对接源_01水果!$B798)&gt;$AL$3),0,1))</f>
        <v>0</v>
      </c>
      <c r="AM798">
        <f>N(AM797)+$AL798</f>
        <v>2</v>
      </c>
      <c r="AN798">
        <f>IF(对接源_01水果!$AC798="","",对接源_01水果!$AC798)</f>
      </c>
      <c r="AO798">
        <f>IF(AN798="",0,IF(MATCH(AN798,$AN$4:$AN$1203,0)=ROW()-3,1,0))</f>
        <v>0</v>
      </c>
      <c r="AP798">
        <f>N(AP797)+$AO798</f>
        <v>13</v>
      </c>
      <c r="AR798">
        <f>IF(OR($AF798=1,$AH798=1),1,0)</f>
        <v>0</v>
      </c>
      <c r="AS798">
        <f>N(AS797)+$AR798</f>
        <v>0</v>
      </c>
    </row>
    <row r="799" ht="14.25" customHeight="1" s="127">
      <c r="A799">
        <f>IF(对接源_01水果!$C799="","",对接源_01水果!$C799)</f>
      </c>
      <c r="B799">
        <f>IF(A799="",0,IF(MATCH(A799,$A$4:$A$2403,0)=ROW()-3,1,0))</f>
        <v>0</v>
      </c>
      <c r="C799">
        <f>N(C798)+B799</f>
        <v>22</v>
      </c>
      <c r="K799">
        <f>IF(OR($K$1="",对接源_01水果!$C799="",对接源_01水果!$C799&lt;&gt;$K$1,对接源_01水果!$B799=""),0,IF(OR(N(对接源_01水果!$B799)&lt;$K$2,N(对接源_01水果!$B799)&gt;$K$3),0,1))</f>
        <v>0</v>
      </c>
      <c r="L799">
        <f>IF(OR($L$1="",对接源_01水果!$C799="",对接源_01水果!$C799&lt;&gt;$L$1,对接源_01水果!$B799=""),0,IF(OR(N(对接源_01水果!$B799)&lt;$L$2,N(对接源_01水果!$B799)&gt;$L$3),0,1))</f>
        <v>0</v>
      </c>
      <c r="M799">
        <f>IF(OR($M$1="",对接源_01水果!$C799="",对接源_01水果!$C799&lt;&gt;$M$1,对接源_01水果!$B799=""),0,IF(OR(N(对接源_01水果!$B799)&lt;$M$2,N(对接源_01水果!$B799)&gt;$M$3),0,1))</f>
        <v>0</v>
      </c>
      <c r="N799">
        <f>IF(OR($N$1="",对接源_01水果!$C799="",对接源_01水果!$C799&lt;&gt;$N$1,对接源_01水果!$B799=""),0,IF(OR(N(对接源_01水果!$B799)&lt;$N$2,N(对接源_01水果!$B799)&gt;$N$3),0,1))</f>
        <v>0</v>
      </c>
      <c r="P799">
        <f>IF(AND($K799=1,AND(对接源_01水果!$X799="公司筐",N(对接源_01水果!$T799)&lt;&gt;0)),1,0)</f>
        <v>0</v>
      </c>
      <c r="Q799">
        <f>N(Q798)+$P799</f>
        <v>0</v>
      </c>
      <c r="R799">
        <f>IF(AND($K799=1,AND(对接源_01水果!$X799="公司筐",N(对接源_01水果!$U799)&lt;&gt;0)),1,0)</f>
        <v>0</v>
      </c>
      <c r="S799">
        <f>N(S798)+$R799</f>
        <v>0</v>
      </c>
      <c r="T799">
        <f>IF(AND($K799=1,AND(对接源_01水果!$X799="公司筐",N(对接源_01水果!$V799)&lt;&gt;0)),1,0)</f>
        <v>0</v>
      </c>
      <c r="U799">
        <f>N(U798)+$T799</f>
        <v>47</v>
      </c>
      <c r="V799">
        <f>IF(AND($L799=1,AND(对接源_01水果!$X799="自备筐",N(对接源_01水果!$V799)&lt;&gt;0)),1,0)</f>
        <v>0</v>
      </c>
      <c r="W799">
        <f>N(W798)+$V799</f>
        <v>11</v>
      </c>
      <c r="X799">
        <f>IF(AND($L799=1,AND(对接源_01水果!$X799="自备筐",N(对接源_01水果!$T799)&lt;&gt;0)),1,0)</f>
        <v>0</v>
      </c>
      <c r="Y799">
        <f>N(Y798)+$X799</f>
        <v>0</v>
      </c>
      <c r="Z799">
        <f>IF(AND($M799=1,对接源_01水果!$D799="原料入库"),1,0)</f>
        <v>0</v>
      </c>
      <c r="AA799">
        <f>N(AA798)+$Z799</f>
        <v>24</v>
      </c>
      <c r="AB799">
        <f>IF(AND($M799=1,LEFT(对接源_01水果!$D799,4)="原料出库"),1,0)</f>
        <v>0</v>
      </c>
      <c r="AC799">
        <f>N(AC798)+$AB799</f>
        <v>0</v>
      </c>
      <c r="AD799">
        <f>IF(AND($M799=1,LEFT(对接源_01水果!$D799,4)="成品出库"),1,0)</f>
        <v>0</v>
      </c>
      <c r="AE799">
        <f>N(AE798)+$AD799</f>
        <v>0</v>
      </c>
      <c r="AF799">
        <f>IF(AND($N799=1,AND(LEFT(对接源_01水果!$D799,4)="包装物料",N(对接源_01水果!$K799)&lt;&gt;0)),1,0)</f>
        <v>0</v>
      </c>
      <c r="AG799">
        <f>N(AG798)+$AF799</f>
        <v>0</v>
      </c>
      <c r="AH799">
        <f>IF(AND($N799=1,AND(对接源_01水果!$D799="周转筐－销售出库",N(对接源_01水果!$K799)&lt;&gt;0)),1,0)</f>
        <v>0</v>
      </c>
      <c r="AI799">
        <f>N(AI798)+$AH799</f>
        <v>0</v>
      </c>
      <c r="AJ799" s="7" t="n"/>
      <c r="AL799">
        <f>IF(OR($AL$1="",对接源_01水果!$Y799="",对接源_01水果!$Y799&lt;&gt;$AL$1,对接源_01水果!$B799="",N(对接源_01水果!$AJ799)&lt;=0),0,IF(OR(N(对接源_01水果!$B799)&lt;$AL$2,N(对接源_01水果!$B799)&gt;$AL$3),0,1))</f>
        <v>0</v>
      </c>
      <c r="AM799">
        <f>N(AM798)+$AL799</f>
        <v>2</v>
      </c>
      <c r="AN799">
        <f>IF(对接源_01水果!$AC799="","",对接源_01水果!$AC799)</f>
      </c>
      <c r="AO799">
        <f>IF(AN799="",0,IF(MATCH(AN799,$AN$4:$AN$1203,0)=ROW()-3,1,0))</f>
        <v>0</v>
      </c>
      <c r="AP799">
        <f>N(AP798)+$AO799</f>
        <v>13</v>
      </c>
      <c r="AR799">
        <f>IF(OR($AF799=1,$AH799=1),1,0)</f>
        <v>0</v>
      </c>
      <c r="AS799">
        <f>N(AS798)+$AR799</f>
        <v>0</v>
      </c>
    </row>
    <row r="800" ht="14.25" customHeight="1" s="127">
      <c r="A800">
        <f>IF(对接源_01水果!$C800="","",对接源_01水果!$C800)</f>
      </c>
      <c r="B800">
        <f>IF(A800="",0,IF(MATCH(A800,$A$4:$A$2403,0)=ROW()-3,1,0))</f>
        <v>0</v>
      </c>
      <c r="C800">
        <f>N(C799)+B800</f>
        <v>22</v>
      </c>
      <c r="K800">
        <f>IF(OR($K$1="",对接源_01水果!$C800="",对接源_01水果!$C800&lt;&gt;$K$1,对接源_01水果!$B800=""),0,IF(OR(N(对接源_01水果!$B800)&lt;$K$2,N(对接源_01水果!$B800)&gt;$K$3),0,1))</f>
        <v>0</v>
      </c>
      <c r="L800">
        <f>IF(OR($L$1="",对接源_01水果!$C800="",对接源_01水果!$C800&lt;&gt;$L$1,对接源_01水果!$B800=""),0,IF(OR(N(对接源_01水果!$B800)&lt;$L$2,N(对接源_01水果!$B800)&gt;$L$3),0,1))</f>
        <v>0</v>
      </c>
      <c r="M800">
        <f>IF(OR($M$1="",对接源_01水果!$C800="",对接源_01水果!$C800&lt;&gt;$M$1,对接源_01水果!$B800=""),0,IF(OR(N(对接源_01水果!$B800)&lt;$M$2,N(对接源_01水果!$B800)&gt;$M$3),0,1))</f>
        <v>0</v>
      </c>
      <c r="N800">
        <f>IF(OR($N$1="",对接源_01水果!$C800="",对接源_01水果!$C800&lt;&gt;$N$1,对接源_01水果!$B800=""),0,IF(OR(N(对接源_01水果!$B800)&lt;$N$2,N(对接源_01水果!$B800)&gt;$N$3),0,1))</f>
        <v>0</v>
      </c>
      <c r="P800">
        <f>IF(AND($K800=1,AND(对接源_01水果!$X800="公司筐",N(对接源_01水果!$T800)&lt;&gt;0)),1,0)</f>
        <v>0</v>
      </c>
      <c r="Q800">
        <f>N(Q799)+$P800</f>
        <v>0</v>
      </c>
      <c r="R800">
        <f>IF(AND($K800=1,AND(对接源_01水果!$X800="公司筐",N(对接源_01水果!$U800)&lt;&gt;0)),1,0)</f>
        <v>0</v>
      </c>
      <c r="S800">
        <f>N(S799)+$R800</f>
        <v>0</v>
      </c>
      <c r="T800">
        <f>IF(AND($K800=1,AND(对接源_01水果!$X800="公司筐",N(对接源_01水果!$V800)&lt;&gt;0)),1,0)</f>
        <v>0</v>
      </c>
      <c r="U800">
        <f>N(U799)+$T800</f>
        <v>47</v>
      </c>
      <c r="V800">
        <f>IF(AND($L800=1,AND(对接源_01水果!$X800="自备筐",N(对接源_01水果!$V800)&lt;&gt;0)),1,0)</f>
        <v>0</v>
      </c>
      <c r="W800">
        <f>N(W799)+$V800</f>
        <v>11</v>
      </c>
      <c r="X800">
        <f>IF(AND($L800=1,AND(对接源_01水果!$X800="自备筐",N(对接源_01水果!$T800)&lt;&gt;0)),1,0)</f>
        <v>0</v>
      </c>
      <c r="Y800">
        <f>N(Y799)+$X800</f>
        <v>0</v>
      </c>
      <c r="Z800">
        <f>IF(AND($M800=1,对接源_01水果!$D800="原料入库"),1,0)</f>
        <v>0</v>
      </c>
      <c r="AA800">
        <f>N(AA799)+$Z800</f>
        <v>24</v>
      </c>
      <c r="AB800">
        <f>IF(AND($M800=1,LEFT(对接源_01水果!$D800,4)="原料出库"),1,0)</f>
        <v>0</v>
      </c>
      <c r="AC800">
        <f>N(AC799)+$AB800</f>
        <v>0</v>
      </c>
      <c r="AD800">
        <f>IF(AND($M800=1,LEFT(对接源_01水果!$D800,4)="成品出库"),1,0)</f>
        <v>0</v>
      </c>
      <c r="AE800">
        <f>N(AE799)+$AD800</f>
        <v>0</v>
      </c>
      <c r="AF800">
        <f>IF(AND($N800=1,AND(LEFT(对接源_01水果!$D800,4)="包装物料",N(对接源_01水果!$K800)&lt;&gt;0)),1,0)</f>
        <v>0</v>
      </c>
      <c r="AG800">
        <f>N(AG799)+$AF800</f>
        <v>0</v>
      </c>
      <c r="AH800">
        <f>IF(AND($N800=1,AND(对接源_01水果!$D800="周转筐－销售出库",N(对接源_01水果!$K800)&lt;&gt;0)),1,0)</f>
        <v>0</v>
      </c>
      <c r="AI800">
        <f>N(AI799)+$AH800</f>
        <v>0</v>
      </c>
      <c r="AJ800" s="7" t="n"/>
      <c r="AL800">
        <f>IF(OR($AL$1="",对接源_01水果!$Y800="",对接源_01水果!$Y800&lt;&gt;$AL$1,对接源_01水果!$B800="",N(对接源_01水果!$AJ800)&lt;=0),0,IF(OR(N(对接源_01水果!$B800)&lt;$AL$2,N(对接源_01水果!$B800)&gt;$AL$3),0,1))</f>
        <v>0</v>
      </c>
      <c r="AM800">
        <f>N(AM799)+$AL800</f>
        <v>2</v>
      </c>
      <c r="AN800">
        <f>IF(对接源_01水果!$AC800="","",对接源_01水果!$AC800)</f>
      </c>
      <c r="AO800">
        <f>IF(AN800="",0,IF(MATCH(AN800,$AN$4:$AN$1203,0)=ROW()-3,1,0))</f>
        <v>0</v>
      </c>
      <c r="AP800">
        <f>N(AP799)+$AO800</f>
        <v>13</v>
      </c>
      <c r="AR800">
        <f>IF(OR($AF800=1,$AH800=1),1,0)</f>
        <v>0</v>
      </c>
      <c r="AS800">
        <f>N(AS799)+$AR800</f>
        <v>0</v>
      </c>
    </row>
    <row r="801" ht="14.25" customHeight="1" s="127">
      <c r="A801">
        <f>IF(对接源_01水果!$C801="","",对接源_01水果!$C801)</f>
      </c>
      <c r="B801">
        <f>IF(A801="",0,IF(MATCH(A801,$A$4:$A$2403,0)=ROW()-3,1,0))</f>
        <v>0</v>
      </c>
      <c r="C801">
        <f>N(C800)+B801</f>
        <v>22</v>
      </c>
      <c r="K801">
        <f>IF(OR($K$1="",对接源_01水果!$C801="",对接源_01水果!$C801&lt;&gt;$K$1,对接源_01水果!$B801=""),0,IF(OR(N(对接源_01水果!$B801)&lt;$K$2,N(对接源_01水果!$B801)&gt;$K$3),0,1))</f>
        <v>0</v>
      </c>
      <c r="L801">
        <f>IF(OR($L$1="",对接源_01水果!$C801="",对接源_01水果!$C801&lt;&gt;$L$1,对接源_01水果!$B801=""),0,IF(OR(N(对接源_01水果!$B801)&lt;$L$2,N(对接源_01水果!$B801)&gt;$L$3),0,1))</f>
        <v>0</v>
      </c>
      <c r="M801">
        <f>IF(OR($M$1="",对接源_01水果!$C801="",对接源_01水果!$C801&lt;&gt;$M$1,对接源_01水果!$B801=""),0,IF(OR(N(对接源_01水果!$B801)&lt;$M$2,N(对接源_01水果!$B801)&gt;$M$3),0,1))</f>
        <v>0</v>
      </c>
      <c r="N801">
        <f>IF(OR($N$1="",对接源_01水果!$C801="",对接源_01水果!$C801&lt;&gt;$N$1,对接源_01水果!$B801=""),0,IF(OR(N(对接源_01水果!$B801)&lt;$N$2,N(对接源_01水果!$B801)&gt;$N$3),0,1))</f>
        <v>0</v>
      </c>
      <c r="P801">
        <f>IF(AND($K801=1,AND(对接源_01水果!$X801="公司筐",N(对接源_01水果!$T801)&lt;&gt;0)),1,0)</f>
        <v>0</v>
      </c>
      <c r="Q801">
        <f>N(Q800)+$P801</f>
        <v>0</v>
      </c>
      <c r="R801">
        <f>IF(AND($K801=1,AND(对接源_01水果!$X801="公司筐",N(对接源_01水果!$U801)&lt;&gt;0)),1,0)</f>
        <v>0</v>
      </c>
      <c r="S801">
        <f>N(S800)+$R801</f>
        <v>0</v>
      </c>
      <c r="T801">
        <f>IF(AND($K801=1,AND(对接源_01水果!$X801="公司筐",N(对接源_01水果!$V801)&lt;&gt;0)),1,0)</f>
        <v>0</v>
      </c>
      <c r="U801">
        <f>N(U800)+$T801</f>
        <v>47</v>
      </c>
      <c r="V801">
        <f>IF(AND($L801=1,AND(对接源_01水果!$X801="自备筐",N(对接源_01水果!$V801)&lt;&gt;0)),1,0)</f>
        <v>0</v>
      </c>
      <c r="W801">
        <f>N(W800)+$V801</f>
        <v>11</v>
      </c>
      <c r="X801">
        <f>IF(AND($L801=1,AND(对接源_01水果!$X801="自备筐",N(对接源_01水果!$T801)&lt;&gt;0)),1,0)</f>
        <v>0</v>
      </c>
      <c r="Y801">
        <f>N(Y800)+$X801</f>
        <v>0</v>
      </c>
      <c r="Z801">
        <f>IF(AND($M801=1,对接源_01水果!$D801="原料入库"),1,0)</f>
        <v>0</v>
      </c>
      <c r="AA801">
        <f>N(AA800)+$Z801</f>
        <v>24</v>
      </c>
      <c r="AB801">
        <f>IF(AND($M801=1,LEFT(对接源_01水果!$D801,4)="原料出库"),1,0)</f>
        <v>0</v>
      </c>
      <c r="AC801">
        <f>N(AC800)+$AB801</f>
        <v>0</v>
      </c>
      <c r="AD801">
        <f>IF(AND($M801=1,LEFT(对接源_01水果!$D801,4)="成品出库"),1,0)</f>
        <v>0</v>
      </c>
      <c r="AE801">
        <f>N(AE800)+$AD801</f>
        <v>0</v>
      </c>
      <c r="AF801">
        <f>IF(AND($N801=1,AND(LEFT(对接源_01水果!$D801,4)="包装物料",N(对接源_01水果!$K801)&lt;&gt;0)),1,0)</f>
        <v>0</v>
      </c>
      <c r="AG801">
        <f>N(AG800)+$AF801</f>
        <v>0</v>
      </c>
      <c r="AH801">
        <f>IF(AND($N801=1,AND(对接源_01水果!$D801="周转筐－销售出库",N(对接源_01水果!$K801)&lt;&gt;0)),1,0)</f>
        <v>0</v>
      </c>
      <c r="AI801">
        <f>N(AI800)+$AH801</f>
        <v>0</v>
      </c>
      <c r="AJ801" s="7" t="n"/>
      <c r="AL801">
        <f>IF(OR($AL$1="",对接源_01水果!$Y801="",对接源_01水果!$Y801&lt;&gt;$AL$1,对接源_01水果!$B801="",N(对接源_01水果!$AJ801)&lt;=0),0,IF(OR(N(对接源_01水果!$B801)&lt;$AL$2,N(对接源_01水果!$B801)&gt;$AL$3),0,1))</f>
        <v>0</v>
      </c>
      <c r="AM801">
        <f>N(AM800)+$AL801</f>
        <v>2</v>
      </c>
      <c r="AN801">
        <f>IF(对接源_01水果!$AC801="","",对接源_01水果!$AC801)</f>
      </c>
      <c r="AO801">
        <f>IF(AN801="",0,IF(MATCH(AN801,$AN$4:$AN$1203,0)=ROW()-3,1,0))</f>
        <v>0</v>
      </c>
      <c r="AP801">
        <f>N(AP800)+$AO801</f>
        <v>13</v>
      </c>
      <c r="AR801">
        <f>IF(OR($AF801=1,$AH801=1),1,0)</f>
        <v>0</v>
      </c>
      <c r="AS801">
        <f>N(AS800)+$AR801</f>
        <v>0</v>
      </c>
    </row>
    <row r="802" ht="14.25" customHeight="1" s="127">
      <c r="A802">
        <f>IF(对接源_01水果!$C802="","",对接源_01水果!$C802)</f>
      </c>
      <c r="B802">
        <f>IF(A802="",0,IF(MATCH(A802,$A$4:$A$2403,0)=ROW()-3,1,0))</f>
        <v>0</v>
      </c>
      <c r="C802">
        <f>N(C801)+B802</f>
        <v>22</v>
      </c>
      <c r="K802">
        <f>IF(OR($K$1="",对接源_01水果!$C802="",对接源_01水果!$C802&lt;&gt;$K$1,对接源_01水果!$B802=""),0,IF(OR(N(对接源_01水果!$B802)&lt;$K$2,N(对接源_01水果!$B802)&gt;$K$3),0,1))</f>
        <v>0</v>
      </c>
      <c r="L802">
        <f>IF(OR($L$1="",对接源_01水果!$C802="",对接源_01水果!$C802&lt;&gt;$L$1,对接源_01水果!$B802=""),0,IF(OR(N(对接源_01水果!$B802)&lt;$L$2,N(对接源_01水果!$B802)&gt;$L$3),0,1))</f>
        <v>0</v>
      </c>
      <c r="M802">
        <f>IF(OR($M$1="",对接源_01水果!$C802="",对接源_01水果!$C802&lt;&gt;$M$1,对接源_01水果!$B802=""),0,IF(OR(N(对接源_01水果!$B802)&lt;$M$2,N(对接源_01水果!$B802)&gt;$M$3),0,1))</f>
        <v>0</v>
      </c>
      <c r="N802">
        <f>IF(OR($N$1="",对接源_01水果!$C802="",对接源_01水果!$C802&lt;&gt;$N$1,对接源_01水果!$B802=""),0,IF(OR(N(对接源_01水果!$B802)&lt;$N$2,N(对接源_01水果!$B802)&gt;$N$3),0,1))</f>
        <v>0</v>
      </c>
      <c r="P802">
        <f>IF(AND($K802=1,AND(对接源_01水果!$X802="公司筐",N(对接源_01水果!$T802)&lt;&gt;0)),1,0)</f>
        <v>0</v>
      </c>
      <c r="Q802">
        <f>N(Q801)+$P802</f>
        <v>0</v>
      </c>
      <c r="R802">
        <f>IF(AND($K802=1,AND(对接源_01水果!$X802="公司筐",N(对接源_01水果!$U802)&lt;&gt;0)),1,0)</f>
        <v>0</v>
      </c>
      <c r="S802">
        <f>N(S801)+$R802</f>
        <v>0</v>
      </c>
      <c r="T802">
        <f>IF(AND($K802=1,AND(对接源_01水果!$X802="公司筐",N(对接源_01水果!$V802)&lt;&gt;0)),1,0)</f>
        <v>0</v>
      </c>
      <c r="U802">
        <f>N(U801)+$T802</f>
        <v>47</v>
      </c>
      <c r="V802">
        <f>IF(AND($L802=1,AND(对接源_01水果!$X802="自备筐",N(对接源_01水果!$V802)&lt;&gt;0)),1,0)</f>
        <v>0</v>
      </c>
      <c r="W802">
        <f>N(W801)+$V802</f>
        <v>11</v>
      </c>
      <c r="X802">
        <f>IF(AND($L802=1,AND(对接源_01水果!$X802="自备筐",N(对接源_01水果!$T802)&lt;&gt;0)),1,0)</f>
        <v>0</v>
      </c>
      <c r="Y802">
        <f>N(Y801)+$X802</f>
        <v>0</v>
      </c>
      <c r="Z802">
        <f>IF(AND($M802=1,对接源_01水果!$D802="原料入库"),1,0)</f>
        <v>0</v>
      </c>
      <c r="AA802">
        <f>N(AA801)+$Z802</f>
        <v>24</v>
      </c>
      <c r="AB802">
        <f>IF(AND($M802=1,LEFT(对接源_01水果!$D802,4)="原料出库"),1,0)</f>
        <v>0</v>
      </c>
      <c r="AC802">
        <f>N(AC801)+$AB802</f>
        <v>0</v>
      </c>
      <c r="AD802">
        <f>IF(AND($M802=1,LEFT(对接源_01水果!$D802,4)="成品出库"),1,0)</f>
        <v>0</v>
      </c>
      <c r="AE802">
        <f>N(AE801)+$AD802</f>
        <v>0</v>
      </c>
      <c r="AF802">
        <f>IF(AND($N802=1,AND(LEFT(对接源_01水果!$D802,4)="包装物料",N(对接源_01水果!$K802)&lt;&gt;0)),1,0)</f>
        <v>0</v>
      </c>
      <c r="AG802">
        <f>N(AG801)+$AF802</f>
        <v>0</v>
      </c>
      <c r="AH802">
        <f>IF(AND($N802=1,AND(对接源_01水果!$D802="周转筐－销售出库",N(对接源_01水果!$K802)&lt;&gt;0)),1,0)</f>
        <v>0</v>
      </c>
      <c r="AI802">
        <f>N(AI801)+$AH802</f>
        <v>0</v>
      </c>
      <c r="AJ802" s="7" t="n"/>
      <c r="AL802">
        <f>IF(OR($AL$1="",对接源_01水果!$Y802="",对接源_01水果!$Y802&lt;&gt;$AL$1,对接源_01水果!$B802="",N(对接源_01水果!$AJ802)&lt;=0),0,IF(OR(N(对接源_01水果!$B802)&lt;$AL$2,N(对接源_01水果!$B802)&gt;$AL$3),0,1))</f>
        <v>0</v>
      </c>
      <c r="AM802">
        <f>N(AM801)+$AL802</f>
        <v>2</v>
      </c>
      <c r="AN802">
        <f>IF(对接源_01水果!$AC802="","",对接源_01水果!$AC802)</f>
      </c>
      <c r="AO802">
        <f>IF(AN802="",0,IF(MATCH(AN802,$AN$4:$AN$1203,0)=ROW()-3,1,0))</f>
        <v>0</v>
      </c>
      <c r="AP802">
        <f>N(AP801)+$AO802</f>
        <v>13</v>
      </c>
      <c r="AR802">
        <f>IF(OR($AF802=1,$AH802=1),1,0)</f>
        <v>0</v>
      </c>
      <c r="AS802">
        <f>N(AS801)+$AR802</f>
        <v>0</v>
      </c>
    </row>
    <row r="803" ht="14.25" customHeight="1" s="127">
      <c r="A803">
        <f>IF(对接源_01水果!$C803="","",对接源_01水果!$C803)</f>
      </c>
      <c r="B803">
        <f>IF(A803="",0,IF(MATCH(A803,$A$4:$A$2403,0)=ROW()-3,1,0))</f>
        <v>0</v>
      </c>
      <c r="C803">
        <f>N(C802)+B803</f>
        <v>22</v>
      </c>
      <c r="K803">
        <f>IF(OR($K$1="",对接源_01水果!$C803="",对接源_01水果!$C803&lt;&gt;$K$1,对接源_01水果!$B803=""),0,IF(OR(N(对接源_01水果!$B803)&lt;$K$2,N(对接源_01水果!$B803)&gt;$K$3),0,1))</f>
        <v>0</v>
      </c>
      <c r="L803">
        <f>IF(OR($L$1="",对接源_01水果!$C803="",对接源_01水果!$C803&lt;&gt;$L$1,对接源_01水果!$B803=""),0,IF(OR(N(对接源_01水果!$B803)&lt;$L$2,N(对接源_01水果!$B803)&gt;$L$3),0,1))</f>
        <v>0</v>
      </c>
      <c r="M803">
        <f>IF(OR($M$1="",对接源_01水果!$C803="",对接源_01水果!$C803&lt;&gt;$M$1,对接源_01水果!$B803=""),0,IF(OR(N(对接源_01水果!$B803)&lt;$M$2,N(对接源_01水果!$B803)&gt;$M$3),0,1))</f>
        <v>0</v>
      </c>
      <c r="N803">
        <f>IF(OR($N$1="",对接源_01水果!$C803="",对接源_01水果!$C803&lt;&gt;$N$1,对接源_01水果!$B803=""),0,IF(OR(N(对接源_01水果!$B803)&lt;$N$2,N(对接源_01水果!$B803)&gt;$N$3),0,1))</f>
        <v>0</v>
      </c>
      <c r="P803">
        <f>IF(AND($K803=1,AND(对接源_01水果!$X803="公司筐",N(对接源_01水果!$T803)&lt;&gt;0)),1,0)</f>
        <v>0</v>
      </c>
      <c r="Q803">
        <f>N(Q802)+$P803</f>
        <v>0</v>
      </c>
      <c r="R803">
        <f>IF(AND($K803=1,AND(对接源_01水果!$X803="公司筐",N(对接源_01水果!$U803)&lt;&gt;0)),1,0)</f>
        <v>0</v>
      </c>
      <c r="S803">
        <f>N(S802)+$R803</f>
        <v>0</v>
      </c>
      <c r="T803">
        <f>IF(AND($K803=1,AND(对接源_01水果!$X803="公司筐",N(对接源_01水果!$V803)&lt;&gt;0)),1,0)</f>
        <v>0</v>
      </c>
      <c r="U803">
        <f>N(U802)+$T803</f>
        <v>47</v>
      </c>
      <c r="V803">
        <f>IF(AND($L803=1,AND(对接源_01水果!$X803="自备筐",N(对接源_01水果!$V803)&lt;&gt;0)),1,0)</f>
        <v>0</v>
      </c>
      <c r="W803">
        <f>N(W802)+$V803</f>
        <v>11</v>
      </c>
      <c r="X803">
        <f>IF(AND($L803=1,AND(对接源_01水果!$X803="自备筐",N(对接源_01水果!$T803)&lt;&gt;0)),1,0)</f>
        <v>0</v>
      </c>
      <c r="Y803">
        <f>N(Y802)+$X803</f>
        <v>0</v>
      </c>
      <c r="Z803">
        <f>IF(AND($M803=1,对接源_01水果!$D803="原料入库"),1,0)</f>
        <v>0</v>
      </c>
      <c r="AA803">
        <f>N(AA802)+$Z803</f>
        <v>24</v>
      </c>
      <c r="AB803">
        <f>IF(AND($M803=1,LEFT(对接源_01水果!$D803,4)="原料出库"),1,0)</f>
        <v>0</v>
      </c>
      <c r="AC803">
        <f>N(AC802)+$AB803</f>
        <v>0</v>
      </c>
      <c r="AD803">
        <f>IF(AND($M803=1,LEFT(对接源_01水果!$D803,4)="成品出库"),1,0)</f>
        <v>0</v>
      </c>
      <c r="AE803">
        <f>N(AE802)+$AD803</f>
        <v>0</v>
      </c>
      <c r="AF803">
        <f>IF(AND($N803=1,AND(LEFT(对接源_01水果!$D803,4)="包装物料",N(对接源_01水果!$K803)&lt;&gt;0)),1,0)</f>
        <v>0</v>
      </c>
      <c r="AG803">
        <f>N(AG802)+$AF803</f>
        <v>0</v>
      </c>
      <c r="AH803">
        <f>IF(AND($N803=1,AND(对接源_01水果!$D803="周转筐－销售出库",N(对接源_01水果!$K803)&lt;&gt;0)),1,0)</f>
        <v>0</v>
      </c>
      <c r="AI803">
        <f>N(AI802)+$AH803</f>
        <v>0</v>
      </c>
      <c r="AJ803" s="7" t="n"/>
      <c r="AL803">
        <f>IF(OR($AL$1="",对接源_01水果!$Y803="",对接源_01水果!$Y803&lt;&gt;$AL$1,对接源_01水果!$B803="",N(对接源_01水果!$AJ803)&lt;=0),0,IF(OR(N(对接源_01水果!$B803)&lt;$AL$2,N(对接源_01水果!$B803)&gt;$AL$3),0,1))</f>
        <v>0</v>
      </c>
      <c r="AM803">
        <f>N(AM802)+$AL803</f>
        <v>2</v>
      </c>
      <c r="AN803">
        <f>IF(对接源_01水果!$AC803="","",对接源_01水果!$AC803)</f>
      </c>
      <c r="AO803">
        <f>IF(AN803="",0,IF(MATCH(AN803,$AN$4:$AN$1203,0)=ROW()-3,1,0))</f>
        <v>0</v>
      </c>
      <c r="AP803">
        <f>N(AP802)+$AO803</f>
        <v>13</v>
      </c>
      <c r="AR803">
        <f>IF(OR($AF803=1,$AH803=1),1,0)</f>
        <v>0</v>
      </c>
      <c r="AS803">
        <f>N(AS802)+$AR803</f>
        <v>0</v>
      </c>
    </row>
    <row r="804" ht="14.25" customHeight="1" s="127">
      <c r="A804">
        <f>IF(对接源_01水果!$C804="","",对接源_01水果!$C804)</f>
      </c>
      <c r="B804">
        <f>IF(A804="",0,IF(MATCH(A804,$A$4:$A$2403,0)=ROW()-3,1,0))</f>
        <v>0</v>
      </c>
      <c r="C804">
        <f>N(C803)+B804</f>
        <v>22</v>
      </c>
      <c r="K804">
        <f>IF(OR($K$1="",对接源_01水果!$C804="",对接源_01水果!$C804&lt;&gt;$K$1,对接源_01水果!$B804=""),0,IF(OR(N(对接源_01水果!$B804)&lt;$K$2,N(对接源_01水果!$B804)&gt;$K$3),0,1))</f>
        <v>0</v>
      </c>
      <c r="L804">
        <f>IF(OR($L$1="",对接源_01水果!$C804="",对接源_01水果!$C804&lt;&gt;$L$1,对接源_01水果!$B804=""),0,IF(OR(N(对接源_01水果!$B804)&lt;$L$2,N(对接源_01水果!$B804)&gt;$L$3),0,1))</f>
        <v>0</v>
      </c>
      <c r="M804">
        <f>IF(OR($M$1="",对接源_01水果!$C804="",对接源_01水果!$C804&lt;&gt;$M$1,对接源_01水果!$B804=""),0,IF(OR(N(对接源_01水果!$B804)&lt;$M$2,N(对接源_01水果!$B804)&gt;$M$3),0,1))</f>
        <v>0</v>
      </c>
      <c r="N804">
        <f>IF(OR($N$1="",对接源_01水果!$C804="",对接源_01水果!$C804&lt;&gt;$N$1,对接源_01水果!$B804=""),0,IF(OR(N(对接源_01水果!$B804)&lt;$N$2,N(对接源_01水果!$B804)&gt;$N$3),0,1))</f>
        <v>0</v>
      </c>
      <c r="P804">
        <f>IF(AND($K804=1,AND(对接源_01水果!$X804="公司筐",N(对接源_01水果!$T804)&lt;&gt;0)),1,0)</f>
        <v>0</v>
      </c>
      <c r="Q804">
        <f>N(Q803)+$P804</f>
        <v>0</v>
      </c>
      <c r="R804">
        <f>IF(AND($K804=1,AND(对接源_01水果!$X804="公司筐",N(对接源_01水果!$U804)&lt;&gt;0)),1,0)</f>
        <v>0</v>
      </c>
      <c r="S804">
        <f>N(S803)+$R804</f>
        <v>0</v>
      </c>
      <c r="T804">
        <f>IF(AND($K804=1,AND(对接源_01水果!$X804="公司筐",N(对接源_01水果!$V804)&lt;&gt;0)),1,0)</f>
        <v>0</v>
      </c>
      <c r="U804">
        <f>N(U803)+$T804</f>
        <v>47</v>
      </c>
      <c r="V804">
        <f>IF(AND($L804=1,AND(对接源_01水果!$X804="自备筐",N(对接源_01水果!$V804)&lt;&gt;0)),1,0)</f>
        <v>0</v>
      </c>
      <c r="W804">
        <f>N(W803)+$V804</f>
        <v>11</v>
      </c>
      <c r="X804">
        <f>IF(AND($L804=1,AND(对接源_01水果!$X804="自备筐",N(对接源_01水果!$T804)&lt;&gt;0)),1,0)</f>
        <v>0</v>
      </c>
      <c r="Y804">
        <f>N(Y803)+$X804</f>
        <v>0</v>
      </c>
      <c r="Z804">
        <f>IF(AND($M804=1,对接源_01水果!$D804="原料入库"),1,0)</f>
        <v>0</v>
      </c>
      <c r="AA804">
        <f>N(AA803)+$Z804</f>
        <v>24</v>
      </c>
      <c r="AB804">
        <f>IF(AND($M804=1,LEFT(对接源_01水果!$D804,4)="原料出库"),1,0)</f>
        <v>0</v>
      </c>
      <c r="AC804">
        <f>N(AC803)+$AB804</f>
        <v>0</v>
      </c>
      <c r="AD804">
        <f>IF(AND($M804=1,LEFT(对接源_01水果!$D804,4)="成品出库"),1,0)</f>
        <v>0</v>
      </c>
      <c r="AE804">
        <f>N(AE803)+$AD804</f>
        <v>0</v>
      </c>
      <c r="AF804">
        <f>IF(AND($N804=1,AND(LEFT(对接源_01水果!$D804,4)="包装物料",N(对接源_01水果!$K804)&lt;&gt;0)),1,0)</f>
        <v>0</v>
      </c>
      <c r="AG804">
        <f>N(AG803)+$AF804</f>
        <v>0</v>
      </c>
      <c r="AH804">
        <f>IF(AND($N804=1,AND(对接源_01水果!$D804="周转筐－销售出库",N(对接源_01水果!$K804)&lt;&gt;0)),1,0)</f>
        <v>0</v>
      </c>
      <c r="AI804">
        <f>N(AI803)+$AH804</f>
        <v>0</v>
      </c>
      <c r="AJ804" s="7" t="n"/>
      <c r="AL804">
        <f>IF(OR($AL$1="",对接源_01水果!$Y804="",对接源_01水果!$Y804&lt;&gt;$AL$1,对接源_01水果!$B804="",N(对接源_01水果!$AJ804)&lt;=0),0,IF(OR(N(对接源_01水果!$B804)&lt;$AL$2,N(对接源_01水果!$B804)&gt;$AL$3),0,1))</f>
        <v>0</v>
      </c>
      <c r="AM804">
        <f>N(AM803)+$AL804</f>
        <v>2</v>
      </c>
      <c r="AN804">
        <f>IF(对接源_01水果!$AC804="","",对接源_01水果!$AC804)</f>
      </c>
      <c r="AO804">
        <f>IF(AN804="",0,IF(MATCH(AN804,$AN$4:$AN$1203,0)=ROW()-3,1,0))</f>
        <v>0</v>
      </c>
      <c r="AP804">
        <f>N(AP803)+$AO804</f>
        <v>13</v>
      </c>
      <c r="AR804">
        <f>IF(OR($AF804=1,$AH804=1),1,0)</f>
        <v>0</v>
      </c>
      <c r="AS804">
        <f>N(AS803)+$AR804</f>
        <v>0</v>
      </c>
    </row>
    <row r="805" ht="14.25" customHeight="1" s="127">
      <c r="A805">
        <f>IF(对接源_01水果!$C805="","",对接源_01水果!$C805)</f>
      </c>
      <c r="B805">
        <f>IF(A805="",0,IF(MATCH(A805,$A$4:$A$2403,0)=ROW()-3,1,0))</f>
        <v>0</v>
      </c>
      <c r="C805">
        <f>N(C804)+B805</f>
        <v>22</v>
      </c>
      <c r="K805">
        <f>IF(OR($K$1="",对接源_01水果!$C805="",对接源_01水果!$C805&lt;&gt;$K$1,对接源_01水果!$B805=""),0,IF(OR(N(对接源_01水果!$B805)&lt;$K$2,N(对接源_01水果!$B805)&gt;$K$3),0,1))</f>
        <v>0</v>
      </c>
      <c r="L805">
        <f>IF(OR($L$1="",对接源_01水果!$C805="",对接源_01水果!$C805&lt;&gt;$L$1,对接源_01水果!$B805=""),0,IF(OR(N(对接源_01水果!$B805)&lt;$L$2,N(对接源_01水果!$B805)&gt;$L$3),0,1))</f>
        <v>0</v>
      </c>
      <c r="M805">
        <f>IF(OR($M$1="",对接源_01水果!$C805="",对接源_01水果!$C805&lt;&gt;$M$1,对接源_01水果!$B805=""),0,IF(OR(N(对接源_01水果!$B805)&lt;$M$2,N(对接源_01水果!$B805)&gt;$M$3),0,1))</f>
        <v>0</v>
      </c>
      <c r="N805">
        <f>IF(OR($N$1="",对接源_01水果!$C805="",对接源_01水果!$C805&lt;&gt;$N$1,对接源_01水果!$B805=""),0,IF(OR(N(对接源_01水果!$B805)&lt;$N$2,N(对接源_01水果!$B805)&gt;$N$3),0,1))</f>
        <v>0</v>
      </c>
      <c r="P805">
        <f>IF(AND($K805=1,AND(对接源_01水果!$X805="公司筐",N(对接源_01水果!$T805)&lt;&gt;0)),1,0)</f>
        <v>0</v>
      </c>
      <c r="Q805">
        <f>N(Q804)+$P805</f>
        <v>0</v>
      </c>
      <c r="R805">
        <f>IF(AND($K805=1,AND(对接源_01水果!$X805="公司筐",N(对接源_01水果!$U805)&lt;&gt;0)),1,0)</f>
        <v>0</v>
      </c>
      <c r="S805">
        <f>N(S804)+$R805</f>
        <v>0</v>
      </c>
      <c r="T805">
        <f>IF(AND($K805=1,AND(对接源_01水果!$X805="公司筐",N(对接源_01水果!$V805)&lt;&gt;0)),1,0)</f>
        <v>0</v>
      </c>
      <c r="U805">
        <f>N(U804)+$T805</f>
        <v>47</v>
      </c>
      <c r="V805">
        <f>IF(AND($L805=1,AND(对接源_01水果!$X805="自备筐",N(对接源_01水果!$V805)&lt;&gt;0)),1,0)</f>
        <v>0</v>
      </c>
      <c r="W805">
        <f>N(W804)+$V805</f>
        <v>11</v>
      </c>
      <c r="X805">
        <f>IF(AND($L805=1,AND(对接源_01水果!$X805="自备筐",N(对接源_01水果!$T805)&lt;&gt;0)),1,0)</f>
        <v>0</v>
      </c>
      <c r="Y805">
        <f>N(Y804)+$X805</f>
        <v>0</v>
      </c>
      <c r="Z805">
        <f>IF(AND($M805=1,对接源_01水果!$D805="原料入库"),1,0)</f>
        <v>0</v>
      </c>
      <c r="AA805">
        <f>N(AA804)+$Z805</f>
        <v>24</v>
      </c>
      <c r="AB805">
        <f>IF(AND($M805=1,LEFT(对接源_01水果!$D805,4)="原料出库"),1,0)</f>
        <v>0</v>
      </c>
      <c r="AC805">
        <f>N(AC804)+$AB805</f>
        <v>0</v>
      </c>
      <c r="AD805">
        <f>IF(AND($M805=1,LEFT(对接源_01水果!$D805,4)="成品出库"),1,0)</f>
        <v>0</v>
      </c>
      <c r="AE805">
        <f>N(AE804)+$AD805</f>
        <v>0</v>
      </c>
      <c r="AF805">
        <f>IF(AND($N805=1,AND(LEFT(对接源_01水果!$D805,4)="包装物料",N(对接源_01水果!$K805)&lt;&gt;0)),1,0)</f>
        <v>0</v>
      </c>
      <c r="AG805">
        <f>N(AG804)+$AF805</f>
        <v>0</v>
      </c>
      <c r="AH805">
        <f>IF(AND($N805=1,AND(对接源_01水果!$D805="周转筐－销售出库",N(对接源_01水果!$K805)&lt;&gt;0)),1,0)</f>
        <v>0</v>
      </c>
      <c r="AI805">
        <f>N(AI804)+$AH805</f>
        <v>0</v>
      </c>
      <c r="AJ805" s="7" t="n"/>
      <c r="AL805">
        <f>IF(OR($AL$1="",对接源_01水果!$Y805="",对接源_01水果!$Y805&lt;&gt;$AL$1,对接源_01水果!$B805="",N(对接源_01水果!$AJ805)&lt;=0),0,IF(OR(N(对接源_01水果!$B805)&lt;$AL$2,N(对接源_01水果!$B805)&gt;$AL$3),0,1))</f>
        <v>0</v>
      </c>
      <c r="AM805">
        <f>N(AM804)+$AL805</f>
        <v>2</v>
      </c>
      <c r="AN805">
        <f>IF(对接源_01水果!$AC805="","",对接源_01水果!$AC805)</f>
      </c>
      <c r="AO805">
        <f>IF(AN805="",0,IF(MATCH(AN805,$AN$4:$AN$1203,0)=ROW()-3,1,0))</f>
        <v>0</v>
      </c>
      <c r="AP805">
        <f>N(AP804)+$AO805</f>
        <v>13</v>
      </c>
      <c r="AR805">
        <f>IF(OR($AF805=1,$AH805=1),1,0)</f>
        <v>0</v>
      </c>
      <c r="AS805">
        <f>N(AS804)+$AR805</f>
        <v>0</v>
      </c>
    </row>
    <row r="806" ht="14.25" customHeight="1" s="127">
      <c r="A806">
        <f>IF(对接源_01水果!$C806="","",对接源_01水果!$C806)</f>
      </c>
      <c r="B806">
        <f>IF(A806="",0,IF(MATCH(A806,$A$4:$A$2403,0)=ROW()-3,1,0))</f>
        <v>0</v>
      </c>
      <c r="C806">
        <f>N(C805)+B806</f>
        <v>22</v>
      </c>
      <c r="K806">
        <f>IF(OR($K$1="",对接源_01水果!$C806="",对接源_01水果!$C806&lt;&gt;$K$1,对接源_01水果!$B806=""),0,IF(OR(N(对接源_01水果!$B806)&lt;$K$2,N(对接源_01水果!$B806)&gt;$K$3),0,1))</f>
        <v>0</v>
      </c>
      <c r="L806">
        <f>IF(OR($L$1="",对接源_01水果!$C806="",对接源_01水果!$C806&lt;&gt;$L$1,对接源_01水果!$B806=""),0,IF(OR(N(对接源_01水果!$B806)&lt;$L$2,N(对接源_01水果!$B806)&gt;$L$3),0,1))</f>
        <v>0</v>
      </c>
      <c r="M806">
        <f>IF(OR($M$1="",对接源_01水果!$C806="",对接源_01水果!$C806&lt;&gt;$M$1,对接源_01水果!$B806=""),0,IF(OR(N(对接源_01水果!$B806)&lt;$M$2,N(对接源_01水果!$B806)&gt;$M$3),0,1))</f>
        <v>0</v>
      </c>
      <c r="N806">
        <f>IF(OR($N$1="",对接源_01水果!$C806="",对接源_01水果!$C806&lt;&gt;$N$1,对接源_01水果!$B806=""),0,IF(OR(N(对接源_01水果!$B806)&lt;$N$2,N(对接源_01水果!$B806)&gt;$N$3),0,1))</f>
        <v>0</v>
      </c>
      <c r="P806">
        <f>IF(AND($K806=1,AND(对接源_01水果!$X806="公司筐",N(对接源_01水果!$T806)&lt;&gt;0)),1,0)</f>
        <v>0</v>
      </c>
      <c r="Q806">
        <f>N(Q805)+$P806</f>
        <v>0</v>
      </c>
      <c r="R806">
        <f>IF(AND($K806=1,AND(对接源_01水果!$X806="公司筐",N(对接源_01水果!$U806)&lt;&gt;0)),1,0)</f>
        <v>0</v>
      </c>
      <c r="S806">
        <f>N(S805)+$R806</f>
        <v>0</v>
      </c>
      <c r="T806">
        <f>IF(AND($K806=1,AND(对接源_01水果!$X806="公司筐",N(对接源_01水果!$V806)&lt;&gt;0)),1,0)</f>
        <v>0</v>
      </c>
      <c r="U806">
        <f>N(U805)+$T806</f>
        <v>47</v>
      </c>
      <c r="V806">
        <f>IF(AND($L806=1,AND(对接源_01水果!$X806="自备筐",N(对接源_01水果!$V806)&lt;&gt;0)),1,0)</f>
        <v>0</v>
      </c>
      <c r="W806">
        <f>N(W805)+$V806</f>
        <v>11</v>
      </c>
      <c r="X806">
        <f>IF(AND($L806=1,AND(对接源_01水果!$X806="自备筐",N(对接源_01水果!$T806)&lt;&gt;0)),1,0)</f>
        <v>0</v>
      </c>
      <c r="Y806">
        <f>N(Y805)+$X806</f>
        <v>0</v>
      </c>
      <c r="Z806">
        <f>IF(AND($M806=1,对接源_01水果!$D806="原料入库"),1,0)</f>
        <v>0</v>
      </c>
      <c r="AA806">
        <f>N(AA805)+$Z806</f>
        <v>24</v>
      </c>
      <c r="AB806">
        <f>IF(AND($M806=1,LEFT(对接源_01水果!$D806,4)="原料出库"),1,0)</f>
        <v>0</v>
      </c>
      <c r="AC806">
        <f>N(AC805)+$AB806</f>
        <v>0</v>
      </c>
      <c r="AD806">
        <f>IF(AND($M806=1,LEFT(对接源_01水果!$D806,4)="成品出库"),1,0)</f>
        <v>0</v>
      </c>
      <c r="AE806">
        <f>N(AE805)+$AD806</f>
        <v>0</v>
      </c>
      <c r="AF806">
        <f>IF(AND($N806=1,AND(LEFT(对接源_01水果!$D806,4)="包装物料",N(对接源_01水果!$K806)&lt;&gt;0)),1,0)</f>
        <v>0</v>
      </c>
      <c r="AG806">
        <f>N(AG805)+$AF806</f>
        <v>0</v>
      </c>
      <c r="AH806">
        <f>IF(AND($N806=1,AND(对接源_01水果!$D806="周转筐－销售出库",N(对接源_01水果!$K806)&lt;&gt;0)),1,0)</f>
        <v>0</v>
      </c>
      <c r="AI806">
        <f>N(AI805)+$AH806</f>
        <v>0</v>
      </c>
      <c r="AJ806" s="7" t="n"/>
      <c r="AL806">
        <f>IF(OR($AL$1="",对接源_01水果!$Y806="",对接源_01水果!$Y806&lt;&gt;$AL$1,对接源_01水果!$B806="",N(对接源_01水果!$AJ806)&lt;=0),0,IF(OR(N(对接源_01水果!$B806)&lt;$AL$2,N(对接源_01水果!$B806)&gt;$AL$3),0,1))</f>
        <v>0</v>
      </c>
      <c r="AM806">
        <f>N(AM805)+$AL806</f>
        <v>2</v>
      </c>
      <c r="AN806">
        <f>IF(对接源_01水果!$AC806="","",对接源_01水果!$AC806)</f>
      </c>
      <c r="AO806">
        <f>IF(AN806="",0,IF(MATCH(AN806,$AN$4:$AN$1203,0)=ROW()-3,1,0))</f>
        <v>0</v>
      </c>
      <c r="AP806">
        <f>N(AP805)+$AO806</f>
        <v>13</v>
      </c>
      <c r="AR806">
        <f>IF(OR($AF806=1,$AH806=1),1,0)</f>
        <v>0</v>
      </c>
      <c r="AS806">
        <f>N(AS805)+$AR806</f>
        <v>0</v>
      </c>
    </row>
    <row r="807" ht="14.25" customHeight="1" s="127">
      <c r="A807">
        <f>IF(对接源_01水果!$C807="","",对接源_01水果!$C807)</f>
      </c>
      <c r="B807">
        <f>IF(A807="",0,IF(MATCH(A807,$A$4:$A$2403,0)=ROW()-3,1,0))</f>
        <v>0</v>
      </c>
      <c r="C807">
        <f>N(C806)+B807</f>
        <v>22</v>
      </c>
      <c r="K807">
        <f>IF(OR($K$1="",对接源_01水果!$C807="",对接源_01水果!$C807&lt;&gt;$K$1,对接源_01水果!$B807=""),0,IF(OR(N(对接源_01水果!$B807)&lt;$K$2,N(对接源_01水果!$B807)&gt;$K$3),0,1))</f>
        <v>0</v>
      </c>
      <c r="L807">
        <f>IF(OR($L$1="",对接源_01水果!$C807="",对接源_01水果!$C807&lt;&gt;$L$1,对接源_01水果!$B807=""),0,IF(OR(N(对接源_01水果!$B807)&lt;$L$2,N(对接源_01水果!$B807)&gt;$L$3),0,1))</f>
        <v>0</v>
      </c>
      <c r="M807">
        <f>IF(OR($M$1="",对接源_01水果!$C807="",对接源_01水果!$C807&lt;&gt;$M$1,对接源_01水果!$B807=""),0,IF(OR(N(对接源_01水果!$B807)&lt;$M$2,N(对接源_01水果!$B807)&gt;$M$3),0,1))</f>
        <v>0</v>
      </c>
      <c r="N807">
        <f>IF(OR($N$1="",对接源_01水果!$C807="",对接源_01水果!$C807&lt;&gt;$N$1,对接源_01水果!$B807=""),0,IF(OR(N(对接源_01水果!$B807)&lt;$N$2,N(对接源_01水果!$B807)&gt;$N$3),0,1))</f>
        <v>0</v>
      </c>
      <c r="P807">
        <f>IF(AND($K807=1,AND(对接源_01水果!$X807="公司筐",N(对接源_01水果!$T807)&lt;&gt;0)),1,0)</f>
        <v>0</v>
      </c>
      <c r="Q807">
        <f>N(Q806)+$P807</f>
        <v>0</v>
      </c>
      <c r="R807">
        <f>IF(AND($K807=1,AND(对接源_01水果!$X807="公司筐",N(对接源_01水果!$U807)&lt;&gt;0)),1,0)</f>
        <v>0</v>
      </c>
      <c r="S807">
        <f>N(S806)+$R807</f>
        <v>0</v>
      </c>
      <c r="T807">
        <f>IF(AND($K807=1,AND(对接源_01水果!$X807="公司筐",N(对接源_01水果!$V807)&lt;&gt;0)),1,0)</f>
        <v>0</v>
      </c>
      <c r="U807">
        <f>N(U806)+$T807</f>
        <v>47</v>
      </c>
      <c r="V807">
        <f>IF(AND($L807=1,AND(对接源_01水果!$X807="自备筐",N(对接源_01水果!$V807)&lt;&gt;0)),1,0)</f>
        <v>0</v>
      </c>
      <c r="W807">
        <f>N(W806)+$V807</f>
        <v>11</v>
      </c>
      <c r="X807">
        <f>IF(AND($L807=1,AND(对接源_01水果!$X807="自备筐",N(对接源_01水果!$T807)&lt;&gt;0)),1,0)</f>
        <v>0</v>
      </c>
      <c r="Y807">
        <f>N(Y806)+$X807</f>
        <v>0</v>
      </c>
      <c r="Z807">
        <f>IF(AND($M807=1,对接源_01水果!$D807="原料入库"),1,0)</f>
        <v>0</v>
      </c>
      <c r="AA807">
        <f>N(AA806)+$Z807</f>
        <v>24</v>
      </c>
      <c r="AB807">
        <f>IF(AND($M807=1,LEFT(对接源_01水果!$D807,4)="原料出库"),1,0)</f>
        <v>0</v>
      </c>
      <c r="AC807">
        <f>N(AC806)+$AB807</f>
        <v>0</v>
      </c>
      <c r="AD807">
        <f>IF(AND($M807=1,LEFT(对接源_01水果!$D807,4)="成品出库"),1,0)</f>
        <v>0</v>
      </c>
      <c r="AE807">
        <f>N(AE806)+$AD807</f>
        <v>0</v>
      </c>
      <c r="AF807">
        <f>IF(AND($N807=1,AND(LEFT(对接源_01水果!$D807,4)="包装物料",N(对接源_01水果!$K807)&lt;&gt;0)),1,0)</f>
        <v>0</v>
      </c>
      <c r="AG807">
        <f>N(AG806)+$AF807</f>
        <v>0</v>
      </c>
      <c r="AH807">
        <f>IF(AND($N807=1,AND(对接源_01水果!$D807="周转筐－销售出库",N(对接源_01水果!$K807)&lt;&gt;0)),1,0)</f>
        <v>0</v>
      </c>
      <c r="AI807">
        <f>N(AI806)+$AH807</f>
        <v>0</v>
      </c>
      <c r="AJ807" s="7" t="n"/>
      <c r="AL807">
        <f>IF(OR($AL$1="",对接源_01水果!$Y807="",对接源_01水果!$Y807&lt;&gt;$AL$1,对接源_01水果!$B807="",N(对接源_01水果!$AJ807)&lt;=0),0,IF(OR(N(对接源_01水果!$B807)&lt;$AL$2,N(对接源_01水果!$B807)&gt;$AL$3),0,1))</f>
        <v>0</v>
      </c>
      <c r="AM807">
        <f>N(AM806)+$AL807</f>
        <v>2</v>
      </c>
      <c r="AN807">
        <f>IF(对接源_01水果!$AC807="","",对接源_01水果!$AC807)</f>
      </c>
      <c r="AO807">
        <f>IF(AN807="",0,IF(MATCH(AN807,$AN$4:$AN$1203,0)=ROW()-3,1,0))</f>
        <v>0</v>
      </c>
      <c r="AP807">
        <f>N(AP806)+$AO807</f>
        <v>13</v>
      </c>
      <c r="AR807">
        <f>IF(OR($AF807=1,$AH807=1),1,0)</f>
        <v>0</v>
      </c>
      <c r="AS807">
        <f>N(AS806)+$AR807</f>
        <v>0</v>
      </c>
    </row>
    <row r="808" ht="14.25" customHeight="1" s="127">
      <c r="A808">
        <f>IF(对接源_01水果!$C808="","",对接源_01水果!$C808)</f>
      </c>
      <c r="B808">
        <f>IF(A808="",0,IF(MATCH(A808,$A$4:$A$2403,0)=ROW()-3,1,0))</f>
        <v>0</v>
      </c>
      <c r="C808">
        <f>N(C807)+B808</f>
        <v>22</v>
      </c>
      <c r="K808">
        <f>IF(OR($K$1="",对接源_01水果!$C808="",对接源_01水果!$C808&lt;&gt;$K$1,对接源_01水果!$B808=""),0,IF(OR(N(对接源_01水果!$B808)&lt;$K$2,N(对接源_01水果!$B808)&gt;$K$3),0,1))</f>
        <v>0</v>
      </c>
      <c r="L808">
        <f>IF(OR($L$1="",对接源_01水果!$C808="",对接源_01水果!$C808&lt;&gt;$L$1,对接源_01水果!$B808=""),0,IF(OR(N(对接源_01水果!$B808)&lt;$L$2,N(对接源_01水果!$B808)&gt;$L$3),0,1))</f>
        <v>0</v>
      </c>
      <c r="M808">
        <f>IF(OR($M$1="",对接源_01水果!$C808="",对接源_01水果!$C808&lt;&gt;$M$1,对接源_01水果!$B808=""),0,IF(OR(N(对接源_01水果!$B808)&lt;$M$2,N(对接源_01水果!$B808)&gt;$M$3),0,1))</f>
        <v>0</v>
      </c>
      <c r="N808">
        <f>IF(OR($N$1="",对接源_01水果!$C808="",对接源_01水果!$C808&lt;&gt;$N$1,对接源_01水果!$B808=""),0,IF(OR(N(对接源_01水果!$B808)&lt;$N$2,N(对接源_01水果!$B808)&gt;$N$3),0,1))</f>
        <v>0</v>
      </c>
      <c r="P808">
        <f>IF(AND($K808=1,AND(对接源_01水果!$X808="公司筐",N(对接源_01水果!$T808)&lt;&gt;0)),1,0)</f>
        <v>0</v>
      </c>
      <c r="Q808">
        <f>N(Q807)+$P808</f>
        <v>0</v>
      </c>
      <c r="R808">
        <f>IF(AND($K808=1,AND(对接源_01水果!$X808="公司筐",N(对接源_01水果!$U808)&lt;&gt;0)),1,0)</f>
        <v>0</v>
      </c>
      <c r="S808">
        <f>N(S807)+$R808</f>
        <v>0</v>
      </c>
      <c r="T808">
        <f>IF(AND($K808=1,AND(对接源_01水果!$X808="公司筐",N(对接源_01水果!$V808)&lt;&gt;0)),1,0)</f>
        <v>0</v>
      </c>
      <c r="U808">
        <f>N(U807)+$T808</f>
        <v>47</v>
      </c>
      <c r="V808">
        <f>IF(AND($L808=1,AND(对接源_01水果!$X808="自备筐",N(对接源_01水果!$V808)&lt;&gt;0)),1,0)</f>
        <v>0</v>
      </c>
      <c r="W808">
        <f>N(W807)+$V808</f>
        <v>11</v>
      </c>
      <c r="X808">
        <f>IF(AND($L808=1,AND(对接源_01水果!$X808="自备筐",N(对接源_01水果!$T808)&lt;&gt;0)),1,0)</f>
        <v>0</v>
      </c>
      <c r="Y808">
        <f>N(Y807)+$X808</f>
        <v>0</v>
      </c>
      <c r="Z808">
        <f>IF(AND($M808=1,对接源_01水果!$D808="原料入库"),1,0)</f>
        <v>0</v>
      </c>
      <c r="AA808">
        <f>N(AA807)+$Z808</f>
        <v>24</v>
      </c>
      <c r="AB808">
        <f>IF(AND($M808=1,LEFT(对接源_01水果!$D808,4)="原料出库"),1,0)</f>
        <v>0</v>
      </c>
      <c r="AC808">
        <f>N(AC807)+$AB808</f>
        <v>0</v>
      </c>
      <c r="AD808">
        <f>IF(AND($M808=1,LEFT(对接源_01水果!$D808,4)="成品出库"),1,0)</f>
        <v>0</v>
      </c>
      <c r="AE808">
        <f>N(AE807)+$AD808</f>
        <v>0</v>
      </c>
      <c r="AF808">
        <f>IF(AND($N808=1,AND(LEFT(对接源_01水果!$D808,4)="包装物料",N(对接源_01水果!$K808)&lt;&gt;0)),1,0)</f>
        <v>0</v>
      </c>
      <c r="AG808">
        <f>N(AG807)+$AF808</f>
        <v>0</v>
      </c>
      <c r="AH808">
        <f>IF(AND($N808=1,AND(对接源_01水果!$D808="周转筐－销售出库",N(对接源_01水果!$K808)&lt;&gt;0)),1,0)</f>
        <v>0</v>
      </c>
      <c r="AI808">
        <f>N(AI807)+$AH808</f>
        <v>0</v>
      </c>
      <c r="AJ808" s="7" t="n"/>
      <c r="AL808">
        <f>IF(OR($AL$1="",对接源_01水果!$Y808="",对接源_01水果!$Y808&lt;&gt;$AL$1,对接源_01水果!$B808="",N(对接源_01水果!$AJ808)&lt;=0),0,IF(OR(N(对接源_01水果!$B808)&lt;$AL$2,N(对接源_01水果!$B808)&gt;$AL$3),0,1))</f>
        <v>0</v>
      </c>
      <c r="AM808">
        <f>N(AM807)+$AL808</f>
        <v>2</v>
      </c>
      <c r="AN808">
        <f>IF(对接源_01水果!$AC808="","",对接源_01水果!$AC808)</f>
      </c>
      <c r="AO808">
        <f>IF(AN808="",0,IF(MATCH(AN808,$AN$4:$AN$1203,0)=ROW()-3,1,0))</f>
        <v>0</v>
      </c>
      <c r="AP808">
        <f>N(AP807)+$AO808</f>
        <v>13</v>
      </c>
      <c r="AR808">
        <f>IF(OR($AF808=1,$AH808=1),1,0)</f>
        <v>0</v>
      </c>
      <c r="AS808">
        <f>N(AS807)+$AR808</f>
        <v>0</v>
      </c>
    </row>
    <row r="809" ht="14.25" customHeight="1" s="127">
      <c r="A809">
        <f>IF(对接源_01水果!$C809="","",对接源_01水果!$C809)</f>
      </c>
      <c r="B809">
        <f>IF(A809="",0,IF(MATCH(A809,$A$4:$A$2403,0)=ROW()-3,1,0))</f>
        <v>0</v>
      </c>
      <c r="C809">
        <f>N(C808)+B809</f>
        <v>22</v>
      </c>
      <c r="K809">
        <f>IF(OR($K$1="",对接源_01水果!$C809="",对接源_01水果!$C809&lt;&gt;$K$1,对接源_01水果!$B809=""),0,IF(OR(N(对接源_01水果!$B809)&lt;$K$2,N(对接源_01水果!$B809)&gt;$K$3),0,1))</f>
        <v>0</v>
      </c>
      <c r="L809">
        <f>IF(OR($L$1="",对接源_01水果!$C809="",对接源_01水果!$C809&lt;&gt;$L$1,对接源_01水果!$B809=""),0,IF(OR(N(对接源_01水果!$B809)&lt;$L$2,N(对接源_01水果!$B809)&gt;$L$3),0,1))</f>
        <v>0</v>
      </c>
      <c r="M809">
        <f>IF(OR($M$1="",对接源_01水果!$C809="",对接源_01水果!$C809&lt;&gt;$M$1,对接源_01水果!$B809=""),0,IF(OR(N(对接源_01水果!$B809)&lt;$M$2,N(对接源_01水果!$B809)&gt;$M$3),0,1))</f>
        <v>0</v>
      </c>
      <c r="N809">
        <f>IF(OR($N$1="",对接源_01水果!$C809="",对接源_01水果!$C809&lt;&gt;$N$1,对接源_01水果!$B809=""),0,IF(OR(N(对接源_01水果!$B809)&lt;$N$2,N(对接源_01水果!$B809)&gt;$N$3),0,1))</f>
        <v>0</v>
      </c>
      <c r="P809">
        <f>IF(AND($K809=1,AND(对接源_01水果!$X809="公司筐",N(对接源_01水果!$T809)&lt;&gt;0)),1,0)</f>
        <v>0</v>
      </c>
      <c r="Q809">
        <f>N(Q808)+$P809</f>
        <v>0</v>
      </c>
      <c r="R809">
        <f>IF(AND($K809=1,AND(对接源_01水果!$X809="公司筐",N(对接源_01水果!$U809)&lt;&gt;0)),1,0)</f>
        <v>0</v>
      </c>
      <c r="S809">
        <f>N(S808)+$R809</f>
        <v>0</v>
      </c>
      <c r="T809">
        <f>IF(AND($K809=1,AND(对接源_01水果!$X809="公司筐",N(对接源_01水果!$V809)&lt;&gt;0)),1,0)</f>
        <v>0</v>
      </c>
      <c r="U809">
        <f>N(U808)+$T809</f>
        <v>47</v>
      </c>
      <c r="V809">
        <f>IF(AND($L809=1,AND(对接源_01水果!$X809="自备筐",N(对接源_01水果!$V809)&lt;&gt;0)),1,0)</f>
        <v>0</v>
      </c>
      <c r="W809">
        <f>N(W808)+$V809</f>
        <v>11</v>
      </c>
      <c r="X809">
        <f>IF(AND($L809=1,AND(对接源_01水果!$X809="自备筐",N(对接源_01水果!$T809)&lt;&gt;0)),1,0)</f>
        <v>0</v>
      </c>
      <c r="Y809">
        <f>N(Y808)+$X809</f>
        <v>0</v>
      </c>
      <c r="Z809">
        <f>IF(AND($M809=1,对接源_01水果!$D809="原料入库"),1,0)</f>
        <v>0</v>
      </c>
      <c r="AA809">
        <f>N(AA808)+$Z809</f>
        <v>24</v>
      </c>
      <c r="AB809">
        <f>IF(AND($M809=1,LEFT(对接源_01水果!$D809,4)="原料出库"),1,0)</f>
        <v>0</v>
      </c>
      <c r="AC809">
        <f>N(AC808)+$AB809</f>
        <v>0</v>
      </c>
      <c r="AD809">
        <f>IF(AND($M809=1,LEFT(对接源_01水果!$D809,4)="成品出库"),1,0)</f>
        <v>0</v>
      </c>
      <c r="AE809">
        <f>N(AE808)+$AD809</f>
        <v>0</v>
      </c>
      <c r="AF809">
        <f>IF(AND($N809=1,AND(LEFT(对接源_01水果!$D809,4)="包装物料",N(对接源_01水果!$K809)&lt;&gt;0)),1,0)</f>
        <v>0</v>
      </c>
      <c r="AG809">
        <f>N(AG808)+$AF809</f>
        <v>0</v>
      </c>
      <c r="AH809">
        <f>IF(AND($N809=1,AND(对接源_01水果!$D809="周转筐－销售出库",N(对接源_01水果!$K809)&lt;&gt;0)),1,0)</f>
        <v>0</v>
      </c>
      <c r="AI809">
        <f>N(AI808)+$AH809</f>
        <v>0</v>
      </c>
      <c r="AJ809" s="7" t="n"/>
      <c r="AL809">
        <f>IF(OR($AL$1="",对接源_01水果!$Y809="",对接源_01水果!$Y809&lt;&gt;$AL$1,对接源_01水果!$B809="",N(对接源_01水果!$AJ809)&lt;=0),0,IF(OR(N(对接源_01水果!$B809)&lt;$AL$2,N(对接源_01水果!$B809)&gt;$AL$3),0,1))</f>
        <v>0</v>
      </c>
      <c r="AM809">
        <f>N(AM808)+$AL809</f>
        <v>2</v>
      </c>
      <c r="AN809">
        <f>IF(对接源_01水果!$AC809="","",对接源_01水果!$AC809)</f>
      </c>
      <c r="AO809">
        <f>IF(AN809="",0,IF(MATCH(AN809,$AN$4:$AN$1203,0)=ROW()-3,1,0))</f>
        <v>0</v>
      </c>
      <c r="AP809">
        <f>N(AP808)+$AO809</f>
        <v>13</v>
      </c>
      <c r="AR809">
        <f>IF(OR($AF809=1,$AH809=1),1,0)</f>
        <v>0</v>
      </c>
      <c r="AS809">
        <f>N(AS808)+$AR809</f>
        <v>0</v>
      </c>
    </row>
    <row r="810" ht="14.25" customHeight="1" s="127">
      <c r="A810">
        <f>IF(对接源_01水果!$C810="","",对接源_01水果!$C810)</f>
      </c>
      <c r="B810">
        <f>IF(A810="",0,IF(MATCH(A810,$A$4:$A$2403,0)=ROW()-3,1,0))</f>
        <v>0</v>
      </c>
      <c r="C810">
        <f>N(C809)+B810</f>
        <v>22</v>
      </c>
      <c r="K810">
        <f>IF(OR($K$1="",对接源_01水果!$C810="",对接源_01水果!$C810&lt;&gt;$K$1,对接源_01水果!$B810=""),0,IF(OR(N(对接源_01水果!$B810)&lt;$K$2,N(对接源_01水果!$B810)&gt;$K$3),0,1))</f>
        <v>0</v>
      </c>
      <c r="L810">
        <f>IF(OR($L$1="",对接源_01水果!$C810="",对接源_01水果!$C810&lt;&gt;$L$1,对接源_01水果!$B810=""),0,IF(OR(N(对接源_01水果!$B810)&lt;$L$2,N(对接源_01水果!$B810)&gt;$L$3),0,1))</f>
        <v>0</v>
      </c>
      <c r="M810">
        <f>IF(OR($M$1="",对接源_01水果!$C810="",对接源_01水果!$C810&lt;&gt;$M$1,对接源_01水果!$B810=""),0,IF(OR(N(对接源_01水果!$B810)&lt;$M$2,N(对接源_01水果!$B810)&gt;$M$3),0,1))</f>
        <v>0</v>
      </c>
      <c r="N810">
        <f>IF(OR($N$1="",对接源_01水果!$C810="",对接源_01水果!$C810&lt;&gt;$N$1,对接源_01水果!$B810=""),0,IF(OR(N(对接源_01水果!$B810)&lt;$N$2,N(对接源_01水果!$B810)&gt;$N$3),0,1))</f>
        <v>0</v>
      </c>
      <c r="P810">
        <f>IF(AND($K810=1,AND(对接源_01水果!$X810="公司筐",N(对接源_01水果!$T810)&lt;&gt;0)),1,0)</f>
        <v>0</v>
      </c>
      <c r="Q810">
        <f>N(Q809)+$P810</f>
        <v>0</v>
      </c>
      <c r="R810">
        <f>IF(AND($K810=1,AND(对接源_01水果!$X810="公司筐",N(对接源_01水果!$U810)&lt;&gt;0)),1,0)</f>
        <v>0</v>
      </c>
      <c r="S810">
        <f>N(S809)+$R810</f>
        <v>0</v>
      </c>
      <c r="T810">
        <f>IF(AND($K810=1,AND(对接源_01水果!$X810="公司筐",N(对接源_01水果!$V810)&lt;&gt;0)),1,0)</f>
        <v>0</v>
      </c>
      <c r="U810">
        <f>N(U809)+$T810</f>
        <v>47</v>
      </c>
      <c r="V810">
        <f>IF(AND($L810=1,AND(对接源_01水果!$X810="自备筐",N(对接源_01水果!$V810)&lt;&gt;0)),1,0)</f>
        <v>0</v>
      </c>
      <c r="W810">
        <f>N(W809)+$V810</f>
        <v>11</v>
      </c>
      <c r="X810">
        <f>IF(AND($L810=1,AND(对接源_01水果!$X810="自备筐",N(对接源_01水果!$T810)&lt;&gt;0)),1,0)</f>
        <v>0</v>
      </c>
      <c r="Y810">
        <f>N(Y809)+$X810</f>
        <v>0</v>
      </c>
      <c r="Z810">
        <f>IF(AND($M810=1,对接源_01水果!$D810="原料入库"),1,0)</f>
        <v>0</v>
      </c>
      <c r="AA810">
        <f>N(AA809)+$Z810</f>
        <v>24</v>
      </c>
      <c r="AB810">
        <f>IF(AND($M810=1,LEFT(对接源_01水果!$D810,4)="原料出库"),1,0)</f>
        <v>0</v>
      </c>
      <c r="AC810">
        <f>N(AC809)+$AB810</f>
        <v>0</v>
      </c>
      <c r="AD810">
        <f>IF(AND($M810=1,LEFT(对接源_01水果!$D810,4)="成品出库"),1,0)</f>
        <v>0</v>
      </c>
      <c r="AE810">
        <f>N(AE809)+$AD810</f>
        <v>0</v>
      </c>
      <c r="AF810">
        <f>IF(AND($N810=1,AND(LEFT(对接源_01水果!$D810,4)="包装物料",N(对接源_01水果!$K810)&lt;&gt;0)),1,0)</f>
        <v>0</v>
      </c>
      <c r="AG810">
        <f>N(AG809)+$AF810</f>
        <v>0</v>
      </c>
      <c r="AH810">
        <f>IF(AND($N810=1,AND(对接源_01水果!$D810="周转筐－销售出库",N(对接源_01水果!$K810)&lt;&gt;0)),1,0)</f>
        <v>0</v>
      </c>
      <c r="AI810">
        <f>N(AI809)+$AH810</f>
        <v>0</v>
      </c>
      <c r="AJ810" s="7" t="n"/>
      <c r="AL810">
        <f>IF(OR($AL$1="",对接源_01水果!$Y810="",对接源_01水果!$Y810&lt;&gt;$AL$1,对接源_01水果!$B810="",N(对接源_01水果!$AJ810)&lt;=0),0,IF(OR(N(对接源_01水果!$B810)&lt;$AL$2,N(对接源_01水果!$B810)&gt;$AL$3),0,1))</f>
        <v>0</v>
      </c>
      <c r="AM810">
        <f>N(AM809)+$AL810</f>
        <v>2</v>
      </c>
      <c r="AN810">
        <f>IF(对接源_01水果!$AC810="","",对接源_01水果!$AC810)</f>
      </c>
      <c r="AO810">
        <f>IF(AN810="",0,IF(MATCH(AN810,$AN$4:$AN$1203,0)=ROW()-3,1,0))</f>
        <v>0</v>
      </c>
      <c r="AP810">
        <f>N(AP809)+$AO810</f>
        <v>13</v>
      </c>
      <c r="AR810">
        <f>IF(OR($AF810=1,$AH810=1),1,0)</f>
        <v>0</v>
      </c>
      <c r="AS810">
        <f>N(AS809)+$AR810</f>
        <v>0</v>
      </c>
    </row>
    <row r="811" ht="14.25" customHeight="1" s="127">
      <c r="A811">
        <f>IF(对接源_01水果!$C811="","",对接源_01水果!$C811)</f>
      </c>
      <c r="B811">
        <f>IF(A811="",0,IF(MATCH(A811,$A$4:$A$2403,0)=ROW()-3,1,0))</f>
        <v>0</v>
      </c>
      <c r="C811">
        <f>N(C810)+B811</f>
        <v>22</v>
      </c>
      <c r="K811">
        <f>IF(OR($K$1="",对接源_01水果!$C811="",对接源_01水果!$C811&lt;&gt;$K$1,对接源_01水果!$B811=""),0,IF(OR(N(对接源_01水果!$B811)&lt;$K$2,N(对接源_01水果!$B811)&gt;$K$3),0,1))</f>
        <v>0</v>
      </c>
      <c r="L811">
        <f>IF(OR($L$1="",对接源_01水果!$C811="",对接源_01水果!$C811&lt;&gt;$L$1,对接源_01水果!$B811=""),0,IF(OR(N(对接源_01水果!$B811)&lt;$L$2,N(对接源_01水果!$B811)&gt;$L$3),0,1))</f>
        <v>0</v>
      </c>
      <c r="M811">
        <f>IF(OR($M$1="",对接源_01水果!$C811="",对接源_01水果!$C811&lt;&gt;$M$1,对接源_01水果!$B811=""),0,IF(OR(N(对接源_01水果!$B811)&lt;$M$2,N(对接源_01水果!$B811)&gt;$M$3),0,1))</f>
        <v>0</v>
      </c>
      <c r="N811">
        <f>IF(OR($N$1="",对接源_01水果!$C811="",对接源_01水果!$C811&lt;&gt;$N$1,对接源_01水果!$B811=""),0,IF(OR(N(对接源_01水果!$B811)&lt;$N$2,N(对接源_01水果!$B811)&gt;$N$3),0,1))</f>
        <v>0</v>
      </c>
      <c r="P811">
        <f>IF(AND($K811=1,AND(对接源_01水果!$X811="公司筐",N(对接源_01水果!$T811)&lt;&gt;0)),1,0)</f>
        <v>0</v>
      </c>
      <c r="Q811">
        <f>N(Q810)+$P811</f>
        <v>0</v>
      </c>
      <c r="R811">
        <f>IF(AND($K811=1,AND(对接源_01水果!$X811="公司筐",N(对接源_01水果!$U811)&lt;&gt;0)),1,0)</f>
        <v>0</v>
      </c>
      <c r="S811">
        <f>N(S810)+$R811</f>
        <v>0</v>
      </c>
      <c r="T811">
        <f>IF(AND($K811=1,AND(对接源_01水果!$X811="公司筐",N(对接源_01水果!$V811)&lt;&gt;0)),1,0)</f>
        <v>0</v>
      </c>
      <c r="U811">
        <f>N(U810)+$T811</f>
        <v>47</v>
      </c>
      <c r="V811">
        <f>IF(AND($L811=1,AND(对接源_01水果!$X811="自备筐",N(对接源_01水果!$V811)&lt;&gt;0)),1,0)</f>
        <v>0</v>
      </c>
      <c r="W811">
        <f>N(W810)+$V811</f>
        <v>11</v>
      </c>
      <c r="X811">
        <f>IF(AND($L811=1,AND(对接源_01水果!$X811="自备筐",N(对接源_01水果!$T811)&lt;&gt;0)),1,0)</f>
        <v>0</v>
      </c>
      <c r="Y811">
        <f>N(Y810)+$X811</f>
        <v>0</v>
      </c>
      <c r="Z811">
        <f>IF(AND($M811=1,对接源_01水果!$D811="原料入库"),1,0)</f>
        <v>0</v>
      </c>
      <c r="AA811">
        <f>N(AA810)+$Z811</f>
        <v>24</v>
      </c>
      <c r="AB811">
        <f>IF(AND($M811=1,LEFT(对接源_01水果!$D811,4)="原料出库"),1,0)</f>
        <v>0</v>
      </c>
      <c r="AC811">
        <f>N(AC810)+$AB811</f>
        <v>0</v>
      </c>
      <c r="AD811">
        <f>IF(AND($M811=1,LEFT(对接源_01水果!$D811,4)="成品出库"),1,0)</f>
        <v>0</v>
      </c>
      <c r="AE811">
        <f>N(AE810)+$AD811</f>
        <v>0</v>
      </c>
      <c r="AF811">
        <f>IF(AND($N811=1,AND(LEFT(对接源_01水果!$D811,4)="包装物料",N(对接源_01水果!$K811)&lt;&gt;0)),1,0)</f>
        <v>0</v>
      </c>
      <c r="AG811">
        <f>N(AG810)+$AF811</f>
        <v>0</v>
      </c>
      <c r="AH811">
        <f>IF(AND($N811=1,AND(对接源_01水果!$D811="周转筐－销售出库",N(对接源_01水果!$K811)&lt;&gt;0)),1,0)</f>
        <v>0</v>
      </c>
      <c r="AI811">
        <f>N(AI810)+$AH811</f>
        <v>0</v>
      </c>
      <c r="AJ811" s="7" t="n"/>
      <c r="AL811">
        <f>IF(OR($AL$1="",对接源_01水果!$Y811="",对接源_01水果!$Y811&lt;&gt;$AL$1,对接源_01水果!$B811="",N(对接源_01水果!$AJ811)&lt;=0),0,IF(OR(N(对接源_01水果!$B811)&lt;$AL$2,N(对接源_01水果!$B811)&gt;$AL$3),0,1))</f>
        <v>0</v>
      </c>
      <c r="AM811">
        <f>N(AM810)+$AL811</f>
        <v>2</v>
      </c>
      <c r="AN811">
        <f>IF(对接源_01水果!$AC811="","",对接源_01水果!$AC811)</f>
      </c>
      <c r="AO811">
        <f>IF(AN811="",0,IF(MATCH(AN811,$AN$4:$AN$1203,0)=ROW()-3,1,0))</f>
        <v>0</v>
      </c>
      <c r="AP811">
        <f>N(AP810)+$AO811</f>
        <v>13</v>
      </c>
      <c r="AR811">
        <f>IF(OR($AF811=1,$AH811=1),1,0)</f>
        <v>0</v>
      </c>
      <c r="AS811">
        <f>N(AS810)+$AR811</f>
        <v>0</v>
      </c>
    </row>
    <row r="812" ht="14.25" customHeight="1" s="127">
      <c r="A812">
        <f>IF(对接源_01水果!$C812="","",对接源_01水果!$C812)</f>
      </c>
      <c r="B812">
        <f>IF(A812="",0,IF(MATCH(A812,$A$4:$A$2403,0)=ROW()-3,1,0))</f>
        <v>0</v>
      </c>
      <c r="C812">
        <f>N(C811)+B812</f>
        <v>22</v>
      </c>
      <c r="K812">
        <f>IF(OR($K$1="",对接源_01水果!$C812="",对接源_01水果!$C812&lt;&gt;$K$1,对接源_01水果!$B812=""),0,IF(OR(N(对接源_01水果!$B812)&lt;$K$2,N(对接源_01水果!$B812)&gt;$K$3),0,1))</f>
        <v>0</v>
      </c>
      <c r="L812">
        <f>IF(OR($L$1="",对接源_01水果!$C812="",对接源_01水果!$C812&lt;&gt;$L$1,对接源_01水果!$B812=""),0,IF(OR(N(对接源_01水果!$B812)&lt;$L$2,N(对接源_01水果!$B812)&gt;$L$3),0,1))</f>
        <v>0</v>
      </c>
      <c r="M812">
        <f>IF(OR($M$1="",对接源_01水果!$C812="",对接源_01水果!$C812&lt;&gt;$M$1,对接源_01水果!$B812=""),0,IF(OR(N(对接源_01水果!$B812)&lt;$M$2,N(对接源_01水果!$B812)&gt;$M$3),0,1))</f>
        <v>0</v>
      </c>
      <c r="N812">
        <f>IF(OR($N$1="",对接源_01水果!$C812="",对接源_01水果!$C812&lt;&gt;$N$1,对接源_01水果!$B812=""),0,IF(OR(N(对接源_01水果!$B812)&lt;$N$2,N(对接源_01水果!$B812)&gt;$N$3),0,1))</f>
        <v>0</v>
      </c>
      <c r="P812">
        <f>IF(AND($K812=1,AND(对接源_01水果!$X812="公司筐",N(对接源_01水果!$T812)&lt;&gt;0)),1,0)</f>
        <v>0</v>
      </c>
      <c r="Q812">
        <f>N(Q811)+$P812</f>
        <v>0</v>
      </c>
      <c r="R812">
        <f>IF(AND($K812=1,AND(对接源_01水果!$X812="公司筐",N(对接源_01水果!$U812)&lt;&gt;0)),1,0)</f>
        <v>0</v>
      </c>
      <c r="S812">
        <f>N(S811)+$R812</f>
        <v>0</v>
      </c>
      <c r="T812">
        <f>IF(AND($K812=1,AND(对接源_01水果!$X812="公司筐",N(对接源_01水果!$V812)&lt;&gt;0)),1,0)</f>
        <v>0</v>
      </c>
      <c r="U812">
        <f>N(U811)+$T812</f>
        <v>47</v>
      </c>
      <c r="V812">
        <f>IF(AND($L812=1,AND(对接源_01水果!$X812="自备筐",N(对接源_01水果!$V812)&lt;&gt;0)),1,0)</f>
        <v>0</v>
      </c>
      <c r="W812">
        <f>N(W811)+$V812</f>
        <v>11</v>
      </c>
      <c r="X812">
        <f>IF(AND($L812=1,AND(对接源_01水果!$X812="自备筐",N(对接源_01水果!$T812)&lt;&gt;0)),1,0)</f>
        <v>0</v>
      </c>
      <c r="Y812">
        <f>N(Y811)+$X812</f>
        <v>0</v>
      </c>
      <c r="Z812">
        <f>IF(AND($M812=1,对接源_01水果!$D812="原料入库"),1,0)</f>
        <v>0</v>
      </c>
      <c r="AA812">
        <f>N(AA811)+$Z812</f>
        <v>24</v>
      </c>
      <c r="AB812">
        <f>IF(AND($M812=1,LEFT(对接源_01水果!$D812,4)="原料出库"),1,0)</f>
        <v>0</v>
      </c>
      <c r="AC812">
        <f>N(AC811)+$AB812</f>
        <v>0</v>
      </c>
      <c r="AD812">
        <f>IF(AND($M812=1,LEFT(对接源_01水果!$D812,4)="成品出库"),1,0)</f>
        <v>0</v>
      </c>
      <c r="AE812">
        <f>N(AE811)+$AD812</f>
        <v>0</v>
      </c>
      <c r="AF812">
        <f>IF(AND($N812=1,AND(LEFT(对接源_01水果!$D812,4)="包装物料",N(对接源_01水果!$K812)&lt;&gt;0)),1,0)</f>
        <v>0</v>
      </c>
      <c r="AG812">
        <f>N(AG811)+$AF812</f>
        <v>0</v>
      </c>
      <c r="AH812">
        <f>IF(AND($N812=1,AND(对接源_01水果!$D812="周转筐－销售出库",N(对接源_01水果!$K812)&lt;&gt;0)),1,0)</f>
        <v>0</v>
      </c>
      <c r="AI812">
        <f>N(AI811)+$AH812</f>
        <v>0</v>
      </c>
      <c r="AJ812" s="7" t="n"/>
      <c r="AL812">
        <f>IF(OR($AL$1="",对接源_01水果!$Y812="",对接源_01水果!$Y812&lt;&gt;$AL$1,对接源_01水果!$B812="",N(对接源_01水果!$AJ812)&lt;=0),0,IF(OR(N(对接源_01水果!$B812)&lt;$AL$2,N(对接源_01水果!$B812)&gt;$AL$3),0,1))</f>
        <v>0</v>
      </c>
      <c r="AM812">
        <f>N(AM811)+$AL812</f>
        <v>2</v>
      </c>
      <c r="AN812">
        <f>IF(对接源_01水果!$AC812="","",对接源_01水果!$AC812)</f>
      </c>
      <c r="AO812">
        <f>IF(AN812="",0,IF(MATCH(AN812,$AN$4:$AN$1203,0)=ROW()-3,1,0))</f>
        <v>0</v>
      </c>
      <c r="AP812">
        <f>N(AP811)+$AO812</f>
        <v>13</v>
      </c>
      <c r="AR812">
        <f>IF(OR($AF812=1,$AH812=1),1,0)</f>
        <v>0</v>
      </c>
      <c r="AS812">
        <f>N(AS811)+$AR812</f>
        <v>0</v>
      </c>
    </row>
    <row r="813" ht="14.25" customHeight="1" s="127">
      <c r="A813">
        <f>IF(对接源_01水果!$C813="","",对接源_01水果!$C813)</f>
      </c>
      <c r="B813">
        <f>IF(A813="",0,IF(MATCH(A813,$A$4:$A$2403,0)=ROW()-3,1,0))</f>
        <v>0</v>
      </c>
      <c r="C813">
        <f>N(C812)+B813</f>
        <v>22</v>
      </c>
      <c r="K813">
        <f>IF(OR($K$1="",对接源_01水果!$C813="",对接源_01水果!$C813&lt;&gt;$K$1,对接源_01水果!$B813=""),0,IF(OR(N(对接源_01水果!$B813)&lt;$K$2,N(对接源_01水果!$B813)&gt;$K$3),0,1))</f>
        <v>0</v>
      </c>
      <c r="L813">
        <f>IF(OR($L$1="",对接源_01水果!$C813="",对接源_01水果!$C813&lt;&gt;$L$1,对接源_01水果!$B813=""),0,IF(OR(N(对接源_01水果!$B813)&lt;$L$2,N(对接源_01水果!$B813)&gt;$L$3),0,1))</f>
        <v>0</v>
      </c>
      <c r="M813">
        <f>IF(OR($M$1="",对接源_01水果!$C813="",对接源_01水果!$C813&lt;&gt;$M$1,对接源_01水果!$B813=""),0,IF(OR(N(对接源_01水果!$B813)&lt;$M$2,N(对接源_01水果!$B813)&gt;$M$3),0,1))</f>
        <v>0</v>
      </c>
      <c r="N813">
        <f>IF(OR($N$1="",对接源_01水果!$C813="",对接源_01水果!$C813&lt;&gt;$N$1,对接源_01水果!$B813=""),0,IF(OR(N(对接源_01水果!$B813)&lt;$N$2,N(对接源_01水果!$B813)&gt;$N$3),0,1))</f>
        <v>0</v>
      </c>
      <c r="P813">
        <f>IF(AND($K813=1,AND(对接源_01水果!$X813="公司筐",N(对接源_01水果!$T813)&lt;&gt;0)),1,0)</f>
        <v>0</v>
      </c>
      <c r="Q813">
        <f>N(Q812)+$P813</f>
        <v>0</v>
      </c>
      <c r="R813">
        <f>IF(AND($K813=1,AND(对接源_01水果!$X813="公司筐",N(对接源_01水果!$U813)&lt;&gt;0)),1,0)</f>
        <v>0</v>
      </c>
      <c r="S813">
        <f>N(S812)+$R813</f>
        <v>0</v>
      </c>
      <c r="T813">
        <f>IF(AND($K813=1,AND(对接源_01水果!$X813="公司筐",N(对接源_01水果!$V813)&lt;&gt;0)),1,0)</f>
        <v>0</v>
      </c>
      <c r="U813">
        <f>N(U812)+$T813</f>
        <v>47</v>
      </c>
      <c r="V813">
        <f>IF(AND($L813=1,AND(对接源_01水果!$X813="自备筐",N(对接源_01水果!$V813)&lt;&gt;0)),1,0)</f>
        <v>0</v>
      </c>
      <c r="W813">
        <f>N(W812)+$V813</f>
        <v>11</v>
      </c>
      <c r="X813">
        <f>IF(AND($L813=1,AND(对接源_01水果!$X813="自备筐",N(对接源_01水果!$T813)&lt;&gt;0)),1,0)</f>
        <v>0</v>
      </c>
      <c r="Y813">
        <f>N(Y812)+$X813</f>
        <v>0</v>
      </c>
      <c r="Z813">
        <f>IF(AND($M813=1,对接源_01水果!$D813="原料入库"),1,0)</f>
        <v>0</v>
      </c>
      <c r="AA813">
        <f>N(AA812)+$Z813</f>
        <v>24</v>
      </c>
      <c r="AB813">
        <f>IF(AND($M813=1,LEFT(对接源_01水果!$D813,4)="原料出库"),1,0)</f>
        <v>0</v>
      </c>
      <c r="AC813">
        <f>N(AC812)+$AB813</f>
        <v>0</v>
      </c>
      <c r="AD813">
        <f>IF(AND($M813=1,LEFT(对接源_01水果!$D813,4)="成品出库"),1,0)</f>
        <v>0</v>
      </c>
      <c r="AE813">
        <f>N(AE812)+$AD813</f>
        <v>0</v>
      </c>
      <c r="AF813">
        <f>IF(AND($N813=1,AND(LEFT(对接源_01水果!$D813,4)="包装物料",N(对接源_01水果!$K813)&lt;&gt;0)),1,0)</f>
        <v>0</v>
      </c>
      <c r="AG813">
        <f>N(AG812)+$AF813</f>
        <v>0</v>
      </c>
      <c r="AH813">
        <f>IF(AND($N813=1,AND(对接源_01水果!$D813="周转筐－销售出库",N(对接源_01水果!$K813)&lt;&gt;0)),1,0)</f>
        <v>0</v>
      </c>
      <c r="AI813">
        <f>N(AI812)+$AH813</f>
        <v>0</v>
      </c>
      <c r="AJ813" s="7" t="n"/>
      <c r="AL813">
        <f>IF(OR($AL$1="",对接源_01水果!$Y813="",对接源_01水果!$Y813&lt;&gt;$AL$1,对接源_01水果!$B813="",N(对接源_01水果!$AJ813)&lt;=0),0,IF(OR(N(对接源_01水果!$B813)&lt;$AL$2,N(对接源_01水果!$B813)&gt;$AL$3),0,1))</f>
        <v>0</v>
      </c>
      <c r="AM813">
        <f>N(AM812)+$AL813</f>
        <v>2</v>
      </c>
      <c r="AN813">
        <f>IF(对接源_01水果!$AC813="","",对接源_01水果!$AC813)</f>
      </c>
      <c r="AO813">
        <f>IF(AN813="",0,IF(MATCH(AN813,$AN$4:$AN$1203,0)=ROW()-3,1,0))</f>
        <v>0</v>
      </c>
      <c r="AP813">
        <f>N(AP812)+$AO813</f>
        <v>13</v>
      </c>
      <c r="AR813">
        <f>IF(OR($AF813=1,$AH813=1),1,0)</f>
        <v>0</v>
      </c>
      <c r="AS813">
        <f>N(AS812)+$AR813</f>
        <v>0</v>
      </c>
    </row>
    <row r="814" ht="14.25" customHeight="1" s="127">
      <c r="A814">
        <f>IF(对接源_01水果!$C814="","",对接源_01水果!$C814)</f>
      </c>
      <c r="B814">
        <f>IF(A814="",0,IF(MATCH(A814,$A$4:$A$2403,0)=ROW()-3,1,0))</f>
        <v>0</v>
      </c>
      <c r="C814">
        <f>N(C813)+B814</f>
        <v>22</v>
      </c>
      <c r="K814">
        <f>IF(OR($K$1="",对接源_01水果!$C814="",对接源_01水果!$C814&lt;&gt;$K$1,对接源_01水果!$B814=""),0,IF(OR(N(对接源_01水果!$B814)&lt;$K$2,N(对接源_01水果!$B814)&gt;$K$3),0,1))</f>
        <v>0</v>
      </c>
      <c r="L814">
        <f>IF(OR($L$1="",对接源_01水果!$C814="",对接源_01水果!$C814&lt;&gt;$L$1,对接源_01水果!$B814=""),0,IF(OR(N(对接源_01水果!$B814)&lt;$L$2,N(对接源_01水果!$B814)&gt;$L$3),0,1))</f>
        <v>0</v>
      </c>
      <c r="M814">
        <f>IF(OR($M$1="",对接源_01水果!$C814="",对接源_01水果!$C814&lt;&gt;$M$1,对接源_01水果!$B814=""),0,IF(OR(N(对接源_01水果!$B814)&lt;$M$2,N(对接源_01水果!$B814)&gt;$M$3),0,1))</f>
        <v>0</v>
      </c>
      <c r="N814">
        <f>IF(OR($N$1="",对接源_01水果!$C814="",对接源_01水果!$C814&lt;&gt;$N$1,对接源_01水果!$B814=""),0,IF(OR(N(对接源_01水果!$B814)&lt;$N$2,N(对接源_01水果!$B814)&gt;$N$3),0,1))</f>
        <v>0</v>
      </c>
      <c r="P814">
        <f>IF(AND($K814=1,AND(对接源_01水果!$X814="公司筐",N(对接源_01水果!$T814)&lt;&gt;0)),1,0)</f>
        <v>0</v>
      </c>
      <c r="Q814">
        <f>N(Q813)+$P814</f>
        <v>0</v>
      </c>
      <c r="R814">
        <f>IF(AND($K814=1,AND(对接源_01水果!$X814="公司筐",N(对接源_01水果!$U814)&lt;&gt;0)),1,0)</f>
        <v>0</v>
      </c>
      <c r="S814">
        <f>N(S813)+$R814</f>
        <v>0</v>
      </c>
      <c r="T814">
        <f>IF(AND($K814=1,AND(对接源_01水果!$X814="公司筐",N(对接源_01水果!$V814)&lt;&gt;0)),1,0)</f>
        <v>0</v>
      </c>
      <c r="U814">
        <f>N(U813)+$T814</f>
        <v>47</v>
      </c>
      <c r="V814">
        <f>IF(AND($L814=1,AND(对接源_01水果!$X814="自备筐",N(对接源_01水果!$V814)&lt;&gt;0)),1,0)</f>
        <v>0</v>
      </c>
      <c r="W814">
        <f>N(W813)+$V814</f>
        <v>11</v>
      </c>
      <c r="X814">
        <f>IF(AND($L814=1,AND(对接源_01水果!$X814="自备筐",N(对接源_01水果!$T814)&lt;&gt;0)),1,0)</f>
        <v>0</v>
      </c>
      <c r="Y814">
        <f>N(Y813)+$X814</f>
        <v>0</v>
      </c>
      <c r="Z814">
        <f>IF(AND($M814=1,对接源_01水果!$D814="原料入库"),1,0)</f>
        <v>0</v>
      </c>
      <c r="AA814">
        <f>N(AA813)+$Z814</f>
        <v>24</v>
      </c>
      <c r="AB814">
        <f>IF(AND($M814=1,LEFT(对接源_01水果!$D814,4)="原料出库"),1,0)</f>
        <v>0</v>
      </c>
      <c r="AC814">
        <f>N(AC813)+$AB814</f>
        <v>0</v>
      </c>
      <c r="AD814">
        <f>IF(AND($M814=1,LEFT(对接源_01水果!$D814,4)="成品出库"),1,0)</f>
        <v>0</v>
      </c>
      <c r="AE814">
        <f>N(AE813)+$AD814</f>
        <v>0</v>
      </c>
      <c r="AF814">
        <f>IF(AND($N814=1,AND(LEFT(对接源_01水果!$D814,4)="包装物料",N(对接源_01水果!$K814)&lt;&gt;0)),1,0)</f>
        <v>0</v>
      </c>
      <c r="AG814">
        <f>N(AG813)+$AF814</f>
        <v>0</v>
      </c>
      <c r="AH814">
        <f>IF(AND($N814=1,AND(对接源_01水果!$D814="周转筐－销售出库",N(对接源_01水果!$K814)&lt;&gt;0)),1,0)</f>
        <v>0</v>
      </c>
      <c r="AI814">
        <f>N(AI813)+$AH814</f>
        <v>0</v>
      </c>
      <c r="AJ814" s="7" t="n"/>
      <c r="AL814">
        <f>IF(OR($AL$1="",对接源_01水果!$Y814="",对接源_01水果!$Y814&lt;&gt;$AL$1,对接源_01水果!$B814="",N(对接源_01水果!$AJ814)&lt;=0),0,IF(OR(N(对接源_01水果!$B814)&lt;$AL$2,N(对接源_01水果!$B814)&gt;$AL$3),0,1))</f>
        <v>0</v>
      </c>
      <c r="AM814">
        <f>N(AM813)+$AL814</f>
        <v>2</v>
      </c>
      <c r="AN814">
        <f>IF(对接源_01水果!$AC814="","",对接源_01水果!$AC814)</f>
      </c>
      <c r="AO814">
        <f>IF(AN814="",0,IF(MATCH(AN814,$AN$4:$AN$1203,0)=ROW()-3,1,0))</f>
        <v>0</v>
      </c>
      <c r="AP814">
        <f>N(AP813)+$AO814</f>
        <v>13</v>
      </c>
      <c r="AR814">
        <f>IF(OR($AF814=1,$AH814=1),1,0)</f>
        <v>0</v>
      </c>
      <c r="AS814">
        <f>N(AS813)+$AR814</f>
        <v>0</v>
      </c>
    </row>
    <row r="815" ht="14.25" customHeight="1" s="127">
      <c r="A815">
        <f>IF(对接源_01水果!$C815="","",对接源_01水果!$C815)</f>
      </c>
      <c r="B815">
        <f>IF(A815="",0,IF(MATCH(A815,$A$4:$A$2403,0)=ROW()-3,1,0))</f>
        <v>0</v>
      </c>
      <c r="C815">
        <f>N(C814)+B815</f>
        <v>22</v>
      </c>
      <c r="K815">
        <f>IF(OR($K$1="",对接源_01水果!$C815="",对接源_01水果!$C815&lt;&gt;$K$1,对接源_01水果!$B815=""),0,IF(OR(N(对接源_01水果!$B815)&lt;$K$2,N(对接源_01水果!$B815)&gt;$K$3),0,1))</f>
        <v>0</v>
      </c>
      <c r="L815">
        <f>IF(OR($L$1="",对接源_01水果!$C815="",对接源_01水果!$C815&lt;&gt;$L$1,对接源_01水果!$B815=""),0,IF(OR(N(对接源_01水果!$B815)&lt;$L$2,N(对接源_01水果!$B815)&gt;$L$3),0,1))</f>
        <v>0</v>
      </c>
      <c r="M815">
        <f>IF(OR($M$1="",对接源_01水果!$C815="",对接源_01水果!$C815&lt;&gt;$M$1,对接源_01水果!$B815=""),0,IF(OR(N(对接源_01水果!$B815)&lt;$M$2,N(对接源_01水果!$B815)&gt;$M$3),0,1))</f>
        <v>0</v>
      </c>
      <c r="N815">
        <f>IF(OR($N$1="",对接源_01水果!$C815="",对接源_01水果!$C815&lt;&gt;$N$1,对接源_01水果!$B815=""),0,IF(OR(N(对接源_01水果!$B815)&lt;$N$2,N(对接源_01水果!$B815)&gt;$N$3),0,1))</f>
        <v>0</v>
      </c>
      <c r="P815">
        <f>IF(AND($K815=1,AND(对接源_01水果!$X815="公司筐",N(对接源_01水果!$T815)&lt;&gt;0)),1,0)</f>
        <v>0</v>
      </c>
      <c r="Q815">
        <f>N(Q814)+$P815</f>
        <v>0</v>
      </c>
      <c r="R815">
        <f>IF(AND($K815=1,AND(对接源_01水果!$X815="公司筐",N(对接源_01水果!$U815)&lt;&gt;0)),1,0)</f>
        <v>0</v>
      </c>
      <c r="S815">
        <f>N(S814)+$R815</f>
        <v>0</v>
      </c>
      <c r="T815">
        <f>IF(AND($K815=1,AND(对接源_01水果!$X815="公司筐",N(对接源_01水果!$V815)&lt;&gt;0)),1,0)</f>
        <v>0</v>
      </c>
      <c r="U815">
        <f>N(U814)+$T815</f>
        <v>47</v>
      </c>
      <c r="V815">
        <f>IF(AND($L815=1,AND(对接源_01水果!$X815="自备筐",N(对接源_01水果!$V815)&lt;&gt;0)),1,0)</f>
        <v>0</v>
      </c>
      <c r="W815">
        <f>N(W814)+$V815</f>
        <v>11</v>
      </c>
      <c r="X815">
        <f>IF(AND($L815=1,AND(对接源_01水果!$X815="自备筐",N(对接源_01水果!$T815)&lt;&gt;0)),1,0)</f>
        <v>0</v>
      </c>
      <c r="Y815">
        <f>N(Y814)+$X815</f>
        <v>0</v>
      </c>
      <c r="Z815">
        <f>IF(AND($M815=1,对接源_01水果!$D815="原料入库"),1,0)</f>
        <v>0</v>
      </c>
      <c r="AA815">
        <f>N(AA814)+$Z815</f>
        <v>24</v>
      </c>
      <c r="AB815">
        <f>IF(AND($M815=1,LEFT(对接源_01水果!$D815,4)="原料出库"),1,0)</f>
        <v>0</v>
      </c>
      <c r="AC815">
        <f>N(AC814)+$AB815</f>
        <v>0</v>
      </c>
      <c r="AD815">
        <f>IF(AND($M815=1,LEFT(对接源_01水果!$D815,4)="成品出库"),1,0)</f>
        <v>0</v>
      </c>
      <c r="AE815">
        <f>N(AE814)+$AD815</f>
        <v>0</v>
      </c>
      <c r="AF815">
        <f>IF(AND($N815=1,AND(LEFT(对接源_01水果!$D815,4)="包装物料",N(对接源_01水果!$K815)&lt;&gt;0)),1,0)</f>
        <v>0</v>
      </c>
      <c r="AG815">
        <f>N(AG814)+$AF815</f>
        <v>0</v>
      </c>
      <c r="AH815">
        <f>IF(AND($N815=1,AND(对接源_01水果!$D815="周转筐－销售出库",N(对接源_01水果!$K815)&lt;&gt;0)),1,0)</f>
        <v>0</v>
      </c>
      <c r="AI815">
        <f>N(AI814)+$AH815</f>
        <v>0</v>
      </c>
      <c r="AJ815" s="7" t="n"/>
      <c r="AL815">
        <f>IF(OR($AL$1="",对接源_01水果!$Y815="",对接源_01水果!$Y815&lt;&gt;$AL$1,对接源_01水果!$B815="",N(对接源_01水果!$AJ815)&lt;=0),0,IF(OR(N(对接源_01水果!$B815)&lt;$AL$2,N(对接源_01水果!$B815)&gt;$AL$3),0,1))</f>
        <v>0</v>
      </c>
      <c r="AM815">
        <f>N(AM814)+$AL815</f>
        <v>2</v>
      </c>
      <c r="AN815">
        <f>IF(对接源_01水果!$AC815="","",对接源_01水果!$AC815)</f>
      </c>
      <c r="AO815">
        <f>IF(AN815="",0,IF(MATCH(AN815,$AN$4:$AN$1203,0)=ROW()-3,1,0))</f>
        <v>0</v>
      </c>
      <c r="AP815">
        <f>N(AP814)+$AO815</f>
        <v>13</v>
      </c>
      <c r="AR815">
        <f>IF(OR($AF815=1,$AH815=1),1,0)</f>
        <v>0</v>
      </c>
      <c r="AS815">
        <f>N(AS814)+$AR815</f>
        <v>0</v>
      </c>
    </row>
    <row r="816" ht="14.25" customHeight="1" s="127">
      <c r="A816">
        <f>IF(对接源_01水果!$C816="","",对接源_01水果!$C816)</f>
      </c>
      <c r="B816">
        <f>IF(A816="",0,IF(MATCH(A816,$A$4:$A$2403,0)=ROW()-3,1,0))</f>
        <v>0</v>
      </c>
      <c r="C816">
        <f>N(C815)+B816</f>
        <v>22</v>
      </c>
      <c r="K816">
        <f>IF(OR($K$1="",对接源_01水果!$C816="",对接源_01水果!$C816&lt;&gt;$K$1,对接源_01水果!$B816=""),0,IF(OR(N(对接源_01水果!$B816)&lt;$K$2,N(对接源_01水果!$B816)&gt;$K$3),0,1))</f>
        <v>0</v>
      </c>
      <c r="L816">
        <f>IF(OR($L$1="",对接源_01水果!$C816="",对接源_01水果!$C816&lt;&gt;$L$1,对接源_01水果!$B816=""),0,IF(OR(N(对接源_01水果!$B816)&lt;$L$2,N(对接源_01水果!$B816)&gt;$L$3),0,1))</f>
        <v>0</v>
      </c>
      <c r="M816">
        <f>IF(OR($M$1="",对接源_01水果!$C816="",对接源_01水果!$C816&lt;&gt;$M$1,对接源_01水果!$B816=""),0,IF(OR(N(对接源_01水果!$B816)&lt;$M$2,N(对接源_01水果!$B816)&gt;$M$3),0,1))</f>
        <v>0</v>
      </c>
      <c r="N816">
        <f>IF(OR($N$1="",对接源_01水果!$C816="",对接源_01水果!$C816&lt;&gt;$N$1,对接源_01水果!$B816=""),0,IF(OR(N(对接源_01水果!$B816)&lt;$N$2,N(对接源_01水果!$B816)&gt;$N$3),0,1))</f>
        <v>0</v>
      </c>
      <c r="P816">
        <f>IF(AND($K816=1,AND(对接源_01水果!$X816="公司筐",N(对接源_01水果!$T816)&lt;&gt;0)),1,0)</f>
        <v>0</v>
      </c>
      <c r="Q816">
        <f>N(Q815)+$P816</f>
        <v>0</v>
      </c>
      <c r="R816">
        <f>IF(AND($K816=1,AND(对接源_01水果!$X816="公司筐",N(对接源_01水果!$U816)&lt;&gt;0)),1,0)</f>
        <v>0</v>
      </c>
      <c r="S816">
        <f>N(S815)+$R816</f>
        <v>0</v>
      </c>
      <c r="T816">
        <f>IF(AND($K816=1,AND(对接源_01水果!$X816="公司筐",N(对接源_01水果!$V816)&lt;&gt;0)),1,0)</f>
        <v>0</v>
      </c>
      <c r="U816">
        <f>N(U815)+$T816</f>
        <v>47</v>
      </c>
      <c r="V816">
        <f>IF(AND($L816=1,AND(对接源_01水果!$X816="自备筐",N(对接源_01水果!$V816)&lt;&gt;0)),1,0)</f>
        <v>0</v>
      </c>
      <c r="W816">
        <f>N(W815)+$V816</f>
        <v>11</v>
      </c>
      <c r="X816">
        <f>IF(AND($L816=1,AND(对接源_01水果!$X816="自备筐",N(对接源_01水果!$T816)&lt;&gt;0)),1,0)</f>
        <v>0</v>
      </c>
      <c r="Y816">
        <f>N(Y815)+$X816</f>
        <v>0</v>
      </c>
      <c r="Z816">
        <f>IF(AND($M816=1,对接源_01水果!$D816="原料入库"),1,0)</f>
        <v>0</v>
      </c>
      <c r="AA816">
        <f>N(AA815)+$Z816</f>
        <v>24</v>
      </c>
      <c r="AB816">
        <f>IF(AND($M816=1,LEFT(对接源_01水果!$D816,4)="原料出库"),1,0)</f>
        <v>0</v>
      </c>
      <c r="AC816">
        <f>N(AC815)+$AB816</f>
        <v>0</v>
      </c>
      <c r="AD816">
        <f>IF(AND($M816=1,LEFT(对接源_01水果!$D816,4)="成品出库"),1,0)</f>
        <v>0</v>
      </c>
      <c r="AE816">
        <f>N(AE815)+$AD816</f>
        <v>0</v>
      </c>
      <c r="AF816">
        <f>IF(AND($N816=1,AND(LEFT(对接源_01水果!$D816,4)="包装物料",N(对接源_01水果!$K816)&lt;&gt;0)),1,0)</f>
        <v>0</v>
      </c>
      <c r="AG816">
        <f>N(AG815)+$AF816</f>
        <v>0</v>
      </c>
      <c r="AH816">
        <f>IF(AND($N816=1,AND(对接源_01水果!$D816="周转筐－销售出库",N(对接源_01水果!$K816)&lt;&gt;0)),1,0)</f>
        <v>0</v>
      </c>
      <c r="AI816">
        <f>N(AI815)+$AH816</f>
        <v>0</v>
      </c>
      <c r="AJ816" s="7" t="n"/>
      <c r="AL816">
        <f>IF(OR($AL$1="",对接源_01水果!$Y816="",对接源_01水果!$Y816&lt;&gt;$AL$1,对接源_01水果!$B816="",N(对接源_01水果!$AJ816)&lt;=0),0,IF(OR(N(对接源_01水果!$B816)&lt;$AL$2,N(对接源_01水果!$B816)&gt;$AL$3),0,1))</f>
        <v>0</v>
      </c>
      <c r="AM816">
        <f>N(AM815)+$AL816</f>
        <v>2</v>
      </c>
      <c r="AN816">
        <f>IF(对接源_01水果!$AC816="","",对接源_01水果!$AC816)</f>
      </c>
      <c r="AO816">
        <f>IF(AN816="",0,IF(MATCH(AN816,$AN$4:$AN$1203,0)=ROW()-3,1,0))</f>
        <v>0</v>
      </c>
      <c r="AP816">
        <f>N(AP815)+$AO816</f>
        <v>13</v>
      </c>
      <c r="AR816">
        <f>IF(OR($AF816=1,$AH816=1),1,0)</f>
        <v>0</v>
      </c>
      <c r="AS816">
        <f>N(AS815)+$AR816</f>
        <v>0</v>
      </c>
    </row>
    <row r="817" ht="14.25" customHeight="1" s="127">
      <c r="A817">
        <f>IF(对接源_01水果!$C817="","",对接源_01水果!$C817)</f>
      </c>
      <c r="B817">
        <f>IF(A817="",0,IF(MATCH(A817,$A$4:$A$2403,0)=ROW()-3,1,0))</f>
        <v>0</v>
      </c>
      <c r="C817">
        <f>N(C816)+B817</f>
        <v>22</v>
      </c>
      <c r="K817">
        <f>IF(OR($K$1="",对接源_01水果!$C817="",对接源_01水果!$C817&lt;&gt;$K$1,对接源_01水果!$B817=""),0,IF(OR(N(对接源_01水果!$B817)&lt;$K$2,N(对接源_01水果!$B817)&gt;$K$3),0,1))</f>
        <v>0</v>
      </c>
      <c r="L817">
        <f>IF(OR($L$1="",对接源_01水果!$C817="",对接源_01水果!$C817&lt;&gt;$L$1,对接源_01水果!$B817=""),0,IF(OR(N(对接源_01水果!$B817)&lt;$L$2,N(对接源_01水果!$B817)&gt;$L$3),0,1))</f>
        <v>0</v>
      </c>
      <c r="M817">
        <f>IF(OR($M$1="",对接源_01水果!$C817="",对接源_01水果!$C817&lt;&gt;$M$1,对接源_01水果!$B817=""),0,IF(OR(N(对接源_01水果!$B817)&lt;$M$2,N(对接源_01水果!$B817)&gt;$M$3),0,1))</f>
        <v>0</v>
      </c>
      <c r="N817">
        <f>IF(OR($N$1="",对接源_01水果!$C817="",对接源_01水果!$C817&lt;&gt;$N$1,对接源_01水果!$B817=""),0,IF(OR(N(对接源_01水果!$B817)&lt;$N$2,N(对接源_01水果!$B817)&gt;$N$3),0,1))</f>
        <v>0</v>
      </c>
      <c r="P817">
        <f>IF(AND($K817=1,AND(对接源_01水果!$X817="公司筐",N(对接源_01水果!$T817)&lt;&gt;0)),1,0)</f>
        <v>0</v>
      </c>
      <c r="Q817">
        <f>N(Q816)+$P817</f>
        <v>0</v>
      </c>
      <c r="R817">
        <f>IF(AND($K817=1,AND(对接源_01水果!$X817="公司筐",N(对接源_01水果!$U817)&lt;&gt;0)),1,0)</f>
        <v>0</v>
      </c>
      <c r="S817">
        <f>N(S816)+$R817</f>
        <v>0</v>
      </c>
      <c r="T817">
        <f>IF(AND($K817=1,AND(对接源_01水果!$X817="公司筐",N(对接源_01水果!$V817)&lt;&gt;0)),1,0)</f>
        <v>0</v>
      </c>
      <c r="U817">
        <f>N(U816)+$T817</f>
        <v>47</v>
      </c>
      <c r="V817">
        <f>IF(AND($L817=1,AND(对接源_01水果!$X817="自备筐",N(对接源_01水果!$V817)&lt;&gt;0)),1,0)</f>
        <v>0</v>
      </c>
      <c r="W817">
        <f>N(W816)+$V817</f>
        <v>11</v>
      </c>
      <c r="X817">
        <f>IF(AND($L817=1,AND(对接源_01水果!$X817="自备筐",N(对接源_01水果!$T817)&lt;&gt;0)),1,0)</f>
        <v>0</v>
      </c>
      <c r="Y817">
        <f>N(Y816)+$X817</f>
        <v>0</v>
      </c>
      <c r="Z817">
        <f>IF(AND($M817=1,对接源_01水果!$D817="原料入库"),1,0)</f>
        <v>0</v>
      </c>
      <c r="AA817">
        <f>N(AA816)+$Z817</f>
        <v>24</v>
      </c>
      <c r="AB817">
        <f>IF(AND($M817=1,LEFT(对接源_01水果!$D817,4)="原料出库"),1,0)</f>
        <v>0</v>
      </c>
      <c r="AC817">
        <f>N(AC816)+$AB817</f>
        <v>0</v>
      </c>
      <c r="AD817">
        <f>IF(AND($M817=1,LEFT(对接源_01水果!$D817,4)="成品出库"),1,0)</f>
        <v>0</v>
      </c>
      <c r="AE817">
        <f>N(AE816)+$AD817</f>
        <v>0</v>
      </c>
      <c r="AF817">
        <f>IF(AND($N817=1,AND(LEFT(对接源_01水果!$D817,4)="包装物料",N(对接源_01水果!$K817)&lt;&gt;0)),1,0)</f>
        <v>0</v>
      </c>
      <c r="AG817">
        <f>N(AG816)+$AF817</f>
        <v>0</v>
      </c>
      <c r="AH817">
        <f>IF(AND($N817=1,AND(对接源_01水果!$D817="周转筐－销售出库",N(对接源_01水果!$K817)&lt;&gt;0)),1,0)</f>
        <v>0</v>
      </c>
      <c r="AI817">
        <f>N(AI816)+$AH817</f>
        <v>0</v>
      </c>
      <c r="AJ817" s="7" t="n"/>
      <c r="AL817">
        <f>IF(OR($AL$1="",对接源_01水果!$Y817="",对接源_01水果!$Y817&lt;&gt;$AL$1,对接源_01水果!$B817="",N(对接源_01水果!$AJ817)&lt;=0),0,IF(OR(N(对接源_01水果!$B817)&lt;$AL$2,N(对接源_01水果!$B817)&gt;$AL$3),0,1))</f>
        <v>0</v>
      </c>
      <c r="AM817">
        <f>N(AM816)+$AL817</f>
        <v>2</v>
      </c>
      <c r="AN817">
        <f>IF(对接源_01水果!$AC817="","",对接源_01水果!$AC817)</f>
      </c>
      <c r="AO817">
        <f>IF(AN817="",0,IF(MATCH(AN817,$AN$4:$AN$1203,0)=ROW()-3,1,0))</f>
        <v>0</v>
      </c>
      <c r="AP817">
        <f>N(AP816)+$AO817</f>
        <v>13</v>
      </c>
      <c r="AR817">
        <f>IF(OR($AF817=1,$AH817=1),1,0)</f>
        <v>0</v>
      </c>
      <c r="AS817">
        <f>N(AS816)+$AR817</f>
        <v>0</v>
      </c>
    </row>
    <row r="818" ht="14.25" customHeight="1" s="127">
      <c r="A818">
        <f>IF(对接源_01水果!$C818="","",对接源_01水果!$C818)</f>
      </c>
      <c r="B818">
        <f>IF(A818="",0,IF(MATCH(A818,$A$4:$A$2403,0)=ROW()-3,1,0))</f>
        <v>0</v>
      </c>
      <c r="C818">
        <f>N(C817)+B818</f>
        <v>22</v>
      </c>
      <c r="K818">
        <f>IF(OR($K$1="",对接源_01水果!$C818="",对接源_01水果!$C818&lt;&gt;$K$1,对接源_01水果!$B818=""),0,IF(OR(N(对接源_01水果!$B818)&lt;$K$2,N(对接源_01水果!$B818)&gt;$K$3),0,1))</f>
        <v>0</v>
      </c>
      <c r="L818">
        <f>IF(OR($L$1="",对接源_01水果!$C818="",对接源_01水果!$C818&lt;&gt;$L$1,对接源_01水果!$B818=""),0,IF(OR(N(对接源_01水果!$B818)&lt;$L$2,N(对接源_01水果!$B818)&gt;$L$3),0,1))</f>
        <v>0</v>
      </c>
      <c r="M818">
        <f>IF(OR($M$1="",对接源_01水果!$C818="",对接源_01水果!$C818&lt;&gt;$M$1,对接源_01水果!$B818=""),0,IF(OR(N(对接源_01水果!$B818)&lt;$M$2,N(对接源_01水果!$B818)&gt;$M$3),0,1))</f>
        <v>0</v>
      </c>
      <c r="N818">
        <f>IF(OR($N$1="",对接源_01水果!$C818="",对接源_01水果!$C818&lt;&gt;$N$1,对接源_01水果!$B818=""),0,IF(OR(N(对接源_01水果!$B818)&lt;$N$2,N(对接源_01水果!$B818)&gt;$N$3),0,1))</f>
        <v>0</v>
      </c>
      <c r="P818">
        <f>IF(AND($K818=1,AND(对接源_01水果!$X818="公司筐",N(对接源_01水果!$T818)&lt;&gt;0)),1,0)</f>
        <v>0</v>
      </c>
      <c r="Q818">
        <f>N(Q817)+$P818</f>
        <v>0</v>
      </c>
      <c r="R818">
        <f>IF(AND($K818=1,AND(对接源_01水果!$X818="公司筐",N(对接源_01水果!$U818)&lt;&gt;0)),1,0)</f>
        <v>0</v>
      </c>
      <c r="S818">
        <f>N(S817)+$R818</f>
        <v>0</v>
      </c>
      <c r="T818">
        <f>IF(AND($K818=1,AND(对接源_01水果!$X818="公司筐",N(对接源_01水果!$V818)&lt;&gt;0)),1,0)</f>
        <v>0</v>
      </c>
      <c r="U818">
        <f>N(U817)+$T818</f>
        <v>47</v>
      </c>
      <c r="V818">
        <f>IF(AND($L818=1,AND(对接源_01水果!$X818="自备筐",N(对接源_01水果!$V818)&lt;&gt;0)),1,0)</f>
        <v>0</v>
      </c>
      <c r="W818">
        <f>N(W817)+$V818</f>
        <v>11</v>
      </c>
      <c r="X818">
        <f>IF(AND($L818=1,AND(对接源_01水果!$X818="自备筐",N(对接源_01水果!$T818)&lt;&gt;0)),1,0)</f>
        <v>0</v>
      </c>
      <c r="Y818">
        <f>N(Y817)+$X818</f>
        <v>0</v>
      </c>
      <c r="Z818">
        <f>IF(AND($M818=1,对接源_01水果!$D818="原料入库"),1,0)</f>
        <v>0</v>
      </c>
      <c r="AA818">
        <f>N(AA817)+$Z818</f>
        <v>24</v>
      </c>
      <c r="AB818">
        <f>IF(AND($M818=1,LEFT(对接源_01水果!$D818,4)="原料出库"),1,0)</f>
        <v>0</v>
      </c>
      <c r="AC818">
        <f>N(AC817)+$AB818</f>
        <v>0</v>
      </c>
      <c r="AD818">
        <f>IF(AND($M818=1,LEFT(对接源_01水果!$D818,4)="成品出库"),1,0)</f>
        <v>0</v>
      </c>
      <c r="AE818">
        <f>N(AE817)+$AD818</f>
        <v>0</v>
      </c>
      <c r="AF818">
        <f>IF(AND($N818=1,AND(LEFT(对接源_01水果!$D818,4)="包装物料",N(对接源_01水果!$K818)&lt;&gt;0)),1,0)</f>
        <v>0</v>
      </c>
      <c r="AG818">
        <f>N(AG817)+$AF818</f>
        <v>0</v>
      </c>
      <c r="AH818">
        <f>IF(AND($N818=1,AND(对接源_01水果!$D818="周转筐－销售出库",N(对接源_01水果!$K818)&lt;&gt;0)),1,0)</f>
        <v>0</v>
      </c>
      <c r="AI818">
        <f>N(AI817)+$AH818</f>
        <v>0</v>
      </c>
      <c r="AJ818" s="7" t="n"/>
      <c r="AL818">
        <f>IF(OR($AL$1="",对接源_01水果!$Y818="",对接源_01水果!$Y818&lt;&gt;$AL$1,对接源_01水果!$B818="",N(对接源_01水果!$AJ818)&lt;=0),0,IF(OR(N(对接源_01水果!$B818)&lt;$AL$2,N(对接源_01水果!$B818)&gt;$AL$3),0,1))</f>
        <v>0</v>
      </c>
      <c r="AM818">
        <f>N(AM817)+$AL818</f>
        <v>2</v>
      </c>
      <c r="AN818">
        <f>IF(对接源_01水果!$AC818="","",对接源_01水果!$AC818)</f>
      </c>
      <c r="AO818">
        <f>IF(AN818="",0,IF(MATCH(AN818,$AN$4:$AN$1203,0)=ROW()-3,1,0))</f>
        <v>0</v>
      </c>
      <c r="AP818">
        <f>N(AP817)+$AO818</f>
        <v>13</v>
      </c>
      <c r="AR818">
        <f>IF(OR($AF818=1,$AH818=1),1,0)</f>
        <v>0</v>
      </c>
      <c r="AS818">
        <f>N(AS817)+$AR818</f>
        <v>0</v>
      </c>
    </row>
    <row r="819" ht="14.25" customHeight="1" s="127">
      <c r="A819">
        <f>IF(对接源_01水果!$C819="","",对接源_01水果!$C819)</f>
      </c>
      <c r="B819">
        <f>IF(A819="",0,IF(MATCH(A819,$A$4:$A$2403,0)=ROW()-3,1,0))</f>
        <v>0</v>
      </c>
      <c r="C819">
        <f>N(C818)+B819</f>
        <v>22</v>
      </c>
      <c r="K819">
        <f>IF(OR($K$1="",对接源_01水果!$C819="",对接源_01水果!$C819&lt;&gt;$K$1,对接源_01水果!$B819=""),0,IF(OR(N(对接源_01水果!$B819)&lt;$K$2,N(对接源_01水果!$B819)&gt;$K$3),0,1))</f>
        <v>0</v>
      </c>
      <c r="L819">
        <f>IF(OR($L$1="",对接源_01水果!$C819="",对接源_01水果!$C819&lt;&gt;$L$1,对接源_01水果!$B819=""),0,IF(OR(N(对接源_01水果!$B819)&lt;$L$2,N(对接源_01水果!$B819)&gt;$L$3),0,1))</f>
        <v>0</v>
      </c>
      <c r="M819">
        <f>IF(OR($M$1="",对接源_01水果!$C819="",对接源_01水果!$C819&lt;&gt;$M$1,对接源_01水果!$B819=""),0,IF(OR(N(对接源_01水果!$B819)&lt;$M$2,N(对接源_01水果!$B819)&gt;$M$3),0,1))</f>
        <v>0</v>
      </c>
      <c r="N819">
        <f>IF(OR($N$1="",对接源_01水果!$C819="",对接源_01水果!$C819&lt;&gt;$N$1,对接源_01水果!$B819=""),0,IF(OR(N(对接源_01水果!$B819)&lt;$N$2,N(对接源_01水果!$B819)&gt;$N$3),0,1))</f>
        <v>0</v>
      </c>
      <c r="P819">
        <f>IF(AND($K819=1,AND(对接源_01水果!$X819="公司筐",N(对接源_01水果!$T819)&lt;&gt;0)),1,0)</f>
        <v>0</v>
      </c>
      <c r="Q819">
        <f>N(Q818)+$P819</f>
        <v>0</v>
      </c>
      <c r="R819">
        <f>IF(AND($K819=1,AND(对接源_01水果!$X819="公司筐",N(对接源_01水果!$U819)&lt;&gt;0)),1,0)</f>
        <v>0</v>
      </c>
      <c r="S819">
        <f>N(S818)+$R819</f>
        <v>0</v>
      </c>
      <c r="T819">
        <f>IF(AND($K819=1,AND(对接源_01水果!$X819="公司筐",N(对接源_01水果!$V819)&lt;&gt;0)),1,0)</f>
        <v>0</v>
      </c>
      <c r="U819">
        <f>N(U818)+$T819</f>
        <v>47</v>
      </c>
      <c r="V819">
        <f>IF(AND($L819=1,AND(对接源_01水果!$X819="自备筐",N(对接源_01水果!$V819)&lt;&gt;0)),1,0)</f>
        <v>0</v>
      </c>
      <c r="W819">
        <f>N(W818)+$V819</f>
        <v>11</v>
      </c>
      <c r="X819">
        <f>IF(AND($L819=1,AND(对接源_01水果!$X819="自备筐",N(对接源_01水果!$T819)&lt;&gt;0)),1,0)</f>
        <v>0</v>
      </c>
      <c r="Y819">
        <f>N(Y818)+$X819</f>
        <v>0</v>
      </c>
      <c r="Z819">
        <f>IF(AND($M819=1,对接源_01水果!$D819="原料入库"),1,0)</f>
        <v>0</v>
      </c>
      <c r="AA819">
        <f>N(AA818)+$Z819</f>
        <v>24</v>
      </c>
      <c r="AB819">
        <f>IF(AND($M819=1,LEFT(对接源_01水果!$D819,4)="原料出库"),1,0)</f>
        <v>0</v>
      </c>
      <c r="AC819">
        <f>N(AC818)+$AB819</f>
        <v>0</v>
      </c>
      <c r="AD819">
        <f>IF(AND($M819=1,LEFT(对接源_01水果!$D819,4)="成品出库"),1,0)</f>
        <v>0</v>
      </c>
      <c r="AE819">
        <f>N(AE818)+$AD819</f>
        <v>0</v>
      </c>
      <c r="AF819">
        <f>IF(AND($N819=1,AND(LEFT(对接源_01水果!$D819,4)="包装物料",N(对接源_01水果!$K819)&lt;&gt;0)),1,0)</f>
        <v>0</v>
      </c>
      <c r="AG819">
        <f>N(AG818)+$AF819</f>
        <v>0</v>
      </c>
      <c r="AH819">
        <f>IF(AND($N819=1,AND(对接源_01水果!$D819="周转筐－销售出库",N(对接源_01水果!$K819)&lt;&gt;0)),1,0)</f>
        <v>0</v>
      </c>
      <c r="AI819">
        <f>N(AI818)+$AH819</f>
        <v>0</v>
      </c>
      <c r="AJ819" s="7" t="n"/>
      <c r="AL819">
        <f>IF(OR($AL$1="",对接源_01水果!$Y819="",对接源_01水果!$Y819&lt;&gt;$AL$1,对接源_01水果!$B819="",N(对接源_01水果!$AJ819)&lt;=0),0,IF(OR(N(对接源_01水果!$B819)&lt;$AL$2,N(对接源_01水果!$B819)&gt;$AL$3),0,1))</f>
        <v>0</v>
      </c>
      <c r="AM819">
        <f>N(AM818)+$AL819</f>
        <v>2</v>
      </c>
      <c r="AN819">
        <f>IF(对接源_01水果!$AC819="","",对接源_01水果!$AC819)</f>
      </c>
      <c r="AO819">
        <f>IF(AN819="",0,IF(MATCH(AN819,$AN$4:$AN$1203,0)=ROW()-3,1,0))</f>
        <v>0</v>
      </c>
      <c r="AP819">
        <f>N(AP818)+$AO819</f>
        <v>13</v>
      </c>
      <c r="AR819">
        <f>IF(OR($AF819=1,$AH819=1),1,0)</f>
        <v>0</v>
      </c>
      <c r="AS819">
        <f>N(AS818)+$AR819</f>
        <v>0</v>
      </c>
    </row>
    <row r="820" ht="14.25" customHeight="1" s="127">
      <c r="A820">
        <f>IF(对接源_01水果!$C820="","",对接源_01水果!$C820)</f>
      </c>
      <c r="B820">
        <f>IF(A820="",0,IF(MATCH(A820,$A$4:$A$2403,0)=ROW()-3,1,0))</f>
        <v>0</v>
      </c>
      <c r="C820">
        <f>N(C819)+B820</f>
        <v>22</v>
      </c>
      <c r="K820">
        <f>IF(OR($K$1="",对接源_01水果!$C820="",对接源_01水果!$C820&lt;&gt;$K$1,对接源_01水果!$B820=""),0,IF(OR(N(对接源_01水果!$B820)&lt;$K$2,N(对接源_01水果!$B820)&gt;$K$3),0,1))</f>
        <v>0</v>
      </c>
      <c r="L820">
        <f>IF(OR($L$1="",对接源_01水果!$C820="",对接源_01水果!$C820&lt;&gt;$L$1,对接源_01水果!$B820=""),0,IF(OR(N(对接源_01水果!$B820)&lt;$L$2,N(对接源_01水果!$B820)&gt;$L$3),0,1))</f>
        <v>0</v>
      </c>
      <c r="M820">
        <f>IF(OR($M$1="",对接源_01水果!$C820="",对接源_01水果!$C820&lt;&gt;$M$1,对接源_01水果!$B820=""),0,IF(OR(N(对接源_01水果!$B820)&lt;$M$2,N(对接源_01水果!$B820)&gt;$M$3),0,1))</f>
        <v>0</v>
      </c>
      <c r="N820">
        <f>IF(OR($N$1="",对接源_01水果!$C820="",对接源_01水果!$C820&lt;&gt;$N$1,对接源_01水果!$B820=""),0,IF(OR(N(对接源_01水果!$B820)&lt;$N$2,N(对接源_01水果!$B820)&gt;$N$3),0,1))</f>
        <v>0</v>
      </c>
      <c r="P820">
        <f>IF(AND($K820=1,AND(对接源_01水果!$X820="公司筐",N(对接源_01水果!$T820)&lt;&gt;0)),1,0)</f>
        <v>0</v>
      </c>
      <c r="Q820">
        <f>N(Q819)+$P820</f>
        <v>0</v>
      </c>
      <c r="R820">
        <f>IF(AND($K820=1,AND(对接源_01水果!$X820="公司筐",N(对接源_01水果!$U820)&lt;&gt;0)),1,0)</f>
        <v>0</v>
      </c>
      <c r="S820">
        <f>N(S819)+$R820</f>
        <v>0</v>
      </c>
      <c r="T820">
        <f>IF(AND($K820=1,AND(对接源_01水果!$X820="公司筐",N(对接源_01水果!$V820)&lt;&gt;0)),1,0)</f>
        <v>0</v>
      </c>
      <c r="U820">
        <f>N(U819)+$T820</f>
        <v>47</v>
      </c>
      <c r="V820">
        <f>IF(AND($L820=1,AND(对接源_01水果!$X820="自备筐",N(对接源_01水果!$V820)&lt;&gt;0)),1,0)</f>
        <v>0</v>
      </c>
      <c r="W820">
        <f>N(W819)+$V820</f>
        <v>11</v>
      </c>
      <c r="X820">
        <f>IF(AND($L820=1,AND(对接源_01水果!$X820="自备筐",N(对接源_01水果!$T820)&lt;&gt;0)),1,0)</f>
        <v>0</v>
      </c>
      <c r="Y820">
        <f>N(Y819)+$X820</f>
        <v>0</v>
      </c>
      <c r="Z820">
        <f>IF(AND($M820=1,对接源_01水果!$D820="原料入库"),1,0)</f>
        <v>0</v>
      </c>
      <c r="AA820">
        <f>N(AA819)+$Z820</f>
        <v>24</v>
      </c>
      <c r="AB820">
        <f>IF(AND($M820=1,LEFT(对接源_01水果!$D820,4)="原料出库"),1,0)</f>
        <v>0</v>
      </c>
      <c r="AC820">
        <f>N(AC819)+$AB820</f>
        <v>0</v>
      </c>
      <c r="AD820">
        <f>IF(AND($M820=1,LEFT(对接源_01水果!$D820,4)="成品出库"),1,0)</f>
        <v>0</v>
      </c>
      <c r="AE820">
        <f>N(AE819)+$AD820</f>
        <v>0</v>
      </c>
      <c r="AF820">
        <f>IF(AND($N820=1,AND(LEFT(对接源_01水果!$D820,4)="包装物料",N(对接源_01水果!$K820)&lt;&gt;0)),1,0)</f>
        <v>0</v>
      </c>
      <c r="AG820">
        <f>N(AG819)+$AF820</f>
        <v>0</v>
      </c>
      <c r="AH820">
        <f>IF(AND($N820=1,AND(对接源_01水果!$D820="周转筐－销售出库",N(对接源_01水果!$K820)&lt;&gt;0)),1,0)</f>
        <v>0</v>
      </c>
      <c r="AI820">
        <f>N(AI819)+$AH820</f>
        <v>0</v>
      </c>
      <c r="AJ820" s="7" t="n"/>
      <c r="AL820">
        <f>IF(OR($AL$1="",对接源_01水果!$Y820="",对接源_01水果!$Y820&lt;&gt;$AL$1,对接源_01水果!$B820="",N(对接源_01水果!$AJ820)&lt;=0),0,IF(OR(N(对接源_01水果!$B820)&lt;$AL$2,N(对接源_01水果!$B820)&gt;$AL$3),0,1))</f>
        <v>0</v>
      </c>
      <c r="AM820">
        <f>N(AM819)+$AL820</f>
        <v>2</v>
      </c>
      <c r="AN820">
        <f>IF(对接源_01水果!$AC820="","",对接源_01水果!$AC820)</f>
      </c>
      <c r="AO820">
        <f>IF(AN820="",0,IF(MATCH(AN820,$AN$4:$AN$1203,0)=ROW()-3,1,0))</f>
        <v>0</v>
      </c>
      <c r="AP820">
        <f>N(AP819)+$AO820</f>
        <v>13</v>
      </c>
      <c r="AR820">
        <f>IF(OR($AF820=1,$AH820=1),1,0)</f>
        <v>0</v>
      </c>
      <c r="AS820">
        <f>N(AS819)+$AR820</f>
        <v>0</v>
      </c>
    </row>
    <row r="821" ht="14.25" customHeight="1" s="127">
      <c r="A821">
        <f>IF(对接源_01水果!$C821="","",对接源_01水果!$C821)</f>
      </c>
      <c r="B821">
        <f>IF(A821="",0,IF(MATCH(A821,$A$4:$A$2403,0)=ROW()-3,1,0))</f>
        <v>0</v>
      </c>
      <c r="C821">
        <f>N(C820)+B821</f>
        <v>22</v>
      </c>
      <c r="K821">
        <f>IF(OR($K$1="",对接源_01水果!$C821="",对接源_01水果!$C821&lt;&gt;$K$1,对接源_01水果!$B821=""),0,IF(OR(N(对接源_01水果!$B821)&lt;$K$2,N(对接源_01水果!$B821)&gt;$K$3),0,1))</f>
        <v>0</v>
      </c>
      <c r="L821">
        <f>IF(OR($L$1="",对接源_01水果!$C821="",对接源_01水果!$C821&lt;&gt;$L$1,对接源_01水果!$B821=""),0,IF(OR(N(对接源_01水果!$B821)&lt;$L$2,N(对接源_01水果!$B821)&gt;$L$3),0,1))</f>
        <v>0</v>
      </c>
      <c r="M821">
        <f>IF(OR($M$1="",对接源_01水果!$C821="",对接源_01水果!$C821&lt;&gt;$M$1,对接源_01水果!$B821=""),0,IF(OR(N(对接源_01水果!$B821)&lt;$M$2,N(对接源_01水果!$B821)&gt;$M$3),0,1))</f>
        <v>0</v>
      </c>
      <c r="N821">
        <f>IF(OR($N$1="",对接源_01水果!$C821="",对接源_01水果!$C821&lt;&gt;$N$1,对接源_01水果!$B821=""),0,IF(OR(N(对接源_01水果!$B821)&lt;$N$2,N(对接源_01水果!$B821)&gt;$N$3),0,1))</f>
        <v>0</v>
      </c>
      <c r="P821">
        <f>IF(AND($K821=1,AND(对接源_01水果!$X821="公司筐",N(对接源_01水果!$T821)&lt;&gt;0)),1,0)</f>
        <v>0</v>
      </c>
      <c r="Q821">
        <f>N(Q820)+$P821</f>
        <v>0</v>
      </c>
      <c r="R821">
        <f>IF(AND($K821=1,AND(对接源_01水果!$X821="公司筐",N(对接源_01水果!$U821)&lt;&gt;0)),1,0)</f>
        <v>0</v>
      </c>
      <c r="S821">
        <f>N(S820)+$R821</f>
        <v>0</v>
      </c>
      <c r="T821">
        <f>IF(AND($K821=1,AND(对接源_01水果!$X821="公司筐",N(对接源_01水果!$V821)&lt;&gt;0)),1,0)</f>
        <v>0</v>
      </c>
      <c r="U821">
        <f>N(U820)+$T821</f>
        <v>47</v>
      </c>
      <c r="V821">
        <f>IF(AND($L821=1,AND(对接源_01水果!$X821="自备筐",N(对接源_01水果!$V821)&lt;&gt;0)),1,0)</f>
        <v>0</v>
      </c>
      <c r="W821">
        <f>N(W820)+$V821</f>
        <v>11</v>
      </c>
      <c r="X821">
        <f>IF(AND($L821=1,AND(对接源_01水果!$X821="自备筐",N(对接源_01水果!$T821)&lt;&gt;0)),1,0)</f>
        <v>0</v>
      </c>
      <c r="Y821">
        <f>N(Y820)+$X821</f>
        <v>0</v>
      </c>
      <c r="Z821">
        <f>IF(AND($M821=1,对接源_01水果!$D821="原料入库"),1,0)</f>
        <v>0</v>
      </c>
      <c r="AA821">
        <f>N(AA820)+$Z821</f>
        <v>24</v>
      </c>
      <c r="AB821">
        <f>IF(AND($M821=1,LEFT(对接源_01水果!$D821,4)="原料出库"),1,0)</f>
        <v>0</v>
      </c>
      <c r="AC821">
        <f>N(AC820)+$AB821</f>
        <v>0</v>
      </c>
      <c r="AD821">
        <f>IF(AND($M821=1,LEFT(对接源_01水果!$D821,4)="成品出库"),1,0)</f>
        <v>0</v>
      </c>
      <c r="AE821">
        <f>N(AE820)+$AD821</f>
        <v>0</v>
      </c>
      <c r="AF821">
        <f>IF(AND($N821=1,AND(LEFT(对接源_01水果!$D821,4)="包装物料",N(对接源_01水果!$K821)&lt;&gt;0)),1,0)</f>
        <v>0</v>
      </c>
      <c r="AG821">
        <f>N(AG820)+$AF821</f>
        <v>0</v>
      </c>
      <c r="AH821">
        <f>IF(AND($N821=1,AND(对接源_01水果!$D821="周转筐－销售出库",N(对接源_01水果!$K821)&lt;&gt;0)),1,0)</f>
        <v>0</v>
      </c>
      <c r="AI821">
        <f>N(AI820)+$AH821</f>
        <v>0</v>
      </c>
      <c r="AJ821" s="7" t="n"/>
      <c r="AL821">
        <f>IF(OR($AL$1="",对接源_01水果!$Y821="",对接源_01水果!$Y821&lt;&gt;$AL$1,对接源_01水果!$B821="",N(对接源_01水果!$AJ821)&lt;=0),0,IF(OR(N(对接源_01水果!$B821)&lt;$AL$2,N(对接源_01水果!$B821)&gt;$AL$3),0,1))</f>
        <v>0</v>
      </c>
      <c r="AM821">
        <f>N(AM820)+$AL821</f>
        <v>2</v>
      </c>
      <c r="AN821">
        <f>IF(对接源_01水果!$AC821="","",对接源_01水果!$AC821)</f>
      </c>
      <c r="AO821">
        <f>IF(AN821="",0,IF(MATCH(AN821,$AN$4:$AN$1203,0)=ROW()-3,1,0))</f>
        <v>0</v>
      </c>
      <c r="AP821">
        <f>N(AP820)+$AO821</f>
        <v>13</v>
      </c>
      <c r="AR821">
        <f>IF(OR($AF821=1,$AH821=1),1,0)</f>
        <v>0</v>
      </c>
      <c r="AS821">
        <f>N(AS820)+$AR821</f>
        <v>0</v>
      </c>
    </row>
    <row r="822" ht="14.25" customHeight="1" s="127">
      <c r="A822">
        <f>IF(对接源_01水果!$C822="","",对接源_01水果!$C822)</f>
      </c>
      <c r="B822">
        <f>IF(A822="",0,IF(MATCH(A822,$A$4:$A$2403,0)=ROW()-3,1,0))</f>
        <v>0</v>
      </c>
      <c r="C822">
        <f>N(C821)+B822</f>
        <v>22</v>
      </c>
      <c r="K822">
        <f>IF(OR($K$1="",对接源_01水果!$C822="",对接源_01水果!$C822&lt;&gt;$K$1,对接源_01水果!$B822=""),0,IF(OR(N(对接源_01水果!$B822)&lt;$K$2,N(对接源_01水果!$B822)&gt;$K$3),0,1))</f>
        <v>0</v>
      </c>
      <c r="L822">
        <f>IF(OR($L$1="",对接源_01水果!$C822="",对接源_01水果!$C822&lt;&gt;$L$1,对接源_01水果!$B822=""),0,IF(OR(N(对接源_01水果!$B822)&lt;$L$2,N(对接源_01水果!$B822)&gt;$L$3),0,1))</f>
        <v>0</v>
      </c>
      <c r="M822">
        <f>IF(OR($M$1="",对接源_01水果!$C822="",对接源_01水果!$C822&lt;&gt;$M$1,对接源_01水果!$B822=""),0,IF(OR(N(对接源_01水果!$B822)&lt;$M$2,N(对接源_01水果!$B822)&gt;$M$3),0,1))</f>
        <v>0</v>
      </c>
      <c r="N822">
        <f>IF(OR($N$1="",对接源_01水果!$C822="",对接源_01水果!$C822&lt;&gt;$N$1,对接源_01水果!$B822=""),0,IF(OR(N(对接源_01水果!$B822)&lt;$N$2,N(对接源_01水果!$B822)&gt;$N$3),0,1))</f>
        <v>0</v>
      </c>
      <c r="P822">
        <f>IF(AND($K822=1,AND(对接源_01水果!$X822="公司筐",N(对接源_01水果!$T822)&lt;&gt;0)),1,0)</f>
        <v>0</v>
      </c>
      <c r="Q822">
        <f>N(Q821)+$P822</f>
        <v>0</v>
      </c>
      <c r="R822">
        <f>IF(AND($K822=1,AND(对接源_01水果!$X822="公司筐",N(对接源_01水果!$U822)&lt;&gt;0)),1,0)</f>
        <v>0</v>
      </c>
      <c r="S822">
        <f>N(S821)+$R822</f>
        <v>0</v>
      </c>
      <c r="T822">
        <f>IF(AND($K822=1,AND(对接源_01水果!$X822="公司筐",N(对接源_01水果!$V822)&lt;&gt;0)),1,0)</f>
        <v>0</v>
      </c>
      <c r="U822">
        <f>N(U821)+$T822</f>
        <v>47</v>
      </c>
      <c r="V822">
        <f>IF(AND($L822=1,AND(对接源_01水果!$X822="自备筐",N(对接源_01水果!$V822)&lt;&gt;0)),1,0)</f>
        <v>0</v>
      </c>
      <c r="W822">
        <f>N(W821)+$V822</f>
        <v>11</v>
      </c>
      <c r="X822">
        <f>IF(AND($L822=1,AND(对接源_01水果!$X822="自备筐",N(对接源_01水果!$T822)&lt;&gt;0)),1,0)</f>
        <v>0</v>
      </c>
      <c r="Y822">
        <f>N(Y821)+$X822</f>
        <v>0</v>
      </c>
      <c r="Z822">
        <f>IF(AND($M822=1,对接源_01水果!$D822="原料入库"),1,0)</f>
        <v>0</v>
      </c>
      <c r="AA822">
        <f>N(AA821)+$Z822</f>
        <v>24</v>
      </c>
      <c r="AB822">
        <f>IF(AND($M822=1,LEFT(对接源_01水果!$D822,4)="原料出库"),1,0)</f>
        <v>0</v>
      </c>
      <c r="AC822">
        <f>N(AC821)+$AB822</f>
        <v>0</v>
      </c>
      <c r="AD822">
        <f>IF(AND($M822=1,LEFT(对接源_01水果!$D822,4)="成品出库"),1,0)</f>
        <v>0</v>
      </c>
      <c r="AE822">
        <f>N(AE821)+$AD822</f>
        <v>0</v>
      </c>
      <c r="AF822">
        <f>IF(AND($N822=1,AND(LEFT(对接源_01水果!$D822,4)="包装物料",N(对接源_01水果!$K822)&lt;&gt;0)),1,0)</f>
        <v>0</v>
      </c>
      <c r="AG822">
        <f>N(AG821)+$AF822</f>
        <v>0</v>
      </c>
      <c r="AH822">
        <f>IF(AND($N822=1,AND(对接源_01水果!$D822="周转筐－销售出库",N(对接源_01水果!$K822)&lt;&gt;0)),1,0)</f>
        <v>0</v>
      </c>
      <c r="AI822">
        <f>N(AI821)+$AH822</f>
        <v>0</v>
      </c>
      <c r="AJ822" s="7" t="n"/>
      <c r="AL822">
        <f>IF(OR($AL$1="",对接源_01水果!$Y822="",对接源_01水果!$Y822&lt;&gt;$AL$1,对接源_01水果!$B822="",N(对接源_01水果!$AJ822)&lt;=0),0,IF(OR(N(对接源_01水果!$B822)&lt;$AL$2,N(对接源_01水果!$B822)&gt;$AL$3),0,1))</f>
        <v>0</v>
      </c>
      <c r="AM822">
        <f>N(AM821)+$AL822</f>
        <v>2</v>
      </c>
      <c r="AN822">
        <f>IF(对接源_01水果!$AC822="","",对接源_01水果!$AC822)</f>
      </c>
      <c r="AO822">
        <f>IF(AN822="",0,IF(MATCH(AN822,$AN$4:$AN$1203,0)=ROW()-3,1,0))</f>
        <v>0</v>
      </c>
      <c r="AP822">
        <f>N(AP821)+$AO822</f>
        <v>13</v>
      </c>
      <c r="AR822">
        <f>IF(OR($AF822=1,$AH822=1),1,0)</f>
        <v>0</v>
      </c>
      <c r="AS822">
        <f>N(AS821)+$AR822</f>
        <v>0</v>
      </c>
    </row>
    <row r="823" ht="14.25" customHeight="1" s="127">
      <c r="A823">
        <f>IF(对接源_01水果!$C823="","",对接源_01水果!$C823)</f>
      </c>
      <c r="B823">
        <f>IF(A823="",0,IF(MATCH(A823,$A$4:$A$2403,0)=ROW()-3,1,0))</f>
        <v>0</v>
      </c>
      <c r="C823">
        <f>N(C822)+B823</f>
        <v>22</v>
      </c>
      <c r="K823">
        <f>IF(OR($K$1="",对接源_01水果!$C823="",对接源_01水果!$C823&lt;&gt;$K$1,对接源_01水果!$B823=""),0,IF(OR(N(对接源_01水果!$B823)&lt;$K$2,N(对接源_01水果!$B823)&gt;$K$3),0,1))</f>
        <v>0</v>
      </c>
      <c r="L823">
        <f>IF(OR($L$1="",对接源_01水果!$C823="",对接源_01水果!$C823&lt;&gt;$L$1,对接源_01水果!$B823=""),0,IF(OR(N(对接源_01水果!$B823)&lt;$L$2,N(对接源_01水果!$B823)&gt;$L$3),0,1))</f>
        <v>0</v>
      </c>
      <c r="M823">
        <f>IF(OR($M$1="",对接源_01水果!$C823="",对接源_01水果!$C823&lt;&gt;$M$1,对接源_01水果!$B823=""),0,IF(OR(N(对接源_01水果!$B823)&lt;$M$2,N(对接源_01水果!$B823)&gt;$M$3),0,1))</f>
        <v>0</v>
      </c>
      <c r="N823">
        <f>IF(OR($N$1="",对接源_01水果!$C823="",对接源_01水果!$C823&lt;&gt;$N$1,对接源_01水果!$B823=""),0,IF(OR(N(对接源_01水果!$B823)&lt;$N$2,N(对接源_01水果!$B823)&gt;$N$3),0,1))</f>
        <v>0</v>
      </c>
      <c r="P823">
        <f>IF(AND($K823=1,AND(对接源_01水果!$X823="公司筐",N(对接源_01水果!$T823)&lt;&gt;0)),1,0)</f>
        <v>0</v>
      </c>
      <c r="Q823">
        <f>N(Q822)+$P823</f>
        <v>0</v>
      </c>
      <c r="R823">
        <f>IF(AND($K823=1,AND(对接源_01水果!$X823="公司筐",N(对接源_01水果!$U823)&lt;&gt;0)),1,0)</f>
        <v>0</v>
      </c>
      <c r="S823">
        <f>N(S822)+$R823</f>
        <v>0</v>
      </c>
      <c r="T823">
        <f>IF(AND($K823=1,AND(对接源_01水果!$X823="公司筐",N(对接源_01水果!$V823)&lt;&gt;0)),1,0)</f>
        <v>0</v>
      </c>
      <c r="U823">
        <f>N(U822)+$T823</f>
        <v>47</v>
      </c>
      <c r="V823">
        <f>IF(AND($L823=1,AND(对接源_01水果!$X823="自备筐",N(对接源_01水果!$V823)&lt;&gt;0)),1,0)</f>
        <v>0</v>
      </c>
      <c r="W823">
        <f>N(W822)+$V823</f>
        <v>11</v>
      </c>
      <c r="X823">
        <f>IF(AND($L823=1,AND(对接源_01水果!$X823="自备筐",N(对接源_01水果!$T823)&lt;&gt;0)),1,0)</f>
        <v>0</v>
      </c>
      <c r="Y823">
        <f>N(Y822)+$X823</f>
        <v>0</v>
      </c>
      <c r="Z823">
        <f>IF(AND($M823=1,对接源_01水果!$D823="原料入库"),1,0)</f>
        <v>0</v>
      </c>
      <c r="AA823">
        <f>N(AA822)+$Z823</f>
        <v>24</v>
      </c>
      <c r="AB823">
        <f>IF(AND($M823=1,LEFT(对接源_01水果!$D823,4)="原料出库"),1,0)</f>
        <v>0</v>
      </c>
      <c r="AC823">
        <f>N(AC822)+$AB823</f>
        <v>0</v>
      </c>
      <c r="AD823">
        <f>IF(AND($M823=1,LEFT(对接源_01水果!$D823,4)="成品出库"),1,0)</f>
        <v>0</v>
      </c>
      <c r="AE823">
        <f>N(AE822)+$AD823</f>
        <v>0</v>
      </c>
      <c r="AF823">
        <f>IF(AND($N823=1,AND(LEFT(对接源_01水果!$D823,4)="包装物料",N(对接源_01水果!$K823)&lt;&gt;0)),1,0)</f>
        <v>0</v>
      </c>
      <c r="AG823">
        <f>N(AG822)+$AF823</f>
        <v>0</v>
      </c>
      <c r="AH823">
        <f>IF(AND($N823=1,AND(对接源_01水果!$D823="周转筐－销售出库",N(对接源_01水果!$K823)&lt;&gt;0)),1,0)</f>
        <v>0</v>
      </c>
      <c r="AI823">
        <f>N(AI822)+$AH823</f>
        <v>0</v>
      </c>
      <c r="AJ823" s="7" t="n"/>
      <c r="AL823">
        <f>IF(OR($AL$1="",对接源_01水果!$Y823="",对接源_01水果!$Y823&lt;&gt;$AL$1,对接源_01水果!$B823="",N(对接源_01水果!$AJ823)&lt;=0),0,IF(OR(N(对接源_01水果!$B823)&lt;$AL$2,N(对接源_01水果!$B823)&gt;$AL$3),0,1))</f>
        <v>0</v>
      </c>
      <c r="AM823">
        <f>N(AM822)+$AL823</f>
        <v>2</v>
      </c>
      <c r="AN823">
        <f>IF(对接源_01水果!$AC823="","",对接源_01水果!$AC823)</f>
      </c>
      <c r="AO823">
        <f>IF(AN823="",0,IF(MATCH(AN823,$AN$4:$AN$1203,0)=ROW()-3,1,0))</f>
        <v>0</v>
      </c>
      <c r="AP823">
        <f>N(AP822)+$AO823</f>
        <v>13</v>
      </c>
      <c r="AR823">
        <f>IF(OR($AF823=1,$AH823=1),1,0)</f>
        <v>0</v>
      </c>
      <c r="AS823">
        <f>N(AS822)+$AR823</f>
        <v>0</v>
      </c>
    </row>
    <row r="824" ht="14.25" customHeight="1" s="127">
      <c r="A824">
        <f>IF(对接源_01水果!$C824="","",对接源_01水果!$C824)</f>
      </c>
      <c r="B824">
        <f>IF(A824="",0,IF(MATCH(A824,$A$4:$A$2403,0)=ROW()-3,1,0))</f>
        <v>0</v>
      </c>
      <c r="C824">
        <f>N(C823)+B824</f>
        <v>22</v>
      </c>
      <c r="K824">
        <f>IF(OR($K$1="",对接源_01水果!$C824="",对接源_01水果!$C824&lt;&gt;$K$1,对接源_01水果!$B824=""),0,IF(OR(N(对接源_01水果!$B824)&lt;$K$2,N(对接源_01水果!$B824)&gt;$K$3),0,1))</f>
        <v>0</v>
      </c>
      <c r="L824">
        <f>IF(OR($L$1="",对接源_01水果!$C824="",对接源_01水果!$C824&lt;&gt;$L$1,对接源_01水果!$B824=""),0,IF(OR(N(对接源_01水果!$B824)&lt;$L$2,N(对接源_01水果!$B824)&gt;$L$3),0,1))</f>
        <v>0</v>
      </c>
      <c r="M824">
        <f>IF(OR($M$1="",对接源_01水果!$C824="",对接源_01水果!$C824&lt;&gt;$M$1,对接源_01水果!$B824=""),0,IF(OR(N(对接源_01水果!$B824)&lt;$M$2,N(对接源_01水果!$B824)&gt;$M$3),0,1))</f>
        <v>0</v>
      </c>
      <c r="N824">
        <f>IF(OR($N$1="",对接源_01水果!$C824="",对接源_01水果!$C824&lt;&gt;$N$1,对接源_01水果!$B824=""),0,IF(OR(N(对接源_01水果!$B824)&lt;$N$2,N(对接源_01水果!$B824)&gt;$N$3),0,1))</f>
        <v>0</v>
      </c>
      <c r="P824">
        <f>IF(AND($K824=1,AND(对接源_01水果!$X824="公司筐",N(对接源_01水果!$T824)&lt;&gt;0)),1,0)</f>
        <v>0</v>
      </c>
      <c r="Q824">
        <f>N(Q823)+$P824</f>
        <v>0</v>
      </c>
      <c r="R824">
        <f>IF(AND($K824=1,AND(对接源_01水果!$X824="公司筐",N(对接源_01水果!$U824)&lt;&gt;0)),1,0)</f>
        <v>0</v>
      </c>
      <c r="S824">
        <f>N(S823)+$R824</f>
        <v>0</v>
      </c>
      <c r="T824">
        <f>IF(AND($K824=1,AND(对接源_01水果!$X824="公司筐",N(对接源_01水果!$V824)&lt;&gt;0)),1,0)</f>
        <v>0</v>
      </c>
      <c r="U824">
        <f>N(U823)+$T824</f>
        <v>47</v>
      </c>
      <c r="V824">
        <f>IF(AND($L824=1,AND(对接源_01水果!$X824="自备筐",N(对接源_01水果!$V824)&lt;&gt;0)),1,0)</f>
        <v>0</v>
      </c>
      <c r="W824">
        <f>N(W823)+$V824</f>
        <v>11</v>
      </c>
      <c r="X824">
        <f>IF(AND($L824=1,AND(对接源_01水果!$X824="自备筐",N(对接源_01水果!$T824)&lt;&gt;0)),1,0)</f>
        <v>0</v>
      </c>
      <c r="Y824">
        <f>N(Y823)+$X824</f>
        <v>0</v>
      </c>
      <c r="Z824">
        <f>IF(AND($M824=1,对接源_01水果!$D824="原料入库"),1,0)</f>
        <v>0</v>
      </c>
      <c r="AA824">
        <f>N(AA823)+$Z824</f>
        <v>24</v>
      </c>
      <c r="AB824">
        <f>IF(AND($M824=1,LEFT(对接源_01水果!$D824,4)="原料出库"),1,0)</f>
        <v>0</v>
      </c>
      <c r="AC824">
        <f>N(AC823)+$AB824</f>
        <v>0</v>
      </c>
      <c r="AD824">
        <f>IF(AND($M824=1,LEFT(对接源_01水果!$D824,4)="成品出库"),1,0)</f>
        <v>0</v>
      </c>
      <c r="AE824">
        <f>N(AE823)+$AD824</f>
        <v>0</v>
      </c>
      <c r="AF824">
        <f>IF(AND($N824=1,AND(LEFT(对接源_01水果!$D824,4)="包装物料",N(对接源_01水果!$K824)&lt;&gt;0)),1,0)</f>
        <v>0</v>
      </c>
      <c r="AG824">
        <f>N(AG823)+$AF824</f>
        <v>0</v>
      </c>
      <c r="AH824">
        <f>IF(AND($N824=1,AND(对接源_01水果!$D824="周转筐－销售出库",N(对接源_01水果!$K824)&lt;&gt;0)),1,0)</f>
        <v>0</v>
      </c>
      <c r="AI824">
        <f>N(AI823)+$AH824</f>
        <v>0</v>
      </c>
      <c r="AJ824" s="7" t="n"/>
      <c r="AL824">
        <f>IF(OR($AL$1="",对接源_01水果!$Y824="",对接源_01水果!$Y824&lt;&gt;$AL$1,对接源_01水果!$B824="",N(对接源_01水果!$AJ824)&lt;=0),0,IF(OR(N(对接源_01水果!$B824)&lt;$AL$2,N(对接源_01水果!$B824)&gt;$AL$3),0,1))</f>
        <v>0</v>
      </c>
      <c r="AM824">
        <f>N(AM823)+$AL824</f>
        <v>2</v>
      </c>
      <c r="AN824">
        <f>IF(对接源_01水果!$AC824="","",对接源_01水果!$AC824)</f>
      </c>
      <c r="AO824">
        <f>IF(AN824="",0,IF(MATCH(AN824,$AN$4:$AN$1203,0)=ROW()-3,1,0))</f>
        <v>0</v>
      </c>
      <c r="AP824">
        <f>N(AP823)+$AO824</f>
        <v>13</v>
      </c>
      <c r="AR824">
        <f>IF(OR($AF824=1,$AH824=1),1,0)</f>
        <v>0</v>
      </c>
      <c r="AS824">
        <f>N(AS823)+$AR824</f>
        <v>0</v>
      </c>
    </row>
    <row r="825" ht="14.25" customHeight="1" s="127">
      <c r="A825">
        <f>IF(对接源_01水果!$C825="","",对接源_01水果!$C825)</f>
      </c>
      <c r="B825">
        <f>IF(A825="",0,IF(MATCH(A825,$A$4:$A$2403,0)=ROW()-3,1,0))</f>
        <v>0</v>
      </c>
      <c r="C825">
        <f>N(C824)+B825</f>
        <v>22</v>
      </c>
      <c r="K825">
        <f>IF(OR($K$1="",对接源_01水果!$C825="",对接源_01水果!$C825&lt;&gt;$K$1,对接源_01水果!$B825=""),0,IF(OR(N(对接源_01水果!$B825)&lt;$K$2,N(对接源_01水果!$B825)&gt;$K$3),0,1))</f>
        <v>0</v>
      </c>
      <c r="L825">
        <f>IF(OR($L$1="",对接源_01水果!$C825="",对接源_01水果!$C825&lt;&gt;$L$1,对接源_01水果!$B825=""),0,IF(OR(N(对接源_01水果!$B825)&lt;$L$2,N(对接源_01水果!$B825)&gt;$L$3),0,1))</f>
        <v>0</v>
      </c>
      <c r="M825">
        <f>IF(OR($M$1="",对接源_01水果!$C825="",对接源_01水果!$C825&lt;&gt;$M$1,对接源_01水果!$B825=""),0,IF(OR(N(对接源_01水果!$B825)&lt;$M$2,N(对接源_01水果!$B825)&gt;$M$3),0,1))</f>
        <v>0</v>
      </c>
      <c r="N825">
        <f>IF(OR($N$1="",对接源_01水果!$C825="",对接源_01水果!$C825&lt;&gt;$N$1,对接源_01水果!$B825=""),0,IF(OR(N(对接源_01水果!$B825)&lt;$N$2,N(对接源_01水果!$B825)&gt;$N$3),0,1))</f>
        <v>0</v>
      </c>
      <c r="P825">
        <f>IF(AND($K825=1,AND(对接源_01水果!$X825="公司筐",N(对接源_01水果!$T825)&lt;&gt;0)),1,0)</f>
        <v>0</v>
      </c>
      <c r="Q825">
        <f>N(Q824)+$P825</f>
        <v>0</v>
      </c>
      <c r="R825">
        <f>IF(AND($K825=1,AND(对接源_01水果!$X825="公司筐",N(对接源_01水果!$U825)&lt;&gt;0)),1,0)</f>
        <v>0</v>
      </c>
      <c r="S825">
        <f>N(S824)+$R825</f>
        <v>0</v>
      </c>
      <c r="T825">
        <f>IF(AND($K825=1,AND(对接源_01水果!$X825="公司筐",N(对接源_01水果!$V825)&lt;&gt;0)),1,0)</f>
        <v>0</v>
      </c>
      <c r="U825">
        <f>N(U824)+$T825</f>
        <v>47</v>
      </c>
      <c r="V825">
        <f>IF(AND($L825=1,AND(对接源_01水果!$X825="自备筐",N(对接源_01水果!$V825)&lt;&gt;0)),1,0)</f>
        <v>0</v>
      </c>
      <c r="W825">
        <f>N(W824)+$V825</f>
        <v>11</v>
      </c>
      <c r="X825">
        <f>IF(AND($L825=1,AND(对接源_01水果!$X825="自备筐",N(对接源_01水果!$T825)&lt;&gt;0)),1,0)</f>
        <v>0</v>
      </c>
      <c r="Y825">
        <f>N(Y824)+$X825</f>
        <v>0</v>
      </c>
      <c r="Z825">
        <f>IF(AND($M825=1,对接源_01水果!$D825="原料入库"),1,0)</f>
        <v>0</v>
      </c>
      <c r="AA825">
        <f>N(AA824)+$Z825</f>
        <v>24</v>
      </c>
      <c r="AB825">
        <f>IF(AND($M825=1,LEFT(对接源_01水果!$D825,4)="原料出库"),1,0)</f>
        <v>0</v>
      </c>
      <c r="AC825">
        <f>N(AC824)+$AB825</f>
        <v>0</v>
      </c>
      <c r="AD825">
        <f>IF(AND($M825=1,LEFT(对接源_01水果!$D825,4)="成品出库"),1,0)</f>
        <v>0</v>
      </c>
      <c r="AE825">
        <f>N(AE824)+$AD825</f>
        <v>0</v>
      </c>
      <c r="AF825">
        <f>IF(AND($N825=1,AND(LEFT(对接源_01水果!$D825,4)="包装物料",N(对接源_01水果!$K825)&lt;&gt;0)),1,0)</f>
        <v>0</v>
      </c>
      <c r="AG825">
        <f>N(AG824)+$AF825</f>
        <v>0</v>
      </c>
      <c r="AH825">
        <f>IF(AND($N825=1,AND(对接源_01水果!$D825="周转筐－销售出库",N(对接源_01水果!$K825)&lt;&gt;0)),1,0)</f>
        <v>0</v>
      </c>
      <c r="AI825">
        <f>N(AI824)+$AH825</f>
        <v>0</v>
      </c>
      <c r="AJ825" s="7" t="n"/>
      <c r="AL825">
        <f>IF(OR($AL$1="",对接源_01水果!$Y825="",对接源_01水果!$Y825&lt;&gt;$AL$1,对接源_01水果!$B825="",N(对接源_01水果!$AJ825)&lt;=0),0,IF(OR(N(对接源_01水果!$B825)&lt;$AL$2,N(对接源_01水果!$B825)&gt;$AL$3),0,1))</f>
        <v>0</v>
      </c>
      <c r="AM825">
        <f>N(AM824)+$AL825</f>
        <v>2</v>
      </c>
      <c r="AN825">
        <f>IF(对接源_01水果!$AC825="","",对接源_01水果!$AC825)</f>
      </c>
      <c r="AO825">
        <f>IF(AN825="",0,IF(MATCH(AN825,$AN$4:$AN$1203,0)=ROW()-3,1,0))</f>
        <v>0</v>
      </c>
      <c r="AP825">
        <f>N(AP824)+$AO825</f>
        <v>13</v>
      </c>
      <c r="AR825">
        <f>IF(OR($AF825=1,$AH825=1),1,0)</f>
        <v>0</v>
      </c>
      <c r="AS825">
        <f>N(AS824)+$AR825</f>
        <v>0</v>
      </c>
    </row>
    <row r="826" ht="14.25" customHeight="1" s="127">
      <c r="A826">
        <f>IF(对接源_01水果!$C826="","",对接源_01水果!$C826)</f>
      </c>
      <c r="B826">
        <f>IF(A826="",0,IF(MATCH(A826,$A$4:$A$2403,0)=ROW()-3,1,0))</f>
        <v>0</v>
      </c>
      <c r="C826">
        <f>N(C825)+B826</f>
        <v>22</v>
      </c>
      <c r="K826">
        <f>IF(OR($K$1="",对接源_01水果!$C826="",对接源_01水果!$C826&lt;&gt;$K$1,对接源_01水果!$B826=""),0,IF(OR(N(对接源_01水果!$B826)&lt;$K$2,N(对接源_01水果!$B826)&gt;$K$3),0,1))</f>
        <v>0</v>
      </c>
      <c r="L826">
        <f>IF(OR($L$1="",对接源_01水果!$C826="",对接源_01水果!$C826&lt;&gt;$L$1,对接源_01水果!$B826=""),0,IF(OR(N(对接源_01水果!$B826)&lt;$L$2,N(对接源_01水果!$B826)&gt;$L$3),0,1))</f>
        <v>0</v>
      </c>
      <c r="M826">
        <f>IF(OR($M$1="",对接源_01水果!$C826="",对接源_01水果!$C826&lt;&gt;$M$1,对接源_01水果!$B826=""),0,IF(OR(N(对接源_01水果!$B826)&lt;$M$2,N(对接源_01水果!$B826)&gt;$M$3),0,1))</f>
        <v>0</v>
      </c>
      <c r="N826">
        <f>IF(OR($N$1="",对接源_01水果!$C826="",对接源_01水果!$C826&lt;&gt;$N$1,对接源_01水果!$B826=""),0,IF(OR(N(对接源_01水果!$B826)&lt;$N$2,N(对接源_01水果!$B826)&gt;$N$3),0,1))</f>
        <v>0</v>
      </c>
      <c r="P826">
        <f>IF(AND($K826=1,AND(对接源_01水果!$X826="公司筐",N(对接源_01水果!$T826)&lt;&gt;0)),1,0)</f>
        <v>0</v>
      </c>
      <c r="Q826">
        <f>N(Q825)+$P826</f>
        <v>0</v>
      </c>
      <c r="R826">
        <f>IF(AND($K826=1,AND(对接源_01水果!$X826="公司筐",N(对接源_01水果!$U826)&lt;&gt;0)),1,0)</f>
        <v>0</v>
      </c>
      <c r="S826">
        <f>N(S825)+$R826</f>
        <v>0</v>
      </c>
      <c r="T826">
        <f>IF(AND($K826=1,AND(对接源_01水果!$X826="公司筐",N(对接源_01水果!$V826)&lt;&gt;0)),1,0)</f>
        <v>0</v>
      </c>
      <c r="U826">
        <f>N(U825)+$T826</f>
        <v>47</v>
      </c>
      <c r="V826">
        <f>IF(AND($L826=1,AND(对接源_01水果!$X826="自备筐",N(对接源_01水果!$V826)&lt;&gt;0)),1,0)</f>
        <v>0</v>
      </c>
      <c r="W826">
        <f>N(W825)+$V826</f>
        <v>11</v>
      </c>
      <c r="X826">
        <f>IF(AND($L826=1,AND(对接源_01水果!$X826="自备筐",N(对接源_01水果!$T826)&lt;&gt;0)),1,0)</f>
        <v>0</v>
      </c>
      <c r="Y826">
        <f>N(Y825)+$X826</f>
        <v>0</v>
      </c>
      <c r="Z826">
        <f>IF(AND($M826=1,对接源_01水果!$D826="原料入库"),1,0)</f>
        <v>0</v>
      </c>
      <c r="AA826">
        <f>N(AA825)+$Z826</f>
        <v>24</v>
      </c>
      <c r="AB826">
        <f>IF(AND($M826=1,LEFT(对接源_01水果!$D826,4)="原料出库"),1,0)</f>
        <v>0</v>
      </c>
      <c r="AC826">
        <f>N(AC825)+$AB826</f>
        <v>0</v>
      </c>
      <c r="AD826">
        <f>IF(AND($M826=1,LEFT(对接源_01水果!$D826,4)="成品出库"),1,0)</f>
        <v>0</v>
      </c>
      <c r="AE826">
        <f>N(AE825)+$AD826</f>
        <v>0</v>
      </c>
      <c r="AF826">
        <f>IF(AND($N826=1,AND(LEFT(对接源_01水果!$D826,4)="包装物料",N(对接源_01水果!$K826)&lt;&gt;0)),1,0)</f>
        <v>0</v>
      </c>
      <c r="AG826">
        <f>N(AG825)+$AF826</f>
        <v>0</v>
      </c>
      <c r="AH826">
        <f>IF(AND($N826=1,AND(对接源_01水果!$D826="周转筐－销售出库",N(对接源_01水果!$K826)&lt;&gt;0)),1,0)</f>
        <v>0</v>
      </c>
      <c r="AI826">
        <f>N(AI825)+$AH826</f>
        <v>0</v>
      </c>
      <c r="AJ826" s="7" t="n"/>
      <c r="AL826">
        <f>IF(OR($AL$1="",对接源_01水果!$Y826="",对接源_01水果!$Y826&lt;&gt;$AL$1,对接源_01水果!$B826="",N(对接源_01水果!$AJ826)&lt;=0),0,IF(OR(N(对接源_01水果!$B826)&lt;$AL$2,N(对接源_01水果!$B826)&gt;$AL$3),0,1))</f>
        <v>0</v>
      </c>
      <c r="AM826">
        <f>N(AM825)+$AL826</f>
        <v>2</v>
      </c>
      <c r="AN826">
        <f>IF(对接源_01水果!$AC826="","",对接源_01水果!$AC826)</f>
      </c>
      <c r="AO826">
        <f>IF(AN826="",0,IF(MATCH(AN826,$AN$4:$AN$1203,0)=ROW()-3,1,0))</f>
        <v>0</v>
      </c>
      <c r="AP826">
        <f>N(AP825)+$AO826</f>
        <v>13</v>
      </c>
      <c r="AR826">
        <f>IF(OR($AF826=1,$AH826=1),1,0)</f>
        <v>0</v>
      </c>
      <c r="AS826">
        <f>N(AS825)+$AR826</f>
        <v>0</v>
      </c>
    </row>
    <row r="827" ht="14.25" customHeight="1" s="127">
      <c r="A827">
        <f>IF(对接源_01水果!$C827="","",对接源_01水果!$C827)</f>
      </c>
      <c r="B827">
        <f>IF(A827="",0,IF(MATCH(A827,$A$4:$A$2403,0)=ROW()-3,1,0))</f>
        <v>0</v>
      </c>
      <c r="C827">
        <f>N(C826)+B827</f>
        <v>22</v>
      </c>
      <c r="K827">
        <f>IF(OR($K$1="",对接源_01水果!$C827="",对接源_01水果!$C827&lt;&gt;$K$1,对接源_01水果!$B827=""),0,IF(OR(N(对接源_01水果!$B827)&lt;$K$2,N(对接源_01水果!$B827)&gt;$K$3),0,1))</f>
        <v>0</v>
      </c>
      <c r="L827">
        <f>IF(OR($L$1="",对接源_01水果!$C827="",对接源_01水果!$C827&lt;&gt;$L$1,对接源_01水果!$B827=""),0,IF(OR(N(对接源_01水果!$B827)&lt;$L$2,N(对接源_01水果!$B827)&gt;$L$3),0,1))</f>
        <v>0</v>
      </c>
      <c r="M827">
        <f>IF(OR($M$1="",对接源_01水果!$C827="",对接源_01水果!$C827&lt;&gt;$M$1,对接源_01水果!$B827=""),0,IF(OR(N(对接源_01水果!$B827)&lt;$M$2,N(对接源_01水果!$B827)&gt;$M$3),0,1))</f>
        <v>0</v>
      </c>
      <c r="N827">
        <f>IF(OR($N$1="",对接源_01水果!$C827="",对接源_01水果!$C827&lt;&gt;$N$1,对接源_01水果!$B827=""),0,IF(OR(N(对接源_01水果!$B827)&lt;$N$2,N(对接源_01水果!$B827)&gt;$N$3),0,1))</f>
        <v>0</v>
      </c>
      <c r="P827">
        <f>IF(AND($K827=1,AND(对接源_01水果!$X827="公司筐",N(对接源_01水果!$T827)&lt;&gt;0)),1,0)</f>
        <v>0</v>
      </c>
      <c r="Q827">
        <f>N(Q826)+$P827</f>
        <v>0</v>
      </c>
      <c r="R827">
        <f>IF(AND($K827=1,AND(对接源_01水果!$X827="公司筐",N(对接源_01水果!$U827)&lt;&gt;0)),1,0)</f>
        <v>0</v>
      </c>
      <c r="S827">
        <f>N(S826)+$R827</f>
        <v>0</v>
      </c>
      <c r="T827">
        <f>IF(AND($K827=1,AND(对接源_01水果!$X827="公司筐",N(对接源_01水果!$V827)&lt;&gt;0)),1,0)</f>
        <v>0</v>
      </c>
      <c r="U827">
        <f>N(U826)+$T827</f>
        <v>47</v>
      </c>
      <c r="V827">
        <f>IF(AND($L827=1,AND(对接源_01水果!$X827="自备筐",N(对接源_01水果!$V827)&lt;&gt;0)),1,0)</f>
        <v>0</v>
      </c>
      <c r="W827">
        <f>N(W826)+$V827</f>
        <v>11</v>
      </c>
      <c r="X827">
        <f>IF(AND($L827=1,AND(对接源_01水果!$X827="自备筐",N(对接源_01水果!$T827)&lt;&gt;0)),1,0)</f>
        <v>0</v>
      </c>
      <c r="Y827">
        <f>N(Y826)+$X827</f>
        <v>0</v>
      </c>
      <c r="Z827">
        <f>IF(AND($M827=1,对接源_01水果!$D827="原料入库"),1,0)</f>
        <v>0</v>
      </c>
      <c r="AA827">
        <f>N(AA826)+$Z827</f>
        <v>24</v>
      </c>
      <c r="AB827">
        <f>IF(AND($M827=1,LEFT(对接源_01水果!$D827,4)="原料出库"),1,0)</f>
        <v>0</v>
      </c>
      <c r="AC827">
        <f>N(AC826)+$AB827</f>
        <v>0</v>
      </c>
      <c r="AD827">
        <f>IF(AND($M827=1,LEFT(对接源_01水果!$D827,4)="成品出库"),1,0)</f>
        <v>0</v>
      </c>
      <c r="AE827">
        <f>N(AE826)+$AD827</f>
        <v>0</v>
      </c>
      <c r="AF827">
        <f>IF(AND($N827=1,AND(LEFT(对接源_01水果!$D827,4)="包装物料",N(对接源_01水果!$K827)&lt;&gt;0)),1,0)</f>
        <v>0</v>
      </c>
      <c r="AG827">
        <f>N(AG826)+$AF827</f>
        <v>0</v>
      </c>
      <c r="AH827">
        <f>IF(AND($N827=1,AND(对接源_01水果!$D827="周转筐－销售出库",N(对接源_01水果!$K827)&lt;&gt;0)),1,0)</f>
        <v>0</v>
      </c>
      <c r="AI827">
        <f>N(AI826)+$AH827</f>
        <v>0</v>
      </c>
      <c r="AJ827" s="7" t="n"/>
      <c r="AL827">
        <f>IF(OR($AL$1="",对接源_01水果!$Y827="",对接源_01水果!$Y827&lt;&gt;$AL$1,对接源_01水果!$B827="",N(对接源_01水果!$AJ827)&lt;=0),0,IF(OR(N(对接源_01水果!$B827)&lt;$AL$2,N(对接源_01水果!$B827)&gt;$AL$3),0,1))</f>
        <v>0</v>
      </c>
      <c r="AM827">
        <f>N(AM826)+$AL827</f>
        <v>2</v>
      </c>
      <c r="AN827">
        <f>IF(对接源_01水果!$AC827="","",对接源_01水果!$AC827)</f>
      </c>
      <c r="AO827">
        <f>IF(AN827="",0,IF(MATCH(AN827,$AN$4:$AN$1203,0)=ROW()-3,1,0))</f>
        <v>0</v>
      </c>
      <c r="AP827">
        <f>N(AP826)+$AO827</f>
        <v>13</v>
      </c>
      <c r="AR827">
        <f>IF(OR($AF827=1,$AH827=1),1,0)</f>
        <v>0</v>
      </c>
      <c r="AS827">
        <f>N(AS826)+$AR827</f>
        <v>0</v>
      </c>
    </row>
    <row r="828" ht="14.25" customHeight="1" s="127">
      <c r="A828">
        <f>IF(对接源_01水果!$C828="","",对接源_01水果!$C828)</f>
      </c>
      <c r="B828">
        <f>IF(A828="",0,IF(MATCH(A828,$A$4:$A$2403,0)=ROW()-3,1,0))</f>
        <v>0</v>
      </c>
      <c r="C828">
        <f>N(C827)+B828</f>
        <v>22</v>
      </c>
      <c r="K828">
        <f>IF(OR($K$1="",对接源_01水果!$C828="",对接源_01水果!$C828&lt;&gt;$K$1,对接源_01水果!$B828=""),0,IF(OR(N(对接源_01水果!$B828)&lt;$K$2,N(对接源_01水果!$B828)&gt;$K$3),0,1))</f>
        <v>0</v>
      </c>
      <c r="L828">
        <f>IF(OR($L$1="",对接源_01水果!$C828="",对接源_01水果!$C828&lt;&gt;$L$1,对接源_01水果!$B828=""),0,IF(OR(N(对接源_01水果!$B828)&lt;$L$2,N(对接源_01水果!$B828)&gt;$L$3),0,1))</f>
        <v>0</v>
      </c>
      <c r="M828">
        <f>IF(OR($M$1="",对接源_01水果!$C828="",对接源_01水果!$C828&lt;&gt;$M$1,对接源_01水果!$B828=""),0,IF(OR(N(对接源_01水果!$B828)&lt;$M$2,N(对接源_01水果!$B828)&gt;$M$3),0,1))</f>
        <v>0</v>
      </c>
      <c r="N828">
        <f>IF(OR($N$1="",对接源_01水果!$C828="",对接源_01水果!$C828&lt;&gt;$N$1,对接源_01水果!$B828=""),0,IF(OR(N(对接源_01水果!$B828)&lt;$N$2,N(对接源_01水果!$B828)&gt;$N$3),0,1))</f>
        <v>0</v>
      </c>
      <c r="P828">
        <f>IF(AND($K828=1,AND(对接源_01水果!$X828="公司筐",N(对接源_01水果!$T828)&lt;&gt;0)),1,0)</f>
        <v>0</v>
      </c>
      <c r="Q828">
        <f>N(Q827)+$P828</f>
        <v>0</v>
      </c>
      <c r="R828">
        <f>IF(AND($K828=1,AND(对接源_01水果!$X828="公司筐",N(对接源_01水果!$U828)&lt;&gt;0)),1,0)</f>
        <v>0</v>
      </c>
      <c r="S828">
        <f>N(S827)+$R828</f>
        <v>0</v>
      </c>
      <c r="T828">
        <f>IF(AND($K828=1,AND(对接源_01水果!$X828="公司筐",N(对接源_01水果!$V828)&lt;&gt;0)),1,0)</f>
        <v>0</v>
      </c>
      <c r="U828">
        <f>N(U827)+$T828</f>
        <v>47</v>
      </c>
      <c r="V828">
        <f>IF(AND($L828=1,AND(对接源_01水果!$X828="自备筐",N(对接源_01水果!$V828)&lt;&gt;0)),1,0)</f>
        <v>0</v>
      </c>
      <c r="W828">
        <f>N(W827)+$V828</f>
        <v>11</v>
      </c>
      <c r="X828">
        <f>IF(AND($L828=1,AND(对接源_01水果!$X828="自备筐",N(对接源_01水果!$T828)&lt;&gt;0)),1,0)</f>
        <v>0</v>
      </c>
      <c r="Y828">
        <f>N(Y827)+$X828</f>
        <v>0</v>
      </c>
      <c r="Z828">
        <f>IF(AND($M828=1,对接源_01水果!$D828="原料入库"),1,0)</f>
        <v>0</v>
      </c>
      <c r="AA828">
        <f>N(AA827)+$Z828</f>
        <v>24</v>
      </c>
      <c r="AB828">
        <f>IF(AND($M828=1,LEFT(对接源_01水果!$D828,4)="原料出库"),1,0)</f>
        <v>0</v>
      </c>
      <c r="AC828">
        <f>N(AC827)+$AB828</f>
        <v>0</v>
      </c>
      <c r="AD828">
        <f>IF(AND($M828=1,LEFT(对接源_01水果!$D828,4)="成品出库"),1,0)</f>
        <v>0</v>
      </c>
      <c r="AE828">
        <f>N(AE827)+$AD828</f>
        <v>0</v>
      </c>
      <c r="AF828">
        <f>IF(AND($N828=1,AND(LEFT(对接源_01水果!$D828,4)="包装物料",N(对接源_01水果!$K828)&lt;&gt;0)),1,0)</f>
        <v>0</v>
      </c>
      <c r="AG828">
        <f>N(AG827)+$AF828</f>
        <v>0</v>
      </c>
      <c r="AH828">
        <f>IF(AND($N828=1,AND(对接源_01水果!$D828="周转筐－销售出库",N(对接源_01水果!$K828)&lt;&gt;0)),1,0)</f>
        <v>0</v>
      </c>
      <c r="AI828">
        <f>N(AI827)+$AH828</f>
        <v>0</v>
      </c>
      <c r="AJ828" s="7" t="n"/>
      <c r="AL828">
        <f>IF(OR($AL$1="",对接源_01水果!$Y828="",对接源_01水果!$Y828&lt;&gt;$AL$1,对接源_01水果!$B828="",N(对接源_01水果!$AJ828)&lt;=0),0,IF(OR(N(对接源_01水果!$B828)&lt;$AL$2,N(对接源_01水果!$B828)&gt;$AL$3),0,1))</f>
        <v>0</v>
      </c>
      <c r="AM828">
        <f>N(AM827)+$AL828</f>
        <v>2</v>
      </c>
      <c r="AN828">
        <f>IF(对接源_01水果!$AC828="","",对接源_01水果!$AC828)</f>
      </c>
      <c r="AO828">
        <f>IF(AN828="",0,IF(MATCH(AN828,$AN$4:$AN$1203,0)=ROW()-3,1,0))</f>
        <v>0</v>
      </c>
      <c r="AP828">
        <f>N(AP827)+$AO828</f>
        <v>13</v>
      </c>
      <c r="AR828">
        <f>IF(OR($AF828=1,$AH828=1),1,0)</f>
        <v>0</v>
      </c>
      <c r="AS828">
        <f>N(AS827)+$AR828</f>
        <v>0</v>
      </c>
    </row>
    <row r="829" ht="14.25" customHeight="1" s="127">
      <c r="A829">
        <f>IF(对接源_01水果!$C829="","",对接源_01水果!$C829)</f>
      </c>
      <c r="B829">
        <f>IF(A829="",0,IF(MATCH(A829,$A$4:$A$2403,0)=ROW()-3,1,0))</f>
        <v>0</v>
      </c>
      <c r="C829">
        <f>N(C828)+B829</f>
        <v>22</v>
      </c>
      <c r="K829">
        <f>IF(OR($K$1="",对接源_01水果!$C829="",对接源_01水果!$C829&lt;&gt;$K$1,对接源_01水果!$B829=""),0,IF(OR(N(对接源_01水果!$B829)&lt;$K$2,N(对接源_01水果!$B829)&gt;$K$3),0,1))</f>
        <v>0</v>
      </c>
      <c r="L829">
        <f>IF(OR($L$1="",对接源_01水果!$C829="",对接源_01水果!$C829&lt;&gt;$L$1,对接源_01水果!$B829=""),0,IF(OR(N(对接源_01水果!$B829)&lt;$L$2,N(对接源_01水果!$B829)&gt;$L$3),0,1))</f>
        <v>0</v>
      </c>
      <c r="M829">
        <f>IF(OR($M$1="",对接源_01水果!$C829="",对接源_01水果!$C829&lt;&gt;$M$1,对接源_01水果!$B829=""),0,IF(OR(N(对接源_01水果!$B829)&lt;$M$2,N(对接源_01水果!$B829)&gt;$M$3),0,1))</f>
        <v>0</v>
      </c>
      <c r="N829">
        <f>IF(OR($N$1="",对接源_01水果!$C829="",对接源_01水果!$C829&lt;&gt;$N$1,对接源_01水果!$B829=""),0,IF(OR(N(对接源_01水果!$B829)&lt;$N$2,N(对接源_01水果!$B829)&gt;$N$3),0,1))</f>
        <v>0</v>
      </c>
      <c r="P829">
        <f>IF(AND($K829=1,AND(对接源_01水果!$X829="公司筐",N(对接源_01水果!$T829)&lt;&gt;0)),1,0)</f>
        <v>0</v>
      </c>
      <c r="Q829">
        <f>N(Q828)+$P829</f>
        <v>0</v>
      </c>
      <c r="R829">
        <f>IF(AND($K829=1,AND(对接源_01水果!$X829="公司筐",N(对接源_01水果!$U829)&lt;&gt;0)),1,0)</f>
        <v>0</v>
      </c>
      <c r="S829">
        <f>N(S828)+$R829</f>
        <v>0</v>
      </c>
      <c r="T829">
        <f>IF(AND($K829=1,AND(对接源_01水果!$X829="公司筐",N(对接源_01水果!$V829)&lt;&gt;0)),1,0)</f>
        <v>0</v>
      </c>
      <c r="U829">
        <f>N(U828)+$T829</f>
        <v>47</v>
      </c>
      <c r="V829">
        <f>IF(AND($L829=1,AND(对接源_01水果!$X829="自备筐",N(对接源_01水果!$V829)&lt;&gt;0)),1,0)</f>
        <v>0</v>
      </c>
      <c r="W829">
        <f>N(W828)+$V829</f>
        <v>11</v>
      </c>
      <c r="X829">
        <f>IF(AND($L829=1,AND(对接源_01水果!$X829="自备筐",N(对接源_01水果!$T829)&lt;&gt;0)),1,0)</f>
        <v>0</v>
      </c>
      <c r="Y829">
        <f>N(Y828)+$X829</f>
        <v>0</v>
      </c>
      <c r="Z829">
        <f>IF(AND($M829=1,对接源_01水果!$D829="原料入库"),1,0)</f>
        <v>0</v>
      </c>
      <c r="AA829">
        <f>N(AA828)+$Z829</f>
        <v>24</v>
      </c>
      <c r="AB829">
        <f>IF(AND($M829=1,LEFT(对接源_01水果!$D829,4)="原料出库"),1,0)</f>
        <v>0</v>
      </c>
      <c r="AC829">
        <f>N(AC828)+$AB829</f>
        <v>0</v>
      </c>
      <c r="AD829">
        <f>IF(AND($M829=1,LEFT(对接源_01水果!$D829,4)="成品出库"),1,0)</f>
        <v>0</v>
      </c>
      <c r="AE829">
        <f>N(AE828)+$AD829</f>
        <v>0</v>
      </c>
      <c r="AF829">
        <f>IF(AND($N829=1,AND(LEFT(对接源_01水果!$D829,4)="包装物料",N(对接源_01水果!$K829)&lt;&gt;0)),1,0)</f>
        <v>0</v>
      </c>
      <c r="AG829">
        <f>N(AG828)+$AF829</f>
        <v>0</v>
      </c>
      <c r="AH829">
        <f>IF(AND($N829=1,AND(对接源_01水果!$D829="周转筐－销售出库",N(对接源_01水果!$K829)&lt;&gt;0)),1,0)</f>
        <v>0</v>
      </c>
      <c r="AI829">
        <f>N(AI828)+$AH829</f>
        <v>0</v>
      </c>
      <c r="AJ829" s="7" t="n"/>
      <c r="AL829">
        <f>IF(OR($AL$1="",对接源_01水果!$Y829="",对接源_01水果!$Y829&lt;&gt;$AL$1,对接源_01水果!$B829="",N(对接源_01水果!$AJ829)&lt;=0),0,IF(OR(N(对接源_01水果!$B829)&lt;$AL$2,N(对接源_01水果!$B829)&gt;$AL$3),0,1))</f>
        <v>0</v>
      </c>
      <c r="AM829">
        <f>N(AM828)+$AL829</f>
        <v>2</v>
      </c>
      <c r="AN829">
        <f>IF(对接源_01水果!$AC829="","",对接源_01水果!$AC829)</f>
      </c>
      <c r="AO829">
        <f>IF(AN829="",0,IF(MATCH(AN829,$AN$4:$AN$1203,0)=ROW()-3,1,0))</f>
        <v>0</v>
      </c>
      <c r="AP829">
        <f>N(AP828)+$AO829</f>
        <v>13</v>
      </c>
      <c r="AR829">
        <f>IF(OR($AF829=1,$AH829=1),1,0)</f>
        <v>0</v>
      </c>
      <c r="AS829">
        <f>N(AS828)+$AR829</f>
        <v>0</v>
      </c>
    </row>
    <row r="830" ht="14.25" customHeight="1" s="127">
      <c r="A830">
        <f>IF(对接源_01水果!$C830="","",对接源_01水果!$C830)</f>
      </c>
      <c r="B830">
        <f>IF(A830="",0,IF(MATCH(A830,$A$4:$A$2403,0)=ROW()-3,1,0))</f>
        <v>0</v>
      </c>
      <c r="C830">
        <f>N(C829)+B830</f>
        <v>22</v>
      </c>
      <c r="K830">
        <f>IF(OR($K$1="",对接源_01水果!$C830="",对接源_01水果!$C830&lt;&gt;$K$1,对接源_01水果!$B830=""),0,IF(OR(N(对接源_01水果!$B830)&lt;$K$2,N(对接源_01水果!$B830)&gt;$K$3),0,1))</f>
        <v>0</v>
      </c>
      <c r="L830">
        <f>IF(OR($L$1="",对接源_01水果!$C830="",对接源_01水果!$C830&lt;&gt;$L$1,对接源_01水果!$B830=""),0,IF(OR(N(对接源_01水果!$B830)&lt;$L$2,N(对接源_01水果!$B830)&gt;$L$3),0,1))</f>
        <v>0</v>
      </c>
      <c r="M830">
        <f>IF(OR($M$1="",对接源_01水果!$C830="",对接源_01水果!$C830&lt;&gt;$M$1,对接源_01水果!$B830=""),0,IF(OR(N(对接源_01水果!$B830)&lt;$M$2,N(对接源_01水果!$B830)&gt;$M$3),0,1))</f>
        <v>0</v>
      </c>
      <c r="N830">
        <f>IF(OR($N$1="",对接源_01水果!$C830="",对接源_01水果!$C830&lt;&gt;$N$1,对接源_01水果!$B830=""),0,IF(OR(N(对接源_01水果!$B830)&lt;$N$2,N(对接源_01水果!$B830)&gt;$N$3),0,1))</f>
        <v>0</v>
      </c>
      <c r="P830">
        <f>IF(AND($K830=1,AND(对接源_01水果!$X830="公司筐",N(对接源_01水果!$T830)&lt;&gt;0)),1,0)</f>
        <v>0</v>
      </c>
      <c r="Q830">
        <f>N(Q829)+$P830</f>
        <v>0</v>
      </c>
      <c r="R830">
        <f>IF(AND($K830=1,AND(对接源_01水果!$X830="公司筐",N(对接源_01水果!$U830)&lt;&gt;0)),1,0)</f>
        <v>0</v>
      </c>
      <c r="S830">
        <f>N(S829)+$R830</f>
        <v>0</v>
      </c>
      <c r="T830">
        <f>IF(AND($K830=1,AND(对接源_01水果!$X830="公司筐",N(对接源_01水果!$V830)&lt;&gt;0)),1,0)</f>
        <v>0</v>
      </c>
      <c r="U830">
        <f>N(U829)+$T830</f>
        <v>47</v>
      </c>
      <c r="V830">
        <f>IF(AND($L830=1,AND(对接源_01水果!$X830="自备筐",N(对接源_01水果!$V830)&lt;&gt;0)),1,0)</f>
        <v>0</v>
      </c>
      <c r="W830">
        <f>N(W829)+$V830</f>
        <v>11</v>
      </c>
      <c r="X830">
        <f>IF(AND($L830=1,AND(对接源_01水果!$X830="自备筐",N(对接源_01水果!$T830)&lt;&gt;0)),1,0)</f>
        <v>0</v>
      </c>
      <c r="Y830">
        <f>N(Y829)+$X830</f>
        <v>0</v>
      </c>
      <c r="Z830">
        <f>IF(AND($M830=1,对接源_01水果!$D830="原料入库"),1,0)</f>
        <v>0</v>
      </c>
      <c r="AA830">
        <f>N(AA829)+$Z830</f>
        <v>24</v>
      </c>
      <c r="AB830">
        <f>IF(AND($M830=1,LEFT(对接源_01水果!$D830,4)="原料出库"),1,0)</f>
        <v>0</v>
      </c>
      <c r="AC830">
        <f>N(AC829)+$AB830</f>
        <v>0</v>
      </c>
      <c r="AD830">
        <f>IF(AND($M830=1,LEFT(对接源_01水果!$D830,4)="成品出库"),1,0)</f>
        <v>0</v>
      </c>
      <c r="AE830">
        <f>N(AE829)+$AD830</f>
        <v>0</v>
      </c>
      <c r="AF830">
        <f>IF(AND($N830=1,AND(LEFT(对接源_01水果!$D830,4)="包装物料",N(对接源_01水果!$K830)&lt;&gt;0)),1,0)</f>
        <v>0</v>
      </c>
      <c r="AG830">
        <f>N(AG829)+$AF830</f>
        <v>0</v>
      </c>
      <c r="AH830">
        <f>IF(AND($N830=1,AND(对接源_01水果!$D830="周转筐－销售出库",N(对接源_01水果!$K830)&lt;&gt;0)),1,0)</f>
        <v>0</v>
      </c>
      <c r="AI830">
        <f>N(AI829)+$AH830</f>
        <v>0</v>
      </c>
      <c r="AJ830" s="7" t="n"/>
      <c r="AL830">
        <f>IF(OR($AL$1="",对接源_01水果!$Y830="",对接源_01水果!$Y830&lt;&gt;$AL$1,对接源_01水果!$B830="",N(对接源_01水果!$AJ830)&lt;=0),0,IF(OR(N(对接源_01水果!$B830)&lt;$AL$2,N(对接源_01水果!$B830)&gt;$AL$3),0,1))</f>
        <v>0</v>
      </c>
      <c r="AM830">
        <f>N(AM829)+$AL830</f>
        <v>2</v>
      </c>
      <c r="AN830">
        <f>IF(对接源_01水果!$AC830="","",对接源_01水果!$AC830)</f>
      </c>
      <c r="AO830">
        <f>IF(AN830="",0,IF(MATCH(AN830,$AN$4:$AN$1203,0)=ROW()-3,1,0))</f>
        <v>0</v>
      </c>
      <c r="AP830">
        <f>N(AP829)+$AO830</f>
        <v>13</v>
      </c>
      <c r="AR830">
        <f>IF(OR($AF830=1,$AH830=1),1,0)</f>
        <v>0</v>
      </c>
      <c r="AS830">
        <f>N(AS829)+$AR830</f>
        <v>0</v>
      </c>
    </row>
    <row r="831" ht="14.25" customHeight="1" s="127">
      <c r="A831">
        <f>IF(对接源_01水果!$C831="","",对接源_01水果!$C831)</f>
      </c>
      <c r="B831">
        <f>IF(A831="",0,IF(MATCH(A831,$A$4:$A$2403,0)=ROW()-3,1,0))</f>
        <v>0</v>
      </c>
      <c r="C831">
        <f>N(C830)+B831</f>
        <v>22</v>
      </c>
      <c r="K831">
        <f>IF(OR($K$1="",对接源_01水果!$C831="",对接源_01水果!$C831&lt;&gt;$K$1,对接源_01水果!$B831=""),0,IF(OR(N(对接源_01水果!$B831)&lt;$K$2,N(对接源_01水果!$B831)&gt;$K$3),0,1))</f>
        <v>0</v>
      </c>
      <c r="L831">
        <f>IF(OR($L$1="",对接源_01水果!$C831="",对接源_01水果!$C831&lt;&gt;$L$1,对接源_01水果!$B831=""),0,IF(OR(N(对接源_01水果!$B831)&lt;$L$2,N(对接源_01水果!$B831)&gt;$L$3),0,1))</f>
        <v>0</v>
      </c>
      <c r="M831">
        <f>IF(OR($M$1="",对接源_01水果!$C831="",对接源_01水果!$C831&lt;&gt;$M$1,对接源_01水果!$B831=""),0,IF(OR(N(对接源_01水果!$B831)&lt;$M$2,N(对接源_01水果!$B831)&gt;$M$3),0,1))</f>
        <v>0</v>
      </c>
      <c r="N831">
        <f>IF(OR($N$1="",对接源_01水果!$C831="",对接源_01水果!$C831&lt;&gt;$N$1,对接源_01水果!$B831=""),0,IF(OR(N(对接源_01水果!$B831)&lt;$N$2,N(对接源_01水果!$B831)&gt;$N$3),0,1))</f>
        <v>0</v>
      </c>
      <c r="P831">
        <f>IF(AND($K831=1,AND(对接源_01水果!$X831="公司筐",N(对接源_01水果!$T831)&lt;&gt;0)),1,0)</f>
        <v>0</v>
      </c>
      <c r="Q831">
        <f>N(Q830)+$P831</f>
        <v>0</v>
      </c>
      <c r="R831">
        <f>IF(AND($K831=1,AND(对接源_01水果!$X831="公司筐",N(对接源_01水果!$U831)&lt;&gt;0)),1,0)</f>
        <v>0</v>
      </c>
      <c r="S831">
        <f>N(S830)+$R831</f>
        <v>0</v>
      </c>
      <c r="T831">
        <f>IF(AND($K831=1,AND(对接源_01水果!$X831="公司筐",N(对接源_01水果!$V831)&lt;&gt;0)),1,0)</f>
        <v>0</v>
      </c>
      <c r="U831">
        <f>N(U830)+$T831</f>
        <v>47</v>
      </c>
      <c r="V831">
        <f>IF(AND($L831=1,AND(对接源_01水果!$X831="自备筐",N(对接源_01水果!$V831)&lt;&gt;0)),1,0)</f>
        <v>0</v>
      </c>
      <c r="W831">
        <f>N(W830)+$V831</f>
        <v>11</v>
      </c>
      <c r="X831">
        <f>IF(AND($L831=1,AND(对接源_01水果!$X831="自备筐",N(对接源_01水果!$T831)&lt;&gt;0)),1,0)</f>
        <v>0</v>
      </c>
      <c r="Y831">
        <f>N(Y830)+$X831</f>
        <v>0</v>
      </c>
      <c r="Z831">
        <f>IF(AND($M831=1,对接源_01水果!$D831="原料入库"),1,0)</f>
        <v>0</v>
      </c>
      <c r="AA831">
        <f>N(AA830)+$Z831</f>
        <v>24</v>
      </c>
      <c r="AB831">
        <f>IF(AND($M831=1,LEFT(对接源_01水果!$D831,4)="原料出库"),1,0)</f>
        <v>0</v>
      </c>
      <c r="AC831">
        <f>N(AC830)+$AB831</f>
        <v>0</v>
      </c>
      <c r="AD831">
        <f>IF(AND($M831=1,LEFT(对接源_01水果!$D831,4)="成品出库"),1,0)</f>
        <v>0</v>
      </c>
      <c r="AE831">
        <f>N(AE830)+$AD831</f>
        <v>0</v>
      </c>
      <c r="AF831">
        <f>IF(AND($N831=1,AND(LEFT(对接源_01水果!$D831,4)="包装物料",N(对接源_01水果!$K831)&lt;&gt;0)),1,0)</f>
        <v>0</v>
      </c>
      <c r="AG831">
        <f>N(AG830)+$AF831</f>
        <v>0</v>
      </c>
      <c r="AH831">
        <f>IF(AND($N831=1,AND(对接源_01水果!$D831="周转筐－销售出库",N(对接源_01水果!$K831)&lt;&gt;0)),1,0)</f>
        <v>0</v>
      </c>
      <c r="AI831">
        <f>N(AI830)+$AH831</f>
        <v>0</v>
      </c>
      <c r="AJ831" s="7" t="n"/>
      <c r="AL831">
        <f>IF(OR($AL$1="",对接源_01水果!$Y831="",对接源_01水果!$Y831&lt;&gt;$AL$1,对接源_01水果!$B831="",N(对接源_01水果!$AJ831)&lt;=0),0,IF(OR(N(对接源_01水果!$B831)&lt;$AL$2,N(对接源_01水果!$B831)&gt;$AL$3),0,1))</f>
        <v>0</v>
      </c>
      <c r="AM831">
        <f>N(AM830)+$AL831</f>
        <v>2</v>
      </c>
      <c r="AN831">
        <f>IF(对接源_01水果!$AC831="","",对接源_01水果!$AC831)</f>
      </c>
      <c r="AO831">
        <f>IF(AN831="",0,IF(MATCH(AN831,$AN$4:$AN$1203,0)=ROW()-3,1,0))</f>
        <v>0</v>
      </c>
      <c r="AP831">
        <f>N(AP830)+$AO831</f>
        <v>13</v>
      </c>
      <c r="AR831">
        <f>IF(OR($AF831=1,$AH831=1),1,0)</f>
        <v>0</v>
      </c>
      <c r="AS831">
        <f>N(AS830)+$AR831</f>
        <v>0</v>
      </c>
    </row>
    <row r="832" ht="14.25" customHeight="1" s="127">
      <c r="A832">
        <f>IF(对接源_01水果!$C832="","",对接源_01水果!$C832)</f>
      </c>
      <c r="B832">
        <f>IF(A832="",0,IF(MATCH(A832,$A$4:$A$2403,0)=ROW()-3,1,0))</f>
        <v>0</v>
      </c>
      <c r="C832">
        <f>N(C831)+B832</f>
        <v>22</v>
      </c>
      <c r="K832">
        <f>IF(OR($K$1="",对接源_01水果!$C832="",对接源_01水果!$C832&lt;&gt;$K$1,对接源_01水果!$B832=""),0,IF(OR(N(对接源_01水果!$B832)&lt;$K$2,N(对接源_01水果!$B832)&gt;$K$3),0,1))</f>
        <v>0</v>
      </c>
      <c r="L832">
        <f>IF(OR($L$1="",对接源_01水果!$C832="",对接源_01水果!$C832&lt;&gt;$L$1,对接源_01水果!$B832=""),0,IF(OR(N(对接源_01水果!$B832)&lt;$L$2,N(对接源_01水果!$B832)&gt;$L$3),0,1))</f>
        <v>0</v>
      </c>
      <c r="M832">
        <f>IF(OR($M$1="",对接源_01水果!$C832="",对接源_01水果!$C832&lt;&gt;$M$1,对接源_01水果!$B832=""),0,IF(OR(N(对接源_01水果!$B832)&lt;$M$2,N(对接源_01水果!$B832)&gt;$M$3),0,1))</f>
        <v>0</v>
      </c>
      <c r="N832">
        <f>IF(OR($N$1="",对接源_01水果!$C832="",对接源_01水果!$C832&lt;&gt;$N$1,对接源_01水果!$B832=""),0,IF(OR(N(对接源_01水果!$B832)&lt;$N$2,N(对接源_01水果!$B832)&gt;$N$3),0,1))</f>
        <v>0</v>
      </c>
      <c r="P832">
        <f>IF(AND($K832=1,AND(对接源_01水果!$X832="公司筐",N(对接源_01水果!$T832)&lt;&gt;0)),1,0)</f>
        <v>0</v>
      </c>
      <c r="Q832">
        <f>N(Q831)+$P832</f>
        <v>0</v>
      </c>
      <c r="R832">
        <f>IF(AND($K832=1,AND(对接源_01水果!$X832="公司筐",N(对接源_01水果!$U832)&lt;&gt;0)),1,0)</f>
        <v>0</v>
      </c>
      <c r="S832">
        <f>N(S831)+$R832</f>
        <v>0</v>
      </c>
      <c r="T832">
        <f>IF(AND($K832=1,AND(对接源_01水果!$X832="公司筐",N(对接源_01水果!$V832)&lt;&gt;0)),1,0)</f>
        <v>0</v>
      </c>
      <c r="U832">
        <f>N(U831)+$T832</f>
        <v>47</v>
      </c>
      <c r="V832">
        <f>IF(AND($L832=1,AND(对接源_01水果!$X832="自备筐",N(对接源_01水果!$V832)&lt;&gt;0)),1,0)</f>
        <v>0</v>
      </c>
      <c r="W832">
        <f>N(W831)+$V832</f>
        <v>11</v>
      </c>
      <c r="X832">
        <f>IF(AND($L832=1,AND(对接源_01水果!$X832="自备筐",N(对接源_01水果!$T832)&lt;&gt;0)),1,0)</f>
        <v>0</v>
      </c>
      <c r="Y832">
        <f>N(Y831)+$X832</f>
        <v>0</v>
      </c>
      <c r="Z832">
        <f>IF(AND($M832=1,对接源_01水果!$D832="原料入库"),1,0)</f>
        <v>0</v>
      </c>
      <c r="AA832">
        <f>N(AA831)+$Z832</f>
        <v>24</v>
      </c>
      <c r="AB832">
        <f>IF(AND($M832=1,LEFT(对接源_01水果!$D832,4)="原料出库"),1,0)</f>
        <v>0</v>
      </c>
      <c r="AC832">
        <f>N(AC831)+$AB832</f>
        <v>0</v>
      </c>
      <c r="AD832">
        <f>IF(AND($M832=1,LEFT(对接源_01水果!$D832,4)="成品出库"),1,0)</f>
        <v>0</v>
      </c>
      <c r="AE832">
        <f>N(AE831)+$AD832</f>
        <v>0</v>
      </c>
      <c r="AF832">
        <f>IF(AND($N832=1,AND(LEFT(对接源_01水果!$D832,4)="包装物料",N(对接源_01水果!$K832)&lt;&gt;0)),1,0)</f>
        <v>0</v>
      </c>
      <c r="AG832">
        <f>N(AG831)+$AF832</f>
        <v>0</v>
      </c>
      <c r="AH832">
        <f>IF(AND($N832=1,AND(对接源_01水果!$D832="周转筐－销售出库",N(对接源_01水果!$K832)&lt;&gt;0)),1,0)</f>
        <v>0</v>
      </c>
      <c r="AI832">
        <f>N(AI831)+$AH832</f>
        <v>0</v>
      </c>
      <c r="AJ832" s="7" t="n"/>
      <c r="AL832">
        <f>IF(OR($AL$1="",对接源_01水果!$Y832="",对接源_01水果!$Y832&lt;&gt;$AL$1,对接源_01水果!$B832="",N(对接源_01水果!$AJ832)&lt;=0),0,IF(OR(N(对接源_01水果!$B832)&lt;$AL$2,N(对接源_01水果!$B832)&gt;$AL$3),0,1))</f>
        <v>0</v>
      </c>
      <c r="AM832">
        <f>N(AM831)+$AL832</f>
        <v>2</v>
      </c>
      <c r="AN832">
        <f>IF(对接源_01水果!$AC832="","",对接源_01水果!$AC832)</f>
      </c>
      <c r="AO832">
        <f>IF(AN832="",0,IF(MATCH(AN832,$AN$4:$AN$1203,0)=ROW()-3,1,0))</f>
        <v>0</v>
      </c>
      <c r="AP832">
        <f>N(AP831)+$AO832</f>
        <v>13</v>
      </c>
      <c r="AR832">
        <f>IF(OR($AF832=1,$AH832=1),1,0)</f>
        <v>0</v>
      </c>
      <c r="AS832">
        <f>N(AS831)+$AR832</f>
        <v>0</v>
      </c>
    </row>
    <row r="833" ht="14.25" customHeight="1" s="127">
      <c r="A833">
        <f>IF(对接源_01水果!$C833="","",对接源_01水果!$C833)</f>
      </c>
      <c r="B833">
        <f>IF(A833="",0,IF(MATCH(A833,$A$4:$A$2403,0)=ROW()-3,1,0))</f>
        <v>0</v>
      </c>
      <c r="C833">
        <f>N(C832)+B833</f>
        <v>22</v>
      </c>
      <c r="K833">
        <f>IF(OR($K$1="",对接源_01水果!$C833="",对接源_01水果!$C833&lt;&gt;$K$1,对接源_01水果!$B833=""),0,IF(OR(N(对接源_01水果!$B833)&lt;$K$2,N(对接源_01水果!$B833)&gt;$K$3),0,1))</f>
        <v>0</v>
      </c>
      <c r="L833">
        <f>IF(OR($L$1="",对接源_01水果!$C833="",对接源_01水果!$C833&lt;&gt;$L$1,对接源_01水果!$B833=""),0,IF(OR(N(对接源_01水果!$B833)&lt;$L$2,N(对接源_01水果!$B833)&gt;$L$3),0,1))</f>
        <v>0</v>
      </c>
      <c r="M833">
        <f>IF(OR($M$1="",对接源_01水果!$C833="",对接源_01水果!$C833&lt;&gt;$M$1,对接源_01水果!$B833=""),0,IF(OR(N(对接源_01水果!$B833)&lt;$M$2,N(对接源_01水果!$B833)&gt;$M$3),0,1))</f>
        <v>0</v>
      </c>
      <c r="N833">
        <f>IF(OR($N$1="",对接源_01水果!$C833="",对接源_01水果!$C833&lt;&gt;$N$1,对接源_01水果!$B833=""),0,IF(OR(N(对接源_01水果!$B833)&lt;$N$2,N(对接源_01水果!$B833)&gt;$N$3),0,1))</f>
        <v>0</v>
      </c>
      <c r="P833">
        <f>IF(AND($K833=1,AND(对接源_01水果!$X833="公司筐",N(对接源_01水果!$T833)&lt;&gt;0)),1,0)</f>
        <v>0</v>
      </c>
      <c r="Q833">
        <f>N(Q832)+$P833</f>
        <v>0</v>
      </c>
      <c r="R833">
        <f>IF(AND($K833=1,AND(对接源_01水果!$X833="公司筐",N(对接源_01水果!$U833)&lt;&gt;0)),1,0)</f>
        <v>0</v>
      </c>
      <c r="S833">
        <f>N(S832)+$R833</f>
        <v>0</v>
      </c>
      <c r="T833">
        <f>IF(AND($K833=1,AND(对接源_01水果!$X833="公司筐",N(对接源_01水果!$V833)&lt;&gt;0)),1,0)</f>
        <v>0</v>
      </c>
      <c r="U833">
        <f>N(U832)+$T833</f>
        <v>47</v>
      </c>
      <c r="V833">
        <f>IF(AND($L833=1,AND(对接源_01水果!$X833="自备筐",N(对接源_01水果!$V833)&lt;&gt;0)),1,0)</f>
        <v>0</v>
      </c>
      <c r="W833">
        <f>N(W832)+$V833</f>
        <v>11</v>
      </c>
      <c r="X833">
        <f>IF(AND($L833=1,AND(对接源_01水果!$X833="自备筐",N(对接源_01水果!$T833)&lt;&gt;0)),1,0)</f>
        <v>0</v>
      </c>
      <c r="Y833">
        <f>N(Y832)+$X833</f>
        <v>0</v>
      </c>
      <c r="Z833">
        <f>IF(AND($M833=1,对接源_01水果!$D833="原料入库"),1,0)</f>
        <v>0</v>
      </c>
      <c r="AA833">
        <f>N(AA832)+$Z833</f>
        <v>24</v>
      </c>
      <c r="AB833">
        <f>IF(AND($M833=1,LEFT(对接源_01水果!$D833,4)="原料出库"),1,0)</f>
        <v>0</v>
      </c>
      <c r="AC833">
        <f>N(AC832)+$AB833</f>
        <v>0</v>
      </c>
      <c r="AD833">
        <f>IF(AND($M833=1,LEFT(对接源_01水果!$D833,4)="成品出库"),1,0)</f>
        <v>0</v>
      </c>
      <c r="AE833">
        <f>N(AE832)+$AD833</f>
        <v>0</v>
      </c>
      <c r="AF833">
        <f>IF(AND($N833=1,AND(LEFT(对接源_01水果!$D833,4)="包装物料",N(对接源_01水果!$K833)&lt;&gt;0)),1,0)</f>
        <v>0</v>
      </c>
      <c r="AG833">
        <f>N(AG832)+$AF833</f>
        <v>0</v>
      </c>
      <c r="AH833">
        <f>IF(AND($N833=1,AND(对接源_01水果!$D833="周转筐－销售出库",N(对接源_01水果!$K833)&lt;&gt;0)),1,0)</f>
        <v>0</v>
      </c>
      <c r="AI833">
        <f>N(AI832)+$AH833</f>
        <v>0</v>
      </c>
      <c r="AJ833" s="7" t="n"/>
      <c r="AL833">
        <f>IF(OR($AL$1="",对接源_01水果!$Y833="",对接源_01水果!$Y833&lt;&gt;$AL$1,对接源_01水果!$B833="",N(对接源_01水果!$AJ833)&lt;=0),0,IF(OR(N(对接源_01水果!$B833)&lt;$AL$2,N(对接源_01水果!$B833)&gt;$AL$3),0,1))</f>
        <v>0</v>
      </c>
      <c r="AM833">
        <f>N(AM832)+$AL833</f>
        <v>2</v>
      </c>
      <c r="AN833">
        <f>IF(对接源_01水果!$AC833="","",对接源_01水果!$AC833)</f>
      </c>
      <c r="AO833">
        <f>IF(AN833="",0,IF(MATCH(AN833,$AN$4:$AN$1203,0)=ROW()-3,1,0))</f>
        <v>0</v>
      </c>
      <c r="AP833">
        <f>N(AP832)+$AO833</f>
        <v>13</v>
      </c>
      <c r="AR833">
        <f>IF(OR($AF833=1,$AH833=1),1,0)</f>
        <v>0</v>
      </c>
      <c r="AS833">
        <f>N(AS832)+$AR833</f>
        <v>0</v>
      </c>
    </row>
    <row r="834" ht="14.25" customHeight="1" s="127">
      <c r="A834">
        <f>IF(对接源_01水果!$C834="","",对接源_01水果!$C834)</f>
      </c>
      <c r="B834">
        <f>IF(A834="",0,IF(MATCH(A834,$A$4:$A$2403,0)=ROW()-3,1,0))</f>
        <v>0</v>
      </c>
      <c r="C834">
        <f>N(C833)+B834</f>
        <v>22</v>
      </c>
      <c r="K834">
        <f>IF(OR($K$1="",对接源_01水果!$C834="",对接源_01水果!$C834&lt;&gt;$K$1,对接源_01水果!$B834=""),0,IF(OR(N(对接源_01水果!$B834)&lt;$K$2,N(对接源_01水果!$B834)&gt;$K$3),0,1))</f>
        <v>0</v>
      </c>
      <c r="L834">
        <f>IF(OR($L$1="",对接源_01水果!$C834="",对接源_01水果!$C834&lt;&gt;$L$1,对接源_01水果!$B834=""),0,IF(OR(N(对接源_01水果!$B834)&lt;$L$2,N(对接源_01水果!$B834)&gt;$L$3),0,1))</f>
        <v>0</v>
      </c>
      <c r="M834">
        <f>IF(OR($M$1="",对接源_01水果!$C834="",对接源_01水果!$C834&lt;&gt;$M$1,对接源_01水果!$B834=""),0,IF(OR(N(对接源_01水果!$B834)&lt;$M$2,N(对接源_01水果!$B834)&gt;$M$3),0,1))</f>
        <v>0</v>
      </c>
      <c r="N834">
        <f>IF(OR($N$1="",对接源_01水果!$C834="",对接源_01水果!$C834&lt;&gt;$N$1,对接源_01水果!$B834=""),0,IF(OR(N(对接源_01水果!$B834)&lt;$N$2,N(对接源_01水果!$B834)&gt;$N$3),0,1))</f>
        <v>0</v>
      </c>
      <c r="P834">
        <f>IF(AND($K834=1,AND(对接源_01水果!$X834="公司筐",N(对接源_01水果!$T834)&lt;&gt;0)),1,0)</f>
        <v>0</v>
      </c>
      <c r="Q834">
        <f>N(Q833)+$P834</f>
        <v>0</v>
      </c>
      <c r="R834">
        <f>IF(AND($K834=1,AND(对接源_01水果!$X834="公司筐",N(对接源_01水果!$U834)&lt;&gt;0)),1,0)</f>
        <v>0</v>
      </c>
      <c r="S834">
        <f>N(S833)+$R834</f>
        <v>0</v>
      </c>
      <c r="T834">
        <f>IF(AND($K834=1,AND(对接源_01水果!$X834="公司筐",N(对接源_01水果!$V834)&lt;&gt;0)),1,0)</f>
        <v>0</v>
      </c>
      <c r="U834">
        <f>N(U833)+$T834</f>
        <v>47</v>
      </c>
      <c r="V834">
        <f>IF(AND($L834=1,AND(对接源_01水果!$X834="自备筐",N(对接源_01水果!$V834)&lt;&gt;0)),1,0)</f>
        <v>0</v>
      </c>
      <c r="W834">
        <f>N(W833)+$V834</f>
        <v>11</v>
      </c>
      <c r="X834">
        <f>IF(AND($L834=1,AND(对接源_01水果!$X834="自备筐",N(对接源_01水果!$T834)&lt;&gt;0)),1,0)</f>
        <v>0</v>
      </c>
      <c r="Y834">
        <f>N(Y833)+$X834</f>
        <v>0</v>
      </c>
      <c r="Z834">
        <f>IF(AND($M834=1,对接源_01水果!$D834="原料入库"),1,0)</f>
        <v>0</v>
      </c>
      <c r="AA834">
        <f>N(AA833)+$Z834</f>
        <v>24</v>
      </c>
      <c r="AB834">
        <f>IF(AND($M834=1,LEFT(对接源_01水果!$D834,4)="原料出库"),1,0)</f>
        <v>0</v>
      </c>
      <c r="AC834">
        <f>N(AC833)+$AB834</f>
        <v>0</v>
      </c>
      <c r="AD834">
        <f>IF(AND($M834=1,LEFT(对接源_01水果!$D834,4)="成品出库"),1,0)</f>
        <v>0</v>
      </c>
      <c r="AE834">
        <f>N(AE833)+$AD834</f>
        <v>0</v>
      </c>
      <c r="AF834">
        <f>IF(AND($N834=1,AND(LEFT(对接源_01水果!$D834,4)="包装物料",N(对接源_01水果!$K834)&lt;&gt;0)),1,0)</f>
        <v>0</v>
      </c>
      <c r="AG834">
        <f>N(AG833)+$AF834</f>
        <v>0</v>
      </c>
      <c r="AH834">
        <f>IF(AND($N834=1,AND(对接源_01水果!$D834="周转筐－销售出库",N(对接源_01水果!$K834)&lt;&gt;0)),1,0)</f>
        <v>0</v>
      </c>
      <c r="AI834">
        <f>N(AI833)+$AH834</f>
        <v>0</v>
      </c>
      <c r="AJ834" s="7" t="n"/>
      <c r="AL834">
        <f>IF(OR($AL$1="",对接源_01水果!$Y834="",对接源_01水果!$Y834&lt;&gt;$AL$1,对接源_01水果!$B834="",N(对接源_01水果!$AJ834)&lt;=0),0,IF(OR(N(对接源_01水果!$B834)&lt;$AL$2,N(对接源_01水果!$B834)&gt;$AL$3),0,1))</f>
        <v>0</v>
      </c>
      <c r="AM834">
        <f>N(AM833)+$AL834</f>
        <v>2</v>
      </c>
      <c r="AN834">
        <f>IF(对接源_01水果!$AC834="","",对接源_01水果!$AC834)</f>
      </c>
      <c r="AO834">
        <f>IF(AN834="",0,IF(MATCH(AN834,$AN$4:$AN$1203,0)=ROW()-3,1,0))</f>
        <v>0</v>
      </c>
      <c r="AP834">
        <f>N(AP833)+$AO834</f>
        <v>13</v>
      </c>
      <c r="AR834">
        <f>IF(OR($AF834=1,$AH834=1),1,0)</f>
        <v>0</v>
      </c>
      <c r="AS834">
        <f>N(AS833)+$AR834</f>
        <v>0</v>
      </c>
    </row>
    <row r="835" ht="14.25" customHeight="1" s="127">
      <c r="A835">
        <f>IF(对接源_01水果!$C835="","",对接源_01水果!$C835)</f>
      </c>
      <c r="B835">
        <f>IF(A835="",0,IF(MATCH(A835,$A$4:$A$2403,0)=ROW()-3,1,0))</f>
        <v>0</v>
      </c>
      <c r="C835">
        <f>N(C834)+B835</f>
        <v>22</v>
      </c>
      <c r="K835">
        <f>IF(OR($K$1="",对接源_01水果!$C835="",对接源_01水果!$C835&lt;&gt;$K$1,对接源_01水果!$B835=""),0,IF(OR(N(对接源_01水果!$B835)&lt;$K$2,N(对接源_01水果!$B835)&gt;$K$3),0,1))</f>
        <v>0</v>
      </c>
      <c r="L835">
        <f>IF(OR($L$1="",对接源_01水果!$C835="",对接源_01水果!$C835&lt;&gt;$L$1,对接源_01水果!$B835=""),0,IF(OR(N(对接源_01水果!$B835)&lt;$L$2,N(对接源_01水果!$B835)&gt;$L$3),0,1))</f>
        <v>0</v>
      </c>
      <c r="M835">
        <f>IF(OR($M$1="",对接源_01水果!$C835="",对接源_01水果!$C835&lt;&gt;$M$1,对接源_01水果!$B835=""),0,IF(OR(N(对接源_01水果!$B835)&lt;$M$2,N(对接源_01水果!$B835)&gt;$M$3),0,1))</f>
        <v>0</v>
      </c>
      <c r="N835">
        <f>IF(OR($N$1="",对接源_01水果!$C835="",对接源_01水果!$C835&lt;&gt;$N$1,对接源_01水果!$B835=""),0,IF(OR(N(对接源_01水果!$B835)&lt;$N$2,N(对接源_01水果!$B835)&gt;$N$3),0,1))</f>
        <v>0</v>
      </c>
      <c r="P835">
        <f>IF(AND($K835=1,AND(对接源_01水果!$X835="公司筐",N(对接源_01水果!$T835)&lt;&gt;0)),1,0)</f>
        <v>0</v>
      </c>
      <c r="Q835">
        <f>N(Q834)+$P835</f>
        <v>0</v>
      </c>
      <c r="R835">
        <f>IF(AND($K835=1,AND(对接源_01水果!$X835="公司筐",N(对接源_01水果!$U835)&lt;&gt;0)),1,0)</f>
        <v>0</v>
      </c>
      <c r="S835">
        <f>N(S834)+$R835</f>
        <v>0</v>
      </c>
      <c r="T835">
        <f>IF(AND($K835=1,AND(对接源_01水果!$X835="公司筐",N(对接源_01水果!$V835)&lt;&gt;0)),1,0)</f>
        <v>0</v>
      </c>
      <c r="U835">
        <f>N(U834)+$T835</f>
        <v>47</v>
      </c>
      <c r="V835">
        <f>IF(AND($L835=1,AND(对接源_01水果!$X835="自备筐",N(对接源_01水果!$V835)&lt;&gt;0)),1,0)</f>
        <v>0</v>
      </c>
      <c r="W835">
        <f>N(W834)+$V835</f>
        <v>11</v>
      </c>
      <c r="X835">
        <f>IF(AND($L835=1,AND(对接源_01水果!$X835="自备筐",N(对接源_01水果!$T835)&lt;&gt;0)),1,0)</f>
        <v>0</v>
      </c>
      <c r="Y835">
        <f>N(Y834)+$X835</f>
        <v>0</v>
      </c>
      <c r="Z835">
        <f>IF(AND($M835=1,对接源_01水果!$D835="原料入库"),1,0)</f>
        <v>0</v>
      </c>
      <c r="AA835">
        <f>N(AA834)+$Z835</f>
        <v>24</v>
      </c>
      <c r="AB835">
        <f>IF(AND($M835=1,LEFT(对接源_01水果!$D835,4)="原料出库"),1,0)</f>
        <v>0</v>
      </c>
      <c r="AC835">
        <f>N(AC834)+$AB835</f>
        <v>0</v>
      </c>
      <c r="AD835">
        <f>IF(AND($M835=1,LEFT(对接源_01水果!$D835,4)="成品出库"),1,0)</f>
        <v>0</v>
      </c>
      <c r="AE835">
        <f>N(AE834)+$AD835</f>
        <v>0</v>
      </c>
      <c r="AF835">
        <f>IF(AND($N835=1,AND(LEFT(对接源_01水果!$D835,4)="包装物料",N(对接源_01水果!$K835)&lt;&gt;0)),1,0)</f>
        <v>0</v>
      </c>
      <c r="AG835">
        <f>N(AG834)+$AF835</f>
        <v>0</v>
      </c>
      <c r="AH835">
        <f>IF(AND($N835=1,AND(对接源_01水果!$D835="周转筐－销售出库",N(对接源_01水果!$K835)&lt;&gt;0)),1,0)</f>
        <v>0</v>
      </c>
      <c r="AI835">
        <f>N(AI834)+$AH835</f>
        <v>0</v>
      </c>
      <c r="AJ835" s="7" t="n"/>
      <c r="AL835">
        <f>IF(OR($AL$1="",对接源_01水果!$Y835="",对接源_01水果!$Y835&lt;&gt;$AL$1,对接源_01水果!$B835="",N(对接源_01水果!$AJ835)&lt;=0),0,IF(OR(N(对接源_01水果!$B835)&lt;$AL$2,N(对接源_01水果!$B835)&gt;$AL$3),0,1))</f>
        <v>0</v>
      </c>
      <c r="AM835">
        <f>N(AM834)+$AL835</f>
        <v>2</v>
      </c>
      <c r="AN835">
        <f>IF(对接源_01水果!$AC835="","",对接源_01水果!$AC835)</f>
      </c>
      <c r="AO835">
        <f>IF(AN835="",0,IF(MATCH(AN835,$AN$4:$AN$1203,0)=ROW()-3,1,0))</f>
        <v>0</v>
      </c>
      <c r="AP835">
        <f>N(AP834)+$AO835</f>
        <v>13</v>
      </c>
      <c r="AR835">
        <f>IF(OR($AF835=1,$AH835=1),1,0)</f>
        <v>0</v>
      </c>
      <c r="AS835">
        <f>N(AS834)+$AR835</f>
        <v>0</v>
      </c>
    </row>
    <row r="836" ht="14.25" customHeight="1" s="127">
      <c r="A836">
        <f>IF(对接源_01水果!$C836="","",对接源_01水果!$C836)</f>
      </c>
      <c r="B836">
        <f>IF(A836="",0,IF(MATCH(A836,$A$4:$A$2403,0)=ROW()-3,1,0))</f>
        <v>0</v>
      </c>
      <c r="C836">
        <f>N(C835)+B836</f>
        <v>22</v>
      </c>
      <c r="K836">
        <f>IF(OR($K$1="",对接源_01水果!$C836="",对接源_01水果!$C836&lt;&gt;$K$1,对接源_01水果!$B836=""),0,IF(OR(N(对接源_01水果!$B836)&lt;$K$2,N(对接源_01水果!$B836)&gt;$K$3),0,1))</f>
        <v>0</v>
      </c>
      <c r="L836">
        <f>IF(OR($L$1="",对接源_01水果!$C836="",对接源_01水果!$C836&lt;&gt;$L$1,对接源_01水果!$B836=""),0,IF(OR(N(对接源_01水果!$B836)&lt;$L$2,N(对接源_01水果!$B836)&gt;$L$3),0,1))</f>
        <v>0</v>
      </c>
      <c r="M836">
        <f>IF(OR($M$1="",对接源_01水果!$C836="",对接源_01水果!$C836&lt;&gt;$M$1,对接源_01水果!$B836=""),0,IF(OR(N(对接源_01水果!$B836)&lt;$M$2,N(对接源_01水果!$B836)&gt;$M$3),0,1))</f>
        <v>0</v>
      </c>
      <c r="N836">
        <f>IF(OR($N$1="",对接源_01水果!$C836="",对接源_01水果!$C836&lt;&gt;$N$1,对接源_01水果!$B836=""),0,IF(OR(N(对接源_01水果!$B836)&lt;$N$2,N(对接源_01水果!$B836)&gt;$N$3),0,1))</f>
        <v>0</v>
      </c>
      <c r="P836">
        <f>IF(AND($K836=1,AND(对接源_01水果!$X836="公司筐",N(对接源_01水果!$T836)&lt;&gt;0)),1,0)</f>
        <v>0</v>
      </c>
      <c r="Q836">
        <f>N(Q835)+$P836</f>
        <v>0</v>
      </c>
      <c r="R836">
        <f>IF(AND($K836=1,AND(对接源_01水果!$X836="公司筐",N(对接源_01水果!$U836)&lt;&gt;0)),1,0)</f>
        <v>0</v>
      </c>
      <c r="S836">
        <f>N(S835)+$R836</f>
        <v>0</v>
      </c>
      <c r="T836">
        <f>IF(AND($K836=1,AND(对接源_01水果!$X836="公司筐",N(对接源_01水果!$V836)&lt;&gt;0)),1,0)</f>
        <v>0</v>
      </c>
      <c r="U836">
        <f>N(U835)+$T836</f>
        <v>47</v>
      </c>
      <c r="V836">
        <f>IF(AND($L836=1,AND(对接源_01水果!$X836="自备筐",N(对接源_01水果!$V836)&lt;&gt;0)),1,0)</f>
        <v>0</v>
      </c>
      <c r="W836">
        <f>N(W835)+$V836</f>
        <v>11</v>
      </c>
      <c r="X836">
        <f>IF(AND($L836=1,AND(对接源_01水果!$X836="自备筐",N(对接源_01水果!$T836)&lt;&gt;0)),1,0)</f>
        <v>0</v>
      </c>
      <c r="Y836">
        <f>N(Y835)+$X836</f>
        <v>0</v>
      </c>
      <c r="Z836">
        <f>IF(AND($M836=1,对接源_01水果!$D836="原料入库"),1,0)</f>
        <v>0</v>
      </c>
      <c r="AA836">
        <f>N(AA835)+$Z836</f>
        <v>24</v>
      </c>
      <c r="AB836">
        <f>IF(AND($M836=1,LEFT(对接源_01水果!$D836,4)="原料出库"),1,0)</f>
        <v>0</v>
      </c>
      <c r="AC836">
        <f>N(AC835)+$AB836</f>
        <v>0</v>
      </c>
      <c r="AD836">
        <f>IF(AND($M836=1,LEFT(对接源_01水果!$D836,4)="成品出库"),1,0)</f>
        <v>0</v>
      </c>
      <c r="AE836">
        <f>N(AE835)+$AD836</f>
        <v>0</v>
      </c>
      <c r="AF836">
        <f>IF(AND($N836=1,AND(LEFT(对接源_01水果!$D836,4)="包装物料",N(对接源_01水果!$K836)&lt;&gt;0)),1,0)</f>
        <v>0</v>
      </c>
      <c r="AG836">
        <f>N(AG835)+$AF836</f>
        <v>0</v>
      </c>
      <c r="AH836">
        <f>IF(AND($N836=1,AND(对接源_01水果!$D836="周转筐－销售出库",N(对接源_01水果!$K836)&lt;&gt;0)),1,0)</f>
        <v>0</v>
      </c>
      <c r="AI836">
        <f>N(AI835)+$AH836</f>
        <v>0</v>
      </c>
      <c r="AJ836" s="7" t="n"/>
      <c r="AL836">
        <f>IF(OR($AL$1="",对接源_01水果!$Y836="",对接源_01水果!$Y836&lt;&gt;$AL$1,对接源_01水果!$B836="",N(对接源_01水果!$AJ836)&lt;=0),0,IF(OR(N(对接源_01水果!$B836)&lt;$AL$2,N(对接源_01水果!$B836)&gt;$AL$3),0,1))</f>
        <v>0</v>
      </c>
      <c r="AM836">
        <f>N(AM835)+$AL836</f>
        <v>2</v>
      </c>
      <c r="AN836">
        <f>IF(对接源_01水果!$AC836="","",对接源_01水果!$AC836)</f>
      </c>
      <c r="AO836">
        <f>IF(AN836="",0,IF(MATCH(AN836,$AN$4:$AN$1203,0)=ROW()-3,1,0))</f>
        <v>0</v>
      </c>
      <c r="AP836">
        <f>N(AP835)+$AO836</f>
        <v>13</v>
      </c>
      <c r="AR836">
        <f>IF(OR($AF836=1,$AH836=1),1,0)</f>
        <v>0</v>
      </c>
      <c r="AS836">
        <f>N(AS835)+$AR836</f>
        <v>0</v>
      </c>
    </row>
    <row r="837" ht="14.25" customHeight="1" s="127">
      <c r="A837">
        <f>IF(对接源_01水果!$C837="","",对接源_01水果!$C837)</f>
      </c>
      <c r="B837">
        <f>IF(A837="",0,IF(MATCH(A837,$A$4:$A$2403,0)=ROW()-3,1,0))</f>
        <v>0</v>
      </c>
      <c r="C837">
        <f>N(C836)+B837</f>
        <v>22</v>
      </c>
      <c r="K837">
        <f>IF(OR($K$1="",对接源_01水果!$C837="",对接源_01水果!$C837&lt;&gt;$K$1,对接源_01水果!$B837=""),0,IF(OR(N(对接源_01水果!$B837)&lt;$K$2,N(对接源_01水果!$B837)&gt;$K$3),0,1))</f>
        <v>0</v>
      </c>
      <c r="L837">
        <f>IF(OR($L$1="",对接源_01水果!$C837="",对接源_01水果!$C837&lt;&gt;$L$1,对接源_01水果!$B837=""),0,IF(OR(N(对接源_01水果!$B837)&lt;$L$2,N(对接源_01水果!$B837)&gt;$L$3),0,1))</f>
        <v>0</v>
      </c>
      <c r="M837">
        <f>IF(OR($M$1="",对接源_01水果!$C837="",对接源_01水果!$C837&lt;&gt;$M$1,对接源_01水果!$B837=""),0,IF(OR(N(对接源_01水果!$B837)&lt;$M$2,N(对接源_01水果!$B837)&gt;$M$3),0,1))</f>
        <v>0</v>
      </c>
      <c r="N837">
        <f>IF(OR($N$1="",对接源_01水果!$C837="",对接源_01水果!$C837&lt;&gt;$N$1,对接源_01水果!$B837=""),0,IF(OR(N(对接源_01水果!$B837)&lt;$N$2,N(对接源_01水果!$B837)&gt;$N$3),0,1))</f>
        <v>0</v>
      </c>
      <c r="P837">
        <f>IF(AND($K837=1,AND(对接源_01水果!$X837="公司筐",N(对接源_01水果!$T837)&lt;&gt;0)),1,0)</f>
        <v>0</v>
      </c>
      <c r="Q837">
        <f>N(Q836)+$P837</f>
        <v>0</v>
      </c>
      <c r="R837">
        <f>IF(AND($K837=1,AND(对接源_01水果!$X837="公司筐",N(对接源_01水果!$U837)&lt;&gt;0)),1,0)</f>
        <v>0</v>
      </c>
      <c r="S837">
        <f>N(S836)+$R837</f>
        <v>0</v>
      </c>
      <c r="T837">
        <f>IF(AND($K837=1,AND(对接源_01水果!$X837="公司筐",N(对接源_01水果!$V837)&lt;&gt;0)),1,0)</f>
        <v>0</v>
      </c>
      <c r="U837">
        <f>N(U836)+$T837</f>
        <v>47</v>
      </c>
      <c r="V837">
        <f>IF(AND($L837=1,AND(对接源_01水果!$X837="自备筐",N(对接源_01水果!$V837)&lt;&gt;0)),1,0)</f>
        <v>0</v>
      </c>
      <c r="W837">
        <f>N(W836)+$V837</f>
        <v>11</v>
      </c>
      <c r="X837">
        <f>IF(AND($L837=1,AND(对接源_01水果!$X837="自备筐",N(对接源_01水果!$T837)&lt;&gt;0)),1,0)</f>
        <v>0</v>
      </c>
      <c r="Y837">
        <f>N(Y836)+$X837</f>
        <v>0</v>
      </c>
      <c r="Z837">
        <f>IF(AND($M837=1,对接源_01水果!$D837="原料入库"),1,0)</f>
        <v>0</v>
      </c>
      <c r="AA837">
        <f>N(AA836)+$Z837</f>
        <v>24</v>
      </c>
      <c r="AB837">
        <f>IF(AND($M837=1,LEFT(对接源_01水果!$D837,4)="原料出库"),1,0)</f>
        <v>0</v>
      </c>
      <c r="AC837">
        <f>N(AC836)+$AB837</f>
        <v>0</v>
      </c>
      <c r="AD837">
        <f>IF(AND($M837=1,LEFT(对接源_01水果!$D837,4)="成品出库"),1,0)</f>
        <v>0</v>
      </c>
      <c r="AE837">
        <f>N(AE836)+$AD837</f>
        <v>0</v>
      </c>
      <c r="AF837">
        <f>IF(AND($N837=1,AND(LEFT(对接源_01水果!$D837,4)="包装物料",N(对接源_01水果!$K837)&lt;&gt;0)),1,0)</f>
        <v>0</v>
      </c>
      <c r="AG837">
        <f>N(AG836)+$AF837</f>
        <v>0</v>
      </c>
      <c r="AH837">
        <f>IF(AND($N837=1,AND(对接源_01水果!$D837="周转筐－销售出库",N(对接源_01水果!$K837)&lt;&gt;0)),1,0)</f>
        <v>0</v>
      </c>
      <c r="AI837">
        <f>N(AI836)+$AH837</f>
        <v>0</v>
      </c>
      <c r="AJ837" s="7" t="n"/>
      <c r="AL837">
        <f>IF(OR($AL$1="",对接源_01水果!$Y837="",对接源_01水果!$Y837&lt;&gt;$AL$1,对接源_01水果!$B837="",N(对接源_01水果!$AJ837)&lt;=0),0,IF(OR(N(对接源_01水果!$B837)&lt;$AL$2,N(对接源_01水果!$B837)&gt;$AL$3),0,1))</f>
        <v>0</v>
      </c>
      <c r="AM837">
        <f>N(AM836)+$AL837</f>
        <v>2</v>
      </c>
      <c r="AN837">
        <f>IF(对接源_01水果!$AC837="","",对接源_01水果!$AC837)</f>
      </c>
      <c r="AO837">
        <f>IF(AN837="",0,IF(MATCH(AN837,$AN$4:$AN$1203,0)=ROW()-3,1,0))</f>
        <v>0</v>
      </c>
      <c r="AP837">
        <f>N(AP836)+$AO837</f>
        <v>13</v>
      </c>
      <c r="AR837">
        <f>IF(OR($AF837=1,$AH837=1),1,0)</f>
        <v>0</v>
      </c>
      <c r="AS837">
        <f>N(AS836)+$AR837</f>
        <v>0</v>
      </c>
    </row>
    <row r="838" ht="14.25" customHeight="1" s="127">
      <c r="A838">
        <f>IF(对接源_01水果!$C838="","",对接源_01水果!$C838)</f>
      </c>
      <c r="B838">
        <f>IF(A838="",0,IF(MATCH(A838,$A$4:$A$2403,0)=ROW()-3,1,0))</f>
        <v>0</v>
      </c>
      <c r="C838">
        <f>N(C837)+B838</f>
        <v>22</v>
      </c>
      <c r="K838">
        <f>IF(OR($K$1="",对接源_01水果!$C838="",对接源_01水果!$C838&lt;&gt;$K$1,对接源_01水果!$B838=""),0,IF(OR(N(对接源_01水果!$B838)&lt;$K$2,N(对接源_01水果!$B838)&gt;$K$3),0,1))</f>
        <v>0</v>
      </c>
      <c r="L838">
        <f>IF(OR($L$1="",对接源_01水果!$C838="",对接源_01水果!$C838&lt;&gt;$L$1,对接源_01水果!$B838=""),0,IF(OR(N(对接源_01水果!$B838)&lt;$L$2,N(对接源_01水果!$B838)&gt;$L$3),0,1))</f>
        <v>0</v>
      </c>
      <c r="M838">
        <f>IF(OR($M$1="",对接源_01水果!$C838="",对接源_01水果!$C838&lt;&gt;$M$1,对接源_01水果!$B838=""),0,IF(OR(N(对接源_01水果!$B838)&lt;$M$2,N(对接源_01水果!$B838)&gt;$M$3),0,1))</f>
        <v>0</v>
      </c>
      <c r="N838">
        <f>IF(OR($N$1="",对接源_01水果!$C838="",对接源_01水果!$C838&lt;&gt;$N$1,对接源_01水果!$B838=""),0,IF(OR(N(对接源_01水果!$B838)&lt;$N$2,N(对接源_01水果!$B838)&gt;$N$3),0,1))</f>
        <v>0</v>
      </c>
      <c r="P838">
        <f>IF(AND($K838=1,AND(对接源_01水果!$X838="公司筐",N(对接源_01水果!$T838)&lt;&gt;0)),1,0)</f>
        <v>0</v>
      </c>
      <c r="Q838">
        <f>N(Q837)+$P838</f>
        <v>0</v>
      </c>
      <c r="R838">
        <f>IF(AND($K838=1,AND(对接源_01水果!$X838="公司筐",N(对接源_01水果!$U838)&lt;&gt;0)),1,0)</f>
        <v>0</v>
      </c>
      <c r="S838">
        <f>N(S837)+$R838</f>
        <v>0</v>
      </c>
      <c r="T838">
        <f>IF(AND($K838=1,AND(对接源_01水果!$X838="公司筐",N(对接源_01水果!$V838)&lt;&gt;0)),1,0)</f>
        <v>0</v>
      </c>
      <c r="U838">
        <f>N(U837)+$T838</f>
        <v>47</v>
      </c>
      <c r="V838">
        <f>IF(AND($L838=1,AND(对接源_01水果!$X838="自备筐",N(对接源_01水果!$V838)&lt;&gt;0)),1,0)</f>
        <v>0</v>
      </c>
      <c r="W838">
        <f>N(W837)+$V838</f>
        <v>11</v>
      </c>
      <c r="X838">
        <f>IF(AND($L838=1,AND(对接源_01水果!$X838="自备筐",N(对接源_01水果!$T838)&lt;&gt;0)),1,0)</f>
        <v>0</v>
      </c>
      <c r="Y838">
        <f>N(Y837)+$X838</f>
        <v>0</v>
      </c>
      <c r="Z838">
        <f>IF(AND($M838=1,对接源_01水果!$D838="原料入库"),1,0)</f>
        <v>0</v>
      </c>
      <c r="AA838">
        <f>N(AA837)+$Z838</f>
        <v>24</v>
      </c>
      <c r="AB838">
        <f>IF(AND($M838=1,LEFT(对接源_01水果!$D838,4)="原料出库"),1,0)</f>
        <v>0</v>
      </c>
      <c r="AC838">
        <f>N(AC837)+$AB838</f>
        <v>0</v>
      </c>
      <c r="AD838">
        <f>IF(AND($M838=1,LEFT(对接源_01水果!$D838,4)="成品出库"),1,0)</f>
        <v>0</v>
      </c>
      <c r="AE838">
        <f>N(AE837)+$AD838</f>
        <v>0</v>
      </c>
      <c r="AF838">
        <f>IF(AND($N838=1,AND(LEFT(对接源_01水果!$D838,4)="包装物料",N(对接源_01水果!$K838)&lt;&gt;0)),1,0)</f>
        <v>0</v>
      </c>
      <c r="AG838">
        <f>N(AG837)+$AF838</f>
        <v>0</v>
      </c>
      <c r="AH838">
        <f>IF(AND($N838=1,AND(对接源_01水果!$D838="周转筐－销售出库",N(对接源_01水果!$K838)&lt;&gt;0)),1,0)</f>
        <v>0</v>
      </c>
      <c r="AI838">
        <f>N(AI837)+$AH838</f>
        <v>0</v>
      </c>
      <c r="AJ838" s="7" t="n"/>
      <c r="AL838">
        <f>IF(OR($AL$1="",对接源_01水果!$Y838="",对接源_01水果!$Y838&lt;&gt;$AL$1,对接源_01水果!$B838="",N(对接源_01水果!$AJ838)&lt;=0),0,IF(OR(N(对接源_01水果!$B838)&lt;$AL$2,N(对接源_01水果!$B838)&gt;$AL$3),0,1))</f>
        <v>0</v>
      </c>
      <c r="AM838">
        <f>N(AM837)+$AL838</f>
        <v>2</v>
      </c>
      <c r="AN838">
        <f>IF(对接源_01水果!$AC838="","",对接源_01水果!$AC838)</f>
      </c>
      <c r="AO838">
        <f>IF(AN838="",0,IF(MATCH(AN838,$AN$4:$AN$1203,0)=ROW()-3,1,0))</f>
        <v>0</v>
      </c>
      <c r="AP838">
        <f>N(AP837)+$AO838</f>
        <v>13</v>
      </c>
      <c r="AR838">
        <f>IF(OR($AF838=1,$AH838=1),1,0)</f>
        <v>0</v>
      </c>
      <c r="AS838">
        <f>N(AS837)+$AR838</f>
        <v>0</v>
      </c>
    </row>
    <row r="839" ht="14.25" customHeight="1" s="127">
      <c r="A839">
        <f>IF(对接源_01水果!$C839="","",对接源_01水果!$C839)</f>
      </c>
      <c r="B839">
        <f>IF(A839="",0,IF(MATCH(A839,$A$4:$A$2403,0)=ROW()-3,1,0))</f>
        <v>0</v>
      </c>
      <c r="C839">
        <f>N(C838)+B839</f>
        <v>22</v>
      </c>
      <c r="K839">
        <f>IF(OR($K$1="",对接源_01水果!$C839="",对接源_01水果!$C839&lt;&gt;$K$1,对接源_01水果!$B839=""),0,IF(OR(N(对接源_01水果!$B839)&lt;$K$2,N(对接源_01水果!$B839)&gt;$K$3),0,1))</f>
        <v>0</v>
      </c>
      <c r="L839">
        <f>IF(OR($L$1="",对接源_01水果!$C839="",对接源_01水果!$C839&lt;&gt;$L$1,对接源_01水果!$B839=""),0,IF(OR(N(对接源_01水果!$B839)&lt;$L$2,N(对接源_01水果!$B839)&gt;$L$3),0,1))</f>
        <v>0</v>
      </c>
      <c r="M839">
        <f>IF(OR($M$1="",对接源_01水果!$C839="",对接源_01水果!$C839&lt;&gt;$M$1,对接源_01水果!$B839=""),0,IF(OR(N(对接源_01水果!$B839)&lt;$M$2,N(对接源_01水果!$B839)&gt;$M$3),0,1))</f>
        <v>0</v>
      </c>
      <c r="N839">
        <f>IF(OR($N$1="",对接源_01水果!$C839="",对接源_01水果!$C839&lt;&gt;$N$1,对接源_01水果!$B839=""),0,IF(OR(N(对接源_01水果!$B839)&lt;$N$2,N(对接源_01水果!$B839)&gt;$N$3),0,1))</f>
        <v>0</v>
      </c>
      <c r="P839">
        <f>IF(AND($K839=1,AND(对接源_01水果!$X839="公司筐",N(对接源_01水果!$T839)&lt;&gt;0)),1,0)</f>
        <v>0</v>
      </c>
      <c r="Q839">
        <f>N(Q838)+$P839</f>
        <v>0</v>
      </c>
      <c r="R839">
        <f>IF(AND($K839=1,AND(对接源_01水果!$X839="公司筐",N(对接源_01水果!$U839)&lt;&gt;0)),1,0)</f>
        <v>0</v>
      </c>
      <c r="S839">
        <f>N(S838)+$R839</f>
        <v>0</v>
      </c>
      <c r="T839">
        <f>IF(AND($K839=1,AND(对接源_01水果!$X839="公司筐",N(对接源_01水果!$V839)&lt;&gt;0)),1,0)</f>
        <v>0</v>
      </c>
      <c r="U839">
        <f>N(U838)+$T839</f>
        <v>47</v>
      </c>
      <c r="V839">
        <f>IF(AND($L839=1,AND(对接源_01水果!$X839="自备筐",N(对接源_01水果!$V839)&lt;&gt;0)),1,0)</f>
        <v>0</v>
      </c>
      <c r="W839">
        <f>N(W838)+$V839</f>
        <v>11</v>
      </c>
      <c r="X839">
        <f>IF(AND($L839=1,AND(对接源_01水果!$X839="自备筐",N(对接源_01水果!$T839)&lt;&gt;0)),1,0)</f>
        <v>0</v>
      </c>
      <c r="Y839">
        <f>N(Y838)+$X839</f>
        <v>0</v>
      </c>
      <c r="Z839">
        <f>IF(AND($M839=1,对接源_01水果!$D839="原料入库"),1,0)</f>
        <v>0</v>
      </c>
      <c r="AA839">
        <f>N(AA838)+$Z839</f>
        <v>24</v>
      </c>
      <c r="AB839">
        <f>IF(AND($M839=1,LEFT(对接源_01水果!$D839,4)="原料出库"),1,0)</f>
        <v>0</v>
      </c>
      <c r="AC839">
        <f>N(AC838)+$AB839</f>
        <v>0</v>
      </c>
      <c r="AD839">
        <f>IF(AND($M839=1,LEFT(对接源_01水果!$D839,4)="成品出库"),1,0)</f>
        <v>0</v>
      </c>
      <c r="AE839">
        <f>N(AE838)+$AD839</f>
        <v>0</v>
      </c>
      <c r="AF839">
        <f>IF(AND($N839=1,AND(LEFT(对接源_01水果!$D839,4)="包装物料",N(对接源_01水果!$K839)&lt;&gt;0)),1,0)</f>
        <v>0</v>
      </c>
      <c r="AG839">
        <f>N(AG838)+$AF839</f>
        <v>0</v>
      </c>
      <c r="AH839">
        <f>IF(AND($N839=1,AND(对接源_01水果!$D839="周转筐－销售出库",N(对接源_01水果!$K839)&lt;&gt;0)),1,0)</f>
        <v>0</v>
      </c>
      <c r="AI839">
        <f>N(AI838)+$AH839</f>
        <v>0</v>
      </c>
      <c r="AJ839" s="7" t="n"/>
      <c r="AL839">
        <f>IF(OR($AL$1="",对接源_01水果!$Y839="",对接源_01水果!$Y839&lt;&gt;$AL$1,对接源_01水果!$B839="",N(对接源_01水果!$AJ839)&lt;=0),0,IF(OR(N(对接源_01水果!$B839)&lt;$AL$2,N(对接源_01水果!$B839)&gt;$AL$3),0,1))</f>
        <v>0</v>
      </c>
      <c r="AM839">
        <f>N(AM838)+$AL839</f>
        <v>2</v>
      </c>
      <c r="AN839">
        <f>IF(对接源_01水果!$AC839="","",对接源_01水果!$AC839)</f>
      </c>
      <c r="AO839">
        <f>IF(AN839="",0,IF(MATCH(AN839,$AN$4:$AN$1203,0)=ROW()-3,1,0))</f>
        <v>0</v>
      </c>
      <c r="AP839">
        <f>N(AP838)+$AO839</f>
        <v>13</v>
      </c>
      <c r="AR839">
        <f>IF(OR($AF839=1,$AH839=1),1,0)</f>
        <v>0</v>
      </c>
      <c r="AS839">
        <f>N(AS838)+$AR839</f>
        <v>0</v>
      </c>
    </row>
    <row r="840" ht="14.25" customHeight="1" s="127">
      <c r="A840">
        <f>IF(对接源_01水果!$C840="","",对接源_01水果!$C840)</f>
      </c>
      <c r="B840">
        <f>IF(A840="",0,IF(MATCH(A840,$A$4:$A$2403,0)=ROW()-3,1,0))</f>
        <v>0</v>
      </c>
      <c r="C840">
        <f>N(C839)+B840</f>
        <v>22</v>
      </c>
      <c r="K840">
        <f>IF(OR($K$1="",对接源_01水果!$C840="",对接源_01水果!$C840&lt;&gt;$K$1,对接源_01水果!$B840=""),0,IF(OR(N(对接源_01水果!$B840)&lt;$K$2,N(对接源_01水果!$B840)&gt;$K$3),0,1))</f>
        <v>0</v>
      </c>
      <c r="L840">
        <f>IF(OR($L$1="",对接源_01水果!$C840="",对接源_01水果!$C840&lt;&gt;$L$1,对接源_01水果!$B840=""),0,IF(OR(N(对接源_01水果!$B840)&lt;$L$2,N(对接源_01水果!$B840)&gt;$L$3),0,1))</f>
        <v>0</v>
      </c>
      <c r="M840">
        <f>IF(OR($M$1="",对接源_01水果!$C840="",对接源_01水果!$C840&lt;&gt;$M$1,对接源_01水果!$B840=""),0,IF(OR(N(对接源_01水果!$B840)&lt;$M$2,N(对接源_01水果!$B840)&gt;$M$3),0,1))</f>
        <v>0</v>
      </c>
      <c r="N840">
        <f>IF(OR($N$1="",对接源_01水果!$C840="",对接源_01水果!$C840&lt;&gt;$N$1,对接源_01水果!$B840=""),0,IF(OR(N(对接源_01水果!$B840)&lt;$N$2,N(对接源_01水果!$B840)&gt;$N$3),0,1))</f>
        <v>0</v>
      </c>
      <c r="P840">
        <f>IF(AND($K840=1,AND(对接源_01水果!$X840="公司筐",N(对接源_01水果!$T840)&lt;&gt;0)),1,0)</f>
        <v>0</v>
      </c>
      <c r="Q840">
        <f>N(Q839)+$P840</f>
        <v>0</v>
      </c>
      <c r="R840">
        <f>IF(AND($K840=1,AND(对接源_01水果!$X840="公司筐",N(对接源_01水果!$U840)&lt;&gt;0)),1,0)</f>
        <v>0</v>
      </c>
      <c r="S840">
        <f>N(S839)+$R840</f>
        <v>0</v>
      </c>
      <c r="T840">
        <f>IF(AND($K840=1,AND(对接源_01水果!$X840="公司筐",N(对接源_01水果!$V840)&lt;&gt;0)),1,0)</f>
        <v>0</v>
      </c>
      <c r="U840">
        <f>N(U839)+$T840</f>
        <v>47</v>
      </c>
      <c r="V840">
        <f>IF(AND($L840=1,AND(对接源_01水果!$X840="自备筐",N(对接源_01水果!$V840)&lt;&gt;0)),1,0)</f>
        <v>0</v>
      </c>
      <c r="W840">
        <f>N(W839)+$V840</f>
        <v>11</v>
      </c>
      <c r="X840">
        <f>IF(AND($L840=1,AND(对接源_01水果!$X840="自备筐",N(对接源_01水果!$T840)&lt;&gt;0)),1,0)</f>
        <v>0</v>
      </c>
      <c r="Y840">
        <f>N(Y839)+$X840</f>
        <v>0</v>
      </c>
      <c r="Z840">
        <f>IF(AND($M840=1,对接源_01水果!$D840="原料入库"),1,0)</f>
        <v>0</v>
      </c>
      <c r="AA840">
        <f>N(AA839)+$Z840</f>
        <v>24</v>
      </c>
      <c r="AB840">
        <f>IF(AND($M840=1,LEFT(对接源_01水果!$D840,4)="原料出库"),1,0)</f>
        <v>0</v>
      </c>
      <c r="AC840">
        <f>N(AC839)+$AB840</f>
        <v>0</v>
      </c>
      <c r="AD840">
        <f>IF(AND($M840=1,LEFT(对接源_01水果!$D840,4)="成品出库"),1,0)</f>
        <v>0</v>
      </c>
      <c r="AE840">
        <f>N(AE839)+$AD840</f>
        <v>0</v>
      </c>
      <c r="AF840">
        <f>IF(AND($N840=1,AND(LEFT(对接源_01水果!$D840,4)="包装物料",N(对接源_01水果!$K840)&lt;&gt;0)),1,0)</f>
        <v>0</v>
      </c>
      <c r="AG840">
        <f>N(AG839)+$AF840</f>
        <v>0</v>
      </c>
      <c r="AH840">
        <f>IF(AND($N840=1,AND(对接源_01水果!$D840="周转筐－销售出库",N(对接源_01水果!$K840)&lt;&gt;0)),1,0)</f>
        <v>0</v>
      </c>
      <c r="AI840">
        <f>N(AI839)+$AH840</f>
        <v>0</v>
      </c>
      <c r="AJ840" s="7" t="n"/>
      <c r="AL840">
        <f>IF(OR($AL$1="",对接源_01水果!$Y840="",对接源_01水果!$Y840&lt;&gt;$AL$1,对接源_01水果!$B840="",N(对接源_01水果!$AJ840)&lt;=0),0,IF(OR(N(对接源_01水果!$B840)&lt;$AL$2,N(对接源_01水果!$B840)&gt;$AL$3),0,1))</f>
        <v>0</v>
      </c>
      <c r="AM840">
        <f>N(AM839)+$AL840</f>
        <v>2</v>
      </c>
      <c r="AN840">
        <f>IF(对接源_01水果!$AC840="","",对接源_01水果!$AC840)</f>
      </c>
      <c r="AO840">
        <f>IF(AN840="",0,IF(MATCH(AN840,$AN$4:$AN$1203,0)=ROW()-3,1,0))</f>
        <v>0</v>
      </c>
      <c r="AP840">
        <f>N(AP839)+$AO840</f>
        <v>13</v>
      </c>
      <c r="AR840">
        <f>IF(OR($AF840=1,$AH840=1),1,0)</f>
        <v>0</v>
      </c>
      <c r="AS840">
        <f>N(AS839)+$AR840</f>
        <v>0</v>
      </c>
    </row>
    <row r="841" ht="14.25" customHeight="1" s="127">
      <c r="A841">
        <f>IF(对接源_01水果!$C841="","",对接源_01水果!$C841)</f>
      </c>
      <c r="B841">
        <f>IF(A841="",0,IF(MATCH(A841,$A$4:$A$2403,0)=ROW()-3,1,0))</f>
        <v>0</v>
      </c>
      <c r="C841">
        <f>N(C840)+B841</f>
        <v>22</v>
      </c>
      <c r="K841">
        <f>IF(OR($K$1="",对接源_01水果!$C841="",对接源_01水果!$C841&lt;&gt;$K$1,对接源_01水果!$B841=""),0,IF(OR(N(对接源_01水果!$B841)&lt;$K$2,N(对接源_01水果!$B841)&gt;$K$3),0,1))</f>
        <v>0</v>
      </c>
      <c r="L841">
        <f>IF(OR($L$1="",对接源_01水果!$C841="",对接源_01水果!$C841&lt;&gt;$L$1,对接源_01水果!$B841=""),0,IF(OR(N(对接源_01水果!$B841)&lt;$L$2,N(对接源_01水果!$B841)&gt;$L$3),0,1))</f>
        <v>0</v>
      </c>
      <c r="M841">
        <f>IF(OR($M$1="",对接源_01水果!$C841="",对接源_01水果!$C841&lt;&gt;$M$1,对接源_01水果!$B841=""),0,IF(OR(N(对接源_01水果!$B841)&lt;$M$2,N(对接源_01水果!$B841)&gt;$M$3),0,1))</f>
        <v>0</v>
      </c>
      <c r="N841">
        <f>IF(OR($N$1="",对接源_01水果!$C841="",对接源_01水果!$C841&lt;&gt;$N$1,对接源_01水果!$B841=""),0,IF(OR(N(对接源_01水果!$B841)&lt;$N$2,N(对接源_01水果!$B841)&gt;$N$3),0,1))</f>
        <v>0</v>
      </c>
      <c r="P841">
        <f>IF(AND($K841=1,AND(对接源_01水果!$X841="公司筐",N(对接源_01水果!$T841)&lt;&gt;0)),1,0)</f>
        <v>0</v>
      </c>
      <c r="Q841">
        <f>N(Q840)+$P841</f>
        <v>0</v>
      </c>
      <c r="R841">
        <f>IF(AND($K841=1,AND(对接源_01水果!$X841="公司筐",N(对接源_01水果!$U841)&lt;&gt;0)),1,0)</f>
        <v>0</v>
      </c>
      <c r="S841">
        <f>N(S840)+$R841</f>
        <v>0</v>
      </c>
      <c r="T841">
        <f>IF(AND($K841=1,AND(对接源_01水果!$X841="公司筐",N(对接源_01水果!$V841)&lt;&gt;0)),1,0)</f>
        <v>0</v>
      </c>
      <c r="U841">
        <f>N(U840)+$T841</f>
        <v>47</v>
      </c>
      <c r="V841">
        <f>IF(AND($L841=1,AND(对接源_01水果!$X841="自备筐",N(对接源_01水果!$V841)&lt;&gt;0)),1,0)</f>
        <v>0</v>
      </c>
      <c r="W841">
        <f>N(W840)+$V841</f>
        <v>11</v>
      </c>
      <c r="X841">
        <f>IF(AND($L841=1,AND(对接源_01水果!$X841="自备筐",N(对接源_01水果!$T841)&lt;&gt;0)),1,0)</f>
        <v>0</v>
      </c>
      <c r="Y841">
        <f>N(Y840)+$X841</f>
        <v>0</v>
      </c>
      <c r="Z841">
        <f>IF(AND($M841=1,对接源_01水果!$D841="原料入库"),1,0)</f>
        <v>0</v>
      </c>
      <c r="AA841">
        <f>N(AA840)+$Z841</f>
        <v>24</v>
      </c>
      <c r="AB841">
        <f>IF(AND($M841=1,LEFT(对接源_01水果!$D841,4)="原料出库"),1,0)</f>
        <v>0</v>
      </c>
      <c r="AC841">
        <f>N(AC840)+$AB841</f>
        <v>0</v>
      </c>
      <c r="AD841">
        <f>IF(AND($M841=1,LEFT(对接源_01水果!$D841,4)="成品出库"),1,0)</f>
        <v>0</v>
      </c>
      <c r="AE841">
        <f>N(AE840)+$AD841</f>
        <v>0</v>
      </c>
      <c r="AF841">
        <f>IF(AND($N841=1,AND(LEFT(对接源_01水果!$D841,4)="包装物料",N(对接源_01水果!$K841)&lt;&gt;0)),1,0)</f>
        <v>0</v>
      </c>
      <c r="AG841">
        <f>N(AG840)+$AF841</f>
        <v>0</v>
      </c>
      <c r="AH841">
        <f>IF(AND($N841=1,AND(对接源_01水果!$D841="周转筐－销售出库",N(对接源_01水果!$K841)&lt;&gt;0)),1,0)</f>
        <v>0</v>
      </c>
      <c r="AI841">
        <f>N(AI840)+$AH841</f>
        <v>0</v>
      </c>
      <c r="AJ841" s="7" t="n"/>
      <c r="AL841">
        <f>IF(OR($AL$1="",对接源_01水果!$Y841="",对接源_01水果!$Y841&lt;&gt;$AL$1,对接源_01水果!$B841="",N(对接源_01水果!$AJ841)&lt;=0),0,IF(OR(N(对接源_01水果!$B841)&lt;$AL$2,N(对接源_01水果!$B841)&gt;$AL$3),0,1))</f>
        <v>0</v>
      </c>
      <c r="AM841">
        <f>N(AM840)+$AL841</f>
        <v>2</v>
      </c>
      <c r="AN841">
        <f>IF(对接源_01水果!$AC841="","",对接源_01水果!$AC841)</f>
      </c>
      <c r="AO841">
        <f>IF(AN841="",0,IF(MATCH(AN841,$AN$4:$AN$1203,0)=ROW()-3,1,0))</f>
        <v>0</v>
      </c>
      <c r="AP841">
        <f>N(AP840)+$AO841</f>
        <v>13</v>
      </c>
      <c r="AR841">
        <f>IF(OR($AF841=1,$AH841=1),1,0)</f>
        <v>0</v>
      </c>
      <c r="AS841">
        <f>N(AS840)+$AR841</f>
        <v>0</v>
      </c>
    </row>
    <row r="842" ht="14.25" customHeight="1" s="127">
      <c r="A842">
        <f>IF(对接源_01水果!$C842="","",对接源_01水果!$C842)</f>
      </c>
      <c r="B842">
        <f>IF(A842="",0,IF(MATCH(A842,$A$4:$A$2403,0)=ROW()-3,1,0))</f>
        <v>0</v>
      </c>
      <c r="C842">
        <f>N(C841)+B842</f>
        <v>22</v>
      </c>
      <c r="K842">
        <f>IF(OR($K$1="",对接源_01水果!$C842="",对接源_01水果!$C842&lt;&gt;$K$1,对接源_01水果!$B842=""),0,IF(OR(N(对接源_01水果!$B842)&lt;$K$2,N(对接源_01水果!$B842)&gt;$K$3),0,1))</f>
        <v>0</v>
      </c>
      <c r="L842">
        <f>IF(OR($L$1="",对接源_01水果!$C842="",对接源_01水果!$C842&lt;&gt;$L$1,对接源_01水果!$B842=""),0,IF(OR(N(对接源_01水果!$B842)&lt;$L$2,N(对接源_01水果!$B842)&gt;$L$3),0,1))</f>
        <v>0</v>
      </c>
      <c r="M842">
        <f>IF(OR($M$1="",对接源_01水果!$C842="",对接源_01水果!$C842&lt;&gt;$M$1,对接源_01水果!$B842=""),0,IF(OR(N(对接源_01水果!$B842)&lt;$M$2,N(对接源_01水果!$B842)&gt;$M$3),0,1))</f>
        <v>0</v>
      </c>
      <c r="N842">
        <f>IF(OR($N$1="",对接源_01水果!$C842="",对接源_01水果!$C842&lt;&gt;$N$1,对接源_01水果!$B842=""),0,IF(OR(N(对接源_01水果!$B842)&lt;$N$2,N(对接源_01水果!$B842)&gt;$N$3),0,1))</f>
        <v>0</v>
      </c>
      <c r="P842">
        <f>IF(AND($K842=1,AND(对接源_01水果!$X842="公司筐",N(对接源_01水果!$T842)&lt;&gt;0)),1,0)</f>
        <v>0</v>
      </c>
      <c r="Q842">
        <f>N(Q841)+$P842</f>
        <v>0</v>
      </c>
      <c r="R842">
        <f>IF(AND($K842=1,AND(对接源_01水果!$X842="公司筐",N(对接源_01水果!$U842)&lt;&gt;0)),1,0)</f>
        <v>0</v>
      </c>
      <c r="S842">
        <f>N(S841)+$R842</f>
        <v>0</v>
      </c>
      <c r="T842">
        <f>IF(AND($K842=1,AND(对接源_01水果!$X842="公司筐",N(对接源_01水果!$V842)&lt;&gt;0)),1,0)</f>
        <v>0</v>
      </c>
      <c r="U842">
        <f>N(U841)+$T842</f>
        <v>47</v>
      </c>
      <c r="V842">
        <f>IF(AND($L842=1,AND(对接源_01水果!$X842="自备筐",N(对接源_01水果!$V842)&lt;&gt;0)),1,0)</f>
        <v>0</v>
      </c>
      <c r="W842">
        <f>N(W841)+$V842</f>
        <v>11</v>
      </c>
      <c r="X842">
        <f>IF(AND($L842=1,AND(对接源_01水果!$X842="自备筐",N(对接源_01水果!$T842)&lt;&gt;0)),1,0)</f>
        <v>0</v>
      </c>
      <c r="Y842">
        <f>N(Y841)+$X842</f>
        <v>0</v>
      </c>
      <c r="Z842">
        <f>IF(AND($M842=1,对接源_01水果!$D842="原料入库"),1,0)</f>
        <v>0</v>
      </c>
      <c r="AA842">
        <f>N(AA841)+$Z842</f>
        <v>24</v>
      </c>
      <c r="AB842">
        <f>IF(AND($M842=1,LEFT(对接源_01水果!$D842,4)="原料出库"),1,0)</f>
        <v>0</v>
      </c>
      <c r="AC842">
        <f>N(AC841)+$AB842</f>
        <v>0</v>
      </c>
      <c r="AD842">
        <f>IF(AND($M842=1,LEFT(对接源_01水果!$D842,4)="成品出库"),1,0)</f>
        <v>0</v>
      </c>
      <c r="AE842">
        <f>N(AE841)+$AD842</f>
        <v>0</v>
      </c>
      <c r="AF842">
        <f>IF(AND($N842=1,AND(LEFT(对接源_01水果!$D842,4)="包装物料",N(对接源_01水果!$K842)&lt;&gt;0)),1,0)</f>
        <v>0</v>
      </c>
      <c r="AG842">
        <f>N(AG841)+$AF842</f>
        <v>0</v>
      </c>
      <c r="AH842">
        <f>IF(AND($N842=1,AND(对接源_01水果!$D842="周转筐－销售出库",N(对接源_01水果!$K842)&lt;&gt;0)),1,0)</f>
        <v>0</v>
      </c>
      <c r="AI842">
        <f>N(AI841)+$AH842</f>
        <v>0</v>
      </c>
      <c r="AJ842" s="7" t="n"/>
      <c r="AL842">
        <f>IF(OR($AL$1="",对接源_01水果!$Y842="",对接源_01水果!$Y842&lt;&gt;$AL$1,对接源_01水果!$B842="",N(对接源_01水果!$AJ842)&lt;=0),0,IF(OR(N(对接源_01水果!$B842)&lt;$AL$2,N(对接源_01水果!$B842)&gt;$AL$3),0,1))</f>
        <v>0</v>
      </c>
      <c r="AM842">
        <f>N(AM841)+$AL842</f>
        <v>2</v>
      </c>
      <c r="AN842">
        <f>IF(对接源_01水果!$AC842="","",对接源_01水果!$AC842)</f>
      </c>
      <c r="AO842">
        <f>IF(AN842="",0,IF(MATCH(AN842,$AN$4:$AN$1203,0)=ROW()-3,1,0))</f>
        <v>0</v>
      </c>
      <c r="AP842">
        <f>N(AP841)+$AO842</f>
        <v>13</v>
      </c>
      <c r="AR842">
        <f>IF(OR($AF842=1,$AH842=1),1,0)</f>
        <v>0</v>
      </c>
      <c r="AS842">
        <f>N(AS841)+$AR842</f>
        <v>0</v>
      </c>
    </row>
    <row r="843" ht="14.25" customHeight="1" s="127">
      <c r="A843">
        <f>IF(对接源_01水果!$C843="","",对接源_01水果!$C843)</f>
      </c>
      <c r="B843">
        <f>IF(A843="",0,IF(MATCH(A843,$A$4:$A$2403,0)=ROW()-3,1,0))</f>
        <v>0</v>
      </c>
      <c r="C843">
        <f>N(C842)+B843</f>
        <v>22</v>
      </c>
      <c r="K843">
        <f>IF(OR($K$1="",对接源_01水果!$C843="",对接源_01水果!$C843&lt;&gt;$K$1,对接源_01水果!$B843=""),0,IF(OR(N(对接源_01水果!$B843)&lt;$K$2,N(对接源_01水果!$B843)&gt;$K$3),0,1))</f>
        <v>0</v>
      </c>
      <c r="L843">
        <f>IF(OR($L$1="",对接源_01水果!$C843="",对接源_01水果!$C843&lt;&gt;$L$1,对接源_01水果!$B843=""),0,IF(OR(N(对接源_01水果!$B843)&lt;$L$2,N(对接源_01水果!$B843)&gt;$L$3),0,1))</f>
        <v>0</v>
      </c>
      <c r="M843">
        <f>IF(OR($M$1="",对接源_01水果!$C843="",对接源_01水果!$C843&lt;&gt;$M$1,对接源_01水果!$B843=""),0,IF(OR(N(对接源_01水果!$B843)&lt;$M$2,N(对接源_01水果!$B843)&gt;$M$3),0,1))</f>
        <v>0</v>
      </c>
      <c r="N843">
        <f>IF(OR($N$1="",对接源_01水果!$C843="",对接源_01水果!$C843&lt;&gt;$N$1,对接源_01水果!$B843=""),0,IF(OR(N(对接源_01水果!$B843)&lt;$N$2,N(对接源_01水果!$B843)&gt;$N$3),0,1))</f>
        <v>0</v>
      </c>
      <c r="P843">
        <f>IF(AND($K843=1,AND(对接源_01水果!$X843="公司筐",N(对接源_01水果!$T843)&lt;&gt;0)),1,0)</f>
        <v>0</v>
      </c>
      <c r="Q843">
        <f>N(Q842)+$P843</f>
        <v>0</v>
      </c>
      <c r="R843">
        <f>IF(AND($K843=1,AND(对接源_01水果!$X843="公司筐",N(对接源_01水果!$U843)&lt;&gt;0)),1,0)</f>
        <v>0</v>
      </c>
      <c r="S843">
        <f>N(S842)+$R843</f>
        <v>0</v>
      </c>
      <c r="T843">
        <f>IF(AND($K843=1,AND(对接源_01水果!$X843="公司筐",N(对接源_01水果!$V843)&lt;&gt;0)),1,0)</f>
        <v>0</v>
      </c>
      <c r="U843">
        <f>N(U842)+$T843</f>
        <v>47</v>
      </c>
      <c r="V843">
        <f>IF(AND($L843=1,AND(对接源_01水果!$X843="自备筐",N(对接源_01水果!$V843)&lt;&gt;0)),1,0)</f>
        <v>0</v>
      </c>
      <c r="W843">
        <f>N(W842)+$V843</f>
        <v>11</v>
      </c>
      <c r="X843">
        <f>IF(AND($L843=1,AND(对接源_01水果!$X843="自备筐",N(对接源_01水果!$T843)&lt;&gt;0)),1,0)</f>
        <v>0</v>
      </c>
      <c r="Y843">
        <f>N(Y842)+$X843</f>
        <v>0</v>
      </c>
      <c r="Z843">
        <f>IF(AND($M843=1,对接源_01水果!$D843="原料入库"),1,0)</f>
        <v>0</v>
      </c>
      <c r="AA843">
        <f>N(AA842)+$Z843</f>
        <v>24</v>
      </c>
      <c r="AB843">
        <f>IF(AND($M843=1,LEFT(对接源_01水果!$D843,4)="原料出库"),1,0)</f>
        <v>0</v>
      </c>
      <c r="AC843">
        <f>N(AC842)+$AB843</f>
        <v>0</v>
      </c>
      <c r="AD843">
        <f>IF(AND($M843=1,LEFT(对接源_01水果!$D843,4)="成品出库"),1,0)</f>
        <v>0</v>
      </c>
      <c r="AE843">
        <f>N(AE842)+$AD843</f>
        <v>0</v>
      </c>
      <c r="AF843">
        <f>IF(AND($N843=1,AND(LEFT(对接源_01水果!$D843,4)="包装物料",N(对接源_01水果!$K843)&lt;&gt;0)),1,0)</f>
        <v>0</v>
      </c>
      <c r="AG843">
        <f>N(AG842)+$AF843</f>
        <v>0</v>
      </c>
      <c r="AH843">
        <f>IF(AND($N843=1,AND(对接源_01水果!$D843="周转筐－销售出库",N(对接源_01水果!$K843)&lt;&gt;0)),1,0)</f>
        <v>0</v>
      </c>
      <c r="AI843">
        <f>N(AI842)+$AH843</f>
        <v>0</v>
      </c>
      <c r="AJ843" s="7" t="n"/>
      <c r="AL843">
        <f>IF(OR($AL$1="",对接源_01水果!$Y843="",对接源_01水果!$Y843&lt;&gt;$AL$1,对接源_01水果!$B843="",N(对接源_01水果!$AJ843)&lt;=0),0,IF(OR(N(对接源_01水果!$B843)&lt;$AL$2,N(对接源_01水果!$B843)&gt;$AL$3),0,1))</f>
        <v>0</v>
      </c>
      <c r="AM843">
        <f>N(AM842)+$AL843</f>
        <v>2</v>
      </c>
      <c r="AN843">
        <f>IF(对接源_01水果!$AC843="","",对接源_01水果!$AC843)</f>
      </c>
      <c r="AO843">
        <f>IF(AN843="",0,IF(MATCH(AN843,$AN$4:$AN$1203,0)=ROW()-3,1,0))</f>
        <v>0</v>
      </c>
      <c r="AP843">
        <f>N(AP842)+$AO843</f>
        <v>13</v>
      </c>
      <c r="AR843">
        <f>IF(OR($AF843=1,$AH843=1),1,0)</f>
        <v>0</v>
      </c>
      <c r="AS843">
        <f>N(AS842)+$AR843</f>
        <v>0</v>
      </c>
    </row>
    <row r="844" ht="14.25" customHeight="1" s="127">
      <c r="A844">
        <f>IF(对接源_01水果!$C844="","",对接源_01水果!$C844)</f>
      </c>
      <c r="B844">
        <f>IF(A844="",0,IF(MATCH(A844,$A$4:$A$2403,0)=ROW()-3,1,0))</f>
        <v>0</v>
      </c>
      <c r="C844">
        <f>N(C843)+B844</f>
        <v>22</v>
      </c>
      <c r="K844">
        <f>IF(OR($K$1="",对接源_01水果!$C844="",对接源_01水果!$C844&lt;&gt;$K$1,对接源_01水果!$B844=""),0,IF(OR(N(对接源_01水果!$B844)&lt;$K$2,N(对接源_01水果!$B844)&gt;$K$3),0,1))</f>
        <v>0</v>
      </c>
      <c r="L844">
        <f>IF(OR($L$1="",对接源_01水果!$C844="",对接源_01水果!$C844&lt;&gt;$L$1,对接源_01水果!$B844=""),0,IF(OR(N(对接源_01水果!$B844)&lt;$L$2,N(对接源_01水果!$B844)&gt;$L$3),0,1))</f>
        <v>0</v>
      </c>
      <c r="M844">
        <f>IF(OR($M$1="",对接源_01水果!$C844="",对接源_01水果!$C844&lt;&gt;$M$1,对接源_01水果!$B844=""),0,IF(OR(N(对接源_01水果!$B844)&lt;$M$2,N(对接源_01水果!$B844)&gt;$M$3),0,1))</f>
        <v>0</v>
      </c>
      <c r="N844">
        <f>IF(OR($N$1="",对接源_01水果!$C844="",对接源_01水果!$C844&lt;&gt;$N$1,对接源_01水果!$B844=""),0,IF(OR(N(对接源_01水果!$B844)&lt;$N$2,N(对接源_01水果!$B844)&gt;$N$3),0,1))</f>
        <v>0</v>
      </c>
      <c r="P844">
        <f>IF(AND($K844=1,AND(对接源_01水果!$X844="公司筐",N(对接源_01水果!$T844)&lt;&gt;0)),1,0)</f>
        <v>0</v>
      </c>
      <c r="Q844">
        <f>N(Q843)+$P844</f>
        <v>0</v>
      </c>
      <c r="R844">
        <f>IF(AND($K844=1,AND(对接源_01水果!$X844="公司筐",N(对接源_01水果!$U844)&lt;&gt;0)),1,0)</f>
        <v>0</v>
      </c>
      <c r="S844">
        <f>N(S843)+$R844</f>
        <v>0</v>
      </c>
      <c r="T844">
        <f>IF(AND($K844=1,AND(对接源_01水果!$X844="公司筐",N(对接源_01水果!$V844)&lt;&gt;0)),1,0)</f>
        <v>0</v>
      </c>
      <c r="U844">
        <f>N(U843)+$T844</f>
        <v>47</v>
      </c>
      <c r="V844">
        <f>IF(AND($L844=1,AND(对接源_01水果!$X844="自备筐",N(对接源_01水果!$V844)&lt;&gt;0)),1,0)</f>
        <v>0</v>
      </c>
      <c r="W844">
        <f>N(W843)+$V844</f>
        <v>11</v>
      </c>
      <c r="X844">
        <f>IF(AND($L844=1,AND(对接源_01水果!$X844="自备筐",N(对接源_01水果!$T844)&lt;&gt;0)),1,0)</f>
        <v>0</v>
      </c>
      <c r="Y844">
        <f>N(Y843)+$X844</f>
        <v>0</v>
      </c>
      <c r="Z844">
        <f>IF(AND($M844=1,对接源_01水果!$D844="原料入库"),1,0)</f>
        <v>0</v>
      </c>
      <c r="AA844">
        <f>N(AA843)+$Z844</f>
        <v>24</v>
      </c>
      <c r="AB844">
        <f>IF(AND($M844=1,LEFT(对接源_01水果!$D844,4)="原料出库"),1,0)</f>
        <v>0</v>
      </c>
      <c r="AC844">
        <f>N(AC843)+$AB844</f>
        <v>0</v>
      </c>
      <c r="AD844">
        <f>IF(AND($M844=1,LEFT(对接源_01水果!$D844,4)="成品出库"),1,0)</f>
        <v>0</v>
      </c>
      <c r="AE844">
        <f>N(AE843)+$AD844</f>
        <v>0</v>
      </c>
      <c r="AF844">
        <f>IF(AND($N844=1,AND(LEFT(对接源_01水果!$D844,4)="包装物料",N(对接源_01水果!$K844)&lt;&gt;0)),1,0)</f>
        <v>0</v>
      </c>
      <c r="AG844">
        <f>N(AG843)+$AF844</f>
        <v>0</v>
      </c>
      <c r="AH844">
        <f>IF(AND($N844=1,AND(对接源_01水果!$D844="周转筐－销售出库",N(对接源_01水果!$K844)&lt;&gt;0)),1,0)</f>
        <v>0</v>
      </c>
      <c r="AI844">
        <f>N(AI843)+$AH844</f>
        <v>0</v>
      </c>
      <c r="AJ844" s="7" t="n"/>
      <c r="AL844">
        <f>IF(OR($AL$1="",对接源_01水果!$Y844="",对接源_01水果!$Y844&lt;&gt;$AL$1,对接源_01水果!$B844="",N(对接源_01水果!$AJ844)&lt;=0),0,IF(OR(N(对接源_01水果!$B844)&lt;$AL$2,N(对接源_01水果!$B844)&gt;$AL$3),0,1))</f>
        <v>0</v>
      </c>
      <c r="AM844">
        <f>N(AM843)+$AL844</f>
        <v>2</v>
      </c>
      <c r="AN844">
        <f>IF(对接源_01水果!$AC844="","",对接源_01水果!$AC844)</f>
      </c>
      <c r="AO844">
        <f>IF(AN844="",0,IF(MATCH(AN844,$AN$4:$AN$1203,0)=ROW()-3,1,0))</f>
        <v>0</v>
      </c>
      <c r="AP844">
        <f>N(AP843)+$AO844</f>
        <v>13</v>
      </c>
      <c r="AR844">
        <f>IF(OR($AF844=1,$AH844=1),1,0)</f>
        <v>0</v>
      </c>
      <c r="AS844">
        <f>N(AS843)+$AR844</f>
        <v>0</v>
      </c>
    </row>
    <row r="845" ht="14.25" customHeight="1" s="127">
      <c r="A845">
        <f>IF(对接源_01水果!$C845="","",对接源_01水果!$C845)</f>
      </c>
      <c r="B845">
        <f>IF(A845="",0,IF(MATCH(A845,$A$4:$A$2403,0)=ROW()-3,1,0))</f>
        <v>0</v>
      </c>
      <c r="C845">
        <f>N(C844)+B845</f>
        <v>22</v>
      </c>
      <c r="K845">
        <f>IF(OR($K$1="",对接源_01水果!$C845="",对接源_01水果!$C845&lt;&gt;$K$1,对接源_01水果!$B845=""),0,IF(OR(N(对接源_01水果!$B845)&lt;$K$2,N(对接源_01水果!$B845)&gt;$K$3),0,1))</f>
        <v>0</v>
      </c>
      <c r="L845">
        <f>IF(OR($L$1="",对接源_01水果!$C845="",对接源_01水果!$C845&lt;&gt;$L$1,对接源_01水果!$B845=""),0,IF(OR(N(对接源_01水果!$B845)&lt;$L$2,N(对接源_01水果!$B845)&gt;$L$3),0,1))</f>
        <v>0</v>
      </c>
      <c r="M845">
        <f>IF(OR($M$1="",对接源_01水果!$C845="",对接源_01水果!$C845&lt;&gt;$M$1,对接源_01水果!$B845=""),0,IF(OR(N(对接源_01水果!$B845)&lt;$M$2,N(对接源_01水果!$B845)&gt;$M$3),0,1))</f>
        <v>0</v>
      </c>
      <c r="N845">
        <f>IF(OR($N$1="",对接源_01水果!$C845="",对接源_01水果!$C845&lt;&gt;$N$1,对接源_01水果!$B845=""),0,IF(OR(N(对接源_01水果!$B845)&lt;$N$2,N(对接源_01水果!$B845)&gt;$N$3),0,1))</f>
        <v>0</v>
      </c>
      <c r="P845">
        <f>IF(AND($K845=1,AND(对接源_01水果!$X845="公司筐",N(对接源_01水果!$T845)&lt;&gt;0)),1,0)</f>
        <v>0</v>
      </c>
      <c r="Q845">
        <f>N(Q844)+$P845</f>
        <v>0</v>
      </c>
      <c r="R845">
        <f>IF(AND($K845=1,AND(对接源_01水果!$X845="公司筐",N(对接源_01水果!$U845)&lt;&gt;0)),1,0)</f>
        <v>0</v>
      </c>
      <c r="S845">
        <f>N(S844)+$R845</f>
        <v>0</v>
      </c>
      <c r="T845">
        <f>IF(AND($K845=1,AND(对接源_01水果!$X845="公司筐",N(对接源_01水果!$V845)&lt;&gt;0)),1,0)</f>
        <v>0</v>
      </c>
      <c r="U845">
        <f>N(U844)+$T845</f>
        <v>47</v>
      </c>
      <c r="V845">
        <f>IF(AND($L845=1,AND(对接源_01水果!$X845="自备筐",N(对接源_01水果!$V845)&lt;&gt;0)),1,0)</f>
        <v>0</v>
      </c>
      <c r="W845">
        <f>N(W844)+$V845</f>
        <v>11</v>
      </c>
      <c r="X845">
        <f>IF(AND($L845=1,AND(对接源_01水果!$X845="自备筐",N(对接源_01水果!$T845)&lt;&gt;0)),1,0)</f>
        <v>0</v>
      </c>
      <c r="Y845">
        <f>N(Y844)+$X845</f>
        <v>0</v>
      </c>
      <c r="Z845">
        <f>IF(AND($M845=1,对接源_01水果!$D845="原料入库"),1,0)</f>
        <v>0</v>
      </c>
      <c r="AA845">
        <f>N(AA844)+$Z845</f>
        <v>24</v>
      </c>
      <c r="AB845">
        <f>IF(AND($M845=1,LEFT(对接源_01水果!$D845,4)="原料出库"),1,0)</f>
        <v>0</v>
      </c>
      <c r="AC845">
        <f>N(AC844)+$AB845</f>
        <v>0</v>
      </c>
      <c r="AD845">
        <f>IF(AND($M845=1,LEFT(对接源_01水果!$D845,4)="成品出库"),1,0)</f>
        <v>0</v>
      </c>
      <c r="AE845">
        <f>N(AE844)+$AD845</f>
        <v>0</v>
      </c>
      <c r="AF845">
        <f>IF(AND($N845=1,AND(LEFT(对接源_01水果!$D845,4)="包装物料",N(对接源_01水果!$K845)&lt;&gt;0)),1,0)</f>
        <v>0</v>
      </c>
      <c r="AG845">
        <f>N(AG844)+$AF845</f>
        <v>0</v>
      </c>
      <c r="AH845">
        <f>IF(AND($N845=1,AND(对接源_01水果!$D845="周转筐－销售出库",N(对接源_01水果!$K845)&lt;&gt;0)),1,0)</f>
        <v>0</v>
      </c>
      <c r="AI845">
        <f>N(AI844)+$AH845</f>
        <v>0</v>
      </c>
      <c r="AJ845" s="7" t="n"/>
      <c r="AL845">
        <f>IF(OR($AL$1="",对接源_01水果!$Y845="",对接源_01水果!$Y845&lt;&gt;$AL$1,对接源_01水果!$B845="",N(对接源_01水果!$AJ845)&lt;=0),0,IF(OR(N(对接源_01水果!$B845)&lt;$AL$2,N(对接源_01水果!$B845)&gt;$AL$3),0,1))</f>
        <v>0</v>
      </c>
      <c r="AM845">
        <f>N(AM844)+$AL845</f>
        <v>2</v>
      </c>
      <c r="AN845">
        <f>IF(对接源_01水果!$AC845="","",对接源_01水果!$AC845)</f>
      </c>
      <c r="AO845">
        <f>IF(AN845="",0,IF(MATCH(AN845,$AN$4:$AN$1203,0)=ROW()-3,1,0))</f>
        <v>0</v>
      </c>
      <c r="AP845">
        <f>N(AP844)+$AO845</f>
        <v>13</v>
      </c>
      <c r="AR845">
        <f>IF(OR($AF845=1,$AH845=1),1,0)</f>
        <v>0</v>
      </c>
      <c r="AS845">
        <f>N(AS844)+$AR845</f>
        <v>0</v>
      </c>
    </row>
    <row r="846" ht="14.25" customHeight="1" s="127">
      <c r="A846">
        <f>IF(对接源_01水果!$C846="","",对接源_01水果!$C846)</f>
      </c>
      <c r="B846">
        <f>IF(A846="",0,IF(MATCH(A846,$A$4:$A$2403,0)=ROW()-3,1,0))</f>
        <v>0</v>
      </c>
      <c r="C846">
        <f>N(C845)+B846</f>
        <v>22</v>
      </c>
      <c r="K846">
        <f>IF(OR($K$1="",对接源_01水果!$C846="",对接源_01水果!$C846&lt;&gt;$K$1,对接源_01水果!$B846=""),0,IF(OR(N(对接源_01水果!$B846)&lt;$K$2,N(对接源_01水果!$B846)&gt;$K$3),0,1))</f>
        <v>0</v>
      </c>
      <c r="L846">
        <f>IF(OR($L$1="",对接源_01水果!$C846="",对接源_01水果!$C846&lt;&gt;$L$1,对接源_01水果!$B846=""),0,IF(OR(N(对接源_01水果!$B846)&lt;$L$2,N(对接源_01水果!$B846)&gt;$L$3),0,1))</f>
        <v>0</v>
      </c>
      <c r="M846">
        <f>IF(OR($M$1="",对接源_01水果!$C846="",对接源_01水果!$C846&lt;&gt;$M$1,对接源_01水果!$B846=""),0,IF(OR(N(对接源_01水果!$B846)&lt;$M$2,N(对接源_01水果!$B846)&gt;$M$3),0,1))</f>
        <v>0</v>
      </c>
      <c r="N846">
        <f>IF(OR($N$1="",对接源_01水果!$C846="",对接源_01水果!$C846&lt;&gt;$N$1,对接源_01水果!$B846=""),0,IF(OR(N(对接源_01水果!$B846)&lt;$N$2,N(对接源_01水果!$B846)&gt;$N$3),0,1))</f>
        <v>0</v>
      </c>
      <c r="P846">
        <f>IF(AND($K846=1,AND(对接源_01水果!$X846="公司筐",N(对接源_01水果!$T846)&lt;&gt;0)),1,0)</f>
        <v>0</v>
      </c>
      <c r="Q846">
        <f>N(Q845)+$P846</f>
        <v>0</v>
      </c>
      <c r="R846">
        <f>IF(AND($K846=1,AND(对接源_01水果!$X846="公司筐",N(对接源_01水果!$U846)&lt;&gt;0)),1,0)</f>
        <v>0</v>
      </c>
      <c r="S846">
        <f>N(S845)+$R846</f>
        <v>0</v>
      </c>
      <c r="T846">
        <f>IF(AND($K846=1,AND(对接源_01水果!$X846="公司筐",N(对接源_01水果!$V846)&lt;&gt;0)),1,0)</f>
        <v>0</v>
      </c>
      <c r="U846">
        <f>N(U845)+$T846</f>
        <v>47</v>
      </c>
      <c r="V846">
        <f>IF(AND($L846=1,AND(对接源_01水果!$X846="自备筐",N(对接源_01水果!$V846)&lt;&gt;0)),1,0)</f>
        <v>0</v>
      </c>
      <c r="W846">
        <f>N(W845)+$V846</f>
        <v>11</v>
      </c>
      <c r="X846">
        <f>IF(AND($L846=1,AND(对接源_01水果!$X846="自备筐",N(对接源_01水果!$T846)&lt;&gt;0)),1,0)</f>
        <v>0</v>
      </c>
      <c r="Y846">
        <f>N(Y845)+$X846</f>
        <v>0</v>
      </c>
      <c r="Z846">
        <f>IF(AND($M846=1,对接源_01水果!$D846="原料入库"),1,0)</f>
        <v>0</v>
      </c>
      <c r="AA846">
        <f>N(AA845)+$Z846</f>
        <v>24</v>
      </c>
      <c r="AB846">
        <f>IF(AND($M846=1,LEFT(对接源_01水果!$D846,4)="原料出库"),1,0)</f>
        <v>0</v>
      </c>
      <c r="AC846">
        <f>N(AC845)+$AB846</f>
        <v>0</v>
      </c>
      <c r="AD846">
        <f>IF(AND($M846=1,LEFT(对接源_01水果!$D846,4)="成品出库"),1,0)</f>
        <v>0</v>
      </c>
      <c r="AE846">
        <f>N(AE845)+$AD846</f>
        <v>0</v>
      </c>
      <c r="AF846">
        <f>IF(AND($N846=1,AND(LEFT(对接源_01水果!$D846,4)="包装物料",N(对接源_01水果!$K846)&lt;&gt;0)),1,0)</f>
        <v>0</v>
      </c>
      <c r="AG846">
        <f>N(AG845)+$AF846</f>
        <v>0</v>
      </c>
      <c r="AH846">
        <f>IF(AND($N846=1,AND(对接源_01水果!$D846="周转筐－销售出库",N(对接源_01水果!$K846)&lt;&gt;0)),1,0)</f>
        <v>0</v>
      </c>
      <c r="AI846">
        <f>N(AI845)+$AH846</f>
        <v>0</v>
      </c>
      <c r="AJ846" s="7" t="n"/>
      <c r="AL846">
        <f>IF(OR($AL$1="",对接源_01水果!$Y846="",对接源_01水果!$Y846&lt;&gt;$AL$1,对接源_01水果!$B846="",N(对接源_01水果!$AJ846)&lt;=0),0,IF(OR(N(对接源_01水果!$B846)&lt;$AL$2,N(对接源_01水果!$B846)&gt;$AL$3),0,1))</f>
        <v>0</v>
      </c>
      <c r="AM846">
        <f>N(AM845)+$AL846</f>
        <v>2</v>
      </c>
      <c r="AN846">
        <f>IF(对接源_01水果!$AC846="","",对接源_01水果!$AC846)</f>
      </c>
      <c r="AO846">
        <f>IF(AN846="",0,IF(MATCH(AN846,$AN$4:$AN$1203,0)=ROW()-3,1,0))</f>
        <v>0</v>
      </c>
      <c r="AP846">
        <f>N(AP845)+$AO846</f>
        <v>13</v>
      </c>
      <c r="AR846">
        <f>IF(OR($AF846=1,$AH846=1),1,0)</f>
        <v>0</v>
      </c>
      <c r="AS846">
        <f>N(AS845)+$AR846</f>
        <v>0</v>
      </c>
    </row>
    <row r="847" ht="14.25" customHeight="1" s="127">
      <c r="A847">
        <f>IF(对接源_01水果!$C847="","",对接源_01水果!$C847)</f>
      </c>
      <c r="B847">
        <f>IF(A847="",0,IF(MATCH(A847,$A$4:$A$2403,0)=ROW()-3,1,0))</f>
        <v>0</v>
      </c>
      <c r="C847">
        <f>N(C846)+B847</f>
        <v>22</v>
      </c>
      <c r="K847">
        <f>IF(OR($K$1="",对接源_01水果!$C847="",对接源_01水果!$C847&lt;&gt;$K$1,对接源_01水果!$B847=""),0,IF(OR(N(对接源_01水果!$B847)&lt;$K$2,N(对接源_01水果!$B847)&gt;$K$3),0,1))</f>
        <v>0</v>
      </c>
      <c r="L847">
        <f>IF(OR($L$1="",对接源_01水果!$C847="",对接源_01水果!$C847&lt;&gt;$L$1,对接源_01水果!$B847=""),0,IF(OR(N(对接源_01水果!$B847)&lt;$L$2,N(对接源_01水果!$B847)&gt;$L$3),0,1))</f>
        <v>0</v>
      </c>
      <c r="M847">
        <f>IF(OR($M$1="",对接源_01水果!$C847="",对接源_01水果!$C847&lt;&gt;$M$1,对接源_01水果!$B847=""),0,IF(OR(N(对接源_01水果!$B847)&lt;$M$2,N(对接源_01水果!$B847)&gt;$M$3),0,1))</f>
        <v>0</v>
      </c>
      <c r="N847">
        <f>IF(OR($N$1="",对接源_01水果!$C847="",对接源_01水果!$C847&lt;&gt;$N$1,对接源_01水果!$B847=""),0,IF(OR(N(对接源_01水果!$B847)&lt;$N$2,N(对接源_01水果!$B847)&gt;$N$3),0,1))</f>
        <v>0</v>
      </c>
      <c r="P847">
        <f>IF(AND($K847=1,AND(对接源_01水果!$X847="公司筐",N(对接源_01水果!$T847)&lt;&gt;0)),1,0)</f>
        <v>0</v>
      </c>
      <c r="Q847">
        <f>N(Q846)+$P847</f>
        <v>0</v>
      </c>
      <c r="R847">
        <f>IF(AND($K847=1,AND(对接源_01水果!$X847="公司筐",N(对接源_01水果!$U847)&lt;&gt;0)),1,0)</f>
        <v>0</v>
      </c>
      <c r="S847">
        <f>N(S846)+$R847</f>
        <v>0</v>
      </c>
      <c r="T847">
        <f>IF(AND($K847=1,AND(对接源_01水果!$X847="公司筐",N(对接源_01水果!$V847)&lt;&gt;0)),1,0)</f>
        <v>0</v>
      </c>
      <c r="U847">
        <f>N(U846)+$T847</f>
        <v>47</v>
      </c>
      <c r="V847">
        <f>IF(AND($L847=1,AND(对接源_01水果!$X847="自备筐",N(对接源_01水果!$V847)&lt;&gt;0)),1,0)</f>
        <v>0</v>
      </c>
      <c r="W847">
        <f>N(W846)+$V847</f>
        <v>11</v>
      </c>
      <c r="X847">
        <f>IF(AND($L847=1,AND(对接源_01水果!$X847="自备筐",N(对接源_01水果!$T847)&lt;&gt;0)),1,0)</f>
        <v>0</v>
      </c>
      <c r="Y847">
        <f>N(Y846)+$X847</f>
        <v>0</v>
      </c>
      <c r="Z847">
        <f>IF(AND($M847=1,对接源_01水果!$D847="原料入库"),1,0)</f>
        <v>0</v>
      </c>
      <c r="AA847">
        <f>N(AA846)+$Z847</f>
        <v>24</v>
      </c>
      <c r="AB847">
        <f>IF(AND($M847=1,LEFT(对接源_01水果!$D847,4)="原料出库"),1,0)</f>
        <v>0</v>
      </c>
      <c r="AC847">
        <f>N(AC846)+$AB847</f>
        <v>0</v>
      </c>
      <c r="AD847">
        <f>IF(AND($M847=1,LEFT(对接源_01水果!$D847,4)="成品出库"),1,0)</f>
        <v>0</v>
      </c>
      <c r="AE847">
        <f>N(AE846)+$AD847</f>
        <v>0</v>
      </c>
      <c r="AF847">
        <f>IF(AND($N847=1,AND(LEFT(对接源_01水果!$D847,4)="包装物料",N(对接源_01水果!$K847)&lt;&gt;0)),1,0)</f>
        <v>0</v>
      </c>
      <c r="AG847">
        <f>N(AG846)+$AF847</f>
        <v>0</v>
      </c>
      <c r="AH847">
        <f>IF(AND($N847=1,AND(对接源_01水果!$D847="周转筐－销售出库",N(对接源_01水果!$K847)&lt;&gt;0)),1,0)</f>
        <v>0</v>
      </c>
      <c r="AI847">
        <f>N(AI846)+$AH847</f>
        <v>0</v>
      </c>
      <c r="AJ847" s="7" t="n"/>
      <c r="AL847">
        <f>IF(OR($AL$1="",对接源_01水果!$Y847="",对接源_01水果!$Y847&lt;&gt;$AL$1,对接源_01水果!$B847="",N(对接源_01水果!$AJ847)&lt;=0),0,IF(OR(N(对接源_01水果!$B847)&lt;$AL$2,N(对接源_01水果!$B847)&gt;$AL$3),0,1))</f>
        <v>0</v>
      </c>
      <c r="AM847">
        <f>N(AM846)+$AL847</f>
        <v>2</v>
      </c>
      <c r="AN847">
        <f>IF(对接源_01水果!$AC847="","",对接源_01水果!$AC847)</f>
      </c>
      <c r="AO847">
        <f>IF(AN847="",0,IF(MATCH(AN847,$AN$4:$AN$1203,0)=ROW()-3,1,0))</f>
        <v>0</v>
      </c>
      <c r="AP847">
        <f>N(AP846)+$AO847</f>
        <v>13</v>
      </c>
      <c r="AR847">
        <f>IF(OR($AF847=1,$AH847=1),1,0)</f>
        <v>0</v>
      </c>
      <c r="AS847">
        <f>N(AS846)+$AR847</f>
        <v>0</v>
      </c>
    </row>
    <row r="848" ht="14.25" customHeight="1" s="127">
      <c r="A848">
        <f>IF(对接源_01水果!$C848="","",对接源_01水果!$C848)</f>
      </c>
      <c r="B848">
        <f>IF(A848="",0,IF(MATCH(A848,$A$4:$A$2403,0)=ROW()-3,1,0))</f>
        <v>0</v>
      </c>
      <c r="C848">
        <f>N(C847)+B848</f>
        <v>22</v>
      </c>
      <c r="K848">
        <f>IF(OR($K$1="",对接源_01水果!$C848="",对接源_01水果!$C848&lt;&gt;$K$1,对接源_01水果!$B848=""),0,IF(OR(N(对接源_01水果!$B848)&lt;$K$2,N(对接源_01水果!$B848)&gt;$K$3),0,1))</f>
        <v>0</v>
      </c>
      <c r="L848">
        <f>IF(OR($L$1="",对接源_01水果!$C848="",对接源_01水果!$C848&lt;&gt;$L$1,对接源_01水果!$B848=""),0,IF(OR(N(对接源_01水果!$B848)&lt;$L$2,N(对接源_01水果!$B848)&gt;$L$3),0,1))</f>
        <v>0</v>
      </c>
      <c r="M848">
        <f>IF(OR($M$1="",对接源_01水果!$C848="",对接源_01水果!$C848&lt;&gt;$M$1,对接源_01水果!$B848=""),0,IF(OR(N(对接源_01水果!$B848)&lt;$M$2,N(对接源_01水果!$B848)&gt;$M$3),0,1))</f>
        <v>0</v>
      </c>
      <c r="N848">
        <f>IF(OR($N$1="",对接源_01水果!$C848="",对接源_01水果!$C848&lt;&gt;$N$1,对接源_01水果!$B848=""),0,IF(OR(N(对接源_01水果!$B848)&lt;$N$2,N(对接源_01水果!$B848)&gt;$N$3),0,1))</f>
        <v>0</v>
      </c>
      <c r="P848">
        <f>IF(AND($K848=1,AND(对接源_01水果!$X848="公司筐",N(对接源_01水果!$T848)&lt;&gt;0)),1,0)</f>
        <v>0</v>
      </c>
      <c r="Q848">
        <f>N(Q847)+$P848</f>
        <v>0</v>
      </c>
      <c r="R848">
        <f>IF(AND($K848=1,AND(对接源_01水果!$X848="公司筐",N(对接源_01水果!$U848)&lt;&gt;0)),1,0)</f>
        <v>0</v>
      </c>
      <c r="S848">
        <f>N(S847)+$R848</f>
        <v>0</v>
      </c>
      <c r="T848">
        <f>IF(AND($K848=1,AND(对接源_01水果!$X848="公司筐",N(对接源_01水果!$V848)&lt;&gt;0)),1,0)</f>
        <v>0</v>
      </c>
      <c r="U848">
        <f>N(U847)+$T848</f>
        <v>47</v>
      </c>
      <c r="V848">
        <f>IF(AND($L848=1,AND(对接源_01水果!$X848="自备筐",N(对接源_01水果!$V848)&lt;&gt;0)),1,0)</f>
        <v>0</v>
      </c>
      <c r="W848">
        <f>N(W847)+$V848</f>
        <v>11</v>
      </c>
      <c r="X848">
        <f>IF(AND($L848=1,AND(对接源_01水果!$X848="自备筐",N(对接源_01水果!$T848)&lt;&gt;0)),1,0)</f>
        <v>0</v>
      </c>
      <c r="Y848">
        <f>N(Y847)+$X848</f>
        <v>0</v>
      </c>
      <c r="Z848">
        <f>IF(AND($M848=1,对接源_01水果!$D848="原料入库"),1,0)</f>
        <v>0</v>
      </c>
      <c r="AA848">
        <f>N(AA847)+$Z848</f>
        <v>24</v>
      </c>
      <c r="AB848">
        <f>IF(AND($M848=1,LEFT(对接源_01水果!$D848,4)="原料出库"),1,0)</f>
        <v>0</v>
      </c>
      <c r="AC848">
        <f>N(AC847)+$AB848</f>
        <v>0</v>
      </c>
      <c r="AD848">
        <f>IF(AND($M848=1,LEFT(对接源_01水果!$D848,4)="成品出库"),1,0)</f>
        <v>0</v>
      </c>
      <c r="AE848">
        <f>N(AE847)+$AD848</f>
        <v>0</v>
      </c>
      <c r="AF848">
        <f>IF(AND($N848=1,AND(LEFT(对接源_01水果!$D848,4)="包装物料",N(对接源_01水果!$K848)&lt;&gt;0)),1,0)</f>
        <v>0</v>
      </c>
      <c r="AG848">
        <f>N(AG847)+$AF848</f>
        <v>0</v>
      </c>
      <c r="AH848">
        <f>IF(AND($N848=1,AND(对接源_01水果!$D848="周转筐－销售出库",N(对接源_01水果!$K848)&lt;&gt;0)),1,0)</f>
        <v>0</v>
      </c>
      <c r="AI848">
        <f>N(AI847)+$AH848</f>
        <v>0</v>
      </c>
      <c r="AJ848" s="7" t="n"/>
      <c r="AL848">
        <f>IF(OR($AL$1="",对接源_01水果!$Y848="",对接源_01水果!$Y848&lt;&gt;$AL$1,对接源_01水果!$B848="",N(对接源_01水果!$AJ848)&lt;=0),0,IF(OR(N(对接源_01水果!$B848)&lt;$AL$2,N(对接源_01水果!$B848)&gt;$AL$3),0,1))</f>
        <v>0</v>
      </c>
      <c r="AM848">
        <f>N(AM847)+$AL848</f>
        <v>2</v>
      </c>
      <c r="AN848">
        <f>IF(对接源_01水果!$AC848="","",对接源_01水果!$AC848)</f>
      </c>
      <c r="AO848">
        <f>IF(AN848="",0,IF(MATCH(AN848,$AN$4:$AN$1203,0)=ROW()-3,1,0))</f>
        <v>0</v>
      </c>
      <c r="AP848">
        <f>N(AP847)+$AO848</f>
        <v>13</v>
      </c>
      <c r="AR848">
        <f>IF(OR($AF848=1,$AH848=1),1,0)</f>
        <v>0</v>
      </c>
      <c r="AS848">
        <f>N(AS847)+$AR848</f>
        <v>0</v>
      </c>
    </row>
    <row r="849" ht="14.25" customHeight="1" s="127">
      <c r="A849">
        <f>IF(对接源_01水果!$C849="","",对接源_01水果!$C849)</f>
      </c>
      <c r="B849">
        <f>IF(A849="",0,IF(MATCH(A849,$A$4:$A$2403,0)=ROW()-3,1,0))</f>
        <v>0</v>
      </c>
      <c r="C849">
        <f>N(C848)+B849</f>
        <v>22</v>
      </c>
      <c r="K849">
        <f>IF(OR($K$1="",对接源_01水果!$C849="",对接源_01水果!$C849&lt;&gt;$K$1,对接源_01水果!$B849=""),0,IF(OR(N(对接源_01水果!$B849)&lt;$K$2,N(对接源_01水果!$B849)&gt;$K$3),0,1))</f>
        <v>0</v>
      </c>
      <c r="L849">
        <f>IF(OR($L$1="",对接源_01水果!$C849="",对接源_01水果!$C849&lt;&gt;$L$1,对接源_01水果!$B849=""),0,IF(OR(N(对接源_01水果!$B849)&lt;$L$2,N(对接源_01水果!$B849)&gt;$L$3),0,1))</f>
        <v>0</v>
      </c>
      <c r="M849">
        <f>IF(OR($M$1="",对接源_01水果!$C849="",对接源_01水果!$C849&lt;&gt;$M$1,对接源_01水果!$B849=""),0,IF(OR(N(对接源_01水果!$B849)&lt;$M$2,N(对接源_01水果!$B849)&gt;$M$3),0,1))</f>
        <v>0</v>
      </c>
      <c r="N849">
        <f>IF(OR($N$1="",对接源_01水果!$C849="",对接源_01水果!$C849&lt;&gt;$N$1,对接源_01水果!$B849=""),0,IF(OR(N(对接源_01水果!$B849)&lt;$N$2,N(对接源_01水果!$B849)&gt;$N$3),0,1))</f>
        <v>0</v>
      </c>
      <c r="P849">
        <f>IF(AND($K849=1,AND(对接源_01水果!$X849="公司筐",N(对接源_01水果!$T849)&lt;&gt;0)),1,0)</f>
        <v>0</v>
      </c>
      <c r="Q849">
        <f>N(Q848)+$P849</f>
        <v>0</v>
      </c>
      <c r="R849">
        <f>IF(AND($K849=1,AND(对接源_01水果!$X849="公司筐",N(对接源_01水果!$U849)&lt;&gt;0)),1,0)</f>
        <v>0</v>
      </c>
      <c r="S849">
        <f>N(S848)+$R849</f>
        <v>0</v>
      </c>
      <c r="T849">
        <f>IF(AND($K849=1,AND(对接源_01水果!$X849="公司筐",N(对接源_01水果!$V849)&lt;&gt;0)),1,0)</f>
        <v>0</v>
      </c>
      <c r="U849">
        <f>N(U848)+$T849</f>
        <v>47</v>
      </c>
      <c r="V849">
        <f>IF(AND($L849=1,AND(对接源_01水果!$X849="自备筐",N(对接源_01水果!$V849)&lt;&gt;0)),1,0)</f>
        <v>0</v>
      </c>
      <c r="W849">
        <f>N(W848)+$V849</f>
        <v>11</v>
      </c>
      <c r="X849">
        <f>IF(AND($L849=1,AND(对接源_01水果!$X849="自备筐",N(对接源_01水果!$T849)&lt;&gt;0)),1,0)</f>
        <v>0</v>
      </c>
      <c r="Y849">
        <f>N(Y848)+$X849</f>
        <v>0</v>
      </c>
      <c r="Z849">
        <f>IF(AND($M849=1,对接源_01水果!$D849="原料入库"),1,0)</f>
        <v>0</v>
      </c>
      <c r="AA849">
        <f>N(AA848)+$Z849</f>
        <v>24</v>
      </c>
      <c r="AB849">
        <f>IF(AND($M849=1,LEFT(对接源_01水果!$D849,4)="原料出库"),1,0)</f>
        <v>0</v>
      </c>
      <c r="AC849">
        <f>N(AC848)+$AB849</f>
        <v>0</v>
      </c>
      <c r="AD849">
        <f>IF(AND($M849=1,LEFT(对接源_01水果!$D849,4)="成品出库"),1,0)</f>
        <v>0</v>
      </c>
      <c r="AE849">
        <f>N(AE848)+$AD849</f>
        <v>0</v>
      </c>
      <c r="AF849">
        <f>IF(AND($N849=1,AND(LEFT(对接源_01水果!$D849,4)="包装物料",N(对接源_01水果!$K849)&lt;&gt;0)),1,0)</f>
        <v>0</v>
      </c>
      <c r="AG849">
        <f>N(AG848)+$AF849</f>
        <v>0</v>
      </c>
      <c r="AH849">
        <f>IF(AND($N849=1,AND(对接源_01水果!$D849="周转筐－销售出库",N(对接源_01水果!$K849)&lt;&gt;0)),1,0)</f>
        <v>0</v>
      </c>
      <c r="AI849">
        <f>N(AI848)+$AH849</f>
        <v>0</v>
      </c>
      <c r="AJ849" s="7" t="n"/>
      <c r="AL849">
        <f>IF(OR($AL$1="",对接源_01水果!$Y849="",对接源_01水果!$Y849&lt;&gt;$AL$1,对接源_01水果!$B849="",N(对接源_01水果!$AJ849)&lt;=0),0,IF(OR(N(对接源_01水果!$B849)&lt;$AL$2,N(对接源_01水果!$B849)&gt;$AL$3),0,1))</f>
        <v>0</v>
      </c>
      <c r="AM849">
        <f>N(AM848)+$AL849</f>
        <v>2</v>
      </c>
      <c r="AN849">
        <f>IF(对接源_01水果!$AC849="","",对接源_01水果!$AC849)</f>
      </c>
      <c r="AO849">
        <f>IF(AN849="",0,IF(MATCH(AN849,$AN$4:$AN$1203,0)=ROW()-3,1,0))</f>
        <v>0</v>
      </c>
      <c r="AP849">
        <f>N(AP848)+$AO849</f>
        <v>13</v>
      </c>
      <c r="AR849">
        <f>IF(OR($AF849=1,$AH849=1),1,0)</f>
        <v>0</v>
      </c>
      <c r="AS849">
        <f>N(AS848)+$AR849</f>
        <v>0</v>
      </c>
    </row>
    <row r="850" ht="14.25" customHeight="1" s="127">
      <c r="A850">
        <f>IF(对接源_01水果!$C850="","",对接源_01水果!$C850)</f>
      </c>
      <c r="B850">
        <f>IF(A850="",0,IF(MATCH(A850,$A$4:$A$2403,0)=ROW()-3,1,0))</f>
        <v>0</v>
      </c>
      <c r="C850">
        <f>N(C849)+B850</f>
        <v>22</v>
      </c>
      <c r="K850">
        <f>IF(OR($K$1="",对接源_01水果!$C850="",对接源_01水果!$C850&lt;&gt;$K$1,对接源_01水果!$B850=""),0,IF(OR(N(对接源_01水果!$B850)&lt;$K$2,N(对接源_01水果!$B850)&gt;$K$3),0,1))</f>
        <v>0</v>
      </c>
      <c r="L850">
        <f>IF(OR($L$1="",对接源_01水果!$C850="",对接源_01水果!$C850&lt;&gt;$L$1,对接源_01水果!$B850=""),0,IF(OR(N(对接源_01水果!$B850)&lt;$L$2,N(对接源_01水果!$B850)&gt;$L$3),0,1))</f>
        <v>0</v>
      </c>
      <c r="M850">
        <f>IF(OR($M$1="",对接源_01水果!$C850="",对接源_01水果!$C850&lt;&gt;$M$1,对接源_01水果!$B850=""),0,IF(OR(N(对接源_01水果!$B850)&lt;$M$2,N(对接源_01水果!$B850)&gt;$M$3),0,1))</f>
        <v>0</v>
      </c>
      <c r="N850">
        <f>IF(OR($N$1="",对接源_01水果!$C850="",对接源_01水果!$C850&lt;&gt;$N$1,对接源_01水果!$B850=""),0,IF(OR(N(对接源_01水果!$B850)&lt;$N$2,N(对接源_01水果!$B850)&gt;$N$3),0,1))</f>
        <v>0</v>
      </c>
      <c r="P850">
        <f>IF(AND($K850=1,AND(对接源_01水果!$X850="公司筐",N(对接源_01水果!$T850)&lt;&gt;0)),1,0)</f>
        <v>0</v>
      </c>
      <c r="Q850">
        <f>N(Q849)+$P850</f>
        <v>0</v>
      </c>
      <c r="R850">
        <f>IF(AND($K850=1,AND(对接源_01水果!$X850="公司筐",N(对接源_01水果!$U850)&lt;&gt;0)),1,0)</f>
        <v>0</v>
      </c>
      <c r="S850">
        <f>N(S849)+$R850</f>
        <v>0</v>
      </c>
      <c r="T850">
        <f>IF(AND($K850=1,AND(对接源_01水果!$X850="公司筐",N(对接源_01水果!$V850)&lt;&gt;0)),1,0)</f>
        <v>0</v>
      </c>
      <c r="U850">
        <f>N(U849)+$T850</f>
        <v>47</v>
      </c>
      <c r="V850">
        <f>IF(AND($L850=1,AND(对接源_01水果!$X850="自备筐",N(对接源_01水果!$V850)&lt;&gt;0)),1,0)</f>
        <v>0</v>
      </c>
      <c r="W850">
        <f>N(W849)+$V850</f>
        <v>11</v>
      </c>
      <c r="X850">
        <f>IF(AND($L850=1,AND(对接源_01水果!$X850="自备筐",N(对接源_01水果!$T850)&lt;&gt;0)),1,0)</f>
        <v>0</v>
      </c>
      <c r="Y850">
        <f>N(Y849)+$X850</f>
        <v>0</v>
      </c>
      <c r="Z850">
        <f>IF(AND($M850=1,对接源_01水果!$D850="原料入库"),1,0)</f>
        <v>0</v>
      </c>
      <c r="AA850">
        <f>N(AA849)+$Z850</f>
        <v>24</v>
      </c>
      <c r="AB850">
        <f>IF(AND($M850=1,LEFT(对接源_01水果!$D850,4)="原料出库"),1,0)</f>
        <v>0</v>
      </c>
      <c r="AC850">
        <f>N(AC849)+$AB850</f>
        <v>0</v>
      </c>
      <c r="AD850">
        <f>IF(AND($M850=1,LEFT(对接源_01水果!$D850,4)="成品出库"),1,0)</f>
        <v>0</v>
      </c>
      <c r="AE850">
        <f>N(AE849)+$AD850</f>
        <v>0</v>
      </c>
      <c r="AF850">
        <f>IF(AND($N850=1,AND(LEFT(对接源_01水果!$D850,4)="包装物料",N(对接源_01水果!$K850)&lt;&gt;0)),1,0)</f>
        <v>0</v>
      </c>
      <c r="AG850">
        <f>N(AG849)+$AF850</f>
        <v>0</v>
      </c>
      <c r="AH850">
        <f>IF(AND($N850=1,AND(对接源_01水果!$D850="周转筐－销售出库",N(对接源_01水果!$K850)&lt;&gt;0)),1,0)</f>
        <v>0</v>
      </c>
      <c r="AI850">
        <f>N(AI849)+$AH850</f>
        <v>0</v>
      </c>
      <c r="AJ850" s="7" t="n"/>
      <c r="AL850">
        <f>IF(OR($AL$1="",对接源_01水果!$Y850="",对接源_01水果!$Y850&lt;&gt;$AL$1,对接源_01水果!$B850="",N(对接源_01水果!$AJ850)&lt;=0),0,IF(OR(N(对接源_01水果!$B850)&lt;$AL$2,N(对接源_01水果!$B850)&gt;$AL$3),0,1))</f>
        <v>0</v>
      </c>
      <c r="AM850">
        <f>N(AM849)+$AL850</f>
        <v>2</v>
      </c>
      <c r="AN850">
        <f>IF(对接源_01水果!$AC850="","",对接源_01水果!$AC850)</f>
      </c>
      <c r="AO850">
        <f>IF(AN850="",0,IF(MATCH(AN850,$AN$4:$AN$1203,0)=ROW()-3,1,0))</f>
        <v>0</v>
      </c>
      <c r="AP850">
        <f>N(AP849)+$AO850</f>
        <v>13</v>
      </c>
      <c r="AR850">
        <f>IF(OR($AF850=1,$AH850=1),1,0)</f>
        <v>0</v>
      </c>
      <c r="AS850">
        <f>N(AS849)+$AR850</f>
        <v>0</v>
      </c>
    </row>
    <row r="851" ht="14.25" customHeight="1" s="127">
      <c r="A851">
        <f>IF(对接源_01水果!$C851="","",对接源_01水果!$C851)</f>
      </c>
      <c r="B851">
        <f>IF(A851="",0,IF(MATCH(A851,$A$4:$A$2403,0)=ROW()-3,1,0))</f>
        <v>0</v>
      </c>
      <c r="C851">
        <f>N(C850)+B851</f>
        <v>22</v>
      </c>
      <c r="K851">
        <f>IF(OR($K$1="",对接源_01水果!$C851="",对接源_01水果!$C851&lt;&gt;$K$1,对接源_01水果!$B851=""),0,IF(OR(N(对接源_01水果!$B851)&lt;$K$2,N(对接源_01水果!$B851)&gt;$K$3),0,1))</f>
        <v>0</v>
      </c>
      <c r="L851">
        <f>IF(OR($L$1="",对接源_01水果!$C851="",对接源_01水果!$C851&lt;&gt;$L$1,对接源_01水果!$B851=""),0,IF(OR(N(对接源_01水果!$B851)&lt;$L$2,N(对接源_01水果!$B851)&gt;$L$3),0,1))</f>
        <v>0</v>
      </c>
      <c r="M851">
        <f>IF(OR($M$1="",对接源_01水果!$C851="",对接源_01水果!$C851&lt;&gt;$M$1,对接源_01水果!$B851=""),0,IF(OR(N(对接源_01水果!$B851)&lt;$M$2,N(对接源_01水果!$B851)&gt;$M$3),0,1))</f>
        <v>0</v>
      </c>
      <c r="N851">
        <f>IF(OR($N$1="",对接源_01水果!$C851="",对接源_01水果!$C851&lt;&gt;$N$1,对接源_01水果!$B851=""),0,IF(OR(N(对接源_01水果!$B851)&lt;$N$2,N(对接源_01水果!$B851)&gt;$N$3),0,1))</f>
        <v>0</v>
      </c>
      <c r="P851">
        <f>IF(AND($K851=1,AND(对接源_01水果!$X851="公司筐",N(对接源_01水果!$T851)&lt;&gt;0)),1,0)</f>
        <v>0</v>
      </c>
      <c r="Q851">
        <f>N(Q850)+$P851</f>
        <v>0</v>
      </c>
      <c r="R851">
        <f>IF(AND($K851=1,AND(对接源_01水果!$X851="公司筐",N(对接源_01水果!$U851)&lt;&gt;0)),1,0)</f>
        <v>0</v>
      </c>
      <c r="S851">
        <f>N(S850)+$R851</f>
        <v>0</v>
      </c>
      <c r="T851">
        <f>IF(AND($K851=1,AND(对接源_01水果!$X851="公司筐",N(对接源_01水果!$V851)&lt;&gt;0)),1,0)</f>
        <v>0</v>
      </c>
      <c r="U851">
        <f>N(U850)+$T851</f>
        <v>47</v>
      </c>
      <c r="V851">
        <f>IF(AND($L851=1,AND(对接源_01水果!$X851="自备筐",N(对接源_01水果!$V851)&lt;&gt;0)),1,0)</f>
        <v>0</v>
      </c>
      <c r="W851">
        <f>N(W850)+$V851</f>
        <v>11</v>
      </c>
      <c r="X851">
        <f>IF(AND($L851=1,AND(对接源_01水果!$X851="自备筐",N(对接源_01水果!$T851)&lt;&gt;0)),1,0)</f>
        <v>0</v>
      </c>
      <c r="Y851">
        <f>N(Y850)+$X851</f>
        <v>0</v>
      </c>
      <c r="Z851">
        <f>IF(AND($M851=1,对接源_01水果!$D851="原料入库"),1,0)</f>
        <v>0</v>
      </c>
      <c r="AA851">
        <f>N(AA850)+$Z851</f>
        <v>24</v>
      </c>
      <c r="AB851">
        <f>IF(AND($M851=1,LEFT(对接源_01水果!$D851,4)="原料出库"),1,0)</f>
        <v>0</v>
      </c>
      <c r="AC851">
        <f>N(AC850)+$AB851</f>
        <v>0</v>
      </c>
      <c r="AD851">
        <f>IF(AND($M851=1,LEFT(对接源_01水果!$D851,4)="成品出库"),1,0)</f>
        <v>0</v>
      </c>
      <c r="AE851">
        <f>N(AE850)+$AD851</f>
        <v>0</v>
      </c>
      <c r="AF851">
        <f>IF(AND($N851=1,AND(LEFT(对接源_01水果!$D851,4)="包装物料",N(对接源_01水果!$K851)&lt;&gt;0)),1,0)</f>
        <v>0</v>
      </c>
      <c r="AG851">
        <f>N(AG850)+$AF851</f>
        <v>0</v>
      </c>
      <c r="AH851">
        <f>IF(AND($N851=1,AND(对接源_01水果!$D851="周转筐－销售出库",N(对接源_01水果!$K851)&lt;&gt;0)),1,0)</f>
        <v>0</v>
      </c>
      <c r="AI851">
        <f>N(AI850)+$AH851</f>
        <v>0</v>
      </c>
      <c r="AJ851" s="7" t="n"/>
      <c r="AL851">
        <f>IF(OR($AL$1="",对接源_01水果!$Y851="",对接源_01水果!$Y851&lt;&gt;$AL$1,对接源_01水果!$B851="",N(对接源_01水果!$AJ851)&lt;=0),0,IF(OR(N(对接源_01水果!$B851)&lt;$AL$2,N(对接源_01水果!$B851)&gt;$AL$3),0,1))</f>
        <v>0</v>
      </c>
      <c r="AM851">
        <f>N(AM850)+$AL851</f>
        <v>2</v>
      </c>
      <c r="AN851">
        <f>IF(对接源_01水果!$AC851="","",对接源_01水果!$AC851)</f>
      </c>
      <c r="AO851">
        <f>IF(AN851="",0,IF(MATCH(AN851,$AN$4:$AN$1203,0)=ROW()-3,1,0))</f>
        <v>0</v>
      </c>
      <c r="AP851">
        <f>N(AP850)+$AO851</f>
        <v>13</v>
      </c>
      <c r="AR851">
        <f>IF(OR($AF851=1,$AH851=1),1,0)</f>
        <v>0</v>
      </c>
      <c r="AS851">
        <f>N(AS850)+$AR851</f>
        <v>0</v>
      </c>
    </row>
    <row r="852" ht="14.25" customHeight="1" s="127">
      <c r="A852">
        <f>IF(对接源_01水果!$C852="","",对接源_01水果!$C852)</f>
      </c>
      <c r="B852">
        <f>IF(A852="",0,IF(MATCH(A852,$A$4:$A$2403,0)=ROW()-3,1,0))</f>
        <v>0</v>
      </c>
      <c r="C852">
        <f>N(C851)+B852</f>
        <v>22</v>
      </c>
      <c r="K852">
        <f>IF(OR($K$1="",对接源_01水果!$C852="",对接源_01水果!$C852&lt;&gt;$K$1,对接源_01水果!$B852=""),0,IF(OR(N(对接源_01水果!$B852)&lt;$K$2,N(对接源_01水果!$B852)&gt;$K$3),0,1))</f>
        <v>0</v>
      </c>
      <c r="L852">
        <f>IF(OR($L$1="",对接源_01水果!$C852="",对接源_01水果!$C852&lt;&gt;$L$1,对接源_01水果!$B852=""),0,IF(OR(N(对接源_01水果!$B852)&lt;$L$2,N(对接源_01水果!$B852)&gt;$L$3),0,1))</f>
        <v>0</v>
      </c>
      <c r="M852">
        <f>IF(OR($M$1="",对接源_01水果!$C852="",对接源_01水果!$C852&lt;&gt;$M$1,对接源_01水果!$B852=""),0,IF(OR(N(对接源_01水果!$B852)&lt;$M$2,N(对接源_01水果!$B852)&gt;$M$3),0,1))</f>
        <v>0</v>
      </c>
      <c r="N852">
        <f>IF(OR($N$1="",对接源_01水果!$C852="",对接源_01水果!$C852&lt;&gt;$N$1,对接源_01水果!$B852=""),0,IF(OR(N(对接源_01水果!$B852)&lt;$N$2,N(对接源_01水果!$B852)&gt;$N$3),0,1))</f>
        <v>0</v>
      </c>
      <c r="P852">
        <f>IF(AND($K852=1,AND(对接源_01水果!$X852="公司筐",N(对接源_01水果!$T852)&lt;&gt;0)),1,0)</f>
        <v>0</v>
      </c>
      <c r="Q852">
        <f>N(Q851)+$P852</f>
        <v>0</v>
      </c>
      <c r="R852">
        <f>IF(AND($K852=1,AND(对接源_01水果!$X852="公司筐",N(对接源_01水果!$U852)&lt;&gt;0)),1,0)</f>
        <v>0</v>
      </c>
      <c r="S852">
        <f>N(S851)+$R852</f>
        <v>0</v>
      </c>
      <c r="T852">
        <f>IF(AND($K852=1,AND(对接源_01水果!$X852="公司筐",N(对接源_01水果!$V852)&lt;&gt;0)),1,0)</f>
        <v>0</v>
      </c>
      <c r="U852">
        <f>N(U851)+$T852</f>
        <v>47</v>
      </c>
      <c r="V852">
        <f>IF(AND($L852=1,AND(对接源_01水果!$X852="自备筐",N(对接源_01水果!$V852)&lt;&gt;0)),1,0)</f>
        <v>0</v>
      </c>
      <c r="W852">
        <f>N(W851)+$V852</f>
        <v>11</v>
      </c>
      <c r="X852">
        <f>IF(AND($L852=1,AND(对接源_01水果!$X852="自备筐",N(对接源_01水果!$T852)&lt;&gt;0)),1,0)</f>
        <v>0</v>
      </c>
      <c r="Y852">
        <f>N(Y851)+$X852</f>
        <v>0</v>
      </c>
      <c r="Z852">
        <f>IF(AND($M852=1,对接源_01水果!$D852="原料入库"),1,0)</f>
        <v>0</v>
      </c>
      <c r="AA852">
        <f>N(AA851)+$Z852</f>
        <v>24</v>
      </c>
      <c r="AB852">
        <f>IF(AND($M852=1,LEFT(对接源_01水果!$D852,4)="原料出库"),1,0)</f>
        <v>0</v>
      </c>
      <c r="AC852">
        <f>N(AC851)+$AB852</f>
        <v>0</v>
      </c>
      <c r="AD852">
        <f>IF(AND($M852=1,LEFT(对接源_01水果!$D852,4)="成品出库"),1,0)</f>
        <v>0</v>
      </c>
      <c r="AE852">
        <f>N(AE851)+$AD852</f>
        <v>0</v>
      </c>
      <c r="AF852">
        <f>IF(AND($N852=1,AND(LEFT(对接源_01水果!$D852,4)="包装物料",N(对接源_01水果!$K852)&lt;&gt;0)),1,0)</f>
        <v>0</v>
      </c>
      <c r="AG852">
        <f>N(AG851)+$AF852</f>
        <v>0</v>
      </c>
      <c r="AH852">
        <f>IF(AND($N852=1,AND(对接源_01水果!$D852="周转筐－销售出库",N(对接源_01水果!$K852)&lt;&gt;0)),1,0)</f>
        <v>0</v>
      </c>
      <c r="AI852">
        <f>N(AI851)+$AH852</f>
        <v>0</v>
      </c>
      <c r="AJ852" s="7" t="n"/>
      <c r="AL852">
        <f>IF(OR($AL$1="",对接源_01水果!$Y852="",对接源_01水果!$Y852&lt;&gt;$AL$1,对接源_01水果!$B852="",N(对接源_01水果!$AJ852)&lt;=0),0,IF(OR(N(对接源_01水果!$B852)&lt;$AL$2,N(对接源_01水果!$B852)&gt;$AL$3),0,1))</f>
        <v>0</v>
      </c>
      <c r="AM852">
        <f>N(AM851)+$AL852</f>
        <v>2</v>
      </c>
      <c r="AN852">
        <f>IF(对接源_01水果!$AC852="","",对接源_01水果!$AC852)</f>
      </c>
      <c r="AO852">
        <f>IF(AN852="",0,IF(MATCH(AN852,$AN$4:$AN$1203,0)=ROW()-3,1,0))</f>
        <v>0</v>
      </c>
      <c r="AP852">
        <f>N(AP851)+$AO852</f>
        <v>13</v>
      </c>
      <c r="AR852">
        <f>IF(OR($AF852=1,$AH852=1),1,0)</f>
        <v>0</v>
      </c>
      <c r="AS852">
        <f>N(AS851)+$AR852</f>
        <v>0</v>
      </c>
    </row>
    <row r="853" ht="14.25" customHeight="1" s="127">
      <c r="A853">
        <f>IF(对接源_01水果!$C853="","",对接源_01水果!$C853)</f>
      </c>
      <c r="B853">
        <f>IF(A853="",0,IF(MATCH(A853,$A$4:$A$2403,0)=ROW()-3,1,0))</f>
        <v>0</v>
      </c>
      <c r="C853">
        <f>N(C852)+B853</f>
        <v>22</v>
      </c>
      <c r="K853">
        <f>IF(OR($K$1="",对接源_01水果!$C853="",对接源_01水果!$C853&lt;&gt;$K$1,对接源_01水果!$B853=""),0,IF(OR(N(对接源_01水果!$B853)&lt;$K$2,N(对接源_01水果!$B853)&gt;$K$3),0,1))</f>
        <v>0</v>
      </c>
      <c r="L853">
        <f>IF(OR($L$1="",对接源_01水果!$C853="",对接源_01水果!$C853&lt;&gt;$L$1,对接源_01水果!$B853=""),0,IF(OR(N(对接源_01水果!$B853)&lt;$L$2,N(对接源_01水果!$B853)&gt;$L$3),0,1))</f>
        <v>0</v>
      </c>
      <c r="M853">
        <f>IF(OR($M$1="",对接源_01水果!$C853="",对接源_01水果!$C853&lt;&gt;$M$1,对接源_01水果!$B853=""),0,IF(OR(N(对接源_01水果!$B853)&lt;$M$2,N(对接源_01水果!$B853)&gt;$M$3),0,1))</f>
        <v>0</v>
      </c>
      <c r="N853">
        <f>IF(OR($N$1="",对接源_01水果!$C853="",对接源_01水果!$C853&lt;&gt;$N$1,对接源_01水果!$B853=""),0,IF(OR(N(对接源_01水果!$B853)&lt;$N$2,N(对接源_01水果!$B853)&gt;$N$3),0,1))</f>
        <v>0</v>
      </c>
      <c r="P853">
        <f>IF(AND($K853=1,AND(对接源_01水果!$X853="公司筐",N(对接源_01水果!$T853)&lt;&gt;0)),1,0)</f>
        <v>0</v>
      </c>
      <c r="Q853">
        <f>N(Q852)+$P853</f>
        <v>0</v>
      </c>
      <c r="R853">
        <f>IF(AND($K853=1,AND(对接源_01水果!$X853="公司筐",N(对接源_01水果!$U853)&lt;&gt;0)),1,0)</f>
        <v>0</v>
      </c>
      <c r="S853">
        <f>N(S852)+$R853</f>
        <v>0</v>
      </c>
      <c r="T853">
        <f>IF(AND($K853=1,AND(对接源_01水果!$X853="公司筐",N(对接源_01水果!$V853)&lt;&gt;0)),1,0)</f>
        <v>0</v>
      </c>
      <c r="U853">
        <f>N(U852)+$T853</f>
        <v>47</v>
      </c>
      <c r="V853">
        <f>IF(AND($L853=1,AND(对接源_01水果!$X853="自备筐",N(对接源_01水果!$V853)&lt;&gt;0)),1,0)</f>
        <v>0</v>
      </c>
      <c r="W853">
        <f>N(W852)+$V853</f>
        <v>11</v>
      </c>
      <c r="X853">
        <f>IF(AND($L853=1,AND(对接源_01水果!$X853="自备筐",N(对接源_01水果!$T853)&lt;&gt;0)),1,0)</f>
        <v>0</v>
      </c>
      <c r="Y853">
        <f>N(Y852)+$X853</f>
        <v>0</v>
      </c>
      <c r="Z853">
        <f>IF(AND($M853=1,对接源_01水果!$D853="原料入库"),1,0)</f>
        <v>0</v>
      </c>
      <c r="AA853">
        <f>N(AA852)+$Z853</f>
        <v>24</v>
      </c>
      <c r="AB853">
        <f>IF(AND($M853=1,LEFT(对接源_01水果!$D853,4)="原料出库"),1,0)</f>
        <v>0</v>
      </c>
      <c r="AC853">
        <f>N(AC852)+$AB853</f>
        <v>0</v>
      </c>
      <c r="AD853">
        <f>IF(AND($M853=1,LEFT(对接源_01水果!$D853,4)="成品出库"),1,0)</f>
        <v>0</v>
      </c>
      <c r="AE853">
        <f>N(AE852)+$AD853</f>
        <v>0</v>
      </c>
      <c r="AF853">
        <f>IF(AND($N853=1,AND(LEFT(对接源_01水果!$D853,4)="包装物料",N(对接源_01水果!$K853)&lt;&gt;0)),1,0)</f>
        <v>0</v>
      </c>
      <c r="AG853">
        <f>N(AG852)+$AF853</f>
        <v>0</v>
      </c>
      <c r="AH853">
        <f>IF(AND($N853=1,AND(对接源_01水果!$D853="周转筐－销售出库",N(对接源_01水果!$K853)&lt;&gt;0)),1,0)</f>
        <v>0</v>
      </c>
      <c r="AI853">
        <f>N(AI852)+$AH853</f>
        <v>0</v>
      </c>
      <c r="AJ853" s="7" t="n"/>
      <c r="AL853">
        <f>IF(OR($AL$1="",对接源_01水果!$Y853="",对接源_01水果!$Y853&lt;&gt;$AL$1,对接源_01水果!$B853="",N(对接源_01水果!$AJ853)&lt;=0),0,IF(OR(N(对接源_01水果!$B853)&lt;$AL$2,N(对接源_01水果!$B853)&gt;$AL$3),0,1))</f>
        <v>0</v>
      </c>
      <c r="AM853">
        <f>N(AM852)+$AL853</f>
        <v>2</v>
      </c>
      <c r="AN853">
        <f>IF(对接源_01水果!$AC853="","",对接源_01水果!$AC853)</f>
      </c>
      <c r="AO853">
        <f>IF(AN853="",0,IF(MATCH(AN853,$AN$4:$AN$1203,0)=ROW()-3,1,0))</f>
        <v>0</v>
      </c>
      <c r="AP853">
        <f>N(AP852)+$AO853</f>
        <v>13</v>
      </c>
      <c r="AR853">
        <f>IF(OR($AF853=1,$AH853=1),1,0)</f>
        <v>0</v>
      </c>
      <c r="AS853">
        <f>N(AS852)+$AR853</f>
        <v>0</v>
      </c>
    </row>
    <row r="854" ht="14.25" customHeight="1" s="127">
      <c r="A854">
        <f>IF(对接源_01水果!$C854="","",对接源_01水果!$C854)</f>
      </c>
      <c r="B854">
        <f>IF(A854="",0,IF(MATCH(A854,$A$4:$A$2403,0)=ROW()-3,1,0))</f>
        <v>0</v>
      </c>
      <c r="C854">
        <f>N(C853)+B854</f>
        <v>22</v>
      </c>
      <c r="K854">
        <f>IF(OR($K$1="",对接源_01水果!$C854="",对接源_01水果!$C854&lt;&gt;$K$1,对接源_01水果!$B854=""),0,IF(OR(N(对接源_01水果!$B854)&lt;$K$2,N(对接源_01水果!$B854)&gt;$K$3),0,1))</f>
        <v>0</v>
      </c>
      <c r="L854">
        <f>IF(OR($L$1="",对接源_01水果!$C854="",对接源_01水果!$C854&lt;&gt;$L$1,对接源_01水果!$B854=""),0,IF(OR(N(对接源_01水果!$B854)&lt;$L$2,N(对接源_01水果!$B854)&gt;$L$3),0,1))</f>
        <v>0</v>
      </c>
      <c r="M854">
        <f>IF(OR($M$1="",对接源_01水果!$C854="",对接源_01水果!$C854&lt;&gt;$M$1,对接源_01水果!$B854=""),0,IF(OR(N(对接源_01水果!$B854)&lt;$M$2,N(对接源_01水果!$B854)&gt;$M$3),0,1))</f>
        <v>0</v>
      </c>
      <c r="N854">
        <f>IF(OR($N$1="",对接源_01水果!$C854="",对接源_01水果!$C854&lt;&gt;$N$1,对接源_01水果!$B854=""),0,IF(OR(N(对接源_01水果!$B854)&lt;$N$2,N(对接源_01水果!$B854)&gt;$N$3),0,1))</f>
        <v>0</v>
      </c>
      <c r="P854">
        <f>IF(AND($K854=1,AND(对接源_01水果!$X854="公司筐",N(对接源_01水果!$T854)&lt;&gt;0)),1,0)</f>
        <v>0</v>
      </c>
      <c r="Q854">
        <f>N(Q853)+$P854</f>
        <v>0</v>
      </c>
      <c r="R854">
        <f>IF(AND($K854=1,AND(对接源_01水果!$X854="公司筐",N(对接源_01水果!$U854)&lt;&gt;0)),1,0)</f>
        <v>0</v>
      </c>
      <c r="S854">
        <f>N(S853)+$R854</f>
        <v>0</v>
      </c>
      <c r="T854">
        <f>IF(AND($K854=1,AND(对接源_01水果!$X854="公司筐",N(对接源_01水果!$V854)&lt;&gt;0)),1,0)</f>
        <v>0</v>
      </c>
      <c r="U854">
        <f>N(U853)+$T854</f>
        <v>47</v>
      </c>
      <c r="V854">
        <f>IF(AND($L854=1,AND(对接源_01水果!$X854="自备筐",N(对接源_01水果!$V854)&lt;&gt;0)),1,0)</f>
        <v>0</v>
      </c>
      <c r="W854">
        <f>N(W853)+$V854</f>
        <v>11</v>
      </c>
      <c r="X854">
        <f>IF(AND($L854=1,AND(对接源_01水果!$X854="自备筐",N(对接源_01水果!$T854)&lt;&gt;0)),1,0)</f>
        <v>0</v>
      </c>
      <c r="Y854">
        <f>N(Y853)+$X854</f>
        <v>0</v>
      </c>
      <c r="Z854">
        <f>IF(AND($M854=1,对接源_01水果!$D854="原料入库"),1,0)</f>
        <v>0</v>
      </c>
      <c r="AA854">
        <f>N(AA853)+$Z854</f>
        <v>24</v>
      </c>
      <c r="AB854">
        <f>IF(AND($M854=1,LEFT(对接源_01水果!$D854,4)="原料出库"),1,0)</f>
        <v>0</v>
      </c>
      <c r="AC854">
        <f>N(AC853)+$AB854</f>
        <v>0</v>
      </c>
      <c r="AD854">
        <f>IF(AND($M854=1,LEFT(对接源_01水果!$D854,4)="成品出库"),1,0)</f>
        <v>0</v>
      </c>
      <c r="AE854">
        <f>N(AE853)+$AD854</f>
        <v>0</v>
      </c>
      <c r="AF854">
        <f>IF(AND($N854=1,AND(LEFT(对接源_01水果!$D854,4)="包装物料",N(对接源_01水果!$K854)&lt;&gt;0)),1,0)</f>
        <v>0</v>
      </c>
      <c r="AG854">
        <f>N(AG853)+$AF854</f>
        <v>0</v>
      </c>
      <c r="AH854">
        <f>IF(AND($N854=1,AND(对接源_01水果!$D854="周转筐－销售出库",N(对接源_01水果!$K854)&lt;&gt;0)),1,0)</f>
        <v>0</v>
      </c>
      <c r="AI854">
        <f>N(AI853)+$AH854</f>
        <v>0</v>
      </c>
      <c r="AJ854" s="7" t="n"/>
      <c r="AL854">
        <f>IF(OR($AL$1="",对接源_01水果!$Y854="",对接源_01水果!$Y854&lt;&gt;$AL$1,对接源_01水果!$B854="",N(对接源_01水果!$AJ854)&lt;=0),0,IF(OR(N(对接源_01水果!$B854)&lt;$AL$2,N(对接源_01水果!$B854)&gt;$AL$3),0,1))</f>
        <v>0</v>
      </c>
      <c r="AM854">
        <f>N(AM853)+$AL854</f>
        <v>2</v>
      </c>
      <c r="AN854">
        <f>IF(对接源_01水果!$AC854="","",对接源_01水果!$AC854)</f>
      </c>
      <c r="AO854">
        <f>IF(AN854="",0,IF(MATCH(AN854,$AN$4:$AN$1203,0)=ROW()-3,1,0))</f>
        <v>0</v>
      </c>
      <c r="AP854">
        <f>N(AP853)+$AO854</f>
        <v>13</v>
      </c>
      <c r="AR854">
        <f>IF(OR($AF854=1,$AH854=1),1,0)</f>
        <v>0</v>
      </c>
      <c r="AS854">
        <f>N(AS853)+$AR854</f>
        <v>0</v>
      </c>
    </row>
    <row r="855" ht="14.25" customHeight="1" s="127">
      <c r="A855">
        <f>IF(对接源_01水果!$C855="","",对接源_01水果!$C855)</f>
      </c>
      <c r="B855">
        <f>IF(A855="",0,IF(MATCH(A855,$A$4:$A$2403,0)=ROW()-3,1,0))</f>
        <v>0</v>
      </c>
      <c r="C855">
        <f>N(C854)+B855</f>
        <v>22</v>
      </c>
      <c r="K855">
        <f>IF(OR($K$1="",对接源_01水果!$C855="",对接源_01水果!$C855&lt;&gt;$K$1,对接源_01水果!$B855=""),0,IF(OR(N(对接源_01水果!$B855)&lt;$K$2,N(对接源_01水果!$B855)&gt;$K$3),0,1))</f>
        <v>0</v>
      </c>
      <c r="L855">
        <f>IF(OR($L$1="",对接源_01水果!$C855="",对接源_01水果!$C855&lt;&gt;$L$1,对接源_01水果!$B855=""),0,IF(OR(N(对接源_01水果!$B855)&lt;$L$2,N(对接源_01水果!$B855)&gt;$L$3),0,1))</f>
        <v>0</v>
      </c>
      <c r="M855">
        <f>IF(OR($M$1="",对接源_01水果!$C855="",对接源_01水果!$C855&lt;&gt;$M$1,对接源_01水果!$B855=""),0,IF(OR(N(对接源_01水果!$B855)&lt;$M$2,N(对接源_01水果!$B855)&gt;$M$3),0,1))</f>
        <v>0</v>
      </c>
      <c r="N855">
        <f>IF(OR($N$1="",对接源_01水果!$C855="",对接源_01水果!$C855&lt;&gt;$N$1,对接源_01水果!$B855=""),0,IF(OR(N(对接源_01水果!$B855)&lt;$N$2,N(对接源_01水果!$B855)&gt;$N$3),0,1))</f>
        <v>0</v>
      </c>
      <c r="P855">
        <f>IF(AND($K855=1,AND(对接源_01水果!$X855="公司筐",N(对接源_01水果!$T855)&lt;&gt;0)),1,0)</f>
        <v>0</v>
      </c>
      <c r="Q855">
        <f>N(Q854)+$P855</f>
        <v>0</v>
      </c>
      <c r="R855">
        <f>IF(AND($K855=1,AND(对接源_01水果!$X855="公司筐",N(对接源_01水果!$U855)&lt;&gt;0)),1,0)</f>
        <v>0</v>
      </c>
      <c r="S855">
        <f>N(S854)+$R855</f>
        <v>0</v>
      </c>
      <c r="T855">
        <f>IF(AND($K855=1,AND(对接源_01水果!$X855="公司筐",N(对接源_01水果!$V855)&lt;&gt;0)),1,0)</f>
        <v>0</v>
      </c>
      <c r="U855">
        <f>N(U854)+$T855</f>
        <v>47</v>
      </c>
      <c r="V855">
        <f>IF(AND($L855=1,AND(对接源_01水果!$X855="自备筐",N(对接源_01水果!$V855)&lt;&gt;0)),1,0)</f>
        <v>0</v>
      </c>
      <c r="W855">
        <f>N(W854)+$V855</f>
        <v>11</v>
      </c>
      <c r="X855">
        <f>IF(AND($L855=1,AND(对接源_01水果!$X855="自备筐",N(对接源_01水果!$T855)&lt;&gt;0)),1,0)</f>
        <v>0</v>
      </c>
      <c r="Y855">
        <f>N(Y854)+$X855</f>
        <v>0</v>
      </c>
      <c r="Z855">
        <f>IF(AND($M855=1,对接源_01水果!$D855="原料入库"),1,0)</f>
        <v>0</v>
      </c>
      <c r="AA855">
        <f>N(AA854)+$Z855</f>
        <v>24</v>
      </c>
      <c r="AB855">
        <f>IF(AND($M855=1,LEFT(对接源_01水果!$D855,4)="原料出库"),1,0)</f>
        <v>0</v>
      </c>
      <c r="AC855">
        <f>N(AC854)+$AB855</f>
        <v>0</v>
      </c>
      <c r="AD855">
        <f>IF(AND($M855=1,LEFT(对接源_01水果!$D855,4)="成品出库"),1,0)</f>
        <v>0</v>
      </c>
      <c r="AE855">
        <f>N(AE854)+$AD855</f>
        <v>0</v>
      </c>
      <c r="AF855">
        <f>IF(AND($N855=1,AND(LEFT(对接源_01水果!$D855,4)="包装物料",N(对接源_01水果!$K855)&lt;&gt;0)),1,0)</f>
        <v>0</v>
      </c>
      <c r="AG855">
        <f>N(AG854)+$AF855</f>
        <v>0</v>
      </c>
      <c r="AH855">
        <f>IF(AND($N855=1,AND(对接源_01水果!$D855="周转筐－销售出库",N(对接源_01水果!$K855)&lt;&gt;0)),1,0)</f>
        <v>0</v>
      </c>
      <c r="AI855">
        <f>N(AI854)+$AH855</f>
        <v>0</v>
      </c>
      <c r="AJ855" s="7" t="n"/>
      <c r="AL855">
        <f>IF(OR($AL$1="",对接源_01水果!$Y855="",对接源_01水果!$Y855&lt;&gt;$AL$1,对接源_01水果!$B855="",N(对接源_01水果!$AJ855)&lt;=0),0,IF(OR(N(对接源_01水果!$B855)&lt;$AL$2,N(对接源_01水果!$B855)&gt;$AL$3),0,1))</f>
        <v>0</v>
      </c>
      <c r="AM855">
        <f>N(AM854)+$AL855</f>
        <v>2</v>
      </c>
      <c r="AN855">
        <f>IF(对接源_01水果!$AC855="","",对接源_01水果!$AC855)</f>
      </c>
      <c r="AO855">
        <f>IF(AN855="",0,IF(MATCH(AN855,$AN$4:$AN$1203,0)=ROW()-3,1,0))</f>
        <v>0</v>
      </c>
      <c r="AP855">
        <f>N(AP854)+$AO855</f>
        <v>13</v>
      </c>
      <c r="AR855">
        <f>IF(OR($AF855=1,$AH855=1),1,0)</f>
        <v>0</v>
      </c>
      <c r="AS855">
        <f>N(AS854)+$AR855</f>
        <v>0</v>
      </c>
    </row>
    <row r="856" ht="14.25" customHeight="1" s="127">
      <c r="A856">
        <f>IF(对接源_01水果!$C856="","",对接源_01水果!$C856)</f>
      </c>
      <c r="B856">
        <f>IF(A856="",0,IF(MATCH(A856,$A$4:$A$2403,0)=ROW()-3,1,0))</f>
        <v>0</v>
      </c>
      <c r="C856">
        <f>N(C855)+B856</f>
        <v>22</v>
      </c>
      <c r="K856">
        <f>IF(OR($K$1="",对接源_01水果!$C856="",对接源_01水果!$C856&lt;&gt;$K$1,对接源_01水果!$B856=""),0,IF(OR(N(对接源_01水果!$B856)&lt;$K$2,N(对接源_01水果!$B856)&gt;$K$3),0,1))</f>
        <v>0</v>
      </c>
      <c r="L856">
        <f>IF(OR($L$1="",对接源_01水果!$C856="",对接源_01水果!$C856&lt;&gt;$L$1,对接源_01水果!$B856=""),0,IF(OR(N(对接源_01水果!$B856)&lt;$L$2,N(对接源_01水果!$B856)&gt;$L$3),0,1))</f>
        <v>0</v>
      </c>
      <c r="M856">
        <f>IF(OR($M$1="",对接源_01水果!$C856="",对接源_01水果!$C856&lt;&gt;$M$1,对接源_01水果!$B856=""),0,IF(OR(N(对接源_01水果!$B856)&lt;$M$2,N(对接源_01水果!$B856)&gt;$M$3),0,1))</f>
        <v>0</v>
      </c>
      <c r="N856">
        <f>IF(OR($N$1="",对接源_01水果!$C856="",对接源_01水果!$C856&lt;&gt;$N$1,对接源_01水果!$B856=""),0,IF(OR(N(对接源_01水果!$B856)&lt;$N$2,N(对接源_01水果!$B856)&gt;$N$3),0,1))</f>
        <v>0</v>
      </c>
      <c r="P856">
        <f>IF(AND($K856=1,AND(对接源_01水果!$X856="公司筐",N(对接源_01水果!$T856)&lt;&gt;0)),1,0)</f>
        <v>0</v>
      </c>
      <c r="Q856">
        <f>N(Q855)+$P856</f>
        <v>0</v>
      </c>
      <c r="R856">
        <f>IF(AND($K856=1,AND(对接源_01水果!$X856="公司筐",N(对接源_01水果!$U856)&lt;&gt;0)),1,0)</f>
        <v>0</v>
      </c>
      <c r="S856">
        <f>N(S855)+$R856</f>
        <v>0</v>
      </c>
      <c r="T856">
        <f>IF(AND($K856=1,AND(对接源_01水果!$X856="公司筐",N(对接源_01水果!$V856)&lt;&gt;0)),1,0)</f>
        <v>0</v>
      </c>
      <c r="U856">
        <f>N(U855)+$T856</f>
        <v>47</v>
      </c>
      <c r="V856">
        <f>IF(AND($L856=1,AND(对接源_01水果!$X856="自备筐",N(对接源_01水果!$V856)&lt;&gt;0)),1,0)</f>
        <v>0</v>
      </c>
      <c r="W856">
        <f>N(W855)+$V856</f>
        <v>11</v>
      </c>
      <c r="X856">
        <f>IF(AND($L856=1,AND(对接源_01水果!$X856="自备筐",N(对接源_01水果!$T856)&lt;&gt;0)),1,0)</f>
        <v>0</v>
      </c>
      <c r="Y856">
        <f>N(Y855)+$X856</f>
        <v>0</v>
      </c>
      <c r="Z856">
        <f>IF(AND($M856=1,对接源_01水果!$D856="原料入库"),1,0)</f>
        <v>0</v>
      </c>
      <c r="AA856">
        <f>N(AA855)+$Z856</f>
        <v>24</v>
      </c>
      <c r="AB856">
        <f>IF(AND($M856=1,LEFT(对接源_01水果!$D856,4)="原料出库"),1,0)</f>
        <v>0</v>
      </c>
      <c r="AC856">
        <f>N(AC855)+$AB856</f>
        <v>0</v>
      </c>
      <c r="AD856">
        <f>IF(AND($M856=1,LEFT(对接源_01水果!$D856,4)="成品出库"),1,0)</f>
        <v>0</v>
      </c>
      <c r="AE856">
        <f>N(AE855)+$AD856</f>
        <v>0</v>
      </c>
      <c r="AF856">
        <f>IF(AND($N856=1,AND(LEFT(对接源_01水果!$D856,4)="包装物料",N(对接源_01水果!$K856)&lt;&gt;0)),1,0)</f>
        <v>0</v>
      </c>
      <c r="AG856">
        <f>N(AG855)+$AF856</f>
        <v>0</v>
      </c>
      <c r="AH856">
        <f>IF(AND($N856=1,AND(对接源_01水果!$D856="周转筐－销售出库",N(对接源_01水果!$K856)&lt;&gt;0)),1,0)</f>
        <v>0</v>
      </c>
      <c r="AI856">
        <f>N(AI855)+$AH856</f>
        <v>0</v>
      </c>
      <c r="AJ856" s="7" t="n"/>
      <c r="AL856">
        <f>IF(OR($AL$1="",对接源_01水果!$Y856="",对接源_01水果!$Y856&lt;&gt;$AL$1,对接源_01水果!$B856="",N(对接源_01水果!$AJ856)&lt;=0),0,IF(OR(N(对接源_01水果!$B856)&lt;$AL$2,N(对接源_01水果!$B856)&gt;$AL$3),0,1))</f>
        <v>0</v>
      </c>
      <c r="AM856">
        <f>N(AM855)+$AL856</f>
        <v>2</v>
      </c>
      <c r="AN856">
        <f>IF(对接源_01水果!$AC856="","",对接源_01水果!$AC856)</f>
      </c>
      <c r="AO856">
        <f>IF(AN856="",0,IF(MATCH(AN856,$AN$4:$AN$1203,0)=ROW()-3,1,0))</f>
        <v>0</v>
      </c>
      <c r="AP856">
        <f>N(AP855)+$AO856</f>
        <v>13</v>
      </c>
      <c r="AR856">
        <f>IF(OR($AF856=1,$AH856=1),1,0)</f>
        <v>0</v>
      </c>
      <c r="AS856">
        <f>N(AS855)+$AR856</f>
        <v>0</v>
      </c>
    </row>
    <row r="857" ht="14.25" customHeight="1" s="127">
      <c r="A857">
        <f>IF(对接源_01水果!$C857="","",对接源_01水果!$C857)</f>
      </c>
      <c r="B857">
        <f>IF(A857="",0,IF(MATCH(A857,$A$4:$A$2403,0)=ROW()-3,1,0))</f>
        <v>0</v>
      </c>
      <c r="C857">
        <f>N(C856)+B857</f>
        <v>22</v>
      </c>
      <c r="K857">
        <f>IF(OR($K$1="",对接源_01水果!$C857="",对接源_01水果!$C857&lt;&gt;$K$1,对接源_01水果!$B857=""),0,IF(OR(N(对接源_01水果!$B857)&lt;$K$2,N(对接源_01水果!$B857)&gt;$K$3),0,1))</f>
        <v>0</v>
      </c>
      <c r="L857">
        <f>IF(OR($L$1="",对接源_01水果!$C857="",对接源_01水果!$C857&lt;&gt;$L$1,对接源_01水果!$B857=""),0,IF(OR(N(对接源_01水果!$B857)&lt;$L$2,N(对接源_01水果!$B857)&gt;$L$3),0,1))</f>
        <v>0</v>
      </c>
      <c r="M857">
        <f>IF(OR($M$1="",对接源_01水果!$C857="",对接源_01水果!$C857&lt;&gt;$M$1,对接源_01水果!$B857=""),0,IF(OR(N(对接源_01水果!$B857)&lt;$M$2,N(对接源_01水果!$B857)&gt;$M$3),0,1))</f>
        <v>0</v>
      </c>
      <c r="N857">
        <f>IF(OR($N$1="",对接源_01水果!$C857="",对接源_01水果!$C857&lt;&gt;$N$1,对接源_01水果!$B857=""),0,IF(OR(N(对接源_01水果!$B857)&lt;$N$2,N(对接源_01水果!$B857)&gt;$N$3),0,1))</f>
        <v>0</v>
      </c>
      <c r="P857">
        <f>IF(AND($K857=1,AND(对接源_01水果!$X857="公司筐",N(对接源_01水果!$T857)&lt;&gt;0)),1,0)</f>
        <v>0</v>
      </c>
      <c r="Q857">
        <f>N(Q856)+$P857</f>
        <v>0</v>
      </c>
      <c r="R857">
        <f>IF(AND($K857=1,AND(对接源_01水果!$X857="公司筐",N(对接源_01水果!$U857)&lt;&gt;0)),1,0)</f>
        <v>0</v>
      </c>
      <c r="S857">
        <f>N(S856)+$R857</f>
        <v>0</v>
      </c>
      <c r="T857">
        <f>IF(AND($K857=1,AND(对接源_01水果!$X857="公司筐",N(对接源_01水果!$V857)&lt;&gt;0)),1,0)</f>
        <v>0</v>
      </c>
      <c r="U857">
        <f>N(U856)+$T857</f>
        <v>47</v>
      </c>
      <c r="V857">
        <f>IF(AND($L857=1,AND(对接源_01水果!$X857="自备筐",N(对接源_01水果!$V857)&lt;&gt;0)),1,0)</f>
        <v>0</v>
      </c>
      <c r="W857">
        <f>N(W856)+$V857</f>
        <v>11</v>
      </c>
      <c r="X857">
        <f>IF(AND($L857=1,AND(对接源_01水果!$X857="自备筐",N(对接源_01水果!$T857)&lt;&gt;0)),1,0)</f>
        <v>0</v>
      </c>
      <c r="Y857">
        <f>N(Y856)+$X857</f>
        <v>0</v>
      </c>
      <c r="Z857">
        <f>IF(AND($M857=1,对接源_01水果!$D857="原料入库"),1,0)</f>
        <v>0</v>
      </c>
      <c r="AA857">
        <f>N(AA856)+$Z857</f>
        <v>24</v>
      </c>
      <c r="AB857">
        <f>IF(AND($M857=1,LEFT(对接源_01水果!$D857,4)="原料出库"),1,0)</f>
        <v>0</v>
      </c>
      <c r="AC857">
        <f>N(AC856)+$AB857</f>
        <v>0</v>
      </c>
      <c r="AD857">
        <f>IF(AND($M857=1,LEFT(对接源_01水果!$D857,4)="成品出库"),1,0)</f>
        <v>0</v>
      </c>
      <c r="AE857">
        <f>N(AE856)+$AD857</f>
        <v>0</v>
      </c>
      <c r="AF857">
        <f>IF(AND($N857=1,AND(LEFT(对接源_01水果!$D857,4)="包装物料",N(对接源_01水果!$K857)&lt;&gt;0)),1,0)</f>
        <v>0</v>
      </c>
      <c r="AG857">
        <f>N(AG856)+$AF857</f>
        <v>0</v>
      </c>
      <c r="AH857">
        <f>IF(AND($N857=1,AND(对接源_01水果!$D857="周转筐－销售出库",N(对接源_01水果!$K857)&lt;&gt;0)),1,0)</f>
        <v>0</v>
      </c>
      <c r="AI857">
        <f>N(AI856)+$AH857</f>
        <v>0</v>
      </c>
      <c r="AJ857" s="7" t="n"/>
      <c r="AL857">
        <f>IF(OR($AL$1="",对接源_01水果!$Y857="",对接源_01水果!$Y857&lt;&gt;$AL$1,对接源_01水果!$B857="",N(对接源_01水果!$AJ857)&lt;=0),0,IF(OR(N(对接源_01水果!$B857)&lt;$AL$2,N(对接源_01水果!$B857)&gt;$AL$3),0,1))</f>
        <v>0</v>
      </c>
      <c r="AM857">
        <f>N(AM856)+$AL857</f>
        <v>2</v>
      </c>
      <c r="AN857">
        <f>IF(对接源_01水果!$AC857="","",对接源_01水果!$AC857)</f>
      </c>
      <c r="AO857">
        <f>IF(AN857="",0,IF(MATCH(AN857,$AN$4:$AN$1203,0)=ROW()-3,1,0))</f>
        <v>0</v>
      </c>
      <c r="AP857">
        <f>N(AP856)+$AO857</f>
        <v>13</v>
      </c>
      <c r="AR857">
        <f>IF(OR($AF857=1,$AH857=1),1,0)</f>
        <v>0</v>
      </c>
      <c r="AS857">
        <f>N(AS856)+$AR857</f>
        <v>0</v>
      </c>
    </row>
    <row r="858" ht="14.25" customHeight="1" s="127">
      <c r="A858">
        <f>IF(对接源_01水果!$C858="","",对接源_01水果!$C858)</f>
      </c>
      <c r="B858">
        <f>IF(A858="",0,IF(MATCH(A858,$A$4:$A$2403,0)=ROW()-3,1,0))</f>
        <v>0</v>
      </c>
      <c r="C858">
        <f>N(C857)+B858</f>
        <v>22</v>
      </c>
      <c r="K858">
        <f>IF(OR($K$1="",对接源_01水果!$C858="",对接源_01水果!$C858&lt;&gt;$K$1,对接源_01水果!$B858=""),0,IF(OR(N(对接源_01水果!$B858)&lt;$K$2,N(对接源_01水果!$B858)&gt;$K$3),0,1))</f>
        <v>0</v>
      </c>
      <c r="L858">
        <f>IF(OR($L$1="",对接源_01水果!$C858="",对接源_01水果!$C858&lt;&gt;$L$1,对接源_01水果!$B858=""),0,IF(OR(N(对接源_01水果!$B858)&lt;$L$2,N(对接源_01水果!$B858)&gt;$L$3),0,1))</f>
        <v>0</v>
      </c>
      <c r="M858">
        <f>IF(OR($M$1="",对接源_01水果!$C858="",对接源_01水果!$C858&lt;&gt;$M$1,对接源_01水果!$B858=""),0,IF(OR(N(对接源_01水果!$B858)&lt;$M$2,N(对接源_01水果!$B858)&gt;$M$3),0,1))</f>
        <v>0</v>
      </c>
      <c r="N858">
        <f>IF(OR($N$1="",对接源_01水果!$C858="",对接源_01水果!$C858&lt;&gt;$N$1,对接源_01水果!$B858=""),0,IF(OR(N(对接源_01水果!$B858)&lt;$N$2,N(对接源_01水果!$B858)&gt;$N$3),0,1))</f>
        <v>0</v>
      </c>
      <c r="P858">
        <f>IF(AND($K858=1,AND(对接源_01水果!$X858="公司筐",N(对接源_01水果!$T858)&lt;&gt;0)),1,0)</f>
        <v>0</v>
      </c>
      <c r="Q858">
        <f>N(Q857)+$P858</f>
        <v>0</v>
      </c>
      <c r="R858">
        <f>IF(AND($K858=1,AND(对接源_01水果!$X858="公司筐",N(对接源_01水果!$U858)&lt;&gt;0)),1,0)</f>
        <v>0</v>
      </c>
      <c r="S858">
        <f>N(S857)+$R858</f>
        <v>0</v>
      </c>
      <c r="T858">
        <f>IF(AND($K858=1,AND(对接源_01水果!$X858="公司筐",N(对接源_01水果!$V858)&lt;&gt;0)),1,0)</f>
        <v>0</v>
      </c>
      <c r="U858">
        <f>N(U857)+$T858</f>
        <v>47</v>
      </c>
      <c r="V858">
        <f>IF(AND($L858=1,AND(对接源_01水果!$X858="自备筐",N(对接源_01水果!$V858)&lt;&gt;0)),1,0)</f>
        <v>0</v>
      </c>
      <c r="W858">
        <f>N(W857)+$V858</f>
        <v>11</v>
      </c>
      <c r="X858">
        <f>IF(AND($L858=1,AND(对接源_01水果!$X858="自备筐",N(对接源_01水果!$T858)&lt;&gt;0)),1,0)</f>
        <v>0</v>
      </c>
      <c r="Y858">
        <f>N(Y857)+$X858</f>
        <v>0</v>
      </c>
      <c r="Z858">
        <f>IF(AND($M858=1,对接源_01水果!$D858="原料入库"),1,0)</f>
        <v>0</v>
      </c>
      <c r="AA858">
        <f>N(AA857)+$Z858</f>
        <v>24</v>
      </c>
      <c r="AB858">
        <f>IF(AND($M858=1,LEFT(对接源_01水果!$D858,4)="原料出库"),1,0)</f>
        <v>0</v>
      </c>
      <c r="AC858">
        <f>N(AC857)+$AB858</f>
        <v>0</v>
      </c>
      <c r="AD858">
        <f>IF(AND($M858=1,LEFT(对接源_01水果!$D858,4)="成品出库"),1,0)</f>
        <v>0</v>
      </c>
      <c r="AE858">
        <f>N(AE857)+$AD858</f>
        <v>0</v>
      </c>
      <c r="AF858">
        <f>IF(AND($N858=1,AND(LEFT(对接源_01水果!$D858,4)="包装物料",N(对接源_01水果!$K858)&lt;&gt;0)),1,0)</f>
        <v>0</v>
      </c>
      <c r="AG858">
        <f>N(AG857)+$AF858</f>
        <v>0</v>
      </c>
      <c r="AH858">
        <f>IF(AND($N858=1,AND(对接源_01水果!$D858="周转筐－销售出库",N(对接源_01水果!$K858)&lt;&gt;0)),1,0)</f>
        <v>0</v>
      </c>
      <c r="AI858">
        <f>N(AI857)+$AH858</f>
        <v>0</v>
      </c>
      <c r="AJ858" s="7" t="n"/>
      <c r="AL858">
        <f>IF(OR($AL$1="",对接源_01水果!$Y858="",对接源_01水果!$Y858&lt;&gt;$AL$1,对接源_01水果!$B858="",N(对接源_01水果!$AJ858)&lt;=0),0,IF(OR(N(对接源_01水果!$B858)&lt;$AL$2,N(对接源_01水果!$B858)&gt;$AL$3),0,1))</f>
        <v>0</v>
      </c>
      <c r="AM858">
        <f>N(AM857)+$AL858</f>
        <v>2</v>
      </c>
      <c r="AN858">
        <f>IF(对接源_01水果!$AC858="","",对接源_01水果!$AC858)</f>
      </c>
      <c r="AO858">
        <f>IF(AN858="",0,IF(MATCH(AN858,$AN$4:$AN$1203,0)=ROW()-3,1,0))</f>
        <v>0</v>
      </c>
      <c r="AP858">
        <f>N(AP857)+$AO858</f>
        <v>13</v>
      </c>
      <c r="AR858">
        <f>IF(OR($AF858=1,$AH858=1),1,0)</f>
        <v>0</v>
      </c>
      <c r="AS858">
        <f>N(AS857)+$AR858</f>
        <v>0</v>
      </c>
    </row>
    <row r="859" ht="14.25" customHeight="1" s="127">
      <c r="A859">
        <f>IF(对接源_01水果!$C859="","",对接源_01水果!$C859)</f>
      </c>
      <c r="B859">
        <f>IF(A859="",0,IF(MATCH(A859,$A$4:$A$2403,0)=ROW()-3,1,0))</f>
        <v>0</v>
      </c>
      <c r="C859">
        <f>N(C858)+B859</f>
        <v>22</v>
      </c>
      <c r="K859">
        <f>IF(OR($K$1="",对接源_01水果!$C859="",对接源_01水果!$C859&lt;&gt;$K$1,对接源_01水果!$B859=""),0,IF(OR(N(对接源_01水果!$B859)&lt;$K$2,N(对接源_01水果!$B859)&gt;$K$3),0,1))</f>
        <v>0</v>
      </c>
      <c r="L859">
        <f>IF(OR($L$1="",对接源_01水果!$C859="",对接源_01水果!$C859&lt;&gt;$L$1,对接源_01水果!$B859=""),0,IF(OR(N(对接源_01水果!$B859)&lt;$L$2,N(对接源_01水果!$B859)&gt;$L$3),0,1))</f>
        <v>0</v>
      </c>
      <c r="M859">
        <f>IF(OR($M$1="",对接源_01水果!$C859="",对接源_01水果!$C859&lt;&gt;$M$1,对接源_01水果!$B859=""),0,IF(OR(N(对接源_01水果!$B859)&lt;$M$2,N(对接源_01水果!$B859)&gt;$M$3),0,1))</f>
        <v>0</v>
      </c>
      <c r="N859">
        <f>IF(OR($N$1="",对接源_01水果!$C859="",对接源_01水果!$C859&lt;&gt;$N$1,对接源_01水果!$B859=""),0,IF(OR(N(对接源_01水果!$B859)&lt;$N$2,N(对接源_01水果!$B859)&gt;$N$3),0,1))</f>
        <v>0</v>
      </c>
      <c r="P859">
        <f>IF(AND($K859=1,AND(对接源_01水果!$X859="公司筐",N(对接源_01水果!$T859)&lt;&gt;0)),1,0)</f>
        <v>0</v>
      </c>
      <c r="Q859">
        <f>N(Q858)+$P859</f>
        <v>0</v>
      </c>
      <c r="R859">
        <f>IF(AND($K859=1,AND(对接源_01水果!$X859="公司筐",N(对接源_01水果!$U859)&lt;&gt;0)),1,0)</f>
        <v>0</v>
      </c>
      <c r="S859">
        <f>N(S858)+$R859</f>
        <v>0</v>
      </c>
      <c r="T859">
        <f>IF(AND($K859=1,AND(对接源_01水果!$X859="公司筐",N(对接源_01水果!$V859)&lt;&gt;0)),1,0)</f>
        <v>0</v>
      </c>
      <c r="U859">
        <f>N(U858)+$T859</f>
        <v>47</v>
      </c>
      <c r="V859">
        <f>IF(AND($L859=1,AND(对接源_01水果!$X859="自备筐",N(对接源_01水果!$V859)&lt;&gt;0)),1,0)</f>
        <v>0</v>
      </c>
      <c r="W859">
        <f>N(W858)+$V859</f>
        <v>11</v>
      </c>
      <c r="X859">
        <f>IF(AND($L859=1,AND(对接源_01水果!$X859="自备筐",N(对接源_01水果!$T859)&lt;&gt;0)),1,0)</f>
        <v>0</v>
      </c>
      <c r="Y859">
        <f>N(Y858)+$X859</f>
        <v>0</v>
      </c>
      <c r="Z859">
        <f>IF(AND($M859=1,对接源_01水果!$D859="原料入库"),1,0)</f>
        <v>0</v>
      </c>
      <c r="AA859">
        <f>N(AA858)+$Z859</f>
        <v>24</v>
      </c>
      <c r="AB859">
        <f>IF(AND($M859=1,LEFT(对接源_01水果!$D859,4)="原料出库"),1,0)</f>
        <v>0</v>
      </c>
      <c r="AC859">
        <f>N(AC858)+$AB859</f>
        <v>0</v>
      </c>
      <c r="AD859">
        <f>IF(AND($M859=1,LEFT(对接源_01水果!$D859,4)="成品出库"),1,0)</f>
        <v>0</v>
      </c>
      <c r="AE859">
        <f>N(AE858)+$AD859</f>
        <v>0</v>
      </c>
      <c r="AF859">
        <f>IF(AND($N859=1,AND(LEFT(对接源_01水果!$D859,4)="包装物料",N(对接源_01水果!$K859)&lt;&gt;0)),1,0)</f>
        <v>0</v>
      </c>
      <c r="AG859">
        <f>N(AG858)+$AF859</f>
        <v>0</v>
      </c>
      <c r="AH859">
        <f>IF(AND($N859=1,AND(对接源_01水果!$D859="周转筐－销售出库",N(对接源_01水果!$K859)&lt;&gt;0)),1,0)</f>
        <v>0</v>
      </c>
      <c r="AI859">
        <f>N(AI858)+$AH859</f>
        <v>0</v>
      </c>
      <c r="AJ859" s="7" t="n"/>
      <c r="AL859">
        <f>IF(OR($AL$1="",对接源_01水果!$Y859="",对接源_01水果!$Y859&lt;&gt;$AL$1,对接源_01水果!$B859="",N(对接源_01水果!$AJ859)&lt;=0),0,IF(OR(N(对接源_01水果!$B859)&lt;$AL$2,N(对接源_01水果!$B859)&gt;$AL$3),0,1))</f>
        <v>0</v>
      </c>
      <c r="AM859">
        <f>N(AM858)+$AL859</f>
        <v>2</v>
      </c>
      <c r="AN859">
        <f>IF(对接源_01水果!$AC859="","",对接源_01水果!$AC859)</f>
      </c>
      <c r="AO859">
        <f>IF(AN859="",0,IF(MATCH(AN859,$AN$4:$AN$1203,0)=ROW()-3,1,0))</f>
        <v>0</v>
      </c>
      <c r="AP859">
        <f>N(AP858)+$AO859</f>
        <v>13</v>
      </c>
      <c r="AR859">
        <f>IF(OR($AF859=1,$AH859=1),1,0)</f>
        <v>0</v>
      </c>
      <c r="AS859">
        <f>N(AS858)+$AR859</f>
        <v>0</v>
      </c>
    </row>
    <row r="860" ht="14.25" customHeight="1" s="127">
      <c r="A860">
        <f>IF(对接源_01水果!$C860="","",对接源_01水果!$C860)</f>
      </c>
      <c r="B860">
        <f>IF(A860="",0,IF(MATCH(A860,$A$4:$A$2403,0)=ROW()-3,1,0))</f>
        <v>0</v>
      </c>
      <c r="C860">
        <f>N(C859)+B860</f>
        <v>22</v>
      </c>
      <c r="K860">
        <f>IF(OR($K$1="",对接源_01水果!$C860="",对接源_01水果!$C860&lt;&gt;$K$1,对接源_01水果!$B860=""),0,IF(OR(N(对接源_01水果!$B860)&lt;$K$2,N(对接源_01水果!$B860)&gt;$K$3),0,1))</f>
        <v>0</v>
      </c>
      <c r="L860">
        <f>IF(OR($L$1="",对接源_01水果!$C860="",对接源_01水果!$C860&lt;&gt;$L$1,对接源_01水果!$B860=""),0,IF(OR(N(对接源_01水果!$B860)&lt;$L$2,N(对接源_01水果!$B860)&gt;$L$3),0,1))</f>
        <v>0</v>
      </c>
      <c r="M860">
        <f>IF(OR($M$1="",对接源_01水果!$C860="",对接源_01水果!$C860&lt;&gt;$M$1,对接源_01水果!$B860=""),0,IF(OR(N(对接源_01水果!$B860)&lt;$M$2,N(对接源_01水果!$B860)&gt;$M$3),0,1))</f>
        <v>0</v>
      </c>
      <c r="N860">
        <f>IF(OR($N$1="",对接源_01水果!$C860="",对接源_01水果!$C860&lt;&gt;$N$1,对接源_01水果!$B860=""),0,IF(OR(N(对接源_01水果!$B860)&lt;$N$2,N(对接源_01水果!$B860)&gt;$N$3),0,1))</f>
        <v>0</v>
      </c>
      <c r="P860">
        <f>IF(AND($K860=1,AND(对接源_01水果!$X860="公司筐",N(对接源_01水果!$T860)&lt;&gt;0)),1,0)</f>
        <v>0</v>
      </c>
      <c r="Q860">
        <f>N(Q859)+$P860</f>
        <v>0</v>
      </c>
      <c r="R860">
        <f>IF(AND($K860=1,AND(对接源_01水果!$X860="公司筐",N(对接源_01水果!$U860)&lt;&gt;0)),1,0)</f>
        <v>0</v>
      </c>
      <c r="S860">
        <f>N(S859)+$R860</f>
        <v>0</v>
      </c>
      <c r="T860">
        <f>IF(AND($K860=1,AND(对接源_01水果!$X860="公司筐",N(对接源_01水果!$V860)&lt;&gt;0)),1,0)</f>
        <v>0</v>
      </c>
      <c r="U860">
        <f>N(U859)+$T860</f>
        <v>47</v>
      </c>
      <c r="V860">
        <f>IF(AND($L860=1,AND(对接源_01水果!$X860="自备筐",N(对接源_01水果!$V860)&lt;&gt;0)),1,0)</f>
        <v>0</v>
      </c>
      <c r="W860">
        <f>N(W859)+$V860</f>
        <v>11</v>
      </c>
      <c r="X860">
        <f>IF(AND($L860=1,AND(对接源_01水果!$X860="自备筐",N(对接源_01水果!$T860)&lt;&gt;0)),1,0)</f>
        <v>0</v>
      </c>
      <c r="Y860">
        <f>N(Y859)+$X860</f>
        <v>0</v>
      </c>
      <c r="Z860">
        <f>IF(AND($M860=1,对接源_01水果!$D860="原料入库"),1,0)</f>
        <v>0</v>
      </c>
      <c r="AA860">
        <f>N(AA859)+$Z860</f>
        <v>24</v>
      </c>
      <c r="AB860">
        <f>IF(AND($M860=1,LEFT(对接源_01水果!$D860,4)="原料出库"),1,0)</f>
        <v>0</v>
      </c>
      <c r="AC860">
        <f>N(AC859)+$AB860</f>
        <v>0</v>
      </c>
      <c r="AD860">
        <f>IF(AND($M860=1,LEFT(对接源_01水果!$D860,4)="成品出库"),1,0)</f>
        <v>0</v>
      </c>
      <c r="AE860">
        <f>N(AE859)+$AD860</f>
        <v>0</v>
      </c>
      <c r="AF860">
        <f>IF(AND($N860=1,AND(LEFT(对接源_01水果!$D860,4)="包装物料",N(对接源_01水果!$K860)&lt;&gt;0)),1,0)</f>
        <v>0</v>
      </c>
      <c r="AG860">
        <f>N(AG859)+$AF860</f>
        <v>0</v>
      </c>
      <c r="AH860">
        <f>IF(AND($N860=1,AND(对接源_01水果!$D860="周转筐－销售出库",N(对接源_01水果!$K860)&lt;&gt;0)),1,0)</f>
        <v>0</v>
      </c>
      <c r="AI860">
        <f>N(AI859)+$AH860</f>
        <v>0</v>
      </c>
      <c r="AJ860" s="7" t="n"/>
      <c r="AL860">
        <f>IF(OR($AL$1="",对接源_01水果!$Y860="",对接源_01水果!$Y860&lt;&gt;$AL$1,对接源_01水果!$B860="",N(对接源_01水果!$AJ860)&lt;=0),0,IF(OR(N(对接源_01水果!$B860)&lt;$AL$2,N(对接源_01水果!$B860)&gt;$AL$3),0,1))</f>
        <v>0</v>
      </c>
      <c r="AM860">
        <f>N(AM859)+$AL860</f>
        <v>2</v>
      </c>
      <c r="AN860">
        <f>IF(对接源_01水果!$AC860="","",对接源_01水果!$AC860)</f>
      </c>
      <c r="AO860">
        <f>IF(AN860="",0,IF(MATCH(AN860,$AN$4:$AN$1203,0)=ROW()-3,1,0))</f>
        <v>0</v>
      </c>
      <c r="AP860">
        <f>N(AP859)+$AO860</f>
        <v>13</v>
      </c>
      <c r="AR860">
        <f>IF(OR($AF860=1,$AH860=1),1,0)</f>
        <v>0</v>
      </c>
      <c r="AS860">
        <f>N(AS859)+$AR860</f>
        <v>0</v>
      </c>
    </row>
    <row r="861" ht="14.25" customHeight="1" s="127">
      <c r="A861">
        <f>IF(对接源_01水果!$C861="","",对接源_01水果!$C861)</f>
      </c>
      <c r="B861">
        <f>IF(A861="",0,IF(MATCH(A861,$A$4:$A$2403,0)=ROW()-3,1,0))</f>
        <v>0</v>
      </c>
      <c r="C861">
        <f>N(C860)+B861</f>
        <v>22</v>
      </c>
      <c r="K861">
        <f>IF(OR($K$1="",对接源_01水果!$C861="",对接源_01水果!$C861&lt;&gt;$K$1,对接源_01水果!$B861=""),0,IF(OR(N(对接源_01水果!$B861)&lt;$K$2,N(对接源_01水果!$B861)&gt;$K$3),0,1))</f>
        <v>0</v>
      </c>
      <c r="L861">
        <f>IF(OR($L$1="",对接源_01水果!$C861="",对接源_01水果!$C861&lt;&gt;$L$1,对接源_01水果!$B861=""),0,IF(OR(N(对接源_01水果!$B861)&lt;$L$2,N(对接源_01水果!$B861)&gt;$L$3),0,1))</f>
        <v>0</v>
      </c>
      <c r="M861">
        <f>IF(OR($M$1="",对接源_01水果!$C861="",对接源_01水果!$C861&lt;&gt;$M$1,对接源_01水果!$B861=""),0,IF(OR(N(对接源_01水果!$B861)&lt;$M$2,N(对接源_01水果!$B861)&gt;$M$3),0,1))</f>
        <v>0</v>
      </c>
      <c r="N861">
        <f>IF(OR($N$1="",对接源_01水果!$C861="",对接源_01水果!$C861&lt;&gt;$N$1,对接源_01水果!$B861=""),0,IF(OR(N(对接源_01水果!$B861)&lt;$N$2,N(对接源_01水果!$B861)&gt;$N$3),0,1))</f>
        <v>0</v>
      </c>
      <c r="P861">
        <f>IF(AND($K861=1,AND(对接源_01水果!$X861="公司筐",N(对接源_01水果!$T861)&lt;&gt;0)),1,0)</f>
        <v>0</v>
      </c>
      <c r="Q861">
        <f>N(Q860)+$P861</f>
        <v>0</v>
      </c>
      <c r="R861">
        <f>IF(AND($K861=1,AND(对接源_01水果!$X861="公司筐",N(对接源_01水果!$U861)&lt;&gt;0)),1,0)</f>
        <v>0</v>
      </c>
      <c r="S861">
        <f>N(S860)+$R861</f>
        <v>0</v>
      </c>
      <c r="T861">
        <f>IF(AND($K861=1,AND(对接源_01水果!$X861="公司筐",N(对接源_01水果!$V861)&lt;&gt;0)),1,0)</f>
        <v>0</v>
      </c>
      <c r="U861">
        <f>N(U860)+$T861</f>
        <v>47</v>
      </c>
      <c r="V861">
        <f>IF(AND($L861=1,AND(对接源_01水果!$X861="自备筐",N(对接源_01水果!$V861)&lt;&gt;0)),1,0)</f>
        <v>0</v>
      </c>
      <c r="W861">
        <f>N(W860)+$V861</f>
        <v>11</v>
      </c>
      <c r="X861">
        <f>IF(AND($L861=1,AND(对接源_01水果!$X861="自备筐",N(对接源_01水果!$T861)&lt;&gt;0)),1,0)</f>
        <v>0</v>
      </c>
      <c r="Y861">
        <f>N(Y860)+$X861</f>
        <v>0</v>
      </c>
      <c r="Z861">
        <f>IF(AND($M861=1,对接源_01水果!$D861="原料入库"),1,0)</f>
        <v>0</v>
      </c>
      <c r="AA861">
        <f>N(AA860)+$Z861</f>
        <v>24</v>
      </c>
      <c r="AB861">
        <f>IF(AND($M861=1,LEFT(对接源_01水果!$D861,4)="原料出库"),1,0)</f>
        <v>0</v>
      </c>
      <c r="AC861">
        <f>N(AC860)+$AB861</f>
        <v>0</v>
      </c>
      <c r="AD861">
        <f>IF(AND($M861=1,LEFT(对接源_01水果!$D861,4)="成品出库"),1,0)</f>
        <v>0</v>
      </c>
      <c r="AE861">
        <f>N(AE860)+$AD861</f>
        <v>0</v>
      </c>
      <c r="AF861">
        <f>IF(AND($N861=1,AND(LEFT(对接源_01水果!$D861,4)="包装物料",N(对接源_01水果!$K861)&lt;&gt;0)),1,0)</f>
        <v>0</v>
      </c>
      <c r="AG861">
        <f>N(AG860)+$AF861</f>
        <v>0</v>
      </c>
      <c r="AH861">
        <f>IF(AND($N861=1,AND(对接源_01水果!$D861="周转筐－销售出库",N(对接源_01水果!$K861)&lt;&gt;0)),1,0)</f>
        <v>0</v>
      </c>
      <c r="AI861">
        <f>N(AI860)+$AH861</f>
        <v>0</v>
      </c>
      <c r="AJ861" s="7" t="n"/>
      <c r="AL861">
        <f>IF(OR($AL$1="",对接源_01水果!$Y861="",对接源_01水果!$Y861&lt;&gt;$AL$1,对接源_01水果!$B861="",N(对接源_01水果!$AJ861)&lt;=0),0,IF(OR(N(对接源_01水果!$B861)&lt;$AL$2,N(对接源_01水果!$B861)&gt;$AL$3),0,1))</f>
        <v>0</v>
      </c>
      <c r="AM861">
        <f>N(AM860)+$AL861</f>
        <v>2</v>
      </c>
      <c r="AN861">
        <f>IF(对接源_01水果!$AC861="","",对接源_01水果!$AC861)</f>
      </c>
      <c r="AO861">
        <f>IF(AN861="",0,IF(MATCH(AN861,$AN$4:$AN$1203,0)=ROW()-3,1,0))</f>
        <v>0</v>
      </c>
      <c r="AP861">
        <f>N(AP860)+$AO861</f>
        <v>13</v>
      </c>
      <c r="AR861">
        <f>IF(OR($AF861=1,$AH861=1),1,0)</f>
        <v>0</v>
      </c>
      <c r="AS861">
        <f>N(AS860)+$AR861</f>
        <v>0</v>
      </c>
    </row>
    <row r="862" ht="14.25" customHeight="1" s="127">
      <c r="A862">
        <f>IF(对接源_01水果!$C862="","",对接源_01水果!$C862)</f>
      </c>
      <c r="B862">
        <f>IF(A862="",0,IF(MATCH(A862,$A$4:$A$2403,0)=ROW()-3,1,0))</f>
        <v>0</v>
      </c>
      <c r="C862">
        <f>N(C861)+B862</f>
        <v>22</v>
      </c>
      <c r="K862">
        <f>IF(OR($K$1="",对接源_01水果!$C862="",对接源_01水果!$C862&lt;&gt;$K$1,对接源_01水果!$B862=""),0,IF(OR(N(对接源_01水果!$B862)&lt;$K$2,N(对接源_01水果!$B862)&gt;$K$3),0,1))</f>
        <v>0</v>
      </c>
      <c r="L862">
        <f>IF(OR($L$1="",对接源_01水果!$C862="",对接源_01水果!$C862&lt;&gt;$L$1,对接源_01水果!$B862=""),0,IF(OR(N(对接源_01水果!$B862)&lt;$L$2,N(对接源_01水果!$B862)&gt;$L$3),0,1))</f>
        <v>0</v>
      </c>
      <c r="M862">
        <f>IF(OR($M$1="",对接源_01水果!$C862="",对接源_01水果!$C862&lt;&gt;$M$1,对接源_01水果!$B862=""),0,IF(OR(N(对接源_01水果!$B862)&lt;$M$2,N(对接源_01水果!$B862)&gt;$M$3),0,1))</f>
        <v>0</v>
      </c>
      <c r="N862">
        <f>IF(OR($N$1="",对接源_01水果!$C862="",对接源_01水果!$C862&lt;&gt;$N$1,对接源_01水果!$B862=""),0,IF(OR(N(对接源_01水果!$B862)&lt;$N$2,N(对接源_01水果!$B862)&gt;$N$3),0,1))</f>
        <v>0</v>
      </c>
      <c r="P862">
        <f>IF(AND($K862=1,AND(对接源_01水果!$X862="公司筐",N(对接源_01水果!$T862)&lt;&gt;0)),1,0)</f>
        <v>0</v>
      </c>
      <c r="Q862">
        <f>N(Q861)+$P862</f>
        <v>0</v>
      </c>
      <c r="R862">
        <f>IF(AND($K862=1,AND(对接源_01水果!$X862="公司筐",N(对接源_01水果!$U862)&lt;&gt;0)),1,0)</f>
        <v>0</v>
      </c>
      <c r="S862">
        <f>N(S861)+$R862</f>
        <v>0</v>
      </c>
      <c r="T862">
        <f>IF(AND($K862=1,AND(对接源_01水果!$X862="公司筐",N(对接源_01水果!$V862)&lt;&gt;0)),1,0)</f>
        <v>0</v>
      </c>
      <c r="U862">
        <f>N(U861)+$T862</f>
        <v>47</v>
      </c>
      <c r="V862">
        <f>IF(AND($L862=1,AND(对接源_01水果!$X862="自备筐",N(对接源_01水果!$V862)&lt;&gt;0)),1,0)</f>
        <v>0</v>
      </c>
      <c r="W862">
        <f>N(W861)+$V862</f>
        <v>11</v>
      </c>
      <c r="X862">
        <f>IF(AND($L862=1,AND(对接源_01水果!$X862="自备筐",N(对接源_01水果!$T862)&lt;&gt;0)),1,0)</f>
        <v>0</v>
      </c>
      <c r="Y862">
        <f>N(Y861)+$X862</f>
        <v>0</v>
      </c>
      <c r="Z862">
        <f>IF(AND($M862=1,对接源_01水果!$D862="原料入库"),1,0)</f>
        <v>0</v>
      </c>
      <c r="AA862">
        <f>N(AA861)+$Z862</f>
        <v>24</v>
      </c>
      <c r="AB862">
        <f>IF(AND($M862=1,LEFT(对接源_01水果!$D862,4)="原料出库"),1,0)</f>
        <v>0</v>
      </c>
      <c r="AC862">
        <f>N(AC861)+$AB862</f>
        <v>0</v>
      </c>
      <c r="AD862">
        <f>IF(AND($M862=1,LEFT(对接源_01水果!$D862,4)="成品出库"),1,0)</f>
        <v>0</v>
      </c>
      <c r="AE862">
        <f>N(AE861)+$AD862</f>
        <v>0</v>
      </c>
      <c r="AF862">
        <f>IF(AND($N862=1,AND(LEFT(对接源_01水果!$D862,4)="包装物料",N(对接源_01水果!$K862)&lt;&gt;0)),1,0)</f>
        <v>0</v>
      </c>
      <c r="AG862">
        <f>N(AG861)+$AF862</f>
        <v>0</v>
      </c>
      <c r="AH862">
        <f>IF(AND($N862=1,AND(对接源_01水果!$D862="周转筐－销售出库",N(对接源_01水果!$K862)&lt;&gt;0)),1,0)</f>
        <v>0</v>
      </c>
      <c r="AI862">
        <f>N(AI861)+$AH862</f>
        <v>0</v>
      </c>
      <c r="AJ862" s="7" t="n"/>
      <c r="AL862">
        <f>IF(OR($AL$1="",对接源_01水果!$Y862="",对接源_01水果!$Y862&lt;&gt;$AL$1,对接源_01水果!$B862="",N(对接源_01水果!$AJ862)&lt;=0),0,IF(OR(N(对接源_01水果!$B862)&lt;$AL$2,N(对接源_01水果!$B862)&gt;$AL$3),0,1))</f>
        <v>0</v>
      </c>
      <c r="AM862">
        <f>N(AM861)+$AL862</f>
        <v>2</v>
      </c>
      <c r="AN862">
        <f>IF(对接源_01水果!$AC862="","",对接源_01水果!$AC862)</f>
      </c>
      <c r="AO862">
        <f>IF(AN862="",0,IF(MATCH(AN862,$AN$4:$AN$1203,0)=ROW()-3,1,0))</f>
        <v>0</v>
      </c>
      <c r="AP862">
        <f>N(AP861)+$AO862</f>
        <v>13</v>
      </c>
      <c r="AR862">
        <f>IF(OR($AF862=1,$AH862=1),1,0)</f>
        <v>0</v>
      </c>
      <c r="AS862">
        <f>N(AS861)+$AR862</f>
        <v>0</v>
      </c>
    </row>
    <row r="863" ht="14.25" customHeight="1" s="127">
      <c r="A863">
        <f>IF(对接源_01水果!$C863="","",对接源_01水果!$C863)</f>
      </c>
      <c r="B863">
        <f>IF(A863="",0,IF(MATCH(A863,$A$4:$A$2403,0)=ROW()-3,1,0))</f>
        <v>0</v>
      </c>
      <c r="C863">
        <f>N(C862)+B863</f>
        <v>22</v>
      </c>
      <c r="K863">
        <f>IF(OR($K$1="",对接源_01水果!$C863="",对接源_01水果!$C863&lt;&gt;$K$1,对接源_01水果!$B863=""),0,IF(OR(N(对接源_01水果!$B863)&lt;$K$2,N(对接源_01水果!$B863)&gt;$K$3),0,1))</f>
        <v>0</v>
      </c>
      <c r="L863">
        <f>IF(OR($L$1="",对接源_01水果!$C863="",对接源_01水果!$C863&lt;&gt;$L$1,对接源_01水果!$B863=""),0,IF(OR(N(对接源_01水果!$B863)&lt;$L$2,N(对接源_01水果!$B863)&gt;$L$3),0,1))</f>
        <v>0</v>
      </c>
      <c r="M863">
        <f>IF(OR($M$1="",对接源_01水果!$C863="",对接源_01水果!$C863&lt;&gt;$M$1,对接源_01水果!$B863=""),0,IF(OR(N(对接源_01水果!$B863)&lt;$M$2,N(对接源_01水果!$B863)&gt;$M$3),0,1))</f>
        <v>0</v>
      </c>
      <c r="N863">
        <f>IF(OR($N$1="",对接源_01水果!$C863="",对接源_01水果!$C863&lt;&gt;$N$1,对接源_01水果!$B863=""),0,IF(OR(N(对接源_01水果!$B863)&lt;$N$2,N(对接源_01水果!$B863)&gt;$N$3),0,1))</f>
        <v>0</v>
      </c>
      <c r="P863">
        <f>IF(AND($K863=1,AND(对接源_01水果!$X863="公司筐",N(对接源_01水果!$T863)&lt;&gt;0)),1,0)</f>
        <v>0</v>
      </c>
      <c r="Q863">
        <f>N(Q862)+$P863</f>
        <v>0</v>
      </c>
      <c r="R863">
        <f>IF(AND($K863=1,AND(对接源_01水果!$X863="公司筐",N(对接源_01水果!$U863)&lt;&gt;0)),1,0)</f>
        <v>0</v>
      </c>
      <c r="S863">
        <f>N(S862)+$R863</f>
        <v>0</v>
      </c>
      <c r="T863">
        <f>IF(AND($K863=1,AND(对接源_01水果!$X863="公司筐",N(对接源_01水果!$V863)&lt;&gt;0)),1,0)</f>
        <v>0</v>
      </c>
      <c r="U863">
        <f>N(U862)+$T863</f>
        <v>47</v>
      </c>
      <c r="V863">
        <f>IF(AND($L863=1,AND(对接源_01水果!$X863="自备筐",N(对接源_01水果!$V863)&lt;&gt;0)),1,0)</f>
        <v>0</v>
      </c>
      <c r="W863">
        <f>N(W862)+$V863</f>
        <v>11</v>
      </c>
      <c r="X863">
        <f>IF(AND($L863=1,AND(对接源_01水果!$X863="自备筐",N(对接源_01水果!$T863)&lt;&gt;0)),1,0)</f>
        <v>0</v>
      </c>
      <c r="Y863">
        <f>N(Y862)+$X863</f>
        <v>0</v>
      </c>
      <c r="Z863">
        <f>IF(AND($M863=1,对接源_01水果!$D863="原料入库"),1,0)</f>
        <v>0</v>
      </c>
      <c r="AA863">
        <f>N(AA862)+$Z863</f>
        <v>24</v>
      </c>
      <c r="AB863">
        <f>IF(AND($M863=1,LEFT(对接源_01水果!$D863,4)="原料出库"),1,0)</f>
        <v>0</v>
      </c>
      <c r="AC863">
        <f>N(AC862)+$AB863</f>
        <v>0</v>
      </c>
      <c r="AD863">
        <f>IF(AND($M863=1,LEFT(对接源_01水果!$D863,4)="成品出库"),1,0)</f>
        <v>0</v>
      </c>
      <c r="AE863">
        <f>N(AE862)+$AD863</f>
        <v>0</v>
      </c>
      <c r="AF863">
        <f>IF(AND($N863=1,AND(LEFT(对接源_01水果!$D863,4)="包装物料",N(对接源_01水果!$K863)&lt;&gt;0)),1,0)</f>
        <v>0</v>
      </c>
      <c r="AG863">
        <f>N(AG862)+$AF863</f>
        <v>0</v>
      </c>
      <c r="AH863">
        <f>IF(AND($N863=1,AND(对接源_01水果!$D863="周转筐－销售出库",N(对接源_01水果!$K863)&lt;&gt;0)),1,0)</f>
        <v>0</v>
      </c>
      <c r="AI863">
        <f>N(AI862)+$AH863</f>
        <v>0</v>
      </c>
      <c r="AJ863" s="7" t="n"/>
      <c r="AL863">
        <f>IF(OR($AL$1="",对接源_01水果!$Y863="",对接源_01水果!$Y863&lt;&gt;$AL$1,对接源_01水果!$B863="",N(对接源_01水果!$AJ863)&lt;=0),0,IF(OR(N(对接源_01水果!$B863)&lt;$AL$2,N(对接源_01水果!$B863)&gt;$AL$3),0,1))</f>
        <v>0</v>
      </c>
      <c r="AM863">
        <f>N(AM862)+$AL863</f>
        <v>2</v>
      </c>
      <c r="AN863">
        <f>IF(对接源_01水果!$AC863="","",对接源_01水果!$AC863)</f>
      </c>
      <c r="AO863">
        <f>IF(AN863="",0,IF(MATCH(AN863,$AN$4:$AN$1203,0)=ROW()-3,1,0))</f>
        <v>0</v>
      </c>
      <c r="AP863">
        <f>N(AP862)+$AO863</f>
        <v>13</v>
      </c>
      <c r="AR863">
        <f>IF(OR($AF863=1,$AH863=1),1,0)</f>
        <v>0</v>
      </c>
      <c r="AS863">
        <f>N(AS862)+$AR863</f>
        <v>0</v>
      </c>
    </row>
    <row r="864" ht="14.25" customHeight="1" s="127">
      <c r="A864">
        <f>IF(对接源_01水果!$C864="","",对接源_01水果!$C864)</f>
      </c>
      <c r="B864">
        <f>IF(A864="",0,IF(MATCH(A864,$A$4:$A$2403,0)=ROW()-3,1,0))</f>
        <v>0</v>
      </c>
      <c r="C864">
        <f>N(C863)+B864</f>
        <v>22</v>
      </c>
      <c r="K864">
        <f>IF(OR($K$1="",对接源_01水果!$C864="",对接源_01水果!$C864&lt;&gt;$K$1,对接源_01水果!$B864=""),0,IF(OR(N(对接源_01水果!$B864)&lt;$K$2,N(对接源_01水果!$B864)&gt;$K$3),0,1))</f>
        <v>0</v>
      </c>
      <c r="L864">
        <f>IF(OR($L$1="",对接源_01水果!$C864="",对接源_01水果!$C864&lt;&gt;$L$1,对接源_01水果!$B864=""),0,IF(OR(N(对接源_01水果!$B864)&lt;$L$2,N(对接源_01水果!$B864)&gt;$L$3),0,1))</f>
        <v>0</v>
      </c>
      <c r="M864">
        <f>IF(OR($M$1="",对接源_01水果!$C864="",对接源_01水果!$C864&lt;&gt;$M$1,对接源_01水果!$B864=""),0,IF(OR(N(对接源_01水果!$B864)&lt;$M$2,N(对接源_01水果!$B864)&gt;$M$3),0,1))</f>
        <v>0</v>
      </c>
      <c r="N864">
        <f>IF(OR($N$1="",对接源_01水果!$C864="",对接源_01水果!$C864&lt;&gt;$N$1,对接源_01水果!$B864=""),0,IF(OR(N(对接源_01水果!$B864)&lt;$N$2,N(对接源_01水果!$B864)&gt;$N$3),0,1))</f>
        <v>0</v>
      </c>
      <c r="P864">
        <f>IF(AND($K864=1,AND(对接源_01水果!$X864="公司筐",N(对接源_01水果!$T864)&lt;&gt;0)),1,0)</f>
        <v>0</v>
      </c>
      <c r="Q864">
        <f>N(Q863)+$P864</f>
        <v>0</v>
      </c>
      <c r="R864">
        <f>IF(AND($K864=1,AND(对接源_01水果!$X864="公司筐",N(对接源_01水果!$U864)&lt;&gt;0)),1,0)</f>
        <v>0</v>
      </c>
      <c r="S864">
        <f>N(S863)+$R864</f>
        <v>0</v>
      </c>
      <c r="T864">
        <f>IF(AND($K864=1,AND(对接源_01水果!$X864="公司筐",N(对接源_01水果!$V864)&lt;&gt;0)),1,0)</f>
        <v>0</v>
      </c>
      <c r="U864">
        <f>N(U863)+$T864</f>
        <v>47</v>
      </c>
      <c r="V864">
        <f>IF(AND($L864=1,AND(对接源_01水果!$X864="自备筐",N(对接源_01水果!$V864)&lt;&gt;0)),1,0)</f>
        <v>0</v>
      </c>
      <c r="W864">
        <f>N(W863)+$V864</f>
        <v>11</v>
      </c>
      <c r="X864">
        <f>IF(AND($L864=1,AND(对接源_01水果!$X864="自备筐",N(对接源_01水果!$T864)&lt;&gt;0)),1,0)</f>
        <v>0</v>
      </c>
      <c r="Y864">
        <f>N(Y863)+$X864</f>
        <v>0</v>
      </c>
      <c r="Z864">
        <f>IF(AND($M864=1,对接源_01水果!$D864="原料入库"),1,0)</f>
        <v>0</v>
      </c>
      <c r="AA864">
        <f>N(AA863)+$Z864</f>
        <v>24</v>
      </c>
      <c r="AB864">
        <f>IF(AND($M864=1,LEFT(对接源_01水果!$D864,4)="原料出库"),1,0)</f>
        <v>0</v>
      </c>
      <c r="AC864">
        <f>N(AC863)+$AB864</f>
        <v>0</v>
      </c>
      <c r="AD864">
        <f>IF(AND($M864=1,LEFT(对接源_01水果!$D864,4)="成品出库"),1,0)</f>
        <v>0</v>
      </c>
      <c r="AE864">
        <f>N(AE863)+$AD864</f>
        <v>0</v>
      </c>
      <c r="AF864">
        <f>IF(AND($N864=1,AND(LEFT(对接源_01水果!$D864,4)="包装物料",N(对接源_01水果!$K864)&lt;&gt;0)),1,0)</f>
        <v>0</v>
      </c>
      <c r="AG864">
        <f>N(AG863)+$AF864</f>
        <v>0</v>
      </c>
      <c r="AH864">
        <f>IF(AND($N864=1,AND(对接源_01水果!$D864="周转筐－销售出库",N(对接源_01水果!$K864)&lt;&gt;0)),1,0)</f>
        <v>0</v>
      </c>
      <c r="AI864">
        <f>N(AI863)+$AH864</f>
        <v>0</v>
      </c>
      <c r="AJ864" s="7" t="n"/>
      <c r="AL864">
        <f>IF(OR($AL$1="",对接源_01水果!$Y864="",对接源_01水果!$Y864&lt;&gt;$AL$1,对接源_01水果!$B864="",N(对接源_01水果!$AJ864)&lt;=0),0,IF(OR(N(对接源_01水果!$B864)&lt;$AL$2,N(对接源_01水果!$B864)&gt;$AL$3),0,1))</f>
        <v>0</v>
      </c>
      <c r="AM864">
        <f>N(AM863)+$AL864</f>
        <v>2</v>
      </c>
      <c r="AN864">
        <f>IF(对接源_01水果!$AC864="","",对接源_01水果!$AC864)</f>
      </c>
      <c r="AO864">
        <f>IF(AN864="",0,IF(MATCH(AN864,$AN$4:$AN$1203,0)=ROW()-3,1,0))</f>
        <v>0</v>
      </c>
      <c r="AP864">
        <f>N(AP863)+$AO864</f>
        <v>13</v>
      </c>
      <c r="AR864">
        <f>IF(OR($AF864=1,$AH864=1),1,0)</f>
        <v>0</v>
      </c>
      <c r="AS864">
        <f>N(AS863)+$AR864</f>
        <v>0</v>
      </c>
    </row>
    <row r="865" ht="14.25" customHeight="1" s="127">
      <c r="A865">
        <f>IF(对接源_01水果!$C865="","",对接源_01水果!$C865)</f>
      </c>
      <c r="B865">
        <f>IF(A865="",0,IF(MATCH(A865,$A$4:$A$2403,0)=ROW()-3,1,0))</f>
        <v>0</v>
      </c>
      <c r="C865">
        <f>N(C864)+B865</f>
        <v>22</v>
      </c>
      <c r="K865">
        <f>IF(OR($K$1="",对接源_01水果!$C865="",对接源_01水果!$C865&lt;&gt;$K$1,对接源_01水果!$B865=""),0,IF(OR(N(对接源_01水果!$B865)&lt;$K$2,N(对接源_01水果!$B865)&gt;$K$3),0,1))</f>
        <v>0</v>
      </c>
      <c r="L865">
        <f>IF(OR($L$1="",对接源_01水果!$C865="",对接源_01水果!$C865&lt;&gt;$L$1,对接源_01水果!$B865=""),0,IF(OR(N(对接源_01水果!$B865)&lt;$L$2,N(对接源_01水果!$B865)&gt;$L$3),0,1))</f>
        <v>0</v>
      </c>
      <c r="M865">
        <f>IF(OR($M$1="",对接源_01水果!$C865="",对接源_01水果!$C865&lt;&gt;$M$1,对接源_01水果!$B865=""),0,IF(OR(N(对接源_01水果!$B865)&lt;$M$2,N(对接源_01水果!$B865)&gt;$M$3),0,1))</f>
        <v>0</v>
      </c>
      <c r="N865">
        <f>IF(OR($N$1="",对接源_01水果!$C865="",对接源_01水果!$C865&lt;&gt;$N$1,对接源_01水果!$B865=""),0,IF(OR(N(对接源_01水果!$B865)&lt;$N$2,N(对接源_01水果!$B865)&gt;$N$3),0,1))</f>
        <v>0</v>
      </c>
      <c r="P865">
        <f>IF(AND($K865=1,AND(对接源_01水果!$X865="公司筐",N(对接源_01水果!$T865)&lt;&gt;0)),1,0)</f>
        <v>0</v>
      </c>
      <c r="Q865">
        <f>N(Q864)+$P865</f>
        <v>0</v>
      </c>
      <c r="R865">
        <f>IF(AND($K865=1,AND(对接源_01水果!$X865="公司筐",N(对接源_01水果!$U865)&lt;&gt;0)),1,0)</f>
        <v>0</v>
      </c>
      <c r="S865">
        <f>N(S864)+$R865</f>
        <v>0</v>
      </c>
      <c r="T865">
        <f>IF(AND($K865=1,AND(对接源_01水果!$X865="公司筐",N(对接源_01水果!$V865)&lt;&gt;0)),1,0)</f>
        <v>0</v>
      </c>
      <c r="U865">
        <f>N(U864)+$T865</f>
        <v>47</v>
      </c>
      <c r="V865">
        <f>IF(AND($L865=1,AND(对接源_01水果!$X865="自备筐",N(对接源_01水果!$V865)&lt;&gt;0)),1,0)</f>
        <v>0</v>
      </c>
      <c r="W865">
        <f>N(W864)+$V865</f>
        <v>11</v>
      </c>
      <c r="X865">
        <f>IF(AND($L865=1,AND(对接源_01水果!$X865="自备筐",N(对接源_01水果!$T865)&lt;&gt;0)),1,0)</f>
        <v>0</v>
      </c>
      <c r="Y865">
        <f>N(Y864)+$X865</f>
        <v>0</v>
      </c>
      <c r="Z865">
        <f>IF(AND($M865=1,对接源_01水果!$D865="原料入库"),1,0)</f>
        <v>0</v>
      </c>
      <c r="AA865">
        <f>N(AA864)+$Z865</f>
        <v>24</v>
      </c>
      <c r="AB865">
        <f>IF(AND($M865=1,LEFT(对接源_01水果!$D865,4)="原料出库"),1,0)</f>
        <v>0</v>
      </c>
      <c r="AC865">
        <f>N(AC864)+$AB865</f>
        <v>0</v>
      </c>
      <c r="AD865">
        <f>IF(AND($M865=1,LEFT(对接源_01水果!$D865,4)="成品出库"),1,0)</f>
        <v>0</v>
      </c>
      <c r="AE865">
        <f>N(AE864)+$AD865</f>
        <v>0</v>
      </c>
      <c r="AF865">
        <f>IF(AND($N865=1,AND(LEFT(对接源_01水果!$D865,4)="包装物料",N(对接源_01水果!$K865)&lt;&gt;0)),1,0)</f>
        <v>0</v>
      </c>
      <c r="AG865">
        <f>N(AG864)+$AF865</f>
        <v>0</v>
      </c>
      <c r="AH865">
        <f>IF(AND($N865=1,AND(对接源_01水果!$D865="周转筐－销售出库",N(对接源_01水果!$K865)&lt;&gt;0)),1,0)</f>
        <v>0</v>
      </c>
      <c r="AI865">
        <f>N(AI864)+$AH865</f>
        <v>0</v>
      </c>
      <c r="AJ865" s="7" t="n"/>
      <c r="AL865">
        <f>IF(OR($AL$1="",对接源_01水果!$Y865="",对接源_01水果!$Y865&lt;&gt;$AL$1,对接源_01水果!$B865="",N(对接源_01水果!$AJ865)&lt;=0),0,IF(OR(N(对接源_01水果!$B865)&lt;$AL$2,N(对接源_01水果!$B865)&gt;$AL$3),0,1))</f>
        <v>0</v>
      </c>
      <c r="AM865">
        <f>N(AM864)+$AL865</f>
        <v>2</v>
      </c>
      <c r="AN865">
        <f>IF(对接源_01水果!$AC865="","",对接源_01水果!$AC865)</f>
      </c>
      <c r="AO865">
        <f>IF(AN865="",0,IF(MATCH(AN865,$AN$4:$AN$1203,0)=ROW()-3,1,0))</f>
        <v>0</v>
      </c>
      <c r="AP865">
        <f>N(AP864)+$AO865</f>
        <v>13</v>
      </c>
      <c r="AR865">
        <f>IF(OR($AF865=1,$AH865=1),1,0)</f>
        <v>0</v>
      </c>
      <c r="AS865">
        <f>N(AS864)+$AR865</f>
        <v>0</v>
      </c>
    </row>
    <row r="866" ht="14.25" customHeight="1" s="127">
      <c r="A866">
        <f>IF(对接源_01水果!$C866="","",对接源_01水果!$C866)</f>
      </c>
      <c r="B866">
        <f>IF(A866="",0,IF(MATCH(A866,$A$4:$A$2403,0)=ROW()-3,1,0))</f>
        <v>0</v>
      </c>
      <c r="C866">
        <f>N(C865)+B866</f>
        <v>22</v>
      </c>
      <c r="K866">
        <f>IF(OR($K$1="",对接源_01水果!$C866="",对接源_01水果!$C866&lt;&gt;$K$1,对接源_01水果!$B866=""),0,IF(OR(N(对接源_01水果!$B866)&lt;$K$2,N(对接源_01水果!$B866)&gt;$K$3),0,1))</f>
        <v>0</v>
      </c>
      <c r="L866">
        <f>IF(OR($L$1="",对接源_01水果!$C866="",对接源_01水果!$C866&lt;&gt;$L$1,对接源_01水果!$B866=""),0,IF(OR(N(对接源_01水果!$B866)&lt;$L$2,N(对接源_01水果!$B866)&gt;$L$3),0,1))</f>
        <v>0</v>
      </c>
      <c r="M866">
        <f>IF(OR($M$1="",对接源_01水果!$C866="",对接源_01水果!$C866&lt;&gt;$M$1,对接源_01水果!$B866=""),0,IF(OR(N(对接源_01水果!$B866)&lt;$M$2,N(对接源_01水果!$B866)&gt;$M$3),0,1))</f>
        <v>0</v>
      </c>
      <c r="N866">
        <f>IF(OR($N$1="",对接源_01水果!$C866="",对接源_01水果!$C866&lt;&gt;$N$1,对接源_01水果!$B866=""),0,IF(OR(N(对接源_01水果!$B866)&lt;$N$2,N(对接源_01水果!$B866)&gt;$N$3),0,1))</f>
        <v>0</v>
      </c>
      <c r="P866">
        <f>IF(AND($K866=1,AND(对接源_01水果!$X866="公司筐",N(对接源_01水果!$T866)&lt;&gt;0)),1,0)</f>
        <v>0</v>
      </c>
      <c r="Q866">
        <f>N(Q865)+$P866</f>
        <v>0</v>
      </c>
      <c r="R866">
        <f>IF(AND($K866=1,AND(对接源_01水果!$X866="公司筐",N(对接源_01水果!$U866)&lt;&gt;0)),1,0)</f>
        <v>0</v>
      </c>
      <c r="S866">
        <f>N(S865)+$R866</f>
        <v>0</v>
      </c>
      <c r="T866">
        <f>IF(AND($K866=1,AND(对接源_01水果!$X866="公司筐",N(对接源_01水果!$V866)&lt;&gt;0)),1,0)</f>
        <v>0</v>
      </c>
      <c r="U866">
        <f>N(U865)+$T866</f>
        <v>47</v>
      </c>
      <c r="V866">
        <f>IF(AND($L866=1,AND(对接源_01水果!$X866="自备筐",N(对接源_01水果!$V866)&lt;&gt;0)),1,0)</f>
        <v>0</v>
      </c>
      <c r="W866">
        <f>N(W865)+$V866</f>
        <v>11</v>
      </c>
      <c r="X866">
        <f>IF(AND($L866=1,AND(对接源_01水果!$X866="自备筐",N(对接源_01水果!$T866)&lt;&gt;0)),1,0)</f>
        <v>0</v>
      </c>
      <c r="Y866">
        <f>N(Y865)+$X866</f>
        <v>0</v>
      </c>
      <c r="Z866">
        <f>IF(AND($M866=1,对接源_01水果!$D866="原料入库"),1,0)</f>
        <v>0</v>
      </c>
      <c r="AA866">
        <f>N(AA865)+$Z866</f>
        <v>24</v>
      </c>
      <c r="AB866">
        <f>IF(AND($M866=1,LEFT(对接源_01水果!$D866,4)="原料出库"),1,0)</f>
        <v>0</v>
      </c>
      <c r="AC866">
        <f>N(AC865)+$AB866</f>
        <v>0</v>
      </c>
      <c r="AD866">
        <f>IF(AND($M866=1,LEFT(对接源_01水果!$D866,4)="成品出库"),1,0)</f>
        <v>0</v>
      </c>
      <c r="AE866">
        <f>N(AE865)+$AD866</f>
        <v>0</v>
      </c>
      <c r="AF866">
        <f>IF(AND($N866=1,AND(LEFT(对接源_01水果!$D866,4)="包装物料",N(对接源_01水果!$K866)&lt;&gt;0)),1,0)</f>
        <v>0</v>
      </c>
      <c r="AG866">
        <f>N(AG865)+$AF866</f>
        <v>0</v>
      </c>
      <c r="AH866">
        <f>IF(AND($N866=1,AND(对接源_01水果!$D866="周转筐－销售出库",N(对接源_01水果!$K866)&lt;&gt;0)),1,0)</f>
        <v>0</v>
      </c>
      <c r="AI866">
        <f>N(AI865)+$AH866</f>
        <v>0</v>
      </c>
      <c r="AJ866" s="7" t="n"/>
      <c r="AL866">
        <f>IF(OR($AL$1="",对接源_01水果!$Y866="",对接源_01水果!$Y866&lt;&gt;$AL$1,对接源_01水果!$B866="",N(对接源_01水果!$AJ866)&lt;=0),0,IF(OR(N(对接源_01水果!$B866)&lt;$AL$2,N(对接源_01水果!$B866)&gt;$AL$3),0,1))</f>
        <v>0</v>
      </c>
      <c r="AM866">
        <f>N(AM865)+$AL866</f>
        <v>2</v>
      </c>
      <c r="AN866">
        <f>IF(对接源_01水果!$AC866="","",对接源_01水果!$AC866)</f>
      </c>
      <c r="AO866">
        <f>IF(AN866="",0,IF(MATCH(AN866,$AN$4:$AN$1203,0)=ROW()-3,1,0))</f>
        <v>0</v>
      </c>
      <c r="AP866">
        <f>N(AP865)+$AO866</f>
        <v>13</v>
      </c>
      <c r="AR866">
        <f>IF(OR($AF866=1,$AH866=1),1,0)</f>
        <v>0</v>
      </c>
      <c r="AS866">
        <f>N(AS865)+$AR866</f>
        <v>0</v>
      </c>
    </row>
    <row r="867" ht="14.25" customHeight="1" s="127">
      <c r="A867">
        <f>IF(对接源_01水果!$C867="","",对接源_01水果!$C867)</f>
      </c>
      <c r="B867">
        <f>IF(A867="",0,IF(MATCH(A867,$A$4:$A$2403,0)=ROW()-3,1,0))</f>
        <v>0</v>
      </c>
      <c r="C867">
        <f>N(C866)+B867</f>
        <v>22</v>
      </c>
      <c r="K867">
        <f>IF(OR($K$1="",对接源_01水果!$C867="",对接源_01水果!$C867&lt;&gt;$K$1,对接源_01水果!$B867=""),0,IF(OR(N(对接源_01水果!$B867)&lt;$K$2,N(对接源_01水果!$B867)&gt;$K$3),0,1))</f>
        <v>0</v>
      </c>
      <c r="L867">
        <f>IF(OR($L$1="",对接源_01水果!$C867="",对接源_01水果!$C867&lt;&gt;$L$1,对接源_01水果!$B867=""),0,IF(OR(N(对接源_01水果!$B867)&lt;$L$2,N(对接源_01水果!$B867)&gt;$L$3),0,1))</f>
        <v>0</v>
      </c>
      <c r="M867">
        <f>IF(OR($M$1="",对接源_01水果!$C867="",对接源_01水果!$C867&lt;&gt;$M$1,对接源_01水果!$B867=""),0,IF(OR(N(对接源_01水果!$B867)&lt;$M$2,N(对接源_01水果!$B867)&gt;$M$3),0,1))</f>
        <v>0</v>
      </c>
      <c r="N867">
        <f>IF(OR($N$1="",对接源_01水果!$C867="",对接源_01水果!$C867&lt;&gt;$N$1,对接源_01水果!$B867=""),0,IF(OR(N(对接源_01水果!$B867)&lt;$N$2,N(对接源_01水果!$B867)&gt;$N$3),0,1))</f>
        <v>0</v>
      </c>
      <c r="P867">
        <f>IF(AND($K867=1,AND(对接源_01水果!$X867="公司筐",N(对接源_01水果!$T867)&lt;&gt;0)),1,0)</f>
        <v>0</v>
      </c>
      <c r="Q867">
        <f>N(Q866)+$P867</f>
        <v>0</v>
      </c>
      <c r="R867">
        <f>IF(AND($K867=1,AND(对接源_01水果!$X867="公司筐",N(对接源_01水果!$U867)&lt;&gt;0)),1,0)</f>
        <v>0</v>
      </c>
      <c r="S867">
        <f>N(S866)+$R867</f>
        <v>0</v>
      </c>
      <c r="T867">
        <f>IF(AND($K867=1,AND(对接源_01水果!$X867="公司筐",N(对接源_01水果!$V867)&lt;&gt;0)),1,0)</f>
        <v>0</v>
      </c>
      <c r="U867">
        <f>N(U866)+$T867</f>
        <v>47</v>
      </c>
      <c r="V867">
        <f>IF(AND($L867=1,AND(对接源_01水果!$X867="自备筐",N(对接源_01水果!$V867)&lt;&gt;0)),1,0)</f>
        <v>0</v>
      </c>
      <c r="W867">
        <f>N(W866)+$V867</f>
        <v>11</v>
      </c>
      <c r="X867">
        <f>IF(AND($L867=1,AND(对接源_01水果!$X867="自备筐",N(对接源_01水果!$T867)&lt;&gt;0)),1,0)</f>
        <v>0</v>
      </c>
      <c r="Y867">
        <f>N(Y866)+$X867</f>
        <v>0</v>
      </c>
      <c r="Z867">
        <f>IF(AND($M867=1,对接源_01水果!$D867="原料入库"),1,0)</f>
        <v>0</v>
      </c>
      <c r="AA867">
        <f>N(AA866)+$Z867</f>
        <v>24</v>
      </c>
      <c r="AB867">
        <f>IF(AND($M867=1,LEFT(对接源_01水果!$D867,4)="原料出库"),1,0)</f>
        <v>0</v>
      </c>
      <c r="AC867">
        <f>N(AC866)+$AB867</f>
        <v>0</v>
      </c>
      <c r="AD867">
        <f>IF(AND($M867=1,LEFT(对接源_01水果!$D867,4)="成品出库"),1,0)</f>
        <v>0</v>
      </c>
      <c r="AE867">
        <f>N(AE866)+$AD867</f>
        <v>0</v>
      </c>
      <c r="AF867">
        <f>IF(AND($N867=1,AND(LEFT(对接源_01水果!$D867,4)="包装物料",N(对接源_01水果!$K867)&lt;&gt;0)),1,0)</f>
        <v>0</v>
      </c>
      <c r="AG867">
        <f>N(AG866)+$AF867</f>
        <v>0</v>
      </c>
      <c r="AH867">
        <f>IF(AND($N867=1,AND(对接源_01水果!$D867="周转筐－销售出库",N(对接源_01水果!$K867)&lt;&gt;0)),1,0)</f>
        <v>0</v>
      </c>
      <c r="AI867">
        <f>N(AI866)+$AH867</f>
        <v>0</v>
      </c>
      <c r="AJ867" s="7" t="n"/>
      <c r="AL867">
        <f>IF(OR($AL$1="",对接源_01水果!$Y867="",对接源_01水果!$Y867&lt;&gt;$AL$1,对接源_01水果!$B867="",N(对接源_01水果!$AJ867)&lt;=0),0,IF(OR(N(对接源_01水果!$B867)&lt;$AL$2,N(对接源_01水果!$B867)&gt;$AL$3),0,1))</f>
        <v>0</v>
      </c>
      <c r="AM867">
        <f>N(AM866)+$AL867</f>
        <v>2</v>
      </c>
      <c r="AN867">
        <f>IF(对接源_01水果!$AC867="","",对接源_01水果!$AC867)</f>
      </c>
      <c r="AO867">
        <f>IF(AN867="",0,IF(MATCH(AN867,$AN$4:$AN$1203,0)=ROW()-3,1,0))</f>
        <v>0</v>
      </c>
      <c r="AP867">
        <f>N(AP866)+$AO867</f>
        <v>13</v>
      </c>
      <c r="AR867">
        <f>IF(OR($AF867=1,$AH867=1),1,0)</f>
        <v>0</v>
      </c>
      <c r="AS867">
        <f>N(AS866)+$AR867</f>
        <v>0</v>
      </c>
    </row>
    <row r="868" ht="14.25" customHeight="1" s="127">
      <c r="A868">
        <f>IF(对接源_01水果!$C868="","",对接源_01水果!$C868)</f>
      </c>
      <c r="B868">
        <f>IF(A868="",0,IF(MATCH(A868,$A$4:$A$2403,0)=ROW()-3,1,0))</f>
        <v>0</v>
      </c>
      <c r="C868">
        <f>N(C867)+B868</f>
        <v>22</v>
      </c>
      <c r="K868">
        <f>IF(OR($K$1="",对接源_01水果!$C868="",对接源_01水果!$C868&lt;&gt;$K$1,对接源_01水果!$B868=""),0,IF(OR(N(对接源_01水果!$B868)&lt;$K$2,N(对接源_01水果!$B868)&gt;$K$3),0,1))</f>
        <v>0</v>
      </c>
      <c r="L868">
        <f>IF(OR($L$1="",对接源_01水果!$C868="",对接源_01水果!$C868&lt;&gt;$L$1,对接源_01水果!$B868=""),0,IF(OR(N(对接源_01水果!$B868)&lt;$L$2,N(对接源_01水果!$B868)&gt;$L$3),0,1))</f>
        <v>0</v>
      </c>
      <c r="M868">
        <f>IF(OR($M$1="",对接源_01水果!$C868="",对接源_01水果!$C868&lt;&gt;$M$1,对接源_01水果!$B868=""),0,IF(OR(N(对接源_01水果!$B868)&lt;$M$2,N(对接源_01水果!$B868)&gt;$M$3),0,1))</f>
        <v>0</v>
      </c>
      <c r="N868">
        <f>IF(OR($N$1="",对接源_01水果!$C868="",对接源_01水果!$C868&lt;&gt;$N$1,对接源_01水果!$B868=""),0,IF(OR(N(对接源_01水果!$B868)&lt;$N$2,N(对接源_01水果!$B868)&gt;$N$3),0,1))</f>
        <v>0</v>
      </c>
      <c r="P868">
        <f>IF(AND($K868=1,AND(对接源_01水果!$X868="公司筐",N(对接源_01水果!$T868)&lt;&gt;0)),1,0)</f>
        <v>0</v>
      </c>
      <c r="Q868">
        <f>N(Q867)+$P868</f>
        <v>0</v>
      </c>
      <c r="R868">
        <f>IF(AND($K868=1,AND(对接源_01水果!$X868="公司筐",N(对接源_01水果!$U868)&lt;&gt;0)),1,0)</f>
        <v>0</v>
      </c>
      <c r="S868">
        <f>N(S867)+$R868</f>
        <v>0</v>
      </c>
      <c r="T868">
        <f>IF(AND($K868=1,AND(对接源_01水果!$X868="公司筐",N(对接源_01水果!$V868)&lt;&gt;0)),1,0)</f>
        <v>0</v>
      </c>
      <c r="U868">
        <f>N(U867)+$T868</f>
        <v>47</v>
      </c>
      <c r="V868">
        <f>IF(AND($L868=1,AND(对接源_01水果!$X868="自备筐",N(对接源_01水果!$V868)&lt;&gt;0)),1,0)</f>
        <v>0</v>
      </c>
      <c r="W868">
        <f>N(W867)+$V868</f>
        <v>11</v>
      </c>
      <c r="X868">
        <f>IF(AND($L868=1,AND(对接源_01水果!$X868="自备筐",N(对接源_01水果!$T868)&lt;&gt;0)),1,0)</f>
        <v>0</v>
      </c>
      <c r="Y868">
        <f>N(Y867)+$X868</f>
        <v>0</v>
      </c>
      <c r="Z868">
        <f>IF(AND($M868=1,对接源_01水果!$D868="原料入库"),1,0)</f>
        <v>0</v>
      </c>
      <c r="AA868">
        <f>N(AA867)+$Z868</f>
        <v>24</v>
      </c>
      <c r="AB868">
        <f>IF(AND($M868=1,LEFT(对接源_01水果!$D868,4)="原料出库"),1,0)</f>
        <v>0</v>
      </c>
      <c r="AC868">
        <f>N(AC867)+$AB868</f>
        <v>0</v>
      </c>
      <c r="AD868">
        <f>IF(AND($M868=1,LEFT(对接源_01水果!$D868,4)="成品出库"),1,0)</f>
        <v>0</v>
      </c>
      <c r="AE868">
        <f>N(AE867)+$AD868</f>
        <v>0</v>
      </c>
      <c r="AF868">
        <f>IF(AND($N868=1,AND(LEFT(对接源_01水果!$D868,4)="包装物料",N(对接源_01水果!$K868)&lt;&gt;0)),1,0)</f>
        <v>0</v>
      </c>
      <c r="AG868">
        <f>N(AG867)+$AF868</f>
        <v>0</v>
      </c>
      <c r="AH868">
        <f>IF(AND($N868=1,AND(对接源_01水果!$D868="周转筐－销售出库",N(对接源_01水果!$K868)&lt;&gt;0)),1,0)</f>
        <v>0</v>
      </c>
      <c r="AI868">
        <f>N(AI867)+$AH868</f>
        <v>0</v>
      </c>
      <c r="AJ868" s="7" t="n"/>
      <c r="AL868">
        <f>IF(OR($AL$1="",对接源_01水果!$Y868="",对接源_01水果!$Y868&lt;&gt;$AL$1,对接源_01水果!$B868="",N(对接源_01水果!$AJ868)&lt;=0),0,IF(OR(N(对接源_01水果!$B868)&lt;$AL$2,N(对接源_01水果!$B868)&gt;$AL$3),0,1))</f>
        <v>0</v>
      </c>
      <c r="AM868">
        <f>N(AM867)+$AL868</f>
        <v>2</v>
      </c>
      <c r="AN868">
        <f>IF(对接源_01水果!$AC868="","",对接源_01水果!$AC868)</f>
      </c>
      <c r="AO868">
        <f>IF(AN868="",0,IF(MATCH(AN868,$AN$4:$AN$1203,0)=ROW()-3,1,0))</f>
        <v>0</v>
      </c>
      <c r="AP868">
        <f>N(AP867)+$AO868</f>
        <v>13</v>
      </c>
      <c r="AR868">
        <f>IF(OR($AF868=1,$AH868=1),1,0)</f>
        <v>0</v>
      </c>
      <c r="AS868">
        <f>N(AS867)+$AR868</f>
        <v>0</v>
      </c>
    </row>
    <row r="869" ht="14.25" customHeight="1" s="127">
      <c r="A869">
        <f>IF(对接源_01水果!$C869="","",对接源_01水果!$C869)</f>
      </c>
      <c r="B869">
        <f>IF(A869="",0,IF(MATCH(A869,$A$4:$A$2403,0)=ROW()-3,1,0))</f>
        <v>0</v>
      </c>
      <c r="C869">
        <f>N(C868)+B869</f>
        <v>22</v>
      </c>
      <c r="K869">
        <f>IF(OR($K$1="",对接源_01水果!$C869="",对接源_01水果!$C869&lt;&gt;$K$1,对接源_01水果!$B869=""),0,IF(OR(N(对接源_01水果!$B869)&lt;$K$2,N(对接源_01水果!$B869)&gt;$K$3),0,1))</f>
        <v>0</v>
      </c>
      <c r="L869">
        <f>IF(OR($L$1="",对接源_01水果!$C869="",对接源_01水果!$C869&lt;&gt;$L$1,对接源_01水果!$B869=""),0,IF(OR(N(对接源_01水果!$B869)&lt;$L$2,N(对接源_01水果!$B869)&gt;$L$3),0,1))</f>
        <v>0</v>
      </c>
      <c r="M869">
        <f>IF(OR($M$1="",对接源_01水果!$C869="",对接源_01水果!$C869&lt;&gt;$M$1,对接源_01水果!$B869=""),0,IF(OR(N(对接源_01水果!$B869)&lt;$M$2,N(对接源_01水果!$B869)&gt;$M$3),0,1))</f>
        <v>0</v>
      </c>
      <c r="N869">
        <f>IF(OR($N$1="",对接源_01水果!$C869="",对接源_01水果!$C869&lt;&gt;$N$1,对接源_01水果!$B869=""),0,IF(OR(N(对接源_01水果!$B869)&lt;$N$2,N(对接源_01水果!$B869)&gt;$N$3),0,1))</f>
        <v>0</v>
      </c>
      <c r="P869">
        <f>IF(AND($K869=1,AND(对接源_01水果!$X869="公司筐",N(对接源_01水果!$T869)&lt;&gt;0)),1,0)</f>
        <v>0</v>
      </c>
      <c r="Q869">
        <f>N(Q868)+$P869</f>
        <v>0</v>
      </c>
      <c r="R869">
        <f>IF(AND($K869=1,AND(对接源_01水果!$X869="公司筐",N(对接源_01水果!$U869)&lt;&gt;0)),1,0)</f>
        <v>0</v>
      </c>
      <c r="S869">
        <f>N(S868)+$R869</f>
        <v>0</v>
      </c>
      <c r="T869">
        <f>IF(AND($K869=1,AND(对接源_01水果!$X869="公司筐",N(对接源_01水果!$V869)&lt;&gt;0)),1,0)</f>
        <v>0</v>
      </c>
      <c r="U869">
        <f>N(U868)+$T869</f>
        <v>47</v>
      </c>
      <c r="V869">
        <f>IF(AND($L869=1,AND(对接源_01水果!$X869="自备筐",N(对接源_01水果!$V869)&lt;&gt;0)),1,0)</f>
        <v>0</v>
      </c>
      <c r="W869">
        <f>N(W868)+$V869</f>
        <v>11</v>
      </c>
      <c r="X869">
        <f>IF(AND($L869=1,AND(对接源_01水果!$X869="自备筐",N(对接源_01水果!$T869)&lt;&gt;0)),1,0)</f>
        <v>0</v>
      </c>
      <c r="Y869">
        <f>N(Y868)+$X869</f>
        <v>0</v>
      </c>
      <c r="Z869">
        <f>IF(AND($M869=1,对接源_01水果!$D869="原料入库"),1,0)</f>
        <v>0</v>
      </c>
      <c r="AA869">
        <f>N(AA868)+$Z869</f>
        <v>24</v>
      </c>
      <c r="AB869">
        <f>IF(AND($M869=1,LEFT(对接源_01水果!$D869,4)="原料出库"),1,0)</f>
        <v>0</v>
      </c>
      <c r="AC869">
        <f>N(AC868)+$AB869</f>
        <v>0</v>
      </c>
      <c r="AD869">
        <f>IF(AND($M869=1,LEFT(对接源_01水果!$D869,4)="成品出库"),1,0)</f>
        <v>0</v>
      </c>
      <c r="AE869">
        <f>N(AE868)+$AD869</f>
        <v>0</v>
      </c>
      <c r="AF869">
        <f>IF(AND($N869=1,AND(LEFT(对接源_01水果!$D869,4)="包装物料",N(对接源_01水果!$K869)&lt;&gt;0)),1,0)</f>
        <v>0</v>
      </c>
      <c r="AG869">
        <f>N(AG868)+$AF869</f>
        <v>0</v>
      </c>
      <c r="AH869">
        <f>IF(AND($N869=1,AND(对接源_01水果!$D869="周转筐－销售出库",N(对接源_01水果!$K869)&lt;&gt;0)),1,0)</f>
        <v>0</v>
      </c>
      <c r="AI869">
        <f>N(AI868)+$AH869</f>
        <v>0</v>
      </c>
      <c r="AJ869" s="7" t="n"/>
      <c r="AL869">
        <f>IF(OR($AL$1="",对接源_01水果!$Y869="",对接源_01水果!$Y869&lt;&gt;$AL$1,对接源_01水果!$B869="",N(对接源_01水果!$AJ869)&lt;=0),0,IF(OR(N(对接源_01水果!$B869)&lt;$AL$2,N(对接源_01水果!$B869)&gt;$AL$3),0,1))</f>
        <v>0</v>
      </c>
      <c r="AM869">
        <f>N(AM868)+$AL869</f>
        <v>2</v>
      </c>
      <c r="AN869">
        <f>IF(对接源_01水果!$AC869="","",对接源_01水果!$AC869)</f>
      </c>
      <c r="AO869">
        <f>IF(AN869="",0,IF(MATCH(AN869,$AN$4:$AN$1203,0)=ROW()-3,1,0))</f>
        <v>0</v>
      </c>
      <c r="AP869">
        <f>N(AP868)+$AO869</f>
        <v>13</v>
      </c>
      <c r="AR869">
        <f>IF(OR($AF869=1,$AH869=1),1,0)</f>
        <v>0</v>
      </c>
      <c r="AS869">
        <f>N(AS868)+$AR869</f>
        <v>0</v>
      </c>
    </row>
    <row r="870" ht="14.25" customHeight="1" s="127">
      <c r="A870">
        <f>IF(对接源_01水果!$C870="","",对接源_01水果!$C870)</f>
      </c>
      <c r="B870">
        <f>IF(A870="",0,IF(MATCH(A870,$A$4:$A$2403,0)=ROW()-3,1,0))</f>
        <v>0</v>
      </c>
      <c r="C870">
        <f>N(C869)+B870</f>
        <v>22</v>
      </c>
      <c r="K870">
        <f>IF(OR($K$1="",对接源_01水果!$C870="",对接源_01水果!$C870&lt;&gt;$K$1,对接源_01水果!$B870=""),0,IF(OR(N(对接源_01水果!$B870)&lt;$K$2,N(对接源_01水果!$B870)&gt;$K$3),0,1))</f>
        <v>0</v>
      </c>
      <c r="L870">
        <f>IF(OR($L$1="",对接源_01水果!$C870="",对接源_01水果!$C870&lt;&gt;$L$1,对接源_01水果!$B870=""),0,IF(OR(N(对接源_01水果!$B870)&lt;$L$2,N(对接源_01水果!$B870)&gt;$L$3),0,1))</f>
        <v>0</v>
      </c>
      <c r="M870">
        <f>IF(OR($M$1="",对接源_01水果!$C870="",对接源_01水果!$C870&lt;&gt;$M$1,对接源_01水果!$B870=""),0,IF(OR(N(对接源_01水果!$B870)&lt;$M$2,N(对接源_01水果!$B870)&gt;$M$3),0,1))</f>
        <v>0</v>
      </c>
      <c r="N870">
        <f>IF(OR($N$1="",对接源_01水果!$C870="",对接源_01水果!$C870&lt;&gt;$N$1,对接源_01水果!$B870=""),0,IF(OR(N(对接源_01水果!$B870)&lt;$N$2,N(对接源_01水果!$B870)&gt;$N$3),0,1))</f>
        <v>0</v>
      </c>
      <c r="P870">
        <f>IF(AND($K870=1,AND(对接源_01水果!$X870="公司筐",N(对接源_01水果!$T870)&lt;&gt;0)),1,0)</f>
        <v>0</v>
      </c>
      <c r="Q870">
        <f>N(Q869)+$P870</f>
        <v>0</v>
      </c>
      <c r="R870">
        <f>IF(AND($K870=1,AND(对接源_01水果!$X870="公司筐",N(对接源_01水果!$U870)&lt;&gt;0)),1,0)</f>
        <v>0</v>
      </c>
      <c r="S870">
        <f>N(S869)+$R870</f>
        <v>0</v>
      </c>
      <c r="T870">
        <f>IF(AND($K870=1,AND(对接源_01水果!$X870="公司筐",N(对接源_01水果!$V870)&lt;&gt;0)),1,0)</f>
        <v>0</v>
      </c>
      <c r="U870">
        <f>N(U869)+$T870</f>
        <v>47</v>
      </c>
      <c r="V870">
        <f>IF(AND($L870=1,AND(对接源_01水果!$X870="自备筐",N(对接源_01水果!$V870)&lt;&gt;0)),1,0)</f>
        <v>0</v>
      </c>
      <c r="W870">
        <f>N(W869)+$V870</f>
        <v>11</v>
      </c>
      <c r="X870">
        <f>IF(AND($L870=1,AND(对接源_01水果!$X870="自备筐",N(对接源_01水果!$T870)&lt;&gt;0)),1,0)</f>
        <v>0</v>
      </c>
      <c r="Y870">
        <f>N(Y869)+$X870</f>
        <v>0</v>
      </c>
      <c r="Z870">
        <f>IF(AND($M870=1,对接源_01水果!$D870="原料入库"),1,0)</f>
        <v>0</v>
      </c>
      <c r="AA870">
        <f>N(AA869)+$Z870</f>
        <v>24</v>
      </c>
      <c r="AB870">
        <f>IF(AND($M870=1,LEFT(对接源_01水果!$D870,4)="原料出库"),1,0)</f>
        <v>0</v>
      </c>
      <c r="AC870">
        <f>N(AC869)+$AB870</f>
        <v>0</v>
      </c>
      <c r="AD870">
        <f>IF(AND($M870=1,LEFT(对接源_01水果!$D870,4)="成品出库"),1,0)</f>
        <v>0</v>
      </c>
      <c r="AE870">
        <f>N(AE869)+$AD870</f>
        <v>0</v>
      </c>
      <c r="AF870">
        <f>IF(AND($N870=1,AND(LEFT(对接源_01水果!$D870,4)="包装物料",N(对接源_01水果!$K870)&lt;&gt;0)),1,0)</f>
        <v>0</v>
      </c>
      <c r="AG870">
        <f>N(AG869)+$AF870</f>
        <v>0</v>
      </c>
      <c r="AH870">
        <f>IF(AND($N870=1,AND(对接源_01水果!$D870="周转筐－销售出库",N(对接源_01水果!$K870)&lt;&gt;0)),1,0)</f>
        <v>0</v>
      </c>
      <c r="AI870">
        <f>N(AI869)+$AH870</f>
        <v>0</v>
      </c>
      <c r="AJ870" s="7" t="n"/>
      <c r="AL870">
        <f>IF(OR($AL$1="",对接源_01水果!$Y870="",对接源_01水果!$Y870&lt;&gt;$AL$1,对接源_01水果!$B870="",N(对接源_01水果!$AJ870)&lt;=0),0,IF(OR(N(对接源_01水果!$B870)&lt;$AL$2,N(对接源_01水果!$B870)&gt;$AL$3),0,1))</f>
        <v>0</v>
      </c>
      <c r="AM870">
        <f>N(AM869)+$AL870</f>
        <v>2</v>
      </c>
      <c r="AN870">
        <f>IF(对接源_01水果!$AC870="","",对接源_01水果!$AC870)</f>
      </c>
      <c r="AO870">
        <f>IF(AN870="",0,IF(MATCH(AN870,$AN$4:$AN$1203,0)=ROW()-3,1,0))</f>
        <v>0</v>
      </c>
      <c r="AP870">
        <f>N(AP869)+$AO870</f>
        <v>13</v>
      </c>
      <c r="AR870">
        <f>IF(OR($AF870=1,$AH870=1),1,0)</f>
        <v>0</v>
      </c>
      <c r="AS870">
        <f>N(AS869)+$AR870</f>
        <v>0</v>
      </c>
    </row>
    <row r="871" ht="14.25" customHeight="1" s="127">
      <c r="A871">
        <f>IF(对接源_01水果!$C871="","",对接源_01水果!$C871)</f>
      </c>
      <c r="B871">
        <f>IF(A871="",0,IF(MATCH(A871,$A$4:$A$2403,0)=ROW()-3,1,0))</f>
        <v>0</v>
      </c>
      <c r="C871">
        <f>N(C870)+B871</f>
        <v>22</v>
      </c>
      <c r="K871">
        <f>IF(OR($K$1="",对接源_01水果!$C871="",对接源_01水果!$C871&lt;&gt;$K$1,对接源_01水果!$B871=""),0,IF(OR(N(对接源_01水果!$B871)&lt;$K$2,N(对接源_01水果!$B871)&gt;$K$3),0,1))</f>
        <v>0</v>
      </c>
      <c r="L871">
        <f>IF(OR($L$1="",对接源_01水果!$C871="",对接源_01水果!$C871&lt;&gt;$L$1,对接源_01水果!$B871=""),0,IF(OR(N(对接源_01水果!$B871)&lt;$L$2,N(对接源_01水果!$B871)&gt;$L$3),0,1))</f>
        <v>0</v>
      </c>
      <c r="M871">
        <f>IF(OR($M$1="",对接源_01水果!$C871="",对接源_01水果!$C871&lt;&gt;$M$1,对接源_01水果!$B871=""),0,IF(OR(N(对接源_01水果!$B871)&lt;$M$2,N(对接源_01水果!$B871)&gt;$M$3),0,1))</f>
        <v>0</v>
      </c>
      <c r="N871">
        <f>IF(OR($N$1="",对接源_01水果!$C871="",对接源_01水果!$C871&lt;&gt;$N$1,对接源_01水果!$B871=""),0,IF(OR(N(对接源_01水果!$B871)&lt;$N$2,N(对接源_01水果!$B871)&gt;$N$3),0,1))</f>
        <v>0</v>
      </c>
      <c r="P871">
        <f>IF(AND($K871=1,AND(对接源_01水果!$X871="公司筐",N(对接源_01水果!$T871)&lt;&gt;0)),1,0)</f>
        <v>0</v>
      </c>
      <c r="Q871">
        <f>N(Q870)+$P871</f>
        <v>0</v>
      </c>
      <c r="R871">
        <f>IF(AND($K871=1,AND(对接源_01水果!$X871="公司筐",N(对接源_01水果!$U871)&lt;&gt;0)),1,0)</f>
        <v>0</v>
      </c>
      <c r="S871">
        <f>N(S870)+$R871</f>
        <v>0</v>
      </c>
      <c r="T871">
        <f>IF(AND($K871=1,AND(对接源_01水果!$X871="公司筐",N(对接源_01水果!$V871)&lt;&gt;0)),1,0)</f>
        <v>0</v>
      </c>
      <c r="U871">
        <f>N(U870)+$T871</f>
        <v>47</v>
      </c>
      <c r="V871">
        <f>IF(AND($L871=1,AND(对接源_01水果!$X871="自备筐",N(对接源_01水果!$V871)&lt;&gt;0)),1,0)</f>
        <v>0</v>
      </c>
      <c r="W871">
        <f>N(W870)+$V871</f>
        <v>11</v>
      </c>
      <c r="X871">
        <f>IF(AND($L871=1,AND(对接源_01水果!$X871="自备筐",N(对接源_01水果!$T871)&lt;&gt;0)),1,0)</f>
        <v>0</v>
      </c>
      <c r="Y871">
        <f>N(Y870)+$X871</f>
        <v>0</v>
      </c>
      <c r="Z871">
        <f>IF(AND($M871=1,对接源_01水果!$D871="原料入库"),1,0)</f>
        <v>0</v>
      </c>
      <c r="AA871">
        <f>N(AA870)+$Z871</f>
        <v>24</v>
      </c>
      <c r="AB871">
        <f>IF(AND($M871=1,LEFT(对接源_01水果!$D871,4)="原料出库"),1,0)</f>
        <v>0</v>
      </c>
      <c r="AC871">
        <f>N(AC870)+$AB871</f>
        <v>0</v>
      </c>
      <c r="AD871">
        <f>IF(AND($M871=1,LEFT(对接源_01水果!$D871,4)="成品出库"),1,0)</f>
        <v>0</v>
      </c>
      <c r="AE871">
        <f>N(AE870)+$AD871</f>
        <v>0</v>
      </c>
      <c r="AF871">
        <f>IF(AND($N871=1,AND(LEFT(对接源_01水果!$D871,4)="包装物料",N(对接源_01水果!$K871)&lt;&gt;0)),1,0)</f>
        <v>0</v>
      </c>
      <c r="AG871">
        <f>N(AG870)+$AF871</f>
        <v>0</v>
      </c>
      <c r="AH871">
        <f>IF(AND($N871=1,AND(对接源_01水果!$D871="周转筐－销售出库",N(对接源_01水果!$K871)&lt;&gt;0)),1,0)</f>
        <v>0</v>
      </c>
      <c r="AI871">
        <f>N(AI870)+$AH871</f>
        <v>0</v>
      </c>
      <c r="AJ871" s="7" t="n"/>
      <c r="AL871">
        <f>IF(OR($AL$1="",对接源_01水果!$Y871="",对接源_01水果!$Y871&lt;&gt;$AL$1,对接源_01水果!$B871="",N(对接源_01水果!$AJ871)&lt;=0),0,IF(OR(N(对接源_01水果!$B871)&lt;$AL$2,N(对接源_01水果!$B871)&gt;$AL$3),0,1))</f>
        <v>0</v>
      </c>
      <c r="AM871">
        <f>N(AM870)+$AL871</f>
        <v>2</v>
      </c>
      <c r="AN871">
        <f>IF(对接源_01水果!$AC871="","",对接源_01水果!$AC871)</f>
      </c>
      <c r="AO871">
        <f>IF(AN871="",0,IF(MATCH(AN871,$AN$4:$AN$1203,0)=ROW()-3,1,0))</f>
        <v>0</v>
      </c>
      <c r="AP871">
        <f>N(AP870)+$AO871</f>
        <v>13</v>
      </c>
      <c r="AR871">
        <f>IF(OR($AF871=1,$AH871=1),1,0)</f>
        <v>0</v>
      </c>
      <c r="AS871">
        <f>N(AS870)+$AR871</f>
        <v>0</v>
      </c>
    </row>
    <row r="872" ht="14.25" customHeight="1" s="127">
      <c r="A872">
        <f>IF(对接源_01水果!$C872="","",对接源_01水果!$C872)</f>
      </c>
      <c r="B872">
        <f>IF(A872="",0,IF(MATCH(A872,$A$4:$A$2403,0)=ROW()-3,1,0))</f>
        <v>0</v>
      </c>
      <c r="C872">
        <f>N(C871)+B872</f>
        <v>22</v>
      </c>
      <c r="K872">
        <f>IF(OR($K$1="",对接源_01水果!$C872="",对接源_01水果!$C872&lt;&gt;$K$1,对接源_01水果!$B872=""),0,IF(OR(N(对接源_01水果!$B872)&lt;$K$2,N(对接源_01水果!$B872)&gt;$K$3),0,1))</f>
        <v>0</v>
      </c>
      <c r="L872">
        <f>IF(OR($L$1="",对接源_01水果!$C872="",对接源_01水果!$C872&lt;&gt;$L$1,对接源_01水果!$B872=""),0,IF(OR(N(对接源_01水果!$B872)&lt;$L$2,N(对接源_01水果!$B872)&gt;$L$3),0,1))</f>
        <v>0</v>
      </c>
      <c r="M872">
        <f>IF(OR($M$1="",对接源_01水果!$C872="",对接源_01水果!$C872&lt;&gt;$M$1,对接源_01水果!$B872=""),0,IF(OR(N(对接源_01水果!$B872)&lt;$M$2,N(对接源_01水果!$B872)&gt;$M$3),0,1))</f>
        <v>0</v>
      </c>
      <c r="N872">
        <f>IF(OR($N$1="",对接源_01水果!$C872="",对接源_01水果!$C872&lt;&gt;$N$1,对接源_01水果!$B872=""),0,IF(OR(N(对接源_01水果!$B872)&lt;$N$2,N(对接源_01水果!$B872)&gt;$N$3),0,1))</f>
        <v>0</v>
      </c>
      <c r="P872">
        <f>IF(AND($K872=1,AND(对接源_01水果!$X872="公司筐",N(对接源_01水果!$T872)&lt;&gt;0)),1,0)</f>
        <v>0</v>
      </c>
      <c r="Q872">
        <f>N(Q871)+$P872</f>
        <v>0</v>
      </c>
      <c r="R872">
        <f>IF(AND($K872=1,AND(对接源_01水果!$X872="公司筐",N(对接源_01水果!$U872)&lt;&gt;0)),1,0)</f>
        <v>0</v>
      </c>
      <c r="S872">
        <f>N(S871)+$R872</f>
        <v>0</v>
      </c>
      <c r="T872">
        <f>IF(AND($K872=1,AND(对接源_01水果!$X872="公司筐",N(对接源_01水果!$V872)&lt;&gt;0)),1,0)</f>
        <v>0</v>
      </c>
      <c r="U872">
        <f>N(U871)+$T872</f>
        <v>47</v>
      </c>
      <c r="V872">
        <f>IF(AND($L872=1,AND(对接源_01水果!$X872="自备筐",N(对接源_01水果!$V872)&lt;&gt;0)),1,0)</f>
        <v>0</v>
      </c>
      <c r="W872">
        <f>N(W871)+$V872</f>
        <v>11</v>
      </c>
      <c r="X872">
        <f>IF(AND($L872=1,AND(对接源_01水果!$X872="自备筐",N(对接源_01水果!$T872)&lt;&gt;0)),1,0)</f>
        <v>0</v>
      </c>
      <c r="Y872">
        <f>N(Y871)+$X872</f>
        <v>0</v>
      </c>
      <c r="Z872">
        <f>IF(AND($M872=1,对接源_01水果!$D872="原料入库"),1,0)</f>
        <v>0</v>
      </c>
      <c r="AA872">
        <f>N(AA871)+$Z872</f>
        <v>24</v>
      </c>
      <c r="AB872">
        <f>IF(AND($M872=1,LEFT(对接源_01水果!$D872,4)="原料出库"),1,0)</f>
        <v>0</v>
      </c>
      <c r="AC872">
        <f>N(AC871)+$AB872</f>
        <v>0</v>
      </c>
      <c r="AD872">
        <f>IF(AND($M872=1,LEFT(对接源_01水果!$D872,4)="成品出库"),1,0)</f>
        <v>0</v>
      </c>
      <c r="AE872">
        <f>N(AE871)+$AD872</f>
        <v>0</v>
      </c>
      <c r="AF872">
        <f>IF(AND($N872=1,AND(LEFT(对接源_01水果!$D872,4)="包装物料",N(对接源_01水果!$K872)&lt;&gt;0)),1,0)</f>
        <v>0</v>
      </c>
      <c r="AG872">
        <f>N(AG871)+$AF872</f>
        <v>0</v>
      </c>
      <c r="AH872">
        <f>IF(AND($N872=1,AND(对接源_01水果!$D872="周转筐－销售出库",N(对接源_01水果!$K872)&lt;&gt;0)),1,0)</f>
        <v>0</v>
      </c>
      <c r="AI872">
        <f>N(AI871)+$AH872</f>
        <v>0</v>
      </c>
      <c r="AJ872" s="7" t="n"/>
      <c r="AL872">
        <f>IF(OR($AL$1="",对接源_01水果!$Y872="",对接源_01水果!$Y872&lt;&gt;$AL$1,对接源_01水果!$B872="",N(对接源_01水果!$AJ872)&lt;=0),0,IF(OR(N(对接源_01水果!$B872)&lt;$AL$2,N(对接源_01水果!$B872)&gt;$AL$3),0,1))</f>
        <v>0</v>
      </c>
      <c r="AM872">
        <f>N(AM871)+$AL872</f>
        <v>2</v>
      </c>
      <c r="AN872">
        <f>IF(对接源_01水果!$AC872="","",对接源_01水果!$AC872)</f>
      </c>
      <c r="AO872">
        <f>IF(AN872="",0,IF(MATCH(AN872,$AN$4:$AN$1203,0)=ROW()-3,1,0))</f>
        <v>0</v>
      </c>
      <c r="AP872">
        <f>N(AP871)+$AO872</f>
        <v>13</v>
      </c>
      <c r="AR872">
        <f>IF(OR($AF872=1,$AH872=1),1,0)</f>
        <v>0</v>
      </c>
      <c r="AS872">
        <f>N(AS871)+$AR872</f>
        <v>0</v>
      </c>
    </row>
    <row r="873" ht="14.25" customHeight="1" s="127">
      <c r="A873">
        <f>IF(对接源_01水果!$C873="","",对接源_01水果!$C873)</f>
      </c>
      <c r="B873">
        <f>IF(A873="",0,IF(MATCH(A873,$A$4:$A$2403,0)=ROW()-3,1,0))</f>
        <v>0</v>
      </c>
      <c r="C873">
        <f>N(C872)+B873</f>
        <v>22</v>
      </c>
      <c r="K873">
        <f>IF(OR($K$1="",对接源_01水果!$C873="",对接源_01水果!$C873&lt;&gt;$K$1,对接源_01水果!$B873=""),0,IF(OR(N(对接源_01水果!$B873)&lt;$K$2,N(对接源_01水果!$B873)&gt;$K$3),0,1))</f>
        <v>0</v>
      </c>
      <c r="L873">
        <f>IF(OR($L$1="",对接源_01水果!$C873="",对接源_01水果!$C873&lt;&gt;$L$1,对接源_01水果!$B873=""),0,IF(OR(N(对接源_01水果!$B873)&lt;$L$2,N(对接源_01水果!$B873)&gt;$L$3),0,1))</f>
        <v>0</v>
      </c>
      <c r="M873">
        <f>IF(OR($M$1="",对接源_01水果!$C873="",对接源_01水果!$C873&lt;&gt;$M$1,对接源_01水果!$B873=""),0,IF(OR(N(对接源_01水果!$B873)&lt;$M$2,N(对接源_01水果!$B873)&gt;$M$3),0,1))</f>
        <v>0</v>
      </c>
      <c r="N873">
        <f>IF(OR($N$1="",对接源_01水果!$C873="",对接源_01水果!$C873&lt;&gt;$N$1,对接源_01水果!$B873=""),0,IF(OR(N(对接源_01水果!$B873)&lt;$N$2,N(对接源_01水果!$B873)&gt;$N$3),0,1))</f>
        <v>0</v>
      </c>
      <c r="P873">
        <f>IF(AND($K873=1,AND(对接源_01水果!$X873="公司筐",N(对接源_01水果!$T873)&lt;&gt;0)),1,0)</f>
        <v>0</v>
      </c>
      <c r="Q873">
        <f>N(Q872)+$P873</f>
        <v>0</v>
      </c>
      <c r="R873">
        <f>IF(AND($K873=1,AND(对接源_01水果!$X873="公司筐",N(对接源_01水果!$U873)&lt;&gt;0)),1,0)</f>
        <v>0</v>
      </c>
      <c r="S873">
        <f>N(S872)+$R873</f>
        <v>0</v>
      </c>
      <c r="T873">
        <f>IF(AND($K873=1,AND(对接源_01水果!$X873="公司筐",N(对接源_01水果!$V873)&lt;&gt;0)),1,0)</f>
        <v>0</v>
      </c>
      <c r="U873">
        <f>N(U872)+$T873</f>
        <v>47</v>
      </c>
      <c r="V873">
        <f>IF(AND($L873=1,AND(对接源_01水果!$X873="自备筐",N(对接源_01水果!$V873)&lt;&gt;0)),1,0)</f>
        <v>0</v>
      </c>
      <c r="W873">
        <f>N(W872)+$V873</f>
        <v>11</v>
      </c>
      <c r="X873">
        <f>IF(AND($L873=1,AND(对接源_01水果!$X873="自备筐",N(对接源_01水果!$T873)&lt;&gt;0)),1,0)</f>
        <v>0</v>
      </c>
      <c r="Y873">
        <f>N(Y872)+$X873</f>
        <v>0</v>
      </c>
      <c r="Z873">
        <f>IF(AND($M873=1,对接源_01水果!$D873="原料入库"),1,0)</f>
        <v>0</v>
      </c>
      <c r="AA873">
        <f>N(AA872)+$Z873</f>
        <v>24</v>
      </c>
      <c r="AB873">
        <f>IF(AND($M873=1,LEFT(对接源_01水果!$D873,4)="原料出库"),1,0)</f>
        <v>0</v>
      </c>
      <c r="AC873">
        <f>N(AC872)+$AB873</f>
        <v>0</v>
      </c>
      <c r="AD873">
        <f>IF(AND($M873=1,LEFT(对接源_01水果!$D873,4)="成品出库"),1,0)</f>
        <v>0</v>
      </c>
      <c r="AE873">
        <f>N(AE872)+$AD873</f>
        <v>0</v>
      </c>
      <c r="AF873">
        <f>IF(AND($N873=1,AND(LEFT(对接源_01水果!$D873,4)="包装物料",N(对接源_01水果!$K873)&lt;&gt;0)),1,0)</f>
        <v>0</v>
      </c>
      <c r="AG873">
        <f>N(AG872)+$AF873</f>
        <v>0</v>
      </c>
      <c r="AH873">
        <f>IF(AND($N873=1,AND(对接源_01水果!$D873="周转筐－销售出库",N(对接源_01水果!$K873)&lt;&gt;0)),1,0)</f>
        <v>0</v>
      </c>
      <c r="AI873">
        <f>N(AI872)+$AH873</f>
        <v>0</v>
      </c>
      <c r="AJ873" s="7" t="n"/>
      <c r="AL873">
        <f>IF(OR($AL$1="",对接源_01水果!$Y873="",对接源_01水果!$Y873&lt;&gt;$AL$1,对接源_01水果!$B873="",N(对接源_01水果!$AJ873)&lt;=0),0,IF(OR(N(对接源_01水果!$B873)&lt;$AL$2,N(对接源_01水果!$B873)&gt;$AL$3),0,1))</f>
        <v>0</v>
      </c>
      <c r="AM873">
        <f>N(AM872)+$AL873</f>
        <v>2</v>
      </c>
      <c r="AN873">
        <f>IF(对接源_01水果!$AC873="","",对接源_01水果!$AC873)</f>
      </c>
      <c r="AO873">
        <f>IF(AN873="",0,IF(MATCH(AN873,$AN$4:$AN$1203,0)=ROW()-3,1,0))</f>
        <v>0</v>
      </c>
      <c r="AP873">
        <f>N(AP872)+$AO873</f>
        <v>13</v>
      </c>
      <c r="AR873">
        <f>IF(OR($AF873=1,$AH873=1),1,0)</f>
        <v>0</v>
      </c>
      <c r="AS873">
        <f>N(AS872)+$AR873</f>
        <v>0</v>
      </c>
    </row>
    <row r="874" ht="14.25" customHeight="1" s="127">
      <c r="A874">
        <f>IF(对接源_01水果!$C874="","",对接源_01水果!$C874)</f>
      </c>
      <c r="B874">
        <f>IF(A874="",0,IF(MATCH(A874,$A$4:$A$2403,0)=ROW()-3,1,0))</f>
        <v>0</v>
      </c>
      <c r="C874">
        <f>N(C873)+B874</f>
        <v>22</v>
      </c>
      <c r="K874">
        <f>IF(OR($K$1="",对接源_01水果!$C874="",对接源_01水果!$C874&lt;&gt;$K$1,对接源_01水果!$B874=""),0,IF(OR(N(对接源_01水果!$B874)&lt;$K$2,N(对接源_01水果!$B874)&gt;$K$3),0,1))</f>
        <v>0</v>
      </c>
      <c r="L874">
        <f>IF(OR($L$1="",对接源_01水果!$C874="",对接源_01水果!$C874&lt;&gt;$L$1,对接源_01水果!$B874=""),0,IF(OR(N(对接源_01水果!$B874)&lt;$L$2,N(对接源_01水果!$B874)&gt;$L$3),0,1))</f>
        <v>0</v>
      </c>
      <c r="M874">
        <f>IF(OR($M$1="",对接源_01水果!$C874="",对接源_01水果!$C874&lt;&gt;$M$1,对接源_01水果!$B874=""),0,IF(OR(N(对接源_01水果!$B874)&lt;$M$2,N(对接源_01水果!$B874)&gt;$M$3),0,1))</f>
        <v>0</v>
      </c>
      <c r="N874">
        <f>IF(OR($N$1="",对接源_01水果!$C874="",对接源_01水果!$C874&lt;&gt;$N$1,对接源_01水果!$B874=""),0,IF(OR(N(对接源_01水果!$B874)&lt;$N$2,N(对接源_01水果!$B874)&gt;$N$3),0,1))</f>
        <v>0</v>
      </c>
      <c r="P874">
        <f>IF(AND($K874=1,AND(对接源_01水果!$X874="公司筐",N(对接源_01水果!$T874)&lt;&gt;0)),1,0)</f>
        <v>0</v>
      </c>
      <c r="Q874">
        <f>N(Q873)+$P874</f>
        <v>0</v>
      </c>
      <c r="R874">
        <f>IF(AND($K874=1,AND(对接源_01水果!$X874="公司筐",N(对接源_01水果!$U874)&lt;&gt;0)),1,0)</f>
        <v>0</v>
      </c>
      <c r="S874">
        <f>N(S873)+$R874</f>
        <v>0</v>
      </c>
      <c r="T874">
        <f>IF(AND($K874=1,AND(对接源_01水果!$X874="公司筐",N(对接源_01水果!$V874)&lt;&gt;0)),1,0)</f>
        <v>0</v>
      </c>
      <c r="U874">
        <f>N(U873)+$T874</f>
        <v>47</v>
      </c>
      <c r="V874">
        <f>IF(AND($L874=1,AND(对接源_01水果!$X874="自备筐",N(对接源_01水果!$V874)&lt;&gt;0)),1,0)</f>
        <v>0</v>
      </c>
      <c r="W874">
        <f>N(W873)+$V874</f>
        <v>11</v>
      </c>
      <c r="X874">
        <f>IF(AND($L874=1,AND(对接源_01水果!$X874="自备筐",N(对接源_01水果!$T874)&lt;&gt;0)),1,0)</f>
        <v>0</v>
      </c>
      <c r="Y874">
        <f>N(Y873)+$X874</f>
        <v>0</v>
      </c>
      <c r="Z874">
        <f>IF(AND($M874=1,对接源_01水果!$D874="原料入库"),1,0)</f>
        <v>0</v>
      </c>
      <c r="AA874">
        <f>N(AA873)+$Z874</f>
        <v>24</v>
      </c>
      <c r="AB874">
        <f>IF(AND($M874=1,LEFT(对接源_01水果!$D874,4)="原料出库"),1,0)</f>
        <v>0</v>
      </c>
      <c r="AC874">
        <f>N(AC873)+$AB874</f>
        <v>0</v>
      </c>
      <c r="AD874">
        <f>IF(AND($M874=1,LEFT(对接源_01水果!$D874,4)="成品出库"),1,0)</f>
        <v>0</v>
      </c>
      <c r="AE874">
        <f>N(AE873)+$AD874</f>
        <v>0</v>
      </c>
      <c r="AF874">
        <f>IF(AND($N874=1,AND(LEFT(对接源_01水果!$D874,4)="包装物料",N(对接源_01水果!$K874)&lt;&gt;0)),1,0)</f>
        <v>0</v>
      </c>
      <c r="AG874">
        <f>N(AG873)+$AF874</f>
        <v>0</v>
      </c>
      <c r="AH874">
        <f>IF(AND($N874=1,AND(对接源_01水果!$D874="周转筐－销售出库",N(对接源_01水果!$K874)&lt;&gt;0)),1,0)</f>
        <v>0</v>
      </c>
      <c r="AI874">
        <f>N(AI873)+$AH874</f>
        <v>0</v>
      </c>
      <c r="AJ874" s="7" t="n"/>
      <c r="AL874">
        <f>IF(OR($AL$1="",对接源_01水果!$Y874="",对接源_01水果!$Y874&lt;&gt;$AL$1,对接源_01水果!$B874="",N(对接源_01水果!$AJ874)&lt;=0),0,IF(OR(N(对接源_01水果!$B874)&lt;$AL$2,N(对接源_01水果!$B874)&gt;$AL$3),0,1))</f>
        <v>0</v>
      </c>
      <c r="AM874">
        <f>N(AM873)+$AL874</f>
        <v>2</v>
      </c>
      <c r="AN874">
        <f>IF(对接源_01水果!$AC874="","",对接源_01水果!$AC874)</f>
      </c>
      <c r="AO874">
        <f>IF(AN874="",0,IF(MATCH(AN874,$AN$4:$AN$1203,0)=ROW()-3,1,0))</f>
        <v>0</v>
      </c>
      <c r="AP874">
        <f>N(AP873)+$AO874</f>
        <v>13</v>
      </c>
      <c r="AR874">
        <f>IF(OR($AF874=1,$AH874=1),1,0)</f>
        <v>0</v>
      </c>
      <c r="AS874">
        <f>N(AS873)+$AR874</f>
        <v>0</v>
      </c>
    </row>
    <row r="875" ht="14.25" customHeight="1" s="127">
      <c r="A875">
        <f>IF(对接源_01水果!$C875="","",对接源_01水果!$C875)</f>
      </c>
      <c r="B875">
        <f>IF(A875="",0,IF(MATCH(A875,$A$4:$A$2403,0)=ROW()-3,1,0))</f>
        <v>0</v>
      </c>
      <c r="C875">
        <f>N(C874)+B875</f>
        <v>22</v>
      </c>
      <c r="K875">
        <f>IF(OR($K$1="",对接源_01水果!$C875="",对接源_01水果!$C875&lt;&gt;$K$1,对接源_01水果!$B875=""),0,IF(OR(N(对接源_01水果!$B875)&lt;$K$2,N(对接源_01水果!$B875)&gt;$K$3),0,1))</f>
        <v>0</v>
      </c>
      <c r="L875">
        <f>IF(OR($L$1="",对接源_01水果!$C875="",对接源_01水果!$C875&lt;&gt;$L$1,对接源_01水果!$B875=""),0,IF(OR(N(对接源_01水果!$B875)&lt;$L$2,N(对接源_01水果!$B875)&gt;$L$3),0,1))</f>
        <v>0</v>
      </c>
      <c r="M875">
        <f>IF(OR($M$1="",对接源_01水果!$C875="",对接源_01水果!$C875&lt;&gt;$M$1,对接源_01水果!$B875=""),0,IF(OR(N(对接源_01水果!$B875)&lt;$M$2,N(对接源_01水果!$B875)&gt;$M$3),0,1))</f>
        <v>0</v>
      </c>
      <c r="N875">
        <f>IF(OR($N$1="",对接源_01水果!$C875="",对接源_01水果!$C875&lt;&gt;$N$1,对接源_01水果!$B875=""),0,IF(OR(N(对接源_01水果!$B875)&lt;$N$2,N(对接源_01水果!$B875)&gt;$N$3),0,1))</f>
        <v>0</v>
      </c>
      <c r="P875">
        <f>IF(AND($K875=1,AND(对接源_01水果!$X875="公司筐",N(对接源_01水果!$T875)&lt;&gt;0)),1,0)</f>
        <v>0</v>
      </c>
      <c r="Q875">
        <f>N(Q874)+$P875</f>
        <v>0</v>
      </c>
      <c r="R875">
        <f>IF(AND($K875=1,AND(对接源_01水果!$X875="公司筐",N(对接源_01水果!$U875)&lt;&gt;0)),1,0)</f>
        <v>0</v>
      </c>
      <c r="S875">
        <f>N(S874)+$R875</f>
        <v>0</v>
      </c>
      <c r="T875">
        <f>IF(AND($K875=1,AND(对接源_01水果!$X875="公司筐",N(对接源_01水果!$V875)&lt;&gt;0)),1,0)</f>
        <v>0</v>
      </c>
      <c r="U875">
        <f>N(U874)+$T875</f>
        <v>47</v>
      </c>
      <c r="V875">
        <f>IF(AND($L875=1,AND(对接源_01水果!$X875="自备筐",N(对接源_01水果!$V875)&lt;&gt;0)),1,0)</f>
        <v>0</v>
      </c>
      <c r="W875">
        <f>N(W874)+$V875</f>
        <v>11</v>
      </c>
      <c r="X875">
        <f>IF(AND($L875=1,AND(对接源_01水果!$X875="自备筐",N(对接源_01水果!$T875)&lt;&gt;0)),1,0)</f>
        <v>0</v>
      </c>
      <c r="Y875">
        <f>N(Y874)+$X875</f>
        <v>0</v>
      </c>
      <c r="Z875">
        <f>IF(AND($M875=1,对接源_01水果!$D875="原料入库"),1,0)</f>
        <v>0</v>
      </c>
      <c r="AA875">
        <f>N(AA874)+$Z875</f>
        <v>24</v>
      </c>
      <c r="AB875">
        <f>IF(AND($M875=1,LEFT(对接源_01水果!$D875,4)="原料出库"),1,0)</f>
        <v>0</v>
      </c>
      <c r="AC875">
        <f>N(AC874)+$AB875</f>
        <v>0</v>
      </c>
      <c r="AD875">
        <f>IF(AND($M875=1,LEFT(对接源_01水果!$D875,4)="成品出库"),1,0)</f>
        <v>0</v>
      </c>
      <c r="AE875">
        <f>N(AE874)+$AD875</f>
        <v>0</v>
      </c>
      <c r="AF875">
        <f>IF(AND($N875=1,AND(LEFT(对接源_01水果!$D875,4)="包装物料",N(对接源_01水果!$K875)&lt;&gt;0)),1,0)</f>
        <v>0</v>
      </c>
      <c r="AG875">
        <f>N(AG874)+$AF875</f>
        <v>0</v>
      </c>
      <c r="AH875">
        <f>IF(AND($N875=1,AND(对接源_01水果!$D875="周转筐－销售出库",N(对接源_01水果!$K875)&lt;&gt;0)),1,0)</f>
        <v>0</v>
      </c>
      <c r="AI875">
        <f>N(AI874)+$AH875</f>
        <v>0</v>
      </c>
      <c r="AJ875" s="7" t="n"/>
      <c r="AL875">
        <f>IF(OR($AL$1="",对接源_01水果!$Y875="",对接源_01水果!$Y875&lt;&gt;$AL$1,对接源_01水果!$B875="",N(对接源_01水果!$AJ875)&lt;=0),0,IF(OR(N(对接源_01水果!$B875)&lt;$AL$2,N(对接源_01水果!$B875)&gt;$AL$3),0,1))</f>
        <v>0</v>
      </c>
      <c r="AM875">
        <f>N(AM874)+$AL875</f>
        <v>2</v>
      </c>
      <c r="AN875">
        <f>IF(对接源_01水果!$AC875="","",对接源_01水果!$AC875)</f>
      </c>
      <c r="AO875">
        <f>IF(AN875="",0,IF(MATCH(AN875,$AN$4:$AN$1203,0)=ROW()-3,1,0))</f>
        <v>0</v>
      </c>
      <c r="AP875">
        <f>N(AP874)+$AO875</f>
        <v>13</v>
      </c>
      <c r="AR875">
        <f>IF(OR($AF875=1,$AH875=1),1,0)</f>
        <v>0</v>
      </c>
      <c r="AS875">
        <f>N(AS874)+$AR875</f>
        <v>0</v>
      </c>
    </row>
    <row r="876" ht="14.25" customHeight="1" s="127">
      <c r="A876">
        <f>IF(对接源_01水果!$C876="","",对接源_01水果!$C876)</f>
      </c>
      <c r="B876">
        <f>IF(A876="",0,IF(MATCH(A876,$A$4:$A$2403,0)=ROW()-3,1,0))</f>
        <v>0</v>
      </c>
      <c r="C876">
        <f>N(C875)+B876</f>
        <v>22</v>
      </c>
      <c r="K876">
        <f>IF(OR($K$1="",对接源_01水果!$C876="",对接源_01水果!$C876&lt;&gt;$K$1,对接源_01水果!$B876=""),0,IF(OR(N(对接源_01水果!$B876)&lt;$K$2,N(对接源_01水果!$B876)&gt;$K$3),0,1))</f>
        <v>0</v>
      </c>
      <c r="L876">
        <f>IF(OR($L$1="",对接源_01水果!$C876="",对接源_01水果!$C876&lt;&gt;$L$1,对接源_01水果!$B876=""),0,IF(OR(N(对接源_01水果!$B876)&lt;$L$2,N(对接源_01水果!$B876)&gt;$L$3),0,1))</f>
        <v>0</v>
      </c>
      <c r="M876">
        <f>IF(OR($M$1="",对接源_01水果!$C876="",对接源_01水果!$C876&lt;&gt;$M$1,对接源_01水果!$B876=""),0,IF(OR(N(对接源_01水果!$B876)&lt;$M$2,N(对接源_01水果!$B876)&gt;$M$3),0,1))</f>
        <v>0</v>
      </c>
      <c r="N876">
        <f>IF(OR($N$1="",对接源_01水果!$C876="",对接源_01水果!$C876&lt;&gt;$N$1,对接源_01水果!$B876=""),0,IF(OR(N(对接源_01水果!$B876)&lt;$N$2,N(对接源_01水果!$B876)&gt;$N$3),0,1))</f>
        <v>0</v>
      </c>
      <c r="P876">
        <f>IF(AND($K876=1,AND(对接源_01水果!$X876="公司筐",N(对接源_01水果!$T876)&lt;&gt;0)),1,0)</f>
        <v>0</v>
      </c>
      <c r="Q876">
        <f>N(Q875)+$P876</f>
        <v>0</v>
      </c>
      <c r="R876">
        <f>IF(AND($K876=1,AND(对接源_01水果!$X876="公司筐",N(对接源_01水果!$U876)&lt;&gt;0)),1,0)</f>
        <v>0</v>
      </c>
      <c r="S876">
        <f>N(S875)+$R876</f>
        <v>0</v>
      </c>
      <c r="T876">
        <f>IF(AND($K876=1,AND(对接源_01水果!$X876="公司筐",N(对接源_01水果!$V876)&lt;&gt;0)),1,0)</f>
        <v>0</v>
      </c>
      <c r="U876">
        <f>N(U875)+$T876</f>
        <v>47</v>
      </c>
      <c r="V876">
        <f>IF(AND($L876=1,AND(对接源_01水果!$X876="自备筐",N(对接源_01水果!$V876)&lt;&gt;0)),1,0)</f>
        <v>0</v>
      </c>
      <c r="W876">
        <f>N(W875)+$V876</f>
        <v>11</v>
      </c>
      <c r="X876">
        <f>IF(AND($L876=1,AND(对接源_01水果!$X876="自备筐",N(对接源_01水果!$T876)&lt;&gt;0)),1,0)</f>
        <v>0</v>
      </c>
      <c r="Y876">
        <f>N(Y875)+$X876</f>
        <v>0</v>
      </c>
      <c r="Z876">
        <f>IF(AND($M876=1,对接源_01水果!$D876="原料入库"),1,0)</f>
        <v>0</v>
      </c>
      <c r="AA876">
        <f>N(AA875)+$Z876</f>
        <v>24</v>
      </c>
      <c r="AB876">
        <f>IF(AND($M876=1,LEFT(对接源_01水果!$D876,4)="原料出库"),1,0)</f>
        <v>0</v>
      </c>
      <c r="AC876">
        <f>N(AC875)+$AB876</f>
        <v>0</v>
      </c>
      <c r="AD876">
        <f>IF(AND($M876=1,LEFT(对接源_01水果!$D876,4)="成品出库"),1,0)</f>
        <v>0</v>
      </c>
      <c r="AE876">
        <f>N(AE875)+$AD876</f>
        <v>0</v>
      </c>
      <c r="AF876">
        <f>IF(AND($N876=1,AND(LEFT(对接源_01水果!$D876,4)="包装物料",N(对接源_01水果!$K876)&lt;&gt;0)),1,0)</f>
        <v>0</v>
      </c>
      <c r="AG876">
        <f>N(AG875)+$AF876</f>
        <v>0</v>
      </c>
      <c r="AH876">
        <f>IF(AND($N876=1,AND(对接源_01水果!$D876="周转筐－销售出库",N(对接源_01水果!$K876)&lt;&gt;0)),1,0)</f>
        <v>0</v>
      </c>
      <c r="AI876">
        <f>N(AI875)+$AH876</f>
        <v>0</v>
      </c>
      <c r="AJ876" s="7" t="n"/>
      <c r="AL876">
        <f>IF(OR($AL$1="",对接源_01水果!$Y876="",对接源_01水果!$Y876&lt;&gt;$AL$1,对接源_01水果!$B876="",N(对接源_01水果!$AJ876)&lt;=0),0,IF(OR(N(对接源_01水果!$B876)&lt;$AL$2,N(对接源_01水果!$B876)&gt;$AL$3),0,1))</f>
        <v>0</v>
      </c>
      <c r="AM876">
        <f>N(AM875)+$AL876</f>
        <v>2</v>
      </c>
      <c r="AN876">
        <f>IF(对接源_01水果!$AC876="","",对接源_01水果!$AC876)</f>
      </c>
      <c r="AO876">
        <f>IF(AN876="",0,IF(MATCH(AN876,$AN$4:$AN$1203,0)=ROW()-3,1,0))</f>
        <v>0</v>
      </c>
      <c r="AP876">
        <f>N(AP875)+$AO876</f>
        <v>13</v>
      </c>
      <c r="AR876">
        <f>IF(OR($AF876=1,$AH876=1),1,0)</f>
        <v>0</v>
      </c>
      <c r="AS876">
        <f>N(AS875)+$AR876</f>
        <v>0</v>
      </c>
    </row>
    <row r="877" ht="14.25" customHeight="1" s="127">
      <c r="A877">
        <f>IF(对接源_01水果!$C877="","",对接源_01水果!$C877)</f>
      </c>
      <c r="B877">
        <f>IF(A877="",0,IF(MATCH(A877,$A$4:$A$2403,0)=ROW()-3,1,0))</f>
        <v>0</v>
      </c>
      <c r="C877">
        <f>N(C876)+B877</f>
        <v>22</v>
      </c>
      <c r="K877">
        <f>IF(OR($K$1="",对接源_01水果!$C877="",对接源_01水果!$C877&lt;&gt;$K$1,对接源_01水果!$B877=""),0,IF(OR(N(对接源_01水果!$B877)&lt;$K$2,N(对接源_01水果!$B877)&gt;$K$3),0,1))</f>
        <v>0</v>
      </c>
      <c r="L877">
        <f>IF(OR($L$1="",对接源_01水果!$C877="",对接源_01水果!$C877&lt;&gt;$L$1,对接源_01水果!$B877=""),0,IF(OR(N(对接源_01水果!$B877)&lt;$L$2,N(对接源_01水果!$B877)&gt;$L$3),0,1))</f>
        <v>0</v>
      </c>
      <c r="M877">
        <f>IF(OR($M$1="",对接源_01水果!$C877="",对接源_01水果!$C877&lt;&gt;$M$1,对接源_01水果!$B877=""),0,IF(OR(N(对接源_01水果!$B877)&lt;$M$2,N(对接源_01水果!$B877)&gt;$M$3),0,1))</f>
        <v>0</v>
      </c>
      <c r="N877">
        <f>IF(OR($N$1="",对接源_01水果!$C877="",对接源_01水果!$C877&lt;&gt;$N$1,对接源_01水果!$B877=""),0,IF(OR(N(对接源_01水果!$B877)&lt;$N$2,N(对接源_01水果!$B877)&gt;$N$3),0,1))</f>
        <v>0</v>
      </c>
      <c r="P877">
        <f>IF(AND($K877=1,AND(对接源_01水果!$X877="公司筐",N(对接源_01水果!$T877)&lt;&gt;0)),1,0)</f>
        <v>0</v>
      </c>
      <c r="Q877">
        <f>N(Q876)+$P877</f>
        <v>0</v>
      </c>
      <c r="R877">
        <f>IF(AND($K877=1,AND(对接源_01水果!$X877="公司筐",N(对接源_01水果!$U877)&lt;&gt;0)),1,0)</f>
        <v>0</v>
      </c>
      <c r="S877">
        <f>N(S876)+$R877</f>
        <v>0</v>
      </c>
      <c r="T877">
        <f>IF(AND($K877=1,AND(对接源_01水果!$X877="公司筐",N(对接源_01水果!$V877)&lt;&gt;0)),1,0)</f>
        <v>0</v>
      </c>
      <c r="U877">
        <f>N(U876)+$T877</f>
        <v>47</v>
      </c>
      <c r="V877">
        <f>IF(AND($L877=1,AND(对接源_01水果!$X877="自备筐",N(对接源_01水果!$V877)&lt;&gt;0)),1,0)</f>
        <v>0</v>
      </c>
      <c r="W877">
        <f>N(W876)+$V877</f>
        <v>11</v>
      </c>
      <c r="X877">
        <f>IF(AND($L877=1,AND(对接源_01水果!$X877="自备筐",N(对接源_01水果!$T877)&lt;&gt;0)),1,0)</f>
        <v>0</v>
      </c>
      <c r="Y877">
        <f>N(Y876)+$X877</f>
        <v>0</v>
      </c>
      <c r="Z877">
        <f>IF(AND($M877=1,对接源_01水果!$D877="原料入库"),1,0)</f>
        <v>0</v>
      </c>
      <c r="AA877">
        <f>N(AA876)+$Z877</f>
        <v>24</v>
      </c>
      <c r="AB877">
        <f>IF(AND($M877=1,LEFT(对接源_01水果!$D877,4)="原料出库"),1,0)</f>
        <v>0</v>
      </c>
      <c r="AC877">
        <f>N(AC876)+$AB877</f>
        <v>0</v>
      </c>
      <c r="AD877">
        <f>IF(AND($M877=1,LEFT(对接源_01水果!$D877,4)="成品出库"),1,0)</f>
        <v>0</v>
      </c>
      <c r="AE877">
        <f>N(AE876)+$AD877</f>
        <v>0</v>
      </c>
      <c r="AF877">
        <f>IF(AND($N877=1,AND(LEFT(对接源_01水果!$D877,4)="包装物料",N(对接源_01水果!$K877)&lt;&gt;0)),1,0)</f>
        <v>0</v>
      </c>
      <c r="AG877">
        <f>N(AG876)+$AF877</f>
        <v>0</v>
      </c>
      <c r="AH877">
        <f>IF(AND($N877=1,AND(对接源_01水果!$D877="周转筐－销售出库",N(对接源_01水果!$K877)&lt;&gt;0)),1,0)</f>
        <v>0</v>
      </c>
      <c r="AI877">
        <f>N(AI876)+$AH877</f>
        <v>0</v>
      </c>
      <c r="AJ877" s="7" t="n"/>
      <c r="AL877">
        <f>IF(OR($AL$1="",对接源_01水果!$Y877="",对接源_01水果!$Y877&lt;&gt;$AL$1,对接源_01水果!$B877="",N(对接源_01水果!$AJ877)&lt;=0),0,IF(OR(N(对接源_01水果!$B877)&lt;$AL$2,N(对接源_01水果!$B877)&gt;$AL$3),0,1))</f>
        <v>0</v>
      </c>
      <c r="AM877">
        <f>N(AM876)+$AL877</f>
        <v>2</v>
      </c>
      <c r="AN877">
        <f>IF(对接源_01水果!$AC877="","",对接源_01水果!$AC877)</f>
      </c>
      <c r="AO877">
        <f>IF(AN877="",0,IF(MATCH(AN877,$AN$4:$AN$1203,0)=ROW()-3,1,0))</f>
        <v>0</v>
      </c>
      <c r="AP877">
        <f>N(AP876)+$AO877</f>
        <v>13</v>
      </c>
      <c r="AR877">
        <f>IF(OR($AF877=1,$AH877=1),1,0)</f>
        <v>0</v>
      </c>
      <c r="AS877">
        <f>N(AS876)+$AR877</f>
        <v>0</v>
      </c>
    </row>
    <row r="878" ht="14.25" customHeight="1" s="127">
      <c r="A878">
        <f>IF(对接源_01水果!$C878="","",对接源_01水果!$C878)</f>
      </c>
      <c r="B878">
        <f>IF(A878="",0,IF(MATCH(A878,$A$4:$A$2403,0)=ROW()-3,1,0))</f>
        <v>0</v>
      </c>
      <c r="C878">
        <f>N(C877)+B878</f>
        <v>22</v>
      </c>
      <c r="K878">
        <f>IF(OR($K$1="",对接源_01水果!$C878="",对接源_01水果!$C878&lt;&gt;$K$1,对接源_01水果!$B878=""),0,IF(OR(N(对接源_01水果!$B878)&lt;$K$2,N(对接源_01水果!$B878)&gt;$K$3),0,1))</f>
        <v>0</v>
      </c>
      <c r="L878">
        <f>IF(OR($L$1="",对接源_01水果!$C878="",对接源_01水果!$C878&lt;&gt;$L$1,对接源_01水果!$B878=""),0,IF(OR(N(对接源_01水果!$B878)&lt;$L$2,N(对接源_01水果!$B878)&gt;$L$3),0,1))</f>
        <v>0</v>
      </c>
      <c r="M878">
        <f>IF(OR($M$1="",对接源_01水果!$C878="",对接源_01水果!$C878&lt;&gt;$M$1,对接源_01水果!$B878=""),0,IF(OR(N(对接源_01水果!$B878)&lt;$M$2,N(对接源_01水果!$B878)&gt;$M$3),0,1))</f>
        <v>0</v>
      </c>
      <c r="N878">
        <f>IF(OR($N$1="",对接源_01水果!$C878="",对接源_01水果!$C878&lt;&gt;$N$1,对接源_01水果!$B878=""),0,IF(OR(N(对接源_01水果!$B878)&lt;$N$2,N(对接源_01水果!$B878)&gt;$N$3),0,1))</f>
        <v>0</v>
      </c>
      <c r="P878">
        <f>IF(AND($K878=1,AND(对接源_01水果!$X878="公司筐",N(对接源_01水果!$T878)&lt;&gt;0)),1,0)</f>
        <v>0</v>
      </c>
      <c r="Q878">
        <f>N(Q877)+$P878</f>
        <v>0</v>
      </c>
      <c r="R878">
        <f>IF(AND($K878=1,AND(对接源_01水果!$X878="公司筐",N(对接源_01水果!$U878)&lt;&gt;0)),1,0)</f>
        <v>0</v>
      </c>
      <c r="S878">
        <f>N(S877)+$R878</f>
        <v>0</v>
      </c>
      <c r="T878">
        <f>IF(AND($K878=1,AND(对接源_01水果!$X878="公司筐",N(对接源_01水果!$V878)&lt;&gt;0)),1,0)</f>
        <v>0</v>
      </c>
      <c r="U878">
        <f>N(U877)+$T878</f>
        <v>47</v>
      </c>
      <c r="V878">
        <f>IF(AND($L878=1,AND(对接源_01水果!$X878="自备筐",N(对接源_01水果!$V878)&lt;&gt;0)),1,0)</f>
        <v>0</v>
      </c>
      <c r="W878">
        <f>N(W877)+$V878</f>
        <v>11</v>
      </c>
      <c r="X878">
        <f>IF(AND($L878=1,AND(对接源_01水果!$X878="自备筐",N(对接源_01水果!$T878)&lt;&gt;0)),1,0)</f>
        <v>0</v>
      </c>
      <c r="Y878">
        <f>N(Y877)+$X878</f>
        <v>0</v>
      </c>
      <c r="Z878">
        <f>IF(AND($M878=1,对接源_01水果!$D878="原料入库"),1,0)</f>
        <v>0</v>
      </c>
      <c r="AA878">
        <f>N(AA877)+$Z878</f>
        <v>24</v>
      </c>
      <c r="AB878">
        <f>IF(AND($M878=1,LEFT(对接源_01水果!$D878,4)="原料出库"),1,0)</f>
        <v>0</v>
      </c>
      <c r="AC878">
        <f>N(AC877)+$AB878</f>
        <v>0</v>
      </c>
      <c r="AD878">
        <f>IF(AND($M878=1,LEFT(对接源_01水果!$D878,4)="成品出库"),1,0)</f>
        <v>0</v>
      </c>
      <c r="AE878">
        <f>N(AE877)+$AD878</f>
        <v>0</v>
      </c>
      <c r="AF878">
        <f>IF(AND($N878=1,AND(LEFT(对接源_01水果!$D878,4)="包装物料",N(对接源_01水果!$K878)&lt;&gt;0)),1,0)</f>
        <v>0</v>
      </c>
      <c r="AG878">
        <f>N(AG877)+$AF878</f>
        <v>0</v>
      </c>
      <c r="AH878">
        <f>IF(AND($N878=1,AND(对接源_01水果!$D878="周转筐－销售出库",N(对接源_01水果!$K878)&lt;&gt;0)),1,0)</f>
        <v>0</v>
      </c>
      <c r="AI878">
        <f>N(AI877)+$AH878</f>
        <v>0</v>
      </c>
      <c r="AJ878" s="7" t="n"/>
      <c r="AL878">
        <f>IF(OR($AL$1="",对接源_01水果!$Y878="",对接源_01水果!$Y878&lt;&gt;$AL$1,对接源_01水果!$B878="",N(对接源_01水果!$AJ878)&lt;=0),0,IF(OR(N(对接源_01水果!$B878)&lt;$AL$2,N(对接源_01水果!$B878)&gt;$AL$3),0,1))</f>
        <v>0</v>
      </c>
      <c r="AM878">
        <f>N(AM877)+$AL878</f>
        <v>2</v>
      </c>
      <c r="AN878">
        <f>IF(对接源_01水果!$AC878="","",对接源_01水果!$AC878)</f>
      </c>
      <c r="AO878">
        <f>IF(AN878="",0,IF(MATCH(AN878,$AN$4:$AN$1203,0)=ROW()-3,1,0))</f>
        <v>0</v>
      </c>
      <c r="AP878">
        <f>N(AP877)+$AO878</f>
        <v>13</v>
      </c>
      <c r="AR878">
        <f>IF(OR($AF878=1,$AH878=1),1,0)</f>
        <v>0</v>
      </c>
      <c r="AS878">
        <f>N(AS877)+$AR878</f>
        <v>0</v>
      </c>
    </row>
    <row r="879" ht="14.25" customHeight="1" s="127">
      <c r="A879">
        <f>IF(对接源_01水果!$C879="","",对接源_01水果!$C879)</f>
      </c>
      <c r="B879">
        <f>IF(A879="",0,IF(MATCH(A879,$A$4:$A$2403,0)=ROW()-3,1,0))</f>
        <v>0</v>
      </c>
      <c r="C879">
        <f>N(C878)+B879</f>
        <v>22</v>
      </c>
      <c r="K879">
        <f>IF(OR($K$1="",对接源_01水果!$C879="",对接源_01水果!$C879&lt;&gt;$K$1,对接源_01水果!$B879=""),0,IF(OR(N(对接源_01水果!$B879)&lt;$K$2,N(对接源_01水果!$B879)&gt;$K$3),0,1))</f>
        <v>0</v>
      </c>
      <c r="L879">
        <f>IF(OR($L$1="",对接源_01水果!$C879="",对接源_01水果!$C879&lt;&gt;$L$1,对接源_01水果!$B879=""),0,IF(OR(N(对接源_01水果!$B879)&lt;$L$2,N(对接源_01水果!$B879)&gt;$L$3),0,1))</f>
        <v>0</v>
      </c>
      <c r="M879">
        <f>IF(OR($M$1="",对接源_01水果!$C879="",对接源_01水果!$C879&lt;&gt;$M$1,对接源_01水果!$B879=""),0,IF(OR(N(对接源_01水果!$B879)&lt;$M$2,N(对接源_01水果!$B879)&gt;$M$3),0,1))</f>
        <v>0</v>
      </c>
      <c r="N879">
        <f>IF(OR($N$1="",对接源_01水果!$C879="",对接源_01水果!$C879&lt;&gt;$N$1,对接源_01水果!$B879=""),0,IF(OR(N(对接源_01水果!$B879)&lt;$N$2,N(对接源_01水果!$B879)&gt;$N$3),0,1))</f>
        <v>0</v>
      </c>
      <c r="P879">
        <f>IF(AND($K879=1,AND(对接源_01水果!$X879="公司筐",N(对接源_01水果!$T879)&lt;&gt;0)),1,0)</f>
        <v>0</v>
      </c>
      <c r="Q879">
        <f>N(Q878)+$P879</f>
        <v>0</v>
      </c>
      <c r="R879">
        <f>IF(AND($K879=1,AND(对接源_01水果!$X879="公司筐",N(对接源_01水果!$U879)&lt;&gt;0)),1,0)</f>
        <v>0</v>
      </c>
      <c r="S879">
        <f>N(S878)+$R879</f>
        <v>0</v>
      </c>
      <c r="T879">
        <f>IF(AND($K879=1,AND(对接源_01水果!$X879="公司筐",N(对接源_01水果!$V879)&lt;&gt;0)),1,0)</f>
        <v>0</v>
      </c>
      <c r="U879">
        <f>N(U878)+$T879</f>
        <v>47</v>
      </c>
      <c r="V879">
        <f>IF(AND($L879=1,AND(对接源_01水果!$X879="自备筐",N(对接源_01水果!$V879)&lt;&gt;0)),1,0)</f>
        <v>0</v>
      </c>
      <c r="W879">
        <f>N(W878)+$V879</f>
        <v>11</v>
      </c>
      <c r="X879">
        <f>IF(AND($L879=1,AND(对接源_01水果!$X879="自备筐",N(对接源_01水果!$T879)&lt;&gt;0)),1,0)</f>
        <v>0</v>
      </c>
      <c r="Y879">
        <f>N(Y878)+$X879</f>
        <v>0</v>
      </c>
      <c r="Z879">
        <f>IF(AND($M879=1,对接源_01水果!$D879="原料入库"),1,0)</f>
        <v>0</v>
      </c>
      <c r="AA879">
        <f>N(AA878)+$Z879</f>
        <v>24</v>
      </c>
      <c r="AB879">
        <f>IF(AND($M879=1,LEFT(对接源_01水果!$D879,4)="原料出库"),1,0)</f>
        <v>0</v>
      </c>
      <c r="AC879">
        <f>N(AC878)+$AB879</f>
        <v>0</v>
      </c>
      <c r="AD879">
        <f>IF(AND($M879=1,LEFT(对接源_01水果!$D879,4)="成品出库"),1,0)</f>
        <v>0</v>
      </c>
      <c r="AE879">
        <f>N(AE878)+$AD879</f>
        <v>0</v>
      </c>
      <c r="AF879">
        <f>IF(AND($N879=1,AND(LEFT(对接源_01水果!$D879,4)="包装物料",N(对接源_01水果!$K879)&lt;&gt;0)),1,0)</f>
        <v>0</v>
      </c>
      <c r="AG879">
        <f>N(AG878)+$AF879</f>
        <v>0</v>
      </c>
      <c r="AH879">
        <f>IF(AND($N879=1,AND(对接源_01水果!$D879="周转筐－销售出库",N(对接源_01水果!$K879)&lt;&gt;0)),1,0)</f>
        <v>0</v>
      </c>
      <c r="AI879">
        <f>N(AI878)+$AH879</f>
        <v>0</v>
      </c>
      <c r="AJ879" s="7" t="n"/>
      <c r="AL879">
        <f>IF(OR($AL$1="",对接源_01水果!$Y879="",对接源_01水果!$Y879&lt;&gt;$AL$1,对接源_01水果!$B879="",N(对接源_01水果!$AJ879)&lt;=0),0,IF(OR(N(对接源_01水果!$B879)&lt;$AL$2,N(对接源_01水果!$B879)&gt;$AL$3),0,1))</f>
        <v>0</v>
      </c>
      <c r="AM879">
        <f>N(AM878)+$AL879</f>
        <v>2</v>
      </c>
      <c r="AN879">
        <f>IF(对接源_01水果!$AC879="","",对接源_01水果!$AC879)</f>
      </c>
      <c r="AO879">
        <f>IF(AN879="",0,IF(MATCH(AN879,$AN$4:$AN$1203,0)=ROW()-3,1,0))</f>
        <v>0</v>
      </c>
      <c r="AP879">
        <f>N(AP878)+$AO879</f>
        <v>13</v>
      </c>
      <c r="AR879">
        <f>IF(OR($AF879=1,$AH879=1),1,0)</f>
        <v>0</v>
      </c>
      <c r="AS879">
        <f>N(AS878)+$AR879</f>
        <v>0</v>
      </c>
    </row>
    <row r="880" ht="14.25" customHeight="1" s="127">
      <c r="A880">
        <f>IF(对接源_01水果!$C880="","",对接源_01水果!$C880)</f>
      </c>
      <c r="B880">
        <f>IF(A880="",0,IF(MATCH(A880,$A$4:$A$2403,0)=ROW()-3,1,0))</f>
        <v>0</v>
      </c>
      <c r="C880">
        <f>N(C879)+B880</f>
        <v>22</v>
      </c>
      <c r="K880">
        <f>IF(OR($K$1="",对接源_01水果!$C880="",对接源_01水果!$C880&lt;&gt;$K$1,对接源_01水果!$B880=""),0,IF(OR(N(对接源_01水果!$B880)&lt;$K$2,N(对接源_01水果!$B880)&gt;$K$3),0,1))</f>
        <v>0</v>
      </c>
      <c r="L880">
        <f>IF(OR($L$1="",对接源_01水果!$C880="",对接源_01水果!$C880&lt;&gt;$L$1,对接源_01水果!$B880=""),0,IF(OR(N(对接源_01水果!$B880)&lt;$L$2,N(对接源_01水果!$B880)&gt;$L$3),0,1))</f>
        <v>0</v>
      </c>
      <c r="M880">
        <f>IF(OR($M$1="",对接源_01水果!$C880="",对接源_01水果!$C880&lt;&gt;$M$1,对接源_01水果!$B880=""),0,IF(OR(N(对接源_01水果!$B880)&lt;$M$2,N(对接源_01水果!$B880)&gt;$M$3),0,1))</f>
        <v>0</v>
      </c>
      <c r="N880">
        <f>IF(OR($N$1="",对接源_01水果!$C880="",对接源_01水果!$C880&lt;&gt;$N$1,对接源_01水果!$B880=""),0,IF(OR(N(对接源_01水果!$B880)&lt;$N$2,N(对接源_01水果!$B880)&gt;$N$3),0,1))</f>
        <v>0</v>
      </c>
      <c r="P880">
        <f>IF(AND($K880=1,AND(对接源_01水果!$X880="公司筐",N(对接源_01水果!$T880)&lt;&gt;0)),1,0)</f>
        <v>0</v>
      </c>
      <c r="Q880">
        <f>N(Q879)+$P880</f>
        <v>0</v>
      </c>
      <c r="R880">
        <f>IF(AND($K880=1,AND(对接源_01水果!$X880="公司筐",N(对接源_01水果!$U880)&lt;&gt;0)),1,0)</f>
        <v>0</v>
      </c>
      <c r="S880">
        <f>N(S879)+$R880</f>
        <v>0</v>
      </c>
      <c r="T880">
        <f>IF(AND($K880=1,AND(对接源_01水果!$X880="公司筐",N(对接源_01水果!$V880)&lt;&gt;0)),1,0)</f>
        <v>0</v>
      </c>
      <c r="U880">
        <f>N(U879)+$T880</f>
        <v>47</v>
      </c>
      <c r="V880">
        <f>IF(AND($L880=1,AND(对接源_01水果!$X880="自备筐",N(对接源_01水果!$V880)&lt;&gt;0)),1,0)</f>
        <v>0</v>
      </c>
      <c r="W880">
        <f>N(W879)+$V880</f>
        <v>11</v>
      </c>
      <c r="X880">
        <f>IF(AND($L880=1,AND(对接源_01水果!$X880="自备筐",N(对接源_01水果!$T880)&lt;&gt;0)),1,0)</f>
        <v>0</v>
      </c>
      <c r="Y880">
        <f>N(Y879)+$X880</f>
        <v>0</v>
      </c>
      <c r="Z880">
        <f>IF(AND($M880=1,对接源_01水果!$D880="原料入库"),1,0)</f>
        <v>0</v>
      </c>
      <c r="AA880">
        <f>N(AA879)+$Z880</f>
        <v>24</v>
      </c>
      <c r="AB880">
        <f>IF(AND($M880=1,LEFT(对接源_01水果!$D880,4)="原料出库"),1,0)</f>
        <v>0</v>
      </c>
      <c r="AC880">
        <f>N(AC879)+$AB880</f>
        <v>0</v>
      </c>
      <c r="AD880">
        <f>IF(AND($M880=1,LEFT(对接源_01水果!$D880,4)="成品出库"),1,0)</f>
        <v>0</v>
      </c>
      <c r="AE880">
        <f>N(AE879)+$AD880</f>
        <v>0</v>
      </c>
      <c r="AF880">
        <f>IF(AND($N880=1,AND(LEFT(对接源_01水果!$D880,4)="包装物料",N(对接源_01水果!$K880)&lt;&gt;0)),1,0)</f>
        <v>0</v>
      </c>
      <c r="AG880">
        <f>N(AG879)+$AF880</f>
        <v>0</v>
      </c>
      <c r="AH880">
        <f>IF(AND($N880=1,AND(对接源_01水果!$D880="周转筐－销售出库",N(对接源_01水果!$K880)&lt;&gt;0)),1,0)</f>
        <v>0</v>
      </c>
      <c r="AI880">
        <f>N(AI879)+$AH880</f>
        <v>0</v>
      </c>
      <c r="AJ880" s="7" t="n"/>
      <c r="AL880">
        <f>IF(OR($AL$1="",对接源_01水果!$Y880="",对接源_01水果!$Y880&lt;&gt;$AL$1,对接源_01水果!$B880="",N(对接源_01水果!$AJ880)&lt;=0),0,IF(OR(N(对接源_01水果!$B880)&lt;$AL$2,N(对接源_01水果!$B880)&gt;$AL$3),0,1))</f>
        <v>0</v>
      </c>
      <c r="AM880">
        <f>N(AM879)+$AL880</f>
        <v>2</v>
      </c>
      <c r="AN880">
        <f>IF(对接源_01水果!$AC880="","",对接源_01水果!$AC880)</f>
      </c>
      <c r="AO880">
        <f>IF(AN880="",0,IF(MATCH(AN880,$AN$4:$AN$1203,0)=ROW()-3,1,0))</f>
        <v>0</v>
      </c>
      <c r="AP880">
        <f>N(AP879)+$AO880</f>
        <v>13</v>
      </c>
      <c r="AR880">
        <f>IF(OR($AF880=1,$AH880=1),1,0)</f>
        <v>0</v>
      </c>
      <c r="AS880">
        <f>N(AS879)+$AR880</f>
        <v>0</v>
      </c>
    </row>
    <row r="881" ht="14.25" customHeight="1" s="127">
      <c r="A881">
        <f>IF(对接源_01水果!$C881="","",对接源_01水果!$C881)</f>
      </c>
      <c r="B881">
        <f>IF(A881="",0,IF(MATCH(A881,$A$4:$A$2403,0)=ROW()-3,1,0))</f>
        <v>0</v>
      </c>
      <c r="C881">
        <f>N(C880)+B881</f>
        <v>22</v>
      </c>
      <c r="K881">
        <f>IF(OR($K$1="",对接源_01水果!$C881="",对接源_01水果!$C881&lt;&gt;$K$1,对接源_01水果!$B881=""),0,IF(OR(N(对接源_01水果!$B881)&lt;$K$2,N(对接源_01水果!$B881)&gt;$K$3),0,1))</f>
        <v>0</v>
      </c>
      <c r="L881">
        <f>IF(OR($L$1="",对接源_01水果!$C881="",对接源_01水果!$C881&lt;&gt;$L$1,对接源_01水果!$B881=""),0,IF(OR(N(对接源_01水果!$B881)&lt;$L$2,N(对接源_01水果!$B881)&gt;$L$3),0,1))</f>
        <v>0</v>
      </c>
      <c r="M881">
        <f>IF(OR($M$1="",对接源_01水果!$C881="",对接源_01水果!$C881&lt;&gt;$M$1,对接源_01水果!$B881=""),0,IF(OR(N(对接源_01水果!$B881)&lt;$M$2,N(对接源_01水果!$B881)&gt;$M$3),0,1))</f>
        <v>0</v>
      </c>
      <c r="N881">
        <f>IF(OR($N$1="",对接源_01水果!$C881="",对接源_01水果!$C881&lt;&gt;$N$1,对接源_01水果!$B881=""),0,IF(OR(N(对接源_01水果!$B881)&lt;$N$2,N(对接源_01水果!$B881)&gt;$N$3),0,1))</f>
        <v>0</v>
      </c>
      <c r="P881">
        <f>IF(AND($K881=1,AND(对接源_01水果!$X881="公司筐",N(对接源_01水果!$T881)&lt;&gt;0)),1,0)</f>
        <v>0</v>
      </c>
      <c r="Q881">
        <f>N(Q880)+$P881</f>
        <v>0</v>
      </c>
      <c r="R881">
        <f>IF(AND($K881=1,AND(对接源_01水果!$X881="公司筐",N(对接源_01水果!$U881)&lt;&gt;0)),1,0)</f>
        <v>0</v>
      </c>
      <c r="S881">
        <f>N(S880)+$R881</f>
        <v>0</v>
      </c>
      <c r="T881">
        <f>IF(AND($K881=1,AND(对接源_01水果!$X881="公司筐",N(对接源_01水果!$V881)&lt;&gt;0)),1,0)</f>
        <v>0</v>
      </c>
      <c r="U881">
        <f>N(U880)+$T881</f>
        <v>47</v>
      </c>
      <c r="V881">
        <f>IF(AND($L881=1,AND(对接源_01水果!$X881="自备筐",N(对接源_01水果!$V881)&lt;&gt;0)),1,0)</f>
        <v>0</v>
      </c>
      <c r="W881">
        <f>N(W880)+$V881</f>
        <v>11</v>
      </c>
      <c r="X881">
        <f>IF(AND($L881=1,AND(对接源_01水果!$X881="自备筐",N(对接源_01水果!$T881)&lt;&gt;0)),1,0)</f>
        <v>0</v>
      </c>
      <c r="Y881">
        <f>N(Y880)+$X881</f>
        <v>0</v>
      </c>
      <c r="Z881">
        <f>IF(AND($M881=1,对接源_01水果!$D881="原料入库"),1,0)</f>
        <v>0</v>
      </c>
      <c r="AA881">
        <f>N(AA880)+$Z881</f>
        <v>24</v>
      </c>
      <c r="AB881">
        <f>IF(AND($M881=1,LEFT(对接源_01水果!$D881,4)="原料出库"),1,0)</f>
        <v>0</v>
      </c>
      <c r="AC881">
        <f>N(AC880)+$AB881</f>
        <v>0</v>
      </c>
      <c r="AD881">
        <f>IF(AND($M881=1,LEFT(对接源_01水果!$D881,4)="成品出库"),1,0)</f>
        <v>0</v>
      </c>
      <c r="AE881">
        <f>N(AE880)+$AD881</f>
        <v>0</v>
      </c>
      <c r="AF881">
        <f>IF(AND($N881=1,AND(LEFT(对接源_01水果!$D881,4)="包装物料",N(对接源_01水果!$K881)&lt;&gt;0)),1,0)</f>
        <v>0</v>
      </c>
      <c r="AG881">
        <f>N(AG880)+$AF881</f>
        <v>0</v>
      </c>
      <c r="AH881">
        <f>IF(AND($N881=1,AND(对接源_01水果!$D881="周转筐－销售出库",N(对接源_01水果!$K881)&lt;&gt;0)),1,0)</f>
        <v>0</v>
      </c>
      <c r="AI881">
        <f>N(AI880)+$AH881</f>
        <v>0</v>
      </c>
      <c r="AJ881" s="7" t="n"/>
      <c r="AL881">
        <f>IF(OR($AL$1="",对接源_01水果!$Y881="",对接源_01水果!$Y881&lt;&gt;$AL$1,对接源_01水果!$B881="",N(对接源_01水果!$AJ881)&lt;=0),0,IF(OR(N(对接源_01水果!$B881)&lt;$AL$2,N(对接源_01水果!$B881)&gt;$AL$3),0,1))</f>
        <v>0</v>
      </c>
      <c r="AM881">
        <f>N(AM880)+$AL881</f>
        <v>2</v>
      </c>
      <c r="AN881">
        <f>IF(对接源_01水果!$AC881="","",对接源_01水果!$AC881)</f>
      </c>
      <c r="AO881">
        <f>IF(AN881="",0,IF(MATCH(AN881,$AN$4:$AN$1203,0)=ROW()-3,1,0))</f>
        <v>0</v>
      </c>
      <c r="AP881">
        <f>N(AP880)+$AO881</f>
        <v>13</v>
      </c>
      <c r="AR881">
        <f>IF(OR($AF881=1,$AH881=1),1,0)</f>
        <v>0</v>
      </c>
      <c r="AS881">
        <f>N(AS880)+$AR881</f>
        <v>0</v>
      </c>
    </row>
    <row r="882" ht="14.25" customHeight="1" s="127">
      <c r="A882">
        <f>IF(对接源_01水果!$C882="","",对接源_01水果!$C882)</f>
      </c>
      <c r="B882">
        <f>IF(A882="",0,IF(MATCH(A882,$A$4:$A$2403,0)=ROW()-3,1,0))</f>
        <v>0</v>
      </c>
      <c r="C882">
        <f>N(C881)+B882</f>
        <v>22</v>
      </c>
      <c r="K882">
        <f>IF(OR($K$1="",对接源_01水果!$C882="",对接源_01水果!$C882&lt;&gt;$K$1,对接源_01水果!$B882=""),0,IF(OR(N(对接源_01水果!$B882)&lt;$K$2,N(对接源_01水果!$B882)&gt;$K$3),0,1))</f>
        <v>0</v>
      </c>
      <c r="L882">
        <f>IF(OR($L$1="",对接源_01水果!$C882="",对接源_01水果!$C882&lt;&gt;$L$1,对接源_01水果!$B882=""),0,IF(OR(N(对接源_01水果!$B882)&lt;$L$2,N(对接源_01水果!$B882)&gt;$L$3),0,1))</f>
        <v>0</v>
      </c>
      <c r="M882">
        <f>IF(OR($M$1="",对接源_01水果!$C882="",对接源_01水果!$C882&lt;&gt;$M$1,对接源_01水果!$B882=""),0,IF(OR(N(对接源_01水果!$B882)&lt;$M$2,N(对接源_01水果!$B882)&gt;$M$3),0,1))</f>
        <v>0</v>
      </c>
      <c r="N882">
        <f>IF(OR($N$1="",对接源_01水果!$C882="",对接源_01水果!$C882&lt;&gt;$N$1,对接源_01水果!$B882=""),0,IF(OR(N(对接源_01水果!$B882)&lt;$N$2,N(对接源_01水果!$B882)&gt;$N$3),0,1))</f>
        <v>0</v>
      </c>
      <c r="P882">
        <f>IF(AND($K882=1,AND(对接源_01水果!$X882="公司筐",N(对接源_01水果!$T882)&lt;&gt;0)),1,0)</f>
        <v>0</v>
      </c>
      <c r="Q882">
        <f>N(Q881)+$P882</f>
        <v>0</v>
      </c>
      <c r="R882">
        <f>IF(AND($K882=1,AND(对接源_01水果!$X882="公司筐",N(对接源_01水果!$U882)&lt;&gt;0)),1,0)</f>
        <v>0</v>
      </c>
      <c r="S882">
        <f>N(S881)+$R882</f>
        <v>0</v>
      </c>
      <c r="T882">
        <f>IF(AND($K882=1,AND(对接源_01水果!$X882="公司筐",N(对接源_01水果!$V882)&lt;&gt;0)),1,0)</f>
        <v>0</v>
      </c>
      <c r="U882">
        <f>N(U881)+$T882</f>
        <v>47</v>
      </c>
      <c r="V882">
        <f>IF(AND($L882=1,AND(对接源_01水果!$X882="自备筐",N(对接源_01水果!$V882)&lt;&gt;0)),1,0)</f>
        <v>0</v>
      </c>
      <c r="W882">
        <f>N(W881)+$V882</f>
        <v>11</v>
      </c>
      <c r="X882">
        <f>IF(AND($L882=1,AND(对接源_01水果!$X882="自备筐",N(对接源_01水果!$T882)&lt;&gt;0)),1,0)</f>
        <v>0</v>
      </c>
      <c r="Y882">
        <f>N(Y881)+$X882</f>
        <v>0</v>
      </c>
      <c r="Z882">
        <f>IF(AND($M882=1,对接源_01水果!$D882="原料入库"),1,0)</f>
        <v>0</v>
      </c>
      <c r="AA882">
        <f>N(AA881)+$Z882</f>
        <v>24</v>
      </c>
      <c r="AB882">
        <f>IF(AND($M882=1,LEFT(对接源_01水果!$D882,4)="原料出库"),1,0)</f>
        <v>0</v>
      </c>
      <c r="AC882">
        <f>N(AC881)+$AB882</f>
        <v>0</v>
      </c>
      <c r="AD882">
        <f>IF(AND($M882=1,LEFT(对接源_01水果!$D882,4)="成品出库"),1,0)</f>
        <v>0</v>
      </c>
      <c r="AE882">
        <f>N(AE881)+$AD882</f>
        <v>0</v>
      </c>
      <c r="AF882">
        <f>IF(AND($N882=1,AND(LEFT(对接源_01水果!$D882,4)="包装物料",N(对接源_01水果!$K882)&lt;&gt;0)),1,0)</f>
        <v>0</v>
      </c>
      <c r="AG882">
        <f>N(AG881)+$AF882</f>
        <v>0</v>
      </c>
      <c r="AH882">
        <f>IF(AND($N882=1,AND(对接源_01水果!$D882="周转筐－销售出库",N(对接源_01水果!$K882)&lt;&gt;0)),1,0)</f>
        <v>0</v>
      </c>
      <c r="AI882">
        <f>N(AI881)+$AH882</f>
        <v>0</v>
      </c>
      <c r="AJ882" s="7" t="n"/>
      <c r="AL882">
        <f>IF(OR($AL$1="",对接源_01水果!$Y882="",对接源_01水果!$Y882&lt;&gt;$AL$1,对接源_01水果!$B882="",N(对接源_01水果!$AJ882)&lt;=0),0,IF(OR(N(对接源_01水果!$B882)&lt;$AL$2,N(对接源_01水果!$B882)&gt;$AL$3),0,1))</f>
        <v>0</v>
      </c>
      <c r="AM882">
        <f>N(AM881)+$AL882</f>
        <v>2</v>
      </c>
      <c r="AN882">
        <f>IF(对接源_01水果!$AC882="","",对接源_01水果!$AC882)</f>
      </c>
      <c r="AO882">
        <f>IF(AN882="",0,IF(MATCH(AN882,$AN$4:$AN$1203,0)=ROW()-3,1,0))</f>
        <v>0</v>
      </c>
      <c r="AP882">
        <f>N(AP881)+$AO882</f>
        <v>13</v>
      </c>
      <c r="AR882">
        <f>IF(OR($AF882=1,$AH882=1),1,0)</f>
        <v>0</v>
      </c>
      <c r="AS882">
        <f>N(AS881)+$AR882</f>
        <v>0</v>
      </c>
    </row>
    <row r="883" ht="14.25" customHeight="1" s="127">
      <c r="A883">
        <f>IF(对接源_01水果!$C883="","",对接源_01水果!$C883)</f>
      </c>
      <c r="B883">
        <f>IF(A883="",0,IF(MATCH(A883,$A$4:$A$2403,0)=ROW()-3,1,0))</f>
        <v>0</v>
      </c>
      <c r="C883">
        <f>N(C882)+B883</f>
        <v>22</v>
      </c>
      <c r="K883">
        <f>IF(OR($K$1="",对接源_01水果!$C883="",对接源_01水果!$C883&lt;&gt;$K$1,对接源_01水果!$B883=""),0,IF(OR(N(对接源_01水果!$B883)&lt;$K$2,N(对接源_01水果!$B883)&gt;$K$3),0,1))</f>
        <v>0</v>
      </c>
      <c r="L883">
        <f>IF(OR($L$1="",对接源_01水果!$C883="",对接源_01水果!$C883&lt;&gt;$L$1,对接源_01水果!$B883=""),0,IF(OR(N(对接源_01水果!$B883)&lt;$L$2,N(对接源_01水果!$B883)&gt;$L$3),0,1))</f>
        <v>0</v>
      </c>
      <c r="M883">
        <f>IF(OR($M$1="",对接源_01水果!$C883="",对接源_01水果!$C883&lt;&gt;$M$1,对接源_01水果!$B883=""),0,IF(OR(N(对接源_01水果!$B883)&lt;$M$2,N(对接源_01水果!$B883)&gt;$M$3),0,1))</f>
        <v>0</v>
      </c>
      <c r="N883">
        <f>IF(OR($N$1="",对接源_01水果!$C883="",对接源_01水果!$C883&lt;&gt;$N$1,对接源_01水果!$B883=""),0,IF(OR(N(对接源_01水果!$B883)&lt;$N$2,N(对接源_01水果!$B883)&gt;$N$3),0,1))</f>
        <v>0</v>
      </c>
      <c r="P883">
        <f>IF(AND($K883=1,AND(对接源_01水果!$X883="公司筐",N(对接源_01水果!$T883)&lt;&gt;0)),1,0)</f>
        <v>0</v>
      </c>
      <c r="Q883">
        <f>N(Q882)+$P883</f>
        <v>0</v>
      </c>
      <c r="R883">
        <f>IF(AND($K883=1,AND(对接源_01水果!$X883="公司筐",N(对接源_01水果!$U883)&lt;&gt;0)),1,0)</f>
        <v>0</v>
      </c>
      <c r="S883">
        <f>N(S882)+$R883</f>
        <v>0</v>
      </c>
      <c r="T883">
        <f>IF(AND($K883=1,AND(对接源_01水果!$X883="公司筐",N(对接源_01水果!$V883)&lt;&gt;0)),1,0)</f>
        <v>0</v>
      </c>
      <c r="U883">
        <f>N(U882)+$T883</f>
        <v>47</v>
      </c>
      <c r="V883">
        <f>IF(AND($L883=1,AND(对接源_01水果!$X883="自备筐",N(对接源_01水果!$V883)&lt;&gt;0)),1,0)</f>
        <v>0</v>
      </c>
      <c r="W883">
        <f>N(W882)+$V883</f>
        <v>11</v>
      </c>
      <c r="X883">
        <f>IF(AND($L883=1,AND(对接源_01水果!$X883="自备筐",N(对接源_01水果!$T883)&lt;&gt;0)),1,0)</f>
        <v>0</v>
      </c>
      <c r="Y883">
        <f>N(Y882)+$X883</f>
        <v>0</v>
      </c>
      <c r="Z883">
        <f>IF(AND($M883=1,对接源_01水果!$D883="原料入库"),1,0)</f>
        <v>0</v>
      </c>
      <c r="AA883">
        <f>N(AA882)+$Z883</f>
        <v>24</v>
      </c>
      <c r="AB883">
        <f>IF(AND($M883=1,LEFT(对接源_01水果!$D883,4)="原料出库"),1,0)</f>
        <v>0</v>
      </c>
      <c r="AC883">
        <f>N(AC882)+$AB883</f>
        <v>0</v>
      </c>
      <c r="AD883">
        <f>IF(AND($M883=1,LEFT(对接源_01水果!$D883,4)="成品出库"),1,0)</f>
        <v>0</v>
      </c>
      <c r="AE883">
        <f>N(AE882)+$AD883</f>
        <v>0</v>
      </c>
      <c r="AF883">
        <f>IF(AND($N883=1,AND(LEFT(对接源_01水果!$D883,4)="包装物料",N(对接源_01水果!$K883)&lt;&gt;0)),1,0)</f>
        <v>0</v>
      </c>
      <c r="AG883">
        <f>N(AG882)+$AF883</f>
        <v>0</v>
      </c>
      <c r="AH883">
        <f>IF(AND($N883=1,AND(对接源_01水果!$D883="周转筐－销售出库",N(对接源_01水果!$K883)&lt;&gt;0)),1,0)</f>
        <v>0</v>
      </c>
      <c r="AI883">
        <f>N(AI882)+$AH883</f>
        <v>0</v>
      </c>
      <c r="AJ883" s="7" t="n"/>
      <c r="AL883">
        <f>IF(OR($AL$1="",对接源_01水果!$Y883="",对接源_01水果!$Y883&lt;&gt;$AL$1,对接源_01水果!$B883="",N(对接源_01水果!$AJ883)&lt;=0),0,IF(OR(N(对接源_01水果!$B883)&lt;$AL$2,N(对接源_01水果!$B883)&gt;$AL$3),0,1))</f>
        <v>0</v>
      </c>
      <c r="AM883">
        <f>N(AM882)+$AL883</f>
        <v>2</v>
      </c>
      <c r="AN883">
        <f>IF(对接源_01水果!$AC883="","",对接源_01水果!$AC883)</f>
      </c>
      <c r="AO883">
        <f>IF(AN883="",0,IF(MATCH(AN883,$AN$4:$AN$1203,0)=ROW()-3,1,0))</f>
        <v>0</v>
      </c>
      <c r="AP883">
        <f>N(AP882)+$AO883</f>
        <v>13</v>
      </c>
      <c r="AR883">
        <f>IF(OR($AF883=1,$AH883=1),1,0)</f>
        <v>0</v>
      </c>
      <c r="AS883">
        <f>N(AS882)+$AR883</f>
        <v>0</v>
      </c>
    </row>
    <row r="884" ht="14.25" customHeight="1" s="127">
      <c r="A884">
        <f>IF(对接源_01水果!$C884="","",对接源_01水果!$C884)</f>
      </c>
      <c r="B884">
        <f>IF(A884="",0,IF(MATCH(A884,$A$4:$A$2403,0)=ROW()-3,1,0))</f>
        <v>0</v>
      </c>
      <c r="C884">
        <f>N(C883)+B884</f>
        <v>22</v>
      </c>
      <c r="K884">
        <f>IF(OR($K$1="",对接源_01水果!$C884="",对接源_01水果!$C884&lt;&gt;$K$1,对接源_01水果!$B884=""),0,IF(OR(N(对接源_01水果!$B884)&lt;$K$2,N(对接源_01水果!$B884)&gt;$K$3),0,1))</f>
        <v>0</v>
      </c>
      <c r="L884">
        <f>IF(OR($L$1="",对接源_01水果!$C884="",对接源_01水果!$C884&lt;&gt;$L$1,对接源_01水果!$B884=""),0,IF(OR(N(对接源_01水果!$B884)&lt;$L$2,N(对接源_01水果!$B884)&gt;$L$3),0,1))</f>
        <v>0</v>
      </c>
      <c r="M884">
        <f>IF(OR($M$1="",对接源_01水果!$C884="",对接源_01水果!$C884&lt;&gt;$M$1,对接源_01水果!$B884=""),0,IF(OR(N(对接源_01水果!$B884)&lt;$M$2,N(对接源_01水果!$B884)&gt;$M$3),0,1))</f>
        <v>0</v>
      </c>
      <c r="N884">
        <f>IF(OR($N$1="",对接源_01水果!$C884="",对接源_01水果!$C884&lt;&gt;$N$1,对接源_01水果!$B884=""),0,IF(OR(N(对接源_01水果!$B884)&lt;$N$2,N(对接源_01水果!$B884)&gt;$N$3),0,1))</f>
        <v>0</v>
      </c>
      <c r="P884">
        <f>IF(AND($K884=1,AND(对接源_01水果!$X884="公司筐",N(对接源_01水果!$T884)&lt;&gt;0)),1,0)</f>
        <v>0</v>
      </c>
      <c r="Q884">
        <f>N(Q883)+$P884</f>
        <v>0</v>
      </c>
      <c r="R884">
        <f>IF(AND($K884=1,AND(对接源_01水果!$X884="公司筐",N(对接源_01水果!$U884)&lt;&gt;0)),1,0)</f>
        <v>0</v>
      </c>
      <c r="S884">
        <f>N(S883)+$R884</f>
        <v>0</v>
      </c>
      <c r="T884">
        <f>IF(AND($K884=1,AND(对接源_01水果!$X884="公司筐",N(对接源_01水果!$V884)&lt;&gt;0)),1,0)</f>
        <v>0</v>
      </c>
      <c r="U884">
        <f>N(U883)+$T884</f>
        <v>47</v>
      </c>
      <c r="V884">
        <f>IF(AND($L884=1,AND(对接源_01水果!$X884="自备筐",N(对接源_01水果!$V884)&lt;&gt;0)),1,0)</f>
        <v>0</v>
      </c>
      <c r="W884">
        <f>N(W883)+$V884</f>
        <v>11</v>
      </c>
      <c r="X884">
        <f>IF(AND($L884=1,AND(对接源_01水果!$X884="自备筐",N(对接源_01水果!$T884)&lt;&gt;0)),1,0)</f>
        <v>0</v>
      </c>
      <c r="Y884">
        <f>N(Y883)+$X884</f>
        <v>0</v>
      </c>
      <c r="Z884">
        <f>IF(AND($M884=1,对接源_01水果!$D884="原料入库"),1,0)</f>
        <v>0</v>
      </c>
      <c r="AA884">
        <f>N(AA883)+$Z884</f>
        <v>24</v>
      </c>
      <c r="AB884">
        <f>IF(AND($M884=1,LEFT(对接源_01水果!$D884,4)="原料出库"),1,0)</f>
        <v>0</v>
      </c>
      <c r="AC884">
        <f>N(AC883)+$AB884</f>
        <v>0</v>
      </c>
      <c r="AD884">
        <f>IF(AND($M884=1,LEFT(对接源_01水果!$D884,4)="成品出库"),1,0)</f>
        <v>0</v>
      </c>
      <c r="AE884">
        <f>N(AE883)+$AD884</f>
        <v>0</v>
      </c>
      <c r="AF884">
        <f>IF(AND($N884=1,AND(LEFT(对接源_01水果!$D884,4)="包装物料",N(对接源_01水果!$K884)&lt;&gt;0)),1,0)</f>
        <v>0</v>
      </c>
      <c r="AG884">
        <f>N(AG883)+$AF884</f>
        <v>0</v>
      </c>
      <c r="AH884">
        <f>IF(AND($N884=1,AND(对接源_01水果!$D884="周转筐－销售出库",N(对接源_01水果!$K884)&lt;&gt;0)),1,0)</f>
        <v>0</v>
      </c>
      <c r="AI884">
        <f>N(AI883)+$AH884</f>
        <v>0</v>
      </c>
      <c r="AJ884" s="7" t="n"/>
      <c r="AL884">
        <f>IF(OR($AL$1="",对接源_01水果!$Y884="",对接源_01水果!$Y884&lt;&gt;$AL$1,对接源_01水果!$B884="",N(对接源_01水果!$AJ884)&lt;=0),0,IF(OR(N(对接源_01水果!$B884)&lt;$AL$2,N(对接源_01水果!$B884)&gt;$AL$3),0,1))</f>
        <v>0</v>
      </c>
      <c r="AM884">
        <f>N(AM883)+$AL884</f>
        <v>2</v>
      </c>
      <c r="AN884">
        <f>IF(对接源_01水果!$AC884="","",对接源_01水果!$AC884)</f>
      </c>
      <c r="AO884">
        <f>IF(AN884="",0,IF(MATCH(AN884,$AN$4:$AN$1203,0)=ROW()-3,1,0))</f>
        <v>0</v>
      </c>
      <c r="AP884">
        <f>N(AP883)+$AO884</f>
        <v>13</v>
      </c>
      <c r="AR884">
        <f>IF(OR($AF884=1,$AH884=1),1,0)</f>
        <v>0</v>
      </c>
      <c r="AS884">
        <f>N(AS883)+$AR884</f>
        <v>0</v>
      </c>
    </row>
    <row r="885" ht="14.25" customHeight="1" s="127">
      <c r="A885">
        <f>IF(对接源_01水果!$C885="","",对接源_01水果!$C885)</f>
      </c>
      <c r="B885">
        <f>IF(A885="",0,IF(MATCH(A885,$A$4:$A$2403,0)=ROW()-3,1,0))</f>
        <v>0</v>
      </c>
      <c r="C885">
        <f>N(C884)+B885</f>
        <v>22</v>
      </c>
      <c r="K885">
        <f>IF(OR($K$1="",对接源_01水果!$C885="",对接源_01水果!$C885&lt;&gt;$K$1,对接源_01水果!$B885=""),0,IF(OR(N(对接源_01水果!$B885)&lt;$K$2,N(对接源_01水果!$B885)&gt;$K$3),0,1))</f>
        <v>0</v>
      </c>
      <c r="L885">
        <f>IF(OR($L$1="",对接源_01水果!$C885="",对接源_01水果!$C885&lt;&gt;$L$1,对接源_01水果!$B885=""),0,IF(OR(N(对接源_01水果!$B885)&lt;$L$2,N(对接源_01水果!$B885)&gt;$L$3),0,1))</f>
        <v>0</v>
      </c>
      <c r="M885">
        <f>IF(OR($M$1="",对接源_01水果!$C885="",对接源_01水果!$C885&lt;&gt;$M$1,对接源_01水果!$B885=""),0,IF(OR(N(对接源_01水果!$B885)&lt;$M$2,N(对接源_01水果!$B885)&gt;$M$3),0,1))</f>
        <v>0</v>
      </c>
      <c r="N885">
        <f>IF(OR($N$1="",对接源_01水果!$C885="",对接源_01水果!$C885&lt;&gt;$N$1,对接源_01水果!$B885=""),0,IF(OR(N(对接源_01水果!$B885)&lt;$N$2,N(对接源_01水果!$B885)&gt;$N$3),0,1))</f>
        <v>0</v>
      </c>
      <c r="P885">
        <f>IF(AND($K885=1,AND(对接源_01水果!$X885="公司筐",N(对接源_01水果!$T885)&lt;&gt;0)),1,0)</f>
        <v>0</v>
      </c>
      <c r="Q885">
        <f>N(Q884)+$P885</f>
        <v>0</v>
      </c>
      <c r="R885">
        <f>IF(AND($K885=1,AND(对接源_01水果!$X885="公司筐",N(对接源_01水果!$U885)&lt;&gt;0)),1,0)</f>
        <v>0</v>
      </c>
      <c r="S885">
        <f>N(S884)+$R885</f>
        <v>0</v>
      </c>
      <c r="T885">
        <f>IF(AND($K885=1,AND(对接源_01水果!$X885="公司筐",N(对接源_01水果!$V885)&lt;&gt;0)),1,0)</f>
        <v>0</v>
      </c>
      <c r="U885">
        <f>N(U884)+$T885</f>
        <v>47</v>
      </c>
      <c r="V885">
        <f>IF(AND($L885=1,AND(对接源_01水果!$X885="自备筐",N(对接源_01水果!$V885)&lt;&gt;0)),1,0)</f>
        <v>0</v>
      </c>
      <c r="W885">
        <f>N(W884)+$V885</f>
        <v>11</v>
      </c>
      <c r="X885">
        <f>IF(AND($L885=1,AND(对接源_01水果!$X885="自备筐",N(对接源_01水果!$T885)&lt;&gt;0)),1,0)</f>
        <v>0</v>
      </c>
      <c r="Y885">
        <f>N(Y884)+$X885</f>
        <v>0</v>
      </c>
      <c r="Z885">
        <f>IF(AND($M885=1,对接源_01水果!$D885="原料入库"),1,0)</f>
        <v>0</v>
      </c>
      <c r="AA885">
        <f>N(AA884)+$Z885</f>
        <v>24</v>
      </c>
      <c r="AB885">
        <f>IF(AND($M885=1,LEFT(对接源_01水果!$D885,4)="原料出库"),1,0)</f>
        <v>0</v>
      </c>
      <c r="AC885">
        <f>N(AC884)+$AB885</f>
        <v>0</v>
      </c>
      <c r="AD885">
        <f>IF(AND($M885=1,LEFT(对接源_01水果!$D885,4)="成品出库"),1,0)</f>
        <v>0</v>
      </c>
      <c r="AE885">
        <f>N(AE884)+$AD885</f>
        <v>0</v>
      </c>
      <c r="AF885">
        <f>IF(AND($N885=1,AND(LEFT(对接源_01水果!$D885,4)="包装物料",N(对接源_01水果!$K885)&lt;&gt;0)),1,0)</f>
        <v>0</v>
      </c>
      <c r="AG885">
        <f>N(AG884)+$AF885</f>
        <v>0</v>
      </c>
      <c r="AH885">
        <f>IF(AND($N885=1,AND(对接源_01水果!$D885="周转筐－销售出库",N(对接源_01水果!$K885)&lt;&gt;0)),1,0)</f>
        <v>0</v>
      </c>
      <c r="AI885">
        <f>N(AI884)+$AH885</f>
        <v>0</v>
      </c>
      <c r="AJ885" s="7" t="n"/>
      <c r="AL885">
        <f>IF(OR($AL$1="",对接源_01水果!$Y885="",对接源_01水果!$Y885&lt;&gt;$AL$1,对接源_01水果!$B885="",N(对接源_01水果!$AJ885)&lt;=0),0,IF(OR(N(对接源_01水果!$B885)&lt;$AL$2,N(对接源_01水果!$B885)&gt;$AL$3),0,1))</f>
        <v>0</v>
      </c>
      <c r="AM885">
        <f>N(AM884)+$AL885</f>
        <v>2</v>
      </c>
      <c r="AN885">
        <f>IF(对接源_01水果!$AC885="","",对接源_01水果!$AC885)</f>
      </c>
      <c r="AO885">
        <f>IF(AN885="",0,IF(MATCH(AN885,$AN$4:$AN$1203,0)=ROW()-3,1,0))</f>
        <v>0</v>
      </c>
      <c r="AP885">
        <f>N(AP884)+$AO885</f>
        <v>13</v>
      </c>
      <c r="AR885">
        <f>IF(OR($AF885=1,$AH885=1),1,0)</f>
        <v>0</v>
      </c>
      <c r="AS885">
        <f>N(AS884)+$AR885</f>
        <v>0</v>
      </c>
    </row>
    <row r="886" ht="14.25" customHeight="1" s="127">
      <c r="A886">
        <f>IF(对接源_01水果!$C886="","",对接源_01水果!$C886)</f>
      </c>
      <c r="B886">
        <f>IF(A886="",0,IF(MATCH(A886,$A$4:$A$2403,0)=ROW()-3,1,0))</f>
        <v>0</v>
      </c>
      <c r="C886">
        <f>N(C885)+B886</f>
        <v>22</v>
      </c>
      <c r="K886">
        <f>IF(OR($K$1="",对接源_01水果!$C886="",对接源_01水果!$C886&lt;&gt;$K$1,对接源_01水果!$B886=""),0,IF(OR(N(对接源_01水果!$B886)&lt;$K$2,N(对接源_01水果!$B886)&gt;$K$3),0,1))</f>
        <v>0</v>
      </c>
      <c r="L886">
        <f>IF(OR($L$1="",对接源_01水果!$C886="",对接源_01水果!$C886&lt;&gt;$L$1,对接源_01水果!$B886=""),0,IF(OR(N(对接源_01水果!$B886)&lt;$L$2,N(对接源_01水果!$B886)&gt;$L$3),0,1))</f>
        <v>0</v>
      </c>
      <c r="M886">
        <f>IF(OR($M$1="",对接源_01水果!$C886="",对接源_01水果!$C886&lt;&gt;$M$1,对接源_01水果!$B886=""),0,IF(OR(N(对接源_01水果!$B886)&lt;$M$2,N(对接源_01水果!$B886)&gt;$M$3),0,1))</f>
        <v>0</v>
      </c>
      <c r="N886">
        <f>IF(OR($N$1="",对接源_01水果!$C886="",对接源_01水果!$C886&lt;&gt;$N$1,对接源_01水果!$B886=""),0,IF(OR(N(对接源_01水果!$B886)&lt;$N$2,N(对接源_01水果!$B886)&gt;$N$3),0,1))</f>
        <v>0</v>
      </c>
      <c r="P886">
        <f>IF(AND($K886=1,AND(对接源_01水果!$X886="公司筐",N(对接源_01水果!$T886)&lt;&gt;0)),1,0)</f>
        <v>0</v>
      </c>
      <c r="Q886">
        <f>N(Q885)+$P886</f>
        <v>0</v>
      </c>
      <c r="R886">
        <f>IF(AND($K886=1,AND(对接源_01水果!$X886="公司筐",N(对接源_01水果!$U886)&lt;&gt;0)),1,0)</f>
        <v>0</v>
      </c>
      <c r="S886">
        <f>N(S885)+$R886</f>
        <v>0</v>
      </c>
      <c r="T886">
        <f>IF(AND($K886=1,AND(对接源_01水果!$X886="公司筐",N(对接源_01水果!$V886)&lt;&gt;0)),1,0)</f>
        <v>0</v>
      </c>
      <c r="U886">
        <f>N(U885)+$T886</f>
        <v>47</v>
      </c>
      <c r="V886">
        <f>IF(AND($L886=1,AND(对接源_01水果!$X886="自备筐",N(对接源_01水果!$V886)&lt;&gt;0)),1,0)</f>
        <v>0</v>
      </c>
      <c r="W886">
        <f>N(W885)+$V886</f>
        <v>11</v>
      </c>
      <c r="X886">
        <f>IF(AND($L886=1,AND(对接源_01水果!$X886="自备筐",N(对接源_01水果!$T886)&lt;&gt;0)),1,0)</f>
        <v>0</v>
      </c>
      <c r="Y886">
        <f>N(Y885)+$X886</f>
        <v>0</v>
      </c>
      <c r="Z886">
        <f>IF(AND($M886=1,对接源_01水果!$D886="原料入库"),1,0)</f>
        <v>0</v>
      </c>
      <c r="AA886">
        <f>N(AA885)+$Z886</f>
        <v>24</v>
      </c>
      <c r="AB886">
        <f>IF(AND($M886=1,LEFT(对接源_01水果!$D886,4)="原料出库"),1,0)</f>
        <v>0</v>
      </c>
      <c r="AC886">
        <f>N(AC885)+$AB886</f>
        <v>0</v>
      </c>
      <c r="AD886">
        <f>IF(AND($M886=1,LEFT(对接源_01水果!$D886,4)="成品出库"),1,0)</f>
        <v>0</v>
      </c>
      <c r="AE886">
        <f>N(AE885)+$AD886</f>
        <v>0</v>
      </c>
      <c r="AF886">
        <f>IF(AND($N886=1,AND(LEFT(对接源_01水果!$D886,4)="包装物料",N(对接源_01水果!$K886)&lt;&gt;0)),1,0)</f>
        <v>0</v>
      </c>
      <c r="AG886">
        <f>N(AG885)+$AF886</f>
        <v>0</v>
      </c>
      <c r="AH886">
        <f>IF(AND($N886=1,AND(对接源_01水果!$D886="周转筐－销售出库",N(对接源_01水果!$K886)&lt;&gt;0)),1,0)</f>
        <v>0</v>
      </c>
      <c r="AI886">
        <f>N(AI885)+$AH886</f>
        <v>0</v>
      </c>
      <c r="AJ886" s="7" t="n"/>
      <c r="AL886">
        <f>IF(OR($AL$1="",对接源_01水果!$Y886="",对接源_01水果!$Y886&lt;&gt;$AL$1,对接源_01水果!$B886="",N(对接源_01水果!$AJ886)&lt;=0),0,IF(OR(N(对接源_01水果!$B886)&lt;$AL$2,N(对接源_01水果!$B886)&gt;$AL$3),0,1))</f>
        <v>0</v>
      </c>
      <c r="AM886">
        <f>N(AM885)+$AL886</f>
        <v>2</v>
      </c>
      <c r="AN886">
        <f>IF(对接源_01水果!$AC886="","",对接源_01水果!$AC886)</f>
      </c>
      <c r="AO886">
        <f>IF(AN886="",0,IF(MATCH(AN886,$AN$4:$AN$1203,0)=ROW()-3,1,0))</f>
        <v>0</v>
      </c>
      <c r="AP886">
        <f>N(AP885)+$AO886</f>
        <v>13</v>
      </c>
      <c r="AR886">
        <f>IF(OR($AF886=1,$AH886=1),1,0)</f>
        <v>0</v>
      </c>
      <c r="AS886">
        <f>N(AS885)+$AR886</f>
        <v>0</v>
      </c>
    </row>
    <row r="887" ht="14.25" customHeight="1" s="127">
      <c r="A887">
        <f>IF(对接源_01水果!$C887="","",对接源_01水果!$C887)</f>
      </c>
      <c r="B887">
        <f>IF(A887="",0,IF(MATCH(A887,$A$4:$A$2403,0)=ROW()-3,1,0))</f>
        <v>0</v>
      </c>
      <c r="C887">
        <f>N(C886)+B887</f>
        <v>22</v>
      </c>
      <c r="K887">
        <f>IF(OR($K$1="",对接源_01水果!$C887="",对接源_01水果!$C887&lt;&gt;$K$1,对接源_01水果!$B887=""),0,IF(OR(N(对接源_01水果!$B887)&lt;$K$2,N(对接源_01水果!$B887)&gt;$K$3),0,1))</f>
        <v>0</v>
      </c>
      <c r="L887">
        <f>IF(OR($L$1="",对接源_01水果!$C887="",对接源_01水果!$C887&lt;&gt;$L$1,对接源_01水果!$B887=""),0,IF(OR(N(对接源_01水果!$B887)&lt;$L$2,N(对接源_01水果!$B887)&gt;$L$3),0,1))</f>
        <v>0</v>
      </c>
      <c r="M887">
        <f>IF(OR($M$1="",对接源_01水果!$C887="",对接源_01水果!$C887&lt;&gt;$M$1,对接源_01水果!$B887=""),0,IF(OR(N(对接源_01水果!$B887)&lt;$M$2,N(对接源_01水果!$B887)&gt;$M$3),0,1))</f>
        <v>0</v>
      </c>
      <c r="N887">
        <f>IF(OR($N$1="",对接源_01水果!$C887="",对接源_01水果!$C887&lt;&gt;$N$1,对接源_01水果!$B887=""),0,IF(OR(N(对接源_01水果!$B887)&lt;$N$2,N(对接源_01水果!$B887)&gt;$N$3),0,1))</f>
        <v>0</v>
      </c>
      <c r="P887">
        <f>IF(AND($K887=1,AND(对接源_01水果!$X887="公司筐",N(对接源_01水果!$T887)&lt;&gt;0)),1,0)</f>
        <v>0</v>
      </c>
      <c r="Q887">
        <f>N(Q886)+$P887</f>
        <v>0</v>
      </c>
      <c r="R887">
        <f>IF(AND($K887=1,AND(对接源_01水果!$X887="公司筐",N(对接源_01水果!$U887)&lt;&gt;0)),1,0)</f>
        <v>0</v>
      </c>
      <c r="S887">
        <f>N(S886)+$R887</f>
        <v>0</v>
      </c>
      <c r="T887">
        <f>IF(AND($K887=1,AND(对接源_01水果!$X887="公司筐",N(对接源_01水果!$V887)&lt;&gt;0)),1,0)</f>
        <v>0</v>
      </c>
      <c r="U887">
        <f>N(U886)+$T887</f>
        <v>47</v>
      </c>
      <c r="V887">
        <f>IF(AND($L887=1,AND(对接源_01水果!$X887="自备筐",N(对接源_01水果!$V887)&lt;&gt;0)),1,0)</f>
        <v>0</v>
      </c>
      <c r="W887">
        <f>N(W886)+$V887</f>
        <v>11</v>
      </c>
      <c r="X887">
        <f>IF(AND($L887=1,AND(对接源_01水果!$X887="自备筐",N(对接源_01水果!$T887)&lt;&gt;0)),1,0)</f>
        <v>0</v>
      </c>
      <c r="Y887">
        <f>N(Y886)+$X887</f>
        <v>0</v>
      </c>
      <c r="Z887">
        <f>IF(AND($M887=1,对接源_01水果!$D887="原料入库"),1,0)</f>
        <v>0</v>
      </c>
      <c r="AA887">
        <f>N(AA886)+$Z887</f>
        <v>24</v>
      </c>
      <c r="AB887">
        <f>IF(AND($M887=1,LEFT(对接源_01水果!$D887,4)="原料出库"),1,0)</f>
        <v>0</v>
      </c>
      <c r="AC887">
        <f>N(AC886)+$AB887</f>
        <v>0</v>
      </c>
      <c r="AD887">
        <f>IF(AND($M887=1,LEFT(对接源_01水果!$D887,4)="成品出库"),1,0)</f>
        <v>0</v>
      </c>
      <c r="AE887">
        <f>N(AE886)+$AD887</f>
        <v>0</v>
      </c>
      <c r="AF887">
        <f>IF(AND($N887=1,AND(LEFT(对接源_01水果!$D887,4)="包装物料",N(对接源_01水果!$K887)&lt;&gt;0)),1,0)</f>
        <v>0</v>
      </c>
      <c r="AG887">
        <f>N(AG886)+$AF887</f>
        <v>0</v>
      </c>
      <c r="AH887">
        <f>IF(AND($N887=1,AND(对接源_01水果!$D887="周转筐－销售出库",N(对接源_01水果!$K887)&lt;&gt;0)),1,0)</f>
        <v>0</v>
      </c>
      <c r="AI887">
        <f>N(AI886)+$AH887</f>
        <v>0</v>
      </c>
      <c r="AJ887" s="7" t="n"/>
      <c r="AL887">
        <f>IF(OR($AL$1="",对接源_01水果!$Y887="",对接源_01水果!$Y887&lt;&gt;$AL$1,对接源_01水果!$B887="",N(对接源_01水果!$AJ887)&lt;=0),0,IF(OR(N(对接源_01水果!$B887)&lt;$AL$2,N(对接源_01水果!$B887)&gt;$AL$3),0,1))</f>
        <v>0</v>
      </c>
      <c r="AM887">
        <f>N(AM886)+$AL887</f>
        <v>2</v>
      </c>
      <c r="AN887">
        <f>IF(对接源_01水果!$AC887="","",对接源_01水果!$AC887)</f>
      </c>
      <c r="AO887">
        <f>IF(AN887="",0,IF(MATCH(AN887,$AN$4:$AN$1203,0)=ROW()-3,1,0))</f>
        <v>0</v>
      </c>
      <c r="AP887">
        <f>N(AP886)+$AO887</f>
        <v>13</v>
      </c>
      <c r="AR887">
        <f>IF(OR($AF887=1,$AH887=1),1,0)</f>
        <v>0</v>
      </c>
      <c r="AS887">
        <f>N(AS886)+$AR887</f>
        <v>0</v>
      </c>
    </row>
    <row r="888" ht="14.25" customHeight="1" s="127">
      <c r="A888">
        <f>IF(对接源_01水果!$C888="","",对接源_01水果!$C888)</f>
      </c>
      <c r="B888">
        <f>IF(A888="",0,IF(MATCH(A888,$A$4:$A$2403,0)=ROW()-3,1,0))</f>
        <v>0</v>
      </c>
      <c r="C888">
        <f>N(C887)+B888</f>
        <v>22</v>
      </c>
      <c r="K888">
        <f>IF(OR($K$1="",对接源_01水果!$C888="",对接源_01水果!$C888&lt;&gt;$K$1,对接源_01水果!$B888=""),0,IF(OR(N(对接源_01水果!$B888)&lt;$K$2,N(对接源_01水果!$B888)&gt;$K$3),0,1))</f>
        <v>0</v>
      </c>
      <c r="L888">
        <f>IF(OR($L$1="",对接源_01水果!$C888="",对接源_01水果!$C888&lt;&gt;$L$1,对接源_01水果!$B888=""),0,IF(OR(N(对接源_01水果!$B888)&lt;$L$2,N(对接源_01水果!$B888)&gt;$L$3),0,1))</f>
        <v>0</v>
      </c>
      <c r="M888">
        <f>IF(OR($M$1="",对接源_01水果!$C888="",对接源_01水果!$C888&lt;&gt;$M$1,对接源_01水果!$B888=""),0,IF(OR(N(对接源_01水果!$B888)&lt;$M$2,N(对接源_01水果!$B888)&gt;$M$3),0,1))</f>
        <v>0</v>
      </c>
      <c r="N888">
        <f>IF(OR($N$1="",对接源_01水果!$C888="",对接源_01水果!$C888&lt;&gt;$N$1,对接源_01水果!$B888=""),0,IF(OR(N(对接源_01水果!$B888)&lt;$N$2,N(对接源_01水果!$B888)&gt;$N$3),0,1))</f>
        <v>0</v>
      </c>
      <c r="P888">
        <f>IF(AND($K888=1,AND(对接源_01水果!$X888="公司筐",N(对接源_01水果!$T888)&lt;&gt;0)),1,0)</f>
        <v>0</v>
      </c>
      <c r="Q888">
        <f>N(Q887)+$P888</f>
        <v>0</v>
      </c>
      <c r="R888">
        <f>IF(AND($K888=1,AND(对接源_01水果!$X888="公司筐",N(对接源_01水果!$U888)&lt;&gt;0)),1,0)</f>
        <v>0</v>
      </c>
      <c r="S888">
        <f>N(S887)+$R888</f>
        <v>0</v>
      </c>
      <c r="T888">
        <f>IF(AND($K888=1,AND(对接源_01水果!$X888="公司筐",N(对接源_01水果!$V888)&lt;&gt;0)),1,0)</f>
        <v>0</v>
      </c>
      <c r="U888">
        <f>N(U887)+$T888</f>
        <v>47</v>
      </c>
      <c r="V888">
        <f>IF(AND($L888=1,AND(对接源_01水果!$X888="自备筐",N(对接源_01水果!$V888)&lt;&gt;0)),1,0)</f>
        <v>0</v>
      </c>
      <c r="W888">
        <f>N(W887)+$V888</f>
        <v>11</v>
      </c>
      <c r="X888">
        <f>IF(AND($L888=1,AND(对接源_01水果!$X888="自备筐",N(对接源_01水果!$T888)&lt;&gt;0)),1,0)</f>
        <v>0</v>
      </c>
      <c r="Y888">
        <f>N(Y887)+$X888</f>
        <v>0</v>
      </c>
      <c r="Z888">
        <f>IF(AND($M888=1,对接源_01水果!$D888="原料入库"),1,0)</f>
        <v>0</v>
      </c>
      <c r="AA888">
        <f>N(AA887)+$Z888</f>
        <v>24</v>
      </c>
      <c r="AB888">
        <f>IF(AND($M888=1,LEFT(对接源_01水果!$D888,4)="原料出库"),1,0)</f>
        <v>0</v>
      </c>
      <c r="AC888">
        <f>N(AC887)+$AB888</f>
        <v>0</v>
      </c>
      <c r="AD888">
        <f>IF(AND($M888=1,LEFT(对接源_01水果!$D888,4)="成品出库"),1,0)</f>
        <v>0</v>
      </c>
      <c r="AE888">
        <f>N(AE887)+$AD888</f>
        <v>0</v>
      </c>
      <c r="AF888">
        <f>IF(AND($N888=1,AND(LEFT(对接源_01水果!$D888,4)="包装物料",N(对接源_01水果!$K888)&lt;&gt;0)),1,0)</f>
        <v>0</v>
      </c>
      <c r="AG888">
        <f>N(AG887)+$AF888</f>
        <v>0</v>
      </c>
      <c r="AH888">
        <f>IF(AND($N888=1,AND(对接源_01水果!$D888="周转筐－销售出库",N(对接源_01水果!$K888)&lt;&gt;0)),1,0)</f>
        <v>0</v>
      </c>
      <c r="AI888">
        <f>N(AI887)+$AH888</f>
        <v>0</v>
      </c>
      <c r="AJ888" s="7" t="n"/>
      <c r="AL888">
        <f>IF(OR($AL$1="",对接源_01水果!$Y888="",对接源_01水果!$Y888&lt;&gt;$AL$1,对接源_01水果!$B888="",N(对接源_01水果!$AJ888)&lt;=0),0,IF(OR(N(对接源_01水果!$B888)&lt;$AL$2,N(对接源_01水果!$B888)&gt;$AL$3),0,1))</f>
        <v>0</v>
      </c>
      <c r="AM888">
        <f>N(AM887)+$AL888</f>
        <v>2</v>
      </c>
      <c r="AN888">
        <f>IF(对接源_01水果!$AC888="","",对接源_01水果!$AC888)</f>
      </c>
      <c r="AO888">
        <f>IF(AN888="",0,IF(MATCH(AN888,$AN$4:$AN$1203,0)=ROW()-3,1,0))</f>
        <v>0</v>
      </c>
      <c r="AP888">
        <f>N(AP887)+$AO888</f>
        <v>13</v>
      </c>
      <c r="AR888">
        <f>IF(OR($AF888=1,$AH888=1),1,0)</f>
        <v>0</v>
      </c>
      <c r="AS888">
        <f>N(AS887)+$AR888</f>
        <v>0</v>
      </c>
    </row>
    <row r="889" ht="14.25" customHeight="1" s="127">
      <c r="A889">
        <f>IF(对接源_01水果!$C889="","",对接源_01水果!$C889)</f>
      </c>
      <c r="B889">
        <f>IF(A889="",0,IF(MATCH(A889,$A$4:$A$2403,0)=ROW()-3,1,0))</f>
        <v>0</v>
      </c>
      <c r="C889">
        <f>N(C888)+B889</f>
        <v>22</v>
      </c>
      <c r="K889">
        <f>IF(OR($K$1="",对接源_01水果!$C889="",对接源_01水果!$C889&lt;&gt;$K$1,对接源_01水果!$B889=""),0,IF(OR(N(对接源_01水果!$B889)&lt;$K$2,N(对接源_01水果!$B889)&gt;$K$3),0,1))</f>
        <v>0</v>
      </c>
      <c r="L889">
        <f>IF(OR($L$1="",对接源_01水果!$C889="",对接源_01水果!$C889&lt;&gt;$L$1,对接源_01水果!$B889=""),0,IF(OR(N(对接源_01水果!$B889)&lt;$L$2,N(对接源_01水果!$B889)&gt;$L$3),0,1))</f>
        <v>0</v>
      </c>
      <c r="M889">
        <f>IF(OR($M$1="",对接源_01水果!$C889="",对接源_01水果!$C889&lt;&gt;$M$1,对接源_01水果!$B889=""),0,IF(OR(N(对接源_01水果!$B889)&lt;$M$2,N(对接源_01水果!$B889)&gt;$M$3),0,1))</f>
        <v>0</v>
      </c>
      <c r="N889">
        <f>IF(OR($N$1="",对接源_01水果!$C889="",对接源_01水果!$C889&lt;&gt;$N$1,对接源_01水果!$B889=""),0,IF(OR(N(对接源_01水果!$B889)&lt;$N$2,N(对接源_01水果!$B889)&gt;$N$3),0,1))</f>
        <v>0</v>
      </c>
      <c r="P889">
        <f>IF(AND($K889=1,AND(对接源_01水果!$X889="公司筐",N(对接源_01水果!$T889)&lt;&gt;0)),1,0)</f>
        <v>0</v>
      </c>
      <c r="Q889">
        <f>N(Q888)+$P889</f>
        <v>0</v>
      </c>
      <c r="R889">
        <f>IF(AND($K889=1,AND(对接源_01水果!$X889="公司筐",N(对接源_01水果!$U889)&lt;&gt;0)),1,0)</f>
        <v>0</v>
      </c>
      <c r="S889">
        <f>N(S888)+$R889</f>
        <v>0</v>
      </c>
      <c r="T889">
        <f>IF(AND($K889=1,AND(对接源_01水果!$X889="公司筐",N(对接源_01水果!$V889)&lt;&gt;0)),1,0)</f>
        <v>0</v>
      </c>
      <c r="U889">
        <f>N(U888)+$T889</f>
        <v>47</v>
      </c>
      <c r="V889">
        <f>IF(AND($L889=1,AND(对接源_01水果!$X889="自备筐",N(对接源_01水果!$V889)&lt;&gt;0)),1,0)</f>
        <v>0</v>
      </c>
      <c r="W889">
        <f>N(W888)+$V889</f>
        <v>11</v>
      </c>
      <c r="X889">
        <f>IF(AND($L889=1,AND(对接源_01水果!$X889="自备筐",N(对接源_01水果!$T889)&lt;&gt;0)),1,0)</f>
        <v>0</v>
      </c>
      <c r="Y889">
        <f>N(Y888)+$X889</f>
        <v>0</v>
      </c>
      <c r="Z889">
        <f>IF(AND($M889=1,对接源_01水果!$D889="原料入库"),1,0)</f>
        <v>0</v>
      </c>
      <c r="AA889">
        <f>N(AA888)+$Z889</f>
        <v>24</v>
      </c>
      <c r="AB889">
        <f>IF(AND($M889=1,LEFT(对接源_01水果!$D889,4)="原料出库"),1,0)</f>
        <v>0</v>
      </c>
      <c r="AC889">
        <f>N(AC888)+$AB889</f>
        <v>0</v>
      </c>
      <c r="AD889">
        <f>IF(AND($M889=1,LEFT(对接源_01水果!$D889,4)="成品出库"),1,0)</f>
        <v>0</v>
      </c>
      <c r="AE889">
        <f>N(AE888)+$AD889</f>
        <v>0</v>
      </c>
      <c r="AF889">
        <f>IF(AND($N889=1,AND(LEFT(对接源_01水果!$D889,4)="包装物料",N(对接源_01水果!$K889)&lt;&gt;0)),1,0)</f>
        <v>0</v>
      </c>
      <c r="AG889">
        <f>N(AG888)+$AF889</f>
        <v>0</v>
      </c>
      <c r="AH889">
        <f>IF(AND($N889=1,AND(对接源_01水果!$D889="周转筐－销售出库",N(对接源_01水果!$K889)&lt;&gt;0)),1,0)</f>
        <v>0</v>
      </c>
      <c r="AI889">
        <f>N(AI888)+$AH889</f>
        <v>0</v>
      </c>
      <c r="AJ889" s="7" t="n"/>
      <c r="AL889">
        <f>IF(OR($AL$1="",对接源_01水果!$Y889="",对接源_01水果!$Y889&lt;&gt;$AL$1,对接源_01水果!$B889="",N(对接源_01水果!$AJ889)&lt;=0),0,IF(OR(N(对接源_01水果!$B889)&lt;$AL$2,N(对接源_01水果!$B889)&gt;$AL$3),0,1))</f>
        <v>0</v>
      </c>
      <c r="AM889">
        <f>N(AM888)+$AL889</f>
        <v>2</v>
      </c>
      <c r="AN889">
        <f>IF(对接源_01水果!$AC889="","",对接源_01水果!$AC889)</f>
      </c>
      <c r="AO889">
        <f>IF(AN889="",0,IF(MATCH(AN889,$AN$4:$AN$1203,0)=ROW()-3,1,0))</f>
        <v>0</v>
      </c>
      <c r="AP889">
        <f>N(AP888)+$AO889</f>
        <v>13</v>
      </c>
      <c r="AR889">
        <f>IF(OR($AF889=1,$AH889=1),1,0)</f>
        <v>0</v>
      </c>
      <c r="AS889">
        <f>N(AS888)+$AR889</f>
        <v>0</v>
      </c>
    </row>
    <row r="890" ht="14.25" customHeight="1" s="127">
      <c r="A890">
        <f>IF(对接源_01水果!$C890="","",对接源_01水果!$C890)</f>
      </c>
      <c r="B890">
        <f>IF(A890="",0,IF(MATCH(A890,$A$4:$A$2403,0)=ROW()-3,1,0))</f>
        <v>0</v>
      </c>
      <c r="C890">
        <f>N(C889)+B890</f>
        <v>22</v>
      </c>
      <c r="K890">
        <f>IF(OR($K$1="",对接源_01水果!$C890="",对接源_01水果!$C890&lt;&gt;$K$1,对接源_01水果!$B890=""),0,IF(OR(N(对接源_01水果!$B890)&lt;$K$2,N(对接源_01水果!$B890)&gt;$K$3),0,1))</f>
        <v>0</v>
      </c>
      <c r="L890">
        <f>IF(OR($L$1="",对接源_01水果!$C890="",对接源_01水果!$C890&lt;&gt;$L$1,对接源_01水果!$B890=""),0,IF(OR(N(对接源_01水果!$B890)&lt;$L$2,N(对接源_01水果!$B890)&gt;$L$3),0,1))</f>
        <v>0</v>
      </c>
      <c r="M890">
        <f>IF(OR($M$1="",对接源_01水果!$C890="",对接源_01水果!$C890&lt;&gt;$M$1,对接源_01水果!$B890=""),0,IF(OR(N(对接源_01水果!$B890)&lt;$M$2,N(对接源_01水果!$B890)&gt;$M$3),0,1))</f>
        <v>0</v>
      </c>
      <c r="N890">
        <f>IF(OR($N$1="",对接源_01水果!$C890="",对接源_01水果!$C890&lt;&gt;$N$1,对接源_01水果!$B890=""),0,IF(OR(N(对接源_01水果!$B890)&lt;$N$2,N(对接源_01水果!$B890)&gt;$N$3),0,1))</f>
        <v>0</v>
      </c>
      <c r="P890">
        <f>IF(AND($K890=1,AND(对接源_01水果!$X890="公司筐",N(对接源_01水果!$T890)&lt;&gt;0)),1,0)</f>
        <v>0</v>
      </c>
      <c r="Q890">
        <f>N(Q889)+$P890</f>
        <v>0</v>
      </c>
      <c r="R890">
        <f>IF(AND($K890=1,AND(对接源_01水果!$X890="公司筐",N(对接源_01水果!$U890)&lt;&gt;0)),1,0)</f>
        <v>0</v>
      </c>
      <c r="S890">
        <f>N(S889)+$R890</f>
        <v>0</v>
      </c>
      <c r="T890">
        <f>IF(AND($K890=1,AND(对接源_01水果!$X890="公司筐",N(对接源_01水果!$V890)&lt;&gt;0)),1,0)</f>
        <v>0</v>
      </c>
      <c r="U890">
        <f>N(U889)+$T890</f>
        <v>47</v>
      </c>
      <c r="V890">
        <f>IF(AND($L890=1,AND(对接源_01水果!$X890="自备筐",N(对接源_01水果!$V890)&lt;&gt;0)),1,0)</f>
        <v>0</v>
      </c>
      <c r="W890">
        <f>N(W889)+$V890</f>
        <v>11</v>
      </c>
      <c r="X890">
        <f>IF(AND($L890=1,AND(对接源_01水果!$X890="自备筐",N(对接源_01水果!$T890)&lt;&gt;0)),1,0)</f>
        <v>0</v>
      </c>
      <c r="Y890">
        <f>N(Y889)+$X890</f>
        <v>0</v>
      </c>
      <c r="Z890">
        <f>IF(AND($M890=1,对接源_01水果!$D890="原料入库"),1,0)</f>
        <v>0</v>
      </c>
      <c r="AA890">
        <f>N(AA889)+$Z890</f>
        <v>24</v>
      </c>
      <c r="AB890">
        <f>IF(AND($M890=1,LEFT(对接源_01水果!$D890,4)="原料出库"),1,0)</f>
        <v>0</v>
      </c>
      <c r="AC890">
        <f>N(AC889)+$AB890</f>
        <v>0</v>
      </c>
      <c r="AD890">
        <f>IF(AND($M890=1,LEFT(对接源_01水果!$D890,4)="成品出库"),1,0)</f>
        <v>0</v>
      </c>
      <c r="AE890">
        <f>N(AE889)+$AD890</f>
        <v>0</v>
      </c>
      <c r="AF890">
        <f>IF(AND($N890=1,AND(LEFT(对接源_01水果!$D890,4)="包装物料",N(对接源_01水果!$K890)&lt;&gt;0)),1,0)</f>
        <v>0</v>
      </c>
      <c r="AG890">
        <f>N(AG889)+$AF890</f>
        <v>0</v>
      </c>
      <c r="AH890">
        <f>IF(AND($N890=1,AND(对接源_01水果!$D890="周转筐－销售出库",N(对接源_01水果!$K890)&lt;&gt;0)),1,0)</f>
        <v>0</v>
      </c>
      <c r="AI890">
        <f>N(AI889)+$AH890</f>
        <v>0</v>
      </c>
      <c r="AJ890" s="7" t="n"/>
      <c r="AL890">
        <f>IF(OR($AL$1="",对接源_01水果!$Y890="",对接源_01水果!$Y890&lt;&gt;$AL$1,对接源_01水果!$B890="",N(对接源_01水果!$AJ890)&lt;=0),0,IF(OR(N(对接源_01水果!$B890)&lt;$AL$2,N(对接源_01水果!$B890)&gt;$AL$3),0,1))</f>
        <v>0</v>
      </c>
      <c r="AM890">
        <f>N(AM889)+$AL890</f>
        <v>2</v>
      </c>
      <c r="AN890">
        <f>IF(对接源_01水果!$AC890="","",对接源_01水果!$AC890)</f>
      </c>
      <c r="AO890">
        <f>IF(AN890="",0,IF(MATCH(AN890,$AN$4:$AN$1203,0)=ROW()-3,1,0))</f>
        <v>0</v>
      </c>
      <c r="AP890">
        <f>N(AP889)+$AO890</f>
        <v>13</v>
      </c>
      <c r="AR890">
        <f>IF(OR($AF890=1,$AH890=1),1,0)</f>
        <v>0</v>
      </c>
      <c r="AS890">
        <f>N(AS889)+$AR890</f>
        <v>0</v>
      </c>
    </row>
    <row r="891" ht="14.25" customHeight="1" s="127">
      <c r="A891">
        <f>IF(对接源_01水果!$C891="","",对接源_01水果!$C891)</f>
      </c>
      <c r="B891">
        <f>IF(A891="",0,IF(MATCH(A891,$A$4:$A$2403,0)=ROW()-3,1,0))</f>
        <v>0</v>
      </c>
      <c r="C891">
        <f>N(C890)+B891</f>
        <v>22</v>
      </c>
      <c r="K891">
        <f>IF(OR($K$1="",对接源_01水果!$C891="",对接源_01水果!$C891&lt;&gt;$K$1,对接源_01水果!$B891=""),0,IF(OR(N(对接源_01水果!$B891)&lt;$K$2,N(对接源_01水果!$B891)&gt;$K$3),0,1))</f>
        <v>0</v>
      </c>
      <c r="L891">
        <f>IF(OR($L$1="",对接源_01水果!$C891="",对接源_01水果!$C891&lt;&gt;$L$1,对接源_01水果!$B891=""),0,IF(OR(N(对接源_01水果!$B891)&lt;$L$2,N(对接源_01水果!$B891)&gt;$L$3),0,1))</f>
        <v>0</v>
      </c>
      <c r="M891">
        <f>IF(OR($M$1="",对接源_01水果!$C891="",对接源_01水果!$C891&lt;&gt;$M$1,对接源_01水果!$B891=""),0,IF(OR(N(对接源_01水果!$B891)&lt;$M$2,N(对接源_01水果!$B891)&gt;$M$3),0,1))</f>
        <v>0</v>
      </c>
      <c r="N891">
        <f>IF(OR($N$1="",对接源_01水果!$C891="",对接源_01水果!$C891&lt;&gt;$N$1,对接源_01水果!$B891=""),0,IF(OR(N(对接源_01水果!$B891)&lt;$N$2,N(对接源_01水果!$B891)&gt;$N$3),0,1))</f>
        <v>0</v>
      </c>
      <c r="P891">
        <f>IF(AND($K891=1,AND(对接源_01水果!$X891="公司筐",N(对接源_01水果!$T891)&lt;&gt;0)),1,0)</f>
        <v>0</v>
      </c>
      <c r="Q891">
        <f>N(Q890)+$P891</f>
        <v>0</v>
      </c>
      <c r="R891">
        <f>IF(AND($K891=1,AND(对接源_01水果!$X891="公司筐",N(对接源_01水果!$U891)&lt;&gt;0)),1,0)</f>
        <v>0</v>
      </c>
      <c r="S891">
        <f>N(S890)+$R891</f>
        <v>0</v>
      </c>
      <c r="T891">
        <f>IF(AND($K891=1,AND(对接源_01水果!$X891="公司筐",N(对接源_01水果!$V891)&lt;&gt;0)),1,0)</f>
        <v>0</v>
      </c>
      <c r="U891">
        <f>N(U890)+$T891</f>
        <v>47</v>
      </c>
      <c r="V891">
        <f>IF(AND($L891=1,AND(对接源_01水果!$X891="自备筐",N(对接源_01水果!$V891)&lt;&gt;0)),1,0)</f>
        <v>0</v>
      </c>
      <c r="W891">
        <f>N(W890)+$V891</f>
        <v>11</v>
      </c>
      <c r="X891">
        <f>IF(AND($L891=1,AND(对接源_01水果!$X891="自备筐",N(对接源_01水果!$T891)&lt;&gt;0)),1,0)</f>
        <v>0</v>
      </c>
      <c r="Y891">
        <f>N(Y890)+$X891</f>
        <v>0</v>
      </c>
      <c r="Z891">
        <f>IF(AND($M891=1,对接源_01水果!$D891="原料入库"),1,0)</f>
        <v>0</v>
      </c>
      <c r="AA891">
        <f>N(AA890)+$Z891</f>
        <v>24</v>
      </c>
      <c r="AB891">
        <f>IF(AND($M891=1,LEFT(对接源_01水果!$D891,4)="原料出库"),1,0)</f>
        <v>0</v>
      </c>
      <c r="AC891">
        <f>N(AC890)+$AB891</f>
        <v>0</v>
      </c>
      <c r="AD891">
        <f>IF(AND($M891=1,LEFT(对接源_01水果!$D891,4)="成品出库"),1,0)</f>
        <v>0</v>
      </c>
      <c r="AE891">
        <f>N(AE890)+$AD891</f>
        <v>0</v>
      </c>
      <c r="AF891">
        <f>IF(AND($N891=1,AND(LEFT(对接源_01水果!$D891,4)="包装物料",N(对接源_01水果!$K891)&lt;&gt;0)),1,0)</f>
        <v>0</v>
      </c>
      <c r="AG891">
        <f>N(AG890)+$AF891</f>
        <v>0</v>
      </c>
      <c r="AH891">
        <f>IF(AND($N891=1,AND(对接源_01水果!$D891="周转筐－销售出库",N(对接源_01水果!$K891)&lt;&gt;0)),1,0)</f>
        <v>0</v>
      </c>
      <c r="AI891">
        <f>N(AI890)+$AH891</f>
        <v>0</v>
      </c>
      <c r="AJ891" s="7" t="n"/>
      <c r="AL891">
        <f>IF(OR($AL$1="",对接源_01水果!$Y891="",对接源_01水果!$Y891&lt;&gt;$AL$1,对接源_01水果!$B891="",N(对接源_01水果!$AJ891)&lt;=0),0,IF(OR(N(对接源_01水果!$B891)&lt;$AL$2,N(对接源_01水果!$B891)&gt;$AL$3),0,1))</f>
        <v>0</v>
      </c>
      <c r="AM891">
        <f>N(AM890)+$AL891</f>
        <v>2</v>
      </c>
      <c r="AN891">
        <f>IF(对接源_01水果!$AC891="","",对接源_01水果!$AC891)</f>
      </c>
      <c r="AO891">
        <f>IF(AN891="",0,IF(MATCH(AN891,$AN$4:$AN$1203,0)=ROW()-3,1,0))</f>
        <v>0</v>
      </c>
      <c r="AP891">
        <f>N(AP890)+$AO891</f>
        <v>13</v>
      </c>
      <c r="AR891">
        <f>IF(OR($AF891=1,$AH891=1),1,0)</f>
        <v>0</v>
      </c>
      <c r="AS891">
        <f>N(AS890)+$AR891</f>
        <v>0</v>
      </c>
    </row>
    <row r="892" ht="14.25" customHeight="1" s="127">
      <c r="A892">
        <f>IF(对接源_01水果!$C892="","",对接源_01水果!$C892)</f>
      </c>
      <c r="B892">
        <f>IF(A892="",0,IF(MATCH(A892,$A$4:$A$2403,0)=ROW()-3,1,0))</f>
        <v>0</v>
      </c>
      <c r="C892">
        <f>N(C891)+B892</f>
        <v>22</v>
      </c>
      <c r="K892">
        <f>IF(OR($K$1="",对接源_01水果!$C892="",对接源_01水果!$C892&lt;&gt;$K$1,对接源_01水果!$B892=""),0,IF(OR(N(对接源_01水果!$B892)&lt;$K$2,N(对接源_01水果!$B892)&gt;$K$3),0,1))</f>
        <v>0</v>
      </c>
      <c r="L892">
        <f>IF(OR($L$1="",对接源_01水果!$C892="",对接源_01水果!$C892&lt;&gt;$L$1,对接源_01水果!$B892=""),0,IF(OR(N(对接源_01水果!$B892)&lt;$L$2,N(对接源_01水果!$B892)&gt;$L$3),0,1))</f>
        <v>0</v>
      </c>
      <c r="M892">
        <f>IF(OR($M$1="",对接源_01水果!$C892="",对接源_01水果!$C892&lt;&gt;$M$1,对接源_01水果!$B892=""),0,IF(OR(N(对接源_01水果!$B892)&lt;$M$2,N(对接源_01水果!$B892)&gt;$M$3),0,1))</f>
        <v>0</v>
      </c>
      <c r="N892">
        <f>IF(OR($N$1="",对接源_01水果!$C892="",对接源_01水果!$C892&lt;&gt;$N$1,对接源_01水果!$B892=""),0,IF(OR(N(对接源_01水果!$B892)&lt;$N$2,N(对接源_01水果!$B892)&gt;$N$3),0,1))</f>
        <v>0</v>
      </c>
      <c r="P892">
        <f>IF(AND($K892=1,AND(对接源_01水果!$X892="公司筐",N(对接源_01水果!$T892)&lt;&gt;0)),1,0)</f>
        <v>0</v>
      </c>
      <c r="Q892">
        <f>N(Q891)+$P892</f>
        <v>0</v>
      </c>
      <c r="R892">
        <f>IF(AND($K892=1,AND(对接源_01水果!$X892="公司筐",N(对接源_01水果!$U892)&lt;&gt;0)),1,0)</f>
        <v>0</v>
      </c>
      <c r="S892">
        <f>N(S891)+$R892</f>
        <v>0</v>
      </c>
      <c r="T892">
        <f>IF(AND($K892=1,AND(对接源_01水果!$X892="公司筐",N(对接源_01水果!$V892)&lt;&gt;0)),1,0)</f>
        <v>0</v>
      </c>
      <c r="U892">
        <f>N(U891)+$T892</f>
        <v>47</v>
      </c>
      <c r="V892">
        <f>IF(AND($L892=1,AND(对接源_01水果!$X892="自备筐",N(对接源_01水果!$V892)&lt;&gt;0)),1,0)</f>
        <v>0</v>
      </c>
      <c r="W892">
        <f>N(W891)+$V892</f>
        <v>11</v>
      </c>
      <c r="X892">
        <f>IF(AND($L892=1,AND(对接源_01水果!$X892="自备筐",N(对接源_01水果!$T892)&lt;&gt;0)),1,0)</f>
        <v>0</v>
      </c>
      <c r="Y892">
        <f>N(Y891)+$X892</f>
        <v>0</v>
      </c>
      <c r="Z892">
        <f>IF(AND($M892=1,对接源_01水果!$D892="原料入库"),1,0)</f>
        <v>0</v>
      </c>
      <c r="AA892">
        <f>N(AA891)+$Z892</f>
        <v>24</v>
      </c>
      <c r="AB892">
        <f>IF(AND($M892=1,LEFT(对接源_01水果!$D892,4)="原料出库"),1,0)</f>
        <v>0</v>
      </c>
      <c r="AC892">
        <f>N(AC891)+$AB892</f>
        <v>0</v>
      </c>
      <c r="AD892">
        <f>IF(AND($M892=1,LEFT(对接源_01水果!$D892,4)="成品出库"),1,0)</f>
        <v>0</v>
      </c>
      <c r="AE892">
        <f>N(AE891)+$AD892</f>
        <v>0</v>
      </c>
      <c r="AF892">
        <f>IF(AND($N892=1,AND(LEFT(对接源_01水果!$D892,4)="包装物料",N(对接源_01水果!$K892)&lt;&gt;0)),1,0)</f>
        <v>0</v>
      </c>
      <c r="AG892">
        <f>N(AG891)+$AF892</f>
        <v>0</v>
      </c>
      <c r="AH892">
        <f>IF(AND($N892=1,AND(对接源_01水果!$D892="周转筐－销售出库",N(对接源_01水果!$K892)&lt;&gt;0)),1,0)</f>
        <v>0</v>
      </c>
      <c r="AI892">
        <f>N(AI891)+$AH892</f>
        <v>0</v>
      </c>
      <c r="AJ892" s="7" t="n"/>
      <c r="AL892">
        <f>IF(OR($AL$1="",对接源_01水果!$Y892="",对接源_01水果!$Y892&lt;&gt;$AL$1,对接源_01水果!$B892="",N(对接源_01水果!$AJ892)&lt;=0),0,IF(OR(N(对接源_01水果!$B892)&lt;$AL$2,N(对接源_01水果!$B892)&gt;$AL$3),0,1))</f>
        <v>0</v>
      </c>
      <c r="AM892">
        <f>N(AM891)+$AL892</f>
        <v>2</v>
      </c>
      <c r="AN892">
        <f>IF(对接源_01水果!$AC892="","",对接源_01水果!$AC892)</f>
      </c>
      <c r="AO892">
        <f>IF(AN892="",0,IF(MATCH(AN892,$AN$4:$AN$1203,0)=ROW()-3,1,0))</f>
        <v>0</v>
      </c>
      <c r="AP892">
        <f>N(AP891)+$AO892</f>
        <v>13</v>
      </c>
      <c r="AR892">
        <f>IF(OR($AF892=1,$AH892=1),1,0)</f>
        <v>0</v>
      </c>
      <c r="AS892">
        <f>N(AS891)+$AR892</f>
        <v>0</v>
      </c>
    </row>
    <row r="893" ht="14.25" customHeight="1" s="127">
      <c r="A893">
        <f>IF(对接源_01水果!$C893="","",对接源_01水果!$C893)</f>
      </c>
      <c r="B893">
        <f>IF(A893="",0,IF(MATCH(A893,$A$4:$A$2403,0)=ROW()-3,1,0))</f>
        <v>0</v>
      </c>
      <c r="C893">
        <f>N(C892)+B893</f>
        <v>22</v>
      </c>
      <c r="K893">
        <f>IF(OR($K$1="",对接源_01水果!$C893="",对接源_01水果!$C893&lt;&gt;$K$1,对接源_01水果!$B893=""),0,IF(OR(N(对接源_01水果!$B893)&lt;$K$2,N(对接源_01水果!$B893)&gt;$K$3),0,1))</f>
        <v>0</v>
      </c>
      <c r="L893">
        <f>IF(OR($L$1="",对接源_01水果!$C893="",对接源_01水果!$C893&lt;&gt;$L$1,对接源_01水果!$B893=""),0,IF(OR(N(对接源_01水果!$B893)&lt;$L$2,N(对接源_01水果!$B893)&gt;$L$3),0,1))</f>
        <v>0</v>
      </c>
      <c r="M893">
        <f>IF(OR($M$1="",对接源_01水果!$C893="",对接源_01水果!$C893&lt;&gt;$M$1,对接源_01水果!$B893=""),0,IF(OR(N(对接源_01水果!$B893)&lt;$M$2,N(对接源_01水果!$B893)&gt;$M$3),0,1))</f>
        <v>0</v>
      </c>
      <c r="N893">
        <f>IF(OR($N$1="",对接源_01水果!$C893="",对接源_01水果!$C893&lt;&gt;$N$1,对接源_01水果!$B893=""),0,IF(OR(N(对接源_01水果!$B893)&lt;$N$2,N(对接源_01水果!$B893)&gt;$N$3),0,1))</f>
        <v>0</v>
      </c>
      <c r="P893">
        <f>IF(AND($K893=1,AND(对接源_01水果!$X893="公司筐",N(对接源_01水果!$T893)&lt;&gt;0)),1,0)</f>
        <v>0</v>
      </c>
      <c r="Q893">
        <f>N(Q892)+$P893</f>
        <v>0</v>
      </c>
      <c r="R893">
        <f>IF(AND($K893=1,AND(对接源_01水果!$X893="公司筐",N(对接源_01水果!$U893)&lt;&gt;0)),1,0)</f>
        <v>0</v>
      </c>
      <c r="S893">
        <f>N(S892)+$R893</f>
        <v>0</v>
      </c>
      <c r="T893">
        <f>IF(AND($K893=1,AND(对接源_01水果!$X893="公司筐",N(对接源_01水果!$V893)&lt;&gt;0)),1,0)</f>
        <v>0</v>
      </c>
      <c r="U893">
        <f>N(U892)+$T893</f>
        <v>47</v>
      </c>
      <c r="V893">
        <f>IF(AND($L893=1,AND(对接源_01水果!$X893="自备筐",N(对接源_01水果!$V893)&lt;&gt;0)),1,0)</f>
        <v>0</v>
      </c>
      <c r="W893">
        <f>N(W892)+$V893</f>
        <v>11</v>
      </c>
      <c r="X893">
        <f>IF(AND($L893=1,AND(对接源_01水果!$X893="自备筐",N(对接源_01水果!$T893)&lt;&gt;0)),1,0)</f>
        <v>0</v>
      </c>
      <c r="Y893">
        <f>N(Y892)+$X893</f>
        <v>0</v>
      </c>
      <c r="Z893">
        <f>IF(AND($M893=1,对接源_01水果!$D893="原料入库"),1,0)</f>
        <v>0</v>
      </c>
      <c r="AA893">
        <f>N(AA892)+$Z893</f>
        <v>24</v>
      </c>
      <c r="AB893">
        <f>IF(AND($M893=1,LEFT(对接源_01水果!$D893,4)="原料出库"),1,0)</f>
        <v>0</v>
      </c>
      <c r="AC893">
        <f>N(AC892)+$AB893</f>
        <v>0</v>
      </c>
      <c r="AD893">
        <f>IF(AND($M893=1,LEFT(对接源_01水果!$D893,4)="成品出库"),1,0)</f>
        <v>0</v>
      </c>
      <c r="AE893">
        <f>N(AE892)+$AD893</f>
        <v>0</v>
      </c>
      <c r="AF893">
        <f>IF(AND($N893=1,AND(LEFT(对接源_01水果!$D893,4)="包装物料",N(对接源_01水果!$K893)&lt;&gt;0)),1,0)</f>
        <v>0</v>
      </c>
      <c r="AG893">
        <f>N(AG892)+$AF893</f>
        <v>0</v>
      </c>
      <c r="AH893">
        <f>IF(AND($N893=1,AND(对接源_01水果!$D893="周转筐－销售出库",N(对接源_01水果!$K893)&lt;&gt;0)),1,0)</f>
        <v>0</v>
      </c>
      <c r="AI893">
        <f>N(AI892)+$AH893</f>
        <v>0</v>
      </c>
      <c r="AJ893" s="7" t="n"/>
      <c r="AL893">
        <f>IF(OR($AL$1="",对接源_01水果!$Y893="",对接源_01水果!$Y893&lt;&gt;$AL$1,对接源_01水果!$B893="",N(对接源_01水果!$AJ893)&lt;=0),0,IF(OR(N(对接源_01水果!$B893)&lt;$AL$2,N(对接源_01水果!$B893)&gt;$AL$3),0,1))</f>
        <v>0</v>
      </c>
      <c r="AM893">
        <f>N(AM892)+$AL893</f>
        <v>2</v>
      </c>
      <c r="AN893">
        <f>IF(对接源_01水果!$AC893="","",对接源_01水果!$AC893)</f>
      </c>
      <c r="AO893">
        <f>IF(AN893="",0,IF(MATCH(AN893,$AN$4:$AN$1203,0)=ROW()-3,1,0))</f>
        <v>0</v>
      </c>
      <c r="AP893">
        <f>N(AP892)+$AO893</f>
        <v>13</v>
      </c>
      <c r="AR893">
        <f>IF(OR($AF893=1,$AH893=1),1,0)</f>
        <v>0</v>
      </c>
      <c r="AS893">
        <f>N(AS892)+$AR893</f>
        <v>0</v>
      </c>
    </row>
    <row r="894" ht="14.25" customHeight="1" s="127">
      <c r="A894">
        <f>IF(对接源_01水果!$C894="","",对接源_01水果!$C894)</f>
      </c>
      <c r="B894">
        <f>IF(A894="",0,IF(MATCH(A894,$A$4:$A$2403,0)=ROW()-3,1,0))</f>
        <v>0</v>
      </c>
      <c r="C894">
        <f>N(C893)+B894</f>
        <v>22</v>
      </c>
      <c r="K894">
        <f>IF(OR($K$1="",对接源_01水果!$C894="",对接源_01水果!$C894&lt;&gt;$K$1,对接源_01水果!$B894=""),0,IF(OR(N(对接源_01水果!$B894)&lt;$K$2,N(对接源_01水果!$B894)&gt;$K$3),0,1))</f>
        <v>0</v>
      </c>
      <c r="L894">
        <f>IF(OR($L$1="",对接源_01水果!$C894="",对接源_01水果!$C894&lt;&gt;$L$1,对接源_01水果!$B894=""),0,IF(OR(N(对接源_01水果!$B894)&lt;$L$2,N(对接源_01水果!$B894)&gt;$L$3),0,1))</f>
        <v>0</v>
      </c>
      <c r="M894">
        <f>IF(OR($M$1="",对接源_01水果!$C894="",对接源_01水果!$C894&lt;&gt;$M$1,对接源_01水果!$B894=""),0,IF(OR(N(对接源_01水果!$B894)&lt;$M$2,N(对接源_01水果!$B894)&gt;$M$3),0,1))</f>
        <v>0</v>
      </c>
      <c r="N894">
        <f>IF(OR($N$1="",对接源_01水果!$C894="",对接源_01水果!$C894&lt;&gt;$N$1,对接源_01水果!$B894=""),0,IF(OR(N(对接源_01水果!$B894)&lt;$N$2,N(对接源_01水果!$B894)&gt;$N$3),0,1))</f>
        <v>0</v>
      </c>
      <c r="P894">
        <f>IF(AND($K894=1,AND(对接源_01水果!$X894="公司筐",N(对接源_01水果!$T894)&lt;&gt;0)),1,0)</f>
        <v>0</v>
      </c>
      <c r="Q894">
        <f>N(Q893)+$P894</f>
        <v>0</v>
      </c>
      <c r="R894">
        <f>IF(AND($K894=1,AND(对接源_01水果!$X894="公司筐",N(对接源_01水果!$U894)&lt;&gt;0)),1,0)</f>
        <v>0</v>
      </c>
      <c r="S894">
        <f>N(S893)+$R894</f>
        <v>0</v>
      </c>
      <c r="T894">
        <f>IF(AND($K894=1,AND(对接源_01水果!$X894="公司筐",N(对接源_01水果!$V894)&lt;&gt;0)),1,0)</f>
        <v>0</v>
      </c>
      <c r="U894">
        <f>N(U893)+$T894</f>
        <v>47</v>
      </c>
      <c r="V894">
        <f>IF(AND($L894=1,AND(对接源_01水果!$X894="自备筐",N(对接源_01水果!$V894)&lt;&gt;0)),1,0)</f>
        <v>0</v>
      </c>
      <c r="W894">
        <f>N(W893)+$V894</f>
        <v>11</v>
      </c>
      <c r="X894">
        <f>IF(AND($L894=1,AND(对接源_01水果!$X894="自备筐",N(对接源_01水果!$T894)&lt;&gt;0)),1,0)</f>
        <v>0</v>
      </c>
      <c r="Y894">
        <f>N(Y893)+$X894</f>
        <v>0</v>
      </c>
      <c r="Z894">
        <f>IF(AND($M894=1,对接源_01水果!$D894="原料入库"),1,0)</f>
        <v>0</v>
      </c>
      <c r="AA894">
        <f>N(AA893)+$Z894</f>
        <v>24</v>
      </c>
      <c r="AB894">
        <f>IF(AND($M894=1,LEFT(对接源_01水果!$D894,4)="原料出库"),1,0)</f>
        <v>0</v>
      </c>
      <c r="AC894">
        <f>N(AC893)+$AB894</f>
        <v>0</v>
      </c>
      <c r="AD894">
        <f>IF(AND($M894=1,LEFT(对接源_01水果!$D894,4)="成品出库"),1,0)</f>
        <v>0</v>
      </c>
      <c r="AE894">
        <f>N(AE893)+$AD894</f>
        <v>0</v>
      </c>
      <c r="AF894">
        <f>IF(AND($N894=1,AND(LEFT(对接源_01水果!$D894,4)="包装物料",N(对接源_01水果!$K894)&lt;&gt;0)),1,0)</f>
        <v>0</v>
      </c>
      <c r="AG894">
        <f>N(AG893)+$AF894</f>
        <v>0</v>
      </c>
      <c r="AH894">
        <f>IF(AND($N894=1,AND(对接源_01水果!$D894="周转筐－销售出库",N(对接源_01水果!$K894)&lt;&gt;0)),1,0)</f>
        <v>0</v>
      </c>
      <c r="AI894">
        <f>N(AI893)+$AH894</f>
        <v>0</v>
      </c>
      <c r="AJ894" s="7" t="n"/>
      <c r="AL894">
        <f>IF(OR($AL$1="",对接源_01水果!$Y894="",对接源_01水果!$Y894&lt;&gt;$AL$1,对接源_01水果!$B894="",N(对接源_01水果!$AJ894)&lt;=0),0,IF(OR(N(对接源_01水果!$B894)&lt;$AL$2,N(对接源_01水果!$B894)&gt;$AL$3),0,1))</f>
        <v>0</v>
      </c>
      <c r="AM894">
        <f>N(AM893)+$AL894</f>
        <v>2</v>
      </c>
      <c r="AN894">
        <f>IF(对接源_01水果!$AC894="","",对接源_01水果!$AC894)</f>
      </c>
      <c r="AO894">
        <f>IF(AN894="",0,IF(MATCH(AN894,$AN$4:$AN$1203,0)=ROW()-3,1,0))</f>
        <v>0</v>
      </c>
      <c r="AP894">
        <f>N(AP893)+$AO894</f>
        <v>13</v>
      </c>
      <c r="AR894">
        <f>IF(OR($AF894=1,$AH894=1),1,0)</f>
        <v>0</v>
      </c>
      <c r="AS894">
        <f>N(AS893)+$AR894</f>
        <v>0</v>
      </c>
    </row>
    <row r="895" ht="14.25" customHeight="1" s="127">
      <c r="A895">
        <f>IF(对接源_01水果!$C895="","",对接源_01水果!$C895)</f>
      </c>
      <c r="B895">
        <f>IF(A895="",0,IF(MATCH(A895,$A$4:$A$2403,0)=ROW()-3,1,0))</f>
        <v>0</v>
      </c>
      <c r="C895">
        <f>N(C894)+B895</f>
        <v>22</v>
      </c>
      <c r="K895">
        <f>IF(OR($K$1="",对接源_01水果!$C895="",对接源_01水果!$C895&lt;&gt;$K$1,对接源_01水果!$B895=""),0,IF(OR(N(对接源_01水果!$B895)&lt;$K$2,N(对接源_01水果!$B895)&gt;$K$3),0,1))</f>
        <v>0</v>
      </c>
      <c r="L895">
        <f>IF(OR($L$1="",对接源_01水果!$C895="",对接源_01水果!$C895&lt;&gt;$L$1,对接源_01水果!$B895=""),0,IF(OR(N(对接源_01水果!$B895)&lt;$L$2,N(对接源_01水果!$B895)&gt;$L$3),0,1))</f>
        <v>0</v>
      </c>
      <c r="M895">
        <f>IF(OR($M$1="",对接源_01水果!$C895="",对接源_01水果!$C895&lt;&gt;$M$1,对接源_01水果!$B895=""),0,IF(OR(N(对接源_01水果!$B895)&lt;$M$2,N(对接源_01水果!$B895)&gt;$M$3),0,1))</f>
        <v>0</v>
      </c>
      <c r="N895">
        <f>IF(OR($N$1="",对接源_01水果!$C895="",对接源_01水果!$C895&lt;&gt;$N$1,对接源_01水果!$B895=""),0,IF(OR(N(对接源_01水果!$B895)&lt;$N$2,N(对接源_01水果!$B895)&gt;$N$3),0,1))</f>
        <v>0</v>
      </c>
      <c r="P895">
        <f>IF(AND($K895=1,AND(对接源_01水果!$X895="公司筐",N(对接源_01水果!$T895)&lt;&gt;0)),1,0)</f>
        <v>0</v>
      </c>
      <c r="Q895">
        <f>N(Q894)+$P895</f>
        <v>0</v>
      </c>
      <c r="R895">
        <f>IF(AND($K895=1,AND(对接源_01水果!$X895="公司筐",N(对接源_01水果!$U895)&lt;&gt;0)),1,0)</f>
        <v>0</v>
      </c>
      <c r="S895">
        <f>N(S894)+$R895</f>
        <v>0</v>
      </c>
      <c r="T895">
        <f>IF(AND($K895=1,AND(对接源_01水果!$X895="公司筐",N(对接源_01水果!$V895)&lt;&gt;0)),1,0)</f>
        <v>0</v>
      </c>
      <c r="U895">
        <f>N(U894)+$T895</f>
        <v>47</v>
      </c>
      <c r="V895">
        <f>IF(AND($L895=1,AND(对接源_01水果!$X895="自备筐",N(对接源_01水果!$V895)&lt;&gt;0)),1,0)</f>
        <v>0</v>
      </c>
      <c r="W895">
        <f>N(W894)+$V895</f>
        <v>11</v>
      </c>
      <c r="X895">
        <f>IF(AND($L895=1,AND(对接源_01水果!$X895="自备筐",N(对接源_01水果!$T895)&lt;&gt;0)),1,0)</f>
        <v>0</v>
      </c>
      <c r="Y895">
        <f>N(Y894)+$X895</f>
        <v>0</v>
      </c>
      <c r="Z895">
        <f>IF(AND($M895=1,对接源_01水果!$D895="原料入库"),1,0)</f>
        <v>0</v>
      </c>
      <c r="AA895">
        <f>N(AA894)+$Z895</f>
        <v>24</v>
      </c>
      <c r="AB895">
        <f>IF(AND($M895=1,LEFT(对接源_01水果!$D895,4)="原料出库"),1,0)</f>
        <v>0</v>
      </c>
      <c r="AC895">
        <f>N(AC894)+$AB895</f>
        <v>0</v>
      </c>
      <c r="AD895">
        <f>IF(AND($M895=1,LEFT(对接源_01水果!$D895,4)="成品出库"),1,0)</f>
        <v>0</v>
      </c>
      <c r="AE895">
        <f>N(AE894)+$AD895</f>
        <v>0</v>
      </c>
      <c r="AF895">
        <f>IF(AND($N895=1,AND(LEFT(对接源_01水果!$D895,4)="包装物料",N(对接源_01水果!$K895)&lt;&gt;0)),1,0)</f>
        <v>0</v>
      </c>
      <c r="AG895">
        <f>N(AG894)+$AF895</f>
        <v>0</v>
      </c>
      <c r="AH895">
        <f>IF(AND($N895=1,AND(对接源_01水果!$D895="周转筐－销售出库",N(对接源_01水果!$K895)&lt;&gt;0)),1,0)</f>
        <v>0</v>
      </c>
      <c r="AI895">
        <f>N(AI894)+$AH895</f>
        <v>0</v>
      </c>
      <c r="AJ895" s="7" t="n"/>
      <c r="AL895">
        <f>IF(OR($AL$1="",对接源_01水果!$Y895="",对接源_01水果!$Y895&lt;&gt;$AL$1,对接源_01水果!$B895="",N(对接源_01水果!$AJ895)&lt;=0),0,IF(OR(N(对接源_01水果!$B895)&lt;$AL$2,N(对接源_01水果!$B895)&gt;$AL$3),0,1))</f>
        <v>0</v>
      </c>
      <c r="AM895">
        <f>N(AM894)+$AL895</f>
        <v>2</v>
      </c>
      <c r="AN895">
        <f>IF(对接源_01水果!$AC895="","",对接源_01水果!$AC895)</f>
      </c>
      <c r="AO895">
        <f>IF(AN895="",0,IF(MATCH(AN895,$AN$4:$AN$1203,0)=ROW()-3,1,0))</f>
        <v>0</v>
      </c>
      <c r="AP895">
        <f>N(AP894)+$AO895</f>
        <v>13</v>
      </c>
      <c r="AR895">
        <f>IF(OR($AF895=1,$AH895=1),1,0)</f>
        <v>0</v>
      </c>
      <c r="AS895">
        <f>N(AS894)+$AR895</f>
        <v>0</v>
      </c>
    </row>
    <row r="896" ht="14.25" customHeight="1" s="127">
      <c r="A896">
        <f>IF(对接源_01水果!$C896="","",对接源_01水果!$C896)</f>
      </c>
      <c r="B896">
        <f>IF(A896="",0,IF(MATCH(A896,$A$4:$A$2403,0)=ROW()-3,1,0))</f>
        <v>0</v>
      </c>
      <c r="C896">
        <f>N(C895)+B896</f>
        <v>22</v>
      </c>
      <c r="K896">
        <f>IF(OR($K$1="",对接源_01水果!$C896="",对接源_01水果!$C896&lt;&gt;$K$1,对接源_01水果!$B896=""),0,IF(OR(N(对接源_01水果!$B896)&lt;$K$2,N(对接源_01水果!$B896)&gt;$K$3),0,1))</f>
        <v>0</v>
      </c>
      <c r="L896">
        <f>IF(OR($L$1="",对接源_01水果!$C896="",对接源_01水果!$C896&lt;&gt;$L$1,对接源_01水果!$B896=""),0,IF(OR(N(对接源_01水果!$B896)&lt;$L$2,N(对接源_01水果!$B896)&gt;$L$3),0,1))</f>
        <v>0</v>
      </c>
      <c r="M896">
        <f>IF(OR($M$1="",对接源_01水果!$C896="",对接源_01水果!$C896&lt;&gt;$M$1,对接源_01水果!$B896=""),0,IF(OR(N(对接源_01水果!$B896)&lt;$M$2,N(对接源_01水果!$B896)&gt;$M$3),0,1))</f>
        <v>0</v>
      </c>
      <c r="N896">
        <f>IF(OR($N$1="",对接源_01水果!$C896="",对接源_01水果!$C896&lt;&gt;$N$1,对接源_01水果!$B896=""),0,IF(OR(N(对接源_01水果!$B896)&lt;$N$2,N(对接源_01水果!$B896)&gt;$N$3),0,1))</f>
        <v>0</v>
      </c>
      <c r="P896">
        <f>IF(AND($K896=1,AND(对接源_01水果!$X896="公司筐",N(对接源_01水果!$T896)&lt;&gt;0)),1,0)</f>
        <v>0</v>
      </c>
      <c r="Q896">
        <f>N(Q895)+$P896</f>
        <v>0</v>
      </c>
      <c r="R896">
        <f>IF(AND($K896=1,AND(对接源_01水果!$X896="公司筐",N(对接源_01水果!$U896)&lt;&gt;0)),1,0)</f>
        <v>0</v>
      </c>
      <c r="S896">
        <f>N(S895)+$R896</f>
        <v>0</v>
      </c>
      <c r="T896">
        <f>IF(AND($K896=1,AND(对接源_01水果!$X896="公司筐",N(对接源_01水果!$V896)&lt;&gt;0)),1,0)</f>
        <v>0</v>
      </c>
      <c r="U896">
        <f>N(U895)+$T896</f>
        <v>47</v>
      </c>
      <c r="V896">
        <f>IF(AND($L896=1,AND(对接源_01水果!$X896="自备筐",N(对接源_01水果!$V896)&lt;&gt;0)),1,0)</f>
        <v>0</v>
      </c>
      <c r="W896">
        <f>N(W895)+$V896</f>
        <v>11</v>
      </c>
      <c r="X896">
        <f>IF(AND($L896=1,AND(对接源_01水果!$X896="自备筐",N(对接源_01水果!$T896)&lt;&gt;0)),1,0)</f>
        <v>0</v>
      </c>
      <c r="Y896">
        <f>N(Y895)+$X896</f>
        <v>0</v>
      </c>
      <c r="Z896">
        <f>IF(AND($M896=1,对接源_01水果!$D896="原料入库"),1,0)</f>
        <v>0</v>
      </c>
      <c r="AA896">
        <f>N(AA895)+$Z896</f>
        <v>24</v>
      </c>
      <c r="AB896">
        <f>IF(AND($M896=1,LEFT(对接源_01水果!$D896,4)="原料出库"),1,0)</f>
        <v>0</v>
      </c>
      <c r="AC896">
        <f>N(AC895)+$AB896</f>
        <v>0</v>
      </c>
      <c r="AD896">
        <f>IF(AND($M896=1,LEFT(对接源_01水果!$D896,4)="成品出库"),1,0)</f>
        <v>0</v>
      </c>
      <c r="AE896">
        <f>N(AE895)+$AD896</f>
        <v>0</v>
      </c>
      <c r="AF896">
        <f>IF(AND($N896=1,AND(LEFT(对接源_01水果!$D896,4)="包装物料",N(对接源_01水果!$K896)&lt;&gt;0)),1,0)</f>
        <v>0</v>
      </c>
      <c r="AG896">
        <f>N(AG895)+$AF896</f>
        <v>0</v>
      </c>
      <c r="AH896">
        <f>IF(AND($N896=1,AND(对接源_01水果!$D896="周转筐－销售出库",N(对接源_01水果!$K896)&lt;&gt;0)),1,0)</f>
        <v>0</v>
      </c>
      <c r="AI896">
        <f>N(AI895)+$AH896</f>
        <v>0</v>
      </c>
      <c r="AJ896" s="7" t="n"/>
      <c r="AL896">
        <f>IF(OR($AL$1="",对接源_01水果!$Y896="",对接源_01水果!$Y896&lt;&gt;$AL$1,对接源_01水果!$B896="",N(对接源_01水果!$AJ896)&lt;=0),0,IF(OR(N(对接源_01水果!$B896)&lt;$AL$2,N(对接源_01水果!$B896)&gt;$AL$3),0,1))</f>
        <v>0</v>
      </c>
      <c r="AM896">
        <f>N(AM895)+$AL896</f>
        <v>2</v>
      </c>
      <c r="AN896">
        <f>IF(对接源_01水果!$AC896="","",对接源_01水果!$AC896)</f>
      </c>
      <c r="AO896">
        <f>IF(AN896="",0,IF(MATCH(AN896,$AN$4:$AN$1203,0)=ROW()-3,1,0))</f>
        <v>0</v>
      </c>
      <c r="AP896">
        <f>N(AP895)+$AO896</f>
        <v>13</v>
      </c>
      <c r="AR896">
        <f>IF(OR($AF896=1,$AH896=1),1,0)</f>
        <v>0</v>
      </c>
      <c r="AS896">
        <f>N(AS895)+$AR896</f>
        <v>0</v>
      </c>
    </row>
    <row r="897" ht="14.25" customHeight="1" s="127">
      <c r="A897">
        <f>IF(对接源_01水果!$C897="","",对接源_01水果!$C897)</f>
      </c>
      <c r="B897">
        <f>IF(A897="",0,IF(MATCH(A897,$A$4:$A$2403,0)=ROW()-3,1,0))</f>
        <v>0</v>
      </c>
      <c r="C897">
        <f>N(C896)+B897</f>
        <v>22</v>
      </c>
      <c r="K897">
        <f>IF(OR($K$1="",对接源_01水果!$C897="",对接源_01水果!$C897&lt;&gt;$K$1,对接源_01水果!$B897=""),0,IF(OR(N(对接源_01水果!$B897)&lt;$K$2,N(对接源_01水果!$B897)&gt;$K$3),0,1))</f>
        <v>0</v>
      </c>
      <c r="L897">
        <f>IF(OR($L$1="",对接源_01水果!$C897="",对接源_01水果!$C897&lt;&gt;$L$1,对接源_01水果!$B897=""),0,IF(OR(N(对接源_01水果!$B897)&lt;$L$2,N(对接源_01水果!$B897)&gt;$L$3),0,1))</f>
        <v>0</v>
      </c>
      <c r="M897">
        <f>IF(OR($M$1="",对接源_01水果!$C897="",对接源_01水果!$C897&lt;&gt;$M$1,对接源_01水果!$B897=""),0,IF(OR(N(对接源_01水果!$B897)&lt;$M$2,N(对接源_01水果!$B897)&gt;$M$3),0,1))</f>
        <v>0</v>
      </c>
      <c r="N897">
        <f>IF(OR($N$1="",对接源_01水果!$C897="",对接源_01水果!$C897&lt;&gt;$N$1,对接源_01水果!$B897=""),0,IF(OR(N(对接源_01水果!$B897)&lt;$N$2,N(对接源_01水果!$B897)&gt;$N$3),0,1))</f>
        <v>0</v>
      </c>
      <c r="P897">
        <f>IF(AND($K897=1,AND(对接源_01水果!$X897="公司筐",N(对接源_01水果!$T897)&lt;&gt;0)),1,0)</f>
        <v>0</v>
      </c>
      <c r="Q897">
        <f>N(Q896)+$P897</f>
        <v>0</v>
      </c>
      <c r="R897">
        <f>IF(AND($K897=1,AND(对接源_01水果!$X897="公司筐",N(对接源_01水果!$U897)&lt;&gt;0)),1,0)</f>
        <v>0</v>
      </c>
      <c r="S897">
        <f>N(S896)+$R897</f>
        <v>0</v>
      </c>
      <c r="T897">
        <f>IF(AND($K897=1,AND(对接源_01水果!$X897="公司筐",N(对接源_01水果!$V897)&lt;&gt;0)),1,0)</f>
        <v>0</v>
      </c>
      <c r="U897">
        <f>N(U896)+$T897</f>
        <v>47</v>
      </c>
      <c r="V897">
        <f>IF(AND($L897=1,AND(对接源_01水果!$X897="自备筐",N(对接源_01水果!$V897)&lt;&gt;0)),1,0)</f>
        <v>0</v>
      </c>
      <c r="W897">
        <f>N(W896)+$V897</f>
        <v>11</v>
      </c>
      <c r="X897">
        <f>IF(AND($L897=1,AND(对接源_01水果!$X897="自备筐",N(对接源_01水果!$T897)&lt;&gt;0)),1,0)</f>
        <v>0</v>
      </c>
      <c r="Y897">
        <f>N(Y896)+$X897</f>
        <v>0</v>
      </c>
      <c r="Z897">
        <f>IF(AND($M897=1,对接源_01水果!$D897="原料入库"),1,0)</f>
        <v>0</v>
      </c>
      <c r="AA897">
        <f>N(AA896)+$Z897</f>
        <v>24</v>
      </c>
      <c r="AB897">
        <f>IF(AND($M897=1,LEFT(对接源_01水果!$D897,4)="原料出库"),1,0)</f>
        <v>0</v>
      </c>
      <c r="AC897">
        <f>N(AC896)+$AB897</f>
        <v>0</v>
      </c>
      <c r="AD897">
        <f>IF(AND($M897=1,LEFT(对接源_01水果!$D897,4)="成品出库"),1,0)</f>
        <v>0</v>
      </c>
      <c r="AE897">
        <f>N(AE896)+$AD897</f>
        <v>0</v>
      </c>
      <c r="AF897">
        <f>IF(AND($N897=1,AND(LEFT(对接源_01水果!$D897,4)="包装物料",N(对接源_01水果!$K897)&lt;&gt;0)),1,0)</f>
        <v>0</v>
      </c>
      <c r="AG897">
        <f>N(AG896)+$AF897</f>
        <v>0</v>
      </c>
      <c r="AH897">
        <f>IF(AND($N897=1,AND(对接源_01水果!$D897="周转筐－销售出库",N(对接源_01水果!$K897)&lt;&gt;0)),1,0)</f>
        <v>0</v>
      </c>
      <c r="AI897">
        <f>N(AI896)+$AH897</f>
        <v>0</v>
      </c>
      <c r="AJ897" s="7" t="n"/>
      <c r="AL897">
        <f>IF(OR($AL$1="",对接源_01水果!$Y897="",对接源_01水果!$Y897&lt;&gt;$AL$1,对接源_01水果!$B897="",N(对接源_01水果!$AJ897)&lt;=0),0,IF(OR(N(对接源_01水果!$B897)&lt;$AL$2,N(对接源_01水果!$B897)&gt;$AL$3),0,1))</f>
        <v>0</v>
      </c>
      <c r="AM897">
        <f>N(AM896)+$AL897</f>
        <v>2</v>
      </c>
      <c r="AN897">
        <f>IF(对接源_01水果!$AC897="","",对接源_01水果!$AC897)</f>
      </c>
      <c r="AO897">
        <f>IF(AN897="",0,IF(MATCH(AN897,$AN$4:$AN$1203,0)=ROW()-3,1,0))</f>
        <v>0</v>
      </c>
      <c r="AP897">
        <f>N(AP896)+$AO897</f>
        <v>13</v>
      </c>
      <c r="AR897">
        <f>IF(OR($AF897=1,$AH897=1),1,0)</f>
        <v>0</v>
      </c>
      <c r="AS897">
        <f>N(AS896)+$AR897</f>
        <v>0</v>
      </c>
    </row>
    <row r="898" ht="14.25" customHeight="1" s="127">
      <c r="A898">
        <f>IF(对接源_01水果!$C898="","",对接源_01水果!$C898)</f>
      </c>
      <c r="B898">
        <f>IF(A898="",0,IF(MATCH(A898,$A$4:$A$2403,0)=ROW()-3,1,0))</f>
        <v>0</v>
      </c>
      <c r="C898">
        <f>N(C897)+B898</f>
        <v>22</v>
      </c>
      <c r="K898">
        <f>IF(OR($K$1="",对接源_01水果!$C898="",对接源_01水果!$C898&lt;&gt;$K$1,对接源_01水果!$B898=""),0,IF(OR(N(对接源_01水果!$B898)&lt;$K$2,N(对接源_01水果!$B898)&gt;$K$3),0,1))</f>
        <v>0</v>
      </c>
      <c r="L898">
        <f>IF(OR($L$1="",对接源_01水果!$C898="",对接源_01水果!$C898&lt;&gt;$L$1,对接源_01水果!$B898=""),0,IF(OR(N(对接源_01水果!$B898)&lt;$L$2,N(对接源_01水果!$B898)&gt;$L$3),0,1))</f>
        <v>0</v>
      </c>
      <c r="M898">
        <f>IF(OR($M$1="",对接源_01水果!$C898="",对接源_01水果!$C898&lt;&gt;$M$1,对接源_01水果!$B898=""),0,IF(OR(N(对接源_01水果!$B898)&lt;$M$2,N(对接源_01水果!$B898)&gt;$M$3),0,1))</f>
        <v>0</v>
      </c>
      <c r="N898">
        <f>IF(OR($N$1="",对接源_01水果!$C898="",对接源_01水果!$C898&lt;&gt;$N$1,对接源_01水果!$B898=""),0,IF(OR(N(对接源_01水果!$B898)&lt;$N$2,N(对接源_01水果!$B898)&gt;$N$3),0,1))</f>
        <v>0</v>
      </c>
      <c r="P898">
        <f>IF(AND($K898=1,AND(对接源_01水果!$X898="公司筐",N(对接源_01水果!$T898)&lt;&gt;0)),1,0)</f>
        <v>0</v>
      </c>
      <c r="Q898">
        <f>N(Q897)+$P898</f>
        <v>0</v>
      </c>
      <c r="R898">
        <f>IF(AND($K898=1,AND(对接源_01水果!$X898="公司筐",N(对接源_01水果!$U898)&lt;&gt;0)),1,0)</f>
        <v>0</v>
      </c>
      <c r="S898">
        <f>N(S897)+$R898</f>
        <v>0</v>
      </c>
      <c r="T898">
        <f>IF(AND($K898=1,AND(对接源_01水果!$X898="公司筐",N(对接源_01水果!$V898)&lt;&gt;0)),1,0)</f>
        <v>0</v>
      </c>
      <c r="U898">
        <f>N(U897)+$T898</f>
        <v>47</v>
      </c>
      <c r="V898">
        <f>IF(AND($L898=1,AND(对接源_01水果!$X898="自备筐",N(对接源_01水果!$V898)&lt;&gt;0)),1,0)</f>
        <v>0</v>
      </c>
      <c r="W898">
        <f>N(W897)+$V898</f>
        <v>11</v>
      </c>
      <c r="X898">
        <f>IF(AND($L898=1,AND(对接源_01水果!$X898="自备筐",N(对接源_01水果!$T898)&lt;&gt;0)),1,0)</f>
        <v>0</v>
      </c>
      <c r="Y898">
        <f>N(Y897)+$X898</f>
        <v>0</v>
      </c>
      <c r="Z898">
        <f>IF(AND($M898=1,对接源_01水果!$D898="原料入库"),1,0)</f>
        <v>0</v>
      </c>
      <c r="AA898">
        <f>N(AA897)+$Z898</f>
        <v>24</v>
      </c>
      <c r="AB898">
        <f>IF(AND($M898=1,LEFT(对接源_01水果!$D898,4)="原料出库"),1,0)</f>
        <v>0</v>
      </c>
      <c r="AC898">
        <f>N(AC897)+$AB898</f>
        <v>0</v>
      </c>
      <c r="AD898">
        <f>IF(AND($M898=1,LEFT(对接源_01水果!$D898,4)="成品出库"),1,0)</f>
        <v>0</v>
      </c>
      <c r="AE898">
        <f>N(AE897)+$AD898</f>
        <v>0</v>
      </c>
      <c r="AF898">
        <f>IF(AND($N898=1,AND(LEFT(对接源_01水果!$D898,4)="包装物料",N(对接源_01水果!$K898)&lt;&gt;0)),1,0)</f>
        <v>0</v>
      </c>
      <c r="AG898">
        <f>N(AG897)+$AF898</f>
        <v>0</v>
      </c>
      <c r="AH898">
        <f>IF(AND($N898=1,AND(对接源_01水果!$D898="周转筐－销售出库",N(对接源_01水果!$K898)&lt;&gt;0)),1,0)</f>
        <v>0</v>
      </c>
      <c r="AI898">
        <f>N(AI897)+$AH898</f>
        <v>0</v>
      </c>
      <c r="AJ898" s="7" t="n"/>
      <c r="AL898">
        <f>IF(OR($AL$1="",对接源_01水果!$Y898="",对接源_01水果!$Y898&lt;&gt;$AL$1,对接源_01水果!$B898="",N(对接源_01水果!$AJ898)&lt;=0),0,IF(OR(N(对接源_01水果!$B898)&lt;$AL$2,N(对接源_01水果!$B898)&gt;$AL$3),0,1))</f>
        <v>0</v>
      </c>
      <c r="AM898">
        <f>N(AM897)+$AL898</f>
        <v>2</v>
      </c>
      <c r="AN898">
        <f>IF(对接源_01水果!$AC898="","",对接源_01水果!$AC898)</f>
      </c>
      <c r="AO898">
        <f>IF(AN898="",0,IF(MATCH(AN898,$AN$4:$AN$1203,0)=ROW()-3,1,0))</f>
        <v>0</v>
      </c>
      <c r="AP898">
        <f>N(AP897)+$AO898</f>
        <v>13</v>
      </c>
      <c r="AR898">
        <f>IF(OR($AF898=1,$AH898=1),1,0)</f>
        <v>0</v>
      </c>
      <c r="AS898">
        <f>N(AS897)+$AR898</f>
        <v>0</v>
      </c>
    </row>
    <row r="899" ht="14.25" customHeight="1" s="127">
      <c r="A899">
        <f>IF(对接源_01水果!$C899="","",对接源_01水果!$C899)</f>
      </c>
      <c r="B899">
        <f>IF(A899="",0,IF(MATCH(A899,$A$4:$A$2403,0)=ROW()-3,1,0))</f>
        <v>0</v>
      </c>
      <c r="C899">
        <f>N(C898)+B899</f>
        <v>22</v>
      </c>
      <c r="K899">
        <f>IF(OR($K$1="",对接源_01水果!$C899="",对接源_01水果!$C899&lt;&gt;$K$1,对接源_01水果!$B899=""),0,IF(OR(N(对接源_01水果!$B899)&lt;$K$2,N(对接源_01水果!$B899)&gt;$K$3),0,1))</f>
        <v>0</v>
      </c>
      <c r="L899">
        <f>IF(OR($L$1="",对接源_01水果!$C899="",对接源_01水果!$C899&lt;&gt;$L$1,对接源_01水果!$B899=""),0,IF(OR(N(对接源_01水果!$B899)&lt;$L$2,N(对接源_01水果!$B899)&gt;$L$3),0,1))</f>
        <v>0</v>
      </c>
      <c r="M899">
        <f>IF(OR($M$1="",对接源_01水果!$C899="",对接源_01水果!$C899&lt;&gt;$M$1,对接源_01水果!$B899=""),0,IF(OR(N(对接源_01水果!$B899)&lt;$M$2,N(对接源_01水果!$B899)&gt;$M$3),0,1))</f>
        <v>0</v>
      </c>
      <c r="N899">
        <f>IF(OR($N$1="",对接源_01水果!$C899="",对接源_01水果!$C899&lt;&gt;$N$1,对接源_01水果!$B899=""),0,IF(OR(N(对接源_01水果!$B899)&lt;$N$2,N(对接源_01水果!$B899)&gt;$N$3),0,1))</f>
        <v>0</v>
      </c>
      <c r="P899">
        <f>IF(AND($K899=1,AND(对接源_01水果!$X899="公司筐",N(对接源_01水果!$T899)&lt;&gt;0)),1,0)</f>
        <v>0</v>
      </c>
      <c r="Q899">
        <f>N(Q898)+$P899</f>
        <v>0</v>
      </c>
      <c r="R899">
        <f>IF(AND($K899=1,AND(对接源_01水果!$X899="公司筐",N(对接源_01水果!$U899)&lt;&gt;0)),1,0)</f>
        <v>0</v>
      </c>
      <c r="S899">
        <f>N(S898)+$R899</f>
        <v>0</v>
      </c>
      <c r="T899">
        <f>IF(AND($K899=1,AND(对接源_01水果!$X899="公司筐",N(对接源_01水果!$V899)&lt;&gt;0)),1,0)</f>
        <v>0</v>
      </c>
      <c r="U899">
        <f>N(U898)+$T899</f>
        <v>47</v>
      </c>
      <c r="V899">
        <f>IF(AND($L899=1,AND(对接源_01水果!$X899="自备筐",N(对接源_01水果!$V899)&lt;&gt;0)),1,0)</f>
        <v>0</v>
      </c>
      <c r="W899">
        <f>N(W898)+$V899</f>
        <v>11</v>
      </c>
      <c r="X899">
        <f>IF(AND($L899=1,AND(对接源_01水果!$X899="自备筐",N(对接源_01水果!$T899)&lt;&gt;0)),1,0)</f>
        <v>0</v>
      </c>
      <c r="Y899">
        <f>N(Y898)+$X899</f>
        <v>0</v>
      </c>
      <c r="Z899">
        <f>IF(AND($M899=1,对接源_01水果!$D899="原料入库"),1,0)</f>
        <v>0</v>
      </c>
      <c r="AA899">
        <f>N(AA898)+$Z899</f>
        <v>24</v>
      </c>
      <c r="AB899">
        <f>IF(AND($M899=1,LEFT(对接源_01水果!$D899,4)="原料出库"),1,0)</f>
        <v>0</v>
      </c>
      <c r="AC899">
        <f>N(AC898)+$AB899</f>
        <v>0</v>
      </c>
      <c r="AD899">
        <f>IF(AND($M899=1,LEFT(对接源_01水果!$D899,4)="成品出库"),1,0)</f>
        <v>0</v>
      </c>
      <c r="AE899">
        <f>N(AE898)+$AD899</f>
        <v>0</v>
      </c>
      <c r="AF899">
        <f>IF(AND($N899=1,AND(LEFT(对接源_01水果!$D899,4)="包装物料",N(对接源_01水果!$K899)&lt;&gt;0)),1,0)</f>
        <v>0</v>
      </c>
      <c r="AG899">
        <f>N(AG898)+$AF899</f>
        <v>0</v>
      </c>
      <c r="AH899">
        <f>IF(AND($N899=1,AND(对接源_01水果!$D899="周转筐－销售出库",N(对接源_01水果!$K899)&lt;&gt;0)),1,0)</f>
        <v>0</v>
      </c>
      <c r="AI899">
        <f>N(AI898)+$AH899</f>
        <v>0</v>
      </c>
      <c r="AJ899" s="7" t="n"/>
      <c r="AL899">
        <f>IF(OR($AL$1="",对接源_01水果!$Y899="",对接源_01水果!$Y899&lt;&gt;$AL$1,对接源_01水果!$B899="",N(对接源_01水果!$AJ899)&lt;=0),0,IF(OR(N(对接源_01水果!$B899)&lt;$AL$2,N(对接源_01水果!$B899)&gt;$AL$3),0,1))</f>
        <v>0</v>
      </c>
      <c r="AM899">
        <f>N(AM898)+$AL899</f>
        <v>2</v>
      </c>
      <c r="AN899">
        <f>IF(对接源_01水果!$AC899="","",对接源_01水果!$AC899)</f>
      </c>
      <c r="AO899">
        <f>IF(AN899="",0,IF(MATCH(AN899,$AN$4:$AN$1203,0)=ROW()-3,1,0))</f>
        <v>0</v>
      </c>
      <c r="AP899">
        <f>N(AP898)+$AO899</f>
        <v>13</v>
      </c>
      <c r="AR899">
        <f>IF(OR($AF899=1,$AH899=1),1,0)</f>
        <v>0</v>
      </c>
      <c r="AS899">
        <f>N(AS898)+$AR899</f>
        <v>0</v>
      </c>
    </row>
    <row r="900" ht="14.25" customHeight="1" s="127">
      <c r="A900">
        <f>IF(对接源_01水果!$C900="","",对接源_01水果!$C900)</f>
      </c>
      <c r="B900">
        <f>IF(A900="",0,IF(MATCH(A900,$A$4:$A$2403,0)=ROW()-3,1,0))</f>
        <v>0</v>
      </c>
      <c r="C900">
        <f>N(C899)+B900</f>
        <v>22</v>
      </c>
      <c r="K900">
        <f>IF(OR($K$1="",对接源_01水果!$C900="",对接源_01水果!$C900&lt;&gt;$K$1,对接源_01水果!$B900=""),0,IF(OR(N(对接源_01水果!$B900)&lt;$K$2,N(对接源_01水果!$B900)&gt;$K$3),0,1))</f>
        <v>0</v>
      </c>
      <c r="L900">
        <f>IF(OR($L$1="",对接源_01水果!$C900="",对接源_01水果!$C900&lt;&gt;$L$1,对接源_01水果!$B900=""),0,IF(OR(N(对接源_01水果!$B900)&lt;$L$2,N(对接源_01水果!$B900)&gt;$L$3),0,1))</f>
        <v>0</v>
      </c>
      <c r="M900">
        <f>IF(OR($M$1="",对接源_01水果!$C900="",对接源_01水果!$C900&lt;&gt;$M$1,对接源_01水果!$B900=""),0,IF(OR(N(对接源_01水果!$B900)&lt;$M$2,N(对接源_01水果!$B900)&gt;$M$3),0,1))</f>
        <v>0</v>
      </c>
      <c r="N900">
        <f>IF(OR($N$1="",对接源_01水果!$C900="",对接源_01水果!$C900&lt;&gt;$N$1,对接源_01水果!$B900=""),0,IF(OR(N(对接源_01水果!$B900)&lt;$N$2,N(对接源_01水果!$B900)&gt;$N$3),0,1))</f>
        <v>0</v>
      </c>
      <c r="P900">
        <f>IF(AND($K900=1,AND(对接源_01水果!$X900="公司筐",N(对接源_01水果!$T900)&lt;&gt;0)),1,0)</f>
        <v>0</v>
      </c>
      <c r="Q900">
        <f>N(Q899)+$P900</f>
        <v>0</v>
      </c>
      <c r="R900">
        <f>IF(AND($K900=1,AND(对接源_01水果!$X900="公司筐",N(对接源_01水果!$U900)&lt;&gt;0)),1,0)</f>
        <v>0</v>
      </c>
      <c r="S900">
        <f>N(S899)+$R900</f>
        <v>0</v>
      </c>
      <c r="T900">
        <f>IF(AND($K900=1,AND(对接源_01水果!$X900="公司筐",N(对接源_01水果!$V900)&lt;&gt;0)),1,0)</f>
        <v>0</v>
      </c>
      <c r="U900">
        <f>N(U899)+$T900</f>
        <v>47</v>
      </c>
      <c r="V900">
        <f>IF(AND($L900=1,AND(对接源_01水果!$X900="自备筐",N(对接源_01水果!$V900)&lt;&gt;0)),1,0)</f>
        <v>0</v>
      </c>
      <c r="W900">
        <f>N(W899)+$V900</f>
        <v>11</v>
      </c>
      <c r="X900">
        <f>IF(AND($L900=1,AND(对接源_01水果!$X900="自备筐",N(对接源_01水果!$T900)&lt;&gt;0)),1,0)</f>
        <v>0</v>
      </c>
      <c r="Y900">
        <f>N(Y899)+$X900</f>
        <v>0</v>
      </c>
      <c r="Z900">
        <f>IF(AND($M900=1,对接源_01水果!$D900="原料入库"),1,0)</f>
        <v>0</v>
      </c>
      <c r="AA900">
        <f>N(AA899)+$Z900</f>
        <v>24</v>
      </c>
      <c r="AB900">
        <f>IF(AND($M900=1,LEFT(对接源_01水果!$D900,4)="原料出库"),1,0)</f>
        <v>0</v>
      </c>
      <c r="AC900">
        <f>N(AC899)+$AB900</f>
        <v>0</v>
      </c>
      <c r="AD900">
        <f>IF(AND($M900=1,LEFT(对接源_01水果!$D900,4)="成品出库"),1,0)</f>
        <v>0</v>
      </c>
      <c r="AE900">
        <f>N(AE899)+$AD900</f>
        <v>0</v>
      </c>
      <c r="AF900">
        <f>IF(AND($N900=1,AND(LEFT(对接源_01水果!$D900,4)="包装物料",N(对接源_01水果!$K900)&lt;&gt;0)),1,0)</f>
        <v>0</v>
      </c>
      <c r="AG900">
        <f>N(AG899)+$AF900</f>
        <v>0</v>
      </c>
      <c r="AH900">
        <f>IF(AND($N900=1,AND(对接源_01水果!$D900="周转筐－销售出库",N(对接源_01水果!$K900)&lt;&gt;0)),1,0)</f>
        <v>0</v>
      </c>
      <c r="AI900">
        <f>N(AI899)+$AH900</f>
        <v>0</v>
      </c>
      <c r="AJ900" s="7" t="n"/>
      <c r="AL900">
        <f>IF(OR($AL$1="",对接源_01水果!$Y900="",对接源_01水果!$Y900&lt;&gt;$AL$1,对接源_01水果!$B900="",N(对接源_01水果!$AJ900)&lt;=0),0,IF(OR(N(对接源_01水果!$B900)&lt;$AL$2,N(对接源_01水果!$B900)&gt;$AL$3),0,1))</f>
        <v>0</v>
      </c>
      <c r="AM900">
        <f>N(AM899)+$AL900</f>
        <v>2</v>
      </c>
      <c r="AN900">
        <f>IF(对接源_01水果!$AC900="","",对接源_01水果!$AC900)</f>
      </c>
      <c r="AO900">
        <f>IF(AN900="",0,IF(MATCH(AN900,$AN$4:$AN$1203,0)=ROW()-3,1,0))</f>
        <v>0</v>
      </c>
      <c r="AP900">
        <f>N(AP899)+$AO900</f>
        <v>13</v>
      </c>
      <c r="AR900">
        <f>IF(OR($AF900=1,$AH900=1),1,0)</f>
        <v>0</v>
      </c>
      <c r="AS900">
        <f>N(AS899)+$AR900</f>
        <v>0</v>
      </c>
    </row>
    <row r="901" ht="14.25" customHeight="1" s="127">
      <c r="A901">
        <f>IF(对接源_01水果!$C901="","",对接源_01水果!$C901)</f>
      </c>
      <c r="B901">
        <f>IF(A901="",0,IF(MATCH(A901,$A$4:$A$2403,0)=ROW()-3,1,0))</f>
        <v>0</v>
      </c>
      <c r="C901">
        <f>N(C900)+B901</f>
        <v>22</v>
      </c>
      <c r="K901">
        <f>IF(OR($K$1="",对接源_01水果!$C901="",对接源_01水果!$C901&lt;&gt;$K$1,对接源_01水果!$B901=""),0,IF(OR(N(对接源_01水果!$B901)&lt;$K$2,N(对接源_01水果!$B901)&gt;$K$3),0,1))</f>
        <v>0</v>
      </c>
      <c r="L901">
        <f>IF(OR($L$1="",对接源_01水果!$C901="",对接源_01水果!$C901&lt;&gt;$L$1,对接源_01水果!$B901=""),0,IF(OR(N(对接源_01水果!$B901)&lt;$L$2,N(对接源_01水果!$B901)&gt;$L$3),0,1))</f>
        <v>0</v>
      </c>
      <c r="M901">
        <f>IF(OR($M$1="",对接源_01水果!$C901="",对接源_01水果!$C901&lt;&gt;$M$1,对接源_01水果!$B901=""),0,IF(OR(N(对接源_01水果!$B901)&lt;$M$2,N(对接源_01水果!$B901)&gt;$M$3),0,1))</f>
        <v>0</v>
      </c>
      <c r="N901">
        <f>IF(OR($N$1="",对接源_01水果!$C901="",对接源_01水果!$C901&lt;&gt;$N$1,对接源_01水果!$B901=""),0,IF(OR(N(对接源_01水果!$B901)&lt;$N$2,N(对接源_01水果!$B901)&gt;$N$3),0,1))</f>
        <v>0</v>
      </c>
      <c r="P901">
        <f>IF(AND($K901=1,AND(对接源_01水果!$X901="公司筐",N(对接源_01水果!$T901)&lt;&gt;0)),1,0)</f>
        <v>0</v>
      </c>
      <c r="Q901">
        <f>N(Q900)+$P901</f>
        <v>0</v>
      </c>
      <c r="R901">
        <f>IF(AND($K901=1,AND(对接源_01水果!$X901="公司筐",N(对接源_01水果!$U901)&lt;&gt;0)),1,0)</f>
        <v>0</v>
      </c>
      <c r="S901">
        <f>N(S900)+$R901</f>
        <v>0</v>
      </c>
      <c r="T901">
        <f>IF(AND($K901=1,AND(对接源_01水果!$X901="公司筐",N(对接源_01水果!$V901)&lt;&gt;0)),1,0)</f>
        <v>0</v>
      </c>
      <c r="U901">
        <f>N(U900)+$T901</f>
        <v>47</v>
      </c>
      <c r="V901">
        <f>IF(AND($L901=1,AND(对接源_01水果!$X901="自备筐",N(对接源_01水果!$V901)&lt;&gt;0)),1,0)</f>
        <v>0</v>
      </c>
      <c r="W901">
        <f>N(W900)+$V901</f>
        <v>11</v>
      </c>
      <c r="X901">
        <f>IF(AND($L901=1,AND(对接源_01水果!$X901="自备筐",N(对接源_01水果!$T901)&lt;&gt;0)),1,0)</f>
        <v>0</v>
      </c>
      <c r="Y901">
        <f>N(Y900)+$X901</f>
        <v>0</v>
      </c>
      <c r="Z901">
        <f>IF(AND($M901=1,对接源_01水果!$D901="原料入库"),1,0)</f>
        <v>0</v>
      </c>
      <c r="AA901">
        <f>N(AA900)+$Z901</f>
        <v>24</v>
      </c>
      <c r="AB901">
        <f>IF(AND($M901=1,LEFT(对接源_01水果!$D901,4)="原料出库"),1,0)</f>
        <v>0</v>
      </c>
      <c r="AC901">
        <f>N(AC900)+$AB901</f>
        <v>0</v>
      </c>
      <c r="AD901">
        <f>IF(AND($M901=1,LEFT(对接源_01水果!$D901,4)="成品出库"),1,0)</f>
        <v>0</v>
      </c>
      <c r="AE901">
        <f>N(AE900)+$AD901</f>
        <v>0</v>
      </c>
      <c r="AF901">
        <f>IF(AND($N901=1,AND(LEFT(对接源_01水果!$D901,4)="包装物料",N(对接源_01水果!$K901)&lt;&gt;0)),1,0)</f>
        <v>0</v>
      </c>
      <c r="AG901">
        <f>N(AG900)+$AF901</f>
        <v>0</v>
      </c>
      <c r="AH901">
        <f>IF(AND($N901=1,AND(对接源_01水果!$D901="周转筐－销售出库",N(对接源_01水果!$K901)&lt;&gt;0)),1,0)</f>
        <v>0</v>
      </c>
      <c r="AI901">
        <f>N(AI900)+$AH901</f>
        <v>0</v>
      </c>
      <c r="AJ901" s="7" t="n"/>
      <c r="AL901">
        <f>IF(OR($AL$1="",对接源_01水果!$Y901="",对接源_01水果!$Y901&lt;&gt;$AL$1,对接源_01水果!$B901="",N(对接源_01水果!$AJ901)&lt;=0),0,IF(OR(N(对接源_01水果!$B901)&lt;$AL$2,N(对接源_01水果!$B901)&gt;$AL$3),0,1))</f>
        <v>0</v>
      </c>
      <c r="AM901">
        <f>N(AM900)+$AL901</f>
        <v>2</v>
      </c>
      <c r="AN901">
        <f>IF(对接源_01水果!$AC901="","",对接源_01水果!$AC901)</f>
      </c>
      <c r="AO901">
        <f>IF(AN901="",0,IF(MATCH(AN901,$AN$4:$AN$1203,0)=ROW()-3,1,0))</f>
        <v>0</v>
      </c>
      <c r="AP901">
        <f>N(AP900)+$AO901</f>
        <v>13</v>
      </c>
      <c r="AR901">
        <f>IF(OR($AF901=1,$AH901=1),1,0)</f>
        <v>0</v>
      </c>
      <c r="AS901">
        <f>N(AS900)+$AR901</f>
        <v>0</v>
      </c>
    </row>
    <row r="902" ht="14.25" customHeight="1" s="127">
      <c r="A902">
        <f>IF(对接源_01水果!$C902="","",对接源_01水果!$C902)</f>
      </c>
      <c r="B902">
        <f>IF(A902="",0,IF(MATCH(A902,$A$4:$A$2403,0)=ROW()-3,1,0))</f>
        <v>0</v>
      </c>
      <c r="C902">
        <f>N(C901)+B902</f>
        <v>22</v>
      </c>
      <c r="K902">
        <f>IF(OR($K$1="",对接源_01水果!$C902="",对接源_01水果!$C902&lt;&gt;$K$1,对接源_01水果!$B902=""),0,IF(OR(N(对接源_01水果!$B902)&lt;$K$2,N(对接源_01水果!$B902)&gt;$K$3),0,1))</f>
        <v>0</v>
      </c>
      <c r="L902">
        <f>IF(OR($L$1="",对接源_01水果!$C902="",对接源_01水果!$C902&lt;&gt;$L$1,对接源_01水果!$B902=""),0,IF(OR(N(对接源_01水果!$B902)&lt;$L$2,N(对接源_01水果!$B902)&gt;$L$3),0,1))</f>
        <v>0</v>
      </c>
      <c r="M902">
        <f>IF(OR($M$1="",对接源_01水果!$C902="",对接源_01水果!$C902&lt;&gt;$M$1,对接源_01水果!$B902=""),0,IF(OR(N(对接源_01水果!$B902)&lt;$M$2,N(对接源_01水果!$B902)&gt;$M$3),0,1))</f>
        <v>0</v>
      </c>
      <c r="N902">
        <f>IF(OR($N$1="",对接源_01水果!$C902="",对接源_01水果!$C902&lt;&gt;$N$1,对接源_01水果!$B902=""),0,IF(OR(N(对接源_01水果!$B902)&lt;$N$2,N(对接源_01水果!$B902)&gt;$N$3),0,1))</f>
        <v>0</v>
      </c>
      <c r="P902">
        <f>IF(AND($K902=1,AND(对接源_01水果!$X902="公司筐",N(对接源_01水果!$T902)&lt;&gt;0)),1,0)</f>
        <v>0</v>
      </c>
      <c r="Q902">
        <f>N(Q901)+$P902</f>
        <v>0</v>
      </c>
      <c r="R902">
        <f>IF(AND($K902=1,AND(对接源_01水果!$X902="公司筐",N(对接源_01水果!$U902)&lt;&gt;0)),1,0)</f>
        <v>0</v>
      </c>
      <c r="S902">
        <f>N(S901)+$R902</f>
        <v>0</v>
      </c>
      <c r="T902">
        <f>IF(AND($K902=1,AND(对接源_01水果!$X902="公司筐",N(对接源_01水果!$V902)&lt;&gt;0)),1,0)</f>
        <v>0</v>
      </c>
      <c r="U902">
        <f>N(U901)+$T902</f>
        <v>47</v>
      </c>
      <c r="V902">
        <f>IF(AND($L902=1,AND(对接源_01水果!$X902="自备筐",N(对接源_01水果!$V902)&lt;&gt;0)),1,0)</f>
        <v>0</v>
      </c>
      <c r="W902">
        <f>N(W901)+$V902</f>
        <v>11</v>
      </c>
      <c r="X902">
        <f>IF(AND($L902=1,AND(对接源_01水果!$X902="自备筐",N(对接源_01水果!$T902)&lt;&gt;0)),1,0)</f>
        <v>0</v>
      </c>
      <c r="Y902">
        <f>N(Y901)+$X902</f>
        <v>0</v>
      </c>
      <c r="Z902">
        <f>IF(AND($M902=1,对接源_01水果!$D902="原料入库"),1,0)</f>
        <v>0</v>
      </c>
      <c r="AA902">
        <f>N(AA901)+$Z902</f>
        <v>24</v>
      </c>
      <c r="AB902">
        <f>IF(AND($M902=1,LEFT(对接源_01水果!$D902,4)="原料出库"),1,0)</f>
        <v>0</v>
      </c>
      <c r="AC902">
        <f>N(AC901)+$AB902</f>
        <v>0</v>
      </c>
      <c r="AD902">
        <f>IF(AND($M902=1,LEFT(对接源_01水果!$D902,4)="成品出库"),1,0)</f>
        <v>0</v>
      </c>
      <c r="AE902">
        <f>N(AE901)+$AD902</f>
        <v>0</v>
      </c>
      <c r="AF902">
        <f>IF(AND($N902=1,AND(LEFT(对接源_01水果!$D902,4)="包装物料",N(对接源_01水果!$K902)&lt;&gt;0)),1,0)</f>
        <v>0</v>
      </c>
      <c r="AG902">
        <f>N(AG901)+$AF902</f>
        <v>0</v>
      </c>
      <c r="AH902">
        <f>IF(AND($N902=1,AND(对接源_01水果!$D902="周转筐－销售出库",N(对接源_01水果!$K902)&lt;&gt;0)),1,0)</f>
        <v>0</v>
      </c>
      <c r="AI902">
        <f>N(AI901)+$AH902</f>
        <v>0</v>
      </c>
      <c r="AJ902" s="7" t="n"/>
      <c r="AL902">
        <f>IF(OR($AL$1="",对接源_01水果!$Y902="",对接源_01水果!$Y902&lt;&gt;$AL$1,对接源_01水果!$B902="",N(对接源_01水果!$AJ902)&lt;=0),0,IF(OR(N(对接源_01水果!$B902)&lt;$AL$2,N(对接源_01水果!$B902)&gt;$AL$3),0,1))</f>
        <v>0</v>
      </c>
      <c r="AM902">
        <f>N(AM901)+$AL902</f>
        <v>2</v>
      </c>
      <c r="AN902">
        <f>IF(对接源_01水果!$AC902="","",对接源_01水果!$AC902)</f>
      </c>
      <c r="AO902">
        <f>IF(AN902="",0,IF(MATCH(AN902,$AN$4:$AN$1203,0)=ROW()-3,1,0))</f>
        <v>0</v>
      </c>
      <c r="AP902">
        <f>N(AP901)+$AO902</f>
        <v>13</v>
      </c>
      <c r="AR902">
        <f>IF(OR($AF902=1,$AH902=1),1,0)</f>
        <v>0</v>
      </c>
      <c r="AS902">
        <f>N(AS901)+$AR902</f>
        <v>0</v>
      </c>
    </row>
    <row r="903" ht="14.25" customHeight="1" s="127">
      <c r="A903">
        <f>IF(对接源_01水果!$C903="","",对接源_01水果!$C903)</f>
      </c>
      <c r="B903">
        <f>IF(A903="",0,IF(MATCH(A903,$A$4:$A$2403,0)=ROW()-3,1,0))</f>
        <v>0</v>
      </c>
      <c r="C903">
        <f>N(C902)+B903</f>
        <v>22</v>
      </c>
      <c r="K903">
        <f>IF(OR($K$1="",对接源_01水果!$C903="",对接源_01水果!$C903&lt;&gt;$K$1,对接源_01水果!$B903=""),0,IF(OR(N(对接源_01水果!$B903)&lt;$K$2,N(对接源_01水果!$B903)&gt;$K$3),0,1))</f>
        <v>0</v>
      </c>
      <c r="L903">
        <f>IF(OR($L$1="",对接源_01水果!$C903="",对接源_01水果!$C903&lt;&gt;$L$1,对接源_01水果!$B903=""),0,IF(OR(N(对接源_01水果!$B903)&lt;$L$2,N(对接源_01水果!$B903)&gt;$L$3),0,1))</f>
        <v>0</v>
      </c>
      <c r="M903">
        <f>IF(OR($M$1="",对接源_01水果!$C903="",对接源_01水果!$C903&lt;&gt;$M$1,对接源_01水果!$B903=""),0,IF(OR(N(对接源_01水果!$B903)&lt;$M$2,N(对接源_01水果!$B903)&gt;$M$3),0,1))</f>
        <v>0</v>
      </c>
      <c r="N903">
        <f>IF(OR($N$1="",对接源_01水果!$C903="",对接源_01水果!$C903&lt;&gt;$N$1,对接源_01水果!$B903=""),0,IF(OR(N(对接源_01水果!$B903)&lt;$N$2,N(对接源_01水果!$B903)&gt;$N$3),0,1))</f>
        <v>0</v>
      </c>
      <c r="P903">
        <f>IF(AND($K903=1,AND(对接源_01水果!$X903="公司筐",N(对接源_01水果!$T903)&lt;&gt;0)),1,0)</f>
        <v>0</v>
      </c>
      <c r="Q903">
        <f>N(Q902)+$P903</f>
        <v>0</v>
      </c>
      <c r="R903">
        <f>IF(AND($K903=1,AND(对接源_01水果!$X903="公司筐",N(对接源_01水果!$U903)&lt;&gt;0)),1,0)</f>
        <v>0</v>
      </c>
      <c r="S903">
        <f>N(S902)+$R903</f>
        <v>0</v>
      </c>
      <c r="T903">
        <f>IF(AND($K903=1,AND(对接源_01水果!$X903="公司筐",N(对接源_01水果!$V903)&lt;&gt;0)),1,0)</f>
        <v>0</v>
      </c>
      <c r="U903">
        <f>N(U902)+$T903</f>
        <v>47</v>
      </c>
      <c r="V903">
        <f>IF(AND($L903=1,AND(对接源_01水果!$X903="自备筐",N(对接源_01水果!$V903)&lt;&gt;0)),1,0)</f>
        <v>0</v>
      </c>
      <c r="W903">
        <f>N(W902)+$V903</f>
        <v>11</v>
      </c>
      <c r="X903">
        <f>IF(AND($L903=1,AND(对接源_01水果!$X903="自备筐",N(对接源_01水果!$T903)&lt;&gt;0)),1,0)</f>
        <v>0</v>
      </c>
      <c r="Y903">
        <f>N(Y902)+$X903</f>
        <v>0</v>
      </c>
      <c r="Z903">
        <f>IF(AND($M903=1,对接源_01水果!$D903="原料入库"),1,0)</f>
        <v>0</v>
      </c>
      <c r="AA903">
        <f>N(AA902)+$Z903</f>
        <v>24</v>
      </c>
      <c r="AB903">
        <f>IF(AND($M903=1,LEFT(对接源_01水果!$D903,4)="原料出库"),1,0)</f>
        <v>0</v>
      </c>
      <c r="AC903">
        <f>N(AC902)+$AB903</f>
        <v>0</v>
      </c>
      <c r="AD903">
        <f>IF(AND($M903=1,LEFT(对接源_01水果!$D903,4)="成品出库"),1,0)</f>
        <v>0</v>
      </c>
      <c r="AE903">
        <f>N(AE902)+$AD903</f>
        <v>0</v>
      </c>
      <c r="AF903">
        <f>IF(AND($N903=1,AND(LEFT(对接源_01水果!$D903,4)="包装物料",N(对接源_01水果!$K903)&lt;&gt;0)),1,0)</f>
        <v>0</v>
      </c>
      <c r="AG903">
        <f>N(AG902)+$AF903</f>
        <v>0</v>
      </c>
      <c r="AH903">
        <f>IF(AND($N903=1,AND(对接源_01水果!$D903="周转筐－销售出库",N(对接源_01水果!$K903)&lt;&gt;0)),1,0)</f>
        <v>0</v>
      </c>
      <c r="AI903">
        <f>N(AI902)+$AH903</f>
        <v>0</v>
      </c>
      <c r="AJ903" s="7" t="n"/>
      <c r="AL903">
        <f>IF(OR($AL$1="",对接源_01水果!$Y903="",对接源_01水果!$Y903&lt;&gt;$AL$1,对接源_01水果!$B903="",N(对接源_01水果!$AJ903)&lt;=0),0,IF(OR(N(对接源_01水果!$B903)&lt;$AL$2,N(对接源_01水果!$B903)&gt;$AL$3),0,1))</f>
        <v>0</v>
      </c>
      <c r="AM903">
        <f>N(AM902)+$AL903</f>
        <v>2</v>
      </c>
      <c r="AN903">
        <f>IF(对接源_01水果!$AC903="","",对接源_01水果!$AC903)</f>
      </c>
      <c r="AO903">
        <f>IF(AN903="",0,IF(MATCH(AN903,$AN$4:$AN$1203,0)=ROW()-3,1,0))</f>
        <v>0</v>
      </c>
      <c r="AP903">
        <f>N(AP902)+$AO903</f>
        <v>13</v>
      </c>
      <c r="AR903">
        <f>IF(OR($AF903=1,$AH903=1),1,0)</f>
        <v>0</v>
      </c>
      <c r="AS903">
        <f>N(AS902)+$AR903</f>
        <v>0</v>
      </c>
    </row>
    <row r="904" ht="14.25" customHeight="1" s="127">
      <c r="A904">
        <f>IF(对接源_01水果!$C904="","",对接源_01水果!$C904)</f>
      </c>
      <c r="B904">
        <f>IF(A904="",0,IF(MATCH(A904,$A$4:$A$2403,0)=ROW()-3,1,0))</f>
        <v>0</v>
      </c>
      <c r="C904">
        <f>N(C903)+B904</f>
        <v>22</v>
      </c>
      <c r="K904">
        <f>IF(OR($K$1="",对接源_01水果!$C904="",对接源_01水果!$C904&lt;&gt;$K$1,对接源_01水果!$B904=""),0,IF(OR(N(对接源_01水果!$B904)&lt;$K$2,N(对接源_01水果!$B904)&gt;$K$3),0,1))</f>
        <v>0</v>
      </c>
      <c r="L904">
        <f>IF(OR($L$1="",对接源_01水果!$C904="",对接源_01水果!$C904&lt;&gt;$L$1,对接源_01水果!$B904=""),0,IF(OR(N(对接源_01水果!$B904)&lt;$L$2,N(对接源_01水果!$B904)&gt;$L$3),0,1))</f>
        <v>0</v>
      </c>
      <c r="M904">
        <f>IF(OR($M$1="",对接源_01水果!$C904="",对接源_01水果!$C904&lt;&gt;$M$1,对接源_01水果!$B904=""),0,IF(OR(N(对接源_01水果!$B904)&lt;$M$2,N(对接源_01水果!$B904)&gt;$M$3),0,1))</f>
        <v>0</v>
      </c>
      <c r="N904">
        <f>IF(OR($N$1="",对接源_01水果!$C904="",对接源_01水果!$C904&lt;&gt;$N$1,对接源_01水果!$B904=""),0,IF(OR(N(对接源_01水果!$B904)&lt;$N$2,N(对接源_01水果!$B904)&gt;$N$3),0,1))</f>
        <v>0</v>
      </c>
      <c r="P904">
        <f>IF(AND($K904=1,AND(对接源_01水果!$X904="公司筐",N(对接源_01水果!$T904)&lt;&gt;0)),1,0)</f>
        <v>0</v>
      </c>
      <c r="Q904">
        <f>N(Q903)+$P904</f>
        <v>0</v>
      </c>
      <c r="R904">
        <f>IF(AND($K904=1,AND(对接源_01水果!$X904="公司筐",N(对接源_01水果!$U904)&lt;&gt;0)),1,0)</f>
        <v>0</v>
      </c>
      <c r="S904">
        <f>N(S903)+$R904</f>
        <v>0</v>
      </c>
      <c r="T904">
        <f>IF(AND($K904=1,AND(对接源_01水果!$X904="公司筐",N(对接源_01水果!$V904)&lt;&gt;0)),1,0)</f>
        <v>0</v>
      </c>
      <c r="U904">
        <f>N(U903)+$T904</f>
        <v>47</v>
      </c>
      <c r="V904">
        <f>IF(AND($L904=1,AND(对接源_01水果!$X904="自备筐",N(对接源_01水果!$V904)&lt;&gt;0)),1,0)</f>
        <v>0</v>
      </c>
      <c r="W904">
        <f>N(W903)+$V904</f>
        <v>11</v>
      </c>
      <c r="X904">
        <f>IF(AND($L904=1,AND(对接源_01水果!$X904="自备筐",N(对接源_01水果!$T904)&lt;&gt;0)),1,0)</f>
        <v>0</v>
      </c>
      <c r="Y904">
        <f>N(Y903)+$X904</f>
        <v>0</v>
      </c>
      <c r="Z904">
        <f>IF(AND($M904=1,对接源_01水果!$D904="原料入库"),1,0)</f>
        <v>0</v>
      </c>
      <c r="AA904">
        <f>N(AA903)+$Z904</f>
        <v>24</v>
      </c>
      <c r="AB904">
        <f>IF(AND($M904=1,LEFT(对接源_01水果!$D904,4)="原料出库"),1,0)</f>
        <v>0</v>
      </c>
      <c r="AC904">
        <f>N(AC903)+$AB904</f>
        <v>0</v>
      </c>
      <c r="AD904">
        <f>IF(AND($M904=1,LEFT(对接源_01水果!$D904,4)="成品出库"),1,0)</f>
        <v>0</v>
      </c>
      <c r="AE904">
        <f>N(AE903)+$AD904</f>
        <v>0</v>
      </c>
      <c r="AF904">
        <f>IF(AND($N904=1,AND(LEFT(对接源_01水果!$D904,4)="包装物料",N(对接源_01水果!$K904)&lt;&gt;0)),1,0)</f>
        <v>0</v>
      </c>
      <c r="AG904">
        <f>N(AG903)+$AF904</f>
        <v>0</v>
      </c>
      <c r="AH904">
        <f>IF(AND($N904=1,AND(对接源_01水果!$D904="周转筐－销售出库",N(对接源_01水果!$K904)&lt;&gt;0)),1,0)</f>
        <v>0</v>
      </c>
      <c r="AI904">
        <f>N(AI903)+$AH904</f>
        <v>0</v>
      </c>
      <c r="AJ904" s="7" t="n"/>
      <c r="AL904">
        <f>IF(OR($AL$1="",对接源_01水果!$Y904="",对接源_01水果!$Y904&lt;&gt;$AL$1,对接源_01水果!$B904="",N(对接源_01水果!$AJ904)&lt;=0),0,IF(OR(N(对接源_01水果!$B904)&lt;$AL$2,N(对接源_01水果!$B904)&gt;$AL$3),0,1))</f>
        <v>0</v>
      </c>
      <c r="AM904">
        <f>N(AM903)+$AL904</f>
        <v>2</v>
      </c>
      <c r="AN904">
        <f>IF(对接源_01水果!$AC904="","",对接源_01水果!$AC904)</f>
      </c>
      <c r="AO904">
        <f>IF(AN904="",0,IF(MATCH(AN904,$AN$4:$AN$1203,0)=ROW()-3,1,0))</f>
        <v>0</v>
      </c>
      <c r="AP904">
        <f>N(AP903)+$AO904</f>
        <v>13</v>
      </c>
      <c r="AR904">
        <f>IF(OR($AF904=1,$AH904=1),1,0)</f>
        <v>0</v>
      </c>
      <c r="AS904">
        <f>N(AS903)+$AR904</f>
        <v>0</v>
      </c>
    </row>
    <row r="905" ht="14.25" customHeight="1" s="127">
      <c r="A905">
        <f>IF(对接源_01水果!$C905="","",对接源_01水果!$C905)</f>
      </c>
      <c r="B905">
        <f>IF(A905="",0,IF(MATCH(A905,$A$4:$A$2403,0)=ROW()-3,1,0))</f>
        <v>0</v>
      </c>
      <c r="C905">
        <f>N(C904)+B905</f>
        <v>22</v>
      </c>
      <c r="K905">
        <f>IF(OR($K$1="",对接源_01水果!$C905="",对接源_01水果!$C905&lt;&gt;$K$1,对接源_01水果!$B905=""),0,IF(OR(N(对接源_01水果!$B905)&lt;$K$2,N(对接源_01水果!$B905)&gt;$K$3),0,1))</f>
        <v>0</v>
      </c>
      <c r="L905">
        <f>IF(OR($L$1="",对接源_01水果!$C905="",对接源_01水果!$C905&lt;&gt;$L$1,对接源_01水果!$B905=""),0,IF(OR(N(对接源_01水果!$B905)&lt;$L$2,N(对接源_01水果!$B905)&gt;$L$3),0,1))</f>
        <v>0</v>
      </c>
      <c r="M905">
        <f>IF(OR($M$1="",对接源_01水果!$C905="",对接源_01水果!$C905&lt;&gt;$M$1,对接源_01水果!$B905=""),0,IF(OR(N(对接源_01水果!$B905)&lt;$M$2,N(对接源_01水果!$B905)&gt;$M$3),0,1))</f>
        <v>0</v>
      </c>
      <c r="N905">
        <f>IF(OR($N$1="",对接源_01水果!$C905="",对接源_01水果!$C905&lt;&gt;$N$1,对接源_01水果!$B905=""),0,IF(OR(N(对接源_01水果!$B905)&lt;$N$2,N(对接源_01水果!$B905)&gt;$N$3),0,1))</f>
        <v>0</v>
      </c>
      <c r="P905">
        <f>IF(AND($K905=1,AND(对接源_01水果!$X905="公司筐",N(对接源_01水果!$T905)&lt;&gt;0)),1,0)</f>
        <v>0</v>
      </c>
      <c r="Q905">
        <f>N(Q904)+$P905</f>
        <v>0</v>
      </c>
      <c r="R905">
        <f>IF(AND($K905=1,AND(对接源_01水果!$X905="公司筐",N(对接源_01水果!$U905)&lt;&gt;0)),1,0)</f>
        <v>0</v>
      </c>
      <c r="S905">
        <f>N(S904)+$R905</f>
        <v>0</v>
      </c>
      <c r="T905">
        <f>IF(AND($K905=1,AND(对接源_01水果!$X905="公司筐",N(对接源_01水果!$V905)&lt;&gt;0)),1,0)</f>
        <v>0</v>
      </c>
      <c r="U905">
        <f>N(U904)+$T905</f>
        <v>47</v>
      </c>
      <c r="V905">
        <f>IF(AND($L905=1,AND(对接源_01水果!$X905="自备筐",N(对接源_01水果!$V905)&lt;&gt;0)),1,0)</f>
        <v>0</v>
      </c>
      <c r="W905">
        <f>N(W904)+$V905</f>
        <v>11</v>
      </c>
      <c r="X905">
        <f>IF(AND($L905=1,AND(对接源_01水果!$X905="自备筐",N(对接源_01水果!$T905)&lt;&gt;0)),1,0)</f>
        <v>0</v>
      </c>
      <c r="Y905">
        <f>N(Y904)+$X905</f>
        <v>0</v>
      </c>
      <c r="Z905">
        <f>IF(AND($M905=1,对接源_01水果!$D905="原料入库"),1,0)</f>
        <v>0</v>
      </c>
      <c r="AA905">
        <f>N(AA904)+$Z905</f>
        <v>24</v>
      </c>
      <c r="AB905">
        <f>IF(AND($M905=1,LEFT(对接源_01水果!$D905,4)="原料出库"),1,0)</f>
        <v>0</v>
      </c>
      <c r="AC905">
        <f>N(AC904)+$AB905</f>
        <v>0</v>
      </c>
      <c r="AD905">
        <f>IF(AND($M905=1,LEFT(对接源_01水果!$D905,4)="成品出库"),1,0)</f>
        <v>0</v>
      </c>
      <c r="AE905">
        <f>N(AE904)+$AD905</f>
        <v>0</v>
      </c>
      <c r="AF905">
        <f>IF(AND($N905=1,AND(LEFT(对接源_01水果!$D905,4)="包装物料",N(对接源_01水果!$K905)&lt;&gt;0)),1,0)</f>
        <v>0</v>
      </c>
      <c r="AG905">
        <f>N(AG904)+$AF905</f>
        <v>0</v>
      </c>
      <c r="AH905">
        <f>IF(AND($N905=1,AND(对接源_01水果!$D905="周转筐－销售出库",N(对接源_01水果!$K905)&lt;&gt;0)),1,0)</f>
        <v>0</v>
      </c>
      <c r="AI905">
        <f>N(AI904)+$AH905</f>
        <v>0</v>
      </c>
      <c r="AJ905" s="7" t="n"/>
      <c r="AL905">
        <f>IF(OR($AL$1="",对接源_01水果!$Y905="",对接源_01水果!$Y905&lt;&gt;$AL$1,对接源_01水果!$B905="",N(对接源_01水果!$AJ905)&lt;=0),0,IF(OR(N(对接源_01水果!$B905)&lt;$AL$2,N(对接源_01水果!$B905)&gt;$AL$3),0,1))</f>
        <v>0</v>
      </c>
      <c r="AM905">
        <f>N(AM904)+$AL905</f>
        <v>2</v>
      </c>
      <c r="AN905">
        <f>IF(对接源_01水果!$AC905="","",对接源_01水果!$AC905)</f>
      </c>
      <c r="AO905">
        <f>IF(AN905="",0,IF(MATCH(AN905,$AN$4:$AN$1203,0)=ROW()-3,1,0))</f>
        <v>0</v>
      </c>
      <c r="AP905">
        <f>N(AP904)+$AO905</f>
        <v>13</v>
      </c>
      <c r="AR905">
        <f>IF(OR($AF905=1,$AH905=1),1,0)</f>
        <v>0</v>
      </c>
      <c r="AS905">
        <f>N(AS904)+$AR905</f>
        <v>0</v>
      </c>
    </row>
    <row r="906" ht="14.25" customHeight="1" s="127">
      <c r="A906">
        <f>IF(对接源_01水果!$C906="","",对接源_01水果!$C906)</f>
      </c>
      <c r="B906">
        <f>IF(A906="",0,IF(MATCH(A906,$A$4:$A$2403,0)=ROW()-3,1,0))</f>
        <v>0</v>
      </c>
      <c r="C906">
        <f>N(C905)+B906</f>
        <v>22</v>
      </c>
      <c r="K906">
        <f>IF(OR($K$1="",对接源_01水果!$C906="",对接源_01水果!$C906&lt;&gt;$K$1,对接源_01水果!$B906=""),0,IF(OR(N(对接源_01水果!$B906)&lt;$K$2,N(对接源_01水果!$B906)&gt;$K$3),0,1))</f>
        <v>0</v>
      </c>
      <c r="L906">
        <f>IF(OR($L$1="",对接源_01水果!$C906="",对接源_01水果!$C906&lt;&gt;$L$1,对接源_01水果!$B906=""),0,IF(OR(N(对接源_01水果!$B906)&lt;$L$2,N(对接源_01水果!$B906)&gt;$L$3),0,1))</f>
        <v>0</v>
      </c>
      <c r="M906">
        <f>IF(OR($M$1="",对接源_01水果!$C906="",对接源_01水果!$C906&lt;&gt;$M$1,对接源_01水果!$B906=""),0,IF(OR(N(对接源_01水果!$B906)&lt;$M$2,N(对接源_01水果!$B906)&gt;$M$3),0,1))</f>
        <v>0</v>
      </c>
      <c r="N906">
        <f>IF(OR($N$1="",对接源_01水果!$C906="",对接源_01水果!$C906&lt;&gt;$N$1,对接源_01水果!$B906=""),0,IF(OR(N(对接源_01水果!$B906)&lt;$N$2,N(对接源_01水果!$B906)&gt;$N$3),0,1))</f>
        <v>0</v>
      </c>
      <c r="P906">
        <f>IF(AND($K906=1,AND(对接源_01水果!$X906="公司筐",N(对接源_01水果!$T906)&lt;&gt;0)),1,0)</f>
        <v>0</v>
      </c>
      <c r="Q906">
        <f>N(Q905)+$P906</f>
        <v>0</v>
      </c>
      <c r="R906">
        <f>IF(AND($K906=1,AND(对接源_01水果!$X906="公司筐",N(对接源_01水果!$U906)&lt;&gt;0)),1,0)</f>
        <v>0</v>
      </c>
      <c r="S906">
        <f>N(S905)+$R906</f>
        <v>0</v>
      </c>
      <c r="T906">
        <f>IF(AND($K906=1,AND(对接源_01水果!$X906="公司筐",N(对接源_01水果!$V906)&lt;&gt;0)),1,0)</f>
        <v>0</v>
      </c>
      <c r="U906">
        <f>N(U905)+$T906</f>
        <v>47</v>
      </c>
      <c r="V906">
        <f>IF(AND($L906=1,AND(对接源_01水果!$X906="自备筐",N(对接源_01水果!$V906)&lt;&gt;0)),1,0)</f>
        <v>0</v>
      </c>
      <c r="W906">
        <f>N(W905)+$V906</f>
        <v>11</v>
      </c>
      <c r="X906">
        <f>IF(AND($L906=1,AND(对接源_01水果!$X906="自备筐",N(对接源_01水果!$T906)&lt;&gt;0)),1,0)</f>
        <v>0</v>
      </c>
      <c r="Y906">
        <f>N(Y905)+$X906</f>
        <v>0</v>
      </c>
      <c r="Z906">
        <f>IF(AND($M906=1,对接源_01水果!$D906="原料入库"),1,0)</f>
        <v>0</v>
      </c>
      <c r="AA906">
        <f>N(AA905)+$Z906</f>
        <v>24</v>
      </c>
      <c r="AB906">
        <f>IF(AND($M906=1,LEFT(对接源_01水果!$D906,4)="原料出库"),1,0)</f>
        <v>0</v>
      </c>
      <c r="AC906">
        <f>N(AC905)+$AB906</f>
        <v>0</v>
      </c>
      <c r="AD906">
        <f>IF(AND($M906=1,LEFT(对接源_01水果!$D906,4)="成品出库"),1,0)</f>
        <v>0</v>
      </c>
      <c r="AE906">
        <f>N(AE905)+$AD906</f>
        <v>0</v>
      </c>
      <c r="AF906">
        <f>IF(AND($N906=1,AND(LEFT(对接源_01水果!$D906,4)="包装物料",N(对接源_01水果!$K906)&lt;&gt;0)),1,0)</f>
        <v>0</v>
      </c>
      <c r="AG906">
        <f>N(AG905)+$AF906</f>
        <v>0</v>
      </c>
      <c r="AH906">
        <f>IF(AND($N906=1,AND(对接源_01水果!$D906="周转筐－销售出库",N(对接源_01水果!$K906)&lt;&gt;0)),1,0)</f>
        <v>0</v>
      </c>
      <c r="AI906">
        <f>N(AI905)+$AH906</f>
        <v>0</v>
      </c>
      <c r="AJ906" s="7" t="n"/>
      <c r="AL906">
        <f>IF(OR($AL$1="",对接源_01水果!$Y906="",对接源_01水果!$Y906&lt;&gt;$AL$1,对接源_01水果!$B906="",N(对接源_01水果!$AJ906)&lt;=0),0,IF(OR(N(对接源_01水果!$B906)&lt;$AL$2,N(对接源_01水果!$B906)&gt;$AL$3),0,1))</f>
        <v>0</v>
      </c>
      <c r="AM906">
        <f>N(AM905)+$AL906</f>
        <v>2</v>
      </c>
      <c r="AN906">
        <f>IF(对接源_01水果!$AC906="","",对接源_01水果!$AC906)</f>
      </c>
      <c r="AO906">
        <f>IF(AN906="",0,IF(MATCH(AN906,$AN$4:$AN$1203,0)=ROW()-3,1,0))</f>
        <v>0</v>
      </c>
      <c r="AP906">
        <f>N(AP905)+$AO906</f>
        <v>13</v>
      </c>
      <c r="AR906">
        <f>IF(OR($AF906=1,$AH906=1),1,0)</f>
        <v>0</v>
      </c>
      <c r="AS906">
        <f>N(AS905)+$AR906</f>
        <v>0</v>
      </c>
    </row>
    <row r="907" ht="14.25" customHeight="1" s="127">
      <c r="A907">
        <f>IF(对接源_01水果!$C907="","",对接源_01水果!$C907)</f>
      </c>
      <c r="B907">
        <f>IF(A907="",0,IF(MATCH(A907,$A$4:$A$2403,0)=ROW()-3,1,0))</f>
        <v>0</v>
      </c>
      <c r="C907">
        <f>N(C906)+B907</f>
        <v>22</v>
      </c>
      <c r="K907">
        <f>IF(OR($K$1="",对接源_01水果!$C907="",对接源_01水果!$C907&lt;&gt;$K$1,对接源_01水果!$B907=""),0,IF(OR(N(对接源_01水果!$B907)&lt;$K$2,N(对接源_01水果!$B907)&gt;$K$3),0,1))</f>
        <v>0</v>
      </c>
      <c r="L907">
        <f>IF(OR($L$1="",对接源_01水果!$C907="",对接源_01水果!$C907&lt;&gt;$L$1,对接源_01水果!$B907=""),0,IF(OR(N(对接源_01水果!$B907)&lt;$L$2,N(对接源_01水果!$B907)&gt;$L$3),0,1))</f>
        <v>0</v>
      </c>
      <c r="M907">
        <f>IF(OR($M$1="",对接源_01水果!$C907="",对接源_01水果!$C907&lt;&gt;$M$1,对接源_01水果!$B907=""),0,IF(OR(N(对接源_01水果!$B907)&lt;$M$2,N(对接源_01水果!$B907)&gt;$M$3),0,1))</f>
        <v>0</v>
      </c>
      <c r="N907">
        <f>IF(OR($N$1="",对接源_01水果!$C907="",对接源_01水果!$C907&lt;&gt;$N$1,对接源_01水果!$B907=""),0,IF(OR(N(对接源_01水果!$B907)&lt;$N$2,N(对接源_01水果!$B907)&gt;$N$3),0,1))</f>
        <v>0</v>
      </c>
      <c r="P907">
        <f>IF(AND($K907=1,AND(对接源_01水果!$X907="公司筐",N(对接源_01水果!$T907)&lt;&gt;0)),1,0)</f>
        <v>0</v>
      </c>
      <c r="Q907">
        <f>N(Q906)+$P907</f>
        <v>0</v>
      </c>
      <c r="R907">
        <f>IF(AND($K907=1,AND(对接源_01水果!$X907="公司筐",N(对接源_01水果!$U907)&lt;&gt;0)),1,0)</f>
        <v>0</v>
      </c>
      <c r="S907">
        <f>N(S906)+$R907</f>
        <v>0</v>
      </c>
      <c r="T907">
        <f>IF(AND($K907=1,AND(对接源_01水果!$X907="公司筐",N(对接源_01水果!$V907)&lt;&gt;0)),1,0)</f>
        <v>0</v>
      </c>
      <c r="U907">
        <f>N(U906)+$T907</f>
        <v>47</v>
      </c>
      <c r="V907">
        <f>IF(AND($L907=1,AND(对接源_01水果!$X907="自备筐",N(对接源_01水果!$V907)&lt;&gt;0)),1,0)</f>
        <v>0</v>
      </c>
      <c r="W907">
        <f>N(W906)+$V907</f>
        <v>11</v>
      </c>
      <c r="X907">
        <f>IF(AND($L907=1,AND(对接源_01水果!$X907="自备筐",N(对接源_01水果!$T907)&lt;&gt;0)),1,0)</f>
        <v>0</v>
      </c>
      <c r="Y907">
        <f>N(Y906)+$X907</f>
        <v>0</v>
      </c>
      <c r="Z907">
        <f>IF(AND($M907=1,对接源_01水果!$D907="原料入库"),1,0)</f>
        <v>0</v>
      </c>
      <c r="AA907">
        <f>N(AA906)+$Z907</f>
        <v>24</v>
      </c>
      <c r="AB907">
        <f>IF(AND($M907=1,LEFT(对接源_01水果!$D907,4)="原料出库"),1,0)</f>
        <v>0</v>
      </c>
      <c r="AC907">
        <f>N(AC906)+$AB907</f>
        <v>0</v>
      </c>
      <c r="AD907">
        <f>IF(AND($M907=1,LEFT(对接源_01水果!$D907,4)="成品出库"),1,0)</f>
        <v>0</v>
      </c>
      <c r="AE907">
        <f>N(AE906)+$AD907</f>
        <v>0</v>
      </c>
      <c r="AF907">
        <f>IF(AND($N907=1,AND(LEFT(对接源_01水果!$D907,4)="包装物料",N(对接源_01水果!$K907)&lt;&gt;0)),1,0)</f>
        <v>0</v>
      </c>
      <c r="AG907">
        <f>N(AG906)+$AF907</f>
        <v>0</v>
      </c>
      <c r="AH907">
        <f>IF(AND($N907=1,AND(对接源_01水果!$D907="周转筐－销售出库",N(对接源_01水果!$K907)&lt;&gt;0)),1,0)</f>
        <v>0</v>
      </c>
      <c r="AI907">
        <f>N(AI906)+$AH907</f>
        <v>0</v>
      </c>
      <c r="AJ907" s="7" t="n"/>
      <c r="AL907">
        <f>IF(OR($AL$1="",对接源_01水果!$Y907="",对接源_01水果!$Y907&lt;&gt;$AL$1,对接源_01水果!$B907="",N(对接源_01水果!$AJ907)&lt;=0),0,IF(OR(N(对接源_01水果!$B907)&lt;$AL$2,N(对接源_01水果!$B907)&gt;$AL$3),0,1))</f>
        <v>0</v>
      </c>
      <c r="AM907">
        <f>N(AM906)+$AL907</f>
        <v>2</v>
      </c>
      <c r="AN907">
        <f>IF(对接源_01水果!$AC907="","",对接源_01水果!$AC907)</f>
      </c>
      <c r="AO907">
        <f>IF(AN907="",0,IF(MATCH(AN907,$AN$4:$AN$1203,0)=ROW()-3,1,0))</f>
        <v>0</v>
      </c>
      <c r="AP907">
        <f>N(AP906)+$AO907</f>
        <v>13</v>
      </c>
      <c r="AR907">
        <f>IF(OR($AF907=1,$AH907=1),1,0)</f>
        <v>0</v>
      </c>
      <c r="AS907">
        <f>N(AS906)+$AR907</f>
        <v>0</v>
      </c>
    </row>
    <row r="908" ht="14.25" customHeight="1" s="127">
      <c r="A908">
        <f>IF(对接源_01水果!$C908="","",对接源_01水果!$C908)</f>
      </c>
      <c r="B908">
        <f>IF(A908="",0,IF(MATCH(A908,$A$4:$A$2403,0)=ROW()-3,1,0))</f>
        <v>0</v>
      </c>
      <c r="C908">
        <f>N(C907)+B908</f>
        <v>22</v>
      </c>
      <c r="K908">
        <f>IF(OR($K$1="",对接源_01水果!$C908="",对接源_01水果!$C908&lt;&gt;$K$1,对接源_01水果!$B908=""),0,IF(OR(N(对接源_01水果!$B908)&lt;$K$2,N(对接源_01水果!$B908)&gt;$K$3),0,1))</f>
        <v>0</v>
      </c>
      <c r="L908">
        <f>IF(OR($L$1="",对接源_01水果!$C908="",对接源_01水果!$C908&lt;&gt;$L$1,对接源_01水果!$B908=""),0,IF(OR(N(对接源_01水果!$B908)&lt;$L$2,N(对接源_01水果!$B908)&gt;$L$3),0,1))</f>
        <v>0</v>
      </c>
      <c r="M908">
        <f>IF(OR($M$1="",对接源_01水果!$C908="",对接源_01水果!$C908&lt;&gt;$M$1,对接源_01水果!$B908=""),0,IF(OR(N(对接源_01水果!$B908)&lt;$M$2,N(对接源_01水果!$B908)&gt;$M$3),0,1))</f>
        <v>0</v>
      </c>
      <c r="N908">
        <f>IF(OR($N$1="",对接源_01水果!$C908="",对接源_01水果!$C908&lt;&gt;$N$1,对接源_01水果!$B908=""),0,IF(OR(N(对接源_01水果!$B908)&lt;$N$2,N(对接源_01水果!$B908)&gt;$N$3),0,1))</f>
        <v>0</v>
      </c>
      <c r="P908">
        <f>IF(AND($K908=1,AND(对接源_01水果!$X908="公司筐",N(对接源_01水果!$T908)&lt;&gt;0)),1,0)</f>
        <v>0</v>
      </c>
      <c r="Q908">
        <f>N(Q907)+$P908</f>
        <v>0</v>
      </c>
      <c r="R908">
        <f>IF(AND($K908=1,AND(对接源_01水果!$X908="公司筐",N(对接源_01水果!$U908)&lt;&gt;0)),1,0)</f>
        <v>0</v>
      </c>
      <c r="S908">
        <f>N(S907)+$R908</f>
        <v>0</v>
      </c>
      <c r="T908">
        <f>IF(AND($K908=1,AND(对接源_01水果!$X908="公司筐",N(对接源_01水果!$V908)&lt;&gt;0)),1,0)</f>
        <v>0</v>
      </c>
      <c r="U908">
        <f>N(U907)+$T908</f>
        <v>47</v>
      </c>
      <c r="V908">
        <f>IF(AND($L908=1,AND(对接源_01水果!$X908="自备筐",N(对接源_01水果!$V908)&lt;&gt;0)),1,0)</f>
        <v>0</v>
      </c>
      <c r="W908">
        <f>N(W907)+$V908</f>
        <v>11</v>
      </c>
      <c r="X908">
        <f>IF(AND($L908=1,AND(对接源_01水果!$X908="自备筐",N(对接源_01水果!$T908)&lt;&gt;0)),1,0)</f>
        <v>0</v>
      </c>
      <c r="Y908">
        <f>N(Y907)+$X908</f>
        <v>0</v>
      </c>
      <c r="Z908">
        <f>IF(AND($M908=1,对接源_01水果!$D908="原料入库"),1,0)</f>
        <v>0</v>
      </c>
      <c r="AA908">
        <f>N(AA907)+$Z908</f>
        <v>24</v>
      </c>
      <c r="AB908">
        <f>IF(AND($M908=1,LEFT(对接源_01水果!$D908,4)="原料出库"),1,0)</f>
        <v>0</v>
      </c>
      <c r="AC908">
        <f>N(AC907)+$AB908</f>
        <v>0</v>
      </c>
      <c r="AD908">
        <f>IF(AND($M908=1,LEFT(对接源_01水果!$D908,4)="成品出库"),1,0)</f>
        <v>0</v>
      </c>
      <c r="AE908">
        <f>N(AE907)+$AD908</f>
        <v>0</v>
      </c>
      <c r="AF908">
        <f>IF(AND($N908=1,AND(LEFT(对接源_01水果!$D908,4)="包装物料",N(对接源_01水果!$K908)&lt;&gt;0)),1,0)</f>
        <v>0</v>
      </c>
      <c r="AG908">
        <f>N(AG907)+$AF908</f>
        <v>0</v>
      </c>
      <c r="AH908">
        <f>IF(AND($N908=1,AND(对接源_01水果!$D908="周转筐－销售出库",N(对接源_01水果!$K908)&lt;&gt;0)),1,0)</f>
        <v>0</v>
      </c>
      <c r="AI908">
        <f>N(AI907)+$AH908</f>
        <v>0</v>
      </c>
      <c r="AJ908" s="7" t="n"/>
      <c r="AL908">
        <f>IF(OR($AL$1="",对接源_01水果!$Y908="",对接源_01水果!$Y908&lt;&gt;$AL$1,对接源_01水果!$B908="",N(对接源_01水果!$AJ908)&lt;=0),0,IF(OR(N(对接源_01水果!$B908)&lt;$AL$2,N(对接源_01水果!$B908)&gt;$AL$3),0,1))</f>
        <v>0</v>
      </c>
      <c r="AM908">
        <f>N(AM907)+$AL908</f>
        <v>2</v>
      </c>
      <c r="AN908">
        <f>IF(对接源_01水果!$AC908="","",对接源_01水果!$AC908)</f>
      </c>
      <c r="AO908">
        <f>IF(AN908="",0,IF(MATCH(AN908,$AN$4:$AN$1203,0)=ROW()-3,1,0))</f>
        <v>0</v>
      </c>
      <c r="AP908">
        <f>N(AP907)+$AO908</f>
        <v>13</v>
      </c>
      <c r="AR908">
        <f>IF(OR($AF908=1,$AH908=1),1,0)</f>
        <v>0</v>
      </c>
      <c r="AS908">
        <f>N(AS907)+$AR908</f>
        <v>0</v>
      </c>
    </row>
    <row r="909" ht="14.25" customHeight="1" s="127">
      <c r="A909">
        <f>IF(对接源_01水果!$C909="","",对接源_01水果!$C909)</f>
      </c>
      <c r="B909">
        <f>IF(A909="",0,IF(MATCH(A909,$A$4:$A$2403,0)=ROW()-3,1,0))</f>
        <v>0</v>
      </c>
      <c r="C909">
        <f>N(C908)+B909</f>
        <v>22</v>
      </c>
      <c r="K909">
        <f>IF(OR($K$1="",对接源_01水果!$C909="",对接源_01水果!$C909&lt;&gt;$K$1,对接源_01水果!$B909=""),0,IF(OR(N(对接源_01水果!$B909)&lt;$K$2,N(对接源_01水果!$B909)&gt;$K$3),0,1))</f>
        <v>0</v>
      </c>
      <c r="L909">
        <f>IF(OR($L$1="",对接源_01水果!$C909="",对接源_01水果!$C909&lt;&gt;$L$1,对接源_01水果!$B909=""),0,IF(OR(N(对接源_01水果!$B909)&lt;$L$2,N(对接源_01水果!$B909)&gt;$L$3),0,1))</f>
        <v>0</v>
      </c>
      <c r="M909">
        <f>IF(OR($M$1="",对接源_01水果!$C909="",对接源_01水果!$C909&lt;&gt;$M$1,对接源_01水果!$B909=""),0,IF(OR(N(对接源_01水果!$B909)&lt;$M$2,N(对接源_01水果!$B909)&gt;$M$3),0,1))</f>
        <v>0</v>
      </c>
      <c r="N909">
        <f>IF(OR($N$1="",对接源_01水果!$C909="",对接源_01水果!$C909&lt;&gt;$N$1,对接源_01水果!$B909=""),0,IF(OR(N(对接源_01水果!$B909)&lt;$N$2,N(对接源_01水果!$B909)&gt;$N$3),0,1))</f>
        <v>0</v>
      </c>
      <c r="P909">
        <f>IF(AND($K909=1,AND(对接源_01水果!$X909="公司筐",N(对接源_01水果!$T909)&lt;&gt;0)),1,0)</f>
        <v>0</v>
      </c>
      <c r="Q909">
        <f>N(Q908)+$P909</f>
        <v>0</v>
      </c>
      <c r="R909">
        <f>IF(AND($K909=1,AND(对接源_01水果!$X909="公司筐",N(对接源_01水果!$U909)&lt;&gt;0)),1,0)</f>
        <v>0</v>
      </c>
      <c r="S909">
        <f>N(S908)+$R909</f>
        <v>0</v>
      </c>
      <c r="T909">
        <f>IF(AND($K909=1,AND(对接源_01水果!$X909="公司筐",N(对接源_01水果!$V909)&lt;&gt;0)),1,0)</f>
        <v>0</v>
      </c>
      <c r="U909">
        <f>N(U908)+$T909</f>
        <v>47</v>
      </c>
      <c r="V909">
        <f>IF(AND($L909=1,AND(对接源_01水果!$X909="自备筐",N(对接源_01水果!$V909)&lt;&gt;0)),1,0)</f>
        <v>0</v>
      </c>
      <c r="W909">
        <f>N(W908)+$V909</f>
        <v>11</v>
      </c>
      <c r="X909">
        <f>IF(AND($L909=1,AND(对接源_01水果!$X909="自备筐",N(对接源_01水果!$T909)&lt;&gt;0)),1,0)</f>
        <v>0</v>
      </c>
      <c r="Y909">
        <f>N(Y908)+$X909</f>
        <v>0</v>
      </c>
      <c r="Z909">
        <f>IF(AND($M909=1,对接源_01水果!$D909="原料入库"),1,0)</f>
        <v>0</v>
      </c>
      <c r="AA909">
        <f>N(AA908)+$Z909</f>
        <v>24</v>
      </c>
      <c r="AB909">
        <f>IF(AND($M909=1,LEFT(对接源_01水果!$D909,4)="原料出库"),1,0)</f>
        <v>0</v>
      </c>
      <c r="AC909">
        <f>N(AC908)+$AB909</f>
        <v>0</v>
      </c>
      <c r="AD909">
        <f>IF(AND($M909=1,LEFT(对接源_01水果!$D909,4)="成品出库"),1,0)</f>
        <v>0</v>
      </c>
      <c r="AE909">
        <f>N(AE908)+$AD909</f>
        <v>0</v>
      </c>
      <c r="AF909">
        <f>IF(AND($N909=1,AND(LEFT(对接源_01水果!$D909,4)="包装物料",N(对接源_01水果!$K909)&lt;&gt;0)),1,0)</f>
        <v>0</v>
      </c>
      <c r="AG909">
        <f>N(AG908)+$AF909</f>
        <v>0</v>
      </c>
      <c r="AH909">
        <f>IF(AND($N909=1,AND(对接源_01水果!$D909="周转筐－销售出库",N(对接源_01水果!$K909)&lt;&gt;0)),1,0)</f>
        <v>0</v>
      </c>
      <c r="AI909">
        <f>N(AI908)+$AH909</f>
        <v>0</v>
      </c>
      <c r="AJ909" s="7" t="n"/>
      <c r="AL909">
        <f>IF(OR($AL$1="",对接源_01水果!$Y909="",对接源_01水果!$Y909&lt;&gt;$AL$1,对接源_01水果!$B909="",N(对接源_01水果!$AJ909)&lt;=0),0,IF(OR(N(对接源_01水果!$B909)&lt;$AL$2,N(对接源_01水果!$B909)&gt;$AL$3),0,1))</f>
        <v>0</v>
      </c>
      <c r="AM909">
        <f>N(AM908)+$AL909</f>
        <v>2</v>
      </c>
      <c r="AN909">
        <f>IF(对接源_01水果!$AC909="","",对接源_01水果!$AC909)</f>
      </c>
      <c r="AO909">
        <f>IF(AN909="",0,IF(MATCH(AN909,$AN$4:$AN$1203,0)=ROW()-3,1,0))</f>
        <v>0</v>
      </c>
      <c r="AP909">
        <f>N(AP908)+$AO909</f>
        <v>13</v>
      </c>
      <c r="AR909">
        <f>IF(OR($AF909=1,$AH909=1),1,0)</f>
        <v>0</v>
      </c>
      <c r="AS909">
        <f>N(AS908)+$AR909</f>
        <v>0</v>
      </c>
    </row>
    <row r="910" ht="14.25" customHeight="1" s="127">
      <c r="A910">
        <f>IF(对接源_01水果!$C910="","",对接源_01水果!$C910)</f>
      </c>
      <c r="B910">
        <f>IF(A910="",0,IF(MATCH(A910,$A$4:$A$2403,0)=ROW()-3,1,0))</f>
        <v>0</v>
      </c>
      <c r="C910">
        <f>N(C909)+B910</f>
        <v>22</v>
      </c>
      <c r="K910">
        <f>IF(OR($K$1="",对接源_01水果!$C910="",对接源_01水果!$C910&lt;&gt;$K$1,对接源_01水果!$B910=""),0,IF(OR(N(对接源_01水果!$B910)&lt;$K$2,N(对接源_01水果!$B910)&gt;$K$3),0,1))</f>
        <v>0</v>
      </c>
      <c r="L910">
        <f>IF(OR($L$1="",对接源_01水果!$C910="",对接源_01水果!$C910&lt;&gt;$L$1,对接源_01水果!$B910=""),0,IF(OR(N(对接源_01水果!$B910)&lt;$L$2,N(对接源_01水果!$B910)&gt;$L$3),0,1))</f>
        <v>0</v>
      </c>
      <c r="M910">
        <f>IF(OR($M$1="",对接源_01水果!$C910="",对接源_01水果!$C910&lt;&gt;$M$1,对接源_01水果!$B910=""),0,IF(OR(N(对接源_01水果!$B910)&lt;$M$2,N(对接源_01水果!$B910)&gt;$M$3),0,1))</f>
        <v>0</v>
      </c>
      <c r="N910">
        <f>IF(OR($N$1="",对接源_01水果!$C910="",对接源_01水果!$C910&lt;&gt;$N$1,对接源_01水果!$B910=""),0,IF(OR(N(对接源_01水果!$B910)&lt;$N$2,N(对接源_01水果!$B910)&gt;$N$3),0,1))</f>
        <v>0</v>
      </c>
      <c r="P910">
        <f>IF(AND($K910=1,AND(对接源_01水果!$X910="公司筐",N(对接源_01水果!$T910)&lt;&gt;0)),1,0)</f>
        <v>0</v>
      </c>
      <c r="Q910">
        <f>N(Q909)+$P910</f>
        <v>0</v>
      </c>
      <c r="R910">
        <f>IF(AND($K910=1,AND(对接源_01水果!$X910="公司筐",N(对接源_01水果!$U910)&lt;&gt;0)),1,0)</f>
        <v>0</v>
      </c>
      <c r="S910">
        <f>N(S909)+$R910</f>
        <v>0</v>
      </c>
      <c r="T910">
        <f>IF(AND($K910=1,AND(对接源_01水果!$X910="公司筐",N(对接源_01水果!$V910)&lt;&gt;0)),1,0)</f>
        <v>0</v>
      </c>
      <c r="U910">
        <f>N(U909)+$T910</f>
        <v>47</v>
      </c>
      <c r="V910">
        <f>IF(AND($L910=1,AND(对接源_01水果!$X910="自备筐",N(对接源_01水果!$V910)&lt;&gt;0)),1,0)</f>
        <v>0</v>
      </c>
      <c r="W910">
        <f>N(W909)+$V910</f>
        <v>11</v>
      </c>
      <c r="X910">
        <f>IF(AND($L910=1,AND(对接源_01水果!$X910="自备筐",N(对接源_01水果!$T910)&lt;&gt;0)),1,0)</f>
        <v>0</v>
      </c>
      <c r="Y910">
        <f>N(Y909)+$X910</f>
        <v>0</v>
      </c>
      <c r="Z910">
        <f>IF(AND($M910=1,对接源_01水果!$D910="原料入库"),1,0)</f>
        <v>0</v>
      </c>
      <c r="AA910">
        <f>N(AA909)+$Z910</f>
        <v>24</v>
      </c>
      <c r="AB910">
        <f>IF(AND($M910=1,LEFT(对接源_01水果!$D910,4)="原料出库"),1,0)</f>
        <v>0</v>
      </c>
      <c r="AC910">
        <f>N(AC909)+$AB910</f>
        <v>0</v>
      </c>
      <c r="AD910">
        <f>IF(AND($M910=1,LEFT(对接源_01水果!$D910,4)="成品出库"),1,0)</f>
        <v>0</v>
      </c>
      <c r="AE910">
        <f>N(AE909)+$AD910</f>
        <v>0</v>
      </c>
      <c r="AF910">
        <f>IF(AND($N910=1,AND(LEFT(对接源_01水果!$D910,4)="包装物料",N(对接源_01水果!$K910)&lt;&gt;0)),1,0)</f>
        <v>0</v>
      </c>
      <c r="AG910">
        <f>N(AG909)+$AF910</f>
        <v>0</v>
      </c>
      <c r="AH910">
        <f>IF(AND($N910=1,AND(对接源_01水果!$D910="周转筐－销售出库",N(对接源_01水果!$K910)&lt;&gt;0)),1,0)</f>
        <v>0</v>
      </c>
      <c r="AI910">
        <f>N(AI909)+$AH910</f>
        <v>0</v>
      </c>
      <c r="AJ910" s="7" t="n"/>
      <c r="AL910">
        <f>IF(OR($AL$1="",对接源_01水果!$Y910="",对接源_01水果!$Y910&lt;&gt;$AL$1,对接源_01水果!$B910="",N(对接源_01水果!$AJ910)&lt;=0),0,IF(OR(N(对接源_01水果!$B910)&lt;$AL$2,N(对接源_01水果!$B910)&gt;$AL$3),0,1))</f>
        <v>0</v>
      </c>
      <c r="AM910">
        <f>N(AM909)+$AL910</f>
        <v>2</v>
      </c>
      <c r="AN910">
        <f>IF(对接源_01水果!$AC910="","",对接源_01水果!$AC910)</f>
      </c>
      <c r="AO910">
        <f>IF(AN910="",0,IF(MATCH(AN910,$AN$4:$AN$1203,0)=ROW()-3,1,0))</f>
        <v>0</v>
      </c>
      <c r="AP910">
        <f>N(AP909)+$AO910</f>
        <v>13</v>
      </c>
      <c r="AR910">
        <f>IF(OR($AF910=1,$AH910=1),1,0)</f>
        <v>0</v>
      </c>
      <c r="AS910">
        <f>N(AS909)+$AR910</f>
        <v>0</v>
      </c>
    </row>
    <row r="911" ht="14.25" customHeight="1" s="127">
      <c r="A911">
        <f>IF(对接源_01水果!$C911="","",对接源_01水果!$C911)</f>
      </c>
      <c r="B911">
        <f>IF(A911="",0,IF(MATCH(A911,$A$4:$A$2403,0)=ROW()-3,1,0))</f>
        <v>0</v>
      </c>
      <c r="C911">
        <f>N(C910)+B911</f>
        <v>22</v>
      </c>
      <c r="K911">
        <f>IF(OR($K$1="",对接源_01水果!$C911="",对接源_01水果!$C911&lt;&gt;$K$1,对接源_01水果!$B911=""),0,IF(OR(N(对接源_01水果!$B911)&lt;$K$2,N(对接源_01水果!$B911)&gt;$K$3),0,1))</f>
        <v>0</v>
      </c>
      <c r="L911">
        <f>IF(OR($L$1="",对接源_01水果!$C911="",对接源_01水果!$C911&lt;&gt;$L$1,对接源_01水果!$B911=""),0,IF(OR(N(对接源_01水果!$B911)&lt;$L$2,N(对接源_01水果!$B911)&gt;$L$3),0,1))</f>
        <v>0</v>
      </c>
      <c r="M911">
        <f>IF(OR($M$1="",对接源_01水果!$C911="",对接源_01水果!$C911&lt;&gt;$M$1,对接源_01水果!$B911=""),0,IF(OR(N(对接源_01水果!$B911)&lt;$M$2,N(对接源_01水果!$B911)&gt;$M$3),0,1))</f>
        <v>0</v>
      </c>
      <c r="N911">
        <f>IF(OR($N$1="",对接源_01水果!$C911="",对接源_01水果!$C911&lt;&gt;$N$1,对接源_01水果!$B911=""),0,IF(OR(N(对接源_01水果!$B911)&lt;$N$2,N(对接源_01水果!$B911)&gt;$N$3),0,1))</f>
        <v>0</v>
      </c>
      <c r="P911">
        <f>IF(AND($K911=1,AND(对接源_01水果!$X911="公司筐",N(对接源_01水果!$T911)&lt;&gt;0)),1,0)</f>
        <v>0</v>
      </c>
      <c r="Q911">
        <f>N(Q910)+$P911</f>
        <v>0</v>
      </c>
      <c r="R911">
        <f>IF(AND($K911=1,AND(对接源_01水果!$X911="公司筐",N(对接源_01水果!$U911)&lt;&gt;0)),1,0)</f>
        <v>0</v>
      </c>
      <c r="S911">
        <f>N(S910)+$R911</f>
        <v>0</v>
      </c>
      <c r="T911">
        <f>IF(AND($K911=1,AND(对接源_01水果!$X911="公司筐",N(对接源_01水果!$V911)&lt;&gt;0)),1,0)</f>
        <v>0</v>
      </c>
      <c r="U911">
        <f>N(U910)+$T911</f>
        <v>47</v>
      </c>
      <c r="V911">
        <f>IF(AND($L911=1,AND(对接源_01水果!$X911="自备筐",N(对接源_01水果!$V911)&lt;&gt;0)),1,0)</f>
        <v>0</v>
      </c>
      <c r="W911">
        <f>N(W910)+$V911</f>
        <v>11</v>
      </c>
      <c r="X911">
        <f>IF(AND($L911=1,AND(对接源_01水果!$X911="自备筐",N(对接源_01水果!$T911)&lt;&gt;0)),1,0)</f>
        <v>0</v>
      </c>
      <c r="Y911">
        <f>N(Y910)+$X911</f>
        <v>0</v>
      </c>
      <c r="Z911">
        <f>IF(AND($M911=1,对接源_01水果!$D911="原料入库"),1,0)</f>
        <v>0</v>
      </c>
      <c r="AA911">
        <f>N(AA910)+$Z911</f>
        <v>24</v>
      </c>
      <c r="AB911">
        <f>IF(AND($M911=1,LEFT(对接源_01水果!$D911,4)="原料出库"),1,0)</f>
        <v>0</v>
      </c>
      <c r="AC911">
        <f>N(AC910)+$AB911</f>
        <v>0</v>
      </c>
      <c r="AD911">
        <f>IF(AND($M911=1,LEFT(对接源_01水果!$D911,4)="成品出库"),1,0)</f>
        <v>0</v>
      </c>
      <c r="AE911">
        <f>N(AE910)+$AD911</f>
        <v>0</v>
      </c>
      <c r="AF911">
        <f>IF(AND($N911=1,AND(LEFT(对接源_01水果!$D911,4)="包装物料",N(对接源_01水果!$K911)&lt;&gt;0)),1,0)</f>
        <v>0</v>
      </c>
      <c r="AG911">
        <f>N(AG910)+$AF911</f>
        <v>0</v>
      </c>
      <c r="AH911">
        <f>IF(AND($N911=1,AND(对接源_01水果!$D911="周转筐－销售出库",N(对接源_01水果!$K911)&lt;&gt;0)),1,0)</f>
        <v>0</v>
      </c>
      <c r="AI911">
        <f>N(AI910)+$AH911</f>
        <v>0</v>
      </c>
      <c r="AJ911" s="7" t="n"/>
      <c r="AL911">
        <f>IF(OR($AL$1="",对接源_01水果!$Y911="",对接源_01水果!$Y911&lt;&gt;$AL$1,对接源_01水果!$B911="",N(对接源_01水果!$AJ911)&lt;=0),0,IF(OR(N(对接源_01水果!$B911)&lt;$AL$2,N(对接源_01水果!$B911)&gt;$AL$3),0,1))</f>
        <v>0</v>
      </c>
      <c r="AM911">
        <f>N(AM910)+$AL911</f>
        <v>2</v>
      </c>
      <c r="AN911">
        <f>IF(对接源_01水果!$AC911="","",对接源_01水果!$AC911)</f>
      </c>
      <c r="AO911">
        <f>IF(AN911="",0,IF(MATCH(AN911,$AN$4:$AN$1203,0)=ROW()-3,1,0))</f>
        <v>0</v>
      </c>
      <c r="AP911">
        <f>N(AP910)+$AO911</f>
        <v>13</v>
      </c>
      <c r="AR911">
        <f>IF(OR($AF911=1,$AH911=1),1,0)</f>
        <v>0</v>
      </c>
      <c r="AS911">
        <f>N(AS910)+$AR911</f>
        <v>0</v>
      </c>
    </row>
    <row r="912" ht="14.25" customHeight="1" s="127">
      <c r="A912">
        <f>IF(对接源_01水果!$C912="","",对接源_01水果!$C912)</f>
      </c>
      <c r="B912">
        <f>IF(A912="",0,IF(MATCH(A912,$A$4:$A$2403,0)=ROW()-3,1,0))</f>
        <v>0</v>
      </c>
      <c r="C912">
        <f>N(C911)+B912</f>
        <v>22</v>
      </c>
      <c r="K912">
        <f>IF(OR($K$1="",对接源_01水果!$C912="",对接源_01水果!$C912&lt;&gt;$K$1,对接源_01水果!$B912=""),0,IF(OR(N(对接源_01水果!$B912)&lt;$K$2,N(对接源_01水果!$B912)&gt;$K$3),0,1))</f>
        <v>0</v>
      </c>
      <c r="L912">
        <f>IF(OR($L$1="",对接源_01水果!$C912="",对接源_01水果!$C912&lt;&gt;$L$1,对接源_01水果!$B912=""),0,IF(OR(N(对接源_01水果!$B912)&lt;$L$2,N(对接源_01水果!$B912)&gt;$L$3),0,1))</f>
        <v>0</v>
      </c>
      <c r="M912">
        <f>IF(OR($M$1="",对接源_01水果!$C912="",对接源_01水果!$C912&lt;&gt;$M$1,对接源_01水果!$B912=""),0,IF(OR(N(对接源_01水果!$B912)&lt;$M$2,N(对接源_01水果!$B912)&gt;$M$3),0,1))</f>
        <v>0</v>
      </c>
      <c r="N912">
        <f>IF(OR($N$1="",对接源_01水果!$C912="",对接源_01水果!$C912&lt;&gt;$N$1,对接源_01水果!$B912=""),0,IF(OR(N(对接源_01水果!$B912)&lt;$N$2,N(对接源_01水果!$B912)&gt;$N$3),0,1))</f>
        <v>0</v>
      </c>
      <c r="P912">
        <f>IF(AND($K912=1,AND(对接源_01水果!$X912="公司筐",N(对接源_01水果!$T912)&lt;&gt;0)),1,0)</f>
        <v>0</v>
      </c>
      <c r="Q912">
        <f>N(Q911)+$P912</f>
        <v>0</v>
      </c>
      <c r="R912">
        <f>IF(AND($K912=1,AND(对接源_01水果!$X912="公司筐",N(对接源_01水果!$U912)&lt;&gt;0)),1,0)</f>
        <v>0</v>
      </c>
      <c r="S912">
        <f>N(S911)+$R912</f>
        <v>0</v>
      </c>
      <c r="T912">
        <f>IF(AND($K912=1,AND(对接源_01水果!$X912="公司筐",N(对接源_01水果!$V912)&lt;&gt;0)),1,0)</f>
        <v>0</v>
      </c>
      <c r="U912">
        <f>N(U911)+$T912</f>
        <v>47</v>
      </c>
      <c r="V912">
        <f>IF(AND($L912=1,AND(对接源_01水果!$X912="自备筐",N(对接源_01水果!$V912)&lt;&gt;0)),1,0)</f>
        <v>0</v>
      </c>
      <c r="W912">
        <f>N(W911)+$V912</f>
        <v>11</v>
      </c>
      <c r="X912">
        <f>IF(AND($L912=1,AND(对接源_01水果!$X912="自备筐",N(对接源_01水果!$T912)&lt;&gt;0)),1,0)</f>
        <v>0</v>
      </c>
      <c r="Y912">
        <f>N(Y911)+$X912</f>
        <v>0</v>
      </c>
      <c r="Z912">
        <f>IF(AND($M912=1,对接源_01水果!$D912="原料入库"),1,0)</f>
        <v>0</v>
      </c>
      <c r="AA912">
        <f>N(AA911)+$Z912</f>
        <v>24</v>
      </c>
      <c r="AB912">
        <f>IF(AND($M912=1,LEFT(对接源_01水果!$D912,4)="原料出库"),1,0)</f>
        <v>0</v>
      </c>
      <c r="AC912">
        <f>N(AC911)+$AB912</f>
        <v>0</v>
      </c>
      <c r="AD912">
        <f>IF(AND($M912=1,LEFT(对接源_01水果!$D912,4)="成品出库"),1,0)</f>
        <v>0</v>
      </c>
      <c r="AE912">
        <f>N(AE911)+$AD912</f>
        <v>0</v>
      </c>
      <c r="AF912">
        <f>IF(AND($N912=1,AND(LEFT(对接源_01水果!$D912,4)="包装物料",N(对接源_01水果!$K912)&lt;&gt;0)),1,0)</f>
        <v>0</v>
      </c>
      <c r="AG912">
        <f>N(AG911)+$AF912</f>
        <v>0</v>
      </c>
      <c r="AH912">
        <f>IF(AND($N912=1,AND(对接源_01水果!$D912="周转筐－销售出库",N(对接源_01水果!$K912)&lt;&gt;0)),1,0)</f>
        <v>0</v>
      </c>
      <c r="AI912">
        <f>N(AI911)+$AH912</f>
        <v>0</v>
      </c>
      <c r="AJ912" s="7" t="n"/>
      <c r="AL912">
        <f>IF(OR($AL$1="",对接源_01水果!$Y912="",对接源_01水果!$Y912&lt;&gt;$AL$1,对接源_01水果!$B912="",N(对接源_01水果!$AJ912)&lt;=0),0,IF(OR(N(对接源_01水果!$B912)&lt;$AL$2,N(对接源_01水果!$B912)&gt;$AL$3),0,1))</f>
        <v>0</v>
      </c>
      <c r="AM912">
        <f>N(AM911)+$AL912</f>
        <v>2</v>
      </c>
      <c r="AN912">
        <f>IF(对接源_01水果!$AC912="","",对接源_01水果!$AC912)</f>
      </c>
      <c r="AO912">
        <f>IF(AN912="",0,IF(MATCH(AN912,$AN$4:$AN$1203,0)=ROW()-3,1,0))</f>
        <v>0</v>
      </c>
      <c r="AP912">
        <f>N(AP911)+$AO912</f>
        <v>13</v>
      </c>
      <c r="AR912">
        <f>IF(OR($AF912=1,$AH912=1),1,0)</f>
        <v>0</v>
      </c>
      <c r="AS912">
        <f>N(AS911)+$AR912</f>
        <v>0</v>
      </c>
    </row>
    <row r="913" ht="14.25" customHeight="1" s="127">
      <c r="A913">
        <f>IF(对接源_01水果!$C913="","",对接源_01水果!$C913)</f>
      </c>
      <c r="B913">
        <f>IF(A913="",0,IF(MATCH(A913,$A$4:$A$2403,0)=ROW()-3,1,0))</f>
        <v>0</v>
      </c>
      <c r="C913">
        <f>N(C912)+B913</f>
        <v>22</v>
      </c>
      <c r="K913">
        <f>IF(OR($K$1="",对接源_01水果!$C913="",对接源_01水果!$C913&lt;&gt;$K$1,对接源_01水果!$B913=""),0,IF(OR(N(对接源_01水果!$B913)&lt;$K$2,N(对接源_01水果!$B913)&gt;$K$3),0,1))</f>
        <v>0</v>
      </c>
      <c r="L913">
        <f>IF(OR($L$1="",对接源_01水果!$C913="",对接源_01水果!$C913&lt;&gt;$L$1,对接源_01水果!$B913=""),0,IF(OR(N(对接源_01水果!$B913)&lt;$L$2,N(对接源_01水果!$B913)&gt;$L$3),0,1))</f>
        <v>0</v>
      </c>
      <c r="M913">
        <f>IF(OR($M$1="",对接源_01水果!$C913="",对接源_01水果!$C913&lt;&gt;$M$1,对接源_01水果!$B913=""),0,IF(OR(N(对接源_01水果!$B913)&lt;$M$2,N(对接源_01水果!$B913)&gt;$M$3),0,1))</f>
        <v>0</v>
      </c>
      <c r="N913">
        <f>IF(OR($N$1="",对接源_01水果!$C913="",对接源_01水果!$C913&lt;&gt;$N$1,对接源_01水果!$B913=""),0,IF(OR(N(对接源_01水果!$B913)&lt;$N$2,N(对接源_01水果!$B913)&gt;$N$3),0,1))</f>
        <v>0</v>
      </c>
      <c r="P913">
        <f>IF(AND($K913=1,AND(对接源_01水果!$X913="公司筐",N(对接源_01水果!$T913)&lt;&gt;0)),1,0)</f>
        <v>0</v>
      </c>
      <c r="Q913">
        <f>N(Q912)+$P913</f>
        <v>0</v>
      </c>
      <c r="R913">
        <f>IF(AND($K913=1,AND(对接源_01水果!$X913="公司筐",N(对接源_01水果!$U913)&lt;&gt;0)),1,0)</f>
        <v>0</v>
      </c>
      <c r="S913">
        <f>N(S912)+$R913</f>
        <v>0</v>
      </c>
      <c r="T913">
        <f>IF(AND($K913=1,AND(对接源_01水果!$X913="公司筐",N(对接源_01水果!$V913)&lt;&gt;0)),1,0)</f>
        <v>0</v>
      </c>
      <c r="U913">
        <f>N(U912)+$T913</f>
        <v>47</v>
      </c>
      <c r="V913">
        <f>IF(AND($L913=1,AND(对接源_01水果!$X913="自备筐",N(对接源_01水果!$V913)&lt;&gt;0)),1,0)</f>
        <v>0</v>
      </c>
      <c r="W913">
        <f>N(W912)+$V913</f>
        <v>11</v>
      </c>
      <c r="X913">
        <f>IF(AND($L913=1,AND(对接源_01水果!$X913="自备筐",N(对接源_01水果!$T913)&lt;&gt;0)),1,0)</f>
        <v>0</v>
      </c>
      <c r="Y913">
        <f>N(Y912)+$X913</f>
        <v>0</v>
      </c>
      <c r="Z913">
        <f>IF(AND($M913=1,对接源_01水果!$D913="原料入库"),1,0)</f>
        <v>0</v>
      </c>
      <c r="AA913">
        <f>N(AA912)+$Z913</f>
        <v>24</v>
      </c>
      <c r="AB913">
        <f>IF(AND($M913=1,LEFT(对接源_01水果!$D913,4)="原料出库"),1,0)</f>
        <v>0</v>
      </c>
      <c r="AC913">
        <f>N(AC912)+$AB913</f>
        <v>0</v>
      </c>
      <c r="AD913">
        <f>IF(AND($M913=1,LEFT(对接源_01水果!$D913,4)="成品出库"),1,0)</f>
        <v>0</v>
      </c>
      <c r="AE913">
        <f>N(AE912)+$AD913</f>
        <v>0</v>
      </c>
      <c r="AF913">
        <f>IF(AND($N913=1,AND(LEFT(对接源_01水果!$D913,4)="包装物料",N(对接源_01水果!$K913)&lt;&gt;0)),1,0)</f>
        <v>0</v>
      </c>
      <c r="AG913">
        <f>N(AG912)+$AF913</f>
        <v>0</v>
      </c>
      <c r="AH913">
        <f>IF(AND($N913=1,AND(对接源_01水果!$D913="周转筐－销售出库",N(对接源_01水果!$K913)&lt;&gt;0)),1,0)</f>
        <v>0</v>
      </c>
      <c r="AI913">
        <f>N(AI912)+$AH913</f>
        <v>0</v>
      </c>
      <c r="AJ913" s="7" t="n"/>
      <c r="AL913">
        <f>IF(OR($AL$1="",对接源_01水果!$Y913="",对接源_01水果!$Y913&lt;&gt;$AL$1,对接源_01水果!$B913="",N(对接源_01水果!$AJ913)&lt;=0),0,IF(OR(N(对接源_01水果!$B913)&lt;$AL$2,N(对接源_01水果!$B913)&gt;$AL$3),0,1))</f>
        <v>0</v>
      </c>
      <c r="AM913">
        <f>N(AM912)+$AL913</f>
        <v>2</v>
      </c>
      <c r="AN913">
        <f>IF(对接源_01水果!$AC913="","",对接源_01水果!$AC913)</f>
      </c>
      <c r="AO913">
        <f>IF(AN913="",0,IF(MATCH(AN913,$AN$4:$AN$1203,0)=ROW()-3,1,0))</f>
        <v>0</v>
      </c>
      <c r="AP913">
        <f>N(AP912)+$AO913</f>
        <v>13</v>
      </c>
      <c r="AR913">
        <f>IF(OR($AF913=1,$AH913=1),1,0)</f>
        <v>0</v>
      </c>
      <c r="AS913">
        <f>N(AS912)+$AR913</f>
        <v>0</v>
      </c>
    </row>
    <row r="914" ht="14.25" customHeight="1" s="127">
      <c r="A914">
        <f>IF(对接源_01水果!$C914="","",对接源_01水果!$C914)</f>
      </c>
      <c r="B914">
        <f>IF(A914="",0,IF(MATCH(A914,$A$4:$A$2403,0)=ROW()-3,1,0))</f>
        <v>0</v>
      </c>
      <c r="C914">
        <f>N(C913)+B914</f>
        <v>22</v>
      </c>
      <c r="K914">
        <f>IF(OR($K$1="",对接源_01水果!$C914="",对接源_01水果!$C914&lt;&gt;$K$1,对接源_01水果!$B914=""),0,IF(OR(N(对接源_01水果!$B914)&lt;$K$2,N(对接源_01水果!$B914)&gt;$K$3),0,1))</f>
        <v>0</v>
      </c>
      <c r="L914">
        <f>IF(OR($L$1="",对接源_01水果!$C914="",对接源_01水果!$C914&lt;&gt;$L$1,对接源_01水果!$B914=""),0,IF(OR(N(对接源_01水果!$B914)&lt;$L$2,N(对接源_01水果!$B914)&gt;$L$3),0,1))</f>
        <v>0</v>
      </c>
      <c r="M914">
        <f>IF(OR($M$1="",对接源_01水果!$C914="",对接源_01水果!$C914&lt;&gt;$M$1,对接源_01水果!$B914=""),0,IF(OR(N(对接源_01水果!$B914)&lt;$M$2,N(对接源_01水果!$B914)&gt;$M$3),0,1))</f>
        <v>0</v>
      </c>
      <c r="N914">
        <f>IF(OR($N$1="",对接源_01水果!$C914="",对接源_01水果!$C914&lt;&gt;$N$1,对接源_01水果!$B914=""),0,IF(OR(N(对接源_01水果!$B914)&lt;$N$2,N(对接源_01水果!$B914)&gt;$N$3),0,1))</f>
        <v>0</v>
      </c>
      <c r="P914">
        <f>IF(AND($K914=1,AND(对接源_01水果!$X914="公司筐",N(对接源_01水果!$T914)&lt;&gt;0)),1,0)</f>
        <v>0</v>
      </c>
      <c r="Q914">
        <f>N(Q913)+$P914</f>
        <v>0</v>
      </c>
      <c r="R914">
        <f>IF(AND($K914=1,AND(对接源_01水果!$X914="公司筐",N(对接源_01水果!$U914)&lt;&gt;0)),1,0)</f>
        <v>0</v>
      </c>
      <c r="S914">
        <f>N(S913)+$R914</f>
        <v>0</v>
      </c>
      <c r="T914">
        <f>IF(AND($K914=1,AND(对接源_01水果!$X914="公司筐",N(对接源_01水果!$V914)&lt;&gt;0)),1,0)</f>
        <v>0</v>
      </c>
      <c r="U914">
        <f>N(U913)+$T914</f>
        <v>47</v>
      </c>
      <c r="V914">
        <f>IF(AND($L914=1,AND(对接源_01水果!$X914="自备筐",N(对接源_01水果!$V914)&lt;&gt;0)),1,0)</f>
        <v>0</v>
      </c>
      <c r="W914">
        <f>N(W913)+$V914</f>
        <v>11</v>
      </c>
      <c r="X914">
        <f>IF(AND($L914=1,AND(对接源_01水果!$X914="自备筐",N(对接源_01水果!$T914)&lt;&gt;0)),1,0)</f>
        <v>0</v>
      </c>
      <c r="Y914">
        <f>N(Y913)+$X914</f>
        <v>0</v>
      </c>
      <c r="Z914">
        <f>IF(AND($M914=1,对接源_01水果!$D914="原料入库"),1,0)</f>
        <v>0</v>
      </c>
      <c r="AA914">
        <f>N(AA913)+$Z914</f>
        <v>24</v>
      </c>
      <c r="AB914">
        <f>IF(AND($M914=1,LEFT(对接源_01水果!$D914,4)="原料出库"),1,0)</f>
        <v>0</v>
      </c>
      <c r="AC914">
        <f>N(AC913)+$AB914</f>
        <v>0</v>
      </c>
      <c r="AD914">
        <f>IF(AND($M914=1,LEFT(对接源_01水果!$D914,4)="成品出库"),1,0)</f>
        <v>0</v>
      </c>
      <c r="AE914">
        <f>N(AE913)+$AD914</f>
        <v>0</v>
      </c>
      <c r="AF914">
        <f>IF(AND($N914=1,AND(LEFT(对接源_01水果!$D914,4)="包装物料",N(对接源_01水果!$K914)&lt;&gt;0)),1,0)</f>
        <v>0</v>
      </c>
      <c r="AG914">
        <f>N(AG913)+$AF914</f>
        <v>0</v>
      </c>
      <c r="AH914">
        <f>IF(AND($N914=1,AND(对接源_01水果!$D914="周转筐－销售出库",N(对接源_01水果!$K914)&lt;&gt;0)),1,0)</f>
        <v>0</v>
      </c>
      <c r="AI914">
        <f>N(AI913)+$AH914</f>
        <v>0</v>
      </c>
      <c r="AJ914" s="7" t="n"/>
      <c r="AL914">
        <f>IF(OR($AL$1="",对接源_01水果!$Y914="",对接源_01水果!$Y914&lt;&gt;$AL$1,对接源_01水果!$B914="",N(对接源_01水果!$AJ914)&lt;=0),0,IF(OR(N(对接源_01水果!$B914)&lt;$AL$2,N(对接源_01水果!$B914)&gt;$AL$3),0,1))</f>
        <v>0</v>
      </c>
      <c r="AM914">
        <f>N(AM913)+$AL914</f>
        <v>2</v>
      </c>
      <c r="AN914">
        <f>IF(对接源_01水果!$AC914="","",对接源_01水果!$AC914)</f>
      </c>
      <c r="AO914">
        <f>IF(AN914="",0,IF(MATCH(AN914,$AN$4:$AN$1203,0)=ROW()-3,1,0))</f>
        <v>0</v>
      </c>
      <c r="AP914">
        <f>N(AP913)+$AO914</f>
        <v>13</v>
      </c>
      <c r="AR914">
        <f>IF(OR($AF914=1,$AH914=1),1,0)</f>
        <v>0</v>
      </c>
      <c r="AS914">
        <f>N(AS913)+$AR914</f>
        <v>0</v>
      </c>
    </row>
    <row r="915" ht="14.25" customHeight="1" s="127">
      <c r="A915">
        <f>IF(对接源_01水果!$C915="","",对接源_01水果!$C915)</f>
      </c>
      <c r="B915">
        <f>IF(A915="",0,IF(MATCH(A915,$A$4:$A$2403,0)=ROW()-3,1,0))</f>
        <v>0</v>
      </c>
      <c r="C915">
        <f>N(C914)+B915</f>
        <v>22</v>
      </c>
      <c r="K915">
        <f>IF(OR($K$1="",对接源_01水果!$C915="",对接源_01水果!$C915&lt;&gt;$K$1,对接源_01水果!$B915=""),0,IF(OR(N(对接源_01水果!$B915)&lt;$K$2,N(对接源_01水果!$B915)&gt;$K$3),0,1))</f>
        <v>0</v>
      </c>
      <c r="L915">
        <f>IF(OR($L$1="",对接源_01水果!$C915="",对接源_01水果!$C915&lt;&gt;$L$1,对接源_01水果!$B915=""),0,IF(OR(N(对接源_01水果!$B915)&lt;$L$2,N(对接源_01水果!$B915)&gt;$L$3),0,1))</f>
        <v>0</v>
      </c>
      <c r="M915">
        <f>IF(OR($M$1="",对接源_01水果!$C915="",对接源_01水果!$C915&lt;&gt;$M$1,对接源_01水果!$B915=""),0,IF(OR(N(对接源_01水果!$B915)&lt;$M$2,N(对接源_01水果!$B915)&gt;$M$3),0,1))</f>
        <v>0</v>
      </c>
      <c r="N915">
        <f>IF(OR($N$1="",对接源_01水果!$C915="",对接源_01水果!$C915&lt;&gt;$N$1,对接源_01水果!$B915=""),0,IF(OR(N(对接源_01水果!$B915)&lt;$N$2,N(对接源_01水果!$B915)&gt;$N$3),0,1))</f>
        <v>0</v>
      </c>
      <c r="P915">
        <f>IF(AND($K915=1,AND(对接源_01水果!$X915="公司筐",N(对接源_01水果!$T915)&lt;&gt;0)),1,0)</f>
        <v>0</v>
      </c>
      <c r="Q915">
        <f>N(Q914)+$P915</f>
        <v>0</v>
      </c>
      <c r="R915">
        <f>IF(AND($K915=1,AND(对接源_01水果!$X915="公司筐",N(对接源_01水果!$U915)&lt;&gt;0)),1,0)</f>
        <v>0</v>
      </c>
      <c r="S915">
        <f>N(S914)+$R915</f>
        <v>0</v>
      </c>
      <c r="T915">
        <f>IF(AND($K915=1,AND(对接源_01水果!$X915="公司筐",N(对接源_01水果!$V915)&lt;&gt;0)),1,0)</f>
        <v>0</v>
      </c>
      <c r="U915">
        <f>N(U914)+$T915</f>
        <v>47</v>
      </c>
      <c r="V915">
        <f>IF(AND($L915=1,AND(对接源_01水果!$X915="自备筐",N(对接源_01水果!$V915)&lt;&gt;0)),1,0)</f>
        <v>0</v>
      </c>
      <c r="W915">
        <f>N(W914)+$V915</f>
        <v>11</v>
      </c>
      <c r="X915">
        <f>IF(AND($L915=1,AND(对接源_01水果!$X915="自备筐",N(对接源_01水果!$T915)&lt;&gt;0)),1,0)</f>
        <v>0</v>
      </c>
      <c r="Y915">
        <f>N(Y914)+$X915</f>
        <v>0</v>
      </c>
      <c r="Z915">
        <f>IF(AND($M915=1,对接源_01水果!$D915="原料入库"),1,0)</f>
        <v>0</v>
      </c>
      <c r="AA915">
        <f>N(AA914)+$Z915</f>
        <v>24</v>
      </c>
      <c r="AB915">
        <f>IF(AND($M915=1,LEFT(对接源_01水果!$D915,4)="原料出库"),1,0)</f>
        <v>0</v>
      </c>
      <c r="AC915">
        <f>N(AC914)+$AB915</f>
        <v>0</v>
      </c>
      <c r="AD915">
        <f>IF(AND($M915=1,LEFT(对接源_01水果!$D915,4)="成品出库"),1,0)</f>
        <v>0</v>
      </c>
      <c r="AE915">
        <f>N(AE914)+$AD915</f>
        <v>0</v>
      </c>
      <c r="AF915">
        <f>IF(AND($N915=1,AND(LEFT(对接源_01水果!$D915,4)="包装物料",N(对接源_01水果!$K915)&lt;&gt;0)),1,0)</f>
        <v>0</v>
      </c>
      <c r="AG915">
        <f>N(AG914)+$AF915</f>
        <v>0</v>
      </c>
      <c r="AH915">
        <f>IF(AND($N915=1,AND(对接源_01水果!$D915="周转筐－销售出库",N(对接源_01水果!$K915)&lt;&gt;0)),1,0)</f>
        <v>0</v>
      </c>
      <c r="AI915">
        <f>N(AI914)+$AH915</f>
        <v>0</v>
      </c>
      <c r="AJ915" s="7" t="n"/>
      <c r="AL915">
        <f>IF(OR($AL$1="",对接源_01水果!$Y915="",对接源_01水果!$Y915&lt;&gt;$AL$1,对接源_01水果!$B915="",N(对接源_01水果!$AJ915)&lt;=0),0,IF(OR(N(对接源_01水果!$B915)&lt;$AL$2,N(对接源_01水果!$B915)&gt;$AL$3),0,1))</f>
        <v>0</v>
      </c>
      <c r="AM915">
        <f>N(AM914)+$AL915</f>
        <v>2</v>
      </c>
      <c r="AN915">
        <f>IF(对接源_01水果!$AC915="","",对接源_01水果!$AC915)</f>
      </c>
      <c r="AO915">
        <f>IF(AN915="",0,IF(MATCH(AN915,$AN$4:$AN$1203,0)=ROW()-3,1,0))</f>
        <v>0</v>
      </c>
      <c r="AP915">
        <f>N(AP914)+$AO915</f>
        <v>13</v>
      </c>
      <c r="AR915">
        <f>IF(OR($AF915=1,$AH915=1),1,0)</f>
        <v>0</v>
      </c>
      <c r="AS915">
        <f>N(AS914)+$AR915</f>
        <v>0</v>
      </c>
    </row>
    <row r="916" ht="14.25" customHeight="1" s="127">
      <c r="A916">
        <f>IF(对接源_01水果!$C916="","",对接源_01水果!$C916)</f>
      </c>
      <c r="B916">
        <f>IF(A916="",0,IF(MATCH(A916,$A$4:$A$2403,0)=ROW()-3,1,0))</f>
        <v>0</v>
      </c>
      <c r="C916">
        <f>N(C915)+B916</f>
        <v>22</v>
      </c>
      <c r="K916">
        <f>IF(OR($K$1="",对接源_01水果!$C916="",对接源_01水果!$C916&lt;&gt;$K$1,对接源_01水果!$B916=""),0,IF(OR(N(对接源_01水果!$B916)&lt;$K$2,N(对接源_01水果!$B916)&gt;$K$3),0,1))</f>
        <v>0</v>
      </c>
      <c r="L916">
        <f>IF(OR($L$1="",对接源_01水果!$C916="",对接源_01水果!$C916&lt;&gt;$L$1,对接源_01水果!$B916=""),0,IF(OR(N(对接源_01水果!$B916)&lt;$L$2,N(对接源_01水果!$B916)&gt;$L$3),0,1))</f>
        <v>0</v>
      </c>
      <c r="M916">
        <f>IF(OR($M$1="",对接源_01水果!$C916="",对接源_01水果!$C916&lt;&gt;$M$1,对接源_01水果!$B916=""),0,IF(OR(N(对接源_01水果!$B916)&lt;$M$2,N(对接源_01水果!$B916)&gt;$M$3),0,1))</f>
        <v>0</v>
      </c>
      <c r="N916">
        <f>IF(OR($N$1="",对接源_01水果!$C916="",对接源_01水果!$C916&lt;&gt;$N$1,对接源_01水果!$B916=""),0,IF(OR(N(对接源_01水果!$B916)&lt;$N$2,N(对接源_01水果!$B916)&gt;$N$3),0,1))</f>
        <v>0</v>
      </c>
      <c r="P916">
        <f>IF(AND($K916=1,AND(对接源_01水果!$X916="公司筐",N(对接源_01水果!$T916)&lt;&gt;0)),1,0)</f>
        <v>0</v>
      </c>
      <c r="Q916">
        <f>N(Q915)+$P916</f>
        <v>0</v>
      </c>
      <c r="R916">
        <f>IF(AND($K916=1,AND(对接源_01水果!$X916="公司筐",N(对接源_01水果!$U916)&lt;&gt;0)),1,0)</f>
        <v>0</v>
      </c>
      <c r="S916">
        <f>N(S915)+$R916</f>
        <v>0</v>
      </c>
      <c r="T916">
        <f>IF(AND($K916=1,AND(对接源_01水果!$X916="公司筐",N(对接源_01水果!$V916)&lt;&gt;0)),1,0)</f>
        <v>0</v>
      </c>
      <c r="U916">
        <f>N(U915)+$T916</f>
        <v>47</v>
      </c>
      <c r="V916">
        <f>IF(AND($L916=1,AND(对接源_01水果!$X916="自备筐",N(对接源_01水果!$V916)&lt;&gt;0)),1,0)</f>
        <v>0</v>
      </c>
      <c r="W916">
        <f>N(W915)+$V916</f>
        <v>11</v>
      </c>
      <c r="X916">
        <f>IF(AND($L916=1,AND(对接源_01水果!$X916="自备筐",N(对接源_01水果!$T916)&lt;&gt;0)),1,0)</f>
        <v>0</v>
      </c>
      <c r="Y916">
        <f>N(Y915)+$X916</f>
        <v>0</v>
      </c>
      <c r="Z916">
        <f>IF(AND($M916=1,对接源_01水果!$D916="原料入库"),1,0)</f>
        <v>0</v>
      </c>
      <c r="AA916">
        <f>N(AA915)+$Z916</f>
        <v>24</v>
      </c>
      <c r="AB916">
        <f>IF(AND($M916=1,LEFT(对接源_01水果!$D916,4)="原料出库"),1,0)</f>
        <v>0</v>
      </c>
      <c r="AC916">
        <f>N(AC915)+$AB916</f>
        <v>0</v>
      </c>
      <c r="AD916">
        <f>IF(AND($M916=1,LEFT(对接源_01水果!$D916,4)="成品出库"),1,0)</f>
        <v>0</v>
      </c>
      <c r="AE916">
        <f>N(AE915)+$AD916</f>
        <v>0</v>
      </c>
      <c r="AF916">
        <f>IF(AND($N916=1,AND(LEFT(对接源_01水果!$D916,4)="包装物料",N(对接源_01水果!$K916)&lt;&gt;0)),1,0)</f>
        <v>0</v>
      </c>
      <c r="AG916">
        <f>N(AG915)+$AF916</f>
        <v>0</v>
      </c>
      <c r="AH916">
        <f>IF(AND($N916=1,AND(对接源_01水果!$D916="周转筐－销售出库",N(对接源_01水果!$K916)&lt;&gt;0)),1,0)</f>
        <v>0</v>
      </c>
      <c r="AI916">
        <f>N(AI915)+$AH916</f>
        <v>0</v>
      </c>
      <c r="AJ916" s="7" t="n"/>
      <c r="AL916">
        <f>IF(OR($AL$1="",对接源_01水果!$Y916="",对接源_01水果!$Y916&lt;&gt;$AL$1,对接源_01水果!$B916="",N(对接源_01水果!$AJ916)&lt;=0),0,IF(OR(N(对接源_01水果!$B916)&lt;$AL$2,N(对接源_01水果!$B916)&gt;$AL$3),0,1))</f>
        <v>0</v>
      </c>
      <c r="AM916">
        <f>N(AM915)+$AL916</f>
        <v>2</v>
      </c>
      <c r="AN916">
        <f>IF(对接源_01水果!$AC916="","",对接源_01水果!$AC916)</f>
      </c>
      <c r="AO916">
        <f>IF(AN916="",0,IF(MATCH(AN916,$AN$4:$AN$1203,0)=ROW()-3,1,0))</f>
        <v>0</v>
      </c>
      <c r="AP916">
        <f>N(AP915)+$AO916</f>
        <v>13</v>
      </c>
      <c r="AR916">
        <f>IF(OR($AF916=1,$AH916=1),1,0)</f>
        <v>0</v>
      </c>
      <c r="AS916">
        <f>N(AS915)+$AR916</f>
        <v>0</v>
      </c>
    </row>
    <row r="917" ht="14.25" customHeight="1" s="127">
      <c r="A917">
        <f>IF(对接源_01水果!$C917="","",对接源_01水果!$C917)</f>
      </c>
      <c r="B917">
        <f>IF(A917="",0,IF(MATCH(A917,$A$4:$A$2403,0)=ROW()-3,1,0))</f>
        <v>0</v>
      </c>
      <c r="C917">
        <f>N(C916)+B917</f>
        <v>22</v>
      </c>
      <c r="K917">
        <f>IF(OR($K$1="",对接源_01水果!$C917="",对接源_01水果!$C917&lt;&gt;$K$1,对接源_01水果!$B917=""),0,IF(OR(N(对接源_01水果!$B917)&lt;$K$2,N(对接源_01水果!$B917)&gt;$K$3),0,1))</f>
        <v>0</v>
      </c>
      <c r="L917">
        <f>IF(OR($L$1="",对接源_01水果!$C917="",对接源_01水果!$C917&lt;&gt;$L$1,对接源_01水果!$B917=""),0,IF(OR(N(对接源_01水果!$B917)&lt;$L$2,N(对接源_01水果!$B917)&gt;$L$3),0,1))</f>
        <v>0</v>
      </c>
      <c r="M917">
        <f>IF(OR($M$1="",对接源_01水果!$C917="",对接源_01水果!$C917&lt;&gt;$M$1,对接源_01水果!$B917=""),0,IF(OR(N(对接源_01水果!$B917)&lt;$M$2,N(对接源_01水果!$B917)&gt;$M$3),0,1))</f>
        <v>0</v>
      </c>
      <c r="N917">
        <f>IF(OR($N$1="",对接源_01水果!$C917="",对接源_01水果!$C917&lt;&gt;$N$1,对接源_01水果!$B917=""),0,IF(OR(N(对接源_01水果!$B917)&lt;$N$2,N(对接源_01水果!$B917)&gt;$N$3),0,1))</f>
        <v>0</v>
      </c>
      <c r="P917">
        <f>IF(AND($K917=1,AND(对接源_01水果!$X917="公司筐",N(对接源_01水果!$T917)&lt;&gt;0)),1,0)</f>
        <v>0</v>
      </c>
      <c r="Q917">
        <f>N(Q916)+$P917</f>
        <v>0</v>
      </c>
      <c r="R917">
        <f>IF(AND($K917=1,AND(对接源_01水果!$X917="公司筐",N(对接源_01水果!$U917)&lt;&gt;0)),1,0)</f>
        <v>0</v>
      </c>
      <c r="S917">
        <f>N(S916)+$R917</f>
        <v>0</v>
      </c>
      <c r="T917">
        <f>IF(AND($K917=1,AND(对接源_01水果!$X917="公司筐",N(对接源_01水果!$V917)&lt;&gt;0)),1,0)</f>
        <v>0</v>
      </c>
      <c r="U917">
        <f>N(U916)+$T917</f>
        <v>47</v>
      </c>
      <c r="V917">
        <f>IF(AND($L917=1,AND(对接源_01水果!$X917="自备筐",N(对接源_01水果!$V917)&lt;&gt;0)),1,0)</f>
        <v>0</v>
      </c>
      <c r="W917">
        <f>N(W916)+$V917</f>
        <v>11</v>
      </c>
      <c r="X917">
        <f>IF(AND($L917=1,AND(对接源_01水果!$X917="自备筐",N(对接源_01水果!$T917)&lt;&gt;0)),1,0)</f>
        <v>0</v>
      </c>
      <c r="Y917">
        <f>N(Y916)+$X917</f>
        <v>0</v>
      </c>
      <c r="Z917">
        <f>IF(AND($M917=1,对接源_01水果!$D917="原料入库"),1,0)</f>
        <v>0</v>
      </c>
      <c r="AA917">
        <f>N(AA916)+$Z917</f>
        <v>24</v>
      </c>
      <c r="AB917">
        <f>IF(AND($M917=1,LEFT(对接源_01水果!$D917,4)="原料出库"),1,0)</f>
        <v>0</v>
      </c>
      <c r="AC917">
        <f>N(AC916)+$AB917</f>
        <v>0</v>
      </c>
      <c r="AD917">
        <f>IF(AND($M917=1,LEFT(对接源_01水果!$D917,4)="成品出库"),1,0)</f>
        <v>0</v>
      </c>
      <c r="AE917">
        <f>N(AE916)+$AD917</f>
        <v>0</v>
      </c>
      <c r="AF917">
        <f>IF(AND($N917=1,AND(LEFT(对接源_01水果!$D917,4)="包装物料",N(对接源_01水果!$K917)&lt;&gt;0)),1,0)</f>
        <v>0</v>
      </c>
      <c r="AG917">
        <f>N(AG916)+$AF917</f>
        <v>0</v>
      </c>
      <c r="AH917">
        <f>IF(AND($N917=1,AND(对接源_01水果!$D917="周转筐－销售出库",N(对接源_01水果!$K917)&lt;&gt;0)),1,0)</f>
        <v>0</v>
      </c>
      <c r="AI917">
        <f>N(AI916)+$AH917</f>
        <v>0</v>
      </c>
      <c r="AJ917" s="7" t="n"/>
      <c r="AL917">
        <f>IF(OR($AL$1="",对接源_01水果!$Y917="",对接源_01水果!$Y917&lt;&gt;$AL$1,对接源_01水果!$B917="",N(对接源_01水果!$AJ917)&lt;=0),0,IF(OR(N(对接源_01水果!$B917)&lt;$AL$2,N(对接源_01水果!$B917)&gt;$AL$3),0,1))</f>
        <v>0</v>
      </c>
      <c r="AM917">
        <f>N(AM916)+$AL917</f>
        <v>2</v>
      </c>
      <c r="AN917">
        <f>IF(对接源_01水果!$AC917="","",对接源_01水果!$AC917)</f>
      </c>
      <c r="AO917">
        <f>IF(AN917="",0,IF(MATCH(AN917,$AN$4:$AN$1203,0)=ROW()-3,1,0))</f>
        <v>0</v>
      </c>
      <c r="AP917">
        <f>N(AP916)+$AO917</f>
        <v>13</v>
      </c>
      <c r="AR917">
        <f>IF(OR($AF917=1,$AH917=1),1,0)</f>
        <v>0</v>
      </c>
      <c r="AS917">
        <f>N(AS916)+$AR917</f>
        <v>0</v>
      </c>
    </row>
    <row r="918" ht="14.25" customHeight="1" s="127">
      <c r="A918">
        <f>IF(对接源_01水果!$C918="","",对接源_01水果!$C918)</f>
      </c>
      <c r="B918">
        <f>IF(A918="",0,IF(MATCH(A918,$A$4:$A$2403,0)=ROW()-3,1,0))</f>
        <v>0</v>
      </c>
      <c r="C918">
        <f>N(C917)+B918</f>
        <v>22</v>
      </c>
      <c r="K918">
        <f>IF(OR($K$1="",对接源_01水果!$C918="",对接源_01水果!$C918&lt;&gt;$K$1,对接源_01水果!$B918=""),0,IF(OR(N(对接源_01水果!$B918)&lt;$K$2,N(对接源_01水果!$B918)&gt;$K$3),0,1))</f>
        <v>0</v>
      </c>
      <c r="L918">
        <f>IF(OR($L$1="",对接源_01水果!$C918="",对接源_01水果!$C918&lt;&gt;$L$1,对接源_01水果!$B918=""),0,IF(OR(N(对接源_01水果!$B918)&lt;$L$2,N(对接源_01水果!$B918)&gt;$L$3),0,1))</f>
        <v>0</v>
      </c>
      <c r="M918">
        <f>IF(OR($M$1="",对接源_01水果!$C918="",对接源_01水果!$C918&lt;&gt;$M$1,对接源_01水果!$B918=""),0,IF(OR(N(对接源_01水果!$B918)&lt;$M$2,N(对接源_01水果!$B918)&gt;$M$3),0,1))</f>
        <v>0</v>
      </c>
      <c r="N918">
        <f>IF(OR($N$1="",对接源_01水果!$C918="",对接源_01水果!$C918&lt;&gt;$N$1,对接源_01水果!$B918=""),0,IF(OR(N(对接源_01水果!$B918)&lt;$N$2,N(对接源_01水果!$B918)&gt;$N$3),0,1))</f>
        <v>0</v>
      </c>
      <c r="P918">
        <f>IF(AND($K918=1,AND(对接源_01水果!$X918="公司筐",N(对接源_01水果!$T918)&lt;&gt;0)),1,0)</f>
        <v>0</v>
      </c>
      <c r="Q918">
        <f>N(Q917)+$P918</f>
        <v>0</v>
      </c>
      <c r="R918">
        <f>IF(AND($K918=1,AND(对接源_01水果!$X918="公司筐",N(对接源_01水果!$U918)&lt;&gt;0)),1,0)</f>
        <v>0</v>
      </c>
      <c r="S918">
        <f>N(S917)+$R918</f>
        <v>0</v>
      </c>
      <c r="T918">
        <f>IF(AND($K918=1,AND(对接源_01水果!$X918="公司筐",N(对接源_01水果!$V918)&lt;&gt;0)),1,0)</f>
        <v>0</v>
      </c>
      <c r="U918">
        <f>N(U917)+$T918</f>
        <v>47</v>
      </c>
      <c r="V918">
        <f>IF(AND($L918=1,AND(对接源_01水果!$X918="自备筐",N(对接源_01水果!$V918)&lt;&gt;0)),1,0)</f>
        <v>0</v>
      </c>
      <c r="W918">
        <f>N(W917)+$V918</f>
        <v>11</v>
      </c>
      <c r="X918">
        <f>IF(AND($L918=1,AND(对接源_01水果!$X918="自备筐",N(对接源_01水果!$T918)&lt;&gt;0)),1,0)</f>
        <v>0</v>
      </c>
      <c r="Y918">
        <f>N(Y917)+$X918</f>
        <v>0</v>
      </c>
      <c r="Z918">
        <f>IF(AND($M918=1,对接源_01水果!$D918="原料入库"),1,0)</f>
        <v>0</v>
      </c>
      <c r="AA918">
        <f>N(AA917)+$Z918</f>
        <v>24</v>
      </c>
      <c r="AB918">
        <f>IF(AND($M918=1,LEFT(对接源_01水果!$D918,4)="原料出库"),1,0)</f>
        <v>0</v>
      </c>
      <c r="AC918">
        <f>N(AC917)+$AB918</f>
        <v>0</v>
      </c>
      <c r="AD918">
        <f>IF(AND($M918=1,LEFT(对接源_01水果!$D918,4)="成品出库"),1,0)</f>
        <v>0</v>
      </c>
      <c r="AE918">
        <f>N(AE917)+$AD918</f>
        <v>0</v>
      </c>
      <c r="AF918">
        <f>IF(AND($N918=1,AND(LEFT(对接源_01水果!$D918,4)="包装物料",N(对接源_01水果!$K918)&lt;&gt;0)),1,0)</f>
        <v>0</v>
      </c>
      <c r="AG918">
        <f>N(AG917)+$AF918</f>
        <v>0</v>
      </c>
      <c r="AH918">
        <f>IF(AND($N918=1,AND(对接源_01水果!$D918="周转筐－销售出库",N(对接源_01水果!$K918)&lt;&gt;0)),1,0)</f>
        <v>0</v>
      </c>
      <c r="AI918">
        <f>N(AI917)+$AH918</f>
        <v>0</v>
      </c>
      <c r="AJ918" s="7" t="n"/>
      <c r="AL918">
        <f>IF(OR($AL$1="",对接源_01水果!$Y918="",对接源_01水果!$Y918&lt;&gt;$AL$1,对接源_01水果!$B918="",N(对接源_01水果!$AJ918)&lt;=0),0,IF(OR(N(对接源_01水果!$B918)&lt;$AL$2,N(对接源_01水果!$B918)&gt;$AL$3),0,1))</f>
        <v>0</v>
      </c>
      <c r="AM918">
        <f>N(AM917)+$AL918</f>
        <v>2</v>
      </c>
      <c r="AN918">
        <f>IF(对接源_01水果!$AC918="","",对接源_01水果!$AC918)</f>
      </c>
      <c r="AO918">
        <f>IF(AN918="",0,IF(MATCH(AN918,$AN$4:$AN$1203,0)=ROW()-3,1,0))</f>
        <v>0</v>
      </c>
      <c r="AP918">
        <f>N(AP917)+$AO918</f>
        <v>13</v>
      </c>
      <c r="AR918">
        <f>IF(OR($AF918=1,$AH918=1),1,0)</f>
        <v>0</v>
      </c>
      <c r="AS918">
        <f>N(AS917)+$AR918</f>
        <v>0</v>
      </c>
    </row>
    <row r="919" ht="14.25" customHeight="1" s="127">
      <c r="A919">
        <f>IF(对接源_01水果!$C919="","",对接源_01水果!$C919)</f>
      </c>
      <c r="B919">
        <f>IF(A919="",0,IF(MATCH(A919,$A$4:$A$2403,0)=ROW()-3,1,0))</f>
        <v>0</v>
      </c>
      <c r="C919">
        <f>N(C918)+B919</f>
        <v>22</v>
      </c>
      <c r="K919">
        <f>IF(OR($K$1="",对接源_01水果!$C919="",对接源_01水果!$C919&lt;&gt;$K$1,对接源_01水果!$B919=""),0,IF(OR(N(对接源_01水果!$B919)&lt;$K$2,N(对接源_01水果!$B919)&gt;$K$3),0,1))</f>
        <v>0</v>
      </c>
      <c r="L919">
        <f>IF(OR($L$1="",对接源_01水果!$C919="",对接源_01水果!$C919&lt;&gt;$L$1,对接源_01水果!$B919=""),0,IF(OR(N(对接源_01水果!$B919)&lt;$L$2,N(对接源_01水果!$B919)&gt;$L$3),0,1))</f>
        <v>0</v>
      </c>
      <c r="M919">
        <f>IF(OR($M$1="",对接源_01水果!$C919="",对接源_01水果!$C919&lt;&gt;$M$1,对接源_01水果!$B919=""),0,IF(OR(N(对接源_01水果!$B919)&lt;$M$2,N(对接源_01水果!$B919)&gt;$M$3),0,1))</f>
        <v>0</v>
      </c>
      <c r="N919">
        <f>IF(OR($N$1="",对接源_01水果!$C919="",对接源_01水果!$C919&lt;&gt;$N$1,对接源_01水果!$B919=""),0,IF(OR(N(对接源_01水果!$B919)&lt;$N$2,N(对接源_01水果!$B919)&gt;$N$3),0,1))</f>
        <v>0</v>
      </c>
      <c r="P919">
        <f>IF(AND($K919=1,AND(对接源_01水果!$X919="公司筐",N(对接源_01水果!$T919)&lt;&gt;0)),1,0)</f>
        <v>0</v>
      </c>
      <c r="Q919">
        <f>N(Q918)+$P919</f>
        <v>0</v>
      </c>
      <c r="R919">
        <f>IF(AND($K919=1,AND(对接源_01水果!$X919="公司筐",N(对接源_01水果!$U919)&lt;&gt;0)),1,0)</f>
        <v>0</v>
      </c>
      <c r="S919">
        <f>N(S918)+$R919</f>
        <v>0</v>
      </c>
      <c r="T919">
        <f>IF(AND($K919=1,AND(对接源_01水果!$X919="公司筐",N(对接源_01水果!$V919)&lt;&gt;0)),1,0)</f>
        <v>0</v>
      </c>
      <c r="U919">
        <f>N(U918)+$T919</f>
        <v>47</v>
      </c>
      <c r="V919">
        <f>IF(AND($L919=1,AND(对接源_01水果!$X919="自备筐",N(对接源_01水果!$V919)&lt;&gt;0)),1,0)</f>
        <v>0</v>
      </c>
      <c r="W919">
        <f>N(W918)+$V919</f>
        <v>11</v>
      </c>
      <c r="X919">
        <f>IF(AND($L919=1,AND(对接源_01水果!$X919="自备筐",N(对接源_01水果!$T919)&lt;&gt;0)),1,0)</f>
        <v>0</v>
      </c>
      <c r="Y919">
        <f>N(Y918)+$X919</f>
        <v>0</v>
      </c>
      <c r="Z919">
        <f>IF(AND($M919=1,对接源_01水果!$D919="原料入库"),1,0)</f>
        <v>0</v>
      </c>
      <c r="AA919">
        <f>N(AA918)+$Z919</f>
        <v>24</v>
      </c>
      <c r="AB919">
        <f>IF(AND($M919=1,LEFT(对接源_01水果!$D919,4)="原料出库"),1,0)</f>
        <v>0</v>
      </c>
      <c r="AC919">
        <f>N(AC918)+$AB919</f>
        <v>0</v>
      </c>
      <c r="AD919">
        <f>IF(AND($M919=1,LEFT(对接源_01水果!$D919,4)="成品出库"),1,0)</f>
        <v>0</v>
      </c>
      <c r="AE919">
        <f>N(AE918)+$AD919</f>
        <v>0</v>
      </c>
      <c r="AF919">
        <f>IF(AND($N919=1,AND(LEFT(对接源_01水果!$D919,4)="包装物料",N(对接源_01水果!$K919)&lt;&gt;0)),1,0)</f>
        <v>0</v>
      </c>
      <c r="AG919">
        <f>N(AG918)+$AF919</f>
        <v>0</v>
      </c>
      <c r="AH919">
        <f>IF(AND($N919=1,AND(对接源_01水果!$D919="周转筐－销售出库",N(对接源_01水果!$K919)&lt;&gt;0)),1,0)</f>
        <v>0</v>
      </c>
      <c r="AI919">
        <f>N(AI918)+$AH919</f>
        <v>0</v>
      </c>
      <c r="AJ919" s="7" t="n"/>
      <c r="AL919">
        <f>IF(OR($AL$1="",对接源_01水果!$Y919="",对接源_01水果!$Y919&lt;&gt;$AL$1,对接源_01水果!$B919="",N(对接源_01水果!$AJ919)&lt;=0),0,IF(OR(N(对接源_01水果!$B919)&lt;$AL$2,N(对接源_01水果!$B919)&gt;$AL$3),0,1))</f>
        <v>0</v>
      </c>
      <c r="AM919">
        <f>N(AM918)+$AL919</f>
        <v>2</v>
      </c>
      <c r="AN919">
        <f>IF(对接源_01水果!$AC919="","",对接源_01水果!$AC919)</f>
      </c>
      <c r="AO919">
        <f>IF(AN919="",0,IF(MATCH(AN919,$AN$4:$AN$1203,0)=ROW()-3,1,0))</f>
        <v>0</v>
      </c>
      <c r="AP919">
        <f>N(AP918)+$AO919</f>
        <v>13</v>
      </c>
      <c r="AR919">
        <f>IF(OR($AF919=1,$AH919=1),1,0)</f>
        <v>0</v>
      </c>
      <c r="AS919">
        <f>N(AS918)+$AR919</f>
        <v>0</v>
      </c>
    </row>
    <row r="920" ht="14.25" customHeight="1" s="127">
      <c r="A920">
        <f>IF(对接源_01水果!$C920="","",对接源_01水果!$C920)</f>
      </c>
      <c r="B920">
        <f>IF(A920="",0,IF(MATCH(A920,$A$4:$A$2403,0)=ROW()-3,1,0))</f>
        <v>0</v>
      </c>
      <c r="C920">
        <f>N(C919)+B920</f>
        <v>22</v>
      </c>
      <c r="K920">
        <f>IF(OR($K$1="",对接源_01水果!$C920="",对接源_01水果!$C920&lt;&gt;$K$1,对接源_01水果!$B920=""),0,IF(OR(N(对接源_01水果!$B920)&lt;$K$2,N(对接源_01水果!$B920)&gt;$K$3),0,1))</f>
        <v>0</v>
      </c>
      <c r="L920">
        <f>IF(OR($L$1="",对接源_01水果!$C920="",对接源_01水果!$C920&lt;&gt;$L$1,对接源_01水果!$B920=""),0,IF(OR(N(对接源_01水果!$B920)&lt;$L$2,N(对接源_01水果!$B920)&gt;$L$3),0,1))</f>
        <v>0</v>
      </c>
      <c r="M920">
        <f>IF(OR($M$1="",对接源_01水果!$C920="",对接源_01水果!$C920&lt;&gt;$M$1,对接源_01水果!$B920=""),0,IF(OR(N(对接源_01水果!$B920)&lt;$M$2,N(对接源_01水果!$B920)&gt;$M$3),0,1))</f>
        <v>0</v>
      </c>
      <c r="N920">
        <f>IF(OR($N$1="",对接源_01水果!$C920="",对接源_01水果!$C920&lt;&gt;$N$1,对接源_01水果!$B920=""),0,IF(OR(N(对接源_01水果!$B920)&lt;$N$2,N(对接源_01水果!$B920)&gt;$N$3),0,1))</f>
        <v>0</v>
      </c>
      <c r="P920">
        <f>IF(AND($K920=1,AND(对接源_01水果!$X920="公司筐",N(对接源_01水果!$T920)&lt;&gt;0)),1,0)</f>
        <v>0</v>
      </c>
      <c r="Q920">
        <f>N(Q919)+$P920</f>
        <v>0</v>
      </c>
      <c r="R920">
        <f>IF(AND($K920=1,AND(对接源_01水果!$X920="公司筐",N(对接源_01水果!$U920)&lt;&gt;0)),1,0)</f>
        <v>0</v>
      </c>
      <c r="S920">
        <f>N(S919)+$R920</f>
        <v>0</v>
      </c>
      <c r="T920">
        <f>IF(AND($K920=1,AND(对接源_01水果!$X920="公司筐",N(对接源_01水果!$V920)&lt;&gt;0)),1,0)</f>
        <v>0</v>
      </c>
      <c r="U920">
        <f>N(U919)+$T920</f>
        <v>47</v>
      </c>
      <c r="V920">
        <f>IF(AND($L920=1,AND(对接源_01水果!$X920="自备筐",N(对接源_01水果!$V920)&lt;&gt;0)),1,0)</f>
        <v>0</v>
      </c>
      <c r="W920">
        <f>N(W919)+$V920</f>
        <v>11</v>
      </c>
      <c r="X920">
        <f>IF(AND($L920=1,AND(对接源_01水果!$X920="自备筐",N(对接源_01水果!$T920)&lt;&gt;0)),1,0)</f>
        <v>0</v>
      </c>
      <c r="Y920">
        <f>N(Y919)+$X920</f>
        <v>0</v>
      </c>
      <c r="Z920">
        <f>IF(AND($M920=1,对接源_01水果!$D920="原料入库"),1,0)</f>
        <v>0</v>
      </c>
      <c r="AA920">
        <f>N(AA919)+$Z920</f>
        <v>24</v>
      </c>
      <c r="AB920">
        <f>IF(AND($M920=1,LEFT(对接源_01水果!$D920,4)="原料出库"),1,0)</f>
        <v>0</v>
      </c>
      <c r="AC920">
        <f>N(AC919)+$AB920</f>
        <v>0</v>
      </c>
      <c r="AD920">
        <f>IF(AND($M920=1,LEFT(对接源_01水果!$D920,4)="成品出库"),1,0)</f>
        <v>0</v>
      </c>
      <c r="AE920">
        <f>N(AE919)+$AD920</f>
        <v>0</v>
      </c>
      <c r="AF920">
        <f>IF(AND($N920=1,AND(LEFT(对接源_01水果!$D920,4)="包装物料",N(对接源_01水果!$K920)&lt;&gt;0)),1,0)</f>
        <v>0</v>
      </c>
      <c r="AG920">
        <f>N(AG919)+$AF920</f>
        <v>0</v>
      </c>
      <c r="AH920">
        <f>IF(AND($N920=1,AND(对接源_01水果!$D920="周转筐－销售出库",N(对接源_01水果!$K920)&lt;&gt;0)),1,0)</f>
        <v>0</v>
      </c>
      <c r="AI920">
        <f>N(AI919)+$AH920</f>
        <v>0</v>
      </c>
      <c r="AJ920" s="7" t="n"/>
      <c r="AL920">
        <f>IF(OR($AL$1="",对接源_01水果!$Y920="",对接源_01水果!$Y920&lt;&gt;$AL$1,对接源_01水果!$B920="",N(对接源_01水果!$AJ920)&lt;=0),0,IF(OR(N(对接源_01水果!$B920)&lt;$AL$2,N(对接源_01水果!$B920)&gt;$AL$3),0,1))</f>
        <v>0</v>
      </c>
      <c r="AM920">
        <f>N(AM919)+$AL920</f>
        <v>2</v>
      </c>
      <c r="AN920">
        <f>IF(对接源_01水果!$AC920="","",对接源_01水果!$AC920)</f>
      </c>
      <c r="AO920">
        <f>IF(AN920="",0,IF(MATCH(AN920,$AN$4:$AN$1203,0)=ROW()-3,1,0))</f>
        <v>0</v>
      </c>
      <c r="AP920">
        <f>N(AP919)+$AO920</f>
        <v>13</v>
      </c>
      <c r="AR920">
        <f>IF(OR($AF920=1,$AH920=1),1,0)</f>
        <v>0</v>
      </c>
      <c r="AS920">
        <f>N(AS919)+$AR920</f>
        <v>0</v>
      </c>
    </row>
    <row r="921" ht="14.25" customHeight="1" s="127">
      <c r="A921">
        <f>IF(对接源_01水果!$C921="","",对接源_01水果!$C921)</f>
      </c>
      <c r="B921">
        <f>IF(A921="",0,IF(MATCH(A921,$A$4:$A$2403,0)=ROW()-3,1,0))</f>
        <v>0</v>
      </c>
      <c r="C921">
        <f>N(C920)+B921</f>
        <v>22</v>
      </c>
      <c r="K921">
        <f>IF(OR($K$1="",对接源_01水果!$C921="",对接源_01水果!$C921&lt;&gt;$K$1,对接源_01水果!$B921=""),0,IF(OR(N(对接源_01水果!$B921)&lt;$K$2,N(对接源_01水果!$B921)&gt;$K$3),0,1))</f>
        <v>0</v>
      </c>
      <c r="L921">
        <f>IF(OR($L$1="",对接源_01水果!$C921="",对接源_01水果!$C921&lt;&gt;$L$1,对接源_01水果!$B921=""),0,IF(OR(N(对接源_01水果!$B921)&lt;$L$2,N(对接源_01水果!$B921)&gt;$L$3),0,1))</f>
        <v>0</v>
      </c>
      <c r="M921">
        <f>IF(OR($M$1="",对接源_01水果!$C921="",对接源_01水果!$C921&lt;&gt;$M$1,对接源_01水果!$B921=""),0,IF(OR(N(对接源_01水果!$B921)&lt;$M$2,N(对接源_01水果!$B921)&gt;$M$3),0,1))</f>
        <v>0</v>
      </c>
      <c r="N921">
        <f>IF(OR($N$1="",对接源_01水果!$C921="",对接源_01水果!$C921&lt;&gt;$N$1,对接源_01水果!$B921=""),0,IF(OR(N(对接源_01水果!$B921)&lt;$N$2,N(对接源_01水果!$B921)&gt;$N$3),0,1))</f>
        <v>0</v>
      </c>
      <c r="P921">
        <f>IF(AND($K921=1,AND(对接源_01水果!$X921="公司筐",N(对接源_01水果!$T921)&lt;&gt;0)),1,0)</f>
        <v>0</v>
      </c>
      <c r="Q921">
        <f>N(Q920)+$P921</f>
        <v>0</v>
      </c>
      <c r="R921">
        <f>IF(AND($K921=1,AND(对接源_01水果!$X921="公司筐",N(对接源_01水果!$U921)&lt;&gt;0)),1,0)</f>
        <v>0</v>
      </c>
      <c r="S921">
        <f>N(S920)+$R921</f>
        <v>0</v>
      </c>
      <c r="T921">
        <f>IF(AND($K921=1,AND(对接源_01水果!$X921="公司筐",N(对接源_01水果!$V921)&lt;&gt;0)),1,0)</f>
        <v>0</v>
      </c>
      <c r="U921">
        <f>N(U920)+$T921</f>
        <v>47</v>
      </c>
      <c r="V921">
        <f>IF(AND($L921=1,AND(对接源_01水果!$X921="自备筐",N(对接源_01水果!$V921)&lt;&gt;0)),1,0)</f>
        <v>0</v>
      </c>
      <c r="W921">
        <f>N(W920)+$V921</f>
        <v>11</v>
      </c>
      <c r="X921">
        <f>IF(AND($L921=1,AND(对接源_01水果!$X921="自备筐",N(对接源_01水果!$T921)&lt;&gt;0)),1,0)</f>
        <v>0</v>
      </c>
      <c r="Y921">
        <f>N(Y920)+$X921</f>
        <v>0</v>
      </c>
      <c r="Z921">
        <f>IF(AND($M921=1,对接源_01水果!$D921="原料入库"),1,0)</f>
        <v>0</v>
      </c>
      <c r="AA921">
        <f>N(AA920)+$Z921</f>
        <v>24</v>
      </c>
      <c r="AB921">
        <f>IF(AND($M921=1,LEFT(对接源_01水果!$D921,4)="原料出库"),1,0)</f>
        <v>0</v>
      </c>
      <c r="AC921">
        <f>N(AC920)+$AB921</f>
        <v>0</v>
      </c>
      <c r="AD921">
        <f>IF(AND($M921=1,LEFT(对接源_01水果!$D921,4)="成品出库"),1,0)</f>
        <v>0</v>
      </c>
      <c r="AE921">
        <f>N(AE920)+$AD921</f>
        <v>0</v>
      </c>
      <c r="AF921">
        <f>IF(AND($N921=1,AND(LEFT(对接源_01水果!$D921,4)="包装物料",N(对接源_01水果!$K921)&lt;&gt;0)),1,0)</f>
        <v>0</v>
      </c>
      <c r="AG921">
        <f>N(AG920)+$AF921</f>
        <v>0</v>
      </c>
      <c r="AH921">
        <f>IF(AND($N921=1,AND(对接源_01水果!$D921="周转筐－销售出库",N(对接源_01水果!$K921)&lt;&gt;0)),1,0)</f>
        <v>0</v>
      </c>
      <c r="AI921">
        <f>N(AI920)+$AH921</f>
        <v>0</v>
      </c>
      <c r="AJ921" s="7" t="n"/>
      <c r="AL921">
        <f>IF(OR($AL$1="",对接源_01水果!$Y921="",对接源_01水果!$Y921&lt;&gt;$AL$1,对接源_01水果!$B921="",N(对接源_01水果!$AJ921)&lt;=0),0,IF(OR(N(对接源_01水果!$B921)&lt;$AL$2,N(对接源_01水果!$B921)&gt;$AL$3),0,1))</f>
        <v>0</v>
      </c>
      <c r="AM921">
        <f>N(AM920)+$AL921</f>
        <v>2</v>
      </c>
      <c r="AN921">
        <f>IF(对接源_01水果!$AC921="","",对接源_01水果!$AC921)</f>
      </c>
      <c r="AO921">
        <f>IF(AN921="",0,IF(MATCH(AN921,$AN$4:$AN$1203,0)=ROW()-3,1,0))</f>
        <v>0</v>
      </c>
      <c r="AP921">
        <f>N(AP920)+$AO921</f>
        <v>13</v>
      </c>
      <c r="AR921">
        <f>IF(OR($AF921=1,$AH921=1),1,0)</f>
        <v>0</v>
      </c>
      <c r="AS921">
        <f>N(AS920)+$AR921</f>
        <v>0</v>
      </c>
    </row>
    <row r="922" ht="14.25" customHeight="1" s="127">
      <c r="A922">
        <f>IF(对接源_01水果!$C922="","",对接源_01水果!$C922)</f>
      </c>
      <c r="B922">
        <f>IF(A922="",0,IF(MATCH(A922,$A$4:$A$2403,0)=ROW()-3,1,0))</f>
        <v>0</v>
      </c>
      <c r="C922">
        <f>N(C921)+B922</f>
        <v>22</v>
      </c>
      <c r="K922">
        <f>IF(OR($K$1="",对接源_01水果!$C922="",对接源_01水果!$C922&lt;&gt;$K$1,对接源_01水果!$B922=""),0,IF(OR(N(对接源_01水果!$B922)&lt;$K$2,N(对接源_01水果!$B922)&gt;$K$3),0,1))</f>
        <v>0</v>
      </c>
      <c r="L922">
        <f>IF(OR($L$1="",对接源_01水果!$C922="",对接源_01水果!$C922&lt;&gt;$L$1,对接源_01水果!$B922=""),0,IF(OR(N(对接源_01水果!$B922)&lt;$L$2,N(对接源_01水果!$B922)&gt;$L$3),0,1))</f>
        <v>0</v>
      </c>
      <c r="M922">
        <f>IF(OR($M$1="",对接源_01水果!$C922="",对接源_01水果!$C922&lt;&gt;$M$1,对接源_01水果!$B922=""),0,IF(OR(N(对接源_01水果!$B922)&lt;$M$2,N(对接源_01水果!$B922)&gt;$M$3),0,1))</f>
        <v>0</v>
      </c>
      <c r="N922">
        <f>IF(OR($N$1="",对接源_01水果!$C922="",对接源_01水果!$C922&lt;&gt;$N$1,对接源_01水果!$B922=""),0,IF(OR(N(对接源_01水果!$B922)&lt;$N$2,N(对接源_01水果!$B922)&gt;$N$3),0,1))</f>
        <v>0</v>
      </c>
      <c r="P922">
        <f>IF(AND($K922=1,AND(对接源_01水果!$X922="公司筐",N(对接源_01水果!$T922)&lt;&gt;0)),1,0)</f>
        <v>0</v>
      </c>
      <c r="Q922">
        <f>N(Q921)+$P922</f>
        <v>0</v>
      </c>
      <c r="R922">
        <f>IF(AND($K922=1,AND(对接源_01水果!$X922="公司筐",N(对接源_01水果!$U922)&lt;&gt;0)),1,0)</f>
        <v>0</v>
      </c>
      <c r="S922">
        <f>N(S921)+$R922</f>
        <v>0</v>
      </c>
      <c r="T922">
        <f>IF(AND($K922=1,AND(对接源_01水果!$X922="公司筐",N(对接源_01水果!$V922)&lt;&gt;0)),1,0)</f>
        <v>0</v>
      </c>
      <c r="U922">
        <f>N(U921)+$T922</f>
        <v>47</v>
      </c>
      <c r="V922">
        <f>IF(AND($L922=1,AND(对接源_01水果!$X922="自备筐",N(对接源_01水果!$V922)&lt;&gt;0)),1,0)</f>
        <v>0</v>
      </c>
      <c r="W922">
        <f>N(W921)+$V922</f>
        <v>11</v>
      </c>
      <c r="X922">
        <f>IF(AND($L922=1,AND(对接源_01水果!$X922="自备筐",N(对接源_01水果!$T922)&lt;&gt;0)),1,0)</f>
        <v>0</v>
      </c>
      <c r="Y922">
        <f>N(Y921)+$X922</f>
        <v>0</v>
      </c>
      <c r="Z922">
        <f>IF(AND($M922=1,对接源_01水果!$D922="原料入库"),1,0)</f>
        <v>0</v>
      </c>
      <c r="AA922">
        <f>N(AA921)+$Z922</f>
        <v>24</v>
      </c>
      <c r="AB922">
        <f>IF(AND($M922=1,LEFT(对接源_01水果!$D922,4)="原料出库"),1,0)</f>
        <v>0</v>
      </c>
      <c r="AC922">
        <f>N(AC921)+$AB922</f>
        <v>0</v>
      </c>
      <c r="AD922">
        <f>IF(AND($M922=1,LEFT(对接源_01水果!$D922,4)="成品出库"),1,0)</f>
        <v>0</v>
      </c>
      <c r="AE922">
        <f>N(AE921)+$AD922</f>
        <v>0</v>
      </c>
      <c r="AF922">
        <f>IF(AND($N922=1,AND(LEFT(对接源_01水果!$D922,4)="包装物料",N(对接源_01水果!$K922)&lt;&gt;0)),1,0)</f>
        <v>0</v>
      </c>
      <c r="AG922">
        <f>N(AG921)+$AF922</f>
        <v>0</v>
      </c>
      <c r="AH922">
        <f>IF(AND($N922=1,AND(对接源_01水果!$D922="周转筐－销售出库",N(对接源_01水果!$K922)&lt;&gt;0)),1,0)</f>
        <v>0</v>
      </c>
      <c r="AI922">
        <f>N(AI921)+$AH922</f>
        <v>0</v>
      </c>
      <c r="AJ922" s="7" t="n"/>
      <c r="AL922">
        <f>IF(OR($AL$1="",对接源_01水果!$Y922="",对接源_01水果!$Y922&lt;&gt;$AL$1,对接源_01水果!$B922="",N(对接源_01水果!$AJ922)&lt;=0),0,IF(OR(N(对接源_01水果!$B922)&lt;$AL$2,N(对接源_01水果!$B922)&gt;$AL$3),0,1))</f>
        <v>0</v>
      </c>
      <c r="AM922">
        <f>N(AM921)+$AL922</f>
        <v>2</v>
      </c>
      <c r="AN922">
        <f>IF(对接源_01水果!$AC922="","",对接源_01水果!$AC922)</f>
      </c>
      <c r="AO922">
        <f>IF(AN922="",0,IF(MATCH(AN922,$AN$4:$AN$1203,0)=ROW()-3,1,0))</f>
        <v>0</v>
      </c>
      <c r="AP922">
        <f>N(AP921)+$AO922</f>
        <v>13</v>
      </c>
      <c r="AR922">
        <f>IF(OR($AF922=1,$AH922=1),1,0)</f>
        <v>0</v>
      </c>
      <c r="AS922">
        <f>N(AS921)+$AR922</f>
        <v>0</v>
      </c>
    </row>
    <row r="923" ht="14.25" customHeight="1" s="127">
      <c r="A923">
        <f>IF(对接源_01水果!$C923="","",对接源_01水果!$C923)</f>
      </c>
      <c r="B923">
        <f>IF(A923="",0,IF(MATCH(A923,$A$4:$A$2403,0)=ROW()-3,1,0))</f>
        <v>0</v>
      </c>
      <c r="C923">
        <f>N(C922)+B923</f>
        <v>22</v>
      </c>
      <c r="K923">
        <f>IF(OR($K$1="",对接源_01水果!$C923="",对接源_01水果!$C923&lt;&gt;$K$1,对接源_01水果!$B923=""),0,IF(OR(N(对接源_01水果!$B923)&lt;$K$2,N(对接源_01水果!$B923)&gt;$K$3),0,1))</f>
        <v>0</v>
      </c>
      <c r="L923">
        <f>IF(OR($L$1="",对接源_01水果!$C923="",对接源_01水果!$C923&lt;&gt;$L$1,对接源_01水果!$B923=""),0,IF(OR(N(对接源_01水果!$B923)&lt;$L$2,N(对接源_01水果!$B923)&gt;$L$3),0,1))</f>
        <v>0</v>
      </c>
      <c r="M923">
        <f>IF(OR($M$1="",对接源_01水果!$C923="",对接源_01水果!$C923&lt;&gt;$M$1,对接源_01水果!$B923=""),0,IF(OR(N(对接源_01水果!$B923)&lt;$M$2,N(对接源_01水果!$B923)&gt;$M$3),0,1))</f>
        <v>0</v>
      </c>
      <c r="N923">
        <f>IF(OR($N$1="",对接源_01水果!$C923="",对接源_01水果!$C923&lt;&gt;$N$1,对接源_01水果!$B923=""),0,IF(OR(N(对接源_01水果!$B923)&lt;$N$2,N(对接源_01水果!$B923)&gt;$N$3),0,1))</f>
        <v>0</v>
      </c>
      <c r="P923">
        <f>IF(AND($K923=1,AND(对接源_01水果!$X923="公司筐",N(对接源_01水果!$T923)&lt;&gt;0)),1,0)</f>
        <v>0</v>
      </c>
      <c r="Q923">
        <f>N(Q922)+$P923</f>
        <v>0</v>
      </c>
      <c r="R923">
        <f>IF(AND($K923=1,AND(对接源_01水果!$X923="公司筐",N(对接源_01水果!$U923)&lt;&gt;0)),1,0)</f>
        <v>0</v>
      </c>
      <c r="S923">
        <f>N(S922)+$R923</f>
        <v>0</v>
      </c>
      <c r="T923">
        <f>IF(AND($K923=1,AND(对接源_01水果!$X923="公司筐",N(对接源_01水果!$V923)&lt;&gt;0)),1,0)</f>
        <v>0</v>
      </c>
      <c r="U923">
        <f>N(U922)+$T923</f>
        <v>47</v>
      </c>
      <c r="V923">
        <f>IF(AND($L923=1,AND(对接源_01水果!$X923="自备筐",N(对接源_01水果!$V923)&lt;&gt;0)),1,0)</f>
        <v>0</v>
      </c>
      <c r="W923">
        <f>N(W922)+$V923</f>
        <v>11</v>
      </c>
      <c r="X923">
        <f>IF(AND($L923=1,AND(对接源_01水果!$X923="自备筐",N(对接源_01水果!$T923)&lt;&gt;0)),1,0)</f>
        <v>0</v>
      </c>
      <c r="Y923">
        <f>N(Y922)+$X923</f>
        <v>0</v>
      </c>
      <c r="Z923">
        <f>IF(AND($M923=1,对接源_01水果!$D923="原料入库"),1,0)</f>
        <v>0</v>
      </c>
      <c r="AA923">
        <f>N(AA922)+$Z923</f>
        <v>24</v>
      </c>
      <c r="AB923">
        <f>IF(AND($M923=1,LEFT(对接源_01水果!$D923,4)="原料出库"),1,0)</f>
        <v>0</v>
      </c>
      <c r="AC923">
        <f>N(AC922)+$AB923</f>
        <v>0</v>
      </c>
      <c r="AD923">
        <f>IF(AND($M923=1,LEFT(对接源_01水果!$D923,4)="成品出库"),1,0)</f>
        <v>0</v>
      </c>
      <c r="AE923">
        <f>N(AE922)+$AD923</f>
        <v>0</v>
      </c>
      <c r="AF923">
        <f>IF(AND($N923=1,AND(LEFT(对接源_01水果!$D923,4)="包装物料",N(对接源_01水果!$K923)&lt;&gt;0)),1,0)</f>
        <v>0</v>
      </c>
      <c r="AG923">
        <f>N(AG922)+$AF923</f>
        <v>0</v>
      </c>
      <c r="AH923">
        <f>IF(AND($N923=1,AND(对接源_01水果!$D923="周转筐－销售出库",N(对接源_01水果!$K923)&lt;&gt;0)),1,0)</f>
        <v>0</v>
      </c>
      <c r="AI923">
        <f>N(AI922)+$AH923</f>
        <v>0</v>
      </c>
      <c r="AJ923" s="7" t="n"/>
      <c r="AL923">
        <f>IF(OR($AL$1="",对接源_01水果!$Y923="",对接源_01水果!$Y923&lt;&gt;$AL$1,对接源_01水果!$B923="",N(对接源_01水果!$AJ923)&lt;=0),0,IF(OR(N(对接源_01水果!$B923)&lt;$AL$2,N(对接源_01水果!$B923)&gt;$AL$3),0,1))</f>
        <v>0</v>
      </c>
      <c r="AM923">
        <f>N(AM922)+$AL923</f>
        <v>2</v>
      </c>
      <c r="AN923">
        <f>IF(对接源_01水果!$AC923="","",对接源_01水果!$AC923)</f>
      </c>
      <c r="AO923">
        <f>IF(AN923="",0,IF(MATCH(AN923,$AN$4:$AN$1203,0)=ROW()-3,1,0))</f>
        <v>0</v>
      </c>
      <c r="AP923">
        <f>N(AP922)+$AO923</f>
        <v>13</v>
      </c>
      <c r="AR923">
        <f>IF(OR($AF923=1,$AH923=1),1,0)</f>
        <v>0</v>
      </c>
      <c r="AS923">
        <f>N(AS922)+$AR923</f>
        <v>0</v>
      </c>
    </row>
    <row r="924" ht="14.25" customHeight="1" s="127">
      <c r="A924">
        <f>IF(对接源_01水果!$C924="","",对接源_01水果!$C924)</f>
      </c>
      <c r="B924">
        <f>IF(A924="",0,IF(MATCH(A924,$A$4:$A$2403,0)=ROW()-3,1,0))</f>
        <v>0</v>
      </c>
      <c r="C924">
        <f>N(C923)+B924</f>
        <v>22</v>
      </c>
      <c r="K924">
        <f>IF(OR($K$1="",对接源_01水果!$C924="",对接源_01水果!$C924&lt;&gt;$K$1,对接源_01水果!$B924=""),0,IF(OR(N(对接源_01水果!$B924)&lt;$K$2,N(对接源_01水果!$B924)&gt;$K$3),0,1))</f>
        <v>0</v>
      </c>
      <c r="L924">
        <f>IF(OR($L$1="",对接源_01水果!$C924="",对接源_01水果!$C924&lt;&gt;$L$1,对接源_01水果!$B924=""),0,IF(OR(N(对接源_01水果!$B924)&lt;$L$2,N(对接源_01水果!$B924)&gt;$L$3),0,1))</f>
        <v>0</v>
      </c>
      <c r="M924">
        <f>IF(OR($M$1="",对接源_01水果!$C924="",对接源_01水果!$C924&lt;&gt;$M$1,对接源_01水果!$B924=""),0,IF(OR(N(对接源_01水果!$B924)&lt;$M$2,N(对接源_01水果!$B924)&gt;$M$3),0,1))</f>
        <v>0</v>
      </c>
      <c r="N924">
        <f>IF(OR($N$1="",对接源_01水果!$C924="",对接源_01水果!$C924&lt;&gt;$N$1,对接源_01水果!$B924=""),0,IF(OR(N(对接源_01水果!$B924)&lt;$N$2,N(对接源_01水果!$B924)&gt;$N$3),0,1))</f>
        <v>0</v>
      </c>
      <c r="P924">
        <f>IF(AND($K924=1,AND(对接源_01水果!$X924="公司筐",N(对接源_01水果!$T924)&lt;&gt;0)),1,0)</f>
        <v>0</v>
      </c>
      <c r="Q924">
        <f>N(Q923)+$P924</f>
        <v>0</v>
      </c>
      <c r="R924">
        <f>IF(AND($K924=1,AND(对接源_01水果!$X924="公司筐",N(对接源_01水果!$U924)&lt;&gt;0)),1,0)</f>
        <v>0</v>
      </c>
      <c r="S924">
        <f>N(S923)+$R924</f>
        <v>0</v>
      </c>
      <c r="T924">
        <f>IF(AND($K924=1,AND(对接源_01水果!$X924="公司筐",N(对接源_01水果!$V924)&lt;&gt;0)),1,0)</f>
        <v>0</v>
      </c>
      <c r="U924">
        <f>N(U923)+$T924</f>
        <v>47</v>
      </c>
      <c r="V924">
        <f>IF(AND($L924=1,AND(对接源_01水果!$X924="自备筐",N(对接源_01水果!$V924)&lt;&gt;0)),1,0)</f>
        <v>0</v>
      </c>
      <c r="W924">
        <f>N(W923)+$V924</f>
        <v>11</v>
      </c>
      <c r="X924">
        <f>IF(AND($L924=1,AND(对接源_01水果!$X924="自备筐",N(对接源_01水果!$T924)&lt;&gt;0)),1,0)</f>
        <v>0</v>
      </c>
      <c r="Y924">
        <f>N(Y923)+$X924</f>
        <v>0</v>
      </c>
      <c r="Z924">
        <f>IF(AND($M924=1,对接源_01水果!$D924="原料入库"),1,0)</f>
        <v>0</v>
      </c>
      <c r="AA924">
        <f>N(AA923)+$Z924</f>
        <v>24</v>
      </c>
      <c r="AB924">
        <f>IF(AND($M924=1,LEFT(对接源_01水果!$D924,4)="原料出库"),1,0)</f>
        <v>0</v>
      </c>
      <c r="AC924">
        <f>N(AC923)+$AB924</f>
        <v>0</v>
      </c>
      <c r="AD924">
        <f>IF(AND($M924=1,LEFT(对接源_01水果!$D924,4)="成品出库"),1,0)</f>
        <v>0</v>
      </c>
      <c r="AE924">
        <f>N(AE923)+$AD924</f>
        <v>0</v>
      </c>
      <c r="AF924">
        <f>IF(AND($N924=1,AND(LEFT(对接源_01水果!$D924,4)="包装物料",N(对接源_01水果!$K924)&lt;&gt;0)),1,0)</f>
        <v>0</v>
      </c>
      <c r="AG924">
        <f>N(AG923)+$AF924</f>
        <v>0</v>
      </c>
      <c r="AH924">
        <f>IF(AND($N924=1,AND(对接源_01水果!$D924="周转筐－销售出库",N(对接源_01水果!$K924)&lt;&gt;0)),1,0)</f>
        <v>0</v>
      </c>
      <c r="AI924">
        <f>N(AI923)+$AH924</f>
        <v>0</v>
      </c>
      <c r="AJ924" s="7" t="n"/>
      <c r="AL924">
        <f>IF(OR($AL$1="",对接源_01水果!$Y924="",对接源_01水果!$Y924&lt;&gt;$AL$1,对接源_01水果!$B924="",N(对接源_01水果!$AJ924)&lt;=0),0,IF(OR(N(对接源_01水果!$B924)&lt;$AL$2,N(对接源_01水果!$B924)&gt;$AL$3),0,1))</f>
        <v>0</v>
      </c>
      <c r="AM924">
        <f>N(AM923)+$AL924</f>
        <v>2</v>
      </c>
      <c r="AN924">
        <f>IF(对接源_01水果!$AC924="","",对接源_01水果!$AC924)</f>
      </c>
      <c r="AO924">
        <f>IF(AN924="",0,IF(MATCH(AN924,$AN$4:$AN$1203,0)=ROW()-3,1,0))</f>
        <v>0</v>
      </c>
      <c r="AP924">
        <f>N(AP923)+$AO924</f>
        <v>13</v>
      </c>
      <c r="AR924">
        <f>IF(OR($AF924=1,$AH924=1),1,0)</f>
        <v>0</v>
      </c>
      <c r="AS924">
        <f>N(AS923)+$AR924</f>
        <v>0</v>
      </c>
    </row>
    <row r="925" ht="14.25" customHeight="1" s="127">
      <c r="A925">
        <f>IF(对接源_01水果!$C925="","",对接源_01水果!$C925)</f>
      </c>
      <c r="B925">
        <f>IF(A925="",0,IF(MATCH(A925,$A$4:$A$2403,0)=ROW()-3,1,0))</f>
        <v>0</v>
      </c>
      <c r="C925">
        <f>N(C924)+B925</f>
        <v>22</v>
      </c>
      <c r="K925">
        <f>IF(OR($K$1="",对接源_01水果!$C925="",对接源_01水果!$C925&lt;&gt;$K$1,对接源_01水果!$B925=""),0,IF(OR(N(对接源_01水果!$B925)&lt;$K$2,N(对接源_01水果!$B925)&gt;$K$3),0,1))</f>
        <v>0</v>
      </c>
      <c r="L925">
        <f>IF(OR($L$1="",对接源_01水果!$C925="",对接源_01水果!$C925&lt;&gt;$L$1,对接源_01水果!$B925=""),0,IF(OR(N(对接源_01水果!$B925)&lt;$L$2,N(对接源_01水果!$B925)&gt;$L$3),0,1))</f>
        <v>0</v>
      </c>
      <c r="M925">
        <f>IF(OR($M$1="",对接源_01水果!$C925="",对接源_01水果!$C925&lt;&gt;$M$1,对接源_01水果!$B925=""),0,IF(OR(N(对接源_01水果!$B925)&lt;$M$2,N(对接源_01水果!$B925)&gt;$M$3),0,1))</f>
        <v>0</v>
      </c>
      <c r="N925">
        <f>IF(OR($N$1="",对接源_01水果!$C925="",对接源_01水果!$C925&lt;&gt;$N$1,对接源_01水果!$B925=""),0,IF(OR(N(对接源_01水果!$B925)&lt;$N$2,N(对接源_01水果!$B925)&gt;$N$3),0,1))</f>
        <v>0</v>
      </c>
      <c r="P925">
        <f>IF(AND($K925=1,AND(对接源_01水果!$X925="公司筐",N(对接源_01水果!$T925)&lt;&gt;0)),1,0)</f>
        <v>0</v>
      </c>
      <c r="Q925">
        <f>N(Q924)+$P925</f>
        <v>0</v>
      </c>
      <c r="R925">
        <f>IF(AND($K925=1,AND(对接源_01水果!$X925="公司筐",N(对接源_01水果!$U925)&lt;&gt;0)),1,0)</f>
        <v>0</v>
      </c>
      <c r="S925">
        <f>N(S924)+$R925</f>
        <v>0</v>
      </c>
      <c r="T925">
        <f>IF(AND($K925=1,AND(对接源_01水果!$X925="公司筐",N(对接源_01水果!$V925)&lt;&gt;0)),1,0)</f>
        <v>0</v>
      </c>
      <c r="U925">
        <f>N(U924)+$T925</f>
        <v>47</v>
      </c>
      <c r="V925">
        <f>IF(AND($L925=1,AND(对接源_01水果!$X925="自备筐",N(对接源_01水果!$V925)&lt;&gt;0)),1,0)</f>
        <v>0</v>
      </c>
      <c r="W925">
        <f>N(W924)+$V925</f>
        <v>11</v>
      </c>
      <c r="X925">
        <f>IF(AND($L925=1,AND(对接源_01水果!$X925="自备筐",N(对接源_01水果!$T925)&lt;&gt;0)),1,0)</f>
        <v>0</v>
      </c>
      <c r="Y925">
        <f>N(Y924)+$X925</f>
        <v>0</v>
      </c>
      <c r="Z925">
        <f>IF(AND($M925=1,对接源_01水果!$D925="原料入库"),1,0)</f>
        <v>0</v>
      </c>
      <c r="AA925">
        <f>N(AA924)+$Z925</f>
        <v>24</v>
      </c>
      <c r="AB925">
        <f>IF(AND($M925=1,LEFT(对接源_01水果!$D925,4)="原料出库"),1,0)</f>
        <v>0</v>
      </c>
      <c r="AC925">
        <f>N(AC924)+$AB925</f>
        <v>0</v>
      </c>
      <c r="AD925">
        <f>IF(AND($M925=1,LEFT(对接源_01水果!$D925,4)="成品出库"),1,0)</f>
        <v>0</v>
      </c>
      <c r="AE925">
        <f>N(AE924)+$AD925</f>
        <v>0</v>
      </c>
      <c r="AF925">
        <f>IF(AND($N925=1,AND(LEFT(对接源_01水果!$D925,4)="包装物料",N(对接源_01水果!$K925)&lt;&gt;0)),1,0)</f>
        <v>0</v>
      </c>
      <c r="AG925">
        <f>N(AG924)+$AF925</f>
        <v>0</v>
      </c>
      <c r="AH925">
        <f>IF(AND($N925=1,AND(对接源_01水果!$D925="周转筐－销售出库",N(对接源_01水果!$K925)&lt;&gt;0)),1,0)</f>
        <v>0</v>
      </c>
      <c r="AI925">
        <f>N(AI924)+$AH925</f>
        <v>0</v>
      </c>
      <c r="AJ925" s="7" t="n"/>
      <c r="AL925">
        <f>IF(OR($AL$1="",对接源_01水果!$Y925="",对接源_01水果!$Y925&lt;&gt;$AL$1,对接源_01水果!$B925="",N(对接源_01水果!$AJ925)&lt;=0),0,IF(OR(N(对接源_01水果!$B925)&lt;$AL$2,N(对接源_01水果!$B925)&gt;$AL$3),0,1))</f>
        <v>0</v>
      </c>
      <c r="AM925">
        <f>N(AM924)+$AL925</f>
        <v>2</v>
      </c>
      <c r="AN925">
        <f>IF(对接源_01水果!$AC925="","",对接源_01水果!$AC925)</f>
      </c>
      <c r="AO925">
        <f>IF(AN925="",0,IF(MATCH(AN925,$AN$4:$AN$1203,0)=ROW()-3,1,0))</f>
        <v>0</v>
      </c>
      <c r="AP925">
        <f>N(AP924)+$AO925</f>
        <v>13</v>
      </c>
      <c r="AR925">
        <f>IF(OR($AF925=1,$AH925=1),1,0)</f>
        <v>0</v>
      </c>
      <c r="AS925">
        <f>N(AS924)+$AR925</f>
        <v>0</v>
      </c>
    </row>
    <row r="926" ht="14.25" customHeight="1" s="127">
      <c r="A926">
        <f>IF(对接源_01水果!$C926="","",对接源_01水果!$C926)</f>
      </c>
      <c r="B926">
        <f>IF(A926="",0,IF(MATCH(A926,$A$4:$A$2403,0)=ROW()-3,1,0))</f>
        <v>0</v>
      </c>
      <c r="C926">
        <f>N(C925)+B926</f>
        <v>22</v>
      </c>
      <c r="K926">
        <f>IF(OR($K$1="",对接源_01水果!$C926="",对接源_01水果!$C926&lt;&gt;$K$1,对接源_01水果!$B926=""),0,IF(OR(N(对接源_01水果!$B926)&lt;$K$2,N(对接源_01水果!$B926)&gt;$K$3),0,1))</f>
        <v>0</v>
      </c>
      <c r="L926">
        <f>IF(OR($L$1="",对接源_01水果!$C926="",对接源_01水果!$C926&lt;&gt;$L$1,对接源_01水果!$B926=""),0,IF(OR(N(对接源_01水果!$B926)&lt;$L$2,N(对接源_01水果!$B926)&gt;$L$3),0,1))</f>
        <v>0</v>
      </c>
      <c r="M926">
        <f>IF(OR($M$1="",对接源_01水果!$C926="",对接源_01水果!$C926&lt;&gt;$M$1,对接源_01水果!$B926=""),0,IF(OR(N(对接源_01水果!$B926)&lt;$M$2,N(对接源_01水果!$B926)&gt;$M$3),0,1))</f>
        <v>0</v>
      </c>
      <c r="N926">
        <f>IF(OR($N$1="",对接源_01水果!$C926="",对接源_01水果!$C926&lt;&gt;$N$1,对接源_01水果!$B926=""),0,IF(OR(N(对接源_01水果!$B926)&lt;$N$2,N(对接源_01水果!$B926)&gt;$N$3),0,1))</f>
        <v>0</v>
      </c>
      <c r="P926">
        <f>IF(AND($K926=1,AND(对接源_01水果!$X926="公司筐",N(对接源_01水果!$T926)&lt;&gt;0)),1,0)</f>
        <v>0</v>
      </c>
      <c r="Q926">
        <f>N(Q925)+$P926</f>
        <v>0</v>
      </c>
      <c r="R926">
        <f>IF(AND($K926=1,AND(对接源_01水果!$X926="公司筐",N(对接源_01水果!$U926)&lt;&gt;0)),1,0)</f>
        <v>0</v>
      </c>
      <c r="S926">
        <f>N(S925)+$R926</f>
        <v>0</v>
      </c>
      <c r="T926">
        <f>IF(AND($K926=1,AND(对接源_01水果!$X926="公司筐",N(对接源_01水果!$V926)&lt;&gt;0)),1,0)</f>
        <v>0</v>
      </c>
      <c r="U926">
        <f>N(U925)+$T926</f>
        <v>47</v>
      </c>
      <c r="V926">
        <f>IF(AND($L926=1,AND(对接源_01水果!$X926="自备筐",N(对接源_01水果!$V926)&lt;&gt;0)),1,0)</f>
        <v>0</v>
      </c>
      <c r="W926">
        <f>N(W925)+$V926</f>
        <v>11</v>
      </c>
      <c r="X926">
        <f>IF(AND($L926=1,AND(对接源_01水果!$X926="自备筐",N(对接源_01水果!$T926)&lt;&gt;0)),1,0)</f>
        <v>0</v>
      </c>
      <c r="Y926">
        <f>N(Y925)+$X926</f>
        <v>0</v>
      </c>
      <c r="Z926">
        <f>IF(AND($M926=1,对接源_01水果!$D926="原料入库"),1,0)</f>
        <v>0</v>
      </c>
      <c r="AA926">
        <f>N(AA925)+$Z926</f>
        <v>24</v>
      </c>
      <c r="AB926">
        <f>IF(AND($M926=1,LEFT(对接源_01水果!$D926,4)="原料出库"),1,0)</f>
        <v>0</v>
      </c>
      <c r="AC926">
        <f>N(AC925)+$AB926</f>
        <v>0</v>
      </c>
      <c r="AD926">
        <f>IF(AND($M926=1,LEFT(对接源_01水果!$D926,4)="成品出库"),1,0)</f>
        <v>0</v>
      </c>
      <c r="AE926">
        <f>N(AE925)+$AD926</f>
        <v>0</v>
      </c>
      <c r="AF926">
        <f>IF(AND($N926=1,AND(LEFT(对接源_01水果!$D926,4)="包装物料",N(对接源_01水果!$K926)&lt;&gt;0)),1,0)</f>
        <v>0</v>
      </c>
      <c r="AG926">
        <f>N(AG925)+$AF926</f>
        <v>0</v>
      </c>
      <c r="AH926">
        <f>IF(AND($N926=1,AND(对接源_01水果!$D926="周转筐－销售出库",N(对接源_01水果!$K926)&lt;&gt;0)),1,0)</f>
        <v>0</v>
      </c>
      <c r="AI926">
        <f>N(AI925)+$AH926</f>
        <v>0</v>
      </c>
      <c r="AJ926" s="7" t="n"/>
      <c r="AL926">
        <f>IF(OR($AL$1="",对接源_01水果!$Y926="",对接源_01水果!$Y926&lt;&gt;$AL$1,对接源_01水果!$B926="",N(对接源_01水果!$AJ926)&lt;=0),0,IF(OR(N(对接源_01水果!$B926)&lt;$AL$2,N(对接源_01水果!$B926)&gt;$AL$3),0,1))</f>
        <v>0</v>
      </c>
      <c r="AM926">
        <f>N(AM925)+$AL926</f>
        <v>2</v>
      </c>
      <c r="AN926">
        <f>IF(对接源_01水果!$AC926="","",对接源_01水果!$AC926)</f>
      </c>
      <c r="AO926">
        <f>IF(AN926="",0,IF(MATCH(AN926,$AN$4:$AN$1203,0)=ROW()-3,1,0))</f>
        <v>0</v>
      </c>
      <c r="AP926">
        <f>N(AP925)+$AO926</f>
        <v>13</v>
      </c>
      <c r="AR926">
        <f>IF(OR($AF926=1,$AH926=1),1,0)</f>
        <v>0</v>
      </c>
      <c r="AS926">
        <f>N(AS925)+$AR926</f>
        <v>0</v>
      </c>
    </row>
    <row r="927" ht="14.25" customHeight="1" s="127">
      <c r="A927">
        <f>IF(对接源_01水果!$C927="","",对接源_01水果!$C927)</f>
      </c>
      <c r="B927">
        <f>IF(A927="",0,IF(MATCH(A927,$A$4:$A$2403,0)=ROW()-3,1,0))</f>
        <v>0</v>
      </c>
      <c r="C927">
        <f>N(C926)+B927</f>
        <v>22</v>
      </c>
      <c r="K927">
        <f>IF(OR($K$1="",对接源_01水果!$C927="",对接源_01水果!$C927&lt;&gt;$K$1,对接源_01水果!$B927=""),0,IF(OR(N(对接源_01水果!$B927)&lt;$K$2,N(对接源_01水果!$B927)&gt;$K$3),0,1))</f>
        <v>0</v>
      </c>
      <c r="L927">
        <f>IF(OR($L$1="",对接源_01水果!$C927="",对接源_01水果!$C927&lt;&gt;$L$1,对接源_01水果!$B927=""),0,IF(OR(N(对接源_01水果!$B927)&lt;$L$2,N(对接源_01水果!$B927)&gt;$L$3),0,1))</f>
        <v>0</v>
      </c>
      <c r="M927">
        <f>IF(OR($M$1="",对接源_01水果!$C927="",对接源_01水果!$C927&lt;&gt;$M$1,对接源_01水果!$B927=""),0,IF(OR(N(对接源_01水果!$B927)&lt;$M$2,N(对接源_01水果!$B927)&gt;$M$3),0,1))</f>
        <v>0</v>
      </c>
      <c r="N927">
        <f>IF(OR($N$1="",对接源_01水果!$C927="",对接源_01水果!$C927&lt;&gt;$N$1,对接源_01水果!$B927=""),0,IF(OR(N(对接源_01水果!$B927)&lt;$N$2,N(对接源_01水果!$B927)&gt;$N$3),0,1))</f>
        <v>0</v>
      </c>
      <c r="P927">
        <f>IF(AND($K927=1,AND(对接源_01水果!$X927="公司筐",N(对接源_01水果!$T927)&lt;&gt;0)),1,0)</f>
        <v>0</v>
      </c>
      <c r="Q927">
        <f>N(Q926)+$P927</f>
        <v>0</v>
      </c>
      <c r="R927">
        <f>IF(AND($K927=1,AND(对接源_01水果!$X927="公司筐",N(对接源_01水果!$U927)&lt;&gt;0)),1,0)</f>
        <v>0</v>
      </c>
      <c r="S927">
        <f>N(S926)+$R927</f>
        <v>0</v>
      </c>
      <c r="T927">
        <f>IF(AND($K927=1,AND(对接源_01水果!$X927="公司筐",N(对接源_01水果!$V927)&lt;&gt;0)),1,0)</f>
        <v>0</v>
      </c>
      <c r="U927">
        <f>N(U926)+$T927</f>
        <v>47</v>
      </c>
      <c r="V927">
        <f>IF(AND($L927=1,AND(对接源_01水果!$X927="自备筐",N(对接源_01水果!$V927)&lt;&gt;0)),1,0)</f>
        <v>0</v>
      </c>
      <c r="W927">
        <f>N(W926)+$V927</f>
        <v>11</v>
      </c>
      <c r="X927">
        <f>IF(AND($L927=1,AND(对接源_01水果!$X927="自备筐",N(对接源_01水果!$T927)&lt;&gt;0)),1,0)</f>
        <v>0</v>
      </c>
      <c r="Y927">
        <f>N(Y926)+$X927</f>
        <v>0</v>
      </c>
      <c r="Z927">
        <f>IF(AND($M927=1,对接源_01水果!$D927="原料入库"),1,0)</f>
        <v>0</v>
      </c>
      <c r="AA927">
        <f>N(AA926)+$Z927</f>
        <v>24</v>
      </c>
      <c r="AB927">
        <f>IF(AND($M927=1,LEFT(对接源_01水果!$D927,4)="原料出库"),1,0)</f>
        <v>0</v>
      </c>
      <c r="AC927">
        <f>N(AC926)+$AB927</f>
        <v>0</v>
      </c>
      <c r="AD927">
        <f>IF(AND($M927=1,LEFT(对接源_01水果!$D927,4)="成品出库"),1,0)</f>
        <v>0</v>
      </c>
      <c r="AE927">
        <f>N(AE926)+$AD927</f>
        <v>0</v>
      </c>
      <c r="AF927">
        <f>IF(AND($N927=1,AND(LEFT(对接源_01水果!$D927,4)="包装物料",N(对接源_01水果!$K927)&lt;&gt;0)),1,0)</f>
        <v>0</v>
      </c>
      <c r="AG927">
        <f>N(AG926)+$AF927</f>
        <v>0</v>
      </c>
      <c r="AH927">
        <f>IF(AND($N927=1,AND(对接源_01水果!$D927="周转筐－销售出库",N(对接源_01水果!$K927)&lt;&gt;0)),1,0)</f>
        <v>0</v>
      </c>
      <c r="AI927">
        <f>N(AI926)+$AH927</f>
        <v>0</v>
      </c>
      <c r="AJ927" s="7" t="n"/>
      <c r="AL927">
        <f>IF(OR($AL$1="",对接源_01水果!$Y927="",对接源_01水果!$Y927&lt;&gt;$AL$1,对接源_01水果!$B927="",N(对接源_01水果!$AJ927)&lt;=0),0,IF(OR(N(对接源_01水果!$B927)&lt;$AL$2,N(对接源_01水果!$B927)&gt;$AL$3),0,1))</f>
        <v>0</v>
      </c>
      <c r="AM927">
        <f>N(AM926)+$AL927</f>
        <v>2</v>
      </c>
      <c r="AN927">
        <f>IF(对接源_01水果!$AC927="","",对接源_01水果!$AC927)</f>
      </c>
      <c r="AO927">
        <f>IF(AN927="",0,IF(MATCH(AN927,$AN$4:$AN$1203,0)=ROW()-3,1,0))</f>
        <v>0</v>
      </c>
      <c r="AP927">
        <f>N(AP926)+$AO927</f>
        <v>13</v>
      </c>
      <c r="AR927">
        <f>IF(OR($AF927=1,$AH927=1),1,0)</f>
        <v>0</v>
      </c>
      <c r="AS927">
        <f>N(AS926)+$AR927</f>
        <v>0</v>
      </c>
    </row>
    <row r="928" ht="14.25" customHeight="1" s="127">
      <c r="A928">
        <f>IF(对接源_01水果!$C928="","",对接源_01水果!$C928)</f>
      </c>
      <c r="B928">
        <f>IF(A928="",0,IF(MATCH(A928,$A$4:$A$2403,0)=ROW()-3,1,0))</f>
        <v>0</v>
      </c>
      <c r="C928">
        <f>N(C927)+B928</f>
        <v>22</v>
      </c>
      <c r="K928">
        <f>IF(OR($K$1="",对接源_01水果!$C928="",对接源_01水果!$C928&lt;&gt;$K$1,对接源_01水果!$B928=""),0,IF(OR(N(对接源_01水果!$B928)&lt;$K$2,N(对接源_01水果!$B928)&gt;$K$3),0,1))</f>
        <v>0</v>
      </c>
      <c r="L928">
        <f>IF(OR($L$1="",对接源_01水果!$C928="",对接源_01水果!$C928&lt;&gt;$L$1,对接源_01水果!$B928=""),0,IF(OR(N(对接源_01水果!$B928)&lt;$L$2,N(对接源_01水果!$B928)&gt;$L$3),0,1))</f>
        <v>0</v>
      </c>
      <c r="M928">
        <f>IF(OR($M$1="",对接源_01水果!$C928="",对接源_01水果!$C928&lt;&gt;$M$1,对接源_01水果!$B928=""),0,IF(OR(N(对接源_01水果!$B928)&lt;$M$2,N(对接源_01水果!$B928)&gt;$M$3),0,1))</f>
        <v>0</v>
      </c>
      <c r="N928">
        <f>IF(OR($N$1="",对接源_01水果!$C928="",对接源_01水果!$C928&lt;&gt;$N$1,对接源_01水果!$B928=""),0,IF(OR(N(对接源_01水果!$B928)&lt;$N$2,N(对接源_01水果!$B928)&gt;$N$3),0,1))</f>
        <v>0</v>
      </c>
      <c r="P928">
        <f>IF(AND($K928=1,AND(对接源_01水果!$X928="公司筐",N(对接源_01水果!$T928)&lt;&gt;0)),1,0)</f>
        <v>0</v>
      </c>
      <c r="Q928">
        <f>N(Q927)+$P928</f>
        <v>0</v>
      </c>
      <c r="R928">
        <f>IF(AND($K928=1,AND(对接源_01水果!$X928="公司筐",N(对接源_01水果!$U928)&lt;&gt;0)),1,0)</f>
        <v>0</v>
      </c>
      <c r="S928">
        <f>N(S927)+$R928</f>
        <v>0</v>
      </c>
      <c r="T928">
        <f>IF(AND($K928=1,AND(对接源_01水果!$X928="公司筐",N(对接源_01水果!$V928)&lt;&gt;0)),1,0)</f>
        <v>0</v>
      </c>
      <c r="U928">
        <f>N(U927)+$T928</f>
        <v>47</v>
      </c>
      <c r="V928">
        <f>IF(AND($L928=1,AND(对接源_01水果!$X928="自备筐",N(对接源_01水果!$V928)&lt;&gt;0)),1,0)</f>
        <v>0</v>
      </c>
      <c r="W928">
        <f>N(W927)+$V928</f>
        <v>11</v>
      </c>
      <c r="X928">
        <f>IF(AND($L928=1,AND(对接源_01水果!$X928="自备筐",N(对接源_01水果!$T928)&lt;&gt;0)),1,0)</f>
        <v>0</v>
      </c>
      <c r="Y928">
        <f>N(Y927)+$X928</f>
        <v>0</v>
      </c>
      <c r="Z928">
        <f>IF(AND($M928=1,对接源_01水果!$D928="原料入库"),1,0)</f>
        <v>0</v>
      </c>
      <c r="AA928">
        <f>N(AA927)+$Z928</f>
        <v>24</v>
      </c>
      <c r="AB928">
        <f>IF(AND($M928=1,LEFT(对接源_01水果!$D928,4)="原料出库"),1,0)</f>
        <v>0</v>
      </c>
      <c r="AC928">
        <f>N(AC927)+$AB928</f>
        <v>0</v>
      </c>
      <c r="AD928">
        <f>IF(AND($M928=1,LEFT(对接源_01水果!$D928,4)="成品出库"),1,0)</f>
        <v>0</v>
      </c>
      <c r="AE928">
        <f>N(AE927)+$AD928</f>
        <v>0</v>
      </c>
      <c r="AF928">
        <f>IF(AND($N928=1,AND(LEFT(对接源_01水果!$D928,4)="包装物料",N(对接源_01水果!$K928)&lt;&gt;0)),1,0)</f>
        <v>0</v>
      </c>
      <c r="AG928">
        <f>N(AG927)+$AF928</f>
        <v>0</v>
      </c>
      <c r="AH928">
        <f>IF(AND($N928=1,AND(对接源_01水果!$D928="周转筐－销售出库",N(对接源_01水果!$K928)&lt;&gt;0)),1,0)</f>
        <v>0</v>
      </c>
      <c r="AI928">
        <f>N(AI927)+$AH928</f>
        <v>0</v>
      </c>
      <c r="AJ928" s="7" t="n"/>
      <c r="AL928">
        <f>IF(OR($AL$1="",对接源_01水果!$Y928="",对接源_01水果!$Y928&lt;&gt;$AL$1,对接源_01水果!$B928="",N(对接源_01水果!$AJ928)&lt;=0),0,IF(OR(N(对接源_01水果!$B928)&lt;$AL$2,N(对接源_01水果!$B928)&gt;$AL$3),0,1))</f>
        <v>0</v>
      </c>
      <c r="AM928">
        <f>N(AM927)+$AL928</f>
        <v>2</v>
      </c>
      <c r="AN928">
        <f>IF(对接源_01水果!$AC928="","",对接源_01水果!$AC928)</f>
      </c>
      <c r="AO928">
        <f>IF(AN928="",0,IF(MATCH(AN928,$AN$4:$AN$1203,0)=ROW()-3,1,0))</f>
        <v>0</v>
      </c>
      <c r="AP928">
        <f>N(AP927)+$AO928</f>
        <v>13</v>
      </c>
      <c r="AR928">
        <f>IF(OR($AF928=1,$AH928=1),1,0)</f>
        <v>0</v>
      </c>
      <c r="AS928">
        <f>N(AS927)+$AR928</f>
        <v>0</v>
      </c>
    </row>
    <row r="929" ht="14.25" customHeight="1" s="127">
      <c r="A929">
        <f>IF(对接源_01水果!$C929="","",对接源_01水果!$C929)</f>
      </c>
      <c r="B929">
        <f>IF(A929="",0,IF(MATCH(A929,$A$4:$A$2403,0)=ROW()-3,1,0))</f>
        <v>0</v>
      </c>
      <c r="C929">
        <f>N(C928)+B929</f>
        <v>22</v>
      </c>
      <c r="K929">
        <f>IF(OR($K$1="",对接源_01水果!$C929="",对接源_01水果!$C929&lt;&gt;$K$1,对接源_01水果!$B929=""),0,IF(OR(N(对接源_01水果!$B929)&lt;$K$2,N(对接源_01水果!$B929)&gt;$K$3),0,1))</f>
        <v>0</v>
      </c>
      <c r="L929">
        <f>IF(OR($L$1="",对接源_01水果!$C929="",对接源_01水果!$C929&lt;&gt;$L$1,对接源_01水果!$B929=""),0,IF(OR(N(对接源_01水果!$B929)&lt;$L$2,N(对接源_01水果!$B929)&gt;$L$3),0,1))</f>
        <v>0</v>
      </c>
      <c r="M929">
        <f>IF(OR($M$1="",对接源_01水果!$C929="",对接源_01水果!$C929&lt;&gt;$M$1,对接源_01水果!$B929=""),0,IF(OR(N(对接源_01水果!$B929)&lt;$M$2,N(对接源_01水果!$B929)&gt;$M$3),0,1))</f>
        <v>0</v>
      </c>
      <c r="N929">
        <f>IF(OR($N$1="",对接源_01水果!$C929="",对接源_01水果!$C929&lt;&gt;$N$1,对接源_01水果!$B929=""),0,IF(OR(N(对接源_01水果!$B929)&lt;$N$2,N(对接源_01水果!$B929)&gt;$N$3),0,1))</f>
        <v>0</v>
      </c>
      <c r="P929">
        <f>IF(AND($K929=1,AND(对接源_01水果!$X929="公司筐",N(对接源_01水果!$T929)&lt;&gt;0)),1,0)</f>
        <v>0</v>
      </c>
      <c r="Q929">
        <f>N(Q928)+$P929</f>
        <v>0</v>
      </c>
      <c r="R929">
        <f>IF(AND($K929=1,AND(对接源_01水果!$X929="公司筐",N(对接源_01水果!$U929)&lt;&gt;0)),1,0)</f>
        <v>0</v>
      </c>
      <c r="S929">
        <f>N(S928)+$R929</f>
        <v>0</v>
      </c>
      <c r="T929">
        <f>IF(AND($K929=1,AND(对接源_01水果!$X929="公司筐",N(对接源_01水果!$V929)&lt;&gt;0)),1,0)</f>
        <v>0</v>
      </c>
      <c r="U929">
        <f>N(U928)+$T929</f>
        <v>47</v>
      </c>
      <c r="V929">
        <f>IF(AND($L929=1,AND(对接源_01水果!$X929="自备筐",N(对接源_01水果!$V929)&lt;&gt;0)),1,0)</f>
        <v>0</v>
      </c>
      <c r="W929">
        <f>N(W928)+$V929</f>
        <v>11</v>
      </c>
      <c r="X929">
        <f>IF(AND($L929=1,AND(对接源_01水果!$X929="自备筐",N(对接源_01水果!$T929)&lt;&gt;0)),1,0)</f>
        <v>0</v>
      </c>
      <c r="Y929">
        <f>N(Y928)+$X929</f>
        <v>0</v>
      </c>
      <c r="Z929">
        <f>IF(AND($M929=1,对接源_01水果!$D929="原料入库"),1,0)</f>
        <v>0</v>
      </c>
      <c r="AA929">
        <f>N(AA928)+$Z929</f>
        <v>24</v>
      </c>
      <c r="AB929">
        <f>IF(AND($M929=1,LEFT(对接源_01水果!$D929,4)="原料出库"),1,0)</f>
        <v>0</v>
      </c>
      <c r="AC929">
        <f>N(AC928)+$AB929</f>
        <v>0</v>
      </c>
      <c r="AD929">
        <f>IF(AND($M929=1,LEFT(对接源_01水果!$D929,4)="成品出库"),1,0)</f>
        <v>0</v>
      </c>
      <c r="AE929">
        <f>N(AE928)+$AD929</f>
        <v>0</v>
      </c>
      <c r="AF929">
        <f>IF(AND($N929=1,AND(LEFT(对接源_01水果!$D929,4)="包装物料",N(对接源_01水果!$K929)&lt;&gt;0)),1,0)</f>
        <v>0</v>
      </c>
      <c r="AG929">
        <f>N(AG928)+$AF929</f>
        <v>0</v>
      </c>
      <c r="AH929">
        <f>IF(AND($N929=1,AND(对接源_01水果!$D929="周转筐－销售出库",N(对接源_01水果!$K929)&lt;&gt;0)),1,0)</f>
        <v>0</v>
      </c>
      <c r="AI929">
        <f>N(AI928)+$AH929</f>
        <v>0</v>
      </c>
      <c r="AJ929" s="7" t="n"/>
      <c r="AL929">
        <f>IF(OR($AL$1="",对接源_01水果!$Y929="",对接源_01水果!$Y929&lt;&gt;$AL$1,对接源_01水果!$B929="",N(对接源_01水果!$AJ929)&lt;=0),0,IF(OR(N(对接源_01水果!$B929)&lt;$AL$2,N(对接源_01水果!$B929)&gt;$AL$3),0,1))</f>
        <v>0</v>
      </c>
      <c r="AM929">
        <f>N(AM928)+$AL929</f>
        <v>2</v>
      </c>
      <c r="AN929">
        <f>IF(对接源_01水果!$AC929="","",对接源_01水果!$AC929)</f>
      </c>
      <c r="AO929">
        <f>IF(AN929="",0,IF(MATCH(AN929,$AN$4:$AN$1203,0)=ROW()-3,1,0))</f>
        <v>0</v>
      </c>
      <c r="AP929">
        <f>N(AP928)+$AO929</f>
        <v>13</v>
      </c>
      <c r="AR929">
        <f>IF(OR($AF929=1,$AH929=1),1,0)</f>
        <v>0</v>
      </c>
      <c r="AS929">
        <f>N(AS928)+$AR929</f>
        <v>0</v>
      </c>
    </row>
    <row r="930" ht="14.25" customHeight="1" s="127">
      <c r="A930">
        <f>IF(对接源_01水果!$C930="","",对接源_01水果!$C930)</f>
      </c>
      <c r="B930">
        <f>IF(A930="",0,IF(MATCH(A930,$A$4:$A$2403,0)=ROW()-3,1,0))</f>
        <v>0</v>
      </c>
      <c r="C930">
        <f>N(C929)+B930</f>
        <v>22</v>
      </c>
      <c r="K930">
        <f>IF(OR($K$1="",对接源_01水果!$C930="",对接源_01水果!$C930&lt;&gt;$K$1,对接源_01水果!$B930=""),0,IF(OR(N(对接源_01水果!$B930)&lt;$K$2,N(对接源_01水果!$B930)&gt;$K$3),0,1))</f>
        <v>0</v>
      </c>
      <c r="L930">
        <f>IF(OR($L$1="",对接源_01水果!$C930="",对接源_01水果!$C930&lt;&gt;$L$1,对接源_01水果!$B930=""),0,IF(OR(N(对接源_01水果!$B930)&lt;$L$2,N(对接源_01水果!$B930)&gt;$L$3),0,1))</f>
        <v>0</v>
      </c>
      <c r="M930">
        <f>IF(OR($M$1="",对接源_01水果!$C930="",对接源_01水果!$C930&lt;&gt;$M$1,对接源_01水果!$B930=""),0,IF(OR(N(对接源_01水果!$B930)&lt;$M$2,N(对接源_01水果!$B930)&gt;$M$3),0,1))</f>
        <v>0</v>
      </c>
      <c r="N930">
        <f>IF(OR($N$1="",对接源_01水果!$C930="",对接源_01水果!$C930&lt;&gt;$N$1,对接源_01水果!$B930=""),0,IF(OR(N(对接源_01水果!$B930)&lt;$N$2,N(对接源_01水果!$B930)&gt;$N$3),0,1))</f>
        <v>0</v>
      </c>
      <c r="P930">
        <f>IF(AND($K930=1,AND(对接源_01水果!$X930="公司筐",N(对接源_01水果!$T930)&lt;&gt;0)),1,0)</f>
        <v>0</v>
      </c>
      <c r="Q930">
        <f>N(Q929)+$P930</f>
        <v>0</v>
      </c>
      <c r="R930">
        <f>IF(AND($K930=1,AND(对接源_01水果!$X930="公司筐",N(对接源_01水果!$U930)&lt;&gt;0)),1,0)</f>
        <v>0</v>
      </c>
      <c r="S930">
        <f>N(S929)+$R930</f>
        <v>0</v>
      </c>
      <c r="T930">
        <f>IF(AND($K930=1,AND(对接源_01水果!$X930="公司筐",N(对接源_01水果!$V930)&lt;&gt;0)),1,0)</f>
        <v>0</v>
      </c>
      <c r="U930">
        <f>N(U929)+$T930</f>
        <v>47</v>
      </c>
      <c r="V930">
        <f>IF(AND($L930=1,AND(对接源_01水果!$X930="自备筐",N(对接源_01水果!$V930)&lt;&gt;0)),1,0)</f>
        <v>0</v>
      </c>
      <c r="W930">
        <f>N(W929)+$V930</f>
        <v>11</v>
      </c>
      <c r="X930">
        <f>IF(AND($L930=1,AND(对接源_01水果!$X930="自备筐",N(对接源_01水果!$T930)&lt;&gt;0)),1,0)</f>
        <v>0</v>
      </c>
      <c r="Y930">
        <f>N(Y929)+$X930</f>
        <v>0</v>
      </c>
      <c r="Z930">
        <f>IF(AND($M930=1,对接源_01水果!$D930="原料入库"),1,0)</f>
        <v>0</v>
      </c>
      <c r="AA930">
        <f>N(AA929)+$Z930</f>
        <v>24</v>
      </c>
      <c r="AB930">
        <f>IF(AND($M930=1,LEFT(对接源_01水果!$D930,4)="原料出库"),1,0)</f>
        <v>0</v>
      </c>
      <c r="AC930">
        <f>N(AC929)+$AB930</f>
        <v>0</v>
      </c>
      <c r="AD930">
        <f>IF(AND($M930=1,LEFT(对接源_01水果!$D930,4)="成品出库"),1,0)</f>
        <v>0</v>
      </c>
      <c r="AE930">
        <f>N(AE929)+$AD930</f>
        <v>0</v>
      </c>
      <c r="AF930">
        <f>IF(AND($N930=1,AND(LEFT(对接源_01水果!$D930,4)="包装物料",N(对接源_01水果!$K930)&lt;&gt;0)),1,0)</f>
        <v>0</v>
      </c>
      <c r="AG930">
        <f>N(AG929)+$AF930</f>
        <v>0</v>
      </c>
      <c r="AH930">
        <f>IF(AND($N930=1,AND(对接源_01水果!$D930="周转筐－销售出库",N(对接源_01水果!$K930)&lt;&gt;0)),1,0)</f>
        <v>0</v>
      </c>
      <c r="AI930">
        <f>N(AI929)+$AH930</f>
        <v>0</v>
      </c>
      <c r="AJ930" s="7" t="n"/>
      <c r="AL930">
        <f>IF(OR($AL$1="",对接源_01水果!$Y930="",对接源_01水果!$Y930&lt;&gt;$AL$1,对接源_01水果!$B930="",N(对接源_01水果!$AJ930)&lt;=0),0,IF(OR(N(对接源_01水果!$B930)&lt;$AL$2,N(对接源_01水果!$B930)&gt;$AL$3),0,1))</f>
        <v>0</v>
      </c>
      <c r="AM930">
        <f>N(AM929)+$AL930</f>
        <v>2</v>
      </c>
      <c r="AN930">
        <f>IF(对接源_01水果!$AC930="","",对接源_01水果!$AC930)</f>
      </c>
      <c r="AO930">
        <f>IF(AN930="",0,IF(MATCH(AN930,$AN$4:$AN$1203,0)=ROW()-3,1,0))</f>
        <v>0</v>
      </c>
      <c r="AP930">
        <f>N(AP929)+$AO930</f>
        <v>13</v>
      </c>
      <c r="AR930">
        <f>IF(OR($AF930=1,$AH930=1),1,0)</f>
        <v>0</v>
      </c>
      <c r="AS930">
        <f>N(AS929)+$AR930</f>
        <v>0</v>
      </c>
    </row>
    <row r="931" ht="14.25" customHeight="1" s="127">
      <c r="A931">
        <f>IF(对接源_01水果!$C931="","",对接源_01水果!$C931)</f>
      </c>
      <c r="B931">
        <f>IF(A931="",0,IF(MATCH(A931,$A$4:$A$2403,0)=ROW()-3,1,0))</f>
        <v>0</v>
      </c>
      <c r="C931">
        <f>N(C930)+B931</f>
        <v>22</v>
      </c>
      <c r="K931">
        <f>IF(OR($K$1="",对接源_01水果!$C931="",对接源_01水果!$C931&lt;&gt;$K$1,对接源_01水果!$B931=""),0,IF(OR(N(对接源_01水果!$B931)&lt;$K$2,N(对接源_01水果!$B931)&gt;$K$3),0,1))</f>
        <v>0</v>
      </c>
      <c r="L931">
        <f>IF(OR($L$1="",对接源_01水果!$C931="",对接源_01水果!$C931&lt;&gt;$L$1,对接源_01水果!$B931=""),0,IF(OR(N(对接源_01水果!$B931)&lt;$L$2,N(对接源_01水果!$B931)&gt;$L$3),0,1))</f>
        <v>0</v>
      </c>
      <c r="M931">
        <f>IF(OR($M$1="",对接源_01水果!$C931="",对接源_01水果!$C931&lt;&gt;$M$1,对接源_01水果!$B931=""),0,IF(OR(N(对接源_01水果!$B931)&lt;$M$2,N(对接源_01水果!$B931)&gt;$M$3),0,1))</f>
        <v>0</v>
      </c>
      <c r="N931">
        <f>IF(OR($N$1="",对接源_01水果!$C931="",对接源_01水果!$C931&lt;&gt;$N$1,对接源_01水果!$B931=""),0,IF(OR(N(对接源_01水果!$B931)&lt;$N$2,N(对接源_01水果!$B931)&gt;$N$3),0,1))</f>
        <v>0</v>
      </c>
      <c r="P931">
        <f>IF(AND($K931=1,AND(对接源_01水果!$X931="公司筐",N(对接源_01水果!$T931)&lt;&gt;0)),1,0)</f>
        <v>0</v>
      </c>
      <c r="Q931">
        <f>N(Q930)+$P931</f>
        <v>0</v>
      </c>
      <c r="R931">
        <f>IF(AND($K931=1,AND(对接源_01水果!$X931="公司筐",N(对接源_01水果!$U931)&lt;&gt;0)),1,0)</f>
        <v>0</v>
      </c>
      <c r="S931">
        <f>N(S930)+$R931</f>
        <v>0</v>
      </c>
      <c r="T931">
        <f>IF(AND($K931=1,AND(对接源_01水果!$X931="公司筐",N(对接源_01水果!$V931)&lt;&gt;0)),1,0)</f>
        <v>0</v>
      </c>
      <c r="U931">
        <f>N(U930)+$T931</f>
        <v>47</v>
      </c>
      <c r="V931">
        <f>IF(AND($L931=1,AND(对接源_01水果!$X931="自备筐",N(对接源_01水果!$V931)&lt;&gt;0)),1,0)</f>
        <v>0</v>
      </c>
      <c r="W931">
        <f>N(W930)+$V931</f>
        <v>11</v>
      </c>
      <c r="X931">
        <f>IF(AND($L931=1,AND(对接源_01水果!$X931="自备筐",N(对接源_01水果!$T931)&lt;&gt;0)),1,0)</f>
        <v>0</v>
      </c>
      <c r="Y931">
        <f>N(Y930)+$X931</f>
        <v>0</v>
      </c>
      <c r="Z931">
        <f>IF(AND($M931=1,对接源_01水果!$D931="原料入库"),1,0)</f>
        <v>0</v>
      </c>
      <c r="AA931">
        <f>N(AA930)+$Z931</f>
        <v>24</v>
      </c>
      <c r="AB931">
        <f>IF(AND($M931=1,LEFT(对接源_01水果!$D931,4)="原料出库"),1,0)</f>
        <v>0</v>
      </c>
      <c r="AC931">
        <f>N(AC930)+$AB931</f>
        <v>0</v>
      </c>
      <c r="AD931">
        <f>IF(AND($M931=1,LEFT(对接源_01水果!$D931,4)="成品出库"),1,0)</f>
        <v>0</v>
      </c>
      <c r="AE931">
        <f>N(AE930)+$AD931</f>
        <v>0</v>
      </c>
      <c r="AF931">
        <f>IF(AND($N931=1,AND(LEFT(对接源_01水果!$D931,4)="包装物料",N(对接源_01水果!$K931)&lt;&gt;0)),1,0)</f>
        <v>0</v>
      </c>
      <c r="AG931">
        <f>N(AG930)+$AF931</f>
        <v>0</v>
      </c>
      <c r="AH931">
        <f>IF(AND($N931=1,AND(对接源_01水果!$D931="周转筐－销售出库",N(对接源_01水果!$K931)&lt;&gt;0)),1,0)</f>
        <v>0</v>
      </c>
      <c r="AI931">
        <f>N(AI930)+$AH931</f>
        <v>0</v>
      </c>
      <c r="AJ931" s="7" t="n"/>
      <c r="AL931">
        <f>IF(OR($AL$1="",对接源_01水果!$Y931="",对接源_01水果!$Y931&lt;&gt;$AL$1,对接源_01水果!$B931="",N(对接源_01水果!$AJ931)&lt;=0),0,IF(OR(N(对接源_01水果!$B931)&lt;$AL$2,N(对接源_01水果!$B931)&gt;$AL$3),0,1))</f>
        <v>0</v>
      </c>
      <c r="AM931">
        <f>N(AM930)+$AL931</f>
        <v>2</v>
      </c>
      <c r="AN931">
        <f>IF(对接源_01水果!$AC931="","",对接源_01水果!$AC931)</f>
      </c>
      <c r="AO931">
        <f>IF(AN931="",0,IF(MATCH(AN931,$AN$4:$AN$1203,0)=ROW()-3,1,0))</f>
        <v>0</v>
      </c>
      <c r="AP931">
        <f>N(AP930)+$AO931</f>
        <v>13</v>
      </c>
      <c r="AR931">
        <f>IF(OR($AF931=1,$AH931=1),1,0)</f>
        <v>0</v>
      </c>
      <c r="AS931">
        <f>N(AS930)+$AR931</f>
        <v>0</v>
      </c>
    </row>
    <row r="932" ht="14.25" customHeight="1" s="127">
      <c r="A932">
        <f>IF(对接源_01水果!$C932="","",对接源_01水果!$C932)</f>
      </c>
      <c r="B932">
        <f>IF(A932="",0,IF(MATCH(A932,$A$4:$A$2403,0)=ROW()-3,1,0))</f>
        <v>0</v>
      </c>
      <c r="C932">
        <f>N(C931)+B932</f>
        <v>22</v>
      </c>
      <c r="K932">
        <f>IF(OR($K$1="",对接源_01水果!$C932="",对接源_01水果!$C932&lt;&gt;$K$1,对接源_01水果!$B932=""),0,IF(OR(N(对接源_01水果!$B932)&lt;$K$2,N(对接源_01水果!$B932)&gt;$K$3),0,1))</f>
        <v>0</v>
      </c>
      <c r="L932">
        <f>IF(OR($L$1="",对接源_01水果!$C932="",对接源_01水果!$C932&lt;&gt;$L$1,对接源_01水果!$B932=""),0,IF(OR(N(对接源_01水果!$B932)&lt;$L$2,N(对接源_01水果!$B932)&gt;$L$3),0,1))</f>
        <v>0</v>
      </c>
      <c r="M932">
        <f>IF(OR($M$1="",对接源_01水果!$C932="",对接源_01水果!$C932&lt;&gt;$M$1,对接源_01水果!$B932=""),0,IF(OR(N(对接源_01水果!$B932)&lt;$M$2,N(对接源_01水果!$B932)&gt;$M$3),0,1))</f>
        <v>0</v>
      </c>
      <c r="N932">
        <f>IF(OR($N$1="",对接源_01水果!$C932="",对接源_01水果!$C932&lt;&gt;$N$1,对接源_01水果!$B932=""),0,IF(OR(N(对接源_01水果!$B932)&lt;$N$2,N(对接源_01水果!$B932)&gt;$N$3),0,1))</f>
        <v>0</v>
      </c>
      <c r="P932">
        <f>IF(AND($K932=1,AND(对接源_01水果!$X932="公司筐",N(对接源_01水果!$T932)&lt;&gt;0)),1,0)</f>
        <v>0</v>
      </c>
      <c r="Q932">
        <f>N(Q931)+$P932</f>
        <v>0</v>
      </c>
      <c r="R932">
        <f>IF(AND($K932=1,AND(对接源_01水果!$X932="公司筐",N(对接源_01水果!$U932)&lt;&gt;0)),1,0)</f>
        <v>0</v>
      </c>
      <c r="S932">
        <f>N(S931)+$R932</f>
        <v>0</v>
      </c>
      <c r="T932">
        <f>IF(AND($K932=1,AND(对接源_01水果!$X932="公司筐",N(对接源_01水果!$V932)&lt;&gt;0)),1,0)</f>
        <v>0</v>
      </c>
      <c r="U932">
        <f>N(U931)+$T932</f>
        <v>47</v>
      </c>
      <c r="V932">
        <f>IF(AND($L932=1,AND(对接源_01水果!$X932="自备筐",N(对接源_01水果!$V932)&lt;&gt;0)),1,0)</f>
        <v>0</v>
      </c>
      <c r="W932">
        <f>N(W931)+$V932</f>
        <v>11</v>
      </c>
      <c r="X932">
        <f>IF(AND($L932=1,AND(对接源_01水果!$X932="自备筐",N(对接源_01水果!$T932)&lt;&gt;0)),1,0)</f>
        <v>0</v>
      </c>
      <c r="Y932">
        <f>N(Y931)+$X932</f>
        <v>0</v>
      </c>
      <c r="Z932">
        <f>IF(AND($M932=1,对接源_01水果!$D932="原料入库"),1,0)</f>
        <v>0</v>
      </c>
      <c r="AA932">
        <f>N(AA931)+$Z932</f>
        <v>24</v>
      </c>
      <c r="AB932">
        <f>IF(AND($M932=1,LEFT(对接源_01水果!$D932,4)="原料出库"),1,0)</f>
        <v>0</v>
      </c>
      <c r="AC932">
        <f>N(AC931)+$AB932</f>
        <v>0</v>
      </c>
      <c r="AD932">
        <f>IF(AND($M932=1,LEFT(对接源_01水果!$D932,4)="成品出库"),1,0)</f>
        <v>0</v>
      </c>
      <c r="AE932">
        <f>N(AE931)+$AD932</f>
        <v>0</v>
      </c>
      <c r="AF932">
        <f>IF(AND($N932=1,AND(LEFT(对接源_01水果!$D932,4)="包装物料",N(对接源_01水果!$K932)&lt;&gt;0)),1,0)</f>
        <v>0</v>
      </c>
      <c r="AG932">
        <f>N(AG931)+$AF932</f>
        <v>0</v>
      </c>
      <c r="AH932">
        <f>IF(AND($N932=1,AND(对接源_01水果!$D932="周转筐－销售出库",N(对接源_01水果!$K932)&lt;&gt;0)),1,0)</f>
        <v>0</v>
      </c>
      <c r="AI932">
        <f>N(AI931)+$AH932</f>
        <v>0</v>
      </c>
      <c r="AJ932" s="7" t="n"/>
      <c r="AL932">
        <f>IF(OR($AL$1="",对接源_01水果!$Y932="",对接源_01水果!$Y932&lt;&gt;$AL$1,对接源_01水果!$B932="",N(对接源_01水果!$AJ932)&lt;=0),0,IF(OR(N(对接源_01水果!$B932)&lt;$AL$2,N(对接源_01水果!$B932)&gt;$AL$3),0,1))</f>
        <v>0</v>
      </c>
      <c r="AM932">
        <f>N(AM931)+$AL932</f>
        <v>2</v>
      </c>
      <c r="AN932">
        <f>IF(对接源_01水果!$AC932="","",对接源_01水果!$AC932)</f>
      </c>
      <c r="AO932">
        <f>IF(AN932="",0,IF(MATCH(AN932,$AN$4:$AN$1203,0)=ROW()-3,1,0))</f>
        <v>0</v>
      </c>
      <c r="AP932">
        <f>N(AP931)+$AO932</f>
        <v>13</v>
      </c>
      <c r="AR932">
        <f>IF(OR($AF932=1,$AH932=1),1,0)</f>
        <v>0</v>
      </c>
      <c r="AS932">
        <f>N(AS931)+$AR932</f>
        <v>0</v>
      </c>
    </row>
    <row r="933" ht="14.25" customHeight="1" s="127">
      <c r="A933">
        <f>IF(对接源_01水果!$C933="","",对接源_01水果!$C933)</f>
      </c>
      <c r="B933">
        <f>IF(A933="",0,IF(MATCH(A933,$A$4:$A$2403,0)=ROW()-3,1,0))</f>
        <v>0</v>
      </c>
      <c r="C933">
        <f>N(C932)+B933</f>
        <v>22</v>
      </c>
      <c r="K933">
        <f>IF(OR($K$1="",对接源_01水果!$C933="",对接源_01水果!$C933&lt;&gt;$K$1,对接源_01水果!$B933=""),0,IF(OR(N(对接源_01水果!$B933)&lt;$K$2,N(对接源_01水果!$B933)&gt;$K$3),0,1))</f>
        <v>0</v>
      </c>
      <c r="L933">
        <f>IF(OR($L$1="",对接源_01水果!$C933="",对接源_01水果!$C933&lt;&gt;$L$1,对接源_01水果!$B933=""),0,IF(OR(N(对接源_01水果!$B933)&lt;$L$2,N(对接源_01水果!$B933)&gt;$L$3),0,1))</f>
        <v>0</v>
      </c>
      <c r="M933">
        <f>IF(OR($M$1="",对接源_01水果!$C933="",对接源_01水果!$C933&lt;&gt;$M$1,对接源_01水果!$B933=""),0,IF(OR(N(对接源_01水果!$B933)&lt;$M$2,N(对接源_01水果!$B933)&gt;$M$3),0,1))</f>
        <v>0</v>
      </c>
      <c r="N933">
        <f>IF(OR($N$1="",对接源_01水果!$C933="",对接源_01水果!$C933&lt;&gt;$N$1,对接源_01水果!$B933=""),0,IF(OR(N(对接源_01水果!$B933)&lt;$N$2,N(对接源_01水果!$B933)&gt;$N$3),0,1))</f>
        <v>0</v>
      </c>
      <c r="P933">
        <f>IF(AND($K933=1,AND(对接源_01水果!$X933="公司筐",N(对接源_01水果!$T933)&lt;&gt;0)),1,0)</f>
        <v>0</v>
      </c>
      <c r="Q933">
        <f>N(Q932)+$P933</f>
        <v>0</v>
      </c>
      <c r="R933">
        <f>IF(AND($K933=1,AND(对接源_01水果!$X933="公司筐",N(对接源_01水果!$U933)&lt;&gt;0)),1,0)</f>
        <v>0</v>
      </c>
      <c r="S933">
        <f>N(S932)+$R933</f>
        <v>0</v>
      </c>
      <c r="T933">
        <f>IF(AND($K933=1,AND(对接源_01水果!$X933="公司筐",N(对接源_01水果!$V933)&lt;&gt;0)),1,0)</f>
        <v>0</v>
      </c>
      <c r="U933">
        <f>N(U932)+$T933</f>
        <v>47</v>
      </c>
      <c r="V933">
        <f>IF(AND($L933=1,AND(对接源_01水果!$X933="自备筐",N(对接源_01水果!$V933)&lt;&gt;0)),1,0)</f>
        <v>0</v>
      </c>
      <c r="W933">
        <f>N(W932)+$V933</f>
        <v>11</v>
      </c>
      <c r="X933">
        <f>IF(AND($L933=1,AND(对接源_01水果!$X933="自备筐",N(对接源_01水果!$T933)&lt;&gt;0)),1,0)</f>
        <v>0</v>
      </c>
      <c r="Y933">
        <f>N(Y932)+$X933</f>
        <v>0</v>
      </c>
      <c r="Z933">
        <f>IF(AND($M933=1,对接源_01水果!$D933="原料入库"),1,0)</f>
        <v>0</v>
      </c>
      <c r="AA933">
        <f>N(AA932)+$Z933</f>
        <v>24</v>
      </c>
      <c r="AB933">
        <f>IF(AND($M933=1,LEFT(对接源_01水果!$D933,4)="原料出库"),1,0)</f>
        <v>0</v>
      </c>
      <c r="AC933">
        <f>N(AC932)+$AB933</f>
        <v>0</v>
      </c>
      <c r="AD933">
        <f>IF(AND($M933=1,LEFT(对接源_01水果!$D933,4)="成品出库"),1,0)</f>
        <v>0</v>
      </c>
      <c r="AE933">
        <f>N(AE932)+$AD933</f>
        <v>0</v>
      </c>
      <c r="AF933">
        <f>IF(AND($N933=1,AND(LEFT(对接源_01水果!$D933,4)="包装物料",N(对接源_01水果!$K933)&lt;&gt;0)),1,0)</f>
        <v>0</v>
      </c>
      <c r="AG933">
        <f>N(AG932)+$AF933</f>
        <v>0</v>
      </c>
      <c r="AH933">
        <f>IF(AND($N933=1,AND(对接源_01水果!$D933="周转筐－销售出库",N(对接源_01水果!$K933)&lt;&gt;0)),1,0)</f>
        <v>0</v>
      </c>
      <c r="AI933">
        <f>N(AI932)+$AH933</f>
        <v>0</v>
      </c>
      <c r="AJ933" s="7" t="n"/>
      <c r="AL933">
        <f>IF(OR($AL$1="",对接源_01水果!$Y933="",对接源_01水果!$Y933&lt;&gt;$AL$1,对接源_01水果!$B933="",N(对接源_01水果!$AJ933)&lt;=0),0,IF(OR(N(对接源_01水果!$B933)&lt;$AL$2,N(对接源_01水果!$B933)&gt;$AL$3),0,1))</f>
        <v>0</v>
      </c>
      <c r="AM933">
        <f>N(AM932)+$AL933</f>
        <v>2</v>
      </c>
      <c r="AN933">
        <f>IF(对接源_01水果!$AC933="","",对接源_01水果!$AC933)</f>
      </c>
      <c r="AO933">
        <f>IF(AN933="",0,IF(MATCH(AN933,$AN$4:$AN$1203,0)=ROW()-3,1,0))</f>
        <v>0</v>
      </c>
      <c r="AP933">
        <f>N(AP932)+$AO933</f>
        <v>13</v>
      </c>
      <c r="AR933">
        <f>IF(OR($AF933=1,$AH933=1),1,0)</f>
        <v>0</v>
      </c>
      <c r="AS933">
        <f>N(AS932)+$AR933</f>
        <v>0</v>
      </c>
    </row>
    <row r="934" ht="14.25" customHeight="1" s="127">
      <c r="A934">
        <f>IF(对接源_01水果!$C934="","",对接源_01水果!$C934)</f>
      </c>
      <c r="B934">
        <f>IF(A934="",0,IF(MATCH(A934,$A$4:$A$2403,0)=ROW()-3,1,0))</f>
        <v>0</v>
      </c>
      <c r="C934">
        <f>N(C933)+B934</f>
        <v>22</v>
      </c>
      <c r="K934">
        <f>IF(OR($K$1="",对接源_01水果!$C934="",对接源_01水果!$C934&lt;&gt;$K$1,对接源_01水果!$B934=""),0,IF(OR(N(对接源_01水果!$B934)&lt;$K$2,N(对接源_01水果!$B934)&gt;$K$3),0,1))</f>
        <v>0</v>
      </c>
      <c r="L934">
        <f>IF(OR($L$1="",对接源_01水果!$C934="",对接源_01水果!$C934&lt;&gt;$L$1,对接源_01水果!$B934=""),0,IF(OR(N(对接源_01水果!$B934)&lt;$L$2,N(对接源_01水果!$B934)&gt;$L$3),0,1))</f>
        <v>0</v>
      </c>
      <c r="M934">
        <f>IF(OR($M$1="",对接源_01水果!$C934="",对接源_01水果!$C934&lt;&gt;$M$1,对接源_01水果!$B934=""),0,IF(OR(N(对接源_01水果!$B934)&lt;$M$2,N(对接源_01水果!$B934)&gt;$M$3),0,1))</f>
        <v>0</v>
      </c>
      <c r="N934">
        <f>IF(OR($N$1="",对接源_01水果!$C934="",对接源_01水果!$C934&lt;&gt;$N$1,对接源_01水果!$B934=""),0,IF(OR(N(对接源_01水果!$B934)&lt;$N$2,N(对接源_01水果!$B934)&gt;$N$3),0,1))</f>
        <v>0</v>
      </c>
      <c r="P934">
        <f>IF(AND($K934=1,AND(对接源_01水果!$X934="公司筐",N(对接源_01水果!$T934)&lt;&gt;0)),1,0)</f>
        <v>0</v>
      </c>
      <c r="Q934">
        <f>N(Q933)+$P934</f>
        <v>0</v>
      </c>
      <c r="R934">
        <f>IF(AND($K934=1,AND(对接源_01水果!$X934="公司筐",N(对接源_01水果!$U934)&lt;&gt;0)),1,0)</f>
        <v>0</v>
      </c>
      <c r="S934">
        <f>N(S933)+$R934</f>
        <v>0</v>
      </c>
      <c r="T934">
        <f>IF(AND($K934=1,AND(对接源_01水果!$X934="公司筐",N(对接源_01水果!$V934)&lt;&gt;0)),1,0)</f>
        <v>0</v>
      </c>
      <c r="U934">
        <f>N(U933)+$T934</f>
        <v>47</v>
      </c>
      <c r="V934">
        <f>IF(AND($L934=1,AND(对接源_01水果!$X934="自备筐",N(对接源_01水果!$V934)&lt;&gt;0)),1,0)</f>
        <v>0</v>
      </c>
      <c r="W934">
        <f>N(W933)+$V934</f>
        <v>11</v>
      </c>
      <c r="X934">
        <f>IF(AND($L934=1,AND(对接源_01水果!$X934="自备筐",N(对接源_01水果!$T934)&lt;&gt;0)),1,0)</f>
        <v>0</v>
      </c>
      <c r="Y934">
        <f>N(Y933)+$X934</f>
        <v>0</v>
      </c>
      <c r="Z934">
        <f>IF(AND($M934=1,对接源_01水果!$D934="原料入库"),1,0)</f>
        <v>0</v>
      </c>
      <c r="AA934">
        <f>N(AA933)+$Z934</f>
        <v>24</v>
      </c>
      <c r="AB934">
        <f>IF(AND($M934=1,LEFT(对接源_01水果!$D934,4)="原料出库"),1,0)</f>
        <v>0</v>
      </c>
      <c r="AC934">
        <f>N(AC933)+$AB934</f>
        <v>0</v>
      </c>
      <c r="AD934">
        <f>IF(AND($M934=1,LEFT(对接源_01水果!$D934,4)="成品出库"),1,0)</f>
        <v>0</v>
      </c>
      <c r="AE934">
        <f>N(AE933)+$AD934</f>
        <v>0</v>
      </c>
      <c r="AF934">
        <f>IF(AND($N934=1,AND(LEFT(对接源_01水果!$D934,4)="包装物料",N(对接源_01水果!$K934)&lt;&gt;0)),1,0)</f>
        <v>0</v>
      </c>
      <c r="AG934">
        <f>N(AG933)+$AF934</f>
        <v>0</v>
      </c>
      <c r="AH934">
        <f>IF(AND($N934=1,AND(对接源_01水果!$D934="周转筐－销售出库",N(对接源_01水果!$K934)&lt;&gt;0)),1,0)</f>
        <v>0</v>
      </c>
      <c r="AI934">
        <f>N(AI933)+$AH934</f>
        <v>0</v>
      </c>
      <c r="AJ934" s="7" t="n"/>
      <c r="AL934">
        <f>IF(OR($AL$1="",对接源_01水果!$Y934="",对接源_01水果!$Y934&lt;&gt;$AL$1,对接源_01水果!$B934="",N(对接源_01水果!$AJ934)&lt;=0),0,IF(OR(N(对接源_01水果!$B934)&lt;$AL$2,N(对接源_01水果!$B934)&gt;$AL$3),0,1))</f>
        <v>0</v>
      </c>
      <c r="AM934">
        <f>N(AM933)+$AL934</f>
        <v>2</v>
      </c>
      <c r="AN934">
        <f>IF(对接源_01水果!$AC934="","",对接源_01水果!$AC934)</f>
      </c>
      <c r="AO934">
        <f>IF(AN934="",0,IF(MATCH(AN934,$AN$4:$AN$1203,0)=ROW()-3,1,0))</f>
        <v>0</v>
      </c>
      <c r="AP934">
        <f>N(AP933)+$AO934</f>
        <v>13</v>
      </c>
      <c r="AR934">
        <f>IF(OR($AF934=1,$AH934=1),1,0)</f>
        <v>0</v>
      </c>
      <c r="AS934">
        <f>N(AS933)+$AR934</f>
        <v>0</v>
      </c>
    </row>
    <row r="935" ht="14.25" customHeight="1" s="127">
      <c r="A935">
        <f>IF(对接源_01水果!$C935="","",对接源_01水果!$C935)</f>
      </c>
      <c r="B935">
        <f>IF(A935="",0,IF(MATCH(A935,$A$4:$A$2403,0)=ROW()-3,1,0))</f>
        <v>0</v>
      </c>
      <c r="C935">
        <f>N(C934)+B935</f>
        <v>22</v>
      </c>
      <c r="K935">
        <f>IF(OR($K$1="",对接源_01水果!$C935="",对接源_01水果!$C935&lt;&gt;$K$1,对接源_01水果!$B935=""),0,IF(OR(N(对接源_01水果!$B935)&lt;$K$2,N(对接源_01水果!$B935)&gt;$K$3),0,1))</f>
        <v>0</v>
      </c>
      <c r="L935">
        <f>IF(OR($L$1="",对接源_01水果!$C935="",对接源_01水果!$C935&lt;&gt;$L$1,对接源_01水果!$B935=""),0,IF(OR(N(对接源_01水果!$B935)&lt;$L$2,N(对接源_01水果!$B935)&gt;$L$3),0,1))</f>
        <v>0</v>
      </c>
      <c r="M935">
        <f>IF(OR($M$1="",对接源_01水果!$C935="",对接源_01水果!$C935&lt;&gt;$M$1,对接源_01水果!$B935=""),0,IF(OR(N(对接源_01水果!$B935)&lt;$M$2,N(对接源_01水果!$B935)&gt;$M$3),0,1))</f>
        <v>0</v>
      </c>
      <c r="N935">
        <f>IF(OR($N$1="",对接源_01水果!$C935="",对接源_01水果!$C935&lt;&gt;$N$1,对接源_01水果!$B935=""),0,IF(OR(N(对接源_01水果!$B935)&lt;$N$2,N(对接源_01水果!$B935)&gt;$N$3),0,1))</f>
        <v>0</v>
      </c>
      <c r="P935">
        <f>IF(AND($K935=1,AND(对接源_01水果!$X935="公司筐",N(对接源_01水果!$T935)&lt;&gt;0)),1,0)</f>
        <v>0</v>
      </c>
      <c r="Q935">
        <f>N(Q934)+$P935</f>
        <v>0</v>
      </c>
      <c r="R935">
        <f>IF(AND($K935=1,AND(对接源_01水果!$X935="公司筐",N(对接源_01水果!$U935)&lt;&gt;0)),1,0)</f>
        <v>0</v>
      </c>
      <c r="S935">
        <f>N(S934)+$R935</f>
        <v>0</v>
      </c>
      <c r="T935">
        <f>IF(AND($K935=1,AND(对接源_01水果!$X935="公司筐",N(对接源_01水果!$V935)&lt;&gt;0)),1,0)</f>
        <v>0</v>
      </c>
      <c r="U935">
        <f>N(U934)+$T935</f>
        <v>47</v>
      </c>
      <c r="V935">
        <f>IF(AND($L935=1,AND(对接源_01水果!$X935="自备筐",N(对接源_01水果!$V935)&lt;&gt;0)),1,0)</f>
        <v>0</v>
      </c>
      <c r="W935">
        <f>N(W934)+$V935</f>
        <v>11</v>
      </c>
      <c r="X935">
        <f>IF(AND($L935=1,AND(对接源_01水果!$X935="自备筐",N(对接源_01水果!$T935)&lt;&gt;0)),1,0)</f>
        <v>0</v>
      </c>
      <c r="Y935">
        <f>N(Y934)+$X935</f>
        <v>0</v>
      </c>
      <c r="Z935">
        <f>IF(AND($M935=1,对接源_01水果!$D935="原料入库"),1,0)</f>
        <v>0</v>
      </c>
      <c r="AA935">
        <f>N(AA934)+$Z935</f>
        <v>24</v>
      </c>
      <c r="AB935">
        <f>IF(AND($M935=1,LEFT(对接源_01水果!$D935,4)="原料出库"),1,0)</f>
        <v>0</v>
      </c>
      <c r="AC935">
        <f>N(AC934)+$AB935</f>
        <v>0</v>
      </c>
      <c r="AD935">
        <f>IF(AND($M935=1,LEFT(对接源_01水果!$D935,4)="成品出库"),1,0)</f>
        <v>0</v>
      </c>
      <c r="AE935">
        <f>N(AE934)+$AD935</f>
        <v>0</v>
      </c>
      <c r="AF935">
        <f>IF(AND($N935=1,AND(LEFT(对接源_01水果!$D935,4)="包装物料",N(对接源_01水果!$K935)&lt;&gt;0)),1,0)</f>
        <v>0</v>
      </c>
      <c r="AG935">
        <f>N(AG934)+$AF935</f>
        <v>0</v>
      </c>
      <c r="AH935">
        <f>IF(AND($N935=1,AND(对接源_01水果!$D935="周转筐－销售出库",N(对接源_01水果!$K935)&lt;&gt;0)),1,0)</f>
        <v>0</v>
      </c>
      <c r="AI935">
        <f>N(AI934)+$AH935</f>
        <v>0</v>
      </c>
      <c r="AJ935" s="7" t="n"/>
      <c r="AL935">
        <f>IF(OR($AL$1="",对接源_01水果!$Y935="",对接源_01水果!$Y935&lt;&gt;$AL$1,对接源_01水果!$B935="",N(对接源_01水果!$AJ935)&lt;=0),0,IF(OR(N(对接源_01水果!$B935)&lt;$AL$2,N(对接源_01水果!$B935)&gt;$AL$3),0,1))</f>
        <v>0</v>
      </c>
      <c r="AM935">
        <f>N(AM934)+$AL935</f>
        <v>2</v>
      </c>
      <c r="AN935">
        <f>IF(对接源_01水果!$AC935="","",对接源_01水果!$AC935)</f>
      </c>
      <c r="AO935">
        <f>IF(AN935="",0,IF(MATCH(AN935,$AN$4:$AN$1203,0)=ROW()-3,1,0))</f>
        <v>0</v>
      </c>
      <c r="AP935">
        <f>N(AP934)+$AO935</f>
        <v>13</v>
      </c>
      <c r="AR935">
        <f>IF(OR($AF935=1,$AH935=1),1,0)</f>
        <v>0</v>
      </c>
      <c r="AS935">
        <f>N(AS934)+$AR935</f>
        <v>0</v>
      </c>
    </row>
    <row r="936" ht="14.25" customHeight="1" s="127">
      <c r="A936">
        <f>IF(对接源_01水果!$C936="","",对接源_01水果!$C936)</f>
      </c>
      <c r="B936">
        <f>IF(A936="",0,IF(MATCH(A936,$A$4:$A$2403,0)=ROW()-3,1,0))</f>
        <v>0</v>
      </c>
      <c r="C936">
        <f>N(C935)+B936</f>
        <v>22</v>
      </c>
      <c r="K936">
        <f>IF(OR($K$1="",对接源_01水果!$C936="",对接源_01水果!$C936&lt;&gt;$K$1,对接源_01水果!$B936=""),0,IF(OR(N(对接源_01水果!$B936)&lt;$K$2,N(对接源_01水果!$B936)&gt;$K$3),0,1))</f>
        <v>0</v>
      </c>
      <c r="L936">
        <f>IF(OR($L$1="",对接源_01水果!$C936="",对接源_01水果!$C936&lt;&gt;$L$1,对接源_01水果!$B936=""),0,IF(OR(N(对接源_01水果!$B936)&lt;$L$2,N(对接源_01水果!$B936)&gt;$L$3),0,1))</f>
        <v>0</v>
      </c>
      <c r="M936">
        <f>IF(OR($M$1="",对接源_01水果!$C936="",对接源_01水果!$C936&lt;&gt;$M$1,对接源_01水果!$B936=""),0,IF(OR(N(对接源_01水果!$B936)&lt;$M$2,N(对接源_01水果!$B936)&gt;$M$3),0,1))</f>
        <v>0</v>
      </c>
      <c r="N936">
        <f>IF(OR($N$1="",对接源_01水果!$C936="",对接源_01水果!$C936&lt;&gt;$N$1,对接源_01水果!$B936=""),0,IF(OR(N(对接源_01水果!$B936)&lt;$N$2,N(对接源_01水果!$B936)&gt;$N$3),0,1))</f>
        <v>0</v>
      </c>
      <c r="P936">
        <f>IF(AND($K936=1,AND(对接源_01水果!$X936="公司筐",N(对接源_01水果!$T936)&lt;&gt;0)),1,0)</f>
        <v>0</v>
      </c>
      <c r="Q936">
        <f>N(Q935)+$P936</f>
        <v>0</v>
      </c>
      <c r="R936">
        <f>IF(AND($K936=1,AND(对接源_01水果!$X936="公司筐",N(对接源_01水果!$U936)&lt;&gt;0)),1,0)</f>
        <v>0</v>
      </c>
      <c r="S936">
        <f>N(S935)+$R936</f>
        <v>0</v>
      </c>
      <c r="T936">
        <f>IF(AND($K936=1,AND(对接源_01水果!$X936="公司筐",N(对接源_01水果!$V936)&lt;&gt;0)),1,0)</f>
        <v>0</v>
      </c>
      <c r="U936">
        <f>N(U935)+$T936</f>
        <v>47</v>
      </c>
      <c r="V936">
        <f>IF(AND($L936=1,AND(对接源_01水果!$X936="自备筐",N(对接源_01水果!$V936)&lt;&gt;0)),1,0)</f>
        <v>0</v>
      </c>
      <c r="W936">
        <f>N(W935)+$V936</f>
        <v>11</v>
      </c>
      <c r="X936">
        <f>IF(AND($L936=1,AND(对接源_01水果!$X936="自备筐",N(对接源_01水果!$T936)&lt;&gt;0)),1,0)</f>
        <v>0</v>
      </c>
      <c r="Y936">
        <f>N(Y935)+$X936</f>
        <v>0</v>
      </c>
      <c r="Z936">
        <f>IF(AND($M936=1,对接源_01水果!$D936="原料入库"),1,0)</f>
        <v>0</v>
      </c>
      <c r="AA936">
        <f>N(AA935)+$Z936</f>
        <v>24</v>
      </c>
      <c r="AB936">
        <f>IF(AND($M936=1,LEFT(对接源_01水果!$D936,4)="原料出库"),1,0)</f>
        <v>0</v>
      </c>
      <c r="AC936">
        <f>N(AC935)+$AB936</f>
        <v>0</v>
      </c>
      <c r="AD936">
        <f>IF(AND($M936=1,LEFT(对接源_01水果!$D936,4)="成品出库"),1,0)</f>
        <v>0</v>
      </c>
      <c r="AE936">
        <f>N(AE935)+$AD936</f>
        <v>0</v>
      </c>
      <c r="AF936">
        <f>IF(AND($N936=1,AND(LEFT(对接源_01水果!$D936,4)="包装物料",N(对接源_01水果!$K936)&lt;&gt;0)),1,0)</f>
        <v>0</v>
      </c>
      <c r="AG936">
        <f>N(AG935)+$AF936</f>
        <v>0</v>
      </c>
      <c r="AH936">
        <f>IF(AND($N936=1,AND(对接源_01水果!$D936="周转筐－销售出库",N(对接源_01水果!$K936)&lt;&gt;0)),1,0)</f>
        <v>0</v>
      </c>
      <c r="AI936">
        <f>N(AI935)+$AH936</f>
        <v>0</v>
      </c>
      <c r="AJ936" s="7" t="n"/>
      <c r="AL936">
        <f>IF(OR($AL$1="",对接源_01水果!$Y936="",对接源_01水果!$Y936&lt;&gt;$AL$1,对接源_01水果!$B936="",N(对接源_01水果!$AJ936)&lt;=0),0,IF(OR(N(对接源_01水果!$B936)&lt;$AL$2,N(对接源_01水果!$B936)&gt;$AL$3),0,1))</f>
        <v>0</v>
      </c>
      <c r="AM936">
        <f>N(AM935)+$AL936</f>
        <v>2</v>
      </c>
      <c r="AN936">
        <f>IF(对接源_01水果!$AC936="","",对接源_01水果!$AC936)</f>
      </c>
      <c r="AO936">
        <f>IF(AN936="",0,IF(MATCH(AN936,$AN$4:$AN$1203,0)=ROW()-3,1,0))</f>
        <v>0</v>
      </c>
      <c r="AP936">
        <f>N(AP935)+$AO936</f>
        <v>13</v>
      </c>
      <c r="AR936">
        <f>IF(OR($AF936=1,$AH936=1),1,0)</f>
        <v>0</v>
      </c>
      <c r="AS936">
        <f>N(AS935)+$AR936</f>
        <v>0</v>
      </c>
    </row>
    <row r="937" ht="14.25" customHeight="1" s="127">
      <c r="A937">
        <f>IF(对接源_01水果!$C937="","",对接源_01水果!$C937)</f>
      </c>
      <c r="B937">
        <f>IF(A937="",0,IF(MATCH(A937,$A$4:$A$2403,0)=ROW()-3,1,0))</f>
        <v>0</v>
      </c>
      <c r="C937">
        <f>N(C936)+B937</f>
        <v>22</v>
      </c>
      <c r="K937">
        <f>IF(OR($K$1="",对接源_01水果!$C937="",对接源_01水果!$C937&lt;&gt;$K$1,对接源_01水果!$B937=""),0,IF(OR(N(对接源_01水果!$B937)&lt;$K$2,N(对接源_01水果!$B937)&gt;$K$3),0,1))</f>
        <v>0</v>
      </c>
      <c r="L937">
        <f>IF(OR($L$1="",对接源_01水果!$C937="",对接源_01水果!$C937&lt;&gt;$L$1,对接源_01水果!$B937=""),0,IF(OR(N(对接源_01水果!$B937)&lt;$L$2,N(对接源_01水果!$B937)&gt;$L$3),0,1))</f>
        <v>0</v>
      </c>
      <c r="M937">
        <f>IF(OR($M$1="",对接源_01水果!$C937="",对接源_01水果!$C937&lt;&gt;$M$1,对接源_01水果!$B937=""),0,IF(OR(N(对接源_01水果!$B937)&lt;$M$2,N(对接源_01水果!$B937)&gt;$M$3),0,1))</f>
        <v>0</v>
      </c>
      <c r="N937">
        <f>IF(OR($N$1="",对接源_01水果!$C937="",对接源_01水果!$C937&lt;&gt;$N$1,对接源_01水果!$B937=""),0,IF(OR(N(对接源_01水果!$B937)&lt;$N$2,N(对接源_01水果!$B937)&gt;$N$3),0,1))</f>
        <v>0</v>
      </c>
      <c r="P937">
        <f>IF(AND($K937=1,AND(对接源_01水果!$X937="公司筐",N(对接源_01水果!$T937)&lt;&gt;0)),1,0)</f>
        <v>0</v>
      </c>
      <c r="Q937">
        <f>N(Q936)+$P937</f>
        <v>0</v>
      </c>
      <c r="R937">
        <f>IF(AND($K937=1,AND(对接源_01水果!$X937="公司筐",N(对接源_01水果!$U937)&lt;&gt;0)),1,0)</f>
        <v>0</v>
      </c>
      <c r="S937">
        <f>N(S936)+$R937</f>
        <v>0</v>
      </c>
      <c r="T937">
        <f>IF(AND($K937=1,AND(对接源_01水果!$X937="公司筐",N(对接源_01水果!$V937)&lt;&gt;0)),1,0)</f>
        <v>0</v>
      </c>
      <c r="U937">
        <f>N(U936)+$T937</f>
        <v>47</v>
      </c>
      <c r="V937">
        <f>IF(AND($L937=1,AND(对接源_01水果!$X937="自备筐",N(对接源_01水果!$V937)&lt;&gt;0)),1,0)</f>
        <v>0</v>
      </c>
      <c r="W937">
        <f>N(W936)+$V937</f>
        <v>11</v>
      </c>
      <c r="X937">
        <f>IF(AND($L937=1,AND(对接源_01水果!$X937="自备筐",N(对接源_01水果!$T937)&lt;&gt;0)),1,0)</f>
        <v>0</v>
      </c>
      <c r="Y937">
        <f>N(Y936)+$X937</f>
        <v>0</v>
      </c>
      <c r="Z937">
        <f>IF(AND($M937=1,对接源_01水果!$D937="原料入库"),1,0)</f>
        <v>0</v>
      </c>
      <c r="AA937">
        <f>N(AA936)+$Z937</f>
        <v>24</v>
      </c>
      <c r="AB937">
        <f>IF(AND($M937=1,LEFT(对接源_01水果!$D937,4)="原料出库"),1,0)</f>
        <v>0</v>
      </c>
      <c r="AC937">
        <f>N(AC936)+$AB937</f>
        <v>0</v>
      </c>
      <c r="AD937">
        <f>IF(AND($M937=1,LEFT(对接源_01水果!$D937,4)="成品出库"),1,0)</f>
        <v>0</v>
      </c>
      <c r="AE937">
        <f>N(AE936)+$AD937</f>
        <v>0</v>
      </c>
      <c r="AF937">
        <f>IF(AND($N937=1,AND(LEFT(对接源_01水果!$D937,4)="包装物料",N(对接源_01水果!$K937)&lt;&gt;0)),1,0)</f>
        <v>0</v>
      </c>
      <c r="AG937">
        <f>N(AG936)+$AF937</f>
        <v>0</v>
      </c>
      <c r="AH937">
        <f>IF(AND($N937=1,AND(对接源_01水果!$D937="周转筐－销售出库",N(对接源_01水果!$K937)&lt;&gt;0)),1,0)</f>
        <v>0</v>
      </c>
      <c r="AI937">
        <f>N(AI936)+$AH937</f>
        <v>0</v>
      </c>
      <c r="AJ937" s="7" t="n"/>
      <c r="AL937">
        <f>IF(OR($AL$1="",对接源_01水果!$Y937="",对接源_01水果!$Y937&lt;&gt;$AL$1,对接源_01水果!$B937="",N(对接源_01水果!$AJ937)&lt;=0),0,IF(OR(N(对接源_01水果!$B937)&lt;$AL$2,N(对接源_01水果!$B937)&gt;$AL$3),0,1))</f>
        <v>0</v>
      </c>
      <c r="AM937">
        <f>N(AM936)+$AL937</f>
        <v>2</v>
      </c>
      <c r="AN937">
        <f>IF(对接源_01水果!$AC937="","",对接源_01水果!$AC937)</f>
      </c>
      <c r="AO937">
        <f>IF(AN937="",0,IF(MATCH(AN937,$AN$4:$AN$1203,0)=ROW()-3,1,0))</f>
        <v>0</v>
      </c>
      <c r="AP937">
        <f>N(AP936)+$AO937</f>
        <v>13</v>
      </c>
      <c r="AR937">
        <f>IF(OR($AF937=1,$AH937=1),1,0)</f>
        <v>0</v>
      </c>
      <c r="AS937">
        <f>N(AS936)+$AR937</f>
        <v>0</v>
      </c>
    </row>
    <row r="938" ht="14.25" customHeight="1" s="127">
      <c r="A938">
        <f>IF(对接源_01水果!$C938="","",对接源_01水果!$C938)</f>
      </c>
      <c r="B938">
        <f>IF(A938="",0,IF(MATCH(A938,$A$4:$A$2403,0)=ROW()-3,1,0))</f>
        <v>0</v>
      </c>
      <c r="C938">
        <f>N(C937)+B938</f>
        <v>22</v>
      </c>
      <c r="K938">
        <f>IF(OR($K$1="",对接源_01水果!$C938="",对接源_01水果!$C938&lt;&gt;$K$1,对接源_01水果!$B938=""),0,IF(OR(N(对接源_01水果!$B938)&lt;$K$2,N(对接源_01水果!$B938)&gt;$K$3),0,1))</f>
        <v>0</v>
      </c>
      <c r="L938">
        <f>IF(OR($L$1="",对接源_01水果!$C938="",对接源_01水果!$C938&lt;&gt;$L$1,对接源_01水果!$B938=""),0,IF(OR(N(对接源_01水果!$B938)&lt;$L$2,N(对接源_01水果!$B938)&gt;$L$3),0,1))</f>
        <v>0</v>
      </c>
      <c r="M938">
        <f>IF(OR($M$1="",对接源_01水果!$C938="",对接源_01水果!$C938&lt;&gt;$M$1,对接源_01水果!$B938=""),0,IF(OR(N(对接源_01水果!$B938)&lt;$M$2,N(对接源_01水果!$B938)&gt;$M$3),0,1))</f>
        <v>0</v>
      </c>
      <c r="N938">
        <f>IF(OR($N$1="",对接源_01水果!$C938="",对接源_01水果!$C938&lt;&gt;$N$1,对接源_01水果!$B938=""),0,IF(OR(N(对接源_01水果!$B938)&lt;$N$2,N(对接源_01水果!$B938)&gt;$N$3),0,1))</f>
        <v>0</v>
      </c>
      <c r="P938">
        <f>IF(AND($K938=1,AND(对接源_01水果!$X938="公司筐",N(对接源_01水果!$T938)&lt;&gt;0)),1,0)</f>
        <v>0</v>
      </c>
      <c r="Q938">
        <f>N(Q937)+$P938</f>
        <v>0</v>
      </c>
      <c r="R938">
        <f>IF(AND($K938=1,AND(对接源_01水果!$X938="公司筐",N(对接源_01水果!$U938)&lt;&gt;0)),1,0)</f>
        <v>0</v>
      </c>
      <c r="S938">
        <f>N(S937)+$R938</f>
        <v>0</v>
      </c>
      <c r="T938">
        <f>IF(AND($K938=1,AND(对接源_01水果!$X938="公司筐",N(对接源_01水果!$V938)&lt;&gt;0)),1,0)</f>
        <v>0</v>
      </c>
      <c r="U938">
        <f>N(U937)+$T938</f>
        <v>47</v>
      </c>
      <c r="V938">
        <f>IF(AND($L938=1,AND(对接源_01水果!$X938="自备筐",N(对接源_01水果!$V938)&lt;&gt;0)),1,0)</f>
        <v>0</v>
      </c>
      <c r="W938">
        <f>N(W937)+$V938</f>
        <v>11</v>
      </c>
      <c r="X938">
        <f>IF(AND($L938=1,AND(对接源_01水果!$X938="自备筐",N(对接源_01水果!$T938)&lt;&gt;0)),1,0)</f>
        <v>0</v>
      </c>
      <c r="Y938">
        <f>N(Y937)+$X938</f>
        <v>0</v>
      </c>
      <c r="Z938">
        <f>IF(AND($M938=1,对接源_01水果!$D938="原料入库"),1,0)</f>
        <v>0</v>
      </c>
      <c r="AA938">
        <f>N(AA937)+$Z938</f>
        <v>24</v>
      </c>
      <c r="AB938">
        <f>IF(AND($M938=1,LEFT(对接源_01水果!$D938,4)="原料出库"),1,0)</f>
        <v>0</v>
      </c>
      <c r="AC938">
        <f>N(AC937)+$AB938</f>
        <v>0</v>
      </c>
      <c r="AD938">
        <f>IF(AND($M938=1,LEFT(对接源_01水果!$D938,4)="成品出库"),1,0)</f>
        <v>0</v>
      </c>
      <c r="AE938">
        <f>N(AE937)+$AD938</f>
        <v>0</v>
      </c>
      <c r="AF938">
        <f>IF(AND($N938=1,AND(LEFT(对接源_01水果!$D938,4)="包装物料",N(对接源_01水果!$K938)&lt;&gt;0)),1,0)</f>
        <v>0</v>
      </c>
      <c r="AG938">
        <f>N(AG937)+$AF938</f>
        <v>0</v>
      </c>
      <c r="AH938">
        <f>IF(AND($N938=1,AND(对接源_01水果!$D938="周转筐－销售出库",N(对接源_01水果!$K938)&lt;&gt;0)),1,0)</f>
        <v>0</v>
      </c>
      <c r="AI938">
        <f>N(AI937)+$AH938</f>
        <v>0</v>
      </c>
      <c r="AJ938" s="7" t="n"/>
      <c r="AL938">
        <f>IF(OR($AL$1="",对接源_01水果!$Y938="",对接源_01水果!$Y938&lt;&gt;$AL$1,对接源_01水果!$B938="",N(对接源_01水果!$AJ938)&lt;=0),0,IF(OR(N(对接源_01水果!$B938)&lt;$AL$2,N(对接源_01水果!$B938)&gt;$AL$3),0,1))</f>
        <v>0</v>
      </c>
      <c r="AM938">
        <f>N(AM937)+$AL938</f>
        <v>2</v>
      </c>
      <c r="AN938">
        <f>IF(对接源_01水果!$AC938="","",对接源_01水果!$AC938)</f>
      </c>
      <c r="AO938">
        <f>IF(AN938="",0,IF(MATCH(AN938,$AN$4:$AN$1203,0)=ROW()-3,1,0))</f>
        <v>0</v>
      </c>
      <c r="AP938">
        <f>N(AP937)+$AO938</f>
        <v>13</v>
      </c>
      <c r="AR938">
        <f>IF(OR($AF938=1,$AH938=1),1,0)</f>
        <v>0</v>
      </c>
      <c r="AS938">
        <f>N(AS937)+$AR938</f>
        <v>0</v>
      </c>
    </row>
    <row r="939" ht="14.25" customHeight="1" s="127">
      <c r="A939">
        <f>IF(对接源_01水果!$C939="","",对接源_01水果!$C939)</f>
      </c>
      <c r="B939">
        <f>IF(A939="",0,IF(MATCH(A939,$A$4:$A$2403,0)=ROW()-3,1,0))</f>
        <v>0</v>
      </c>
      <c r="C939">
        <f>N(C938)+B939</f>
        <v>22</v>
      </c>
      <c r="K939">
        <f>IF(OR($K$1="",对接源_01水果!$C939="",对接源_01水果!$C939&lt;&gt;$K$1,对接源_01水果!$B939=""),0,IF(OR(N(对接源_01水果!$B939)&lt;$K$2,N(对接源_01水果!$B939)&gt;$K$3),0,1))</f>
        <v>0</v>
      </c>
      <c r="L939">
        <f>IF(OR($L$1="",对接源_01水果!$C939="",对接源_01水果!$C939&lt;&gt;$L$1,对接源_01水果!$B939=""),0,IF(OR(N(对接源_01水果!$B939)&lt;$L$2,N(对接源_01水果!$B939)&gt;$L$3),0,1))</f>
        <v>0</v>
      </c>
      <c r="M939">
        <f>IF(OR($M$1="",对接源_01水果!$C939="",对接源_01水果!$C939&lt;&gt;$M$1,对接源_01水果!$B939=""),0,IF(OR(N(对接源_01水果!$B939)&lt;$M$2,N(对接源_01水果!$B939)&gt;$M$3),0,1))</f>
        <v>0</v>
      </c>
      <c r="N939">
        <f>IF(OR($N$1="",对接源_01水果!$C939="",对接源_01水果!$C939&lt;&gt;$N$1,对接源_01水果!$B939=""),0,IF(OR(N(对接源_01水果!$B939)&lt;$N$2,N(对接源_01水果!$B939)&gt;$N$3),0,1))</f>
        <v>0</v>
      </c>
      <c r="P939">
        <f>IF(AND($K939=1,AND(对接源_01水果!$X939="公司筐",N(对接源_01水果!$T939)&lt;&gt;0)),1,0)</f>
        <v>0</v>
      </c>
      <c r="Q939">
        <f>N(Q938)+$P939</f>
        <v>0</v>
      </c>
      <c r="R939">
        <f>IF(AND($K939=1,AND(对接源_01水果!$X939="公司筐",N(对接源_01水果!$U939)&lt;&gt;0)),1,0)</f>
        <v>0</v>
      </c>
      <c r="S939">
        <f>N(S938)+$R939</f>
        <v>0</v>
      </c>
      <c r="T939">
        <f>IF(AND($K939=1,AND(对接源_01水果!$X939="公司筐",N(对接源_01水果!$V939)&lt;&gt;0)),1,0)</f>
        <v>0</v>
      </c>
      <c r="U939">
        <f>N(U938)+$T939</f>
        <v>47</v>
      </c>
      <c r="V939">
        <f>IF(AND($L939=1,AND(对接源_01水果!$X939="自备筐",N(对接源_01水果!$V939)&lt;&gt;0)),1,0)</f>
        <v>0</v>
      </c>
      <c r="W939">
        <f>N(W938)+$V939</f>
        <v>11</v>
      </c>
      <c r="X939">
        <f>IF(AND($L939=1,AND(对接源_01水果!$X939="自备筐",N(对接源_01水果!$T939)&lt;&gt;0)),1,0)</f>
        <v>0</v>
      </c>
      <c r="Y939">
        <f>N(Y938)+$X939</f>
        <v>0</v>
      </c>
      <c r="Z939">
        <f>IF(AND($M939=1,对接源_01水果!$D939="原料入库"),1,0)</f>
        <v>0</v>
      </c>
      <c r="AA939">
        <f>N(AA938)+$Z939</f>
        <v>24</v>
      </c>
      <c r="AB939">
        <f>IF(AND($M939=1,LEFT(对接源_01水果!$D939,4)="原料出库"),1,0)</f>
        <v>0</v>
      </c>
      <c r="AC939">
        <f>N(AC938)+$AB939</f>
        <v>0</v>
      </c>
      <c r="AD939">
        <f>IF(AND($M939=1,LEFT(对接源_01水果!$D939,4)="成品出库"),1,0)</f>
        <v>0</v>
      </c>
      <c r="AE939">
        <f>N(AE938)+$AD939</f>
        <v>0</v>
      </c>
      <c r="AF939">
        <f>IF(AND($N939=1,AND(LEFT(对接源_01水果!$D939,4)="包装物料",N(对接源_01水果!$K939)&lt;&gt;0)),1,0)</f>
        <v>0</v>
      </c>
      <c r="AG939">
        <f>N(AG938)+$AF939</f>
        <v>0</v>
      </c>
      <c r="AH939">
        <f>IF(AND($N939=1,AND(对接源_01水果!$D939="周转筐－销售出库",N(对接源_01水果!$K939)&lt;&gt;0)),1,0)</f>
        <v>0</v>
      </c>
      <c r="AI939">
        <f>N(AI938)+$AH939</f>
        <v>0</v>
      </c>
      <c r="AJ939" s="7" t="n"/>
      <c r="AL939">
        <f>IF(OR($AL$1="",对接源_01水果!$Y939="",对接源_01水果!$Y939&lt;&gt;$AL$1,对接源_01水果!$B939="",N(对接源_01水果!$AJ939)&lt;=0),0,IF(OR(N(对接源_01水果!$B939)&lt;$AL$2,N(对接源_01水果!$B939)&gt;$AL$3),0,1))</f>
        <v>0</v>
      </c>
      <c r="AM939">
        <f>N(AM938)+$AL939</f>
        <v>2</v>
      </c>
      <c r="AN939">
        <f>IF(对接源_01水果!$AC939="","",对接源_01水果!$AC939)</f>
      </c>
      <c r="AO939">
        <f>IF(AN939="",0,IF(MATCH(AN939,$AN$4:$AN$1203,0)=ROW()-3,1,0))</f>
        <v>0</v>
      </c>
      <c r="AP939">
        <f>N(AP938)+$AO939</f>
        <v>13</v>
      </c>
      <c r="AR939">
        <f>IF(OR($AF939=1,$AH939=1),1,0)</f>
        <v>0</v>
      </c>
      <c r="AS939">
        <f>N(AS938)+$AR939</f>
        <v>0</v>
      </c>
    </row>
    <row r="940" ht="14.25" customHeight="1" s="127">
      <c r="A940">
        <f>IF(对接源_01水果!$C940="","",对接源_01水果!$C940)</f>
      </c>
      <c r="B940">
        <f>IF(A940="",0,IF(MATCH(A940,$A$4:$A$2403,0)=ROW()-3,1,0))</f>
        <v>0</v>
      </c>
      <c r="C940">
        <f>N(C939)+B940</f>
        <v>22</v>
      </c>
      <c r="K940">
        <f>IF(OR($K$1="",对接源_01水果!$C940="",对接源_01水果!$C940&lt;&gt;$K$1,对接源_01水果!$B940=""),0,IF(OR(N(对接源_01水果!$B940)&lt;$K$2,N(对接源_01水果!$B940)&gt;$K$3),0,1))</f>
        <v>0</v>
      </c>
      <c r="L940">
        <f>IF(OR($L$1="",对接源_01水果!$C940="",对接源_01水果!$C940&lt;&gt;$L$1,对接源_01水果!$B940=""),0,IF(OR(N(对接源_01水果!$B940)&lt;$L$2,N(对接源_01水果!$B940)&gt;$L$3),0,1))</f>
        <v>0</v>
      </c>
      <c r="M940">
        <f>IF(OR($M$1="",对接源_01水果!$C940="",对接源_01水果!$C940&lt;&gt;$M$1,对接源_01水果!$B940=""),0,IF(OR(N(对接源_01水果!$B940)&lt;$M$2,N(对接源_01水果!$B940)&gt;$M$3),0,1))</f>
        <v>0</v>
      </c>
      <c r="N940">
        <f>IF(OR($N$1="",对接源_01水果!$C940="",对接源_01水果!$C940&lt;&gt;$N$1,对接源_01水果!$B940=""),0,IF(OR(N(对接源_01水果!$B940)&lt;$N$2,N(对接源_01水果!$B940)&gt;$N$3),0,1))</f>
        <v>0</v>
      </c>
      <c r="P940">
        <f>IF(AND($K940=1,AND(对接源_01水果!$X940="公司筐",N(对接源_01水果!$T940)&lt;&gt;0)),1,0)</f>
        <v>0</v>
      </c>
      <c r="Q940">
        <f>N(Q939)+$P940</f>
        <v>0</v>
      </c>
      <c r="R940">
        <f>IF(AND($K940=1,AND(对接源_01水果!$X940="公司筐",N(对接源_01水果!$U940)&lt;&gt;0)),1,0)</f>
        <v>0</v>
      </c>
      <c r="S940">
        <f>N(S939)+$R940</f>
        <v>0</v>
      </c>
      <c r="T940">
        <f>IF(AND($K940=1,AND(对接源_01水果!$X940="公司筐",N(对接源_01水果!$V940)&lt;&gt;0)),1,0)</f>
        <v>0</v>
      </c>
      <c r="U940">
        <f>N(U939)+$T940</f>
        <v>47</v>
      </c>
      <c r="V940">
        <f>IF(AND($L940=1,AND(对接源_01水果!$X940="自备筐",N(对接源_01水果!$V940)&lt;&gt;0)),1,0)</f>
        <v>0</v>
      </c>
      <c r="W940">
        <f>N(W939)+$V940</f>
        <v>11</v>
      </c>
      <c r="X940">
        <f>IF(AND($L940=1,AND(对接源_01水果!$X940="自备筐",N(对接源_01水果!$T940)&lt;&gt;0)),1,0)</f>
        <v>0</v>
      </c>
      <c r="Y940">
        <f>N(Y939)+$X940</f>
        <v>0</v>
      </c>
      <c r="Z940">
        <f>IF(AND($M940=1,对接源_01水果!$D940="原料入库"),1,0)</f>
        <v>0</v>
      </c>
      <c r="AA940">
        <f>N(AA939)+$Z940</f>
        <v>24</v>
      </c>
      <c r="AB940">
        <f>IF(AND($M940=1,LEFT(对接源_01水果!$D940,4)="原料出库"),1,0)</f>
        <v>0</v>
      </c>
      <c r="AC940">
        <f>N(AC939)+$AB940</f>
        <v>0</v>
      </c>
      <c r="AD940">
        <f>IF(AND($M940=1,LEFT(对接源_01水果!$D940,4)="成品出库"),1,0)</f>
        <v>0</v>
      </c>
      <c r="AE940">
        <f>N(AE939)+$AD940</f>
        <v>0</v>
      </c>
      <c r="AF940">
        <f>IF(AND($N940=1,AND(LEFT(对接源_01水果!$D940,4)="包装物料",N(对接源_01水果!$K940)&lt;&gt;0)),1,0)</f>
        <v>0</v>
      </c>
      <c r="AG940">
        <f>N(AG939)+$AF940</f>
        <v>0</v>
      </c>
      <c r="AH940">
        <f>IF(AND($N940=1,AND(对接源_01水果!$D940="周转筐－销售出库",N(对接源_01水果!$K940)&lt;&gt;0)),1,0)</f>
        <v>0</v>
      </c>
      <c r="AI940">
        <f>N(AI939)+$AH940</f>
        <v>0</v>
      </c>
      <c r="AJ940" s="7" t="n"/>
      <c r="AL940">
        <f>IF(OR($AL$1="",对接源_01水果!$Y940="",对接源_01水果!$Y940&lt;&gt;$AL$1,对接源_01水果!$B940="",N(对接源_01水果!$AJ940)&lt;=0),0,IF(OR(N(对接源_01水果!$B940)&lt;$AL$2,N(对接源_01水果!$B940)&gt;$AL$3),0,1))</f>
        <v>0</v>
      </c>
      <c r="AM940">
        <f>N(AM939)+$AL940</f>
        <v>2</v>
      </c>
      <c r="AN940">
        <f>IF(对接源_01水果!$AC940="","",对接源_01水果!$AC940)</f>
      </c>
      <c r="AO940">
        <f>IF(AN940="",0,IF(MATCH(AN940,$AN$4:$AN$1203,0)=ROW()-3,1,0))</f>
        <v>0</v>
      </c>
      <c r="AP940">
        <f>N(AP939)+$AO940</f>
        <v>13</v>
      </c>
      <c r="AR940">
        <f>IF(OR($AF940=1,$AH940=1),1,0)</f>
        <v>0</v>
      </c>
      <c r="AS940">
        <f>N(AS939)+$AR940</f>
        <v>0</v>
      </c>
    </row>
    <row r="941" ht="14.25" customHeight="1" s="127">
      <c r="A941">
        <f>IF(对接源_01水果!$C941="","",对接源_01水果!$C941)</f>
      </c>
      <c r="B941">
        <f>IF(A941="",0,IF(MATCH(A941,$A$4:$A$2403,0)=ROW()-3,1,0))</f>
        <v>0</v>
      </c>
      <c r="C941">
        <f>N(C940)+B941</f>
        <v>22</v>
      </c>
      <c r="K941">
        <f>IF(OR($K$1="",对接源_01水果!$C941="",对接源_01水果!$C941&lt;&gt;$K$1,对接源_01水果!$B941=""),0,IF(OR(N(对接源_01水果!$B941)&lt;$K$2,N(对接源_01水果!$B941)&gt;$K$3),0,1))</f>
        <v>0</v>
      </c>
      <c r="L941">
        <f>IF(OR($L$1="",对接源_01水果!$C941="",对接源_01水果!$C941&lt;&gt;$L$1,对接源_01水果!$B941=""),0,IF(OR(N(对接源_01水果!$B941)&lt;$L$2,N(对接源_01水果!$B941)&gt;$L$3),0,1))</f>
        <v>0</v>
      </c>
      <c r="M941">
        <f>IF(OR($M$1="",对接源_01水果!$C941="",对接源_01水果!$C941&lt;&gt;$M$1,对接源_01水果!$B941=""),0,IF(OR(N(对接源_01水果!$B941)&lt;$M$2,N(对接源_01水果!$B941)&gt;$M$3),0,1))</f>
        <v>0</v>
      </c>
      <c r="N941">
        <f>IF(OR($N$1="",对接源_01水果!$C941="",对接源_01水果!$C941&lt;&gt;$N$1,对接源_01水果!$B941=""),0,IF(OR(N(对接源_01水果!$B941)&lt;$N$2,N(对接源_01水果!$B941)&gt;$N$3),0,1))</f>
        <v>0</v>
      </c>
      <c r="P941">
        <f>IF(AND($K941=1,AND(对接源_01水果!$X941="公司筐",N(对接源_01水果!$T941)&lt;&gt;0)),1,0)</f>
        <v>0</v>
      </c>
      <c r="Q941">
        <f>N(Q940)+$P941</f>
        <v>0</v>
      </c>
      <c r="R941">
        <f>IF(AND($K941=1,AND(对接源_01水果!$X941="公司筐",N(对接源_01水果!$U941)&lt;&gt;0)),1,0)</f>
        <v>0</v>
      </c>
      <c r="S941">
        <f>N(S940)+$R941</f>
        <v>0</v>
      </c>
      <c r="T941">
        <f>IF(AND($K941=1,AND(对接源_01水果!$X941="公司筐",N(对接源_01水果!$V941)&lt;&gt;0)),1,0)</f>
        <v>0</v>
      </c>
      <c r="U941">
        <f>N(U940)+$T941</f>
        <v>47</v>
      </c>
      <c r="V941">
        <f>IF(AND($L941=1,AND(对接源_01水果!$X941="自备筐",N(对接源_01水果!$V941)&lt;&gt;0)),1,0)</f>
        <v>0</v>
      </c>
      <c r="W941">
        <f>N(W940)+$V941</f>
        <v>11</v>
      </c>
      <c r="X941">
        <f>IF(AND($L941=1,AND(对接源_01水果!$X941="自备筐",N(对接源_01水果!$T941)&lt;&gt;0)),1,0)</f>
        <v>0</v>
      </c>
      <c r="Y941">
        <f>N(Y940)+$X941</f>
        <v>0</v>
      </c>
      <c r="Z941">
        <f>IF(AND($M941=1,对接源_01水果!$D941="原料入库"),1,0)</f>
        <v>0</v>
      </c>
      <c r="AA941">
        <f>N(AA940)+$Z941</f>
        <v>24</v>
      </c>
      <c r="AB941">
        <f>IF(AND($M941=1,LEFT(对接源_01水果!$D941,4)="原料出库"),1,0)</f>
        <v>0</v>
      </c>
      <c r="AC941">
        <f>N(AC940)+$AB941</f>
        <v>0</v>
      </c>
      <c r="AD941">
        <f>IF(AND($M941=1,LEFT(对接源_01水果!$D941,4)="成品出库"),1,0)</f>
        <v>0</v>
      </c>
      <c r="AE941">
        <f>N(AE940)+$AD941</f>
        <v>0</v>
      </c>
      <c r="AF941">
        <f>IF(AND($N941=1,AND(LEFT(对接源_01水果!$D941,4)="包装物料",N(对接源_01水果!$K941)&lt;&gt;0)),1,0)</f>
        <v>0</v>
      </c>
      <c r="AG941">
        <f>N(AG940)+$AF941</f>
        <v>0</v>
      </c>
      <c r="AH941">
        <f>IF(AND($N941=1,AND(对接源_01水果!$D941="周转筐－销售出库",N(对接源_01水果!$K941)&lt;&gt;0)),1,0)</f>
        <v>0</v>
      </c>
      <c r="AI941">
        <f>N(AI940)+$AH941</f>
        <v>0</v>
      </c>
      <c r="AJ941" s="7" t="n"/>
      <c r="AL941">
        <f>IF(OR($AL$1="",对接源_01水果!$Y941="",对接源_01水果!$Y941&lt;&gt;$AL$1,对接源_01水果!$B941="",N(对接源_01水果!$AJ941)&lt;=0),0,IF(OR(N(对接源_01水果!$B941)&lt;$AL$2,N(对接源_01水果!$B941)&gt;$AL$3),0,1))</f>
        <v>0</v>
      </c>
      <c r="AM941">
        <f>N(AM940)+$AL941</f>
        <v>2</v>
      </c>
      <c r="AN941">
        <f>IF(对接源_01水果!$AC941="","",对接源_01水果!$AC941)</f>
      </c>
      <c r="AO941">
        <f>IF(AN941="",0,IF(MATCH(AN941,$AN$4:$AN$1203,0)=ROW()-3,1,0))</f>
        <v>0</v>
      </c>
      <c r="AP941">
        <f>N(AP940)+$AO941</f>
        <v>13</v>
      </c>
      <c r="AR941">
        <f>IF(OR($AF941=1,$AH941=1),1,0)</f>
        <v>0</v>
      </c>
      <c r="AS941">
        <f>N(AS940)+$AR941</f>
        <v>0</v>
      </c>
    </row>
    <row r="942" ht="14.25" customHeight="1" s="127">
      <c r="A942">
        <f>IF(对接源_01水果!$C942="","",对接源_01水果!$C942)</f>
      </c>
      <c r="B942">
        <f>IF(A942="",0,IF(MATCH(A942,$A$4:$A$2403,0)=ROW()-3,1,0))</f>
        <v>0</v>
      </c>
      <c r="C942">
        <f>N(C941)+B942</f>
        <v>22</v>
      </c>
      <c r="K942">
        <f>IF(OR($K$1="",对接源_01水果!$C942="",对接源_01水果!$C942&lt;&gt;$K$1,对接源_01水果!$B942=""),0,IF(OR(N(对接源_01水果!$B942)&lt;$K$2,N(对接源_01水果!$B942)&gt;$K$3),0,1))</f>
        <v>0</v>
      </c>
      <c r="L942">
        <f>IF(OR($L$1="",对接源_01水果!$C942="",对接源_01水果!$C942&lt;&gt;$L$1,对接源_01水果!$B942=""),0,IF(OR(N(对接源_01水果!$B942)&lt;$L$2,N(对接源_01水果!$B942)&gt;$L$3),0,1))</f>
        <v>0</v>
      </c>
      <c r="M942">
        <f>IF(OR($M$1="",对接源_01水果!$C942="",对接源_01水果!$C942&lt;&gt;$M$1,对接源_01水果!$B942=""),0,IF(OR(N(对接源_01水果!$B942)&lt;$M$2,N(对接源_01水果!$B942)&gt;$M$3),0,1))</f>
        <v>0</v>
      </c>
      <c r="N942">
        <f>IF(OR($N$1="",对接源_01水果!$C942="",对接源_01水果!$C942&lt;&gt;$N$1,对接源_01水果!$B942=""),0,IF(OR(N(对接源_01水果!$B942)&lt;$N$2,N(对接源_01水果!$B942)&gt;$N$3),0,1))</f>
        <v>0</v>
      </c>
      <c r="P942">
        <f>IF(AND($K942=1,AND(对接源_01水果!$X942="公司筐",N(对接源_01水果!$T942)&lt;&gt;0)),1,0)</f>
        <v>0</v>
      </c>
      <c r="Q942">
        <f>N(Q941)+$P942</f>
        <v>0</v>
      </c>
      <c r="R942">
        <f>IF(AND($K942=1,AND(对接源_01水果!$X942="公司筐",N(对接源_01水果!$U942)&lt;&gt;0)),1,0)</f>
        <v>0</v>
      </c>
      <c r="S942">
        <f>N(S941)+$R942</f>
        <v>0</v>
      </c>
      <c r="T942">
        <f>IF(AND($K942=1,AND(对接源_01水果!$X942="公司筐",N(对接源_01水果!$V942)&lt;&gt;0)),1,0)</f>
        <v>0</v>
      </c>
      <c r="U942">
        <f>N(U941)+$T942</f>
        <v>47</v>
      </c>
      <c r="V942">
        <f>IF(AND($L942=1,AND(对接源_01水果!$X942="自备筐",N(对接源_01水果!$V942)&lt;&gt;0)),1,0)</f>
        <v>0</v>
      </c>
      <c r="W942">
        <f>N(W941)+$V942</f>
        <v>11</v>
      </c>
      <c r="X942">
        <f>IF(AND($L942=1,AND(对接源_01水果!$X942="自备筐",N(对接源_01水果!$T942)&lt;&gt;0)),1,0)</f>
        <v>0</v>
      </c>
      <c r="Y942">
        <f>N(Y941)+$X942</f>
        <v>0</v>
      </c>
      <c r="Z942">
        <f>IF(AND($M942=1,对接源_01水果!$D942="原料入库"),1,0)</f>
        <v>0</v>
      </c>
      <c r="AA942">
        <f>N(AA941)+$Z942</f>
        <v>24</v>
      </c>
      <c r="AB942">
        <f>IF(AND($M942=1,LEFT(对接源_01水果!$D942,4)="原料出库"),1,0)</f>
        <v>0</v>
      </c>
      <c r="AC942">
        <f>N(AC941)+$AB942</f>
        <v>0</v>
      </c>
      <c r="AD942">
        <f>IF(AND($M942=1,LEFT(对接源_01水果!$D942,4)="成品出库"),1,0)</f>
        <v>0</v>
      </c>
      <c r="AE942">
        <f>N(AE941)+$AD942</f>
        <v>0</v>
      </c>
      <c r="AF942">
        <f>IF(AND($N942=1,AND(LEFT(对接源_01水果!$D942,4)="包装物料",N(对接源_01水果!$K942)&lt;&gt;0)),1,0)</f>
        <v>0</v>
      </c>
      <c r="AG942">
        <f>N(AG941)+$AF942</f>
        <v>0</v>
      </c>
      <c r="AH942">
        <f>IF(AND($N942=1,AND(对接源_01水果!$D942="周转筐－销售出库",N(对接源_01水果!$K942)&lt;&gt;0)),1,0)</f>
        <v>0</v>
      </c>
      <c r="AI942">
        <f>N(AI941)+$AH942</f>
        <v>0</v>
      </c>
      <c r="AJ942" s="7" t="n"/>
      <c r="AL942">
        <f>IF(OR($AL$1="",对接源_01水果!$Y942="",对接源_01水果!$Y942&lt;&gt;$AL$1,对接源_01水果!$B942="",N(对接源_01水果!$AJ942)&lt;=0),0,IF(OR(N(对接源_01水果!$B942)&lt;$AL$2,N(对接源_01水果!$B942)&gt;$AL$3),0,1))</f>
        <v>0</v>
      </c>
      <c r="AM942">
        <f>N(AM941)+$AL942</f>
        <v>2</v>
      </c>
      <c r="AN942">
        <f>IF(对接源_01水果!$AC942="","",对接源_01水果!$AC942)</f>
      </c>
      <c r="AO942">
        <f>IF(AN942="",0,IF(MATCH(AN942,$AN$4:$AN$1203,0)=ROW()-3,1,0))</f>
        <v>0</v>
      </c>
      <c r="AP942">
        <f>N(AP941)+$AO942</f>
        <v>13</v>
      </c>
      <c r="AR942">
        <f>IF(OR($AF942=1,$AH942=1),1,0)</f>
        <v>0</v>
      </c>
      <c r="AS942">
        <f>N(AS941)+$AR942</f>
        <v>0</v>
      </c>
    </row>
    <row r="943" ht="14.25" customHeight="1" s="127">
      <c r="A943">
        <f>IF(对接源_01水果!$C943="","",对接源_01水果!$C943)</f>
      </c>
      <c r="B943">
        <f>IF(A943="",0,IF(MATCH(A943,$A$4:$A$2403,0)=ROW()-3,1,0))</f>
        <v>0</v>
      </c>
      <c r="C943">
        <f>N(C942)+B943</f>
        <v>22</v>
      </c>
      <c r="K943">
        <f>IF(OR($K$1="",对接源_01水果!$C943="",对接源_01水果!$C943&lt;&gt;$K$1,对接源_01水果!$B943=""),0,IF(OR(N(对接源_01水果!$B943)&lt;$K$2,N(对接源_01水果!$B943)&gt;$K$3),0,1))</f>
        <v>0</v>
      </c>
      <c r="L943">
        <f>IF(OR($L$1="",对接源_01水果!$C943="",对接源_01水果!$C943&lt;&gt;$L$1,对接源_01水果!$B943=""),0,IF(OR(N(对接源_01水果!$B943)&lt;$L$2,N(对接源_01水果!$B943)&gt;$L$3),0,1))</f>
        <v>0</v>
      </c>
      <c r="M943">
        <f>IF(OR($M$1="",对接源_01水果!$C943="",对接源_01水果!$C943&lt;&gt;$M$1,对接源_01水果!$B943=""),0,IF(OR(N(对接源_01水果!$B943)&lt;$M$2,N(对接源_01水果!$B943)&gt;$M$3),0,1))</f>
        <v>0</v>
      </c>
      <c r="N943">
        <f>IF(OR($N$1="",对接源_01水果!$C943="",对接源_01水果!$C943&lt;&gt;$N$1,对接源_01水果!$B943=""),0,IF(OR(N(对接源_01水果!$B943)&lt;$N$2,N(对接源_01水果!$B943)&gt;$N$3),0,1))</f>
        <v>0</v>
      </c>
      <c r="P943">
        <f>IF(AND($K943=1,AND(对接源_01水果!$X943="公司筐",N(对接源_01水果!$T943)&lt;&gt;0)),1,0)</f>
        <v>0</v>
      </c>
      <c r="Q943">
        <f>N(Q942)+$P943</f>
        <v>0</v>
      </c>
      <c r="R943">
        <f>IF(AND($K943=1,AND(对接源_01水果!$X943="公司筐",N(对接源_01水果!$U943)&lt;&gt;0)),1,0)</f>
        <v>0</v>
      </c>
      <c r="S943">
        <f>N(S942)+$R943</f>
        <v>0</v>
      </c>
      <c r="T943">
        <f>IF(AND($K943=1,AND(对接源_01水果!$X943="公司筐",N(对接源_01水果!$V943)&lt;&gt;0)),1,0)</f>
        <v>0</v>
      </c>
      <c r="U943">
        <f>N(U942)+$T943</f>
        <v>47</v>
      </c>
      <c r="V943">
        <f>IF(AND($L943=1,AND(对接源_01水果!$X943="自备筐",N(对接源_01水果!$V943)&lt;&gt;0)),1,0)</f>
        <v>0</v>
      </c>
      <c r="W943">
        <f>N(W942)+$V943</f>
        <v>11</v>
      </c>
      <c r="X943">
        <f>IF(AND($L943=1,AND(对接源_01水果!$X943="自备筐",N(对接源_01水果!$T943)&lt;&gt;0)),1,0)</f>
        <v>0</v>
      </c>
      <c r="Y943">
        <f>N(Y942)+$X943</f>
        <v>0</v>
      </c>
      <c r="Z943">
        <f>IF(AND($M943=1,对接源_01水果!$D943="原料入库"),1,0)</f>
        <v>0</v>
      </c>
      <c r="AA943">
        <f>N(AA942)+$Z943</f>
        <v>24</v>
      </c>
      <c r="AB943">
        <f>IF(AND($M943=1,LEFT(对接源_01水果!$D943,4)="原料出库"),1,0)</f>
        <v>0</v>
      </c>
      <c r="AC943">
        <f>N(AC942)+$AB943</f>
        <v>0</v>
      </c>
      <c r="AD943">
        <f>IF(AND($M943=1,LEFT(对接源_01水果!$D943,4)="成品出库"),1,0)</f>
        <v>0</v>
      </c>
      <c r="AE943">
        <f>N(AE942)+$AD943</f>
        <v>0</v>
      </c>
      <c r="AF943">
        <f>IF(AND($N943=1,AND(LEFT(对接源_01水果!$D943,4)="包装物料",N(对接源_01水果!$K943)&lt;&gt;0)),1,0)</f>
        <v>0</v>
      </c>
      <c r="AG943">
        <f>N(AG942)+$AF943</f>
        <v>0</v>
      </c>
      <c r="AH943">
        <f>IF(AND($N943=1,AND(对接源_01水果!$D943="周转筐－销售出库",N(对接源_01水果!$K943)&lt;&gt;0)),1,0)</f>
        <v>0</v>
      </c>
      <c r="AI943">
        <f>N(AI942)+$AH943</f>
        <v>0</v>
      </c>
      <c r="AJ943" s="7" t="n"/>
      <c r="AL943">
        <f>IF(OR($AL$1="",对接源_01水果!$Y943="",对接源_01水果!$Y943&lt;&gt;$AL$1,对接源_01水果!$B943="",N(对接源_01水果!$AJ943)&lt;=0),0,IF(OR(N(对接源_01水果!$B943)&lt;$AL$2,N(对接源_01水果!$B943)&gt;$AL$3),0,1))</f>
        <v>0</v>
      </c>
      <c r="AM943">
        <f>N(AM942)+$AL943</f>
        <v>2</v>
      </c>
      <c r="AN943">
        <f>IF(对接源_01水果!$AC943="","",对接源_01水果!$AC943)</f>
      </c>
      <c r="AO943">
        <f>IF(AN943="",0,IF(MATCH(AN943,$AN$4:$AN$1203,0)=ROW()-3,1,0))</f>
        <v>0</v>
      </c>
      <c r="AP943">
        <f>N(AP942)+$AO943</f>
        <v>13</v>
      </c>
      <c r="AR943">
        <f>IF(OR($AF943=1,$AH943=1),1,0)</f>
        <v>0</v>
      </c>
      <c r="AS943">
        <f>N(AS942)+$AR943</f>
        <v>0</v>
      </c>
    </row>
    <row r="944" ht="14.25" customHeight="1" s="127">
      <c r="A944">
        <f>IF(对接源_01水果!$C944="","",对接源_01水果!$C944)</f>
      </c>
      <c r="B944">
        <f>IF(A944="",0,IF(MATCH(A944,$A$4:$A$2403,0)=ROW()-3,1,0))</f>
        <v>0</v>
      </c>
      <c r="C944">
        <f>N(C943)+B944</f>
        <v>22</v>
      </c>
      <c r="K944">
        <f>IF(OR($K$1="",对接源_01水果!$C944="",对接源_01水果!$C944&lt;&gt;$K$1,对接源_01水果!$B944=""),0,IF(OR(N(对接源_01水果!$B944)&lt;$K$2,N(对接源_01水果!$B944)&gt;$K$3),0,1))</f>
        <v>0</v>
      </c>
      <c r="L944">
        <f>IF(OR($L$1="",对接源_01水果!$C944="",对接源_01水果!$C944&lt;&gt;$L$1,对接源_01水果!$B944=""),0,IF(OR(N(对接源_01水果!$B944)&lt;$L$2,N(对接源_01水果!$B944)&gt;$L$3),0,1))</f>
        <v>0</v>
      </c>
      <c r="M944">
        <f>IF(OR($M$1="",对接源_01水果!$C944="",对接源_01水果!$C944&lt;&gt;$M$1,对接源_01水果!$B944=""),0,IF(OR(N(对接源_01水果!$B944)&lt;$M$2,N(对接源_01水果!$B944)&gt;$M$3),0,1))</f>
        <v>0</v>
      </c>
      <c r="N944">
        <f>IF(OR($N$1="",对接源_01水果!$C944="",对接源_01水果!$C944&lt;&gt;$N$1,对接源_01水果!$B944=""),0,IF(OR(N(对接源_01水果!$B944)&lt;$N$2,N(对接源_01水果!$B944)&gt;$N$3),0,1))</f>
        <v>0</v>
      </c>
      <c r="P944">
        <f>IF(AND($K944=1,AND(对接源_01水果!$X944="公司筐",N(对接源_01水果!$T944)&lt;&gt;0)),1,0)</f>
        <v>0</v>
      </c>
      <c r="Q944">
        <f>N(Q943)+$P944</f>
        <v>0</v>
      </c>
      <c r="R944">
        <f>IF(AND($K944=1,AND(对接源_01水果!$X944="公司筐",N(对接源_01水果!$U944)&lt;&gt;0)),1,0)</f>
        <v>0</v>
      </c>
      <c r="S944">
        <f>N(S943)+$R944</f>
        <v>0</v>
      </c>
      <c r="T944">
        <f>IF(AND($K944=1,AND(对接源_01水果!$X944="公司筐",N(对接源_01水果!$V944)&lt;&gt;0)),1,0)</f>
        <v>0</v>
      </c>
      <c r="U944">
        <f>N(U943)+$T944</f>
        <v>47</v>
      </c>
      <c r="V944">
        <f>IF(AND($L944=1,AND(对接源_01水果!$X944="自备筐",N(对接源_01水果!$V944)&lt;&gt;0)),1,0)</f>
        <v>0</v>
      </c>
      <c r="W944">
        <f>N(W943)+$V944</f>
        <v>11</v>
      </c>
      <c r="X944">
        <f>IF(AND($L944=1,AND(对接源_01水果!$X944="自备筐",N(对接源_01水果!$T944)&lt;&gt;0)),1,0)</f>
        <v>0</v>
      </c>
      <c r="Y944">
        <f>N(Y943)+$X944</f>
        <v>0</v>
      </c>
      <c r="Z944">
        <f>IF(AND($M944=1,对接源_01水果!$D944="原料入库"),1,0)</f>
        <v>0</v>
      </c>
      <c r="AA944">
        <f>N(AA943)+$Z944</f>
        <v>24</v>
      </c>
      <c r="AB944">
        <f>IF(AND($M944=1,LEFT(对接源_01水果!$D944,4)="原料出库"),1,0)</f>
        <v>0</v>
      </c>
      <c r="AC944">
        <f>N(AC943)+$AB944</f>
        <v>0</v>
      </c>
      <c r="AD944">
        <f>IF(AND($M944=1,LEFT(对接源_01水果!$D944,4)="成品出库"),1,0)</f>
        <v>0</v>
      </c>
      <c r="AE944">
        <f>N(AE943)+$AD944</f>
        <v>0</v>
      </c>
      <c r="AF944">
        <f>IF(AND($N944=1,AND(LEFT(对接源_01水果!$D944,4)="包装物料",N(对接源_01水果!$K944)&lt;&gt;0)),1,0)</f>
        <v>0</v>
      </c>
      <c r="AG944">
        <f>N(AG943)+$AF944</f>
        <v>0</v>
      </c>
      <c r="AH944">
        <f>IF(AND($N944=1,AND(对接源_01水果!$D944="周转筐－销售出库",N(对接源_01水果!$K944)&lt;&gt;0)),1,0)</f>
        <v>0</v>
      </c>
      <c r="AI944">
        <f>N(AI943)+$AH944</f>
        <v>0</v>
      </c>
      <c r="AJ944" s="7" t="n"/>
      <c r="AL944">
        <f>IF(OR($AL$1="",对接源_01水果!$Y944="",对接源_01水果!$Y944&lt;&gt;$AL$1,对接源_01水果!$B944="",N(对接源_01水果!$AJ944)&lt;=0),0,IF(OR(N(对接源_01水果!$B944)&lt;$AL$2,N(对接源_01水果!$B944)&gt;$AL$3),0,1))</f>
        <v>0</v>
      </c>
      <c r="AM944">
        <f>N(AM943)+$AL944</f>
        <v>2</v>
      </c>
      <c r="AN944">
        <f>IF(对接源_01水果!$AC944="","",对接源_01水果!$AC944)</f>
      </c>
      <c r="AO944">
        <f>IF(AN944="",0,IF(MATCH(AN944,$AN$4:$AN$1203,0)=ROW()-3,1,0))</f>
        <v>0</v>
      </c>
      <c r="AP944">
        <f>N(AP943)+$AO944</f>
        <v>13</v>
      </c>
      <c r="AR944">
        <f>IF(OR($AF944=1,$AH944=1),1,0)</f>
        <v>0</v>
      </c>
      <c r="AS944">
        <f>N(AS943)+$AR944</f>
        <v>0</v>
      </c>
    </row>
    <row r="945" ht="14.25" customHeight="1" s="127">
      <c r="A945">
        <f>IF(对接源_01水果!$C945="","",对接源_01水果!$C945)</f>
      </c>
      <c r="B945">
        <f>IF(A945="",0,IF(MATCH(A945,$A$4:$A$2403,0)=ROW()-3,1,0))</f>
        <v>0</v>
      </c>
      <c r="C945">
        <f>N(C944)+B945</f>
        <v>22</v>
      </c>
      <c r="K945">
        <f>IF(OR($K$1="",对接源_01水果!$C945="",对接源_01水果!$C945&lt;&gt;$K$1,对接源_01水果!$B945=""),0,IF(OR(N(对接源_01水果!$B945)&lt;$K$2,N(对接源_01水果!$B945)&gt;$K$3),0,1))</f>
        <v>0</v>
      </c>
      <c r="L945">
        <f>IF(OR($L$1="",对接源_01水果!$C945="",对接源_01水果!$C945&lt;&gt;$L$1,对接源_01水果!$B945=""),0,IF(OR(N(对接源_01水果!$B945)&lt;$L$2,N(对接源_01水果!$B945)&gt;$L$3),0,1))</f>
        <v>0</v>
      </c>
      <c r="M945">
        <f>IF(OR($M$1="",对接源_01水果!$C945="",对接源_01水果!$C945&lt;&gt;$M$1,对接源_01水果!$B945=""),0,IF(OR(N(对接源_01水果!$B945)&lt;$M$2,N(对接源_01水果!$B945)&gt;$M$3),0,1))</f>
        <v>0</v>
      </c>
      <c r="N945">
        <f>IF(OR($N$1="",对接源_01水果!$C945="",对接源_01水果!$C945&lt;&gt;$N$1,对接源_01水果!$B945=""),0,IF(OR(N(对接源_01水果!$B945)&lt;$N$2,N(对接源_01水果!$B945)&gt;$N$3),0,1))</f>
        <v>0</v>
      </c>
      <c r="P945">
        <f>IF(AND($K945=1,AND(对接源_01水果!$X945="公司筐",N(对接源_01水果!$T945)&lt;&gt;0)),1,0)</f>
        <v>0</v>
      </c>
      <c r="Q945">
        <f>N(Q944)+$P945</f>
        <v>0</v>
      </c>
      <c r="R945">
        <f>IF(AND($K945=1,AND(对接源_01水果!$X945="公司筐",N(对接源_01水果!$U945)&lt;&gt;0)),1,0)</f>
        <v>0</v>
      </c>
      <c r="S945">
        <f>N(S944)+$R945</f>
        <v>0</v>
      </c>
      <c r="T945">
        <f>IF(AND($K945=1,AND(对接源_01水果!$X945="公司筐",N(对接源_01水果!$V945)&lt;&gt;0)),1,0)</f>
        <v>0</v>
      </c>
      <c r="U945">
        <f>N(U944)+$T945</f>
        <v>47</v>
      </c>
      <c r="V945">
        <f>IF(AND($L945=1,AND(对接源_01水果!$X945="自备筐",N(对接源_01水果!$V945)&lt;&gt;0)),1,0)</f>
        <v>0</v>
      </c>
      <c r="W945">
        <f>N(W944)+$V945</f>
        <v>11</v>
      </c>
      <c r="X945">
        <f>IF(AND($L945=1,AND(对接源_01水果!$X945="自备筐",N(对接源_01水果!$T945)&lt;&gt;0)),1,0)</f>
        <v>0</v>
      </c>
      <c r="Y945">
        <f>N(Y944)+$X945</f>
        <v>0</v>
      </c>
      <c r="Z945">
        <f>IF(AND($M945=1,对接源_01水果!$D945="原料入库"),1,0)</f>
        <v>0</v>
      </c>
      <c r="AA945">
        <f>N(AA944)+$Z945</f>
        <v>24</v>
      </c>
      <c r="AB945">
        <f>IF(AND($M945=1,LEFT(对接源_01水果!$D945,4)="原料出库"),1,0)</f>
        <v>0</v>
      </c>
      <c r="AC945">
        <f>N(AC944)+$AB945</f>
        <v>0</v>
      </c>
      <c r="AD945">
        <f>IF(AND($M945=1,LEFT(对接源_01水果!$D945,4)="成品出库"),1,0)</f>
        <v>0</v>
      </c>
      <c r="AE945">
        <f>N(AE944)+$AD945</f>
        <v>0</v>
      </c>
      <c r="AF945">
        <f>IF(AND($N945=1,AND(LEFT(对接源_01水果!$D945,4)="包装物料",N(对接源_01水果!$K945)&lt;&gt;0)),1,0)</f>
        <v>0</v>
      </c>
      <c r="AG945">
        <f>N(AG944)+$AF945</f>
        <v>0</v>
      </c>
      <c r="AH945">
        <f>IF(AND($N945=1,AND(对接源_01水果!$D945="周转筐－销售出库",N(对接源_01水果!$K945)&lt;&gt;0)),1,0)</f>
        <v>0</v>
      </c>
      <c r="AI945">
        <f>N(AI944)+$AH945</f>
        <v>0</v>
      </c>
      <c r="AJ945" s="7" t="n"/>
      <c r="AL945">
        <f>IF(OR($AL$1="",对接源_01水果!$Y945="",对接源_01水果!$Y945&lt;&gt;$AL$1,对接源_01水果!$B945="",N(对接源_01水果!$AJ945)&lt;=0),0,IF(OR(N(对接源_01水果!$B945)&lt;$AL$2,N(对接源_01水果!$B945)&gt;$AL$3),0,1))</f>
        <v>0</v>
      </c>
      <c r="AM945">
        <f>N(AM944)+$AL945</f>
        <v>2</v>
      </c>
      <c r="AN945">
        <f>IF(对接源_01水果!$AC945="","",对接源_01水果!$AC945)</f>
      </c>
      <c r="AO945">
        <f>IF(AN945="",0,IF(MATCH(AN945,$AN$4:$AN$1203,0)=ROW()-3,1,0))</f>
        <v>0</v>
      </c>
      <c r="AP945">
        <f>N(AP944)+$AO945</f>
        <v>13</v>
      </c>
      <c r="AR945">
        <f>IF(OR($AF945=1,$AH945=1),1,0)</f>
        <v>0</v>
      </c>
      <c r="AS945">
        <f>N(AS944)+$AR945</f>
        <v>0</v>
      </c>
    </row>
    <row r="946" ht="14.25" customHeight="1" s="127">
      <c r="A946">
        <f>IF(对接源_01水果!$C946="","",对接源_01水果!$C946)</f>
      </c>
      <c r="B946">
        <f>IF(A946="",0,IF(MATCH(A946,$A$4:$A$2403,0)=ROW()-3,1,0))</f>
        <v>0</v>
      </c>
      <c r="C946">
        <f>N(C945)+B946</f>
        <v>22</v>
      </c>
      <c r="K946">
        <f>IF(OR($K$1="",对接源_01水果!$C946="",对接源_01水果!$C946&lt;&gt;$K$1,对接源_01水果!$B946=""),0,IF(OR(N(对接源_01水果!$B946)&lt;$K$2,N(对接源_01水果!$B946)&gt;$K$3),0,1))</f>
        <v>0</v>
      </c>
      <c r="L946">
        <f>IF(OR($L$1="",对接源_01水果!$C946="",对接源_01水果!$C946&lt;&gt;$L$1,对接源_01水果!$B946=""),0,IF(OR(N(对接源_01水果!$B946)&lt;$L$2,N(对接源_01水果!$B946)&gt;$L$3),0,1))</f>
        <v>0</v>
      </c>
      <c r="M946">
        <f>IF(OR($M$1="",对接源_01水果!$C946="",对接源_01水果!$C946&lt;&gt;$M$1,对接源_01水果!$B946=""),0,IF(OR(N(对接源_01水果!$B946)&lt;$M$2,N(对接源_01水果!$B946)&gt;$M$3),0,1))</f>
        <v>0</v>
      </c>
      <c r="N946">
        <f>IF(OR($N$1="",对接源_01水果!$C946="",对接源_01水果!$C946&lt;&gt;$N$1,对接源_01水果!$B946=""),0,IF(OR(N(对接源_01水果!$B946)&lt;$N$2,N(对接源_01水果!$B946)&gt;$N$3),0,1))</f>
        <v>0</v>
      </c>
      <c r="P946">
        <f>IF(AND($K946=1,AND(对接源_01水果!$X946="公司筐",N(对接源_01水果!$T946)&lt;&gt;0)),1,0)</f>
        <v>0</v>
      </c>
      <c r="Q946">
        <f>N(Q945)+$P946</f>
        <v>0</v>
      </c>
      <c r="R946">
        <f>IF(AND($K946=1,AND(对接源_01水果!$X946="公司筐",N(对接源_01水果!$U946)&lt;&gt;0)),1,0)</f>
        <v>0</v>
      </c>
      <c r="S946">
        <f>N(S945)+$R946</f>
        <v>0</v>
      </c>
      <c r="T946">
        <f>IF(AND($K946=1,AND(对接源_01水果!$X946="公司筐",N(对接源_01水果!$V946)&lt;&gt;0)),1,0)</f>
        <v>0</v>
      </c>
      <c r="U946">
        <f>N(U945)+$T946</f>
        <v>47</v>
      </c>
      <c r="V946">
        <f>IF(AND($L946=1,AND(对接源_01水果!$X946="自备筐",N(对接源_01水果!$V946)&lt;&gt;0)),1,0)</f>
        <v>0</v>
      </c>
      <c r="W946">
        <f>N(W945)+$V946</f>
        <v>11</v>
      </c>
      <c r="X946">
        <f>IF(AND($L946=1,AND(对接源_01水果!$X946="自备筐",N(对接源_01水果!$T946)&lt;&gt;0)),1,0)</f>
        <v>0</v>
      </c>
      <c r="Y946">
        <f>N(Y945)+$X946</f>
        <v>0</v>
      </c>
      <c r="Z946">
        <f>IF(AND($M946=1,对接源_01水果!$D946="原料入库"),1,0)</f>
        <v>0</v>
      </c>
      <c r="AA946">
        <f>N(AA945)+$Z946</f>
        <v>24</v>
      </c>
      <c r="AB946">
        <f>IF(AND($M946=1,LEFT(对接源_01水果!$D946,4)="原料出库"),1,0)</f>
        <v>0</v>
      </c>
      <c r="AC946">
        <f>N(AC945)+$AB946</f>
        <v>0</v>
      </c>
      <c r="AD946">
        <f>IF(AND($M946=1,LEFT(对接源_01水果!$D946,4)="成品出库"),1,0)</f>
        <v>0</v>
      </c>
      <c r="AE946">
        <f>N(AE945)+$AD946</f>
        <v>0</v>
      </c>
      <c r="AF946">
        <f>IF(AND($N946=1,AND(LEFT(对接源_01水果!$D946,4)="包装物料",N(对接源_01水果!$K946)&lt;&gt;0)),1,0)</f>
        <v>0</v>
      </c>
      <c r="AG946">
        <f>N(AG945)+$AF946</f>
        <v>0</v>
      </c>
      <c r="AH946">
        <f>IF(AND($N946=1,AND(对接源_01水果!$D946="周转筐－销售出库",N(对接源_01水果!$K946)&lt;&gt;0)),1,0)</f>
        <v>0</v>
      </c>
      <c r="AI946">
        <f>N(AI945)+$AH946</f>
        <v>0</v>
      </c>
      <c r="AJ946" s="7" t="n"/>
      <c r="AL946">
        <f>IF(OR($AL$1="",对接源_01水果!$Y946="",对接源_01水果!$Y946&lt;&gt;$AL$1,对接源_01水果!$B946="",N(对接源_01水果!$AJ946)&lt;=0),0,IF(OR(N(对接源_01水果!$B946)&lt;$AL$2,N(对接源_01水果!$B946)&gt;$AL$3),0,1))</f>
        <v>0</v>
      </c>
      <c r="AM946">
        <f>N(AM945)+$AL946</f>
        <v>2</v>
      </c>
      <c r="AN946">
        <f>IF(对接源_01水果!$AC946="","",对接源_01水果!$AC946)</f>
      </c>
      <c r="AO946">
        <f>IF(AN946="",0,IF(MATCH(AN946,$AN$4:$AN$1203,0)=ROW()-3,1,0))</f>
        <v>0</v>
      </c>
      <c r="AP946">
        <f>N(AP945)+$AO946</f>
        <v>13</v>
      </c>
      <c r="AR946">
        <f>IF(OR($AF946=1,$AH946=1),1,0)</f>
        <v>0</v>
      </c>
      <c r="AS946">
        <f>N(AS945)+$AR946</f>
        <v>0</v>
      </c>
    </row>
    <row r="947" ht="14.25" customHeight="1" s="127">
      <c r="A947">
        <f>IF(对接源_01水果!$C947="","",对接源_01水果!$C947)</f>
      </c>
      <c r="B947">
        <f>IF(A947="",0,IF(MATCH(A947,$A$4:$A$2403,0)=ROW()-3,1,0))</f>
        <v>0</v>
      </c>
      <c r="C947">
        <f>N(C946)+B947</f>
        <v>22</v>
      </c>
      <c r="K947">
        <f>IF(OR($K$1="",对接源_01水果!$C947="",对接源_01水果!$C947&lt;&gt;$K$1,对接源_01水果!$B947=""),0,IF(OR(N(对接源_01水果!$B947)&lt;$K$2,N(对接源_01水果!$B947)&gt;$K$3),0,1))</f>
        <v>0</v>
      </c>
      <c r="L947">
        <f>IF(OR($L$1="",对接源_01水果!$C947="",对接源_01水果!$C947&lt;&gt;$L$1,对接源_01水果!$B947=""),0,IF(OR(N(对接源_01水果!$B947)&lt;$L$2,N(对接源_01水果!$B947)&gt;$L$3),0,1))</f>
        <v>0</v>
      </c>
      <c r="M947">
        <f>IF(OR($M$1="",对接源_01水果!$C947="",对接源_01水果!$C947&lt;&gt;$M$1,对接源_01水果!$B947=""),0,IF(OR(N(对接源_01水果!$B947)&lt;$M$2,N(对接源_01水果!$B947)&gt;$M$3),0,1))</f>
        <v>0</v>
      </c>
      <c r="N947">
        <f>IF(OR($N$1="",对接源_01水果!$C947="",对接源_01水果!$C947&lt;&gt;$N$1,对接源_01水果!$B947=""),0,IF(OR(N(对接源_01水果!$B947)&lt;$N$2,N(对接源_01水果!$B947)&gt;$N$3),0,1))</f>
        <v>0</v>
      </c>
      <c r="P947">
        <f>IF(AND($K947=1,AND(对接源_01水果!$X947="公司筐",N(对接源_01水果!$T947)&lt;&gt;0)),1,0)</f>
        <v>0</v>
      </c>
      <c r="Q947">
        <f>N(Q946)+$P947</f>
        <v>0</v>
      </c>
      <c r="R947">
        <f>IF(AND($K947=1,AND(对接源_01水果!$X947="公司筐",N(对接源_01水果!$U947)&lt;&gt;0)),1,0)</f>
        <v>0</v>
      </c>
      <c r="S947">
        <f>N(S946)+$R947</f>
        <v>0</v>
      </c>
      <c r="T947">
        <f>IF(AND($K947=1,AND(对接源_01水果!$X947="公司筐",N(对接源_01水果!$V947)&lt;&gt;0)),1,0)</f>
        <v>0</v>
      </c>
      <c r="U947">
        <f>N(U946)+$T947</f>
        <v>47</v>
      </c>
      <c r="V947">
        <f>IF(AND($L947=1,AND(对接源_01水果!$X947="自备筐",N(对接源_01水果!$V947)&lt;&gt;0)),1,0)</f>
        <v>0</v>
      </c>
      <c r="W947">
        <f>N(W946)+$V947</f>
        <v>11</v>
      </c>
      <c r="X947">
        <f>IF(AND($L947=1,AND(对接源_01水果!$X947="自备筐",N(对接源_01水果!$T947)&lt;&gt;0)),1,0)</f>
        <v>0</v>
      </c>
      <c r="Y947">
        <f>N(Y946)+$X947</f>
        <v>0</v>
      </c>
      <c r="Z947">
        <f>IF(AND($M947=1,对接源_01水果!$D947="原料入库"),1,0)</f>
        <v>0</v>
      </c>
      <c r="AA947">
        <f>N(AA946)+$Z947</f>
        <v>24</v>
      </c>
      <c r="AB947">
        <f>IF(AND($M947=1,LEFT(对接源_01水果!$D947,4)="原料出库"),1,0)</f>
        <v>0</v>
      </c>
      <c r="AC947">
        <f>N(AC946)+$AB947</f>
        <v>0</v>
      </c>
      <c r="AD947">
        <f>IF(AND($M947=1,LEFT(对接源_01水果!$D947,4)="成品出库"),1,0)</f>
        <v>0</v>
      </c>
      <c r="AE947">
        <f>N(AE946)+$AD947</f>
        <v>0</v>
      </c>
      <c r="AF947">
        <f>IF(AND($N947=1,AND(LEFT(对接源_01水果!$D947,4)="包装物料",N(对接源_01水果!$K947)&lt;&gt;0)),1,0)</f>
        <v>0</v>
      </c>
      <c r="AG947">
        <f>N(AG946)+$AF947</f>
        <v>0</v>
      </c>
      <c r="AH947">
        <f>IF(AND($N947=1,AND(对接源_01水果!$D947="周转筐－销售出库",N(对接源_01水果!$K947)&lt;&gt;0)),1,0)</f>
        <v>0</v>
      </c>
      <c r="AI947">
        <f>N(AI946)+$AH947</f>
        <v>0</v>
      </c>
      <c r="AJ947" s="7" t="n"/>
      <c r="AL947">
        <f>IF(OR($AL$1="",对接源_01水果!$Y947="",对接源_01水果!$Y947&lt;&gt;$AL$1,对接源_01水果!$B947="",N(对接源_01水果!$AJ947)&lt;=0),0,IF(OR(N(对接源_01水果!$B947)&lt;$AL$2,N(对接源_01水果!$B947)&gt;$AL$3),0,1))</f>
        <v>0</v>
      </c>
      <c r="AM947">
        <f>N(AM946)+$AL947</f>
        <v>2</v>
      </c>
      <c r="AN947">
        <f>IF(对接源_01水果!$AC947="","",对接源_01水果!$AC947)</f>
      </c>
      <c r="AO947">
        <f>IF(AN947="",0,IF(MATCH(AN947,$AN$4:$AN$1203,0)=ROW()-3,1,0))</f>
        <v>0</v>
      </c>
      <c r="AP947">
        <f>N(AP946)+$AO947</f>
        <v>13</v>
      </c>
      <c r="AR947">
        <f>IF(OR($AF947=1,$AH947=1),1,0)</f>
        <v>0</v>
      </c>
      <c r="AS947">
        <f>N(AS946)+$AR947</f>
        <v>0</v>
      </c>
    </row>
    <row r="948" ht="14.25" customHeight="1" s="127">
      <c r="A948">
        <f>IF(对接源_01水果!$C948="","",对接源_01水果!$C948)</f>
      </c>
      <c r="B948">
        <f>IF(A948="",0,IF(MATCH(A948,$A$4:$A$2403,0)=ROW()-3,1,0))</f>
        <v>0</v>
      </c>
      <c r="C948">
        <f>N(C947)+B948</f>
        <v>22</v>
      </c>
      <c r="K948">
        <f>IF(OR($K$1="",对接源_01水果!$C948="",对接源_01水果!$C948&lt;&gt;$K$1,对接源_01水果!$B948=""),0,IF(OR(N(对接源_01水果!$B948)&lt;$K$2,N(对接源_01水果!$B948)&gt;$K$3),0,1))</f>
        <v>0</v>
      </c>
      <c r="L948">
        <f>IF(OR($L$1="",对接源_01水果!$C948="",对接源_01水果!$C948&lt;&gt;$L$1,对接源_01水果!$B948=""),0,IF(OR(N(对接源_01水果!$B948)&lt;$L$2,N(对接源_01水果!$B948)&gt;$L$3),0,1))</f>
        <v>0</v>
      </c>
      <c r="M948">
        <f>IF(OR($M$1="",对接源_01水果!$C948="",对接源_01水果!$C948&lt;&gt;$M$1,对接源_01水果!$B948=""),0,IF(OR(N(对接源_01水果!$B948)&lt;$M$2,N(对接源_01水果!$B948)&gt;$M$3),0,1))</f>
        <v>0</v>
      </c>
      <c r="N948">
        <f>IF(OR($N$1="",对接源_01水果!$C948="",对接源_01水果!$C948&lt;&gt;$N$1,对接源_01水果!$B948=""),0,IF(OR(N(对接源_01水果!$B948)&lt;$N$2,N(对接源_01水果!$B948)&gt;$N$3),0,1))</f>
        <v>0</v>
      </c>
      <c r="P948">
        <f>IF(AND($K948=1,AND(对接源_01水果!$X948="公司筐",N(对接源_01水果!$T948)&lt;&gt;0)),1,0)</f>
        <v>0</v>
      </c>
      <c r="Q948">
        <f>N(Q947)+$P948</f>
        <v>0</v>
      </c>
      <c r="R948">
        <f>IF(AND($K948=1,AND(对接源_01水果!$X948="公司筐",N(对接源_01水果!$U948)&lt;&gt;0)),1,0)</f>
        <v>0</v>
      </c>
      <c r="S948">
        <f>N(S947)+$R948</f>
        <v>0</v>
      </c>
      <c r="T948">
        <f>IF(AND($K948=1,AND(对接源_01水果!$X948="公司筐",N(对接源_01水果!$V948)&lt;&gt;0)),1,0)</f>
        <v>0</v>
      </c>
      <c r="U948">
        <f>N(U947)+$T948</f>
        <v>47</v>
      </c>
      <c r="V948">
        <f>IF(AND($L948=1,AND(对接源_01水果!$X948="自备筐",N(对接源_01水果!$V948)&lt;&gt;0)),1,0)</f>
        <v>0</v>
      </c>
      <c r="W948">
        <f>N(W947)+$V948</f>
        <v>11</v>
      </c>
      <c r="X948">
        <f>IF(AND($L948=1,AND(对接源_01水果!$X948="自备筐",N(对接源_01水果!$T948)&lt;&gt;0)),1,0)</f>
        <v>0</v>
      </c>
      <c r="Y948">
        <f>N(Y947)+$X948</f>
        <v>0</v>
      </c>
      <c r="Z948">
        <f>IF(AND($M948=1,对接源_01水果!$D948="原料入库"),1,0)</f>
        <v>0</v>
      </c>
      <c r="AA948">
        <f>N(AA947)+$Z948</f>
        <v>24</v>
      </c>
      <c r="AB948">
        <f>IF(AND($M948=1,LEFT(对接源_01水果!$D948,4)="原料出库"),1,0)</f>
        <v>0</v>
      </c>
      <c r="AC948">
        <f>N(AC947)+$AB948</f>
        <v>0</v>
      </c>
      <c r="AD948">
        <f>IF(AND($M948=1,LEFT(对接源_01水果!$D948,4)="成品出库"),1,0)</f>
        <v>0</v>
      </c>
      <c r="AE948">
        <f>N(AE947)+$AD948</f>
        <v>0</v>
      </c>
      <c r="AF948">
        <f>IF(AND($N948=1,AND(LEFT(对接源_01水果!$D948,4)="包装物料",N(对接源_01水果!$K948)&lt;&gt;0)),1,0)</f>
        <v>0</v>
      </c>
      <c r="AG948">
        <f>N(AG947)+$AF948</f>
        <v>0</v>
      </c>
      <c r="AH948">
        <f>IF(AND($N948=1,AND(对接源_01水果!$D948="周转筐－销售出库",N(对接源_01水果!$K948)&lt;&gt;0)),1,0)</f>
        <v>0</v>
      </c>
      <c r="AI948">
        <f>N(AI947)+$AH948</f>
        <v>0</v>
      </c>
      <c r="AJ948" s="7" t="n"/>
      <c r="AL948">
        <f>IF(OR($AL$1="",对接源_01水果!$Y948="",对接源_01水果!$Y948&lt;&gt;$AL$1,对接源_01水果!$B948="",N(对接源_01水果!$AJ948)&lt;=0),0,IF(OR(N(对接源_01水果!$B948)&lt;$AL$2,N(对接源_01水果!$B948)&gt;$AL$3),0,1))</f>
        <v>0</v>
      </c>
      <c r="AM948">
        <f>N(AM947)+$AL948</f>
        <v>2</v>
      </c>
      <c r="AN948">
        <f>IF(对接源_01水果!$AC948="","",对接源_01水果!$AC948)</f>
      </c>
      <c r="AO948">
        <f>IF(AN948="",0,IF(MATCH(AN948,$AN$4:$AN$1203,0)=ROW()-3,1,0))</f>
        <v>0</v>
      </c>
      <c r="AP948">
        <f>N(AP947)+$AO948</f>
        <v>13</v>
      </c>
      <c r="AR948">
        <f>IF(OR($AF948=1,$AH948=1),1,0)</f>
        <v>0</v>
      </c>
      <c r="AS948">
        <f>N(AS947)+$AR948</f>
        <v>0</v>
      </c>
    </row>
    <row r="949" ht="14.25" customHeight="1" s="127">
      <c r="A949">
        <f>IF(对接源_01水果!$C949="","",对接源_01水果!$C949)</f>
      </c>
      <c r="B949">
        <f>IF(A949="",0,IF(MATCH(A949,$A$4:$A$2403,0)=ROW()-3,1,0))</f>
        <v>0</v>
      </c>
      <c r="C949">
        <f>N(C948)+B949</f>
        <v>22</v>
      </c>
      <c r="K949">
        <f>IF(OR($K$1="",对接源_01水果!$C949="",对接源_01水果!$C949&lt;&gt;$K$1,对接源_01水果!$B949=""),0,IF(OR(N(对接源_01水果!$B949)&lt;$K$2,N(对接源_01水果!$B949)&gt;$K$3),0,1))</f>
        <v>0</v>
      </c>
      <c r="L949">
        <f>IF(OR($L$1="",对接源_01水果!$C949="",对接源_01水果!$C949&lt;&gt;$L$1,对接源_01水果!$B949=""),0,IF(OR(N(对接源_01水果!$B949)&lt;$L$2,N(对接源_01水果!$B949)&gt;$L$3),0,1))</f>
        <v>0</v>
      </c>
      <c r="M949">
        <f>IF(OR($M$1="",对接源_01水果!$C949="",对接源_01水果!$C949&lt;&gt;$M$1,对接源_01水果!$B949=""),0,IF(OR(N(对接源_01水果!$B949)&lt;$M$2,N(对接源_01水果!$B949)&gt;$M$3),0,1))</f>
        <v>0</v>
      </c>
      <c r="N949">
        <f>IF(OR($N$1="",对接源_01水果!$C949="",对接源_01水果!$C949&lt;&gt;$N$1,对接源_01水果!$B949=""),0,IF(OR(N(对接源_01水果!$B949)&lt;$N$2,N(对接源_01水果!$B949)&gt;$N$3),0,1))</f>
        <v>0</v>
      </c>
      <c r="P949">
        <f>IF(AND($K949=1,AND(对接源_01水果!$X949="公司筐",N(对接源_01水果!$T949)&lt;&gt;0)),1,0)</f>
        <v>0</v>
      </c>
      <c r="Q949">
        <f>N(Q948)+$P949</f>
        <v>0</v>
      </c>
      <c r="R949">
        <f>IF(AND($K949=1,AND(对接源_01水果!$X949="公司筐",N(对接源_01水果!$U949)&lt;&gt;0)),1,0)</f>
        <v>0</v>
      </c>
      <c r="S949">
        <f>N(S948)+$R949</f>
        <v>0</v>
      </c>
      <c r="T949">
        <f>IF(AND($K949=1,AND(对接源_01水果!$X949="公司筐",N(对接源_01水果!$V949)&lt;&gt;0)),1,0)</f>
        <v>0</v>
      </c>
      <c r="U949">
        <f>N(U948)+$T949</f>
        <v>47</v>
      </c>
      <c r="V949">
        <f>IF(AND($L949=1,AND(对接源_01水果!$X949="自备筐",N(对接源_01水果!$V949)&lt;&gt;0)),1,0)</f>
        <v>0</v>
      </c>
      <c r="W949">
        <f>N(W948)+$V949</f>
        <v>11</v>
      </c>
      <c r="X949">
        <f>IF(AND($L949=1,AND(对接源_01水果!$X949="自备筐",N(对接源_01水果!$T949)&lt;&gt;0)),1,0)</f>
        <v>0</v>
      </c>
      <c r="Y949">
        <f>N(Y948)+$X949</f>
        <v>0</v>
      </c>
      <c r="Z949">
        <f>IF(AND($M949=1,对接源_01水果!$D949="原料入库"),1,0)</f>
        <v>0</v>
      </c>
      <c r="AA949">
        <f>N(AA948)+$Z949</f>
        <v>24</v>
      </c>
      <c r="AB949">
        <f>IF(AND($M949=1,LEFT(对接源_01水果!$D949,4)="原料出库"),1,0)</f>
        <v>0</v>
      </c>
      <c r="AC949">
        <f>N(AC948)+$AB949</f>
        <v>0</v>
      </c>
      <c r="AD949">
        <f>IF(AND($M949=1,LEFT(对接源_01水果!$D949,4)="成品出库"),1,0)</f>
        <v>0</v>
      </c>
      <c r="AE949">
        <f>N(AE948)+$AD949</f>
        <v>0</v>
      </c>
      <c r="AF949">
        <f>IF(AND($N949=1,AND(LEFT(对接源_01水果!$D949,4)="包装物料",N(对接源_01水果!$K949)&lt;&gt;0)),1,0)</f>
        <v>0</v>
      </c>
      <c r="AG949">
        <f>N(AG948)+$AF949</f>
        <v>0</v>
      </c>
      <c r="AH949">
        <f>IF(AND($N949=1,AND(对接源_01水果!$D949="周转筐－销售出库",N(对接源_01水果!$K949)&lt;&gt;0)),1,0)</f>
        <v>0</v>
      </c>
      <c r="AI949">
        <f>N(AI948)+$AH949</f>
        <v>0</v>
      </c>
      <c r="AJ949" s="7" t="n"/>
      <c r="AL949">
        <f>IF(OR($AL$1="",对接源_01水果!$Y949="",对接源_01水果!$Y949&lt;&gt;$AL$1,对接源_01水果!$B949="",N(对接源_01水果!$AJ949)&lt;=0),0,IF(OR(N(对接源_01水果!$B949)&lt;$AL$2,N(对接源_01水果!$B949)&gt;$AL$3),0,1))</f>
        <v>0</v>
      </c>
      <c r="AM949">
        <f>N(AM948)+$AL949</f>
        <v>2</v>
      </c>
      <c r="AN949">
        <f>IF(对接源_01水果!$AC949="","",对接源_01水果!$AC949)</f>
      </c>
      <c r="AO949">
        <f>IF(AN949="",0,IF(MATCH(AN949,$AN$4:$AN$1203,0)=ROW()-3,1,0))</f>
        <v>0</v>
      </c>
      <c r="AP949">
        <f>N(AP948)+$AO949</f>
        <v>13</v>
      </c>
      <c r="AR949">
        <f>IF(OR($AF949=1,$AH949=1),1,0)</f>
        <v>0</v>
      </c>
      <c r="AS949">
        <f>N(AS948)+$AR949</f>
        <v>0</v>
      </c>
    </row>
    <row r="950" ht="14.25" customHeight="1" s="127">
      <c r="A950">
        <f>IF(对接源_01水果!$C950="","",对接源_01水果!$C950)</f>
      </c>
      <c r="B950">
        <f>IF(A950="",0,IF(MATCH(A950,$A$4:$A$2403,0)=ROW()-3,1,0))</f>
        <v>0</v>
      </c>
      <c r="C950">
        <f>N(C949)+B950</f>
        <v>22</v>
      </c>
      <c r="K950">
        <f>IF(OR($K$1="",对接源_01水果!$C950="",对接源_01水果!$C950&lt;&gt;$K$1,对接源_01水果!$B950=""),0,IF(OR(N(对接源_01水果!$B950)&lt;$K$2,N(对接源_01水果!$B950)&gt;$K$3),0,1))</f>
        <v>0</v>
      </c>
      <c r="L950">
        <f>IF(OR($L$1="",对接源_01水果!$C950="",对接源_01水果!$C950&lt;&gt;$L$1,对接源_01水果!$B950=""),0,IF(OR(N(对接源_01水果!$B950)&lt;$L$2,N(对接源_01水果!$B950)&gt;$L$3),0,1))</f>
        <v>0</v>
      </c>
      <c r="M950">
        <f>IF(OR($M$1="",对接源_01水果!$C950="",对接源_01水果!$C950&lt;&gt;$M$1,对接源_01水果!$B950=""),0,IF(OR(N(对接源_01水果!$B950)&lt;$M$2,N(对接源_01水果!$B950)&gt;$M$3),0,1))</f>
        <v>0</v>
      </c>
      <c r="N950">
        <f>IF(OR($N$1="",对接源_01水果!$C950="",对接源_01水果!$C950&lt;&gt;$N$1,对接源_01水果!$B950=""),0,IF(OR(N(对接源_01水果!$B950)&lt;$N$2,N(对接源_01水果!$B950)&gt;$N$3),0,1))</f>
        <v>0</v>
      </c>
      <c r="P950">
        <f>IF(AND($K950=1,AND(对接源_01水果!$X950="公司筐",N(对接源_01水果!$T950)&lt;&gt;0)),1,0)</f>
        <v>0</v>
      </c>
      <c r="Q950">
        <f>N(Q949)+$P950</f>
        <v>0</v>
      </c>
      <c r="R950">
        <f>IF(AND($K950=1,AND(对接源_01水果!$X950="公司筐",N(对接源_01水果!$U950)&lt;&gt;0)),1,0)</f>
        <v>0</v>
      </c>
      <c r="S950">
        <f>N(S949)+$R950</f>
        <v>0</v>
      </c>
      <c r="T950">
        <f>IF(AND($K950=1,AND(对接源_01水果!$X950="公司筐",N(对接源_01水果!$V950)&lt;&gt;0)),1,0)</f>
        <v>0</v>
      </c>
      <c r="U950">
        <f>N(U949)+$T950</f>
        <v>47</v>
      </c>
      <c r="V950">
        <f>IF(AND($L950=1,AND(对接源_01水果!$X950="自备筐",N(对接源_01水果!$V950)&lt;&gt;0)),1,0)</f>
        <v>0</v>
      </c>
      <c r="W950">
        <f>N(W949)+$V950</f>
        <v>11</v>
      </c>
      <c r="X950">
        <f>IF(AND($L950=1,AND(对接源_01水果!$X950="自备筐",N(对接源_01水果!$T950)&lt;&gt;0)),1,0)</f>
        <v>0</v>
      </c>
      <c r="Y950">
        <f>N(Y949)+$X950</f>
        <v>0</v>
      </c>
      <c r="Z950">
        <f>IF(AND($M950=1,对接源_01水果!$D950="原料入库"),1,0)</f>
        <v>0</v>
      </c>
      <c r="AA950">
        <f>N(AA949)+$Z950</f>
        <v>24</v>
      </c>
      <c r="AB950">
        <f>IF(AND($M950=1,LEFT(对接源_01水果!$D950,4)="原料出库"),1,0)</f>
        <v>0</v>
      </c>
      <c r="AC950">
        <f>N(AC949)+$AB950</f>
        <v>0</v>
      </c>
      <c r="AD950">
        <f>IF(AND($M950=1,LEFT(对接源_01水果!$D950,4)="成品出库"),1,0)</f>
        <v>0</v>
      </c>
      <c r="AE950">
        <f>N(AE949)+$AD950</f>
        <v>0</v>
      </c>
      <c r="AF950">
        <f>IF(AND($N950=1,AND(LEFT(对接源_01水果!$D950,4)="包装物料",N(对接源_01水果!$K950)&lt;&gt;0)),1,0)</f>
        <v>0</v>
      </c>
      <c r="AG950">
        <f>N(AG949)+$AF950</f>
        <v>0</v>
      </c>
      <c r="AH950">
        <f>IF(AND($N950=1,AND(对接源_01水果!$D950="周转筐－销售出库",N(对接源_01水果!$K950)&lt;&gt;0)),1,0)</f>
        <v>0</v>
      </c>
      <c r="AI950">
        <f>N(AI949)+$AH950</f>
        <v>0</v>
      </c>
      <c r="AJ950" s="7" t="n"/>
      <c r="AL950">
        <f>IF(OR($AL$1="",对接源_01水果!$Y950="",对接源_01水果!$Y950&lt;&gt;$AL$1,对接源_01水果!$B950="",N(对接源_01水果!$AJ950)&lt;=0),0,IF(OR(N(对接源_01水果!$B950)&lt;$AL$2,N(对接源_01水果!$B950)&gt;$AL$3),0,1))</f>
        <v>0</v>
      </c>
      <c r="AM950">
        <f>N(AM949)+$AL950</f>
        <v>2</v>
      </c>
      <c r="AN950">
        <f>IF(对接源_01水果!$AC950="","",对接源_01水果!$AC950)</f>
      </c>
      <c r="AO950">
        <f>IF(AN950="",0,IF(MATCH(AN950,$AN$4:$AN$1203,0)=ROW()-3,1,0))</f>
        <v>0</v>
      </c>
      <c r="AP950">
        <f>N(AP949)+$AO950</f>
        <v>13</v>
      </c>
      <c r="AR950">
        <f>IF(OR($AF950=1,$AH950=1),1,0)</f>
        <v>0</v>
      </c>
      <c r="AS950">
        <f>N(AS949)+$AR950</f>
        <v>0</v>
      </c>
    </row>
    <row r="951" ht="14.25" customHeight="1" s="127">
      <c r="A951">
        <f>IF(对接源_01水果!$C951="","",对接源_01水果!$C951)</f>
      </c>
      <c r="B951">
        <f>IF(A951="",0,IF(MATCH(A951,$A$4:$A$2403,0)=ROW()-3,1,0))</f>
        <v>0</v>
      </c>
      <c r="C951">
        <f>N(C950)+B951</f>
        <v>22</v>
      </c>
      <c r="K951">
        <f>IF(OR($K$1="",对接源_01水果!$C951="",对接源_01水果!$C951&lt;&gt;$K$1,对接源_01水果!$B951=""),0,IF(OR(N(对接源_01水果!$B951)&lt;$K$2,N(对接源_01水果!$B951)&gt;$K$3),0,1))</f>
        <v>0</v>
      </c>
      <c r="L951">
        <f>IF(OR($L$1="",对接源_01水果!$C951="",对接源_01水果!$C951&lt;&gt;$L$1,对接源_01水果!$B951=""),0,IF(OR(N(对接源_01水果!$B951)&lt;$L$2,N(对接源_01水果!$B951)&gt;$L$3),0,1))</f>
        <v>0</v>
      </c>
      <c r="M951">
        <f>IF(OR($M$1="",对接源_01水果!$C951="",对接源_01水果!$C951&lt;&gt;$M$1,对接源_01水果!$B951=""),0,IF(OR(N(对接源_01水果!$B951)&lt;$M$2,N(对接源_01水果!$B951)&gt;$M$3),0,1))</f>
        <v>0</v>
      </c>
      <c r="N951">
        <f>IF(OR($N$1="",对接源_01水果!$C951="",对接源_01水果!$C951&lt;&gt;$N$1,对接源_01水果!$B951=""),0,IF(OR(N(对接源_01水果!$B951)&lt;$N$2,N(对接源_01水果!$B951)&gt;$N$3),0,1))</f>
        <v>0</v>
      </c>
      <c r="P951">
        <f>IF(AND($K951=1,AND(对接源_01水果!$X951="公司筐",N(对接源_01水果!$T951)&lt;&gt;0)),1,0)</f>
        <v>0</v>
      </c>
      <c r="Q951">
        <f>N(Q950)+$P951</f>
        <v>0</v>
      </c>
      <c r="R951">
        <f>IF(AND($K951=1,AND(对接源_01水果!$X951="公司筐",N(对接源_01水果!$U951)&lt;&gt;0)),1,0)</f>
        <v>0</v>
      </c>
      <c r="S951">
        <f>N(S950)+$R951</f>
        <v>0</v>
      </c>
      <c r="T951">
        <f>IF(AND($K951=1,AND(对接源_01水果!$X951="公司筐",N(对接源_01水果!$V951)&lt;&gt;0)),1,0)</f>
        <v>0</v>
      </c>
      <c r="U951">
        <f>N(U950)+$T951</f>
        <v>47</v>
      </c>
      <c r="V951">
        <f>IF(AND($L951=1,AND(对接源_01水果!$X951="自备筐",N(对接源_01水果!$V951)&lt;&gt;0)),1,0)</f>
        <v>0</v>
      </c>
      <c r="W951">
        <f>N(W950)+$V951</f>
        <v>11</v>
      </c>
      <c r="X951">
        <f>IF(AND($L951=1,AND(对接源_01水果!$X951="自备筐",N(对接源_01水果!$T951)&lt;&gt;0)),1,0)</f>
        <v>0</v>
      </c>
      <c r="Y951">
        <f>N(Y950)+$X951</f>
        <v>0</v>
      </c>
      <c r="Z951">
        <f>IF(AND($M951=1,对接源_01水果!$D951="原料入库"),1,0)</f>
        <v>0</v>
      </c>
      <c r="AA951">
        <f>N(AA950)+$Z951</f>
        <v>24</v>
      </c>
      <c r="AB951">
        <f>IF(AND($M951=1,LEFT(对接源_01水果!$D951,4)="原料出库"),1,0)</f>
        <v>0</v>
      </c>
      <c r="AC951">
        <f>N(AC950)+$AB951</f>
        <v>0</v>
      </c>
      <c r="AD951">
        <f>IF(AND($M951=1,LEFT(对接源_01水果!$D951,4)="成品出库"),1,0)</f>
        <v>0</v>
      </c>
      <c r="AE951">
        <f>N(AE950)+$AD951</f>
        <v>0</v>
      </c>
      <c r="AF951">
        <f>IF(AND($N951=1,AND(LEFT(对接源_01水果!$D951,4)="包装物料",N(对接源_01水果!$K951)&lt;&gt;0)),1,0)</f>
        <v>0</v>
      </c>
      <c r="AG951">
        <f>N(AG950)+$AF951</f>
        <v>0</v>
      </c>
      <c r="AH951">
        <f>IF(AND($N951=1,AND(对接源_01水果!$D951="周转筐－销售出库",N(对接源_01水果!$K951)&lt;&gt;0)),1,0)</f>
        <v>0</v>
      </c>
      <c r="AI951">
        <f>N(AI950)+$AH951</f>
        <v>0</v>
      </c>
      <c r="AJ951" s="7" t="n"/>
      <c r="AL951">
        <f>IF(OR($AL$1="",对接源_01水果!$Y951="",对接源_01水果!$Y951&lt;&gt;$AL$1,对接源_01水果!$B951="",N(对接源_01水果!$AJ951)&lt;=0),0,IF(OR(N(对接源_01水果!$B951)&lt;$AL$2,N(对接源_01水果!$B951)&gt;$AL$3),0,1))</f>
        <v>0</v>
      </c>
      <c r="AM951">
        <f>N(AM950)+$AL951</f>
        <v>2</v>
      </c>
      <c r="AN951">
        <f>IF(对接源_01水果!$AC951="","",对接源_01水果!$AC951)</f>
      </c>
      <c r="AO951">
        <f>IF(AN951="",0,IF(MATCH(AN951,$AN$4:$AN$1203,0)=ROW()-3,1,0))</f>
        <v>0</v>
      </c>
      <c r="AP951">
        <f>N(AP950)+$AO951</f>
        <v>13</v>
      </c>
      <c r="AR951">
        <f>IF(OR($AF951=1,$AH951=1),1,0)</f>
        <v>0</v>
      </c>
      <c r="AS951">
        <f>N(AS950)+$AR951</f>
        <v>0</v>
      </c>
    </row>
    <row r="952" ht="14.25" customHeight="1" s="127">
      <c r="A952">
        <f>IF(对接源_01水果!$C952="","",对接源_01水果!$C952)</f>
      </c>
      <c r="B952">
        <f>IF(A952="",0,IF(MATCH(A952,$A$4:$A$2403,0)=ROW()-3,1,0))</f>
        <v>0</v>
      </c>
      <c r="C952">
        <f>N(C951)+B952</f>
        <v>22</v>
      </c>
      <c r="K952">
        <f>IF(OR($K$1="",对接源_01水果!$C952="",对接源_01水果!$C952&lt;&gt;$K$1,对接源_01水果!$B952=""),0,IF(OR(N(对接源_01水果!$B952)&lt;$K$2,N(对接源_01水果!$B952)&gt;$K$3),0,1))</f>
        <v>0</v>
      </c>
      <c r="L952">
        <f>IF(OR($L$1="",对接源_01水果!$C952="",对接源_01水果!$C952&lt;&gt;$L$1,对接源_01水果!$B952=""),0,IF(OR(N(对接源_01水果!$B952)&lt;$L$2,N(对接源_01水果!$B952)&gt;$L$3),0,1))</f>
        <v>0</v>
      </c>
      <c r="M952">
        <f>IF(OR($M$1="",对接源_01水果!$C952="",对接源_01水果!$C952&lt;&gt;$M$1,对接源_01水果!$B952=""),0,IF(OR(N(对接源_01水果!$B952)&lt;$M$2,N(对接源_01水果!$B952)&gt;$M$3),0,1))</f>
        <v>0</v>
      </c>
      <c r="N952">
        <f>IF(OR($N$1="",对接源_01水果!$C952="",对接源_01水果!$C952&lt;&gt;$N$1,对接源_01水果!$B952=""),0,IF(OR(N(对接源_01水果!$B952)&lt;$N$2,N(对接源_01水果!$B952)&gt;$N$3),0,1))</f>
        <v>0</v>
      </c>
      <c r="P952">
        <f>IF(AND($K952=1,AND(对接源_01水果!$X952="公司筐",N(对接源_01水果!$T952)&lt;&gt;0)),1,0)</f>
        <v>0</v>
      </c>
      <c r="Q952">
        <f>N(Q951)+$P952</f>
        <v>0</v>
      </c>
      <c r="R952">
        <f>IF(AND($K952=1,AND(对接源_01水果!$X952="公司筐",N(对接源_01水果!$U952)&lt;&gt;0)),1,0)</f>
        <v>0</v>
      </c>
      <c r="S952">
        <f>N(S951)+$R952</f>
        <v>0</v>
      </c>
      <c r="T952">
        <f>IF(AND($K952=1,AND(对接源_01水果!$X952="公司筐",N(对接源_01水果!$V952)&lt;&gt;0)),1,0)</f>
        <v>0</v>
      </c>
      <c r="U952">
        <f>N(U951)+$T952</f>
        <v>47</v>
      </c>
      <c r="V952">
        <f>IF(AND($L952=1,AND(对接源_01水果!$X952="自备筐",N(对接源_01水果!$V952)&lt;&gt;0)),1,0)</f>
        <v>0</v>
      </c>
      <c r="W952">
        <f>N(W951)+$V952</f>
        <v>11</v>
      </c>
      <c r="X952">
        <f>IF(AND($L952=1,AND(对接源_01水果!$X952="自备筐",N(对接源_01水果!$T952)&lt;&gt;0)),1,0)</f>
        <v>0</v>
      </c>
      <c r="Y952">
        <f>N(Y951)+$X952</f>
        <v>0</v>
      </c>
      <c r="Z952">
        <f>IF(AND($M952=1,对接源_01水果!$D952="原料入库"),1,0)</f>
        <v>0</v>
      </c>
      <c r="AA952">
        <f>N(AA951)+$Z952</f>
        <v>24</v>
      </c>
      <c r="AB952">
        <f>IF(AND($M952=1,LEFT(对接源_01水果!$D952,4)="原料出库"),1,0)</f>
        <v>0</v>
      </c>
      <c r="AC952">
        <f>N(AC951)+$AB952</f>
        <v>0</v>
      </c>
      <c r="AD952">
        <f>IF(AND($M952=1,LEFT(对接源_01水果!$D952,4)="成品出库"),1,0)</f>
        <v>0</v>
      </c>
      <c r="AE952">
        <f>N(AE951)+$AD952</f>
        <v>0</v>
      </c>
      <c r="AF952">
        <f>IF(AND($N952=1,AND(LEFT(对接源_01水果!$D952,4)="包装物料",N(对接源_01水果!$K952)&lt;&gt;0)),1,0)</f>
        <v>0</v>
      </c>
      <c r="AG952">
        <f>N(AG951)+$AF952</f>
        <v>0</v>
      </c>
      <c r="AH952">
        <f>IF(AND($N952=1,AND(对接源_01水果!$D952="周转筐－销售出库",N(对接源_01水果!$K952)&lt;&gt;0)),1,0)</f>
        <v>0</v>
      </c>
      <c r="AI952">
        <f>N(AI951)+$AH952</f>
        <v>0</v>
      </c>
      <c r="AJ952" s="7" t="n"/>
      <c r="AL952">
        <f>IF(OR($AL$1="",对接源_01水果!$Y952="",对接源_01水果!$Y952&lt;&gt;$AL$1,对接源_01水果!$B952="",N(对接源_01水果!$AJ952)&lt;=0),0,IF(OR(N(对接源_01水果!$B952)&lt;$AL$2,N(对接源_01水果!$B952)&gt;$AL$3),0,1))</f>
        <v>0</v>
      </c>
      <c r="AM952">
        <f>N(AM951)+$AL952</f>
        <v>2</v>
      </c>
      <c r="AN952">
        <f>IF(对接源_01水果!$AC952="","",对接源_01水果!$AC952)</f>
      </c>
      <c r="AO952">
        <f>IF(AN952="",0,IF(MATCH(AN952,$AN$4:$AN$1203,0)=ROW()-3,1,0))</f>
        <v>0</v>
      </c>
      <c r="AP952">
        <f>N(AP951)+$AO952</f>
        <v>13</v>
      </c>
      <c r="AR952">
        <f>IF(OR($AF952=1,$AH952=1),1,0)</f>
        <v>0</v>
      </c>
      <c r="AS952">
        <f>N(AS951)+$AR952</f>
        <v>0</v>
      </c>
    </row>
    <row r="953" ht="14.25" customHeight="1" s="127">
      <c r="A953">
        <f>IF(对接源_01水果!$C953="","",对接源_01水果!$C953)</f>
      </c>
      <c r="B953">
        <f>IF(A953="",0,IF(MATCH(A953,$A$4:$A$2403,0)=ROW()-3,1,0))</f>
        <v>0</v>
      </c>
      <c r="C953">
        <f>N(C952)+B953</f>
        <v>22</v>
      </c>
      <c r="K953">
        <f>IF(OR($K$1="",对接源_01水果!$C953="",对接源_01水果!$C953&lt;&gt;$K$1,对接源_01水果!$B953=""),0,IF(OR(N(对接源_01水果!$B953)&lt;$K$2,N(对接源_01水果!$B953)&gt;$K$3),0,1))</f>
        <v>0</v>
      </c>
      <c r="L953">
        <f>IF(OR($L$1="",对接源_01水果!$C953="",对接源_01水果!$C953&lt;&gt;$L$1,对接源_01水果!$B953=""),0,IF(OR(N(对接源_01水果!$B953)&lt;$L$2,N(对接源_01水果!$B953)&gt;$L$3),0,1))</f>
        <v>0</v>
      </c>
      <c r="M953">
        <f>IF(OR($M$1="",对接源_01水果!$C953="",对接源_01水果!$C953&lt;&gt;$M$1,对接源_01水果!$B953=""),0,IF(OR(N(对接源_01水果!$B953)&lt;$M$2,N(对接源_01水果!$B953)&gt;$M$3),0,1))</f>
        <v>0</v>
      </c>
      <c r="N953">
        <f>IF(OR($N$1="",对接源_01水果!$C953="",对接源_01水果!$C953&lt;&gt;$N$1,对接源_01水果!$B953=""),0,IF(OR(N(对接源_01水果!$B953)&lt;$N$2,N(对接源_01水果!$B953)&gt;$N$3),0,1))</f>
        <v>0</v>
      </c>
      <c r="P953">
        <f>IF(AND($K953=1,AND(对接源_01水果!$X953="公司筐",N(对接源_01水果!$T953)&lt;&gt;0)),1,0)</f>
        <v>0</v>
      </c>
      <c r="Q953">
        <f>N(Q952)+$P953</f>
        <v>0</v>
      </c>
      <c r="R953">
        <f>IF(AND($K953=1,AND(对接源_01水果!$X953="公司筐",N(对接源_01水果!$U953)&lt;&gt;0)),1,0)</f>
        <v>0</v>
      </c>
      <c r="S953">
        <f>N(S952)+$R953</f>
        <v>0</v>
      </c>
      <c r="T953">
        <f>IF(AND($K953=1,AND(对接源_01水果!$X953="公司筐",N(对接源_01水果!$V953)&lt;&gt;0)),1,0)</f>
        <v>0</v>
      </c>
      <c r="U953">
        <f>N(U952)+$T953</f>
        <v>47</v>
      </c>
      <c r="V953">
        <f>IF(AND($L953=1,AND(对接源_01水果!$X953="自备筐",N(对接源_01水果!$V953)&lt;&gt;0)),1,0)</f>
        <v>0</v>
      </c>
      <c r="W953">
        <f>N(W952)+$V953</f>
        <v>11</v>
      </c>
      <c r="X953">
        <f>IF(AND($L953=1,AND(对接源_01水果!$X953="自备筐",N(对接源_01水果!$T953)&lt;&gt;0)),1,0)</f>
        <v>0</v>
      </c>
      <c r="Y953">
        <f>N(Y952)+$X953</f>
        <v>0</v>
      </c>
      <c r="Z953">
        <f>IF(AND($M953=1,对接源_01水果!$D953="原料入库"),1,0)</f>
        <v>0</v>
      </c>
      <c r="AA953">
        <f>N(AA952)+$Z953</f>
        <v>24</v>
      </c>
      <c r="AB953">
        <f>IF(AND($M953=1,LEFT(对接源_01水果!$D953,4)="原料出库"),1,0)</f>
        <v>0</v>
      </c>
      <c r="AC953">
        <f>N(AC952)+$AB953</f>
        <v>0</v>
      </c>
      <c r="AD953">
        <f>IF(AND($M953=1,LEFT(对接源_01水果!$D953,4)="成品出库"),1,0)</f>
        <v>0</v>
      </c>
      <c r="AE953">
        <f>N(AE952)+$AD953</f>
        <v>0</v>
      </c>
      <c r="AF953">
        <f>IF(AND($N953=1,AND(LEFT(对接源_01水果!$D953,4)="包装物料",N(对接源_01水果!$K953)&lt;&gt;0)),1,0)</f>
        <v>0</v>
      </c>
      <c r="AG953">
        <f>N(AG952)+$AF953</f>
        <v>0</v>
      </c>
      <c r="AH953">
        <f>IF(AND($N953=1,AND(对接源_01水果!$D953="周转筐－销售出库",N(对接源_01水果!$K953)&lt;&gt;0)),1,0)</f>
        <v>0</v>
      </c>
      <c r="AI953">
        <f>N(AI952)+$AH953</f>
        <v>0</v>
      </c>
      <c r="AJ953" s="7" t="n"/>
      <c r="AL953">
        <f>IF(OR($AL$1="",对接源_01水果!$Y953="",对接源_01水果!$Y953&lt;&gt;$AL$1,对接源_01水果!$B953="",N(对接源_01水果!$AJ953)&lt;=0),0,IF(OR(N(对接源_01水果!$B953)&lt;$AL$2,N(对接源_01水果!$B953)&gt;$AL$3),0,1))</f>
        <v>0</v>
      </c>
      <c r="AM953">
        <f>N(AM952)+$AL953</f>
        <v>2</v>
      </c>
      <c r="AN953">
        <f>IF(对接源_01水果!$AC953="","",对接源_01水果!$AC953)</f>
      </c>
      <c r="AO953">
        <f>IF(AN953="",0,IF(MATCH(AN953,$AN$4:$AN$1203,0)=ROW()-3,1,0))</f>
        <v>0</v>
      </c>
      <c r="AP953">
        <f>N(AP952)+$AO953</f>
        <v>13</v>
      </c>
      <c r="AR953">
        <f>IF(OR($AF953=1,$AH953=1),1,0)</f>
        <v>0</v>
      </c>
      <c r="AS953">
        <f>N(AS952)+$AR953</f>
        <v>0</v>
      </c>
    </row>
    <row r="954" ht="14.25" customHeight="1" s="127">
      <c r="A954">
        <f>IF(对接源_01水果!$C954="","",对接源_01水果!$C954)</f>
      </c>
      <c r="B954">
        <f>IF(A954="",0,IF(MATCH(A954,$A$4:$A$2403,0)=ROW()-3,1,0))</f>
        <v>0</v>
      </c>
      <c r="C954">
        <f>N(C953)+B954</f>
        <v>22</v>
      </c>
      <c r="K954">
        <f>IF(OR($K$1="",对接源_01水果!$C954="",对接源_01水果!$C954&lt;&gt;$K$1,对接源_01水果!$B954=""),0,IF(OR(N(对接源_01水果!$B954)&lt;$K$2,N(对接源_01水果!$B954)&gt;$K$3),0,1))</f>
        <v>0</v>
      </c>
      <c r="L954">
        <f>IF(OR($L$1="",对接源_01水果!$C954="",对接源_01水果!$C954&lt;&gt;$L$1,对接源_01水果!$B954=""),0,IF(OR(N(对接源_01水果!$B954)&lt;$L$2,N(对接源_01水果!$B954)&gt;$L$3),0,1))</f>
        <v>0</v>
      </c>
      <c r="M954">
        <f>IF(OR($M$1="",对接源_01水果!$C954="",对接源_01水果!$C954&lt;&gt;$M$1,对接源_01水果!$B954=""),0,IF(OR(N(对接源_01水果!$B954)&lt;$M$2,N(对接源_01水果!$B954)&gt;$M$3),0,1))</f>
        <v>0</v>
      </c>
      <c r="N954">
        <f>IF(OR($N$1="",对接源_01水果!$C954="",对接源_01水果!$C954&lt;&gt;$N$1,对接源_01水果!$B954=""),0,IF(OR(N(对接源_01水果!$B954)&lt;$N$2,N(对接源_01水果!$B954)&gt;$N$3),0,1))</f>
        <v>0</v>
      </c>
      <c r="P954">
        <f>IF(AND($K954=1,AND(对接源_01水果!$X954="公司筐",N(对接源_01水果!$T954)&lt;&gt;0)),1,0)</f>
        <v>0</v>
      </c>
      <c r="Q954">
        <f>N(Q953)+$P954</f>
        <v>0</v>
      </c>
      <c r="R954">
        <f>IF(AND($K954=1,AND(对接源_01水果!$X954="公司筐",N(对接源_01水果!$U954)&lt;&gt;0)),1,0)</f>
        <v>0</v>
      </c>
      <c r="S954">
        <f>N(S953)+$R954</f>
        <v>0</v>
      </c>
      <c r="T954">
        <f>IF(AND($K954=1,AND(对接源_01水果!$X954="公司筐",N(对接源_01水果!$V954)&lt;&gt;0)),1,0)</f>
        <v>0</v>
      </c>
      <c r="U954">
        <f>N(U953)+$T954</f>
        <v>47</v>
      </c>
      <c r="V954">
        <f>IF(AND($L954=1,AND(对接源_01水果!$X954="自备筐",N(对接源_01水果!$V954)&lt;&gt;0)),1,0)</f>
        <v>0</v>
      </c>
      <c r="W954">
        <f>N(W953)+$V954</f>
        <v>11</v>
      </c>
      <c r="X954">
        <f>IF(AND($L954=1,AND(对接源_01水果!$X954="自备筐",N(对接源_01水果!$T954)&lt;&gt;0)),1,0)</f>
        <v>0</v>
      </c>
      <c r="Y954">
        <f>N(Y953)+$X954</f>
        <v>0</v>
      </c>
      <c r="Z954">
        <f>IF(AND($M954=1,对接源_01水果!$D954="原料入库"),1,0)</f>
        <v>0</v>
      </c>
      <c r="AA954">
        <f>N(AA953)+$Z954</f>
        <v>24</v>
      </c>
      <c r="AB954">
        <f>IF(AND($M954=1,LEFT(对接源_01水果!$D954,4)="原料出库"),1,0)</f>
        <v>0</v>
      </c>
      <c r="AC954">
        <f>N(AC953)+$AB954</f>
        <v>0</v>
      </c>
      <c r="AD954">
        <f>IF(AND($M954=1,LEFT(对接源_01水果!$D954,4)="成品出库"),1,0)</f>
        <v>0</v>
      </c>
      <c r="AE954">
        <f>N(AE953)+$AD954</f>
        <v>0</v>
      </c>
      <c r="AF954">
        <f>IF(AND($N954=1,AND(LEFT(对接源_01水果!$D954,4)="包装物料",N(对接源_01水果!$K954)&lt;&gt;0)),1,0)</f>
        <v>0</v>
      </c>
      <c r="AG954">
        <f>N(AG953)+$AF954</f>
        <v>0</v>
      </c>
      <c r="AH954">
        <f>IF(AND($N954=1,AND(对接源_01水果!$D954="周转筐－销售出库",N(对接源_01水果!$K954)&lt;&gt;0)),1,0)</f>
        <v>0</v>
      </c>
      <c r="AI954">
        <f>N(AI953)+$AH954</f>
        <v>0</v>
      </c>
      <c r="AJ954" s="7" t="n"/>
      <c r="AL954">
        <f>IF(OR($AL$1="",对接源_01水果!$Y954="",对接源_01水果!$Y954&lt;&gt;$AL$1,对接源_01水果!$B954="",N(对接源_01水果!$AJ954)&lt;=0),0,IF(OR(N(对接源_01水果!$B954)&lt;$AL$2,N(对接源_01水果!$B954)&gt;$AL$3),0,1))</f>
        <v>0</v>
      </c>
      <c r="AM954">
        <f>N(AM953)+$AL954</f>
        <v>2</v>
      </c>
      <c r="AN954">
        <f>IF(对接源_01水果!$AC954="","",对接源_01水果!$AC954)</f>
      </c>
      <c r="AO954">
        <f>IF(AN954="",0,IF(MATCH(AN954,$AN$4:$AN$1203,0)=ROW()-3,1,0))</f>
        <v>0</v>
      </c>
      <c r="AP954">
        <f>N(AP953)+$AO954</f>
        <v>13</v>
      </c>
      <c r="AR954">
        <f>IF(OR($AF954=1,$AH954=1),1,0)</f>
        <v>0</v>
      </c>
      <c r="AS954">
        <f>N(AS953)+$AR954</f>
        <v>0</v>
      </c>
    </row>
    <row r="955" ht="14.25" customHeight="1" s="127">
      <c r="A955">
        <f>IF(对接源_01水果!$C955="","",对接源_01水果!$C955)</f>
      </c>
      <c r="B955">
        <f>IF(A955="",0,IF(MATCH(A955,$A$4:$A$2403,0)=ROW()-3,1,0))</f>
        <v>0</v>
      </c>
      <c r="C955">
        <f>N(C954)+B955</f>
        <v>22</v>
      </c>
      <c r="K955">
        <f>IF(OR($K$1="",对接源_01水果!$C955="",对接源_01水果!$C955&lt;&gt;$K$1,对接源_01水果!$B955=""),0,IF(OR(N(对接源_01水果!$B955)&lt;$K$2,N(对接源_01水果!$B955)&gt;$K$3),0,1))</f>
        <v>0</v>
      </c>
      <c r="L955">
        <f>IF(OR($L$1="",对接源_01水果!$C955="",对接源_01水果!$C955&lt;&gt;$L$1,对接源_01水果!$B955=""),0,IF(OR(N(对接源_01水果!$B955)&lt;$L$2,N(对接源_01水果!$B955)&gt;$L$3),0,1))</f>
        <v>0</v>
      </c>
      <c r="M955">
        <f>IF(OR($M$1="",对接源_01水果!$C955="",对接源_01水果!$C955&lt;&gt;$M$1,对接源_01水果!$B955=""),0,IF(OR(N(对接源_01水果!$B955)&lt;$M$2,N(对接源_01水果!$B955)&gt;$M$3),0,1))</f>
        <v>0</v>
      </c>
      <c r="N955">
        <f>IF(OR($N$1="",对接源_01水果!$C955="",对接源_01水果!$C955&lt;&gt;$N$1,对接源_01水果!$B955=""),0,IF(OR(N(对接源_01水果!$B955)&lt;$N$2,N(对接源_01水果!$B955)&gt;$N$3),0,1))</f>
        <v>0</v>
      </c>
      <c r="P955">
        <f>IF(AND($K955=1,AND(对接源_01水果!$X955="公司筐",N(对接源_01水果!$T955)&lt;&gt;0)),1,0)</f>
        <v>0</v>
      </c>
      <c r="Q955">
        <f>N(Q954)+$P955</f>
        <v>0</v>
      </c>
      <c r="R955">
        <f>IF(AND($K955=1,AND(对接源_01水果!$X955="公司筐",N(对接源_01水果!$U955)&lt;&gt;0)),1,0)</f>
        <v>0</v>
      </c>
      <c r="S955">
        <f>N(S954)+$R955</f>
        <v>0</v>
      </c>
      <c r="T955">
        <f>IF(AND($K955=1,AND(对接源_01水果!$X955="公司筐",N(对接源_01水果!$V955)&lt;&gt;0)),1,0)</f>
        <v>0</v>
      </c>
      <c r="U955">
        <f>N(U954)+$T955</f>
        <v>47</v>
      </c>
      <c r="V955">
        <f>IF(AND($L955=1,AND(对接源_01水果!$X955="自备筐",N(对接源_01水果!$V955)&lt;&gt;0)),1,0)</f>
        <v>0</v>
      </c>
      <c r="W955">
        <f>N(W954)+$V955</f>
        <v>11</v>
      </c>
      <c r="X955">
        <f>IF(AND($L955=1,AND(对接源_01水果!$X955="自备筐",N(对接源_01水果!$T955)&lt;&gt;0)),1,0)</f>
        <v>0</v>
      </c>
      <c r="Y955">
        <f>N(Y954)+$X955</f>
        <v>0</v>
      </c>
      <c r="Z955">
        <f>IF(AND($M955=1,对接源_01水果!$D955="原料入库"),1,0)</f>
        <v>0</v>
      </c>
      <c r="AA955">
        <f>N(AA954)+$Z955</f>
        <v>24</v>
      </c>
      <c r="AB955">
        <f>IF(AND($M955=1,LEFT(对接源_01水果!$D955,4)="原料出库"),1,0)</f>
        <v>0</v>
      </c>
      <c r="AC955">
        <f>N(AC954)+$AB955</f>
        <v>0</v>
      </c>
      <c r="AD955">
        <f>IF(AND($M955=1,LEFT(对接源_01水果!$D955,4)="成品出库"),1,0)</f>
        <v>0</v>
      </c>
      <c r="AE955">
        <f>N(AE954)+$AD955</f>
        <v>0</v>
      </c>
      <c r="AF955">
        <f>IF(AND($N955=1,AND(LEFT(对接源_01水果!$D955,4)="包装物料",N(对接源_01水果!$K955)&lt;&gt;0)),1,0)</f>
        <v>0</v>
      </c>
      <c r="AG955">
        <f>N(AG954)+$AF955</f>
        <v>0</v>
      </c>
      <c r="AH955">
        <f>IF(AND($N955=1,AND(对接源_01水果!$D955="周转筐－销售出库",N(对接源_01水果!$K955)&lt;&gt;0)),1,0)</f>
        <v>0</v>
      </c>
      <c r="AI955">
        <f>N(AI954)+$AH955</f>
        <v>0</v>
      </c>
      <c r="AJ955" s="7" t="n"/>
      <c r="AL955">
        <f>IF(OR($AL$1="",对接源_01水果!$Y955="",对接源_01水果!$Y955&lt;&gt;$AL$1,对接源_01水果!$B955="",N(对接源_01水果!$AJ955)&lt;=0),0,IF(OR(N(对接源_01水果!$B955)&lt;$AL$2,N(对接源_01水果!$B955)&gt;$AL$3),0,1))</f>
        <v>0</v>
      </c>
      <c r="AM955">
        <f>N(AM954)+$AL955</f>
        <v>2</v>
      </c>
      <c r="AN955">
        <f>IF(对接源_01水果!$AC955="","",对接源_01水果!$AC955)</f>
      </c>
      <c r="AO955">
        <f>IF(AN955="",0,IF(MATCH(AN955,$AN$4:$AN$1203,0)=ROW()-3,1,0))</f>
        <v>0</v>
      </c>
      <c r="AP955">
        <f>N(AP954)+$AO955</f>
        <v>13</v>
      </c>
      <c r="AR955">
        <f>IF(OR($AF955=1,$AH955=1),1,0)</f>
        <v>0</v>
      </c>
      <c r="AS955">
        <f>N(AS954)+$AR955</f>
        <v>0</v>
      </c>
    </row>
    <row r="956" ht="14.25" customHeight="1" s="127">
      <c r="A956">
        <f>IF(对接源_01水果!$C956="","",对接源_01水果!$C956)</f>
      </c>
      <c r="B956">
        <f>IF(A956="",0,IF(MATCH(A956,$A$4:$A$2403,0)=ROW()-3,1,0))</f>
        <v>0</v>
      </c>
      <c r="C956">
        <f>N(C955)+B956</f>
        <v>22</v>
      </c>
      <c r="K956">
        <f>IF(OR($K$1="",对接源_01水果!$C956="",对接源_01水果!$C956&lt;&gt;$K$1,对接源_01水果!$B956=""),0,IF(OR(N(对接源_01水果!$B956)&lt;$K$2,N(对接源_01水果!$B956)&gt;$K$3),0,1))</f>
        <v>0</v>
      </c>
      <c r="L956">
        <f>IF(OR($L$1="",对接源_01水果!$C956="",对接源_01水果!$C956&lt;&gt;$L$1,对接源_01水果!$B956=""),0,IF(OR(N(对接源_01水果!$B956)&lt;$L$2,N(对接源_01水果!$B956)&gt;$L$3),0,1))</f>
        <v>0</v>
      </c>
      <c r="M956">
        <f>IF(OR($M$1="",对接源_01水果!$C956="",对接源_01水果!$C956&lt;&gt;$M$1,对接源_01水果!$B956=""),0,IF(OR(N(对接源_01水果!$B956)&lt;$M$2,N(对接源_01水果!$B956)&gt;$M$3),0,1))</f>
        <v>0</v>
      </c>
      <c r="N956">
        <f>IF(OR($N$1="",对接源_01水果!$C956="",对接源_01水果!$C956&lt;&gt;$N$1,对接源_01水果!$B956=""),0,IF(OR(N(对接源_01水果!$B956)&lt;$N$2,N(对接源_01水果!$B956)&gt;$N$3),0,1))</f>
        <v>0</v>
      </c>
      <c r="P956">
        <f>IF(AND($K956=1,AND(对接源_01水果!$X956="公司筐",N(对接源_01水果!$T956)&lt;&gt;0)),1,0)</f>
        <v>0</v>
      </c>
      <c r="Q956">
        <f>N(Q955)+$P956</f>
        <v>0</v>
      </c>
      <c r="R956">
        <f>IF(AND($K956=1,AND(对接源_01水果!$X956="公司筐",N(对接源_01水果!$U956)&lt;&gt;0)),1,0)</f>
        <v>0</v>
      </c>
      <c r="S956">
        <f>N(S955)+$R956</f>
        <v>0</v>
      </c>
      <c r="T956">
        <f>IF(AND($K956=1,AND(对接源_01水果!$X956="公司筐",N(对接源_01水果!$V956)&lt;&gt;0)),1,0)</f>
        <v>0</v>
      </c>
      <c r="U956">
        <f>N(U955)+$T956</f>
        <v>47</v>
      </c>
      <c r="V956">
        <f>IF(AND($L956=1,AND(对接源_01水果!$X956="自备筐",N(对接源_01水果!$V956)&lt;&gt;0)),1,0)</f>
        <v>0</v>
      </c>
      <c r="W956">
        <f>N(W955)+$V956</f>
        <v>11</v>
      </c>
      <c r="X956">
        <f>IF(AND($L956=1,AND(对接源_01水果!$X956="自备筐",N(对接源_01水果!$T956)&lt;&gt;0)),1,0)</f>
        <v>0</v>
      </c>
      <c r="Y956">
        <f>N(Y955)+$X956</f>
        <v>0</v>
      </c>
      <c r="Z956">
        <f>IF(AND($M956=1,对接源_01水果!$D956="原料入库"),1,0)</f>
        <v>0</v>
      </c>
      <c r="AA956">
        <f>N(AA955)+$Z956</f>
        <v>24</v>
      </c>
      <c r="AB956">
        <f>IF(AND($M956=1,LEFT(对接源_01水果!$D956,4)="原料出库"),1,0)</f>
        <v>0</v>
      </c>
      <c r="AC956">
        <f>N(AC955)+$AB956</f>
        <v>0</v>
      </c>
      <c r="AD956">
        <f>IF(AND($M956=1,LEFT(对接源_01水果!$D956,4)="成品出库"),1,0)</f>
        <v>0</v>
      </c>
      <c r="AE956">
        <f>N(AE955)+$AD956</f>
        <v>0</v>
      </c>
      <c r="AF956">
        <f>IF(AND($N956=1,AND(LEFT(对接源_01水果!$D956,4)="包装物料",N(对接源_01水果!$K956)&lt;&gt;0)),1,0)</f>
        <v>0</v>
      </c>
      <c r="AG956">
        <f>N(AG955)+$AF956</f>
        <v>0</v>
      </c>
      <c r="AH956">
        <f>IF(AND($N956=1,AND(对接源_01水果!$D956="周转筐－销售出库",N(对接源_01水果!$K956)&lt;&gt;0)),1,0)</f>
        <v>0</v>
      </c>
      <c r="AI956">
        <f>N(AI955)+$AH956</f>
        <v>0</v>
      </c>
      <c r="AJ956" s="7" t="n"/>
      <c r="AL956">
        <f>IF(OR($AL$1="",对接源_01水果!$Y956="",对接源_01水果!$Y956&lt;&gt;$AL$1,对接源_01水果!$B956="",N(对接源_01水果!$AJ956)&lt;=0),0,IF(OR(N(对接源_01水果!$B956)&lt;$AL$2,N(对接源_01水果!$B956)&gt;$AL$3),0,1))</f>
        <v>0</v>
      </c>
      <c r="AM956">
        <f>N(AM955)+$AL956</f>
        <v>2</v>
      </c>
      <c r="AN956">
        <f>IF(对接源_01水果!$AC956="","",对接源_01水果!$AC956)</f>
      </c>
      <c r="AO956">
        <f>IF(AN956="",0,IF(MATCH(AN956,$AN$4:$AN$1203,0)=ROW()-3,1,0))</f>
        <v>0</v>
      </c>
      <c r="AP956">
        <f>N(AP955)+$AO956</f>
        <v>13</v>
      </c>
      <c r="AR956">
        <f>IF(OR($AF956=1,$AH956=1),1,0)</f>
        <v>0</v>
      </c>
      <c r="AS956">
        <f>N(AS955)+$AR956</f>
        <v>0</v>
      </c>
    </row>
    <row r="957" ht="14.25" customHeight="1" s="127">
      <c r="A957">
        <f>IF(对接源_01水果!$C957="","",对接源_01水果!$C957)</f>
      </c>
      <c r="B957">
        <f>IF(A957="",0,IF(MATCH(A957,$A$4:$A$2403,0)=ROW()-3,1,0))</f>
        <v>0</v>
      </c>
      <c r="C957">
        <f>N(C956)+B957</f>
        <v>22</v>
      </c>
      <c r="K957">
        <f>IF(OR($K$1="",对接源_01水果!$C957="",对接源_01水果!$C957&lt;&gt;$K$1,对接源_01水果!$B957=""),0,IF(OR(N(对接源_01水果!$B957)&lt;$K$2,N(对接源_01水果!$B957)&gt;$K$3),0,1))</f>
        <v>0</v>
      </c>
      <c r="L957">
        <f>IF(OR($L$1="",对接源_01水果!$C957="",对接源_01水果!$C957&lt;&gt;$L$1,对接源_01水果!$B957=""),0,IF(OR(N(对接源_01水果!$B957)&lt;$L$2,N(对接源_01水果!$B957)&gt;$L$3),0,1))</f>
        <v>0</v>
      </c>
      <c r="M957">
        <f>IF(OR($M$1="",对接源_01水果!$C957="",对接源_01水果!$C957&lt;&gt;$M$1,对接源_01水果!$B957=""),0,IF(OR(N(对接源_01水果!$B957)&lt;$M$2,N(对接源_01水果!$B957)&gt;$M$3),0,1))</f>
        <v>0</v>
      </c>
      <c r="N957">
        <f>IF(OR($N$1="",对接源_01水果!$C957="",对接源_01水果!$C957&lt;&gt;$N$1,对接源_01水果!$B957=""),0,IF(OR(N(对接源_01水果!$B957)&lt;$N$2,N(对接源_01水果!$B957)&gt;$N$3),0,1))</f>
        <v>0</v>
      </c>
      <c r="P957">
        <f>IF(AND($K957=1,AND(对接源_01水果!$X957="公司筐",N(对接源_01水果!$T957)&lt;&gt;0)),1,0)</f>
        <v>0</v>
      </c>
      <c r="Q957">
        <f>N(Q956)+$P957</f>
        <v>0</v>
      </c>
      <c r="R957">
        <f>IF(AND($K957=1,AND(对接源_01水果!$X957="公司筐",N(对接源_01水果!$U957)&lt;&gt;0)),1,0)</f>
        <v>0</v>
      </c>
      <c r="S957">
        <f>N(S956)+$R957</f>
        <v>0</v>
      </c>
      <c r="T957">
        <f>IF(AND($K957=1,AND(对接源_01水果!$X957="公司筐",N(对接源_01水果!$V957)&lt;&gt;0)),1,0)</f>
        <v>0</v>
      </c>
      <c r="U957">
        <f>N(U956)+$T957</f>
        <v>47</v>
      </c>
      <c r="V957">
        <f>IF(AND($L957=1,AND(对接源_01水果!$X957="自备筐",N(对接源_01水果!$V957)&lt;&gt;0)),1,0)</f>
        <v>0</v>
      </c>
      <c r="W957">
        <f>N(W956)+$V957</f>
        <v>11</v>
      </c>
      <c r="X957">
        <f>IF(AND($L957=1,AND(对接源_01水果!$X957="自备筐",N(对接源_01水果!$T957)&lt;&gt;0)),1,0)</f>
        <v>0</v>
      </c>
      <c r="Y957">
        <f>N(Y956)+$X957</f>
        <v>0</v>
      </c>
      <c r="Z957">
        <f>IF(AND($M957=1,对接源_01水果!$D957="原料入库"),1,0)</f>
        <v>0</v>
      </c>
      <c r="AA957">
        <f>N(AA956)+$Z957</f>
        <v>24</v>
      </c>
      <c r="AB957">
        <f>IF(AND($M957=1,LEFT(对接源_01水果!$D957,4)="原料出库"),1,0)</f>
        <v>0</v>
      </c>
      <c r="AC957">
        <f>N(AC956)+$AB957</f>
        <v>0</v>
      </c>
      <c r="AD957">
        <f>IF(AND($M957=1,LEFT(对接源_01水果!$D957,4)="成品出库"),1,0)</f>
        <v>0</v>
      </c>
      <c r="AE957">
        <f>N(AE956)+$AD957</f>
        <v>0</v>
      </c>
      <c r="AF957">
        <f>IF(AND($N957=1,AND(LEFT(对接源_01水果!$D957,4)="包装物料",N(对接源_01水果!$K957)&lt;&gt;0)),1,0)</f>
        <v>0</v>
      </c>
      <c r="AG957">
        <f>N(AG956)+$AF957</f>
        <v>0</v>
      </c>
      <c r="AH957">
        <f>IF(AND($N957=1,AND(对接源_01水果!$D957="周转筐－销售出库",N(对接源_01水果!$K957)&lt;&gt;0)),1,0)</f>
        <v>0</v>
      </c>
      <c r="AI957">
        <f>N(AI956)+$AH957</f>
        <v>0</v>
      </c>
      <c r="AJ957" s="7" t="n"/>
      <c r="AL957">
        <f>IF(OR($AL$1="",对接源_01水果!$Y957="",对接源_01水果!$Y957&lt;&gt;$AL$1,对接源_01水果!$B957="",N(对接源_01水果!$AJ957)&lt;=0),0,IF(OR(N(对接源_01水果!$B957)&lt;$AL$2,N(对接源_01水果!$B957)&gt;$AL$3),0,1))</f>
        <v>0</v>
      </c>
      <c r="AM957">
        <f>N(AM956)+$AL957</f>
        <v>2</v>
      </c>
      <c r="AN957">
        <f>IF(对接源_01水果!$AC957="","",对接源_01水果!$AC957)</f>
      </c>
      <c r="AO957">
        <f>IF(AN957="",0,IF(MATCH(AN957,$AN$4:$AN$1203,0)=ROW()-3,1,0))</f>
        <v>0</v>
      </c>
      <c r="AP957">
        <f>N(AP956)+$AO957</f>
        <v>13</v>
      </c>
      <c r="AR957">
        <f>IF(OR($AF957=1,$AH957=1),1,0)</f>
        <v>0</v>
      </c>
      <c r="AS957">
        <f>N(AS956)+$AR957</f>
        <v>0</v>
      </c>
    </row>
    <row r="958" ht="14.25" customHeight="1" s="127">
      <c r="A958">
        <f>IF(对接源_01水果!$C958="","",对接源_01水果!$C958)</f>
      </c>
      <c r="B958">
        <f>IF(A958="",0,IF(MATCH(A958,$A$4:$A$2403,0)=ROW()-3,1,0))</f>
        <v>0</v>
      </c>
      <c r="C958">
        <f>N(C957)+B958</f>
        <v>22</v>
      </c>
      <c r="K958">
        <f>IF(OR($K$1="",对接源_01水果!$C958="",对接源_01水果!$C958&lt;&gt;$K$1,对接源_01水果!$B958=""),0,IF(OR(N(对接源_01水果!$B958)&lt;$K$2,N(对接源_01水果!$B958)&gt;$K$3),0,1))</f>
        <v>0</v>
      </c>
      <c r="L958">
        <f>IF(OR($L$1="",对接源_01水果!$C958="",对接源_01水果!$C958&lt;&gt;$L$1,对接源_01水果!$B958=""),0,IF(OR(N(对接源_01水果!$B958)&lt;$L$2,N(对接源_01水果!$B958)&gt;$L$3),0,1))</f>
        <v>0</v>
      </c>
      <c r="M958">
        <f>IF(OR($M$1="",对接源_01水果!$C958="",对接源_01水果!$C958&lt;&gt;$M$1,对接源_01水果!$B958=""),0,IF(OR(N(对接源_01水果!$B958)&lt;$M$2,N(对接源_01水果!$B958)&gt;$M$3),0,1))</f>
        <v>0</v>
      </c>
      <c r="N958">
        <f>IF(OR($N$1="",对接源_01水果!$C958="",对接源_01水果!$C958&lt;&gt;$N$1,对接源_01水果!$B958=""),0,IF(OR(N(对接源_01水果!$B958)&lt;$N$2,N(对接源_01水果!$B958)&gt;$N$3),0,1))</f>
        <v>0</v>
      </c>
      <c r="P958">
        <f>IF(AND($K958=1,AND(对接源_01水果!$X958="公司筐",N(对接源_01水果!$T958)&lt;&gt;0)),1,0)</f>
        <v>0</v>
      </c>
      <c r="Q958">
        <f>N(Q957)+$P958</f>
        <v>0</v>
      </c>
      <c r="R958">
        <f>IF(AND($K958=1,AND(对接源_01水果!$X958="公司筐",N(对接源_01水果!$U958)&lt;&gt;0)),1,0)</f>
        <v>0</v>
      </c>
      <c r="S958">
        <f>N(S957)+$R958</f>
        <v>0</v>
      </c>
      <c r="T958">
        <f>IF(AND($K958=1,AND(对接源_01水果!$X958="公司筐",N(对接源_01水果!$V958)&lt;&gt;0)),1,0)</f>
        <v>0</v>
      </c>
      <c r="U958">
        <f>N(U957)+$T958</f>
        <v>47</v>
      </c>
      <c r="V958">
        <f>IF(AND($L958=1,AND(对接源_01水果!$X958="自备筐",N(对接源_01水果!$V958)&lt;&gt;0)),1,0)</f>
        <v>0</v>
      </c>
      <c r="W958">
        <f>N(W957)+$V958</f>
        <v>11</v>
      </c>
      <c r="X958">
        <f>IF(AND($L958=1,AND(对接源_01水果!$X958="自备筐",N(对接源_01水果!$T958)&lt;&gt;0)),1,0)</f>
        <v>0</v>
      </c>
      <c r="Y958">
        <f>N(Y957)+$X958</f>
        <v>0</v>
      </c>
      <c r="Z958">
        <f>IF(AND($M958=1,对接源_01水果!$D958="原料入库"),1,0)</f>
        <v>0</v>
      </c>
      <c r="AA958">
        <f>N(AA957)+$Z958</f>
        <v>24</v>
      </c>
      <c r="AB958">
        <f>IF(AND($M958=1,LEFT(对接源_01水果!$D958,4)="原料出库"),1,0)</f>
        <v>0</v>
      </c>
      <c r="AC958">
        <f>N(AC957)+$AB958</f>
        <v>0</v>
      </c>
      <c r="AD958">
        <f>IF(AND($M958=1,LEFT(对接源_01水果!$D958,4)="成品出库"),1,0)</f>
        <v>0</v>
      </c>
      <c r="AE958">
        <f>N(AE957)+$AD958</f>
        <v>0</v>
      </c>
      <c r="AF958">
        <f>IF(AND($N958=1,AND(LEFT(对接源_01水果!$D958,4)="包装物料",N(对接源_01水果!$K958)&lt;&gt;0)),1,0)</f>
        <v>0</v>
      </c>
      <c r="AG958">
        <f>N(AG957)+$AF958</f>
        <v>0</v>
      </c>
      <c r="AH958">
        <f>IF(AND($N958=1,AND(对接源_01水果!$D958="周转筐－销售出库",N(对接源_01水果!$K958)&lt;&gt;0)),1,0)</f>
        <v>0</v>
      </c>
      <c r="AI958">
        <f>N(AI957)+$AH958</f>
        <v>0</v>
      </c>
      <c r="AJ958" s="7" t="n"/>
      <c r="AL958">
        <f>IF(OR($AL$1="",对接源_01水果!$Y958="",对接源_01水果!$Y958&lt;&gt;$AL$1,对接源_01水果!$B958="",N(对接源_01水果!$AJ958)&lt;=0),0,IF(OR(N(对接源_01水果!$B958)&lt;$AL$2,N(对接源_01水果!$B958)&gt;$AL$3),0,1))</f>
        <v>0</v>
      </c>
      <c r="AM958">
        <f>N(AM957)+$AL958</f>
        <v>2</v>
      </c>
      <c r="AN958">
        <f>IF(对接源_01水果!$AC958="","",对接源_01水果!$AC958)</f>
      </c>
      <c r="AO958">
        <f>IF(AN958="",0,IF(MATCH(AN958,$AN$4:$AN$1203,0)=ROW()-3,1,0))</f>
        <v>0</v>
      </c>
      <c r="AP958">
        <f>N(AP957)+$AO958</f>
        <v>13</v>
      </c>
      <c r="AR958">
        <f>IF(OR($AF958=1,$AH958=1),1,0)</f>
        <v>0</v>
      </c>
      <c r="AS958">
        <f>N(AS957)+$AR958</f>
        <v>0</v>
      </c>
    </row>
    <row r="959" ht="14.25" customHeight="1" s="127">
      <c r="A959">
        <f>IF(对接源_01水果!$C959="","",对接源_01水果!$C959)</f>
      </c>
      <c r="B959">
        <f>IF(A959="",0,IF(MATCH(A959,$A$4:$A$2403,0)=ROW()-3,1,0))</f>
        <v>0</v>
      </c>
      <c r="C959">
        <f>N(C958)+B959</f>
        <v>22</v>
      </c>
      <c r="K959">
        <f>IF(OR($K$1="",对接源_01水果!$C959="",对接源_01水果!$C959&lt;&gt;$K$1,对接源_01水果!$B959=""),0,IF(OR(N(对接源_01水果!$B959)&lt;$K$2,N(对接源_01水果!$B959)&gt;$K$3),0,1))</f>
        <v>0</v>
      </c>
      <c r="L959">
        <f>IF(OR($L$1="",对接源_01水果!$C959="",对接源_01水果!$C959&lt;&gt;$L$1,对接源_01水果!$B959=""),0,IF(OR(N(对接源_01水果!$B959)&lt;$L$2,N(对接源_01水果!$B959)&gt;$L$3),0,1))</f>
        <v>0</v>
      </c>
      <c r="M959">
        <f>IF(OR($M$1="",对接源_01水果!$C959="",对接源_01水果!$C959&lt;&gt;$M$1,对接源_01水果!$B959=""),0,IF(OR(N(对接源_01水果!$B959)&lt;$M$2,N(对接源_01水果!$B959)&gt;$M$3),0,1))</f>
        <v>0</v>
      </c>
      <c r="N959">
        <f>IF(OR($N$1="",对接源_01水果!$C959="",对接源_01水果!$C959&lt;&gt;$N$1,对接源_01水果!$B959=""),0,IF(OR(N(对接源_01水果!$B959)&lt;$N$2,N(对接源_01水果!$B959)&gt;$N$3),0,1))</f>
        <v>0</v>
      </c>
      <c r="P959">
        <f>IF(AND($K959=1,AND(对接源_01水果!$X959="公司筐",N(对接源_01水果!$T959)&lt;&gt;0)),1,0)</f>
        <v>0</v>
      </c>
      <c r="Q959">
        <f>N(Q958)+$P959</f>
        <v>0</v>
      </c>
      <c r="R959">
        <f>IF(AND($K959=1,AND(对接源_01水果!$X959="公司筐",N(对接源_01水果!$U959)&lt;&gt;0)),1,0)</f>
        <v>0</v>
      </c>
      <c r="S959">
        <f>N(S958)+$R959</f>
        <v>0</v>
      </c>
      <c r="T959">
        <f>IF(AND($K959=1,AND(对接源_01水果!$X959="公司筐",N(对接源_01水果!$V959)&lt;&gt;0)),1,0)</f>
        <v>0</v>
      </c>
      <c r="U959">
        <f>N(U958)+$T959</f>
        <v>47</v>
      </c>
      <c r="V959">
        <f>IF(AND($L959=1,AND(对接源_01水果!$X959="自备筐",N(对接源_01水果!$V959)&lt;&gt;0)),1,0)</f>
        <v>0</v>
      </c>
      <c r="W959">
        <f>N(W958)+$V959</f>
        <v>11</v>
      </c>
      <c r="X959">
        <f>IF(AND($L959=1,AND(对接源_01水果!$X959="自备筐",N(对接源_01水果!$T959)&lt;&gt;0)),1,0)</f>
        <v>0</v>
      </c>
      <c r="Y959">
        <f>N(Y958)+$X959</f>
        <v>0</v>
      </c>
      <c r="Z959">
        <f>IF(AND($M959=1,对接源_01水果!$D959="原料入库"),1,0)</f>
        <v>0</v>
      </c>
      <c r="AA959">
        <f>N(AA958)+$Z959</f>
        <v>24</v>
      </c>
      <c r="AB959">
        <f>IF(AND($M959=1,LEFT(对接源_01水果!$D959,4)="原料出库"),1,0)</f>
        <v>0</v>
      </c>
      <c r="AC959">
        <f>N(AC958)+$AB959</f>
        <v>0</v>
      </c>
      <c r="AD959">
        <f>IF(AND($M959=1,LEFT(对接源_01水果!$D959,4)="成品出库"),1,0)</f>
        <v>0</v>
      </c>
      <c r="AE959">
        <f>N(AE958)+$AD959</f>
        <v>0</v>
      </c>
      <c r="AF959">
        <f>IF(AND($N959=1,AND(LEFT(对接源_01水果!$D959,4)="包装物料",N(对接源_01水果!$K959)&lt;&gt;0)),1,0)</f>
        <v>0</v>
      </c>
      <c r="AG959">
        <f>N(AG958)+$AF959</f>
        <v>0</v>
      </c>
      <c r="AH959">
        <f>IF(AND($N959=1,AND(对接源_01水果!$D959="周转筐－销售出库",N(对接源_01水果!$K959)&lt;&gt;0)),1,0)</f>
        <v>0</v>
      </c>
      <c r="AI959">
        <f>N(AI958)+$AH959</f>
        <v>0</v>
      </c>
      <c r="AJ959" s="7" t="n"/>
      <c r="AL959">
        <f>IF(OR($AL$1="",对接源_01水果!$Y959="",对接源_01水果!$Y959&lt;&gt;$AL$1,对接源_01水果!$B959="",N(对接源_01水果!$AJ959)&lt;=0),0,IF(OR(N(对接源_01水果!$B959)&lt;$AL$2,N(对接源_01水果!$B959)&gt;$AL$3),0,1))</f>
        <v>0</v>
      </c>
      <c r="AM959">
        <f>N(AM958)+$AL959</f>
        <v>2</v>
      </c>
      <c r="AN959">
        <f>IF(对接源_01水果!$AC959="","",对接源_01水果!$AC959)</f>
      </c>
      <c r="AO959">
        <f>IF(AN959="",0,IF(MATCH(AN959,$AN$4:$AN$1203,0)=ROW()-3,1,0))</f>
        <v>0</v>
      </c>
      <c r="AP959">
        <f>N(AP958)+$AO959</f>
        <v>13</v>
      </c>
      <c r="AR959">
        <f>IF(OR($AF959=1,$AH959=1),1,0)</f>
        <v>0</v>
      </c>
      <c r="AS959">
        <f>N(AS958)+$AR959</f>
        <v>0</v>
      </c>
    </row>
    <row r="960" ht="14.25" customHeight="1" s="127">
      <c r="A960">
        <f>IF(对接源_01水果!$C960="","",对接源_01水果!$C960)</f>
      </c>
      <c r="B960">
        <f>IF(A960="",0,IF(MATCH(A960,$A$4:$A$2403,0)=ROW()-3,1,0))</f>
        <v>0</v>
      </c>
      <c r="C960">
        <f>N(C959)+B960</f>
        <v>22</v>
      </c>
      <c r="K960">
        <f>IF(OR($K$1="",对接源_01水果!$C960="",对接源_01水果!$C960&lt;&gt;$K$1,对接源_01水果!$B960=""),0,IF(OR(N(对接源_01水果!$B960)&lt;$K$2,N(对接源_01水果!$B960)&gt;$K$3),0,1))</f>
        <v>0</v>
      </c>
      <c r="L960">
        <f>IF(OR($L$1="",对接源_01水果!$C960="",对接源_01水果!$C960&lt;&gt;$L$1,对接源_01水果!$B960=""),0,IF(OR(N(对接源_01水果!$B960)&lt;$L$2,N(对接源_01水果!$B960)&gt;$L$3),0,1))</f>
        <v>0</v>
      </c>
      <c r="M960">
        <f>IF(OR($M$1="",对接源_01水果!$C960="",对接源_01水果!$C960&lt;&gt;$M$1,对接源_01水果!$B960=""),0,IF(OR(N(对接源_01水果!$B960)&lt;$M$2,N(对接源_01水果!$B960)&gt;$M$3),0,1))</f>
        <v>0</v>
      </c>
      <c r="N960">
        <f>IF(OR($N$1="",对接源_01水果!$C960="",对接源_01水果!$C960&lt;&gt;$N$1,对接源_01水果!$B960=""),0,IF(OR(N(对接源_01水果!$B960)&lt;$N$2,N(对接源_01水果!$B960)&gt;$N$3),0,1))</f>
        <v>0</v>
      </c>
      <c r="P960">
        <f>IF(AND($K960=1,AND(对接源_01水果!$X960="公司筐",N(对接源_01水果!$T960)&lt;&gt;0)),1,0)</f>
        <v>0</v>
      </c>
      <c r="Q960">
        <f>N(Q959)+$P960</f>
        <v>0</v>
      </c>
      <c r="R960">
        <f>IF(AND($K960=1,AND(对接源_01水果!$X960="公司筐",N(对接源_01水果!$U960)&lt;&gt;0)),1,0)</f>
        <v>0</v>
      </c>
      <c r="S960">
        <f>N(S959)+$R960</f>
        <v>0</v>
      </c>
      <c r="T960">
        <f>IF(AND($K960=1,AND(对接源_01水果!$X960="公司筐",N(对接源_01水果!$V960)&lt;&gt;0)),1,0)</f>
        <v>0</v>
      </c>
      <c r="U960">
        <f>N(U959)+$T960</f>
        <v>47</v>
      </c>
      <c r="V960">
        <f>IF(AND($L960=1,AND(对接源_01水果!$X960="自备筐",N(对接源_01水果!$V960)&lt;&gt;0)),1,0)</f>
        <v>0</v>
      </c>
      <c r="W960">
        <f>N(W959)+$V960</f>
        <v>11</v>
      </c>
      <c r="X960">
        <f>IF(AND($L960=1,AND(对接源_01水果!$X960="自备筐",N(对接源_01水果!$T960)&lt;&gt;0)),1,0)</f>
        <v>0</v>
      </c>
      <c r="Y960">
        <f>N(Y959)+$X960</f>
        <v>0</v>
      </c>
      <c r="Z960">
        <f>IF(AND($M960=1,对接源_01水果!$D960="原料入库"),1,0)</f>
        <v>0</v>
      </c>
      <c r="AA960">
        <f>N(AA959)+$Z960</f>
        <v>24</v>
      </c>
      <c r="AB960">
        <f>IF(AND($M960=1,LEFT(对接源_01水果!$D960,4)="原料出库"),1,0)</f>
        <v>0</v>
      </c>
      <c r="AC960">
        <f>N(AC959)+$AB960</f>
        <v>0</v>
      </c>
      <c r="AD960">
        <f>IF(AND($M960=1,LEFT(对接源_01水果!$D960,4)="成品出库"),1,0)</f>
        <v>0</v>
      </c>
      <c r="AE960">
        <f>N(AE959)+$AD960</f>
        <v>0</v>
      </c>
      <c r="AF960">
        <f>IF(AND($N960=1,AND(LEFT(对接源_01水果!$D960,4)="包装物料",N(对接源_01水果!$K960)&lt;&gt;0)),1,0)</f>
        <v>0</v>
      </c>
      <c r="AG960">
        <f>N(AG959)+$AF960</f>
        <v>0</v>
      </c>
      <c r="AH960">
        <f>IF(AND($N960=1,AND(对接源_01水果!$D960="周转筐－销售出库",N(对接源_01水果!$K960)&lt;&gt;0)),1,0)</f>
        <v>0</v>
      </c>
      <c r="AI960">
        <f>N(AI959)+$AH960</f>
        <v>0</v>
      </c>
      <c r="AJ960" s="7" t="n"/>
      <c r="AL960">
        <f>IF(OR($AL$1="",对接源_01水果!$Y960="",对接源_01水果!$Y960&lt;&gt;$AL$1,对接源_01水果!$B960="",N(对接源_01水果!$AJ960)&lt;=0),0,IF(OR(N(对接源_01水果!$B960)&lt;$AL$2,N(对接源_01水果!$B960)&gt;$AL$3),0,1))</f>
        <v>0</v>
      </c>
      <c r="AM960">
        <f>N(AM959)+$AL960</f>
        <v>2</v>
      </c>
      <c r="AN960">
        <f>IF(对接源_01水果!$AC960="","",对接源_01水果!$AC960)</f>
      </c>
      <c r="AO960">
        <f>IF(AN960="",0,IF(MATCH(AN960,$AN$4:$AN$1203,0)=ROW()-3,1,0))</f>
        <v>0</v>
      </c>
      <c r="AP960">
        <f>N(AP959)+$AO960</f>
        <v>13</v>
      </c>
      <c r="AR960">
        <f>IF(OR($AF960=1,$AH960=1),1,0)</f>
        <v>0</v>
      </c>
      <c r="AS960">
        <f>N(AS959)+$AR960</f>
        <v>0</v>
      </c>
    </row>
    <row r="961" ht="14.25" customHeight="1" s="127">
      <c r="A961">
        <f>IF(对接源_01水果!$C961="","",对接源_01水果!$C961)</f>
      </c>
      <c r="B961">
        <f>IF(A961="",0,IF(MATCH(A961,$A$4:$A$2403,0)=ROW()-3,1,0))</f>
        <v>0</v>
      </c>
      <c r="C961">
        <f>N(C960)+B961</f>
        <v>22</v>
      </c>
      <c r="K961">
        <f>IF(OR($K$1="",对接源_01水果!$C961="",对接源_01水果!$C961&lt;&gt;$K$1,对接源_01水果!$B961=""),0,IF(OR(N(对接源_01水果!$B961)&lt;$K$2,N(对接源_01水果!$B961)&gt;$K$3),0,1))</f>
        <v>0</v>
      </c>
      <c r="L961">
        <f>IF(OR($L$1="",对接源_01水果!$C961="",对接源_01水果!$C961&lt;&gt;$L$1,对接源_01水果!$B961=""),0,IF(OR(N(对接源_01水果!$B961)&lt;$L$2,N(对接源_01水果!$B961)&gt;$L$3),0,1))</f>
        <v>0</v>
      </c>
      <c r="M961">
        <f>IF(OR($M$1="",对接源_01水果!$C961="",对接源_01水果!$C961&lt;&gt;$M$1,对接源_01水果!$B961=""),0,IF(OR(N(对接源_01水果!$B961)&lt;$M$2,N(对接源_01水果!$B961)&gt;$M$3),0,1))</f>
        <v>0</v>
      </c>
      <c r="N961">
        <f>IF(OR($N$1="",对接源_01水果!$C961="",对接源_01水果!$C961&lt;&gt;$N$1,对接源_01水果!$B961=""),0,IF(OR(N(对接源_01水果!$B961)&lt;$N$2,N(对接源_01水果!$B961)&gt;$N$3),0,1))</f>
        <v>0</v>
      </c>
      <c r="P961">
        <f>IF(AND($K961=1,AND(对接源_01水果!$X961="公司筐",N(对接源_01水果!$T961)&lt;&gt;0)),1,0)</f>
        <v>0</v>
      </c>
      <c r="Q961">
        <f>N(Q960)+$P961</f>
        <v>0</v>
      </c>
      <c r="R961">
        <f>IF(AND($K961=1,AND(对接源_01水果!$X961="公司筐",N(对接源_01水果!$U961)&lt;&gt;0)),1,0)</f>
        <v>0</v>
      </c>
      <c r="S961">
        <f>N(S960)+$R961</f>
        <v>0</v>
      </c>
      <c r="T961">
        <f>IF(AND($K961=1,AND(对接源_01水果!$X961="公司筐",N(对接源_01水果!$V961)&lt;&gt;0)),1,0)</f>
        <v>0</v>
      </c>
      <c r="U961">
        <f>N(U960)+$T961</f>
        <v>47</v>
      </c>
      <c r="V961">
        <f>IF(AND($L961=1,AND(对接源_01水果!$X961="自备筐",N(对接源_01水果!$V961)&lt;&gt;0)),1,0)</f>
        <v>0</v>
      </c>
      <c r="W961">
        <f>N(W960)+$V961</f>
        <v>11</v>
      </c>
      <c r="X961">
        <f>IF(AND($L961=1,AND(对接源_01水果!$X961="自备筐",N(对接源_01水果!$T961)&lt;&gt;0)),1,0)</f>
        <v>0</v>
      </c>
      <c r="Y961">
        <f>N(Y960)+$X961</f>
        <v>0</v>
      </c>
      <c r="Z961">
        <f>IF(AND($M961=1,对接源_01水果!$D961="原料入库"),1,0)</f>
        <v>0</v>
      </c>
      <c r="AA961">
        <f>N(AA960)+$Z961</f>
        <v>24</v>
      </c>
      <c r="AB961">
        <f>IF(AND($M961=1,LEFT(对接源_01水果!$D961,4)="原料出库"),1,0)</f>
        <v>0</v>
      </c>
      <c r="AC961">
        <f>N(AC960)+$AB961</f>
        <v>0</v>
      </c>
      <c r="AD961">
        <f>IF(AND($M961=1,LEFT(对接源_01水果!$D961,4)="成品出库"),1,0)</f>
        <v>0</v>
      </c>
      <c r="AE961">
        <f>N(AE960)+$AD961</f>
        <v>0</v>
      </c>
      <c r="AF961">
        <f>IF(AND($N961=1,AND(LEFT(对接源_01水果!$D961,4)="包装物料",N(对接源_01水果!$K961)&lt;&gt;0)),1,0)</f>
        <v>0</v>
      </c>
      <c r="AG961">
        <f>N(AG960)+$AF961</f>
        <v>0</v>
      </c>
      <c r="AH961">
        <f>IF(AND($N961=1,AND(对接源_01水果!$D961="周转筐－销售出库",N(对接源_01水果!$K961)&lt;&gt;0)),1,0)</f>
        <v>0</v>
      </c>
      <c r="AI961">
        <f>N(AI960)+$AH961</f>
        <v>0</v>
      </c>
      <c r="AJ961" s="7" t="n"/>
      <c r="AL961">
        <f>IF(OR($AL$1="",对接源_01水果!$Y961="",对接源_01水果!$Y961&lt;&gt;$AL$1,对接源_01水果!$B961="",N(对接源_01水果!$AJ961)&lt;=0),0,IF(OR(N(对接源_01水果!$B961)&lt;$AL$2,N(对接源_01水果!$B961)&gt;$AL$3),0,1))</f>
        <v>0</v>
      </c>
      <c r="AM961">
        <f>N(AM960)+$AL961</f>
        <v>2</v>
      </c>
      <c r="AN961">
        <f>IF(对接源_01水果!$AC961="","",对接源_01水果!$AC961)</f>
      </c>
      <c r="AO961">
        <f>IF(AN961="",0,IF(MATCH(AN961,$AN$4:$AN$1203,0)=ROW()-3,1,0))</f>
        <v>0</v>
      </c>
      <c r="AP961">
        <f>N(AP960)+$AO961</f>
        <v>13</v>
      </c>
      <c r="AR961">
        <f>IF(OR($AF961=1,$AH961=1),1,0)</f>
        <v>0</v>
      </c>
      <c r="AS961">
        <f>N(AS960)+$AR961</f>
        <v>0</v>
      </c>
    </row>
    <row r="962" ht="14.25" customHeight="1" s="127">
      <c r="A962">
        <f>IF(对接源_01水果!$C962="","",对接源_01水果!$C962)</f>
      </c>
      <c r="B962">
        <f>IF(A962="",0,IF(MATCH(A962,$A$4:$A$2403,0)=ROW()-3,1,0))</f>
        <v>0</v>
      </c>
      <c r="C962">
        <f>N(C961)+B962</f>
        <v>22</v>
      </c>
      <c r="K962">
        <f>IF(OR($K$1="",对接源_01水果!$C962="",对接源_01水果!$C962&lt;&gt;$K$1,对接源_01水果!$B962=""),0,IF(OR(N(对接源_01水果!$B962)&lt;$K$2,N(对接源_01水果!$B962)&gt;$K$3),0,1))</f>
        <v>0</v>
      </c>
      <c r="L962">
        <f>IF(OR($L$1="",对接源_01水果!$C962="",对接源_01水果!$C962&lt;&gt;$L$1,对接源_01水果!$B962=""),0,IF(OR(N(对接源_01水果!$B962)&lt;$L$2,N(对接源_01水果!$B962)&gt;$L$3),0,1))</f>
        <v>0</v>
      </c>
      <c r="M962">
        <f>IF(OR($M$1="",对接源_01水果!$C962="",对接源_01水果!$C962&lt;&gt;$M$1,对接源_01水果!$B962=""),0,IF(OR(N(对接源_01水果!$B962)&lt;$M$2,N(对接源_01水果!$B962)&gt;$M$3),0,1))</f>
        <v>0</v>
      </c>
      <c r="N962">
        <f>IF(OR($N$1="",对接源_01水果!$C962="",对接源_01水果!$C962&lt;&gt;$N$1,对接源_01水果!$B962=""),0,IF(OR(N(对接源_01水果!$B962)&lt;$N$2,N(对接源_01水果!$B962)&gt;$N$3),0,1))</f>
        <v>0</v>
      </c>
      <c r="P962">
        <f>IF(AND($K962=1,AND(对接源_01水果!$X962="公司筐",N(对接源_01水果!$T962)&lt;&gt;0)),1,0)</f>
        <v>0</v>
      </c>
      <c r="Q962">
        <f>N(Q961)+$P962</f>
        <v>0</v>
      </c>
      <c r="R962">
        <f>IF(AND($K962=1,AND(对接源_01水果!$X962="公司筐",N(对接源_01水果!$U962)&lt;&gt;0)),1,0)</f>
        <v>0</v>
      </c>
      <c r="S962">
        <f>N(S961)+$R962</f>
        <v>0</v>
      </c>
      <c r="T962">
        <f>IF(AND($K962=1,AND(对接源_01水果!$X962="公司筐",N(对接源_01水果!$V962)&lt;&gt;0)),1,0)</f>
        <v>0</v>
      </c>
      <c r="U962">
        <f>N(U961)+$T962</f>
        <v>47</v>
      </c>
      <c r="V962">
        <f>IF(AND($L962=1,AND(对接源_01水果!$X962="自备筐",N(对接源_01水果!$V962)&lt;&gt;0)),1,0)</f>
        <v>0</v>
      </c>
      <c r="W962">
        <f>N(W961)+$V962</f>
        <v>11</v>
      </c>
      <c r="X962">
        <f>IF(AND($L962=1,AND(对接源_01水果!$X962="自备筐",N(对接源_01水果!$T962)&lt;&gt;0)),1,0)</f>
        <v>0</v>
      </c>
      <c r="Y962">
        <f>N(Y961)+$X962</f>
        <v>0</v>
      </c>
      <c r="Z962">
        <f>IF(AND($M962=1,对接源_01水果!$D962="原料入库"),1,0)</f>
        <v>0</v>
      </c>
      <c r="AA962">
        <f>N(AA961)+$Z962</f>
        <v>24</v>
      </c>
      <c r="AB962">
        <f>IF(AND($M962=1,LEFT(对接源_01水果!$D962,4)="原料出库"),1,0)</f>
        <v>0</v>
      </c>
      <c r="AC962">
        <f>N(AC961)+$AB962</f>
        <v>0</v>
      </c>
      <c r="AD962">
        <f>IF(AND($M962=1,LEFT(对接源_01水果!$D962,4)="成品出库"),1,0)</f>
        <v>0</v>
      </c>
      <c r="AE962">
        <f>N(AE961)+$AD962</f>
        <v>0</v>
      </c>
      <c r="AF962">
        <f>IF(AND($N962=1,AND(LEFT(对接源_01水果!$D962,4)="包装物料",N(对接源_01水果!$K962)&lt;&gt;0)),1,0)</f>
        <v>0</v>
      </c>
      <c r="AG962">
        <f>N(AG961)+$AF962</f>
        <v>0</v>
      </c>
      <c r="AH962">
        <f>IF(AND($N962=1,AND(对接源_01水果!$D962="周转筐－销售出库",N(对接源_01水果!$K962)&lt;&gt;0)),1,0)</f>
        <v>0</v>
      </c>
      <c r="AI962">
        <f>N(AI961)+$AH962</f>
        <v>0</v>
      </c>
      <c r="AJ962" s="7" t="n"/>
      <c r="AL962">
        <f>IF(OR($AL$1="",对接源_01水果!$Y962="",对接源_01水果!$Y962&lt;&gt;$AL$1,对接源_01水果!$B962="",N(对接源_01水果!$AJ962)&lt;=0),0,IF(OR(N(对接源_01水果!$B962)&lt;$AL$2,N(对接源_01水果!$B962)&gt;$AL$3),0,1))</f>
        <v>0</v>
      </c>
      <c r="AM962">
        <f>N(AM961)+$AL962</f>
        <v>2</v>
      </c>
      <c r="AN962">
        <f>IF(对接源_01水果!$AC962="","",对接源_01水果!$AC962)</f>
      </c>
      <c r="AO962">
        <f>IF(AN962="",0,IF(MATCH(AN962,$AN$4:$AN$1203,0)=ROW()-3,1,0))</f>
        <v>0</v>
      </c>
      <c r="AP962">
        <f>N(AP961)+$AO962</f>
        <v>13</v>
      </c>
      <c r="AR962">
        <f>IF(OR($AF962=1,$AH962=1),1,0)</f>
        <v>0</v>
      </c>
      <c r="AS962">
        <f>N(AS961)+$AR962</f>
        <v>0</v>
      </c>
    </row>
    <row r="963" ht="14.25" customHeight="1" s="127">
      <c r="A963">
        <f>IF(对接源_01水果!$C963="","",对接源_01水果!$C963)</f>
      </c>
      <c r="B963">
        <f>IF(A963="",0,IF(MATCH(A963,$A$4:$A$2403,0)=ROW()-3,1,0))</f>
        <v>0</v>
      </c>
      <c r="C963">
        <f>N(C962)+B963</f>
        <v>22</v>
      </c>
      <c r="K963">
        <f>IF(OR($K$1="",对接源_01水果!$C963="",对接源_01水果!$C963&lt;&gt;$K$1,对接源_01水果!$B963=""),0,IF(OR(N(对接源_01水果!$B963)&lt;$K$2,N(对接源_01水果!$B963)&gt;$K$3),0,1))</f>
        <v>0</v>
      </c>
      <c r="L963">
        <f>IF(OR($L$1="",对接源_01水果!$C963="",对接源_01水果!$C963&lt;&gt;$L$1,对接源_01水果!$B963=""),0,IF(OR(N(对接源_01水果!$B963)&lt;$L$2,N(对接源_01水果!$B963)&gt;$L$3),0,1))</f>
        <v>0</v>
      </c>
      <c r="M963">
        <f>IF(OR($M$1="",对接源_01水果!$C963="",对接源_01水果!$C963&lt;&gt;$M$1,对接源_01水果!$B963=""),0,IF(OR(N(对接源_01水果!$B963)&lt;$M$2,N(对接源_01水果!$B963)&gt;$M$3),0,1))</f>
        <v>0</v>
      </c>
      <c r="N963">
        <f>IF(OR($N$1="",对接源_01水果!$C963="",对接源_01水果!$C963&lt;&gt;$N$1,对接源_01水果!$B963=""),0,IF(OR(N(对接源_01水果!$B963)&lt;$N$2,N(对接源_01水果!$B963)&gt;$N$3),0,1))</f>
        <v>0</v>
      </c>
      <c r="P963">
        <f>IF(AND($K963=1,AND(对接源_01水果!$X963="公司筐",N(对接源_01水果!$T963)&lt;&gt;0)),1,0)</f>
        <v>0</v>
      </c>
      <c r="Q963">
        <f>N(Q962)+$P963</f>
        <v>0</v>
      </c>
      <c r="R963">
        <f>IF(AND($K963=1,AND(对接源_01水果!$X963="公司筐",N(对接源_01水果!$U963)&lt;&gt;0)),1,0)</f>
        <v>0</v>
      </c>
      <c r="S963">
        <f>N(S962)+$R963</f>
        <v>0</v>
      </c>
      <c r="T963">
        <f>IF(AND($K963=1,AND(对接源_01水果!$X963="公司筐",N(对接源_01水果!$V963)&lt;&gt;0)),1,0)</f>
        <v>0</v>
      </c>
      <c r="U963">
        <f>N(U962)+$T963</f>
        <v>47</v>
      </c>
      <c r="V963">
        <f>IF(AND($L963=1,AND(对接源_01水果!$X963="自备筐",N(对接源_01水果!$V963)&lt;&gt;0)),1,0)</f>
        <v>0</v>
      </c>
      <c r="W963">
        <f>N(W962)+$V963</f>
        <v>11</v>
      </c>
      <c r="X963">
        <f>IF(AND($L963=1,AND(对接源_01水果!$X963="自备筐",N(对接源_01水果!$T963)&lt;&gt;0)),1,0)</f>
        <v>0</v>
      </c>
      <c r="Y963">
        <f>N(Y962)+$X963</f>
        <v>0</v>
      </c>
      <c r="Z963">
        <f>IF(AND($M963=1,对接源_01水果!$D963="原料入库"),1,0)</f>
        <v>0</v>
      </c>
      <c r="AA963">
        <f>N(AA962)+$Z963</f>
        <v>24</v>
      </c>
      <c r="AB963">
        <f>IF(AND($M963=1,LEFT(对接源_01水果!$D963,4)="原料出库"),1,0)</f>
        <v>0</v>
      </c>
      <c r="AC963">
        <f>N(AC962)+$AB963</f>
        <v>0</v>
      </c>
      <c r="AD963">
        <f>IF(AND($M963=1,LEFT(对接源_01水果!$D963,4)="成品出库"),1,0)</f>
        <v>0</v>
      </c>
      <c r="AE963">
        <f>N(AE962)+$AD963</f>
        <v>0</v>
      </c>
      <c r="AF963">
        <f>IF(AND($N963=1,AND(LEFT(对接源_01水果!$D963,4)="包装物料",N(对接源_01水果!$K963)&lt;&gt;0)),1,0)</f>
        <v>0</v>
      </c>
      <c r="AG963">
        <f>N(AG962)+$AF963</f>
        <v>0</v>
      </c>
      <c r="AH963">
        <f>IF(AND($N963=1,AND(对接源_01水果!$D963="周转筐－销售出库",N(对接源_01水果!$K963)&lt;&gt;0)),1,0)</f>
        <v>0</v>
      </c>
      <c r="AI963">
        <f>N(AI962)+$AH963</f>
        <v>0</v>
      </c>
      <c r="AJ963" s="7" t="n"/>
      <c r="AL963">
        <f>IF(OR($AL$1="",对接源_01水果!$Y963="",对接源_01水果!$Y963&lt;&gt;$AL$1,对接源_01水果!$B963="",N(对接源_01水果!$AJ963)&lt;=0),0,IF(OR(N(对接源_01水果!$B963)&lt;$AL$2,N(对接源_01水果!$B963)&gt;$AL$3),0,1))</f>
        <v>0</v>
      </c>
      <c r="AM963">
        <f>N(AM962)+$AL963</f>
        <v>2</v>
      </c>
      <c r="AN963">
        <f>IF(对接源_01水果!$AC963="","",对接源_01水果!$AC963)</f>
      </c>
      <c r="AO963">
        <f>IF(AN963="",0,IF(MATCH(AN963,$AN$4:$AN$1203,0)=ROW()-3,1,0))</f>
        <v>0</v>
      </c>
      <c r="AP963">
        <f>N(AP962)+$AO963</f>
        <v>13</v>
      </c>
      <c r="AR963">
        <f>IF(OR($AF963=1,$AH963=1),1,0)</f>
        <v>0</v>
      </c>
      <c r="AS963">
        <f>N(AS962)+$AR963</f>
        <v>0</v>
      </c>
    </row>
    <row r="964" ht="14.25" customHeight="1" s="127">
      <c r="A964">
        <f>IF(对接源_01水果!$C964="","",对接源_01水果!$C964)</f>
      </c>
      <c r="B964">
        <f>IF(A964="",0,IF(MATCH(A964,$A$4:$A$2403,0)=ROW()-3,1,0))</f>
        <v>0</v>
      </c>
      <c r="C964">
        <f>N(C963)+B964</f>
        <v>22</v>
      </c>
      <c r="K964">
        <f>IF(OR($K$1="",对接源_01水果!$C964="",对接源_01水果!$C964&lt;&gt;$K$1,对接源_01水果!$B964=""),0,IF(OR(N(对接源_01水果!$B964)&lt;$K$2,N(对接源_01水果!$B964)&gt;$K$3),0,1))</f>
        <v>0</v>
      </c>
      <c r="L964">
        <f>IF(OR($L$1="",对接源_01水果!$C964="",对接源_01水果!$C964&lt;&gt;$L$1,对接源_01水果!$B964=""),0,IF(OR(N(对接源_01水果!$B964)&lt;$L$2,N(对接源_01水果!$B964)&gt;$L$3),0,1))</f>
        <v>0</v>
      </c>
      <c r="M964">
        <f>IF(OR($M$1="",对接源_01水果!$C964="",对接源_01水果!$C964&lt;&gt;$M$1,对接源_01水果!$B964=""),0,IF(OR(N(对接源_01水果!$B964)&lt;$M$2,N(对接源_01水果!$B964)&gt;$M$3),0,1))</f>
        <v>0</v>
      </c>
      <c r="N964">
        <f>IF(OR($N$1="",对接源_01水果!$C964="",对接源_01水果!$C964&lt;&gt;$N$1,对接源_01水果!$B964=""),0,IF(OR(N(对接源_01水果!$B964)&lt;$N$2,N(对接源_01水果!$B964)&gt;$N$3),0,1))</f>
        <v>0</v>
      </c>
      <c r="P964">
        <f>IF(AND($K964=1,AND(对接源_01水果!$X964="公司筐",N(对接源_01水果!$T964)&lt;&gt;0)),1,0)</f>
        <v>0</v>
      </c>
      <c r="Q964">
        <f>N(Q963)+$P964</f>
        <v>0</v>
      </c>
      <c r="R964">
        <f>IF(AND($K964=1,AND(对接源_01水果!$X964="公司筐",N(对接源_01水果!$U964)&lt;&gt;0)),1,0)</f>
        <v>0</v>
      </c>
      <c r="S964">
        <f>N(S963)+$R964</f>
        <v>0</v>
      </c>
      <c r="T964">
        <f>IF(AND($K964=1,AND(对接源_01水果!$X964="公司筐",N(对接源_01水果!$V964)&lt;&gt;0)),1,0)</f>
        <v>0</v>
      </c>
      <c r="U964">
        <f>N(U963)+$T964</f>
        <v>47</v>
      </c>
      <c r="V964">
        <f>IF(AND($L964=1,AND(对接源_01水果!$X964="自备筐",N(对接源_01水果!$V964)&lt;&gt;0)),1,0)</f>
        <v>0</v>
      </c>
      <c r="W964">
        <f>N(W963)+$V964</f>
        <v>11</v>
      </c>
      <c r="X964">
        <f>IF(AND($L964=1,AND(对接源_01水果!$X964="自备筐",N(对接源_01水果!$T964)&lt;&gt;0)),1,0)</f>
        <v>0</v>
      </c>
      <c r="Y964">
        <f>N(Y963)+$X964</f>
        <v>0</v>
      </c>
      <c r="Z964">
        <f>IF(AND($M964=1,对接源_01水果!$D964="原料入库"),1,0)</f>
        <v>0</v>
      </c>
      <c r="AA964">
        <f>N(AA963)+$Z964</f>
        <v>24</v>
      </c>
      <c r="AB964">
        <f>IF(AND($M964=1,LEFT(对接源_01水果!$D964,4)="原料出库"),1,0)</f>
        <v>0</v>
      </c>
      <c r="AC964">
        <f>N(AC963)+$AB964</f>
        <v>0</v>
      </c>
      <c r="AD964">
        <f>IF(AND($M964=1,LEFT(对接源_01水果!$D964,4)="成品出库"),1,0)</f>
        <v>0</v>
      </c>
      <c r="AE964">
        <f>N(AE963)+$AD964</f>
        <v>0</v>
      </c>
      <c r="AF964">
        <f>IF(AND($N964=1,AND(LEFT(对接源_01水果!$D964,4)="包装物料",N(对接源_01水果!$K964)&lt;&gt;0)),1,0)</f>
        <v>0</v>
      </c>
      <c r="AG964">
        <f>N(AG963)+$AF964</f>
        <v>0</v>
      </c>
      <c r="AH964">
        <f>IF(AND($N964=1,AND(对接源_01水果!$D964="周转筐－销售出库",N(对接源_01水果!$K964)&lt;&gt;0)),1,0)</f>
        <v>0</v>
      </c>
      <c r="AI964">
        <f>N(AI963)+$AH964</f>
        <v>0</v>
      </c>
      <c r="AJ964" s="7" t="n"/>
      <c r="AL964">
        <f>IF(OR($AL$1="",对接源_01水果!$Y964="",对接源_01水果!$Y964&lt;&gt;$AL$1,对接源_01水果!$B964="",N(对接源_01水果!$AJ964)&lt;=0),0,IF(OR(N(对接源_01水果!$B964)&lt;$AL$2,N(对接源_01水果!$B964)&gt;$AL$3),0,1))</f>
        <v>0</v>
      </c>
      <c r="AM964">
        <f>N(AM963)+$AL964</f>
        <v>2</v>
      </c>
      <c r="AN964">
        <f>IF(对接源_01水果!$AC964="","",对接源_01水果!$AC964)</f>
      </c>
      <c r="AO964">
        <f>IF(AN964="",0,IF(MATCH(AN964,$AN$4:$AN$1203,0)=ROW()-3,1,0))</f>
        <v>0</v>
      </c>
      <c r="AP964">
        <f>N(AP963)+$AO964</f>
        <v>13</v>
      </c>
      <c r="AR964">
        <f>IF(OR($AF964=1,$AH964=1),1,0)</f>
        <v>0</v>
      </c>
      <c r="AS964">
        <f>N(AS963)+$AR964</f>
        <v>0</v>
      </c>
    </row>
    <row r="965" ht="14.25" customHeight="1" s="127">
      <c r="A965">
        <f>IF(对接源_01水果!$C965="","",对接源_01水果!$C965)</f>
      </c>
      <c r="B965">
        <f>IF(A965="",0,IF(MATCH(A965,$A$4:$A$2403,0)=ROW()-3,1,0))</f>
        <v>0</v>
      </c>
      <c r="C965">
        <f>N(C964)+B965</f>
        <v>22</v>
      </c>
      <c r="K965">
        <f>IF(OR($K$1="",对接源_01水果!$C965="",对接源_01水果!$C965&lt;&gt;$K$1,对接源_01水果!$B965=""),0,IF(OR(N(对接源_01水果!$B965)&lt;$K$2,N(对接源_01水果!$B965)&gt;$K$3),0,1))</f>
        <v>0</v>
      </c>
      <c r="L965">
        <f>IF(OR($L$1="",对接源_01水果!$C965="",对接源_01水果!$C965&lt;&gt;$L$1,对接源_01水果!$B965=""),0,IF(OR(N(对接源_01水果!$B965)&lt;$L$2,N(对接源_01水果!$B965)&gt;$L$3),0,1))</f>
        <v>0</v>
      </c>
      <c r="M965">
        <f>IF(OR($M$1="",对接源_01水果!$C965="",对接源_01水果!$C965&lt;&gt;$M$1,对接源_01水果!$B965=""),0,IF(OR(N(对接源_01水果!$B965)&lt;$M$2,N(对接源_01水果!$B965)&gt;$M$3),0,1))</f>
        <v>0</v>
      </c>
      <c r="N965">
        <f>IF(OR($N$1="",对接源_01水果!$C965="",对接源_01水果!$C965&lt;&gt;$N$1,对接源_01水果!$B965=""),0,IF(OR(N(对接源_01水果!$B965)&lt;$N$2,N(对接源_01水果!$B965)&gt;$N$3),0,1))</f>
        <v>0</v>
      </c>
      <c r="P965">
        <f>IF(AND($K965=1,AND(对接源_01水果!$X965="公司筐",N(对接源_01水果!$T965)&lt;&gt;0)),1,0)</f>
        <v>0</v>
      </c>
      <c r="Q965">
        <f>N(Q964)+$P965</f>
        <v>0</v>
      </c>
      <c r="R965">
        <f>IF(AND($K965=1,AND(对接源_01水果!$X965="公司筐",N(对接源_01水果!$U965)&lt;&gt;0)),1,0)</f>
        <v>0</v>
      </c>
      <c r="S965">
        <f>N(S964)+$R965</f>
        <v>0</v>
      </c>
      <c r="T965">
        <f>IF(AND($K965=1,AND(对接源_01水果!$X965="公司筐",N(对接源_01水果!$V965)&lt;&gt;0)),1,0)</f>
        <v>0</v>
      </c>
      <c r="U965">
        <f>N(U964)+$T965</f>
        <v>47</v>
      </c>
      <c r="V965">
        <f>IF(AND($L965=1,AND(对接源_01水果!$X965="自备筐",N(对接源_01水果!$V965)&lt;&gt;0)),1,0)</f>
        <v>0</v>
      </c>
      <c r="W965">
        <f>N(W964)+$V965</f>
        <v>11</v>
      </c>
      <c r="X965">
        <f>IF(AND($L965=1,AND(对接源_01水果!$X965="自备筐",N(对接源_01水果!$T965)&lt;&gt;0)),1,0)</f>
        <v>0</v>
      </c>
      <c r="Y965">
        <f>N(Y964)+$X965</f>
        <v>0</v>
      </c>
      <c r="Z965">
        <f>IF(AND($M965=1,对接源_01水果!$D965="原料入库"),1,0)</f>
        <v>0</v>
      </c>
      <c r="AA965">
        <f>N(AA964)+$Z965</f>
        <v>24</v>
      </c>
      <c r="AB965">
        <f>IF(AND($M965=1,LEFT(对接源_01水果!$D965,4)="原料出库"),1,0)</f>
        <v>0</v>
      </c>
      <c r="AC965">
        <f>N(AC964)+$AB965</f>
        <v>0</v>
      </c>
      <c r="AD965">
        <f>IF(AND($M965=1,LEFT(对接源_01水果!$D965,4)="成品出库"),1,0)</f>
        <v>0</v>
      </c>
      <c r="AE965">
        <f>N(AE964)+$AD965</f>
        <v>0</v>
      </c>
      <c r="AF965">
        <f>IF(AND($N965=1,AND(LEFT(对接源_01水果!$D965,4)="包装物料",N(对接源_01水果!$K965)&lt;&gt;0)),1,0)</f>
        <v>0</v>
      </c>
      <c r="AG965">
        <f>N(AG964)+$AF965</f>
        <v>0</v>
      </c>
      <c r="AH965">
        <f>IF(AND($N965=1,AND(对接源_01水果!$D965="周转筐－销售出库",N(对接源_01水果!$K965)&lt;&gt;0)),1,0)</f>
        <v>0</v>
      </c>
      <c r="AI965">
        <f>N(AI964)+$AH965</f>
        <v>0</v>
      </c>
      <c r="AJ965" s="7" t="n"/>
      <c r="AL965">
        <f>IF(OR($AL$1="",对接源_01水果!$Y965="",对接源_01水果!$Y965&lt;&gt;$AL$1,对接源_01水果!$B965="",N(对接源_01水果!$AJ965)&lt;=0),0,IF(OR(N(对接源_01水果!$B965)&lt;$AL$2,N(对接源_01水果!$B965)&gt;$AL$3),0,1))</f>
        <v>0</v>
      </c>
      <c r="AM965">
        <f>N(AM964)+$AL965</f>
        <v>2</v>
      </c>
      <c r="AN965">
        <f>IF(对接源_01水果!$AC965="","",对接源_01水果!$AC965)</f>
      </c>
      <c r="AO965">
        <f>IF(AN965="",0,IF(MATCH(AN965,$AN$4:$AN$1203,0)=ROW()-3,1,0))</f>
        <v>0</v>
      </c>
      <c r="AP965">
        <f>N(AP964)+$AO965</f>
        <v>13</v>
      </c>
      <c r="AR965">
        <f>IF(OR($AF965=1,$AH965=1),1,0)</f>
        <v>0</v>
      </c>
      <c r="AS965">
        <f>N(AS964)+$AR965</f>
        <v>0</v>
      </c>
    </row>
    <row r="966" ht="14.25" customHeight="1" s="127">
      <c r="A966">
        <f>IF(对接源_01水果!$C966="","",对接源_01水果!$C966)</f>
      </c>
      <c r="B966">
        <f>IF(A966="",0,IF(MATCH(A966,$A$4:$A$2403,0)=ROW()-3,1,0))</f>
        <v>0</v>
      </c>
      <c r="C966">
        <f>N(C965)+B966</f>
        <v>22</v>
      </c>
      <c r="K966">
        <f>IF(OR($K$1="",对接源_01水果!$C966="",对接源_01水果!$C966&lt;&gt;$K$1,对接源_01水果!$B966=""),0,IF(OR(N(对接源_01水果!$B966)&lt;$K$2,N(对接源_01水果!$B966)&gt;$K$3),0,1))</f>
        <v>0</v>
      </c>
      <c r="L966">
        <f>IF(OR($L$1="",对接源_01水果!$C966="",对接源_01水果!$C966&lt;&gt;$L$1,对接源_01水果!$B966=""),0,IF(OR(N(对接源_01水果!$B966)&lt;$L$2,N(对接源_01水果!$B966)&gt;$L$3),0,1))</f>
        <v>0</v>
      </c>
      <c r="M966">
        <f>IF(OR($M$1="",对接源_01水果!$C966="",对接源_01水果!$C966&lt;&gt;$M$1,对接源_01水果!$B966=""),0,IF(OR(N(对接源_01水果!$B966)&lt;$M$2,N(对接源_01水果!$B966)&gt;$M$3),0,1))</f>
        <v>0</v>
      </c>
      <c r="N966">
        <f>IF(OR($N$1="",对接源_01水果!$C966="",对接源_01水果!$C966&lt;&gt;$N$1,对接源_01水果!$B966=""),0,IF(OR(N(对接源_01水果!$B966)&lt;$N$2,N(对接源_01水果!$B966)&gt;$N$3),0,1))</f>
        <v>0</v>
      </c>
      <c r="P966">
        <f>IF(AND($K966=1,AND(对接源_01水果!$X966="公司筐",N(对接源_01水果!$T966)&lt;&gt;0)),1,0)</f>
        <v>0</v>
      </c>
      <c r="Q966">
        <f>N(Q965)+$P966</f>
        <v>0</v>
      </c>
      <c r="R966">
        <f>IF(AND($K966=1,AND(对接源_01水果!$X966="公司筐",N(对接源_01水果!$U966)&lt;&gt;0)),1,0)</f>
        <v>0</v>
      </c>
      <c r="S966">
        <f>N(S965)+$R966</f>
        <v>0</v>
      </c>
      <c r="T966">
        <f>IF(AND($K966=1,AND(对接源_01水果!$X966="公司筐",N(对接源_01水果!$V966)&lt;&gt;0)),1,0)</f>
        <v>0</v>
      </c>
      <c r="U966">
        <f>N(U965)+$T966</f>
        <v>47</v>
      </c>
      <c r="V966">
        <f>IF(AND($L966=1,AND(对接源_01水果!$X966="自备筐",N(对接源_01水果!$V966)&lt;&gt;0)),1,0)</f>
        <v>0</v>
      </c>
      <c r="W966">
        <f>N(W965)+$V966</f>
        <v>11</v>
      </c>
      <c r="X966">
        <f>IF(AND($L966=1,AND(对接源_01水果!$X966="自备筐",N(对接源_01水果!$T966)&lt;&gt;0)),1,0)</f>
        <v>0</v>
      </c>
      <c r="Y966">
        <f>N(Y965)+$X966</f>
        <v>0</v>
      </c>
      <c r="Z966">
        <f>IF(AND($M966=1,对接源_01水果!$D966="原料入库"),1,0)</f>
        <v>0</v>
      </c>
      <c r="AA966">
        <f>N(AA965)+$Z966</f>
        <v>24</v>
      </c>
      <c r="AB966">
        <f>IF(AND($M966=1,LEFT(对接源_01水果!$D966,4)="原料出库"),1,0)</f>
        <v>0</v>
      </c>
      <c r="AC966">
        <f>N(AC965)+$AB966</f>
        <v>0</v>
      </c>
      <c r="AD966">
        <f>IF(AND($M966=1,LEFT(对接源_01水果!$D966,4)="成品出库"),1,0)</f>
        <v>0</v>
      </c>
      <c r="AE966">
        <f>N(AE965)+$AD966</f>
        <v>0</v>
      </c>
      <c r="AF966">
        <f>IF(AND($N966=1,AND(LEFT(对接源_01水果!$D966,4)="包装物料",N(对接源_01水果!$K966)&lt;&gt;0)),1,0)</f>
        <v>0</v>
      </c>
      <c r="AG966">
        <f>N(AG965)+$AF966</f>
        <v>0</v>
      </c>
      <c r="AH966">
        <f>IF(AND($N966=1,AND(对接源_01水果!$D966="周转筐－销售出库",N(对接源_01水果!$K966)&lt;&gt;0)),1,0)</f>
        <v>0</v>
      </c>
      <c r="AI966">
        <f>N(AI965)+$AH966</f>
        <v>0</v>
      </c>
      <c r="AJ966" s="7" t="n"/>
      <c r="AL966">
        <f>IF(OR($AL$1="",对接源_01水果!$Y966="",对接源_01水果!$Y966&lt;&gt;$AL$1,对接源_01水果!$B966="",N(对接源_01水果!$AJ966)&lt;=0),0,IF(OR(N(对接源_01水果!$B966)&lt;$AL$2,N(对接源_01水果!$B966)&gt;$AL$3),0,1))</f>
        <v>0</v>
      </c>
      <c r="AM966">
        <f>N(AM965)+$AL966</f>
        <v>2</v>
      </c>
      <c r="AN966">
        <f>IF(对接源_01水果!$AC966="","",对接源_01水果!$AC966)</f>
      </c>
      <c r="AO966">
        <f>IF(AN966="",0,IF(MATCH(AN966,$AN$4:$AN$1203,0)=ROW()-3,1,0))</f>
        <v>0</v>
      </c>
      <c r="AP966">
        <f>N(AP965)+$AO966</f>
        <v>13</v>
      </c>
      <c r="AR966">
        <f>IF(OR($AF966=1,$AH966=1),1,0)</f>
        <v>0</v>
      </c>
      <c r="AS966">
        <f>N(AS965)+$AR966</f>
        <v>0</v>
      </c>
    </row>
    <row r="967" ht="14.25" customHeight="1" s="127">
      <c r="A967">
        <f>IF(对接源_01水果!$C967="","",对接源_01水果!$C967)</f>
      </c>
      <c r="B967">
        <f>IF(A967="",0,IF(MATCH(A967,$A$4:$A$2403,0)=ROW()-3,1,0))</f>
        <v>0</v>
      </c>
      <c r="C967">
        <f>N(C966)+B967</f>
        <v>22</v>
      </c>
      <c r="K967">
        <f>IF(OR($K$1="",对接源_01水果!$C967="",对接源_01水果!$C967&lt;&gt;$K$1,对接源_01水果!$B967=""),0,IF(OR(N(对接源_01水果!$B967)&lt;$K$2,N(对接源_01水果!$B967)&gt;$K$3),0,1))</f>
        <v>0</v>
      </c>
      <c r="L967">
        <f>IF(OR($L$1="",对接源_01水果!$C967="",对接源_01水果!$C967&lt;&gt;$L$1,对接源_01水果!$B967=""),0,IF(OR(N(对接源_01水果!$B967)&lt;$L$2,N(对接源_01水果!$B967)&gt;$L$3),0,1))</f>
        <v>0</v>
      </c>
      <c r="M967">
        <f>IF(OR($M$1="",对接源_01水果!$C967="",对接源_01水果!$C967&lt;&gt;$M$1,对接源_01水果!$B967=""),0,IF(OR(N(对接源_01水果!$B967)&lt;$M$2,N(对接源_01水果!$B967)&gt;$M$3),0,1))</f>
        <v>0</v>
      </c>
      <c r="N967">
        <f>IF(OR($N$1="",对接源_01水果!$C967="",对接源_01水果!$C967&lt;&gt;$N$1,对接源_01水果!$B967=""),0,IF(OR(N(对接源_01水果!$B967)&lt;$N$2,N(对接源_01水果!$B967)&gt;$N$3),0,1))</f>
        <v>0</v>
      </c>
      <c r="P967">
        <f>IF(AND($K967=1,AND(对接源_01水果!$X967="公司筐",N(对接源_01水果!$T967)&lt;&gt;0)),1,0)</f>
        <v>0</v>
      </c>
      <c r="Q967">
        <f>N(Q966)+$P967</f>
        <v>0</v>
      </c>
      <c r="R967">
        <f>IF(AND($K967=1,AND(对接源_01水果!$X967="公司筐",N(对接源_01水果!$U967)&lt;&gt;0)),1,0)</f>
        <v>0</v>
      </c>
      <c r="S967">
        <f>N(S966)+$R967</f>
        <v>0</v>
      </c>
      <c r="T967">
        <f>IF(AND($K967=1,AND(对接源_01水果!$X967="公司筐",N(对接源_01水果!$V967)&lt;&gt;0)),1,0)</f>
        <v>0</v>
      </c>
      <c r="U967">
        <f>N(U966)+$T967</f>
        <v>47</v>
      </c>
      <c r="V967">
        <f>IF(AND($L967=1,AND(对接源_01水果!$X967="自备筐",N(对接源_01水果!$V967)&lt;&gt;0)),1,0)</f>
        <v>0</v>
      </c>
      <c r="W967">
        <f>N(W966)+$V967</f>
        <v>11</v>
      </c>
      <c r="X967">
        <f>IF(AND($L967=1,AND(对接源_01水果!$X967="自备筐",N(对接源_01水果!$T967)&lt;&gt;0)),1,0)</f>
        <v>0</v>
      </c>
      <c r="Y967">
        <f>N(Y966)+$X967</f>
        <v>0</v>
      </c>
      <c r="Z967">
        <f>IF(AND($M967=1,对接源_01水果!$D967="原料入库"),1,0)</f>
        <v>0</v>
      </c>
      <c r="AA967">
        <f>N(AA966)+$Z967</f>
        <v>24</v>
      </c>
      <c r="AB967">
        <f>IF(AND($M967=1,LEFT(对接源_01水果!$D967,4)="原料出库"),1,0)</f>
        <v>0</v>
      </c>
      <c r="AC967">
        <f>N(AC966)+$AB967</f>
        <v>0</v>
      </c>
      <c r="AD967">
        <f>IF(AND($M967=1,LEFT(对接源_01水果!$D967,4)="成品出库"),1,0)</f>
        <v>0</v>
      </c>
      <c r="AE967">
        <f>N(AE966)+$AD967</f>
        <v>0</v>
      </c>
      <c r="AF967">
        <f>IF(AND($N967=1,AND(LEFT(对接源_01水果!$D967,4)="包装物料",N(对接源_01水果!$K967)&lt;&gt;0)),1,0)</f>
        <v>0</v>
      </c>
      <c r="AG967">
        <f>N(AG966)+$AF967</f>
        <v>0</v>
      </c>
      <c r="AH967">
        <f>IF(AND($N967=1,AND(对接源_01水果!$D967="周转筐－销售出库",N(对接源_01水果!$K967)&lt;&gt;0)),1,0)</f>
        <v>0</v>
      </c>
      <c r="AI967">
        <f>N(AI966)+$AH967</f>
        <v>0</v>
      </c>
      <c r="AJ967" s="7" t="n"/>
      <c r="AL967">
        <f>IF(OR($AL$1="",对接源_01水果!$Y967="",对接源_01水果!$Y967&lt;&gt;$AL$1,对接源_01水果!$B967="",N(对接源_01水果!$AJ967)&lt;=0),0,IF(OR(N(对接源_01水果!$B967)&lt;$AL$2,N(对接源_01水果!$B967)&gt;$AL$3),0,1))</f>
        <v>0</v>
      </c>
      <c r="AM967">
        <f>N(AM966)+$AL967</f>
        <v>2</v>
      </c>
      <c r="AN967">
        <f>IF(对接源_01水果!$AC967="","",对接源_01水果!$AC967)</f>
      </c>
      <c r="AO967">
        <f>IF(AN967="",0,IF(MATCH(AN967,$AN$4:$AN$1203,0)=ROW()-3,1,0))</f>
        <v>0</v>
      </c>
      <c r="AP967">
        <f>N(AP966)+$AO967</f>
        <v>13</v>
      </c>
      <c r="AR967">
        <f>IF(OR($AF967=1,$AH967=1),1,0)</f>
        <v>0</v>
      </c>
      <c r="AS967">
        <f>N(AS966)+$AR967</f>
        <v>0</v>
      </c>
    </row>
    <row r="968" ht="14.25" customHeight="1" s="127">
      <c r="A968">
        <f>IF(对接源_01水果!$C968="","",对接源_01水果!$C968)</f>
      </c>
      <c r="B968">
        <f>IF(A968="",0,IF(MATCH(A968,$A$4:$A$2403,0)=ROW()-3,1,0))</f>
        <v>0</v>
      </c>
      <c r="C968">
        <f>N(C967)+B968</f>
        <v>22</v>
      </c>
      <c r="K968">
        <f>IF(OR($K$1="",对接源_01水果!$C968="",对接源_01水果!$C968&lt;&gt;$K$1,对接源_01水果!$B968=""),0,IF(OR(N(对接源_01水果!$B968)&lt;$K$2,N(对接源_01水果!$B968)&gt;$K$3),0,1))</f>
        <v>0</v>
      </c>
      <c r="L968">
        <f>IF(OR($L$1="",对接源_01水果!$C968="",对接源_01水果!$C968&lt;&gt;$L$1,对接源_01水果!$B968=""),0,IF(OR(N(对接源_01水果!$B968)&lt;$L$2,N(对接源_01水果!$B968)&gt;$L$3),0,1))</f>
        <v>0</v>
      </c>
      <c r="M968">
        <f>IF(OR($M$1="",对接源_01水果!$C968="",对接源_01水果!$C968&lt;&gt;$M$1,对接源_01水果!$B968=""),0,IF(OR(N(对接源_01水果!$B968)&lt;$M$2,N(对接源_01水果!$B968)&gt;$M$3),0,1))</f>
        <v>0</v>
      </c>
      <c r="N968">
        <f>IF(OR($N$1="",对接源_01水果!$C968="",对接源_01水果!$C968&lt;&gt;$N$1,对接源_01水果!$B968=""),0,IF(OR(N(对接源_01水果!$B968)&lt;$N$2,N(对接源_01水果!$B968)&gt;$N$3),0,1))</f>
        <v>0</v>
      </c>
      <c r="P968">
        <f>IF(AND($K968=1,AND(对接源_01水果!$X968="公司筐",N(对接源_01水果!$T968)&lt;&gt;0)),1,0)</f>
        <v>0</v>
      </c>
      <c r="Q968">
        <f>N(Q967)+$P968</f>
        <v>0</v>
      </c>
      <c r="R968">
        <f>IF(AND($K968=1,AND(对接源_01水果!$X968="公司筐",N(对接源_01水果!$U968)&lt;&gt;0)),1,0)</f>
        <v>0</v>
      </c>
      <c r="S968">
        <f>N(S967)+$R968</f>
        <v>0</v>
      </c>
      <c r="T968">
        <f>IF(AND($K968=1,AND(对接源_01水果!$X968="公司筐",N(对接源_01水果!$V968)&lt;&gt;0)),1,0)</f>
        <v>0</v>
      </c>
      <c r="U968">
        <f>N(U967)+$T968</f>
        <v>47</v>
      </c>
      <c r="V968">
        <f>IF(AND($L968=1,AND(对接源_01水果!$X968="自备筐",N(对接源_01水果!$V968)&lt;&gt;0)),1,0)</f>
        <v>0</v>
      </c>
      <c r="W968">
        <f>N(W967)+$V968</f>
        <v>11</v>
      </c>
      <c r="X968">
        <f>IF(AND($L968=1,AND(对接源_01水果!$X968="自备筐",N(对接源_01水果!$T968)&lt;&gt;0)),1,0)</f>
        <v>0</v>
      </c>
      <c r="Y968">
        <f>N(Y967)+$X968</f>
        <v>0</v>
      </c>
      <c r="Z968">
        <f>IF(AND($M968=1,对接源_01水果!$D968="原料入库"),1,0)</f>
        <v>0</v>
      </c>
      <c r="AA968">
        <f>N(AA967)+$Z968</f>
        <v>24</v>
      </c>
      <c r="AB968">
        <f>IF(AND($M968=1,LEFT(对接源_01水果!$D968,4)="原料出库"),1,0)</f>
        <v>0</v>
      </c>
      <c r="AC968">
        <f>N(AC967)+$AB968</f>
        <v>0</v>
      </c>
      <c r="AD968">
        <f>IF(AND($M968=1,LEFT(对接源_01水果!$D968,4)="成品出库"),1,0)</f>
        <v>0</v>
      </c>
      <c r="AE968">
        <f>N(AE967)+$AD968</f>
        <v>0</v>
      </c>
      <c r="AF968">
        <f>IF(AND($N968=1,AND(LEFT(对接源_01水果!$D968,4)="包装物料",N(对接源_01水果!$K968)&lt;&gt;0)),1,0)</f>
        <v>0</v>
      </c>
      <c r="AG968">
        <f>N(AG967)+$AF968</f>
        <v>0</v>
      </c>
      <c r="AH968">
        <f>IF(AND($N968=1,AND(对接源_01水果!$D968="周转筐－销售出库",N(对接源_01水果!$K968)&lt;&gt;0)),1,0)</f>
        <v>0</v>
      </c>
      <c r="AI968">
        <f>N(AI967)+$AH968</f>
        <v>0</v>
      </c>
      <c r="AJ968" s="7" t="n"/>
      <c r="AL968">
        <f>IF(OR($AL$1="",对接源_01水果!$Y968="",对接源_01水果!$Y968&lt;&gt;$AL$1,对接源_01水果!$B968="",N(对接源_01水果!$AJ968)&lt;=0),0,IF(OR(N(对接源_01水果!$B968)&lt;$AL$2,N(对接源_01水果!$B968)&gt;$AL$3),0,1))</f>
        <v>0</v>
      </c>
      <c r="AM968">
        <f>N(AM967)+$AL968</f>
        <v>2</v>
      </c>
      <c r="AN968">
        <f>IF(对接源_01水果!$AC968="","",对接源_01水果!$AC968)</f>
      </c>
      <c r="AO968">
        <f>IF(AN968="",0,IF(MATCH(AN968,$AN$4:$AN$1203,0)=ROW()-3,1,0))</f>
        <v>0</v>
      </c>
      <c r="AP968">
        <f>N(AP967)+$AO968</f>
        <v>13</v>
      </c>
      <c r="AR968">
        <f>IF(OR($AF968=1,$AH968=1),1,0)</f>
        <v>0</v>
      </c>
      <c r="AS968">
        <f>N(AS967)+$AR968</f>
        <v>0</v>
      </c>
    </row>
    <row r="969" ht="14.25" customHeight="1" s="127">
      <c r="A969">
        <f>IF(对接源_01水果!$C969="","",对接源_01水果!$C969)</f>
      </c>
      <c r="B969">
        <f>IF(A969="",0,IF(MATCH(A969,$A$4:$A$2403,0)=ROW()-3,1,0))</f>
        <v>0</v>
      </c>
      <c r="C969">
        <f>N(C968)+B969</f>
        <v>22</v>
      </c>
      <c r="K969">
        <f>IF(OR($K$1="",对接源_01水果!$C969="",对接源_01水果!$C969&lt;&gt;$K$1,对接源_01水果!$B969=""),0,IF(OR(N(对接源_01水果!$B969)&lt;$K$2,N(对接源_01水果!$B969)&gt;$K$3),0,1))</f>
        <v>0</v>
      </c>
      <c r="L969">
        <f>IF(OR($L$1="",对接源_01水果!$C969="",对接源_01水果!$C969&lt;&gt;$L$1,对接源_01水果!$B969=""),0,IF(OR(N(对接源_01水果!$B969)&lt;$L$2,N(对接源_01水果!$B969)&gt;$L$3),0,1))</f>
        <v>0</v>
      </c>
      <c r="M969">
        <f>IF(OR($M$1="",对接源_01水果!$C969="",对接源_01水果!$C969&lt;&gt;$M$1,对接源_01水果!$B969=""),0,IF(OR(N(对接源_01水果!$B969)&lt;$M$2,N(对接源_01水果!$B969)&gt;$M$3),0,1))</f>
        <v>0</v>
      </c>
      <c r="N969">
        <f>IF(OR($N$1="",对接源_01水果!$C969="",对接源_01水果!$C969&lt;&gt;$N$1,对接源_01水果!$B969=""),0,IF(OR(N(对接源_01水果!$B969)&lt;$N$2,N(对接源_01水果!$B969)&gt;$N$3),0,1))</f>
        <v>0</v>
      </c>
      <c r="P969">
        <f>IF(AND($K969=1,AND(对接源_01水果!$X969="公司筐",N(对接源_01水果!$T969)&lt;&gt;0)),1,0)</f>
        <v>0</v>
      </c>
      <c r="Q969">
        <f>N(Q968)+$P969</f>
        <v>0</v>
      </c>
      <c r="R969">
        <f>IF(AND($K969=1,AND(对接源_01水果!$X969="公司筐",N(对接源_01水果!$U969)&lt;&gt;0)),1,0)</f>
        <v>0</v>
      </c>
      <c r="S969">
        <f>N(S968)+$R969</f>
        <v>0</v>
      </c>
      <c r="T969">
        <f>IF(AND($K969=1,AND(对接源_01水果!$X969="公司筐",N(对接源_01水果!$V969)&lt;&gt;0)),1,0)</f>
        <v>0</v>
      </c>
      <c r="U969">
        <f>N(U968)+$T969</f>
        <v>47</v>
      </c>
      <c r="V969">
        <f>IF(AND($L969=1,AND(对接源_01水果!$X969="自备筐",N(对接源_01水果!$V969)&lt;&gt;0)),1,0)</f>
        <v>0</v>
      </c>
      <c r="W969">
        <f>N(W968)+$V969</f>
        <v>11</v>
      </c>
      <c r="X969">
        <f>IF(AND($L969=1,AND(对接源_01水果!$X969="自备筐",N(对接源_01水果!$T969)&lt;&gt;0)),1,0)</f>
        <v>0</v>
      </c>
      <c r="Y969">
        <f>N(Y968)+$X969</f>
        <v>0</v>
      </c>
      <c r="Z969">
        <f>IF(AND($M969=1,对接源_01水果!$D969="原料入库"),1,0)</f>
        <v>0</v>
      </c>
      <c r="AA969">
        <f>N(AA968)+$Z969</f>
        <v>24</v>
      </c>
      <c r="AB969">
        <f>IF(AND($M969=1,LEFT(对接源_01水果!$D969,4)="原料出库"),1,0)</f>
        <v>0</v>
      </c>
      <c r="AC969">
        <f>N(AC968)+$AB969</f>
        <v>0</v>
      </c>
      <c r="AD969">
        <f>IF(AND($M969=1,LEFT(对接源_01水果!$D969,4)="成品出库"),1,0)</f>
        <v>0</v>
      </c>
      <c r="AE969">
        <f>N(AE968)+$AD969</f>
        <v>0</v>
      </c>
      <c r="AF969">
        <f>IF(AND($N969=1,AND(LEFT(对接源_01水果!$D969,4)="包装物料",N(对接源_01水果!$K969)&lt;&gt;0)),1,0)</f>
        <v>0</v>
      </c>
      <c r="AG969">
        <f>N(AG968)+$AF969</f>
        <v>0</v>
      </c>
      <c r="AH969">
        <f>IF(AND($N969=1,AND(对接源_01水果!$D969="周转筐－销售出库",N(对接源_01水果!$K969)&lt;&gt;0)),1,0)</f>
        <v>0</v>
      </c>
      <c r="AI969">
        <f>N(AI968)+$AH969</f>
        <v>0</v>
      </c>
      <c r="AJ969" s="7" t="n"/>
      <c r="AL969">
        <f>IF(OR($AL$1="",对接源_01水果!$Y969="",对接源_01水果!$Y969&lt;&gt;$AL$1,对接源_01水果!$B969="",N(对接源_01水果!$AJ969)&lt;=0),0,IF(OR(N(对接源_01水果!$B969)&lt;$AL$2,N(对接源_01水果!$B969)&gt;$AL$3),0,1))</f>
        <v>0</v>
      </c>
      <c r="AM969">
        <f>N(AM968)+$AL969</f>
        <v>2</v>
      </c>
      <c r="AN969">
        <f>IF(对接源_01水果!$AC969="","",对接源_01水果!$AC969)</f>
      </c>
      <c r="AO969">
        <f>IF(AN969="",0,IF(MATCH(AN969,$AN$4:$AN$1203,0)=ROW()-3,1,0))</f>
        <v>0</v>
      </c>
      <c r="AP969">
        <f>N(AP968)+$AO969</f>
        <v>13</v>
      </c>
      <c r="AR969">
        <f>IF(OR($AF969=1,$AH969=1),1,0)</f>
        <v>0</v>
      </c>
      <c r="AS969">
        <f>N(AS968)+$AR969</f>
        <v>0</v>
      </c>
    </row>
    <row r="970" ht="14.25" customHeight="1" s="127">
      <c r="A970">
        <f>IF(对接源_01水果!$C970="","",对接源_01水果!$C970)</f>
      </c>
      <c r="B970">
        <f>IF(A970="",0,IF(MATCH(A970,$A$4:$A$2403,0)=ROW()-3,1,0))</f>
        <v>0</v>
      </c>
      <c r="C970">
        <f>N(C969)+B970</f>
        <v>22</v>
      </c>
      <c r="K970">
        <f>IF(OR($K$1="",对接源_01水果!$C970="",对接源_01水果!$C970&lt;&gt;$K$1,对接源_01水果!$B970=""),0,IF(OR(N(对接源_01水果!$B970)&lt;$K$2,N(对接源_01水果!$B970)&gt;$K$3),0,1))</f>
        <v>0</v>
      </c>
      <c r="L970">
        <f>IF(OR($L$1="",对接源_01水果!$C970="",对接源_01水果!$C970&lt;&gt;$L$1,对接源_01水果!$B970=""),0,IF(OR(N(对接源_01水果!$B970)&lt;$L$2,N(对接源_01水果!$B970)&gt;$L$3),0,1))</f>
        <v>0</v>
      </c>
      <c r="M970">
        <f>IF(OR($M$1="",对接源_01水果!$C970="",对接源_01水果!$C970&lt;&gt;$M$1,对接源_01水果!$B970=""),0,IF(OR(N(对接源_01水果!$B970)&lt;$M$2,N(对接源_01水果!$B970)&gt;$M$3),0,1))</f>
        <v>0</v>
      </c>
      <c r="N970">
        <f>IF(OR($N$1="",对接源_01水果!$C970="",对接源_01水果!$C970&lt;&gt;$N$1,对接源_01水果!$B970=""),0,IF(OR(N(对接源_01水果!$B970)&lt;$N$2,N(对接源_01水果!$B970)&gt;$N$3),0,1))</f>
        <v>0</v>
      </c>
      <c r="P970">
        <f>IF(AND($K970=1,AND(对接源_01水果!$X970="公司筐",N(对接源_01水果!$T970)&lt;&gt;0)),1,0)</f>
        <v>0</v>
      </c>
      <c r="Q970">
        <f>N(Q969)+$P970</f>
        <v>0</v>
      </c>
      <c r="R970">
        <f>IF(AND($K970=1,AND(对接源_01水果!$X970="公司筐",N(对接源_01水果!$U970)&lt;&gt;0)),1,0)</f>
        <v>0</v>
      </c>
      <c r="S970">
        <f>N(S969)+$R970</f>
        <v>0</v>
      </c>
      <c r="T970">
        <f>IF(AND($K970=1,AND(对接源_01水果!$X970="公司筐",N(对接源_01水果!$V970)&lt;&gt;0)),1,0)</f>
        <v>0</v>
      </c>
      <c r="U970">
        <f>N(U969)+$T970</f>
        <v>47</v>
      </c>
      <c r="V970">
        <f>IF(AND($L970=1,AND(对接源_01水果!$X970="自备筐",N(对接源_01水果!$V970)&lt;&gt;0)),1,0)</f>
        <v>0</v>
      </c>
      <c r="W970">
        <f>N(W969)+$V970</f>
        <v>11</v>
      </c>
      <c r="X970">
        <f>IF(AND($L970=1,AND(对接源_01水果!$X970="自备筐",N(对接源_01水果!$T970)&lt;&gt;0)),1,0)</f>
        <v>0</v>
      </c>
      <c r="Y970">
        <f>N(Y969)+$X970</f>
        <v>0</v>
      </c>
      <c r="Z970">
        <f>IF(AND($M970=1,对接源_01水果!$D970="原料入库"),1,0)</f>
        <v>0</v>
      </c>
      <c r="AA970">
        <f>N(AA969)+$Z970</f>
        <v>24</v>
      </c>
      <c r="AB970">
        <f>IF(AND($M970=1,LEFT(对接源_01水果!$D970,4)="原料出库"),1,0)</f>
        <v>0</v>
      </c>
      <c r="AC970">
        <f>N(AC969)+$AB970</f>
        <v>0</v>
      </c>
      <c r="AD970">
        <f>IF(AND($M970=1,LEFT(对接源_01水果!$D970,4)="成品出库"),1,0)</f>
        <v>0</v>
      </c>
      <c r="AE970">
        <f>N(AE969)+$AD970</f>
        <v>0</v>
      </c>
      <c r="AF970">
        <f>IF(AND($N970=1,AND(LEFT(对接源_01水果!$D970,4)="包装物料",N(对接源_01水果!$K970)&lt;&gt;0)),1,0)</f>
        <v>0</v>
      </c>
      <c r="AG970">
        <f>N(AG969)+$AF970</f>
        <v>0</v>
      </c>
      <c r="AH970">
        <f>IF(AND($N970=1,AND(对接源_01水果!$D970="周转筐－销售出库",N(对接源_01水果!$K970)&lt;&gt;0)),1,0)</f>
        <v>0</v>
      </c>
      <c r="AI970">
        <f>N(AI969)+$AH970</f>
        <v>0</v>
      </c>
      <c r="AJ970" s="7" t="n"/>
      <c r="AL970">
        <f>IF(OR($AL$1="",对接源_01水果!$Y970="",对接源_01水果!$Y970&lt;&gt;$AL$1,对接源_01水果!$B970="",N(对接源_01水果!$AJ970)&lt;=0),0,IF(OR(N(对接源_01水果!$B970)&lt;$AL$2,N(对接源_01水果!$B970)&gt;$AL$3),0,1))</f>
        <v>0</v>
      </c>
      <c r="AM970">
        <f>N(AM969)+$AL970</f>
        <v>2</v>
      </c>
      <c r="AN970">
        <f>IF(对接源_01水果!$AC970="","",对接源_01水果!$AC970)</f>
      </c>
      <c r="AO970">
        <f>IF(AN970="",0,IF(MATCH(AN970,$AN$4:$AN$1203,0)=ROW()-3,1,0))</f>
        <v>0</v>
      </c>
      <c r="AP970">
        <f>N(AP969)+$AO970</f>
        <v>13</v>
      </c>
      <c r="AR970">
        <f>IF(OR($AF970=1,$AH970=1),1,0)</f>
        <v>0</v>
      </c>
      <c r="AS970">
        <f>N(AS969)+$AR970</f>
        <v>0</v>
      </c>
    </row>
    <row r="971" ht="14.25" customHeight="1" s="127">
      <c r="A971">
        <f>IF(对接源_01水果!$C971="","",对接源_01水果!$C971)</f>
      </c>
      <c r="B971">
        <f>IF(A971="",0,IF(MATCH(A971,$A$4:$A$2403,0)=ROW()-3,1,0))</f>
        <v>0</v>
      </c>
      <c r="C971">
        <f>N(C970)+B971</f>
        <v>22</v>
      </c>
      <c r="K971">
        <f>IF(OR($K$1="",对接源_01水果!$C971="",对接源_01水果!$C971&lt;&gt;$K$1,对接源_01水果!$B971=""),0,IF(OR(N(对接源_01水果!$B971)&lt;$K$2,N(对接源_01水果!$B971)&gt;$K$3),0,1))</f>
        <v>0</v>
      </c>
      <c r="L971">
        <f>IF(OR($L$1="",对接源_01水果!$C971="",对接源_01水果!$C971&lt;&gt;$L$1,对接源_01水果!$B971=""),0,IF(OR(N(对接源_01水果!$B971)&lt;$L$2,N(对接源_01水果!$B971)&gt;$L$3),0,1))</f>
        <v>0</v>
      </c>
      <c r="M971">
        <f>IF(OR($M$1="",对接源_01水果!$C971="",对接源_01水果!$C971&lt;&gt;$M$1,对接源_01水果!$B971=""),0,IF(OR(N(对接源_01水果!$B971)&lt;$M$2,N(对接源_01水果!$B971)&gt;$M$3),0,1))</f>
        <v>0</v>
      </c>
      <c r="N971">
        <f>IF(OR($N$1="",对接源_01水果!$C971="",对接源_01水果!$C971&lt;&gt;$N$1,对接源_01水果!$B971=""),0,IF(OR(N(对接源_01水果!$B971)&lt;$N$2,N(对接源_01水果!$B971)&gt;$N$3),0,1))</f>
        <v>0</v>
      </c>
      <c r="P971">
        <f>IF(AND($K971=1,AND(对接源_01水果!$X971="公司筐",N(对接源_01水果!$T971)&lt;&gt;0)),1,0)</f>
        <v>0</v>
      </c>
      <c r="Q971">
        <f>N(Q970)+$P971</f>
        <v>0</v>
      </c>
      <c r="R971">
        <f>IF(AND($K971=1,AND(对接源_01水果!$X971="公司筐",N(对接源_01水果!$U971)&lt;&gt;0)),1,0)</f>
        <v>0</v>
      </c>
      <c r="S971">
        <f>N(S970)+$R971</f>
        <v>0</v>
      </c>
      <c r="T971">
        <f>IF(AND($K971=1,AND(对接源_01水果!$X971="公司筐",N(对接源_01水果!$V971)&lt;&gt;0)),1,0)</f>
        <v>0</v>
      </c>
      <c r="U971">
        <f>N(U970)+$T971</f>
        <v>47</v>
      </c>
      <c r="V971">
        <f>IF(AND($L971=1,AND(对接源_01水果!$X971="自备筐",N(对接源_01水果!$V971)&lt;&gt;0)),1,0)</f>
        <v>0</v>
      </c>
      <c r="W971">
        <f>N(W970)+$V971</f>
        <v>11</v>
      </c>
      <c r="X971">
        <f>IF(AND($L971=1,AND(对接源_01水果!$X971="自备筐",N(对接源_01水果!$T971)&lt;&gt;0)),1,0)</f>
        <v>0</v>
      </c>
      <c r="Y971">
        <f>N(Y970)+$X971</f>
        <v>0</v>
      </c>
      <c r="Z971">
        <f>IF(AND($M971=1,对接源_01水果!$D971="原料入库"),1,0)</f>
        <v>0</v>
      </c>
      <c r="AA971">
        <f>N(AA970)+$Z971</f>
        <v>24</v>
      </c>
      <c r="AB971">
        <f>IF(AND($M971=1,LEFT(对接源_01水果!$D971,4)="原料出库"),1,0)</f>
        <v>0</v>
      </c>
      <c r="AC971">
        <f>N(AC970)+$AB971</f>
        <v>0</v>
      </c>
      <c r="AD971">
        <f>IF(AND($M971=1,LEFT(对接源_01水果!$D971,4)="成品出库"),1,0)</f>
        <v>0</v>
      </c>
      <c r="AE971">
        <f>N(AE970)+$AD971</f>
        <v>0</v>
      </c>
      <c r="AF971">
        <f>IF(AND($N971=1,AND(LEFT(对接源_01水果!$D971,4)="包装物料",N(对接源_01水果!$K971)&lt;&gt;0)),1,0)</f>
        <v>0</v>
      </c>
      <c r="AG971">
        <f>N(AG970)+$AF971</f>
        <v>0</v>
      </c>
      <c r="AH971">
        <f>IF(AND($N971=1,AND(对接源_01水果!$D971="周转筐－销售出库",N(对接源_01水果!$K971)&lt;&gt;0)),1,0)</f>
        <v>0</v>
      </c>
      <c r="AI971">
        <f>N(AI970)+$AH971</f>
        <v>0</v>
      </c>
      <c r="AJ971" s="7" t="n"/>
      <c r="AL971">
        <f>IF(OR($AL$1="",对接源_01水果!$Y971="",对接源_01水果!$Y971&lt;&gt;$AL$1,对接源_01水果!$B971="",N(对接源_01水果!$AJ971)&lt;=0),0,IF(OR(N(对接源_01水果!$B971)&lt;$AL$2,N(对接源_01水果!$B971)&gt;$AL$3),0,1))</f>
        <v>0</v>
      </c>
      <c r="AM971">
        <f>N(AM970)+$AL971</f>
        <v>2</v>
      </c>
      <c r="AN971">
        <f>IF(对接源_01水果!$AC971="","",对接源_01水果!$AC971)</f>
      </c>
      <c r="AO971">
        <f>IF(AN971="",0,IF(MATCH(AN971,$AN$4:$AN$1203,0)=ROW()-3,1,0))</f>
        <v>0</v>
      </c>
      <c r="AP971">
        <f>N(AP970)+$AO971</f>
        <v>13</v>
      </c>
      <c r="AR971">
        <f>IF(OR($AF971=1,$AH971=1),1,0)</f>
        <v>0</v>
      </c>
      <c r="AS971">
        <f>N(AS970)+$AR971</f>
        <v>0</v>
      </c>
    </row>
    <row r="972" ht="14.25" customHeight="1" s="127">
      <c r="A972">
        <f>IF(对接源_01水果!$C972="","",对接源_01水果!$C972)</f>
      </c>
      <c r="B972">
        <f>IF(A972="",0,IF(MATCH(A972,$A$4:$A$2403,0)=ROW()-3,1,0))</f>
        <v>0</v>
      </c>
      <c r="C972">
        <f>N(C971)+B972</f>
        <v>22</v>
      </c>
      <c r="K972">
        <f>IF(OR($K$1="",对接源_01水果!$C972="",对接源_01水果!$C972&lt;&gt;$K$1,对接源_01水果!$B972=""),0,IF(OR(N(对接源_01水果!$B972)&lt;$K$2,N(对接源_01水果!$B972)&gt;$K$3),0,1))</f>
        <v>0</v>
      </c>
      <c r="L972">
        <f>IF(OR($L$1="",对接源_01水果!$C972="",对接源_01水果!$C972&lt;&gt;$L$1,对接源_01水果!$B972=""),0,IF(OR(N(对接源_01水果!$B972)&lt;$L$2,N(对接源_01水果!$B972)&gt;$L$3),0,1))</f>
        <v>0</v>
      </c>
      <c r="M972">
        <f>IF(OR($M$1="",对接源_01水果!$C972="",对接源_01水果!$C972&lt;&gt;$M$1,对接源_01水果!$B972=""),0,IF(OR(N(对接源_01水果!$B972)&lt;$M$2,N(对接源_01水果!$B972)&gt;$M$3),0,1))</f>
        <v>0</v>
      </c>
      <c r="N972">
        <f>IF(OR($N$1="",对接源_01水果!$C972="",对接源_01水果!$C972&lt;&gt;$N$1,对接源_01水果!$B972=""),0,IF(OR(N(对接源_01水果!$B972)&lt;$N$2,N(对接源_01水果!$B972)&gt;$N$3),0,1))</f>
        <v>0</v>
      </c>
      <c r="P972">
        <f>IF(AND($K972=1,AND(对接源_01水果!$X972="公司筐",N(对接源_01水果!$T972)&lt;&gt;0)),1,0)</f>
        <v>0</v>
      </c>
      <c r="Q972">
        <f>N(Q971)+$P972</f>
        <v>0</v>
      </c>
      <c r="R972">
        <f>IF(AND($K972=1,AND(对接源_01水果!$X972="公司筐",N(对接源_01水果!$U972)&lt;&gt;0)),1,0)</f>
        <v>0</v>
      </c>
      <c r="S972">
        <f>N(S971)+$R972</f>
        <v>0</v>
      </c>
      <c r="T972">
        <f>IF(AND($K972=1,AND(对接源_01水果!$X972="公司筐",N(对接源_01水果!$V972)&lt;&gt;0)),1,0)</f>
        <v>0</v>
      </c>
      <c r="U972">
        <f>N(U971)+$T972</f>
        <v>47</v>
      </c>
      <c r="V972">
        <f>IF(AND($L972=1,AND(对接源_01水果!$X972="自备筐",N(对接源_01水果!$V972)&lt;&gt;0)),1,0)</f>
        <v>0</v>
      </c>
      <c r="W972">
        <f>N(W971)+$V972</f>
        <v>11</v>
      </c>
      <c r="X972">
        <f>IF(AND($L972=1,AND(对接源_01水果!$X972="自备筐",N(对接源_01水果!$T972)&lt;&gt;0)),1,0)</f>
        <v>0</v>
      </c>
      <c r="Y972">
        <f>N(Y971)+$X972</f>
        <v>0</v>
      </c>
      <c r="Z972">
        <f>IF(AND($M972=1,对接源_01水果!$D972="原料入库"),1,0)</f>
        <v>0</v>
      </c>
      <c r="AA972">
        <f>N(AA971)+$Z972</f>
        <v>24</v>
      </c>
      <c r="AB972">
        <f>IF(AND($M972=1,LEFT(对接源_01水果!$D972,4)="原料出库"),1,0)</f>
        <v>0</v>
      </c>
      <c r="AC972">
        <f>N(AC971)+$AB972</f>
        <v>0</v>
      </c>
      <c r="AD972">
        <f>IF(AND($M972=1,LEFT(对接源_01水果!$D972,4)="成品出库"),1,0)</f>
        <v>0</v>
      </c>
      <c r="AE972">
        <f>N(AE971)+$AD972</f>
        <v>0</v>
      </c>
      <c r="AF972">
        <f>IF(AND($N972=1,AND(LEFT(对接源_01水果!$D972,4)="包装物料",N(对接源_01水果!$K972)&lt;&gt;0)),1,0)</f>
        <v>0</v>
      </c>
      <c r="AG972">
        <f>N(AG971)+$AF972</f>
        <v>0</v>
      </c>
      <c r="AH972">
        <f>IF(AND($N972=1,AND(对接源_01水果!$D972="周转筐－销售出库",N(对接源_01水果!$K972)&lt;&gt;0)),1,0)</f>
        <v>0</v>
      </c>
      <c r="AI972">
        <f>N(AI971)+$AH972</f>
        <v>0</v>
      </c>
      <c r="AJ972" s="7" t="n"/>
      <c r="AL972">
        <f>IF(OR($AL$1="",对接源_01水果!$Y972="",对接源_01水果!$Y972&lt;&gt;$AL$1,对接源_01水果!$B972="",N(对接源_01水果!$AJ972)&lt;=0),0,IF(OR(N(对接源_01水果!$B972)&lt;$AL$2,N(对接源_01水果!$B972)&gt;$AL$3),0,1))</f>
        <v>0</v>
      </c>
      <c r="AM972">
        <f>N(AM971)+$AL972</f>
        <v>2</v>
      </c>
      <c r="AN972">
        <f>IF(对接源_01水果!$AC972="","",对接源_01水果!$AC972)</f>
      </c>
      <c r="AO972">
        <f>IF(AN972="",0,IF(MATCH(AN972,$AN$4:$AN$1203,0)=ROW()-3,1,0))</f>
        <v>0</v>
      </c>
      <c r="AP972">
        <f>N(AP971)+$AO972</f>
        <v>13</v>
      </c>
      <c r="AR972">
        <f>IF(OR($AF972=1,$AH972=1),1,0)</f>
        <v>0</v>
      </c>
      <c r="AS972">
        <f>N(AS971)+$AR972</f>
        <v>0</v>
      </c>
    </row>
    <row r="973" ht="14.25" customHeight="1" s="127">
      <c r="A973">
        <f>IF(对接源_01水果!$C973="","",对接源_01水果!$C973)</f>
      </c>
      <c r="B973">
        <f>IF(A973="",0,IF(MATCH(A973,$A$4:$A$2403,0)=ROW()-3,1,0))</f>
        <v>0</v>
      </c>
      <c r="C973">
        <f>N(C972)+B973</f>
        <v>22</v>
      </c>
      <c r="K973">
        <f>IF(OR($K$1="",对接源_01水果!$C973="",对接源_01水果!$C973&lt;&gt;$K$1,对接源_01水果!$B973=""),0,IF(OR(N(对接源_01水果!$B973)&lt;$K$2,N(对接源_01水果!$B973)&gt;$K$3),0,1))</f>
        <v>0</v>
      </c>
      <c r="L973">
        <f>IF(OR($L$1="",对接源_01水果!$C973="",对接源_01水果!$C973&lt;&gt;$L$1,对接源_01水果!$B973=""),0,IF(OR(N(对接源_01水果!$B973)&lt;$L$2,N(对接源_01水果!$B973)&gt;$L$3),0,1))</f>
        <v>0</v>
      </c>
      <c r="M973">
        <f>IF(OR($M$1="",对接源_01水果!$C973="",对接源_01水果!$C973&lt;&gt;$M$1,对接源_01水果!$B973=""),0,IF(OR(N(对接源_01水果!$B973)&lt;$M$2,N(对接源_01水果!$B973)&gt;$M$3),0,1))</f>
        <v>0</v>
      </c>
      <c r="N973">
        <f>IF(OR($N$1="",对接源_01水果!$C973="",对接源_01水果!$C973&lt;&gt;$N$1,对接源_01水果!$B973=""),0,IF(OR(N(对接源_01水果!$B973)&lt;$N$2,N(对接源_01水果!$B973)&gt;$N$3),0,1))</f>
        <v>0</v>
      </c>
      <c r="P973">
        <f>IF(AND($K973=1,AND(对接源_01水果!$X973="公司筐",N(对接源_01水果!$T973)&lt;&gt;0)),1,0)</f>
        <v>0</v>
      </c>
      <c r="Q973">
        <f>N(Q972)+$P973</f>
        <v>0</v>
      </c>
      <c r="R973">
        <f>IF(AND($K973=1,AND(对接源_01水果!$X973="公司筐",N(对接源_01水果!$U973)&lt;&gt;0)),1,0)</f>
        <v>0</v>
      </c>
      <c r="S973">
        <f>N(S972)+$R973</f>
        <v>0</v>
      </c>
      <c r="T973">
        <f>IF(AND($K973=1,AND(对接源_01水果!$X973="公司筐",N(对接源_01水果!$V973)&lt;&gt;0)),1,0)</f>
        <v>0</v>
      </c>
      <c r="U973">
        <f>N(U972)+$T973</f>
        <v>47</v>
      </c>
      <c r="V973">
        <f>IF(AND($L973=1,AND(对接源_01水果!$X973="自备筐",N(对接源_01水果!$V973)&lt;&gt;0)),1,0)</f>
        <v>0</v>
      </c>
      <c r="W973">
        <f>N(W972)+$V973</f>
        <v>11</v>
      </c>
      <c r="X973">
        <f>IF(AND($L973=1,AND(对接源_01水果!$X973="自备筐",N(对接源_01水果!$T973)&lt;&gt;0)),1,0)</f>
        <v>0</v>
      </c>
      <c r="Y973">
        <f>N(Y972)+$X973</f>
        <v>0</v>
      </c>
      <c r="Z973">
        <f>IF(AND($M973=1,对接源_01水果!$D973="原料入库"),1,0)</f>
        <v>0</v>
      </c>
      <c r="AA973">
        <f>N(AA972)+$Z973</f>
        <v>24</v>
      </c>
      <c r="AB973">
        <f>IF(AND($M973=1,LEFT(对接源_01水果!$D973,4)="原料出库"),1,0)</f>
        <v>0</v>
      </c>
      <c r="AC973">
        <f>N(AC972)+$AB973</f>
        <v>0</v>
      </c>
      <c r="AD973">
        <f>IF(AND($M973=1,LEFT(对接源_01水果!$D973,4)="成品出库"),1,0)</f>
        <v>0</v>
      </c>
      <c r="AE973">
        <f>N(AE972)+$AD973</f>
        <v>0</v>
      </c>
      <c r="AF973">
        <f>IF(AND($N973=1,AND(LEFT(对接源_01水果!$D973,4)="包装物料",N(对接源_01水果!$K973)&lt;&gt;0)),1,0)</f>
        <v>0</v>
      </c>
      <c r="AG973">
        <f>N(AG972)+$AF973</f>
        <v>0</v>
      </c>
      <c r="AH973">
        <f>IF(AND($N973=1,AND(对接源_01水果!$D973="周转筐－销售出库",N(对接源_01水果!$K973)&lt;&gt;0)),1,0)</f>
        <v>0</v>
      </c>
      <c r="AI973">
        <f>N(AI972)+$AH973</f>
        <v>0</v>
      </c>
      <c r="AJ973" s="7" t="n"/>
      <c r="AL973">
        <f>IF(OR($AL$1="",对接源_01水果!$Y973="",对接源_01水果!$Y973&lt;&gt;$AL$1,对接源_01水果!$B973="",N(对接源_01水果!$AJ973)&lt;=0),0,IF(OR(N(对接源_01水果!$B973)&lt;$AL$2,N(对接源_01水果!$B973)&gt;$AL$3),0,1))</f>
        <v>0</v>
      </c>
      <c r="AM973">
        <f>N(AM972)+$AL973</f>
        <v>2</v>
      </c>
      <c r="AN973">
        <f>IF(对接源_01水果!$AC973="","",对接源_01水果!$AC973)</f>
      </c>
      <c r="AO973">
        <f>IF(AN973="",0,IF(MATCH(AN973,$AN$4:$AN$1203,0)=ROW()-3,1,0))</f>
        <v>0</v>
      </c>
      <c r="AP973">
        <f>N(AP972)+$AO973</f>
        <v>13</v>
      </c>
      <c r="AR973">
        <f>IF(OR($AF973=1,$AH973=1),1,0)</f>
        <v>0</v>
      </c>
      <c r="AS973">
        <f>N(AS972)+$AR973</f>
        <v>0</v>
      </c>
    </row>
    <row r="974" ht="14.25" customHeight="1" s="127">
      <c r="A974">
        <f>IF(对接源_01水果!$C974="","",对接源_01水果!$C974)</f>
      </c>
      <c r="B974">
        <f>IF(A974="",0,IF(MATCH(A974,$A$4:$A$2403,0)=ROW()-3,1,0))</f>
        <v>0</v>
      </c>
      <c r="C974">
        <f>N(C973)+B974</f>
        <v>22</v>
      </c>
      <c r="K974">
        <f>IF(OR($K$1="",对接源_01水果!$C974="",对接源_01水果!$C974&lt;&gt;$K$1,对接源_01水果!$B974=""),0,IF(OR(N(对接源_01水果!$B974)&lt;$K$2,N(对接源_01水果!$B974)&gt;$K$3),0,1))</f>
        <v>0</v>
      </c>
      <c r="L974">
        <f>IF(OR($L$1="",对接源_01水果!$C974="",对接源_01水果!$C974&lt;&gt;$L$1,对接源_01水果!$B974=""),0,IF(OR(N(对接源_01水果!$B974)&lt;$L$2,N(对接源_01水果!$B974)&gt;$L$3),0,1))</f>
        <v>0</v>
      </c>
      <c r="M974">
        <f>IF(OR($M$1="",对接源_01水果!$C974="",对接源_01水果!$C974&lt;&gt;$M$1,对接源_01水果!$B974=""),0,IF(OR(N(对接源_01水果!$B974)&lt;$M$2,N(对接源_01水果!$B974)&gt;$M$3),0,1))</f>
        <v>0</v>
      </c>
      <c r="N974">
        <f>IF(OR($N$1="",对接源_01水果!$C974="",对接源_01水果!$C974&lt;&gt;$N$1,对接源_01水果!$B974=""),0,IF(OR(N(对接源_01水果!$B974)&lt;$N$2,N(对接源_01水果!$B974)&gt;$N$3),0,1))</f>
        <v>0</v>
      </c>
      <c r="P974">
        <f>IF(AND($K974=1,AND(对接源_01水果!$X974="公司筐",N(对接源_01水果!$T974)&lt;&gt;0)),1,0)</f>
        <v>0</v>
      </c>
      <c r="Q974">
        <f>N(Q973)+$P974</f>
        <v>0</v>
      </c>
      <c r="R974">
        <f>IF(AND($K974=1,AND(对接源_01水果!$X974="公司筐",N(对接源_01水果!$U974)&lt;&gt;0)),1,0)</f>
        <v>0</v>
      </c>
      <c r="S974">
        <f>N(S973)+$R974</f>
        <v>0</v>
      </c>
      <c r="T974">
        <f>IF(AND($K974=1,AND(对接源_01水果!$X974="公司筐",N(对接源_01水果!$V974)&lt;&gt;0)),1,0)</f>
        <v>0</v>
      </c>
      <c r="U974">
        <f>N(U973)+$T974</f>
        <v>47</v>
      </c>
      <c r="V974">
        <f>IF(AND($L974=1,AND(对接源_01水果!$X974="自备筐",N(对接源_01水果!$V974)&lt;&gt;0)),1,0)</f>
        <v>0</v>
      </c>
      <c r="W974">
        <f>N(W973)+$V974</f>
        <v>11</v>
      </c>
      <c r="X974">
        <f>IF(AND($L974=1,AND(对接源_01水果!$X974="自备筐",N(对接源_01水果!$T974)&lt;&gt;0)),1,0)</f>
        <v>0</v>
      </c>
      <c r="Y974">
        <f>N(Y973)+$X974</f>
        <v>0</v>
      </c>
      <c r="Z974">
        <f>IF(AND($M974=1,对接源_01水果!$D974="原料入库"),1,0)</f>
        <v>0</v>
      </c>
      <c r="AA974">
        <f>N(AA973)+$Z974</f>
        <v>24</v>
      </c>
      <c r="AB974">
        <f>IF(AND($M974=1,LEFT(对接源_01水果!$D974,4)="原料出库"),1,0)</f>
        <v>0</v>
      </c>
      <c r="AC974">
        <f>N(AC973)+$AB974</f>
        <v>0</v>
      </c>
      <c r="AD974">
        <f>IF(AND($M974=1,LEFT(对接源_01水果!$D974,4)="成品出库"),1,0)</f>
        <v>0</v>
      </c>
      <c r="AE974">
        <f>N(AE973)+$AD974</f>
        <v>0</v>
      </c>
      <c r="AF974">
        <f>IF(AND($N974=1,AND(LEFT(对接源_01水果!$D974,4)="包装物料",N(对接源_01水果!$K974)&lt;&gt;0)),1,0)</f>
        <v>0</v>
      </c>
      <c r="AG974">
        <f>N(AG973)+$AF974</f>
        <v>0</v>
      </c>
      <c r="AH974">
        <f>IF(AND($N974=1,AND(对接源_01水果!$D974="周转筐－销售出库",N(对接源_01水果!$K974)&lt;&gt;0)),1,0)</f>
        <v>0</v>
      </c>
      <c r="AI974">
        <f>N(AI973)+$AH974</f>
        <v>0</v>
      </c>
      <c r="AJ974" s="7" t="n"/>
      <c r="AL974">
        <f>IF(OR($AL$1="",对接源_01水果!$Y974="",对接源_01水果!$Y974&lt;&gt;$AL$1,对接源_01水果!$B974="",N(对接源_01水果!$AJ974)&lt;=0),0,IF(OR(N(对接源_01水果!$B974)&lt;$AL$2,N(对接源_01水果!$B974)&gt;$AL$3),0,1))</f>
        <v>0</v>
      </c>
      <c r="AM974">
        <f>N(AM973)+$AL974</f>
        <v>2</v>
      </c>
      <c r="AN974">
        <f>IF(对接源_01水果!$AC974="","",对接源_01水果!$AC974)</f>
      </c>
      <c r="AO974">
        <f>IF(AN974="",0,IF(MATCH(AN974,$AN$4:$AN$1203,0)=ROW()-3,1,0))</f>
        <v>0</v>
      </c>
      <c r="AP974">
        <f>N(AP973)+$AO974</f>
        <v>13</v>
      </c>
      <c r="AR974">
        <f>IF(OR($AF974=1,$AH974=1),1,0)</f>
        <v>0</v>
      </c>
      <c r="AS974">
        <f>N(AS973)+$AR974</f>
        <v>0</v>
      </c>
    </row>
    <row r="975" ht="14.25" customHeight="1" s="127">
      <c r="A975">
        <f>IF(对接源_01水果!$C975="","",对接源_01水果!$C975)</f>
      </c>
      <c r="B975">
        <f>IF(A975="",0,IF(MATCH(A975,$A$4:$A$2403,0)=ROW()-3,1,0))</f>
        <v>0</v>
      </c>
      <c r="C975">
        <f>N(C974)+B975</f>
        <v>22</v>
      </c>
      <c r="K975">
        <f>IF(OR($K$1="",对接源_01水果!$C975="",对接源_01水果!$C975&lt;&gt;$K$1,对接源_01水果!$B975=""),0,IF(OR(N(对接源_01水果!$B975)&lt;$K$2,N(对接源_01水果!$B975)&gt;$K$3),0,1))</f>
        <v>0</v>
      </c>
      <c r="L975">
        <f>IF(OR($L$1="",对接源_01水果!$C975="",对接源_01水果!$C975&lt;&gt;$L$1,对接源_01水果!$B975=""),0,IF(OR(N(对接源_01水果!$B975)&lt;$L$2,N(对接源_01水果!$B975)&gt;$L$3),0,1))</f>
        <v>0</v>
      </c>
      <c r="M975">
        <f>IF(OR($M$1="",对接源_01水果!$C975="",对接源_01水果!$C975&lt;&gt;$M$1,对接源_01水果!$B975=""),0,IF(OR(N(对接源_01水果!$B975)&lt;$M$2,N(对接源_01水果!$B975)&gt;$M$3),0,1))</f>
        <v>0</v>
      </c>
      <c r="N975">
        <f>IF(OR($N$1="",对接源_01水果!$C975="",对接源_01水果!$C975&lt;&gt;$N$1,对接源_01水果!$B975=""),0,IF(OR(N(对接源_01水果!$B975)&lt;$N$2,N(对接源_01水果!$B975)&gt;$N$3),0,1))</f>
        <v>0</v>
      </c>
      <c r="P975">
        <f>IF(AND($K975=1,AND(对接源_01水果!$X975="公司筐",N(对接源_01水果!$T975)&lt;&gt;0)),1,0)</f>
        <v>0</v>
      </c>
      <c r="Q975">
        <f>N(Q974)+$P975</f>
        <v>0</v>
      </c>
      <c r="R975">
        <f>IF(AND($K975=1,AND(对接源_01水果!$X975="公司筐",N(对接源_01水果!$U975)&lt;&gt;0)),1,0)</f>
        <v>0</v>
      </c>
      <c r="S975">
        <f>N(S974)+$R975</f>
        <v>0</v>
      </c>
      <c r="T975">
        <f>IF(AND($K975=1,AND(对接源_01水果!$X975="公司筐",N(对接源_01水果!$V975)&lt;&gt;0)),1,0)</f>
        <v>0</v>
      </c>
      <c r="U975">
        <f>N(U974)+$T975</f>
        <v>47</v>
      </c>
      <c r="V975">
        <f>IF(AND($L975=1,AND(对接源_01水果!$X975="自备筐",N(对接源_01水果!$V975)&lt;&gt;0)),1,0)</f>
        <v>0</v>
      </c>
      <c r="W975">
        <f>N(W974)+$V975</f>
        <v>11</v>
      </c>
      <c r="X975">
        <f>IF(AND($L975=1,AND(对接源_01水果!$X975="自备筐",N(对接源_01水果!$T975)&lt;&gt;0)),1,0)</f>
        <v>0</v>
      </c>
      <c r="Y975">
        <f>N(Y974)+$X975</f>
        <v>0</v>
      </c>
      <c r="Z975">
        <f>IF(AND($M975=1,对接源_01水果!$D975="原料入库"),1,0)</f>
        <v>0</v>
      </c>
      <c r="AA975">
        <f>N(AA974)+$Z975</f>
        <v>24</v>
      </c>
      <c r="AB975">
        <f>IF(AND($M975=1,LEFT(对接源_01水果!$D975,4)="原料出库"),1,0)</f>
        <v>0</v>
      </c>
      <c r="AC975">
        <f>N(AC974)+$AB975</f>
        <v>0</v>
      </c>
      <c r="AD975">
        <f>IF(AND($M975=1,LEFT(对接源_01水果!$D975,4)="成品出库"),1,0)</f>
        <v>0</v>
      </c>
      <c r="AE975">
        <f>N(AE974)+$AD975</f>
        <v>0</v>
      </c>
      <c r="AF975">
        <f>IF(AND($N975=1,AND(LEFT(对接源_01水果!$D975,4)="包装物料",N(对接源_01水果!$K975)&lt;&gt;0)),1,0)</f>
        <v>0</v>
      </c>
      <c r="AG975">
        <f>N(AG974)+$AF975</f>
        <v>0</v>
      </c>
      <c r="AH975">
        <f>IF(AND($N975=1,AND(对接源_01水果!$D975="周转筐－销售出库",N(对接源_01水果!$K975)&lt;&gt;0)),1,0)</f>
        <v>0</v>
      </c>
      <c r="AI975">
        <f>N(AI974)+$AH975</f>
        <v>0</v>
      </c>
      <c r="AJ975" s="7" t="n"/>
      <c r="AL975">
        <f>IF(OR($AL$1="",对接源_01水果!$Y975="",对接源_01水果!$Y975&lt;&gt;$AL$1,对接源_01水果!$B975="",N(对接源_01水果!$AJ975)&lt;=0),0,IF(OR(N(对接源_01水果!$B975)&lt;$AL$2,N(对接源_01水果!$B975)&gt;$AL$3),0,1))</f>
        <v>0</v>
      </c>
      <c r="AM975">
        <f>N(AM974)+$AL975</f>
        <v>2</v>
      </c>
      <c r="AN975">
        <f>IF(对接源_01水果!$AC975="","",对接源_01水果!$AC975)</f>
      </c>
      <c r="AO975">
        <f>IF(AN975="",0,IF(MATCH(AN975,$AN$4:$AN$1203,0)=ROW()-3,1,0))</f>
        <v>0</v>
      </c>
      <c r="AP975">
        <f>N(AP974)+$AO975</f>
        <v>13</v>
      </c>
      <c r="AR975">
        <f>IF(OR($AF975=1,$AH975=1),1,0)</f>
        <v>0</v>
      </c>
      <c r="AS975">
        <f>N(AS974)+$AR975</f>
        <v>0</v>
      </c>
    </row>
    <row r="976" ht="14.25" customHeight="1" s="127">
      <c r="A976">
        <f>IF(对接源_01水果!$C976="","",对接源_01水果!$C976)</f>
      </c>
      <c r="B976">
        <f>IF(A976="",0,IF(MATCH(A976,$A$4:$A$2403,0)=ROW()-3,1,0))</f>
        <v>0</v>
      </c>
      <c r="C976">
        <f>N(C975)+B976</f>
        <v>22</v>
      </c>
      <c r="K976">
        <f>IF(OR($K$1="",对接源_01水果!$C976="",对接源_01水果!$C976&lt;&gt;$K$1,对接源_01水果!$B976=""),0,IF(OR(N(对接源_01水果!$B976)&lt;$K$2,N(对接源_01水果!$B976)&gt;$K$3),0,1))</f>
        <v>0</v>
      </c>
      <c r="L976">
        <f>IF(OR($L$1="",对接源_01水果!$C976="",对接源_01水果!$C976&lt;&gt;$L$1,对接源_01水果!$B976=""),0,IF(OR(N(对接源_01水果!$B976)&lt;$L$2,N(对接源_01水果!$B976)&gt;$L$3),0,1))</f>
        <v>0</v>
      </c>
      <c r="M976">
        <f>IF(OR($M$1="",对接源_01水果!$C976="",对接源_01水果!$C976&lt;&gt;$M$1,对接源_01水果!$B976=""),0,IF(OR(N(对接源_01水果!$B976)&lt;$M$2,N(对接源_01水果!$B976)&gt;$M$3),0,1))</f>
        <v>0</v>
      </c>
      <c r="N976">
        <f>IF(OR($N$1="",对接源_01水果!$C976="",对接源_01水果!$C976&lt;&gt;$N$1,对接源_01水果!$B976=""),0,IF(OR(N(对接源_01水果!$B976)&lt;$N$2,N(对接源_01水果!$B976)&gt;$N$3),0,1))</f>
        <v>0</v>
      </c>
      <c r="P976">
        <f>IF(AND($K976=1,AND(对接源_01水果!$X976="公司筐",N(对接源_01水果!$T976)&lt;&gt;0)),1,0)</f>
        <v>0</v>
      </c>
      <c r="Q976">
        <f>N(Q975)+$P976</f>
        <v>0</v>
      </c>
      <c r="R976">
        <f>IF(AND($K976=1,AND(对接源_01水果!$X976="公司筐",N(对接源_01水果!$U976)&lt;&gt;0)),1,0)</f>
        <v>0</v>
      </c>
      <c r="S976">
        <f>N(S975)+$R976</f>
        <v>0</v>
      </c>
      <c r="T976">
        <f>IF(AND($K976=1,AND(对接源_01水果!$X976="公司筐",N(对接源_01水果!$V976)&lt;&gt;0)),1,0)</f>
        <v>0</v>
      </c>
      <c r="U976">
        <f>N(U975)+$T976</f>
        <v>47</v>
      </c>
      <c r="V976">
        <f>IF(AND($L976=1,AND(对接源_01水果!$X976="自备筐",N(对接源_01水果!$V976)&lt;&gt;0)),1,0)</f>
        <v>0</v>
      </c>
      <c r="W976">
        <f>N(W975)+$V976</f>
        <v>11</v>
      </c>
      <c r="X976">
        <f>IF(AND($L976=1,AND(对接源_01水果!$X976="自备筐",N(对接源_01水果!$T976)&lt;&gt;0)),1,0)</f>
        <v>0</v>
      </c>
      <c r="Y976">
        <f>N(Y975)+$X976</f>
        <v>0</v>
      </c>
      <c r="Z976">
        <f>IF(AND($M976=1,对接源_01水果!$D976="原料入库"),1,0)</f>
        <v>0</v>
      </c>
      <c r="AA976">
        <f>N(AA975)+$Z976</f>
        <v>24</v>
      </c>
      <c r="AB976">
        <f>IF(AND($M976=1,LEFT(对接源_01水果!$D976,4)="原料出库"),1,0)</f>
        <v>0</v>
      </c>
      <c r="AC976">
        <f>N(AC975)+$AB976</f>
        <v>0</v>
      </c>
      <c r="AD976">
        <f>IF(AND($M976=1,LEFT(对接源_01水果!$D976,4)="成品出库"),1,0)</f>
        <v>0</v>
      </c>
      <c r="AE976">
        <f>N(AE975)+$AD976</f>
        <v>0</v>
      </c>
      <c r="AF976">
        <f>IF(AND($N976=1,AND(LEFT(对接源_01水果!$D976,4)="包装物料",N(对接源_01水果!$K976)&lt;&gt;0)),1,0)</f>
        <v>0</v>
      </c>
      <c r="AG976">
        <f>N(AG975)+$AF976</f>
        <v>0</v>
      </c>
      <c r="AH976">
        <f>IF(AND($N976=1,AND(对接源_01水果!$D976="周转筐－销售出库",N(对接源_01水果!$K976)&lt;&gt;0)),1,0)</f>
        <v>0</v>
      </c>
      <c r="AI976">
        <f>N(AI975)+$AH976</f>
        <v>0</v>
      </c>
      <c r="AJ976" s="7" t="n"/>
      <c r="AL976">
        <f>IF(OR($AL$1="",对接源_01水果!$Y976="",对接源_01水果!$Y976&lt;&gt;$AL$1,对接源_01水果!$B976="",N(对接源_01水果!$AJ976)&lt;=0),0,IF(OR(N(对接源_01水果!$B976)&lt;$AL$2,N(对接源_01水果!$B976)&gt;$AL$3),0,1))</f>
        <v>0</v>
      </c>
      <c r="AM976">
        <f>N(AM975)+$AL976</f>
        <v>2</v>
      </c>
      <c r="AN976">
        <f>IF(对接源_01水果!$AC976="","",对接源_01水果!$AC976)</f>
      </c>
      <c r="AO976">
        <f>IF(AN976="",0,IF(MATCH(AN976,$AN$4:$AN$1203,0)=ROW()-3,1,0))</f>
        <v>0</v>
      </c>
      <c r="AP976">
        <f>N(AP975)+$AO976</f>
        <v>13</v>
      </c>
      <c r="AR976">
        <f>IF(OR($AF976=1,$AH976=1),1,0)</f>
        <v>0</v>
      </c>
      <c r="AS976">
        <f>N(AS975)+$AR976</f>
        <v>0</v>
      </c>
    </row>
    <row r="977" ht="14.25" customHeight="1" s="127">
      <c r="A977">
        <f>IF(对接源_01水果!$C977="","",对接源_01水果!$C977)</f>
      </c>
      <c r="B977">
        <f>IF(A977="",0,IF(MATCH(A977,$A$4:$A$2403,0)=ROW()-3,1,0))</f>
        <v>0</v>
      </c>
      <c r="C977">
        <f>N(C976)+B977</f>
        <v>22</v>
      </c>
      <c r="K977">
        <f>IF(OR($K$1="",对接源_01水果!$C977="",对接源_01水果!$C977&lt;&gt;$K$1,对接源_01水果!$B977=""),0,IF(OR(N(对接源_01水果!$B977)&lt;$K$2,N(对接源_01水果!$B977)&gt;$K$3),0,1))</f>
        <v>0</v>
      </c>
      <c r="L977">
        <f>IF(OR($L$1="",对接源_01水果!$C977="",对接源_01水果!$C977&lt;&gt;$L$1,对接源_01水果!$B977=""),0,IF(OR(N(对接源_01水果!$B977)&lt;$L$2,N(对接源_01水果!$B977)&gt;$L$3),0,1))</f>
        <v>0</v>
      </c>
      <c r="M977">
        <f>IF(OR($M$1="",对接源_01水果!$C977="",对接源_01水果!$C977&lt;&gt;$M$1,对接源_01水果!$B977=""),0,IF(OR(N(对接源_01水果!$B977)&lt;$M$2,N(对接源_01水果!$B977)&gt;$M$3),0,1))</f>
        <v>0</v>
      </c>
      <c r="N977">
        <f>IF(OR($N$1="",对接源_01水果!$C977="",对接源_01水果!$C977&lt;&gt;$N$1,对接源_01水果!$B977=""),0,IF(OR(N(对接源_01水果!$B977)&lt;$N$2,N(对接源_01水果!$B977)&gt;$N$3),0,1))</f>
        <v>0</v>
      </c>
      <c r="P977">
        <f>IF(AND($K977=1,AND(对接源_01水果!$X977="公司筐",N(对接源_01水果!$T977)&lt;&gt;0)),1,0)</f>
        <v>0</v>
      </c>
      <c r="Q977">
        <f>N(Q976)+$P977</f>
        <v>0</v>
      </c>
      <c r="R977">
        <f>IF(AND($K977=1,AND(对接源_01水果!$X977="公司筐",N(对接源_01水果!$U977)&lt;&gt;0)),1,0)</f>
        <v>0</v>
      </c>
      <c r="S977">
        <f>N(S976)+$R977</f>
        <v>0</v>
      </c>
      <c r="T977">
        <f>IF(AND($K977=1,AND(对接源_01水果!$X977="公司筐",N(对接源_01水果!$V977)&lt;&gt;0)),1,0)</f>
        <v>0</v>
      </c>
      <c r="U977">
        <f>N(U976)+$T977</f>
        <v>47</v>
      </c>
      <c r="V977">
        <f>IF(AND($L977=1,AND(对接源_01水果!$X977="自备筐",N(对接源_01水果!$V977)&lt;&gt;0)),1,0)</f>
        <v>0</v>
      </c>
      <c r="W977">
        <f>N(W976)+$V977</f>
        <v>11</v>
      </c>
      <c r="X977">
        <f>IF(AND($L977=1,AND(对接源_01水果!$X977="自备筐",N(对接源_01水果!$T977)&lt;&gt;0)),1,0)</f>
        <v>0</v>
      </c>
      <c r="Y977">
        <f>N(Y976)+$X977</f>
        <v>0</v>
      </c>
      <c r="Z977">
        <f>IF(AND($M977=1,对接源_01水果!$D977="原料入库"),1,0)</f>
        <v>0</v>
      </c>
      <c r="AA977">
        <f>N(AA976)+$Z977</f>
        <v>24</v>
      </c>
      <c r="AB977">
        <f>IF(AND($M977=1,LEFT(对接源_01水果!$D977,4)="原料出库"),1,0)</f>
        <v>0</v>
      </c>
      <c r="AC977">
        <f>N(AC976)+$AB977</f>
        <v>0</v>
      </c>
      <c r="AD977">
        <f>IF(AND($M977=1,LEFT(对接源_01水果!$D977,4)="成品出库"),1,0)</f>
        <v>0</v>
      </c>
      <c r="AE977">
        <f>N(AE976)+$AD977</f>
        <v>0</v>
      </c>
      <c r="AF977">
        <f>IF(AND($N977=1,AND(LEFT(对接源_01水果!$D977,4)="包装物料",N(对接源_01水果!$K977)&lt;&gt;0)),1,0)</f>
        <v>0</v>
      </c>
      <c r="AG977">
        <f>N(AG976)+$AF977</f>
        <v>0</v>
      </c>
      <c r="AH977">
        <f>IF(AND($N977=1,AND(对接源_01水果!$D977="周转筐－销售出库",N(对接源_01水果!$K977)&lt;&gt;0)),1,0)</f>
        <v>0</v>
      </c>
      <c r="AI977">
        <f>N(AI976)+$AH977</f>
        <v>0</v>
      </c>
      <c r="AJ977" s="7" t="n"/>
      <c r="AL977">
        <f>IF(OR($AL$1="",对接源_01水果!$Y977="",对接源_01水果!$Y977&lt;&gt;$AL$1,对接源_01水果!$B977="",N(对接源_01水果!$AJ977)&lt;=0),0,IF(OR(N(对接源_01水果!$B977)&lt;$AL$2,N(对接源_01水果!$B977)&gt;$AL$3),0,1))</f>
        <v>0</v>
      </c>
      <c r="AM977">
        <f>N(AM976)+$AL977</f>
        <v>2</v>
      </c>
      <c r="AN977">
        <f>IF(对接源_01水果!$AC977="","",对接源_01水果!$AC977)</f>
      </c>
      <c r="AO977">
        <f>IF(AN977="",0,IF(MATCH(AN977,$AN$4:$AN$1203,0)=ROW()-3,1,0))</f>
        <v>0</v>
      </c>
      <c r="AP977">
        <f>N(AP976)+$AO977</f>
        <v>13</v>
      </c>
      <c r="AR977">
        <f>IF(OR($AF977=1,$AH977=1),1,0)</f>
        <v>0</v>
      </c>
      <c r="AS977">
        <f>N(AS976)+$AR977</f>
        <v>0</v>
      </c>
    </row>
    <row r="978" ht="14.25" customHeight="1" s="127">
      <c r="A978">
        <f>IF(对接源_01水果!$C978="","",对接源_01水果!$C978)</f>
      </c>
      <c r="B978">
        <f>IF(A978="",0,IF(MATCH(A978,$A$4:$A$2403,0)=ROW()-3,1,0))</f>
        <v>0</v>
      </c>
      <c r="C978">
        <f>N(C977)+B978</f>
        <v>22</v>
      </c>
      <c r="K978">
        <f>IF(OR($K$1="",对接源_01水果!$C978="",对接源_01水果!$C978&lt;&gt;$K$1,对接源_01水果!$B978=""),0,IF(OR(N(对接源_01水果!$B978)&lt;$K$2,N(对接源_01水果!$B978)&gt;$K$3),0,1))</f>
        <v>0</v>
      </c>
      <c r="L978">
        <f>IF(OR($L$1="",对接源_01水果!$C978="",对接源_01水果!$C978&lt;&gt;$L$1,对接源_01水果!$B978=""),0,IF(OR(N(对接源_01水果!$B978)&lt;$L$2,N(对接源_01水果!$B978)&gt;$L$3),0,1))</f>
        <v>0</v>
      </c>
      <c r="M978">
        <f>IF(OR($M$1="",对接源_01水果!$C978="",对接源_01水果!$C978&lt;&gt;$M$1,对接源_01水果!$B978=""),0,IF(OR(N(对接源_01水果!$B978)&lt;$M$2,N(对接源_01水果!$B978)&gt;$M$3),0,1))</f>
        <v>0</v>
      </c>
      <c r="N978">
        <f>IF(OR($N$1="",对接源_01水果!$C978="",对接源_01水果!$C978&lt;&gt;$N$1,对接源_01水果!$B978=""),0,IF(OR(N(对接源_01水果!$B978)&lt;$N$2,N(对接源_01水果!$B978)&gt;$N$3),0,1))</f>
        <v>0</v>
      </c>
      <c r="P978">
        <f>IF(AND($K978=1,AND(对接源_01水果!$X978="公司筐",N(对接源_01水果!$T978)&lt;&gt;0)),1,0)</f>
        <v>0</v>
      </c>
      <c r="Q978">
        <f>N(Q977)+$P978</f>
        <v>0</v>
      </c>
      <c r="R978">
        <f>IF(AND($K978=1,AND(对接源_01水果!$X978="公司筐",N(对接源_01水果!$U978)&lt;&gt;0)),1,0)</f>
        <v>0</v>
      </c>
      <c r="S978">
        <f>N(S977)+$R978</f>
        <v>0</v>
      </c>
      <c r="T978">
        <f>IF(AND($K978=1,AND(对接源_01水果!$X978="公司筐",N(对接源_01水果!$V978)&lt;&gt;0)),1,0)</f>
        <v>0</v>
      </c>
      <c r="U978">
        <f>N(U977)+$T978</f>
        <v>47</v>
      </c>
      <c r="V978">
        <f>IF(AND($L978=1,AND(对接源_01水果!$X978="自备筐",N(对接源_01水果!$V978)&lt;&gt;0)),1,0)</f>
        <v>0</v>
      </c>
      <c r="W978">
        <f>N(W977)+$V978</f>
        <v>11</v>
      </c>
      <c r="X978">
        <f>IF(AND($L978=1,AND(对接源_01水果!$X978="自备筐",N(对接源_01水果!$T978)&lt;&gt;0)),1,0)</f>
        <v>0</v>
      </c>
      <c r="Y978">
        <f>N(Y977)+$X978</f>
        <v>0</v>
      </c>
      <c r="Z978">
        <f>IF(AND($M978=1,对接源_01水果!$D978="原料入库"),1,0)</f>
        <v>0</v>
      </c>
      <c r="AA978">
        <f>N(AA977)+$Z978</f>
        <v>24</v>
      </c>
      <c r="AB978">
        <f>IF(AND($M978=1,LEFT(对接源_01水果!$D978,4)="原料出库"),1,0)</f>
        <v>0</v>
      </c>
      <c r="AC978">
        <f>N(AC977)+$AB978</f>
        <v>0</v>
      </c>
      <c r="AD978">
        <f>IF(AND($M978=1,LEFT(对接源_01水果!$D978,4)="成品出库"),1,0)</f>
        <v>0</v>
      </c>
      <c r="AE978">
        <f>N(AE977)+$AD978</f>
        <v>0</v>
      </c>
      <c r="AF978">
        <f>IF(AND($N978=1,AND(LEFT(对接源_01水果!$D978,4)="包装物料",N(对接源_01水果!$K978)&lt;&gt;0)),1,0)</f>
        <v>0</v>
      </c>
      <c r="AG978">
        <f>N(AG977)+$AF978</f>
        <v>0</v>
      </c>
      <c r="AH978">
        <f>IF(AND($N978=1,AND(对接源_01水果!$D978="周转筐－销售出库",N(对接源_01水果!$K978)&lt;&gt;0)),1,0)</f>
        <v>0</v>
      </c>
      <c r="AI978">
        <f>N(AI977)+$AH978</f>
        <v>0</v>
      </c>
      <c r="AJ978" s="7" t="n"/>
      <c r="AL978">
        <f>IF(OR($AL$1="",对接源_01水果!$Y978="",对接源_01水果!$Y978&lt;&gt;$AL$1,对接源_01水果!$B978="",N(对接源_01水果!$AJ978)&lt;=0),0,IF(OR(N(对接源_01水果!$B978)&lt;$AL$2,N(对接源_01水果!$B978)&gt;$AL$3),0,1))</f>
        <v>0</v>
      </c>
      <c r="AM978">
        <f>N(AM977)+$AL978</f>
        <v>2</v>
      </c>
      <c r="AN978">
        <f>IF(对接源_01水果!$AC978="","",对接源_01水果!$AC978)</f>
      </c>
      <c r="AO978">
        <f>IF(AN978="",0,IF(MATCH(AN978,$AN$4:$AN$1203,0)=ROW()-3,1,0))</f>
        <v>0</v>
      </c>
      <c r="AP978">
        <f>N(AP977)+$AO978</f>
        <v>13</v>
      </c>
      <c r="AR978">
        <f>IF(OR($AF978=1,$AH978=1),1,0)</f>
        <v>0</v>
      </c>
      <c r="AS978">
        <f>N(AS977)+$AR978</f>
        <v>0</v>
      </c>
    </row>
    <row r="979" ht="14.25" customHeight="1" s="127">
      <c r="A979">
        <f>IF(对接源_01水果!$C979="","",对接源_01水果!$C979)</f>
      </c>
      <c r="B979">
        <f>IF(A979="",0,IF(MATCH(A979,$A$4:$A$2403,0)=ROW()-3,1,0))</f>
        <v>0</v>
      </c>
      <c r="C979">
        <f>N(C978)+B979</f>
        <v>22</v>
      </c>
      <c r="K979">
        <f>IF(OR($K$1="",对接源_01水果!$C979="",对接源_01水果!$C979&lt;&gt;$K$1,对接源_01水果!$B979=""),0,IF(OR(N(对接源_01水果!$B979)&lt;$K$2,N(对接源_01水果!$B979)&gt;$K$3),0,1))</f>
        <v>0</v>
      </c>
      <c r="L979">
        <f>IF(OR($L$1="",对接源_01水果!$C979="",对接源_01水果!$C979&lt;&gt;$L$1,对接源_01水果!$B979=""),0,IF(OR(N(对接源_01水果!$B979)&lt;$L$2,N(对接源_01水果!$B979)&gt;$L$3),0,1))</f>
        <v>0</v>
      </c>
      <c r="M979">
        <f>IF(OR($M$1="",对接源_01水果!$C979="",对接源_01水果!$C979&lt;&gt;$M$1,对接源_01水果!$B979=""),0,IF(OR(N(对接源_01水果!$B979)&lt;$M$2,N(对接源_01水果!$B979)&gt;$M$3),0,1))</f>
        <v>0</v>
      </c>
      <c r="N979">
        <f>IF(OR($N$1="",对接源_01水果!$C979="",对接源_01水果!$C979&lt;&gt;$N$1,对接源_01水果!$B979=""),0,IF(OR(N(对接源_01水果!$B979)&lt;$N$2,N(对接源_01水果!$B979)&gt;$N$3),0,1))</f>
        <v>0</v>
      </c>
      <c r="P979">
        <f>IF(AND($K979=1,AND(对接源_01水果!$X979="公司筐",N(对接源_01水果!$T979)&lt;&gt;0)),1,0)</f>
        <v>0</v>
      </c>
      <c r="Q979">
        <f>N(Q978)+$P979</f>
        <v>0</v>
      </c>
      <c r="R979">
        <f>IF(AND($K979=1,AND(对接源_01水果!$X979="公司筐",N(对接源_01水果!$U979)&lt;&gt;0)),1,0)</f>
        <v>0</v>
      </c>
      <c r="S979">
        <f>N(S978)+$R979</f>
        <v>0</v>
      </c>
      <c r="T979">
        <f>IF(AND($K979=1,AND(对接源_01水果!$X979="公司筐",N(对接源_01水果!$V979)&lt;&gt;0)),1,0)</f>
        <v>0</v>
      </c>
      <c r="U979">
        <f>N(U978)+$T979</f>
        <v>47</v>
      </c>
      <c r="V979">
        <f>IF(AND($L979=1,AND(对接源_01水果!$X979="自备筐",N(对接源_01水果!$V979)&lt;&gt;0)),1,0)</f>
        <v>0</v>
      </c>
      <c r="W979">
        <f>N(W978)+$V979</f>
        <v>11</v>
      </c>
      <c r="X979">
        <f>IF(AND($L979=1,AND(对接源_01水果!$X979="自备筐",N(对接源_01水果!$T979)&lt;&gt;0)),1,0)</f>
        <v>0</v>
      </c>
      <c r="Y979">
        <f>N(Y978)+$X979</f>
        <v>0</v>
      </c>
      <c r="Z979">
        <f>IF(AND($M979=1,对接源_01水果!$D979="原料入库"),1,0)</f>
        <v>0</v>
      </c>
      <c r="AA979">
        <f>N(AA978)+$Z979</f>
        <v>24</v>
      </c>
      <c r="AB979">
        <f>IF(AND($M979=1,LEFT(对接源_01水果!$D979,4)="原料出库"),1,0)</f>
        <v>0</v>
      </c>
      <c r="AC979">
        <f>N(AC978)+$AB979</f>
        <v>0</v>
      </c>
      <c r="AD979">
        <f>IF(AND($M979=1,LEFT(对接源_01水果!$D979,4)="成品出库"),1,0)</f>
        <v>0</v>
      </c>
      <c r="AE979">
        <f>N(AE978)+$AD979</f>
        <v>0</v>
      </c>
      <c r="AF979">
        <f>IF(AND($N979=1,AND(LEFT(对接源_01水果!$D979,4)="包装物料",N(对接源_01水果!$K979)&lt;&gt;0)),1,0)</f>
        <v>0</v>
      </c>
      <c r="AG979">
        <f>N(AG978)+$AF979</f>
        <v>0</v>
      </c>
      <c r="AH979">
        <f>IF(AND($N979=1,AND(对接源_01水果!$D979="周转筐－销售出库",N(对接源_01水果!$K979)&lt;&gt;0)),1,0)</f>
        <v>0</v>
      </c>
      <c r="AI979">
        <f>N(AI978)+$AH979</f>
        <v>0</v>
      </c>
      <c r="AJ979" s="7" t="n"/>
      <c r="AL979">
        <f>IF(OR($AL$1="",对接源_01水果!$Y979="",对接源_01水果!$Y979&lt;&gt;$AL$1,对接源_01水果!$B979="",N(对接源_01水果!$AJ979)&lt;=0),0,IF(OR(N(对接源_01水果!$B979)&lt;$AL$2,N(对接源_01水果!$B979)&gt;$AL$3),0,1))</f>
        <v>0</v>
      </c>
      <c r="AM979">
        <f>N(AM978)+$AL979</f>
        <v>2</v>
      </c>
      <c r="AN979">
        <f>IF(对接源_01水果!$AC979="","",对接源_01水果!$AC979)</f>
      </c>
      <c r="AO979">
        <f>IF(AN979="",0,IF(MATCH(AN979,$AN$4:$AN$1203,0)=ROW()-3,1,0))</f>
        <v>0</v>
      </c>
      <c r="AP979">
        <f>N(AP978)+$AO979</f>
        <v>13</v>
      </c>
      <c r="AR979">
        <f>IF(OR($AF979=1,$AH979=1),1,0)</f>
        <v>0</v>
      </c>
      <c r="AS979">
        <f>N(AS978)+$AR979</f>
        <v>0</v>
      </c>
    </row>
    <row r="980" ht="14.25" customHeight="1" s="127">
      <c r="A980">
        <f>IF(对接源_01水果!$C980="","",对接源_01水果!$C980)</f>
      </c>
      <c r="B980">
        <f>IF(A980="",0,IF(MATCH(A980,$A$4:$A$2403,0)=ROW()-3,1,0))</f>
        <v>0</v>
      </c>
      <c r="C980">
        <f>N(C979)+B980</f>
        <v>22</v>
      </c>
      <c r="K980">
        <f>IF(OR($K$1="",对接源_01水果!$C980="",对接源_01水果!$C980&lt;&gt;$K$1,对接源_01水果!$B980=""),0,IF(OR(N(对接源_01水果!$B980)&lt;$K$2,N(对接源_01水果!$B980)&gt;$K$3),0,1))</f>
        <v>0</v>
      </c>
      <c r="L980">
        <f>IF(OR($L$1="",对接源_01水果!$C980="",对接源_01水果!$C980&lt;&gt;$L$1,对接源_01水果!$B980=""),0,IF(OR(N(对接源_01水果!$B980)&lt;$L$2,N(对接源_01水果!$B980)&gt;$L$3),0,1))</f>
        <v>0</v>
      </c>
      <c r="M980">
        <f>IF(OR($M$1="",对接源_01水果!$C980="",对接源_01水果!$C980&lt;&gt;$M$1,对接源_01水果!$B980=""),0,IF(OR(N(对接源_01水果!$B980)&lt;$M$2,N(对接源_01水果!$B980)&gt;$M$3),0,1))</f>
        <v>0</v>
      </c>
      <c r="N980">
        <f>IF(OR($N$1="",对接源_01水果!$C980="",对接源_01水果!$C980&lt;&gt;$N$1,对接源_01水果!$B980=""),0,IF(OR(N(对接源_01水果!$B980)&lt;$N$2,N(对接源_01水果!$B980)&gt;$N$3),0,1))</f>
        <v>0</v>
      </c>
      <c r="P980">
        <f>IF(AND($K980=1,AND(对接源_01水果!$X980="公司筐",N(对接源_01水果!$T980)&lt;&gt;0)),1,0)</f>
        <v>0</v>
      </c>
      <c r="Q980">
        <f>N(Q979)+$P980</f>
        <v>0</v>
      </c>
      <c r="R980">
        <f>IF(AND($K980=1,AND(对接源_01水果!$X980="公司筐",N(对接源_01水果!$U980)&lt;&gt;0)),1,0)</f>
        <v>0</v>
      </c>
      <c r="S980">
        <f>N(S979)+$R980</f>
        <v>0</v>
      </c>
      <c r="T980">
        <f>IF(AND($K980=1,AND(对接源_01水果!$X980="公司筐",N(对接源_01水果!$V980)&lt;&gt;0)),1,0)</f>
        <v>0</v>
      </c>
      <c r="U980">
        <f>N(U979)+$T980</f>
        <v>47</v>
      </c>
      <c r="V980">
        <f>IF(AND($L980=1,AND(对接源_01水果!$X980="自备筐",N(对接源_01水果!$V980)&lt;&gt;0)),1,0)</f>
        <v>0</v>
      </c>
      <c r="W980">
        <f>N(W979)+$V980</f>
        <v>11</v>
      </c>
      <c r="X980">
        <f>IF(AND($L980=1,AND(对接源_01水果!$X980="自备筐",N(对接源_01水果!$T980)&lt;&gt;0)),1,0)</f>
        <v>0</v>
      </c>
      <c r="Y980">
        <f>N(Y979)+$X980</f>
        <v>0</v>
      </c>
      <c r="Z980">
        <f>IF(AND($M980=1,对接源_01水果!$D980="原料入库"),1,0)</f>
        <v>0</v>
      </c>
      <c r="AA980">
        <f>N(AA979)+$Z980</f>
        <v>24</v>
      </c>
      <c r="AB980">
        <f>IF(AND($M980=1,LEFT(对接源_01水果!$D980,4)="原料出库"),1,0)</f>
        <v>0</v>
      </c>
      <c r="AC980">
        <f>N(AC979)+$AB980</f>
        <v>0</v>
      </c>
      <c r="AD980">
        <f>IF(AND($M980=1,LEFT(对接源_01水果!$D980,4)="成品出库"),1,0)</f>
        <v>0</v>
      </c>
      <c r="AE980">
        <f>N(AE979)+$AD980</f>
        <v>0</v>
      </c>
      <c r="AF980">
        <f>IF(AND($N980=1,AND(LEFT(对接源_01水果!$D980,4)="包装物料",N(对接源_01水果!$K980)&lt;&gt;0)),1,0)</f>
        <v>0</v>
      </c>
      <c r="AG980">
        <f>N(AG979)+$AF980</f>
        <v>0</v>
      </c>
      <c r="AH980">
        <f>IF(AND($N980=1,AND(对接源_01水果!$D980="周转筐－销售出库",N(对接源_01水果!$K980)&lt;&gt;0)),1,0)</f>
        <v>0</v>
      </c>
      <c r="AI980">
        <f>N(AI979)+$AH980</f>
        <v>0</v>
      </c>
      <c r="AJ980" s="7" t="n"/>
      <c r="AL980">
        <f>IF(OR($AL$1="",对接源_01水果!$Y980="",对接源_01水果!$Y980&lt;&gt;$AL$1,对接源_01水果!$B980="",N(对接源_01水果!$AJ980)&lt;=0),0,IF(OR(N(对接源_01水果!$B980)&lt;$AL$2,N(对接源_01水果!$B980)&gt;$AL$3),0,1))</f>
        <v>0</v>
      </c>
      <c r="AM980">
        <f>N(AM979)+$AL980</f>
        <v>2</v>
      </c>
      <c r="AN980">
        <f>IF(对接源_01水果!$AC980="","",对接源_01水果!$AC980)</f>
      </c>
      <c r="AO980">
        <f>IF(AN980="",0,IF(MATCH(AN980,$AN$4:$AN$1203,0)=ROW()-3,1,0))</f>
        <v>0</v>
      </c>
      <c r="AP980">
        <f>N(AP979)+$AO980</f>
        <v>13</v>
      </c>
      <c r="AR980">
        <f>IF(OR($AF980=1,$AH980=1),1,0)</f>
        <v>0</v>
      </c>
      <c r="AS980">
        <f>N(AS979)+$AR980</f>
        <v>0</v>
      </c>
    </row>
    <row r="981" ht="14.25" customHeight="1" s="127">
      <c r="A981">
        <f>IF(对接源_01水果!$C981="","",对接源_01水果!$C981)</f>
      </c>
      <c r="B981">
        <f>IF(A981="",0,IF(MATCH(A981,$A$4:$A$2403,0)=ROW()-3,1,0))</f>
        <v>0</v>
      </c>
      <c r="C981">
        <f>N(C980)+B981</f>
        <v>22</v>
      </c>
      <c r="K981">
        <f>IF(OR($K$1="",对接源_01水果!$C981="",对接源_01水果!$C981&lt;&gt;$K$1,对接源_01水果!$B981=""),0,IF(OR(N(对接源_01水果!$B981)&lt;$K$2,N(对接源_01水果!$B981)&gt;$K$3),0,1))</f>
        <v>0</v>
      </c>
      <c r="L981">
        <f>IF(OR($L$1="",对接源_01水果!$C981="",对接源_01水果!$C981&lt;&gt;$L$1,对接源_01水果!$B981=""),0,IF(OR(N(对接源_01水果!$B981)&lt;$L$2,N(对接源_01水果!$B981)&gt;$L$3),0,1))</f>
        <v>0</v>
      </c>
      <c r="M981">
        <f>IF(OR($M$1="",对接源_01水果!$C981="",对接源_01水果!$C981&lt;&gt;$M$1,对接源_01水果!$B981=""),0,IF(OR(N(对接源_01水果!$B981)&lt;$M$2,N(对接源_01水果!$B981)&gt;$M$3),0,1))</f>
        <v>0</v>
      </c>
      <c r="N981">
        <f>IF(OR($N$1="",对接源_01水果!$C981="",对接源_01水果!$C981&lt;&gt;$N$1,对接源_01水果!$B981=""),0,IF(OR(N(对接源_01水果!$B981)&lt;$N$2,N(对接源_01水果!$B981)&gt;$N$3),0,1))</f>
        <v>0</v>
      </c>
      <c r="P981">
        <f>IF(AND($K981=1,AND(对接源_01水果!$X981="公司筐",N(对接源_01水果!$T981)&lt;&gt;0)),1,0)</f>
        <v>0</v>
      </c>
      <c r="Q981">
        <f>N(Q980)+$P981</f>
        <v>0</v>
      </c>
      <c r="R981">
        <f>IF(AND($K981=1,AND(对接源_01水果!$X981="公司筐",N(对接源_01水果!$U981)&lt;&gt;0)),1,0)</f>
        <v>0</v>
      </c>
      <c r="S981">
        <f>N(S980)+$R981</f>
        <v>0</v>
      </c>
      <c r="T981">
        <f>IF(AND($K981=1,AND(对接源_01水果!$X981="公司筐",N(对接源_01水果!$V981)&lt;&gt;0)),1,0)</f>
        <v>0</v>
      </c>
      <c r="U981">
        <f>N(U980)+$T981</f>
        <v>47</v>
      </c>
      <c r="V981">
        <f>IF(AND($L981=1,AND(对接源_01水果!$X981="自备筐",N(对接源_01水果!$V981)&lt;&gt;0)),1,0)</f>
        <v>0</v>
      </c>
      <c r="W981">
        <f>N(W980)+$V981</f>
        <v>11</v>
      </c>
      <c r="X981">
        <f>IF(AND($L981=1,AND(对接源_01水果!$X981="自备筐",N(对接源_01水果!$T981)&lt;&gt;0)),1,0)</f>
        <v>0</v>
      </c>
      <c r="Y981">
        <f>N(Y980)+$X981</f>
        <v>0</v>
      </c>
      <c r="Z981">
        <f>IF(AND($M981=1,对接源_01水果!$D981="原料入库"),1,0)</f>
        <v>0</v>
      </c>
      <c r="AA981">
        <f>N(AA980)+$Z981</f>
        <v>24</v>
      </c>
      <c r="AB981">
        <f>IF(AND($M981=1,LEFT(对接源_01水果!$D981,4)="原料出库"),1,0)</f>
        <v>0</v>
      </c>
      <c r="AC981">
        <f>N(AC980)+$AB981</f>
        <v>0</v>
      </c>
      <c r="AD981">
        <f>IF(AND($M981=1,LEFT(对接源_01水果!$D981,4)="成品出库"),1,0)</f>
        <v>0</v>
      </c>
      <c r="AE981">
        <f>N(AE980)+$AD981</f>
        <v>0</v>
      </c>
      <c r="AF981">
        <f>IF(AND($N981=1,AND(LEFT(对接源_01水果!$D981,4)="包装物料",N(对接源_01水果!$K981)&lt;&gt;0)),1,0)</f>
        <v>0</v>
      </c>
      <c r="AG981">
        <f>N(AG980)+$AF981</f>
        <v>0</v>
      </c>
      <c r="AH981">
        <f>IF(AND($N981=1,AND(对接源_01水果!$D981="周转筐－销售出库",N(对接源_01水果!$K981)&lt;&gt;0)),1,0)</f>
        <v>0</v>
      </c>
      <c r="AI981">
        <f>N(AI980)+$AH981</f>
        <v>0</v>
      </c>
      <c r="AJ981" s="7" t="n"/>
      <c r="AL981">
        <f>IF(OR($AL$1="",对接源_01水果!$Y981="",对接源_01水果!$Y981&lt;&gt;$AL$1,对接源_01水果!$B981="",N(对接源_01水果!$AJ981)&lt;=0),0,IF(OR(N(对接源_01水果!$B981)&lt;$AL$2,N(对接源_01水果!$B981)&gt;$AL$3),0,1))</f>
        <v>0</v>
      </c>
      <c r="AM981">
        <f>N(AM980)+$AL981</f>
        <v>2</v>
      </c>
      <c r="AN981">
        <f>IF(对接源_01水果!$AC981="","",对接源_01水果!$AC981)</f>
      </c>
      <c r="AO981">
        <f>IF(AN981="",0,IF(MATCH(AN981,$AN$4:$AN$1203,0)=ROW()-3,1,0))</f>
        <v>0</v>
      </c>
      <c r="AP981">
        <f>N(AP980)+$AO981</f>
        <v>13</v>
      </c>
      <c r="AR981">
        <f>IF(OR($AF981=1,$AH981=1),1,0)</f>
        <v>0</v>
      </c>
      <c r="AS981">
        <f>N(AS980)+$AR981</f>
        <v>0</v>
      </c>
    </row>
    <row r="982" ht="14.25" customHeight="1" s="127">
      <c r="A982">
        <f>IF(对接源_01水果!$C982="","",对接源_01水果!$C982)</f>
      </c>
      <c r="B982">
        <f>IF(A982="",0,IF(MATCH(A982,$A$4:$A$2403,0)=ROW()-3,1,0))</f>
        <v>0</v>
      </c>
      <c r="C982">
        <f>N(C981)+B982</f>
        <v>22</v>
      </c>
      <c r="K982">
        <f>IF(OR($K$1="",对接源_01水果!$C982="",对接源_01水果!$C982&lt;&gt;$K$1,对接源_01水果!$B982=""),0,IF(OR(N(对接源_01水果!$B982)&lt;$K$2,N(对接源_01水果!$B982)&gt;$K$3),0,1))</f>
        <v>0</v>
      </c>
      <c r="L982">
        <f>IF(OR($L$1="",对接源_01水果!$C982="",对接源_01水果!$C982&lt;&gt;$L$1,对接源_01水果!$B982=""),0,IF(OR(N(对接源_01水果!$B982)&lt;$L$2,N(对接源_01水果!$B982)&gt;$L$3),0,1))</f>
        <v>0</v>
      </c>
      <c r="M982">
        <f>IF(OR($M$1="",对接源_01水果!$C982="",对接源_01水果!$C982&lt;&gt;$M$1,对接源_01水果!$B982=""),0,IF(OR(N(对接源_01水果!$B982)&lt;$M$2,N(对接源_01水果!$B982)&gt;$M$3),0,1))</f>
        <v>0</v>
      </c>
      <c r="N982">
        <f>IF(OR($N$1="",对接源_01水果!$C982="",对接源_01水果!$C982&lt;&gt;$N$1,对接源_01水果!$B982=""),0,IF(OR(N(对接源_01水果!$B982)&lt;$N$2,N(对接源_01水果!$B982)&gt;$N$3),0,1))</f>
        <v>0</v>
      </c>
      <c r="P982">
        <f>IF(AND($K982=1,AND(对接源_01水果!$X982="公司筐",N(对接源_01水果!$T982)&lt;&gt;0)),1,0)</f>
        <v>0</v>
      </c>
      <c r="Q982">
        <f>N(Q981)+$P982</f>
        <v>0</v>
      </c>
      <c r="R982">
        <f>IF(AND($K982=1,AND(对接源_01水果!$X982="公司筐",N(对接源_01水果!$U982)&lt;&gt;0)),1,0)</f>
        <v>0</v>
      </c>
      <c r="S982">
        <f>N(S981)+$R982</f>
        <v>0</v>
      </c>
      <c r="T982">
        <f>IF(AND($K982=1,AND(对接源_01水果!$X982="公司筐",N(对接源_01水果!$V982)&lt;&gt;0)),1,0)</f>
        <v>0</v>
      </c>
      <c r="U982">
        <f>N(U981)+$T982</f>
        <v>47</v>
      </c>
      <c r="V982">
        <f>IF(AND($L982=1,AND(对接源_01水果!$X982="自备筐",N(对接源_01水果!$V982)&lt;&gt;0)),1,0)</f>
        <v>0</v>
      </c>
      <c r="W982">
        <f>N(W981)+$V982</f>
        <v>11</v>
      </c>
      <c r="X982">
        <f>IF(AND($L982=1,AND(对接源_01水果!$X982="自备筐",N(对接源_01水果!$T982)&lt;&gt;0)),1,0)</f>
        <v>0</v>
      </c>
      <c r="Y982">
        <f>N(Y981)+$X982</f>
        <v>0</v>
      </c>
      <c r="Z982">
        <f>IF(AND($M982=1,对接源_01水果!$D982="原料入库"),1,0)</f>
        <v>0</v>
      </c>
      <c r="AA982">
        <f>N(AA981)+$Z982</f>
        <v>24</v>
      </c>
      <c r="AB982">
        <f>IF(AND($M982=1,LEFT(对接源_01水果!$D982,4)="原料出库"),1,0)</f>
        <v>0</v>
      </c>
      <c r="AC982">
        <f>N(AC981)+$AB982</f>
        <v>0</v>
      </c>
      <c r="AD982">
        <f>IF(AND($M982=1,LEFT(对接源_01水果!$D982,4)="成品出库"),1,0)</f>
        <v>0</v>
      </c>
      <c r="AE982">
        <f>N(AE981)+$AD982</f>
        <v>0</v>
      </c>
      <c r="AF982">
        <f>IF(AND($N982=1,AND(LEFT(对接源_01水果!$D982,4)="包装物料",N(对接源_01水果!$K982)&lt;&gt;0)),1,0)</f>
        <v>0</v>
      </c>
      <c r="AG982">
        <f>N(AG981)+$AF982</f>
        <v>0</v>
      </c>
      <c r="AH982">
        <f>IF(AND($N982=1,AND(对接源_01水果!$D982="周转筐－销售出库",N(对接源_01水果!$K982)&lt;&gt;0)),1,0)</f>
        <v>0</v>
      </c>
      <c r="AI982">
        <f>N(AI981)+$AH982</f>
        <v>0</v>
      </c>
      <c r="AJ982" s="7" t="n"/>
      <c r="AL982">
        <f>IF(OR($AL$1="",对接源_01水果!$Y982="",对接源_01水果!$Y982&lt;&gt;$AL$1,对接源_01水果!$B982="",N(对接源_01水果!$AJ982)&lt;=0),0,IF(OR(N(对接源_01水果!$B982)&lt;$AL$2,N(对接源_01水果!$B982)&gt;$AL$3),0,1))</f>
        <v>0</v>
      </c>
      <c r="AM982">
        <f>N(AM981)+$AL982</f>
        <v>2</v>
      </c>
      <c r="AN982">
        <f>IF(对接源_01水果!$AC982="","",对接源_01水果!$AC982)</f>
      </c>
      <c r="AO982">
        <f>IF(AN982="",0,IF(MATCH(AN982,$AN$4:$AN$1203,0)=ROW()-3,1,0))</f>
        <v>0</v>
      </c>
      <c r="AP982">
        <f>N(AP981)+$AO982</f>
        <v>13</v>
      </c>
      <c r="AR982">
        <f>IF(OR($AF982=1,$AH982=1),1,0)</f>
        <v>0</v>
      </c>
      <c r="AS982">
        <f>N(AS981)+$AR982</f>
        <v>0</v>
      </c>
    </row>
    <row r="983" ht="14.25" customHeight="1" s="127">
      <c r="A983">
        <f>IF(对接源_01水果!$C983="","",对接源_01水果!$C983)</f>
      </c>
      <c r="B983">
        <f>IF(A983="",0,IF(MATCH(A983,$A$4:$A$2403,0)=ROW()-3,1,0))</f>
        <v>0</v>
      </c>
      <c r="C983">
        <f>N(C982)+B983</f>
        <v>22</v>
      </c>
      <c r="K983">
        <f>IF(OR($K$1="",对接源_01水果!$C983="",对接源_01水果!$C983&lt;&gt;$K$1,对接源_01水果!$B983=""),0,IF(OR(N(对接源_01水果!$B983)&lt;$K$2,N(对接源_01水果!$B983)&gt;$K$3),0,1))</f>
        <v>0</v>
      </c>
      <c r="L983">
        <f>IF(OR($L$1="",对接源_01水果!$C983="",对接源_01水果!$C983&lt;&gt;$L$1,对接源_01水果!$B983=""),0,IF(OR(N(对接源_01水果!$B983)&lt;$L$2,N(对接源_01水果!$B983)&gt;$L$3),0,1))</f>
        <v>0</v>
      </c>
      <c r="M983">
        <f>IF(OR($M$1="",对接源_01水果!$C983="",对接源_01水果!$C983&lt;&gt;$M$1,对接源_01水果!$B983=""),0,IF(OR(N(对接源_01水果!$B983)&lt;$M$2,N(对接源_01水果!$B983)&gt;$M$3),0,1))</f>
        <v>0</v>
      </c>
      <c r="N983">
        <f>IF(OR($N$1="",对接源_01水果!$C983="",对接源_01水果!$C983&lt;&gt;$N$1,对接源_01水果!$B983=""),0,IF(OR(N(对接源_01水果!$B983)&lt;$N$2,N(对接源_01水果!$B983)&gt;$N$3),0,1))</f>
        <v>0</v>
      </c>
      <c r="P983">
        <f>IF(AND($K983=1,AND(对接源_01水果!$X983="公司筐",N(对接源_01水果!$T983)&lt;&gt;0)),1,0)</f>
        <v>0</v>
      </c>
      <c r="Q983">
        <f>N(Q982)+$P983</f>
        <v>0</v>
      </c>
      <c r="R983">
        <f>IF(AND($K983=1,AND(对接源_01水果!$X983="公司筐",N(对接源_01水果!$U983)&lt;&gt;0)),1,0)</f>
        <v>0</v>
      </c>
      <c r="S983">
        <f>N(S982)+$R983</f>
        <v>0</v>
      </c>
      <c r="T983">
        <f>IF(AND($K983=1,AND(对接源_01水果!$X983="公司筐",N(对接源_01水果!$V983)&lt;&gt;0)),1,0)</f>
        <v>0</v>
      </c>
      <c r="U983">
        <f>N(U982)+$T983</f>
        <v>47</v>
      </c>
      <c r="V983">
        <f>IF(AND($L983=1,AND(对接源_01水果!$X983="自备筐",N(对接源_01水果!$V983)&lt;&gt;0)),1,0)</f>
        <v>0</v>
      </c>
      <c r="W983">
        <f>N(W982)+$V983</f>
        <v>11</v>
      </c>
      <c r="X983">
        <f>IF(AND($L983=1,AND(对接源_01水果!$X983="自备筐",N(对接源_01水果!$T983)&lt;&gt;0)),1,0)</f>
        <v>0</v>
      </c>
      <c r="Y983">
        <f>N(Y982)+$X983</f>
        <v>0</v>
      </c>
      <c r="Z983">
        <f>IF(AND($M983=1,对接源_01水果!$D983="原料入库"),1,0)</f>
        <v>0</v>
      </c>
      <c r="AA983">
        <f>N(AA982)+$Z983</f>
        <v>24</v>
      </c>
      <c r="AB983">
        <f>IF(AND($M983=1,LEFT(对接源_01水果!$D983,4)="原料出库"),1,0)</f>
        <v>0</v>
      </c>
      <c r="AC983">
        <f>N(AC982)+$AB983</f>
        <v>0</v>
      </c>
      <c r="AD983">
        <f>IF(AND($M983=1,LEFT(对接源_01水果!$D983,4)="成品出库"),1,0)</f>
        <v>0</v>
      </c>
      <c r="AE983">
        <f>N(AE982)+$AD983</f>
        <v>0</v>
      </c>
      <c r="AF983">
        <f>IF(AND($N983=1,AND(LEFT(对接源_01水果!$D983,4)="包装物料",N(对接源_01水果!$K983)&lt;&gt;0)),1,0)</f>
        <v>0</v>
      </c>
      <c r="AG983">
        <f>N(AG982)+$AF983</f>
        <v>0</v>
      </c>
      <c r="AH983">
        <f>IF(AND($N983=1,AND(对接源_01水果!$D983="周转筐－销售出库",N(对接源_01水果!$K983)&lt;&gt;0)),1,0)</f>
        <v>0</v>
      </c>
      <c r="AI983">
        <f>N(AI982)+$AH983</f>
        <v>0</v>
      </c>
      <c r="AJ983" s="7" t="n"/>
      <c r="AL983">
        <f>IF(OR($AL$1="",对接源_01水果!$Y983="",对接源_01水果!$Y983&lt;&gt;$AL$1,对接源_01水果!$B983="",N(对接源_01水果!$AJ983)&lt;=0),0,IF(OR(N(对接源_01水果!$B983)&lt;$AL$2,N(对接源_01水果!$B983)&gt;$AL$3),0,1))</f>
        <v>0</v>
      </c>
      <c r="AM983">
        <f>N(AM982)+$AL983</f>
        <v>2</v>
      </c>
      <c r="AN983">
        <f>IF(对接源_01水果!$AC983="","",对接源_01水果!$AC983)</f>
      </c>
      <c r="AO983">
        <f>IF(AN983="",0,IF(MATCH(AN983,$AN$4:$AN$1203,0)=ROW()-3,1,0))</f>
        <v>0</v>
      </c>
      <c r="AP983">
        <f>N(AP982)+$AO983</f>
        <v>13</v>
      </c>
      <c r="AR983">
        <f>IF(OR($AF983=1,$AH983=1),1,0)</f>
        <v>0</v>
      </c>
      <c r="AS983">
        <f>N(AS982)+$AR983</f>
        <v>0</v>
      </c>
    </row>
    <row r="984" ht="14.25" customHeight="1" s="127">
      <c r="A984">
        <f>IF(对接源_01水果!$C984="","",对接源_01水果!$C984)</f>
      </c>
      <c r="B984">
        <f>IF(A984="",0,IF(MATCH(A984,$A$4:$A$2403,0)=ROW()-3,1,0))</f>
        <v>0</v>
      </c>
      <c r="C984">
        <f>N(C983)+B984</f>
        <v>22</v>
      </c>
      <c r="K984">
        <f>IF(OR($K$1="",对接源_01水果!$C984="",对接源_01水果!$C984&lt;&gt;$K$1,对接源_01水果!$B984=""),0,IF(OR(N(对接源_01水果!$B984)&lt;$K$2,N(对接源_01水果!$B984)&gt;$K$3),0,1))</f>
        <v>0</v>
      </c>
      <c r="L984">
        <f>IF(OR($L$1="",对接源_01水果!$C984="",对接源_01水果!$C984&lt;&gt;$L$1,对接源_01水果!$B984=""),0,IF(OR(N(对接源_01水果!$B984)&lt;$L$2,N(对接源_01水果!$B984)&gt;$L$3),0,1))</f>
        <v>0</v>
      </c>
      <c r="M984">
        <f>IF(OR($M$1="",对接源_01水果!$C984="",对接源_01水果!$C984&lt;&gt;$M$1,对接源_01水果!$B984=""),0,IF(OR(N(对接源_01水果!$B984)&lt;$M$2,N(对接源_01水果!$B984)&gt;$M$3),0,1))</f>
        <v>0</v>
      </c>
      <c r="N984">
        <f>IF(OR($N$1="",对接源_01水果!$C984="",对接源_01水果!$C984&lt;&gt;$N$1,对接源_01水果!$B984=""),0,IF(OR(N(对接源_01水果!$B984)&lt;$N$2,N(对接源_01水果!$B984)&gt;$N$3),0,1))</f>
        <v>0</v>
      </c>
      <c r="P984">
        <f>IF(AND($K984=1,AND(对接源_01水果!$X984="公司筐",N(对接源_01水果!$T984)&lt;&gt;0)),1,0)</f>
        <v>0</v>
      </c>
      <c r="Q984">
        <f>N(Q983)+$P984</f>
        <v>0</v>
      </c>
      <c r="R984">
        <f>IF(AND($K984=1,AND(对接源_01水果!$X984="公司筐",N(对接源_01水果!$U984)&lt;&gt;0)),1,0)</f>
        <v>0</v>
      </c>
      <c r="S984">
        <f>N(S983)+$R984</f>
        <v>0</v>
      </c>
      <c r="T984">
        <f>IF(AND($K984=1,AND(对接源_01水果!$X984="公司筐",N(对接源_01水果!$V984)&lt;&gt;0)),1,0)</f>
        <v>0</v>
      </c>
      <c r="U984">
        <f>N(U983)+$T984</f>
        <v>47</v>
      </c>
      <c r="V984">
        <f>IF(AND($L984=1,AND(对接源_01水果!$X984="自备筐",N(对接源_01水果!$V984)&lt;&gt;0)),1,0)</f>
        <v>0</v>
      </c>
      <c r="W984">
        <f>N(W983)+$V984</f>
        <v>11</v>
      </c>
      <c r="X984">
        <f>IF(AND($L984=1,AND(对接源_01水果!$X984="自备筐",N(对接源_01水果!$T984)&lt;&gt;0)),1,0)</f>
        <v>0</v>
      </c>
      <c r="Y984">
        <f>N(Y983)+$X984</f>
        <v>0</v>
      </c>
      <c r="Z984">
        <f>IF(AND($M984=1,对接源_01水果!$D984="原料入库"),1,0)</f>
        <v>0</v>
      </c>
      <c r="AA984">
        <f>N(AA983)+$Z984</f>
        <v>24</v>
      </c>
      <c r="AB984">
        <f>IF(AND($M984=1,LEFT(对接源_01水果!$D984,4)="原料出库"),1,0)</f>
        <v>0</v>
      </c>
      <c r="AC984">
        <f>N(AC983)+$AB984</f>
        <v>0</v>
      </c>
      <c r="AD984">
        <f>IF(AND($M984=1,LEFT(对接源_01水果!$D984,4)="成品出库"),1,0)</f>
        <v>0</v>
      </c>
      <c r="AE984">
        <f>N(AE983)+$AD984</f>
        <v>0</v>
      </c>
      <c r="AF984">
        <f>IF(AND($N984=1,AND(LEFT(对接源_01水果!$D984,4)="包装物料",N(对接源_01水果!$K984)&lt;&gt;0)),1,0)</f>
        <v>0</v>
      </c>
      <c r="AG984">
        <f>N(AG983)+$AF984</f>
        <v>0</v>
      </c>
      <c r="AH984">
        <f>IF(AND($N984=1,AND(对接源_01水果!$D984="周转筐－销售出库",N(对接源_01水果!$K984)&lt;&gt;0)),1,0)</f>
        <v>0</v>
      </c>
      <c r="AI984">
        <f>N(AI983)+$AH984</f>
        <v>0</v>
      </c>
      <c r="AJ984" s="7" t="n"/>
      <c r="AL984">
        <f>IF(OR($AL$1="",对接源_01水果!$Y984="",对接源_01水果!$Y984&lt;&gt;$AL$1,对接源_01水果!$B984="",N(对接源_01水果!$AJ984)&lt;=0),0,IF(OR(N(对接源_01水果!$B984)&lt;$AL$2,N(对接源_01水果!$B984)&gt;$AL$3),0,1))</f>
        <v>0</v>
      </c>
      <c r="AM984">
        <f>N(AM983)+$AL984</f>
        <v>2</v>
      </c>
      <c r="AN984">
        <f>IF(对接源_01水果!$AC984="","",对接源_01水果!$AC984)</f>
      </c>
      <c r="AO984">
        <f>IF(AN984="",0,IF(MATCH(AN984,$AN$4:$AN$1203,0)=ROW()-3,1,0))</f>
        <v>0</v>
      </c>
      <c r="AP984">
        <f>N(AP983)+$AO984</f>
        <v>13</v>
      </c>
      <c r="AR984">
        <f>IF(OR($AF984=1,$AH984=1),1,0)</f>
        <v>0</v>
      </c>
      <c r="AS984">
        <f>N(AS983)+$AR984</f>
        <v>0</v>
      </c>
    </row>
    <row r="985" ht="14.25" customHeight="1" s="127">
      <c r="A985">
        <f>IF(对接源_01水果!$C985="","",对接源_01水果!$C985)</f>
      </c>
      <c r="B985">
        <f>IF(A985="",0,IF(MATCH(A985,$A$4:$A$2403,0)=ROW()-3,1,0))</f>
        <v>0</v>
      </c>
      <c r="C985">
        <f>N(C984)+B985</f>
        <v>22</v>
      </c>
      <c r="K985">
        <f>IF(OR($K$1="",对接源_01水果!$C985="",对接源_01水果!$C985&lt;&gt;$K$1,对接源_01水果!$B985=""),0,IF(OR(N(对接源_01水果!$B985)&lt;$K$2,N(对接源_01水果!$B985)&gt;$K$3),0,1))</f>
        <v>0</v>
      </c>
      <c r="L985">
        <f>IF(OR($L$1="",对接源_01水果!$C985="",对接源_01水果!$C985&lt;&gt;$L$1,对接源_01水果!$B985=""),0,IF(OR(N(对接源_01水果!$B985)&lt;$L$2,N(对接源_01水果!$B985)&gt;$L$3),0,1))</f>
        <v>0</v>
      </c>
      <c r="M985">
        <f>IF(OR($M$1="",对接源_01水果!$C985="",对接源_01水果!$C985&lt;&gt;$M$1,对接源_01水果!$B985=""),0,IF(OR(N(对接源_01水果!$B985)&lt;$M$2,N(对接源_01水果!$B985)&gt;$M$3),0,1))</f>
        <v>0</v>
      </c>
      <c r="N985">
        <f>IF(OR($N$1="",对接源_01水果!$C985="",对接源_01水果!$C985&lt;&gt;$N$1,对接源_01水果!$B985=""),0,IF(OR(N(对接源_01水果!$B985)&lt;$N$2,N(对接源_01水果!$B985)&gt;$N$3),0,1))</f>
        <v>0</v>
      </c>
      <c r="P985">
        <f>IF(AND($K985=1,AND(对接源_01水果!$X985="公司筐",N(对接源_01水果!$T985)&lt;&gt;0)),1,0)</f>
        <v>0</v>
      </c>
      <c r="Q985">
        <f>N(Q984)+$P985</f>
        <v>0</v>
      </c>
      <c r="R985">
        <f>IF(AND($K985=1,AND(对接源_01水果!$X985="公司筐",N(对接源_01水果!$U985)&lt;&gt;0)),1,0)</f>
        <v>0</v>
      </c>
      <c r="S985">
        <f>N(S984)+$R985</f>
        <v>0</v>
      </c>
      <c r="T985">
        <f>IF(AND($K985=1,AND(对接源_01水果!$X985="公司筐",N(对接源_01水果!$V985)&lt;&gt;0)),1,0)</f>
        <v>0</v>
      </c>
      <c r="U985">
        <f>N(U984)+$T985</f>
        <v>47</v>
      </c>
      <c r="V985">
        <f>IF(AND($L985=1,AND(对接源_01水果!$X985="自备筐",N(对接源_01水果!$V985)&lt;&gt;0)),1,0)</f>
        <v>0</v>
      </c>
      <c r="W985">
        <f>N(W984)+$V985</f>
        <v>11</v>
      </c>
      <c r="X985">
        <f>IF(AND($L985=1,AND(对接源_01水果!$X985="自备筐",N(对接源_01水果!$T985)&lt;&gt;0)),1,0)</f>
        <v>0</v>
      </c>
      <c r="Y985">
        <f>N(Y984)+$X985</f>
        <v>0</v>
      </c>
      <c r="Z985">
        <f>IF(AND($M985=1,对接源_01水果!$D985="原料入库"),1,0)</f>
        <v>0</v>
      </c>
      <c r="AA985">
        <f>N(AA984)+$Z985</f>
        <v>24</v>
      </c>
      <c r="AB985">
        <f>IF(AND($M985=1,LEFT(对接源_01水果!$D985,4)="原料出库"),1,0)</f>
        <v>0</v>
      </c>
      <c r="AC985">
        <f>N(AC984)+$AB985</f>
        <v>0</v>
      </c>
      <c r="AD985">
        <f>IF(AND($M985=1,LEFT(对接源_01水果!$D985,4)="成品出库"),1,0)</f>
        <v>0</v>
      </c>
      <c r="AE985">
        <f>N(AE984)+$AD985</f>
        <v>0</v>
      </c>
      <c r="AF985">
        <f>IF(AND($N985=1,AND(LEFT(对接源_01水果!$D985,4)="包装物料",N(对接源_01水果!$K985)&lt;&gt;0)),1,0)</f>
        <v>0</v>
      </c>
      <c r="AG985">
        <f>N(AG984)+$AF985</f>
        <v>0</v>
      </c>
      <c r="AH985">
        <f>IF(AND($N985=1,AND(对接源_01水果!$D985="周转筐－销售出库",N(对接源_01水果!$K985)&lt;&gt;0)),1,0)</f>
        <v>0</v>
      </c>
      <c r="AI985">
        <f>N(AI984)+$AH985</f>
        <v>0</v>
      </c>
      <c r="AJ985" s="7" t="n"/>
      <c r="AL985">
        <f>IF(OR($AL$1="",对接源_01水果!$Y985="",对接源_01水果!$Y985&lt;&gt;$AL$1,对接源_01水果!$B985="",N(对接源_01水果!$AJ985)&lt;=0),0,IF(OR(N(对接源_01水果!$B985)&lt;$AL$2,N(对接源_01水果!$B985)&gt;$AL$3),0,1))</f>
        <v>0</v>
      </c>
      <c r="AM985">
        <f>N(AM984)+$AL985</f>
        <v>2</v>
      </c>
      <c r="AN985">
        <f>IF(对接源_01水果!$AC985="","",对接源_01水果!$AC985)</f>
      </c>
      <c r="AO985">
        <f>IF(AN985="",0,IF(MATCH(AN985,$AN$4:$AN$1203,0)=ROW()-3,1,0))</f>
        <v>0</v>
      </c>
      <c r="AP985">
        <f>N(AP984)+$AO985</f>
        <v>13</v>
      </c>
      <c r="AR985">
        <f>IF(OR($AF985=1,$AH985=1),1,0)</f>
        <v>0</v>
      </c>
      <c r="AS985">
        <f>N(AS984)+$AR985</f>
        <v>0</v>
      </c>
    </row>
    <row r="986" ht="14.25" customHeight="1" s="127">
      <c r="A986">
        <f>IF(对接源_01水果!$C986="","",对接源_01水果!$C986)</f>
      </c>
      <c r="B986">
        <f>IF(A986="",0,IF(MATCH(A986,$A$4:$A$2403,0)=ROW()-3,1,0))</f>
        <v>0</v>
      </c>
      <c r="C986">
        <f>N(C985)+B986</f>
        <v>22</v>
      </c>
      <c r="K986">
        <f>IF(OR($K$1="",对接源_01水果!$C986="",对接源_01水果!$C986&lt;&gt;$K$1,对接源_01水果!$B986=""),0,IF(OR(N(对接源_01水果!$B986)&lt;$K$2,N(对接源_01水果!$B986)&gt;$K$3),0,1))</f>
        <v>0</v>
      </c>
      <c r="L986">
        <f>IF(OR($L$1="",对接源_01水果!$C986="",对接源_01水果!$C986&lt;&gt;$L$1,对接源_01水果!$B986=""),0,IF(OR(N(对接源_01水果!$B986)&lt;$L$2,N(对接源_01水果!$B986)&gt;$L$3),0,1))</f>
        <v>0</v>
      </c>
      <c r="M986">
        <f>IF(OR($M$1="",对接源_01水果!$C986="",对接源_01水果!$C986&lt;&gt;$M$1,对接源_01水果!$B986=""),0,IF(OR(N(对接源_01水果!$B986)&lt;$M$2,N(对接源_01水果!$B986)&gt;$M$3),0,1))</f>
        <v>0</v>
      </c>
      <c r="N986">
        <f>IF(OR($N$1="",对接源_01水果!$C986="",对接源_01水果!$C986&lt;&gt;$N$1,对接源_01水果!$B986=""),0,IF(OR(N(对接源_01水果!$B986)&lt;$N$2,N(对接源_01水果!$B986)&gt;$N$3),0,1))</f>
        <v>0</v>
      </c>
      <c r="P986">
        <f>IF(AND($K986=1,AND(对接源_01水果!$X986="公司筐",N(对接源_01水果!$T986)&lt;&gt;0)),1,0)</f>
        <v>0</v>
      </c>
      <c r="Q986">
        <f>N(Q985)+$P986</f>
        <v>0</v>
      </c>
      <c r="R986">
        <f>IF(AND($K986=1,AND(对接源_01水果!$X986="公司筐",N(对接源_01水果!$U986)&lt;&gt;0)),1,0)</f>
        <v>0</v>
      </c>
      <c r="S986">
        <f>N(S985)+$R986</f>
        <v>0</v>
      </c>
      <c r="T986">
        <f>IF(AND($K986=1,AND(对接源_01水果!$X986="公司筐",N(对接源_01水果!$V986)&lt;&gt;0)),1,0)</f>
        <v>0</v>
      </c>
      <c r="U986">
        <f>N(U985)+$T986</f>
        <v>47</v>
      </c>
      <c r="V986">
        <f>IF(AND($L986=1,AND(对接源_01水果!$X986="自备筐",N(对接源_01水果!$V986)&lt;&gt;0)),1,0)</f>
        <v>0</v>
      </c>
      <c r="W986">
        <f>N(W985)+$V986</f>
        <v>11</v>
      </c>
      <c r="X986">
        <f>IF(AND($L986=1,AND(对接源_01水果!$X986="自备筐",N(对接源_01水果!$T986)&lt;&gt;0)),1,0)</f>
        <v>0</v>
      </c>
      <c r="Y986">
        <f>N(Y985)+$X986</f>
        <v>0</v>
      </c>
      <c r="Z986">
        <f>IF(AND($M986=1,对接源_01水果!$D986="原料入库"),1,0)</f>
        <v>0</v>
      </c>
      <c r="AA986">
        <f>N(AA985)+$Z986</f>
        <v>24</v>
      </c>
      <c r="AB986">
        <f>IF(AND($M986=1,LEFT(对接源_01水果!$D986,4)="原料出库"),1,0)</f>
        <v>0</v>
      </c>
      <c r="AC986">
        <f>N(AC985)+$AB986</f>
        <v>0</v>
      </c>
      <c r="AD986">
        <f>IF(AND($M986=1,LEFT(对接源_01水果!$D986,4)="成品出库"),1,0)</f>
        <v>0</v>
      </c>
      <c r="AE986">
        <f>N(AE985)+$AD986</f>
        <v>0</v>
      </c>
      <c r="AF986">
        <f>IF(AND($N986=1,AND(LEFT(对接源_01水果!$D986,4)="包装物料",N(对接源_01水果!$K986)&lt;&gt;0)),1,0)</f>
        <v>0</v>
      </c>
      <c r="AG986">
        <f>N(AG985)+$AF986</f>
        <v>0</v>
      </c>
      <c r="AH986">
        <f>IF(AND($N986=1,AND(对接源_01水果!$D986="周转筐－销售出库",N(对接源_01水果!$K986)&lt;&gt;0)),1,0)</f>
        <v>0</v>
      </c>
      <c r="AI986">
        <f>N(AI985)+$AH986</f>
        <v>0</v>
      </c>
      <c r="AJ986" s="7" t="n"/>
      <c r="AL986">
        <f>IF(OR($AL$1="",对接源_01水果!$Y986="",对接源_01水果!$Y986&lt;&gt;$AL$1,对接源_01水果!$B986="",N(对接源_01水果!$AJ986)&lt;=0),0,IF(OR(N(对接源_01水果!$B986)&lt;$AL$2,N(对接源_01水果!$B986)&gt;$AL$3),0,1))</f>
        <v>0</v>
      </c>
      <c r="AM986">
        <f>N(AM985)+$AL986</f>
        <v>2</v>
      </c>
      <c r="AN986">
        <f>IF(对接源_01水果!$AC986="","",对接源_01水果!$AC986)</f>
      </c>
      <c r="AO986">
        <f>IF(AN986="",0,IF(MATCH(AN986,$AN$4:$AN$1203,0)=ROW()-3,1,0))</f>
        <v>0</v>
      </c>
      <c r="AP986">
        <f>N(AP985)+$AO986</f>
        <v>13</v>
      </c>
      <c r="AR986">
        <f>IF(OR($AF986=1,$AH986=1),1,0)</f>
        <v>0</v>
      </c>
      <c r="AS986">
        <f>N(AS985)+$AR986</f>
        <v>0</v>
      </c>
    </row>
    <row r="987" ht="14.25" customHeight="1" s="127">
      <c r="A987">
        <f>IF(对接源_01水果!$C987="","",对接源_01水果!$C987)</f>
      </c>
      <c r="B987">
        <f>IF(A987="",0,IF(MATCH(A987,$A$4:$A$2403,0)=ROW()-3,1,0))</f>
        <v>0</v>
      </c>
      <c r="C987">
        <f>N(C986)+B987</f>
        <v>22</v>
      </c>
      <c r="K987">
        <f>IF(OR($K$1="",对接源_01水果!$C987="",对接源_01水果!$C987&lt;&gt;$K$1,对接源_01水果!$B987=""),0,IF(OR(N(对接源_01水果!$B987)&lt;$K$2,N(对接源_01水果!$B987)&gt;$K$3),0,1))</f>
        <v>0</v>
      </c>
      <c r="L987">
        <f>IF(OR($L$1="",对接源_01水果!$C987="",对接源_01水果!$C987&lt;&gt;$L$1,对接源_01水果!$B987=""),0,IF(OR(N(对接源_01水果!$B987)&lt;$L$2,N(对接源_01水果!$B987)&gt;$L$3),0,1))</f>
        <v>0</v>
      </c>
      <c r="M987">
        <f>IF(OR($M$1="",对接源_01水果!$C987="",对接源_01水果!$C987&lt;&gt;$M$1,对接源_01水果!$B987=""),0,IF(OR(N(对接源_01水果!$B987)&lt;$M$2,N(对接源_01水果!$B987)&gt;$M$3),0,1))</f>
        <v>0</v>
      </c>
      <c r="N987">
        <f>IF(OR($N$1="",对接源_01水果!$C987="",对接源_01水果!$C987&lt;&gt;$N$1,对接源_01水果!$B987=""),0,IF(OR(N(对接源_01水果!$B987)&lt;$N$2,N(对接源_01水果!$B987)&gt;$N$3),0,1))</f>
        <v>0</v>
      </c>
      <c r="P987">
        <f>IF(AND($K987=1,AND(对接源_01水果!$X987="公司筐",N(对接源_01水果!$T987)&lt;&gt;0)),1,0)</f>
        <v>0</v>
      </c>
      <c r="Q987">
        <f>N(Q986)+$P987</f>
        <v>0</v>
      </c>
      <c r="R987">
        <f>IF(AND($K987=1,AND(对接源_01水果!$X987="公司筐",N(对接源_01水果!$U987)&lt;&gt;0)),1,0)</f>
        <v>0</v>
      </c>
      <c r="S987">
        <f>N(S986)+$R987</f>
        <v>0</v>
      </c>
      <c r="T987">
        <f>IF(AND($K987=1,AND(对接源_01水果!$X987="公司筐",N(对接源_01水果!$V987)&lt;&gt;0)),1,0)</f>
        <v>0</v>
      </c>
      <c r="U987">
        <f>N(U986)+$T987</f>
        <v>47</v>
      </c>
      <c r="V987">
        <f>IF(AND($L987=1,AND(对接源_01水果!$X987="自备筐",N(对接源_01水果!$V987)&lt;&gt;0)),1,0)</f>
        <v>0</v>
      </c>
      <c r="W987">
        <f>N(W986)+$V987</f>
        <v>11</v>
      </c>
      <c r="X987">
        <f>IF(AND($L987=1,AND(对接源_01水果!$X987="自备筐",N(对接源_01水果!$T987)&lt;&gt;0)),1,0)</f>
        <v>0</v>
      </c>
      <c r="Y987">
        <f>N(Y986)+$X987</f>
        <v>0</v>
      </c>
      <c r="Z987">
        <f>IF(AND($M987=1,对接源_01水果!$D987="原料入库"),1,0)</f>
        <v>0</v>
      </c>
      <c r="AA987">
        <f>N(AA986)+$Z987</f>
        <v>24</v>
      </c>
      <c r="AB987">
        <f>IF(AND($M987=1,LEFT(对接源_01水果!$D987,4)="原料出库"),1,0)</f>
        <v>0</v>
      </c>
      <c r="AC987">
        <f>N(AC986)+$AB987</f>
        <v>0</v>
      </c>
      <c r="AD987">
        <f>IF(AND($M987=1,LEFT(对接源_01水果!$D987,4)="成品出库"),1,0)</f>
        <v>0</v>
      </c>
      <c r="AE987">
        <f>N(AE986)+$AD987</f>
        <v>0</v>
      </c>
      <c r="AF987">
        <f>IF(AND($N987=1,AND(LEFT(对接源_01水果!$D987,4)="包装物料",N(对接源_01水果!$K987)&lt;&gt;0)),1,0)</f>
        <v>0</v>
      </c>
      <c r="AG987">
        <f>N(AG986)+$AF987</f>
        <v>0</v>
      </c>
      <c r="AH987">
        <f>IF(AND($N987=1,AND(对接源_01水果!$D987="周转筐－销售出库",N(对接源_01水果!$K987)&lt;&gt;0)),1,0)</f>
        <v>0</v>
      </c>
      <c r="AI987">
        <f>N(AI986)+$AH987</f>
        <v>0</v>
      </c>
      <c r="AJ987" s="7" t="n"/>
      <c r="AL987">
        <f>IF(OR($AL$1="",对接源_01水果!$Y987="",对接源_01水果!$Y987&lt;&gt;$AL$1,对接源_01水果!$B987="",N(对接源_01水果!$AJ987)&lt;=0),0,IF(OR(N(对接源_01水果!$B987)&lt;$AL$2,N(对接源_01水果!$B987)&gt;$AL$3),0,1))</f>
        <v>0</v>
      </c>
      <c r="AM987">
        <f>N(AM986)+$AL987</f>
        <v>2</v>
      </c>
      <c r="AN987">
        <f>IF(对接源_01水果!$AC987="","",对接源_01水果!$AC987)</f>
      </c>
      <c r="AO987">
        <f>IF(AN987="",0,IF(MATCH(AN987,$AN$4:$AN$1203,0)=ROW()-3,1,0))</f>
        <v>0</v>
      </c>
      <c r="AP987">
        <f>N(AP986)+$AO987</f>
        <v>13</v>
      </c>
      <c r="AR987">
        <f>IF(OR($AF987=1,$AH987=1),1,0)</f>
        <v>0</v>
      </c>
      <c r="AS987">
        <f>N(AS986)+$AR987</f>
        <v>0</v>
      </c>
    </row>
    <row r="988" ht="14.25" customHeight="1" s="127">
      <c r="A988">
        <f>IF(对接源_01水果!$C988="","",对接源_01水果!$C988)</f>
      </c>
      <c r="B988">
        <f>IF(A988="",0,IF(MATCH(A988,$A$4:$A$2403,0)=ROW()-3,1,0))</f>
        <v>0</v>
      </c>
      <c r="C988">
        <f>N(C987)+B988</f>
        <v>22</v>
      </c>
      <c r="K988">
        <f>IF(OR($K$1="",对接源_01水果!$C988="",对接源_01水果!$C988&lt;&gt;$K$1,对接源_01水果!$B988=""),0,IF(OR(N(对接源_01水果!$B988)&lt;$K$2,N(对接源_01水果!$B988)&gt;$K$3),0,1))</f>
        <v>0</v>
      </c>
      <c r="L988">
        <f>IF(OR($L$1="",对接源_01水果!$C988="",对接源_01水果!$C988&lt;&gt;$L$1,对接源_01水果!$B988=""),0,IF(OR(N(对接源_01水果!$B988)&lt;$L$2,N(对接源_01水果!$B988)&gt;$L$3),0,1))</f>
        <v>0</v>
      </c>
      <c r="M988">
        <f>IF(OR($M$1="",对接源_01水果!$C988="",对接源_01水果!$C988&lt;&gt;$M$1,对接源_01水果!$B988=""),0,IF(OR(N(对接源_01水果!$B988)&lt;$M$2,N(对接源_01水果!$B988)&gt;$M$3),0,1))</f>
        <v>0</v>
      </c>
      <c r="N988">
        <f>IF(OR($N$1="",对接源_01水果!$C988="",对接源_01水果!$C988&lt;&gt;$N$1,对接源_01水果!$B988=""),0,IF(OR(N(对接源_01水果!$B988)&lt;$N$2,N(对接源_01水果!$B988)&gt;$N$3),0,1))</f>
        <v>0</v>
      </c>
      <c r="P988">
        <f>IF(AND($K988=1,AND(对接源_01水果!$X988="公司筐",N(对接源_01水果!$T988)&lt;&gt;0)),1,0)</f>
        <v>0</v>
      </c>
      <c r="Q988">
        <f>N(Q987)+$P988</f>
        <v>0</v>
      </c>
      <c r="R988">
        <f>IF(AND($K988=1,AND(对接源_01水果!$X988="公司筐",N(对接源_01水果!$U988)&lt;&gt;0)),1,0)</f>
        <v>0</v>
      </c>
      <c r="S988">
        <f>N(S987)+$R988</f>
        <v>0</v>
      </c>
      <c r="T988">
        <f>IF(AND($K988=1,AND(对接源_01水果!$X988="公司筐",N(对接源_01水果!$V988)&lt;&gt;0)),1,0)</f>
        <v>0</v>
      </c>
      <c r="U988">
        <f>N(U987)+$T988</f>
        <v>47</v>
      </c>
      <c r="V988">
        <f>IF(AND($L988=1,AND(对接源_01水果!$X988="自备筐",N(对接源_01水果!$V988)&lt;&gt;0)),1,0)</f>
        <v>0</v>
      </c>
      <c r="W988">
        <f>N(W987)+$V988</f>
        <v>11</v>
      </c>
      <c r="X988">
        <f>IF(AND($L988=1,AND(对接源_01水果!$X988="自备筐",N(对接源_01水果!$T988)&lt;&gt;0)),1,0)</f>
        <v>0</v>
      </c>
      <c r="Y988">
        <f>N(Y987)+$X988</f>
        <v>0</v>
      </c>
      <c r="Z988">
        <f>IF(AND($M988=1,对接源_01水果!$D988="原料入库"),1,0)</f>
        <v>0</v>
      </c>
      <c r="AA988">
        <f>N(AA987)+$Z988</f>
        <v>24</v>
      </c>
      <c r="AB988">
        <f>IF(AND($M988=1,LEFT(对接源_01水果!$D988,4)="原料出库"),1,0)</f>
        <v>0</v>
      </c>
      <c r="AC988">
        <f>N(AC987)+$AB988</f>
        <v>0</v>
      </c>
      <c r="AD988">
        <f>IF(AND($M988=1,LEFT(对接源_01水果!$D988,4)="成品出库"),1,0)</f>
        <v>0</v>
      </c>
      <c r="AE988">
        <f>N(AE987)+$AD988</f>
        <v>0</v>
      </c>
      <c r="AF988">
        <f>IF(AND($N988=1,AND(LEFT(对接源_01水果!$D988,4)="包装物料",N(对接源_01水果!$K988)&lt;&gt;0)),1,0)</f>
        <v>0</v>
      </c>
      <c r="AG988">
        <f>N(AG987)+$AF988</f>
        <v>0</v>
      </c>
      <c r="AH988">
        <f>IF(AND($N988=1,AND(对接源_01水果!$D988="周转筐－销售出库",N(对接源_01水果!$K988)&lt;&gt;0)),1,0)</f>
        <v>0</v>
      </c>
      <c r="AI988">
        <f>N(AI987)+$AH988</f>
        <v>0</v>
      </c>
      <c r="AJ988" s="7" t="n"/>
      <c r="AL988">
        <f>IF(OR($AL$1="",对接源_01水果!$Y988="",对接源_01水果!$Y988&lt;&gt;$AL$1,对接源_01水果!$B988="",N(对接源_01水果!$AJ988)&lt;=0),0,IF(OR(N(对接源_01水果!$B988)&lt;$AL$2,N(对接源_01水果!$B988)&gt;$AL$3),0,1))</f>
        <v>0</v>
      </c>
      <c r="AM988">
        <f>N(AM987)+$AL988</f>
        <v>2</v>
      </c>
      <c r="AN988">
        <f>IF(对接源_01水果!$AC988="","",对接源_01水果!$AC988)</f>
      </c>
      <c r="AO988">
        <f>IF(AN988="",0,IF(MATCH(AN988,$AN$4:$AN$1203,0)=ROW()-3,1,0))</f>
        <v>0</v>
      </c>
      <c r="AP988">
        <f>N(AP987)+$AO988</f>
        <v>13</v>
      </c>
      <c r="AR988">
        <f>IF(OR($AF988=1,$AH988=1),1,0)</f>
        <v>0</v>
      </c>
      <c r="AS988">
        <f>N(AS987)+$AR988</f>
        <v>0</v>
      </c>
    </row>
    <row r="989" ht="14.25" customHeight="1" s="127">
      <c r="A989">
        <f>IF(对接源_01水果!$C989="","",对接源_01水果!$C989)</f>
      </c>
      <c r="B989">
        <f>IF(A989="",0,IF(MATCH(A989,$A$4:$A$2403,0)=ROW()-3,1,0))</f>
        <v>0</v>
      </c>
      <c r="C989">
        <f>N(C988)+B989</f>
        <v>22</v>
      </c>
      <c r="K989">
        <f>IF(OR($K$1="",对接源_01水果!$C989="",对接源_01水果!$C989&lt;&gt;$K$1,对接源_01水果!$B989=""),0,IF(OR(N(对接源_01水果!$B989)&lt;$K$2,N(对接源_01水果!$B989)&gt;$K$3),0,1))</f>
        <v>0</v>
      </c>
      <c r="L989">
        <f>IF(OR($L$1="",对接源_01水果!$C989="",对接源_01水果!$C989&lt;&gt;$L$1,对接源_01水果!$B989=""),0,IF(OR(N(对接源_01水果!$B989)&lt;$L$2,N(对接源_01水果!$B989)&gt;$L$3),0,1))</f>
        <v>0</v>
      </c>
      <c r="M989">
        <f>IF(OR($M$1="",对接源_01水果!$C989="",对接源_01水果!$C989&lt;&gt;$M$1,对接源_01水果!$B989=""),0,IF(OR(N(对接源_01水果!$B989)&lt;$M$2,N(对接源_01水果!$B989)&gt;$M$3),0,1))</f>
        <v>0</v>
      </c>
      <c r="N989">
        <f>IF(OR($N$1="",对接源_01水果!$C989="",对接源_01水果!$C989&lt;&gt;$N$1,对接源_01水果!$B989=""),0,IF(OR(N(对接源_01水果!$B989)&lt;$N$2,N(对接源_01水果!$B989)&gt;$N$3),0,1))</f>
        <v>0</v>
      </c>
      <c r="P989">
        <f>IF(AND($K989=1,AND(对接源_01水果!$X989="公司筐",N(对接源_01水果!$T989)&lt;&gt;0)),1,0)</f>
        <v>0</v>
      </c>
      <c r="Q989">
        <f>N(Q988)+$P989</f>
        <v>0</v>
      </c>
      <c r="R989">
        <f>IF(AND($K989=1,AND(对接源_01水果!$X989="公司筐",N(对接源_01水果!$U989)&lt;&gt;0)),1,0)</f>
        <v>0</v>
      </c>
      <c r="S989">
        <f>N(S988)+$R989</f>
        <v>0</v>
      </c>
      <c r="T989">
        <f>IF(AND($K989=1,AND(对接源_01水果!$X989="公司筐",N(对接源_01水果!$V989)&lt;&gt;0)),1,0)</f>
        <v>0</v>
      </c>
      <c r="U989">
        <f>N(U988)+$T989</f>
        <v>47</v>
      </c>
      <c r="V989">
        <f>IF(AND($L989=1,AND(对接源_01水果!$X989="自备筐",N(对接源_01水果!$V989)&lt;&gt;0)),1,0)</f>
        <v>0</v>
      </c>
      <c r="W989">
        <f>N(W988)+$V989</f>
        <v>11</v>
      </c>
      <c r="X989">
        <f>IF(AND($L989=1,AND(对接源_01水果!$X989="自备筐",N(对接源_01水果!$T989)&lt;&gt;0)),1,0)</f>
        <v>0</v>
      </c>
      <c r="Y989">
        <f>N(Y988)+$X989</f>
        <v>0</v>
      </c>
      <c r="Z989">
        <f>IF(AND($M989=1,对接源_01水果!$D989="原料入库"),1,0)</f>
        <v>0</v>
      </c>
      <c r="AA989">
        <f>N(AA988)+$Z989</f>
        <v>24</v>
      </c>
      <c r="AB989">
        <f>IF(AND($M989=1,LEFT(对接源_01水果!$D989,4)="原料出库"),1,0)</f>
        <v>0</v>
      </c>
      <c r="AC989">
        <f>N(AC988)+$AB989</f>
        <v>0</v>
      </c>
      <c r="AD989">
        <f>IF(AND($M989=1,LEFT(对接源_01水果!$D989,4)="成品出库"),1,0)</f>
        <v>0</v>
      </c>
      <c r="AE989">
        <f>N(AE988)+$AD989</f>
        <v>0</v>
      </c>
      <c r="AF989">
        <f>IF(AND($N989=1,AND(LEFT(对接源_01水果!$D989,4)="包装物料",N(对接源_01水果!$K989)&lt;&gt;0)),1,0)</f>
        <v>0</v>
      </c>
      <c r="AG989">
        <f>N(AG988)+$AF989</f>
        <v>0</v>
      </c>
      <c r="AH989">
        <f>IF(AND($N989=1,AND(对接源_01水果!$D989="周转筐－销售出库",N(对接源_01水果!$K989)&lt;&gt;0)),1,0)</f>
        <v>0</v>
      </c>
      <c r="AI989">
        <f>N(AI988)+$AH989</f>
        <v>0</v>
      </c>
      <c r="AJ989" s="7" t="n"/>
      <c r="AL989">
        <f>IF(OR($AL$1="",对接源_01水果!$Y989="",对接源_01水果!$Y989&lt;&gt;$AL$1,对接源_01水果!$B989="",N(对接源_01水果!$AJ989)&lt;=0),0,IF(OR(N(对接源_01水果!$B989)&lt;$AL$2,N(对接源_01水果!$B989)&gt;$AL$3),0,1))</f>
        <v>0</v>
      </c>
      <c r="AM989">
        <f>N(AM988)+$AL989</f>
        <v>2</v>
      </c>
      <c r="AN989">
        <f>IF(对接源_01水果!$AC989="","",对接源_01水果!$AC989)</f>
      </c>
      <c r="AO989">
        <f>IF(AN989="",0,IF(MATCH(AN989,$AN$4:$AN$1203,0)=ROW()-3,1,0))</f>
        <v>0</v>
      </c>
      <c r="AP989">
        <f>N(AP988)+$AO989</f>
        <v>13</v>
      </c>
      <c r="AR989">
        <f>IF(OR($AF989=1,$AH989=1),1,0)</f>
        <v>0</v>
      </c>
      <c r="AS989">
        <f>N(AS988)+$AR989</f>
        <v>0</v>
      </c>
    </row>
    <row r="990" ht="14.25" customHeight="1" s="127">
      <c r="A990">
        <f>IF(对接源_01水果!$C990="","",对接源_01水果!$C990)</f>
      </c>
      <c r="B990">
        <f>IF(A990="",0,IF(MATCH(A990,$A$4:$A$2403,0)=ROW()-3,1,0))</f>
        <v>0</v>
      </c>
      <c r="C990">
        <f>N(C989)+B990</f>
        <v>22</v>
      </c>
      <c r="K990">
        <f>IF(OR($K$1="",对接源_01水果!$C990="",对接源_01水果!$C990&lt;&gt;$K$1,对接源_01水果!$B990=""),0,IF(OR(N(对接源_01水果!$B990)&lt;$K$2,N(对接源_01水果!$B990)&gt;$K$3),0,1))</f>
        <v>0</v>
      </c>
      <c r="L990">
        <f>IF(OR($L$1="",对接源_01水果!$C990="",对接源_01水果!$C990&lt;&gt;$L$1,对接源_01水果!$B990=""),0,IF(OR(N(对接源_01水果!$B990)&lt;$L$2,N(对接源_01水果!$B990)&gt;$L$3),0,1))</f>
        <v>0</v>
      </c>
      <c r="M990">
        <f>IF(OR($M$1="",对接源_01水果!$C990="",对接源_01水果!$C990&lt;&gt;$M$1,对接源_01水果!$B990=""),0,IF(OR(N(对接源_01水果!$B990)&lt;$M$2,N(对接源_01水果!$B990)&gt;$M$3),0,1))</f>
        <v>0</v>
      </c>
      <c r="N990">
        <f>IF(OR($N$1="",对接源_01水果!$C990="",对接源_01水果!$C990&lt;&gt;$N$1,对接源_01水果!$B990=""),0,IF(OR(N(对接源_01水果!$B990)&lt;$N$2,N(对接源_01水果!$B990)&gt;$N$3),0,1))</f>
        <v>0</v>
      </c>
      <c r="P990">
        <f>IF(AND($K990=1,AND(对接源_01水果!$X990="公司筐",N(对接源_01水果!$T990)&lt;&gt;0)),1,0)</f>
        <v>0</v>
      </c>
      <c r="Q990">
        <f>N(Q989)+$P990</f>
        <v>0</v>
      </c>
      <c r="R990">
        <f>IF(AND($K990=1,AND(对接源_01水果!$X990="公司筐",N(对接源_01水果!$U990)&lt;&gt;0)),1,0)</f>
        <v>0</v>
      </c>
      <c r="S990">
        <f>N(S989)+$R990</f>
        <v>0</v>
      </c>
      <c r="T990">
        <f>IF(AND($K990=1,AND(对接源_01水果!$X990="公司筐",N(对接源_01水果!$V990)&lt;&gt;0)),1,0)</f>
        <v>0</v>
      </c>
      <c r="U990">
        <f>N(U989)+$T990</f>
        <v>47</v>
      </c>
      <c r="V990">
        <f>IF(AND($L990=1,AND(对接源_01水果!$X990="自备筐",N(对接源_01水果!$V990)&lt;&gt;0)),1,0)</f>
        <v>0</v>
      </c>
      <c r="W990">
        <f>N(W989)+$V990</f>
        <v>11</v>
      </c>
      <c r="X990">
        <f>IF(AND($L990=1,AND(对接源_01水果!$X990="自备筐",N(对接源_01水果!$T990)&lt;&gt;0)),1,0)</f>
        <v>0</v>
      </c>
      <c r="Y990">
        <f>N(Y989)+$X990</f>
        <v>0</v>
      </c>
      <c r="Z990">
        <f>IF(AND($M990=1,对接源_01水果!$D990="原料入库"),1,0)</f>
        <v>0</v>
      </c>
      <c r="AA990">
        <f>N(AA989)+$Z990</f>
        <v>24</v>
      </c>
      <c r="AB990">
        <f>IF(AND($M990=1,LEFT(对接源_01水果!$D990,4)="原料出库"),1,0)</f>
        <v>0</v>
      </c>
      <c r="AC990">
        <f>N(AC989)+$AB990</f>
        <v>0</v>
      </c>
      <c r="AD990">
        <f>IF(AND($M990=1,LEFT(对接源_01水果!$D990,4)="成品出库"),1,0)</f>
        <v>0</v>
      </c>
      <c r="AE990">
        <f>N(AE989)+$AD990</f>
        <v>0</v>
      </c>
      <c r="AF990">
        <f>IF(AND($N990=1,AND(LEFT(对接源_01水果!$D990,4)="包装物料",N(对接源_01水果!$K990)&lt;&gt;0)),1,0)</f>
        <v>0</v>
      </c>
      <c r="AG990">
        <f>N(AG989)+$AF990</f>
        <v>0</v>
      </c>
      <c r="AH990">
        <f>IF(AND($N990=1,AND(对接源_01水果!$D990="周转筐－销售出库",N(对接源_01水果!$K990)&lt;&gt;0)),1,0)</f>
        <v>0</v>
      </c>
      <c r="AI990">
        <f>N(AI989)+$AH990</f>
        <v>0</v>
      </c>
      <c r="AJ990" s="7" t="n"/>
      <c r="AL990">
        <f>IF(OR($AL$1="",对接源_01水果!$Y990="",对接源_01水果!$Y990&lt;&gt;$AL$1,对接源_01水果!$B990="",N(对接源_01水果!$AJ990)&lt;=0),0,IF(OR(N(对接源_01水果!$B990)&lt;$AL$2,N(对接源_01水果!$B990)&gt;$AL$3),0,1))</f>
        <v>0</v>
      </c>
      <c r="AM990">
        <f>N(AM989)+$AL990</f>
        <v>2</v>
      </c>
      <c r="AN990">
        <f>IF(对接源_01水果!$AC990="","",对接源_01水果!$AC990)</f>
      </c>
      <c r="AO990">
        <f>IF(AN990="",0,IF(MATCH(AN990,$AN$4:$AN$1203,0)=ROW()-3,1,0))</f>
        <v>0</v>
      </c>
      <c r="AP990">
        <f>N(AP989)+$AO990</f>
        <v>13</v>
      </c>
      <c r="AR990">
        <f>IF(OR($AF990=1,$AH990=1),1,0)</f>
        <v>0</v>
      </c>
      <c r="AS990">
        <f>N(AS989)+$AR990</f>
        <v>0</v>
      </c>
    </row>
    <row r="991" ht="14.25" customHeight="1" s="127">
      <c r="A991">
        <f>IF(对接源_01水果!$C991="","",对接源_01水果!$C991)</f>
      </c>
      <c r="B991">
        <f>IF(A991="",0,IF(MATCH(A991,$A$4:$A$2403,0)=ROW()-3,1,0))</f>
        <v>0</v>
      </c>
      <c r="C991">
        <f>N(C990)+B991</f>
        <v>22</v>
      </c>
      <c r="K991">
        <f>IF(OR($K$1="",对接源_01水果!$C991="",对接源_01水果!$C991&lt;&gt;$K$1,对接源_01水果!$B991=""),0,IF(OR(N(对接源_01水果!$B991)&lt;$K$2,N(对接源_01水果!$B991)&gt;$K$3),0,1))</f>
        <v>0</v>
      </c>
      <c r="L991">
        <f>IF(OR($L$1="",对接源_01水果!$C991="",对接源_01水果!$C991&lt;&gt;$L$1,对接源_01水果!$B991=""),0,IF(OR(N(对接源_01水果!$B991)&lt;$L$2,N(对接源_01水果!$B991)&gt;$L$3),0,1))</f>
        <v>0</v>
      </c>
      <c r="M991">
        <f>IF(OR($M$1="",对接源_01水果!$C991="",对接源_01水果!$C991&lt;&gt;$M$1,对接源_01水果!$B991=""),0,IF(OR(N(对接源_01水果!$B991)&lt;$M$2,N(对接源_01水果!$B991)&gt;$M$3),0,1))</f>
        <v>0</v>
      </c>
      <c r="N991">
        <f>IF(OR($N$1="",对接源_01水果!$C991="",对接源_01水果!$C991&lt;&gt;$N$1,对接源_01水果!$B991=""),0,IF(OR(N(对接源_01水果!$B991)&lt;$N$2,N(对接源_01水果!$B991)&gt;$N$3),0,1))</f>
        <v>0</v>
      </c>
      <c r="P991">
        <f>IF(AND($K991=1,AND(对接源_01水果!$X991="公司筐",N(对接源_01水果!$T991)&lt;&gt;0)),1,0)</f>
        <v>0</v>
      </c>
      <c r="Q991">
        <f>N(Q990)+$P991</f>
        <v>0</v>
      </c>
      <c r="R991">
        <f>IF(AND($K991=1,AND(对接源_01水果!$X991="公司筐",N(对接源_01水果!$U991)&lt;&gt;0)),1,0)</f>
        <v>0</v>
      </c>
      <c r="S991">
        <f>N(S990)+$R991</f>
        <v>0</v>
      </c>
      <c r="T991">
        <f>IF(AND($K991=1,AND(对接源_01水果!$X991="公司筐",N(对接源_01水果!$V991)&lt;&gt;0)),1,0)</f>
        <v>0</v>
      </c>
      <c r="U991">
        <f>N(U990)+$T991</f>
        <v>47</v>
      </c>
      <c r="V991">
        <f>IF(AND($L991=1,AND(对接源_01水果!$X991="自备筐",N(对接源_01水果!$V991)&lt;&gt;0)),1,0)</f>
        <v>0</v>
      </c>
      <c r="W991">
        <f>N(W990)+$V991</f>
        <v>11</v>
      </c>
      <c r="X991">
        <f>IF(AND($L991=1,AND(对接源_01水果!$X991="自备筐",N(对接源_01水果!$T991)&lt;&gt;0)),1,0)</f>
        <v>0</v>
      </c>
      <c r="Y991">
        <f>N(Y990)+$X991</f>
        <v>0</v>
      </c>
      <c r="Z991">
        <f>IF(AND($M991=1,对接源_01水果!$D991="原料入库"),1,0)</f>
        <v>0</v>
      </c>
      <c r="AA991">
        <f>N(AA990)+$Z991</f>
        <v>24</v>
      </c>
      <c r="AB991">
        <f>IF(AND($M991=1,LEFT(对接源_01水果!$D991,4)="原料出库"),1,0)</f>
        <v>0</v>
      </c>
      <c r="AC991">
        <f>N(AC990)+$AB991</f>
        <v>0</v>
      </c>
      <c r="AD991">
        <f>IF(AND($M991=1,LEFT(对接源_01水果!$D991,4)="成品出库"),1,0)</f>
        <v>0</v>
      </c>
      <c r="AE991">
        <f>N(AE990)+$AD991</f>
        <v>0</v>
      </c>
      <c r="AF991">
        <f>IF(AND($N991=1,AND(LEFT(对接源_01水果!$D991,4)="包装物料",N(对接源_01水果!$K991)&lt;&gt;0)),1,0)</f>
        <v>0</v>
      </c>
      <c r="AG991">
        <f>N(AG990)+$AF991</f>
        <v>0</v>
      </c>
      <c r="AH991">
        <f>IF(AND($N991=1,AND(对接源_01水果!$D991="周转筐－销售出库",N(对接源_01水果!$K991)&lt;&gt;0)),1,0)</f>
        <v>0</v>
      </c>
      <c r="AI991">
        <f>N(AI990)+$AH991</f>
        <v>0</v>
      </c>
      <c r="AJ991" s="7" t="n"/>
      <c r="AL991">
        <f>IF(OR($AL$1="",对接源_01水果!$Y991="",对接源_01水果!$Y991&lt;&gt;$AL$1,对接源_01水果!$B991="",N(对接源_01水果!$AJ991)&lt;=0),0,IF(OR(N(对接源_01水果!$B991)&lt;$AL$2,N(对接源_01水果!$B991)&gt;$AL$3),0,1))</f>
        <v>0</v>
      </c>
      <c r="AM991">
        <f>N(AM990)+$AL991</f>
        <v>2</v>
      </c>
      <c r="AN991">
        <f>IF(对接源_01水果!$AC991="","",对接源_01水果!$AC991)</f>
      </c>
      <c r="AO991">
        <f>IF(AN991="",0,IF(MATCH(AN991,$AN$4:$AN$1203,0)=ROW()-3,1,0))</f>
        <v>0</v>
      </c>
      <c r="AP991">
        <f>N(AP990)+$AO991</f>
        <v>13</v>
      </c>
      <c r="AR991">
        <f>IF(OR($AF991=1,$AH991=1),1,0)</f>
        <v>0</v>
      </c>
      <c r="AS991">
        <f>N(AS990)+$AR991</f>
        <v>0</v>
      </c>
    </row>
    <row r="992" ht="14.25" customHeight="1" s="127">
      <c r="A992">
        <f>IF(对接源_01水果!$C992="","",对接源_01水果!$C992)</f>
      </c>
      <c r="B992">
        <f>IF(A992="",0,IF(MATCH(A992,$A$4:$A$2403,0)=ROW()-3,1,0))</f>
        <v>0</v>
      </c>
      <c r="C992">
        <f>N(C991)+B992</f>
        <v>22</v>
      </c>
      <c r="K992">
        <f>IF(OR($K$1="",对接源_01水果!$C992="",对接源_01水果!$C992&lt;&gt;$K$1,对接源_01水果!$B992=""),0,IF(OR(N(对接源_01水果!$B992)&lt;$K$2,N(对接源_01水果!$B992)&gt;$K$3),0,1))</f>
        <v>0</v>
      </c>
      <c r="L992">
        <f>IF(OR($L$1="",对接源_01水果!$C992="",对接源_01水果!$C992&lt;&gt;$L$1,对接源_01水果!$B992=""),0,IF(OR(N(对接源_01水果!$B992)&lt;$L$2,N(对接源_01水果!$B992)&gt;$L$3),0,1))</f>
        <v>0</v>
      </c>
      <c r="M992">
        <f>IF(OR($M$1="",对接源_01水果!$C992="",对接源_01水果!$C992&lt;&gt;$M$1,对接源_01水果!$B992=""),0,IF(OR(N(对接源_01水果!$B992)&lt;$M$2,N(对接源_01水果!$B992)&gt;$M$3),0,1))</f>
        <v>0</v>
      </c>
      <c r="N992">
        <f>IF(OR($N$1="",对接源_01水果!$C992="",对接源_01水果!$C992&lt;&gt;$N$1,对接源_01水果!$B992=""),0,IF(OR(N(对接源_01水果!$B992)&lt;$N$2,N(对接源_01水果!$B992)&gt;$N$3),0,1))</f>
        <v>0</v>
      </c>
      <c r="P992">
        <f>IF(AND($K992=1,AND(对接源_01水果!$X992="公司筐",N(对接源_01水果!$T992)&lt;&gt;0)),1,0)</f>
        <v>0</v>
      </c>
      <c r="Q992">
        <f>N(Q991)+$P992</f>
        <v>0</v>
      </c>
      <c r="R992">
        <f>IF(AND($K992=1,AND(对接源_01水果!$X992="公司筐",N(对接源_01水果!$U992)&lt;&gt;0)),1,0)</f>
        <v>0</v>
      </c>
      <c r="S992">
        <f>N(S991)+$R992</f>
        <v>0</v>
      </c>
      <c r="T992">
        <f>IF(AND($K992=1,AND(对接源_01水果!$X992="公司筐",N(对接源_01水果!$V992)&lt;&gt;0)),1,0)</f>
        <v>0</v>
      </c>
      <c r="U992">
        <f>N(U991)+$T992</f>
        <v>47</v>
      </c>
      <c r="V992">
        <f>IF(AND($L992=1,AND(对接源_01水果!$X992="自备筐",N(对接源_01水果!$V992)&lt;&gt;0)),1,0)</f>
        <v>0</v>
      </c>
      <c r="W992">
        <f>N(W991)+$V992</f>
        <v>11</v>
      </c>
      <c r="X992">
        <f>IF(AND($L992=1,AND(对接源_01水果!$X992="自备筐",N(对接源_01水果!$T992)&lt;&gt;0)),1,0)</f>
        <v>0</v>
      </c>
      <c r="Y992">
        <f>N(Y991)+$X992</f>
        <v>0</v>
      </c>
      <c r="Z992">
        <f>IF(AND($M992=1,对接源_01水果!$D992="原料入库"),1,0)</f>
        <v>0</v>
      </c>
      <c r="AA992">
        <f>N(AA991)+$Z992</f>
        <v>24</v>
      </c>
      <c r="AB992">
        <f>IF(AND($M992=1,LEFT(对接源_01水果!$D992,4)="原料出库"),1,0)</f>
        <v>0</v>
      </c>
      <c r="AC992">
        <f>N(AC991)+$AB992</f>
        <v>0</v>
      </c>
      <c r="AD992">
        <f>IF(AND($M992=1,LEFT(对接源_01水果!$D992,4)="成品出库"),1,0)</f>
        <v>0</v>
      </c>
      <c r="AE992">
        <f>N(AE991)+$AD992</f>
        <v>0</v>
      </c>
      <c r="AF992">
        <f>IF(AND($N992=1,AND(LEFT(对接源_01水果!$D992,4)="包装物料",N(对接源_01水果!$K992)&lt;&gt;0)),1,0)</f>
        <v>0</v>
      </c>
      <c r="AG992">
        <f>N(AG991)+$AF992</f>
        <v>0</v>
      </c>
      <c r="AH992">
        <f>IF(AND($N992=1,AND(对接源_01水果!$D992="周转筐－销售出库",N(对接源_01水果!$K992)&lt;&gt;0)),1,0)</f>
        <v>0</v>
      </c>
      <c r="AI992">
        <f>N(AI991)+$AH992</f>
        <v>0</v>
      </c>
      <c r="AJ992" s="7" t="n"/>
      <c r="AL992">
        <f>IF(OR($AL$1="",对接源_01水果!$Y992="",对接源_01水果!$Y992&lt;&gt;$AL$1,对接源_01水果!$B992="",N(对接源_01水果!$AJ992)&lt;=0),0,IF(OR(N(对接源_01水果!$B992)&lt;$AL$2,N(对接源_01水果!$B992)&gt;$AL$3),0,1))</f>
        <v>0</v>
      </c>
      <c r="AM992">
        <f>N(AM991)+$AL992</f>
        <v>2</v>
      </c>
      <c r="AN992">
        <f>IF(对接源_01水果!$AC992="","",对接源_01水果!$AC992)</f>
      </c>
      <c r="AO992">
        <f>IF(AN992="",0,IF(MATCH(AN992,$AN$4:$AN$1203,0)=ROW()-3,1,0))</f>
        <v>0</v>
      </c>
      <c r="AP992">
        <f>N(AP991)+$AO992</f>
        <v>13</v>
      </c>
      <c r="AR992">
        <f>IF(OR($AF992=1,$AH992=1),1,0)</f>
        <v>0</v>
      </c>
      <c r="AS992">
        <f>N(AS991)+$AR992</f>
        <v>0</v>
      </c>
    </row>
    <row r="993" ht="14.25" customHeight="1" s="127">
      <c r="A993">
        <f>IF(对接源_01水果!$C993="","",对接源_01水果!$C993)</f>
      </c>
      <c r="B993">
        <f>IF(A993="",0,IF(MATCH(A993,$A$4:$A$2403,0)=ROW()-3,1,0))</f>
        <v>0</v>
      </c>
      <c r="C993">
        <f>N(C992)+B993</f>
        <v>22</v>
      </c>
      <c r="K993">
        <f>IF(OR($K$1="",对接源_01水果!$C993="",对接源_01水果!$C993&lt;&gt;$K$1,对接源_01水果!$B993=""),0,IF(OR(N(对接源_01水果!$B993)&lt;$K$2,N(对接源_01水果!$B993)&gt;$K$3),0,1))</f>
        <v>0</v>
      </c>
      <c r="L993">
        <f>IF(OR($L$1="",对接源_01水果!$C993="",对接源_01水果!$C993&lt;&gt;$L$1,对接源_01水果!$B993=""),0,IF(OR(N(对接源_01水果!$B993)&lt;$L$2,N(对接源_01水果!$B993)&gt;$L$3),0,1))</f>
        <v>0</v>
      </c>
      <c r="M993">
        <f>IF(OR($M$1="",对接源_01水果!$C993="",对接源_01水果!$C993&lt;&gt;$M$1,对接源_01水果!$B993=""),0,IF(OR(N(对接源_01水果!$B993)&lt;$M$2,N(对接源_01水果!$B993)&gt;$M$3),0,1))</f>
        <v>0</v>
      </c>
      <c r="N993">
        <f>IF(OR($N$1="",对接源_01水果!$C993="",对接源_01水果!$C993&lt;&gt;$N$1,对接源_01水果!$B993=""),0,IF(OR(N(对接源_01水果!$B993)&lt;$N$2,N(对接源_01水果!$B993)&gt;$N$3),0,1))</f>
        <v>0</v>
      </c>
      <c r="P993">
        <f>IF(AND($K993=1,AND(对接源_01水果!$X993="公司筐",N(对接源_01水果!$T993)&lt;&gt;0)),1,0)</f>
        <v>0</v>
      </c>
      <c r="Q993">
        <f>N(Q992)+$P993</f>
        <v>0</v>
      </c>
      <c r="R993">
        <f>IF(AND($K993=1,AND(对接源_01水果!$X993="公司筐",N(对接源_01水果!$U993)&lt;&gt;0)),1,0)</f>
        <v>0</v>
      </c>
      <c r="S993">
        <f>N(S992)+$R993</f>
        <v>0</v>
      </c>
      <c r="T993">
        <f>IF(AND($K993=1,AND(对接源_01水果!$X993="公司筐",N(对接源_01水果!$V993)&lt;&gt;0)),1,0)</f>
        <v>0</v>
      </c>
      <c r="U993">
        <f>N(U992)+$T993</f>
        <v>47</v>
      </c>
      <c r="V993">
        <f>IF(AND($L993=1,AND(对接源_01水果!$X993="自备筐",N(对接源_01水果!$V993)&lt;&gt;0)),1,0)</f>
        <v>0</v>
      </c>
      <c r="W993">
        <f>N(W992)+$V993</f>
        <v>11</v>
      </c>
      <c r="X993">
        <f>IF(AND($L993=1,AND(对接源_01水果!$X993="自备筐",N(对接源_01水果!$T993)&lt;&gt;0)),1,0)</f>
        <v>0</v>
      </c>
      <c r="Y993">
        <f>N(Y992)+$X993</f>
        <v>0</v>
      </c>
      <c r="Z993">
        <f>IF(AND($M993=1,对接源_01水果!$D993="原料入库"),1,0)</f>
        <v>0</v>
      </c>
      <c r="AA993">
        <f>N(AA992)+$Z993</f>
        <v>24</v>
      </c>
      <c r="AB993">
        <f>IF(AND($M993=1,LEFT(对接源_01水果!$D993,4)="原料出库"),1,0)</f>
        <v>0</v>
      </c>
      <c r="AC993">
        <f>N(AC992)+$AB993</f>
        <v>0</v>
      </c>
      <c r="AD993">
        <f>IF(AND($M993=1,LEFT(对接源_01水果!$D993,4)="成品出库"),1,0)</f>
        <v>0</v>
      </c>
      <c r="AE993">
        <f>N(AE992)+$AD993</f>
        <v>0</v>
      </c>
      <c r="AF993">
        <f>IF(AND($N993=1,AND(LEFT(对接源_01水果!$D993,4)="包装物料",N(对接源_01水果!$K993)&lt;&gt;0)),1,0)</f>
        <v>0</v>
      </c>
      <c r="AG993">
        <f>N(AG992)+$AF993</f>
        <v>0</v>
      </c>
      <c r="AH993">
        <f>IF(AND($N993=1,AND(对接源_01水果!$D993="周转筐－销售出库",N(对接源_01水果!$K993)&lt;&gt;0)),1,0)</f>
        <v>0</v>
      </c>
      <c r="AI993">
        <f>N(AI992)+$AH993</f>
        <v>0</v>
      </c>
      <c r="AJ993" s="7" t="n"/>
      <c r="AL993">
        <f>IF(OR($AL$1="",对接源_01水果!$Y993="",对接源_01水果!$Y993&lt;&gt;$AL$1,对接源_01水果!$B993="",N(对接源_01水果!$AJ993)&lt;=0),0,IF(OR(N(对接源_01水果!$B993)&lt;$AL$2,N(对接源_01水果!$B993)&gt;$AL$3),0,1))</f>
        <v>0</v>
      </c>
      <c r="AM993">
        <f>N(AM992)+$AL993</f>
        <v>2</v>
      </c>
      <c r="AN993">
        <f>IF(对接源_01水果!$AC993="","",对接源_01水果!$AC993)</f>
      </c>
      <c r="AO993">
        <f>IF(AN993="",0,IF(MATCH(AN993,$AN$4:$AN$1203,0)=ROW()-3,1,0))</f>
        <v>0</v>
      </c>
      <c r="AP993">
        <f>N(AP992)+$AO993</f>
        <v>13</v>
      </c>
      <c r="AR993">
        <f>IF(OR($AF993=1,$AH993=1),1,0)</f>
        <v>0</v>
      </c>
      <c r="AS993">
        <f>N(AS992)+$AR993</f>
        <v>0</v>
      </c>
    </row>
    <row r="994" ht="14.25" customHeight="1" s="127">
      <c r="A994">
        <f>IF(对接源_01水果!$C994="","",对接源_01水果!$C994)</f>
      </c>
      <c r="B994">
        <f>IF(A994="",0,IF(MATCH(A994,$A$4:$A$2403,0)=ROW()-3,1,0))</f>
        <v>0</v>
      </c>
      <c r="C994">
        <f>N(C993)+B994</f>
        <v>22</v>
      </c>
      <c r="K994">
        <f>IF(OR($K$1="",对接源_01水果!$C994="",对接源_01水果!$C994&lt;&gt;$K$1,对接源_01水果!$B994=""),0,IF(OR(N(对接源_01水果!$B994)&lt;$K$2,N(对接源_01水果!$B994)&gt;$K$3),0,1))</f>
        <v>0</v>
      </c>
      <c r="L994">
        <f>IF(OR($L$1="",对接源_01水果!$C994="",对接源_01水果!$C994&lt;&gt;$L$1,对接源_01水果!$B994=""),0,IF(OR(N(对接源_01水果!$B994)&lt;$L$2,N(对接源_01水果!$B994)&gt;$L$3),0,1))</f>
        <v>0</v>
      </c>
      <c r="M994">
        <f>IF(OR($M$1="",对接源_01水果!$C994="",对接源_01水果!$C994&lt;&gt;$M$1,对接源_01水果!$B994=""),0,IF(OR(N(对接源_01水果!$B994)&lt;$M$2,N(对接源_01水果!$B994)&gt;$M$3),0,1))</f>
        <v>0</v>
      </c>
      <c r="N994">
        <f>IF(OR($N$1="",对接源_01水果!$C994="",对接源_01水果!$C994&lt;&gt;$N$1,对接源_01水果!$B994=""),0,IF(OR(N(对接源_01水果!$B994)&lt;$N$2,N(对接源_01水果!$B994)&gt;$N$3),0,1))</f>
        <v>0</v>
      </c>
      <c r="P994">
        <f>IF(AND($K994=1,AND(对接源_01水果!$X994="公司筐",N(对接源_01水果!$T994)&lt;&gt;0)),1,0)</f>
        <v>0</v>
      </c>
      <c r="Q994">
        <f>N(Q993)+$P994</f>
        <v>0</v>
      </c>
      <c r="R994">
        <f>IF(AND($K994=1,AND(对接源_01水果!$X994="公司筐",N(对接源_01水果!$U994)&lt;&gt;0)),1,0)</f>
        <v>0</v>
      </c>
      <c r="S994">
        <f>N(S993)+$R994</f>
        <v>0</v>
      </c>
      <c r="T994">
        <f>IF(AND($K994=1,AND(对接源_01水果!$X994="公司筐",N(对接源_01水果!$V994)&lt;&gt;0)),1,0)</f>
        <v>0</v>
      </c>
      <c r="U994">
        <f>N(U993)+$T994</f>
        <v>47</v>
      </c>
      <c r="V994">
        <f>IF(AND($L994=1,AND(对接源_01水果!$X994="自备筐",N(对接源_01水果!$V994)&lt;&gt;0)),1,0)</f>
        <v>0</v>
      </c>
      <c r="W994">
        <f>N(W993)+$V994</f>
        <v>11</v>
      </c>
      <c r="X994">
        <f>IF(AND($L994=1,AND(对接源_01水果!$X994="自备筐",N(对接源_01水果!$T994)&lt;&gt;0)),1,0)</f>
        <v>0</v>
      </c>
      <c r="Y994">
        <f>N(Y993)+$X994</f>
        <v>0</v>
      </c>
      <c r="Z994">
        <f>IF(AND($M994=1,对接源_01水果!$D994="原料入库"),1,0)</f>
        <v>0</v>
      </c>
      <c r="AA994">
        <f>N(AA993)+$Z994</f>
        <v>24</v>
      </c>
      <c r="AB994">
        <f>IF(AND($M994=1,LEFT(对接源_01水果!$D994,4)="原料出库"),1,0)</f>
        <v>0</v>
      </c>
      <c r="AC994">
        <f>N(AC993)+$AB994</f>
        <v>0</v>
      </c>
      <c r="AD994">
        <f>IF(AND($M994=1,LEFT(对接源_01水果!$D994,4)="成品出库"),1,0)</f>
        <v>0</v>
      </c>
      <c r="AE994">
        <f>N(AE993)+$AD994</f>
        <v>0</v>
      </c>
      <c r="AF994">
        <f>IF(AND($N994=1,AND(LEFT(对接源_01水果!$D994,4)="包装物料",N(对接源_01水果!$K994)&lt;&gt;0)),1,0)</f>
        <v>0</v>
      </c>
      <c r="AG994">
        <f>N(AG993)+$AF994</f>
        <v>0</v>
      </c>
      <c r="AH994">
        <f>IF(AND($N994=1,AND(对接源_01水果!$D994="周转筐－销售出库",N(对接源_01水果!$K994)&lt;&gt;0)),1,0)</f>
        <v>0</v>
      </c>
      <c r="AI994">
        <f>N(AI993)+$AH994</f>
        <v>0</v>
      </c>
      <c r="AJ994" s="7" t="n"/>
      <c r="AL994">
        <f>IF(OR($AL$1="",对接源_01水果!$Y994="",对接源_01水果!$Y994&lt;&gt;$AL$1,对接源_01水果!$B994="",N(对接源_01水果!$AJ994)&lt;=0),0,IF(OR(N(对接源_01水果!$B994)&lt;$AL$2,N(对接源_01水果!$B994)&gt;$AL$3),0,1))</f>
        <v>0</v>
      </c>
      <c r="AM994">
        <f>N(AM993)+$AL994</f>
        <v>2</v>
      </c>
      <c r="AN994">
        <f>IF(对接源_01水果!$AC994="","",对接源_01水果!$AC994)</f>
      </c>
      <c r="AO994">
        <f>IF(AN994="",0,IF(MATCH(AN994,$AN$4:$AN$1203,0)=ROW()-3,1,0))</f>
        <v>0</v>
      </c>
      <c r="AP994">
        <f>N(AP993)+$AO994</f>
        <v>13</v>
      </c>
      <c r="AR994">
        <f>IF(OR($AF994=1,$AH994=1),1,0)</f>
        <v>0</v>
      </c>
      <c r="AS994">
        <f>N(AS993)+$AR994</f>
        <v>0</v>
      </c>
    </row>
    <row r="995" ht="14.25" customHeight="1" s="127">
      <c r="A995">
        <f>IF(对接源_01水果!$C995="","",对接源_01水果!$C995)</f>
      </c>
      <c r="B995">
        <f>IF(A995="",0,IF(MATCH(A995,$A$4:$A$2403,0)=ROW()-3,1,0))</f>
        <v>0</v>
      </c>
      <c r="C995">
        <f>N(C994)+B995</f>
        <v>22</v>
      </c>
      <c r="K995">
        <f>IF(OR($K$1="",对接源_01水果!$C995="",对接源_01水果!$C995&lt;&gt;$K$1,对接源_01水果!$B995=""),0,IF(OR(N(对接源_01水果!$B995)&lt;$K$2,N(对接源_01水果!$B995)&gt;$K$3),0,1))</f>
        <v>0</v>
      </c>
      <c r="L995">
        <f>IF(OR($L$1="",对接源_01水果!$C995="",对接源_01水果!$C995&lt;&gt;$L$1,对接源_01水果!$B995=""),0,IF(OR(N(对接源_01水果!$B995)&lt;$L$2,N(对接源_01水果!$B995)&gt;$L$3),0,1))</f>
        <v>0</v>
      </c>
      <c r="M995">
        <f>IF(OR($M$1="",对接源_01水果!$C995="",对接源_01水果!$C995&lt;&gt;$M$1,对接源_01水果!$B995=""),0,IF(OR(N(对接源_01水果!$B995)&lt;$M$2,N(对接源_01水果!$B995)&gt;$M$3),0,1))</f>
        <v>0</v>
      </c>
      <c r="N995">
        <f>IF(OR($N$1="",对接源_01水果!$C995="",对接源_01水果!$C995&lt;&gt;$N$1,对接源_01水果!$B995=""),0,IF(OR(N(对接源_01水果!$B995)&lt;$N$2,N(对接源_01水果!$B995)&gt;$N$3),0,1))</f>
        <v>0</v>
      </c>
      <c r="P995">
        <f>IF(AND($K995=1,AND(对接源_01水果!$X995="公司筐",N(对接源_01水果!$T995)&lt;&gt;0)),1,0)</f>
        <v>0</v>
      </c>
      <c r="Q995">
        <f>N(Q994)+$P995</f>
        <v>0</v>
      </c>
      <c r="R995">
        <f>IF(AND($K995=1,AND(对接源_01水果!$X995="公司筐",N(对接源_01水果!$U995)&lt;&gt;0)),1,0)</f>
        <v>0</v>
      </c>
      <c r="S995">
        <f>N(S994)+$R995</f>
        <v>0</v>
      </c>
      <c r="T995">
        <f>IF(AND($K995=1,AND(对接源_01水果!$X995="公司筐",N(对接源_01水果!$V995)&lt;&gt;0)),1,0)</f>
        <v>0</v>
      </c>
      <c r="U995">
        <f>N(U994)+$T995</f>
        <v>47</v>
      </c>
      <c r="V995">
        <f>IF(AND($L995=1,AND(对接源_01水果!$X995="自备筐",N(对接源_01水果!$V995)&lt;&gt;0)),1,0)</f>
        <v>0</v>
      </c>
      <c r="W995">
        <f>N(W994)+$V995</f>
        <v>11</v>
      </c>
      <c r="X995">
        <f>IF(AND($L995=1,AND(对接源_01水果!$X995="自备筐",N(对接源_01水果!$T995)&lt;&gt;0)),1,0)</f>
        <v>0</v>
      </c>
      <c r="Y995">
        <f>N(Y994)+$X995</f>
        <v>0</v>
      </c>
      <c r="Z995">
        <f>IF(AND($M995=1,对接源_01水果!$D995="原料入库"),1,0)</f>
        <v>0</v>
      </c>
      <c r="AA995">
        <f>N(AA994)+$Z995</f>
        <v>24</v>
      </c>
      <c r="AB995">
        <f>IF(AND($M995=1,LEFT(对接源_01水果!$D995,4)="原料出库"),1,0)</f>
        <v>0</v>
      </c>
      <c r="AC995">
        <f>N(AC994)+$AB995</f>
        <v>0</v>
      </c>
      <c r="AD995">
        <f>IF(AND($M995=1,LEFT(对接源_01水果!$D995,4)="成品出库"),1,0)</f>
        <v>0</v>
      </c>
      <c r="AE995">
        <f>N(AE994)+$AD995</f>
        <v>0</v>
      </c>
      <c r="AF995">
        <f>IF(AND($N995=1,AND(LEFT(对接源_01水果!$D995,4)="包装物料",N(对接源_01水果!$K995)&lt;&gt;0)),1,0)</f>
        <v>0</v>
      </c>
      <c r="AG995">
        <f>N(AG994)+$AF995</f>
        <v>0</v>
      </c>
      <c r="AH995">
        <f>IF(AND($N995=1,AND(对接源_01水果!$D995="周转筐－销售出库",N(对接源_01水果!$K995)&lt;&gt;0)),1,0)</f>
        <v>0</v>
      </c>
      <c r="AI995">
        <f>N(AI994)+$AH995</f>
        <v>0</v>
      </c>
      <c r="AJ995" s="7" t="n"/>
      <c r="AL995">
        <f>IF(OR($AL$1="",对接源_01水果!$Y995="",对接源_01水果!$Y995&lt;&gt;$AL$1,对接源_01水果!$B995="",N(对接源_01水果!$AJ995)&lt;=0),0,IF(OR(N(对接源_01水果!$B995)&lt;$AL$2,N(对接源_01水果!$B995)&gt;$AL$3),0,1))</f>
        <v>0</v>
      </c>
      <c r="AM995">
        <f>N(AM994)+$AL995</f>
        <v>2</v>
      </c>
      <c r="AN995">
        <f>IF(对接源_01水果!$AC995="","",对接源_01水果!$AC995)</f>
      </c>
      <c r="AO995">
        <f>IF(AN995="",0,IF(MATCH(AN995,$AN$4:$AN$1203,0)=ROW()-3,1,0))</f>
        <v>0</v>
      </c>
      <c r="AP995">
        <f>N(AP994)+$AO995</f>
        <v>13</v>
      </c>
      <c r="AR995">
        <f>IF(OR($AF995=1,$AH995=1),1,0)</f>
        <v>0</v>
      </c>
      <c r="AS995">
        <f>N(AS994)+$AR995</f>
        <v>0</v>
      </c>
    </row>
    <row r="996" ht="14.25" customHeight="1" s="127">
      <c r="A996">
        <f>IF(对接源_01水果!$C996="","",对接源_01水果!$C996)</f>
      </c>
      <c r="B996">
        <f>IF(A996="",0,IF(MATCH(A996,$A$4:$A$2403,0)=ROW()-3,1,0))</f>
        <v>0</v>
      </c>
      <c r="C996">
        <f>N(C995)+B996</f>
        <v>22</v>
      </c>
      <c r="K996">
        <f>IF(OR($K$1="",对接源_01水果!$C996="",对接源_01水果!$C996&lt;&gt;$K$1,对接源_01水果!$B996=""),0,IF(OR(N(对接源_01水果!$B996)&lt;$K$2,N(对接源_01水果!$B996)&gt;$K$3),0,1))</f>
        <v>0</v>
      </c>
      <c r="L996">
        <f>IF(OR($L$1="",对接源_01水果!$C996="",对接源_01水果!$C996&lt;&gt;$L$1,对接源_01水果!$B996=""),0,IF(OR(N(对接源_01水果!$B996)&lt;$L$2,N(对接源_01水果!$B996)&gt;$L$3),0,1))</f>
        <v>0</v>
      </c>
      <c r="M996">
        <f>IF(OR($M$1="",对接源_01水果!$C996="",对接源_01水果!$C996&lt;&gt;$M$1,对接源_01水果!$B996=""),0,IF(OR(N(对接源_01水果!$B996)&lt;$M$2,N(对接源_01水果!$B996)&gt;$M$3),0,1))</f>
        <v>0</v>
      </c>
      <c r="N996">
        <f>IF(OR($N$1="",对接源_01水果!$C996="",对接源_01水果!$C996&lt;&gt;$N$1,对接源_01水果!$B996=""),0,IF(OR(N(对接源_01水果!$B996)&lt;$N$2,N(对接源_01水果!$B996)&gt;$N$3),0,1))</f>
        <v>0</v>
      </c>
      <c r="P996">
        <f>IF(AND($K996=1,AND(对接源_01水果!$X996="公司筐",N(对接源_01水果!$T996)&lt;&gt;0)),1,0)</f>
        <v>0</v>
      </c>
      <c r="Q996">
        <f>N(Q995)+$P996</f>
        <v>0</v>
      </c>
      <c r="R996">
        <f>IF(AND($K996=1,AND(对接源_01水果!$X996="公司筐",N(对接源_01水果!$U996)&lt;&gt;0)),1,0)</f>
        <v>0</v>
      </c>
      <c r="S996">
        <f>N(S995)+$R996</f>
        <v>0</v>
      </c>
      <c r="T996">
        <f>IF(AND($K996=1,AND(对接源_01水果!$X996="公司筐",N(对接源_01水果!$V996)&lt;&gt;0)),1,0)</f>
        <v>0</v>
      </c>
      <c r="U996">
        <f>N(U995)+$T996</f>
        <v>47</v>
      </c>
      <c r="V996">
        <f>IF(AND($L996=1,AND(对接源_01水果!$X996="自备筐",N(对接源_01水果!$V996)&lt;&gt;0)),1,0)</f>
        <v>0</v>
      </c>
      <c r="W996">
        <f>N(W995)+$V996</f>
        <v>11</v>
      </c>
      <c r="X996">
        <f>IF(AND($L996=1,AND(对接源_01水果!$X996="自备筐",N(对接源_01水果!$T996)&lt;&gt;0)),1,0)</f>
        <v>0</v>
      </c>
      <c r="Y996">
        <f>N(Y995)+$X996</f>
        <v>0</v>
      </c>
      <c r="Z996">
        <f>IF(AND($M996=1,对接源_01水果!$D996="原料入库"),1,0)</f>
        <v>0</v>
      </c>
      <c r="AA996">
        <f>N(AA995)+$Z996</f>
        <v>24</v>
      </c>
      <c r="AB996">
        <f>IF(AND($M996=1,LEFT(对接源_01水果!$D996,4)="原料出库"),1,0)</f>
        <v>0</v>
      </c>
      <c r="AC996">
        <f>N(AC995)+$AB996</f>
        <v>0</v>
      </c>
      <c r="AD996">
        <f>IF(AND($M996=1,LEFT(对接源_01水果!$D996,4)="成品出库"),1,0)</f>
        <v>0</v>
      </c>
      <c r="AE996">
        <f>N(AE995)+$AD996</f>
        <v>0</v>
      </c>
      <c r="AF996">
        <f>IF(AND($N996=1,AND(LEFT(对接源_01水果!$D996,4)="包装物料",N(对接源_01水果!$K996)&lt;&gt;0)),1,0)</f>
        <v>0</v>
      </c>
      <c r="AG996">
        <f>N(AG995)+$AF996</f>
        <v>0</v>
      </c>
      <c r="AH996">
        <f>IF(AND($N996=1,AND(对接源_01水果!$D996="周转筐－销售出库",N(对接源_01水果!$K996)&lt;&gt;0)),1,0)</f>
        <v>0</v>
      </c>
      <c r="AI996">
        <f>N(AI995)+$AH996</f>
        <v>0</v>
      </c>
      <c r="AJ996" s="7" t="n"/>
      <c r="AL996">
        <f>IF(OR($AL$1="",对接源_01水果!$Y996="",对接源_01水果!$Y996&lt;&gt;$AL$1,对接源_01水果!$B996="",N(对接源_01水果!$AJ996)&lt;=0),0,IF(OR(N(对接源_01水果!$B996)&lt;$AL$2,N(对接源_01水果!$B996)&gt;$AL$3),0,1))</f>
        <v>0</v>
      </c>
      <c r="AM996">
        <f>N(AM995)+$AL996</f>
        <v>2</v>
      </c>
      <c r="AN996">
        <f>IF(对接源_01水果!$AC996="","",对接源_01水果!$AC996)</f>
      </c>
      <c r="AO996">
        <f>IF(AN996="",0,IF(MATCH(AN996,$AN$4:$AN$1203,0)=ROW()-3,1,0))</f>
        <v>0</v>
      </c>
      <c r="AP996">
        <f>N(AP995)+$AO996</f>
        <v>13</v>
      </c>
      <c r="AR996">
        <f>IF(OR($AF996=1,$AH996=1),1,0)</f>
        <v>0</v>
      </c>
      <c r="AS996">
        <f>N(AS995)+$AR996</f>
        <v>0</v>
      </c>
    </row>
    <row r="997" ht="14.25" customHeight="1" s="127">
      <c r="A997">
        <f>IF(对接源_01水果!$C997="","",对接源_01水果!$C997)</f>
      </c>
      <c r="B997">
        <f>IF(A997="",0,IF(MATCH(A997,$A$4:$A$2403,0)=ROW()-3,1,0))</f>
        <v>0</v>
      </c>
      <c r="C997">
        <f>N(C996)+B997</f>
        <v>22</v>
      </c>
      <c r="K997">
        <f>IF(OR($K$1="",对接源_01水果!$C997="",对接源_01水果!$C997&lt;&gt;$K$1,对接源_01水果!$B997=""),0,IF(OR(N(对接源_01水果!$B997)&lt;$K$2,N(对接源_01水果!$B997)&gt;$K$3),0,1))</f>
        <v>0</v>
      </c>
      <c r="L997">
        <f>IF(OR($L$1="",对接源_01水果!$C997="",对接源_01水果!$C997&lt;&gt;$L$1,对接源_01水果!$B997=""),0,IF(OR(N(对接源_01水果!$B997)&lt;$L$2,N(对接源_01水果!$B997)&gt;$L$3),0,1))</f>
        <v>0</v>
      </c>
      <c r="M997">
        <f>IF(OR($M$1="",对接源_01水果!$C997="",对接源_01水果!$C997&lt;&gt;$M$1,对接源_01水果!$B997=""),0,IF(OR(N(对接源_01水果!$B997)&lt;$M$2,N(对接源_01水果!$B997)&gt;$M$3),0,1))</f>
        <v>0</v>
      </c>
      <c r="N997">
        <f>IF(OR($N$1="",对接源_01水果!$C997="",对接源_01水果!$C997&lt;&gt;$N$1,对接源_01水果!$B997=""),0,IF(OR(N(对接源_01水果!$B997)&lt;$N$2,N(对接源_01水果!$B997)&gt;$N$3),0,1))</f>
        <v>0</v>
      </c>
      <c r="P997">
        <f>IF(AND($K997=1,AND(对接源_01水果!$X997="公司筐",N(对接源_01水果!$T997)&lt;&gt;0)),1,0)</f>
        <v>0</v>
      </c>
      <c r="Q997">
        <f>N(Q996)+$P997</f>
        <v>0</v>
      </c>
      <c r="R997">
        <f>IF(AND($K997=1,AND(对接源_01水果!$X997="公司筐",N(对接源_01水果!$U997)&lt;&gt;0)),1,0)</f>
        <v>0</v>
      </c>
      <c r="S997">
        <f>N(S996)+$R997</f>
        <v>0</v>
      </c>
      <c r="T997">
        <f>IF(AND($K997=1,AND(对接源_01水果!$X997="公司筐",N(对接源_01水果!$V997)&lt;&gt;0)),1,0)</f>
        <v>0</v>
      </c>
      <c r="U997">
        <f>N(U996)+$T997</f>
        <v>47</v>
      </c>
      <c r="V997">
        <f>IF(AND($L997=1,AND(对接源_01水果!$X997="自备筐",N(对接源_01水果!$V997)&lt;&gt;0)),1,0)</f>
        <v>0</v>
      </c>
      <c r="W997">
        <f>N(W996)+$V997</f>
        <v>11</v>
      </c>
      <c r="X997">
        <f>IF(AND($L997=1,AND(对接源_01水果!$X997="自备筐",N(对接源_01水果!$T997)&lt;&gt;0)),1,0)</f>
        <v>0</v>
      </c>
      <c r="Y997">
        <f>N(Y996)+$X997</f>
        <v>0</v>
      </c>
      <c r="Z997">
        <f>IF(AND($M997=1,对接源_01水果!$D997="原料入库"),1,0)</f>
        <v>0</v>
      </c>
      <c r="AA997">
        <f>N(AA996)+$Z997</f>
        <v>24</v>
      </c>
      <c r="AB997">
        <f>IF(AND($M997=1,LEFT(对接源_01水果!$D997,4)="原料出库"),1,0)</f>
        <v>0</v>
      </c>
      <c r="AC997">
        <f>N(AC996)+$AB997</f>
        <v>0</v>
      </c>
      <c r="AD997">
        <f>IF(AND($M997=1,LEFT(对接源_01水果!$D997,4)="成品出库"),1,0)</f>
        <v>0</v>
      </c>
      <c r="AE997">
        <f>N(AE996)+$AD997</f>
        <v>0</v>
      </c>
      <c r="AF997">
        <f>IF(AND($N997=1,AND(LEFT(对接源_01水果!$D997,4)="包装物料",N(对接源_01水果!$K997)&lt;&gt;0)),1,0)</f>
        <v>0</v>
      </c>
      <c r="AG997">
        <f>N(AG996)+$AF997</f>
        <v>0</v>
      </c>
      <c r="AH997">
        <f>IF(AND($N997=1,AND(对接源_01水果!$D997="周转筐－销售出库",N(对接源_01水果!$K997)&lt;&gt;0)),1,0)</f>
        <v>0</v>
      </c>
      <c r="AI997">
        <f>N(AI996)+$AH997</f>
        <v>0</v>
      </c>
      <c r="AJ997" s="7" t="n"/>
      <c r="AL997">
        <f>IF(OR($AL$1="",对接源_01水果!$Y997="",对接源_01水果!$Y997&lt;&gt;$AL$1,对接源_01水果!$B997="",N(对接源_01水果!$AJ997)&lt;=0),0,IF(OR(N(对接源_01水果!$B997)&lt;$AL$2,N(对接源_01水果!$B997)&gt;$AL$3),0,1))</f>
        <v>0</v>
      </c>
      <c r="AM997">
        <f>N(AM996)+$AL997</f>
        <v>2</v>
      </c>
      <c r="AN997">
        <f>IF(对接源_01水果!$AC997="","",对接源_01水果!$AC997)</f>
      </c>
      <c r="AO997">
        <f>IF(AN997="",0,IF(MATCH(AN997,$AN$4:$AN$1203,0)=ROW()-3,1,0))</f>
        <v>0</v>
      </c>
      <c r="AP997">
        <f>N(AP996)+$AO997</f>
        <v>13</v>
      </c>
      <c r="AR997">
        <f>IF(OR($AF997=1,$AH997=1),1,0)</f>
        <v>0</v>
      </c>
      <c r="AS997">
        <f>N(AS996)+$AR997</f>
        <v>0</v>
      </c>
    </row>
    <row r="998" ht="14.25" customHeight="1" s="127">
      <c r="A998">
        <f>IF(对接源_01水果!$C998="","",对接源_01水果!$C998)</f>
      </c>
      <c r="B998">
        <f>IF(A998="",0,IF(MATCH(A998,$A$4:$A$2403,0)=ROW()-3,1,0))</f>
        <v>0</v>
      </c>
      <c r="C998">
        <f>N(C997)+B998</f>
        <v>22</v>
      </c>
      <c r="K998">
        <f>IF(OR($K$1="",对接源_01水果!$C998="",对接源_01水果!$C998&lt;&gt;$K$1,对接源_01水果!$B998=""),0,IF(OR(N(对接源_01水果!$B998)&lt;$K$2,N(对接源_01水果!$B998)&gt;$K$3),0,1))</f>
        <v>0</v>
      </c>
      <c r="L998">
        <f>IF(OR($L$1="",对接源_01水果!$C998="",对接源_01水果!$C998&lt;&gt;$L$1,对接源_01水果!$B998=""),0,IF(OR(N(对接源_01水果!$B998)&lt;$L$2,N(对接源_01水果!$B998)&gt;$L$3),0,1))</f>
        <v>0</v>
      </c>
      <c r="M998">
        <f>IF(OR($M$1="",对接源_01水果!$C998="",对接源_01水果!$C998&lt;&gt;$M$1,对接源_01水果!$B998=""),0,IF(OR(N(对接源_01水果!$B998)&lt;$M$2,N(对接源_01水果!$B998)&gt;$M$3),0,1))</f>
        <v>0</v>
      </c>
      <c r="N998">
        <f>IF(OR($N$1="",对接源_01水果!$C998="",对接源_01水果!$C998&lt;&gt;$N$1,对接源_01水果!$B998=""),0,IF(OR(N(对接源_01水果!$B998)&lt;$N$2,N(对接源_01水果!$B998)&gt;$N$3),0,1))</f>
        <v>0</v>
      </c>
      <c r="P998">
        <f>IF(AND($K998=1,AND(对接源_01水果!$X998="公司筐",N(对接源_01水果!$T998)&lt;&gt;0)),1,0)</f>
        <v>0</v>
      </c>
      <c r="Q998">
        <f>N(Q997)+$P998</f>
        <v>0</v>
      </c>
      <c r="R998">
        <f>IF(AND($K998=1,AND(对接源_01水果!$X998="公司筐",N(对接源_01水果!$U998)&lt;&gt;0)),1,0)</f>
        <v>0</v>
      </c>
      <c r="S998">
        <f>N(S997)+$R998</f>
        <v>0</v>
      </c>
      <c r="T998">
        <f>IF(AND($K998=1,AND(对接源_01水果!$X998="公司筐",N(对接源_01水果!$V998)&lt;&gt;0)),1,0)</f>
        <v>0</v>
      </c>
      <c r="U998">
        <f>N(U997)+$T998</f>
        <v>47</v>
      </c>
      <c r="V998">
        <f>IF(AND($L998=1,AND(对接源_01水果!$X998="自备筐",N(对接源_01水果!$V998)&lt;&gt;0)),1,0)</f>
        <v>0</v>
      </c>
      <c r="W998">
        <f>N(W997)+$V998</f>
        <v>11</v>
      </c>
      <c r="X998">
        <f>IF(AND($L998=1,AND(对接源_01水果!$X998="自备筐",N(对接源_01水果!$T998)&lt;&gt;0)),1,0)</f>
        <v>0</v>
      </c>
      <c r="Y998">
        <f>N(Y997)+$X998</f>
        <v>0</v>
      </c>
      <c r="Z998">
        <f>IF(AND($M998=1,对接源_01水果!$D998="原料入库"),1,0)</f>
        <v>0</v>
      </c>
      <c r="AA998">
        <f>N(AA997)+$Z998</f>
        <v>24</v>
      </c>
      <c r="AB998">
        <f>IF(AND($M998=1,LEFT(对接源_01水果!$D998,4)="原料出库"),1,0)</f>
        <v>0</v>
      </c>
      <c r="AC998">
        <f>N(AC997)+$AB998</f>
        <v>0</v>
      </c>
      <c r="AD998">
        <f>IF(AND($M998=1,LEFT(对接源_01水果!$D998,4)="成品出库"),1,0)</f>
        <v>0</v>
      </c>
      <c r="AE998">
        <f>N(AE997)+$AD998</f>
        <v>0</v>
      </c>
      <c r="AF998">
        <f>IF(AND($N998=1,AND(LEFT(对接源_01水果!$D998,4)="包装物料",N(对接源_01水果!$K998)&lt;&gt;0)),1,0)</f>
        <v>0</v>
      </c>
      <c r="AG998">
        <f>N(AG997)+$AF998</f>
        <v>0</v>
      </c>
      <c r="AH998">
        <f>IF(AND($N998=1,AND(对接源_01水果!$D998="周转筐－销售出库",N(对接源_01水果!$K998)&lt;&gt;0)),1,0)</f>
        <v>0</v>
      </c>
      <c r="AI998">
        <f>N(AI997)+$AH998</f>
        <v>0</v>
      </c>
      <c r="AJ998" s="7" t="n"/>
      <c r="AL998">
        <f>IF(OR($AL$1="",对接源_01水果!$Y998="",对接源_01水果!$Y998&lt;&gt;$AL$1,对接源_01水果!$B998="",N(对接源_01水果!$AJ998)&lt;=0),0,IF(OR(N(对接源_01水果!$B998)&lt;$AL$2,N(对接源_01水果!$B998)&gt;$AL$3),0,1))</f>
        <v>0</v>
      </c>
      <c r="AM998">
        <f>N(AM997)+$AL998</f>
        <v>2</v>
      </c>
      <c r="AN998">
        <f>IF(对接源_01水果!$AC998="","",对接源_01水果!$AC998)</f>
      </c>
      <c r="AO998">
        <f>IF(AN998="",0,IF(MATCH(AN998,$AN$4:$AN$1203,0)=ROW()-3,1,0))</f>
        <v>0</v>
      </c>
      <c r="AP998">
        <f>N(AP997)+$AO998</f>
        <v>13</v>
      </c>
      <c r="AR998">
        <f>IF(OR($AF998=1,$AH998=1),1,0)</f>
        <v>0</v>
      </c>
      <c r="AS998">
        <f>N(AS997)+$AR998</f>
        <v>0</v>
      </c>
    </row>
    <row r="999" ht="14.25" customHeight="1" s="127">
      <c r="A999">
        <f>IF(对接源_01水果!$C999="","",对接源_01水果!$C999)</f>
      </c>
      <c r="B999">
        <f>IF(A999="",0,IF(MATCH(A999,$A$4:$A$2403,0)=ROW()-3,1,0))</f>
        <v>0</v>
      </c>
      <c r="C999">
        <f>N(C998)+B999</f>
        <v>22</v>
      </c>
      <c r="K999">
        <f>IF(OR($K$1="",对接源_01水果!$C999="",对接源_01水果!$C999&lt;&gt;$K$1,对接源_01水果!$B999=""),0,IF(OR(N(对接源_01水果!$B999)&lt;$K$2,N(对接源_01水果!$B999)&gt;$K$3),0,1))</f>
        <v>0</v>
      </c>
      <c r="L999">
        <f>IF(OR($L$1="",对接源_01水果!$C999="",对接源_01水果!$C999&lt;&gt;$L$1,对接源_01水果!$B999=""),0,IF(OR(N(对接源_01水果!$B999)&lt;$L$2,N(对接源_01水果!$B999)&gt;$L$3),0,1))</f>
        <v>0</v>
      </c>
      <c r="M999">
        <f>IF(OR($M$1="",对接源_01水果!$C999="",对接源_01水果!$C999&lt;&gt;$M$1,对接源_01水果!$B999=""),0,IF(OR(N(对接源_01水果!$B999)&lt;$M$2,N(对接源_01水果!$B999)&gt;$M$3),0,1))</f>
        <v>0</v>
      </c>
      <c r="N999">
        <f>IF(OR($N$1="",对接源_01水果!$C999="",对接源_01水果!$C999&lt;&gt;$N$1,对接源_01水果!$B999=""),0,IF(OR(N(对接源_01水果!$B999)&lt;$N$2,N(对接源_01水果!$B999)&gt;$N$3),0,1))</f>
        <v>0</v>
      </c>
      <c r="P999">
        <f>IF(AND($K999=1,AND(对接源_01水果!$X999="公司筐",N(对接源_01水果!$T999)&lt;&gt;0)),1,0)</f>
        <v>0</v>
      </c>
      <c r="Q999">
        <f>N(Q998)+$P999</f>
        <v>0</v>
      </c>
      <c r="R999">
        <f>IF(AND($K999=1,AND(对接源_01水果!$X999="公司筐",N(对接源_01水果!$U999)&lt;&gt;0)),1,0)</f>
        <v>0</v>
      </c>
      <c r="S999">
        <f>N(S998)+$R999</f>
        <v>0</v>
      </c>
      <c r="T999">
        <f>IF(AND($K999=1,AND(对接源_01水果!$X999="公司筐",N(对接源_01水果!$V999)&lt;&gt;0)),1,0)</f>
        <v>0</v>
      </c>
      <c r="U999">
        <f>N(U998)+$T999</f>
        <v>47</v>
      </c>
      <c r="V999">
        <f>IF(AND($L999=1,AND(对接源_01水果!$X999="自备筐",N(对接源_01水果!$V999)&lt;&gt;0)),1,0)</f>
        <v>0</v>
      </c>
      <c r="W999">
        <f>N(W998)+$V999</f>
        <v>11</v>
      </c>
      <c r="X999">
        <f>IF(AND($L999=1,AND(对接源_01水果!$X999="自备筐",N(对接源_01水果!$T999)&lt;&gt;0)),1,0)</f>
        <v>0</v>
      </c>
      <c r="Y999">
        <f>N(Y998)+$X999</f>
        <v>0</v>
      </c>
      <c r="Z999">
        <f>IF(AND($M999=1,对接源_01水果!$D999="原料入库"),1,0)</f>
        <v>0</v>
      </c>
      <c r="AA999">
        <f>N(AA998)+$Z999</f>
        <v>24</v>
      </c>
      <c r="AB999">
        <f>IF(AND($M999=1,LEFT(对接源_01水果!$D999,4)="原料出库"),1,0)</f>
        <v>0</v>
      </c>
      <c r="AC999">
        <f>N(AC998)+$AB999</f>
        <v>0</v>
      </c>
      <c r="AD999">
        <f>IF(AND($M999=1,LEFT(对接源_01水果!$D999,4)="成品出库"),1,0)</f>
        <v>0</v>
      </c>
      <c r="AE999">
        <f>N(AE998)+$AD999</f>
        <v>0</v>
      </c>
      <c r="AF999">
        <f>IF(AND($N999=1,AND(LEFT(对接源_01水果!$D999,4)="包装物料",N(对接源_01水果!$K999)&lt;&gt;0)),1,0)</f>
        <v>0</v>
      </c>
      <c r="AG999">
        <f>N(AG998)+$AF999</f>
        <v>0</v>
      </c>
      <c r="AH999">
        <f>IF(AND($N999=1,AND(对接源_01水果!$D999="周转筐－销售出库",N(对接源_01水果!$K999)&lt;&gt;0)),1,0)</f>
        <v>0</v>
      </c>
      <c r="AI999">
        <f>N(AI998)+$AH999</f>
        <v>0</v>
      </c>
      <c r="AJ999" s="7" t="n"/>
      <c r="AL999">
        <f>IF(OR($AL$1="",对接源_01水果!$Y999="",对接源_01水果!$Y999&lt;&gt;$AL$1,对接源_01水果!$B999="",N(对接源_01水果!$AJ999)&lt;=0),0,IF(OR(N(对接源_01水果!$B999)&lt;$AL$2,N(对接源_01水果!$B999)&gt;$AL$3),0,1))</f>
        <v>0</v>
      </c>
      <c r="AM999">
        <f>N(AM998)+$AL999</f>
        <v>2</v>
      </c>
      <c r="AN999">
        <f>IF(对接源_01水果!$AC999="","",对接源_01水果!$AC999)</f>
      </c>
      <c r="AO999">
        <f>IF(AN999="",0,IF(MATCH(AN999,$AN$4:$AN$1203,0)=ROW()-3,1,0))</f>
        <v>0</v>
      </c>
      <c r="AP999">
        <f>N(AP998)+$AO999</f>
        <v>13</v>
      </c>
      <c r="AR999">
        <f>IF(OR($AF999=1,$AH999=1),1,0)</f>
        <v>0</v>
      </c>
      <c r="AS999">
        <f>N(AS998)+$AR999</f>
        <v>0</v>
      </c>
    </row>
    <row r="1000" ht="14.25" customHeight="1" s="127">
      <c r="A1000">
        <f>IF(对接源_01水果!$C1000="","",对接源_01水果!$C1000)</f>
      </c>
      <c r="B1000">
        <f>IF(A1000="",0,IF(MATCH(A1000,$A$4:$A$2403,0)=ROW()-3,1,0))</f>
        <v>0</v>
      </c>
      <c r="C1000">
        <f>N(C999)+B1000</f>
        <v>22</v>
      </c>
      <c r="K1000">
        <f>IF(OR($K$1="",对接源_01水果!$C1000="",对接源_01水果!$C1000&lt;&gt;$K$1,对接源_01水果!$B1000=""),0,IF(OR(N(对接源_01水果!$B1000)&lt;$K$2,N(对接源_01水果!$B1000)&gt;$K$3),0,1))</f>
        <v>0</v>
      </c>
      <c r="L1000">
        <f>IF(OR($L$1="",对接源_01水果!$C1000="",对接源_01水果!$C1000&lt;&gt;$L$1,对接源_01水果!$B1000=""),0,IF(OR(N(对接源_01水果!$B1000)&lt;$L$2,N(对接源_01水果!$B1000)&gt;$L$3),0,1))</f>
        <v>0</v>
      </c>
      <c r="M1000">
        <f>IF(OR($M$1="",对接源_01水果!$C1000="",对接源_01水果!$C1000&lt;&gt;$M$1,对接源_01水果!$B1000=""),0,IF(OR(N(对接源_01水果!$B1000)&lt;$M$2,N(对接源_01水果!$B1000)&gt;$M$3),0,1))</f>
        <v>0</v>
      </c>
      <c r="N1000">
        <f>IF(OR($N$1="",对接源_01水果!$C1000="",对接源_01水果!$C1000&lt;&gt;$N$1,对接源_01水果!$B1000=""),0,IF(OR(N(对接源_01水果!$B1000)&lt;$N$2,N(对接源_01水果!$B1000)&gt;$N$3),0,1))</f>
        <v>0</v>
      </c>
      <c r="P1000">
        <f>IF(AND($K1000=1,AND(对接源_01水果!$X1000="公司筐",N(对接源_01水果!$T1000)&lt;&gt;0)),1,0)</f>
        <v>0</v>
      </c>
      <c r="Q1000">
        <f>N(Q999)+$P1000</f>
        <v>0</v>
      </c>
      <c r="R1000">
        <f>IF(AND($K1000=1,AND(对接源_01水果!$X1000="公司筐",N(对接源_01水果!$U1000)&lt;&gt;0)),1,0)</f>
        <v>0</v>
      </c>
      <c r="S1000">
        <f>N(S999)+$R1000</f>
        <v>0</v>
      </c>
      <c r="T1000">
        <f>IF(AND($K1000=1,AND(对接源_01水果!$X1000="公司筐",N(对接源_01水果!$V1000)&lt;&gt;0)),1,0)</f>
        <v>0</v>
      </c>
      <c r="U1000">
        <f>N(U999)+$T1000</f>
        <v>47</v>
      </c>
      <c r="V1000">
        <f>IF(AND($L1000=1,AND(对接源_01水果!$X1000="自备筐",N(对接源_01水果!$V1000)&lt;&gt;0)),1,0)</f>
        <v>0</v>
      </c>
      <c r="W1000">
        <f>N(W999)+$V1000</f>
        <v>11</v>
      </c>
      <c r="X1000">
        <f>IF(AND($L1000=1,AND(对接源_01水果!$X1000="自备筐",N(对接源_01水果!$T1000)&lt;&gt;0)),1,0)</f>
        <v>0</v>
      </c>
      <c r="Y1000">
        <f>N(Y999)+$X1000</f>
        <v>0</v>
      </c>
      <c r="Z1000">
        <f>IF(AND($M1000=1,对接源_01水果!$D1000="原料入库"),1,0)</f>
        <v>0</v>
      </c>
      <c r="AA1000">
        <f>N(AA999)+$Z1000</f>
        <v>24</v>
      </c>
      <c r="AB1000">
        <f>IF(AND($M1000=1,LEFT(对接源_01水果!$D1000,4)="原料出库"),1,0)</f>
        <v>0</v>
      </c>
      <c r="AC1000">
        <f>N(AC999)+$AB1000</f>
        <v>0</v>
      </c>
      <c r="AD1000">
        <f>IF(AND($M1000=1,LEFT(对接源_01水果!$D1000,4)="成品出库"),1,0)</f>
        <v>0</v>
      </c>
      <c r="AE1000">
        <f>N(AE999)+$AD1000</f>
        <v>0</v>
      </c>
      <c r="AF1000">
        <f>IF(AND($N1000=1,AND(LEFT(对接源_01水果!$D1000,4)="包装物料",N(对接源_01水果!$K1000)&lt;&gt;0)),1,0)</f>
        <v>0</v>
      </c>
      <c r="AG1000">
        <f>N(AG999)+$AF1000</f>
        <v>0</v>
      </c>
      <c r="AH1000">
        <f>IF(AND($N1000=1,AND(对接源_01水果!$D1000="周转筐－销售出库",N(对接源_01水果!$K1000)&lt;&gt;0)),1,0)</f>
        <v>0</v>
      </c>
      <c r="AI1000">
        <f>N(AI999)+$AH1000</f>
        <v>0</v>
      </c>
      <c r="AJ1000" s="7" t="n"/>
      <c r="AL1000">
        <f>IF(OR($AL$1="",对接源_01水果!$Y1000="",对接源_01水果!$Y1000&lt;&gt;$AL$1,对接源_01水果!$B1000="",N(对接源_01水果!$AJ1000)&lt;=0),0,IF(OR(N(对接源_01水果!$B1000)&lt;$AL$2,N(对接源_01水果!$B1000)&gt;$AL$3),0,1))</f>
        <v>0</v>
      </c>
      <c r="AM1000">
        <f>N(AM999)+$AL1000</f>
        <v>2</v>
      </c>
      <c r="AN1000">
        <f>IF(对接源_01水果!$AC1000="","",对接源_01水果!$AC1000)</f>
      </c>
      <c r="AO1000">
        <f>IF(AN1000="",0,IF(MATCH(AN1000,$AN$4:$AN$1203,0)=ROW()-3,1,0))</f>
        <v>0</v>
      </c>
      <c r="AP1000">
        <f>N(AP999)+$AO1000</f>
        <v>13</v>
      </c>
      <c r="AR1000">
        <f>IF(OR($AF1000=1,$AH1000=1),1,0)</f>
        <v>0</v>
      </c>
      <c r="AS1000">
        <f>N(AS999)+$AR1000</f>
        <v>0</v>
      </c>
    </row>
    <row r="1001" ht="14.25" customHeight="1" s="127">
      <c r="A1001">
        <f>IF(对接源_01水果!$C1001="","",对接源_01水果!$C1001)</f>
      </c>
      <c r="B1001">
        <f>IF(A1001="",0,IF(MATCH(A1001,$A$4:$A$2403,0)=ROW()-3,1,0))</f>
        <v>0</v>
      </c>
      <c r="C1001">
        <f>N(C1000)+B1001</f>
        <v>22</v>
      </c>
      <c r="K1001">
        <f>IF(OR($K$1="",对接源_01水果!$C1001="",对接源_01水果!$C1001&lt;&gt;$K$1,对接源_01水果!$B1001=""),0,IF(OR(N(对接源_01水果!$B1001)&lt;$K$2,N(对接源_01水果!$B1001)&gt;$K$3),0,1))</f>
        <v>0</v>
      </c>
      <c r="L1001">
        <f>IF(OR($L$1="",对接源_01水果!$C1001="",对接源_01水果!$C1001&lt;&gt;$L$1,对接源_01水果!$B1001=""),0,IF(OR(N(对接源_01水果!$B1001)&lt;$L$2,N(对接源_01水果!$B1001)&gt;$L$3),0,1))</f>
        <v>0</v>
      </c>
      <c r="M1001">
        <f>IF(OR($M$1="",对接源_01水果!$C1001="",对接源_01水果!$C1001&lt;&gt;$M$1,对接源_01水果!$B1001=""),0,IF(OR(N(对接源_01水果!$B1001)&lt;$M$2,N(对接源_01水果!$B1001)&gt;$M$3),0,1))</f>
        <v>0</v>
      </c>
      <c r="N1001">
        <f>IF(OR($N$1="",对接源_01水果!$C1001="",对接源_01水果!$C1001&lt;&gt;$N$1,对接源_01水果!$B1001=""),0,IF(OR(N(对接源_01水果!$B1001)&lt;$N$2,N(对接源_01水果!$B1001)&gt;$N$3),0,1))</f>
        <v>0</v>
      </c>
      <c r="P1001">
        <f>IF(AND($K1001=1,AND(对接源_01水果!$X1001="公司筐",N(对接源_01水果!$T1001)&lt;&gt;0)),1,0)</f>
        <v>0</v>
      </c>
      <c r="Q1001">
        <f>N(Q1000)+$P1001</f>
        <v>0</v>
      </c>
      <c r="R1001">
        <f>IF(AND($K1001=1,AND(对接源_01水果!$X1001="公司筐",N(对接源_01水果!$U1001)&lt;&gt;0)),1,0)</f>
        <v>0</v>
      </c>
      <c r="S1001">
        <f>N(S1000)+$R1001</f>
        <v>0</v>
      </c>
      <c r="T1001">
        <f>IF(AND($K1001=1,AND(对接源_01水果!$X1001="公司筐",N(对接源_01水果!$V1001)&lt;&gt;0)),1,0)</f>
        <v>0</v>
      </c>
      <c r="U1001">
        <f>N(U1000)+$T1001</f>
        <v>47</v>
      </c>
      <c r="V1001">
        <f>IF(AND($L1001=1,AND(对接源_01水果!$X1001="自备筐",N(对接源_01水果!$V1001)&lt;&gt;0)),1,0)</f>
        <v>0</v>
      </c>
      <c r="W1001">
        <f>N(W1000)+$V1001</f>
        <v>11</v>
      </c>
      <c r="X1001">
        <f>IF(AND($L1001=1,AND(对接源_01水果!$X1001="自备筐",N(对接源_01水果!$T1001)&lt;&gt;0)),1,0)</f>
        <v>0</v>
      </c>
      <c r="Y1001">
        <f>N(Y1000)+$X1001</f>
        <v>0</v>
      </c>
      <c r="Z1001">
        <f>IF(AND($M1001=1,对接源_01水果!$D1001="原料入库"),1,0)</f>
        <v>0</v>
      </c>
      <c r="AA1001">
        <f>N(AA1000)+$Z1001</f>
        <v>24</v>
      </c>
      <c r="AB1001">
        <f>IF(AND($M1001=1,LEFT(对接源_01水果!$D1001,4)="原料出库"),1,0)</f>
        <v>0</v>
      </c>
      <c r="AC1001">
        <f>N(AC1000)+$AB1001</f>
        <v>0</v>
      </c>
      <c r="AD1001">
        <f>IF(AND($M1001=1,LEFT(对接源_01水果!$D1001,4)="成品出库"),1,0)</f>
        <v>0</v>
      </c>
      <c r="AE1001">
        <f>N(AE1000)+$AD1001</f>
        <v>0</v>
      </c>
      <c r="AF1001">
        <f>IF(AND($N1001=1,AND(LEFT(对接源_01水果!$D1001,4)="包装物料",N(对接源_01水果!$K1001)&lt;&gt;0)),1,0)</f>
        <v>0</v>
      </c>
      <c r="AG1001">
        <f>N(AG1000)+$AF1001</f>
        <v>0</v>
      </c>
      <c r="AH1001">
        <f>IF(AND($N1001=1,AND(对接源_01水果!$D1001="周转筐－销售出库",N(对接源_01水果!$K1001)&lt;&gt;0)),1,0)</f>
        <v>0</v>
      </c>
      <c r="AI1001">
        <f>N(AI1000)+$AH1001</f>
        <v>0</v>
      </c>
      <c r="AJ1001" s="7" t="n"/>
      <c r="AL1001">
        <f>IF(OR($AL$1="",对接源_01水果!$Y1001="",对接源_01水果!$Y1001&lt;&gt;$AL$1,对接源_01水果!$B1001="",N(对接源_01水果!$AJ1001)&lt;=0),0,IF(OR(N(对接源_01水果!$B1001)&lt;$AL$2,N(对接源_01水果!$B1001)&gt;$AL$3),0,1))</f>
        <v>0</v>
      </c>
      <c r="AM1001">
        <f>N(AM1000)+$AL1001</f>
        <v>2</v>
      </c>
      <c r="AN1001">
        <f>IF(对接源_01水果!$AC1001="","",对接源_01水果!$AC1001)</f>
      </c>
      <c r="AO1001">
        <f>IF(AN1001="",0,IF(MATCH(AN1001,$AN$4:$AN$1203,0)=ROW()-3,1,0))</f>
        <v>0</v>
      </c>
      <c r="AP1001">
        <f>N(AP1000)+$AO1001</f>
        <v>13</v>
      </c>
      <c r="AR1001">
        <f>IF(OR($AF1001=1,$AH1001=1),1,0)</f>
        <v>0</v>
      </c>
      <c r="AS1001">
        <f>N(AS1000)+$AR1001</f>
        <v>0</v>
      </c>
    </row>
    <row r="1002" ht="14.25" customHeight="1" s="127">
      <c r="A1002">
        <f>IF(对接源_01水果!$C1002="","",对接源_01水果!$C1002)</f>
      </c>
      <c r="B1002">
        <f>IF(A1002="",0,IF(MATCH(A1002,$A$4:$A$2403,0)=ROW()-3,1,0))</f>
        <v>0</v>
      </c>
      <c r="C1002">
        <f>N(C1001)+B1002</f>
        <v>22</v>
      </c>
      <c r="K1002">
        <f>IF(OR($K$1="",对接源_01水果!$C1002="",对接源_01水果!$C1002&lt;&gt;$K$1,对接源_01水果!$B1002=""),0,IF(OR(N(对接源_01水果!$B1002)&lt;$K$2,N(对接源_01水果!$B1002)&gt;$K$3),0,1))</f>
        <v>0</v>
      </c>
      <c r="L1002">
        <f>IF(OR($L$1="",对接源_01水果!$C1002="",对接源_01水果!$C1002&lt;&gt;$L$1,对接源_01水果!$B1002=""),0,IF(OR(N(对接源_01水果!$B1002)&lt;$L$2,N(对接源_01水果!$B1002)&gt;$L$3),0,1))</f>
        <v>0</v>
      </c>
      <c r="M1002">
        <f>IF(OR($M$1="",对接源_01水果!$C1002="",对接源_01水果!$C1002&lt;&gt;$M$1,对接源_01水果!$B1002=""),0,IF(OR(N(对接源_01水果!$B1002)&lt;$M$2,N(对接源_01水果!$B1002)&gt;$M$3),0,1))</f>
        <v>0</v>
      </c>
      <c r="N1002">
        <f>IF(OR($N$1="",对接源_01水果!$C1002="",对接源_01水果!$C1002&lt;&gt;$N$1,对接源_01水果!$B1002=""),0,IF(OR(N(对接源_01水果!$B1002)&lt;$N$2,N(对接源_01水果!$B1002)&gt;$N$3),0,1))</f>
        <v>0</v>
      </c>
      <c r="P1002">
        <f>IF(AND($K1002=1,AND(对接源_01水果!$X1002="公司筐",N(对接源_01水果!$T1002)&lt;&gt;0)),1,0)</f>
        <v>0</v>
      </c>
      <c r="Q1002">
        <f>N(Q1001)+$P1002</f>
        <v>0</v>
      </c>
      <c r="R1002">
        <f>IF(AND($K1002=1,AND(对接源_01水果!$X1002="公司筐",N(对接源_01水果!$U1002)&lt;&gt;0)),1,0)</f>
        <v>0</v>
      </c>
      <c r="S1002">
        <f>N(S1001)+$R1002</f>
        <v>0</v>
      </c>
      <c r="T1002">
        <f>IF(AND($K1002=1,AND(对接源_01水果!$X1002="公司筐",N(对接源_01水果!$V1002)&lt;&gt;0)),1,0)</f>
        <v>0</v>
      </c>
      <c r="U1002">
        <f>N(U1001)+$T1002</f>
        <v>47</v>
      </c>
      <c r="V1002">
        <f>IF(AND($L1002=1,AND(对接源_01水果!$X1002="自备筐",N(对接源_01水果!$V1002)&lt;&gt;0)),1,0)</f>
        <v>0</v>
      </c>
      <c r="W1002">
        <f>N(W1001)+$V1002</f>
        <v>11</v>
      </c>
      <c r="X1002">
        <f>IF(AND($L1002=1,AND(对接源_01水果!$X1002="自备筐",N(对接源_01水果!$T1002)&lt;&gt;0)),1,0)</f>
        <v>0</v>
      </c>
      <c r="Y1002">
        <f>N(Y1001)+$X1002</f>
        <v>0</v>
      </c>
      <c r="Z1002">
        <f>IF(AND($M1002=1,对接源_01水果!$D1002="原料入库"),1,0)</f>
        <v>0</v>
      </c>
      <c r="AA1002">
        <f>N(AA1001)+$Z1002</f>
        <v>24</v>
      </c>
      <c r="AB1002">
        <f>IF(AND($M1002=1,LEFT(对接源_01水果!$D1002,4)="原料出库"),1,0)</f>
        <v>0</v>
      </c>
      <c r="AC1002">
        <f>N(AC1001)+$AB1002</f>
        <v>0</v>
      </c>
      <c r="AD1002">
        <f>IF(AND($M1002=1,LEFT(对接源_01水果!$D1002,4)="成品出库"),1,0)</f>
        <v>0</v>
      </c>
      <c r="AE1002">
        <f>N(AE1001)+$AD1002</f>
        <v>0</v>
      </c>
      <c r="AF1002">
        <f>IF(AND($N1002=1,AND(LEFT(对接源_01水果!$D1002,4)="包装物料",N(对接源_01水果!$K1002)&lt;&gt;0)),1,0)</f>
        <v>0</v>
      </c>
      <c r="AG1002">
        <f>N(AG1001)+$AF1002</f>
        <v>0</v>
      </c>
      <c r="AH1002">
        <f>IF(AND($N1002=1,AND(对接源_01水果!$D1002="周转筐－销售出库",N(对接源_01水果!$K1002)&lt;&gt;0)),1,0)</f>
        <v>0</v>
      </c>
      <c r="AI1002">
        <f>N(AI1001)+$AH1002</f>
        <v>0</v>
      </c>
      <c r="AJ1002" s="7" t="n"/>
      <c r="AL1002">
        <f>IF(OR($AL$1="",对接源_01水果!$Y1002="",对接源_01水果!$Y1002&lt;&gt;$AL$1,对接源_01水果!$B1002="",N(对接源_01水果!$AJ1002)&lt;=0),0,IF(OR(N(对接源_01水果!$B1002)&lt;$AL$2,N(对接源_01水果!$B1002)&gt;$AL$3),0,1))</f>
        <v>0</v>
      </c>
      <c r="AM1002">
        <f>N(AM1001)+$AL1002</f>
        <v>2</v>
      </c>
      <c r="AN1002">
        <f>IF(对接源_01水果!$AC1002="","",对接源_01水果!$AC1002)</f>
      </c>
      <c r="AO1002">
        <f>IF(AN1002="",0,IF(MATCH(AN1002,$AN$4:$AN$1203,0)=ROW()-3,1,0))</f>
        <v>0</v>
      </c>
      <c r="AP1002">
        <f>N(AP1001)+$AO1002</f>
        <v>13</v>
      </c>
      <c r="AR1002">
        <f>IF(OR($AF1002=1,$AH1002=1),1,0)</f>
        <v>0</v>
      </c>
      <c r="AS1002">
        <f>N(AS1001)+$AR1002</f>
        <v>0</v>
      </c>
    </row>
    <row r="1003" ht="14.25" customHeight="1" s="127">
      <c r="A1003">
        <f>IF(对接源_01水果!$C1003="","",对接源_01水果!$C1003)</f>
      </c>
      <c r="B1003">
        <f>IF(A1003="",0,IF(MATCH(A1003,$A$4:$A$2403,0)=ROW()-3,1,0))</f>
        <v>0</v>
      </c>
      <c r="C1003">
        <f>N(C1002)+B1003</f>
        <v>22</v>
      </c>
      <c r="K1003">
        <f>IF(OR($K$1="",对接源_01水果!$C1003="",对接源_01水果!$C1003&lt;&gt;$K$1,对接源_01水果!$B1003=""),0,IF(OR(N(对接源_01水果!$B1003)&lt;$K$2,N(对接源_01水果!$B1003)&gt;$K$3),0,1))</f>
        <v>0</v>
      </c>
      <c r="L1003">
        <f>IF(OR($L$1="",对接源_01水果!$C1003="",对接源_01水果!$C1003&lt;&gt;$L$1,对接源_01水果!$B1003=""),0,IF(OR(N(对接源_01水果!$B1003)&lt;$L$2,N(对接源_01水果!$B1003)&gt;$L$3),0,1))</f>
        <v>0</v>
      </c>
      <c r="M1003">
        <f>IF(OR($M$1="",对接源_01水果!$C1003="",对接源_01水果!$C1003&lt;&gt;$M$1,对接源_01水果!$B1003=""),0,IF(OR(N(对接源_01水果!$B1003)&lt;$M$2,N(对接源_01水果!$B1003)&gt;$M$3),0,1))</f>
        <v>0</v>
      </c>
      <c r="N1003">
        <f>IF(OR($N$1="",对接源_01水果!$C1003="",对接源_01水果!$C1003&lt;&gt;$N$1,对接源_01水果!$B1003=""),0,IF(OR(N(对接源_01水果!$B1003)&lt;$N$2,N(对接源_01水果!$B1003)&gt;$N$3),0,1))</f>
        <v>0</v>
      </c>
      <c r="P1003">
        <f>IF(AND($K1003=1,AND(对接源_01水果!$X1003="公司筐",N(对接源_01水果!$T1003)&lt;&gt;0)),1,0)</f>
        <v>0</v>
      </c>
      <c r="Q1003">
        <f>N(Q1002)+$P1003</f>
        <v>0</v>
      </c>
      <c r="R1003">
        <f>IF(AND($K1003=1,AND(对接源_01水果!$X1003="公司筐",N(对接源_01水果!$U1003)&lt;&gt;0)),1,0)</f>
        <v>0</v>
      </c>
      <c r="S1003">
        <f>N(S1002)+$R1003</f>
        <v>0</v>
      </c>
      <c r="T1003">
        <f>IF(AND($K1003=1,AND(对接源_01水果!$X1003="公司筐",N(对接源_01水果!$V1003)&lt;&gt;0)),1,0)</f>
        <v>0</v>
      </c>
      <c r="U1003">
        <f>N(U1002)+$T1003</f>
        <v>47</v>
      </c>
      <c r="V1003">
        <f>IF(AND($L1003=1,AND(对接源_01水果!$X1003="自备筐",N(对接源_01水果!$V1003)&lt;&gt;0)),1,0)</f>
        <v>0</v>
      </c>
      <c r="W1003">
        <f>N(W1002)+$V1003</f>
        <v>11</v>
      </c>
      <c r="X1003">
        <f>IF(AND($L1003=1,AND(对接源_01水果!$X1003="自备筐",N(对接源_01水果!$T1003)&lt;&gt;0)),1,0)</f>
        <v>0</v>
      </c>
      <c r="Y1003">
        <f>N(Y1002)+$X1003</f>
        <v>0</v>
      </c>
      <c r="Z1003">
        <f>IF(AND($M1003=1,对接源_01水果!$D1003="原料入库"),1,0)</f>
        <v>0</v>
      </c>
      <c r="AA1003">
        <f>N(AA1002)+$Z1003</f>
        <v>24</v>
      </c>
      <c r="AB1003">
        <f>IF(AND($M1003=1,LEFT(对接源_01水果!$D1003,4)="原料出库"),1,0)</f>
        <v>0</v>
      </c>
      <c r="AC1003">
        <f>N(AC1002)+$AB1003</f>
        <v>0</v>
      </c>
      <c r="AD1003">
        <f>IF(AND($M1003=1,LEFT(对接源_01水果!$D1003,4)="成品出库"),1,0)</f>
        <v>0</v>
      </c>
      <c r="AE1003">
        <f>N(AE1002)+$AD1003</f>
        <v>0</v>
      </c>
      <c r="AF1003">
        <f>IF(AND($N1003=1,AND(LEFT(对接源_01水果!$D1003,4)="包装物料",N(对接源_01水果!$K1003)&lt;&gt;0)),1,0)</f>
        <v>0</v>
      </c>
      <c r="AG1003">
        <f>N(AG1002)+$AF1003</f>
        <v>0</v>
      </c>
      <c r="AH1003">
        <f>IF(AND($N1003=1,AND(对接源_01水果!$D1003="周转筐－销售出库",N(对接源_01水果!$K1003)&lt;&gt;0)),1,0)</f>
        <v>0</v>
      </c>
      <c r="AI1003">
        <f>N(AI1002)+$AH1003</f>
        <v>0</v>
      </c>
      <c r="AJ1003" s="7" t="n"/>
      <c r="AL1003">
        <f>IF(OR($AL$1="",对接源_01水果!$Y1003="",对接源_01水果!$Y1003&lt;&gt;$AL$1,对接源_01水果!$B1003="",N(对接源_01水果!$AJ1003)&lt;=0),0,IF(OR(N(对接源_01水果!$B1003)&lt;$AL$2,N(对接源_01水果!$B1003)&gt;$AL$3),0,1))</f>
        <v>0</v>
      </c>
      <c r="AM1003">
        <f>N(AM1002)+$AL1003</f>
        <v>2</v>
      </c>
      <c r="AN1003">
        <f>IF(对接源_01水果!$AC1003="","",对接源_01水果!$AC1003)</f>
      </c>
      <c r="AO1003">
        <f>IF(AN1003="",0,IF(MATCH(AN1003,$AN$4:$AN$1203,0)=ROW()-3,1,0))</f>
        <v>0</v>
      </c>
      <c r="AP1003">
        <f>N(AP1002)+$AO1003</f>
        <v>13</v>
      </c>
      <c r="AR1003">
        <f>IF(OR($AF1003=1,$AH1003=1),1,0)</f>
        <v>0</v>
      </c>
      <c r="AS1003">
        <f>N(AS1002)+$AR1003</f>
        <v>0</v>
      </c>
    </row>
    <row r="1004" ht="14.25" customHeight="1" s="127">
      <c r="A1004">
        <f>IF(对接源_01水果!$C1004="","",对接源_01水果!$C1004)</f>
      </c>
      <c r="B1004">
        <f>IF(A1004="",0,IF(MATCH(A1004,$A$4:$A$2403,0)=ROW()-3,1,0))</f>
        <v>0</v>
      </c>
      <c r="C1004">
        <f>N(C1003)+B1004</f>
        <v>22</v>
      </c>
      <c r="K1004">
        <f>IF(OR($K$1="",对接源_01水果!$C1004="",对接源_01水果!$C1004&lt;&gt;$K$1,对接源_01水果!$B1004=""),0,IF(OR(N(对接源_01水果!$B1004)&lt;$K$2,N(对接源_01水果!$B1004)&gt;$K$3),0,1))</f>
        <v>0</v>
      </c>
      <c r="L1004">
        <f>IF(OR($L$1="",对接源_01水果!$C1004="",对接源_01水果!$C1004&lt;&gt;$L$1,对接源_01水果!$B1004=""),0,IF(OR(N(对接源_01水果!$B1004)&lt;$L$2,N(对接源_01水果!$B1004)&gt;$L$3),0,1))</f>
        <v>0</v>
      </c>
      <c r="M1004">
        <f>IF(OR($M$1="",对接源_01水果!$C1004="",对接源_01水果!$C1004&lt;&gt;$M$1,对接源_01水果!$B1004=""),0,IF(OR(N(对接源_01水果!$B1004)&lt;$M$2,N(对接源_01水果!$B1004)&gt;$M$3),0,1))</f>
        <v>0</v>
      </c>
      <c r="N1004">
        <f>IF(OR($N$1="",对接源_01水果!$C1004="",对接源_01水果!$C1004&lt;&gt;$N$1,对接源_01水果!$B1004=""),0,IF(OR(N(对接源_01水果!$B1004)&lt;$N$2,N(对接源_01水果!$B1004)&gt;$N$3),0,1))</f>
        <v>0</v>
      </c>
      <c r="P1004">
        <f>IF(AND($K1004=1,AND(对接源_01水果!$X1004="公司筐",N(对接源_01水果!$T1004)&lt;&gt;0)),1,0)</f>
        <v>0</v>
      </c>
      <c r="Q1004">
        <f>N(Q1003)+$P1004</f>
        <v>0</v>
      </c>
      <c r="R1004">
        <f>IF(AND($K1004=1,AND(对接源_01水果!$X1004="公司筐",N(对接源_01水果!$U1004)&lt;&gt;0)),1,0)</f>
        <v>0</v>
      </c>
      <c r="S1004">
        <f>N(S1003)+$R1004</f>
        <v>0</v>
      </c>
      <c r="T1004">
        <f>IF(AND($K1004=1,AND(对接源_01水果!$X1004="公司筐",N(对接源_01水果!$V1004)&lt;&gt;0)),1,0)</f>
        <v>0</v>
      </c>
      <c r="U1004">
        <f>N(U1003)+$T1004</f>
        <v>47</v>
      </c>
      <c r="V1004">
        <f>IF(AND($L1004=1,AND(对接源_01水果!$X1004="自备筐",N(对接源_01水果!$V1004)&lt;&gt;0)),1,0)</f>
        <v>0</v>
      </c>
      <c r="W1004">
        <f>N(W1003)+$V1004</f>
        <v>11</v>
      </c>
      <c r="X1004">
        <f>IF(AND($L1004=1,AND(对接源_01水果!$X1004="自备筐",N(对接源_01水果!$T1004)&lt;&gt;0)),1,0)</f>
        <v>0</v>
      </c>
      <c r="Y1004">
        <f>N(Y1003)+$X1004</f>
        <v>0</v>
      </c>
      <c r="Z1004">
        <f>IF(AND($M1004=1,对接源_01水果!$D1004="原料入库"),1,0)</f>
        <v>0</v>
      </c>
      <c r="AA1004">
        <f>N(AA1003)+$Z1004</f>
        <v>24</v>
      </c>
      <c r="AB1004">
        <f>IF(AND($M1004=1,LEFT(对接源_01水果!$D1004,4)="原料出库"),1,0)</f>
        <v>0</v>
      </c>
      <c r="AC1004">
        <f>N(AC1003)+$AB1004</f>
        <v>0</v>
      </c>
      <c r="AD1004">
        <f>IF(AND($M1004=1,LEFT(对接源_01水果!$D1004,4)="成品出库"),1,0)</f>
        <v>0</v>
      </c>
      <c r="AE1004">
        <f>N(AE1003)+$AD1004</f>
        <v>0</v>
      </c>
      <c r="AF1004">
        <f>IF(AND($N1004=1,AND(LEFT(对接源_01水果!$D1004,4)="包装物料",N(对接源_01水果!$K1004)&lt;&gt;0)),1,0)</f>
        <v>0</v>
      </c>
      <c r="AG1004">
        <f>N(AG1003)+$AF1004</f>
        <v>0</v>
      </c>
      <c r="AH1004">
        <f>IF(AND($N1004=1,AND(对接源_01水果!$D1004="周转筐－销售出库",N(对接源_01水果!$K1004)&lt;&gt;0)),1,0)</f>
        <v>0</v>
      </c>
      <c r="AI1004">
        <f>N(AI1003)+$AH1004</f>
        <v>0</v>
      </c>
      <c r="AJ1004" s="7" t="n"/>
      <c r="AL1004">
        <f>IF(OR($AL$1="",对接源_01水果!$Y1004="",对接源_01水果!$Y1004&lt;&gt;$AL$1,对接源_01水果!$B1004="",N(对接源_01水果!$AJ1004)&lt;=0),0,IF(OR(N(对接源_01水果!$B1004)&lt;$AL$2,N(对接源_01水果!$B1004)&gt;$AL$3),0,1))</f>
        <v>0</v>
      </c>
      <c r="AM1004">
        <f>N(AM1003)+$AL1004</f>
        <v>2</v>
      </c>
      <c r="AN1004">
        <f>IF(对接源_01水果!$AC1004="","",对接源_01水果!$AC1004)</f>
      </c>
      <c r="AO1004">
        <f>IF(AN1004="",0,IF(MATCH(AN1004,$AN$4:$AN$1203,0)=ROW()-3,1,0))</f>
        <v>0</v>
      </c>
      <c r="AP1004">
        <f>N(AP1003)+$AO1004</f>
        <v>13</v>
      </c>
      <c r="AR1004">
        <f>IF(OR($AF1004=1,$AH1004=1),1,0)</f>
        <v>0</v>
      </c>
      <c r="AS1004">
        <f>N(AS1003)+$AR1004</f>
        <v>0</v>
      </c>
    </row>
    <row r="1005" ht="14.25" customHeight="1" s="127">
      <c r="A1005">
        <f>IF(对接源_01水果!$C1005="","",对接源_01水果!$C1005)</f>
      </c>
      <c r="B1005">
        <f>IF(A1005="",0,IF(MATCH(A1005,$A$4:$A$2403,0)=ROW()-3,1,0))</f>
        <v>0</v>
      </c>
      <c r="C1005">
        <f>N(C1004)+B1005</f>
        <v>22</v>
      </c>
      <c r="K1005">
        <f>IF(OR($K$1="",对接源_01水果!$C1005="",对接源_01水果!$C1005&lt;&gt;$K$1,对接源_01水果!$B1005=""),0,IF(OR(N(对接源_01水果!$B1005)&lt;$K$2,N(对接源_01水果!$B1005)&gt;$K$3),0,1))</f>
        <v>0</v>
      </c>
      <c r="L1005">
        <f>IF(OR($L$1="",对接源_01水果!$C1005="",对接源_01水果!$C1005&lt;&gt;$L$1,对接源_01水果!$B1005=""),0,IF(OR(N(对接源_01水果!$B1005)&lt;$L$2,N(对接源_01水果!$B1005)&gt;$L$3),0,1))</f>
        <v>0</v>
      </c>
      <c r="M1005">
        <f>IF(OR($M$1="",对接源_01水果!$C1005="",对接源_01水果!$C1005&lt;&gt;$M$1,对接源_01水果!$B1005=""),0,IF(OR(N(对接源_01水果!$B1005)&lt;$M$2,N(对接源_01水果!$B1005)&gt;$M$3),0,1))</f>
        <v>0</v>
      </c>
      <c r="N1005">
        <f>IF(OR($N$1="",对接源_01水果!$C1005="",对接源_01水果!$C1005&lt;&gt;$N$1,对接源_01水果!$B1005=""),0,IF(OR(N(对接源_01水果!$B1005)&lt;$N$2,N(对接源_01水果!$B1005)&gt;$N$3),0,1))</f>
        <v>0</v>
      </c>
      <c r="P1005">
        <f>IF(AND($K1005=1,AND(对接源_01水果!$X1005="公司筐",N(对接源_01水果!$T1005)&lt;&gt;0)),1,0)</f>
        <v>0</v>
      </c>
      <c r="Q1005">
        <f>N(Q1004)+$P1005</f>
        <v>0</v>
      </c>
      <c r="R1005">
        <f>IF(AND($K1005=1,AND(对接源_01水果!$X1005="公司筐",N(对接源_01水果!$U1005)&lt;&gt;0)),1,0)</f>
        <v>0</v>
      </c>
      <c r="S1005">
        <f>N(S1004)+$R1005</f>
        <v>0</v>
      </c>
      <c r="T1005">
        <f>IF(AND($K1005=1,AND(对接源_01水果!$X1005="公司筐",N(对接源_01水果!$V1005)&lt;&gt;0)),1,0)</f>
        <v>0</v>
      </c>
      <c r="U1005">
        <f>N(U1004)+$T1005</f>
        <v>47</v>
      </c>
      <c r="V1005">
        <f>IF(AND($L1005=1,AND(对接源_01水果!$X1005="自备筐",N(对接源_01水果!$V1005)&lt;&gt;0)),1,0)</f>
        <v>0</v>
      </c>
      <c r="W1005">
        <f>N(W1004)+$V1005</f>
        <v>11</v>
      </c>
      <c r="X1005">
        <f>IF(AND($L1005=1,AND(对接源_01水果!$X1005="自备筐",N(对接源_01水果!$T1005)&lt;&gt;0)),1,0)</f>
        <v>0</v>
      </c>
      <c r="Y1005">
        <f>N(Y1004)+$X1005</f>
        <v>0</v>
      </c>
      <c r="Z1005">
        <f>IF(AND($M1005=1,对接源_01水果!$D1005="原料入库"),1,0)</f>
        <v>0</v>
      </c>
      <c r="AA1005">
        <f>N(AA1004)+$Z1005</f>
        <v>24</v>
      </c>
      <c r="AB1005">
        <f>IF(AND($M1005=1,LEFT(对接源_01水果!$D1005,4)="原料出库"),1,0)</f>
        <v>0</v>
      </c>
      <c r="AC1005">
        <f>N(AC1004)+$AB1005</f>
        <v>0</v>
      </c>
      <c r="AD1005">
        <f>IF(AND($M1005=1,LEFT(对接源_01水果!$D1005,4)="成品出库"),1,0)</f>
        <v>0</v>
      </c>
      <c r="AE1005">
        <f>N(AE1004)+$AD1005</f>
        <v>0</v>
      </c>
      <c r="AF1005">
        <f>IF(AND($N1005=1,AND(LEFT(对接源_01水果!$D1005,4)="包装物料",N(对接源_01水果!$K1005)&lt;&gt;0)),1,0)</f>
        <v>0</v>
      </c>
      <c r="AG1005">
        <f>N(AG1004)+$AF1005</f>
        <v>0</v>
      </c>
      <c r="AH1005">
        <f>IF(AND($N1005=1,AND(对接源_01水果!$D1005="周转筐－销售出库",N(对接源_01水果!$K1005)&lt;&gt;0)),1,0)</f>
        <v>0</v>
      </c>
      <c r="AI1005">
        <f>N(AI1004)+$AH1005</f>
        <v>0</v>
      </c>
      <c r="AJ1005" s="7" t="n"/>
      <c r="AL1005">
        <f>IF(OR($AL$1="",对接源_01水果!$Y1005="",对接源_01水果!$Y1005&lt;&gt;$AL$1,对接源_01水果!$B1005="",N(对接源_01水果!$AJ1005)&lt;=0),0,IF(OR(N(对接源_01水果!$B1005)&lt;$AL$2,N(对接源_01水果!$B1005)&gt;$AL$3),0,1))</f>
        <v>0</v>
      </c>
      <c r="AM1005">
        <f>N(AM1004)+$AL1005</f>
        <v>2</v>
      </c>
      <c r="AN1005">
        <f>IF(对接源_01水果!$AC1005="","",对接源_01水果!$AC1005)</f>
      </c>
      <c r="AO1005">
        <f>IF(AN1005="",0,IF(MATCH(AN1005,$AN$4:$AN$1203,0)=ROW()-3,1,0))</f>
        <v>0</v>
      </c>
      <c r="AP1005">
        <f>N(AP1004)+$AO1005</f>
        <v>13</v>
      </c>
      <c r="AR1005">
        <f>IF(OR($AF1005=1,$AH1005=1),1,0)</f>
        <v>0</v>
      </c>
      <c r="AS1005">
        <f>N(AS1004)+$AR1005</f>
        <v>0</v>
      </c>
    </row>
    <row r="1006" ht="14.25" customHeight="1" s="127">
      <c r="A1006">
        <f>IF(对接源_01水果!$C1006="","",对接源_01水果!$C1006)</f>
      </c>
      <c r="B1006">
        <f>IF(A1006="",0,IF(MATCH(A1006,$A$4:$A$2403,0)=ROW()-3,1,0))</f>
        <v>0</v>
      </c>
      <c r="C1006">
        <f>N(C1005)+B1006</f>
        <v>22</v>
      </c>
      <c r="K1006">
        <f>IF(OR($K$1="",对接源_01水果!$C1006="",对接源_01水果!$C1006&lt;&gt;$K$1,对接源_01水果!$B1006=""),0,IF(OR(N(对接源_01水果!$B1006)&lt;$K$2,N(对接源_01水果!$B1006)&gt;$K$3),0,1))</f>
        <v>0</v>
      </c>
      <c r="L1006">
        <f>IF(OR($L$1="",对接源_01水果!$C1006="",对接源_01水果!$C1006&lt;&gt;$L$1,对接源_01水果!$B1006=""),0,IF(OR(N(对接源_01水果!$B1006)&lt;$L$2,N(对接源_01水果!$B1006)&gt;$L$3),0,1))</f>
        <v>0</v>
      </c>
      <c r="M1006">
        <f>IF(OR($M$1="",对接源_01水果!$C1006="",对接源_01水果!$C1006&lt;&gt;$M$1,对接源_01水果!$B1006=""),0,IF(OR(N(对接源_01水果!$B1006)&lt;$M$2,N(对接源_01水果!$B1006)&gt;$M$3),0,1))</f>
        <v>0</v>
      </c>
      <c r="N1006">
        <f>IF(OR($N$1="",对接源_01水果!$C1006="",对接源_01水果!$C1006&lt;&gt;$N$1,对接源_01水果!$B1006=""),0,IF(OR(N(对接源_01水果!$B1006)&lt;$N$2,N(对接源_01水果!$B1006)&gt;$N$3),0,1))</f>
        <v>0</v>
      </c>
      <c r="P1006">
        <f>IF(AND($K1006=1,AND(对接源_01水果!$X1006="公司筐",N(对接源_01水果!$T1006)&lt;&gt;0)),1,0)</f>
        <v>0</v>
      </c>
      <c r="Q1006">
        <f>N(Q1005)+$P1006</f>
        <v>0</v>
      </c>
      <c r="R1006">
        <f>IF(AND($K1006=1,AND(对接源_01水果!$X1006="公司筐",N(对接源_01水果!$U1006)&lt;&gt;0)),1,0)</f>
        <v>0</v>
      </c>
      <c r="S1006">
        <f>N(S1005)+$R1006</f>
        <v>0</v>
      </c>
      <c r="T1006">
        <f>IF(AND($K1006=1,AND(对接源_01水果!$X1006="公司筐",N(对接源_01水果!$V1006)&lt;&gt;0)),1,0)</f>
        <v>0</v>
      </c>
      <c r="U1006">
        <f>N(U1005)+$T1006</f>
        <v>47</v>
      </c>
      <c r="V1006">
        <f>IF(AND($L1006=1,AND(对接源_01水果!$X1006="自备筐",N(对接源_01水果!$V1006)&lt;&gt;0)),1,0)</f>
        <v>0</v>
      </c>
      <c r="W1006">
        <f>N(W1005)+$V1006</f>
        <v>11</v>
      </c>
      <c r="X1006">
        <f>IF(AND($L1006=1,AND(对接源_01水果!$X1006="自备筐",N(对接源_01水果!$T1006)&lt;&gt;0)),1,0)</f>
        <v>0</v>
      </c>
      <c r="Y1006">
        <f>N(Y1005)+$X1006</f>
        <v>0</v>
      </c>
      <c r="Z1006">
        <f>IF(AND($M1006=1,对接源_01水果!$D1006="原料入库"),1,0)</f>
        <v>0</v>
      </c>
      <c r="AA1006">
        <f>N(AA1005)+$Z1006</f>
        <v>24</v>
      </c>
      <c r="AB1006">
        <f>IF(AND($M1006=1,LEFT(对接源_01水果!$D1006,4)="原料出库"),1,0)</f>
        <v>0</v>
      </c>
      <c r="AC1006">
        <f>N(AC1005)+$AB1006</f>
        <v>0</v>
      </c>
      <c r="AD1006">
        <f>IF(AND($M1006=1,LEFT(对接源_01水果!$D1006,4)="成品出库"),1,0)</f>
        <v>0</v>
      </c>
      <c r="AE1006">
        <f>N(AE1005)+$AD1006</f>
        <v>0</v>
      </c>
      <c r="AF1006">
        <f>IF(AND($N1006=1,AND(LEFT(对接源_01水果!$D1006,4)="包装物料",N(对接源_01水果!$K1006)&lt;&gt;0)),1,0)</f>
        <v>0</v>
      </c>
      <c r="AG1006">
        <f>N(AG1005)+$AF1006</f>
        <v>0</v>
      </c>
      <c r="AH1006">
        <f>IF(AND($N1006=1,AND(对接源_01水果!$D1006="周转筐－销售出库",N(对接源_01水果!$K1006)&lt;&gt;0)),1,0)</f>
        <v>0</v>
      </c>
      <c r="AI1006">
        <f>N(AI1005)+$AH1006</f>
        <v>0</v>
      </c>
      <c r="AJ1006" s="7" t="n"/>
      <c r="AL1006">
        <f>IF(OR($AL$1="",对接源_01水果!$Y1006="",对接源_01水果!$Y1006&lt;&gt;$AL$1,对接源_01水果!$B1006="",N(对接源_01水果!$AJ1006)&lt;=0),0,IF(OR(N(对接源_01水果!$B1006)&lt;$AL$2,N(对接源_01水果!$B1006)&gt;$AL$3),0,1))</f>
        <v>0</v>
      </c>
      <c r="AM1006">
        <f>N(AM1005)+$AL1006</f>
        <v>2</v>
      </c>
      <c r="AN1006">
        <f>IF(对接源_01水果!$AC1006="","",对接源_01水果!$AC1006)</f>
      </c>
      <c r="AO1006">
        <f>IF(AN1006="",0,IF(MATCH(AN1006,$AN$4:$AN$1203,0)=ROW()-3,1,0))</f>
        <v>0</v>
      </c>
      <c r="AP1006">
        <f>N(AP1005)+$AO1006</f>
        <v>13</v>
      </c>
      <c r="AR1006">
        <f>IF(OR($AF1006=1,$AH1006=1),1,0)</f>
        <v>0</v>
      </c>
      <c r="AS1006">
        <f>N(AS1005)+$AR1006</f>
        <v>0</v>
      </c>
    </row>
    <row r="1007" ht="14.25" customHeight="1" s="127">
      <c r="A1007">
        <f>IF(对接源_01水果!$C1007="","",对接源_01水果!$C1007)</f>
      </c>
      <c r="B1007">
        <f>IF(A1007="",0,IF(MATCH(A1007,$A$4:$A$2403,0)=ROW()-3,1,0))</f>
        <v>0</v>
      </c>
      <c r="C1007">
        <f>N(C1006)+B1007</f>
        <v>22</v>
      </c>
      <c r="K1007">
        <f>IF(OR($K$1="",对接源_01水果!$C1007="",对接源_01水果!$C1007&lt;&gt;$K$1,对接源_01水果!$B1007=""),0,IF(OR(N(对接源_01水果!$B1007)&lt;$K$2,N(对接源_01水果!$B1007)&gt;$K$3),0,1))</f>
        <v>0</v>
      </c>
      <c r="L1007">
        <f>IF(OR($L$1="",对接源_01水果!$C1007="",对接源_01水果!$C1007&lt;&gt;$L$1,对接源_01水果!$B1007=""),0,IF(OR(N(对接源_01水果!$B1007)&lt;$L$2,N(对接源_01水果!$B1007)&gt;$L$3),0,1))</f>
        <v>0</v>
      </c>
      <c r="M1007">
        <f>IF(OR($M$1="",对接源_01水果!$C1007="",对接源_01水果!$C1007&lt;&gt;$M$1,对接源_01水果!$B1007=""),0,IF(OR(N(对接源_01水果!$B1007)&lt;$M$2,N(对接源_01水果!$B1007)&gt;$M$3),0,1))</f>
        <v>0</v>
      </c>
      <c r="N1007">
        <f>IF(OR($N$1="",对接源_01水果!$C1007="",对接源_01水果!$C1007&lt;&gt;$N$1,对接源_01水果!$B1007=""),0,IF(OR(N(对接源_01水果!$B1007)&lt;$N$2,N(对接源_01水果!$B1007)&gt;$N$3),0,1))</f>
        <v>0</v>
      </c>
      <c r="P1007">
        <f>IF(AND($K1007=1,AND(对接源_01水果!$X1007="公司筐",N(对接源_01水果!$T1007)&lt;&gt;0)),1,0)</f>
        <v>0</v>
      </c>
      <c r="Q1007">
        <f>N(Q1006)+$P1007</f>
        <v>0</v>
      </c>
      <c r="R1007">
        <f>IF(AND($K1007=1,AND(对接源_01水果!$X1007="公司筐",N(对接源_01水果!$U1007)&lt;&gt;0)),1,0)</f>
        <v>0</v>
      </c>
      <c r="S1007">
        <f>N(S1006)+$R1007</f>
        <v>0</v>
      </c>
      <c r="T1007">
        <f>IF(AND($K1007=1,AND(对接源_01水果!$X1007="公司筐",N(对接源_01水果!$V1007)&lt;&gt;0)),1,0)</f>
        <v>0</v>
      </c>
      <c r="U1007">
        <f>N(U1006)+$T1007</f>
        <v>47</v>
      </c>
      <c r="V1007">
        <f>IF(AND($L1007=1,AND(对接源_01水果!$X1007="自备筐",N(对接源_01水果!$V1007)&lt;&gt;0)),1,0)</f>
        <v>0</v>
      </c>
      <c r="W1007">
        <f>N(W1006)+$V1007</f>
        <v>11</v>
      </c>
      <c r="X1007">
        <f>IF(AND($L1007=1,AND(对接源_01水果!$X1007="自备筐",N(对接源_01水果!$T1007)&lt;&gt;0)),1,0)</f>
        <v>0</v>
      </c>
      <c r="Y1007">
        <f>N(Y1006)+$X1007</f>
        <v>0</v>
      </c>
      <c r="Z1007">
        <f>IF(AND($M1007=1,对接源_01水果!$D1007="原料入库"),1,0)</f>
        <v>0</v>
      </c>
      <c r="AA1007">
        <f>N(AA1006)+$Z1007</f>
        <v>24</v>
      </c>
      <c r="AB1007">
        <f>IF(AND($M1007=1,LEFT(对接源_01水果!$D1007,4)="原料出库"),1,0)</f>
        <v>0</v>
      </c>
      <c r="AC1007">
        <f>N(AC1006)+$AB1007</f>
        <v>0</v>
      </c>
      <c r="AD1007">
        <f>IF(AND($M1007=1,LEFT(对接源_01水果!$D1007,4)="成品出库"),1,0)</f>
        <v>0</v>
      </c>
      <c r="AE1007">
        <f>N(AE1006)+$AD1007</f>
        <v>0</v>
      </c>
      <c r="AF1007">
        <f>IF(AND($N1007=1,AND(LEFT(对接源_01水果!$D1007,4)="包装物料",N(对接源_01水果!$K1007)&lt;&gt;0)),1,0)</f>
        <v>0</v>
      </c>
      <c r="AG1007">
        <f>N(AG1006)+$AF1007</f>
        <v>0</v>
      </c>
      <c r="AH1007">
        <f>IF(AND($N1007=1,AND(对接源_01水果!$D1007="周转筐－销售出库",N(对接源_01水果!$K1007)&lt;&gt;0)),1,0)</f>
        <v>0</v>
      </c>
      <c r="AI1007">
        <f>N(AI1006)+$AH1007</f>
        <v>0</v>
      </c>
      <c r="AJ1007" s="7" t="n"/>
      <c r="AL1007">
        <f>IF(OR($AL$1="",对接源_01水果!$Y1007="",对接源_01水果!$Y1007&lt;&gt;$AL$1,对接源_01水果!$B1007="",N(对接源_01水果!$AJ1007)&lt;=0),0,IF(OR(N(对接源_01水果!$B1007)&lt;$AL$2,N(对接源_01水果!$B1007)&gt;$AL$3),0,1))</f>
        <v>0</v>
      </c>
      <c r="AM1007">
        <f>N(AM1006)+$AL1007</f>
        <v>2</v>
      </c>
      <c r="AN1007">
        <f>IF(对接源_01水果!$AC1007="","",对接源_01水果!$AC1007)</f>
      </c>
      <c r="AO1007">
        <f>IF(AN1007="",0,IF(MATCH(AN1007,$AN$4:$AN$1203,0)=ROW()-3,1,0))</f>
        <v>0</v>
      </c>
      <c r="AP1007">
        <f>N(AP1006)+$AO1007</f>
        <v>13</v>
      </c>
      <c r="AR1007">
        <f>IF(OR($AF1007=1,$AH1007=1),1,0)</f>
        <v>0</v>
      </c>
      <c r="AS1007">
        <f>N(AS1006)+$AR1007</f>
        <v>0</v>
      </c>
    </row>
    <row r="1008" ht="14.25" customHeight="1" s="127">
      <c r="A1008">
        <f>IF(对接源_01水果!$C1008="","",对接源_01水果!$C1008)</f>
      </c>
      <c r="B1008">
        <f>IF(A1008="",0,IF(MATCH(A1008,$A$4:$A$2403,0)=ROW()-3,1,0))</f>
        <v>0</v>
      </c>
      <c r="C1008">
        <f>N(C1007)+B1008</f>
        <v>22</v>
      </c>
      <c r="K1008">
        <f>IF(OR($K$1="",对接源_01水果!$C1008="",对接源_01水果!$C1008&lt;&gt;$K$1,对接源_01水果!$B1008=""),0,IF(OR(N(对接源_01水果!$B1008)&lt;$K$2,N(对接源_01水果!$B1008)&gt;$K$3),0,1))</f>
        <v>0</v>
      </c>
      <c r="L1008">
        <f>IF(OR($L$1="",对接源_01水果!$C1008="",对接源_01水果!$C1008&lt;&gt;$L$1,对接源_01水果!$B1008=""),0,IF(OR(N(对接源_01水果!$B1008)&lt;$L$2,N(对接源_01水果!$B1008)&gt;$L$3),0,1))</f>
        <v>0</v>
      </c>
      <c r="M1008">
        <f>IF(OR($M$1="",对接源_01水果!$C1008="",对接源_01水果!$C1008&lt;&gt;$M$1,对接源_01水果!$B1008=""),0,IF(OR(N(对接源_01水果!$B1008)&lt;$M$2,N(对接源_01水果!$B1008)&gt;$M$3),0,1))</f>
        <v>0</v>
      </c>
      <c r="N1008">
        <f>IF(OR($N$1="",对接源_01水果!$C1008="",对接源_01水果!$C1008&lt;&gt;$N$1,对接源_01水果!$B1008=""),0,IF(OR(N(对接源_01水果!$B1008)&lt;$N$2,N(对接源_01水果!$B1008)&gt;$N$3),0,1))</f>
        <v>0</v>
      </c>
      <c r="P1008">
        <f>IF(AND($K1008=1,AND(对接源_01水果!$X1008="公司筐",N(对接源_01水果!$T1008)&lt;&gt;0)),1,0)</f>
        <v>0</v>
      </c>
      <c r="Q1008">
        <f>N(Q1007)+$P1008</f>
        <v>0</v>
      </c>
      <c r="R1008">
        <f>IF(AND($K1008=1,AND(对接源_01水果!$X1008="公司筐",N(对接源_01水果!$U1008)&lt;&gt;0)),1,0)</f>
        <v>0</v>
      </c>
      <c r="S1008">
        <f>N(S1007)+$R1008</f>
        <v>0</v>
      </c>
      <c r="T1008">
        <f>IF(AND($K1008=1,AND(对接源_01水果!$X1008="公司筐",N(对接源_01水果!$V1008)&lt;&gt;0)),1,0)</f>
        <v>0</v>
      </c>
      <c r="U1008">
        <f>N(U1007)+$T1008</f>
        <v>47</v>
      </c>
      <c r="V1008">
        <f>IF(AND($L1008=1,AND(对接源_01水果!$X1008="自备筐",N(对接源_01水果!$V1008)&lt;&gt;0)),1,0)</f>
        <v>0</v>
      </c>
      <c r="W1008">
        <f>N(W1007)+$V1008</f>
        <v>11</v>
      </c>
      <c r="X1008">
        <f>IF(AND($L1008=1,AND(对接源_01水果!$X1008="自备筐",N(对接源_01水果!$T1008)&lt;&gt;0)),1,0)</f>
        <v>0</v>
      </c>
      <c r="Y1008">
        <f>N(Y1007)+$X1008</f>
        <v>0</v>
      </c>
      <c r="Z1008">
        <f>IF(AND($M1008=1,对接源_01水果!$D1008="原料入库"),1,0)</f>
        <v>0</v>
      </c>
      <c r="AA1008">
        <f>N(AA1007)+$Z1008</f>
        <v>24</v>
      </c>
      <c r="AB1008">
        <f>IF(AND($M1008=1,LEFT(对接源_01水果!$D1008,4)="原料出库"),1,0)</f>
        <v>0</v>
      </c>
      <c r="AC1008">
        <f>N(AC1007)+$AB1008</f>
        <v>0</v>
      </c>
      <c r="AD1008">
        <f>IF(AND($M1008=1,LEFT(对接源_01水果!$D1008,4)="成品出库"),1,0)</f>
        <v>0</v>
      </c>
      <c r="AE1008">
        <f>N(AE1007)+$AD1008</f>
        <v>0</v>
      </c>
      <c r="AF1008">
        <f>IF(AND($N1008=1,AND(LEFT(对接源_01水果!$D1008,4)="包装物料",N(对接源_01水果!$K1008)&lt;&gt;0)),1,0)</f>
        <v>0</v>
      </c>
      <c r="AG1008">
        <f>N(AG1007)+$AF1008</f>
        <v>0</v>
      </c>
      <c r="AH1008">
        <f>IF(AND($N1008=1,AND(对接源_01水果!$D1008="周转筐－销售出库",N(对接源_01水果!$K1008)&lt;&gt;0)),1,0)</f>
        <v>0</v>
      </c>
      <c r="AI1008">
        <f>N(AI1007)+$AH1008</f>
        <v>0</v>
      </c>
      <c r="AJ1008" s="7" t="n"/>
      <c r="AL1008">
        <f>IF(OR($AL$1="",对接源_01水果!$Y1008="",对接源_01水果!$Y1008&lt;&gt;$AL$1,对接源_01水果!$B1008="",N(对接源_01水果!$AJ1008)&lt;=0),0,IF(OR(N(对接源_01水果!$B1008)&lt;$AL$2,N(对接源_01水果!$B1008)&gt;$AL$3),0,1))</f>
        <v>0</v>
      </c>
      <c r="AM1008">
        <f>N(AM1007)+$AL1008</f>
        <v>2</v>
      </c>
      <c r="AN1008">
        <f>IF(对接源_01水果!$AC1008="","",对接源_01水果!$AC1008)</f>
      </c>
      <c r="AO1008">
        <f>IF(AN1008="",0,IF(MATCH(AN1008,$AN$4:$AN$1203,0)=ROW()-3,1,0))</f>
        <v>0</v>
      </c>
      <c r="AP1008">
        <f>N(AP1007)+$AO1008</f>
        <v>13</v>
      </c>
      <c r="AR1008">
        <f>IF(OR($AF1008=1,$AH1008=1),1,0)</f>
        <v>0</v>
      </c>
      <c r="AS1008">
        <f>N(AS1007)+$AR1008</f>
        <v>0</v>
      </c>
    </row>
    <row r="1009" ht="14.25" customHeight="1" s="127">
      <c r="A1009">
        <f>IF(对接源_01水果!$C1009="","",对接源_01水果!$C1009)</f>
      </c>
      <c r="B1009">
        <f>IF(A1009="",0,IF(MATCH(A1009,$A$4:$A$2403,0)=ROW()-3,1,0))</f>
        <v>0</v>
      </c>
      <c r="C1009">
        <f>N(C1008)+B1009</f>
        <v>22</v>
      </c>
      <c r="K1009">
        <f>IF(OR($K$1="",对接源_01水果!$C1009="",对接源_01水果!$C1009&lt;&gt;$K$1,对接源_01水果!$B1009=""),0,IF(OR(N(对接源_01水果!$B1009)&lt;$K$2,N(对接源_01水果!$B1009)&gt;$K$3),0,1))</f>
        <v>0</v>
      </c>
      <c r="L1009">
        <f>IF(OR($L$1="",对接源_01水果!$C1009="",对接源_01水果!$C1009&lt;&gt;$L$1,对接源_01水果!$B1009=""),0,IF(OR(N(对接源_01水果!$B1009)&lt;$L$2,N(对接源_01水果!$B1009)&gt;$L$3),0,1))</f>
        <v>0</v>
      </c>
      <c r="M1009">
        <f>IF(OR($M$1="",对接源_01水果!$C1009="",对接源_01水果!$C1009&lt;&gt;$M$1,对接源_01水果!$B1009=""),0,IF(OR(N(对接源_01水果!$B1009)&lt;$M$2,N(对接源_01水果!$B1009)&gt;$M$3),0,1))</f>
        <v>0</v>
      </c>
      <c r="N1009">
        <f>IF(OR($N$1="",对接源_01水果!$C1009="",对接源_01水果!$C1009&lt;&gt;$N$1,对接源_01水果!$B1009=""),0,IF(OR(N(对接源_01水果!$B1009)&lt;$N$2,N(对接源_01水果!$B1009)&gt;$N$3),0,1))</f>
        <v>0</v>
      </c>
      <c r="P1009">
        <f>IF(AND($K1009=1,AND(对接源_01水果!$X1009="公司筐",N(对接源_01水果!$T1009)&lt;&gt;0)),1,0)</f>
        <v>0</v>
      </c>
      <c r="Q1009">
        <f>N(Q1008)+$P1009</f>
        <v>0</v>
      </c>
      <c r="R1009">
        <f>IF(AND($K1009=1,AND(对接源_01水果!$X1009="公司筐",N(对接源_01水果!$U1009)&lt;&gt;0)),1,0)</f>
        <v>0</v>
      </c>
      <c r="S1009">
        <f>N(S1008)+$R1009</f>
        <v>0</v>
      </c>
      <c r="T1009">
        <f>IF(AND($K1009=1,AND(对接源_01水果!$X1009="公司筐",N(对接源_01水果!$V1009)&lt;&gt;0)),1,0)</f>
        <v>0</v>
      </c>
      <c r="U1009">
        <f>N(U1008)+$T1009</f>
        <v>47</v>
      </c>
      <c r="V1009">
        <f>IF(AND($L1009=1,AND(对接源_01水果!$X1009="自备筐",N(对接源_01水果!$V1009)&lt;&gt;0)),1,0)</f>
        <v>0</v>
      </c>
      <c r="W1009">
        <f>N(W1008)+$V1009</f>
        <v>11</v>
      </c>
      <c r="X1009">
        <f>IF(AND($L1009=1,AND(对接源_01水果!$X1009="自备筐",N(对接源_01水果!$T1009)&lt;&gt;0)),1,0)</f>
        <v>0</v>
      </c>
      <c r="Y1009">
        <f>N(Y1008)+$X1009</f>
        <v>0</v>
      </c>
      <c r="Z1009">
        <f>IF(AND($M1009=1,对接源_01水果!$D1009="原料入库"),1,0)</f>
        <v>0</v>
      </c>
      <c r="AA1009">
        <f>N(AA1008)+$Z1009</f>
        <v>24</v>
      </c>
      <c r="AB1009">
        <f>IF(AND($M1009=1,LEFT(对接源_01水果!$D1009,4)="原料出库"),1,0)</f>
        <v>0</v>
      </c>
      <c r="AC1009">
        <f>N(AC1008)+$AB1009</f>
        <v>0</v>
      </c>
      <c r="AD1009">
        <f>IF(AND($M1009=1,LEFT(对接源_01水果!$D1009,4)="成品出库"),1,0)</f>
        <v>0</v>
      </c>
      <c r="AE1009">
        <f>N(AE1008)+$AD1009</f>
        <v>0</v>
      </c>
      <c r="AF1009">
        <f>IF(AND($N1009=1,AND(LEFT(对接源_01水果!$D1009,4)="包装物料",N(对接源_01水果!$K1009)&lt;&gt;0)),1,0)</f>
        <v>0</v>
      </c>
      <c r="AG1009">
        <f>N(AG1008)+$AF1009</f>
        <v>0</v>
      </c>
      <c r="AH1009">
        <f>IF(AND($N1009=1,AND(对接源_01水果!$D1009="周转筐－销售出库",N(对接源_01水果!$K1009)&lt;&gt;0)),1,0)</f>
        <v>0</v>
      </c>
      <c r="AI1009">
        <f>N(AI1008)+$AH1009</f>
        <v>0</v>
      </c>
      <c r="AJ1009" s="7" t="n"/>
      <c r="AL1009">
        <f>IF(OR($AL$1="",对接源_01水果!$Y1009="",对接源_01水果!$Y1009&lt;&gt;$AL$1,对接源_01水果!$B1009="",N(对接源_01水果!$AJ1009)&lt;=0),0,IF(OR(N(对接源_01水果!$B1009)&lt;$AL$2,N(对接源_01水果!$B1009)&gt;$AL$3),0,1))</f>
        <v>0</v>
      </c>
      <c r="AM1009">
        <f>N(AM1008)+$AL1009</f>
        <v>2</v>
      </c>
      <c r="AN1009">
        <f>IF(对接源_01水果!$AC1009="","",对接源_01水果!$AC1009)</f>
      </c>
      <c r="AO1009">
        <f>IF(AN1009="",0,IF(MATCH(AN1009,$AN$4:$AN$1203,0)=ROW()-3,1,0))</f>
        <v>0</v>
      </c>
      <c r="AP1009">
        <f>N(AP1008)+$AO1009</f>
        <v>13</v>
      </c>
      <c r="AR1009">
        <f>IF(OR($AF1009=1,$AH1009=1),1,0)</f>
        <v>0</v>
      </c>
      <c r="AS1009">
        <f>N(AS1008)+$AR1009</f>
        <v>0</v>
      </c>
    </row>
    <row r="1010" ht="14.25" customHeight="1" s="127">
      <c r="A1010">
        <f>IF(对接源_01水果!$C1010="","",对接源_01水果!$C1010)</f>
      </c>
      <c r="B1010">
        <f>IF(A1010="",0,IF(MATCH(A1010,$A$4:$A$2403,0)=ROW()-3,1,0))</f>
        <v>0</v>
      </c>
      <c r="C1010">
        <f>N(C1009)+B1010</f>
        <v>22</v>
      </c>
      <c r="K1010">
        <f>IF(OR($K$1="",对接源_01水果!$C1010="",对接源_01水果!$C1010&lt;&gt;$K$1,对接源_01水果!$B1010=""),0,IF(OR(N(对接源_01水果!$B1010)&lt;$K$2,N(对接源_01水果!$B1010)&gt;$K$3),0,1))</f>
        <v>0</v>
      </c>
      <c r="L1010">
        <f>IF(OR($L$1="",对接源_01水果!$C1010="",对接源_01水果!$C1010&lt;&gt;$L$1,对接源_01水果!$B1010=""),0,IF(OR(N(对接源_01水果!$B1010)&lt;$L$2,N(对接源_01水果!$B1010)&gt;$L$3),0,1))</f>
        <v>0</v>
      </c>
      <c r="M1010">
        <f>IF(OR($M$1="",对接源_01水果!$C1010="",对接源_01水果!$C1010&lt;&gt;$M$1,对接源_01水果!$B1010=""),0,IF(OR(N(对接源_01水果!$B1010)&lt;$M$2,N(对接源_01水果!$B1010)&gt;$M$3),0,1))</f>
        <v>0</v>
      </c>
      <c r="N1010">
        <f>IF(OR($N$1="",对接源_01水果!$C1010="",对接源_01水果!$C1010&lt;&gt;$N$1,对接源_01水果!$B1010=""),0,IF(OR(N(对接源_01水果!$B1010)&lt;$N$2,N(对接源_01水果!$B1010)&gt;$N$3),0,1))</f>
        <v>0</v>
      </c>
      <c r="P1010">
        <f>IF(AND($K1010=1,AND(对接源_01水果!$X1010="公司筐",N(对接源_01水果!$T1010)&lt;&gt;0)),1,0)</f>
        <v>0</v>
      </c>
      <c r="Q1010">
        <f>N(Q1009)+$P1010</f>
        <v>0</v>
      </c>
      <c r="R1010">
        <f>IF(AND($K1010=1,AND(对接源_01水果!$X1010="公司筐",N(对接源_01水果!$U1010)&lt;&gt;0)),1,0)</f>
        <v>0</v>
      </c>
      <c r="S1010">
        <f>N(S1009)+$R1010</f>
        <v>0</v>
      </c>
      <c r="T1010">
        <f>IF(AND($K1010=1,AND(对接源_01水果!$X1010="公司筐",N(对接源_01水果!$V1010)&lt;&gt;0)),1,0)</f>
        <v>0</v>
      </c>
      <c r="U1010">
        <f>N(U1009)+$T1010</f>
        <v>47</v>
      </c>
      <c r="V1010">
        <f>IF(AND($L1010=1,AND(对接源_01水果!$X1010="自备筐",N(对接源_01水果!$V1010)&lt;&gt;0)),1,0)</f>
        <v>0</v>
      </c>
      <c r="W1010">
        <f>N(W1009)+$V1010</f>
        <v>11</v>
      </c>
      <c r="X1010">
        <f>IF(AND($L1010=1,AND(对接源_01水果!$X1010="自备筐",N(对接源_01水果!$T1010)&lt;&gt;0)),1,0)</f>
        <v>0</v>
      </c>
      <c r="Y1010">
        <f>N(Y1009)+$X1010</f>
        <v>0</v>
      </c>
      <c r="Z1010">
        <f>IF(AND($M1010=1,对接源_01水果!$D1010="原料入库"),1,0)</f>
        <v>0</v>
      </c>
      <c r="AA1010">
        <f>N(AA1009)+$Z1010</f>
        <v>24</v>
      </c>
      <c r="AB1010">
        <f>IF(AND($M1010=1,LEFT(对接源_01水果!$D1010,4)="原料出库"),1,0)</f>
        <v>0</v>
      </c>
      <c r="AC1010">
        <f>N(AC1009)+$AB1010</f>
        <v>0</v>
      </c>
      <c r="AD1010">
        <f>IF(AND($M1010=1,LEFT(对接源_01水果!$D1010,4)="成品出库"),1,0)</f>
        <v>0</v>
      </c>
      <c r="AE1010">
        <f>N(AE1009)+$AD1010</f>
        <v>0</v>
      </c>
      <c r="AF1010">
        <f>IF(AND($N1010=1,AND(LEFT(对接源_01水果!$D1010,4)="包装物料",N(对接源_01水果!$K1010)&lt;&gt;0)),1,0)</f>
        <v>0</v>
      </c>
      <c r="AG1010">
        <f>N(AG1009)+$AF1010</f>
        <v>0</v>
      </c>
      <c r="AH1010">
        <f>IF(AND($N1010=1,AND(对接源_01水果!$D1010="周转筐－销售出库",N(对接源_01水果!$K1010)&lt;&gt;0)),1,0)</f>
        <v>0</v>
      </c>
      <c r="AI1010">
        <f>N(AI1009)+$AH1010</f>
        <v>0</v>
      </c>
      <c r="AJ1010" s="7" t="n"/>
      <c r="AL1010">
        <f>IF(OR($AL$1="",对接源_01水果!$Y1010="",对接源_01水果!$Y1010&lt;&gt;$AL$1,对接源_01水果!$B1010="",N(对接源_01水果!$AJ1010)&lt;=0),0,IF(OR(N(对接源_01水果!$B1010)&lt;$AL$2,N(对接源_01水果!$B1010)&gt;$AL$3),0,1))</f>
        <v>0</v>
      </c>
      <c r="AM1010">
        <f>N(AM1009)+$AL1010</f>
        <v>2</v>
      </c>
      <c r="AN1010">
        <f>IF(对接源_01水果!$AC1010="","",对接源_01水果!$AC1010)</f>
      </c>
      <c r="AO1010">
        <f>IF(AN1010="",0,IF(MATCH(AN1010,$AN$4:$AN$1203,0)=ROW()-3,1,0))</f>
        <v>0</v>
      </c>
      <c r="AP1010">
        <f>N(AP1009)+$AO1010</f>
        <v>13</v>
      </c>
      <c r="AR1010">
        <f>IF(OR($AF1010=1,$AH1010=1),1,0)</f>
        <v>0</v>
      </c>
      <c r="AS1010">
        <f>N(AS1009)+$AR1010</f>
        <v>0</v>
      </c>
    </row>
    <row r="1011" ht="14.25" customHeight="1" s="127">
      <c r="A1011">
        <f>IF(对接源_01水果!$C1011="","",对接源_01水果!$C1011)</f>
      </c>
      <c r="B1011">
        <f>IF(A1011="",0,IF(MATCH(A1011,$A$4:$A$2403,0)=ROW()-3,1,0))</f>
        <v>0</v>
      </c>
      <c r="C1011">
        <f>N(C1010)+B1011</f>
        <v>22</v>
      </c>
      <c r="K1011">
        <f>IF(OR($K$1="",对接源_01水果!$C1011="",对接源_01水果!$C1011&lt;&gt;$K$1,对接源_01水果!$B1011=""),0,IF(OR(N(对接源_01水果!$B1011)&lt;$K$2,N(对接源_01水果!$B1011)&gt;$K$3),0,1))</f>
        <v>0</v>
      </c>
      <c r="L1011">
        <f>IF(OR($L$1="",对接源_01水果!$C1011="",对接源_01水果!$C1011&lt;&gt;$L$1,对接源_01水果!$B1011=""),0,IF(OR(N(对接源_01水果!$B1011)&lt;$L$2,N(对接源_01水果!$B1011)&gt;$L$3),0,1))</f>
        <v>0</v>
      </c>
      <c r="M1011">
        <f>IF(OR($M$1="",对接源_01水果!$C1011="",对接源_01水果!$C1011&lt;&gt;$M$1,对接源_01水果!$B1011=""),0,IF(OR(N(对接源_01水果!$B1011)&lt;$M$2,N(对接源_01水果!$B1011)&gt;$M$3),0,1))</f>
        <v>0</v>
      </c>
      <c r="N1011">
        <f>IF(OR($N$1="",对接源_01水果!$C1011="",对接源_01水果!$C1011&lt;&gt;$N$1,对接源_01水果!$B1011=""),0,IF(OR(N(对接源_01水果!$B1011)&lt;$N$2,N(对接源_01水果!$B1011)&gt;$N$3),0,1))</f>
        <v>0</v>
      </c>
      <c r="P1011">
        <f>IF(AND($K1011=1,AND(对接源_01水果!$X1011="公司筐",N(对接源_01水果!$T1011)&lt;&gt;0)),1,0)</f>
        <v>0</v>
      </c>
      <c r="Q1011">
        <f>N(Q1010)+$P1011</f>
        <v>0</v>
      </c>
      <c r="R1011">
        <f>IF(AND($K1011=1,AND(对接源_01水果!$X1011="公司筐",N(对接源_01水果!$U1011)&lt;&gt;0)),1,0)</f>
        <v>0</v>
      </c>
      <c r="S1011">
        <f>N(S1010)+$R1011</f>
        <v>0</v>
      </c>
      <c r="T1011">
        <f>IF(AND($K1011=1,AND(对接源_01水果!$X1011="公司筐",N(对接源_01水果!$V1011)&lt;&gt;0)),1,0)</f>
        <v>0</v>
      </c>
      <c r="U1011">
        <f>N(U1010)+$T1011</f>
        <v>47</v>
      </c>
      <c r="V1011">
        <f>IF(AND($L1011=1,AND(对接源_01水果!$X1011="自备筐",N(对接源_01水果!$V1011)&lt;&gt;0)),1,0)</f>
        <v>0</v>
      </c>
      <c r="W1011">
        <f>N(W1010)+$V1011</f>
        <v>11</v>
      </c>
      <c r="X1011">
        <f>IF(AND($L1011=1,AND(对接源_01水果!$X1011="自备筐",N(对接源_01水果!$T1011)&lt;&gt;0)),1,0)</f>
        <v>0</v>
      </c>
      <c r="Y1011">
        <f>N(Y1010)+$X1011</f>
        <v>0</v>
      </c>
      <c r="Z1011">
        <f>IF(AND($M1011=1,对接源_01水果!$D1011="原料入库"),1,0)</f>
        <v>0</v>
      </c>
      <c r="AA1011">
        <f>N(AA1010)+$Z1011</f>
        <v>24</v>
      </c>
      <c r="AB1011">
        <f>IF(AND($M1011=1,LEFT(对接源_01水果!$D1011,4)="原料出库"),1,0)</f>
        <v>0</v>
      </c>
      <c r="AC1011">
        <f>N(AC1010)+$AB1011</f>
        <v>0</v>
      </c>
      <c r="AD1011">
        <f>IF(AND($M1011=1,LEFT(对接源_01水果!$D1011,4)="成品出库"),1,0)</f>
        <v>0</v>
      </c>
      <c r="AE1011">
        <f>N(AE1010)+$AD1011</f>
        <v>0</v>
      </c>
      <c r="AF1011">
        <f>IF(AND($N1011=1,AND(LEFT(对接源_01水果!$D1011,4)="包装物料",N(对接源_01水果!$K1011)&lt;&gt;0)),1,0)</f>
        <v>0</v>
      </c>
      <c r="AG1011">
        <f>N(AG1010)+$AF1011</f>
        <v>0</v>
      </c>
      <c r="AH1011">
        <f>IF(AND($N1011=1,AND(对接源_01水果!$D1011="周转筐－销售出库",N(对接源_01水果!$K1011)&lt;&gt;0)),1,0)</f>
        <v>0</v>
      </c>
      <c r="AI1011">
        <f>N(AI1010)+$AH1011</f>
        <v>0</v>
      </c>
      <c r="AJ1011" s="7" t="n"/>
      <c r="AL1011">
        <f>IF(OR($AL$1="",对接源_01水果!$Y1011="",对接源_01水果!$Y1011&lt;&gt;$AL$1,对接源_01水果!$B1011="",N(对接源_01水果!$AJ1011)&lt;=0),0,IF(OR(N(对接源_01水果!$B1011)&lt;$AL$2,N(对接源_01水果!$B1011)&gt;$AL$3),0,1))</f>
        <v>0</v>
      </c>
      <c r="AM1011">
        <f>N(AM1010)+$AL1011</f>
        <v>2</v>
      </c>
      <c r="AN1011">
        <f>IF(对接源_01水果!$AC1011="","",对接源_01水果!$AC1011)</f>
      </c>
      <c r="AO1011">
        <f>IF(AN1011="",0,IF(MATCH(AN1011,$AN$4:$AN$1203,0)=ROW()-3,1,0))</f>
        <v>0</v>
      </c>
      <c r="AP1011">
        <f>N(AP1010)+$AO1011</f>
        <v>13</v>
      </c>
      <c r="AR1011">
        <f>IF(OR($AF1011=1,$AH1011=1),1,0)</f>
        <v>0</v>
      </c>
      <c r="AS1011">
        <f>N(AS1010)+$AR1011</f>
        <v>0</v>
      </c>
    </row>
    <row r="1012" ht="14.25" customHeight="1" s="127">
      <c r="A1012">
        <f>IF(对接源_01水果!$C1012="","",对接源_01水果!$C1012)</f>
      </c>
      <c r="B1012">
        <f>IF(A1012="",0,IF(MATCH(A1012,$A$4:$A$2403,0)=ROW()-3,1,0))</f>
        <v>0</v>
      </c>
      <c r="C1012">
        <f>N(C1011)+B1012</f>
        <v>22</v>
      </c>
      <c r="K1012">
        <f>IF(OR($K$1="",对接源_01水果!$C1012="",对接源_01水果!$C1012&lt;&gt;$K$1,对接源_01水果!$B1012=""),0,IF(OR(N(对接源_01水果!$B1012)&lt;$K$2,N(对接源_01水果!$B1012)&gt;$K$3),0,1))</f>
        <v>0</v>
      </c>
      <c r="L1012">
        <f>IF(OR($L$1="",对接源_01水果!$C1012="",对接源_01水果!$C1012&lt;&gt;$L$1,对接源_01水果!$B1012=""),0,IF(OR(N(对接源_01水果!$B1012)&lt;$L$2,N(对接源_01水果!$B1012)&gt;$L$3),0,1))</f>
        <v>0</v>
      </c>
      <c r="M1012">
        <f>IF(OR($M$1="",对接源_01水果!$C1012="",对接源_01水果!$C1012&lt;&gt;$M$1,对接源_01水果!$B1012=""),0,IF(OR(N(对接源_01水果!$B1012)&lt;$M$2,N(对接源_01水果!$B1012)&gt;$M$3),0,1))</f>
        <v>0</v>
      </c>
      <c r="N1012">
        <f>IF(OR($N$1="",对接源_01水果!$C1012="",对接源_01水果!$C1012&lt;&gt;$N$1,对接源_01水果!$B1012=""),0,IF(OR(N(对接源_01水果!$B1012)&lt;$N$2,N(对接源_01水果!$B1012)&gt;$N$3),0,1))</f>
        <v>0</v>
      </c>
      <c r="P1012">
        <f>IF(AND($K1012=1,AND(对接源_01水果!$X1012="公司筐",N(对接源_01水果!$T1012)&lt;&gt;0)),1,0)</f>
        <v>0</v>
      </c>
      <c r="Q1012">
        <f>N(Q1011)+$P1012</f>
        <v>0</v>
      </c>
      <c r="R1012">
        <f>IF(AND($K1012=1,AND(对接源_01水果!$X1012="公司筐",N(对接源_01水果!$U1012)&lt;&gt;0)),1,0)</f>
        <v>0</v>
      </c>
      <c r="S1012">
        <f>N(S1011)+$R1012</f>
        <v>0</v>
      </c>
      <c r="T1012">
        <f>IF(AND($K1012=1,AND(对接源_01水果!$X1012="公司筐",N(对接源_01水果!$V1012)&lt;&gt;0)),1,0)</f>
        <v>0</v>
      </c>
      <c r="U1012">
        <f>N(U1011)+$T1012</f>
        <v>47</v>
      </c>
      <c r="V1012">
        <f>IF(AND($L1012=1,AND(对接源_01水果!$X1012="自备筐",N(对接源_01水果!$V1012)&lt;&gt;0)),1,0)</f>
        <v>0</v>
      </c>
      <c r="W1012">
        <f>N(W1011)+$V1012</f>
        <v>11</v>
      </c>
      <c r="X1012">
        <f>IF(AND($L1012=1,AND(对接源_01水果!$X1012="自备筐",N(对接源_01水果!$T1012)&lt;&gt;0)),1,0)</f>
        <v>0</v>
      </c>
      <c r="Y1012">
        <f>N(Y1011)+$X1012</f>
        <v>0</v>
      </c>
      <c r="Z1012">
        <f>IF(AND($M1012=1,对接源_01水果!$D1012="原料入库"),1,0)</f>
        <v>0</v>
      </c>
      <c r="AA1012">
        <f>N(AA1011)+$Z1012</f>
        <v>24</v>
      </c>
      <c r="AB1012">
        <f>IF(AND($M1012=1,LEFT(对接源_01水果!$D1012,4)="原料出库"),1,0)</f>
        <v>0</v>
      </c>
      <c r="AC1012">
        <f>N(AC1011)+$AB1012</f>
        <v>0</v>
      </c>
      <c r="AD1012">
        <f>IF(AND($M1012=1,LEFT(对接源_01水果!$D1012,4)="成品出库"),1,0)</f>
        <v>0</v>
      </c>
      <c r="AE1012">
        <f>N(AE1011)+$AD1012</f>
        <v>0</v>
      </c>
      <c r="AF1012">
        <f>IF(AND($N1012=1,AND(LEFT(对接源_01水果!$D1012,4)="包装物料",N(对接源_01水果!$K1012)&lt;&gt;0)),1,0)</f>
        <v>0</v>
      </c>
      <c r="AG1012">
        <f>N(AG1011)+$AF1012</f>
        <v>0</v>
      </c>
      <c r="AH1012">
        <f>IF(AND($N1012=1,AND(对接源_01水果!$D1012="周转筐－销售出库",N(对接源_01水果!$K1012)&lt;&gt;0)),1,0)</f>
        <v>0</v>
      </c>
      <c r="AI1012">
        <f>N(AI1011)+$AH1012</f>
        <v>0</v>
      </c>
      <c r="AJ1012" s="7" t="n"/>
      <c r="AL1012">
        <f>IF(OR($AL$1="",对接源_01水果!$Y1012="",对接源_01水果!$Y1012&lt;&gt;$AL$1,对接源_01水果!$B1012="",N(对接源_01水果!$AJ1012)&lt;=0),0,IF(OR(N(对接源_01水果!$B1012)&lt;$AL$2,N(对接源_01水果!$B1012)&gt;$AL$3),0,1))</f>
        <v>0</v>
      </c>
      <c r="AM1012">
        <f>N(AM1011)+$AL1012</f>
        <v>2</v>
      </c>
      <c r="AN1012">
        <f>IF(对接源_01水果!$AC1012="","",对接源_01水果!$AC1012)</f>
      </c>
      <c r="AO1012">
        <f>IF(AN1012="",0,IF(MATCH(AN1012,$AN$4:$AN$1203,0)=ROW()-3,1,0))</f>
        <v>0</v>
      </c>
      <c r="AP1012">
        <f>N(AP1011)+$AO1012</f>
        <v>13</v>
      </c>
      <c r="AR1012">
        <f>IF(OR($AF1012=1,$AH1012=1),1,0)</f>
        <v>0</v>
      </c>
      <c r="AS1012">
        <f>N(AS1011)+$AR1012</f>
        <v>0</v>
      </c>
    </row>
    <row r="1013" ht="14.25" customHeight="1" s="127">
      <c r="A1013">
        <f>IF(对接源_01水果!$C1013="","",对接源_01水果!$C1013)</f>
      </c>
      <c r="B1013">
        <f>IF(A1013="",0,IF(MATCH(A1013,$A$4:$A$2403,0)=ROW()-3,1,0))</f>
        <v>0</v>
      </c>
      <c r="C1013">
        <f>N(C1012)+B1013</f>
        <v>22</v>
      </c>
      <c r="K1013">
        <f>IF(OR($K$1="",对接源_01水果!$C1013="",对接源_01水果!$C1013&lt;&gt;$K$1,对接源_01水果!$B1013=""),0,IF(OR(N(对接源_01水果!$B1013)&lt;$K$2,N(对接源_01水果!$B1013)&gt;$K$3),0,1))</f>
        <v>0</v>
      </c>
      <c r="L1013">
        <f>IF(OR($L$1="",对接源_01水果!$C1013="",对接源_01水果!$C1013&lt;&gt;$L$1,对接源_01水果!$B1013=""),0,IF(OR(N(对接源_01水果!$B1013)&lt;$L$2,N(对接源_01水果!$B1013)&gt;$L$3),0,1))</f>
        <v>0</v>
      </c>
      <c r="M1013">
        <f>IF(OR($M$1="",对接源_01水果!$C1013="",对接源_01水果!$C1013&lt;&gt;$M$1,对接源_01水果!$B1013=""),0,IF(OR(N(对接源_01水果!$B1013)&lt;$M$2,N(对接源_01水果!$B1013)&gt;$M$3),0,1))</f>
        <v>0</v>
      </c>
      <c r="N1013">
        <f>IF(OR($N$1="",对接源_01水果!$C1013="",对接源_01水果!$C1013&lt;&gt;$N$1,对接源_01水果!$B1013=""),0,IF(OR(N(对接源_01水果!$B1013)&lt;$N$2,N(对接源_01水果!$B1013)&gt;$N$3),0,1))</f>
        <v>0</v>
      </c>
      <c r="P1013">
        <f>IF(AND($K1013=1,AND(对接源_01水果!$X1013="公司筐",N(对接源_01水果!$T1013)&lt;&gt;0)),1,0)</f>
        <v>0</v>
      </c>
      <c r="Q1013">
        <f>N(Q1012)+$P1013</f>
        <v>0</v>
      </c>
      <c r="R1013">
        <f>IF(AND($K1013=1,AND(对接源_01水果!$X1013="公司筐",N(对接源_01水果!$U1013)&lt;&gt;0)),1,0)</f>
        <v>0</v>
      </c>
      <c r="S1013">
        <f>N(S1012)+$R1013</f>
        <v>0</v>
      </c>
      <c r="T1013">
        <f>IF(AND($K1013=1,AND(对接源_01水果!$X1013="公司筐",N(对接源_01水果!$V1013)&lt;&gt;0)),1,0)</f>
        <v>0</v>
      </c>
      <c r="U1013">
        <f>N(U1012)+$T1013</f>
        <v>47</v>
      </c>
      <c r="V1013">
        <f>IF(AND($L1013=1,AND(对接源_01水果!$X1013="自备筐",N(对接源_01水果!$V1013)&lt;&gt;0)),1,0)</f>
        <v>0</v>
      </c>
      <c r="W1013">
        <f>N(W1012)+$V1013</f>
        <v>11</v>
      </c>
      <c r="X1013">
        <f>IF(AND($L1013=1,AND(对接源_01水果!$X1013="自备筐",N(对接源_01水果!$T1013)&lt;&gt;0)),1,0)</f>
        <v>0</v>
      </c>
      <c r="Y1013">
        <f>N(Y1012)+$X1013</f>
        <v>0</v>
      </c>
      <c r="Z1013">
        <f>IF(AND($M1013=1,对接源_01水果!$D1013="原料入库"),1,0)</f>
        <v>0</v>
      </c>
      <c r="AA1013">
        <f>N(AA1012)+$Z1013</f>
        <v>24</v>
      </c>
      <c r="AB1013">
        <f>IF(AND($M1013=1,LEFT(对接源_01水果!$D1013,4)="原料出库"),1,0)</f>
        <v>0</v>
      </c>
      <c r="AC1013">
        <f>N(AC1012)+$AB1013</f>
        <v>0</v>
      </c>
      <c r="AD1013">
        <f>IF(AND($M1013=1,LEFT(对接源_01水果!$D1013,4)="成品出库"),1,0)</f>
        <v>0</v>
      </c>
      <c r="AE1013">
        <f>N(AE1012)+$AD1013</f>
        <v>0</v>
      </c>
      <c r="AF1013">
        <f>IF(AND($N1013=1,AND(LEFT(对接源_01水果!$D1013,4)="包装物料",N(对接源_01水果!$K1013)&lt;&gt;0)),1,0)</f>
        <v>0</v>
      </c>
      <c r="AG1013">
        <f>N(AG1012)+$AF1013</f>
        <v>0</v>
      </c>
      <c r="AH1013">
        <f>IF(AND($N1013=1,AND(对接源_01水果!$D1013="周转筐－销售出库",N(对接源_01水果!$K1013)&lt;&gt;0)),1,0)</f>
        <v>0</v>
      </c>
      <c r="AI1013">
        <f>N(AI1012)+$AH1013</f>
        <v>0</v>
      </c>
      <c r="AJ1013" s="7" t="n"/>
      <c r="AL1013">
        <f>IF(OR($AL$1="",对接源_01水果!$Y1013="",对接源_01水果!$Y1013&lt;&gt;$AL$1,对接源_01水果!$B1013="",N(对接源_01水果!$AJ1013)&lt;=0),0,IF(OR(N(对接源_01水果!$B1013)&lt;$AL$2,N(对接源_01水果!$B1013)&gt;$AL$3),0,1))</f>
        <v>0</v>
      </c>
      <c r="AM1013">
        <f>N(AM1012)+$AL1013</f>
        <v>2</v>
      </c>
      <c r="AN1013">
        <f>IF(对接源_01水果!$AC1013="","",对接源_01水果!$AC1013)</f>
      </c>
      <c r="AO1013">
        <f>IF(AN1013="",0,IF(MATCH(AN1013,$AN$4:$AN$1203,0)=ROW()-3,1,0))</f>
        <v>0</v>
      </c>
      <c r="AP1013">
        <f>N(AP1012)+$AO1013</f>
        <v>13</v>
      </c>
      <c r="AR1013">
        <f>IF(OR($AF1013=1,$AH1013=1),1,0)</f>
        <v>0</v>
      </c>
      <c r="AS1013">
        <f>N(AS1012)+$AR1013</f>
        <v>0</v>
      </c>
    </row>
    <row r="1014" ht="14.25" customHeight="1" s="127">
      <c r="A1014">
        <f>IF(对接源_01水果!$C1014="","",对接源_01水果!$C1014)</f>
      </c>
      <c r="B1014">
        <f>IF(A1014="",0,IF(MATCH(A1014,$A$4:$A$2403,0)=ROW()-3,1,0))</f>
        <v>0</v>
      </c>
      <c r="C1014">
        <f>N(C1013)+B1014</f>
        <v>22</v>
      </c>
      <c r="K1014">
        <f>IF(OR($K$1="",对接源_01水果!$C1014="",对接源_01水果!$C1014&lt;&gt;$K$1,对接源_01水果!$B1014=""),0,IF(OR(N(对接源_01水果!$B1014)&lt;$K$2,N(对接源_01水果!$B1014)&gt;$K$3),0,1))</f>
        <v>0</v>
      </c>
      <c r="L1014">
        <f>IF(OR($L$1="",对接源_01水果!$C1014="",对接源_01水果!$C1014&lt;&gt;$L$1,对接源_01水果!$B1014=""),0,IF(OR(N(对接源_01水果!$B1014)&lt;$L$2,N(对接源_01水果!$B1014)&gt;$L$3),0,1))</f>
        <v>0</v>
      </c>
      <c r="M1014">
        <f>IF(OR($M$1="",对接源_01水果!$C1014="",对接源_01水果!$C1014&lt;&gt;$M$1,对接源_01水果!$B1014=""),0,IF(OR(N(对接源_01水果!$B1014)&lt;$M$2,N(对接源_01水果!$B1014)&gt;$M$3),0,1))</f>
        <v>0</v>
      </c>
      <c r="N1014">
        <f>IF(OR($N$1="",对接源_01水果!$C1014="",对接源_01水果!$C1014&lt;&gt;$N$1,对接源_01水果!$B1014=""),0,IF(OR(N(对接源_01水果!$B1014)&lt;$N$2,N(对接源_01水果!$B1014)&gt;$N$3),0,1))</f>
        <v>0</v>
      </c>
      <c r="P1014">
        <f>IF(AND($K1014=1,AND(对接源_01水果!$X1014="公司筐",N(对接源_01水果!$T1014)&lt;&gt;0)),1,0)</f>
        <v>0</v>
      </c>
      <c r="Q1014">
        <f>N(Q1013)+$P1014</f>
        <v>0</v>
      </c>
      <c r="R1014">
        <f>IF(AND($K1014=1,AND(对接源_01水果!$X1014="公司筐",N(对接源_01水果!$U1014)&lt;&gt;0)),1,0)</f>
        <v>0</v>
      </c>
      <c r="S1014">
        <f>N(S1013)+$R1014</f>
        <v>0</v>
      </c>
      <c r="T1014">
        <f>IF(AND($K1014=1,AND(对接源_01水果!$X1014="公司筐",N(对接源_01水果!$V1014)&lt;&gt;0)),1,0)</f>
        <v>0</v>
      </c>
      <c r="U1014">
        <f>N(U1013)+$T1014</f>
        <v>47</v>
      </c>
      <c r="V1014">
        <f>IF(AND($L1014=1,AND(对接源_01水果!$X1014="自备筐",N(对接源_01水果!$V1014)&lt;&gt;0)),1,0)</f>
        <v>0</v>
      </c>
      <c r="W1014">
        <f>N(W1013)+$V1014</f>
        <v>11</v>
      </c>
      <c r="X1014">
        <f>IF(AND($L1014=1,AND(对接源_01水果!$X1014="自备筐",N(对接源_01水果!$T1014)&lt;&gt;0)),1,0)</f>
        <v>0</v>
      </c>
      <c r="Y1014">
        <f>N(Y1013)+$X1014</f>
        <v>0</v>
      </c>
      <c r="Z1014">
        <f>IF(AND($M1014=1,对接源_01水果!$D1014="原料入库"),1,0)</f>
        <v>0</v>
      </c>
      <c r="AA1014">
        <f>N(AA1013)+$Z1014</f>
        <v>24</v>
      </c>
      <c r="AB1014">
        <f>IF(AND($M1014=1,LEFT(对接源_01水果!$D1014,4)="原料出库"),1,0)</f>
        <v>0</v>
      </c>
      <c r="AC1014">
        <f>N(AC1013)+$AB1014</f>
        <v>0</v>
      </c>
      <c r="AD1014">
        <f>IF(AND($M1014=1,LEFT(对接源_01水果!$D1014,4)="成品出库"),1,0)</f>
        <v>0</v>
      </c>
      <c r="AE1014">
        <f>N(AE1013)+$AD1014</f>
        <v>0</v>
      </c>
      <c r="AF1014">
        <f>IF(AND($N1014=1,AND(LEFT(对接源_01水果!$D1014,4)="包装物料",N(对接源_01水果!$K1014)&lt;&gt;0)),1,0)</f>
        <v>0</v>
      </c>
      <c r="AG1014">
        <f>N(AG1013)+$AF1014</f>
        <v>0</v>
      </c>
      <c r="AH1014">
        <f>IF(AND($N1014=1,AND(对接源_01水果!$D1014="周转筐－销售出库",N(对接源_01水果!$K1014)&lt;&gt;0)),1,0)</f>
        <v>0</v>
      </c>
      <c r="AI1014">
        <f>N(AI1013)+$AH1014</f>
        <v>0</v>
      </c>
      <c r="AJ1014" s="7" t="n"/>
      <c r="AL1014">
        <f>IF(OR($AL$1="",对接源_01水果!$Y1014="",对接源_01水果!$Y1014&lt;&gt;$AL$1,对接源_01水果!$B1014="",N(对接源_01水果!$AJ1014)&lt;=0),0,IF(OR(N(对接源_01水果!$B1014)&lt;$AL$2,N(对接源_01水果!$B1014)&gt;$AL$3),0,1))</f>
        <v>0</v>
      </c>
      <c r="AM1014">
        <f>N(AM1013)+$AL1014</f>
        <v>2</v>
      </c>
      <c r="AN1014">
        <f>IF(对接源_01水果!$AC1014="","",对接源_01水果!$AC1014)</f>
      </c>
      <c r="AO1014">
        <f>IF(AN1014="",0,IF(MATCH(AN1014,$AN$4:$AN$1203,0)=ROW()-3,1,0))</f>
        <v>0</v>
      </c>
      <c r="AP1014">
        <f>N(AP1013)+$AO1014</f>
        <v>13</v>
      </c>
      <c r="AR1014">
        <f>IF(OR($AF1014=1,$AH1014=1),1,0)</f>
        <v>0</v>
      </c>
      <c r="AS1014">
        <f>N(AS1013)+$AR1014</f>
        <v>0</v>
      </c>
    </row>
    <row r="1015" ht="14.25" customHeight="1" s="127">
      <c r="A1015">
        <f>IF(对接源_01水果!$C1015="","",对接源_01水果!$C1015)</f>
      </c>
      <c r="B1015">
        <f>IF(A1015="",0,IF(MATCH(A1015,$A$4:$A$2403,0)=ROW()-3,1,0))</f>
        <v>0</v>
      </c>
      <c r="C1015">
        <f>N(C1014)+B1015</f>
        <v>22</v>
      </c>
      <c r="K1015">
        <f>IF(OR($K$1="",对接源_01水果!$C1015="",对接源_01水果!$C1015&lt;&gt;$K$1,对接源_01水果!$B1015=""),0,IF(OR(N(对接源_01水果!$B1015)&lt;$K$2,N(对接源_01水果!$B1015)&gt;$K$3),0,1))</f>
        <v>0</v>
      </c>
      <c r="L1015">
        <f>IF(OR($L$1="",对接源_01水果!$C1015="",对接源_01水果!$C1015&lt;&gt;$L$1,对接源_01水果!$B1015=""),0,IF(OR(N(对接源_01水果!$B1015)&lt;$L$2,N(对接源_01水果!$B1015)&gt;$L$3),0,1))</f>
        <v>0</v>
      </c>
      <c r="M1015">
        <f>IF(OR($M$1="",对接源_01水果!$C1015="",对接源_01水果!$C1015&lt;&gt;$M$1,对接源_01水果!$B1015=""),0,IF(OR(N(对接源_01水果!$B1015)&lt;$M$2,N(对接源_01水果!$B1015)&gt;$M$3),0,1))</f>
        <v>0</v>
      </c>
      <c r="N1015">
        <f>IF(OR($N$1="",对接源_01水果!$C1015="",对接源_01水果!$C1015&lt;&gt;$N$1,对接源_01水果!$B1015=""),0,IF(OR(N(对接源_01水果!$B1015)&lt;$N$2,N(对接源_01水果!$B1015)&gt;$N$3),0,1))</f>
        <v>0</v>
      </c>
      <c r="P1015">
        <f>IF(AND($K1015=1,AND(对接源_01水果!$X1015="公司筐",N(对接源_01水果!$T1015)&lt;&gt;0)),1,0)</f>
        <v>0</v>
      </c>
      <c r="Q1015">
        <f>N(Q1014)+$P1015</f>
        <v>0</v>
      </c>
      <c r="R1015">
        <f>IF(AND($K1015=1,AND(对接源_01水果!$X1015="公司筐",N(对接源_01水果!$U1015)&lt;&gt;0)),1,0)</f>
        <v>0</v>
      </c>
      <c r="S1015">
        <f>N(S1014)+$R1015</f>
        <v>0</v>
      </c>
      <c r="T1015">
        <f>IF(AND($K1015=1,AND(对接源_01水果!$X1015="公司筐",N(对接源_01水果!$V1015)&lt;&gt;0)),1,0)</f>
        <v>0</v>
      </c>
      <c r="U1015">
        <f>N(U1014)+$T1015</f>
        <v>47</v>
      </c>
      <c r="V1015">
        <f>IF(AND($L1015=1,AND(对接源_01水果!$X1015="自备筐",N(对接源_01水果!$V1015)&lt;&gt;0)),1,0)</f>
        <v>0</v>
      </c>
      <c r="W1015">
        <f>N(W1014)+$V1015</f>
        <v>11</v>
      </c>
      <c r="X1015">
        <f>IF(AND($L1015=1,AND(对接源_01水果!$X1015="自备筐",N(对接源_01水果!$T1015)&lt;&gt;0)),1,0)</f>
        <v>0</v>
      </c>
      <c r="Y1015">
        <f>N(Y1014)+$X1015</f>
        <v>0</v>
      </c>
      <c r="Z1015">
        <f>IF(AND($M1015=1,对接源_01水果!$D1015="原料入库"),1,0)</f>
        <v>0</v>
      </c>
      <c r="AA1015">
        <f>N(AA1014)+$Z1015</f>
        <v>24</v>
      </c>
      <c r="AB1015">
        <f>IF(AND($M1015=1,LEFT(对接源_01水果!$D1015,4)="原料出库"),1,0)</f>
        <v>0</v>
      </c>
      <c r="AC1015">
        <f>N(AC1014)+$AB1015</f>
        <v>0</v>
      </c>
      <c r="AD1015">
        <f>IF(AND($M1015=1,LEFT(对接源_01水果!$D1015,4)="成品出库"),1,0)</f>
        <v>0</v>
      </c>
      <c r="AE1015">
        <f>N(AE1014)+$AD1015</f>
        <v>0</v>
      </c>
      <c r="AF1015">
        <f>IF(AND($N1015=1,AND(LEFT(对接源_01水果!$D1015,4)="包装物料",N(对接源_01水果!$K1015)&lt;&gt;0)),1,0)</f>
        <v>0</v>
      </c>
      <c r="AG1015">
        <f>N(AG1014)+$AF1015</f>
        <v>0</v>
      </c>
      <c r="AH1015">
        <f>IF(AND($N1015=1,AND(对接源_01水果!$D1015="周转筐－销售出库",N(对接源_01水果!$K1015)&lt;&gt;0)),1,0)</f>
        <v>0</v>
      </c>
      <c r="AI1015">
        <f>N(AI1014)+$AH1015</f>
        <v>0</v>
      </c>
      <c r="AJ1015" s="7" t="n"/>
      <c r="AL1015">
        <f>IF(OR($AL$1="",对接源_01水果!$Y1015="",对接源_01水果!$Y1015&lt;&gt;$AL$1,对接源_01水果!$B1015="",N(对接源_01水果!$AJ1015)&lt;=0),0,IF(OR(N(对接源_01水果!$B1015)&lt;$AL$2,N(对接源_01水果!$B1015)&gt;$AL$3),0,1))</f>
        <v>0</v>
      </c>
      <c r="AM1015">
        <f>N(AM1014)+$AL1015</f>
        <v>2</v>
      </c>
      <c r="AN1015">
        <f>IF(对接源_01水果!$AC1015="","",对接源_01水果!$AC1015)</f>
      </c>
      <c r="AO1015">
        <f>IF(AN1015="",0,IF(MATCH(AN1015,$AN$4:$AN$1203,0)=ROW()-3,1,0))</f>
        <v>0</v>
      </c>
      <c r="AP1015">
        <f>N(AP1014)+$AO1015</f>
        <v>13</v>
      </c>
      <c r="AR1015">
        <f>IF(OR($AF1015=1,$AH1015=1),1,0)</f>
        <v>0</v>
      </c>
      <c r="AS1015">
        <f>N(AS1014)+$AR1015</f>
        <v>0</v>
      </c>
    </row>
    <row r="1016" ht="14.25" customHeight="1" s="127">
      <c r="A1016">
        <f>IF(对接源_01水果!$C1016="","",对接源_01水果!$C1016)</f>
      </c>
      <c r="B1016">
        <f>IF(A1016="",0,IF(MATCH(A1016,$A$4:$A$2403,0)=ROW()-3,1,0))</f>
        <v>0</v>
      </c>
      <c r="C1016">
        <f>N(C1015)+B1016</f>
        <v>22</v>
      </c>
      <c r="K1016">
        <f>IF(OR($K$1="",对接源_01水果!$C1016="",对接源_01水果!$C1016&lt;&gt;$K$1,对接源_01水果!$B1016=""),0,IF(OR(N(对接源_01水果!$B1016)&lt;$K$2,N(对接源_01水果!$B1016)&gt;$K$3),0,1))</f>
        <v>0</v>
      </c>
      <c r="L1016">
        <f>IF(OR($L$1="",对接源_01水果!$C1016="",对接源_01水果!$C1016&lt;&gt;$L$1,对接源_01水果!$B1016=""),0,IF(OR(N(对接源_01水果!$B1016)&lt;$L$2,N(对接源_01水果!$B1016)&gt;$L$3),0,1))</f>
        <v>0</v>
      </c>
      <c r="M1016">
        <f>IF(OR($M$1="",对接源_01水果!$C1016="",对接源_01水果!$C1016&lt;&gt;$M$1,对接源_01水果!$B1016=""),0,IF(OR(N(对接源_01水果!$B1016)&lt;$M$2,N(对接源_01水果!$B1016)&gt;$M$3),0,1))</f>
        <v>0</v>
      </c>
      <c r="N1016">
        <f>IF(OR($N$1="",对接源_01水果!$C1016="",对接源_01水果!$C1016&lt;&gt;$N$1,对接源_01水果!$B1016=""),0,IF(OR(N(对接源_01水果!$B1016)&lt;$N$2,N(对接源_01水果!$B1016)&gt;$N$3),0,1))</f>
        <v>0</v>
      </c>
      <c r="P1016">
        <f>IF(AND($K1016=1,AND(对接源_01水果!$X1016="公司筐",N(对接源_01水果!$T1016)&lt;&gt;0)),1,0)</f>
        <v>0</v>
      </c>
      <c r="Q1016">
        <f>N(Q1015)+$P1016</f>
        <v>0</v>
      </c>
      <c r="R1016">
        <f>IF(AND($K1016=1,AND(对接源_01水果!$X1016="公司筐",N(对接源_01水果!$U1016)&lt;&gt;0)),1,0)</f>
        <v>0</v>
      </c>
      <c r="S1016">
        <f>N(S1015)+$R1016</f>
        <v>0</v>
      </c>
      <c r="T1016">
        <f>IF(AND($K1016=1,AND(对接源_01水果!$X1016="公司筐",N(对接源_01水果!$V1016)&lt;&gt;0)),1,0)</f>
        <v>0</v>
      </c>
      <c r="U1016">
        <f>N(U1015)+$T1016</f>
        <v>47</v>
      </c>
      <c r="V1016">
        <f>IF(AND($L1016=1,AND(对接源_01水果!$X1016="自备筐",N(对接源_01水果!$V1016)&lt;&gt;0)),1,0)</f>
        <v>0</v>
      </c>
      <c r="W1016">
        <f>N(W1015)+$V1016</f>
        <v>11</v>
      </c>
      <c r="X1016">
        <f>IF(AND($L1016=1,AND(对接源_01水果!$X1016="自备筐",N(对接源_01水果!$T1016)&lt;&gt;0)),1,0)</f>
        <v>0</v>
      </c>
      <c r="Y1016">
        <f>N(Y1015)+$X1016</f>
        <v>0</v>
      </c>
      <c r="Z1016">
        <f>IF(AND($M1016=1,对接源_01水果!$D1016="原料入库"),1,0)</f>
        <v>0</v>
      </c>
      <c r="AA1016">
        <f>N(AA1015)+$Z1016</f>
        <v>24</v>
      </c>
      <c r="AB1016">
        <f>IF(AND($M1016=1,LEFT(对接源_01水果!$D1016,4)="原料出库"),1,0)</f>
        <v>0</v>
      </c>
      <c r="AC1016">
        <f>N(AC1015)+$AB1016</f>
        <v>0</v>
      </c>
      <c r="AD1016">
        <f>IF(AND($M1016=1,LEFT(对接源_01水果!$D1016,4)="成品出库"),1,0)</f>
        <v>0</v>
      </c>
      <c r="AE1016">
        <f>N(AE1015)+$AD1016</f>
        <v>0</v>
      </c>
      <c r="AF1016">
        <f>IF(AND($N1016=1,AND(LEFT(对接源_01水果!$D1016,4)="包装物料",N(对接源_01水果!$K1016)&lt;&gt;0)),1,0)</f>
        <v>0</v>
      </c>
      <c r="AG1016">
        <f>N(AG1015)+$AF1016</f>
        <v>0</v>
      </c>
      <c r="AH1016">
        <f>IF(AND($N1016=1,AND(对接源_01水果!$D1016="周转筐－销售出库",N(对接源_01水果!$K1016)&lt;&gt;0)),1,0)</f>
        <v>0</v>
      </c>
      <c r="AI1016">
        <f>N(AI1015)+$AH1016</f>
        <v>0</v>
      </c>
      <c r="AJ1016" s="7" t="n"/>
      <c r="AL1016">
        <f>IF(OR($AL$1="",对接源_01水果!$Y1016="",对接源_01水果!$Y1016&lt;&gt;$AL$1,对接源_01水果!$B1016="",N(对接源_01水果!$AJ1016)&lt;=0),0,IF(OR(N(对接源_01水果!$B1016)&lt;$AL$2,N(对接源_01水果!$B1016)&gt;$AL$3),0,1))</f>
        <v>0</v>
      </c>
      <c r="AM1016">
        <f>N(AM1015)+$AL1016</f>
        <v>2</v>
      </c>
      <c r="AN1016">
        <f>IF(对接源_01水果!$AC1016="","",对接源_01水果!$AC1016)</f>
      </c>
      <c r="AO1016">
        <f>IF(AN1016="",0,IF(MATCH(AN1016,$AN$4:$AN$1203,0)=ROW()-3,1,0))</f>
        <v>0</v>
      </c>
      <c r="AP1016">
        <f>N(AP1015)+$AO1016</f>
        <v>13</v>
      </c>
      <c r="AR1016">
        <f>IF(OR($AF1016=1,$AH1016=1),1,0)</f>
        <v>0</v>
      </c>
      <c r="AS1016">
        <f>N(AS1015)+$AR1016</f>
        <v>0</v>
      </c>
    </row>
    <row r="1017" ht="14.25" customHeight="1" s="127">
      <c r="A1017">
        <f>IF(对接源_01水果!$C1017="","",对接源_01水果!$C1017)</f>
      </c>
      <c r="B1017">
        <f>IF(A1017="",0,IF(MATCH(A1017,$A$4:$A$2403,0)=ROW()-3,1,0))</f>
        <v>0</v>
      </c>
      <c r="C1017">
        <f>N(C1016)+B1017</f>
        <v>22</v>
      </c>
      <c r="K1017">
        <f>IF(OR($K$1="",对接源_01水果!$C1017="",对接源_01水果!$C1017&lt;&gt;$K$1,对接源_01水果!$B1017=""),0,IF(OR(N(对接源_01水果!$B1017)&lt;$K$2,N(对接源_01水果!$B1017)&gt;$K$3),0,1))</f>
        <v>0</v>
      </c>
      <c r="L1017">
        <f>IF(OR($L$1="",对接源_01水果!$C1017="",对接源_01水果!$C1017&lt;&gt;$L$1,对接源_01水果!$B1017=""),0,IF(OR(N(对接源_01水果!$B1017)&lt;$L$2,N(对接源_01水果!$B1017)&gt;$L$3),0,1))</f>
        <v>0</v>
      </c>
      <c r="M1017">
        <f>IF(OR($M$1="",对接源_01水果!$C1017="",对接源_01水果!$C1017&lt;&gt;$M$1,对接源_01水果!$B1017=""),0,IF(OR(N(对接源_01水果!$B1017)&lt;$M$2,N(对接源_01水果!$B1017)&gt;$M$3),0,1))</f>
        <v>0</v>
      </c>
      <c r="N1017">
        <f>IF(OR($N$1="",对接源_01水果!$C1017="",对接源_01水果!$C1017&lt;&gt;$N$1,对接源_01水果!$B1017=""),0,IF(OR(N(对接源_01水果!$B1017)&lt;$N$2,N(对接源_01水果!$B1017)&gt;$N$3),0,1))</f>
        <v>0</v>
      </c>
      <c r="P1017">
        <f>IF(AND($K1017=1,AND(对接源_01水果!$X1017="公司筐",N(对接源_01水果!$T1017)&lt;&gt;0)),1,0)</f>
        <v>0</v>
      </c>
      <c r="Q1017">
        <f>N(Q1016)+$P1017</f>
        <v>0</v>
      </c>
      <c r="R1017">
        <f>IF(AND($K1017=1,AND(对接源_01水果!$X1017="公司筐",N(对接源_01水果!$U1017)&lt;&gt;0)),1,0)</f>
        <v>0</v>
      </c>
      <c r="S1017">
        <f>N(S1016)+$R1017</f>
        <v>0</v>
      </c>
      <c r="T1017">
        <f>IF(AND($K1017=1,AND(对接源_01水果!$X1017="公司筐",N(对接源_01水果!$V1017)&lt;&gt;0)),1,0)</f>
        <v>0</v>
      </c>
      <c r="U1017">
        <f>N(U1016)+$T1017</f>
        <v>47</v>
      </c>
      <c r="V1017">
        <f>IF(AND($L1017=1,AND(对接源_01水果!$X1017="自备筐",N(对接源_01水果!$V1017)&lt;&gt;0)),1,0)</f>
        <v>0</v>
      </c>
      <c r="W1017">
        <f>N(W1016)+$V1017</f>
        <v>11</v>
      </c>
      <c r="X1017">
        <f>IF(AND($L1017=1,AND(对接源_01水果!$X1017="自备筐",N(对接源_01水果!$T1017)&lt;&gt;0)),1,0)</f>
        <v>0</v>
      </c>
      <c r="Y1017">
        <f>N(Y1016)+$X1017</f>
        <v>0</v>
      </c>
      <c r="Z1017">
        <f>IF(AND($M1017=1,对接源_01水果!$D1017="原料入库"),1,0)</f>
        <v>0</v>
      </c>
      <c r="AA1017">
        <f>N(AA1016)+$Z1017</f>
        <v>24</v>
      </c>
      <c r="AB1017">
        <f>IF(AND($M1017=1,LEFT(对接源_01水果!$D1017,4)="原料出库"),1,0)</f>
        <v>0</v>
      </c>
      <c r="AC1017">
        <f>N(AC1016)+$AB1017</f>
        <v>0</v>
      </c>
      <c r="AD1017">
        <f>IF(AND($M1017=1,LEFT(对接源_01水果!$D1017,4)="成品出库"),1,0)</f>
        <v>0</v>
      </c>
      <c r="AE1017">
        <f>N(AE1016)+$AD1017</f>
        <v>0</v>
      </c>
      <c r="AF1017">
        <f>IF(AND($N1017=1,AND(LEFT(对接源_01水果!$D1017,4)="包装物料",N(对接源_01水果!$K1017)&lt;&gt;0)),1,0)</f>
        <v>0</v>
      </c>
      <c r="AG1017">
        <f>N(AG1016)+$AF1017</f>
        <v>0</v>
      </c>
      <c r="AH1017">
        <f>IF(AND($N1017=1,AND(对接源_01水果!$D1017="周转筐－销售出库",N(对接源_01水果!$K1017)&lt;&gt;0)),1,0)</f>
        <v>0</v>
      </c>
      <c r="AI1017">
        <f>N(AI1016)+$AH1017</f>
        <v>0</v>
      </c>
      <c r="AJ1017" s="7" t="n"/>
      <c r="AL1017">
        <f>IF(OR($AL$1="",对接源_01水果!$Y1017="",对接源_01水果!$Y1017&lt;&gt;$AL$1,对接源_01水果!$B1017="",N(对接源_01水果!$AJ1017)&lt;=0),0,IF(OR(N(对接源_01水果!$B1017)&lt;$AL$2,N(对接源_01水果!$B1017)&gt;$AL$3),0,1))</f>
        <v>0</v>
      </c>
      <c r="AM1017">
        <f>N(AM1016)+$AL1017</f>
        <v>2</v>
      </c>
      <c r="AN1017">
        <f>IF(对接源_01水果!$AC1017="","",对接源_01水果!$AC1017)</f>
      </c>
      <c r="AO1017">
        <f>IF(AN1017="",0,IF(MATCH(AN1017,$AN$4:$AN$1203,0)=ROW()-3,1,0))</f>
        <v>0</v>
      </c>
      <c r="AP1017">
        <f>N(AP1016)+$AO1017</f>
        <v>13</v>
      </c>
      <c r="AR1017">
        <f>IF(OR($AF1017=1,$AH1017=1),1,0)</f>
        <v>0</v>
      </c>
      <c r="AS1017">
        <f>N(AS1016)+$AR1017</f>
        <v>0</v>
      </c>
    </row>
    <row r="1018" ht="14.25" customHeight="1" s="127">
      <c r="A1018">
        <f>IF(对接源_01水果!$C1018="","",对接源_01水果!$C1018)</f>
      </c>
      <c r="B1018">
        <f>IF(A1018="",0,IF(MATCH(A1018,$A$4:$A$2403,0)=ROW()-3,1,0))</f>
        <v>0</v>
      </c>
      <c r="C1018">
        <f>N(C1017)+B1018</f>
        <v>22</v>
      </c>
      <c r="K1018">
        <f>IF(OR($K$1="",对接源_01水果!$C1018="",对接源_01水果!$C1018&lt;&gt;$K$1,对接源_01水果!$B1018=""),0,IF(OR(N(对接源_01水果!$B1018)&lt;$K$2,N(对接源_01水果!$B1018)&gt;$K$3),0,1))</f>
        <v>0</v>
      </c>
      <c r="L1018">
        <f>IF(OR($L$1="",对接源_01水果!$C1018="",对接源_01水果!$C1018&lt;&gt;$L$1,对接源_01水果!$B1018=""),0,IF(OR(N(对接源_01水果!$B1018)&lt;$L$2,N(对接源_01水果!$B1018)&gt;$L$3),0,1))</f>
        <v>0</v>
      </c>
      <c r="M1018">
        <f>IF(OR($M$1="",对接源_01水果!$C1018="",对接源_01水果!$C1018&lt;&gt;$M$1,对接源_01水果!$B1018=""),0,IF(OR(N(对接源_01水果!$B1018)&lt;$M$2,N(对接源_01水果!$B1018)&gt;$M$3),0,1))</f>
        <v>0</v>
      </c>
      <c r="N1018">
        <f>IF(OR($N$1="",对接源_01水果!$C1018="",对接源_01水果!$C1018&lt;&gt;$N$1,对接源_01水果!$B1018=""),0,IF(OR(N(对接源_01水果!$B1018)&lt;$N$2,N(对接源_01水果!$B1018)&gt;$N$3),0,1))</f>
        <v>0</v>
      </c>
      <c r="P1018">
        <f>IF(AND($K1018=1,AND(对接源_01水果!$X1018="公司筐",N(对接源_01水果!$T1018)&lt;&gt;0)),1,0)</f>
        <v>0</v>
      </c>
      <c r="Q1018">
        <f>N(Q1017)+$P1018</f>
        <v>0</v>
      </c>
      <c r="R1018">
        <f>IF(AND($K1018=1,AND(对接源_01水果!$X1018="公司筐",N(对接源_01水果!$U1018)&lt;&gt;0)),1,0)</f>
        <v>0</v>
      </c>
      <c r="S1018">
        <f>N(S1017)+$R1018</f>
        <v>0</v>
      </c>
      <c r="T1018">
        <f>IF(AND($K1018=1,AND(对接源_01水果!$X1018="公司筐",N(对接源_01水果!$V1018)&lt;&gt;0)),1,0)</f>
        <v>0</v>
      </c>
      <c r="U1018">
        <f>N(U1017)+$T1018</f>
        <v>47</v>
      </c>
      <c r="V1018">
        <f>IF(AND($L1018=1,AND(对接源_01水果!$X1018="自备筐",N(对接源_01水果!$V1018)&lt;&gt;0)),1,0)</f>
        <v>0</v>
      </c>
      <c r="W1018">
        <f>N(W1017)+$V1018</f>
        <v>11</v>
      </c>
      <c r="X1018">
        <f>IF(AND($L1018=1,AND(对接源_01水果!$X1018="自备筐",N(对接源_01水果!$T1018)&lt;&gt;0)),1,0)</f>
        <v>0</v>
      </c>
      <c r="Y1018">
        <f>N(Y1017)+$X1018</f>
        <v>0</v>
      </c>
      <c r="Z1018">
        <f>IF(AND($M1018=1,对接源_01水果!$D1018="原料入库"),1,0)</f>
        <v>0</v>
      </c>
      <c r="AA1018">
        <f>N(AA1017)+$Z1018</f>
        <v>24</v>
      </c>
      <c r="AB1018">
        <f>IF(AND($M1018=1,LEFT(对接源_01水果!$D1018,4)="原料出库"),1,0)</f>
        <v>0</v>
      </c>
      <c r="AC1018">
        <f>N(AC1017)+$AB1018</f>
        <v>0</v>
      </c>
      <c r="AD1018">
        <f>IF(AND($M1018=1,LEFT(对接源_01水果!$D1018,4)="成品出库"),1,0)</f>
        <v>0</v>
      </c>
      <c r="AE1018">
        <f>N(AE1017)+$AD1018</f>
        <v>0</v>
      </c>
      <c r="AF1018">
        <f>IF(AND($N1018=1,AND(LEFT(对接源_01水果!$D1018,4)="包装物料",N(对接源_01水果!$K1018)&lt;&gt;0)),1,0)</f>
        <v>0</v>
      </c>
      <c r="AG1018">
        <f>N(AG1017)+$AF1018</f>
        <v>0</v>
      </c>
      <c r="AH1018">
        <f>IF(AND($N1018=1,AND(对接源_01水果!$D1018="周转筐－销售出库",N(对接源_01水果!$K1018)&lt;&gt;0)),1,0)</f>
        <v>0</v>
      </c>
      <c r="AI1018">
        <f>N(AI1017)+$AH1018</f>
        <v>0</v>
      </c>
      <c r="AJ1018" s="7" t="n"/>
      <c r="AL1018">
        <f>IF(OR($AL$1="",对接源_01水果!$Y1018="",对接源_01水果!$Y1018&lt;&gt;$AL$1,对接源_01水果!$B1018="",N(对接源_01水果!$AJ1018)&lt;=0),0,IF(OR(N(对接源_01水果!$B1018)&lt;$AL$2,N(对接源_01水果!$B1018)&gt;$AL$3),0,1))</f>
        <v>0</v>
      </c>
      <c r="AM1018">
        <f>N(AM1017)+$AL1018</f>
        <v>2</v>
      </c>
      <c r="AN1018">
        <f>IF(对接源_01水果!$AC1018="","",对接源_01水果!$AC1018)</f>
      </c>
      <c r="AO1018">
        <f>IF(AN1018="",0,IF(MATCH(AN1018,$AN$4:$AN$1203,0)=ROW()-3,1,0))</f>
        <v>0</v>
      </c>
      <c r="AP1018">
        <f>N(AP1017)+$AO1018</f>
        <v>13</v>
      </c>
      <c r="AR1018">
        <f>IF(OR($AF1018=1,$AH1018=1),1,0)</f>
        <v>0</v>
      </c>
      <c r="AS1018">
        <f>N(AS1017)+$AR1018</f>
        <v>0</v>
      </c>
    </row>
    <row r="1019" ht="14.25" customHeight="1" s="127">
      <c r="A1019">
        <f>IF(对接源_01水果!$C1019="","",对接源_01水果!$C1019)</f>
      </c>
      <c r="B1019">
        <f>IF(A1019="",0,IF(MATCH(A1019,$A$4:$A$2403,0)=ROW()-3,1,0))</f>
        <v>0</v>
      </c>
      <c r="C1019">
        <f>N(C1018)+B1019</f>
        <v>22</v>
      </c>
      <c r="K1019">
        <f>IF(OR($K$1="",对接源_01水果!$C1019="",对接源_01水果!$C1019&lt;&gt;$K$1,对接源_01水果!$B1019=""),0,IF(OR(N(对接源_01水果!$B1019)&lt;$K$2,N(对接源_01水果!$B1019)&gt;$K$3),0,1))</f>
        <v>0</v>
      </c>
      <c r="L1019">
        <f>IF(OR($L$1="",对接源_01水果!$C1019="",对接源_01水果!$C1019&lt;&gt;$L$1,对接源_01水果!$B1019=""),0,IF(OR(N(对接源_01水果!$B1019)&lt;$L$2,N(对接源_01水果!$B1019)&gt;$L$3),0,1))</f>
        <v>0</v>
      </c>
      <c r="M1019">
        <f>IF(OR($M$1="",对接源_01水果!$C1019="",对接源_01水果!$C1019&lt;&gt;$M$1,对接源_01水果!$B1019=""),0,IF(OR(N(对接源_01水果!$B1019)&lt;$M$2,N(对接源_01水果!$B1019)&gt;$M$3),0,1))</f>
        <v>0</v>
      </c>
      <c r="N1019">
        <f>IF(OR($N$1="",对接源_01水果!$C1019="",对接源_01水果!$C1019&lt;&gt;$N$1,对接源_01水果!$B1019=""),0,IF(OR(N(对接源_01水果!$B1019)&lt;$N$2,N(对接源_01水果!$B1019)&gt;$N$3),0,1))</f>
        <v>0</v>
      </c>
      <c r="P1019">
        <f>IF(AND($K1019=1,AND(对接源_01水果!$X1019="公司筐",N(对接源_01水果!$T1019)&lt;&gt;0)),1,0)</f>
        <v>0</v>
      </c>
      <c r="Q1019">
        <f>N(Q1018)+$P1019</f>
        <v>0</v>
      </c>
      <c r="R1019">
        <f>IF(AND($K1019=1,AND(对接源_01水果!$X1019="公司筐",N(对接源_01水果!$U1019)&lt;&gt;0)),1,0)</f>
        <v>0</v>
      </c>
      <c r="S1019">
        <f>N(S1018)+$R1019</f>
        <v>0</v>
      </c>
      <c r="T1019">
        <f>IF(AND($K1019=1,AND(对接源_01水果!$X1019="公司筐",N(对接源_01水果!$V1019)&lt;&gt;0)),1,0)</f>
        <v>0</v>
      </c>
      <c r="U1019">
        <f>N(U1018)+$T1019</f>
        <v>47</v>
      </c>
      <c r="V1019">
        <f>IF(AND($L1019=1,AND(对接源_01水果!$X1019="自备筐",N(对接源_01水果!$V1019)&lt;&gt;0)),1,0)</f>
        <v>0</v>
      </c>
      <c r="W1019">
        <f>N(W1018)+$V1019</f>
        <v>11</v>
      </c>
      <c r="X1019">
        <f>IF(AND($L1019=1,AND(对接源_01水果!$X1019="自备筐",N(对接源_01水果!$T1019)&lt;&gt;0)),1,0)</f>
        <v>0</v>
      </c>
      <c r="Y1019">
        <f>N(Y1018)+$X1019</f>
        <v>0</v>
      </c>
      <c r="Z1019">
        <f>IF(AND($M1019=1,对接源_01水果!$D1019="原料入库"),1,0)</f>
        <v>0</v>
      </c>
      <c r="AA1019">
        <f>N(AA1018)+$Z1019</f>
        <v>24</v>
      </c>
      <c r="AB1019">
        <f>IF(AND($M1019=1,LEFT(对接源_01水果!$D1019,4)="原料出库"),1,0)</f>
        <v>0</v>
      </c>
      <c r="AC1019">
        <f>N(AC1018)+$AB1019</f>
        <v>0</v>
      </c>
      <c r="AD1019">
        <f>IF(AND($M1019=1,LEFT(对接源_01水果!$D1019,4)="成品出库"),1,0)</f>
        <v>0</v>
      </c>
      <c r="AE1019">
        <f>N(AE1018)+$AD1019</f>
        <v>0</v>
      </c>
      <c r="AF1019">
        <f>IF(AND($N1019=1,AND(LEFT(对接源_01水果!$D1019,4)="包装物料",N(对接源_01水果!$K1019)&lt;&gt;0)),1,0)</f>
        <v>0</v>
      </c>
      <c r="AG1019">
        <f>N(AG1018)+$AF1019</f>
        <v>0</v>
      </c>
      <c r="AH1019">
        <f>IF(AND($N1019=1,AND(对接源_01水果!$D1019="周转筐－销售出库",N(对接源_01水果!$K1019)&lt;&gt;0)),1,0)</f>
        <v>0</v>
      </c>
      <c r="AI1019">
        <f>N(AI1018)+$AH1019</f>
        <v>0</v>
      </c>
      <c r="AJ1019" s="7" t="n"/>
      <c r="AL1019">
        <f>IF(OR($AL$1="",对接源_01水果!$Y1019="",对接源_01水果!$Y1019&lt;&gt;$AL$1,对接源_01水果!$B1019="",N(对接源_01水果!$AJ1019)&lt;=0),0,IF(OR(N(对接源_01水果!$B1019)&lt;$AL$2,N(对接源_01水果!$B1019)&gt;$AL$3),0,1))</f>
        <v>0</v>
      </c>
      <c r="AM1019">
        <f>N(AM1018)+$AL1019</f>
        <v>2</v>
      </c>
      <c r="AN1019">
        <f>IF(对接源_01水果!$AC1019="","",对接源_01水果!$AC1019)</f>
      </c>
      <c r="AO1019">
        <f>IF(AN1019="",0,IF(MATCH(AN1019,$AN$4:$AN$1203,0)=ROW()-3,1,0))</f>
        <v>0</v>
      </c>
      <c r="AP1019">
        <f>N(AP1018)+$AO1019</f>
        <v>13</v>
      </c>
      <c r="AR1019">
        <f>IF(OR($AF1019=1,$AH1019=1),1,0)</f>
        <v>0</v>
      </c>
      <c r="AS1019">
        <f>N(AS1018)+$AR1019</f>
        <v>0</v>
      </c>
    </row>
    <row r="1020" ht="14.25" customHeight="1" s="127">
      <c r="A1020">
        <f>IF(对接源_01水果!$C1020="","",对接源_01水果!$C1020)</f>
      </c>
      <c r="B1020">
        <f>IF(A1020="",0,IF(MATCH(A1020,$A$4:$A$2403,0)=ROW()-3,1,0))</f>
        <v>0</v>
      </c>
      <c r="C1020">
        <f>N(C1019)+B1020</f>
        <v>22</v>
      </c>
      <c r="K1020">
        <f>IF(OR($K$1="",对接源_01水果!$C1020="",对接源_01水果!$C1020&lt;&gt;$K$1,对接源_01水果!$B1020=""),0,IF(OR(N(对接源_01水果!$B1020)&lt;$K$2,N(对接源_01水果!$B1020)&gt;$K$3),0,1))</f>
        <v>0</v>
      </c>
      <c r="L1020">
        <f>IF(OR($L$1="",对接源_01水果!$C1020="",对接源_01水果!$C1020&lt;&gt;$L$1,对接源_01水果!$B1020=""),0,IF(OR(N(对接源_01水果!$B1020)&lt;$L$2,N(对接源_01水果!$B1020)&gt;$L$3),0,1))</f>
        <v>0</v>
      </c>
      <c r="M1020">
        <f>IF(OR($M$1="",对接源_01水果!$C1020="",对接源_01水果!$C1020&lt;&gt;$M$1,对接源_01水果!$B1020=""),0,IF(OR(N(对接源_01水果!$B1020)&lt;$M$2,N(对接源_01水果!$B1020)&gt;$M$3),0,1))</f>
        <v>0</v>
      </c>
      <c r="N1020">
        <f>IF(OR($N$1="",对接源_01水果!$C1020="",对接源_01水果!$C1020&lt;&gt;$N$1,对接源_01水果!$B1020=""),0,IF(OR(N(对接源_01水果!$B1020)&lt;$N$2,N(对接源_01水果!$B1020)&gt;$N$3),0,1))</f>
        <v>0</v>
      </c>
      <c r="P1020">
        <f>IF(AND($K1020=1,AND(对接源_01水果!$X1020="公司筐",N(对接源_01水果!$T1020)&lt;&gt;0)),1,0)</f>
        <v>0</v>
      </c>
      <c r="Q1020">
        <f>N(Q1019)+$P1020</f>
        <v>0</v>
      </c>
      <c r="R1020">
        <f>IF(AND($K1020=1,AND(对接源_01水果!$X1020="公司筐",N(对接源_01水果!$U1020)&lt;&gt;0)),1,0)</f>
        <v>0</v>
      </c>
      <c r="S1020">
        <f>N(S1019)+$R1020</f>
        <v>0</v>
      </c>
      <c r="T1020">
        <f>IF(AND($K1020=1,AND(对接源_01水果!$X1020="公司筐",N(对接源_01水果!$V1020)&lt;&gt;0)),1,0)</f>
        <v>0</v>
      </c>
      <c r="U1020">
        <f>N(U1019)+$T1020</f>
        <v>47</v>
      </c>
      <c r="V1020">
        <f>IF(AND($L1020=1,AND(对接源_01水果!$X1020="自备筐",N(对接源_01水果!$V1020)&lt;&gt;0)),1,0)</f>
        <v>0</v>
      </c>
      <c r="W1020">
        <f>N(W1019)+$V1020</f>
        <v>11</v>
      </c>
      <c r="X1020">
        <f>IF(AND($L1020=1,AND(对接源_01水果!$X1020="自备筐",N(对接源_01水果!$T1020)&lt;&gt;0)),1,0)</f>
        <v>0</v>
      </c>
      <c r="Y1020">
        <f>N(Y1019)+$X1020</f>
        <v>0</v>
      </c>
      <c r="Z1020">
        <f>IF(AND($M1020=1,对接源_01水果!$D1020="原料入库"),1,0)</f>
        <v>0</v>
      </c>
      <c r="AA1020">
        <f>N(AA1019)+$Z1020</f>
        <v>24</v>
      </c>
      <c r="AB1020">
        <f>IF(AND($M1020=1,LEFT(对接源_01水果!$D1020,4)="原料出库"),1,0)</f>
        <v>0</v>
      </c>
      <c r="AC1020">
        <f>N(AC1019)+$AB1020</f>
        <v>0</v>
      </c>
      <c r="AD1020">
        <f>IF(AND($M1020=1,LEFT(对接源_01水果!$D1020,4)="成品出库"),1,0)</f>
        <v>0</v>
      </c>
      <c r="AE1020">
        <f>N(AE1019)+$AD1020</f>
        <v>0</v>
      </c>
      <c r="AF1020">
        <f>IF(AND($N1020=1,AND(LEFT(对接源_01水果!$D1020,4)="包装物料",N(对接源_01水果!$K1020)&lt;&gt;0)),1,0)</f>
        <v>0</v>
      </c>
      <c r="AG1020">
        <f>N(AG1019)+$AF1020</f>
        <v>0</v>
      </c>
      <c r="AH1020">
        <f>IF(AND($N1020=1,AND(对接源_01水果!$D1020="周转筐－销售出库",N(对接源_01水果!$K1020)&lt;&gt;0)),1,0)</f>
        <v>0</v>
      </c>
      <c r="AI1020">
        <f>N(AI1019)+$AH1020</f>
        <v>0</v>
      </c>
      <c r="AJ1020" s="7" t="n"/>
      <c r="AL1020">
        <f>IF(OR($AL$1="",对接源_01水果!$Y1020="",对接源_01水果!$Y1020&lt;&gt;$AL$1,对接源_01水果!$B1020="",N(对接源_01水果!$AJ1020)&lt;=0),0,IF(OR(N(对接源_01水果!$B1020)&lt;$AL$2,N(对接源_01水果!$B1020)&gt;$AL$3),0,1))</f>
        <v>0</v>
      </c>
      <c r="AM1020">
        <f>N(AM1019)+$AL1020</f>
        <v>2</v>
      </c>
      <c r="AN1020">
        <f>IF(对接源_01水果!$AC1020="","",对接源_01水果!$AC1020)</f>
      </c>
      <c r="AO1020">
        <f>IF(AN1020="",0,IF(MATCH(AN1020,$AN$4:$AN$1203,0)=ROW()-3,1,0))</f>
        <v>0</v>
      </c>
      <c r="AP1020">
        <f>N(AP1019)+$AO1020</f>
        <v>13</v>
      </c>
      <c r="AR1020">
        <f>IF(OR($AF1020=1,$AH1020=1),1,0)</f>
        <v>0</v>
      </c>
      <c r="AS1020">
        <f>N(AS1019)+$AR1020</f>
        <v>0</v>
      </c>
    </row>
    <row r="1021" ht="14.25" customHeight="1" s="127">
      <c r="A1021">
        <f>IF(对接源_01水果!$C1021="","",对接源_01水果!$C1021)</f>
      </c>
      <c r="B1021">
        <f>IF(A1021="",0,IF(MATCH(A1021,$A$4:$A$2403,0)=ROW()-3,1,0))</f>
        <v>0</v>
      </c>
      <c r="C1021">
        <f>N(C1020)+B1021</f>
        <v>22</v>
      </c>
      <c r="K1021">
        <f>IF(OR($K$1="",对接源_01水果!$C1021="",对接源_01水果!$C1021&lt;&gt;$K$1,对接源_01水果!$B1021=""),0,IF(OR(N(对接源_01水果!$B1021)&lt;$K$2,N(对接源_01水果!$B1021)&gt;$K$3),0,1))</f>
        <v>0</v>
      </c>
      <c r="L1021">
        <f>IF(OR($L$1="",对接源_01水果!$C1021="",对接源_01水果!$C1021&lt;&gt;$L$1,对接源_01水果!$B1021=""),0,IF(OR(N(对接源_01水果!$B1021)&lt;$L$2,N(对接源_01水果!$B1021)&gt;$L$3),0,1))</f>
        <v>0</v>
      </c>
      <c r="M1021">
        <f>IF(OR($M$1="",对接源_01水果!$C1021="",对接源_01水果!$C1021&lt;&gt;$M$1,对接源_01水果!$B1021=""),0,IF(OR(N(对接源_01水果!$B1021)&lt;$M$2,N(对接源_01水果!$B1021)&gt;$M$3),0,1))</f>
        <v>0</v>
      </c>
      <c r="N1021">
        <f>IF(OR($N$1="",对接源_01水果!$C1021="",对接源_01水果!$C1021&lt;&gt;$N$1,对接源_01水果!$B1021=""),0,IF(OR(N(对接源_01水果!$B1021)&lt;$N$2,N(对接源_01水果!$B1021)&gt;$N$3),0,1))</f>
        <v>0</v>
      </c>
      <c r="P1021">
        <f>IF(AND($K1021=1,AND(对接源_01水果!$X1021="公司筐",N(对接源_01水果!$T1021)&lt;&gt;0)),1,0)</f>
        <v>0</v>
      </c>
      <c r="Q1021">
        <f>N(Q1020)+$P1021</f>
        <v>0</v>
      </c>
      <c r="R1021">
        <f>IF(AND($K1021=1,AND(对接源_01水果!$X1021="公司筐",N(对接源_01水果!$U1021)&lt;&gt;0)),1,0)</f>
        <v>0</v>
      </c>
      <c r="S1021">
        <f>N(S1020)+$R1021</f>
        <v>0</v>
      </c>
      <c r="T1021">
        <f>IF(AND($K1021=1,AND(对接源_01水果!$X1021="公司筐",N(对接源_01水果!$V1021)&lt;&gt;0)),1,0)</f>
        <v>0</v>
      </c>
      <c r="U1021">
        <f>N(U1020)+$T1021</f>
        <v>47</v>
      </c>
      <c r="V1021">
        <f>IF(AND($L1021=1,AND(对接源_01水果!$X1021="自备筐",N(对接源_01水果!$V1021)&lt;&gt;0)),1,0)</f>
        <v>0</v>
      </c>
      <c r="W1021">
        <f>N(W1020)+$V1021</f>
        <v>11</v>
      </c>
      <c r="X1021">
        <f>IF(AND($L1021=1,AND(对接源_01水果!$X1021="自备筐",N(对接源_01水果!$T1021)&lt;&gt;0)),1,0)</f>
        <v>0</v>
      </c>
      <c r="Y1021">
        <f>N(Y1020)+$X1021</f>
        <v>0</v>
      </c>
      <c r="Z1021">
        <f>IF(AND($M1021=1,对接源_01水果!$D1021="原料入库"),1,0)</f>
        <v>0</v>
      </c>
      <c r="AA1021">
        <f>N(AA1020)+$Z1021</f>
        <v>24</v>
      </c>
      <c r="AB1021">
        <f>IF(AND($M1021=1,LEFT(对接源_01水果!$D1021,4)="原料出库"),1,0)</f>
        <v>0</v>
      </c>
      <c r="AC1021">
        <f>N(AC1020)+$AB1021</f>
        <v>0</v>
      </c>
      <c r="AD1021">
        <f>IF(AND($M1021=1,LEFT(对接源_01水果!$D1021,4)="成品出库"),1,0)</f>
        <v>0</v>
      </c>
      <c r="AE1021">
        <f>N(AE1020)+$AD1021</f>
        <v>0</v>
      </c>
      <c r="AF1021">
        <f>IF(AND($N1021=1,AND(LEFT(对接源_01水果!$D1021,4)="包装物料",N(对接源_01水果!$K1021)&lt;&gt;0)),1,0)</f>
        <v>0</v>
      </c>
      <c r="AG1021">
        <f>N(AG1020)+$AF1021</f>
        <v>0</v>
      </c>
      <c r="AH1021">
        <f>IF(AND($N1021=1,AND(对接源_01水果!$D1021="周转筐－销售出库",N(对接源_01水果!$K1021)&lt;&gt;0)),1,0)</f>
        <v>0</v>
      </c>
      <c r="AI1021">
        <f>N(AI1020)+$AH1021</f>
        <v>0</v>
      </c>
      <c r="AJ1021" s="7" t="n"/>
      <c r="AL1021">
        <f>IF(OR($AL$1="",对接源_01水果!$Y1021="",对接源_01水果!$Y1021&lt;&gt;$AL$1,对接源_01水果!$B1021="",N(对接源_01水果!$AJ1021)&lt;=0),0,IF(OR(N(对接源_01水果!$B1021)&lt;$AL$2,N(对接源_01水果!$B1021)&gt;$AL$3),0,1))</f>
        <v>0</v>
      </c>
      <c r="AM1021">
        <f>N(AM1020)+$AL1021</f>
        <v>2</v>
      </c>
      <c r="AN1021">
        <f>IF(对接源_01水果!$AC1021="","",对接源_01水果!$AC1021)</f>
      </c>
      <c r="AO1021">
        <f>IF(AN1021="",0,IF(MATCH(AN1021,$AN$4:$AN$1203,0)=ROW()-3,1,0))</f>
        <v>0</v>
      </c>
      <c r="AP1021">
        <f>N(AP1020)+$AO1021</f>
        <v>13</v>
      </c>
      <c r="AR1021">
        <f>IF(OR($AF1021=1,$AH1021=1),1,0)</f>
        <v>0</v>
      </c>
      <c r="AS1021">
        <f>N(AS1020)+$AR1021</f>
        <v>0</v>
      </c>
    </row>
    <row r="1022" ht="14.25" customHeight="1" s="127">
      <c r="A1022">
        <f>IF(对接源_01水果!$C1022="","",对接源_01水果!$C1022)</f>
      </c>
      <c r="B1022">
        <f>IF(A1022="",0,IF(MATCH(A1022,$A$4:$A$2403,0)=ROW()-3,1,0))</f>
        <v>0</v>
      </c>
      <c r="C1022">
        <f>N(C1021)+B1022</f>
        <v>22</v>
      </c>
      <c r="K1022">
        <f>IF(OR($K$1="",对接源_01水果!$C1022="",对接源_01水果!$C1022&lt;&gt;$K$1,对接源_01水果!$B1022=""),0,IF(OR(N(对接源_01水果!$B1022)&lt;$K$2,N(对接源_01水果!$B1022)&gt;$K$3),0,1))</f>
        <v>0</v>
      </c>
      <c r="L1022">
        <f>IF(OR($L$1="",对接源_01水果!$C1022="",对接源_01水果!$C1022&lt;&gt;$L$1,对接源_01水果!$B1022=""),0,IF(OR(N(对接源_01水果!$B1022)&lt;$L$2,N(对接源_01水果!$B1022)&gt;$L$3),0,1))</f>
        <v>0</v>
      </c>
      <c r="M1022">
        <f>IF(OR($M$1="",对接源_01水果!$C1022="",对接源_01水果!$C1022&lt;&gt;$M$1,对接源_01水果!$B1022=""),0,IF(OR(N(对接源_01水果!$B1022)&lt;$M$2,N(对接源_01水果!$B1022)&gt;$M$3),0,1))</f>
        <v>0</v>
      </c>
      <c r="N1022">
        <f>IF(OR($N$1="",对接源_01水果!$C1022="",对接源_01水果!$C1022&lt;&gt;$N$1,对接源_01水果!$B1022=""),0,IF(OR(N(对接源_01水果!$B1022)&lt;$N$2,N(对接源_01水果!$B1022)&gt;$N$3),0,1))</f>
        <v>0</v>
      </c>
      <c r="P1022">
        <f>IF(AND($K1022=1,AND(对接源_01水果!$X1022="公司筐",N(对接源_01水果!$T1022)&lt;&gt;0)),1,0)</f>
        <v>0</v>
      </c>
      <c r="Q1022">
        <f>N(Q1021)+$P1022</f>
        <v>0</v>
      </c>
      <c r="R1022">
        <f>IF(AND($K1022=1,AND(对接源_01水果!$X1022="公司筐",N(对接源_01水果!$U1022)&lt;&gt;0)),1,0)</f>
        <v>0</v>
      </c>
      <c r="S1022">
        <f>N(S1021)+$R1022</f>
        <v>0</v>
      </c>
      <c r="T1022">
        <f>IF(AND($K1022=1,AND(对接源_01水果!$X1022="公司筐",N(对接源_01水果!$V1022)&lt;&gt;0)),1,0)</f>
        <v>0</v>
      </c>
      <c r="U1022">
        <f>N(U1021)+$T1022</f>
        <v>47</v>
      </c>
      <c r="V1022">
        <f>IF(AND($L1022=1,AND(对接源_01水果!$X1022="自备筐",N(对接源_01水果!$V1022)&lt;&gt;0)),1,0)</f>
        <v>0</v>
      </c>
      <c r="W1022">
        <f>N(W1021)+$V1022</f>
        <v>11</v>
      </c>
      <c r="X1022">
        <f>IF(AND($L1022=1,AND(对接源_01水果!$X1022="自备筐",N(对接源_01水果!$T1022)&lt;&gt;0)),1,0)</f>
        <v>0</v>
      </c>
      <c r="Y1022">
        <f>N(Y1021)+$X1022</f>
        <v>0</v>
      </c>
      <c r="Z1022">
        <f>IF(AND($M1022=1,对接源_01水果!$D1022="原料入库"),1,0)</f>
        <v>0</v>
      </c>
      <c r="AA1022">
        <f>N(AA1021)+$Z1022</f>
        <v>24</v>
      </c>
      <c r="AB1022">
        <f>IF(AND($M1022=1,LEFT(对接源_01水果!$D1022,4)="原料出库"),1,0)</f>
        <v>0</v>
      </c>
      <c r="AC1022">
        <f>N(AC1021)+$AB1022</f>
        <v>0</v>
      </c>
      <c r="AD1022">
        <f>IF(AND($M1022=1,LEFT(对接源_01水果!$D1022,4)="成品出库"),1,0)</f>
        <v>0</v>
      </c>
      <c r="AE1022">
        <f>N(AE1021)+$AD1022</f>
        <v>0</v>
      </c>
      <c r="AF1022">
        <f>IF(AND($N1022=1,AND(LEFT(对接源_01水果!$D1022,4)="包装物料",N(对接源_01水果!$K1022)&lt;&gt;0)),1,0)</f>
        <v>0</v>
      </c>
      <c r="AG1022">
        <f>N(AG1021)+$AF1022</f>
        <v>0</v>
      </c>
      <c r="AH1022">
        <f>IF(AND($N1022=1,AND(对接源_01水果!$D1022="周转筐－销售出库",N(对接源_01水果!$K1022)&lt;&gt;0)),1,0)</f>
        <v>0</v>
      </c>
      <c r="AI1022">
        <f>N(AI1021)+$AH1022</f>
        <v>0</v>
      </c>
      <c r="AJ1022" s="7" t="n"/>
      <c r="AL1022">
        <f>IF(OR($AL$1="",对接源_01水果!$Y1022="",对接源_01水果!$Y1022&lt;&gt;$AL$1,对接源_01水果!$B1022="",N(对接源_01水果!$AJ1022)&lt;=0),0,IF(OR(N(对接源_01水果!$B1022)&lt;$AL$2,N(对接源_01水果!$B1022)&gt;$AL$3),0,1))</f>
        <v>0</v>
      </c>
      <c r="AM1022">
        <f>N(AM1021)+$AL1022</f>
        <v>2</v>
      </c>
      <c r="AN1022">
        <f>IF(对接源_01水果!$AC1022="","",对接源_01水果!$AC1022)</f>
      </c>
      <c r="AO1022">
        <f>IF(AN1022="",0,IF(MATCH(AN1022,$AN$4:$AN$1203,0)=ROW()-3,1,0))</f>
        <v>0</v>
      </c>
      <c r="AP1022">
        <f>N(AP1021)+$AO1022</f>
        <v>13</v>
      </c>
      <c r="AR1022">
        <f>IF(OR($AF1022=1,$AH1022=1),1,0)</f>
        <v>0</v>
      </c>
      <c r="AS1022">
        <f>N(AS1021)+$AR1022</f>
        <v>0</v>
      </c>
    </row>
    <row r="1023" ht="14.25" customHeight="1" s="127">
      <c r="A1023">
        <f>IF(对接源_01水果!$C1023="","",对接源_01水果!$C1023)</f>
      </c>
      <c r="B1023">
        <f>IF(A1023="",0,IF(MATCH(A1023,$A$4:$A$2403,0)=ROW()-3,1,0))</f>
        <v>0</v>
      </c>
      <c r="C1023">
        <f>N(C1022)+B1023</f>
        <v>22</v>
      </c>
      <c r="K1023">
        <f>IF(OR($K$1="",对接源_01水果!$C1023="",对接源_01水果!$C1023&lt;&gt;$K$1,对接源_01水果!$B1023=""),0,IF(OR(N(对接源_01水果!$B1023)&lt;$K$2,N(对接源_01水果!$B1023)&gt;$K$3),0,1))</f>
        <v>0</v>
      </c>
      <c r="L1023">
        <f>IF(OR($L$1="",对接源_01水果!$C1023="",对接源_01水果!$C1023&lt;&gt;$L$1,对接源_01水果!$B1023=""),0,IF(OR(N(对接源_01水果!$B1023)&lt;$L$2,N(对接源_01水果!$B1023)&gt;$L$3),0,1))</f>
        <v>0</v>
      </c>
      <c r="M1023">
        <f>IF(OR($M$1="",对接源_01水果!$C1023="",对接源_01水果!$C1023&lt;&gt;$M$1,对接源_01水果!$B1023=""),0,IF(OR(N(对接源_01水果!$B1023)&lt;$M$2,N(对接源_01水果!$B1023)&gt;$M$3),0,1))</f>
        <v>0</v>
      </c>
      <c r="N1023">
        <f>IF(OR($N$1="",对接源_01水果!$C1023="",对接源_01水果!$C1023&lt;&gt;$N$1,对接源_01水果!$B1023=""),0,IF(OR(N(对接源_01水果!$B1023)&lt;$N$2,N(对接源_01水果!$B1023)&gt;$N$3),0,1))</f>
        <v>0</v>
      </c>
      <c r="P1023">
        <f>IF(AND($K1023=1,AND(对接源_01水果!$X1023="公司筐",N(对接源_01水果!$T1023)&lt;&gt;0)),1,0)</f>
        <v>0</v>
      </c>
      <c r="Q1023">
        <f>N(Q1022)+$P1023</f>
        <v>0</v>
      </c>
      <c r="R1023">
        <f>IF(AND($K1023=1,AND(对接源_01水果!$X1023="公司筐",N(对接源_01水果!$U1023)&lt;&gt;0)),1,0)</f>
        <v>0</v>
      </c>
      <c r="S1023">
        <f>N(S1022)+$R1023</f>
        <v>0</v>
      </c>
      <c r="T1023">
        <f>IF(AND($K1023=1,AND(对接源_01水果!$X1023="公司筐",N(对接源_01水果!$V1023)&lt;&gt;0)),1,0)</f>
        <v>0</v>
      </c>
      <c r="U1023">
        <f>N(U1022)+$T1023</f>
        <v>47</v>
      </c>
      <c r="V1023">
        <f>IF(AND($L1023=1,AND(对接源_01水果!$X1023="自备筐",N(对接源_01水果!$V1023)&lt;&gt;0)),1,0)</f>
        <v>0</v>
      </c>
      <c r="W1023">
        <f>N(W1022)+$V1023</f>
        <v>11</v>
      </c>
      <c r="X1023">
        <f>IF(AND($L1023=1,AND(对接源_01水果!$X1023="自备筐",N(对接源_01水果!$T1023)&lt;&gt;0)),1,0)</f>
        <v>0</v>
      </c>
      <c r="Y1023">
        <f>N(Y1022)+$X1023</f>
        <v>0</v>
      </c>
      <c r="Z1023">
        <f>IF(AND($M1023=1,对接源_01水果!$D1023="原料入库"),1,0)</f>
        <v>0</v>
      </c>
      <c r="AA1023">
        <f>N(AA1022)+$Z1023</f>
        <v>24</v>
      </c>
      <c r="AB1023">
        <f>IF(AND($M1023=1,LEFT(对接源_01水果!$D1023,4)="原料出库"),1,0)</f>
        <v>0</v>
      </c>
      <c r="AC1023">
        <f>N(AC1022)+$AB1023</f>
        <v>0</v>
      </c>
      <c r="AD1023">
        <f>IF(AND($M1023=1,LEFT(对接源_01水果!$D1023,4)="成品出库"),1,0)</f>
        <v>0</v>
      </c>
      <c r="AE1023">
        <f>N(AE1022)+$AD1023</f>
        <v>0</v>
      </c>
      <c r="AF1023">
        <f>IF(AND($N1023=1,AND(LEFT(对接源_01水果!$D1023,4)="包装物料",N(对接源_01水果!$K1023)&lt;&gt;0)),1,0)</f>
        <v>0</v>
      </c>
      <c r="AG1023">
        <f>N(AG1022)+$AF1023</f>
        <v>0</v>
      </c>
      <c r="AH1023">
        <f>IF(AND($N1023=1,AND(对接源_01水果!$D1023="周转筐－销售出库",N(对接源_01水果!$K1023)&lt;&gt;0)),1,0)</f>
        <v>0</v>
      </c>
      <c r="AI1023">
        <f>N(AI1022)+$AH1023</f>
        <v>0</v>
      </c>
      <c r="AJ1023" s="7" t="n"/>
      <c r="AL1023">
        <f>IF(OR($AL$1="",对接源_01水果!$Y1023="",对接源_01水果!$Y1023&lt;&gt;$AL$1,对接源_01水果!$B1023="",N(对接源_01水果!$AJ1023)&lt;=0),0,IF(OR(N(对接源_01水果!$B1023)&lt;$AL$2,N(对接源_01水果!$B1023)&gt;$AL$3),0,1))</f>
        <v>0</v>
      </c>
      <c r="AM1023">
        <f>N(AM1022)+$AL1023</f>
        <v>2</v>
      </c>
      <c r="AN1023">
        <f>IF(对接源_01水果!$AC1023="","",对接源_01水果!$AC1023)</f>
      </c>
      <c r="AO1023">
        <f>IF(AN1023="",0,IF(MATCH(AN1023,$AN$4:$AN$1203,0)=ROW()-3,1,0))</f>
        <v>0</v>
      </c>
      <c r="AP1023">
        <f>N(AP1022)+$AO1023</f>
        <v>13</v>
      </c>
      <c r="AR1023">
        <f>IF(OR($AF1023=1,$AH1023=1),1,0)</f>
        <v>0</v>
      </c>
      <c r="AS1023">
        <f>N(AS1022)+$AR1023</f>
        <v>0</v>
      </c>
    </row>
    <row r="1024" ht="14.25" customHeight="1" s="127">
      <c r="A1024">
        <f>IF(对接源_01水果!$C1024="","",对接源_01水果!$C1024)</f>
      </c>
      <c r="B1024">
        <f>IF(A1024="",0,IF(MATCH(A1024,$A$4:$A$2403,0)=ROW()-3,1,0))</f>
        <v>0</v>
      </c>
      <c r="C1024">
        <f>N(C1023)+B1024</f>
        <v>22</v>
      </c>
      <c r="K1024">
        <f>IF(OR($K$1="",对接源_01水果!$C1024="",对接源_01水果!$C1024&lt;&gt;$K$1,对接源_01水果!$B1024=""),0,IF(OR(N(对接源_01水果!$B1024)&lt;$K$2,N(对接源_01水果!$B1024)&gt;$K$3),0,1))</f>
        <v>0</v>
      </c>
      <c r="L1024">
        <f>IF(OR($L$1="",对接源_01水果!$C1024="",对接源_01水果!$C1024&lt;&gt;$L$1,对接源_01水果!$B1024=""),0,IF(OR(N(对接源_01水果!$B1024)&lt;$L$2,N(对接源_01水果!$B1024)&gt;$L$3),0,1))</f>
        <v>0</v>
      </c>
      <c r="M1024">
        <f>IF(OR($M$1="",对接源_01水果!$C1024="",对接源_01水果!$C1024&lt;&gt;$M$1,对接源_01水果!$B1024=""),0,IF(OR(N(对接源_01水果!$B1024)&lt;$M$2,N(对接源_01水果!$B1024)&gt;$M$3),0,1))</f>
        <v>0</v>
      </c>
      <c r="N1024">
        <f>IF(OR($N$1="",对接源_01水果!$C1024="",对接源_01水果!$C1024&lt;&gt;$N$1,对接源_01水果!$B1024=""),0,IF(OR(N(对接源_01水果!$B1024)&lt;$N$2,N(对接源_01水果!$B1024)&gt;$N$3),0,1))</f>
        <v>0</v>
      </c>
      <c r="P1024">
        <f>IF(AND($K1024=1,AND(对接源_01水果!$X1024="公司筐",N(对接源_01水果!$T1024)&lt;&gt;0)),1,0)</f>
        <v>0</v>
      </c>
      <c r="Q1024">
        <f>N(Q1023)+$P1024</f>
        <v>0</v>
      </c>
      <c r="R1024">
        <f>IF(AND($K1024=1,AND(对接源_01水果!$X1024="公司筐",N(对接源_01水果!$U1024)&lt;&gt;0)),1,0)</f>
        <v>0</v>
      </c>
      <c r="S1024">
        <f>N(S1023)+$R1024</f>
        <v>0</v>
      </c>
      <c r="T1024">
        <f>IF(AND($K1024=1,AND(对接源_01水果!$X1024="公司筐",N(对接源_01水果!$V1024)&lt;&gt;0)),1,0)</f>
        <v>0</v>
      </c>
      <c r="U1024">
        <f>N(U1023)+$T1024</f>
        <v>47</v>
      </c>
      <c r="V1024">
        <f>IF(AND($L1024=1,AND(对接源_01水果!$X1024="自备筐",N(对接源_01水果!$V1024)&lt;&gt;0)),1,0)</f>
        <v>0</v>
      </c>
      <c r="W1024">
        <f>N(W1023)+$V1024</f>
        <v>11</v>
      </c>
      <c r="X1024">
        <f>IF(AND($L1024=1,AND(对接源_01水果!$X1024="自备筐",N(对接源_01水果!$T1024)&lt;&gt;0)),1,0)</f>
        <v>0</v>
      </c>
      <c r="Y1024">
        <f>N(Y1023)+$X1024</f>
        <v>0</v>
      </c>
      <c r="Z1024">
        <f>IF(AND($M1024=1,对接源_01水果!$D1024="原料入库"),1,0)</f>
        <v>0</v>
      </c>
      <c r="AA1024">
        <f>N(AA1023)+$Z1024</f>
        <v>24</v>
      </c>
      <c r="AB1024">
        <f>IF(AND($M1024=1,LEFT(对接源_01水果!$D1024,4)="原料出库"),1,0)</f>
        <v>0</v>
      </c>
      <c r="AC1024">
        <f>N(AC1023)+$AB1024</f>
        <v>0</v>
      </c>
      <c r="AD1024">
        <f>IF(AND($M1024=1,LEFT(对接源_01水果!$D1024,4)="成品出库"),1,0)</f>
        <v>0</v>
      </c>
      <c r="AE1024">
        <f>N(AE1023)+$AD1024</f>
        <v>0</v>
      </c>
      <c r="AF1024">
        <f>IF(AND($N1024=1,AND(LEFT(对接源_01水果!$D1024,4)="包装物料",N(对接源_01水果!$K1024)&lt;&gt;0)),1,0)</f>
        <v>0</v>
      </c>
      <c r="AG1024">
        <f>N(AG1023)+$AF1024</f>
        <v>0</v>
      </c>
      <c r="AH1024">
        <f>IF(AND($N1024=1,AND(对接源_01水果!$D1024="周转筐－销售出库",N(对接源_01水果!$K1024)&lt;&gt;0)),1,0)</f>
        <v>0</v>
      </c>
      <c r="AI1024">
        <f>N(AI1023)+$AH1024</f>
        <v>0</v>
      </c>
      <c r="AJ1024" s="7" t="n"/>
      <c r="AL1024">
        <f>IF(OR($AL$1="",对接源_01水果!$Y1024="",对接源_01水果!$Y1024&lt;&gt;$AL$1,对接源_01水果!$B1024="",N(对接源_01水果!$AJ1024)&lt;=0),0,IF(OR(N(对接源_01水果!$B1024)&lt;$AL$2,N(对接源_01水果!$B1024)&gt;$AL$3),0,1))</f>
        <v>0</v>
      </c>
      <c r="AM1024">
        <f>N(AM1023)+$AL1024</f>
        <v>2</v>
      </c>
      <c r="AN1024">
        <f>IF(对接源_01水果!$AC1024="","",对接源_01水果!$AC1024)</f>
      </c>
      <c r="AO1024">
        <f>IF(AN1024="",0,IF(MATCH(AN1024,$AN$4:$AN$1203,0)=ROW()-3,1,0))</f>
        <v>0</v>
      </c>
      <c r="AP1024">
        <f>N(AP1023)+$AO1024</f>
        <v>13</v>
      </c>
      <c r="AR1024">
        <f>IF(OR($AF1024=1,$AH1024=1),1,0)</f>
        <v>0</v>
      </c>
      <c r="AS1024">
        <f>N(AS1023)+$AR1024</f>
        <v>0</v>
      </c>
    </row>
    <row r="1025" ht="14.25" customHeight="1" s="127">
      <c r="A1025">
        <f>IF(对接源_01水果!$C1025="","",对接源_01水果!$C1025)</f>
      </c>
      <c r="B1025">
        <f>IF(A1025="",0,IF(MATCH(A1025,$A$4:$A$2403,0)=ROW()-3,1,0))</f>
        <v>0</v>
      </c>
      <c r="C1025">
        <f>N(C1024)+B1025</f>
        <v>22</v>
      </c>
      <c r="K1025">
        <f>IF(OR($K$1="",对接源_01水果!$C1025="",对接源_01水果!$C1025&lt;&gt;$K$1,对接源_01水果!$B1025=""),0,IF(OR(N(对接源_01水果!$B1025)&lt;$K$2,N(对接源_01水果!$B1025)&gt;$K$3),0,1))</f>
        <v>0</v>
      </c>
      <c r="L1025">
        <f>IF(OR($L$1="",对接源_01水果!$C1025="",对接源_01水果!$C1025&lt;&gt;$L$1,对接源_01水果!$B1025=""),0,IF(OR(N(对接源_01水果!$B1025)&lt;$L$2,N(对接源_01水果!$B1025)&gt;$L$3),0,1))</f>
        <v>0</v>
      </c>
      <c r="M1025">
        <f>IF(OR($M$1="",对接源_01水果!$C1025="",对接源_01水果!$C1025&lt;&gt;$M$1,对接源_01水果!$B1025=""),0,IF(OR(N(对接源_01水果!$B1025)&lt;$M$2,N(对接源_01水果!$B1025)&gt;$M$3),0,1))</f>
        <v>0</v>
      </c>
      <c r="N1025">
        <f>IF(OR($N$1="",对接源_01水果!$C1025="",对接源_01水果!$C1025&lt;&gt;$N$1,对接源_01水果!$B1025=""),0,IF(OR(N(对接源_01水果!$B1025)&lt;$N$2,N(对接源_01水果!$B1025)&gt;$N$3),0,1))</f>
        <v>0</v>
      </c>
      <c r="P1025">
        <f>IF(AND($K1025=1,AND(对接源_01水果!$X1025="公司筐",N(对接源_01水果!$T1025)&lt;&gt;0)),1,0)</f>
        <v>0</v>
      </c>
      <c r="Q1025">
        <f>N(Q1024)+$P1025</f>
        <v>0</v>
      </c>
      <c r="R1025">
        <f>IF(AND($K1025=1,AND(对接源_01水果!$X1025="公司筐",N(对接源_01水果!$U1025)&lt;&gt;0)),1,0)</f>
        <v>0</v>
      </c>
      <c r="S1025">
        <f>N(S1024)+$R1025</f>
        <v>0</v>
      </c>
      <c r="T1025">
        <f>IF(AND($K1025=1,AND(对接源_01水果!$X1025="公司筐",N(对接源_01水果!$V1025)&lt;&gt;0)),1,0)</f>
        <v>0</v>
      </c>
      <c r="U1025">
        <f>N(U1024)+$T1025</f>
        <v>47</v>
      </c>
      <c r="V1025">
        <f>IF(AND($L1025=1,AND(对接源_01水果!$X1025="自备筐",N(对接源_01水果!$V1025)&lt;&gt;0)),1,0)</f>
        <v>0</v>
      </c>
      <c r="W1025">
        <f>N(W1024)+$V1025</f>
        <v>11</v>
      </c>
      <c r="X1025">
        <f>IF(AND($L1025=1,AND(对接源_01水果!$X1025="自备筐",N(对接源_01水果!$T1025)&lt;&gt;0)),1,0)</f>
        <v>0</v>
      </c>
      <c r="Y1025">
        <f>N(Y1024)+$X1025</f>
        <v>0</v>
      </c>
      <c r="Z1025">
        <f>IF(AND($M1025=1,对接源_01水果!$D1025="原料入库"),1,0)</f>
        <v>0</v>
      </c>
      <c r="AA1025">
        <f>N(AA1024)+$Z1025</f>
        <v>24</v>
      </c>
      <c r="AB1025">
        <f>IF(AND($M1025=1,LEFT(对接源_01水果!$D1025,4)="原料出库"),1,0)</f>
        <v>0</v>
      </c>
      <c r="AC1025">
        <f>N(AC1024)+$AB1025</f>
        <v>0</v>
      </c>
      <c r="AD1025">
        <f>IF(AND($M1025=1,LEFT(对接源_01水果!$D1025,4)="成品出库"),1,0)</f>
        <v>0</v>
      </c>
      <c r="AE1025">
        <f>N(AE1024)+$AD1025</f>
        <v>0</v>
      </c>
      <c r="AF1025">
        <f>IF(AND($N1025=1,AND(LEFT(对接源_01水果!$D1025,4)="包装物料",N(对接源_01水果!$K1025)&lt;&gt;0)),1,0)</f>
        <v>0</v>
      </c>
      <c r="AG1025">
        <f>N(AG1024)+$AF1025</f>
        <v>0</v>
      </c>
      <c r="AH1025">
        <f>IF(AND($N1025=1,AND(对接源_01水果!$D1025="周转筐－销售出库",N(对接源_01水果!$K1025)&lt;&gt;0)),1,0)</f>
        <v>0</v>
      </c>
      <c r="AI1025">
        <f>N(AI1024)+$AH1025</f>
        <v>0</v>
      </c>
      <c r="AJ1025" s="7" t="n"/>
      <c r="AL1025">
        <f>IF(OR($AL$1="",对接源_01水果!$Y1025="",对接源_01水果!$Y1025&lt;&gt;$AL$1,对接源_01水果!$B1025="",N(对接源_01水果!$AJ1025)&lt;=0),0,IF(OR(N(对接源_01水果!$B1025)&lt;$AL$2,N(对接源_01水果!$B1025)&gt;$AL$3),0,1))</f>
        <v>0</v>
      </c>
      <c r="AM1025">
        <f>N(AM1024)+$AL1025</f>
        <v>2</v>
      </c>
      <c r="AN1025">
        <f>IF(对接源_01水果!$AC1025="","",对接源_01水果!$AC1025)</f>
      </c>
      <c r="AO1025">
        <f>IF(AN1025="",0,IF(MATCH(AN1025,$AN$4:$AN$1203,0)=ROW()-3,1,0))</f>
        <v>0</v>
      </c>
      <c r="AP1025">
        <f>N(AP1024)+$AO1025</f>
        <v>13</v>
      </c>
      <c r="AR1025">
        <f>IF(OR($AF1025=1,$AH1025=1),1,0)</f>
        <v>0</v>
      </c>
      <c r="AS1025">
        <f>N(AS1024)+$AR1025</f>
        <v>0</v>
      </c>
    </row>
    <row r="1026" ht="14.25" customHeight="1" s="127">
      <c r="A1026">
        <f>IF(对接源_01水果!$C1026="","",对接源_01水果!$C1026)</f>
      </c>
      <c r="B1026">
        <f>IF(A1026="",0,IF(MATCH(A1026,$A$4:$A$2403,0)=ROW()-3,1,0))</f>
        <v>0</v>
      </c>
      <c r="C1026">
        <f>N(C1025)+B1026</f>
        <v>22</v>
      </c>
      <c r="K1026">
        <f>IF(OR($K$1="",对接源_01水果!$C1026="",对接源_01水果!$C1026&lt;&gt;$K$1,对接源_01水果!$B1026=""),0,IF(OR(N(对接源_01水果!$B1026)&lt;$K$2,N(对接源_01水果!$B1026)&gt;$K$3),0,1))</f>
        <v>0</v>
      </c>
      <c r="L1026">
        <f>IF(OR($L$1="",对接源_01水果!$C1026="",对接源_01水果!$C1026&lt;&gt;$L$1,对接源_01水果!$B1026=""),0,IF(OR(N(对接源_01水果!$B1026)&lt;$L$2,N(对接源_01水果!$B1026)&gt;$L$3),0,1))</f>
        <v>0</v>
      </c>
      <c r="M1026">
        <f>IF(OR($M$1="",对接源_01水果!$C1026="",对接源_01水果!$C1026&lt;&gt;$M$1,对接源_01水果!$B1026=""),0,IF(OR(N(对接源_01水果!$B1026)&lt;$M$2,N(对接源_01水果!$B1026)&gt;$M$3),0,1))</f>
        <v>0</v>
      </c>
      <c r="N1026">
        <f>IF(OR($N$1="",对接源_01水果!$C1026="",对接源_01水果!$C1026&lt;&gt;$N$1,对接源_01水果!$B1026=""),0,IF(OR(N(对接源_01水果!$B1026)&lt;$N$2,N(对接源_01水果!$B1026)&gt;$N$3),0,1))</f>
        <v>0</v>
      </c>
      <c r="P1026">
        <f>IF(AND($K1026=1,AND(对接源_01水果!$X1026="公司筐",N(对接源_01水果!$T1026)&lt;&gt;0)),1,0)</f>
        <v>0</v>
      </c>
      <c r="Q1026">
        <f>N(Q1025)+$P1026</f>
        <v>0</v>
      </c>
      <c r="R1026">
        <f>IF(AND($K1026=1,AND(对接源_01水果!$X1026="公司筐",N(对接源_01水果!$U1026)&lt;&gt;0)),1,0)</f>
        <v>0</v>
      </c>
      <c r="S1026">
        <f>N(S1025)+$R1026</f>
        <v>0</v>
      </c>
      <c r="T1026">
        <f>IF(AND($K1026=1,AND(对接源_01水果!$X1026="公司筐",N(对接源_01水果!$V1026)&lt;&gt;0)),1,0)</f>
        <v>0</v>
      </c>
      <c r="U1026">
        <f>N(U1025)+$T1026</f>
        <v>47</v>
      </c>
      <c r="V1026">
        <f>IF(AND($L1026=1,AND(对接源_01水果!$X1026="自备筐",N(对接源_01水果!$V1026)&lt;&gt;0)),1,0)</f>
        <v>0</v>
      </c>
      <c r="W1026">
        <f>N(W1025)+$V1026</f>
        <v>11</v>
      </c>
      <c r="X1026">
        <f>IF(AND($L1026=1,AND(对接源_01水果!$X1026="自备筐",N(对接源_01水果!$T1026)&lt;&gt;0)),1,0)</f>
        <v>0</v>
      </c>
      <c r="Y1026">
        <f>N(Y1025)+$X1026</f>
        <v>0</v>
      </c>
      <c r="Z1026">
        <f>IF(AND($M1026=1,对接源_01水果!$D1026="原料入库"),1,0)</f>
        <v>0</v>
      </c>
      <c r="AA1026">
        <f>N(AA1025)+$Z1026</f>
        <v>24</v>
      </c>
      <c r="AB1026">
        <f>IF(AND($M1026=1,LEFT(对接源_01水果!$D1026,4)="原料出库"),1,0)</f>
        <v>0</v>
      </c>
      <c r="AC1026">
        <f>N(AC1025)+$AB1026</f>
        <v>0</v>
      </c>
      <c r="AD1026">
        <f>IF(AND($M1026=1,LEFT(对接源_01水果!$D1026,4)="成品出库"),1,0)</f>
        <v>0</v>
      </c>
      <c r="AE1026">
        <f>N(AE1025)+$AD1026</f>
        <v>0</v>
      </c>
      <c r="AF1026">
        <f>IF(AND($N1026=1,AND(LEFT(对接源_01水果!$D1026,4)="包装物料",N(对接源_01水果!$K1026)&lt;&gt;0)),1,0)</f>
        <v>0</v>
      </c>
      <c r="AG1026">
        <f>N(AG1025)+$AF1026</f>
        <v>0</v>
      </c>
      <c r="AH1026">
        <f>IF(AND($N1026=1,AND(对接源_01水果!$D1026="周转筐－销售出库",N(对接源_01水果!$K1026)&lt;&gt;0)),1,0)</f>
        <v>0</v>
      </c>
      <c r="AI1026">
        <f>N(AI1025)+$AH1026</f>
        <v>0</v>
      </c>
      <c r="AJ1026" s="7" t="n"/>
      <c r="AL1026">
        <f>IF(OR($AL$1="",对接源_01水果!$Y1026="",对接源_01水果!$Y1026&lt;&gt;$AL$1,对接源_01水果!$B1026="",N(对接源_01水果!$AJ1026)&lt;=0),0,IF(OR(N(对接源_01水果!$B1026)&lt;$AL$2,N(对接源_01水果!$B1026)&gt;$AL$3),0,1))</f>
        <v>0</v>
      </c>
      <c r="AM1026">
        <f>N(AM1025)+$AL1026</f>
        <v>2</v>
      </c>
      <c r="AN1026">
        <f>IF(对接源_01水果!$AC1026="","",对接源_01水果!$AC1026)</f>
      </c>
      <c r="AO1026">
        <f>IF(AN1026="",0,IF(MATCH(AN1026,$AN$4:$AN$1203,0)=ROW()-3,1,0))</f>
        <v>0</v>
      </c>
      <c r="AP1026">
        <f>N(AP1025)+$AO1026</f>
        <v>13</v>
      </c>
      <c r="AR1026">
        <f>IF(OR($AF1026=1,$AH1026=1),1,0)</f>
        <v>0</v>
      </c>
      <c r="AS1026">
        <f>N(AS1025)+$AR1026</f>
        <v>0</v>
      </c>
    </row>
    <row r="1027" ht="14.25" customHeight="1" s="127">
      <c r="A1027">
        <f>IF(对接源_01水果!$C1027="","",对接源_01水果!$C1027)</f>
      </c>
      <c r="B1027">
        <f>IF(A1027="",0,IF(MATCH(A1027,$A$4:$A$2403,0)=ROW()-3,1,0))</f>
        <v>0</v>
      </c>
      <c r="C1027">
        <f>N(C1026)+B1027</f>
        <v>22</v>
      </c>
      <c r="K1027">
        <f>IF(OR($K$1="",对接源_01水果!$C1027="",对接源_01水果!$C1027&lt;&gt;$K$1,对接源_01水果!$B1027=""),0,IF(OR(N(对接源_01水果!$B1027)&lt;$K$2,N(对接源_01水果!$B1027)&gt;$K$3),0,1))</f>
        <v>0</v>
      </c>
      <c r="L1027">
        <f>IF(OR($L$1="",对接源_01水果!$C1027="",对接源_01水果!$C1027&lt;&gt;$L$1,对接源_01水果!$B1027=""),0,IF(OR(N(对接源_01水果!$B1027)&lt;$L$2,N(对接源_01水果!$B1027)&gt;$L$3),0,1))</f>
        <v>0</v>
      </c>
      <c r="M1027">
        <f>IF(OR($M$1="",对接源_01水果!$C1027="",对接源_01水果!$C1027&lt;&gt;$M$1,对接源_01水果!$B1027=""),0,IF(OR(N(对接源_01水果!$B1027)&lt;$M$2,N(对接源_01水果!$B1027)&gt;$M$3),0,1))</f>
        <v>0</v>
      </c>
      <c r="N1027">
        <f>IF(OR($N$1="",对接源_01水果!$C1027="",对接源_01水果!$C1027&lt;&gt;$N$1,对接源_01水果!$B1027=""),0,IF(OR(N(对接源_01水果!$B1027)&lt;$N$2,N(对接源_01水果!$B1027)&gt;$N$3),0,1))</f>
        <v>0</v>
      </c>
      <c r="P1027">
        <f>IF(AND($K1027=1,AND(对接源_01水果!$X1027="公司筐",N(对接源_01水果!$T1027)&lt;&gt;0)),1,0)</f>
        <v>0</v>
      </c>
      <c r="Q1027">
        <f>N(Q1026)+$P1027</f>
        <v>0</v>
      </c>
      <c r="R1027">
        <f>IF(AND($K1027=1,AND(对接源_01水果!$X1027="公司筐",N(对接源_01水果!$U1027)&lt;&gt;0)),1,0)</f>
        <v>0</v>
      </c>
      <c r="S1027">
        <f>N(S1026)+$R1027</f>
        <v>0</v>
      </c>
      <c r="T1027">
        <f>IF(AND($K1027=1,AND(对接源_01水果!$X1027="公司筐",N(对接源_01水果!$V1027)&lt;&gt;0)),1,0)</f>
        <v>0</v>
      </c>
      <c r="U1027">
        <f>N(U1026)+$T1027</f>
        <v>47</v>
      </c>
      <c r="V1027">
        <f>IF(AND($L1027=1,AND(对接源_01水果!$X1027="自备筐",N(对接源_01水果!$V1027)&lt;&gt;0)),1,0)</f>
        <v>0</v>
      </c>
      <c r="W1027">
        <f>N(W1026)+$V1027</f>
        <v>11</v>
      </c>
      <c r="X1027">
        <f>IF(AND($L1027=1,AND(对接源_01水果!$X1027="自备筐",N(对接源_01水果!$T1027)&lt;&gt;0)),1,0)</f>
        <v>0</v>
      </c>
      <c r="Y1027">
        <f>N(Y1026)+$X1027</f>
        <v>0</v>
      </c>
      <c r="Z1027">
        <f>IF(AND($M1027=1,对接源_01水果!$D1027="原料入库"),1,0)</f>
        <v>0</v>
      </c>
      <c r="AA1027">
        <f>N(AA1026)+$Z1027</f>
        <v>24</v>
      </c>
      <c r="AB1027">
        <f>IF(AND($M1027=1,LEFT(对接源_01水果!$D1027,4)="原料出库"),1,0)</f>
        <v>0</v>
      </c>
      <c r="AC1027">
        <f>N(AC1026)+$AB1027</f>
        <v>0</v>
      </c>
      <c r="AD1027">
        <f>IF(AND($M1027=1,LEFT(对接源_01水果!$D1027,4)="成品出库"),1,0)</f>
        <v>0</v>
      </c>
      <c r="AE1027">
        <f>N(AE1026)+$AD1027</f>
        <v>0</v>
      </c>
      <c r="AF1027">
        <f>IF(AND($N1027=1,AND(LEFT(对接源_01水果!$D1027,4)="包装物料",N(对接源_01水果!$K1027)&lt;&gt;0)),1,0)</f>
        <v>0</v>
      </c>
      <c r="AG1027">
        <f>N(AG1026)+$AF1027</f>
        <v>0</v>
      </c>
      <c r="AH1027">
        <f>IF(AND($N1027=1,AND(对接源_01水果!$D1027="周转筐－销售出库",N(对接源_01水果!$K1027)&lt;&gt;0)),1,0)</f>
        <v>0</v>
      </c>
      <c r="AI1027">
        <f>N(AI1026)+$AH1027</f>
        <v>0</v>
      </c>
      <c r="AJ1027" s="7" t="n"/>
      <c r="AL1027">
        <f>IF(OR($AL$1="",对接源_01水果!$Y1027="",对接源_01水果!$Y1027&lt;&gt;$AL$1,对接源_01水果!$B1027="",N(对接源_01水果!$AJ1027)&lt;=0),0,IF(OR(N(对接源_01水果!$B1027)&lt;$AL$2,N(对接源_01水果!$B1027)&gt;$AL$3),0,1))</f>
        <v>0</v>
      </c>
      <c r="AM1027">
        <f>N(AM1026)+$AL1027</f>
        <v>2</v>
      </c>
      <c r="AN1027">
        <f>IF(对接源_01水果!$AC1027="","",对接源_01水果!$AC1027)</f>
      </c>
      <c r="AO1027">
        <f>IF(AN1027="",0,IF(MATCH(AN1027,$AN$4:$AN$1203,0)=ROW()-3,1,0))</f>
        <v>0</v>
      </c>
      <c r="AP1027">
        <f>N(AP1026)+$AO1027</f>
        <v>13</v>
      </c>
      <c r="AR1027">
        <f>IF(OR($AF1027=1,$AH1027=1),1,0)</f>
        <v>0</v>
      </c>
      <c r="AS1027">
        <f>N(AS1026)+$AR1027</f>
        <v>0</v>
      </c>
    </row>
    <row r="1028" ht="14.25" customHeight="1" s="127">
      <c r="A1028">
        <f>IF(对接源_01水果!$C1028="","",对接源_01水果!$C1028)</f>
      </c>
      <c r="B1028">
        <f>IF(A1028="",0,IF(MATCH(A1028,$A$4:$A$2403,0)=ROW()-3,1,0))</f>
        <v>0</v>
      </c>
      <c r="C1028">
        <f>N(C1027)+B1028</f>
        <v>22</v>
      </c>
      <c r="K1028">
        <f>IF(OR($K$1="",对接源_01水果!$C1028="",对接源_01水果!$C1028&lt;&gt;$K$1,对接源_01水果!$B1028=""),0,IF(OR(N(对接源_01水果!$B1028)&lt;$K$2,N(对接源_01水果!$B1028)&gt;$K$3),0,1))</f>
        <v>0</v>
      </c>
      <c r="L1028">
        <f>IF(OR($L$1="",对接源_01水果!$C1028="",对接源_01水果!$C1028&lt;&gt;$L$1,对接源_01水果!$B1028=""),0,IF(OR(N(对接源_01水果!$B1028)&lt;$L$2,N(对接源_01水果!$B1028)&gt;$L$3),0,1))</f>
        <v>0</v>
      </c>
      <c r="M1028">
        <f>IF(OR($M$1="",对接源_01水果!$C1028="",对接源_01水果!$C1028&lt;&gt;$M$1,对接源_01水果!$B1028=""),0,IF(OR(N(对接源_01水果!$B1028)&lt;$M$2,N(对接源_01水果!$B1028)&gt;$M$3),0,1))</f>
        <v>0</v>
      </c>
      <c r="N1028">
        <f>IF(OR($N$1="",对接源_01水果!$C1028="",对接源_01水果!$C1028&lt;&gt;$N$1,对接源_01水果!$B1028=""),0,IF(OR(N(对接源_01水果!$B1028)&lt;$N$2,N(对接源_01水果!$B1028)&gt;$N$3),0,1))</f>
        <v>0</v>
      </c>
      <c r="P1028">
        <f>IF(AND($K1028=1,AND(对接源_01水果!$X1028="公司筐",N(对接源_01水果!$T1028)&lt;&gt;0)),1,0)</f>
        <v>0</v>
      </c>
      <c r="Q1028">
        <f>N(Q1027)+$P1028</f>
        <v>0</v>
      </c>
      <c r="R1028">
        <f>IF(AND($K1028=1,AND(对接源_01水果!$X1028="公司筐",N(对接源_01水果!$U1028)&lt;&gt;0)),1,0)</f>
        <v>0</v>
      </c>
      <c r="S1028">
        <f>N(S1027)+$R1028</f>
        <v>0</v>
      </c>
      <c r="T1028">
        <f>IF(AND($K1028=1,AND(对接源_01水果!$X1028="公司筐",N(对接源_01水果!$V1028)&lt;&gt;0)),1,0)</f>
        <v>0</v>
      </c>
      <c r="U1028">
        <f>N(U1027)+$T1028</f>
        <v>47</v>
      </c>
      <c r="V1028">
        <f>IF(AND($L1028=1,AND(对接源_01水果!$X1028="自备筐",N(对接源_01水果!$V1028)&lt;&gt;0)),1,0)</f>
        <v>0</v>
      </c>
      <c r="W1028">
        <f>N(W1027)+$V1028</f>
        <v>11</v>
      </c>
      <c r="X1028">
        <f>IF(AND($L1028=1,AND(对接源_01水果!$X1028="自备筐",N(对接源_01水果!$T1028)&lt;&gt;0)),1,0)</f>
        <v>0</v>
      </c>
      <c r="Y1028">
        <f>N(Y1027)+$X1028</f>
        <v>0</v>
      </c>
      <c r="Z1028">
        <f>IF(AND($M1028=1,对接源_01水果!$D1028="原料入库"),1,0)</f>
        <v>0</v>
      </c>
      <c r="AA1028">
        <f>N(AA1027)+$Z1028</f>
        <v>24</v>
      </c>
      <c r="AB1028">
        <f>IF(AND($M1028=1,LEFT(对接源_01水果!$D1028,4)="原料出库"),1,0)</f>
        <v>0</v>
      </c>
      <c r="AC1028">
        <f>N(AC1027)+$AB1028</f>
        <v>0</v>
      </c>
      <c r="AD1028">
        <f>IF(AND($M1028=1,LEFT(对接源_01水果!$D1028,4)="成品出库"),1,0)</f>
        <v>0</v>
      </c>
      <c r="AE1028">
        <f>N(AE1027)+$AD1028</f>
        <v>0</v>
      </c>
      <c r="AF1028">
        <f>IF(AND($N1028=1,AND(LEFT(对接源_01水果!$D1028,4)="包装物料",N(对接源_01水果!$K1028)&lt;&gt;0)),1,0)</f>
        <v>0</v>
      </c>
      <c r="AG1028">
        <f>N(AG1027)+$AF1028</f>
        <v>0</v>
      </c>
      <c r="AH1028">
        <f>IF(AND($N1028=1,AND(对接源_01水果!$D1028="周转筐－销售出库",N(对接源_01水果!$K1028)&lt;&gt;0)),1,0)</f>
        <v>0</v>
      </c>
      <c r="AI1028">
        <f>N(AI1027)+$AH1028</f>
        <v>0</v>
      </c>
      <c r="AJ1028" s="7" t="n"/>
      <c r="AL1028">
        <f>IF(OR($AL$1="",对接源_01水果!$Y1028="",对接源_01水果!$Y1028&lt;&gt;$AL$1,对接源_01水果!$B1028="",N(对接源_01水果!$AJ1028)&lt;=0),0,IF(OR(N(对接源_01水果!$B1028)&lt;$AL$2,N(对接源_01水果!$B1028)&gt;$AL$3),0,1))</f>
        <v>0</v>
      </c>
      <c r="AM1028">
        <f>N(AM1027)+$AL1028</f>
        <v>2</v>
      </c>
      <c r="AN1028">
        <f>IF(对接源_01水果!$AC1028="","",对接源_01水果!$AC1028)</f>
      </c>
      <c r="AO1028">
        <f>IF(AN1028="",0,IF(MATCH(AN1028,$AN$4:$AN$1203,0)=ROW()-3,1,0))</f>
        <v>0</v>
      </c>
      <c r="AP1028">
        <f>N(AP1027)+$AO1028</f>
        <v>13</v>
      </c>
      <c r="AR1028">
        <f>IF(OR($AF1028=1,$AH1028=1),1,0)</f>
        <v>0</v>
      </c>
      <c r="AS1028">
        <f>N(AS1027)+$AR1028</f>
        <v>0</v>
      </c>
    </row>
    <row r="1029" ht="14.25" customHeight="1" s="127">
      <c r="A1029">
        <f>IF(对接源_01水果!$C1029="","",对接源_01水果!$C1029)</f>
      </c>
      <c r="B1029">
        <f>IF(A1029="",0,IF(MATCH(A1029,$A$4:$A$2403,0)=ROW()-3,1,0))</f>
        <v>0</v>
      </c>
      <c r="C1029">
        <f>N(C1028)+B1029</f>
        <v>22</v>
      </c>
      <c r="K1029">
        <f>IF(OR($K$1="",对接源_01水果!$C1029="",对接源_01水果!$C1029&lt;&gt;$K$1,对接源_01水果!$B1029=""),0,IF(OR(N(对接源_01水果!$B1029)&lt;$K$2,N(对接源_01水果!$B1029)&gt;$K$3),0,1))</f>
        <v>0</v>
      </c>
      <c r="L1029">
        <f>IF(OR($L$1="",对接源_01水果!$C1029="",对接源_01水果!$C1029&lt;&gt;$L$1,对接源_01水果!$B1029=""),0,IF(OR(N(对接源_01水果!$B1029)&lt;$L$2,N(对接源_01水果!$B1029)&gt;$L$3),0,1))</f>
        <v>0</v>
      </c>
      <c r="M1029">
        <f>IF(OR($M$1="",对接源_01水果!$C1029="",对接源_01水果!$C1029&lt;&gt;$M$1,对接源_01水果!$B1029=""),0,IF(OR(N(对接源_01水果!$B1029)&lt;$M$2,N(对接源_01水果!$B1029)&gt;$M$3),0,1))</f>
        <v>0</v>
      </c>
      <c r="N1029">
        <f>IF(OR($N$1="",对接源_01水果!$C1029="",对接源_01水果!$C1029&lt;&gt;$N$1,对接源_01水果!$B1029=""),0,IF(OR(N(对接源_01水果!$B1029)&lt;$N$2,N(对接源_01水果!$B1029)&gt;$N$3),0,1))</f>
        <v>0</v>
      </c>
      <c r="P1029">
        <f>IF(AND($K1029=1,AND(对接源_01水果!$X1029="公司筐",N(对接源_01水果!$T1029)&lt;&gt;0)),1,0)</f>
        <v>0</v>
      </c>
      <c r="Q1029">
        <f>N(Q1028)+$P1029</f>
        <v>0</v>
      </c>
      <c r="R1029">
        <f>IF(AND($K1029=1,AND(对接源_01水果!$X1029="公司筐",N(对接源_01水果!$U1029)&lt;&gt;0)),1,0)</f>
        <v>0</v>
      </c>
      <c r="S1029">
        <f>N(S1028)+$R1029</f>
        <v>0</v>
      </c>
      <c r="T1029">
        <f>IF(AND($K1029=1,AND(对接源_01水果!$X1029="公司筐",N(对接源_01水果!$V1029)&lt;&gt;0)),1,0)</f>
        <v>0</v>
      </c>
      <c r="U1029">
        <f>N(U1028)+$T1029</f>
        <v>47</v>
      </c>
      <c r="V1029">
        <f>IF(AND($L1029=1,AND(对接源_01水果!$X1029="自备筐",N(对接源_01水果!$V1029)&lt;&gt;0)),1,0)</f>
        <v>0</v>
      </c>
      <c r="W1029">
        <f>N(W1028)+$V1029</f>
        <v>11</v>
      </c>
      <c r="X1029">
        <f>IF(AND($L1029=1,AND(对接源_01水果!$X1029="自备筐",N(对接源_01水果!$T1029)&lt;&gt;0)),1,0)</f>
        <v>0</v>
      </c>
      <c r="Y1029">
        <f>N(Y1028)+$X1029</f>
        <v>0</v>
      </c>
      <c r="Z1029">
        <f>IF(AND($M1029=1,对接源_01水果!$D1029="原料入库"),1,0)</f>
        <v>0</v>
      </c>
      <c r="AA1029">
        <f>N(AA1028)+$Z1029</f>
        <v>24</v>
      </c>
      <c r="AB1029">
        <f>IF(AND($M1029=1,LEFT(对接源_01水果!$D1029,4)="原料出库"),1,0)</f>
        <v>0</v>
      </c>
      <c r="AC1029">
        <f>N(AC1028)+$AB1029</f>
        <v>0</v>
      </c>
      <c r="AD1029">
        <f>IF(AND($M1029=1,LEFT(对接源_01水果!$D1029,4)="成品出库"),1,0)</f>
        <v>0</v>
      </c>
      <c r="AE1029">
        <f>N(AE1028)+$AD1029</f>
        <v>0</v>
      </c>
      <c r="AF1029">
        <f>IF(AND($N1029=1,AND(LEFT(对接源_01水果!$D1029,4)="包装物料",N(对接源_01水果!$K1029)&lt;&gt;0)),1,0)</f>
        <v>0</v>
      </c>
      <c r="AG1029">
        <f>N(AG1028)+$AF1029</f>
        <v>0</v>
      </c>
      <c r="AH1029">
        <f>IF(AND($N1029=1,AND(对接源_01水果!$D1029="周转筐－销售出库",N(对接源_01水果!$K1029)&lt;&gt;0)),1,0)</f>
        <v>0</v>
      </c>
      <c r="AI1029">
        <f>N(AI1028)+$AH1029</f>
        <v>0</v>
      </c>
      <c r="AJ1029" s="7" t="n"/>
      <c r="AL1029">
        <f>IF(OR($AL$1="",对接源_01水果!$Y1029="",对接源_01水果!$Y1029&lt;&gt;$AL$1,对接源_01水果!$B1029="",N(对接源_01水果!$AJ1029)&lt;=0),0,IF(OR(N(对接源_01水果!$B1029)&lt;$AL$2,N(对接源_01水果!$B1029)&gt;$AL$3),0,1))</f>
        <v>0</v>
      </c>
      <c r="AM1029">
        <f>N(AM1028)+$AL1029</f>
        <v>2</v>
      </c>
      <c r="AN1029">
        <f>IF(对接源_01水果!$AC1029="","",对接源_01水果!$AC1029)</f>
      </c>
      <c r="AO1029">
        <f>IF(AN1029="",0,IF(MATCH(AN1029,$AN$4:$AN$1203,0)=ROW()-3,1,0))</f>
        <v>0</v>
      </c>
      <c r="AP1029">
        <f>N(AP1028)+$AO1029</f>
        <v>13</v>
      </c>
      <c r="AR1029">
        <f>IF(OR($AF1029=1,$AH1029=1),1,0)</f>
        <v>0</v>
      </c>
      <c r="AS1029">
        <f>N(AS1028)+$AR1029</f>
        <v>0</v>
      </c>
    </row>
    <row r="1030" ht="14.25" customHeight="1" s="127">
      <c r="A1030">
        <f>IF(对接源_01水果!$C1030="","",对接源_01水果!$C1030)</f>
      </c>
      <c r="B1030">
        <f>IF(A1030="",0,IF(MATCH(A1030,$A$4:$A$2403,0)=ROW()-3,1,0))</f>
        <v>0</v>
      </c>
      <c r="C1030">
        <f>N(C1029)+B1030</f>
        <v>22</v>
      </c>
      <c r="K1030">
        <f>IF(OR($K$1="",对接源_01水果!$C1030="",对接源_01水果!$C1030&lt;&gt;$K$1,对接源_01水果!$B1030=""),0,IF(OR(N(对接源_01水果!$B1030)&lt;$K$2,N(对接源_01水果!$B1030)&gt;$K$3),0,1))</f>
        <v>0</v>
      </c>
      <c r="L1030">
        <f>IF(OR($L$1="",对接源_01水果!$C1030="",对接源_01水果!$C1030&lt;&gt;$L$1,对接源_01水果!$B1030=""),0,IF(OR(N(对接源_01水果!$B1030)&lt;$L$2,N(对接源_01水果!$B1030)&gt;$L$3),0,1))</f>
        <v>0</v>
      </c>
      <c r="M1030">
        <f>IF(OR($M$1="",对接源_01水果!$C1030="",对接源_01水果!$C1030&lt;&gt;$M$1,对接源_01水果!$B1030=""),0,IF(OR(N(对接源_01水果!$B1030)&lt;$M$2,N(对接源_01水果!$B1030)&gt;$M$3),0,1))</f>
        <v>0</v>
      </c>
      <c r="N1030">
        <f>IF(OR($N$1="",对接源_01水果!$C1030="",对接源_01水果!$C1030&lt;&gt;$N$1,对接源_01水果!$B1030=""),0,IF(OR(N(对接源_01水果!$B1030)&lt;$N$2,N(对接源_01水果!$B1030)&gt;$N$3),0,1))</f>
        <v>0</v>
      </c>
      <c r="P1030">
        <f>IF(AND($K1030=1,AND(对接源_01水果!$X1030="公司筐",N(对接源_01水果!$T1030)&lt;&gt;0)),1,0)</f>
        <v>0</v>
      </c>
      <c r="Q1030">
        <f>N(Q1029)+$P1030</f>
        <v>0</v>
      </c>
      <c r="R1030">
        <f>IF(AND($K1030=1,AND(对接源_01水果!$X1030="公司筐",N(对接源_01水果!$U1030)&lt;&gt;0)),1,0)</f>
        <v>0</v>
      </c>
      <c r="S1030">
        <f>N(S1029)+$R1030</f>
        <v>0</v>
      </c>
      <c r="T1030">
        <f>IF(AND($K1030=1,AND(对接源_01水果!$X1030="公司筐",N(对接源_01水果!$V1030)&lt;&gt;0)),1,0)</f>
        <v>0</v>
      </c>
      <c r="U1030">
        <f>N(U1029)+$T1030</f>
        <v>47</v>
      </c>
      <c r="V1030">
        <f>IF(AND($L1030=1,AND(对接源_01水果!$X1030="自备筐",N(对接源_01水果!$V1030)&lt;&gt;0)),1,0)</f>
        <v>0</v>
      </c>
      <c r="W1030">
        <f>N(W1029)+$V1030</f>
        <v>11</v>
      </c>
      <c r="X1030">
        <f>IF(AND($L1030=1,AND(对接源_01水果!$X1030="自备筐",N(对接源_01水果!$T1030)&lt;&gt;0)),1,0)</f>
        <v>0</v>
      </c>
      <c r="Y1030">
        <f>N(Y1029)+$X1030</f>
        <v>0</v>
      </c>
      <c r="Z1030">
        <f>IF(AND($M1030=1,对接源_01水果!$D1030="原料入库"),1,0)</f>
        <v>0</v>
      </c>
      <c r="AA1030">
        <f>N(AA1029)+$Z1030</f>
        <v>24</v>
      </c>
      <c r="AB1030">
        <f>IF(AND($M1030=1,LEFT(对接源_01水果!$D1030,4)="原料出库"),1,0)</f>
        <v>0</v>
      </c>
      <c r="AC1030">
        <f>N(AC1029)+$AB1030</f>
        <v>0</v>
      </c>
      <c r="AD1030">
        <f>IF(AND($M1030=1,LEFT(对接源_01水果!$D1030,4)="成品出库"),1,0)</f>
        <v>0</v>
      </c>
      <c r="AE1030">
        <f>N(AE1029)+$AD1030</f>
        <v>0</v>
      </c>
      <c r="AF1030">
        <f>IF(AND($N1030=1,AND(LEFT(对接源_01水果!$D1030,4)="包装物料",N(对接源_01水果!$K1030)&lt;&gt;0)),1,0)</f>
        <v>0</v>
      </c>
      <c r="AG1030">
        <f>N(AG1029)+$AF1030</f>
        <v>0</v>
      </c>
      <c r="AH1030">
        <f>IF(AND($N1030=1,AND(对接源_01水果!$D1030="周转筐－销售出库",N(对接源_01水果!$K1030)&lt;&gt;0)),1,0)</f>
        <v>0</v>
      </c>
      <c r="AI1030">
        <f>N(AI1029)+$AH1030</f>
        <v>0</v>
      </c>
      <c r="AJ1030" s="7" t="n"/>
      <c r="AL1030">
        <f>IF(OR($AL$1="",对接源_01水果!$Y1030="",对接源_01水果!$Y1030&lt;&gt;$AL$1,对接源_01水果!$B1030="",N(对接源_01水果!$AJ1030)&lt;=0),0,IF(OR(N(对接源_01水果!$B1030)&lt;$AL$2,N(对接源_01水果!$B1030)&gt;$AL$3),0,1))</f>
        <v>0</v>
      </c>
      <c r="AM1030">
        <f>N(AM1029)+$AL1030</f>
        <v>2</v>
      </c>
      <c r="AN1030">
        <f>IF(对接源_01水果!$AC1030="","",对接源_01水果!$AC1030)</f>
      </c>
      <c r="AO1030">
        <f>IF(AN1030="",0,IF(MATCH(AN1030,$AN$4:$AN$1203,0)=ROW()-3,1,0))</f>
        <v>0</v>
      </c>
      <c r="AP1030">
        <f>N(AP1029)+$AO1030</f>
        <v>13</v>
      </c>
      <c r="AR1030">
        <f>IF(OR($AF1030=1,$AH1030=1),1,0)</f>
        <v>0</v>
      </c>
      <c r="AS1030">
        <f>N(AS1029)+$AR1030</f>
        <v>0</v>
      </c>
    </row>
    <row r="1031" ht="14.25" customHeight="1" s="127">
      <c r="A1031">
        <f>IF(对接源_01水果!$C1031="","",对接源_01水果!$C1031)</f>
      </c>
      <c r="B1031">
        <f>IF(A1031="",0,IF(MATCH(A1031,$A$4:$A$2403,0)=ROW()-3,1,0))</f>
        <v>0</v>
      </c>
      <c r="C1031">
        <f>N(C1030)+B1031</f>
        <v>22</v>
      </c>
      <c r="K1031">
        <f>IF(OR($K$1="",对接源_01水果!$C1031="",对接源_01水果!$C1031&lt;&gt;$K$1,对接源_01水果!$B1031=""),0,IF(OR(N(对接源_01水果!$B1031)&lt;$K$2,N(对接源_01水果!$B1031)&gt;$K$3),0,1))</f>
        <v>0</v>
      </c>
      <c r="L1031">
        <f>IF(OR($L$1="",对接源_01水果!$C1031="",对接源_01水果!$C1031&lt;&gt;$L$1,对接源_01水果!$B1031=""),0,IF(OR(N(对接源_01水果!$B1031)&lt;$L$2,N(对接源_01水果!$B1031)&gt;$L$3),0,1))</f>
        <v>0</v>
      </c>
      <c r="M1031">
        <f>IF(OR($M$1="",对接源_01水果!$C1031="",对接源_01水果!$C1031&lt;&gt;$M$1,对接源_01水果!$B1031=""),0,IF(OR(N(对接源_01水果!$B1031)&lt;$M$2,N(对接源_01水果!$B1031)&gt;$M$3),0,1))</f>
        <v>0</v>
      </c>
      <c r="N1031">
        <f>IF(OR($N$1="",对接源_01水果!$C1031="",对接源_01水果!$C1031&lt;&gt;$N$1,对接源_01水果!$B1031=""),0,IF(OR(N(对接源_01水果!$B1031)&lt;$N$2,N(对接源_01水果!$B1031)&gt;$N$3),0,1))</f>
        <v>0</v>
      </c>
      <c r="P1031">
        <f>IF(AND($K1031=1,AND(对接源_01水果!$X1031="公司筐",N(对接源_01水果!$T1031)&lt;&gt;0)),1,0)</f>
        <v>0</v>
      </c>
      <c r="Q1031">
        <f>N(Q1030)+$P1031</f>
        <v>0</v>
      </c>
      <c r="R1031">
        <f>IF(AND($K1031=1,AND(对接源_01水果!$X1031="公司筐",N(对接源_01水果!$U1031)&lt;&gt;0)),1,0)</f>
        <v>0</v>
      </c>
      <c r="S1031">
        <f>N(S1030)+$R1031</f>
        <v>0</v>
      </c>
      <c r="T1031">
        <f>IF(AND($K1031=1,AND(对接源_01水果!$X1031="公司筐",N(对接源_01水果!$V1031)&lt;&gt;0)),1,0)</f>
        <v>0</v>
      </c>
      <c r="U1031">
        <f>N(U1030)+$T1031</f>
        <v>47</v>
      </c>
      <c r="V1031">
        <f>IF(AND($L1031=1,AND(对接源_01水果!$X1031="自备筐",N(对接源_01水果!$V1031)&lt;&gt;0)),1,0)</f>
        <v>0</v>
      </c>
      <c r="W1031">
        <f>N(W1030)+$V1031</f>
        <v>11</v>
      </c>
      <c r="X1031">
        <f>IF(AND($L1031=1,AND(对接源_01水果!$X1031="自备筐",N(对接源_01水果!$T1031)&lt;&gt;0)),1,0)</f>
        <v>0</v>
      </c>
      <c r="Y1031">
        <f>N(Y1030)+$X1031</f>
        <v>0</v>
      </c>
      <c r="Z1031">
        <f>IF(AND($M1031=1,对接源_01水果!$D1031="原料入库"),1,0)</f>
        <v>0</v>
      </c>
      <c r="AA1031">
        <f>N(AA1030)+$Z1031</f>
        <v>24</v>
      </c>
      <c r="AB1031">
        <f>IF(AND($M1031=1,LEFT(对接源_01水果!$D1031,4)="原料出库"),1,0)</f>
        <v>0</v>
      </c>
      <c r="AC1031">
        <f>N(AC1030)+$AB1031</f>
        <v>0</v>
      </c>
      <c r="AD1031">
        <f>IF(AND($M1031=1,LEFT(对接源_01水果!$D1031,4)="成品出库"),1,0)</f>
        <v>0</v>
      </c>
      <c r="AE1031">
        <f>N(AE1030)+$AD1031</f>
        <v>0</v>
      </c>
      <c r="AF1031">
        <f>IF(AND($N1031=1,AND(LEFT(对接源_01水果!$D1031,4)="包装物料",N(对接源_01水果!$K1031)&lt;&gt;0)),1,0)</f>
        <v>0</v>
      </c>
      <c r="AG1031">
        <f>N(AG1030)+$AF1031</f>
        <v>0</v>
      </c>
      <c r="AH1031">
        <f>IF(AND($N1031=1,AND(对接源_01水果!$D1031="周转筐－销售出库",N(对接源_01水果!$K1031)&lt;&gt;0)),1,0)</f>
        <v>0</v>
      </c>
      <c r="AI1031">
        <f>N(AI1030)+$AH1031</f>
        <v>0</v>
      </c>
      <c r="AJ1031" s="7" t="n"/>
      <c r="AL1031">
        <f>IF(OR($AL$1="",对接源_01水果!$Y1031="",对接源_01水果!$Y1031&lt;&gt;$AL$1,对接源_01水果!$B1031="",N(对接源_01水果!$AJ1031)&lt;=0),0,IF(OR(N(对接源_01水果!$B1031)&lt;$AL$2,N(对接源_01水果!$B1031)&gt;$AL$3),0,1))</f>
        <v>0</v>
      </c>
      <c r="AM1031">
        <f>N(AM1030)+$AL1031</f>
        <v>2</v>
      </c>
      <c r="AN1031">
        <f>IF(对接源_01水果!$AC1031="","",对接源_01水果!$AC1031)</f>
      </c>
      <c r="AO1031">
        <f>IF(AN1031="",0,IF(MATCH(AN1031,$AN$4:$AN$1203,0)=ROW()-3,1,0))</f>
        <v>0</v>
      </c>
      <c r="AP1031">
        <f>N(AP1030)+$AO1031</f>
        <v>13</v>
      </c>
      <c r="AR1031">
        <f>IF(OR($AF1031=1,$AH1031=1),1,0)</f>
        <v>0</v>
      </c>
      <c r="AS1031">
        <f>N(AS1030)+$AR1031</f>
        <v>0</v>
      </c>
    </row>
    <row r="1032" ht="14.25" customHeight="1" s="127">
      <c r="A1032">
        <f>IF(对接源_01水果!$C1032="","",对接源_01水果!$C1032)</f>
      </c>
      <c r="B1032">
        <f>IF(A1032="",0,IF(MATCH(A1032,$A$4:$A$2403,0)=ROW()-3,1,0))</f>
        <v>0</v>
      </c>
      <c r="C1032">
        <f>N(C1031)+B1032</f>
        <v>22</v>
      </c>
      <c r="K1032">
        <f>IF(OR($K$1="",对接源_01水果!$C1032="",对接源_01水果!$C1032&lt;&gt;$K$1,对接源_01水果!$B1032=""),0,IF(OR(N(对接源_01水果!$B1032)&lt;$K$2,N(对接源_01水果!$B1032)&gt;$K$3),0,1))</f>
        <v>0</v>
      </c>
      <c r="L1032">
        <f>IF(OR($L$1="",对接源_01水果!$C1032="",对接源_01水果!$C1032&lt;&gt;$L$1,对接源_01水果!$B1032=""),0,IF(OR(N(对接源_01水果!$B1032)&lt;$L$2,N(对接源_01水果!$B1032)&gt;$L$3),0,1))</f>
        <v>0</v>
      </c>
      <c r="M1032">
        <f>IF(OR($M$1="",对接源_01水果!$C1032="",对接源_01水果!$C1032&lt;&gt;$M$1,对接源_01水果!$B1032=""),0,IF(OR(N(对接源_01水果!$B1032)&lt;$M$2,N(对接源_01水果!$B1032)&gt;$M$3),0,1))</f>
        <v>0</v>
      </c>
      <c r="N1032">
        <f>IF(OR($N$1="",对接源_01水果!$C1032="",对接源_01水果!$C1032&lt;&gt;$N$1,对接源_01水果!$B1032=""),0,IF(OR(N(对接源_01水果!$B1032)&lt;$N$2,N(对接源_01水果!$B1032)&gt;$N$3),0,1))</f>
        <v>0</v>
      </c>
      <c r="P1032">
        <f>IF(AND($K1032=1,AND(对接源_01水果!$X1032="公司筐",N(对接源_01水果!$T1032)&lt;&gt;0)),1,0)</f>
        <v>0</v>
      </c>
      <c r="Q1032">
        <f>N(Q1031)+$P1032</f>
        <v>0</v>
      </c>
      <c r="R1032">
        <f>IF(AND($K1032=1,AND(对接源_01水果!$X1032="公司筐",N(对接源_01水果!$U1032)&lt;&gt;0)),1,0)</f>
        <v>0</v>
      </c>
      <c r="S1032">
        <f>N(S1031)+$R1032</f>
        <v>0</v>
      </c>
      <c r="T1032">
        <f>IF(AND($K1032=1,AND(对接源_01水果!$X1032="公司筐",N(对接源_01水果!$V1032)&lt;&gt;0)),1,0)</f>
        <v>0</v>
      </c>
      <c r="U1032">
        <f>N(U1031)+$T1032</f>
        <v>47</v>
      </c>
      <c r="V1032">
        <f>IF(AND($L1032=1,AND(对接源_01水果!$X1032="自备筐",N(对接源_01水果!$V1032)&lt;&gt;0)),1,0)</f>
        <v>0</v>
      </c>
      <c r="W1032">
        <f>N(W1031)+$V1032</f>
        <v>11</v>
      </c>
      <c r="X1032">
        <f>IF(AND($L1032=1,AND(对接源_01水果!$X1032="自备筐",N(对接源_01水果!$T1032)&lt;&gt;0)),1,0)</f>
        <v>0</v>
      </c>
      <c r="Y1032">
        <f>N(Y1031)+$X1032</f>
        <v>0</v>
      </c>
      <c r="Z1032">
        <f>IF(AND($M1032=1,对接源_01水果!$D1032="原料入库"),1,0)</f>
        <v>0</v>
      </c>
      <c r="AA1032">
        <f>N(AA1031)+$Z1032</f>
        <v>24</v>
      </c>
      <c r="AB1032">
        <f>IF(AND($M1032=1,LEFT(对接源_01水果!$D1032,4)="原料出库"),1,0)</f>
        <v>0</v>
      </c>
      <c r="AC1032">
        <f>N(AC1031)+$AB1032</f>
        <v>0</v>
      </c>
      <c r="AD1032">
        <f>IF(AND($M1032=1,LEFT(对接源_01水果!$D1032,4)="成品出库"),1,0)</f>
        <v>0</v>
      </c>
      <c r="AE1032">
        <f>N(AE1031)+$AD1032</f>
        <v>0</v>
      </c>
      <c r="AF1032">
        <f>IF(AND($N1032=1,AND(LEFT(对接源_01水果!$D1032,4)="包装物料",N(对接源_01水果!$K1032)&lt;&gt;0)),1,0)</f>
        <v>0</v>
      </c>
      <c r="AG1032">
        <f>N(AG1031)+$AF1032</f>
        <v>0</v>
      </c>
      <c r="AH1032">
        <f>IF(AND($N1032=1,AND(对接源_01水果!$D1032="周转筐－销售出库",N(对接源_01水果!$K1032)&lt;&gt;0)),1,0)</f>
        <v>0</v>
      </c>
      <c r="AI1032">
        <f>N(AI1031)+$AH1032</f>
        <v>0</v>
      </c>
      <c r="AJ1032" s="7" t="n"/>
      <c r="AL1032">
        <f>IF(OR($AL$1="",对接源_01水果!$Y1032="",对接源_01水果!$Y1032&lt;&gt;$AL$1,对接源_01水果!$B1032="",N(对接源_01水果!$AJ1032)&lt;=0),0,IF(OR(N(对接源_01水果!$B1032)&lt;$AL$2,N(对接源_01水果!$B1032)&gt;$AL$3),0,1))</f>
        <v>0</v>
      </c>
      <c r="AM1032">
        <f>N(AM1031)+$AL1032</f>
        <v>2</v>
      </c>
      <c r="AN1032">
        <f>IF(对接源_01水果!$AC1032="","",对接源_01水果!$AC1032)</f>
      </c>
      <c r="AO1032">
        <f>IF(AN1032="",0,IF(MATCH(AN1032,$AN$4:$AN$1203,0)=ROW()-3,1,0))</f>
        <v>0</v>
      </c>
      <c r="AP1032">
        <f>N(AP1031)+$AO1032</f>
        <v>13</v>
      </c>
      <c r="AR1032">
        <f>IF(OR($AF1032=1,$AH1032=1),1,0)</f>
        <v>0</v>
      </c>
      <c r="AS1032">
        <f>N(AS1031)+$AR1032</f>
        <v>0</v>
      </c>
    </row>
    <row r="1033" ht="14.25" customHeight="1" s="127">
      <c r="A1033">
        <f>IF(对接源_01水果!$C1033="","",对接源_01水果!$C1033)</f>
      </c>
      <c r="B1033">
        <f>IF(A1033="",0,IF(MATCH(A1033,$A$4:$A$2403,0)=ROW()-3,1,0))</f>
        <v>0</v>
      </c>
      <c r="C1033">
        <f>N(C1032)+B1033</f>
        <v>22</v>
      </c>
      <c r="K1033">
        <f>IF(OR($K$1="",对接源_01水果!$C1033="",对接源_01水果!$C1033&lt;&gt;$K$1,对接源_01水果!$B1033=""),0,IF(OR(N(对接源_01水果!$B1033)&lt;$K$2,N(对接源_01水果!$B1033)&gt;$K$3),0,1))</f>
        <v>0</v>
      </c>
      <c r="L1033">
        <f>IF(OR($L$1="",对接源_01水果!$C1033="",对接源_01水果!$C1033&lt;&gt;$L$1,对接源_01水果!$B1033=""),0,IF(OR(N(对接源_01水果!$B1033)&lt;$L$2,N(对接源_01水果!$B1033)&gt;$L$3),0,1))</f>
        <v>0</v>
      </c>
      <c r="M1033">
        <f>IF(OR($M$1="",对接源_01水果!$C1033="",对接源_01水果!$C1033&lt;&gt;$M$1,对接源_01水果!$B1033=""),0,IF(OR(N(对接源_01水果!$B1033)&lt;$M$2,N(对接源_01水果!$B1033)&gt;$M$3),0,1))</f>
        <v>0</v>
      </c>
      <c r="N1033">
        <f>IF(OR($N$1="",对接源_01水果!$C1033="",对接源_01水果!$C1033&lt;&gt;$N$1,对接源_01水果!$B1033=""),0,IF(OR(N(对接源_01水果!$B1033)&lt;$N$2,N(对接源_01水果!$B1033)&gt;$N$3),0,1))</f>
        <v>0</v>
      </c>
      <c r="P1033">
        <f>IF(AND($K1033=1,AND(对接源_01水果!$X1033="公司筐",N(对接源_01水果!$T1033)&lt;&gt;0)),1,0)</f>
        <v>0</v>
      </c>
      <c r="Q1033">
        <f>N(Q1032)+$P1033</f>
        <v>0</v>
      </c>
      <c r="R1033">
        <f>IF(AND($K1033=1,AND(对接源_01水果!$X1033="公司筐",N(对接源_01水果!$U1033)&lt;&gt;0)),1,0)</f>
        <v>0</v>
      </c>
      <c r="S1033">
        <f>N(S1032)+$R1033</f>
        <v>0</v>
      </c>
      <c r="T1033">
        <f>IF(AND($K1033=1,AND(对接源_01水果!$X1033="公司筐",N(对接源_01水果!$V1033)&lt;&gt;0)),1,0)</f>
        <v>0</v>
      </c>
      <c r="U1033">
        <f>N(U1032)+$T1033</f>
        <v>47</v>
      </c>
      <c r="V1033">
        <f>IF(AND($L1033=1,AND(对接源_01水果!$X1033="自备筐",N(对接源_01水果!$V1033)&lt;&gt;0)),1,0)</f>
        <v>0</v>
      </c>
      <c r="W1033">
        <f>N(W1032)+$V1033</f>
        <v>11</v>
      </c>
      <c r="X1033">
        <f>IF(AND($L1033=1,AND(对接源_01水果!$X1033="自备筐",N(对接源_01水果!$T1033)&lt;&gt;0)),1,0)</f>
        <v>0</v>
      </c>
      <c r="Y1033">
        <f>N(Y1032)+$X1033</f>
        <v>0</v>
      </c>
      <c r="Z1033">
        <f>IF(AND($M1033=1,对接源_01水果!$D1033="原料入库"),1,0)</f>
        <v>0</v>
      </c>
      <c r="AA1033">
        <f>N(AA1032)+$Z1033</f>
        <v>24</v>
      </c>
      <c r="AB1033">
        <f>IF(AND($M1033=1,LEFT(对接源_01水果!$D1033,4)="原料出库"),1,0)</f>
        <v>0</v>
      </c>
      <c r="AC1033">
        <f>N(AC1032)+$AB1033</f>
        <v>0</v>
      </c>
      <c r="AD1033">
        <f>IF(AND($M1033=1,LEFT(对接源_01水果!$D1033,4)="成品出库"),1,0)</f>
        <v>0</v>
      </c>
      <c r="AE1033">
        <f>N(AE1032)+$AD1033</f>
        <v>0</v>
      </c>
      <c r="AF1033">
        <f>IF(AND($N1033=1,AND(LEFT(对接源_01水果!$D1033,4)="包装物料",N(对接源_01水果!$K1033)&lt;&gt;0)),1,0)</f>
        <v>0</v>
      </c>
      <c r="AG1033">
        <f>N(AG1032)+$AF1033</f>
        <v>0</v>
      </c>
      <c r="AH1033">
        <f>IF(AND($N1033=1,AND(对接源_01水果!$D1033="周转筐－销售出库",N(对接源_01水果!$K1033)&lt;&gt;0)),1,0)</f>
        <v>0</v>
      </c>
      <c r="AI1033">
        <f>N(AI1032)+$AH1033</f>
        <v>0</v>
      </c>
      <c r="AJ1033" s="7" t="n"/>
      <c r="AL1033">
        <f>IF(OR($AL$1="",对接源_01水果!$Y1033="",对接源_01水果!$Y1033&lt;&gt;$AL$1,对接源_01水果!$B1033="",N(对接源_01水果!$AJ1033)&lt;=0),0,IF(OR(N(对接源_01水果!$B1033)&lt;$AL$2,N(对接源_01水果!$B1033)&gt;$AL$3),0,1))</f>
        <v>0</v>
      </c>
      <c r="AM1033">
        <f>N(AM1032)+$AL1033</f>
        <v>2</v>
      </c>
      <c r="AN1033">
        <f>IF(对接源_01水果!$AC1033="","",对接源_01水果!$AC1033)</f>
      </c>
      <c r="AO1033">
        <f>IF(AN1033="",0,IF(MATCH(AN1033,$AN$4:$AN$1203,0)=ROW()-3,1,0))</f>
        <v>0</v>
      </c>
      <c r="AP1033">
        <f>N(AP1032)+$AO1033</f>
        <v>13</v>
      </c>
      <c r="AR1033">
        <f>IF(OR($AF1033=1,$AH1033=1),1,0)</f>
        <v>0</v>
      </c>
      <c r="AS1033">
        <f>N(AS1032)+$AR1033</f>
        <v>0</v>
      </c>
    </row>
    <row r="1034" ht="14.25" customHeight="1" s="127">
      <c r="A1034">
        <f>IF(对接源_01水果!$C1034="","",对接源_01水果!$C1034)</f>
      </c>
      <c r="B1034">
        <f>IF(A1034="",0,IF(MATCH(A1034,$A$4:$A$2403,0)=ROW()-3,1,0))</f>
        <v>0</v>
      </c>
      <c r="C1034">
        <f>N(C1033)+B1034</f>
        <v>22</v>
      </c>
      <c r="K1034">
        <f>IF(OR($K$1="",对接源_01水果!$C1034="",对接源_01水果!$C1034&lt;&gt;$K$1,对接源_01水果!$B1034=""),0,IF(OR(N(对接源_01水果!$B1034)&lt;$K$2,N(对接源_01水果!$B1034)&gt;$K$3),0,1))</f>
        <v>0</v>
      </c>
      <c r="L1034">
        <f>IF(OR($L$1="",对接源_01水果!$C1034="",对接源_01水果!$C1034&lt;&gt;$L$1,对接源_01水果!$B1034=""),0,IF(OR(N(对接源_01水果!$B1034)&lt;$L$2,N(对接源_01水果!$B1034)&gt;$L$3),0,1))</f>
        <v>0</v>
      </c>
      <c r="M1034">
        <f>IF(OR($M$1="",对接源_01水果!$C1034="",对接源_01水果!$C1034&lt;&gt;$M$1,对接源_01水果!$B1034=""),0,IF(OR(N(对接源_01水果!$B1034)&lt;$M$2,N(对接源_01水果!$B1034)&gt;$M$3),0,1))</f>
        <v>0</v>
      </c>
      <c r="N1034">
        <f>IF(OR($N$1="",对接源_01水果!$C1034="",对接源_01水果!$C1034&lt;&gt;$N$1,对接源_01水果!$B1034=""),0,IF(OR(N(对接源_01水果!$B1034)&lt;$N$2,N(对接源_01水果!$B1034)&gt;$N$3),0,1))</f>
        <v>0</v>
      </c>
      <c r="P1034">
        <f>IF(AND($K1034=1,AND(对接源_01水果!$X1034="公司筐",N(对接源_01水果!$T1034)&lt;&gt;0)),1,0)</f>
        <v>0</v>
      </c>
      <c r="Q1034">
        <f>N(Q1033)+$P1034</f>
        <v>0</v>
      </c>
      <c r="R1034">
        <f>IF(AND($K1034=1,AND(对接源_01水果!$X1034="公司筐",N(对接源_01水果!$U1034)&lt;&gt;0)),1,0)</f>
        <v>0</v>
      </c>
      <c r="S1034">
        <f>N(S1033)+$R1034</f>
        <v>0</v>
      </c>
      <c r="T1034">
        <f>IF(AND($K1034=1,AND(对接源_01水果!$X1034="公司筐",N(对接源_01水果!$V1034)&lt;&gt;0)),1,0)</f>
        <v>0</v>
      </c>
      <c r="U1034">
        <f>N(U1033)+$T1034</f>
        <v>47</v>
      </c>
      <c r="V1034">
        <f>IF(AND($L1034=1,AND(对接源_01水果!$X1034="自备筐",N(对接源_01水果!$V1034)&lt;&gt;0)),1,0)</f>
        <v>0</v>
      </c>
      <c r="W1034">
        <f>N(W1033)+$V1034</f>
        <v>11</v>
      </c>
      <c r="X1034">
        <f>IF(AND($L1034=1,AND(对接源_01水果!$X1034="自备筐",N(对接源_01水果!$T1034)&lt;&gt;0)),1,0)</f>
        <v>0</v>
      </c>
      <c r="Y1034">
        <f>N(Y1033)+$X1034</f>
        <v>0</v>
      </c>
      <c r="Z1034">
        <f>IF(AND($M1034=1,对接源_01水果!$D1034="原料入库"),1,0)</f>
        <v>0</v>
      </c>
      <c r="AA1034">
        <f>N(AA1033)+$Z1034</f>
        <v>24</v>
      </c>
      <c r="AB1034">
        <f>IF(AND($M1034=1,LEFT(对接源_01水果!$D1034,4)="原料出库"),1,0)</f>
        <v>0</v>
      </c>
      <c r="AC1034">
        <f>N(AC1033)+$AB1034</f>
        <v>0</v>
      </c>
      <c r="AD1034">
        <f>IF(AND($M1034=1,LEFT(对接源_01水果!$D1034,4)="成品出库"),1,0)</f>
        <v>0</v>
      </c>
      <c r="AE1034">
        <f>N(AE1033)+$AD1034</f>
        <v>0</v>
      </c>
      <c r="AF1034">
        <f>IF(AND($N1034=1,AND(LEFT(对接源_01水果!$D1034,4)="包装物料",N(对接源_01水果!$K1034)&lt;&gt;0)),1,0)</f>
        <v>0</v>
      </c>
      <c r="AG1034">
        <f>N(AG1033)+$AF1034</f>
        <v>0</v>
      </c>
      <c r="AH1034">
        <f>IF(AND($N1034=1,AND(对接源_01水果!$D1034="周转筐－销售出库",N(对接源_01水果!$K1034)&lt;&gt;0)),1,0)</f>
        <v>0</v>
      </c>
      <c r="AI1034">
        <f>N(AI1033)+$AH1034</f>
        <v>0</v>
      </c>
      <c r="AJ1034" s="7" t="n"/>
      <c r="AL1034">
        <f>IF(OR($AL$1="",对接源_01水果!$Y1034="",对接源_01水果!$Y1034&lt;&gt;$AL$1,对接源_01水果!$B1034="",N(对接源_01水果!$AJ1034)&lt;=0),0,IF(OR(N(对接源_01水果!$B1034)&lt;$AL$2,N(对接源_01水果!$B1034)&gt;$AL$3),0,1))</f>
        <v>0</v>
      </c>
      <c r="AM1034">
        <f>N(AM1033)+$AL1034</f>
        <v>2</v>
      </c>
      <c r="AN1034">
        <f>IF(对接源_01水果!$AC1034="","",对接源_01水果!$AC1034)</f>
      </c>
      <c r="AO1034">
        <f>IF(AN1034="",0,IF(MATCH(AN1034,$AN$4:$AN$1203,0)=ROW()-3,1,0))</f>
        <v>0</v>
      </c>
      <c r="AP1034">
        <f>N(AP1033)+$AO1034</f>
        <v>13</v>
      </c>
      <c r="AR1034">
        <f>IF(OR($AF1034=1,$AH1034=1),1,0)</f>
        <v>0</v>
      </c>
      <c r="AS1034">
        <f>N(AS1033)+$AR1034</f>
        <v>0</v>
      </c>
    </row>
    <row r="1035" ht="14.25" customHeight="1" s="127">
      <c r="A1035">
        <f>IF(对接源_01水果!$C1035="","",对接源_01水果!$C1035)</f>
      </c>
      <c r="B1035">
        <f>IF(A1035="",0,IF(MATCH(A1035,$A$4:$A$2403,0)=ROW()-3,1,0))</f>
        <v>0</v>
      </c>
      <c r="C1035">
        <f>N(C1034)+B1035</f>
        <v>22</v>
      </c>
      <c r="K1035">
        <f>IF(OR($K$1="",对接源_01水果!$C1035="",对接源_01水果!$C1035&lt;&gt;$K$1,对接源_01水果!$B1035=""),0,IF(OR(N(对接源_01水果!$B1035)&lt;$K$2,N(对接源_01水果!$B1035)&gt;$K$3),0,1))</f>
        <v>0</v>
      </c>
      <c r="L1035">
        <f>IF(OR($L$1="",对接源_01水果!$C1035="",对接源_01水果!$C1035&lt;&gt;$L$1,对接源_01水果!$B1035=""),0,IF(OR(N(对接源_01水果!$B1035)&lt;$L$2,N(对接源_01水果!$B1035)&gt;$L$3),0,1))</f>
        <v>0</v>
      </c>
      <c r="M1035">
        <f>IF(OR($M$1="",对接源_01水果!$C1035="",对接源_01水果!$C1035&lt;&gt;$M$1,对接源_01水果!$B1035=""),0,IF(OR(N(对接源_01水果!$B1035)&lt;$M$2,N(对接源_01水果!$B1035)&gt;$M$3),0,1))</f>
        <v>0</v>
      </c>
      <c r="N1035">
        <f>IF(OR($N$1="",对接源_01水果!$C1035="",对接源_01水果!$C1035&lt;&gt;$N$1,对接源_01水果!$B1035=""),0,IF(OR(N(对接源_01水果!$B1035)&lt;$N$2,N(对接源_01水果!$B1035)&gt;$N$3),0,1))</f>
        <v>0</v>
      </c>
      <c r="P1035">
        <f>IF(AND($K1035=1,AND(对接源_01水果!$X1035="公司筐",N(对接源_01水果!$T1035)&lt;&gt;0)),1,0)</f>
        <v>0</v>
      </c>
      <c r="Q1035">
        <f>N(Q1034)+$P1035</f>
        <v>0</v>
      </c>
      <c r="R1035">
        <f>IF(AND($K1035=1,AND(对接源_01水果!$X1035="公司筐",N(对接源_01水果!$U1035)&lt;&gt;0)),1,0)</f>
        <v>0</v>
      </c>
      <c r="S1035">
        <f>N(S1034)+$R1035</f>
        <v>0</v>
      </c>
      <c r="T1035">
        <f>IF(AND($K1035=1,AND(对接源_01水果!$X1035="公司筐",N(对接源_01水果!$V1035)&lt;&gt;0)),1,0)</f>
        <v>0</v>
      </c>
      <c r="U1035">
        <f>N(U1034)+$T1035</f>
        <v>47</v>
      </c>
      <c r="V1035">
        <f>IF(AND($L1035=1,AND(对接源_01水果!$X1035="自备筐",N(对接源_01水果!$V1035)&lt;&gt;0)),1,0)</f>
        <v>0</v>
      </c>
      <c r="W1035">
        <f>N(W1034)+$V1035</f>
        <v>11</v>
      </c>
      <c r="X1035">
        <f>IF(AND($L1035=1,AND(对接源_01水果!$X1035="自备筐",N(对接源_01水果!$T1035)&lt;&gt;0)),1,0)</f>
        <v>0</v>
      </c>
      <c r="Y1035">
        <f>N(Y1034)+$X1035</f>
        <v>0</v>
      </c>
      <c r="Z1035">
        <f>IF(AND($M1035=1,对接源_01水果!$D1035="原料入库"),1,0)</f>
        <v>0</v>
      </c>
      <c r="AA1035">
        <f>N(AA1034)+$Z1035</f>
        <v>24</v>
      </c>
      <c r="AB1035">
        <f>IF(AND($M1035=1,LEFT(对接源_01水果!$D1035,4)="原料出库"),1,0)</f>
        <v>0</v>
      </c>
      <c r="AC1035">
        <f>N(AC1034)+$AB1035</f>
        <v>0</v>
      </c>
      <c r="AD1035">
        <f>IF(AND($M1035=1,LEFT(对接源_01水果!$D1035,4)="成品出库"),1,0)</f>
        <v>0</v>
      </c>
      <c r="AE1035">
        <f>N(AE1034)+$AD1035</f>
        <v>0</v>
      </c>
      <c r="AF1035">
        <f>IF(AND($N1035=1,AND(LEFT(对接源_01水果!$D1035,4)="包装物料",N(对接源_01水果!$K1035)&lt;&gt;0)),1,0)</f>
        <v>0</v>
      </c>
      <c r="AG1035">
        <f>N(AG1034)+$AF1035</f>
        <v>0</v>
      </c>
      <c r="AH1035">
        <f>IF(AND($N1035=1,AND(对接源_01水果!$D1035="周转筐－销售出库",N(对接源_01水果!$K1035)&lt;&gt;0)),1,0)</f>
        <v>0</v>
      </c>
      <c r="AI1035">
        <f>N(AI1034)+$AH1035</f>
        <v>0</v>
      </c>
      <c r="AJ1035" s="7" t="n"/>
      <c r="AL1035">
        <f>IF(OR($AL$1="",对接源_01水果!$Y1035="",对接源_01水果!$Y1035&lt;&gt;$AL$1,对接源_01水果!$B1035="",N(对接源_01水果!$AJ1035)&lt;=0),0,IF(OR(N(对接源_01水果!$B1035)&lt;$AL$2,N(对接源_01水果!$B1035)&gt;$AL$3),0,1))</f>
        <v>0</v>
      </c>
      <c r="AM1035">
        <f>N(AM1034)+$AL1035</f>
        <v>2</v>
      </c>
      <c r="AN1035">
        <f>IF(对接源_01水果!$AC1035="","",对接源_01水果!$AC1035)</f>
      </c>
      <c r="AO1035">
        <f>IF(AN1035="",0,IF(MATCH(AN1035,$AN$4:$AN$1203,0)=ROW()-3,1,0))</f>
        <v>0</v>
      </c>
      <c r="AP1035">
        <f>N(AP1034)+$AO1035</f>
        <v>13</v>
      </c>
      <c r="AR1035">
        <f>IF(OR($AF1035=1,$AH1035=1),1,0)</f>
        <v>0</v>
      </c>
      <c r="AS1035">
        <f>N(AS1034)+$AR1035</f>
        <v>0</v>
      </c>
    </row>
    <row r="1036" ht="14.25" customHeight="1" s="127">
      <c r="A1036">
        <f>IF(对接源_01水果!$C1036="","",对接源_01水果!$C1036)</f>
      </c>
      <c r="B1036">
        <f>IF(A1036="",0,IF(MATCH(A1036,$A$4:$A$2403,0)=ROW()-3,1,0))</f>
        <v>0</v>
      </c>
      <c r="C1036">
        <f>N(C1035)+B1036</f>
        <v>22</v>
      </c>
      <c r="K1036">
        <f>IF(OR($K$1="",对接源_01水果!$C1036="",对接源_01水果!$C1036&lt;&gt;$K$1,对接源_01水果!$B1036=""),0,IF(OR(N(对接源_01水果!$B1036)&lt;$K$2,N(对接源_01水果!$B1036)&gt;$K$3),0,1))</f>
        <v>0</v>
      </c>
      <c r="L1036">
        <f>IF(OR($L$1="",对接源_01水果!$C1036="",对接源_01水果!$C1036&lt;&gt;$L$1,对接源_01水果!$B1036=""),0,IF(OR(N(对接源_01水果!$B1036)&lt;$L$2,N(对接源_01水果!$B1036)&gt;$L$3),0,1))</f>
        <v>0</v>
      </c>
      <c r="M1036">
        <f>IF(OR($M$1="",对接源_01水果!$C1036="",对接源_01水果!$C1036&lt;&gt;$M$1,对接源_01水果!$B1036=""),0,IF(OR(N(对接源_01水果!$B1036)&lt;$M$2,N(对接源_01水果!$B1036)&gt;$M$3),0,1))</f>
        <v>0</v>
      </c>
      <c r="N1036">
        <f>IF(OR($N$1="",对接源_01水果!$C1036="",对接源_01水果!$C1036&lt;&gt;$N$1,对接源_01水果!$B1036=""),0,IF(OR(N(对接源_01水果!$B1036)&lt;$N$2,N(对接源_01水果!$B1036)&gt;$N$3),0,1))</f>
        <v>0</v>
      </c>
      <c r="P1036">
        <f>IF(AND($K1036=1,AND(对接源_01水果!$X1036="公司筐",N(对接源_01水果!$T1036)&lt;&gt;0)),1,0)</f>
        <v>0</v>
      </c>
      <c r="Q1036">
        <f>N(Q1035)+$P1036</f>
        <v>0</v>
      </c>
      <c r="R1036">
        <f>IF(AND($K1036=1,AND(对接源_01水果!$X1036="公司筐",N(对接源_01水果!$U1036)&lt;&gt;0)),1,0)</f>
        <v>0</v>
      </c>
      <c r="S1036">
        <f>N(S1035)+$R1036</f>
        <v>0</v>
      </c>
      <c r="T1036">
        <f>IF(AND($K1036=1,AND(对接源_01水果!$X1036="公司筐",N(对接源_01水果!$V1036)&lt;&gt;0)),1,0)</f>
        <v>0</v>
      </c>
      <c r="U1036">
        <f>N(U1035)+$T1036</f>
        <v>47</v>
      </c>
      <c r="V1036">
        <f>IF(AND($L1036=1,AND(对接源_01水果!$X1036="自备筐",N(对接源_01水果!$V1036)&lt;&gt;0)),1,0)</f>
        <v>0</v>
      </c>
      <c r="W1036">
        <f>N(W1035)+$V1036</f>
        <v>11</v>
      </c>
      <c r="X1036">
        <f>IF(AND($L1036=1,AND(对接源_01水果!$X1036="自备筐",N(对接源_01水果!$T1036)&lt;&gt;0)),1,0)</f>
        <v>0</v>
      </c>
      <c r="Y1036">
        <f>N(Y1035)+$X1036</f>
        <v>0</v>
      </c>
      <c r="Z1036">
        <f>IF(AND($M1036=1,对接源_01水果!$D1036="原料入库"),1,0)</f>
        <v>0</v>
      </c>
      <c r="AA1036">
        <f>N(AA1035)+$Z1036</f>
        <v>24</v>
      </c>
      <c r="AB1036">
        <f>IF(AND($M1036=1,LEFT(对接源_01水果!$D1036,4)="原料出库"),1,0)</f>
        <v>0</v>
      </c>
      <c r="AC1036">
        <f>N(AC1035)+$AB1036</f>
        <v>0</v>
      </c>
      <c r="AD1036">
        <f>IF(AND($M1036=1,LEFT(对接源_01水果!$D1036,4)="成品出库"),1,0)</f>
        <v>0</v>
      </c>
      <c r="AE1036">
        <f>N(AE1035)+$AD1036</f>
        <v>0</v>
      </c>
      <c r="AF1036">
        <f>IF(AND($N1036=1,AND(LEFT(对接源_01水果!$D1036,4)="包装物料",N(对接源_01水果!$K1036)&lt;&gt;0)),1,0)</f>
        <v>0</v>
      </c>
      <c r="AG1036">
        <f>N(AG1035)+$AF1036</f>
        <v>0</v>
      </c>
      <c r="AH1036">
        <f>IF(AND($N1036=1,AND(对接源_01水果!$D1036="周转筐－销售出库",N(对接源_01水果!$K1036)&lt;&gt;0)),1,0)</f>
        <v>0</v>
      </c>
      <c r="AI1036">
        <f>N(AI1035)+$AH1036</f>
        <v>0</v>
      </c>
      <c r="AJ1036" s="7" t="n"/>
      <c r="AL1036">
        <f>IF(OR($AL$1="",对接源_01水果!$Y1036="",对接源_01水果!$Y1036&lt;&gt;$AL$1,对接源_01水果!$B1036="",N(对接源_01水果!$AJ1036)&lt;=0),0,IF(OR(N(对接源_01水果!$B1036)&lt;$AL$2,N(对接源_01水果!$B1036)&gt;$AL$3),0,1))</f>
        <v>0</v>
      </c>
      <c r="AM1036">
        <f>N(AM1035)+$AL1036</f>
        <v>2</v>
      </c>
      <c r="AN1036">
        <f>IF(对接源_01水果!$AC1036="","",对接源_01水果!$AC1036)</f>
      </c>
      <c r="AO1036">
        <f>IF(AN1036="",0,IF(MATCH(AN1036,$AN$4:$AN$1203,0)=ROW()-3,1,0))</f>
        <v>0</v>
      </c>
      <c r="AP1036">
        <f>N(AP1035)+$AO1036</f>
        <v>13</v>
      </c>
      <c r="AR1036">
        <f>IF(OR($AF1036=1,$AH1036=1),1,0)</f>
        <v>0</v>
      </c>
      <c r="AS1036">
        <f>N(AS1035)+$AR1036</f>
        <v>0</v>
      </c>
    </row>
    <row r="1037" ht="14.25" customHeight="1" s="127">
      <c r="A1037">
        <f>IF(对接源_01水果!$C1037="","",对接源_01水果!$C1037)</f>
      </c>
      <c r="B1037">
        <f>IF(A1037="",0,IF(MATCH(A1037,$A$4:$A$2403,0)=ROW()-3,1,0))</f>
        <v>0</v>
      </c>
      <c r="C1037">
        <f>N(C1036)+B1037</f>
        <v>22</v>
      </c>
      <c r="K1037">
        <f>IF(OR($K$1="",对接源_01水果!$C1037="",对接源_01水果!$C1037&lt;&gt;$K$1,对接源_01水果!$B1037=""),0,IF(OR(N(对接源_01水果!$B1037)&lt;$K$2,N(对接源_01水果!$B1037)&gt;$K$3),0,1))</f>
        <v>0</v>
      </c>
      <c r="L1037">
        <f>IF(OR($L$1="",对接源_01水果!$C1037="",对接源_01水果!$C1037&lt;&gt;$L$1,对接源_01水果!$B1037=""),0,IF(OR(N(对接源_01水果!$B1037)&lt;$L$2,N(对接源_01水果!$B1037)&gt;$L$3),0,1))</f>
        <v>0</v>
      </c>
      <c r="M1037">
        <f>IF(OR($M$1="",对接源_01水果!$C1037="",对接源_01水果!$C1037&lt;&gt;$M$1,对接源_01水果!$B1037=""),0,IF(OR(N(对接源_01水果!$B1037)&lt;$M$2,N(对接源_01水果!$B1037)&gt;$M$3),0,1))</f>
        <v>0</v>
      </c>
      <c r="N1037">
        <f>IF(OR($N$1="",对接源_01水果!$C1037="",对接源_01水果!$C1037&lt;&gt;$N$1,对接源_01水果!$B1037=""),0,IF(OR(N(对接源_01水果!$B1037)&lt;$N$2,N(对接源_01水果!$B1037)&gt;$N$3),0,1))</f>
        <v>0</v>
      </c>
      <c r="P1037">
        <f>IF(AND($K1037=1,AND(对接源_01水果!$X1037="公司筐",N(对接源_01水果!$T1037)&lt;&gt;0)),1,0)</f>
        <v>0</v>
      </c>
      <c r="Q1037">
        <f>N(Q1036)+$P1037</f>
        <v>0</v>
      </c>
      <c r="R1037">
        <f>IF(AND($K1037=1,AND(对接源_01水果!$X1037="公司筐",N(对接源_01水果!$U1037)&lt;&gt;0)),1,0)</f>
        <v>0</v>
      </c>
      <c r="S1037">
        <f>N(S1036)+$R1037</f>
        <v>0</v>
      </c>
      <c r="T1037">
        <f>IF(AND($K1037=1,AND(对接源_01水果!$X1037="公司筐",N(对接源_01水果!$V1037)&lt;&gt;0)),1,0)</f>
        <v>0</v>
      </c>
      <c r="U1037">
        <f>N(U1036)+$T1037</f>
        <v>47</v>
      </c>
      <c r="V1037">
        <f>IF(AND($L1037=1,AND(对接源_01水果!$X1037="自备筐",N(对接源_01水果!$V1037)&lt;&gt;0)),1,0)</f>
        <v>0</v>
      </c>
      <c r="W1037">
        <f>N(W1036)+$V1037</f>
        <v>11</v>
      </c>
      <c r="X1037">
        <f>IF(AND($L1037=1,AND(对接源_01水果!$X1037="自备筐",N(对接源_01水果!$T1037)&lt;&gt;0)),1,0)</f>
        <v>0</v>
      </c>
      <c r="Y1037">
        <f>N(Y1036)+$X1037</f>
        <v>0</v>
      </c>
      <c r="Z1037">
        <f>IF(AND($M1037=1,对接源_01水果!$D1037="原料入库"),1,0)</f>
        <v>0</v>
      </c>
      <c r="AA1037">
        <f>N(AA1036)+$Z1037</f>
        <v>24</v>
      </c>
      <c r="AB1037">
        <f>IF(AND($M1037=1,LEFT(对接源_01水果!$D1037,4)="原料出库"),1,0)</f>
        <v>0</v>
      </c>
      <c r="AC1037">
        <f>N(AC1036)+$AB1037</f>
        <v>0</v>
      </c>
      <c r="AD1037">
        <f>IF(AND($M1037=1,LEFT(对接源_01水果!$D1037,4)="成品出库"),1,0)</f>
        <v>0</v>
      </c>
      <c r="AE1037">
        <f>N(AE1036)+$AD1037</f>
        <v>0</v>
      </c>
      <c r="AF1037">
        <f>IF(AND($N1037=1,AND(LEFT(对接源_01水果!$D1037,4)="包装物料",N(对接源_01水果!$K1037)&lt;&gt;0)),1,0)</f>
        <v>0</v>
      </c>
      <c r="AG1037">
        <f>N(AG1036)+$AF1037</f>
        <v>0</v>
      </c>
      <c r="AH1037">
        <f>IF(AND($N1037=1,AND(对接源_01水果!$D1037="周转筐－销售出库",N(对接源_01水果!$K1037)&lt;&gt;0)),1,0)</f>
        <v>0</v>
      </c>
      <c r="AI1037">
        <f>N(AI1036)+$AH1037</f>
        <v>0</v>
      </c>
      <c r="AJ1037" s="7" t="n"/>
      <c r="AL1037">
        <f>IF(OR($AL$1="",对接源_01水果!$Y1037="",对接源_01水果!$Y1037&lt;&gt;$AL$1,对接源_01水果!$B1037="",N(对接源_01水果!$AJ1037)&lt;=0),0,IF(OR(N(对接源_01水果!$B1037)&lt;$AL$2,N(对接源_01水果!$B1037)&gt;$AL$3),0,1))</f>
        <v>0</v>
      </c>
      <c r="AM1037">
        <f>N(AM1036)+$AL1037</f>
        <v>2</v>
      </c>
      <c r="AN1037">
        <f>IF(对接源_01水果!$AC1037="","",对接源_01水果!$AC1037)</f>
      </c>
      <c r="AO1037">
        <f>IF(AN1037="",0,IF(MATCH(AN1037,$AN$4:$AN$1203,0)=ROW()-3,1,0))</f>
        <v>0</v>
      </c>
      <c r="AP1037">
        <f>N(AP1036)+$AO1037</f>
        <v>13</v>
      </c>
      <c r="AR1037">
        <f>IF(OR($AF1037=1,$AH1037=1),1,0)</f>
        <v>0</v>
      </c>
      <c r="AS1037">
        <f>N(AS1036)+$AR1037</f>
        <v>0</v>
      </c>
    </row>
    <row r="1038" ht="14.25" customHeight="1" s="127">
      <c r="A1038">
        <f>IF(对接源_01水果!$C1038="","",对接源_01水果!$C1038)</f>
      </c>
      <c r="B1038">
        <f>IF(A1038="",0,IF(MATCH(A1038,$A$4:$A$2403,0)=ROW()-3,1,0))</f>
        <v>0</v>
      </c>
      <c r="C1038">
        <f>N(C1037)+B1038</f>
        <v>22</v>
      </c>
      <c r="K1038">
        <f>IF(OR($K$1="",对接源_01水果!$C1038="",对接源_01水果!$C1038&lt;&gt;$K$1,对接源_01水果!$B1038=""),0,IF(OR(N(对接源_01水果!$B1038)&lt;$K$2,N(对接源_01水果!$B1038)&gt;$K$3),0,1))</f>
        <v>0</v>
      </c>
      <c r="L1038">
        <f>IF(OR($L$1="",对接源_01水果!$C1038="",对接源_01水果!$C1038&lt;&gt;$L$1,对接源_01水果!$B1038=""),0,IF(OR(N(对接源_01水果!$B1038)&lt;$L$2,N(对接源_01水果!$B1038)&gt;$L$3),0,1))</f>
        <v>0</v>
      </c>
      <c r="M1038">
        <f>IF(OR($M$1="",对接源_01水果!$C1038="",对接源_01水果!$C1038&lt;&gt;$M$1,对接源_01水果!$B1038=""),0,IF(OR(N(对接源_01水果!$B1038)&lt;$M$2,N(对接源_01水果!$B1038)&gt;$M$3),0,1))</f>
        <v>0</v>
      </c>
      <c r="N1038">
        <f>IF(OR($N$1="",对接源_01水果!$C1038="",对接源_01水果!$C1038&lt;&gt;$N$1,对接源_01水果!$B1038=""),0,IF(OR(N(对接源_01水果!$B1038)&lt;$N$2,N(对接源_01水果!$B1038)&gt;$N$3),0,1))</f>
        <v>0</v>
      </c>
      <c r="P1038">
        <f>IF(AND($K1038=1,AND(对接源_01水果!$X1038="公司筐",N(对接源_01水果!$T1038)&lt;&gt;0)),1,0)</f>
        <v>0</v>
      </c>
      <c r="Q1038">
        <f>N(Q1037)+$P1038</f>
        <v>0</v>
      </c>
      <c r="R1038">
        <f>IF(AND($K1038=1,AND(对接源_01水果!$X1038="公司筐",N(对接源_01水果!$U1038)&lt;&gt;0)),1,0)</f>
        <v>0</v>
      </c>
      <c r="S1038">
        <f>N(S1037)+$R1038</f>
        <v>0</v>
      </c>
      <c r="T1038">
        <f>IF(AND($K1038=1,AND(对接源_01水果!$X1038="公司筐",N(对接源_01水果!$V1038)&lt;&gt;0)),1,0)</f>
        <v>0</v>
      </c>
      <c r="U1038">
        <f>N(U1037)+$T1038</f>
        <v>47</v>
      </c>
      <c r="V1038">
        <f>IF(AND($L1038=1,AND(对接源_01水果!$X1038="自备筐",N(对接源_01水果!$V1038)&lt;&gt;0)),1,0)</f>
        <v>0</v>
      </c>
      <c r="W1038">
        <f>N(W1037)+$V1038</f>
        <v>11</v>
      </c>
      <c r="X1038">
        <f>IF(AND($L1038=1,AND(对接源_01水果!$X1038="自备筐",N(对接源_01水果!$T1038)&lt;&gt;0)),1,0)</f>
        <v>0</v>
      </c>
      <c r="Y1038">
        <f>N(Y1037)+$X1038</f>
        <v>0</v>
      </c>
      <c r="Z1038">
        <f>IF(AND($M1038=1,对接源_01水果!$D1038="原料入库"),1,0)</f>
        <v>0</v>
      </c>
      <c r="AA1038">
        <f>N(AA1037)+$Z1038</f>
        <v>24</v>
      </c>
      <c r="AB1038">
        <f>IF(AND($M1038=1,LEFT(对接源_01水果!$D1038,4)="原料出库"),1,0)</f>
        <v>0</v>
      </c>
      <c r="AC1038">
        <f>N(AC1037)+$AB1038</f>
        <v>0</v>
      </c>
      <c r="AD1038">
        <f>IF(AND($M1038=1,LEFT(对接源_01水果!$D1038,4)="成品出库"),1,0)</f>
        <v>0</v>
      </c>
      <c r="AE1038">
        <f>N(AE1037)+$AD1038</f>
        <v>0</v>
      </c>
      <c r="AF1038">
        <f>IF(AND($N1038=1,AND(LEFT(对接源_01水果!$D1038,4)="包装物料",N(对接源_01水果!$K1038)&lt;&gt;0)),1,0)</f>
        <v>0</v>
      </c>
      <c r="AG1038">
        <f>N(AG1037)+$AF1038</f>
        <v>0</v>
      </c>
      <c r="AH1038">
        <f>IF(AND($N1038=1,AND(对接源_01水果!$D1038="周转筐－销售出库",N(对接源_01水果!$K1038)&lt;&gt;0)),1,0)</f>
        <v>0</v>
      </c>
      <c r="AI1038">
        <f>N(AI1037)+$AH1038</f>
        <v>0</v>
      </c>
      <c r="AJ1038" s="7" t="n"/>
      <c r="AL1038">
        <f>IF(OR($AL$1="",对接源_01水果!$Y1038="",对接源_01水果!$Y1038&lt;&gt;$AL$1,对接源_01水果!$B1038="",N(对接源_01水果!$AJ1038)&lt;=0),0,IF(OR(N(对接源_01水果!$B1038)&lt;$AL$2,N(对接源_01水果!$B1038)&gt;$AL$3),0,1))</f>
        <v>0</v>
      </c>
      <c r="AM1038">
        <f>N(AM1037)+$AL1038</f>
        <v>2</v>
      </c>
      <c r="AN1038">
        <f>IF(对接源_01水果!$AC1038="","",对接源_01水果!$AC1038)</f>
      </c>
      <c r="AO1038">
        <f>IF(AN1038="",0,IF(MATCH(AN1038,$AN$4:$AN$1203,0)=ROW()-3,1,0))</f>
        <v>0</v>
      </c>
      <c r="AP1038">
        <f>N(AP1037)+$AO1038</f>
        <v>13</v>
      </c>
      <c r="AR1038">
        <f>IF(OR($AF1038=1,$AH1038=1),1,0)</f>
        <v>0</v>
      </c>
      <c r="AS1038">
        <f>N(AS1037)+$AR1038</f>
        <v>0</v>
      </c>
    </row>
    <row r="1039" ht="14.25" customHeight="1" s="127">
      <c r="A1039">
        <f>IF(对接源_01水果!$C1039="","",对接源_01水果!$C1039)</f>
      </c>
      <c r="B1039">
        <f>IF(A1039="",0,IF(MATCH(A1039,$A$4:$A$2403,0)=ROW()-3,1,0))</f>
        <v>0</v>
      </c>
      <c r="C1039">
        <f>N(C1038)+B1039</f>
        <v>22</v>
      </c>
      <c r="K1039">
        <f>IF(OR($K$1="",对接源_01水果!$C1039="",对接源_01水果!$C1039&lt;&gt;$K$1,对接源_01水果!$B1039=""),0,IF(OR(N(对接源_01水果!$B1039)&lt;$K$2,N(对接源_01水果!$B1039)&gt;$K$3),0,1))</f>
        <v>0</v>
      </c>
      <c r="L1039">
        <f>IF(OR($L$1="",对接源_01水果!$C1039="",对接源_01水果!$C1039&lt;&gt;$L$1,对接源_01水果!$B1039=""),0,IF(OR(N(对接源_01水果!$B1039)&lt;$L$2,N(对接源_01水果!$B1039)&gt;$L$3),0,1))</f>
        <v>0</v>
      </c>
      <c r="M1039">
        <f>IF(OR($M$1="",对接源_01水果!$C1039="",对接源_01水果!$C1039&lt;&gt;$M$1,对接源_01水果!$B1039=""),0,IF(OR(N(对接源_01水果!$B1039)&lt;$M$2,N(对接源_01水果!$B1039)&gt;$M$3),0,1))</f>
        <v>0</v>
      </c>
      <c r="N1039">
        <f>IF(OR($N$1="",对接源_01水果!$C1039="",对接源_01水果!$C1039&lt;&gt;$N$1,对接源_01水果!$B1039=""),0,IF(OR(N(对接源_01水果!$B1039)&lt;$N$2,N(对接源_01水果!$B1039)&gt;$N$3),0,1))</f>
        <v>0</v>
      </c>
      <c r="P1039">
        <f>IF(AND($K1039=1,AND(对接源_01水果!$X1039="公司筐",N(对接源_01水果!$T1039)&lt;&gt;0)),1,0)</f>
        <v>0</v>
      </c>
      <c r="Q1039">
        <f>N(Q1038)+$P1039</f>
        <v>0</v>
      </c>
      <c r="R1039">
        <f>IF(AND($K1039=1,AND(对接源_01水果!$X1039="公司筐",N(对接源_01水果!$U1039)&lt;&gt;0)),1,0)</f>
        <v>0</v>
      </c>
      <c r="S1039">
        <f>N(S1038)+$R1039</f>
        <v>0</v>
      </c>
      <c r="T1039">
        <f>IF(AND($K1039=1,AND(对接源_01水果!$X1039="公司筐",N(对接源_01水果!$V1039)&lt;&gt;0)),1,0)</f>
        <v>0</v>
      </c>
      <c r="U1039">
        <f>N(U1038)+$T1039</f>
        <v>47</v>
      </c>
      <c r="V1039">
        <f>IF(AND($L1039=1,AND(对接源_01水果!$X1039="自备筐",N(对接源_01水果!$V1039)&lt;&gt;0)),1,0)</f>
        <v>0</v>
      </c>
      <c r="W1039">
        <f>N(W1038)+$V1039</f>
        <v>11</v>
      </c>
      <c r="X1039">
        <f>IF(AND($L1039=1,AND(对接源_01水果!$X1039="自备筐",N(对接源_01水果!$T1039)&lt;&gt;0)),1,0)</f>
        <v>0</v>
      </c>
      <c r="Y1039">
        <f>N(Y1038)+$X1039</f>
        <v>0</v>
      </c>
      <c r="Z1039">
        <f>IF(AND($M1039=1,对接源_01水果!$D1039="原料入库"),1,0)</f>
        <v>0</v>
      </c>
      <c r="AA1039">
        <f>N(AA1038)+$Z1039</f>
        <v>24</v>
      </c>
      <c r="AB1039">
        <f>IF(AND($M1039=1,LEFT(对接源_01水果!$D1039,4)="原料出库"),1,0)</f>
        <v>0</v>
      </c>
      <c r="AC1039">
        <f>N(AC1038)+$AB1039</f>
        <v>0</v>
      </c>
      <c r="AD1039">
        <f>IF(AND($M1039=1,LEFT(对接源_01水果!$D1039,4)="成品出库"),1,0)</f>
        <v>0</v>
      </c>
      <c r="AE1039">
        <f>N(AE1038)+$AD1039</f>
        <v>0</v>
      </c>
      <c r="AF1039">
        <f>IF(AND($N1039=1,AND(LEFT(对接源_01水果!$D1039,4)="包装物料",N(对接源_01水果!$K1039)&lt;&gt;0)),1,0)</f>
        <v>0</v>
      </c>
      <c r="AG1039">
        <f>N(AG1038)+$AF1039</f>
        <v>0</v>
      </c>
      <c r="AH1039">
        <f>IF(AND($N1039=1,AND(对接源_01水果!$D1039="周转筐－销售出库",N(对接源_01水果!$K1039)&lt;&gt;0)),1,0)</f>
        <v>0</v>
      </c>
      <c r="AI1039">
        <f>N(AI1038)+$AH1039</f>
        <v>0</v>
      </c>
      <c r="AJ1039" s="7" t="n"/>
      <c r="AL1039">
        <f>IF(OR($AL$1="",对接源_01水果!$Y1039="",对接源_01水果!$Y1039&lt;&gt;$AL$1,对接源_01水果!$B1039="",N(对接源_01水果!$AJ1039)&lt;=0),0,IF(OR(N(对接源_01水果!$B1039)&lt;$AL$2,N(对接源_01水果!$B1039)&gt;$AL$3),0,1))</f>
        <v>0</v>
      </c>
      <c r="AM1039">
        <f>N(AM1038)+$AL1039</f>
        <v>2</v>
      </c>
      <c r="AN1039">
        <f>IF(对接源_01水果!$AC1039="","",对接源_01水果!$AC1039)</f>
      </c>
      <c r="AO1039">
        <f>IF(AN1039="",0,IF(MATCH(AN1039,$AN$4:$AN$1203,0)=ROW()-3,1,0))</f>
        <v>0</v>
      </c>
      <c r="AP1039">
        <f>N(AP1038)+$AO1039</f>
        <v>13</v>
      </c>
      <c r="AR1039">
        <f>IF(OR($AF1039=1,$AH1039=1),1,0)</f>
        <v>0</v>
      </c>
      <c r="AS1039">
        <f>N(AS1038)+$AR1039</f>
        <v>0</v>
      </c>
    </row>
    <row r="1040" ht="14.25" customHeight="1" s="127">
      <c r="A1040">
        <f>IF(对接源_01水果!$C1040="","",对接源_01水果!$C1040)</f>
      </c>
      <c r="B1040">
        <f>IF(A1040="",0,IF(MATCH(A1040,$A$4:$A$2403,0)=ROW()-3,1,0))</f>
        <v>0</v>
      </c>
      <c r="C1040">
        <f>N(C1039)+B1040</f>
        <v>22</v>
      </c>
      <c r="K1040">
        <f>IF(OR($K$1="",对接源_01水果!$C1040="",对接源_01水果!$C1040&lt;&gt;$K$1,对接源_01水果!$B1040=""),0,IF(OR(N(对接源_01水果!$B1040)&lt;$K$2,N(对接源_01水果!$B1040)&gt;$K$3),0,1))</f>
        <v>0</v>
      </c>
      <c r="L1040">
        <f>IF(OR($L$1="",对接源_01水果!$C1040="",对接源_01水果!$C1040&lt;&gt;$L$1,对接源_01水果!$B1040=""),0,IF(OR(N(对接源_01水果!$B1040)&lt;$L$2,N(对接源_01水果!$B1040)&gt;$L$3),0,1))</f>
        <v>0</v>
      </c>
      <c r="M1040">
        <f>IF(OR($M$1="",对接源_01水果!$C1040="",对接源_01水果!$C1040&lt;&gt;$M$1,对接源_01水果!$B1040=""),0,IF(OR(N(对接源_01水果!$B1040)&lt;$M$2,N(对接源_01水果!$B1040)&gt;$M$3),0,1))</f>
        <v>0</v>
      </c>
      <c r="N1040">
        <f>IF(OR($N$1="",对接源_01水果!$C1040="",对接源_01水果!$C1040&lt;&gt;$N$1,对接源_01水果!$B1040=""),0,IF(OR(N(对接源_01水果!$B1040)&lt;$N$2,N(对接源_01水果!$B1040)&gt;$N$3),0,1))</f>
        <v>0</v>
      </c>
      <c r="P1040">
        <f>IF(AND($K1040=1,AND(对接源_01水果!$X1040="公司筐",N(对接源_01水果!$T1040)&lt;&gt;0)),1,0)</f>
        <v>0</v>
      </c>
      <c r="Q1040">
        <f>N(Q1039)+$P1040</f>
        <v>0</v>
      </c>
      <c r="R1040">
        <f>IF(AND($K1040=1,AND(对接源_01水果!$X1040="公司筐",N(对接源_01水果!$U1040)&lt;&gt;0)),1,0)</f>
        <v>0</v>
      </c>
      <c r="S1040">
        <f>N(S1039)+$R1040</f>
        <v>0</v>
      </c>
      <c r="T1040">
        <f>IF(AND($K1040=1,AND(对接源_01水果!$X1040="公司筐",N(对接源_01水果!$V1040)&lt;&gt;0)),1,0)</f>
        <v>0</v>
      </c>
      <c r="U1040">
        <f>N(U1039)+$T1040</f>
        <v>47</v>
      </c>
      <c r="V1040">
        <f>IF(AND($L1040=1,AND(对接源_01水果!$X1040="自备筐",N(对接源_01水果!$V1040)&lt;&gt;0)),1,0)</f>
        <v>0</v>
      </c>
      <c r="W1040">
        <f>N(W1039)+$V1040</f>
        <v>11</v>
      </c>
      <c r="X1040">
        <f>IF(AND($L1040=1,AND(对接源_01水果!$X1040="自备筐",N(对接源_01水果!$T1040)&lt;&gt;0)),1,0)</f>
        <v>0</v>
      </c>
      <c r="Y1040">
        <f>N(Y1039)+$X1040</f>
        <v>0</v>
      </c>
      <c r="Z1040">
        <f>IF(AND($M1040=1,对接源_01水果!$D1040="原料入库"),1,0)</f>
        <v>0</v>
      </c>
      <c r="AA1040">
        <f>N(AA1039)+$Z1040</f>
        <v>24</v>
      </c>
      <c r="AB1040">
        <f>IF(AND($M1040=1,LEFT(对接源_01水果!$D1040,4)="原料出库"),1,0)</f>
        <v>0</v>
      </c>
      <c r="AC1040">
        <f>N(AC1039)+$AB1040</f>
        <v>0</v>
      </c>
      <c r="AD1040">
        <f>IF(AND($M1040=1,LEFT(对接源_01水果!$D1040,4)="成品出库"),1,0)</f>
        <v>0</v>
      </c>
      <c r="AE1040">
        <f>N(AE1039)+$AD1040</f>
        <v>0</v>
      </c>
      <c r="AF1040">
        <f>IF(AND($N1040=1,AND(LEFT(对接源_01水果!$D1040,4)="包装物料",N(对接源_01水果!$K1040)&lt;&gt;0)),1,0)</f>
        <v>0</v>
      </c>
      <c r="AG1040">
        <f>N(AG1039)+$AF1040</f>
        <v>0</v>
      </c>
      <c r="AH1040">
        <f>IF(AND($N1040=1,AND(对接源_01水果!$D1040="周转筐－销售出库",N(对接源_01水果!$K1040)&lt;&gt;0)),1,0)</f>
        <v>0</v>
      </c>
      <c r="AI1040">
        <f>N(AI1039)+$AH1040</f>
        <v>0</v>
      </c>
      <c r="AJ1040" s="7" t="n"/>
      <c r="AL1040">
        <f>IF(OR($AL$1="",对接源_01水果!$Y1040="",对接源_01水果!$Y1040&lt;&gt;$AL$1,对接源_01水果!$B1040="",N(对接源_01水果!$AJ1040)&lt;=0),0,IF(OR(N(对接源_01水果!$B1040)&lt;$AL$2,N(对接源_01水果!$B1040)&gt;$AL$3),0,1))</f>
        <v>0</v>
      </c>
      <c r="AM1040">
        <f>N(AM1039)+$AL1040</f>
        <v>2</v>
      </c>
      <c r="AN1040">
        <f>IF(对接源_01水果!$AC1040="","",对接源_01水果!$AC1040)</f>
      </c>
      <c r="AO1040">
        <f>IF(AN1040="",0,IF(MATCH(AN1040,$AN$4:$AN$1203,0)=ROW()-3,1,0))</f>
        <v>0</v>
      </c>
      <c r="AP1040">
        <f>N(AP1039)+$AO1040</f>
        <v>13</v>
      </c>
      <c r="AR1040">
        <f>IF(OR($AF1040=1,$AH1040=1),1,0)</f>
        <v>0</v>
      </c>
      <c r="AS1040">
        <f>N(AS1039)+$AR1040</f>
        <v>0</v>
      </c>
    </row>
    <row r="1041" ht="14.25" customHeight="1" s="127">
      <c r="A1041">
        <f>IF(对接源_01水果!$C1041="","",对接源_01水果!$C1041)</f>
      </c>
      <c r="B1041">
        <f>IF(A1041="",0,IF(MATCH(A1041,$A$4:$A$2403,0)=ROW()-3,1,0))</f>
        <v>0</v>
      </c>
      <c r="C1041">
        <f>N(C1040)+B1041</f>
        <v>22</v>
      </c>
      <c r="K1041">
        <f>IF(OR($K$1="",对接源_01水果!$C1041="",对接源_01水果!$C1041&lt;&gt;$K$1,对接源_01水果!$B1041=""),0,IF(OR(N(对接源_01水果!$B1041)&lt;$K$2,N(对接源_01水果!$B1041)&gt;$K$3),0,1))</f>
        <v>0</v>
      </c>
      <c r="L1041">
        <f>IF(OR($L$1="",对接源_01水果!$C1041="",对接源_01水果!$C1041&lt;&gt;$L$1,对接源_01水果!$B1041=""),0,IF(OR(N(对接源_01水果!$B1041)&lt;$L$2,N(对接源_01水果!$B1041)&gt;$L$3),0,1))</f>
        <v>0</v>
      </c>
      <c r="M1041">
        <f>IF(OR($M$1="",对接源_01水果!$C1041="",对接源_01水果!$C1041&lt;&gt;$M$1,对接源_01水果!$B1041=""),0,IF(OR(N(对接源_01水果!$B1041)&lt;$M$2,N(对接源_01水果!$B1041)&gt;$M$3),0,1))</f>
        <v>0</v>
      </c>
      <c r="N1041">
        <f>IF(OR($N$1="",对接源_01水果!$C1041="",对接源_01水果!$C1041&lt;&gt;$N$1,对接源_01水果!$B1041=""),0,IF(OR(N(对接源_01水果!$B1041)&lt;$N$2,N(对接源_01水果!$B1041)&gt;$N$3),0,1))</f>
        <v>0</v>
      </c>
      <c r="P1041">
        <f>IF(AND($K1041=1,AND(对接源_01水果!$X1041="公司筐",N(对接源_01水果!$T1041)&lt;&gt;0)),1,0)</f>
        <v>0</v>
      </c>
      <c r="Q1041">
        <f>N(Q1040)+$P1041</f>
        <v>0</v>
      </c>
      <c r="R1041">
        <f>IF(AND($K1041=1,AND(对接源_01水果!$X1041="公司筐",N(对接源_01水果!$U1041)&lt;&gt;0)),1,0)</f>
        <v>0</v>
      </c>
      <c r="S1041">
        <f>N(S1040)+$R1041</f>
        <v>0</v>
      </c>
      <c r="T1041">
        <f>IF(AND($K1041=1,AND(对接源_01水果!$X1041="公司筐",N(对接源_01水果!$V1041)&lt;&gt;0)),1,0)</f>
        <v>0</v>
      </c>
      <c r="U1041">
        <f>N(U1040)+$T1041</f>
        <v>47</v>
      </c>
      <c r="V1041">
        <f>IF(AND($L1041=1,AND(对接源_01水果!$X1041="自备筐",N(对接源_01水果!$V1041)&lt;&gt;0)),1,0)</f>
        <v>0</v>
      </c>
      <c r="W1041">
        <f>N(W1040)+$V1041</f>
        <v>11</v>
      </c>
      <c r="X1041">
        <f>IF(AND($L1041=1,AND(对接源_01水果!$X1041="自备筐",N(对接源_01水果!$T1041)&lt;&gt;0)),1,0)</f>
        <v>0</v>
      </c>
      <c r="Y1041">
        <f>N(Y1040)+$X1041</f>
        <v>0</v>
      </c>
      <c r="Z1041">
        <f>IF(AND($M1041=1,对接源_01水果!$D1041="原料入库"),1,0)</f>
        <v>0</v>
      </c>
      <c r="AA1041">
        <f>N(AA1040)+$Z1041</f>
        <v>24</v>
      </c>
      <c r="AB1041">
        <f>IF(AND($M1041=1,LEFT(对接源_01水果!$D1041,4)="原料出库"),1,0)</f>
        <v>0</v>
      </c>
      <c r="AC1041">
        <f>N(AC1040)+$AB1041</f>
        <v>0</v>
      </c>
      <c r="AD1041">
        <f>IF(AND($M1041=1,LEFT(对接源_01水果!$D1041,4)="成品出库"),1,0)</f>
        <v>0</v>
      </c>
      <c r="AE1041">
        <f>N(AE1040)+$AD1041</f>
        <v>0</v>
      </c>
      <c r="AF1041">
        <f>IF(AND($N1041=1,AND(LEFT(对接源_01水果!$D1041,4)="包装物料",N(对接源_01水果!$K1041)&lt;&gt;0)),1,0)</f>
        <v>0</v>
      </c>
      <c r="AG1041">
        <f>N(AG1040)+$AF1041</f>
        <v>0</v>
      </c>
      <c r="AH1041">
        <f>IF(AND($N1041=1,AND(对接源_01水果!$D1041="周转筐－销售出库",N(对接源_01水果!$K1041)&lt;&gt;0)),1,0)</f>
        <v>0</v>
      </c>
      <c r="AI1041">
        <f>N(AI1040)+$AH1041</f>
        <v>0</v>
      </c>
      <c r="AJ1041" s="7" t="n"/>
      <c r="AL1041">
        <f>IF(OR($AL$1="",对接源_01水果!$Y1041="",对接源_01水果!$Y1041&lt;&gt;$AL$1,对接源_01水果!$B1041="",N(对接源_01水果!$AJ1041)&lt;=0),0,IF(OR(N(对接源_01水果!$B1041)&lt;$AL$2,N(对接源_01水果!$B1041)&gt;$AL$3),0,1))</f>
        <v>0</v>
      </c>
      <c r="AM1041">
        <f>N(AM1040)+$AL1041</f>
        <v>2</v>
      </c>
      <c r="AN1041">
        <f>IF(对接源_01水果!$AC1041="","",对接源_01水果!$AC1041)</f>
      </c>
      <c r="AO1041">
        <f>IF(AN1041="",0,IF(MATCH(AN1041,$AN$4:$AN$1203,0)=ROW()-3,1,0))</f>
        <v>0</v>
      </c>
      <c r="AP1041">
        <f>N(AP1040)+$AO1041</f>
        <v>13</v>
      </c>
      <c r="AR1041">
        <f>IF(OR($AF1041=1,$AH1041=1),1,0)</f>
        <v>0</v>
      </c>
      <c r="AS1041">
        <f>N(AS1040)+$AR1041</f>
        <v>0</v>
      </c>
    </row>
    <row r="1042" ht="14.25" customHeight="1" s="127">
      <c r="A1042">
        <f>IF(对接源_01水果!$C1042="","",对接源_01水果!$C1042)</f>
      </c>
      <c r="B1042">
        <f>IF(A1042="",0,IF(MATCH(A1042,$A$4:$A$2403,0)=ROW()-3,1,0))</f>
        <v>0</v>
      </c>
      <c r="C1042">
        <f>N(C1041)+B1042</f>
        <v>22</v>
      </c>
      <c r="K1042">
        <f>IF(OR($K$1="",对接源_01水果!$C1042="",对接源_01水果!$C1042&lt;&gt;$K$1,对接源_01水果!$B1042=""),0,IF(OR(N(对接源_01水果!$B1042)&lt;$K$2,N(对接源_01水果!$B1042)&gt;$K$3),0,1))</f>
        <v>0</v>
      </c>
      <c r="L1042">
        <f>IF(OR($L$1="",对接源_01水果!$C1042="",对接源_01水果!$C1042&lt;&gt;$L$1,对接源_01水果!$B1042=""),0,IF(OR(N(对接源_01水果!$B1042)&lt;$L$2,N(对接源_01水果!$B1042)&gt;$L$3),0,1))</f>
        <v>0</v>
      </c>
      <c r="M1042">
        <f>IF(OR($M$1="",对接源_01水果!$C1042="",对接源_01水果!$C1042&lt;&gt;$M$1,对接源_01水果!$B1042=""),0,IF(OR(N(对接源_01水果!$B1042)&lt;$M$2,N(对接源_01水果!$B1042)&gt;$M$3),0,1))</f>
        <v>0</v>
      </c>
      <c r="N1042">
        <f>IF(OR($N$1="",对接源_01水果!$C1042="",对接源_01水果!$C1042&lt;&gt;$N$1,对接源_01水果!$B1042=""),0,IF(OR(N(对接源_01水果!$B1042)&lt;$N$2,N(对接源_01水果!$B1042)&gt;$N$3),0,1))</f>
        <v>0</v>
      </c>
      <c r="P1042">
        <f>IF(AND($K1042=1,AND(对接源_01水果!$X1042="公司筐",N(对接源_01水果!$T1042)&lt;&gt;0)),1,0)</f>
        <v>0</v>
      </c>
      <c r="Q1042">
        <f>N(Q1041)+$P1042</f>
        <v>0</v>
      </c>
      <c r="R1042">
        <f>IF(AND($K1042=1,AND(对接源_01水果!$X1042="公司筐",N(对接源_01水果!$U1042)&lt;&gt;0)),1,0)</f>
        <v>0</v>
      </c>
      <c r="S1042">
        <f>N(S1041)+$R1042</f>
        <v>0</v>
      </c>
      <c r="T1042">
        <f>IF(AND($K1042=1,AND(对接源_01水果!$X1042="公司筐",N(对接源_01水果!$V1042)&lt;&gt;0)),1,0)</f>
        <v>0</v>
      </c>
      <c r="U1042">
        <f>N(U1041)+$T1042</f>
        <v>47</v>
      </c>
      <c r="V1042">
        <f>IF(AND($L1042=1,AND(对接源_01水果!$X1042="自备筐",N(对接源_01水果!$V1042)&lt;&gt;0)),1,0)</f>
        <v>0</v>
      </c>
      <c r="W1042">
        <f>N(W1041)+$V1042</f>
        <v>11</v>
      </c>
      <c r="X1042">
        <f>IF(AND($L1042=1,AND(对接源_01水果!$X1042="自备筐",N(对接源_01水果!$T1042)&lt;&gt;0)),1,0)</f>
        <v>0</v>
      </c>
      <c r="Y1042">
        <f>N(Y1041)+$X1042</f>
        <v>0</v>
      </c>
      <c r="Z1042">
        <f>IF(AND($M1042=1,对接源_01水果!$D1042="原料入库"),1,0)</f>
        <v>0</v>
      </c>
      <c r="AA1042">
        <f>N(AA1041)+$Z1042</f>
        <v>24</v>
      </c>
      <c r="AB1042">
        <f>IF(AND($M1042=1,LEFT(对接源_01水果!$D1042,4)="原料出库"),1,0)</f>
        <v>0</v>
      </c>
      <c r="AC1042">
        <f>N(AC1041)+$AB1042</f>
        <v>0</v>
      </c>
      <c r="AD1042">
        <f>IF(AND($M1042=1,LEFT(对接源_01水果!$D1042,4)="成品出库"),1,0)</f>
        <v>0</v>
      </c>
      <c r="AE1042">
        <f>N(AE1041)+$AD1042</f>
        <v>0</v>
      </c>
      <c r="AF1042">
        <f>IF(AND($N1042=1,AND(LEFT(对接源_01水果!$D1042,4)="包装物料",N(对接源_01水果!$K1042)&lt;&gt;0)),1,0)</f>
        <v>0</v>
      </c>
      <c r="AG1042">
        <f>N(AG1041)+$AF1042</f>
        <v>0</v>
      </c>
      <c r="AH1042">
        <f>IF(AND($N1042=1,AND(对接源_01水果!$D1042="周转筐－销售出库",N(对接源_01水果!$K1042)&lt;&gt;0)),1,0)</f>
        <v>0</v>
      </c>
      <c r="AI1042">
        <f>N(AI1041)+$AH1042</f>
        <v>0</v>
      </c>
      <c r="AJ1042" s="7" t="n"/>
      <c r="AL1042">
        <f>IF(OR($AL$1="",对接源_01水果!$Y1042="",对接源_01水果!$Y1042&lt;&gt;$AL$1,对接源_01水果!$B1042="",N(对接源_01水果!$AJ1042)&lt;=0),0,IF(OR(N(对接源_01水果!$B1042)&lt;$AL$2,N(对接源_01水果!$B1042)&gt;$AL$3),0,1))</f>
        <v>0</v>
      </c>
      <c r="AM1042">
        <f>N(AM1041)+$AL1042</f>
        <v>2</v>
      </c>
      <c r="AN1042">
        <f>IF(对接源_01水果!$AC1042="","",对接源_01水果!$AC1042)</f>
      </c>
      <c r="AO1042">
        <f>IF(AN1042="",0,IF(MATCH(AN1042,$AN$4:$AN$1203,0)=ROW()-3,1,0))</f>
        <v>0</v>
      </c>
      <c r="AP1042">
        <f>N(AP1041)+$AO1042</f>
        <v>13</v>
      </c>
      <c r="AR1042">
        <f>IF(OR($AF1042=1,$AH1042=1),1,0)</f>
        <v>0</v>
      </c>
      <c r="AS1042">
        <f>N(AS1041)+$AR1042</f>
        <v>0</v>
      </c>
    </row>
    <row r="1043" ht="14.25" customHeight="1" s="127">
      <c r="A1043">
        <f>IF(对接源_01水果!$C1043="","",对接源_01水果!$C1043)</f>
      </c>
      <c r="B1043">
        <f>IF(A1043="",0,IF(MATCH(A1043,$A$4:$A$2403,0)=ROW()-3,1,0))</f>
        <v>0</v>
      </c>
      <c r="C1043">
        <f>N(C1042)+B1043</f>
        <v>22</v>
      </c>
      <c r="K1043">
        <f>IF(OR($K$1="",对接源_01水果!$C1043="",对接源_01水果!$C1043&lt;&gt;$K$1,对接源_01水果!$B1043=""),0,IF(OR(N(对接源_01水果!$B1043)&lt;$K$2,N(对接源_01水果!$B1043)&gt;$K$3),0,1))</f>
        <v>0</v>
      </c>
      <c r="L1043">
        <f>IF(OR($L$1="",对接源_01水果!$C1043="",对接源_01水果!$C1043&lt;&gt;$L$1,对接源_01水果!$B1043=""),0,IF(OR(N(对接源_01水果!$B1043)&lt;$L$2,N(对接源_01水果!$B1043)&gt;$L$3),0,1))</f>
        <v>0</v>
      </c>
      <c r="M1043">
        <f>IF(OR($M$1="",对接源_01水果!$C1043="",对接源_01水果!$C1043&lt;&gt;$M$1,对接源_01水果!$B1043=""),0,IF(OR(N(对接源_01水果!$B1043)&lt;$M$2,N(对接源_01水果!$B1043)&gt;$M$3),0,1))</f>
        <v>0</v>
      </c>
      <c r="N1043">
        <f>IF(OR($N$1="",对接源_01水果!$C1043="",对接源_01水果!$C1043&lt;&gt;$N$1,对接源_01水果!$B1043=""),0,IF(OR(N(对接源_01水果!$B1043)&lt;$N$2,N(对接源_01水果!$B1043)&gt;$N$3),0,1))</f>
        <v>0</v>
      </c>
      <c r="P1043">
        <f>IF(AND($K1043=1,AND(对接源_01水果!$X1043="公司筐",N(对接源_01水果!$T1043)&lt;&gt;0)),1,0)</f>
        <v>0</v>
      </c>
      <c r="Q1043">
        <f>N(Q1042)+$P1043</f>
        <v>0</v>
      </c>
      <c r="R1043">
        <f>IF(AND($K1043=1,AND(对接源_01水果!$X1043="公司筐",N(对接源_01水果!$U1043)&lt;&gt;0)),1,0)</f>
        <v>0</v>
      </c>
      <c r="S1043">
        <f>N(S1042)+$R1043</f>
        <v>0</v>
      </c>
      <c r="T1043">
        <f>IF(AND($K1043=1,AND(对接源_01水果!$X1043="公司筐",N(对接源_01水果!$V1043)&lt;&gt;0)),1,0)</f>
        <v>0</v>
      </c>
      <c r="U1043">
        <f>N(U1042)+$T1043</f>
        <v>47</v>
      </c>
      <c r="V1043">
        <f>IF(AND($L1043=1,AND(对接源_01水果!$X1043="自备筐",N(对接源_01水果!$V1043)&lt;&gt;0)),1,0)</f>
        <v>0</v>
      </c>
      <c r="W1043">
        <f>N(W1042)+$V1043</f>
        <v>11</v>
      </c>
      <c r="X1043">
        <f>IF(AND($L1043=1,AND(对接源_01水果!$X1043="自备筐",N(对接源_01水果!$T1043)&lt;&gt;0)),1,0)</f>
        <v>0</v>
      </c>
      <c r="Y1043">
        <f>N(Y1042)+$X1043</f>
        <v>0</v>
      </c>
      <c r="Z1043">
        <f>IF(AND($M1043=1,对接源_01水果!$D1043="原料入库"),1,0)</f>
        <v>0</v>
      </c>
      <c r="AA1043">
        <f>N(AA1042)+$Z1043</f>
        <v>24</v>
      </c>
      <c r="AB1043">
        <f>IF(AND($M1043=1,LEFT(对接源_01水果!$D1043,4)="原料出库"),1,0)</f>
        <v>0</v>
      </c>
      <c r="AC1043">
        <f>N(AC1042)+$AB1043</f>
        <v>0</v>
      </c>
      <c r="AD1043">
        <f>IF(AND($M1043=1,LEFT(对接源_01水果!$D1043,4)="成品出库"),1,0)</f>
        <v>0</v>
      </c>
      <c r="AE1043">
        <f>N(AE1042)+$AD1043</f>
        <v>0</v>
      </c>
      <c r="AF1043">
        <f>IF(AND($N1043=1,AND(LEFT(对接源_01水果!$D1043,4)="包装物料",N(对接源_01水果!$K1043)&lt;&gt;0)),1,0)</f>
        <v>0</v>
      </c>
      <c r="AG1043">
        <f>N(AG1042)+$AF1043</f>
        <v>0</v>
      </c>
      <c r="AH1043">
        <f>IF(AND($N1043=1,AND(对接源_01水果!$D1043="周转筐－销售出库",N(对接源_01水果!$K1043)&lt;&gt;0)),1,0)</f>
        <v>0</v>
      </c>
      <c r="AI1043">
        <f>N(AI1042)+$AH1043</f>
        <v>0</v>
      </c>
      <c r="AJ1043" s="7" t="n"/>
      <c r="AL1043">
        <f>IF(OR($AL$1="",对接源_01水果!$Y1043="",对接源_01水果!$Y1043&lt;&gt;$AL$1,对接源_01水果!$B1043="",N(对接源_01水果!$AJ1043)&lt;=0),0,IF(OR(N(对接源_01水果!$B1043)&lt;$AL$2,N(对接源_01水果!$B1043)&gt;$AL$3),0,1))</f>
        <v>0</v>
      </c>
      <c r="AM1043">
        <f>N(AM1042)+$AL1043</f>
        <v>2</v>
      </c>
      <c r="AN1043">
        <f>IF(对接源_01水果!$AC1043="","",对接源_01水果!$AC1043)</f>
      </c>
      <c r="AO1043">
        <f>IF(AN1043="",0,IF(MATCH(AN1043,$AN$4:$AN$1203,0)=ROW()-3,1,0))</f>
        <v>0</v>
      </c>
      <c r="AP1043">
        <f>N(AP1042)+$AO1043</f>
        <v>13</v>
      </c>
      <c r="AR1043">
        <f>IF(OR($AF1043=1,$AH1043=1),1,0)</f>
        <v>0</v>
      </c>
      <c r="AS1043">
        <f>N(AS1042)+$AR1043</f>
        <v>0</v>
      </c>
    </row>
    <row r="1044" ht="14.25" customHeight="1" s="127">
      <c r="A1044">
        <f>IF(对接源_01水果!$C1044="","",对接源_01水果!$C1044)</f>
      </c>
      <c r="B1044">
        <f>IF(A1044="",0,IF(MATCH(A1044,$A$4:$A$2403,0)=ROW()-3,1,0))</f>
        <v>0</v>
      </c>
      <c r="C1044">
        <f>N(C1043)+B1044</f>
        <v>22</v>
      </c>
      <c r="K1044">
        <f>IF(OR($K$1="",对接源_01水果!$C1044="",对接源_01水果!$C1044&lt;&gt;$K$1,对接源_01水果!$B1044=""),0,IF(OR(N(对接源_01水果!$B1044)&lt;$K$2,N(对接源_01水果!$B1044)&gt;$K$3),0,1))</f>
        <v>0</v>
      </c>
      <c r="L1044">
        <f>IF(OR($L$1="",对接源_01水果!$C1044="",对接源_01水果!$C1044&lt;&gt;$L$1,对接源_01水果!$B1044=""),0,IF(OR(N(对接源_01水果!$B1044)&lt;$L$2,N(对接源_01水果!$B1044)&gt;$L$3),0,1))</f>
        <v>0</v>
      </c>
      <c r="M1044">
        <f>IF(OR($M$1="",对接源_01水果!$C1044="",对接源_01水果!$C1044&lt;&gt;$M$1,对接源_01水果!$B1044=""),0,IF(OR(N(对接源_01水果!$B1044)&lt;$M$2,N(对接源_01水果!$B1044)&gt;$M$3),0,1))</f>
        <v>0</v>
      </c>
      <c r="N1044">
        <f>IF(OR($N$1="",对接源_01水果!$C1044="",对接源_01水果!$C1044&lt;&gt;$N$1,对接源_01水果!$B1044=""),0,IF(OR(N(对接源_01水果!$B1044)&lt;$N$2,N(对接源_01水果!$B1044)&gt;$N$3),0,1))</f>
        <v>0</v>
      </c>
      <c r="P1044">
        <f>IF(AND($K1044=1,AND(对接源_01水果!$X1044="公司筐",N(对接源_01水果!$T1044)&lt;&gt;0)),1,0)</f>
        <v>0</v>
      </c>
      <c r="Q1044">
        <f>N(Q1043)+$P1044</f>
        <v>0</v>
      </c>
      <c r="R1044">
        <f>IF(AND($K1044=1,AND(对接源_01水果!$X1044="公司筐",N(对接源_01水果!$U1044)&lt;&gt;0)),1,0)</f>
        <v>0</v>
      </c>
      <c r="S1044">
        <f>N(S1043)+$R1044</f>
        <v>0</v>
      </c>
      <c r="T1044">
        <f>IF(AND($K1044=1,AND(对接源_01水果!$X1044="公司筐",N(对接源_01水果!$V1044)&lt;&gt;0)),1,0)</f>
        <v>0</v>
      </c>
      <c r="U1044">
        <f>N(U1043)+$T1044</f>
        <v>47</v>
      </c>
      <c r="V1044">
        <f>IF(AND($L1044=1,AND(对接源_01水果!$X1044="自备筐",N(对接源_01水果!$V1044)&lt;&gt;0)),1,0)</f>
        <v>0</v>
      </c>
      <c r="W1044">
        <f>N(W1043)+$V1044</f>
        <v>11</v>
      </c>
      <c r="X1044">
        <f>IF(AND($L1044=1,AND(对接源_01水果!$X1044="自备筐",N(对接源_01水果!$T1044)&lt;&gt;0)),1,0)</f>
        <v>0</v>
      </c>
      <c r="Y1044">
        <f>N(Y1043)+$X1044</f>
        <v>0</v>
      </c>
      <c r="Z1044">
        <f>IF(AND($M1044=1,对接源_01水果!$D1044="原料入库"),1,0)</f>
        <v>0</v>
      </c>
      <c r="AA1044">
        <f>N(AA1043)+$Z1044</f>
        <v>24</v>
      </c>
      <c r="AB1044">
        <f>IF(AND($M1044=1,LEFT(对接源_01水果!$D1044,4)="原料出库"),1,0)</f>
        <v>0</v>
      </c>
      <c r="AC1044">
        <f>N(AC1043)+$AB1044</f>
        <v>0</v>
      </c>
      <c r="AD1044">
        <f>IF(AND($M1044=1,LEFT(对接源_01水果!$D1044,4)="成品出库"),1,0)</f>
        <v>0</v>
      </c>
      <c r="AE1044">
        <f>N(AE1043)+$AD1044</f>
        <v>0</v>
      </c>
      <c r="AF1044">
        <f>IF(AND($N1044=1,AND(LEFT(对接源_01水果!$D1044,4)="包装物料",N(对接源_01水果!$K1044)&lt;&gt;0)),1,0)</f>
        <v>0</v>
      </c>
      <c r="AG1044">
        <f>N(AG1043)+$AF1044</f>
        <v>0</v>
      </c>
      <c r="AH1044">
        <f>IF(AND($N1044=1,AND(对接源_01水果!$D1044="周转筐－销售出库",N(对接源_01水果!$K1044)&lt;&gt;0)),1,0)</f>
        <v>0</v>
      </c>
      <c r="AI1044">
        <f>N(AI1043)+$AH1044</f>
        <v>0</v>
      </c>
      <c r="AJ1044" s="7" t="n"/>
      <c r="AL1044">
        <f>IF(OR($AL$1="",对接源_01水果!$Y1044="",对接源_01水果!$Y1044&lt;&gt;$AL$1,对接源_01水果!$B1044="",N(对接源_01水果!$AJ1044)&lt;=0),0,IF(OR(N(对接源_01水果!$B1044)&lt;$AL$2,N(对接源_01水果!$B1044)&gt;$AL$3),0,1))</f>
        <v>0</v>
      </c>
      <c r="AM1044">
        <f>N(AM1043)+$AL1044</f>
        <v>2</v>
      </c>
      <c r="AN1044">
        <f>IF(对接源_01水果!$AC1044="","",对接源_01水果!$AC1044)</f>
      </c>
      <c r="AO1044">
        <f>IF(AN1044="",0,IF(MATCH(AN1044,$AN$4:$AN$1203,0)=ROW()-3,1,0))</f>
        <v>0</v>
      </c>
      <c r="AP1044">
        <f>N(AP1043)+$AO1044</f>
        <v>13</v>
      </c>
      <c r="AR1044">
        <f>IF(OR($AF1044=1,$AH1044=1),1,0)</f>
        <v>0</v>
      </c>
      <c r="AS1044">
        <f>N(AS1043)+$AR1044</f>
        <v>0</v>
      </c>
    </row>
    <row r="1045" ht="14.25" customHeight="1" s="127">
      <c r="A1045">
        <f>IF(对接源_01水果!$C1045="","",对接源_01水果!$C1045)</f>
      </c>
      <c r="B1045">
        <f>IF(A1045="",0,IF(MATCH(A1045,$A$4:$A$2403,0)=ROW()-3,1,0))</f>
        <v>0</v>
      </c>
      <c r="C1045">
        <f>N(C1044)+B1045</f>
        <v>22</v>
      </c>
      <c r="K1045">
        <f>IF(OR($K$1="",对接源_01水果!$C1045="",对接源_01水果!$C1045&lt;&gt;$K$1,对接源_01水果!$B1045=""),0,IF(OR(N(对接源_01水果!$B1045)&lt;$K$2,N(对接源_01水果!$B1045)&gt;$K$3),0,1))</f>
        <v>0</v>
      </c>
      <c r="L1045">
        <f>IF(OR($L$1="",对接源_01水果!$C1045="",对接源_01水果!$C1045&lt;&gt;$L$1,对接源_01水果!$B1045=""),0,IF(OR(N(对接源_01水果!$B1045)&lt;$L$2,N(对接源_01水果!$B1045)&gt;$L$3),0,1))</f>
        <v>0</v>
      </c>
      <c r="M1045">
        <f>IF(OR($M$1="",对接源_01水果!$C1045="",对接源_01水果!$C1045&lt;&gt;$M$1,对接源_01水果!$B1045=""),0,IF(OR(N(对接源_01水果!$B1045)&lt;$M$2,N(对接源_01水果!$B1045)&gt;$M$3),0,1))</f>
        <v>0</v>
      </c>
      <c r="N1045">
        <f>IF(OR($N$1="",对接源_01水果!$C1045="",对接源_01水果!$C1045&lt;&gt;$N$1,对接源_01水果!$B1045=""),0,IF(OR(N(对接源_01水果!$B1045)&lt;$N$2,N(对接源_01水果!$B1045)&gt;$N$3),0,1))</f>
        <v>0</v>
      </c>
      <c r="P1045">
        <f>IF(AND($K1045=1,AND(对接源_01水果!$X1045="公司筐",N(对接源_01水果!$T1045)&lt;&gt;0)),1,0)</f>
        <v>0</v>
      </c>
      <c r="Q1045">
        <f>N(Q1044)+$P1045</f>
        <v>0</v>
      </c>
      <c r="R1045">
        <f>IF(AND($K1045=1,AND(对接源_01水果!$X1045="公司筐",N(对接源_01水果!$U1045)&lt;&gt;0)),1,0)</f>
        <v>0</v>
      </c>
      <c r="S1045">
        <f>N(S1044)+$R1045</f>
        <v>0</v>
      </c>
      <c r="T1045">
        <f>IF(AND($K1045=1,AND(对接源_01水果!$X1045="公司筐",N(对接源_01水果!$V1045)&lt;&gt;0)),1,0)</f>
        <v>0</v>
      </c>
      <c r="U1045">
        <f>N(U1044)+$T1045</f>
        <v>47</v>
      </c>
      <c r="V1045">
        <f>IF(AND($L1045=1,AND(对接源_01水果!$X1045="自备筐",N(对接源_01水果!$V1045)&lt;&gt;0)),1,0)</f>
        <v>0</v>
      </c>
      <c r="W1045">
        <f>N(W1044)+$V1045</f>
        <v>11</v>
      </c>
      <c r="X1045">
        <f>IF(AND($L1045=1,AND(对接源_01水果!$X1045="自备筐",N(对接源_01水果!$T1045)&lt;&gt;0)),1,0)</f>
        <v>0</v>
      </c>
      <c r="Y1045">
        <f>N(Y1044)+$X1045</f>
        <v>0</v>
      </c>
      <c r="Z1045">
        <f>IF(AND($M1045=1,对接源_01水果!$D1045="原料入库"),1,0)</f>
        <v>0</v>
      </c>
      <c r="AA1045">
        <f>N(AA1044)+$Z1045</f>
        <v>24</v>
      </c>
      <c r="AB1045">
        <f>IF(AND($M1045=1,LEFT(对接源_01水果!$D1045,4)="原料出库"),1,0)</f>
        <v>0</v>
      </c>
      <c r="AC1045">
        <f>N(AC1044)+$AB1045</f>
        <v>0</v>
      </c>
      <c r="AD1045">
        <f>IF(AND($M1045=1,LEFT(对接源_01水果!$D1045,4)="成品出库"),1,0)</f>
        <v>0</v>
      </c>
      <c r="AE1045">
        <f>N(AE1044)+$AD1045</f>
        <v>0</v>
      </c>
      <c r="AF1045">
        <f>IF(AND($N1045=1,AND(LEFT(对接源_01水果!$D1045,4)="包装物料",N(对接源_01水果!$K1045)&lt;&gt;0)),1,0)</f>
        <v>0</v>
      </c>
      <c r="AG1045">
        <f>N(AG1044)+$AF1045</f>
        <v>0</v>
      </c>
      <c r="AH1045">
        <f>IF(AND($N1045=1,AND(对接源_01水果!$D1045="周转筐－销售出库",N(对接源_01水果!$K1045)&lt;&gt;0)),1,0)</f>
        <v>0</v>
      </c>
      <c r="AI1045">
        <f>N(AI1044)+$AH1045</f>
        <v>0</v>
      </c>
      <c r="AJ1045" s="7" t="n"/>
      <c r="AL1045">
        <f>IF(OR($AL$1="",对接源_01水果!$Y1045="",对接源_01水果!$Y1045&lt;&gt;$AL$1,对接源_01水果!$B1045="",N(对接源_01水果!$AJ1045)&lt;=0),0,IF(OR(N(对接源_01水果!$B1045)&lt;$AL$2,N(对接源_01水果!$B1045)&gt;$AL$3),0,1))</f>
        <v>0</v>
      </c>
      <c r="AM1045">
        <f>N(AM1044)+$AL1045</f>
        <v>2</v>
      </c>
      <c r="AN1045">
        <f>IF(对接源_01水果!$AC1045="","",对接源_01水果!$AC1045)</f>
      </c>
      <c r="AO1045">
        <f>IF(AN1045="",0,IF(MATCH(AN1045,$AN$4:$AN$1203,0)=ROW()-3,1,0))</f>
        <v>0</v>
      </c>
      <c r="AP1045">
        <f>N(AP1044)+$AO1045</f>
        <v>13</v>
      </c>
      <c r="AR1045">
        <f>IF(OR($AF1045=1,$AH1045=1),1,0)</f>
        <v>0</v>
      </c>
      <c r="AS1045">
        <f>N(AS1044)+$AR1045</f>
        <v>0</v>
      </c>
    </row>
    <row r="1046" ht="14.25" customHeight="1" s="127">
      <c r="A1046">
        <f>IF(对接源_01水果!$C1046="","",对接源_01水果!$C1046)</f>
      </c>
      <c r="B1046">
        <f>IF(A1046="",0,IF(MATCH(A1046,$A$4:$A$2403,0)=ROW()-3,1,0))</f>
        <v>0</v>
      </c>
      <c r="C1046">
        <f>N(C1045)+B1046</f>
        <v>22</v>
      </c>
      <c r="K1046">
        <f>IF(OR($K$1="",对接源_01水果!$C1046="",对接源_01水果!$C1046&lt;&gt;$K$1,对接源_01水果!$B1046=""),0,IF(OR(N(对接源_01水果!$B1046)&lt;$K$2,N(对接源_01水果!$B1046)&gt;$K$3),0,1))</f>
        <v>0</v>
      </c>
      <c r="L1046">
        <f>IF(OR($L$1="",对接源_01水果!$C1046="",对接源_01水果!$C1046&lt;&gt;$L$1,对接源_01水果!$B1046=""),0,IF(OR(N(对接源_01水果!$B1046)&lt;$L$2,N(对接源_01水果!$B1046)&gt;$L$3),0,1))</f>
        <v>0</v>
      </c>
      <c r="M1046">
        <f>IF(OR($M$1="",对接源_01水果!$C1046="",对接源_01水果!$C1046&lt;&gt;$M$1,对接源_01水果!$B1046=""),0,IF(OR(N(对接源_01水果!$B1046)&lt;$M$2,N(对接源_01水果!$B1046)&gt;$M$3),0,1))</f>
        <v>0</v>
      </c>
      <c r="N1046">
        <f>IF(OR($N$1="",对接源_01水果!$C1046="",对接源_01水果!$C1046&lt;&gt;$N$1,对接源_01水果!$B1046=""),0,IF(OR(N(对接源_01水果!$B1046)&lt;$N$2,N(对接源_01水果!$B1046)&gt;$N$3),0,1))</f>
        <v>0</v>
      </c>
      <c r="P1046">
        <f>IF(AND($K1046=1,AND(对接源_01水果!$X1046="公司筐",N(对接源_01水果!$T1046)&lt;&gt;0)),1,0)</f>
        <v>0</v>
      </c>
      <c r="Q1046">
        <f>N(Q1045)+$P1046</f>
        <v>0</v>
      </c>
      <c r="R1046">
        <f>IF(AND($K1046=1,AND(对接源_01水果!$X1046="公司筐",N(对接源_01水果!$U1046)&lt;&gt;0)),1,0)</f>
        <v>0</v>
      </c>
      <c r="S1046">
        <f>N(S1045)+$R1046</f>
        <v>0</v>
      </c>
      <c r="T1046">
        <f>IF(AND($K1046=1,AND(对接源_01水果!$X1046="公司筐",N(对接源_01水果!$V1046)&lt;&gt;0)),1,0)</f>
        <v>0</v>
      </c>
      <c r="U1046">
        <f>N(U1045)+$T1046</f>
        <v>47</v>
      </c>
      <c r="V1046">
        <f>IF(AND($L1046=1,AND(对接源_01水果!$X1046="自备筐",N(对接源_01水果!$V1046)&lt;&gt;0)),1,0)</f>
        <v>0</v>
      </c>
      <c r="W1046">
        <f>N(W1045)+$V1046</f>
        <v>11</v>
      </c>
      <c r="X1046">
        <f>IF(AND($L1046=1,AND(对接源_01水果!$X1046="自备筐",N(对接源_01水果!$T1046)&lt;&gt;0)),1,0)</f>
        <v>0</v>
      </c>
      <c r="Y1046">
        <f>N(Y1045)+$X1046</f>
        <v>0</v>
      </c>
      <c r="Z1046">
        <f>IF(AND($M1046=1,对接源_01水果!$D1046="原料入库"),1,0)</f>
        <v>0</v>
      </c>
      <c r="AA1046">
        <f>N(AA1045)+$Z1046</f>
        <v>24</v>
      </c>
      <c r="AB1046">
        <f>IF(AND($M1046=1,LEFT(对接源_01水果!$D1046,4)="原料出库"),1,0)</f>
        <v>0</v>
      </c>
      <c r="AC1046">
        <f>N(AC1045)+$AB1046</f>
        <v>0</v>
      </c>
      <c r="AD1046">
        <f>IF(AND($M1046=1,LEFT(对接源_01水果!$D1046,4)="成品出库"),1,0)</f>
        <v>0</v>
      </c>
      <c r="AE1046">
        <f>N(AE1045)+$AD1046</f>
        <v>0</v>
      </c>
      <c r="AF1046">
        <f>IF(AND($N1046=1,AND(LEFT(对接源_01水果!$D1046,4)="包装物料",N(对接源_01水果!$K1046)&lt;&gt;0)),1,0)</f>
        <v>0</v>
      </c>
      <c r="AG1046">
        <f>N(AG1045)+$AF1046</f>
        <v>0</v>
      </c>
      <c r="AH1046">
        <f>IF(AND($N1046=1,AND(对接源_01水果!$D1046="周转筐－销售出库",N(对接源_01水果!$K1046)&lt;&gt;0)),1,0)</f>
        <v>0</v>
      </c>
      <c r="AI1046">
        <f>N(AI1045)+$AH1046</f>
        <v>0</v>
      </c>
      <c r="AJ1046" s="7" t="n"/>
      <c r="AL1046">
        <f>IF(OR($AL$1="",对接源_01水果!$Y1046="",对接源_01水果!$Y1046&lt;&gt;$AL$1,对接源_01水果!$B1046="",N(对接源_01水果!$AJ1046)&lt;=0),0,IF(OR(N(对接源_01水果!$B1046)&lt;$AL$2,N(对接源_01水果!$B1046)&gt;$AL$3),0,1))</f>
        <v>0</v>
      </c>
      <c r="AM1046">
        <f>N(AM1045)+$AL1046</f>
        <v>2</v>
      </c>
      <c r="AN1046">
        <f>IF(对接源_01水果!$AC1046="","",对接源_01水果!$AC1046)</f>
      </c>
      <c r="AO1046">
        <f>IF(AN1046="",0,IF(MATCH(AN1046,$AN$4:$AN$1203,0)=ROW()-3,1,0))</f>
        <v>0</v>
      </c>
      <c r="AP1046">
        <f>N(AP1045)+$AO1046</f>
        <v>13</v>
      </c>
      <c r="AR1046">
        <f>IF(OR($AF1046=1,$AH1046=1),1,0)</f>
        <v>0</v>
      </c>
      <c r="AS1046">
        <f>N(AS1045)+$AR1046</f>
        <v>0</v>
      </c>
    </row>
    <row r="1047" ht="14.25" customHeight="1" s="127">
      <c r="A1047">
        <f>IF(对接源_01水果!$C1047="","",对接源_01水果!$C1047)</f>
      </c>
      <c r="B1047">
        <f>IF(A1047="",0,IF(MATCH(A1047,$A$4:$A$2403,0)=ROW()-3,1,0))</f>
        <v>0</v>
      </c>
      <c r="C1047">
        <f>N(C1046)+B1047</f>
        <v>22</v>
      </c>
      <c r="K1047">
        <f>IF(OR($K$1="",对接源_01水果!$C1047="",对接源_01水果!$C1047&lt;&gt;$K$1,对接源_01水果!$B1047=""),0,IF(OR(N(对接源_01水果!$B1047)&lt;$K$2,N(对接源_01水果!$B1047)&gt;$K$3),0,1))</f>
        <v>0</v>
      </c>
      <c r="L1047">
        <f>IF(OR($L$1="",对接源_01水果!$C1047="",对接源_01水果!$C1047&lt;&gt;$L$1,对接源_01水果!$B1047=""),0,IF(OR(N(对接源_01水果!$B1047)&lt;$L$2,N(对接源_01水果!$B1047)&gt;$L$3),0,1))</f>
        <v>0</v>
      </c>
      <c r="M1047">
        <f>IF(OR($M$1="",对接源_01水果!$C1047="",对接源_01水果!$C1047&lt;&gt;$M$1,对接源_01水果!$B1047=""),0,IF(OR(N(对接源_01水果!$B1047)&lt;$M$2,N(对接源_01水果!$B1047)&gt;$M$3),0,1))</f>
        <v>0</v>
      </c>
      <c r="N1047">
        <f>IF(OR($N$1="",对接源_01水果!$C1047="",对接源_01水果!$C1047&lt;&gt;$N$1,对接源_01水果!$B1047=""),0,IF(OR(N(对接源_01水果!$B1047)&lt;$N$2,N(对接源_01水果!$B1047)&gt;$N$3),0,1))</f>
        <v>0</v>
      </c>
      <c r="P1047">
        <f>IF(AND($K1047=1,AND(对接源_01水果!$X1047="公司筐",N(对接源_01水果!$T1047)&lt;&gt;0)),1,0)</f>
        <v>0</v>
      </c>
      <c r="Q1047">
        <f>N(Q1046)+$P1047</f>
        <v>0</v>
      </c>
      <c r="R1047">
        <f>IF(AND($K1047=1,AND(对接源_01水果!$X1047="公司筐",N(对接源_01水果!$U1047)&lt;&gt;0)),1,0)</f>
        <v>0</v>
      </c>
      <c r="S1047">
        <f>N(S1046)+$R1047</f>
        <v>0</v>
      </c>
      <c r="T1047">
        <f>IF(AND($K1047=1,AND(对接源_01水果!$X1047="公司筐",N(对接源_01水果!$V1047)&lt;&gt;0)),1,0)</f>
        <v>0</v>
      </c>
      <c r="U1047">
        <f>N(U1046)+$T1047</f>
        <v>47</v>
      </c>
      <c r="V1047">
        <f>IF(AND($L1047=1,AND(对接源_01水果!$X1047="自备筐",N(对接源_01水果!$V1047)&lt;&gt;0)),1,0)</f>
        <v>0</v>
      </c>
      <c r="W1047">
        <f>N(W1046)+$V1047</f>
        <v>11</v>
      </c>
      <c r="X1047">
        <f>IF(AND($L1047=1,AND(对接源_01水果!$X1047="自备筐",N(对接源_01水果!$T1047)&lt;&gt;0)),1,0)</f>
        <v>0</v>
      </c>
      <c r="Y1047">
        <f>N(Y1046)+$X1047</f>
        <v>0</v>
      </c>
      <c r="Z1047">
        <f>IF(AND($M1047=1,对接源_01水果!$D1047="原料入库"),1,0)</f>
        <v>0</v>
      </c>
      <c r="AA1047">
        <f>N(AA1046)+$Z1047</f>
        <v>24</v>
      </c>
      <c r="AB1047">
        <f>IF(AND($M1047=1,LEFT(对接源_01水果!$D1047,4)="原料出库"),1,0)</f>
        <v>0</v>
      </c>
      <c r="AC1047">
        <f>N(AC1046)+$AB1047</f>
        <v>0</v>
      </c>
      <c r="AD1047">
        <f>IF(AND($M1047=1,LEFT(对接源_01水果!$D1047,4)="成品出库"),1,0)</f>
        <v>0</v>
      </c>
      <c r="AE1047">
        <f>N(AE1046)+$AD1047</f>
        <v>0</v>
      </c>
      <c r="AF1047">
        <f>IF(AND($N1047=1,AND(LEFT(对接源_01水果!$D1047,4)="包装物料",N(对接源_01水果!$K1047)&lt;&gt;0)),1,0)</f>
        <v>0</v>
      </c>
      <c r="AG1047">
        <f>N(AG1046)+$AF1047</f>
        <v>0</v>
      </c>
      <c r="AH1047">
        <f>IF(AND($N1047=1,AND(对接源_01水果!$D1047="周转筐－销售出库",N(对接源_01水果!$K1047)&lt;&gt;0)),1,0)</f>
        <v>0</v>
      </c>
      <c r="AI1047">
        <f>N(AI1046)+$AH1047</f>
        <v>0</v>
      </c>
      <c r="AJ1047" s="7" t="n"/>
      <c r="AL1047">
        <f>IF(OR($AL$1="",对接源_01水果!$Y1047="",对接源_01水果!$Y1047&lt;&gt;$AL$1,对接源_01水果!$B1047="",N(对接源_01水果!$AJ1047)&lt;=0),0,IF(OR(N(对接源_01水果!$B1047)&lt;$AL$2,N(对接源_01水果!$B1047)&gt;$AL$3),0,1))</f>
        <v>0</v>
      </c>
      <c r="AM1047">
        <f>N(AM1046)+$AL1047</f>
        <v>2</v>
      </c>
      <c r="AN1047">
        <f>IF(对接源_01水果!$AC1047="","",对接源_01水果!$AC1047)</f>
      </c>
      <c r="AO1047">
        <f>IF(AN1047="",0,IF(MATCH(AN1047,$AN$4:$AN$1203,0)=ROW()-3,1,0))</f>
        <v>0</v>
      </c>
      <c r="AP1047">
        <f>N(AP1046)+$AO1047</f>
        <v>13</v>
      </c>
      <c r="AR1047">
        <f>IF(OR($AF1047=1,$AH1047=1),1,0)</f>
        <v>0</v>
      </c>
      <c r="AS1047">
        <f>N(AS1046)+$AR1047</f>
        <v>0</v>
      </c>
    </row>
    <row r="1048" ht="14.25" customHeight="1" s="127">
      <c r="A1048">
        <f>IF(对接源_01水果!$C1048="","",对接源_01水果!$C1048)</f>
      </c>
      <c r="B1048">
        <f>IF(A1048="",0,IF(MATCH(A1048,$A$4:$A$2403,0)=ROW()-3,1,0))</f>
        <v>0</v>
      </c>
      <c r="C1048">
        <f>N(C1047)+B1048</f>
        <v>22</v>
      </c>
      <c r="K1048">
        <f>IF(OR($K$1="",对接源_01水果!$C1048="",对接源_01水果!$C1048&lt;&gt;$K$1,对接源_01水果!$B1048=""),0,IF(OR(N(对接源_01水果!$B1048)&lt;$K$2,N(对接源_01水果!$B1048)&gt;$K$3),0,1))</f>
        <v>0</v>
      </c>
      <c r="L1048">
        <f>IF(OR($L$1="",对接源_01水果!$C1048="",对接源_01水果!$C1048&lt;&gt;$L$1,对接源_01水果!$B1048=""),0,IF(OR(N(对接源_01水果!$B1048)&lt;$L$2,N(对接源_01水果!$B1048)&gt;$L$3),0,1))</f>
        <v>0</v>
      </c>
      <c r="M1048">
        <f>IF(OR($M$1="",对接源_01水果!$C1048="",对接源_01水果!$C1048&lt;&gt;$M$1,对接源_01水果!$B1048=""),0,IF(OR(N(对接源_01水果!$B1048)&lt;$M$2,N(对接源_01水果!$B1048)&gt;$M$3),0,1))</f>
        <v>0</v>
      </c>
      <c r="N1048">
        <f>IF(OR($N$1="",对接源_01水果!$C1048="",对接源_01水果!$C1048&lt;&gt;$N$1,对接源_01水果!$B1048=""),0,IF(OR(N(对接源_01水果!$B1048)&lt;$N$2,N(对接源_01水果!$B1048)&gt;$N$3),0,1))</f>
        <v>0</v>
      </c>
      <c r="P1048">
        <f>IF(AND($K1048=1,AND(对接源_01水果!$X1048="公司筐",N(对接源_01水果!$T1048)&lt;&gt;0)),1,0)</f>
        <v>0</v>
      </c>
      <c r="Q1048">
        <f>N(Q1047)+$P1048</f>
        <v>0</v>
      </c>
      <c r="R1048">
        <f>IF(AND($K1048=1,AND(对接源_01水果!$X1048="公司筐",N(对接源_01水果!$U1048)&lt;&gt;0)),1,0)</f>
        <v>0</v>
      </c>
      <c r="S1048">
        <f>N(S1047)+$R1048</f>
        <v>0</v>
      </c>
      <c r="T1048">
        <f>IF(AND($K1048=1,AND(对接源_01水果!$X1048="公司筐",N(对接源_01水果!$V1048)&lt;&gt;0)),1,0)</f>
        <v>0</v>
      </c>
      <c r="U1048">
        <f>N(U1047)+$T1048</f>
        <v>47</v>
      </c>
      <c r="V1048">
        <f>IF(AND($L1048=1,AND(对接源_01水果!$X1048="自备筐",N(对接源_01水果!$V1048)&lt;&gt;0)),1,0)</f>
        <v>0</v>
      </c>
      <c r="W1048">
        <f>N(W1047)+$V1048</f>
        <v>11</v>
      </c>
      <c r="X1048">
        <f>IF(AND($L1048=1,AND(对接源_01水果!$X1048="自备筐",N(对接源_01水果!$T1048)&lt;&gt;0)),1,0)</f>
        <v>0</v>
      </c>
      <c r="Y1048">
        <f>N(Y1047)+$X1048</f>
        <v>0</v>
      </c>
      <c r="Z1048">
        <f>IF(AND($M1048=1,对接源_01水果!$D1048="原料入库"),1,0)</f>
        <v>0</v>
      </c>
      <c r="AA1048">
        <f>N(AA1047)+$Z1048</f>
        <v>24</v>
      </c>
      <c r="AB1048">
        <f>IF(AND($M1048=1,LEFT(对接源_01水果!$D1048,4)="原料出库"),1,0)</f>
        <v>0</v>
      </c>
      <c r="AC1048">
        <f>N(AC1047)+$AB1048</f>
        <v>0</v>
      </c>
      <c r="AD1048">
        <f>IF(AND($M1048=1,LEFT(对接源_01水果!$D1048,4)="成品出库"),1,0)</f>
        <v>0</v>
      </c>
      <c r="AE1048">
        <f>N(AE1047)+$AD1048</f>
        <v>0</v>
      </c>
      <c r="AF1048">
        <f>IF(AND($N1048=1,AND(LEFT(对接源_01水果!$D1048,4)="包装物料",N(对接源_01水果!$K1048)&lt;&gt;0)),1,0)</f>
        <v>0</v>
      </c>
      <c r="AG1048">
        <f>N(AG1047)+$AF1048</f>
        <v>0</v>
      </c>
      <c r="AH1048">
        <f>IF(AND($N1048=1,AND(对接源_01水果!$D1048="周转筐－销售出库",N(对接源_01水果!$K1048)&lt;&gt;0)),1,0)</f>
        <v>0</v>
      </c>
      <c r="AI1048">
        <f>N(AI1047)+$AH1048</f>
        <v>0</v>
      </c>
      <c r="AJ1048" s="7" t="n"/>
      <c r="AL1048">
        <f>IF(OR($AL$1="",对接源_01水果!$Y1048="",对接源_01水果!$Y1048&lt;&gt;$AL$1,对接源_01水果!$B1048="",N(对接源_01水果!$AJ1048)&lt;=0),0,IF(OR(N(对接源_01水果!$B1048)&lt;$AL$2,N(对接源_01水果!$B1048)&gt;$AL$3),0,1))</f>
        <v>0</v>
      </c>
      <c r="AM1048">
        <f>N(AM1047)+$AL1048</f>
        <v>2</v>
      </c>
      <c r="AN1048">
        <f>IF(对接源_01水果!$AC1048="","",对接源_01水果!$AC1048)</f>
      </c>
      <c r="AO1048">
        <f>IF(AN1048="",0,IF(MATCH(AN1048,$AN$4:$AN$1203,0)=ROW()-3,1,0))</f>
        <v>0</v>
      </c>
      <c r="AP1048">
        <f>N(AP1047)+$AO1048</f>
        <v>13</v>
      </c>
      <c r="AR1048">
        <f>IF(OR($AF1048=1,$AH1048=1),1,0)</f>
        <v>0</v>
      </c>
      <c r="AS1048">
        <f>N(AS1047)+$AR1048</f>
        <v>0</v>
      </c>
    </row>
    <row r="1049" ht="14.25" customHeight="1" s="127">
      <c r="A1049">
        <f>IF(对接源_01水果!$C1049="","",对接源_01水果!$C1049)</f>
      </c>
      <c r="B1049">
        <f>IF(A1049="",0,IF(MATCH(A1049,$A$4:$A$2403,0)=ROW()-3,1,0))</f>
        <v>0</v>
      </c>
      <c r="C1049">
        <f>N(C1048)+B1049</f>
        <v>22</v>
      </c>
      <c r="K1049">
        <f>IF(OR($K$1="",对接源_01水果!$C1049="",对接源_01水果!$C1049&lt;&gt;$K$1,对接源_01水果!$B1049=""),0,IF(OR(N(对接源_01水果!$B1049)&lt;$K$2,N(对接源_01水果!$B1049)&gt;$K$3),0,1))</f>
        <v>0</v>
      </c>
      <c r="L1049">
        <f>IF(OR($L$1="",对接源_01水果!$C1049="",对接源_01水果!$C1049&lt;&gt;$L$1,对接源_01水果!$B1049=""),0,IF(OR(N(对接源_01水果!$B1049)&lt;$L$2,N(对接源_01水果!$B1049)&gt;$L$3),0,1))</f>
        <v>0</v>
      </c>
      <c r="M1049">
        <f>IF(OR($M$1="",对接源_01水果!$C1049="",对接源_01水果!$C1049&lt;&gt;$M$1,对接源_01水果!$B1049=""),0,IF(OR(N(对接源_01水果!$B1049)&lt;$M$2,N(对接源_01水果!$B1049)&gt;$M$3),0,1))</f>
        <v>0</v>
      </c>
      <c r="N1049">
        <f>IF(OR($N$1="",对接源_01水果!$C1049="",对接源_01水果!$C1049&lt;&gt;$N$1,对接源_01水果!$B1049=""),0,IF(OR(N(对接源_01水果!$B1049)&lt;$N$2,N(对接源_01水果!$B1049)&gt;$N$3),0,1))</f>
        <v>0</v>
      </c>
      <c r="P1049">
        <f>IF(AND($K1049=1,AND(对接源_01水果!$X1049="公司筐",N(对接源_01水果!$T1049)&lt;&gt;0)),1,0)</f>
        <v>0</v>
      </c>
      <c r="Q1049">
        <f>N(Q1048)+$P1049</f>
        <v>0</v>
      </c>
      <c r="R1049">
        <f>IF(AND($K1049=1,AND(对接源_01水果!$X1049="公司筐",N(对接源_01水果!$U1049)&lt;&gt;0)),1,0)</f>
        <v>0</v>
      </c>
      <c r="S1049">
        <f>N(S1048)+$R1049</f>
        <v>0</v>
      </c>
      <c r="T1049">
        <f>IF(AND($K1049=1,AND(对接源_01水果!$X1049="公司筐",N(对接源_01水果!$V1049)&lt;&gt;0)),1,0)</f>
        <v>0</v>
      </c>
      <c r="U1049">
        <f>N(U1048)+$T1049</f>
        <v>47</v>
      </c>
      <c r="V1049">
        <f>IF(AND($L1049=1,AND(对接源_01水果!$X1049="自备筐",N(对接源_01水果!$V1049)&lt;&gt;0)),1,0)</f>
        <v>0</v>
      </c>
      <c r="W1049">
        <f>N(W1048)+$V1049</f>
        <v>11</v>
      </c>
      <c r="X1049">
        <f>IF(AND($L1049=1,AND(对接源_01水果!$X1049="自备筐",N(对接源_01水果!$T1049)&lt;&gt;0)),1,0)</f>
        <v>0</v>
      </c>
      <c r="Y1049">
        <f>N(Y1048)+$X1049</f>
        <v>0</v>
      </c>
      <c r="Z1049">
        <f>IF(AND($M1049=1,对接源_01水果!$D1049="原料入库"),1,0)</f>
        <v>0</v>
      </c>
      <c r="AA1049">
        <f>N(AA1048)+$Z1049</f>
        <v>24</v>
      </c>
      <c r="AB1049">
        <f>IF(AND($M1049=1,LEFT(对接源_01水果!$D1049,4)="原料出库"),1,0)</f>
        <v>0</v>
      </c>
      <c r="AC1049">
        <f>N(AC1048)+$AB1049</f>
        <v>0</v>
      </c>
      <c r="AD1049">
        <f>IF(AND($M1049=1,LEFT(对接源_01水果!$D1049,4)="成品出库"),1,0)</f>
        <v>0</v>
      </c>
      <c r="AE1049">
        <f>N(AE1048)+$AD1049</f>
        <v>0</v>
      </c>
      <c r="AF1049">
        <f>IF(AND($N1049=1,AND(LEFT(对接源_01水果!$D1049,4)="包装物料",N(对接源_01水果!$K1049)&lt;&gt;0)),1,0)</f>
        <v>0</v>
      </c>
      <c r="AG1049">
        <f>N(AG1048)+$AF1049</f>
        <v>0</v>
      </c>
      <c r="AH1049">
        <f>IF(AND($N1049=1,AND(对接源_01水果!$D1049="周转筐－销售出库",N(对接源_01水果!$K1049)&lt;&gt;0)),1,0)</f>
        <v>0</v>
      </c>
      <c r="AI1049">
        <f>N(AI1048)+$AH1049</f>
        <v>0</v>
      </c>
      <c r="AJ1049" s="7" t="n"/>
      <c r="AL1049">
        <f>IF(OR($AL$1="",对接源_01水果!$Y1049="",对接源_01水果!$Y1049&lt;&gt;$AL$1,对接源_01水果!$B1049="",N(对接源_01水果!$AJ1049)&lt;=0),0,IF(OR(N(对接源_01水果!$B1049)&lt;$AL$2,N(对接源_01水果!$B1049)&gt;$AL$3),0,1))</f>
        <v>0</v>
      </c>
      <c r="AM1049">
        <f>N(AM1048)+$AL1049</f>
        <v>2</v>
      </c>
      <c r="AN1049">
        <f>IF(对接源_01水果!$AC1049="","",对接源_01水果!$AC1049)</f>
      </c>
      <c r="AO1049">
        <f>IF(AN1049="",0,IF(MATCH(AN1049,$AN$4:$AN$1203,0)=ROW()-3,1,0))</f>
        <v>0</v>
      </c>
      <c r="AP1049">
        <f>N(AP1048)+$AO1049</f>
        <v>13</v>
      </c>
      <c r="AR1049">
        <f>IF(OR($AF1049=1,$AH1049=1),1,0)</f>
        <v>0</v>
      </c>
      <c r="AS1049">
        <f>N(AS1048)+$AR1049</f>
        <v>0</v>
      </c>
    </row>
    <row r="1050" ht="14.25" customHeight="1" s="127">
      <c r="A1050">
        <f>IF(对接源_01水果!$C1050="","",对接源_01水果!$C1050)</f>
      </c>
      <c r="B1050">
        <f>IF(A1050="",0,IF(MATCH(A1050,$A$4:$A$2403,0)=ROW()-3,1,0))</f>
        <v>0</v>
      </c>
      <c r="C1050">
        <f>N(C1049)+B1050</f>
        <v>22</v>
      </c>
      <c r="K1050">
        <f>IF(OR($K$1="",对接源_01水果!$C1050="",对接源_01水果!$C1050&lt;&gt;$K$1,对接源_01水果!$B1050=""),0,IF(OR(N(对接源_01水果!$B1050)&lt;$K$2,N(对接源_01水果!$B1050)&gt;$K$3),0,1))</f>
        <v>0</v>
      </c>
      <c r="L1050">
        <f>IF(OR($L$1="",对接源_01水果!$C1050="",对接源_01水果!$C1050&lt;&gt;$L$1,对接源_01水果!$B1050=""),0,IF(OR(N(对接源_01水果!$B1050)&lt;$L$2,N(对接源_01水果!$B1050)&gt;$L$3),0,1))</f>
        <v>0</v>
      </c>
      <c r="M1050">
        <f>IF(OR($M$1="",对接源_01水果!$C1050="",对接源_01水果!$C1050&lt;&gt;$M$1,对接源_01水果!$B1050=""),0,IF(OR(N(对接源_01水果!$B1050)&lt;$M$2,N(对接源_01水果!$B1050)&gt;$M$3),0,1))</f>
        <v>0</v>
      </c>
      <c r="N1050">
        <f>IF(OR($N$1="",对接源_01水果!$C1050="",对接源_01水果!$C1050&lt;&gt;$N$1,对接源_01水果!$B1050=""),0,IF(OR(N(对接源_01水果!$B1050)&lt;$N$2,N(对接源_01水果!$B1050)&gt;$N$3),0,1))</f>
        <v>0</v>
      </c>
      <c r="P1050">
        <f>IF(AND($K1050=1,AND(对接源_01水果!$X1050="公司筐",N(对接源_01水果!$T1050)&lt;&gt;0)),1,0)</f>
        <v>0</v>
      </c>
      <c r="Q1050">
        <f>N(Q1049)+$P1050</f>
        <v>0</v>
      </c>
      <c r="R1050">
        <f>IF(AND($K1050=1,AND(对接源_01水果!$X1050="公司筐",N(对接源_01水果!$U1050)&lt;&gt;0)),1,0)</f>
        <v>0</v>
      </c>
      <c r="S1050">
        <f>N(S1049)+$R1050</f>
        <v>0</v>
      </c>
      <c r="T1050">
        <f>IF(AND($K1050=1,AND(对接源_01水果!$X1050="公司筐",N(对接源_01水果!$V1050)&lt;&gt;0)),1,0)</f>
        <v>0</v>
      </c>
      <c r="U1050">
        <f>N(U1049)+$T1050</f>
        <v>47</v>
      </c>
      <c r="V1050">
        <f>IF(AND($L1050=1,AND(对接源_01水果!$X1050="自备筐",N(对接源_01水果!$V1050)&lt;&gt;0)),1,0)</f>
        <v>0</v>
      </c>
      <c r="W1050">
        <f>N(W1049)+$V1050</f>
        <v>11</v>
      </c>
      <c r="X1050">
        <f>IF(AND($L1050=1,AND(对接源_01水果!$X1050="自备筐",N(对接源_01水果!$T1050)&lt;&gt;0)),1,0)</f>
        <v>0</v>
      </c>
      <c r="Y1050">
        <f>N(Y1049)+$X1050</f>
        <v>0</v>
      </c>
      <c r="Z1050">
        <f>IF(AND($M1050=1,对接源_01水果!$D1050="原料入库"),1,0)</f>
        <v>0</v>
      </c>
      <c r="AA1050">
        <f>N(AA1049)+$Z1050</f>
        <v>24</v>
      </c>
      <c r="AB1050">
        <f>IF(AND($M1050=1,LEFT(对接源_01水果!$D1050,4)="原料出库"),1,0)</f>
        <v>0</v>
      </c>
      <c r="AC1050">
        <f>N(AC1049)+$AB1050</f>
        <v>0</v>
      </c>
      <c r="AD1050">
        <f>IF(AND($M1050=1,LEFT(对接源_01水果!$D1050,4)="成品出库"),1,0)</f>
        <v>0</v>
      </c>
      <c r="AE1050">
        <f>N(AE1049)+$AD1050</f>
        <v>0</v>
      </c>
      <c r="AF1050">
        <f>IF(AND($N1050=1,AND(LEFT(对接源_01水果!$D1050,4)="包装物料",N(对接源_01水果!$K1050)&lt;&gt;0)),1,0)</f>
        <v>0</v>
      </c>
      <c r="AG1050">
        <f>N(AG1049)+$AF1050</f>
        <v>0</v>
      </c>
      <c r="AH1050">
        <f>IF(AND($N1050=1,AND(对接源_01水果!$D1050="周转筐－销售出库",N(对接源_01水果!$K1050)&lt;&gt;0)),1,0)</f>
        <v>0</v>
      </c>
      <c r="AI1050">
        <f>N(AI1049)+$AH1050</f>
        <v>0</v>
      </c>
      <c r="AJ1050" s="7" t="n"/>
      <c r="AL1050">
        <f>IF(OR($AL$1="",对接源_01水果!$Y1050="",对接源_01水果!$Y1050&lt;&gt;$AL$1,对接源_01水果!$B1050="",N(对接源_01水果!$AJ1050)&lt;=0),0,IF(OR(N(对接源_01水果!$B1050)&lt;$AL$2,N(对接源_01水果!$B1050)&gt;$AL$3),0,1))</f>
        <v>0</v>
      </c>
      <c r="AM1050">
        <f>N(AM1049)+$AL1050</f>
        <v>2</v>
      </c>
      <c r="AN1050">
        <f>IF(对接源_01水果!$AC1050="","",对接源_01水果!$AC1050)</f>
      </c>
      <c r="AO1050">
        <f>IF(AN1050="",0,IF(MATCH(AN1050,$AN$4:$AN$1203,0)=ROW()-3,1,0))</f>
        <v>0</v>
      </c>
      <c r="AP1050">
        <f>N(AP1049)+$AO1050</f>
        <v>13</v>
      </c>
      <c r="AR1050">
        <f>IF(OR($AF1050=1,$AH1050=1),1,0)</f>
        <v>0</v>
      </c>
      <c r="AS1050">
        <f>N(AS1049)+$AR1050</f>
        <v>0</v>
      </c>
    </row>
    <row r="1051" ht="14.25" customHeight="1" s="127">
      <c r="A1051">
        <f>IF(对接源_01水果!$C1051="","",对接源_01水果!$C1051)</f>
      </c>
      <c r="B1051">
        <f>IF(A1051="",0,IF(MATCH(A1051,$A$4:$A$2403,0)=ROW()-3,1,0))</f>
        <v>0</v>
      </c>
      <c r="C1051">
        <f>N(C1050)+B1051</f>
        <v>22</v>
      </c>
      <c r="K1051">
        <f>IF(OR($K$1="",对接源_01水果!$C1051="",对接源_01水果!$C1051&lt;&gt;$K$1,对接源_01水果!$B1051=""),0,IF(OR(N(对接源_01水果!$B1051)&lt;$K$2,N(对接源_01水果!$B1051)&gt;$K$3),0,1))</f>
        <v>0</v>
      </c>
      <c r="L1051">
        <f>IF(OR($L$1="",对接源_01水果!$C1051="",对接源_01水果!$C1051&lt;&gt;$L$1,对接源_01水果!$B1051=""),0,IF(OR(N(对接源_01水果!$B1051)&lt;$L$2,N(对接源_01水果!$B1051)&gt;$L$3),0,1))</f>
        <v>0</v>
      </c>
      <c r="M1051">
        <f>IF(OR($M$1="",对接源_01水果!$C1051="",对接源_01水果!$C1051&lt;&gt;$M$1,对接源_01水果!$B1051=""),0,IF(OR(N(对接源_01水果!$B1051)&lt;$M$2,N(对接源_01水果!$B1051)&gt;$M$3),0,1))</f>
        <v>0</v>
      </c>
      <c r="N1051">
        <f>IF(OR($N$1="",对接源_01水果!$C1051="",对接源_01水果!$C1051&lt;&gt;$N$1,对接源_01水果!$B1051=""),0,IF(OR(N(对接源_01水果!$B1051)&lt;$N$2,N(对接源_01水果!$B1051)&gt;$N$3),0,1))</f>
        <v>0</v>
      </c>
      <c r="P1051">
        <f>IF(AND($K1051=1,AND(对接源_01水果!$X1051="公司筐",N(对接源_01水果!$T1051)&lt;&gt;0)),1,0)</f>
        <v>0</v>
      </c>
      <c r="Q1051">
        <f>N(Q1050)+$P1051</f>
        <v>0</v>
      </c>
      <c r="R1051">
        <f>IF(AND($K1051=1,AND(对接源_01水果!$X1051="公司筐",N(对接源_01水果!$U1051)&lt;&gt;0)),1,0)</f>
        <v>0</v>
      </c>
      <c r="S1051">
        <f>N(S1050)+$R1051</f>
        <v>0</v>
      </c>
      <c r="T1051">
        <f>IF(AND($K1051=1,AND(对接源_01水果!$X1051="公司筐",N(对接源_01水果!$V1051)&lt;&gt;0)),1,0)</f>
        <v>0</v>
      </c>
      <c r="U1051">
        <f>N(U1050)+$T1051</f>
        <v>47</v>
      </c>
      <c r="V1051">
        <f>IF(AND($L1051=1,AND(对接源_01水果!$X1051="自备筐",N(对接源_01水果!$V1051)&lt;&gt;0)),1,0)</f>
        <v>0</v>
      </c>
      <c r="W1051">
        <f>N(W1050)+$V1051</f>
        <v>11</v>
      </c>
      <c r="X1051">
        <f>IF(AND($L1051=1,AND(对接源_01水果!$X1051="自备筐",N(对接源_01水果!$T1051)&lt;&gt;0)),1,0)</f>
        <v>0</v>
      </c>
      <c r="Y1051">
        <f>N(Y1050)+$X1051</f>
        <v>0</v>
      </c>
      <c r="Z1051">
        <f>IF(AND($M1051=1,对接源_01水果!$D1051="原料入库"),1,0)</f>
        <v>0</v>
      </c>
      <c r="AA1051">
        <f>N(AA1050)+$Z1051</f>
        <v>24</v>
      </c>
      <c r="AB1051">
        <f>IF(AND($M1051=1,LEFT(对接源_01水果!$D1051,4)="原料出库"),1,0)</f>
        <v>0</v>
      </c>
      <c r="AC1051">
        <f>N(AC1050)+$AB1051</f>
        <v>0</v>
      </c>
      <c r="AD1051">
        <f>IF(AND($M1051=1,LEFT(对接源_01水果!$D1051,4)="成品出库"),1,0)</f>
        <v>0</v>
      </c>
      <c r="AE1051">
        <f>N(AE1050)+$AD1051</f>
        <v>0</v>
      </c>
      <c r="AF1051">
        <f>IF(AND($N1051=1,AND(LEFT(对接源_01水果!$D1051,4)="包装物料",N(对接源_01水果!$K1051)&lt;&gt;0)),1,0)</f>
        <v>0</v>
      </c>
      <c r="AG1051">
        <f>N(AG1050)+$AF1051</f>
        <v>0</v>
      </c>
      <c r="AH1051">
        <f>IF(AND($N1051=1,AND(对接源_01水果!$D1051="周转筐－销售出库",N(对接源_01水果!$K1051)&lt;&gt;0)),1,0)</f>
        <v>0</v>
      </c>
      <c r="AI1051">
        <f>N(AI1050)+$AH1051</f>
        <v>0</v>
      </c>
      <c r="AJ1051" s="7" t="n"/>
      <c r="AL1051">
        <f>IF(OR($AL$1="",对接源_01水果!$Y1051="",对接源_01水果!$Y1051&lt;&gt;$AL$1,对接源_01水果!$B1051="",N(对接源_01水果!$AJ1051)&lt;=0),0,IF(OR(N(对接源_01水果!$B1051)&lt;$AL$2,N(对接源_01水果!$B1051)&gt;$AL$3),0,1))</f>
        <v>0</v>
      </c>
      <c r="AM1051">
        <f>N(AM1050)+$AL1051</f>
        <v>2</v>
      </c>
      <c r="AN1051">
        <f>IF(对接源_01水果!$AC1051="","",对接源_01水果!$AC1051)</f>
      </c>
      <c r="AO1051">
        <f>IF(AN1051="",0,IF(MATCH(AN1051,$AN$4:$AN$1203,0)=ROW()-3,1,0))</f>
        <v>0</v>
      </c>
      <c r="AP1051">
        <f>N(AP1050)+$AO1051</f>
        <v>13</v>
      </c>
      <c r="AR1051">
        <f>IF(OR($AF1051=1,$AH1051=1),1,0)</f>
        <v>0</v>
      </c>
      <c r="AS1051">
        <f>N(AS1050)+$AR1051</f>
        <v>0</v>
      </c>
    </row>
    <row r="1052" ht="14.25" customHeight="1" s="127">
      <c r="A1052">
        <f>IF(对接源_01水果!$C1052="","",对接源_01水果!$C1052)</f>
      </c>
      <c r="B1052">
        <f>IF(A1052="",0,IF(MATCH(A1052,$A$4:$A$2403,0)=ROW()-3,1,0))</f>
        <v>0</v>
      </c>
      <c r="C1052">
        <f>N(C1051)+B1052</f>
        <v>22</v>
      </c>
      <c r="K1052">
        <f>IF(OR($K$1="",对接源_01水果!$C1052="",对接源_01水果!$C1052&lt;&gt;$K$1,对接源_01水果!$B1052=""),0,IF(OR(N(对接源_01水果!$B1052)&lt;$K$2,N(对接源_01水果!$B1052)&gt;$K$3),0,1))</f>
        <v>0</v>
      </c>
      <c r="L1052">
        <f>IF(OR($L$1="",对接源_01水果!$C1052="",对接源_01水果!$C1052&lt;&gt;$L$1,对接源_01水果!$B1052=""),0,IF(OR(N(对接源_01水果!$B1052)&lt;$L$2,N(对接源_01水果!$B1052)&gt;$L$3),0,1))</f>
        <v>0</v>
      </c>
      <c r="M1052">
        <f>IF(OR($M$1="",对接源_01水果!$C1052="",对接源_01水果!$C1052&lt;&gt;$M$1,对接源_01水果!$B1052=""),0,IF(OR(N(对接源_01水果!$B1052)&lt;$M$2,N(对接源_01水果!$B1052)&gt;$M$3),0,1))</f>
        <v>0</v>
      </c>
      <c r="N1052">
        <f>IF(OR($N$1="",对接源_01水果!$C1052="",对接源_01水果!$C1052&lt;&gt;$N$1,对接源_01水果!$B1052=""),0,IF(OR(N(对接源_01水果!$B1052)&lt;$N$2,N(对接源_01水果!$B1052)&gt;$N$3),0,1))</f>
        <v>0</v>
      </c>
      <c r="P1052">
        <f>IF(AND($K1052=1,AND(对接源_01水果!$X1052="公司筐",N(对接源_01水果!$T1052)&lt;&gt;0)),1,0)</f>
        <v>0</v>
      </c>
      <c r="Q1052">
        <f>N(Q1051)+$P1052</f>
        <v>0</v>
      </c>
      <c r="R1052">
        <f>IF(AND($K1052=1,AND(对接源_01水果!$X1052="公司筐",N(对接源_01水果!$U1052)&lt;&gt;0)),1,0)</f>
        <v>0</v>
      </c>
      <c r="S1052">
        <f>N(S1051)+$R1052</f>
        <v>0</v>
      </c>
      <c r="T1052">
        <f>IF(AND($K1052=1,AND(对接源_01水果!$X1052="公司筐",N(对接源_01水果!$V1052)&lt;&gt;0)),1,0)</f>
        <v>0</v>
      </c>
      <c r="U1052">
        <f>N(U1051)+$T1052</f>
        <v>47</v>
      </c>
      <c r="V1052">
        <f>IF(AND($L1052=1,AND(对接源_01水果!$X1052="自备筐",N(对接源_01水果!$V1052)&lt;&gt;0)),1,0)</f>
        <v>0</v>
      </c>
      <c r="W1052">
        <f>N(W1051)+$V1052</f>
        <v>11</v>
      </c>
      <c r="X1052">
        <f>IF(AND($L1052=1,AND(对接源_01水果!$X1052="自备筐",N(对接源_01水果!$T1052)&lt;&gt;0)),1,0)</f>
        <v>0</v>
      </c>
      <c r="Y1052">
        <f>N(Y1051)+$X1052</f>
        <v>0</v>
      </c>
      <c r="Z1052">
        <f>IF(AND($M1052=1,对接源_01水果!$D1052="原料入库"),1,0)</f>
        <v>0</v>
      </c>
      <c r="AA1052">
        <f>N(AA1051)+$Z1052</f>
        <v>24</v>
      </c>
      <c r="AB1052">
        <f>IF(AND($M1052=1,LEFT(对接源_01水果!$D1052,4)="原料出库"),1,0)</f>
        <v>0</v>
      </c>
      <c r="AC1052">
        <f>N(AC1051)+$AB1052</f>
        <v>0</v>
      </c>
      <c r="AD1052">
        <f>IF(AND($M1052=1,LEFT(对接源_01水果!$D1052,4)="成品出库"),1,0)</f>
        <v>0</v>
      </c>
      <c r="AE1052">
        <f>N(AE1051)+$AD1052</f>
        <v>0</v>
      </c>
      <c r="AF1052">
        <f>IF(AND($N1052=1,AND(LEFT(对接源_01水果!$D1052,4)="包装物料",N(对接源_01水果!$K1052)&lt;&gt;0)),1,0)</f>
        <v>0</v>
      </c>
      <c r="AG1052">
        <f>N(AG1051)+$AF1052</f>
        <v>0</v>
      </c>
      <c r="AH1052">
        <f>IF(AND($N1052=1,AND(对接源_01水果!$D1052="周转筐－销售出库",N(对接源_01水果!$K1052)&lt;&gt;0)),1,0)</f>
        <v>0</v>
      </c>
      <c r="AI1052">
        <f>N(AI1051)+$AH1052</f>
        <v>0</v>
      </c>
      <c r="AJ1052" s="7" t="n"/>
      <c r="AL1052">
        <f>IF(OR($AL$1="",对接源_01水果!$Y1052="",对接源_01水果!$Y1052&lt;&gt;$AL$1,对接源_01水果!$B1052="",N(对接源_01水果!$AJ1052)&lt;=0),0,IF(OR(N(对接源_01水果!$B1052)&lt;$AL$2,N(对接源_01水果!$B1052)&gt;$AL$3),0,1))</f>
        <v>0</v>
      </c>
      <c r="AM1052">
        <f>N(AM1051)+$AL1052</f>
        <v>2</v>
      </c>
      <c r="AN1052">
        <f>IF(对接源_01水果!$AC1052="","",对接源_01水果!$AC1052)</f>
      </c>
      <c r="AO1052">
        <f>IF(AN1052="",0,IF(MATCH(AN1052,$AN$4:$AN$1203,0)=ROW()-3,1,0))</f>
        <v>0</v>
      </c>
      <c r="AP1052">
        <f>N(AP1051)+$AO1052</f>
        <v>13</v>
      </c>
      <c r="AR1052">
        <f>IF(OR($AF1052=1,$AH1052=1),1,0)</f>
        <v>0</v>
      </c>
      <c r="AS1052">
        <f>N(AS1051)+$AR1052</f>
        <v>0</v>
      </c>
    </row>
    <row r="1053" ht="14.25" customHeight="1" s="127">
      <c r="A1053">
        <f>IF(对接源_01水果!$C1053="","",对接源_01水果!$C1053)</f>
      </c>
      <c r="B1053">
        <f>IF(A1053="",0,IF(MATCH(A1053,$A$4:$A$2403,0)=ROW()-3,1,0))</f>
        <v>0</v>
      </c>
      <c r="C1053">
        <f>N(C1052)+B1053</f>
        <v>22</v>
      </c>
      <c r="K1053">
        <f>IF(OR($K$1="",对接源_01水果!$C1053="",对接源_01水果!$C1053&lt;&gt;$K$1,对接源_01水果!$B1053=""),0,IF(OR(N(对接源_01水果!$B1053)&lt;$K$2,N(对接源_01水果!$B1053)&gt;$K$3),0,1))</f>
        <v>0</v>
      </c>
      <c r="L1053">
        <f>IF(OR($L$1="",对接源_01水果!$C1053="",对接源_01水果!$C1053&lt;&gt;$L$1,对接源_01水果!$B1053=""),0,IF(OR(N(对接源_01水果!$B1053)&lt;$L$2,N(对接源_01水果!$B1053)&gt;$L$3),0,1))</f>
        <v>0</v>
      </c>
      <c r="M1053">
        <f>IF(OR($M$1="",对接源_01水果!$C1053="",对接源_01水果!$C1053&lt;&gt;$M$1,对接源_01水果!$B1053=""),0,IF(OR(N(对接源_01水果!$B1053)&lt;$M$2,N(对接源_01水果!$B1053)&gt;$M$3),0,1))</f>
        <v>0</v>
      </c>
      <c r="N1053">
        <f>IF(OR($N$1="",对接源_01水果!$C1053="",对接源_01水果!$C1053&lt;&gt;$N$1,对接源_01水果!$B1053=""),0,IF(OR(N(对接源_01水果!$B1053)&lt;$N$2,N(对接源_01水果!$B1053)&gt;$N$3),0,1))</f>
        <v>0</v>
      </c>
      <c r="P1053">
        <f>IF(AND($K1053=1,AND(对接源_01水果!$X1053="公司筐",N(对接源_01水果!$T1053)&lt;&gt;0)),1,0)</f>
        <v>0</v>
      </c>
      <c r="Q1053">
        <f>N(Q1052)+$P1053</f>
        <v>0</v>
      </c>
      <c r="R1053">
        <f>IF(AND($K1053=1,AND(对接源_01水果!$X1053="公司筐",N(对接源_01水果!$U1053)&lt;&gt;0)),1,0)</f>
        <v>0</v>
      </c>
      <c r="S1053">
        <f>N(S1052)+$R1053</f>
        <v>0</v>
      </c>
      <c r="T1053">
        <f>IF(AND($K1053=1,AND(对接源_01水果!$X1053="公司筐",N(对接源_01水果!$V1053)&lt;&gt;0)),1,0)</f>
        <v>0</v>
      </c>
      <c r="U1053">
        <f>N(U1052)+$T1053</f>
        <v>47</v>
      </c>
      <c r="V1053">
        <f>IF(AND($L1053=1,AND(对接源_01水果!$X1053="自备筐",N(对接源_01水果!$V1053)&lt;&gt;0)),1,0)</f>
        <v>0</v>
      </c>
      <c r="W1053">
        <f>N(W1052)+$V1053</f>
        <v>11</v>
      </c>
      <c r="X1053">
        <f>IF(AND($L1053=1,AND(对接源_01水果!$X1053="自备筐",N(对接源_01水果!$T1053)&lt;&gt;0)),1,0)</f>
        <v>0</v>
      </c>
      <c r="Y1053">
        <f>N(Y1052)+$X1053</f>
        <v>0</v>
      </c>
      <c r="Z1053">
        <f>IF(AND($M1053=1,对接源_01水果!$D1053="原料入库"),1,0)</f>
        <v>0</v>
      </c>
      <c r="AA1053">
        <f>N(AA1052)+$Z1053</f>
        <v>24</v>
      </c>
      <c r="AB1053">
        <f>IF(AND($M1053=1,LEFT(对接源_01水果!$D1053,4)="原料出库"),1,0)</f>
        <v>0</v>
      </c>
      <c r="AC1053">
        <f>N(AC1052)+$AB1053</f>
        <v>0</v>
      </c>
      <c r="AD1053">
        <f>IF(AND($M1053=1,LEFT(对接源_01水果!$D1053,4)="成品出库"),1,0)</f>
        <v>0</v>
      </c>
      <c r="AE1053">
        <f>N(AE1052)+$AD1053</f>
        <v>0</v>
      </c>
      <c r="AF1053">
        <f>IF(AND($N1053=1,AND(LEFT(对接源_01水果!$D1053,4)="包装物料",N(对接源_01水果!$K1053)&lt;&gt;0)),1,0)</f>
        <v>0</v>
      </c>
      <c r="AG1053">
        <f>N(AG1052)+$AF1053</f>
        <v>0</v>
      </c>
      <c r="AH1053">
        <f>IF(AND($N1053=1,AND(对接源_01水果!$D1053="周转筐－销售出库",N(对接源_01水果!$K1053)&lt;&gt;0)),1,0)</f>
        <v>0</v>
      </c>
      <c r="AI1053">
        <f>N(AI1052)+$AH1053</f>
        <v>0</v>
      </c>
      <c r="AJ1053" s="7" t="n"/>
      <c r="AL1053">
        <f>IF(OR($AL$1="",对接源_01水果!$Y1053="",对接源_01水果!$Y1053&lt;&gt;$AL$1,对接源_01水果!$B1053="",N(对接源_01水果!$AJ1053)&lt;=0),0,IF(OR(N(对接源_01水果!$B1053)&lt;$AL$2,N(对接源_01水果!$B1053)&gt;$AL$3),0,1))</f>
        <v>0</v>
      </c>
      <c r="AM1053">
        <f>N(AM1052)+$AL1053</f>
        <v>2</v>
      </c>
      <c r="AN1053">
        <f>IF(对接源_01水果!$AC1053="","",对接源_01水果!$AC1053)</f>
      </c>
      <c r="AO1053">
        <f>IF(AN1053="",0,IF(MATCH(AN1053,$AN$4:$AN$1203,0)=ROW()-3,1,0))</f>
        <v>0</v>
      </c>
      <c r="AP1053">
        <f>N(AP1052)+$AO1053</f>
        <v>13</v>
      </c>
      <c r="AR1053">
        <f>IF(OR($AF1053=1,$AH1053=1),1,0)</f>
        <v>0</v>
      </c>
      <c r="AS1053">
        <f>N(AS1052)+$AR1053</f>
        <v>0</v>
      </c>
    </row>
    <row r="1054" ht="14.25" customHeight="1" s="127">
      <c r="A1054">
        <f>IF(对接源_01水果!$C1054="","",对接源_01水果!$C1054)</f>
      </c>
      <c r="B1054">
        <f>IF(A1054="",0,IF(MATCH(A1054,$A$4:$A$2403,0)=ROW()-3,1,0))</f>
        <v>0</v>
      </c>
      <c r="C1054">
        <f>N(C1053)+B1054</f>
        <v>22</v>
      </c>
      <c r="K1054">
        <f>IF(OR($K$1="",对接源_01水果!$C1054="",对接源_01水果!$C1054&lt;&gt;$K$1,对接源_01水果!$B1054=""),0,IF(OR(N(对接源_01水果!$B1054)&lt;$K$2,N(对接源_01水果!$B1054)&gt;$K$3),0,1))</f>
        <v>0</v>
      </c>
      <c r="L1054">
        <f>IF(OR($L$1="",对接源_01水果!$C1054="",对接源_01水果!$C1054&lt;&gt;$L$1,对接源_01水果!$B1054=""),0,IF(OR(N(对接源_01水果!$B1054)&lt;$L$2,N(对接源_01水果!$B1054)&gt;$L$3),0,1))</f>
        <v>0</v>
      </c>
      <c r="M1054">
        <f>IF(OR($M$1="",对接源_01水果!$C1054="",对接源_01水果!$C1054&lt;&gt;$M$1,对接源_01水果!$B1054=""),0,IF(OR(N(对接源_01水果!$B1054)&lt;$M$2,N(对接源_01水果!$B1054)&gt;$M$3),0,1))</f>
        <v>0</v>
      </c>
      <c r="N1054">
        <f>IF(OR($N$1="",对接源_01水果!$C1054="",对接源_01水果!$C1054&lt;&gt;$N$1,对接源_01水果!$B1054=""),0,IF(OR(N(对接源_01水果!$B1054)&lt;$N$2,N(对接源_01水果!$B1054)&gt;$N$3),0,1))</f>
        <v>0</v>
      </c>
      <c r="P1054">
        <f>IF(AND($K1054=1,AND(对接源_01水果!$X1054="公司筐",N(对接源_01水果!$T1054)&lt;&gt;0)),1,0)</f>
        <v>0</v>
      </c>
      <c r="Q1054">
        <f>N(Q1053)+$P1054</f>
        <v>0</v>
      </c>
      <c r="R1054">
        <f>IF(AND($K1054=1,AND(对接源_01水果!$X1054="公司筐",N(对接源_01水果!$U1054)&lt;&gt;0)),1,0)</f>
        <v>0</v>
      </c>
      <c r="S1054">
        <f>N(S1053)+$R1054</f>
        <v>0</v>
      </c>
      <c r="T1054">
        <f>IF(AND($K1054=1,AND(对接源_01水果!$X1054="公司筐",N(对接源_01水果!$V1054)&lt;&gt;0)),1,0)</f>
        <v>0</v>
      </c>
      <c r="U1054">
        <f>N(U1053)+$T1054</f>
        <v>47</v>
      </c>
      <c r="V1054">
        <f>IF(AND($L1054=1,AND(对接源_01水果!$X1054="自备筐",N(对接源_01水果!$V1054)&lt;&gt;0)),1,0)</f>
        <v>0</v>
      </c>
      <c r="W1054">
        <f>N(W1053)+$V1054</f>
        <v>11</v>
      </c>
      <c r="X1054">
        <f>IF(AND($L1054=1,AND(对接源_01水果!$X1054="自备筐",N(对接源_01水果!$T1054)&lt;&gt;0)),1,0)</f>
        <v>0</v>
      </c>
      <c r="Y1054">
        <f>N(Y1053)+$X1054</f>
        <v>0</v>
      </c>
      <c r="Z1054">
        <f>IF(AND($M1054=1,对接源_01水果!$D1054="原料入库"),1,0)</f>
        <v>0</v>
      </c>
      <c r="AA1054">
        <f>N(AA1053)+$Z1054</f>
        <v>24</v>
      </c>
      <c r="AB1054">
        <f>IF(AND($M1054=1,LEFT(对接源_01水果!$D1054,4)="原料出库"),1,0)</f>
        <v>0</v>
      </c>
      <c r="AC1054">
        <f>N(AC1053)+$AB1054</f>
        <v>0</v>
      </c>
      <c r="AD1054">
        <f>IF(AND($M1054=1,LEFT(对接源_01水果!$D1054,4)="成品出库"),1,0)</f>
        <v>0</v>
      </c>
      <c r="AE1054">
        <f>N(AE1053)+$AD1054</f>
        <v>0</v>
      </c>
      <c r="AF1054">
        <f>IF(AND($N1054=1,AND(LEFT(对接源_01水果!$D1054,4)="包装物料",N(对接源_01水果!$K1054)&lt;&gt;0)),1,0)</f>
        <v>0</v>
      </c>
      <c r="AG1054">
        <f>N(AG1053)+$AF1054</f>
        <v>0</v>
      </c>
      <c r="AH1054">
        <f>IF(AND($N1054=1,AND(对接源_01水果!$D1054="周转筐－销售出库",N(对接源_01水果!$K1054)&lt;&gt;0)),1,0)</f>
        <v>0</v>
      </c>
      <c r="AI1054">
        <f>N(AI1053)+$AH1054</f>
        <v>0</v>
      </c>
      <c r="AJ1054" s="7" t="n"/>
      <c r="AL1054">
        <f>IF(OR($AL$1="",对接源_01水果!$Y1054="",对接源_01水果!$Y1054&lt;&gt;$AL$1,对接源_01水果!$B1054="",N(对接源_01水果!$AJ1054)&lt;=0),0,IF(OR(N(对接源_01水果!$B1054)&lt;$AL$2,N(对接源_01水果!$B1054)&gt;$AL$3),0,1))</f>
        <v>0</v>
      </c>
      <c r="AM1054">
        <f>N(AM1053)+$AL1054</f>
        <v>2</v>
      </c>
      <c r="AN1054">
        <f>IF(对接源_01水果!$AC1054="","",对接源_01水果!$AC1054)</f>
      </c>
      <c r="AO1054">
        <f>IF(AN1054="",0,IF(MATCH(AN1054,$AN$4:$AN$1203,0)=ROW()-3,1,0))</f>
        <v>0</v>
      </c>
      <c r="AP1054">
        <f>N(AP1053)+$AO1054</f>
        <v>13</v>
      </c>
      <c r="AR1054">
        <f>IF(OR($AF1054=1,$AH1054=1),1,0)</f>
        <v>0</v>
      </c>
      <c r="AS1054">
        <f>N(AS1053)+$AR1054</f>
        <v>0</v>
      </c>
    </row>
    <row r="1055" ht="14.25" customHeight="1" s="127">
      <c r="A1055">
        <f>IF(对接源_01水果!$C1055="","",对接源_01水果!$C1055)</f>
      </c>
      <c r="B1055">
        <f>IF(A1055="",0,IF(MATCH(A1055,$A$4:$A$2403,0)=ROW()-3,1,0))</f>
        <v>0</v>
      </c>
      <c r="C1055">
        <f>N(C1054)+B1055</f>
        <v>22</v>
      </c>
      <c r="K1055">
        <f>IF(OR($K$1="",对接源_01水果!$C1055="",对接源_01水果!$C1055&lt;&gt;$K$1,对接源_01水果!$B1055=""),0,IF(OR(N(对接源_01水果!$B1055)&lt;$K$2,N(对接源_01水果!$B1055)&gt;$K$3),0,1))</f>
        <v>0</v>
      </c>
      <c r="L1055">
        <f>IF(OR($L$1="",对接源_01水果!$C1055="",对接源_01水果!$C1055&lt;&gt;$L$1,对接源_01水果!$B1055=""),0,IF(OR(N(对接源_01水果!$B1055)&lt;$L$2,N(对接源_01水果!$B1055)&gt;$L$3),0,1))</f>
        <v>0</v>
      </c>
      <c r="M1055">
        <f>IF(OR($M$1="",对接源_01水果!$C1055="",对接源_01水果!$C1055&lt;&gt;$M$1,对接源_01水果!$B1055=""),0,IF(OR(N(对接源_01水果!$B1055)&lt;$M$2,N(对接源_01水果!$B1055)&gt;$M$3),0,1))</f>
        <v>0</v>
      </c>
      <c r="N1055">
        <f>IF(OR($N$1="",对接源_01水果!$C1055="",对接源_01水果!$C1055&lt;&gt;$N$1,对接源_01水果!$B1055=""),0,IF(OR(N(对接源_01水果!$B1055)&lt;$N$2,N(对接源_01水果!$B1055)&gt;$N$3),0,1))</f>
        <v>0</v>
      </c>
      <c r="P1055">
        <f>IF(AND($K1055=1,AND(对接源_01水果!$X1055="公司筐",N(对接源_01水果!$T1055)&lt;&gt;0)),1,0)</f>
        <v>0</v>
      </c>
      <c r="Q1055">
        <f>N(Q1054)+$P1055</f>
        <v>0</v>
      </c>
      <c r="R1055">
        <f>IF(AND($K1055=1,AND(对接源_01水果!$X1055="公司筐",N(对接源_01水果!$U1055)&lt;&gt;0)),1,0)</f>
        <v>0</v>
      </c>
      <c r="S1055">
        <f>N(S1054)+$R1055</f>
        <v>0</v>
      </c>
      <c r="T1055">
        <f>IF(AND($K1055=1,AND(对接源_01水果!$X1055="公司筐",N(对接源_01水果!$V1055)&lt;&gt;0)),1,0)</f>
        <v>0</v>
      </c>
      <c r="U1055">
        <f>N(U1054)+$T1055</f>
        <v>47</v>
      </c>
      <c r="V1055">
        <f>IF(AND($L1055=1,AND(对接源_01水果!$X1055="自备筐",N(对接源_01水果!$V1055)&lt;&gt;0)),1,0)</f>
        <v>0</v>
      </c>
      <c r="W1055">
        <f>N(W1054)+$V1055</f>
        <v>11</v>
      </c>
      <c r="X1055">
        <f>IF(AND($L1055=1,AND(对接源_01水果!$X1055="自备筐",N(对接源_01水果!$T1055)&lt;&gt;0)),1,0)</f>
        <v>0</v>
      </c>
      <c r="Y1055">
        <f>N(Y1054)+$X1055</f>
        <v>0</v>
      </c>
      <c r="Z1055">
        <f>IF(AND($M1055=1,对接源_01水果!$D1055="原料入库"),1,0)</f>
        <v>0</v>
      </c>
      <c r="AA1055">
        <f>N(AA1054)+$Z1055</f>
        <v>24</v>
      </c>
      <c r="AB1055">
        <f>IF(AND($M1055=1,LEFT(对接源_01水果!$D1055,4)="原料出库"),1,0)</f>
        <v>0</v>
      </c>
      <c r="AC1055">
        <f>N(AC1054)+$AB1055</f>
        <v>0</v>
      </c>
      <c r="AD1055">
        <f>IF(AND($M1055=1,LEFT(对接源_01水果!$D1055,4)="成品出库"),1,0)</f>
        <v>0</v>
      </c>
      <c r="AE1055">
        <f>N(AE1054)+$AD1055</f>
        <v>0</v>
      </c>
      <c r="AF1055">
        <f>IF(AND($N1055=1,AND(LEFT(对接源_01水果!$D1055,4)="包装物料",N(对接源_01水果!$K1055)&lt;&gt;0)),1,0)</f>
        <v>0</v>
      </c>
      <c r="AG1055">
        <f>N(AG1054)+$AF1055</f>
        <v>0</v>
      </c>
      <c r="AH1055">
        <f>IF(AND($N1055=1,AND(对接源_01水果!$D1055="周转筐－销售出库",N(对接源_01水果!$K1055)&lt;&gt;0)),1,0)</f>
        <v>0</v>
      </c>
      <c r="AI1055">
        <f>N(AI1054)+$AH1055</f>
        <v>0</v>
      </c>
      <c r="AJ1055" s="7" t="n"/>
      <c r="AL1055">
        <f>IF(OR($AL$1="",对接源_01水果!$Y1055="",对接源_01水果!$Y1055&lt;&gt;$AL$1,对接源_01水果!$B1055="",N(对接源_01水果!$AJ1055)&lt;=0),0,IF(OR(N(对接源_01水果!$B1055)&lt;$AL$2,N(对接源_01水果!$B1055)&gt;$AL$3),0,1))</f>
        <v>0</v>
      </c>
      <c r="AM1055">
        <f>N(AM1054)+$AL1055</f>
        <v>2</v>
      </c>
      <c r="AN1055">
        <f>IF(对接源_01水果!$AC1055="","",对接源_01水果!$AC1055)</f>
      </c>
      <c r="AO1055">
        <f>IF(AN1055="",0,IF(MATCH(AN1055,$AN$4:$AN$1203,0)=ROW()-3,1,0))</f>
        <v>0</v>
      </c>
      <c r="AP1055">
        <f>N(AP1054)+$AO1055</f>
        <v>13</v>
      </c>
      <c r="AR1055">
        <f>IF(OR($AF1055=1,$AH1055=1),1,0)</f>
        <v>0</v>
      </c>
      <c r="AS1055">
        <f>N(AS1054)+$AR1055</f>
        <v>0</v>
      </c>
    </row>
    <row r="1056" ht="14.25" customHeight="1" s="127">
      <c r="A1056">
        <f>IF(对接源_01水果!$C1056="","",对接源_01水果!$C1056)</f>
      </c>
      <c r="B1056">
        <f>IF(A1056="",0,IF(MATCH(A1056,$A$4:$A$2403,0)=ROW()-3,1,0))</f>
        <v>0</v>
      </c>
      <c r="C1056">
        <f>N(C1055)+B1056</f>
        <v>22</v>
      </c>
      <c r="K1056">
        <f>IF(OR($K$1="",对接源_01水果!$C1056="",对接源_01水果!$C1056&lt;&gt;$K$1,对接源_01水果!$B1056=""),0,IF(OR(N(对接源_01水果!$B1056)&lt;$K$2,N(对接源_01水果!$B1056)&gt;$K$3),0,1))</f>
        <v>0</v>
      </c>
      <c r="L1056">
        <f>IF(OR($L$1="",对接源_01水果!$C1056="",对接源_01水果!$C1056&lt;&gt;$L$1,对接源_01水果!$B1056=""),0,IF(OR(N(对接源_01水果!$B1056)&lt;$L$2,N(对接源_01水果!$B1056)&gt;$L$3),0,1))</f>
        <v>0</v>
      </c>
      <c r="M1056">
        <f>IF(OR($M$1="",对接源_01水果!$C1056="",对接源_01水果!$C1056&lt;&gt;$M$1,对接源_01水果!$B1056=""),0,IF(OR(N(对接源_01水果!$B1056)&lt;$M$2,N(对接源_01水果!$B1056)&gt;$M$3),0,1))</f>
        <v>0</v>
      </c>
      <c r="N1056">
        <f>IF(OR($N$1="",对接源_01水果!$C1056="",对接源_01水果!$C1056&lt;&gt;$N$1,对接源_01水果!$B1056=""),0,IF(OR(N(对接源_01水果!$B1056)&lt;$N$2,N(对接源_01水果!$B1056)&gt;$N$3),0,1))</f>
        <v>0</v>
      </c>
      <c r="P1056">
        <f>IF(AND($K1056=1,AND(对接源_01水果!$X1056="公司筐",N(对接源_01水果!$T1056)&lt;&gt;0)),1,0)</f>
        <v>0</v>
      </c>
      <c r="Q1056">
        <f>N(Q1055)+$P1056</f>
        <v>0</v>
      </c>
      <c r="R1056">
        <f>IF(AND($K1056=1,AND(对接源_01水果!$X1056="公司筐",N(对接源_01水果!$U1056)&lt;&gt;0)),1,0)</f>
        <v>0</v>
      </c>
      <c r="S1056">
        <f>N(S1055)+$R1056</f>
        <v>0</v>
      </c>
      <c r="T1056">
        <f>IF(AND($K1056=1,AND(对接源_01水果!$X1056="公司筐",N(对接源_01水果!$V1056)&lt;&gt;0)),1,0)</f>
        <v>0</v>
      </c>
      <c r="U1056">
        <f>N(U1055)+$T1056</f>
        <v>47</v>
      </c>
      <c r="V1056">
        <f>IF(AND($L1056=1,AND(对接源_01水果!$X1056="自备筐",N(对接源_01水果!$V1056)&lt;&gt;0)),1,0)</f>
        <v>0</v>
      </c>
      <c r="W1056">
        <f>N(W1055)+$V1056</f>
        <v>11</v>
      </c>
      <c r="X1056">
        <f>IF(AND($L1056=1,AND(对接源_01水果!$X1056="自备筐",N(对接源_01水果!$T1056)&lt;&gt;0)),1,0)</f>
        <v>0</v>
      </c>
      <c r="Y1056">
        <f>N(Y1055)+$X1056</f>
        <v>0</v>
      </c>
      <c r="Z1056">
        <f>IF(AND($M1056=1,对接源_01水果!$D1056="原料入库"),1,0)</f>
        <v>0</v>
      </c>
      <c r="AA1056">
        <f>N(AA1055)+$Z1056</f>
        <v>24</v>
      </c>
      <c r="AB1056">
        <f>IF(AND($M1056=1,LEFT(对接源_01水果!$D1056,4)="原料出库"),1,0)</f>
        <v>0</v>
      </c>
      <c r="AC1056">
        <f>N(AC1055)+$AB1056</f>
        <v>0</v>
      </c>
      <c r="AD1056">
        <f>IF(AND($M1056=1,LEFT(对接源_01水果!$D1056,4)="成品出库"),1,0)</f>
        <v>0</v>
      </c>
      <c r="AE1056">
        <f>N(AE1055)+$AD1056</f>
        <v>0</v>
      </c>
      <c r="AF1056">
        <f>IF(AND($N1056=1,AND(LEFT(对接源_01水果!$D1056,4)="包装物料",N(对接源_01水果!$K1056)&lt;&gt;0)),1,0)</f>
        <v>0</v>
      </c>
      <c r="AG1056">
        <f>N(AG1055)+$AF1056</f>
        <v>0</v>
      </c>
      <c r="AH1056">
        <f>IF(AND($N1056=1,AND(对接源_01水果!$D1056="周转筐－销售出库",N(对接源_01水果!$K1056)&lt;&gt;0)),1,0)</f>
        <v>0</v>
      </c>
      <c r="AI1056">
        <f>N(AI1055)+$AH1056</f>
        <v>0</v>
      </c>
      <c r="AJ1056" s="7" t="n"/>
      <c r="AL1056">
        <f>IF(OR($AL$1="",对接源_01水果!$Y1056="",对接源_01水果!$Y1056&lt;&gt;$AL$1,对接源_01水果!$B1056="",N(对接源_01水果!$AJ1056)&lt;=0),0,IF(OR(N(对接源_01水果!$B1056)&lt;$AL$2,N(对接源_01水果!$B1056)&gt;$AL$3),0,1))</f>
        <v>0</v>
      </c>
      <c r="AM1056">
        <f>N(AM1055)+$AL1056</f>
        <v>2</v>
      </c>
      <c r="AN1056">
        <f>IF(对接源_01水果!$AC1056="","",对接源_01水果!$AC1056)</f>
      </c>
      <c r="AO1056">
        <f>IF(AN1056="",0,IF(MATCH(AN1056,$AN$4:$AN$1203,0)=ROW()-3,1,0))</f>
        <v>0</v>
      </c>
      <c r="AP1056">
        <f>N(AP1055)+$AO1056</f>
        <v>13</v>
      </c>
      <c r="AR1056">
        <f>IF(OR($AF1056=1,$AH1056=1),1,0)</f>
        <v>0</v>
      </c>
      <c r="AS1056">
        <f>N(AS1055)+$AR1056</f>
        <v>0</v>
      </c>
    </row>
    <row r="1057" ht="14.25" customHeight="1" s="127">
      <c r="A1057">
        <f>IF(对接源_01水果!$C1057="","",对接源_01水果!$C1057)</f>
      </c>
      <c r="B1057">
        <f>IF(A1057="",0,IF(MATCH(A1057,$A$4:$A$2403,0)=ROW()-3,1,0))</f>
        <v>0</v>
      </c>
      <c r="C1057">
        <f>N(C1056)+B1057</f>
        <v>22</v>
      </c>
      <c r="K1057">
        <f>IF(OR($K$1="",对接源_01水果!$C1057="",对接源_01水果!$C1057&lt;&gt;$K$1,对接源_01水果!$B1057=""),0,IF(OR(N(对接源_01水果!$B1057)&lt;$K$2,N(对接源_01水果!$B1057)&gt;$K$3),0,1))</f>
        <v>0</v>
      </c>
      <c r="L1057">
        <f>IF(OR($L$1="",对接源_01水果!$C1057="",对接源_01水果!$C1057&lt;&gt;$L$1,对接源_01水果!$B1057=""),0,IF(OR(N(对接源_01水果!$B1057)&lt;$L$2,N(对接源_01水果!$B1057)&gt;$L$3),0,1))</f>
        <v>0</v>
      </c>
      <c r="M1057">
        <f>IF(OR($M$1="",对接源_01水果!$C1057="",对接源_01水果!$C1057&lt;&gt;$M$1,对接源_01水果!$B1057=""),0,IF(OR(N(对接源_01水果!$B1057)&lt;$M$2,N(对接源_01水果!$B1057)&gt;$M$3),0,1))</f>
        <v>0</v>
      </c>
      <c r="N1057">
        <f>IF(OR($N$1="",对接源_01水果!$C1057="",对接源_01水果!$C1057&lt;&gt;$N$1,对接源_01水果!$B1057=""),0,IF(OR(N(对接源_01水果!$B1057)&lt;$N$2,N(对接源_01水果!$B1057)&gt;$N$3),0,1))</f>
        <v>0</v>
      </c>
      <c r="P1057">
        <f>IF(AND($K1057=1,AND(对接源_01水果!$X1057="公司筐",N(对接源_01水果!$T1057)&lt;&gt;0)),1,0)</f>
        <v>0</v>
      </c>
      <c r="Q1057">
        <f>N(Q1056)+$P1057</f>
        <v>0</v>
      </c>
      <c r="R1057">
        <f>IF(AND($K1057=1,AND(对接源_01水果!$X1057="公司筐",N(对接源_01水果!$U1057)&lt;&gt;0)),1,0)</f>
        <v>0</v>
      </c>
      <c r="S1057">
        <f>N(S1056)+$R1057</f>
        <v>0</v>
      </c>
      <c r="T1057">
        <f>IF(AND($K1057=1,AND(对接源_01水果!$X1057="公司筐",N(对接源_01水果!$V1057)&lt;&gt;0)),1,0)</f>
        <v>0</v>
      </c>
      <c r="U1057">
        <f>N(U1056)+$T1057</f>
        <v>47</v>
      </c>
      <c r="V1057">
        <f>IF(AND($L1057=1,AND(对接源_01水果!$X1057="自备筐",N(对接源_01水果!$V1057)&lt;&gt;0)),1,0)</f>
        <v>0</v>
      </c>
      <c r="W1057">
        <f>N(W1056)+$V1057</f>
        <v>11</v>
      </c>
      <c r="X1057">
        <f>IF(AND($L1057=1,AND(对接源_01水果!$X1057="自备筐",N(对接源_01水果!$T1057)&lt;&gt;0)),1,0)</f>
        <v>0</v>
      </c>
      <c r="Y1057">
        <f>N(Y1056)+$X1057</f>
        <v>0</v>
      </c>
      <c r="Z1057">
        <f>IF(AND($M1057=1,对接源_01水果!$D1057="原料入库"),1,0)</f>
        <v>0</v>
      </c>
      <c r="AA1057">
        <f>N(AA1056)+$Z1057</f>
        <v>24</v>
      </c>
      <c r="AB1057">
        <f>IF(AND($M1057=1,LEFT(对接源_01水果!$D1057,4)="原料出库"),1,0)</f>
        <v>0</v>
      </c>
      <c r="AC1057">
        <f>N(AC1056)+$AB1057</f>
        <v>0</v>
      </c>
      <c r="AD1057">
        <f>IF(AND($M1057=1,LEFT(对接源_01水果!$D1057,4)="成品出库"),1,0)</f>
        <v>0</v>
      </c>
      <c r="AE1057">
        <f>N(AE1056)+$AD1057</f>
        <v>0</v>
      </c>
      <c r="AF1057">
        <f>IF(AND($N1057=1,AND(LEFT(对接源_01水果!$D1057,4)="包装物料",N(对接源_01水果!$K1057)&lt;&gt;0)),1,0)</f>
        <v>0</v>
      </c>
      <c r="AG1057">
        <f>N(AG1056)+$AF1057</f>
        <v>0</v>
      </c>
      <c r="AH1057">
        <f>IF(AND($N1057=1,AND(对接源_01水果!$D1057="周转筐－销售出库",N(对接源_01水果!$K1057)&lt;&gt;0)),1,0)</f>
        <v>0</v>
      </c>
      <c r="AI1057">
        <f>N(AI1056)+$AH1057</f>
        <v>0</v>
      </c>
      <c r="AJ1057" s="7" t="n"/>
      <c r="AL1057">
        <f>IF(OR($AL$1="",对接源_01水果!$Y1057="",对接源_01水果!$Y1057&lt;&gt;$AL$1,对接源_01水果!$B1057="",N(对接源_01水果!$AJ1057)&lt;=0),0,IF(OR(N(对接源_01水果!$B1057)&lt;$AL$2,N(对接源_01水果!$B1057)&gt;$AL$3),0,1))</f>
        <v>0</v>
      </c>
      <c r="AM1057">
        <f>N(AM1056)+$AL1057</f>
        <v>2</v>
      </c>
      <c r="AN1057">
        <f>IF(对接源_01水果!$AC1057="","",对接源_01水果!$AC1057)</f>
      </c>
      <c r="AO1057">
        <f>IF(AN1057="",0,IF(MATCH(AN1057,$AN$4:$AN$1203,0)=ROW()-3,1,0))</f>
        <v>0</v>
      </c>
      <c r="AP1057">
        <f>N(AP1056)+$AO1057</f>
        <v>13</v>
      </c>
      <c r="AR1057">
        <f>IF(OR($AF1057=1,$AH1057=1),1,0)</f>
        <v>0</v>
      </c>
      <c r="AS1057">
        <f>N(AS1056)+$AR1057</f>
        <v>0</v>
      </c>
    </row>
    <row r="1058" ht="14.25" customHeight="1" s="127">
      <c r="A1058">
        <f>IF(对接源_01水果!$C1058="","",对接源_01水果!$C1058)</f>
      </c>
      <c r="B1058">
        <f>IF(A1058="",0,IF(MATCH(A1058,$A$4:$A$2403,0)=ROW()-3,1,0))</f>
        <v>0</v>
      </c>
      <c r="C1058">
        <f>N(C1057)+B1058</f>
        <v>22</v>
      </c>
      <c r="K1058">
        <f>IF(OR($K$1="",对接源_01水果!$C1058="",对接源_01水果!$C1058&lt;&gt;$K$1,对接源_01水果!$B1058=""),0,IF(OR(N(对接源_01水果!$B1058)&lt;$K$2,N(对接源_01水果!$B1058)&gt;$K$3),0,1))</f>
        <v>0</v>
      </c>
      <c r="L1058">
        <f>IF(OR($L$1="",对接源_01水果!$C1058="",对接源_01水果!$C1058&lt;&gt;$L$1,对接源_01水果!$B1058=""),0,IF(OR(N(对接源_01水果!$B1058)&lt;$L$2,N(对接源_01水果!$B1058)&gt;$L$3),0,1))</f>
        <v>0</v>
      </c>
      <c r="M1058">
        <f>IF(OR($M$1="",对接源_01水果!$C1058="",对接源_01水果!$C1058&lt;&gt;$M$1,对接源_01水果!$B1058=""),0,IF(OR(N(对接源_01水果!$B1058)&lt;$M$2,N(对接源_01水果!$B1058)&gt;$M$3),0,1))</f>
        <v>0</v>
      </c>
      <c r="N1058">
        <f>IF(OR($N$1="",对接源_01水果!$C1058="",对接源_01水果!$C1058&lt;&gt;$N$1,对接源_01水果!$B1058=""),0,IF(OR(N(对接源_01水果!$B1058)&lt;$N$2,N(对接源_01水果!$B1058)&gt;$N$3),0,1))</f>
        <v>0</v>
      </c>
      <c r="P1058">
        <f>IF(AND($K1058=1,AND(对接源_01水果!$X1058="公司筐",N(对接源_01水果!$T1058)&lt;&gt;0)),1,0)</f>
        <v>0</v>
      </c>
      <c r="Q1058">
        <f>N(Q1057)+$P1058</f>
        <v>0</v>
      </c>
      <c r="R1058">
        <f>IF(AND($K1058=1,AND(对接源_01水果!$X1058="公司筐",N(对接源_01水果!$U1058)&lt;&gt;0)),1,0)</f>
        <v>0</v>
      </c>
      <c r="S1058">
        <f>N(S1057)+$R1058</f>
        <v>0</v>
      </c>
      <c r="T1058">
        <f>IF(AND($K1058=1,AND(对接源_01水果!$X1058="公司筐",N(对接源_01水果!$V1058)&lt;&gt;0)),1,0)</f>
        <v>0</v>
      </c>
      <c r="U1058">
        <f>N(U1057)+$T1058</f>
        <v>47</v>
      </c>
      <c r="V1058">
        <f>IF(AND($L1058=1,AND(对接源_01水果!$X1058="自备筐",N(对接源_01水果!$V1058)&lt;&gt;0)),1,0)</f>
        <v>0</v>
      </c>
      <c r="W1058">
        <f>N(W1057)+$V1058</f>
        <v>11</v>
      </c>
      <c r="X1058">
        <f>IF(AND($L1058=1,AND(对接源_01水果!$X1058="自备筐",N(对接源_01水果!$T1058)&lt;&gt;0)),1,0)</f>
        <v>0</v>
      </c>
      <c r="Y1058">
        <f>N(Y1057)+$X1058</f>
        <v>0</v>
      </c>
      <c r="Z1058">
        <f>IF(AND($M1058=1,对接源_01水果!$D1058="原料入库"),1,0)</f>
        <v>0</v>
      </c>
      <c r="AA1058">
        <f>N(AA1057)+$Z1058</f>
        <v>24</v>
      </c>
      <c r="AB1058">
        <f>IF(AND($M1058=1,LEFT(对接源_01水果!$D1058,4)="原料出库"),1,0)</f>
        <v>0</v>
      </c>
      <c r="AC1058">
        <f>N(AC1057)+$AB1058</f>
        <v>0</v>
      </c>
      <c r="AD1058">
        <f>IF(AND($M1058=1,LEFT(对接源_01水果!$D1058,4)="成品出库"),1,0)</f>
        <v>0</v>
      </c>
      <c r="AE1058">
        <f>N(AE1057)+$AD1058</f>
        <v>0</v>
      </c>
      <c r="AF1058">
        <f>IF(AND($N1058=1,AND(LEFT(对接源_01水果!$D1058,4)="包装物料",N(对接源_01水果!$K1058)&lt;&gt;0)),1,0)</f>
        <v>0</v>
      </c>
      <c r="AG1058">
        <f>N(AG1057)+$AF1058</f>
        <v>0</v>
      </c>
      <c r="AH1058">
        <f>IF(AND($N1058=1,AND(对接源_01水果!$D1058="周转筐－销售出库",N(对接源_01水果!$K1058)&lt;&gt;0)),1,0)</f>
        <v>0</v>
      </c>
      <c r="AI1058">
        <f>N(AI1057)+$AH1058</f>
        <v>0</v>
      </c>
      <c r="AJ1058" s="7" t="n"/>
      <c r="AL1058">
        <f>IF(OR($AL$1="",对接源_01水果!$Y1058="",对接源_01水果!$Y1058&lt;&gt;$AL$1,对接源_01水果!$B1058="",N(对接源_01水果!$AJ1058)&lt;=0),0,IF(OR(N(对接源_01水果!$B1058)&lt;$AL$2,N(对接源_01水果!$B1058)&gt;$AL$3),0,1))</f>
        <v>0</v>
      </c>
      <c r="AM1058">
        <f>N(AM1057)+$AL1058</f>
        <v>2</v>
      </c>
      <c r="AN1058">
        <f>IF(对接源_01水果!$AC1058="","",对接源_01水果!$AC1058)</f>
      </c>
      <c r="AO1058">
        <f>IF(AN1058="",0,IF(MATCH(AN1058,$AN$4:$AN$1203,0)=ROW()-3,1,0))</f>
        <v>0</v>
      </c>
      <c r="AP1058">
        <f>N(AP1057)+$AO1058</f>
        <v>13</v>
      </c>
      <c r="AR1058">
        <f>IF(OR($AF1058=1,$AH1058=1),1,0)</f>
        <v>0</v>
      </c>
      <c r="AS1058">
        <f>N(AS1057)+$AR1058</f>
        <v>0</v>
      </c>
    </row>
    <row r="1059" ht="14.25" customHeight="1" s="127">
      <c r="A1059">
        <f>IF(对接源_01水果!$C1059="","",对接源_01水果!$C1059)</f>
      </c>
      <c r="B1059">
        <f>IF(A1059="",0,IF(MATCH(A1059,$A$4:$A$2403,0)=ROW()-3,1,0))</f>
        <v>0</v>
      </c>
      <c r="C1059">
        <f>N(C1058)+B1059</f>
        <v>22</v>
      </c>
      <c r="K1059">
        <f>IF(OR($K$1="",对接源_01水果!$C1059="",对接源_01水果!$C1059&lt;&gt;$K$1,对接源_01水果!$B1059=""),0,IF(OR(N(对接源_01水果!$B1059)&lt;$K$2,N(对接源_01水果!$B1059)&gt;$K$3),0,1))</f>
        <v>0</v>
      </c>
      <c r="L1059">
        <f>IF(OR($L$1="",对接源_01水果!$C1059="",对接源_01水果!$C1059&lt;&gt;$L$1,对接源_01水果!$B1059=""),0,IF(OR(N(对接源_01水果!$B1059)&lt;$L$2,N(对接源_01水果!$B1059)&gt;$L$3),0,1))</f>
        <v>0</v>
      </c>
      <c r="M1059">
        <f>IF(OR($M$1="",对接源_01水果!$C1059="",对接源_01水果!$C1059&lt;&gt;$M$1,对接源_01水果!$B1059=""),0,IF(OR(N(对接源_01水果!$B1059)&lt;$M$2,N(对接源_01水果!$B1059)&gt;$M$3),0,1))</f>
        <v>0</v>
      </c>
      <c r="N1059">
        <f>IF(OR($N$1="",对接源_01水果!$C1059="",对接源_01水果!$C1059&lt;&gt;$N$1,对接源_01水果!$B1059=""),0,IF(OR(N(对接源_01水果!$B1059)&lt;$N$2,N(对接源_01水果!$B1059)&gt;$N$3),0,1))</f>
        <v>0</v>
      </c>
      <c r="P1059">
        <f>IF(AND($K1059=1,AND(对接源_01水果!$X1059="公司筐",N(对接源_01水果!$T1059)&lt;&gt;0)),1,0)</f>
        <v>0</v>
      </c>
      <c r="Q1059">
        <f>N(Q1058)+$P1059</f>
        <v>0</v>
      </c>
      <c r="R1059">
        <f>IF(AND($K1059=1,AND(对接源_01水果!$X1059="公司筐",N(对接源_01水果!$U1059)&lt;&gt;0)),1,0)</f>
        <v>0</v>
      </c>
      <c r="S1059">
        <f>N(S1058)+$R1059</f>
        <v>0</v>
      </c>
      <c r="T1059">
        <f>IF(AND($K1059=1,AND(对接源_01水果!$X1059="公司筐",N(对接源_01水果!$V1059)&lt;&gt;0)),1,0)</f>
        <v>0</v>
      </c>
      <c r="U1059">
        <f>N(U1058)+$T1059</f>
        <v>47</v>
      </c>
      <c r="V1059">
        <f>IF(AND($L1059=1,AND(对接源_01水果!$X1059="自备筐",N(对接源_01水果!$V1059)&lt;&gt;0)),1,0)</f>
        <v>0</v>
      </c>
      <c r="W1059">
        <f>N(W1058)+$V1059</f>
        <v>11</v>
      </c>
      <c r="X1059">
        <f>IF(AND($L1059=1,AND(对接源_01水果!$X1059="自备筐",N(对接源_01水果!$T1059)&lt;&gt;0)),1,0)</f>
        <v>0</v>
      </c>
      <c r="Y1059">
        <f>N(Y1058)+$X1059</f>
        <v>0</v>
      </c>
      <c r="Z1059">
        <f>IF(AND($M1059=1,对接源_01水果!$D1059="原料入库"),1,0)</f>
        <v>0</v>
      </c>
      <c r="AA1059">
        <f>N(AA1058)+$Z1059</f>
        <v>24</v>
      </c>
      <c r="AB1059">
        <f>IF(AND($M1059=1,LEFT(对接源_01水果!$D1059,4)="原料出库"),1,0)</f>
        <v>0</v>
      </c>
      <c r="AC1059">
        <f>N(AC1058)+$AB1059</f>
        <v>0</v>
      </c>
      <c r="AD1059">
        <f>IF(AND($M1059=1,LEFT(对接源_01水果!$D1059,4)="成品出库"),1,0)</f>
        <v>0</v>
      </c>
      <c r="AE1059">
        <f>N(AE1058)+$AD1059</f>
        <v>0</v>
      </c>
      <c r="AF1059">
        <f>IF(AND($N1059=1,AND(LEFT(对接源_01水果!$D1059,4)="包装物料",N(对接源_01水果!$K1059)&lt;&gt;0)),1,0)</f>
        <v>0</v>
      </c>
      <c r="AG1059">
        <f>N(AG1058)+$AF1059</f>
        <v>0</v>
      </c>
      <c r="AH1059">
        <f>IF(AND($N1059=1,AND(对接源_01水果!$D1059="周转筐－销售出库",N(对接源_01水果!$K1059)&lt;&gt;0)),1,0)</f>
        <v>0</v>
      </c>
      <c r="AI1059">
        <f>N(AI1058)+$AH1059</f>
        <v>0</v>
      </c>
      <c r="AJ1059" s="7" t="n"/>
      <c r="AL1059">
        <f>IF(OR($AL$1="",对接源_01水果!$Y1059="",对接源_01水果!$Y1059&lt;&gt;$AL$1,对接源_01水果!$B1059="",N(对接源_01水果!$AJ1059)&lt;=0),0,IF(OR(N(对接源_01水果!$B1059)&lt;$AL$2,N(对接源_01水果!$B1059)&gt;$AL$3),0,1))</f>
        <v>0</v>
      </c>
      <c r="AM1059">
        <f>N(AM1058)+$AL1059</f>
        <v>2</v>
      </c>
      <c r="AN1059">
        <f>IF(对接源_01水果!$AC1059="","",对接源_01水果!$AC1059)</f>
      </c>
      <c r="AO1059">
        <f>IF(AN1059="",0,IF(MATCH(AN1059,$AN$4:$AN$1203,0)=ROW()-3,1,0))</f>
        <v>0</v>
      </c>
      <c r="AP1059">
        <f>N(AP1058)+$AO1059</f>
        <v>13</v>
      </c>
      <c r="AR1059">
        <f>IF(OR($AF1059=1,$AH1059=1),1,0)</f>
        <v>0</v>
      </c>
      <c r="AS1059">
        <f>N(AS1058)+$AR1059</f>
        <v>0</v>
      </c>
    </row>
    <row r="1060" ht="14.25" customHeight="1" s="127">
      <c r="A1060">
        <f>IF(对接源_01水果!$C1060="","",对接源_01水果!$C1060)</f>
      </c>
      <c r="B1060">
        <f>IF(A1060="",0,IF(MATCH(A1060,$A$4:$A$2403,0)=ROW()-3,1,0))</f>
        <v>0</v>
      </c>
      <c r="C1060">
        <f>N(C1059)+B1060</f>
        <v>22</v>
      </c>
      <c r="K1060">
        <f>IF(OR($K$1="",对接源_01水果!$C1060="",对接源_01水果!$C1060&lt;&gt;$K$1,对接源_01水果!$B1060=""),0,IF(OR(N(对接源_01水果!$B1060)&lt;$K$2,N(对接源_01水果!$B1060)&gt;$K$3),0,1))</f>
        <v>0</v>
      </c>
      <c r="L1060">
        <f>IF(OR($L$1="",对接源_01水果!$C1060="",对接源_01水果!$C1060&lt;&gt;$L$1,对接源_01水果!$B1060=""),0,IF(OR(N(对接源_01水果!$B1060)&lt;$L$2,N(对接源_01水果!$B1060)&gt;$L$3),0,1))</f>
        <v>0</v>
      </c>
      <c r="M1060">
        <f>IF(OR($M$1="",对接源_01水果!$C1060="",对接源_01水果!$C1060&lt;&gt;$M$1,对接源_01水果!$B1060=""),0,IF(OR(N(对接源_01水果!$B1060)&lt;$M$2,N(对接源_01水果!$B1060)&gt;$M$3),0,1))</f>
        <v>0</v>
      </c>
      <c r="N1060">
        <f>IF(OR($N$1="",对接源_01水果!$C1060="",对接源_01水果!$C1060&lt;&gt;$N$1,对接源_01水果!$B1060=""),0,IF(OR(N(对接源_01水果!$B1060)&lt;$N$2,N(对接源_01水果!$B1060)&gt;$N$3),0,1))</f>
        <v>0</v>
      </c>
      <c r="P1060">
        <f>IF(AND($K1060=1,AND(对接源_01水果!$X1060="公司筐",N(对接源_01水果!$T1060)&lt;&gt;0)),1,0)</f>
        <v>0</v>
      </c>
      <c r="Q1060">
        <f>N(Q1059)+$P1060</f>
        <v>0</v>
      </c>
      <c r="R1060">
        <f>IF(AND($K1060=1,AND(对接源_01水果!$X1060="公司筐",N(对接源_01水果!$U1060)&lt;&gt;0)),1,0)</f>
        <v>0</v>
      </c>
      <c r="S1060">
        <f>N(S1059)+$R1060</f>
        <v>0</v>
      </c>
      <c r="T1060">
        <f>IF(AND($K1060=1,AND(对接源_01水果!$X1060="公司筐",N(对接源_01水果!$V1060)&lt;&gt;0)),1,0)</f>
        <v>0</v>
      </c>
      <c r="U1060">
        <f>N(U1059)+$T1060</f>
        <v>47</v>
      </c>
      <c r="V1060">
        <f>IF(AND($L1060=1,AND(对接源_01水果!$X1060="自备筐",N(对接源_01水果!$V1060)&lt;&gt;0)),1,0)</f>
        <v>0</v>
      </c>
      <c r="W1060">
        <f>N(W1059)+$V1060</f>
        <v>11</v>
      </c>
      <c r="X1060">
        <f>IF(AND($L1060=1,AND(对接源_01水果!$X1060="自备筐",N(对接源_01水果!$T1060)&lt;&gt;0)),1,0)</f>
        <v>0</v>
      </c>
      <c r="Y1060">
        <f>N(Y1059)+$X1060</f>
        <v>0</v>
      </c>
      <c r="Z1060">
        <f>IF(AND($M1060=1,对接源_01水果!$D1060="原料入库"),1,0)</f>
        <v>0</v>
      </c>
      <c r="AA1060">
        <f>N(AA1059)+$Z1060</f>
        <v>24</v>
      </c>
      <c r="AB1060">
        <f>IF(AND($M1060=1,LEFT(对接源_01水果!$D1060,4)="原料出库"),1,0)</f>
        <v>0</v>
      </c>
      <c r="AC1060">
        <f>N(AC1059)+$AB1060</f>
        <v>0</v>
      </c>
      <c r="AD1060">
        <f>IF(AND($M1060=1,LEFT(对接源_01水果!$D1060,4)="成品出库"),1,0)</f>
        <v>0</v>
      </c>
      <c r="AE1060">
        <f>N(AE1059)+$AD1060</f>
        <v>0</v>
      </c>
      <c r="AF1060">
        <f>IF(AND($N1060=1,AND(LEFT(对接源_01水果!$D1060,4)="包装物料",N(对接源_01水果!$K1060)&lt;&gt;0)),1,0)</f>
        <v>0</v>
      </c>
      <c r="AG1060">
        <f>N(AG1059)+$AF1060</f>
        <v>0</v>
      </c>
      <c r="AH1060">
        <f>IF(AND($N1060=1,AND(对接源_01水果!$D1060="周转筐－销售出库",N(对接源_01水果!$K1060)&lt;&gt;0)),1,0)</f>
        <v>0</v>
      </c>
      <c r="AI1060">
        <f>N(AI1059)+$AH1060</f>
        <v>0</v>
      </c>
      <c r="AJ1060" s="7" t="n"/>
      <c r="AL1060">
        <f>IF(OR($AL$1="",对接源_01水果!$Y1060="",对接源_01水果!$Y1060&lt;&gt;$AL$1,对接源_01水果!$B1060="",N(对接源_01水果!$AJ1060)&lt;=0),0,IF(OR(N(对接源_01水果!$B1060)&lt;$AL$2,N(对接源_01水果!$B1060)&gt;$AL$3),0,1))</f>
        <v>0</v>
      </c>
      <c r="AM1060">
        <f>N(AM1059)+$AL1060</f>
        <v>2</v>
      </c>
      <c r="AN1060">
        <f>IF(对接源_01水果!$AC1060="","",对接源_01水果!$AC1060)</f>
      </c>
      <c r="AO1060">
        <f>IF(AN1060="",0,IF(MATCH(AN1060,$AN$4:$AN$1203,0)=ROW()-3,1,0))</f>
        <v>0</v>
      </c>
      <c r="AP1060">
        <f>N(AP1059)+$AO1060</f>
        <v>13</v>
      </c>
      <c r="AR1060">
        <f>IF(OR($AF1060=1,$AH1060=1),1,0)</f>
        <v>0</v>
      </c>
      <c r="AS1060">
        <f>N(AS1059)+$AR1060</f>
        <v>0</v>
      </c>
    </row>
    <row r="1061" ht="14.25" customHeight="1" s="127">
      <c r="A1061">
        <f>IF(对接源_01水果!$C1061="","",对接源_01水果!$C1061)</f>
      </c>
      <c r="B1061">
        <f>IF(A1061="",0,IF(MATCH(A1061,$A$4:$A$2403,0)=ROW()-3,1,0))</f>
        <v>0</v>
      </c>
      <c r="C1061">
        <f>N(C1060)+B1061</f>
        <v>22</v>
      </c>
      <c r="K1061">
        <f>IF(OR($K$1="",对接源_01水果!$C1061="",对接源_01水果!$C1061&lt;&gt;$K$1,对接源_01水果!$B1061=""),0,IF(OR(N(对接源_01水果!$B1061)&lt;$K$2,N(对接源_01水果!$B1061)&gt;$K$3),0,1))</f>
        <v>0</v>
      </c>
      <c r="L1061">
        <f>IF(OR($L$1="",对接源_01水果!$C1061="",对接源_01水果!$C1061&lt;&gt;$L$1,对接源_01水果!$B1061=""),0,IF(OR(N(对接源_01水果!$B1061)&lt;$L$2,N(对接源_01水果!$B1061)&gt;$L$3),0,1))</f>
        <v>0</v>
      </c>
      <c r="M1061">
        <f>IF(OR($M$1="",对接源_01水果!$C1061="",对接源_01水果!$C1061&lt;&gt;$M$1,对接源_01水果!$B1061=""),0,IF(OR(N(对接源_01水果!$B1061)&lt;$M$2,N(对接源_01水果!$B1061)&gt;$M$3),0,1))</f>
        <v>0</v>
      </c>
      <c r="N1061">
        <f>IF(OR($N$1="",对接源_01水果!$C1061="",对接源_01水果!$C1061&lt;&gt;$N$1,对接源_01水果!$B1061=""),0,IF(OR(N(对接源_01水果!$B1061)&lt;$N$2,N(对接源_01水果!$B1061)&gt;$N$3),0,1))</f>
        <v>0</v>
      </c>
      <c r="P1061">
        <f>IF(AND($K1061=1,AND(对接源_01水果!$X1061="公司筐",N(对接源_01水果!$T1061)&lt;&gt;0)),1,0)</f>
        <v>0</v>
      </c>
      <c r="Q1061">
        <f>N(Q1060)+$P1061</f>
        <v>0</v>
      </c>
      <c r="R1061">
        <f>IF(AND($K1061=1,AND(对接源_01水果!$X1061="公司筐",N(对接源_01水果!$U1061)&lt;&gt;0)),1,0)</f>
        <v>0</v>
      </c>
      <c r="S1061">
        <f>N(S1060)+$R1061</f>
        <v>0</v>
      </c>
      <c r="T1061">
        <f>IF(AND($K1061=1,AND(对接源_01水果!$X1061="公司筐",N(对接源_01水果!$V1061)&lt;&gt;0)),1,0)</f>
        <v>0</v>
      </c>
      <c r="U1061">
        <f>N(U1060)+$T1061</f>
        <v>47</v>
      </c>
      <c r="V1061">
        <f>IF(AND($L1061=1,AND(对接源_01水果!$X1061="自备筐",N(对接源_01水果!$V1061)&lt;&gt;0)),1,0)</f>
        <v>0</v>
      </c>
      <c r="W1061">
        <f>N(W1060)+$V1061</f>
        <v>11</v>
      </c>
      <c r="X1061">
        <f>IF(AND($L1061=1,AND(对接源_01水果!$X1061="自备筐",N(对接源_01水果!$T1061)&lt;&gt;0)),1,0)</f>
        <v>0</v>
      </c>
      <c r="Y1061">
        <f>N(Y1060)+$X1061</f>
        <v>0</v>
      </c>
      <c r="Z1061">
        <f>IF(AND($M1061=1,对接源_01水果!$D1061="原料入库"),1,0)</f>
        <v>0</v>
      </c>
      <c r="AA1061">
        <f>N(AA1060)+$Z1061</f>
        <v>24</v>
      </c>
      <c r="AB1061">
        <f>IF(AND($M1061=1,LEFT(对接源_01水果!$D1061,4)="原料出库"),1,0)</f>
        <v>0</v>
      </c>
      <c r="AC1061">
        <f>N(AC1060)+$AB1061</f>
        <v>0</v>
      </c>
      <c r="AD1061">
        <f>IF(AND($M1061=1,LEFT(对接源_01水果!$D1061,4)="成品出库"),1,0)</f>
        <v>0</v>
      </c>
      <c r="AE1061">
        <f>N(AE1060)+$AD1061</f>
        <v>0</v>
      </c>
      <c r="AF1061">
        <f>IF(AND($N1061=1,AND(LEFT(对接源_01水果!$D1061,4)="包装物料",N(对接源_01水果!$K1061)&lt;&gt;0)),1,0)</f>
        <v>0</v>
      </c>
      <c r="AG1061">
        <f>N(AG1060)+$AF1061</f>
        <v>0</v>
      </c>
      <c r="AH1061">
        <f>IF(AND($N1061=1,AND(对接源_01水果!$D1061="周转筐－销售出库",N(对接源_01水果!$K1061)&lt;&gt;0)),1,0)</f>
        <v>0</v>
      </c>
      <c r="AI1061">
        <f>N(AI1060)+$AH1061</f>
        <v>0</v>
      </c>
      <c r="AJ1061" s="7" t="n"/>
      <c r="AL1061">
        <f>IF(OR($AL$1="",对接源_01水果!$Y1061="",对接源_01水果!$Y1061&lt;&gt;$AL$1,对接源_01水果!$B1061="",N(对接源_01水果!$AJ1061)&lt;=0),0,IF(OR(N(对接源_01水果!$B1061)&lt;$AL$2,N(对接源_01水果!$B1061)&gt;$AL$3),0,1))</f>
        <v>0</v>
      </c>
      <c r="AM1061">
        <f>N(AM1060)+$AL1061</f>
        <v>2</v>
      </c>
      <c r="AN1061">
        <f>IF(对接源_01水果!$AC1061="","",对接源_01水果!$AC1061)</f>
      </c>
      <c r="AO1061">
        <f>IF(AN1061="",0,IF(MATCH(AN1061,$AN$4:$AN$1203,0)=ROW()-3,1,0))</f>
        <v>0</v>
      </c>
      <c r="AP1061">
        <f>N(AP1060)+$AO1061</f>
        <v>13</v>
      </c>
      <c r="AR1061">
        <f>IF(OR($AF1061=1,$AH1061=1),1,0)</f>
        <v>0</v>
      </c>
      <c r="AS1061">
        <f>N(AS1060)+$AR1061</f>
        <v>0</v>
      </c>
    </row>
    <row r="1062" ht="14.25" customHeight="1" s="127">
      <c r="A1062">
        <f>IF(对接源_01水果!$C1062="","",对接源_01水果!$C1062)</f>
      </c>
      <c r="B1062">
        <f>IF(A1062="",0,IF(MATCH(A1062,$A$4:$A$2403,0)=ROW()-3,1,0))</f>
        <v>0</v>
      </c>
      <c r="C1062">
        <f>N(C1061)+B1062</f>
        <v>22</v>
      </c>
      <c r="K1062">
        <f>IF(OR($K$1="",对接源_01水果!$C1062="",对接源_01水果!$C1062&lt;&gt;$K$1,对接源_01水果!$B1062=""),0,IF(OR(N(对接源_01水果!$B1062)&lt;$K$2,N(对接源_01水果!$B1062)&gt;$K$3),0,1))</f>
        <v>0</v>
      </c>
      <c r="L1062">
        <f>IF(OR($L$1="",对接源_01水果!$C1062="",对接源_01水果!$C1062&lt;&gt;$L$1,对接源_01水果!$B1062=""),0,IF(OR(N(对接源_01水果!$B1062)&lt;$L$2,N(对接源_01水果!$B1062)&gt;$L$3),0,1))</f>
        <v>0</v>
      </c>
      <c r="M1062">
        <f>IF(OR($M$1="",对接源_01水果!$C1062="",对接源_01水果!$C1062&lt;&gt;$M$1,对接源_01水果!$B1062=""),0,IF(OR(N(对接源_01水果!$B1062)&lt;$M$2,N(对接源_01水果!$B1062)&gt;$M$3),0,1))</f>
        <v>0</v>
      </c>
      <c r="N1062">
        <f>IF(OR($N$1="",对接源_01水果!$C1062="",对接源_01水果!$C1062&lt;&gt;$N$1,对接源_01水果!$B1062=""),0,IF(OR(N(对接源_01水果!$B1062)&lt;$N$2,N(对接源_01水果!$B1062)&gt;$N$3),0,1))</f>
        <v>0</v>
      </c>
      <c r="P1062">
        <f>IF(AND($K1062=1,AND(对接源_01水果!$X1062="公司筐",N(对接源_01水果!$T1062)&lt;&gt;0)),1,0)</f>
        <v>0</v>
      </c>
      <c r="Q1062">
        <f>N(Q1061)+$P1062</f>
        <v>0</v>
      </c>
      <c r="R1062">
        <f>IF(AND($K1062=1,AND(对接源_01水果!$X1062="公司筐",N(对接源_01水果!$U1062)&lt;&gt;0)),1,0)</f>
        <v>0</v>
      </c>
      <c r="S1062">
        <f>N(S1061)+$R1062</f>
        <v>0</v>
      </c>
      <c r="T1062">
        <f>IF(AND($K1062=1,AND(对接源_01水果!$X1062="公司筐",N(对接源_01水果!$V1062)&lt;&gt;0)),1,0)</f>
        <v>0</v>
      </c>
      <c r="U1062">
        <f>N(U1061)+$T1062</f>
        <v>47</v>
      </c>
      <c r="V1062">
        <f>IF(AND($L1062=1,AND(对接源_01水果!$X1062="自备筐",N(对接源_01水果!$V1062)&lt;&gt;0)),1,0)</f>
        <v>0</v>
      </c>
      <c r="W1062">
        <f>N(W1061)+$V1062</f>
        <v>11</v>
      </c>
      <c r="X1062">
        <f>IF(AND($L1062=1,AND(对接源_01水果!$X1062="自备筐",N(对接源_01水果!$T1062)&lt;&gt;0)),1,0)</f>
        <v>0</v>
      </c>
      <c r="Y1062">
        <f>N(Y1061)+$X1062</f>
        <v>0</v>
      </c>
      <c r="Z1062">
        <f>IF(AND($M1062=1,对接源_01水果!$D1062="原料入库"),1,0)</f>
        <v>0</v>
      </c>
      <c r="AA1062">
        <f>N(AA1061)+$Z1062</f>
        <v>24</v>
      </c>
      <c r="AB1062">
        <f>IF(AND($M1062=1,LEFT(对接源_01水果!$D1062,4)="原料出库"),1,0)</f>
        <v>0</v>
      </c>
      <c r="AC1062">
        <f>N(AC1061)+$AB1062</f>
        <v>0</v>
      </c>
      <c r="AD1062">
        <f>IF(AND($M1062=1,LEFT(对接源_01水果!$D1062,4)="成品出库"),1,0)</f>
        <v>0</v>
      </c>
      <c r="AE1062">
        <f>N(AE1061)+$AD1062</f>
        <v>0</v>
      </c>
      <c r="AF1062">
        <f>IF(AND($N1062=1,AND(LEFT(对接源_01水果!$D1062,4)="包装物料",N(对接源_01水果!$K1062)&lt;&gt;0)),1,0)</f>
        <v>0</v>
      </c>
      <c r="AG1062">
        <f>N(AG1061)+$AF1062</f>
        <v>0</v>
      </c>
      <c r="AH1062">
        <f>IF(AND($N1062=1,AND(对接源_01水果!$D1062="周转筐－销售出库",N(对接源_01水果!$K1062)&lt;&gt;0)),1,0)</f>
        <v>0</v>
      </c>
      <c r="AI1062">
        <f>N(AI1061)+$AH1062</f>
        <v>0</v>
      </c>
      <c r="AJ1062" s="7" t="n"/>
      <c r="AL1062">
        <f>IF(OR($AL$1="",对接源_01水果!$Y1062="",对接源_01水果!$Y1062&lt;&gt;$AL$1,对接源_01水果!$B1062="",N(对接源_01水果!$AJ1062)&lt;=0),0,IF(OR(N(对接源_01水果!$B1062)&lt;$AL$2,N(对接源_01水果!$B1062)&gt;$AL$3),0,1))</f>
        <v>0</v>
      </c>
      <c r="AM1062">
        <f>N(AM1061)+$AL1062</f>
        <v>2</v>
      </c>
      <c r="AN1062">
        <f>IF(对接源_01水果!$AC1062="","",对接源_01水果!$AC1062)</f>
      </c>
      <c r="AO1062">
        <f>IF(AN1062="",0,IF(MATCH(AN1062,$AN$4:$AN$1203,0)=ROW()-3,1,0))</f>
        <v>0</v>
      </c>
      <c r="AP1062">
        <f>N(AP1061)+$AO1062</f>
        <v>13</v>
      </c>
      <c r="AR1062">
        <f>IF(OR($AF1062=1,$AH1062=1),1,0)</f>
        <v>0</v>
      </c>
      <c r="AS1062">
        <f>N(AS1061)+$AR1062</f>
        <v>0</v>
      </c>
    </row>
    <row r="1063" ht="14.25" customHeight="1" s="127">
      <c r="A1063">
        <f>IF(对接源_01水果!$C1063="","",对接源_01水果!$C1063)</f>
      </c>
      <c r="B1063">
        <f>IF(A1063="",0,IF(MATCH(A1063,$A$4:$A$2403,0)=ROW()-3,1,0))</f>
        <v>0</v>
      </c>
      <c r="C1063">
        <f>N(C1062)+B1063</f>
        <v>22</v>
      </c>
      <c r="K1063">
        <f>IF(OR($K$1="",对接源_01水果!$C1063="",对接源_01水果!$C1063&lt;&gt;$K$1,对接源_01水果!$B1063=""),0,IF(OR(N(对接源_01水果!$B1063)&lt;$K$2,N(对接源_01水果!$B1063)&gt;$K$3),0,1))</f>
        <v>0</v>
      </c>
      <c r="L1063">
        <f>IF(OR($L$1="",对接源_01水果!$C1063="",对接源_01水果!$C1063&lt;&gt;$L$1,对接源_01水果!$B1063=""),0,IF(OR(N(对接源_01水果!$B1063)&lt;$L$2,N(对接源_01水果!$B1063)&gt;$L$3),0,1))</f>
        <v>0</v>
      </c>
      <c r="M1063">
        <f>IF(OR($M$1="",对接源_01水果!$C1063="",对接源_01水果!$C1063&lt;&gt;$M$1,对接源_01水果!$B1063=""),0,IF(OR(N(对接源_01水果!$B1063)&lt;$M$2,N(对接源_01水果!$B1063)&gt;$M$3),0,1))</f>
        <v>0</v>
      </c>
      <c r="N1063">
        <f>IF(OR($N$1="",对接源_01水果!$C1063="",对接源_01水果!$C1063&lt;&gt;$N$1,对接源_01水果!$B1063=""),0,IF(OR(N(对接源_01水果!$B1063)&lt;$N$2,N(对接源_01水果!$B1063)&gt;$N$3),0,1))</f>
        <v>0</v>
      </c>
      <c r="P1063">
        <f>IF(AND($K1063=1,AND(对接源_01水果!$X1063="公司筐",N(对接源_01水果!$T1063)&lt;&gt;0)),1,0)</f>
        <v>0</v>
      </c>
      <c r="Q1063">
        <f>N(Q1062)+$P1063</f>
        <v>0</v>
      </c>
      <c r="R1063">
        <f>IF(AND($K1063=1,AND(对接源_01水果!$X1063="公司筐",N(对接源_01水果!$U1063)&lt;&gt;0)),1,0)</f>
        <v>0</v>
      </c>
      <c r="S1063">
        <f>N(S1062)+$R1063</f>
        <v>0</v>
      </c>
      <c r="T1063">
        <f>IF(AND($K1063=1,AND(对接源_01水果!$X1063="公司筐",N(对接源_01水果!$V1063)&lt;&gt;0)),1,0)</f>
        <v>0</v>
      </c>
      <c r="U1063">
        <f>N(U1062)+$T1063</f>
        <v>47</v>
      </c>
      <c r="V1063">
        <f>IF(AND($L1063=1,AND(对接源_01水果!$X1063="自备筐",N(对接源_01水果!$V1063)&lt;&gt;0)),1,0)</f>
        <v>0</v>
      </c>
      <c r="W1063">
        <f>N(W1062)+$V1063</f>
        <v>11</v>
      </c>
      <c r="X1063">
        <f>IF(AND($L1063=1,AND(对接源_01水果!$X1063="自备筐",N(对接源_01水果!$T1063)&lt;&gt;0)),1,0)</f>
        <v>0</v>
      </c>
      <c r="Y1063">
        <f>N(Y1062)+$X1063</f>
        <v>0</v>
      </c>
      <c r="Z1063">
        <f>IF(AND($M1063=1,对接源_01水果!$D1063="原料入库"),1,0)</f>
        <v>0</v>
      </c>
      <c r="AA1063">
        <f>N(AA1062)+$Z1063</f>
        <v>24</v>
      </c>
      <c r="AB1063">
        <f>IF(AND($M1063=1,LEFT(对接源_01水果!$D1063,4)="原料出库"),1,0)</f>
        <v>0</v>
      </c>
      <c r="AC1063">
        <f>N(AC1062)+$AB1063</f>
        <v>0</v>
      </c>
      <c r="AD1063">
        <f>IF(AND($M1063=1,LEFT(对接源_01水果!$D1063,4)="成品出库"),1,0)</f>
        <v>0</v>
      </c>
      <c r="AE1063">
        <f>N(AE1062)+$AD1063</f>
        <v>0</v>
      </c>
      <c r="AF1063">
        <f>IF(AND($N1063=1,AND(LEFT(对接源_01水果!$D1063,4)="包装物料",N(对接源_01水果!$K1063)&lt;&gt;0)),1,0)</f>
        <v>0</v>
      </c>
      <c r="AG1063">
        <f>N(AG1062)+$AF1063</f>
        <v>0</v>
      </c>
      <c r="AH1063">
        <f>IF(AND($N1063=1,AND(对接源_01水果!$D1063="周转筐－销售出库",N(对接源_01水果!$K1063)&lt;&gt;0)),1,0)</f>
        <v>0</v>
      </c>
      <c r="AI1063">
        <f>N(AI1062)+$AH1063</f>
        <v>0</v>
      </c>
      <c r="AJ1063" s="7" t="n"/>
      <c r="AL1063">
        <f>IF(OR($AL$1="",对接源_01水果!$Y1063="",对接源_01水果!$Y1063&lt;&gt;$AL$1,对接源_01水果!$B1063="",N(对接源_01水果!$AJ1063)&lt;=0),0,IF(OR(N(对接源_01水果!$B1063)&lt;$AL$2,N(对接源_01水果!$B1063)&gt;$AL$3),0,1))</f>
        <v>0</v>
      </c>
      <c r="AM1063">
        <f>N(AM1062)+$AL1063</f>
        <v>2</v>
      </c>
      <c r="AN1063">
        <f>IF(对接源_01水果!$AC1063="","",对接源_01水果!$AC1063)</f>
      </c>
      <c r="AO1063">
        <f>IF(AN1063="",0,IF(MATCH(AN1063,$AN$4:$AN$1203,0)=ROW()-3,1,0))</f>
        <v>0</v>
      </c>
      <c r="AP1063">
        <f>N(AP1062)+$AO1063</f>
        <v>13</v>
      </c>
      <c r="AR1063">
        <f>IF(OR($AF1063=1,$AH1063=1),1,0)</f>
        <v>0</v>
      </c>
      <c r="AS1063">
        <f>N(AS1062)+$AR1063</f>
        <v>0</v>
      </c>
    </row>
    <row r="1064" ht="14.25" customHeight="1" s="127">
      <c r="A1064">
        <f>IF(对接源_01水果!$C1064="","",对接源_01水果!$C1064)</f>
      </c>
      <c r="B1064">
        <f>IF(A1064="",0,IF(MATCH(A1064,$A$4:$A$2403,0)=ROW()-3,1,0))</f>
        <v>0</v>
      </c>
      <c r="C1064">
        <f>N(C1063)+B1064</f>
        <v>22</v>
      </c>
      <c r="K1064">
        <f>IF(OR($K$1="",对接源_01水果!$C1064="",对接源_01水果!$C1064&lt;&gt;$K$1,对接源_01水果!$B1064=""),0,IF(OR(N(对接源_01水果!$B1064)&lt;$K$2,N(对接源_01水果!$B1064)&gt;$K$3),0,1))</f>
        <v>0</v>
      </c>
      <c r="L1064">
        <f>IF(OR($L$1="",对接源_01水果!$C1064="",对接源_01水果!$C1064&lt;&gt;$L$1,对接源_01水果!$B1064=""),0,IF(OR(N(对接源_01水果!$B1064)&lt;$L$2,N(对接源_01水果!$B1064)&gt;$L$3),0,1))</f>
        <v>0</v>
      </c>
      <c r="M1064">
        <f>IF(OR($M$1="",对接源_01水果!$C1064="",对接源_01水果!$C1064&lt;&gt;$M$1,对接源_01水果!$B1064=""),0,IF(OR(N(对接源_01水果!$B1064)&lt;$M$2,N(对接源_01水果!$B1064)&gt;$M$3),0,1))</f>
        <v>0</v>
      </c>
      <c r="N1064">
        <f>IF(OR($N$1="",对接源_01水果!$C1064="",对接源_01水果!$C1064&lt;&gt;$N$1,对接源_01水果!$B1064=""),0,IF(OR(N(对接源_01水果!$B1064)&lt;$N$2,N(对接源_01水果!$B1064)&gt;$N$3),0,1))</f>
        <v>0</v>
      </c>
      <c r="P1064">
        <f>IF(AND($K1064=1,AND(对接源_01水果!$X1064="公司筐",N(对接源_01水果!$T1064)&lt;&gt;0)),1,0)</f>
        <v>0</v>
      </c>
      <c r="Q1064">
        <f>N(Q1063)+$P1064</f>
        <v>0</v>
      </c>
      <c r="R1064">
        <f>IF(AND($K1064=1,AND(对接源_01水果!$X1064="公司筐",N(对接源_01水果!$U1064)&lt;&gt;0)),1,0)</f>
        <v>0</v>
      </c>
      <c r="S1064">
        <f>N(S1063)+$R1064</f>
        <v>0</v>
      </c>
      <c r="T1064">
        <f>IF(AND($K1064=1,AND(对接源_01水果!$X1064="公司筐",N(对接源_01水果!$V1064)&lt;&gt;0)),1,0)</f>
        <v>0</v>
      </c>
      <c r="U1064">
        <f>N(U1063)+$T1064</f>
        <v>47</v>
      </c>
      <c r="V1064">
        <f>IF(AND($L1064=1,AND(对接源_01水果!$X1064="自备筐",N(对接源_01水果!$V1064)&lt;&gt;0)),1,0)</f>
        <v>0</v>
      </c>
      <c r="W1064">
        <f>N(W1063)+$V1064</f>
        <v>11</v>
      </c>
      <c r="X1064">
        <f>IF(AND($L1064=1,AND(对接源_01水果!$X1064="自备筐",N(对接源_01水果!$T1064)&lt;&gt;0)),1,0)</f>
        <v>0</v>
      </c>
      <c r="Y1064">
        <f>N(Y1063)+$X1064</f>
        <v>0</v>
      </c>
      <c r="Z1064">
        <f>IF(AND($M1064=1,对接源_01水果!$D1064="原料入库"),1,0)</f>
        <v>0</v>
      </c>
      <c r="AA1064">
        <f>N(AA1063)+$Z1064</f>
        <v>24</v>
      </c>
      <c r="AB1064">
        <f>IF(AND($M1064=1,LEFT(对接源_01水果!$D1064,4)="原料出库"),1,0)</f>
        <v>0</v>
      </c>
      <c r="AC1064">
        <f>N(AC1063)+$AB1064</f>
        <v>0</v>
      </c>
      <c r="AD1064">
        <f>IF(AND($M1064=1,LEFT(对接源_01水果!$D1064,4)="成品出库"),1,0)</f>
        <v>0</v>
      </c>
      <c r="AE1064">
        <f>N(AE1063)+$AD1064</f>
        <v>0</v>
      </c>
      <c r="AF1064">
        <f>IF(AND($N1064=1,AND(LEFT(对接源_01水果!$D1064,4)="包装物料",N(对接源_01水果!$K1064)&lt;&gt;0)),1,0)</f>
        <v>0</v>
      </c>
      <c r="AG1064">
        <f>N(AG1063)+$AF1064</f>
        <v>0</v>
      </c>
      <c r="AH1064">
        <f>IF(AND($N1064=1,AND(对接源_01水果!$D1064="周转筐－销售出库",N(对接源_01水果!$K1064)&lt;&gt;0)),1,0)</f>
        <v>0</v>
      </c>
      <c r="AI1064">
        <f>N(AI1063)+$AH1064</f>
        <v>0</v>
      </c>
      <c r="AJ1064" s="7" t="n"/>
      <c r="AL1064">
        <f>IF(OR($AL$1="",对接源_01水果!$Y1064="",对接源_01水果!$Y1064&lt;&gt;$AL$1,对接源_01水果!$B1064="",N(对接源_01水果!$AJ1064)&lt;=0),0,IF(OR(N(对接源_01水果!$B1064)&lt;$AL$2,N(对接源_01水果!$B1064)&gt;$AL$3),0,1))</f>
        <v>0</v>
      </c>
      <c r="AM1064">
        <f>N(AM1063)+$AL1064</f>
        <v>2</v>
      </c>
      <c r="AN1064">
        <f>IF(对接源_01水果!$AC1064="","",对接源_01水果!$AC1064)</f>
      </c>
      <c r="AO1064">
        <f>IF(AN1064="",0,IF(MATCH(AN1064,$AN$4:$AN$1203,0)=ROW()-3,1,0))</f>
        <v>0</v>
      </c>
      <c r="AP1064">
        <f>N(AP1063)+$AO1064</f>
        <v>13</v>
      </c>
      <c r="AR1064">
        <f>IF(OR($AF1064=1,$AH1064=1),1,0)</f>
        <v>0</v>
      </c>
      <c r="AS1064">
        <f>N(AS1063)+$AR1064</f>
        <v>0</v>
      </c>
    </row>
    <row r="1065" ht="14.25" customHeight="1" s="127">
      <c r="A1065">
        <f>IF(对接源_01水果!$C1065="","",对接源_01水果!$C1065)</f>
      </c>
      <c r="B1065">
        <f>IF(A1065="",0,IF(MATCH(A1065,$A$4:$A$2403,0)=ROW()-3,1,0))</f>
        <v>0</v>
      </c>
      <c r="C1065">
        <f>N(C1064)+B1065</f>
        <v>22</v>
      </c>
      <c r="K1065">
        <f>IF(OR($K$1="",对接源_01水果!$C1065="",对接源_01水果!$C1065&lt;&gt;$K$1,对接源_01水果!$B1065=""),0,IF(OR(N(对接源_01水果!$B1065)&lt;$K$2,N(对接源_01水果!$B1065)&gt;$K$3),0,1))</f>
        <v>0</v>
      </c>
      <c r="L1065">
        <f>IF(OR($L$1="",对接源_01水果!$C1065="",对接源_01水果!$C1065&lt;&gt;$L$1,对接源_01水果!$B1065=""),0,IF(OR(N(对接源_01水果!$B1065)&lt;$L$2,N(对接源_01水果!$B1065)&gt;$L$3),0,1))</f>
        <v>0</v>
      </c>
      <c r="M1065">
        <f>IF(OR($M$1="",对接源_01水果!$C1065="",对接源_01水果!$C1065&lt;&gt;$M$1,对接源_01水果!$B1065=""),0,IF(OR(N(对接源_01水果!$B1065)&lt;$M$2,N(对接源_01水果!$B1065)&gt;$M$3),0,1))</f>
        <v>0</v>
      </c>
      <c r="N1065">
        <f>IF(OR($N$1="",对接源_01水果!$C1065="",对接源_01水果!$C1065&lt;&gt;$N$1,对接源_01水果!$B1065=""),0,IF(OR(N(对接源_01水果!$B1065)&lt;$N$2,N(对接源_01水果!$B1065)&gt;$N$3),0,1))</f>
        <v>0</v>
      </c>
      <c r="P1065">
        <f>IF(AND($K1065=1,AND(对接源_01水果!$X1065="公司筐",N(对接源_01水果!$T1065)&lt;&gt;0)),1,0)</f>
        <v>0</v>
      </c>
      <c r="Q1065">
        <f>N(Q1064)+$P1065</f>
        <v>0</v>
      </c>
      <c r="R1065">
        <f>IF(AND($K1065=1,AND(对接源_01水果!$X1065="公司筐",N(对接源_01水果!$U1065)&lt;&gt;0)),1,0)</f>
        <v>0</v>
      </c>
      <c r="S1065">
        <f>N(S1064)+$R1065</f>
        <v>0</v>
      </c>
      <c r="T1065">
        <f>IF(AND($K1065=1,AND(对接源_01水果!$X1065="公司筐",N(对接源_01水果!$V1065)&lt;&gt;0)),1,0)</f>
        <v>0</v>
      </c>
      <c r="U1065">
        <f>N(U1064)+$T1065</f>
        <v>47</v>
      </c>
      <c r="V1065">
        <f>IF(AND($L1065=1,AND(对接源_01水果!$X1065="自备筐",N(对接源_01水果!$V1065)&lt;&gt;0)),1,0)</f>
        <v>0</v>
      </c>
      <c r="W1065">
        <f>N(W1064)+$V1065</f>
        <v>11</v>
      </c>
      <c r="X1065">
        <f>IF(AND($L1065=1,AND(对接源_01水果!$X1065="自备筐",N(对接源_01水果!$T1065)&lt;&gt;0)),1,0)</f>
        <v>0</v>
      </c>
      <c r="Y1065">
        <f>N(Y1064)+$X1065</f>
        <v>0</v>
      </c>
      <c r="Z1065">
        <f>IF(AND($M1065=1,对接源_01水果!$D1065="原料入库"),1,0)</f>
        <v>0</v>
      </c>
      <c r="AA1065">
        <f>N(AA1064)+$Z1065</f>
        <v>24</v>
      </c>
      <c r="AB1065">
        <f>IF(AND($M1065=1,LEFT(对接源_01水果!$D1065,4)="原料出库"),1,0)</f>
        <v>0</v>
      </c>
      <c r="AC1065">
        <f>N(AC1064)+$AB1065</f>
        <v>0</v>
      </c>
      <c r="AD1065">
        <f>IF(AND($M1065=1,LEFT(对接源_01水果!$D1065,4)="成品出库"),1,0)</f>
        <v>0</v>
      </c>
      <c r="AE1065">
        <f>N(AE1064)+$AD1065</f>
        <v>0</v>
      </c>
      <c r="AF1065">
        <f>IF(AND($N1065=1,AND(LEFT(对接源_01水果!$D1065,4)="包装物料",N(对接源_01水果!$K1065)&lt;&gt;0)),1,0)</f>
        <v>0</v>
      </c>
      <c r="AG1065">
        <f>N(AG1064)+$AF1065</f>
        <v>0</v>
      </c>
      <c r="AH1065">
        <f>IF(AND($N1065=1,AND(对接源_01水果!$D1065="周转筐－销售出库",N(对接源_01水果!$K1065)&lt;&gt;0)),1,0)</f>
        <v>0</v>
      </c>
      <c r="AI1065">
        <f>N(AI1064)+$AH1065</f>
        <v>0</v>
      </c>
      <c r="AJ1065" s="7" t="n"/>
      <c r="AL1065">
        <f>IF(OR($AL$1="",对接源_01水果!$Y1065="",对接源_01水果!$Y1065&lt;&gt;$AL$1,对接源_01水果!$B1065="",N(对接源_01水果!$AJ1065)&lt;=0),0,IF(OR(N(对接源_01水果!$B1065)&lt;$AL$2,N(对接源_01水果!$B1065)&gt;$AL$3),0,1))</f>
        <v>0</v>
      </c>
      <c r="AM1065">
        <f>N(AM1064)+$AL1065</f>
        <v>2</v>
      </c>
      <c r="AN1065">
        <f>IF(对接源_01水果!$AC1065="","",对接源_01水果!$AC1065)</f>
      </c>
      <c r="AO1065">
        <f>IF(AN1065="",0,IF(MATCH(AN1065,$AN$4:$AN$1203,0)=ROW()-3,1,0))</f>
        <v>0</v>
      </c>
      <c r="AP1065">
        <f>N(AP1064)+$AO1065</f>
        <v>13</v>
      </c>
      <c r="AR1065">
        <f>IF(OR($AF1065=1,$AH1065=1),1,0)</f>
        <v>0</v>
      </c>
      <c r="AS1065">
        <f>N(AS1064)+$AR1065</f>
        <v>0</v>
      </c>
    </row>
    <row r="1066" ht="14.25" customHeight="1" s="127">
      <c r="A1066">
        <f>IF(对接源_01水果!$C1066="","",对接源_01水果!$C1066)</f>
      </c>
      <c r="B1066">
        <f>IF(A1066="",0,IF(MATCH(A1066,$A$4:$A$2403,0)=ROW()-3,1,0))</f>
        <v>0</v>
      </c>
      <c r="C1066">
        <f>N(C1065)+B1066</f>
        <v>22</v>
      </c>
      <c r="K1066">
        <f>IF(OR($K$1="",对接源_01水果!$C1066="",对接源_01水果!$C1066&lt;&gt;$K$1,对接源_01水果!$B1066=""),0,IF(OR(N(对接源_01水果!$B1066)&lt;$K$2,N(对接源_01水果!$B1066)&gt;$K$3),0,1))</f>
        <v>0</v>
      </c>
      <c r="L1066">
        <f>IF(OR($L$1="",对接源_01水果!$C1066="",对接源_01水果!$C1066&lt;&gt;$L$1,对接源_01水果!$B1066=""),0,IF(OR(N(对接源_01水果!$B1066)&lt;$L$2,N(对接源_01水果!$B1066)&gt;$L$3),0,1))</f>
        <v>0</v>
      </c>
      <c r="M1066">
        <f>IF(OR($M$1="",对接源_01水果!$C1066="",对接源_01水果!$C1066&lt;&gt;$M$1,对接源_01水果!$B1066=""),0,IF(OR(N(对接源_01水果!$B1066)&lt;$M$2,N(对接源_01水果!$B1066)&gt;$M$3),0,1))</f>
        <v>0</v>
      </c>
      <c r="N1066">
        <f>IF(OR($N$1="",对接源_01水果!$C1066="",对接源_01水果!$C1066&lt;&gt;$N$1,对接源_01水果!$B1066=""),0,IF(OR(N(对接源_01水果!$B1066)&lt;$N$2,N(对接源_01水果!$B1066)&gt;$N$3),0,1))</f>
        <v>0</v>
      </c>
      <c r="P1066">
        <f>IF(AND($K1066=1,AND(对接源_01水果!$X1066="公司筐",N(对接源_01水果!$T1066)&lt;&gt;0)),1,0)</f>
        <v>0</v>
      </c>
      <c r="Q1066">
        <f>N(Q1065)+$P1066</f>
        <v>0</v>
      </c>
      <c r="R1066">
        <f>IF(AND($K1066=1,AND(对接源_01水果!$X1066="公司筐",N(对接源_01水果!$U1066)&lt;&gt;0)),1,0)</f>
        <v>0</v>
      </c>
      <c r="S1066">
        <f>N(S1065)+$R1066</f>
        <v>0</v>
      </c>
      <c r="T1066">
        <f>IF(AND($K1066=1,AND(对接源_01水果!$X1066="公司筐",N(对接源_01水果!$V1066)&lt;&gt;0)),1,0)</f>
        <v>0</v>
      </c>
      <c r="U1066">
        <f>N(U1065)+$T1066</f>
        <v>47</v>
      </c>
      <c r="V1066">
        <f>IF(AND($L1066=1,AND(对接源_01水果!$X1066="自备筐",N(对接源_01水果!$V1066)&lt;&gt;0)),1,0)</f>
        <v>0</v>
      </c>
      <c r="W1066">
        <f>N(W1065)+$V1066</f>
        <v>11</v>
      </c>
      <c r="X1066">
        <f>IF(AND($L1066=1,AND(对接源_01水果!$X1066="自备筐",N(对接源_01水果!$T1066)&lt;&gt;0)),1,0)</f>
        <v>0</v>
      </c>
      <c r="Y1066">
        <f>N(Y1065)+$X1066</f>
        <v>0</v>
      </c>
      <c r="Z1066">
        <f>IF(AND($M1066=1,对接源_01水果!$D1066="原料入库"),1,0)</f>
        <v>0</v>
      </c>
      <c r="AA1066">
        <f>N(AA1065)+$Z1066</f>
        <v>24</v>
      </c>
      <c r="AB1066">
        <f>IF(AND($M1066=1,LEFT(对接源_01水果!$D1066,4)="原料出库"),1,0)</f>
        <v>0</v>
      </c>
      <c r="AC1066">
        <f>N(AC1065)+$AB1066</f>
        <v>0</v>
      </c>
      <c r="AD1066">
        <f>IF(AND($M1066=1,LEFT(对接源_01水果!$D1066,4)="成品出库"),1,0)</f>
        <v>0</v>
      </c>
      <c r="AE1066">
        <f>N(AE1065)+$AD1066</f>
        <v>0</v>
      </c>
      <c r="AF1066">
        <f>IF(AND($N1066=1,AND(LEFT(对接源_01水果!$D1066,4)="包装物料",N(对接源_01水果!$K1066)&lt;&gt;0)),1,0)</f>
        <v>0</v>
      </c>
      <c r="AG1066">
        <f>N(AG1065)+$AF1066</f>
        <v>0</v>
      </c>
      <c r="AH1066">
        <f>IF(AND($N1066=1,AND(对接源_01水果!$D1066="周转筐－销售出库",N(对接源_01水果!$K1066)&lt;&gt;0)),1,0)</f>
        <v>0</v>
      </c>
      <c r="AI1066">
        <f>N(AI1065)+$AH1066</f>
        <v>0</v>
      </c>
      <c r="AJ1066" s="7" t="n"/>
      <c r="AL1066">
        <f>IF(OR($AL$1="",对接源_01水果!$Y1066="",对接源_01水果!$Y1066&lt;&gt;$AL$1,对接源_01水果!$B1066="",N(对接源_01水果!$AJ1066)&lt;=0),0,IF(OR(N(对接源_01水果!$B1066)&lt;$AL$2,N(对接源_01水果!$B1066)&gt;$AL$3),0,1))</f>
        <v>0</v>
      </c>
      <c r="AM1066">
        <f>N(AM1065)+$AL1066</f>
        <v>2</v>
      </c>
      <c r="AN1066">
        <f>IF(对接源_01水果!$AC1066="","",对接源_01水果!$AC1066)</f>
      </c>
      <c r="AO1066">
        <f>IF(AN1066="",0,IF(MATCH(AN1066,$AN$4:$AN$1203,0)=ROW()-3,1,0))</f>
        <v>0</v>
      </c>
      <c r="AP1066">
        <f>N(AP1065)+$AO1066</f>
        <v>13</v>
      </c>
      <c r="AR1066">
        <f>IF(OR($AF1066=1,$AH1066=1),1,0)</f>
        <v>0</v>
      </c>
      <c r="AS1066">
        <f>N(AS1065)+$AR1066</f>
        <v>0</v>
      </c>
    </row>
    <row r="1067" ht="14.25" customHeight="1" s="127">
      <c r="A1067">
        <f>IF(对接源_01水果!$C1067="","",对接源_01水果!$C1067)</f>
      </c>
      <c r="B1067">
        <f>IF(A1067="",0,IF(MATCH(A1067,$A$4:$A$2403,0)=ROW()-3,1,0))</f>
        <v>0</v>
      </c>
      <c r="C1067">
        <f>N(C1066)+B1067</f>
        <v>22</v>
      </c>
      <c r="K1067">
        <f>IF(OR($K$1="",对接源_01水果!$C1067="",对接源_01水果!$C1067&lt;&gt;$K$1,对接源_01水果!$B1067=""),0,IF(OR(N(对接源_01水果!$B1067)&lt;$K$2,N(对接源_01水果!$B1067)&gt;$K$3),0,1))</f>
        <v>0</v>
      </c>
      <c r="L1067">
        <f>IF(OR($L$1="",对接源_01水果!$C1067="",对接源_01水果!$C1067&lt;&gt;$L$1,对接源_01水果!$B1067=""),0,IF(OR(N(对接源_01水果!$B1067)&lt;$L$2,N(对接源_01水果!$B1067)&gt;$L$3),0,1))</f>
        <v>0</v>
      </c>
      <c r="M1067">
        <f>IF(OR($M$1="",对接源_01水果!$C1067="",对接源_01水果!$C1067&lt;&gt;$M$1,对接源_01水果!$B1067=""),0,IF(OR(N(对接源_01水果!$B1067)&lt;$M$2,N(对接源_01水果!$B1067)&gt;$M$3),0,1))</f>
        <v>0</v>
      </c>
      <c r="N1067">
        <f>IF(OR($N$1="",对接源_01水果!$C1067="",对接源_01水果!$C1067&lt;&gt;$N$1,对接源_01水果!$B1067=""),0,IF(OR(N(对接源_01水果!$B1067)&lt;$N$2,N(对接源_01水果!$B1067)&gt;$N$3),0,1))</f>
        <v>0</v>
      </c>
      <c r="P1067">
        <f>IF(AND($K1067=1,AND(对接源_01水果!$X1067="公司筐",N(对接源_01水果!$T1067)&lt;&gt;0)),1,0)</f>
        <v>0</v>
      </c>
      <c r="Q1067">
        <f>N(Q1066)+$P1067</f>
        <v>0</v>
      </c>
      <c r="R1067">
        <f>IF(AND($K1067=1,AND(对接源_01水果!$X1067="公司筐",N(对接源_01水果!$U1067)&lt;&gt;0)),1,0)</f>
        <v>0</v>
      </c>
      <c r="S1067">
        <f>N(S1066)+$R1067</f>
        <v>0</v>
      </c>
      <c r="T1067">
        <f>IF(AND($K1067=1,AND(对接源_01水果!$X1067="公司筐",N(对接源_01水果!$V1067)&lt;&gt;0)),1,0)</f>
        <v>0</v>
      </c>
      <c r="U1067">
        <f>N(U1066)+$T1067</f>
        <v>47</v>
      </c>
      <c r="V1067">
        <f>IF(AND($L1067=1,AND(对接源_01水果!$X1067="自备筐",N(对接源_01水果!$V1067)&lt;&gt;0)),1,0)</f>
        <v>0</v>
      </c>
      <c r="W1067">
        <f>N(W1066)+$V1067</f>
        <v>11</v>
      </c>
      <c r="X1067">
        <f>IF(AND($L1067=1,AND(对接源_01水果!$X1067="自备筐",N(对接源_01水果!$T1067)&lt;&gt;0)),1,0)</f>
        <v>0</v>
      </c>
      <c r="Y1067">
        <f>N(Y1066)+$X1067</f>
        <v>0</v>
      </c>
      <c r="Z1067">
        <f>IF(AND($M1067=1,对接源_01水果!$D1067="原料入库"),1,0)</f>
        <v>0</v>
      </c>
      <c r="AA1067">
        <f>N(AA1066)+$Z1067</f>
        <v>24</v>
      </c>
      <c r="AB1067">
        <f>IF(AND($M1067=1,LEFT(对接源_01水果!$D1067,4)="原料出库"),1,0)</f>
        <v>0</v>
      </c>
      <c r="AC1067">
        <f>N(AC1066)+$AB1067</f>
        <v>0</v>
      </c>
      <c r="AD1067">
        <f>IF(AND($M1067=1,LEFT(对接源_01水果!$D1067,4)="成品出库"),1,0)</f>
        <v>0</v>
      </c>
      <c r="AE1067">
        <f>N(AE1066)+$AD1067</f>
        <v>0</v>
      </c>
      <c r="AF1067">
        <f>IF(AND($N1067=1,AND(LEFT(对接源_01水果!$D1067,4)="包装物料",N(对接源_01水果!$K1067)&lt;&gt;0)),1,0)</f>
        <v>0</v>
      </c>
      <c r="AG1067">
        <f>N(AG1066)+$AF1067</f>
        <v>0</v>
      </c>
      <c r="AH1067">
        <f>IF(AND($N1067=1,AND(对接源_01水果!$D1067="周转筐－销售出库",N(对接源_01水果!$K1067)&lt;&gt;0)),1,0)</f>
        <v>0</v>
      </c>
      <c r="AI1067">
        <f>N(AI1066)+$AH1067</f>
        <v>0</v>
      </c>
      <c r="AJ1067" s="7" t="n"/>
      <c r="AL1067">
        <f>IF(OR($AL$1="",对接源_01水果!$Y1067="",对接源_01水果!$Y1067&lt;&gt;$AL$1,对接源_01水果!$B1067="",N(对接源_01水果!$AJ1067)&lt;=0),0,IF(OR(N(对接源_01水果!$B1067)&lt;$AL$2,N(对接源_01水果!$B1067)&gt;$AL$3),0,1))</f>
        <v>0</v>
      </c>
      <c r="AM1067">
        <f>N(AM1066)+$AL1067</f>
        <v>2</v>
      </c>
      <c r="AN1067">
        <f>IF(对接源_01水果!$AC1067="","",对接源_01水果!$AC1067)</f>
      </c>
      <c r="AO1067">
        <f>IF(AN1067="",0,IF(MATCH(AN1067,$AN$4:$AN$1203,0)=ROW()-3,1,0))</f>
        <v>0</v>
      </c>
      <c r="AP1067">
        <f>N(AP1066)+$AO1067</f>
        <v>13</v>
      </c>
      <c r="AR1067">
        <f>IF(OR($AF1067=1,$AH1067=1),1,0)</f>
        <v>0</v>
      </c>
      <c r="AS1067">
        <f>N(AS1066)+$AR1067</f>
        <v>0</v>
      </c>
    </row>
    <row r="1068" ht="14.25" customHeight="1" s="127">
      <c r="A1068">
        <f>IF(对接源_01水果!$C1068="","",对接源_01水果!$C1068)</f>
      </c>
      <c r="B1068">
        <f>IF(A1068="",0,IF(MATCH(A1068,$A$4:$A$2403,0)=ROW()-3,1,0))</f>
        <v>0</v>
      </c>
      <c r="C1068">
        <f>N(C1067)+B1068</f>
        <v>22</v>
      </c>
      <c r="K1068">
        <f>IF(OR($K$1="",对接源_01水果!$C1068="",对接源_01水果!$C1068&lt;&gt;$K$1,对接源_01水果!$B1068=""),0,IF(OR(N(对接源_01水果!$B1068)&lt;$K$2,N(对接源_01水果!$B1068)&gt;$K$3),0,1))</f>
        <v>0</v>
      </c>
      <c r="L1068">
        <f>IF(OR($L$1="",对接源_01水果!$C1068="",对接源_01水果!$C1068&lt;&gt;$L$1,对接源_01水果!$B1068=""),0,IF(OR(N(对接源_01水果!$B1068)&lt;$L$2,N(对接源_01水果!$B1068)&gt;$L$3),0,1))</f>
        <v>0</v>
      </c>
      <c r="M1068">
        <f>IF(OR($M$1="",对接源_01水果!$C1068="",对接源_01水果!$C1068&lt;&gt;$M$1,对接源_01水果!$B1068=""),0,IF(OR(N(对接源_01水果!$B1068)&lt;$M$2,N(对接源_01水果!$B1068)&gt;$M$3),0,1))</f>
        <v>0</v>
      </c>
      <c r="N1068">
        <f>IF(OR($N$1="",对接源_01水果!$C1068="",对接源_01水果!$C1068&lt;&gt;$N$1,对接源_01水果!$B1068=""),0,IF(OR(N(对接源_01水果!$B1068)&lt;$N$2,N(对接源_01水果!$B1068)&gt;$N$3),0,1))</f>
        <v>0</v>
      </c>
      <c r="P1068">
        <f>IF(AND($K1068=1,AND(对接源_01水果!$X1068="公司筐",N(对接源_01水果!$T1068)&lt;&gt;0)),1,0)</f>
        <v>0</v>
      </c>
      <c r="Q1068">
        <f>N(Q1067)+$P1068</f>
        <v>0</v>
      </c>
      <c r="R1068">
        <f>IF(AND($K1068=1,AND(对接源_01水果!$X1068="公司筐",N(对接源_01水果!$U1068)&lt;&gt;0)),1,0)</f>
        <v>0</v>
      </c>
      <c r="S1068">
        <f>N(S1067)+$R1068</f>
        <v>0</v>
      </c>
      <c r="T1068">
        <f>IF(AND($K1068=1,AND(对接源_01水果!$X1068="公司筐",N(对接源_01水果!$V1068)&lt;&gt;0)),1,0)</f>
        <v>0</v>
      </c>
      <c r="U1068">
        <f>N(U1067)+$T1068</f>
        <v>47</v>
      </c>
      <c r="V1068">
        <f>IF(AND($L1068=1,AND(对接源_01水果!$X1068="自备筐",N(对接源_01水果!$V1068)&lt;&gt;0)),1,0)</f>
        <v>0</v>
      </c>
      <c r="W1068">
        <f>N(W1067)+$V1068</f>
        <v>11</v>
      </c>
      <c r="X1068">
        <f>IF(AND($L1068=1,AND(对接源_01水果!$X1068="自备筐",N(对接源_01水果!$T1068)&lt;&gt;0)),1,0)</f>
        <v>0</v>
      </c>
      <c r="Y1068">
        <f>N(Y1067)+$X1068</f>
        <v>0</v>
      </c>
      <c r="Z1068">
        <f>IF(AND($M1068=1,对接源_01水果!$D1068="原料入库"),1,0)</f>
        <v>0</v>
      </c>
      <c r="AA1068">
        <f>N(AA1067)+$Z1068</f>
        <v>24</v>
      </c>
      <c r="AB1068">
        <f>IF(AND($M1068=1,LEFT(对接源_01水果!$D1068,4)="原料出库"),1,0)</f>
        <v>0</v>
      </c>
      <c r="AC1068">
        <f>N(AC1067)+$AB1068</f>
        <v>0</v>
      </c>
      <c r="AD1068">
        <f>IF(AND($M1068=1,LEFT(对接源_01水果!$D1068,4)="成品出库"),1,0)</f>
        <v>0</v>
      </c>
      <c r="AE1068">
        <f>N(AE1067)+$AD1068</f>
        <v>0</v>
      </c>
      <c r="AF1068">
        <f>IF(AND($N1068=1,AND(LEFT(对接源_01水果!$D1068,4)="包装物料",N(对接源_01水果!$K1068)&lt;&gt;0)),1,0)</f>
        <v>0</v>
      </c>
      <c r="AG1068">
        <f>N(AG1067)+$AF1068</f>
        <v>0</v>
      </c>
      <c r="AH1068">
        <f>IF(AND($N1068=1,AND(对接源_01水果!$D1068="周转筐－销售出库",N(对接源_01水果!$K1068)&lt;&gt;0)),1,0)</f>
        <v>0</v>
      </c>
      <c r="AI1068">
        <f>N(AI1067)+$AH1068</f>
        <v>0</v>
      </c>
      <c r="AJ1068" s="7" t="n"/>
      <c r="AL1068">
        <f>IF(OR($AL$1="",对接源_01水果!$Y1068="",对接源_01水果!$Y1068&lt;&gt;$AL$1,对接源_01水果!$B1068="",N(对接源_01水果!$AJ1068)&lt;=0),0,IF(OR(N(对接源_01水果!$B1068)&lt;$AL$2,N(对接源_01水果!$B1068)&gt;$AL$3),0,1))</f>
        <v>0</v>
      </c>
      <c r="AM1068">
        <f>N(AM1067)+$AL1068</f>
        <v>2</v>
      </c>
      <c r="AN1068">
        <f>IF(对接源_01水果!$AC1068="","",对接源_01水果!$AC1068)</f>
      </c>
      <c r="AO1068">
        <f>IF(AN1068="",0,IF(MATCH(AN1068,$AN$4:$AN$1203,0)=ROW()-3,1,0))</f>
        <v>0</v>
      </c>
      <c r="AP1068">
        <f>N(AP1067)+$AO1068</f>
        <v>13</v>
      </c>
      <c r="AR1068">
        <f>IF(OR($AF1068=1,$AH1068=1),1,0)</f>
        <v>0</v>
      </c>
      <c r="AS1068">
        <f>N(AS1067)+$AR1068</f>
        <v>0</v>
      </c>
    </row>
    <row r="1069" ht="14.25" customHeight="1" s="127">
      <c r="A1069">
        <f>IF(对接源_01水果!$C1069="","",对接源_01水果!$C1069)</f>
      </c>
      <c r="B1069">
        <f>IF(A1069="",0,IF(MATCH(A1069,$A$4:$A$2403,0)=ROW()-3,1,0))</f>
        <v>0</v>
      </c>
      <c r="C1069">
        <f>N(C1068)+B1069</f>
        <v>22</v>
      </c>
      <c r="K1069">
        <f>IF(OR($K$1="",对接源_01水果!$C1069="",对接源_01水果!$C1069&lt;&gt;$K$1,对接源_01水果!$B1069=""),0,IF(OR(N(对接源_01水果!$B1069)&lt;$K$2,N(对接源_01水果!$B1069)&gt;$K$3),0,1))</f>
        <v>0</v>
      </c>
      <c r="L1069">
        <f>IF(OR($L$1="",对接源_01水果!$C1069="",对接源_01水果!$C1069&lt;&gt;$L$1,对接源_01水果!$B1069=""),0,IF(OR(N(对接源_01水果!$B1069)&lt;$L$2,N(对接源_01水果!$B1069)&gt;$L$3),0,1))</f>
        <v>0</v>
      </c>
      <c r="M1069">
        <f>IF(OR($M$1="",对接源_01水果!$C1069="",对接源_01水果!$C1069&lt;&gt;$M$1,对接源_01水果!$B1069=""),0,IF(OR(N(对接源_01水果!$B1069)&lt;$M$2,N(对接源_01水果!$B1069)&gt;$M$3),0,1))</f>
        <v>0</v>
      </c>
      <c r="N1069">
        <f>IF(OR($N$1="",对接源_01水果!$C1069="",对接源_01水果!$C1069&lt;&gt;$N$1,对接源_01水果!$B1069=""),0,IF(OR(N(对接源_01水果!$B1069)&lt;$N$2,N(对接源_01水果!$B1069)&gt;$N$3),0,1))</f>
        <v>0</v>
      </c>
      <c r="P1069">
        <f>IF(AND($K1069=1,AND(对接源_01水果!$X1069="公司筐",N(对接源_01水果!$T1069)&lt;&gt;0)),1,0)</f>
        <v>0</v>
      </c>
      <c r="Q1069">
        <f>N(Q1068)+$P1069</f>
        <v>0</v>
      </c>
      <c r="R1069">
        <f>IF(AND($K1069=1,AND(对接源_01水果!$X1069="公司筐",N(对接源_01水果!$U1069)&lt;&gt;0)),1,0)</f>
        <v>0</v>
      </c>
      <c r="S1069">
        <f>N(S1068)+$R1069</f>
        <v>0</v>
      </c>
      <c r="T1069">
        <f>IF(AND($K1069=1,AND(对接源_01水果!$X1069="公司筐",N(对接源_01水果!$V1069)&lt;&gt;0)),1,0)</f>
        <v>0</v>
      </c>
      <c r="U1069">
        <f>N(U1068)+$T1069</f>
        <v>47</v>
      </c>
      <c r="V1069">
        <f>IF(AND($L1069=1,AND(对接源_01水果!$X1069="自备筐",N(对接源_01水果!$V1069)&lt;&gt;0)),1,0)</f>
        <v>0</v>
      </c>
      <c r="W1069">
        <f>N(W1068)+$V1069</f>
        <v>11</v>
      </c>
      <c r="X1069">
        <f>IF(AND($L1069=1,AND(对接源_01水果!$X1069="自备筐",N(对接源_01水果!$T1069)&lt;&gt;0)),1,0)</f>
        <v>0</v>
      </c>
      <c r="Y1069">
        <f>N(Y1068)+$X1069</f>
        <v>0</v>
      </c>
      <c r="Z1069">
        <f>IF(AND($M1069=1,对接源_01水果!$D1069="原料入库"),1,0)</f>
        <v>0</v>
      </c>
      <c r="AA1069">
        <f>N(AA1068)+$Z1069</f>
        <v>24</v>
      </c>
      <c r="AB1069">
        <f>IF(AND($M1069=1,LEFT(对接源_01水果!$D1069,4)="原料出库"),1,0)</f>
        <v>0</v>
      </c>
      <c r="AC1069">
        <f>N(AC1068)+$AB1069</f>
        <v>0</v>
      </c>
      <c r="AD1069">
        <f>IF(AND($M1069=1,LEFT(对接源_01水果!$D1069,4)="成品出库"),1,0)</f>
        <v>0</v>
      </c>
      <c r="AE1069">
        <f>N(AE1068)+$AD1069</f>
        <v>0</v>
      </c>
      <c r="AF1069">
        <f>IF(AND($N1069=1,AND(LEFT(对接源_01水果!$D1069,4)="包装物料",N(对接源_01水果!$K1069)&lt;&gt;0)),1,0)</f>
        <v>0</v>
      </c>
      <c r="AG1069">
        <f>N(AG1068)+$AF1069</f>
        <v>0</v>
      </c>
      <c r="AH1069">
        <f>IF(AND($N1069=1,AND(对接源_01水果!$D1069="周转筐－销售出库",N(对接源_01水果!$K1069)&lt;&gt;0)),1,0)</f>
        <v>0</v>
      </c>
      <c r="AI1069">
        <f>N(AI1068)+$AH1069</f>
        <v>0</v>
      </c>
      <c r="AJ1069" s="7" t="n"/>
      <c r="AL1069">
        <f>IF(OR($AL$1="",对接源_01水果!$Y1069="",对接源_01水果!$Y1069&lt;&gt;$AL$1,对接源_01水果!$B1069="",N(对接源_01水果!$AJ1069)&lt;=0),0,IF(OR(N(对接源_01水果!$B1069)&lt;$AL$2,N(对接源_01水果!$B1069)&gt;$AL$3),0,1))</f>
        <v>0</v>
      </c>
      <c r="AM1069">
        <f>N(AM1068)+$AL1069</f>
        <v>2</v>
      </c>
      <c r="AN1069">
        <f>IF(对接源_01水果!$AC1069="","",对接源_01水果!$AC1069)</f>
      </c>
      <c r="AO1069">
        <f>IF(AN1069="",0,IF(MATCH(AN1069,$AN$4:$AN$1203,0)=ROW()-3,1,0))</f>
        <v>0</v>
      </c>
      <c r="AP1069">
        <f>N(AP1068)+$AO1069</f>
        <v>13</v>
      </c>
      <c r="AR1069">
        <f>IF(OR($AF1069=1,$AH1069=1),1,0)</f>
        <v>0</v>
      </c>
      <c r="AS1069">
        <f>N(AS1068)+$AR1069</f>
        <v>0</v>
      </c>
    </row>
    <row r="1070" ht="14.25" customHeight="1" s="127">
      <c r="A1070">
        <f>IF(对接源_01水果!$C1070="","",对接源_01水果!$C1070)</f>
      </c>
      <c r="B1070">
        <f>IF(A1070="",0,IF(MATCH(A1070,$A$4:$A$2403,0)=ROW()-3,1,0))</f>
        <v>0</v>
      </c>
      <c r="C1070">
        <f>N(C1069)+B1070</f>
        <v>22</v>
      </c>
      <c r="K1070">
        <f>IF(OR($K$1="",对接源_01水果!$C1070="",对接源_01水果!$C1070&lt;&gt;$K$1,对接源_01水果!$B1070=""),0,IF(OR(N(对接源_01水果!$B1070)&lt;$K$2,N(对接源_01水果!$B1070)&gt;$K$3),0,1))</f>
        <v>0</v>
      </c>
      <c r="L1070">
        <f>IF(OR($L$1="",对接源_01水果!$C1070="",对接源_01水果!$C1070&lt;&gt;$L$1,对接源_01水果!$B1070=""),0,IF(OR(N(对接源_01水果!$B1070)&lt;$L$2,N(对接源_01水果!$B1070)&gt;$L$3),0,1))</f>
        <v>0</v>
      </c>
      <c r="M1070">
        <f>IF(OR($M$1="",对接源_01水果!$C1070="",对接源_01水果!$C1070&lt;&gt;$M$1,对接源_01水果!$B1070=""),0,IF(OR(N(对接源_01水果!$B1070)&lt;$M$2,N(对接源_01水果!$B1070)&gt;$M$3),0,1))</f>
        <v>0</v>
      </c>
      <c r="N1070">
        <f>IF(OR($N$1="",对接源_01水果!$C1070="",对接源_01水果!$C1070&lt;&gt;$N$1,对接源_01水果!$B1070=""),0,IF(OR(N(对接源_01水果!$B1070)&lt;$N$2,N(对接源_01水果!$B1070)&gt;$N$3),0,1))</f>
        <v>0</v>
      </c>
      <c r="P1070">
        <f>IF(AND($K1070=1,AND(对接源_01水果!$X1070="公司筐",N(对接源_01水果!$T1070)&lt;&gt;0)),1,0)</f>
        <v>0</v>
      </c>
      <c r="Q1070">
        <f>N(Q1069)+$P1070</f>
        <v>0</v>
      </c>
      <c r="R1070">
        <f>IF(AND($K1070=1,AND(对接源_01水果!$X1070="公司筐",N(对接源_01水果!$U1070)&lt;&gt;0)),1,0)</f>
        <v>0</v>
      </c>
      <c r="S1070">
        <f>N(S1069)+$R1070</f>
        <v>0</v>
      </c>
      <c r="T1070">
        <f>IF(AND($K1070=1,AND(对接源_01水果!$X1070="公司筐",N(对接源_01水果!$V1070)&lt;&gt;0)),1,0)</f>
        <v>0</v>
      </c>
      <c r="U1070">
        <f>N(U1069)+$T1070</f>
        <v>47</v>
      </c>
      <c r="V1070">
        <f>IF(AND($L1070=1,AND(对接源_01水果!$X1070="自备筐",N(对接源_01水果!$V1070)&lt;&gt;0)),1,0)</f>
        <v>0</v>
      </c>
      <c r="W1070">
        <f>N(W1069)+$V1070</f>
        <v>11</v>
      </c>
      <c r="X1070">
        <f>IF(AND($L1070=1,AND(对接源_01水果!$X1070="自备筐",N(对接源_01水果!$T1070)&lt;&gt;0)),1,0)</f>
        <v>0</v>
      </c>
      <c r="Y1070">
        <f>N(Y1069)+$X1070</f>
        <v>0</v>
      </c>
      <c r="Z1070">
        <f>IF(AND($M1070=1,对接源_01水果!$D1070="原料入库"),1,0)</f>
        <v>0</v>
      </c>
      <c r="AA1070">
        <f>N(AA1069)+$Z1070</f>
        <v>24</v>
      </c>
      <c r="AB1070">
        <f>IF(AND($M1070=1,LEFT(对接源_01水果!$D1070,4)="原料出库"),1,0)</f>
        <v>0</v>
      </c>
      <c r="AC1070">
        <f>N(AC1069)+$AB1070</f>
        <v>0</v>
      </c>
      <c r="AD1070">
        <f>IF(AND($M1070=1,LEFT(对接源_01水果!$D1070,4)="成品出库"),1,0)</f>
        <v>0</v>
      </c>
      <c r="AE1070">
        <f>N(AE1069)+$AD1070</f>
        <v>0</v>
      </c>
      <c r="AF1070">
        <f>IF(AND($N1070=1,AND(LEFT(对接源_01水果!$D1070,4)="包装物料",N(对接源_01水果!$K1070)&lt;&gt;0)),1,0)</f>
        <v>0</v>
      </c>
      <c r="AG1070">
        <f>N(AG1069)+$AF1070</f>
        <v>0</v>
      </c>
      <c r="AH1070">
        <f>IF(AND($N1070=1,AND(对接源_01水果!$D1070="周转筐－销售出库",N(对接源_01水果!$K1070)&lt;&gt;0)),1,0)</f>
        <v>0</v>
      </c>
      <c r="AI1070">
        <f>N(AI1069)+$AH1070</f>
        <v>0</v>
      </c>
      <c r="AJ1070" s="7" t="n"/>
      <c r="AL1070">
        <f>IF(OR($AL$1="",对接源_01水果!$Y1070="",对接源_01水果!$Y1070&lt;&gt;$AL$1,对接源_01水果!$B1070="",N(对接源_01水果!$AJ1070)&lt;=0),0,IF(OR(N(对接源_01水果!$B1070)&lt;$AL$2,N(对接源_01水果!$B1070)&gt;$AL$3),0,1))</f>
        <v>0</v>
      </c>
      <c r="AM1070">
        <f>N(AM1069)+$AL1070</f>
        <v>2</v>
      </c>
      <c r="AN1070">
        <f>IF(对接源_01水果!$AC1070="","",对接源_01水果!$AC1070)</f>
      </c>
      <c r="AO1070">
        <f>IF(AN1070="",0,IF(MATCH(AN1070,$AN$4:$AN$1203,0)=ROW()-3,1,0))</f>
        <v>0</v>
      </c>
      <c r="AP1070">
        <f>N(AP1069)+$AO1070</f>
        <v>13</v>
      </c>
      <c r="AR1070">
        <f>IF(OR($AF1070=1,$AH1070=1),1,0)</f>
        <v>0</v>
      </c>
      <c r="AS1070">
        <f>N(AS1069)+$AR1070</f>
        <v>0</v>
      </c>
    </row>
    <row r="1071" ht="14.25" customHeight="1" s="127">
      <c r="A1071">
        <f>IF(对接源_01水果!$C1071="","",对接源_01水果!$C1071)</f>
      </c>
      <c r="B1071">
        <f>IF(A1071="",0,IF(MATCH(A1071,$A$4:$A$2403,0)=ROW()-3,1,0))</f>
        <v>0</v>
      </c>
      <c r="C1071">
        <f>N(C1070)+B1071</f>
        <v>22</v>
      </c>
      <c r="K1071">
        <f>IF(OR($K$1="",对接源_01水果!$C1071="",对接源_01水果!$C1071&lt;&gt;$K$1,对接源_01水果!$B1071=""),0,IF(OR(N(对接源_01水果!$B1071)&lt;$K$2,N(对接源_01水果!$B1071)&gt;$K$3),0,1))</f>
        <v>0</v>
      </c>
      <c r="L1071">
        <f>IF(OR($L$1="",对接源_01水果!$C1071="",对接源_01水果!$C1071&lt;&gt;$L$1,对接源_01水果!$B1071=""),0,IF(OR(N(对接源_01水果!$B1071)&lt;$L$2,N(对接源_01水果!$B1071)&gt;$L$3),0,1))</f>
        <v>0</v>
      </c>
      <c r="M1071">
        <f>IF(OR($M$1="",对接源_01水果!$C1071="",对接源_01水果!$C1071&lt;&gt;$M$1,对接源_01水果!$B1071=""),0,IF(OR(N(对接源_01水果!$B1071)&lt;$M$2,N(对接源_01水果!$B1071)&gt;$M$3),0,1))</f>
        <v>0</v>
      </c>
      <c r="N1071">
        <f>IF(OR($N$1="",对接源_01水果!$C1071="",对接源_01水果!$C1071&lt;&gt;$N$1,对接源_01水果!$B1071=""),0,IF(OR(N(对接源_01水果!$B1071)&lt;$N$2,N(对接源_01水果!$B1071)&gt;$N$3),0,1))</f>
        <v>0</v>
      </c>
      <c r="P1071">
        <f>IF(AND($K1071=1,AND(对接源_01水果!$X1071="公司筐",N(对接源_01水果!$T1071)&lt;&gt;0)),1,0)</f>
        <v>0</v>
      </c>
      <c r="Q1071">
        <f>N(Q1070)+$P1071</f>
        <v>0</v>
      </c>
      <c r="R1071">
        <f>IF(AND($K1071=1,AND(对接源_01水果!$X1071="公司筐",N(对接源_01水果!$U1071)&lt;&gt;0)),1,0)</f>
        <v>0</v>
      </c>
      <c r="S1071">
        <f>N(S1070)+$R1071</f>
        <v>0</v>
      </c>
      <c r="T1071">
        <f>IF(AND($K1071=1,AND(对接源_01水果!$X1071="公司筐",N(对接源_01水果!$V1071)&lt;&gt;0)),1,0)</f>
        <v>0</v>
      </c>
      <c r="U1071">
        <f>N(U1070)+$T1071</f>
        <v>47</v>
      </c>
      <c r="V1071">
        <f>IF(AND($L1071=1,AND(对接源_01水果!$X1071="自备筐",N(对接源_01水果!$V1071)&lt;&gt;0)),1,0)</f>
        <v>0</v>
      </c>
      <c r="W1071">
        <f>N(W1070)+$V1071</f>
        <v>11</v>
      </c>
      <c r="X1071">
        <f>IF(AND($L1071=1,AND(对接源_01水果!$X1071="自备筐",N(对接源_01水果!$T1071)&lt;&gt;0)),1,0)</f>
        <v>0</v>
      </c>
      <c r="Y1071">
        <f>N(Y1070)+$X1071</f>
        <v>0</v>
      </c>
      <c r="Z1071">
        <f>IF(AND($M1071=1,对接源_01水果!$D1071="原料入库"),1,0)</f>
        <v>0</v>
      </c>
      <c r="AA1071">
        <f>N(AA1070)+$Z1071</f>
        <v>24</v>
      </c>
      <c r="AB1071">
        <f>IF(AND($M1071=1,LEFT(对接源_01水果!$D1071,4)="原料出库"),1,0)</f>
        <v>0</v>
      </c>
      <c r="AC1071">
        <f>N(AC1070)+$AB1071</f>
        <v>0</v>
      </c>
      <c r="AD1071">
        <f>IF(AND($M1071=1,LEFT(对接源_01水果!$D1071,4)="成品出库"),1,0)</f>
        <v>0</v>
      </c>
      <c r="AE1071">
        <f>N(AE1070)+$AD1071</f>
        <v>0</v>
      </c>
      <c r="AF1071">
        <f>IF(AND($N1071=1,AND(LEFT(对接源_01水果!$D1071,4)="包装物料",N(对接源_01水果!$K1071)&lt;&gt;0)),1,0)</f>
        <v>0</v>
      </c>
      <c r="AG1071">
        <f>N(AG1070)+$AF1071</f>
        <v>0</v>
      </c>
      <c r="AH1071">
        <f>IF(AND($N1071=1,AND(对接源_01水果!$D1071="周转筐－销售出库",N(对接源_01水果!$K1071)&lt;&gt;0)),1,0)</f>
        <v>0</v>
      </c>
      <c r="AI1071">
        <f>N(AI1070)+$AH1071</f>
        <v>0</v>
      </c>
      <c r="AJ1071" s="7" t="n"/>
      <c r="AL1071">
        <f>IF(OR($AL$1="",对接源_01水果!$Y1071="",对接源_01水果!$Y1071&lt;&gt;$AL$1,对接源_01水果!$B1071="",N(对接源_01水果!$AJ1071)&lt;=0),0,IF(OR(N(对接源_01水果!$B1071)&lt;$AL$2,N(对接源_01水果!$B1071)&gt;$AL$3),0,1))</f>
        <v>0</v>
      </c>
      <c r="AM1071">
        <f>N(AM1070)+$AL1071</f>
        <v>2</v>
      </c>
      <c r="AN1071">
        <f>IF(对接源_01水果!$AC1071="","",对接源_01水果!$AC1071)</f>
      </c>
      <c r="AO1071">
        <f>IF(AN1071="",0,IF(MATCH(AN1071,$AN$4:$AN$1203,0)=ROW()-3,1,0))</f>
        <v>0</v>
      </c>
      <c r="AP1071">
        <f>N(AP1070)+$AO1071</f>
        <v>13</v>
      </c>
      <c r="AR1071">
        <f>IF(OR($AF1071=1,$AH1071=1),1,0)</f>
        <v>0</v>
      </c>
      <c r="AS1071">
        <f>N(AS1070)+$AR1071</f>
        <v>0</v>
      </c>
    </row>
    <row r="1072" ht="14.25" customHeight="1" s="127">
      <c r="A1072">
        <f>IF(对接源_01水果!$C1072="","",对接源_01水果!$C1072)</f>
      </c>
      <c r="B1072">
        <f>IF(A1072="",0,IF(MATCH(A1072,$A$4:$A$2403,0)=ROW()-3,1,0))</f>
        <v>0</v>
      </c>
      <c r="C1072">
        <f>N(C1071)+B1072</f>
        <v>22</v>
      </c>
      <c r="K1072">
        <f>IF(OR($K$1="",对接源_01水果!$C1072="",对接源_01水果!$C1072&lt;&gt;$K$1,对接源_01水果!$B1072=""),0,IF(OR(N(对接源_01水果!$B1072)&lt;$K$2,N(对接源_01水果!$B1072)&gt;$K$3),0,1))</f>
        <v>0</v>
      </c>
      <c r="L1072">
        <f>IF(OR($L$1="",对接源_01水果!$C1072="",对接源_01水果!$C1072&lt;&gt;$L$1,对接源_01水果!$B1072=""),0,IF(OR(N(对接源_01水果!$B1072)&lt;$L$2,N(对接源_01水果!$B1072)&gt;$L$3),0,1))</f>
        <v>0</v>
      </c>
      <c r="M1072">
        <f>IF(OR($M$1="",对接源_01水果!$C1072="",对接源_01水果!$C1072&lt;&gt;$M$1,对接源_01水果!$B1072=""),0,IF(OR(N(对接源_01水果!$B1072)&lt;$M$2,N(对接源_01水果!$B1072)&gt;$M$3),0,1))</f>
        <v>0</v>
      </c>
      <c r="N1072">
        <f>IF(OR($N$1="",对接源_01水果!$C1072="",对接源_01水果!$C1072&lt;&gt;$N$1,对接源_01水果!$B1072=""),0,IF(OR(N(对接源_01水果!$B1072)&lt;$N$2,N(对接源_01水果!$B1072)&gt;$N$3),0,1))</f>
        <v>0</v>
      </c>
      <c r="P1072">
        <f>IF(AND($K1072=1,AND(对接源_01水果!$X1072="公司筐",N(对接源_01水果!$T1072)&lt;&gt;0)),1,0)</f>
        <v>0</v>
      </c>
      <c r="Q1072">
        <f>N(Q1071)+$P1072</f>
        <v>0</v>
      </c>
      <c r="R1072">
        <f>IF(AND($K1072=1,AND(对接源_01水果!$X1072="公司筐",N(对接源_01水果!$U1072)&lt;&gt;0)),1,0)</f>
        <v>0</v>
      </c>
      <c r="S1072">
        <f>N(S1071)+$R1072</f>
        <v>0</v>
      </c>
      <c r="T1072">
        <f>IF(AND($K1072=1,AND(对接源_01水果!$X1072="公司筐",N(对接源_01水果!$V1072)&lt;&gt;0)),1,0)</f>
        <v>0</v>
      </c>
      <c r="U1072">
        <f>N(U1071)+$T1072</f>
        <v>47</v>
      </c>
      <c r="V1072">
        <f>IF(AND($L1072=1,AND(对接源_01水果!$X1072="自备筐",N(对接源_01水果!$V1072)&lt;&gt;0)),1,0)</f>
        <v>0</v>
      </c>
      <c r="W1072">
        <f>N(W1071)+$V1072</f>
        <v>11</v>
      </c>
      <c r="X1072">
        <f>IF(AND($L1072=1,AND(对接源_01水果!$X1072="自备筐",N(对接源_01水果!$T1072)&lt;&gt;0)),1,0)</f>
        <v>0</v>
      </c>
      <c r="Y1072">
        <f>N(Y1071)+$X1072</f>
        <v>0</v>
      </c>
      <c r="Z1072">
        <f>IF(AND($M1072=1,对接源_01水果!$D1072="原料入库"),1,0)</f>
        <v>0</v>
      </c>
      <c r="AA1072">
        <f>N(AA1071)+$Z1072</f>
        <v>24</v>
      </c>
      <c r="AB1072">
        <f>IF(AND($M1072=1,LEFT(对接源_01水果!$D1072,4)="原料出库"),1,0)</f>
        <v>0</v>
      </c>
      <c r="AC1072">
        <f>N(AC1071)+$AB1072</f>
        <v>0</v>
      </c>
      <c r="AD1072">
        <f>IF(AND($M1072=1,LEFT(对接源_01水果!$D1072,4)="成品出库"),1,0)</f>
        <v>0</v>
      </c>
      <c r="AE1072">
        <f>N(AE1071)+$AD1072</f>
        <v>0</v>
      </c>
      <c r="AF1072">
        <f>IF(AND($N1072=1,AND(LEFT(对接源_01水果!$D1072,4)="包装物料",N(对接源_01水果!$K1072)&lt;&gt;0)),1,0)</f>
        <v>0</v>
      </c>
      <c r="AG1072">
        <f>N(AG1071)+$AF1072</f>
        <v>0</v>
      </c>
      <c r="AH1072">
        <f>IF(AND($N1072=1,AND(对接源_01水果!$D1072="周转筐－销售出库",N(对接源_01水果!$K1072)&lt;&gt;0)),1,0)</f>
        <v>0</v>
      </c>
      <c r="AI1072">
        <f>N(AI1071)+$AH1072</f>
        <v>0</v>
      </c>
      <c r="AJ1072" s="7" t="n"/>
      <c r="AL1072">
        <f>IF(OR($AL$1="",对接源_01水果!$Y1072="",对接源_01水果!$Y1072&lt;&gt;$AL$1,对接源_01水果!$B1072="",N(对接源_01水果!$AJ1072)&lt;=0),0,IF(OR(N(对接源_01水果!$B1072)&lt;$AL$2,N(对接源_01水果!$B1072)&gt;$AL$3),0,1))</f>
        <v>0</v>
      </c>
      <c r="AM1072">
        <f>N(AM1071)+$AL1072</f>
        <v>2</v>
      </c>
      <c r="AN1072">
        <f>IF(对接源_01水果!$AC1072="","",对接源_01水果!$AC1072)</f>
      </c>
      <c r="AO1072">
        <f>IF(AN1072="",0,IF(MATCH(AN1072,$AN$4:$AN$1203,0)=ROW()-3,1,0))</f>
        <v>0</v>
      </c>
      <c r="AP1072">
        <f>N(AP1071)+$AO1072</f>
        <v>13</v>
      </c>
      <c r="AR1072">
        <f>IF(OR($AF1072=1,$AH1072=1),1,0)</f>
        <v>0</v>
      </c>
      <c r="AS1072">
        <f>N(AS1071)+$AR1072</f>
        <v>0</v>
      </c>
    </row>
    <row r="1073" ht="14.25" customHeight="1" s="127">
      <c r="A1073">
        <f>IF(对接源_01水果!$C1073="","",对接源_01水果!$C1073)</f>
      </c>
      <c r="B1073">
        <f>IF(A1073="",0,IF(MATCH(A1073,$A$4:$A$2403,0)=ROW()-3,1,0))</f>
        <v>0</v>
      </c>
      <c r="C1073">
        <f>N(C1072)+B1073</f>
        <v>22</v>
      </c>
      <c r="K1073">
        <f>IF(OR($K$1="",对接源_01水果!$C1073="",对接源_01水果!$C1073&lt;&gt;$K$1,对接源_01水果!$B1073=""),0,IF(OR(N(对接源_01水果!$B1073)&lt;$K$2,N(对接源_01水果!$B1073)&gt;$K$3),0,1))</f>
        <v>0</v>
      </c>
      <c r="L1073">
        <f>IF(OR($L$1="",对接源_01水果!$C1073="",对接源_01水果!$C1073&lt;&gt;$L$1,对接源_01水果!$B1073=""),0,IF(OR(N(对接源_01水果!$B1073)&lt;$L$2,N(对接源_01水果!$B1073)&gt;$L$3),0,1))</f>
        <v>0</v>
      </c>
      <c r="M1073">
        <f>IF(OR($M$1="",对接源_01水果!$C1073="",对接源_01水果!$C1073&lt;&gt;$M$1,对接源_01水果!$B1073=""),0,IF(OR(N(对接源_01水果!$B1073)&lt;$M$2,N(对接源_01水果!$B1073)&gt;$M$3),0,1))</f>
        <v>0</v>
      </c>
      <c r="N1073">
        <f>IF(OR($N$1="",对接源_01水果!$C1073="",对接源_01水果!$C1073&lt;&gt;$N$1,对接源_01水果!$B1073=""),0,IF(OR(N(对接源_01水果!$B1073)&lt;$N$2,N(对接源_01水果!$B1073)&gt;$N$3),0,1))</f>
        <v>0</v>
      </c>
      <c r="P1073">
        <f>IF(AND($K1073=1,AND(对接源_01水果!$X1073="公司筐",N(对接源_01水果!$T1073)&lt;&gt;0)),1,0)</f>
        <v>0</v>
      </c>
      <c r="Q1073">
        <f>N(Q1072)+$P1073</f>
        <v>0</v>
      </c>
      <c r="R1073">
        <f>IF(AND($K1073=1,AND(对接源_01水果!$X1073="公司筐",N(对接源_01水果!$U1073)&lt;&gt;0)),1,0)</f>
        <v>0</v>
      </c>
      <c r="S1073">
        <f>N(S1072)+$R1073</f>
        <v>0</v>
      </c>
      <c r="T1073">
        <f>IF(AND($K1073=1,AND(对接源_01水果!$X1073="公司筐",N(对接源_01水果!$V1073)&lt;&gt;0)),1,0)</f>
        <v>0</v>
      </c>
      <c r="U1073">
        <f>N(U1072)+$T1073</f>
        <v>47</v>
      </c>
      <c r="V1073">
        <f>IF(AND($L1073=1,AND(对接源_01水果!$X1073="自备筐",N(对接源_01水果!$V1073)&lt;&gt;0)),1,0)</f>
        <v>0</v>
      </c>
      <c r="W1073">
        <f>N(W1072)+$V1073</f>
        <v>11</v>
      </c>
      <c r="X1073">
        <f>IF(AND($L1073=1,AND(对接源_01水果!$X1073="自备筐",N(对接源_01水果!$T1073)&lt;&gt;0)),1,0)</f>
        <v>0</v>
      </c>
      <c r="Y1073">
        <f>N(Y1072)+$X1073</f>
        <v>0</v>
      </c>
      <c r="Z1073">
        <f>IF(AND($M1073=1,对接源_01水果!$D1073="原料入库"),1,0)</f>
        <v>0</v>
      </c>
      <c r="AA1073">
        <f>N(AA1072)+$Z1073</f>
        <v>24</v>
      </c>
      <c r="AB1073">
        <f>IF(AND($M1073=1,LEFT(对接源_01水果!$D1073,4)="原料出库"),1,0)</f>
        <v>0</v>
      </c>
      <c r="AC1073">
        <f>N(AC1072)+$AB1073</f>
        <v>0</v>
      </c>
      <c r="AD1073">
        <f>IF(AND($M1073=1,LEFT(对接源_01水果!$D1073,4)="成品出库"),1,0)</f>
        <v>0</v>
      </c>
      <c r="AE1073">
        <f>N(AE1072)+$AD1073</f>
        <v>0</v>
      </c>
      <c r="AF1073">
        <f>IF(AND($N1073=1,AND(LEFT(对接源_01水果!$D1073,4)="包装物料",N(对接源_01水果!$K1073)&lt;&gt;0)),1,0)</f>
        <v>0</v>
      </c>
      <c r="AG1073">
        <f>N(AG1072)+$AF1073</f>
        <v>0</v>
      </c>
      <c r="AH1073">
        <f>IF(AND($N1073=1,AND(对接源_01水果!$D1073="周转筐－销售出库",N(对接源_01水果!$K1073)&lt;&gt;0)),1,0)</f>
        <v>0</v>
      </c>
      <c r="AI1073">
        <f>N(AI1072)+$AH1073</f>
        <v>0</v>
      </c>
      <c r="AJ1073" s="7" t="n"/>
      <c r="AL1073">
        <f>IF(OR($AL$1="",对接源_01水果!$Y1073="",对接源_01水果!$Y1073&lt;&gt;$AL$1,对接源_01水果!$B1073="",N(对接源_01水果!$AJ1073)&lt;=0),0,IF(OR(N(对接源_01水果!$B1073)&lt;$AL$2,N(对接源_01水果!$B1073)&gt;$AL$3),0,1))</f>
        <v>0</v>
      </c>
      <c r="AM1073">
        <f>N(AM1072)+$AL1073</f>
        <v>2</v>
      </c>
      <c r="AN1073">
        <f>IF(对接源_01水果!$AC1073="","",对接源_01水果!$AC1073)</f>
      </c>
      <c r="AO1073">
        <f>IF(AN1073="",0,IF(MATCH(AN1073,$AN$4:$AN$1203,0)=ROW()-3,1,0))</f>
        <v>0</v>
      </c>
      <c r="AP1073">
        <f>N(AP1072)+$AO1073</f>
        <v>13</v>
      </c>
      <c r="AR1073">
        <f>IF(OR($AF1073=1,$AH1073=1),1,0)</f>
        <v>0</v>
      </c>
      <c r="AS1073">
        <f>N(AS1072)+$AR1073</f>
        <v>0</v>
      </c>
    </row>
    <row r="1074" ht="14.25" customHeight="1" s="127">
      <c r="A1074">
        <f>IF(对接源_01水果!$C1074="","",对接源_01水果!$C1074)</f>
      </c>
      <c r="B1074">
        <f>IF(A1074="",0,IF(MATCH(A1074,$A$4:$A$2403,0)=ROW()-3,1,0))</f>
        <v>0</v>
      </c>
      <c r="C1074">
        <f>N(C1073)+B1074</f>
        <v>22</v>
      </c>
      <c r="K1074">
        <f>IF(OR($K$1="",对接源_01水果!$C1074="",对接源_01水果!$C1074&lt;&gt;$K$1,对接源_01水果!$B1074=""),0,IF(OR(N(对接源_01水果!$B1074)&lt;$K$2,N(对接源_01水果!$B1074)&gt;$K$3),0,1))</f>
        <v>0</v>
      </c>
      <c r="L1074">
        <f>IF(OR($L$1="",对接源_01水果!$C1074="",对接源_01水果!$C1074&lt;&gt;$L$1,对接源_01水果!$B1074=""),0,IF(OR(N(对接源_01水果!$B1074)&lt;$L$2,N(对接源_01水果!$B1074)&gt;$L$3),0,1))</f>
        <v>0</v>
      </c>
      <c r="M1074">
        <f>IF(OR($M$1="",对接源_01水果!$C1074="",对接源_01水果!$C1074&lt;&gt;$M$1,对接源_01水果!$B1074=""),0,IF(OR(N(对接源_01水果!$B1074)&lt;$M$2,N(对接源_01水果!$B1074)&gt;$M$3),0,1))</f>
        <v>0</v>
      </c>
      <c r="N1074">
        <f>IF(OR($N$1="",对接源_01水果!$C1074="",对接源_01水果!$C1074&lt;&gt;$N$1,对接源_01水果!$B1074=""),0,IF(OR(N(对接源_01水果!$B1074)&lt;$N$2,N(对接源_01水果!$B1074)&gt;$N$3),0,1))</f>
        <v>0</v>
      </c>
      <c r="P1074">
        <f>IF(AND($K1074=1,AND(对接源_01水果!$X1074="公司筐",N(对接源_01水果!$T1074)&lt;&gt;0)),1,0)</f>
        <v>0</v>
      </c>
      <c r="Q1074">
        <f>N(Q1073)+$P1074</f>
        <v>0</v>
      </c>
      <c r="R1074">
        <f>IF(AND($K1074=1,AND(对接源_01水果!$X1074="公司筐",N(对接源_01水果!$U1074)&lt;&gt;0)),1,0)</f>
        <v>0</v>
      </c>
      <c r="S1074">
        <f>N(S1073)+$R1074</f>
        <v>0</v>
      </c>
      <c r="T1074">
        <f>IF(AND($K1074=1,AND(对接源_01水果!$X1074="公司筐",N(对接源_01水果!$V1074)&lt;&gt;0)),1,0)</f>
        <v>0</v>
      </c>
      <c r="U1074">
        <f>N(U1073)+$T1074</f>
        <v>47</v>
      </c>
      <c r="V1074">
        <f>IF(AND($L1074=1,AND(对接源_01水果!$X1074="自备筐",N(对接源_01水果!$V1074)&lt;&gt;0)),1,0)</f>
        <v>0</v>
      </c>
      <c r="W1074">
        <f>N(W1073)+$V1074</f>
        <v>11</v>
      </c>
      <c r="X1074">
        <f>IF(AND($L1074=1,AND(对接源_01水果!$X1074="自备筐",N(对接源_01水果!$T1074)&lt;&gt;0)),1,0)</f>
        <v>0</v>
      </c>
      <c r="Y1074">
        <f>N(Y1073)+$X1074</f>
        <v>0</v>
      </c>
      <c r="Z1074">
        <f>IF(AND($M1074=1,对接源_01水果!$D1074="原料入库"),1,0)</f>
        <v>0</v>
      </c>
      <c r="AA1074">
        <f>N(AA1073)+$Z1074</f>
        <v>24</v>
      </c>
      <c r="AB1074">
        <f>IF(AND($M1074=1,LEFT(对接源_01水果!$D1074,4)="原料出库"),1,0)</f>
        <v>0</v>
      </c>
      <c r="AC1074">
        <f>N(AC1073)+$AB1074</f>
        <v>0</v>
      </c>
      <c r="AD1074">
        <f>IF(AND($M1074=1,LEFT(对接源_01水果!$D1074,4)="成品出库"),1,0)</f>
        <v>0</v>
      </c>
      <c r="AE1074">
        <f>N(AE1073)+$AD1074</f>
        <v>0</v>
      </c>
      <c r="AF1074">
        <f>IF(AND($N1074=1,AND(LEFT(对接源_01水果!$D1074,4)="包装物料",N(对接源_01水果!$K1074)&lt;&gt;0)),1,0)</f>
        <v>0</v>
      </c>
      <c r="AG1074">
        <f>N(AG1073)+$AF1074</f>
        <v>0</v>
      </c>
      <c r="AH1074">
        <f>IF(AND($N1074=1,AND(对接源_01水果!$D1074="周转筐－销售出库",N(对接源_01水果!$K1074)&lt;&gt;0)),1,0)</f>
        <v>0</v>
      </c>
      <c r="AI1074">
        <f>N(AI1073)+$AH1074</f>
        <v>0</v>
      </c>
      <c r="AJ1074" s="7" t="n"/>
      <c r="AL1074">
        <f>IF(OR($AL$1="",对接源_01水果!$Y1074="",对接源_01水果!$Y1074&lt;&gt;$AL$1,对接源_01水果!$B1074="",N(对接源_01水果!$AJ1074)&lt;=0),0,IF(OR(N(对接源_01水果!$B1074)&lt;$AL$2,N(对接源_01水果!$B1074)&gt;$AL$3),0,1))</f>
        <v>0</v>
      </c>
      <c r="AM1074">
        <f>N(AM1073)+$AL1074</f>
        <v>2</v>
      </c>
      <c r="AN1074">
        <f>IF(对接源_01水果!$AC1074="","",对接源_01水果!$AC1074)</f>
      </c>
      <c r="AO1074">
        <f>IF(AN1074="",0,IF(MATCH(AN1074,$AN$4:$AN$1203,0)=ROW()-3,1,0))</f>
        <v>0</v>
      </c>
      <c r="AP1074">
        <f>N(AP1073)+$AO1074</f>
        <v>13</v>
      </c>
      <c r="AR1074">
        <f>IF(OR($AF1074=1,$AH1074=1),1,0)</f>
        <v>0</v>
      </c>
      <c r="AS1074">
        <f>N(AS1073)+$AR1074</f>
        <v>0</v>
      </c>
    </row>
    <row r="1075" ht="14.25" customHeight="1" s="127">
      <c r="A1075">
        <f>IF(对接源_01水果!$C1075="","",对接源_01水果!$C1075)</f>
      </c>
      <c r="B1075">
        <f>IF(A1075="",0,IF(MATCH(A1075,$A$4:$A$2403,0)=ROW()-3,1,0))</f>
        <v>0</v>
      </c>
      <c r="C1075">
        <f>N(C1074)+B1075</f>
        <v>22</v>
      </c>
      <c r="K1075">
        <f>IF(OR($K$1="",对接源_01水果!$C1075="",对接源_01水果!$C1075&lt;&gt;$K$1,对接源_01水果!$B1075=""),0,IF(OR(N(对接源_01水果!$B1075)&lt;$K$2,N(对接源_01水果!$B1075)&gt;$K$3),0,1))</f>
        <v>0</v>
      </c>
      <c r="L1075">
        <f>IF(OR($L$1="",对接源_01水果!$C1075="",对接源_01水果!$C1075&lt;&gt;$L$1,对接源_01水果!$B1075=""),0,IF(OR(N(对接源_01水果!$B1075)&lt;$L$2,N(对接源_01水果!$B1075)&gt;$L$3),0,1))</f>
        <v>0</v>
      </c>
      <c r="M1075">
        <f>IF(OR($M$1="",对接源_01水果!$C1075="",对接源_01水果!$C1075&lt;&gt;$M$1,对接源_01水果!$B1075=""),0,IF(OR(N(对接源_01水果!$B1075)&lt;$M$2,N(对接源_01水果!$B1075)&gt;$M$3),0,1))</f>
        <v>0</v>
      </c>
      <c r="N1075">
        <f>IF(OR($N$1="",对接源_01水果!$C1075="",对接源_01水果!$C1075&lt;&gt;$N$1,对接源_01水果!$B1075=""),0,IF(OR(N(对接源_01水果!$B1075)&lt;$N$2,N(对接源_01水果!$B1075)&gt;$N$3),0,1))</f>
        <v>0</v>
      </c>
      <c r="P1075">
        <f>IF(AND($K1075=1,AND(对接源_01水果!$X1075="公司筐",N(对接源_01水果!$T1075)&lt;&gt;0)),1,0)</f>
        <v>0</v>
      </c>
      <c r="Q1075">
        <f>N(Q1074)+$P1075</f>
        <v>0</v>
      </c>
      <c r="R1075">
        <f>IF(AND($K1075=1,AND(对接源_01水果!$X1075="公司筐",N(对接源_01水果!$U1075)&lt;&gt;0)),1,0)</f>
        <v>0</v>
      </c>
      <c r="S1075">
        <f>N(S1074)+$R1075</f>
        <v>0</v>
      </c>
      <c r="T1075">
        <f>IF(AND($K1075=1,AND(对接源_01水果!$X1075="公司筐",N(对接源_01水果!$V1075)&lt;&gt;0)),1,0)</f>
        <v>0</v>
      </c>
      <c r="U1075">
        <f>N(U1074)+$T1075</f>
        <v>47</v>
      </c>
      <c r="V1075">
        <f>IF(AND($L1075=1,AND(对接源_01水果!$X1075="自备筐",N(对接源_01水果!$V1075)&lt;&gt;0)),1,0)</f>
        <v>0</v>
      </c>
      <c r="W1075">
        <f>N(W1074)+$V1075</f>
        <v>11</v>
      </c>
      <c r="X1075">
        <f>IF(AND($L1075=1,AND(对接源_01水果!$X1075="自备筐",N(对接源_01水果!$T1075)&lt;&gt;0)),1,0)</f>
        <v>0</v>
      </c>
      <c r="Y1075">
        <f>N(Y1074)+$X1075</f>
        <v>0</v>
      </c>
      <c r="Z1075">
        <f>IF(AND($M1075=1,对接源_01水果!$D1075="原料入库"),1,0)</f>
        <v>0</v>
      </c>
      <c r="AA1075">
        <f>N(AA1074)+$Z1075</f>
        <v>24</v>
      </c>
      <c r="AB1075">
        <f>IF(AND($M1075=1,LEFT(对接源_01水果!$D1075,4)="原料出库"),1,0)</f>
        <v>0</v>
      </c>
      <c r="AC1075">
        <f>N(AC1074)+$AB1075</f>
        <v>0</v>
      </c>
      <c r="AD1075">
        <f>IF(AND($M1075=1,LEFT(对接源_01水果!$D1075,4)="成品出库"),1,0)</f>
        <v>0</v>
      </c>
      <c r="AE1075">
        <f>N(AE1074)+$AD1075</f>
        <v>0</v>
      </c>
      <c r="AF1075">
        <f>IF(AND($N1075=1,AND(LEFT(对接源_01水果!$D1075,4)="包装物料",N(对接源_01水果!$K1075)&lt;&gt;0)),1,0)</f>
        <v>0</v>
      </c>
      <c r="AG1075">
        <f>N(AG1074)+$AF1075</f>
        <v>0</v>
      </c>
      <c r="AH1075">
        <f>IF(AND($N1075=1,AND(对接源_01水果!$D1075="周转筐－销售出库",N(对接源_01水果!$K1075)&lt;&gt;0)),1,0)</f>
        <v>0</v>
      </c>
      <c r="AI1075">
        <f>N(AI1074)+$AH1075</f>
        <v>0</v>
      </c>
      <c r="AJ1075" s="7" t="n"/>
      <c r="AL1075">
        <f>IF(OR($AL$1="",对接源_01水果!$Y1075="",对接源_01水果!$Y1075&lt;&gt;$AL$1,对接源_01水果!$B1075="",N(对接源_01水果!$AJ1075)&lt;=0),0,IF(OR(N(对接源_01水果!$B1075)&lt;$AL$2,N(对接源_01水果!$B1075)&gt;$AL$3),0,1))</f>
        <v>0</v>
      </c>
      <c r="AM1075">
        <f>N(AM1074)+$AL1075</f>
        <v>2</v>
      </c>
      <c r="AN1075">
        <f>IF(对接源_01水果!$AC1075="","",对接源_01水果!$AC1075)</f>
      </c>
      <c r="AO1075">
        <f>IF(AN1075="",0,IF(MATCH(AN1075,$AN$4:$AN$1203,0)=ROW()-3,1,0))</f>
        <v>0</v>
      </c>
      <c r="AP1075">
        <f>N(AP1074)+$AO1075</f>
        <v>13</v>
      </c>
      <c r="AR1075">
        <f>IF(OR($AF1075=1,$AH1075=1),1,0)</f>
        <v>0</v>
      </c>
      <c r="AS1075">
        <f>N(AS1074)+$AR1075</f>
        <v>0</v>
      </c>
    </row>
    <row r="1076" ht="14.25" customHeight="1" s="127">
      <c r="A1076">
        <f>IF(对接源_01水果!$C1076="","",对接源_01水果!$C1076)</f>
      </c>
      <c r="B1076">
        <f>IF(A1076="",0,IF(MATCH(A1076,$A$4:$A$2403,0)=ROW()-3,1,0))</f>
        <v>0</v>
      </c>
      <c r="C1076">
        <f>N(C1075)+B1076</f>
        <v>22</v>
      </c>
      <c r="K1076">
        <f>IF(OR($K$1="",对接源_01水果!$C1076="",对接源_01水果!$C1076&lt;&gt;$K$1,对接源_01水果!$B1076=""),0,IF(OR(N(对接源_01水果!$B1076)&lt;$K$2,N(对接源_01水果!$B1076)&gt;$K$3),0,1))</f>
        <v>0</v>
      </c>
      <c r="L1076">
        <f>IF(OR($L$1="",对接源_01水果!$C1076="",对接源_01水果!$C1076&lt;&gt;$L$1,对接源_01水果!$B1076=""),0,IF(OR(N(对接源_01水果!$B1076)&lt;$L$2,N(对接源_01水果!$B1076)&gt;$L$3),0,1))</f>
        <v>0</v>
      </c>
      <c r="M1076">
        <f>IF(OR($M$1="",对接源_01水果!$C1076="",对接源_01水果!$C1076&lt;&gt;$M$1,对接源_01水果!$B1076=""),0,IF(OR(N(对接源_01水果!$B1076)&lt;$M$2,N(对接源_01水果!$B1076)&gt;$M$3),0,1))</f>
        <v>0</v>
      </c>
      <c r="N1076">
        <f>IF(OR($N$1="",对接源_01水果!$C1076="",对接源_01水果!$C1076&lt;&gt;$N$1,对接源_01水果!$B1076=""),0,IF(OR(N(对接源_01水果!$B1076)&lt;$N$2,N(对接源_01水果!$B1076)&gt;$N$3),0,1))</f>
        <v>0</v>
      </c>
      <c r="P1076">
        <f>IF(AND($K1076=1,AND(对接源_01水果!$X1076="公司筐",N(对接源_01水果!$T1076)&lt;&gt;0)),1,0)</f>
        <v>0</v>
      </c>
      <c r="Q1076">
        <f>N(Q1075)+$P1076</f>
        <v>0</v>
      </c>
      <c r="R1076">
        <f>IF(AND($K1076=1,AND(对接源_01水果!$X1076="公司筐",N(对接源_01水果!$U1076)&lt;&gt;0)),1,0)</f>
        <v>0</v>
      </c>
      <c r="S1076">
        <f>N(S1075)+$R1076</f>
        <v>0</v>
      </c>
      <c r="T1076">
        <f>IF(AND($K1076=1,AND(对接源_01水果!$X1076="公司筐",N(对接源_01水果!$V1076)&lt;&gt;0)),1,0)</f>
        <v>0</v>
      </c>
      <c r="U1076">
        <f>N(U1075)+$T1076</f>
        <v>47</v>
      </c>
      <c r="V1076">
        <f>IF(AND($L1076=1,AND(对接源_01水果!$X1076="自备筐",N(对接源_01水果!$V1076)&lt;&gt;0)),1,0)</f>
        <v>0</v>
      </c>
      <c r="W1076">
        <f>N(W1075)+$V1076</f>
        <v>11</v>
      </c>
      <c r="X1076">
        <f>IF(AND($L1076=1,AND(对接源_01水果!$X1076="自备筐",N(对接源_01水果!$T1076)&lt;&gt;0)),1,0)</f>
        <v>0</v>
      </c>
      <c r="Y1076">
        <f>N(Y1075)+$X1076</f>
        <v>0</v>
      </c>
      <c r="Z1076">
        <f>IF(AND($M1076=1,对接源_01水果!$D1076="原料入库"),1,0)</f>
        <v>0</v>
      </c>
      <c r="AA1076">
        <f>N(AA1075)+$Z1076</f>
        <v>24</v>
      </c>
      <c r="AB1076">
        <f>IF(AND($M1076=1,LEFT(对接源_01水果!$D1076,4)="原料出库"),1,0)</f>
        <v>0</v>
      </c>
      <c r="AC1076">
        <f>N(AC1075)+$AB1076</f>
        <v>0</v>
      </c>
      <c r="AD1076">
        <f>IF(AND($M1076=1,LEFT(对接源_01水果!$D1076,4)="成品出库"),1,0)</f>
        <v>0</v>
      </c>
      <c r="AE1076">
        <f>N(AE1075)+$AD1076</f>
        <v>0</v>
      </c>
      <c r="AF1076">
        <f>IF(AND($N1076=1,AND(LEFT(对接源_01水果!$D1076,4)="包装物料",N(对接源_01水果!$K1076)&lt;&gt;0)),1,0)</f>
        <v>0</v>
      </c>
      <c r="AG1076">
        <f>N(AG1075)+$AF1076</f>
        <v>0</v>
      </c>
      <c r="AH1076">
        <f>IF(AND($N1076=1,AND(对接源_01水果!$D1076="周转筐－销售出库",N(对接源_01水果!$K1076)&lt;&gt;0)),1,0)</f>
        <v>0</v>
      </c>
      <c r="AI1076">
        <f>N(AI1075)+$AH1076</f>
        <v>0</v>
      </c>
      <c r="AJ1076" s="7" t="n"/>
      <c r="AL1076">
        <f>IF(OR($AL$1="",对接源_01水果!$Y1076="",对接源_01水果!$Y1076&lt;&gt;$AL$1,对接源_01水果!$B1076="",N(对接源_01水果!$AJ1076)&lt;=0),0,IF(OR(N(对接源_01水果!$B1076)&lt;$AL$2,N(对接源_01水果!$B1076)&gt;$AL$3),0,1))</f>
        <v>0</v>
      </c>
      <c r="AM1076">
        <f>N(AM1075)+$AL1076</f>
        <v>2</v>
      </c>
      <c r="AN1076">
        <f>IF(对接源_01水果!$AC1076="","",对接源_01水果!$AC1076)</f>
      </c>
      <c r="AO1076">
        <f>IF(AN1076="",0,IF(MATCH(AN1076,$AN$4:$AN$1203,0)=ROW()-3,1,0))</f>
        <v>0</v>
      </c>
      <c r="AP1076">
        <f>N(AP1075)+$AO1076</f>
        <v>13</v>
      </c>
      <c r="AR1076">
        <f>IF(OR($AF1076=1,$AH1076=1),1,0)</f>
        <v>0</v>
      </c>
      <c r="AS1076">
        <f>N(AS1075)+$AR1076</f>
        <v>0</v>
      </c>
    </row>
    <row r="1077" ht="14.25" customHeight="1" s="127">
      <c r="A1077">
        <f>IF(对接源_01水果!$C1077="","",对接源_01水果!$C1077)</f>
      </c>
      <c r="B1077">
        <f>IF(A1077="",0,IF(MATCH(A1077,$A$4:$A$2403,0)=ROW()-3,1,0))</f>
        <v>0</v>
      </c>
      <c r="C1077">
        <f>N(C1076)+B1077</f>
        <v>22</v>
      </c>
      <c r="K1077">
        <f>IF(OR($K$1="",对接源_01水果!$C1077="",对接源_01水果!$C1077&lt;&gt;$K$1,对接源_01水果!$B1077=""),0,IF(OR(N(对接源_01水果!$B1077)&lt;$K$2,N(对接源_01水果!$B1077)&gt;$K$3),0,1))</f>
        <v>0</v>
      </c>
      <c r="L1077">
        <f>IF(OR($L$1="",对接源_01水果!$C1077="",对接源_01水果!$C1077&lt;&gt;$L$1,对接源_01水果!$B1077=""),0,IF(OR(N(对接源_01水果!$B1077)&lt;$L$2,N(对接源_01水果!$B1077)&gt;$L$3),0,1))</f>
        <v>0</v>
      </c>
      <c r="M1077">
        <f>IF(OR($M$1="",对接源_01水果!$C1077="",对接源_01水果!$C1077&lt;&gt;$M$1,对接源_01水果!$B1077=""),0,IF(OR(N(对接源_01水果!$B1077)&lt;$M$2,N(对接源_01水果!$B1077)&gt;$M$3),0,1))</f>
        <v>0</v>
      </c>
      <c r="N1077">
        <f>IF(OR($N$1="",对接源_01水果!$C1077="",对接源_01水果!$C1077&lt;&gt;$N$1,对接源_01水果!$B1077=""),0,IF(OR(N(对接源_01水果!$B1077)&lt;$N$2,N(对接源_01水果!$B1077)&gt;$N$3),0,1))</f>
        <v>0</v>
      </c>
      <c r="P1077">
        <f>IF(AND($K1077=1,AND(对接源_01水果!$X1077="公司筐",N(对接源_01水果!$T1077)&lt;&gt;0)),1,0)</f>
        <v>0</v>
      </c>
      <c r="Q1077">
        <f>N(Q1076)+$P1077</f>
        <v>0</v>
      </c>
      <c r="R1077">
        <f>IF(AND($K1077=1,AND(对接源_01水果!$X1077="公司筐",N(对接源_01水果!$U1077)&lt;&gt;0)),1,0)</f>
        <v>0</v>
      </c>
      <c r="S1077">
        <f>N(S1076)+$R1077</f>
        <v>0</v>
      </c>
      <c r="T1077">
        <f>IF(AND($K1077=1,AND(对接源_01水果!$X1077="公司筐",N(对接源_01水果!$V1077)&lt;&gt;0)),1,0)</f>
        <v>0</v>
      </c>
      <c r="U1077">
        <f>N(U1076)+$T1077</f>
        <v>47</v>
      </c>
      <c r="V1077">
        <f>IF(AND($L1077=1,AND(对接源_01水果!$X1077="自备筐",N(对接源_01水果!$V1077)&lt;&gt;0)),1,0)</f>
        <v>0</v>
      </c>
      <c r="W1077">
        <f>N(W1076)+$V1077</f>
        <v>11</v>
      </c>
      <c r="X1077">
        <f>IF(AND($L1077=1,AND(对接源_01水果!$X1077="自备筐",N(对接源_01水果!$T1077)&lt;&gt;0)),1,0)</f>
        <v>0</v>
      </c>
      <c r="Y1077">
        <f>N(Y1076)+$X1077</f>
        <v>0</v>
      </c>
      <c r="Z1077">
        <f>IF(AND($M1077=1,对接源_01水果!$D1077="原料入库"),1,0)</f>
        <v>0</v>
      </c>
      <c r="AA1077">
        <f>N(AA1076)+$Z1077</f>
        <v>24</v>
      </c>
      <c r="AB1077">
        <f>IF(AND($M1077=1,LEFT(对接源_01水果!$D1077,4)="原料出库"),1,0)</f>
        <v>0</v>
      </c>
      <c r="AC1077">
        <f>N(AC1076)+$AB1077</f>
        <v>0</v>
      </c>
      <c r="AD1077">
        <f>IF(AND($M1077=1,LEFT(对接源_01水果!$D1077,4)="成品出库"),1,0)</f>
        <v>0</v>
      </c>
      <c r="AE1077">
        <f>N(AE1076)+$AD1077</f>
        <v>0</v>
      </c>
      <c r="AF1077">
        <f>IF(AND($N1077=1,AND(LEFT(对接源_01水果!$D1077,4)="包装物料",N(对接源_01水果!$K1077)&lt;&gt;0)),1,0)</f>
        <v>0</v>
      </c>
      <c r="AG1077">
        <f>N(AG1076)+$AF1077</f>
        <v>0</v>
      </c>
      <c r="AH1077">
        <f>IF(AND($N1077=1,AND(对接源_01水果!$D1077="周转筐－销售出库",N(对接源_01水果!$K1077)&lt;&gt;0)),1,0)</f>
        <v>0</v>
      </c>
      <c r="AI1077">
        <f>N(AI1076)+$AH1077</f>
        <v>0</v>
      </c>
      <c r="AJ1077" s="7" t="n"/>
      <c r="AL1077">
        <f>IF(OR($AL$1="",对接源_01水果!$Y1077="",对接源_01水果!$Y1077&lt;&gt;$AL$1,对接源_01水果!$B1077="",N(对接源_01水果!$AJ1077)&lt;=0),0,IF(OR(N(对接源_01水果!$B1077)&lt;$AL$2,N(对接源_01水果!$B1077)&gt;$AL$3),0,1))</f>
        <v>0</v>
      </c>
      <c r="AM1077">
        <f>N(AM1076)+$AL1077</f>
        <v>2</v>
      </c>
      <c r="AN1077">
        <f>IF(对接源_01水果!$AC1077="","",对接源_01水果!$AC1077)</f>
      </c>
      <c r="AO1077">
        <f>IF(AN1077="",0,IF(MATCH(AN1077,$AN$4:$AN$1203,0)=ROW()-3,1,0))</f>
        <v>0</v>
      </c>
      <c r="AP1077">
        <f>N(AP1076)+$AO1077</f>
        <v>13</v>
      </c>
      <c r="AR1077">
        <f>IF(OR($AF1077=1,$AH1077=1),1,0)</f>
        <v>0</v>
      </c>
      <c r="AS1077">
        <f>N(AS1076)+$AR1077</f>
        <v>0</v>
      </c>
    </row>
    <row r="1078" ht="14.25" customHeight="1" s="127">
      <c r="A1078">
        <f>IF(对接源_01水果!$C1078="","",对接源_01水果!$C1078)</f>
      </c>
      <c r="B1078">
        <f>IF(A1078="",0,IF(MATCH(A1078,$A$4:$A$2403,0)=ROW()-3,1,0))</f>
        <v>0</v>
      </c>
      <c r="C1078">
        <f>N(C1077)+B1078</f>
        <v>22</v>
      </c>
      <c r="K1078">
        <f>IF(OR($K$1="",对接源_01水果!$C1078="",对接源_01水果!$C1078&lt;&gt;$K$1,对接源_01水果!$B1078=""),0,IF(OR(N(对接源_01水果!$B1078)&lt;$K$2,N(对接源_01水果!$B1078)&gt;$K$3),0,1))</f>
        <v>0</v>
      </c>
      <c r="L1078">
        <f>IF(OR($L$1="",对接源_01水果!$C1078="",对接源_01水果!$C1078&lt;&gt;$L$1,对接源_01水果!$B1078=""),0,IF(OR(N(对接源_01水果!$B1078)&lt;$L$2,N(对接源_01水果!$B1078)&gt;$L$3),0,1))</f>
        <v>0</v>
      </c>
      <c r="M1078">
        <f>IF(OR($M$1="",对接源_01水果!$C1078="",对接源_01水果!$C1078&lt;&gt;$M$1,对接源_01水果!$B1078=""),0,IF(OR(N(对接源_01水果!$B1078)&lt;$M$2,N(对接源_01水果!$B1078)&gt;$M$3),0,1))</f>
        <v>0</v>
      </c>
      <c r="N1078">
        <f>IF(OR($N$1="",对接源_01水果!$C1078="",对接源_01水果!$C1078&lt;&gt;$N$1,对接源_01水果!$B1078=""),0,IF(OR(N(对接源_01水果!$B1078)&lt;$N$2,N(对接源_01水果!$B1078)&gt;$N$3),0,1))</f>
        <v>0</v>
      </c>
      <c r="P1078">
        <f>IF(AND($K1078=1,AND(对接源_01水果!$X1078="公司筐",N(对接源_01水果!$T1078)&lt;&gt;0)),1,0)</f>
        <v>0</v>
      </c>
      <c r="Q1078">
        <f>N(Q1077)+$P1078</f>
        <v>0</v>
      </c>
      <c r="R1078">
        <f>IF(AND($K1078=1,AND(对接源_01水果!$X1078="公司筐",N(对接源_01水果!$U1078)&lt;&gt;0)),1,0)</f>
        <v>0</v>
      </c>
      <c r="S1078">
        <f>N(S1077)+$R1078</f>
        <v>0</v>
      </c>
      <c r="T1078">
        <f>IF(AND($K1078=1,AND(对接源_01水果!$X1078="公司筐",N(对接源_01水果!$V1078)&lt;&gt;0)),1,0)</f>
        <v>0</v>
      </c>
      <c r="U1078">
        <f>N(U1077)+$T1078</f>
        <v>47</v>
      </c>
      <c r="V1078">
        <f>IF(AND($L1078=1,AND(对接源_01水果!$X1078="自备筐",N(对接源_01水果!$V1078)&lt;&gt;0)),1,0)</f>
        <v>0</v>
      </c>
      <c r="W1078">
        <f>N(W1077)+$V1078</f>
        <v>11</v>
      </c>
      <c r="X1078">
        <f>IF(AND($L1078=1,AND(对接源_01水果!$X1078="自备筐",N(对接源_01水果!$T1078)&lt;&gt;0)),1,0)</f>
        <v>0</v>
      </c>
      <c r="Y1078">
        <f>N(Y1077)+$X1078</f>
        <v>0</v>
      </c>
      <c r="Z1078">
        <f>IF(AND($M1078=1,对接源_01水果!$D1078="原料入库"),1,0)</f>
        <v>0</v>
      </c>
      <c r="AA1078">
        <f>N(AA1077)+$Z1078</f>
        <v>24</v>
      </c>
      <c r="AB1078">
        <f>IF(AND($M1078=1,LEFT(对接源_01水果!$D1078,4)="原料出库"),1,0)</f>
        <v>0</v>
      </c>
      <c r="AC1078">
        <f>N(AC1077)+$AB1078</f>
        <v>0</v>
      </c>
      <c r="AD1078">
        <f>IF(AND($M1078=1,LEFT(对接源_01水果!$D1078,4)="成品出库"),1,0)</f>
        <v>0</v>
      </c>
      <c r="AE1078">
        <f>N(AE1077)+$AD1078</f>
        <v>0</v>
      </c>
      <c r="AF1078">
        <f>IF(AND($N1078=1,AND(LEFT(对接源_01水果!$D1078,4)="包装物料",N(对接源_01水果!$K1078)&lt;&gt;0)),1,0)</f>
        <v>0</v>
      </c>
      <c r="AG1078">
        <f>N(AG1077)+$AF1078</f>
        <v>0</v>
      </c>
      <c r="AH1078">
        <f>IF(AND($N1078=1,AND(对接源_01水果!$D1078="周转筐－销售出库",N(对接源_01水果!$K1078)&lt;&gt;0)),1,0)</f>
        <v>0</v>
      </c>
      <c r="AI1078">
        <f>N(AI1077)+$AH1078</f>
        <v>0</v>
      </c>
      <c r="AJ1078" s="7" t="n"/>
      <c r="AL1078">
        <f>IF(OR($AL$1="",对接源_01水果!$Y1078="",对接源_01水果!$Y1078&lt;&gt;$AL$1,对接源_01水果!$B1078="",N(对接源_01水果!$AJ1078)&lt;=0),0,IF(OR(N(对接源_01水果!$B1078)&lt;$AL$2,N(对接源_01水果!$B1078)&gt;$AL$3),0,1))</f>
        <v>0</v>
      </c>
      <c r="AM1078">
        <f>N(AM1077)+$AL1078</f>
        <v>2</v>
      </c>
      <c r="AN1078">
        <f>IF(对接源_01水果!$AC1078="","",对接源_01水果!$AC1078)</f>
      </c>
      <c r="AO1078">
        <f>IF(AN1078="",0,IF(MATCH(AN1078,$AN$4:$AN$1203,0)=ROW()-3,1,0))</f>
        <v>0</v>
      </c>
      <c r="AP1078">
        <f>N(AP1077)+$AO1078</f>
        <v>13</v>
      </c>
      <c r="AR1078">
        <f>IF(OR($AF1078=1,$AH1078=1),1,0)</f>
        <v>0</v>
      </c>
      <c r="AS1078">
        <f>N(AS1077)+$AR1078</f>
        <v>0</v>
      </c>
    </row>
    <row r="1079" ht="14.25" customHeight="1" s="127">
      <c r="A1079">
        <f>IF(对接源_01水果!$C1079="","",对接源_01水果!$C1079)</f>
      </c>
      <c r="B1079">
        <f>IF(A1079="",0,IF(MATCH(A1079,$A$4:$A$2403,0)=ROW()-3,1,0))</f>
        <v>0</v>
      </c>
      <c r="C1079">
        <f>N(C1078)+B1079</f>
        <v>22</v>
      </c>
      <c r="K1079">
        <f>IF(OR($K$1="",对接源_01水果!$C1079="",对接源_01水果!$C1079&lt;&gt;$K$1,对接源_01水果!$B1079=""),0,IF(OR(N(对接源_01水果!$B1079)&lt;$K$2,N(对接源_01水果!$B1079)&gt;$K$3),0,1))</f>
        <v>0</v>
      </c>
      <c r="L1079">
        <f>IF(OR($L$1="",对接源_01水果!$C1079="",对接源_01水果!$C1079&lt;&gt;$L$1,对接源_01水果!$B1079=""),0,IF(OR(N(对接源_01水果!$B1079)&lt;$L$2,N(对接源_01水果!$B1079)&gt;$L$3),0,1))</f>
        <v>0</v>
      </c>
      <c r="M1079">
        <f>IF(OR($M$1="",对接源_01水果!$C1079="",对接源_01水果!$C1079&lt;&gt;$M$1,对接源_01水果!$B1079=""),0,IF(OR(N(对接源_01水果!$B1079)&lt;$M$2,N(对接源_01水果!$B1079)&gt;$M$3),0,1))</f>
        <v>0</v>
      </c>
      <c r="N1079">
        <f>IF(OR($N$1="",对接源_01水果!$C1079="",对接源_01水果!$C1079&lt;&gt;$N$1,对接源_01水果!$B1079=""),0,IF(OR(N(对接源_01水果!$B1079)&lt;$N$2,N(对接源_01水果!$B1079)&gt;$N$3),0,1))</f>
        <v>0</v>
      </c>
      <c r="P1079">
        <f>IF(AND($K1079=1,AND(对接源_01水果!$X1079="公司筐",N(对接源_01水果!$T1079)&lt;&gt;0)),1,0)</f>
        <v>0</v>
      </c>
      <c r="Q1079">
        <f>N(Q1078)+$P1079</f>
        <v>0</v>
      </c>
      <c r="R1079">
        <f>IF(AND($K1079=1,AND(对接源_01水果!$X1079="公司筐",N(对接源_01水果!$U1079)&lt;&gt;0)),1,0)</f>
        <v>0</v>
      </c>
      <c r="S1079">
        <f>N(S1078)+$R1079</f>
        <v>0</v>
      </c>
      <c r="T1079">
        <f>IF(AND($K1079=1,AND(对接源_01水果!$X1079="公司筐",N(对接源_01水果!$V1079)&lt;&gt;0)),1,0)</f>
        <v>0</v>
      </c>
      <c r="U1079">
        <f>N(U1078)+$T1079</f>
        <v>47</v>
      </c>
      <c r="V1079">
        <f>IF(AND($L1079=1,AND(对接源_01水果!$X1079="自备筐",N(对接源_01水果!$V1079)&lt;&gt;0)),1,0)</f>
        <v>0</v>
      </c>
      <c r="W1079">
        <f>N(W1078)+$V1079</f>
        <v>11</v>
      </c>
      <c r="X1079">
        <f>IF(AND($L1079=1,AND(对接源_01水果!$X1079="自备筐",N(对接源_01水果!$T1079)&lt;&gt;0)),1,0)</f>
        <v>0</v>
      </c>
      <c r="Y1079">
        <f>N(Y1078)+$X1079</f>
        <v>0</v>
      </c>
      <c r="Z1079">
        <f>IF(AND($M1079=1,对接源_01水果!$D1079="原料入库"),1,0)</f>
        <v>0</v>
      </c>
      <c r="AA1079">
        <f>N(AA1078)+$Z1079</f>
        <v>24</v>
      </c>
      <c r="AB1079">
        <f>IF(AND($M1079=1,LEFT(对接源_01水果!$D1079,4)="原料出库"),1,0)</f>
        <v>0</v>
      </c>
      <c r="AC1079">
        <f>N(AC1078)+$AB1079</f>
        <v>0</v>
      </c>
      <c r="AD1079">
        <f>IF(AND($M1079=1,LEFT(对接源_01水果!$D1079,4)="成品出库"),1,0)</f>
        <v>0</v>
      </c>
      <c r="AE1079">
        <f>N(AE1078)+$AD1079</f>
        <v>0</v>
      </c>
      <c r="AF1079">
        <f>IF(AND($N1079=1,AND(LEFT(对接源_01水果!$D1079,4)="包装物料",N(对接源_01水果!$K1079)&lt;&gt;0)),1,0)</f>
        <v>0</v>
      </c>
      <c r="AG1079">
        <f>N(AG1078)+$AF1079</f>
        <v>0</v>
      </c>
      <c r="AH1079">
        <f>IF(AND($N1079=1,AND(对接源_01水果!$D1079="周转筐－销售出库",N(对接源_01水果!$K1079)&lt;&gt;0)),1,0)</f>
        <v>0</v>
      </c>
      <c r="AI1079">
        <f>N(AI1078)+$AH1079</f>
        <v>0</v>
      </c>
      <c r="AJ1079" s="7" t="n"/>
      <c r="AL1079">
        <f>IF(OR($AL$1="",对接源_01水果!$Y1079="",对接源_01水果!$Y1079&lt;&gt;$AL$1,对接源_01水果!$B1079="",N(对接源_01水果!$AJ1079)&lt;=0),0,IF(OR(N(对接源_01水果!$B1079)&lt;$AL$2,N(对接源_01水果!$B1079)&gt;$AL$3),0,1))</f>
        <v>0</v>
      </c>
      <c r="AM1079">
        <f>N(AM1078)+$AL1079</f>
        <v>2</v>
      </c>
      <c r="AN1079">
        <f>IF(对接源_01水果!$AC1079="","",对接源_01水果!$AC1079)</f>
      </c>
      <c r="AO1079">
        <f>IF(AN1079="",0,IF(MATCH(AN1079,$AN$4:$AN$1203,0)=ROW()-3,1,0))</f>
        <v>0</v>
      </c>
      <c r="AP1079">
        <f>N(AP1078)+$AO1079</f>
        <v>13</v>
      </c>
      <c r="AR1079">
        <f>IF(OR($AF1079=1,$AH1079=1),1,0)</f>
        <v>0</v>
      </c>
      <c r="AS1079">
        <f>N(AS1078)+$AR1079</f>
        <v>0</v>
      </c>
    </row>
    <row r="1080" ht="14.25" customHeight="1" s="127">
      <c r="A1080">
        <f>IF(对接源_01水果!$C1080="","",对接源_01水果!$C1080)</f>
      </c>
      <c r="B1080">
        <f>IF(A1080="",0,IF(MATCH(A1080,$A$4:$A$2403,0)=ROW()-3,1,0))</f>
        <v>0</v>
      </c>
      <c r="C1080">
        <f>N(C1079)+B1080</f>
        <v>22</v>
      </c>
      <c r="K1080">
        <f>IF(OR($K$1="",对接源_01水果!$C1080="",对接源_01水果!$C1080&lt;&gt;$K$1,对接源_01水果!$B1080=""),0,IF(OR(N(对接源_01水果!$B1080)&lt;$K$2,N(对接源_01水果!$B1080)&gt;$K$3),0,1))</f>
        <v>0</v>
      </c>
      <c r="L1080">
        <f>IF(OR($L$1="",对接源_01水果!$C1080="",对接源_01水果!$C1080&lt;&gt;$L$1,对接源_01水果!$B1080=""),0,IF(OR(N(对接源_01水果!$B1080)&lt;$L$2,N(对接源_01水果!$B1080)&gt;$L$3),0,1))</f>
        <v>0</v>
      </c>
      <c r="M1080">
        <f>IF(OR($M$1="",对接源_01水果!$C1080="",对接源_01水果!$C1080&lt;&gt;$M$1,对接源_01水果!$B1080=""),0,IF(OR(N(对接源_01水果!$B1080)&lt;$M$2,N(对接源_01水果!$B1080)&gt;$M$3),0,1))</f>
        <v>0</v>
      </c>
      <c r="N1080">
        <f>IF(OR($N$1="",对接源_01水果!$C1080="",对接源_01水果!$C1080&lt;&gt;$N$1,对接源_01水果!$B1080=""),0,IF(OR(N(对接源_01水果!$B1080)&lt;$N$2,N(对接源_01水果!$B1080)&gt;$N$3),0,1))</f>
        <v>0</v>
      </c>
      <c r="P1080">
        <f>IF(AND($K1080=1,AND(对接源_01水果!$X1080="公司筐",N(对接源_01水果!$T1080)&lt;&gt;0)),1,0)</f>
        <v>0</v>
      </c>
      <c r="Q1080">
        <f>N(Q1079)+$P1080</f>
        <v>0</v>
      </c>
      <c r="R1080">
        <f>IF(AND($K1080=1,AND(对接源_01水果!$X1080="公司筐",N(对接源_01水果!$U1080)&lt;&gt;0)),1,0)</f>
        <v>0</v>
      </c>
      <c r="S1080">
        <f>N(S1079)+$R1080</f>
        <v>0</v>
      </c>
      <c r="T1080">
        <f>IF(AND($K1080=1,AND(对接源_01水果!$X1080="公司筐",N(对接源_01水果!$V1080)&lt;&gt;0)),1,0)</f>
        <v>0</v>
      </c>
      <c r="U1080">
        <f>N(U1079)+$T1080</f>
        <v>47</v>
      </c>
      <c r="V1080">
        <f>IF(AND($L1080=1,AND(对接源_01水果!$X1080="自备筐",N(对接源_01水果!$V1080)&lt;&gt;0)),1,0)</f>
        <v>0</v>
      </c>
      <c r="W1080">
        <f>N(W1079)+$V1080</f>
        <v>11</v>
      </c>
      <c r="X1080">
        <f>IF(AND($L1080=1,AND(对接源_01水果!$X1080="自备筐",N(对接源_01水果!$T1080)&lt;&gt;0)),1,0)</f>
        <v>0</v>
      </c>
      <c r="Y1080">
        <f>N(Y1079)+$X1080</f>
        <v>0</v>
      </c>
      <c r="Z1080">
        <f>IF(AND($M1080=1,对接源_01水果!$D1080="原料入库"),1,0)</f>
        <v>0</v>
      </c>
      <c r="AA1080">
        <f>N(AA1079)+$Z1080</f>
        <v>24</v>
      </c>
      <c r="AB1080">
        <f>IF(AND($M1080=1,LEFT(对接源_01水果!$D1080,4)="原料出库"),1,0)</f>
        <v>0</v>
      </c>
      <c r="AC1080">
        <f>N(AC1079)+$AB1080</f>
        <v>0</v>
      </c>
      <c r="AD1080">
        <f>IF(AND($M1080=1,LEFT(对接源_01水果!$D1080,4)="成品出库"),1,0)</f>
        <v>0</v>
      </c>
      <c r="AE1080">
        <f>N(AE1079)+$AD1080</f>
        <v>0</v>
      </c>
      <c r="AF1080">
        <f>IF(AND($N1080=1,AND(LEFT(对接源_01水果!$D1080,4)="包装物料",N(对接源_01水果!$K1080)&lt;&gt;0)),1,0)</f>
        <v>0</v>
      </c>
      <c r="AG1080">
        <f>N(AG1079)+$AF1080</f>
        <v>0</v>
      </c>
      <c r="AH1080">
        <f>IF(AND($N1080=1,AND(对接源_01水果!$D1080="周转筐－销售出库",N(对接源_01水果!$K1080)&lt;&gt;0)),1,0)</f>
        <v>0</v>
      </c>
      <c r="AI1080">
        <f>N(AI1079)+$AH1080</f>
        <v>0</v>
      </c>
      <c r="AJ1080" s="7" t="n"/>
      <c r="AL1080">
        <f>IF(OR($AL$1="",对接源_01水果!$Y1080="",对接源_01水果!$Y1080&lt;&gt;$AL$1,对接源_01水果!$B1080="",N(对接源_01水果!$AJ1080)&lt;=0),0,IF(OR(N(对接源_01水果!$B1080)&lt;$AL$2,N(对接源_01水果!$B1080)&gt;$AL$3),0,1))</f>
        <v>0</v>
      </c>
      <c r="AM1080">
        <f>N(AM1079)+$AL1080</f>
        <v>2</v>
      </c>
      <c r="AN1080">
        <f>IF(对接源_01水果!$AC1080="","",对接源_01水果!$AC1080)</f>
      </c>
      <c r="AO1080">
        <f>IF(AN1080="",0,IF(MATCH(AN1080,$AN$4:$AN$1203,0)=ROW()-3,1,0))</f>
        <v>0</v>
      </c>
      <c r="AP1080">
        <f>N(AP1079)+$AO1080</f>
        <v>13</v>
      </c>
      <c r="AR1080">
        <f>IF(OR($AF1080=1,$AH1080=1),1,0)</f>
        <v>0</v>
      </c>
      <c r="AS1080">
        <f>N(AS1079)+$AR1080</f>
        <v>0</v>
      </c>
    </row>
    <row r="1081" ht="14.25" customHeight="1" s="127">
      <c r="A1081">
        <f>IF(对接源_01水果!$C1081="","",对接源_01水果!$C1081)</f>
      </c>
      <c r="B1081">
        <f>IF(A1081="",0,IF(MATCH(A1081,$A$4:$A$2403,0)=ROW()-3,1,0))</f>
        <v>0</v>
      </c>
      <c r="C1081">
        <f>N(C1080)+B1081</f>
        <v>22</v>
      </c>
      <c r="K1081">
        <f>IF(OR($K$1="",对接源_01水果!$C1081="",对接源_01水果!$C1081&lt;&gt;$K$1,对接源_01水果!$B1081=""),0,IF(OR(N(对接源_01水果!$B1081)&lt;$K$2,N(对接源_01水果!$B1081)&gt;$K$3),0,1))</f>
        <v>0</v>
      </c>
      <c r="L1081">
        <f>IF(OR($L$1="",对接源_01水果!$C1081="",对接源_01水果!$C1081&lt;&gt;$L$1,对接源_01水果!$B1081=""),0,IF(OR(N(对接源_01水果!$B1081)&lt;$L$2,N(对接源_01水果!$B1081)&gt;$L$3),0,1))</f>
        <v>0</v>
      </c>
      <c r="M1081">
        <f>IF(OR($M$1="",对接源_01水果!$C1081="",对接源_01水果!$C1081&lt;&gt;$M$1,对接源_01水果!$B1081=""),0,IF(OR(N(对接源_01水果!$B1081)&lt;$M$2,N(对接源_01水果!$B1081)&gt;$M$3),0,1))</f>
        <v>0</v>
      </c>
      <c r="N1081">
        <f>IF(OR($N$1="",对接源_01水果!$C1081="",对接源_01水果!$C1081&lt;&gt;$N$1,对接源_01水果!$B1081=""),0,IF(OR(N(对接源_01水果!$B1081)&lt;$N$2,N(对接源_01水果!$B1081)&gt;$N$3),0,1))</f>
        <v>0</v>
      </c>
      <c r="P1081">
        <f>IF(AND($K1081=1,AND(对接源_01水果!$X1081="公司筐",N(对接源_01水果!$T1081)&lt;&gt;0)),1,0)</f>
        <v>0</v>
      </c>
      <c r="Q1081">
        <f>N(Q1080)+$P1081</f>
        <v>0</v>
      </c>
      <c r="R1081">
        <f>IF(AND($K1081=1,AND(对接源_01水果!$X1081="公司筐",N(对接源_01水果!$U1081)&lt;&gt;0)),1,0)</f>
        <v>0</v>
      </c>
      <c r="S1081">
        <f>N(S1080)+$R1081</f>
        <v>0</v>
      </c>
      <c r="T1081">
        <f>IF(AND($K1081=1,AND(对接源_01水果!$X1081="公司筐",N(对接源_01水果!$V1081)&lt;&gt;0)),1,0)</f>
        <v>0</v>
      </c>
      <c r="U1081">
        <f>N(U1080)+$T1081</f>
        <v>47</v>
      </c>
      <c r="V1081">
        <f>IF(AND($L1081=1,AND(对接源_01水果!$X1081="自备筐",N(对接源_01水果!$V1081)&lt;&gt;0)),1,0)</f>
        <v>0</v>
      </c>
      <c r="W1081">
        <f>N(W1080)+$V1081</f>
        <v>11</v>
      </c>
      <c r="X1081">
        <f>IF(AND($L1081=1,AND(对接源_01水果!$X1081="自备筐",N(对接源_01水果!$T1081)&lt;&gt;0)),1,0)</f>
        <v>0</v>
      </c>
      <c r="Y1081">
        <f>N(Y1080)+$X1081</f>
        <v>0</v>
      </c>
      <c r="Z1081">
        <f>IF(AND($M1081=1,对接源_01水果!$D1081="原料入库"),1,0)</f>
        <v>0</v>
      </c>
      <c r="AA1081">
        <f>N(AA1080)+$Z1081</f>
        <v>24</v>
      </c>
      <c r="AB1081">
        <f>IF(AND($M1081=1,LEFT(对接源_01水果!$D1081,4)="原料出库"),1,0)</f>
        <v>0</v>
      </c>
      <c r="AC1081">
        <f>N(AC1080)+$AB1081</f>
        <v>0</v>
      </c>
      <c r="AD1081">
        <f>IF(AND($M1081=1,LEFT(对接源_01水果!$D1081,4)="成品出库"),1,0)</f>
        <v>0</v>
      </c>
      <c r="AE1081">
        <f>N(AE1080)+$AD1081</f>
        <v>0</v>
      </c>
      <c r="AF1081">
        <f>IF(AND($N1081=1,AND(LEFT(对接源_01水果!$D1081,4)="包装物料",N(对接源_01水果!$K1081)&lt;&gt;0)),1,0)</f>
        <v>0</v>
      </c>
      <c r="AG1081">
        <f>N(AG1080)+$AF1081</f>
        <v>0</v>
      </c>
      <c r="AH1081">
        <f>IF(AND($N1081=1,AND(对接源_01水果!$D1081="周转筐－销售出库",N(对接源_01水果!$K1081)&lt;&gt;0)),1,0)</f>
        <v>0</v>
      </c>
      <c r="AI1081">
        <f>N(AI1080)+$AH1081</f>
        <v>0</v>
      </c>
      <c r="AJ1081" s="7" t="n"/>
      <c r="AL1081">
        <f>IF(OR($AL$1="",对接源_01水果!$Y1081="",对接源_01水果!$Y1081&lt;&gt;$AL$1,对接源_01水果!$B1081="",N(对接源_01水果!$AJ1081)&lt;=0),0,IF(OR(N(对接源_01水果!$B1081)&lt;$AL$2,N(对接源_01水果!$B1081)&gt;$AL$3),0,1))</f>
        <v>0</v>
      </c>
      <c r="AM1081">
        <f>N(AM1080)+$AL1081</f>
        <v>2</v>
      </c>
      <c r="AN1081">
        <f>IF(对接源_01水果!$AC1081="","",对接源_01水果!$AC1081)</f>
      </c>
      <c r="AO1081">
        <f>IF(AN1081="",0,IF(MATCH(AN1081,$AN$4:$AN$1203,0)=ROW()-3,1,0))</f>
        <v>0</v>
      </c>
      <c r="AP1081">
        <f>N(AP1080)+$AO1081</f>
        <v>13</v>
      </c>
      <c r="AR1081">
        <f>IF(OR($AF1081=1,$AH1081=1),1,0)</f>
        <v>0</v>
      </c>
      <c r="AS1081">
        <f>N(AS1080)+$AR1081</f>
        <v>0</v>
      </c>
    </row>
    <row r="1082" ht="14.25" customHeight="1" s="127">
      <c r="A1082">
        <f>IF(对接源_01水果!$C1082="","",对接源_01水果!$C1082)</f>
      </c>
      <c r="B1082">
        <f>IF(A1082="",0,IF(MATCH(A1082,$A$4:$A$2403,0)=ROW()-3,1,0))</f>
        <v>0</v>
      </c>
      <c r="C1082">
        <f>N(C1081)+B1082</f>
        <v>22</v>
      </c>
      <c r="K1082">
        <f>IF(OR($K$1="",对接源_01水果!$C1082="",对接源_01水果!$C1082&lt;&gt;$K$1,对接源_01水果!$B1082=""),0,IF(OR(N(对接源_01水果!$B1082)&lt;$K$2,N(对接源_01水果!$B1082)&gt;$K$3),0,1))</f>
        <v>0</v>
      </c>
      <c r="L1082">
        <f>IF(OR($L$1="",对接源_01水果!$C1082="",对接源_01水果!$C1082&lt;&gt;$L$1,对接源_01水果!$B1082=""),0,IF(OR(N(对接源_01水果!$B1082)&lt;$L$2,N(对接源_01水果!$B1082)&gt;$L$3),0,1))</f>
        <v>0</v>
      </c>
      <c r="M1082">
        <f>IF(OR($M$1="",对接源_01水果!$C1082="",对接源_01水果!$C1082&lt;&gt;$M$1,对接源_01水果!$B1082=""),0,IF(OR(N(对接源_01水果!$B1082)&lt;$M$2,N(对接源_01水果!$B1082)&gt;$M$3),0,1))</f>
        <v>0</v>
      </c>
      <c r="N1082">
        <f>IF(OR($N$1="",对接源_01水果!$C1082="",对接源_01水果!$C1082&lt;&gt;$N$1,对接源_01水果!$B1082=""),0,IF(OR(N(对接源_01水果!$B1082)&lt;$N$2,N(对接源_01水果!$B1082)&gt;$N$3),0,1))</f>
        <v>0</v>
      </c>
      <c r="P1082">
        <f>IF(AND($K1082=1,AND(对接源_01水果!$X1082="公司筐",N(对接源_01水果!$T1082)&lt;&gt;0)),1,0)</f>
        <v>0</v>
      </c>
      <c r="Q1082">
        <f>N(Q1081)+$P1082</f>
        <v>0</v>
      </c>
      <c r="R1082">
        <f>IF(AND($K1082=1,AND(对接源_01水果!$X1082="公司筐",N(对接源_01水果!$U1082)&lt;&gt;0)),1,0)</f>
        <v>0</v>
      </c>
      <c r="S1082">
        <f>N(S1081)+$R1082</f>
        <v>0</v>
      </c>
      <c r="T1082">
        <f>IF(AND($K1082=1,AND(对接源_01水果!$X1082="公司筐",N(对接源_01水果!$V1082)&lt;&gt;0)),1,0)</f>
        <v>0</v>
      </c>
      <c r="U1082">
        <f>N(U1081)+$T1082</f>
        <v>47</v>
      </c>
      <c r="V1082">
        <f>IF(AND($L1082=1,AND(对接源_01水果!$X1082="自备筐",N(对接源_01水果!$V1082)&lt;&gt;0)),1,0)</f>
        <v>0</v>
      </c>
      <c r="W1082">
        <f>N(W1081)+$V1082</f>
        <v>11</v>
      </c>
      <c r="X1082">
        <f>IF(AND($L1082=1,AND(对接源_01水果!$X1082="自备筐",N(对接源_01水果!$T1082)&lt;&gt;0)),1,0)</f>
        <v>0</v>
      </c>
      <c r="Y1082">
        <f>N(Y1081)+$X1082</f>
        <v>0</v>
      </c>
      <c r="Z1082">
        <f>IF(AND($M1082=1,对接源_01水果!$D1082="原料入库"),1,0)</f>
        <v>0</v>
      </c>
      <c r="AA1082">
        <f>N(AA1081)+$Z1082</f>
        <v>24</v>
      </c>
      <c r="AB1082">
        <f>IF(AND($M1082=1,LEFT(对接源_01水果!$D1082,4)="原料出库"),1,0)</f>
        <v>0</v>
      </c>
      <c r="AC1082">
        <f>N(AC1081)+$AB1082</f>
        <v>0</v>
      </c>
      <c r="AD1082">
        <f>IF(AND($M1082=1,LEFT(对接源_01水果!$D1082,4)="成品出库"),1,0)</f>
        <v>0</v>
      </c>
      <c r="AE1082">
        <f>N(AE1081)+$AD1082</f>
        <v>0</v>
      </c>
      <c r="AF1082">
        <f>IF(AND($N1082=1,AND(LEFT(对接源_01水果!$D1082,4)="包装物料",N(对接源_01水果!$K1082)&lt;&gt;0)),1,0)</f>
        <v>0</v>
      </c>
      <c r="AG1082">
        <f>N(AG1081)+$AF1082</f>
        <v>0</v>
      </c>
      <c r="AH1082">
        <f>IF(AND($N1082=1,AND(对接源_01水果!$D1082="周转筐－销售出库",N(对接源_01水果!$K1082)&lt;&gt;0)),1,0)</f>
        <v>0</v>
      </c>
      <c r="AI1082">
        <f>N(AI1081)+$AH1082</f>
        <v>0</v>
      </c>
      <c r="AJ1082" s="7" t="n"/>
      <c r="AL1082">
        <f>IF(OR($AL$1="",对接源_01水果!$Y1082="",对接源_01水果!$Y1082&lt;&gt;$AL$1,对接源_01水果!$B1082="",N(对接源_01水果!$AJ1082)&lt;=0),0,IF(OR(N(对接源_01水果!$B1082)&lt;$AL$2,N(对接源_01水果!$B1082)&gt;$AL$3),0,1))</f>
        <v>0</v>
      </c>
      <c r="AM1082">
        <f>N(AM1081)+$AL1082</f>
        <v>2</v>
      </c>
      <c r="AN1082">
        <f>IF(对接源_01水果!$AC1082="","",对接源_01水果!$AC1082)</f>
      </c>
      <c r="AO1082">
        <f>IF(AN1082="",0,IF(MATCH(AN1082,$AN$4:$AN$1203,0)=ROW()-3,1,0))</f>
        <v>0</v>
      </c>
      <c r="AP1082">
        <f>N(AP1081)+$AO1082</f>
        <v>13</v>
      </c>
      <c r="AR1082">
        <f>IF(OR($AF1082=1,$AH1082=1),1,0)</f>
        <v>0</v>
      </c>
      <c r="AS1082">
        <f>N(AS1081)+$AR1082</f>
        <v>0</v>
      </c>
    </row>
    <row r="1083" ht="14.25" customHeight="1" s="127">
      <c r="A1083">
        <f>IF(对接源_01水果!$C1083="","",对接源_01水果!$C1083)</f>
      </c>
      <c r="B1083">
        <f>IF(A1083="",0,IF(MATCH(A1083,$A$4:$A$2403,0)=ROW()-3,1,0))</f>
        <v>0</v>
      </c>
      <c r="C1083">
        <f>N(C1082)+B1083</f>
        <v>22</v>
      </c>
      <c r="K1083">
        <f>IF(OR($K$1="",对接源_01水果!$C1083="",对接源_01水果!$C1083&lt;&gt;$K$1,对接源_01水果!$B1083=""),0,IF(OR(N(对接源_01水果!$B1083)&lt;$K$2,N(对接源_01水果!$B1083)&gt;$K$3),0,1))</f>
        <v>0</v>
      </c>
      <c r="L1083">
        <f>IF(OR($L$1="",对接源_01水果!$C1083="",对接源_01水果!$C1083&lt;&gt;$L$1,对接源_01水果!$B1083=""),0,IF(OR(N(对接源_01水果!$B1083)&lt;$L$2,N(对接源_01水果!$B1083)&gt;$L$3),0,1))</f>
        <v>0</v>
      </c>
      <c r="M1083">
        <f>IF(OR($M$1="",对接源_01水果!$C1083="",对接源_01水果!$C1083&lt;&gt;$M$1,对接源_01水果!$B1083=""),0,IF(OR(N(对接源_01水果!$B1083)&lt;$M$2,N(对接源_01水果!$B1083)&gt;$M$3),0,1))</f>
        <v>0</v>
      </c>
      <c r="N1083">
        <f>IF(OR($N$1="",对接源_01水果!$C1083="",对接源_01水果!$C1083&lt;&gt;$N$1,对接源_01水果!$B1083=""),0,IF(OR(N(对接源_01水果!$B1083)&lt;$N$2,N(对接源_01水果!$B1083)&gt;$N$3),0,1))</f>
        <v>0</v>
      </c>
      <c r="P1083">
        <f>IF(AND($K1083=1,AND(对接源_01水果!$X1083="公司筐",N(对接源_01水果!$T1083)&lt;&gt;0)),1,0)</f>
        <v>0</v>
      </c>
      <c r="Q1083">
        <f>N(Q1082)+$P1083</f>
        <v>0</v>
      </c>
      <c r="R1083">
        <f>IF(AND($K1083=1,AND(对接源_01水果!$X1083="公司筐",N(对接源_01水果!$U1083)&lt;&gt;0)),1,0)</f>
        <v>0</v>
      </c>
      <c r="S1083">
        <f>N(S1082)+$R1083</f>
        <v>0</v>
      </c>
      <c r="T1083">
        <f>IF(AND($K1083=1,AND(对接源_01水果!$X1083="公司筐",N(对接源_01水果!$V1083)&lt;&gt;0)),1,0)</f>
        <v>0</v>
      </c>
      <c r="U1083">
        <f>N(U1082)+$T1083</f>
        <v>47</v>
      </c>
      <c r="V1083">
        <f>IF(AND($L1083=1,AND(对接源_01水果!$X1083="自备筐",N(对接源_01水果!$V1083)&lt;&gt;0)),1,0)</f>
        <v>0</v>
      </c>
      <c r="W1083">
        <f>N(W1082)+$V1083</f>
        <v>11</v>
      </c>
      <c r="X1083">
        <f>IF(AND($L1083=1,AND(对接源_01水果!$X1083="自备筐",N(对接源_01水果!$T1083)&lt;&gt;0)),1,0)</f>
        <v>0</v>
      </c>
      <c r="Y1083">
        <f>N(Y1082)+$X1083</f>
        <v>0</v>
      </c>
      <c r="Z1083">
        <f>IF(AND($M1083=1,对接源_01水果!$D1083="原料入库"),1,0)</f>
        <v>0</v>
      </c>
      <c r="AA1083">
        <f>N(AA1082)+$Z1083</f>
        <v>24</v>
      </c>
      <c r="AB1083">
        <f>IF(AND($M1083=1,LEFT(对接源_01水果!$D1083,4)="原料出库"),1,0)</f>
        <v>0</v>
      </c>
      <c r="AC1083">
        <f>N(AC1082)+$AB1083</f>
        <v>0</v>
      </c>
      <c r="AD1083">
        <f>IF(AND($M1083=1,LEFT(对接源_01水果!$D1083,4)="成品出库"),1,0)</f>
        <v>0</v>
      </c>
      <c r="AE1083">
        <f>N(AE1082)+$AD1083</f>
        <v>0</v>
      </c>
      <c r="AF1083">
        <f>IF(AND($N1083=1,AND(LEFT(对接源_01水果!$D1083,4)="包装物料",N(对接源_01水果!$K1083)&lt;&gt;0)),1,0)</f>
        <v>0</v>
      </c>
      <c r="AG1083">
        <f>N(AG1082)+$AF1083</f>
        <v>0</v>
      </c>
      <c r="AH1083">
        <f>IF(AND($N1083=1,AND(对接源_01水果!$D1083="周转筐－销售出库",N(对接源_01水果!$K1083)&lt;&gt;0)),1,0)</f>
        <v>0</v>
      </c>
      <c r="AI1083">
        <f>N(AI1082)+$AH1083</f>
        <v>0</v>
      </c>
      <c r="AJ1083" s="7" t="n"/>
      <c r="AL1083">
        <f>IF(OR($AL$1="",对接源_01水果!$Y1083="",对接源_01水果!$Y1083&lt;&gt;$AL$1,对接源_01水果!$B1083="",N(对接源_01水果!$AJ1083)&lt;=0),0,IF(OR(N(对接源_01水果!$B1083)&lt;$AL$2,N(对接源_01水果!$B1083)&gt;$AL$3),0,1))</f>
        <v>0</v>
      </c>
      <c r="AM1083">
        <f>N(AM1082)+$AL1083</f>
        <v>2</v>
      </c>
      <c r="AN1083">
        <f>IF(对接源_01水果!$AC1083="","",对接源_01水果!$AC1083)</f>
      </c>
      <c r="AO1083">
        <f>IF(AN1083="",0,IF(MATCH(AN1083,$AN$4:$AN$1203,0)=ROW()-3,1,0))</f>
        <v>0</v>
      </c>
      <c r="AP1083">
        <f>N(AP1082)+$AO1083</f>
        <v>13</v>
      </c>
      <c r="AR1083">
        <f>IF(OR($AF1083=1,$AH1083=1),1,0)</f>
        <v>0</v>
      </c>
      <c r="AS1083">
        <f>N(AS1082)+$AR1083</f>
        <v>0</v>
      </c>
    </row>
    <row r="1084" ht="14.25" customHeight="1" s="127">
      <c r="A1084">
        <f>IF(对接源_01水果!$C1084="","",对接源_01水果!$C1084)</f>
      </c>
      <c r="B1084">
        <f>IF(A1084="",0,IF(MATCH(A1084,$A$4:$A$2403,0)=ROW()-3,1,0))</f>
        <v>0</v>
      </c>
      <c r="C1084">
        <f>N(C1083)+B1084</f>
        <v>22</v>
      </c>
      <c r="K1084">
        <f>IF(OR($K$1="",对接源_01水果!$C1084="",对接源_01水果!$C1084&lt;&gt;$K$1,对接源_01水果!$B1084=""),0,IF(OR(N(对接源_01水果!$B1084)&lt;$K$2,N(对接源_01水果!$B1084)&gt;$K$3),0,1))</f>
        <v>0</v>
      </c>
      <c r="L1084">
        <f>IF(OR($L$1="",对接源_01水果!$C1084="",对接源_01水果!$C1084&lt;&gt;$L$1,对接源_01水果!$B1084=""),0,IF(OR(N(对接源_01水果!$B1084)&lt;$L$2,N(对接源_01水果!$B1084)&gt;$L$3),0,1))</f>
        <v>0</v>
      </c>
      <c r="M1084">
        <f>IF(OR($M$1="",对接源_01水果!$C1084="",对接源_01水果!$C1084&lt;&gt;$M$1,对接源_01水果!$B1084=""),0,IF(OR(N(对接源_01水果!$B1084)&lt;$M$2,N(对接源_01水果!$B1084)&gt;$M$3),0,1))</f>
        <v>0</v>
      </c>
      <c r="N1084">
        <f>IF(OR($N$1="",对接源_01水果!$C1084="",对接源_01水果!$C1084&lt;&gt;$N$1,对接源_01水果!$B1084=""),0,IF(OR(N(对接源_01水果!$B1084)&lt;$N$2,N(对接源_01水果!$B1084)&gt;$N$3),0,1))</f>
        <v>0</v>
      </c>
      <c r="P1084">
        <f>IF(AND($K1084=1,AND(对接源_01水果!$X1084="公司筐",N(对接源_01水果!$T1084)&lt;&gt;0)),1,0)</f>
        <v>0</v>
      </c>
      <c r="Q1084">
        <f>N(Q1083)+$P1084</f>
        <v>0</v>
      </c>
      <c r="R1084">
        <f>IF(AND($K1084=1,AND(对接源_01水果!$X1084="公司筐",N(对接源_01水果!$U1084)&lt;&gt;0)),1,0)</f>
        <v>0</v>
      </c>
      <c r="S1084">
        <f>N(S1083)+$R1084</f>
        <v>0</v>
      </c>
      <c r="T1084">
        <f>IF(AND($K1084=1,AND(对接源_01水果!$X1084="公司筐",N(对接源_01水果!$V1084)&lt;&gt;0)),1,0)</f>
        <v>0</v>
      </c>
      <c r="U1084">
        <f>N(U1083)+$T1084</f>
        <v>47</v>
      </c>
      <c r="V1084">
        <f>IF(AND($L1084=1,AND(对接源_01水果!$X1084="自备筐",N(对接源_01水果!$V1084)&lt;&gt;0)),1,0)</f>
        <v>0</v>
      </c>
      <c r="W1084">
        <f>N(W1083)+$V1084</f>
        <v>11</v>
      </c>
      <c r="X1084">
        <f>IF(AND($L1084=1,AND(对接源_01水果!$X1084="自备筐",N(对接源_01水果!$T1084)&lt;&gt;0)),1,0)</f>
        <v>0</v>
      </c>
      <c r="Y1084">
        <f>N(Y1083)+$X1084</f>
        <v>0</v>
      </c>
      <c r="Z1084">
        <f>IF(AND($M1084=1,对接源_01水果!$D1084="原料入库"),1,0)</f>
        <v>0</v>
      </c>
      <c r="AA1084">
        <f>N(AA1083)+$Z1084</f>
        <v>24</v>
      </c>
      <c r="AB1084">
        <f>IF(AND($M1084=1,LEFT(对接源_01水果!$D1084,4)="原料出库"),1,0)</f>
        <v>0</v>
      </c>
      <c r="AC1084">
        <f>N(AC1083)+$AB1084</f>
        <v>0</v>
      </c>
      <c r="AD1084">
        <f>IF(AND($M1084=1,LEFT(对接源_01水果!$D1084,4)="成品出库"),1,0)</f>
        <v>0</v>
      </c>
      <c r="AE1084">
        <f>N(AE1083)+$AD1084</f>
        <v>0</v>
      </c>
      <c r="AF1084">
        <f>IF(AND($N1084=1,AND(LEFT(对接源_01水果!$D1084,4)="包装物料",N(对接源_01水果!$K1084)&lt;&gt;0)),1,0)</f>
        <v>0</v>
      </c>
      <c r="AG1084">
        <f>N(AG1083)+$AF1084</f>
        <v>0</v>
      </c>
      <c r="AH1084">
        <f>IF(AND($N1084=1,AND(对接源_01水果!$D1084="周转筐－销售出库",N(对接源_01水果!$K1084)&lt;&gt;0)),1,0)</f>
        <v>0</v>
      </c>
      <c r="AI1084">
        <f>N(AI1083)+$AH1084</f>
        <v>0</v>
      </c>
      <c r="AJ1084" s="7" t="n"/>
      <c r="AL1084">
        <f>IF(OR($AL$1="",对接源_01水果!$Y1084="",对接源_01水果!$Y1084&lt;&gt;$AL$1,对接源_01水果!$B1084="",N(对接源_01水果!$AJ1084)&lt;=0),0,IF(OR(N(对接源_01水果!$B1084)&lt;$AL$2,N(对接源_01水果!$B1084)&gt;$AL$3),0,1))</f>
        <v>0</v>
      </c>
      <c r="AM1084">
        <f>N(AM1083)+$AL1084</f>
        <v>2</v>
      </c>
      <c r="AN1084">
        <f>IF(对接源_01水果!$AC1084="","",对接源_01水果!$AC1084)</f>
      </c>
      <c r="AO1084">
        <f>IF(AN1084="",0,IF(MATCH(AN1084,$AN$4:$AN$1203,0)=ROW()-3,1,0))</f>
        <v>0</v>
      </c>
      <c r="AP1084">
        <f>N(AP1083)+$AO1084</f>
        <v>13</v>
      </c>
      <c r="AR1084">
        <f>IF(OR($AF1084=1,$AH1084=1),1,0)</f>
        <v>0</v>
      </c>
      <c r="AS1084">
        <f>N(AS1083)+$AR1084</f>
        <v>0</v>
      </c>
    </row>
    <row r="1085" ht="14.25" customHeight="1" s="127">
      <c r="A1085">
        <f>IF(对接源_01水果!$C1085="","",对接源_01水果!$C1085)</f>
      </c>
      <c r="B1085">
        <f>IF(A1085="",0,IF(MATCH(A1085,$A$4:$A$2403,0)=ROW()-3,1,0))</f>
        <v>0</v>
      </c>
      <c r="C1085">
        <f>N(C1084)+B1085</f>
        <v>22</v>
      </c>
      <c r="K1085">
        <f>IF(OR($K$1="",对接源_01水果!$C1085="",对接源_01水果!$C1085&lt;&gt;$K$1,对接源_01水果!$B1085=""),0,IF(OR(N(对接源_01水果!$B1085)&lt;$K$2,N(对接源_01水果!$B1085)&gt;$K$3),0,1))</f>
        <v>0</v>
      </c>
      <c r="L1085">
        <f>IF(OR($L$1="",对接源_01水果!$C1085="",对接源_01水果!$C1085&lt;&gt;$L$1,对接源_01水果!$B1085=""),0,IF(OR(N(对接源_01水果!$B1085)&lt;$L$2,N(对接源_01水果!$B1085)&gt;$L$3),0,1))</f>
        <v>0</v>
      </c>
      <c r="M1085">
        <f>IF(OR($M$1="",对接源_01水果!$C1085="",对接源_01水果!$C1085&lt;&gt;$M$1,对接源_01水果!$B1085=""),0,IF(OR(N(对接源_01水果!$B1085)&lt;$M$2,N(对接源_01水果!$B1085)&gt;$M$3),0,1))</f>
        <v>0</v>
      </c>
      <c r="N1085">
        <f>IF(OR($N$1="",对接源_01水果!$C1085="",对接源_01水果!$C1085&lt;&gt;$N$1,对接源_01水果!$B1085=""),0,IF(OR(N(对接源_01水果!$B1085)&lt;$N$2,N(对接源_01水果!$B1085)&gt;$N$3),0,1))</f>
        <v>0</v>
      </c>
      <c r="P1085">
        <f>IF(AND($K1085=1,AND(对接源_01水果!$X1085="公司筐",N(对接源_01水果!$T1085)&lt;&gt;0)),1,0)</f>
        <v>0</v>
      </c>
      <c r="Q1085">
        <f>N(Q1084)+$P1085</f>
        <v>0</v>
      </c>
      <c r="R1085">
        <f>IF(AND($K1085=1,AND(对接源_01水果!$X1085="公司筐",N(对接源_01水果!$U1085)&lt;&gt;0)),1,0)</f>
        <v>0</v>
      </c>
      <c r="S1085">
        <f>N(S1084)+$R1085</f>
        <v>0</v>
      </c>
      <c r="T1085">
        <f>IF(AND($K1085=1,AND(对接源_01水果!$X1085="公司筐",N(对接源_01水果!$V1085)&lt;&gt;0)),1,0)</f>
        <v>0</v>
      </c>
      <c r="U1085">
        <f>N(U1084)+$T1085</f>
        <v>47</v>
      </c>
      <c r="V1085">
        <f>IF(AND($L1085=1,AND(对接源_01水果!$X1085="自备筐",N(对接源_01水果!$V1085)&lt;&gt;0)),1,0)</f>
        <v>0</v>
      </c>
      <c r="W1085">
        <f>N(W1084)+$V1085</f>
        <v>11</v>
      </c>
      <c r="X1085">
        <f>IF(AND($L1085=1,AND(对接源_01水果!$X1085="自备筐",N(对接源_01水果!$T1085)&lt;&gt;0)),1,0)</f>
        <v>0</v>
      </c>
      <c r="Y1085">
        <f>N(Y1084)+$X1085</f>
        <v>0</v>
      </c>
      <c r="Z1085">
        <f>IF(AND($M1085=1,对接源_01水果!$D1085="原料入库"),1,0)</f>
        <v>0</v>
      </c>
      <c r="AA1085">
        <f>N(AA1084)+$Z1085</f>
        <v>24</v>
      </c>
      <c r="AB1085">
        <f>IF(AND($M1085=1,LEFT(对接源_01水果!$D1085,4)="原料出库"),1,0)</f>
        <v>0</v>
      </c>
      <c r="AC1085">
        <f>N(AC1084)+$AB1085</f>
        <v>0</v>
      </c>
      <c r="AD1085">
        <f>IF(AND($M1085=1,LEFT(对接源_01水果!$D1085,4)="成品出库"),1,0)</f>
        <v>0</v>
      </c>
      <c r="AE1085">
        <f>N(AE1084)+$AD1085</f>
        <v>0</v>
      </c>
      <c r="AF1085">
        <f>IF(AND($N1085=1,AND(LEFT(对接源_01水果!$D1085,4)="包装物料",N(对接源_01水果!$K1085)&lt;&gt;0)),1,0)</f>
        <v>0</v>
      </c>
      <c r="AG1085">
        <f>N(AG1084)+$AF1085</f>
        <v>0</v>
      </c>
      <c r="AH1085">
        <f>IF(AND($N1085=1,AND(对接源_01水果!$D1085="周转筐－销售出库",N(对接源_01水果!$K1085)&lt;&gt;0)),1,0)</f>
        <v>0</v>
      </c>
      <c r="AI1085">
        <f>N(AI1084)+$AH1085</f>
        <v>0</v>
      </c>
      <c r="AJ1085" s="7" t="n"/>
      <c r="AL1085">
        <f>IF(OR($AL$1="",对接源_01水果!$Y1085="",对接源_01水果!$Y1085&lt;&gt;$AL$1,对接源_01水果!$B1085="",N(对接源_01水果!$AJ1085)&lt;=0),0,IF(OR(N(对接源_01水果!$B1085)&lt;$AL$2,N(对接源_01水果!$B1085)&gt;$AL$3),0,1))</f>
        <v>0</v>
      </c>
      <c r="AM1085">
        <f>N(AM1084)+$AL1085</f>
        <v>2</v>
      </c>
      <c r="AN1085">
        <f>IF(对接源_01水果!$AC1085="","",对接源_01水果!$AC1085)</f>
      </c>
      <c r="AO1085">
        <f>IF(AN1085="",0,IF(MATCH(AN1085,$AN$4:$AN$1203,0)=ROW()-3,1,0))</f>
        <v>0</v>
      </c>
      <c r="AP1085">
        <f>N(AP1084)+$AO1085</f>
        <v>13</v>
      </c>
      <c r="AR1085">
        <f>IF(OR($AF1085=1,$AH1085=1),1,0)</f>
        <v>0</v>
      </c>
      <c r="AS1085">
        <f>N(AS1084)+$AR1085</f>
        <v>0</v>
      </c>
    </row>
    <row r="1086" ht="14.25" customHeight="1" s="127">
      <c r="A1086">
        <f>IF(对接源_01水果!$C1086="","",对接源_01水果!$C1086)</f>
      </c>
      <c r="B1086">
        <f>IF(A1086="",0,IF(MATCH(A1086,$A$4:$A$2403,0)=ROW()-3,1,0))</f>
        <v>0</v>
      </c>
      <c r="C1086">
        <f>N(C1085)+B1086</f>
        <v>22</v>
      </c>
      <c r="K1086">
        <f>IF(OR($K$1="",对接源_01水果!$C1086="",对接源_01水果!$C1086&lt;&gt;$K$1,对接源_01水果!$B1086=""),0,IF(OR(N(对接源_01水果!$B1086)&lt;$K$2,N(对接源_01水果!$B1086)&gt;$K$3),0,1))</f>
        <v>0</v>
      </c>
      <c r="L1086">
        <f>IF(OR($L$1="",对接源_01水果!$C1086="",对接源_01水果!$C1086&lt;&gt;$L$1,对接源_01水果!$B1086=""),0,IF(OR(N(对接源_01水果!$B1086)&lt;$L$2,N(对接源_01水果!$B1086)&gt;$L$3),0,1))</f>
        <v>0</v>
      </c>
      <c r="M1086">
        <f>IF(OR($M$1="",对接源_01水果!$C1086="",对接源_01水果!$C1086&lt;&gt;$M$1,对接源_01水果!$B1086=""),0,IF(OR(N(对接源_01水果!$B1086)&lt;$M$2,N(对接源_01水果!$B1086)&gt;$M$3),0,1))</f>
        <v>0</v>
      </c>
      <c r="N1086">
        <f>IF(OR($N$1="",对接源_01水果!$C1086="",对接源_01水果!$C1086&lt;&gt;$N$1,对接源_01水果!$B1086=""),0,IF(OR(N(对接源_01水果!$B1086)&lt;$N$2,N(对接源_01水果!$B1086)&gt;$N$3),0,1))</f>
        <v>0</v>
      </c>
      <c r="P1086">
        <f>IF(AND($K1086=1,AND(对接源_01水果!$X1086="公司筐",N(对接源_01水果!$T1086)&lt;&gt;0)),1,0)</f>
        <v>0</v>
      </c>
      <c r="Q1086">
        <f>N(Q1085)+$P1086</f>
        <v>0</v>
      </c>
      <c r="R1086">
        <f>IF(AND($K1086=1,AND(对接源_01水果!$X1086="公司筐",N(对接源_01水果!$U1086)&lt;&gt;0)),1,0)</f>
        <v>0</v>
      </c>
      <c r="S1086">
        <f>N(S1085)+$R1086</f>
        <v>0</v>
      </c>
      <c r="T1086">
        <f>IF(AND($K1086=1,AND(对接源_01水果!$X1086="公司筐",N(对接源_01水果!$V1086)&lt;&gt;0)),1,0)</f>
        <v>0</v>
      </c>
      <c r="U1086">
        <f>N(U1085)+$T1086</f>
        <v>47</v>
      </c>
      <c r="V1086">
        <f>IF(AND($L1086=1,AND(对接源_01水果!$X1086="自备筐",N(对接源_01水果!$V1086)&lt;&gt;0)),1,0)</f>
        <v>0</v>
      </c>
      <c r="W1086">
        <f>N(W1085)+$V1086</f>
        <v>11</v>
      </c>
      <c r="X1086">
        <f>IF(AND($L1086=1,AND(对接源_01水果!$X1086="自备筐",N(对接源_01水果!$T1086)&lt;&gt;0)),1,0)</f>
        <v>0</v>
      </c>
      <c r="Y1086">
        <f>N(Y1085)+$X1086</f>
        <v>0</v>
      </c>
      <c r="Z1086">
        <f>IF(AND($M1086=1,对接源_01水果!$D1086="原料入库"),1,0)</f>
        <v>0</v>
      </c>
      <c r="AA1086">
        <f>N(AA1085)+$Z1086</f>
        <v>24</v>
      </c>
      <c r="AB1086">
        <f>IF(AND($M1086=1,LEFT(对接源_01水果!$D1086,4)="原料出库"),1,0)</f>
        <v>0</v>
      </c>
      <c r="AC1086">
        <f>N(AC1085)+$AB1086</f>
        <v>0</v>
      </c>
      <c r="AD1086">
        <f>IF(AND($M1086=1,LEFT(对接源_01水果!$D1086,4)="成品出库"),1,0)</f>
        <v>0</v>
      </c>
      <c r="AE1086">
        <f>N(AE1085)+$AD1086</f>
        <v>0</v>
      </c>
      <c r="AF1086">
        <f>IF(AND($N1086=1,AND(LEFT(对接源_01水果!$D1086,4)="包装物料",N(对接源_01水果!$K1086)&lt;&gt;0)),1,0)</f>
        <v>0</v>
      </c>
      <c r="AG1086">
        <f>N(AG1085)+$AF1086</f>
        <v>0</v>
      </c>
      <c r="AH1086">
        <f>IF(AND($N1086=1,AND(对接源_01水果!$D1086="周转筐－销售出库",N(对接源_01水果!$K1086)&lt;&gt;0)),1,0)</f>
        <v>0</v>
      </c>
      <c r="AI1086">
        <f>N(AI1085)+$AH1086</f>
        <v>0</v>
      </c>
      <c r="AJ1086" s="7" t="n"/>
      <c r="AL1086">
        <f>IF(OR($AL$1="",对接源_01水果!$Y1086="",对接源_01水果!$Y1086&lt;&gt;$AL$1,对接源_01水果!$B1086="",N(对接源_01水果!$AJ1086)&lt;=0),0,IF(OR(N(对接源_01水果!$B1086)&lt;$AL$2,N(对接源_01水果!$B1086)&gt;$AL$3),0,1))</f>
        <v>0</v>
      </c>
      <c r="AM1086">
        <f>N(AM1085)+$AL1086</f>
        <v>2</v>
      </c>
      <c r="AN1086">
        <f>IF(对接源_01水果!$AC1086="","",对接源_01水果!$AC1086)</f>
      </c>
      <c r="AO1086">
        <f>IF(AN1086="",0,IF(MATCH(AN1086,$AN$4:$AN$1203,0)=ROW()-3,1,0))</f>
        <v>0</v>
      </c>
      <c r="AP1086">
        <f>N(AP1085)+$AO1086</f>
        <v>13</v>
      </c>
      <c r="AR1086">
        <f>IF(OR($AF1086=1,$AH1086=1),1,0)</f>
        <v>0</v>
      </c>
      <c r="AS1086">
        <f>N(AS1085)+$AR1086</f>
        <v>0</v>
      </c>
    </row>
    <row r="1087" ht="14.25" customHeight="1" s="127">
      <c r="A1087">
        <f>IF(对接源_01水果!$C1087="","",对接源_01水果!$C1087)</f>
      </c>
      <c r="B1087">
        <f>IF(A1087="",0,IF(MATCH(A1087,$A$4:$A$2403,0)=ROW()-3,1,0))</f>
        <v>0</v>
      </c>
      <c r="C1087">
        <f>N(C1086)+B1087</f>
        <v>22</v>
      </c>
      <c r="K1087">
        <f>IF(OR($K$1="",对接源_01水果!$C1087="",对接源_01水果!$C1087&lt;&gt;$K$1,对接源_01水果!$B1087=""),0,IF(OR(N(对接源_01水果!$B1087)&lt;$K$2,N(对接源_01水果!$B1087)&gt;$K$3),0,1))</f>
        <v>0</v>
      </c>
      <c r="L1087">
        <f>IF(OR($L$1="",对接源_01水果!$C1087="",对接源_01水果!$C1087&lt;&gt;$L$1,对接源_01水果!$B1087=""),0,IF(OR(N(对接源_01水果!$B1087)&lt;$L$2,N(对接源_01水果!$B1087)&gt;$L$3),0,1))</f>
        <v>0</v>
      </c>
      <c r="M1087">
        <f>IF(OR($M$1="",对接源_01水果!$C1087="",对接源_01水果!$C1087&lt;&gt;$M$1,对接源_01水果!$B1087=""),0,IF(OR(N(对接源_01水果!$B1087)&lt;$M$2,N(对接源_01水果!$B1087)&gt;$M$3),0,1))</f>
        <v>0</v>
      </c>
      <c r="N1087">
        <f>IF(OR($N$1="",对接源_01水果!$C1087="",对接源_01水果!$C1087&lt;&gt;$N$1,对接源_01水果!$B1087=""),0,IF(OR(N(对接源_01水果!$B1087)&lt;$N$2,N(对接源_01水果!$B1087)&gt;$N$3),0,1))</f>
        <v>0</v>
      </c>
      <c r="P1087">
        <f>IF(AND($K1087=1,AND(对接源_01水果!$X1087="公司筐",N(对接源_01水果!$T1087)&lt;&gt;0)),1,0)</f>
        <v>0</v>
      </c>
      <c r="Q1087">
        <f>N(Q1086)+$P1087</f>
        <v>0</v>
      </c>
      <c r="R1087">
        <f>IF(AND($K1087=1,AND(对接源_01水果!$X1087="公司筐",N(对接源_01水果!$U1087)&lt;&gt;0)),1,0)</f>
        <v>0</v>
      </c>
      <c r="S1087">
        <f>N(S1086)+$R1087</f>
        <v>0</v>
      </c>
      <c r="T1087">
        <f>IF(AND($K1087=1,AND(对接源_01水果!$X1087="公司筐",N(对接源_01水果!$V1087)&lt;&gt;0)),1,0)</f>
        <v>0</v>
      </c>
      <c r="U1087">
        <f>N(U1086)+$T1087</f>
        <v>47</v>
      </c>
      <c r="V1087">
        <f>IF(AND($L1087=1,AND(对接源_01水果!$X1087="自备筐",N(对接源_01水果!$V1087)&lt;&gt;0)),1,0)</f>
        <v>0</v>
      </c>
      <c r="W1087">
        <f>N(W1086)+$V1087</f>
        <v>11</v>
      </c>
      <c r="X1087">
        <f>IF(AND($L1087=1,AND(对接源_01水果!$X1087="自备筐",N(对接源_01水果!$T1087)&lt;&gt;0)),1,0)</f>
        <v>0</v>
      </c>
      <c r="Y1087">
        <f>N(Y1086)+$X1087</f>
        <v>0</v>
      </c>
      <c r="Z1087">
        <f>IF(AND($M1087=1,对接源_01水果!$D1087="原料入库"),1,0)</f>
        <v>0</v>
      </c>
      <c r="AA1087">
        <f>N(AA1086)+$Z1087</f>
        <v>24</v>
      </c>
      <c r="AB1087">
        <f>IF(AND($M1087=1,LEFT(对接源_01水果!$D1087,4)="原料出库"),1,0)</f>
        <v>0</v>
      </c>
      <c r="AC1087">
        <f>N(AC1086)+$AB1087</f>
        <v>0</v>
      </c>
      <c r="AD1087">
        <f>IF(AND($M1087=1,LEFT(对接源_01水果!$D1087,4)="成品出库"),1,0)</f>
        <v>0</v>
      </c>
      <c r="AE1087">
        <f>N(AE1086)+$AD1087</f>
        <v>0</v>
      </c>
      <c r="AF1087">
        <f>IF(AND($N1087=1,AND(LEFT(对接源_01水果!$D1087,4)="包装物料",N(对接源_01水果!$K1087)&lt;&gt;0)),1,0)</f>
        <v>0</v>
      </c>
      <c r="AG1087">
        <f>N(AG1086)+$AF1087</f>
        <v>0</v>
      </c>
      <c r="AH1087">
        <f>IF(AND($N1087=1,AND(对接源_01水果!$D1087="周转筐－销售出库",N(对接源_01水果!$K1087)&lt;&gt;0)),1,0)</f>
        <v>0</v>
      </c>
      <c r="AI1087">
        <f>N(AI1086)+$AH1087</f>
        <v>0</v>
      </c>
      <c r="AJ1087" s="7" t="n"/>
      <c r="AL1087">
        <f>IF(OR($AL$1="",对接源_01水果!$Y1087="",对接源_01水果!$Y1087&lt;&gt;$AL$1,对接源_01水果!$B1087="",N(对接源_01水果!$AJ1087)&lt;=0),0,IF(OR(N(对接源_01水果!$B1087)&lt;$AL$2,N(对接源_01水果!$B1087)&gt;$AL$3),0,1))</f>
        <v>0</v>
      </c>
      <c r="AM1087">
        <f>N(AM1086)+$AL1087</f>
        <v>2</v>
      </c>
      <c r="AN1087">
        <f>IF(对接源_01水果!$AC1087="","",对接源_01水果!$AC1087)</f>
      </c>
      <c r="AO1087">
        <f>IF(AN1087="",0,IF(MATCH(AN1087,$AN$4:$AN$1203,0)=ROW()-3,1,0))</f>
        <v>0</v>
      </c>
      <c r="AP1087">
        <f>N(AP1086)+$AO1087</f>
        <v>13</v>
      </c>
      <c r="AR1087">
        <f>IF(OR($AF1087=1,$AH1087=1),1,0)</f>
        <v>0</v>
      </c>
      <c r="AS1087">
        <f>N(AS1086)+$AR1087</f>
        <v>0</v>
      </c>
    </row>
    <row r="1088" ht="14.25" customHeight="1" s="127">
      <c r="A1088">
        <f>IF(对接源_01水果!$C1088="","",对接源_01水果!$C1088)</f>
      </c>
      <c r="B1088">
        <f>IF(A1088="",0,IF(MATCH(A1088,$A$4:$A$2403,0)=ROW()-3,1,0))</f>
        <v>0</v>
      </c>
      <c r="C1088">
        <f>N(C1087)+B1088</f>
        <v>22</v>
      </c>
      <c r="K1088">
        <f>IF(OR($K$1="",对接源_01水果!$C1088="",对接源_01水果!$C1088&lt;&gt;$K$1,对接源_01水果!$B1088=""),0,IF(OR(N(对接源_01水果!$B1088)&lt;$K$2,N(对接源_01水果!$B1088)&gt;$K$3),0,1))</f>
        <v>0</v>
      </c>
      <c r="L1088">
        <f>IF(OR($L$1="",对接源_01水果!$C1088="",对接源_01水果!$C1088&lt;&gt;$L$1,对接源_01水果!$B1088=""),0,IF(OR(N(对接源_01水果!$B1088)&lt;$L$2,N(对接源_01水果!$B1088)&gt;$L$3),0,1))</f>
        <v>0</v>
      </c>
      <c r="M1088">
        <f>IF(OR($M$1="",对接源_01水果!$C1088="",对接源_01水果!$C1088&lt;&gt;$M$1,对接源_01水果!$B1088=""),0,IF(OR(N(对接源_01水果!$B1088)&lt;$M$2,N(对接源_01水果!$B1088)&gt;$M$3),0,1))</f>
        <v>0</v>
      </c>
      <c r="N1088">
        <f>IF(OR($N$1="",对接源_01水果!$C1088="",对接源_01水果!$C1088&lt;&gt;$N$1,对接源_01水果!$B1088=""),0,IF(OR(N(对接源_01水果!$B1088)&lt;$N$2,N(对接源_01水果!$B1088)&gt;$N$3),0,1))</f>
        <v>0</v>
      </c>
      <c r="P1088">
        <f>IF(AND($K1088=1,AND(对接源_01水果!$X1088="公司筐",N(对接源_01水果!$T1088)&lt;&gt;0)),1,0)</f>
        <v>0</v>
      </c>
      <c r="Q1088">
        <f>N(Q1087)+$P1088</f>
        <v>0</v>
      </c>
      <c r="R1088">
        <f>IF(AND($K1088=1,AND(对接源_01水果!$X1088="公司筐",N(对接源_01水果!$U1088)&lt;&gt;0)),1,0)</f>
        <v>0</v>
      </c>
      <c r="S1088">
        <f>N(S1087)+$R1088</f>
        <v>0</v>
      </c>
      <c r="T1088">
        <f>IF(AND($K1088=1,AND(对接源_01水果!$X1088="公司筐",N(对接源_01水果!$V1088)&lt;&gt;0)),1,0)</f>
        <v>0</v>
      </c>
      <c r="U1088">
        <f>N(U1087)+$T1088</f>
        <v>47</v>
      </c>
      <c r="V1088">
        <f>IF(AND($L1088=1,AND(对接源_01水果!$X1088="自备筐",N(对接源_01水果!$V1088)&lt;&gt;0)),1,0)</f>
        <v>0</v>
      </c>
      <c r="W1088">
        <f>N(W1087)+$V1088</f>
        <v>11</v>
      </c>
      <c r="X1088">
        <f>IF(AND($L1088=1,AND(对接源_01水果!$X1088="自备筐",N(对接源_01水果!$T1088)&lt;&gt;0)),1,0)</f>
        <v>0</v>
      </c>
      <c r="Y1088">
        <f>N(Y1087)+$X1088</f>
        <v>0</v>
      </c>
      <c r="Z1088">
        <f>IF(AND($M1088=1,对接源_01水果!$D1088="原料入库"),1,0)</f>
        <v>0</v>
      </c>
      <c r="AA1088">
        <f>N(AA1087)+$Z1088</f>
        <v>24</v>
      </c>
      <c r="AB1088">
        <f>IF(AND($M1088=1,LEFT(对接源_01水果!$D1088,4)="原料出库"),1,0)</f>
        <v>0</v>
      </c>
      <c r="AC1088">
        <f>N(AC1087)+$AB1088</f>
        <v>0</v>
      </c>
      <c r="AD1088">
        <f>IF(AND($M1088=1,LEFT(对接源_01水果!$D1088,4)="成品出库"),1,0)</f>
        <v>0</v>
      </c>
      <c r="AE1088">
        <f>N(AE1087)+$AD1088</f>
        <v>0</v>
      </c>
      <c r="AF1088">
        <f>IF(AND($N1088=1,AND(LEFT(对接源_01水果!$D1088,4)="包装物料",N(对接源_01水果!$K1088)&lt;&gt;0)),1,0)</f>
        <v>0</v>
      </c>
      <c r="AG1088">
        <f>N(AG1087)+$AF1088</f>
        <v>0</v>
      </c>
      <c r="AH1088">
        <f>IF(AND($N1088=1,AND(对接源_01水果!$D1088="周转筐－销售出库",N(对接源_01水果!$K1088)&lt;&gt;0)),1,0)</f>
        <v>0</v>
      </c>
      <c r="AI1088">
        <f>N(AI1087)+$AH1088</f>
        <v>0</v>
      </c>
      <c r="AJ1088" s="7" t="n"/>
      <c r="AL1088">
        <f>IF(OR($AL$1="",对接源_01水果!$Y1088="",对接源_01水果!$Y1088&lt;&gt;$AL$1,对接源_01水果!$B1088="",N(对接源_01水果!$AJ1088)&lt;=0),0,IF(OR(N(对接源_01水果!$B1088)&lt;$AL$2,N(对接源_01水果!$B1088)&gt;$AL$3),0,1))</f>
        <v>0</v>
      </c>
      <c r="AM1088">
        <f>N(AM1087)+$AL1088</f>
        <v>2</v>
      </c>
      <c r="AN1088">
        <f>IF(对接源_01水果!$AC1088="","",对接源_01水果!$AC1088)</f>
      </c>
      <c r="AO1088">
        <f>IF(AN1088="",0,IF(MATCH(AN1088,$AN$4:$AN$1203,0)=ROW()-3,1,0))</f>
        <v>0</v>
      </c>
      <c r="AP1088">
        <f>N(AP1087)+$AO1088</f>
        <v>13</v>
      </c>
      <c r="AR1088">
        <f>IF(OR($AF1088=1,$AH1088=1),1,0)</f>
        <v>0</v>
      </c>
      <c r="AS1088">
        <f>N(AS1087)+$AR1088</f>
        <v>0</v>
      </c>
    </row>
    <row r="1089" ht="14.25" customHeight="1" s="127">
      <c r="A1089">
        <f>IF(对接源_01水果!$C1089="","",对接源_01水果!$C1089)</f>
      </c>
      <c r="B1089">
        <f>IF(A1089="",0,IF(MATCH(A1089,$A$4:$A$2403,0)=ROW()-3,1,0))</f>
        <v>0</v>
      </c>
      <c r="C1089">
        <f>N(C1088)+B1089</f>
        <v>22</v>
      </c>
      <c r="K1089">
        <f>IF(OR($K$1="",对接源_01水果!$C1089="",对接源_01水果!$C1089&lt;&gt;$K$1,对接源_01水果!$B1089=""),0,IF(OR(N(对接源_01水果!$B1089)&lt;$K$2,N(对接源_01水果!$B1089)&gt;$K$3),0,1))</f>
        <v>0</v>
      </c>
      <c r="L1089">
        <f>IF(OR($L$1="",对接源_01水果!$C1089="",对接源_01水果!$C1089&lt;&gt;$L$1,对接源_01水果!$B1089=""),0,IF(OR(N(对接源_01水果!$B1089)&lt;$L$2,N(对接源_01水果!$B1089)&gt;$L$3),0,1))</f>
        <v>0</v>
      </c>
      <c r="M1089">
        <f>IF(OR($M$1="",对接源_01水果!$C1089="",对接源_01水果!$C1089&lt;&gt;$M$1,对接源_01水果!$B1089=""),0,IF(OR(N(对接源_01水果!$B1089)&lt;$M$2,N(对接源_01水果!$B1089)&gt;$M$3),0,1))</f>
        <v>0</v>
      </c>
      <c r="N1089">
        <f>IF(OR($N$1="",对接源_01水果!$C1089="",对接源_01水果!$C1089&lt;&gt;$N$1,对接源_01水果!$B1089=""),0,IF(OR(N(对接源_01水果!$B1089)&lt;$N$2,N(对接源_01水果!$B1089)&gt;$N$3),0,1))</f>
        <v>0</v>
      </c>
      <c r="P1089">
        <f>IF(AND($K1089=1,AND(对接源_01水果!$X1089="公司筐",N(对接源_01水果!$T1089)&lt;&gt;0)),1,0)</f>
        <v>0</v>
      </c>
      <c r="Q1089">
        <f>N(Q1088)+$P1089</f>
        <v>0</v>
      </c>
      <c r="R1089">
        <f>IF(AND($K1089=1,AND(对接源_01水果!$X1089="公司筐",N(对接源_01水果!$U1089)&lt;&gt;0)),1,0)</f>
        <v>0</v>
      </c>
      <c r="S1089">
        <f>N(S1088)+$R1089</f>
        <v>0</v>
      </c>
      <c r="T1089">
        <f>IF(AND($K1089=1,AND(对接源_01水果!$X1089="公司筐",N(对接源_01水果!$V1089)&lt;&gt;0)),1,0)</f>
        <v>0</v>
      </c>
      <c r="U1089">
        <f>N(U1088)+$T1089</f>
        <v>47</v>
      </c>
      <c r="V1089">
        <f>IF(AND($L1089=1,AND(对接源_01水果!$X1089="自备筐",N(对接源_01水果!$V1089)&lt;&gt;0)),1,0)</f>
        <v>0</v>
      </c>
      <c r="W1089">
        <f>N(W1088)+$V1089</f>
        <v>11</v>
      </c>
      <c r="X1089">
        <f>IF(AND($L1089=1,AND(对接源_01水果!$X1089="自备筐",N(对接源_01水果!$T1089)&lt;&gt;0)),1,0)</f>
        <v>0</v>
      </c>
      <c r="Y1089">
        <f>N(Y1088)+$X1089</f>
        <v>0</v>
      </c>
      <c r="Z1089">
        <f>IF(AND($M1089=1,对接源_01水果!$D1089="原料入库"),1,0)</f>
        <v>0</v>
      </c>
      <c r="AA1089">
        <f>N(AA1088)+$Z1089</f>
        <v>24</v>
      </c>
      <c r="AB1089">
        <f>IF(AND($M1089=1,LEFT(对接源_01水果!$D1089,4)="原料出库"),1,0)</f>
        <v>0</v>
      </c>
      <c r="AC1089">
        <f>N(AC1088)+$AB1089</f>
        <v>0</v>
      </c>
      <c r="AD1089">
        <f>IF(AND($M1089=1,LEFT(对接源_01水果!$D1089,4)="成品出库"),1,0)</f>
        <v>0</v>
      </c>
      <c r="AE1089">
        <f>N(AE1088)+$AD1089</f>
        <v>0</v>
      </c>
      <c r="AF1089">
        <f>IF(AND($N1089=1,AND(LEFT(对接源_01水果!$D1089,4)="包装物料",N(对接源_01水果!$K1089)&lt;&gt;0)),1,0)</f>
        <v>0</v>
      </c>
      <c r="AG1089">
        <f>N(AG1088)+$AF1089</f>
        <v>0</v>
      </c>
      <c r="AH1089">
        <f>IF(AND($N1089=1,AND(对接源_01水果!$D1089="周转筐－销售出库",N(对接源_01水果!$K1089)&lt;&gt;0)),1,0)</f>
        <v>0</v>
      </c>
      <c r="AI1089">
        <f>N(AI1088)+$AH1089</f>
        <v>0</v>
      </c>
      <c r="AJ1089" s="7" t="n"/>
      <c r="AL1089">
        <f>IF(OR($AL$1="",对接源_01水果!$Y1089="",对接源_01水果!$Y1089&lt;&gt;$AL$1,对接源_01水果!$B1089="",N(对接源_01水果!$AJ1089)&lt;=0),0,IF(OR(N(对接源_01水果!$B1089)&lt;$AL$2,N(对接源_01水果!$B1089)&gt;$AL$3),0,1))</f>
        <v>0</v>
      </c>
      <c r="AM1089">
        <f>N(AM1088)+$AL1089</f>
        <v>2</v>
      </c>
      <c r="AN1089">
        <f>IF(对接源_01水果!$AC1089="","",对接源_01水果!$AC1089)</f>
      </c>
      <c r="AO1089">
        <f>IF(AN1089="",0,IF(MATCH(AN1089,$AN$4:$AN$1203,0)=ROW()-3,1,0))</f>
        <v>0</v>
      </c>
      <c r="AP1089">
        <f>N(AP1088)+$AO1089</f>
        <v>13</v>
      </c>
      <c r="AR1089">
        <f>IF(OR($AF1089=1,$AH1089=1),1,0)</f>
        <v>0</v>
      </c>
      <c r="AS1089">
        <f>N(AS1088)+$AR1089</f>
        <v>0</v>
      </c>
    </row>
    <row r="1090" ht="14.25" customHeight="1" s="127">
      <c r="A1090">
        <f>IF(对接源_01水果!$C1090="","",对接源_01水果!$C1090)</f>
      </c>
      <c r="B1090">
        <f>IF(A1090="",0,IF(MATCH(A1090,$A$4:$A$2403,0)=ROW()-3,1,0))</f>
        <v>0</v>
      </c>
      <c r="C1090">
        <f>N(C1089)+B1090</f>
        <v>22</v>
      </c>
      <c r="K1090">
        <f>IF(OR($K$1="",对接源_01水果!$C1090="",对接源_01水果!$C1090&lt;&gt;$K$1,对接源_01水果!$B1090=""),0,IF(OR(N(对接源_01水果!$B1090)&lt;$K$2,N(对接源_01水果!$B1090)&gt;$K$3),0,1))</f>
        <v>0</v>
      </c>
      <c r="L1090">
        <f>IF(OR($L$1="",对接源_01水果!$C1090="",对接源_01水果!$C1090&lt;&gt;$L$1,对接源_01水果!$B1090=""),0,IF(OR(N(对接源_01水果!$B1090)&lt;$L$2,N(对接源_01水果!$B1090)&gt;$L$3),0,1))</f>
        <v>0</v>
      </c>
      <c r="M1090">
        <f>IF(OR($M$1="",对接源_01水果!$C1090="",对接源_01水果!$C1090&lt;&gt;$M$1,对接源_01水果!$B1090=""),0,IF(OR(N(对接源_01水果!$B1090)&lt;$M$2,N(对接源_01水果!$B1090)&gt;$M$3),0,1))</f>
        <v>0</v>
      </c>
      <c r="N1090">
        <f>IF(OR($N$1="",对接源_01水果!$C1090="",对接源_01水果!$C1090&lt;&gt;$N$1,对接源_01水果!$B1090=""),0,IF(OR(N(对接源_01水果!$B1090)&lt;$N$2,N(对接源_01水果!$B1090)&gt;$N$3),0,1))</f>
        <v>0</v>
      </c>
      <c r="P1090">
        <f>IF(AND($K1090=1,AND(对接源_01水果!$X1090="公司筐",N(对接源_01水果!$T1090)&lt;&gt;0)),1,0)</f>
        <v>0</v>
      </c>
      <c r="Q1090">
        <f>N(Q1089)+$P1090</f>
        <v>0</v>
      </c>
      <c r="R1090">
        <f>IF(AND($K1090=1,AND(对接源_01水果!$X1090="公司筐",N(对接源_01水果!$U1090)&lt;&gt;0)),1,0)</f>
        <v>0</v>
      </c>
      <c r="S1090">
        <f>N(S1089)+$R1090</f>
        <v>0</v>
      </c>
      <c r="T1090">
        <f>IF(AND($K1090=1,AND(对接源_01水果!$X1090="公司筐",N(对接源_01水果!$V1090)&lt;&gt;0)),1,0)</f>
        <v>0</v>
      </c>
      <c r="U1090">
        <f>N(U1089)+$T1090</f>
        <v>47</v>
      </c>
      <c r="V1090">
        <f>IF(AND($L1090=1,AND(对接源_01水果!$X1090="自备筐",N(对接源_01水果!$V1090)&lt;&gt;0)),1,0)</f>
        <v>0</v>
      </c>
      <c r="W1090">
        <f>N(W1089)+$V1090</f>
        <v>11</v>
      </c>
      <c r="X1090">
        <f>IF(AND($L1090=1,AND(对接源_01水果!$X1090="自备筐",N(对接源_01水果!$T1090)&lt;&gt;0)),1,0)</f>
        <v>0</v>
      </c>
      <c r="Y1090">
        <f>N(Y1089)+$X1090</f>
        <v>0</v>
      </c>
      <c r="Z1090">
        <f>IF(AND($M1090=1,对接源_01水果!$D1090="原料入库"),1,0)</f>
        <v>0</v>
      </c>
      <c r="AA1090">
        <f>N(AA1089)+$Z1090</f>
        <v>24</v>
      </c>
      <c r="AB1090">
        <f>IF(AND($M1090=1,LEFT(对接源_01水果!$D1090,4)="原料出库"),1,0)</f>
        <v>0</v>
      </c>
      <c r="AC1090">
        <f>N(AC1089)+$AB1090</f>
        <v>0</v>
      </c>
      <c r="AD1090">
        <f>IF(AND($M1090=1,LEFT(对接源_01水果!$D1090,4)="成品出库"),1,0)</f>
        <v>0</v>
      </c>
      <c r="AE1090">
        <f>N(AE1089)+$AD1090</f>
        <v>0</v>
      </c>
      <c r="AF1090">
        <f>IF(AND($N1090=1,AND(LEFT(对接源_01水果!$D1090,4)="包装物料",N(对接源_01水果!$K1090)&lt;&gt;0)),1,0)</f>
        <v>0</v>
      </c>
      <c r="AG1090">
        <f>N(AG1089)+$AF1090</f>
        <v>0</v>
      </c>
      <c r="AH1090">
        <f>IF(AND($N1090=1,AND(对接源_01水果!$D1090="周转筐－销售出库",N(对接源_01水果!$K1090)&lt;&gt;0)),1,0)</f>
        <v>0</v>
      </c>
      <c r="AI1090">
        <f>N(AI1089)+$AH1090</f>
        <v>0</v>
      </c>
      <c r="AJ1090" s="7" t="n"/>
      <c r="AL1090">
        <f>IF(OR($AL$1="",对接源_01水果!$Y1090="",对接源_01水果!$Y1090&lt;&gt;$AL$1,对接源_01水果!$B1090="",N(对接源_01水果!$AJ1090)&lt;=0),0,IF(OR(N(对接源_01水果!$B1090)&lt;$AL$2,N(对接源_01水果!$B1090)&gt;$AL$3),0,1))</f>
        <v>0</v>
      </c>
      <c r="AM1090">
        <f>N(AM1089)+$AL1090</f>
        <v>2</v>
      </c>
      <c r="AN1090">
        <f>IF(对接源_01水果!$AC1090="","",对接源_01水果!$AC1090)</f>
      </c>
      <c r="AO1090">
        <f>IF(AN1090="",0,IF(MATCH(AN1090,$AN$4:$AN$1203,0)=ROW()-3,1,0))</f>
        <v>0</v>
      </c>
      <c r="AP1090">
        <f>N(AP1089)+$AO1090</f>
        <v>13</v>
      </c>
      <c r="AR1090">
        <f>IF(OR($AF1090=1,$AH1090=1),1,0)</f>
        <v>0</v>
      </c>
      <c r="AS1090">
        <f>N(AS1089)+$AR1090</f>
        <v>0</v>
      </c>
    </row>
    <row r="1091" ht="14.25" customHeight="1" s="127">
      <c r="A1091">
        <f>IF(对接源_01水果!$C1091="","",对接源_01水果!$C1091)</f>
      </c>
      <c r="B1091">
        <f>IF(A1091="",0,IF(MATCH(A1091,$A$4:$A$2403,0)=ROW()-3,1,0))</f>
        <v>0</v>
      </c>
      <c r="C1091">
        <f>N(C1090)+B1091</f>
        <v>22</v>
      </c>
      <c r="K1091">
        <f>IF(OR($K$1="",对接源_01水果!$C1091="",对接源_01水果!$C1091&lt;&gt;$K$1,对接源_01水果!$B1091=""),0,IF(OR(N(对接源_01水果!$B1091)&lt;$K$2,N(对接源_01水果!$B1091)&gt;$K$3),0,1))</f>
        <v>0</v>
      </c>
      <c r="L1091">
        <f>IF(OR($L$1="",对接源_01水果!$C1091="",对接源_01水果!$C1091&lt;&gt;$L$1,对接源_01水果!$B1091=""),0,IF(OR(N(对接源_01水果!$B1091)&lt;$L$2,N(对接源_01水果!$B1091)&gt;$L$3),0,1))</f>
        <v>0</v>
      </c>
      <c r="M1091">
        <f>IF(OR($M$1="",对接源_01水果!$C1091="",对接源_01水果!$C1091&lt;&gt;$M$1,对接源_01水果!$B1091=""),0,IF(OR(N(对接源_01水果!$B1091)&lt;$M$2,N(对接源_01水果!$B1091)&gt;$M$3),0,1))</f>
        <v>0</v>
      </c>
      <c r="N1091">
        <f>IF(OR($N$1="",对接源_01水果!$C1091="",对接源_01水果!$C1091&lt;&gt;$N$1,对接源_01水果!$B1091=""),0,IF(OR(N(对接源_01水果!$B1091)&lt;$N$2,N(对接源_01水果!$B1091)&gt;$N$3),0,1))</f>
        <v>0</v>
      </c>
      <c r="P1091">
        <f>IF(AND($K1091=1,AND(对接源_01水果!$X1091="公司筐",N(对接源_01水果!$T1091)&lt;&gt;0)),1,0)</f>
        <v>0</v>
      </c>
      <c r="Q1091">
        <f>N(Q1090)+$P1091</f>
        <v>0</v>
      </c>
      <c r="R1091">
        <f>IF(AND($K1091=1,AND(对接源_01水果!$X1091="公司筐",N(对接源_01水果!$U1091)&lt;&gt;0)),1,0)</f>
        <v>0</v>
      </c>
      <c r="S1091">
        <f>N(S1090)+$R1091</f>
        <v>0</v>
      </c>
      <c r="T1091">
        <f>IF(AND($K1091=1,AND(对接源_01水果!$X1091="公司筐",N(对接源_01水果!$V1091)&lt;&gt;0)),1,0)</f>
        <v>0</v>
      </c>
      <c r="U1091">
        <f>N(U1090)+$T1091</f>
        <v>47</v>
      </c>
      <c r="V1091">
        <f>IF(AND($L1091=1,AND(对接源_01水果!$X1091="自备筐",N(对接源_01水果!$V1091)&lt;&gt;0)),1,0)</f>
        <v>0</v>
      </c>
      <c r="W1091">
        <f>N(W1090)+$V1091</f>
        <v>11</v>
      </c>
      <c r="X1091">
        <f>IF(AND($L1091=1,AND(对接源_01水果!$X1091="自备筐",N(对接源_01水果!$T1091)&lt;&gt;0)),1,0)</f>
        <v>0</v>
      </c>
      <c r="Y1091">
        <f>N(Y1090)+$X1091</f>
        <v>0</v>
      </c>
      <c r="Z1091">
        <f>IF(AND($M1091=1,对接源_01水果!$D1091="原料入库"),1,0)</f>
        <v>0</v>
      </c>
      <c r="AA1091">
        <f>N(AA1090)+$Z1091</f>
        <v>24</v>
      </c>
      <c r="AB1091">
        <f>IF(AND($M1091=1,LEFT(对接源_01水果!$D1091,4)="原料出库"),1,0)</f>
        <v>0</v>
      </c>
      <c r="AC1091">
        <f>N(AC1090)+$AB1091</f>
        <v>0</v>
      </c>
      <c r="AD1091">
        <f>IF(AND($M1091=1,LEFT(对接源_01水果!$D1091,4)="成品出库"),1,0)</f>
        <v>0</v>
      </c>
      <c r="AE1091">
        <f>N(AE1090)+$AD1091</f>
        <v>0</v>
      </c>
      <c r="AF1091">
        <f>IF(AND($N1091=1,AND(LEFT(对接源_01水果!$D1091,4)="包装物料",N(对接源_01水果!$K1091)&lt;&gt;0)),1,0)</f>
        <v>0</v>
      </c>
      <c r="AG1091">
        <f>N(AG1090)+$AF1091</f>
        <v>0</v>
      </c>
      <c r="AH1091">
        <f>IF(AND($N1091=1,AND(对接源_01水果!$D1091="周转筐－销售出库",N(对接源_01水果!$K1091)&lt;&gt;0)),1,0)</f>
        <v>0</v>
      </c>
      <c r="AI1091">
        <f>N(AI1090)+$AH1091</f>
        <v>0</v>
      </c>
      <c r="AJ1091" s="7" t="n"/>
      <c r="AL1091">
        <f>IF(OR($AL$1="",对接源_01水果!$Y1091="",对接源_01水果!$Y1091&lt;&gt;$AL$1,对接源_01水果!$B1091="",N(对接源_01水果!$AJ1091)&lt;=0),0,IF(OR(N(对接源_01水果!$B1091)&lt;$AL$2,N(对接源_01水果!$B1091)&gt;$AL$3),0,1))</f>
        <v>0</v>
      </c>
      <c r="AM1091">
        <f>N(AM1090)+$AL1091</f>
        <v>2</v>
      </c>
      <c r="AN1091">
        <f>IF(对接源_01水果!$AC1091="","",对接源_01水果!$AC1091)</f>
      </c>
      <c r="AO1091">
        <f>IF(AN1091="",0,IF(MATCH(AN1091,$AN$4:$AN$1203,0)=ROW()-3,1,0))</f>
        <v>0</v>
      </c>
      <c r="AP1091">
        <f>N(AP1090)+$AO1091</f>
        <v>13</v>
      </c>
      <c r="AR1091">
        <f>IF(OR($AF1091=1,$AH1091=1),1,0)</f>
        <v>0</v>
      </c>
      <c r="AS1091">
        <f>N(AS1090)+$AR1091</f>
        <v>0</v>
      </c>
    </row>
    <row r="1092" ht="14.25" customHeight="1" s="127">
      <c r="A1092">
        <f>IF(对接源_01水果!$C1092="","",对接源_01水果!$C1092)</f>
      </c>
      <c r="B1092">
        <f>IF(A1092="",0,IF(MATCH(A1092,$A$4:$A$2403,0)=ROW()-3,1,0))</f>
        <v>0</v>
      </c>
      <c r="C1092">
        <f>N(C1091)+B1092</f>
        <v>22</v>
      </c>
      <c r="K1092">
        <f>IF(OR($K$1="",对接源_01水果!$C1092="",对接源_01水果!$C1092&lt;&gt;$K$1,对接源_01水果!$B1092=""),0,IF(OR(N(对接源_01水果!$B1092)&lt;$K$2,N(对接源_01水果!$B1092)&gt;$K$3),0,1))</f>
        <v>0</v>
      </c>
      <c r="L1092">
        <f>IF(OR($L$1="",对接源_01水果!$C1092="",对接源_01水果!$C1092&lt;&gt;$L$1,对接源_01水果!$B1092=""),0,IF(OR(N(对接源_01水果!$B1092)&lt;$L$2,N(对接源_01水果!$B1092)&gt;$L$3),0,1))</f>
        <v>0</v>
      </c>
      <c r="M1092">
        <f>IF(OR($M$1="",对接源_01水果!$C1092="",对接源_01水果!$C1092&lt;&gt;$M$1,对接源_01水果!$B1092=""),0,IF(OR(N(对接源_01水果!$B1092)&lt;$M$2,N(对接源_01水果!$B1092)&gt;$M$3),0,1))</f>
        <v>0</v>
      </c>
      <c r="N1092">
        <f>IF(OR($N$1="",对接源_01水果!$C1092="",对接源_01水果!$C1092&lt;&gt;$N$1,对接源_01水果!$B1092=""),0,IF(OR(N(对接源_01水果!$B1092)&lt;$N$2,N(对接源_01水果!$B1092)&gt;$N$3),0,1))</f>
        <v>0</v>
      </c>
      <c r="P1092">
        <f>IF(AND($K1092=1,AND(对接源_01水果!$X1092="公司筐",N(对接源_01水果!$T1092)&lt;&gt;0)),1,0)</f>
        <v>0</v>
      </c>
      <c r="Q1092">
        <f>N(Q1091)+$P1092</f>
        <v>0</v>
      </c>
      <c r="R1092">
        <f>IF(AND($K1092=1,AND(对接源_01水果!$X1092="公司筐",N(对接源_01水果!$U1092)&lt;&gt;0)),1,0)</f>
        <v>0</v>
      </c>
      <c r="S1092">
        <f>N(S1091)+$R1092</f>
        <v>0</v>
      </c>
      <c r="T1092">
        <f>IF(AND($K1092=1,AND(对接源_01水果!$X1092="公司筐",N(对接源_01水果!$V1092)&lt;&gt;0)),1,0)</f>
        <v>0</v>
      </c>
      <c r="U1092">
        <f>N(U1091)+$T1092</f>
        <v>47</v>
      </c>
      <c r="V1092">
        <f>IF(AND($L1092=1,AND(对接源_01水果!$X1092="自备筐",N(对接源_01水果!$V1092)&lt;&gt;0)),1,0)</f>
        <v>0</v>
      </c>
      <c r="W1092">
        <f>N(W1091)+$V1092</f>
        <v>11</v>
      </c>
      <c r="X1092">
        <f>IF(AND($L1092=1,AND(对接源_01水果!$X1092="自备筐",N(对接源_01水果!$T1092)&lt;&gt;0)),1,0)</f>
        <v>0</v>
      </c>
      <c r="Y1092">
        <f>N(Y1091)+$X1092</f>
        <v>0</v>
      </c>
      <c r="Z1092">
        <f>IF(AND($M1092=1,对接源_01水果!$D1092="原料入库"),1,0)</f>
        <v>0</v>
      </c>
      <c r="AA1092">
        <f>N(AA1091)+$Z1092</f>
        <v>24</v>
      </c>
      <c r="AB1092">
        <f>IF(AND($M1092=1,LEFT(对接源_01水果!$D1092,4)="原料出库"),1,0)</f>
        <v>0</v>
      </c>
      <c r="AC1092">
        <f>N(AC1091)+$AB1092</f>
        <v>0</v>
      </c>
      <c r="AD1092">
        <f>IF(AND($M1092=1,LEFT(对接源_01水果!$D1092,4)="成品出库"),1,0)</f>
        <v>0</v>
      </c>
      <c r="AE1092">
        <f>N(AE1091)+$AD1092</f>
        <v>0</v>
      </c>
      <c r="AF1092">
        <f>IF(AND($N1092=1,AND(LEFT(对接源_01水果!$D1092,4)="包装物料",N(对接源_01水果!$K1092)&lt;&gt;0)),1,0)</f>
        <v>0</v>
      </c>
      <c r="AG1092">
        <f>N(AG1091)+$AF1092</f>
        <v>0</v>
      </c>
      <c r="AH1092">
        <f>IF(AND($N1092=1,AND(对接源_01水果!$D1092="周转筐－销售出库",N(对接源_01水果!$K1092)&lt;&gt;0)),1,0)</f>
        <v>0</v>
      </c>
      <c r="AI1092">
        <f>N(AI1091)+$AH1092</f>
        <v>0</v>
      </c>
      <c r="AJ1092" s="7" t="n"/>
      <c r="AL1092">
        <f>IF(OR($AL$1="",对接源_01水果!$Y1092="",对接源_01水果!$Y1092&lt;&gt;$AL$1,对接源_01水果!$B1092="",N(对接源_01水果!$AJ1092)&lt;=0),0,IF(OR(N(对接源_01水果!$B1092)&lt;$AL$2,N(对接源_01水果!$B1092)&gt;$AL$3),0,1))</f>
        <v>0</v>
      </c>
      <c r="AM1092">
        <f>N(AM1091)+$AL1092</f>
        <v>2</v>
      </c>
      <c r="AN1092">
        <f>IF(对接源_01水果!$AC1092="","",对接源_01水果!$AC1092)</f>
      </c>
      <c r="AO1092">
        <f>IF(AN1092="",0,IF(MATCH(AN1092,$AN$4:$AN$1203,0)=ROW()-3,1,0))</f>
        <v>0</v>
      </c>
      <c r="AP1092">
        <f>N(AP1091)+$AO1092</f>
        <v>13</v>
      </c>
      <c r="AR1092">
        <f>IF(OR($AF1092=1,$AH1092=1),1,0)</f>
        <v>0</v>
      </c>
      <c r="AS1092">
        <f>N(AS1091)+$AR1092</f>
        <v>0</v>
      </c>
    </row>
    <row r="1093" ht="14.25" customHeight="1" s="127">
      <c r="A1093">
        <f>IF(对接源_01水果!$C1093="","",对接源_01水果!$C1093)</f>
      </c>
      <c r="B1093">
        <f>IF(A1093="",0,IF(MATCH(A1093,$A$4:$A$2403,0)=ROW()-3,1,0))</f>
        <v>0</v>
      </c>
      <c r="C1093">
        <f>N(C1092)+B1093</f>
        <v>22</v>
      </c>
      <c r="K1093">
        <f>IF(OR($K$1="",对接源_01水果!$C1093="",对接源_01水果!$C1093&lt;&gt;$K$1,对接源_01水果!$B1093=""),0,IF(OR(N(对接源_01水果!$B1093)&lt;$K$2,N(对接源_01水果!$B1093)&gt;$K$3),0,1))</f>
        <v>0</v>
      </c>
      <c r="L1093">
        <f>IF(OR($L$1="",对接源_01水果!$C1093="",对接源_01水果!$C1093&lt;&gt;$L$1,对接源_01水果!$B1093=""),0,IF(OR(N(对接源_01水果!$B1093)&lt;$L$2,N(对接源_01水果!$B1093)&gt;$L$3),0,1))</f>
        <v>0</v>
      </c>
      <c r="M1093">
        <f>IF(OR($M$1="",对接源_01水果!$C1093="",对接源_01水果!$C1093&lt;&gt;$M$1,对接源_01水果!$B1093=""),0,IF(OR(N(对接源_01水果!$B1093)&lt;$M$2,N(对接源_01水果!$B1093)&gt;$M$3),0,1))</f>
        <v>0</v>
      </c>
      <c r="N1093">
        <f>IF(OR($N$1="",对接源_01水果!$C1093="",对接源_01水果!$C1093&lt;&gt;$N$1,对接源_01水果!$B1093=""),0,IF(OR(N(对接源_01水果!$B1093)&lt;$N$2,N(对接源_01水果!$B1093)&gt;$N$3),0,1))</f>
        <v>0</v>
      </c>
      <c r="P1093">
        <f>IF(AND($K1093=1,AND(对接源_01水果!$X1093="公司筐",N(对接源_01水果!$T1093)&lt;&gt;0)),1,0)</f>
        <v>0</v>
      </c>
      <c r="Q1093">
        <f>N(Q1092)+$P1093</f>
        <v>0</v>
      </c>
      <c r="R1093">
        <f>IF(AND($K1093=1,AND(对接源_01水果!$X1093="公司筐",N(对接源_01水果!$U1093)&lt;&gt;0)),1,0)</f>
        <v>0</v>
      </c>
      <c r="S1093">
        <f>N(S1092)+$R1093</f>
        <v>0</v>
      </c>
      <c r="T1093">
        <f>IF(AND($K1093=1,AND(对接源_01水果!$X1093="公司筐",N(对接源_01水果!$V1093)&lt;&gt;0)),1,0)</f>
        <v>0</v>
      </c>
      <c r="U1093">
        <f>N(U1092)+$T1093</f>
        <v>47</v>
      </c>
      <c r="V1093">
        <f>IF(AND($L1093=1,AND(对接源_01水果!$X1093="自备筐",N(对接源_01水果!$V1093)&lt;&gt;0)),1,0)</f>
        <v>0</v>
      </c>
      <c r="W1093">
        <f>N(W1092)+$V1093</f>
        <v>11</v>
      </c>
      <c r="X1093">
        <f>IF(AND($L1093=1,AND(对接源_01水果!$X1093="自备筐",N(对接源_01水果!$T1093)&lt;&gt;0)),1,0)</f>
        <v>0</v>
      </c>
      <c r="Y1093">
        <f>N(Y1092)+$X1093</f>
        <v>0</v>
      </c>
      <c r="Z1093">
        <f>IF(AND($M1093=1,对接源_01水果!$D1093="原料入库"),1,0)</f>
        <v>0</v>
      </c>
      <c r="AA1093">
        <f>N(AA1092)+$Z1093</f>
        <v>24</v>
      </c>
      <c r="AB1093">
        <f>IF(AND($M1093=1,LEFT(对接源_01水果!$D1093,4)="原料出库"),1,0)</f>
        <v>0</v>
      </c>
      <c r="AC1093">
        <f>N(AC1092)+$AB1093</f>
        <v>0</v>
      </c>
      <c r="AD1093">
        <f>IF(AND($M1093=1,LEFT(对接源_01水果!$D1093,4)="成品出库"),1,0)</f>
        <v>0</v>
      </c>
      <c r="AE1093">
        <f>N(AE1092)+$AD1093</f>
        <v>0</v>
      </c>
      <c r="AF1093">
        <f>IF(AND($N1093=1,AND(LEFT(对接源_01水果!$D1093,4)="包装物料",N(对接源_01水果!$K1093)&lt;&gt;0)),1,0)</f>
        <v>0</v>
      </c>
      <c r="AG1093">
        <f>N(AG1092)+$AF1093</f>
        <v>0</v>
      </c>
      <c r="AH1093">
        <f>IF(AND($N1093=1,AND(对接源_01水果!$D1093="周转筐－销售出库",N(对接源_01水果!$K1093)&lt;&gt;0)),1,0)</f>
        <v>0</v>
      </c>
      <c r="AI1093">
        <f>N(AI1092)+$AH1093</f>
        <v>0</v>
      </c>
      <c r="AJ1093" s="7" t="n"/>
      <c r="AL1093">
        <f>IF(OR($AL$1="",对接源_01水果!$Y1093="",对接源_01水果!$Y1093&lt;&gt;$AL$1,对接源_01水果!$B1093="",N(对接源_01水果!$AJ1093)&lt;=0),0,IF(OR(N(对接源_01水果!$B1093)&lt;$AL$2,N(对接源_01水果!$B1093)&gt;$AL$3),0,1))</f>
        <v>0</v>
      </c>
      <c r="AM1093">
        <f>N(AM1092)+$AL1093</f>
        <v>2</v>
      </c>
      <c r="AN1093">
        <f>IF(对接源_01水果!$AC1093="","",对接源_01水果!$AC1093)</f>
      </c>
      <c r="AO1093">
        <f>IF(AN1093="",0,IF(MATCH(AN1093,$AN$4:$AN$1203,0)=ROW()-3,1,0))</f>
        <v>0</v>
      </c>
      <c r="AP1093">
        <f>N(AP1092)+$AO1093</f>
        <v>13</v>
      </c>
      <c r="AR1093">
        <f>IF(OR($AF1093=1,$AH1093=1),1,0)</f>
        <v>0</v>
      </c>
      <c r="AS1093">
        <f>N(AS1092)+$AR1093</f>
        <v>0</v>
      </c>
    </row>
    <row r="1094" ht="14.25" customHeight="1" s="127">
      <c r="A1094">
        <f>IF(对接源_01水果!$C1094="","",对接源_01水果!$C1094)</f>
      </c>
      <c r="B1094">
        <f>IF(A1094="",0,IF(MATCH(A1094,$A$4:$A$2403,0)=ROW()-3,1,0))</f>
        <v>0</v>
      </c>
      <c r="C1094">
        <f>N(C1093)+B1094</f>
        <v>22</v>
      </c>
      <c r="K1094">
        <f>IF(OR($K$1="",对接源_01水果!$C1094="",对接源_01水果!$C1094&lt;&gt;$K$1,对接源_01水果!$B1094=""),0,IF(OR(N(对接源_01水果!$B1094)&lt;$K$2,N(对接源_01水果!$B1094)&gt;$K$3),0,1))</f>
        <v>0</v>
      </c>
      <c r="L1094">
        <f>IF(OR($L$1="",对接源_01水果!$C1094="",对接源_01水果!$C1094&lt;&gt;$L$1,对接源_01水果!$B1094=""),0,IF(OR(N(对接源_01水果!$B1094)&lt;$L$2,N(对接源_01水果!$B1094)&gt;$L$3),0,1))</f>
        <v>0</v>
      </c>
      <c r="M1094">
        <f>IF(OR($M$1="",对接源_01水果!$C1094="",对接源_01水果!$C1094&lt;&gt;$M$1,对接源_01水果!$B1094=""),0,IF(OR(N(对接源_01水果!$B1094)&lt;$M$2,N(对接源_01水果!$B1094)&gt;$M$3),0,1))</f>
        <v>0</v>
      </c>
      <c r="N1094">
        <f>IF(OR($N$1="",对接源_01水果!$C1094="",对接源_01水果!$C1094&lt;&gt;$N$1,对接源_01水果!$B1094=""),0,IF(OR(N(对接源_01水果!$B1094)&lt;$N$2,N(对接源_01水果!$B1094)&gt;$N$3),0,1))</f>
        <v>0</v>
      </c>
      <c r="P1094">
        <f>IF(AND($K1094=1,AND(对接源_01水果!$X1094="公司筐",N(对接源_01水果!$T1094)&lt;&gt;0)),1,0)</f>
        <v>0</v>
      </c>
      <c r="Q1094">
        <f>N(Q1093)+$P1094</f>
        <v>0</v>
      </c>
      <c r="R1094">
        <f>IF(AND($K1094=1,AND(对接源_01水果!$X1094="公司筐",N(对接源_01水果!$U1094)&lt;&gt;0)),1,0)</f>
        <v>0</v>
      </c>
      <c r="S1094">
        <f>N(S1093)+$R1094</f>
        <v>0</v>
      </c>
      <c r="T1094">
        <f>IF(AND($K1094=1,AND(对接源_01水果!$X1094="公司筐",N(对接源_01水果!$V1094)&lt;&gt;0)),1,0)</f>
        <v>0</v>
      </c>
      <c r="U1094">
        <f>N(U1093)+$T1094</f>
        <v>47</v>
      </c>
      <c r="V1094">
        <f>IF(AND($L1094=1,AND(对接源_01水果!$X1094="自备筐",N(对接源_01水果!$V1094)&lt;&gt;0)),1,0)</f>
        <v>0</v>
      </c>
      <c r="W1094">
        <f>N(W1093)+$V1094</f>
        <v>11</v>
      </c>
      <c r="X1094">
        <f>IF(AND($L1094=1,AND(对接源_01水果!$X1094="自备筐",N(对接源_01水果!$T1094)&lt;&gt;0)),1,0)</f>
        <v>0</v>
      </c>
      <c r="Y1094">
        <f>N(Y1093)+$X1094</f>
        <v>0</v>
      </c>
      <c r="Z1094">
        <f>IF(AND($M1094=1,对接源_01水果!$D1094="原料入库"),1,0)</f>
        <v>0</v>
      </c>
      <c r="AA1094">
        <f>N(AA1093)+$Z1094</f>
        <v>24</v>
      </c>
      <c r="AB1094">
        <f>IF(AND($M1094=1,LEFT(对接源_01水果!$D1094,4)="原料出库"),1,0)</f>
        <v>0</v>
      </c>
      <c r="AC1094">
        <f>N(AC1093)+$AB1094</f>
        <v>0</v>
      </c>
      <c r="AD1094">
        <f>IF(AND($M1094=1,LEFT(对接源_01水果!$D1094,4)="成品出库"),1,0)</f>
        <v>0</v>
      </c>
      <c r="AE1094">
        <f>N(AE1093)+$AD1094</f>
        <v>0</v>
      </c>
      <c r="AF1094">
        <f>IF(AND($N1094=1,AND(LEFT(对接源_01水果!$D1094,4)="包装物料",N(对接源_01水果!$K1094)&lt;&gt;0)),1,0)</f>
        <v>0</v>
      </c>
      <c r="AG1094">
        <f>N(AG1093)+$AF1094</f>
        <v>0</v>
      </c>
      <c r="AH1094">
        <f>IF(AND($N1094=1,AND(对接源_01水果!$D1094="周转筐－销售出库",N(对接源_01水果!$K1094)&lt;&gt;0)),1,0)</f>
        <v>0</v>
      </c>
      <c r="AI1094">
        <f>N(AI1093)+$AH1094</f>
        <v>0</v>
      </c>
      <c r="AJ1094" s="7" t="n"/>
      <c r="AL1094">
        <f>IF(OR($AL$1="",对接源_01水果!$Y1094="",对接源_01水果!$Y1094&lt;&gt;$AL$1,对接源_01水果!$B1094="",N(对接源_01水果!$AJ1094)&lt;=0),0,IF(OR(N(对接源_01水果!$B1094)&lt;$AL$2,N(对接源_01水果!$B1094)&gt;$AL$3),0,1))</f>
        <v>0</v>
      </c>
      <c r="AM1094">
        <f>N(AM1093)+$AL1094</f>
        <v>2</v>
      </c>
      <c r="AN1094">
        <f>IF(对接源_01水果!$AC1094="","",对接源_01水果!$AC1094)</f>
      </c>
      <c r="AO1094">
        <f>IF(AN1094="",0,IF(MATCH(AN1094,$AN$4:$AN$1203,0)=ROW()-3,1,0))</f>
        <v>0</v>
      </c>
      <c r="AP1094">
        <f>N(AP1093)+$AO1094</f>
        <v>13</v>
      </c>
      <c r="AR1094">
        <f>IF(OR($AF1094=1,$AH1094=1),1,0)</f>
        <v>0</v>
      </c>
      <c r="AS1094">
        <f>N(AS1093)+$AR1094</f>
        <v>0</v>
      </c>
    </row>
    <row r="1095" ht="14.25" customHeight="1" s="127">
      <c r="A1095">
        <f>IF(对接源_01水果!$C1095="","",对接源_01水果!$C1095)</f>
      </c>
      <c r="B1095">
        <f>IF(A1095="",0,IF(MATCH(A1095,$A$4:$A$2403,0)=ROW()-3,1,0))</f>
        <v>0</v>
      </c>
      <c r="C1095">
        <f>N(C1094)+B1095</f>
        <v>22</v>
      </c>
      <c r="K1095">
        <f>IF(OR($K$1="",对接源_01水果!$C1095="",对接源_01水果!$C1095&lt;&gt;$K$1,对接源_01水果!$B1095=""),0,IF(OR(N(对接源_01水果!$B1095)&lt;$K$2,N(对接源_01水果!$B1095)&gt;$K$3),0,1))</f>
        <v>0</v>
      </c>
      <c r="L1095">
        <f>IF(OR($L$1="",对接源_01水果!$C1095="",对接源_01水果!$C1095&lt;&gt;$L$1,对接源_01水果!$B1095=""),0,IF(OR(N(对接源_01水果!$B1095)&lt;$L$2,N(对接源_01水果!$B1095)&gt;$L$3),0,1))</f>
        <v>0</v>
      </c>
      <c r="M1095">
        <f>IF(OR($M$1="",对接源_01水果!$C1095="",对接源_01水果!$C1095&lt;&gt;$M$1,对接源_01水果!$B1095=""),0,IF(OR(N(对接源_01水果!$B1095)&lt;$M$2,N(对接源_01水果!$B1095)&gt;$M$3),0,1))</f>
        <v>0</v>
      </c>
      <c r="N1095">
        <f>IF(OR($N$1="",对接源_01水果!$C1095="",对接源_01水果!$C1095&lt;&gt;$N$1,对接源_01水果!$B1095=""),0,IF(OR(N(对接源_01水果!$B1095)&lt;$N$2,N(对接源_01水果!$B1095)&gt;$N$3),0,1))</f>
        <v>0</v>
      </c>
      <c r="P1095">
        <f>IF(AND($K1095=1,AND(对接源_01水果!$X1095="公司筐",N(对接源_01水果!$T1095)&lt;&gt;0)),1,0)</f>
        <v>0</v>
      </c>
      <c r="Q1095">
        <f>N(Q1094)+$P1095</f>
        <v>0</v>
      </c>
      <c r="R1095">
        <f>IF(AND($K1095=1,AND(对接源_01水果!$X1095="公司筐",N(对接源_01水果!$U1095)&lt;&gt;0)),1,0)</f>
        <v>0</v>
      </c>
      <c r="S1095">
        <f>N(S1094)+$R1095</f>
        <v>0</v>
      </c>
      <c r="T1095">
        <f>IF(AND($K1095=1,AND(对接源_01水果!$X1095="公司筐",N(对接源_01水果!$V1095)&lt;&gt;0)),1,0)</f>
        <v>0</v>
      </c>
      <c r="U1095">
        <f>N(U1094)+$T1095</f>
        <v>47</v>
      </c>
      <c r="V1095">
        <f>IF(AND($L1095=1,AND(对接源_01水果!$X1095="自备筐",N(对接源_01水果!$V1095)&lt;&gt;0)),1,0)</f>
        <v>0</v>
      </c>
      <c r="W1095">
        <f>N(W1094)+$V1095</f>
        <v>11</v>
      </c>
      <c r="X1095">
        <f>IF(AND($L1095=1,AND(对接源_01水果!$X1095="自备筐",N(对接源_01水果!$T1095)&lt;&gt;0)),1,0)</f>
        <v>0</v>
      </c>
      <c r="Y1095">
        <f>N(Y1094)+$X1095</f>
        <v>0</v>
      </c>
      <c r="Z1095">
        <f>IF(AND($M1095=1,对接源_01水果!$D1095="原料入库"),1,0)</f>
        <v>0</v>
      </c>
      <c r="AA1095">
        <f>N(AA1094)+$Z1095</f>
        <v>24</v>
      </c>
      <c r="AB1095">
        <f>IF(AND($M1095=1,LEFT(对接源_01水果!$D1095,4)="原料出库"),1,0)</f>
        <v>0</v>
      </c>
      <c r="AC1095">
        <f>N(AC1094)+$AB1095</f>
        <v>0</v>
      </c>
      <c r="AD1095">
        <f>IF(AND($M1095=1,LEFT(对接源_01水果!$D1095,4)="成品出库"),1,0)</f>
        <v>0</v>
      </c>
      <c r="AE1095">
        <f>N(AE1094)+$AD1095</f>
        <v>0</v>
      </c>
      <c r="AF1095">
        <f>IF(AND($N1095=1,AND(LEFT(对接源_01水果!$D1095,4)="包装物料",N(对接源_01水果!$K1095)&lt;&gt;0)),1,0)</f>
        <v>0</v>
      </c>
      <c r="AG1095">
        <f>N(AG1094)+$AF1095</f>
        <v>0</v>
      </c>
      <c r="AH1095">
        <f>IF(AND($N1095=1,AND(对接源_01水果!$D1095="周转筐－销售出库",N(对接源_01水果!$K1095)&lt;&gt;0)),1,0)</f>
        <v>0</v>
      </c>
      <c r="AI1095">
        <f>N(AI1094)+$AH1095</f>
        <v>0</v>
      </c>
      <c r="AJ1095" s="7" t="n"/>
      <c r="AL1095">
        <f>IF(OR($AL$1="",对接源_01水果!$Y1095="",对接源_01水果!$Y1095&lt;&gt;$AL$1,对接源_01水果!$B1095="",N(对接源_01水果!$AJ1095)&lt;=0),0,IF(OR(N(对接源_01水果!$B1095)&lt;$AL$2,N(对接源_01水果!$B1095)&gt;$AL$3),0,1))</f>
        <v>0</v>
      </c>
      <c r="AM1095">
        <f>N(AM1094)+$AL1095</f>
        <v>2</v>
      </c>
      <c r="AN1095">
        <f>IF(对接源_01水果!$AC1095="","",对接源_01水果!$AC1095)</f>
      </c>
      <c r="AO1095">
        <f>IF(AN1095="",0,IF(MATCH(AN1095,$AN$4:$AN$1203,0)=ROW()-3,1,0))</f>
        <v>0</v>
      </c>
      <c r="AP1095">
        <f>N(AP1094)+$AO1095</f>
        <v>13</v>
      </c>
      <c r="AR1095">
        <f>IF(OR($AF1095=1,$AH1095=1),1,0)</f>
        <v>0</v>
      </c>
      <c r="AS1095">
        <f>N(AS1094)+$AR1095</f>
        <v>0</v>
      </c>
    </row>
    <row r="1096" ht="14.25" customHeight="1" s="127">
      <c r="A1096">
        <f>IF(对接源_01水果!$C1096="","",对接源_01水果!$C1096)</f>
      </c>
      <c r="B1096">
        <f>IF(A1096="",0,IF(MATCH(A1096,$A$4:$A$2403,0)=ROW()-3,1,0))</f>
        <v>0</v>
      </c>
      <c r="C1096">
        <f>N(C1095)+B1096</f>
        <v>22</v>
      </c>
      <c r="K1096">
        <f>IF(OR($K$1="",对接源_01水果!$C1096="",对接源_01水果!$C1096&lt;&gt;$K$1,对接源_01水果!$B1096=""),0,IF(OR(N(对接源_01水果!$B1096)&lt;$K$2,N(对接源_01水果!$B1096)&gt;$K$3),0,1))</f>
        <v>0</v>
      </c>
      <c r="L1096">
        <f>IF(OR($L$1="",对接源_01水果!$C1096="",对接源_01水果!$C1096&lt;&gt;$L$1,对接源_01水果!$B1096=""),0,IF(OR(N(对接源_01水果!$B1096)&lt;$L$2,N(对接源_01水果!$B1096)&gt;$L$3),0,1))</f>
        <v>0</v>
      </c>
      <c r="M1096">
        <f>IF(OR($M$1="",对接源_01水果!$C1096="",对接源_01水果!$C1096&lt;&gt;$M$1,对接源_01水果!$B1096=""),0,IF(OR(N(对接源_01水果!$B1096)&lt;$M$2,N(对接源_01水果!$B1096)&gt;$M$3),0,1))</f>
        <v>0</v>
      </c>
      <c r="N1096">
        <f>IF(OR($N$1="",对接源_01水果!$C1096="",对接源_01水果!$C1096&lt;&gt;$N$1,对接源_01水果!$B1096=""),0,IF(OR(N(对接源_01水果!$B1096)&lt;$N$2,N(对接源_01水果!$B1096)&gt;$N$3),0,1))</f>
        <v>0</v>
      </c>
      <c r="P1096">
        <f>IF(AND($K1096=1,AND(对接源_01水果!$X1096="公司筐",N(对接源_01水果!$T1096)&lt;&gt;0)),1,0)</f>
        <v>0</v>
      </c>
      <c r="Q1096">
        <f>N(Q1095)+$P1096</f>
        <v>0</v>
      </c>
      <c r="R1096">
        <f>IF(AND($K1096=1,AND(对接源_01水果!$X1096="公司筐",N(对接源_01水果!$U1096)&lt;&gt;0)),1,0)</f>
        <v>0</v>
      </c>
      <c r="S1096">
        <f>N(S1095)+$R1096</f>
        <v>0</v>
      </c>
      <c r="T1096">
        <f>IF(AND($K1096=1,AND(对接源_01水果!$X1096="公司筐",N(对接源_01水果!$V1096)&lt;&gt;0)),1,0)</f>
        <v>0</v>
      </c>
      <c r="U1096">
        <f>N(U1095)+$T1096</f>
        <v>47</v>
      </c>
      <c r="V1096">
        <f>IF(AND($L1096=1,AND(对接源_01水果!$X1096="自备筐",N(对接源_01水果!$V1096)&lt;&gt;0)),1,0)</f>
        <v>0</v>
      </c>
      <c r="W1096">
        <f>N(W1095)+$V1096</f>
        <v>11</v>
      </c>
      <c r="X1096">
        <f>IF(AND($L1096=1,AND(对接源_01水果!$X1096="自备筐",N(对接源_01水果!$T1096)&lt;&gt;0)),1,0)</f>
        <v>0</v>
      </c>
      <c r="Y1096">
        <f>N(Y1095)+$X1096</f>
        <v>0</v>
      </c>
      <c r="Z1096">
        <f>IF(AND($M1096=1,对接源_01水果!$D1096="原料入库"),1,0)</f>
        <v>0</v>
      </c>
      <c r="AA1096">
        <f>N(AA1095)+$Z1096</f>
        <v>24</v>
      </c>
      <c r="AB1096">
        <f>IF(AND($M1096=1,LEFT(对接源_01水果!$D1096,4)="原料出库"),1,0)</f>
        <v>0</v>
      </c>
      <c r="AC1096">
        <f>N(AC1095)+$AB1096</f>
        <v>0</v>
      </c>
      <c r="AD1096">
        <f>IF(AND($M1096=1,LEFT(对接源_01水果!$D1096,4)="成品出库"),1,0)</f>
        <v>0</v>
      </c>
      <c r="AE1096">
        <f>N(AE1095)+$AD1096</f>
        <v>0</v>
      </c>
      <c r="AF1096">
        <f>IF(AND($N1096=1,AND(LEFT(对接源_01水果!$D1096,4)="包装物料",N(对接源_01水果!$K1096)&lt;&gt;0)),1,0)</f>
        <v>0</v>
      </c>
      <c r="AG1096">
        <f>N(AG1095)+$AF1096</f>
        <v>0</v>
      </c>
      <c r="AH1096">
        <f>IF(AND($N1096=1,AND(对接源_01水果!$D1096="周转筐－销售出库",N(对接源_01水果!$K1096)&lt;&gt;0)),1,0)</f>
        <v>0</v>
      </c>
      <c r="AI1096">
        <f>N(AI1095)+$AH1096</f>
        <v>0</v>
      </c>
      <c r="AJ1096" s="7" t="n"/>
      <c r="AL1096">
        <f>IF(OR($AL$1="",对接源_01水果!$Y1096="",对接源_01水果!$Y1096&lt;&gt;$AL$1,对接源_01水果!$B1096="",N(对接源_01水果!$AJ1096)&lt;=0),0,IF(OR(N(对接源_01水果!$B1096)&lt;$AL$2,N(对接源_01水果!$B1096)&gt;$AL$3),0,1))</f>
        <v>0</v>
      </c>
      <c r="AM1096">
        <f>N(AM1095)+$AL1096</f>
        <v>2</v>
      </c>
      <c r="AN1096">
        <f>IF(对接源_01水果!$AC1096="","",对接源_01水果!$AC1096)</f>
      </c>
      <c r="AO1096">
        <f>IF(AN1096="",0,IF(MATCH(AN1096,$AN$4:$AN$1203,0)=ROW()-3,1,0))</f>
        <v>0</v>
      </c>
      <c r="AP1096">
        <f>N(AP1095)+$AO1096</f>
        <v>13</v>
      </c>
      <c r="AR1096">
        <f>IF(OR($AF1096=1,$AH1096=1),1,0)</f>
        <v>0</v>
      </c>
      <c r="AS1096">
        <f>N(AS1095)+$AR1096</f>
        <v>0</v>
      </c>
    </row>
    <row r="1097" ht="14.25" customHeight="1" s="127">
      <c r="A1097">
        <f>IF(对接源_01水果!$C1097="","",对接源_01水果!$C1097)</f>
      </c>
      <c r="B1097">
        <f>IF(A1097="",0,IF(MATCH(A1097,$A$4:$A$2403,0)=ROW()-3,1,0))</f>
        <v>0</v>
      </c>
      <c r="C1097">
        <f>N(C1096)+B1097</f>
        <v>22</v>
      </c>
      <c r="K1097">
        <f>IF(OR($K$1="",对接源_01水果!$C1097="",对接源_01水果!$C1097&lt;&gt;$K$1,对接源_01水果!$B1097=""),0,IF(OR(N(对接源_01水果!$B1097)&lt;$K$2,N(对接源_01水果!$B1097)&gt;$K$3),0,1))</f>
        <v>0</v>
      </c>
      <c r="L1097">
        <f>IF(OR($L$1="",对接源_01水果!$C1097="",对接源_01水果!$C1097&lt;&gt;$L$1,对接源_01水果!$B1097=""),0,IF(OR(N(对接源_01水果!$B1097)&lt;$L$2,N(对接源_01水果!$B1097)&gt;$L$3),0,1))</f>
        <v>0</v>
      </c>
      <c r="M1097">
        <f>IF(OR($M$1="",对接源_01水果!$C1097="",对接源_01水果!$C1097&lt;&gt;$M$1,对接源_01水果!$B1097=""),0,IF(OR(N(对接源_01水果!$B1097)&lt;$M$2,N(对接源_01水果!$B1097)&gt;$M$3),0,1))</f>
        <v>0</v>
      </c>
      <c r="N1097">
        <f>IF(OR($N$1="",对接源_01水果!$C1097="",对接源_01水果!$C1097&lt;&gt;$N$1,对接源_01水果!$B1097=""),0,IF(OR(N(对接源_01水果!$B1097)&lt;$N$2,N(对接源_01水果!$B1097)&gt;$N$3),0,1))</f>
        <v>0</v>
      </c>
      <c r="P1097">
        <f>IF(AND($K1097=1,AND(对接源_01水果!$X1097="公司筐",N(对接源_01水果!$T1097)&lt;&gt;0)),1,0)</f>
        <v>0</v>
      </c>
      <c r="Q1097">
        <f>N(Q1096)+$P1097</f>
        <v>0</v>
      </c>
      <c r="R1097">
        <f>IF(AND($K1097=1,AND(对接源_01水果!$X1097="公司筐",N(对接源_01水果!$U1097)&lt;&gt;0)),1,0)</f>
        <v>0</v>
      </c>
      <c r="S1097">
        <f>N(S1096)+$R1097</f>
        <v>0</v>
      </c>
      <c r="T1097">
        <f>IF(AND($K1097=1,AND(对接源_01水果!$X1097="公司筐",N(对接源_01水果!$V1097)&lt;&gt;0)),1,0)</f>
        <v>0</v>
      </c>
      <c r="U1097">
        <f>N(U1096)+$T1097</f>
        <v>47</v>
      </c>
      <c r="V1097">
        <f>IF(AND($L1097=1,AND(对接源_01水果!$X1097="自备筐",N(对接源_01水果!$V1097)&lt;&gt;0)),1,0)</f>
        <v>0</v>
      </c>
      <c r="W1097">
        <f>N(W1096)+$V1097</f>
        <v>11</v>
      </c>
      <c r="X1097">
        <f>IF(AND($L1097=1,AND(对接源_01水果!$X1097="自备筐",N(对接源_01水果!$T1097)&lt;&gt;0)),1,0)</f>
        <v>0</v>
      </c>
      <c r="Y1097">
        <f>N(Y1096)+$X1097</f>
        <v>0</v>
      </c>
      <c r="Z1097">
        <f>IF(AND($M1097=1,对接源_01水果!$D1097="原料入库"),1,0)</f>
        <v>0</v>
      </c>
      <c r="AA1097">
        <f>N(AA1096)+$Z1097</f>
        <v>24</v>
      </c>
      <c r="AB1097">
        <f>IF(AND($M1097=1,LEFT(对接源_01水果!$D1097,4)="原料出库"),1,0)</f>
        <v>0</v>
      </c>
      <c r="AC1097">
        <f>N(AC1096)+$AB1097</f>
        <v>0</v>
      </c>
      <c r="AD1097">
        <f>IF(AND($M1097=1,LEFT(对接源_01水果!$D1097,4)="成品出库"),1,0)</f>
        <v>0</v>
      </c>
      <c r="AE1097">
        <f>N(AE1096)+$AD1097</f>
        <v>0</v>
      </c>
      <c r="AF1097">
        <f>IF(AND($N1097=1,AND(LEFT(对接源_01水果!$D1097,4)="包装物料",N(对接源_01水果!$K1097)&lt;&gt;0)),1,0)</f>
        <v>0</v>
      </c>
      <c r="AG1097">
        <f>N(AG1096)+$AF1097</f>
        <v>0</v>
      </c>
      <c r="AH1097">
        <f>IF(AND($N1097=1,AND(对接源_01水果!$D1097="周转筐－销售出库",N(对接源_01水果!$K1097)&lt;&gt;0)),1,0)</f>
        <v>0</v>
      </c>
      <c r="AI1097">
        <f>N(AI1096)+$AH1097</f>
        <v>0</v>
      </c>
      <c r="AJ1097" s="7" t="n"/>
      <c r="AL1097">
        <f>IF(OR($AL$1="",对接源_01水果!$Y1097="",对接源_01水果!$Y1097&lt;&gt;$AL$1,对接源_01水果!$B1097="",N(对接源_01水果!$AJ1097)&lt;=0),0,IF(OR(N(对接源_01水果!$B1097)&lt;$AL$2,N(对接源_01水果!$B1097)&gt;$AL$3),0,1))</f>
        <v>0</v>
      </c>
      <c r="AM1097">
        <f>N(AM1096)+$AL1097</f>
        <v>2</v>
      </c>
      <c r="AN1097">
        <f>IF(对接源_01水果!$AC1097="","",对接源_01水果!$AC1097)</f>
      </c>
      <c r="AO1097">
        <f>IF(AN1097="",0,IF(MATCH(AN1097,$AN$4:$AN$1203,0)=ROW()-3,1,0))</f>
        <v>0</v>
      </c>
      <c r="AP1097">
        <f>N(AP1096)+$AO1097</f>
        <v>13</v>
      </c>
      <c r="AR1097">
        <f>IF(OR($AF1097=1,$AH1097=1),1,0)</f>
        <v>0</v>
      </c>
      <c r="AS1097">
        <f>N(AS1096)+$AR1097</f>
        <v>0</v>
      </c>
    </row>
    <row r="1098" ht="14.25" customHeight="1" s="127">
      <c r="A1098">
        <f>IF(对接源_01水果!$C1098="","",对接源_01水果!$C1098)</f>
      </c>
      <c r="B1098">
        <f>IF(A1098="",0,IF(MATCH(A1098,$A$4:$A$2403,0)=ROW()-3,1,0))</f>
        <v>0</v>
      </c>
      <c r="C1098">
        <f>N(C1097)+B1098</f>
        <v>22</v>
      </c>
      <c r="K1098">
        <f>IF(OR($K$1="",对接源_01水果!$C1098="",对接源_01水果!$C1098&lt;&gt;$K$1,对接源_01水果!$B1098=""),0,IF(OR(N(对接源_01水果!$B1098)&lt;$K$2,N(对接源_01水果!$B1098)&gt;$K$3),0,1))</f>
        <v>0</v>
      </c>
      <c r="L1098">
        <f>IF(OR($L$1="",对接源_01水果!$C1098="",对接源_01水果!$C1098&lt;&gt;$L$1,对接源_01水果!$B1098=""),0,IF(OR(N(对接源_01水果!$B1098)&lt;$L$2,N(对接源_01水果!$B1098)&gt;$L$3),0,1))</f>
        <v>0</v>
      </c>
      <c r="M1098">
        <f>IF(OR($M$1="",对接源_01水果!$C1098="",对接源_01水果!$C1098&lt;&gt;$M$1,对接源_01水果!$B1098=""),0,IF(OR(N(对接源_01水果!$B1098)&lt;$M$2,N(对接源_01水果!$B1098)&gt;$M$3),0,1))</f>
        <v>0</v>
      </c>
      <c r="N1098">
        <f>IF(OR($N$1="",对接源_01水果!$C1098="",对接源_01水果!$C1098&lt;&gt;$N$1,对接源_01水果!$B1098=""),0,IF(OR(N(对接源_01水果!$B1098)&lt;$N$2,N(对接源_01水果!$B1098)&gt;$N$3),0,1))</f>
        <v>0</v>
      </c>
      <c r="P1098">
        <f>IF(AND($K1098=1,AND(对接源_01水果!$X1098="公司筐",N(对接源_01水果!$T1098)&lt;&gt;0)),1,0)</f>
        <v>0</v>
      </c>
      <c r="Q1098">
        <f>N(Q1097)+$P1098</f>
        <v>0</v>
      </c>
      <c r="R1098">
        <f>IF(AND($K1098=1,AND(对接源_01水果!$X1098="公司筐",N(对接源_01水果!$U1098)&lt;&gt;0)),1,0)</f>
        <v>0</v>
      </c>
      <c r="S1098">
        <f>N(S1097)+$R1098</f>
        <v>0</v>
      </c>
      <c r="T1098">
        <f>IF(AND($K1098=1,AND(对接源_01水果!$X1098="公司筐",N(对接源_01水果!$V1098)&lt;&gt;0)),1,0)</f>
        <v>0</v>
      </c>
      <c r="U1098">
        <f>N(U1097)+$T1098</f>
        <v>47</v>
      </c>
      <c r="V1098">
        <f>IF(AND($L1098=1,AND(对接源_01水果!$X1098="自备筐",N(对接源_01水果!$V1098)&lt;&gt;0)),1,0)</f>
        <v>0</v>
      </c>
      <c r="W1098">
        <f>N(W1097)+$V1098</f>
        <v>11</v>
      </c>
      <c r="X1098">
        <f>IF(AND($L1098=1,AND(对接源_01水果!$X1098="自备筐",N(对接源_01水果!$T1098)&lt;&gt;0)),1,0)</f>
        <v>0</v>
      </c>
      <c r="Y1098">
        <f>N(Y1097)+$X1098</f>
        <v>0</v>
      </c>
      <c r="Z1098">
        <f>IF(AND($M1098=1,对接源_01水果!$D1098="原料入库"),1,0)</f>
        <v>0</v>
      </c>
      <c r="AA1098">
        <f>N(AA1097)+$Z1098</f>
        <v>24</v>
      </c>
      <c r="AB1098">
        <f>IF(AND($M1098=1,LEFT(对接源_01水果!$D1098,4)="原料出库"),1,0)</f>
        <v>0</v>
      </c>
      <c r="AC1098">
        <f>N(AC1097)+$AB1098</f>
        <v>0</v>
      </c>
      <c r="AD1098">
        <f>IF(AND($M1098=1,LEFT(对接源_01水果!$D1098,4)="成品出库"),1,0)</f>
        <v>0</v>
      </c>
      <c r="AE1098">
        <f>N(AE1097)+$AD1098</f>
        <v>0</v>
      </c>
      <c r="AF1098">
        <f>IF(AND($N1098=1,AND(LEFT(对接源_01水果!$D1098,4)="包装物料",N(对接源_01水果!$K1098)&lt;&gt;0)),1,0)</f>
        <v>0</v>
      </c>
      <c r="AG1098">
        <f>N(AG1097)+$AF1098</f>
        <v>0</v>
      </c>
      <c r="AH1098">
        <f>IF(AND($N1098=1,AND(对接源_01水果!$D1098="周转筐－销售出库",N(对接源_01水果!$K1098)&lt;&gt;0)),1,0)</f>
        <v>0</v>
      </c>
      <c r="AI1098">
        <f>N(AI1097)+$AH1098</f>
        <v>0</v>
      </c>
      <c r="AJ1098" s="7" t="n"/>
      <c r="AL1098">
        <f>IF(OR($AL$1="",对接源_01水果!$Y1098="",对接源_01水果!$Y1098&lt;&gt;$AL$1,对接源_01水果!$B1098="",N(对接源_01水果!$AJ1098)&lt;=0),0,IF(OR(N(对接源_01水果!$B1098)&lt;$AL$2,N(对接源_01水果!$B1098)&gt;$AL$3),0,1))</f>
        <v>0</v>
      </c>
      <c r="AM1098">
        <f>N(AM1097)+$AL1098</f>
        <v>2</v>
      </c>
      <c r="AN1098">
        <f>IF(对接源_01水果!$AC1098="","",对接源_01水果!$AC1098)</f>
      </c>
      <c r="AO1098">
        <f>IF(AN1098="",0,IF(MATCH(AN1098,$AN$4:$AN$1203,0)=ROW()-3,1,0))</f>
        <v>0</v>
      </c>
      <c r="AP1098">
        <f>N(AP1097)+$AO1098</f>
        <v>13</v>
      </c>
      <c r="AR1098">
        <f>IF(OR($AF1098=1,$AH1098=1),1,0)</f>
        <v>0</v>
      </c>
      <c r="AS1098">
        <f>N(AS1097)+$AR1098</f>
        <v>0</v>
      </c>
    </row>
    <row r="1099" ht="14.25" customHeight="1" s="127">
      <c r="A1099">
        <f>IF(对接源_01水果!$C1099="","",对接源_01水果!$C1099)</f>
      </c>
      <c r="B1099">
        <f>IF(A1099="",0,IF(MATCH(A1099,$A$4:$A$2403,0)=ROW()-3,1,0))</f>
        <v>0</v>
      </c>
      <c r="C1099">
        <f>N(C1098)+B1099</f>
        <v>22</v>
      </c>
      <c r="K1099">
        <f>IF(OR($K$1="",对接源_01水果!$C1099="",对接源_01水果!$C1099&lt;&gt;$K$1,对接源_01水果!$B1099=""),0,IF(OR(N(对接源_01水果!$B1099)&lt;$K$2,N(对接源_01水果!$B1099)&gt;$K$3),0,1))</f>
        <v>0</v>
      </c>
      <c r="L1099">
        <f>IF(OR($L$1="",对接源_01水果!$C1099="",对接源_01水果!$C1099&lt;&gt;$L$1,对接源_01水果!$B1099=""),0,IF(OR(N(对接源_01水果!$B1099)&lt;$L$2,N(对接源_01水果!$B1099)&gt;$L$3),0,1))</f>
        <v>0</v>
      </c>
      <c r="M1099">
        <f>IF(OR($M$1="",对接源_01水果!$C1099="",对接源_01水果!$C1099&lt;&gt;$M$1,对接源_01水果!$B1099=""),0,IF(OR(N(对接源_01水果!$B1099)&lt;$M$2,N(对接源_01水果!$B1099)&gt;$M$3),0,1))</f>
        <v>0</v>
      </c>
      <c r="N1099">
        <f>IF(OR($N$1="",对接源_01水果!$C1099="",对接源_01水果!$C1099&lt;&gt;$N$1,对接源_01水果!$B1099=""),0,IF(OR(N(对接源_01水果!$B1099)&lt;$N$2,N(对接源_01水果!$B1099)&gt;$N$3),0,1))</f>
        <v>0</v>
      </c>
      <c r="P1099">
        <f>IF(AND($K1099=1,AND(对接源_01水果!$X1099="公司筐",N(对接源_01水果!$T1099)&lt;&gt;0)),1,0)</f>
        <v>0</v>
      </c>
      <c r="Q1099">
        <f>N(Q1098)+$P1099</f>
        <v>0</v>
      </c>
      <c r="R1099">
        <f>IF(AND($K1099=1,AND(对接源_01水果!$X1099="公司筐",N(对接源_01水果!$U1099)&lt;&gt;0)),1,0)</f>
        <v>0</v>
      </c>
      <c r="S1099">
        <f>N(S1098)+$R1099</f>
        <v>0</v>
      </c>
      <c r="T1099">
        <f>IF(AND($K1099=1,AND(对接源_01水果!$X1099="公司筐",N(对接源_01水果!$V1099)&lt;&gt;0)),1,0)</f>
        <v>0</v>
      </c>
      <c r="U1099">
        <f>N(U1098)+$T1099</f>
        <v>47</v>
      </c>
      <c r="V1099">
        <f>IF(AND($L1099=1,AND(对接源_01水果!$X1099="自备筐",N(对接源_01水果!$V1099)&lt;&gt;0)),1,0)</f>
        <v>0</v>
      </c>
      <c r="W1099">
        <f>N(W1098)+$V1099</f>
        <v>11</v>
      </c>
      <c r="X1099">
        <f>IF(AND($L1099=1,AND(对接源_01水果!$X1099="自备筐",N(对接源_01水果!$T1099)&lt;&gt;0)),1,0)</f>
        <v>0</v>
      </c>
      <c r="Y1099">
        <f>N(Y1098)+$X1099</f>
        <v>0</v>
      </c>
      <c r="Z1099">
        <f>IF(AND($M1099=1,对接源_01水果!$D1099="原料入库"),1,0)</f>
        <v>0</v>
      </c>
      <c r="AA1099">
        <f>N(AA1098)+$Z1099</f>
        <v>24</v>
      </c>
      <c r="AB1099">
        <f>IF(AND($M1099=1,LEFT(对接源_01水果!$D1099,4)="原料出库"),1,0)</f>
        <v>0</v>
      </c>
      <c r="AC1099">
        <f>N(AC1098)+$AB1099</f>
        <v>0</v>
      </c>
      <c r="AD1099">
        <f>IF(AND($M1099=1,LEFT(对接源_01水果!$D1099,4)="成品出库"),1,0)</f>
        <v>0</v>
      </c>
      <c r="AE1099">
        <f>N(AE1098)+$AD1099</f>
        <v>0</v>
      </c>
      <c r="AF1099">
        <f>IF(AND($N1099=1,AND(LEFT(对接源_01水果!$D1099,4)="包装物料",N(对接源_01水果!$K1099)&lt;&gt;0)),1,0)</f>
        <v>0</v>
      </c>
      <c r="AG1099">
        <f>N(AG1098)+$AF1099</f>
        <v>0</v>
      </c>
      <c r="AH1099">
        <f>IF(AND($N1099=1,AND(对接源_01水果!$D1099="周转筐－销售出库",N(对接源_01水果!$K1099)&lt;&gt;0)),1,0)</f>
        <v>0</v>
      </c>
      <c r="AI1099">
        <f>N(AI1098)+$AH1099</f>
        <v>0</v>
      </c>
      <c r="AJ1099" s="7" t="n"/>
      <c r="AL1099">
        <f>IF(OR($AL$1="",对接源_01水果!$Y1099="",对接源_01水果!$Y1099&lt;&gt;$AL$1,对接源_01水果!$B1099="",N(对接源_01水果!$AJ1099)&lt;=0),0,IF(OR(N(对接源_01水果!$B1099)&lt;$AL$2,N(对接源_01水果!$B1099)&gt;$AL$3),0,1))</f>
        <v>0</v>
      </c>
      <c r="AM1099">
        <f>N(AM1098)+$AL1099</f>
        <v>2</v>
      </c>
      <c r="AN1099">
        <f>IF(对接源_01水果!$AC1099="","",对接源_01水果!$AC1099)</f>
      </c>
      <c r="AO1099">
        <f>IF(AN1099="",0,IF(MATCH(AN1099,$AN$4:$AN$1203,0)=ROW()-3,1,0))</f>
        <v>0</v>
      </c>
      <c r="AP1099">
        <f>N(AP1098)+$AO1099</f>
        <v>13</v>
      </c>
      <c r="AR1099">
        <f>IF(OR($AF1099=1,$AH1099=1),1,0)</f>
        <v>0</v>
      </c>
      <c r="AS1099">
        <f>N(AS1098)+$AR1099</f>
        <v>0</v>
      </c>
    </row>
    <row r="1100" ht="14.25" customHeight="1" s="127">
      <c r="A1100">
        <f>IF(对接源_01水果!$C1100="","",对接源_01水果!$C1100)</f>
      </c>
      <c r="B1100">
        <f>IF(A1100="",0,IF(MATCH(A1100,$A$4:$A$2403,0)=ROW()-3,1,0))</f>
        <v>0</v>
      </c>
      <c r="C1100">
        <f>N(C1099)+B1100</f>
        <v>22</v>
      </c>
      <c r="K1100">
        <f>IF(OR($K$1="",对接源_01水果!$C1100="",对接源_01水果!$C1100&lt;&gt;$K$1,对接源_01水果!$B1100=""),0,IF(OR(N(对接源_01水果!$B1100)&lt;$K$2,N(对接源_01水果!$B1100)&gt;$K$3),0,1))</f>
        <v>0</v>
      </c>
      <c r="L1100">
        <f>IF(OR($L$1="",对接源_01水果!$C1100="",对接源_01水果!$C1100&lt;&gt;$L$1,对接源_01水果!$B1100=""),0,IF(OR(N(对接源_01水果!$B1100)&lt;$L$2,N(对接源_01水果!$B1100)&gt;$L$3),0,1))</f>
        <v>0</v>
      </c>
      <c r="M1100">
        <f>IF(OR($M$1="",对接源_01水果!$C1100="",对接源_01水果!$C1100&lt;&gt;$M$1,对接源_01水果!$B1100=""),0,IF(OR(N(对接源_01水果!$B1100)&lt;$M$2,N(对接源_01水果!$B1100)&gt;$M$3),0,1))</f>
        <v>0</v>
      </c>
      <c r="N1100">
        <f>IF(OR($N$1="",对接源_01水果!$C1100="",对接源_01水果!$C1100&lt;&gt;$N$1,对接源_01水果!$B1100=""),0,IF(OR(N(对接源_01水果!$B1100)&lt;$N$2,N(对接源_01水果!$B1100)&gt;$N$3),0,1))</f>
        <v>0</v>
      </c>
      <c r="P1100">
        <f>IF(AND($K1100=1,AND(对接源_01水果!$X1100="公司筐",N(对接源_01水果!$T1100)&lt;&gt;0)),1,0)</f>
        <v>0</v>
      </c>
      <c r="Q1100">
        <f>N(Q1099)+$P1100</f>
        <v>0</v>
      </c>
      <c r="R1100">
        <f>IF(AND($K1100=1,AND(对接源_01水果!$X1100="公司筐",N(对接源_01水果!$U1100)&lt;&gt;0)),1,0)</f>
        <v>0</v>
      </c>
      <c r="S1100">
        <f>N(S1099)+$R1100</f>
        <v>0</v>
      </c>
      <c r="T1100">
        <f>IF(AND($K1100=1,AND(对接源_01水果!$X1100="公司筐",N(对接源_01水果!$V1100)&lt;&gt;0)),1,0)</f>
        <v>0</v>
      </c>
      <c r="U1100">
        <f>N(U1099)+$T1100</f>
        <v>47</v>
      </c>
      <c r="V1100">
        <f>IF(AND($L1100=1,AND(对接源_01水果!$X1100="自备筐",N(对接源_01水果!$V1100)&lt;&gt;0)),1,0)</f>
        <v>0</v>
      </c>
      <c r="W1100">
        <f>N(W1099)+$V1100</f>
        <v>11</v>
      </c>
      <c r="X1100">
        <f>IF(AND($L1100=1,AND(对接源_01水果!$X1100="自备筐",N(对接源_01水果!$T1100)&lt;&gt;0)),1,0)</f>
        <v>0</v>
      </c>
      <c r="Y1100">
        <f>N(Y1099)+$X1100</f>
        <v>0</v>
      </c>
      <c r="Z1100">
        <f>IF(AND($M1100=1,对接源_01水果!$D1100="原料入库"),1,0)</f>
        <v>0</v>
      </c>
      <c r="AA1100">
        <f>N(AA1099)+$Z1100</f>
        <v>24</v>
      </c>
      <c r="AB1100">
        <f>IF(AND($M1100=1,LEFT(对接源_01水果!$D1100,4)="原料出库"),1,0)</f>
        <v>0</v>
      </c>
      <c r="AC1100">
        <f>N(AC1099)+$AB1100</f>
        <v>0</v>
      </c>
      <c r="AD1100">
        <f>IF(AND($M1100=1,LEFT(对接源_01水果!$D1100,4)="成品出库"),1,0)</f>
        <v>0</v>
      </c>
      <c r="AE1100">
        <f>N(AE1099)+$AD1100</f>
        <v>0</v>
      </c>
      <c r="AF1100">
        <f>IF(AND($N1100=1,AND(LEFT(对接源_01水果!$D1100,4)="包装物料",N(对接源_01水果!$K1100)&lt;&gt;0)),1,0)</f>
        <v>0</v>
      </c>
      <c r="AG1100">
        <f>N(AG1099)+$AF1100</f>
        <v>0</v>
      </c>
      <c r="AH1100">
        <f>IF(AND($N1100=1,AND(对接源_01水果!$D1100="周转筐－销售出库",N(对接源_01水果!$K1100)&lt;&gt;0)),1,0)</f>
        <v>0</v>
      </c>
      <c r="AI1100">
        <f>N(AI1099)+$AH1100</f>
        <v>0</v>
      </c>
      <c r="AJ1100" s="7" t="n"/>
      <c r="AL1100">
        <f>IF(OR($AL$1="",对接源_01水果!$Y1100="",对接源_01水果!$Y1100&lt;&gt;$AL$1,对接源_01水果!$B1100="",N(对接源_01水果!$AJ1100)&lt;=0),0,IF(OR(N(对接源_01水果!$B1100)&lt;$AL$2,N(对接源_01水果!$B1100)&gt;$AL$3),0,1))</f>
        <v>0</v>
      </c>
      <c r="AM1100">
        <f>N(AM1099)+$AL1100</f>
        <v>2</v>
      </c>
      <c r="AN1100">
        <f>IF(对接源_01水果!$AC1100="","",对接源_01水果!$AC1100)</f>
      </c>
      <c r="AO1100">
        <f>IF(AN1100="",0,IF(MATCH(AN1100,$AN$4:$AN$1203,0)=ROW()-3,1,0))</f>
        <v>0</v>
      </c>
      <c r="AP1100">
        <f>N(AP1099)+$AO1100</f>
        <v>13</v>
      </c>
      <c r="AR1100">
        <f>IF(OR($AF1100=1,$AH1100=1),1,0)</f>
        <v>0</v>
      </c>
      <c r="AS1100">
        <f>N(AS1099)+$AR1100</f>
        <v>0</v>
      </c>
    </row>
    <row r="1101" ht="14.25" customHeight="1" s="127">
      <c r="A1101">
        <f>IF(对接源_01水果!$C1101="","",对接源_01水果!$C1101)</f>
      </c>
      <c r="B1101">
        <f>IF(A1101="",0,IF(MATCH(A1101,$A$4:$A$2403,0)=ROW()-3,1,0))</f>
        <v>0</v>
      </c>
      <c r="C1101">
        <f>N(C1100)+B1101</f>
        <v>22</v>
      </c>
      <c r="K1101">
        <f>IF(OR($K$1="",对接源_01水果!$C1101="",对接源_01水果!$C1101&lt;&gt;$K$1,对接源_01水果!$B1101=""),0,IF(OR(N(对接源_01水果!$B1101)&lt;$K$2,N(对接源_01水果!$B1101)&gt;$K$3),0,1))</f>
        <v>0</v>
      </c>
      <c r="L1101">
        <f>IF(OR($L$1="",对接源_01水果!$C1101="",对接源_01水果!$C1101&lt;&gt;$L$1,对接源_01水果!$B1101=""),0,IF(OR(N(对接源_01水果!$B1101)&lt;$L$2,N(对接源_01水果!$B1101)&gt;$L$3),0,1))</f>
        <v>0</v>
      </c>
      <c r="M1101">
        <f>IF(OR($M$1="",对接源_01水果!$C1101="",对接源_01水果!$C1101&lt;&gt;$M$1,对接源_01水果!$B1101=""),0,IF(OR(N(对接源_01水果!$B1101)&lt;$M$2,N(对接源_01水果!$B1101)&gt;$M$3),0,1))</f>
        <v>0</v>
      </c>
      <c r="N1101">
        <f>IF(OR($N$1="",对接源_01水果!$C1101="",对接源_01水果!$C1101&lt;&gt;$N$1,对接源_01水果!$B1101=""),0,IF(OR(N(对接源_01水果!$B1101)&lt;$N$2,N(对接源_01水果!$B1101)&gt;$N$3),0,1))</f>
        <v>0</v>
      </c>
      <c r="P1101">
        <f>IF(AND($K1101=1,AND(对接源_01水果!$X1101="公司筐",N(对接源_01水果!$T1101)&lt;&gt;0)),1,0)</f>
        <v>0</v>
      </c>
      <c r="Q1101">
        <f>N(Q1100)+$P1101</f>
        <v>0</v>
      </c>
      <c r="R1101">
        <f>IF(AND($K1101=1,AND(对接源_01水果!$X1101="公司筐",N(对接源_01水果!$U1101)&lt;&gt;0)),1,0)</f>
        <v>0</v>
      </c>
      <c r="S1101">
        <f>N(S1100)+$R1101</f>
        <v>0</v>
      </c>
      <c r="T1101">
        <f>IF(AND($K1101=1,AND(对接源_01水果!$X1101="公司筐",N(对接源_01水果!$V1101)&lt;&gt;0)),1,0)</f>
        <v>0</v>
      </c>
      <c r="U1101">
        <f>N(U1100)+$T1101</f>
        <v>47</v>
      </c>
      <c r="V1101">
        <f>IF(AND($L1101=1,AND(对接源_01水果!$X1101="自备筐",N(对接源_01水果!$V1101)&lt;&gt;0)),1,0)</f>
        <v>0</v>
      </c>
      <c r="W1101">
        <f>N(W1100)+$V1101</f>
        <v>11</v>
      </c>
      <c r="X1101">
        <f>IF(AND($L1101=1,AND(对接源_01水果!$X1101="自备筐",N(对接源_01水果!$T1101)&lt;&gt;0)),1,0)</f>
        <v>0</v>
      </c>
      <c r="Y1101">
        <f>N(Y1100)+$X1101</f>
        <v>0</v>
      </c>
      <c r="Z1101">
        <f>IF(AND($M1101=1,对接源_01水果!$D1101="原料入库"),1,0)</f>
        <v>0</v>
      </c>
      <c r="AA1101">
        <f>N(AA1100)+$Z1101</f>
        <v>24</v>
      </c>
      <c r="AB1101">
        <f>IF(AND($M1101=1,LEFT(对接源_01水果!$D1101,4)="原料出库"),1,0)</f>
        <v>0</v>
      </c>
      <c r="AC1101">
        <f>N(AC1100)+$AB1101</f>
        <v>0</v>
      </c>
      <c r="AD1101">
        <f>IF(AND($M1101=1,LEFT(对接源_01水果!$D1101,4)="成品出库"),1,0)</f>
        <v>0</v>
      </c>
      <c r="AE1101">
        <f>N(AE1100)+$AD1101</f>
        <v>0</v>
      </c>
      <c r="AF1101">
        <f>IF(AND($N1101=1,AND(LEFT(对接源_01水果!$D1101,4)="包装物料",N(对接源_01水果!$K1101)&lt;&gt;0)),1,0)</f>
        <v>0</v>
      </c>
      <c r="AG1101">
        <f>N(AG1100)+$AF1101</f>
        <v>0</v>
      </c>
      <c r="AH1101">
        <f>IF(AND($N1101=1,AND(对接源_01水果!$D1101="周转筐－销售出库",N(对接源_01水果!$K1101)&lt;&gt;0)),1,0)</f>
        <v>0</v>
      </c>
      <c r="AI1101">
        <f>N(AI1100)+$AH1101</f>
        <v>0</v>
      </c>
      <c r="AJ1101" s="7" t="n"/>
      <c r="AL1101">
        <f>IF(OR($AL$1="",对接源_01水果!$Y1101="",对接源_01水果!$Y1101&lt;&gt;$AL$1,对接源_01水果!$B1101="",N(对接源_01水果!$AJ1101)&lt;=0),0,IF(OR(N(对接源_01水果!$B1101)&lt;$AL$2,N(对接源_01水果!$B1101)&gt;$AL$3),0,1))</f>
        <v>0</v>
      </c>
      <c r="AM1101">
        <f>N(AM1100)+$AL1101</f>
        <v>2</v>
      </c>
      <c r="AN1101">
        <f>IF(对接源_01水果!$AC1101="","",对接源_01水果!$AC1101)</f>
      </c>
      <c r="AO1101">
        <f>IF(AN1101="",0,IF(MATCH(AN1101,$AN$4:$AN$1203,0)=ROW()-3,1,0))</f>
        <v>0</v>
      </c>
      <c r="AP1101">
        <f>N(AP1100)+$AO1101</f>
        <v>13</v>
      </c>
      <c r="AR1101">
        <f>IF(OR($AF1101=1,$AH1101=1),1,0)</f>
        <v>0</v>
      </c>
      <c r="AS1101">
        <f>N(AS1100)+$AR1101</f>
        <v>0</v>
      </c>
    </row>
    <row r="1102" ht="14.25" customHeight="1" s="127">
      <c r="A1102">
        <f>IF(对接源_01水果!$C1102="","",对接源_01水果!$C1102)</f>
      </c>
      <c r="B1102">
        <f>IF(A1102="",0,IF(MATCH(A1102,$A$4:$A$2403,0)=ROW()-3,1,0))</f>
        <v>0</v>
      </c>
      <c r="C1102">
        <f>N(C1101)+B1102</f>
        <v>22</v>
      </c>
      <c r="K1102">
        <f>IF(OR($K$1="",对接源_01水果!$C1102="",对接源_01水果!$C1102&lt;&gt;$K$1,对接源_01水果!$B1102=""),0,IF(OR(N(对接源_01水果!$B1102)&lt;$K$2,N(对接源_01水果!$B1102)&gt;$K$3),0,1))</f>
        <v>0</v>
      </c>
      <c r="L1102">
        <f>IF(OR($L$1="",对接源_01水果!$C1102="",对接源_01水果!$C1102&lt;&gt;$L$1,对接源_01水果!$B1102=""),0,IF(OR(N(对接源_01水果!$B1102)&lt;$L$2,N(对接源_01水果!$B1102)&gt;$L$3),0,1))</f>
        <v>0</v>
      </c>
      <c r="M1102">
        <f>IF(OR($M$1="",对接源_01水果!$C1102="",对接源_01水果!$C1102&lt;&gt;$M$1,对接源_01水果!$B1102=""),0,IF(OR(N(对接源_01水果!$B1102)&lt;$M$2,N(对接源_01水果!$B1102)&gt;$M$3),0,1))</f>
        <v>0</v>
      </c>
      <c r="N1102">
        <f>IF(OR($N$1="",对接源_01水果!$C1102="",对接源_01水果!$C1102&lt;&gt;$N$1,对接源_01水果!$B1102=""),0,IF(OR(N(对接源_01水果!$B1102)&lt;$N$2,N(对接源_01水果!$B1102)&gt;$N$3),0,1))</f>
        <v>0</v>
      </c>
      <c r="P1102">
        <f>IF(AND($K1102=1,AND(对接源_01水果!$X1102="公司筐",N(对接源_01水果!$T1102)&lt;&gt;0)),1,0)</f>
        <v>0</v>
      </c>
      <c r="Q1102">
        <f>N(Q1101)+$P1102</f>
        <v>0</v>
      </c>
      <c r="R1102">
        <f>IF(AND($K1102=1,AND(对接源_01水果!$X1102="公司筐",N(对接源_01水果!$U1102)&lt;&gt;0)),1,0)</f>
        <v>0</v>
      </c>
      <c r="S1102">
        <f>N(S1101)+$R1102</f>
        <v>0</v>
      </c>
      <c r="T1102">
        <f>IF(AND($K1102=1,AND(对接源_01水果!$X1102="公司筐",N(对接源_01水果!$V1102)&lt;&gt;0)),1,0)</f>
        <v>0</v>
      </c>
      <c r="U1102">
        <f>N(U1101)+$T1102</f>
        <v>47</v>
      </c>
      <c r="V1102">
        <f>IF(AND($L1102=1,AND(对接源_01水果!$X1102="自备筐",N(对接源_01水果!$V1102)&lt;&gt;0)),1,0)</f>
        <v>0</v>
      </c>
      <c r="W1102">
        <f>N(W1101)+$V1102</f>
        <v>11</v>
      </c>
      <c r="X1102">
        <f>IF(AND($L1102=1,AND(对接源_01水果!$X1102="自备筐",N(对接源_01水果!$T1102)&lt;&gt;0)),1,0)</f>
        <v>0</v>
      </c>
      <c r="Y1102">
        <f>N(Y1101)+$X1102</f>
        <v>0</v>
      </c>
      <c r="Z1102">
        <f>IF(AND($M1102=1,对接源_01水果!$D1102="原料入库"),1,0)</f>
        <v>0</v>
      </c>
      <c r="AA1102">
        <f>N(AA1101)+$Z1102</f>
        <v>24</v>
      </c>
      <c r="AB1102">
        <f>IF(AND($M1102=1,LEFT(对接源_01水果!$D1102,4)="原料出库"),1,0)</f>
        <v>0</v>
      </c>
      <c r="AC1102">
        <f>N(AC1101)+$AB1102</f>
        <v>0</v>
      </c>
      <c r="AD1102">
        <f>IF(AND($M1102=1,LEFT(对接源_01水果!$D1102,4)="成品出库"),1,0)</f>
        <v>0</v>
      </c>
      <c r="AE1102">
        <f>N(AE1101)+$AD1102</f>
        <v>0</v>
      </c>
      <c r="AF1102">
        <f>IF(AND($N1102=1,AND(LEFT(对接源_01水果!$D1102,4)="包装物料",N(对接源_01水果!$K1102)&lt;&gt;0)),1,0)</f>
        <v>0</v>
      </c>
      <c r="AG1102">
        <f>N(AG1101)+$AF1102</f>
        <v>0</v>
      </c>
      <c r="AH1102">
        <f>IF(AND($N1102=1,AND(对接源_01水果!$D1102="周转筐－销售出库",N(对接源_01水果!$K1102)&lt;&gt;0)),1,0)</f>
        <v>0</v>
      </c>
      <c r="AI1102">
        <f>N(AI1101)+$AH1102</f>
        <v>0</v>
      </c>
      <c r="AJ1102" s="7" t="n"/>
      <c r="AL1102">
        <f>IF(OR($AL$1="",对接源_01水果!$Y1102="",对接源_01水果!$Y1102&lt;&gt;$AL$1,对接源_01水果!$B1102="",N(对接源_01水果!$AJ1102)&lt;=0),0,IF(OR(N(对接源_01水果!$B1102)&lt;$AL$2,N(对接源_01水果!$B1102)&gt;$AL$3),0,1))</f>
        <v>0</v>
      </c>
      <c r="AM1102">
        <f>N(AM1101)+$AL1102</f>
        <v>2</v>
      </c>
      <c r="AN1102">
        <f>IF(对接源_01水果!$AC1102="","",对接源_01水果!$AC1102)</f>
      </c>
      <c r="AO1102">
        <f>IF(AN1102="",0,IF(MATCH(AN1102,$AN$4:$AN$1203,0)=ROW()-3,1,0))</f>
        <v>0</v>
      </c>
      <c r="AP1102">
        <f>N(AP1101)+$AO1102</f>
        <v>13</v>
      </c>
      <c r="AR1102">
        <f>IF(OR($AF1102=1,$AH1102=1),1,0)</f>
        <v>0</v>
      </c>
      <c r="AS1102">
        <f>N(AS1101)+$AR1102</f>
        <v>0</v>
      </c>
    </row>
    <row r="1103" ht="14.25" customHeight="1" s="127">
      <c r="A1103">
        <f>IF(对接源_01水果!$C1103="","",对接源_01水果!$C1103)</f>
      </c>
      <c r="B1103">
        <f>IF(A1103="",0,IF(MATCH(A1103,$A$4:$A$2403,0)=ROW()-3,1,0))</f>
        <v>0</v>
      </c>
      <c r="C1103">
        <f>N(C1102)+B1103</f>
        <v>22</v>
      </c>
      <c r="K1103">
        <f>IF(OR($K$1="",对接源_01水果!$C1103="",对接源_01水果!$C1103&lt;&gt;$K$1,对接源_01水果!$B1103=""),0,IF(OR(N(对接源_01水果!$B1103)&lt;$K$2,N(对接源_01水果!$B1103)&gt;$K$3),0,1))</f>
        <v>0</v>
      </c>
      <c r="L1103">
        <f>IF(OR($L$1="",对接源_01水果!$C1103="",对接源_01水果!$C1103&lt;&gt;$L$1,对接源_01水果!$B1103=""),0,IF(OR(N(对接源_01水果!$B1103)&lt;$L$2,N(对接源_01水果!$B1103)&gt;$L$3),0,1))</f>
        <v>0</v>
      </c>
      <c r="M1103">
        <f>IF(OR($M$1="",对接源_01水果!$C1103="",对接源_01水果!$C1103&lt;&gt;$M$1,对接源_01水果!$B1103=""),0,IF(OR(N(对接源_01水果!$B1103)&lt;$M$2,N(对接源_01水果!$B1103)&gt;$M$3),0,1))</f>
        <v>0</v>
      </c>
      <c r="N1103">
        <f>IF(OR($N$1="",对接源_01水果!$C1103="",对接源_01水果!$C1103&lt;&gt;$N$1,对接源_01水果!$B1103=""),0,IF(OR(N(对接源_01水果!$B1103)&lt;$N$2,N(对接源_01水果!$B1103)&gt;$N$3),0,1))</f>
        <v>0</v>
      </c>
      <c r="P1103">
        <f>IF(AND($K1103=1,AND(对接源_01水果!$X1103="公司筐",N(对接源_01水果!$T1103)&lt;&gt;0)),1,0)</f>
        <v>0</v>
      </c>
      <c r="Q1103">
        <f>N(Q1102)+$P1103</f>
        <v>0</v>
      </c>
      <c r="R1103">
        <f>IF(AND($K1103=1,AND(对接源_01水果!$X1103="公司筐",N(对接源_01水果!$U1103)&lt;&gt;0)),1,0)</f>
        <v>0</v>
      </c>
      <c r="S1103">
        <f>N(S1102)+$R1103</f>
        <v>0</v>
      </c>
      <c r="T1103">
        <f>IF(AND($K1103=1,AND(对接源_01水果!$X1103="公司筐",N(对接源_01水果!$V1103)&lt;&gt;0)),1,0)</f>
        <v>0</v>
      </c>
      <c r="U1103">
        <f>N(U1102)+$T1103</f>
        <v>47</v>
      </c>
      <c r="V1103">
        <f>IF(AND($L1103=1,AND(对接源_01水果!$X1103="自备筐",N(对接源_01水果!$V1103)&lt;&gt;0)),1,0)</f>
        <v>0</v>
      </c>
      <c r="W1103">
        <f>N(W1102)+$V1103</f>
        <v>11</v>
      </c>
      <c r="X1103">
        <f>IF(AND($L1103=1,AND(对接源_01水果!$X1103="自备筐",N(对接源_01水果!$T1103)&lt;&gt;0)),1,0)</f>
        <v>0</v>
      </c>
      <c r="Y1103">
        <f>N(Y1102)+$X1103</f>
        <v>0</v>
      </c>
      <c r="Z1103">
        <f>IF(AND($M1103=1,对接源_01水果!$D1103="原料入库"),1,0)</f>
        <v>0</v>
      </c>
      <c r="AA1103">
        <f>N(AA1102)+$Z1103</f>
        <v>24</v>
      </c>
      <c r="AB1103">
        <f>IF(AND($M1103=1,LEFT(对接源_01水果!$D1103,4)="原料出库"),1,0)</f>
        <v>0</v>
      </c>
      <c r="AC1103">
        <f>N(AC1102)+$AB1103</f>
        <v>0</v>
      </c>
      <c r="AD1103">
        <f>IF(AND($M1103=1,LEFT(对接源_01水果!$D1103,4)="成品出库"),1,0)</f>
        <v>0</v>
      </c>
      <c r="AE1103">
        <f>N(AE1102)+$AD1103</f>
        <v>0</v>
      </c>
      <c r="AF1103">
        <f>IF(AND($N1103=1,AND(LEFT(对接源_01水果!$D1103,4)="包装物料",N(对接源_01水果!$K1103)&lt;&gt;0)),1,0)</f>
        <v>0</v>
      </c>
      <c r="AG1103">
        <f>N(AG1102)+$AF1103</f>
        <v>0</v>
      </c>
      <c r="AH1103">
        <f>IF(AND($N1103=1,AND(对接源_01水果!$D1103="周转筐－销售出库",N(对接源_01水果!$K1103)&lt;&gt;0)),1,0)</f>
        <v>0</v>
      </c>
      <c r="AI1103">
        <f>N(AI1102)+$AH1103</f>
        <v>0</v>
      </c>
      <c r="AJ1103" s="7" t="n"/>
      <c r="AL1103">
        <f>IF(OR($AL$1="",对接源_01水果!$Y1103="",对接源_01水果!$Y1103&lt;&gt;$AL$1,对接源_01水果!$B1103="",N(对接源_01水果!$AJ1103)&lt;=0),0,IF(OR(N(对接源_01水果!$B1103)&lt;$AL$2,N(对接源_01水果!$B1103)&gt;$AL$3),0,1))</f>
        <v>0</v>
      </c>
      <c r="AM1103">
        <f>N(AM1102)+$AL1103</f>
        <v>2</v>
      </c>
      <c r="AN1103">
        <f>IF(对接源_01水果!$AC1103="","",对接源_01水果!$AC1103)</f>
      </c>
      <c r="AO1103">
        <f>IF(AN1103="",0,IF(MATCH(AN1103,$AN$4:$AN$1203,0)=ROW()-3,1,0))</f>
        <v>0</v>
      </c>
      <c r="AP1103">
        <f>N(AP1102)+$AO1103</f>
        <v>13</v>
      </c>
      <c r="AR1103">
        <f>IF(OR($AF1103=1,$AH1103=1),1,0)</f>
        <v>0</v>
      </c>
      <c r="AS1103">
        <f>N(AS1102)+$AR1103</f>
        <v>0</v>
      </c>
    </row>
    <row r="1104" ht="14.25" customHeight="1" s="127">
      <c r="A1104">
        <f>IF(对接源_01水果!$C1104="","",对接源_01水果!$C1104)</f>
      </c>
      <c r="B1104">
        <f>IF(A1104="",0,IF(MATCH(A1104,$A$4:$A$2403,0)=ROW()-3,1,0))</f>
        <v>0</v>
      </c>
      <c r="C1104">
        <f>N(C1103)+B1104</f>
        <v>22</v>
      </c>
      <c r="K1104">
        <f>IF(OR($K$1="",对接源_01水果!$C1104="",对接源_01水果!$C1104&lt;&gt;$K$1,对接源_01水果!$B1104=""),0,IF(OR(N(对接源_01水果!$B1104)&lt;$K$2,N(对接源_01水果!$B1104)&gt;$K$3),0,1))</f>
        <v>0</v>
      </c>
      <c r="L1104">
        <f>IF(OR($L$1="",对接源_01水果!$C1104="",对接源_01水果!$C1104&lt;&gt;$L$1,对接源_01水果!$B1104=""),0,IF(OR(N(对接源_01水果!$B1104)&lt;$L$2,N(对接源_01水果!$B1104)&gt;$L$3),0,1))</f>
        <v>0</v>
      </c>
      <c r="M1104">
        <f>IF(OR($M$1="",对接源_01水果!$C1104="",对接源_01水果!$C1104&lt;&gt;$M$1,对接源_01水果!$B1104=""),0,IF(OR(N(对接源_01水果!$B1104)&lt;$M$2,N(对接源_01水果!$B1104)&gt;$M$3),0,1))</f>
        <v>0</v>
      </c>
      <c r="N1104">
        <f>IF(OR($N$1="",对接源_01水果!$C1104="",对接源_01水果!$C1104&lt;&gt;$N$1,对接源_01水果!$B1104=""),0,IF(OR(N(对接源_01水果!$B1104)&lt;$N$2,N(对接源_01水果!$B1104)&gt;$N$3),0,1))</f>
        <v>0</v>
      </c>
      <c r="P1104">
        <f>IF(AND($K1104=1,AND(对接源_01水果!$X1104="公司筐",N(对接源_01水果!$T1104)&lt;&gt;0)),1,0)</f>
        <v>0</v>
      </c>
      <c r="Q1104">
        <f>N(Q1103)+$P1104</f>
        <v>0</v>
      </c>
      <c r="R1104">
        <f>IF(AND($K1104=1,AND(对接源_01水果!$X1104="公司筐",N(对接源_01水果!$U1104)&lt;&gt;0)),1,0)</f>
        <v>0</v>
      </c>
      <c r="S1104">
        <f>N(S1103)+$R1104</f>
        <v>0</v>
      </c>
      <c r="T1104">
        <f>IF(AND($K1104=1,AND(对接源_01水果!$X1104="公司筐",N(对接源_01水果!$V1104)&lt;&gt;0)),1,0)</f>
        <v>0</v>
      </c>
      <c r="U1104">
        <f>N(U1103)+$T1104</f>
        <v>47</v>
      </c>
      <c r="V1104">
        <f>IF(AND($L1104=1,AND(对接源_01水果!$X1104="自备筐",N(对接源_01水果!$V1104)&lt;&gt;0)),1,0)</f>
        <v>0</v>
      </c>
      <c r="W1104">
        <f>N(W1103)+$V1104</f>
        <v>11</v>
      </c>
      <c r="X1104">
        <f>IF(AND($L1104=1,AND(对接源_01水果!$X1104="自备筐",N(对接源_01水果!$T1104)&lt;&gt;0)),1,0)</f>
        <v>0</v>
      </c>
      <c r="Y1104">
        <f>N(Y1103)+$X1104</f>
        <v>0</v>
      </c>
      <c r="Z1104">
        <f>IF(AND($M1104=1,对接源_01水果!$D1104="原料入库"),1,0)</f>
        <v>0</v>
      </c>
      <c r="AA1104">
        <f>N(AA1103)+$Z1104</f>
        <v>24</v>
      </c>
      <c r="AB1104">
        <f>IF(AND($M1104=1,LEFT(对接源_01水果!$D1104,4)="原料出库"),1,0)</f>
        <v>0</v>
      </c>
      <c r="AC1104">
        <f>N(AC1103)+$AB1104</f>
        <v>0</v>
      </c>
      <c r="AD1104">
        <f>IF(AND($M1104=1,LEFT(对接源_01水果!$D1104,4)="成品出库"),1,0)</f>
        <v>0</v>
      </c>
      <c r="AE1104">
        <f>N(AE1103)+$AD1104</f>
        <v>0</v>
      </c>
      <c r="AF1104">
        <f>IF(AND($N1104=1,AND(LEFT(对接源_01水果!$D1104,4)="包装物料",N(对接源_01水果!$K1104)&lt;&gt;0)),1,0)</f>
        <v>0</v>
      </c>
      <c r="AG1104">
        <f>N(AG1103)+$AF1104</f>
        <v>0</v>
      </c>
      <c r="AH1104">
        <f>IF(AND($N1104=1,AND(对接源_01水果!$D1104="周转筐－销售出库",N(对接源_01水果!$K1104)&lt;&gt;0)),1,0)</f>
        <v>0</v>
      </c>
      <c r="AI1104">
        <f>N(AI1103)+$AH1104</f>
        <v>0</v>
      </c>
      <c r="AJ1104" s="7" t="n"/>
      <c r="AL1104">
        <f>IF(OR($AL$1="",对接源_01水果!$Y1104="",对接源_01水果!$Y1104&lt;&gt;$AL$1,对接源_01水果!$B1104="",N(对接源_01水果!$AJ1104)&lt;=0),0,IF(OR(N(对接源_01水果!$B1104)&lt;$AL$2,N(对接源_01水果!$B1104)&gt;$AL$3),0,1))</f>
        <v>0</v>
      </c>
      <c r="AM1104">
        <f>N(AM1103)+$AL1104</f>
        <v>2</v>
      </c>
      <c r="AN1104">
        <f>IF(对接源_01水果!$AC1104="","",对接源_01水果!$AC1104)</f>
      </c>
      <c r="AO1104">
        <f>IF(AN1104="",0,IF(MATCH(AN1104,$AN$4:$AN$1203,0)=ROW()-3,1,0))</f>
        <v>0</v>
      </c>
      <c r="AP1104">
        <f>N(AP1103)+$AO1104</f>
        <v>13</v>
      </c>
      <c r="AR1104">
        <f>IF(OR($AF1104=1,$AH1104=1),1,0)</f>
        <v>0</v>
      </c>
      <c r="AS1104">
        <f>N(AS1103)+$AR1104</f>
        <v>0</v>
      </c>
    </row>
    <row r="1105" ht="14.25" customHeight="1" s="127">
      <c r="A1105">
        <f>IF(对接源_01水果!$C1105="","",对接源_01水果!$C1105)</f>
      </c>
      <c r="B1105">
        <f>IF(A1105="",0,IF(MATCH(A1105,$A$4:$A$2403,0)=ROW()-3,1,0))</f>
        <v>0</v>
      </c>
      <c r="C1105">
        <f>N(C1104)+B1105</f>
        <v>22</v>
      </c>
      <c r="K1105">
        <f>IF(OR($K$1="",对接源_01水果!$C1105="",对接源_01水果!$C1105&lt;&gt;$K$1,对接源_01水果!$B1105=""),0,IF(OR(N(对接源_01水果!$B1105)&lt;$K$2,N(对接源_01水果!$B1105)&gt;$K$3),0,1))</f>
        <v>0</v>
      </c>
      <c r="L1105">
        <f>IF(OR($L$1="",对接源_01水果!$C1105="",对接源_01水果!$C1105&lt;&gt;$L$1,对接源_01水果!$B1105=""),0,IF(OR(N(对接源_01水果!$B1105)&lt;$L$2,N(对接源_01水果!$B1105)&gt;$L$3),0,1))</f>
        <v>0</v>
      </c>
      <c r="M1105">
        <f>IF(OR($M$1="",对接源_01水果!$C1105="",对接源_01水果!$C1105&lt;&gt;$M$1,对接源_01水果!$B1105=""),0,IF(OR(N(对接源_01水果!$B1105)&lt;$M$2,N(对接源_01水果!$B1105)&gt;$M$3),0,1))</f>
        <v>0</v>
      </c>
      <c r="N1105">
        <f>IF(OR($N$1="",对接源_01水果!$C1105="",对接源_01水果!$C1105&lt;&gt;$N$1,对接源_01水果!$B1105=""),0,IF(OR(N(对接源_01水果!$B1105)&lt;$N$2,N(对接源_01水果!$B1105)&gt;$N$3),0,1))</f>
        <v>0</v>
      </c>
      <c r="P1105">
        <f>IF(AND($K1105=1,AND(对接源_01水果!$X1105="公司筐",N(对接源_01水果!$T1105)&lt;&gt;0)),1,0)</f>
        <v>0</v>
      </c>
      <c r="Q1105">
        <f>N(Q1104)+$P1105</f>
        <v>0</v>
      </c>
      <c r="R1105">
        <f>IF(AND($K1105=1,AND(对接源_01水果!$X1105="公司筐",N(对接源_01水果!$U1105)&lt;&gt;0)),1,0)</f>
        <v>0</v>
      </c>
      <c r="S1105">
        <f>N(S1104)+$R1105</f>
        <v>0</v>
      </c>
      <c r="T1105">
        <f>IF(AND($K1105=1,AND(对接源_01水果!$X1105="公司筐",N(对接源_01水果!$V1105)&lt;&gt;0)),1,0)</f>
        <v>0</v>
      </c>
      <c r="U1105">
        <f>N(U1104)+$T1105</f>
        <v>47</v>
      </c>
      <c r="V1105">
        <f>IF(AND($L1105=1,AND(对接源_01水果!$X1105="自备筐",N(对接源_01水果!$V1105)&lt;&gt;0)),1,0)</f>
        <v>0</v>
      </c>
      <c r="W1105">
        <f>N(W1104)+$V1105</f>
        <v>11</v>
      </c>
      <c r="X1105">
        <f>IF(AND($L1105=1,AND(对接源_01水果!$X1105="自备筐",N(对接源_01水果!$T1105)&lt;&gt;0)),1,0)</f>
        <v>0</v>
      </c>
      <c r="Y1105">
        <f>N(Y1104)+$X1105</f>
        <v>0</v>
      </c>
      <c r="Z1105">
        <f>IF(AND($M1105=1,对接源_01水果!$D1105="原料入库"),1,0)</f>
        <v>0</v>
      </c>
      <c r="AA1105">
        <f>N(AA1104)+$Z1105</f>
        <v>24</v>
      </c>
      <c r="AB1105">
        <f>IF(AND($M1105=1,LEFT(对接源_01水果!$D1105,4)="原料出库"),1,0)</f>
        <v>0</v>
      </c>
      <c r="AC1105">
        <f>N(AC1104)+$AB1105</f>
        <v>0</v>
      </c>
      <c r="AD1105">
        <f>IF(AND($M1105=1,LEFT(对接源_01水果!$D1105,4)="成品出库"),1,0)</f>
        <v>0</v>
      </c>
      <c r="AE1105">
        <f>N(AE1104)+$AD1105</f>
        <v>0</v>
      </c>
      <c r="AF1105">
        <f>IF(AND($N1105=1,AND(LEFT(对接源_01水果!$D1105,4)="包装物料",N(对接源_01水果!$K1105)&lt;&gt;0)),1,0)</f>
        <v>0</v>
      </c>
      <c r="AG1105">
        <f>N(AG1104)+$AF1105</f>
        <v>0</v>
      </c>
      <c r="AH1105">
        <f>IF(AND($N1105=1,AND(对接源_01水果!$D1105="周转筐－销售出库",N(对接源_01水果!$K1105)&lt;&gt;0)),1,0)</f>
        <v>0</v>
      </c>
      <c r="AI1105">
        <f>N(AI1104)+$AH1105</f>
        <v>0</v>
      </c>
      <c r="AJ1105" s="7" t="n"/>
      <c r="AL1105">
        <f>IF(OR($AL$1="",对接源_01水果!$Y1105="",对接源_01水果!$Y1105&lt;&gt;$AL$1,对接源_01水果!$B1105="",N(对接源_01水果!$AJ1105)&lt;=0),0,IF(OR(N(对接源_01水果!$B1105)&lt;$AL$2,N(对接源_01水果!$B1105)&gt;$AL$3),0,1))</f>
        <v>0</v>
      </c>
      <c r="AM1105">
        <f>N(AM1104)+$AL1105</f>
        <v>2</v>
      </c>
      <c r="AN1105">
        <f>IF(对接源_01水果!$AC1105="","",对接源_01水果!$AC1105)</f>
      </c>
      <c r="AO1105">
        <f>IF(AN1105="",0,IF(MATCH(AN1105,$AN$4:$AN$1203,0)=ROW()-3,1,0))</f>
        <v>0</v>
      </c>
      <c r="AP1105">
        <f>N(AP1104)+$AO1105</f>
        <v>13</v>
      </c>
      <c r="AR1105">
        <f>IF(OR($AF1105=1,$AH1105=1),1,0)</f>
        <v>0</v>
      </c>
      <c r="AS1105">
        <f>N(AS1104)+$AR1105</f>
        <v>0</v>
      </c>
    </row>
    <row r="1106" ht="14.25" customHeight="1" s="127">
      <c r="A1106">
        <f>IF(对接源_01水果!$C1106="","",对接源_01水果!$C1106)</f>
      </c>
      <c r="B1106">
        <f>IF(A1106="",0,IF(MATCH(A1106,$A$4:$A$2403,0)=ROW()-3,1,0))</f>
        <v>0</v>
      </c>
      <c r="C1106">
        <f>N(C1105)+B1106</f>
        <v>22</v>
      </c>
      <c r="K1106">
        <f>IF(OR($K$1="",对接源_01水果!$C1106="",对接源_01水果!$C1106&lt;&gt;$K$1,对接源_01水果!$B1106=""),0,IF(OR(N(对接源_01水果!$B1106)&lt;$K$2,N(对接源_01水果!$B1106)&gt;$K$3),0,1))</f>
        <v>0</v>
      </c>
      <c r="L1106">
        <f>IF(OR($L$1="",对接源_01水果!$C1106="",对接源_01水果!$C1106&lt;&gt;$L$1,对接源_01水果!$B1106=""),0,IF(OR(N(对接源_01水果!$B1106)&lt;$L$2,N(对接源_01水果!$B1106)&gt;$L$3),0,1))</f>
        <v>0</v>
      </c>
      <c r="M1106">
        <f>IF(OR($M$1="",对接源_01水果!$C1106="",对接源_01水果!$C1106&lt;&gt;$M$1,对接源_01水果!$B1106=""),0,IF(OR(N(对接源_01水果!$B1106)&lt;$M$2,N(对接源_01水果!$B1106)&gt;$M$3),0,1))</f>
        <v>0</v>
      </c>
      <c r="N1106">
        <f>IF(OR($N$1="",对接源_01水果!$C1106="",对接源_01水果!$C1106&lt;&gt;$N$1,对接源_01水果!$B1106=""),0,IF(OR(N(对接源_01水果!$B1106)&lt;$N$2,N(对接源_01水果!$B1106)&gt;$N$3),0,1))</f>
        <v>0</v>
      </c>
      <c r="P1106">
        <f>IF(AND($K1106=1,AND(对接源_01水果!$X1106="公司筐",N(对接源_01水果!$T1106)&lt;&gt;0)),1,0)</f>
        <v>0</v>
      </c>
      <c r="Q1106">
        <f>N(Q1105)+$P1106</f>
        <v>0</v>
      </c>
      <c r="R1106">
        <f>IF(AND($K1106=1,AND(对接源_01水果!$X1106="公司筐",N(对接源_01水果!$U1106)&lt;&gt;0)),1,0)</f>
        <v>0</v>
      </c>
      <c r="S1106">
        <f>N(S1105)+$R1106</f>
        <v>0</v>
      </c>
      <c r="T1106">
        <f>IF(AND($K1106=1,AND(对接源_01水果!$X1106="公司筐",N(对接源_01水果!$V1106)&lt;&gt;0)),1,0)</f>
        <v>0</v>
      </c>
      <c r="U1106">
        <f>N(U1105)+$T1106</f>
        <v>47</v>
      </c>
      <c r="V1106">
        <f>IF(AND($L1106=1,AND(对接源_01水果!$X1106="自备筐",N(对接源_01水果!$V1106)&lt;&gt;0)),1,0)</f>
        <v>0</v>
      </c>
      <c r="W1106">
        <f>N(W1105)+$V1106</f>
        <v>11</v>
      </c>
      <c r="X1106">
        <f>IF(AND($L1106=1,AND(对接源_01水果!$X1106="自备筐",N(对接源_01水果!$T1106)&lt;&gt;0)),1,0)</f>
        <v>0</v>
      </c>
      <c r="Y1106">
        <f>N(Y1105)+$X1106</f>
        <v>0</v>
      </c>
      <c r="Z1106">
        <f>IF(AND($M1106=1,对接源_01水果!$D1106="原料入库"),1,0)</f>
        <v>0</v>
      </c>
      <c r="AA1106">
        <f>N(AA1105)+$Z1106</f>
        <v>24</v>
      </c>
      <c r="AB1106">
        <f>IF(AND($M1106=1,LEFT(对接源_01水果!$D1106,4)="原料出库"),1,0)</f>
        <v>0</v>
      </c>
      <c r="AC1106">
        <f>N(AC1105)+$AB1106</f>
        <v>0</v>
      </c>
      <c r="AD1106">
        <f>IF(AND($M1106=1,LEFT(对接源_01水果!$D1106,4)="成品出库"),1,0)</f>
        <v>0</v>
      </c>
      <c r="AE1106">
        <f>N(AE1105)+$AD1106</f>
        <v>0</v>
      </c>
      <c r="AF1106">
        <f>IF(AND($N1106=1,AND(LEFT(对接源_01水果!$D1106,4)="包装物料",N(对接源_01水果!$K1106)&lt;&gt;0)),1,0)</f>
        <v>0</v>
      </c>
      <c r="AG1106">
        <f>N(AG1105)+$AF1106</f>
        <v>0</v>
      </c>
      <c r="AH1106">
        <f>IF(AND($N1106=1,AND(对接源_01水果!$D1106="周转筐－销售出库",N(对接源_01水果!$K1106)&lt;&gt;0)),1,0)</f>
        <v>0</v>
      </c>
      <c r="AI1106">
        <f>N(AI1105)+$AH1106</f>
        <v>0</v>
      </c>
      <c r="AJ1106" s="7" t="n"/>
      <c r="AL1106">
        <f>IF(OR($AL$1="",对接源_01水果!$Y1106="",对接源_01水果!$Y1106&lt;&gt;$AL$1,对接源_01水果!$B1106="",N(对接源_01水果!$AJ1106)&lt;=0),0,IF(OR(N(对接源_01水果!$B1106)&lt;$AL$2,N(对接源_01水果!$B1106)&gt;$AL$3),0,1))</f>
        <v>0</v>
      </c>
      <c r="AM1106">
        <f>N(AM1105)+$AL1106</f>
        <v>2</v>
      </c>
      <c r="AN1106">
        <f>IF(对接源_01水果!$AC1106="","",对接源_01水果!$AC1106)</f>
      </c>
      <c r="AO1106">
        <f>IF(AN1106="",0,IF(MATCH(AN1106,$AN$4:$AN$1203,0)=ROW()-3,1,0))</f>
        <v>0</v>
      </c>
      <c r="AP1106">
        <f>N(AP1105)+$AO1106</f>
        <v>13</v>
      </c>
      <c r="AR1106">
        <f>IF(OR($AF1106=1,$AH1106=1),1,0)</f>
        <v>0</v>
      </c>
      <c r="AS1106">
        <f>N(AS1105)+$AR1106</f>
        <v>0</v>
      </c>
    </row>
    <row r="1107" ht="14.25" customHeight="1" s="127">
      <c r="A1107">
        <f>IF(对接源_01水果!$C1107="","",对接源_01水果!$C1107)</f>
      </c>
      <c r="B1107">
        <f>IF(A1107="",0,IF(MATCH(A1107,$A$4:$A$2403,0)=ROW()-3,1,0))</f>
        <v>0</v>
      </c>
      <c r="C1107">
        <f>N(C1106)+B1107</f>
        <v>22</v>
      </c>
      <c r="K1107">
        <f>IF(OR($K$1="",对接源_01水果!$C1107="",对接源_01水果!$C1107&lt;&gt;$K$1,对接源_01水果!$B1107=""),0,IF(OR(N(对接源_01水果!$B1107)&lt;$K$2,N(对接源_01水果!$B1107)&gt;$K$3),0,1))</f>
        <v>0</v>
      </c>
      <c r="L1107">
        <f>IF(OR($L$1="",对接源_01水果!$C1107="",对接源_01水果!$C1107&lt;&gt;$L$1,对接源_01水果!$B1107=""),0,IF(OR(N(对接源_01水果!$B1107)&lt;$L$2,N(对接源_01水果!$B1107)&gt;$L$3),0,1))</f>
        <v>0</v>
      </c>
      <c r="M1107">
        <f>IF(OR($M$1="",对接源_01水果!$C1107="",对接源_01水果!$C1107&lt;&gt;$M$1,对接源_01水果!$B1107=""),0,IF(OR(N(对接源_01水果!$B1107)&lt;$M$2,N(对接源_01水果!$B1107)&gt;$M$3),0,1))</f>
        <v>0</v>
      </c>
      <c r="N1107">
        <f>IF(OR($N$1="",对接源_01水果!$C1107="",对接源_01水果!$C1107&lt;&gt;$N$1,对接源_01水果!$B1107=""),0,IF(OR(N(对接源_01水果!$B1107)&lt;$N$2,N(对接源_01水果!$B1107)&gt;$N$3),0,1))</f>
        <v>0</v>
      </c>
      <c r="P1107">
        <f>IF(AND($K1107=1,AND(对接源_01水果!$X1107="公司筐",N(对接源_01水果!$T1107)&lt;&gt;0)),1,0)</f>
        <v>0</v>
      </c>
      <c r="Q1107">
        <f>N(Q1106)+$P1107</f>
        <v>0</v>
      </c>
      <c r="R1107">
        <f>IF(AND($K1107=1,AND(对接源_01水果!$X1107="公司筐",N(对接源_01水果!$U1107)&lt;&gt;0)),1,0)</f>
        <v>0</v>
      </c>
      <c r="S1107">
        <f>N(S1106)+$R1107</f>
        <v>0</v>
      </c>
      <c r="T1107">
        <f>IF(AND($K1107=1,AND(对接源_01水果!$X1107="公司筐",N(对接源_01水果!$V1107)&lt;&gt;0)),1,0)</f>
        <v>0</v>
      </c>
      <c r="U1107">
        <f>N(U1106)+$T1107</f>
        <v>47</v>
      </c>
      <c r="V1107">
        <f>IF(AND($L1107=1,AND(对接源_01水果!$X1107="自备筐",N(对接源_01水果!$V1107)&lt;&gt;0)),1,0)</f>
        <v>0</v>
      </c>
      <c r="W1107">
        <f>N(W1106)+$V1107</f>
        <v>11</v>
      </c>
      <c r="X1107">
        <f>IF(AND($L1107=1,AND(对接源_01水果!$X1107="自备筐",N(对接源_01水果!$T1107)&lt;&gt;0)),1,0)</f>
        <v>0</v>
      </c>
      <c r="Y1107">
        <f>N(Y1106)+$X1107</f>
        <v>0</v>
      </c>
      <c r="Z1107">
        <f>IF(AND($M1107=1,对接源_01水果!$D1107="原料入库"),1,0)</f>
        <v>0</v>
      </c>
      <c r="AA1107">
        <f>N(AA1106)+$Z1107</f>
        <v>24</v>
      </c>
      <c r="AB1107">
        <f>IF(AND($M1107=1,LEFT(对接源_01水果!$D1107,4)="原料出库"),1,0)</f>
        <v>0</v>
      </c>
      <c r="AC1107">
        <f>N(AC1106)+$AB1107</f>
        <v>0</v>
      </c>
      <c r="AD1107">
        <f>IF(AND($M1107=1,LEFT(对接源_01水果!$D1107,4)="成品出库"),1,0)</f>
        <v>0</v>
      </c>
      <c r="AE1107">
        <f>N(AE1106)+$AD1107</f>
        <v>0</v>
      </c>
      <c r="AF1107">
        <f>IF(AND($N1107=1,AND(LEFT(对接源_01水果!$D1107,4)="包装物料",N(对接源_01水果!$K1107)&lt;&gt;0)),1,0)</f>
        <v>0</v>
      </c>
      <c r="AG1107">
        <f>N(AG1106)+$AF1107</f>
        <v>0</v>
      </c>
      <c r="AH1107">
        <f>IF(AND($N1107=1,AND(对接源_01水果!$D1107="周转筐－销售出库",N(对接源_01水果!$K1107)&lt;&gt;0)),1,0)</f>
        <v>0</v>
      </c>
      <c r="AI1107">
        <f>N(AI1106)+$AH1107</f>
        <v>0</v>
      </c>
      <c r="AJ1107" s="7" t="n"/>
      <c r="AL1107">
        <f>IF(OR($AL$1="",对接源_01水果!$Y1107="",对接源_01水果!$Y1107&lt;&gt;$AL$1,对接源_01水果!$B1107="",N(对接源_01水果!$AJ1107)&lt;=0),0,IF(OR(N(对接源_01水果!$B1107)&lt;$AL$2,N(对接源_01水果!$B1107)&gt;$AL$3),0,1))</f>
        <v>0</v>
      </c>
      <c r="AM1107">
        <f>N(AM1106)+$AL1107</f>
        <v>2</v>
      </c>
      <c r="AN1107">
        <f>IF(对接源_01水果!$AC1107="","",对接源_01水果!$AC1107)</f>
      </c>
      <c r="AO1107">
        <f>IF(AN1107="",0,IF(MATCH(AN1107,$AN$4:$AN$1203,0)=ROW()-3,1,0))</f>
        <v>0</v>
      </c>
      <c r="AP1107">
        <f>N(AP1106)+$AO1107</f>
        <v>13</v>
      </c>
      <c r="AR1107">
        <f>IF(OR($AF1107=1,$AH1107=1),1,0)</f>
        <v>0</v>
      </c>
      <c r="AS1107">
        <f>N(AS1106)+$AR1107</f>
        <v>0</v>
      </c>
    </row>
    <row r="1108" ht="14.25" customHeight="1" s="127">
      <c r="A1108">
        <f>IF(对接源_01水果!$C1108="","",对接源_01水果!$C1108)</f>
      </c>
      <c r="B1108">
        <f>IF(A1108="",0,IF(MATCH(A1108,$A$4:$A$2403,0)=ROW()-3,1,0))</f>
        <v>0</v>
      </c>
      <c r="C1108">
        <f>N(C1107)+B1108</f>
        <v>22</v>
      </c>
      <c r="K1108">
        <f>IF(OR($K$1="",对接源_01水果!$C1108="",对接源_01水果!$C1108&lt;&gt;$K$1,对接源_01水果!$B1108=""),0,IF(OR(N(对接源_01水果!$B1108)&lt;$K$2,N(对接源_01水果!$B1108)&gt;$K$3),0,1))</f>
        <v>0</v>
      </c>
      <c r="L1108">
        <f>IF(OR($L$1="",对接源_01水果!$C1108="",对接源_01水果!$C1108&lt;&gt;$L$1,对接源_01水果!$B1108=""),0,IF(OR(N(对接源_01水果!$B1108)&lt;$L$2,N(对接源_01水果!$B1108)&gt;$L$3),0,1))</f>
        <v>0</v>
      </c>
      <c r="M1108">
        <f>IF(OR($M$1="",对接源_01水果!$C1108="",对接源_01水果!$C1108&lt;&gt;$M$1,对接源_01水果!$B1108=""),0,IF(OR(N(对接源_01水果!$B1108)&lt;$M$2,N(对接源_01水果!$B1108)&gt;$M$3),0,1))</f>
        <v>0</v>
      </c>
      <c r="N1108">
        <f>IF(OR($N$1="",对接源_01水果!$C1108="",对接源_01水果!$C1108&lt;&gt;$N$1,对接源_01水果!$B1108=""),0,IF(OR(N(对接源_01水果!$B1108)&lt;$N$2,N(对接源_01水果!$B1108)&gt;$N$3),0,1))</f>
        <v>0</v>
      </c>
      <c r="P1108">
        <f>IF(AND($K1108=1,AND(对接源_01水果!$X1108="公司筐",N(对接源_01水果!$T1108)&lt;&gt;0)),1,0)</f>
        <v>0</v>
      </c>
      <c r="Q1108">
        <f>N(Q1107)+$P1108</f>
        <v>0</v>
      </c>
      <c r="R1108">
        <f>IF(AND($K1108=1,AND(对接源_01水果!$X1108="公司筐",N(对接源_01水果!$U1108)&lt;&gt;0)),1,0)</f>
        <v>0</v>
      </c>
      <c r="S1108">
        <f>N(S1107)+$R1108</f>
        <v>0</v>
      </c>
      <c r="T1108">
        <f>IF(AND($K1108=1,AND(对接源_01水果!$X1108="公司筐",N(对接源_01水果!$V1108)&lt;&gt;0)),1,0)</f>
        <v>0</v>
      </c>
      <c r="U1108">
        <f>N(U1107)+$T1108</f>
        <v>47</v>
      </c>
      <c r="V1108">
        <f>IF(AND($L1108=1,AND(对接源_01水果!$X1108="自备筐",N(对接源_01水果!$V1108)&lt;&gt;0)),1,0)</f>
        <v>0</v>
      </c>
      <c r="W1108">
        <f>N(W1107)+$V1108</f>
        <v>11</v>
      </c>
      <c r="X1108">
        <f>IF(AND($L1108=1,AND(对接源_01水果!$X1108="自备筐",N(对接源_01水果!$T1108)&lt;&gt;0)),1,0)</f>
        <v>0</v>
      </c>
      <c r="Y1108">
        <f>N(Y1107)+$X1108</f>
        <v>0</v>
      </c>
      <c r="Z1108">
        <f>IF(AND($M1108=1,对接源_01水果!$D1108="原料入库"),1,0)</f>
        <v>0</v>
      </c>
      <c r="AA1108">
        <f>N(AA1107)+$Z1108</f>
        <v>24</v>
      </c>
      <c r="AB1108">
        <f>IF(AND($M1108=1,LEFT(对接源_01水果!$D1108,4)="原料出库"),1,0)</f>
        <v>0</v>
      </c>
      <c r="AC1108">
        <f>N(AC1107)+$AB1108</f>
        <v>0</v>
      </c>
      <c r="AD1108">
        <f>IF(AND($M1108=1,LEFT(对接源_01水果!$D1108,4)="成品出库"),1,0)</f>
        <v>0</v>
      </c>
      <c r="AE1108">
        <f>N(AE1107)+$AD1108</f>
        <v>0</v>
      </c>
      <c r="AF1108">
        <f>IF(AND($N1108=1,AND(LEFT(对接源_01水果!$D1108,4)="包装物料",N(对接源_01水果!$K1108)&lt;&gt;0)),1,0)</f>
        <v>0</v>
      </c>
      <c r="AG1108">
        <f>N(AG1107)+$AF1108</f>
        <v>0</v>
      </c>
      <c r="AH1108">
        <f>IF(AND($N1108=1,AND(对接源_01水果!$D1108="周转筐－销售出库",N(对接源_01水果!$K1108)&lt;&gt;0)),1,0)</f>
        <v>0</v>
      </c>
      <c r="AI1108">
        <f>N(AI1107)+$AH1108</f>
        <v>0</v>
      </c>
      <c r="AJ1108" s="7" t="n"/>
      <c r="AL1108">
        <f>IF(OR($AL$1="",对接源_01水果!$Y1108="",对接源_01水果!$Y1108&lt;&gt;$AL$1,对接源_01水果!$B1108="",N(对接源_01水果!$AJ1108)&lt;=0),0,IF(OR(N(对接源_01水果!$B1108)&lt;$AL$2,N(对接源_01水果!$B1108)&gt;$AL$3),0,1))</f>
        <v>0</v>
      </c>
      <c r="AM1108">
        <f>N(AM1107)+$AL1108</f>
        <v>2</v>
      </c>
      <c r="AN1108">
        <f>IF(对接源_01水果!$AC1108="","",对接源_01水果!$AC1108)</f>
      </c>
      <c r="AO1108">
        <f>IF(AN1108="",0,IF(MATCH(AN1108,$AN$4:$AN$1203,0)=ROW()-3,1,0))</f>
        <v>0</v>
      </c>
      <c r="AP1108">
        <f>N(AP1107)+$AO1108</f>
        <v>13</v>
      </c>
      <c r="AR1108">
        <f>IF(OR($AF1108=1,$AH1108=1),1,0)</f>
        <v>0</v>
      </c>
      <c r="AS1108">
        <f>N(AS1107)+$AR1108</f>
        <v>0</v>
      </c>
    </row>
    <row r="1109" ht="14.25" customHeight="1" s="127">
      <c r="A1109">
        <f>IF(对接源_01水果!$C1109="","",对接源_01水果!$C1109)</f>
      </c>
      <c r="B1109">
        <f>IF(A1109="",0,IF(MATCH(A1109,$A$4:$A$2403,0)=ROW()-3,1,0))</f>
        <v>0</v>
      </c>
      <c r="C1109">
        <f>N(C1108)+B1109</f>
        <v>22</v>
      </c>
      <c r="K1109">
        <f>IF(OR($K$1="",对接源_01水果!$C1109="",对接源_01水果!$C1109&lt;&gt;$K$1,对接源_01水果!$B1109=""),0,IF(OR(N(对接源_01水果!$B1109)&lt;$K$2,N(对接源_01水果!$B1109)&gt;$K$3),0,1))</f>
        <v>0</v>
      </c>
      <c r="L1109">
        <f>IF(OR($L$1="",对接源_01水果!$C1109="",对接源_01水果!$C1109&lt;&gt;$L$1,对接源_01水果!$B1109=""),0,IF(OR(N(对接源_01水果!$B1109)&lt;$L$2,N(对接源_01水果!$B1109)&gt;$L$3),0,1))</f>
        <v>0</v>
      </c>
      <c r="M1109">
        <f>IF(OR($M$1="",对接源_01水果!$C1109="",对接源_01水果!$C1109&lt;&gt;$M$1,对接源_01水果!$B1109=""),0,IF(OR(N(对接源_01水果!$B1109)&lt;$M$2,N(对接源_01水果!$B1109)&gt;$M$3),0,1))</f>
        <v>0</v>
      </c>
      <c r="N1109">
        <f>IF(OR($N$1="",对接源_01水果!$C1109="",对接源_01水果!$C1109&lt;&gt;$N$1,对接源_01水果!$B1109=""),0,IF(OR(N(对接源_01水果!$B1109)&lt;$N$2,N(对接源_01水果!$B1109)&gt;$N$3),0,1))</f>
        <v>0</v>
      </c>
      <c r="P1109">
        <f>IF(AND($K1109=1,AND(对接源_01水果!$X1109="公司筐",N(对接源_01水果!$T1109)&lt;&gt;0)),1,0)</f>
        <v>0</v>
      </c>
      <c r="Q1109">
        <f>N(Q1108)+$P1109</f>
        <v>0</v>
      </c>
      <c r="R1109">
        <f>IF(AND($K1109=1,AND(对接源_01水果!$X1109="公司筐",N(对接源_01水果!$U1109)&lt;&gt;0)),1,0)</f>
        <v>0</v>
      </c>
      <c r="S1109">
        <f>N(S1108)+$R1109</f>
        <v>0</v>
      </c>
      <c r="T1109">
        <f>IF(AND($K1109=1,AND(对接源_01水果!$X1109="公司筐",N(对接源_01水果!$V1109)&lt;&gt;0)),1,0)</f>
        <v>0</v>
      </c>
      <c r="U1109">
        <f>N(U1108)+$T1109</f>
        <v>47</v>
      </c>
      <c r="V1109">
        <f>IF(AND($L1109=1,AND(对接源_01水果!$X1109="自备筐",N(对接源_01水果!$V1109)&lt;&gt;0)),1,0)</f>
        <v>0</v>
      </c>
      <c r="W1109">
        <f>N(W1108)+$V1109</f>
        <v>11</v>
      </c>
      <c r="X1109">
        <f>IF(AND($L1109=1,AND(对接源_01水果!$X1109="自备筐",N(对接源_01水果!$T1109)&lt;&gt;0)),1,0)</f>
        <v>0</v>
      </c>
      <c r="Y1109">
        <f>N(Y1108)+$X1109</f>
        <v>0</v>
      </c>
      <c r="Z1109">
        <f>IF(AND($M1109=1,对接源_01水果!$D1109="原料入库"),1,0)</f>
        <v>0</v>
      </c>
      <c r="AA1109">
        <f>N(AA1108)+$Z1109</f>
        <v>24</v>
      </c>
      <c r="AB1109">
        <f>IF(AND($M1109=1,LEFT(对接源_01水果!$D1109,4)="原料出库"),1,0)</f>
        <v>0</v>
      </c>
      <c r="AC1109">
        <f>N(AC1108)+$AB1109</f>
        <v>0</v>
      </c>
      <c r="AD1109">
        <f>IF(AND($M1109=1,LEFT(对接源_01水果!$D1109,4)="成品出库"),1,0)</f>
        <v>0</v>
      </c>
      <c r="AE1109">
        <f>N(AE1108)+$AD1109</f>
        <v>0</v>
      </c>
      <c r="AF1109">
        <f>IF(AND($N1109=1,AND(LEFT(对接源_01水果!$D1109,4)="包装物料",N(对接源_01水果!$K1109)&lt;&gt;0)),1,0)</f>
        <v>0</v>
      </c>
      <c r="AG1109">
        <f>N(AG1108)+$AF1109</f>
        <v>0</v>
      </c>
      <c r="AH1109">
        <f>IF(AND($N1109=1,AND(对接源_01水果!$D1109="周转筐－销售出库",N(对接源_01水果!$K1109)&lt;&gt;0)),1,0)</f>
        <v>0</v>
      </c>
      <c r="AI1109">
        <f>N(AI1108)+$AH1109</f>
        <v>0</v>
      </c>
      <c r="AJ1109" s="7" t="n"/>
      <c r="AL1109">
        <f>IF(OR($AL$1="",对接源_01水果!$Y1109="",对接源_01水果!$Y1109&lt;&gt;$AL$1,对接源_01水果!$B1109="",N(对接源_01水果!$AJ1109)&lt;=0),0,IF(OR(N(对接源_01水果!$B1109)&lt;$AL$2,N(对接源_01水果!$B1109)&gt;$AL$3),0,1))</f>
        <v>0</v>
      </c>
      <c r="AM1109">
        <f>N(AM1108)+$AL1109</f>
        <v>2</v>
      </c>
      <c r="AN1109">
        <f>IF(对接源_01水果!$AC1109="","",对接源_01水果!$AC1109)</f>
      </c>
      <c r="AO1109">
        <f>IF(AN1109="",0,IF(MATCH(AN1109,$AN$4:$AN$1203,0)=ROW()-3,1,0))</f>
        <v>0</v>
      </c>
      <c r="AP1109">
        <f>N(AP1108)+$AO1109</f>
        <v>13</v>
      </c>
      <c r="AR1109">
        <f>IF(OR($AF1109=1,$AH1109=1),1,0)</f>
        <v>0</v>
      </c>
      <c r="AS1109">
        <f>N(AS1108)+$AR1109</f>
        <v>0</v>
      </c>
    </row>
    <row r="1110" ht="14.25" customHeight="1" s="127">
      <c r="A1110">
        <f>IF(对接源_01水果!$C1110="","",对接源_01水果!$C1110)</f>
      </c>
      <c r="B1110">
        <f>IF(A1110="",0,IF(MATCH(A1110,$A$4:$A$2403,0)=ROW()-3,1,0))</f>
        <v>0</v>
      </c>
      <c r="C1110">
        <f>N(C1109)+B1110</f>
        <v>22</v>
      </c>
      <c r="K1110">
        <f>IF(OR($K$1="",对接源_01水果!$C1110="",对接源_01水果!$C1110&lt;&gt;$K$1,对接源_01水果!$B1110=""),0,IF(OR(N(对接源_01水果!$B1110)&lt;$K$2,N(对接源_01水果!$B1110)&gt;$K$3),0,1))</f>
        <v>0</v>
      </c>
      <c r="L1110">
        <f>IF(OR($L$1="",对接源_01水果!$C1110="",对接源_01水果!$C1110&lt;&gt;$L$1,对接源_01水果!$B1110=""),0,IF(OR(N(对接源_01水果!$B1110)&lt;$L$2,N(对接源_01水果!$B1110)&gt;$L$3),0,1))</f>
        <v>0</v>
      </c>
      <c r="M1110">
        <f>IF(OR($M$1="",对接源_01水果!$C1110="",对接源_01水果!$C1110&lt;&gt;$M$1,对接源_01水果!$B1110=""),0,IF(OR(N(对接源_01水果!$B1110)&lt;$M$2,N(对接源_01水果!$B1110)&gt;$M$3),0,1))</f>
        <v>0</v>
      </c>
      <c r="N1110">
        <f>IF(OR($N$1="",对接源_01水果!$C1110="",对接源_01水果!$C1110&lt;&gt;$N$1,对接源_01水果!$B1110=""),0,IF(OR(N(对接源_01水果!$B1110)&lt;$N$2,N(对接源_01水果!$B1110)&gt;$N$3),0,1))</f>
        <v>0</v>
      </c>
      <c r="P1110">
        <f>IF(AND($K1110=1,AND(对接源_01水果!$X1110="公司筐",N(对接源_01水果!$T1110)&lt;&gt;0)),1,0)</f>
        <v>0</v>
      </c>
      <c r="Q1110">
        <f>N(Q1109)+$P1110</f>
        <v>0</v>
      </c>
      <c r="R1110">
        <f>IF(AND($K1110=1,AND(对接源_01水果!$X1110="公司筐",N(对接源_01水果!$U1110)&lt;&gt;0)),1,0)</f>
        <v>0</v>
      </c>
      <c r="S1110">
        <f>N(S1109)+$R1110</f>
        <v>0</v>
      </c>
      <c r="T1110">
        <f>IF(AND($K1110=1,AND(对接源_01水果!$X1110="公司筐",N(对接源_01水果!$V1110)&lt;&gt;0)),1,0)</f>
        <v>0</v>
      </c>
      <c r="U1110">
        <f>N(U1109)+$T1110</f>
        <v>47</v>
      </c>
      <c r="V1110">
        <f>IF(AND($L1110=1,AND(对接源_01水果!$X1110="自备筐",N(对接源_01水果!$V1110)&lt;&gt;0)),1,0)</f>
        <v>0</v>
      </c>
      <c r="W1110">
        <f>N(W1109)+$V1110</f>
        <v>11</v>
      </c>
      <c r="X1110">
        <f>IF(AND($L1110=1,AND(对接源_01水果!$X1110="自备筐",N(对接源_01水果!$T1110)&lt;&gt;0)),1,0)</f>
        <v>0</v>
      </c>
      <c r="Y1110">
        <f>N(Y1109)+$X1110</f>
        <v>0</v>
      </c>
      <c r="Z1110">
        <f>IF(AND($M1110=1,对接源_01水果!$D1110="原料入库"),1,0)</f>
        <v>0</v>
      </c>
      <c r="AA1110">
        <f>N(AA1109)+$Z1110</f>
        <v>24</v>
      </c>
      <c r="AB1110">
        <f>IF(AND($M1110=1,LEFT(对接源_01水果!$D1110,4)="原料出库"),1,0)</f>
        <v>0</v>
      </c>
      <c r="AC1110">
        <f>N(AC1109)+$AB1110</f>
        <v>0</v>
      </c>
      <c r="AD1110">
        <f>IF(AND($M1110=1,LEFT(对接源_01水果!$D1110,4)="成品出库"),1,0)</f>
        <v>0</v>
      </c>
      <c r="AE1110">
        <f>N(AE1109)+$AD1110</f>
        <v>0</v>
      </c>
      <c r="AF1110">
        <f>IF(AND($N1110=1,AND(LEFT(对接源_01水果!$D1110,4)="包装物料",N(对接源_01水果!$K1110)&lt;&gt;0)),1,0)</f>
        <v>0</v>
      </c>
      <c r="AG1110">
        <f>N(AG1109)+$AF1110</f>
        <v>0</v>
      </c>
      <c r="AH1110">
        <f>IF(AND($N1110=1,AND(对接源_01水果!$D1110="周转筐－销售出库",N(对接源_01水果!$K1110)&lt;&gt;0)),1,0)</f>
        <v>0</v>
      </c>
      <c r="AI1110">
        <f>N(AI1109)+$AH1110</f>
        <v>0</v>
      </c>
      <c r="AJ1110" s="7" t="n"/>
      <c r="AL1110">
        <f>IF(OR($AL$1="",对接源_01水果!$Y1110="",对接源_01水果!$Y1110&lt;&gt;$AL$1,对接源_01水果!$B1110="",N(对接源_01水果!$AJ1110)&lt;=0),0,IF(OR(N(对接源_01水果!$B1110)&lt;$AL$2,N(对接源_01水果!$B1110)&gt;$AL$3),0,1))</f>
        <v>0</v>
      </c>
      <c r="AM1110">
        <f>N(AM1109)+$AL1110</f>
        <v>2</v>
      </c>
      <c r="AN1110">
        <f>IF(对接源_01水果!$AC1110="","",对接源_01水果!$AC1110)</f>
      </c>
      <c r="AO1110">
        <f>IF(AN1110="",0,IF(MATCH(AN1110,$AN$4:$AN$1203,0)=ROW()-3,1,0))</f>
        <v>0</v>
      </c>
      <c r="AP1110">
        <f>N(AP1109)+$AO1110</f>
        <v>13</v>
      </c>
      <c r="AR1110">
        <f>IF(OR($AF1110=1,$AH1110=1),1,0)</f>
        <v>0</v>
      </c>
      <c r="AS1110">
        <f>N(AS1109)+$AR1110</f>
        <v>0</v>
      </c>
    </row>
    <row r="1111" ht="14.25" customHeight="1" s="127">
      <c r="A1111">
        <f>IF(对接源_01水果!$C1111="","",对接源_01水果!$C1111)</f>
      </c>
      <c r="B1111">
        <f>IF(A1111="",0,IF(MATCH(A1111,$A$4:$A$2403,0)=ROW()-3,1,0))</f>
        <v>0</v>
      </c>
      <c r="C1111">
        <f>N(C1110)+B1111</f>
        <v>22</v>
      </c>
      <c r="K1111">
        <f>IF(OR($K$1="",对接源_01水果!$C1111="",对接源_01水果!$C1111&lt;&gt;$K$1,对接源_01水果!$B1111=""),0,IF(OR(N(对接源_01水果!$B1111)&lt;$K$2,N(对接源_01水果!$B1111)&gt;$K$3),0,1))</f>
        <v>0</v>
      </c>
      <c r="L1111">
        <f>IF(OR($L$1="",对接源_01水果!$C1111="",对接源_01水果!$C1111&lt;&gt;$L$1,对接源_01水果!$B1111=""),0,IF(OR(N(对接源_01水果!$B1111)&lt;$L$2,N(对接源_01水果!$B1111)&gt;$L$3),0,1))</f>
        <v>0</v>
      </c>
      <c r="M1111">
        <f>IF(OR($M$1="",对接源_01水果!$C1111="",对接源_01水果!$C1111&lt;&gt;$M$1,对接源_01水果!$B1111=""),0,IF(OR(N(对接源_01水果!$B1111)&lt;$M$2,N(对接源_01水果!$B1111)&gt;$M$3),0,1))</f>
        <v>0</v>
      </c>
      <c r="N1111">
        <f>IF(OR($N$1="",对接源_01水果!$C1111="",对接源_01水果!$C1111&lt;&gt;$N$1,对接源_01水果!$B1111=""),0,IF(OR(N(对接源_01水果!$B1111)&lt;$N$2,N(对接源_01水果!$B1111)&gt;$N$3),0,1))</f>
        <v>0</v>
      </c>
      <c r="P1111">
        <f>IF(AND($K1111=1,AND(对接源_01水果!$X1111="公司筐",N(对接源_01水果!$T1111)&lt;&gt;0)),1,0)</f>
        <v>0</v>
      </c>
      <c r="Q1111">
        <f>N(Q1110)+$P1111</f>
        <v>0</v>
      </c>
      <c r="R1111">
        <f>IF(AND($K1111=1,AND(对接源_01水果!$X1111="公司筐",N(对接源_01水果!$U1111)&lt;&gt;0)),1,0)</f>
        <v>0</v>
      </c>
      <c r="S1111">
        <f>N(S1110)+$R1111</f>
        <v>0</v>
      </c>
      <c r="T1111">
        <f>IF(AND($K1111=1,AND(对接源_01水果!$X1111="公司筐",N(对接源_01水果!$V1111)&lt;&gt;0)),1,0)</f>
        <v>0</v>
      </c>
      <c r="U1111">
        <f>N(U1110)+$T1111</f>
        <v>47</v>
      </c>
      <c r="V1111">
        <f>IF(AND($L1111=1,AND(对接源_01水果!$X1111="自备筐",N(对接源_01水果!$V1111)&lt;&gt;0)),1,0)</f>
        <v>0</v>
      </c>
      <c r="W1111">
        <f>N(W1110)+$V1111</f>
        <v>11</v>
      </c>
      <c r="X1111">
        <f>IF(AND($L1111=1,AND(对接源_01水果!$X1111="自备筐",N(对接源_01水果!$T1111)&lt;&gt;0)),1,0)</f>
        <v>0</v>
      </c>
      <c r="Y1111">
        <f>N(Y1110)+$X1111</f>
        <v>0</v>
      </c>
      <c r="Z1111">
        <f>IF(AND($M1111=1,对接源_01水果!$D1111="原料入库"),1,0)</f>
        <v>0</v>
      </c>
      <c r="AA1111">
        <f>N(AA1110)+$Z1111</f>
        <v>24</v>
      </c>
      <c r="AB1111">
        <f>IF(AND($M1111=1,LEFT(对接源_01水果!$D1111,4)="原料出库"),1,0)</f>
        <v>0</v>
      </c>
      <c r="AC1111">
        <f>N(AC1110)+$AB1111</f>
        <v>0</v>
      </c>
      <c r="AD1111">
        <f>IF(AND($M1111=1,LEFT(对接源_01水果!$D1111,4)="成品出库"),1,0)</f>
        <v>0</v>
      </c>
      <c r="AE1111">
        <f>N(AE1110)+$AD1111</f>
        <v>0</v>
      </c>
      <c r="AF1111">
        <f>IF(AND($N1111=1,AND(LEFT(对接源_01水果!$D1111,4)="包装物料",N(对接源_01水果!$K1111)&lt;&gt;0)),1,0)</f>
        <v>0</v>
      </c>
      <c r="AG1111">
        <f>N(AG1110)+$AF1111</f>
        <v>0</v>
      </c>
      <c r="AH1111">
        <f>IF(AND($N1111=1,AND(对接源_01水果!$D1111="周转筐－销售出库",N(对接源_01水果!$K1111)&lt;&gt;0)),1,0)</f>
        <v>0</v>
      </c>
      <c r="AI1111">
        <f>N(AI1110)+$AH1111</f>
        <v>0</v>
      </c>
      <c r="AJ1111" s="7" t="n"/>
      <c r="AL1111">
        <f>IF(OR($AL$1="",对接源_01水果!$Y1111="",对接源_01水果!$Y1111&lt;&gt;$AL$1,对接源_01水果!$B1111="",N(对接源_01水果!$AJ1111)&lt;=0),0,IF(OR(N(对接源_01水果!$B1111)&lt;$AL$2,N(对接源_01水果!$B1111)&gt;$AL$3),0,1))</f>
        <v>0</v>
      </c>
      <c r="AM1111">
        <f>N(AM1110)+$AL1111</f>
        <v>2</v>
      </c>
      <c r="AN1111">
        <f>IF(对接源_01水果!$AC1111="","",对接源_01水果!$AC1111)</f>
      </c>
      <c r="AO1111">
        <f>IF(AN1111="",0,IF(MATCH(AN1111,$AN$4:$AN$1203,0)=ROW()-3,1,0))</f>
        <v>0</v>
      </c>
      <c r="AP1111">
        <f>N(AP1110)+$AO1111</f>
        <v>13</v>
      </c>
      <c r="AR1111">
        <f>IF(OR($AF1111=1,$AH1111=1),1,0)</f>
        <v>0</v>
      </c>
      <c r="AS1111">
        <f>N(AS1110)+$AR1111</f>
        <v>0</v>
      </c>
    </row>
    <row r="1112" ht="14.25" customHeight="1" s="127">
      <c r="A1112">
        <f>IF(对接源_01水果!$C1112="","",对接源_01水果!$C1112)</f>
      </c>
      <c r="B1112">
        <f>IF(A1112="",0,IF(MATCH(A1112,$A$4:$A$2403,0)=ROW()-3,1,0))</f>
        <v>0</v>
      </c>
      <c r="C1112">
        <f>N(C1111)+B1112</f>
        <v>22</v>
      </c>
      <c r="K1112">
        <f>IF(OR($K$1="",对接源_01水果!$C1112="",对接源_01水果!$C1112&lt;&gt;$K$1,对接源_01水果!$B1112=""),0,IF(OR(N(对接源_01水果!$B1112)&lt;$K$2,N(对接源_01水果!$B1112)&gt;$K$3),0,1))</f>
        <v>0</v>
      </c>
      <c r="L1112">
        <f>IF(OR($L$1="",对接源_01水果!$C1112="",对接源_01水果!$C1112&lt;&gt;$L$1,对接源_01水果!$B1112=""),0,IF(OR(N(对接源_01水果!$B1112)&lt;$L$2,N(对接源_01水果!$B1112)&gt;$L$3),0,1))</f>
        <v>0</v>
      </c>
      <c r="M1112">
        <f>IF(OR($M$1="",对接源_01水果!$C1112="",对接源_01水果!$C1112&lt;&gt;$M$1,对接源_01水果!$B1112=""),0,IF(OR(N(对接源_01水果!$B1112)&lt;$M$2,N(对接源_01水果!$B1112)&gt;$M$3),0,1))</f>
        <v>0</v>
      </c>
      <c r="N1112">
        <f>IF(OR($N$1="",对接源_01水果!$C1112="",对接源_01水果!$C1112&lt;&gt;$N$1,对接源_01水果!$B1112=""),0,IF(OR(N(对接源_01水果!$B1112)&lt;$N$2,N(对接源_01水果!$B1112)&gt;$N$3),0,1))</f>
        <v>0</v>
      </c>
      <c r="P1112">
        <f>IF(AND($K1112=1,AND(对接源_01水果!$X1112="公司筐",N(对接源_01水果!$T1112)&lt;&gt;0)),1,0)</f>
        <v>0</v>
      </c>
      <c r="Q1112">
        <f>N(Q1111)+$P1112</f>
        <v>0</v>
      </c>
      <c r="R1112">
        <f>IF(AND($K1112=1,AND(对接源_01水果!$X1112="公司筐",N(对接源_01水果!$U1112)&lt;&gt;0)),1,0)</f>
        <v>0</v>
      </c>
      <c r="S1112">
        <f>N(S1111)+$R1112</f>
        <v>0</v>
      </c>
      <c r="T1112">
        <f>IF(AND($K1112=1,AND(对接源_01水果!$X1112="公司筐",N(对接源_01水果!$V1112)&lt;&gt;0)),1,0)</f>
        <v>0</v>
      </c>
      <c r="U1112">
        <f>N(U1111)+$T1112</f>
        <v>47</v>
      </c>
      <c r="V1112">
        <f>IF(AND($L1112=1,AND(对接源_01水果!$X1112="自备筐",N(对接源_01水果!$V1112)&lt;&gt;0)),1,0)</f>
        <v>0</v>
      </c>
      <c r="W1112">
        <f>N(W1111)+$V1112</f>
        <v>11</v>
      </c>
      <c r="X1112">
        <f>IF(AND($L1112=1,AND(对接源_01水果!$X1112="自备筐",N(对接源_01水果!$T1112)&lt;&gt;0)),1,0)</f>
        <v>0</v>
      </c>
      <c r="Y1112">
        <f>N(Y1111)+$X1112</f>
        <v>0</v>
      </c>
      <c r="Z1112">
        <f>IF(AND($M1112=1,对接源_01水果!$D1112="原料入库"),1,0)</f>
        <v>0</v>
      </c>
      <c r="AA1112">
        <f>N(AA1111)+$Z1112</f>
        <v>24</v>
      </c>
      <c r="AB1112">
        <f>IF(AND($M1112=1,LEFT(对接源_01水果!$D1112,4)="原料出库"),1,0)</f>
        <v>0</v>
      </c>
      <c r="AC1112">
        <f>N(AC1111)+$AB1112</f>
        <v>0</v>
      </c>
      <c r="AD1112">
        <f>IF(AND($M1112=1,LEFT(对接源_01水果!$D1112,4)="成品出库"),1,0)</f>
        <v>0</v>
      </c>
      <c r="AE1112">
        <f>N(AE1111)+$AD1112</f>
        <v>0</v>
      </c>
      <c r="AF1112">
        <f>IF(AND($N1112=1,AND(LEFT(对接源_01水果!$D1112,4)="包装物料",N(对接源_01水果!$K1112)&lt;&gt;0)),1,0)</f>
        <v>0</v>
      </c>
      <c r="AG1112">
        <f>N(AG1111)+$AF1112</f>
        <v>0</v>
      </c>
      <c r="AH1112">
        <f>IF(AND($N1112=1,AND(对接源_01水果!$D1112="周转筐－销售出库",N(对接源_01水果!$K1112)&lt;&gt;0)),1,0)</f>
        <v>0</v>
      </c>
      <c r="AI1112">
        <f>N(AI1111)+$AH1112</f>
        <v>0</v>
      </c>
      <c r="AJ1112" s="7" t="n"/>
      <c r="AL1112">
        <f>IF(OR($AL$1="",对接源_01水果!$Y1112="",对接源_01水果!$Y1112&lt;&gt;$AL$1,对接源_01水果!$B1112="",N(对接源_01水果!$AJ1112)&lt;=0),0,IF(OR(N(对接源_01水果!$B1112)&lt;$AL$2,N(对接源_01水果!$B1112)&gt;$AL$3),0,1))</f>
        <v>0</v>
      </c>
      <c r="AM1112">
        <f>N(AM1111)+$AL1112</f>
        <v>2</v>
      </c>
      <c r="AN1112">
        <f>IF(对接源_01水果!$AC1112="","",对接源_01水果!$AC1112)</f>
      </c>
      <c r="AO1112">
        <f>IF(AN1112="",0,IF(MATCH(AN1112,$AN$4:$AN$1203,0)=ROW()-3,1,0))</f>
        <v>0</v>
      </c>
      <c r="AP1112">
        <f>N(AP1111)+$AO1112</f>
        <v>13</v>
      </c>
      <c r="AR1112">
        <f>IF(OR($AF1112=1,$AH1112=1),1,0)</f>
        <v>0</v>
      </c>
      <c r="AS1112">
        <f>N(AS1111)+$AR1112</f>
        <v>0</v>
      </c>
    </row>
    <row r="1113" ht="14.25" customHeight="1" s="127">
      <c r="A1113">
        <f>IF(对接源_01水果!$C1113="","",对接源_01水果!$C1113)</f>
      </c>
      <c r="B1113">
        <f>IF(A1113="",0,IF(MATCH(A1113,$A$4:$A$2403,0)=ROW()-3,1,0))</f>
        <v>0</v>
      </c>
      <c r="C1113">
        <f>N(C1112)+B1113</f>
        <v>22</v>
      </c>
      <c r="K1113">
        <f>IF(OR($K$1="",对接源_01水果!$C1113="",对接源_01水果!$C1113&lt;&gt;$K$1,对接源_01水果!$B1113=""),0,IF(OR(N(对接源_01水果!$B1113)&lt;$K$2,N(对接源_01水果!$B1113)&gt;$K$3),0,1))</f>
        <v>0</v>
      </c>
      <c r="L1113">
        <f>IF(OR($L$1="",对接源_01水果!$C1113="",对接源_01水果!$C1113&lt;&gt;$L$1,对接源_01水果!$B1113=""),0,IF(OR(N(对接源_01水果!$B1113)&lt;$L$2,N(对接源_01水果!$B1113)&gt;$L$3),0,1))</f>
        <v>0</v>
      </c>
      <c r="M1113">
        <f>IF(OR($M$1="",对接源_01水果!$C1113="",对接源_01水果!$C1113&lt;&gt;$M$1,对接源_01水果!$B1113=""),0,IF(OR(N(对接源_01水果!$B1113)&lt;$M$2,N(对接源_01水果!$B1113)&gt;$M$3),0,1))</f>
        <v>0</v>
      </c>
      <c r="N1113">
        <f>IF(OR($N$1="",对接源_01水果!$C1113="",对接源_01水果!$C1113&lt;&gt;$N$1,对接源_01水果!$B1113=""),0,IF(OR(N(对接源_01水果!$B1113)&lt;$N$2,N(对接源_01水果!$B1113)&gt;$N$3),0,1))</f>
        <v>0</v>
      </c>
      <c r="P1113">
        <f>IF(AND($K1113=1,AND(对接源_01水果!$X1113="公司筐",N(对接源_01水果!$T1113)&lt;&gt;0)),1,0)</f>
        <v>0</v>
      </c>
      <c r="Q1113">
        <f>N(Q1112)+$P1113</f>
        <v>0</v>
      </c>
      <c r="R1113">
        <f>IF(AND($K1113=1,AND(对接源_01水果!$X1113="公司筐",N(对接源_01水果!$U1113)&lt;&gt;0)),1,0)</f>
        <v>0</v>
      </c>
      <c r="S1113">
        <f>N(S1112)+$R1113</f>
        <v>0</v>
      </c>
      <c r="T1113">
        <f>IF(AND($K1113=1,AND(对接源_01水果!$X1113="公司筐",N(对接源_01水果!$V1113)&lt;&gt;0)),1,0)</f>
        <v>0</v>
      </c>
      <c r="U1113">
        <f>N(U1112)+$T1113</f>
        <v>47</v>
      </c>
      <c r="V1113">
        <f>IF(AND($L1113=1,AND(对接源_01水果!$X1113="自备筐",N(对接源_01水果!$V1113)&lt;&gt;0)),1,0)</f>
        <v>0</v>
      </c>
      <c r="W1113">
        <f>N(W1112)+$V1113</f>
        <v>11</v>
      </c>
      <c r="X1113">
        <f>IF(AND($L1113=1,AND(对接源_01水果!$X1113="自备筐",N(对接源_01水果!$T1113)&lt;&gt;0)),1,0)</f>
        <v>0</v>
      </c>
      <c r="Y1113">
        <f>N(Y1112)+$X1113</f>
        <v>0</v>
      </c>
      <c r="Z1113">
        <f>IF(AND($M1113=1,对接源_01水果!$D1113="原料入库"),1,0)</f>
        <v>0</v>
      </c>
      <c r="AA1113">
        <f>N(AA1112)+$Z1113</f>
        <v>24</v>
      </c>
      <c r="AB1113">
        <f>IF(AND($M1113=1,LEFT(对接源_01水果!$D1113,4)="原料出库"),1,0)</f>
        <v>0</v>
      </c>
      <c r="AC1113">
        <f>N(AC1112)+$AB1113</f>
        <v>0</v>
      </c>
      <c r="AD1113">
        <f>IF(AND($M1113=1,LEFT(对接源_01水果!$D1113,4)="成品出库"),1,0)</f>
        <v>0</v>
      </c>
      <c r="AE1113">
        <f>N(AE1112)+$AD1113</f>
        <v>0</v>
      </c>
      <c r="AF1113">
        <f>IF(AND($N1113=1,AND(LEFT(对接源_01水果!$D1113,4)="包装物料",N(对接源_01水果!$K1113)&lt;&gt;0)),1,0)</f>
        <v>0</v>
      </c>
      <c r="AG1113">
        <f>N(AG1112)+$AF1113</f>
        <v>0</v>
      </c>
      <c r="AH1113">
        <f>IF(AND($N1113=1,AND(对接源_01水果!$D1113="周转筐－销售出库",N(对接源_01水果!$K1113)&lt;&gt;0)),1,0)</f>
        <v>0</v>
      </c>
      <c r="AI1113">
        <f>N(AI1112)+$AH1113</f>
        <v>0</v>
      </c>
      <c r="AJ1113" s="7" t="n"/>
      <c r="AL1113">
        <f>IF(OR($AL$1="",对接源_01水果!$Y1113="",对接源_01水果!$Y1113&lt;&gt;$AL$1,对接源_01水果!$B1113="",N(对接源_01水果!$AJ1113)&lt;=0),0,IF(OR(N(对接源_01水果!$B1113)&lt;$AL$2,N(对接源_01水果!$B1113)&gt;$AL$3),0,1))</f>
        <v>0</v>
      </c>
      <c r="AM1113">
        <f>N(AM1112)+$AL1113</f>
        <v>2</v>
      </c>
      <c r="AN1113">
        <f>IF(对接源_01水果!$AC1113="","",对接源_01水果!$AC1113)</f>
      </c>
      <c r="AO1113">
        <f>IF(AN1113="",0,IF(MATCH(AN1113,$AN$4:$AN$1203,0)=ROW()-3,1,0))</f>
        <v>0</v>
      </c>
      <c r="AP1113">
        <f>N(AP1112)+$AO1113</f>
        <v>13</v>
      </c>
      <c r="AR1113">
        <f>IF(OR($AF1113=1,$AH1113=1),1,0)</f>
        <v>0</v>
      </c>
      <c r="AS1113">
        <f>N(AS1112)+$AR1113</f>
        <v>0</v>
      </c>
    </row>
    <row r="1114" ht="14.25" customHeight="1" s="127">
      <c r="A1114">
        <f>IF(对接源_01水果!$C1114="","",对接源_01水果!$C1114)</f>
      </c>
      <c r="B1114">
        <f>IF(A1114="",0,IF(MATCH(A1114,$A$4:$A$2403,0)=ROW()-3,1,0))</f>
        <v>0</v>
      </c>
      <c r="C1114">
        <f>N(C1113)+B1114</f>
        <v>22</v>
      </c>
      <c r="K1114">
        <f>IF(OR($K$1="",对接源_01水果!$C1114="",对接源_01水果!$C1114&lt;&gt;$K$1,对接源_01水果!$B1114=""),0,IF(OR(N(对接源_01水果!$B1114)&lt;$K$2,N(对接源_01水果!$B1114)&gt;$K$3),0,1))</f>
        <v>0</v>
      </c>
      <c r="L1114">
        <f>IF(OR($L$1="",对接源_01水果!$C1114="",对接源_01水果!$C1114&lt;&gt;$L$1,对接源_01水果!$B1114=""),0,IF(OR(N(对接源_01水果!$B1114)&lt;$L$2,N(对接源_01水果!$B1114)&gt;$L$3),0,1))</f>
        <v>0</v>
      </c>
      <c r="M1114">
        <f>IF(OR($M$1="",对接源_01水果!$C1114="",对接源_01水果!$C1114&lt;&gt;$M$1,对接源_01水果!$B1114=""),0,IF(OR(N(对接源_01水果!$B1114)&lt;$M$2,N(对接源_01水果!$B1114)&gt;$M$3),0,1))</f>
        <v>0</v>
      </c>
      <c r="N1114">
        <f>IF(OR($N$1="",对接源_01水果!$C1114="",对接源_01水果!$C1114&lt;&gt;$N$1,对接源_01水果!$B1114=""),0,IF(OR(N(对接源_01水果!$B1114)&lt;$N$2,N(对接源_01水果!$B1114)&gt;$N$3),0,1))</f>
        <v>0</v>
      </c>
      <c r="P1114">
        <f>IF(AND($K1114=1,AND(对接源_01水果!$X1114="公司筐",N(对接源_01水果!$T1114)&lt;&gt;0)),1,0)</f>
        <v>0</v>
      </c>
      <c r="Q1114">
        <f>N(Q1113)+$P1114</f>
        <v>0</v>
      </c>
      <c r="R1114">
        <f>IF(AND($K1114=1,AND(对接源_01水果!$X1114="公司筐",N(对接源_01水果!$U1114)&lt;&gt;0)),1,0)</f>
        <v>0</v>
      </c>
      <c r="S1114">
        <f>N(S1113)+$R1114</f>
        <v>0</v>
      </c>
      <c r="T1114">
        <f>IF(AND($K1114=1,AND(对接源_01水果!$X1114="公司筐",N(对接源_01水果!$V1114)&lt;&gt;0)),1,0)</f>
        <v>0</v>
      </c>
      <c r="U1114">
        <f>N(U1113)+$T1114</f>
        <v>47</v>
      </c>
      <c r="V1114">
        <f>IF(AND($L1114=1,AND(对接源_01水果!$X1114="自备筐",N(对接源_01水果!$V1114)&lt;&gt;0)),1,0)</f>
        <v>0</v>
      </c>
      <c r="W1114">
        <f>N(W1113)+$V1114</f>
        <v>11</v>
      </c>
      <c r="X1114">
        <f>IF(AND($L1114=1,AND(对接源_01水果!$X1114="自备筐",N(对接源_01水果!$T1114)&lt;&gt;0)),1,0)</f>
        <v>0</v>
      </c>
      <c r="Y1114">
        <f>N(Y1113)+$X1114</f>
        <v>0</v>
      </c>
      <c r="Z1114">
        <f>IF(AND($M1114=1,对接源_01水果!$D1114="原料入库"),1,0)</f>
        <v>0</v>
      </c>
      <c r="AA1114">
        <f>N(AA1113)+$Z1114</f>
        <v>24</v>
      </c>
      <c r="AB1114">
        <f>IF(AND($M1114=1,LEFT(对接源_01水果!$D1114,4)="原料出库"),1,0)</f>
        <v>0</v>
      </c>
      <c r="AC1114">
        <f>N(AC1113)+$AB1114</f>
        <v>0</v>
      </c>
      <c r="AD1114">
        <f>IF(AND($M1114=1,LEFT(对接源_01水果!$D1114,4)="成品出库"),1,0)</f>
        <v>0</v>
      </c>
      <c r="AE1114">
        <f>N(AE1113)+$AD1114</f>
        <v>0</v>
      </c>
      <c r="AF1114">
        <f>IF(AND($N1114=1,AND(LEFT(对接源_01水果!$D1114,4)="包装物料",N(对接源_01水果!$K1114)&lt;&gt;0)),1,0)</f>
        <v>0</v>
      </c>
      <c r="AG1114">
        <f>N(AG1113)+$AF1114</f>
        <v>0</v>
      </c>
      <c r="AH1114">
        <f>IF(AND($N1114=1,AND(对接源_01水果!$D1114="周转筐－销售出库",N(对接源_01水果!$K1114)&lt;&gt;0)),1,0)</f>
        <v>0</v>
      </c>
      <c r="AI1114">
        <f>N(AI1113)+$AH1114</f>
        <v>0</v>
      </c>
      <c r="AJ1114" s="7" t="n"/>
      <c r="AL1114">
        <f>IF(OR($AL$1="",对接源_01水果!$Y1114="",对接源_01水果!$Y1114&lt;&gt;$AL$1,对接源_01水果!$B1114="",N(对接源_01水果!$AJ1114)&lt;=0),0,IF(OR(N(对接源_01水果!$B1114)&lt;$AL$2,N(对接源_01水果!$B1114)&gt;$AL$3),0,1))</f>
        <v>0</v>
      </c>
      <c r="AM1114">
        <f>N(AM1113)+$AL1114</f>
        <v>2</v>
      </c>
      <c r="AN1114">
        <f>IF(对接源_01水果!$AC1114="","",对接源_01水果!$AC1114)</f>
      </c>
      <c r="AO1114">
        <f>IF(AN1114="",0,IF(MATCH(AN1114,$AN$4:$AN$1203,0)=ROW()-3,1,0))</f>
        <v>0</v>
      </c>
      <c r="AP1114">
        <f>N(AP1113)+$AO1114</f>
        <v>13</v>
      </c>
      <c r="AR1114">
        <f>IF(OR($AF1114=1,$AH1114=1),1,0)</f>
        <v>0</v>
      </c>
      <c r="AS1114">
        <f>N(AS1113)+$AR1114</f>
        <v>0</v>
      </c>
    </row>
    <row r="1115" ht="14.25" customHeight="1" s="127">
      <c r="A1115">
        <f>IF(对接源_01水果!$C1115="","",对接源_01水果!$C1115)</f>
      </c>
      <c r="B1115">
        <f>IF(A1115="",0,IF(MATCH(A1115,$A$4:$A$2403,0)=ROW()-3,1,0))</f>
        <v>0</v>
      </c>
      <c r="C1115">
        <f>N(C1114)+B1115</f>
        <v>22</v>
      </c>
      <c r="K1115">
        <f>IF(OR($K$1="",对接源_01水果!$C1115="",对接源_01水果!$C1115&lt;&gt;$K$1,对接源_01水果!$B1115=""),0,IF(OR(N(对接源_01水果!$B1115)&lt;$K$2,N(对接源_01水果!$B1115)&gt;$K$3),0,1))</f>
        <v>0</v>
      </c>
      <c r="L1115">
        <f>IF(OR($L$1="",对接源_01水果!$C1115="",对接源_01水果!$C1115&lt;&gt;$L$1,对接源_01水果!$B1115=""),0,IF(OR(N(对接源_01水果!$B1115)&lt;$L$2,N(对接源_01水果!$B1115)&gt;$L$3),0,1))</f>
        <v>0</v>
      </c>
      <c r="M1115">
        <f>IF(OR($M$1="",对接源_01水果!$C1115="",对接源_01水果!$C1115&lt;&gt;$M$1,对接源_01水果!$B1115=""),0,IF(OR(N(对接源_01水果!$B1115)&lt;$M$2,N(对接源_01水果!$B1115)&gt;$M$3),0,1))</f>
        <v>0</v>
      </c>
      <c r="N1115">
        <f>IF(OR($N$1="",对接源_01水果!$C1115="",对接源_01水果!$C1115&lt;&gt;$N$1,对接源_01水果!$B1115=""),0,IF(OR(N(对接源_01水果!$B1115)&lt;$N$2,N(对接源_01水果!$B1115)&gt;$N$3),0,1))</f>
        <v>0</v>
      </c>
      <c r="P1115">
        <f>IF(AND($K1115=1,AND(对接源_01水果!$X1115="公司筐",N(对接源_01水果!$T1115)&lt;&gt;0)),1,0)</f>
        <v>0</v>
      </c>
      <c r="Q1115">
        <f>N(Q1114)+$P1115</f>
        <v>0</v>
      </c>
      <c r="R1115">
        <f>IF(AND($K1115=1,AND(对接源_01水果!$X1115="公司筐",N(对接源_01水果!$U1115)&lt;&gt;0)),1,0)</f>
        <v>0</v>
      </c>
      <c r="S1115">
        <f>N(S1114)+$R1115</f>
        <v>0</v>
      </c>
      <c r="T1115">
        <f>IF(AND($K1115=1,AND(对接源_01水果!$X1115="公司筐",N(对接源_01水果!$V1115)&lt;&gt;0)),1,0)</f>
        <v>0</v>
      </c>
      <c r="U1115">
        <f>N(U1114)+$T1115</f>
        <v>47</v>
      </c>
      <c r="V1115">
        <f>IF(AND($L1115=1,AND(对接源_01水果!$X1115="自备筐",N(对接源_01水果!$V1115)&lt;&gt;0)),1,0)</f>
        <v>0</v>
      </c>
      <c r="W1115">
        <f>N(W1114)+$V1115</f>
        <v>11</v>
      </c>
      <c r="X1115">
        <f>IF(AND($L1115=1,AND(对接源_01水果!$X1115="自备筐",N(对接源_01水果!$T1115)&lt;&gt;0)),1,0)</f>
        <v>0</v>
      </c>
      <c r="Y1115">
        <f>N(Y1114)+$X1115</f>
        <v>0</v>
      </c>
      <c r="Z1115">
        <f>IF(AND($M1115=1,对接源_01水果!$D1115="原料入库"),1,0)</f>
        <v>0</v>
      </c>
      <c r="AA1115">
        <f>N(AA1114)+$Z1115</f>
        <v>24</v>
      </c>
      <c r="AB1115">
        <f>IF(AND($M1115=1,LEFT(对接源_01水果!$D1115,4)="原料出库"),1,0)</f>
        <v>0</v>
      </c>
      <c r="AC1115">
        <f>N(AC1114)+$AB1115</f>
        <v>0</v>
      </c>
      <c r="AD1115">
        <f>IF(AND($M1115=1,LEFT(对接源_01水果!$D1115,4)="成品出库"),1,0)</f>
        <v>0</v>
      </c>
      <c r="AE1115">
        <f>N(AE1114)+$AD1115</f>
        <v>0</v>
      </c>
      <c r="AF1115">
        <f>IF(AND($N1115=1,AND(LEFT(对接源_01水果!$D1115,4)="包装物料",N(对接源_01水果!$K1115)&lt;&gt;0)),1,0)</f>
        <v>0</v>
      </c>
      <c r="AG1115">
        <f>N(AG1114)+$AF1115</f>
        <v>0</v>
      </c>
      <c r="AH1115">
        <f>IF(AND($N1115=1,AND(对接源_01水果!$D1115="周转筐－销售出库",N(对接源_01水果!$K1115)&lt;&gt;0)),1,0)</f>
        <v>0</v>
      </c>
      <c r="AI1115">
        <f>N(AI1114)+$AH1115</f>
        <v>0</v>
      </c>
      <c r="AJ1115" s="7" t="n"/>
      <c r="AL1115">
        <f>IF(OR($AL$1="",对接源_01水果!$Y1115="",对接源_01水果!$Y1115&lt;&gt;$AL$1,对接源_01水果!$B1115="",N(对接源_01水果!$AJ1115)&lt;=0),0,IF(OR(N(对接源_01水果!$B1115)&lt;$AL$2,N(对接源_01水果!$B1115)&gt;$AL$3),0,1))</f>
        <v>0</v>
      </c>
      <c r="AM1115">
        <f>N(AM1114)+$AL1115</f>
        <v>2</v>
      </c>
      <c r="AN1115">
        <f>IF(对接源_01水果!$AC1115="","",对接源_01水果!$AC1115)</f>
      </c>
      <c r="AO1115">
        <f>IF(AN1115="",0,IF(MATCH(AN1115,$AN$4:$AN$1203,0)=ROW()-3,1,0))</f>
        <v>0</v>
      </c>
      <c r="AP1115">
        <f>N(AP1114)+$AO1115</f>
        <v>13</v>
      </c>
      <c r="AR1115">
        <f>IF(OR($AF1115=1,$AH1115=1),1,0)</f>
        <v>0</v>
      </c>
      <c r="AS1115">
        <f>N(AS1114)+$AR1115</f>
        <v>0</v>
      </c>
    </row>
    <row r="1116" ht="14.25" customHeight="1" s="127">
      <c r="A1116">
        <f>IF(对接源_01水果!$C1116="","",对接源_01水果!$C1116)</f>
      </c>
      <c r="B1116">
        <f>IF(A1116="",0,IF(MATCH(A1116,$A$4:$A$2403,0)=ROW()-3,1,0))</f>
        <v>0</v>
      </c>
      <c r="C1116">
        <f>N(C1115)+B1116</f>
        <v>22</v>
      </c>
      <c r="K1116">
        <f>IF(OR($K$1="",对接源_01水果!$C1116="",对接源_01水果!$C1116&lt;&gt;$K$1,对接源_01水果!$B1116=""),0,IF(OR(N(对接源_01水果!$B1116)&lt;$K$2,N(对接源_01水果!$B1116)&gt;$K$3),0,1))</f>
        <v>0</v>
      </c>
      <c r="L1116">
        <f>IF(OR($L$1="",对接源_01水果!$C1116="",对接源_01水果!$C1116&lt;&gt;$L$1,对接源_01水果!$B1116=""),0,IF(OR(N(对接源_01水果!$B1116)&lt;$L$2,N(对接源_01水果!$B1116)&gt;$L$3),0,1))</f>
        <v>0</v>
      </c>
      <c r="M1116">
        <f>IF(OR($M$1="",对接源_01水果!$C1116="",对接源_01水果!$C1116&lt;&gt;$M$1,对接源_01水果!$B1116=""),0,IF(OR(N(对接源_01水果!$B1116)&lt;$M$2,N(对接源_01水果!$B1116)&gt;$M$3),0,1))</f>
        <v>0</v>
      </c>
      <c r="N1116">
        <f>IF(OR($N$1="",对接源_01水果!$C1116="",对接源_01水果!$C1116&lt;&gt;$N$1,对接源_01水果!$B1116=""),0,IF(OR(N(对接源_01水果!$B1116)&lt;$N$2,N(对接源_01水果!$B1116)&gt;$N$3),0,1))</f>
        <v>0</v>
      </c>
      <c r="P1116">
        <f>IF(AND($K1116=1,AND(对接源_01水果!$X1116="公司筐",N(对接源_01水果!$T1116)&lt;&gt;0)),1,0)</f>
        <v>0</v>
      </c>
      <c r="Q1116">
        <f>N(Q1115)+$P1116</f>
        <v>0</v>
      </c>
      <c r="R1116">
        <f>IF(AND($K1116=1,AND(对接源_01水果!$X1116="公司筐",N(对接源_01水果!$U1116)&lt;&gt;0)),1,0)</f>
        <v>0</v>
      </c>
      <c r="S1116">
        <f>N(S1115)+$R1116</f>
        <v>0</v>
      </c>
      <c r="T1116">
        <f>IF(AND($K1116=1,AND(对接源_01水果!$X1116="公司筐",N(对接源_01水果!$V1116)&lt;&gt;0)),1,0)</f>
        <v>0</v>
      </c>
      <c r="U1116">
        <f>N(U1115)+$T1116</f>
        <v>47</v>
      </c>
      <c r="V1116">
        <f>IF(AND($L1116=1,AND(对接源_01水果!$X1116="自备筐",N(对接源_01水果!$V1116)&lt;&gt;0)),1,0)</f>
        <v>0</v>
      </c>
      <c r="W1116">
        <f>N(W1115)+$V1116</f>
        <v>11</v>
      </c>
      <c r="X1116">
        <f>IF(AND($L1116=1,AND(对接源_01水果!$X1116="自备筐",N(对接源_01水果!$T1116)&lt;&gt;0)),1,0)</f>
        <v>0</v>
      </c>
      <c r="Y1116">
        <f>N(Y1115)+$X1116</f>
        <v>0</v>
      </c>
      <c r="Z1116">
        <f>IF(AND($M1116=1,对接源_01水果!$D1116="原料入库"),1,0)</f>
        <v>0</v>
      </c>
      <c r="AA1116">
        <f>N(AA1115)+$Z1116</f>
        <v>24</v>
      </c>
      <c r="AB1116">
        <f>IF(AND($M1116=1,LEFT(对接源_01水果!$D1116,4)="原料出库"),1,0)</f>
        <v>0</v>
      </c>
      <c r="AC1116">
        <f>N(AC1115)+$AB1116</f>
        <v>0</v>
      </c>
      <c r="AD1116">
        <f>IF(AND($M1116=1,LEFT(对接源_01水果!$D1116,4)="成品出库"),1,0)</f>
        <v>0</v>
      </c>
      <c r="AE1116">
        <f>N(AE1115)+$AD1116</f>
        <v>0</v>
      </c>
      <c r="AF1116">
        <f>IF(AND($N1116=1,AND(LEFT(对接源_01水果!$D1116,4)="包装物料",N(对接源_01水果!$K1116)&lt;&gt;0)),1,0)</f>
        <v>0</v>
      </c>
      <c r="AG1116">
        <f>N(AG1115)+$AF1116</f>
        <v>0</v>
      </c>
      <c r="AH1116">
        <f>IF(AND($N1116=1,AND(对接源_01水果!$D1116="周转筐－销售出库",N(对接源_01水果!$K1116)&lt;&gt;0)),1,0)</f>
        <v>0</v>
      </c>
      <c r="AI1116">
        <f>N(AI1115)+$AH1116</f>
        <v>0</v>
      </c>
      <c r="AJ1116" s="7" t="n"/>
      <c r="AL1116">
        <f>IF(OR($AL$1="",对接源_01水果!$Y1116="",对接源_01水果!$Y1116&lt;&gt;$AL$1,对接源_01水果!$B1116="",N(对接源_01水果!$AJ1116)&lt;=0),0,IF(OR(N(对接源_01水果!$B1116)&lt;$AL$2,N(对接源_01水果!$B1116)&gt;$AL$3),0,1))</f>
        <v>0</v>
      </c>
      <c r="AM1116">
        <f>N(AM1115)+$AL1116</f>
        <v>2</v>
      </c>
      <c r="AN1116">
        <f>IF(对接源_01水果!$AC1116="","",对接源_01水果!$AC1116)</f>
      </c>
      <c r="AO1116">
        <f>IF(AN1116="",0,IF(MATCH(AN1116,$AN$4:$AN$1203,0)=ROW()-3,1,0))</f>
        <v>0</v>
      </c>
      <c r="AP1116">
        <f>N(AP1115)+$AO1116</f>
        <v>13</v>
      </c>
      <c r="AR1116">
        <f>IF(OR($AF1116=1,$AH1116=1),1,0)</f>
        <v>0</v>
      </c>
      <c r="AS1116">
        <f>N(AS1115)+$AR1116</f>
        <v>0</v>
      </c>
    </row>
    <row r="1117" ht="14.25" customHeight="1" s="127">
      <c r="A1117">
        <f>IF(对接源_01水果!$C1117="","",对接源_01水果!$C1117)</f>
      </c>
      <c r="B1117">
        <f>IF(A1117="",0,IF(MATCH(A1117,$A$4:$A$2403,0)=ROW()-3,1,0))</f>
        <v>0</v>
      </c>
      <c r="C1117">
        <f>N(C1116)+B1117</f>
        <v>22</v>
      </c>
      <c r="K1117">
        <f>IF(OR($K$1="",对接源_01水果!$C1117="",对接源_01水果!$C1117&lt;&gt;$K$1,对接源_01水果!$B1117=""),0,IF(OR(N(对接源_01水果!$B1117)&lt;$K$2,N(对接源_01水果!$B1117)&gt;$K$3),0,1))</f>
        <v>0</v>
      </c>
      <c r="L1117">
        <f>IF(OR($L$1="",对接源_01水果!$C1117="",对接源_01水果!$C1117&lt;&gt;$L$1,对接源_01水果!$B1117=""),0,IF(OR(N(对接源_01水果!$B1117)&lt;$L$2,N(对接源_01水果!$B1117)&gt;$L$3),0,1))</f>
        <v>0</v>
      </c>
      <c r="M1117">
        <f>IF(OR($M$1="",对接源_01水果!$C1117="",对接源_01水果!$C1117&lt;&gt;$M$1,对接源_01水果!$B1117=""),0,IF(OR(N(对接源_01水果!$B1117)&lt;$M$2,N(对接源_01水果!$B1117)&gt;$M$3),0,1))</f>
        <v>0</v>
      </c>
      <c r="N1117">
        <f>IF(OR($N$1="",对接源_01水果!$C1117="",对接源_01水果!$C1117&lt;&gt;$N$1,对接源_01水果!$B1117=""),0,IF(OR(N(对接源_01水果!$B1117)&lt;$N$2,N(对接源_01水果!$B1117)&gt;$N$3),0,1))</f>
        <v>0</v>
      </c>
      <c r="P1117">
        <f>IF(AND($K1117=1,AND(对接源_01水果!$X1117="公司筐",N(对接源_01水果!$T1117)&lt;&gt;0)),1,0)</f>
        <v>0</v>
      </c>
      <c r="Q1117">
        <f>N(Q1116)+$P1117</f>
        <v>0</v>
      </c>
      <c r="R1117">
        <f>IF(AND($K1117=1,AND(对接源_01水果!$X1117="公司筐",N(对接源_01水果!$U1117)&lt;&gt;0)),1,0)</f>
        <v>0</v>
      </c>
      <c r="S1117">
        <f>N(S1116)+$R1117</f>
        <v>0</v>
      </c>
      <c r="T1117">
        <f>IF(AND($K1117=1,AND(对接源_01水果!$X1117="公司筐",N(对接源_01水果!$V1117)&lt;&gt;0)),1,0)</f>
        <v>0</v>
      </c>
      <c r="U1117">
        <f>N(U1116)+$T1117</f>
        <v>47</v>
      </c>
      <c r="V1117">
        <f>IF(AND($L1117=1,AND(对接源_01水果!$X1117="自备筐",N(对接源_01水果!$V1117)&lt;&gt;0)),1,0)</f>
        <v>0</v>
      </c>
      <c r="W1117">
        <f>N(W1116)+$V1117</f>
        <v>11</v>
      </c>
      <c r="X1117">
        <f>IF(AND($L1117=1,AND(对接源_01水果!$X1117="自备筐",N(对接源_01水果!$T1117)&lt;&gt;0)),1,0)</f>
        <v>0</v>
      </c>
      <c r="Y1117">
        <f>N(Y1116)+$X1117</f>
        <v>0</v>
      </c>
      <c r="Z1117">
        <f>IF(AND($M1117=1,对接源_01水果!$D1117="原料入库"),1,0)</f>
        <v>0</v>
      </c>
      <c r="AA1117">
        <f>N(AA1116)+$Z1117</f>
        <v>24</v>
      </c>
      <c r="AB1117">
        <f>IF(AND($M1117=1,LEFT(对接源_01水果!$D1117,4)="原料出库"),1,0)</f>
        <v>0</v>
      </c>
      <c r="AC1117">
        <f>N(AC1116)+$AB1117</f>
        <v>0</v>
      </c>
      <c r="AD1117">
        <f>IF(AND($M1117=1,LEFT(对接源_01水果!$D1117,4)="成品出库"),1,0)</f>
        <v>0</v>
      </c>
      <c r="AE1117">
        <f>N(AE1116)+$AD1117</f>
        <v>0</v>
      </c>
      <c r="AF1117">
        <f>IF(AND($N1117=1,AND(LEFT(对接源_01水果!$D1117,4)="包装物料",N(对接源_01水果!$K1117)&lt;&gt;0)),1,0)</f>
        <v>0</v>
      </c>
      <c r="AG1117">
        <f>N(AG1116)+$AF1117</f>
        <v>0</v>
      </c>
      <c r="AH1117">
        <f>IF(AND($N1117=1,AND(对接源_01水果!$D1117="周转筐－销售出库",N(对接源_01水果!$K1117)&lt;&gt;0)),1,0)</f>
        <v>0</v>
      </c>
      <c r="AI1117">
        <f>N(AI1116)+$AH1117</f>
        <v>0</v>
      </c>
      <c r="AJ1117" s="7" t="n"/>
      <c r="AL1117">
        <f>IF(OR($AL$1="",对接源_01水果!$Y1117="",对接源_01水果!$Y1117&lt;&gt;$AL$1,对接源_01水果!$B1117="",N(对接源_01水果!$AJ1117)&lt;=0),0,IF(OR(N(对接源_01水果!$B1117)&lt;$AL$2,N(对接源_01水果!$B1117)&gt;$AL$3),0,1))</f>
        <v>0</v>
      </c>
      <c r="AM1117">
        <f>N(AM1116)+$AL1117</f>
        <v>2</v>
      </c>
      <c r="AN1117">
        <f>IF(对接源_01水果!$AC1117="","",对接源_01水果!$AC1117)</f>
      </c>
      <c r="AO1117">
        <f>IF(AN1117="",0,IF(MATCH(AN1117,$AN$4:$AN$1203,0)=ROW()-3,1,0))</f>
        <v>0</v>
      </c>
      <c r="AP1117">
        <f>N(AP1116)+$AO1117</f>
        <v>13</v>
      </c>
      <c r="AR1117">
        <f>IF(OR($AF1117=1,$AH1117=1),1,0)</f>
        <v>0</v>
      </c>
      <c r="AS1117">
        <f>N(AS1116)+$AR1117</f>
        <v>0</v>
      </c>
    </row>
    <row r="1118" ht="14.25" customHeight="1" s="127">
      <c r="A1118">
        <f>IF(对接源_01水果!$C1118="","",对接源_01水果!$C1118)</f>
      </c>
      <c r="B1118">
        <f>IF(A1118="",0,IF(MATCH(A1118,$A$4:$A$2403,0)=ROW()-3,1,0))</f>
        <v>0</v>
      </c>
      <c r="C1118">
        <f>N(C1117)+B1118</f>
        <v>22</v>
      </c>
      <c r="K1118">
        <f>IF(OR($K$1="",对接源_01水果!$C1118="",对接源_01水果!$C1118&lt;&gt;$K$1,对接源_01水果!$B1118=""),0,IF(OR(N(对接源_01水果!$B1118)&lt;$K$2,N(对接源_01水果!$B1118)&gt;$K$3),0,1))</f>
        <v>0</v>
      </c>
      <c r="L1118">
        <f>IF(OR($L$1="",对接源_01水果!$C1118="",对接源_01水果!$C1118&lt;&gt;$L$1,对接源_01水果!$B1118=""),0,IF(OR(N(对接源_01水果!$B1118)&lt;$L$2,N(对接源_01水果!$B1118)&gt;$L$3),0,1))</f>
        <v>0</v>
      </c>
      <c r="M1118">
        <f>IF(OR($M$1="",对接源_01水果!$C1118="",对接源_01水果!$C1118&lt;&gt;$M$1,对接源_01水果!$B1118=""),0,IF(OR(N(对接源_01水果!$B1118)&lt;$M$2,N(对接源_01水果!$B1118)&gt;$M$3),0,1))</f>
        <v>0</v>
      </c>
      <c r="N1118">
        <f>IF(OR($N$1="",对接源_01水果!$C1118="",对接源_01水果!$C1118&lt;&gt;$N$1,对接源_01水果!$B1118=""),0,IF(OR(N(对接源_01水果!$B1118)&lt;$N$2,N(对接源_01水果!$B1118)&gt;$N$3),0,1))</f>
        <v>0</v>
      </c>
      <c r="P1118">
        <f>IF(AND($K1118=1,AND(对接源_01水果!$X1118="公司筐",N(对接源_01水果!$T1118)&lt;&gt;0)),1,0)</f>
        <v>0</v>
      </c>
      <c r="Q1118">
        <f>N(Q1117)+$P1118</f>
        <v>0</v>
      </c>
      <c r="R1118">
        <f>IF(AND($K1118=1,AND(对接源_01水果!$X1118="公司筐",N(对接源_01水果!$U1118)&lt;&gt;0)),1,0)</f>
        <v>0</v>
      </c>
      <c r="S1118">
        <f>N(S1117)+$R1118</f>
        <v>0</v>
      </c>
      <c r="T1118">
        <f>IF(AND($K1118=1,AND(对接源_01水果!$X1118="公司筐",N(对接源_01水果!$V1118)&lt;&gt;0)),1,0)</f>
        <v>0</v>
      </c>
      <c r="U1118">
        <f>N(U1117)+$T1118</f>
        <v>47</v>
      </c>
      <c r="V1118">
        <f>IF(AND($L1118=1,AND(对接源_01水果!$X1118="自备筐",N(对接源_01水果!$V1118)&lt;&gt;0)),1,0)</f>
        <v>0</v>
      </c>
      <c r="W1118">
        <f>N(W1117)+$V1118</f>
        <v>11</v>
      </c>
      <c r="X1118">
        <f>IF(AND($L1118=1,AND(对接源_01水果!$X1118="自备筐",N(对接源_01水果!$T1118)&lt;&gt;0)),1,0)</f>
        <v>0</v>
      </c>
      <c r="Y1118">
        <f>N(Y1117)+$X1118</f>
        <v>0</v>
      </c>
      <c r="Z1118">
        <f>IF(AND($M1118=1,对接源_01水果!$D1118="原料入库"),1,0)</f>
        <v>0</v>
      </c>
      <c r="AA1118">
        <f>N(AA1117)+$Z1118</f>
        <v>24</v>
      </c>
      <c r="AB1118">
        <f>IF(AND($M1118=1,LEFT(对接源_01水果!$D1118,4)="原料出库"),1,0)</f>
        <v>0</v>
      </c>
      <c r="AC1118">
        <f>N(AC1117)+$AB1118</f>
        <v>0</v>
      </c>
      <c r="AD1118">
        <f>IF(AND($M1118=1,LEFT(对接源_01水果!$D1118,4)="成品出库"),1,0)</f>
        <v>0</v>
      </c>
      <c r="AE1118">
        <f>N(AE1117)+$AD1118</f>
        <v>0</v>
      </c>
      <c r="AF1118">
        <f>IF(AND($N1118=1,AND(LEFT(对接源_01水果!$D1118,4)="包装物料",N(对接源_01水果!$K1118)&lt;&gt;0)),1,0)</f>
        <v>0</v>
      </c>
      <c r="AG1118">
        <f>N(AG1117)+$AF1118</f>
        <v>0</v>
      </c>
      <c r="AH1118">
        <f>IF(AND($N1118=1,AND(对接源_01水果!$D1118="周转筐－销售出库",N(对接源_01水果!$K1118)&lt;&gt;0)),1,0)</f>
        <v>0</v>
      </c>
      <c r="AI1118">
        <f>N(AI1117)+$AH1118</f>
        <v>0</v>
      </c>
      <c r="AJ1118" s="7" t="n"/>
      <c r="AL1118">
        <f>IF(OR($AL$1="",对接源_01水果!$Y1118="",对接源_01水果!$Y1118&lt;&gt;$AL$1,对接源_01水果!$B1118="",N(对接源_01水果!$AJ1118)&lt;=0),0,IF(OR(N(对接源_01水果!$B1118)&lt;$AL$2,N(对接源_01水果!$B1118)&gt;$AL$3),0,1))</f>
        <v>0</v>
      </c>
      <c r="AM1118">
        <f>N(AM1117)+$AL1118</f>
        <v>2</v>
      </c>
      <c r="AN1118">
        <f>IF(对接源_01水果!$AC1118="","",对接源_01水果!$AC1118)</f>
      </c>
      <c r="AO1118">
        <f>IF(AN1118="",0,IF(MATCH(AN1118,$AN$4:$AN$1203,0)=ROW()-3,1,0))</f>
        <v>0</v>
      </c>
      <c r="AP1118">
        <f>N(AP1117)+$AO1118</f>
        <v>13</v>
      </c>
      <c r="AR1118">
        <f>IF(OR($AF1118=1,$AH1118=1),1,0)</f>
        <v>0</v>
      </c>
      <c r="AS1118">
        <f>N(AS1117)+$AR1118</f>
        <v>0</v>
      </c>
    </row>
    <row r="1119" ht="14.25" customHeight="1" s="127">
      <c r="A1119">
        <f>IF(对接源_01水果!$C1119="","",对接源_01水果!$C1119)</f>
      </c>
      <c r="B1119">
        <f>IF(A1119="",0,IF(MATCH(A1119,$A$4:$A$2403,0)=ROW()-3,1,0))</f>
        <v>0</v>
      </c>
      <c r="C1119">
        <f>N(C1118)+B1119</f>
        <v>22</v>
      </c>
      <c r="K1119">
        <f>IF(OR($K$1="",对接源_01水果!$C1119="",对接源_01水果!$C1119&lt;&gt;$K$1,对接源_01水果!$B1119=""),0,IF(OR(N(对接源_01水果!$B1119)&lt;$K$2,N(对接源_01水果!$B1119)&gt;$K$3),0,1))</f>
        <v>0</v>
      </c>
      <c r="L1119">
        <f>IF(OR($L$1="",对接源_01水果!$C1119="",对接源_01水果!$C1119&lt;&gt;$L$1,对接源_01水果!$B1119=""),0,IF(OR(N(对接源_01水果!$B1119)&lt;$L$2,N(对接源_01水果!$B1119)&gt;$L$3),0,1))</f>
        <v>0</v>
      </c>
      <c r="M1119">
        <f>IF(OR($M$1="",对接源_01水果!$C1119="",对接源_01水果!$C1119&lt;&gt;$M$1,对接源_01水果!$B1119=""),0,IF(OR(N(对接源_01水果!$B1119)&lt;$M$2,N(对接源_01水果!$B1119)&gt;$M$3),0,1))</f>
        <v>0</v>
      </c>
      <c r="N1119">
        <f>IF(OR($N$1="",对接源_01水果!$C1119="",对接源_01水果!$C1119&lt;&gt;$N$1,对接源_01水果!$B1119=""),0,IF(OR(N(对接源_01水果!$B1119)&lt;$N$2,N(对接源_01水果!$B1119)&gt;$N$3),0,1))</f>
        <v>0</v>
      </c>
      <c r="P1119">
        <f>IF(AND($K1119=1,AND(对接源_01水果!$X1119="公司筐",N(对接源_01水果!$T1119)&lt;&gt;0)),1,0)</f>
        <v>0</v>
      </c>
      <c r="Q1119">
        <f>N(Q1118)+$P1119</f>
        <v>0</v>
      </c>
      <c r="R1119">
        <f>IF(AND($K1119=1,AND(对接源_01水果!$X1119="公司筐",N(对接源_01水果!$U1119)&lt;&gt;0)),1,0)</f>
        <v>0</v>
      </c>
      <c r="S1119">
        <f>N(S1118)+$R1119</f>
        <v>0</v>
      </c>
      <c r="T1119">
        <f>IF(AND($K1119=1,AND(对接源_01水果!$X1119="公司筐",N(对接源_01水果!$V1119)&lt;&gt;0)),1,0)</f>
        <v>0</v>
      </c>
      <c r="U1119">
        <f>N(U1118)+$T1119</f>
        <v>47</v>
      </c>
      <c r="V1119">
        <f>IF(AND($L1119=1,AND(对接源_01水果!$X1119="自备筐",N(对接源_01水果!$V1119)&lt;&gt;0)),1,0)</f>
        <v>0</v>
      </c>
      <c r="W1119">
        <f>N(W1118)+$V1119</f>
        <v>11</v>
      </c>
      <c r="X1119">
        <f>IF(AND($L1119=1,AND(对接源_01水果!$X1119="自备筐",N(对接源_01水果!$T1119)&lt;&gt;0)),1,0)</f>
        <v>0</v>
      </c>
      <c r="Y1119">
        <f>N(Y1118)+$X1119</f>
        <v>0</v>
      </c>
      <c r="Z1119">
        <f>IF(AND($M1119=1,对接源_01水果!$D1119="原料入库"),1,0)</f>
        <v>0</v>
      </c>
      <c r="AA1119">
        <f>N(AA1118)+$Z1119</f>
        <v>24</v>
      </c>
      <c r="AB1119">
        <f>IF(AND($M1119=1,LEFT(对接源_01水果!$D1119,4)="原料出库"),1,0)</f>
        <v>0</v>
      </c>
      <c r="AC1119">
        <f>N(AC1118)+$AB1119</f>
        <v>0</v>
      </c>
      <c r="AD1119">
        <f>IF(AND($M1119=1,LEFT(对接源_01水果!$D1119,4)="成品出库"),1,0)</f>
        <v>0</v>
      </c>
      <c r="AE1119">
        <f>N(AE1118)+$AD1119</f>
        <v>0</v>
      </c>
      <c r="AF1119">
        <f>IF(AND($N1119=1,AND(LEFT(对接源_01水果!$D1119,4)="包装物料",N(对接源_01水果!$K1119)&lt;&gt;0)),1,0)</f>
        <v>0</v>
      </c>
      <c r="AG1119">
        <f>N(AG1118)+$AF1119</f>
        <v>0</v>
      </c>
      <c r="AH1119">
        <f>IF(AND($N1119=1,AND(对接源_01水果!$D1119="周转筐－销售出库",N(对接源_01水果!$K1119)&lt;&gt;0)),1,0)</f>
        <v>0</v>
      </c>
      <c r="AI1119">
        <f>N(AI1118)+$AH1119</f>
        <v>0</v>
      </c>
      <c r="AJ1119" s="7" t="n"/>
      <c r="AL1119">
        <f>IF(OR($AL$1="",对接源_01水果!$Y1119="",对接源_01水果!$Y1119&lt;&gt;$AL$1,对接源_01水果!$B1119="",N(对接源_01水果!$AJ1119)&lt;=0),0,IF(OR(N(对接源_01水果!$B1119)&lt;$AL$2,N(对接源_01水果!$B1119)&gt;$AL$3),0,1))</f>
        <v>0</v>
      </c>
      <c r="AM1119">
        <f>N(AM1118)+$AL1119</f>
        <v>2</v>
      </c>
      <c r="AN1119">
        <f>IF(对接源_01水果!$AC1119="","",对接源_01水果!$AC1119)</f>
      </c>
      <c r="AO1119">
        <f>IF(AN1119="",0,IF(MATCH(AN1119,$AN$4:$AN$1203,0)=ROW()-3,1,0))</f>
        <v>0</v>
      </c>
      <c r="AP1119">
        <f>N(AP1118)+$AO1119</f>
        <v>13</v>
      </c>
      <c r="AR1119">
        <f>IF(OR($AF1119=1,$AH1119=1),1,0)</f>
        <v>0</v>
      </c>
      <c r="AS1119">
        <f>N(AS1118)+$AR1119</f>
        <v>0</v>
      </c>
    </row>
    <row r="1120" ht="14.25" customHeight="1" s="127">
      <c r="A1120">
        <f>IF(对接源_01水果!$C1120="","",对接源_01水果!$C1120)</f>
      </c>
      <c r="B1120">
        <f>IF(A1120="",0,IF(MATCH(A1120,$A$4:$A$2403,0)=ROW()-3,1,0))</f>
        <v>0</v>
      </c>
      <c r="C1120">
        <f>N(C1119)+B1120</f>
        <v>22</v>
      </c>
      <c r="K1120">
        <f>IF(OR($K$1="",对接源_01水果!$C1120="",对接源_01水果!$C1120&lt;&gt;$K$1,对接源_01水果!$B1120=""),0,IF(OR(N(对接源_01水果!$B1120)&lt;$K$2,N(对接源_01水果!$B1120)&gt;$K$3),0,1))</f>
        <v>0</v>
      </c>
      <c r="L1120">
        <f>IF(OR($L$1="",对接源_01水果!$C1120="",对接源_01水果!$C1120&lt;&gt;$L$1,对接源_01水果!$B1120=""),0,IF(OR(N(对接源_01水果!$B1120)&lt;$L$2,N(对接源_01水果!$B1120)&gt;$L$3),0,1))</f>
        <v>0</v>
      </c>
      <c r="M1120">
        <f>IF(OR($M$1="",对接源_01水果!$C1120="",对接源_01水果!$C1120&lt;&gt;$M$1,对接源_01水果!$B1120=""),0,IF(OR(N(对接源_01水果!$B1120)&lt;$M$2,N(对接源_01水果!$B1120)&gt;$M$3),0,1))</f>
        <v>0</v>
      </c>
      <c r="N1120">
        <f>IF(OR($N$1="",对接源_01水果!$C1120="",对接源_01水果!$C1120&lt;&gt;$N$1,对接源_01水果!$B1120=""),0,IF(OR(N(对接源_01水果!$B1120)&lt;$N$2,N(对接源_01水果!$B1120)&gt;$N$3),0,1))</f>
        <v>0</v>
      </c>
      <c r="P1120">
        <f>IF(AND($K1120=1,AND(对接源_01水果!$X1120="公司筐",N(对接源_01水果!$T1120)&lt;&gt;0)),1,0)</f>
        <v>0</v>
      </c>
      <c r="Q1120">
        <f>N(Q1119)+$P1120</f>
        <v>0</v>
      </c>
      <c r="R1120">
        <f>IF(AND($K1120=1,AND(对接源_01水果!$X1120="公司筐",N(对接源_01水果!$U1120)&lt;&gt;0)),1,0)</f>
        <v>0</v>
      </c>
      <c r="S1120">
        <f>N(S1119)+$R1120</f>
        <v>0</v>
      </c>
      <c r="T1120">
        <f>IF(AND($K1120=1,AND(对接源_01水果!$X1120="公司筐",N(对接源_01水果!$V1120)&lt;&gt;0)),1,0)</f>
        <v>0</v>
      </c>
      <c r="U1120">
        <f>N(U1119)+$T1120</f>
        <v>47</v>
      </c>
      <c r="V1120">
        <f>IF(AND($L1120=1,AND(对接源_01水果!$X1120="自备筐",N(对接源_01水果!$V1120)&lt;&gt;0)),1,0)</f>
        <v>0</v>
      </c>
      <c r="W1120">
        <f>N(W1119)+$V1120</f>
        <v>11</v>
      </c>
      <c r="X1120">
        <f>IF(AND($L1120=1,AND(对接源_01水果!$X1120="自备筐",N(对接源_01水果!$T1120)&lt;&gt;0)),1,0)</f>
        <v>0</v>
      </c>
      <c r="Y1120">
        <f>N(Y1119)+$X1120</f>
        <v>0</v>
      </c>
      <c r="Z1120">
        <f>IF(AND($M1120=1,对接源_01水果!$D1120="原料入库"),1,0)</f>
        <v>0</v>
      </c>
      <c r="AA1120">
        <f>N(AA1119)+$Z1120</f>
        <v>24</v>
      </c>
      <c r="AB1120">
        <f>IF(AND($M1120=1,LEFT(对接源_01水果!$D1120,4)="原料出库"),1,0)</f>
        <v>0</v>
      </c>
      <c r="AC1120">
        <f>N(AC1119)+$AB1120</f>
        <v>0</v>
      </c>
      <c r="AD1120">
        <f>IF(AND($M1120=1,LEFT(对接源_01水果!$D1120,4)="成品出库"),1,0)</f>
        <v>0</v>
      </c>
      <c r="AE1120">
        <f>N(AE1119)+$AD1120</f>
        <v>0</v>
      </c>
      <c r="AF1120">
        <f>IF(AND($N1120=1,AND(LEFT(对接源_01水果!$D1120,4)="包装物料",N(对接源_01水果!$K1120)&lt;&gt;0)),1,0)</f>
        <v>0</v>
      </c>
      <c r="AG1120">
        <f>N(AG1119)+$AF1120</f>
        <v>0</v>
      </c>
      <c r="AH1120">
        <f>IF(AND($N1120=1,AND(对接源_01水果!$D1120="周转筐－销售出库",N(对接源_01水果!$K1120)&lt;&gt;0)),1,0)</f>
        <v>0</v>
      </c>
      <c r="AI1120">
        <f>N(AI1119)+$AH1120</f>
        <v>0</v>
      </c>
      <c r="AJ1120" s="7" t="n"/>
      <c r="AL1120">
        <f>IF(OR($AL$1="",对接源_01水果!$Y1120="",对接源_01水果!$Y1120&lt;&gt;$AL$1,对接源_01水果!$B1120="",N(对接源_01水果!$AJ1120)&lt;=0),0,IF(OR(N(对接源_01水果!$B1120)&lt;$AL$2,N(对接源_01水果!$B1120)&gt;$AL$3),0,1))</f>
        <v>0</v>
      </c>
      <c r="AM1120">
        <f>N(AM1119)+$AL1120</f>
        <v>2</v>
      </c>
      <c r="AN1120">
        <f>IF(对接源_01水果!$AC1120="","",对接源_01水果!$AC1120)</f>
      </c>
      <c r="AO1120">
        <f>IF(AN1120="",0,IF(MATCH(AN1120,$AN$4:$AN$1203,0)=ROW()-3,1,0))</f>
        <v>0</v>
      </c>
      <c r="AP1120">
        <f>N(AP1119)+$AO1120</f>
        <v>13</v>
      </c>
      <c r="AR1120">
        <f>IF(OR($AF1120=1,$AH1120=1),1,0)</f>
        <v>0</v>
      </c>
      <c r="AS1120">
        <f>N(AS1119)+$AR1120</f>
        <v>0</v>
      </c>
    </row>
    <row r="1121" ht="14.25" customHeight="1" s="127">
      <c r="A1121">
        <f>IF(对接源_01水果!$C1121="","",对接源_01水果!$C1121)</f>
      </c>
      <c r="B1121">
        <f>IF(A1121="",0,IF(MATCH(A1121,$A$4:$A$2403,0)=ROW()-3,1,0))</f>
        <v>0</v>
      </c>
      <c r="C1121">
        <f>N(C1120)+B1121</f>
        <v>22</v>
      </c>
      <c r="K1121">
        <f>IF(OR($K$1="",对接源_01水果!$C1121="",对接源_01水果!$C1121&lt;&gt;$K$1,对接源_01水果!$B1121=""),0,IF(OR(N(对接源_01水果!$B1121)&lt;$K$2,N(对接源_01水果!$B1121)&gt;$K$3),0,1))</f>
        <v>0</v>
      </c>
      <c r="L1121">
        <f>IF(OR($L$1="",对接源_01水果!$C1121="",对接源_01水果!$C1121&lt;&gt;$L$1,对接源_01水果!$B1121=""),0,IF(OR(N(对接源_01水果!$B1121)&lt;$L$2,N(对接源_01水果!$B1121)&gt;$L$3),0,1))</f>
        <v>0</v>
      </c>
      <c r="M1121">
        <f>IF(OR($M$1="",对接源_01水果!$C1121="",对接源_01水果!$C1121&lt;&gt;$M$1,对接源_01水果!$B1121=""),0,IF(OR(N(对接源_01水果!$B1121)&lt;$M$2,N(对接源_01水果!$B1121)&gt;$M$3),0,1))</f>
        <v>0</v>
      </c>
      <c r="N1121">
        <f>IF(OR($N$1="",对接源_01水果!$C1121="",对接源_01水果!$C1121&lt;&gt;$N$1,对接源_01水果!$B1121=""),0,IF(OR(N(对接源_01水果!$B1121)&lt;$N$2,N(对接源_01水果!$B1121)&gt;$N$3),0,1))</f>
        <v>0</v>
      </c>
      <c r="P1121">
        <f>IF(AND($K1121=1,AND(对接源_01水果!$X1121="公司筐",N(对接源_01水果!$T1121)&lt;&gt;0)),1,0)</f>
        <v>0</v>
      </c>
      <c r="Q1121">
        <f>N(Q1120)+$P1121</f>
        <v>0</v>
      </c>
      <c r="R1121">
        <f>IF(AND($K1121=1,AND(对接源_01水果!$X1121="公司筐",N(对接源_01水果!$U1121)&lt;&gt;0)),1,0)</f>
        <v>0</v>
      </c>
      <c r="S1121">
        <f>N(S1120)+$R1121</f>
        <v>0</v>
      </c>
      <c r="T1121">
        <f>IF(AND($K1121=1,AND(对接源_01水果!$X1121="公司筐",N(对接源_01水果!$V1121)&lt;&gt;0)),1,0)</f>
        <v>0</v>
      </c>
      <c r="U1121">
        <f>N(U1120)+$T1121</f>
        <v>47</v>
      </c>
      <c r="V1121">
        <f>IF(AND($L1121=1,AND(对接源_01水果!$X1121="自备筐",N(对接源_01水果!$V1121)&lt;&gt;0)),1,0)</f>
        <v>0</v>
      </c>
      <c r="W1121">
        <f>N(W1120)+$V1121</f>
        <v>11</v>
      </c>
      <c r="X1121">
        <f>IF(AND($L1121=1,AND(对接源_01水果!$X1121="自备筐",N(对接源_01水果!$T1121)&lt;&gt;0)),1,0)</f>
        <v>0</v>
      </c>
      <c r="Y1121">
        <f>N(Y1120)+$X1121</f>
        <v>0</v>
      </c>
      <c r="Z1121">
        <f>IF(AND($M1121=1,对接源_01水果!$D1121="原料入库"),1,0)</f>
        <v>0</v>
      </c>
      <c r="AA1121">
        <f>N(AA1120)+$Z1121</f>
        <v>24</v>
      </c>
      <c r="AB1121">
        <f>IF(AND($M1121=1,LEFT(对接源_01水果!$D1121,4)="原料出库"),1,0)</f>
        <v>0</v>
      </c>
      <c r="AC1121">
        <f>N(AC1120)+$AB1121</f>
        <v>0</v>
      </c>
      <c r="AD1121">
        <f>IF(AND($M1121=1,LEFT(对接源_01水果!$D1121,4)="成品出库"),1,0)</f>
        <v>0</v>
      </c>
      <c r="AE1121">
        <f>N(AE1120)+$AD1121</f>
        <v>0</v>
      </c>
      <c r="AF1121">
        <f>IF(AND($N1121=1,AND(LEFT(对接源_01水果!$D1121,4)="包装物料",N(对接源_01水果!$K1121)&lt;&gt;0)),1,0)</f>
        <v>0</v>
      </c>
      <c r="AG1121">
        <f>N(AG1120)+$AF1121</f>
        <v>0</v>
      </c>
      <c r="AH1121">
        <f>IF(AND($N1121=1,AND(对接源_01水果!$D1121="周转筐－销售出库",N(对接源_01水果!$K1121)&lt;&gt;0)),1,0)</f>
        <v>0</v>
      </c>
      <c r="AI1121">
        <f>N(AI1120)+$AH1121</f>
        <v>0</v>
      </c>
      <c r="AJ1121" s="7" t="n"/>
      <c r="AL1121">
        <f>IF(OR($AL$1="",对接源_01水果!$Y1121="",对接源_01水果!$Y1121&lt;&gt;$AL$1,对接源_01水果!$B1121="",N(对接源_01水果!$AJ1121)&lt;=0),0,IF(OR(N(对接源_01水果!$B1121)&lt;$AL$2,N(对接源_01水果!$B1121)&gt;$AL$3),0,1))</f>
        <v>0</v>
      </c>
      <c r="AM1121">
        <f>N(AM1120)+$AL1121</f>
        <v>2</v>
      </c>
      <c r="AN1121">
        <f>IF(对接源_01水果!$AC1121="","",对接源_01水果!$AC1121)</f>
      </c>
      <c r="AO1121">
        <f>IF(AN1121="",0,IF(MATCH(AN1121,$AN$4:$AN$1203,0)=ROW()-3,1,0))</f>
        <v>0</v>
      </c>
      <c r="AP1121">
        <f>N(AP1120)+$AO1121</f>
        <v>13</v>
      </c>
      <c r="AR1121">
        <f>IF(OR($AF1121=1,$AH1121=1),1,0)</f>
        <v>0</v>
      </c>
      <c r="AS1121">
        <f>N(AS1120)+$AR1121</f>
        <v>0</v>
      </c>
    </row>
    <row r="1122" ht="14.25" customHeight="1" s="127">
      <c r="A1122">
        <f>IF(对接源_01水果!$C1122="","",对接源_01水果!$C1122)</f>
      </c>
      <c r="B1122">
        <f>IF(A1122="",0,IF(MATCH(A1122,$A$4:$A$2403,0)=ROW()-3,1,0))</f>
        <v>0</v>
      </c>
      <c r="C1122">
        <f>N(C1121)+B1122</f>
        <v>22</v>
      </c>
      <c r="K1122">
        <f>IF(OR($K$1="",对接源_01水果!$C1122="",对接源_01水果!$C1122&lt;&gt;$K$1,对接源_01水果!$B1122=""),0,IF(OR(N(对接源_01水果!$B1122)&lt;$K$2,N(对接源_01水果!$B1122)&gt;$K$3),0,1))</f>
        <v>0</v>
      </c>
      <c r="L1122">
        <f>IF(OR($L$1="",对接源_01水果!$C1122="",对接源_01水果!$C1122&lt;&gt;$L$1,对接源_01水果!$B1122=""),0,IF(OR(N(对接源_01水果!$B1122)&lt;$L$2,N(对接源_01水果!$B1122)&gt;$L$3),0,1))</f>
        <v>0</v>
      </c>
      <c r="M1122">
        <f>IF(OR($M$1="",对接源_01水果!$C1122="",对接源_01水果!$C1122&lt;&gt;$M$1,对接源_01水果!$B1122=""),0,IF(OR(N(对接源_01水果!$B1122)&lt;$M$2,N(对接源_01水果!$B1122)&gt;$M$3),0,1))</f>
        <v>0</v>
      </c>
      <c r="N1122">
        <f>IF(OR($N$1="",对接源_01水果!$C1122="",对接源_01水果!$C1122&lt;&gt;$N$1,对接源_01水果!$B1122=""),0,IF(OR(N(对接源_01水果!$B1122)&lt;$N$2,N(对接源_01水果!$B1122)&gt;$N$3),0,1))</f>
        <v>0</v>
      </c>
      <c r="P1122">
        <f>IF(AND($K1122=1,AND(对接源_01水果!$X1122="公司筐",N(对接源_01水果!$T1122)&lt;&gt;0)),1,0)</f>
        <v>0</v>
      </c>
      <c r="Q1122">
        <f>N(Q1121)+$P1122</f>
        <v>0</v>
      </c>
      <c r="R1122">
        <f>IF(AND($K1122=1,AND(对接源_01水果!$X1122="公司筐",N(对接源_01水果!$U1122)&lt;&gt;0)),1,0)</f>
        <v>0</v>
      </c>
      <c r="S1122">
        <f>N(S1121)+$R1122</f>
        <v>0</v>
      </c>
      <c r="T1122">
        <f>IF(AND($K1122=1,AND(对接源_01水果!$X1122="公司筐",N(对接源_01水果!$V1122)&lt;&gt;0)),1,0)</f>
        <v>0</v>
      </c>
      <c r="U1122">
        <f>N(U1121)+$T1122</f>
        <v>47</v>
      </c>
      <c r="V1122">
        <f>IF(AND($L1122=1,AND(对接源_01水果!$X1122="自备筐",N(对接源_01水果!$V1122)&lt;&gt;0)),1,0)</f>
        <v>0</v>
      </c>
      <c r="W1122">
        <f>N(W1121)+$V1122</f>
        <v>11</v>
      </c>
      <c r="X1122">
        <f>IF(AND($L1122=1,AND(对接源_01水果!$X1122="自备筐",N(对接源_01水果!$T1122)&lt;&gt;0)),1,0)</f>
        <v>0</v>
      </c>
      <c r="Y1122">
        <f>N(Y1121)+$X1122</f>
        <v>0</v>
      </c>
      <c r="Z1122">
        <f>IF(AND($M1122=1,对接源_01水果!$D1122="原料入库"),1,0)</f>
        <v>0</v>
      </c>
      <c r="AA1122">
        <f>N(AA1121)+$Z1122</f>
        <v>24</v>
      </c>
      <c r="AB1122">
        <f>IF(AND($M1122=1,LEFT(对接源_01水果!$D1122,4)="原料出库"),1,0)</f>
        <v>0</v>
      </c>
      <c r="AC1122">
        <f>N(AC1121)+$AB1122</f>
        <v>0</v>
      </c>
      <c r="AD1122">
        <f>IF(AND($M1122=1,LEFT(对接源_01水果!$D1122,4)="成品出库"),1,0)</f>
        <v>0</v>
      </c>
      <c r="AE1122">
        <f>N(AE1121)+$AD1122</f>
        <v>0</v>
      </c>
      <c r="AF1122">
        <f>IF(AND($N1122=1,AND(LEFT(对接源_01水果!$D1122,4)="包装物料",N(对接源_01水果!$K1122)&lt;&gt;0)),1,0)</f>
        <v>0</v>
      </c>
      <c r="AG1122">
        <f>N(AG1121)+$AF1122</f>
        <v>0</v>
      </c>
      <c r="AH1122">
        <f>IF(AND($N1122=1,AND(对接源_01水果!$D1122="周转筐－销售出库",N(对接源_01水果!$K1122)&lt;&gt;0)),1,0)</f>
        <v>0</v>
      </c>
      <c r="AI1122">
        <f>N(AI1121)+$AH1122</f>
        <v>0</v>
      </c>
      <c r="AJ1122" s="7" t="n"/>
      <c r="AL1122">
        <f>IF(OR($AL$1="",对接源_01水果!$Y1122="",对接源_01水果!$Y1122&lt;&gt;$AL$1,对接源_01水果!$B1122="",N(对接源_01水果!$AJ1122)&lt;=0),0,IF(OR(N(对接源_01水果!$B1122)&lt;$AL$2,N(对接源_01水果!$B1122)&gt;$AL$3),0,1))</f>
        <v>0</v>
      </c>
      <c r="AM1122">
        <f>N(AM1121)+$AL1122</f>
        <v>2</v>
      </c>
      <c r="AN1122">
        <f>IF(对接源_01水果!$AC1122="","",对接源_01水果!$AC1122)</f>
      </c>
      <c r="AO1122">
        <f>IF(AN1122="",0,IF(MATCH(AN1122,$AN$4:$AN$1203,0)=ROW()-3,1,0))</f>
        <v>0</v>
      </c>
      <c r="AP1122">
        <f>N(AP1121)+$AO1122</f>
        <v>13</v>
      </c>
      <c r="AR1122">
        <f>IF(OR($AF1122=1,$AH1122=1),1,0)</f>
        <v>0</v>
      </c>
      <c r="AS1122">
        <f>N(AS1121)+$AR1122</f>
        <v>0</v>
      </c>
    </row>
    <row r="1123" ht="14.25" customHeight="1" s="127">
      <c r="A1123">
        <f>IF(对接源_01水果!$C1123="","",对接源_01水果!$C1123)</f>
      </c>
      <c r="B1123">
        <f>IF(A1123="",0,IF(MATCH(A1123,$A$4:$A$2403,0)=ROW()-3,1,0))</f>
        <v>0</v>
      </c>
      <c r="C1123">
        <f>N(C1122)+B1123</f>
        <v>22</v>
      </c>
      <c r="K1123">
        <f>IF(OR($K$1="",对接源_01水果!$C1123="",对接源_01水果!$C1123&lt;&gt;$K$1,对接源_01水果!$B1123=""),0,IF(OR(N(对接源_01水果!$B1123)&lt;$K$2,N(对接源_01水果!$B1123)&gt;$K$3),0,1))</f>
        <v>0</v>
      </c>
      <c r="L1123">
        <f>IF(OR($L$1="",对接源_01水果!$C1123="",对接源_01水果!$C1123&lt;&gt;$L$1,对接源_01水果!$B1123=""),0,IF(OR(N(对接源_01水果!$B1123)&lt;$L$2,N(对接源_01水果!$B1123)&gt;$L$3),0,1))</f>
        <v>0</v>
      </c>
      <c r="M1123">
        <f>IF(OR($M$1="",对接源_01水果!$C1123="",对接源_01水果!$C1123&lt;&gt;$M$1,对接源_01水果!$B1123=""),0,IF(OR(N(对接源_01水果!$B1123)&lt;$M$2,N(对接源_01水果!$B1123)&gt;$M$3),0,1))</f>
        <v>0</v>
      </c>
      <c r="N1123">
        <f>IF(OR($N$1="",对接源_01水果!$C1123="",对接源_01水果!$C1123&lt;&gt;$N$1,对接源_01水果!$B1123=""),0,IF(OR(N(对接源_01水果!$B1123)&lt;$N$2,N(对接源_01水果!$B1123)&gt;$N$3),0,1))</f>
        <v>0</v>
      </c>
      <c r="P1123">
        <f>IF(AND($K1123=1,AND(对接源_01水果!$X1123="公司筐",N(对接源_01水果!$T1123)&lt;&gt;0)),1,0)</f>
        <v>0</v>
      </c>
      <c r="Q1123">
        <f>N(Q1122)+$P1123</f>
        <v>0</v>
      </c>
      <c r="R1123">
        <f>IF(AND($K1123=1,AND(对接源_01水果!$X1123="公司筐",N(对接源_01水果!$U1123)&lt;&gt;0)),1,0)</f>
        <v>0</v>
      </c>
      <c r="S1123">
        <f>N(S1122)+$R1123</f>
        <v>0</v>
      </c>
      <c r="T1123">
        <f>IF(AND($K1123=1,AND(对接源_01水果!$X1123="公司筐",N(对接源_01水果!$V1123)&lt;&gt;0)),1,0)</f>
        <v>0</v>
      </c>
      <c r="U1123">
        <f>N(U1122)+$T1123</f>
        <v>47</v>
      </c>
      <c r="V1123">
        <f>IF(AND($L1123=1,AND(对接源_01水果!$X1123="自备筐",N(对接源_01水果!$V1123)&lt;&gt;0)),1,0)</f>
        <v>0</v>
      </c>
      <c r="W1123">
        <f>N(W1122)+$V1123</f>
        <v>11</v>
      </c>
      <c r="X1123">
        <f>IF(AND($L1123=1,AND(对接源_01水果!$X1123="自备筐",N(对接源_01水果!$T1123)&lt;&gt;0)),1,0)</f>
        <v>0</v>
      </c>
      <c r="Y1123">
        <f>N(Y1122)+$X1123</f>
        <v>0</v>
      </c>
      <c r="Z1123">
        <f>IF(AND($M1123=1,对接源_01水果!$D1123="原料入库"),1,0)</f>
        <v>0</v>
      </c>
      <c r="AA1123">
        <f>N(AA1122)+$Z1123</f>
        <v>24</v>
      </c>
      <c r="AB1123">
        <f>IF(AND($M1123=1,LEFT(对接源_01水果!$D1123,4)="原料出库"),1,0)</f>
        <v>0</v>
      </c>
      <c r="AC1123">
        <f>N(AC1122)+$AB1123</f>
        <v>0</v>
      </c>
      <c r="AD1123">
        <f>IF(AND($M1123=1,LEFT(对接源_01水果!$D1123,4)="成品出库"),1,0)</f>
        <v>0</v>
      </c>
      <c r="AE1123">
        <f>N(AE1122)+$AD1123</f>
        <v>0</v>
      </c>
      <c r="AF1123">
        <f>IF(AND($N1123=1,AND(LEFT(对接源_01水果!$D1123,4)="包装物料",N(对接源_01水果!$K1123)&lt;&gt;0)),1,0)</f>
        <v>0</v>
      </c>
      <c r="AG1123">
        <f>N(AG1122)+$AF1123</f>
        <v>0</v>
      </c>
      <c r="AH1123">
        <f>IF(AND($N1123=1,AND(对接源_01水果!$D1123="周转筐－销售出库",N(对接源_01水果!$K1123)&lt;&gt;0)),1,0)</f>
        <v>0</v>
      </c>
      <c r="AI1123">
        <f>N(AI1122)+$AH1123</f>
        <v>0</v>
      </c>
      <c r="AJ1123" s="7" t="n"/>
      <c r="AL1123">
        <f>IF(OR($AL$1="",对接源_01水果!$Y1123="",对接源_01水果!$Y1123&lt;&gt;$AL$1,对接源_01水果!$B1123="",N(对接源_01水果!$AJ1123)&lt;=0),0,IF(OR(N(对接源_01水果!$B1123)&lt;$AL$2,N(对接源_01水果!$B1123)&gt;$AL$3),0,1))</f>
        <v>0</v>
      </c>
      <c r="AM1123">
        <f>N(AM1122)+$AL1123</f>
        <v>2</v>
      </c>
      <c r="AN1123">
        <f>IF(对接源_01水果!$AC1123="","",对接源_01水果!$AC1123)</f>
      </c>
      <c r="AO1123">
        <f>IF(AN1123="",0,IF(MATCH(AN1123,$AN$4:$AN$1203,0)=ROW()-3,1,0))</f>
        <v>0</v>
      </c>
      <c r="AP1123">
        <f>N(AP1122)+$AO1123</f>
        <v>13</v>
      </c>
      <c r="AR1123">
        <f>IF(OR($AF1123=1,$AH1123=1),1,0)</f>
        <v>0</v>
      </c>
      <c r="AS1123">
        <f>N(AS1122)+$AR1123</f>
        <v>0</v>
      </c>
    </row>
    <row r="1124" ht="14.25" customHeight="1" s="127">
      <c r="A1124">
        <f>IF(对接源_01水果!$C1124="","",对接源_01水果!$C1124)</f>
      </c>
      <c r="B1124">
        <f>IF(A1124="",0,IF(MATCH(A1124,$A$4:$A$2403,0)=ROW()-3,1,0))</f>
        <v>0</v>
      </c>
      <c r="C1124">
        <f>N(C1123)+B1124</f>
        <v>22</v>
      </c>
      <c r="K1124">
        <f>IF(OR($K$1="",对接源_01水果!$C1124="",对接源_01水果!$C1124&lt;&gt;$K$1,对接源_01水果!$B1124=""),0,IF(OR(N(对接源_01水果!$B1124)&lt;$K$2,N(对接源_01水果!$B1124)&gt;$K$3),0,1))</f>
        <v>0</v>
      </c>
      <c r="L1124">
        <f>IF(OR($L$1="",对接源_01水果!$C1124="",对接源_01水果!$C1124&lt;&gt;$L$1,对接源_01水果!$B1124=""),0,IF(OR(N(对接源_01水果!$B1124)&lt;$L$2,N(对接源_01水果!$B1124)&gt;$L$3),0,1))</f>
        <v>0</v>
      </c>
      <c r="M1124">
        <f>IF(OR($M$1="",对接源_01水果!$C1124="",对接源_01水果!$C1124&lt;&gt;$M$1,对接源_01水果!$B1124=""),0,IF(OR(N(对接源_01水果!$B1124)&lt;$M$2,N(对接源_01水果!$B1124)&gt;$M$3),0,1))</f>
        <v>0</v>
      </c>
      <c r="N1124">
        <f>IF(OR($N$1="",对接源_01水果!$C1124="",对接源_01水果!$C1124&lt;&gt;$N$1,对接源_01水果!$B1124=""),0,IF(OR(N(对接源_01水果!$B1124)&lt;$N$2,N(对接源_01水果!$B1124)&gt;$N$3),0,1))</f>
        <v>0</v>
      </c>
      <c r="P1124">
        <f>IF(AND($K1124=1,AND(对接源_01水果!$X1124="公司筐",N(对接源_01水果!$T1124)&lt;&gt;0)),1,0)</f>
        <v>0</v>
      </c>
      <c r="Q1124">
        <f>N(Q1123)+$P1124</f>
        <v>0</v>
      </c>
      <c r="R1124">
        <f>IF(AND($K1124=1,AND(对接源_01水果!$X1124="公司筐",N(对接源_01水果!$U1124)&lt;&gt;0)),1,0)</f>
        <v>0</v>
      </c>
      <c r="S1124">
        <f>N(S1123)+$R1124</f>
        <v>0</v>
      </c>
      <c r="T1124">
        <f>IF(AND($K1124=1,AND(对接源_01水果!$X1124="公司筐",N(对接源_01水果!$V1124)&lt;&gt;0)),1,0)</f>
        <v>0</v>
      </c>
      <c r="U1124">
        <f>N(U1123)+$T1124</f>
        <v>47</v>
      </c>
      <c r="V1124">
        <f>IF(AND($L1124=1,AND(对接源_01水果!$X1124="自备筐",N(对接源_01水果!$V1124)&lt;&gt;0)),1,0)</f>
        <v>0</v>
      </c>
      <c r="W1124">
        <f>N(W1123)+$V1124</f>
        <v>11</v>
      </c>
      <c r="X1124">
        <f>IF(AND($L1124=1,AND(对接源_01水果!$X1124="自备筐",N(对接源_01水果!$T1124)&lt;&gt;0)),1,0)</f>
        <v>0</v>
      </c>
      <c r="Y1124">
        <f>N(Y1123)+$X1124</f>
        <v>0</v>
      </c>
      <c r="Z1124">
        <f>IF(AND($M1124=1,对接源_01水果!$D1124="原料入库"),1,0)</f>
        <v>0</v>
      </c>
      <c r="AA1124">
        <f>N(AA1123)+$Z1124</f>
        <v>24</v>
      </c>
      <c r="AB1124">
        <f>IF(AND($M1124=1,LEFT(对接源_01水果!$D1124,4)="原料出库"),1,0)</f>
        <v>0</v>
      </c>
      <c r="AC1124">
        <f>N(AC1123)+$AB1124</f>
        <v>0</v>
      </c>
      <c r="AD1124">
        <f>IF(AND($M1124=1,LEFT(对接源_01水果!$D1124,4)="成品出库"),1,0)</f>
        <v>0</v>
      </c>
      <c r="AE1124">
        <f>N(AE1123)+$AD1124</f>
        <v>0</v>
      </c>
      <c r="AF1124">
        <f>IF(AND($N1124=1,AND(LEFT(对接源_01水果!$D1124,4)="包装物料",N(对接源_01水果!$K1124)&lt;&gt;0)),1,0)</f>
        <v>0</v>
      </c>
      <c r="AG1124">
        <f>N(AG1123)+$AF1124</f>
        <v>0</v>
      </c>
      <c r="AH1124">
        <f>IF(AND($N1124=1,AND(对接源_01水果!$D1124="周转筐－销售出库",N(对接源_01水果!$K1124)&lt;&gt;0)),1,0)</f>
        <v>0</v>
      </c>
      <c r="AI1124">
        <f>N(AI1123)+$AH1124</f>
        <v>0</v>
      </c>
      <c r="AJ1124" s="7" t="n"/>
      <c r="AL1124">
        <f>IF(OR($AL$1="",对接源_01水果!$Y1124="",对接源_01水果!$Y1124&lt;&gt;$AL$1,对接源_01水果!$B1124="",N(对接源_01水果!$AJ1124)&lt;=0),0,IF(OR(N(对接源_01水果!$B1124)&lt;$AL$2,N(对接源_01水果!$B1124)&gt;$AL$3),0,1))</f>
        <v>0</v>
      </c>
      <c r="AM1124">
        <f>N(AM1123)+$AL1124</f>
        <v>2</v>
      </c>
      <c r="AN1124">
        <f>IF(对接源_01水果!$AC1124="","",对接源_01水果!$AC1124)</f>
      </c>
      <c r="AO1124">
        <f>IF(AN1124="",0,IF(MATCH(AN1124,$AN$4:$AN$1203,0)=ROW()-3,1,0))</f>
        <v>0</v>
      </c>
      <c r="AP1124">
        <f>N(AP1123)+$AO1124</f>
        <v>13</v>
      </c>
      <c r="AR1124">
        <f>IF(OR($AF1124=1,$AH1124=1),1,0)</f>
        <v>0</v>
      </c>
      <c r="AS1124">
        <f>N(AS1123)+$AR1124</f>
        <v>0</v>
      </c>
    </row>
    <row r="1125" ht="14.25" customHeight="1" s="127">
      <c r="A1125">
        <f>IF(对接源_01水果!$C1125="","",对接源_01水果!$C1125)</f>
      </c>
      <c r="B1125">
        <f>IF(A1125="",0,IF(MATCH(A1125,$A$4:$A$2403,0)=ROW()-3,1,0))</f>
        <v>0</v>
      </c>
      <c r="C1125">
        <f>N(C1124)+B1125</f>
        <v>22</v>
      </c>
      <c r="K1125">
        <f>IF(OR($K$1="",对接源_01水果!$C1125="",对接源_01水果!$C1125&lt;&gt;$K$1,对接源_01水果!$B1125=""),0,IF(OR(N(对接源_01水果!$B1125)&lt;$K$2,N(对接源_01水果!$B1125)&gt;$K$3),0,1))</f>
        <v>0</v>
      </c>
      <c r="L1125">
        <f>IF(OR($L$1="",对接源_01水果!$C1125="",对接源_01水果!$C1125&lt;&gt;$L$1,对接源_01水果!$B1125=""),0,IF(OR(N(对接源_01水果!$B1125)&lt;$L$2,N(对接源_01水果!$B1125)&gt;$L$3),0,1))</f>
        <v>0</v>
      </c>
      <c r="M1125">
        <f>IF(OR($M$1="",对接源_01水果!$C1125="",对接源_01水果!$C1125&lt;&gt;$M$1,对接源_01水果!$B1125=""),0,IF(OR(N(对接源_01水果!$B1125)&lt;$M$2,N(对接源_01水果!$B1125)&gt;$M$3),0,1))</f>
        <v>0</v>
      </c>
      <c r="N1125">
        <f>IF(OR($N$1="",对接源_01水果!$C1125="",对接源_01水果!$C1125&lt;&gt;$N$1,对接源_01水果!$B1125=""),0,IF(OR(N(对接源_01水果!$B1125)&lt;$N$2,N(对接源_01水果!$B1125)&gt;$N$3),0,1))</f>
        <v>0</v>
      </c>
      <c r="P1125">
        <f>IF(AND($K1125=1,AND(对接源_01水果!$X1125="公司筐",N(对接源_01水果!$T1125)&lt;&gt;0)),1,0)</f>
        <v>0</v>
      </c>
      <c r="Q1125">
        <f>N(Q1124)+$P1125</f>
        <v>0</v>
      </c>
      <c r="R1125">
        <f>IF(AND($K1125=1,AND(对接源_01水果!$X1125="公司筐",N(对接源_01水果!$U1125)&lt;&gt;0)),1,0)</f>
        <v>0</v>
      </c>
      <c r="S1125">
        <f>N(S1124)+$R1125</f>
        <v>0</v>
      </c>
      <c r="T1125">
        <f>IF(AND($K1125=1,AND(对接源_01水果!$X1125="公司筐",N(对接源_01水果!$V1125)&lt;&gt;0)),1,0)</f>
        <v>0</v>
      </c>
      <c r="U1125">
        <f>N(U1124)+$T1125</f>
        <v>47</v>
      </c>
      <c r="V1125">
        <f>IF(AND($L1125=1,AND(对接源_01水果!$X1125="自备筐",N(对接源_01水果!$V1125)&lt;&gt;0)),1,0)</f>
        <v>0</v>
      </c>
      <c r="W1125">
        <f>N(W1124)+$V1125</f>
        <v>11</v>
      </c>
      <c r="X1125">
        <f>IF(AND($L1125=1,AND(对接源_01水果!$X1125="自备筐",N(对接源_01水果!$T1125)&lt;&gt;0)),1,0)</f>
        <v>0</v>
      </c>
      <c r="Y1125">
        <f>N(Y1124)+$X1125</f>
        <v>0</v>
      </c>
      <c r="Z1125">
        <f>IF(AND($M1125=1,对接源_01水果!$D1125="原料入库"),1,0)</f>
        <v>0</v>
      </c>
      <c r="AA1125">
        <f>N(AA1124)+$Z1125</f>
        <v>24</v>
      </c>
      <c r="AB1125">
        <f>IF(AND($M1125=1,LEFT(对接源_01水果!$D1125,4)="原料出库"),1,0)</f>
        <v>0</v>
      </c>
      <c r="AC1125">
        <f>N(AC1124)+$AB1125</f>
        <v>0</v>
      </c>
      <c r="AD1125">
        <f>IF(AND($M1125=1,LEFT(对接源_01水果!$D1125,4)="成品出库"),1,0)</f>
        <v>0</v>
      </c>
      <c r="AE1125">
        <f>N(AE1124)+$AD1125</f>
        <v>0</v>
      </c>
      <c r="AF1125">
        <f>IF(AND($N1125=1,AND(LEFT(对接源_01水果!$D1125,4)="包装物料",N(对接源_01水果!$K1125)&lt;&gt;0)),1,0)</f>
        <v>0</v>
      </c>
      <c r="AG1125">
        <f>N(AG1124)+$AF1125</f>
        <v>0</v>
      </c>
      <c r="AH1125">
        <f>IF(AND($N1125=1,AND(对接源_01水果!$D1125="周转筐－销售出库",N(对接源_01水果!$K1125)&lt;&gt;0)),1,0)</f>
        <v>0</v>
      </c>
      <c r="AI1125">
        <f>N(AI1124)+$AH1125</f>
        <v>0</v>
      </c>
      <c r="AJ1125" s="7" t="n"/>
      <c r="AL1125">
        <f>IF(OR($AL$1="",对接源_01水果!$Y1125="",对接源_01水果!$Y1125&lt;&gt;$AL$1,对接源_01水果!$B1125="",N(对接源_01水果!$AJ1125)&lt;=0),0,IF(OR(N(对接源_01水果!$B1125)&lt;$AL$2,N(对接源_01水果!$B1125)&gt;$AL$3),0,1))</f>
        <v>0</v>
      </c>
      <c r="AM1125">
        <f>N(AM1124)+$AL1125</f>
        <v>2</v>
      </c>
      <c r="AN1125">
        <f>IF(对接源_01水果!$AC1125="","",对接源_01水果!$AC1125)</f>
      </c>
      <c r="AO1125">
        <f>IF(AN1125="",0,IF(MATCH(AN1125,$AN$4:$AN$1203,0)=ROW()-3,1,0))</f>
        <v>0</v>
      </c>
      <c r="AP1125">
        <f>N(AP1124)+$AO1125</f>
        <v>13</v>
      </c>
      <c r="AR1125">
        <f>IF(OR($AF1125=1,$AH1125=1),1,0)</f>
        <v>0</v>
      </c>
      <c r="AS1125">
        <f>N(AS1124)+$AR1125</f>
        <v>0</v>
      </c>
    </row>
    <row r="1126" ht="14.25" customHeight="1" s="127">
      <c r="A1126">
        <f>IF(对接源_01水果!$C1126="","",对接源_01水果!$C1126)</f>
      </c>
      <c r="B1126">
        <f>IF(A1126="",0,IF(MATCH(A1126,$A$4:$A$2403,0)=ROW()-3,1,0))</f>
        <v>0</v>
      </c>
      <c r="C1126">
        <f>N(C1125)+B1126</f>
        <v>22</v>
      </c>
      <c r="K1126">
        <f>IF(OR($K$1="",对接源_01水果!$C1126="",对接源_01水果!$C1126&lt;&gt;$K$1,对接源_01水果!$B1126=""),0,IF(OR(N(对接源_01水果!$B1126)&lt;$K$2,N(对接源_01水果!$B1126)&gt;$K$3),0,1))</f>
        <v>0</v>
      </c>
      <c r="L1126">
        <f>IF(OR($L$1="",对接源_01水果!$C1126="",对接源_01水果!$C1126&lt;&gt;$L$1,对接源_01水果!$B1126=""),0,IF(OR(N(对接源_01水果!$B1126)&lt;$L$2,N(对接源_01水果!$B1126)&gt;$L$3),0,1))</f>
        <v>0</v>
      </c>
      <c r="M1126">
        <f>IF(OR($M$1="",对接源_01水果!$C1126="",对接源_01水果!$C1126&lt;&gt;$M$1,对接源_01水果!$B1126=""),0,IF(OR(N(对接源_01水果!$B1126)&lt;$M$2,N(对接源_01水果!$B1126)&gt;$M$3),0,1))</f>
        <v>0</v>
      </c>
      <c r="N1126">
        <f>IF(OR($N$1="",对接源_01水果!$C1126="",对接源_01水果!$C1126&lt;&gt;$N$1,对接源_01水果!$B1126=""),0,IF(OR(N(对接源_01水果!$B1126)&lt;$N$2,N(对接源_01水果!$B1126)&gt;$N$3),0,1))</f>
        <v>0</v>
      </c>
      <c r="P1126">
        <f>IF(AND($K1126=1,AND(对接源_01水果!$X1126="公司筐",N(对接源_01水果!$T1126)&lt;&gt;0)),1,0)</f>
        <v>0</v>
      </c>
      <c r="Q1126">
        <f>N(Q1125)+$P1126</f>
        <v>0</v>
      </c>
      <c r="R1126">
        <f>IF(AND($K1126=1,AND(对接源_01水果!$X1126="公司筐",N(对接源_01水果!$U1126)&lt;&gt;0)),1,0)</f>
        <v>0</v>
      </c>
      <c r="S1126">
        <f>N(S1125)+$R1126</f>
        <v>0</v>
      </c>
      <c r="T1126">
        <f>IF(AND($K1126=1,AND(对接源_01水果!$X1126="公司筐",N(对接源_01水果!$V1126)&lt;&gt;0)),1,0)</f>
        <v>0</v>
      </c>
      <c r="U1126">
        <f>N(U1125)+$T1126</f>
        <v>47</v>
      </c>
      <c r="V1126">
        <f>IF(AND($L1126=1,AND(对接源_01水果!$X1126="自备筐",N(对接源_01水果!$V1126)&lt;&gt;0)),1,0)</f>
        <v>0</v>
      </c>
      <c r="W1126">
        <f>N(W1125)+$V1126</f>
        <v>11</v>
      </c>
      <c r="X1126">
        <f>IF(AND($L1126=1,AND(对接源_01水果!$X1126="自备筐",N(对接源_01水果!$T1126)&lt;&gt;0)),1,0)</f>
        <v>0</v>
      </c>
      <c r="Y1126">
        <f>N(Y1125)+$X1126</f>
        <v>0</v>
      </c>
      <c r="Z1126">
        <f>IF(AND($M1126=1,对接源_01水果!$D1126="原料入库"),1,0)</f>
        <v>0</v>
      </c>
      <c r="AA1126">
        <f>N(AA1125)+$Z1126</f>
        <v>24</v>
      </c>
      <c r="AB1126">
        <f>IF(AND($M1126=1,LEFT(对接源_01水果!$D1126,4)="原料出库"),1,0)</f>
        <v>0</v>
      </c>
      <c r="AC1126">
        <f>N(AC1125)+$AB1126</f>
        <v>0</v>
      </c>
      <c r="AD1126">
        <f>IF(AND($M1126=1,LEFT(对接源_01水果!$D1126,4)="成品出库"),1,0)</f>
        <v>0</v>
      </c>
      <c r="AE1126">
        <f>N(AE1125)+$AD1126</f>
        <v>0</v>
      </c>
      <c r="AF1126">
        <f>IF(AND($N1126=1,AND(LEFT(对接源_01水果!$D1126,4)="包装物料",N(对接源_01水果!$K1126)&lt;&gt;0)),1,0)</f>
        <v>0</v>
      </c>
      <c r="AG1126">
        <f>N(AG1125)+$AF1126</f>
        <v>0</v>
      </c>
      <c r="AH1126">
        <f>IF(AND($N1126=1,AND(对接源_01水果!$D1126="周转筐－销售出库",N(对接源_01水果!$K1126)&lt;&gt;0)),1,0)</f>
        <v>0</v>
      </c>
      <c r="AI1126">
        <f>N(AI1125)+$AH1126</f>
        <v>0</v>
      </c>
      <c r="AJ1126" s="7" t="n"/>
      <c r="AL1126">
        <f>IF(OR($AL$1="",对接源_01水果!$Y1126="",对接源_01水果!$Y1126&lt;&gt;$AL$1,对接源_01水果!$B1126="",N(对接源_01水果!$AJ1126)&lt;=0),0,IF(OR(N(对接源_01水果!$B1126)&lt;$AL$2,N(对接源_01水果!$B1126)&gt;$AL$3),0,1))</f>
        <v>0</v>
      </c>
      <c r="AM1126">
        <f>N(AM1125)+$AL1126</f>
        <v>2</v>
      </c>
      <c r="AN1126">
        <f>IF(对接源_01水果!$AC1126="","",对接源_01水果!$AC1126)</f>
      </c>
      <c r="AO1126">
        <f>IF(AN1126="",0,IF(MATCH(AN1126,$AN$4:$AN$1203,0)=ROW()-3,1,0))</f>
        <v>0</v>
      </c>
      <c r="AP1126">
        <f>N(AP1125)+$AO1126</f>
        <v>13</v>
      </c>
      <c r="AR1126">
        <f>IF(OR($AF1126=1,$AH1126=1),1,0)</f>
        <v>0</v>
      </c>
      <c r="AS1126">
        <f>N(AS1125)+$AR1126</f>
        <v>0</v>
      </c>
    </row>
    <row r="1127" ht="14.25" customHeight="1" s="127">
      <c r="A1127">
        <f>IF(对接源_01水果!$C1127="","",对接源_01水果!$C1127)</f>
      </c>
      <c r="B1127">
        <f>IF(A1127="",0,IF(MATCH(A1127,$A$4:$A$2403,0)=ROW()-3,1,0))</f>
        <v>0</v>
      </c>
      <c r="C1127">
        <f>N(C1126)+B1127</f>
        <v>22</v>
      </c>
      <c r="K1127">
        <f>IF(OR($K$1="",对接源_01水果!$C1127="",对接源_01水果!$C1127&lt;&gt;$K$1,对接源_01水果!$B1127=""),0,IF(OR(N(对接源_01水果!$B1127)&lt;$K$2,N(对接源_01水果!$B1127)&gt;$K$3),0,1))</f>
        <v>0</v>
      </c>
      <c r="L1127">
        <f>IF(OR($L$1="",对接源_01水果!$C1127="",对接源_01水果!$C1127&lt;&gt;$L$1,对接源_01水果!$B1127=""),0,IF(OR(N(对接源_01水果!$B1127)&lt;$L$2,N(对接源_01水果!$B1127)&gt;$L$3),0,1))</f>
        <v>0</v>
      </c>
      <c r="M1127">
        <f>IF(OR($M$1="",对接源_01水果!$C1127="",对接源_01水果!$C1127&lt;&gt;$M$1,对接源_01水果!$B1127=""),0,IF(OR(N(对接源_01水果!$B1127)&lt;$M$2,N(对接源_01水果!$B1127)&gt;$M$3),0,1))</f>
        <v>0</v>
      </c>
      <c r="N1127">
        <f>IF(OR($N$1="",对接源_01水果!$C1127="",对接源_01水果!$C1127&lt;&gt;$N$1,对接源_01水果!$B1127=""),0,IF(OR(N(对接源_01水果!$B1127)&lt;$N$2,N(对接源_01水果!$B1127)&gt;$N$3),0,1))</f>
        <v>0</v>
      </c>
      <c r="P1127">
        <f>IF(AND($K1127=1,AND(对接源_01水果!$X1127="公司筐",N(对接源_01水果!$T1127)&lt;&gt;0)),1,0)</f>
        <v>0</v>
      </c>
      <c r="Q1127">
        <f>N(Q1126)+$P1127</f>
        <v>0</v>
      </c>
      <c r="R1127">
        <f>IF(AND($K1127=1,AND(对接源_01水果!$X1127="公司筐",N(对接源_01水果!$U1127)&lt;&gt;0)),1,0)</f>
        <v>0</v>
      </c>
      <c r="S1127">
        <f>N(S1126)+$R1127</f>
        <v>0</v>
      </c>
      <c r="T1127">
        <f>IF(AND($K1127=1,AND(对接源_01水果!$X1127="公司筐",N(对接源_01水果!$V1127)&lt;&gt;0)),1,0)</f>
        <v>0</v>
      </c>
      <c r="U1127">
        <f>N(U1126)+$T1127</f>
        <v>47</v>
      </c>
      <c r="V1127">
        <f>IF(AND($L1127=1,AND(对接源_01水果!$X1127="自备筐",N(对接源_01水果!$V1127)&lt;&gt;0)),1,0)</f>
        <v>0</v>
      </c>
      <c r="W1127">
        <f>N(W1126)+$V1127</f>
        <v>11</v>
      </c>
      <c r="X1127">
        <f>IF(AND($L1127=1,AND(对接源_01水果!$X1127="自备筐",N(对接源_01水果!$T1127)&lt;&gt;0)),1,0)</f>
        <v>0</v>
      </c>
      <c r="Y1127">
        <f>N(Y1126)+$X1127</f>
        <v>0</v>
      </c>
      <c r="Z1127">
        <f>IF(AND($M1127=1,对接源_01水果!$D1127="原料入库"),1,0)</f>
        <v>0</v>
      </c>
      <c r="AA1127">
        <f>N(AA1126)+$Z1127</f>
        <v>24</v>
      </c>
      <c r="AB1127">
        <f>IF(AND($M1127=1,LEFT(对接源_01水果!$D1127,4)="原料出库"),1,0)</f>
        <v>0</v>
      </c>
      <c r="AC1127">
        <f>N(AC1126)+$AB1127</f>
        <v>0</v>
      </c>
      <c r="AD1127">
        <f>IF(AND($M1127=1,LEFT(对接源_01水果!$D1127,4)="成品出库"),1,0)</f>
        <v>0</v>
      </c>
      <c r="AE1127">
        <f>N(AE1126)+$AD1127</f>
        <v>0</v>
      </c>
      <c r="AF1127">
        <f>IF(AND($N1127=1,AND(LEFT(对接源_01水果!$D1127,4)="包装物料",N(对接源_01水果!$K1127)&lt;&gt;0)),1,0)</f>
        <v>0</v>
      </c>
      <c r="AG1127">
        <f>N(AG1126)+$AF1127</f>
        <v>0</v>
      </c>
      <c r="AH1127">
        <f>IF(AND($N1127=1,AND(对接源_01水果!$D1127="周转筐－销售出库",N(对接源_01水果!$K1127)&lt;&gt;0)),1,0)</f>
        <v>0</v>
      </c>
      <c r="AI1127">
        <f>N(AI1126)+$AH1127</f>
        <v>0</v>
      </c>
      <c r="AJ1127" s="7" t="n"/>
      <c r="AL1127">
        <f>IF(OR($AL$1="",对接源_01水果!$Y1127="",对接源_01水果!$Y1127&lt;&gt;$AL$1,对接源_01水果!$B1127="",N(对接源_01水果!$AJ1127)&lt;=0),0,IF(OR(N(对接源_01水果!$B1127)&lt;$AL$2,N(对接源_01水果!$B1127)&gt;$AL$3),0,1))</f>
        <v>0</v>
      </c>
      <c r="AM1127">
        <f>N(AM1126)+$AL1127</f>
        <v>2</v>
      </c>
      <c r="AN1127">
        <f>IF(对接源_01水果!$AC1127="","",对接源_01水果!$AC1127)</f>
      </c>
      <c r="AO1127">
        <f>IF(AN1127="",0,IF(MATCH(AN1127,$AN$4:$AN$1203,0)=ROW()-3,1,0))</f>
        <v>0</v>
      </c>
      <c r="AP1127">
        <f>N(AP1126)+$AO1127</f>
        <v>13</v>
      </c>
      <c r="AR1127">
        <f>IF(OR($AF1127=1,$AH1127=1),1,0)</f>
        <v>0</v>
      </c>
      <c r="AS1127">
        <f>N(AS1126)+$AR1127</f>
        <v>0</v>
      </c>
    </row>
    <row r="1128" ht="14.25" customHeight="1" s="127">
      <c r="A1128">
        <f>IF(对接源_01水果!$C1128="","",对接源_01水果!$C1128)</f>
      </c>
      <c r="B1128">
        <f>IF(A1128="",0,IF(MATCH(A1128,$A$4:$A$2403,0)=ROW()-3,1,0))</f>
        <v>0</v>
      </c>
      <c r="C1128">
        <f>N(C1127)+B1128</f>
        <v>22</v>
      </c>
      <c r="K1128">
        <f>IF(OR($K$1="",对接源_01水果!$C1128="",对接源_01水果!$C1128&lt;&gt;$K$1,对接源_01水果!$B1128=""),0,IF(OR(N(对接源_01水果!$B1128)&lt;$K$2,N(对接源_01水果!$B1128)&gt;$K$3),0,1))</f>
        <v>0</v>
      </c>
      <c r="L1128">
        <f>IF(OR($L$1="",对接源_01水果!$C1128="",对接源_01水果!$C1128&lt;&gt;$L$1,对接源_01水果!$B1128=""),0,IF(OR(N(对接源_01水果!$B1128)&lt;$L$2,N(对接源_01水果!$B1128)&gt;$L$3),0,1))</f>
        <v>0</v>
      </c>
      <c r="M1128">
        <f>IF(OR($M$1="",对接源_01水果!$C1128="",对接源_01水果!$C1128&lt;&gt;$M$1,对接源_01水果!$B1128=""),0,IF(OR(N(对接源_01水果!$B1128)&lt;$M$2,N(对接源_01水果!$B1128)&gt;$M$3),0,1))</f>
        <v>0</v>
      </c>
      <c r="N1128">
        <f>IF(OR($N$1="",对接源_01水果!$C1128="",对接源_01水果!$C1128&lt;&gt;$N$1,对接源_01水果!$B1128=""),0,IF(OR(N(对接源_01水果!$B1128)&lt;$N$2,N(对接源_01水果!$B1128)&gt;$N$3),0,1))</f>
        <v>0</v>
      </c>
      <c r="P1128">
        <f>IF(AND($K1128=1,AND(对接源_01水果!$X1128="公司筐",N(对接源_01水果!$T1128)&lt;&gt;0)),1,0)</f>
        <v>0</v>
      </c>
      <c r="Q1128">
        <f>N(Q1127)+$P1128</f>
        <v>0</v>
      </c>
      <c r="R1128">
        <f>IF(AND($K1128=1,AND(对接源_01水果!$X1128="公司筐",N(对接源_01水果!$U1128)&lt;&gt;0)),1,0)</f>
        <v>0</v>
      </c>
      <c r="S1128">
        <f>N(S1127)+$R1128</f>
        <v>0</v>
      </c>
      <c r="T1128">
        <f>IF(AND($K1128=1,AND(对接源_01水果!$X1128="公司筐",N(对接源_01水果!$V1128)&lt;&gt;0)),1,0)</f>
        <v>0</v>
      </c>
      <c r="U1128">
        <f>N(U1127)+$T1128</f>
        <v>47</v>
      </c>
      <c r="V1128">
        <f>IF(AND($L1128=1,AND(对接源_01水果!$X1128="自备筐",N(对接源_01水果!$V1128)&lt;&gt;0)),1,0)</f>
        <v>0</v>
      </c>
      <c r="W1128">
        <f>N(W1127)+$V1128</f>
        <v>11</v>
      </c>
      <c r="X1128">
        <f>IF(AND($L1128=1,AND(对接源_01水果!$X1128="自备筐",N(对接源_01水果!$T1128)&lt;&gt;0)),1,0)</f>
        <v>0</v>
      </c>
      <c r="Y1128">
        <f>N(Y1127)+$X1128</f>
        <v>0</v>
      </c>
      <c r="Z1128">
        <f>IF(AND($M1128=1,对接源_01水果!$D1128="原料入库"),1,0)</f>
        <v>0</v>
      </c>
      <c r="AA1128">
        <f>N(AA1127)+$Z1128</f>
        <v>24</v>
      </c>
      <c r="AB1128">
        <f>IF(AND($M1128=1,LEFT(对接源_01水果!$D1128,4)="原料出库"),1,0)</f>
        <v>0</v>
      </c>
      <c r="AC1128">
        <f>N(AC1127)+$AB1128</f>
        <v>0</v>
      </c>
      <c r="AD1128">
        <f>IF(AND($M1128=1,LEFT(对接源_01水果!$D1128,4)="成品出库"),1,0)</f>
        <v>0</v>
      </c>
      <c r="AE1128">
        <f>N(AE1127)+$AD1128</f>
        <v>0</v>
      </c>
      <c r="AF1128">
        <f>IF(AND($N1128=1,AND(LEFT(对接源_01水果!$D1128,4)="包装物料",N(对接源_01水果!$K1128)&lt;&gt;0)),1,0)</f>
        <v>0</v>
      </c>
      <c r="AG1128">
        <f>N(AG1127)+$AF1128</f>
        <v>0</v>
      </c>
      <c r="AH1128">
        <f>IF(AND($N1128=1,AND(对接源_01水果!$D1128="周转筐－销售出库",N(对接源_01水果!$K1128)&lt;&gt;0)),1,0)</f>
        <v>0</v>
      </c>
      <c r="AI1128">
        <f>N(AI1127)+$AH1128</f>
        <v>0</v>
      </c>
      <c r="AJ1128" s="7" t="n"/>
      <c r="AL1128">
        <f>IF(OR($AL$1="",对接源_01水果!$Y1128="",对接源_01水果!$Y1128&lt;&gt;$AL$1,对接源_01水果!$B1128="",N(对接源_01水果!$AJ1128)&lt;=0),0,IF(OR(N(对接源_01水果!$B1128)&lt;$AL$2,N(对接源_01水果!$B1128)&gt;$AL$3),0,1))</f>
        <v>0</v>
      </c>
      <c r="AM1128">
        <f>N(AM1127)+$AL1128</f>
        <v>2</v>
      </c>
      <c r="AN1128">
        <f>IF(对接源_01水果!$AC1128="","",对接源_01水果!$AC1128)</f>
      </c>
      <c r="AO1128">
        <f>IF(AN1128="",0,IF(MATCH(AN1128,$AN$4:$AN$1203,0)=ROW()-3,1,0))</f>
        <v>0</v>
      </c>
      <c r="AP1128">
        <f>N(AP1127)+$AO1128</f>
        <v>13</v>
      </c>
      <c r="AR1128">
        <f>IF(OR($AF1128=1,$AH1128=1),1,0)</f>
        <v>0</v>
      </c>
      <c r="AS1128">
        <f>N(AS1127)+$AR1128</f>
        <v>0</v>
      </c>
    </row>
    <row r="1129" ht="14.25" customHeight="1" s="127">
      <c r="A1129">
        <f>IF(对接源_01水果!$C1129="","",对接源_01水果!$C1129)</f>
      </c>
      <c r="B1129">
        <f>IF(A1129="",0,IF(MATCH(A1129,$A$4:$A$2403,0)=ROW()-3,1,0))</f>
        <v>0</v>
      </c>
      <c r="C1129">
        <f>N(C1128)+B1129</f>
        <v>22</v>
      </c>
      <c r="K1129">
        <f>IF(OR($K$1="",对接源_01水果!$C1129="",对接源_01水果!$C1129&lt;&gt;$K$1,对接源_01水果!$B1129=""),0,IF(OR(N(对接源_01水果!$B1129)&lt;$K$2,N(对接源_01水果!$B1129)&gt;$K$3),0,1))</f>
        <v>0</v>
      </c>
      <c r="L1129">
        <f>IF(OR($L$1="",对接源_01水果!$C1129="",对接源_01水果!$C1129&lt;&gt;$L$1,对接源_01水果!$B1129=""),0,IF(OR(N(对接源_01水果!$B1129)&lt;$L$2,N(对接源_01水果!$B1129)&gt;$L$3),0,1))</f>
        <v>0</v>
      </c>
      <c r="M1129">
        <f>IF(OR($M$1="",对接源_01水果!$C1129="",对接源_01水果!$C1129&lt;&gt;$M$1,对接源_01水果!$B1129=""),0,IF(OR(N(对接源_01水果!$B1129)&lt;$M$2,N(对接源_01水果!$B1129)&gt;$M$3),0,1))</f>
        <v>0</v>
      </c>
      <c r="N1129">
        <f>IF(OR($N$1="",对接源_01水果!$C1129="",对接源_01水果!$C1129&lt;&gt;$N$1,对接源_01水果!$B1129=""),0,IF(OR(N(对接源_01水果!$B1129)&lt;$N$2,N(对接源_01水果!$B1129)&gt;$N$3),0,1))</f>
        <v>0</v>
      </c>
      <c r="P1129">
        <f>IF(AND($K1129=1,AND(对接源_01水果!$X1129="公司筐",N(对接源_01水果!$T1129)&lt;&gt;0)),1,0)</f>
        <v>0</v>
      </c>
      <c r="Q1129">
        <f>N(Q1128)+$P1129</f>
        <v>0</v>
      </c>
      <c r="R1129">
        <f>IF(AND($K1129=1,AND(对接源_01水果!$X1129="公司筐",N(对接源_01水果!$U1129)&lt;&gt;0)),1,0)</f>
        <v>0</v>
      </c>
      <c r="S1129">
        <f>N(S1128)+$R1129</f>
        <v>0</v>
      </c>
      <c r="T1129">
        <f>IF(AND($K1129=1,AND(对接源_01水果!$X1129="公司筐",N(对接源_01水果!$V1129)&lt;&gt;0)),1,0)</f>
        <v>0</v>
      </c>
      <c r="U1129">
        <f>N(U1128)+$T1129</f>
        <v>47</v>
      </c>
      <c r="V1129">
        <f>IF(AND($L1129=1,AND(对接源_01水果!$X1129="自备筐",N(对接源_01水果!$V1129)&lt;&gt;0)),1,0)</f>
        <v>0</v>
      </c>
      <c r="W1129">
        <f>N(W1128)+$V1129</f>
        <v>11</v>
      </c>
      <c r="X1129">
        <f>IF(AND($L1129=1,AND(对接源_01水果!$X1129="自备筐",N(对接源_01水果!$T1129)&lt;&gt;0)),1,0)</f>
        <v>0</v>
      </c>
      <c r="Y1129">
        <f>N(Y1128)+$X1129</f>
        <v>0</v>
      </c>
      <c r="Z1129">
        <f>IF(AND($M1129=1,对接源_01水果!$D1129="原料入库"),1,0)</f>
        <v>0</v>
      </c>
      <c r="AA1129">
        <f>N(AA1128)+$Z1129</f>
        <v>24</v>
      </c>
      <c r="AB1129">
        <f>IF(AND($M1129=1,LEFT(对接源_01水果!$D1129,4)="原料出库"),1,0)</f>
        <v>0</v>
      </c>
      <c r="AC1129">
        <f>N(AC1128)+$AB1129</f>
        <v>0</v>
      </c>
      <c r="AD1129">
        <f>IF(AND($M1129=1,LEFT(对接源_01水果!$D1129,4)="成品出库"),1,0)</f>
        <v>0</v>
      </c>
      <c r="AE1129">
        <f>N(AE1128)+$AD1129</f>
        <v>0</v>
      </c>
      <c r="AF1129">
        <f>IF(AND($N1129=1,AND(LEFT(对接源_01水果!$D1129,4)="包装物料",N(对接源_01水果!$K1129)&lt;&gt;0)),1,0)</f>
        <v>0</v>
      </c>
      <c r="AG1129">
        <f>N(AG1128)+$AF1129</f>
        <v>0</v>
      </c>
      <c r="AH1129">
        <f>IF(AND($N1129=1,AND(对接源_01水果!$D1129="周转筐－销售出库",N(对接源_01水果!$K1129)&lt;&gt;0)),1,0)</f>
        <v>0</v>
      </c>
      <c r="AI1129">
        <f>N(AI1128)+$AH1129</f>
        <v>0</v>
      </c>
      <c r="AJ1129" s="7" t="n"/>
      <c r="AL1129">
        <f>IF(OR($AL$1="",对接源_01水果!$Y1129="",对接源_01水果!$Y1129&lt;&gt;$AL$1,对接源_01水果!$B1129="",N(对接源_01水果!$AJ1129)&lt;=0),0,IF(OR(N(对接源_01水果!$B1129)&lt;$AL$2,N(对接源_01水果!$B1129)&gt;$AL$3),0,1))</f>
        <v>0</v>
      </c>
      <c r="AM1129">
        <f>N(AM1128)+$AL1129</f>
        <v>2</v>
      </c>
      <c r="AN1129">
        <f>IF(对接源_01水果!$AC1129="","",对接源_01水果!$AC1129)</f>
      </c>
      <c r="AO1129">
        <f>IF(AN1129="",0,IF(MATCH(AN1129,$AN$4:$AN$1203,0)=ROW()-3,1,0))</f>
        <v>0</v>
      </c>
      <c r="AP1129">
        <f>N(AP1128)+$AO1129</f>
        <v>13</v>
      </c>
      <c r="AR1129">
        <f>IF(OR($AF1129=1,$AH1129=1),1,0)</f>
        <v>0</v>
      </c>
      <c r="AS1129">
        <f>N(AS1128)+$AR1129</f>
        <v>0</v>
      </c>
    </row>
    <row r="1130" ht="14.25" customHeight="1" s="127">
      <c r="A1130">
        <f>IF(对接源_01水果!$C1130="","",对接源_01水果!$C1130)</f>
      </c>
      <c r="B1130">
        <f>IF(A1130="",0,IF(MATCH(A1130,$A$4:$A$2403,0)=ROW()-3,1,0))</f>
        <v>0</v>
      </c>
      <c r="C1130">
        <f>N(C1129)+B1130</f>
        <v>22</v>
      </c>
      <c r="K1130">
        <f>IF(OR($K$1="",对接源_01水果!$C1130="",对接源_01水果!$C1130&lt;&gt;$K$1,对接源_01水果!$B1130=""),0,IF(OR(N(对接源_01水果!$B1130)&lt;$K$2,N(对接源_01水果!$B1130)&gt;$K$3),0,1))</f>
        <v>0</v>
      </c>
      <c r="L1130">
        <f>IF(OR($L$1="",对接源_01水果!$C1130="",对接源_01水果!$C1130&lt;&gt;$L$1,对接源_01水果!$B1130=""),0,IF(OR(N(对接源_01水果!$B1130)&lt;$L$2,N(对接源_01水果!$B1130)&gt;$L$3),0,1))</f>
        <v>0</v>
      </c>
      <c r="M1130">
        <f>IF(OR($M$1="",对接源_01水果!$C1130="",对接源_01水果!$C1130&lt;&gt;$M$1,对接源_01水果!$B1130=""),0,IF(OR(N(对接源_01水果!$B1130)&lt;$M$2,N(对接源_01水果!$B1130)&gt;$M$3),0,1))</f>
        <v>0</v>
      </c>
      <c r="N1130">
        <f>IF(OR($N$1="",对接源_01水果!$C1130="",对接源_01水果!$C1130&lt;&gt;$N$1,对接源_01水果!$B1130=""),0,IF(OR(N(对接源_01水果!$B1130)&lt;$N$2,N(对接源_01水果!$B1130)&gt;$N$3),0,1))</f>
        <v>0</v>
      </c>
      <c r="P1130">
        <f>IF(AND($K1130=1,AND(对接源_01水果!$X1130="公司筐",N(对接源_01水果!$T1130)&lt;&gt;0)),1,0)</f>
        <v>0</v>
      </c>
      <c r="Q1130">
        <f>N(Q1129)+$P1130</f>
        <v>0</v>
      </c>
      <c r="R1130">
        <f>IF(AND($K1130=1,AND(对接源_01水果!$X1130="公司筐",N(对接源_01水果!$U1130)&lt;&gt;0)),1,0)</f>
        <v>0</v>
      </c>
      <c r="S1130">
        <f>N(S1129)+$R1130</f>
        <v>0</v>
      </c>
      <c r="T1130">
        <f>IF(AND($K1130=1,AND(对接源_01水果!$X1130="公司筐",N(对接源_01水果!$V1130)&lt;&gt;0)),1,0)</f>
        <v>0</v>
      </c>
      <c r="U1130">
        <f>N(U1129)+$T1130</f>
        <v>47</v>
      </c>
      <c r="V1130">
        <f>IF(AND($L1130=1,AND(对接源_01水果!$X1130="自备筐",N(对接源_01水果!$V1130)&lt;&gt;0)),1,0)</f>
        <v>0</v>
      </c>
      <c r="W1130">
        <f>N(W1129)+$V1130</f>
        <v>11</v>
      </c>
      <c r="X1130">
        <f>IF(AND($L1130=1,AND(对接源_01水果!$X1130="自备筐",N(对接源_01水果!$T1130)&lt;&gt;0)),1,0)</f>
        <v>0</v>
      </c>
      <c r="Y1130">
        <f>N(Y1129)+$X1130</f>
        <v>0</v>
      </c>
      <c r="Z1130">
        <f>IF(AND($M1130=1,对接源_01水果!$D1130="原料入库"),1,0)</f>
        <v>0</v>
      </c>
      <c r="AA1130">
        <f>N(AA1129)+$Z1130</f>
        <v>24</v>
      </c>
      <c r="AB1130">
        <f>IF(AND($M1130=1,LEFT(对接源_01水果!$D1130,4)="原料出库"),1,0)</f>
        <v>0</v>
      </c>
      <c r="AC1130">
        <f>N(AC1129)+$AB1130</f>
        <v>0</v>
      </c>
      <c r="AD1130">
        <f>IF(AND($M1130=1,LEFT(对接源_01水果!$D1130,4)="成品出库"),1,0)</f>
        <v>0</v>
      </c>
      <c r="AE1130">
        <f>N(AE1129)+$AD1130</f>
        <v>0</v>
      </c>
      <c r="AF1130">
        <f>IF(AND($N1130=1,AND(LEFT(对接源_01水果!$D1130,4)="包装物料",N(对接源_01水果!$K1130)&lt;&gt;0)),1,0)</f>
        <v>0</v>
      </c>
      <c r="AG1130">
        <f>N(AG1129)+$AF1130</f>
        <v>0</v>
      </c>
      <c r="AH1130">
        <f>IF(AND($N1130=1,AND(对接源_01水果!$D1130="周转筐－销售出库",N(对接源_01水果!$K1130)&lt;&gt;0)),1,0)</f>
        <v>0</v>
      </c>
      <c r="AI1130">
        <f>N(AI1129)+$AH1130</f>
        <v>0</v>
      </c>
      <c r="AJ1130" s="7" t="n"/>
      <c r="AL1130">
        <f>IF(OR($AL$1="",对接源_01水果!$Y1130="",对接源_01水果!$Y1130&lt;&gt;$AL$1,对接源_01水果!$B1130="",N(对接源_01水果!$AJ1130)&lt;=0),0,IF(OR(N(对接源_01水果!$B1130)&lt;$AL$2,N(对接源_01水果!$B1130)&gt;$AL$3),0,1))</f>
        <v>0</v>
      </c>
      <c r="AM1130">
        <f>N(AM1129)+$AL1130</f>
        <v>2</v>
      </c>
      <c r="AN1130">
        <f>IF(对接源_01水果!$AC1130="","",对接源_01水果!$AC1130)</f>
      </c>
      <c r="AO1130">
        <f>IF(AN1130="",0,IF(MATCH(AN1130,$AN$4:$AN$1203,0)=ROW()-3,1,0))</f>
        <v>0</v>
      </c>
      <c r="AP1130">
        <f>N(AP1129)+$AO1130</f>
        <v>13</v>
      </c>
      <c r="AR1130">
        <f>IF(OR($AF1130=1,$AH1130=1),1,0)</f>
        <v>0</v>
      </c>
      <c r="AS1130">
        <f>N(AS1129)+$AR1130</f>
        <v>0</v>
      </c>
    </row>
    <row r="1131" ht="14.25" customHeight="1" s="127">
      <c r="A1131">
        <f>IF(对接源_01水果!$C1131="","",对接源_01水果!$C1131)</f>
      </c>
      <c r="B1131">
        <f>IF(A1131="",0,IF(MATCH(A1131,$A$4:$A$2403,0)=ROW()-3,1,0))</f>
        <v>0</v>
      </c>
      <c r="C1131">
        <f>N(C1130)+B1131</f>
        <v>22</v>
      </c>
      <c r="K1131">
        <f>IF(OR($K$1="",对接源_01水果!$C1131="",对接源_01水果!$C1131&lt;&gt;$K$1,对接源_01水果!$B1131=""),0,IF(OR(N(对接源_01水果!$B1131)&lt;$K$2,N(对接源_01水果!$B1131)&gt;$K$3),0,1))</f>
        <v>0</v>
      </c>
      <c r="L1131">
        <f>IF(OR($L$1="",对接源_01水果!$C1131="",对接源_01水果!$C1131&lt;&gt;$L$1,对接源_01水果!$B1131=""),0,IF(OR(N(对接源_01水果!$B1131)&lt;$L$2,N(对接源_01水果!$B1131)&gt;$L$3),0,1))</f>
        <v>0</v>
      </c>
      <c r="M1131">
        <f>IF(OR($M$1="",对接源_01水果!$C1131="",对接源_01水果!$C1131&lt;&gt;$M$1,对接源_01水果!$B1131=""),0,IF(OR(N(对接源_01水果!$B1131)&lt;$M$2,N(对接源_01水果!$B1131)&gt;$M$3),0,1))</f>
        <v>0</v>
      </c>
      <c r="N1131">
        <f>IF(OR($N$1="",对接源_01水果!$C1131="",对接源_01水果!$C1131&lt;&gt;$N$1,对接源_01水果!$B1131=""),0,IF(OR(N(对接源_01水果!$B1131)&lt;$N$2,N(对接源_01水果!$B1131)&gt;$N$3),0,1))</f>
        <v>0</v>
      </c>
      <c r="P1131">
        <f>IF(AND($K1131=1,AND(对接源_01水果!$X1131="公司筐",N(对接源_01水果!$T1131)&lt;&gt;0)),1,0)</f>
        <v>0</v>
      </c>
      <c r="Q1131">
        <f>N(Q1130)+$P1131</f>
        <v>0</v>
      </c>
      <c r="R1131">
        <f>IF(AND($K1131=1,AND(对接源_01水果!$X1131="公司筐",N(对接源_01水果!$U1131)&lt;&gt;0)),1,0)</f>
        <v>0</v>
      </c>
      <c r="S1131">
        <f>N(S1130)+$R1131</f>
        <v>0</v>
      </c>
      <c r="T1131">
        <f>IF(AND($K1131=1,AND(对接源_01水果!$X1131="公司筐",N(对接源_01水果!$V1131)&lt;&gt;0)),1,0)</f>
        <v>0</v>
      </c>
      <c r="U1131">
        <f>N(U1130)+$T1131</f>
        <v>47</v>
      </c>
      <c r="V1131">
        <f>IF(AND($L1131=1,AND(对接源_01水果!$X1131="自备筐",N(对接源_01水果!$V1131)&lt;&gt;0)),1,0)</f>
        <v>0</v>
      </c>
      <c r="W1131">
        <f>N(W1130)+$V1131</f>
        <v>11</v>
      </c>
      <c r="X1131">
        <f>IF(AND($L1131=1,AND(对接源_01水果!$X1131="自备筐",N(对接源_01水果!$T1131)&lt;&gt;0)),1,0)</f>
        <v>0</v>
      </c>
      <c r="Y1131">
        <f>N(Y1130)+$X1131</f>
        <v>0</v>
      </c>
      <c r="Z1131">
        <f>IF(AND($M1131=1,对接源_01水果!$D1131="原料入库"),1,0)</f>
        <v>0</v>
      </c>
      <c r="AA1131">
        <f>N(AA1130)+$Z1131</f>
        <v>24</v>
      </c>
      <c r="AB1131">
        <f>IF(AND($M1131=1,LEFT(对接源_01水果!$D1131,4)="原料出库"),1,0)</f>
        <v>0</v>
      </c>
      <c r="AC1131">
        <f>N(AC1130)+$AB1131</f>
        <v>0</v>
      </c>
      <c r="AD1131">
        <f>IF(AND($M1131=1,LEFT(对接源_01水果!$D1131,4)="成品出库"),1,0)</f>
        <v>0</v>
      </c>
      <c r="AE1131">
        <f>N(AE1130)+$AD1131</f>
        <v>0</v>
      </c>
      <c r="AF1131">
        <f>IF(AND($N1131=1,AND(LEFT(对接源_01水果!$D1131,4)="包装物料",N(对接源_01水果!$K1131)&lt;&gt;0)),1,0)</f>
        <v>0</v>
      </c>
      <c r="AG1131">
        <f>N(AG1130)+$AF1131</f>
        <v>0</v>
      </c>
      <c r="AH1131">
        <f>IF(AND($N1131=1,AND(对接源_01水果!$D1131="周转筐－销售出库",N(对接源_01水果!$K1131)&lt;&gt;0)),1,0)</f>
        <v>0</v>
      </c>
      <c r="AI1131">
        <f>N(AI1130)+$AH1131</f>
        <v>0</v>
      </c>
      <c r="AJ1131" s="7" t="n"/>
      <c r="AL1131">
        <f>IF(OR($AL$1="",对接源_01水果!$Y1131="",对接源_01水果!$Y1131&lt;&gt;$AL$1,对接源_01水果!$B1131="",N(对接源_01水果!$AJ1131)&lt;=0),0,IF(OR(N(对接源_01水果!$B1131)&lt;$AL$2,N(对接源_01水果!$B1131)&gt;$AL$3),0,1))</f>
        <v>0</v>
      </c>
      <c r="AM1131">
        <f>N(AM1130)+$AL1131</f>
        <v>2</v>
      </c>
      <c r="AN1131">
        <f>IF(对接源_01水果!$AC1131="","",对接源_01水果!$AC1131)</f>
      </c>
      <c r="AO1131">
        <f>IF(AN1131="",0,IF(MATCH(AN1131,$AN$4:$AN$1203,0)=ROW()-3,1,0))</f>
        <v>0</v>
      </c>
      <c r="AP1131">
        <f>N(AP1130)+$AO1131</f>
        <v>13</v>
      </c>
      <c r="AR1131">
        <f>IF(OR($AF1131=1,$AH1131=1),1,0)</f>
        <v>0</v>
      </c>
      <c r="AS1131">
        <f>N(AS1130)+$AR1131</f>
        <v>0</v>
      </c>
    </row>
    <row r="1132" ht="14.25" customHeight="1" s="127">
      <c r="A1132">
        <f>IF(对接源_01水果!$C1132="","",对接源_01水果!$C1132)</f>
      </c>
      <c r="B1132">
        <f>IF(A1132="",0,IF(MATCH(A1132,$A$4:$A$2403,0)=ROW()-3,1,0))</f>
        <v>0</v>
      </c>
      <c r="C1132">
        <f>N(C1131)+B1132</f>
        <v>22</v>
      </c>
      <c r="K1132">
        <f>IF(OR($K$1="",对接源_01水果!$C1132="",对接源_01水果!$C1132&lt;&gt;$K$1,对接源_01水果!$B1132=""),0,IF(OR(N(对接源_01水果!$B1132)&lt;$K$2,N(对接源_01水果!$B1132)&gt;$K$3),0,1))</f>
        <v>0</v>
      </c>
      <c r="L1132">
        <f>IF(OR($L$1="",对接源_01水果!$C1132="",对接源_01水果!$C1132&lt;&gt;$L$1,对接源_01水果!$B1132=""),0,IF(OR(N(对接源_01水果!$B1132)&lt;$L$2,N(对接源_01水果!$B1132)&gt;$L$3),0,1))</f>
        <v>0</v>
      </c>
      <c r="M1132">
        <f>IF(OR($M$1="",对接源_01水果!$C1132="",对接源_01水果!$C1132&lt;&gt;$M$1,对接源_01水果!$B1132=""),0,IF(OR(N(对接源_01水果!$B1132)&lt;$M$2,N(对接源_01水果!$B1132)&gt;$M$3),0,1))</f>
        <v>0</v>
      </c>
      <c r="N1132">
        <f>IF(OR($N$1="",对接源_01水果!$C1132="",对接源_01水果!$C1132&lt;&gt;$N$1,对接源_01水果!$B1132=""),0,IF(OR(N(对接源_01水果!$B1132)&lt;$N$2,N(对接源_01水果!$B1132)&gt;$N$3),0,1))</f>
        <v>0</v>
      </c>
      <c r="P1132">
        <f>IF(AND($K1132=1,AND(对接源_01水果!$X1132="公司筐",N(对接源_01水果!$T1132)&lt;&gt;0)),1,0)</f>
        <v>0</v>
      </c>
      <c r="Q1132">
        <f>N(Q1131)+$P1132</f>
        <v>0</v>
      </c>
      <c r="R1132">
        <f>IF(AND($K1132=1,AND(对接源_01水果!$X1132="公司筐",N(对接源_01水果!$U1132)&lt;&gt;0)),1,0)</f>
        <v>0</v>
      </c>
      <c r="S1132">
        <f>N(S1131)+$R1132</f>
        <v>0</v>
      </c>
      <c r="T1132">
        <f>IF(AND($K1132=1,AND(对接源_01水果!$X1132="公司筐",N(对接源_01水果!$V1132)&lt;&gt;0)),1,0)</f>
        <v>0</v>
      </c>
      <c r="U1132">
        <f>N(U1131)+$T1132</f>
        <v>47</v>
      </c>
      <c r="V1132">
        <f>IF(AND($L1132=1,AND(对接源_01水果!$X1132="自备筐",N(对接源_01水果!$V1132)&lt;&gt;0)),1,0)</f>
        <v>0</v>
      </c>
      <c r="W1132">
        <f>N(W1131)+$V1132</f>
        <v>11</v>
      </c>
      <c r="X1132">
        <f>IF(AND($L1132=1,AND(对接源_01水果!$X1132="自备筐",N(对接源_01水果!$T1132)&lt;&gt;0)),1,0)</f>
        <v>0</v>
      </c>
      <c r="Y1132">
        <f>N(Y1131)+$X1132</f>
        <v>0</v>
      </c>
      <c r="Z1132">
        <f>IF(AND($M1132=1,对接源_01水果!$D1132="原料入库"),1,0)</f>
        <v>0</v>
      </c>
      <c r="AA1132">
        <f>N(AA1131)+$Z1132</f>
        <v>24</v>
      </c>
      <c r="AB1132">
        <f>IF(AND($M1132=1,LEFT(对接源_01水果!$D1132,4)="原料出库"),1,0)</f>
        <v>0</v>
      </c>
      <c r="AC1132">
        <f>N(AC1131)+$AB1132</f>
        <v>0</v>
      </c>
      <c r="AD1132">
        <f>IF(AND($M1132=1,LEFT(对接源_01水果!$D1132,4)="成品出库"),1,0)</f>
        <v>0</v>
      </c>
      <c r="AE1132">
        <f>N(AE1131)+$AD1132</f>
        <v>0</v>
      </c>
      <c r="AF1132">
        <f>IF(AND($N1132=1,AND(LEFT(对接源_01水果!$D1132,4)="包装物料",N(对接源_01水果!$K1132)&lt;&gt;0)),1,0)</f>
        <v>0</v>
      </c>
      <c r="AG1132">
        <f>N(AG1131)+$AF1132</f>
        <v>0</v>
      </c>
      <c r="AH1132">
        <f>IF(AND($N1132=1,AND(对接源_01水果!$D1132="周转筐－销售出库",N(对接源_01水果!$K1132)&lt;&gt;0)),1,0)</f>
        <v>0</v>
      </c>
      <c r="AI1132">
        <f>N(AI1131)+$AH1132</f>
        <v>0</v>
      </c>
      <c r="AJ1132" s="7" t="n"/>
      <c r="AL1132">
        <f>IF(OR($AL$1="",对接源_01水果!$Y1132="",对接源_01水果!$Y1132&lt;&gt;$AL$1,对接源_01水果!$B1132="",N(对接源_01水果!$AJ1132)&lt;=0),0,IF(OR(N(对接源_01水果!$B1132)&lt;$AL$2,N(对接源_01水果!$B1132)&gt;$AL$3),0,1))</f>
        <v>0</v>
      </c>
      <c r="AM1132">
        <f>N(AM1131)+$AL1132</f>
        <v>2</v>
      </c>
      <c r="AN1132">
        <f>IF(对接源_01水果!$AC1132="","",对接源_01水果!$AC1132)</f>
      </c>
      <c r="AO1132">
        <f>IF(AN1132="",0,IF(MATCH(AN1132,$AN$4:$AN$1203,0)=ROW()-3,1,0))</f>
        <v>0</v>
      </c>
      <c r="AP1132">
        <f>N(AP1131)+$AO1132</f>
        <v>13</v>
      </c>
      <c r="AR1132">
        <f>IF(OR($AF1132=1,$AH1132=1),1,0)</f>
        <v>0</v>
      </c>
      <c r="AS1132">
        <f>N(AS1131)+$AR1132</f>
        <v>0</v>
      </c>
    </row>
    <row r="1133" ht="14.25" customHeight="1" s="127">
      <c r="A1133">
        <f>IF(对接源_01水果!$C1133="","",对接源_01水果!$C1133)</f>
      </c>
      <c r="B1133">
        <f>IF(A1133="",0,IF(MATCH(A1133,$A$4:$A$2403,0)=ROW()-3,1,0))</f>
        <v>0</v>
      </c>
      <c r="C1133">
        <f>N(C1132)+B1133</f>
        <v>22</v>
      </c>
      <c r="K1133">
        <f>IF(OR($K$1="",对接源_01水果!$C1133="",对接源_01水果!$C1133&lt;&gt;$K$1,对接源_01水果!$B1133=""),0,IF(OR(N(对接源_01水果!$B1133)&lt;$K$2,N(对接源_01水果!$B1133)&gt;$K$3),0,1))</f>
        <v>0</v>
      </c>
      <c r="L1133">
        <f>IF(OR($L$1="",对接源_01水果!$C1133="",对接源_01水果!$C1133&lt;&gt;$L$1,对接源_01水果!$B1133=""),0,IF(OR(N(对接源_01水果!$B1133)&lt;$L$2,N(对接源_01水果!$B1133)&gt;$L$3),0,1))</f>
        <v>0</v>
      </c>
      <c r="M1133">
        <f>IF(OR($M$1="",对接源_01水果!$C1133="",对接源_01水果!$C1133&lt;&gt;$M$1,对接源_01水果!$B1133=""),0,IF(OR(N(对接源_01水果!$B1133)&lt;$M$2,N(对接源_01水果!$B1133)&gt;$M$3),0,1))</f>
        <v>0</v>
      </c>
      <c r="N1133">
        <f>IF(OR($N$1="",对接源_01水果!$C1133="",对接源_01水果!$C1133&lt;&gt;$N$1,对接源_01水果!$B1133=""),0,IF(OR(N(对接源_01水果!$B1133)&lt;$N$2,N(对接源_01水果!$B1133)&gt;$N$3),0,1))</f>
        <v>0</v>
      </c>
      <c r="P1133">
        <f>IF(AND($K1133=1,AND(对接源_01水果!$X1133="公司筐",N(对接源_01水果!$T1133)&lt;&gt;0)),1,0)</f>
        <v>0</v>
      </c>
      <c r="Q1133">
        <f>N(Q1132)+$P1133</f>
        <v>0</v>
      </c>
      <c r="R1133">
        <f>IF(AND($K1133=1,AND(对接源_01水果!$X1133="公司筐",N(对接源_01水果!$U1133)&lt;&gt;0)),1,0)</f>
        <v>0</v>
      </c>
      <c r="S1133">
        <f>N(S1132)+$R1133</f>
        <v>0</v>
      </c>
      <c r="T1133">
        <f>IF(AND($K1133=1,AND(对接源_01水果!$X1133="公司筐",N(对接源_01水果!$V1133)&lt;&gt;0)),1,0)</f>
        <v>0</v>
      </c>
      <c r="U1133">
        <f>N(U1132)+$T1133</f>
        <v>47</v>
      </c>
      <c r="V1133">
        <f>IF(AND($L1133=1,AND(对接源_01水果!$X1133="自备筐",N(对接源_01水果!$V1133)&lt;&gt;0)),1,0)</f>
        <v>0</v>
      </c>
      <c r="W1133">
        <f>N(W1132)+$V1133</f>
        <v>11</v>
      </c>
      <c r="X1133">
        <f>IF(AND($L1133=1,AND(对接源_01水果!$X1133="自备筐",N(对接源_01水果!$T1133)&lt;&gt;0)),1,0)</f>
        <v>0</v>
      </c>
      <c r="Y1133">
        <f>N(Y1132)+$X1133</f>
        <v>0</v>
      </c>
      <c r="Z1133">
        <f>IF(AND($M1133=1,对接源_01水果!$D1133="原料入库"),1,0)</f>
        <v>0</v>
      </c>
      <c r="AA1133">
        <f>N(AA1132)+$Z1133</f>
        <v>24</v>
      </c>
      <c r="AB1133">
        <f>IF(AND($M1133=1,LEFT(对接源_01水果!$D1133,4)="原料出库"),1,0)</f>
        <v>0</v>
      </c>
      <c r="AC1133">
        <f>N(AC1132)+$AB1133</f>
        <v>0</v>
      </c>
      <c r="AD1133">
        <f>IF(AND($M1133=1,LEFT(对接源_01水果!$D1133,4)="成品出库"),1,0)</f>
        <v>0</v>
      </c>
      <c r="AE1133">
        <f>N(AE1132)+$AD1133</f>
        <v>0</v>
      </c>
      <c r="AF1133">
        <f>IF(AND($N1133=1,AND(LEFT(对接源_01水果!$D1133,4)="包装物料",N(对接源_01水果!$K1133)&lt;&gt;0)),1,0)</f>
        <v>0</v>
      </c>
      <c r="AG1133">
        <f>N(AG1132)+$AF1133</f>
        <v>0</v>
      </c>
      <c r="AH1133">
        <f>IF(AND($N1133=1,AND(对接源_01水果!$D1133="周转筐－销售出库",N(对接源_01水果!$K1133)&lt;&gt;0)),1,0)</f>
        <v>0</v>
      </c>
      <c r="AI1133">
        <f>N(AI1132)+$AH1133</f>
        <v>0</v>
      </c>
      <c r="AJ1133" s="7" t="n"/>
      <c r="AL1133">
        <f>IF(OR($AL$1="",对接源_01水果!$Y1133="",对接源_01水果!$Y1133&lt;&gt;$AL$1,对接源_01水果!$B1133="",N(对接源_01水果!$AJ1133)&lt;=0),0,IF(OR(N(对接源_01水果!$B1133)&lt;$AL$2,N(对接源_01水果!$B1133)&gt;$AL$3),0,1))</f>
        <v>0</v>
      </c>
      <c r="AM1133">
        <f>N(AM1132)+$AL1133</f>
        <v>2</v>
      </c>
      <c r="AN1133">
        <f>IF(对接源_01水果!$AC1133="","",对接源_01水果!$AC1133)</f>
      </c>
      <c r="AO1133">
        <f>IF(AN1133="",0,IF(MATCH(AN1133,$AN$4:$AN$1203,0)=ROW()-3,1,0))</f>
        <v>0</v>
      </c>
      <c r="AP1133">
        <f>N(AP1132)+$AO1133</f>
        <v>13</v>
      </c>
      <c r="AR1133">
        <f>IF(OR($AF1133=1,$AH1133=1),1,0)</f>
        <v>0</v>
      </c>
      <c r="AS1133">
        <f>N(AS1132)+$AR1133</f>
        <v>0</v>
      </c>
    </row>
    <row r="1134" ht="14.25" customHeight="1" s="127">
      <c r="A1134">
        <f>IF(对接源_01水果!$C1134="","",对接源_01水果!$C1134)</f>
      </c>
      <c r="B1134">
        <f>IF(A1134="",0,IF(MATCH(A1134,$A$4:$A$2403,0)=ROW()-3,1,0))</f>
        <v>0</v>
      </c>
      <c r="C1134">
        <f>N(C1133)+B1134</f>
        <v>22</v>
      </c>
      <c r="K1134">
        <f>IF(OR($K$1="",对接源_01水果!$C1134="",对接源_01水果!$C1134&lt;&gt;$K$1,对接源_01水果!$B1134=""),0,IF(OR(N(对接源_01水果!$B1134)&lt;$K$2,N(对接源_01水果!$B1134)&gt;$K$3),0,1))</f>
        <v>0</v>
      </c>
      <c r="L1134">
        <f>IF(OR($L$1="",对接源_01水果!$C1134="",对接源_01水果!$C1134&lt;&gt;$L$1,对接源_01水果!$B1134=""),0,IF(OR(N(对接源_01水果!$B1134)&lt;$L$2,N(对接源_01水果!$B1134)&gt;$L$3),0,1))</f>
        <v>0</v>
      </c>
      <c r="M1134">
        <f>IF(OR($M$1="",对接源_01水果!$C1134="",对接源_01水果!$C1134&lt;&gt;$M$1,对接源_01水果!$B1134=""),0,IF(OR(N(对接源_01水果!$B1134)&lt;$M$2,N(对接源_01水果!$B1134)&gt;$M$3),0,1))</f>
        <v>0</v>
      </c>
      <c r="N1134">
        <f>IF(OR($N$1="",对接源_01水果!$C1134="",对接源_01水果!$C1134&lt;&gt;$N$1,对接源_01水果!$B1134=""),0,IF(OR(N(对接源_01水果!$B1134)&lt;$N$2,N(对接源_01水果!$B1134)&gt;$N$3),0,1))</f>
        <v>0</v>
      </c>
      <c r="P1134">
        <f>IF(AND($K1134=1,AND(对接源_01水果!$X1134="公司筐",N(对接源_01水果!$T1134)&lt;&gt;0)),1,0)</f>
        <v>0</v>
      </c>
      <c r="Q1134">
        <f>N(Q1133)+$P1134</f>
        <v>0</v>
      </c>
      <c r="R1134">
        <f>IF(AND($K1134=1,AND(对接源_01水果!$X1134="公司筐",N(对接源_01水果!$U1134)&lt;&gt;0)),1,0)</f>
        <v>0</v>
      </c>
      <c r="S1134">
        <f>N(S1133)+$R1134</f>
        <v>0</v>
      </c>
      <c r="T1134">
        <f>IF(AND($K1134=1,AND(对接源_01水果!$X1134="公司筐",N(对接源_01水果!$V1134)&lt;&gt;0)),1,0)</f>
        <v>0</v>
      </c>
      <c r="U1134">
        <f>N(U1133)+$T1134</f>
        <v>47</v>
      </c>
      <c r="V1134">
        <f>IF(AND($L1134=1,AND(对接源_01水果!$X1134="自备筐",N(对接源_01水果!$V1134)&lt;&gt;0)),1,0)</f>
        <v>0</v>
      </c>
      <c r="W1134">
        <f>N(W1133)+$V1134</f>
        <v>11</v>
      </c>
      <c r="X1134">
        <f>IF(AND($L1134=1,AND(对接源_01水果!$X1134="自备筐",N(对接源_01水果!$T1134)&lt;&gt;0)),1,0)</f>
        <v>0</v>
      </c>
      <c r="Y1134">
        <f>N(Y1133)+$X1134</f>
        <v>0</v>
      </c>
      <c r="Z1134">
        <f>IF(AND($M1134=1,对接源_01水果!$D1134="原料入库"),1,0)</f>
        <v>0</v>
      </c>
      <c r="AA1134">
        <f>N(AA1133)+$Z1134</f>
        <v>24</v>
      </c>
      <c r="AB1134">
        <f>IF(AND($M1134=1,LEFT(对接源_01水果!$D1134,4)="原料出库"),1,0)</f>
        <v>0</v>
      </c>
      <c r="AC1134">
        <f>N(AC1133)+$AB1134</f>
        <v>0</v>
      </c>
      <c r="AD1134">
        <f>IF(AND($M1134=1,LEFT(对接源_01水果!$D1134,4)="成品出库"),1,0)</f>
        <v>0</v>
      </c>
      <c r="AE1134">
        <f>N(AE1133)+$AD1134</f>
        <v>0</v>
      </c>
      <c r="AF1134">
        <f>IF(AND($N1134=1,AND(LEFT(对接源_01水果!$D1134,4)="包装物料",N(对接源_01水果!$K1134)&lt;&gt;0)),1,0)</f>
        <v>0</v>
      </c>
      <c r="AG1134">
        <f>N(AG1133)+$AF1134</f>
        <v>0</v>
      </c>
      <c r="AH1134">
        <f>IF(AND($N1134=1,AND(对接源_01水果!$D1134="周转筐－销售出库",N(对接源_01水果!$K1134)&lt;&gt;0)),1,0)</f>
        <v>0</v>
      </c>
      <c r="AI1134">
        <f>N(AI1133)+$AH1134</f>
        <v>0</v>
      </c>
      <c r="AJ1134" s="7" t="n"/>
      <c r="AL1134">
        <f>IF(OR($AL$1="",对接源_01水果!$Y1134="",对接源_01水果!$Y1134&lt;&gt;$AL$1,对接源_01水果!$B1134="",N(对接源_01水果!$AJ1134)&lt;=0),0,IF(OR(N(对接源_01水果!$B1134)&lt;$AL$2,N(对接源_01水果!$B1134)&gt;$AL$3),0,1))</f>
        <v>0</v>
      </c>
      <c r="AM1134">
        <f>N(AM1133)+$AL1134</f>
        <v>2</v>
      </c>
      <c r="AN1134">
        <f>IF(对接源_01水果!$AC1134="","",对接源_01水果!$AC1134)</f>
      </c>
      <c r="AO1134">
        <f>IF(AN1134="",0,IF(MATCH(AN1134,$AN$4:$AN$1203,0)=ROW()-3,1,0))</f>
        <v>0</v>
      </c>
      <c r="AP1134">
        <f>N(AP1133)+$AO1134</f>
        <v>13</v>
      </c>
      <c r="AR1134">
        <f>IF(OR($AF1134=1,$AH1134=1),1,0)</f>
        <v>0</v>
      </c>
      <c r="AS1134">
        <f>N(AS1133)+$AR1134</f>
        <v>0</v>
      </c>
    </row>
    <row r="1135" ht="14.25" customHeight="1" s="127">
      <c r="A1135">
        <f>IF(对接源_01水果!$C1135="","",对接源_01水果!$C1135)</f>
      </c>
      <c r="B1135">
        <f>IF(A1135="",0,IF(MATCH(A1135,$A$4:$A$2403,0)=ROW()-3,1,0))</f>
        <v>0</v>
      </c>
      <c r="C1135">
        <f>N(C1134)+B1135</f>
        <v>22</v>
      </c>
      <c r="K1135">
        <f>IF(OR($K$1="",对接源_01水果!$C1135="",对接源_01水果!$C1135&lt;&gt;$K$1,对接源_01水果!$B1135=""),0,IF(OR(N(对接源_01水果!$B1135)&lt;$K$2,N(对接源_01水果!$B1135)&gt;$K$3),0,1))</f>
        <v>0</v>
      </c>
      <c r="L1135">
        <f>IF(OR($L$1="",对接源_01水果!$C1135="",对接源_01水果!$C1135&lt;&gt;$L$1,对接源_01水果!$B1135=""),0,IF(OR(N(对接源_01水果!$B1135)&lt;$L$2,N(对接源_01水果!$B1135)&gt;$L$3),0,1))</f>
        <v>0</v>
      </c>
      <c r="M1135">
        <f>IF(OR($M$1="",对接源_01水果!$C1135="",对接源_01水果!$C1135&lt;&gt;$M$1,对接源_01水果!$B1135=""),0,IF(OR(N(对接源_01水果!$B1135)&lt;$M$2,N(对接源_01水果!$B1135)&gt;$M$3),0,1))</f>
        <v>0</v>
      </c>
      <c r="N1135">
        <f>IF(OR($N$1="",对接源_01水果!$C1135="",对接源_01水果!$C1135&lt;&gt;$N$1,对接源_01水果!$B1135=""),0,IF(OR(N(对接源_01水果!$B1135)&lt;$N$2,N(对接源_01水果!$B1135)&gt;$N$3),0,1))</f>
        <v>0</v>
      </c>
      <c r="P1135">
        <f>IF(AND($K1135=1,AND(对接源_01水果!$X1135="公司筐",N(对接源_01水果!$T1135)&lt;&gt;0)),1,0)</f>
        <v>0</v>
      </c>
      <c r="Q1135">
        <f>N(Q1134)+$P1135</f>
        <v>0</v>
      </c>
      <c r="R1135">
        <f>IF(AND($K1135=1,AND(对接源_01水果!$X1135="公司筐",N(对接源_01水果!$U1135)&lt;&gt;0)),1,0)</f>
        <v>0</v>
      </c>
      <c r="S1135">
        <f>N(S1134)+$R1135</f>
        <v>0</v>
      </c>
      <c r="T1135">
        <f>IF(AND($K1135=1,AND(对接源_01水果!$X1135="公司筐",N(对接源_01水果!$V1135)&lt;&gt;0)),1,0)</f>
        <v>0</v>
      </c>
      <c r="U1135">
        <f>N(U1134)+$T1135</f>
        <v>47</v>
      </c>
      <c r="V1135">
        <f>IF(AND($L1135=1,AND(对接源_01水果!$X1135="自备筐",N(对接源_01水果!$V1135)&lt;&gt;0)),1,0)</f>
        <v>0</v>
      </c>
      <c r="W1135">
        <f>N(W1134)+$V1135</f>
        <v>11</v>
      </c>
      <c r="X1135">
        <f>IF(AND($L1135=1,AND(对接源_01水果!$X1135="自备筐",N(对接源_01水果!$T1135)&lt;&gt;0)),1,0)</f>
        <v>0</v>
      </c>
      <c r="Y1135">
        <f>N(Y1134)+$X1135</f>
        <v>0</v>
      </c>
      <c r="Z1135">
        <f>IF(AND($M1135=1,对接源_01水果!$D1135="原料入库"),1,0)</f>
        <v>0</v>
      </c>
      <c r="AA1135">
        <f>N(AA1134)+$Z1135</f>
        <v>24</v>
      </c>
      <c r="AB1135">
        <f>IF(AND($M1135=1,LEFT(对接源_01水果!$D1135,4)="原料出库"),1,0)</f>
        <v>0</v>
      </c>
      <c r="AC1135">
        <f>N(AC1134)+$AB1135</f>
        <v>0</v>
      </c>
      <c r="AD1135">
        <f>IF(AND($M1135=1,LEFT(对接源_01水果!$D1135,4)="成品出库"),1,0)</f>
        <v>0</v>
      </c>
      <c r="AE1135">
        <f>N(AE1134)+$AD1135</f>
        <v>0</v>
      </c>
      <c r="AF1135">
        <f>IF(AND($N1135=1,AND(LEFT(对接源_01水果!$D1135,4)="包装物料",N(对接源_01水果!$K1135)&lt;&gt;0)),1,0)</f>
        <v>0</v>
      </c>
      <c r="AG1135">
        <f>N(AG1134)+$AF1135</f>
        <v>0</v>
      </c>
      <c r="AH1135">
        <f>IF(AND($N1135=1,AND(对接源_01水果!$D1135="周转筐－销售出库",N(对接源_01水果!$K1135)&lt;&gt;0)),1,0)</f>
        <v>0</v>
      </c>
      <c r="AI1135">
        <f>N(AI1134)+$AH1135</f>
        <v>0</v>
      </c>
      <c r="AJ1135" s="7" t="n"/>
      <c r="AL1135">
        <f>IF(OR($AL$1="",对接源_01水果!$Y1135="",对接源_01水果!$Y1135&lt;&gt;$AL$1,对接源_01水果!$B1135="",N(对接源_01水果!$AJ1135)&lt;=0),0,IF(OR(N(对接源_01水果!$B1135)&lt;$AL$2,N(对接源_01水果!$B1135)&gt;$AL$3),0,1))</f>
        <v>0</v>
      </c>
      <c r="AM1135">
        <f>N(AM1134)+$AL1135</f>
        <v>2</v>
      </c>
      <c r="AN1135">
        <f>IF(对接源_01水果!$AC1135="","",对接源_01水果!$AC1135)</f>
      </c>
      <c r="AO1135">
        <f>IF(AN1135="",0,IF(MATCH(AN1135,$AN$4:$AN$1203,0)=ROW()-3,1,0))</f>
        <v>0</v>
      </c>
      <c r="AP1135">
        <f>N(AP1134)+$AO1135</f>
        <v>13</v>
      </c>
      <c r="AR1135">
        <f>IF(OR($AF1135=1,$AH1135=1),1,0)</f>
        <v>0</v>
      </c>
      <c r="AS1135">
        <f>N(AS1134)+$AR1135</f>
        <v>0</v>
      </c>
    </row>
    <row r="1136" ht="14.25" customHeight="1" s="127">
      <c r="A1136">
        <f>IF(对接源_01水果!$C1136="","",对接源_01水果!$C1136)</f>
      </c>
      <c r="B1136">
        <f>IF(A1136="",0,IF(MATCH(A1136,$A$4:$A$2403,0)=ROW()-3,1,0))</f>
        <v>0</v>
      </c>
      <c r="C1136">
        <f>N(C1135)+B1136</f>
        <v>22</v>
      </c>
      <c r="K1136">
        <f>IF(OR($K$1="",对接源_01水果!$C1136="",对接源_01水果!$C1136&lt;&gt;$K$1,对接源_01水果!$B1136=""),0,IF(OR(N(对接源_01水果!$B1136)&lt;$K$2,N(对接源_01水果!$B1136)&gt;$K$3),0,1))</f>
        <v>0</v>
      </c>
      <c r="L1136">
        <f>IF(OR($L$1="",对接源_01水果!$C1136="",对接源_01水果!$C1136&lt;&gt;$L$1,对接源_01水果!$B1136=""),0,IF(OR(N(对接源_01水果!$B1136)&lt;$L$2,N(对接源_01水果!$B1136)&gt;$L$3),0,1))</f>
        <v>0</v>
      </c>
      <c r="M1136">
        <f>IF(OR($M$1="",对接源_01水果!$C1136="",对接源_01水果!$C1136&lt;&gt;$M$1,对接源_01水果!$B1136=""),0,IF(OR(N(对接源_01水果!$B1136)&lt;$M$2,N(对接源_01水果!$B1136)&gt;$M$3),0,1))</f>
        <v>0</v>
      </c>
      <c r="N1136">
        <f>IF(OR($N$1="",对接源_01水果!$C1136="",对接源_01水果!$C1136&lt;&gt;$N$1,对接源_01水果!$B1136=""),0,IF(OR(N(对接源_01水果!$B1136)&lt;$N$2,N(对接源_01水果!$B1136)&gt;$N$3),0,1))</f>
        <v>0</v>
      </c>
      <c r="P1136">
        <f>IF(AND($K1136=1,AND(对接源_01水果!$X1136="公司筐",N(对接源_01水果!$T1136)&lt;&gt;0)),1,0)</f>
        <v>0</v>
      </c>
      <c r="Q1136">
        <f>N(Q1135)+$P1136</f>
        <v>0</v>
      </c>
      <c r="R1136">
        <f>IF(AND($K1136=1,AND(对接源_01水果!$X1136="公司筐",N(对接源_01水果!$U1136)&lt;&gt;0)),1,0)</f>
        <v>0</v>
      </c>
      <c r="S1136">
        <f>N(S1135)+$R1136</f>
        <v>0</v>
      </c>
      <c r="T1136">
        <f>IF(AND($K1136=1,AND(对接源_01水果!$X1136="公司筐",N(对接源_01水果!$V1136)&lt;&gt;0)),1,0)</f>
        <v>0</v>
      </c>
      <c r="U1136">
        <f>N(U1135)+$T1136</f>
        <v>47</v>
      </c>
      <c r="V1136">
        <f>IF(AND($L1136=1,AND(对接源_01水果!$X1136="自备筐",N(对接源_01水果!$V1136)&lt;&gt;0)),1,0)</f>
        <v>0</v>
      </c>
      <c r="W1136">
        <f>N(W1135)+$V1136</f>
        <v>11</v>
      </c>
      <c r="X1136">
        <f>IF(AND($L1136=1,AND(对接源_01水果!$X1136="自备筐",N(对接源_01水果!$T1136)&lt;&gt;0)),1,0)</f>
        <v>0</v>
      </c>
      <c r="Y1136">
        <f>N(Y1135)+$X1136</f>
        <v>0</v>
      </c>
      <c r="Z1136">
        <f>IF(AND($M1136=1,对接源_01水果!$D1136="原料入库"),1,0)</f>
        <v>0</v>
      </c>
      <c r="AA1136">
        <f>N(AA1135)+$Z1136</f>
        <v>24</v>
      </c>
      <c r="AB1136">
        <f>IF(AND($M1136=1,LEFT(对接源_01水果!$D1136,4)="原料出库"),1,0)</f>
        <v>0</v>
      </c>
      <c r="AC1136">
        <f>N(AC1135)+$AB1136</f>
        <v>0</v>
      </c>
      <c r="AD1136">
        <f>IF(AND($M1136=1,LEFT(对接源_01水果!$D1136,4)="成品出库"),1,0)</f>
        <v>0</v>
      </c>
      <c r="AE1136">
        <f>N(AE1135)+$AD1136</f>
        <v>0</v>
      </c>
      <c r="AF1136">
        <f>IF(AND($N1136=1,AND(LEFT(对接源_01水果!$D1136,4)="包装物料",N(对接源_01水果!$K1136)&lt;&gt;0)),1,0)</f>
        <v>0</v>
      </c>
      <c r="AG1136">
        <f>N(AG1135)+$AF1136</f>
        <v>0</v>
      </c>
      <c r="AH1136">
        <f>IF(AND($N1136=1,AND(对接源_01水果!$D1136="周转筐－销售出库",N(对接源_01水果!$K1136)&lt;&gt;0)),1,0)</f>
        <v>0</v>
      </c>
      <c r="AI1136">
        <f>N(AI1135)+$AH1136</f>
        <v>0</v>
      </c>
      <c r="AJ1136" s="7" t="n"/>
      <c r="AL1136">
        <f>IF(OR($AL$1="",对接源_01水果!$Y1136="",对接源_01水果!$Y1136&lt;&gt;$AL$1,对接源_01水果!$B1136="",N(对接源_01水果!$AJ1136)&lt;=0),0,IF(OR(N(对接源_01水果!$B1136)&lt;$AL$2,N(对接源_01水果!$B1136)&gt;$AL$3),0,1))</f>
        <v>0</v>
      </c>
      <c r="AM1136">
        <f>N(AM1135)+$AL1136</f>
        <v>2</v>
      </c>
      <c r="AN1136">
        <f>IF(对接源_01水果!$AC1136="","",对接源_01水果!$AC1136)</f>
      </c>
      <c r="AO1136">
        <f>IF(AN1136="",0,IF(MATCH(AN1136,$AN$4:$AN$1203,0)=ROW()-3,1,0))</f>
        <v>0</v>
      </c>
      <c r="AP1136">
        <f>N(AP1135)+$AO1136</f>
        <v>13</v>
      </c>
      <c r="AR1136">
        <f>IF(OR($AF1136=1,$AH1136=1),1,0)</f>
        <v>0</v>
      </c>
      <c r="AS1136">
        <f>N(AS1135)+$AR1136</f>
        <v>0</v>
      </c>
    </row>
    <row r="1137" ht="14.25" customHeight="1" s="127">
      <c r="A1137">
        <f>IF(对接源_01水果!$C1137="","",对接源_01水果!$C1137)</f>
      </c>
      <c r="B1137">
        <f>IF(A1137="",0,IF(MATCH(A1137,$A$4:$A$2403,0)=ROW()-3,1,0))</f>
        <v>0</v>
      </c>
      <c r="C1137">
        <f>N(C1136)+B1137</f>
        <v>22</v>
      </c>
      <c r="K1137">
        <f>IF(OR($K$1="",对接源_01水果!$C1137="",对接源_01水果!$C1137&lt;&gt;$K$1,对接源_01水果!$B1137=""),0,IF(OR(N(对接源_01水果!$B1137)&lt;$K$2,N(对接源_01水果!$B1137)&gt;$K$3),0,1))</f>
        <v>0</v>
      </c>
      <c r="L1137">
        <f>IF(OR($L$1="",对接源_01水果!$C1137="",对接源_01水果!$C1137&lt;&gt;$L$1,对接源_01水果!$B1137=""),0,IF(OR(N(对接源_01水果!$B1137)&lt;$L$2,N(对接源_01水果!$B1137)&gt;$L$3),0,1))</f>
        <v>0</v>
      </c>
      <c r="M1137">
        <f>IF(OR($M$1="",对接源_01水果!$C1137="",对接源_01水果!$C1137&lt;&gt;$M$1,对接源_01水果!$B1137=""),0,IF(OR(N(对接源_01水果!$B1137)&lt;$M$2,N(对接源_01水果!$B1137)&gt;$M$3),0,1))</f>
        <v>0</v>
      </c>
      <c r="N1137">
        <f>IF(OR($N$1="",对接源_01水果!$C1137="",对接源_01水果!$C1137&lt;&gt;$N$1,对接源_01水果!$B1137=""),0,IF(OR(N(对接源_01水果!$B1137)&lt;$N$2,N(对接源_01水果!$B1137)&gt;$N$3),0,1))</f>
        <v>0</v>
      </c>
      <c r="P1137">
        <f>IF(AND($K1137=1,AND(对接源_01水果!$X1137="公司筐",N(对接源_01水果!$T1137)&lt;&gt;0)),1,0)</f>
        <v>0</v>
      </c>
      <c r="Q1137">
        <f>N(Q1136)+$P1137</f>
        <v>0</v>
      </c>
      <c r="R1137">
        <f>IF(AND($K1137=1,AND(对接源_01水果!$X1137="公司筐",N(对接源_01水果!$U1137)&lt;&gt;0)),1,0)</f>
        <v>0</v>
      </c>
      <c r="S1137">
        <f>N(S1136)+$R1137</f>
        <v>0</v>
      </c>
      <c r="T1137">
        <f>IF(AND($K1137=1,AND(对接源_01水果!$X1137="公司筐",N(对接源_01水果!$V1137)&lt;&gt;0)),1,0)</f>
        <v>0</v>
      </c>
      <c r="U1137">
        <f>N(U1136)+$T1137</f>
        <v>47</v>
      </c>
      <c r="V1137">
        <f>IF(AND($L1137=1,AND(对接源_01水果!$X1137="自备筐",N(对接源_01水果!$V1137)&lt;&gt;0)),1,0)</f>
        <v>0</v>
      </c>
      <c r="W1137">
        <f>N(W1136)+$V1137</f>
        <v>11</v>
      </c>
      <c r="X1137">
        <f>IF(AND($L1137=1,AND(对接源_01水果!$X1137="自备筐",N(对接源_01水果!$T1137)&lt;&gt;0)),1,0)</f>
        <v>0</v>
      </c>
      <c r="Y1137">
        <f>N(Y1136)+$X1137</f>
        <v>0</v>
      </c>
      <c r="Z1137">
        <f>IF(AND($M1137=1,对接源_01水果!$D1137="原料入库"),1,0)</f>
        <v>0</v>
      </c>
      <c r="AA1137">
        <f>N(AA1136)+$Z1137</f>
        <v>24</v>
      </c>
      <c r="AB1137">
        <f>IF(AND($M1137=1,LEFT(对接源_01水果!$D1137,4)="原料出库"),1,0)</f>
        <v>0</v>
      </c>
      <c r="AC1137">
        <f>N(AC1136)+$AB1137</f>
        <v>0</v>
      </c>
      <c r="AD1137">
        <f>IF(AND($M1137=1,LEFT(对接源_01水果!$D1137,4)="成品出库"),1,0)</f>
        <v>0</v>
      </c>
      <c r="AE1137">
        <f>N(AE1136)+$AD1137</f>
        <v>0</v>
      </c>
      <c r="AF1137">
        <f>IF(AND($N1137=1,AND(LEFT(对接源_01水果!$D1137,4)="包装物料",N(对接源_01水果!$K1137)&lt;&gt;0)),1,0)</f>
        <v>0</v>
      </c>
      <c r="AG1137">
        <f>N(AG1136)+$AF1137</f>
        <v>0</v>
      </c>
      <c r="AH1137">
        <f>IF(AND($N1137=1,AND(对接源_01水果!$D1137="周转筐－销售出库",N(对接源_01水果!$K1137)&lt;&gt;0)),1,0)</f>
        <v>0</v>
      </c>
      <c r="AI1137">
        <f>N(AI1136)+$AH1137</f>
        <v>0</v>
      </c>
      <c r="AJ1137" s="7" t="n"/>
      <c r="AL1137">
        <f>IF(OR($AL$1="",对接源_01水果!$Y1137="",对接源_01水果!$Y1137&lt;&gt;$AL$1,对接源_01水果!$B1137="",N(对接源_01水果!$AJ1137)&lt;=0),0,IF(OR(N(对接源_01水果!$B1137)&lt;$AL$2,N(对接源_01水果!$B1137)&gt;$AL$3),0,1))</f>
        <v>0</v>
      </c>
      <c r="AM1137">
        <f>N(AM1136)+$AL1137</f>
        <v>2</v>
      </c>
      <c r="AN1137">
        <f>IF(对接源_01水果!$AC1137="","",对接源_01水果!$AC1137)</f>
      </c>
      <c r="AO1137">
        <f>IF(AN1137="",0,IF(MATCH(AN1137,$AN$4:$AN$1203,0)=ROW()-3,1,0))</f>
        <v>0</v>
      </c>
      <c r="AP1137">
        <f>N(AP1136)+$AO1137</f>
        <v>13</v>
      </c>
      <c r="AR1137">
        <f>IF(OR($AF1137=1,$AH1137=1),1,0)</f>
        <v>0</v>
      </c>
      <c r="AS1137">
        <f>N(AS1136)+$AR1137</f>
        <v>0</v>
      </c>
    </row>
    <row r="1138" ht="14.25" customHeight="1" s="127">
      <c r="A1138">
        <f>IF(对接源_01水果!$C1138="","",对接源_01水果!$C1138)</f>
      </c>
      <c r="B1138">
        <f>IF(A1138="",0,IF(MATCH(A1138,$A$4:$A$2403,0)=ROW()-3,1,0))</f>
        <v>0</v>
      </c>
      <c r="C1138">
        <f>N(C1137)+B1138</f>
        <v>22</v>
      </c>
      <c r="K1138">
        <f>IF(OR($K$1="",对接源_01水果!$C1138="",对接源_01水果!$C1138&lt;&gt;$K$1,对接源_01水果!$B1138=""),0,IF(OR(N(对接源_01水果!$B1138)&lt;$K$2,N(对接源_01水果!$B1138)&gt;$K$3),0,1))</f>
        <v>0</v>
      </c>
      <c r="L1138">
        <f>IF(OR($L$1="",对接源_01水果!$C1138="",对接源_01水果!$C1138&lt;&gt;$L$1,对接源_01水果!$B1138=""),0,IF(OR(N(对接源_01水果!$B1138)&lt;$L$2,N(对接源_01水果!$B1138)&gt;$L$3),0,1))</f>
        <v>0</v>
      </c>
      <c r="M1138">
        <f>IF(OR($M$1="",对接源_01水果!$C1138="",对接源_01水果!$C1138&lt;&gt;$M$1,对接源_01水果!$B1138=""),0,IF(OR(N(对接源_01水果!$B1138)&lt;$M$2,N(对接源_01水果!$B1138)&gt;$M$3),0,1))</f>
        <v>0</v>
      </c>
      <c r="N1138">
        <f>IF(OR($N$1="",对接源_01水果!$C1138="",对接源_01水果!$C1138&lt;&gt;$N$1,对接源_01水果!$B1138=""),0,IF(OR(N(对接源_01水果!$B1138)&lt;$N$2,N(对接源_01水果!$B1138)&gt;$N$3),0,1))</f>
        <v>0</v>
      </c>
      <c r="P1138">
        <f>IF(AND($K1138=1,AND(对接源_01水果!$X1138="公司筐",N(对接源_01水果!$T1138)&lt;&gt;0)),1,0)</f>
        <v>0</v>
      </c>
      <c r="Q1138">
        <f>N(Q1137)+$P1138</f>
        <v>0</v>
      </c>
      <c r="R1138">
        <f>IF(AND($K1138=1,AND(对接源_01水果!$X1138="公司筐",N(对接源_01水果!$U1138)&lt;&gt;0)),1,0)</f>
        <v>0</v>
      </c>
      <c r="S1138">
        <f>N(S1137)+$R1138</f>
        <v>0</v>
      </c>
      <c r="T1138">
        <f>IF(AND($K1138=1,AND(对接源_01水果!$X1138="公司筐",N(对接源_01水果!$V1138)&lt;&gt;0)),1,0)</f>
        <v>0</v>
      </c>
      <c r="U1138">
        <f>N(U1137)+$T1138</f>
        <v>47</v>
      </c>
      <c r="V1138">
        <f>IF(AND($L1138=1,AND(对接源_01水果!$X1138="自备筐",N(对接源_01水果!$V1138)&lt;&gt;0)),1,0)</f>
        <v>0</v>
      </c>
      <c r="W1138">
        <f>N(W1137)+$V1138</f>
        <v>11</v>
      </c>
      <c r="X1138">
        <f>IF(AND($L1138=1,AND(对接源_01水果!$X1138="自备筐",N(对接源_01水果!$T1138)&lt;&gt;0)),1,0)</f>
        <v>0</v>
      </c>
      <c r="Y1138">
        <f>N(Y1137)+$X1138</f>
        <v>0</v>
      </c>
      <c r="Z1138">
        <f>IF(AND($M1138=1,对接源_01水果!$D1138="原料入库"),1,0)</f>
        <v>0</v>
      </c>
      <c r="AA1138">
        <f>N(AA1137)+$Z1138</f>
        <v>24</v>
      </c>
      <c r="AB1138">
        <f>IF(AND($M1138=1,LEFT(对接源_01水果!$D1138,4)="原料出库"),1,0)</f>
        <v>0</v>
      </c>
      <c r="AC1138">
        <f>N(AC1137)+$AB1138</f>
        <v>0</v>
      </c>
      <c r="AD1138">
        <f>IF(AND($M1138=1,LEFT(对接源_01水果!$D1138,4)="成品出库"),1,0)</f>
        <v>0</v>
      </c>
      <c r="AE1138">
        <f>N(AE1137)+$AD1138</f>
        <v>0</v>
      </c>
      <c r="AF1138">
        <f>IF(AND($N1138=1,AND(LEFT(对接源_01水果!$D1138,4)="包装物料",N(对接源_01水果!$K1138)&lt;&gt;0)),1,0)</f>
        <v>0</v>
      </c>
      <c r="AG1138">
        <f>N(AG1137)+$AF1138</f>
        <v>0</v>
      </c>
      <c r="AH1138">
        <f>IF(AND($N1138=1,AND(对接源_01水果!$D1138="周转筐－销售出库",N(对接源_01水果!$K1138)&lt;&gt;0)),1,0)</f>
        <v>0</v>
      </c>
      <c r="AI1138">
        <f>N(AI1137)+$AH1138</f>
        <v>0</v>
      </c>
      <c r="AJ1138" s="7" t="n"/>
      <c r="AL1138">
        <f>IF(OR($AL$1="",对接源_01水果!$Y1138="",对接源_01水果!$Y1138&lt;&gt;$AL$1,对接源_01水果!$B1138="",N(对接源_01水果!$AJ1138)&lt;=0),0,IF(OR(N(对接源_01水果!$B1138)&lt;$AL$2,N(对接源_01水果!$B1138)&gt;$AL$3),0,1))</f>
        <v>0</v>
      </c>
      <c r="AM1138">
        <f>N(AM1137)+$AL1138</f>
        <v>2</v>
      </c>
      <c r="AN1138">
        <f>IF(对接源_01水果!$AC1138="","",对接源_01水果!$AC1138)</f>
      </c>
      <c r="AO1138">
        <f>IF(AN1138="",0,IF(MATCH(AN1138,$AN$4:$AN$1203,0)=ROW()-3,1,0))</f>
        <v>0</v>
      </c>
      <c r="AP1138">
        <f>N(AP1137)+$AO1138</f>
        <v>13</v>
      </c>
      <c r="AR1138">
        <f>IF(OR($AF1138=1,$AH1138=1),1,0)</f>
        <v>0</v>
      </c>
      <c r="AS1138">
        <f>N(AS1137)+$AR1138</f>
        <v>0</v>
      </c>
    </row>
    <row r="1139" ht="14.25" customHeight="1" s="127">
      <c r="A1139">
        <f>IF(对接源_01水果!$C1139="","",对接源_01水果!$C1139)</f>
      </c>
      <c r="B1139">
        <f>IF(A1139="",0,IF(MATCH(A1139,$A$4:$A$2403,0)=ROW()-3,1,0))</f>
        <v>0</v>
      </c>
      <c r="C1139">
        <f>N(C1138)+B1139</f>
        <v>22</v>
      </c>
      <c r="K1139">
        <f>IF(OR($K$1="",对接源_01水果!$C1139="",对接源_01水果!$C1139&lt;&gt;$K$1,对接源_01水果!$B1139=""),0,IF(OR(N(对接源_01水果!$B1139)&lt;$K$2,N(对接源_01水果!$B1139)&gt;$K$3),0,1))</f>
        <v>0</v>
      </c>
      <c r="L1139">
        <f>IF(OR($L$1="",对接源_01水果!$C1139="",对接源_01水果!$C1139&lt;&gt;$L$1,对接源_01水果!$B1139=""),0,IF(OR(N(对接源_01水果!$B1139)&lt;$L$2,N(对接源_01水果!$B1139)&gt;$L$3),0,1))</f>
        <v>0</v>
      </c>
      <c r="M1139">
        <f>IF(OR($M$1="",对接源_01水果!$C1139="",对接源_01水果!$C1139&lt;&gt;$M$1,对接源_01水果!$B1139=""),0,IF(OR(N(对接源_01水果!$B1139)&lt;$M$2,N(对接源_01水果!$B1139)&gt;$M$3),0,1))</f>
        <v>0</v>
      </c>
      <c r="N1139">
        <f>IF(OR($N$1="",对接源_01水果!$C1139="",对接源_01水果!$C1139&lt;&gt;$N$1,对接源_01水果!$B1139=""),0,IF(OR(N(对接源_01水果!$B1139)&lt;$N$2,N(对接源_01水果!$B1139)&gt;$N$3),0,1))</f>
        <v>0</v>
      </c>
      <c r="P1139">
        <f>IF(AND($K1139=1,AND(对接源_01水果!$X1139="公司筐",N(对接源_01水果!$T1139)&lt;&gt;0)),1,0)</f>
        <v>0</v>
      </c>
      <c r="Q1139">
        <f>N(Q1138)+$P1139</f>
        <v>0</v>
      </c>
      <c r="R1139">
        <f>IF(AND($K1139=1,AND(对接源_01水果!$X1139="公司筐",N(对接源_01水果!$U1139)&lt;&gt;0)),1,0)</f>
        <v>0</v>
      </c>
      <c r="S1139">
        <f>N(S1138)+$R1139</f>
        <v>0</v>
      </c>
      <c r="T1139">
        <f>IF(AND($K1139=1,AND(对接源_01水果!$X1139="公司筐",N(对接源_01水果!$V1139)&lt;&gt;0)),1,0)</f>
        <v>0</v>
      </c>
      <c r="U1139">
        <f>N(U1138)+$T1139</f>
        <v>47</v>
      </c>
      <c r="V1139">
        <f>IF(AND($L1139=1,AND(对接源_01水果!$X1139="自备筐",N(对接源_01水果!$V1139)&lt;&gt;0)),1,0)</f>
        <v>0</v>
      </c>
      <c r="W1139">
        <f>N(W1138)+$V1139</f>
        <v>11</v>
      </c>
      <c r="X1139">
        <f>IF(AND($L1139=1,AND(对接源_01水果!$X1139="自备筐",N(对接源_01水果!$T1139)&lt;&gt;0)),1,0)</f>
        <v>0</v>
      </c>
      <c r="Y1139">
        <f>N(Y1138)+$X1139</f>
        <v>0</v>
      </c>
      <c r="Z1139">
        <f>IF(AND($M1139=1,对接源_01水果!$D1139="原料入库"),1,0)</f>
        <v>0</v>
      </c>
      <c r="AA1139">
        <f>N(AA1138)+$Z1139</f>
        <v>24</v>
      </c>
      <c r="AB1139">
        <f>IF(AND($M1139=1,LEFT(对接源_01水果!$D1139,4)="原料出库"),1,0)</f>
        <v>0</v>
      </c>
      <c r="AC1139">
        <f>N(AC1138)+$AB1139</f>
        <v>0</v>
      </c>
      <c r="AD1139">
        <f>IF(AND($M1139=1,LEFT(对接源_01水果!$D1139,4)="成品出库"),1,0)</f>
        <v>0</v>
      </c>
      <c r="AE1139">
        <f>N(AE1138)+$AD1139</f>
        <v>0</v>
      </c>
      <c r="AF1139">
        <f>IF(AND($N1139=1,AND(LEFT(对接源_01水果!$D1139,4)="包装物料",N(对接源_01水果!$K1139)&lt;&gt;0)),1,0)</f>
        <v>0</v>
      </c>
      <c r="AG1139">
        <f>N(AG1138)+$AF1139</f>
        <v>0</v>
      </c>
      <c r="AH1139">
        <f>IF(AND($N1139=1,AND(对接源_01水果!$D1139="周转筐－销售出库",N(对接源_01水果!$K1139)&lt;&gt;0)),1,0)</f>
        <v>0</v>
      </c>
      <c r="AI1139">
        <f>N(AI1138)+$AH1139</f>
        <v>0</v>
      </c>
      <c r="AJ1139" s="7" t="n"/>
      <c r="AL1139">
        <f>IF(OR($AL$1="",对接源_01水果!$Y1139="",对接源_01水果!$Y1139&lt;&gt;$AL$1,对接源_01水果!$B1139="",N(对接源_01水果!$AJ1139)&lt;=0),0,IF(OR(N(对接源_01水果!$B1139)&lt;$AL$2,N(对接源_01水果!$B1139)&gt;$AL$3),0,1))</f>
        <v>0</v>
      </c>
      <c r="AM1139">
        <f>N(AM1138)+$AL1139</f>
        <v>2</v>
      </c>
      <c r="AN1139">
        <f>IF(对接源_01水果!$AC1139="","",对接源_01水果!$AC1139)</f>
      </c>
      <c r="AO1139">
        <f>IF(AN1139="",0,IF(MATCH(AN1139,$AN$4:$AN$1203,0)=ROW()-3,1,0))</f>
        <v>0</v>
      </c>
      <c r="AP1139">
        <f>N(AP1138)+$AO1139</f>
        <v>13</v>
      </c>
      <c r="AR1139">
        <f>IF(OR($AF1139=1,$AH1139=1),1,0)</f>
        <v>0</v>
      </c>
      <c r="AS1139">
        <f>N(AS1138)+$AR1139</f>
        <v>0</v>
      </c>
    </row>
    <row r="1140" ht="14.25" customHeight="1" s="127">
      <c r="A1140">
        <f>IF(对接源_01水果!$C1140="","",对接源_01水果!$C1140)</f>
      </c>
      <c r="B1140">
        <f>IF(A1140="",0,IF(MATCH(A1140,$A$4:$A$2403,0)=ROW()-3,1,0))</f>
        <v>0</v>
      </c>
      <c r="C1140">
        <f>N(C1139)+B1140</f>
        <v>22</v>
      </c>
      <c r="K1140">
        <f>IF(OR($K$1="",对接源_01水果!$C1140="",对接源_01水果!$C1140&lt;&gt;$K$1,对接源_01水果!$B1140=""),0,IF(OR(N(对接源_01水果!$B1140)&lt;$K$2,N(对接源_01水果!$B1140)&gt;$K$3),0,1))</f>
        <v>0</v>
      </c>
      <c r="L1140">
        <f>IF(OR($L$1="",对接源_01水果!$C1140="",对接源_01水果!$C1140&lt;&gt;$L$1,对接源_01水果!$B1140=""),0,IF(OR(N(对接源_01水果!$B1140)&lt;$L$2,N(对接源_01水果!$B1140)&gt;$L$3),0,1))</f>
        <v>0</v>
      </c>
      <c r="M1140">
        <f>IF(OR($M$1="",对接源_01水果!$C1140="",对接源_01水果!$C1140&lt;&gt;$M$1,对接源_01水果!$B1140=""),0,IF(OR(N(对接源_01水果!$B1140)&lt;$M$2,N(对接源_01水果!$B1140)&gt;$M$3),0,1))</f>
        <v>0</v>
      </c>
      <c r="N1140">
        <f>IF(OR($N$1="",对接源_01水果!$C1140="",对接源_01水果!$C1140&lt;&gt;$N$1,对接源_01水果!$B1140=""),0,IF(OR(N(对接源_01水果!$B1140)&lt;$N$2,N(对接源_01水果!$B1140)&gt;$N$3),0,1))</f>
        <v>0</v>
      </c>
      <c r="P1140">
        <f>IF(AND($K1140=1,AND(对接源_01水果!$X1140="公司筐",N(对接源_01水果!$T1140)&lt;&gt;0)),1,0)</f>
        <v>0</v>
      </c>
      <c r="Q1140">
        <f>N(Q1139)+$P1140</f>
        <v>0</v>
      </c>
      <c r="R1140">
        <f>IF(AND($K1140=1,AND(对接源_01水果!$X1140="公司筐",N(对接源_01水果!$U1140)&lt;&gt;0)),1,0)</f>
        <v>0</v>
      </c>
      <c r="S1140">
        <f>N(S1139)+$R1140</f>
        <v>0</v>
      </c>
      <c r="T1140">
        <f>IF(AND($K1140=1,AND(对接源_01水果!$X1140="公司筐",N(对接源_01水果!$V1140)&lt;&gt;0)),1,0)</f>
        <v>0</v>
      </c>
      <c r="U1140">
        <f>N(U1139)+$T1140</f>
        <v>47</v>
      </c>
      <c r="V1140">
        <f>IF(AND($L1140=1,AND(对接源_01水果!$X1140="自备筐",N(对接源_01水果!$V1140)&lt;&gt;0)),1,0)</f>
        <v>0</v>
      </c>
      <c r="W1140">
        <f>N(W1139)+$V1140</f>
        <v>11</v>
      </c>
      <c r="X1140">
        <f>IF(AND($L1140=1,AND(对接源_01水果!$X1140="自备筐",N(对接源_01水果!$T1140)&lt;&gt;0)),1,0)</f>
        <v>0</v>
      </c>
      <c r="Y1140">
        <f>N(Y1139)+$X1140</f>
        <v>0</v>
      </c>
      <c r="Z1140">
        <f>IF(AND($M1140=1,对接源_01水果!$D1140="原料入库"),1,0)</f>
        <v>0</v>
      </c>
      <c r="AA1140">
        <f>N(AA1139)+$Z1140</f>
        <v>24</v>
      </c>
      <c r="AB1140">
        <f>IF(AND($M1140=1,LEFT(对接源_01水果!$D1140,4)="原料出库"),1,0)</f>
        <v>0</v>
      </c>
      <c r="AC1140">
        <f>N(AC1139)+$AB1140</f>
        <v>0</v>
      </c>
      <c r="AD1140">
        <f>IF(AND($M1140=1,LEFT(对接源_01水果!$D1140,4)="成品出库"),1,0)</f>
        <v>0</v>
      </c>
      <c r="AE1140">
        <f>N(AE1139)+$AD1140</f>
        <v>0</v>
      </c>
      <c r="AF1140">
        <f>IF(AND($N1140=1,AND(LEFT(对接源_01水果!$D1140,4)="包装物料",N(对接源_01水果!$K1140)&lt;&gt;0)),1,0)</f>
        <v>0</v>
      </c>
      <c r="AG1140">
        <f>N(AG1139)+$AF1140</f>
        <v>0</v>
      </c>
      <c r="AH1140">
        <f>IF(AND($N1140=1,AND(对接源_01水果!$D1140="周转筐－销售出库",N(对接源_01水果!$K1140)&lt;&gt;0)),1,0)</f>
        <v>0</v>
      </c>
      <c r="AI1140">
        <f>N(AI1139)+$AH1140</f>
        <v>0</v>
      </c>
      <c r="AJ1140" s="7" t="n"/>
      <c r="AL1140">
        <f>IF(OR($AL$1="",对接源_01水果!$Y1140="",对接源_01水果!$Y1140&lt;&gt;$AL$1,对接源_01水果!$B1140="",N(对接源_01水果!$AJ1140)&lt;=0),0,IF(OR(N(对接源_01水果!$B1140)&lt;$AL$2,N(对接源_01水果!$B1140)&gt;$AL$3),0,1))</f>
        <v>0</v>
      </c>
      <c r="AM1140">
        <f>N(AM1139)+$AL1140</f>
        <v>2</v>
      </c>
      <c r="AN1140">
        <f>IF(对接源_01水果!$AC1140="","",对接源_01水果!$AC1140)</f>
      </c>
      <c r="AO1140">
        <f>IF(AN1140="",0,IF(MATCH(AN1140,$AN$4:$AN$1203,0)=ROW()-3,1,0))</f>
        <v>0</v>
      </c>
      <c r="AP1140">
        <f>N(AP1139)+$AO1140</f>
        <v>13</v>
      </c>
      <c r="AR1140">
        <f>IF(OR($AF1140=1,$AH1140=1),1,0)</f>
        <v>0</v>
      </c>
      <c r="AS1140">
        <f>N(AS1139)+$AR1140</f>
        <v>0</v>
      </c>
    </row>
    <row r="1141" ht="14.25" customHeight="1" s="127">
      <c r="A1141">
        <f>IF(对接源_01水果!$C1141="","",对接源_01水果!$C1141)</f>
      </c>
      <c r="B1141">
        <f>IF(A1141="",0,IF(MATCH(A1141,$A$4:$A$2403,0)=ROW()-3,1,0))</f>
        <v>0</v>
      </c>
      <c r="C1141">
        <f>N(C1140)+B1141</f>
        <v>22</v>
      </c>
      <c r="K1141">
        <f>IF(OR($K$1="",对接源_01水果!$C1141="",对接源_01水果!$C1141&lt;&gt;$K$1,对接源_01水果!$B1141=""),0,IF(OR(N(对接源_01水果!$B1141)&lt;$K$2,N(对接源_01水果!$B1141)&gt;$K$3),0,1))</f>
        <v>0</v>
      </c>
      <c r="L1141">
        <f>IF(OR($L$1="",对接源_01水果!$C1141="",对接源_01水果!$C1141&lt;&gt;$L$1,对接源_01水果!$B1141=""),0,IF(OR(N(对接源_01水果!$B1141)&lt;$L$2,N(对接源_01水果!$B1141)&gt;$L$3),0,1))</f>
        <v>0</v>
      </c>
      <c r="M1141">
        <f>IF(OR($M$1="",对接源_01水果!$C1141="",对接源_01水果!$C1141&lt;&gt;$M$1,对接源_01水果!$B1141=""),0,IF(OR(N(对接源_01水果!$B1141)&lt;$M$2,N(对接源_01水果!$B1141)&gt;$M$3),0,1))</f>
        <v>0</v>
      </c>
      <c r="N1141">
        <f>IF(OR($N$1="",对接源_01水果!$C1141="",对接源_01水果!$C1141&lt;&gt;$N$1,对接源_01水果!$B1141=""),0,IF(OR(N(对接源_01水果!$B1141)&lt;$N$2,N(对接源_01水果!$B1141)&gt;$N$3),0,1))</f>
        <v>0</v>
      </c>
      <c r="P1141">
        <f>IF(AND($K1141=1,AND(对接源_01水果!$X1141="公司筐",N(对接源_01水果!$T1141)&lt;&gt;0)),1,0)</f>
        <v>0</v>
      </c>
      <c r="Q1141">
        <f>N(Q1140)+$P1141</f>
        <v>0</v>
      </c>
      <c r="R1141">
        <f>IF(AND($K1141=1,AND(对接源_01水果!$X1141="公司筐",N(对接源_01水果!$U1141)&lt;&gt;0)),1,0)</f>
        <v>0</v>
      </c>
      <c r="S1141">
        <f>N(S1140)+$R1141</f>
        <v>0</v>
      </c>
      <c r="T1141">
        <f>IF(AND($K1141=1,AND(对接源_01水果!$X1141="公司筐",N(对接源_01水果!$V1141)&lt;&gt;0)),1,0)</f>
        <v>0</v>
      </c>
      <c r="U1141">
        <f>N(U1140)+$T1141</f>
        <v>47</v>
      </c>
      <c r="V1141">
        <f>IF(AND($L1141=1,AND(对接源_01水果!$X1141="自备筐",N(对接源_01水果!$V1141)&lt;&gt;0)),1,0)</f>
        <v>0</v>
      </c>
      <c r="W1141">
        <f>N(W1140)+$V1141</f>
        <v>11</v>
      </c>
      <c r="X1141">
        <f>IF(AND($L1141=1,AND(对接源_01水果!$X1141="自备筐",N(对接源_01水果!$T1141)&lt;&gt;0)),1,0)</f>
        <v>0</v>
      </c>
      <c r="Y1141">
        <f>N(Y1140)+$X1141</f>
        <v>0</v>
      </c>
      <c r="Z1141">
        <f>IF(AND($M1141=1,对接源_01水果!$D1141="原料入库"),1,0)</f>
        <v>0</v>
      </c>
      <c r="AA1141">
        <f>N(AA1140)+$Z1141</f>
        <v>24</v>
      </c>
      <c r="AB1141">
        <f>IF(AND($M1141=1,LEFT(对接源_01水果!$D1141,4)="原料出库"),1,0)</f>
        <v>0</v>
      </c>
      <c r="AC1141">
        <f>N(AC1140)+$AB1141</f>
        <v>0</v>
      </c>
      <c r="AD1141">
        <f>IF(AND($M1141=1,LEFT(对接源_01水果!$D1141,4)="成品出库"),1,0)</f>
        <v>0</v>
      </c>
      <c r="AE1141">
        <f>N(AE1140)+$AD1141</f>
        <v>0</v>
      </c>
      <c r="AF1141">
        <f>IF(AND($N1141=1,AND(LEFT(对接源_01水果!$D1141,4)="包装物料",N(对接源_01水果!$K1141)&lt;&gt;0)),1,0)</f>
        <v>0</v>
      </c>
      <c r="AG1141">
        <f>N(AG1140)+$AF1141</f>
        <v>0</v>
      </c>
      <c r="AH1141">
        <f>IF(AND($N1141=1,AND(对接源_01水果!$D1141="周转筐－销售出库",N(对接源_01水果!$K1141)&lt;&gt;0)),1,0)</f>
        <v>0</v>
      </c>
      <c r="AI1141">
        <f>N(AI1140)+$AH1141</f>
        <v>0</v>
      </c>
      <c r="AJ1141" s="7" t="n"/>
      <c r="AL1141">
        <f>IF(OR($AL$1="",对接源_01水果!$Y1141="",对接源_01水果!$Y1141&lt;&gt;$AL$1,对接源_01水果!$B1141="",N(对接源_01水果!$AJ1141)&lt;=0),0,IF(OR(N(对接源_01水果!$B1141)&lt;$AL$2,N(对接源_01水果!$B1141)&gt;$AL$3),0,1))</f>
        <v>0</v>
      </c>
      <c r="AM1141">
        <f>N(AM1140)+$AL1141</f>
        <v>2</v>
      </c>
      <c r="AN1141">
        <f>IF(对接源_01水果!$AC1141="","",对接源_01水果!$AC1141)</f>
      </c>
      <c r="AO1141">
        <f>IF(AN1141="",0,IF(MATCH(AN1141,$AN$4:$AN$1203,0)=ROW()-3,1,0))</f>
        <v>0</v>
      </c>
      <c r="AP1141">
        <f>N(AP1140)+$AO1141</f>
        <v>13</v>
      </c>
      <c r="AR1141">
        <f>IF(OR($AF1141=1,$AH1141=1),1,0)</f>
        <v>0</v>
      </c>
      <c r="AS1141">
        <f>N(AS1140)+$AR1141</f>
        <v>0</v>
      </c>
    </row>
    <row r="1142" ht="14.25" customHeight="1" s="127">
      <c r="A1142">
        <f>IF(对接源_01水果!$C1142="","",对接源_01水果!$C1142)</f>
      </c>
      <c r="B1142">
        <f>IF(A1142="",0,IF(MATCH(A1142,$A$4:$A$2403,0)=ROW()-3,1,0))</f>
        <v>0</v>
      </c>
      <c r="C1142">
        <f>N(C1141)+B1142</f>
        <v>22</v>
      </c>
      <c r="K1142">
        <f>IF(OR($K$1="",对接源_01水果!$C1142="",对接源_01水果!$C1142&lt;&gt;$K$1,对接源_01水果!$B1142=""),0,IF(OR(N(对接源_01水果!$B1142)&lt;$K$2,N(对接源_01水果!$B1142)&gt;$K$3),0,1))</f>
        <v>0</v>
      </c>
      <c r="L1142">
        <f>IF(OR($L$1="",对接源_01水果!$C1142="",对接源_01水果!$C1142&lt;&gt;$L$1,对接源_01水果!$B1142=""),0,IF(OR(N(对接源_01水果!$B1142)&lt;$L$2,N(对接源_01水果!$B1142)&gt;$L$3),0,1))</f>
        <v>0</v>
      </c>
      <c r="M1142">
        <f>IF(OR($M$1="",对接源_01水果!$C1142="",对接源_01水果!$C1142&lt;&gt;$M$1,对接源_01水果!$B1142=""),0,IF(OR(N(对接源_01水果!$B1142)&lt;$M$2,N(对接源_01水果!$B1142)&gt;$M$3),0,1))</f>
        <v>0</v>
      </c>
      <c r="N1142">
        <f>IF(OR($N$1="",对接源_01水果!$C1142="",对接源_01水果!$C1142&lt;&gt;$N$1,对接源_01水果!$B1142=""),0,IF(OR(N(对接源_01水果!$B1142)&lt;$N$2,N(对接源_01水果!$B1142)&gt;$N$3),0,1))</f>
        <v>0</v>
      </c>
      <c r="P1142">
        <f>IF(AND($K1142=1,AND(对接源_01水果!$X1142="公司筐",N(对接源_01水果!$T1142)&lt;&gt;0)),1,0)</f>
        <v>0</v>
      </c>
      <c r="Q1142">
        <f>N(Q1141)+$P1142</f>
        <v>0</v>
      </c>
      <c r="R1142">
        <f>IF(AND($K1142=1,AND(对接源_01水果!$X1142="公司筐",N(对接源_01水果!$U1142)&lt;&gt;0)),1,0)</f>
        <v>0</v>
      </c>
      <c r="S1142">
        <f>N(S1141)+$R1142</f>
        <v>0</v>
      </c>
      <c r="T1142">
        <f>IF(AND($K1142=1,AND(对接源_01水果!$X1142="公司筐",N(对接源_01水果!$V1142)&lt;&gt;0)),1,0)</f>
        <v>0</v>
      </c>
      <c r="U1142">
        <f>N(U1141)+$T1142</f>
        <v>47</v>
      </c>
      <c r="V1142">
        <f>IF(AND($L1142=1,AND(对接源_01水果!$X1142="自备筐",N(对接源_01水果!$V1142)&lt;&gt;0)),1,0)</f>
        <v>0</v>
      </c>
      <c r="W1142">
        <f>N(W1141)+$V1142</f>
        <v>11</v>
      </c>
      <c r="X1142">
        <f>IF(AND($L1142=1,AND(对接源_01水果!$X1142="自备筐",N(对接源_01水果!$T1142)&lt;&gt;0)),1,0)</f>
        <v>0</v>
      </c>
      <c r="Y1142">
        <f>N(Y1141)+$X1142</f>
        <v>0</v>
      </c>
      <c r="Z1142">
        <f>IF(AND($M1142=1,对接源_01水果!$D1142="原料入库"),1,0)</f>
        <v>0</v>
      </c>
      <c r="AA1142">
        <f>N(AA1141)+$Z1142</f>
        <v>24</v>
      </c>
      <c r="AB1142">
        <f>IF(AND($M1142=1,LEFT(对接源_01水果!$D1142,4)="原料出库"),1,0)</f>
        <v>0</v>
      </c>
      <c r="AC1142">
        <f>N(AC1141)+$AB1142</f>
        <v>0</v>
      </c>
      <c r="AD1142">
        <f>IF(AND($M1142=1,LEFT(对接源_01水果!$D1142,4)="成品出库"),1,0)</f>
        <v>0</v>
      </c>
      <c r="AE1142">
        <f>N(AE1141)+$AD1142</f>
        <v>0</v>
      </c>
      <c r="AF1142">
        <f>IF(AND($N1142=1,AND(LEFT(对接源_01水果!$D1142,4)="包装物料",N(对接源_01水果!$K1142)&lt;&gt;0)),1,0)</f>
        <v>0</v>
      </c>
      <c r="AG1142">
        <f>N(AG1141)+$AF1142</f>
        <v>0</v>
      </c>
      <c r="AH1142">
        <f>IF(AND($N1142=1,AND(对接源_01水果!$D1142="周转筐－销售出库",N(对接源_01水果!$K1142)&lt;&gt;0)),1,0)</f>
        <v>0</v>
      </c>
      <c r="AI1142">
        <f>N(AI1141)+$AH1142</f>
        <v>0</v>
      </c>
      <c r="AJ1142" s="7" t="n"/>
      <c r="AL1142">
        <f>IF(OR($AL$1="",对接源_01水果!$Y1142="",对接源_01水果!$Y1142&lt;&gt;$AL$1,对接源_01水果!$B1142="",N(对接源_01水果!$AJ1142)&lt;=0),0,IF(OR(N(对接源_01水果!$B1142)&lt;$AL$2,N(对接源_01水果!$B1142)&gt;$AL$3),0,1))</f>
        <v>0</v>
      </c>
      <c r="AM1142">
        <f>N(AM1141)+$AL1142</f>
        <v>2</v>
      </c>
      <c r="AN1142">
        <f>IF(对接源_01水果!$AC1142="","",对接源_01水果!$AC1142)</f>
      </c>
      <c r="AO1142">
        <f>IF(AN1142="",0,IF(MATCH(AN1142,$AN$4:$AN$1203,0)=ROW()-3,1,0))</f>
        <v>0</v>
      </c>
      <c r="AP1142">
        <f>N(AP1141)+$AO1142</f>
        <v>13</v>
      </c>
      <c r="AR1142">
        <f>IF(OR($AF1142=1,$AH1142=1),1,0)</f>
        <v>0</v>
      </c>
      <c r="AS1142">
        <f>N(AS1141)+$AR1142</f>
        <v>0</v>
      </c>
    </row>
    <row r="1143" ht="14.25" customHeight="1" s="127">
      <c r="A1143">
        <f>IF(对接源_01水果!$C1143="","",对接源_01水果!$C1143)</f>
      </c>
      <c r="B1143">
        <f>IF(A1143="",0,IF(MATCH(A1143,$A$4:$A$2403,0)=ROW()-3,1,0))</f>
        <v>0</v>
      </c>
      <c r="C1143">
        <f>N(C1142)+B1143</f>
        <v>22</v>
      </c>
      <c r="K1143">
        <f>IF(OR($K$1="",对接源_01水果!$C1143="",对接源_01水果!$C1143&lt;&gt;$K$1,对接源_01水果!$B1143=""),0,IF(OR(N(对接源_01水果!$B1143)&lt;$K$2,N(对接源_01水果!$B1143)&gt;$K$3),0,1))</f>
        <v>0</v>
      </c>
      <c r="L1143">
        <f>IF(OR($L$1="",对接源_01水果!$C1143="",对接源_01水果!$C1143&lt;&gt;$L$1,对接源_01水果!$B1143=""),0,IF(OR(N(对接源_01水果!$B1143)&lt;$L$2,N(对接源_01水果!$B1143)&gt;$L$3),0,1))</f>
        <v>0</v>
      </c>
      <c r="M1143">
        <f>IF(OR($M$1="",对接源_01水果!$C1143="",对接源_01水果!$C1143&lt;&gt;$M$1,对接源_01水果!$B1143=""),0,IF(OR(N(对接源_01水果!$B1143)&lt;$M$2,N(对接源_01水果!$B1143)&gt;$M$3),0,1))</f>
        <v>0</v>
      </c>
      <c r="N1143">
        <f>IF(OR($N$1="",对接源_01水果!$C1143="",对接源_01水果!$C1143&lt;&gt;$N$1,对接源_01水果!$B1143=""),0,IF(OR(N(对接源_01水果!$B1143)&lt;$N$2,N(对接源_01水果!$B1143)&gt;$N$3),0,1))</f>
        <v>0</v>
      </c>
      <c r="P1143">
        <f>IF(AND($K1143=1,AND(对接源_01水果!$X1143="公司筐",N(对接源_01水果!$T1143)&lt;&gt;0)),1,0)</f>
        <v>0</v>
      </c>
      <c r="Q1143">
        <f>N(Q1142)+$P1143</f>
        <v>0</v>
      </c>
      <c r="R1143">
        <f>IF(AND($K1143=1,AND(对接源_01水果!$X1143="公司筐",N(对接源_01水果!$U1143)&lt;&gt;0)),1,0)</f>
        <v>0</v>
      </c>
      <c r="S1143">
        <f>N(S1142)+$R1143</f>
        <v>0</v>
      </c>
      <c r="T1143">
        <f>IF(AND($K1143=1,AND(对接源_01水果!$X1143="公司筐",N(对接源_01水果!$V1143)&lt;&gt;0)),1,0)</f>
        <v>0</v>
      </c>
      <c r="U1143">
        <f>N(U1142)+$T1143</f>
        <v>47</v>
      </c>
      <c r="V1143">
        <f>IF(AND($L1143=1,AND(对接源_01水果!$X1143="自备筐",N(对接源_01水果!$V1143)&lt;&gt;0)),1,0)</f>
        <v>0</v>
      </c>
      <c r="W1143">
        <f>N(W1142)+$V1143</f>
        <v>11</v>
      </c>
      <c r="X1143">
        <f>IF(AND($L1143=1,AND(对接源_01水果!$X1143="自备筐",N(对接源_01水果!$T1143)&lt;&gt;0)),1,0)</f>
        <v>0</v>
      </c>
      <c r="Y1143">
        <f>N(Y1142)+$X1143</f>
        <v>0</v>
      </c>
      <c r="Z1143">
        <f>IF(AND($M1143=1,对接源_01水果!$D1143="原料入库"),1,0)</f>
        <v>0</v>
      </c>
      <c r="AA1143">
        <f>N(AA1142)+$Z1143</f>
        <v>24</v>
      </c>
      <c r="AB1143">
        <f>IF(AND($M1143=1,LEFT(对接源_01水果!$D1143,4)="原料出库"),1,0)</f>
        <v>0</v>
      </c>
      <c r="AC1143">
        <f>N(AC1142)+$AB1143</f>
        <v>0</v>
      </c>
      <c r="AD1143">
        <f>IF(AND($M1143=1,LEFT(对接源_01水果!$D1143,4)="成品出库"),1,0)</f>
        <v>0</v>
      </c>
      <c r="AE1143">
        <f>N(AE1142)+$AD1143</f>
        <v>0</v>
      </c>
      <c r="AF1143">
        <f>IF(AND($N1143=1,AND(LEFT(对接源_01水果!$D1143,4)="包装物料",N(对接源_01水果!$K1143)&lt;&gt;0)),1,0)</f>
        <v>0</v>
      </c>
      <c r="AG1143">
        <f>N(AG1142)+$AF1143</f>
        <v>0</v>
      </c>
      <c r="AH1143">
        <f>IF(AND($N1143=1,AND(对接源_01水果!$D1143="周转筐－销售出库",N(对接源_01水果!$K1143)&lt;&gt;0)),1,0)</f>
        <v>0</v>
      </c>
      <c r="AI1143">
        <f>N(AI1142)+$AH1143</f>
        <v>0</v>
      </c>
      <c r="AJ1143" s="7" t="n"/>
      <c r="AL1143">
        <f>IF(OR($AL$1="",对接源_01水果!$Y1143="",对接源_01水果!$Y1143&lt;&gt;$AL$1,对接源_01水果!$B1143="",N(对接源_01水果!$AJ1143)&lt;=0),0,IF(OR(N(对接源_01水果!$B1143)&lt;$AL$2,N(对接源_01水果!$B1143)&gt;$AL$3),0,1))</f>
        <v>0</v>
      </c>
      <c r="AM1143">
        <f>N(AM1142)+$AL1143</f>
        <v>2</v>
      </c>
      <c r="AN1143">
        <f>IF(对接源_01水果!$AC1143="","",对接源_01水果!$AC1143)</f>
      </c>
      <c r="AO1143">
        <f>IF(AN1143="",0,IF(MATCH(AN1143,$AN$4:$AN$1203,0)=ROW()-3,1,0))</f>
        <v>0</v>
      </c>
      <c r="AP1143">
        <f>N(AP1142)+$AO1143</f>
        <v>13</v>
      </c>
      <c r="AR1143">
        <f>IF(OR($AF1143=1,$AH1143=1),1,0)</f>
        <v>0</v>
      </c>
      <c r="AS1143">
        <f>N(AS1142)+$AR1143</f>
        <v>0</v>
      </c>
    </row>
    <row r="1144" ht="14.25" customHeight="1" s="127">
      <c r="A1144">
        <f>IF(对接源_01水果!$C1144="","",对接源_01水果!$C1144)</f>
      </c>
      <c r="B1144">
        <f>IF(A1144="",0,IF(MATCH(A1144,$A$4:$A$2403,0)=ROW()-3,1,0))</f>
        <v>0</v>
      </c>
      <c r="C1144">
        <f>N(C1143)+B1144</f>
        <v>22</v>
      </c>
      <c r="K1144">
        <f>IF(OR($K$1="",对接源_01水果!$C1144="",对接源_01水果!$C1144&lt;&gt;$K$1,对接源_01水果!$B1144=""),0,IF(OR(N(对接源_01水果!$B1144)&lt;$K$2,N(对接源_01水果!$B1144)&gt;$K$3),0,1))</f>
        <v>0</v>
      </c>
      <c r="L1144">
        <f>IF(OR($L$1="",对接源_01水果!$C1144="",对接源_01水果!$C1144&lt;&gt;$L$1,对接源_01水果!$B1144=""),0,IF(OR(N(对接源_01水果!$B1144)&lt;$L$2,N(对接源_01水果!$B1144)&gt;$L$3),0,1))</f>
        <v>0</v>
      </c>
      <c r="M1144">
        <f>IF(OR($M$1="",对接源_01水果!$C1144="",对接源_01水果!$C1144&lt;&gt;$M$1,对接源_01水果!$B1144=""),0,IF(OR(N(对接源_01水果!$B1144)&lt;$M$2,N(对接源_01水果!$B1144)&gt;$M$3),0,1))</f>
        <v>0</v>
      </c>
      <c r="N1144">
        <f>IF(OR($N$1="",对接源_01水果!$C1144="",对接源_01水果!$C1144&lt;&gt;$N$1,对接源_01水果!$B1144=""),0,IF(OR(N(对接源_01水果!$B1144)&lt;$N$2,N(对接源_01水果!$B1144)&gt;$N$3),0,1))</f>
        <v>0</v>
      </c>
      <c r="P1144">
        <f>IF(AND($K1144=1,AND(对接源_01水果!$X1144="公司筐",N(对接源_01水果!$T1144)&lt;&gt;0)),1,0)</f>
        <v>0</v>
      </c>
      <c r="Q1144">
        <f>N(Q1143)+$P1144</f>
        <v>0</v>
      </c>
      <c r="R1144">
        <f>IF(AND($K1144=1,AND(对接源_01水果!$X1144="公司筐",N(对接源_01水果!$U1144)&lt;&gt;0)),1,0)</f>
        <v>0</v>
      </c>
      <c r="S1144">
        <f>N(S1143)+$R1144</f>
        <v>0</v>
      </c>
      <c r="T1144">
        <f>IF(AND($K1144=1,AND(对接源_01水果!$X1144="公司筐",N(对接源_01水果!$V1144)&lt;&gt;0)),1,0)</f>
        <v>0</v>
      </c>
      <c r="U1144">
        <f>N(U1143)+$T1144</f>
        <v>47</v>
      </c>
      <c r="V1144">
        <f>IF(AND($L1144=1,AND(对接源_01水果!$X1144="自备筐",N(对接源_01水果!$V1144)&lt;&gt;0)),1,0)</f>
        <v>0</v>
      </c>
      <c r="W1144">
        <f>N(W1143)+$V1144</f>
        <v>11</v>
      </c>
      <c r="X1144">
        <f>IF(AND($L1144=1,AND(对接源_01水果!$X1144="自备筐",N(对接源_01水果!$T1144)&lt;&gt;0)),1,0)</f>
        <v>0</v>
      </c>
      <c r="Y1144">
        <f>N(Y1143)+$X1144</f>
        <v>0</v>
      </c>
      <c r="Z1144">
        <f>IF(AND($M1144=1,对接源_01水果!$D1144="原料入库"),1,0)</f>
        <v>0</v>
      </c>
      <c r="AA1144">
        <f>N(AA1143)+$Z1144</f>
        <v>24</v>
      </c>
      <c r="AB1144">
        <f>IF(AND($M1144=1,LEFT(对接源_01水果!$D1144,4)="原料出库"),1,0)</f>
        <v>0</v>
      </c>
      <c r="AC1144">
        <f>N(AC1143)+$AB1144</f>
        <v>0</v>
      </c>
      <c r="AD1144">
        <f>IF(AND($M1144=1,LEFT(对接源_01水果!$D1144,4)="成品出库"),1,0)</f>
        <v>0</v>
      </c>
      <c r="AE1144">
        <f>N(AE1143)+$AD1144</f>
        <v>0</v>
      </c>
      <c r="AF1144">
        <f>IF(AND($N1144=1,AND(LEFT(对接源_01水果!$D1144,4)="包装物料",N(对接源_01水果!$K1144)&lt;&gt;0)),1,0)</f>
        <v>0</v>
      </c>
      <c r="AG1144">
        <f>N(AG1143)+$AF1144</f>
        <v>0</v>
      </c>
      <c r="AH1144">
        <f>IF(AND($N1144=1,AND(对接源_01水果!$D1144="周转筐－销售出库",N(对接源_01水果!$K1144)&lt;&gt;0)),1,0)</f>
        <v>0</v>
      </c>
      <c r="AI1144">
        <f>N(AI1143)+$AH1144</f>
        <v>0</v>
      </c>
      <c r="AJ1144" s="7" t="n"/>
      <c r="AL1144">
        <f>IF(OR($AL$1="",对接源_01水果!$Y1144="",对接源_01水果!$Y1144&lt;&gt;$AL$1,对接源_01水果!$B1144="",N(对接源_01水果!$AJ1144)&lt;=0),0,IF(OR(N(对接源_01水果!$B1144)&lt;$AL$2,N(对接源_01水果!$B1144)&gt;$AL$3),0,1))</f>
        <v>0</v>
      </c>
      <c r="AM1144">
        <f>N(AM1143)+$AL1144</f>
        <v>2</v>
      </c>
      <c r="AN1144">
        <f>IF(对接源_01水果!$AC1144="","",对接源_01水果!$AC1144)</f>
      </c>
      <c r="AO1144">
        <f>IF(AN1144="",0,IF(MATCH(AN1144,$AN$4:$AN$1203,0)=ROW()-3,1,0))</f>
        <v>0</v>
      </c>
      <c r="AP1144">
        <f>N(AP1143)+$AO1144</f>
        <v>13</v>
      </c>
      <c r="AR1144">
        <f>IF(OR($AF1144=1,$AH1144=1),1,0)</f>
        <v>0</v>
      </c>
      <c r="AS1144">
        <f>N(AS1143)+$AR1144</f>
        <v>0</v>
      </c>
    </row>
    <row r="1145" ht="14.25" customHeight="1" s="127">
      <c r="A1145">
        <f>IF(对接源_01水果!$C1145="","",对接源_01水果!$C1145)</f>
      </c>
      <c r="B1145">
        <f>IF(A1145="",0,IF(MATCH(A1145,$A$4:$A$2403,0)=ROW()-3,1,0))</f>
        <v>0</v>
      </c>
      <c r="C1145">
        <f>N(C1144)+B1145</f>
        <v>22</v>
      </c>
      <c r="K1145">
        <f>IF(OR($K$1="",对接源_01水果!$C1145="",对接源_01水果!$C1145&lt;&gt;$K$1,对接源_01水果!$B1145=""),0,IF(OR(N(对接源_01水果!$B1145)&lt;$K$2,N(对接源_01水果!$B1145)&gt;$K$3),0,1))</f>
        <v>0</v>
      </c>
      <c r="L1145">
        <f>IF(OR($L$1="",对接源_01水果!$C1145="",对接源_01水果!$C1145&lt;&gt;$L$1,对接源_01水果!$B1145=""),0,IF(OR(N(对接源_01水果!$B1145)&lt;$L$2,N(对接源_01水果!$B1145)&gt;$L$3),0,1))</f>
        <v>0</v>
      </c>
      <c r="M1145">
        <f>IF(OR($M$1="",对接源_01水果!$C1145="",对接源_01水果!$C1145&lt;&gt;$M$1,对接源_01水果!$B1145=""),0,IF(OR(N(对接源_01水果!$B1145)&lt;$M$2,N(对接源_01水果!$B1145)&gt;$M$3),0,1))</f>
        <v>0</v>
      </c>
      <c r="N1145">
        <f>IF(OR($N$1="",对接源_01水果!$C1145="",对接源_01水果!$C1145&lt;&gt;$N$1,对接源_01水果!$B1145=""),0,IF(OR(N(对接源_01水果!$B1145)&lt;$N$2,N(对接源_01水果!$B1145)&gt;$N$3),0,1))</f>
        <v>0</v>
      </c>
      <c r="P1145">
        <f>IF(AND($K1145=1,AND(对接源_01水果!$X1145="公司筐",N(对接源_01水果!$T1145)&lt;&gt;0)),1,0)</f>
        <v>0</v>
      </c>
      <c r="Q1145">
        <f>N(Q1144)+$P1145</f>
        <v>0</v>
      </c>
      <c r="R1145">
        <f>IF(AND($K1145=1,AND(对接源_01水果!$X1145="公司筐",N(对接源_01水果!$U1145)&lt;&gt;0)),1,0)</f>
        <v>0</v>
      </c>
      <c r="S1145">
        <f>N(S1144)+$R1145</f>
        <v>0</v>
      </c>
      <c r="T1145">
        <f>IF(AND($K1145=1,AND(对接源_01水果!$X1145="公司筐",N(对接源_01水果!$V1145)&lt;&gt;0)),1,0)</f>
        <v>0</v>
      </c>
      <c r="U1145">
        <f>N(U1144)+$T1145</f>
        <v>47</v>
      </c>
      <c r="V1145">
        <f>IF(AND($L1145=1,AND(对接源_01水果!$X1145="自备筐",N(对接源_01水果!$V1145)&lt;&gt;0)),1,0)</f>
        <v>0</v>
      </c>
      <c r="W1145">
        <f>N(W1144)+$V1145</f>
        <v>11</v>
      </c>
      <c r="X1145">
        <f>IF(AND($L1145=1,AND(对接源_01水果!$X1145="自备筐",N(对接源_01水果!$T1145)&lt;&gt;0)),1,0)</f>
        <v>0</v>
      </c>
      <c r="Y1145">
        <f>N(Y1144)+$X1145</f>
        <v>0</v>
      </c>
      <c r="Z1145">
        <f>IF(AND($M1145=1,对接源_01水果!$D1145="原料入库"),1,0)</f>
        <v>0</v>
      </c>
      <c r="AA1145">
        <f>N(AA1144)+$Z1145</f>
        <v>24</v>
      </c>
      <c r="AB1145">
        <f>IF(AND($M1145=1,LEFT(对接源_01水果!$D1145,4)="原料出库"),1,0)</f>
        <v>0</v>
      </c>
      <c r="AC1145">
        <f>N(AC1144)+$AB1145</f>
        <v>0</v>
      </c>
      <c r="AD1145">
        <f>IF(AND($M1145=1,LEFT(对接源_01水果!$D1145,4)="成品出库"),1,0)</f>
        <v>0</v>
      </c>
      <c r="AE1145">
        <f>N(AE1144)+$AD1145</f>
        <v>0</v>
      </c>
      <c r="AF1145">
        <f>IF(AND($N1145=1,AND(LEFT(对接源_01水果!$D1145,4)="包装物料",N(对接源_01水果!$K1145)&lt;&gt;0)),1,0)</f>
        <v>0</v>
      </c>
      <c r="AG1145">
        <f>N(AG1144)+$AF1145</f>
        <v>0</v>
      </c>
      <c r="AH1145">
        <f>IF(AND($N1145=1,AND(对接源_01水果!$D1145="周转筐－销售出库",N(对接源_01水果!$K1145)&lt;&gt;0)),1,0)</f>
        <v>0</v>
      </c>
      <c r="AI1145">
        <f>N(AI1144)+$AH1145</f>
        <v>0</v>
      </c>
      <c r="AJ1145" s="7" t="n"/>
      <c r="AL1145">
        <f>IF(OR($AL$1="",对接源_01水果!$Y1145="",对接源_01水果!$Y1145&lt;&gt;$AL$1,对接源_01水果!$B1145="",N(对接源_01水果!$AJ1145)&lt;=0),0,IF(OR(N(对接源_01水果!$B1145)&lt;$AL$2,N(对接源_01水果!$B1145)&gt;$AL$3),0,1))</f>
        <v>0</v>
      </c>
      <c r="AM1145">
        <f>N(AM1144)+$AL1145</f>
        <v>2</v>
      </c>
      <c r="AN1145">
        <f>IF(对接源_01水果!$AC1145="","",对接源_01水果!$AC1145)</f>
      </c>
      <c r="AO1145">
        <f>IF(AN1145="",0,IF(MATCH(AN1145,$AN$4:$AN$1203,0)=ROW()-3,1,0))</f>
        <v>0</v>
      </c>
      <c r="AP1145">
        <f>N(AP1144)+$AO1145</f>
        <v>13</v>
      </c>
      <c r="AR1145">
        <f>IF(OR($AF1145=1,$AH1145=1),1,0)</f>
        <v>0</v>
      </c>
      <c r="AS1145">
        <f>N(AS1144)+$AR1145</f>
        <v>0</v>
      </c>
    </row>
    <row r="1146" ht="14.25" customHeight="1" s="127">
      <c r="A1146">
        <f>IF(对接源_01水果!$C1146="","",对接源_01水果!$C1146)</f>
      </c>
      <c r="B1146">
        <f>IF(A1146="",0,IF(MATCH(A1146,$A$4:$A$2403,0)=ROW()-3,1,0))</f>
        <v>0</v>
      </c>
      <c r="C1146">
        <f>N(C1145)+B1146</f>
        <v>22</v>
      </c>
      <c r="K1146">
        <f>IF(OR($K$1="",对接源_01水果!$C1146="",对接源_01水果!$C1146&lt;&gt;$K$1,对接源_01水果!$B1146=""),0,IF(OR(N(对接源_01水果!$B1146)&lt;$K$2,N(对接源_01水果!$B1146)&gt;$K$3),0,1))</f>
        <v>0</v>
      </c>
      <c r="L1146">
        <f>IF(OR($L$1="",对接源_01水果!$C1146="",对接源_01水果!$C1146&lt;&gt;$L$1,对接源_01水果!$B1146=""),0,IF(OR(N(对接源_01水果!$B1146)&lt;$L$2,N(对接源_01水果!$B1146)&gt;$L$3),0,1))</f>
        <v>0</v>
      </c>
      <c r="M1146">
        <f>IF(OR($M$1="",对接源_01水果!$C1146="",对接源_01水果!$C1146&lt;&gt;$M$1,对接源_01水果!$B1146=""),0,IF(OR(N(对接源_01水果!$B1146)&lt;$M$2,N(对接源_01水果!$B1146)&gt;$M$3),0,1))</f>
        <v>0</v>
      </c>
      <c r="N1146">
        <f>IF(OR($N$1="",对接源_01水果!$C1146="",对接源_01水果!$C1146&lt;&gt;$N$1,对接源_01水果!$B1146=""),0,IF(OR(N(对接源_01水果!$B1146)&lt;$N$2,N(对接源_01水果!$B1146)&gt;$N$3),0,1))</f>
        <v>0</v>
      </c>
      <c r="P1146">
        <f>IF(AND($K1146=1,AND(对接源_01水果!$X1146="公司筐",N(对接源_01水果!$T1146)&lt;&gt;0)),1,0)</f>
        <v>0</v>
      </c>
      <c r="Q1146">
        <f>N(Q1145)+$P1146</f>
        <v>0</v>
      </c>
      <c r="R1146">
        <f>IF(AND($K1146=1,AND(对接源_01水果!$X1146="公司筐",N(对接源_01水果!$U1146)&lt;&gt;0)),1,0)</f>
        <v>0</v>
      </c>
      <c r="S1146">
        <f>N(S1145)+$R1146</f>
        <v>0</v>
      </c>
      <c r="T1146">
        <f>IF(AND($K1146=1,AND(对接源_01水果!$X1146="公司筐",N(对接源_01水果!$V1146)&lt;&gt;0)),1,0)</f>
        <v>0</v>
      </c>
      <c r="U1146">
        <f>N(U1145)+$T1146</f>
        <v>47</v>
      </c>
      <c r="V1146">
        <f>IF(AND($L1146=1,AND(对接源_01水果!$X1146="自备筐",N(对接源_01水果!$V1146)&lt;&gt;0)),1,0)</f>
        <v>0</v>
      </c>
      <c r="W1146">
        <f>N(W1145)+$V1146</f>
        <v>11</v>
      </c>
      <c r="X1146">
        <f>IF(AND($L1146=1,AND(对接源_01水果!$X1146="自备筐",N(对接源_01水果!$T1146)&lt;&gt;0)),1,0)</f>
        <v>0</v>
      </c>
      <c r="Y1146">
        <f>N(Y1145)+$X1146</f>
        <v>0</v>
      </c>
      <c r="Z1146">
        <f>IF(AND($M1146=1,对接源_01水果!$D1146="原料入库"),1,0)</f>
        <v>0</v>
      </c>
      <c r="AA1146">
        <f>N(AA1145)+$Z1146</f>
        <v>24</v>
      </c>
      <c r="AB1146">
        <f>IF(AND($M1146=1,LEFT(对接源_01水果!$D1146,4)="原料出库"),1,0)</f>
        <v>0</v>
      </c>
      <c r="AC1146">
        <f>N(AC1145)+$AB1146</f>
        <v>0</v>
      </c>
      <c r="AD1146">
        <f>IF(AND($M1146=1,LEFT(对接源_01水果!$D1146,4)="成品出库"),1,0)</f>
        <v>0</v>
      </c>
      <c r="AE1146">
        <f>N(AE1145)+$AD1146</f>
        <v>0</v>
      </c>
      <c r="AF1146">
        <f>IF(AND($N1146=1,AND(LEFT(对接源_01水果!$D1146,4)="包装物料",N(对接源_01水果!$K1146)&lt;&gt;0)),1,0)</f>
        <v>0</v>
      </c>
      <c r="AG1146">
        <f>N(AG1145)+$AF1146</f>
        <v>0</v>
      </c>
      <c r="AH1146">
        <f>IF(AND($N1146=1,AND(对接源_01水果!$D1146="周转筐－销售出库",N(对接源_01水果!$K1146)&lt;&gt;0)),1,0)</f>
        <v>0</v>
      </c>
      <c r="AI1146">
        <f>N(AI1145)+$AH1146</f>
        <v>0</v>
      </c>
      <c r="AJ1146" s="7" t="n"/>
      <c r="AL1146">
        <f>IF(OR($AL$1="",对接源_01水果!$Y1146="",对接源_01水果!$Y1146&lt;&gt;$AL$1,对接源_01水果!$B1146="",N(对接源_01水果!$AJ1146)&lt;=0),0,IF(OR(N(对接源_01水果!$B1146)&lt;$AL$2,N(对接源_01水果!$B1146)&gt;$AL$3),0,1))</f>
        <v>0</v>
      </c>
      <c r="AM1146">
        <f>N(AM1145)+$AL1146</f>
        <v>2</v>
      </c>
      <c r="AN1146">
        <f>IF(对接源_01水果!$AC1146="","",对接源_01水果!$AC1146)</f>
      </c>
      <c r="AO1146">
        <f>IF(AN1146="",0,IF(MATCH(AN1146,$AN$4:$AN$1203,0)=ROW()-3,1,0))</f>
        <v>0</v>
      </c>
      <c r="AP1146">
        <f>N(AP1145)+$AO1146</f>
        <v>13</v>
      </c>
      <c r="AR1146">
        <f>IF(OR($AF1146=1,$AH1146=1),1,0)</f>
        <v>0</v>
      </c>
      <c r="AS1146">
        <f>N(AS1145)+$AR1146</f>
        <v>0</v>
      </c>
    </row>
    <row r="1147" ht="14.25" customHeight="1" s="127">
      <c r="A1147">
        <f>IF(对接源_01水果!$C1147="","",对接源_01水果!$C1147)</f>
      </c>
      <c r="B1147">
        <f>IF(A1147="",0,IF(MATCH(A1147,$A$4:$A$2403,0)=ROW()-3,1,0))</f>
        <v>0</v>
      </c>
      <c r="C1147">
        <f>N(C1146)+B1147</f>
        <v>22</v>
      </c>
      <c r="K1147">
        <f>IF(OR($K$1="",对接源_01水果!$C1147="",对接源_01水果!$C1147&lt;&gt;$K$1,对接源_01水果!$B1147=""),0,IF(OR(N(对接源_01水果!$B1147)&lt;$K$2,N(对接源_01水果!$B1147)&gt;$K$3),0,1))</f>
        <v>0</v>
      </c>
      <c r="L1147">
        <f>IF(OR($L$1="",对接源_01水果!$C1147="",对接源_01水果!$C1147&lt;&gt;$L$1,对接源_01水果!$B1147=""),0,IF(OR(N(对接源_01水果!$B1147)&lt;$L$2,N(对接源_01水果!$B1147)&gt;$L$3),0,1))</f>
        <v>0</v>
      </c>
      <c r="M1147">
        <f>IF(OR($M$1="",对接源_01水果!$C1147="",对接源_01水果!$C1147&lt;&gt;$M$1,对接源_01水果!$B1147=""),0,IF(OR(N(对接源_01水果!$B1147)&lt;$M$2,N(对接源_01水果!$B1147)&gt;$M$3),0,1))</f>
        <v>0</v>
      </c>
      <c r="N1147">
        <f>IF(OR($N$1="",对接源_01水果!$C1147="",对接源_01水果!$C1147&lt;&gt;$N$1,对接源_01水果!$B1147=""),0,IF(OR(N(对接源_01水果!$B1147)&lt;$N$2,N(对接源_01水果!$B1147)&gt;$N$3),0,1))</f>
        <v>0</v>
      </c>
      <c r="P1147">
        <f>IF(AND($K1147=1,AND(对接源_01水果!$X1147="公司筐",N(对接源_01水果!$T1147)&lt;&gt;0)),1,0)</f>
        <v>0</v>
      </c>
      <c r="Q1147">
        <f>N(Q1146)+$P1147</f>
        <v>0</v>
      </c>
      <c r="R1147">
        <f>IF(AND($K1147=1,AND(对接源_01水果!$X1147="公司筐",N(对接源_01水果!$U1147)&lt;&gt;0)),1,0)</f>
        <v>0</v>
      </c>
      <c r="S1147">
        <f>N(S1146)+$R1147</f>
        <v>0</v>
      </c>
      <c r="T1147">
        <f>IF(AND($K1147=1,AND(对接源_01水果!$X1147="公司筐",N(对接源_01水果!$V1147)&lt;&gt;0)),1,0)</f>
        <v>0</v>
      </c>
      <c r="U1147">
        <f>N(U1146)+$T1147</f>
        <v>47</v>
      </c>
      <c r="V1147">
        <f>IF(AND($L1147=1,AND(对接源_01水果!$X1147="自备筐",N(对接源_01水果!$V1147)&lt;&gt;0)),1,0)</f>
        <v>0</v>
      </c>
      <c r="W1147">
        <f>N(W1146)+$V1147</f>
        <v>11</v>
      </c>
      <c r="X1147">
        <f>IF(AND($L1147=1,AND(对接源_01水果!$X1147="自备筐",N(对接源_01水果!$T1147)&lt;&gt;0)),1,0)</f>
        <v>0</v>
      </c>
      <c r="Y1147">
        <f>N(Y1146)+$X1147</f>
        <v>0</v>
      </c>
      <c r="Z1147">
        <f>IF(AND($M1147=1,对接源_01水果!$D1147="原料入库"),1,0)</f>
        <v>0</v>
      </c>
      <c r="AA1147">
        <f>N(AA1146)+$Z1147</f>
        <v>24</v>
      </c>
      <c r="AB1147">
        <f>IF(AND($M1147=1,LEFT(对接源_01水果!$D1147,4)="原料出库"),1,0)</f>
        <v>0</v>
      </c>
      <c r="AC1147">
        <f>N(AC1146)+$AB1147</f>
        <v>0</v>
      </c>
      <c r="AD1147">
        <f>IF(AND($M1147=1,LEFT(对接源_01水果!$D1147,4)="成品出库"),1,0)</f>
        <v>0</v>
      </c>
      <c r="AE1147">
        <f>N(AE1146)+$AD1147</f>
        <v>0</v>
      </c>
      <c r="AF1147">
        <f>IF(AND($N1147=1,AND(LEFT(对接源_01水果!$D1147,4)="包装物料",N(对接源_01水果!$K1147)&lt;&gt;0)),1,0)</f>
        <v>0</v>
      </c>
      <c r="AG1147">
        <f>N(AG1146)+$AF1147</f>
        <v>0</v>
      </c>
      <c r="AH1147">
        <f>IF(AND($N1147=1,AND(对接源_01水果!$D1147="周转筐－销售出库",N(对接源_01水果!$K1147)&lt;&gt;0)),1,0)</f>
        <v>0</v>
      </c>
      <c r="AI1147">
        <f>N(AI1146)+$AH1147</f>
        <v>0</v>
      </c>
      <c r="AJ1147" s="7" t="n"/>
      <c r="AL1147">
        <f>IF(OR($AL$1="",对接源_01水果!$Y1147="",对接源_01水果!$Y1147&lt;&gt;$AL$1,对接源_01水果!$B1147="",N(对接源_01水果!$AJ1147)&lt;=0),0,IF(OR(N(对接源_01水果!$B1147)&lt;$AL$2,N(对接源_01水果!$B1147)&gt;$AL$3),0,1))</f>
        <v>0</v>
      </c>
      <c r="AM1147">
        <f>N(AM1146)+$AL1147</f>
        <v>2</v>
      </c>
      <c r="AN1147">
        <f>IF(对接源_01水果!$AC1147="","",对接源_01水果!$AC1147)</f>
      </c>
      <c r="AO1147">
        <f>IF(AN1147="",0,IF(MATCH(AN1147,$AN$4:$AN$1203,0)=ROW()-3,1,0))</f>
        <v>0</v>
      </c>
      <c r="AP1147">
        <f>N(AP1146)+$AO1147</f>
        <v>13</v>
      </c>
      <c r="AR1147">
        <f>IF(OR($AF1147=1,$AH1147=1),1,0)</f>
        <v>0</v>
      </c>
      <c r="AS1147">
        <f>N(AS1146)+$AR1147</f>
        <v>0</v>
      </c>
    </row>
    <row r="1148" ht="14.25" customHeight="1" s="127">
      <c r="A1148">
        <f>IF(对接源_01水果!$C1148="","",对接源_01水果!$C1148)</f>
      </c>
      <c r="B1148">
        <f>IF(A1148="",0,IF(MATCH(A1148,$A$4:$A$2403,0)=ROW()-3,1,0))</f>
        <v>0</v>
      </c>
      <c r="C1148">
        <f>N(C1147)+B1148</f>
        <v>22</v>
      </c>
      <c r="K1148">
        <f>IF(OR($K$1="",对接源_01水果!$C1148="",对接源_01水果!$C1148&lt;&gt;$K$1,对接源_01水果!$B1148=""),0,IF(OR(N(对接源_01水果!$B1148)&lt;$K$2,N(对接源_01水果!$B1148)&gt;$K$3),0,1))</f>
        <v>0</v>
      </c>
      <c r="L1148">
        <f>IF(OR($L$1="",对接源_01水果!$C1148="",对接源_01水果!$C1148&lt;&gt;$L$1,对接源_01水果!$B1148=""),0,IF(OR(N(对接源_01水果!$B1148)&lt;$L$2,N(对接源_01水果!$B1148)&gt;$L$3),0,1))</f>
        <v>0</v>
      </c>
      <c r="M1148">
        <f>IF(OR($M$1="",对接源_01水果!$C1148="",对接源_01水果!$C1148&lt;&gt;$M$1,对接源_01水果!$B1148=""),0,IF(OR(N(对接源_01水果!$B1148)&lt;$M$2,N(对接源_01水果!$B1148)&gt;$M$3),0,1))</f>
        <v>0</v>
      </c>
      <c r="N1148">
        <f>IF(OR($N$1="",对接源_01水果!$C1148="",对接源_01水果!$C1148&lt;&gt;$N$1,对接源_01水果!$B1148=""),0,IF(OR(N(对接源_01水果!$B1148)&lt;$N$2,N(对接源_01水果!$B1148)&gt;$N$3),0,1))</f>
        <v>0</v>
      </c>
      <c r="P1148">
        <f>IF(AND($K1148=1,AND(对接源_01水果!$X1148="公司筐",N(对接源_01水果!$T1148)&lt;&gt;0)),1,0)</f>
        <v>0</v>
      </c>
      <c r="Q1148">
        <f>N(Q1147)+$P1148</f>
        <v>0</v>
      </c>
      <c r="R1148">
        <f>IF(AND($K1148=1,AND(对接源_01水果!$X1148="公司筐",N(对接源_01水果!$U1148)&lt;&gt;0)),1,0)</f>
        <v>0</v>
      </c>
      <c r="S1148">
        <f>N(S1147)+$R1148</f>
        <v>0</v>
      </c>
      <c r="T1148">
        <f>IF(AND($K1148=1,AND(对接源_01水果!$X1148="公司筐",N(对接源_01水果!$V1148)&lt;&gt;0)),1,0)</f>
        <v>0</v>
      </c>
      <c r="U1148">
        <f>N(U1147)+$T1148</f>
        <v>47</v>
      </c>
      <c r="V1148">
        <f>IF(AND($L1148=1,AND(对接源_01水果!$X1148="自备筐",N(对接源_01水果!$V1148)&lt;&gt;0)),1,0)</f>
        <v>0</v>
      </c>
      <c r="W1148">
        <f>N(W1147)+$V1148</f>
        <v>11</v>
      </c>
      <c r="X1148">
        <f>IF(AND($L1148=1,AND(对接源_01水果!$X1148="自备筐",N(对接源_01水果!$T1148)&lt;&gt;0)),1,0)</f>
        <v>0</v>
      </c>
      <c r="Y1148">
        <f>N(Y1147)+$X1148</f>
        <v>0</v>
      </c>
      <c r="Z1148">
        <f>IF(AND($M1148=1,对接源_01水果!$D1148="原料入库"),1,0)</f>
        <v>0</v>
      </c>
      <c r="AA1148">
        <f>N(AA1147)+$Z1148</f>
        <v>24</v>
      </c>
      <c r="AB1148">
        <f>IF(AND($M1148=1,LEFT(对接源_01水果!$D1148,4)="原料出库"),1,0)</f>
        <v>0</v>
      </c>
      <c r="AC1148">
        <f>N(AC1147)+$AB1148</f>
        <v>0</v>
      </c>
      <c r="AD1148">
        <f>IF(AND($M1148=1,LEFT(对接源_01水果!$D1148,4)="成品出库"),1,0)</f>
        <v>0</v>
      </c>
      <c r="AE1148">
        <f>N(AE1147)+$AD1148</f>
        <v>0</v>
      </c>
      <c r="AF1148">
        <f>IF(AND($N1148=1,AND(LEFT(对接源_01水果!$D1148,4)="包装物料",N(对接源_01水果!$K1148)&lt;&gt;0)),1,0)</f>
        <v>0</v>
      </c>
      <c r="AG1148">
        <f>N(AG1147)+$AF1148</f>
        <v>0</v>
      </c>
      <c r="AH1148">
        <f>IF(AND($N1148=1,AND(对接源_01水果!$D1148="周转筐－销售出库",N(对接源_01水果!$K1148)&lt;&gt;0)),1,0)</f>
        <v>0</v>
      </c>
      <c r="AI1148">
        <f>N(AI1147)+$AH1148</f>
        <v>0</v>
      </c>
      <c r="AJ1148" s="7" t="n"/>
      <c r="AL1148">
        <f>IF(OR($AL$1="",对接源_01水果!$Y1148="",对接源_01水果!$Y1148&lt;&gt;$AL$1,对接源_01水果!$B1148="",N(对接源_01水果!$AJ1148)&lt;=0),0,IF(OR(N(对接源_01水果!$B1148)&lt;$AL$2,N(对接源_01水果!$B1148)&gt;$AL$3),0,1))</f>
        <v>0</v>
      </c>
      <c r="AM1148">
        <f>N(AM1147)+$AL1148</f>
        <v>2</v>
      </c>
      <c r="AN1148">
        <f>IF(对接源_01水果!$AC1148="","",对接源_01水果!$AC1148)</f>
      </c>
      <c r="AO1148">
        <f>IF(AN1148="",0,IF(MATCH(AN1148,$AN$4:$AN$1203,0)=ROW()-3,1,0))</f>
        <v>0</v>
      </c>
      <c r="AP1148">
        <f>N(AP1147)+$AO1148</f>
        <v>13</v>
      </c>
      <c r="AR1148">
        <f>IF(OR($AF1148=1,$AH1148=1),1,0)</f>
        <v>0</v>
      </c>
      <c r="AS1148">
        <f>N(AS1147)+$AR1148</f>
        <v>0</v>
      </c>
    </row>
    <row r="1149" ht="14.25" customHeight="1" s="127">
      <c r="A1149">
        <f>IF(对接源_01水果!$C1149="","",对接源_01水果!$C1149)</f>
      </c>
      <c r="B1149">
        <f>IF(A1149="",0,IF(MATCH(A1149,$A$4:$A$2403,0)=ROW()-3,1,0))</f>
        <v>0</v>
      </c>
      <c r="C1149">
        <f>N(C1148)+B1149</f>
        <v>22</v>
      </c>
      <c r="K1149">
        <f>IF(OR($K$1="",对接源_01水果!$C1149="",对接源_01水果!$C1149&lt;&gt;$K$1,对接源_01水果!$B1149=""),0,IF(OR(N(对接源_01水果!$B1149)&lt;$K$2,N(对接源_01水果!$B1149)&gt;$K$3),0,1))</f>
        <v>0</v>
      </c>
      <c r="L1149">
        <f>IF(OR($L$1="",对接源_01水果!$C1149="",对接源_01水果!$C1149&lt;&gt;$L$1,对接源_01水果!$B1149=""),0,IF(OR(N(对接源_01水果!$B1149)&lt;$L$2,N(对接源_01水果!$B1149)&gt;$L$3),0,1))</f>
        <v>0</v>
      </c>
      <c r="M1149">
        <f>IF(OR($M$1="",对接源_01水果!$C1149="",对接源_01水果!$C1149&lt;&gt;$M$1,对接源_01水果!$B1149=""),0,IF(OR(N(对接源_01水果!$B1149)&lt;$M$2,N(对接源_01水果!$B1149)&gt;$M$3),0,1))</f>
        <v>0</v>
      </c>
      <c r="N1149">
        <f>IF(OR($N$1="",对接源_01水果!$C1149="",对接源_01水果!$C1149&lt;&gt;$N$1,对接源_01水果!$B1149=""),0,IF(OR(N(对接源_01水果!$B1149)&lt;$N$2,N(对接源_01水果!$B1149)&gt;$N$3),0,1))</f>
        <v>0</v>
      </c>
      <c r="P1149">
        <f>IF(AND($K1149=1,AND(对接源_01水果!$X1149="公司筐",N(对接源_01水果!$T1149)&lt;&gt;0)),1,0)</f>
        <v>0</v>
      </c>
      <c r="Q1149">
        <f>N(Q1148)+$P1149</f>
        <v>0</v>
      </c>
      <c r="R1149">
        <f>IF(AND($K1149=1,AND(对接源_01水果!$X1149="公司筐",N(对接源_01水果!$U1149)&lt;&gt;0)),1,0)</f>
        <v>0</v>
      </c>
      <c r="S1149">
        <f>N(S1148)+$R1149</f>
        <v>0</v>
      </c>
      <c r="T1149">
        <f>IF(AND($K1149=1,AND(对接源_01水果!$X1149="公司筐",N(对接源_01水果!$V1149)&lt;&gt;0)),1,0)</f>
        <v>0</v>
      </c>
      <c r="U1149">
        <f>N(U1148)+$T1149</f>
        <v>47</v>
      </c>
      <c r="V1149">
        <f>IF(AND($L1149=1,AND(对接源_01水果!$X1149="自备筐",N(对接源_01水果!$V1149)&lt;&gt;0)),1,0)</f>
        <v>0</v>
      </c>
      <c r="W1149">
        <f>N(W1148)+$V1149</f>
        <v>11</v>
      </c>
      <c r="X1149">
        <f>IF(AND($L1149=1,AND(对接源_01水果!$X1149="自备筐",N(对接源_01水果!$T1149)&lt;&gt;0)),1,0)</f>
        <v>0</v>
      </c>
      <c r="Y1149">
        <f>N(Y1148)+$X1149</f>
        <v>0</v>
      </c>
      <c r="Z1149">
        <f>IF(AND($M1149=1,对接源_01水果!$D1149="原料入库"),1,0)</f>
        <v>0</v>
      </c>
      <c r="AA1149">
        <f>N(AA1148)+$Z1149</f>
        <v>24</v>
      </c>
      <c r="AB1149">
        <f>IF(AND($M1149=1,LEFT(对接源_01水果!$D1149,4)="原料出库"),1,0)</f>
        <v>0</v>
      </c>
      <c r="AC1149">
        <f>N(AC1148)+$AB1149</f>
        <v>0</v>
      </c>
      <c r="AD1149">
        <f>IF(AND($M1149=1,LEFT(对接源_01水果!$D1149,4)="成品出库"),1,0)</f>
        <v>0</v>
      </c>
      <c r="AE1149">
        <f>N(AE1148)+$AD1149</f>
        <v>0</v>
      </c>
      <c r="AF1149">
        <f>IF(AND($N1149=1,AND(LEFT(对接源_01水果!$D1149,4)="包装物料",N(对接源_01水果!$K1149)&lt;&gt;0)),1,0)</f>
        <v>0</v>
      </c>
      <c r="AG1149">
        <f>N(AG1148)+$AF1149</f>
        <v>0</v>
      </c>
      <c r="AH1149">
        <f>IF(AND($N1149=1,AND(对接源_01水果!$D1149="周转筐－销售出库",N(对接源_01水果!$K1149)&lt;&gt;0)),1,0)</f>
        <v>0</v>
      </c>
      <c r="AI1149">
        <f>N(AI1148)+$AH1149</f>
        <v>0</v>
      </c>
      <c r="AJ1149" s="7" t="n"/>
      <c r="AL1149">
        <f>IF(OR($AL$1="",对接源_01水果!$Y1149="",对接源_01水果!$Y1149&lt;&gt;$AL$1,对接源_01水果!$B1149="",N(对接源_01水果!$AJ1149)&lt;=0),0,IF(OR(N(对接源_01水果!$B1149)&lt;$AL$2,N(对接源_01水果!$B1149)&gt;$AL$3),0,1))</f>
        <v>0</v>
      </c>
      <c r="AM1149">
        <f>N(AM1148)+$AL1149</f>
        <v>2</v>
      </c>
      <c r="AN1149">
        <f>IF(对接源_01水果!$AC1149="","",对接源_01水果!$AC1149)</f>
      </c>
      <c r="AO1149">
        <f>IF(AN1149="",0,IF(MATCH(AN1149,$AN$4:$AN$1203,0)=ROW()-3,1,0))</f>
        <v>0</v>
      </c>
      <c r="AP1149">
        <f>N(AP1148)+$AO1149</f>
        <v>13</v>
      </c>
      <c r="AR1149">
        <f>IF(OR($AF1149=1,$AH1149=1),1,0)</f>
        <v>0</v>
      </c>
      <c r="AS1149">
        <f>N(AS1148)+$AR1149</f>
        <v>0</v>
      </c>
    </row>
    <row r="1150" ht="14.25" customHeight="1" s="127">
      <c r="A1150">
        <f>IF(对接源_01水果!$C1150="","",对接源_01水果!$C1150)</f>
      </c>
      <c r="B1150">
        <f>IF(A1150="",0,IF(MATCH(A1150,$A$4:$A$2403,0)=ROW()-3,1,0))</f>
        <v>0</v>
      </c>
      <c r="C1150">
        <f>N(C1149)+B1150</f>
        <v>22</v>
      </c>
      <c r="K1150">
        <f>IF(OR($K$1="",对接源_01水果!$C1150="",对接源_01水果!$C1150&lt;&gt;$K$1,对接源_01水果!$B1150=""),0,IF(OR(N(对接源_01水果!$B1150)&lt;$K$2,N(对接源_01水果!$B1150)&gt;$K$3),0,1))</f>
        <v>0</v>
      </c>
      <c r="L1150">
        <f>IF(OR($L$1="",对接源_01水果!$C1150="",对接源_01水果!$C1150&lt;&gt;$L$1,对接源_01水果!$B1150=""),0,IF(OR(N(对接源_01水果!$B1150)&lt;$L$2,N(对接源_01水果!$B1150)&gt;$L$3),0,1))</f>
        <v>0</v>
      </c>
      <c r="M1150">
        <f>IF(OR($M$1="",对接源_01水果!$C1150="",对接源_01水果!$C1150&lt;&gt;$M$1,对接源_01水果!$B1150=""),0,IF(OR(N(对接源_01水果!$B1150)&lt;$M$2,N(对接源_01水果!$B1150)&gt;$M$3),0,1))</f>
        <v>0</v>
      </c>
      <c r="N1150">
        <f>IF(OR($N$1="",对接源_01水果!$C1150="",对接源_01水果!$C1150&lt;&gt;$N$1,对接源_01水果!$B1150=""),0,IF(OR(N(对接源_01水果!$B1150)&lt;$N$2,N(对接源_01水果!$B1150)&gt;$N$3),0,1))</f>
        <v>0</v>
      </c>
      <c r="P1150">
        <f>IF(AND($K1150=1,AND(对接源_01水果!$X1150="公司筐",N(对接源_01水果!$T1150)&lt;&gt;0)),1,0)</f>
        <v>0</v>
      </c>
      <c r="Q1150">
        <f>N(Q1149)+$P1150</f>
        <v>0</v>
      </c>
      <c r="R1150">
        <f>IF(AND($K1150=1,AND(对接源_01水果!$X1150="公司筐",N(对接源_01水果!$U1150)&lt;&gt;0)),1,0)</f>
        <v>0</v>
      </c>
      <c r="S1150">
        <f>N(S1149)+$R1150</f>
        <v>0</v>
      </c>
      <c r="T1150">
        <f>IF(AND($K1150=1,AND(对接源_01水果!$X1150="公司筐",N(对接源_01水果!$V1150)&lt;&gt;0)),1,0)</f>
        <v>0</v>
      </c>
      <c r="U1150">
        <f>N(U1149)+$T1150</f>
        <v>47</v>
      </c>
      <c r="V1150">
        <f>IF(AND($L1150=1,AND(对接源_01水果!$X1150="自备筐",N(对接源_01水果!$V1150)&lt;&gt;0)),1,0)</f>
        <v>0</v>
      </c>
      <c r="W1150">
        <f>N(W1149)+$V1150</f>
        <v>11</v>
      </c>
      <c r="X1150">
        <f>IF(AND($L1150=1,AND(对接源_01水果!$X1150="自备筐",N(对接源_01水果!$T1150)&lt;&gt;0)),1,0)</f>
        <v>0</v>
      </c>
      <c r="Y1150">
        <f>N(Y1149)+$X1150</f>
        <v>0</v>
      </c>
      <c r="Z1150">
        <f>IF(AND($M1150=1,对接源_01水果!$D1150="原料入库"),1,0)</f>
        <v>0</v>
      </c>
      <c r="AA1150">
        <f>N(AA1149)+$Z1150</f>
        <v>24</v>
      </c>
      <c r="AB1150">
        <f>IF(AND($M1150=1,LEFT(对接源_01水果!$D1150,4)="原料出库"),1,0)</f>
        <v>0</v>
      </c>
      <c r="AC1150">
        <f>N(AC1149)+$AB1150</f>
        <v>0</v>
      </c>
      <c r="AD1150">
        <f>IF(AND($M1150=1,LEFT(对接源_01水果!$D1150,4)="成品出库"),1,0)</f>
        <v>0</v>
      </c>
      <c r="AE1150">
        <f>N(AE1149)+$AD1150</f>
        <v>0</v>
      </c>
      <c r="AF1150">
        <f>IF(AND($N1150=1,AND(LEFT(对接源_01水果!$D1150,4)="包装物料",N(对接源_01水果!$K1150)&lt;&gt;0)),1,0)</f>
        <v>0</v>
      </c>
      <c r="AG1150">
        <f>N(AG1149)+$AF1150</f>
        <v>0</v>
      </c>
      <c r="AH1150">
        <f>IF(AND($N1150=1,AND(对接源_01水果!$D1150="周转筐－销售出库",N(对接源_01水果!$K1150)&lt;&gt;0)),1,0)</f>
        <v>0</v>
      </c>
      <c r="AI1150">
        <f>N(AI1149)+$AH1150</f>
        <v>0</v>
      </c>
      <c r="AJ1150" s="7" t="n"/>
      <c r="AL1150">
        <f>IF(OR($AL$1="",对接源_01水果!$Y1150="",对接源_01水果!$Y1150&lt;&gt;$AL$1,对接源_01水果!$B1150="",N(对接源_01水果!$AJ1150)&lt;=0),0,IF(OR(N(对接源_01水果!$B1150)&lt;$AL$2,N(对接源_01水果!$B1150)&gt;$AL$3),0,1))</f>
        <v>0</v>
      </c>
      <c r="AM1150">
        <f>N(AM1149)+$AL1150</f>
        <v>2</v>
      </c>
      <c r="AN1150">
        <f>IF(对接源_01水果!$AC1150="","",对接源_01水果!$AC1150)</f>
      </c>
      <c r="AO1150">
        <f>IF(AN1150="",0,IF(MATCH(AN1150,$AN$4:$AN$1203,0)=ROW()-3,1,0))</f>
        <v>0</v>
      </c>
      <c r="AP1150">
        <f>N(AP1149)+$AO1150</f>
        <v>13</v>
      </c>
      <c r="AR1150">
        <f>IF(OR($AF1150=1,$AH1150=1),1,0)</f>
        <v>0</v>
      </c>
      <c r="AS1150">
        <f>N(AS1149)+$AR1150</f>
        <v>0</v>
      </c>
    </row>
    <row r="1151" ht="14.25" customHeight="1" s="127">
      <c r="A1151">
        <f>IF(对接源_01水果!$C1151="","",对接源_01水果!$C1151)</f>
      </c>
      <c r="B1151">
        <f>IF(A1151="",0,IF(MATCH(A1151,$A$4:$A$2403,0)=ROW()-3,1,0))</f>
        <v>0</v>
      </c>
      <c r="C1151">
        <f>N(C1150)+B1151</f>
        <v>22</v>
      </c>
      <c r="K1151">
        <f>IF(OR($K$1="",对接源_01水果!$C1151="",对接源_01水果!$C1151&lt;&gt;$K$1,对接源_01水果!$B1151=""),0,IF(OR(N(对接源_01水果!$B1151)&lt;$K$2,N(对接源_01水果!$B1151)&gt;$K$3),0,1))</f>
        <v>0</v>
      </c>
      <c r="L1151">
        <f>IF(OR($L$1="",对接源_01水果!$C1151="",对接源_01水果!$C1151&lt;&gt;$L$1,对接源_01水果!$B1151=""),0,IF(OR(N(对接源_01水果!$B1151)&lt;$L$2,N(对接源_01水果!$B1151)&gt;$L$3),0,1))</f>
        <v>0</v>
      </c>
      <c r="M1151">
        <f>IF(OR($M$1="",对接源_01水果!$C1151="",对接源_01水果!$C1151&lt;&gt;$M$1,对接源_01水果!$B1151=""),0,IF(OR(N(对接源_01水果!$B1151)&lt;$M$2,N(对接源_01水果!$B1151)&gt;$M$3),0,1))</f>
        <v>0</v>
      </c>
      <c r="N1151">
        <f>IF(OR($N$1="",对接源_01水果!$C1151="",对接源_01水果!$C1151&lt;&gt;$N$1,对接源_01水果!$B1151=""),0,IF(OR(N(对接源_01水果!$B1151)&lt;$N$2,N(对接源_01水果!$B1151)&gt;$N$3),0,1))</f>
        <v>0</v>
      </c>
      <c r="P1151">
        <f>IF(AND($K1151=1,AND(对接源_01水果!$X1151="公司筐",N(对接源_01水果!$T1151)&lt;&gt;0)),1,0)</f>
        <v>0</v>
      </c>
      <c r="Q1151">
        <f>N(Q1150)+$P1151</f>
        <v>0</v>
      </c>
      <c r="R1151">
        <f>IF(AND($K1151=1,AND(对接源_01水果!$X1151="公司筐",N(对接源_01水果!$U1151)&lt;&gt;0)),1,0)</f>
        <v>0</v>
      </c>
      <c r="S1151">
        <f>N(S1150)+$R1151</f>
        <v>0</v>
      </c>
      <c r="T1151">
        <f>IF(AND($K1151=1,AND(对接源_01水果!$X1151="公司筐",N(对接源_01水果!$V1151)&lt;&gt;0)),1,0)</f>
        <v>0</v>
      </c>
      <c r="U1151">
        <f>N(U1150)+$T1151</f>
        <v>47</v>
      </c>
      <c r="V1151">
        <f>IF(AND($L1151=1,AND(对接源_01水果!$X1151="自备筐",N(对接源_01水果!$V1151)&lt;&gt;0)),1,0)</f>
        <v>0</v>
      </c>
      <c r="W1151">
        <f>N(W1150)+$V1151</f>
        <v>11</v>
      </c>
      <c r="X1151">
        <f>IF(AND($L1151=1,AND(对接源_01水果!$X1151="自备筐",N(对接源_01水果!$T1151)&lt;&gt;0)),1,0)</f>
        <v>0</v>
      </c>
      <c r="Y1151">
        <f>N(Y1150)+$X1151</f>
        <v>0</v>
      </c>
      <c r="Z1151">
        <f>IF(AND($M1151=1,对接源_01水果!$D1151="原料入库"),1,0)</f>
        <v>0</v>
      </c>
      <c r="AA1151">
        <f>N(AA1150)+$Z1151</f>
        <v>24</v>
      </c>
      <c r="AB1151">
        <f>IF(AND($M1151=1,LEFT(对接源_01水果!$D1151,4)="原料出库"),1,0)</f>
        <v>0</v>
      </c>
      <c r="AC1151">
        <f>N(AC1150)+$AB1151</f>
        <v>0</v>
      </c>
      <c r="AD1151">
        <f>IF(AND($M1151=1,LEFT(对接源_01水果!$D1151,4)="成品出库"),1,0)</f>
        <v>0</v>
      </c>
      <c r="AE1151">
        <f>N(AE1150)+$AD1151</f>
        <v>0</v>
      </c>
      <c r="AF1151">
        <f>IF(AND($N1151=1,AND(LEFT(对接源_01水果!$D1151,4)="包装物料",N(对接源_01水果!$K1151)&lt;&gt;0)),1,0)</f>
        <v>0</v>
      </c>
      <c r="AG1151">
        <f>N(AG1150)+$AF1151</f>
        <v>0</v>
      </c>
      <c r="AH1151">
        <f>IF(AND($N1151=1,AND(对接源_01水果!$D1151="周转筐－销售出库",N(对接源_01水果!$K1151)&lt;&gt;0)),1,0)</f>
        <v>0</v>
      </c>
      <c r="AI1151">
        <f>N(AI1150)+$AH1151</f>
        <v>0</v>
      </c>
      <c r="AJ1151" s="7" t="n"/>
      <c r="AL1151">
        <f>IF(OR($AL$1="",对接源_01水果!$Y1151="",对接源_01水果!$Y1151&lt;&gt;$AL$1,对接源_01水果!$B1151="",N(对接源_01水果!$AJ1151)&lt;=0),0,IF(OR(N(对接源_01水果!$B1151)&lt;$AL$2,N(对接源_01水果!$B1151)&gt;$AL$3),0,1))</f>
        <v>0</v>
      </c>
      <c r="AM1151">
        <f>N(AM1150)+$AL1151</f>
        <v>2</v>
      </c>
      <c r="AN1151">
        <f>IF(对接源_01水果!$AC1151="","",对接源_01水果!$AC1151)</f>
      </c>
      <c r="AO1151">
        <f>IF(AN1151="",0,IF(MATCH(AN1151,$AN$4:$AN$1203,0)=ROW()-3,1,0))</f>
        <v>0</v>
      </c>
      <c r="AP1151">
        <f>N(AP1150)+$AO1151</f>
        <v>13</v>
      </c>
      <c r="AR1151">
        <f>IF(OR($AF1151=1,$AH1151=1),1,0)</f>
        <v>0</v>
      </c>
      <c r="AS1151">
        <f>N(AS1150)+$AR1151</f>
        <v>0</v>
      </c>
    </row>
    <row r="1152" ht="14.25" customHeight="1" s="127">
      <c r="A1152">
        <f>IF(对接源_01水果!$C1152="","",对接源_01水果!$C1152)</f>
      </c>
      <c r="B1152">
        <f>IF(A1152="",0,IF(MATCH(A1152,$A$4:$A$2403,0)=ROW()-3,1,0))</f>
        <v>0</v>
      </c>
      <c r="C1152">
        <f>N(C1151)+B1152</f>
        <v>22</v>
      </c>
      <c r="K1152">
        <f>IF(OR($K$1="",对接源_01水果!$C1152="",对接源_01水果!$C1152&lt;&gt;$K$1,对接源_01水果!$B1152=""),0,IF(OR(N(对接源_01水果!$B1152)&lt;$K$2,N(对接源_01水果!$B1152)&gt;$K$3),0,1))</f>
        <v>0</v>
      </c>
      <c r="L1152">
        <f>IF(OR($L$1="",对接源_01水果!$C1152="",对接源_01水果!$C1152&lt;&gt;$L$1,对接源_01水果!$B1152=""),0,IF(OR(N(对接源_01水果!$B1152)&lt;$L$2,N(对接源_01水果!$B1152)&gt;$L$3),0,1))</f>
        <v>0</v>
      </c>
      <c r="M1152">
        <f>IF(OR($M$1="",对接源_01水果!$C1152="",对接源_01水果!$C1152&lt;&gt;$M$1,对接源_01水果!$B1152=""),0,IF(OR(N(对接源_01水果!$B1152)&lt;$M$2,N(对接源_01水果!$B1152)&gt;$M$3),0,1))</f>
        <v>0</v>
      </c>
      <c r="N1152">
        <f>IF(OR($N$1="",对接源_01水果!$C1152="",对接源_01水果!$C1152&lt;&gt;$N$1,对接源_01水果!$B1152=""),0,IF(OR(N(对接源_01水果!$B1152)&lt;$N$2,N(对接源_01水果!$B1152)&gt;$N$3),0,1))</f>
        <v>0</v>
      </c>
      <c r="P1152">
        <f>IF(AND($K1152=1,AND(对接源_01水果!$X1152="公司筐",N(对接源_01水果!$T1152)&lt;&gt;0)),1,0)</f>
        <v>0</v>
      </c>
      <c r="Q1152">
        <f>N(Q1151)+$P1152</f>
        <v>0</v>
      </c>
      <c r="R1152">
        <f>IF(AND($K1152=1,AND(对接源_01水果!$X1152="公司筐",N(对接源_01水果!$U1152)&lt;&gt;0)),1,0)</f>
        <v>0</v>
      </c>
      <c r="S1152">
        <f>N(S1151)+$R1152</f>
        <v>0</v>
      </c>
      <c r="T1152">
        <f>IF(AND($K1152=1,AND(对接源_01水果!$X1152="公司筐",N(对接源_01水果!$V1152)&lt;&gt;0)),1,0)</f>
        <v>0</v>
      </c>
      <c r="U1152">
        <f>N(U1151)+$T1152</f>
        <v>47</v>
      </c>
      <c r="V1152">
        <f>IF(AND($L1152=1,AND(对接源_01水果!$X1152="自备筐",N(对接源_01水果!$V1152)&lt;&gt;0)),1,0)</f>
        <v>0</v>
      </c>
      <c r="W1152">
        <f>N(W1151)+$V1152</f>
        <v>11</v>
      </c>
      <c r="X1152">
        <f>IF(AND($L1152=1,AND(对接源_01水果!$X1152="自备筐",N(对接源_01水果!$T1152)&lt;&gt;0)),1,0)</f>
        <v>0</v>
      </c>
      <c r="Y1152">
        <f>N(Y1151)+$X1152</f>
        <v>0</v>
      </c>
      <c r="Z1152">
        <f>IF(AND($M1152=1,对接源_01水果!$D1152="原料入库"),1,0)</f>
        <v>0</v>
      </c>
      <c r="AA1152">
        <f>N(AA1151)+$Z1152</f>
        <v>24</v>
      </c>
      <c r="AB1152">
        <f>IF(AND($M1152=1,LEFT(对接源_01水果!$D1152,4)="原料出库"),1,0)</f>
        <v>0</v>
      </c>
      <c r="AC1152">
        <f>N(AC1151)+$AB1152</f>
        <v>0</v>
      </c>
      <c r="AD1152">
        <f>IF(AND($M1152=1,LEFT(对接源_01水果!$D1152,4)="成品出库"),1,0)</f>
        <v>0</v>
      </c>
      <c r="AE1152">
        <f>N(AE1151)+$AD1152</f>
        <v>0</v>
      </c>
      <c r="AF1152">
        <f>IF(AND($N1152=1,AND(LEFT(对接源_01水果!$D1152,4)="包装物料",N(对接源_01水果!$K1152)&lt;&gt;0)),1,0)</f>
        <v>0</v>
      </c>
      <c r="AG1152">
        <f>N(AG1151)+$AF1152</f>
        <v>0</v>
      </c>
      <c r="AH1152">
        <f>IF(AND($N1152=1,AND(对接源_01水果!$D1152="周转筐－销售出库",N(对接源_01水果!$K1152)&lt;&gt;0)),1,0)</f>
        <v>0</v>
      </c>
      <c r="AI1152">
        <f>N(AI1151)+$AH1152</f>
        <v>0</v>
      </c>
      <c r="AJ1152" s="7" t="n"/>
      <c r="AL1152">
        <f>IF(OR($AL$1="",对接源_01水果!$Y1152="",对接源_01水果!$Y1152&lt;&gt;$AL$1,对接源_01水果!$B1152="",N(对接源_01水果!$AJ1152)&lt;=0),0,IF(OR(N(对接源_01水果!$B1152)&lt;$AL$2,N(对接源_01水果!$B1152)&gt;$AL$3),0,1))</f>
        <v>0</v>
      </c>
      <c r="AM1152">
        <f>N(AM1151)+$AL1152</f>
        <v>2</v>
      </c>
      <c r="AN1152">
        <f>IF(对接源_01水果!$AC1152="","",对接源_01水果!$AC1152)</f>
      </c>
      <c r="AO1152">
        <f>IF(AN1152="",0,IF(MATCH(AN1152,$AN$4:$AN$1203,0)=ROW()-3,1,0))</f>
        <v>0</v>
      </c>
      <c r="AP1152">
        <f>N(AP1151)+$AO1152</f>
        <v>13</v>
      </c>
      <c r="AR1152">
        <f>IF(OR($AF1152=1,$AH1152=1),1,0)</f>
        <v>0</v>
      </c>
      <c r="AS1152">
        <f>N(AS1151)+$AR1152</f>
        <v>0</v>
      </c>
    </row>
    <row r="1153" ht="14.25" customHeight="1" s="127">
      <c r="A1153">
        <f>IF(对接源_01水果!$C1153="","",对接源_01水果!$C1153)</f>
      </c>
      <c r="B1153">
        <f>IF(A1153="",0,IF(MATCH(A1153,$A$4:$A$2403,0)=ROW()-3,1,0))</f>
        <v>0</v>
      </c>
      <c r="C1153">
        <f>N(C1152)+B1153</f>
        <v>22</v>
      </c>
      <c r="K1153">
        <f>IF(OR($K$1="",对接源_01水果!$C1153="",对接源_01水果!$C1153&lt;&gt;$K$1,对接源_01水果!$B1153=""),0,IF(OR(N(对接源_01水果!$B1153)&lt;$K$2,N(对接源_01水果!$B1153)&gt;$K$3),0,1))</f>
        <v>0</v>
      </c>
      <c r="L1153">
        <f>IF(OR($L$1="",对接源_01水果!$C1153="",对接源_01水果!$C1153&lt;&gt;$L$1,对接源_01水果!$B1153=""),0,IF(OR(N(对接源_01水果!$B1153)&lt;$L$2,N(对接源_01水果!$B1153)&gt;$L$3),0,1))</f>
        <v>0</v>
      </c>
      <c r="M1153">
        <f>IF(OR($M$1="",对接源_01水果!$C1153="",对接源_01水果!$C1153&lt;&gt;$M$1,对接源_01水果!$B1153=""),0,IF(OR(N(对接源_01水果!$B1153)&lt;$M$2,N(对接源_01水果!$B1153)&gt;$M$3),0,1))</f>
        <v>0</v>
      </c>
      <c r="N1153">
        <f>IF(OR($N$1="",对接源_01水果!$C1153="",对接源_01水果!$C1153&lt;&gt;$N$1,对接源_01水果!$B1153=""),0,IF(OR(N(对接源_01水果!$B1153)&lt;$N$2,N(对接源_01水果!$B1153)&gt;$N$3),0,1))</f>
        <v>0</v>
      </c>
      <c r="P1153">
        <f>IF(AND($K1153=1,AND(对接源_01水果!$X1153="公司筐",N(对接源_01水果!$T1153)&lt;&gt;0)),1,0)</f>
        <v>0</v>
      </c>
      <c r="Q1153">
        <f>N(Q1152)+$P1153</f>
        <v>0</v>
      </c>
      <c r="R1153">
        <f>IF(AND($K1153=1,AND(对接源_01水果!$X1153="公司筐",N(对接源_01水果!$U1153)&lt;&gt;0)),1,0)</f>
        <v>0</v>
      </c>
      <c r="S1153">
        <f>N(S1152)+$R1153</f>
        <v>0</v>
      </c>
      <c r="T1153">
        <f>IF(AND($K1153=1,AND(对接源_01水果!$X1153="公司筐",N(对接源_01水果!$V1153)&lt;&gt;0)),1,0)</f>
        <v>0</v>
      </c>
      <c r="U1153">
        <f>N(U1152)+$T1153</f>
        <v>47</v>
      </c>
      <c r="V1153">
        <f>IF(AND($L1153=1,AND(对接源_01水果!$X1153="自备筐",N(对接源_01水果!$V1153)&lt;&gt;0)),1,0)</f>
        <v>0</v>
      </c>
      <c r="W1153">
        <f>N(W1152)+$V1153</f>
        <v>11</v>
      </c>
      <c r="X1153">
        <f>IF(AND($L1153=1,AND(对接源_01水果!$X1153="自备筐",N(对接源_01水果!$T1153)&lt;&gt;0)),1,0)</f>
        <v>0</v>
      </c>
      <c r="Y1153">
        <f>N(Y1152)+$X1153</f>
        <v>0</v>
      </c>
      <c r="Z1153">
        <f>IF(AND($M1153=1,对接源_01水果!$D1153="原料入库"),1,0)</f>
        <v>0</v>
      </c>
      <c r="AA1153">
        <f>N(AA1152)+$Z1153</f>
        <v>24</v>
      </c>
      <c r="AB1153">
        <f>IF(AND($M1153=1,LEFT(对接源_01水果!$D1153,4)="原料出库"),1,0)</f>
        <v>0</v>
      </c>
      <c r="AC1153">
        <f>N(AC1152)+$AB1153</f>
        <v>0</v>
      </c>
      <c r="AD1153">
        <f>IF(AND($M1153=1,LEFT(对接源_01水果!$D1153,4)="成品出库"),1,0)</f>
        <v>0</v>
      </c>
      <c r="AE1153">
        <f>N(AE1152)+$AD1153</f>
        <v>0</v>
      </c>
      <c r="AF1153">
        <f>IF(AND($N1153=1,AND(LEFT(对接源_01水果!$D1153,4)="包装物料",N(对接源_01水果!$K1153)&lt;&gt;0)),1,0)</f>
        <v>0</v>
      </c>
      <c r="AG1153">
        <f>N(AG1152)+$AF1153</f>
        <v>0</v>
      </c>
      <c r="AH1153">
        <f>IF(AND($N1153=1,AND(对接源_01水果!$D1153="周转筐－销售出库",N(对接源_01水果!$K1153)&lt;&gt;0)),1,0)</f>
        <v>0</v>
      </c>
      <c r="AI1153">
        <f>N(AI1152)+$AH1153</f>
        <v>0</v>
      </c>
      <c r="AJ1153" s="7" t="n"/>
      <c r="AL1153">
        <f>IF(OR($AL$1="",对接源_01水果!$Y1153="",对接源_01水果!$Y1153&lt;&gt;$AL$1,对接源_01水果!$B1153="",N(对接源_01水果!$AJ1153)&lt;=0),0,IF(OR(N(对接源_01水果!$B1153)&lt;$AL$2,N(对接源_01水果!$B1153)&gt;$AL$3),0,1))</f>
        <v>0</v>
      </c>
      <c r="AM1153">
        <f>N(AM1152)+$AL1153</f>
        <v>2</v>
      </c>
      <c r="AN1153">
        <f>IF(对接源_01水果!$AC1153="","",对接源_01水果!$AC1153)</f>
      </c>
      <c r="AO1153">
        <f>IF(AN1153="",0,IF(MATCH(AN1153,$AN$4:$AN$1203,0)=ROW()-3,1,0))</f>
        <v>0</v>
      </c>
      <c r="AP1153">
        <f>N(AP1152)+$AO1153</f>
        <v>13</v>
      </c>
      <c r="AR1153">
        <f>IF(OR($AF1153=1,$AH1153=1),1,0)</f>
        <v>0</v>
      </c>
      <c r="AS1153">
        <f>N(AS1152)+$AR1153</f>
        <v>0</v>
      </c>
    </row>
    <row r="1154" ht="14.25" customHeight="1" s="127">
      <c r="A1154">
        <f>IF(对接源_01水果!$C1154="","",对接源_01水果!$C1154)</f>
      </c>
      <c r="B1154">
        <f>IF(A1154="",0,IF(MATCH(A1154,$A$4:$A$2403,0)=ROW()-3,1,0))</f>
        <v>0</v>
      </c>
      <c r="C1154">
        <f>N(C1153)+B1154</f>
        <v>22</v>
      </c>
      <c r="K1154">
        <f>IF(OR($K$1="",对接源_01水果!$C1154="",对接源_01水果!$C1154&lt;&gt;$K$1,对接源_01水果!$B1154=""),0,IF(OR(N(对接源_01水果!$B1154)&lt;$K$2,N(对接源_01水果!$B1154)&gt;$K$3),0,1))</f>
        <v>0</v>
      </c>
      <c r="L1154">
        <f>IF(OR($L$1="",对接源_01水果!$C1154="",对接源_01水果!$C1154&lt;&gt;$L$1,对接源_01水果!$B1154=""),0,IF(OR(N(对接源_01水果!$B1154)&lt;$L$2,N(对接源_01水果!$B1154)&gt;$L$3),0,1))</f>
        <v>0</v>
      </c>
      <c r="M1154">
        <f>IF(OR($M$1="",对接源_01水果!$C1154="",对接源_01水果!$C1154&lt;&gt;$M$1,对接源_01水果!$B1154=""),0,IF(OR(N(对接源_01水果!$B1154)&lt;$M$2,N(对接源_01水果!$B1154)&gt;$M$3),0,1))</f>
        <v>0</v>
      </c>
      <c r="N1154">
        <f>IF(OR($N$1="",对接源_01水果!$C1154="",对接源_01水果!$C1154&lt;&gt;$N$1,对接源_01水果!$B1154=""),0,IF(OR(N(对接源_01水果!$B1154)&lt;$N$2,N(对接源_01水果!$B1154)&gt;$N$3),0,1))</f>
        <v>0</v>
      </c>
      <c r="P1154">
        <f>IF(AND($K1154=1,AND(对接源_01水果!$X1154="公司筐",N(对接源_01水果!$T1154)&lt;&gt;0)),1,0)</f>
        <v>0</v>
      </c>
      <c r="Q1154">
        <f>N(Q1153)+$P1154</f>
        <v>0</v>
      </c>
      <c r="R1154">
        <f>IF(AND($K1154=1,AND(对接源_01水果!$X1154="公司筐",N(对接源_01水果!$U1154)&lt;&gt;0)),1,0)</f>
        <v>0</v>
      </c>
      <c r="S1154">
        <f>N(S1153)+$R1154</f>
        <v>0</v>
      </c>
      <c r="T1154">
        <f>IF(AND($K1154=1,AND(对接源_01水果!$X1154="公司筐",N(对接源_01水果!$V1154)&lt;&gt;0)),1,0)</f>
        <v>0</v>
      </c>
      <c r="U1154">
        <f>N(U1153)+$T1154</f>
        <v>47</v>
      </c>
      <c r="V1154">
        <f>IF(AND($L1154=1,AND(对接源_01水果!$X1154="自备筐",N(对接源_01水果!$V1154)&lt;&gt;0)),1,0)</f>
        <v>0</v>
      </c>
      <c r="W1154">
        <f>N(W1153)+$V1154</f>
        <v>11</v>
      </c>
      <c r="X1154">
        <f>IF(AND($L1154=1,AND(对接源_01水果!$X1154="自备筐",N(对接源_01水果!$T1154)&lt;&gt;0)),1,0)</f>
        <v>0</v>
      </c>
      <c r="Y1154">
        <f>N(Y1153)+$X1154</f>
        <v>0</v>
      </c>
      <c r="Z1154">
        <f>IF(AND($M1154=1,对接源_01水果!$D1154="原料入库"),1,0)</f>
        <v>0</v>
      </c>
      <c r="AA1154">
        <f>N(AA1153)+$Z1154</f>
        <v>24</v>
      </c>
      <c r="AB1154">
        <f>IF(AND($M1154=1,LEFT(对接源_01水果!$D1154,4)="原料出库"),1,0)</f>
        <v>0</v>
      </c>
      <c r="AC1154">
        <f>N(AC1153)+$AB1154</f>
        <v>0</v>
      </c>
      <c r="AD1154">
        <f>IF(AND($M1154=1,LEFT(对接源_01水果!$D1154,4)="成品出库"),1,0)</f>
        <v>0</v>
      </c>
      <c r="AE1154">
        <f>N(AE1153)+$AD1154</f>
        <v>0</v>
      </c>
      <c r="AF1154">
        <f>IF(AND($N1154=1,AND(LEFT(对接源_01水果!$D1154,4)="包装物料",N(对接源_01水果!$K1154)&lt;&gt;0)),1,0)</f>
        <v>0</v>
      </c>
      <c r="AG1154">
        <f>N(AG1153)+$AF1154</f>
        <v>0</v>
      </c>
      <c r="AH1154">
        <f>IF(AND($N1154=1,AND(对接源_01水果!$D1154="周转筐－销售出库",N(对接源_01水果!$K1154)&lt;&gt;0)),1,0)</f>
        <v>0</v>
      </c>
      <c r="AI1154">
        <f>N(AI1153)+$AH1154</f>
        <v>0</v>
      </c>
      <c r="AJ1154" s="7" t="n"/>
      <c r="AL1154">
        <f>IF(OR($AL$1="",对接源_01水果!$Y1154="",对接源_01水果!$Y1154&lt;&gt;$AL$1,对接源_01水果!$B1154="",N(对接源_01水果!$AJ1154)&lt;=0),0,IF(OR(N(对接源_01水果!$B1154)&lt;$AL$2,N(对接源_01水果!$B1154)&gt;$AL$3),0,1))</f>
        <v>0</v>
      </c>
      <c r="AM1154">
        <f>N(AM1153)+$AL1154</f>
        <v>2</v>
      </c>
      <c r="AN1154">
        <f>IF(对接源_01水果!$AC1154="","",对接源_01水果!$AC1154)</f>
      </c>
      <c r="AO1154">
        <f>IF(AN1154="",0,IF(MATCH(AN1154,$AN$4:$AN$1203,0)=ROW()-3,1,0))</f>
        <v>0</v>
      </c>
      <c r="AP1154">
        <f>N(AP1153)+$AO1154</f>
        <v>13</v>
      </c>
      <c r="AR1154">
        <f>IF(OR($AF1154=1,$AH1154=1),1,0)</f>
        <v>0</v>
      </c>
      <c r="AS1154">
        <f>N(AS1153)+$AR1154</f>
        <v>0</v>
      </c>
    </row>
    <row r="1155" ht="14.25" customHeight="1" s="127">
      <c r="A1155">
        <f>IF(对接源_01水果!$C1155="","",对接源_01水果!$C1155)</f>
      </c>
      <c r="B1155">
        <f>IF(A1155="",0,IF(MATCH(A1155,$A$4:$A$2403,0)=ROW()-3,1,0))</f>
        <v>0</v>
      </c>
      <c r="C1155">
        <f>N(C1154)+B1155</f>
        <v>22</v>
      </c>
      <c r="K1155">
        <f>IF(OR($K$1="",对接源_01水果!$C1155="",对接源_01水果!$C1155&lt;&gt;$K$1,对接源_01水果!$B1155=""),0,IF(OR(N(对接源_01水果!$B1155)&lt;$K$2,N(对接源_01水果!$B1155)&gt;$K$3),0,1))</f>
        <v>0</v>
      </c>
      <c r="L1155">
        <f>IF(OR($L$1="",对接源_01水果!$C1155="",对接源_01水果!$C1155&lt;&gt;$L$1,对接源_01水果!$B1155=""),0,IF(OR(N(对接源_01水果!$B1155)&lt;$L$2,N(对接源_01水果!$B1155)&gt;$L$3),0,1))</f>
        <v>0</v>
      </c>
      <c r="M1155">
        <f>IF(OR($M$1="",对接源_01水果!$C1155="",对接源_01水果!$C1155&lt;&gt;$M$1,对接源_01水果!$B1155=""),0,IF(OR(N(对接源_01水果!$B1155)&lt;$M$2,N(对接源_01水果!$B1155)&gt;$M$3),0,1))</f>
        <v>0</v>
      </c>
      <c r="N1155">
        <f>IF(OR($N$1="",对接源_01水果!$C1155="",对接源_01水果!$C1155&lt;&gt;$N$1,对接源_01水果!$B1155=""),0,IF(OR(N(对接源_01水果!$B1155)&lt;$N$2,N(对接源_01水果!$B1155)&gt;$N$3),0,1))</f>
        <v>0</v>
      </c>
      <c r="P1155">
        <f>IF(AND($K1155=1,AND(对接源_01水果!$X1155="公司筐",N(对接源_01水果!$T1155)&lt;&gt;0)),1,0)</f>
        <v>0</v>
      </c>
      <c r="Q1155">
        <f>N(Q1154)+$P1155</f>
        <v>0</v>
      </c>
      <c r="R1155">
        <f>IF(AND($K1155=1,AND(对接源_01水果!$X1155="公司筐",N(对接源_01水果!$U1155)&lt;&gt;0)),1,0)</f>
        <v>0</v>
      </c>
      <c r="S1155">
        <f>N(S1154)+$R1155</f>
        <v>0</v>
      </c>
      <c r="T1155">
        <f>IF(AND($K1155=1,AND(对接源_01水果!$X1155="公司筐",N(对接源_01水果!$V1155)&lt;&gt;0)),1,0)</f>
        <v>0</v>
      </c>
      <c r="U1155">
        <f>N(U1154)+$T1155</f>
        <v>47</v>
      </c>
      <c r="V1155">
        <f>IF(AND($L1155=1,AND(对接源_01水果!$X1155="自备筐",N(对接源_01水果!$V1155)&lt;&gt;0)),1,0)</f>
        <v>0</v>
      </c>
      <c r="W1155">
        <f>N(W1154)+$V1155</f>
        <v>11</v>
      </c>
      <c r="X1155">
        <f>IF(AND($L1155=1,AND(对接源_01水果!$X1155="自备筐",N(对接源_01水果!$T1155)&lt;&gt;0)),1,0)</f>
        <v>0</v>
      </c>
      <c r="Y1155">
        <f>N(Y1154)+$X1155</f>
        <v>0</v>
      </c>
      <c r="Z1155">
        <f>IF(AND($M1155=1,对接源_01水果!$D1155="原料入库"),1,0)</f>
        <v>0</v>
      </c>
      <c r="AA1155">
        <f>N(AA1154)+$Z1155</f>
        <v>24</v>
      </c>
      <c r="AB1155">
        <f>IF(AND($M1155=1,LEFT(对接源_01水果!$D1155,4)="原料出库"),1,0)</f>
        <v>0</v>
      </c>
      <c r="AC1155">
        <f>N(AC1154)+$AB1155</f>
        <v>0</v>
      </c>
      <c r="AD1155">
        <f>IF(AND($M1155=1,LEFT(对接源_01水果!$D1155,4)="成品出库"),1,0)</f>
        <v>0</v>
      </c>
      <c r="AE1155">
        <f>N(AE1154)+$AD1155</f>
        <v>0</v>
      </c>
      <c r="AF1155">
        <f>IF(AND($N1155=1,AND(LEFT(对接源_01水果!$D1155,4)="包装物料",N(对接源_01水果!$K1155)&lt;&gt;0)),1,0)</f>
        <v>0</v>
      </c>
      <c r="AG1155">
        <f>N(AG1154)+$AF1155</f>
        <v>0</v>
      </c>
      <c r="AH1155">
        <f>IF(AND($N1155=1,AND(对接源_01水果!$D1155="周转筐－销售出库",N(对接源_01水果!$K1155)&lt;&gt;0)),1,0)</f>
        <v>0</v>
      </c>
      <c r="AI1155">
        <f>N(AI1154)+$AH1155</f>
        <v>0</v>
      </c>
      <c r="AJ1155" s="7" t="n"/>
      <c r="AL1155">
        <f>IF(OR($AL$1="",对接源_01水果!$Y1155="",对接源_01水果!$Y1155&lt;&gt;$AL$1,对接源_01水果!$B1155="",N(对接源_01水果!$AJ1155)&lt;=0),0,IF(OR(N(对接源_01水果!$B1155)&lt;$AL$2,N(对接源_01水果!$B1155)&gt;$AL$3),0,1))</f>
        <v>0</v>
      </c>
      <c r="AM1155">
        <f>N(AM1154)+$AL1155</f>
        <v>2</v>
      </c>
      <c r="AN1155">
        <f>IF(对接源_01水果!$AC1155="","",对接源_01水果!$AC1155)</f>
      </c>
      <c r="AO1155">
        <f>IF(AN1155="",0,IF(MATCH(AN1155,$AN$4:$AN$1203,0)=ROW()-3,1,0))</f>
        <v>0</v>
      </c>
      <c r="AP1155">
        <f>N(AP1154)+$AO1155</f>
        <v>13</v>
      </c>
      <c r="AR1155">
        <f>IF(OR($AF1155=1,$AH1155=1),1,0)</f>
        <v>0</v>
      </c>
      <c r="AS1155">
        <f>N(AS1154)+$AR1155</f>
        <v>0</v>
      </c>
    </row>
    <row r="1156" ht="14.25" customHeight="1" s="127">
      <c r="A1156">
        <f>IF(对接源_01水果!$C1156="","",对接源_01水果!$C1156)</f>
      </c>
      <c r="B1156">
        <f>IF(A1156="",0,IF(MATCH(A1156,$A$4:$A$2403,0)=ROW()-3,1,0))</f>
        <v>0</v>
      </c>
      <c r="C1156">
        <f>N(C1155)+B1156</f>
        <v>22</v>
      </c>
      <c r="K1156">
        <f>IF(OR($K$1="",对接源_01水果!$C1156="",对接源_01水果!$C1156&lt;&gt;$K$1,对接源_01水果!$B1156=""),0,IF(OR(N(对接源_01水果!$B1156)&lt;$K$2,N(对接源_01水果!$B1156)&gt;$K$3),0,1))</f>
        <v>0</v>
      </c>
      <c r="L1156">
        <f>IF(OR($L$1="",对接源_01水果!$C1156="",对接源_01水果!$C1156&lt;&gt;$L$1,对接源_01水果!$B1156=""),0,IF(OR(N(对接源_01水果!$B1156)&lt;$L$2,N(对接源_01水果!$B1156)&gt;$L$3),0,1))</f>
        <v>0</v>
      </c>
      <c r="M1156">
        <f>IF(OR($M$1="",对接源_01水果!$C1156="",对接源_01水果!$C1156&lt;&gt;$M$1,对接源_01水果!$B1156=""),0,IF(OR(N(对接源_01水果!$B1156)&lt;$M$2,N(对接源_01水果!$B1156)&gt;$M$3),0,1))</f>
        <v>0</v>
      </c>
      <c r="N1156">
        <f>IF(OR($N$1="",对接源_01水果!$C1156="",对接源_01水果!$C1156&lt;&gt;$N$1,对接源_01水果!$B1156=""),0,IF(OR(N(对接源_01水果!$B1156)&lt;$N$2,N(对接源_01水果!$B1156)&gt;$N$3),0,1))</f>
        <v>0</v>
      </c>
      <c r="P1156">
        <f>IF(AND($K1156=1,AND(对接源_01水果!$X1156="公司筐",N(对接源_01水果!$T1156)&lt;&gt;0)),1,0)</f>
        <v>0</v>
      </c>
      <c r="Q1156">
        <f>N(Q1155)+$P1156</f>
        <v>0</v>
      </c>
      <c r="R1156">
        <f>IF(AND($K1156=1,AND(对接源_01水果!$X1156="公司筐",N(对接源_01水果!$U1156)&lt;&gt;0)),1,0)</f>
        <v>0</v>
      </c>
      <c r="S1156">
        <f>N(S1155)+$R1156</f>
        <v>0</v>
      </c>
      <c r="T1156">
        <f>IF(AND($K1156=1,AND(对接源_01水果!$X1156="公司筐",N(对接源_01水果!$V1156)&lt;&gt;0)),1,0)</f>
        <v>0</v>
      </c>
      <c r="U1156">
        <f>N(U1155)+$T1156</f>
        <v>47</v>
      </c>
      <c r="V1156">
        <f>IF(AND($L1156=1,AND(对接源_01水果!$X1156="自备筐",N(对接源_01水果!$V1156)&lt;&gt;0)),1,0)</f>
        <v>0</v>
      </c>
      <c r="W1156">
        <f>N(W1155)+$V1156</f>
        <v>11</v>
      </c>
      <c r="X1156">
        <f>IF(AND($L1156=1,AND(对接源_01水果!$X1156="自备筐",N(对接源_01水果!$T1156)&lt;&gt;0)),1,0)</f>
        <v>0</v>
      </c>
      <c r="Y1156">
        <f>N(Y1155)+$X1156</f>
        <v>0</v>
      </c>
      <c r="Z1156">
        <f>IF(AND($M1156=1,对接源_01水果!$D1156="原料入库"),1,0)</f>
        <v>0</v>
      </c>
      <c r="AA1156">
        <f>N(AA1155)+$Z1156</f>
        <v>24</v>
      </c>
      <c r="AB1156">
        <f>IF(AND($M1156=1,LEFT(对接源_01水果!$D1156,4)="原料出库"),1,0)</f>
        <v>0</v>
      </c>
      <c r="AC1156">
        <f>N(AC1155)+$AB1156</f>
        <v>0</v>
      </c>
      <c r="AD1156">
        <f>IF(AND($M1156=1,LEFT(对接源_01水果!$D1156,4)="成品出库"),1,0)</f>
        <v>0</v>
      </c>
      <c r="AE1156">
        <f>N(AE1155)+$AD1156</f>
        <v>0</v>
      </c>
      <c r="AF1156">
        <f>IF(AND($N1156=1,AND(LEFT(对接源_01水果!$D1156,4)="包装物料",N(对接源_01水果!$K1156)&lt;&gt;0)),1,0)</f>
        <v>0</v>
      </c>
      <c r="AG1156">
        <f>N(AG1155)+$AF1156</f>
        <v>0</v>
      </c>
      <c r="AH1156">
        <f>IF(AND($N1156=1,AND(对接源_01水果!$D1156="周转筐－销售出库",N(对接源_01水果!$K1156)&lt;&gt;0)),1,0)</f>
        <v>0</v>
      </c>
      <c r="AI1156">
        <f>N(AI1155)+$AH1156</f>
        <v>0</v>
      </c>
      <c r="AJ1156" s="7" t="n"/>
      <c r="AL1156">
        <f>IF(OR($AL$1="",对接源_01水果!$Y1156="",对接源_01水果!$Y1156&lt;&gt;$AL$1,对接源_01水果!$B1156="",N(对接源_01水果!$AJ1156)&lt;=0),0,IF(OR(N(对接源_01水果!$B1156)&lt;$AL$2,N(对接源_01水果!$B1156)&gt;$AL$3),0,1))</f>
        <v>0</v>
      </c>
      <c r="AM1156">
        <f>N(AM1155)+$AL1156</f>
        <v>2</v>
      </c>
      <c r="AN1156">
        <f>IF(对接源_01水果!$AC1156="","",对接源_01水果!$AC1156)</f>
      </c>
      <c r="AO1156">
        <f>IF(AN1156="",0,IF(MATCH(AN1156,$AN$4:$AN$1203,0)=ROW()-3,1,0))</f>
        <v>0</v>
      </c>
      <c r="AP1156">
        <f>N(AP1155)+$AO1156</f>
        <v>13</v>
      </c>
      <c r="AR1156">
        <f>IF(OR($AF1156=1,$AH1156=1),1,0)</f>
        <v>0</v>
      </c>
      <c r="AS1156">
        <f>N(AS1155)+$AR1156</f>
        <v>0</v>
      </c>
    </row>
    <row r="1157" ht="14.25" customHeight="1" s="127">
      <c r="A1157">
        <f>IF(对接源_01水果!$C1157="","",对接源_01水果!$C1157)</f>
      </c>
      <c r="B1157">
        <f>IF(A1157="",0,IF(MATCH(A1157,$A$4:$A$2403,0)=ROW()-3,1,0))</f>
        <v>0</v>
      </c>
      <c r="C1157">
        <f>N(C1156)+B1157</f>
        <v>22</v>
      </c>
      <c r="K1157">
        <f>IF(OR($K$1="",对接源_01水果!$C1157="",对接源_01水果!$C1157&lt;&gt;$K$1,对接源_01水果!$B1157=""),0,IF(OR(N(对接源_01水果!$B1157)&lt;$K$2,N(对接源_01水果!$B1157)&gt;$K$3),0,1))</f>
        <v>0</v>
      </c>
      <c r="L1157">
        <f>IF(OR($L$1="",对接源_01水果!$C1157="",对接源_01水果!$C1157&lt;&gt;$L$1,对接源_01水果!$B1157=""),0,IF(OR(N(对接源_01水果!$B1157)&lt;$L$2,N(对接源_01水果!$B1157)&gt;$L$3),0,1))</f>
        <v>0</v>
      </c>
      <c r="M1157">
        <f>IF(OR($M$1="",对接源_01水果!$C1157="",对接源_01水果!$C1157&lt;&gt;$M$1,对接源_01水果!$B1157=""),0,IF(OR(N(对接源_01水果!$B1157)&lt;$M$2,N(对接源_01水果!$B1157)&gt;$M$3),0,1))</f>
        <v>0</v>
      </c>
      <c r="N1157">
        <f>IF(OR($N$1="",对接源_01水果!$C1157="",对接源_01水果!$C1157&lt;&gt;$N$1,对接源_01水果!$B1157=""),0,IF(OR(N(对接源_01水果!$B1157)&lt;$N$2,N(对接源_01水果!$B1157)&gt;$N$3),0,1))</f>
        <v>0</v>
      </c>
      <c r="P1157">
        <f>IF(AND($K1157=1,AND(对接源_01水果!$X1157="公司筐",N(对接源_01水果!$T1157)&lt;&gt;0)),1,0)</f>
        <v>0</v>
      </c>
      <c r="Q1157">
        <f>N(Q1156)+$P1157</f>
        <v>0</v>
      </c>
      <c r="R1157">
        <f>IF(AND($K1157=1,AND(对接源_01水果!$X1157="公司筐",N(对接源_01水果!$U1157)&lt;&gt;0)),1,0)</f>
        <v>0</v>
      </c>
      <c r="S1157">
        <f>N(S1156)+$R1157</f>
        <v>0</v>
      </c>
      <c r="T1157">
        <f>IF(AND($K1157=1,AND(对接源_01水果!$X1157="公司筐",N(对接源_01水果!$V1157)&lt;&gt;0)),1,0)</f>
        <v>0</v>
      </c>
      <c r="U1157">
        <f>N(U1156)+$T1157</f>
        <v>47</v>
      </c>
      <c r="V1157">
        <f>IF(AND($L1157=1,AND(对接源_01水果!$X1157="自备筐",N(对接源_01水果!$V1157)&lt;&gt;0)),1,0)</f>
        <v>0</v>
      </c>
      <c r="W1157">
        <f>N(W1156)+$V1157</f>
        <v>11</v>
      </c>
      <c r="X1157">
        <f>IF(AND($L1157=1,AND(对接源_01水果!$X1157="自备筐",N(对接源_01水果!$T1157)&lt;&gt;0)),1,0)</f>
        <v>0</v>
      </c>
      <c r="Y1157">
        <f>N(Y1156)+$X1157</f>
        <v>0</v>
      </c>
      <c r="Z1157">
        <f>IF(AND($M1157=1,对接源_01水果!$D1157="原料入库"),1,0)</f>
        <v>0</v>
      </c>
      <c r="AA1157">
        <f>N(AA1156)+$Z1157</f>
        <v>24</v>
      </c>
      <c r="AB1157">
        <f>IF(AND($M1157=1,LEFT(对接源_01水果!$D1157,4)="原料出库"),1,0)</f>
        <v>0</v>
      </c>
      <c r="AC1157">
        <f>N(AC1156)+$AB1157</f>
        <v>0</v>
      </c>
      <c r="AD1157">
        <f>IF(AND($M1157=1,LEFT(对接源_01水果!$D1157,4)="成品出库"),1,0)</f>
        <v>0</v>
      </c>
      <c r="AE1157">
        <f>N(AE1156)+$AD1157</f>
        <v>0</v>
      </c>
      <c r="AF1157">
        <f>IF(AND($N1157=1,AND(LEFT(对接源_01水果!$D1157,4)="包装物料",N(对接源_01水果!$K1157)&lt;&gt;0)),1,0)</f>
        <v>0</v>
      </c>
      <c r="AG1157">
        <f>N(AG1156)+$AF1157</f>
        <v>0</v>
      </c>
      <c r="AH1157">
        <f>IF(AND($N1157=1,AND(对接源_01水果!$D1157="周转筐－销售出库",N(对接源_01水果!$K1157)&lt;&gt;0)),1,0)</f>
        <v>0</v>
      </c>
      <c r="AI1157">
        <f>N(AI1156)+$AH1157</f>
        <v>0</v>
      </c>
      <c r="AJ1157" s="7" t="n"/>
      <c r="AL1157">
        <f>IF(OR($AL$1="",对接源_01水果!$Y1157="",对接源_01水果!$Y1157&lt;&gt;$AL$1,对接源_01水果!$B1157="",N(对接源_01水果!$AJ1157)&lt;=0),0,IF(OR(N(对接源_01水果!$B1157)&lt;$AL$2,N(对接源_01水果!$B1157)&gt;$AL$3),0,1))</f>
        <v>0</v>
      </c>
      <c r="AM1157">
        <f>N(AM1156)+$AL1157</f>
        <v>2</v>
      </c>
      <c r="AN1157">
        <f>IF(对接源_01水果!$AC1157="","",对接源_01水果!$AC1157)</f>
      </c>
      <c r="AO1157">
        <f>IF(AN1157="",0,IF(MATCH(AN1157,$AN$4:$AN$1203,0)=ROW()-3,1,0))</f>
        <v>0</v>
      </c>
      <c r="AP1157">
        <f>N(AP1156)+$AO1157</f>
        <v>13</v>
      </c>
      <c r="AR1157">
        <f>IF(OR($AF1157=1,$AH1157=1),1,0)</f>
        <v>0</v>
      </c>
      <c r="AS1157">
        <f>N(AS1156)+$AR1157</f>
        <v>0</v>
      </c>
    </row>
    <row r="1158" ht="14.25" customHeight="1" s="127">
      <c r="A1158">
        <f>IF(对接源_01水果!$C1158="","",对接源_01水果!$C1158)</f>
      </c>
      <c r="B1158">
        <f>IF(A1158="",0,IF(MATCH(A1158,$A$4:$A$2403,0)=ROW()-3,1,0))</f>
        <v>0</v>
      </c>
      <c r="C1158">
        <f>N(C1157)+B1158</f>
        <v>22</v>
      </c>
      <c r="K1158">
        <f>IF(OR($K$1="",对接源_01水果!$C1158="",对接源_01水果!$C1158&lt;&gt;$K$1,对接源_01水果!$B1158=""),0,IF(OR(N(对接源_01水果!$B1158)&lt;$K$2,N(对接源_01水果!$B1158)&gt;$K$3),0,1))</f>
        <v>0</v>
      </c>
      <c r="L1158">
        <f>IF(OR($L$1="",对接源_01水果!$C1158="",对接源_01水果!$C1158&lt;&gt;$L$1,对接源_01水果!$B1158=""),0,IF(OR(N(对接源_01水果!$B1158)&lt;$L$2,N(对接源_01水果!$B1158)&gt;$L$3),0,1))</f>
        <v>0</v>
      </c>
      <c r="M1158">
        <f>IF(OR($M$1="",对接源_01水果!$C1158="",对接源_01水果!$C1158&lt;&gt;$M$1,对接源_01水果!$B1158=""),0,IF(OR(N(对接源_01水果!$B1158)&lt;$M$2,N(对接源_01水果!$B1158)&gt;$M$3),0,1))</f>
        <v>0</v>
      </c>
      <c r="N1158">
        <f>IF(OR($N$1="",对接源_01水果!$C1158="",对接源_01水果!$C1158&lt;&gt;$N$1,对接源_01水果!$B1158=""),0,IF(OR(N(对接源_01水果!$B1158)&lt;$N$2,N(对接源_01水果!$B1158)&gt;$N$3),0,1))</f>
        <v>0</v>
      </c>
      <c r="P1158">
        <f>IF(AND($K1158=1,AND(对接源_01水果!$X1158="公司筐",N(对接源_01水果!$T1158)&lt;&gt;0)),1,0)</f>
        <v>0</v>
      </c>
      <c r="Q1158">
        <f>N(Q1157)+$P1158</f>
        <v>0</v>
      </c>
      <c r="R1158">
        <f>IF(AND($K1158=1,AND(对接源_01水果!$X1158="公司筐",N(对接源_01水果!$U1158)&lt;&gt;0)),1,0)</f>
        <v>0</v>
      </c>
      <c r="S1158">
        <f>N(S1157)+$R1158</f>
        <v>0</v>
      </c>
      <c r="T1158">
        <f>IF(AND($K1158=1,AND(对接源_01水果!$X1158="公司筐",N(对接源_01水果!$V1158)&lt;&gt;0)),1,0)</f>
        <v>0</v>
      </c>
      <c r="U1158">
        <f>N(U1157)+$T1158</f>
        <v>47</v>
      </c>
      <c r="V1158">
        <f>IF(AND($L1158=1,AND(对接源_01水果!$X1158="自备筐",N(对接源_01水果!$V1158)&lt;&gt;0)),1,0)</f>
        <v>0</v>
      </c>
      <c r="W1158">
        <f>N(W1157)+$V1158</f>
        <v>11</v>
      </c>
      <c r="X1158">
        <f>IF(AND($L1158=1,AND(对接源_01水果!$X1158="自备筐",N(对接源_01水果!$T1158)&lt;&gt;0)),1,0)</f>
        <v>0</v>
      </c>
      <c r="Y1158">
        <f>N(Y1157)+$X1158</f>
        <v>0</v>
      </c>
      <c r="Z1158">
        <f>IF(AND($M1158=1,对接源_01水果!$D1158="原料入库"),1,0)</f>
        <v>0</v>
      </c>
      <c r="AA1158">
        <f>N(AA1157)+$Z1158</f>
        <v>24</v>
      </c>
      <c r="AB1158">
        <f>IF(AND($M1158=1,LEFT(对接源_01水果!$D1158,4)="原料出库"),1,0)</f>
        <v>0</v>
      </c>
      <c r="AC1158">
        <f>N(AC1157)+$AB1158</f>
        <v>0</v>
      </c>
      <c r="AD1158">
        <f>IF(AND($M1158=1,LEFT(对接源_01水果!$D1158,4)="成品出库"),1,0)</f>
        <v>0</v>
      </c>
      <c r="AE1158">
        <f>N(AE1157)+$AD1158</f>
        <v>0</v>
      </c>
      <c r="AF1158">
        <f>IF(AND($N1158=1,AND(LEFT(对接源_01水果!$D1158,4)="包装物料",N(对接源_01水果!$K1158)&lt;&gt;0)),1,0)</f>
        <v>0</v>
      </c>
      <c r="AG1158">
        <f>N(AG1157)+$AF1158</f>
        <v>0</v>
      </c>
      <c r="AH1158">
        <f>IF(AND($N1158=1,AND(对接源_01水果!$D1158="周转筐－销售出库",N(对接源_01水果!$K1158)&lt;&gt;0)),1,0)</f>
        <v>0</v>
      </c>
      <c r="AI1158">
        <f>N(AI1157)+$AH1158</f>
        <v>0</v>
      </c>
      <c r="AJ1158" s="7" t="n"/>
      <c r="AL1158">
        <f>IF(OR($AL$1="",对接源_01水果!$Y1158="",对接源_01水果!$Y1158&lt;&gt;$AL$1,对接源_01水果!$B1158="",N(对接源_01水果!$AJ1158)&lt;=0),0,IF(OR(N(对接源_01水果!$B1158)&lt;$AL$2,N(对接源_01水果!$B1158)&gt;$AL$3),0,1))</f>
        <v>0</v>
      </c>
      <c r="AM1158">
        <f>N(AM1157)+$AL1158</f>
        <v>2</v>
      </c>
      <c r="AN1158">
        <f>IF(对接源_01水果!$AC1158="","",对接源_01水果!$AC1158)</f>
      </c>
      <c r="AO1158">
        <f>IF(AN1158="",0,IF(MATCH(AN1158,$AN$4:$AN$1203,0)=ROW()-3,1,0))</f>
        <v>0</v>
      </c>
      <c r="AP1158">
        <f>N(AP1157)+$AO1158</f>
        <v>13</v>
      </c>
      <c r="AR1158">
        <f>IF(OR($AF1158=1,$AH1158=1),1,0)</f>
        <v>0</v>
      </c>
      <c r="AS1158">
        <f>N(AS1157)+$AR1158</f>
        <v>0</v>
      </c>
    </row>
    <row r="1159" ht="14.25" customHeight="1" s="127">
      <c r="A1159">
        <f>IF(对接源_01水果!$C1159="","",对接源_01水果!$C1159)</f>
      </c>
      <c r="B1159">
        <f>IF(A1159="",0,IF(MATCH(A1159,$A$4:$A$2403,0)=ROW()-3,1,0))</f>
        <v>0</v>
      </c>
      <c r="C1159">
        <f>N(C1158)+B1159</f>
        <v>22</v>
      </c>
      <c r="K1159">
        <f>IF(OR($K$1="",对接源_01水果!$C1159="",对接源_01水果!$C1159&lt;&gt;$K$1,对接源_01水果!$B1159=""),0,IF(OR(N(对接源_01水果!$B1159)&lt;$K$2,N(对接源_01水果!$B1159)&gt;$K$3),0,1))</f>
        <v>0</v>
      </c>
      <c r="L1159">
        <f>IF(OR($L$1="",对接源_01水果!$C1159="",对接源_01水果!$C1159&lt;&gt;$L$1,对接源_01水果!$B1159=""),0,IF(OR(N(对接源_01水果!$B1159)&lt;$L$2,N(对接源_01水果!$B1159)&gt;$L$3),0,1))</f>
        <v>0</v>
      </c>
      <c r="M1159">
        <f>IF(OR($M$1="",对接源_01水果!$C1159="",对接源_01水果!$C1159&lt;&gt;$M$1,对接源_01水果!$B1159=""),0,IF(OR(N(对接源_01水果!$B1159)&lt;$M$2,N(对接源_01水果!$B1159)&gt;$M$3),0,1))</f>
        <v>0</v>
      </c>
      <c r="N1159">
        <f>IF(OR($N$1="",对接源_01水果!$C1159="",对接源_01水果!$C1159&lt;&gt;$N$1,对接源_01水果!$B1159=""),0,IF(OR(N(对接源_01水果!$B1159)&lt;$N$2,N(对接源_01水果!$B1159)&gt;$N$3),0,1))</f>
        <v>0</v>
      </c>
      <c r="P1159">
        <f>IF(AND($K1159=1,AND(对接源_01水果!$X1159="公司筐",N(对接源_01水果!$T1159)&lt;&gt;0)),1,0)</f>
        <v>0</v>
      </c>
      <c r="Q1159">
        <f>N(Q1158)+$P1159</f>
        <v>0</v>
      </c>
      <c r="R1159">
        <f>IF(AND($K1159=1,AND(对接源_01水果!$X1159="公司筐",N(对接源_01水果!$U1159)&lt;&gt;0)),1,0)</f>
        <v>0</v>
      </c>
      <c r="S1159">
        <f>N(S1158)+$R1159</f>
        <v>0</v>
      </c>
      <c r="T1159">
        <f>IF(AND($K1159=1,AND(对接源_01水果!$X1159="公司筐",N(对接源_01水果!$V1159)&lt;&gt;0)),1,0)</f>
        <v>0</v>
      </c>
      <c r="U1159">
        <f>N(U1158)+$T1159</f>
        <v>47</v>
      </c>
      <c r="V1159">
        <f>IF(AND($L1159=1,AND(对接源_01水果!$X1159="自备筐",N(对接源_01水果!$V1159)&lt;&gt;0)),1,0)</f>
        <v>0</v>
      </c>
      <c r="W1159">
        <f>N(W1158)+$V1159</f>
        <v>11</v>
      </c>
      <c r="X1159">
        <f>IF(AND($L1159=1,AND(对接源_01水果!$X1159="自备筐",N(对接源_01水果!$T1159)&lt;&gt;0)),1,0)</f>
        <v>0</v>
      </c>
      <c r="Y1159">
        <f>N(Y1158)+$X1159</f>
        <v>0</v>
      </c>
      <c r="Z1159">
        <f>IF(AND($M1159=1,对接源_01水果!$D1159="原料入库"),1,0)</f>
        <v>0</v>
      </c>
      <c r="AA1159">
        <f>N(AA1158)+$Z1159</f>
        <v>24</v>
      </c>
      <c r="AB1159">
        <f>IF(AND($M1159=1,LEFT(对接源_01水果!$D1159,4)="原料出库"),1,0)</f>
        <v>0</v>
      </c>
      <c r="AC1159">
        <f>N(AC1158)+$AB1159</f>
        <v>0</v>
      </c>
      <c r="AD1159">
        <f>IF(AND($M1159=1,LEFT(对接源_01水果!$D1159,4)="成品出库"),1,0)</f>
        <v>0</v>
      </c>
      <c r="AE1159">
        <f>N(AE1158)+$AD1159</f>
        <v>0</v>
      </c>
      <c r="AF1159">
        <f>IF(AND($N1159=1,AND(LEFT(对接源_01水果!$D1159,4)="包装物料",N(对接源_01水果!$K1159)&lt;&gt;0)),1,0)</f>
        <v>0</v>
      </c>
      <c r="AG1159">
        <f>N(AG1158)+$AF1159</f>
        <v>0</v>
      </c>
      <c r="AH1159">
        <f>IF(AND($N1159=1,AND(对接源_01水果!$D1159="周转筐－销售出库",N(对接源_01水果!$K1159)&lt;&gt;0)),1,0)</f>
        <v>0</v>
      </c>
      <c r="AI1159">
        <f>N(AI1158)+$AH1159</f>
        <v>0</v>
      </c>
      <c r="AJ1159" s="7" t="n"/>
      <c r="AL1159">
        <f>IF(OR($AL$1="",对接源_01水果!$Y1159="",对接源_01水果!$Y1159&lt;&gt;$AL$1,对接源_01水果!$B1159="",N(对接源_01水果!$AJ1159)&lt;=0),0,IF(OR(N(对接源_01水果!$B1159)&lt;$AL$2,N(对接源_01水果!$B1159)&gt;$AL$3),0,1))</f>
        <v>0</v>
      </c>
      <c r="AM1159">
        <f>N(AM1158)+$AL1159</f>
        <v>2</v>
      </c>
      <c r="AN1159">
        <f>IF(对接源_01水果!$AC1159="","",对接源_01水果!$AC1159)</f>
      </c>
      <c r="AO1159">
        <f>IF(AN1159="",0,IF(MATCH(AN1159,$AN$4:$AN$1203,0)=ROW()-3,1,0))</f>
        <v>0</v>
      </c>
      <c r="AP1159">
        <f>N(AP1158)+$AO1159</f>
        <v>13</v>
      </c>
      <c r="AR1159">
        <f>IF(OR($AF1159=1,$AH1159=1),1,0)</f>
        <v>0</v>
      </c>
      <c r="AS1159">
        <f>N(AS1158)+$AR1159</f>
        <v>0</v>
      </c>
    </row>
    <row r="1160" ht="14.25" customHeight="1" s="127">
      <c r="A1160">
        <f>IF(对接源_01水果!$C1160="","",对接源_01水果!$C1160)</f>
      </c>
      <c r="B1160">
        <f>IF(A1160="",0,IF(MATCH(A1160,$A$4:$A$2403,0)=ROW()-3,1,0))</f>
        <v>0</v>
      </c>
      <c r="C1160">
        <f>N(C1159)+B1160</f>
        <v>22</v>
      </c>
      <c r="K1160">
        <f>IF(OR($K$1="",对接源_01水果!$C1160="",对接源_01水果!$C1160&lt;&gt;$K$1,对接源_01水果!$B1160=""),0,IF(OR(N(对接源_01水果!$B1160)&lt;$K$2,N(对接源_01水果!$B1160)&gt;$K$3),0,1))</f>
        <v>0</v>
      </c>
      <c r="L1160">
        <f>IF(OR($L$1="",对接源_01水果!$C1160="",对接源_01水果!$C1160&lt;&gt;$L$1,对接源_01水果!$B1160=""),0,IF(OR(N(对接源_01水果!$B1160)&lt;$L$2,N(对接源_01水果!$B1160)&gt;$L$3),0,1))</f>
        <v>0</v>
      </c>
      <c r="M1160">
        <f>IF(OR($M$1="",对接源_01水果!$C1160="",对接源_01水果!$C1160&lt;&gt;$M$1,对接源_01水果!$B1160=""),0,IF(OR(N(对接源_01水果!$B1160)&lt;$M$2,N(对接源_01水果!$B1160)&gt;$M$3),0,1))</f>
        <v>0</v>
      </c>
      <c r="N1160">
        <f>IF(OR($N$1="",对接源_01水果!$C1160="",对接源_01水果!$C1160&lt;&gt;$N$1,对接源_01水果!$B1160=""),0,IF(OR(N(对接源_01水果!$B1160)&lt;$N$2,N(对接源_01水果!$B1160)&gt;$N$3),0,1))</f>
        <v>0</v>
      </c>
      <c r="P1160">
        <f>IF(AND($K1160=1,AND(对接源_01水果!$X1160="公司筐",N(对接源_01水果!$T1160)&lt;&gt;0)),1,0)</f>
        <v>0</v>
      </c>
      <c r="Q1160">
        <f>N(Q1159)+$P1160</f>
        <v>0</v>
      </c>
      <c r="R1160">
        <f>IF(AND($K1160=1,AND(对接源_01水果!$X1160="公司筐",N(对接源_01水果!$U1160)&lt;&gt;0)),1,0)</f>
        <v>0</v>
      </c>
      <c r="S1160">
        <f>N(S1159)+$R1160</f>
        <v>0</v>
      </c>
      <c r="T1160">
        <f>IF(AND($K1160=1,AND(对接源_01水果!$X1160="公司筐",N(对接源_01水果!$V1160)&lt;&gt;0)),1,0)</f>
        <v>0</v>
      </c>
      <c r="U1160">
        <f>N(U1159)+$T1160</f>
        <v>47</v>
      </c>
      <c r="V1160">
        <f>IF(AND($L1160=1,AND(对接源_01水果!$X1160="自备筐",N(对接源_01水果!$V1160)&lt;&gt;0)),1,0)</f>
        <v>0</v>
      </c>
      <c r="W1160">
        <f>N(W1159)+$V1160</f>
        <v>11</v>
      </c>
      <c r="X1160">
        <f>IF(AND($L1160=1,AND(对接源_01水果!$X1160="自备筐",N(对接源_01水果!$T1160)&lt;&gt;0)),1,0)</f>
        <v>0</v>
      </c>
      <c r="Y1160">
        <f>N(Y1159)+$X1160</f>
        <v>0</v>
      </c>
      <c r="Z1160">
        <f>IF(AND($M1160=1,对接源_01水果!$D1160="原料入库"),1,0)</f>
        <v>0</v>
      </c>
      <c r="AA1160">
        <f>N(AA1159)+$Z1160</f>
        <v>24</v>
      </c>
      <c r="AB1160">
        <f>IF(AND($M1160=1,LEFT(对接源_01水果!$D1160,4)="原料出库"),1,0)</f>
        <v>0</v>
      </c>
      <c r="AC1160">
        <f>N(AC1159)+$AB1160</f>
        <v>0</v>
      </c>
      <c r="AD1160">
        <f>IF(AND($M1160=1,LEFT(对接源_01水果!$D1160,4)="成品出库"),1,0)</f>
        <v>0</v>
      </c>
      <c r="AE1160">
        <f>N(AE1159)+$AD1160</f>
        <v>0</v>
      </c>
      <c r="AF1160">
        <f>IF(AND($N1160=1,AND(LEFT(对接源_01水果!$D1160,4)="包装物料",N(对接源_01水果!$K1160)&lt;&gt;0)),1,0)</f>
        <v>0</v>
      </c>
      <c r="AG1160">
        <f>N(AG1159)+$AF1160</f>
        <v>0</v>
      </c>
      <c r="AH1160">
        <f>IF(AND($N1160=1,AND(对接源_01水果!$D1160="周转筐－销售出库",N(对接源_01水果!$K1160)&lt;&gt;0)),1,0)</f>
        <v>0</v>
      </c>
      <c r="AI1160">
        <f>N(AI1159)+$AH1160</f>
        <v>0</v>
      </c>
      <c r="AJ1160" s="7" t="n"/>
      <c r="AL1160">
        <f>IF(OR($AL$1="",对接源_01水果!$Y1160="",对接源_01水果!$Y1160&lt;&gt;$AL$1,对接源_01水果!$B1160="",N(对接源_01水果!$AJ1160)&lt;=0),0,IF(OR(N(对接源_01水果!$B1160)&lt;$AL$2,N(对接源_01水果!$B1160)&gt;$AL$3),0,1))</f>
        <v>0</v>
      </c>
      <c r="AM1160">
        <f>N(AM1159)+$AL1160</f>
        <v>2</v>
      </c>
      <c r="AN1160">
        <f>IF(对接源_01水果!$AC1160="","",对接源_01水果!$AC1160)</f>
      </c>
      <c r="AO1160">
        <f>IF(AN1160="",0,IF(MATCH(AN1160,$AN$4:$AN$1203,0)=ROW()-3,1,0))</f>
        <v>0</v>
      </c>
      <c r="AP1160">
        <f>N(AP1159)+$AO1160</f>
        <v>13</v>
      </c>
      <c r="AR1160">
        <f>IF(OR($AF1160=1,$AH1160=1),1,0)</f>
        <v>0</v>
      </c>
      <c r="AS1160">
        <f>N(AS1159)+$AR1160</f>
        <v>0</v>
      </c>
    </row>
    <row r="1161" ht="14.25" customHeight="1" s="127">
      <c r="A1161">
        <f>IF(对接源_01水果!$C1161="","",对接源_01水果!$C1161)</f>
      </c>
      <c r="B1161">
        <f>IF(A1161="",0,IF(MATCH(A1161,$A$4:$A$2403,0)=ROW()-3,1,0))</f>
        <v>0</v>
      </c>
      <c r="C1161">
        <f>N(C1160)+B1161</f>
        <v>22</v>
      </c>
      <c r="K1161">
        <f>IF(OR($K$1="",对接源_01水果!$C1161="",对接源_01水果!$C1161&lt;&gt;$K$1,对接源_01水果!$B1161=""),0,IF(OR(N(对接源_01水果!$B1161)&lt;$K$2,N(对接源_01水果!$B1161)&gt;$K$3),0,1))</f>
        <v>0</v>
      </c>
      <c r="L1161">
        <f>IF(OR($L$1="",对接源_01水果!$C1161="",对接源_01水果!$C1161&lt;&gt;$L$1,对接源_01水果!$B1161=""),0,IF(OR(N(对接源_01水果!$B1161)&lt;$L$2,N(对接源_01水果!$B1161)&gt;$L$3),0,1))</f>
        <v>0</v>
      </c>
      <c r="M1161">
        <f>IF(OR($M$1="",对接源_01水果!$C1161="",对接源_01水果!$C1161&lt;&gt;$M$1,对接源_01水果!$B1161=""),0,IF(OR(N(对接源_01水果!$B1161)&lt;$M$2,N(对接源_01水果!$B1161)&gt;$M$3),0,1))</f>
        <v>0</v>
      </c>
      <c r="N1161">
        <f>IF(OR($N$1="",对接源_01水果!$C1161="",对接源_01水果!$C1161&lt;&gt;$N$1,对接源_01水果!$B1161=""),0,IF(OR(N(对接源_01水果!$B1161)&lt;$N$2,N(对接源_01水果!$B1161)&gt;$N$3),0,1))</f>
        <v>0</v>
      </c>
      <c r="P1161">
        <f>IF(AND($K1161=1,AND(对接源_01水果!$X1161="公司筐",N(对接源_01水果!$T1161)&lt;&gt;0)),1,0)</f>
        <v>0</v>
      </c>
      <c r="Q1161">
        <f>N(Q1160)+$P1161</f>
        <v>0</v>
      </c>
      <c r="R1161">
        <f>IF(AND($K1161=1,AND(对接源_01水果!$X1161="公司筐",N(对接源_01水果!$U1161)&lt;&gt;0)),1,0)</f>
        <v>0</v>
      </c>
      <c r="S1161">
        <f>N(S1160)+$R1161</f>
        <v>0</v>
      </c>
      <c r="T1161">
        <f>IF(AND($K1161=1,AND(对接源_01水果!$X1161="公司筐",N(对接源_01水果!$V1161)&lt;&gt;0)),1,0)</f>
        <v>0</v>
      </c>
      <c r="U1161">
        <f>N(U1160)+$T1161</f>
        <v>47</v>
      </c>
      <c r="V1161">
        <f>IF(AND($L1161=1,AND(对接源_01水果!$X1161="自备筐",N(对接源_01水果!$V1161)&lt;&gt;0)),1,0)</f>
        <v>0</v>
      </c>
      <c r="W1161">
        <f>N(W1160)+$V1161</f>
        <v>11</v>
      </c>
      <c r="X1161">
        <f>IF(AND($L1161=1,AND(对接源_01水果!$X1161="自备筐",N(对接源_01水果!$T1161)&lt;&gt;0)),1,0)</f>
        <v>0</v>
      </c>
      <c r="Y1161">
        <f>N(Y1160)+$X1161</f>
        <v>0</v>
      </c>
      <c r="Z1161">
        <f>IF(AND($M1161=1,对接源_01水果!$D1161="原料入库"),1,0)</f>
        <v>0</v>
      </c>
      <c r="AA1161">
        <f>N(AA1160)+$Z1161</f>
        <v>24</v>
      </c>
      <c r="AB1161">
        <f>IF(AND($M1161=1,LEFT(对接源_01水果!$D1161,4)="原料出库"),1,0)</f>
        <v>0</v>
      </c>
      <c r="AC1161">
        <f>N(AC1160)+$AB1161</f>
        <v>0</v>
      </c>
      <c r="AD1161">
        <f>IF(AND($M1161=1,LEFT(对接源_01水果!$D1161,4)="成品出库"),1,0)</f>
        <v>0</v>
      </c>
      <c r="AE1161">
        <f>N(AE1160)+$AD1161</f>
        <v>0</v>
      </c>
      <c r="AF1161">
        <f>IF(AND($N1161=1,AND(LEFT(对接源_01水果!$D1161,4)="包装物料",N(对接源_01水果!$K1161)&lt;&gt;0)),1,0)</f>
        <v>0</v>
      </c>
      <c r="AG1161">
        <f>N(AG1160)+$AF1161</f>
        <v>0</v>
      </c>
      <c r="AH1161">
        <f>IF(AND($N1161=1,AND(对接源_01水果!$D1161="周转筐－销售出库",N(对接源_01水果!$K1161)&lt;&gt;0)),1,0)</f>
        <v>0</v>
      </c>
      <c r="AI1161">
        <f>N(AI1160)+$AH1161</f>
        <v>0</v>
      </c>
      <c r="AJ1161" s="7" t="n"/>
      <c r="AL1161">
        <f>IF(OR($AL$1="",对接源_01水果!$Y1161="",对接源_01水果!$Y1161&lt;&gt;$AL$1,对接源_01水果!$B1161="",N(对接源_01水果!$AJ1161)&lt;=0),0,IF(OR(N(对接源_01水果!$B1161)&lt;$AL$2,N(对接源_01水果!$B1161)&gt;$AL$3),0,1))</f>
        <v>0</v>
      </c>
      <c r="AM1161">
        <f>N(AM1160)+$AL1161</f>
        <v>2</v>
      </c>
      <c r="AN1161">
        <f>IF(对接源_01水果!$AC1161="","",对接源_01水果!$AC1161)</f>
      </c>
      <c r="AO1161">
        <f>IF(AN1161="",0,IF(MATCH(AN1161,$AN$4:$AN$1203,0)=ROW()-3,1,0))</f>
        <v>0</v>
      </c>
      <c r="AP1161">
        <f>N(AP1160)+$AO1161</f>
        <v>13</v>
      </c>
      <c r="AR1161">
        <f>IF(OR($AF1161=1,$AH1161=1),1,0)</f>
        <v>0</v>
      </c>
      <c r="AS1161">
        <f>N(AS1160)+$AR1161</f>
        <v>0</v>
      </c>
    </row>
    <row r="1162" ht="14.25" customHeight="1" s="127">
      <c r="A1162">
        <f>IF(对接源_01水果!$C1162="","",对接源_01水果!$C1162)</f>
      </c>
      <c r="B1162">
        <f>IF(A1162="",0,IF(MATCH(A1162,$A$4:$A$2403,0)=ROW()-3,1,0))</f>
        <v>0</v>
      </c>
      <c r="C1162">
        <f>N(C1161)+B1162</f>
        <v>22</v>
      </c>
      <c r="K1162">
        <f>IF(OR($K$1="",对接源_01水果!$C1162="",对接源_01水果!$C1162&lt;&gt;$K$1,对接源_01水果!$B1162=""),0,IF(OR(N(对接源_01水果!$B1162)&lt;$K$2,N(对接源_01水果!$B1162)&gt;$K$3),0,1))</f>
        <v>0</v>
      </c>
      <c r="L1162">
        <f>IF(OR($L$1="",对接源_01水果!$C1162="",对接源_01水果!$C1162&lt;&gt;$L$1,对接源_01水果!$B1162=""),0,IF(OR(N(对接源_01水果!$B1162)&lt;$L$2,N(对接源_01水果!$B1162)&gt;$L$3),0,1))</f>
        <v>0</v>
      </c>
      <c r="M1162">
        <f>IF(OR($M$1="",对接源_01水果!$C1162="",对接源_01水果!$C1162&lt;&gt;$M$1,对接源_01水果!$B1162=""),0,IF(OR(N(对接源_01水果!$B1162)&lt;$M$2,N(对接源_01水果!$B1162)&gt;$M$3),0,1))</f>
        <v>0</v>
      </c>
      <c r="N1162">
        <f>IF(OR($N$1="",对接源_01水果!$C1162="",对接源_01水果!$C1162&lt;&gt;$N$1,对接源_01水果!$B1162=""),0,IF(OR(N(对接源_01水果!$B1162)&lt;$N$2,N(对接源_01水果!$B1162)&gt;$N$3),0,1))</f>
        <v>0</v>
      </c>
      <c r="P1162">
        <f>IF(AND($K1162=1,AND(对接源_01水果!$X1162="公司筐",N(对接源_01水果!$T1162)&lt;&gt;0)),1,0)</f>
        <v>0</v>
      </c>
      <c r="Q1162">
        <f>N(Q1161)+$P1162</f>
        <v>0</v>
      </c>
      <c r="R1162">
        <f>IF(AND($K1162=1,AND(对接源_01水果!$X1162="公司筐",N(对接源_01水果!$U1162)&lt;&gt;0)),1,0)</f>
        <v>0</v>
      </c>
      <c r="S1162">
        <f>N(S1161)+$R1162</f>
        <v>0</v>
      </c>
      <c r="T1162">
        <f>IF(AND($K1162=1,AND(对接源_01水果!$X1162="公司筐",N(对接源_01水果!$V1162)&lt;&gt;0)),1,0)</f>
        <v>0</v>
      </c>
      <c r="U1162">
        <f>N(U1161)+$T1162</f>
        <v>47</v>
      </c>
      <c r="V1162">
        <f>IF(AND($L1162=1,AND(对接源_01水果!$X1162="自备筐",N(对接源_01水果!$V1162)&lt;&gt;0)),1,0)</f>
        <v>0</v>
      </c>
      <c r="W1162">
        <f>N(W1161)+$V1162</f>
        <v>11</v>
      </c>
      <c r="X1162">
        <f>IF(AND($L1162=1,AND(对接源_01水果!$X1162="自备筐",N(对接源_01水果!$T1162)&lt;&gt;0)),1,0)</f>
        <v>0</v>
      </c>
      <c r="Y1162">
        <f>N(Y1161)+$X1162</f>
        <v>0</v>
      </c>
      <c r="Z1162">
        <f>IF(AND($M1162=1,对接源_01水果!$D1162="原料入库"),1,0)</f>
        <v>0</v>
      </c>
      <c r="AA1162">
        <f>N(AA1161)+$Z1162</f>
        <v>24</v>
      </c>
      <c r="AB1162">
        <f>IF(AND($M1162=1,LEFT(对接源_01水果!$D1162,4)="原料出库"),1,0)</f>
        <v>0</v>
      </c>
      <c r="AC1162">
        <f>N(AC1161)+$AB1162</f>
        <v>0</v>
      </c>
      <c r="AD1162">
        <f>IF(AND($M1162=1,LEFT(对接源_01水果!$D1162,4)="成品出库"),1,0)</f>
        <v>0</v>
      </c>
      <c r="AE1162">
        <f>N(AE1161)+$AD1162</f>
        <v>0</v>
      </c>
      <c r="AF1162">
        <f>IF(AND($N1162=1,AND(LEFT(对接源_01水果!$D1162,4)="包装物料",N(对接源_01水果!$K1162)&lt;&gt;0)),1,0)</f>
        <v>0</v>
      </c>
      <c r="AG1162">
        <f>N(AG1161)+$AF1162</f>
        <v>0</v>
      </c>
      <c r="AH1162">
        <f>IF(AND($N1162=1,AND(对接源_01水果!$D1162="周转筐－销售出库",N(对接源_01水果!$K1162)&lt;&gt;0)),1,0)</f>
        <v>0</v>
      </c>
      <c r="AI1162">
        <f>N(AI1161)+$AH1162</f>
        <v>0</v>
      </c>
      <c r="AJ1162" s="7" t="n"/>
      <c r="AL1162">
        <f>IF(OR($AL$1="",对接源_01水果!$Y1162="",对接源_01水果!$Y1162&lt;&gt;$AL$1,对接源_01水果!$B1162="",N(对接源_01水果!$AJ1162)&lt;=0),0,IF(OR(N(对接源_01水果!$B1162)&lt;$AL$2,N(对接源_01水果!$B1162)&gt;$AL$3),0,1))</f>
        <v>0</v>
      </c>
      <c r="AM1162">
        <f>N(AM1161)+$AL1162</f>
        <v>2</v>
      </c>
      <c r="AN1162">
        <f>IF(对接源_01水果!$AC1162="","",对接源_01水果!$AC1162)</f>
      </c>
      <c r="AO1162">
        <f>IF(AN1162="",0,IF(MATCH(AN1162,$AN$4:$AN$1203,0)=ROW()-3,1,0))</f>
        <v>0</v>
      </c>
      <c r="AP1162">
        <f>N(AP1161)+$AO1162</f>
        <v>13</v>
      </c>
      <c r="AR1162">
        <f>IF(OR($AF1162=1,$AH1162=1),1,0)</f>
        <v>0</v>
      </c>
      <c r="AS1162">
        <f>N(AS1161)+$AR1162</f>
        <v>0</v>
      </c>
    </row>
    <row r="1163" ht="14.25" customHeight="1" s="127">
      <c r="A1163">
        <f>IF(对接源_01水果!$C1163="","",对接源_01水果!$C1163)</f>
      </c>
      <c r="B1163">
        <f>IF(A1163="",0,IF(MATCH(A1163,$A$4:$A$2403,0)=ROW()-3,1,0))</f>
        <v>0</v>
      </c>
      <c r="C1163">
        <f>N(C1162)+B1163</f>
        <v>22</v>
      </c>
      <c r="K1163">
        <f>IF(OR($K$1="",对接源_01水果!$C1163="",对接源_01水果!$C1163&lt;&gt;$K$1,对接源_01水果!$B1163=""),0,IF(OR(N(对接源_01水果!$B1163)&lt;$K$2,N(对接源_01水果!$B1163)&gt;$K$3),0,1))</f>
        <v>0</v>
      </c>
      <c r="L1163">
        <f>IF(OR($L$1="",对接源_01水果!$C1163="",对接源_01水果!$C1163&lt;&gt;$L$1,对接源_01水果!$B1163=""),0,IF(OR(N(对接源_01水果!$B1163)&lt;$L$2,N(对接源_01水果!$B1163)&gt;$L$3),0,1))</f>
        <v>0</v>
      </c>
      <c r="M1163">
        <f>IF(OR($M$1="",对接源_01水果!$C1163="",对接源_01水果!$C1163&lt;&gt;$M$1,对接源_01水果!$B1163=""),0,IF(OR(N(对接源_01水果!$B1163)&lt;$M$2,N(对接源_01水果!$B1163)&gt;$M$3),0,1))</f>
        <v>0</v>
      </c>
      <c r="N1163">
        <f>IF(OR($N$1="",对接源_01水果!$C1163="",对接源_01水果!$C1163&lt;&gt;$N$1,对接源_01水果!$B1163=""),0,IF(OR(N(对接源_01水果!$B1163)&lt;$N$2,N(对接源_01水果!$B1163)&gt;$N$3),0,1))</f>
        <v>0</v>
      </c>
      <c r="P1163">
        <f>IF(AND($K1163=1,AND(对接源_01水果!$X1163="公司筐",N(对接源_01水果!$T1163)&lt;&gt;0)),1,0)</f>
        <v>0</v>
      </c>
      <c r="Q1163">
        <f>N(Q1162)+$P1163</f>
        <v>0</v>
      </c>
      <c r="R1163">
        <f>IF(AND($K1163=1,AND(对接源_01水果!$X1163="公司筐",N(对接源_01水果!$U1163)&lt;&gt;0)),1,0)</f>
        <v>0</v>
      </c>
      <c r="S1163">
        <f>N(S1162)+$R1163</f>
        <v>0</v>
      </c>
      <c r="T1163">
        <f>IF(AND($K1163=1,AND(对接源_01水果!$X1163="公司筐",N(对接源_01水果!$V1163)&lt;&gt;0)),1,0)</f>
        <v>0</v>
      </c>
      <c r="U1163">
        <f>N(U1162)+$T1163</f>
        <v>47</v>
      </c>
      <c r="V1163">
        <f>IF(AND($L1163=1,AND(对接源_01水果!$X1163="自备筐",N(对接源_01水果!$V1163)&lt;&gt;0)),1,0)</f>
        <v>0</v>
      </c>
      <c r="W1163">
        <f>N(W1162)+$V1163</f>
        <v>11</v>
      </c>
      <c r="X1163">
        <f>IF(AND($L1163=1,AND(对接源_01水果!$X1163="自备筐",N(对接源_01水果!$T1163)&lt;&gt;0)),1,0)</f>
        <v>0</v>
      </c>
      <c r="Y1163">
        <f>N(Y1162)+$X1163</f>
        <v>0</v>
      </c>
      <c r="Z1163">
        <f>IF(AND($M1163=1,对接源_01水果!$D1163="原料入库"),1,0)</f>
        <v>0</v>
      </c>
      <c r="AA1163">
        <f>N(AA1162)+$Z1163</f>
        <v>24</v>
      </c>
      <c r="AB1163">
        <f>IF(AND($M1163=1,LEFT(对接源_01水果!$D1163,4)="原料出库"),1,0)</f>
        <v>0</v>
      </c>
      <c r="AC1163">
        <f>N(AC1162)+$AB1163</f>
        <v>0</v>
      </c>
      <c r="AD1163">
        <f>IF(AND($M1163=1,LEFT(对接源_01水果!$D1163,4)="成品出库"),1,0)</f>
        <v>0</v>
      </c>
      <c r="AE1163">
        <f>N(AE1162)+$AD1163</f>
        <v>0</v>
      </c>
      <c r="AF1163">
        <f>IF(AND($N1163=1,AND(LEFT(对接源_01水果!$D1163,4)="包装物料",N(对接源_01水果!$K1163)&lt;&gt;0)),1,0)</f>
        <v>0</v>
      </c>
      <c r="AG1163">
        <f>N(AG1162)+$AF1163</f>
        <v>0</v>
      </c>
      <c r="AH1163">
        <f>IF(AND($N1163=1,AND(对接源_01水果!$D1163="周转筐－销售出库",N(对接源_01水果!$K1163)&lt;&gt;0)),1,0)</f>
        <v>0</v>
      </c>
      <c r="AI1163">
        <f>N(AI1162)+$AH1163</f>
        <v>0</v>
      </c>
      <c r="AJ1163" s="7" t="n"/>
      <c r="AL1163">
        <f>IF(OR($AL$1="",对接源_01水果!$Y1163="",对接源_01水果!$Y1163&lt;&gt;$AL$1,对接源_01水果!$B1163="",N(对接源_01水果!$AJ1163)&lt;=0),0,IF(OR(N(对接源_01水果!$B1163)&lt;$AL$2,N(对接源_01水果!$B1163)&gt;$AL$3),0,1))</f>
        <v>0</v>
      </c>
      <c r="AM1163">
        <f>N(AM1162)+$AL1163</f>
        <v>2</v>
      </c>
      <c r="AN1163">
        <f>IF(对接源_01水果!$AC1163="","",对接源_01水果!$AC1163)</f>
      </c>
      <c r="AO1163">
        <f>IF(AN1163="",0,IF(MATCH(AN1163,$AN$4:$AN$1203,0)=ROW()-3,1,0))</f>
        <v>0</v>
      </c>
      <c r="AP1163">
        <f>N(AP1162)+$AO1163</f>
        <v>13</v>
      </c>
      <c r="AR1163">
        <f>IF(OR($AF1163=1,$AH1163=1),1,0)</f>
        <v>0</v>
      </c>
      <c r="AS1163">
        <f>N(AS1162)+$AR1163</f>
        <v>0</v>
      </c>
    </row>
    <row r="1164" ht="14.25" customHeight="1" s="127">
      <c r="A1164">
        <f>IF(对接源_01水果!$C1164="","",对接源_01水果!$C1164)</f>
      </c>
      <c r="B1164">
        <f>IF(A1164="",0,IF(MATCH(A1164,$A$4:$A$2403,0)=ROW()-3,1,0))</f>
        <v>0</v>
      </c>
      <c r="C1164">
        <f>N(C1163)+B1164</f>
        <v>22</v>
      </c>
      <c r="K1164">
        <f>IF(OR($K$1="",对接源_01水果!$C1164="",对接源_01水果!$C1164&lt;&gt;$K$1,对接源_01水果!$B1164=""),0,IF(OR(N(对接源_01水果!$B1164)&lt;$K$2,N(对接源_01水果!$B1164)&gt;$K$3),0,1))</f>
        <v>0</v>
      </c>
      <c r="L1164">
        <f>IF(OR($L$1="",对接源_01水果!$C1164="",对接源_01水果!$C1164&lt;&gt;$L$1,对接源_01水果!$B1164=""),0,IF(OR(N(对接源_01水果!$B1164)&lt;$L$2,N(对接源_01水果!$B1164)&gt;$L$3),0,1))</f>
        <v>0</v>
      </c>
      <c r="M1164">
        <f>IF(OR($M$1="",对接源_01水果!$C1164="",对接源_01水果!$C1164&lt;&gt;$M$1,对接源_01水果!$B1164=""),0,IF(OR(N(对接源_01水果!$B1164)&lt;$M$2,N(对接源_01水果!$B1164)&gt;$M$3),0,1))</f>
        <v>0</v>
      </c>
      <c r="N1164">
        <f>IF(OR($N$1="",对接源_01水果!$C1164="",对接源_01水果!$C1164&lt;&gt;$N$1,对接源_01水果!$B1164=""),0,IF(OR(N(对接源_01水果!$B1164)&lt;$N$2,N(对接源_01水果!$B1164)&gt;$N$3),0,1))</f>
        <v>0</v>
      </c>
      <c r="P1164">
        <f>IF(AND($K1164=1,AND(对接源_01水果!$X1164="公司筐",N(对接源_01水果!$T1164)&lt;&gt;0)),1,0)</f>
        <v>0</v>
      </c>
      <c r="Q1164">
        <f>N(Q1163)+$P1164</f>
        <v>0</v>
      </c>
      <c r="R1164">
        <f>IF(AND($K1164=1,AND(对接源_01水果!$X1164="公司筐",N(对接源_01水果!$U1164)&lt;&gt;0)),1,0)</f>
        <v>0</v>
      </c>
      <c r="S1164">
        <f>N(S1163)+$R1164</f>
        <v>0</v>
      </c>
      <c r="T1164">
        <f>IF(AND($K1164=1,AND(对接源_01水果!$X1164="公司筐",N(对接源_01水果!$V1164)&lt;&gt;0)),1,0)</f>
        <v>0</v>
      </c>
      <c r="U1164">
        <f>N(U1163)+$T1164</f>
        <v>47</v>
      </c>
      <c r="V1164">
        <f>IF(AND($L1164=1,AND(对接源_01水果!$X1164="自备筐",N(对接源_01水果!$V1164)&lt;&gt;0)),1,0)</f>
        <v>0</v>
      </c>
      <c r="W1164">
        <f>N(W1163)+$V1164</f>
        <v>11</v>
      </c>
      <c r="X1164">
        <f>IF(AND($L1164=1,AND(对接源_01水果!$X1164="自备筐",N(对接源_01水果!$T1164)&lt;&gt;0)),1,0)</f>
        <v>0</v>
      </c>
      <c r="Y1164">
        <f>N(Y1163)+$X1164</f>
        <v>0</v>
      </c>
      <c r="Z1164">
        <f>IF(AND($M1164=1,对接源_01水果!$D1164="原料入库"),1,0)</f>
        <v>0</v>
      </c>
      <c r="AA1164">
        <f>N(AA1163)+$Z1164</f>
        <v>24</v>
      </c>
      <c r="AB1164">
        <f>IF(AND($M1164=1,LEFT(对接源_01水果!$D1164,4)="原料出库"),1,0)</f>
        <v>0</v>
      </c>
      <c r="AC1164">
        <f>N(AC1163)+$AB1164</f>
        <v>0</v>
      </c>
      <c r="AD1164">
        <f>IF(AND($M1164=1,LEFT(对接源_01水果!$D1164,4)="成品出库"),1,0)</f>
        <v>0</v>
      </c>
      <c r="AE1164">
        <f>N(AE1163)+$AD1164</f>
        <v>0</v>
      </c>
      <c r="AF1164">
        <f>IF(AND($N1164=1,AND(LEFT(对接源_01水果!$D1164,4)="包装物料",N(对接源_01水果!$K1164)&lt;&gt;0)),1,0)</f>
        <v>0</v>
      </c>
      <c r="AG1164">
        <f>N(AG1163)+$AF1164</f>
        <v>0</v>
      </c>
      <c r="AH1164">
        <f>IF(AND($N1164=1,AND(对接源_01水果!$D1164="周转筐－销售出库",N(对接源_01水果!$K1164)&lt;&gt;0)),1,0)</f>
        <v>0</v>
      </c>
      <c r="AI1164">
        <f>N(AI1163)+$AH1164</f>
        <v>0</v>
      </c>
      <c r="AJ1164" s="7" t="n"/>
      <c r="AL1164">
        <f>IF(OR($AL$1="",对接源_01水果!$Y1164="",对接源_01水果!$Y1164&lt;&gt;$AL$1,对接源_01水果!$B1164="",N(对接源_01水果!$AJ1164)&lt;=0),0,IF(OR(N(对接源_01水果!$B1164)&lt;$AL$2,N(对接源_01水果!$B1164)&gt;$AL$3),0,1))</f>
        <v>0</v>
      </c>
      <c r="AM1164">
        <f>N(AM1163)+$AL1164</f>
        <v>2</v>
      </c>
      <c r="AN1164">
        <f>IF(对接源_01水果!$AC1164="","",对接源_01水果!$AC1164)</f>
      </c>
      <c r="AO1164">
        <f>IF(AN1164="",0,IF(MATCH(AN1164,$AN$4:$AN$1203,0)=ROW()-3,1,0))</f>
        <v>0</v>
      </c>
      <c r="AP1164">
        <f>N(AP1163)+$AO1164</f>
        <v>13</v>
      </c>
      <c r="AR1164">
        <f>IF(OR($AF1164=1,$AH1164=1),1,0)</f>
        <v>0</v>
      </c>
      <c r="AS1164">
        <f>N(AS1163)+$AR1164</f>
        <v>0</v>
      </c>
    </row>
    <row r="1165" ht="14.25" customHeight="1" s="127">
      <c r="A1165">
        <f>IF(对接源_01水果!$C1165="","",对接源_01水果!$C1165)</f>
      </c>
      <c r="B1165">
        <f>IF(A1165="",0,IF(MATCH(A1165,$A$4:$A$2403,0)=ROW()-3,1,0))</f>
        <v>0</v>
      </c>
      <c r="C1165">
        <f>N(C1164)+B1165</f>
        <v>22</v>
      </c>
      <c r="K1165">
        <f>IF(OR($K$1="",对接源_01水果!$C1165="",对接源_01水果!$C1165&lt;&gt;$K$1,对接源_01水果!$B1165=""),0,IF(OR(N(对接源_01水果!$B1165)&lt;$K$2,N(对接源_01水果!$B1165)&gt;$K$3),0,1))</f>
        <v>0</v>
      </c>
      <c r="L1165">
        <f>IF(OR($L$1="",对接源_01水果!$C1165="",对接源_01水果!$C1165&lt;&gt;$L$1,对接源_01水果!$B1165=""),0,IF(OR(N(对接源_01水果!$B1165)&lt;$L$2,N(对接源_01水果!$B1165)&gt;$L$3),0,1))</f>
        <v>0</v>
      </c>
      <c r="M1165">
        <f>IF(OR($M$1="",对接源_01水果!$C1165="",对接源_01水果!$C1165&lt;&gt;$M$1,对接源_01水果!$B1165=""),0,IF(OR(N(对接源_01水果!$B1165)&lt;$M$2,N(对接源_01水果!$B1165)&gt;$M$3),0,1))</f>
        <v>0</v>
      </c>
      <c r="N1165">
        <f>IF(OR($N$1="",对接源_01水果!$C1165="",对接源_01水果!$C1165&lt;&gt;$N$1,对接源_01水果!$B1165=""),0,IF(OR(N(对接源_01水果!$B1165)&lt;$N$2,N(对接源_01水果!$B1165)&gt;$N$3),0,1))</f>
        <v>0</v>
      </c>
      <c r="P1165">
        <f>IF(AND($K1165=1,AND(对接源_01水果!$X1165="公司筐",N(对接源_01水果!$T1165)&lt;&gt;0)),1,0)</f>
        <v>0</v>
      </c>
      <c r="Q1165">
        <f>N(Q1164)+$P1165</f>
        <v>0</v>
      </c>
      <c r="R1165">
        <f>IF(AND($K1165=1,AND(对接源_01水果!$X1165="公司筐",N(对接源_01水果!$U1165)&lt;&gt;0)),1,0)</f>
        <v>0</v>
      </c>
      <c r="S1165">
        <f>N(S1164)+$R1165</f>
        <v>0</v>
      </c>
      <c r="T1165">
        <f>IF(AND($K1165=1,AND(对接源_01水果!$X1165="公司筐",N(对接源_01水果!$V1165)&lt;&gt;0)),1,0)</f>
        <v>0</v>
      </c>
      <c r="U1165">
        <f>N(U1164)+$T1165</f>
        <v>47</v>
      </c>
      <c r="V1165">
        <f>IF(AND($L1165=1,AND(对接源_01水果!$X1165="自备筐",N(对接源_01水果!$V1165)&lt;&gt;0)),1,0)</f>
        <v>0</v>
      </c>
      <c r="W1165">
        <f>N(W1164)+$V1165</f>
        <v>11</v>
      </c>
      <c r="X1165">
        <f>IF(AND($L1165=1,AND(对接源_01水果!$X1165="自备筐",N(对接源_01水果!$T1165)&lt;&gt;0)),1,0)</f>
        <v>0</v>
      </c>
      <c r="Y1165">
        <f>N(Y1164)+$X1165</f>
        <v>0</v>
      </c>
      <c r="Z1165">
        <f>IF(AND($M1165=1,对接源_01水果!$D1165="原料入库"),1,0)</f>
        <v>0</v>
      </c>
      <c r="AA1165">
        <f>N(AA1164)+$Z1165</f>
        <v>24</v>
      </c>
      <c r="AB1165">
        <f>IF(AND($M1165=1,LEFT(对接源_01水果!$D1165,4)="原料出库"),1,0)</f>
        <v>0</v>
      </c>
      <c r="AC1165">
        <f>N(AC1164)+$AB1165</f>
        <v>0</v>
      </c>
      <c r="AD1165">
        <f>IF(AND($M1165=1,LEFT(对接源_01水果!$D1165,4)="成品出库"),1,0)</f>
        <v>0</v>
      </c>
      <c r="AE1165">
        <f>N(AE1164)+$AD1165</f>
        <v>0</v>
      </c>
      <c r="AF1165">
        <f>IF(AND($N1165=1,AND(LEFT(对接源_01水果!$D1165,4)="包装物料",N(对接源_01水果!$K1165)&lt;&gt;0)),1,0)</f>
        <v>0</v>
      </c>
      <c r="AG1165">
        <f>N(AG1164)+$AF1165</f>
        <v>0</v>
      </c>
      <c r="AH1165">
        <f>IF(AND($N1165=1,AND(对接源_01水果!$D1165="周转筐－销售出库",N(对接源_01水果!$K1165)&lt;&gt;0)),1,0)</f>
        <v>0</v>
      </c>
      <c r="AI1165">
        <f>N(AI1164)+$AH1165</f>
        <v>0</v>
      </c>
      <c r="AJ1165" s="7" t="n"/>
      <c r="AL1165">
        <f>IF(OR($AL$1="",对接源_01水果!$Y1165="",对接源_01水果!$Y1165&lt;&gt;$AL$1,对接源_01水果!$B1165="",N(对接源_01水果!$AJ1165)&lt;=0),0,IF(OR(N(对接源_01水果!$B1165)&lt;$AL$2,N(对接源_01水果!$B1165)&gt;$AL$3),0,1))</f>
        <v>0</v>
      </c>
      <c r="AM1165">
        <f>N(AM1164)+$AL1165</f>
        <v>2</v>
      </c>
      <c r="AN1165">
        <f>IF(对接源_01水果!$AC1165="","",对接源_01水果!$AC1165)</f>
      </c>
      <c r="AO1165">
        <f>IF(AN1165="",0,IF(MATCH(AN1165,$AN$4:$AN$1203,0)=ROW()-3,1,0))</f>
        <v>0</v>
      </c>
      <c r="AP1165">
        <f>N(AP1164)+$AO1165</f>
        <v>13</v>
      </c>
      <c r="AR1165">
        <f>IF(OR($AF1165=1,$AH1165=1),1,0)</f>
        <v>0</v>
      </c>
      <c r="AS1165">
        <f>N(AS1164)+$AR1165</f>
        <v>0</v>
      </c>
    </row>
    <row r="1166" ht="14.25" customHeight="1" s="127">
      <c r="A1166">
        <f>IF(对接源_01水果!$C1166="","",对接源_01水果!$C1166)</f>
      </c>
      <c r="B1166">
        <f>IF(A1166="",0,IF(MATCH(A1166,$A$4:$A$2403,0)=ROW()-3,1,0))</f>
        <v>0</v>
      </c>
      <c r="C1166">
        <f>N(C1165)+B1166</f>
        <v>22</v>
      </c>
      <c r="K1166">
        <f>IF(OR($K$1="",对接源_01水果!$C1166="",对接源_01水果!$C1166&lt;&gt;$K$1,对接源_01水果!$B1166=""),0,IF(OR(N(对接源_01水果!$B1166)&lt;$K$2,N(对接源_01水果!$B1166)&gt;$K$3),0,1))</f>
        <v>0</v>
      </c>
      <c r="L1166">
        <f>IF(OR($L$1="",对接源_01水果!$C1166="",对接源_01水果!$C1166&lt;&gt;$L$1,对接源_01水果!$B1166=""),0,IF(OR(N(对接源_01水果!$B1166)&lt;$L$2,N(对接源_01水果!$B1166)&gt;$L$3),0,1))</f>
        <v>0</v>
      </c>
      <c r="M1166">
        <f>IF(OR($M$1="",对接源_01水果!$C1166="",对接源_01水果!$C1166&lt;&gt;$M$1,对接源_01水果!$B1166=""),0,IF(OR(N(对接源_01水果!$B1166)&lt;$M$2,N(对接源_01水果!$B1166)&gt;$M$3),0,1))</f>
        <v>0</v>
      </c>
      <c r="N1166">
        <f>IF(OR($N$1="",对接源_01水果!$C1166="",对接源_01水果!$C1166&lt;&gt;$N$1,对接源_01水果!$B1166=""),0,IF(OR(N(对接源_01水果!$B1166)&lt;$N$2,N(对接源_01水果!$B1166)&gt;$N$3),0,1))</f>
        <v>0</v>
      </c>
      <c r="P1166">
        <f>IF(AND($K1166=1,AND(对接源_01水果!$X1166="公司筐",N(对接源_01水果!$T1166)&lt;&gt;0)),1,0)</f>
        <v>0</v>
      </c>
      <c r="Q1166">
        <f>N(Q1165)+$P1166</f>
        <v>0</v>
      </c>
      <c r="R1166">
        <f>IF(AND($K1166=1,AND(对接源_01水果!$X1166="公司筐",N(对接源_01水果!$U1166)&lt;&gt;0)),1,0)</f>
        <v>0</v>
      </c>
      <c r="S1166">
        <f>N(S1165)+$R1166</f>
        <v>0</v>
      </c>
      <c r="T1166">
        <f>IF(AND($K1166=1,AND(对接源_01水果!$X1166="公司筐",N(对接源_01水果!$V1166)&lt;&gt;0)),1,0)</f>
        <v>0</v>
      </c>
      <c r="U1166">
        <f>N(U1165)+$T1166</f>
        <v>47</v>
      </c>
      <c r="V1166">
        <f>IF(AND($L1166=1,AND(对接源_01水果!$X1166="自备筐",N(对接源_01水果!$V1166)&lt;&gt;0)),1,0)</f>
        <v>0</v>
      </c>
      <c r="W1166">
        <f>N(W1165)+$V1166</f>
        <v>11</v>
      </c>
      <c r="X1166">
        <f>IF(AND($L1166=1,AND(对接源_01水果!$X1166="自备筐",N(对接源_01水果!$T1166)&lt;&gt;0)),1,0)</f>
        <v>0</v>
      </c>
      <c r="Y1166">
        <f>N(Y1165)+$X1166</f>
        <v>0</v>
      </c>
      <c r="Z1166">
        <f>IF(AND($M1166=1,对接源_01水果!$D1166="原料入库"),1,0)</f>
        <v>0</v>
      </c>
      <c r="AA1166">
        <f>N(AA1165)+$Z1166</f>
        <v>24</v>
      </c>
      <c r="AB1166">
        <f>IF(AND($M1166=1,LEFT(对接源_01水果!$D1166,4)="原料出库"),1,0)</f>
        <v>0</v>
      </c>
      <c r="AC1166">
        <f>N(AC1165)+$AB1166</f>
        <v>0</v>
      </c>
      <c r="AD1166">
        <f>IF(AND($M1166=1,LEFT(对接源_01水果!$D1166,4)="成品出库"),1,0)</f>
        <v>0</v>
      </c>
      <c r="AE1166">
        <f>N(AE1165)+$AD1166</f>
        <v>0</v>
      </c>
      <c r="AF1166">
        <f>IF(AND($N1166=1,AND(LEFT(对接源_01水果!$D1166,4)="包装物料",N(对接源_01水果!$K1166)&lt;&gt;0)),1,0)</f>
        <v>0</v>
      </c>
      <c r="AG1166">
        <f>N(AG1165)+$AF1166</f>
        <v>0</v>
      </c>
      <c r="AH1166">
        <f>IF(AND($N1166=1,AND(对接源_01水果!$D1166="周转筐－销售出库",N(对接源_01水果!$K1166)&lt;&gt;0)),1,0)</f>
        <v>0</v>
      </c>
      <c r="AI1166">
        <f>N(AI1165)+$AH1166</f>
        <v>0</v>
      </c>
      <c r="AJ1166" s="7" t="n"/>
      <c r="AL1166">
        <f>IF(OR($AL$1="",对接源_01水果!$Y1166="",对接源_01水果!$Y1166&lt;&gt;$AL$1,对接源_01水果!$B1166="",N(对接源_01水果!$AJ1166)&lt;=0),0,IF(OR(N(对接源_01水果!$B1166)&lt;$AL$2,N(对接源_01水果!$B1166)&gt;$AL$3),0,1))</f>
        <v>0</v>
      </c>
      <c r="AM1166">
        <f>N(AM1165)+$AL1166</f>
        <v>2</v>
      </c>
      <c r="AN1166">
        <f>IF(对接源_01水果!$AC1166="","",对接源_01水果!$AC1166)</f>
      </c>
      <c r="AO1166">
        <f>IF(AN1166="",0,IF(MATCH(AN1166,$AN$4:$AN$1203,0)=ROW()-3,1,0))</f>
        <v>0</v>
      </c>
      <c r="AP1166">
        <f>N(AP1165)+$AO1166</f>
        <v>13</v>
      </c>
      <c r="AR1166">
        <f>IF(OR($AF1166=1,$AH1166=1),1,0)</f>
        <v>0</v>
      </c>
      <c r="AS1166">
        <f>N(AS1165)+$AR1166</f>
        <v>0</v>
      </c>
    </row>
    <row r="1167" ht="14.25" customHeight="1" s="127">
      <c r="A1167">
        <f>IF(对接源_01水果!$C1167="","",对接源_01水果!$C1167)</f>
      </c>
      <c r="B1167">
        <f>IF(A1167="",0,IF(MATCH(A1167,$A$4:$A$2403,0)=ROW()-3,1,0))</f>
        <v>0</v>
      </c>
      <c r="C1167">
        <f>N(C1166)+B1167</f>
        <v>22</v>
      </c>
      <c r="K1167">
        <f>IF(OR($K$1="",对接源_01水果!$C1167="",对接源_01水果!$C1167&lt;&gt;$K$1,对接源_01水果!$B1167=""),0,IF(OR(N(对接源_01水果!$B1167)&lt;$K$2,N(对接源_01水果!$B1167)&gt;$K$3),0,1))</f>
        <v>0</v>
      </c>
      <c r="L1167">
        <f>IF(OR($L$1="",对接源_01水果!$C1167="",对接源_01水果!$C1167&lt;&gt;$L$1,对接源_01水果!$B1167=""),0,IF(OR(N(对接源_01水果!$B1167)&lt;$L$2,N(对接源_01水果!$B1167)&gt;$L$3),0,1))</f>
        <v>0</v>
      </c>
      <c r="M1167">
        <f>IF(OR($M$1="",对接源_01水果!$C1167="",对接源_01水果!$C1167&lt;&gt;$M$1,对接源_01水果!$B1167=""),0,IF(OR(N(对接源_01水果!$B1167)&lt;$M$2,N(对接源_01水果!$B1167)&gt;$M$3),0,1))</f>
        <v>0</v>
      </c>
      <c r="N1167">
        <f>IF(OR($N$1="",对接源_01水果!$C1167="",对接源_01水果!$C1167&lt;&gt;$N$1,对接源_01水果!$B1167=""),0,IF(OR(N(对接源_01水果!$B1167)&lt;$N$2,N(对接源_01水果!$B1167)&gt;$N$3),0,1))</f>
        <v>0</v>
      </c>
      <c r="P1167">
        <f>IF(AND($K1167=1,AND(对接源_01水果!$X1167="公司筐",N(对接源_01水果!$T1167)&lt;&gt;0)),1,0)</f>
        <v>0</v>
      </c>
      <c r="Q1167">
        <f>N(Q1166)+$P1167</f>
        <v>0</v>
      </c>
      <c r="R1167">
        <f>IF(AND($K1167=1,AND(对接源_01水果!$X1167="公司筐",N(对接源_01水果!$U1167)&lt;&gt;0)),1,0)</f>
        <v>0</v>
      </c>
      <c r="S1167">
        <f>N(S1166)+$R1167</f>
        <v>0</v>
      </c>
      <c r="T1167">
        <f>IF(AND($K1167=1,AND(对接源_01水果!$X1167="公司筐",N(对接源_01水果!$V1167)&lt;&gt;0)),1,0)</f>
        <v>0</v>
      </c>
      <c r="U1167">
        <f>N(U1166)+$T1167</f>
        <v>47</v>
      </c>
      <c r="V1167">
        <f>IF(AND($L1167=1,AND(对接源_01水果!$X1167="自备筐",N(对接源_01水果!$V1167)&lt;&gt;0)),1,0)</f>
        <v>0</v>
      </c>
      <c r="W1167">
        <f>N(W1166)+$V1167</f>
        <v>11</v>
      </c>
      <c r="X1167">
        <f>IF(AND($L1167=1,AND(对接源_01水果!$X1167="自备筐",N(对接源_01水果!$T1167)&lt;&gt;0)),1,0)</f>
        <v>0</v>
      </c>
      <c r="Y1167">
        <f>N(Y1166)+$X1167</f>
        <v>0</v>
      </c>
      <c r="Z1167">
        <f>IF(AND($M1167=1,对接源_01水果!$D1167="原料入库"),1,0)</f>
        <v>0</v>
      </c>
      <c r="AA1167">
        <f>N(AA1166)+$Z1167</f>
        <v>24</v>
      </c>
      <c r="AB1167">
        <f>IF(AND($M1167=1,LEFT(对接源_01水果!$D1167,4)="原料出库"),1,0)</f>
        <v>0</v>
      </c>
      <c r="AC1167">
        <f>N(AC1166)+$AB1167</f>
        <v>0</v>
      </c>
      <c r="AD1167">
        <f>IF(AND($M1167=1,LEFT(对接源_01水果!$D1167,4)="成品出库"),1,0)</f>
        <v>0</v>
      </c>
      <c r="AE1167">
        <f>N(AE1166)+$AD1167</f>
        <v>0</v>
      </c>
      <c r="AF1167">
        <f>IF(AND($N1167=1,AND(LEFT(对接源_01水果!$D1167,4)="包装物料",N(对接源_01水果!$K1167)&lt;&gt;0)),1,0)</f>
        <v>0</v>
      </c>
      <c r="AG1167">
        <f>N(AG1166)+$AF1167</f>
        <v>0</v>
      </c>
      <c r="AH1167">
        <f>IF(AND($N1167=1,AND(对接源_01水果!$D1167="周转筐－销售出库",N(对接源_01水果!$K1167)&lt;&gt;0)),1,0)</f>
        <v>0</v>
      </c>
      <c r="AI1167">
        <f>N(AI1166)+$AH1167</f>
        <v>0</v>
      </c>
      <c r="AJ1167" s="7" t="n"/>
      <c r="AL1167">
        <f>IF(OR($AL$1="",对接源_01水果!$Y1167="",对接源_01水果!$Y1167&lt;&gt;$AL$1,对接源_01水果!$B1167="",N(对接源_01水果!$AJ1167)&lt;=0),0,IF(OR(N(对接源_01水果!$B1167)&lt;$AL$2,N(对接源_01水果!$B1167)&gt;$AL$3),0,1))</f>
        <v>0</v>
      </c>
      <c r="AM1167">
        <f>N(AM1166)+$AL1167</f>
        <v>2</v>
      </c>
      <c r="AN1167">
        <f>IF(对接源_01水果!$AC1167="","",对接源_01水果!$AC1167)</f>
      </c>
      <c r="AO1167">
        <f>IF(AN1167="",0,IF(MATCH(AN1167,$AN$4:$AN$1203,0)=ROW()-3,1,0))</f>
        <v>0</v>
      </c>
      <c r="AP1167">
        <f>N(AP1166)+$AO1167</f>
        <v>13</v>
      </c>
      <c r="AR1167">
        <f>IF(OR($AF1167=1,$AH1167=1),1,0)</f>
        <v>0</v>
      </c>
      <c r="AS1167">
        <f>N(AS1166)+$AR1167</f>
        <v>0</v>
      </c>
    </row>
    <row r="1168" ht="14.25" customHeight="1" s="127">
      <c r="A1168">
        <f>IF(对接源_01水果!$C1168="","",对接源_01水果!$C1168)</f>
      </c>
      <c r="B1168">
        <f>IF(A1168="",0,IF(MATCH(A1168,$A$4:$A$2403,0)=ROW()-3,1,0))</f>
        <v>0</v>
      </c>
      <c r="C1168">
        <f>N(C1167)+B1168</f>
        <v>22</v>
      </c>
      <c r="K1168">
        <f>IF(OR($K$1="",对接源_01水果!$C1168="",对接源_01水果!$C1168&lt;&gt;$K$1,对接源_01水果!$B1168=""),0,IF(OR(N(对接源_01水果!$B1168)&lt;$K$2,N(对接源_01水果!$B1168)&gt;$K$3),0,1))</f>
        <v>0</v>
      </c>
      <c r="L1168">
        <f>IF(OR($L$1="",对接源_01水果!$C1168="",对接源_01水果!$C1168&lt;&gt;$L$1,对接源_01水果!$B1168=""),0,IF(OR(N(对接源_01水果!$B1168)&lt;$L$2,N(对接源_01水果!$B1168)&gt;$L$3),0,1))</f>
        <v>0</v>
      </c>
      <c r="M1168">
        <f>IF(OR($M$1="",对接源_01水果!$C1168="",对接源_01水果!$C1168&lt;&gt;$M$1,对接源_01水果!$B1168=""),0,IF(OR(N(对接源_01水果!$B1168)&lt;$M$2,N(对接源_01水果!$B1168)&gt;$M$3),0,1))</f>
        <v>0</v>
      </c>
      <c r="N1168">
        <f>IF(OR($N$1="",对接源_01水果!$C1168="",对接源_01水果!$C1168&lt;&gt;$N$1,对接源_01水果!$B1168=""),0,IF(OR(N(对接源_01水果!$B1168)&lt;$N$2,N(对接源_01水果!$B1168)&gt;$N$3),0,1))</f>
        <v>0</v>
      </c>
      <c r="P1168">
        <f>IF(AND($K1168=1,AND(对接源_01水果!$X1168="公司筐",N(对接源_01水果!$T1168)&lt;&gt;0)),1,0)</f>
        <v>0</v>
      </c>
      <c r="Q1168">
        <f>N(Q1167)+$P1168</f>
        <v>0</v>
      </c>
      <c r="R1168">
        <f>IF(AND($K1168=1,AND(对接源_01水果!$X1168="公司筐",N(对接源_01水果!$U1168)&lt;&gt;0)),1,0)</f>
        <v>0</v>
      </c>
      <c r="S1168">
        <f>N(S1167)+$R1168</f>
        <v>0</v>
      </c>
      <c r="T1168">
        <f>IF(AND($K1168=1,AND(对接源_01水果!$X1168="公司筐",N(对接源_01水果!$V1168)&lt;&gt;0)),1,0)</f>
        <v>0</v>
      </c>
      <c r="U1168">
        <f>N(U1167)+$T1168</f>
        <v>47</v>
      </c>
      <c r="V1168">
        <f>IF(AND($L1168=1,AND(对接源_01水果!$X1168="自备筐",N(对接源_01水果!$V1168)&lt;&gt;0)),1,0)</f>
        <v>0</v>
      </c>
      <c r="W1168">
        <f>N(W1167)+$V1168</f>
        <v>11</v>
      </c>
      <c r="X1168">
        <f>IF(AND($L1168=1,AND(对接源_01水果!$X1168="自备筐",N(对接源_01水果!$T1168)&lt;&gt;0)),1,0)</f>
        <v>0</v>
      </c>
      <c r="Y1168">
        <f>N(Y1167)+$X1168</f>
        <v>0</v>
      </c>
      <c r="Z1168">
        <f>IF(AND($M1168=1,对接源_01水果!$D1168="原料入库"),1,0)</f>
        <v>0</v>
      </c>
      <c r="AA1168">
        <f>N(AA1167)+$Z1168</f>
        <v>24</v>
      </c>
      <c r="AB1168">
        <f>IF(AND($M1168=1,LEFT(对接源_01水果!$D1168,4)="原料出库"),1,0)</f>
        <v>0</v>
      </c>
      <c r="AC1168">
        <f>N(AC1167)+$AB1168</f>
        <v>0</v>
      </c>
      <c r="AD1168">
        <f>IF(AND($M1168=1,LEFT(对接源_01水果!$D1168,4)="成品出库"),1,0)</f>
        <v>0</v>
      </c>
      <c r="AE1168">
        <f>N(AE1167)+$AD1168</f>
        <v>0</v>
      </c>
      <c r="AF1168">
        <f>IF(AND($N1168=1,AND(LEFT(对接源_01水果!$D1168,4)="包装物料",N(对接源_01水果!$K1168)&lt;&gt;0)),1,0)</f>
        <v>0</v>
      </c>
      <c r="AG1168">
        <f>N(AG1167)+$AF1168</f>
        <v>0</v>
      </c>
      <c r="AH1168">
        <f>IF(AND($N1168=1,AND(对接源_01水果!$D1168="周转筐－销售出库",N(对接源_01水果!$K1168)&lt;&gt;0)),1,0)</f>
        <v>0</v>
      </c>
      <c r="AI1168">
        <f>N(AI1167)+$AH1168</f>
        <v>0</v>
      </c>
      <c r="AJ1168" s="7" t="n"/>
      <c r="AL1168">
        <f>IF(OR($AL$1="",对接源_01水果!$Y1168="",对接源_01水果!$Y1168&lt;&gt;$AL$1,对接源_01水果!$B1168="",N(对接源_01水果!$AJ1168)&lt;=0),0,IF(OR(N(对接源_01水果!$B1168)&lt;$AL$2,N(对接源_01水果!$B1168)&gt;$AL$3),0,1))</f>
        <v>0</v>
      </c>
      <c r="AM1168">
        <f>N(AM1167)+$AL1168</f>
        <v>2</v>
      </c>
      <c r="AN1168">
        <f>IF(对接源_01水果!$AC1168="","",对接源_01水果!$AC1168)</f>
      </c>
      <c r="AO1168">
        <f>IF(AN1168="",0,IF(MATCH(AN1168,$AN$4:$AN$1203,0)=ROW()-3,1,0))</f>
        <v>0</v>
      </c>
      <c r="AP1168">
        <f>N(AP1167)+$AO1168</f>
        <v>13</v>
      </c>
      <c r="AR1168">
        <f>IF(OR($AF1168=1,$AH1168=1),1,0)</f>
        <v>0</v>
      </c>
      <c r="AS1168">
        <f>N(AS1167)+$AR1168</f>
        <v>0</v>
      </c>
    </row>
    <row r="1169" ht="14.25" customHeight="1" s="127">
      <c r="A1169">
        <f>IF(对接源_01水果!$C1169="","",对接源_01水果!$C1169)</f>
      </c>
      <c r="B1169">
        <f>IF(A1169="",0,IF(MATCH(A1169,$A$4:$A$2403,0)=ROW()-3,1,0))</f>
        <v>0</v>
      </c>
      <c r="C1169">
        <f>N(C1168)+B1169</f>
        <v>22</v>
      </c>
      <c r="K1169">
        <f>IF(OR($K$1="",对接源_01水果!$C1169="",对接源_01水果!$C1169&lt;&gt;$K$1,对接源_01水果!$B1169=""),0,IF(OR(N(对接源_01水果!$B1169)&lt;$K$2,N(对接源_01水果!$B1169)&gt;$K$3),0,1))</f>
        <v>0</v>
      </c>
      <c r="L1169">
        <f>IF(OR($L$1="",对接源_01水果!$C1169="",对接源_01水果!$C1169&lt;&gt;$L$1,对接源_01水果!$B1169=""),0,IF(OR(N(对接源_01水果!$B1169)&lt;$L$2,N(对接源_01水果!$B1169)&gt;$L$3),0,1))</f>
        <v>0</v>
      </c>
      <c r="M1169">
        <f>IF(OR($M$1="",对接源_01水果!$C1169="",对接源_01水果!$C1169&lt;&gt;$M$1,对接源_01水果!$B1169=""),0,IF(OR(N(对接源_01水果!$B1169)&lt;$M$2,N(对接源_01水果!$B1169)&gt;$M$3),0,1))</f>
        <v>0</v>
      </c>
      <c r="N1169">
        <f>IF(OR($N$1="",对接源_01水果!$C1169="",对接源_01水果!$C1169&lt;&gt;$N$1,对接源_01水果!$B1169=""),0,IF(OR(N(对接源_01水果!$B1169)&lt;$N$2,N(对接源_01水果!$B1169)&gt;$N$3),0,1))</f>
        <v>0</v>
      </c>
      <c r="P1169">
        <f>IF(AND($K1169=1,AND(对接源_01水果!$X1169="公司筐",N(对接源_01水果!$T1169)&lt;&gt;0)),1,0)</f>
        <v>0</v>
      </c>
      <c r="Q1169">
        <f>N(Q1168)+$P1169</f>
        <v>0</v>
      </c>
      <c r="R1169">
        <f>IF(AND($K1169=1,AND(对接源_01水果!$X1169="公司筐",N(对接源_01水果!$U1169)&lt;&gt;0)),1,0)</f>
        <v>0</v>
      </c>
      <c r="S1169">
        <f>N(S1168)+$R1169</f>
        <v>0</v>
      </c>
      <c r="T1169">
        <f>IF(AND($K1169=1,AND(对接源_01水果!$X1169="公司筐",N(对接源_01水果!$V1169)&lt;&gt;0)),1,0)</f>
        <v>0</v>
      </c>
      <c r="U1169">
        <f>N(U1168)+$T1169</f>
        <v>47</v>
      </c>
      <c r="V1169">
        <f>IF(AND($L1169=1,AND(对接源_01水果!$X1169="自备筐",N(对接源_01水果!$V1169)&lt;&gt;0)),1,0)</f>
        <v>0</v>
      </c>
      <c r="W1169">
        <f>N(W1168)+$V1169</f>
        <v>11</v>
      </c>
      <c r="X1169">
        <f>IF(AND($L1169=1,AND(对接源_01水果!$X1169="自备筐",N(对接源_01水果!$T1169)&lt;&gt;0)),1,0)</f>
        <v>0</v>
      </c>
      <c r="Y1169">
        <f>N(Y1168)+$X1169</f>
        <v>0</v>
      </c>
      <c r="Z1169">
        <f>IF(AND($M1169=1,对接源_01水果!$D1169="原料入库"),1,0)</f>
        <v>0</v>
      </c>
      <c r="AA1169">
        <f>N(AA1168)+$Z1169</f>
        <v>24</v>
      </c>
      <c r="AB1169">
        <f>IF(AND($M1169=1,LEFT(对接源_01水果!$D1169,4)="原料出库"),1,0)</f>
        <v>0</v>
      </c>
      <c r="AC1169">
        <f>N(AC1168)+$AB1169</f>
        <v>0</v>
      </c>
      <c r="AD1169">
        <f>IF(AND($M1169=1,LEFT(对接源_01水果!$D1169,4)="成品出库"),1,0)</f>
        <v>0</v>
      </c>
      <c r="AE1169">
        <f>N(AE1168)+$AD1169</f>
        <v>0</v>
      </c>
      <c r="AF1169">
        <f>IF(AND($N1169=1,AND(LEFT(对接源_01水果!$D1169,4)="包装物料",N(对接源_01水果!$K1169)&lt;&gt;0)),1,0)</f>
        <v>0</v>
      </c>
      <c r="AG1169">
        <f>N(AG1168)+$AF1169</f>
        <v>0</v>
      </c>
      <c r="AH1169">
        <f>IF(AND($N1169=1,AND(对接源_01水果!$D1169="周转筐－销售出库",N(对接源_01水果!$K1169)&lt;&gt;0)),1,0)</f>
        <v>0</v>
      </c>
      <c r="AI1169">
        <f>N(AI1168)+$AH1169</f>
        <v>0</v>
      </c>
      <c r="AJ1169" s="7" t="n"/>
      <c r="AL1169">
        <f>IF(OR($AL$1="",对接源_01水果!$Y1169="",对接源_01水果!$Y1169&lt;&gt;$AL$1,对接源_01水果!$B1169="",N(对接源_01水果!$AJ1169)&lt;=0),0,IF(OR(N(对接源_01水果!$B1169)&lt;$AL$2,N(对接源_01水果!$B1169)&gt;$AL$3),0,1))</f>
        <v>0</v>
      </c>
      <c r="AM1169">
        <f>N(AM1168)+$AL1169</f>
        <v>2</v>
      </c>
      <c r="AN1169">
        <f>IF(对接源_01水果!$AC1169="","",对接源_01水果!$AC1169)</f>
      </c>
      <c r="AO1169">
        <f>IF(AN1169="",0,IF(MATCH(AN1169,$AN$4:$AN$1203,0)=ROW()-3,1,0))</f>
        <v>0</v>
      </c>
      <c r="AP1169">
        <f>N(AP1168)+$AO1169</f>
        <v>13</v>
      </c>
      <c r="AR1169">
        <f>IF(OR($AF1169=1,$AH1169=1),1,0)</f>
        <v>0</v>
      </c>
      <c r="AS1169">
        <f>N(AS1168)+$AR1169</f>
        <v>0</v>
      </c>
    </row>
    <row r="1170" ht="14.25" customHeight="1" s="127">
      <c r="A1170">
        <f>IF(对接源_01水果!$C1170="","",对接源_01水果!$C1170)</f>
      </c>
      <c r="B1170">
        <f>IF(A1170="",0,IF(MATCH(A1170,$A$4:$A$2403,0)=ROW()-3,1,0))</f>
        <v>0</v>
      </c>
      <c r="C1170">
        <f>N(C1169)+B1170</f>
        <v>22</v>
      </c>
      <c r="K1170">
        <f>IF(OR($K$1="",对接源_01水果!$C1170="",对接源_01水果!$C1170&lt;&gt;$K$1,对接源_01水果!$B1170=""),0,IF(OR(N(对接源_01水果!$B1170)&lt;$K$2,N(对接源_01水果!$B1170)&gt;$K$3),0,1))</f>
        <v>0</v>
      </c>
      <c r="L1170">
        <f>IF(OR($L$1="",对接源_01水果!$C1170="",对接源_01水果!$C1170&lt;&gt;$L$1,对接源_01水果!$B1170=""),0,IF(OR(N(对接源_01水果!$B1170)&lt;$L$2,N(对接源_01水果!$B1170)&gt;$L$3),0,1))</f>
        <v>0</v>
      </c>
      <c r="M1170">
        <f>IF(OR($M$1="",对接源_01水果!$C1170="",对接源_01水果!$C1170&lt;&gt;$M$1,对接源_01水果!$B1170=""),0,IF(OR(N(对接源_01水果!$B1170)&lt;$M$2,N(对接源_01水果!$B1170)&gt;$M$3),0,1))</f>
        <v>0</v>
      </c>
      <c r="N1170">
        <f>IF(OR($N$1="",对接源_01水果!$C1170="",对接源_01水果!$C1170&lt;&gt;$N$1,对接源_01水果!$B1170=""),0,IF(OR(N(对接源_01水果!$B1170)&lt;$N$2,N(对接源_01水果!$B1170)&gt;$N$3),0,1))</f>
        <v>0</v>
      </c>
      <c r="P1170">
        <f>IF(AND($K1170=1,AND(对接源_01水果!$X1170="公司筐",N(对接源_01水果!$T1170)&lt;&gt;0)),1,0)</f>
        <v>0</v>
      </c>
      <c r="Q1170">
        <f>N(Q1169)+$P1170</f>
        <v>0</v>
      </c>
      <c r="R1170">
        <f>IF(AND($K1170=1,AND(对接源_01水果!$X1170="公司筐",N(对接源_01水果!$U1170)&lt;&gt;0)),1,0)</f>
        <v>0</v>
      </c>
      <c r="S1170">
        <f>N(S1169)+$R1170</f>
        <v>0</v>
      </c>
      <c r="T1170">
        <f>IF(AND($K1170=1,AND(对接源_01水果!$X1170="公司筐",N(对接源_01水果!$V1170)&lt;&gt;0)),1,0)</f>
        <v>0</v>
      </c>
      <c r="U1170">
        <f>N(U1169)+$T1170</f>
        <v>47</v>
      </c>
      <c r="V1170">
        <f>IF(AND($L1170=1,AND(对接源_01水果!$X1170="自备筐",N(对接源_01水果!$V1170)&lt;&gt;0)),1,0)</f>
        <v>0</v>
      </c>
      <c r="W1170">
        <f>N(W1169)+$V1170</f>
        <v>11</v>
      </c>
      <c r="X1170">
        <f>IF(AND($L1170=1,AND(对接源_01水果!$X1170="自备筐",N(对接源_01水果!$T1170)&lt;&gt;0)),1,0)</f>
        <v>0</v>
      </c>
      <c r="Y1170">
        <f>N(Y1169)+$X1170</f>
        <v>0</v>
      </c>
      <c r="Z1170">
        <f>IF(AND($M1170=1,对接源_01水果!$D1170="原料入库"),1,0)</f>
        <v>0</v>
      </c>
      <c r="AA1170">
        <f>N(AA1169)+$Z1170</f>
        <v>24</v>
      </c>
      <c r="AB1170">
        <f>IF(AND($M1170=1,LEFT(对接源_01水果!$D1170,4)="原料出库"),1,0)</f>
        <v>0</v>
      </c>
      <c r="AC1170">
        <f>N(AC1169)+$AB1170</f>
        <v>0</v>
      </c>
      <c r="AD1170">
        <f>IF(AND($M1170=1,LEFT(对接源_01水果!$D1170,4)="成品出库"),1,0)</f>
        <v>0</v>
      </c>
      <c r="AE1170">
        <f>N(AE1169)+$AD1170</f>
        <v>0</v>
      </c>
      <c r="AF1170">
        <f>IF(AND($N1170=1,AND(LEFT(对接源_01水果!$D1170,4)="包装物料",N(对接源_01水果!$K1170)&lt;&gt;0)),1,0)</f>
        <v>0</v>
      </c>
      <c r="AG1170">
        <f>N(AG1169)+$AF1170</f>
        <v>0</v>
      </c>
      <c r="AH1170">
        <f>IF(AND($N1170=1,AND(对接源_01水果!$D1170="周转筐－销售出库",N(对接源_01水果!$K1170)&lt;&gt;0)),1,0)</f>
        <v>0</v>
      </c>
      <c r="AI1170">
        <f>N(AI1169)+$AH1170</f>
        <v>0</v>
      </c>
      <c r="AJ1170" s="7" t="n"/>
      <c r="AL1170">
        <f>IF(OR($AL$1="",对接源_01水果!$Y1170="",对接源_01水果!$Y1170&lt;&gt;$AL$1,对接源_01水果!$B1170="",N(对接源_01水果!$AJ1170)&lt;=0),0,IF(OR(N(对接源_01水果!$B1170)&lt;$AL$2,N(对接源_01水果!$B1170)&gt;$AL$3),0,1))</f>
        <v>0</v>
      </c>
      <c r="AM1170">
        <f>N(AM1169)+$AL1170</f>
        <v>2</v>
      </c>
      <c r="AN1170">
        <f>IF(对接源_01水果!$AC1170="","",对接源_01水果!$AC1170)</f>
      </c>
      <c r="AO1170">
        <f>IF(AN1170="",0,IF(MATCH(AN1170,$AN$4:$AN$1203,0)=ROW()-3,1,0))</f>
        <v>0</v>
      </c>
      <c r="AP1170">
        <f>N(AP1169)+$AO1170</f>
        <v>13</v>
      </c>
      <c r="AR1170">
        <f>IF(OR($AF1170=1,$AH1170=1),1,0)</f>
        <v>0</v>
      </c>
      <c r="AS1170">
        <f>N(AS1169)+$AR1170</f>
        <v>0</v>
      </c>
    </row>
    <row r="1171" ht="14.25" customHeight="1" s="127">
      <c r="A1171">
        <f>IF(对接源_01水果!$C1171="","",对接源_01水果!$C1171)</f>
      </c>
      <c r="B1171">
        <f>IF(A1171="",0,IF(MATCH(A1171,$A$4:$A$2403,0)=ROW()-3,1,0))</f>
        <v>0</v>
      </c>
      <c r="C1171">
        <f>N(C1170)+B1171</f>
        <v>22</v>
      </c>
      <c r="K1171">
        <f>IF(OR($K$1="",对接源_01水果!$C1171="",对接源_01水果!$C1171&lt;&gt;$K$1,对接源_01水果!$B1171=""),0,IF(OR(N(对接源_01水果!$B1171)&lt;$K$2,N(对接源_01水果!$B1171)&gt;$K$3),0,1))</f>
        <v>0</v>
      </c>
      <c r="L1171">
        <f>IF(OR($L$1="",对接源_01水果!$C1171="",对接源_01水果!$C1171&lt;&gt;$L$1,对接源_01水果!$B1171=""),0,IF(OR(N(对接源_01水果!$B1171)&lt;$L$2,N(对接源_01水果!$B1171)&gt;$L$3),0,1))</f>
        <v>0</v>
      </c>
      <c r="M1171">
        <f>IF(OR($M$1="",对接源_01水果!$C1171="",对接源_01水果!$C1171&lt;&gt;$M$1,对接源_01水果!$B1171=""),0,IF(OR(N(对接源_01水果!$B1171)&lt;$M$2,N(对接源_01水果!$B1171)&gt;$M$3),0,1))</f>
        <v>0</v>
      </c>
      <c r="N1171">
        <f>IF(OR($N$1="",对接源_01水果!$C1171="",对接源_01水果!$C1171&lt;&gt;$N$1,对接源_01水果!$B1171=""),0,IF(OR(N(对接源_01水果!$B1171)&lt;$N$2,N(对接源_01水果!$B1171)&gt;$N$3),0,1))</f>
        <v>0</v>
      </c>
      <c r="P1171">
        <f>IF(AND($K1171=1,AND(对接源_01水果!$X1171="公司筐",N(对接源_01水果!$T1171)&lt;&gt;0)),1,0)</f>
        <v>0</v>
      </c>
      <c r="Q1171">
        <f>N(Q1170)+$P1171</f>
        <v>0</v>
      </c>
      <c r="R1171">
        <f>IF(AND($K1171=1,AND(对接源_01水果!$X1171="公司筐",N(对接源_01水果!$U1171)&lt;&gt;0)),1,0)</f>
        <v>0</v>
      </c>
      <c r="S1171">
        <f>N(S1170)+$R1171</f>
        <v>0</v>
      </c>
      <c r="T1171">
        <f>IF(AND($K1171=1,AND(对接源_01水果!$X1171="公司筐",N(对接源_01水果!$V1171)&lt;&gt;0)),1,0)</f>
        <v>0</v>
      </c>
      <c r="U1171">
        <f>N(U1170)+$T1171</f>
        <v>47</v>
      </c>
      <c r="V1171">
        <f>IF(AND($L1171=1,AND(对接源_01水果!$X1171="自备筐",N(对接源_01水果!$V1171)&lt;&gt;0)),1,0)</f>
        <v>0</v>
      </c>
      <c r="W1171">
        <f>N(W1170)+$V1171</f>
        <v>11</v>
      </c>
      <c r="X1171">
        <f>IF(AND($L1171=1,AND(对接源_01水果!$X1171="自备筐",N(对接源_01水果!$T1171)&lt;&gt;0)),1,0)</f>
        <v>0</v>
      </c>
      <c r="Y1171">
        <f>N(Y1170)+$X1171</f>
        <v>0</v>
      </c>
      <c r="Z1171">
        <f>IF(AND($M1171=1,对接源_01水果!$D1171="原料入库"),1,0)</f>
        <v>0</v>
      </c>
      <c r="AA1171">
        <f>N(AA1170)+$Z1171</f>
        <v>24</v>
      </c>
      <c r="AB1171">
        <f>IF(AND($M1171=1,LEFT(对接源_01水果!$D1171,4)="原料出库"),1,0)</f>
        <v>0</v>
      </c>
      <c r="AC1171">
        <f>N(AC1170)+$AB1171</f>
        <v>0</v>
      </c>
      <c r="AD1171">
        <f>IF(AND($M1171=1,LEFT(对接源_01水果!$D1171,4)="成品出库"),1,0)</f>
        <v>0</v>
      </c>
      <c r="AE1171">
        <f>N(AE1170)+$AD1171</f>
        <v>0</v>
      </c>
      <c r="AF1171">
        <f>IF(AND($N1171=1,AND(LEFT(对接源_01水果!$D1171,4)="包装物料",N(对接源_01水果!$K1171)&lt;&gt;0)),1,0)</f>
        <v>0</v>
      </c>
      <c r="AG1171">
        <f>N(AG1170)+$AF1171</f>
        <v>0</v>
      </c>
      <c r="AH1171">
        <f>IF(AND($N1171=1,AND(对接源_01水果!$D1171="周转筐－销售出库",N(对接源_01水果!$K1171)&lt;&gt;0)),1,0)</f>
        <v>0</v>
      </c>
      <c r="AI1171">
        <f>N(AI1170)+$AH1171</f>
        <v>0</v>
      </c>
      <c r="AJ1171" s="7" t="n"/>
      <c r="AL1171">
        <f>IF(OR($AL$1="",对接源_01水果!$Y1171="",对接源_01水果!$Y1171&lt;&gt;$AL$1,对接源_01水果!$B1171="",N(对接源_01水果!$AJ1171)&lt;=0),0,IF(OR(N(对接源_01水果!$B1171)&lt;$AL$2,N(对接源_01水果!$B1171)&gt;$AL$3),0,1))</f>
        <v>0</v>
      </c>
      <c r="AM1171">
        <f>N(AM1170)+$AL1171</f>
        <v>2</v>
      </c>
      <c r="AN1171">
        <f>IF(对接源_01水果!$AC1171="","",对接源_01水果!$AC1171)</f>
      </c>
      <c r="AO1171">
        <f>IF(AN1171="",0,IF(MATCH(AN1171,$AN$4:$AN$1203,0)=ROW()-3,1,0))</f>
        <v>0</v>
      </c>
      <c r="AP1171">
        <f>N(AP1170)+$AO1171</f>
        <v>13</v>
      </c>
      <c r="AR1171">
        <f>IF(OR($AF1171=1,$AH1171=1),1,0)</f>
        <v>0</v>
      </c>
      <c r="AS1171">
        <f>N(AS1170)+$AR1171</f>
        <v>0</v>
      </c>
    </row>
    <row r="1172" ht="14.25" customHeight="1" s="127">
      <c r="A1172">
        <f>IF(对接源_01水果!$C1172="","",对接源_01水果!$C1172)</f>
      </c>
      <c r="B1172">
        <f>IF(A1172="",0,IF(MATCH(A1172,$A$4:$A$2403,0)=ROW()-3,1,0))</f>
        <v>0</v>
      </c>
      <c r="C1172">
        <f>N(C1171)+B1172</f>
        <v>22</v>
      </c>
      <c r="K1172">
        <f>IF(OR($K$1="",对接源_01水果!$C1172="",对接源_01水果!$C1172&lt;&gt;$K$1,对接源_01水果!$B1172=""),0,IF(OR(N(对接源_01水果!$B1172)&lt;$K$2,N(对接源_01水果!$B1172)&gt;$K$3),0,1))</f>
        <v>0</v>
      </c>
      <c r="L1172">
        <f>IF(OR($L$1="",对接源_01水果!$C1172="",对接源_01水果!$C1172&lt;&gt;$L$1,对接源_01水果!$B1172=""),0,IF(OR(N(对接源_01水果!$B1172)&lt;$L$2,N(对接源_01水果!$B1172)&gt;$L$3),0,1))</f>
        <v>0</v>
      </c>
      <c r="M1172">
        <f>IF(OR($M$1="",对接源_01水果!$C1172="",对接源_01水果!$C1172&lt;&gt;$M$1,对接源_01水果!$B1172=""),0,IF(OR(N(对接源_01水果!$B1172)&lt;$M$2,N(对接源_01水果!$B1172)&gt;$M$3),0,1))</f>
        <v>0</v>
      </c>
      <c r="N1172">
        <f>IF(OR($N$1="",对接源_01水果!$C1172="",对接源_01水果!$C1172&lt;&gt;$N$1,对接源_01水果!$B1172=""),0,IF(OR(N(对接源_01水果!$B1172)&lt;$N$2,N(对接源_01水果!$B1172)&gt;$N$3),0,1))</f>
        <v>0</v>
      </c>
      <c r="P1172">
        <f>IF(AND($K1172=1,AND(对接源_01水果!$X1172="公司筐",N(对接源_01水果!$T1172)&lt;&gt;0)),1,0)</f>
        <v>0</v>
      </c>
      <c r="Q1172">
        <f>N(Q1171)+$P1172</f>
        <v>0</v>
      </c>
      <c r="R1172">
        <f>IF(AND($K1172=1,AND(对接源_01水果!$X1172="公司筐",N(对接源_01水果!$U1172)&lt;&gt;0)),1,0)</f>
        <v>0</v>
      </c>
      <c r="S1172">
        <f>N(S1171)+$R1172</f>
        <v>0</v>
      </c>
      <c r="T1172">
        <f>IF(AND($K1172=1,AND(对接源_01水果!$X1172="公司筐",N(对接源_01水果!$V1172)&lt;&gt;0)),1,0)</f>
        <v>0</v>
      </c>
      <c r="U1172">
        <f>N(U1171)+$T1172</f>
        <v>47</v>
      </c>
      <c r="V1172">
        <f>IF(AND($L1172=1,AND(对接源_01水果!$X1172="自备筐",N(对接源_01水果!$V1172)&lt;&gt;0)),1,0)</f>
        <v>0</v>
      </c>
      <c r="W1172">
        <f>N(W1171)+$V1172</f>
        <v>11</v>
      </c>
      <c r="X1172">
        <f>IF(AND($L1172=1,AND(对接源_01水果!$X1172="自备筐",N(对接源_01水果!$T1172)&lt;&gt;0)),1,0)</f>
        <v>0</v>
      </c>
      <c r="Y1172">
        <f>N(Y1171)+$X1172</f>
        <v>0</v>
      </c>
      <c r="Z1172">
        <f>IF(AND($M1172=1,对接源_01水果!$D1172="原料入库"),1,0)</f>
        <v>0</v>
      </c>
      <c r="AA1172">
        <f>N(AA1171)+$Z1172</f>
        <v>24</v>
      </c>
      <c r="AB1172">
        <f>IF(AND($M1172=1,LEFT(对接源_01水果!$D1172,4)="原料出库"),1,0)</f>
        <v>0</v>
      </c>
      <c r="AC1172">
        <f>N(AC1171)+$AB1172</f>
        <v>0</v>
      </c>
      <c r="AD1172">
        <f>IF(AND($M1172=1,LEFT(对接源_01水果!$D1172,4)="成品出库"),1,0)</f>
        <v>0</v>
      </c>
      <c r="AE1172">
        <f>N(AE1171)+$AD1172</f>
        <v>0</v>
      </c>
      <c r="AF1172">
        <f>IF(AND($N1172=1,AND(LEFT(对接源_01水果!$D1172,4)="包装物料",N(对接源_01水果!$K1172)&lt;&gt;0)),1,0)</f>
        <v>0</v>
      </c>
      <c r="AG1172">
        <f>N(AG1171)+$AF1172</f>
        <v>0</v>
      </c>
      <c r="AH1172">
        <f>IF(AND($N1172=1,AND(对接源_01水果!$D1172="周转筐－销售出库",N(对接源_01水果!$K1172)&lt;&gt;0)),1,0)</f>
        <v>0</v>
      </c>
      <c r="AI1172">
        <f>N(AI1171)+$AH1172</f>
        <v>0</v>
      </c>
      <c r="AJ1172" s="7" t="n"/>
      <c r="AL1172">
        <f>IF(OR($AL$1="",对接源_01水果!$Y1172="",对接源_01水果!$Y1172&lt;&gt;$AL$1,对接源_01水果!$B1172="",N(对接源_01水果!$AJ1172)&lt;=0),0,IF(OR(N(对接源_01水果!$B1172)&lt;$AL$2,N(对接源_01水果!$B1172)&gt;$AL$3),0,1))</f>
        <v>0</v>
      </c>
      <c r="AM1172">
        <f>N(AM1171)+$AL1172</f>
        <v>2</v>
      </c>
      <c r="AN1172">
        <f>IF(对接源_01水果!$AC1172="","",对接源_01水果!$AC1172)</f>
      </c>
      <c r="AO1172">
        <f>IF(AN1172="",0,IF(MATCH(AN1172,$AN$4:$AN$1203,0)=ROW()-3,1,0))</f>
        <v>0</v>
      </c>
      <c r="AP1172">
        <f>N(AP1171)+$AO1172</f>
        <v>13</v>
      </c>
      <c r="AR1172">
        <f>IF(OR($AF1172=1,$AH1172=1),1,0)</f>
        <v>0</v>
      </c>
      <c r="AS1172">
        <f>N(AS1171)+$AR1172</f>
        <v>0</v>
      </c>
    </row>
    <row r="1173" ht="14.25" customHeight="1" s="127">
      <c r="A1173">
        <f>IF(对接源_01水果!$C1173="","",对接源_01水果!$C1173)</f>
      </c>
      <c r="B1173">
        <f>IF(A1173="",0,IF(MATCH(A1173,$A$4:$A$2403,0)=ROW()-3,1,0))</f>
        <v>0</v>
      </c>
      <c r="C1173">
        <f>N(C1172)+B1173</f>
        <v>22</v>
      </c>
      <c r="K1173">
        <f>IF(OR($K$1="",对接源_01水果!$C1173="",对接源_01水果!$C1173&lt;&gt;$K$1,对接源_01水果!$B1173=""),0,IF(OR(N(对接源_01水果!$B1173)&lt;$K$2,N(对接源_01水果!$B1173)&gt;$K$3),0,1))</f>
        <v>0</v>
      </c>
      <c r="L1173">
        <f>IF(OR($L$1="",对接源_01水果!$C1173="",对接源_01水果!$C1173&lt;&gt;$L$1,对接源_01水果!$B1173=""),0,IF(OR(N(对接源_01水果!$B1173)&lt;$L$2,N(对接源_01水果!$B1173)&gt;$L$3),0,1))</f>
        <v>0</v>
      </c>
      <c r="M1173">
        <f>IF(OR($M$1="",对接源_01水果!$C1173="",对接源_01水果!$C1173&lt;&gt;$M$1,对接源_01水果!$B1173=""),0,IF(OR(N(对接源_01水果!$B1173)&lt;$M$2,N(对接源_01水果!$B1173)&gt;$M$3),0,1))</f>
        <v>0</v>
      </c>
      <c r="N1173">
        <f>IF(OR($N$1="",对接源_01水果!$C1173="",对接源_01水果!$C1173&lt;&gt;$N$1,对接源_01水果!$B1173=""),0,IF(OR(N(对接源_01水果!$B1173)&lt;$N$2,N(对接源_01水果!$B1173)&gt;$N$3),0,1))</f>
        <v>0</v>
      </c>
      <c r="P1173">
        <f>IF(AND($K1173=1,AND(对接源_01水果!$X1173="公司筐",N(对接源_01水果!$T1173)&lt;&gt;0)),1,0)</f>
        <v>0</v>
      </c>
      <c r="Q1173">
        <f>N(Q1172)+$P1173</f>
        <v>0</v>
      </c>
      <c r="R1173">
        <f>IF(AND($K1173=1,AND(对接源_01水果!$X1173="公司筐",N(对接源_01水果!$U1173)&lt;&gt;0)),1,0)</f>
        <v>0</v>
      </c>
      <c r="S1173">
        <f>N(S1172)+$R1173</f>
        <v>0</v>
      </c>
      <c r="T1173">
        <f>IF(AND($K1173=1,AND(对接源_01水果!$X1173="公司筐",N(对接源_01水果!$V1173)&lt;&gt;0)),1,0)</f>
        <v>0</v>
      </c>
      <c r="U1173">
        <f>N(U1172)+$T1173</f>
        <v>47</v>
      </c>
      <c r="V1173">
        <f>IF(AND($L1173=1,AND(对接源_01水果!$X1173="自备筐",N(对接源_01水果!$V1173)&lt;&gt;0)),1,0)</f>
        <v>0</v>
      </c>
      <c r="W1173">
        <f>N(W1172)+$V1173</f>
        <v>11</v>
      </c>
      <c r="X1173">
        <f>IF(AND($L1173=1,AND(对接源_01水果!$X1173="自备筐",N(对接源_01水果!$T1173)&lt;&gt;0)),1,0)</f>
        <v>0</v>
      </c>
      <c r="Y1173">
        <f>N(Y1172)+$X1173</f>
        <v>0</v>
      </c>
      <c r="Z1173">
        <f>IF(AND($M1173=1,对接源_01水果!$D1173="原料入库"),1,0)</f>
        <v>0</v>
      </c>
      <c r="AA1173">
        <f>N(AA1172)+$Z1173</f>
        <v>24</v>
      </c>
      <c r="AB1173">
        <f>IF(AND($M1173=1,LEFT(对接源_01水果!$D1173,4)="原料出库"),1,0)</f>
        <v>0</v>
      </c>
      <c r="AC1173">
        <f>N(AC1172)+$AB1173</f>
        <v>0</v>
      </c>
      <c r="AD1173">
        <f>IF(AND($M1173=1,LEFT(对接源_01水果!$D1173,4)="成品出库"),1,0)</f>
        <v>0</v>
      </c>
      <c r="AE1173">
        <f>N(AE1172)+$AD1173</f>
        <v>0</v>
      </c>
      <c r="AF1173">
        <f>IF(AND($N1173=1,AND(LEFT(对接源_01水果!$D1173,4)="包装物料",N(对接源_01水果!$K1173)&lt;&gt;0)),1,0)</f>
        <v>0</v>
      </c>
      <c r="AG1173">
        <f>N(AG1172)+$AF1173</f>
        <v>0</v>
      </c>
      <c r="AH1173">
        <f>IF(AND($N1173=1,AND(对接源_01水果!$D1173="周转筐－销售出库",N(对接源_01水果!$K1173)&lt;&gt;0)),1,0)</f>
        <v>0</v>
      </c>
      <c r="AI1173">
        <f>N(AI1172)+$AH1173</f>
        <v>0</v>
      </c>
      <c r="AJ1173" s="7" t="n"/>
      <c r="AL1173">
        <f>IF(OR($AL$1="",对接源_01水果!$Y1173="",对接源_01水果!$Y1173&lt;&gt;$AL$1,对接源_01水果!$B1173="",N(对接源_01水果!$AJ1173)&lt;=0),0,IF(OR(N(对接源_01水果!$B1173)&lt;$AL$2,N(对接源_01水果!$B1173)&gt;$AL$3),0,1))</f>
        <v>0</v>
      </c>
      <c r="AM1173">
        <f>N(AM1172)+$AL1173</f>
        <v>2</v>
      </c>
      <c r="AN1173">
        <f>IF(对接源_01水果!$AC1173="","",对接源_01水果!$AC1173)</f>
      </c>
      <c r="AO1173">
        <f>IF(AN1173="",0,IF(MATCH(AN1173,$AN$4:$AN$1203,0)=ROW()-3,1,0))</f>
        <v>0</v>
      </c>
      <c r="AP1173">
        <f>N(AP1172)+$AO1173</f>
        <v>13</v>
      </c>
      <c r="AR1173">
        <f>IF(OR($AF1173=1,$AH1173=1),1,0)</f>
        <v>0</v>
      </c>
      <c r="AS1173">
        <f>N(AS1172)+$AR1173</f>
        <v>0</v>
      </c>
    </row>
    <row r="1174" ht="14.25" customHeight="1" s="127">
      <c r="A1174">
        <f>IF(对接源_01水果!$C1174="","",对接源_01水果!$C1174)</f>
      </c>
      <c r="B1174">
        <f>IF(A1174="",0,IF(MATCH(A1174,$A$4:$A$2403,0)=ROW()-3,1,0))</f>
        <v>0</v>
      </c>
      <c r="C1174">
        <f>N(C1173)+B1174</f>
        <v>22</v>
      </c>
      <c r="K1174">
        <f>IF(OR($K$1="",对接源_01水果!$C1174="",对接源_01水果!$C1174&lt;&gt;$K$1,对接源_01水果!$B1174=""),0,IF(OR(N(对接源_01水果!$B1174)&lt;$K$2,N(对接源_01水果!$B1174)&gt;$K$3),0,1))</f>
        <v>0</v>
      </c>
      <c r="L1174">
        <f>IF(OR($L$1="",对接源_01水果!$C1174="",对接源_01水果!$C1174&lt;&gt;$L$1,对接源_01水果!$B1174=""),0,IF(OR(N(对接源_01水果!$B1174)&lt;$L$2,N(对接源_01水果!$B1174)&gt;$L$3),0,1))</f>
        <v>0</v>
      </c>
      <c r="M1174">
        <f>IF(OR($M$1="",对接源_01水果!$C1174="",对接源_01水果!$C1174&lt;&gt;$M$1,对接源_01水果!$B1174=""),0,IF(OR(N(对接源_01水果!$B1174)&lt;$M$2,N(对接源_01水果!$B1174)&gt;$M$3),0,1))</f>
        <v>0</v>
      </c>
      <c r="N1174">
        <f>IF(OR($N$1="",对接源_01水果!$C1174="",对接源_01水果!$C1174&lt;&gt;$N$1,对接源_01水果!$B1174=""),0,IF(OR(N(对接源_01水果!$B1174)&lt;$N$2,N(对接源_01水果!$B1174)&gt;$N$3),0,1))</f>
        <v>0</v>
      </c>
      <c r="P1174">
        <f>IF(AND($K1174=1,AND(对接源_01水果!$X1174="公司筐",N(对接源_01水果!$T1174)&lt;&gt;0)),1,0)</f>
        <v>0</v>
      </c>
      <c r="Q1174">
        <f>N(Q1173)+$P1174</f>
        <v>0</v>
      </c>
      <c r="R1174">
        <f>IF(AND($K1174=1,AND(对接源_01水果!$X1174="公司筐",N(对接源_01水果!$U1174)&lt;&gt;0)),1,0)</f>
        <v>0</v>
      </c>
      <c r="S1174">
        <f>N(S1173)+$R1174</f>
        <v>0</v>
      </c>
      <c r="T1174">
        <f>IF(AND($K1174=1,AND(对接源_01水果!$X1174="公司筐",N(对接源_01水果!$V1174)&lt;&gt;0)),1,0)</f>
        <v>0</v>
      </c>
      <c r="U1174">
        <f>N(U1173)+$T1174</f>
        <v>47</v>
      </c>
      <c r="V1174">
        <f>IF(AND($L1174=1,AND(对接源_01水果!$X1174="自备筐",N(对接源_01水果!$V1174)&lt;&gt;0)),1,0)</f>
        <v>0</v>
      </c>
      <c r="W1174">
        <f>N(W1173)+$V1174</f>
        <v>11</v>
      </c>
      <c r="X1174">
        <f>IF(AND($L1174=1,AND(对接源_01水果!$X1174="自备筐",N(对接源_01水果!$T1174)&lt;&gt;0)),1,0)</f>
        <v>0</v>
      </c>
      <c r="Y1174">
        <f>N(Y1173)+$X1174</f>
        <v>0</v>
      </c>
      <c r="Z1174">
        <f>IF(AND($M1174=1,对接源_01水果!$D1174="原料入库"),1,0)</f>
        <v>0</v>
      </c>
      <c r="AA1174">
        <f>N(AA1173)+$Z1174</f>
        <v>24</v>
      </c>
      <c r="AB1174">
        <f>IF(AND($M1174=1,LEFT(对接源_01水果!$D1174,4)="原料出库"),1,0)</f>
        <v>0</v>
      </c>
      <c r="AC1174">
        <f>N(AC1173)+$AB1174</f>
        <v>0</v>
      </c>
      <c r="AD1174">
        <f>IF(AND($M1174=1,LEFT(对接源_01水果!$D1174,4)="成品出库"),1,0)</f>
        <v>0</v>
      </c>
      <c r="AE1174">
        <f>N(AE1173)+$AD1174</f>
        <v>0</v>
      </c>
      <c r="AF1174">
        <f>IF(AND($N1174=1,AND(LEFT(对接源_01水果!$D1174,4)="包装物料",N(对接源_01水果!$K1174)&lt;&gt;0)),1,0)</f>
        <v>0</v>
      </c>
      <c r="AG1174">
        <f>N(AG1173)+$AF1174</f>
        <v>0</v>
      </c>
      <c r="AH1174">
        <f>IF(AND($N1174=1,AND(对接源_01水果!$D1174="周转筐－销售出库",N(对接源_01水果!$K1174)&lt;&gt;0)),1,0)</f>
        <v>0</v>
      </c>
      <c r="AI1174">
        <f>N(AI1173)+$AH1174</f>
        <v>0</v>
      </c>
      <c r="AJ1174" s="7" t="n"/>
      <c r="AL1174">
        <f>IF(OR($AL$1="",对接源_01水果!$Y1174="",对接源_01水果!$Y1174&lt;&gt;$AL$1,对接源_01水果!$B1174="",N(对接源_01水果!$AJ1174)&lt;=0),0,IF(OR(N(对接源_01水果!$B1174)&lt;$AL$2,N(对接源_01水果!$B1174)&gt;$AL$3),0,1))</f>
        <v>0</v>
      </c>
      <c r="AM1174">
        <f>N(AM1173)+$AL1174</f>
        <v>2</v>
      </c>
      <c r="AN1174">
        <f>IF(对接源_01水果!$AC1174="","",对接源_01水果!$AC1174)</f>
      </c>
      <c r="AO1174">
        <f>IF(AN1174="",0,IF(MATCH(AN1174,$AN$4:$AN$1203,0)=ROW()-3,1,0))</f>
        <v>0</v>
      </c>
      <c r="AP1174">
        <f>N(AP1173)+$AO1174</f>
        <v>13</v>
      </c>
      <c r="AR1174">
        <f>IF(OR($AF1174=1,$AH1174=1),1,0)</f>
        <v>0</v>
      </c>
      <c r="AS1174">
        <f>N(AS1173)+$AR1174</f>
        <v>0</v>
      </c>
    </row>
    <row r="1175" ht="14.25" customHeight="1" s="127">
      <c r="A1175">
        <f>IF(对接源_01水果!$C1175="","",对接源_01水果!$C1175)</f>
      </c>
      <c r="B1175">
        <f>IF(A1175="",0,IF(MATCH(A1175,$A$4:$A$2403,0)=ROW()-3,1,0))</f>
        <v>0</v>
      </c>
      <c r="C1175">
        <f>N(C1174)+B1175</f>
        <v>22</v>
      </c>
      <c r="K1175">
        <f>IF(OR($K$1="",对接源_01水果!$C1175="",对接源_01水果!$C1175&lt;&gt;$K$1,对接源_01水果!$B1175=""),0,IF(OR(N(对接源_01水果!$B1175)&lt;$K$2,N(对接源_01水果!$B1175)&gt;$K$3),0,1))</f>
        <v>0</v>
      </c>
      <c r="L1175">
        <f>IF(OR($L$1="",对接源_01水果!$C1175="",对接源_01水果!$C1175&lt;&gt;$L$1,对接源_01水果!$B1175=""),0,IF(OR(N(对接源_01水果!$B1175)&lt;$L$2,N(对接源_01水果!$B1175)&gt;$L$3),0,1))</f>
        <v>0</v>
      </c>
      <c r="M1175">
        <f>IF(OR($M$1="",对接源_01水果!$C1175="",对接源_01水果!$C1175&lt;&gt;$M$1,对接源_01水果!$B1175=""),0,IF(OR(N(对接源_01水果!$B1175)&lt;$M$2,N(对接源_01水果!$B1175)&gt;$M$3),0,1))</f>
        <v>0</v>
      </c>
      <c r="N1175">
        <f>IF(OR($N$1="",对接源_01水果!$C1175="",对接源_01水果!$C1175&lt;&gt;$N$1,对接源_01水果!$B1175=""),0,IF(OR(N(对接源_01水果!$B1175)&lt;$N$2,N(对接源_01水果!$B1175)&gt;$N$3),0,1))</f>
        <v>0</v>
      </c>
      <c r="P1175">
        <f>IF(AND($K1175=1,AND(对接源_01水果!$X1175="公司筐",N(对接源_01水果!$T1175)&lt;&gt;0)),1,0)</f>
        <v>0</v>
      </c>
      <c r="Q1175">
        <f>N(Q1174)+$P1175</f>
        <v>0</v>
      </c>
      <c r="R1175">
        <f>IF(AND($K1175=1,AND(对接源_01水果!$X1175="公司筐",N(对接源_01水果!$U1175)&lt;&gt;0)),1,0)</f>
        <v>0</v>
      </c>
      <c r="S1175">
        <f>N(S1174)+$R1175</f>
        <v>0</v>
      </c>
      <c r="T1175">
        <f>IF(AND($K1175=1,AND(对接源_01水果!$X1175="公司筐",N(对接源_01水果!$V1175)&lt;&gt;0)),1,0)</f>
        <v>0</v>
      </c>
      <c r="U1175">
        <f>N(U1174)+$T1175</f>
        <v>47</v>
      </c>
      <c r="V1175">
        <f>IF(AND($L1175=1,AND(对接源_01水果!$X1175="自备筐",N(对接源_01水果!$V1175)&lt;&gt;0)),1,0)</f>
        <v>0</v>
      </c>
      <c r="W1175">
        <f>N(W1174)+$V1175</f>
        <v>11</v>
      </c>
      <c r="X1175">
        <f>IF(AND($L1175=1,AND(对接源_01水果!$X1175="自备筐",N(对接源_01水果!$T1175)&lt;&gt;0)),1,0)</f>
        <v>0</v>
      </c>
      <c r="Y1175">
        <f>N(Y1174)+$X1175</f>
        <v>0</v>
      </c>
      <c r="Z1175">
        <f>IF(AND($M1175=1,对接源_01水果!$D1175="原料入库"),1,0)</f>
        <v>0</v>
      </c>
      <c r="AA1175">
        <f>N(AA1174)+$Z1175</f>
        <v>24</v>
      </c>
      <c r="AB1175">
        <f>IF(AND($M1175=1,LEFT(对接源_01水果!$D1175,4)="原料出库"),1,0)</f>
        <v>0</v>
      </c>
      <c r="AC1175">
        <f>N(AC1174)+$AB1175</f>
        <v>0</v>
      </c>
      <c r="AD1175">
        <f>IF(AND($M1175=1,LEFT(对接源_01水果!$D1175,4)="成品出库"),1,0)</f>
        <v>0</v>
      </c>
      <c r="AE1175">
        <f>N(AE1174)+$AD1175</f>
        <v>0</v>
      </c>
      <c r="AF1175">
        <f>IF(AND($N1175=1,AND(LEFT(对接源_01水果!$D1175,4)="包装物料",N(对接源_01水果!$K1175)&lt;&gt;0)),1,0)</f>
        <v>0</v>
      </c>
      <c r="AG1175">
        <f>N(AG1174)+$AF1175</f>
        <v>0</v>
      </c>
      <c r="AH1175">
        <f>IF(AND($N1175=1,AND(对接源_01水果!$D1175="周转筐－销售出库",N(对接源_01水果!$K1175)&lt;&gt;0)),1,0)</f>
        <v>0</v>
      </c>
      <c r="AI1175">
        <f>N(AI1174)+$AH1175</f>
        <v>0</v>
      </c>
      <c r="AJ1175" s="7" t="n"/>
      <c r="AL1175">
        <f>IF(OR($AL$1="",对接源_01水果!$Y1175="",对接源_01水果!$Y1175&lt;&gt;$AL$1,对接源_01水果!$B1175="",N(对接源_01水果!$AJ1175)&lt;=0),0,IF(OR(N(对接源_01水果!$B1175)&lt;$AL$2,N(对接源_01水果!$B1175)&gt;$AL$3),0,1))</f>
        <v>0</v>
      </c>
      <c r="AM1175">
        <f>N(AM1174)+$AL1175</f>
        <v>2</v>
      </c>
      <c r="AN1175">
        <f>IF(对接源_01水果!$AC1175="","",对接源_01水果!$AC1175)</f>
      </c>
      <c r="AO1175">
        <f>IF(AN1175="",0,IF(MATCH(AN1175,$AN$4:$AN$1203,0)=ROW()-3,1,0))</f>
        <v>0</v>
      </c>
      <c r="AP1175">
        <f>N(AP1174)+$AO1175</f>
        <v>13</v>
      </c>
      <c r="AR1175">
        <f>IF(OR($AF1175=1,$AH1175=1),1,0)</f>
        <v>0</v>
      </c>
      <c r="AS1175">
        <f>N(AS1174)+$AR1175</f>
        <v>0</v>
      </c>
    </row>
    <row r="1176" ht="14.25" customHeight="1" s="127">
      <c r="A1176">
        <f>IF(对接源_01水果!$C1176="","",对接源_01水果!$C1176)</f>
      </c>
      <c r="B1176">
        <f>IF(A1176="",0,IF(MATCH(A1176,$A$4:$A$2403,0)=ROW()-3,1,0))</f>
        <v>0</v>
      </c>
      <c r="C1176">
        <f>N(C1175)+B1176</f>
        <v>22</v>
      </c>
      <c r="K1176">
        <f>IF(OR($K$1="",对接源_01水果!$C1176="",对接源_01水果!$C1176&lt;&gt;$K$1,对接源_01水果!$B1176=""),0,IF(OR(N(对接源_01水果!$B1176)&lt;$K$2,N(对接源_01水果!$B1176)&gt;$K$3),0,1))</f>
        <v>0</v>
      </c>
      <c r="L1176">
        <f>IF(OR($L$1="",对接源_01水果!$C1176="",对接源_01水果!$C1176&lt;&gt;$L$1,对接源_01水果!$B1176=""),0,IF(OR(N(对接源_01水果!$B1176)&lt;$L$2,N(对接源_01水果!$B1176)&gt;$L$3),0,1))</f>
        <v>0</v>
      </c>
      <c r="M1176">
        <f>IF(OR($M$1="",对接源_01水果!$C1176="",对接源_01水果!$C1176&lt;&gt;$M$1,对接源_01水果!$B1176=""),0,IF(OR(N(对接源_01水果!$B1176)&lt;$M$2,N(对接源_01水果!$B1176)&gt;$M$3),0,1))</f>
        <v>0</v>
      </c>
      <c r="N1176">
        <f>IF(OR($N$1="",对接源_01水果!$C1176="",对接源_01水果!$C1176&lt;&gt;$N$1,对接源_01水果!$B1176=""),0,IF(OR(N(对接源_01水果!$B1176)&lt;$N$2,N(对接源_01水果!$B1176)&gt;$N$3),0,1))</f>
        <v>0</v>
      </c>
      <c r="P1176">
        <f>IF(AND($K1176=1,AND(对接源_01水果!$X1176="公司筐",N(对接源_01水果!$T1176)&lt;&gt;0)),1,0)</f>
        <v>0</v>
      </c>
      <c r="Q1176">
        <f>N(Q1175)+$P1176</f>
        <v>0</v>
      </c>
      <c r="R1176">
        <f>IF(AND($K1176=1,AND(对接源_01水果!$X1176="公司筐",N(对接源_01水果!$U1176)&lt;&gt;0)),1,0)</f>
        <v>0</v>
      </c>
      <c r="S1176">
        <f>N(S1175)+$R1176</f>
        <v>0</v>
      </c>
      <c r="T1176">
        <f>IF(AND($K1176=1,AND(对接源_01水果!$X1176="公司筐",N(对接源_01水果!$V1176)&lt;&gt;0)),1,0)</f>
        <v>0</v>
      </c>
      <c r="U1176">
        <f>N(U1175)+$T1176</f>
        <v>47</v>
      </c>
      <c r="V1176">
        <f>IF(AND($L1176=1,AND(对接源_01水果!$X1176="自备筐",N(对接源_01水果!$V1176)&lt;&gt;0)),1,0)</f>
        <v>0</v>
      </c>
      <c r="W1176">
        <f>N(W1175)+$V1176</f>
        <v>11</v>
      </c>
      <c r="X1176">
        <f>IF(AND($L1176=1,AND(对接源_01水果!$X1176="自备筐",N(对接源_01水果!$T1176)&lt;&gt;0)),1,0)</f>
        <v>0</v>
      </c>
      <c r="Y1176">
        <f>N(Y1175)+$X1176</f>
        <v>0</v>
      </c>
      <c r="Z1176">
        <f>IF(AND($M1176=1,对接源_01水果!$D1176="原料入库"),1,0)</f>
        <v>0</v>
      </c>
      <c r="AA1176">
        <f>N(AA1175)+$Z1176</f>
        <v>24</v>
      </c>
      <c r="AB1176">
        <f>IF(AND($M1176=1,LEFT(对接源_01水果!$D1176,4)="原料出库"),1,0)</f>
        <v>0</v>
      </c>
      <c r="AC1176">
        <f>N(AC1175)+$AB1176</f>
        <v>0</v>
      </c>
      <c r="AD1176">
        <f>IF(AND($M1176=1,LEFT(对接源_01水果!$D1176,4)="成品出库"),1,0)</f>
        <v>0</v>
      </c>
      <c r="AE1176">
        <f>N(AE1175)+$AD1176</f>
        <v>0</v>
      </c>
      <c r="AF1176">
        <f>IF(AND($N1176=1,AND(LEFT(对接源_01水果!$D1176,4)="包装物料",N(对接源_01水果!$K1176)&lt;&gt;0)),1,0)</f>
        <v>0</v>
      </c>
      <c r="AG1176">
        <f>N(AG1175)+$AF1176</f>
        <v>0</v>
      </c>
      <c r="AH1176">
        <f>IF(AND($N1176=1,AND(对接源_01水果!$D1176="周转筐－销售出库",N(对接源_01水果!$K1176)&lt;&gt;0)),1,0)</f>
        <v>0</v>
      </c>
      <c r="AI1176">
        <f>N(AI1175)+$AH1176</f>
        <v>0</v>
      </c>
      <c r="AJ1176" s="7" t="n"/>
      <c r="AL1176">
        <f>IF(OR($AL$1="",对接源_01水果!$Y1176="",对接源_01水果!$Y1176&lt;&gt;$AL$1,对接源_01水果!$B1176="",N(对接源_01水果!$AJ1176)&lt;=0),0,IF(OR(N(对接源_01水果!$B1176)&lt;$AL$2,N(对接源_01水果!$B1176)&gt;$AL$3),0,1))</f>
        <v>0</v>
      </c>
      <c r="AM1176">
        <f>N(AM1175)+$AL1176</f>
        <v>2</v>
      </c>
      <c r="AN1176">
        <f>IF(对接源_01水果!$AC1176="","",对接源_01水果!$AC1176)</f>
      </c>
      <c r="AO1176">
        <f>IF(AN1176="",0,IF(MATCH(AN1176,$AN$4:$AN$1203,0)=ROW()-3,1,0))</f>
        <v>0</v>
      </c>
      <c r="AP1176">
        <f>N(AP1175)+$AO1176</f>
        <v>13</v>
      </c>
      <c r="AR1176">
        <f>IF(OR($AF1176=1,$AH1176=1),1,0)</f>
        <v>0</v>
      </c>
      <c r="AS1176">
        <f>N(AS1175)+$AR1176</f>
        <v>0</v>
      </c>
    </row>
    <row r="1177" ht="14.25" customHeight="1" s="127">
      <c r="A1177">
        <f>IF(对接源_01水果!$C1177="","",对接源_01水果!$C1177)</f>
      </c>
      <c r="B1177">
        <f>IF(A1177="",0,IF(MATCH(A1177,$A$4:$A$2403,0)=ROW()-3,1,0))</f>
        <v>0</v>
      </c>
      <c r="C1177">
        <f>N(C1176)+B1177</f>
        <v>22</v>
      </c>
      <c r="K1177">
        <f>IF(OR($K$1="",对接源_01水果!$C1177="",对接源_01水果!$C1177&lt;&gt;$K$1,对接源_01水果!$B1177=""),0,IF(OR(N(对接源_01水果!$B1177)&lt;$K$2,N(对接源_01水果!$B1177)&gt;$K$3),0,1))</f>
        <v>0</v>
      </c>
      <c r="L1177">
        <f>IF(OR($L$1="",对接源_01水果!$C1177="",对接源_01水果!$C1177&lt;&gt;$L$1,对接源_01水果!$B1177=""),0,IF(OR(N(对接源_01水果!$B1177)&lt;$L$2,N(对接源_01水果!$B1177)&gt;$L$3),0,1))</f>
        <v>0</v>
      </c>
      <c r="M1177">
        <f>IF(OR($M$1="",对接源_01水果!$C1177="",对接源_01水果!$C1177&lt;&gt;$M$1,对接源_01水果!$B1177=""),0,IF(OR(N(对接源_01水果!$B1177)&lt;$M$2,N(对接源_01水果!$B1177)&gt;$M$3),0,1))</f>
        <v>0</v>
      </c>
      <c r="N1177">
        <f>IF(OR($N$1="",对接源_01水果!$C1177="",对接源_01水果!$C1177&lt;&gt;$N$1,对接源_01水果!$B1177=""),0,IF(OR(N(对接源_01水果!$B1177)&lt;$N$2,N(对接源_01水果!$B1177)&gt;$N$3),0,1))</f>
        <v>0</v>
      </c>
      <c r="P1177">
        <f>IF(AND($K1177=1,AND(对接源_01水果!$X1177="公司筐",N(对接源_01水果!$T1177)&lt;&gt;0)),1,0)</f>
        <v>0</v>
      </c>
      <c r="Q1177">
        <f>N(Q1176)+$P1177</f>
        <v>0</v>
      </c>
      <c r="R1177">
        <f>IF(AND($K1177=1,AND(对接源_01水果!$X1177="公司筐",N(对接源_01水果!$U1177)&lt;&gt;0)),1,0)</f>
        <v>0</v>
      </c>
      <c r="S1177">
        <f>N(S1176)+$R1177</f>
        <v>0</v>
      </c>
      <c r="T1177">
        <f>IF(AND($K1177=1,AND(对接源_01水果!$X1177="公司筐",N(对接源_01水果!$V1177)&lt;&gt;0)),1,0)</f>
        <v>0</v>
      </c>
      <c r="U1177">
        <f>N(U1176)+$T1177</f>
        <v>47</v>
      </c>
      <c r="V1177">
        <f>IF(AND($L1177=1,AND(对接源_01水果!$X1177="自备筐",N(对接源_01水果!$V1177)&lt;&gt;0)),1,0)</f>
        <v>0</v>
      </c>
      <c r="W1177">
        <f>N(W1176)+$V1177</f>
        <v>11</v>
      </c>
      <c r="X1177">
        <f>IF(AND($L1177=1,AND(对接源_01水果!$X1177="自备筐",N(对接源_01水果!$T1177)&lt;&gt;0)),1,0)</f>
        <v>0</v>
      </c>
      <c r="Y1177">
        <f>N(Y1176)+$X1177</f>
        <v>0</v>
      </c>
      <c r="Z1177">
        <f>IF(AND($M1177=1,对接源_01水果!$D1177="原料入库"),1,0)</f>
        <v>0</v>
      </c>
      <c r="AA1177">
        <f>N(AA1176)+$Z1177</f>
        <v>24</v>
      </c>
      <c r="AB1177">
        <f>IF(AND($M1177=1,LEFT(对接源_01水果!$D1177,4)="原料出库"),1,0)</f>
        <v>0</v>
      </c>
      <c r="AC1177">
        <f>N(AC1176)+$AB1177</f>
        <v>0</v>
      </c>
      <c r="AD1177">
        <f>IF(AND($M1177=1,LEFT(对接源_01水果!$D1177,4)="成品出库"),1,0)</f>
        <v>0</v>
      </c>
      <c r="AE1177">
        <f>N(AE1176)+$AD1177</f>
        <v>0</v>
      </c>
      <c r="AF1177">
        <f>IF(AND($N1177=1,AND(LEFT(对接源_01水果!$D1177,4)="包装物料",N(对接源_01水果!$K1177)&lt;&gt;0)),1,0)</f>
        <v>0</v>
      </c>
      <c r="AG1177">
        <f>N(AG1176)+$AF1177</f>
        <v>0</v>
      </c>
      <c r="AH1177">
        <f>IF(AND($N1177=1,AND(对接源_01水果!$D1177="周转筐－销售出库",N(对接源_01水果!$K1177)&lt;&gt;0)),1,0)</f>
        <v>0</v>
      </c>
      <c r="AI1177">
        <f>N(AI1176)+$AH1177</f>
        <v>0</v>
      </c>
      <c r="AJ1177" s="7" t="n"/>
      <c r="AL1177">
        <f>IF(OR($AL$1="",对接源_01水果!$Y1177="",对接源_01水果!$Y1177&lt;&gt;$AL$1,对接源_01水果!$B1177="",N(对接源_01水果!$AJ1177)&lt;=0),0,IF(OR(N(对接源_01水果!$B1177)&lt;$AL$2,N(对接源_01水果!$B1177)&gt;$AL$3),0,1))</f>
        <v>0</v>
      </c>
      <c r="AM1177">
        <f>N(AM1176)+$AL1177</f>
        <v>2</v>
      </c>
      <c r="AN1177">
        <f>IF(对接源_01水果!$AC1177="","",对接源_01水果!$AC1177)</f>
      </c>
      <c r="AO1177">
        <f>IF(AN1177="",0,IF(MATCH(AN1177,$AN$4:$AN$1203,0)=ROW()-3,1,0))</f>
        <v>0</v>
      </c>
      <c r="AP1177">
        <f>N(AP1176)+$AO1177</f>
        <v>13</v>
      </c>
      <c r="AR1177">
        <f>IF(OR($AF1177=1,$AH1177=1),1,0)</f>
        <v>0</v>
      </c>
      <c r="AS1177">
        <f>N(AS1176)+$AR1177</f>
        <v>0</v>
      </c>
    </row>
    <row r="1178" ht="14.25" customHeight="1" s="127">
      <c r="A1178">
        <f>IF(对接源_01水果!$C1178="","",对接源_01水果!$C1178)</f>
      </c>
      <c r="B1178">
        <f>IF(A1178="",0,IF(MATCH(A1178,$A$4:$A$2403,0)=ROW()-3,1,0))</f>
        <v>0</v>
      </c>
      <c r="C1178">
        <f>N(C1177)+B1178</f>
        <v>22</v>
      </c>
      <c r="K1178">
        <f>IF(OR($K$1="",对接源_01水果!$C1178="",对接源_01水果!$C1178&lt;&gt;$K$1,对接源_01水果!$B1178=""),0,IF(OR(N(对接源_01水果!$B1178)&lt;$K$2,N(对接源_01水果!$B1178)&gt;$K$3),0,1))</f>
        <v>0</v>
      </c>
      <c r="L1178">
        <f>IF(OR($L$1="",对接源_01水果!$C1178="",对接源_01水果!$C1178&lt;&gt;$L$1,对接源_01水果!$B1178=""),0,IF(OR(N(对接源_01水果!$B1178)&lt;$L$2,N(对接源_01水果!$B1178)&gt;$L$3),0,1))</f>
        <v>0</v>
      </c>
      <c r="M1178">
        <f>IF(OR($M$1="",对接源_01水果!$C1178="",对接源_01水果!$C1178&lt;&gt;$M$1,对接源_01水果!$B1178=""),0,IF(OR(N(对接源_01水果!$B1178)&lt;$M$2,N(对接源_01水果!$B1178)&gt;$M$3),0,1))</f>
        <v>0</v>
      </c>
      <c r="N1178">
        <f>IF(OR($N$1="",对接源_01水果!$C1178="",对接源_01水果!$C1178&lt;&gt;$N$1,对接源_01水果!$B1178=""),0,IF(OR(N(对接源_01水果!$B1178)&lt;$N$2,N(对接源_01水果!$B1178)&gt;$N$3),0,1))</f>
        <v>0</v>
      </c>
      <c r="P1178">
        <f>IF(AND($K1178=1,AND(对接源_01水果!$X1178="公司筐",N(对接源_01水果!$T1178)&lt;&gt;0)),1,0)</f>
        <v>0</v>
      </c>
      <c r="Q1178">
        <f>N(Q1177)+$P1178</f>
        <v>0</v>
      </c>
      <c r="R1178">
        <f>IF(AND($K1178=1,AND(对接源_01水果!$X1178="公司筐",N(对接源_01水果!$U1178)&lt;&gt;0)),1,0)</f>
        <v>0</v>
      </c>
      <c r="S1178">
        <f>N(S1177)+$R1178</f>
        <v>0</v>
      </c>
      <c r="T1178">
        <f>IF(AND($K1178=1,AND(对接源_01水果!$X1178="公司筐",N(对接源_01水果!$V1178)&lt;&gt;0)),1,0)</f>
        <v>0</v>
      </c>
      <c r="U1178">
        <f>N(U1177)+$T1178</f>
        <v>47</v>
      </c>
      <c r="V1178">
        <f>IF(AND($L1178=1,AND(对接源_01水果!$X1178="自备筐",N(对接源_01水果!$V1178)&lt;&gt;0)),1,0)</f>
        <v>0</v>
      </c>
      <c r="W1178">
        <f>N(W1177)+$V1178</f>
        <v>11</v>
      </c>
      <c r="X1178">
        <f>IF(AND($L1178=1,AND(对接源_01水果!$X1178="自备筐",N(对接源_01水果!$T1178)&lt;&gt;0)),1,0)</f>
        <v>0</v>
      </c>
      <c r="Y1178">
        <f>N(Y1177)+$X1178</f>
        <v>0</v>
      </c>
      <c r="Z1178">
        <f>IF(AND($M1178=1,对接源_01水果!$D1178="原料入库"),1,0)</f>
        <v>0</v>
      </c>
      <c r="AA1178">
        <f>N(AA1177)+$Z1178</f>
        <v>24</v>
      </c>
      <c r="AB1178">
        <f>IF(AND($M1178=1,LEFT(对接源_01水果!$D1178,4)="原料出库"),1,0)</f>
        <v>0</v>
      </c>
      <c r="AC1178">
        <f>N(AC1177)+$AB1178</f>
        <v>0</v>
      </c>
      <c r="AD1178">
        <f>IF(AND($M1178=1,LEFT(对接源_01水果!$D1178,4)="成品出库"),1,0)</f>
        <v>0</v>
      </c>
      <c r="AE1178">
        <f>N(AE1177)+$AD1178</f>
        <v>0</v>
      </c>
      <c r="AF1178">
        <f>IF(AND($N1178=1,AND(LEFT(对接源_01水果!$D1178,4)="包装物料",N(对接源_01水果!$K1178)&lt;&gt;0)),1,0)</f>
        <v>0</v>
      </c>
      <c r="AG1178">
        <f>N(AG1177)+$AF1178</f>
        <v>0</v>
      </c>
      <c r="AH1178">
        <f>IF(AND($N1178=1,AND(对接源_01水果!$D1178="周转筐－销售出库",N(对接源_01水果!$K1178)&lt;&gt;0)),1,0)</f>
        <v>0</v>
      </c>
      <c r="AI1178">
        <f>N(AI1177)+$AH1178</f>
        <v>0</v>
      </c>
      <c r="AJ1178" s="7" t="n"/>
      <c r="AL1178">
        <f>IF(OR($AL$1="",对接源_01水果!$Y1178="",对接源_01水果!$Y1178&lt;&gt;$AL$1,对接源_01水果!$B1178="",N(对接源_01水果!$AJ1178)&lt;=0),0,IF(OR(N(对接源_01水果!$B1178)&lt;$AL$2,N(对接源_01水果!$B1178)&gt;$AL$3),0,1))</f>
        <v>0</v>
      </c>
      <c r="AM1178">
        <f>N(AM1177)+$AL1178</f>
        <v>2</v>
      </c>
      <c r="AN1178">
        <f>IF(对接源_01水果!$AC1178="","",对接源_01水果!$AC1178)</f>
      </c>
      <c r="AO1178">
        <f>IF(AN1178="",0,IF(MATCH(AN1178,$AN$4:$AN$1203,0)=ROW()-3,1,0))</f>
        <v>0</v>
      </c>
      <c r="AP1178">
        <f>N(AP1177)+$AO1178</f>
        <v>13</v>
      </c>
      <c r="AR1178">
        <f>IF(OR($AF1178=1,$AH1178=1),1,0)</f>
        <v>0</v>
      </c>
      <c r="AS1178">
        <f>N(AS1177)+$AR1178</f>
        <v>0</v>
      </c>
    </row>
    <row r="1179" ht="14.25" customHeight="1" s="127">
      <c r="A1179">
        <f>IF(对接源_01水果!$C1179="","",对接源_01水果!$C1179)</f>
      </c>
      <c r="B1179">
        <f>IF(A1179="",0,IF(MATCH(A1179,$A$4:$A$2403,0)=ROW()-3,1,0))</f>
        <v>0</v>
      </c>
      <c r="C1179">
        <f>N(C1178)+B1179</f>
        <v>22</v>
      </c>
      <c r="K1179">
        <f>IF(OR($K$1="",对接源_01水果!$C1179="",对接源_01水果!$C1179&lt;&gt;$K$1,对接源_01水果!$B1179=""),0,IF(OR(N(对接源_01水果!$B1179)&lt;$K$2,N(对接源_01水果!$B1179)&gt;$K$3),0,1))</f>
        <v>0</v>
      </c>
      <c r="L1179">
        <f>IF(OR($L$1="",对接源_01水果!$C1179="",对接源_01水果!$C1179&lt;&gt;$L$1,对接源_01水果!$B1179=""),0,IF(OR(N(对接源_01水果!$B1179)&lt;$L$2,N(对接源_01水果!$B1179)&gt;$L$3),0,1))</f>
        <v>0</v>
      </c>
      <c r="M1179">
        <f>IF(OR($M$1="",对接源_01水果!$C1179="",对接源_01水果!$C1179&lt;&gt;$M$1,对接源_01水果!$B1179=""),0,IF(OR(N(对接源_01水果!$B1179)&lt;$M$2,N(对接源_01水果!$B1179)&gt;$M$3),0,1))</f>
        <v>0</v>
      </c>
      <c r="N1179">
        <f>IF(OR($N$1="",对接源_01水果!$C1179="",对接源_01水果!$C1179&lt;&gt;$N$1,对接源_01水果!$B1179=""),0,IF(OR(N(对接源_01水果!$B1179)&lt;$N$2,N(对接源_01水果!$B1179)&gt;$N$3),0,1))</f>
        <v>0</v>
      </c>
      <c r="P1179">
        <f>IF(AND($K1179=1,AND(对接源_01水果!$X1179="公司筐",N(对接源_01水果!$T1179)&lt;&gt;0)),1,0)</f>
        <v>0</v>
      </c>
      <c r="Q1179">
        <f>N(Q1178)+$P1179</f>
        <v>0</v>
      </c>
      <c r="R1179">
        <f>IF(AND($K1179=1,AND(对接源_01水果!$X1179="公司筐",N(对接源_01水果!$U1179)&lt;&gt;0)),1,0)</f>
        <v>0</v>
      </c>
      <c r="S1179">
        <f>N(S1178)+$R1179</f>
        <v>0</v>
      </c>
      <c r="T1179">
        <f>IF(AND($K1179=1,AND(对接源_01水果!$X1179="公司筐",N(对接源_01水果!$V1179)&lt;&gt;0)),1,0)</f>
        <v>0</v>
      </c>
      <c r="U1179">
        <f>N(U1178)+$T1179</f>
        <v>47</v>
      </c>
      <c r="V1179">
        <f>IF(AND($L1179=1,AND(对接源_01水果!$X1179="自备筐",N(对接源_01水果!$V1179)&lt;&gt;0)),1,0)</f>
        <v>0</v>
      </c>
      <c r="W1179">
        <f>N(W1178)+$V1179</f>
        <v>11</v>
      </c>
      <c r="X1179">
        <f>IF(AND($L1179=1,AND(对接源_01水果!$X1179="自备筐",N(对接源_01水果!$T1179)&lt;&gt;0)),1,0)</f>
        <v>0</v>
      </c>
      <c r="Y1179">
        <f>N(Y1178)+$X1179</f>
        <v>0</v>
      </c>
      <c r="Z1179">
        <f>IF(AND($M1179=1,对接源_01水果!$D1179="原料入库"),1,0)</f>
        <v>0</v>
      </c>
      <c r="AA1179">
        <f>N(AA1178)+$Z1179</f>
        <v>24</v>
      </c>
      <c r="AB1179">
        <f>IF(AND($M1179=1,LEFT(对接源_01水果!$D1179,4)="原料出库"),1,0)</f>
        <v>0</v>
      </c>
      <c r="AC1179">
        <f>N(AC1178)+$AB1179</f>
        <v>0</v>
      </c>
      <c r="AD1179">
        <f>IF(AND($M1179=1,LEFT(对接源_01水果!$D1179,4)="成品出库"),1,0)</f>
        <v>0</v>
      </c>
      <c r="AE1179">
        <f>N(AE1178)+$AD1179</f>
        <v>0</v>
      </c>
      <c r="AF1179">
        <f>IF(AND($N1179=1,AND(LEFT(对接源_01水果!$D1179,4)="包装物料",N(对接源_01水果!$K1179)&lt;&gt;0)),1,0)</f>
        <v>0</v>
      </c>
      <c r="AG1179">
        <f>N(AG1178)+$AF1179</f>
        <v>0</v>
      </c>
      <c r="AH1179">
        <f>IF(AND($N1179=1,AND(对接源_01水果!$D1179="周转筐－销售出库",N(对接源_01水果!$K1179)&lt;&gt;0)),1,0)</f>
        <v>0</v>
      </c>
      <c r="AI1179">
        <f>N(AI1178)+$AH1179</f>
        <v>0</v>
      </c>
      <c r="AJ1179" s="7" t="n"/>
      <c r="AL1179">
        <f>IF(OR($AL$1="",对接源_01水果!$Y1179="",对接源_01水果!$Y1179&lt;&gt;$AL$1,对接源_01水果!$B1179="",N(对接源_01水果!$AJ1179)&lt;=0),0,IF(OR(N(对接源_01水果!$B1179)&lt;$AL$2,N(对接源_01水果!$B1179)&gt;$AL$3),0,1))</f>
        <v>0</v>
      </c>
      <c r="AM1179">
        <f>N(AM1178)+$AL1179</f>
        <v>2</v>
      </c>
      <c r="AN1179">
        <f>IF(对接源_01水果!$AC1179="","",对接源_01水果!$AC1179)</f>
      </c>
      <c r="AO1179">
        <f>IF(AN1179="",0,IF(MATCH(AN1179,$AN$4:$AN$1203,0)=ROW()-3,1,0))</f>
        <v>0</v>
      </c>
      <c r="AP1179">
        <f>N(AP1178)+$AO1179</f>
        <v>13</v>
      </c>
      <c r="AR1179">
        <f>IF(OR($AF1179=1,$AH1179=1),1,0)</f>
        <v>0</v>
      </c>
      <c r="AS1179">
        <f>N(AS1178)+$AR1179</f>
        <v>0</v>
      </c>
    </row>
    <row r="1180" ht="14.25" customHeight="1" s="127">
      <c r="A1180">
        <f>IF(对接源_01水果!$C1180="","",对接源_01水果!$C1180)</f>
      </c>
      <c r="B1180">
        <f>IF(A1180="",0,IF(MATCH(A1180,$A$4:$A$2403,0)=ROW()-3,1,0))</f>
        <v>0</v>
      </c>
      <c r="C1180">
        <f>N(C1179)+B1180</f>
        <v>22</v>
      </c>
      <c r="K1180">
        <f>IF(OR($K$1="",对接源_01水果!$C1180="",对接源_01水果!$C1180&lt;&gt;$K$1,对接源_01水果!$B1180=""),0,IF(OR(N(对接源_01水果!$B1180)&lt;$K$2,N(对接源_01水果!$B1180)&gt;$K$3),0,1))</f>
        <v>0</v>
      </c>
      <c r="L1180">
        <f>IF(OR($L$1="",对接源_01水果!$C1180="",对接源_01水果!$C1180&lt;&gt;$L$1,对接源_01水果!$B1180=""),0,IF(OR(N(对接源_01水果!$B1180)&lt;$L$2,N(对接源_01水果!$B1180)&gt;$L$3),0,1))</f>
        <v>0</v>
      </c>
      <c r="M1180">
        <f>IF(OR($M$1="",对接源_01水果!$C1180="",对接源_01水果!$C1180&lt;&gt;$M$1,对接源_01水果!$B1180=""),0,IF(OR(N(对接源_01水果!$B1180)&lt;$M$2,N(对接源_01水果!$B1180)&gt;$M$3),0,1))</f>
        <v>0</v>
      </c>
      <c r="N1180">
        <f>IF(OR($N$1="",对接源_01水果!$C1180="",对接源_01水果!$C1180&lt;&gt;$N$1,对接源_01水果!$B1180=""),0,IF(OR(N(对接源_01水果!$B1180)&lt;$N$2,N(对接源_01水果!$B1180)&gt;$N$3),0,1))</f>
        <v>0</v>
      </c>
      <c r="P1180">
        <f>IF(AND($K1180=1,AND(对接源_01水果!$X1180="公司筐",N(对接源_01水果!$T1180)&lt;&gt;0)),1,0)</f>
        <v>0</v>
      </c>
      <c r="Q1180">
        <f>N(Q1179)+$P1180</f>
        <v>0</v>
      </c>
      <c r="R1180">
        <f>IF(AND($K1180=1,AND(对接源_01水果!$X1180="公司筐",N(对接源_01水果!$U1180)&lt;&gt;0)),1,0)</f>
        <v>0</v>
      </c>
      <c r="S1180">
        <f>N(S1179)+$R1180</f>
        <v>0</v>
      </c>
      <c r="T1180">
        <f>IF(AND($K1180=1,AND(对接源_01水果!$X1180="公司筐",N(对接源_01水果!$V1180)&lt;&gt;0)),1,0)</f>
        <v>0</v>
      </c>
      <c r="U1180">
        <f>N(U1179)+$T1180</f>
        <v>47</v>
      </c>
      <c r="V1180">
        <f>IF(AND($L1180=1,AND(对接源_01水果!$X1180="自备筐",N(对接源_01水果!$V1180)&lt;&gt;0)),1,0)</f>
        <v>0</v>
      </c>
      <c r="W1180">
        <f>N(W1179)+$V1180</f>
        <v>11</v>
      </c>
      <c r="X1180">
        <f>IF(AND($L1180=1,AND(对接源_01水果!$X1180="自备筐",N(对接源_01水果!$T1180)&lt;&gt;0)),1,0)</f>
        <v>0</v>
      </c>
      <c r="Y1180">
        <f>N(Y1179)+$X1180</f>
        <v>0</v>
      </c>
      <c r="Z1180">
        <f>IF(AND($M1180=1,对接源_01水果!$D1180="原料入库"),1,0)</f>
        <v>0</v>
      </c>
      <c r="AA1180">
        <f>N(AA1179)+$Z1180</f>
        <v>24</v>
      </c>
      <c r="AB1180">
        <f>IF(AND($M1180=1,LEFT(对接源_01水果!$D1180,4)="原料出库"),1,0)</f>
        <v>0</v>
      </c>
      <c r="AC1180">
        <f>N(AC1179)+$AB1180</f>
        <v>0</v>
      </c>
      <c r="AD1180">
        <f>IF(AND($M1180=1,LEFT(对接源_01水果!$D1180,4)="成品出库"),1,0)</f>
        <v>0</v>
      </c>
      <c r="AE1180">
        <f>N(AE1179)+$AD1180</f>
        <v>0</v>
      </c>
      <c r="AF1180">
        <f>IF(AND($N1180=1,AND(LEFT(对接源_01水果!$D1180,4)="包装物料",N(对接源_01水果!$K1180)&lt;&gt;0)),1,0)</f>
        <v>0</v>
      </c>
      <c r="AG1180">
        <f>N(AG1179)+$AF1180</f>
        <v>0</v>
      </c>
      <c r="AH1180">
        <f>IF(AND($N1180=1,AND(对接源_01水果!$D1180="周转筐－销售出库",N(对接源_01水果!$K1180)&lt;&gt;0)),1,0)</f>
        <v>0</v>
      </c>
      <c r="AI1180">
        <f>N(AI1179)+$AH1180</f>
        <v>0</v>
      </c>
      <c r="AJ1180" s="7" t="n"/>
      <c r="AL1180">
        <f>IF(OR($AL$1="",对接源_01水果!$Y1180="",对接源_01水果!$Y1180&lt;&gt;$AL$1,对接源_01水果!$B1180="",N(对接源_01水果!$AJ1180)&lt;=0),0,IF(OR(N(对接源_01水果!$B1180)&lt;$AL$2,N(对接源_01水果!$B1180)&gt;$AL$3),0,1))</f>
        <v>0</v>
      </c>
      <c r="AM1180">
        <f>N(AM1179)+$AL1180</f>
        <v>2</v>
      </c>
      <c r="AN1180">
        <f>IF(对接源_01水果!$AC1180="","",对接源_01水果!$AC1180)</f>
      </c>
      <c r="AO1180">
        <f>IF(AN1180="",0,IF(MATCH(AN1180,$AN$4:$AN$1203,0)=ROW()-3,1,0))</f>
        <v>0</v>
      </c>
      <c r="AP1180">
        <f>N(AP1179)+$AO1180</f>
        <v>13</v>
      </c>
      <c r="AR1180">
        <f>IF(OR($AF1180=1,$AH1180=1),1,0)</f>
        <v>0</v>
      </c>
      <c r="AS1180">
        <f>N(AS1179)+$AR1180</f>
        <v>0</v>
      </c>
    </row>
    <row r="1181" ht="14.25" customHeight="1" s="127">
      <c r="A1181">
        <f>IF(对接源_01水果!$C1181="","",对接源_01水果!$C1181)</f>
      </c>
      <c r="B1181">
        <f>IF(A1181="",0,IF(MATCH(A1181,$A$4:$A$2403,0)=ROW()-3,1,0))</f>
        <v>0</v>
      </c>
      <c r="C1181">
        <f>N(C1180)+B1181</f>
        <v>22</v>
      </c>
      <c r="K1181">
        <f>IF(OR($K$1="",对接源_01水果!$C1181="",对接源_01水果!$C1181&lt;&gt;$K$1,对接源_01水果!$B1181=""),0,IF(OR(N(对接源_01水果!$B1181)&lt;$K$2,N(对接源_01水果!$B1181)&gt;$K$3),0,1))</f>
        <v>0</v>
      </c>
      <c r="L1181">
        <f>IF(OR($L$1="",对接源_01水果!$C1181="",对接源_01水果!$C1181&lt;&gt;$L$1,对接源_01水果!$B1181=""),0,IF(OR(N(对接源_01水果!$B1181)&lt;$L$2,N(对接源_01水果!$B1181)&gt;$L$3),0,1))</f>
        <v>0</v>
      </c>
      <c r="M1181">
        <f>IF(OR($M$1="",对接源_01水果!$C1181="",对接源_01水果!$C1181&lt;&gt;$M$1,对接源_01水果!$B1181=""),0,IF(OR(N(对接源_01水果!$B1181)&lt;$M$2,N(对接源_01水果!$B1181)&gt;$M$3),0,1))</f>
        <v>0</v>
      </c>
      <c r="N1181">
        <f>IF(OR($N$1="",对接源_01水果!$C1181="",对接源_01水果!$C1181&lt;&gt;$N$1,对接源_01水果!$B1181=""),0,IF(OR(N(对接源_01水果!$B1181)&lt;$N$2,N(对接源_01水果!$B1181)&gt;$N$3),0,1))</f>
        <v>0</v>
      </c>
      <c r="P1181">
        <f>IF(AND($K1181=1,AND(对接源_01水果!$X1181="公司筐",N(对接源_01水果!$T1181)&lt;&gt;0)),1,0)</f>
        <v>0</v>
      </c>
      <c r="Q1181">
        <f>N(Q1180)+$P1181</f>
        <v>0</v>
      </c>
      <c r="R1181">
        <f>IF(AND($K1181=1,AND(对接源_01水果!$X1181="公司筐",N(对接源_01水果!$U1181)&lt;&gt;0)),1,0)</f>
        <v>0</v>
      </c>
      <c r="S1181">
        <f>N(S1180)+$R1181</f>
        <v>0</v>
      </c>
      <c r="T1181">
        <f>IF(AND($K1181=1,AND(对接源_01水果!$X1181="公司筐",N(对接源_01水果!$V1181)&lt;&gt;0)),1,0)</f>
        <v>0</v>
      </c>
      <c r="U1181">
        <f>N(U1180)+$T1181</f>
        <v>47</v>
      </c>
      <c r="V1181">
        <f>IF(AND($L1181=1,AND(对接源_01水果!$X1181="自备筐",N(对接源_01水果!$V1181)&lt;&gt;0)),1,0)</f>
        <v>0</v>
      </c>
      <c r="W1181">
        <f>N(W1180)+$V1181</f>
        <v>11</v>
      </c>
      <c r="X1181">
        <f>IF(AND($L1181=1,AND(对接源_01水果!$X1181="自备筐",N(对接源_01水果!$T1181)&lt;&gt;0)),1,0)</f>
        <v>0</v>
      </c>
      <c r="Y1181">
        <f>N(Y1180)+$X1181</f>
        <v>0</v>
      </c>
      <c r="Z1181">
        <f>IF(AND($M1181=1,对接源_01水果!$D1181="原料入库"),1,0)</f>
        <v>0</v>
      </c>
      <c r="AA1181">
        <f>N(AA1180)+$Z1181</f>
        <v>24</v>
      </c>
      <c r="AB1181">
        <f>IF(AND($M1181=1,LEFT(对接源_01水果!$D1181,4)="原料出库"),1,0)</f>
        <v>0</v>
      </c>
      <c r="AC1181">
        <f>N(AC1180)+$AB1181</f>
        <v>0</v>
      </c>
      <c r="AD1181">
        <f>IF(AND($M1181=1,LEFT(对接源_01水果!$D1181,4)="成品出库"),1,0)</f>
        <v>0</v>
      </c>
      <c r="AE1181">
        <f>N(AE1180)+$AD1181</f>
        <v>0</v>
      </c>
      <c r="AF1181">
        <f>IF(AND($N1181=1,AND(LEFT(对接源_01水果!$D1181,4)="包装物料",N(对接源_01水果!$K1181)&lt;&gt;0)),1,0)</f>
        <v>0</v>
      </c>
      <c r="AG1181">
        <f>N(AG1180)+$AF1181</f>
        <v>0</v>
      </c>
      <c r="AH1181">
        <f>IF(AND($N1181=1,AND(对接源_01水果!$D1181="周转筐－销售出库",N(对接源_01水果!$K1181)&lt;&gt;0)),1,0)</f>
        <v>0</v>
      </c>
      <c r="AI1181">
        <f>N(AI1180)+$AH1181</f>
        <v>0</v>
      </c>
      <c r="AJ1181" s="7" t="n"/>
      <c r="AL1181">
        <f>IF(OR($AL$1="",对接源_01水果!$Y1181="",对接源_01水果!$Y1181&lt;&gt;$AL$1,对接源_01水果!$B1181="",N(对接源_01水果!$AJ1181)&lt;=0),0,IF(OR(N(对接源_01水果!$B1181)&lt;$AL$2,N(对接源_01水果!$B1181)&gt;$AL$3),0,1))</f>
        <v>0</v>
      </c>
      <c r="AM1181">
        <f>N(AM1180)+$AL1181</f>
        <v>2</v>
      </c>
      <c r="AN1181">
        <f>IF(对接源_01水果!$AC1181="","",对接源_01水果!$AC1181)</f>
      </c>
      <c r="AO1181">
        <f>IF(AN1181="",0,IF(MATCH(AN1181,$AN$4:$AN$1203,0)=ROW()-3,1,0))</f>
        <v>0</v>
      </c>
      <c r="AP1181">
        <f>N(AP1180)+$AO1181</f>
        <v>13</v>
      </c>
      <c r="AR1181">
        <f>IF(OR($AF1181=1,$AH1181=1),1,0)</f>
        <v>0</v>
      </c>
      <c r="AS1181">
        <f>N(AS1180)+$AR1181</f>
        <v>0</v>
      </c>
    </row>
    <row r="1182" ht="14.25" customHeight="1" s="127">
      <c r="A1182">
        <f>IF(对接源_01水果!$C1182="","",对接源_01水果!$C1182)</f>
      </c>
      <c r="B1182">
        <f>IF(A1182="",0,IF(MATCH(A1182,$A$4:$A$2403,0)=ROW()-3,1,0))</f>
        <v>0</v>
      </c>
      <c r="C1182">
        <f>N(C1181)+B1182</f>
        <v>22</v>
      </c>
      <c r="K1182">
        <f>IF(OR($K$1="",对接源_01水果!$C1182="",对接源_01水果!$C1182&lt;&gt;$K$1,对接源_01水果!$B1182=""),0,IF(OR(N(对接源_01水果!$B1182)&lt;$K$2,N(对接源_01水果!$B1182)&gt;$K$3),0,1))</f>
        <v>0</v>
      </c>
      <c r="L1182">
        <f>IF(OR($L$1="",对接源_01水果!$C1182="",对接源_01水果!$C1182&lt;&gt;$L$1,对接源_01水果!$B1182=""),0,IF(OR(N(对接源_01水果!$B1182)&lt;$L$2,N(对接源_01水果!$B1182)&gt;$L$3),0,1))</f>
        <v>0</v>
      </c>
      <c r="M1182">
        <f>IF(OR($M$1="",对接源_01水果!$C1182="",对接源_01水果!$C1182&lt;&gt;$M$1,对接源_01水果!$B1182=""),0,IF(OR(N(对接源_01水果!$B1182)&lt;$M$2,N(对接源_01水果!$B1182)&gt;$M$3),0,1))</f>
        <v>0</v>
      </c>
      <c r="N1182">
        <f>IF(OR($N$1="",对接源_01水果!$C1182="",对接源_01水果!$C1182&lt;&gt;$N$1,对接源_01水果!$B1182=""),0,IF(OR(N(对接源_01水果!$B1182)&lt;$N$2,N(对接源_01水果!$B1182)&gt;$N$3),0,1))</f>
        <v>0</v>
      </c>
      <c r="P1182">
        <f>IF(AND($K1182=1,AND(对接源_01水果!$X1182="公司筐",N(对接源_01水果!$T1182)&lt;&gt;0)),1,0)</f>
        <v>0</v>
      </c>
      <c r="Q1182">
        <f>N(Q1181)+$P1182</f>
        <v>0</v>
      </c>
      <c r="R1182">
        <f>IF(AND($K1182=1,AND(对接源_01水果!$X1182="公司筐",N(对接源_01水果!$U1182)&lt;&gt;0)),1,0)</f>
        <v>0</v>
      </c>
      <c r="S1182">
        <f>N(S1181)+$R1182</f>
        <v>0</v>
      </c>
      <c r="T1182">
        <f>IF(AND($K1182=1,AND(对接源_01水果!$X1182="公司筐",N(对接源_01水果!$V1182)&lt;&gt;0)),1,0)</f>
        <v>0</v>
      </c>
      <c r="U1182">
        <f>N(U1181)+$T1182</f>
        <v>47</v>
      </c>
      <c r="V1182">
        <f>IF(AND($L1182=1,AND(对接源_01水果!$X1182="自备筐",N(对接源_01水果!$V1182)&lt;&gt;0)),1,0)</f>
        <v>0</v>
      </c>
      <c r="W1182">
        <f>N(W1181)+$V1182</f>
        <v>11</v>
      </c>
      <c r="X1182">
        <f>IF(AND($L1182=1,AND(对接源_01水果!$X1182="自备筐",N(对接源_01水果!$T1182)&lt;&gt;0)),1,0)</f>
        <v>0</v>
      </c>
      <c r="Y1182">
        <f>N(Y1181)+$X1182</f>
        <v>0</v>
      </c>
      <c r="Z1182">
        <f>IF(AND($M1182=1,对接源_01水果!$D1182="原料入库"),1,0)</f>
        <v>0</v>
      </c>
      <c r="AA1182">
        <f>N(AA1181)+$Z1182</f>
        <v>24</v>
      </c>
      <c r="AB1182">
        <f>IF(AND($M1182=1,LEFT(对接源_01水果!$D1182,4)="原料出库"),1,0)</f>
        <v>0</v>
      </c>
      <c r="AC1182">
        <f>N(AC1181)+$AB1182</f>
        <v>0</v>
      </c>
      <c r="AD1182">
        <f>IF(AND($M1182=1,LEFT(对接源_01水果!$D1182,4)="成品出库"),1,0)</f>
        <v>0</v>
      </c>
      <c r="AE1182">
        <f>N(AE1181)+$AD1182</f>
        <v>0</v>
      </c>
      <c r="AF1182">
        <f>IF(AND($N1182=1,AND(LEFT(对接源_01水果!$D1182,4)="包装物料",N(对接源_01水果!$K1182)&lt;&gt;0)),1,0)</f>
        <v>0</v>
      </c>
      <c r="AG1182">
        <f>N(AG1181)+$AF1182</f>
        <v>0</v>
      </c>
      <c r="AH1182">
        <f>IF(AND($N1182=1,AND(对接源_01水果!$D1182="周转筐－销售出库",N(对接源_01水果!$K1182)&lt;&gt;0)),1,0)</f>
        <v>0</v>
      </c>
      <c r="AI1182">
        <f>N(AI1181)+$AH1182</f>
        <v>0</v>
      </c>
      <c r="AJ1182" s="7" t="n"/>
      <c r="AL1182">
        <f>IF(OR($AL$1="",对接源_01水果!$Y1182="",对接源_01水果!$Y1182&lt;&gt;$AL$1,对接源_01水果!$B1182="",N(对接源_01水果!$AJ1182)&lt;=0),0,IF(OR(N(对接源_01水果!$B1182)&lt;$AL$2,N(对接源_01水果!$B1182)&gt;$AL$3),0,1))</f>
        <v>0</v>
      </c>
      <c r="AM1182">
        <f>N(AM1181)+$AL1182</f>
        <v>2</v>
      </c>
      <c r="AN1182">
        <f>IF(对接源_01水果!$AC1182="","",对接源_01水果!$AC1182)</f>
      </c>
      <c r="AO1182">
        <f>IF(AN1182="",0,IF(MATCH(AN1182,$AN$4:$AN$1203,0)=ROW()-3,1,0))</f>
        <v>0</v>
      </c>
      <c r="AP1182">
        <f>N(AP1181)+$AO1182</f>
        <v>13</v>
      </c>
      <c r="AR1182">
        <f>IF(OR($AF1182=1,$AH1182=1),1,0)</f>
        <v>0</v>
      </c>
      <c r="AS1182">
        <f>N(AS1181)+$AR1182</f>
        <v>0</v>
      </c>
    </row>
    <row r="1183" ht="14.25" customHeight="1" s="127">
      <c r="A1183">
        <f>IF(对接源_01水果!$C1183="","",对接源_01水果!$C1183)</f>
      </c>
      <c r="B1183">
        <f>IF(A1183="",0,IF(MATCH(A1183,$A$4:$A$2403,0)=ROW()-3,1,0))</f>
        <v>0</v>
      </c>
      <c r="C1183">
        <f>N(C1182)+B1183</f>
        <v>22</v>
      </c>
      <c r="K1183">
        <f>IF(OR($K$1="",对接源_01水果!$C1183="",对接源_01水果!$C1183&lt;&gt;$K$1,对接源_01水果!$B1183=""),0,IF(OR(N(对接源_01水果!$B1183)&lt;$K$2,N(对接源_01水果!$B1183)&gt;$K$3),0,1))</f>
        <v>0</v>
      </c>
      <c r="L1183">
        <f>IF(OR($L$1="",对接源_01水果!$C1183="",对接源_01水果!$C1183&lt;&gt;$L$1,对接源_01水果!$B1183=""),0,IF(OR(N(对接源_01水果!$B1183)&lt;$L$2,N(对接源_01水果!$B1183)&gt;$L$3),0,1))</f>
        <v>0</v>
      </c>
      <c r="M1183">
        <f>IF(OR($M$1="",对接源_01水果!$C1183="",对接源_01水果!$C1183&lt;&gt;$M$1,对接源_01水果!$B1183=""),0,IF(OR(N(对接源_01水果!$B1183)&lt;$M$2,N(对接源_01水果!$B1183)&gt;$M$3),0,1))</f>
        <v>0</v>
      </c>
      <c r="N1183">
        <f>IF(OR($N$1="",对接源_01水果!$C1183="",对接源_01水果!$C1183&lt;&gt;$N$1,对接源_01水果!$B1183=""),0,IF(OR(N(对接源_01水果!$B1183)&lt;$N$2,N(对接源_01水果!$B1183)&gt;$N$3),0,1))</f>
        <v>0</v>
      </c>
      <c r="P1183">
        <f>IF(AND($K1183=1,AND(对接源_01水果!$X1183="公司筐",N(对接源_01水果!$T1183)&lt;&gt;0)),1,0)</f>
        <v>0</v>
      </c>
      <c r="Q1183">
        <f>N(Q1182)+$P1183</f>
        <v>0</v>
      </c>
      <c r="R1183">
        <f>IF(AND($K1183=1,AND(对接源_01水果!$X1183="公司筐",N(对接源_01水果!$U1183)&lt;&gt;0)),1,0)</f>
        <v>0</v>
      </c>
      <c r="S1183">
        <f>N(S1182)+$R1183</f>
        <v>0</v>
      </c>
      <c r="T1183">
        <f>IF(AND($K1183=1,AND(对接源_01水果!$X1183="公司筐",N(对接源_01水果!$V1183)&lt;&gt;0)),1,0)</f>
        <v>0</v>
      </c>
      <c r="U1183">
        <f>N(U1182)+$T1183</f>
        <v>47</v>
      </c>
      <c r="V1183">
        <f>IF(AND($L1183=1,AND(对接源_01水果!$X1183="自备筐",N(对接源_01水果!$V1183)&lt;&gt;0)),1,0)</f>
        <v>0</v>
      </c>
      <c r="W1183">
        <f>N(W1182)+$V1183</f>
        <v>11</v>
      </c>
      <c r="X1183">
        <f>IF(AND($L1183=1,AND(对接源_01水果!$X1183="自备筐",N(对接源_01水果!$T1183)&lt;&gt;0)),1,0)</f>
        <v>0</v>
      </c>
      <c r="Y1183">
        <f>N(Y1182)+$X1183</f>
        <v>0</v>
      </c>
      <c r="Z1183">
        <f>IF(AND($M1183=1,对接源_01水果!$D1183="原料入库"),1,0)</f>
        <v>0</v>
      </c>
      <c r="AA1183">
        <f>N(AA1182)+$Z1183</f>
        <v>24</v>
      </c>
      <c r="AB1183">
        <f>IF(AND($M1183=1,LEFT(对接源_01水果!$D1183,4)="原料出库"),1,0)</f>
        <v>0</v>
      </c>
      <c r="AC1183">
        <f>N(AC1182)+$AB1183</f>
        <v>0</v>
      </c>
      <c r="AD1183">
        <f>IF(AND($M1183=1,LEFT(对接源_01水果!$D1183,4)="成品出库"),1,0)</f>
        <v>0</v>
      </c>
      <c r="AE1183">
        <f>N(AE1182)+$AD1183</f>
        <v>0</v>
      </c>
      <c r="AF1183">
        <f>IF(AND($N1183=1,AND(LEFT(对接源_01水果!$D1183,4)="包装物料",N(对接源_01水果!$K1183)&lt;&gt;0)),1,0)</f>
        <v>0</v>
      </c>
      <c r="AG1183">
        <f>N(AG1182)+$AF1183</f>
        <v>0</v>
      </c>
      <c r="AH1183">
        <f>IF(AND($N1183=1,AND(对接源_01水果!$D1183="周转筐－销售出库",N(对接源_01水果!$K1183)&lt;&gt;0)),1,0)</f>
        <v>0</v>
      </c>
      <c r="AI1183">
        <f>N(AI1182)+$AH1183</f>
        <v>0</v>
      </c>
      <c r="AJ1183" s="7" t="n"/>
      <c r="AL1183">
        <f>IF(OR($AL$1="",对接源_01水果!$Y1183="",对接源_01水果!$Y1183&lt;&gt;$AL$1,对接源_01水果!$B1183="",N(对接源_01水果!$AJ1183)&lt;=0),0,IF(OR(N(对接源_01水果!$B1183)&lt;$AL$2,N(对接源_01水果!$B1183)&gt;$AL$3),0,1))</f>
        <v>0</v>
      </c>
      <c r="AM1183">
        <f>N(AM1182)+$AL1183</f>
        <v>2</v>
      </c>
      <c r="AN1183">
        <f>IF(对接源_01水果!$AC1183="","",对接源_01水果!$AC1183)</f>
      </c>
      <c r="AO1183">
        <f>IF(AN1183="",0,IF(MATCH(AN1183,$AN$4:$AN$1203,0)=ROW()-3,1,0))</f>
        <v>0</v>
      </c>
      <c r="AP1183">
        <f>N(AP1182)+$AO1183</f>
        <v>13</v>
      </c>
      <c r="AR1183">
        <f>IF(OR($AF1183=1,$AH1183=1),1,0)</f>
        <v>0</v>
      </c>
      <c r="AS1183">
        <f>N(AS1182)+$AR1183</f>
        <v>0</v>
      </c>
    </row>
    <row r="1184" ht="14.25" customHeight="1" s="127">
      <c r="A1184">
        <f>IF(对接源_01水果!$C1184="","",对接源_01水果!$C1184)</f>
      </c>
      <c r="B1184">
        <f>IF(A1184="",0,IF(MATCH(A1184,$A$4:$A$2403,0)=ROW()-3,1,0))</f>
        <v>0</v>
      </c>
      <c r="C1184">
        <f>N(C1183)+B1184</f>
        <v>22</v>
      </c>
      <c r="K1184">
        <f>IF(OR($K$1="",对接源_01水果!$C1184="",对接源_01水果!$C1184&lt;&gt;$K$1,对接源_01水果!$B1184=""),0,IF(OR(N(对接源_01水果!$B1184)&lt;$K$2,N(对接源_01水果!$B1184)&gt;$K$3),0,1))</f>
        <v>0</v>
      </c>
      <c r="L1184">
        <f>IF(OR($L$1="",对接源_01水果!$C1184="",对接源_01水果!$C1184&lt;&gt;$L$1,对接源_01水果!$B1184=""),0,IF(OR(N(对接源_01水果!$B1184)&lt;$L$2,N(对接源_01水果!$B1184)&gt;$L$3),0,1))</f>
        <v>0</v>
      </c>
      <c r="M1184">
        <f>IF(OR($M$1="",对接源_01水果!$C1184="",对接源_01水果!$C1184&lt;&gt;$M$1,对接源_01水果!$B1184=""),0,IF(OR(N(对接源_01水果!$B1184)&lt;$M$2,N(对接源_01水果!$B1184)&gt;$M$3),0,1))</f>
        <v>0</v>
      </c>
      <c r="N1184">
        <f>IF(OR($N$1="",对接源_01水果!$C1184="",对接源_01水果!$C1184&lt;&gt;$N$1,对接源_01水果!$B1184=""),0,IF(OR(N(对接源_01水果!$B1184)&lt;$N$2,N(对接源_01水果!$B1184)&gt;$N$3),0,1))</f>
        <v>0</v>
      </c>
      <c r="P1184">
        <f>IF(AND($K1184=1,AND(对接源_01水果!$X1184="公司筐",N(对接源_01水果!$T1184)&lt;&gt;0)),1,0)</f>
        <v>0</v>
      </c>
      <c r="Q1184">
        <f>N(Q1183)+$P1184</f>
        <v>0</v>
      </c>
      <c r="R1184">
        <f>IF(AND($K1184=1,AND(对接源_01水果!$X1184="公司筐",N(对接源_01水果!$U1184)&lt;&gt;0)),1,0)</f>
        <v>0</v>
      </c>
      <c r="S1184">
        <f>N(S1183)+$R1184</f>
        <v>0</v>
      </c>
      <c r="T1184">
        <f>IF(AND($K1184=1,AND(对接源_01水果!$X1184="公司筐",N(对接源_01水果!$V1184)&lt;&gt;0)),1,0)</f>
        <v>0</v>
      </c>
      <c r="U1184">
        <f>N(U1183)+$T1184</f>
        <v>47</v>
      </c>
      <c r="V1184">
        <f>IF(AND($L1184=1,AND(对接源_01水果!$X1184="自备筐",N(对接源_01水果!$V1184)&lt;&gt;0)),1,0)</f>
        <v>0</v>
      </c>
      <c r="W1184">
        <f>N(W1183)+$V1184</f>
        <v>11</v>
      </c>
      <c r="X1184">
        <f>IF(AND($L1184=1,AND(对接源_01水果!$X1184="自备筐",N(对接源_01水果!$T1184)&lt;&gt;0)),1,0)</f>
        <v>0</v>
      </c>
      <c r="Y1184">
        <f>N(Y1183)+$X1184</f>
        <v>0</v>
      </c>
      <c r="Z1184">
        <f>IF(AND($M1184=1,对接源_01水果!$D1184="原料入库"),1,0)</f>
        <v>0</v>
      </c>
      <c r="AA1184">
        <f>N(AA1183)+$Z1184</f>
        <v>24</v>
      </c>
      <c r="AB1184">
        <f>IF(AND($M1184=1,LEFT(对接源_01水果!$D1184,4)="原料出库"),1,0)</f>
        <v>0</v>
      </c>
      <c r="AC1184">
        <f>N(AC1183)+$AB1184</f>
        <v>0</v>
      </c>
      <c r="AD1184">
        <f>IF(AND($M1184=1,LEFT(对接源_01水果!$D1184,4)="成品出库"),1,0)</f>
        <v>0</v>
      </c>
      <c r="AE1184">
        <f>N(AE1183)+$AD1184</f>
        <v>0</v>
      </c>
      <c r="AF1184">
        <f>IF(AND($N1184=1,AND(LEFT(对接源_01水果!$D1184,4)="包装物料",N(对接源_01水果!$K1184)&lt;&gt;0)),1,0)</f>
        <v>0</v>
      </c>
      <c r="AG1184">
        <f>N(AG1183)+$AF1184</f>
        <v>0</v>
      </c>
      <c r="AH1184">
        <f>IF(AND($N1184=1,AND(对接源_01水果!$D1184="周转筐－销售出库",N(对接源_01水果!$K1184)&lt;&gt;0)),1,0)</f>
        <v>0</v>
      </c>
      <c r="AI1184">
        <f>N(AI1183)+$AH1184</f>
        <v>0</v>
      </c>
      <c r="AJ1184" s="7" t="n"/>
      <c r="AL1184">
        <f>IF(OR($AL$1="",对接源_01水果!$Y1184="",对接源_01水果!$Y1184&lt;&gt;$AL$1,对接源_01水果!$B1184="",N(对接源_01水果!$AJ1184)&lt;=0),0,IF(OR(N(对接源_01水果!$B1184)&lt;$AL$2,N(对接源_01水果!$B1184)&gt;$AL$3),0,1))</f>
        <v>0</v>
      </c>
      <c r="AM1184">
        <f>N(AM1183)+$AL1184</f>
        <v>2</v>
      </c>
      <c r="AN1184">
        <f>IF(对接源_01水果!$AC1184="","",对接源_01水果!$AC1184)</f>
      </c>
      <c r="AO1184">
        <f>IF(AN1184="",0,IF(MATCH(AN1184,$AN$4:$AN$1203,0)=ROW()-3,1,0))</f>
        <v>0</v>
      </c>
      <c r="AP1184">
        <f>N(AP1183)+$AO1184</f>
        <v>13</v>
      </c>
      <c r="AR1184">
        <f>IF(OR($AF1184=1,$AH1184=1),1,0)</f>
        <v>0</v>
      </c>
      <c r="AS1184">
        <f>N(AS1183)+$AR1184</f>
        <v>0</v>
      </c>
    </row>
    <row r="1185" ht="14.25" customHeight="1" s="127">
      <c r="A1185">
        <f>IF(对接源_01水果!$C1185="","",对接源_01水果!$C1185)</f>
      </c>
      <c r="B1185">
        <f>IF(A1185="",0,IF(MATCH(A1185,$A$4:$A$2403,0)=ROW()-3,1,0))</f>
        <v>0</v>
      </c>
      <c r="C1185">
        <f>N(C1184)+B1185</f>
        <v>22</v>
      </c>
      <c r="K1185">
        <f>IF(OR($K$1="",对接源_01水果!$C1185="",对接源_01水果!$C1185&lt;&gt;$K$1,对接源_01水果!$B1185=""),0,IF(OR(N(对接源_01水果!$B1185)&lt;$K$2,N(对接源_01水果!$B1185)&gt;$K$3),0,1))</f>
        <v>0</v>
      </c>
      <c r="L1185">
        <f>IF(OR($L$1="",对接源_01水果!$C1185="",对接源_01水果!$C1185&lt;&gt;$L$1,对接源_01水果!$B1185=""),0,IF(OR(N(对接源_01水果!$B1185)&lt;$L$2,N(对接源_01水果!$B1185)&gt;$L$3),0,1))</f>
        <v>0</v>
      </c>
      <c r="M1185">
        <f>IF(OR($M$1="",对接源_01水果!$C1185="",对接源_01水果!$C1185&lt;&gt;$M$1,对接源_01水果!$B1185=""),0,IF(OR(N(对接源_01水果!$B1185)&lt;$M$2,N(对接源_01水果!$B1185)&gt;$M$3),0,1))</f>
        <v>0</v>
      </c>
      <c r="N1185">
        <f>IF(OR($N$1="",对接源_01水果!$C1185="",对接源_01水果!$C1185&lt;&gt;$N$1,对接源_01水果!$B1185=""),0,IF(OR(N(对接源_01水果!$B1185)&lt;$N$2,N(对接源_01水果!$B1185)&gt;$N$3),0,1))</f>
        <v>0</v>
      </c>
      <c r="P1185">
        <f>IF(AND($K1185=1,AND(对接源_01水果!$X1185="公司筐",N(对接源_01水果!$T1185)&lt;&gt;0)),1,0)</f>
        <v>0</v>
      </c>
      <c r="Q1185">
        <f>N(Q1184)+$P1185</f>
        <v>0</v>
      </c>
      <c r="R1185">
        <f>IF(AND($K1185=1,AND(对接源_01水果!$X1185="公司筐",N(对接源_01水果!$U1185)&lt;&gt;0)),1,0)</f>
        <v>0</v>
      </c>
      <c r="S1185">
        <f>N(S1184)+$R1185</f>
        <v>0</v>
      </c>
      <c r="T1185">
        <f>IF(AND($K1185=1,AND(对接源_01水果!$X1185="公司筐",N(对接源_01水果!$V1185)&lt;&gt;0)),1,0)</f>
        <v>0</v>
      </c>
      <c r="U1185">
        <f>N(U1184)+$T1185</f>
        <v>47</v>
      </c>
      <c r="V1185">
        <f>IF(AND($L1185=1,AND(对接源_01水果!$X1185="自备筐",N(对接源_01水果!$V1185)&lt;&gt;0)),1,0)</f>
        <v>0</v>
      </c>
      <c r="W1185">
        <f>N(W1184)+$V1185</f>
        <v>11</v>
      </c>
      <c r="X1185">
        <f>IF(AND($L1185=1,AND(对接源_01水果!$X1185="自备筐",N(对接源_01水果!$T1185)&lt;&gt;0)),1,0)</f>
        <v>0</v>
      </c>
      <c r="Y1185">
        <f>N(Y1184)+$X1185</f>
        <v>0</v>
      </c>
      <c r="Z1185">
        <f>IF(AND($M1185=1,对接源_01水果!$D1185="原料入库"),1,0)</f>
        <v>0</v>
      </c>
      <c r="AA1185">
        <f>N(AA1184)+$Z1185</f>
        <v>24</v>
      </c>
      <c r="AB1185">
        <f>IF(AND($M1185=1,LEFT(对接源_01水果!$D1185,4)="原料出库"),1,0)</f>
        <v>0</v>
      </c>
      <c r="AC1185">
        <f>N(AC1184)+$AB1185</f>
        <v>0</v>
      </c>
      <c r="AD1185">
        <f>IF(AND($M1185=1,LEFT(对接源_01水果!$D1185,4)="成品出库"),1,0)</f>
        <v>0</v>
      </c>
      <c r="AE1185">
        <f>N(AE1184)+$AD1185</f>
        <v>0</v>
      </c>
      <c r="AF1185">
        <f>IF(AND($N1185=1,AND(LEFT(对接源_01水果!$D1185,4)="包装物料",N(对接源_01水果!$K1185)&lt;&gt;0)),1,0)</f>
        <v>0</v>
      </c>
      <c r="AG1185">
        <f>N(AG1184)+$AF1185</f>
        <v>0</v>
      </c>
      <c r="AH1185">
        <f>IF(AND($N1185=1,AND(对接源_01水果!$D1185="周转筐－销售出库",N(对接源_01水果!$K1185)&lt;&gt;0)),1,0)</f>
        <v>0</v>
      </c>
      <c r="AI1185">
        <f>N(AI1184)+$AH1185</f>
        <v>0</v>
      </c>
      <c r="AJ1185" s="7" t="n"/>
      <c r="AL1185">
        <f>IF(OR($AL$1="",对接源_01水果!$Y1185="",对接源_01水果!$Y1185&lt;&gt;$AL$1,对接源_01水果!$B1185="",N(对接源_01水果!$AJ1185)&lt;=0),0,IF(OR(N(对接源_01水果!$B1185)&lt;$AL$2,N(对接源_01水果!$B1185)&gt;$AL$3),0,1))</f>
        <v>0</v>
      </c>
      <c r="AM1185">
        <f>N(AM1184)+$AL1185</f>
        <v>2</v>
      </c>
      <c r="AN1185">
        <f>IF(对接源_01水果!$AC1185="","",对接源_01水果!$AC1185)</f>
      </c>
      <c r="AO1185">
        <f>IF(AN1185="",0,IF(MATCH(AN1185,$AN$4:$AN$1203,0)=ROW()-3,1,0))</f>
        <v>0</v>
      </c>
      <c r="AP1185">
        <f>N(AP1184)+$AO1185</f>
        <v>13</v>
      </c>
      <c r="AR1185">
        <f>IF(OR($AF1185=1,$AH1185=1),1,0)</f>
        <v>0</v>
      </c>
      <c r="AS1185">
        <f>N(AS1184)+$AR1185</f>
        <v>0</v>
      </c>
    </row>
    <row r="1186" ht="14.25" customHeight="1" s="127">
      <c r="A1186">
        <f>IF(对接源_01水果!$C1186="","",对接源_01水果!$C1186)</f>
      </c>
      <c r="B1186">
        <f>IF(A1186="",0,IF(MATCH(A1186,$A$4:$A$2403,0)=ROW()-3,1,0))</f>
        <v>0</v>
      </c>
      <c r="C1186">
        <f>N(C1185)+B1186</f>
        <v>22</v>
      </c>
      <c r="K1186">
        <f>IF(OR($K$1="",对接源_01水果!$C1186="",对接源_01水果!$C1186&lt;&gt;$K$1,对接源_01水果!$B1186=""),0,IF(OR(N(对接源_01水果!$B1186)&lt;$K$2,N(对接源_01水果!$B1186)&gt;$K$3),0,1))</f>
        <v>0</v>
      </c>
      <c r="L1186">
        <f>IF(OR($L$1="",对接源_01水果!$C1186="",对接源_01水果!$C1186&lt;&gt;$L$1,对接源_01水果!$B1186=""),0,IF(OR(N(对接源_01水果!$B1186)&lt;$L$2,N(对接源_01水果!$B1186)&gt;$L$3),0,1))</f>
        <v>0</v>
      </c>
      <c r="M1186">
        <f>IF(OR($M$1="",对接源_01水果!$C1186="",对接源_01水果!$C1186&lt;&gt;$M$1,对接源_01水果!$B1186=""),0,IF(OR(N(对接源_01水果!$B1186)&lt;$M$2,N(对接源_01水果!$B1186)&gt;$M$3),0,1))</f>
        <v>0</v>
      </c>
      <c r="N1186">
        <f>IF(OR($N$1="",对接源_01水果!$C1186="",对接源_01水果!$C1186&lt;&gt;$N$1,对接源_01水果!$B1186=""),0,IF(OR(N(对接源_01水果!$B1186)&lt;$N$2,N(对接源_01水果!$B1186)&gt;$N$3),0,1))</f>
        <v>0</v>
      </c>
      <c r="P1186">
        <f>IF(AND($K1186=1,AND(对接源_01水果!$X1186="公司筐",N(对接源_01水果!$T1186)&lt;&gt;0)),1,0)</f>
        <v>0</v>
      </c>
      <c r="Q1186">
        <f>N(Q1185)+$P1186</f>
        <v>0</v>
      </c>
      <c r="R1186">
        <f>IF(AND($K1186=1,AND(对接源_01水果!$X1186="公司筐",N(对接源_01水果!$U1186)&lt;&gt;0)),1,0)</f>
        <v>0</v>
      </c>
      <c r="S1186">
        <f>N(S1185)+$R1186</f>
        <v>0</v>
      </c>
      <c r="T1186">
        <f>IF(AND($K1186=1,AND(对接源_01水果!$X1186="公司筐",N(对接源_01水果!$V1186)&lt;&gt;0)),1,0)</f>
        <v>0</v>
      </c>
      <c r="U1186">
        <f>N(U1185)+$T1186</f>
        <v>47</v>
      </c>
      <c r="V1186">
        <f>IF(AND($L1186=1,AND(对接源_01水果!$X1186="自备筐",N(对接源_01水果!$V1186)&lt;&gt;0)),1,0)</f>
        <v>0</v>
      </c>
      <c r="W1186">
        <f>N(W1185)+$V1186</f>
        <v>11</v>
      </c>
      <c r="X1186">
        <f>IF(AND($L1186=1,AND(对接源_01水果!$X1186="自备筐",N(对接源_01水果!$T1186)&lt;&gt;0)),1,0)</f>
        <v>0</v>
      </c>
      <c r="Y1186">
        <f>N(Y1185)+$X1186</f>
        <v>0</v>
      </c>
      <c r="Z1186">
        <f>IF(AND($M1186=1,对接源_01水果!$D1186="原料入库"),1,0)</f>
        <v>0</v>
      </c>
      <c r="AA1186">
        <f>N(AA1185)+$Z1186</f>
        <v>24</v>
      </c>
      <c r="AB1186">
        <f>IF(AND($M1186=1,LEFT(对接源_01水果!$D1186,4)="原料出库"),1,0)</f>
        <v>0</v>
      </c>
      <c r="AC1186">
        <f>N(AC1185)+$AB1186</f>
        <v>0</v>
      </c>
      <c r="AD1186">
        <f>IF(AND($M1186=1,LEFT(对接源_01水果!$D1186,4)="成品出库"),1,0)</f>
        <v>0</v>
      </c>
      <c r="AE1186">
        <f>N(AE1185)+$AD1186</f>
        <v>0</v>
      </c>
      <c r="AF1186">
        <f>IF(AND($N1186=1,AND(LEFT(对接源_01水果!$D1186,4)="包装物料",N(对接源_01水果!$K1186)&lt;&gt;0)),1,0)</f>
        <v>0</v>
      </c>
      <c r="AG1186">
        <f>N(AG1185)+$AF1186</f>
        <v>0</v>
      </c>
      <c r="AH1186">
        <f>IF(AND($N1186=1,AND(对接源_01水果!$D1186="周转筐－销售出库",N(对接源_01水果!$K1186)&lt;&gt;0)),1,0)</f>
        <v>0</v>
      </c>
      <c r="AI1186">
        <f>N(AI1185)+$AH1186</f>
        <v>0</v>
      </c>
      <c r="AJ1186" s="7" t="n"/>
      <c r="AL1186">
        <f>IF(OR($AL$1="",对接源_01水果!$Y1186="",对接源_01水果!$Y1186&lt;&gt;$AL$1,对接源_01水果!$B1186="",N(对接源_01水果!$AJ1186)&lt;=0),0,IF(OR(N(对接源_01水果!$B1186)&lt;$AL$2,N(对接源_01水果!$B1186)&gt;$AL$3),0,1))</f>
        <v>0</v>
      </c>
      <c r="AM1186">
        <f>N(AM1185)+$AL1186</f>
        <v>2</v>
      </c>
      <c r="AN1186">
        <f>IF(对接源_01水果!$AC1186="","",对接源_01水果!$AC1186)</f>
      </c>
      <c r="AO1186">
        <f>IF(AN1186="",0,IF(MATCH(AN1186,$AN$4:$AN$1203,0)=ROW()-3,1,0))</f>
        <v>0</v>
      </c>
      <c r="AP1186">
        <f>N(AP1185)+$AO1186</f>
        <v>13</v>
      </c>
      <c r="AR1186">
        <f>IF(OR($AF1186=1,$AH1186=1),1,0)</f>
        <v>0</v>
      </c>
      <c r="AS1186">
        <f>N(AS1185)+$AR1186</f>
        <v>0</v>
      </c>
    </row>
    <row r="1187" ht="14.25" customHeight="1" s="127">
      <c r="A1187">
        <f>IF(对接源_01水果!$C1187="","",对接源_01水果!$C1187)</f>
      </c>
      <c r="B1187">
        <f>IF(A1187="",0,IF(MATCH(A1187,$A$4:$A$2403,0)=ROW()-3,1,0))</f>
        <v>0</v>
      </c>
      <c r="C1187">
        <f>N(C1186)+B1187</f>
        <v>22</v>
      </c>
      <c r="K1187">
        <f>IF(OR($K$1="",对接源_01水果!$C1187="",对接源_01水果!$C1187&lt;&gt;$K$1,对接源_01水果!$B1187=""),0,IF(OR(N(对接源_01水果!$B1187)&lt;$K$2,N(对接源_01水果!$B1187)&gt;$K$3),0,1))</f>
        <v>0</v>
      </c>
      <c r="L1187">
        <f>IF(OR($L$1="",对接源_01水果!$C1187="",对接源_01水果!$C1187&lt;&gt;$L$1,对接源_01水果!$B1187=""),0,IF(OR(N(对接源_01水果!$B1187)&lt;$L$2,N(对接源_01水果!$B1187)&gt;$L$3),0,1))</f>
        <v>0</v>
      </c>
      <c r="M1187">
        <f>IF(OR($M$1="",对接源_01水果!$C1187="",对接源_01水果!$C1187&lt;&gt;$M$1,对接源_01水果!$B1187=""),0,IF(OR(N(对接源_01水果!$B1187)&lt;$M$2,N(对接源_01水果!$B1187)&gt;$M$3),0,1))</f>
        <v>0</v>
      </c>
      <c r="N1187">
        <f>IF(OR($N$1="",对接源_01水果!$C1187="",对接源_01水果!$C1187&lt;&gt;$N$1,对接源_01水果!$B1187=""),0,IF(OR(N(对接源_01水果!$B1187)&lt;$N$2,N(对接源_01水果!$B1187)&gt;$N$3),0,1))</f>
        <v>0</v>
      </c>
      <c r="P1187">
        <f>IF(AND($K1187=1,AND(对接源_01水果!$X1187="公司筐",N(对接源_01水果!$T1187)&lt;&gt;0)),1,0)</f>
        <v>0</v>
      </c>
      <c r="Q1187">
        <f>N(Q1186)+$P1187</f>
        <v>0</v>
      </c>
      <c r="R1187">
        <f>IF(AND($K1187=1,AND(对接源_01水果!$X1187="公司筐",N(对接源_01水果!$U1187)&lt;&gt;0)),1,0)</f>
        <v>0</v>
      </c>
      <c r="S1187">
        <f>N(S1186)+$R1187</f>
        <v>0</v>
      </c>
      <c r="T1187">
        <f>IF(AND($K1187=1,AND(对接源_01水果!$X1187="公司筐",N(对接源_01水果!$V1187)&lt;&gt;0)),1,0)</f>
        <v>0</v>
      </c>
      <c r="U1187">
        <f>N(U1186)+$T1187</f>
        <v>47</v>
      </c>
      <c r="V1187">
        <f>IF(AND($L1187=1,AND(对接源_01水果!$X1187="自备筐",N(对接源_01水果!$V1187)&lt;&gt;0)),1,0)</f>
        <v>0</v>
      </c>
      <c r="W1187">
        <f>N(W1186)+$V1187</f>
        <v>11</v>
      </c>
      <c r="X1187">
        <f>IF(AND($L1187=1,AND(对接源_01水果!$X1187="自备筐",N(对接源_01水果!$T1187)&lt;&gt;0)),1,0)</f>
        <v>0</v>
      </c>
      <c r="Y1187">
        <f>N(Y1186)+$X1187</f>
        <v>0</v>
      </c>
      <c r="Z1187">
        <f>IF(AND($M1187=1,对接源_01水果!$D1187="原料入库"),1,0)</f>
        <v>0</v>
      </c>
      <c r="AA1187">
        <f>N(AA1186)+$Z1187</f>
        <v>24</v>
      </c>
      <c r="AB1187">
        <f>IF(AND($M1187=1,LEFT(对接源_01水果!$D1187,4)="原料出库"),1,0)</f>
        <v>0</v>
      </c>
      <c r="AC1187">
        <f>N(AC1186)+$AB1187</f>
        <v>0</v>
      </c>
      <c r="AD1187">
        <f>IF(AND($M1187=1,LEFT(对接源_01水果!$D1187,4)="成品出库"),1,0)</f>
        <v>0</v>
      </c>
      <c r="AE1187">
        <f>N(AE1186)+$AD1187</f>
        <v>0</v>
      </c>
      <c r="AF1187">
        <f>IF(AND($N1187=1,AND(LEFT(对接源_01水果!$D1187,4)="包装物料",N(对接源_01水果!$K1187)&lt;&gt;0)),1,0)</f>
        <v>0</v>
      </c>
      <c r="AG1187">
        <f>N(AG1186)+$AF1187</f>
        <v>0</v>
      </c>
      <c r="AH1187">
        <f>IF(AND($N1187=1,AND(对接源_01水果!$D1187="周转筐－销售出库",N(对接源_01水果!$K1187)&lt;&gt;0)),1,0)</f>
        <v>0</v>
      </c>
      <c r="AI1187">
        <f>N(AI1186)+$AH1187</f>
        <v>0</v>
      </c>
      <c r="AJ1187" s="7" t="n"/>
      <c r="AL1187">
        <f>IF(OR($AL$1="",对接源_01水果!$Y1187="",对接源_01水果!$Y1187&lt;&gt;$AL$1,对接源_01水果!$B1187="",N(对接源_01水果!$AJ1187)&lt;=0),0,IF(OR(N(对接源_01水果!$B1187)&lt;$AL$2,N(对接源_01水果!$B1187)&gt;$AL$3),0,1))</f>
        <v>0</v>
      </c>
      <c r="AM1187">
        <f>N(AM1186)+$AL1187</f>
        <v>2</v>
      </c>
      <c r="AN1187">
        <f>IF(对接源_01水果!$AC1187="","",对接源_01水果!$AC1187)</f>
      </c>
      <c r="AO1187">
        <f>IF(AN1187="",0,IF(MATCH(AN1187,$AN$4:$AN$1203,0)=ROW()-3,1,0))</f>
        <v>0</v>
      </c>
      <c r="AP1187">
        <f>N(AP1186)+$AO1187</f>
        <v>13</v>
      </c>
      <c r="AR1187">
        <f>IF(OR($AF1187=1,$AH1187=1),1,0)</f>
        <v>0</v>
      </c>
      <c r="AS1187">
        <f>N(AS1186)+$AR1187</f>
        <v>0</v>
      </c>
    </row>
    <row r="1188" ht="14.25" customHeight="1" s="127">
      <c r="A1188">
        <f>IF(对接源_01水果!$C1188="","",对接源_01水果!$C1188)</f>
      </c>
      <c r="B1188">
        <f>IF(A1188="",0,IF(MATCH(A1188,$A$4:$A$2403,0)=ROW()-3,1,0))</f>
        <v>0</v>
      </c>
      <c r="C1188">
        <f>N(C1187)+B1188</f>
        <v>22</v>
      </c>
      <c r="K1188">
        <f>IF(OR($K$1="",对接源_01水果!$C1188="",对接源_01水果!$C1188&lt;&gt;$K$1,对接源_01水果!$B1188=""),0,IF(OR(N(对接源_01水果!$B1188)&lt;$K$2,N(对接源_01水果!$B1188)&gt;$K$3),0,1))</f>
        <v>0</v>
      </c>
      <c r="L1188">
        <f>IF(OR($L$1="",对接源_01水果!$C1188="",对接源_01水果!$C1188&lt;&gt;$L$1,对接源_01水果!$B1188=""),0,IF(OR(N(对接源_01水果!$B1188)&lt;$L$2,N(对接源_01水果!$B1188)&gt;$L$3),0,1))</f>
        <v>0</v>
      </c>
      <c r="M1188">
        <f>IF(OR($M$1="",对接源_01水果!$C1188="",对接源_01水果!$C1188&lt;&gt;$M$1,对接源_01水果!$B1188=""),0,IF(OR(N(对接源_01水果!$B1188)&lt;$M$2,N(对接源_01水果!$B1188)&gt;$M$3),0,1))</f>
        <v>0</v>
      </c>
      <c r="N1188">
        <f>IF(OR($N$1="",对接源_01水果!$C1188="",对接源_01水果!$C1188&lt;&gt;$N$1,对接源_01水果!$B1188=""),0,IF(OR(N(对接源_01水果!$B1188)&lt;$N$2,N(对接源_01水果!$B1188)&gt;$N$3),0,1))</f>
        <v>0</v>
      </c>
      <c r="P1188">
        <f>IF(AND($K1188=1,AND(对接源_01水果!$X1188="公司筐",N(对接源_01水果!$T1188)&lt;&gt;0)),1,0)</f>
        <v>0</v>
      </c>
      <c r="Q1188">
        <f>N(Q1187)+$P1188</f>
        <v>0</v>
      </c>
      <c r="R1188">
        <f>IF(AND($K1188=1,AND(对接源_01水果!$X1188="公司筐",N(对接源_01水果!$U1188)&lt;&gt;0)),1,0)</f>
        <v>0</v>
      </c>
      <c r="S1188">
        <f>N(S1187)+$R1188</f>
        <v>0</v>
      </c>
      <c r="T1188">
        <f>IF(AND($K1188=1,AND(对接源_01水果!$X1188="公司筐",N(对接源_01水果!$V1188)&lt;&gt;0)),1,0)</f>
        <v>0</v>
      </c>
      <c r="U1188">
        <f>N(U1187)+$T1188</f>
        <v>47</v>
      </c>
      <c r="V1188">
        <f>IF(AND($L1188=1,AND(对接源_01水果!$X1188="自备筐",N(对接源_01水果!$V1188)&lt;&gt;0)),1,0)</f>
        <v>0</v>
      </c>
      <c r="W1188">
        <f>N(W1187)+$V1188</f>
        <v>11</v>
      </c>
      <c r="X1188">
        <f>IF(AND($L1188=1,AND(对接源_01水果!$X1188="自备筐",N(对接源_01水果!$T1188)&lt;&gt;0)),1,0)</f>
        <v>0</v>
      </c>
      <c r="Y1188">
        <f>N(Y1187)+$X1188</f>
        <v>0</v>
      </c>
      <c r="Z1188">
        <f>IF(AND($M1188=1,对接源_01水果!$D1188="原料入库"),1,0)</f>
        <v>0</v>
      </c>
      <c r="AA1188">
        <f>N(AA1187)+$Z1188</f>
        <v>24</v>
      </c>
      <c r="AB1188">
        <f>IF(AND($M1188=1,LEFT(对接源_01水果!$D1188,4)="原料出库"),1,0)</f>
        <v>0</v>
      </c>
      <c r="AC1188">
        <f>N(AC1187)+$AB1188</f>
        <v>0</v>
      </c>
      <c r="AD1188">
        <f>IF(AND($M1188=1,LEFT(对接源_01水果!$D1188,4)="成品出库"),1,0)</f>
        <v>0</v>
      </c>
      <c r="AE1188">
        <f>N(AE1187)+$AD1188</f>
        <v>0</v>
      </c>
      <c r="AF1188">
        <f>IF(AND($N1188=1,AND(LEFT(对接源_01水果!$D1188,4)="包装物料",N(对接源_01水果!$K1188)&lt;&gt;0)),1,0)</f>
        <v>0</v>
      </c>
      <c r="AG1188">
        <f>N(AG1187)+$AF1188</f>
        <v>0</v>
      </c>
      <c r="AH1188">
        <f>IF(AND($N1188=1,AND(对接源_01水果!$D1188="周转筐－销售出库",N(对接源_01水果!$K1188)&lt;&gt;0)),1,0)</f>
        <v>0</v>
      </c>
      <c r="AI1188">
        <f>N(AI1187)+$AH1188</f>
        <v>0</v>
      </c>
      <c r="AJ1188" s="7" t="n"/>
      <c r="AL1188">
        <f>IF(OR($AL$1="",对接源_01水果!$Y1188="",对接源_01水果!$Y1188&lt;&gt;$AL$1,对接源_01水果!$B1188="",N(对接源_01水果!$AJ1188)&lt;=0),0,IF(OR(N(对接源_01水果!$B1188)&lt;$AL$2,N(对接源_01水果!$B1188)&gt;$AL$3),0,1))</f>
        <v>0</v>
      </c>
      <c r="AM1188">
        <f>N(AM1187)+$AL1188</f>
        <v>2</v>
      </c>
      <c r="AN1188">
        <f>IF(对接源_01水果!$AC1188="","",对接源_01水果!$AC1188)</f>
      </c>
      <c r="AO1188">
        <f>IF(AN1188="",0,IF(MATCH(AN1188,$AN$4:$AN$1203,0)=ROW()-3,1,0))</f>
        <v>0</v>
      </c>
      <c r="AP1188">
        <f>N(AP1187)+$AO1188</f>
        <v>13</v>
      </c>
      <c r="AR1188">
        <f>IF(OR($AF1188=1,$AH1188=1),1,0)</f>
        <v>0</v>
      </c>
      <c r="AS1188">
        <f>N(AS1187)+$AR1188</f>
        <v>0</v>
      </c>
    </row>
    <row r="1189" ht="14.25" customHeight="1" s="127">
      <c r="A1189">
        <f>IF(对接源_01水果!$C1189="","",对接源_01水果!$C1189)</f>
      </c>
      <c r="B1189">
        <f>IF(A1189="",0,IF(MATCH(A1189,$A$4:$A$2403,0)=ROW()-3,1,0))</f>
        <v>0</v>
      </c>
      <c r="C1189">
        <f>N(C1188)+B1189</f>
        <v>22</v>
      </c>
      <c r="K1189">
        <f>IF(OR($K$1="",对接源_01水果!$C1189="",对接源_01水果!$C1189&lt;&gt;$K$1,对接源_01水果!$B1189=""),0,IF(OR(N(对接源_01水果!$B1189)&lt;$K$2,N(对接源_01水果!$B1189)&gt;$K$3),0,1))</f>
        <v>0</v>
      </c>
      <c r="L1189">
        <f>IF(OR($L$1="",对接源_01水果!$C1189="",对接源_01水果!$C1189&lt;&gt;$L$1,对接源_01水果!$B1189=""),0,IF(OR(N(对接源_01水果!$B1189)&lt;$L$2,N(对接源_01水果!$B1189)&gt;$L$3),0,1))</f>
        <v>0</v>
      </c>
      <c r="M1189">
        <f>IF(OR($M$1="",对接源_01水果!$C1189="",对接源_01水果!$C1189&lt;&gt;$M$1,对接源_01水果!$B1189=""),0,IF(OR(N(对接源_01水果!$B1189)&lt;$M$2,N(对接源_01水果!$B1189)&gt;$M$3),0,1))</f>
        <v>0</v>
      </c>
      <c r="N1189">
        <f>IF(OR($N$1="",对接源_01水果!$C1189="",对接源_01水果!$C1189&lt;&gt;$N$1,对接源_01水果!$B1189=""),0,IF(OR(N(对接源_01水果!$B1189)&lt;$N$2,N(对接源_01水果!$B1189)&gt;$N$3),0,1))</f>
        <v>0</v>
      </c>
      <c r="P1189">
        <f>IF(AND($K1189=1,AND(对接源_01水果!$X1189="公司筐",N(对接源_01水果!$T1189)&lt;&gt;0)),1,0)</f>
        <v>0</v>
      </c>
      <c r="Q1189">
        <f>N(Q1188)+$P1189</f>
        <v>0</v>
      </c>
      <c r="R1189">
        <f>IF(AND($K1189=1,AND(对接源_01水果!$X1189="公司筐",N(对接源_01水果!$U1189)&lt;&gt;0)),1,0)</f>
        <v>0</v>
      </c>
      <c r="S1189">
        <f>N(S1188)+$R1189</f>
        <v>0</v>
      </c>
      <c r="T1189">
        <f>IF(AND($K1189=1,AND(对接源_01水果!$X1189="公司筐",N(对接源_01水果!$V1189)&lt;&gt;0)),1,0)</f>
        <v>0</v>
      </c>
      <c r="U1189">
        <f>N(U1188)+$T1189</f>
        <v>47</v>
      </c>
      <c r="V1189">
        <f>IF(AND($L1189=1,AND(对接源_01水果!$X1189="自备筐",N(对接源_01水果!$V1189)&lt;&gt;0)),1,0)</f>
        <v>0</v>
      </c>
      <c r="W1189">
        <f>N(W1188)+$V1189</f>
        <v>11</v>
      </c>
      <c r="X1189">
        <f>IF(AND($L1189=1,AND(对接源_01水果!$X1189="自备筐",N(对接源_01水果!$T1189)&lt;&gt;0)),1,0)</f>
        <v>0</v>
      </c>
      <c r="Y1189">
        <f>N(Y1188)+$X1189</f>
        <v>0</v>
      </c>
      <c r="Z1189">
        <f>IF(AND($M1189=1,对接源_01水果!$D1189="原料入库"),1,0)</f>
        <v>0</v>
      </c>
      <c r="AA1189">
        <f>N(AA1188)+$Z1189</f>
        <v>24</v>
      </c>
      <c r="AB1189">
        <f>IF(AND($M1189=1,LEFT(对接源_01水果!$D1189,4)="原料出库"),1,0)</f>
        <v>0</v>
      </c>
      <c r="AC1189">
        <f>N(AC1188)+$AB1189</f>
        <v>0</v>
      </c>
      <c r="AD1189">
        <f>IF(AND($M1189=1,LEFT(对接源_01水果!$D1189,4)="成品出库"),1,0)</f>
        <v>0</v>
      </c>
      <c r="AE1189">
        <f>N(AE1188)+$AD1189</f>
        <v>0</v>
      </c>
      <c r="AF1189">
        <f>IF(AND($N1189=1,AND(LEFT(对接源_01水果!$D1189,4)="包装物料",N(对接源_01水果!$K1189)&lt;&gt;0)),1,0)</f>
        <v>0</v>
      </c>
      <c r="AG1189">
        <f>N(AG1188)+$AF1189</f>
        <v>0</v>
      </c>
      <c r="AH1189">
        <f>IF(AND($N1189=1,AND(对接源_01水果!$D1189="周转筐－销售出库",N(对接源_01水果!$K1189)&lt;&gt;0)),1,0)</f>
        <v>0</v>
      </c>
      <c r="AI1189">
        <f>N(AI1188)+$AH1189</f>
        <v>0</v>
      </c>
      <c r="AJ1189" s="7" t="n"/>
      <c r="AL1189">
        <f>IF(OR($AL$1="",对接源_01水果!$Y1189="",对接源_01水果!$Y1189&lt;&gt;$AL$1,对接源_01水果!$B1189="",N(对接源_01水果!$AJ1189)&lt;=0),0,IF(OR(N(对接源_01水果!$B1189)&lt;$AL$2,N(对接源_01水果!$B1189)&gt;$AL$3),0,1))</f>
        <v>0</v>
      </c>
      <c r="AM1189">
        <f>N(AM1188)+$AL1189</f>
        <v>2</v>
      </c>
      <c r="AN1189">
        <f>IF(对接源_01水果!$AC1189="","",对接源_01水果!$AC1189)</f>
      </c>
      <c r="AO1189">
        <f>IF(AN1189="",0,IF(MATCH(AN1189,$AN$4:$AN$1203,0)=ROW()-3,1,0))</f>
        <v>0</v>
      </c>
      <c r="AP1189">
        <f>N(AP1188)+$AO1189</f>
        <v>13</v>
      </c>
      <c r="AR1189">
        <f>IF(OR($AF1189=1,$AH1189=1),1,0)</f>
        <v>0</v>
      </c>
      <c r="AS1189">
        <f>N(AS1188)+$AR1189</f>
        <v>0</v>
      </c>
    </row>
    <row r="1190" ht="14.25" customHeight="1" s="127">
      <c r="A1190">
        <f>IF(对接源_01水果!$C1190="","",对接源_01水果!$C1190)</f>
      </c>
      <c r="B1190">
        <f>IF(A1190="",0,IF(MATCH(A1190,$A$4:$A$2403,0)=ROW()-3,1,0))</f>
        <v>0</v>
      </c>
      <c r="C1190">
        <f>N(C1189)+B1190</f>
        <v>22</v>
      </c>
      <c r="K1190">
        <f>IF(OR($K$1="",对接源_01水果!$C1190="",对接源_01水果!$C1190&lt;&gt;$K$1,对接源_01水果!$B1190=""),0,IF(OR(N(对接源_01水果!$B1190)&lt;$K$2,N(对接源_01水果!$B1190)&gt;$K$3),0,1))</f>
        <v>0</v>
      </c>
      <c r="L1190">
        <f>IF(OR($L$1="",对接源_01水果!$C1190="",对接源_01水果!$C1190&lt;&gt;$L$1,对接源_01水果!$B1190=""),0,IF(OR(N(对接源_01水果!$B1190)&lt;$L$2,N(对接源_01水果!$B1190)&gt;$L$3),0,1))</f>
        <v>0</v>
      </c>
      <c r="M1190">
        <f>IF(OR($M$1="",对接源_01水果!$C1190="",对接源_01水果!$C1190&lt;&gt;$M$1,对接源_01水果!$B1190=""),0,IF(OR(N(对接源_01水果!$B1190)&lt;$M$2,N(对接源_01水果!$B1190)&gt;$M$3),0,1))</f>
        <v>0</v>
      </c>
      <c r="N1190">
        <f>IF(OR($N$1="",对接源_01水果!$C1190="",对接源_01水果!$C1190&lt;&gt;$N$1,对接源_01水果!$B1190=""),0,IF(OR(N(对接源_01水果!$B1190)&lt;$N$2,N(对接源_01水果!$B1190)&gt;$N$3),0,1))</f>
        <v>0</v>
      </c>
      <c r="P1190">
        <f>IF(AND($K1190=1,AND(对接源_01水果!$X1190="公司筐",N(对接源_01水果!$T1190)&lt;&gt;0)),1,0)</f>
        <v>0</v>
      </c>
      <c r="Q1190">
        <f>N(Q1189)+$P1190</f>
        <v>0</v>
      </c>
      <c r="R1190">
        <f>IF(AND($K1190=1,AND(对接源_01水果!$X1190="公司筐",N(对接源_01水果!$U1190)&lt;&gt;0)),1,0)</f>
        <v>0</v>
      </c>
      <c r="S1190">
        <f>N(S1189)+$R1190</f>
        <v>0</v>
      </c>
      <c r="T1190">
        <f>IF(AND($K1190=1,AND(对接源_01水果!$X1190="公司筐",N(对接源_01水果!$V1190)&lt;&gt;0)),1,0)</f>
        <v>0</v>
      </c>
      <c r="U1190">
        <f>N(U1189)+$T1190</f>
        <v>47</v>
      </c>
      <c r="V1190">
        <f>IF(AND($L1190=1,AND(对接源_01水果!$X1190="自备筐",N(对接源_01水果!$V1190)&lt;&gt;0)),1,0)</f>
        <v>0</v>
      </c>
      <c r="W1190">
        <f>N(W1189)+$V1190</f>
        <v>11</v>
      </c>
      <c r="X1190">
        <f>IF(AND($L1190=1,AND(对接源_01水果!$X1190="自备筐",N(对接源_01水果!$T1190)&lt;&gt;0)),1,0)</f>
        <v>0</v>
      </c>
      <c r="Y1190">
        <f>N(Y1189)+$X1190</f>
        <v>0</v>
      </c>
      <c r="Z1190">
        <f>IF(AND($M1190=1,对接源_01水果!$D1190="原料入库"),1,0)</f>
        <v>0</v>
      </c>
      <c r="AA1190">
        <f>N(AA1189)+$Z1190</f>
        <v>24</v>
      </c>
      <c r="AB1190">
        <f>IF(AND($M1190=1,LEFT(对接源_01水果!$D1190,4)="原料出库"),1,0)</f>
        <v>0</v>
      </c>
      <c r="AC1190">
        <f>N(AC1189)+$AB1190</f>
        <v>0</v>
      </c>
      <c r="AD1190">
        <f>IF(AND($M1190=1,LEFT(对接源_01水果!$D1190,4)="成品出库"),1,0)</f>
        <v>0</v>
      </c>
      <c r="AE1190">
        <f>N(AE1189)+$AD1190</f>
        <v>0</v>
      </c>
      <c r="AF1190">
        <f>IF(AND($N1190=1,AND(LEFT(对接源_01水果!$D1190,4)="包装物料",N(对接源_01水果!$K1190)&lt;&gt;0)),1,0)</f>
        <v>0</v>
      </c>
      <c r="AG1190">
        <f>N(AG1189)+$AF1190</f>
        <v>0</v>
      </c>
      <c r="AH1190">
        <f>IF(AND($N1190=1,AND(对接源_01水果!$D1190="周转筐－销售出库",N(对接源_01水果!$K1190)&lt;&gt;0)),1,0)</f>
        <v>0</v>
      </c>
      <c r="AI1190">
        <f>N(AI1189)+$AH1190</f>
        <v>0</v>
      </c>
      <c r="AJ1190" s="7" t="n"/>
      <c r="AL1190">
        <f>IF(OR($AL$1="",对接源_01水果!$Y1190="",对接源_01水果!$Y1190&lt;&gt;$AL$1,对接源_01水果!$B1190="",N(对接源_01水果!$AJ1190)&lt;=0),0,IF(OR(N(对接源_01水果!$B1190)&lt;$AL$2,N(对接源_01水果!$B1190)&gt;$AL$3),0,1))</f>
        <v>0</v>
      </c>
      <c r="AM1190">
        <f>N(AM1189)+$AL1190</f>
        <v>2</v>
      </c>
      <c r="AN1190">
        <f>IF(对接源_01水果!$AC1190="","",对接源_01水果!$AC1190)</f>
      </c>
      <c r="AO1190">
        <f>IF(AN1190="",0,IF(MATCH(AN1190,$AN$4:$AN$1203,0)=ROW()-3,1,0))</f>
        <v>0</v>
      </c>
      <c r="AP1190">
        <f>N(AP1189)+$AO1190</f>
        <v>13</v>
      </c>
      <c r="AR1190">
        <f>IF(OR($AF1190=1,$AH1190=1),1,0)</f>
        <v>0</v>
      </c>
      <c r="AS1190">
        <f>N(AS1189)+$AR1190</f>
        <v>0</v>
      </c>
    </row>
    <row r="1191" ht="14.25" customHeight="1" s="127">
      <c r="A1191">
        <f>IF(对接源_01水果!$C1191="","",对接源_01水果!$C1191)</f>
      </c>
      <c r="B1191">
        <f>IF(A1191="",0,IF(MATCH(A1191,$A$4:$A$2403,0)=ROW()-3,1,0))</f>
        <v>0</v>
      </c>
      <c r="C1191">
        <f>N(C1190)+B1191</f>
        <v>22</v>
      </c>
      <c r="K1191">
        <f>IF(OR($K$1="",对接源_01水果!$C1191="",对接源_01水果!$C1191&lt;&gt;$K$1,对接源_01水果!$B1191=""),0,IF(OR(N(对接源_01水果!$B1191)&lt;$K$2,N(对接源_01水果!$B1191)&gt;$K$3),0,1))</f>
        <v>0</v>
      </c>
      <c r="L1191">
        <f>IF(OR($L$1="",对接源_01水果!$C1191="",对接源_01水果!$C1191&lt;&gt;$L$1,对接源_01水果!$B1191=""),0,IF(OR(N(对接源_01水果!$B1191)&lt;$L$2,N(对接源_01水果!$B1191)&gt;$L$3),0,1))</f>
        <v>0</v>
      </c>
      <c r="M1191">
        <f>IF(OR($M$1="",对接源_01水果!$C1191="",对接源_01水果!$C1191&lt;&gt;$M$1,对接源_01水果!$B1191=""),0,IF(OR(N(对接源_01水果!$B1191)&lt;$M$2,N(对接源_01水果!$B1191)&gt;$M$3),0,1))</f>
        <v>0</v>
      </c>
      <c r="N1191">
        <f>IF(OR($N$1="",对接源_01水果!$C1191="",对接源_01水果!$C1191&lt;&gt;$N$1,对接源_01水果!$B1191=""),0,IF(OR(N(对接源_01水果!$B1191)&lt;$N$2,N(对接源_01水果!$B1191)&gt;$N$3),0,1))</f>
        <v>0</v>
      </c>
      <c r="P1191">
        <f>IF(AND($K1191=1,AND(对接源_01水果!$X1191="公司筐",N(对接源_01水果!$T1191)&lt;&gt;0)),1,0)</f>
        <v>0</v>
      </c>
      <c r="Q1191">
        <f>N(Q1190)+$P1191</f>
        <v>0</v>
      </c>
      <c r="R1191">
        <f>IF(AND($K1191=1,AND(对接源_01水果!$X1191="公司筐",N(对接源_01水果!$U1191)&lt;&gt;0)),1,0)</f>
        <v>0</v>
      </c>
      <c r="S1191">
        <f>N(S1190)+$R1191</f>
        <v>0</v>
      </c>
      <c r="T1191">
        <f>IF(AND($K1191=1,AND(对接源_01水果!$X1191="公司筐",N(对接源_01水果!$V1191)&lt;&gt;0)),1,0)</f>
        <v>0</v>
      </c>
      <c r="U1191">
        <f>N(U1190)+$T1191</f>
        <v>47</v>
      </c>
      <c r="V1191">
        <f>IF(AND($L1191=1,AND(对接源_01水果!$X1191="自备筐",N(对接源_01水果!$V1191)&lt;&gt;0)),1,0)</f>
        <v>0</v>
      </c>
      <c r="W1191">
        <f>N(W1190)+$V1191</f>
        <v>11</v>
      </c>
      <c r="X1191">
        <f>IF(AND($L1191=1,AND(对接源_01水果!$X1191="自备筐",N(对接源_01水果!$T1191)&lt;&gt;0)),1,0)</f>
        <v>0</v>
      </c>
      <c r="Y1191">
        <f>N(Y1190)+$X1191</f>
        <v>0</v>
      </c>
      <c r="Z1191">
        <f>IF(AND($M1191=1,对接源_01水果!$D1191="原料入库"),1,0)</f>
        <v>0</v>
      </c>
      <c r="AA1191">
        <f>N(AA1190)+$Z1191</f>
        <v>24</v>
      </c>
      <c r="AB1191">
        <f>IF(AND($M1191=1,LEFT(对接源_01水果!$D1191,4)="原料出库"),1,0)</f>
        <v>0</v>
      </c>
      <c r="AC1191">
        <f>N(AC1190)+$AB1191</f>
        <v>0</v>
      </c>
      <c r="AD1191">
        <f>IF(AND($M1191=1,LEFT(对接源_01水果!$D1191,4)="成品出库"),1,0)</f>
        <v>0</v>
      </c>
      <c r="AE1191">
        <f>N(AE1190)+$AD1191</f>
        <v>0</v>
      </c>
      <c r="AF1191">
        <f>IF(AND($N1191=1,AND(LEFT(对接源_01水果!$D1191,4)="包装物料",N(对接源_01水果!$K1191)&lt;&gt;0)),1,0)</f>
        <v>0</v>
      </c>
      <c r="AG1191">
        <f>N(AG1190)+$AF1191</f>
        <v>0</v>
      </c>
      <c r="AH1191">
        <f>IF(AND($N1191=1,AND(对接源_01水果!$D1191="周转筐－销售出库",N(对接源_01水果!$K1191)&lt;&gt;0)),1,0)</f>
        <v>0</v>
      </c>
      <c r="AI1191">
        <f>N(AI1190)+$AH1191</f>
        <v>0</v>
      </c>
      <c r="AJ1191" s="7" t="n"/>
      <c r="AL1191">
        <f>IF(OR($AL$1="",对接源_01水果!$Y1191="",对接源_01水果!$Y1191&lt;&gt;$AL$1,对接源_01水果!$B1191="",N(对接源_01水果!$AJ1191)&lt;=0),0,IF(OR(N(对接源_01水果!$B1191)&lt;$AL$2,N(对接源_01水果!$B1191)&gt;$AL$3),0,1))</f>
        <v>0</v>
      </c>
      <c r="AM1191">
        <f>N(AM1190)+$AL1191</f>
        <v>2</v>
      </c>
      <c r="AN1191">
        <f>IF(对接源_01水果!$AC1191="","",对接源_01水果!$AC1191)</f>
      </c>
      <c r="AO1191">
        <f>IF(AN1191="",0,IF(MATCH(AN1191,$AN$4:$AN$1203,0)=ROW()-3,1,0))</f>
        <v>0</v>
      </c>
      <c r="AP1191">
        <f>N(AP1190)+$AO1191</f>
        <v>13</v>
      </c>
      <c r="AR1191">
        <f>IF(OR($AF1191=1,$AH1191=1),1,0)</f>
        <v>0</v>
      </c>
      <c r="AS1191">
        <f>N(AS1190)+$AR1191</f>
        <v>0</v>
      </c>
    </row>
    <row r="1192" ht="14.25" customHeight="1" s="127">
      <c r="A1192">
        <f>IF(对接源_01水果!$C1192="","",对接源_01水果!$C1192)</f>
      </c>
      <c r="B1192">
        <f>IF(A1192="",0,IF(MATCH(A1192,$A$4:$A$2403,0)=ROW()-3,1,0))</f>
        <v>0</v>
      </c>
      <c r="C1192">
        <f>N(C1191)+B1192</f>
        <v>22</v>
      </c>
      <c r="K1192">
        <f>IF(OR($K$1="",对接源_01水果!$C1192="",对接源_01水果!$C1192&lt;&gt;$K$1,对接源_01水果!$B1192=""),0,IF(OR(N(对接源_01水果!$B1192)&lt;$K$2,N(对接源_01水果!$B1192)&gt;$K$3),0,1))</f>
        <v>0</v>
      </c>
      <c r="L1192">
        <f>IF(OR($L$1="",对接源_01水果!$C1192="",对接源_01水果!$C1192&lt;&gt;$L$1,对接源_01水果!$B1192=""),0,IF(OR(N(对接源_01水果!$B1192)&lt;$L$2,N(对接源_01水果!$B1192)&gt;$L$3),0,1))</f>
        <v>0</v>
      </c>
      <c r="M1192">
        <f>IF(OR($M$1="",对接源_01水果!$C1192="",对接源_01水果!$C1192&lt;&gt;$M$1,对接源_01水果!$B1192=""),0,IF(OR(N(对接源_01水果!$B1192)&lt;$M$2,N(对接源_01水果!$B1192)&gt;$M$3),0,1))</f>
        <v>0</v>
      </c>
      <c r="N1192">
        <f>IF(OR($N$1="",对接源_01水果!$C1192="",对接源_01水果!$C1192&lt;&gt;$N$1,对接源_01水果!$B1192=""),0,IF(OR(N(对接源_01水果!$B1192)&lt;$N$2,N(对接源_01水果!$B1192)&gt;$N$3),0,1))</f>
        <v>0</v>
      </c>
      <c r="P1192">
        <f>IF(AND($K1192=1,AND(对接源_01水果!$X1192="公司筐",N(对接源_01水果!$T1192)&lt;&gt;0)),1,0)</f>
        <v>0</v>
      </c>
      <c r="Q1192">
        <f>N(Q1191)+$P1192</f>
        <v>0</v>
      </c>
      <c r="R1192">
        <f>IF(AND($K1192=1,AND(对接源_01水果!$X1192="公司筐",N(对接源_01水果!$U1192)&lt;&gt;0)),1,0)</f>
        <v>0</v>
      </c>
      <c r="S1192">
        <f>N(S1191)+$R1192</f>
        <v>0</v>
      </c>
      <c r="T1192">
        <f>IF(AND($K1192=1,AND(对接源_01水果!$X1192="公司筐",N(对接源_01水果!$V1192)&lt;&gt;0)),1,0)</f>
        <v>0</v>
      </c>
      <c r="U1192">
        <f>N(U1191)+$T1192</f>
        <v>47</v>
      </c>
      <c r="V1192">
        <f>IF(AND($L1192=1,AND(对接源_01水果!$X1192="自备筐",N(对接源_01水果!$V1192)&lt;&gt;0)),1,0)</f>
        <v>0</v>
      </c>
      <c r="W1192">
        <f>N(W1191)+$V1192</f>
        <v>11</v>
      </c>
      <c r="X1192">
        <f>IF(AND($L1192=1,AND(对接源_01水果!$X1192="自备筐",N(对接源_01水果!$T1192)&lt;&gt;0)),1,0)</f>
        <v>0</v>
      </c>
      <c r="Y1192">
        <f>N(Y1191)+$X1192</f>
        <v>0</v>
      </c>
      <c r="Z1192">
        <f>IF(AND($M1192=1,对接源_01水果!$D1192="原料入库"),1,0)</f>
        <v>0</v>
      </c>
      <c r="AA1192">
        <f>N(AA1191)+$Z1192</f>
        <v>24</v>
      </c>
      <c r="AB1192">
        <f>IF(AND($M1192=1,LEFT(对接源_01水果!$D1192,4)="原料出库"),1,0)</f>
        <v>0</v>
      </c>
      <c r="AC1192">
        <f>N(AC1191)+$AB1192</f>
        <v>0</v>
      </c>
      <c r="AD1192">
        <f>IF(AND($M1192=1,LEFT(对接源_01水果!$D1192,4)="成品出库"),1,0)</f>
        <v>0</v>
      </c>
      <c r="AE1192">
        <f>N(AE1191)+$AD1192</f>
        <v>0</v>
      </c>
      <c r="AF1192">
        <f>IF(AND($N1192=1,AND(LEFT(对接源_01水果!$D1192,4)="包装物料",N(对接源_01水果!$K1192)&lt;&gt;0)),1,0)</f>
        <v>0</v>
      </c>
      <c r="AG1192">
        <f>N(AG1191)+$AF1192</f>
        <v>0</v>
      </c>
      <c r="AH1192">
        <f>IF(AND($N1192=1,AND(对接源_01水果!$D1192="周转筐－销售出库",N(对接源_01水果!$K1192)&lt;&gt;0)),1,0)</f>
        <v>0</v>
      </c>
      <c r="AI1192">
        <f>N(AI1191)+$AH1192</f>
        <v>0</v>
      </c>
      <c r="AJ1192" s="7" t="n"/>
      <c r="AL1192">
        <f>IF(OR($AL$1="",对接源_01水果!$Y1192="",对接源_01水果!$Y1192&lt;&gt;$AL$1,对接源_01水果!$B1192="",N(对接源_01水果!$AJ1192)&lt;=0),0,IF(OR(N(对接源_01水果!$B1192)&lt;$AL$2,N(对接源_01水果!$B1192)&gt;$AL$3),0,1))</f>
        <v>0</v>
      </c>
      <c r="AM1192">
        <f>N(AM1191)+$AL1192</f>
        <v>2</v>
      </c>
      <c r="AN1192">
        <f>IF(对接源_01水果!$AC1192="","",对接源_01水果!$AC1192)</f>
      </c>
      <c r="AO1192">
        <f>IF(AN1192="",0,IF(MATCH(AN1192,$AN$4:$AN$1203,0)=ROW()-3,1,0))</f>
        <v>0</v>
      </c>
      <c r="AP1192">
        <f>N(AP1191)+$AO1192</f>
        <v>13</v>
      </c>
      <c r="AR1192">
        <f>IF(OR($AF1192=1,$AH1192=1),1,0)</f>
        <v>0</v>
      </c>
      <c r="AS1192">
        <f>N(AS1191)+$AR1192</f>
        <v>0</v>
      </c>
    </row>
    <row r="1193" ht="14.25" customHeight="1" s="127">
      <c r="A1193">
        <f>IF(对接源_01水果!$C1193="","",对接源_01水果!$C1193)</f>
      </c>
      <c r="B1193">
        <f>IF(A1193="",0,IF(MATCH(A1193,$A$4:$A$2403,0)=ROW()-3,1,0))</f>
        <v>0</v>
      </c>
      <c r="C1193">
        <f>N(C1192)+B1193</f>
        <v>22</v>
      </c>
      <c r="K1193">
        <f>IF(OR($K$1="",对接源_01水果!$C1193="",对接源_01水果!$C1193&lt;&gt;$K$1,对接源_01水果!$B1193=""),0,IF(OR(N(对接源_01水果!$B1193)&lt;$K$2,N(对接源_01水果!$B1193)&gt;$K$3),0,1))</f>
        <v>0</v>
      </c>
      <c r="L1193">
        <f>IF(OR($L$1="",对接源_01水果!$C1193="",对接源_01水果!$C1193&lt;&gt;$L$1,对接源_01水果!$B1193=""),0,IF(OR(N(对接源_01水果!$B1193)&lt;$L$2,N(对接源_01水果!$B1193)&gt;$L$3),0,1))</f>
        <v>0</v>
      </c>
      <c r="M1193">
        <f>IF(OR($M$1="",对接源_01水果!$C1193="",对接源_01水果!$C1193&lt;&gt;$M$1,对接源_01水果!$B1193=""),0,IF(OR(N(对接源_01水果!$B1193)&lt;$M$2,N(对接源_01水果!$B1193)&gt;$M$3),0,1))</f>
        <v>0</v>
      </c>
      <c r="N1193">
        <f>IF(OR($N$1="",对接源_01水果!$C1193="",对接源_01水果!$C1193&lt;&gt;$N$1,对接源_01水果!$B1193=""),0,IF(OR(N(对接源_01水果!$B1193)&lt;$N$2,N(对接源_01水果!$B1193)&gt;$N$3),0,1))</f>
        <v>0</v>
      </c>
      <c r="P1193">
        <f>IF(AND($K1193=1,AND(对接源_01水果!$X1193="公司筐",N(对接源_01水果!$T1193)&lt;&gt;0)),1,0)</f>
        <v>0</v>
      </c>
      <c r="Q1193">
        <f>N(Q1192)+$P1193</f>
        <v>0</v>
      </c>
      <c r="R1193">
        <f>IF(AND($K1193=1,AND(对接源_01水果!$X1193="公司筐",N(对接源_01水果!$U1193)&lt;&gt;0)),1,0)</f>
        <v>0</v>
      </c>
      <c r="S1193">
        <f>N(S1192)+$R1193</f>
        <v>0</v>
      </c>
      <c r="T1193">
        <f>IF(AND($K1193=1,AND(对接源_01水果!$X1193="公司筐",N(对接源_01水果!$V1193)&lt;&gt;0)),1,0)</f>
        <v>0</v>
      </c>
      <c r="U1193">
        <f>N(U1192)+$T1193</f>
        <v>47</v>
      </c>
      <c r="V1193">
        <f>IF(AND($L1193=1,AND(对接源_01水果!$X1193="自备筐",N(对接源_01水果!$V1193)&lt;&gt;0)),1,0)</f>
        <v>0</v>
      </c>
      <c r="W1193">
        <f>N(W1192)+$V1193</f>
        <v>11</v>
      </c>
      <c r="X1193">
        <f>IF(AND($L1193=1,AND(对接源_01水果!$X1193="自备筐",N(对接源_01水果!$T1193)&lt;&gt;0)),1,0)</f>
        <v>0</v>
      </c>
      <c r="Y1193">
        <f>N(Y1192)+$X1193</f>
        <v>0</v>
      </c>
      <c r="Z1193">
        <f>IF(AND($M1193=1,对接源_01水果!$D1193="原料入库"),1,0)</f>
        <v>0</v>
      </c>
      <c r="AA1193">
        <f>N(AA1192)+$Z1193</f>
        <v>24</v>
      </c>
      <c r="AB1193">
        <f>IF(AND($M1193=1,LEFT(对接源_01水果!$D1193,4)="原料出库"),1,0)</f>
        <v>0</v>
      </c>
      <c r="AC1193">
        <f>N(AC1192)+$AB1193</f>
        <v>0</v>
      </c>
      <c r="AD1193">
        <f>IF(AND($M1193=1,LEFT(对接源_01水果!$D1193,4)="成品出库"),1,0)</f>
        <v>0</v>
      </c>
      <c r="AE1193">
        <f>N(AE1192)+$AD1193</f>
        <v>0</v>
      </c>
      <c r="AF1193">
        <f>IF(AND($N1193=1,AND(LEFT(对接源_01水果!$D1193,4)="包装物料",N(对接源_01水果!$K1193)&lt;&gt;0)),1,0)</f>
        <v>0</v>
      </c>
      <c r="AG1193">
        <f>N(AG1192)+$AF1193</f>
        <v>0</v>
      </c>
      <c r="AH1193">
        <f>IF(AND($N1193=1,AND(对接源_01水果!$D1193="周转筐－销售出库",N(对接源_01水果!$K1193)&lt;&gt;0)),1,0)</f>
        <v>0</v>
      </c>
      <c r="AI1193">
        <f>N(AI1192)+$AH1193</f>
        <v>0</v>
      </c>
      <c r="AJ1193" s="7" t="n"/>
      <c r="AL1193">
        <f>IF(OR($AL$1="",对接源_01水果!$Y1193="",对接源_01水果!$Y1193&lt;&gt;$AL$1,对接源_01水果!$B1193="",N(对接源_01水果!$AJ1193)&lt;=0),0,IF(OR(N(对接源_01水果!$B1193)&lt;$AL$2,N(对接源_01水果!$B1193)&gt;$AL$3),0,1))</f>
        <v>0</v>
      </c>
      <c r="AM1193">
        <f>N(AM1192)+$AL1193</f>
        <v>2</v>
      </c>
      <c r="AN1193">
        <f>IF(对接源_01水果!$AC1193="","",对接源_01水果!$AC1193)</f>
      </c>
      <c r="AO1193">
        <f>IF(AN1193="",0,IF(MATCH(AN1193,$AN$4:$AN$1203,0)=ROW()-3,1,0))</f>
        <v>0</v>
      </c>
      <c r="AP1193">
        <f>N(AP1192)+$AO1193</f>
        <v>13</v>
      </c>
      <c r="AR1193">
        <f>IF(OR($AF1193=1,$AH1193=1),1,0)</f>
        <v>0</v>
      </c>
      <c r="AS1193">
        <f>N(AS1192)+$AR1193</f>
        <v>0</v>
      </c>
    </row>
    <row r="1194" ht="14.25" customHeight="1" s="127">
      <c r="A1194">
        <f>IF(对接源_01水果!$C1194="","",对接源_01水果!$C1194)</f>
      </c>
      <c r="B1194">
        <f>IF(A1194="",0,IF(MATCH(A1194,$A$4:$A$2403,0)=ROW()-3,1,0))</f>
        <v>0</v>
      </c>
      <c r="C1194">
        <f>N(C1193)+B1194</f>
        <v>22</v>
      </c>
      <c r="K1194">
        <f>IF(OR($K$1="",对接源_01水果!$C1194="",对接源_01水果!$C1194&lt;&gt;$K$1,对接源_01水果!$B1194=""),0,IF(OR(N(对接源_01水果!$B1194)&lt;$K$2,N(对接源_01水果!$B1194)&gt;$K$3),0,1))</f>
        <v>0</v>
      </c>
      <c r="L1194">
        <f>IF(OR($L$1="",对接源_01水果!$C1194="",对接源_01水果!$C1194&lt;&gt;$L$1,对接源_01水果!$B1194=""),0,IF(OR(N(对接源_01水果!$B1194)&lt;$L$2,N(对接源_01水果!$B1194)&gt;$L$3),0,1))</f>
        <v>0</v>
      </c>
      <c r="M1194">
        <f>IF(OR($M$1="",对接源_01水果!$C1194="",对接源_01水果!$C1194&lt;&gt;$M$1,对接源_01水果!$B1194=""),0,IF(OR(N(对接源_01水果!$B1194)&lt;$M$2,N(对接源_01水果!$B1194)&gt;$M$3),0,1))</f>
        <v>0</v>
      </c>
      <c r="N1194">
        <f>IF(OR($N$1="",对接源_01水果!$C1194="",对接源_01水果!$C1194&lt;&gt;$N$1,对接源_01水果!$B1194=""),0,IF(OR(N(对接源_01水果!$B1194)&lt;$N$2,N(对接源_01水果!$B1194)&gt;$N$3),0,1))</f>
        <v>0</v>
      </c>
      <c r="P1194">
        <f>IF(AND($K1194=1,AND(对接源_01水果!$X1194="公司筐",N(对接源_01水果!$T1194)&lt;&gt;0)),1,0)</f>
        <v>0</v>
      </c>
      <c r="Q1194">
        <f>N(Q1193)+$P1194</f>
        <v>0</v>
      </c>
      <c r="R1194">
        <f>IF(AND($K1194=1,AND(对接源_01水果!$X1194="公司筐",N(对接源_01水果!$U1194)&lt;&gt;0)),1,0)</f>
        <v>0</v>
      </c>
      <c r="S1194">
        <f>N(S1193)+$R1194</f>
        <v>0</v>
      </c>
      <c r="T1194">
        <f>IF(AND($K1194=1,AND(对接源_01水果!$X1194="公司筐",N(对接源_01水果!$V1194)&lt;&gt;0)),1,0)</f>
        <v>0</v>
      </c>
      <c r="U1194">
        <f>N(U1193)+$T1194</f>
        <v>47</v>
      </c>
      <c r="V1194">
        <f>IF(AND($L1194=1,AND(对接源_01水果!$X1194="自备筐",N(对接源_01水果!$V1194)&lt;&gt;0)),1,0)</f>
        <v>0</v>
      </c>
      <c r="W1194">
        <f>N(W1193)+$V1194</f>
        <v>11</v>
      </c>
      <c r="X1194">
        <f>IF(AND($L1194=1,AND(对接源_01水果!$X1194="自备筐",N(对接源_01水果!$T1194)&lt;&gt;0)),1,0)</f>
        <v>0</v>
      </c>
      <c r="Y1194">
        <f>N(Y1193)+$X1194</f>
        <v>0</v>
      </c>
      <c r="Z1194">
        <f>IF(AND($M1194=1,对接源_01水果!$D1194="原料入库"),1,0)</f>
        <v>0</v>
      </c>
      <c r="AA1194">
        <f>N(AA1193)+$Z1194</f>
        <v>24</v>
      </c>
      <c r="AB1194">
        <f>IF(AND($M1194=1,LEFT(对接源_01水果!$D1194,4)="原料出库"),1,0)</f>
        <v>0</v>
      </c>
      <c r="AC1194">
        <f>N(AC1193)+$AB1194</f>
        <v>0</v>
      </c>
      <c r="AD1194">
        <f>IF(AND($M1194=1,LEFT(对接源_01水果!$D1194,4)="成品出库"),1,0)</f>
        <v>0</v>
      </c>
      <c r="AE1194">
        <f>N(AE1193)+$AD1194</f>
        <v>0</v>
      </c>
      <c r="AF1194">
        <f>IF(AND($N1194=1,AND(LEFT(对接源_01水果!$D1194,4)="包装物料",N(对接源_01水果!$K1194)&lt;&gt;0)),1,0)</f>
        <v>0</v>
      </c>
      <c r="AG1194">
        <f>N(AG1193)+$AF1194</f>
        <v>0</v>
      </c>
      <c r="AH1194">
        <f>IF(AND($N1194=1,AND(对接源_01水果!$D1194="周转筐－销售出库",N(对接源_01水果!$K1194)&lt;&gt;0)),1,0)</f>
        <v>0</v>
      </c>
      <c r="AI1194">
        <f>N(AI1193)+$AH1194</f>
        <v>0</v>
      </c>
      <c r="AJ1194" s="7" t="n"/>
      <c r="AL1194">
        <f>IF(OR($AL$1="",对接源_01水果!$Y1194="",对接源_01水果!$Y1194&lt;&gt;$AL$1,对接源_01水果!$B1194="",N(对接源_01水果!$AJ1194)&lt;=0),0,IF(OR(N(对接源_01水果!$B1194)&lt;$AL$2,N(对接源_01水果!$B1194)&gt;$AL$3),0,1))</f>
        <v>0</v>
      </c>
      <c r="AM1194">
        <f>N(AM1193)+$AL1194</f>
        <v>2</v>
      </c>
      <c r="AN1194">
        <f>IF(对接源_01水果!$AC1194="","",对接源_01水果!$AC1194)</f>
      </c>
      <c r="AO1194">
        <f>IF(AN1194="",0,IF(MATCH(AN1194,$AN$4:$AN$1203,0)=ROW()-3,1,0))</f>
        <v>0</v>
      </c>
      <c r="AP1194">
        <f>N(AP1193)+$AO1194</f>
        <v>13</v>
      </c>
      <c r="AR1194">
        <f>IF(OR($AF1194=1,$AH1194=1),1,0)</f>
        <v>0</v>
      </c>
      <c r="AS1194">
        <f>N(AS1193)+$AR1194</f>
        <v>0</v>
      </c>
    </row>
    <row r="1195" ht="14.25" customHeight="1" s="127">
      <c r="A1195">
        <f>IF(对接源_01水果!$C1195="","",对接源_01水果!$C1195)</f>
      </c>
      <c r="B1195">
        <f>IF(A1195="",0,IF(MATCH(A1195,$A$4:$A$2403,0)=ROW()-3,1,0))</f>
        <v>0</v>
      </c>
      <c r="C1195">
        <f>N(C1194)+B1195</f>
        <v>22</v>
      </c>
      <c r="K1195">
        <f>IF(OR($K$1="",对接源_01水果!$C1195="",对接源_01水果!$C1195&lt;&gt;$K$1,对接源_01水果!$B1195=""),0,IF(OR(N(对接源_01水果!$B1195)&lt;$K$2,N(对接源_01水果!$B1195)&gt;$K$3),0,1))</f>
        <v>0</v>
      </c>
      <c r="L1195">
        <f>IF(OR($L$1="",对接源_01水果!$C1195="",对接源_01水果!$C1195&lt;&gt;$L$1,对接源_01水果!$B1195=""),0,IF(OR(N(对接源_01水果!$B1195)&lt;$L$2,N(对接源_01水果!$B1195)&gt;$L$3),0,1))</f>
        <v>0</v>
      </c>
      <c r="M1195">
        <f>IF(OR($M$1="",对接源_01水果!$C1195="",对接源_01水果!$C1195&lt;&gt;$M$1,对接源_01水果!$B1195=""),0,IF(OR(N(对接源_01水果!$B1195)&lt;$M$2,N(对接源_01水果!$B1195)&gt;$M$3),0,1))</f>
        <v>0</v>
      </c>
      <c r="N1195">
        <f>IF(OR($N$1="",对接源_01水果!$C1195="",对接源_01水果!$C1195&lt;&gt;$N$1,对接源_01水果!$B1195=""),0,IF(OR(N(对接源_01水果!$B1195)&lt;$N$2,N(对接源_01水果!$B1195)&gt;$N$3),0,1))</f>
        <v>0</v>
      </c>
      <c r="P1195">
        <f>IF(AND($K1195=1,AND(对接源_01水果!$X1195="公司筐",N(对接源_01水果!$T1195)&lt;&gt;0)),1,0)</f>
        <v>0</v>
      </c>
      <c r="Q1195">
        <f>N(Q1194)+$P1195</f>
        <v>0</v>
      </c>
      <c r="R1195">
        <f>IF(AND($K1195=1,AND(对接源_01水果!$X1195="公司筐",N(对接源_01水果!$U1195)&lt;&gt;0)),1,0)</f>
        <v>0</v>
      </c>
      <c r="S1195">
        <f>N(S1194)+$R1195</f>
        <v>0</v>
      </c>
      <c r="T1195">
        <f>IF(AND($K1195=1,AND(对接源_01水果!$X1195="公司筐",N(对接源_01水果!$V1195)&lt;&gt;0)),1,0)</f>
        <v>0</v>
      </c>
      <c r="U1195">
        <f>N(U1194)+$T1195</f>
        <v>47</v>
      </c>
      <c r="V1195">
        <f>IF(AND($L1195=1,AND(对接源_01水果!$X1195="自备筐",N(对接源_01水果!$V1195)&lt;&gt;0)),1,0)</f>
        <v>0</v>
      </c>
      <c r="W1195">
        <f>N(W1194)+$V1195</f>
        <v>11</v>
      </c>
      <c r="X1195">
        <f>IF(AND($L1195=1,AND(对接源_01水果!$X1195="自备筐",N(对接源_01水果!$T1195)&lt;&gt;0)),1,0)</f>
        <v>0</v>
      </c>
      <c r="Y1195">
        <f>N(Y1194)+$X1195</f>
        <v>0</v>
      </c>
      <c r="Z1195">
        <f>IF(AND($M1195=1,对接源_01水果!$D1195="原料入库"),1,0)</f>
        <v>0</v>
      </c>
      <c r="AA1195">
        <f>N(AA1194)+$Z1195</f>
        <v>24</v>
      </c>
      <c r="AB1195">
        <f>IF(AND($M1195=1,LEFT(对接源_01水果!$D1195,4)="原料出库"),1,0)</f>
        <v>0</v>
      </c>
      <c r="AC1195">
        <f>N(AC1194)+$AB1195</f>
        <v>0</v>
      </c>
      <c r="AD1195">
        <f>IF(AND($M1195=1,LEFT(对接源_01水果!$D1195,4)="成品出库"),1,0)</f>
        <v>0</v>
      </c>
      <c r="AE1195">
        <f>N(AE1194)+$AD1195</f>
        <v>0</v>
      </c>
      <c r="AF1195">
        <f>IF(AND($N1195=1,AND(LEFT(对接源_01水果!$D1195,4)="包装物料",N(对接源_01水果!$K1195)&lt;&gt;0)),1,0)</f>
        <v>0</v>
      </c>
      <c r="AG1195">
        <f>N(AG1194)+$AF1195</f>
        <v>0</v>
      </c>
      <c r="AH1195">
        <f>IF(AND($N1195=1,AND(对接源_01水果!$D1195="周转筐－销售出库",N(对接源_01水果!$K1195)&lt;&gt;0)),1,0)</f>
        <v>0</v>
      </c>
      <c r="AI1195">
        <f>N(AI1194)+$AH1195</f>
        <v>0</v>
      </c>
      <c r="AJ1195" s="7" t="n"/>
      <c r="AL1195">
        <f>IF(OR($AL$1="",对接源_01水果!$Y1195="",对接源_01水果!$Y1195&lt;&gt;$AL$1,对接源_01水果!$B1195="",N(对接源_01水果!$AJ1195)&lt;=0),0,IF(OR(N(对接源_01水果!$B1195)&lt;$AL$2,N(对接源_01水果!$B1195)&gt;$AL$3),0,1))</f>
        <v>0</v>
      </c>
      <c r="AM1195">
        <f>N(AM1194)+$AL1195</f>
        <v>2</v>
      </c>
      <c r="AN1195">
        <f>IF(对接源_01水果!$AC1195="","",对接源_01水果!$AC1195)</f>
      </c>
      <c r="AO1195">
        <f>IF(AN1195="",0,IF(MATCH(AN1195,$AN$4:$AN$1203,0)=ROW()-3,1,0))</f>
        <v>0</v>
      </c>
      <c r="AP1195">
        <f>N(AP1194)+$AO1195</f>
        <v>13</v>
      </c>
      <c r="AR1195">
        <f>IF(OR($AF1195=1,$AH1195=1),1,0)</f>
        <v>0</v>
      </c>
      <c r="AS1195">
        <f>N(AS1194)+$AR1195</f>
        <v>0</v>
      </c>
    </row>
    <row r="1196" ht="14.25" customHeight="1" s="127">
      <c r="A1196">
        <f>IF(对接源_01水果!$C1196="","",对接源_01水果!$C1196)</f>
      </c>
      <c r="B1196">
        <f>IF(A1196="",0,IF(MATCH(A1196,$A$4:$A$2403,0)=ROW()-3,1,0))</f>
        <v>0</v>
      </c>
      <c r="C1196">
        <f>N(C1195)+B1196</f>
        <v>22</v>
      </c>
      <c r="K1196">
        <f>IF(OR($K$1="",对接源_01水果!$C1196="",对接源_01水果!$C1196&lt;&gt;$K$1,对接源_01水果!$B1196=""),0,IF(OR(N(对接源_01水果!$B1196)&lt;$K$2,N(对接源_01水果!$B1196)&gt;$K$3),0,1))</f>
        <v>0</v>
      </c>
      <c r="L1196">
        <f>IF(OR($L$1="",对接源_01水果!$C1196="",对接源_01水果!$C1196&lt;&gt;$L$1,对接源_01水果!$B1196=""),0,IF(OR(N(对接源_01水果!$B1196)&lt;$L$2,N(对接源_01水果!$B1196)&gt;$L$3),0,1))</f>
        <v>0</v>
      </c>
      <c r="M1196">
        <f>IF(OR($M$1="",对接源_01水果!$C1196="",对接源_01水果!$C1196&lt;&gt;$M$1,对接源_01水果!$B1196=""),0,IF(OR(N(对接源_01水果!$B1196)&lt;$M$2,N(对接源_01水果!$B1196)&gt;$M$3),0,1))</f>
        <v>0</v>
      </c>
      <c r="N1196">
        <f>IF(OR($N$1="",对接源_01水果!$C1196="",对接源_01水果!$C1196&lt;&gt;$N$1,对接源_01水果!$B1196=""),0,IF(OR(N(对接源_01水果!$B1196)&lt;$N$2,N(对接源_01水果!$B1196)&gt;$N$3),0,1))</f>
        <v>0</v>
      </c>
      <c r="P1196">
        <f>IF(AND($K1196=1,AND(对接源_01水果!$X1196="公司筐",N(对接源_01水果!$T1196)&lt;&gt;0)),1,0)</f>
        <v>0</v>
      </c>
      <c r="Q1196">
        <f>N(Q1195)+$P1196</f>
        <v>0</v>
      </c>
      <c r="R1196">
        <f>IF(AND($K1196=1,AND(对接源_01水果!$X1196="公司筐",N(对接源_01水果!$U1196)&lt;&gt;0)),1,0)</f>
        <v>0</v>
      </c>
      <c r="S1196">
        <f>N(S1195)+$R1196</f>
        <v>0</v>
      </c>
      <c r="T1196">
        <f>IF(AND($K1196=1,AND(对接源_01水果!$X1196="公司筐",N(对接源_01水果!$V1196)&lt;&gt;0)),1,0)</f>
        <v>0</v>
      </c>
      <c r="U1196">
        <f>N(U1195)+$T1196</f>
        <v>47</v>
      </c>
      <c r="V1196">
        <f>IF(AND($L1196=1,AND(对接源_01水果!$X1196="自备筐",N(对接源_01水果!$V1196)&lt;&gt;0)),1,0)</f>
        <v>0</v>
      </c>
      <c r="W1196">
        <f>N(W1195)+$V1196</f>
        <v>11</v>
      </c>
      <c r="X1196">
        <f>IF(AND($L1196=1,AND(对接源_01水果!$X1196="自备筐",N(对接源_01水果!$T1196)&lt;&gt;0)),1,0)</f>
        <v>0</v>
      </c>
      <c r="Y1196">
        <f>N(Y1195)+$X1196</f>
        <v>0</v>
      </c>
      <c r="Z1196">
        <f>IF(AND($M1196=1,对接源_01水果!$D1196="原料入库"),1,0)</f>
        <v>0</v>
      </c>
      <c r="AA1196">
        <f>N(AA1195)+$Z1196</f>
        <v>24</v>
      </c>
      <c r="AB1196">
        <f>IF(AND($M1196=1,LEFT(对接源_01水果!$D1196,4)="原料出库"),1,0)</f>
        <v>0</v>
      </c>
      <c r="AC1196">
        <f>N(AC1195)+$AB1196</f>
        <v>0</v>
      </c>
      <c r="AD1196">
        <f>IF(AND($M1196=1,LEFT(对接源_01水果!$D1196,4)="成品出库"),1,0)</f>
        <v>0</v>
      </c>
      <c r="AE1196">
        <f>N(AE1195)+$AD1196</f>
        <v>0</v>
      </c>
      <c r="AF1196">
        <f>IF(AND($N1196=1,AND(LEFT(对接源_01水果!$D1196,4)="包装物料",N(对接源_01水果!$K1196)&lt;&gt;0)),1,0)</f>
        <v>0</v>
      </c>
      <c r="AG1196">
        <f>N(AG1195)+$AF1196</f>
        <v>0</v>
      </c>
      <c r="AH1196">
        <f>IF(AND($N1196=1,AND(对接源_01水果!$D1196="周转筐－销售出库",N(对接源_01水果!$K1196)&lt;&gt;0)),1,0)</f>
        <v>0</v>
      </c>
      <c r="AI1196">
        <f>N(AI1195)+$AH1196</f>
        <v>0</v>
      </c>
      <c r="AJ1196" s="7" t="n"/>
      <c r="AL1196">
        <f>IF(OR($AL$1="",对接源_01水果!$Y1196="",对接源_01水果!$Y1196&lt;&gt;$AL$1,对接源_01水果!$B1196="",N(对接源_01水果!$AJ1196)&lt;=0),0,IF(OR(N(对接源_01水果!$B1196)&lt;$AL$2,N(对接源_01水果!$B1196)&gt;$AL$3),0,1))</f>
        <v>0</v>
      </c>
      <c r="AM1196">
        <f>N(AM1195)+$AL1196</f>
        <v>2</v>
      </c>
      <c r="AN1196">
        <f>IF(对接源_01水果!$AC1196="","",对接源_01水果!$AC1196)</f>
      </c>
      <c r="AO1196">
        <f>IF(AN1196="",0,IF(MATCH(AN1196,$AN$4:$AN$1203,0)=ROW()-3,1,0))</f>
        <v>0</v>
      </c>
      <c r="AP1196">
        <f>N(AP1195)+$AO1196</f>
        <v>13</v>
      </c>
      <c r="AR1196">
        <f>IF(OR($AF1196=1,$AH1196=1),1,0)</f>
        <v>0</v>
      </c>
      <c r="AS1196">
        <f>N(AS1195)+$AR1196</f>
        <v>0</v>
      </c>
    </row>
    <row r="1197" ht="14.25" customHeight="1" s="127">
      <c r="A1197">
        <f>IF(对接源_01水果!$C1197="","",对接源_01水果!$C1197)</f>
      </c>
      <c r="B1197">
        <f>IF(A1197="",0,IF(MATCH(A1197,$A$4:$A$2403,0)=ROW()-3,1,0))</f>
        <v>0</v>
      </c>
      <c r="C1197">
        <f>N(C1196)+B1197</f>
        <v>22</v>
      </c>
      <c r="K1197">
        <f>IF(OR($K$1="",对接源_01水果!$C1197="",对接源_01水果!$C1197&lt;&gt;$K$1,对接源_01水果!$B1197=""),0,IF(OR(N(对接源_01水果!$B1197)&lt;$K$2,N(对接源_01水果!$B1197)&gt;$K$3),0,1))</f>
        <v>0</v>
      </c>
      <c r="L1197">
        <f>IF(OR($L$1="",对接源_01水果!$C1197="",对接源_01水果!$C1197&lt;&gt;$L$1,对接源_01水果!$B1197=""),0,IF(OR(N(对接源_01水果!$B1197)&lt;$L$2,N(对接源_01水果!$B1197)&gt;$L$3),0,1))</f>
        <v>0</v>
      </c>
      <c r="M1197">
        <f>IF(OR($M$1="",对接源_01水果!$C1197="",对接源_01水果!$C1197&lt;&gt;$M$1,对接源_01水果!$B1197=""),0,IF(OR(N(对接源_01水果!$B1197)&lt;$M$2,N(对接源_01水果!$B1197)&gt;$M$3),0,1))</f>
        <v>0</v>
      </c>
      <c r="N1197">
        <f>IF(OR($N$1="",对接源_01水果!$C1197="",对接源_01水果!$C1197&lt;&gt;$N$1,对接源_01水果!$B1197=""),0,IF(OR(N(对接源_01水果!$B1197)&lt;$N$2,N(对接源_01水果!$B1197)&gt;$N$3),0,1))</f>
        <v>0</v>
      </c>
      <c r="P1197">
        <f>IF(AND($K1197=1,AND(对接源_01水果!$X1197="公司筐",N(对接源_01水果!$T1197)&lt;&gt;0)),1,0)</f>
        <v>0</v>
      </c>
      <c r="Q1197">
        <f>N(Q1196)+$P1197</f>
        <v>0</v>
      </c>
      <c r="R1197">
        <f>IF(AND($K1197=1,AND(对接源_01水果!$X1197="公司筐",N(对接源_01水果!$U1197)&lt;&gt;0)),1,0)</f>
        <v>0</v>
      </c>
      <c r="S1197">
        <f>N(S1196)+$R1197</f>
        <v>0</v>
      </c>
      <c r="T1197">
        <f>IF(AND($K1197=1,AND(对接源_01水果!$X1197="公司筐",N(对接源_01水果!$V1197)&lt;&gt;0)),1,0)</f>
        <v>0</v>
      </c>
      <c r="U1197">
        <f>N(U1196)+$T1197</f>
        <v>47</v>
      </c>
      <c r="V1197">
        <f>IF(AND($L1197=1,AND(对接源_01水果!$X1197="自备筐",N(对接源_01水果!$V1197)&lt;&gt;0)),1,0)</f>
        <v>0</v>
      </c>
      <c r="W1197">
        <f>N(W1196)+$V1197</f>
        <v>11</v>
      </c>
      <c r="X1197">
        <f>IF(AND($L1197=1,AND(对接源_01水果!$X1197="自备筐",N(对接源_01水果!$T1197)&lt;&gt;0)),1,0)</f>
        <v>0</v>
      </c>
      <c r="Y1197">
        <f>N(Y1196)+$X1197</f>
        <v>0</v>
      </c>
      <c r="Z1197">
        <f>IF(AND($M1197=1,对接源_01水果!$D1197="原料入库"),1,0)</f>
        <v>0</v>
      </c>
      <c r="AA1197">
        <f>N(AA1196)+$Z1197</f>
        <v>24</v>
      </c>
      <c r="AB1197">
        <f>IF(AND($M1197=1,LEFT(对接源_01水果!$D1197,4)="原料出库"),1,0)</f>
        <v>0</v>
      </c>
      <c r="AC1197">
        <f>N(AC1196)+$AB1197</f>
        <v>0</v>
      </c>
      <c r="AD1197">
        <f>IF(AND($M1197=1,LEFT(对接源_01水果!$D1197,4)="成品出库"),1,0)</f>
        <v>0</v>
      </c>
      <c r="AE1197">
        <f>N(AE1196)+$AD1197</f>
        <v>0</v>
      </c>
      <c r="AF1197">
        <f>IF(AND($N1197=1,AND(LEFT(对接源_01水果!$D1197,4)="包装物料",N(对接源_01水果!$K1197)&lt;&gt;0)),1,0)</f>
        <v>0</v>
      </c>
      <c r="AG1197">
        <f>N(AG1196)+$AF1197</f>
        <v>0</v>
      </c>
      <c r="AH1197">
        <f>IF(AND($N1197=1,AND(对接源_01水果!$D1197="周转筐－销售出库",N(对接源_01水果!$K1197)&lt;&gt;0)),1,0)</f>
        <v>0</v>
      </c>
      <c r="AI1197">
        <f>N(AI1196)+$AH1197</f>
        <v>0</v>
      </c>
      <c r="AJ1197" s="7" t="n"/>
      <c r="AL1197">
        <f>IF(OR($AL$1="",对接源_01水果!$Y1197="",对接源_01水果!$Y1197&lt;&gt;$AL$1,对接源_01水果!$B1197="",N(对接源_01水果!$AJ1197)&lt;=0),0,IF(OR(N(对接源_01水果!$B1197)&lt;$AL$2,N(对接源_01水果!$B1197)&gt;$AL$3),0,1))</f>
        <v>0</v>
      </c>
      <c r="AM1197">
        <f>N(AM1196)+$AL1197</f>
        <v>2</v>
      </c>
      <c r="AN1197">
        <f>IF(对接源_01水果!$AC1197="","",对接源_01水果!$AC1197)</f>
      </c>
      <c r="AO1197">
        <f>IF(AN1197="",0,IF(MATCH(AN1197,$AN$4:$AN$1203,0)=ROW()-3,1,0))</f>
        <v>0</v>
      </c>
      <c r="AP1197">
        <f>N(AP1196)+$AO1197</f>
        <v>13</v>
      </c>
      <c r="AR1197">
        <f>IF(OR($AF1197=1,$AH1197=1),1,0)</f>
        <v>0</v>
      </c>
      <c r="AS1197">
        <f>N(AS1196)+$AR1197</f>
        <v>0</v>
      </c>
    </row>
    <row r="1198" ht="14.25" customHeight="1" s="127">
      <c r="A1198">
        <f>IF(对接源_01水果!$C1198="","",对接源_01水果!$C1198)</f>
      </c>
      <c r="B1198">
        <f>IF(A1198="",0,IF(MATCH(A1198,$A$4:$A$2403,0)=ROW()-3,1,0))</f>
        <v>0</v>
      </c>
      <c r="C1198">
        <f>N(C1197)+B1198</f>
        <v>22</v>
      </c>
      <c r="K1198">
        <f>IF(OR($K$1="",对接源_01水果!$C1198="",对接源_01水果!$C1198&lt;&gt;$K$1,对接源_01水果!$B1198=""),0,IF(OR(N(对接源_01水果!$B1198)&lt;$K$2,N(对接源_01水果!$B1198)&gt;$K$3),0,1))</f>
        <v>0</v>
      </c>
      <c r="L1198">
        <f>IF(OR($L$1="",对接源_01水果!$C1198="",对接源_01水果!$C1198&lt;&gt;$L$1,对接源_01水果!$B1198=""),0,IF(OR(N(对接源_01水果!$B1198)&lt;$L$2,N(对接源_01水果!$B1198)&gt;$L$3),0,1))</f>
        <v>0</v>
      </c>
      <c r="M1198">
        <f>IF(OR($M$1="",对接源_01水果!$C1198="",对接源_01水果!$C1198&lt;&gt;$M$1,对接源_01水果!$B1198=""),0,IF(OR(N(对接源_01水果!$B1198)&lt;$M$2,N(对接源_01水果!$B1198)&gt;$M$3),0,1))</f>
        <v>0</v>
      </c>
      <c r="N1198">
        <f>IF(OR($N$1="",对接源_01水果!$C1198="",对接源_01水果!$C1198&lt;&gt;$N$1,对接源_01水果!$B1198=""),0,IF(OR(N(对接源_01水果!$B1198)&lt;$N$2,N(对接源_01水果!$B1198)&gt;$N$3),0,1))</f>
        <v>0</v>
      </c>
      <c r="P1198">
        <f>IF(AND($K1198=1,AND(对接源_01水果!$X1198="公司筐",N(对接源_01水果!$T1198)&lt;&gt;0)),1,0)</f>
        <v>0</v>
      </c>
      <c r="Q1198">
        <f>N(Q1197)+$P1198</f>
        <v>0</v>
      </c>
      <c r="R1198">
        <f>IF(AND($K1198=1,AND(对接源_01水果!$X1198="公司筐",N(对接源_01水果!$U1198)&lt;&gt;0)),1,0)</f>
        <v>0</v>
      </c>
      <c r="S1198">
        <f>N(S1197)+$R1198</f>
        <v>0</v>
      </c>
      <c r="T1198">
        <f>IF(AND($K1198=1,AND(对接源_01水果!$X1198="公司筐",N(对接源_01水果!$V1198)&lt;&gt;0)),1,0)</f>
        <v>0</v>
      </c>
      <c r="U1198">
        <f>N(U1197)+$T1198</f>
        <v>47</v>
      </c>
      <c r="V1198">
        <f>IF(AND($L1198=1,AND(对接源_01水果!$X1198="自备筐",N(对接源_01水果!$V1198)&lt;&gt;0)),1,0)</f>
        <v>0</v>
      </c>
      <c r="W1198">
        <f>N(W1197)+$V1198</f>
        <v>11</v>
      </c>
      <c r="X1198">
        <f>IF(AND($L1198=1,AND(对接源_01水果!$X1198="自备筐",N(对接源_01水果!$T1198)&lt;&gt;0)),1,0)</f>
        <v>0</v>
      </c>
      <c r="Y1198">
        <f>N(Y1197)+$X1198</f>
        <v>0</v>
      </c>
      <c r="Z1198">
        <f>IF(AND($M1198=1,对接源_01水果!$D1198="原料入库"),1,0)</f>
        <v>0</v>
      </c>
      <c r="AA1198">
        <f>N(AA1197)+$Z1198</f>
        <v>24</v>
      </c>
      <c r="AB1198">
        <f>IF(AND($M1198=1,LEFT(对接源_01水果!$D1198,4)="原料出库"),1,0)</f>
        <v>0</v>
      </c>
      <c r="AC1198">
        <f>N(AC1197)+$AB1198</f>
        <v>0</v>
      </c>
      <c r="AD1198">
        <f>IF(AND($M1198=1,LEFT(对接源_01水果!$D1198,4)="成品出库"),1,0)</f>
        <v>0</v>
      </c>
      <c r="AE1198">
        <f>N(AE1197)+$AD1198</f>
        <v>0</v>
      </c>
      <c r="AF1198">
        <f>IF(AND($N1198=1,AND(LEFT(对接源_01水果!$D1198,4)="包装物料",N(对接源_01水果!$K1198)&lt;&gt;0)),1,0)</f>
        <v>0</v>
      </c>
      <c r="AG1198">
        <f>N(AG1197)+$AF1198</f>
        <v>0</v>
      </c>
      <c r="AH1198">
        <f>IF(AND($N1198=1,AND(对接源_01水果!$D1198="周转筐－销售出库",N(对接源_01水果!$K1198)&lt;&gt;0)),1,0)</f>
        <v>0</v>
      </c>
      <c r="AI1198">
        <f>N(AI1197)+$AH1198</f>
        <v>0</v>
      </c>
      <c r="AJ1198" s="7" t="n"/>
      <c r="AL1198">
        <f>IF(OR($AL$1="",对接源_01水果!$Y1198="",对接源_01水果!$Y1198&lt;&gt;$AL$1,对接源_01水果!$B1198="",N(对接源_01水果!$AJ1198)&lt;=0),0,IF(OR(N(对接源_01水果!$B1198)&lt;$AL$2,N(对接源_01水果!$B1198)&gt;$AL$3),0,1))</f>
        <v>0</v>
      </c>
      <c r="AM1198">
        <f>N(AM1197)+$AL1198</f>
        <v>2</v>
      </c>
      <c r="AN1198">
        <f>IF(对接源_01水果!$AC1198="","",对接源_01水果!$AC1198)</f>
      </c>
      <c r="AO1198">
        <f>IF(AN1198="",0,IF(MATCH(AN1198,$AN$4:$AN$1203,0)=ROW()-3,1,0))</f>
        <v>0</v>
      </c>
      <c r="AP1198">
        <f>N(AP1197)+$AO1198</f>
        <v>13</v>
      </c>
      <c r="AR1198">
        <f>IF(OR($AF1198=1,$AH1198=1),1,0)</f>
        <v>0</v>
      </c>
      <c r="AS1198">
        <f>N(AS1197)+$AR1198</f>
        <v>0</v>
      </c>
    </row>
    <row r="1199" ht="14.25" customHeight="1" s="127">
      <c r="A1199">
        <f>IF(对接源_01水果!$C1199="","",对接源_01水果!$C1199)</f>
      </c>
      <c r="B1199">
        <f>IF(A1199="",0,IF(MATCH(A1199,$A$4:$A$2403,0)=ROW()-3,1,0))</f>
        <v>0</v>
      </c>
      <c r="C1199">
        <f>N(C1198)+B1199</f>
        <v>22</v>
      </c>
      <c r="K1199">
        <f>IF(OR($K$1="",对接源_01水果!$C1199="",对接源_01水果!$C1199&lt;&gt;$K$1,对接源_01水果!$B1199=""),0,IF(OR(N(对接源_01水果!$B1199)&lt;$K$2,N(对接源_01水果!$B1199)&gt;$K$3),0,1))</f>
        <v>0</v>
      </c>
      <c r="L1199">
        <f>IF(OR($L$1="",对接源_01水果!$C1199="",对接源_01水果!$C1199&lt;&gt;$L$1,对接源_01水果!$B1199=""),0,IF(OR(N(对接源_01水果!$B1199)&lt;$L$2,N(对接源_01水果!$B1199)&gt;$L$3),0,1))</f>
        <v>0</v>
      </c>
      <c r="M1199">
        <f>IF(OR($M$1="",对接源_01水果!$C1199="",对接源_01水果!$C1199&lt;&gt;$M$1,对接源_01水果!$B1199=""),0,IF(OR(N(对接源_01水果!$B1199)&lt;$M$2,N(对接源_01水果!$B1199)&gt;$M$3),0,1))</f>
        <v>0</v>
      </c>
      <c r="N1199">
        <f>IF(OR($N$1="",对接源_01水果!$C1199="",对接源_01水果!$C1199&lt;&gt;$N$1,对接源_01水果!$B1199=""),0,IF(OR(N(对接源_01水果!$B1199)&lt;$N$2,N(对接源_01水果!$B1199)&gt;$N$3),0,1))</f>
        <v>0</v>
      </c>
      <c r="P1199">
        <f>IF(AND($K1199=1,AND(对接源_01水果!$X1199="公司筐",N(对接源_01水果!$T1199)&lt;&gt;0)),1,0)</f>
        <v>0</v>
      </c>
      <c r="Q1199">
        <f>N(Q1198)+$P1199</f>
        <v>0</v>
      </c>
      <c r="R1199">
        <f>IF(AND($K1199=1,AND(对接源_01水果!$X1199="公司筐",N(对接源_01水果!$U1199)&lt;&gt;0)),1,0)</f>
        <v>0</v>
      </c>
      <c r="S1199">
        <f>N(S1198)+$R1199</f>
        <v>0</v>
      </c>
      <c r="T1199">
        <f>IF(AND($K1199=1,AND(对接源_01水果!$X1199="公司筐",N(对接源_01水果!$V1199)&lt;&gt;0)),1,0)</f>
        <v>0</v>
      </c>
      <c r="U1199">
        <f>N(U1198)+$T1199</f>
        <v>47</v>
      </c>
      <c r="V1199">
        <f>IF(AND($L1199=1,AND(对接源_01水果!$X1199="自备筐",N(对接源_01水果!$V1199)&lt;&gt;0)),1,0)</f>
        <v>0</v>
      </c>
      <c r="W1199">
        <f>N(W1198)+$V1199</f>
        <v>11</v>
      </c>
      <c r="X1199">
        <f>IF(AND($L1199=1,AND(对接源_01水果!$X1199="自备筐",N(对接源_01水果!$T1199)&lt;&gt;0)),1,0)</f>
        <v>0</v>
      </c>
      <c r="Y1199">
        <f>N(Y1198)+$X1199</f>
        <v>0</v>
      </c>
      <c r="Z1199">
        <f>IF(AND($M1199=1,对接源_01水果!$D1199="原料入库"),1,0)</f>
        <v>0</v>
      </c>
      <c r="AA1199">
        <f>N(AA1198)+$Z1199</f>
        <v>24</v>
      </c>
      <c r="AB1199">
        <f>IF(AND($M1199=1,LEFT(对接源_01水果!$D1199,4)="原料出库"),1,0)</f>
        <v>0</v>
      </c>
      <c r="AC1199">
        <f>N(AC1198)+$AB1199</f>
        <v>0</v>
      </c>
      <c r="AD1199">
        <f>IF(AND($M1199=1,LEFT(对接源_01水果!$D1199,4)="成品出库"),1,0)</f>
        <v>0</v>
      </c>
      <c r="AE1199">
        <f>N(AE1198)+$AD1199</f>
        <v>0</v>
      </c>
      <c r="AF1199">
        <f>IF(AND($N1199=1,AND(LEFT(对接源_01水果!$D1199,4)="包装物料",N(对接源_01水果!$K1199)&lt;&gt;0)),1,0)</f>
        <v>0</v>
      </c>
      <c r="AG1199">
        <f>N(AG1198)+$AF1199</f>
        <v>0</v>
      </c>
      <c r="AH1199">
        <f>IF(AND($N1199=1,AND(对接源_01水果!$D1199="周转筐－销售出库",N(对接源_01水果!$K1199)&lt;&gt;0)),1,0)</f>
        <v>0</v>
      </c>
      <c r="AI1199">
        <f>N(AI1198)+$AH1199</f>
        <v>0</v>
      </c>
      <c r="AJ1199" s="7" t="n"/>
      <c r="AL1199">
        <f>IF(OR($AL$1="",对接源_01水果!$Y1199="",对接源_01水果!$Y1199&lt;&gt;$AL$1,对接源_01水果!$B1199="",N(对接源_01水果!$AJ1199)&lt;=0),0,IF(OR(N(对接源_01水果!$B1199)&lt;$AL$2,N(对接源_01水果!$B1199)&gt;$AL$3),0,1))</f>
        <v>0</v>
      </c>
      <c r="AM1199">
        <f>N(AM1198)+$AL1199</f>
        <v>2</v>
      </c>
      <c r="AN1199">
        <f>IF(对接源_01水果!$AC1199="","",对接源_01水果!$AC1199)</f>
      </c>
      <c r="AO1199">
        <f>IF(AN1199="",0,IF(MATCH(AN1199,$AN$4:$AN$1203,0)=ROW()-3,1,0))</f>
        <v>0</v>
      </c>
      <c r="AP1199">
        <f>N(AP1198)+$AO1199</f>
        <v>13</v>
      </c>
      <c r="AR1199">
        <f>IF(OR($AF1199=1,$AH1199=1),1,0)</f>
        <v>0</v>
      </c>
      <c r="AS1199">
        <f>N(AS1198)+$AR1199</f>
        <v>0</v>
      </c>
    </row>
    <row r="1200" ht="14.25" customHeight="1" s="127">
      <c r="A1200">
        <f>IF(对接源_01水果!$C1200="","",对接源_01水果!$C1200)</f>
      </c>
      <c r="B1200">
        <f>IF(A1200="",0,IF(MATCH(A1200,$A$4:$A$2403,0)=ROW()-3,1,0))</f>
        <v>0</v>
      </c>
      <c r="C1200">
        <f>N(C1199)+B1200</f>
        <v>22</v>
      </c>
      <c r="K1200">
        <f>IF(OR($K$1="",对接源_01水果!$C1200="",对接源_01水果!$C1200&lt;&gt;$K$1,对接源_01水果!$B1200=""),0,IF(OR(N(对接源_01水果!$B1200)&lt;$K$2,N(对接源_01水果!$B1200)&gt;$K$3),0,1))</f>
        <v>0</v>
      </c>
      <c r="L1200">
        <f>IF(OR($L$1="",对接源_01水果!$C1200="",对接源_01水果!$C1200&lt;&gt;$L$1,对接源_01水果!$B1200=""),0,IF(OR(N(对接源_01水果!$B1200)&lt;$L$2,N(对接源_01水果!$B1200)&gt;$L$3),0,1))</f>
        <v>0</v>
      </c>
      <c r="M1200">
        <f>IF(OR($M$1="",对接源_01水果!$C1200="",对接源_01水果!$C1200&lt;&gt;$M$1,对接源_01水果!$B1200=""),0,IF(OR(N(对接源_01水果!$B1200)&lt;$M$2,N(对接源_01水果!$B1200)&gt;$M$3),0,1))</f>
        <v>0</v>
      </c>
      <c r="N1200">
        <f>IF(OR($N$1="",对接源_01水果!$C1200="",对接源_01水果!$C1200&lt;&gt;$N$1,对接源_01水果!$B1200=""),0,IF(OR(N(对接源_01水果!$B1200)&lt;$N$2,N(对接源_01水果!$B1200)&gt;$N$3),0,1))</f>
        <v>0</v>
      </c>
      <c r="P1200">
        <f>IF(AND($K1200=1,AND(对接源_01水果!$X1200="公司筐",N(对接源_01水果!$T1200)&lt;&gt;0)),1,0)</f>
        <v>0</v>
      </c>
      <c r="Q1200">
        <f>N(Q1199)+$P1200</f>
        <v>0</v>
      </c>
      <c r="R1200">
        <f>IF(AND($K1200=1,AND(对接源_01水果!$X1200="公司筐",N(对接源_01水果!$U1200)&lt;&gt;0)),1,0)</f>
        <v>0</v>
      </c>
      <c r="S1200">
        <f>N(S1199)+$R1200</f>
        <v>0</v>
      </c>
      <c r="T1200">
        <f>IF(AND($K1200=1,AND(对接源_01水果!$X1200="公司筐",N(对接源_01水果!$V1200)&lt;&gt;0)),1,0)</f>
        <v>0</v>
      </c>
      <c r="U1200">
        <f>N(U1199)+$T1200</f>
        <v>47</v>
      </c>
      <c r="V1200">
        <f>IF(AND($L1200=1,AND(对接源_01水果!$X1200="自备筐",N(对接源_01水果!$V1200)&lt;&gt;0)),1,0)</f>
        <v>0</v>
      </c>
      <c r="W1200">
        <f>N(W1199)+$V1200</f>
        <v>11</v>
      </c>
      <c r="X1200">
        <f>IF(AND($L1200=1,AND(对接源_01水果!$X1200="自备筐",N(对接源_01水果!$T1200)&lt;&gt;0)),1,0)</f>
        <v>0</v>
      </c>
      <c r="Y1200">
        <f>N(Y1199)+$X1200</f>
        <v>0</v>
      </c>
      <c r="Z1200">
        <f>IF(AND($M1200=1,对接源_01水果!$D1200="原料入库"),1,0)</f>
        <v>0</v>
      </c>
      <c r="AA1200">
        <f>N(AA1199)+$Z1200</f>
        <v>24</v>
      </c>
      <c r="AB1200">
        <f>IF(AND($M1200=1,LEFT(对接源_01水果!$D1200,4)="原料出库"),1,0)</f>
        <v>0</v>
      </c>
      <c r="AC1200">
        <f>N(AC1199)+$AB1200</f>
        <v>0</v>
      </c>
      <c r="AD1200">
        <f>IF(AND($M1200=1,LEFT(对接源_01水果!$D1200,4)="成品出库"),1,0)</f>
        <v>0</v>
      </c>
      <c r="AE1200">
        <f>N(AE1199)+$AD1200</f>
        <v>0</v>
      </c>
      <c r="AF1200">
        <f>IF(AND($N1200=1,AND(LEFT(对接源_01水果!$D1200,4)="包装物料",N(对接源_01水果!$K1200)&lt;&gt;0)),1,0)</f>
        <v>0</v>
      </c>
      <c r="AG1200">
        <f>N(AG1199)+$AF1200</f>
        <v>0</v>
      </c>
      <c r="AH1200">
        <f>IF(AND($N1200=1,AND(对接源_01水果!$D1200="周转筐－销售出库",N(对接源_01水果!$K1200)&lt;&gt;0)),1,0)</f>
        <v>0</v>
      </c>
      <c r="AI1200">
        <f>N(AI1199)+$AH1200</f>
        <v>0</v>
      </c>
      <c r="AJ1200" s="7" t="n"/>
      <c r="AL1200">
        <f>IF(OR($AL$1="",对接源_01水果!$Y1200="",对接源_01水果!$Y1200&lt;&gt;$AL$1,对接源_01水果!$B1200="",N(对接源_01水果!$AJ1200)&lt;=0),0,IF(OR(N(对接源_01水果!$B1200)&lt;$AL$2,N(对接源_01水果!$B1200)&gt;$AL$3),0,1))</f>
        <v>0</v>
      </c>
      <c r="AM1200">
        <f>N(AM1199)+$AL1200</f>
        <v>2</v>
      </c>
      <c r="AN1200">
        <f>IF(对接源_01水果!$AC1200="","",对接源_01水果!$AC1200)</f>
      </c>
      <c r="AO1200">
        <f>IF(AN1200="",0,IF(MATCH(AN1200,$AN$4:$AN$1203,0)=ROW()-3,1,0))</f>
        <v>0</v>
      </c>
      <c r="AP1200">
        <f>N(AP1199)+$AO1200</f>
        <v>13</v>
      </c>
      <c r="AR1200">
        <f>IF(OR($AF1200=1,$AH1200=1),1,0)</f>
        <v>0</v>
      </c>
      <c r="AS1200">
        <f>N(AS1199)+$AR1200</f>
        <v>0</v>
      </c>
    </row>
    <row r="1201" ht="14.25" customHeight="1" s="127">
      <c r="A1201">
        <f>IF(对接源_01水果!$C1201="","",对接源_01水果!$C1201)</f>
      </c>
      <c r="B1201">
        <f>IF(A1201="",0,IF(MATCH(A1201,$A$4:$A$2403,0)=ROW()-3,1,0))</f>
        <v>0</v>
      </c>
      <c r="C1201">
        <f>N(C1200)+B1201</f>
        <v>22</v>
      </c>
      <c r="K1201">
        <f>IF(OR($K$1="",对接源_01水果!$C1201="",对接源_01水果!$C1201&lt;&gt;$K$1,对接源_01水果!$B1201=""),0,IF(OR(N(对接源_01水果!$B1201)&lt;$K$2,N(对接源_01水果!$B1201)&gt;$K$3),0,1))</f>
        <v>0</v>
      </c>
      <c r="L1201">
        <f>IF(OR($L$1="",对接源_01水果!$C1201="",对接源_01水果!$C1201&lt;&gt;$L$1,对接源_01水果!$B1201=""),0,IF(OR(N(对接源_01水果!$B1201)&lt;$L$2,N(对接源_01水果!$B1201)&gt;$L$3),0,1))</f>
        <v>0</v>
      </c>
      <c r="M1201">
        <f>IF(OR($M$1="",对接源_01水果!$C1201="",对接源_01水果!$C1201&lt;&gt;$M$1,对接源_01水果!$B1201=""),0,IF(OR(N(对接源_01水果!$B1201)&lt;$M$2,N(对接源_01水果!$B1201)&gt;$M$3),0,1))</f>
        <v>0</v>
      </c>
      <c r="N1201">
        <f>IF(OR($N$1="",对接源_01水果!$C1201="",对接源_01水果!$C1201&lt;&gt;$N$1,对接源_01水果!$B1201=""),0,IF(OR(N(对接源_01水果!$B1201)&lt;$N$2,N(对接源_01水果!$B1201)&gt;$N$3),0,1))</f>
        <v>0</v>
      </c>
      <c r="P1201">
        <f>IF(AND($K1201=1,AND(对接源_01水果!$X1201="公司筐",N(对接源_01水果!$T1201)&lt;&gt;0)),1,0)</f>
        <v>0</v>
      </c>
      <c r="Q1201">
        <f>N(Q1200)+$P1201</f>
        <v>0</v>
      </c>
      <c r="R1201">
        <f>IF(AND($K1201=1,AND(对接源_01水果!$X1201="公司筐",N(对接源_01水果!$U1201)&lt;&gt;0)),1,0)</f>
        <v>0</v>
      </c>
      <c r="S1201">
        <f>N(S1200)+$R1201</f>
        <v>0</v>
      </c>
      <c r="T1201">
        <f>IF(AND($K1201=1,AND(对接源_01水果!$X1201="公司筐",N(对接源_01水果!$V1201)&lt;&gt;0)),1,0)</f>
        <v>0</v>
      </c>
      <c r="U1201">
        <f>N(U1200)+$T1201</f>
        <v>47</v>
      </c>
      <c r="V1201">
        <f>IF(AND($L1201=1,AND(对接源_01水果!$X1201="自备筐",N(对接源_01水果!$V1201)&lt;&gt;0)),1,0)</f>
        <v>0</v>
      </c>
      <c r="W1201">
        <f>N(W1200)+$V1201</f>
        <v>11</v>
      </c>
      <c r="X1201">
        <f>IF(AND($L1201=1,AND(对接源_01水果!$X1201="自备筐",N(对接源_01水果!$T1201)&lt;&gt;0)),1,0)</f>
        <v>0</v>
      </c>
      <c r="Y1201">
        <f>N(Y1200)+$X1201</f>
        <v>0</v>
      </c>
      <c r="Z1201">
        <f>IF(AND($M1201=1,对接源_01水果!$D1201="原料入库"),1,0)</f>
        <v>0</v>
      </c>
      <c r="AA1201">
        <f>N(AA1200)+$Z1201</f>
        <v>24</v>
      </c>
      <c r="AB1201">
        <f>IF(AND($M1201=1,LEFT(对接源_01水果!$D1201,4)="原料出库"),1,0)</f>
        <v>0</v>
      </c>
      <c r="AC1201">
        <f>N(AC1200)+$AB1201</f>
        <v>0</v>
      </c>
      <c r="AD1201">
        <f>IF(AND($M1201=1,LEFT(对接源_01水果!$D1201,4)="成品出库"),1,0)</f>
        <v>0</v>
      </c>
      <c r="AE1201">
        <f>N(AE1200)+$AD1201</f>
        <v>0</v>
      </c>
      <c r="AF1201">
        <f>IF(AND($N1201=1,AND(LEFT(对接源_01水果!$D1201,4)="包装物料",N(对接源_01水果!$K1201)&lt;&gt;0)),1,0)</f>
        <v>0</v>
      </c>
      <c r="AG1201">
        <f>N(AG1200)+$AF1201</f>
        <v>0</v>
      </c>
      <c r="AH1201">
        <f>IF(AND($N1201=1,AND(对接源_01水果!$D1201="周转筐－销售出库",N(对接源_01水果!$K1201)&lt;&gt;0)),1,0)</f>
        <v>0</v>
      </c>
      <c r="AI1201">
        <f>N(AI1200)+$AH1201</f>
        <v>0</v>
      </c>
      <c r="AJ1201" s="7" t="n"/>
      <c r="AL1201">
        <f>IF(OR($AL$1="",对接源_01水果!$Y1201="",对接源_01水果!$Y1201&lt;&gt;$AL$1,对接源_01水果!$B1201="",N(对接源_01水果!$AJ1201)&lt;=0),0,IF(OR(N(对接源_01水果!$B1201)&lt;$AL$2,N(对接源_01水果!$B1201)&gt;$AL$3),0,1))</f>
        <v>0</v>
      </c>
      <c r="AM1201">
        <f>N(AM1200)+$AL1201</f>
        <v>2</v>
      </c>
      <c r="AN1201">
        <f>IF(对接源_01水果!$AC1201="","",对接源_01水果!$AC1201)</f>
      </c>
      <c r="AO1201">
        <f>IF(AN1201="",0,IF(MATCH(AN1201,$AN$4:$AN$1203,0)=ROW()-3,1,0))</f>
        <v>0</v>
      </c>
      <c r="AP1201">
        <f>N(AP1200)+$AO1201</f>
        <v>13</v>
      </c>
      <c r="AR1201">
        <f>IF(OR($AF1201=1,$AH1201=1),1,0)</f>
        <v>0</v>
      </c>
      <c r="AS1201">
        <f>N(AS1200)+$AR1201</f>
        <v>0</v>
      </c>
    </row>
    <row r="1202" ht="14.25" customHeight="1" s="127">
      <c r="A1202">
        <f>IF(对接源_01水果!$C1202="","",对接源_01水果!$C1202)</f>
      </c>
      <c r="B1202">
        <f>IF(A1202="",0,IF(MATCH(A1202,$A$4:$A$2403,0)=ROW()-3,1,0))</f>
        <v>0</v>
      </c>
      <c r="C1202">
        <f>N(C1201)+B1202</f>
        <v>22</v>
      </c>
      <c r="K1202">
        <f>IF(OR($K$1="",对接源_01水果!$C1202="",对接源_01水果!$C1202&lt;&gt;$K$1,对接源_01水果!$B1202=""),0,IF(OR(N(对接源_01水果!$B1202)&lt;$K$2,N(对接源_01水果!$B1202)&gt;$K$3),0,1))</f>
        <v>0</v>
      </c>
      <c r="L1202">
        <f>IF(OR($L$1="",对接源_01水果!$C1202="",对接源_01水果!$C1202&lt;&gt;$L$1,对接源_01水果!$B1202=""),0,IF(OR(N(对接源_01水果!$B1202)&lt;$L$2,N(对接源_01水果!$B1202)&gt;$L$3),0,1))</f>
        <v>0</v>
      </c>
      <c r="M1202">
        <f>IF(OR($M$1="",对接源_01水果!$C1202="",对接源_01水果!$C1202&lt;&gt;$M$1,对接源_01水果!$B1202=""),0,IF(OR(N(对接源_01水果!$B1202)&lt;$M$2,N(对接源_01水果!$B1202)&gt;$M$3),0,1))</f>
        <v>0</v>
      </c>
      <c r="N1202">
        <f>IF(OR($N$1="",对接源_01水果!$C1202="",对接源_01水果!$C1202&lt;&gt;$N$1,对接源_01水果!$B1202=""),0,IF(OR(N(对接源_01水果!$B1202)&lt;$N$2,N(对接源_01水果!$B1202)&gt;$N$3),0,1))</f>
        <v>0</v>
      </c>
      <c r="P1202">
        <f>IF(AND($K1202=1,AND(对接源_01水果!$X1202="公司筐",N(对接源_01水果!$T1202)&lt;&gt;0)),1,0)</f>
        <v>0</v>
      </c>
      <c r="Q1202">
        <f>N(Q1201)+$P1202</f>
        <v>0</v>
      </c>
      <c r="R1202">
        <f>IF(AND($K1202=1,AND(对接源_01水果!$X1202="公司筐",N(对接源_01水果!$U1202)&lt;&gt;0)),1,0)</f>
        <v>0</v>
      </c>
      <c r="S1202">
        <f>N(S1201)+$R1202</f>
        <v>0</v>
      </c>
      <c r="T1202">
        <f>IF(AND($K1202=1,AND(对接源_01水果!$X1202="公司筐",N(对接源_01水果!$V1202)&lt;&gt;0)),1,0)</f>
        <v>0</v>
      </c>
      <c r="U1202">
        <f>N(U1201)+$T1202</f>
        <v>47</v>
      </c>
      <c r="V1202">
        <f>IF(AND($L1202=1,AND(对接源_01水果!$X1202="自备筐",N(对接源_01水果!$V1202)&lt;&gt;0)),1,0)</f>
        <v>0</v>
      </c>
      <c r="W1202">
        <f>N(W1201)+$V1202</f>
        <v>11</v>
      </c>
      <c r="X1202">
        <f>IF(AND($L1202=1,AND(对接源_01水果!$X1202="自备筐",N(对接源_01水果!$T1202)&lt;&gt;0)),1,0)</f>
        <v>0</v>
      </c>
      <c r="Y1202">
        <f>N(Y1201)+$X1202</f>
        <v>0</v>
      </c>
      <c r="Z1202">
        <f>IF(AND($M1202=1,对接源_01水果!$D1202="原料入库"),1,0)</f>
        <v>0</v>
      </c>
      <c r="AA1202">
        <f>N(AA1201)+$Z1202</f>
        <v>24</v>
      </c>
      <c r="AB1202">
        <f>IF(AND($M1202=1,LEFT(对接源_01水果!$D1202,4)="原料出库"),1,0)</f>
        <v>0</v>
      </c>
      <c r="AC1202">
        <f>N(AC1201)+$AB1202</f>
        <v>0</v>
      </c>
      <c r="AD1202">
        <f>IF(AND($M1202=1,LEFT(对接源_01水果!$D1202,4)="成品出库"),1,0)</f>
        <v>0</v>
      </c>
      <c r="AE1202">
        <f>N(AE1201)+$AD1202</f>
        <v>0</v>
      </c>
      <c r="AF1202">
        <f>IF(AND($N1202=1,AND(LEFT(对接源_01水果!$D1202,4)="包装物料",N(对接源_01水果!$K1202)&lt;&gt;0)),1,0)</f>
        <v>0</v>
      </c>
      <c r="AG1202">
        <f>N(AG1201)+$AF1202</f>
        <v>0</v>
      </c>
      <c r="AH1202">
        <f>IF(AND($N1202=1,AND(对接源_01水果!$D1202="周转筐－销售出库",N(对接源_01水果!$K1202)&lt;&gt;0)),1,0)</f>
        <v>0</v>
      </c>
      <c r="AI1202">
        <f>N(AI1201)+$AH1202</f>
        <v>0</v>
      </c>
      <c r="AJ1202" s="7" t="n"/>
      <c r="AL1202">
        <f>IF(OR($AL$1="",对接源_01水果!$Y1202="",对接源_01水果!$Y1202&lt;&gt;$AL$1,对接源_01水果!$B1202="",N(对接源_01水果!$AJ1202)&lt;=0),0,IF(OR(N(对接源_01水果!$B1202)&lt;$AL$2,N(对接源_01水果!$B1202)&gt;$AL$3),0,1))</f>
        <v>0</v>
      </c>
      <c r="AM1202">
        <f>N(AM1201)+$AL1202</f>
        <v>2</v>
      </c>
      <c r="AN1202">
        <f>IF(对接源_01水果!$AC1202="","",对接源_01水果!$AC1202)</f>
      </c>
      <c r="AO1202">
        <f>IF(AN1202="",0,IF(MATCH(AN1202,$AN$4:$AN$1203,0)=ROW()-3,1,0))</f>
        <v>0</v>
      </c>
      <c r="AP1202">
        <f>N(AP1201)+$AO1202</f>
        <v>13</v>
      </c>
      <c r="AR1202">
        <f>IF(OR($AF1202=1,$AH1202=1),1,0)</f>
        <v>0</v>
      </c>
      <c r="AS1202">
        <f>N(AS1201)+$AR1202</f>
        <v>0</v>
      </c>
    </row>
    <row r="1203" ht="14.25" customHeight="1" s="127">
      <c r="A1203">
        <f>IF(对接源_01水果!$C1203="","",对接源_01水果!$C1203)</f>
      </c>
      <c r="B1203">
        <f>IF(A1203="",0,IF(MATCH(A1203,$A$4:$A$2403,0)=ROW()-3,1,0))</f>
        <v>0</v>
      </c>
      <c r="C1203">
        <f>N(C1202)+B1203</f>
        <v>22</v>
      </c>
      <c r="K1203">
        <f>IF(OR($K$1="",对接源_01水果!$C1203="",对接源_01水果!$C1203&lt;&gt;$K$1,对接源_01水果!$B1203=""),0,IF(OR(N(对接源_01水果!$B1203)&lt;$K$2,N(对接源_01水果!$B1203)&gt;$K$3),0,1))</f>
        <v>0</v>
      </c>
      <c r="L1203">
        <f>IF(OR($L$1="",对接源_01水果!$C1203="",对接源_01水果!$C1203&lt;&gt;$L$1,对接源_01水果!$B1203=""),0,IF(OR(N(对接源_01水果!$B1203)&lt;$L$2,N(对接源_01水果!$B1203)&gt;$L$3),0,1))</f>
        <v>0</v>
      </c>
      <c r="M1203">
        <f>IF(OR($M$1="",对接源_01水果!$C1203="",对接源_01水果!$C1203&lt;&gt;$M$1,对接源_01水果!$B1203=""),0,IF(OR(N(对接源_01水果!$B1203)&lt;$M$2,N(对接源_01水果!$B1203)&gt;$M$3),0,1))</f>
        <v>0</v>
      </c>
      <c r="N1203">
        <f>IF(OR($N$1="",对接源_01水果!$C1203="",对接源_01水果!$C1203&lt;&gt;$N$1,对接源_01水果!$B1203=""),0,IF(OR(N(对接源_01水果!$B1203)&lt;$N$2,N(对接源_01水果!$B1203)&gt;$N$3),0,1))</f>
        <v>0</v>
      </c>
      <c r="P1203">
        <f>IF(AND($K1203=1,AND(对接源_01水果!$X1203="公司筐",N(对接源_01水果!$T1203)&lt;&gt;0)),1,0)</f>
        <v>0</v>
      </c>
      <c r="Q1203">
        <f>N(Q1202)+$P1203</f>
        <v>0</v>
      </c>
      <c r="R1203">
        <f>IF(AND($K1203=1,AND(对接源_01水果!$X1203="公司筐",N(对接源_01水果!$U1203)&lt;&gt;0)),1,0)</f>
        <v>0</v>
      </c>
      <c r="S1203">
        <f>N(S1202)+$R1203</f>
        <v>0</v>
      </c>
      <c r="T1203">
        <f>IF(AND($K1203=1,AND(对接源_01水果!$X1203="公司筐",N(对接源_01水果!$V1203)&lt;&gt;0)),1,0)</f>
        <v>0</v>
      </c>
      <c r="U1203">
        <f>N(U1202)+$T1203</f>
        <v>47</v>
      </c>
      <c r="V1203">
        <f>IF(AND($L1203=1,AND(对接源_01水果!$X1203="自备筐",N(对接源_01水果!$V1203)&lt;&gt;0)),1,0)</f>
        <v>0</v>
      </c>
      <c r="W1203">
        <f>N(W1202)+$V1203</f>
        <v>11</v>
      </c>
      <c r="X1203">
        <f>IF(AND($L1203=1,AND(对接源_01水果!$X1203="自备筐",N(对接源_01水果!$T1203)&lt;&gt;0)),1,0)</f>
        <v>0</v>
      </c>
      <c r="Y1203">
        <f>N(Y1202)+$X1203</f>
        <v>0</v>
      </c>
      <c r="Z1203">
        <f>IF(AND($M1203=1,对接源_01水果!$D1203="原料入库"),1,0)</f>
        <v>0</v>
      </c>
      <c r="AA1203">
        <f>N(AA1202)+$Z1203</f>
        <v>24</v>
      </c>
      <c r="AB1203">
        <f>IF(AND($M1203=1,LEFT(对接源_01水果!$D1203,4)="原料出库"),1,0)</f>
        <v>0</v>
      </c>
      <c r="AC1203">
        <f>N(AC1202)+$AB1203</f>
        <v>0</v>
      </c>
      <c r="AD1203">
        <f>IF(AND($M1203=1,LEFT(对接源_01水果!$D1203,4)="成品出库"),1,0)</f>
        <v>0</v>
      </c>
      <c r="AE1203">
        <f>N(AE1202)+$AD1203</f>
        <v>0</v>
      </c>
      <c r="AF1203">
        <f>IF(AND($N1203=1,AND(LEFT(对接源_01水果!$D1203,4)="包装物料",N(对接源_01水果!$K1203)&lt;&gt;0)),1,0)</f>
        <v>0</v>
      </c>
      <c r="AG1203">
        <f>N(AG1202)+$AF1203</f>
        <v>0</v>
      </c>
      <c r="AH1203">
        <f>IF(AND($N1203=1,AND(对接源_01水果!$D1203="周转筐－销售出库",N(对接源_01水果!$K1203)&lt;&gt;0)),1,0)</f>
        <v>0</v>
      </c>
      <c r="AI1203">
        <f>N(AI1202)+$AH1203</f>
        <v>0</v>
      </c>
      <c r="AJ1203" s="7" t="n"/>
      <c r="AL1203">
        <f>IF(OR($AL$1="",对接源_01水果!$Y1203="",对接源_01水果!$Y1203&lt;&gt;$AL$1,对接源_01水果!$B1203="",N(对接源_01水果!$AJ1203)&lt;=0),0,IF(OR(N(对接源_01水果!$B1203)&lt;$AL$2,N(对接源_01水果!$B1203)&gt;$AL$3),0,1))</f>
        <v>0</v>
      </c>
      <c r="AM1203">
        <f>N(AM1202)+$AL1203</f>
        <v>2</v>
      </c>
      <c r="AN1203">
        <f>IF(对接源_01水果!$AC1203="","",对接源_01水果!$AC1203)</f>
      </c>
      <c r="AO1203">
        <f>IF(AN1203="",0,IF(MATCH(AN1203,$AN$4:$AN$1203,0)=ROW()-3,1,0))</f>
        <v>0</v>
      </c>
      <c r="AP1203">
        <f>N(AP1202)+$AO1203</f>
        <v>13</v>
      </c>
      <c r="AR1203">
        <f>IF(OR($AF1203=1,$AH1203=1),1,0)</f>
        <v>0</v>
      </c>
      <c r="AS1203">
        <f>N(AS1202)+$AR1203</f>
        <v>0</v>
      </c>
    </row>
    <row r="1204" s="127">
      <c r="A1204" t="str">
        <f>IF(对接源_02物料!$C4="","",对接源_02物料!$C4)</f>
        <v>果然鲜</v>
      </c>
      <c r="B1204">
        <f>IF(A1204="",0,IF(MATCH(A1204,$A$4:$A$2403,0)=ROW()-3,1,0))</f>
        <v>1</v>
      </c>
      <c r="C1204">
        <f>N(C1203)+B1204</f>
        <v>23</v>
      </c>
      <c r="K1204">
        <f>IF(OR($K$1="",对接源_02物料!$C4="",对接源_02物料!$C4&lt;&gt;$K$1,对接源_02物料!$B4=""),0,IF(OR(N(对接源_02物料!$B4)&lt;$K$2,N(对接源_02物料!$B4)&gt;$K$3),0,1))</f>
        <v>0</v>
      </c>
      <c r="L1204">
        <f>IF(OR($L$1="",对接源_02物料!$C4="",对接源_02物料!$C4&lt;&gt;$L$1,对接源_02物料!$B4=""),0,IF(OR(N(对接源_02物料!$B4)&lt;$L$2,N(对接源_02物料!$B4)&gt;$L$3),0,1))</f>
        <v>0</v>
      </c>
      <c r="M1204">
        <f>IF(OR($M$1="",对接源_02物料!$C4="",对接源_02物料!$C4&lt;&gt;$M$1,对接源_02物料!$B4=""),0,IF(OR(N(对接源_02物料!$B4)&lt;$M$2,N(对接源_02物料!$B4)&gt;$M$3),0,1))</f>
        <v>0</v>
      </c>
      <c r="N1204">
        <f>IF(OR($N$1="",对接源_02物料!$C4="",对接源_02物料!$C4&lt;&gt;$N$1,对接源_02物料!$B4=""),0,IF(OR(N(对接源_02物料!$B4)&lt;$N$2,N(对接源_02物料!$B4)&gt;$N$3),0,1))</f>
        <v>0</v>
      </c>
      <c r="P1204">
        <f>IF(AND($K1204=1,AND(对接源_02物料!$X4="公司筐",N(对接源_02物料!$T4)&lt;&gt;0)),1,0)</f>
        <v>0</v>
      </c>
      <c r="Q1204">
        <f>N(Q1203)+$P1204</f>
        <v>0</v>
      </c>
      <c r="R1204">
        <f>IF(AND($K1204=1,AND(对接源_02物料!$X4="公司筐",N(对接源_02物料!$U4)&lt;&gt;0)),1,0)</f>
        <v>0</v>
      </c>
      <c r="S1204">
        <f>N(S1203)+$R1204</f>
        <v>0</v>
      </c>
      <c r="T1204">
        <f>IF(AND($K1204=1,AND(对接源_02物料!$X4="公司筐",N(对接源_02物料!$V4)&lt;&gt;0)),1,0)</f>
        <v>0</v>
      </c>
      <c r="U1204">
        <f>N(U1203)+$T1204</f>
        <v>47</v>
      </c>
      <c r="V1204">
        <f>IF(AND($L1204=1,AND(对接源_02物料!$X4="自备筐",N(对接源_02物料!$V4)&lt;&gt;0)),1,0)</f>
        <v>0</v>
      </c>
      <c r="W1204">
        <f>N(W1203)+$V1204</f>
        <v>11</v>
      </c>
      <c r="X1204">
        <f>IF(AND($L1204=1,AND(对接源_02物料!$X4="自备筐",N(对接源_02物料!$T4)&lt;&gt;0)),1,0)</f>
        <v>0</v>
      </c>
      <c r="Y1204">
        <f>N(Y1203)+$X1204</f>
        <v>0</v>
      </c>
      <c r="Z1204">
        <f>IF(AND($M1204=1,对接源_02物料!$D4="原料入库"),1,0)</f>
        <v>0</v>
      </c>
      <c r="AA1204">
        <f>N(AA1203)+$Z1204</f>
        <v>24</v>
      </c>
      <c r="AB1204">
        <f>IF(AND($M1204=1,LEFT(对接源_02物料!$D4,4)="原料出库"),1,0)</f>
        <v>0</v>
      </c>
      <c r="AC1204">
        <f>N(AC1203)+$AB1204</f>
        <v>0</v>
      </c>
      <c r="AD1204">
        <f>IF(AND($M1204=1,LEFT(对接源_02物料!$D4,4)="成品出库"),1,0)</f>
        <v>0</v>
      </c>
      <c r="AE1204">
        <f>N(AE1203)+$AD1204</f>
        <v>0</v>
      </c>
      <c r="AF1204">
        <f>IF(AND($N1204=1,AND(LEFT(对接源_02物料!$D4,4)="包装物料",N(对接源_02物料!$K4)&lt;&gt;0)),1,0)</f>
        <v>0</v>
      </c>
      <c r="AG1204">
        <f>N(AG1203)+$AF1204</f>
        <v>0</v>
      </c>
      <c r="AH1204">
        <f>IF(AND($N1204=1,AND(对接源_02物料!$D4="周转筐－销售出库",N(对接源_02物料!$K4)&lt;&gt;0)),1,0)</f>
        <v>0</v>
      </c>
      <c r="AI1204">
        <f>N(AI1203)+$AH1204</f>
        <v>0</v>
      </c>
      <c r="AL1204" t="n">
        <v>0</v>
      </c>
      <c r="AM1204">
        <f>N(AM1203)+$AL1204</f>
        <v>2</v>
      </c>
      <c r="AN1204">
        <f>""</f>
      </c>
      <c r="AO1204" t="n">
        <v>0</v>
      </c>
      <c r="AP1204">
        <f>N(AP1203)+$AO1204</f>
        <v>13</v>
      </c>
      <c r="AR1204">
        <f>IF(OR($AF1204=1,$AH1204=1),1,0)</f>
        <v>0</v>
      </c>
      <c r="AS1204">
        <f>N(AS1203)+$AR1204</f>
        <v>0</v>
      </c>
    </row>
    <row r="1205" s="127">
      <c r="A1205" t="str">
        <f>IF(对接源_02物料!$C5="","",对接源_02物料!$C5)</f>
        <v>果然鲜</v>
      </c>
      <c r="B1205">
        <f>IF(A1205="",0,IF(MATCH(A1205,$A$4:$A$2403,0)=ROW()-3,1,0))</f>
        <v>0</v>
      </c>
      <c r="C1205">
        <f>N(C1204)+B1205</f>
        <v>23</v>
      </c>
      <c r="K1205">
        <f>IF(OR($K$1="",对接源_02物料!$C5="",对接源_02物料!$C5&lt;&gt;$K$1,对接源_02物料!$B5=""),0,IF(OR(N(对接源_02物料!$B5)&lt;$K$2,N(对接源_02物料!$B5)&gt;$K$3),0,1))</f>
        <v>0</v>
      </c>
      <c r="L1205">
        <f>IF(OR($L$1="",对接源_02物料!$C5="",对接源_02物料!$C5&lt;&gt;$L$1,对接源_02物料!$B5=""),0,IF(OR(N(对接源_02物料!$B5)&lt;$L$2,N(对接源_02物料!$B5)&gt;$L$3),0,1))</f>
        <v>0</v>
      </c>
      <c r="M1205">
        <f>IF(OR($M$1="",对接源_02物料!$C5="",对接源_02物料!$C5&lt;&gt;$M$1,对接源_02物料!$B5=""),0,IF(OR(N(对接源_02物料!$B5)&lt;$M$2,N(对接源_02物料!$B5)&gt;$M$3),0,1))</f>
        <v>0</v>
      </c>
      <c r="N1205">
        <f>IF(OR($N$1="",对接源_02物料!$C5="",对接源_02物料!$C5&lt;&gt;$N$1,对接源_02物料!$B5=""),0,IF(OR(N(对接源_02物料!$B5)&lt;$N$2,N(对接源_02物料!$B5)&gt;$N$3),0,1))</f>
        <v>0</v>
      </c>
      <c r="P1205">
        <f>IF(AND($K1205=1,AND(对接源_02物料!$X5="公司筐",N(对接源_02物料!$T5)&lt;&gt;0)),1,0)</f>
        <v>0</v>
      </c>
      <c r="Q1205">
        <f>N(Q1204)+$P1205</f>
        <v>0</v>
      </c>
      <c r="R1205">
        <f>IF(AND($K1205=1,AND(对接源_02物料!$X5="公司筐",N(对接源_02物料!$U5)&lt;&gt;0)),1,0)</f>
        <v>0</v>
      </c>
      <c r="S1205">
        <f>N(S1204)+$R1205</f>
        <v>0</v>
      </c>
      <c r="T1205">
        <f>IF(AND($K1205=1,AND(对接源_02物料!$X5="公司筐",N(对接源_02物料!$V5)&lt;&gt;0)),1,0)</f>
        <v>0</v>
      </c>
      <c r="U1205">
        <f>N(U1204)+$T1205</f>
        <v>47</v>
      </c>
      <c r="V1205">
        <f>IF(AND($L1205=1,AND(对接源_02物料!$X5="自备筐",N(对接源_02物料!$V5)&lt;&gt;0)),1,0)</f>
        <v>0</v>
      </c>
      <c r="W1205">
        <f>N(W1204)+$V1205</f>
        <v>11</v>
      </c>
      <c r="X1205">
        <f>IF(AND($L1205=1,AND(对接源_02物料!$X5="自备筐",N(对接源_02物料!$T5)&lt;&gt;0)),1,0)</f>
        <v>0</v>
      </c>
      <c r="Y1205">
        <f>N(Y1204)+$X1205</f>
        <v>0</v>
      </c>
      <c r="Z1205">
        <f>IF(AND($M1205=1,对接源_02物料!$D5="原料入库"),1,0)</f>
        <v>0</v>
      </c>
      <c r="AA1205">
        <f>N(AA1204)+$Z1205</f>
        <v>24</v>
      </c>
      <c r="AB1205">
        <f>IF(AND($M1205=1,LEFT(对接源_02物料!$D5,4)="原料出库"),1,0)</f>
        <v>0</v>
      </c>
      <c r="AC1205">
        <f>N(AC1204)+$AB1205</f>
        <v>0</v>
      </c>
      <c r="AD1205">
        <f>IF(AND($M1205=1,LEFT(对接源_02物料!$D5,4)="成品出库"),1,0)</f>
        <v>0</v>
      </c>
      <c r="AE1205">
        <f>N(AE1204)+$AD1205</f>
        <v>0</v>
      </c>
      <c r="AF1205">
        <f>IF(AND($N1205=1,AND(LEFT(对接源_02物料!$D5,4)="包装物料",N(对接源_02物料!$K5)&lt;&gt;0)),1,0)</f>
        <v>0</v>
      </c>
      <c r="AG1205">
        <f>N(AG1204)+$AF1205</f>
        <v>0</v>
      </c>
      <c r="AH1205">
        <f>IF(AND($N1205=1,AND(对接源_02物料!$D5="周转筐－销售出库",N(对接源_02物料!$K5)&lt;&gt;0)),1,0)</f>
        <v>0</v>
      </c>
      <c r="AI1205">
        <f>N(AI1204)+$AH1205</f>
        <v>0</v>
      </c>
      <c r="AL1205" t="n">
        <v>0</v>
      </c>
      <c r="AM1205">
        <f>N(AM1204)+$AL1205</f>
        <v>2</v>
      </c>
      <c r="AN1205">
        <f>""</f>
      </c>
      <c r="AO1205" t="n">
        <v>0</v>
      </c>
      <c r="AP1205">
        <f>N(AP1204)+$AO1205</f>
        <v>13</v>
      </c>
      <c r="AR1205">
        <f>IF(OR($AF1205=1,$AH1205=1),1,0)</f>
        <v>0</v>
      </c>
      <c r="AS1205">
        <f>N(AS1204)+$AR1205</f>
        <v>0</v>
      </c>
    </row>
    <row r="1206" s="127">
      <c r="A1206" t="str">
        <f>IF(对接源_02物料!$C6="","",对接源_02物料!$C6)</f>
        <v>果然鲜</v>
      </c>
      <c r="B1206">
        <f>IF(A1206="",0,IF(MATCH(A1206,$A$4:$A$2403,0)=ROW()-3,1,0))</f>
        <v>0</v>
      </c>
      <c r="C1206">
        <f>N(C1205)+B1206</f>
        <v>23</v>
      </c>
      <c r="K1206">
        <f>IF(OR($K$1="",对接源_02物料!$C6="",对接源_02物料!$C6&lt;&gt;$K$1,对接源_02物料!$B6=""),0,IF(OR(N(对接源_02物料!$B6)&lt;$K$2,N(对接源_02物料!$B6)&gt;$K$3),0,1))</f>
        <v>0</v>
      </c>
      <c r="L1206">
        <f>IF(OR($L$1="",对接源_02物料!$C6="",对接源_02物料!$C6&lt;&gt;$L$1,对接源_02物料!$B6=""),0,IF(OR(N(对接源_02物料!$B6)&lt;$L$2,N(对接源_02物料!$B6)&gt;$L$3),0,1))</f>
        <v>0</v>
      </c>
      <c r="M1206">
        <f>IF(OR($M$1="",对接源_02物料!$C6="",对接源_02物料!$C6&lt;&gt;$M$1,对接源_02物料!$B6=""),0,IF(OR(N(对接源_02物料!$B6)&lt;$M$2,N(对接源_02物料!$B6)&gt;$M$3),0,1))</f>
        <v>0</v>
      </c>
      <c r="N1206">
        <f>IF(OR($N$1="",对接源_02物料!$C6="",对接源_02物料!$C6&lt;&gt;$N$1,对接源_02物料!$B6=""),0,IF(OR(N(对接源_02物料!$B6)&lt;$N$2,N(对接源_02物料!$B6)&gt;$N$3),0,1))</f>
        <v>0</v>
      </c>
      <c r="P1206">
        <f>IF(AND($K1206=1,AND(对接源_02物料!$X6="公司筐",N(对接源_02物料!$T6)&lt;&gt;0)),1,0)</f>
        <v>0</v>
      </c>
      <c r="Q1206">
        <f>N(Q1205)+$P1206</f>
        <v>0</v>
      </c>
      <c r="R1206">
        <f>IF(AND($K1206=1,AND(对接源_02物料!$X6="公司筐",N(对接源_02物料!$U6)&lt;&gt;0)),1,0)</f>
        <v>0</v>
      </c>
      <c r="S1206">
        <f>N(S1205)+$R1206</f>
        <v>0</v>
      </c>
      <c r="T1206">
        <f>IF(AND($K1206=1,AND(对接源_02物料!$X6="公司筐",N(对接源_02物料!$V6)&lt;&gt;0)),1,0)</f>
        <v>0</v>
      </c>
      <c r="U1206">
        <f>N(U1205)+$T1206</f>
        <v>47</v>
      </c>
      <c r="V1206">
        <f>IF(AND($L1206=1,AND(对接源_02物料!$X6="自备筐",N(对接源_02物料!$V6)&lt;&gt;0)),1,0)</f>
        <v>0</v>
      </c>
      <c r="W1206">
        <f>N(W1205)+$V1206</f>
        <v>11</v>
      </c>
      <c r="X1206">
        <f>IF(AND($L1206=1,AND(对接源_02物料!$X6="自备筐",N(对接源_02物料!$T6)&lt;&gt;0)),1,0)</f>
        <v>0</v>
      </c>
      <c r="Y1206">
        <f>N(Y1205)+$X1206</f>
        <v>0</v>
      </c>
      <c r="Z1206">
        <f>IF(AND($M1206=1,对接源_02物料!$D6="原料入库"),1,0)</f>
        <v>0</v>
      </c>
      <c r="AA1206">
        <f>N(AA1205)+$Z1206</f>
        <v>24</v>
      </c>
      <c r="AB1206">
        <f>IF(AND($M1206=1,LEFT(对接源_02物料!$D6,4)="原料出库"),1,0)</f>
        <v>0</v>
      </c>
      <c r="AC1206">
        <f>N(AC1205)+$AB1206</f>
        <v>0</v>
      </c>
      <c r="AD1206">
        <f>IF(AND($M1206=1,LEFT(对接源_02物料!$D6,4)="成品出库"),1,0)</f>
        <v>0</v>
      </c>
      <c r="AE1206">
        <f>N(AE1205)+$AD1206</f>
        <v>0</v>
      </c>
      <c r="AF1206">
        <f>IF(AND($N1206=1,AND(LEFT(对接源_02物料!$D6,4)="包装物料",N(对接源_02物料!$K6)&lt;&gt;0)),1,0)</f>
        <v>0</v>
      </c>
      <c r="AG1206">
        <f>N(AG1205)+$AF1206</f>
        <v>0</v>
      </c>
      <c r="AH1206">
        <f>IF(AND($N1206=1,AND(对接源_02物料!$D6="周转筐－销售出库",N(对接源_02物料!$K6)&lt;&gt;0)),1,0)</f>
        <v>0</v>
      </c>
      <c r="AI1206">
        <f>N(AI1205)+$AH1206</f>
        <v>0</v>
      </c>
      <c r="AL1206" t="n">
        <v>0</v>
      </c>
      <c r="AM1206">
        <f>N(AM1205)+$AL1206</f>
        <v>2</v>
      </c>
      <c r="AN1206">
        <f>""</f>
      </c>
      <c r="AO1206" t="n">
        <v>0</v>
      </c>
      <c r="AP1206">
        <f>N(AP1205)+$AO1206</f>
        <v>13</v>
      </c>
      <c r="AR1206">
        <f>IF(OR($AF1206=1,$AH1206=1),1,0)</f>
        <v>0</v>
      </c>
      <c r="AS1206">
        <f>N(AS1205)+$AR1206</f>
        <v>0</v>
      </c>
    </row>
    <row r="1207" s="127">
      <c r="A1207" t="str">
        <f>IF(对接源_02物料!$C7="","",对接源_02物料!$C7)</f>
        <v>果然鲜</v>
      </c>
      <c r="B1207">
        <f>IF(A1207="",0,IF(MATCH(A1207,$A$4:$A$2403,0)=ROW()-3,1,0))</f>
        <v>0</v>
      </c>
      <c r="C1207">
        <f>N(C1206)+B1207</f>
        <v>23</v>
      </c>
      <c r="K1207">
        <f>IF(OR($K$1="",对接源_02物料!$C7="",对接源_02物料!$C7&lt;&gt;$K$1,对接源_02物料!$B7=""),0,IF(OR(N(对接源_02物料!$B7)&lt;$K$2,N(对接源_02物料!$B7)&gt;$K$3),0,1))</f>
        <v>0</v>
      </c>
      <c r="L1207">
        <f>IF(OR($L$1="",对接源_02物料!$C7="",对接源_02物料!$C7&lt;&gt;$L$1,对接源_02物料!$B7=""),0,IF(OR(N(对接源_02物料!$B7)&lt;$L$2,N(对接源_02物料!$B7)&gt;$L$3),0,1))</f>
        <v>0</v>
      </c>
      <c r="M1207">
        <f>IF(OR($M$1="",对接源_02物料!$C7="",对接源_02物料!$C7&lt;&gt;$M$1,对接源_02物料!$B7=""),0,IF(OR(N(对接源_02物料!$B7)&lt;$M$2,N(对接源_02物料!$B7)&gt;$M$3),0,1))</f>
        <v>0</v>
      </c>
      <c r="N1207">
        <f>IF(OR($N$1="",对接源_02物料!$C7="",对接源_02物料!$C7&lt;&gt;$N$1,对接源_02物料!$B7=""),0,IF(OR(N(对接源_02物料!$B7)&lt;$N$2,N(对接源_02物料!$B7)&gt;$N$3),0,1))</f>
        <v>0</v>
      </c>
      <c r="P1207">
        <f>IF(AND($K1207=1,AND(对接源_02物料!$X7="公司筐",N(对接源_02物料!$T7)&lt;&gt;0)),1,0)</f>
        <v>0</v>
      </c>
      <c r="Q1207">
        <f>N(Q1206)+$P1207</f>
        <v>0</v>
      </c>
      <c r="R1207">
        <f>IF(AND($K1207=1,AND(对接源_02物料!$X7="公司筐",N(对接源_02物料!$U7)&lt;&gt;0)),1,0)</f>
        <v>0</v>
      </c>
      <c r="S1207">
        <f>N(S1206)+$R1207</f>
        <v>0</v>
      </c>
      <c r="T1207">
        <f>IF(AND($K1207=1,AND(对接源_02物料!$X7="公司筐",N(对接源_02物料!$V7)&lt;&gt;0)),1,0)</f>
        <v>0</v>
      </c>
      <c r="U1207">
        <f>N(U1206)+$T1207</f>
        <v>47</v>
      </c>
      <c r="V1207">
        <f>IF(AND($L1207=1,AND(对接源_02物料!$X7="自备筐",N(对接源_02物料!$V7)&lt;&gt;0)),1,0)</f>
        <v>0</v>
      </c>
      <c r="W1207">
        <f>N(W1206)+$V1207</f>
        <v>11</v>
      </c>
      <c r="X1207">
        <f>IF(AND($L1207=1,AND(对接源_02物料!$X7="自备筐",N(对接源_02物料!$T7)&lt;&gt;0)),1,0)</f>
        <v>0</v>
      </c>
      <c r="Y1207">
        <f>N(Y1206)+$X1207</f>
        <v>0</v>
      </c>
      <c r="Z1207">
        <f>IF(AND($M1207=1,对接源_02物料!$D7="原料入库"),1,0)</f>
        <v>0</v>
      </c>
      <c r="AA1207">
        <f>N(AA1206)+$Z1207</f>
        <v>24</v>
      </c>
      <c r="AB1207">
        <f>IF(AND($M1207=1,LEFT(对接源_02物料!$D7,4)="原料出库"),1,0)</f>
        <v>0</v>
      </c>
      <c r="AC1207">
        <f>N(AC1206)+$AB1207</f>
        <v>0</v>
      </c>
      <c r="AD1207">
        <f>IF(AND($M1207=1,LEFT(对接源_02物料!$D7,4)="成品出库"),1,0)</f>
        <v>0</v>
      </c>
      <c r="AE1207">
        <f>N(AE1206)+$AD1207</f>
        <v>0</v>
      </c>
      <c r="AF1207">
        <f>IF(AND($N1207=1,AND(LEFT(对接源_02物料!$D7,4)="包装物料",N(对接源_02物料!$K7)&lt;&gt;0)),1,0)</f>
        <v>0</v>
      </c>
      <c r="AG1207">
        <f>N(AG1206)+$AF1207</f>
        <v>0</v>
      </c>
      <c r="AH1207">
        <f>IF(AND($N1207=1,AND(对接源_02物料!$D7="周转筐－销售出库",N(对接源_02物料!$K7)&lt;&gt;0)),1,0)</f>
        <v>0</v>
      </c>
      <c r="AI1207">
        <f>N(AI1206)+$AH1207</f>
        <v>0</v>
      </c>
      <c r="AL1207" t="n">
        <v>0</v>
      </c>
      <c r="AM1207">
        <f>N(AM1206)+$AL1207</f>
        <v>2</v>
      </c>
      <c r="AN1207">
        <f>""</f>
      </c>
      <c r="AO1207" t="n">
        <v>0</v>
      </c>
      <c r="AP1207">
        <f>N(AP1206)+$AO1207</f>
        <v>13</v>
      </c>
      <c r="AR1207">
        <f>IF(OR($AF1207=1,$AH1207=1),1,0)</f>
        <v>0</v>
      </c>
      <c r="AS1207">
        <f>N(AS1206)+$AR1207</f>
        <v>0</v>
      </c>
    </row>
    <row r="1208" s="127">
      <c r="A1208" t="str">
        <f>IF(对接源_02物料!$C8="","",对接源_02物料!$C8)</f>
        <v>果然鲜</v>
      </c>
      <c r="B1208">
        <f>IF(A1208="",0,IF(MATCH(A1208,$A$4:$A$2403,0)=ROW()-3,1,0))</f>
        <v>0</v>
      </c>
      <c r="C1208">
        <f>N(C1207)+B1208</f>
        <v>23</v>
      </c>
      <c r="K1208">
        <f>IF(OR($K$1="",对接源_02物料!$C8="",对接源_02物料!$C8&lt;&gt;$K$1,对接源_02物料!$B8=""),0,IF(OR(N(对接源_02物料!$B8)&lt;$K$2,N(对接源_02物料!$B8)&gt;$K$3),0,1))</f>
        <v>0</v>
      </c>
      <c r="L1208">
        <f>IF(OR($L$1="",对接源_02物料!$C8="",对接源_02物料!$C8&lt;&gt;$L$1,对接源_02物料!$B8=""),0,IF(OR(N(对接源_02物料!$B8)&lt;$L$2,N(对接源_02物料!$B8)&gt;$L$3),0,1))</f>
        <v>0</v>
      </c>
      <c r="M1208">
        <f>IF(OR($M$1="",对接源_02物料!$C8="",对接源_02物料!$C8&lt;&gt;$M$1,对接源_02物料!$B8=""),0,IF(OR(N(对接源_02物料!$B8)&lt;$M$2,N(对接源_02物料!$B8)&gt;$M$3),0,1))</f>
        <v>0</v>
      </c>
      <c r="N1208">
        <f>IF(OR($N$1="",对接源_02物料!$C8="",对接源_02物料!$C8&lt;&gt;$N$1,对接源_02物料!$B8=""),0,IF(OR(N(对接源_02物料!$B8)&lt;$N$2,N(对接源_02物料!$B8)&gt;$N$3),0,1))</f>
        <v>0</v>
      </c>
      <c r="P1208">
        <f>IF(AND($K1208=1,AND(对接源_02物料!$X8="公司筐",N(对接源_02物料!$T8)&lt;&gt;0)),1,0)</f>
        <v>0</v>
      </c>
      <c r="Q1208">
        <f>N(Q1207)+$P1208</f>
        <v>0</v>
      </c>
      <c r="R1208">
        <f>IF(AND($K1208=1,AND(对接源_02物料!$X8="公司筐",N(对接源_02物料!$U8)&lt;&gt;0)),1,0)</f>
        <v>0</v>
      </c>
      <c r="S1208">
        <f>N(S1207)+$R1208</f>
        <v>0</v>
      </c>
      <c r="T1208">
        <f>IF(AND($K1208=1,AND(对接源_02物料!$X8="公司筐",N(对接源_02物料!$V8)&lt;&gt;0)),1,0)</f>
        <v>0</v>
      </c>
      <c r="U1208">
        <f>N(U1207)+$T1208</f>
        <v>47</v>
      </c>
      <c r="V1208">
        <f>IF(AND($L1208=1,AND(对接源_02物料!$X8="自备筐",N(对接源_02物料!$V8)&lt;&gt;0)),1,0)</f>
        <v>0</v>
      </c>
      <c r="W1208">
        <f>N(W1207)+$V1208</f>
        <v>11</v>
      </c>
      <c r="X1208">
        <f>IF(AND($L1208=1,AND(对接源_02物料!$X8="自备筐",N(对接源_02物料!$T8)&lt;&gt;0)),1,0)</f>
        <v>0</v>
      </c>
      <c r="Y1208">
        <f>N(Y1207)+$X1208</f>
        <v>0</v>
      </c>
      <c r="Z1208">
        <f>IF(AND($M1208=1,对接源_02物料!$D8="原料入库"),1,0)</f>
        <v>0</v>
      </c>
      <c r="AA1208">
        <f>N(AA1207)+$Z1208</f>
        <v>24</v>
      </c>
      <c r="AB1208">
        <f>IF(AND($M1208=1,LEFT(对接源_02物料!$D8,4)="原料出库"),1,0)</f>
        <v>0</v>
      </c>
      <c r="AC1208">
        <f>N(AC1207)+$AB1208</f>
        <v>0</v>
      </c>
      <c r="AD1208">
        <f>IF(AND($M1208=1,LEFT(对接源_02物料!$D8,4)="成品出库"),1,0)</f>
        <v>0</v>
      </c>
      <c r="AE1208">
        <f>N(AE1207)+$AD1208</f>
        <v>0</v>
      </c>
      <c r="AF1208">
        <f>IF(AND($N1208=1,AND(LEFT(对接源_02物料!$D8,4)="包装物料",N(对接源_02物料!$K8)&lt;&gt;0)),1,0)</f>
        <v>0</v>
      </c>
      <c r="AG1208">
        <f>N(AG1207)+$AF1208</f>
        <v>0</v>
      </c>
      <c r="AH1208">
        <f>IF(AND($N1208=1,AND(对接源_02物料!$D8="周转筐－销售出库",N(对接源_02物料!$K8)&lt;&gt;0)),1,0)</f>
        <v>0</v>
      </c>
      <c r="AI1208">
        <f>N(AI1207)+$AH1208</f>
        <v>0</v>
      </c>
      <c r="AL1208" t="n">
        <v>0</v>
      </c>
      <c r="AM1208">
        <f>N(AM1207)+$AL1208</f>
        <v>2</v>
      </c>
      <c r="AN1208">
        <f>""</f>
      </c>
      <c r="AO1208" t="n">
        <v>0</v>
      </c>
      <c r="AP1208">
        <f>N(AP1207)+$AO1208</f>
        <v>13</v>
      </c>
      <c r="AR1208">
        <f>IF(OR($AF1208=1,$AH1208=1),1,0)</f>
        <v>0</v>
      </c>
      <c r="AS1208">
        <f>N(AS1207)+$AR1208</f>
        <v>0</v>
      </c>
    </row>
    <row r="1209" s="127">
      <c r="A1209" t="str">
        <f>IF(对接源_02物料!$C9="","",对接源_02物料!$C9)</f>
        <v>果然鲜</v>
      </c>
      <c r="B1209">
        <f>IF(A1209="",0,IF(MATCH(A1209,$A$4:$A$2403,0)=ROW()-3,1,0))</f>
        <v>0</v>
      </c>
      <c r="C1209">
        <f>N(C1208)+B1209</f>
        <v>23</v>
      </c>
      <c r="K1209">
        <f>IF(OR($K$1="",对接源_02物料!$C9="",对接源_02物料!$C9&lt;&gt;$K$1,对接源_02物料!$B9=""),0,IF(OR(N(对接源_02物料!$B9)&lt;$K$2,N(对接源_02物料!$B9)&gt;$K$3),0,1))</f>
        <v>0</v>
      </c>
      <c r="L1209">
        <f>IF(OR($L$1="",对接源_02物料!$C9="",对接源_02物料!$C9&lt;&gt;$L$1,对接源_02物料!$B9=""),0,IF(OR(N(对接源_02物料!$B9)&lt;$L$2,N(对接源_02物料!$B9)&gt;$L$3),0,1))</f>
        <v>0</v>
      </c>
      <c r="M1209">
        <f>IF(OR($M$1="",对接源_02物料!$C9="",对接源_02物料!$C9&lt;&gt;$M$1,对接源_02物料!$B9=""),0,IF(OR(N(对接源_02物料!$B9)&lt;$M$2,N(对接源_02物料!$B9)&gt;$M$3),0,1))</f>
        <v>0</v>
      </c>
      <c r="N1209">
        <f>IF(OR($N$1="",对接源_02物料!$C9="",对接源_02物料!$C9&lt;&gt;$N$1,对接源_02物料!$B9=""),0,IF(OR(N(对接源_02物料!$B9)&lt;$N$2,N(对接源_02物料!$B9)&gt;$N$3),0,1))</f>
        <v>0</v>
      </c>
      <c r="P1209">
        <f>IF(AND($K1209=1,AND(对接源_02物料!$X9="公司筐",N(对接源_02物料!$T9)&lt;&gt;0)),1,0)</f>
        <v>0</v>
      </c>
      <c r="Q1209">
        <f>N(Q1208)+$P1209</f>
        <v>0</v>
      </c>
      <c r="R1209">
        <f>IF(AND($K1209=1,AND(对接源_02物料!$X9="公司筐",N(对接源_02物料!$U9)&lt;&gt;0)),1,0)</f>
        <v>0</v>
      </c>
      <c r="S1209">
        <f>N(S1208)+$R1209</f>
        <v>0</v>
      </c>
      <c r="T1209">
        <f>IF(AND($K1209=1,AND(对接源_02物料!$X9="公司筐",N(对接源_02物料!$V9)&lt;&gt;0)),1,0)</f>
        <v>0</v>
      </c>
      <c r="U1209">
        <f>N(U1208)+$T1209</f>
        <v>47</v>
      </c>
      <c r="V1209">
        <f>IF(AND($L1209=1,AND(对接源_02物料!$X9="自备筐",N(对接源_02物料!$V9)&lt;&gt;0)),1,0)</f>
        <v>0</v>
      </c>
      <c r="W1209">
        <f>N(W1208)+$V1209</f>
        <v>11</v>
      </c>
      <c r="X1209">
        <f>IF(AND($L1209=1,AND(对接源_02物料!$X9="自备筐",N(对接源_02物料!$T9)&lt;&gt;0)),1,0)</f>
        <v>0</v>
      </c>
      <c r="Y1209">
        <f>N(Y1208)+$X1209</f>
        <v>0</v>
      </c>
      <c r="Z1209">
        <f>IF(AND($M1209=1,对接源_02物料!$D9="原料入库"),1,0)</f>
        <v>0</v>
      </c>
      <c r="AA1209">
        <f>N(AA1208)+$Z1209</f>
        <v>24</v>
      </c>
      <c r="AB1209">
        <f>IF(AND($M1209=1,LEFT(对接源_02物料!$D9,4)="原料出库"),1,0)</f>
        <v>0</v>
      </c>
      <c r="AC1209">
        <f>N(AC1208)+$AB1209</f>
        <v>0</v>
      </c>
      <c r="AD1209">
        <f>IF(AND($M1209=1,LEFT(对接源_02物料!$D9,4)="成品出库"),1,0)</f>
        <v>0</v>
      </c>
      <c r="AE1209">
        <f>N(AE1208)+$AD1209</f>
        <v>0</v>
      </c>
      <c r="AF1209">
        <f>IF(AND($N1209=1,AND(LEFT(对接源_02物料!$D9,4)="包装物料",N(对接源_02物料!$K9)&lt;&gt;0)),1,0)</f>
        <v>0</v>
      </c>
      <c r="AG1209">
        <f>N(AG1208)+$AF1209</f>
        <v>0</v>
      </c>
      <c r="AH1209">
        <f>IF(AND($N1209=1,AND(对接源_02物料!$D9="周转筐－销售出库",N(对接源_02物料!$K9)&lt;&gt;0)),1,0)</f>
        <v>0</v>
      </c>
      <c r="AI1209">
        <f>N(AI1208)+$AH1209</f>
        <v>0</v>
      </c>
      <c r="AL1209" t="n">
        <v>0</v>
      </c>
      <c r="AM1209">
        <f>N(AM1208)+$AL1209</f>
        <v>2</v>
      </c>
      <c r="AN1209">
        <f>""</f>
      </c>
      <c r="AO1209" t="n">
        <v>0</v>
      </c>
      <c r="AP1209">
        <f>N(AP1208)+$AO1209</f>
        <v>13</v>
      </c>
      <c r="AR1209">
        <f>IF(OR($AF1209=1,$AH1209=1),1,0)</f>
        <v>0</v>
      </c>
      <c r="AS1209">
        <f>N(AS1208)+$AR1209</f>
        <v>0</v>
      </c>
    </row>
    <row r="1210" s="127">
      <c r="A1210" t="str">
        <f>IF(对接源_02物料!$C10="","",对接源_02物料!$C10)</f>
        <v>新顺发泡网</v>
      </c>
      <c r="B1210">
        <f>IF(A1210="",0,IF(MATCH(A1210,$A$4:$A$2403,0)=ROW()-3,1,0))</f>
        <v>1</v>
      </c>
      <c r="C1210">
        <f>N(C1209)+B1210</f>
        <v>24</v>
      </c>
      <c r="K1210">
        <f>IF(OR($K$1="",对接源_02物料!$C10="",对接源_02物料!$C10&lt;&gt;$K$1,对接源_02物料!$B10=""),0,IF(OR(N(对接源_02物料!$B10)&lt;$K$2,N(对接源_02物料!$B10)&gt;$K$3),0,1))</f>
        <v>0</v>
      </c>
      <c r="L1210">
        <f>IF(OR($L$1="",对接源_02物料!$C10="",对接源_02物料!$C10&lt;&gt;$L$1,对接源_02物料!$B10=""),0,IF(OR(N(对接源_02物料!$B10)&lt;$L$2,N(对接源_02物料!$B10)&gt;$L$3),0,1))</f>
        <v>0</v>
      </c>
      <c r="M1210">
        <f>IF(OR($M$1="",对接源_02物料!$C10="",对接源_02物料!$C10&lt;&gt;$M$1,对接源_02物料!$B10=""),0,IF(OR(N(对接源_02物料!$B10)&lt;$M$2,N(对接源_02物料!$B10)&gt;$M$3),0,1))</f>
        <v>0</v>
      </c>
      <c r="N1210">
        <f>IF(OR($N$1="",对接源_02物料!$C10="",对接源_02物料!$C10&lt;&gt;$N$1,对接源_02物料!$B10=""),0,IF(OR(N(对接源_02物料!$B10)&lt;$N$2,N(对接源_02物料!$B10)&gt;$N$3),0,1))</f>
        <v>0</v>
      </c>
      <c r="P1210">
        <f>IF(AND($K1210=1,AND(对接源_02物料!$X10="公司筐",N(对接源_02物料!$T10)&lt;&gt;0)),1,0)</f>
        <v>0</v>
      </c>
      <c r="Q1210">
        <f>N(Q1209)+$P1210</f>
        <v>0</v>
      </c>
      <c r="R1210">
        <f>IF(AND($K1210=1,AND(对接源_02物料!$X10="公司筐",N(对接源_02物料!$U10)&lt;&gt;0)),1,0)</f>
        <v>0</v>
      </c>
      <c r="S1210">
        <f>N(S1209)+$R1210</f>
        <v>0</v>
      </c>
      <c r="T1210">
        <f>IF(AND($K1210=1,AND(对接源_02物料!$X10="公司筐",N(对接源_02物料!$V10)&lt;&gt;0)),1,0)</f>
        <v>0</v>
      </c>
      <c r="U1210">
        <f>N(U1209)+$T1210</f>
        <v>47</v>
      </c>
      <c r="V1210">
        <f>IF(AND($L1210=1,AND(对接源_02物料!$X10="自备筐",N(对接源_02物料!$V10)&lt;&gt;0)),1,0)</f>
        <v>0</v>
      </c>
      <c r="W1210">
        <f>N(W1209)+$V1210</f>
        <v>11</v>
      </c>
      <c r="X1210">
        <f>IF(AND($L1210=1,AND(对接源_02物料!$X10="自备筐",N(对接源_02物料!$T10)&lt;&gt;0)),1,0)</f>
        <v>0</v>
      </c>
      <c r="Y1210">
        <f>N(Y1209)+$X1210</f>
        <v>0</v>
      </c>
      <c r="Z1210">
        <f>IF(AND($M1210=1,对接源_02物料!$D10="原料入库"),1,0)</f>
        <v>0</v>
      </c>
      <c r="AA1210">
        <f>N(AA1209)+$Z1210</f>
        <v>24</v>
      </c>
      <c r="AB1210">
        <f>IF(AND($M1210=1,LEFT(对接源_02物料!$D10,4)="原料出库"),1,0)</f>
        <v>0</v>
      </c>
      <c r="AC1210">
        <f>N(AC1209)+$AB1210</f>
        <v>0</v>
      </c>
      <c r="AD1210">
        <f>IF(AND($M1210=1,LEFT(对接源_02物料!$D10,4)="成品出库"),1,0)</f>
        <v>0</v>
      </c>
      <c r="AE1210">
        <f>N(AE1209)+$AD1210</f>
        <v>0</v>
      </c>
      <c r="AF1210">
        <f>IF(AND($N1210=1,AND(LEFT(对接源_02物料!$D10,4)="包装物料",N(对接源_02物料!$K10)&lt;&gt;0)),1,0)</f>
        <v>0</v>
      </c>
      <c r="AG1210">
        <f>N(AG1209)+$AF1210</f>
        <v>0</v>
      </c>
      <c r="AH1210">
        <f>IF(AND($N1210=1,AND(对接源_02物料!$D10="周转筐－销售出库",N(对接源_02物料!$K10)&lt;&gt;0)),1,0)</f>
        <v>0</v>
      </c>
      <c r="AI1210">
        <f>N(AI1209)+$AH1210</f>
        <v>0</v>
      </c>
      <c r="AL1210" t="n">
        <v>0</v>
      </c>
      <c r="AM1210">
        <f>N(AM1209)+$AL1210</f>
        <v>2</v>
      </c>
      <c r="AN1210">
        <f>""</f>
      </c>
      <c r="AO1210" t="n">
        <v>0</v>
      </c>
      <c r="AP1210">
        <f>N(AP1209)+$AO1210</f>
        <v>13</v>
      </c>
      <c r="AR1210">
        <f>IF(OR($AF1210=1,$AH1210=1),1,0)</f>
        <v>0</v>
      </c>
      <c r="AS1210">
        <f>N(AS1209)+$AR1210</f>
        <v>0</v>
      </c>
    </row>
    <row r="1211" s="127">
      <c r="A1211" t="str">
        <f>IF(对接源_02物料!$C11="","",对接源_02物料!$C11)</f>
        <v>吐尔洪</v>
      </c>
      <c r="B1211">
        <f>IF(A1211="",0,IF(MATCH(A1211,$A$4:$A$2403,0)=ROW()-3,1,0))</f>
        <v>0</v>
      </c>
      <c r="C1211">
        <f>N(C1210)+B1211</f>
        <v>24</v>
      </c>
      <c r="K1211">
        <f>IF(OR($K$1="",对接源_02物料!$C11="",对接源_02物料!$C11&lt;&gt;$K$1,对接源_02物料!$B11=""),0,IF(OR(N(对接源_02物料!$B11)&lt;$K$2,N(对接源_02物料!$B11)&gt;$K$3),0,1))</f>
        <v>0</v>
      </c>
      <c r="L1211">
        <f>IF(OR($L$1="",对接源_02物料!$C11="",对接源_02物料!$C11&lt;&gt;$L$1,对接源_02物料!$B11=""),0,IF(OR(N(对接源_02物料!$B11)&lt;$L$2,N(对接源_02物料!$B11)&gt;$L$3),0,1))</f>
        <v>0</v>
      </c>
      <c r="M1211">
        <f>IF(OR($M$1="",对接源_02物料!$C11="",对接源_02物料!$C11&lt;&gt;$M$1,对接源_02物料!$B11=""),0,IF(OR(N(对接源_02物料!$B11)&lt;$M$2,N(对接源_02物料!$B11)&gt;$M$3),0,1))</f>
        <v>1</v>
      </c>
      <c r="N1211">
        <f>IF(OR($N$1="",对接源_02物料!$C11="",对接源_02物料!$C11&lt;&gt;$N$1,对接源_02物料!$B11=""),0,IF(OR(N(对接源_02物料!$B11)&lt;$N$2,N(对接源_02物料!$B11)&gt;$N$3),0,1))</f>
        <v>0</v>
      </c>
      <c r="P1211">
        <f>IF(AND($K1211=1,AND(对接源_02物料!$X11="公司筐",N(对接源_02物料!$T11)&lt;&gt;0)),1,0)</f>
        <v>0</v>
      </c>
      <c r="Q1211">
        <f>N(Q1210)+$P1211</f>
        <v>0</v>
      </c>
      <c r="R1211">
        <f>IF(AND($K1211=1,AND(对接源_02物料!$X11="公司筐",N(对接源_02物料!$U11)&lt;&gt;0)),1,0)</f>
        <v>0</v>
      </c>
      <c r="S1211">
        <f>N(S1210)+$R1211</f>
        <v>0</v>
      </c>
      <c r="T1211">
        <f>IF(AND($K1211=1,AND(对接源_02物料!$X11="公司筐",N(对接源_02物料!$V11)&lt;&gt;0)),1,0)</f>
        <v>0</v>
      </c>
      <c r="U1211">
        <f>N(U1210)+$T1211</f>
        <v>47</v>
      </c>
      <c r="V1211">
        <f>IF(AND($L1211=1,AND(对接源_02物料!$X11="自备筐",N(对接源_02物料!$V11)&lt;&gt;0)),1,0)</f>
        <v>0</v>
      </c>
      <c r="W1211">
        <f>N(W1210)+$V1211</f>
        <v>11</v>
      </c>
      <c r="X1211">
        <f>IF(AND($L1211=1,AND(对接源_02物料!$X11="自备筐",N(对接源_02物料!$T11)&lt;&gt;0)),1,0)</f>
        <v>0</v>
      </c>
      <c r="Y1211">
        <f>N(Y1210)+$X1211</f>
        <v>0</v>
      </c>
      <c r="Z1211">
        <f>IF(AND($M1211=1,对接源_02物料!$D11="原料入库"),1,0)</f>
        <v>0</v>
      </c>
      <c r="AA1211">
        <f>N(AA1210)+$Z1211</f>
        <v>24</v>
      </c>
      <c r="AB1211">
        <f>IF(AND($M1211=1,LEFT(对接源_02物料!$D11,4)="原料出库"),1,0)</f>
        <v>0</v>
      </c>
      <c r="AC1211">
        <f>N(AC1210)+$AB1211</f>
        <v>0</v>
      </c>
      <c r="AD1211">
        <f>IF(AND($M1211=1,LEFT(对接源_02物料!$D11,4)="成品出库"),1,0)</f>
        <v>0</v>
      </c>
      <c r="AE1211">
        <f>N(AE1210)+$AD1211</f>
        <v>0</v>
      </c>
      <c r="AF1211">
        <f>IF(AND($N1211=1,AND(LEFT(对接源_02物料!$D11,4)="包装物料",N(对接源_02物料!$K11)&lt;&gt;0)),1,0)</f>
        <v>0</v>
      </c>
      <c r="AG1211">
        <f>N(AG1210)+$AF1211</f>
        <v>0</v>
      </c>
      <c r="AH1211">
        <f>IF(AND($N1211=1,AND(对接源_02物料!$D11="周转筐－销售出库",N(对接源_02物料!$K11)&lt;&gt;0)),1,0)</f>
        <v>0</v>
      </c>
      <c r="AI1211">
        <f>N(AI1210)+$AH1211</f>
        <v>0</v>
      </c>
      <c r="AL1211" t="n">
        <v>0</v>
      </c>
      <c r="AM1211">
        <f>N(AM1210)+$AL1211</f>
        <v>2</v>
      </c>
      <c r="AN1211">
        <f>""</f>
      </c>
      <c r="AO1211" t="n">
        <v>0</v>
      </c>
      <c r="AP1211">
        <f>N(AP1210)+$AO1211</f>
        <v>13</v>
      </c>
      <c r="AR1211">
        <f>IF(OR($AF1211=1,$AH1211=1),1,0)</f>
        <v>0</v>
      </c>
      <c r="AS1211">
        <f>N(AS1210)+$AR1211</f>
        <v>0</v>
      </c>
    </row>
    <row r="1212" s="127">
      <c r="A1212" t="str">
        <f>IF(对接源_02物料!$C12="","",对接源_02物料!$C12)</f>
        <v>热合曼</v>
      </c>
      <c r="B1212">
        <f>IF(A1212="",0,IF(MATCH(A1212,$A$4:$A$2403,0)=ROW()-3,1,0))</f>
        <v>0</v>
      </c>
      <c r="C1212">
        <f>N(C1211)+B1212</f>
        <v>24</v>
      </c>
      <c r="K1212">
        <f>IF(OR($K$1="",对接源_02物料!$C12="",对接源_02物料!$C12&lt;&gt;$K$1,对接源_02物料!$B12=""),0,IF(OR(N(对接源_02物料!$B12)&lt;$K$2,N(对接源_02物料!$B12)&gt;$K$3),0,1))</f>
        <v>0</v>
      </c>
      <c r="L1212">
        <f>IF(OR($L$1="",对接源_02物料!$C12="",对接源_02物料!$C12&lt;&gt;$L$1,对接源_02物料!$B12=""),0,IF(OR(N(对接源_02物料!$B12)&lt;$L$2,N(对接源_02物料!$B12)&gt;$L$3),0,1))</f>
        <v>0</v>
      </c>
      <c r="M1212">
        <f>IF(OR($M$1="",对接源_02物料!$C12="",对接源_02物料!$C12&lt;&gt;$M$1,对接源_02物料!$B12=""),0,IF(OR(N(对接源_02物料!$B12)&lt;$M$2,N(对接源_02物料!$B12)&gt;$M$3),0,1))</f>
        <v>0</v>
      </c>
      <c r="N1212">
        <f>IF(OR($N$1="",对接源_02物料!$C12="",对接源_02物料!$C12&lt;&gt;$N$1,对接源_02物料!$B12=""),0,IF(OR(N(对接源_02物料!$B12)&lt;$N$2,N(对接源_02物料!$B12)&gt;$N$3),0,1))</f>
        <v>0</v>
      </c>
      <c r="P1212">
        <f>IF(AND($K1212=1,AND(对接源_02物料!$X12="公司筐",N(对接源_02物料!$T12)&lt;&gt;0)),1,0)</f>
        <v>0</v>
      </c>
      <c r="Q1212">
        <f>N(Q1211)+$P1212</f>
        <v>0</v>
      </c>
      <c r="R1212">
        <f>IF(AND($K1212=1,AND(对接源_02物料!$X12="公司筐",N(对接源_02物料!$U12)&lt;&gt;0)),1,0)</f>
        <v>0</v>
      </c>
      <c r="S1212">
        <f>N(S1211)+$R1212</f>
        <v>0</v>
      </c>
      <c r="T1212">
        <f>IF(AND($K1212=1,AND(对接源_02物料!$X12="公司筐",N(对接源_02物料!$V12)&lt;&gt;0)),1,0)</f>
        <v>0</v>
      </c>
      <c r="U1212">
        <f>N(U1211)+$T1212</f>
        <v>47</v>
      </c>
      <c r="V1212">
        <f>IF(AND($L1212=1,AND(对接源_02物料!$X12="自备筐",N(对接源_02物料!$V12)&lt;&gt;0)),1,0)</f>
        <v>0</v>
      </c>
      <c r="W1212">
        <f>N(W1211)+$V1212</f>
        <v>11</v>
      </c>
      <c r="X1212">
        <f>IF(AND($L1212=1,AND(对接源_02物料!$X12="自备筐",N(对接源_02物料!$T12)&lt;&gt;0)),1,0)</f>
        <v>0</v>
      </c>
      <c r="Y1212">
        <f>N(Y1211)+$X1212</f>
        <v>0</v>
      </c>
      <c r="Z1212">
        <f>IF(AND($M1212=1,对接源_02物料!$D12="原料入库"),1,0)</f>
        <v>0</v>
      </c>
      <c r="AA1212">
        <f>N(AA1211)+$Z1212</f>
        <v>24</v>
      </c>
      <c r="AB1212">
        <f>IF(AND($M1212=1,LEFT(对接源_02物料!$D12,4)="原料出库"),1,0)</f>
        <v>0</v>
      </c>
      <c r="AC1212">
        <f>N(AC1211)+$AB1212</f>
        <v>0</v>
      </c>
      <c r="AD1212">
        <f>IF(AND($M1212=1,LEFT(对接源_02物料!$D12,4)="成品出库"),1,0)</f>
        <v>0</v>
      </c>
      <c r="AE1212">
        <f>N(AE1211)+$AD1212</f>
        <v>0</v>
      </c>
      <c r="AF1212">
        <f>IF(AND($N1212=1,AND(LEFT(对接源_02物料!$D12,4)="包装物料",N(对接源_02物料!$K12)&lt;&gt;0)),1,0)</f>
        <v>0</v>
      </c>
      <c r="AG1212">
        <f>N(AG1211)+$AF1212</f>
        <v>0</v>
      </c>
      <c r="AH1212">
        <f>IF(AND($N1212=1,AND(对接源_02物料!$D12="周转筐－销售出库",N(对接源_02物料!$K12)&lt;&gt;0)),1,0)</f>
        <v>0</v>
      </c>
      <c r="AI1212">
        <f>N(AI1211)+$AH1212</f>
        <v>0</v>
      </c>
      <c r="AL1212" t="n">
        <v>0</v>
      </c>
      <c r="AM1212">
        <f>N(AM1211)+$AL1212</f>
        <v>2</v>
      </c>
      <c r="AN1212">
        <f>""</f>
      </c>
      <c r="AO1212" t="n">
        <v>0</v>
      </c>
      <c r="AP1212">
        <f>N(AP1211)+$AO1212</f>
        <v>13</v>
      </c>
      <c r="AR1212">
        <f>IF(OR($AF1212=1,$AH1212=1),1,0)</f>
        <v>0</v>
      </c>
      <c r="AS1212">
        <f>N(AS1211)+$AR1212</f>
        <v>0</v>
      </c>
    </row>
    <row r="1213" s="127">
      <c r="A1213" t="str">
        <f>IF(对接源_02物料!$C13="","",对接源_02物料!$C13)</f>
        <v>麦麦提</v>
      </c>
      <c r="B1213">
        <f>IF(A1213="",0,IF(MATCH(A1213,$A$4:$A$2403,0)=ROW()-3,1,0))</f>
        <v>0</v>
      </c>
      <c r="C1213">
        <f>N(C1212)+B1213</f>
        <v>24</v>
      </c>
      <c r="K1213">
        <f>IF(OR($K$1="",对接源_02物料!$C13="",对接源_02物料!$C13&lt;&gt;$K$1,对接源_02物料!$B13=""),0,IF(OR(N(对接源_02物料!$B13)&lt;$K$2,N(对接源_02物料!$B13)&gt;$K$3),0,1))</f>
        <v>0</v>
      </c>
      <c r="L1213">
        <f>IF(OR($L$1="",对接源_02物料!$C13="",对接源_02物料!$C13&lt;&gt;$L$1,对接源_02物料!$B13=""),0,IF(OR(N(对接源_02物料!$B13)&lt;$L$2,N(对接源_02物料!$B13)&gt;$L$3),0,1))</f>
        <v>0</v>
      </c>
      <c r="M1213">
        <f>IF(OR($M$1="",对接源_02物料!$C13="",对接源_02物料!$C13&lt;&gt;$M$1,对接源_02物料!$B13=""),0,IF(OR(N(对接源_02物料!$B13)&lt;$M$2,N(对接源_02物料!$B13)&gt;$M$3),0,1))</f>
        <v>0</v>
      </c>
      <c r="N1213">
        <f>IF(OR($N$1="",对接源_02物料!$C13="",对接源_02物料!$C13&lt;&gt;$N$1,对接源_02物料!$B13=""),0,IF(OR(N(对接源_02物料!$B13)&lt;$N$2,N(对接源_02物料!$B13)&gt;$N$3),0,1))</f>
        <v>1</v>
      </c>
      <c r="P1213">
        <f>IF(AND($K1213=1,AND(对接源_02物料!$X13="公司筐",N(对接源_02物料!$T13)&lt;&gt;0)),1,0)</f>
        <v>0</v>
      </c>
      <c r="Q1213">
        <f>N(Q1212)+$P1213</f>
        <v>0</v>
      </c>
      <c r="R1213">
        <f>IF(AND($K1213=1,AND(对接源_02物料!$X13="公司筐",N(对接源_02物料!$U13)&lt;&gt;0)),1,0)</f>
        <v>0</v>
      </c>
      <c r="S1213">
        <f>N(S1212)+$R1213</f>
        <v>0</v>
      </c>
      <c r="T1213">
        <f>IF(AND($K1213=1,AND(对接源_02物料!$X13="公司筐",N(对接源_02物料!$V13)&lt;&gt;0)),1,0)</f>
        <v>0</v>
      </c>
      <c r="U1213">
        <f>N(U1212)+$T1213</f>
        <v>47</v>
      </c>
      <c r="V1213">
        <f>IF(AND($L1213=1,AND(对接源_02物料!$X13="自备筐",N(对接源_02物料!$V13)&lt;&gt;0)),1,0)</f>
        <v>0</v>
      </c>
      <c r="W1213">
        <f>N(W1212)+$V1213</f>
        <v>11</v>
      </c>
      <c r="X1213">
        <f>IF(AND($L1213=1,AND(对接源_02物料!$X13="自备筐",N(对接源_02物料!$T13)&lt;&gt;0)),1,0)</f>
        <v>0</v>
      </c>
      <c r="Y1213">
        <f>N(Y1212)+$X1213</f>
        <v>0</v>
      </c>
      <c r="Z1213">
        <f>IF(AND($M1213=1,对接源_02物料!$D13="原料入库"),1,0)</f>
        <v>0</v>
      </c>
      <c r="AA1213">
        <f>N(AA1212)+$Z1213</f>
        <v>24</v>
      </c>
      <c r="AB1213">
        <f>IF(AND($M1213=1,LEFT(对接源_02物料!$D13,4)="原料出库"),1,0)</f>
        <v>0</v>
      </c>
      <c r="AC1213">
        <f>N(AC1212)+$AB1213</f>
        <v>0</v>
      </c>
      <c r="AD1213">
        <f>IF(AND($M1213=1,LEFT(对接源_02物料!$D13,4)="成品出库"),1,0)</f>
        <v>0</v>
      </c>
      <c r="AE1213">
        <f>N(AE1212)+$AD1213</f>
        <v>0</v>
      </c>
      <c r="AF1213">
        <f>IF(AND($N1213=1,AND(LEFT(对接源_02物料!$D13,4)="包装物料",N(对接源_02物料!$K13)&lt;&gt;0)),1,0)</f>
        <v>1</v>
      </c>
      <c r="AG1213">
        <f>N(AG1212)+$AF1213</f>
        <v>1</v>
      </c>
      <c r="AH1213">
        <f>IF(AND($N1213=1,AND(对接源_02物料!$D13="周转筐－销售出库",N(对接源_02物料!$K13)&lt;&gt;0)),1,0)</f>
        <v>0</v>
      </c>
      <c r="AI1213">
        <f>N(AI1212)+$AH1213</f>
        <v>0</v>
      </c>
      <c r="AL1213" t="n">
        <v>0</v>
      </c>
      <c r="AM1213">
        <f>N(AM1212)+$AL1213</f>
        <v>2</v>
      </c>
      <c r="AN1213">
        <f>""</f>
      </c>
      <c r="AO1213" t="n">
        <v>0</v>
      </c>
      <c r="AP1213">
        <f>N(AP1212)+$AO1213</f>
        <v>13</v>
      </c>
      <c r="AR1213">
        <f>IF(OR($AF1213=1,$AH1213=1),1,0)</f>
        <v>1</v>
      </c>
      <c r="AS1213">
        <f>N(AS1212)+$AR1213</f>
        <v>1</v>
      </c>
    </row>
    <row r="1214" s="127">
      <c r="A1214" t="str">
        <f>IF(对接源_02物料!$C14="","",对接源_02物料!$C14)</f>
        <v>热合曼</v>
      </c>
      <c r="B1214">
        <f>IF(A1214="",0,IF(MATCH(A1214,$A$4:$A$2403,0)=ROW()-3,1,0))</f>
        <v>0</v>
      </c>
      <c r="C1214">
        <f>N(C1213)+B1214</f>
        <v>24</v>
      </c>
      <c r="K1214">
        <f>IF(OR($K$1="",对接源_02物料!$C14="",对接源_02物料!$C14&lt;&gt;$K$1,对接源_02物料!$B14=""),0,IF(OR(N(对接源_02物料!$B14)&lt;$K$2,N(对接源_02物料!$B14)&gt;$K$3),0,1))</f>
        <v>0</v>
      </c>
      <c r="L1214">
        <f>IF(OR($L$1="",对接源_02物料!$C14="",对接源_02物料!$C14&lt;&gt;$L$1,对接源_02物料!$B14=""),0,IF(OR(N(对接源_02物料!$B14)&lt;$L$2,N(对接源_02物料!$B14)&gt;$L$3),0,1))</f>
        <v>0</v>
      </c>
      <c r="M1214">
        <f>IF(OR($M$1="",对接源_02物料!$C14="",对接源_02物料!$C14&lt;&gt;$M$1,对接源_02物料!$B14=""),0,IF(OR(N(对接源_02物料!$B14)&lt;$M$2,N(对接源_02物料!$B14)&gt;$M$3),0,1))</f>
        <v>0</v>
      </c>
      <c r="N1214">
        <f>IF(OR($N$1="",对接源_02物料!$C14="",对接源_02物料!$C14&lt;&gt;$N$1,对接源_02物料!$B14=""),0,IF(OR(N(对接源_02物料!$B14)&lt;$N$2,N(对接源_02物料!$B14)&gt;$N$3),0,1))</f>
        <v>0</v>
      </c>
      <c r="P1214">
        <f>IF(AND($K1214=1,AND(对接源_02物料!$X14="公司筐",N(对接源_02物料!$T14)&lt;&gt;0)),1,0)</f>
        <v>0</v>
      </c>
      <c r="Q1214">
        <f>N(Q1213)+$P1214</f>
        <v>0</v>
      </c>
      <c r="R1214">
        <f>IF(AND($K1214=1,AND(对接源_02物料!$X14="公司筐",N(对接源_02物料!$U14)&lt;&gt;0)),1,0)</f>
        <v>0</v>
      </c>
      <c r="S1214">
        <f>N(S1213)+$R1214</f>
        <v>0</v>
      </c>
      <c r="T1214">
        <f>IF(AND($K1214=1,AND(对接源_02物料!$X14="公司筐",N(对接源_02物料!$V14)&lt;&gt;0)),1,0)</f>
        <v>0</v>
      </c>
      <c r="U1214">
        <f>N(U1213)+$T1214</f>
        <v>47</v>
      </c>
      <c r="V1214">
        <f>IF(AND($L1214=1,AND(对接源_02物料!$X14="自备筐",N(对接源_02物料!$V14)&lt;&gt;0)),1,0)</f>
        <v>0</v>
      </c>
      <c r="W1214">
        <f>N(W1213)+$V1214</f>
        <v>11</v>
      </c>
      <c r="X1214">
        <f>IF(AND($L1214=1,AND(对接源_02物料!$X14="自备筐",N(对接源_02物料!$T14)&lt;&gt;0)),1,0)</f>
        <v>0</v>
      </c>
      <c r="Y1214">
        <f>N(Y1213)+$X1214</f>
        <v>0</v>
      </c>
      <c r="Z1214">
        <f>IF(AND($M1214=1,对接源_02物料!$D14="原料入库"),1,0)</f>
        <v>0</v>
      </c>
      <c r="AA1214">
        <f>N(AA1213)+$Z1214</f>
        <v>24</v>
      </c>
      <c r="AB1214">
        <f>IF(AND($M1214=1,LEFT(对接源_02物料!$D14,4)="原料出库"),1,0)</f>
        <v>0</v>
      </c>
      <c r="AC1214">
        <f>N(AC1213)+$AB1214</f>
        <v>0</v>
      </c>
      <c r="AD1214">
        <f>IF(AND($M1214=1,LEFT(对接源_02物料!$D14,4)="成品出库"),1,0)</f>
        <v>0</v>
      </c>
      <c r="AE1214">
        <f>N(AE1213)+$AD1214</f>
        <v>0</v>
      </c>
      <c r="AF1214">
        <f>IF(AND($N1214=1,AND(LEFT(对接源_02物料!$D14,4)="包装物料",N(对接源_02物料!$K14)&lt;&gt;0)),1,0)</f>
        <v>0</v>
      </c>
      <c r="AG1214">
        <f>N(AG1213)+$AF1214</f>
        <v>1</v>
      </c>
      <c r="AH1214">
        <f>IF(AND($N1214=1,AND(对接源_02物料!$D14="周转筐－销售出库",N(对接源_02物料!$K14)&lt;&gt;0)),1,0)</f>
        <v>0</v>
      </c>
      <c r="AI1214">
        <f>N(AI1213)+$AH1214</f>
        <v>0</v>
      </c>
      <c r="AL1214" t="n">
        <v>0</v>
      </c>
      <c r="AM1214">
        <f>N(AM1213)+$AL1214</f>
        <v>2</v>
      </c>
      <c r="AN1214">
        <f>""</f>
      </c>
      <c r="AO1214" t="n">
        <v>0</v>
      </c>
      <c r="AP1214">
        <f>N(AP1213)+$AO1214</f>
        <v>13</v>
      </c>
      <c r="AR1214">
        <f>IF(OR($AF1214=1,$AH1214=1),1,0)</f>
        <v>0</v>
      </c>
      <c r="AS1214">
        <f>N(AS1213)+$AR1214</f>
        <v>1</v>
      </c>
    </row>
    <row r="1215" s="127">
      <c r="A1215" t="str">
        <f>IF(对接源_02物料!$C15="","",对接源_02物料!$C15)</f>
        <v>麦麦提</v>
      </c>
      <c r="B1215">
        <f>IF(A1215="",0,IF(MATCH(A1215,$A$4:$A$2403,0)=ROW()-3,1,0))</f>
        <v>0</v>
      </c>
      <c r="C1215">
        <f>N(C1214)+B1215</f>
        <v>24</v>
      </c>
      <c r="K1215">
        <f>IF(OR($K$1="",对接源_02物料!$C15="",对接源_02物料!$C15&lt;&gt;$K$1,对接源_02物料!$B15=""),0,IF(OR(N(对接源_02物料!$B15)&lt;$K$2,N(对接源_02物料!$B15)&gt;$K$3),0,1))</f>
        <v>0</v>
      </c>
      <c r="L1215">
        <f>IF(OR($L$1="",对接源_02物料!$C15="",对接源_02物料!$C15&lt;&gt;$L$1,对接源_02物料!$B15=""),0,IF(OR(N(对接源_02物料!$B15)&lt;$L$2,N(对接源_02物料!$B15)&gt;$L$3),0,1))</f>
        <v>0</v>
      </c>
      <c r="M1215">
        <f>IF(OR($M$1="",对接源_02物料!$C15="",对接源_02物料!$C15&lt;&gt;$M$1,对接源_02物料!$B15=""),0,IF(OR(N(对接源_02物料!$B15)&lt;$M$2,N(对接源_02物料!$B15)&gt;$M$3),0,1))</f>
        <v>0</v>
      </c>
      <c r="N1215">
        <f>IF(OR($N$1="",对接源_02物料!$C15="",对接源_02物料!$C15&lt;&gt;$N$1,对接源_02物料!$B15=""),0,IF(OR(N(对接源_02物料!$B15)&lt;$N$2,N(对接源_02物料!$B15)&gt;$N$3),0,1))</f>
        <v>1</v>
      </c>
      <c r="P1215">
        <f>IF(AND($K1215=1,AND(对接源_02物料!$X15="公司筐",N(对接源_02物料!$T15)&lt;&gt;0)),1,0)</f>
        <v>0</v>
      </c>
      <c r="Q1215">
        <f>N(Q1214)+$P1215</f>
        <v>0</v>
      </c>
      <c r="R1215">
        <f>IF(AND($K1215=1,AND(对接源_02物料!$X15="公司筐",N(对接源_02物料!$U15)&lt;&gt;0)),1,0)</f>
        <v>0</v>
      </c>
      <c r="S1215">
        <f>N(S1214)+$R1215</f>
        <v>0</v>
      </c>
      <c r="T1215">
        <f>IF(AND($K1215=1,AND(对接源_02物料!$X15="公司筐",N(对接源_02物料!$V15)&lt;&gt;0)),1,0)</f>
        <v>0</v>
      </c>
      <c r="U1215">
        <f>N(U1214)+$T1215</f>
        <v>47</v>
      </c>
      <c r="V1215">
        <f>IF(AND($L1215=1,AND(对接源_02物料!$X15="自备筐",N(对接源_02物料!$V15)&lt;&gt;0)),1,0)</f>
        <v>0</v>
      </c>
      <c r="W1215">
        <f>N(W1214)+$V1215</f>
        <v>11</v>
      </c>
      <c r="X1215">
        <f>IF(AND($L1215=1,AND(对接源_02物料!$X15="自备筐",N(对接源_02物料!$T15)&lt;&gt;0)),1,0)</f>
        <v>0</v>
      </c>
      <c r="Y1215">
        <f>N(Y1214)+$X1215</f>
        <v>0</v>
      </c>
      <c r="Z1215">
        <f>IF(AND($M1215=1,对接源_02物料!$D15="原料入库"),1,0)</f>
        <v>0</v>
      </c>
      <c r="AA1215">
        <f>N(AA1214)+$Z1215</f>
        <v>24</v>
      </c>
      <c r="AB1215">
        <f>IF(AND($M1215=1,LEFT(对接源_02物料!$D15,4)="原料出库"),1,0)</f>
        <v>0</v>
      </c>
      <c r="AC1215">
        <f>N(AC1214)+$AB1215</f>
        <v>0</v>
      </c>
      <c r="AD1215">
        <f>IF(AND($M1215=1,LEFT(对接源_02物料!$D15,4)="成品出库"),1,0)</f>
        <v>0</v>
      </c>
      <c r="AE1215">
        <f>N(AE1214)+$AD1215</f>
        <v>0</v>
      </c>
      <c r="AF1215">
        <f>IF(AND($N1215=1,AND(LEFT(对接源_02物料!$D15,4)="包装物料",N(对接源_02物料!$K15)&lt;&gt;0)),1,0)</f>
        <v>1</v>
      </c>
      <c r="AG1215">
        <f>N(AG1214)+$AF1215</f>
        <v>2</v>
      </c>
      <c r="AH1215">
        <f>IF(AND($N1215=1,AND(对接源_02物料!$D15="周转筐－销售出库",N(对接源_02物料!$K15)&lt;&gt;0)),1,0)</f>
        <v>0</v>
      </c>
      <c r="AI1215">
        <f>N(AI1214)+$AH1215</f>
        <v>0</v>
      </c>
      <c r="AL1215" t="n">
        <v>0</v>
      </c>
      <c r="AM1215">
        <f>N(AM1214)+$AL1215</f>
        <v>2</v>
      </c>
      <c r="AN1215">
        <f>""</f>
      </c>
      <c r="AO1215" t="n">
        <v>0</v>
      </c>
      <c r="AP1215">
        <f>N(AP1214)+$AO1215</f>
        <v>13</v>
      </c>
      <c r="AR1215">
        <f>IF(OR($AF1215=1,$AH1215=1),1,0)</f>
        <v>1</v>
      </c>
      <c r="AS1215">
        <f>N(AS1214)+$AR1215</f>
        <v>2</v>
      </c>
    </row>
    <row r="1216" s="127">
      <c r="A1216" t="str">
        <f>IF(对接源_02物料!$C16="","",对接源_02物料!$C16)</f>
        <v>荆建君</v>
      </c>
      <c r="B1216">
        <f>IF(A1216="",0,IF(MATCH(A1216,$A$4:$A$2403,0)=ROW()-3,1,0))</f>
        <v>0</v>
      </c>
      <c r="C1216">
        <f>N(C1215)+B1216</f>
        <v>24</v>
      </c>
      <c r="K1216">
        <f>IF(OR($K$1="",对接源_02物料!$C16="",对接源_02物料!$C16&lt;&gt;$K$1,对接源_02物料!$B16=""),0,IF(OR(N(对接源_02物料!$B16)&lt;$K$2,N(对接源_02物料!$B16)&gt;$K$3),0,1))</f>
        <v>0</v>
      </c>
      <c r="L1216">
        <f>IF(OR($L$1="",对接源_02物料!$C16="",对接源_02物料!$C16&lt;&gt;$L$1,对接源_02物料!$B16=""),0,IF(OR(N(对接源_02物料!$B16)&lt;$L$2,N(对接源_02物料!$B16)&gt;$L$3),0,1))</f>
        <v>0</v>
      </c>
      <c r="M1216">
        <f>IF(OR($M$1="",对接源_02物料!$C16="",对接源_02物料!$C16&lt;&gt;$M$1,对接源_02物料!$B16=""),0,IF(OR(N(对接源_02物料!$B16)&lt;$M$2,N(对接源_02物料!$B16)&gt;$M$3),0,1))</f>
        <v>0</v>
      </c>
      <c r="N1216">
        <f>IF(OR($N$1="",对接源_02物料!$C16="",对接源_02物料!$C16&lt;&gt;$N$1,对接源_02物料!$B16=""),0,IF(OR(N(对接源_02物料!$B16)&lt;$N$2,N(对接源_02物料!$B16)&gt;$N$3),0,1))</f>
        <v>0</v>
      </c>
      <c r="P1216">
        <f>IF(AND($K1216=1,AND(对接源_02物料!$X16="公司筐",N(对接源_02物料!$T16)&lt;&gt;0)),1,0)</f>
        <v>0</v>
      </c>
      <c r="Q1216">
        <f>N(Q1215)+$P1216</f>
        <v>0</v>
      </c>
      <c r="R1216">
        <f>IF(AND($K1216=1,AND(对接源_02物料!$X16="公司筐",N(对接源_02物料!$U16)&lt;&gt;0)),1,0)</f>
        <v>0</v>
      </c>
      <c r="S1216">
        <f>N(S1215)+$R1216</f>
        <v>0</v>
      </c>
      <c r="T1216">
        <f>IF(AND($K1216=1,AND(对接源_02物料!$X16="公司筐",N(对接源_02物料!$V16)&lt;&gt;0)),1,0)</f>
        <v>0</v>
      </c>
      <c r="U1216">
        <f>N(U1215)+$T1216</f>
        <v>47</v>
      </c>
      <c r="V1216">
        <f>IF(AND($L1216=1,AND(对接源_02物料!$X16="自备筐",N(对接源_02物料!$V16)&lt;&gt;0)),1,0)</f>
        <v>0</v>
      </c>
      <c r="W1216">
        <f>N(W1215)+$V1216</f>
        <v>11</v>
      </c>
      <c r="X1216">
        <f>IF(AND($L1216=1,AND(对接源_02物料!$X16="自备筐",N(对接源_02物料!$T16)&lt;&gt;0)),1,0)</f>
        <v>0</v>
      </c>
      <c r="Y1216">
        <f>N(Y1215)+$X1216</f>
        <v>0</v>
      </c>
      <c r="Z1216">
        <f>IF(AND($M1216=1,对接源_02物料!$D16="原料入库"),1,0)</f>
        <v>0</v>
      </c>
      <c r="AA1216">
        <f>N(AA1215)+$Z1216</f>
        <v>24</v>
      </c>
      <c r="AB1216">
        <f>IF(AND($M1216=1,LEFT(对接源_02物料!$D16,4)="原料出库"),1,0)</f>
        <v>0</v>
      </c>
      <c r="AC1216">
        <f>N(AC1215)+$AB1216</f>
        <v>0</v>
      </c>
      <c r="AD1216">
        <f>IF(AND($M1216=1,LEFT(对接源_02物料!$D16,4)="成品出库"),1,0)</f>
        <v>0</v>
      </c>
      <c r="AE1216">
        <f>N(AE1215)+$AD1216</f>
        <v>0</v>
      </c>
      <c r="AF1216">
        <f>IF(AND($N1216=1,AND(LEFT(对接源_02物料!$D16,4)="包装物料",N(对接源_02物料!$K16)&lt;&gt;0)),1,0)</f>
        <v>0</v>
      </c>
      <c r="AG1216">
        <f>N(AG1215)+$AF1216</f>
        <v>2</v>
      </c>
      <c r="AH1216">
        <f>IF(AND($N1216=1,AND(对接源_02物料!$D16="周转筐－销售出库",N(对接源_02物料!$K16)&lt;&gt;0)),1,0)</f>
        <v>0</v>
      </c>
      <c r="AI1216">
        <f>N(AI1215)+$AH1216</f>
        <v>0</v>
      </c>
      <c r="AL1216" t="n">
        <v>0</v>
      </c>
      <c r="AM1216">
        <f>N(AM1215)+$AL1216</f>
        <v>2</v>
      </c>
      <c r="AN1216">
        <f>""</f>
      </c>
      <c r="AO1216" t="n">
        <v>0</v>
      </c>
      <c r="AP1216">
        <f>N(AP1215)+$AO1216</f>
        <v>13</v>
      </c>
      <c r="AR1216">
        <f>IF(OR($AF1216=1,$AH1216=1),1,0)</f>
        <v>0</v>
      </c>
      <c r="AS1216">
        <f>N(AS1215)+$AR1216</f>
        <v>2</v>
      </c>
    </row>
    <row r="1217" s="127">
      <c r="A1217" t="str">
        <f>IF(对接源_02物料!$C17="","",对接源_02物料!$C17)</f>
        <v>努尔敦</v>
      </c>
      <c r="B1217">
        <f>IF(A1217="",0,IF(MATCH(A1217,$A$4:$A$2403,0)=ROW()-3,1,0))</f>
        <v>0</v>
      </c>
      <c r="C1217">
        <f>N(C1216)+B1217</f>
        <v>24</v>
      </c>
      <c r="K1217">
        <f>IF(OR($K$1="",对接源_02物料!$C17="",对接源_02物料!$C17&lt;&gt;$K$1,对接源_02物料!$B17=""),0,IF(OR(N(对接源_02物料!$B17)&lt;$K$2,N(对接源_02物料!$B17)&gt;$K$3),0,1))</f>
        <v>0</v>
      </c>
      <c r="L1217">
        <f>IF(OR($L$1="",对接源_02物料!$C17="",对接源_02物料!$C17&lt;&gt;$L$1,对接源_02物料!$B17=""),0,IF(OR(N(对接源_02物料!$B17)&lt;$L$2,N(对接源_02物料!$B17)&gt;$L$3),0,1))</f>
        <v>0</v>
      </c>
      <c r="M1217">
        <f>IF(OR($M$1="",对接源_02物料!$C17="",对接源_02物料!$C17&lt;&gt;$M$1,对接源_02物料!$B17=""),0,IF(OR(N(对接源_02物料!$B17)&lt;$M$2,N(对接源_02物料!$B17)&gt;$M$3),0,1))</f>
        <v>0</v>
      </c>
      <c r="N1217">
        <f>IF(OR($N$1="",对接源_02物料!$C17="",对接源_02物料!$C17&lt;&gt;$N$1,对接源_02物料!$B17=""),0,IF(OR(N(对接源_02物料!$B17)&lt;$N$2,N(对接源_02物料!$B17)&gt;$N$3),0,1))</f>
        <v>0</v>
      </c>
      <c r="P1217">
        <f>IF(AND($K1217=1,AND(对接源_02物料!$X17="公司筐",N(对接源_02物料!$T17)&lt;&gt;0)),1,0)</f>
        <v>0</v>
      </c>
      <c r="Q1217">
        <f>N(Q1216)+$P1217</f>
        <v>0</v>
      </c>
      <c r="R1217">
        <f>IF(AND($K1217=1,AND(对接源_02物料!$X17="公司筐",N(对接源_02物料!$U17)&lt;&gt;0)),1,0)</f>
        <v>0</v>
      </c>
      <c r="S1217">
        <f>N(S1216)+$R1217</f>
        <v>0</v>
      </c>
      <c r="T1217">
        <f>IF(AND($K1217=1,AND(对接源_02物料!$X17="公司筐",N(对接源_02物料!$V17)&lt;&gt;0)),1,0)</f>
        <v>0</v>
      </c>
      <c r="U1217">
        <f>N(U1216)+$T1217</f>
        <v>47</v>
      </c>
      <c r="V1217">
        <f>IF(AND($L1217=1,AND(对接源_02物料!$X17="自备筐",N(对接源_02物料!$V17)&lt;&gt;0)),1,0)</f>
        <v>0</v>
      </c>
      <c r="W1217">
        <f>N(W1216)+$V1217</f>
        <v>11</v>
      </c>
      <c r="X1217">
        <f>IF(AND($L1217=1,AND(对接源_02物料!$X17="自备筐",N(对接源_02物料!$T17)&lt;&gt;0)),1,0)</f>
        <v>0</v>
      </c>
      <c r="Y1217">
        <f>N(Y1216)+$X1217</f>
        <v>0</v>
      </c>
      <c r="Z1217">
        <f>IF(AND($M1217=1,对接源_02物料!$D17="原料入库"),1,0)</f>
        <v>0</v>
      </c>
      <c r="AA1217">
        <f>N(AA1216)+$Z1217</f>
        <v>24</v>
      </c>
      <c r="AB1217">
        <f>IF(AND($M1217=1,LEFT(对接源_02物料!$D17,4)="原料出库"),1,0)</f>
        <v>0</v>
      </c>
      <c r="AC1217">
        <f>N(AC1216)+$AB1217</f>
        <v>0</v>
      </c>
      <c r="AD1217">
        <f>IF(AND($M1217=1,LEFT(对接源_02物料!$D17,4)="成品出库"),1,0)</f>
        <v>0</v>
      </c>
      <c r="AE1217">
        <f>N(AE1216)+$AD1217</f>
        <v>0</v>
      </c>
      <c r="AF1217">
        <f>IF(AND($N1217=1,AND(LEFT(对接源_02物料!$D17,4)="包装物料",N(对接源_02物料!$K17)&lt;&gt;0)),1,0)</f>
        <v>0</v>
      </c>
      <c r="AG1217">
        <f>N(AG1216)+$AF1217</f>
        <v>2</v>
      </c>
      <c r="AH1217">
        <f>IF(AND($N1217=1,AND(对接源_02物料!$D17="周转筐－销售出库",N(对接源_02物料!$K17)&lt;&gt;0)),1,0)</f>
        <v>0</v>
      </c>
      <c r="AI1217">
        <f>N(AI1216)+$AH1217</f>
        <v>0</v>
      </c>
      <c r="AL1217" t="n">
        <v>0</v>
      </c>
      <c r="AM1217">
        <f>N(AM1216)+$AL1217</f>
        <v>2</v>
      </c>
      <c r="AN1217">
        <f>""</f>
      </c>
      <c r="AO1217" t="n">
        <v>0</v>
      </c>
      <c r="AP1217">
        <f>N(AP1216)+$AO1217</f>
        <v>13</v>
      </c>
      <c r="AR1217">
        <f>IF(OR($AF1217=1,$AH1217=1),1,0)</f>
        <v>0</v>
      </c>
      <c r="AS1217">
        <f>N(AS1216)+$AR1217</f>
        <v>2</v>
      </c>
    </row>
    <row r="1218" s="127">
      <c r="A1218" t="str">
        <f>IF(对接源_02物料!$C18="","",对接源_02物料!$C18)</f>
        <v>热合曼</v>
      </c>
      <c r="B1218">
        <f>IF(A1218="",0,IF(MATCH(A1218,$A$4:$A$2403,0)=ROW()-3,1,0))</f>
        <v>0</v>
      </c>
      <c r="C1218">
        <f>N(C1217)+B1218</f>
        <v>24</v>
      </c>
      <c r="K1218">
        <f>IF(OR($K$1="",对接源_02物料!$C18="",对接源_02物料!$C18&lt;&gt;$K$1,对接源_02物料!$B18=""),0,IF(OR(N(对接源_02物料!$B18)&lt;$K$2,N(对接源_02物料!$B18)&gt;$K$3),0,1))</f>
        <v>0</v>
      </c>
      <c r="L1218">
        <f>IF(OR($L$1="",对接源_02物料!$C18="",对接源_02物料!$C18&lt;&gt;$L$1,对接源_02物料!$B18=""),0,IF(OR(N(对接源_02物料!$B18)&lt;$L$2,N(对接源_02物料!$B18)&gt;$L$3),0,1))</f>
        <v>0</v>
      </c>
      <c r="M1218">
        <f>IF(OR($M$1="",对接源_02物料!$C18="",对接源_02物料!$C18&lt;&gt;$M$1,对接源_02物料!$B18=""),0,IF(OR(N(对接源_02物料!$B18)&lt;$M$2,N(对接源_02物料!$B18)&gt;$M$3),0,1))</f>
        <v>0</v>
      </c>
      <c r="N1218">
        <f>IF(OR($N$1="",对接源_02物料!$C18="",对接源_02物料!$C18&lt;&gt;$N$1,对接源_02物料!$B18=""),0,IF(OR(N(对接源_02物料!$B18)&lt;$N$2,N(对接源_02物料!$B18)&gt;$N$3),0,1))</f>
        <v>0</v>
      </c>
      <c r="P1218">
        <f>IF(AND($K1218=1,AND(对接源_02物料!$X18="公司筐",N(对接源_02物料!$T18)&lt;&gt;0)),1,0)</f>
        <v>0</v>
      </c>
      <c r="Q1218">
        <f>N(Q1217)+$P1218</f>
        <v>0</v>
      </c>
      <c r="R1218">
        <f>IF(AND($K1218=1,AND(对接源_02物料!$X18="公司筐",N(对接源_02物料!$U18)&lt;&gt;0)),1,0)</f>
        <v>0</v>
      </c>
      <c r="S1218">
        <f>N(S1217)+$R1218</f>
        <v>0</v>
      </c>
      <c r="T1218">
        <f>IF(AND($K1218=1,AND(对接源_02物料!$X18="公司筐",N(对接源_02物料!$V18)&lt;&gt;0)),1,0)</f>
        <v>0</v>
      </c>
      <c r="U1218">
        <f>N(U1217)+$T1218</f>
        <v>47</v>
      </c>
      <c r="V1218">
        <f>IF(AND($L1218=1,AND(对接源_02物料!$X18="自备筐",N(对接源_02物料!$V18)&lt;&gt;0)),1,0)</f>
        <v>0</v>
      </c>
      <c r="W1218">
        <f>N(W1217)+$V1218</f>
        <v>11</v>
      </c>
      <c r="X1218">
        <f>IF(AND($L1218=1,AND(对接源_02物料!$X18="自备筐",N(对接源_02物料!$T18)&lt;&gt;0)),1,0)</f>
        <v>0</v>
      </c>
      <c r="Y1218">
        <f>N(Y1217)+$X1218</f>
        <v>0</v>
      </c>
      <c r="Z1218">
        <f>IF(AND($M1218=1,对接源_02物料!$D18="原料入库"),1,0)</f>
        <v>0</v>
      </c>
      <c r="AA1218">
        <f>N(AA1217)+$Z1218</f>
        <v>24</v>
      </c>
      <c r="AB1218">
        <f>IF(AND($M1218=1,LEFT(对接源_02物料!$D18,4)="原料出库"),1,0)</f>
        <v>0</v>
      </c>
      <c r="AC1218">
        <f>N(AC1217)+$AB1218</f>
        <v>0</v>
      </c>
      <c r="AD1218">
        <f>IF(AND($M1218=1,LEFT(对接源_02物料!$D18,4)="成品出库"),1,0)</f>
        <v>0</v>
      </c>
      <c r="AE1218">
        <f>N(AE1217)+$AD1218</f>
        <v>0</v>
      </c>
      <c r="AF1218">
        <f>IF(AND($N1218=1,AND(LEFT(对接源_02物料!$D18,4)="包装物料",N(对接源_02物料!$K18)&lt;&gt;0)),1,0)</f>
        <v>0</v>
      </c>
      <c r="AG1218">
        <f>N(AG1217)+$AF1218</f>
        <v>2</v>
      </c>
      <c r="AH1218">
        <f>IF(AND($N1218=1,AND(对接源_02物料!$D18="周转筐－销售出库",N(对接源_02物料!$K18)&lt;&gt;0)),1,0)</f>
        <v>0</v>
      </c>
      <c r="AI1218">
        <f>N(AI1217)+$AH1218</f>
        <v>0</v>
      </c>
      <c r="AL1218" t="n">
        <v>0</v>
      </c>
      <c r="AM1218">
        <f>N(AM1217)+$AL1218</f>
        <v>2</v>
      </c>
      <c r="AN1218">
        <f>""</f>
      </c>
      <c r="AO1218" t="n">
        <v>0</v>
      </c>
      <c r="AP1218">
        <f>N(AP1217)+$AO1218</f>
        <v>13</v>
      </c>
      <c r="AR1218">
        <f>IF(OR($AF1218=1,$AH1218=1),1,0)</f>
        <v>0</v>
      </c>
      <c r="AS1218">
        <f>N(AS1217)+$AR1218</f>
        <v>2</v>
      </c>
    </row>
    <row r="1219" s="127">
      <c r="A1219" t="str">
        <f>IF(对接源_02物料!$C19="","",对接源_02物料!$C19)</f>
        <v>麦麦提</v>
      </c>
      <c r="B1219">
        <f>IF(A1219="",0,IF(MATCH(A1219,$A$4:$A$2403,0)=ROW()-3,1,0))</f>
        <v>0</v>
      </c>
      <c r="C1219">
        <f>N(C1218)+B1219</f>
        <v>24</v>
      </c>
      <c r="K1219">
        <f>IF(OR($K$1="",对接源_02物料!$C19="",对接源_02物料!$C19&lt;&gt;$K$1,对接源_02物料!$B19=""),0,IF(OR(N(对接源_02物料!$B19)&lt;$K$2,N(对接源_02物料!$B19)&gt;$K$3),0,1))</f>
        <v>0</v>
      </c>
      <c r="L1219">
        <f>IF(OR($L$1="",对接源_02物料!$C19="",对接源_02物料!$C19&lt;&gt;$L$1,对接源_02物料!$B19=""),0,IF(OR(N(对接源_02物料!$B19)&lt;$L$2,N(对接源_02物料!$B19)&gt;$L$3),0,1))</f>
        <v>0</v>
      </c>
      <c r="M1219">
        <f>IF(OR($M$1="",对接源_02物料!$C19="",对接源_02物料!$C19&lt;&gt;$M$1,对接源_02物料!$B19=""),0,IF(OR(N(对接源_02物料!$B19)&lt;$M$2,N(对接源_02物料!$B19)&gt;$M$3),0,1))</f>
        <v>0</v>
      </c>
      <c r="N1219">
        <f>IF(OR($N$1="",对接源_02物料!$C19="",对接源_02物料!$C19&lt;&gt;$N$1,对接源_02物料!$B19=""),0,IF(OR(N(对接源_02物料!$B19)&lt;$N$2,N(对接源_02物料!$B19)&gt;$N$3),0,1))</f>
        <v>1</v>
      </c>
      <c r="P1219">
        <f>IF(AND($K1219=1,AND(对接源_02物料!$X19="公司筐",N(对接源_02物料!$T19)&lt;&gt;0)),1,0)</f>
        <v>0</v>
      </c>
      <c r="Q1219">
        <f>N(Q1218)+$P1219</f>
        <v>0</v>
      </c>
      <c r="R1219">
        <f>IF(AND($K1219=1,AND(对接源_02物料!$X19="公司筐",N(对接源_02物料!$U19)&lt;&gt;0)),1,0)</f>
        <v>0</v>
      </c>
      <c r="S1219">
        <f>N(S1218)+$R1219</f>
        <v>0</v>
      </c>
      <c r="T1219">
        <f>IF(AND($K1219=1,AND(对接源_02物料!$X19="公司筐",N(对接源_02物料!$V19)&lt;&gt;0)),1,0)</f>
        <v>0</v>
      </c>
      <c r="U1219">
        <f>N(U1218)+$T1219</f>
        <v>47</v>
      </c>
      <c r="V1219">
        <f>IF(AND($L1219=1,AND(对接源_02物料!$X19="自备筐",N(对接源_02物料!$V19)&lt;&gt;0)),1,0)</f>
        <v>0</v>
      </c>
      <c r="W1219">
        <f>N(W1218)+$V1219</f>
        <v>11</v>
      </c>
      <c r="X1219">
        <f>IF(AND($L1219=1,AND(对接源_02物料!$X19="自备筐",N(对接源_02物料!$T19)&lt;&gt;0)),1,0)</f>
        <v>0</v>
      </c>
      <c r="Y1219">
        <f>N(Y1218)+$X1219</f>
        <v>0</v>
      </c>
      <c r="Z1219">
        <f>IF(AND($M1219=1,对接源_02物料!$D19="原料入库"),1,0)</f>
        <v>0</v>
      </c>
      <c r="AA1219">
        <f>N(AA1218)+$Z1219</f>
        <v>24</v>
      </c>
      <c r="AB1219">
        <f>IF(AND($M1219=1,LEFT(对接源_02物料!$D19,4)="原料出库"),1,0)</f>
        <v>0</v>
      </c>
      <c r="AC1219">
        <f>N(AC1218)+$AB1219</f>
        <v>0</v>
      </c>
      <c r="AD1219">
        <f>IF(AND($M1219=1,LEFT(对接源_02物料!$D19,4)="成品出库"),1,0)</f>
        <v>0</v>
      </c>
      <c r="AE1219">
        <f>N(AE1218)+$AD1219</f>
        <v>0</v>
      </c>
      <c r="AF1219">
        <f>IF(AND($N1219=1,AND(LEFT(对接源_02物料!$D19,4)="包装物料",N(对接源_02物料!$K19)&lt;&gt;0)),1,0)</f>
        <v>1</v>
      </c>
      <c r="AG1219">
        <f>N(AG1218)+$AF1219</f>
        <v>3</v>
      </c>
      <c r="AH1219">
        <f>IF(AND($N1219=1,AND(对接源_02物料!$D19="周转筐－销售出库",N(对接源_02物料!$K19)&lt;&gt;0)),1,0)</f>
        <v>0</v>
      </c>
      <c r="AI1219">
        <f>N(AI1218)+$AH1219</f>
        <v>0</v>
      </c>
      <c r="AL1219" t="n">
        <v>0</v>
      </c>
      <c r="AM1219">
        <f>N(AM1218)+$AL1219</f>
        <v>2</v>
      </c>
      <c r="AN1219">
        <f>""</f>
      </c>
      <c r="AO1219" t="n">
        <v>0</v>
      </c>
      <c r="AP1219">
        <f>N(AP1218)+$AO1219</f>
        <v>13</v>
      </c>
      <c r="AR1219">
        <f>IF(OR($AF1219=1,$AH1219=1),1,0)</f>
        <v>1</v>
      </c>
      <c r="AS1219">
        <f>N(AS1218)+$AR1219</f>
        <v>3</v>
      </c>
    </row>
    <row r="1220" s="127">
      <c r="A1220" t="str">
        <f>IF(对接源_02物料!$C20="","",对接源_02物料!$C20)</f>
        <v>贾建国</v>
      </c>
      <c r="B1220">
        <f>IF(A1220="",0,IF(MATCH(A1220,$A$4:$A$2403,0)=ROW()-3,1,0))</f>
        <v>0</v>
      </c>
      <c r="C1220">
        <f>N(C1219)+B1220</f>
        <v>24</v>
      </c>
      <c r="K1220">
        <f>IF(OR($K$1="",对接源_02物料!$C20="",对接源_02物料!$C20&lt;&gt;$K$1,对接源_02物料!$B20=""),0,IF(OR(N(对接源_02物料!$B20)&lt;$K$2,N(对接源_02物料!$B20)&gt;$K$3),0,1))</f>
        <v>0</v>
      </c>
      <c r="L1220">
        <f>IF(OR($L$1="",对接源_02物料!$C20="",对接源_02物料!$C20&lt;&gt;$L$1,对接源_02物料!$B20=""),0,IF(OR(N(对接源_02物料!$B20)&lt;$L$2,N(对接源_02物料!$B20)&gt;$L$3),0,1))</f>
        <v>1</v>
      </c>
      <c r="M1220">
        <f>IF(OR($M$1="",对接源_02物料!$C20="",对接源_02物料!$C20&lt;&gt;$M$1,对接源_02物料!$B20=""),0,IF(OR(N(对接源_02物料!$B20)&lt;$M$2,N(对接源_02物料!$B20)&gt;$M$3),0,1))</f>
        <v>0</v>
      </c>
      <c r="N1220">
        <f>IF(OR($N$1="",对接源_02物料!$C20="",对接源_02物料!$C20&lt;&gt;$N$1,对接源_02物料!$B20=""),0,IF(OR(N(对接源_02物料!$B20)&lt;$N$2,N(对接源_02物料!$B20)&gt;$N$3),0,1))</f>
        <v>0</v>
      </c>
      <c r="P1220">
        <f>IF(AND($K1220=1,AND(对接源_02物料!$X20="公司筐",N(对接源_02物料!$T20)&lt;&gt;0)),1,0)</f>
        <v>0</v>
      </c>
      <c r="Q1220">
        <f>N(Q1219)+$P1220</f>
        <v>0</v>
      </c>
      <c r="R1220">
        <f>IF(AND($K1220=1,AND(对接源_02物料!$X20="公司筐",N(对接源_02物料!$U20)&lt;&gt;0)),1,0)</f>
        <v>0</v>
      </c>
      <c r="S1220">
        <f>N(S1219)+$R1220</f>
        <v>0</v>
      </c>
      <c r="T1220">
        <f>IF(AND($K1220=1,AND(对接源_02物料!$X20="公司筐",N(对接源_02物料!$V20)&lt;&gt;0)),1,0)</f>
        <v>0</v>
      </c>
      <c r="U1220">
        <f>N(U1219)+$T1220</f>
        <v>47</v>
      </c>
      <c r="V1220">
        <f>IF(AND($L1220=1,AND(对接源_02物料!$X20="自备筐",N(对接源_02物料!$V20)&lt;&gt;0)),1,0)</f>
        <v>0</v>
      </c>
      <c r="W1220">
        <f>N(W1219)+$V1220</f>
        <v>11</v>
      </c>
      <c r="X1220">
        <f>IF(AND($L1220=1,AND(对接源_02物料!$X20="自备筐",N(对接源_02物料!$T20)&lt;&gt;0)),1,0)</f>
        <v>0</v>
      </c>
      <c r="Y1220">
        <f>N(Y1219)+$X1220</f>
        <v>0</v>
      </c>
      <c r="Z1220">
        <f>IF(AND($M1220=1,对接源_02物料!$D20="原料入库"),1,0)</f>
        <v>0</v>
      </c>
      <c r="AA1220">
        <f>N(AA1219)+$Z1220</f>
        <v>24</v>
      </c>
      <c r="AB1220">
        <f>IF(AND($M1220=1,LEFT(对接源_02物料!$D20,4)="原料出库"),1,0)</f>
        <v>0</v>
      </c>
      <c r="AC1220">
        <f>N(AC1219)+$AB1220</f>
        <v>0</v>
      </c>
      <c r="AD1220">
        <f>IF(AND($M1220=1,LEFT(对接源_02物料!$D20,4)="成品出库"),1,0)</f>
        <v>0</v>
      </c>
      <c r="AE1220">
        <f>N(AE1219)+$AD1220</f>
        <v>0</v>
      </c>
      <c r="AF1220">
        <f>IF(AND($N1220=1,AND(LEFT(对接源_02物料!$D20,4)="包装物料",N(对接源_02物料!$K20)&lt;&gt;0)),1,0)</f>
        <v>0</v>
      </c>
      <c r="AG1220">
        <f>N(AG1219)+$AF1220</f>
        <v>3</v>
      </c>
      <c r="AH1220">
        <f>IF(AND($N1220=1,AND(对接源_02物料!$D20="周转筐－销售出库",N(对接源_02物料!$K20)&lt;&gt;0)),1,0)</f>
        <v>0</v>
      </c>
      <c r="AI1220">
        <f>N(AI1219)+$AH1220</f>
        <v>0</v>
      </c>
      <c r="AL1220" t="n">
        <v>0</v>
      </c>
      <c r="AM1220">
        <f>N(AM1219)+$AL1220</f>
        <v>2</v>
      </c>
      <c r="AN1220">
        <f>""</f>
      </c>
      <c r="AO1220" t="n">
        <v>0</v>
      </c>
      <c r="AP1220">
        <f>N(AP1219)+$AO1220</f>
        <v>13</v>
      </c>
      <c r="AR1220">
        <f>IF(OR($AF1220=1,$AH1220=1),1,0)</f>
        <v>0</v>
      </c>
      <c r="AS1220">
        <f>N(AS1219)+$AR1220</f>
        <v>3</v>
      </c>
    </row>
    <row r="1221" s="127">
      <c r="A1221" t="str">
        <f>IF(对接源_02物料!$C21="","",对接源_02物料!$C21)</f>
        <v>贾建国</v>
      </c>
      <c r="B1221">
        <f>IF(A1221="",0,IF(MATCH(A1221,$A$4:$A$2403,0)=ROW()-3,1,0))</f>
        <v>0</v>
      </c>
      <c r="C1221">
        <f>N(C1220)+B1221</f>
        <v>24</v>
      </c>
      <c r="K1221">
        <f>IF(OR($K$1="",对接源_02物料!$C21="",对接源_02物料!$C21&lt;&gt;$K$1,对接源_02物料!$B21=""),0,IF(OR(N(对接源_02物料!$B21)&lt;$K$2,N(对接源_02物料!$B21)&gt;$K$3),0,1))</f>
        <v>0</v>
      </c>
      <c r="L1221">
        <f>IF(OR($L$1="",对接源_02物料!$C21="",对接源_02物料!$C21&lt;&gt;$L$1,对接源_02物料!$B21=""),0,IF(OR(N(对接源_02物料!$B21)&lt;$L$2,N(对接源_02物料!$B21)&gt;$L$3),0,1))</f>
        <v>1</v>
      </c>
      <c r="M1221">
        <f>IF(OR($M$1="",对接源_02物料!$C21="",对接源_02物料!$C21&lt;&gt;$M$1,对接源_02物料!$B21=""),0,IF(OR(N(对接源_02物料!$B21)&lt;$M$2,N(对接源_02物料!$B21)&gt;$M$3),0,1))</f>
        <v>0</v>
      </c>
      <c r="N1221">
        <f>IF(OR($N$1="",对接源_02物料!$C21="",对接源_02物料!$C21&lt;&gt;$N$1,对接源_02物料!$B21=""),0,IF(OR(N(对接源_02物料!$B21)&lt;$N$2,N(对接源_02物料!$B21)&gt;$N$3),0,1))</f>
        <v>0</v>
      </c>
      <c r="P1221">
        <f>IF(AND($K1221=1,AND(对接源_02物料!$X21="公司筐",N(对接源_02物料!$T21)&lt;&gt;0)),1,0)</f>
        <v>0</v>
      </c>
      <c r="Q1221">
        <f>N(Q1220)+$P1221</f>
        <v>0</v>
      </c>
      <c r="R1221">
        <f>IF(AND($K1221=1,AND(对接源_02物料!$X21="公司筐",N(对接源_02物料!$U21)&lt;&gt;0)),1,0)</f>
        <v>0</v>
      </c>
      <c r="S1221">
        <f>N(S1220)+$R1221</f>
        <v>0</v>
      </c>
      <c r="T1221">
        <f>IF(AND($K1221=1,AND(对接源_02物料!$X21="公司筐",N(对接源_02物料!$V21)&lt;&gt;0)),1,0)</f>
        <v>0</v>
      </c>
      <c r="U1221">
        <f>N(U1220)+$T1221</f>
        <v>47</v>
      </c>
      <c r="V1221">
        <f>IF(AND($L1221=1,AND(对接源_02物料!$X21="自备筐",N(对接源_02物料!$V21)&lt;&gt;0)),1,0)</f>
        <v>0</v>
      </c>
      <c r="W1221">
        <f>N(W1220)+$V1221</f>
        <v>11</v>
      </c>
      <c r="X1221">
        <f>IF(AND($L1221=1,AND(对接源_02物料!$X21="自备筐",N(对接源_02物料!$T21)&lt;&gt;0)),1,0)</f>
        <v>0</v>
      </c>
      <c r="Y1221">
        <f>N(Y1220)+$X1221</f>
        <v>0</v>
      </c>
      <c r="Z1221">
        <f>IF(AND($M1221=1,对接源_02物料!$D21="原料入库"),1,0)</f>
        <v>0</v>
      </c>
      <c r="AA1221">
        <f>N(AA1220)+$Z1221</f>
        <v>24</v>
      </c>
      <c r="AB1221">
        <f>IF(AND($M1221=1,LEFT(对接源_02物料!$D21,4)="原料出库"),1,0)</f>
        <v>0</v>
      </c>
      <c r="AC1221">
        <f>N(AC1220)+$AB1221</f>
        <v>0</v>
      </c>
      <c r="AD1221">
        <f>IF(AND($M1221=1,LEFT(对接源_02物料!$D21,4)="成品出库"),1,0)</f>
        <v>0</v>
      </c>
      <c r="AE1221">
        <f>N(AE1220)+$AD1221</f>
        <v>0</v>
      </c>
      <c r="AF1221">
        <f>IF(AND($N1221=1,AND(LEFT(对接源_02物料!$D21,4)="包装物料",N(对接源_02物料!$K21)&lt;&gt;0)),1,0)</f>
        <v>0</v>
      </c>
      <c r="AG1221">
        <f>N(AG1220)+$AF1221</f>
        <v>3</v>
      </c>
      <c r="AH1221">
        <f>IF(AND($N1221=1,AND(对接源_02物料!$D21="周转筐－销售出库",N(对接源_02物料!$K21)&lt;&gt;0)),1,0)</f>
        <v>0</v>
      </c>
      <c r="AI1221">
        <f>N(AI1220)+$AH1221</f>
        <v>0</v>
      </c>
      <c r="AL1221" t="n">
        <v>0</v>
      </c>
      <c r="AM1221">
        <f>N(AM1220)+$AL1221</f>
        <v>2</v>
      </c>
      <c r="AN1221">
        <f>""</f>
      </c>
      <c r="AO1221" t="n">
        <v>0</v>
      </c>
      <c r="AP1221">
        <f>N(AP1220)+$AO1221</f>
        <v>13</v>
      </c>
      <c r="AR1221">
        <f>IF(OR($AF1221=1,$AH1221=1),1,0)</f>
        <v>0</v>
      </c>
      <c r="AS1221">
        <f>N(AS1220)+$AR1221</f>
        <v>3</v>
      </c>
    </row>
    <row r="1222" s="127">
      <c r="A1222" t="str">
        <f>IF(对接源_02物料!$C22="","",对接源_02物料!$C22)</f>
        <v>热合曼</v>
      </c>
      <c r="B1222">
        <f>IF(A1222="",0,IF(MATCH(A1222,$A$4:$A$2403,0)=ROW()-3,1,0))</f>
        <v>0</v>
      </c>
      <c r="C1222">
        <f>N(C1221)+B1222</f>
        <v>24</v>
      </c>
      <c r="K1222">
        <f>IF(OR($K$1="",对接源_02物料!$C22="",对接源_02物料!$C22&lt;&gt;$K$1,对接源_02物料!$B22=""),0,IF(OR(N(对接源_02物料!$B22)&lt;$K$2,N(对接源_02物料!$B22)&gt;$K$3),0,1))</f>
        <v>0</v>
      </c>
      <c r="L1222">
        <f>IF(OR($L$1="",对接源_02物料!$C22="",对接源_02物料!$C22&lt;&gt;$L$1,对接源_02物料!$B22=""),0,IF(OR(N(对接源_02物料!$B22)&lt;$L$2,N(对接源_02物料!$B22)&gt;$L$3),0,1))</f>
        <v>0</v>
      </c>
      <c r="M1222">
        <f>IF(OR($M$1="",对接源_02物料!$C22="",对接源_02物料!$C22&lt;&gt;$M$1,对接源_02物料!$B22=""),0,IF(OR(N(对接源_02物料!$B22)&lt;$M$2,N(对接源_02物料!$B22)&gt;$M$3),0,1))</f>
        <v>0</v>
      </c>
      <c r="N1222">
        <f>IF(OR($N$1="",对接源_02物料!$C22="",对接源_02物料!$C22&lt;&gt;$N$1,对接源_02物料!$B22=""),0,IF(OR(N(对接源_02物料!$B22)&lt;$N$2,N(对接源_02物料!$B22)&gt;$N$3),0,1))</f>
        <v>0</v>
      </c>
      <c r="P1222">
        <f>IF(AND($K1222=1,AND(对接源_02物料!$X22="公司筐",N(对接源_02物料!$T22)&lt;&gt;0)),1,0)</f>
        <v>0</v>
      </c>
      <c r="Q1222">
        <f>N(Q1221)+$P1222</f>
        <v>0</v>
      </c>
      <c r="R1222">
        <f>IF(AND($K1222=1,AND(对接源_02物料!$X22="公司筐",N(对接源_02物料!$U22)&lt;&gt;0)),1,0)</f>
        <v>0</v>
      </c>
      <c r="S1222">
        <f>N(S1221)+$R1222</f>
        <v>0</v>
      </c>
      <c r="T1222">
        <f>IF(AND($K1222=1,AND(对接源_02物料!$X22="公司筐",N(对接源_02物料!$V22)&lt;&gt;0)),1,0)</f>
        <v>0</v>
      </c>
      <c r="U1222">
        <f>N(U1221)+$T1222</f>
        <v>47</v>
      </c>
      <c r="V1222">
        <f>IF(AND($L1222=1,AND(对接源_02物料!$X22="自备筐",N(对接源_02物料!$V22)&lt;&gt;0)),1,0)</f>
        <v>0</v>
      </c>
      <c r="W1222">
        <f>N(W1221)+$V1222</f>
        <v>11</v>
      </c>
      <c r="X1222">
        <f>IF(AND($L1222=1,AND(对接源_02物料!$X22="自备筐",N(对接源_02物料!$T22)&lt;&gt;0)),1,0)</f>
        <v>0</v>
      </c>
      <c r="Y1222">
        <f>N(Y1221)+$X1222</f>
        <v>0</v>
      </c>
      <c r="Z1222">
        <f>IF(AND($M1222=1,对接源_02物料!$D22="原料入库"),1,0)</f>
        <v>0</v>
      </c>
      <c r="AA1222">
        <f>N(AA1221)+$Z1222</f>
        <v>24</v>
      </c>
      <c r="AB1222">
        <f>IF(AND($M1222=1,LEFT(对接源_02物料!$D22,4)="原料出库"),1,0)</f>
        <v>0</v>
      </c>
      <c r="AC1222">
        <f>N(AC1221)+$AB1222</f>
        <v>0</v>
      </c>
      <c r="AD1222">
        <f>IF(AND($M1222=1,LEFT(对接源_02物料!$D22,4)="成品出库"),1,0)</f>
        <v>0</v>
      </c>
      <c r="AE1222">
        <f>N(AE1221)+$AD1222</f>
        <v>0</v>
      </c>
      <c r="AF1222">
        <f>IF(AND($N1222=1,AND(LEFT(对接源_02物料!$D22,4)="包装物料",N(对接源_02物料!$K22)&lt;&gt;0)),1,0)</f>
        <v>0</v>
      </c>
      <c r="AG1222">
        <f>N(AG1221)+$AF1222</f>
        <v>3</v>
      </c>
      <c r="AH1222">
        <f>IF(AND($N1222=1,AND(对接源_02物料!$D22="周转筐－销售出库",N(对接源_02物料!$K22)&lt;&gt;0)),1,0)</f>
        <v>0</v>
      </c>
      <c r="AI1222">
        <f>N(AI1221)+$AH1222</f>
        <v>0</v>
      </c>
      <c r="AL1222" t="n">
        <v>0</v>
      </c>
      <c r="AM1222">
        <f>N(AM1221)+$AL1222</f>
        <v>2</v>
      </c>
      <c r="AN1222">
        <f>""</f>
      </c>
      <c r="AO1222" t="n">
        <v>0</v>
      </c>
      <c r="AP1222">
        <f>N(AP1221)+$AO1222</f>
        <v>13</v>
      </c>
      <c r="AR1222">
        <f>IF(OR($AF1222=1,$AH1222=1),1,0)</f>
        <v>0</v>
      </c>
      <c r="AS1222">
        <f>N(AS1221)+$AR1222</f>
        <v>3</v>
      </c>
    </row>
    <row r="1223" s="127">
      <c r="A1223" t="str">
        <f>IF(对接源_02物料!$C23="","",对接源_02物料!$C23)</f>
        <v>贾建国</v>
      </c>
      <c r="B1223">
        <f>IF(A1223="",0,IF(MATCH(A1223,$A$4:$A$2403,0)=ROW()-3,1,0))</f>
        <v>0</v>
      </c>
      <c r="C1223">
        <f>N(C1222)+B1223</f>
        <v>24</v>
      </c>
      <c r="K1223">
        <f>IF(OR($K$1="",对接源_02物料!$C23="",对接源_02物料!$C23&lt;&gt;$K$1,对接源_02物料!$B23=""),0,IF(OR(N(对接源_02物料!$B23)&lt;$K$2,N(对接源_02物料!$B23)&gt;$K$3),0,1))</f>
        <v>0</v>
      </c>
      <c r="L1223">
        <f>IF(OR($L$1="",对接源_02物料!$C23="",对接源_02物料!$C23&lt;&gt;$L$1,对接源_02物料!$B23=""),0,IF(OR(N(对接源_02物料!$B23)&lt;$L$2,N(对接源_02物料!$B23)&gt;$L$3),0,1))</f>
        <v>1</v>
      </c>
      <c r="M1223">
        <f>IF(OR($M$1="",对接源_02物料!$C23="",对接源_02物料!$C23&lt;&gt;$M$1,对接源_02物料!$B23=""),0,IF(OR(N(对接源_02物料!$B23)&lt;$M$2,N(对接源_02物料!$B23)&gt;$M$3),0,1))</f>
        <v>0</v>
      </c>
      <c r="N1223">
        <f>IF(OR($N$1="",对接源_02物料!$C23="",对接源_02物料!$C23&lt;&gt;$N$1,对接源_02物料!$B23=""),0,IF(OR(N(对接源_02物料!$B23)&lt;$N$2,N(对接源_02物料!$B23)&gt;$N$3),0,1))</f>
        <v>0</v>
      </c>
      <c r="P1223">
        <f>IF(AND($K1223=1,AND(对接源_02物料!$X23="公司筐",N(对接源_02物料!$T23)&lt;&gt;0)),1,0)</f>
        <v>0</v>
      </c>
      <c r="Q1223">
        <f>N(Q1222)+$P1223</f>
        <v>0</v>
      </c>
      <c r="R1223">
        <f>IF(AND($K1223=1,AND(对接源_02物料!$X23="公司筐",N(对接源_02物料!$U23)&lt;&gt;0)),1,0)</f>
        <v>0</v>
      </c>
      <c r="S1223">
        <f>N(S1222)+$R1223</f>
        <v>0</v>
      </c>
      <c r="T1223">
        <f>IF(AND($K1223=1,AND(对接源_02物料!$X23="公司筐",N(对接源_02物料!$V23)&lt;&gt;0)),1,0)</f>
        <v>0</v>
      </c>
      <c r="U1223">
        <f>N(U1222)+$T1223</f>
        <v>47</v>
      </c>
      <c r="V1223">
        <f>IF(AND($L1223=1,AND(对接源_02物料!$X23="自备筐",N(对接源_02物料!$V23)&lt;&gt;0)),1,0)</f>
        <v>0</v>
      </c>
      <c r="W1223">
        <f>N(W1222)+$V1223</f>
        <v>11</v>
      </c>
      <c r="X1223">
        <f>IF(AND($L1223=1,AND(对接源_02物料!$X23="自备筐",N(对接源_02物料!$T23)&lt;&gt;0)),1,0)</f>
        <v>0</v>
      </c>
      <c r="Y1223">
        <f>N(Y1222)+$X1223</f>
        <v>0</v>
      </c>
      <c r="Z1223">
        <f>IF(AND($M1223=1,对接源_02物料!$D23="原料入库"),1,0)</f>
        <v>0</v>
      </c>
      <c r="AA1223">
        <f>N(AA1222)+$Z1223</f>
        <v>24</v>
      </c>
      <c r="AB1223">
        <f>IF(AND($M1223=1,LEFT(对接源_02物料!$D23,4)="原料出库"),1,0)</f>
        <v>0</v>
      </c>
      <c r="AC1223">
        <f>N(AC1222)+$AB1223</f>
        <v>0</v>
      </c>
      <c r="AD1223">
        <f>IF(AND($M1223=1,LEFT(对接源_02物料!$D23,4)="成品出库"),1,0)</f>
        <v>0</v>
      </c>
      <c r="AE1223">
        <f>N(AE1222)+$AD1223</f>
        <v>0</v>
      </c>
      <c r="AF1223">
        <f>IF(AND($N1223=1,AND(LEFT(对接源_02物料!$D23,4)="包装物料",N(对接源_02物料!$K23)&lt;&gt;0)),1,0)</f>
        <v>0</v>
      </c>
      <c r="AG1223">
        <f>N(AG1222)+$AF1223</f>
        <v>3</v>
      </c>
      <c r="AH1223">
        <f>IF(AND($N1223=1,AND(对接源_02物料!$D23="周转筐－销售出库",N(对接源_02物料!$K23)&lt;&gt;0)),1,0)</f>
        <v>0</v>
      </c>
      <c r="AI1223">
        <f>N(AI1222)+$AH1223</f>
        <v>0</v>
      </c>
      <c r="AL1223" t="n">
        <v>0</v>
      </c>
      <c r="AM1223">
        <f>N(AM1222)+$AL1223</f>
        <v>2</v>
      </c>
      <c r="AN1223">
        <f>""</f>
      </c>
      <c r="AO1223" t="n">
        <v>0</v>
      </c>
      <c r="AP1223">
        <f>N(AP1222)+$AO1223</f>
        <v>13</v>
      </c>
      <c r="AR1223">
        <f>IF(OR($AF1223=1,$AH1223=1),1,0)</f>
        <v>0</v>
      </c>
      <c r="AS1223">
        <f>N(AS1222)+$AR1223</f>
        <v>3</v>
      </c>
    </row>
    <row r="1224" s="127">
      <c r="A1224" t="str">
        <f>IF(对接源_02物料!$C24="","",对接源_02物料!$C24)</f>
        <v>吐尔逊</v>
      </c>
      <c r="B1224">
        <f>IF(A1224="",0,IF(MATCH(A1224,$A$4:$A$2403,0)=ROW()-3,1,0))</f>
        <v>0</v>
      </c>
      <c r="C1224">
        <f>N(C1223)+B1224</f>
        <v>24</v>
      </c>
      <c r="K1224">
        <f>IF(OR($K$1="",对接源_02物料!$C24="",对接源_02物料!$C24&lt;&gt;$K$1,对接源_02物料!$B24=""),0,IF(OR(N(对接源_02物料!$B24)&lt;$K$2,N(对接源_02物料!$B24)&gt;$K$3),0,1))</f>
        <v>0</v>
      </c>
      <c r="L1224">
        <f>IF(OR($L$1="",对接源_02物料!$C24="",对接源_02物料!$C24&lt;&gt;$L$1,对接源_02物料!$B24=""),0,IF(OR(N(对接源_02物料!$B24)&lt;$L$2,N(对接源_02物料!$B24)&gt;$L$3),0,1))</f>
        <v>0</v>
      </c>
      <c r="M1224">
        <f>IF(OR($M$1="",对接源_02物料!$C24="",对接源_02物料!$C24&lt;&gt;$M$1,对接源_02物料!$B24=""),0,IF(OR(N(对接源_02物料!$B24)&lt;$M$2,N(对接源_02物料!$B24)&gt;$M$3),0,1))</f>
        <v>0</v>
      </c>
      <c r="N1224">
        <f>IF(OR($N$1="",对接源_02物料!$C24="",对接源_02物料!$C24&lt;&gt;$N$1,对接源_02物料!$B24=""),0,IF(OR(N(对接源_02物料!$B24)&lt;$N$2,N(对接源_02物料!$B24)&gt;$N$3),0,1))</f>
        <v>0</v>
      </c>
      <c r="P1224">
        <f>IF(AND($K1224=1,AND(对接源_02物料!$X24="公司筐",N(对接源_02物料!$T24)&lt;&gt;0)),1,0)</f>
        <v>0</v>
      </c>
      <c r="Q1224">
        <f>N(Q1223)+$P1224</f>
        <v>0</v>
      </c>
      <c r="R1224">
        <f>IF(AND($K1224=1,AND(对接源_02物料!$X24="公司筐",N(对接源_02物料!$U24)&lt;&gt;0)),1,0)</f>
        <v>0</v>
      </c>
      <c r="S1224">
        <f>N(S1223)+$R1224</f>
        <v>0</v>
      </c>
      <c r="T1224">
        <f>IF(AND($K1224=1,AND(对接源_02物料!$X24="公司筐",N(对接源_02物料!$V24)&lt;&gt;0)),1,0)</f>
        <v>0</v>
      </c>
      <c r="U1224">
        <f>N(U1223)+$T1224</f>
        <v>47</v>
      </c>
      <c r="V1224">
        <f>IF(AND($L1224=1,AND(对接源_02物料!$X24="自备筐",N(对接源_02物料!$V24)&lt;&gt;0)),1,0)</f>
        <v>0</v>
      </c>
      <c r="W1224">
        <f>N(W1223)+$V1224</f>
        <v>11</v>
      </c>
      <c r="X1224">
        <f>IF(AND($L1224=1,AND(对接源_02物料!$X24="自备筐",N(对接源_02物料!$T24)&lt;&gt;0)),1,0)</f>
        <v>0</v>
      </c>
      <c r="Y1224">
        <f>N(Y1223)+$X1224</f>
        <v>0</v>
      </c>
      <c r="Z1224">
        <f>IF(AND($M1224=1,对接源_02物料!$D24="原料入库"),1,0)</f>
        <v>0</v>
      </c>
      <c r="AA1224">
        <f>N(AA1223)+$Z1224</f>
        <v>24</v>
      </c>
      <c r="AB1224">
        <f>IF(AND($M1224=1,LEFT(对接源_02物料!$D24,4)="原料出库"),1,0)</f>
        <v>0</v>
      </c>
      <c r="AC1224">
        <f>N(AC1223)+$AB1224</f>
        <v>0</v>
      </c>
      <c r="AD1224">
        <f>IF(AND($M1224=1,LEFT(对接源_02物料!$D24,4)="成品出库"),1,0)</f>
        <v>0</v>
      </c>
      <c r="AE1224">
        <f>N(AE1223)+$AD1224</f>
        <v>0</v>
      </c>
      <c r="AF1224">
        <f>IF(AND($N1224=1,AND(LEFT(对接源_02物料!$D24,4)="包装物料",N(对接源_02物料!$K24)&lt;&gt;0)),1,0)</f>
        <v>0</v>
      </c>
      <c r="AG1224">
        <f>N(AG1223)+$AF1224</f>
        <v>3</v>
      </c>
      <c r="AH1224">
        <f>IF(AND($N1224=1,AND(对接源_02物料!$D24="周转筐－销售出库",N(对接源_02物料!$K24)&lt;&gt;0)),1,0)</f>
        <v>0</v>
      </c>
      <c r="AI1224">
        <f>N(AI1223)+$AH1224</f>
        <v>0</v>
      </c>
      <c r="AL1224" t="n">
        <v>0</v>
      </c>
      <c r="AM1224">
        <f>N(AM1223)+$AL1224</f>
        <v>2</v>
      </c>
      <c r="AN1224">
        <f>""</f>
      </c>
      <c r="AO1224" t="n">
        <v>0</v>
      </c>
      <c r="AP1224">
        <f>N(AP1223)+$AO1224</f>
        <v>13</v>
      </c>
      <c r="AR1224">
        <f>IF(OR($AF1224=1,$AH1224=1),1,0)</f>
        <v>0</v>
      </c>
      <c r="AS1224">
        <f>N(AS1223)+$AR1224</f>
        <v>3</v>
      </c>
    </row>
    <row r="1225" s="127">
      <c r="A1225" t="str">
        <f>IF(对接源_02物料!$C25="","",对接源_02物料!$C25)</f>
        <v>吐尔逊</v>
      </c>
      <c r="B1225">
        <f>IF(A1225="",0,IF(MATCH(A1225,$A$4:$A$2403,0)=ROW()-3,1,0))</f>
        <v>0</v>
      </c>
      <c r="C1225">
        <f>N(C1224)+B1225</f>
        <v>24</v>
      </c>
      <c r="K1225">
        <f>IF(OR($K$1="",对接源_02物料!$C25="",对接源_02物料!$C25&lt;&gt;$K$1,对接源_02物料!$B25=""),0,IF(OR(N(对接源_02物料!$B25)&lt;$K$2,N(对接源_02物料!$B25)&gt;$K$3),0,1))</f>
        <v>0</v>
      </c>
      <c r="L1225">
        <f>IF(OR($L$1="",对接源_02物料!$C25="",对接源_02物料!$C25&lt;&gt;$L$1,对接源_02物料!$B25=""),0,IF(OR(N(对接源_02物料!$B25)&lt;$L$2,N(对接源_02物料!$B25)&gt;$L$3),0,1))</f>
        <v>0</v>
      </c>
      <c r="M1225">
        <f>IF(OR($M$1="",对接源_02物料!$C25="",对接源_02物料!$C25&lt;&gt;$M$1,对接源_02物料!$B25=""),0,IF(OR(N(对接源_02物料!$B25)&lt;$M$2,N(对接源_02物料!$B25)&gt;$M$3),0,1))</f>
        <v>0</v>
      </c>
      <c r="N1225">
        <f>IF(OR($N$1="",对接源_02物料!$C25="",对接源_02物料!$C25&lt;&gt;$N$1,对接源_02物料!$B25=""),0,IF(OR(N(对接源_02物料!$B25)&lt;$N$2,N(对接源_02物料!$B25)&gt;$N$3),0,1))</f>
        <v>0</v>
      </c>
      <c r="P1225">
        <f>IF(AND($K1225=1,AND(对接源_02物料!$X25="公司筐",N(对接源_02物料!$T25)&lt;&gt;0)),1,0)</f>
        <v>0</v>
      </c>
      <c r="Q1225">
        <f>N(Q1224)+$P1225</f>
        <v>0</v>
      </c>
      <c r="R1225">
        <f>IF(AND($K1225=1,AND(对接源_02物料!$X25="公司筐",N(对接源_02物料!$U25)&lt;&gt;0)),1,0)</f>
        <v>0</v>
      </c>
      <c r="S1225">
        <f>N(S1224)+$R1225</f>
        <v>0</v>
      </c>
      <c r="T1225">
        <f>IF(AND($K1225=1,AND(对接源_02物料!$X25="公司筐",N(对接源_02物料!$V25)&lt;&gt;0)),1,0)</f>
        <v>0</v>
      </c>
      <c r="U1225">
        <f>N(U1224)+$T1225</f>
        <v>47</v>
      </c>
      <c r="V1225">
        <f>IF(AND($L1225=1,AND(对接源_02物料!$X25="自备筐",N(对接源_02物料!$V25)&lt;&gt;0)),1,0)</f>
        <v>0</v>
      </c>
      <c r="W1225">
        <f>N(W1224)+$V1225</f>
        <v>11</v>
      </c>
      <c r="X1225">
        <f>IF(AND($L1225=1,AND(对接源_02物料!$X25="自备筐",N(对接源_02物料!$T25)&lt;&gt;0)),1,0)</f>
        <v>0</v>
      </c>
      <c r="Y1225">
        <f>N(Y1224)+$X1225</f>
        <v>0</v>
      </c>
      <c r="Z1225">
        <f>IF(AND($M1225=1,对接源_02物料!$D25="原料入库"),1,0)</f>
        <v>0</v>
      </c>
      <c r="AA1225">
        <f>N(AA1224)+$Z1225</f>
        <v>24</v>
      </c>
      <c r="AB1225">
        <f>IF(AND($M1225=1,LEFT(对接源_02物料!$D25,4)="原料出库"),1,0)</f>
        <v>0</v>
      </c>
      <c r="AC1225">
        <f>N(AC1224)+$AB1225</f>
        <v>0</v>
      </c>
      <c r="AD1225">
        <f>IF(AND($M1225=1,LEFT(对接源_02物料!$D25,4)="成品出库"),1,0)</f>
        <v>0</v>
      </c>
      <c r="AE1225">
        <f>N(AE1224)+$AD1225</f>
        <v>0</v>
      </c>
      <c r="AF1225">
        <f>IF(AND($N1225=1,AND(LEFT(对接源_02物料!$D25,4)="包装物料",N(对接源_02物料!$K25)&lt;&gt;0)),1,0)</f>
        <v>0</v>
      </c>
      <c r="AG1225">
        <f>N(AG1224)+$AF1225</f>
        <v>3</v>
      </c>
      <c r="AH1225">
        <f>IF(AND($N1225=1,AND(对接源_02物料!$D25="周转筐－销售出库",N(对接源_02物料!$K25)&lt;&gt;0)),1,0)</f>
        <v>0</v>
      </c>
      <c r="AI1225">
        <f>N(AI1224)+$AH1225</f>
        <v>0</v>
      </c>
      <c r="AL1225" t="n">
        <v>0</v>
      </c>
      <c r="AM1225">
        <f>N(AM1224)+$AL1225</f>
        <v>2</v>
      </c>
      <c r="AN1225">
        <f>""</f>
      </c>
      <c r="AO1225" t="n">
        <v>0</v>
      </c>
      <c r="AP1225">
        <f>N(AP1224)+$AO1225</f>
        <v>13</v>
      </c>
      <c r="AR1225">
        <f>IF(OR($AF1225=1,$AH1225=1),1,0)</f>
        <v>0</v>
      </c>
      <c r="AS1225">
        <f>N(AS1224)+$AR1225</f>
        <v>3</v>
      </c>
    </row>
    <row r="1226" s="127">
      <c r="A1226" t="str">
        <f>IF(对接源_02物料!$C26="","",对接源_02物料!$C26)</f>
        <v>吐尔洪</v>
      </c>
      <c r="B1226">
        <f>IF(A1226="",0,IF(MATCH(A1226,$A$4:$A$2403,0)=ROW()-3,1,0))</f>
        <v>0</v>
      </c>
      <c r="C1226">
        <f>N(C1225)+B1226</f>
        <v>24</v>
      </c>
      <c r="K1226">
        <f>IF(OR($K$1="",对接源_02物料!$C26="",对接源_02物料!$C26&lt;&gt;$K$1,对接源_02物料!$B26=""),0,IF(OR(N(对接源_02物料!$B26)&lt;$K$2,N(对接源_02物料!$B26)&gt;$K$3),0,1))</f>
        <v>0</v>
      </c>
      <c r="L1226">
        <f>IF(OR($L$1="",对接源_02物料!$C26="",对接源_02物料!$C26&lt;&gt;$L$1,对接源_02物料!$B26=""),0,IF(OR(N(对接源_02物料!$B26)&lt;$L$2,N(对接源_02物料!$B26)&gt;$L$3),0,1))</f>
        <v>0</v>
      </c>
      <c r="M1226">
        <f>IF(OR($M$1="",对接源_02物料!$C26="",对接源_02物料!$C26&lt;&gt;$M$1,对接源_02物料!$B26=""),0,IF(OR(N(对接源_02物料!$B26)&lt;$M$2,N(对接源_02物料!$B26)&gt;$M$3),0,1))</f>
        <v>1</v>
      </c>
      <c r="N1226">
        <f>IF(OR($N$1="",对接源_02物料!$C26="",对接源_02物料!$C26&lt;&gt;$N$1,对接源_02物料!$B26=""),0,IF(OR(N(对接源_02物料!$B26)&lt;$N$2,N(对接源_02物料!$B26)&gt;$N$3),0,1))</f>
        <v>0</v>
      </c>
      <c r="P1226">
        <f>IF(AND($K1226=1,AND(对接源_02物料!$X26="公司筐",N(对接源_02物料!$T26)&lt;&gt;0)),1,0)</f>
        <v>0</v>
      </c>
      <c r="Q1226">
        <f>N(Q1225)+$P1226</f>
        <v>0</v>
      </c>
      <c r="R1226">
        <f>IF(AND($K1226=1,AND(对接源_02物料!$X26="公司筐",N(对接源_02物料!$U26)&lt;&gt;0)),1,0)</f>
        <v>0</v>
      </c>
      <c r="S1226">
        <f>N(S1225)+$R1226</f>
        <v>0</v>
      </c>
      <c r="T1226">
        <f>IF(AND($K1226=1,AND(对接源_02物料!$X26="公司筐",N(对接源_02物料!$V26)&lt;&gt;0)),1,0)</f>
        <v>0</v>
      </c>
      <c r="U1226">
        <f>N(U1225)+$T1226</f>
        <v>47</v>
      </c>
      <c r="V1226">
        <f>IF(AND($L1226=1,AND(对接源_02物料!$X26="自备筐",N(对接源_02物料!$V26)&lt;&gt;0)),1,0)</f>
        <v>0</v>
      </c>
      <c r="W1226">
        <f>N(W1225)+$V1226</f>
        <v>11</v>
      </c>
      <c r="X1226">
        <f>IF(AND($L1226=1,AND(对接源_02物料!$X26="自备筐",N(对接源_02物料!$T26)&lt;&gt;0)),1,0)</f>
        <v>0</v>
      </c>
      <c r="Y1226">
        <f>N(Y1225)+$X1226</f>
        <v>0</v>
      </c>
      <c r="Z1226">
        <f>IF(AND($M1226=1,对接源_02物料!$D26="原料入库"),1,0)</f>
        <v>0</v>
      </c>
      <c r="AA1226">
        <f>N(AA1225)+$Z1226</f>
        <v>24</v>
      </c>
      <c r="AB1226">
        <f>IF(AND($M1226=1,LEFT(对接源_02物料!$D26,4)="原料出库"),1,0)</f>
        <v>0</v>
      </c>
      <c r="AC1226">
        <f>N(AC1225)+$AB1226</f>
        <v>0</v>
      </c>
      <c r="AD1226">
        <f>IF(AND($M1226=1,LEFT(对接源_02物料!$D26,4)="成品出库"),1,0)</f>
        <v>0</v>
      </c>
      <c r="AE1226">
        <f>N(AE1225)+$AD1226</f>
        <v>0</v>
      </c>
      <c r="AF1226">
        <f>IF(AND($N1226=1,AND(LEFT(对接源_02物料!$D26,4)="包装物料",N(对接源_02物料!$K26)&lt;&gt;0)),1,0)</f>
        <v>0</v>
      </c>
      <c r="AG1226">
        <f>N(AG1225)+$AF1226</f>
        <v>3</v>
      </c>
      <c r="AH1226">
        <f>IF(AND($N1226=1,AND(对接源_02物料!$D26="周转筐－销售出库",N(对接源_02物料!$K26)&lt;&gt;0)),1,0)</f>
        <v>0</v>
      </c>
      <c r="AI1226">
        <f>N(AI1225)+$AH1226</f>
        <v>0</v>
      </c>
      <c r="AL1226" t="n">
        <v>0</v>
      </c>
      <c r="AM1226">
        <f>N(AM1225)+$AL1226</f>
        <v>2</v>
      </c>
      <c r="AN1226">
        <f>""</f>
      </c>
      <c r="AO1226" t="n">
        <v>0</v>
      </c>
      <c r="AP1226">
        <f>N(AP1225)+$AO1226</f>
        <v>13</v>
      </c>
      <c r="AR1226">
        <f>IF(OR($AF1226=1,$AH1226=1),1,0)</f>
        <v>0</v>
      </c>
      <c r="AS1226">
        <f>N(AS1225)+$AR1226</f>
        <v>3</v>
      </c>
    </row>
    <row r="1227" s="127">
      <c r="A1227" t="str">
        <f>IF(对接源_02物料!$C27="","",对接源_02物料!$C27)</f>
        <v>荆建君</v>
      </c>
      <c r="B1227">
        <f>IF(A1227="",0,IF(MATCH(A1227,$A$4:$A$2403,0)=ROW()-3,1,0))</f>
        <v>0</v>
      </c>
      <c r="C1227">
        <f>N(C1226)+B1227</f>
        <v>24</v>
      </c>
      <c r="K1227">
        <f>IF(OR($K$1="",对接源_02物料!$C27="",对接源_02物料!$C27&lt;&gt;$K$1,对接源_02物料!$B27=""),0,IF(OR(N(对接源_02物料!$B27)&lt;$K$2,N(对接源_02物料!$B27)&gt;$K$3),0,1))</f>
        <v>0</v>
      </c>
      <c r="L1227">
        <f>IF(OR($L$1="",对接源_02物料!$C27="",对接源_02物料!$C27&lt;&gt;$L$1,对接源_02物料!$B27=""),0,IF(OR(N(对接源_02物料!$B27)&lt;$L$2,N(对接源_02物料!$B27)&gt;$L$3),0,1))</f>
        <v>0</v>
      </c>
      <c r="M1227">
        <f>IF(OR($M$1="",对接源_02物料!$C27="",对接源_02物料!$C27&lt;&gt;$M$1,对接源_02物料!$B27=""),0,IF(OR(N(对接源_02物料!$B27)&lt;$M$2,N(对接源_02物料!$B27)&gt;$M$3),0,1))</f>
        <v>0</v>
      </c>
      <c r="N1227">
        <f>IF(OR($N$1="",对接源_02物料!$C27="",对接源_02物料!$C27&lt;&gt;$N$1,对接源_02物料!$B27=""),0,IF(OR(N(对接源_02物料!$B27)&lt;$N$2,N(对接源_02物料!$B27)&gt;$N$3),0,1))</f>
        <v>0</v>
      </c>
      <c r="P1227">
        <f>IF(AND($K1227=1,AND(对接源_02物料!$X27="公司筐",N(对接源_02物料!$T27)&lt;&gt;0)),1,0)</f>
        <v>0</v>
      </c>
      <c r="Q1227">
        <f>N(Q1226)+$P1227</f>
        <v>0</v>
      </c>
      <c r="R1227">
        <f>IF(AND($K1227=1,AND(对接源_02物料!$X27="公司筐",N(对接源_02物料!$U27)&lt;&gt;0)),1,0)</f>
        <v>0</v>
      </c>
      <c r="S1227">
        <f>N(S1226)+$R1227</f>
        <v>0</v>
      </c>
      <c r="T1227">
        <f>IF(AND($K1227=1,AND(对接源_02物料!$X27="公司筐",N(对接源_02物料!$V27)&lt;&gt;0)),1,0)</f>
        <v>0</v>
      </c>
      <c r="U1227">
        <f>N(U1226)+$T1227</f>
        <v>47</v>
      </c>
      <c r="V1227">
        <f>IF(AND($L1227=1,AND(对接源_02物料!$X27="自备筐",N(对接源_02物料!$V27)&lt;&gt;0)),1,0)</f>
        <v>0</v>
      </c>
      <c r="W1227">
        <f>N(W1226)+$V1227</f>
        <v>11</v>
      </c>
      <c r="X1227">
        <f>IF(AND($L1227=1,AND(对接源_02物料!$X27="自备筐",N(对接源_02物料!$T27)&lt;&gt;0)),1,0)</f>
        <v>0</v>
      </c>
      <c r="Y1227">
        <f>N(Y1226)+$X1227</f>
        <v>0</v>
      </c>
      <c r="Z1227">
        <f>IF(AND($M1227=1,对接源_02物料!$D27="原料入库"),1,0)</f>
        <v>0</v>
      </c>
      <c r="AA1227">
        <f>N(AA1226)+$Z1227</f>
        <v>24</v>
      </c>
      <c r="AB1227">
        <f>IF(AND($M1227=1,LEFT(对接源_02物料!$D27,4)="原料出库"),1,0)</f>
        <v>0</v>
      </c>
      <c r="AC1227">
        <f>N(AC1226)+$AB1227</f>
        <v>0</v>
      </c>
      <c r="AD1227">
        <f>IF(AND($M1227=1,LEFT(对接源_02物料!$D27,4)="成品出库"),1,0)</f>
        <v>0</v>
      </c>
      <c r="AE1227">
        <f>N(AE1226)+$AD1227</f>
        <v>0</v>
      </c>
      <c r="AF1227">
        <f>IF(AND($N1227=1,AND(LEFT(对接源_02物料!$D27,4)="包装物料",N(对接源_02物料!$K27)&lt;&gt;0)),1,0)</f>
        <v>0</v>
      </c>
      <c r="AG1227">
        <f>N(AG1226)+$AF1227</f>
        <v>3</v>
      </c>
      <c r="AH1227">
        <f>IF(AND($N1227=1,AND(对接源_02物料!$D27="周转筐－销售出库",N(对接源_02物料!$K27)&lt;&gt;0)),1,0)</f>
        <v>0</v>
      </c>
      <c r="AI1227">
        <f>N(AI1226)+$AH1227</f>
        <v>0</v>
      </c>
      <c r="AL1227" t="n">
        <v>0</v>
      </c>
      <c r="AM1227">
        <f>N(AM1226)+$AL1227</f>
        <v>2</v>
      </c>
      <c r="AN1227">
        <f>""</f>
      </c>
      <c r="AO1227" t="n">
        <v>0</v>
      </c>
      <c r="AP1227">
        <f>N(AP1226)+$AO1227</f>
        <v>13</v>
      </c>
      <c r="AR1227">
        <f>IF(OR($AF1227=1,$AH1227=1),1,0)</f>
        <v>0</v>
      </c>
      <c r="AS1227">
        <f>N(AS1226)+$AR1227</f>
        <v>3</v>
      </c>
    </row>
    <row r="1228" s="127">
      <c r="A1228" t="str">
        <f>IF(对接源_02物料!$C28="","",对接源_02物料!$C28)</f>
        <v>麦麦提</v>
      </c>
      <c r="B1228">
        <f>IF(A1228="",0,IF(MATCH(A1228,$A$4:$A$2403,0)=ROW()-3,1,0))</f>
        <v>0</v>
      </c>
      <c r="C1228">
        <f>N(C1227)+B1228</f>
        <v>24</v>
      </c>
      <c r="K1228">
        <f>IF(OR($K$1="",对接源_02物料!$C28="",对接源_02物料!$C28&lt;&gt;$K$1,对接源_02物料!$B28=""),0,IF(OR(N(对接源_02物料!$B28)&lt;$K$2,N(对接源_02物料!$B28)&gt;$K$3),0,1))</f>
        <v>0</v>
      </c>
      <c r="L1228">
        <f>IF(OR($L$1="",对接源_02物料!$C28="",对接源_02物料!$C28&lt;&gt;$L$1,对接源_02物料!$B28=""),0,IF(OR(N(对接源_02物料!$B28)&lt;$L$2,N(对接源_02物料!$B28)&gt;$L$3),0,1))</f>
        <v>0</v>
      </c>
      <c r="M1228">
        <f>IF(OR($M$1="",对接源_02物料!$C28="",对接源_02物料!$C28&lt;&gt;$M$1,对接源_02物料!$B28=""),0,IF(OR(N(对接源_02物料!$B28)&lt;$M$2,N(对接源_02物料!$B28)&gt;$M$3),0,1))</f>
        <v>0</v>
      </c>
      <c r="N1228">
        <f>IF(OR($N$1="",对接源_02物料!$C28="",对接源_02物料!$C28&lt;&gt;$N$1,对接源_02物料!$B28=""),0,IF(OR(N(对接源_02物料!$B28)&lt;$N$2,N(对接源_02物料!$B28)&gt;$N$3),0,1))</f>
        <v>1</v>
      </c>
      <c r="P1228">
        <f>IF(AND($K1228=1,AND(对接源_02物料!$X28="公司筐",N(对接源_02物料!$T28)&lt;&gt;0)),1,0)</f>
        <v>0</v>
      </c>
      <c r="Q1228">
        <f>N(Q1227)+$P1228</f>
        <v>0</v>
      </c>
      <c r="R1228">
        <f>IF(AND($K1228=1,AND(对接源_02物料!$X28="公司筐",N(对接源_02物料!$U28)&lt;&gt;0)),1,0)</f>
        <v>0</v>
      </c>
      <c r="S1228">
        <f>N(S1227)+$R1228</f>
        <v>0</v>
      </c>
      <c r="T1228">
        <f>IF(AND($K1228=1,AND(对接源_02物料!$X28="公司筐",N(对接源_02物料!$V28)&lt;&gt;0)),1,0)</f>
        <v>0</v>
      </c>
      <c r="U1228">
        <f>N(U1227)+$T1228</f>
        <v>47</v>
      </c>
      <c r="V1228">
        <f>IF(AND($L1228=1,AND(对接源_02物料!$X28="自备筐",N(对接源_02物料!$V28)&lt;&gt;0)),1,0)</f>
        <v>0</v>
      </c>
      <c r="W1228">
        <f>N(W1227)+$V1228</f>
        <v>11</v>
      </c>
      <c r="X1228">
        <f>IF(AND($L1228=1,AND(对接源_02物料!$X28="自备筐",N(对接源_02物料!$T28)&lt;&gt;0)),1,0)</f>
        <v>0</v>
      </c>
      <c r="Y1228">
        <f>N(Y1227)+$X1228</f>
        <v>0</v>
      </c>
      <c r="Z1228">
        <f>IF(AND($M1228=1,对接源_02物料!$D28="原料入库"),1,0)</f>
        <v>0</v>
      </c>
      <c r="AA1228">
        <f>N(AA1227)+$Z1228</f>
        <v>24</v>
      </c>
      <c r="AB1228">
        <f>IF(AND($M1228=1,LEFT(对接源_02物料!$D28,4)="原料出库"),1,0)</f>
        <v>0</v>
      </c>
      <c r="AC1228">
        <f>N(AC1227)+$AB1228</f>
        <v>0</v>
      </c>
      <c r="AD1228">
        <f>IF(AND($M1228=1,LEFT(对接源_02物料!$D28,4)="成品出库"),1,0)</f>
        <v>0</v>
      </c>
      <c r="AE1228">
        <f>N(AE1227)+$AD1228</f>
        <v>0</v>
      </c>
      <c r="AF1228">
        <f>IF(AND($N1228=1,AND(LEFT(对接源_02物料!$D28,4)="包装物料",N(对接源_02物料!$K28)&lt;&gt;0)),1,0)</f>
        <v>1</v>
      </c>
      <c r="AG1228">
        <f>N(AG1227)+$AF1228</f>
        <v>4</v>
      </c>
      <c r="AH1228">
        <f>IF(AND($N1228=1,AND(对接源_02物料!$D28="周转筐－销售出库",N(对接源_02物料!$K28)&lt;&gt;0)),1,0)</f>
        <v>0</v>
      </c>
      <c r="AI1228">
        <f>N(AI1227)+$AH1228</f>
        <v>0</v>
      </c>
      <c r="AL1228" t="n">
        <v>0</v>
      </c>
      <c r="AM1228">
        <f>N(AM1227)+$AL1228</f>
        <v>2</v>
      </c>
      <c r="AN1228">
        <f>""</f>
      </c>
      <c r="AO1228" t="n">
        <v>0</v>
      </c>
      <c r="AP1228">
        <f>N(AP1227)+$AO1228</f>
        <v>13</v>
      </c>
      <c r="AR1228">
        <f>IF(OR($AF1228=1,$AH1228=1),1,0)</f>
        <v>1</v>
      </c>
      <c r="AS1228">
        <f>N(AS1227)+$AR1228</f>
        <v>4</v>
      </c>
    </row>
    <row r="1229" s="127">
      <c r="A1229" t="str">
        <f>IF(对接源_02物料!$C29="","",对接源_02物料!$C29)</f>
        <v>新顺发泡网</v>
      </c>
      <c r="B1229">
        <f>IF(A1229="",0,IF(MATCH(A1229,$A$4:$A$2403,0)=ROW()-3,1,0))</f>
        <v>0</v>
      </c>
      <c r="C1229">
        <f>N(C1228)+B1229</f>
        <v>24</v>
      </c>
      <c r="K1229">
        <f>IF(OR($K$1="",对接源_02物料!$C29="",对接源_02物料!$C29&lt;&gt;$K$1,对接源_02物料!$B29=""),0,IF(OR(N(对接源_02物料!$B29)&lt;$K$2,N(对接源_02物料!$B29)&gt;$K$3),0,1))</f>
        <v>0</v>
      </c>
      <c r="L1229">
        <f>IF(OR($L$1="",对接源_02物料!$C29="",对接源_02物料!$C29&lt;&gt;$L$1,对接源_02物料!$B29=""),0,IF(OR(N(对接源_02物料!$B29)&lt;$L$2,N(对接源_02物料!$B29)&gt;$L$3),0,1))</f>
        <v>0</v>
      </c>
      <c r="M1229">
        <f>IF(OR($M$1="",对接源_02物料!$C29="",对接源_02物料!$C29&lt;&gt;$M$1,对接源_02物料!$B29=""),0,IF(OR(N(对接源_02物料!$B29)&lt;$M$2,N(对接源_02物料!$B29)&gt;$M$3),0,1))</f>
        <v>0</v>
      </c>
      <c r="N1229">
        <f>IF(OR($N$1="",对接源_02物料!$C29="",对接源_02物料!$C29&lt;&gt;$N$1,对接源_02物料!$B29=""),0,IF(OR(N(对接源_02物料!$B29)&lt;$N$2,N(对接源_02物料!$B29)&gt;$N$3),0,1))</f>
        <v>0</v>
      </c>
      <c r="P1229">
        <f>IF(AND($K1229=1,AND(对接源_02物料!$X29="公司筐",N(对接源_02物料!$T29)&lt;&gt;0)),1,0)</f>
        <v>0</v>
      </c>
      <c r="Q1229">
        <f>N(Q1228)+$P1229</f>
        <v>0</v>
      </c>
      <c r="R1229">
        <f>IF(AND($K1229=1,AND(对接源_02物料!$X29="公司筐",N(对接源_02物料!$U29)&lt;&gt;0)),1,0)</f>
        <v>0</v>
      </c>
      <c r="S1229">
        <f>N(S1228)+$R1229</f>
        <v>0</v>
      </c>
      <c r="T1229">
        <f>IF(AND($K1229=1,AND(对接源_02物料!$X29="公司筐",N(对接源_02物料!$V29)&lt;&gt;0)),1,0)</f>
        <v>0</v>
      </c>
      <c r="U1229">
        <f>N(U1228)+$T1229</f>
        <v>47</v>
      </c>
      <c r="V1229">
        <f>IF(AND($L1229=1,AND(对接源_02物料!$X29="自备筐",N(对接源_02物料!$V29)&lt;&gt;0)),1,0)</f>
        <v>0</v>
      </c>
      <c r="W1229">
        <f>N(W1228)+$V1229</f>
        <v>11</v>
      </c>
      <c r="X1229">
        <f>IF(AND($L1229=1,AND(对接源_02物料!$X29="自备筐",N(对接源_02物料!$T29)&lt;&gt;0)),1,0)</f>
        <v>0</v>
      </c>
      <c r="Y1229">
        <f>N(Y1228)+$X1229</f>
        <v>0</v>
      </c>
      <c r="Z1229">
        <f>IF(AND($M1229=1,对接源_02物料!$D29="原料入库"),1,0)</f>
        <v>0</v>
      </c>
      <c r="AA1229">
        <f>N(AA1228)+$Z1229</f>
        <v>24</v>
      </c>
      <c r="AB1229">
        <f>IF(AND($M1229=1,LEFT(对接源_02物料!$D29,4)="原料出库"),1,0)</f>
        <v>0</v>
      </c>
      <c r="AC1229">
        <f>N(AC1228)+$AB1229</f>
        <v>0</v>
      </c>
      <c r="AD1229">
        <f>IF(AND($M1229=1,LEFT(对接源_02物料!$D29,4)="成品出库"),1,0)</f>
        <v>0</v>
      </c>
      <c r="AE1229">
        <f>N(AE1228)+$AD1229</f>
        <v>0</v>
      </c>
      <c r="AF1229">
        <f>IF(AND($N1229=1,AND(LEFT(对接源_02物料!$D29,4)="包装物料",N(对接源_02物料!$K29)&lt;&gt;0)),1,0)</f>
        <v>0</v>
      </c>
      <c r="AG1229">
        <f>N(AG1228)+$AF1229</f>
        <v>4</v>
      </c>
      <c r="AH1229">
        <f>IF(AND($N1229=1,AND(对接源_02物料!$D29="周转筐－销售出库",N(对接源_02物料!$K29)&lt;&gt;0)),1,0)</f>
        <v>0</v>
      </c>
      <c r="AI1229">
        <f>N(AI1228)+$AH1229</f>
        <v>0</v>
      </c>
      <c r="AL1229" t="n">
        <v>0</v>
      </c>
      <c r="AM1229">
        <f>N(AM1228)+$AL1229</f>
        <v>2</v>
      </c>
      <c r="AN1229">
        <f>""</f>
      </c>
      <c r="AO1229" t="n">
        <v>0</v>
      </c>
      <c r="AP1229">
        <f>N(AP1228)+$AO1229</f>
        <v>13</v>
      </c>
      <c r="AR1229">
        <f>IF(OR($AF1229=1,$AH1229=1),1,0)</f>
        <v>0</v>
      </c>
      <c r="AS1229">
        <f>N(AS1228)+$AR1229</f>
        <v>4</v>
      </c>
    </row>
    <row r="1230" s="127">
      <c r="A1230" t="str">
        <f>IF(对接源_02物料!$C30="","",对接源_02物料!$C30)</f>
        <v>麦麦提</v>
      </c>
      <c r="B1230">
        <f>IF(A1230="",0,IF(MATCH(A1230,$A$4:$A$2403,0)=ROW()-3,1,0))</f>
        <v>0</v>
      </c>
      <c r="C1230">
        <f>N(C1229)+B1230</f>
        <v>24</v>
      </c>
      <c r="K1230">
        <f>IF(OR($K$1="",对接源_02物料!$C30="",对接源_02物料!$C30&lt;&gt;$K$1,对接源_02物料!$B30=""),0,IF(OR(N(对接源_02物料!$B30)&lt;$K$2,N(对接源_02物料!$B30)&gt;$K$3),0,1))</f>
        <v>0</v>
      </c>
      <c r="L1230">
        <f>IF(OR($L$1="",对接源_02物料!$C30="",对接源_02物料!$C30&lt;&gt;$L$1,对接源_02物料!$B30=""),0,IF(OR(N(对接源_02物料!$B30)&lt;$L$2,N(对接源_02物料!$B30)&gt;$L$3),0,1))</f>
        <v>0</v>
      </c>
      <c r="M1230">
        <f>IF(OR($M$1="",对接源_02物料!$C30="",对接源_02物料!$C30&lt;&gt;$M$1,对接源_02物料!$B30=""),0,IF(OR(N(对接源_02物料!$B30)&lt;$M$2,N(对接源_02物料!$B30)&gt;$M$3),0,1))</f>
        <v>0</v>
      </c>
      <c r="N1230">
        <f>IF(OR($N$1="",对接源_02物料!$C30="",对接源_02物料!$C30&lt;&gt;$N$1,对接源_02物料!$B30=""),0,IF(OR(N(对接源_02物料!$B30)&lt;$N$2,N(对接源_02物料!$B30)&gt;$N$3),0,1))</f>
        <v>1</v>
      </c>
      <c r="P1230">
        <f>IF(AND($K1230=1,AND(对接源_02物料!$X30="公司筐",N(对接源_02物料!$T30)&lt;&gt;0)),1,0)</f>
        <v>0</v>
      </c>
      <c r="Q1230">
        <f>N(Q1229)+$P1230</f>
        <v>0</v>
      </c>
      <c r="R1230">
        <f>IF(AND($K1230=1,AND(对接源_02物料!$X30="公司筐",N(对接源_02物料!$U30)&lt;&gt;0)),1,0)</f>
        <v>0</v>
      </c>
      <c r="S1230">
        <f>N(S1229)+$R1230</f>
        <v>0</v>
      </c>
      <c r="T1230">
        <f>IF(AND($K1230=1,AND(对接源_02物料!$X30="公司筐",N(对接源_02物料!$V30)&lt;&gt;0)),1,0)</f>
        <v>0</v>
      </c>
      <c r="U1230">
        <f>N(U1229)+$T1230</f>
        <v>47</v>
      </c>
      <c r="V1230">
        <f>IF(AND($L1230=1,AND(对接源_02物料!$X30="自备筐",N(对接源_02物料!$V30)&lt;&gt;0)),1,0)</f>
        <v>0</v>
      </c>
      <c r="W1230">
        <f>N(W1229)+$V1230</f>
        <v>11</v>
      </c>
      <c r="X1230">
        <f>IF(AND($L1230=1,AND(对接源_02物料!$X30="自备筐",N(对接源_02物料!$T30)&lt;&gt;0)),1,0)</f>
        <v>0</v>
      </c>
      <c r="Y1230">
        <f>N(Y1229)+$X1230</f>
        <v>0</v>
      </c>
      <c r="Z1230">
        <f>IF(AND($M1230=1,对接源_02物料!$D30="原料入库"),1,0)</f>
        <v>0</v>
      </c>
      <c r="AA1230">
        <f>N(AA1229)+$Z1230</f>
        <v>24</v>
      </c>
      <c r="AB1230">
        <f>IF(AND($M1230=1,LEFT(对接源_02物料!$D30,4)="原料出库"),1,0)</f>
        <v>0</v>
      </c>
      <c r="AC1230">
        <f>N(AC1229)+$AB1230</f>
        <v>0</v>
      </c>
      <c r="AD1230">
        <f>IF(AND($M1230=1,LEFT(对接源_02物料!$D30,4)="成品出库"),1,0)</f>
        <v>0</v>
      </c>
      <c r="AE1230">
        <f>N(AE1229)+$AD1230</f>
        <v>0</v>
      </c>
      <c r="AF1230">
        <f>IF(AND($N1230=1,AND(LEFT(对接源_02物料!$D30,4)="包装物料",N(对接源_02物料!$K30)&lt;&gt;0)),1,0)</f>
        <v>1</v>
      </c>
      <c r="AG1230">
        <f>N(AG1229)+$AF1230</f>
        <v>5</v>
      </c>
      <c r="AH1230">
        <f>IF(AND($N1230=1,AND(对接源_02物料!$D30="周转筐－销售出库",N(对接源_02物料!$K30)&lt;&gt;0)),1,0)</f>
        <v>0</v>
      </c>
      <c r="AI1230">
        <f>N(AI1229)+$AH1230</f>
        <v>0</v>
      </c>
      <c r="AL1230" t="n">
        <v>0</v>
      </c>
      <c r="AM1230">
        <f>N(AM1229)+$AL1230</f>
        <v>2</v>
      </c>
      <c r="AN1230">
        <f>""</f>
      </c>
      <c r="AO1230" t="n">
        <v>0</v>
      </c>
      <c r="AP1230">
        <f>N(AP1229)+$AO1230</f>
        <v>13</v>
      </c>
      <c r="AR1230">
        <f>IF(OR($AF1230=1,$AH1230=1),1,0)</f>
        <v>1</v>
      </c>
      <c r="AS1230">
        <f>N(AS1229)+$AR1230</f>
        <v>5</v>
      </c>
    </row>
    <row r="1231" s="127">
      <c r="A1231" t="str">
        <f>IF(对接源_02物料!$C31="","",对接源_02物料!$C31)</f>
        <v>新顺发泡网</v>
      </c>
      <c r="B1231">
        <f>IF(A1231="",0,IF(MATCH(A1231,$A$4:$A$2403,0)=ROW()-3,1,0))</f>
        <v>0</v>
      </c>
      <c r="C1231">
        <f>N(C1230)+B1231</f>
        <v>24</v>
      </c>
      <c r="K1231">
        <f>IF(OR($K$1="",对接源_02物料!$C31="",对接源_02物料!$C31&lt;&gt;$K$1,对接源_02物料!$B31=""),0,IF(OR(N(对接源_02物料!$B31)&lt;$K$2,N(对接源_02物料!$B31)&gt;$K$3),0,1))</f>
        <v>0</v>
      </c>
      <c r="L1231">
        <f>IF(OR($L$1="",对接源_02物料!$C31="",对接源_02物料!$C31&lt;&gt;$L$1,对接源_02物料!$B31=""),0,IF(OR(N(对接源_02物料!$B31)&lt;$L$2,N(对接源_02物料!$B31)&gt;$L$3),0,1))</f>
        <v>0</v>
      </c>
      <c r="M1231">
        <f>IF(OR($M$1="",对接源_02物料!$C31="",对接源_02物料!$C31&lt;&gt;$M$1,对接源_02物料!$B31=""),0,IF(OR(N(对接源_02物料!$B31)&lt;$M$2,N(对接源_02物料!$B31)&gt;$M$3),0,1))</f>
        <v>0</v>
      </c>
      <c r="N1231">
        <f>IF(OR($N$1="",对接源_02物料!$C31="",对接源_02物料!$C31&lt;&gt;$N$1,对接源_02物料!$B31=""),0,IF(OR(N(对接源_02物料!$B31)&lt;$N$2,N(对接源_02物料!$B31)&gt;$N$3),0,1))</f>
        <v>0</v>
      </c>
      <c r="P1231">
        <f>IF(AND($K1231=1,AND(对接源_02物料!$X31="公司筐",N(对接源_02物料!$T31)&lt;&gt;0)),1,0)</f>
        <v>0</v>
      </c>
      <c r="Q1231">
        <f>N(Q1230)+$P1231</f>
        <v>0</v>
      </c>
      <c r="R1231">
        <f>IF(AND($K1231=1,AND(对接源_02物料!$X31="公司筐",N(对接源_02物料!$U31)&lt;&gt;0)),1,0)</f>
        <v>0</v>
      </c>
      <c r="S1231">
        <f>N(S1230)+$R1231</f>
        <v>0</v>
      </c>
      <c r="T1231">
        <f>IF(AND($K1231=1,AND(对接源_02物料!$X31="公司筐",N(对接源_02物料!$V31)&lt;&gt;0)),1,0)</f>
        <v>0</v>
      </c>
      <c r="U1231">
        <f>N(U1230)+$T1231</f>
        <v>47</v>
      </c>
      <c r="V1231">
        <f>IF(AND($L1231=1,AND(对接源_02物料!$X31="自备筐",N(对接源_02物料!$V31)&lt;&gt;0)),1,0)</f>
        <v>0</v>
      </c>
      <c r="W1231">
        <f>N(W1230)+$V1231</f>
        <v>11</v>
      </c>
      <c r="X1231">
        <f>IF(AND($L1231=1,AND(对接源_02物料!$X31="自备筐",N(对接源_02物料!$T31)&lt;&gt;0)),1,0)</f>
        <v>0</v>
      </c>
      <c r="Y1231">
        <f>N(Y1230)+$X1231</f>
        <v>0</v>
      </c>
      <c r="Z1231">
        <f>IF(AND($M1231=1,对接源_02物料!$D31="原料入库"),1,0)</f>
        <v>0</v>
      </c>
      <c r="AA1231">
        <f>N(AA1230)+$Z1231</f>
        <v>24</v>
      </c>
      <c r="AB1231">
        <f>IF(AND($M1231=1,LEFT(对接源_02物料!$D31,4)="原料出库"),1,0)</f>
        <v>0</v>
      </c>
      <c r="AC1231">
        <f>N(AC1230)+$AB1231</f>
        <v>0</v>
      </c>
      <c r="AD1231">
        <f>IF(AND($M1231=1,LEFT(对接源_02物料!$D31,4)="成品出库"),1,0)</f>
        <v>0</v>
      </c>
      <c r="AE1231">
        <f>N(AE1230)+$AD1231</f>
        <v>0</v>
      </c>
      <c r="AF1231">
        <f>IF(AND($N1231=1,AND(LEFT(对接源_02物料!$D31,4)="包装物料",N(对接源_02物料!$K31)&lt;&gt;0)),1,0)</f>
        <v>0</v>
      </c>
      <c r="AG1231">
        <f>N(AG1230)+$AF1231</f>
        <v>5</v>
      </c>
      <c r="AH1231">
        <f>IF(AND($N1231=1,AND(对接源_02物料!$D31="周转筐－销售出库",N(对接源_02物料!$K31)&lt;&gt;0)),1,0)</f>
        <v>0</v>
      </c>
      <c r="AI1231">
        <f>N(AI1230)+$AH1231</f>
        <v>0</v>
      </c>
      <c r="AL1231" t="n">
        <v>0</v>
      </c>
      <c r="AM1231">
        <f>N(AM1230)+$AL1231</f>
        <v>2</v>
      </c>
      <c r="AN1231">
        <f>""</f>
      </c>
      <c r="AO1231" t="n">
        <v>0</v>
      </c>
      <c r="AP1231">
        <f>N(AP1230)+$AO1231</f>
        <v>13</v>
      </c>
      <c r="AR1231">
        <f>IF(OR($AF1231=1,$AH1231=1),1,0)</f>
        <v>0</v>
      </c>
      <c r="AS1231">
        <f>N(AS1230)+$AR1231</f>
        <v>5</v>
      </c>
    </row>
    <row r="1232" s="127">
      <c r="A1232" t="str">
        <f>IF(对接源_02物料!$C32="","",对接源_02物料!$C32)</f>
        <v>吐尔洪</v>
      </c>
      <c r="B1232">
        <f>IF(A1232="",0,IF(MATCH(A1232,$A$4:$A$2403,0)=ROW()-3,1,0))</f>
        <v>0</v>
      </c>
      <c r="C1232">
        <f>N(C1231)+B1232</f>
        <v>24</v>
      </c>
      <c r="K1232">
        <f>IF(OR($K$1="",对接源_02物料!$C32="",对接源_02物料!$C32&lt;&gt;$K$1,对接源_02物料!$B32=""),0,IF(OR(N(对接源_02物料!$B32)&lt;$K$2,N(对接源_02物料!$B32)&gt;$K$3),0,1))</f>
        <v>0</v>
      </c>
      <c r="L1232">
        <f>IF(OR($L$1="",对接源_02物料!$C32="",对接源_02物料!$C32&lt;&gt;$L$1,对接源_02物料!$B32=""),0,IF(OR(N(对接源_02物料!$B32)&lt;$L$2,N(对接源_02物料!$B32)&gt;$L$3),0,1))</f>
        <v>0</v>
      </c>
      <c r="M1232">
        <f>IF(OR($M$1="",对接源_02物料!$C32="",对接源_02物料!$C32&lt;&gt;$M$1,对接源_02物料!$B32=""),0,IF(OR(N(对接源_02物料!$B32)&lt;$M$2,N(对接源_02物料!$B32)&gt;$M$3),0,1))</f>
        <v>1</v>
      </c>
      <c r="N1232">
        <f>IF(OR($N$1="",对接源_02物料!$C32="",对接源_02物料!$C32&lt;&gt;$N$1,对接源_02物料!$B32=""),0,IF(OR(N(对接源_02物料!$B32)&lt;$N$2,N(对接源_02物料!$B32)&gt;$N$3),0,1))</f>
        <v>0</v>
      </c>
      <c r="P1232">
        <f>IF(AND($K1232=1,AND(对接源_02物料!$X32="公司筐",N(对接源_02物料!$T32)&lt;&gt;0)),1,0)</f>
        <v>0</v>
      </c>
      <c r="Q1232">
        <f>N(Q1231)+$P1232</f>
        <v>0</v>
      </c>
      <c r="R1232">
        <f>IF(AND($K1232=1,AND(对接源_02物料!$X32="公司筐",N(对接源_02物料!$U32)&lt;&gt;0)),1,0)</f>
        <v>0</v>
      </c>
      <c r="S1232">
        <f>N(S1231)+$R1232</f>
        <v>0</v>
      </c>
      <c r="T1232">
        <f>IF(AND($K1232=1,AND(对接源_02物料!$X32="公司筐",N(对接源_02物料!$V32)&lt;&gt;0)),1,0)</f>
        <v>0</v>
      </c>
      <c r="U1232">
        <f>N(U1231)+$T1232</f>
        <v>47</v>
      </c>
      <c r="V1232">
        <f>IF(AND($L1232=1,AND(对接源_02物料!$X32="自备筐",N(对接源_02物料!$V32)&lt;&gt;0)),1,0)</f>
        <v>0</v>
      </c>
      <c r="W1232">
        <f>N(W1231)+$V1232</f>
        <v>11</v>
      </c>
      <c r="X1232">
        <f>IF(AND($L1232=1,AND(对接源_02物料!$X32="自备筐",N(对接源_02物料!$T32)&lt;&gt;0)),1,0)</f>
        <v>0</v>
      </c>
      <c r="Y1232">
        <f>N(Y1231)+$X1232</f>
        <v>0</v>
      </c>
      <c r="Z1232">
        <f>IF(AND($M1232=1,对接源_02物料!$D32="原料入库"),1,0)</f>
        <v>0</v>
      </c>
      <c r="AA1232">
        <f>N(AA1231)+$Z1232</f>
        <v>24</v>
      </c>
      <c r="AB1232">
        <f>IF(AND($M1232=1,LEFT(对接源_02物料!$D32,4)="原料出库"),1,0)</f>
        <v>0</v>
      </c>
      <c r="AC1232">
        <f>N(AC1231)+$AB1232</f>
        <v>0</v>
      </c>
      <c r="AD1232">
        <f>IF(AND($M1232=1,LEFT(对接源_02物料!$D32,4)="成品出库"),1,0)</f>
        <v>0</v>
      </c>
      <c r="AE1232">
        <f>N(AE1231)+$AD1232</f>
        <v>0</v>
      </c>
      <c r="AF1232">
        <f>IF(AND($N1232=1,AND(LEFT(对接源_02物料!$D32,4)="包装物料",N(对接源_02物料!$K32)&lt;&gt;0)),1,0)</f>
        <v>0</v>
      </c>
      <c r="AG1232">
        <f>N(AG1231)+$AF1232</f>
        <v>5</v>
      </c>
      <c r="AH1232">
        <f>IF(AND($N1232=1,AND(对接源_02物料!$D32="周转筐－销售出库",N(对接源_02物料!$K32)&lt;&gt;0)),1,0)</f>
        <v>0</v>
      </c>
      <c r="AI1232">
        <f>N(AI1231)+$AH1232</f>
        <v>0</v>
      </c>
      <c r="AL1232" t="n">
        <v>0</v>
      </c>
      <c r="AM1232">
        <f>N(AM1231)+$AL1232</f>
        <v>2</v>
      </c>
      <c r="AN1232">
        <f>""</f>
      </c>
      <c r="AO1232" t="n">
        <v>0</v>
      </c>
      <c r="AP1232">
        <f>N(AP1231)+$AO1232</f>
        <v>13</v>
      </c>
      <c r="AR1232">
        <f>IF(OR($AF1232=1,$AH1232=1),1,0)</f>
        <v>0</v>
      </c>
      <c r="AS1232">
        <f>N(AS1231)+$AR1232</f>
        <v>5</v>
      </c>
    </row>
    <row r="1233" s="127">
      <c r="A1233" t="str">
        <f>IF(对接源_02物料!$C33="","",对接源_02物料!$C33)</f>
        <v>热合曼</v>
      </c>
      <c r="B1233">
        <f>IF(A1233="",0,IF(MATCH(A1233,$A$4:$A$2403,0)=ROW()-3,1,0))</f>
        <v>0</v>
      </c>
      <c r="C1233">
        <f>N(C1232)+B1233</f>
        <v>24</v>
      </c>
      <c r="K1233">
        <f>IF(OR($K$1="",对接源_02物料!$C33="",对接源_02物料!$C33&lt;&gt;$K$1,对接源_02物料!$B33=""),0,IF(OR(N(对接源_02物料!$B33)&lt;$K$2,N(对接源_02物料!$B33)&gt;$K$3),0,1))</f>
        <v>0</v>
      </c>
      <c r="L1233">
        <f>IF(OR($L$1="",对接源_02物料!$C33="",对接源_02物料!$C33&lt;&gt;$L$1,对接源_02物料!$B33=""),0,IF(OR(N(对接源_02物料!$B33)&lt;$L$2,N(对接源_02物料!$B33)&gt;$L$3),0,1))</f>
        <v>0</v>
      </c>
      <c r="M1233">
        <f>IF(OR($M$1="",对接源_02物料!$C33="",对接源_02物料!$C33&lt;&gt;$M$1,对接源_02物料!$B33=""),0,IF(OR(N(对接源_02物料!$B33)&lt;$M$2,N(对接源_02物料!$B33)&gt;$M$3),0,1))</f>
        <v>0</v>
      </c>
      <c r="N1233">
        <f>IF(OR($N$1="",对接源_02物料!$C33="",对接源_02物料!$C33&lt;&gt;$N$1,对接源_02物料!$B33=""),0,IF(OR(N(对接源_02物料!$B33)&lt;$N$2,N(对接源_02物料!$B33)&gt;$N$3),0,1))</f>
        <v>0</v>
      </c>
      <c r="P1233">
        <f>IF(AND($K1233=1,AND(对接源_02物料!$X33="公司筐",N(对接源_02物料!$T33)&lt;&gt;0)),1,0)</f>
        <v>0</v>
      </c>
      <c r="Q1233">
        <f>N(Q1232)+$P1233</f>
        <v>0</v>
      </c>
      <c r="R1233">
        <f>IF(AND($K1233=1,AND(对接源_02物料!$X33="公司筐",N(对接源_02物料!$U33)&lt;&gt;0)),1,0)</f>
        <v>0</v>
      </c>
      <c r="S1233">
        <f>N(S1232)+$R1233</f>
        <v>0</v>
      </c>
      <c r="T1233">
        <f>IF(AND($K1233=1,AND(对接源_02物料!$X33="公司筐",N(对接源_02物料!$V33)&lt;&gt;0)),1,0)</f>
        <v>0</v>
      </c>
      <c r="U1233">
        <f>N(U1232)+$T1233</f>
        <v>47</v>
      </c>
      <c r="V1233">
        <f>IF(AND($L1233=1,AND(对接源_02物料!$X33="自备筐",N(对接源_02物料!$V33)&lt;&gt;0)),1,0)</f>
        <v>0</v>
      </c>
      <c r="W1233">
        <f>N(W1232)+$V1233</f>
        <v>11</v>
      </c>
      <c r="X1233">
        <f>IF(AND($L1233=1,AND(对接源_02物料!$X33="自备筐",N(对接源_02物料!$T33)&lt;&gt;0)),1,0)</f>
        <v>0</v>
      </c>
      <c r="Y1233">
        <f>N(Y1232)+$X1233</f>
        <v>0</v>
      </c>
      <c r="Z1233">
        <f>IF(AND($M1233=1,对接源_02物料!$D33="原料入库"),1,0)</f>
        <v>0</v>
      </c>
      <c r="AA1233">
        <f>N(AA1232)+$Z1233</f>
        <v>24</v>
      </c>
      <c r="AB1233">
        <f>IF(AND($M1233=1,LEFT(对接源_02物料!$D33,4)="原料出库"),1,0)</f>
        <v>0</v>
      </c>
      <c r="AC1233">
        <f>N(AC1232)+$AB1233</f>
        <v>0</v>
      </c>
      <c r="AD1233">
        <f>IF(AND($M1233=1,LEFT(对接源_02物料!$D33,4)="成品出库"),1,0)</f>
        <v>0</v>
      </c>
      <c r="AE1233">
        <f>N(AE1232)+$AD1233</f>
        <v>0</v>
      </c>
      <c r="AF1233">
        <f>IF(AND($N1233=1,AND(LEFT(对接源_02物料!$D33,4)="包装物料",N(对接源_02物料!$K33)&lt;&gt;0)),1,0)</f>
        <v>0</v>
      </c>
      <c r="AG1233">
        <f>N(AG1232)+$AF1233</f>
        <v>5</v>
      </c>
      <c r="AH1233">
        <f>IF(AND($N1233=1,AND(对接源_02物料!$D33="周转筐－销售出库",N(对接源_02物料!$K33)&lt;&gt;0)),1,0)</f>
        <v>0</v>
      </c>
      <c r="AI1233">
        <f>N(AI1232)+$AH1233</f>
        <v>0</v>
      </c>
      <c r="AL1233" t="n">
        <v>0</v>
      </c>
      <c r="AM1233">
        <f>N(AM1232)+$AL1233</f>
        <v>2</v>
      </c>
      <c r="AN1233">
        <f>""</f>
      </c>
      <c r="AO1233" t="n">
        <v>0</v>
      </c>
      <c r="AP1233">
        <f>N(AP1232)+$AO1233</f>
        <v>13</v>
      </c>
      <c r="AR1233">
        <f>IF(OR($AF1233=1,$AH1233=1),1,0)</f>
        <v>0</v>
      </c>
      <c r="AS1233">
        <f>N(AS1232)+$AR1233</f>
        <v>5</v>
      </c>
    </row>
    <row r="1234" s="127">
      <c r="A1234" t="str">
        <f>IF(对接源_02物料!$C34="","",对接源_02物料!$C34)</f>
        <v>吐尔洪</v>
      </c>
      <c r="B1234">
        <f>IF(A1234="",0,IF(MATCH(A1234,$A$4:$A$2403,0)=ROW()-3,1,0))</f>
        <v>0</v>
      </c>
      <c r="C1234">
        <f>N(C1233)+B1234</f>
        <v>24</v>
      </c>
      <c r="K1234">
        <f>IF(OR($K$1="",对接源_02物料!$C34="",对接源_02物料!$C34&lt;&gt;$K$1,对接源_02物料!$B34=""),0,IF(OR(N(对接源_02物料!$B34)&lt;$K$2,N(对接源_02物料!$B34)&gt;$K$3),0,1))</f>
        <v>0</v>
      </c>
      <c r="L1234">
        <f>IF(OR($L$1="",对接源_02物料!$C34="",对接源_02物料!$C34&lt;&gt;$L$1,对接源_02物料!$B34=""),0,IF(OR(N(对接源_02物料!$B34)&lt;$L$2,N(对接源_02物料!$B34)&gt;$L$3),0,1))</f>
        <v>0</v>
      </c>
      <c r="M1234">
        <f>IF(OR($M$1="",对接源_02物料!$C34="",对接源_02物料!$C34&lt;&gt;$M$1,对接源_02物料!$B34=""),0,IF(OR(N(对接源_02物料!$B34)&lt;$M$2,N(对接源_02物料!$B34)&gt;$M$3),0,1))</f>
        <v>1</v>
      </c>
      <c r="N1234">
        <f>IF(OR($N$1="",对接源_02物料!$C34="",对接源_02物料!$C34&lt;&gt;$N$1,对接源_02物料!$B34=""),0,IF(OR(N(对接源_02物料!$B34)&lt;$N$2,N(对接源_02物料!$B34)&gt;$N$3),0,1))</f>
        <v>0</v>
      </c>
      <c r="P1234">
        <f>IF(AND($K1234=1,AND(对接源_02物料!$X34="公司筐",N(对接源_02物料!$T34)&lt;&gt;0)),1,0)</f>
        <v>0</v>
      </c>
      <c r="Q1234">
        <f>N(Q1233)+$P1234</f>
        <v>0</v>
      </c>
      <c r="R1234">
        <f>IF(AND($K1234=1,AND(对接源_02物料!$X34="公司筐",N(对接源_02物料!$U34)&lt;&gt;0)),1,0)</f>
        <v>0</v>
      </c>
      <c r="S1234">
        <f>N(S1233)+$R1234</f>
        <v>0</v>
      </c>
      <c r="T1234">
        <f>IF(AND($K1234=1,AND(对接源_02物料!$X34="公司筐",N(对接源_02物料!$V34)&lt;&gt;0)),1,0)</f>
        <v>0</v>
      </c>
      <c r="U1234">
        <f>N(U1233)+$T1234</f>
        <v>47</v>
      </c>
      <c r="V1234">
        <f>IF(AND($L1234=1,AND(对接源_02物料!$X34="自备筐",N(对接源_02物料!$V34)&lt;&gt;0)),1,0)</f>
        <v>0</v>
      </c>
      <c r="W1234">
        <f>N(W1233)+$V1234</f>
        <v>11</v>
      </c>
      <c r="X1234">
        <f>IF(AND($L1234=1,AND(对接源_02物料!$X34="自备筐",N(对接源_02物料!$T34)&lt;&gt;0)),1,0)</f>
        <v>0</v>
      </c>
      <c r="Y1234">
        <f>N(Y1233)+$X1234</f>
        <v>0</v>
      </c>
      <c r="Z1234">
        <f>IF(AND($M1234=1,对接源_02物料!$D34="原料入库"),1,0)</f>
        <v>0</v>
      </c>
      <c r="AA1234">
        <f>N(AA1233)+$Z1234</f>
        <v>24</v>
      </c>
      <c r="AB1234">
        <f>IF(AND($M1234=1,LEFT(对接源_02物料!$D34,4)="原料出库"),1,0)</f>
        <v>0</v>
      </c>
      <c r="AC1234">
        <f>N(AC1233)+$AB1234</f>
        <v>0</v>
      </c>
      <c r="AD1234">
        <f>IF(AND($M1234=1,LEFT(对接源_02物料!$D34,4)="成品出库"),1,0)</f>
        <v>0</v>
      </c>
      <c r="AE1234">
        <f>N(AE1233)+$AD1234</f>
        <v>0</v>
      </c>
      <c r="AF1234">
        <f>IF(AND($N1234=1,AND(LEFT(对接源_02物料!$D34,4)="包装物料",N(对接源_02物料!$K34)&lt;&gt;0)),1,0)</f>
        <v>0</v>
      </c>
      <c r="AG1234">
        <f>N(AG1233)+$AF1234</f>
        <v>5</v>
      </c>
      <c r="AH1234">
        <f>IF(AND($N1234=1,AND(对接源_02物料!$D34="周转筐－销售出库",N(对接源_02物料!$K34)&lt;&gt;0)),1,0)</f>
        <v>0</v>
      </c>
      <c r="AI1234">
        <f>N(AI1233)+$AH1234</f>
        <v>0</v>
      </c>
      <c r="AL1234" t="n">
        <v>0</v>
      </c>
      <c r="AM1234">
        <f>N(AM1233)+$AL1234</f>
        <v>2</v>
      </c>
      <c r="AN1234">
        <f>""</f>
      </c>
      <c r="AO1234" t="n">
        <v>0</v>
      </c>
      <c r="AP1234">
        <f>N(AP1233)+$AO1234</f>
        <v>13</v>
      </c>
      <c r="AR1234">
        <f>IF(OR($AF1234=1,$AH1234=1),1,0)</f>
        <v>0</v>
      </c>
      <c r="AS1234">
        <f>N(AS1233)+$AR1234</f>
        <v>5</v>
      </c>
    </row>
    <row r="1235" s="127">
      <c r="A1235" t="str">
        <f>IF(对接源_02物料!$C35="","",对接源_02物料!$C35)</f>
        <v>新顺发泡网</v>
      </c>
      <c r="B1235">
        <f>IF(A1235="",0,IF(MATCH(A1235,$A$4:$A$2403,0)=ROW()-3,1,0))</f>
        <v>0</v>
      </c>
      <c r="C1235">
        <f>N(C1234)+B1235</f>
        <v>24</v>
      </c>
      <c r="K1235">
        <f>IF(OR($K$1="",对接源_02物料!$C35="",对接源_02物料!$C35&lt;&gt;$K$1,对接源_02物料!$B35=""),0,IF(OR(N(对接源_02物料!$B35)&lt;$K$2,N(对接源_02物料!$B35)&gt;$K$3),0,1))</f>
        <v>0</v>
      </c>
      <c r="L1235">
        <f>IF(OR($L$1="",对接源_02物料!$C35="",对接源_02物料!$C35&lt;&gt;$L$1,对接源_02物料!$B35=""),0,IF(OR(N(对接源_02物料!$B35)&lt;$L$2,N(对接源_02物料!$B35)&gt;$L$3),0,1))</f>
        <v>0</v>
      </c>
      <c r="M1235">
        <f>IF(OR($M$1="",对接源_02物料!$C35="",对接源_02物料!$C35&lt;&gt;$M$1,对接源_02物料!$B35=""),0,IF(OR(N(对接源_02物料!$B35)&lt;$M$2,N(对接源_02物料!$B35)&gt;$M$3),0,1))</f>
        <v>0</v>
      </c>
      <c r="N1235">
        <f>IF(OR($N$1="",对接源_02物料!$C35="",对接源_02物料!$C35&lt;&gt;$N$1,对接源_02物料!$B35=""),0,IF(OR(N(对接源_02物料!$B35)&lt;$N$2,N(对接源_02物料!$B35)&gt;$N$3),0,1))</f>
        <v>0</v>
      </c>
      <c r="P1235">
        <f>IF(AND($K1235=1,AND(对接源_02物料!$X35="公司筐",N(对接源_02物料!$T35)&lt;&gt;0)),1,0)</f>
        <v>0</v>
      </c>
      <c r="Q1235">
        <f>N(Q1234)+$P1235</f>
        <v>0</v>
      </c>
      <c r="R1235">
        <f>IF(AND($K1235=1,AND(对接源_02物料!$X35="公司筐",N(对接源_02物料!$U35)&lt;&gt;0)),1,0)</f>
        <v>0</v>
      </c>
      <c r="S1235">
        <f>N(S1234)+$R1235</f>
        <v>0</v>
      </c>
      <c r="T1235">
        <f>IF(AND($K1235=1,AND(对接源_02物料!$X35="公司筐",N(对接源_02物料!$V35)&lt;&gt;0)),1,0)</f>
        <v>0</v>
      </c>
      <c r="U1235">
        <f>N(U1234)+$T1235</f>
        <v>47</v>
      </c>
      <c r="V1235">
        <f>IF(AND($L1235=1,AND(对接源_02物料!$X35="自备筐",N(对接源_02物料!$V35)&lt;&gt;0)),1,0)</f>
        <v>0</v>
      </c>
      <c r="W1235">
        <f>N(W1234)+$V1235</f>
        <v>11</v>
      </c>
      <c r="X1235">
        <f>IF(AND($L1235=1,AND(对接源_02物料!$X35="自备筐",N(对接源_02物料!$T35)&lt;&gt;0)),1,0)</f>
        <v>0</v>
      </c>
      <c r="Y1235">
        <f>N(Y1234)+$X1235</f>
        <v>0</v>
      </c>
      <c r="Z1235">
        <f>IF(AND($M1235=1,对接源_02物料!$D35="原料入库"),1,0)</f>
        <v>0</v>
      </c>
      <c r="AA1235">
        <f>N(AA1234)+$Z1235</f>
        <v>24</v>
      </c>
      <c r="AB1235">
        <f>IF(AND($M1235=1,LEFT(对接源_02物料!$D35,4)="原料出库"),1,0)</f>
        <v>0</v>
      </c>
      <c r="AC1235">
        <f>N(AC1234)+$AB1235</f>
        <v>0</v>
      </c>
      <c r="AD1235">
        <f>IF(AND($M1235=1,LEFT(对接源_02物料!$D35,4)="成品出库"),1,0)</f>
        <v>0</v>
      </c>
      <c r="AE1235">
        <f>N(AE1234)+$AD1235</f>
        <v>0</v>
      </c>
      <c r="AF1235">
        <f>IF(AND($N1235=1,AND(LEFT(对接源_02物料!$D35,4)="包装物料",N(对接源_02物料!$K35)&lt;&gt;0)),1,0)</f>
        <v>0</v>
      </c>
      <c r="AG1235">
        <f>N(AG1234)+$AF1235</f>
        <v>5</v>
      </c>
      <c r="AH1235">
        <f>IF(AND($N1235=1,AND(对接源_02物料!$D35="周转筐－销售出库",N(对接源_02物料!$K35)&lt;&gt;0)),1,0)</f>
        <v>0</v>
      </c>
      <c r="AI1235">
        <f>N(AI1234)+$AH1235</f>
        <v>0</v>
      </c>
      <c r="AL1235" t="n">
        <v>0</v>
      </c>
      <c r="AM1235">
        <f>N(AM1234)+$AL1235</f>
        <v>2</v>
      </c>
      <c r="AN1235">
        <f>""</f>
      </c>
      <c r="AO1235" t="n">
        <v>0</v>
      </c>
      <c r="AP1235">
        <f>N(AP1234)+$AO1235</f>
        <v>13</v>
      </c>
      <c r="AR1235">
        <f>IF(OR($AF1235=1,$AH1235=1),1,0)</f>
        <v>0</v>
      </c>
      <c r="AS1235">
        <f>N(AS1234)+$AR1235</f>
        <v>5</v>
      </c>
    </row>
    <row r="1236" s="127">
      <c r="A1236" t="str">
        <f>IF(对接源_02物料!$C36="","",对接源_02物料!$C36)</f>
        <v>麦麦提</v>
      </c>
      <c r="B1236">
        <f>IF(A1236="",0,IF(MATCH(A1236,$A$4:$A$2403,0)=ROW()-3,1,0))</f>
        <v>0</v>
      </c>
      <c r="C1236">
        <f>N(C1235)+B1236</f>
        <v>24</v>
      </c>
      <c r="K1236">
        <f>IF(OR($K$1="",对接源_02物料!$C36="",对接源_02物料!$C36&lt;&gt;$K$1,对接源_02物料!$B36=""),0,IF(OR(N(对接源_02物料!$B36)&lt;$K$2,N(对接源_02物料!$B36)&gt;$K$3),0,1))</f>
        <v>0</v>
      </c>
      <c r="L1236">
        <f>IF(OR($L$1="",对接源_02物料!$C36="",对接源_02物料!$C36&lt;&gt;$L$1,对接源_02物料!$B36=""),0,IF(OR(N(对接源_02物料!$B36)&lt;$L$2,N(对接源_02物料!$B36)&gt;$L$3),0,1))</f>
        <v>0</v>
      </c>
      <c r="M1236">
        <f>IF(OR($M$1="",对接源_02物料!$C36="",对接源_02物料!$C36&lt;&gt;$M$1,对接源_02物料!$B36=""),0,IF(OR(N(对接源_02物料!$B36)&lt;$M$2,N(对接源_02物料!$B36)&gt;$M$3),0,1))</f>
        <v>0</v>
      </c>
      <c r="N1236">
        <f>IF(OR($N$1="",对接源_02物料!$C36="",对接源_02物料!$C36&lt;&gt;$N$1,对接源_02物料!$B36=""),0,IF(OR(N(对接源_02物料!$B36)&lt;$N$2,N(对接源_02物料!$B36)&gt;$N$3),0,1))</f>
        <v>1</v>
      </c>
      <c r="P1236">
        <f>IF(AND($K1236=1,AND(对接源_02物料!$X36="公司筐",N(对接源_02物料!$T36)&lt;&gt;0)),1,0)</f>
        <v>0</v>
      </c>
      <c r="Q1236">
        <f>N(Q1235)+$P1236</f>
        <v>0</v>
      </c>
      <c r="R1236">
        <f>IF(AND($K1236=1,AND(对接源_02物料!$X36="公司筐",N(对接源_02物料!$U36)&lt;&gt;0)),1,0)</f>
        <v>0</v>
      </c>
      <c r="S1236">
        <f>N(S1235)+$R1236</f>
        <v>0</v>
      </c>
      <c r="T1236">
        <f>IF(AND($K1236=1,AND(对接源_02物料!$X36="公司筐",N(对接源_02物料!$V36)&lt;&gt;0)),1,0)</f>
        <v>0</v>
      </c>
      <c r="U1236">
        <f>N(U1235)+$T1236</f>
        <v>47</v>
      </c>
      <c r="V1236">
        <f>IF(AND($L1236=1,AND(对接源_02物料!$X36="自备筐",N(对接源_02物料!$V36)&lt;&gt;0)),1,0)</f>
        <v>0</v>
      </c>
      <c r="W1236">
        <f>N(W1235)+$V1236</f>
        <v>11</v>
      </c>
      <c r="X1236">
        <f>IF(AND($L1236=1,AND(对接源_02物料!$X36="自备筐",N(对接源_02物料!$T36)&lt;&gt;0)),1,0)</f>
        <v>0</v>
      </c>
      <c r="Y1236">
        <f>N(Y1235)+$X1236</f>
        <v>0</v>
      </c>
      <c r="Z1236">
        <f>IF(AND($M1236=1,对接源_02物料!$D36="原料入库"),1,0)</f>
        <v>0</v>
      </c>
      <c r="AA1236">
        <f>N(AA1235)+$Z1236</f>
        <v>24</v>
      </c>
      <c r="AB1236">
        <f>IF(AND($M1236=1,LEFT(对接源_02物料!$D36,4)="原料出库"),1,0)</f>
        <v>0</v>
      </c>
      <c r="AC1236">
        <f>N(AC1235)+$AB1236</f>
        <v>0</v>
      </c>
      <c r="AD1236">
        <f>IF(AND($M1236=1,LEFT(对接源_02物料!$D36,4)="成品出库"),1,0)</f>
        <v>0</v>
      </c>
      <c r="AE1236">
        <f>N(AE1235)+$AD1236</f>
        <v>0</v>
      </c>
      <c r="AF1236">
        <f>IF(AND($N1236=1,AND(LEFT(对接源_02物料!$D36,4)="包装物料",N(对接源_02物料!$K36)&lt;&gt;0)),1,0)</f>
        <v>1</v>
      </c>
      <c r="AG1236">
        <f>N(AG1235)+$AF1236</f>
        <v>6</v>
      </c>
      <c r="AH1236">
        <f>IF(AND($N1236=1,AND(对接源_02物料!$D36="周转筐－销售出库",N(对接源_02物料!$K36)&lt;&gt;0)),1,0)</f>
        <v>0</v>
      </c>
      <c r="AI1236">
        <f>N(AI1235)+$AH1236</f>
        <v>0</v>
      </c>
      <c r="AL1236" t="n">
        <v>0</v>
      </c>
      <c r="AM1236">
        <f>N(AM1235)+$AL1236</f>
        <v>2</v>
      </c>
      <c r="AN1236">
        <f>""</f>
      </c>
      <c r="AO1236" t="n">
        <v>0</v>
      </c>
      <c r="AP1236">
        <f>N(AP1235)+$AO1236</f>
        <v>13</v>
      </c>
      <c r="AR1236">
        <f>IF(OR($AF1236=1,$AH1236=1),1,0)</f>
        <v>1</v>
      </c>
      <c r="AS1236">
        <f>N(AS1235)+$AR1236</f>
        <v>6</v>
      </c>
    </row>
    <row r="1237" s="127">
      <c r="A1237" t="str">
        <f>IF(对接源_02物料!$C37="","",对接源_02物料!$C37)</f>
        <v>荆建君</v>
      </c>
      <c r="B1237">
        <f>IF(A1237="",0,IF(MATCH(A1237,$A$4:$A$2403,0)=ROW()-3,1,0))</f>
        <v>0</v>
      </c>
      <c r="C1237">
        <f>N(C1236)+B1237</f>
        <v>24</v>
      </c>
      <c r="K1237">
        <f>IF(OR($K$1="",对接源_02物料!$C37="",对接源_02物料!$C37&lt;&gt;$K$1,对接源_02物料!$B37=""),0,IF(OR(N(对接源_02物料!$B37)&lt;$K$2,N(对接源_02物料!$B37)&gt;$K$3),0,1))</f>
        <v>0</v>
      </c>
      <c r="L1237">
        <f>IF(OR($L$1="",对接源_02物料!$C37="",对接源_02物料!$C37&lt;&gt;$L$1,对接源_02物料!$B37=""),0,IF(OR(N(对接源_02物料!$B37)&lt;$L$2,N(对接源_02物料!$B37)&gt;$L$3),0,1))</f>
        <v>0</v>
      </c>
      <c r="M1237">
        <f>IF(OR($M$1="",对接源_02物料!$C37="",对接源_02物料!$C37&lt;&gt;$M$1,对接源_02物料!$B37=""),0,IF(OR(N(对接源_02物料!$B37)&lt;$M$2,N(对接源_02物料!$B37)&gt;$M$3),0,1))</f>
        <v>0</v>
      </c>
      <c r="N1237">
        <f>IF(OR($N$1="",对接源_02物料!$C37="",对接源_02物料!$C37&lt;&gt;$N$1,对接源_02物料!$B37=""),0,IF(OR(N(对接源_02物料!$B37)&lt;$N$2,N(对接源_02物料!$B37)&gt;$N$3),0,1))</f>
        <v>0</v>
      </c>
      <c r="P1237">
        <f>IF(AND($K1237=1,AND(对接源_02物料!$X37="公司筐",N(对接源_02物料!$T37)&lt;&gt;0)),1,0)</f>
        <v>0</v>
      </c>
      <c r="Q1237">
        <f>N(Q1236)+$P1237</f>
        <v>0</v>
      </c>
      <c r="R1237">
        <f>IF(AND($K1237=1,AND(对接源_02物料!$X37="公司筐",N(对接源_02物料!$U37)&lt;&gt;0)),1,0)</f>
        <v>0</v>
      </c>
      <c r="S1237">
        <f>N(S1236)+$R1237</f>
        <v>0</v>
      </c>
      <c r="T1237">
        <f>IF(AND($K1237=1,AND(对接源_02物料!$X37="公司筐",N(对接源_02物料!$V37)&lt;&gt;0)),1,0)</f>
        <v>0</v>
      </c>
      <c r="U1237">
        <f>N(U1236)+$T1237</f>
        <v>47</v>
      </c>
      <c r="V1237">
        <f>IF(AND($L1237=1,AND(对接源_02物料!$X37="自备筐",N(对接源_02物料!$V37)&lt;&gt;0)),1,0)</f>
        <v>0</v>
      </c>
      <c r="W1237">
        <f>N(W1236)+$V1237</f>
        <v>11</v>
      </c>
      <c r="X1237">
        <f>IF(AND($L1237=1,AND(对接源_02物料!$X37="自备筐",N(对接源_02物料!$T37)&lt;&gt;0)),1,0)</f>
        <v>0</v>
      </c>
      <c r="Y1237">
        <f>N(Y1236)+$X1237</f>
        <v>0</v>
      </c>
      <c r="Z1237">
        <f>IF(AND($M1237=1,对接源_02物料!$D37="原料入库"),1,0)</f>
        <v>0</v>
      </c>
      <c r="AA1237">
        <f>N(AA1236)+$Z1237</f>
        <v>24</v>
      </c>
      <c r="AB1237">
        <f>IF(AND($M1237=1,LEFT(对接源_02物料!$D37,4)="原料出库"),1,0)</f>
        <v>0</v>
      </c>
      <c r="AC1237">
        <f>N(AC1236)+$AB1237</f>
        <v>0</v>
      </c>
      <c r="AD1237">
        <f>IF(AND($M1237=1,LEFT(对接源_02物料!$D37,4)="成品出库"),1,0)</f>
        <v>0</v>
      </c>
      <c r="AE1237">
        <f>N(AE1236)+$AD1237</f>
        <v>0</v>
      </c>
      <c r="AF1237">
        <f>IF(AND($N1237=1,AND(LEFT(对接源_02物料!$D37,4)="包装物料",N(对接源_02物料!$K37)&lt;&gt;0)),1,0)</f>
        <v>0</v>
      </c>
      <c r="AG1237">
        <f>N(AG1236)+$AF1237</f>
        <v>6</v>
      </c>
      <c r="AH1237">
        <f>IF(AND($N1237=1,AND(对接源_02物料!$D37="周转筐－销售出库",N(对接源_02物料!$K37)&lt;&gt;0)),1,0)</f>
        <v>0</v>
      </c>
      <c r="AI1237">
        <f>N(AI1236)+$AH1237</f>
        <v>0</v>
      </c>
      <c r="AL1237" t="n">
        <v>0</v>
      </c>
      <c r="AM1237">
        <f>N(AM1236)+$AL1237</f>
        <v>2</v>
      </c>
      <c r="AN1237">
        <f>""</f>
      </c>
      <c r="AO1237" t="n">
        <v>0</v>
      </c>
      <c r="AP1237">
        <f>N(AP1236)+$AO1237</f>
        <v>13</v>
      </c>
      <c r="AR1237">
        <f>IF(OR($AF1237=1,$AH1237=1),1,0)</f>
        <v>0</v>
      </c>
      <c r="AS1237">
        <f>N(AS1236)+$AR1237</f>
        <v>6</v>
      </c>
    </row>
    <row r="1238" s="127">
      <c r="A1238" t="str">
        <f>IF(对接源_02物料!$C38="","",对接源_02物料!$C38)</f>
        <v>吐尔洪</v>
      </c>
      <c r="B1238">
        <f>IF(A1238="",0,IF(MATCH(A1238,$A$4:$A$2403,0)=ROW()-3,1,0))</f>
        <v>0</v>
      </c>
      <c r="C1238">
        <f>N(C1237)+B1238</f>
        <v>24</v>
      </c>
      <c r="K1238">
        <f>IF(OR($K$1="",对接源_02物料!$C38="",对接源_02物料!$C38&lt;&gt;$K$1,对接源_02物料!$B38=""),0,IF(OR(N(对接源_02物料!$B38)&lt;$K$2,N(对接源_02物料!$B38)&gt;$K$3),0,1))</f>
        <v>0</v>
      </c>
      <c r="L1238">
        <f>IF(OR($L$1="",对接源_02物料!$C38="",对接源_02物料!$C38&lt;&gt;$L$1,对接源_02物料!$B38=""),0,IF(OR(N(对接源_02物料!$B38)&lt;$L$2,N(对接源_02物料!$B38)&gt;$L$3),0,1))</f>
        <v>0</v>
      </c>
      <c r="M1238">
        <f>IF(OR($M$1="",对接源_02物料!$C38="",对接源_02物料!$C38&lt;&gt;$M$1,对接源_02物料!$B38=""),0,IF(OR(N(对接源_02物料!$B38)&lt;$M$2,N(对接源_02物料!$B38)&gt;$M$3),0,1))</f>
        <v>1</v>
      </c>
      <c r="N1238">
        <f>IF(OR($N$1="",对接源_02物料!$C38="",对接源_02物料!$C38&lt;&gt;$N$1,对接源_02物料!$B38=""),0,IF(OR(N(对接源_02物料!$B38)&lt;$N$2,N(对接源_02物料!$B38)&gt;$N$3),0,1))</f>
        <v>0</v>
      </c>
      <c r="P1238">
        <f>IF(AND($K1238=1,AND(对接源_02物料!$X38="公司筐",N(对接源_02物料!$T38)&lt;&gt;0)),1,0)</f>
        <v>0</v>
      </c>
      <c r="Q1238">
        <f>N(Q1237)+$P1238</f>
        <v>0</v>
      </c>
      <c r="R1238">
        <f>IF(AND($K1238=1,AND(对接源_02物料!$X38="公司筐",N(对接源_02物料!$U38)&lt;&gt;0)),1,0)</f>
        <v>0</v>
      </c>
      <c r="S1238">
        <f>N(S1237)+$R1238</f>
        <v>0</v>
      </c>
      <c r="T1238">
        <f>IF(AND($K1238=1,AND(对接源_02物料!$X38="公司筐",N(对接源_02物料!$V38)&lt;&gt;0)),1,0)</f>
        <v>0</v>
      </c>
      <c r="U1238">
        <f>N(U1237)+$T1238</f>
        <v>47</v>
      </c>
      <c r="V1238">
        <f>IF(AND($L1238=1,AND(对接源_02物料!$X38="自备筐",N(对接源_02物料!$V38)&lt;&gt;0)),1,0)</f>
        <v>0</v>
      </c>
      <c r="W1238">
        <f>N(W1237)+$V1238</f>
        <v>11</v>
      </c>
      <c r="X1238">
        <f>IF(AND($L1238=1,AND(对接源_02物料!$X38="自备筐",N(对接源_02物料!$T38)&lt;&gt;0)),1,0)</f>
        <v>0</v>
      </c>
      <c r="Y1238">
        <f>N(Y1237)+$X1238</f>
        <v>0</v>
      </c>
      <c r="Z1238">
        <f>IF(AND($M1238=1,对接源_02物料!$D38="原料入库"),1,0)</f>
        <v>0</v>
      </c>
      <c r="AA1238">
        <f>N(AA1237)+$Z1238</f>
        <v>24</v>
      </c>
      <c r="AB1238">
        <f>IF(AND($M1238=1,LEFT(对接源_02物料!$D38,4)="原料出库"),1,0)</f>
        <v>0</v>
      </c>
      <c r="AC1238">
        <f>N(AC1237)+$AB1238</f>
        <v>0</v>
      </c>
      <c r="AD1238">
        <f>IF(AND($M1238=1,LEFT(对接源_02物料!$D38,4)="成品出库"),1,0)</f>
        <v>0</v>
      </c>
      <c r="AE1238">
        <f>N(AE1237)+$AD1238</f>
        <v>0</v>
      </c>
      <c r="AF1238">
        <f>IF(AND($N1238=1,AND(LEFT(对接源_02物料!$D38,4)="包装物料",N(对接源_02物料!$K38)&lt;&gt;0)),1,0)</f>
        <v>0</v>
      </c>
      <c r="AG1238">
        <f>N(AG1237)+$AF1238</f>
        <v>6</v>
      </c>
      <c r="AH1238">
        <f>IF(AND($N1238=1,AND(对接源_02物料!$D38="周转筐－销售出库",N(对接源_02物料!$K38)&lt;&gt;0)),1,0)</f>
        <v>0</v>
      </c>
      <c r="AI1238">
        <f>N(AI1237)+$AH1238</f>
        <v>0</v>
      </c>
      <c r="AL1238" t="n">
        <v>0</v>
      </c>
      <c r="AM1238">
        <f>N(AM1237)+$AL1238</f>
        <v>2</v>
      </c>
      <c r="AN1238">
        <f>""</f>
      </c>
      <c r="AO1238" t="n">
        <v>0</v>
      </c>
      <c r="AP1238">
        <f>N(AP1237)+$AO1238</f>
        <v>13</v>
      </c>
      <c r="AR1238">
        <f>IF(OR($AF1238=1,$AH1238=1),1,0)</f>
        <v>0</v>
      </c>
      <c r="AS1238">
        <f>N(AS1237)+$AR1238</f>
        <v>6</v>
      </c>
    </row>
    <row r="1239" s="127">
      <c r="A1239" t="str">
        <f>IF(对接源_02物料!$C39="","",对接源_02物料!$C39)</f>
        <v>努尔敦</v>
      </c>
      <c r="B1239">
        <f>IF(A1239="",0,IF(MATCH(A1239,$A$4:$A$2403,0)=ROW()-3,1,0))</f>
        <v>0</v>
      </c>
      <c r="C1239">
        <f>N(C1238)+B1239</f>
        <v>24</v>
      </c>
      <c r="K1239">
        <f>IF(OR($K$1="",对接源_02物料!$C39="",对接源_02物料!$C39&lt;&gt;$K$1,对接源_02物料!$B39=""),0,IF(OR(N(对接源_02物料!$B39)&lt;$K$2,N(对接源_02物料!$B39)&gt;$K$3),0,1))</f>
        <v>0</v>
      </c>
      <c r="L1239">
        <f>IF(OR($L$1="",对接源_02物料!$C39="",对接源_02物料!$C39&lt;&gt;$L$1,对接源_02物料!$B39=""),0,IF(OR(N(对接源_02物料!$B39)&lt;$L$2,N(对接源_02物料!$B39)&gt;$L$3),0,1))</f>
        <v>0</v>
      </c>
      <c r="M1239">
        <f>IF(OR($M$1="",对接源_02物料!$C39="",对接源_02物料!$C39&lt;&gt;$M$1,对接源_02物料!$B39=""),0,IF(OR(N(对接源_02物料!$B39)&lt;$M$2,N(对接源_02物料!$B39)&gt;$M$3),0,1))</f>
        <v>0</v>
      </c>
      <c r="N1239">
        <f>IF(OR($N$1="",对接源_02物料!$C39="",对接源_02物料!$C39&lt;&gt;$N$1,对接源_02物料!$B39=""),0,IF(OR(N(对接源_02物料!$B39)&lt;$N$2,N(对接源_02物料!$B39)&gt;$N$3),0,1))</f>
        <v>0</v>
      </c>
      <c r="P1239">
        <f>IF(AND($K1239=1,AND(对接源_02物料!$X39="公司筐",N(对接源_02物料!$T39)&lt;&gt;0)),1,0)</f>
        <v>0</v>
      </c>
      <c r="Q1239">
        <f>N(Q1238)+$P1239</f>
        <v>0</v>
      </c>
      <c r="R1239">
        <f>IF(AND($K1239=1,AND(对接源_02物料!$X39="公司筐",N(对接源_02物料!$U39)&lt;&gt;0)),1,0)</f>
        <v>0</v>
      </c>
      <c r="S1239">
        <f>N(S1238)+$R1239</f>
        <v>0</v>
      </c>
      <c r="T1239">
        <f>IF(AND($K1239=1,AND(对接源_02物料!$X39="公司筐",N(对接源_02物料!$V39)&lt;&gt;0)),1,0)</f>
        <v>0</v>
      </c>
      <c r="U1239">
        <f>N(U1238)+$T1239</f>
        <v>47</v>
      </c>
      <c r="V1239">
        <f>IF(AND($L1239=1,AND(对接源_02物料!$X39="自备筐",N(对接源_02物料!$V39)&lt;&gt;0)),1,0)</f>
        <v>0</v>
      </c>
      <c r="W1239">
        <f>N(W1238)+$V1239</f>
        <v>11</v>
      </c>
      <c r="X1239">
        <f>IF(AND($L1239=1,AND(对接源_02物料!$X39="自备筐",N(对接源_02物料!$T39)&lt;&gt;0)),1,0)</f>
        <v>0</v>
      </c>
      <c r="Y1239">
        <f>N(Y1238)+$X1239</f>
        <v>0</v>
      </c>
      <c r="Z1239">
        <f>IF(AND($M1239=1,对接源_02物料!$D39="原料入库"),1,0)</f>
        <v>0</v>
      </c>
      <c r="AA1239">
        <f>N(AA1238)+$Z1239</f>
        <v>24</v>
      </c>
      <c r="AB1239">
        <f>IF(AND($M1239=1,LEFT(对接源_02物料!$D39,4)="原料出库"),1,0)</f>
        <v>0</v>
      </c>
      <c r="AC1239">
        <f>N(AC1238)+$AB1239</f>
        <v>0</v>
      </c>
      <c r="AD1239">
        <f>IF(AND($M1239=1,LEFT(对接源_02物料!$D39,4)="成品出库"),1,0)</f>
        <v>0</v>
      </c>
      <c r="AE1239">
        <f>N(AE1238)+$AD1239</f>
        <v>0</v>
      </c>
      <c r="AF1239">
        <f>IF(AND($N1239=1,AND(LEFT(对接源_02物料!$D39,4)="包装物料",N(对接源_02物料!$K39)&lt;&gt;0)),1,0)</f>
        <v>0</v>
      </c>
      <c r="AG1239">
        <f>N(AG1238)+$AF1239</f>
        <v>6</v>
      </c>
      <c r="AH1239">
        <f>IF(AND($N1239=1,AND(对接源_02物料!$D39="周转筐－销售出库",N(对接源_02物料!$K39)&lt;&gt;0)),1,0)</f>
        <v>0</v>
      </c>
      <c r="AI1239">
        <f>N(AI1238)+$AH1239</f>
        <v>0</v>
      </c>
      <c r="AL1239" t="n">
        <v>0</v>
      </c>
      <c r="AM1239">
        <f>N(AM1238)+$AL1239</f>
        <v>2</v>
      </c>
      <c r="AN1239">
        <f>""</f>
      </c>
      <c r="AO1239" t="n">
        <v>0</v>
      </c>
      <c r="AP1239">
        <f>N(AP1238)+$AO1239</f>
        <v>13</v>
      </c>
      <c r="AR1239">
        <f>IF(OR($AF1239=1,$AH1239=1),1,0)</f>
        <v>0</v>
      </c>
      <c r="AS1239">
        <f>N(AS1238)+$AR1239</f>
        <v>6</v>
      </c>
    </row>
    <row r="1240" s="127">
      <c r="A1240" t="str">
        <f>IF(对接源_02物料!$C40="","",对接源_02物料!$C40)</f>
        <v>新顺发泡网</v>
      </c>
      <c r="B1240">
        <f>IF(A1240="",0,IF(MATCH(A1240,$A$4:$A$2403,0)=ROW()-3,1,0))</f>
        <v>0</v>
      </c>
      <c r="C1240">
        <f>N(C1239)+B1240</f>
        <v>24</v>
      </c>
      <c r="K1240">
        <f>IF(OR($K$1="",对接源_02物料!$C40="",对接源_02物料!$C40&lt;&gt;$K$1,对接源_02物料!$B40=""),0,IF(OR(N(对接源_02物料!$B40)&lt;$K$2,N(对接源_02物料!$B40)&gt;$K$3),0,1))</f>
        <v>0</v>
      </c>
      <c r="L1240">
        <f>IF(OR($L$1="",对接源_02物料!$C40="",对接源_02物料!$C40&lt;&gt;$L$1,对接源_02物料!$B40=""),0,IF(OR(N(对接源_02物料!$B40)&lt;$L$2,N(对接源_02物料!$B40)&gt;$L$3),0,1))</f>
        <v>0</v>
      </c>
      <c r="M1240">
        <f>IF(OR($M$1="",对接源_02物料!$C40="",对接源_02物料!$C40&lt;&gt;$M$1,对接源_02物料!$B40=""),0,IF(OR(N(对接源_02物料!$B40)&lt;$M$2,N(对接源_02物料!$B40)&gt;$M$3),0,1))</f>
        <v>0</v>
      </c>
      <c r="N1240">
        <f>IF(OR($N$1="",对接源_02物料!$C40="",对接源_02物料!$C40&lt;&gt;$N$1,对接源_02物料!$B40=""),0,IF(OR(N(对接源_02物料!$B40)&lt;$N$2,N(对接源_02物料!$B40)&gt;$N$3),0,1))</f>
        <v>0</v>
      </c>
      <c r="P1240">
        <f>IF(AND($K1240=1,AND(对接源_02物料!$X40="公司筐",N(对接源_02物料!$T40)&lt;&gt;0)),1,0)</f>
        <v>0</v>
      </c>
      <c r="Q1240">
        <f>N(Q1239)+$P1240</f>
        <v>0</v>
      </c>
      <c r="R1240">
        <f>IF(AND($K1240=1,AND(对接源_02物料!$X40="公司筐",N(对接源_02物料!$U40)&lt;&gt;0)),1,0)</f>
        <v>0</v>
      </c>
      <c r="S1240">
        <f>N(S1239)+$R1240</f>
        <v>0</v>
      </c>
      <c r="T1240">
        <f>IF(AND($K1240=1,AND(对接源_02物料!$X40="公司筐",N(对接源_02物料!$V40)&lt;&gt;0)),1,0)</f>
        <v>0</v>
      </c>
      <c r="U1240">
        <f>N(U1239)+$T1240</f>
        <v>47</v>
      </c>
      <c r="V1240">
        <f>IF(AND($L1240=1,AND(对接源_02物料!$X40="自备筐",N(对接源_02物料!$V40)&lt;&gt;0)),1,0)</f>
        <v>0</v>
      </c>
      <c r="W1240">
        <f>N(W1239)+$V1240</f>
        <v>11</v>
      </c>
      <c r="X1240">
        <f>IF(AND($L1240=1,AND(对接源_02物料!$X40="自备筐",N(对接源_02物料!$T40)&lt;&gt;0)),1,0)</f>
        <v>0</v>
      </c>
      <c r="Y1240">
        <f>N(Y1239)+$X1240</f>
        <v>0</v>
      </c>
      <c r="Z1240">
        <f>IF(AND($M1240=1,对接源_02物料!$D40="原料入库"),1,0)</f>
        <v>0</v>
      </c>
      <c r="AA1240">
        <f>N(AA1239)+$Z1240</f>
        <v>24</v>
      </c>
      <c r="AB1240">
        <f>IF(AND($M1240=1,LEFT(对接源_02物料!$D40,4)="原料出库"),1,0)</f>
        <v>0</v>
      </c>
      <c r="AC1240">
        <f>N(AC1239)+$AB1240</f>
        <v>0</v>
      </c>
      <c r="AD1240">
        <f>IF(AND($M1240=1,LEFT(对接源_02物料!$D40,4)="成品出库"),1,0)</f>
        <v>0</v>
      </c>
      <c r="AE1240">
        <f>N(AE1239)+$AD1240</f>
        <v>0</v>
      </c>
      <c r="AF1240">
        <f>IF(AND($N1240=1,AND(LEFT(对接源_02物料!$D40,4)="包装物料",N(对接源_02物料!$K40)&lt;&gt;0)),1,0)</f>
        <v>0</v>
      </c>
      <c r="AG1240">
        <f>N(AG1239)+$AF1240</f>
        <v>6</v>
      </c>
      <c r="AH1240">
        <f>IF(AND($N1240=1,AND(对接源_02物料!$D40="周转筐－销售出库",N(对接源_02物料!$K40)&lt;&gt;0)),1,0)</f>
        <v>0</v>
      </c>
      <c r="AI1240">
        <f>N(AI1239)+$AH1240</f>
        <v>0</v>
      </c>
      <c r="AL1240" t="n">
        <v>0</v>
      </c>
      <c r="AM1240">
        <f>N(AM1239)+$AL1240</f>
        <v>2</v>
      </c>
      <c r="AN1240">
        <f>""</f>
      </c>
      <c r="AO1240" t="n">
        <v>0</v>
      </c>
      <c r="AP1240">
        <f>N(AP1239)+$AO1240</f>
        <v>13</v>
      </c>
      <c r="AR1240">
        <f>IF(OR($AF1240=1,$AH1240=1),1,0)</f>
        <v>0</v>
      </c>
      <c r="AS1240">
        <f>N(AS1239)+$AR1240</f>
        <v>6</v>
      </c>
    </row>
    <row r="1241" s="127">
      <c r="A1241" t="str">
        <f>IF(对接源_02物料!$C41="","",对接源_02物料!$C41)</f>
        <v>新顺发泡网</v>
      </c>
      <c r="B1241">
        <f>IF(A1241="",0,IF(MATCH(A1241,$A$4:$A$2403,0)=ROW()-3,1,0))</f>
        <v>0</v>
      </c>
      <c r="C1241">
        <f>N(C1240)+B1241</f>
        <v>24</v>
      </c>
      <c r="K1241">
        <f>IF(OR($K$1="",对接源_02物料!$C41="",对接源_02物料!$C41&lt;&gt;$K$1,对接源_02物料!$B41=""),0,IF(OR(N(对接源_02物料!$B41)&lt;$K$2,N(对接源_02物料!$B41)&gt;$K$3),0,1))</f>
        <v>0</v>
      </c>
      <c r="L1241">
        <f>IF(OR($L$1="",对接源_02物料!$C41="",对接源_02物料!$C41&lt;&gt;$L$1,对接源_02物料!$B41=""),0,IF(OR(N(对接源_02物料!$B41)&lt;$L$2,N(对接源_02物料!$B41)&gt;$L$3),0,1))</f>
        <v>0</v>
      </c>
      <c r="M1241">
        <f>IF(OR($M$1="",对接源_02物料!$C41="",对接源_02物料!$C41&lt;&gt;$M$1,对接源_02物料!$B41=""),0,IF(OR(N(对接源_02物料!$B41)&lt;$M$2,N(对接源_02物料!$B41)&gt;$M$3),0,1))</f>
        <v>0</v>
      </c>
      <c r="N1241">
        <f>IF(OR($N$1="",对接源_02物料!$C41="",对接源_02物料!$C41&lt;&gt;$N$1,对接源_02物料!$B41=""),0,IF(OR(N(对接源_02物料!$B41)&lt;$N$2,N(对接源_02物料!$B41)&gt;$N$3),0,1))</f>
        <v>0</v>
      </c>
      <c r="P1241">
        <f>IF(AND($K1241=1,AND(对接源_02物料!$X41="公司筐",N(对接源_02物料!$T41)&lt;&gt;0)),1,0)</f>
        <v>0</v>
      </c>
      <c r="Q1241">
        <f>N(Q1240)+$P1241</f>
        <v>0</v>
      </c>
      <c r="R1241">
        <f>IF(AND($K1241=1,AND(对接源_02物料!$X41="公司筐",N(对接源_02物料!$U41)&lt;&gt;0)),1,0)</f>
        <v>0</v>
      </c>
      <c r="S1241">
        <f>N(S1240)+$R1241</f>
        <v>0</v>
      </c>
      <c r="T1241">
        <f>IF(AND($K1241=1,AND(对接源_02物料!$X41="公司筐",N(对接源_02物料!$V41)&lt;&gt;0)),1,0)</f>
        <v>0</v>
      </c>
      <c r="U1241">
        <f>N(U1240)+$T1241</f>
        <v>47</v>
      </c>
      <c r="V1241">
        <f>IF(AND($L1241=1,AND(对接源_02物料!$X41="自备筐",N(对接源_02物料!$V41)&lt;&gt;0)),1,0)</f>
        <v>0</v>
      </c>
      <c r="W1241">
        <f>N(W1240)+$V1241</f>
        <v>11</v>
      </c>
      <c r="X1241">
        <f>IF(AND($L1241=1,AND(对接源_02物料!$X41="自备筐",N(对接源_02物料!$T41)&lt;&gt;0)),1,0)</f>
        <v>0</v>
      </c>
      <c r="Y1241">
        <f>N(Y1240)+$X1241</f>
        <v>0</v>
      </c>
      <c r="Z1241">
        <f>IF(AND($M1241=1,对接源_02物料!$D41="原料入库"),1,0)</f>
        <v>0</v>
      </c>
      <c r="AA1241">
        <f>N(AA1240)+$Z1241</f>
        <v>24</v>
      </c>
      <c r="AB1241">
        <f>IF(AND($M1241=1,LEFT(对接源_02物料!$D41,4)="原料出库"),1,0)</f>
        <v>0</v>
      </c>
      <c r="AC1241">
        <f>N(AC1240)+$AB1241</f>
        <v>0</v>
      </c>
      <c r="AD1241">
        <f>IF(AND($M1241=1,LEFT(对接源_02物料!$D41,4)="成品出库"),1,0)</f>
        <v>0</v>
      </c>
      <c r="AE1241">
        <f>N(AE1240)+$AD1241</f>
        <v>0</v>
      </c>
      <c r="AF1241">
        <f>IF(AND($N1241=1,AND(LEFT(对接源_02物料!$D41,4)="包装物料",N(对接源_02物料!$K41)&lt;&gt;0)),1,0)</f>
        <v>0</v>
      </c>
      <c r="AG1241">
        <f>N(AG1240)+$AF1241</f>
        <v>6</v>
      </c>
      <c r="AH1241">
        <f>IF(AND($N1241=1,AND(对接源_02物料!$D41="周转筐－销售出库",N(对接源_02物料!$K41)&lt;&gt;0)),1,0)</f>
        <v>0</v>
      </c>
      <c r="AI1241">
        <f>N(AI1240)+$AH1241</f>
        <v>0</v>
      </c>
      <c r="AL1241" t="n">
        <v>0</v>
      </c>
      <c r="AM1241">
        <f>N(AM1240)+$AL1241</f>
        <v>2</v>
      </c>
      <c r="AN1241">
        <f>""</f>
      </c>
      <c r="AO1241" t="n">
        <v>0</v>
      </c>
      <c r="AP1241">
        <f>N(AP1240)+$AO1241</f>
        <v>13</v>
      </c>
      <c r="AR1241">
        <f>IF(OR($AF1241=1,$AH1241=1),1,0)</f>
        <v>0</v>
      </c>
      <c r="AS1241">
        <f>N(AS1240)+$AR1241</f>
        <v>6</v>
      </c>
    </row>
    <row r="1242" s="127">
      <c r="A1242" t="str">
        <f>IF(对接源_02物料!$C42="","",对接源_02物料!$C42)</f>
        <v>新顺发泡网</v>
      </c>
      <c r="B1242">
        <f>IF(A1242="",0,IF(MATCH(A1242,$A$4:$A$2403,0)=ROW()-3,1,0))</f>
        <v>0</v>
      </c>
      <c r="C1242">
        <f>N(C1241)+B1242</f>
        <v>24</v>
      </c>
      <c r="K1242">
        <f>IF(OR($K$1="",对接源_02物料!$C42="",对接源_02物料!$C42&lt;&gt;$K$1,对接源_02物料!$B42=""),0,IF(OR(N(对接源_02物料!$B42)&lt;$K$2,N(对接源_02物料!$B42)&gt;$K$3),0,1))</f>
        <v>0</v>
      </c>
      <c r="L1242">
        <f>IF(OR($L$1="",对接源_02物料!$C42="",对接源_02物料!$C42&lt;&gt;$L$1,对接源_02物料!$B42=""),0,IF(OR(N(对接源_02物料!$B42)&lt;$L$2,N(对接源_02物料!$B42)&gt;$L$3),0,1))</f>
        <v>0</v>
      </c>
      <c r="M1242">
        <f>IF(OR($M$1="",对接源_02物料!$C42="",对接源_02物料!$C42&lt;&gt;$M$1,对接源_02物料!$B42=""),0,IF(OR(N(对接源_02物料!$B42)&lt;$M$2,N(对接源_02物料!$B42)&gt;$M$3),0,1))</f>
        <v>0</v>
      </c>
      <c r="N1242">
        <f>IF(OR($N$1="",对接源_02物料!$C42="",对接源_02物料!$C42&lt;&gt;$N$1,对接源_02物料!$B42=""),0,IF(OR(N(对接源_02物料!$B42)&lt;$N$2,N(对接源_02物料!$B42)&gt;$N$3),0,1))</f>
        <v>0</v>
      </c>
      <c r="P1242">
        <f>IF(AND($K1242=1,AND(对接源_02物料!$X42="公司筐",N(对接源_02物料!$T42)&lt;&gt;0)),1,0)</f>
        <v>0</v>
      </c>
      <c r="Q1242">
        <f>N(Q1241)+$P1242</f>
        <v>0</v>
      </c>
      <c r="R1242">
        <f>IF(AND($K1242=1,AND(对接源_02物料!$X42="公司筐",N(对接源_02物料!$U42)&lt;&gt;0)),1,0)</f>
        <v>0</v>
      </c>
      <c r="S1242">
        <f>N(S1241)+$R1242</f>
        <v>0</v>
      </c>
      <c r="T1242">
        <f>IF(AND($K1242=1,AND(对接源_02物料!$X42="公司筐",N(对接源_02物料!$V42)&lt;&gt;0)),1,0)</f>
        <v>0</v>
      </c>
      <c r="U1242">
        <f>N(U1241)+$T1242</f>
        <v>47</v>
      </c>
      <c r="V1242">
        <f>IF(AND($L1242=1,AND(对接源_02物料!$X42="自备筐",N(对接源_02物料!$V42)&lt;&gt;0)),1,0)</f>
        <v>0</v>
      </c>
      <c r="W1242">
        <f>N(W1241)+$V1242</f>
        <v>11</v>
      </c>
      <c r="X1242">
        <f>IF(AND($L1242=1,AND(对接源_02物料!$X42="自备筐",N(对接源_02物料!$T42)&lt;&gt;0)),1,0)</f>
        <v>0</v>
      </c>
      <c r="Y1242">
        <f>N(Y1241)+$X1242</f>
        <v>0</v>
      </c>
      <c r="Z1242">
        <f>IF(AND($M1242=1,对接源_02物料!$D42="原料入库"),1,0)</f>
        <v>0</v>
      </c>
      <c r="AA1242">
        <f>N(AA1241)+$Z1242</f>
        <v>24</v>
      </c>
      <c r="AB1242">
        <f>IF(AND($M1242=1,LEFT(对接源_02物料!$D42,4)="原料出库"),1,0)</f>
        <v>0</v>
      </c>
      <c r="AC1242">
        <f>N(AC1241)+$AB1242</f>
        <v>0</v>
      </c>
      <c r="AD1242">
        <f>IF(AND($M1242=1,LEFT(对接源_02物料!$D42,4)="成品出库"),1,0)</f>
        <v>0</v>
      </c>
      <c r="AE1242">
        <f>N(AE1241)+$AD1242</f>
        <v>0</v>
      </c>
      <c r="AF1242">
        <f>IF(AND($N1242=1,AND(LEFT(对接源_02物料!$D42,4)="包装物料",N(对接源_02物料!$K42)&lt;&gt;0)),1,0)</f>
        <v>0</v>
      </c>
      <c r="AG1242">
        <f>N(AG1241)+$AF1242</f>
        <v>6</v>
      </c>
      <c r="AH1242">
        <f>IF(AND($N1242=1,AND(对接源_02物料!$D42="周转筐－销售出库",N(对接源_02物料!$K42)&lt;&gt;0)),1,0)</f>
        <v>0</v>
      </c>
      <c r="AI1242">
        <f>N(AI1241)+$AH1242</f>
        <v>0</v>
      </c>
      <c r="AL1242" t="n">
        <v>0</v>
      </c>
      <c r="AM1242">
        <f>N(AM1241)+$AL1242</f>
        <v>2</v>
      </c>
      <c r="AN1242">
        <f>""</f>
      </c>
      <c r="AO1242" t="n">
        <v>0</v>
      </c>
      <c r="AP1242">
        <f>N(AP1241)+$AO1242</f>
        <v>13</v>
      </c>
      <c r="AR1242">
        <f>IF(OR($AF1242=1,$AH1242=1),1,0)</f>
        <v>0</v>
      </c>
      <c r="AS1242">
        <f>N(AS1241)+$AR1242</f>
        <v>6</v>
      </c>
    </row>
    <row r="1243" s="127">
      <c r="A1243" t="str">
        <f>IF(对接源_02物料!$C43="","",对接源_02物料!$C43)</f>
        <v>热合曼</v>
      </c>
      <c r="B1243">
        <f>IF(A1243="",0,IF(MATCH(A1243,$A$4:$A$2403,0)=ROW()-3,1,0))</f>
        <v>0</v>
      </c>
      <c r="C1243">
        <f>N(C1242)+B1243</f>
        <v>24</v>
      </c>
      <c r="K1243">
        <f>IF(OR($K$1="",对接源_02物料!$C43="",对接源_02物料!$C43&lt;&gt;$K$1,对接源_02物料!$B43=""),0,IF(OR(N(对接源_02物料!$B43)&lt;$K$2,N(对接源_02物料!$B43)&gt;$K$3),0,1))</f>
        <v>0</v>
      </c>
      <c r="L1243">
        <f>IF(OR($L$1="",对接源_02物料!$C43="",对接源_02物料!$C43&lt;&gt;$L$1,对接源_02物料!$B43=""),0,IF(OR(N(对接源_02物料!$B43)&lt;$L$2,N(对接源_02物料!$B43)&gt;$L$3),0,1))</f>
        <v>0</v>
      </c>
      <c r="M1243">
        <f>IF(OR($M$1="",对接源_02物料!$C43="",对接源_02物料!$C43&lt;&gt;$M$1,对接源_02物料!$B43=""),0,IF(OR(N(对接源_02物料!$B43)&lt;$M$2,N(对接源_02物料!$B43)&gt;$M$3),0,1))</f>
        <v>0</v>
      </c>
      <c r="N1243">
        <f>IF(OR($N$1="",对接源_02物料!$C43="",对接源_02物料!$C43&lt;&gt;$N$1,对接源_02物料!$B43=""),0,IF(OR(N(对接源_02物料!$B43)&lt;$N$2,N(对接源_02物料!$B43)&gt;$N$3),0,1))</f>
        <v>0</v>
      </c>
      <c r="P1243">
        <f>IF(AND($K1243=1,AND(对接源_02物料!$X43="公司筐",N(对接源_02物料!$T43)&lt;&gt;0)),1,0)</f>
        <v>0</v>
      </c>
      <c r="Q1243">
        <f>N(Q1242)+$P1243</f>
        <v>0</v>
      </c>
      <c r="R1243">
        <f>IF(AND($K1243=1,AND(对接源_02物料!$X43="公司筐",N(对接源_02物料!$U43)&lt;&gt;0)),1,0)</f>
        <v>0</v>
      </c>
      <c r="S1243">
        <f>N(S1242)+$R1243</f>
        <v>0</v>
      </c>
      <c r="T1243">
        <f>IF(AND($K1243=1,AND(对接源_02物料!$X43="公司筐",N(对接源_02物料!$V43)&lt;&gt;0)),1,0)</f>
        <v>0</v>
      </c>
      <c r="U1243">
        <f>N(U1242)+$T1243</f>
        <v>47</v>
      </c>
      <c r="V1243">
        <f>IF(AND($L1243=1,AND(对接源_02物料!$X43="自备筐",N(对接源_02物料!$V43)&lt;&gt;0)),1,0)</f>
        <v>0</v>
      </c>
      <c r="W1243">
        <f>N(W1242)+$V1243</f>
        <v>11</v>
      </c>
      <c r="X1243">
        <f>IF(AND($L1243=1,AND(对接源_02物料!$X43="自备筐",N(对接源_02物料!$T43)&lt;&gt;0)),1,0)</f>
        <v>0</v>
      </c>
      <c r="Y1243">
        <f>N(Y1242)+$X1243</f>
        <v>0</v>
      </c>
      <c r="Z1243">
        <f>IF(AND($M1243=1,对接源_02物料!$D43="原料入库"),1,0)</f>
        <v>0</v>
      </c>
      <c r="AA1243">
        <f>N(AA1242)+$Z1243</f>
        <v>24</v>
      </c>
      <c r="AB1243">
        <f>IF(AND($M1243=1,LEFT(对接源_02物料!$D43,4)="原料出库"),1,0)</f>
        <v>0</v>
      </c>
      <c r="AC1243">
        <f>N(AC1242)+$AB1243</f>
        <v>0</v>
      </c>
      <c r="AD1243">
        <f>IF(AND($M1243=1,LEFT(对接源_02物料!$D43,4)="成品出库"),1,0)</f>
        <v>0</v>
      </c>
      <c r="AE1243">
        <f>N(AE1242)+$AD1243</f>
        <v>0</v>
      </c>
      <c r="AF1243">
        <f>IF(AND($N1243=1,AND(LEFT(对接源_02物料!$D43,4)="包装物料",N(对接源_02物料!$K43)&lt;&gt;0)),1,0)</f>
        <v>0</v>
      </c>
      <c r="AG1243">
        <f>N(AG1242)+$AF1243</f>
        <v>6</v>
      </c>
      <c r="AH1243">
        <f>IF(AND($N1243=1,AND(对接源_02物料!$D43="周转筐－销售出库",N(对接源_02物料!$K43)&lt;&gt;0)),1,0)</f>
        <v>0</v>
      </c>
      <c r="AI1243">
        <f>N(AI1242)+$AH1243</f>
        <v>0</v>
      </c>
      <c r="AL1243" t="n">
        <v>0</v>
      </c>
      <c r="AM1243">
        <f>N(AM1242)+$AL1243</f>
        <v>2</v>
      </c>
      <c r="AN1243">
        <f>""</f>
      </c>
      <c r="AO1243" t="n">
        <v>0</v>
      </c>
      <c r="AP1243">
        <f>N(AP1242)+$AO1243</f>
        <v>13</v>
      </c>
      <c r="AR1243">
        <f>IF(OR($AF1243=1,$AH1243=1),1,0)</f>
        <v>0</v>
      </c>
      <c r="AS1243">
        <f>N(AS1242)+$AR1243</f>
        <v>6</v>
      </c>
    </row>
    <row r="1244" s="127">
      <c r="A1244" t="str">
        <f>IF(对接源_02物料!$C44="","",对接源_02物料!$C44)</f>
        <v>努尔敦</v>
      </c>
      <c r="B1244">
        <f>IF(A1244="",0,IF(MATCH(A1244,$A$4:$A$2403,0)=ROW()-3,1,0))</f>
        <v>0</v>
      </c>
      <c r="C1244">
        <f>N(C1243)+B1244</f>
        <v>24</v>
      </c>
      <c r="K1244">
        <f>IF(OR($K$1="",对接源_02物料!$C44="",对接源_02物料!$C44&lt;&gt;$K$1,对接源_02物料!$B44=""),0,IF(OR(N(对接源_02物料!$B44)&lt;$K$2,N(对接源_02物料!$B44)&gt;$K$3),0,1))</f>
        <v>0</v>
      </c>
      <c r="L1244">
        <f>IF(OR($L$1="",对接源_02物料!$C44="",对接源_02物料!$C44&lt;&gt;$L$1,对接源_02物料!$B44=""),0,IF(OR(N(对接源_02物料!$B44)&lt;$L$2,N(对接源_02物料!$B44)&gt;$L$3),0,1))</f>
        <v>0</v>
      </c>
      <c r="M1244">
        <f>IF(OR($M$1="",对接源_02物料!$C44="",对接源_02物料!$C44&lt;&gt;$M$1,对接源_02物料!$B44=""),0,IF(OR(N(对接源_02物料!$B44)&lt;$M$2,N(对接源_02物料!$B44)&gt;$M$3),0,1))</f>
        <v>0</v>
      </c>
      <c r="N1244">
        <f>IF(OR($N$1="",对接源_02物料!$C44="",对接源_02物料!$C44&lt;&gt;$N$1,对接源_02物料!$B44=""),0,IF(OR(N(对接源_02物料!$B44)&lt;$N$2,N(对接源_02物料!$B44)&gt;$N$3),0,1))</f>
        <v>0</v>
      </c>
      <c r="P1244">
        <f>IF(AND($K1244=1,AND(对接源_02物料!$X44="公司筐",N(对接源_02物料!$T44)&lt;&gt;0)),1,0)</f>
        <v>0</v>
      </c>
      <c r="Q1244">
        <f>N(Q1243)+$P1244</f>
        <v>0</v>
      </c>
      <c r="R1244">
        <f>IF(AND($K1244=1,AND(对接源_02物料!$X44="公司筐",N(对接源_02物料!$U44)&lt;&gt;0)),1,0)</f>
        <v>0</v>
      </c>
      <c r="S1244">
        <f>N(S1243)+$R1244</f>
        <v>0</v>
      </c>
      <c r="T1244">
        <f>IF(AND($K1244=1,AND(对接源_02物料!$X44="公司筐",N(对接源_02物料!$V44)&lt;&gt;0)),1,0)</f>
        <v>0</v>
      </c>
      <c r="U1244">
        <f>N(U1243)+$T1244</f>
        <v>47</v>
      </c>
      <c r="V1244">
        <f>IF(AND($L1244=1,AND(对接源_02物料!$X44="自备筐",N(对接源_02物料!$V44)&lt;&gt;0)),1,0)</f>
        <v>0</v>
      </c>
      <c r="W1244">
        <f>N(W1243)+$V1244</f>
        <v>11</v>
      </c>
      <c r="X1244">
        <f>IF(AND($L1244=1,AND(对接源_02物料!$X44="自备筐",N(对接源_02物料!$T44)&lt;&gt;0)),1,0)</f>
        <v>0</v>
      </c>
      <c r="Y1244">
        <f>N(Y1243)+$X1244</f>
        <v>0</v>
      </c>
      <c r="Z1244">
        <f>IF(AND($M1244=1,对接源_02物料!$D44="原料入库"),1,0)</f>
        <v>0</v>
      </c>
      <c r="AA1244">
        <f>N(AA1243)+$Z1244</f>
        <v>24</v>
      </c>
      <c r="AB1244">
        <f>IF(AND($M1244=1,LEFT(对接源_02物料!$D44,4)="原料出库"),1,0)</f>
        <v>0</v>
      </c>
      <c r="AC1244">
        <f>N(AC1243)+$AB1244</f>
        <v>0</v>
      </c>
      <c r="AD1244">
        <f>IF(AND($M1244=1,LEFT(对接源_02物料!$D44,4)="成品出库"),1,0)</f>
        <v>0</v>
      </c>
      <c r="AE1244">
        <f>N(AE1243)+$AD1244</f>
        <v>0</v>
      </c>
      <c r="AF1244">
        <f>IF(AND($N1244=1,AND(LEFT(对接源_02物料!$D44,4)="包装物料",N(对接源_02物料!$K44)&lt;&gt;0)),1,0)</f>
        <v>0</v>
      </c>
      <c r="AG1244">
        <f>N(AG1243)+$AF1244</f>
        <v>6</v>
      </c>
      <c r="AH1244">
        <f>IF(AND($N1244=1,AND(对接源_02物料!$D44="周转筐－销售出库",N(对接源_02物料!$K44)&lt;&gt;0)),1,0)</f>
        <v>0</v>
      </c>
      <c r="AI1244">
        <f>N(AI1243)+$AH1244</f>
        <v>0</v>
      </c>
      <c r="AL1244" t="n">
        <v>0</v>
      </c>
      <c r="AM1244">
        <f>N(AM1243)+$AL1244</f>
        <v>2</v>
      </c>
      <c r="AN1244">
        <f>""</f>
      </c>
      <c r="AO1244" t="n">
        <v>0</v>
      </c>
      <c r="AP1244">
        <f>N(AP1243)+$AO1244</f>
        <v>13</v>
      </c>
      <c r="AR1244">
        <f>IF(OR($AF1244=1,$AH1244=1),1,0)</f>
        <v>0</v>
      </c>
      <c r="AS1244">
        <f>N(AS1243)+$AR1244</f>
        <v>6</v>
      </c>
    </row>
    <row r="1245" s="127">
      <c r="A1245" t="str">
        <f>IF(对接源_02物料!$C45="","",对接源_02物料!$C45)</f>
        <v>热合曼</v>
      </c>
      <c r="B1245">
        <f>IF(A1245="",0,IF(MATCH(A1245,$A$4:$A$2403,0)=ROW()-3,1,0))</f>
        <v>0</v>
      </c>
      <c r="C1245">
        <f>N(C1244)+B1245</f>
        <v>24</v>
      </c>
      <c r="K1245">
        <f>IF(OR($K$1="",对接源_02物料!$C45="",对接源_02物料!$C45&lt;&gt;$K$1,对接源_02物料!$B45=""),0,IF(OR(N(对接源_02物料!$B45)&lt;$K$2,N(对接源_02物料!$B45)&gt;$K$3),0,1))</f>
        <v>0</v>
      </c>
      <c r="L1245">
        <f>IF(OR($L$1="",对接源_02物料!$C45="",对接源_02物料!$C45&lt;&gt;$L$1,对接源_02物料!$B45=""),0,IF(OR(N(对接源_02物料!$B45)&lt;$L$2,N(对接源_02物料!$B45)&gt;$L$3),0,1))</f>
        <v>0</v>
      </c>
      <c r="M1245">
        <f>IF(OR($M$1="",对接源_02物料!$C45="",对接源_02物料!$C45&lt;&gt;$M$1,对接源_02物料!$B45=""),0,IF(OR(N(对接源_02物料!$B45)&lt;$M$2,N(对接源_02物料!$B45)&gt;$M$3),0,1))</f>
        <v>0</v>
      </c>
      <c r="N1245">
        <f>IF(OR($N$1="",对接源_02物料!$C45="",对接源_02物料!$C45&lt;&gt;$N$1,对接源_02物料!$B45=""),0,IF(OR(N(对接源_02物料!$B45)&lt;$N$2,N(对接源_02物料!$B45)&gt;$N$3),0,1))</f>
        <v>0</v>
      </c>
      <c r="P1245">
        <f>IF(AND($K1245=1,AND(对接源_02物料!$X45="公司筐",N(对接源_02物料!$T45)&lt;&gt;0)),1,0)</f>
        <v>0</v>
      </c>
      <c r="Q1245">
        <f>N(Q1244)+$P1245</f>
        <v>0</v>
      </c>
      <c r="R1245">
        <f>IF(AND($K1245=1,AND(对接源_02物料!$X45="公司筐",N(对接源_02物料!$U45)&lt;&gt;0)),1,0)</f>
        <v>0</v>
      </c>
      <c r="S1245">
        <f>N(S1244)+$R1245</f>
        <v>0</v>
      </c>
      <c r="T1245">
        <f>IF(AND($K1245=1,AND(对接源_02物料!$X45="公司筐",N(对接源_02物料!$V45)&lt;&gt;0)),1,0)</f>
        <v>0</v>
      </c>
      <c r="U1245">
        <f>N(U1244)+$T1245</f>
        <v>47</v>
      </c>
      <c r="V1245">
        <f>IF(AND($L1245=1,AND(对接源_02物料!$X45="自备筐",N(对接源_02物料!$V45)&lt;&gt;0)),1,0)</f>
        <v>0</v>
      </c>
      <c r="W1245">
        <f>N(W1244)+$V1245</f>
        <v>11</v>
      </c>
      <c r="X1245">
        <f>IF(AND($L1245=1,AND(对接源_02物料!$X45="自备筐",N(对接源_02物料!$T45)&lt;&gt;0)),1,0)</f>
        <v>0</v>
      </c>
      <c r="Y1245">
        <f>N(Y1244)+$X1245</f>
        <v>0</v>
      </c>
      <c r="Z1245">
        <f>IF(AND($M1245=1,对接源_02物料!$D45="原料入库"),1,0)</f>
        <v>0</v>
      </c>
      <c r="AA1245">
        <f>N(AA1244)+$Z1245</f>
        <v>24</v>
      </c>
      <c r="AB1245">
        <f>IF(AND($M1245=1,LEFT(对接源_02物料!$D45,4)="原料出库"),1,0)</f>
        <v>0</v>
      </c>
      <c r="AC1245">
        <f>N(AC1244)+$AB1245</f>
        <v>0</v>
      </c>
      <c r="AD1245">
        <f>IF(AND($M1245=1,LEFT(对接源_02物料!$D45,4)="成品出库"),1,0)</f>
        <v>0</v>
      </c>
      <c r="AE1245">
        <f>N(AE1244)+$AD1245</f>
        <v>0</v>
      </c>
      <c r="AF1245">
        <f>IF(AND($N1245=1,AND(LEFT(对接源_02物料!$D45,4)="包装物料",N(对接源_02物料!$K45)&lt;&gt;0)),1,0)</f>
        <v>0</v>
      </c>
      <c r="AG1245">
        <f>N(AG1244)+$AF1245</f>
        <v>6</v>
      </c>
      <c r="AH1245">
        <f>IF(AND($N1245=1,AND(对接源_02物料!$D45="周转筐－销售出库",N(对接源_02物料!$K45)&lt;&gt;0)),1,0)</f>
        <v>0</v>
      </c>
      <c r="AI1245">
        <f>N(AI1244)+$AH1245</f>
        <v>0</v>
      </c>
      <c r="AL1245" t="n">
        <v>0</v>
      </c>
      <c r="AM1245">
        <f>N(AM1244)+$AL1245</f>
        <v>2</v>
      </c>
      <c r="AN1245">
        <f>""</f>
      </c>
      <c r="AO1245" t="n">
        <v>0</v>
      </c>
      <c r="AP1245">
        <f>N(AP1244)+$AO1245</f>
        <v>13</v>
      </c>
      <c r="AR1245">
        <f>IF(OR($AF1245=1,$AH1245=1),1,0)</f>
        <v>0</v>
      </c>
      <c r="AS1245">
        <f>N(AS1244)+$AR1245</f>
        <v>6</v>
      </c>
    </row>
    <row r="1246" s="127">
      <c r="A1246" t="str">
        <f>IF(对接源_02物料!$C46="","",对接源_02物料!$C46)</f>
        <v>努尔敦</v>
      </c>
      <c r="B1246">
        <f>IF(A1246="",0,IF(MATCH(A1246,$A$4:$A$2403,0)=ROW()-3,1,0))</f>
        <v>0</v>
      </c>
      <c r="C1246">
        <f>N(C1245)+B1246</f>
        <v>24</v>
      </c>
      <c r="K1246">
        <f>IF(OR($K$1="",对接源_02物料!$C46="",对接源_02物料!$C46&lt;&gt;$K$1,对接源_02物料!$B46=""),0,IF(OR(N(对接源_02物料!$B46)&lt;$K$2,N(对接源_02物料!$B46)&gt;$K$3),0,1))</f>
        <v>0</v>
      </c>
      <c r="L1246">
        <f>IF(OR($L$1="",对接源_02物料!$C46="",对接源_02物料!$C46&lt;&gt;$L$1,对接源_02物料!$B46=""),0,IF(OR(N(对接源_02物料!$B46)&lt;$L$2,N(对接源_02物料!$B46)&gt;$L$3),0,1))</f>
        <v>0</v>
      </c>
      <c r="M1246">
        <f>IF(OR($M$1="",对接源_02物料!$C46="",对接源_02物料!$C46&lt;&gt;$M$1,对接源_02物料!$B46=""),0,IF(OR(N(对接源_02物料!$B46)&lt;$M$2,N(对接源_02物料!$B46)&gt;$M$3),0,1))</f>
        <v>0</v>
      </c>
      <c r="N1246">
        <f>IF(OR($N$1="",对接源_02物料!$C46="",对接源_02物料!$C46&lt;&gt;$N$1,对接源_02物料!$B46=""),0,IF(OR(N(对接源_02物料!$B46)&lt;$N$2,N(对接源_02物料!$B46)&gt;$N$3),0,1))</f>
        <v>0</v>
      </c>
      <c r="P1246">
        <f>IF(AND($K1246=1,AND(对接源_02物料!$X46="公司筐",N(对接源_02物料!$T46)&lt;&gt;0)),1,0)</f>
        <v>0</v>
      </c>
      <c r="Q1246">
        <f>N(Q1245)+$P1246</f>
        <v>0</v>
      </c>
      <c r="R1246">
        <f>IF(AND($K1246=1,AND(对接源_02物料!$X46="公司筐",N(对接源_02物料!$U46)&lt;&gt;0)),1,0)</f>
        <v>0</v>
      </c>
      <c r="S1246">
        <f>N(S1245)+$R1246</f>
        <v>0</v>
      </c>
      <c r="T1246">
        <f>IF(AND($K1246=1,AND(对接源_02物料!$X46="公司筐",N(对接源_02物料!$V46)&lt;&gt;0)),1,0)</f>
        <v>0</v>
      </c>
      <c r="U1246">
        <f>N(U1245)+$T1246</f>
        <v>47</v>
      </c>
      <c r="V1246">
        <f>IF(AND($L1246=1,AND(对接源_02物料!$X46="自备筐",N(对接源_02物料!$V46)&lt;&gt;0)),1,0)</f>
        <v>0</v>
      </c>
      <c r="W1246">
        <f>N(W1245)+$V1246</f>
        <v>11</v>
      </c>
      <c r="X1246">
        <f>IF(AND($L1246=1,AND(对接源_02物料!$X46="自备筐",N(对接源_02物料!$T46)&lt;&gt;0)),1,0)</f>
        <v>0</v>
      </c>
      <c r="Y1246">
        <f>N(Y1245)+$X1246</f>
        <v>0</v>
      </c>
      <c r="Z1246">
        <f>IF(AND($M1246=1,对接源_02物料!$D46="原料入库"),1,0)</f>
        <v>0</v>
      </c>
      <c r="AA1246">
        <f>N(AA1245)+$Z1246</f>
        <v>24</v>
      </c>
      <c r="AB1246">
        <f>IF(AND($M1246=1,LEFT(对接源_02物料!$D46,4)="原料出库"),1,0)</f>
        <v>0</v>
      </c>
      <c r="AC1246">
        <f>N(AC1245)+$AB1246</f>
        <v>0</v>
      </c>
      <c r="AD1246">
        <f>IF(AND($M1246=1,LEFT(对接源_02物料!$D46,4)="成品出库"),1,0)</f>
        <v>0</v>
      </c>
      <c r="AE1246">
        <f>N(AE1245)+$AD1246</f>
        <v>0</v>
      </c>
      <c r="AF1246">
        <f>IF(AND($N1246=1,AND(LEFT(对接源_02物料!$D46,4)="包装物料",N(对接源_02物料!$K46)&lt;&gt;0)),1,0)</f>
        <v>0</v>
      </c>
      <c r="AG1246">
        <f>N(AG1245)+$AF1246</f>
        <v>6</v>
      </c>
      <c r="AH1246">
        <f>IF(AND($N1246=1,AND(对接源_02物料!$D46="周转筐－销售出库",N(对接源_02物料!$K46)&lt;&gt;0)),1,0)</f>
        <v>0</v>
      </c>
      <c r="AI1246">
        <f>N(AI1245)+$AH1246</f>
        <v>0</v>
      </c>
      <c r="AL1246" t="n">
        <v>0</v>
      </c>
      <c r="AM1246">
        <f>N(AM1245)+$AL1246</f>
        <v>2</v>
      </c>
      <c r="AN1246">
        <f>""</f>
      </c>
      <c r="AO1246" t="n">
        <v>0</v>
      </c>
      <c r="AP1246">
        <f>N(AP1245)+$AO1246</f>
        <v>13</v>
      </c>
      <c r="AR1246">
        <f>IF(OR($AF1246=1,$AH1246=1),1,0)</f>
        <v>0</v>
      </c>
      <c r="AS1246">
        <f>N(AS1245)+$AR1246</f>
        <v>6</v>
      </c>
    </row>
    <row r="1247" s="127">
      <c r="A1247" t="str">
        <f>IF(对接源_02物料!$C47="","",对接源_02物料!$C47)</f>
        <v>新顺发泡网</v>
      </c>
      <c r="B1247">
        <f>IF(A1247="",0,IF(MATCH(A1247,$A$4:$A$2403,0)=ROW()-3,1,0))</f>
        <v>0</v>
      </c>
      <c r="C1247">
        <f>N(C1246)+B1247</f>
        <v>24</v>
      </c>
      <c r="K1247">
        <f>IF(OR($K$1="",对接源_02物料!$C47="",对接源_02物料!$C47&lt;&gt;$K$1,对接源_02物料!$B47=""),0,IF(OR(N(对接源_02物料!$B47)&lt;$K$2,N(对接源_02物料!$B47)&gt;$K$3),0,1))</f>
        <v>0</v>
      </c>
      <c r="L1247">
        <f>IF(OR($L$1="",对接源_02物料!$C47="",对接源_02物料!$C47&lt;&gt;$L$1,对接源_02物料!$B47=""),0,IF(OR(N(对接源_02物料!$B47)&lt;$L$2,N(对接源_02物料!$B47)&gt;$L$3),0,1))</f>
        <v>0</v>
      </c>
      <c r="M1247">
        <f>IF(OR($M$1="",对接源_02物料!$C47="",对接源_02物料!$C47&lt;&gt;$M$1,对接源_02物料!$B47=""),0,IF(OR(N(对接源_02物料!$B47)&lt;$M$2,N(对接源_02物料!$B47)&gt;$M$3),0,1))</f>
        <v>0</v>
      </c>
      <c r="N1247">
        <f>IF(OR($N$1="",对接源_02物料!$C47="",对接源_02物料!$C47&lt;&gt;$N$1,对接源_02物料!$B47=""),0,IF(OR(N(对接源_02物料!$B47)&lt;$N$2,N(对接源_02物料!$B47)&gt;$N$3),0,1))</f>
        <v>0</v>
      </c>
      <c r="P1247">
        <f>IF(AND($K1247=1,AND(对接源_02物料!$X47="公司筐",N(对接源_02物料!$T47)&lt;&gt;0)),1,0)</f>
        <v>0</v>
      </c>
      <c r="Q1247">
        <f>N(Q1246)+$P1247</f>
        <v>0</v>
      </c>
      <c r="R1247">
        <f>IF(AND($K1247=1,AND(对接源_02物料!$X47="公司筐",N(对接源_02物料!$U47)&lt;&gt;0)),1,0)</f>
        <v>0</v>
      </c>
      <c r="S1247">
        <f>N(S1246)+$R1247</f>
        <v>0</v>
      </c>
      <c r="T1247">
        <f>IF(AND($K1247=1,AND(对接源_02物料!$X47="公司筐",N(对接源_02物料!$V47)&lt;&gt;0)),1,0)</f>
        <v>0</v>
      </c>
      <c r="U1247">
        <f>N(U1246)+$T1247</f>
        <v>47</v>
      </c>
      <c r="V1247">
        <f>IF(AND($L1247=1,AND(对接源_02物料!$X47="自备筐",N(对接源_02物料!$V47)&lt;&gt;0)),1,0)</f>
        <v>0</v>
      </c>
      <c r="W1247">
        <f>N(W1246)+$V1247</f>
        <v>11</v>
      </c>
      <c r="X1247">
        <f>IF(AND($L1247=1,AND(对接源_02物料!$X47="自备筐",N(对接源_02物料!$T47)&lt;&gt;0)),1,0)</f>
        <v>0</v>
      </c>
      <c r="Y1247">
        <f>N(Y1246)+$X1247</f>
        <v>0</v>
      </c>
      <c r="Z1247">
        <f>IF(AND($M1247=1,对接源_02物料!$D47="原料入库"),1,0)</f>
        <v>0</v>
      </c>
      <c r="AA1247">
        <f>N(AA1246)+$Z1247</f>
        <v>24</v>
      </c>
      <c r="AB1247">
        <f>IF(AND($M1247=1,LEFT(对接源_02物料!$D47,4)="原料出库"),1,0)</f>
        <v>0</v>
      </c>
      <c r="AC1247">
        <f>N(AC1246)+$AB1247</f>
        <v>0</v>
      </c>
      <c r="AD1247">
        <f>IF(AND($M1247=1,LEFT(对接源_02物料!$D47,4)="成品出库"),1,0)</f>
        <v>0</v>
      </c>
      <c r="AE1247">
        <f>N(AE1246)+$AD1247</f>
        <v>0</v>
      </c>
      <c r="AF1247">
        <f>IF(AND($N1247=1,AND(LEFT(对接源_02物料!$D47,4)="包装物料",N(对接源_02物料!$K47)&lt;&gt;0)),1,0)</f>
        <v>0</v>
      </c>
      <c r="AG1247">
        <f>N(AG1246)+$AF1247</f>
        <v>6</v>
      </c>
      <c r="AH1247">
        <f>IF(AND($N1247=1,AND(对接源_02物料!$D47="周转筐－销售出库",N(对接源_02物料!$K47)&lt;&gt;0)),1,0)</f>
        <v>0</v>
      </c>
      <c r="AI1247">
        <f>N(AI1246)+$AH1247</f>
        <v>0</v>
      </c>
      <c r="AL1247" t="n">
        <v>0</v>
      </c>
      <c r="AM1247">
        <f>N(AM1246)+$AL1247</f>
        <v>2</v>
      </c>
      <c r="AN1247">
        <f>""</f>
      </c>
      <c r="AO1247" t="n">
        <v>0</v>
      </c>
      <c r="AP1247">
        <f>N(AP1246)+$AO1247</f>
        <v>13</v>
      </c>
      <c r="AR1247">
        <f>IF(OR($AF1247=1,$AH1247=1),1,0)</f>
        <v>0</v>
      </c>
      <c r="AS1247">
        <f>N(AS1246)+$AR1247</f>
        <v>6</v>
      </c>
    </row>
    <row r="1248" s="127">
      <c r="A1248" t="str">
        <f>IF(对接源_02物料!$C48="","",对接源_02物料!$C48)</f>
        <v>吐尔洪</v>
      </c>
      <c r="B1248">
        <f>IF(A1248="",0,IF(MATCH(A1248,$A$4:$A$2403,0)=ROW()-3,1,0))</f>
        <v>0</v>
      </c>
      <c r="C1248">
        <f>N(C1247)+B1248</f>
        <v>24</v>
      </c>
      <c r="K1248">
        <f>IF(OR($K$1="",对接源_02物料!$C48="",对接源_02物料!$C48&lt;&gt;$K$1,对接源_02物料!$B48=""),0,IF(OR(N(对接源_02物料!$B48)&lt;$K$2,N(对接源_02物料!$B48)&gt;$K$3),0,1))</f>
        <v>0</v>
      </c>
      <c r="L1248">
        <f>IF(OR($L$1="",对接源_02物料!$C48="",对接源_02物料!$C48&lt;&gt;$L$1,对接源_02物料!$B48=""),0,IF(OR(N(对接源_02物料!$B48)&lt;$L$2,N(对接源_02物料!$B48)&gt;$L$3),0,1))</f>
        <v>0</v>
      </c>
      <c r="M1248">
        <f>IF(OR($M$1="",对接源_02物料!$C48="",对接源_02物料!$C48&lt;&gt;$M$1,对接源_02物料!$B48=""),0,IF(OR(N(对接源_02物料!$B48)&lt;$M$2,N(对接源_02物料!$B48)&gt;$M$3),0,1))</f>
        <v>1</v>
      </c>
      <c r="N1248">
        <f>IF(OR($N$1="",对接源_02物料!$C48="",对接源_02物料!$C48&lt;&gt;$N$1,对接源_02物料!$B48=""),0,IF(OR(N(对接源_02物料!$B48)&lt;$N$2,N(对接源_02物料!$B48)&gt;$N$3),0,1))</f>
        <v>0</v>
      </c>
      <c r="P1248">
        <f>IF(AND($K1248=1,AND(对接源_02物料!$X48="公司筐",N(对接源_02物料!$T48)&lt;&gt;0)),1,0)</f>
        <v>0</v>
      </c>
      <c r="Q1248">
        <f>N(Q1247)+$P1248</f>
        <v>0</v>
      </c>
      <c r="R1248">
        <f>IF(AND($K1248=1,AND(对接源_02物料!$X48="公司筐",N(对接源_02物料!$U48)&lt;&gt;0)),1,0)</f>
        <v>0</v>
      </c>
      <c r="S1248">
        <f>N(S1247)+$R1248</f>
        <v>0</v>
      </c>
      <c r="T1248">
        <f>IF(AND($K1248=1,AND(对接源_02物料!$X48="公司筐",N(对接源_02物料!$V48)&lt;&gt;0)),1,0)</f>
        <v>0</v>
      </c>
      <c r="U1248">
        <f>N(U1247)+$T1248</f>
        <v>47</v>
      </c>
      <c r="V1248">
        <f>IF(AND($L1248=1,AND(对接源_02物料!$X48="自备筐",N(对接源_02物料!$V48)&lt;&gt;0)),1,0)</f>
        <v>0</v>
      </c>
      <c r="W1248">
        <f>N(W1247)+$V1248</f>
        <v>11</v>
      </c>
      <c r="X1248">
        <f>IF(AND($L1248=1,AND(对接源_02物料!$X48="自备筐",N(对接源_02物料!$T48)&lt;&gt;0)),1,0)</f>
        <v>0</v>
      </c>
      <c r="Y1248">
        <f>N(Y1247)+$X1248</f>
        <v>0</v>
      </c>
      <c r="Z1248">
        <f>IF(AND($M1248=1,对接源_02物料!$D48="原料入库"),1,0)</f>
        <v>0</v>
      </c>
      <c r="AA1248">
        <f>N(AA1247)+$Z1248</f>
        <v>24</v>
      </c>
      <c r="AB1248">
        <f>IF(AND($M1248=1,LEFT(对接源_02物料!$D48,4)="原料出库"),1,0)</f>
        <v>0</v>
      </c>
      <c r="AC1248">
        <f>N(AC1247)+$AB1248</f>
        <v>0</v>
      </c>
      <c r="AD1248">
        <f>IF(AND($M1248=1,LEFT(对接源_02物料!$D48,4)="成品出库"),1,0)</f>
        <v>0</v>
      </c>
      <c r="AE1248">
        <f>N(AE1247)+$AD1248</f>
        <v>0</v>
      </c>
      <c r="AF1248">
        <f>IF(AND($N1248=1,AND(LEFT(对接源_02物料!$D48,4)="包装物料",N(对接源_02物料!$K48)&lt;&gt;0)),1,0)</f>
        <v>0</v>
      </c>
      <c r="AG1248">
        <f>N(AG1247)+$AF1248</f>
        <v>6</v>
      </c>
      <c r="AH1248">
        <f>IF(AND($N1248=1,AND(对接源_02物料!$D48="周转筐－销售出库",N(对接源_02物料!$K48)&lt;&gt;0)),1,0)</f>
        <v>0</v>
      </c>
      <c r="AI1248">
        <f>N(AI1247)+$AH1248</f>
        <v>0</v>
      </c>
      <c r="AL1248" t="n">
        <v>0</v>
      </c>
      <c r="AM1248">
        <f>N(AM1247)+$AL1248</f>
        <v>2</v>
      </c>
      <c r="AN1248">
        <f>""</f>
      </c>
      <c r="AO1248" t="n">
        <v>0</v>
      </c>
      <c r="AP1248">
        <f>N(AP1247)+$AO1248</f>
        <v>13</v>
      </c>
      <c r="AR1248">
        <f>IF(OR($AF1248=1,$AH1248=1),1,0)</f>
        <v>0</v>
      </c>
      <c r="AS1248">
        <f>N(AS1247)+$AR1248</f>
        <v>6</v>
      </c>
    </row>
    <row r="1249" s="127">
      <c r="A1249" t="str">
        <f>IF(对接源_02物料!$C49="","",对接源_02物料!$C49)</f>
        <v>热合曼</v>
      </c>
      <c r="B1249">
        <f>IF(A1249="",0,IF(MATCH(A1249,$A$4:$A$2403,0)=ROW()-3,1,0))</f>
        <v>0</v>
      </c>
      <c r="C1249">
        <f>N(C1248)+B1249</f>
        <v>24</v>
      </c>
      <c r="K1249">
        <f>IF(OR($K$1="",对接源_02物料!$C49="",对接源_02物料!$C49&lt;&gt;$K$1,对接源_02物料!$B49=""),0,IF(OR(N(对接源_02物料!$B49)&lt;$K$2,N(对接源_02物料!$B49)&gt;$K$3),0,1))</f>
        <v>0</v>
      </c>
      <c r="L1249">
        <f>IF(OR($L$1="",对接源_02物料!$C49="",对接源_02物料!$C49&lt;&gt;$L$1,对接源_02物料!$B49=""),0,IF(OR(N(对接源_02物料!$B49)&lt;$L$2,N(对接源_02物料!$B49)&gt;$L$3),0,1))</f>
        <v>0</v>
      </c>
      <c r="M1249">
        <f>IF(OR($M$1="",对接源_02物料!$C49="",对接源_02物料!$C49&lt;&gt;$M$1,对接源_02物料!$B49=""),0,IF(OR(N(对接源_02物料!$B49)&lt;$M$2,N(对接源_02物料!$B49)&gt;$M$3),0,1))</f>
        <v>0</v>
      </c>
      <c r="N1249">
        <f>IF(OR($N$1="",对接源_02物料!$C49="",对接源_02物料!$C49&lt;&gt;$N$1,对接源_02物料!$B49=""),0,IF(OR(N(对接源_02物料!$B49)&lt;$N$2,N(对接源_02物料!$B49)&gt;$N$3),0,1))</f>
        <v>0</v>
      </c>
      <c r="P1249">
        <f>IF(AND($K1249=1,AND(对接源_02物料!$X49="公司筐",N(对接源_02物料!$T49)&lt;&gt;0)),1,0)</f>
        <v>0</v>
      </c>
      <c r="Q1249">
        <f>N(Q1248)+$P1249</f>
        <v>0</v>
      </c>
      <c r="R1249">
        <f>IF(AND($K1249=1,AND(对接源_02物料!$X49="公司筐",N(对接源_02物料!$U49)&lt;&gt;0)),1,0)</f>
        <v>0</v>
      </c>
      <c r="S1249">
        <f>N(S1248)+$R1249</f>
        <v>0</v>
      </c>
      <c r="T1249">
        <f>IF(AND($K1249=1,AND(对接源_02物料!$X49="公司筐",N(对接源_02物料!$V49)&lt;&gt;0)),1,0)</f>
        <v>0</v>
      </c>
      <c r="U1249">
        <f>N(U1248)+$T1249</f>
        <v>47</v>
      </c>
      <c r="V1249">
        <f>IF(AND($L1249=1,AND(对接源_02物料!$X49="自备筐",N(对接源_02物料!$V49)&lt;&gt;0)),1,0)</f>
        <v>0</v>
      </c>
      <c r="W1249">
        <f>N(W1248)+$V1249</f>
        <v>11</v>
      </c>
      <c r="X1249">
        <f>IF(AND($L1249=1,AND(对接源_02物料!$X49="自备筐",N(对接源_02物料!$T49)&lt;&gt;0)),1,0)</f>
        <v>0</v>
      </c>
      <c r="Y1249">
        <f>N(Y1248)+$X1249</f>
        <v>0</v>
      </c>
      <c r="Z1249">
        <f>IF(AND($M1249=1,对接源_02物料!$D49="原料入库"),1,0)</f>
        <v>0</v>
      </c>
      <c r="AA1249">
        <f>N(AA1248)+$Z1249</f>
        <v>24</v>
      </c>
      <c r="AB1249">
        <f>IF(AND($M1249=1,LEFT(对接源_02物料!$D49,4)="原料出库"),1,0)</f>
        <v>0</v>
      </c>
      <c r="AC1249">
        <f>N(AC1248)+$AB1249</f>
        <v>0</v>
      </c>
      <c r="AD1249">
        <f>IF(AND($M1249=1,LEFT(对接源_02物料!$D49,4)="成品出库"),1,0)</f>
        <v>0</v>
      </c>
      <c r="AE1249">
        <f>N(AE1248)+$AD1249</f>
        <v>0</v>
      </c>
      <c r="AF1249">
        <f>IF(AND($N1249=1,AND(LEFT(对接源_02物料!$D49,4)="包装物料",N(对接源_02物料!$K49)&lt;&gt;0)),1,0)</f>
        <v>0</v>
      </c>
      <c r="AG1249">
        <f>N(AG1248)+$AF1249</f>
        <v>6</v>
      </c>
      <c r="AH1249">
        <f>IF(AND($N1249=1,AND(对接源_02物料!$D49="周转筐－销售出库",N(对接源_02物料!$K49)&lt;&gt;0)),1,0)</f>
        <v>0</v>
      </c>
      <c r="AI1249">
        <f>N(AI1248)+$AH1249</f>
        <v>0</v>
      </c>
      <c r="AL1249" t="n">
        <v>0</v>
      </c>
      <c r="AM1249">
        <f>N(AM1248)+$AL1249</f>
        <v>2</v>
      </c>
      <c r="AN1249">
        <f>""</f>
      </c>
      <c r="AO1249" t="n">
        <v>0</v>
      </c>
      <c r="AP1249">
        <f>N(AP1248)+$AO1249</f>
        <v>13</v>
      </c>
      <c r="AR1249">
        <f>IF(OR($AF1249=1,$AH1249=1),1,0)</f>
        <v>0</v>
      </c>
      <c r="AS1249">
        <f>N(AS1248)+$AR1249</f>
        <v>6</v>
      </c>
    </row>
    <row r="1250" s="127">
      <c r="A1250" t="str">
        <f>IF(对接源_02物料!$C50="","",对接源_02物料!$C50)</f>
        <v>贾建国</v>
      </c>
      <c r="B1250">
        <f>IF(A1250="",0,IF(MATCH(A1250,$A$4:$A$2403,0)=ROW()-3,1,0))</f>
        <v>0</v>
      </c>
      <c r="C1250">
        <f>N(C1249)+B1250</f>
        <v>24</v>
      </c>
      <c r="K1250">
        <f>IF(OR($K$1="",对接源_02物料!$C50="",对接源_02物料!$C50&lt;&gt;$K$1,对接源_02物料!$B50=""),0,IF(OR(N(对接源_02物料!$B50)&lt;$K$2,N(对接源_02物料!$B50)&gt;$K$3),0,1))</f>
        <v>0</v>
      </c>
      <c r="L1250">
        <f>IF(OR($L$1="",对接源_02物料!$C50="",对接源_02物料!$C50&lt;&gt;$L$1,对接源_02物料!$B50=""),0,IF(OR(N(对接源_02物料!$B50)&lt;$L$2,N(对接源_02物料!$B50)&gt;$L$3),0,1))</f>
        <v>1</v>
      </c>
      <c r="M1250">
        <f>IF(OR($M$1="",对接源_02物料!$C50="",对接源_02物料!$C50&lt;&gt;$M$1,对接源_02物料!$B50=""),0,IF(OR(N(对接源_02物料!$B50)&lt;$M$2,N(对接源_02物料!$B50)&gt;$M$3),0,1))</f>
        <v>0</v>
      </c>
      <c r="N1250">
        <f>IF(OR($N$1="",对接源_02物料!$C50="",对接源_02物料!$C50&lt;&gt;$N$1,对接源_02物料!$B50=""),0,IF(OR(N(对接源_02物料!$B50)&lt;$N$2,N(对接源_02物料!$B50)&gt;$N$3),0,1))</f>
        <v>0</v>
      </c>
      <c r="P1250">
        <f>IF(AND($K1250=1,AND(对接源_02物料!$X50="公司筐",N(对接源_02物料!$T50)&lt;&gt;0)),1,0)</f>
        <v>0</v>
      </c>
      <c r="Q1250">
        <f>N(Q1249)+$P1250</f>
        <v>0</v>
      </c>
      <c r="R1250">
        <f>IF(AND($K1250=1,AND(对接源_02物料!$X50="公司筐",N(对接源_02物料!$U50)&lt;&gt;0)),1,0)</f>
        <v>0</v>
      </c>
      <c r="S1250">
        <f>N(S1249)+$R1250</f>
        <v>0</v>
      </c>
      <c r="T1250">
        <f>IF(AND($K1250=1,AND(对接源_02物料!$X50="公司筐",N(对接源_02物料!$V50)&lt;&gt;0)),1,0)</f>
        <v>0</v>
      </c>
      <c r="U1250">
        <f>N(U1249)+$T1250</f>
        <v>47</v>
      </c>
      <c r="V1250">
        <f>IF(AND($L1250=1,AND(对接源_02物料!$X50="自备筐",N(对接源_02物料!$V50)&lt;&gt;0)),1,0)</f>
        <v>0</v>
      </c>
      <c r="W1250">
        <f>N(W1249)+$V1250</f>
        <v>11</v>
      </c>
      <c r="X1250">
        <f>IF(AND($L1250=1,AND(对接源_02物料!$X50="自备筐",N(对接源_02物料!$T50)&lt;&gt;0)),1,0)</f>
        <v>0</v>
      </c>
      <c r="Y1250">
        <f>N(Y1249)+$X1250</f>
        <v>0</v>
      </c>
      <c r="Z1250">
        <f>IF(AND($M1250=1,对接源_02物料!$D50="原料入库"),1,0)</f>
        <v>0</v>
      </c>
      <c r="AA1250">
        <f>N(AA1249)+$Z1250</f>
        <v>24</v>
      </c>
      <c r="AB1250">
        <f>IF(AND($M1250=1,LEFT(对接源_02物料!$D50,4)="原料出库"),1,0)</f>
        <v>0</v>
      </c>
      <c r="AC1250">
        <f>N(AC1249)+$AB1250</f>
        <v>0</v>
      </c>
      <c r="AD1250">
        <f>IF(AND($M1250=1,LEFT(对接源_02物料!$D50,4)="成品出库"),1,0)</f>
        <v>0</v>
      </c>
      <c r="AE1250">
        <f>N(AE1249)+$AD1250</f>
        <v>0</v>
      </c>
      <c r="AF1250">
        <f>IF(AND($N1250=1,AND(LEFT(对接源_02物料!$D50,4)="包装物料",N(对接源_02物料!$K50)&lt;&gt;0)),1,0)</f>
        <v>0</v>
      </c>
      <c r="AG1250">
        <f>N(AG1249)+$AF1250</f>
        <v>6</v>
      </c>
      <c r="AH1250">
        <f>IF(AND($N1250=1,AND(对接源_02物料!$D50="周转筐－销售出库",N(对接源_02物料!$K50)&lt;&gt;0)),1,0)</f>
        <v>0</v>
      </c>
      <c r="AI1250">
        <f>N(AI1249)+$AH1250</f>
        <v>0</v>
      </c>
      <c r="AL1250" t="n">
        <v>0</v>
      </c>
      <c r="AM1250">
        <f>N(AM1249)+$AL1250</f>
        <v>2</v>
      </c>
      <c r="AN1250">
        <f>""</f>
      </c>
      <c r="AO1250" t="n">
        <v>0</v>
      </c>
      <c r="AP1250">
        <f>N(AP1249)+$AO1250</f>
        <v>13</v>
      </c>
      <c r="AR1250">
        <f>IF(OR($AF1250=1,$AH1250=1),1,0)</f>
        <v>0</v>
      </c>
      <c r="AS1250">
        <f>N(AS1249)+$AR1250</f>
        <v>6</v>
      </c>
    </row>
    <row r="1251" s="127">
      <c r="A1251" t="str">
        <f>IF(对接源_02物料!$C51="","",对接源_02物料!$C51)</f>
        <v>麦麦提</v>
      </c>
      <c r="B1251">
        <f>IF(A1251="",0,IF(MATCH(A1251,$A$4:$A$2403,0)=ROW()-3,1,0))</f>
        <v>0</v>
      </c>
      <c r="C1251">
        <f>N(C1250)+B1251</f>
        <v>24</v>
      </c>
      <c r="K1251">
        <f>IF(OR($K$1="",对接源_02物料!$C51="",对接源_02物料!$C51&lt;&gt;$K$1,对接源_02物料!$B51=""),0,IF(OR(N(对接源_02物料!$B51)&lt;$K$2,N(对接源_02物料!$B51)&gt;$K$3),0,1))</f>
        <v>0</v>
      </c>
      <c r="L1251">
        <f>IF(OR($L$1="",对接源_02物料!$C51="",对接源_02物料!$C51&lt;&gt;$L$1,对接源_02物料!$B51=""),0,IF(OR(N(对接源_02物料!$B51)&lt;$L$2,N(对接源_02物料!$B51)&gt;$L$3),0,1))</f>
        <v>0</v>
      </c>
      <c r="M1251">
        <f>IF(OR($M$1="",对接源_02物料!$C51="",对接源_02物料!$C51&lt;&gt;$M$1,对接源_02物料!$B51=""),0,IF(OR(N(对接源_02物料!$B51)&lt;$M$2,N(对接源_02物料!$B51)&gt;$M$3),0,1))</f>
        <v>0</v>
      </c>
      <c r="N1251">
        <f>IF(OR($N$1="",对接源_02物料!$C51="",对接源_02物料!$C51&lt;&gt;$N$1,对接源_02物料!$B51=""),0,IF(OR(N(对接源_02物料!$B51)&lt;$N$2,N(对接源_02物料!$B51)&gt;$N$3),0,1))</f>
        <v>1</v>
      </c>
      <c r="P1251">
        <f>IF(AND($K1251=1,AND(对接源_02物料!$X51="公司筐",N(对接源_02物料!$T51)&lt;&gt;0)),1,0)</f>
        <v>0</v>
      </c>
      <c r="Q1251">
        <f>N(Q1250)+$P1251</f>
        <v>0</v>
      </c>
      <c r="R1251">
        <f>IF(AND($K1251=1,AND(对接源_02物料!$X51="公司筐",N(对接源_02物料!$U51)&lt;&gt;0)),1,0)</f>
        <v>0</v>
      </c>
      <c r="S1251">
        <f>N(S1250)+$R1251</f>
        <v>0</v>
      </c>
      <c r="T1251">
        <f>IF(AND($K1251=1,AND(对接源_02物料!$X51="公司筐",N(对接源_02物料!$V51)&lt;&gt;0)),1,0)</f>
        <v>0</v>
      </c>
      <c r="U1251">
        <f>N(U1250)+$T1251</f>
        <v>47</v>
      </c>
      <c r="V1251">
        <f>IF(AND($L1251=1,AND(对接源_02物料!$X51="自备筐",N(对接源_02物料!$V51)&lt;&gt;0)),1,0)</f>
        <v>0</v>
      </c>
      <c r="W1251">
        <f>N(W1250)+$V1251</f>
        <v>11</v>
      </c>
      <c r="X1251">
        <f>IF(AND($L1251=1,AND(对接源_02物料!$X51="自备筐",N(对接源_02物料!$T51)&lt;&gt;0)),1,0)</f>
        <v>0</v>
      </c>
      <c r="Y1251">
        <f>N(Y1250)+$X1251</f>
        <v>0</v>
      </c>
      <c r="Z1251">
        <f>IF(AND($M1251=1,对接源_02物料!$D51="原料入库"),1,0)</f>
        <v>0</v>
      </c>
      <c r="AA1251">
        <f>N(AA1250)+$Z1251</f>
        <v>24</v>
      </c>
      <c r="AB1251">
        <f>IF(AND($M1251=1,LEFT(对接源_02物料!$D51,4)="原料出库"),1,0)</f>
        <v>0</v>
      </c>
      <c r="AC1251">
        <f>N(AC1250)+$AB1251</f>
        <v>0</v>
      </c>
      <c r="AD1251">
        <f>IF(AND($M1251=1,LEFT(对接源_02物料!$D51,4)="成品出库"),1,0)</f>
        <v>0</v>
      </c>
      <c r="AE1251">
        <f>N(AE1250)+$AD1251</f>
        <v>0</v>
      </c>
      <c r="AF1251">
        <f>IF(AND($N1251=1,AND(LEFT(对接源_02物料!$D51,4)="包装物料",N(对接源_02物料!$K51)&lt;&gt;0)),1,0)</f>
        <v>1</v>
      </c>
      <c r="AG1251">
        <f>N(AG1250)+$AF1251</f>
        <v>7</v>
      </c>
      <c r="AH1251">
        <f>IF(AND($N1251=1,AND(对接源_02物料!$D51="周转筐－销售出库",N(对接源_02物料!$K51)&lt;&gt;0)),1,0)</f>
        <v>0</v>
      </c>
      <c r="AI1251">
        <f>N(AI1250)+$AH1251</f>
        <v>0</v>
      </c>
      <c r="AL1251" t="n">
        <v>0</v>
      </c>
      <c r="AM1251">
        <f>N(AM1250)+$AL1251</f>
        <v>2</v>
      </c>
      <c r="AN1251">
        <f>""</f>
      </c>
      <c r="AO1251" t="n">
        <v>0</v>
      </c>
      <c r="AP1251">
        <f>N(AP1250)+$AO1251</f>
        <v>13</v>
      </c>
      <c r="AR1251">
        <f>IF(OR($AF1251=1,$AH1251=1),1,0)</f>
        <v>1</v>
      </c>
      <c r="AS1251">
        <f>N(AS1250)+$AR1251</f>
        <v>7</v>
      </c>
    </row>
    <row r="1252" s="127">
      <c r="A1252" t="str">
        <f>IF(对接源_02物料!$C52="","",对接源_02物料!$C52)</f>
        <v>努尔敦</v>
      </c>
      <c r="B1252">
        <f>IF(A1252="",0,IF(MATCH(A1252,$A$4:$A$2403,0)=ROW()-3,1,0))</f>
        <v>0</v>
      </c>
      <c r="C1252">
        <f>N(C1251)+B1252</f>
        <v>24</v>
      </c>
      <c r="K1252">
        <f>IF(OR($K$1="",对接源_02物料!$C52="",对接源_02物料!$C52&lt;&gt;$K$1,对接源_02物料!$B52=""),0,IF(OR(N(对接源_02物料!$B52)&lt;$K$2,N(对接源_02物料!$B52)&gt;$K$3),0,1))</f>
        <v>0</v>
      </c>
      <c r="L1252">
        <f>IF(OR($L$1="",对接源_02物料!$C52="",对接源_02物料!$C52&lt;&gt;$L$1,对接源_02物料!$B52=""),0,IF(OR(N(对接源_02物料!$B52)&lt;$L$2,N(对接源_02物料!$B52)&gt;$L$3),0,1))</f>
        <v>0</v>
      </c>
      <c r="M1252">
        <f>IF(OR($M$1="",对接源_02物料!$C52="",对接源_02物料!$C52&lt;&gt;$M$1,对接源_02物料!$B52=""),0,IF(OR(N(对接源_02物料!$B52)&lt;$M$2,N(对接源_02物料!$B52)&gt;$M$3),0,1))</f>
        <v>0</v>
      </c>
      <c r="N1252">
        <f>IF(OR($N$1="",对接源_02物料!$C52="",对接源_02物料!$C52&lt;&gt;$N$1,对接源_02物料!$B52=""),0,IF(OR(N(对接源_02物料!$B52)&lt;$N$2,N(对接源_02物料!$B52)&gt;$N$3),0,1))</f>
        <v>0</v>
      </c>
      <c r="P1252">
        <f>IF(AND($K1252=1,AND(对接源_02物料!$X52="公司筐",N(对接源_02物料!$T52)&lt;&gt;0)),1,0)</f>
        <v>0</v>
      </c>
      <c r="Q1252">
        <f>N(Q1251)+$P1252</f>
        <v>0</v>
      </c>
      <c r="R1252">
        <f>IF(AND($K1252=1,AND(对接源_02物料!$X52="公司筐",N(对接源_02物料!$U52)&lt;&gt;0)),1,0)</f>
        <v>0</v>
      </c>
      <c r="S1252">
        <f>N(S1251)+$R1252</f>
        <v>0</v>
      </c>
      <c r="T1252">
        <f>IF(AND($K1252=1,AND(对接源_02物料!$X52="公司筐",N(对接源_02物料!$V52)&lt;&gt;0)),1,0)</f>
        <v>0</v>
      </c>
      <c r="U1252">
        <f>N(U1251)+$T1252</f>
        <v>47</v>
      </c>
      <c r="V1252">
        <f>IF(AND($L1252=1,AND(对接源_02物料!$X52="自备筐",N(对接源_02物料!$V52)&lt;&gt;0)),1,0)</f>
        <v>0</v>
      </c>
      <c r="W1252">
        <f>N(W1251)+$V1252</f>
        <v>11</v>
      </c>
      <c r="X1252">
        <f>IF(AND($L1252=1,AND(对接源_02物料!$X52="自备筐",N(对接源_02物料!$T52)&lt;&gt;0)),1,0)</f>
        <v>0</v>
      </c>
      <c r="Y1252">
        <f>N(Y1251)+$X1252</f>
        <v>0</v>
      </c>
      <c r="Z1252">
        <f>IF(AND($M1252=1,对接源_02物料!$D52="原料入库"),1,0)</f>
        <v>0</v>
      </c>
      <c r="AA1252">
        <f>N(AA1251)+$Z1252</f>
        <v>24</v>
      </c>
      <c r="AB1252">
        <f>IF(AND($M1252=1,LEFT(对接源_02物料!$D52,4)="原料出库"),1,0)</f>
        <v>0</v>
      </c>
      <c r="AC1252">
        <f>N(AC1251)+$AB1252</f>
        <v>0</v>
      </c>
      <c r="AD1252">
        <f>IF(AND($M1252=1,LEFT(对接源_02物料!$D52,4)="成品出库"),1,0)</f>
        <v>0</v>
      </c>
      <c r="AE1252">
        <f>N(AE1251)+$AD1252</f>
        <v>0</v>
      </c>
      <c r="AF1252">
        <f>IF(AND($N1252=1,AND(LEFT(对接源_02物料!$D52,4)="包装物料",N(对接源_02物料!$K52)&lt;&gt;0)),1,0)</f>
        <v>0</v>
      </c>
      <c r="AG1252">
        <f>N(AG1251)+$AF1252</f>
        <v>7</v>
      </c>
      <c r="AH1252">
        <f>IF(AND($N1252=1,AND(对接源_02物料!$D52="周转筐－销售出库",N(对接源_02物料!$K52)&lt;&gt;0)),1,0)</f>
        <v>0</v>
      </c>
      <c r="AI1252">
        <f>N(AI1251)+$AH1252</f>
        <v>0</v>
      </c>
      <c r="AL1252" t="n">
        <v>0</v>
      </c>
      <c r="AM1252">
        <f>N(AM1251)+$AL1252</f>
        <v>2</v>
      </c>
      <c r="AN1252">
        <f>""</f>
      </c>
      <c r="AO1252" t="n">
        <v>0</v>
      </c>
      <c r="AP1252">
        <f>N(AP1251)+$AO1252</f>
        <v>13</v>
      </c>
      <c r="AR1252">
        <f>IF(OR($AF1252=1,$AH1252=1),1,0)</f>
        <v>0</v>
      </c>
      <c r="AS1252">
        <f>N(AS1251)+$AR1252</f>
        <v>7</v>
      </c>
    </row>
    <row r="1253" s="127">
      <c r="A1253" t="str">
        <f>IF(对接源_02物料!$C53="","",对接源_02物料!$C53)</f>
        <v>王浩</v>
      </c>
      <c r="B1253">
        <f>IF(A1253="",0,IF(MATCH(A1253,$A$4:$A$2403,0)=ROW()-3,1,0))</f>
        <v>0</v>
      </c>
      <c r="C1253">
        <f>N(C1252)+B1253</f>
        <v>24</v>
      </c>
      <c r="K1253">
        <f>IF(OR($K$1="",对接源_02物料!$C53="",对接源_02物料!$C53&lt;&gt;$K$1,对接源_02物料!$B53=""),0,IF(OR(N(对接源_02物料!$B53)&lt;$K$2,N(对接源_02物料!$B53)&gt;$K$3),0,1))</f>
        <v>0</v>
      </c>
      <c r="L1253">
        <f>IF(OR($L$1="",对接源_02物料!$C53="",对接源_02物料!$C53&lt;&gt;$L$1,对接源_02物料!$B53=""),0,IF(OR(N(对接源_02物料!$B53)&lt;$L$2,N(对接源_02物料!$B53)&gt;$L$3),0,1))</f>
        <v>0</v>
      </c>
      <c r="M1253">
        <f>IF(OR($M$1="",对接源_02物料!$C53="",对接源_02物料!$C53&lt;&gt;$M$1,对接源_02物料!$B53=""),0,IF(OR(N(对接源_02物料!$B53)&lt;$M$2,N(对接源_02物料!$B53)&gt;$M$3),0,1))</f>
        <v>0</v>
      </c>
      <c r="N1253">
        <f>IF(OR($N$1="",对接源_02物料!$C53="",对接源_02物料!$C53&lt;&gt;$N$1,对接源_02物料!$B53=""),0,IF(OR(N(对接源_02物料!$B53)&lt;$N$2,N(对接源_02物料!$B53)&gt;$N$3),0,1))</f>
        <v>0</v>
      </c>
      <c r="P1253">
        <f>IF(AND($K1253=1,AND(对接源_02物料!$X53="公司筐",N(对接源_02物料!$T53)&lt;&gt;0)),1,0)</f>
        <v>0</v>
      </c>
      <c r="Q1253">
        <f>N(Q1252)+$P1253</f>
        <v>0</v>
      </c>
      <c r="R1253">
        <f>IF(AND($K1253=1,AND(对接源_02物料!$X53="公司筐",N(对接源_02物料!$U53)&lt;&gt;0)),1,0)</f>
        <v>0</v>
      </c>
      <c r="S1253">
        <f>N(S1252)+$R1253</f>
        <v>0</v>
      </c>
      <c r="T1253">
        <f>IF(AND($K1253=1,AND(对接源_02物料!$X53="公司筐",N(对接源_02物料!$V53)&lt;&gt;0)),1,0)</f>
        <v>0</v>
      </c>
      <c r="U1253">
        <f>N(U1252)+$T1253</f>
        <v>47</v>
      </c>
      <c r="V1253">
        <f>IF(AND($L1253=1,AND(对接源_02物料!$X53="自备筐",N(对接源_02物料!$V53)&lt;&gt;0)),1,0)</f>
        <v>0</v>
      </c>
      <c r="W1253">
        <f>N(W1252)+$V1253</f>
        <v>11</v>
      </c>
      <c r="X1253">
        <f>IF(AND($L1253=1,AND(对接源_02物料!$X53="自备筐",N(对接源_02物料!$T53)&lt;&gt;0)),1,0)</f>
        <v>0</v>
      </c>
      <c r="Y1253">
        <f>N(Y1252)+$X1253</f>
        <v>0</v>
      </c>
      <c r="Z1253">
        <f>IF(AND($M1253=1,对接源_02物料!$D53="原料入库"),1,0)</f>
        <v>0</v>
      </c>
      <c r="AA1253">
        <f>N(AA1252)+$Z1253</f>
        <v>24</v>
      </c>
      <c r="AB1253">
        <f>IF(AND($M1253=1,LEFT(对接源_02物料!$D53,4)="原料出库"),1,0)</f>
        <v>0</v>
      </c>
      <c r="AC1253">
        <f>N(AC1252)+$AB1253</f>
        <v>0</v>
      </c>
      <c r="AD1253">
        <f>IF(AND($M1253=1,LEFT(对接源_02物料!$D53,4)="成品出库"),1,0)</f>
        <v>0</v>
      </c>
      <c r="AE1253">
        <f>N(AE1252)+$AD1253</f>
        <v>0</v>
      </c>
      <c r="AF1253">
        <f>IF(AND($N1253=1,AND(LEFT(对接源_02物料!$D53,4)="包装物料",N(对接源_02物料!$K53)&lt;&gt;0)),1,0)</f>
        <v>0</v>
      </c>
      <c r="AG1253">
        <f>N(AG1252)+$AF1253</f>
        <v>7</v>
      </c>
      <c r="AH1253">
        <f>IF(AND($N1253=1,AND(对接源_02物料!$D53="周转筐－销售出库",N(对接源_02物料!$K53)&lt;&gt;0)),1,0)</f>
        <v>0</v>
      </c>
      <c r="AI1253">
        <f>N(AI1252)+$AH1253</f>
        <v>0</v>
      </c>
      <c r="AL1253" t="n">
        <v>0</v>
      </c>
      <c r="AM1253">
        <f>N(AM1252)+$AL1253</f>
        <v>2</v>
      </c>
      <c r="AN1253">
        <f>""</f>
      </c>
      <c r="AO1253" t="n">
        <v>0</v>
      </c>
      <c r="AP1253">
        <f>N(AP1252)+$AO1253</f>
        <v>13</v>
      </c>
      <c r="AR1253">
        <f>IF(OR($AF1253=1,$AH1253=1),1,0)</f>
        <v>0</v>
      </c>
      <c r="AS1253">
        <f>N(AS1252)+$AR1253</f>
        <v>7</v>
      </c>
    </row>
    <row r="1254" s="127">
      <c r="A1254" t="str">
        <f>IF(对接源_02物料!$C54="","",对接源_02物料!$C54)</f>
        <v>吐尔逊</v>
      </c>
      <c r="B1254">
        <f>IF(A1254="",0,IF(MATCH(A1254,$A$4:$A$2403,0)=ROW()-3,1,0))</f>
        <v>0</v>
      </c>
      <c r="C1254">
        <f>N(C1253)+B1254</f>
        <v>24</v>
      </c>
      <c r="K1254">
        <f>IF(OR($K$1="",对接源_02物料!$C54="",对接源_02物料!$C54&lt;&gt;$K$1,对接源_02物料!$B54=""),0,IF(OR(N(对接源_02物料!$B54)&lt;$K$2,N(对接源_02物料!$B54)&gt;$K$3),0,1))</f>
        <v>0</v>
      </c>
      <c r="L1254">
        <f>IF(OR($L$1="",对接源_02物料!$C54="",对接源_02物料!$C54&lt;&gt;$L$1,对接源_02物料!$B54=""),0,IF(OR(N(对接源_02物料!$B54)&lt;$L$2,N(对接源_02物料!$B54)&gt;$L$3),0,1))</f>
        <v>0</v>
      </c>
      <c r="M1254">
        <f>IF(OR($M$1="",对接源_02物料!$C54="",对接源_02物料!$C54&lt;&gt;$M$1,对接源_02物料!$B54=""),0,IF(OR(N(对接源_02物料!$B54)&lt;$M$2,N(对接源_02物料!$B54)&gt;$M$3),0,1))</f>
        <v>0</v>
      </c>
      <c r="N1254">
        <f>IF(OR($N$1="",对接源_02物料!$C54="",对接源_02物料!$C54&lt;&gt;$N$1,对接源_02物料!$B54=""),0,IF(OR(N(对接源_02物料!$B54)&lt;$N$2,N(对接源_02物料!$B54)&gt;$N$3),0,1))</f>
        <v>0</v>
      </c>
      <c r="P1254">
        <f>IF(AND($K1254=1,AND(对接源_02物料!$X54="公司筐",N(对接源_02物料!$T54)&lt;&gt;0)),1,0)</f>
        <v>0</v>
      </c>
      <c r="Q1254">
        <f>N(Q1253)+$P1254</f>
        <v>0</v>
      </c>
      <c r="R1254">
        <f>IF(AND($K1254=1,AND(对接源_02物料!$X54="公司筐",N(对接源_02物料!$U54)&lt;&gt;0)),1,0)</f>
        <v>0</v>
      </c>
      <c r="S1254">
        <f>N(S1253)+$R1254</f>
        <v>0</v>
      </c>
      <c r="T1254">
        <f>IF(AND($K1254=1,AND(对接源_02物料!$X54="公司筐",N(对接源_02物料!$V54)&lt;&gt;0)),1,0)</f>
        <v>0</v>
      </c>
      <c r="U1254">
        <f>N(U1253)+$T1254</f>
        <v>47</v>
      </c>
      <c r="V1254">
        <f>IF(AND($L1254=1,AND(对接源_02物料!$X54="自备筐",N(对接源_02物料!$V54)&lt;&gt;0)),1,0)</f>
        <v>0</v>
      </c>
      <c r="W1254">
        <f>N(W1253)+$V1254</f>
        <v>11</v>
      </c>
      <c r="X1254">
        <f>IF(AND($L1254=1,AND(对接源_02物料!$X54="自备筐",N(对接源_02物料!$T54)&lt;&gt;0)),1,0)</f>
        <v>0</v>
      </c>
      <c r="Y1254">
        <f>N(Y1253)+$X1254</f>
        <v>0</v>
      </c>
      <c r="Z1254">
        <f>IF(AND($M1254=1,对接源_02物料!$D54="原料入库"),1,0)</f>
        <v>0</v>
      </c>
      <c r="AA1254">
        <f>N(AA1253)+$Z1254</f>
        <v>24</v>
      </c>
      <c r="AB1254">
        <f>IF(AND($M1254=1,LEFT(对接源_02物料!$D54,4)="原料出库"),1,0)</f>
        <v>0</v>
      </c>
      <c r="AC1254">
        <f>N(AC1253)+$AB1254</f>
        <v>0</v>
      </c>
      <c r="AD1254">
        <f>IF(AND($M1254=1,LEFT(对接源_02物料!$D54,4)="成品出库"),1,0)</f>
        <v>0</v>
      </c>
      <c r="AE1254">
        <f>N(AE1253)+$AD1254</f>
        <v>0</v>
      </c>
      <c r="AF1254">
        <f>IF(AND($N1254=1,AND(LEFT(对接源_02物料!$D54,4)="包装物料",N(对接源_02物料!$K54)&lt;&gt;0)),1,0)</f>
        <v>0</v>
      </c>
      <c r="AG1254">
        <f>N(AG1253)+$AF1254</f>
        <v>7</v>
      </c>
      <c r="AH1254">
        <f>IF(AND($N1254=1,AND(对接源_02物料!$D54="周转筐－销售出库",N(对接源_02物料!$K54)&lt;&gt;0)),1,0)</f>
        <v>0</v>
      </c>
      <c r="AI1254">
        <f>N(AI1253)+$AH1254</f>
        <v>0</v>
      </c>
      <c r="AL1254" t="n">
        <v>0</v>
      </c>
      <c r="AM1254">
        <f>N(AM1253)+$AL1254</f>
        <v>2</v>
      </c>
      <c r="AN1254">
        <f>""</f>
      </c>
      <c r="AO1254" t="n">
        <v>0</v>
      </c>
      <c r="AP1254">
        <f>N(AP1253)+$AO1254</f>
        <v>13</v>
      </c>
      <c r="AR1254">
        <f>IF(OR($AF1254=1,$AH1254=1),1,0)</f>
        <v>0</v>
      </c>
      <c r="AS1254">
        <f>N(AS1253)+$AR1254</f>
        <v>7</v>
      </c>
    </row>
    <row r="1255" s="127">
      <c r="A1255" t="str">
        <f>IF(对接源_02物料!$C55="","",对接源_02物料!$C55)</f>
        <v>荆建君</v>
      </c>
      <c r="B1255">
        <f>IF(A1255="",0,IF(MATCH(A1255,$A$4:$A$2403,0)=ROW()-3,1,0))</f>
        <v>0</v>
      </c>
      <c r="C1255">
        <f>N(C1254)+B1255</f>
        <v>24</v>
      </c>
      <c r="K1255">
        <f>IF(OR($K$1="",对接源_02物料!$C55="",对接源_02物料!$C55&lt;&gt;$K$1,对接源_02物料!$B55=""),0,IF(OR(N(对接源_02物料!$B55)&lt;$K$2,N(对接源_02物料!$B55)&gt;$K$3),0,1))</f>
        <v>0</v>
      </c>
      <c r="L1255">
        <f>IF(OR($L$1="",对接源_02物料!$C55="",对接源_02物料!$C55&lt;&gt;$L$1,对接源_02物料!$B55=""),0,IF(OR(N(对接源_02物料!$B55)&lt;$L$2,N(对接源_02物料!$B55)&gt;$L$3),0,1))</f>
        <v>0</v>
      </c>
      <c r="M1255">
        <f>IF(OR($M$1="",对接源_02物料!$C55="",对接源_02物料!$C55&lt;&gt;$M$1,对接源_02物料!$B55=""),0,IF(OR(N(对接源_02物料!$B55)&lt;$M$2,N(对接源_02物料!$B55)&gt;$M$3),0,1))</f>
        <v>0</v>
      </c>
      <c r="N1255">
        <f>IF(OR($N$1="",对接源_02物料!$C55="",对接源_02物料!$C55&lt;&gt;$N$1,对接源_02物料!$B55=""),0,IF(OR(N(对接源_02物料!$B55)&lt;$N$2,N(对接源_02物料!$B55)&gt;$N$3),0,1))</f>
        <v>0</v>
      </c>
      <c r="P1255">
        <f>IF(AND($K1255=1,AND(对接源_02物料!$X55="公司筐",N(对接源_02物料!$T55)&lt;&gt;0)),1,0)</f>
        <v>0</v>
      </c>
      <c r="Q1255">
        <f>N(Q1254)+$P1255</f>
        <v>0</v>
      </c>
      <c r="R1255">
        <f>IF(AND($K1255=1,AND(对接源_02物料!$X55="公司筐",N(对接源_02物料!$U55)&lt;&gt;0)),1,0)</f>
        <v>0</v>
      </c>
      <c r="S1255">
        <f>N(S1254)+$R1255</f>
        <v>0</v>
      </c>
      <c r="T1255">
        <f>IF(AND($K1255=1,AND(对接源_02物料!$X55="公司筐",N(对接源_02物料!$V55)&lt;&gt;0)),1,0)</f>
        <v>0</v>
      </c>
      <c r="U1255">
        <f>N(U1254)+$T1255</f>
        <v>47</v>
      </c>
      <c r="V1255">
        <f>IF(AND($L1255=1,AND(对接源_02物料!$X55="自备筐",N(对接源_02物料!$V55)&lt;&gt;0)),1,0)</f>
        <v>0</v>
      </c>
      <c r="W1255">
        <f>N(W1254)+$V1255</f>
        <v>11</v>
      </c>
      <c r="X1255">
        <f>IF(AND($L1255=1,AND(对接源_02物料!$X55="自备筐",N(对接源_02物料!$T55)&lt;&gt;0)),1,0)</f>
        <v>0</v>
      </c>
      <c r="Y1255">
        <f>N(Y1254)+$X1255</f>
        <v>0</v>
      </c>
      <c r="Z1255">
        <f>IF(AND($M1255=1,对接源_02物料!$D55="原料入库"),1,0)</f>
        <v>0</v>
      </c>
      <c r="AA1255">
        <f>N(AA1254)+$Z1255</f>
        <v>24</v>
      </c>
      <c r="AB1255">
        <f>IF(AND($M1255=1,LEFT(对接源_02物料!$D55,4)="原料出库"),1,0)</f>
        <v>0</v>
      </c>
      <c r="AC1255">
        <f>N(AC1254)+$AB1255</f>
        <v>0</v>
      </c>
      <c r="AD1255">
        <f>IF(AND($M1255=1,LEFT(对接源_02物料!$D55,4)="成品出库"),1,0)</f>
        <v>0</v>
      </c>
      <c r="AE1255">
        <f>N(AE1254)+$AD1255</f>
        <v>0</v>
      </c>
      <c r="AF1255">
        <f>IF(AND($N1255=1,AND(LEFT(对接源_02物料!$D55,4)="包装物料",N(对接源_02物料!$K55)&lt;&gt;0)),1,0)</f>
        <v>0</v>
      </c>
      <c r="AG1255">
        <f>N(AG1254)+$AF1255</f>
        <v>7</v>
      </c>
      <c r="AH1255">
        <f>IF(AND($N1255=1,AND(对接源_02物料!$D55="周转筐－销售出库",N(对接源_02物料!$K55)&lt;&gt;0)),1,0)</f>
        <v>0</v>
      </c>
      <c r="AI1255">
        <f>N(AI1254)+$AH1255</f>
        <v>0</v>
      </c>
      <c r="AL1255" t="n">
        <v>0</v>
      </c>
      <c r="AM1255">
        <f>N(AM1254)+$AL1255</f>
        <v>2</v>
      </c>
      <c r="AN1255">
        <f>""</f>
      </c>
      <c r="AO1255" t="n">
        <v>0</v>
      </c>
      <c r="AP1255">
        <f>N(AP1254)+$AO1255</f>
        <v>13</v>
      </c>
      <c r="AR1255">
        <f>IF(OR($AF1255=1,$AH1255=1),1,0)</f>
        <v>0</v>
      </c>
      <c r="AS1255">
        <f>N(AS1254)+$AR1255</f>
        <v>7</v>
      </c>
    </row>
    <row r="1256" s="127">
      <c r="A1256" t="str">
        <f>IF(对接源_02物料!$C56="","",对接源_02物料!$C56)</f>
        <v>热合曼</v>
      </c>
      <c r="B1256">
        <f>IF(A1256="",0,IF(MATCH(A1256,$A$4:$A$2403,0)=ROW()-3,1,0))</f>
        <v>0</v>
      </c>
      <c r="C1256">
        <f>N(C1255)+B1256</f>
        <v>24</v>
      </c>
      <c r="K1256">
        <f>IF(OR($K$1="",对接源_02物料!$C56="",对接源_02物料!$C56&lt;&gt;$K$1,对接源_02物料!$B56=""),0,IF(OR(N(对接源_02物料!$B56)&lt;$K$2,N(对接源_02物料!$B56)&gt;$K$3),0,1))</f>
        <v>0</v>
      </c>
      <c r="L1256">
        <f>IF(OR($L$1="",对接源_02物料!$C56="",对接源_02物料!$C56&lt;&gt;$L$1,对接源_02物料!$B56=""),0,IF(OR(N(对接源_02物料!$B56)&lt;$L$2,N(对接源_02物料!$B56)&gt;$L$3),0,1))</f>
        <v>0</v>
      </c>
      <c r="M1256">
        <f>IF(OR($M$1="",对接源_02物料!$C56="",对接源_02物料!$C56&lt;&gt;$M$1,对接源_02物料!$B56=""),0,IF(OR(N(对接源_02物料!$B56)&lt;$M$2,N(对接源_02物料!$B56)&gt;$M$3),0,1))</f>
        <v>0</v>
      </c>
      <c r="N1256">
        <f>IF(OR($N$1="",对接源_02物料!$C56="",对接源_02物料!$C56&lt;&gt;$N$1,对接源_02物料!$B56=""),0,IF(OR(N(对接源_02物料!$B56)&lt;$N$2,N(对接源_02物料!$B56)&gt;$N$3),0,1))</f>
        <v>0</v>
      </c>
      <c r="P1256">
        <f>IF(AND($K1256=1,AND(对接源_02物料!$X56="公司筐",N(对接源_02物料!$T56)&lt;&gt;0)),1,0)</f>
        <v>0</v>
      </c>
      <c r="Q1256">
        <f>N(Q1255)+$P1256</f>
        <v>0</v>
      </c>
      <c r="R1256">
        <f>IF(AND($K1256=1,AND(对接源_02物料!$X56="公司筐",N(对接源_02物料!$U56)&lt;&gt;0)),1,0)</f>
        <v>0</v>
      </c>
      <c r="S1256">
        <f>N(S1255)+$R1256</f>
        <v>0</v>
      </c>
      <c r="T1256">
        <f>IF(AND($K1256=1,AND(对接源_02物料!$X56="公司筐",N(对接源_02物料!$V56)&lt;&gt;0)),1,0)</f>
        <v>0</v>
      </c>
      <c r="U1256">
        <f>N(U1255)+$T1256</f>
        <v>47</v>
      </c>
      <c r="V1256">
        <f>IF(AND($L1256=1,AND(对接源_02物料!$X56="自备筐",N(对接源_02物料!$V56)&lt;&gt;0)),1,0)</f>
        <v>0</v>
      </c>
      <c r="W1256">
        <f>N(W1255)+$V1256</f>
        <v>11</v>
      </c>
      <c r="X1256">
        <f>IF(AND($L1256=1,AND(对接源_02物料!$X56="自备筐",N(对接源_02物料!$T56)&lt;&gt;0)),1,0)</f>
        <v>0</v>
      </c>
      <c r="Y1256">
        <f>N(Y1255)+$X1256</f>
        <v>0</v>
      </c>
      <c r="Z1256">
        <f>IF(AND($M1256=1,对接源_02物料!$D56="原料入库"),1,0)</f>
        <v>0</v>
      </c>
      <c r="AA1256">
        <f>N(AA1255)+$Z1256</f>
        <v>24</v>
      </c>
      <c r="AB1256">
        <f>IF(AND($M1256=1,LEFT(对接源_02物料!$D56,4)="原料出库"),1,0)</f>
        <v>0</v>
      </c>
      <c r="AC1256">
        <f>N(AC1255)+$AB1256</f>
        <v>0</v>
      </c>
      <c r="AD1256">
        <f>IF(AND($M1256=1,LEFT(对接源_02物料!$D56,4)="成品出库"),1,0)</f>
        <v>0</v>
      </c>
      <c r="AE1256">
        <f>N(AE1255)+$AD1256</f>
        <v>0</v>
      </c>
      <c r="AF1256">
        <f>IF(AND($N1256=1,AND(LEFT(对接源_02物料!$D56,4)="包装物料",N(对接源_02物料!$K56)&lt;&gt;0)),1,0)</f>
        <v>0</v>
      </c>
      <c r="AG1256">
        <f>N(AG1255)+$AF1256</f>
        <v>7</v>
      </c>
      <c r="AH1256">
        <f>IF(AND($N1256=1,AND(对接源_02物料!$D56="周转筐－销售出库",N(对接源_02物料!$K56)&lt;&gt;0)),1,0)</f>
        <v>0</v>
      </c>
      <c r="AI1256">
        <f>N(AI1255)+$AH1256</f>
        <v>0</v>
      </c>
      <c r="AL1256" t="n">
        <v>0</v>
      </c>
      <c r="AM1256">
        <f>N(AM1255)+$AL1256</f>
        <v>2</v>
      </c>
      <c r="AN1256">
        <f>""</f>
      </c>
      <c r="AO1256" t="n">
        <v>0</v>
      </c>
      <c r="AP1256">
        <f>N(AP1255)+$AO1256</f>
        <v>13</v>
      </c>
      <c r="AR1256">
        <f>IF(OR($AF1256=1,$AH1256=1),1,0)</f>
        <v>0</v>
      </c>
      <c r="AS1256">
        <f>N(AS1255)+$AR1256</f>
        <v>7</v>
      </c>
    </row>
    <row r="1257" s="127">
      <c r="A1257" t="str">
        <f>IF(对接源_02物料!$C57="","",对接源_02物料!$C57)</f>
        <v>努尔敦</v>
      </c>
      <c r="B1257">
        <f>IF(A1257="",0,IF(MATCH(A1257,$A$4:$A$2403,0)=ROW()-3,1,0))</f>
        <v>0</v>
      </c>
      <c r="C1257">
        <f>N(C1256)+B1257</f>
        <v>24</v>
      </c>
      <c r="K1257">
        <f>IF(OR($K$1="",对接源_02物料!$C57="",对接源_02物料!$C57&lt;&gt;$K$1,对接源_02物料!$B57=""),0,IF(OR(N(对接源_02物料!$B57)&lt;$K$2,N(对接源_02物料!$B57)&gt;$K$3),0,1))</f>
        <v>0</v>
      </c>
      <c r="L1257">
        <f>IF(OR($L$1="",对接源_02物料!$C57="",对接源_02物料!$C57&lt;&gt;$L$1,对接源_02物料!$B57=""),0,IF(OR(N(对接源_02物料!$B57)&lt;$L$2,N(对接源_02物料!$B57)&gt;$L$3),0,1))</f>
        <v>0</v>
      </c>
      <c r="M1257">
        <f>IF(OR($M$1="",对接源_02物料!$C57="",对接源_02物料!$C57&lt;&gt;$M$1,对接源_02物料!$B57=""),0,IF(OR(N(对接源_02物料!$B57)&lt;$M$2,N(对接源_02物料!$B57)&gt;$M$3),0,1))</f>
        <v>0</v>
      </c>
      <c r="N1257">
        <f>IF(OR($N$1="",对接源_02物料!$C57="",对接源_02物料!$C57&lt;&gt;$N$1,对接源_02物料!$B57=""),0,IF(OR(N(对接源_02物料!$B57)&lt;$N$2,N(对接源_02物料!$B57)&gt;$N$3),0,1))</f>
        <v>0</v>
      </c>
      <c r="P1257">
        <f>IF(AND($K1257=1,AND(对接源_02物料!$X57="公司筐",N(对接源_02物料!$T57)&lt;&gt;0)),1,0)</f>
        <v>0</v>
      </c>
      <c r="Q1257">
        <f>N(Q1256)+$P1257</f>
        <v>0</v>
      </c>
      <c r="R1257">
        <f>IF(AND($K1257=1,AND(对接源_02物料!$X57="公司筐",N(对接源_02物料!$U57)&lt;&gt;0)),1,0)</f>
        <v>0</v>
      </c>
      <c r="S1257">
        <f>N(S1256)+$R1257</f>
        <v>0</v>
      </c>
      <c r="T1257">
        <f>IF(AND($K1257=1,AND(对接源_02物料!$X57="公司筐",N(对接源_02物料!$V57)&lt;&gt;0)),1,0)</f>
        <v>0</v>
      </c>
      <c r="U1257">
        <f>N(U1256)+$T1257</f>
        <v>47</v>
      </c>
      <c r="V1257">
        <f>IF(AND($L1257=1,AND(对接源_02物料!$X57="自备筐",N(对接源_02物料!$V57)&lt;&gt;0)),1,0)</f>
        <v>0</v>
      </c>
      <c r="W1257">
        <f>N(W1256)+$V1257</f>
        <v>11</v>
      </c>
      <c r="X1257">
        <f>IF(AND($L1257=1,AND(对接源_02物料!$X57="自备筐",N(对接源_02物料!$T57)&lt;&gt;0)),1,0)</f>
        <v>0</v>
      </c>
      <c r="Y1257">
        <f>N(Y1256)+$X1257</f>
        <v>0</v>
      </c>
      <c r="Z1257">
        <f>IF(AND($M1257=1,对接源_02物料!$D57="原料入库"),1,0)</f>
        <v>0</v>
      </c>
      <c r="AA1257">
        <f>N(AA1256)+$Z1257</f>
        <v>24</v>
      </c>
      <c r="AB1257">
        <f>IF(AND($M1257=1,LEFT(对接源_02物料!$D57,4)="原料出库"),1,0)</f>
        <v>0</v>
      </c>
      <c r="AC1257">
        <f>N(AC1256)+$AB1257</f>
        <v>0</v>
      </c>
      <c r="AD1257">
        <f>IF(AND($M1257=1,LEFT(对接源_02物料!$D57,4)="成品出库"),1,0)</f>
        <v>0</v>
      </c>
      <c r="AE1257">
        <f>N(AE1256)+$AD1257</f>
        <v>0</v>
      </c>
      <c r="AF1257">
        <f>IF(AND($N1257=1,AND(LEFT(对接源_02物料!$D57,4)="包装物料",N(对接源_02物料!$K57)&lt;&gt;0)),1,0)</f>
        <v>0</v>
      </c>
      <c r="AG1257">
        <f>N(AG1256)+$AF1257</f>
        <v>7</v>
      </c>
      <c r="AH1257">
        <f>IF(AND($N1257=1,AND(对接源_02物料!$D57="周转筐－销售出库",N(对接源_02物料!$K57)&lt;&gt;0)),1,0)</f>
        <v>0</v>
      </c>
      <c r="AI1257">
        <f>N(AI1256)+$AH1257</f>
        <v>0</v>
      </c>
      <c r="AL1257" t="n">
        <v>0</v>
      </c>
      <c r="AM1257">
        <f>N(AM1256)+$AL1257</f>
        <v>2</v>
      </c>
      <c r="AN1257">
        <f>""</f>
      </c>
      <c r="AO1257" t="n">
        <v>0</v>
      </c>
      <c r="AP1257">
        <f>N(AP1256)+$AO1257</f>
        <v>13</v>
      </c>
      <c r="AR1257">
        <f>IF(OR($AF1257=1,$AH1257=1),1,0)</f>
        <v>0</v>
      </c>
      <c r="AS1257">
        <f>N(AS1256)+$AR1257</f>
        <v>7</v>
      </c>
    </row>
    <row r="1258" s="127">
      <c r="A1258" t="str">
        <f>IF(对接源_02物料!$C58="","",对接源_02物料!$C58)</f>
        <v>新顺发泡网</v>
      </c>
      <c r="B1258">
        <f>IF(A1258="",0,IF(MATCH(A1258,$A$4:$A$2403,0)=ROW()-3,1,0))</f>
        <v>0</v>
      </c>
      <c r="C1258">
        <f>N(C1257)+B1258</f>
        <v>24</v>
      </c>
      <c r="K1258">
        <f>IF(OR($K$1="",对接源_02物料!$C58="",对接源_02物料!$C58&lt;&gt;$K$1,对接源_02物料!$B58=""),0,IF(OR(N(对接源_02物料!$B58)&lt;$K$2,N(对接源_02物料!$B58)&gt;$K$3),0,1))</f>
        <v>0</v>
      </c>
      <c r="L1258">
        <f>IF(OR($L$1="",对接源_02物料!$C58="",对接源_02物料!$C58&lt;&gt;$L$1,对接源_02物料!$B58=""),0,IF(OR(N(对接源_02物料!$B58)&lt;$L$2,N(对接源_02物料!$B58)&gt;$L$3),0,1))</f>
        <v>0</v>
      </c>
      <c r="M1258">
        <f>IF(OR($M$1="",对接源_02物料!$C58="",对接源_02物料!$C58&lt;&gt;$M$1,对接源_02物料!$B58=""),0,IF(OR(N(对接源_02物料!$B58)&lt;$M$2,N(对接源_02物料!$B58)&gt;$M$3),0,1))</f>
        <v>0</v>
      </c>
      <c r="N1258">
        <f>IF(OR($N$1="",对接源_02物料!$C58="",对接源_02物料!$C58&lt;&gt;$N$1,对接源_02物料!$B58=""),0,IF(OR(N(对接源_02物料!$B58)&lt;$N$2,N(对接源_02物料!$B58)&gt;$N$3),0,1))</f>
        <v>0</v>
      </c>
      <c r="P1258">
        <f>IF(AND($K1258=1,AND(对接源_02物料!$X58="公司筐",N(对接源_02物料!$T58)&lt;&gt;0)),1,0)</f>
        <v>0</v>
      </c>
      <c r="Q1258">
        <f>N(Q1257)+$P1258</f>
        <v>0</v>
      </c>
      <c r="R1258">
        <f>IF(AND($K1258=1,AND(对接源_02物料!$X58="公司筐",N(对接源_02物料!$U58)&lt;&gt;0)),1,0)</f>
        <v>0</v>
      </c>
      <c r="S1258">
        <f>N(S1257)+$R1258</f>
        <v>0</v>
      </c>
      <c r="T1258">
        <f>IF(AND($K1258=1,AND(对接源_02物料!$X58="公司筐",N(对接源_02物料!$V58)&lt;&gt;0)),1,0)</f>
        <v>0</v>
      </c>
      <c r="U1258">
        <f>N(U1257)+$T1258</f>
        <v>47</v>
      </c>
      <c r="V1258">
        <f>IF(AND($L1258=1,AND(对接源_02物料!$X58="自备筐",N(对接源_02物料!$V58)&lt;&gt;0)),1,0)</f>
        <v>0</v>
      </c>
      <c r="W1258">
        <f>N(W1257)+$V1258</f>
        <v>11</v>
      </c>
      <c r="X1258">
        <f>IF(AND($L1258=1,AND(对接源_02物料!$X58="自备筐",N(对接源_02物料!$T58)&lt;&gt;0)),1,0)</f>
        <v>0</v>
      </c>
      <c r="Y1258">
        <f>N(Y1257)+$X1258</f>
        <v>0</v>
      </c>
      <c r="Z1258">
        <f>IF(AND($M1258=1,对接源_02物料!$D58="原料入库"),1,0)</f>
        <v>0</v>
      </c>
      <c r="AA1258">
        <f>N(AA1257)+$Z1258</f>
        <v>24</v>
      </c>
      <c r="AB1258">
        <f>IF(AND($M1258=1,LEFT(对接源_02物料!$D58,4)="原料出库"),1,0)</f>
        <v>0</v>
      </c>
      <c r="AC1258">
        <f>N(AC1257)+$AB1258</f>
        <v>0</v>
      </c>
      <c r="AD1258">
        <f>IF(AND($M1258=1,LEFT(对接源_02物料!$D58,4)="成品出库"),1,0)</f>
        <v>0</v>
      </c>
      <c r="AE1258">
        <f>N(AE1257)+$AD1258</f>
        <v>0</v>
      </c>
      <c r="AF1258">
        <f>IF(AND($N1258=1,AND(LEFT(对接源_02物料!$D58,4)="包装物料",N(对接源_02物料!$K58)&lt;&gt;0)),1,0)</f>
        <v>0</v>
      </c>
      <c r="AG1258">
        <f>N(AG1257)+$AF1258</f>
        <v>7</v>
      </c>
      <c r="AH1258">
        <f>IF(AND($N1258=1,AND(对接源_02物料!$D58="周转筐－销售出库",N(对接源_02物料!$K58)&lt;&gt;0)),1,0)</f>
        <v>0</v>
      </c>
      <c r="AI1258">
        <f>N(AI1257)+$AH1258</f>
        <v>0</v>
      </c>
      <c r="AL1258" t="n">
        <v>0</v>
      </c>
      <c r="AM1258">
        <f>N(AM1257)+$AL1258</f>
        <v>2</v>
      </c>
      <c r="AN1258">
        <f>""</f>
      </c>
      <c r="AO1258" t="n">
        <v>0</v>
      </c>
      <c r="AP1258">
        <f>N(AP1257)+$AO1258</f>
        <v>13</v>
      </c>
      <c r="AR1258">
        <f>IF(OR($AF1258=1,$AH1258=1),1,0)</f>
        <v>0</v>
      </c>
      <c r="AS1258">
        <f>N(AS1257)+$AR1258</f>
        <v>7</v>
      </c>
    </row>
    <row r="1259" s="127">
      <c r="A1259" t="str">
        <f>IF(对接源_02物料!$C59="","",对接源_02物料!$C59)</f>
        <v>艾海提</v>
      </c>
      <c r="B1259">
        <f>IF(A1259="",0,IF(MATCH(A1259,$A$4:$A$2403,0)=ROW()-3,1,0))</f>
        <v>0</v>
      </c>
      <c r="C1259">
        <f>N(C1258)+B1259</f>
        <v>24</v>
      </c>
      <c r="K1259">
        <f>IF(OR($K$1="",对接源_02物料!$C59="",对接源_02物料!$C59&lt;&gt;$K$1,对接源_02物料!$B59=""),0,IF(OR(N(对接源_02物料!$B59)&lt;$K$2,N(对接源_02物料!$B59)&gt;$K$3),0,1))</f>
        <v>0</v>
      </c>
      <c r="L1259">
        <f>IF(OR($L$1="",对接源_02物料!$C59="",对接源_02物料!$C59&lt;&gt;$L$1,对接源_02物料!$B59=""),0,IF(OR(N(对接源_02物料!$B59)&lt;$L$2,N(对接源_02物料!$B59)&gt;$L$3),0,1))</f>
        <v>0</v>
      </c>
      <c r="M1259">
        <f>IF(OR($M$1="",对接源_02物料!$C59="",对接源_02物料!$C59&lt;&gt;$M$1,对接源_02物料!$B59=""),0,IF(OR(N(对接源_02物料!$B59)&lt;$M$2,N(对接源_02物料!$B59)&gt;$M$3),0,1))</f>
        <v>0</v>
      </c>
      <c r="N1259">
        <f>IF(OR($N$1="",对接源_02物料!$C59="",对接源_02物料!$C59&lt;&gt;$N$1,对接源_02物料!$B59=""),0,IF(OR(N(对接源_02物料!$B59)&lt;$N$2,N(对接源_02物料!$B59)&gt;$N$3),0,1))</f>
        <v>0</v>
      </c>
      <c r="P1259">
        <f>IF(AND($K1259=1,AND(对接源_02物料!$X59="公司筐",N(对接源_02物料!$T59)&lt;&gt;0)),1,0)</f>
        <v>0</v>
      </c>
      <c r="Q1259">
        <f>N(Q1258)+$P1259</f>
        <v>0</v>
      </c>
      <c r="R1259">
        <f>IF(AND($K1259=1,AND(对接源_02物料!$X59="公司筐",N(对接源_02物料!$U59)&lt;&gt;0)),1,0)</f>
        <v>0</v>
      </c>
      <c r="S1259">
        <f>N(S1258)+$R1259</f>
        <v>0</v>
      </c>
      <c r="T1259">
        <f>IF(AND($K1259=1,AND(对接源_02物料!$X59="公司筐",N(对接源_02物料!$V59)&lt;&gt;0)),1,0)</f>
        <v>0</v>
      </c>
      <c r="U1259">
        <f>N(U1258)+$T1259</f>
        <v>47</v>
      </c>
      <c r="V1259">
        <f>IF(AND($L1259=1,AND(对接源_02物料!$X59="自备筐",N(对接源_02物料!$V59)&lt;&gt;0)),1,0)</f>
        <v>0</v>
      </c>
      <c r="W1259">
        <f>N(W1258)+$V1259</f>
        <v>11</v>
      </c>
      <c r="X1259">
        <f>IF(AND($L1259=1,AND(对接源_02物料!$X59="自备筐",N(对接源_02物料!$T59)&lt;&gt;0)),1,0)</f>
        <v>0</v>
      </c>
      <c r="Y1259">
        <f>N(Y1258)+$X1259</f>
        <v>0</v>
      </c>
      <c r="Z1259">
        <f>IF(AND($M1259=1,对接源_02物料!$D59="原料入库"),1,0)</f>
        <v>0</v>
      </c>
      <c r="AA1259">
        <f>N(AA1258)+$Z1259</f>
        <v>24</v>
      </c>
      <c r="AB1259">
        <f>IF(AND($M1259=1,LEFT(对接源_02物料!$D59,4)="原料出库"),1,0)</f>
        <v>0</v>
      </c>
      <c r="AC1259">
        <f>N(AC1258)+$AB1259</f>
        <v>0</v>
      </c>
      <c r="AD1259">
        <f>IF(AND($M1259=1,LEFT(对接源_02物料!$D59,4)="成品出库"),1,0)</f>
        <v>0</v>
      </c>
      <c r="AE1259">
        <f>N(AE1258)+$AD1259</f>
        <v>0</v>
      </c>
      <c r="AF1259">
        <f>IF(AND($N1259=1,AND(LEFT(对接源_02物料!$D59,4)="包装物料",N(对接源_02物料!$K59)&lt;&gt;0)),1,0)</f>
        <v>0</v>
      </c>
      <c r="AG1259">
        <f>N(AG1258)+$AF1259</f>
        <v>7</v>
      </c>
      <c r="AH1259">
        <f>IF(AND($N1259=1,AND(对接源_02物料!$D59="周转筐－销售出库",N(对接源_02物料!$K59)&lt;&gt;0)),1,0)</f>
        <v>0</v>
      </c>
      <c r="AI1259">
        <f>N(AI1258)+$AH1259</f>
        <v>0</v>
      </c>
      <c r="AL1259" t="n">
        <v>0</v>
      </c>
      <c r="AM1259">
        <f>N(AM1258)+$AL1259</f>
        <v>2</v>
      </c>
      <c r="AN1259">
        <f>""</f>
      </c>
      <c r="AO1259" t="n">
        <v>0</v>
      </c>
      <c r="AP1259">
        <f>N(AP1258)+$AO1259</f>
        <v>13</v>
      </c>
      <c r="AR1259">
        <f>IF(OR($AF1259=1,$AH1259=1),1,0)</f>
        <v>0</v>
      </c>
      <c r="AS1259">
        <f>N(AS1258)+$AR1259</f>
        <v>7</v>
      </c>
    </row>
    <row r="1260" s="127">
      <c r="A1260" t="str">
        <f>IF(对接源_02物料!$C60="","",对接源_02物料!$C60)</f>
        <v>努尔敦</v>
      </c>
      <c r="B1260">
        <f>IF(A1260="",0,IF(MATCH(A1260,$A$4:$A$2403,0)=ROW()-3,1,0))</f>
        <v>0</v>
      </c>
      <c r="C1260">
        <f>N(C1259)+B1260</f>
        <v>24</v>
      </c>
      <c r="K1260">
        <f>IF(OR($K$1="",对接源_02物料!$C60="",对接源_02物料!$C60&lt;&gt;$K$1,对接源_02物料!$B60=""),0,IF(OR(N(对接源_02物料!$B60)&lt;$K$2,N(对接源_02物料!$B60)&gt;$K$3),0,1))</f>
        <v>0</v>
      </c>
      <c r="L1260">
        <f>IF(OR($L$1="",对接源_02物料!$C60="",对接源_02物料!$C60&lt;&gt;$L$1,对接源_02物料!$B60=""),0,IF(OR(N(对接源_02物料!$B60)&lt;$L$2,N(对接源_02物料!$B60)&gt;$L$3),0,1))</f>
        <v>0</v>
      </c>
      <c r="M1260">
        <f>IF(OR($M$1="",对接源_02物料!$C60="",对接源_02物料!$C60&lt;&gt;$M$1,对接源_02物料!$B60=""),0,IF(OR(N(对接源_02物料!$B60)&lt;$M$2,N(对接源_02物料!$B60)&gt;$M$3),0,1))</f>
        <v>0</v>
      </c>
      <c r="N1260">
        <f>IF(OR($N$1="",对接源_02物料!$C60="",对接源_02物料!$C60&lt;&gt;$N$1,对接源_02物料!$B60=""),0,IF(OR(N(对接源_02物料!$B60)&lt;$N$2,N(对接源_02物料!$B60)&gt;$N$3),0,1))</f>
        <v>0</v>
      </c>
      <c r="P1260">
        <f>IF(AND($K1260=1,AND(对接源_02物料!$X60="公司筐",N(对接源_02物料!$T60)&lt;&gt;0)),1,0)</f>
        <v>0</v>
      </c>
      <c r="Q1260">
        <f>N(Q1259)+$P1260</f>
        <v>0</v>
      </c>
      <c r="R1260">
        <f>IF(AND($K1260=1,AND(对接源_02物料!$X60="公司筐",N(对接源_02物料!$U60)&lt;&gt;0)),1,0)</f>
        <v>0</v>
      </c>
      <c r="S1260">
        <f>N(S1259)+$R1260</f>
        <v>0</v>
      </c>
      <c r="T1260">
        <f>IF(AND($K1260=1,AND(对接源_02物料!$X60="公司筐",N(对接源_02物料!$V60)&lt;&gt;0)),1,0)</f>
        <v>0</v>
      </c>
      <c r="U1260">
        <f>N(U1259)+$T1260</f>
        <v>47</v>
      </c>
      <c r="V1260">
        <f>IF(AND($L1260=1,AND(对接源_02物料!$X60="自备筐",N(对接源_02物料!$V60)&lt;&gt;0)),1,0)</f>
        <v>0</v>
      </c>
      <c r="W1260">
        <f>N(W1259)+$V1260</f>
        <v>11</v>
      </c>
      <c r="X1260">
        <f>IF(AND($L1260=1,AND(对接源_02物料!$X60="自备筐",N(对接源_02物料!$T60)&lt;&gt;0)),1,0)</f>
        <v>0</v>
      </c>
      <c r="Y1260">
        <f>N(Y1259)+$X1260</f>
        <v>0</v>
      </c>
      <c r="Z1260">
        <f>IF(AND($M1260=1,对接源_02物料!$D60="原料入库"),1,0)</f>
        <v>0</v>
      </c>
      <c r="AA1260">
        <f>N(AA1259)+$Z1260</f>
        <v>24</v>
      </c>
      <c r="AB1260">
        <f>IF(AND($M1260=1,LEFT(对接源_02物料!$D60,4)="原料出库"),1,0)</f>
        <v>0</v>
      </c>
      <c r="AC1260">
        <f>N(AC1259)+$AB1260</f>
        <v>0</v>
      </c>
      <c r="AD1260">
        <f>IF(AND($M1260=1,LEFT(对接源_02物料!$D60,4)="成品出库"),1,0)</f>
        <v>0</v>
      </c>
      <c r="AE1260">
        <f>N(AE1259)+$AD1260</f>
        <v>0</v>
      </c>
      <c r="AF1260">
        <f>IF(AND($N1260=1,AND(LEFT(对接源_02物料!$D60,4)="包装物料",N(对接源_02物料!$K60)&lt;&gt;0)),1,0)</f>
        <v>0</v>
      </c>
      <c r="AG1260">
        <f>N(AG1259)+$AF1260</f>
        <v>7</v>
      </c>
      <c r="AH1260">
        <f>IF(AND($N1260=1,AND(对接源_02物料!$D60="周转筐－销售出库",N(对接源_02物料!$K60)&lt;&gt;0)),1,0)</f>
        <v>0</v>
      </c>
      <c r="AI1260">
        <f>N(AI1259)+$AH1260</f>
        <v>0</v>
      </c>
      <c r="AL1260" t="n">
        <v>0</v>
      </c>
      <c r="AM1260">
        <f>N(AM1259)+$AL1260</f>
        <v>2</v>
      </c>
      <c r="AN1260">
        <f>""</f>
      </c>
      <c r="AO1260" t="n">
        <v>0</v>
      </c>
      <c r="AP1260">
        <f>N(AP1259)+$AO1260</f>
        <v>13</v>
      </c>
      <c r="AR1260">
        <f>IF(OR($AF1260=1,$AH1260=1),1,0)</f>
        <v>0</v>
      </c>
      <c r="AS1260">
        <f>N(AS1259)+$AR1260</f>
        <v>7</v>
      </c>
    </row>
    <row r="1261" s="127">
      <c r="A1261" t="str">
        <f>IF(对接源_02物料!$C61="","",对接源_02物料!$C61)</f>
        <v>热合曼</v>
      </c>
      <c r="B1261">
        <f>IF(A1261="",0,IF(MATCH(A1261,$A$4:$A$2403,0)=ROW()-3,1,0))</f>
        <v>0</v>
      </c>
      <c r="C1261">
        <f>N(C1260)+B1261</f>
        <v>24</v>
      </c>
      <c r="K1261">
        <f>IF(OR($K$1="",对接源_02物料!$C61="",对接源_02物料!$C61&lt;&gt;$K$1,对接源_02物料!$B61=""),0,IF(OR(N(对接源_02物料!$B61)&lt;$K$2,N(对接源_02物料!$B61)&gt;$K$3),0,1))</f>
        <v>0</v>
      </c>
      <c r="L1261">
        <f>IF(OR($L$1="",对接源_02物料!$C61="",对接源_02物料!$C61&lt;&gt;$L$1,对接源_02物料!$B61=""),0,IF(OR(N(对接源_02物料!$B61)&lt;$L$2,N(对接源_02物料!$B61)&gt;$L$3),0,1))</f>
        <v>0</v>
      </c>
      <c r="M1261">
        <f>IF(OR($M$1="",对接源_02物料!$C61="",对接源_02物料!$C61&lt;&gt;$M$1,对接源_02物料!$B61=""),0,IF(OR(N(对接源_02物料!$B61)&lt;$M$2,N(对接源_02物料!$B61)&gt;$M$3),0,1))</f>
        <v>0</v>
      </c>
      <c r="N1261">
        <f>IF(OR($N$1="",对接源_02物料!$C61="",对接源_02物料!$C61&lt;&gt;$N$1,对接源_02物料!$B61=""),0,IF(OR(N(对接源_02物料!$B61)&lt;$N$2,N(对接源_02物料!$B61)&gt;$N$3),0,1))</f>
        <v>0</v>
      </c>
      <c r="P1261">
        <f>IF(AND($K1261=1,AND(对接源_02物料!$X61="公司筐",N(对接源_02物料!$T61)&lt;&gt;0)),1,0)</f>
        <v>0</v>
      </c>
      <c r="Q1261">
        <f>N(Q1260)+$P1261</f>
        <v>0</v>
      </c>
      <c r="R1261">
        <f>IF(AND($K1261=1,AND(对接源_02物料!$X61="公司筐",N(对接源_02物料!$U61)&lt;&gt;0)),1,0)</f>
        <v>0</v>
      </c>
      <c r="S1261">
        <f>N(S1260)+$R1261</f>
        <v>0</v>
      </c>
      <c r="T1261">
        <f>IF(AND($K1261=1,AND(对接源_02物料!$X61="公司筐",N(对接源_02物料!$V61)&lt;&gt;0)),1,0)</f>
        <v>0</v>
      </c>
      <c r="U1261">
        <f>N(U1260)+$T1261</f>
        <v>47</v>
      </c>
      <c r="V1261">
        <f>IF(AND($L1261=1,AND(对接源_02物料!$X61="自备筐",N(对接源_02物料!$V61)&lt;&gt;0)),1,0)</f>
        <v>0</v>
      </c>
      <c r="W1261">
        <f>N(W1260)+$V1261</f>
        <v>11</v>
      </c>
      <c r="X1261">
        <f>IF(AND($L1261=1,AND(对接源_02物料!$X61="自备筐",N(对接源_02物料!$T61)&lt;&gt;0)),1,0)</f>
        <v>0</v>
      </c>
      <c r="Y1261">
        <f>N(Y1260)+$X1261</f>
        <v>0</v>
      </c>
      <c r="Z1261">
        <f>IF(AND($M1261=1,对接源_02物料!$D61="原料入库"),1,0)</f>
        <v>0</v>
      </c>
      <c r="AA1261">
        <f>N(AA1260)+$Z1261</f>
        <v>24</v>
      </c>
      <c r="AB1261">
        <f>IF(AND($M1261=1,LEFT(对接源_02物料!$D61,4)="原料出库"),1,0)</f>
        <v>0</v>
      </c>
      <c r="AC1261">
        <f>N(AC1260)+$AB1261</f>
        <v>0</v>
      </c>
      <c r="AD1261">
        <f>IF(AND($M1261=1,LEFT(对接源_02物料!$D61,4)="成品出库"),1,0)</f>
        <v>0</v>
      </c>
      <c r="AE1261">
        <f>N(AE1260)+$AD1261</f>
        <v>0</v>
      </c>
      <c r="AF1261">
        <f>IF(AND($N1261=1,AND(LEFT(对接源_02物料!$D61,4)="包装物料",N(对接源_02物料!$K61)&lt;&gt;0)),1,0)</f>
        <v>0</v>
      </c>
      <c r="AG1261">
        <f>N(AG1260)+$AF1261</f>
        <v>7</v>
      </c>
      <c r="AH1261">
        <f>IF(AND($N1261=1,AND(对接源_02物料!$D61="周转筐－销售出库",N(对接源_02物料!$K61)&lt;&gt;0)),1,0)</f>
        <v>0</v>
      </c>
      <c r="AI1261">
        <f>N(AI1260)+$AH1261</f>
        <v>0</v>
      </c>
      <c r="AL1261" t="n">
        <v>0</v>
      </c>
      <c r="AM1261">
        <f>N(AM1260)+$AL1261</f>
        <v>2</v>
      </c>
      <c r="AN1261">
        <f>""</f>
      </c>
      <c r="AO1261" t="n">
        <v>0</v>
      </c>
      <c r="AP1261">
        <f>N(AP1260)+$AO1261</f>
        <v>13</v>
      </c>
      <c r="AR1261">
        <f>IF(OR($AF1261=1,$AH1261=1),1,0)</f>
        <v>0</v>
      </c>
      <c r="AS1261">
        <f>N(AS1260)+$AR1261</f>
        <v>7</v>
      </c>
    </row>
    <row r="1262" s="127">
      <c r="A1262" t="str">
        <f>IF(对接源_02物料!$C62="","",对接源_02物料!$C62)</f>
        <v>荆建君</v>
      </c>
      <c r="B1262">
        <f>IF(A1262="",0,IF(MATCH(A1262,$A$4:$A$2403,0)=ROW()-3,1,0))</f>
        <v>0</v>
      </c>
      <c r="C1262">
        <f>N(C1261)+B1262</f>
        <v>24</v>
      </c>
      <c r="K1262">
        <f>IF(OR($K$1="",对接源_02物料!$C62="",对接源_02物料!$C62&lt;&gt;$K$1,对接源_02物料!$B62=""),0,IF(OR(N(对接源_02物料!$B62)&lt;$K$2,N(对接源_02物料!$B62)&gt;$K$3),0,1))</f>
        <v>0</v>
      </c>
      <c r="L1262">
        <f>IF(OR($L$1="",对接源_02物料!$C62="",对接源_02物料!$C62&lt;&gt;$L$1,对接源_02物料!$B62=""),0,IF(OR(N(对接源_02物料!$B62)&lt;$L$2,N(对接源_02物料!$B62)&gt;$L$3),0,1))</f>
        <v>0</v>
      </c>
      <c r="M1262">
        <f>IF(OR($M$1="",对接源_02物料!$C62="",对接源_02物料!$C62&lt;&gt;$M$1,对接源_02物料!$B62=""),0,IF(OR(N(对接源_02物料!$B62)&lt;$M$2,N(对接源_02物料!$B62)&gt;$M$3),0,1))</f>
        <v>0</v>
      </c>
      <c r="N1262">
        <f>IF(OR($N$1="",对接源_02物料!$C62="",对接源_02物料!$C62&lt;&gt;$N$1,对接源_02物料!$B62=""),0,IF(OR(N(对接源_02物料!$B62)&lt;$N$2,N(对接源_02物料!$B62)&gt;$N$3),0,1))</f>
        <v>0</v>
      </c>
      <c r="P1262">
        <f>IF(AND($K1262=1,AND(对接源_02物料!$X62="公司筐",N(对接源_02物料!$T62)&lt;&gt;0)),1,0)</f>
        <v>0</v>
      </c>
      <c r="Q1262">
        <f>N(Q1261)+$P1262</f>
        <v>0</v>
      </c>
      <c r="R1262">
        <f>IF(AND($K1262=1,AND(对接源_02物料!$X62="公司筐",N(对接源_02物料!$U62)&lt;&gt;0)),1,0)</f>
        <v>0</v>
      </c>
      <c r="S1262">
        <f>N(S1261)+$R1262</f>
        <v>0</v>
      </c>
      <c r="T1262">
        <f>IF(AND($K1262=1,AND(对接源_02物料!$X62="公司筐",N(对接源_02物料!$V62)&lt;&gt;0)),1,0)</f>
        <v>0</v>
      </c>
      <c r="U1262">
        <f>N(U1261)+$T1262</f>
        <v>47</v>
      </c>
      <c r="V1262">
        <f>IF(AND($L1262=1,AND(对接源_02物料!$X62="自备筐",N(对接源_02物料!$V62)&lt;&gt;0)),1,0)</f>
        <v>0</v>
      </c>
      <c r="W1262">
        <f>N(W1261)+$V1262</f>
        <v>11</v>
      </c>
      <c r="X1262">
        <f>IF(AND($L1262=1,AND(对接源_02物料!$X62="自备筐",N(对接源_02物料!$T62)&lt;&gt;0)),1,0)</f>
        <v>0</v>
      </c>
      <c r="Y1262">
        <f>N(Y1261)+$X1262</f>
        <v>0</v>
      </c>
      <c r="Z1262">
        <f>IF(AND($M1262=1,对接源_02物料!$D62="原料入库"),1,0)</f>
        <v>0</v>
      </c>
      <c r="AA1262">
        <f>N(AA1261)+$Z1262</f>
        <v>24</v>
      </c>
      <c r="AB1262">
        <f>IF(AND($M1262=1,LEFT(对接源_02物料!$D62,4)="原料出库"),1,0)</f>
        <v>0</v>
      </c>
      <c r="AC1262">
        <f>N(AC1261)+$AB1262</f>
        <v>0</v>
      </c>
      <c r="AD1262">
        <f>IF(AND($M1262=1,LEFT(对接源_02物料!$D62,4)="成品出库"),1,0)</f>
        <v>0</v>
      </c>
      <c r="AE1262">
        <f>N(AE1261)+$AD1262</f>
        <v>0</v>
      </c>
      <c r="AF1262">
        <f>IF(AND($N1262=1,AND(LEFT(对接源_02物料!$D62,4)="包装物料",N(对接源_02物料!$K62)&lt;&gt;0)),1,0)</f>
        <v>0</v>
      </c>
      <c r="AG1262">
        <f>N(AG1261)+$AF1262</f>
        <v>7</v>
      </c>
      <c r="AH1262">
        <f>IF(AND($N1262=1,AND(对接源_02物料!$D62="周转筐－销售出库",N(对接源_02物料!$K62)&lt;&gt;0)),1,0)</f>
        <v>0</v>
      </c>
      <c r="AI1262">
        <f>N(AI1261)+$AH1262</f>
        <v>0</v>
      </c>
      <c r="AL1262" t="n">
        <v>0</v>
      </c>
      <c r="AM1262">
        <f>N(AM1261)+$AL1262</f>
        <v>2</v>
      </c>
      <c r="AN1262">
        <f>""</f>
      </c>
      <c r="AO1262" t="n">
        <v>0</v>
      </c>
      <c r="AP1262">
        <f>N(AP1261)+$AO1262</f>
        <v>13</v>
      </c>
      <c r="AR1262">
        <f>IF(OR($AF1262=1,$AH1262=1),1,0)</f>
        <v>0</v>
      </c>
      <c r="AS1262">
        <f>N(AS1261)+$AR1262</f>
        <v>7</v>
      </c>
    </row>
    <row r="1263" s="127">
      <c r="A1263" t="str">
        <f>IF(对接源_02物料!$C63="","",对接源_02物料!$C63)</f>
        <v>麦麦提</v>
      </c>
      <c r="B1263">
        <f>IF(A1263="",0,IF(MATCH(A1263,$A$4:$A$2403,0)=ROW()-3,1,0))</f>
        <v>0</v>
      </c>
      <c r="C1263">
        <f>N(C1262)+B1263</f>
        <v>24</v>
      </c>
      <c r="K1263">
        <f>IF(OR($K$1="",对接源_02物料!$C63="",对接源_02物料!$C63&lt;&gt;$K$1,对接源_02物料!$B63=""),0,IF(OR(N(对接源_02物料!$B63)&lt;$K$2,N(对接源_02物料!$B63)&gt;$K$3),0,1))</f>
        <v>0</v>
      </c>
      <c r="L1263">
        <f>IF(OR($L$1="",对接源_02物料!$C63="",对接源_02物料!$C63&lt;&gt;$L$1,对接源_02物料!$B63=""),0,IF(OR(N(对接源_02物料!$B63)&lt;$L$2,N(对接源_02物料!$B63)&gt;$L$3),0,1))</f>
        <v>0</v>
      </c>
      <c r="M1263">
        <f>IF(OR($M$1="",对接源_02物料!$C63="",对接源_02物料!$C63&lt;&gt;$M$1,对接源_02物料!$B63=""),0,IF(OR(N(对接源_02物料!$B63)&lt;$M$2,N(对接源_02物料!$B63)&gt;$M$3),0,1))</f>
        <v>0</v>
      </c>
      <c r="N1263">
        <f>IF(OR($N$1="",对接源_02物料!$C63="",对接源_02物料!$C63&lt;&gt;$N$1,对接源_02物料!$B63=""),0,IF(OR(N(对接源_02物料!$B63)&lt;$N$2,N(对接源_02物料!$B63)&gt;$N$3),0,1))</f>
        <v>1</v>
      </c>
      <c r="P1263">
        <f>IF(AND($K1263=1,AND(对接源_02物料!$X63="公司筐",N(对接源_02物料!$T63)&lt;&gt;0)),1,0)</f>
        <v>0</v>
      </c>
      <c r="Q1263">
        <f>N(Q1262)+$P1263</f>
        <v>0</v>
      </c>
      <c r="R1263">
        <f>IF(AND($K1263=1,AND(对接源_02物料!$X63="公司筐",N(对接源_02物料!$U63)&lt;&gt;0)),1,0)</f>
        <v>0</v>
      </c>
      <c r="S1263">
        <f>N(S1262)+$R1263</f>
        <v>0</v>
      </c>
      <c r="T1263">
        <f>IF(AND($K1263=1,AND(对接源_02物料!$X63="公司筐",N(对接源_02物料!$V63)&lt;&gt;0)),1,0)</f>
        <v>0</v>
      </c>
      <c r="U1263">
        <f>N(U1262)+$T1263</f>
        <v>47</v>
      </c>
      <c r="V1263">
        <f>IF(AND($L1263=1,AND(对接源_02物料!$X63="自备筐",N(对接源_02物料!$V63)&lt;&gt;0)),1,0)</f>
        <v>0</v>
      </c>
      <c r="W1263">
        <f>N(W1262)+$V1263</f>
        <v>11</v>
      </c>
      <c r="X1263">
        <f>IF(AND($L1263=1,AND(对接源_02物料!$X63="自备筐",N(对接源_02物料!$T63)&lt;&gt;0)),1,0)</f>
        <v>0</v>
      </c>
      <c r="Y1263">
        <f>N(Y1262)+$X1263</f>
        <v>0</v>
      </c>
      <c r="Z1263">
        <f>IF(AND($M1263=1,对接源_02物料!$D63="原料入库"),1,0)</f>
        <v>0</v>
      </c>
      <c r="AA1263">
        <f>N(AA1262)+$Z1263</f>
        <v>24</v>
      </c>
      <c r="AB1263">
        <f>IF(AND($M1263=1,LEFT(对接源_02物料!$D63,4)="原料出库"),1,0)</f>
        <v>0</v>
      </c>
      <c r="AC1263">
        <f>N(AC1262)+$AB1263</f>
        <v>0</v>
      </c>
      <c r="AD1263">
        <f>IF(AND($M1263=1,LEFT(对接源_02物料!$D63,4)="成品出库"),1,0)</f>
        <v>0</v>
      </c>
      <c r="AE1263">
        <f>N(AE1262)+$AD1263</f>
        <v>0</v>
      </c>
      <c r="AF1263">
        <f>IF(AND($N1263=1,AND(LEFT(对接源_02物料!$D63,4)="包装物料",N(对接源_02物料!$K63)&lt;&gt;0)),1,0)</f>
        <v>1</v>
      </c>
      <c r="AG1263">
        <f>N(AG1262)+$AF1263</f>
        <v>8</v>
      </c>
      <c r="AH1263">
        <f>IF(AND($N1263=1,AND(对接源_02物料!$D63="周转筐－销售出库",N(对接源_02物料!$K63)&lt;&gt;0)),1,0)</f>
        <v>0</v>
      </c>
      <c r="AI1263">
        <f>N(AI1262)+$AH1263</f>
        <v>0</v>
      </c>
      <c r="AL1263" t="n">
        <v>0</v>
      </c>
      <c r="AM1263">
        <f>N(AM1262)+$AL1263</f>
        <v>2</v>
      </c>
      <c r="AN1263">
        <f>""</f>
      </c>
      <c r="AO1263" t="n">
        <v>0</v>
      </c>
      <c r="AP1263">
        <f>N(AP1262)+$AO1263</f>
        <v>13</v>
      </c>
      <c r="AR1263">
        <f>IF(OR($AF1263=1,$AH1263=1),1,0)</f>
        <v>1</v>
      </c>
      <c r="AS1263">
        <f>N(AS1262)+$AR1263</f>
        <v>8</v>
      </c>
    </row>
    <row r="1264" s="127">
      <c r="A1264" t="str">
        <f>IF(对接源_02物料!$C64="","",对接源_02物料!$C64)</f>
        <v>吐尔地</v>
      </c>
      <c r="B1264">
        <f>IF(A1264="",0,IF(MATCH(A1264,$A$4:$A$2403,0)=ROW()-3,1,0))</f>
        <v>0</v>
      </c>
      <c r="C1264">
        <f>N(C1263)+B1264</f>
        <v>24</v>
      </c>
      <c r="K1264">
        <f>IF(OR($K$1="",对接源_02物料!$C64="",对接源_02物料!$C64&lt;&gt;$K$1,对接源_02物料!$B64=""),0,IF(OR(N(对接源_02物料!$B64)&lt;$K$2,N(对接源_02物料!$B64)&gt;$K$3),0,1))</f>
        <v>0</v>
      </c>
      <c r="L1264">
        <f>IF(OR($L$1="",对接源_02物料!$C64="",对接源_02物料!$C64&lt;&gt;$L$1,对接源_02物料!$B64=""),0,IF(OR(N(对接源_02物料!$B64)&lt;$L$2,N(对接源_02物料!$B64)&gt;$L$3),0,1))</f>
        <v>0</v>
      </c>
      <c r="M1264">
        <f>IF(OR($M$1="",对接源_02物料!$C64="",对接源_02物料!$C64&lt;&gt;$M$1,对接源_02物料!$B64=""),0,IF(OR(N(对接源_02物料!$B64)&lt;$M$2,N(对接源_02物料!$B64)&gt;$M$3),0,1))</f>
        <v>0</v>
      </c>
      <c r="N1264">
        <f>IF(OR($N$1="",对接源_02物料!$C64="",对接源_02物料!$C64&lt;&gt;$N$1,对接源_02物料!$B64=""),0,IF(OR(N(对接源_02物料!$B64)&lt;$N$2,N(对接源_02物料!$B64)&gt;$N$3),0,1))</f>
        <v>0</v>
      </c>
      <c r="P1264">
        <f>IF(AND($K1264=1,AND(对接源_02物料!$X64="公司筐",N(对接源_02物料!$T64)&lt;&gt;0)),1,0)</f>
        <v>0</v>
      </c>
      <c r="Q1264">
        <f>N(Q1263)+$P1264</f>
        <v>0</v>
      </c>
      <c r="R1264">
        <f>IF(AND($K1264=1,AND(对接源_02物料!$X64="公司筐",N(对接源_02物料!$U64)&lt;&gt;0)),1,0)</f>
        <v>0</v>
      </c>
      <c r="S1264">
        <f>N(S1263)+$R1264</f>
        <v>0</v>
      </c>
      <c r="T1264">
        <f>IF(AND($K1264=1,AND(对接源_02物料!$X64="公司筐",N(对接源_02物料!$V64)&lt;&gt;0)),1,0)</f>
        <v>0</v>
      </c>
      <c r="U1264">
        <f>N(U1263)+$T1264</f>
        <v>47</v>
      </c>
      <c r="V1264">
        <f>IF(AND($L1264=1,AND(对接源_02物料!$X64="自备筐",N(对接源_02物料!$V64)&lt;&gt;0)),1,0)</f>
        <v>0</v>
      </c>
      <c r="W1264">
        <f>N(W1263)+$V1264</f>
        <v>11</v>
      </c>
      <c r="X1264">
        <f>IF(AND($L1264=1,AND(对接源_02物料!$X64="自备筐",N(对接源_02物料!$T64)&lt;&gt;0)),1,0)</f>
        <v>0</v>
      </c>
      <c r="Y1264">
        <f>N(Y1263)+$X1264</f>
        <v>0</v>
      </c>
      <c r="Z1264">
        <f>IF(AND($M1264=1,对接源_02物料!$D64="原料入库"),1,0)</f>
        <v>0</v>
      </c>
      <c r="AA1264">
        <f>N(AA1263)+$Z1264</f>
        <v>24</v>
      </c>
      <c r="AB1264">
        <f>IF(AND($M1264=1,LEFT(对接源_02物料!$D64,4)="原料出库"),1,0)</f>
        <v>0</v>
      </c>
      <c r="AC1264">
        <f>N(AC1263)+$AB1264</f>
        <v>0</v>
      </c>
      <c r="AD1264">
        <f>IF(AND($M1264=1,LEFT(对接源_02物料!$D64,4)="成品出库"),1,0)</f>
        <v>0</v>
      </c>
      <c r="AE1264">
        <f>N(AE1263)+$AD1264</f>
        <v>0</v>
      </c>
      <c r="AF1264">
        <f>IF(AND($N1264=1,AND(LEFT(对接源_02物料!$D64,4)="包装物料",N(对接源_02物料!$K64)&lt;&gt;0)),1,0)</f>
        <v>0</v>
      </c>
      <c r="AG1264">
        <f>N(AG1263)+$AF1264</f>
        <v>8</v>
      </c>
      <c r="AH1264">
        <f>IF(AND($N1264=1,AND(对接源_02物料!$D64="周转筐－销售出库",N(对接源_02物料!$K64)&lt;&gt;0)),1,0)</f>
        <v>0</v>
      </c>
      <c r="AI1264">
        <f>N(AI1263)+$AH1264</f>
        <v>0</v>
      </c>
      <c r="AL1264" t="n">
        <v>0</v>
      </c>
      <c r="AM1264">
        <f>N(AM1263)+$AL1264</f>
        <v>2</v>
      </c>
      <c r="AN1264">
        <f>""</f>
      </c>
      <c r="AO1264" t="n">
        <v>0</v>
      </c>
      <c r="AP1264">
        <f>N(AP1263)+$AO1264</f>
        <v>13</v>
      </c>
      <c r="AR1264">
        <f>IF(OR($AF1264=1,$AH1264=1),1,0)</f>
        <v>0</v>
      </c>
      <c r="AS1264">
        <f>N(AS1263)+$AR1264</f>
        <v>8</v>
      </c>
    </row>
    <row r="1265" s="127">
      <c r="A1265" t="str">
        <f>IF(对接源_02物料!$C65="","",对接源_02物料!$C65)</f>
        <v>吐尔地</v>
      </c>
      <c r="B1265">
        <f>IF(A1265="",0,IF(MATCH(A1265,$A$4:$A$2403,0)=ROW()-3,1,0))</f>
        <v>0</v>
      </c>
      <c r="C1265">
        <f>N(C1264)+B1265</f>
        <v>24</v>
      </c>
      <c r="K1265">
        <f>IF(OR($K$1="",对接源_02物料!$C65="",对接源_02物料!$C65&lt;&gt;$K$1,对接源_02物料!$B65=""),0,IF(OR(N(对接源_02物料!$B65)&lt;$K$2,N(对接源_02物料!$B65)&gt;$K$3),0,1))</f>
        <v>0</v>
      </c>
      <c r="L1265">
        <f>IF(OR($L$1="",对接源_02物料!$C65="",对接源_02物料!$C65&lt;&gt;$L$1,对接源_02物料!$B65=""),0,IF(OR(N(对接源_02物料!$B65)&lt;$L$2,N(对接源_02物料!$B65)&gt;$L$3),0,1))</f>
        <v>0</v>
      </c>
      <c r="M1265">
        <f>IF(OR($M$1="",对接源_02物料!$C65="",对接源_02物料!$C65&lt;&gt;$M$1,对接源_02物料!$B65=""),0,IF(OR(N(对接源_02物料!$B65)&lt;$M$2,N(对接源_02物料!$B65)&gt;$M$3),0,1))</f>
        <v>0</v>
      </c>
      <c r="N1265">
        <f>IF(OR($N$1="",对接源_02物料!$C65="",对接源_02物料!$C65&lt;&gt;$N$1,对接源_02物料!$B65=""),0,IF(OR(N(对接源_02物料!$B65)&lt;$N$2,N(对接源_02物料!$B65)&gt;$N$3),0,1))</f>
        <v>0</v>
      </c>
      <c r="P1265">
        <f>IF(AND($K1265=1,AND(对接源_02物料!$X65="公司筐",N(对接源_02物料!$T65)&lt;&gt;0)),1,0)</f>
        <v>0</v>
      </c>
      <c r="Q1265">
        <f>N(Q1264)+$P1265</f>
        <v>0</v>
      </c>
      <c r="R1265">
        <f>IF(AND($K1265=1,AND(对接源_02物料!$X65="公司筐",N(对接源_02物料!$U65)&lt;&gt;0)),1,0)</f>
        <v>0</v>
      </c>
      <c r="S1265">
        <f>N(S1264)+$R1265</f>
        <v>0</v>
      </c>
      <c r="T1265">
        <f>IF(AND($K1265=1,AND(对接源_02物料!$X65="公司筐",N(对接源_02物料!$V65)&lt;&gt;0)),1,0)</f>
        <v>0</v>
      </c>
      <c r="U1265">
        <f>N(U1264)+$T1265</f>
        <v>47</v>
      </c>
      <c r="V1265">
        <f>IF(AND($L1265=1,AND(对接源_02物料!$X65="自备筐",N(对接源_02物料!$V65)&lt;&gt;0)),1,0)</f>
        <v>0</v>
      </c>
      <c r="W1265">
        <f>N(W1264)+$V1265</f>
        <v>11</v>
      </c>
      <c r="X1265">
        <f>IF(AND($L1265=1,AND(对接源_02物料!$X65="自备筐",N(对接源_02物料!$T65)&lt;&gt;0)),1,0)</f>
        <v>0</v>
      </c>
      <c r="Y1265">
        <f>N(Y1264)+$X1265</f>
        <v>0</v>
      </c>
      <c r="Z1265">
        <f>IF(AND($M1265=1,对接源_02物料!$D65="原料入库"),1,0)</f>
        <v>0</v>
      </c>
      <c r="AA1265">
        <f>N(AA1264)+$Z1265</f>
        <v>24</v>
      </c>
      <c r="AB1265">
        <f>IF(AND($M1265=1,LEFT(对接源_02物料!$D65,4)="原料出库"),1,0)</f>
        <v>0</v>
      </c>
      <c r="AC1265">
        <f>N(AC1264)+$AB1265</f>
        <v>0</v>
      </c>
      <c r="AD1265">
        <f>IF(AND($M1265=1,LEFT(对接源_02物料!$D65,4)="成品出库"),1,0)</f>
        <v>0</v>
      </c>
      <c r="AE1265">
        <f>N(AE1264)+$AD1265</f>
        <v>0</v>
      </c>
      <c r="AF1265">
        <f>IF(AND($N1265=1,AND(LEFT(对接源_02物料!$D65,4)="包装物料",N(对接源_02物料!$K65)&lt;&gt;0)),1,0)</f>
        <v>0</v>
      </c>
      <c r="AG1265">
        <f>N(AG1264)+$AF1265</f>
        <v>8</v>
      </c>
      <c r="AH1265">
        <f>IF(AND($N1265=1,AND(对接源_02物料!$D65="周转筐－销售出库",N(对接源_02物料!$K65)&lt;&gt;0)),1,0)</f>
        <v>0</v>
      </c>
      <c r="AI1265">
        <f>N(AI1264)+$AH1265</f>
        <v>0</v>
      </c>
      <c r="AL1265" t="n">
        <v>0</v>
      </c>
      <c r="AM1265">
        <f>N(AM1264)+$AL1265</f>
        <v>2</v>
      </c>
      <c r="AN1265">
        <f>""</f>
      </c>
      <c r="AO1265" t="n">
        <v>0</v>
      </c>
      <c r="AP1265">
        <f>N(AP1264)+$AO1265</f>
        <v>13</v>
      </c>
      <c r="AR1265">
        <f>IF(OR($AF1265=1,$AH1265=1),1,0)</f>
        <v>0</v>
      </c>
      <c r="AS1265">
        <f>N(AS1264)+$AR1265</f>
        <v>8</v>
      </c>
    </row>
    <row r="1266" s="127">
      <c r="A1266" t="str">
        <f>IF(对接源_02物料!$C66="","",对接源_02物料!$C66)</f>
        <v>麦麦提</v>
      </c>
      <c r="B1266">
        <f>IF(A1266="",0,IF(MATCH(A1266,$A$4:$A$2403,0)=ROW()-3,1,0))</f>
        <v>0</v>
      </c>
      <c r="C1266">
        <f>N(C1265)+B1266</f>
        <v>24</v>
      </c>
      <c r="K1266">
        <f>IF(OR($K$1="",对接源_02物料!$C66="",对接源_02物料!$C66&lt;&gt;$K$1,对接源_02物料!$B66=""),0,IF(OR(N(对接源_02物料!$B66)&lt;$K$2,N(对接源_02物料!$B66)&gt;$K$3),0,1))</f>
        <v>0</v>
      </c>
      <c r="L1266">
        <f>IF(OR($L$1="",对接源_02物料!$C66="",对接源_02物料!$C66&lt;&gt;$L$1,对接源_02物料!$B66=""),0,IF(OR(N(对接源_02物料!$B66)&lt;$L$2,N(对接源_02物料!$B66)&gt;$L$3),0,1))</f>
        <v>0</v>
      </c>
      <c r="M1266">
        <f>IF(OR($M$1="",对接源_02物料!$C66="",对接源_02物料!$C66&lt;&gt;$M$1,对接源_02物料!$B66=""),0,IF(OR(N(对接源_02物料!$B66)&lt;$M$2,N(对接源_02物料!$B66)&gt;$M$3),0,1))</f>
        <v>0</v>
      </c>
      <c r="N1266">
        <f>IF(OR($N$1="",对接源_02物料!$C66="",对接源_02物料!$C66&lt;&gt;$N$1,对接源_02物料!$B66=""),0,IF(OR(N(对接源_02物料!$B66)&lt;$N$2,N(对接源_02物料!$B66)&gt;$N$3),0,1))</f>
        <v>1</v>
      </c>
      <c r="P1266">
        <f>IF(AND($K1266=1,AND(对接源_02物料!$X66="公司筐",N(对接源_02物料!$T66)&lt;&gt;0)),1,0)</f>
        <v>0</v>
      </c>
      <c r="Q1266">
        <f>N(Q1265)+$P1266</f>
        <v>0</v>
      </c>
      <c r="R1266">
        <f>IF(AND($K1266=1,AND(对接源_02物料!$X66="公司筐",N(对接源_02物料!$U66)&lt;&gt;0)),1,0)</f>
        <v>0</v>
      </c>
      <c r="S1266">
        <f>N(S1265)+$R1266</f>
        <v>0</v>
      </c>
      <c r="T1266">
        <f>IF(AND($K1266=1,AND(对接源_02物料!$X66="公司筐",N(对接源_02物料!$V66)&lt;&gt;0)),1,0)</f>
        <v>0</v>
      </c>
      <c r="U1266">
        <f>N(U1265)+$T1266</f>
        <v>47</v>
      </c>
      <c r="V1266">
        <f>IF(AND($L1266=1,AND(对接源_02物料!$X66="自备筐",N(对接源_02物料!$V66)&lt;&gt;0)),1,0)</f>
        <v>0</v>
      </c>
      <c r="W1266">
        <f>N(W1265)+$V1266</f>
        <v>11</v>
      </c>
      <c r="X1266">
        <f>IF(AND($L1266=1,AND(对接源_02物料!$X66="自备筐",N(对接源_02物料!$T66)&lt;&gt;0)),1,0)</f>
        <v>0</v>
      </c>
      <c r="Y1266">
        <f>N(Y1265)+$X1266</f>
        <v>0</v>
      </c>
      <c r="Z1266">
        <f>IF(AND($M1266=1,对接源_02物料!$D66="原料入库"),1,0)</f>
        <v>0</v>
      </c>
      <c r="AA1266">
        <f>N(AA1265)+$Z1266</f>
        <v>24</v>
      </c>
      <c r="AB1266">
        <f>IF(AND($M1266=1,LEFT(对接源_02物料!$D66,4)="原料出库"),1,0)</f>
        <v>0</v>
      </c>
      <c r="AC1266">
        <f>N(AC1265)+$AB1266</f>
        <v>0</v>
      </c>
      <c r="AD1266">
        <f>IF(AND($M1266=1,LEFT(对接源_02物料!$D66,4)="成品出库"),1,0)</f>
        <v>0</v>
      </c>
      <c r="AE1266">
        <f>N(AE1265)+$AD1266</f>
        <v>0</v>
      </c>
      <c r="AF1266">
        <f>IF(AND($N1266=1,AND(LEFT(对接源_02物料!$D66,4)="包装物料",N(对接源_02物料!$K66)&lt;&gt;0)),1,0)</f>
        <v>1</v>
      </c>
      <c r="AG1266">
        <f>N(AG1265)+$AF1266</f>
        <v>9</v>
      </c>
      <c r="AH1266">
        <f>IF(AND($N1266=1,AND(对接源_02物料!$D66="周转筐－销售出库",N(对接源_02物料!$K66)&lt;&gt;0)),1,0)</f>
        <v>0</v>
      </c>
      <c r="AI1266">
        <f>N(AI1265)+$AH1266</f>
        <v>0</v>
      </c>
      <c r="AL1266" t="n">
        <v>0</v>
      </c>
      <c r="AM1266">
        <f>N(AM1265)+$AL1266</f>
        <v>2</v>
      </c>
      <c r="AN1266">
        <f>""</f>
      </c>
      <c r="AO1266" t="n">
        <v>0</v>
      </c>
      <c r="AP1266">
        <f>N(AP1265)+$AO1266</f>
        <v>13</v>
      </c>
      <c r="AR1266">
        <f>IF(OR($AF1266=1,$AH1266=1),1,0)</f>
        <v>1</v>
      </c>
      <c r="AS1266">
        <f>N(AS1265)+$AR1266</f>
        <v>9</v>
      </c>
    </row>
    <row r="1267" s="127">
      <c r="A1267" t="str">
        <f>IF(对接源_02物料!$C67="","",对接源_02物料!$C67)</f>
        <v>吐尔地</v>
      </c>
      <c r="B1267">
        <f>IF(A1267="",0,IF(MATCH(A1267,$A$4:$A$2403,0)=ROW()-3,1,0))</f>
        <v>0</v>
      </c>
      <c r="C1267">
        <f>N(C1266)+B1267</f>
        <v>24</v>
      </c>
      <c r="K1267">
        <f>IF(OR($K$1="",对接源_02物料!$C67="",对接源_02物料!$C67&lt;&gt;$K$1,对接源_02物料!$B67=""),0,IF(OR(N(对接源_02物料!$B67)&lt;$K$2,N(对接源_02物料!$B67)&gt;$K$3),0,1))</f>
        <v>0</v>
      </c>
      <c r="L1267">
        <f>IF(OR($L$1="",对接源_02物料!$C67="",对接源_02物料!$C67&lt;&gt;$L$1,对接源_02物料!$B67=""),0,IF(OR(N(对接源_02物料!$B67)&lt;$L$2,N(对接源_02物料!$B67)&gt;$L$3),0,1))</f>
        <v>0</v>
      </c>
      <c r="M1267">
        <f>IF(OR($M$1="",对接源_02物料!$C67="",对接源_02物料!$C67&lt;&gt;$M$1,对接源_02物料!$B67=""),0,IF(OR(N(对接源_02物料!$B67)&lt;$M$2,N(对接源_02物料!$B67)&gt;$M$3),0,1))</f>
        <v>0</v>
      </c>
      <c r="N1267">
        <f>IF(OR($N$1="",对接源_02物料!$C67="",对接源_02物料!$C67&lt;&gt;$N$1,对接源_02物料!$B67=""),0,IF(OR(N(对接源_02物料!$B67)&lt;$N$2,N(对接源_02物料!$B67)&gt;$N$3),0,1))</f>
        <v>0</v>
      </c>
      <c r="P1267">
        <f>IF(AND($K1267=1,AND(对接源_02物料!$X67="公司筐",N(对接源_02物料!$T67)&lt;&gt;0)),1,0)</f>
        <v>0</v>
      </c>
      <c r="Q1267">
        <f>N(Q1266)+$P1267</f>
        <v>0</v>
      </c>
      <c r="R1267">
        <f>IF(AND($K1267=1,AND(对接源_02物料!$X67="公司筐",N(对接源_02物料!$U67)&lt;&gt;0)),1,0)</f>
        <v>0</v>
      </c>
      <c r="S1267">
        <f>N(S1266)+$R1267</f>
        <v>0</v>
      </c>
      <c r="T1267">
        <f>IF(AND($K1267=1,AND(对接源_02物料!$X67="公司筐",N(对接源_02物料!$V67)&lt;&gt;0)),1,0)</f>
        <v>0</v>
      </c>
      <c r="U1267">
        <f>N(U1266)+$T1267</f>
        <v>47</v>
      </c>
      <c r="V1267">
        <f>IF(AND($L1267=1,AND(对接源_02物料!$X67="自备筐",N(对接源_02物料!$V67)&lt;&gt;0)),1,0)</f>
        <v>0</v>
      </c>
      <c r="W1267">
        <f>N(W1266)+$V1267</f>
        <v>11</v>
      </c>
      <c r="X1267">
        <f>IF(AND($L1267=1,AND(对接源_02物料!$X67="自备筐",N(对接源_02物料!$T67)&lt;&gt;0)),1,0)</f>
        <v>0</v>
      </c>
      <c r="Y1267">
        <f>N(Y1266)+$X1267</f>
        <v>0</v>
      </c>
      <c r="Z1267">
        <f>IF(AND($M1267=1,对接源_02物料!$D67="原料入库"),1,0)</f>
        <v>0</v>
      </c>
      <c r="AA1267">
        <f>N(AA1266)+$Z1267</f>
        <v>24</v>
      </c>
      <c r="AB1267">
        <f>IF(AND($M1267=1,LEFT(对接源_02物料!$D67,4)="原料出库"),1,0)</f>
        <v>0</v>
      </c>
      <c r="AC1267">
        <f>N(AC1266)+$AB1267</f>
        <v>0</v>
      </c>
      <c r="AD1267">
        <f>IF(AND($M1267=1,LEFT(对接源_02物料!$D67,4)="成品出库"),1,0)</f>
        <v>0</v>
      </c>
      <c r="AE1267">
        <f>N(AE1266)+$AD1267</f>
        <v>0</v>
      </c>
      <c r="AF1267">
        <f>IF(AND($N1267=1,AND(LEFT(对接源_02物料!$D67,4)="包装物料",N(对接源_02物料!$K67)&lt;&gt;0)),1,0)</f>
        <v>0</v>
      </c>
      <c r="AG1267">
        <f>N(AG1266)+$AF1267</f>
        <v>9</v>
      </c>
      <c r="AH1267">
        <f>IF(AND($N1267=1,AND(对接源_02物料!$D67="周转筐－销售出库",N(对接源_02物料!$K67)&lt;&gt;0)),1,0)</f>
        <v>0</v>
      </c>
      <c r="AI1267">
        <f>N(AI1266)+$AH1267</f>
        <v>0</v>
      </c>
      <c r="AL1267" t="n">
        <v>0</v>
      </c>
      <c r="AM1267">
        <f>N(AM1266)+$AL1267</f>
        <v>2</v>
      </c>
      <c r="AN1267">
        <f>""</f>
      </c>
      <c r="AO1267" t="n">
        <v>0</v>
      </c>
      <c r="AP1267">
        <f>N(AP1266)+$AO1267</f>
        <v>13</v>
      </c>
      <c r="AR1267">
        <f>IF(OR($AF1267=1,$AH1267=1),1,0)</f>
        <v>0</v>
      </c>
      <c r="AS1267">
        <f>N(AS1266)+$AR1267</f>
        <v>9</v>
      </c>
    </row>
    <row r="1268" s="127">
      <c r="A1268" t="str">
        <f>IF(对接源_02物料!$C68="","",对接源_02物料!$C68)</f>
        <v>吐尔地</v>
      </c>
      <c r="B1268">
        <f>IF(A1268="",0,IF(MATCH(A1268,$A$4:$A$2403,0)=ROW()-3,1,0))</f>
        <v>0</v>
      </c>
      <c r="C1268">
        <f>N(C1267)+B1268</f>
        <v>24</v>
      </c>
      <c r="K1268">
        <f>IF(OR($K$1="",对接源_02物料!$C68="",对接源_02物料!$C68&lt;&gt;$K$1,对接源_02物料!$B68=""),0,IF(OR(N(对接源_02物料!$B68)&lt;$K$2,N(对接源_02物料!$B68)&gt;$K$3),0,1))</f>
        <v>0</v>
      </c>
      <c r="L1268">
        <f>IF(OR($L$1="",对接源_02物料!$C68="",对接源_02物料!$C68&lt;&gt;$L$1,对接源_02物料!$B68=""),0,IF(OR(N(对接源_02物料!$B68)&lt;$L$2,N(对接源_02物料!$B68)&gt;$L$3),0,1))</f>
        <v>0</v>
      </c>
      <c r="M1268">
        <f>IF(OR($M$1="",对接源_02物料!$C68="",对接源_02物料!$C68&lt;&gt;$M$1,对接源_02物料!$B68=""),0,IF(OR(N(对接源_02物料!$B68)&lt;$M$2,N(对接源_02物料!$B68)&gt;$M$3),0,1))</f>
        <v>0</v>
      </c>
      <c r="N1268">
        <f>IF(OR($N$1="",对接源_02物料!$C68="",对接源_02物料!$C68&lt;&gt;$N$1,对接源_02物料!$B68=""),0,IF(OR(N(对接源_02物料!$B68)&lt;$N$2,N(对接源_02物料!$B68)&gt;$N$3),0,1))</f>
        <v>0</v>
      </c>
      <c r="P1268">
        <f>IF(AND($K1268=1,AND(对接源_02物料!$X68="公司筐",N(对接源_02物料!$T68)&lt;&gt;0)),1,0)</f>
        <v>0</v>
      </c>
      <c r="Q1268">
        <f>N(Q1267)+$P1268</f>
        <v>0</v>
      </c>
      <c r="R1268">
        <f>IF(AND($K1268=1,AND(对接源_02物料!$X68="公司筐",N(对接源_02物料!$U68)&lt;&gt;0)),1,0)</f>
        <v>0</v>
      </c>
      <c r="S1268">
        <f>N(S1267)+$R1268</f>
        <v>0</v>
      </c>
      <c r="T1268">
        <f>IF(AND($K1268=1,AND(对接源_02物料!$X68="公司筐",N(对接源_02物料!$V68)&lt;&gt;0)),1,0)</f>
        <v>0</v>
      </c>
      <c r="U1268">
        <f>N(U1267)+$T1268</f>
        <v>47</v>
      </c>
      <c r="V1268">
        <f>IF(AND($L1268=1,AND(对接源_02物料!$X68="自备筐",N(对接源_02物料!$V68)&lt;&gt;0)),1,0)</f>
        <v>0</v>
      </c>
      <c r="W1268">
        <f>N(W1267)+$V1268</f>
        <v>11</v>
      </c>
      <c r="X1268">
        <f>IF(AND($L1268=1,AND(对接源_02物料!$X68="自备筐",N(对接源_02物料!$T68)&lt;&gt;0)),1,0)</f>
        <v>0</v>
      </c>
      <c r="Y1268">
        <f>N(Y1267)+$X1268</f>
        <v>0</v>
      </c>
      <c r="Z1268">
        <f>IF(AND($M1268=1,对接源_02物料!$D68="原料入库"),1,0)</f>
        <v>0</v>
      </c>
      <c r="AA1268">
        <f>N(AA1267)+$Z1268</f>
        <v>24</v>
      </c>
      <c r="AB1268">
        <f>IF(AND($M1268=1,LEFT(对接源_02物料!$D68,4)="原料出库"),1,0)</f>
        <v>0</v>
      </c>
      <c r="AC1268">
        <f>N(AC1267)+$AB1268</f>
        <v>0</v>
      </c>
      <c r="AD1268">
        <f>IF(AND($M1268=1,LEFT(对接源_02物料!$D68,4)="成品出库"),1,0)</f>
        <v>0</v>
      </c>
      <c r="AE1268">
        <f>N(AE1267)+$AD1268</f>
        <v>0</v>
      </c>
      <c r="AF1268">
        <f>IF(AND($N1268=1,AND(LEFT(对接源_02物料!$D68,4)="包装物料",N(对接源_02物料!$K68)&lt;&gt;0)),1,0)</f>
        <v>0</v>
      </c>
      <c r="AG1268">
        <f>N(AG1267)+$AF1268</f>
        <v>9</v>
      </c>
      <c r="AH1268">
        <f>IF(AND($N1268=1,AND(对接源_02物料!$D68="周转筐－销售出库",N(对接源_02物料!$K68)&lt;&gt;0)),1,0)</f>
        <v>0</v>
      </c>
      <c r="AI1268">
        <f>N(AI1267)+$AH1268</f>
        <v>0</v>
      </c>
      <c r="AL1268" t="n">
        <v>0</v>
      </c>
      <c r="AM1268">
        <f>N(AM1267)+$AL1268</f>
        <v>2</v>
      </c>
      <c r="AN1268">
        <f>""</f>
      </c>
      <c r="AO1268" t="n">
        <v>0</v>
      </c>
      <c r="AP1268">
        <f>N(AP1267)+$AO1268</f>
        <v>13</v>
      </c>
      <c r="AR1268">
        <f>IF(OR($AF1268=1,$AH1268=1),1,0)</f>
        <v>0</v>
      </c>
      <c r="AS1268">
        <f>N(AS1267)+$AR1268</f>
        <v>9</v>
      </c>
    </row>
    <row r="1269" s="127">
      <c r="A1269" t="str">
        <f>IF(对接源_02物料!$C69="","",对接源_02物料!$C69)</f>
        <v>努尔敦</v>
      </c>
      <c r="B1269">
        <f>IF(A1269="",0,IF(MATCH(A1269,$A$4:$A$2403,0)=ROW()-3,1,0))</f>
        <v>0</v>
      </c>
      <c r="C1269">
        <f>N(C1268)+B1269</f>
        <v>24</v>
      </c>
      <c r="K1269">
        <f>IF(OR($K$1="",对接源_02物料!$C69="",对接源_02物料!$C69&lt;&gt;$K$1,对接源_02物料!$B69=""),0,IF(OR(N(对接源_02物料!$B69)&lt;$K$2,N(对接源_02物料!$B69)&gt;$K$3),0,1))</f>
        <v>0</v>
      </c>
      <c r="L1269">
        <f>IF(OR($L$1="",对接源_02物料!$C69="",对接源_02物料!$C69&lt;&gt;$L$1,对接源_02物料!$B69=""),0,IF(OR(N(对接源_02物料!$B69)&lt;$L$2,N(对接源_02物料!$B69)&gt;$L$3),0,1))</f>
        <v>0</v>
      </c>
      <c r="M1269">
        <f>IF(OR($M$1="",对接源_02物料!$C69="",对接源_02物料!$C69&lt;&gt;$M$1,对接源_02物料!$B69=""),0,IF(OR(N(对接源_02物料!$B69)&lt;$M$2,N(对接源_02物料!$B69)&gt;$M$3),0,1))</f>
        <v>0</v>
      </c>
      <c r="N1269">
        <f>IF(OR($N$1="",对接源_02物料!$C69="",对接源_02物料!$C69&lt;&gt;$N$1,对接源_02物料!$B69=""),0,IF(OR(N(对接源_02物料!$B69)&lt;$N$2,N(对接源_02物料!$B69)&gt;$N$3),0,1))</f>
        <v>0</v>
      </c>
      <c r="P1269">
        <f>IF(AND($K1269=1,AND(对接源_02物料!$X69="公司筐",N(对接源_02物料!$T69)&lt;&gt;0)),1,0)</f>
        <v>0</v>
      </c>
      <c r="Q1269">
        <f>N(Q1268)+$P1269</f>
        <v>0</v>
      </c>
      <c r="R1269">
        <f>IF(AND($K1269=1,AND(对接源_02物料!$X69="公司筐",N(对接源_02物料!$U69)&lt;&gt;0)),1,0)</f>
        <v>0</v>
      </c>
      <c r="S1269">
        <f>N(S1268)+$R1269</f>
        <v>0</v>
      </c>
      <c r="T1269">
        <f>IF(AND($K1269=1,AND(对接源_02物料!$X69="公司筐",N(对接源_02物料!$V69)&lt;&gt;0)),1,0)</f>
        <v>0</v>
      </c>
      <c r="U1269">
        <f>N(U1268)+$T1269</f>
        <v>47</v>
      </c>
      <c r="V1269">
        <f>IF(AND($L1269=1,AND(对接源_02物料!$X69="自备筐",N(对接源_02物料!$V69)&lt;&gt;0)),1,0)</f>
        <v>0</v>
      </c>
      <c r="W1269">
        <f>N(W1268)+$V1269</f>
        <v>11</v>
      </c>
      <c r="X1269">
        <f>IF(AND($L1269=1,AND(对接源_02物料!$X69="自备筐",N(对接源_02物料!$T69)&lt;&gt;0)),1,0)</f>
        <v>0</v>
      </c>
      <c r="Y1269">
        <f>N(Y1268)+$X1269</f>
        <v>0</v>
      </c>
      <c r="Z1269">
        <f>IF(AND($M1269=1,对接源_02物料!$D69="原料入库"),1,0)</f>
        <v>0</v>
      </c>
      <c r="AA1269">
        <f>N(AA1268)+$Z1269</f>
        <v>24</v>
      </c>
      <c r="AB1269">
        <f>IF(AND($M1269=1,LEFT(对接源_02物料!$D69,4)="原料出库"),1,0)</f>
        <v>0</v>
      </c>
      <c r="AC1269">
        <f>N(AC1268)+$AB1269</f>
        <v>0</v>
      </c>
      <c r="AD1269">
        <f>IF(AND($M1269=1,LEFT(对接源_02物料!$D69,4)="成品出库"),1,0)</f>
        <v>0</v>
      </c>
      <c r="AE1269">
        <f>N(AE1268)+$AD1269</f>
        <v>0</v>
      </c>
      <c r="AF1269">
        <f>IF(AND($N1269=1,AND(LEFT(对接源_02物料!$D69,4)="包装物料",N(对接源_02物料!$K69)&lt;&gt;0)),1,0)</f>
        <v>0</v>
      </c>
      <c r="AG1269">
        <f>N(AG1268)+$AF1269</f>
        <v>9</v>
      </c>
      <c r="AH1269">
        <f>IF(AND($N1269=1,AND(对接源_02物料!$D69="周转筐－销售出库",N(对接源_02物料!$K69)&lt;&gt;0)),1,0)</f>
        <v>0</v>
      </c>
      <c r="AI1269">
        <f>N(AI1268)+$AH1269</f>
        <v>0</v>
      </c>
      <c r="AL1269" t="n">
        <v>0</v>
      </c>
      <c r="AM1269">
        <f>N(AM1268)+$AL1269</f>
        <v>2</v>
      </c>
      <c r="AN1269">
        <f>""</f>
      </c>
      <c r="AO1269" t="n">
        <v>0</v>
      </c>
      <c r="AP1269">
        <f>N(AP1268)+$AO1269</f>
        <v>13</v>
      </c>
      <c r="AR1269">
        <f>IF(OR($AF1269=1,$AH1269=1),1,0)</f>
        <v>0</v>
      </c>
      <c r="AS1269">
        <f>N(AS1268)+$AR1269</f>
        <v>9</v>
      </c>
    </row>
    <row r="1270" s="127">
      <c r="A1270" t="str">
        <f>IF(对接源_02物料!$C70="","",对接源_02物料!$C70)</f>
        <v>新顺发泡网</v>
      </c>
      <c r="B1270">
        <f>IF(A1270="",0,IF(MATCH(A1270,$A$4:$A$2403,0)=ROW()-3,1,0))</f>
        <v>0</v>
      </c>
      <c r="C1270">
        <f>N(C1269)+B1270</f>
        <v>24</v>
      </c>
      <c r="K1270">
        <f>IF(OR($K$1="",对接源_02物料!$C70="",对接源_02物料!$C70&lt;&gt;$K$1,对接源_02物料!$B70=""),0,IF(OR(N(对接源_02物料!$B70)&lt;$K$2,N(对接源_02物料!$B70)&gt;$K$3),0,1))</f>
        <v>0</v>
      </c>
      <c r="L1270">
        <f>IF(OR($L$1="",对接源_02物料!$C70="",对接源_02物料!$C70&lt;&gt;$L$1,对接源_02物料!$B70=""),0,IF(OR(N(对接源_02物料!$B70)&lt;$L$2,N(对接源_02物料!$B70)&gt;$L$3),0,1))</f>
        <v>0</v>
      </c>
      <c r="M1270">
        <f>IF(OR($M$1="",对接源_02物料!$C70="",对接源_02物料!$C70&lt;&gt;$M$1,对接源_02物料!$B70=""),0,IF(OR(N(对接源_02物料!$B70)&lt;$M$2,N(对接源_02物料!$B70)&gt;$M$3),0,1))</f>
        <v>0</v>
      </c>
      <c r="N1270">
        <f>IF(OR($N$1="",对接源_02物料!$C70="",对接源_02物料!$C70&lt;&gt;$N$1,对接源_02物料!$B70=""),0,IF(OR(N(对接源_02物料!$B70)&lt;$N$2,N(对接源_02物料!$B70)&gt;$N$3),0,1))</f>
        <v>0</v>
      </c>
      <c r="P1270">
        <f>IF(AND($K1270=1,AND(对接源_02物料!$X70="公司筐",N(对接源_02物料!$T70)&lt;&gt;0)),1,0)</f>
        <v>0</v>
      </c>
      <c r="Q1270">
        <f>N(Q1269)+$P1270</f>
        <v>0</v>
      </c>
      <c r="R1270">
        <f>IF(AND($K1270=1,AND(对接源_02物料!$X70="公司筐",N(对接源_02物料!$U70)&lt;&gt;0)),1,0)</f>
        <v>0</v>
      </c>
      <c r="S1270">
        <f>N(S1269)+$R1270</f>
        <v>0</v>
      </c>
      <c r="T1270">
        <f>IF(AND($K1270=1,AND(对接源_02物料!$X70="公司筐",N(对接源_02物料!$V70)&lt;&gt;0)),1,0)</f>
        <v>0</v>
      </c>
      <c r="U1270">
        <f>N(U1269)+$T1270</f>
        <v>47</v>
      </c>
      <c r="V1270">
        <f>IF(AND($L1270=1,AND(对接源_02物料!$X70="自备筐",N(对接源_02物料!$V70)&lt;&gt;0)),1,0)</f>
        <v>0</v>
      </c>
      <c r="W1270">
        <f>N(W1269)+$V1270</f>
        <v>11</v>
      </c>
      <c r="X1270">
        <f>IF(AND($L1270=1,AND(对接源_02物料!$X70="自备筐",N(对接源_02物料!$T70)&lt;&gt;0)),1,0)</f>
        <v>0</v>
      </c>
      <c r="Y1270">
        <f>N(Y1269)+$X1270</f>
        <v>0</v>
      </c>
      <c r="Z1270">
        <f>IF(AND($M1270=1,对接源_02物料!$D70="原料入库"),1,0)</f>
        <v>0</v>
      </c>
      <c r="AA1270">
        <f>N(AA1269)+$Z1270</f>
        <v>24</v>
      </c>
      <c r="AB1270">
        <f>IF(AND($M1270=1,LEFT(对接源_02物料!$D70,4)="原料出库"),1,0)</f>
        <v>0</v>
      </c>
      <c r="AC1270">
        <f>N(AC1269)+$AB1270</f>
        <v>0</v>
      </c>
      <c r="AD1270">
        <f>IF(AND($M1270=1,LEFT(对接源_02物料!$D70,4)="成品出库"),1,0)</f>
        <v>0</v>
      </c>
      <c r="AE1270">
        <f>N(AE1269)+$AD1270</f>
        <v>0</v>
      </c>
      <c r="AF1270">
        <f>IF(AND($N1270=1,AND(LEFT(对接源_02物料!$D70,4)="包装物料",N(对接源_02物料!$K70)&lt;&gt;0)),1,0)</f>
        <v>0</v>
      </c>
      <c r="AG1270">
        <f>N(AG1269)+$AF1270</f>
        <v>9</v>
      </c>
      <c r="AH1270">
        <f>IF(AND($N1270=1,AND(对接源_02物料!$D70="周转筐－销售出库",N(对接源_02物料!$K70)&lt;&gt;0)),1,0)</f>
        <v>0</v>
      </c>
      <c r="AI1270">
        <f>N(AI1269)+$AH1270</f>
        <v>0</v>
      </c>
      <c r="AL1270" t="n">
        <v>0</v>
      </c>
      <c r="AM1270">
        <f>N(AM1269)+$AL1270</f>
        <v>2</v>
      </c>
      <c r="AN1270">
        <f>""</f>
      </c>
      <c r="AO1270" t="n">
        <v>0</v>
      </c>
      <c r="AP1270">
        <f>N(AP1269)+$AO1270</f>
        <v>13</v>
      </c>
      <c r="AR1270">
        <f>IF(OR($AF1270=1,$AH1270=1),1,0)</f>
        <v>0</v>
      </c>
      <c r="AS1270">
        <f>N(AS1269)+$AR1270</f>
        <v>9</v>
      </c>
    </row>
    <row r="1271" s="127">
      <c r="A1271" t="str">
        <f>IF(对接源_02物料!$C71="","",对接源_02物料!$C71)</f>
        <v>热合曼</v>
      </c>
      <c r="B1271">
        <f>IF(A1271="",0,IF(MATCH(A1271,$A$4:$A$2403,0)=ROW()-3,1,0))</f>
        <v>0</v>
      </c>
      <c r="C1271">
        <f>N(C1270)+B1271</f>
        <v>24</v>
      </c>
      <c r="K1271">
        <f>IF(OR($K$1="",对接源_02物料!$C71="",对接源_02物料!$C71&lt;&gt;$K$1,对接源_02物料!$B71=""),0,IF(OR(N(对接源_02物料!$B71)&lt;$K$2,N(对接源_02物料!$B71)&gt;$K$3),0,1))</f>
        <v>0</v>
      </c>
      <c r="L1271">
        <f>IF(OR($L$1="",对接源_02物料!$C71="",对接源_02物料!$C71&lt;&gt;$L$1,对接源_02物料!$B71=""),0,IF(OR(N(对接源_02物料!$B71)&lt;$L$2,N(对接源_02物料!$B71)&gt;$L$3),0,1))</f>
        <v>0</v>
      </c>
      <c r="M1271">
        <f>IF(OR($M$1="",对接源_02物料!$C71="",对接源_02物料!$C71&lt;&gt;$M$1,对接源_02物料!$B71=""),0,IF(OR(N(对接源_02物料!$B71)&lt;$M$2,N(对接源_02物料!$B71)&gt;$M$3),0,1))</f>
        <v>0</v>
      </c>
      <c r="N1271">
        <f>IF(OR($N$1="",对接源_02物料!$C71="",对接源_02物料!$C71&lt;&gt;$N$1,对接源_02物料!$B71=""),0,IF(OR(N(对接源_02物料!$B71)&lt;$N$2,N(对接源_02物料!$B71)&gt;$N$3),0,1))</f>
        <v>0</v>
      </c>
      <c r="P1271">
        <f>IF(AND($K1271=1,AND(对接源_02物料!$X71="公司筐",N(对接源_02物料!$T71)&lt;&gt;0)),1,0)</f>
        <v>0</v>
      </c>
      <c r="Q1271">
        <f>N(Q1270)+$P1271</f>
        <v>0</v>
      </c>
      <c r="R1271">
        <f>IF(AND($K1271=1,AND(对接源_02物料!$X71="公司筐",N(对接源_02物料!$U71)&lt;&gt;0)),1,0)</f>
        <v>0</v>
      </c>
      <c r="S1271">
        <f>N(S1270)+$R1271</f>
        <v>0</v>
      </c>
      <c r="T1271">
        <f>IF(AND($K1271=1,AND(对接源_02物料!$X71="公司筐",N(对接源_02物料!$V71)&lt;&gt;0)),1,0)</f>
        <v>0</v>
      </c>
      <c r="U1271">
        <f>N(U1270)+$T1271</f>
        <v>47</v>
      </c>
      <c r="V1271">
        <f>IF(AND($L1271=1,AND(对接源_02物料!$X71="自备筐",N(对接源_02物料!$V71)&lt;&gt;0)),1,0)</f>
        <v>0</v>
      </c>
      <c r="W1271">
        <f>N(W1270)+$V1271</f>
        <v>11</v>
      </c>
      <c r="X1271">
        <f>IF(AND($L1271=1,AND(对接源_02物料!$X71="自备筐",N(对接源_02物料!$T71)&lt;&gt;0)),1,0)</f>
        <v>0</v>
      </c>
      <c r="Y1271">
        <f>N(Y1270)+$X1271</f>
        <v>0</v>
      </c>
      <c r="Z1271">
        <f>IF(AND($M1271=1,对接源_02物料!$D71="原料入库"),1,0)</f>
        <v>0</v>
      </c>
      <c r="AA1271">
        <f>N(AA1270)+$Z1271</f>
        <v>24</v>
      </c>
      <c r="AB1271">
        <f>IF(AND($M1271=1,LEFT(对接源_02物料!$D71,4)="原料出库"),1,0)</f>
        <v>0</v>
      </c>
      <c r="AC1271">
        <f>N(AC1270)+$AB1271</f>
        <v>0</v>
      </c>
      <c r="AD1271">
        <f>IF(AND($M1271=1,LEFT(对接源_02物料!$D71,4)="成品出库"),1,0)</f>
        <v>0</v>
      </c>
      <c r="AE1271">
        <f>N(AE1270)+$AD1271</f>
        <v>0</v>
      </c>
      <c r="AF1271">
        <f>IF(AND($N1271=1,AND(LEFT(对接源_02物料!$D71,4)="包装物料",N(对接源_02物料!$K71)&lt;&gt;0)),1,0)</f>
        <v>0</v>
      </c>
      <c r="AG1271">
        <f>N(AG1270)+$AF1271</f>
        <v>9</v>
      </c>
      <c r="AH1271">
        <f>IF(AND($N1271=1,AND(对接源_02物料!$D71="周转筐－销售出库",N(对接源_02物料!$K71)&lt;&gt;0)),1,0)</f>
        <v>0</v>
      </c>
      <c r="AI1271">
        <f>N(AI1270)+$AH1271</f>
        <v>0</v>
      </c>
      <c r="AL1271" t="n">
        <v>0</v>
      </c>
      <c r="AM1271">
        <f>N(AM1270)+$AL1271</f>
        <v>2</v>
      </c>
      <c r="AN1271">
        <f>""</f>
      </c>
      <c r="AO1271" t="n">
        <v>0</v>
      </c>
      <c r="AP1271">
        <f>N(AP1270)+$AO1271</f>
        <v>13</v>
      </c>
      <c r="AR1271">
        <f>IF(OR($AF1271=1,$AH1271=1),1,0)</f>
        <v>0</v>
      </c>
      <c r="AS1271">
        <f>N(AS1270)+$AR1271</f>
        <v>9</v>
      </c>
    </row>
    <row r="1272" s="127">
      <c r="A1272" t="str">
        <f>IF(对接源_02物料!$C72="","",对接源_02物料!$C72)</f>
        <v>荆建君</v>
      </c>
      <c r="B1272">
        <f>IF(A1272="",0,IF(MATCH(A1272,$A$4:$A$2403,0)=ROW()-3,1,0))</f>
        <v>0</v>
      </c>
      <c r="C1272">
        <f>N(C1271)+B1272</f>
        <v>24</v>
      </c>
      <c r="K1272">
        <f>IF(OR($K$1="",对接源_02物料!$C72="",对接源_02物料!$C72&lt;&gt;$K$1,对接源_02物料!$B72=""),0,IF(OR(N(对接源_02物料!$B72)&lt;$K$2,N(对接源_02物料!$B72)&gt;$K$3),0,1))</f>
        <v>0</v>
      </c>
      <c r="L1272">
        <f>IF(OR($L$1="",对接源_02物料!$C72="",对接源_02物料!$C72&lt;&gt;$L$1,对接源_02物料!$B72=""),0,IF(OR(N(对接源_02物料!$B72)&lt;$L$2,N(对接源_02物料!$B72)&gt;$L$3),0,1))</f>
        <v>0</v>
      </c>
      <c r="M1272">
        <f>IF(OR($M$1="",对接源_02物料!$C72="",对接源_02物料!$C72&lt;&gt;$M$1,对接源_02物料!$B72=""),0,IF(OR(N(对接源_02物料!$B72)&lt;$M$2,N(对接源_02物料!$B72)&gt;$M$3),0,1))</f>
        <v>0</v>
      </c>
      <c r="N1272">
        <f>IF(OR($N$1="",对接源_02物料!$C72="",对接源_02物料!$C72&lt;&gt;$N$1,对接源_02物料!$B72=""),0,IF(OR(N(对接源_02物料!$B72)&lt;$N$2,N(对接源_02物料!$B72)&gt;$N$3),0,1))</f>
        <v>0</v>
      </c>
      <c r="P1272">
        <f>IF(AND($K1272=1,AND(对接源_02物料!$X72="公司筐",N(对接源_02物料!$T72)&lt;&gt;0)),1,0)</f>
        <v>0</v>
      </c>
      <c r="Q1272">
        <f>N(Q1271)+$P1272</f>
        <v>0</v>
      </c>
      <c r="R1272">
        <f>IF(AND($K1272=1,AND(对接源_02物料!$X72="公司筐",N(对接源_02物料!$U72)&lt;&gt;0)),1,0)</f>
        <v>0</v>
      </c>
      <c r="S1272">
        <f>N(S1271)+$R1272</f>
        <v>0</v>
      </c>
      <c r="T1272">
        <f>IF(AND($K1272=1,AND(对接源_02物料!$X72="公司筐",N(对接源_02物料!$V72)&lt;&gt;0)),1,0)</f>
        <v>0</v>
      </c>
      <c r="U1272">
        <f>N(U1271)+$T1272</f>
        <v>47</v>
      </c>
      <c r="V1272">
        <f>IF(AND($L1272=1,AND(对接源_02物料!$X72="自备筐",N(对接源_02物料!$V72)&lt;&gt;0)),1,0)</f>
        <v>0</v>
      </c>
      <c r="W1272">
        <f>N(W1271)+$V1272</f>
        <v>11</v>
      </c>
      <c r="X1272">
        <f>IF(AND($L1272=1,AND(对接源_02物料!$X72="自备筐",N(对接源_02物料!$T72)&lt;&gt;0)),1,0)</f>
        <v>0</v>
      </c>
      <c r="Y1272">
        <f>N(Y1271)+$X1272</f>
        <v>0</v>
      </c>
      <c r="Z1272">
        <f>IF(AND($M1272=1,对接源_02物料!$D72="原料入库"),1,0)</f>
        <v>0</v>
      </c>
      <c r="AA1272">
        <f>N(AA1271)+$Z1272</f>
        <v>24</v>
      </c>
      <c r="AB1272">
        <f>IF(AND($M1272=1,LEFT(对接源_02物料!$D72,4)="原料出库"),1,0)</f>
        <v>0</v>
      </c>
      <c r="AC1272">
        <f>N(AC1271)+$AB1272</f>
        <v>0</v>
      </c>
      <c r="AD1272">
        <f>IF(AND($M1272=1,LEFT(对接源_02物料!$D72,4)="成品出库"),1,0)</f>
        <v>0</v>
      </c>
      <c r="AE1272">
        <f>N(AE1271)+$AD1272</f>
        <v>0</v>
      </c>
      <c r="AF1272">
        <f>IF(AND($N1272=1,AND(LEFT(对接源_02物料!$D72,4)="包装物料",N(对接源_02物料!$K72)&lt;&gt;0)),1,0)</f>
        <v>0</v>
      </c>
      <c r="AG1272">
        <f>N(AG1271)+$AF1272</f>
        <v>9</v>
      </c>
      <c r="AH1272">
        <f>IF(AND($N1272=1,AND(对接源_02物料!$D72="周转筐－销售出库",N(对接源_02物料!$K72)&lt;&gt;0)),1,0)</f>
        <v>0</v>
      </c>
      <c r="AI1272">
        <f>N(AI1271)+$AH1272</f>
        <v>0</v>
      </c>
      <c r="AL1272" t="n">
        <v>0</v>
      </c>
      <c r="AM1272">
        <f>N(AM1271)+$AL1272</f>
        <v>2</v>
      </c>
      <c r="AN1272">
        <f>""</f>
      </c>
      <c r="AO1272" t="n">
        <v>0</v>
      </c>
      <c r="AP1272">
        <f>N(AP1271)+$AO1272</f>
        <v>13</v>
      </c>
      <c r="AR1272">
        <f>IF(OR($AF1272=1,$AH1272=1),1,0)</f>
        <v>0</v>
      </c>
      <c r="AS1272">
        <f>N(AS1271)+$AR1272</f>
        <v>9</v>
      </c>
    </row>
    <row r="1273" s="127">
      <c r="A1273" t="str">
        <f>IF(对接源_02物料!$C73="","",对接源_02物料!$C73)</f>
        <v>麦麦提</v>
      </c>
      <c r="B1273">
        <f>IF(A1273="",0,IF(MATCH(A1273,$A$4:$A$2403,0)=ROW()-3,1,0))</f>
        <v>0</v>
      </c>
      <c r="C1273">
        <f>N(C1272)+B1273</f>
        <v>24</v>
      </c>
      <c r="K1273">
        <f>IF(OR($K$1="",对接源_02物料!$C73="",对接源_02物料!$C73&lt;&gt;$K$1,对接源_02物料!$B73=""),0,IF(OR(N(对接源_02物料!$B73)&lt;$K$2,N(对接源_02物料!$B73)&gt;$K$3),0,1))</f>
        <v>0</v>
      </c>
      <c r="L1273">
        <f>IF(OR($L$1="",对接源_02物料!$C73="",对接源_02物料!$C73&lt;&gt;$L$1,对接源_02物料!$B73=""),0,IF(OR(N(对接源_02物料!$B73)&lt;$L$2,N(对接源_02物料!$B73)&gt;$L$3),0,1))</f>
        <v>0</v>
      </c>
      <c r="M1273">
        <f>IF(OR($M$1="",对接源_02物料!$C73="",对接源_02物料!$C73&lt;&gt;$M$1,对接源_02物料!$B73=""),0,IF(OR(N(对接源_02物料!$B73)&lt;$M$2,N(对接源_02物料!$B73)&gt;$M$3),0,1))</f>
        <v>0</v>
      </c>
      <c r="N1273">
        <f>IF(OR($N$1="",对接源_02物料!$C73="",对接源_02物料!$C73&lt;&gt;$N$1,对接源_02物料!$B73=""),0,IF(OR(N(对接源_02物料!$B73)&lt;$N$2,N(对接源_02物料!$B73)&gt;$N$3),0,1))</f>
        <v>1</v>
      </c>
      <c r="P1273">
        <f>IF(AND($K1273=1,AND(对接源_02物料!$X73="公司筐",N(对接源_02物料!$T73)&lt;&gt;0)),1,0)</f>
        <v>0</v>
      </c>
      <c r="Q1273">
        <f>N(Q1272)+$P1273</f>
        <v>0</v>
      </c>
      <c r="R1273">
        <f>IF(AND($K1273=1,AND(对接源_02物料!$X73="公司筐",N(对接源_02物料!$U73)&lt;&gt;0)),1,0)</f>
        <v>0</v>
      </c>
      <c r="S1273">
        <f>N(S1272)+$R1273</f>
        <v>0</v>
      </c>
      <c r="T1273">
        <f>IF(AND($K1273=1,AND(对接源_02物料!$X73="公司筐",N(对接源_02物料!$V73)&lt;&gt;0)),1,0)</f>
        <v>0</v>
      </c>
      <c r="U1273">
        <f>N(U1272)+$T1273</f>
        <v>47</v>
      </c>
      <c r="V1273">
        <f>IF(AND($L1273=1,AND(对接源_02物料!$X73="自备筐",N(对接源_02物料!$V73)&lt;&gt;0)),1,0)</f>
        <v>0</v>
      </c>
      <c r="W1273">
        <f>N(W1272)+$V1273</f>
        <v>11</v>
      </c>
      <c r="X1273">
        <f>IF(AND($L1273=1,AND(对接源_02物料!$X73="自备筐",N(对接源_02物料!$T73)&lt;&gt;0)),1,0)</f>
        <v>0</v>
      </c>
      <c r="Y1273">
        <f>N(Y1272)+$X1273</f>
        <v>0</v>
      </c>
      <c r="Z1273">
        <f>IF(AND($M1273=1,对接源_02物料!$D73="原料入库"),1,0)</f>
        <v>0</v>
      </c>
      <c r="AA1273">
        <f>N(AA1272)+$Z1273</f>
        <v>24</v>
      </c>
      <c r="AB1273">
        <f>IF(AND($M1273=1,LEFT(对接源_02物料!$D73,4)="原料出库"),1,0)</f>
        <v>0</v>
      </c>
      <c r="AC1273">
        <f>N(AC1272)+$AB1273</f>
        <v>0</v>
      </c>
      <c r="AD1273">
        <f>IF(AND($M1273=1,LEFT(对接源_02物料!$D73,4)="成品出库"),1,0)</f>
        <v>0</v>
      </c>
      <c r="AE1273">
        <f>N(AE1272)+$AD1273</f>
        <v>0</v>
      </c>
      <c r="AF1273">
        <f>IF(AND($N1273=1,AND(LEFT(对接源_02物料!$D73,4)="包装物料",N(对接源_02物料!$K73)&lt;&gt;0)),1,0)</f>
        <v>1</v>
      </c>
      <c r="AG1273">
        <f>N(AG1272)+$AF1273</f>
        <v>10</v>
      </c>
      <c r="AH1273">
        <f>IF(AND($N1273=1,AND(对接源_02物料!$D73="周转筐－销售出库",N(对接源_02物料!$K73)&lt;&gt;0)),1,0)</f>
        <v>0</v>
      </c>
      <c r="AI1273">
        <f>N(AI1272)+$AH1273</f>
        <v>0</v>
      </c>
      <c r="AL1273" t="n">
        <v>0</v>
      </c>
      <c r="AM1273">
        <f>N(AM1272)+$AL1273</f>
        <v>2</v>
      </c>
      <c r="AN1273">
        <f>""</f>
      </c>
      <c r="AO1273" t="n">
        <v>0</v>
      </c>
      <c r="AP1273">
        <f>N(AP1272)+$AO1273</f>
        <v>13</v>
      </c>
      <c r="AR1273">
        <f>IF(OR($AF1273=1,$AH1273=1),1,0)</f>
        <v>1</v>
      </c>
      <c r="AS1273">
        <f>N(AS1272)+$AR1273</f>
        <v>10</v>
      </c>
    </row>
    <row r="1274" s="127">
      <c r="A1274" t="str">
        <f>IF(对接源_02物料!$C74="","",对接源_02物料!$C74)</f>
        <v>努尔敦</v>
      </c>
      <c r="B1274">
        <f>IF(A1274="",0,IF(MATCH(A1274,$A$4:$A$2403,0)=ROW()-3,1,0))</f>
        <v>0</v>
      </c>
      <c r="C1274">
        <f>N(C1273)+B1274</f>
        <v>24</v>
      </c>
      <c r="K1274">
        <f>IF(OR($K$1="",对接源_02物料!$C74="",对接源_02物料!$C74&lt;&gt;$K$1,对接源_02物料!$B74=""),0,IF(OR(N(对接源_02物料!$B74)&lt;$K$2,N(对接源_02物料!$B74)&gt;$K$3),0,1))</f>
        <v>0</v>
      </c>
      <c r="L1274">
        <f>IF(OR($L$1="",对接源_02物料!$C74="",对接源_02物料!$C74&lt;&gt;$L$1,对接源_02物料!$B74=""),0,IF(OR(N(对接源_02物料!$B74)&lt;$L$2,N(对接源_02物料!$B74)&gt;$L$3),0,1))</f>
        <v>0</v>
      </c>
      <c r="M1274">
        <f>IF(OR($M$1="",对接源_02物料!$C74="",对接源_02物料!$C74&lt;&gt;$M$1,对接源_02物料!$B74=""),0,IF(OR(N(对接源_02物料!$B74)&lt;$M$2,N(对接源_02物料!$B74)&gt;$M$3),0,1))</f>
        <v>0</v>
      </c>
      <c r="N1274">
        <f>IF(OR($N$1="",对接源_02物料!$C74="",对接源_02物料!$C74&lt;&gt;$N$1,对接源_02物料!$B74=""),0,IF(OR(N(对接源_02物料!$B74)&lt;$N$2,N(对接源_02物料!$B74)&gt;$N$3),0,1))</f>
        <v>0</v>
      </c>
      <c r="P1274">
        <f>IF(AND($K1274=1,AND(对接源_02物料!$X74="公司筐",N(对接源_02物料!$T74)&lt;&gt;0)),1,0)</f>
        <v>0</v>
      </c>
      <c r="Q1274">
        <f>N(Q1273)+$P1274</f>
        <v>0</v>
      </c>
      <c r="R1274">
        <f>IF(AND($K1274=1,AND(对接源_02物料!$X74="公司筐",N(对接源_02物料!$U74)&lt;&gt;0)),1,0)</f>
        <v>0</v>
      </c>
      <c r="S1274">
        <f>N(S1273)+$R1274</f>
        <v>0</v>
      </c>
      <c r="T1274">
        <f>IF(AND($K1274=1,AND(对接源_02物料!$X74="公司筐",N(对接源_02物料!$V74)&lt;&gt;0)),1,0)</f>
        <v>0</v>
      </c>
      <c r="U1274">
        <f>N(U1273)+$T1274</f>
        <v>47</v>
      </c>
      <c r="V1274">
        <f>IF(AND($L1274=1,AND(对接源_02物料!$X74="自备筐",N(对接源_02物料!$V74)&lt;&gt;0)),1,0)</f>
        <v>0</v>
      </c>
      <c r="W1274">
        <f>N(W1273)+$V1274</f>
        <v>11</v>
      </c>
      <c r="X1274">
        <f>IF(AND($L1274=1,AND(对接源_02物料!$X74="自备筐",N(对接源_02物料!$T74)&lt;&gt;0)),1,0)</f>
        <v>0</v>
      </c>
      <c r="Y1274">
        <f>N(Y1273)+$X1274</f>
        <v>0</v>
      </c>
      <c r="Z1274">
        <f>IF(AND($M1274=1,对接源_02物料!$D74="原料入库"),1,0)</f>
        <v>0</v>
      </c>
      <c r="AA1274">
        <f>N(AA1273)+$Z1274</f>
        <v>24</v>
      </c>
      <c r="AB1274">
        <f>IF(AND($M1274=1,LEFT(对接源_02物料!$D74,4)="原料出库"),1,0)</f>
        <v>0</v>
      </c>
      <c r="AC1274">
        <f>N(AC1273)+$AB1274</f>
        <v>0</v>
      </c>
      <c r="AD1274">
        <f>IF(AND($M1274=1,LEFT(对接源_02物料!$D74,4)="成品出库"),1,0)</f>
        <v>0</v>
      </c>
      <c r="AE1274">
        <f>N(AE1273)+$AD1274</f>
        <v>0</v>
      </c>
      <c r="AF1274">
        <f>IF(AND($N1274=1,AND(LEFT(对接源_02物料!$D74,4)="包装物料",N(对接源_02物料!$K74)&lt;&gt;0)),1,0)</f>
        <v>0</v>
      </c>
      <c r="AG1274">
        <f>N(AG1273)+$AF1274</f>
        <v>10</v>
      </c>
      <c r="AH1274">
        <f>IF(AND($N1274=1,AND(对接源_02物料!$D74="周转筐－销售出库",N(对接源_02物料!$K74)&lt;&gt;0)),1,0)</f>
        <v>0</v>
      </c>
      <c r="AI1274">
        <f>N(AI1273)+$AH1274</f>
        <v>0</v>
      </c>
      <c r="AL1274" t="n">
        <v>0</v>
      </c>
      <c r="AM1274">
        <f>N(AM1273)+$AL1274</f>
        <v>2</v>
      </c>
      <c r="AN1274">
        <f>""</f>
      </c>
      <c r="AO1274" t="n">
        <v>0</v>
      </c>
      <c r="AP1274">
        <f>N(AP1273)+$AO1274</f>
        <v>13</v>
      </c>
      <c r="AR1274">
        <f>IF(OR($AF1274=1,$AH1274=1),1,0)</f>
        <v>0</v>
      </c>
      <c r="AS1274">
        <f>N(AS1273)+$AR1274</f>
        <v>10</v>
      </c>
    </row>
    <row r="1275" s="127">
      <c r="A1275" t="str">
        <f>IF(对接源_02物料!$C75="","",对接源_02物料!$C75)</f>
        <v>吐尔地</v>
      </c>
      <c r="B1275">
        <f>IF(A1275="",0,IF(MATCH(A1275,$A$4:$A$2403,0)=ROW()-3,1,0))</f>
        <v>0</v>
      </c>
      <c r="C1275">
        <f>N(C1274)+B1275</f>
        <v>24</v>
      </c>
      <c r="K1275">
        <f>IF(OR($K$1="",对接源_02物料!$C75="",对接源_02物料!$C75&lt;&gt;$K$1,对接源_02物料!$B75=""),0,IF(OR(N(对接源_02物料!$B75)&lt;$K$2,N(对接源_02物料!$B75)&gt;$K$3),0,1))</f>
        <v>0</v>
      </c>
      <c r="L1275">
        <f>IF(OR($L$1="",对接源_02物料!$C75="",对接源_02物料!$C75&lt;&gt;$L$1,对接源_02物料!$B75=""),0,IF(OR(N(对接源_02物料!$B75)&lt;$L$2,N(对接源_02物料!$B75)&gt;$L$3),0,1))</f>
        <v>0</v>
      </c>
      <c r="M1275">
        <f>IF(OR($M$1="",对接源_02物料!$C75="",对接源_02物料!$C75&lt;&gt;$M$1,对接源_02物料!$B75=""),0,IF(OR(N(对接源_02物料!$B75)&lt;$M$2,N(对接源_02物料!$B75)&gt;$M$3),0,1))</f>
        <v>0</v>
      </c>
      <c r="N1275">
        <f>IF(OR($N$1="",对接源_02物料!$C75="",对接源_02物料!$C75&lt;&gt;$N$1,对接源_02物料!$B75=""),0,IF(OR(N(对接源_02物料!$B75)&lt;$N$2,N(对接源_02物料!$B75)&gt;$N$3),0,1))</f>
        <v>0</v>
      </c>
      <c r="P1275">
        <f>IF(AND($K1275=1,AND(对接源_02物料!$X75="公司筐",N(对接源_02物料!$T75)&lt;&gt;0)),1,0)</f>
        <v>0</v>
      </c>
      <c r="Q1275">
        <f>N(Q1274)+$P1275</f>
        <v>0</v>
      </c>
      <c r="R1275">
        <f>IF(AND($K1275=1,AND(对接源_02物料!$X75="公司筐",N(对接源_02物料!$U75)&lt;&gt;0)),1,0)</f>
        <v>0</v>
      </c>
      <c r="S1275">
        <f>N(S1274)+$R1275</f>
        <v>0</v>
      </c>
      <c r="T1275">
        <f>IF(AND($K1275=1,AND(对接源_02物料!$X75="公司筐",N(对接源_02物料!$V75)&lt;&gt;0)),1,0)</f>
        <v>0</v>
      </c>
      <c r="U1275">
        <f>N(U1274)+$T1275</f>
        <v>47</v>
      </c>
      <c r="V1275">
        <f>IF(AND($L1275=1,AND(对接源_02物料!$X75="自备筐",N(对接源_02物料!$V75)&lt;&gt;0)),1,0)</f>
        <v>0</v>
      </c>
      <c r="W1275">
        <f>N(W1274)+$V1275</f>
        <v>11</v>
      </c>
      <c r="X1275">
        <f>IF(AND($L1275=1,AND(对接源_02物料!$X75="自备筐",N(对接源_02物料!$T75)&lt;&gt;0)),1,0)</f>
        <v>0</v>
      </c>
      <c r="Y1275">
        <f>N(Y1274)+$X1275</f>
        <v>0</v>
      </c>
      <c r="Z1275">
        <f>IF(AND($M1275=1,对接源_02物料!$D75="原料入库"),1,0)</f>
        <v>0</v>
      </c>
      <c r="AA1275">
        <f>N(AA1274)+$Z1275</f>
        <v>24</v>
      </c>
      <c r="AB1275">
        <f>IF(AND($M1275=1,LEFT(对接源_02物料!$D75,4)="原料出库"),1,0)</f>
        <v>0</v>
      </c>
      <c r="AC1275">
        <f>N(AC1274)+$AB1275</f>
        <v>0</v>
      </c>
      <c r="AD1275">
        <f>IF(AND($M1275=1,LEFT(对接源_02物料!$D75,4)="成品出库"),1,0)</f>
        <v>0</v>
      </c>
      <c r="AE1275">
        <f>N(AE1274)+$AD1275</f>
        <v>0</v>
      </c>
      <c r="AF1275">
        <f>IF(AND($N1275=1,AND(LEFT(对接源_02物料!$D75,4)="包装物料",N(对接源_02物料!$K75)&lt;&gt;0)),1,0)</f>
        <v>0</v>
      </c>
      <c r="AG1275">
        <f>N(AG1274)+$AF1275</f>
        <v>10</v>
      </c>
      <c r="AH1275">
        <f>IF(AND($N1275=1,AND(对接源_02物料!$D75="周转筐－销售出库",N(对接源_02物料!$K75)&lt;&gt;0)),1,0)</f>
        <v>0</v>
      </c>
      <c r="AI1275">
        <f>N(AI1274)+$AH1275</f>
        <v>0</v>
      </c>
      <c r="AL1275" t="n">
        <v>0</v>
      </c>
      <c r="AM1275">
        <f>N(AM1274)+$AL1275</f>
        <v>2</v>
      </c>
      <c r="AN1275">
        <f>""</f>
      </c>
      <c r="AO1275" t="n">
        <v>0</v>
      </c>
      <c r="AP1275">
        <f>N(AP1274)+$AO1275</f>
        <v>13</v>
      </c>
      <c r="AR1275">
        <f>IF(OR($AF1275=1,$AH1275=1),1,0)</f>
        <v>0</v>
      </c>
      <c r="AS1275">
        <f>N(AS1274)+$AR1275</f>
        <v>10</v>
      </c>
    </row>
    <row r="1276" s="127">
      <c r="A1276" t="str">
        <f>IF(对接源_02物料!$C76="","",对接源_02物料!$C76)</f>
        <v>热合曼</v>
      </c>
      <c r="B1276">
        <f>IF(A1276="",0,IF(MATCH(A1276,$A$4:$A$2403,0)=ROW()-3,1,0))</f>
        <v>0</v>
      </c>
      <c r="C1276">
        <f>N(C1275)+B1276</f>
        <v>24</v>
      </c>
      <c r="K1276">
        <f>IF(OR($K$1="",对接源_02物料!$C76="",对接源_02物料!$C76&lt;&gt;$K$1,对接源_02物料!$B76=""),0,IF(OR(N(对接源_02物料!$B76)&lt;$K$2,N(对接源_02物料!$B76)&gt;$K$3),0,1))</f>
        <v>0</v>
      </c>
      <c r="L1276">
        <f>IF(OR($L$1="",对接源_02物料!$C76="",对接源_02物料!$C76&lt;&gt;$L$1,对接源_02物料!$B76=""),0,IF(OR(N(对接源_02物料!$B76)&lt;$L$2,N(对接源_02物料!$B76)&gt;$L$3),0,1))</f>
        <v>0</v>
      </c>
      <c r="M1276">
        <f>IF(OR($M$1="",对接源_02物料!$C76="",对接源_02物料!$C76&lt;&gt;$M$1,对接源_02物料!$B76=""),0,IF(OR(N(对接源_02物料!$B76)&lt;$M$2,N(对接源_02物料!$B76)&gt;$M$3),0,1))</f>
        <v>0</v>
      </c>
      <c r="N1276">
        <f>IF(OR($N$1="",对接源_02物料!$C76="",对接源_02物料!$C76&lt;&gt;$N$1,对接源_02物料!$B76=""),0,IF(OR(N(对接源_02物料!$B76)&lt;$N$2,N(对接源_02物料!$B76)&gt;$N$3),0,1))</f>
        <v>0</v>
      </c>
      <c r="P1276">
        <f>IF(AND($K1276=1,AND(对接源_02物料!$X76="公司筐",N(对接源_02物料!$T76)&lt;&gt;0)),1,0)</f>
        <v>0</v>
      </c>
      <c r="Q1276">
        <f>N(Q1275)+$P1276</f>
        <v>0</v>
      </c>
      <c r="R1276">
        <f>IF(AND($K1276=1,AND(对接源_02物料!$X76="公司筐",N(对接源_02物料!$U76)&lt;&gt;0)),1,0)</f>
        <v>0</v>
      </c>
      <c r="S1276">
        <f>N(S1275)+$R1276</f>
        <v>0</v>
      </c>
      <c r="T1276">
        <f>IF(AND($K1276=1,AND(对接源_02物料!$X76="公司筐",N(对接源_02物料!$V76)&lt;&gt;0)),1,0)</f>
        <v>0</v>
      </c>
      <c r="U1276">
        <f>N(U1275)+$T1276</f>
        <v>47</v>
      </c>
      <c r="V1276">
        <f>IF(AND($L1276=1,AND(对接源_02物料!$X76="自备筐",N(对接源_02物料!$V76)&lt;&gt;0)),1,0)</f>
        <v>0</v>
      </c>
      <c r="W1276">
        <f>N(W1275)+$V1276</f>
        <v>11</v>
      </c>
      <c r="X1276">
        <f>IF(AND($L1276=1,AND(对接源_02物料!$X76="自备筐",N(对接源_02物料!$T76)&lt;&gt;0)),1,0)</f>
        <v>0</v>
      </c>
      <c r="Y1276">
        <f>N(Y1275)+$X1276</f>
        <v>0</v>
      </c>
      <c r="Z1276">
        <f>IF(AND($M1276=1,对接源_02物料!$D76="原料入库"),1,0)</f>
        <v>0</v>
      </c>
      <c r="AA1276">
        <f>N(AA1275)+$Z1276</f>
        <v>24</v>
      </c>
      <c r="AB1276">
        <f>IF(AND($M1276=1,LEFT(对接源_02物料!$D76,4)="原料出库"),1,0)</f>
        <v>0</v>
      </c>
      <c r="AC1276">
        <f>N(AC1275)+$AB1276</f>
        <v>0</v>
      </c>
      <c r="AD1276">
        <f>IF(AND($M1276=1,LEFT(对接源_02物料!$D76,4)="成品出库"),1,0)</f>
        <v>0</v>
      </c>
      <c r="AE1276">
        <f>N(AE1275)+$AD1276</f>
        <v>0</v>
      </c>
      <c r="AF1276">
        <f>IF(AND($N1276=1,AND(LEFT(对接源_02物料!$D76,4)="包装物料",N(对接源_02物料!$K76)&lt;&gt;0)),1,0)</f>
        <v>0</v>
      </c>
      <c r="AG1276">
        <f>N(AG1275)+$AF1276</f>
        <v>10</v>
      </c>
      <c r="AH1276">
        <f>IF(AND($N1276=1,AND(对接源_02物料!$D76="周转筐－销售出库",N(对接源_02物料!$K76)&lt;&gt;0)),1,0)</f>
        <v>0</v>
      </c>
      <c r="AI1276">
        <f>N(AI1275)+$AH1276</f>
        <v>0</v>
      </c>
      <c r="AL1276" t="n">
        <v>0</v>
      </c>
      <c r="AM1276">
        <f>N(AM1275)+$AL1276</f>
        <v>2</v>
      </c>
      <c r="AN1276">
        <f>""</f>
      </c>
      <c r="AO1276" t="n">
        <v>0</v>
      </c>
      <c r="AP1276">
        <f>N(AP1275)+$AO1276</f>
        <v>13</v>
      </c>
      <c r="AR1276">
        <f>IF(OR($AF1276=1,$AH1276=1),1,0)</f>
        <v>0</v>
      </c>
      <c r="AS1276">
        <f>N(AS1275)+$AR1276</f>
        <v>10</v>
      </c>
    </row>
    <row r="1277" s="127">
      <c r="A1277" t="str">
        <f>IF(对接源_02物料!$C77="","",对接源_02物料!$C77)</f>
        <v>果然鲜</v>
      </c>
      <c r="B1277">
        <f>IF(A1277="",0,IF(MATCH(A1277,$A$4:$A$2403,0)=ROW()-3,1,0))</f>
        <v>0</v>
      </c>
      <c r="C1277">
        <f>N(C1276)+B1277</f>
        <v>24</v>
      </c>
      <c r="K1277">
        <f>IF(OR($K$1="",对接源_02物料!$C77="",对接源_02物料!$C77&lt;&gt;$K$1,对接源_02物料!$B77=""),0,IF(OR(N(对接源_02物料!$B77)&lt;$K$2,N(对接源_02物料!$B77)&gt;$K$3),0,1))</f>
        <v>0</v>
      </c>
      <c r="L1277">
        <f>IF(OR($L$1="",对接源_02物料!$C77="",对接源_02物料!$C77&lt;&gt;$L$1,对接源_02物料!$B77=""),0,IF(OR(N(对接源_02物料!$B77)&lt;$L$2,N(对接源_02物料!$B77)&gt;$L$3),0,1))</f>
        <v>0</v>
      </c>
      <c r="M1277">
        <f>IF(OR($M$1="",对接源_02物料!$C77="",对接源_02物料!$C77&lt;&gt;$M$1,对接源_02物料!$B77=""),0,IF(OR(N(对接源_02物料!$B77)&lt;$M$2,N(对接源_02物料!$B77)&gt;$M$3),0,1))</f>
        <v>0</v>
      </c>
      <c r="N1277">
        <f>IF(OR($N$1="",对接源_02物料!$C77="",对接源_02物料!$C77&lt;&gt;$N$1,对接源_02物料!$B77=""),0,IF(OR(N(对接源_02物料!$B77)&lt;$N$2,N(对接源_02物料!$B77)&gt;$N$3),0,1))</f>
        <v>0</v>
      </c>
      <c r="P1277">
        <f>IF(AND($K1277=1,AND(对接源_02物料!$X77="公司筐",N(对接源_02物料!$T77)&lt;&gt;0)),1,0)</f>
        <v>0</v>
      </c>
      <c r="Q1277">
        <f>N(Q1276)+$P1277</f>
        <v>0</v>
      </c>
      <c r="R1277">
        <f>IF(AND($K1277=1,AND(对接源_02物料!$X77="公司筐",N(对接源_02物料!$U77)&lt;&gt;0)),1,0)</f>
        <v>0</v>
      </c>
      <c r="S1277">
        <f>N(S1276)+$R1277</f>
        <v>0</v>
      </c>
      <c r="T1277">
        <f>IF(AND($K1277=1,AND(对接源_02物料!$X77="公司筐",N(对接源_02物料!$V77)&lt;&gt;0)),1,0)</f>
        <v>0</v>
      </c>
      <c r="U1277">
        <f>N(U1276)+$T1277</f>
        <v>47</v>
      </c>
      <c r="V1277">
        <f>IF(AND($L1277=1,AND(对接源_02物料!$X77="自备筐",N(对接源_02物料!$V77)&lt;&gt;0)),1,0)</f>
        <v>0</v>
      </c>
      <c r="W1277">
        <f>N(W1276)+$V1277</f>
        <v>11</v>
      </c>
      <c r="X1277">
        <f>IF(AND($L1277=1,AND(对接源_02物料!$X77="自备筐",N(对接源_02物料!$T77)&lt;&gt;0)),1,0)</f>
        <v>0</v>
      </c>
      <c r="Y1277">
        <f>N(Y1276)+$X1277</f>
        <v>0</v>
      </c>
      <c r="Z1277">
        <f>IF(AND($M1277=1,对接源_02物料!$D77="原料入库"),1,0)</f>
        <v>0</v>
      </c>
      <c r="AA1277">
        <f>N(AA1276)+$Z1277</f>
        <v>24</v>
      </c>
      <c r="AB1277">
        <f>IF(AND($M1277=1,LEFT(对接源_02物料!$D77,4)="原料出库"),1,0)</f>
        <v>0</v>
      </c>
      <c r="AC1277">
        <f>N(AC1276)+$AB1277</f>
        <v>0</v>
      </c>
      <c r="AD1277">
        <f>IF(AND($M1277=1,LEFT(对接源_02物料!$D77,4)="成品出库"),1,0)</f>
        <v>0</v>
      </c>
      <c r="AE1277">
        <f>N(AE1276)+$AD1277</f>
        <v>0</v>
      </c>
      <c r="AF1277">
        <f>IF(AND($N1277=1,AND(LEFT(对接源_02物料!$D77,4)="包装物料",N(对接源_02物料!$K77)&lt;&gt;0)),1,0)</f>
        <v>0</v>
      </c>
      <c r="AG1277">
        <f>N(AG1276)+$AF1277</f>
        <v>10</v>
      </c>
      <c r="AH1277">
        <f>IF(AND($N1277=1,AND(对接源_02物料!$D77="周转筐－销售出库",N(对接源_02物料!$K77)&lt;&gt;0)),1,0)</f>
        <v>0</v>
      </c>
      <c r="AI1277">
        <f>N(AI1276)+$AH1277</f>
        <v>0</v>
      </c>
      <c r="AL1277" t="n">
        <v>0</v>
      </c>
      <c r="AM1277">
        <f>N(AM1276)+$AL1277</f>
        <v>2</v>
      </c>
      <c r="AN1277">
        <f>""</f>
      </c>
      <c r="AO1277" t="n">
        <v>0</v>
      </c>
      <c r="AP1277">
        <f>N(AP1276)+$AO1277</f>
        <v>13</v>
      </c>
      <c r="AR1277">
        <f>IF(OR($AF1277=1,$AH1277=1),1,0)</f>
        <v>0</v>
      </c>
      <c r="AS1277">
        <f>N(AS1276)+$AR1277</f>
        <v>10</v>
      </c>
    </row>
    <row r="1278" s="127">
      <c r="A1278" t="str">
        <f>IF(对接源_02物料!$C78="","",对接源_02物料!$C78)</f>
        <v>果然鲜</v>
      </c>
      <c r="B1278">
        <f>IF(A1278="",0,IF(MATCH(A1278,$A$4:$A$2403,0)=ROW()-3,1,0))</f>
        <v>0</v>
      </c>
      <c r="C1278">
        <f>N(C1277)+B1278</f>
        <v>24</v>
      </c>
      <c r="K1278">
        <f>IF(OR($K$1="",对接源_02物料!$C78="",对接源_02物料!$C78&lt;&gt;$K$1,对接源_02物料!$B78=""),0,IF(OR(N(对接源_02物料!$B78)&lt;$K$2,N(对接源_02物料!$B78)&gt;$K$3),0,1))</f>
        <v>0</v>
      </c>
      <c r="L1278">
        <f>IF(OR($L$1="",对接源_02物料!$C78="",对接源_02物料!$C78&lt;&gt;$L$1,对接源_02物料!$B78=""),0,IF(OR(N(对接源_02物料!$B78)&lt;$L$2,N(对接源_02物料!$B78)&gt;$L$3),0,1))</f>
        <v>0</v>
      </c>
      <c r="M1278">
        <f>IF(OR($M$1="",对接源_02物料!$C78="",对接源_02物料!$C78&lt;&gt;$M$1,对接源_02物料!$B78=""),0,IF(OR(N(对接源_02物料!$B78)&lt;$M$2,N(对接源_02物料!$B78)&gt;$M$3),0,1))</f>
        <v>0</v>
      </c>
      <c r="N1278">
        <f>IF(OR($N$1="",对接源_02物料!$C78="",对接源_02物料!$C78&lt;&gt;$N$1,对接源_02物料!$B78=""),0,IF(OR(N(对接源_02物料!$B78)&lt;$N$2,N(对接源_02物料!$B78)&gt;$N$3),0,1))</f>
        <v>0</v>
      </c>
      <c r="P1278">
        <f>IF(AND($K1278=1,AND(对接源_02物料!$X78="公司筐",N(对接源_02物料!$T78)&lt;&gt;0)),1,0)</f>
        <v>0</v>
      </c>
      <c r="Q1278">
        <f>N(Q1277)+$P1278</f>
        <v>0</v>
      </c>
      <c r="R1278">
        <f>IF(AND($K1278=1,AND(对接源_02物料!$X78="公司筐",N(对接源_02物料!$U78)&lt;&gt;0)),1,0)</f>
        <v>0</v>
      </c>
      <c r="S1278">
        <f>N(S1277)+$R1278</f>
        <v>0</v>
      </c>
      <c r="T1278">
        <f>IF(AND($K1278=1,AND(对接源_02物料!$X78="公司筐",N(对接源_02物料!$V78)&lt;&gt;0)),1,0)</f>
        <v>0</v>
      </c>
      <c r="U1278">
        <f>N(U1277)+$T1278</f>
        <v>47</v>
      </c>
      <c r="V1278">
        <f>IF(AND($L1278=1,AND(对接源_02物料!$X78="自备筐",N(对接源_02物料!$V78)&lt;&gt;0)),1,0)</f>
        <v>0</v>
      </c>
      <c r="W1278">
        <f>N(W1277)+$V1278</f>
        <v>11</v>
      </c>
      <c r="X1278">
        <f>IF(AND($L1278=1,AND(对接源_02物料!$X78="自备筐",N(对接源_02物料!$T78)&lt;&gt;0)),1,0)</f>
        <v>0</v>
      </c>
      <c r="Y1278">
        <f>N(Y1277)+$X1278</f>
        <v>0</v>
      </c>
      <c r="Z1278">
        <f>IF(AND($M1278=1,对接源_02物料!$D78="原料入库"),1,0)</f>
        <v>0</v>
      </c>
      <c r="AA1278">
        <f>N(AA1277)+$Z1278</f>
        <v>24</v>
      </c>
      <c r="AB1278">
        <f>IF(AND($M1278=1,LEFT(对接源_02物料!$D78,4)="原料出库"),1,0)</f>
        <v>0</v>
      </c>
      <c r="AC1278">
        <f>N(AC1277)+$AB1278</f>
        <v>0</v>
      </c>
      <c r="AD1278">
        <f>IF(AND($M1278=1,LEFT(对接源_02物料!$D78,4)="成品出库"),1,0)</f>
        <v>0</v>
      </c>
      <c r="AE1278">
        <f>N(AE1277)+$AD1278</f>
        <v>0</v>
      </c>
      <c r="AF1278">
        <f>IF(AND($N1278=1,AND(LEFT(对接源_02物料!$D78,4)="包装物料",N(对接源_02物料!$K78)&lt;&gt;0)),1,0)</f>
        <v>0</v>
      </c>
      <c r="AG1278">
        <f>N(AG1277)+$AF1278</f>
        <v>10</v>
      </c>
      <c r="AH1278">
        <f>IF(AND($N1278=1,AND(对接源_02物料!$D78="周转筐－销售出库",N(对接源_02物料!$K78)&lt;&gt;0)),1,0)</f>
        <v>0</v>
      </c>
      <c r="AI1278">
        <f>N(AI1277)+$AH1278</f>
        <v>0</v>
      </c>
      <c r="AL1278" t="n">
        <v>0</v>
      </c>
      <c r="AM1278">
        <f>N(AM1277)+$AL1278</f>
        <v>2</v>
      </c>
      <c r="AN1278">
        <f>""</f>
      </c>
      <c r="AO1278" t="n">
        <v>0</v>
      </c>
      <c r="AP1278">
        <f>N(AP1277)+$AO1278</f>
        <v>13</v>
      </c>
      <c r="AR1278">
        <f>IF(OR($AF1278=1,$AH1278=1),1,0)</f>
        <v>0</v>
      </c>
      <c r="AS1278">
        <f>N(AS1277)+$AR1278</f>
        <v>10</v>
      </c>
    </row>
    <row r="1279" s="127">
      <c r="A1279" t="str">
        <f>IF(对接源_02物料!$C79="","",对接源_02物料!$C79)</f>
        <v>果然鲜</v>
      </c>
      <c r="B1279">
        <f>IF(A1279="",0,IF(MATCH(A1279,$A$4:$A$2403,0)=ROW()-3,1,0))</f>
        <v>0</v>
      </c>
      <c r="C1279">
        <f>N(C1278)+B1279</f>
        <v>24</v>
      </c>
      <c r="K1279">
        <f>IF(OR($K$1="",对接源_02物料!$C79="",对接源_02物料!$C79&lt;&gt;$K$1,对接源_02物料!$B79=""),0,IF(OR(N(对接源_02物料!$B79)&lt;$K$2,N(对接源_02物料!$B79)&gt;$K$3),0,1))</f>
        <v>0</v>
      </c>
      <c r="L1279">
        <f>IF(OR($L$1="",对接源_02物料!$C79="",对接源_02物料!$C79&lt;&gt;$L$1,对接源_02物料!$B79=""),0,IF(OR(N(对接源_02物料!$B79)&lt;$L$2,N(对接源_02物料!$B79)&gt;$L$3),0,1))</f>
        <v>0</v>
      </c>
      <c r="M1279">
        <f>IF(OR($M$1="",对接源_02物料!$C79="",对接源_02物料!$C79&lt;&gt;$M$1,对接源_02物料!$B79=""),0,IF(OR(N(对接源_02物料!$B79)&lt;$M$2,N(对接源_02物料!$B79)&gt;$M$3),0,1))</f>
        <v>0</v>
      </c>
      <c r="N1279">
        <f>IF(OR($N$1="",对接源_02物料!$C79="",对接源_02物料!$C79&lt;&gt;$N$1,对接源_02物料!$B79=""),0,IF(OR(N(对接源_02物料!$B79)&lt;$N$2,N(对接源_02物料!$B79)&gt;$N$3),0,1))</f>
        <v>0</v>
      </c>
      <c r="P1279">
        <f>IF(AND($K1279=1,AND(对接源_02物料!$X79="公司筐",N(对接源_02物料!$T79)&lt;&gt;0)),1,0)</f>
        <v>0</v>
      </c>
      <c r="Q1279">
        <f>N(Q1278)+$P1279</f>
        <v>0</v>
      </c>
      <c r="R1279">
        <f>IF(AND($K1279=1,AND(对接源_02物料!$X79="公司筐",N(对接源_02物料!$U79)&lt;&gt;0)),1,0)</f>
        <v>0</v>
      </c>
      <c r="S1279">
        <f>N(S1278)+$R1279</f>
        <v>0</v>
      </c>
      <c r="T1279">
        <f>IF(AND($K1279=1,AND(对接源_02物料!$X79="公司筐",N(对接源_02物料!$V79)&lt;&gt;0)),1,0)</f>
        <v>0</v>
      </c>
      <c r="U1279">
        <f>N(U1278)+$T1279</f>
        <v>47</v>
      </c>
      <c r="V1279">
        <f>IF(AND($L1279=1,AND(对接源_02物料!$X79="自备筐",N(对接源_02物料!$V79)&lt;&gt;0)),1,0)</f>
        <v>0</v>
      </c>
      <c r="W1279">
        <f>N(W1278)+$V1279</f>
        <v>11</v>
      </c>
      <c r="X1279">
        <f>IF(AND($L1279=1,AND(对接源_02物料!$X79="自备筐",N(对接源_02物料!$T79)&lt;&gt;0)),1,0)</f>
        <v>0</v>
      </c>
      <c r="Y1279">
        <f>N(Y1278)+$X1279</f>
        <v>0</v>
      </c>
      <c r="Z1279">
        <f>IF(AND($M1279=1,对接源_02物料!$D79="原料入库"),1,0)</f>
        <v>0</v>
      </c>
      <c r="AA1279">
        <f>N(AA1278)+$Z1279</f>
        <v>24</v>
      </c>
      <c r="AB1279">
        <f>IF(AND($M1279=1,LEFT(对接源_02物料!$D79,4)="原料出库"),1,0)</f>
        <v>0</v>
      </c>
      <c r="AC1279">
        <f>N(AC1278)+$AB1279</f>
        <v>0</v>
      </c>
      <c r="AD1279">
        <f>IF(AND($M1279=1,LEFT(对接源_02物料!$D79,4)="成品出库"),1,0)</f>
        <v>0</v>
      </c>
      <c r="AE1279">
        <f>N(AE1278)+$AD1279</f>
        <v>0</v>
      </c>
      <c r="AF1279">
        <f>IF(AND($N1279=1,AND(LEFT(对接源_02物料!$D79,4)="包装物料",N(对接源_02物料!$K79)&lt;&gt;0)),1,0)</f>
        <v>0</v>
      </c>
      <c r="AG1279">
        <f>N(AG1278)+$AF1279</f>
        <v>10</v>
      </c>
      <c r="AH1279">
        <f>IF(AND($N1279=1,AND(对接源_02物料!$D79="周转筐－销售出库",N(对接源_02物料!$K79)&lt;&gt;0)),1,0)</f>
        <v>0</v>
      </c>
      <c r="AI1279">
        <f>N(AI1278)+$AH1279</f>
        <v>0</v>
      </c>
      <c r="AL1279" t="n">
        <v>0</v>
      </c>
      <c r="AM1279">
        <f>N(AM1278)+$AL1279</f>
        <v>2</v>
      </c>
      <c r="AN1279">
        <f>""</f>
      </c>
      <c r="AO1279" t="n">
        <v>0</v>
      </c>
      <c r="AP1279">
        <f>N(AP1278)+$AO1279</f>
        <v>13</v>
      </c>
      <c r="AR1279">
        <f>IF(OR($AF1279=1,$AH1279=1),1,0)</f>
        <v>0</v>
      </c>
      <c r="AS1279">
        <f>N(AS1278)+$AR1279</f>
        <v>10</v>
      </c>
    </row>
    <row r="1280" s="127">
      <c r="A1280" t="str">
        <f>IF(对接源_02物料!$C80="","",对接源_02物料!$C80)</f>
        <v>果然鲜</v>
      </c>
      <c r="B1280">
        <f>IF(A1280="",0,IF(MATCH(A1280,$A$4:$A$2403,0)=ROW()-3,1,0))</f>
        <v>0</v>
      </c>
      <c r="C1280">
        <f>N(C1279)+B1280</f>
        <v>24</v>
      </c>
      <c r="K1280">
        <f>IF(OR($K$1="",对接源_02物料!$C80="",对接源_02物料!$C80&lt;&gt;$K$1,对接源_02物料!$B80=""),0,IF(OR(N(对接源_02物料!$B80)&lt;$K$2,N(对接源_02物料!$B80)&gt;$K$3),0,1))</f>
        <v>0</v>
      </c>
      <c r="L1280">
        <f>IF(OR($L$1="",对接源_02物料!$C80="",对接源_02物料!$C80&lt;&gt;$L$1,对接源_02物料!$B80=""),0,IF(OR(N(对接源_02物料!$B80)&lt;$L$2,N(对接源_02物料!$B80)&gt;$L$3),0,1))</f>
        <v>0</v>
      </c>
      <c r="M1280">
        <f>IF(OR($M$1="",对接源_02物料!$C80="",对接源_02物料!$C80&lt;&gt;$M$1,对接源_02物料!$B80=""),0,IF(OR(N(对接源_02物料!$B80)&lt;$M$2,N(对接源_02物料!$B80)&gt;$M$3),0,1))</f>
        <v>0</v>
      </c>
      <c r="N1280">
        <f>IF(OR($N$1="",对接源_02物料!$C80="",对接源_02物料!$C80&lt;&gt;$N$1,对接源_02物料!$B80=""),0,IF(OR(N(对接源_02物料!$B80)&lt;$N$2,N(对接源_02物料!$B80)&gt;$N$3),0,1))</f>
        <v>0</v>
      </c>
      <c r="P1280">
        <f>IF(AND($K1280=1,AND(对接源_02物料!$X80="公司筐",N(对接源_02物料!$T80)&lt;&gt;0)),1,0)</f>
        <v>0</v>
      </c>
      <c r="Q1280">
        <f>N(Q1279)+$P1280</f>
        <v>0</v>
      </c>
      <c r="R1280">
        <f>IF(AND($K1280=1,AND(对接源_02物料!$X80="公司筐",N(对接源_02物料!$U80)&lt;&gt;0)),1,0)</f>
        <v>0</v>
      </c>
      <c r="S1280">
        <f>N(S1279)+$R1280</f>
        <v>0</v>
      </c>
      <c r="T1280">
        <f>IF(AND($K1280=1,AND(对接源_02物料!$X80="公司筐",N(对接源_02物料!$V80)&lt;&gt;0)),1,0)</f>
        <v>0</v>
      </c>
      <c r="U1280">
        <f>N(U1279)+$T1280</f>
        <v>47</v>
      </c>
      <c r="V1280">
        <f>IF(AND($L1280=1,AND(对接源_02物料!$X80="自备筐",N(对接源_02物料!$V80)&lt;&gt;0)),1,0)</f>
        <v>0</v>
      </c>
      <c r="W1280">
        <f>N(W1279)+$V1280</f>
        <v>11</v>
      </c>
      <c r="X1280">
        <f>IF(AND($L1280=1,AND(对接源_02物料!$X80="自备筐",N(对接源_02物料!$T80)&lt;&gt;0)),1,0)</f>
        <v>0</v>
      </c>
      <c r="Y1280">
        <f>N(Y1279)+$X1280</f>
        <v>0</v>
      </c>
      <c r="Z1280">
        <f>IF(AND($M1280=1,对接源_02物料!$D80="原料入库"),1,0)</f>
        <v>0</v>
      </c>
      <c r="AA1280">
        <f>N(AA1279)+$Z1280</f>
        <v>24</v>
      </c>
      <c r="AB1280">
        <f>IF(AND($M1280=1,LEFT(对接源_02物料!$D80,4)="原料出库"),1,0)</f>
        <v>0</v>
      </c>
      <c r="AC1280">
        <f>N(AC1279)+$AB1280</f>
        <v>0</v>
      </c>
      <c r="AD1280">
        <f>IF(AND($M1280=1,LEFT(对接源_02物料!$D80,4)="成品出库"),1,0)</f>
        <v>0</v>
      </c>
      <c r="AE1280">
        <f>N(AE1279)+$AD1280</f>
        <v>0</v>
      </c>
      <c r="AF1280">
        <f>IF(AND($N1280=1,AND(LEFT(对接源_02物料!$D80,4)="包装物料",N(对接源_02物料!$K80)&lt;&gt;0)),1,0)</f>
        <v>0</v>
      </c>
      <c r="AG1280">
        <f>N(AG1279)+$AF1280</f>
        <v>10</v>
      </c>
      <c r="AH1280">
        <f>IF(AND($N1280=1,AND(对接源_02物料!$D80="周转筐－销售出库",N(对接源_02物料!$K80)&lt;&gt;0)),1,0)</f>
        <v>0</v>
      </c>
      <c r="AI1280">
        <f>N(AI1279)+$AH1280</f>
        <v>0</v>
      </c>
      <c r="AL1280" t="n">
        <v>0</v>
      </c>
      <c r="AM1280">
        <f>N(AM1279)+$AL1280</f>
        <v>2</v>
      </c>
      <c r="AN1280">
        <f>""</f>
      </c>
      <c r="AO1280" t="n">
        <v>0</v>
      </c>
      <c r="AP1280">
        <f>N(AP1279)+$AO1280</f>
        <v>13</v>
      </c>
      <c r="AR1280">
        <f>IF(OR($AF1280=1,$AH1280=1),1,0)</f>
        <v>0</v>
      </c>
      <c r="AS1280">
        <f>N(AS1279)+$AR1280</f>
        <v>10</v>
      </c>
    </row>
    <row r="1281" s="127">
      <c r="A1281" t="str">
        <f>IF(对接源_02物料!$C81="","",对接源_02物料!$C81)</f>
        <v>王照雪</v>
      </c>
      <c r="B1281">
        <f>IF(A1281="",0,IF(MATCH(A1281,$A$4:$A$2403,0)=ROW()-3,1,0))</f>
        <v>0</v>
      </c>
      <c r="C1281">
        <f>N(C1280)+B1281</f>
        <v>24</v>
      </c>
      <c r="K1281">
        <f>IF(OR($K$1="",对接源_02物料!$C81="",对接源_02物料!$C81&lt;&gt;$K$1,对接源_02物料!$B81=""),0,IF(OR(N(对接源_02物料!$B81)&lt;$K$2,N(对接源_02物料!$B81)&gt;$K$3),0,1))</f>
        <v>0</v>
      </c>
      <c r="L1281">
        <f>IF(OR($L$1="",对接源_02物料!$C81="",对接源_02物料!$C81&lt;&gt;$L$1,对接源_02物料!$B81=""),0,IF(OR(N(对接源_02物料!$B81)&lt;$L$2,N(对接源_02物料!$B81)&gt;$L$3),0,1))</f>
        <v>0</v>
      </c>
      <c r="M1281">
        <f>IF(OR($M$1="",对接源_02物料!$C81="",对接源_02物料!$C81&lt;&gt;$M$1,对接源_02物料!$B81=""),0,IF(OR(N(对接源_02物料!$B81)&lt;$M$2,N(对接源_02物料!$B81)&gt;$M$3),0,1))</f>
        <v>0</v>
      </c>
      <c r="N1281">
        <f>IF(OR($N$1="",对接源_02物料!$C81="",对接源_02物料!$C81&lt;&gt;$N$1,对接源_02物料!$B81=""),0,IF(OR(N(对接源_02物料!$B81)&lt;$N$2,N(对接源_02物料!$B81)&gt;$N$3),0,1))</f>
        <v>0</v>
      </c>
      <c r="P1281">
        <f>IF(AND($K1281=1,AND(对接源_02物料!$X81="公司筐",N(对接源_02物料!$T81)&lt;&gt;0)),1,0)</f>
        <v>0</v>
      </c>
      <c r="Q1281">
        <f>N(Q1280)+$P1281</f>
        <v>0</v>
      </c>
      <c r="R1281">
        <f>IF(AND($K1281=1,AND(对接源_02物料!$X81="公司筐",N(对接源_02物料!$U81)&lt;&gt;0)),1,0)</f>
        <v>0</v>
      </c>
      <c r="S1281">
        <f>N(S1280)+$R1281</f>
        <v>0</v>
      </c>
      <c r="T1281">
        <f>IF(AND($K1281=1,AND(对接源_02物料!$X81="公司筐",N(对接源_02物料!$V81)&lt;&gt;0)),1,0)</f>
        <v>0</v>
      </c>
      <c r="U1281">
        <f>N(U1280)+$T1281</f>
        <v>47</v>
      </c>
      <c r="V1281">
        <f>IF(AND($L1281=1,AND(对接源_02物料!$X81="自备筐",N(对接源_02物料!$V81)&lt;&gt;0)),1,0)</f>
        <v>0</v>
      </c>
      <c r="W1281">
        <f>N(W1280)+$V1281</f>
        <v>11</v>
      </c>
      <c r="X1281">
        <f>IF(AND($L1281=1,AND(对接源_02物料!$X81="自备筐",N(对接源_02物料!$T81)&lt;&gt;0)),1,0)</f>
        <v>0</v>
      </c>
      <c r="Y1281">
        <f>N(Y1280)+$X1281</f>
        <v>0</v>
      </c>
      <c r="Z1281">
        <f>IF(AND($M1281=1,对接源_02物料!$D81="原料入库"),1,0)</f>
        <v>0</v>
      </c>
      <c r="AA1281">
        <f>N(AA1280)+$Z1281</f>
        <v>24</v>
      </c>
      <c r="AB1281">
        <f>IF(AND($M1281=1,LEFT(对接源_02物料!$D81,4)="原料出库"),1,0)</f>
        <v>0</v>
      </c>
      <c r="AC1281">
        <f>N(AC1280)+$AB1281</f>
        <v>0</v>
      </c>
      <c r="AD1281">
        <f>IF(AND($M1281=1,LEFT(对接源_02物料!$D81,4)="成品出库"),1,0)</f>
        <v>0</v>
      </c>
      <c r="AE1281">
        <f>N(AE1280)+$AD1281</f>
        <v>0</v>
      </c>
      <c r="AF1281">
        <f>IF(AND($N1281=1,AND(LEFT(对接源_02物料!$D81,4)="包装物料",N(对接源_02物料!$K81)&lt;&gt;0)),1,0)</f>
        <v>0</v>
      </c>
      <c r="AG1281">
        <f>N(AG1280)+$AF1281</f>
        <v>10</v>
      </c>
      <c r="AH1281">
        <f>IF(AND($N1281=1,AND(对接源_02物料!$D81="周转筐－销售出库",N(对接源_02物料!$K81)&lt;&gt;0)),1,0)</f>
        <v>0</v>
      </c>
      <c r="AI1281">
        <f>N(AI1280)+$AH1281</f>
        <v>0</v>
      </c>
      <c r="AL1281" t="n">
        <v>0</v>
      </c>
      <c r="AM1281">
        <f>N(AM1280)+$AL1281</f>
        <v>2</v>
      </c>
      <c r="AN1281">
        <f>""</f>
      </c>
      <c r="AO1281" t="n">
        <v>0</v>
      </c>
      <c r="AP1281">
        <f>N(AP1280)+$AO1281</f>
        <v>13</v>
      </c>
      <c r="AR1281">
        <f>IF(OR($AF1281=1,$AH1281=1),1,0)</f>
        <v>0</v>
      </c>
      <c r="AS1281">
        <f>N(AS1280)+$AR1281</f>
        <v>10</v>
      </c>
    </row>
    <row r="1282" s="127">
      <c r="A1282" t="str">
        <f>IF(对接源_02物料!$C82="","",对接源_02物料!$C82)</f>
        <v>王照雪</v>
      </c>
      <c r="B1282">
        <f>IF(A1282="",0,IF(MATCH(A1282,$A$4:$A$2403,0)=ROW()-3,1,0))</f>
        <v>0</v>
      </c>
      <c r="C1282">
        <f>N(C1281)+B1282</f>
        <v>24</v>
      </c>
      <c r="K1282">
        <f>IF(OR($K$1="",对接源_02物料!$C82="",对接源_02物料!$C82&lt;&gt;$K$1,对接源_02物料!$B82=""),0,IF(OR(N(对接源_02物料!$B82)&lt;$K$2,N(对接源_02物料!$B82)&gt;$K$3),0,1))</f>
        <v>0</v>
      </c>
      <c r="L1282">
        <f>IF(OR($L$1="",对接源_02物料!$C82="",对接源_02物料!$C82&lt;&gt;$L$1,对接源_02物料!$B82=""),0,IF(OR(N(对接源_02物料!$B82)&lt;$L$2,N(对接源_02物料!$B82)&gt;$L$3),0,1))</f>
        <v>0</v>
      </c>
      <c r="M1282">
        <f>IF(OR($M$1="",对接源_02物料!$C82="",对接源_02物料!$C82&lt;&gt;$M$1,对接源_02物料!$B82=""),0,IF(OR(N(对接源_02物料!$B82)&lt;$M$2,N(对接源_02物料!$B82)&gt;$M$3),0,1))</f>
        <v>0</v>
      </c>
      <c r="N1282">
        <f>IF(OR($N$1="",对接源_02物料!$C82="",对接源_02物料!$C82&lt;&gt;$N$1,对接源_02物料!$B82=""),0,IF(OR(N(对接源_02物料!$B82)&lt;$N$2,N(对接源_02物料!$B82)&gt;$N$3),0,1))</f>
        <v>0</v>
      </c>
      <c r="P1282">
        <f>IF(AND($K1282=1,AND(对接源_02物料!$X82="公司筐",N(对接源_02物料!$T82)&lt;&gt;0)),1,0)</f>
        <v>0</v>
      </c>
      <c r="Q1282">
        <f>N(Q1281)+$P1282</f>
        <v>0</v>
      </c>
      <c r="R1282">
        <f>IF(AND($K1282=1,AND(对接源_02物料!$X82="公司筐",N(对接源_02物料!$U82)&lt;&gt;0)),1,0)</f>
        <v>0</v>
      </c>
      <c r="S1282">
        <f>N(S1281)+$R1282</f>
        <v>0</v>
      </c>
      <c r="T1282">
        <f>IF(AND($K1282=1,AND(对接源_02物料!$X82="公司筐",N(对接源_02物料!$V82)&lt;&gt;0)),1,0)</f>
        <v>0</v>
      </c>
      <c r="U1282">
        <f>N(U1281)+$T1282</f>
        <v>47</v>
      </c>
      <c r="V1282">
        <f>IF(AND($L1282=1,AND(对接源_02物料!$X82="自备筐",N(对接源_02物料!$V82)&lt;&gt;0)),1,0)</f>
        <v>0</v>
      </c>
      <c r="W1282">
        <f>N(W1281)+$V1282</f>
        <v>11</v>
      </c>
      <c r="X1282">
        <f>IF(AND($L1282=1,AND(对接源_02物料!$X82="自备筐",N(对接源_02物料!$T82)&lt;&gt;0)),1,0)</f>
        <v>0</v>
      </c>
      <c r="Y1282">
        <f>N(Y1281)+$X1282</f>
        <v>0</v>
      </c>
      <c r="Z1282">
        <f>IF(AND($M1282=1,对接源_02物料!$D82="原料入库"),1,0)</f>
        <v>0</v>
      </c>
      <c r="AA1282">
        <f>N(AA1281)+$Z1282</f>
        <v>24</v>
      </c>
      <c r="AB1282">
        <f>IF(AND($M1282=1,LEFT(对接源_02物料!$D82,4)="原料出库"),1,0)</f>
        <v>0</v>
      </c>
      <c r="AC1282">
        <f>N(AC1281)+$AB1282</f>
        <v>0</v>
      </c>
      <c r="AD1282">
        <f>IF(AND($M1282=1,LEFT(对接源_02物料!$D82,4)="成品出库"),1,0)</f>
        <v>0</v>
      </c>
      <c r="AE1282">
        <f>N(AE1281)+$AD1282</f>
        <v>0</v>
      </c>
      <c r="AF1282">
        <f>IF(AND($N1282=1,AND(LEFT(对接源_02物料!$D82,4)="包装物料",N(对接源_02物料!$K82)&lt;&gt;0)),1,0)</f>
        <v>0</v>
      </c>
      <c r="AG1282">
        <f>N(AG1281)+$AF1282</f>
        <v>10</v>
      </c>
      <c r="AH1282">
        <f>IF(AND($N1282=1,AND(对接源_02物料!$D82="周转筐－销售出库",N(对接源_02物料!$K82)&lt;&gt;0)),1,0)</f>
        <v>0</v>
      </c>
      <c r="AI1282">
        <f>N(AI1281)+$AH1282</f>
        <v>0</v>
      </c>
      <c r="AL1282" t="n">
        <v>0</v>
      </c>
      <c r="AM1282">
        <f>N(AM1281)+$AL1282</f>
        <v>2</v>
      </c>
      <c r="AN1282">
        <f>""</f>
      </c>
      <c r="AO1282" t="n">
        <v>0</v>
      </c>
      <c r="AP1282">
        <f>N(AP1281)+$AO1282</f>
        <v>13</v>
      </c>
      <c r="AR1282">
        <f>IF(OR($AF1282=1,$AH1282=1),1,0)</f>
        <v>0</v>
      </c>
      <c r="AS1282">
        <f>N(AS1281)+$AR1282</f>
        <v>10</v>
      </c>
    </row>
    <row r="1283" s="127">
      <c r="A1283" t="str">
        <f>IF(对接源_02物料!$C83="","",对接源_02物料!$C83)</f>
        <v>王照雪</v>
      </c>
      <c r="B1283">
        <f>IF(A1283="",0,IF(MATCH(A1283,$A$4:$A$2403,0)=ROW()-3,1,0))</f>
        <v>0</v>
      </c>
      <c r="C1283">
        <f>N(C1282)+B1283</f>
        <v>24</v>
      </c>
      <c r="K1283">
        <f>IF(OR($K$1="",对接源_02物料!$C83="",对接源_02物料!$C83&lt;&gt;$K$1,对接源_02物料!$B83=""),0,IF(OR(N(对接源_02物料!$B83)&lt;$K$2,N(对接源_02物料!$B83)&gt;$K$3),0,1))</f>
        <v>0</v>
      </c>
      <c r="L1283">
        <f>IF(OR($L$1="",对接源_02物料!$C83="",对接源_02物料!$C83&lt;&gt;$L$1,对接源_02物料!$B83=""),0,IF(OR(N(对接源_02物料!$B83)&lt;$L$2,N(对接源_02物料!$B83)&gt;$L$3),0,1))</f>
        <v>0</v>
      </c>
      <c r="M1283">
        <f>IF(OR($M$1="",对接源_02物料!$C83="",对接源_02物料!$C83&lt;&gt;$M$1,对接源_02物料!$B83=""),0,IF(OR(N(对接源_02物料!$B83)&lt;$M$2,N(对接源_02物料!$B83)&gt;$M$3),0,1))</f>
        <v>0</v>
      </c>
      <c r="N1283">
        <f>IF(OR($N$1="",对接源_02物料!$C83="",对接源_02物料!$C83&lt;&gt;$N$1,对接源_02物料!$B83=""),0,IF(OR(N(对接源_02物料!$B83)&lt;$N$2,N(对接源_02物料!$B83)&gt;$N$3),0,1))</f>
        <v>0</v>
      </c>
      <c r="P1283">
        <f>IF(AND($K1283=1,AND(对接源_02物料!$X83="公司筐",N(对接源_02物料!$T83)&lt;&gt;0)),1,0)</f>
        <v>0</v>
      </c>
      <c r="Q1283">
        <f>N(Q1282)+$P1283</f>
        <v>0</v>
      </c>
      <c r="R1283">
        <f>IF(AND($K1283=1,AND(对接源_02物料!$X83="公司筐",N(对接源_02物料!$U83)&lt;&gt;0)),1,0)</f>
        <v>0</v>
      </c>
      <c r="S1283">
        <f>N(S1282)+$R1283</f>
        <v>0</v>
      </c>
      <c r="T1283">
        <f>IF(AND($K1283=1,AND(对接源_02物料!$X83="公司筐",N(对接源_02物料!$V83)&lt;&gt;0)),1,0)</f>
        <v>0</v>
      </c>
      <c r="U1283">
        <f>N(U1282)+$T1283</f>
        <v>47</v>
      </c>
      <c r="V1283">
        <f>IF(AND($L1283=1,AND(对接源_02物料!$X83="自备筐",N(对接源_02物料!$V83)&lt;&gt;0)),1,0)</f>
        <v>0</v>
      </c>
      <c r="W1283">
        <f>N(W1282)+$V1283</f>
        <v>11</v>
      </c>
      <c r="X1283">
        <f>IF(AND($L1283=1,AND(对接源_02物料!$X83="自备筐",N(对接源_02物料!$T83)&lt;&gt;0)),1,0)</f>
        <v>0</v>
      </c>
      <c r="Y1283">
        <f>N(Y1282)+$X1283</f>
        <v>0</v>
      </c>
      <c r="Z1283">
        <f>IF(AND($M1283=1,对接源_02物料!$D83="原料入库"),1,0)</f>
        <v>0</v>
      </c>
      <c r="AA1283">
        <f>N(AA1282)+$Z1283</f>
        <v>24</v>
      </c>
      <c r="AB1283">
        <f>IF(AND($M1283=1,LEFT(对接源_02物料!$D83,4)="原料出库"),1,0)</f>
        <v>0</v>
      </c>
      <c r="AC1283">
        <f>N(AC1282)+$AB1283</f>
        <v>0</v>
      </c>
      <c r="AD1283">
        <f>IF(AND($M1283=1,LEFT(对接源_02物料!$D83,4)="成品出库"),1,0)</f>
        <v>0</v>
      </c>
      <c r="AE1283">
        <f>N(AE1282)+$AD1283</f>
        <v>0</v>
      </c>
      <c r="AF1283">
        <f>IF(AND($N1283=1,AND(LEFT(对接源_02物料!$D83,4)="包装物料",N(对接源_02物料!$K83)&lt;&gt;0)),1,0)</f>
        <v>0</v>
      </c>
      <c r="AG1283">
        <f>N(AG1282)+$AF1283</f>
        <v>10</v>
      </c>
      <c r="AH1283">
        <f>IF(AND($N1283=1,AND(对接源_02物料!$D83="周转筐－销售出库",N(对接源_02物料!$K83)&lt;&gt;0)),1,0)</f>
        <v>0</v>
      </c>
      <c r="AI1283">
        <f>N(AI1282)+$AH1283</f>
        <v>0</v>
      </c>
      <c r="AL1283" t="n">
        <v>0</v>
      </c>
      <c r="AM1283">
        <f>N(AM1282)+$AL1283</f>
        <v>2</v>
      </c>
      <c r="AN1283">
        <f>""</f>
      </c>
      <c r="AO1283" t="n">
        <v>0</v>
      </c>
      <c r="AP1283">
        <f>N(AP1282)+$AO1283</f>
        <v>13</v>
      </c>
      <c r="AR1283">
        <f>IF(OR($AF1283=1,$AH1283=1),1,0)</f>
        <v>0</v>
      </c>
      <c r="AS1283">
        <f>N(AS1282)+$AR1283</f>
        <v>10</v>
      </c>
    </row>
    <row r="1284" s="127">
      <c r="A1284" t="str">
        <f>IF(对接源_02物料!$C84="","",对接源_02物料!$C84)</f>
        <v>王照雪</v>
      </c>
      <c r="B1284">
        <f>IF(A1284="",0,IF(MATCH(A1284,$A$4:$A$2403,0)=ROW()-3,1,0))</f>
        <v>0</v>
      </c>
      <c r="C1284">
        <f>N(C1283)+B1284</f>
        <v>24</v>
      </c>
      <c r="K1284">
        <f>IF(OR($K$1="",对接源_02物料!$C84="",对接源_02物料!$C84&lt;&gt;$K$1,对接源_02物料!$B84=""),0,IF(OR(N(对接源_02物料!$B84)&lt;$K$2,N(对接源_02物料!$B84)&gt;$K$3),0,1))</f>
        <v>0</v>
      </c>
      <c r="L1284">
        <f>IF(OR($L$1="",对接源_02物料!$C84="",对接源_02物料!$C84&lt;&gt;$L$1,对接源_02物料!$B84=""),0,IF(OR(N(对接源_02物料!$B84)&lt;$L$2,N(对接源_02物料!$B84)&gt;$L$3),0,1))</f>
        <v>0</v>
      </c>
      <c r="M1284">
        <f>IF(OR($M$1="",对接源_02物料!$C84="",对接源_02物料!$C84&lt;&gt;$M$1,对接源_02物料!$B84=""),0,IF(OR(N(对接源_02物料!$B84)&lt;$M$2,N(对接源_02物料!$B84)&gt;$M$3),0,1))</f>
        <v>0</v>
      </c>
      <c r="N1284">
        <f>IF(OR($N$1="",对接源_02物料!$C84="",对接源_02物料!$C84&lt;&gt;$N$1,对接源_02物料!$B84=""),0,IF(OR(N(对接源_02物料!$B84)&lt;$N$2,N(对接源_02物料!$B84)&gt;$N$3),0,1))</f>
        <v>0</v>
      </c>
      <c r="P1284">
        <f>IF(AND($K1284=1,AND(对接源_02物料!$X84="公司筐",N(对接源_02物料!$T84)&lt;&gt;0)),1,0)</f>
        <v>0</v>
      </c>
      <c r="Q1284">
        <f>N(Q1283)+$P1284</f>
        <v>0</v>
      </c>
      <c r="R1284">
        <f>IF(AND($K1284=1,AND(对接源_02物料!$X84="公司筐",N(对接源_02物料!$U84)&lt;&gt;0)),1,0)</f>
        <v>0</v>
      </c>
      <c r="S1284">
        <f>N(S1283)+$R1284</f>
        <v>0</v>
      </c>
      <c r="T1284">
        <f>IF(AND($K1284=1,AND(对接源_02物料!$X84="公司筐",N(对接源_02物料!$V84)&lt;&gt;0)),1,0)</f>
        <v>0</v>
      </c>
      <c r="U1284">
        <f>N(U1283)+$T1284</f>
        <v>47</v>
      </c>
      <c r="V1284">
        <f>IF(AND($L1284=1,AND(对接源_02物料!$X84="自备筐",N(对接源_02物料!$V84)&lt;&gt;0)),1,0)</f>
        <v>0</v>
      </c>
      <c r="W1284">
        <f>N(W1283)+$V1284</f>
        <v>11</v>
      </c>
      <c r="X1284">
        <f>IF(AND($L1284=1,AND(对接源_02物料!$X84="自备筐",N(对接源_02物料!$T84)&lt;&gt;0)),1,0)</f>
        <v>0</v>
      </c>
      <c r="Y1284">
        <f>N(Y1283)+$X1284</f>
        <v>0</v>
      </c>
      <c r="Z1284">
        <f>IF(AND($M1284=1,对接源_02物料!$D84="原料入库"),1,0)</f>
        <v>0</v>
      </c>
      <c r="AA1284">
        <f>N(AA1283)+$Z1284</f>
        <v>24</v>
      </c>
      <c r="AB1284">
        <f>IF(AND($M1284=1,LEFT(对接源_02物料!$D84,4)="原料出库"),1,0)</f>
        <v>0</v>
      </c>
      <c r="AC1284">
        <f>N(AC1283)+$AB1284</f>
        <v>0</v>
      </c>
      <c r="AD1284">
        <f>IF(AND($M1284=1,LEFT(对接源_02物料!$D84,4)="成品出库"),1,0)</f>
        <v>0</v>
      </c>
      <c r="AE1284">
        <f>N(AE1283)+$AD1284</f>
        <v>0</v>
      </c>
      <c r="AF1284">
        <f>IF(AND($N1284=1,AND(LEFT(对接源_02物料!$D84,4)="包装物料",N(对接源_02物料!$K84)&lt;&gt;0)),1,0)</f>
        <v>0</v>
      </c>
      <c r="AG1284">
        <f>N(AG1283)+$AF1284</f>
        <v>10</v>
      </c>
      <c r="AH1284">
        <f>IF(AND($N1284=1,AND(对接源_02物料!$D84="周转筐－销售出库",N(对接源_02物料!$K84)&lt;&gt;0)),1,0)</f>
        <v>0</v>
      </c>
      <c r="AI1284">
        <f>N(AI1283)+$AH1284</f>
        <v>0</v>
      </c>
      <c r="AL1284" t="n">
        <v>0</v>
      </c>
      <c r="AM1284">
        <f>N(AM1283)+$AL1284</f>
        <v>2</v>
      </c>
      <c r="AN1284">
        <f>""</f>
      </c>
      <c r="AO1284" t="n">
        <v>0</v>
      </c>
      <c r="AP1284">
        <f>N(AP1283)+$AO1284</f>
        <v>13</v>
      </c>
      <c r="AR1284">
        <f>IF(OR($AF1284=1,$AH1284=1),1,0)</f>
        <v>0</v>
      </c>
      <c r="AS1284">
        <f>N(AS1283)+$AR1284</f>
        <v>10</v>
      </c>
    </row>
    <row r="1285" s="127">
      <c r="A1285" t="str">
        <f>IF(对接源_02物料!$C85="","",对接源_02物料!$C85)</f>
        <v>王照雪</v>
      </c>
      <c r="B1285">
        <f>IF(A1285="",0,IF(MATCH(A1285,$A$4:$A$2403,0)=ROW()-3,1,0))</f>
        <v>0</v>
      </c>
      <c r="C1285">
        <f>N(C1284)+B1285</f>
        <v>24</v>
      </c>
      <c r="K1285">
        <f>IF(OR($K$1="",对接源_02物料!$C85="",对接源_02物料!$C85&lt;&gt;$K$1,对接源_02物料!$B85=""),0,IF(OR(N(对接源_02物料!$B85)&lt;$K$2,N(对接源_02物料!$B85)&gt;$K$3),0,1))</f>
        <v>0</v>
      </c>
      <c r="L1285">
        <f>IF(OR($L$1="",对接源_02物料!$C85="",对接源_02物料!$C85&lt;&gt;$L$1,对接源_02物料!$B85=""),0,IF(OR(N(对接源_02物料!$B85)&lt;$L$2,N(对接源_02物料!$B85)&gt;$L$3),0,1))</f>
        <v>0</v>
      </c>
      <c r="M1285">
        <f>IF(OR($M$1="",对接源_02物料!$C85="",对接源_02物料!$C85&lt;&gt;$M$1,对接源_02物料!$B85=""),0,IF(OR(N(对接源_02物料!$B85)&lt;$M$2,N(对接源_02物料!$B85)&gt;$M$3),0,1))</f>
        <v>0</v>
      </c>
      <c r="N1285">
        <f>IF(OR($N$1="",对接源_02物料!$C85="",对接源_02物料!$C85&lt;&gt;$N$1,对接源_02物料!$B85=""),0,IF(OR(N(对接源_02物料!$B85)&lt;$N$2,N(对接源_02物料!$B85)&gt;$N$3),0,1))</f>
        <v>0</v>
      </c>
      <c r="P1285">
        <f>IF(AND($K1285=1,AND(对接源_02物料!$X85="公司筐",N(对接源_02物料!$T85)&lt;&gt;0)),1,0)</f>
        <v>0</v>
      </c>
      <c r="Q1285">
        <f>N(Q1284)+$P1285</f>
        <v>0</v>
      </c>
      <c r="R1285">
        <f>IF(AND($K1285=1,AND(对接源_02物料!$X85="公司筐",N(对接源_02物料!$U85)&lt;&gt;0)),1,0)</f>
        <v>0</v>
      </c>
      <c r="S1285">
        <f>N(S1284)+$R1285</f>
        <v>0</v>
      </c>
      <c r="T1285">
        <f>IF(AND($K1285=1,AND(对接源_02物料!$X85="公司筐",N(对接源_02物料!$V85)&lt;&gt;0)),1,0)</f>
        <v>0</v>
      </c>
      <c r="U1285">
        <f>N(U1284)+$T1285</f>
        <v>47</v>
      </c>
      <c r="V1285">
        <f>IF(AND($L1285=1,AND(对接源_02物料!$X85="自备筐",N(对接源_02物料!$V85)&lt;&gt;0)),1,0)</f>
        <v>0</v>
      </c>
      <c r="W1285">
        <f>N(W1284)+$V1285</f>
        <v>11</v>
      </c>
      <c r="X1285">
        <f>IF(AND($L1285=1,AND(对接源_02物料!$X85="自备筐",N(对接源_02物料!$T85)&lt;&gt;0)),1,0)</f>
        <v>0</v>
      </c>
      <c r="Y1285">
        <f>N(Y1284)+$X1285</f>
        <v>0</v>
      </c>
      <c r="Z1285">
        <f>IF(AND($M1285=1,对接源_02物料!$D85="原料入库"),1,0)</f>
        <v>0</v>
      </c>
      <c r="AA1285">
        <f>N(AA1284)+$Z1285</f>
        <v>24</v>
      </c>
      <c r="AB1285">
        <f>IF(AND($M1285=1,LEFT(对接源_02物料!$D85,4)="原料出库"),1,0)</f>
        <v>0</v>
      </c>
      <c r="AC1285">
        <f>N(AC1284)+$AB1285</f>
        <v>0</v>
      </c>
      <c r="AD1285">
        <f>IF(AND($M1285=1,LEFT(对接源_02物料!$D85,4)="成品出库"),1,0)</f>
        <v>0</v>
      </c>
      <c r="AE1285">
        <f>N(AE1284)+$AD1285</f>
        <v>0</v>
      </c>
      <c r="AF1285">
        <f>IF(AND($N1285=1,AND(LEFT(对接源_02物料!$D85,4)="包装物料",N(对接源_02物料!$K85)&lt;&gt;0)),1,0)</f>
        <v>0</v>
      </c>
      <c r="AG1285">
        <f>N(AG1284)+$AF1285</f>
        <v>10</v>
      </c>
      <c r="AH1285">
        <f>IF(AND($N1285=1,AND(对接源_02物料!$D85="周转筐－销售出库",N(对接源_02物料!$K85)&lt;&gt;0)),1,0)</f>
        <v>0</v>
      </c>
      <c r="AI1285">
        <f>N(AI1284)+$AH1285</f>
        <v>0</v>
      </c>
      <c r="AL1285" t="n">
        <v>0</v>
      </c>
      <c r="AM1285">
        <f>N(AM1284)+$AL1285</f>
        <v>2</v>
      </c>
      <c r="AN1285">
        <f>""</f>
      </c>
      <c r="AO1285" t="n">
        <v>0</v>
      </c>
      <c r="AP1285">
        <f>N(AP1284)+$AO1285</f>
        <v>13</v>
      </c>
      <c r="AR1285">
        <f>IF(OR($AF1285=1,$AH1285=1),1,0)</f>
        <v>0</v>
      </c>
      <c r="AS1285">
        <f>N(AS1284)+$AR1285</f>
        <v>10</v>
      </c>
    </row>
    <row r="1286" s="127">
      <c r="A1286" t="str">
        <f>IF(对接源_02物料!$C86="","",对接源_02物料!$C86)</f>
        <v>王浩</v>
      </c>
      <c r="B1286">
        <f>IF(A1286="",0,IF(MATCH(A1286,$A$4:$A$2403,0)=ROW()-3,1,0))</f>
        <v>0</v>
      </c>
      <c r="C1286">
        <f>N(C1285)+B1286</f>
        <v>24</v>
      </c>
      <c r="K1286">
        <f>IF(OR($K$1="",对接源_02物料!$C86="",对接源_02物料!$C86&lt;&gt;$K$1,对接源_02物料!$B86=""),0,IF(OR(N(对接源_02物料!$B86)&lt;$K$2,N(对接源_02物料!$B86)&gt;$K$3),0,1))</f>
        <v>0</v>
      </c>
      <c r="L1286">
        <f>IF(OR($L$1="",对接源_02物料!$C86="",对接源_02物料!$C86&lt;&gt;$L$1,对接源_02物料!$B86=""),0,IF(OR(N(对接源_02物料!$B86)&lt;$L$2,N(对接源_02物料!$B86)&gt;$L$3),0,1))</f>
        <v>0</v>
      </c>
      <c r="M1286">
        <f>IF(OR($M$1="",对接源_02物料!$C86="",对接源_02物料!$C86&lt;&gt;$M$1,对接源_02物料!$B86=""),0,IF(OR(N(对接源_02物料!$B86)&lt;$M$2,N(对接源_02物料!$B86)&gt;$M$3),0,1))</f>
        <v>0</v>
      </c>
      <c r="N1286">
        <f>IF(OR($N$1="",对接源_02物料!$C86="",对接源_02物料!$C86&lt;&gt;$N$1,对接源_02物料!$B86=""),0,IF(OR(N(对接源_02物料!$B86)&lt;$N$2,N(对接源_02物料!$B86)&gt;$N$3),0,1))</f>
        <v>0</v>
      </c>
      <c r="P1286">
        <f>IF(AND($K1286=1,AND(对接源_02物料!$X86="公司筐",N(对接源_02物料!$T86)&lt;&gt;0)),1,0)</f>
        <v>0</v>
      </c>
      <c r="Q1286">
        <f>N(Q1285)+$P1286</f>
        <v>0</v>
      </c>
      <c r="R1286">
        <f>IF(AND($K1286=1,AND(对接源_02物料!$X86="公司筐",N(对接源_02物料!$U86)&lt;&gt;0)),1,0)</f>
        <v>0</v>
      </c>
      <c r="S1286">
        <f>N(S1285)+$R1286</f>
        <v>0</v>
      </c>
      <c r="T1286">
        <f>IF(AND($K1286=1,AND(对接源_02物料!$X86="公司筐",N(对接源_02物料!$V86)&lt;&gt;0)),1,0)</f>
        <v>0</v>
      </c>
      <c r="U1286">
        <f>N(U1285)+$T1286</f>
        <v>47</v>
      </c>
      <c r="V1286">
        <f>IF(AND($L1286=1,AND(对接源_02物料!$X86="自备筐",N(对接源_02物料!$V86)&lt;&gt;0)),1,0)</f>
        <v>0</v>
      </c>
      <c r="W1286">
        <f>N(W1285)+$V1286</f>
        <v>11</v>
      </c>
      <c r="X1286">
        <f>IF(AND($L1286=1,AND(对接源_02物料!$X86="自备筐",N(对接源_02物料!$T86)&lt;&gt;0)),1,0)</f>
        <v>0</v>
      </c>
      <c r="Y1286">
        <f>N(Y1285)+$X1286</f>
        <v>0</v>
      </c>
      <c r="Z1286">
        <f>IF(AND($M1286=1,对接源_02物料!$D86="原料入库"),1,0)</f>
        <v>0</v>
      </c>
      <c r="AA1286">
        <f>N(AA1285)+$Z1286</f>
        <v>24</v>
      </c>
      <c r="AB1286">
        <f>IF(AND($M1286=1,LEFT(对接源_02物料!$D86,4)="原料出库"),1,0)</f>
        <v>0</v>
      </c>
      <c r="AC1286">
        <f>N(AC1285)+$AB1286</f>
        <v>0</v>
      </c>
      <c r="AD1286">
        <f>IF(AND($M1286=1,LEFT(对接源_02物料!$D86,4)="成品出库"),1,0)</f>
        <v>0</v>
      </c>
      <c r="AE1286">
        <f>N(AE1285)+$AD1286</f>
        <v>0</v>
      </c>
      <c r="AF1286">
        <f>IF(AND($N1286=1,AND(LEFT(对接源_02物料!$D86,4)="包装物料",N(对接源_02物料!$K86)&lt;&gt;0)),1,0)</f>
        <v>0</v>
      </c>
      <c r="AG1286">
        <f>N(AG1285)+$AF1286</f>
        <v>10</v>
      </c>
      <c r="AH1286">
        <f>IF(AND($N1286=1,AND(对接源_02物料!$D86="周转筐－销售出库",N(对接源_02物料!$K86)&lt;&gt;0)),1,0)</f>
        <v>0</v>
      </c>
      <c r="AI1286">
        <f>N(AI1285)+$AH1286</f>
        <v>0</v>
      </c>
      <c r="AL1286" t="n">
        <v>0</v>
      </c>
      <c r="AM1286">
        <f>N(AM1285)+$AL1286</f>
        <v>2</v>
      </c>
      <c r="AN1286">
        <f>""</f>
      </c>
      <c r="AO1286" t="n">
        <v>0</v>
      </c>
      <c r="AP1286">
        <f>N(AP1285)+$AO1286</f>
        <v>13</v>
      </c>
      <c r="AR1286">
        <f>IF(OR($AF1286=1,$AH1286=1),1,0)</f>
        <v>0</v>
      </c>
      <c r="AS1286">
        <f>N(AS1285)+$AR1286</f>
        <v>10</v>
      </c>
    </row>
    <row r="1287" s="127">
      <c r="A1287" t="str">
        <f>IF(对接源_02物料!$C87="","",对接源_02物料!$C87)</f>
        <v>马锦祥</v>
      </c>
      <c r="B1287">
        <f>IF(A1287="",0,IF(MATCH(A1287,$A$4:$A$2403,0)=ROW()-3,1,0))</f>
        <v>0</v>
      </c>
      <c r="C1287">
        <f>N(C1286)+B1287</f>
        <v>24</v>
      </c>
      <c r="K1287">
        <f>IF(OR($K$1="",对接源_02物料!$C87="",对接源_02物料!$C87&lt;&gt;$K$1,对接源_02物料!$B87=""),0,IF(OR(N(对接源_02物料!$B87)&lt;$K$2,N(对接源_02物料!$B87)&gt;$K$3),0,1))</f>
        <v>0</v>
      </c>
      <c r="L1287">
        <f>IF(OR($L$1="",对接源_02物料!$C87="",对接源_02物料!$C87&lt;&gt;$L$1,对接源_02物料!$B87=""),0,IF(OR(N(对接源_02物料!$B87)&lt;$L$2,N(对接源_02物料!$B87)&gt;$L$3),0,1))</f>
        <v>0</v>
      </c>
      <c r="M1287">
        <f>IF(OR($M$1="",对接源_02物料!$C87="",对接源_02物料!$C87&lt;&gt;$M$1,对接源_02物料!$B87=""),0,IF(OR(N(对接源_02物料!$B87)&lt;$M$2,N(对接源_02物料!$B87)&gt;$M$3),0,1))</f>
        <v>0</v>
      </c>
      <c r="N1287">
        <f>IF(OR($N$1="",对接源_02物料!$C87="",对接源_02物料!$C87&lt;&gt;$N$1,对接源_02物料!$B87=""),0,IF(OR(N(对接源_02物料!$B87)&lt;$N$2,N(对接源_02物料!$B87)&gt;$N$3),0,1))</f>
        <v>0</v>
      </c>
      <c r="P1287">
        <f>IF(AND($K1287=1,AND(对接源_02物料!$X87="公司筐",N(对接源_02物料!$T87)&lt;&gt;0)),1,0)</f>
        <v>0</v>
      </c>
      <c r="Q1287">
        <f>N(Q1286)+$P1287</f>
        <v>0</v>
      </c>
      <c r="R1287">
        <f>IF(AND($K1287=1,AND(对接源_02物料!$X87="公司筐",N(对接源_02物料!$U87)&lt;&gt;0)),1,0)</f>
        <v>0</v>
      </c>
      <c r="S1287">
        <f>N(S1286)+$R1287</f>
        <v>0</v>
      </c>
      <c r="T1287">
        <f>IF(AND($K1287=1,AND(对接源_02物料!$X87="公司筐",N(对接源_02物料!$V87)&lt;&gt;0)),1,0)</f>
        <v>0</v>
      </c>
      <c r="U1287">
        <f>N(U1286)+$T1287</f>
        <v>47</v>
      </c>
      <c r="V1287">
        <f>IF(AND($L1287=1,AND(对接源_02物料!$X87="自备筐",N(对接源_02物料!$V87)&lt;&gt;0)),1,0)</f>
        <v>0</v>
      </c>
      <c r="W1287">
        <f>N(W1286)+$V1287</f>
        <v>11</v>
      </c>
      <c r="X1287">
        <f>IF(AND($L1287=1,AND(对接源_02物料!$X87="自备筐",N(对接源_02物料!$T87)&lt;&gt;0)),1,0)</f>
        <v>0</v>
      </c>
      <c r="Y1287">
        <f>N(Y1286)+$X1287</f>
        <v>0</v>
      </c>
      <c r="Z1287">
        <f>IF(AND($M1287=1,对接源_02物料!$D87="原料入库"),1,0)</f>
        <v>0</v>
      </c>
      <c r="AA1287">
        <f>N(AA1286)+$Z1287</f>
        <v>24</v>
      </c>
      <c r="AB1287">
        <f>IF(AND($M1287=1,LEFT(对接源_02物料!$D87,4)="原料出库"),1,0)</f>
        <v>0</v>
      </c>
      <c r="AC1287">
        <f>N(AC1286)+$AB1287</f>
        <v>0</v>
      </c>
      <c r="AD1287">
        <f>IF(AND($M1287=1,LEFT(对接源_02物料!$D87,4)="成品出库"),1,0)</f>
        <v>0</v>
      </c>
      <c r="AE1287">
        <f>N(AE1286)+$AD1287</f>
        <v>0</v>
      </c>
      <c r="AF1287">
        <f>IF(AND($N1287=1,AND(LEFT(对接源_02物料!$D87,4)="包装物料",N(对接源_02物料!$K87)&lt;&gt;0)),1,0)</f>
        <v>0</v>
      </c>
      <c r="AG1287">
        <f>N(AG1286)+$AF1287</f>
        <v>10</v>
      </c>
      <c r="AH1287">
        <f>IF(AND($N1287=1,AND(对接源_02物料!$D87="周转筐－销售出库",N(对接源_02物料!$K87)&lt;&gt;0)),1,0)</f>
        <v>0</v>
      </c>
      <c r="AI1287">
        <f>N(AI1286)+$AH1287</f>
        <v>0</v>
      </c>
      <c r="AL1287" t="n">
        <v>0</v>
      </c>
      <c r="AM1287">
        <f>N(AM1286)+$AL1287</f>
        <v>2</v>
      </c>
      <c r="AN1287">
        <f>""</f>
      </c>
      <c r="AO1287" t="n">
        <v>0</v>
      </c>
      <c r="AP1287">
        <f>N(AP1286)+$AO1287</f>
        <v>13</v>
      </c>
      <c r="AR1287">
        <f>IF(OR($AF1287=1,$AH1287=1),1,0)</f>
        <v>0</v>
      </c>
      <c r="AS1287">
        <f>N(AS1286)+$AR1287</f>
        <v>10</v>
      </c>
    </row>
    <row r="1288" s="127">
      <c r="A1288" t="str">
        <f>IF(对接源_02物料!$C88="","",对接源_02物料!$C88)</f>
        <v>王照雪</v>
      </c>
      <c r="B1288">
        <f>IF(A1288="",0,IF(MATCH(A1288,$A$4:$A$2403,0)=ROW()-3,1,0))</f>
        <v>0</v>
      </c>
      <c r="C1288">
        <f>N(C1287)+B1288</f>
        <v>24</v>
      </c>
      <c r="K1288">
        <f>IF(OR($K$1="",对接源_02物料!$C88="",对接源_02物料!$C88&lt;&gt;$K$1,对接源_02物料!$B88=""),0,IF(OR(N(对接源_02物料!$B88)&lt;$K$2,N(对接源_02物料!$B88)&gt;$K$3),0,1))</f>
        <v>0</v>
      </c>
      <c r="L1288">
        <f>IF(OR($L$1="",对接源_02物料!$C88="",对接源_02物料!$C88&lt;&gt;$L$1,对接源_02物料!$B88=""),0,IF(OR(N(对接源_02物料!$B88)&lt;$L$2,N(对接源_02物料!$B88)&gt;$L$3),0,1))</f>
        <v>0</v>
      </c>
      <c r="M1288">
        <f>IF(OR($M$1="",对接源_02物料!$C88="",对接源_02物料!$C88&lt;&gt;$M$1,对接源_02物料!$B88=""),0,IF(OR(N(对接源_02物料!$B88)&lt;$M$2,N(对接源_02物料!$B88)&gt;$M$3),0,1))</f>
        <v>0</v>
      </c>
      <c r="N1288">
        <f>IF(OR($N$1="",对接源_02物料!$C88="",对接源_02物料!$C88&lt;&gt;$N$1,对接源_02物料!$B88=""),0,IF(OR(N(对接源_02物料!$B88)&lt;$N$2,N(对接源_02物料!$B88)&gt;$N$3),0,1))</f>
        <v>0</v>
      </c>
      <c r="P1288">
        <f>IF(AND($K1288=1,AND(对接源_02物料!$X88="公司筐",N(对接源_02物料!$T88)&lt;&gt;0)),1,0)</f>
        <v>0</v>
      </c>
      <c r="Q1288">
        <f>N(Q1287)+$P1288</f>
        <v>0</v>
      </c>
      <c r="R1288">
        <f>IF(AND($K1288=1,AND(对接源_02物料!$X88="公司筐",N(对接源_02物料!$U88)&lt;&gt;0)),1,0)</f>
        <v>0</v>
      </c>
      <c r="S1288">
        <f>N(S1287)+$R1288</f>
        <v>0</v>
      </c>
      <c r="T1288">
        <f>IF(AND($K1288=1,AND(对接源_02物料!$X88="公司筐",N(对接源_02物料!$V88)&lt;&gt;0)),1,0)</f>
        <v>0</v>
      </c>
      <c r="U1288">
        <f>N(U1287)+$T1288</f>
        <v>47</v>
      </c>
      <c r="V1288">
        <f>IF(AND($L1288=1,AND(对接源_02物料!$X88="自备筐",N(对接源_02物料!$V88)&lt;&gt;0)),1,0)</f>
        <v>0</v>
      </c>
      <c r="W1288">
        <f>N(W1287)+$V1288</f>
        <v>11</v>
      </c>
      <c r="X1288">
        <f>IF(AND($L1288=1,AND(对接源_02物料!$X88="自备筐",N(对接源_02物料!$T88)&lt;&gt;0)),1,0)</f>
        <v>0</v>
      </c>
      <c r="Y1288">
        <f>N(Y1287)+$X1288</f>
        <v>0</v>
      </c>
      <c r="Z1288">
        <f>IF(AND($M1288=1,对接源_02物料!$D88="原料入库"),1,0)</f>
        <v>0</v>
      </c>
      <c r="AA1288">
        <f>N(AA1287)+$Z1288</f>
        <v>24</v>
      </c>
      <c r="AB1288">
        <f>IF(AND($M1288=1,LEFT(对接源_02物料!$D88,4)="原料出库"),1,0)</f>
        <v>0</v>
      </c>
      <c r="AC1288">
        <f>N(AC1287)+$AB1288</f>
        <v>0</v>
      </c>
      <c r="AD1288">
        <f>IF(AND($M1288=1,LEFT(对接源_02物料!$D88,4)="成品出库"),1,0)</f>
        <v>0</v>
      </c>
      <c r="AE1288">
        <f>N(AE1287)+$AD1288</f>
        <v>0</v>
      </c>
      <c r="AF1288">
        <f>IF(AND($N1288=1,AND(LEFT(对接源_02物料!$D88,4)="包装物料",N(对接源_02物料!$K88)&lt;&gt;0)),1,0)</f>
        <v>0</v>
      </c>
      <c r="AG1288">
        <f>N(AG1287)+$AF1288</f>
        <v>10</v>
      </c>
      <c r="AH1288">
        <f>IF(AND($N1288=1,AND(对接源_02物料!$D88="周转筐－销售出库",N(对接源_02物料!$K88)&lt;&gt;0)),1,0)</f>
        <v>0</v>
      </c>
      <c r="AI1288">
        <f>N(AI1287)+$AH1288</f>
        <v>0</v>
      </c>
      <c r="AL1288" t="n">
        <v>0</v>
      </c>
      <c r="AM1288">
        <f>N(AM1287)+$AL1288</f>
        <v>2</v>
      </c>
      <c r="AN1288">
        <f>""</f>
      </c>
      <c r="AO1288" t="n">
        <v>0</v>
      </c>
      <c r="AP1288">
        <f>N(AP1287)+$AO1288</f>
        <v>13</v>
      </c>
      <c r="AR1288">
        <f>IF(OR($AF1288=1,$AH1288=1),1,0)</f>
        <v>0</v>
      </c>
      <c r="AS1288">
        <f>N(AS1287)+$AR1288</f>
        <v>10</v>
      </c>
    </row>
    <row r="1289" s="127">
      <c r="A1289" t="str">
        <f>IF(对接源_02物料!$C89="","",对接源_02物料!$C89)</f>
        <v>全修塑业</v>
      </c>
      <c r="B1289">
        <f>IF(A1289="",0,IF(MATCH(A1289,$A$4:$A$2403,0)=ROW()-3,1,0))</f>
        <v>1</v>
      </c>
      <c r="C1289">
        <f>N(C1288)+B1289</f>
        <v>25</v>
      </c>
      <c r="K1289">
        <f>IF(OR($K$1="",对接源_02物料!$C89="",对接源_02物料!$C89&lt;&gt;$K$1,对接源_02物料!$B89=""),0,IF(OR(N(对接源_02物料!$B89)&lt;$K$2,N(对接源_02物料!$B89)&gt;$K$3),0,1))</f>
        <v>0</v>
      </c>
      <c r="L1289">
        <f>IF(OR($L$1="",对接源_02物料!$C89="",对接源_02物料!$C89&lt;&gt;$L$1,对接源_02物料!$B89=""),0,IF(OR(N(对接源_02物料!$B89)&lt;$L$2,N(对接源_02物料!$B89)&gt;$L$3),0,1))</f>
        <v>0</v>
      </c>
      <c r="M1289">
        <f>IF(OR($M$1="",对接源_02物料!$C89="",对接源_02物料!$C89&lt;&gt;$M$1,对接源_02物料!$B89=""),0,IF(OR(N(对接源_02物料!$B89)&lt;$M$2,N(对接源_02物料!$B89)&gt;$M$3),0,1))</f>
        <v>0</v>
      </c>
      <c r="N1289">
        <f>IF(OR($N$1="",对接源_02物料!$C89="",对接源_02物料!$C89&lt;&gt;$N$1,对接源_02物料!$B89=""),0,IF(OR(N(对接源_02物料!$B89)&lt;$N$2,N(对接源_02物料!$B89)&gt;$N$3),0,1))</f>
        <v>0</v>
      </c>
      <c r="P1289">
        <f>IF(AND($K1289=1,AND(对接源_02物料!$X89="公司筐",N(对接源_02物料!$T89)&lt;&gt;0)),1,0)</f>
        <v>0</v>
      </c>
      <c r="Q1289">
        <f>N(Q1288)+$P1289</f>
        <v>0</v>
      </c>
      <c r="R1289">
        <f>IF(AND($K1289=1,AND(对接源_02物料!$X89="公司筐",N(对接源_02物料!$U89)&lt;&gt;0)),1,0)</f>
        <v>0</v>
      </c>
      <c r="S1289">
        <f>N(S1288)+$R1289</f>
        <v>0</v>
      </c>
      <c r="T1289">
        <f>IF(AND($K1289=1,AND(对接源_02物料!$X89="公司筐",N(对接源_02物料!$V89)&lt;&gt;0)),1,0)</f>
        <v>0</v>
      </c>
      <c r="U1289">
        <f>N(U1288)+$T1289</f>
        <v>47</v>
      </c>
      <c r="V1289">
        <f>IF(AND($L1289=1,AND(对接源_02物料!$X89="自备筐",N(对接源_02物料!$V89)&lt;&gt;0)),1,0)</f>
        <v>0</v>
      </c>
      <c r="W1289">
        <f>N(W1288)+$V1289</f>
        <v>11</v>
      </c>
      <c r="X1289">
        <f>IF(AND($L1289=1,AND(对接源_02物料!$X89="自备筐",N(对接源_02物料!$T89)&lt;&gt;0)),1,0)</f>
        <v>0</v>
      </c>
      <c r="Y1289">
        <f>N(Y1288)+$X1289</f>
        <v>0</v>
      </c>
      <c r="Z1289">
        <f>IF(AND($M1289=1,对接源_02物料!$D89="原料入库"),1,0)</f>
        <v>0</v>
      </c>
      <c r="AA1289">
        <f>N(AA1288)+$Z1289</f>
        <v>24</v>
      </c>
      <c r="AB1289">
        <f>IF(AND($M1289=1,LEFT(对接源_02物料!$D89,4)="原料出库"),1,0)</f>
        <v>0</v>
      </c>
      <c r="AC1289">
        <f>N(AC1288)+$AB1289</f>
        <v>0</v>
      </c>
      <c r="AD1289">
        <f>IF(AND($M1289=1,LEFT(对接源_02物料!$D89,4)="成品出库"),1,0)</f>
        <v>0</v>
      </c>
      <c r="AE1289">
        <f>N(AE1288)+$AD1289</f>
        <v>0</v>
      </c>
      <c r="AF1289">
        <f>IF(AND($N1289=1,AND(LEFT(对接源_02物料!$D89,4)="包装物料",N(对接源_02物料!$K89)&lt;&gt;0)),1,0)</f>
        <v>0</v>
      </c>
      <c r="AG1289">
        <f>N(AG1288)+$AF1289</f>
        <v>10</v>
      </c>
      <c r="AH1289">
        <f>IF(AND($N1289=1,AND(对接源_02物料!$D89="周转筐－销售出库",N(对接源_02物料!$K89)&lt;&gt;0)),1,0)</f>
        <v>0</v>
      </c>
      <c r="AI1289">
        <f>N(AI1288)+$AH1289</f>
        <v>0</v>
      </c>
      <c r="AL1289" t="n">
        <v>0</v>
      </c>
      <c r="AM1289">
        <f>N(AM1288)+$AL1289</f>
        <v>2</v>
      </c>
      <c r="AN1289">
        <f>""</f>
      </c>
      <c r="AO1289" t="n">
        <v>0</v>
      </c>
      <c r="AP1289">
        <f>N(AP1288)+$AO1289</f>
        <v>13</v>
      </c>
      <c r="AR1289">
        <f>IF(OR($AF1289=1,$AH1289=1),1,0)</f>
        <v>0</v>
      </c>
      <c r="AS1289">
        <f>N(AS1288)+$AR1289</f>
        <v>10</v>
      </c>
    </row>
    <row r="1290" s="127">
      <c r="A1290" t="str">
        <f>IF(对接源_02物料!$C90="","",对接源_02物料!$C90)</f>
        <v>吐尔洪</v>
      </c>
      <c r="B1290">
        <f>IF(A1290="",0,IF(MATCH(A1290,$A$4:$A$2403,0)=ROW()-3,1,0))</f>
        <v>0</v>
      </c>
      <c r="C1290">
        <f>N(C1289)+B1290</f>
        <v>25</v>
      </c>
      <c r="K1290">
        <f>IF(OR($K$1="",对接源_02物料!$C90="",对接源_02物料!$C90&lt;&gt;$K$1,对接源_02物料!$B90=""),0,IF(OR(N(对接源_02物料!$B90)&lt;$K$2,N(对接源_02物料!$B90)&gt;$K$3),0,1))</f>
        <v>0</v>
      </c>
      <c r="L1290">
        <f>IF(OR($L$1="",对接源_02物料!$C90="",对接源_02物料!$C90&lt;&gt;$L$1,对接源_02物料!$B90=""),0,IF(OR(N(对接源_02物料!$B90)&lt;$L$2,N(对接源_02物料!$B90)&gt;$L$3),0,1))</f>
        <v>0</v>
      </c>
      <c r="M1290">
        <f>IF(OR($M$1="",对接源_02物料!$C90="",对接源_02物料!$C90&lt;&gt;$M$1,对接源_02物料!$B90=""),0,IF(OR(N(对接源_02物料!$B90)&lt;$M$2,N(对接源_02物料!$B90)&gt;$M$3),0,1))</f>
        <v>1</v>
      </c>
      <c r="N1290">
        <f>IF(OR($N$1="",对接源_02物料!$C90="",对接源_02物料!$C90&lt;&gt;$N$1,对接源_02物料!$B90=""),0,IF(OR(N(对接源_02物料!$B90)&lt;$N$2,N(对接源_02物料!$B90)&gt;$N$3),0,1))</f>
        <v>0</v>
      </c>
      <c r="P1290">
        <f>IF(AND($K1290=1,AND(对接源_02物料!$X90="公司筐",N(对接源_02物料!$T90)&lt;&gt;0)),1,0)</f>
        <v>0</v>
      </c>
      <c r="Q1290">
        <f>N(Q1289)+$P1290</f>
        <v>0</v>
      </c>
      <c r="R1290">
        <f>IF(AND($K1290=1,AND(对接源_02物料!$X90="公司筐",N(对接源_02物料!$U90)&lt;&gt;0)),1,0)</f>
        <v>0</v>
      </c>
      <c r="S1290">
        <f>N(S1289)+$R1290</f>
        <v>0</v>
      </c>
      <c r="T1290">
        <f>IF(AND($K1290=1,AND(对接源_02物料!$X90="公司筐",N(对接源_02物料!$V90)&lt;&gt;0)),1,0)</f>
        <v>0</v>
      </c>
      <c r="U1290">
        <f>N(U1289)+$T1290</f>
        <v>47</v>
      </c>
      <c r="V1290">
        <f>IF(AND($L1290=1,AND(对接源_02物料!$X90="自备筐",N(对接源_02物料!$V90)&lt;&gt;0)),1,0)</f>
        <v>0</v>
      </c>
      <c r="W1290">
        <f>N(W1289)+$V1290</f>
        <v>11</v>
      </c>
      <c r="X1290">
        <f>IF(AND($L1290=1,AND(对接源_02物料!$X90="自备筐",N(对接源_02物料!$T90)&lt;&gt;0)),1,0)</f>
        <v>0</v>
      </c>
      <c r="Y1290">
        <f>N(Y1289)+$X1290</f>
        <v>0</v>
      </c>
      <c r="Z1290">
        <f>IF(AND($M1290=1,对接源_02物料!$D90="原料入库"),1,0)</f>
        <v>0</v>
      </c>
      <c r="AA1290">
        <f>N(AA1289)+$Z1290</f>
        <v>24</v>
      </c>
      <c r="AB1290">
        <f>IF(AND($M1290=1,LEFT(对接源_02物料!$D90,4)="原料出库"),1,0)</f>
        <v>0</v>
      </c>
      <c r="AC1290">
        <f>N(AC1289)+$AB1290</f>
        <v>0</v>
      </c>
      <c r="AD1290">
        <f>IF(AND($M1290=1,LEFT(对接源_02物料!$D90,4)="成品出库"),1,0)</f>
        <v>0</v>
      </c>
      <c r="AE1290">
        <f>N(AE1289)+$AD1290</f>
        <v>0</v>
      </c>
      <c r="AF1290">
        <f>IF(AND($N1290=1,AND(LEFT(对接源_02物料!$D90,4)="包装物料",N(对接源_02物料!$K90)&lt;&gt;0)),1,0)</f>
        <v>0</v>
      </c>
      <c r="AG1290">
        <f>N(AG1289)+$AF1290</f>
        <v>10</v>
      </c>
      <c r="AH1290">
        <f>IF(AND($N1290=1,AND(对接源_02物料!$D90="周转筐－销售出库",N(对接源_02物料!$K90)&lt;&gt;0)),1,0)</f>
        <v>0</v>
      </c>
      <c r="AI1290">
        <f>N(AI1289)+$AH1290</f>
        <v>0</v>
      </c>
      <c r="AL1290" t="n">
        <v>0</v>
      </c>
      <c r="AM1290">
        <f>N(AM1289)+$AL1290</f>
        <v>2</v>
      </c>
      <c r="AN1290">
        <f>""</f>
      </c>
      <c r="AO1290" t="n">
        <v>0</v>
      </c>
      <c r="AP1290">
        <f>N(AP1289)+$AO1290</f>
        <v>13</v>
      </c>
      <c r="AR1290">
        <f>IF(OR($AF1290=1,$AH1290=1),1,0)</f>
        <v>0</v>
      </c>
      <c r="AS1290">
        <f>N(AS1289)+$AR1290</f>
        <v>10</v>
      </c>
    </row>
    <row r="1291" s="127">
      <c r="A1291" t="str">
        <f>IF(对接源_02物料!$C91="","",对接源_02物料!$C91)</f>
        <v>全修塑业</v>
      </c>
      <c r="B1291">
        <f>IF(A1291="",0,IF(MATCH(A1291,$A$4:$A$2403,0)=ROW()-3,1,0))</f>
        <v>0</v>
      </c>
      <c r="C1291">
        <f>N(C1290)+B1291</f>
        <v>25</v>
      </c>
      <c r="K1291">
        <f>IF(OR($K$1="",对接源_02物料!$C91="",对接源_02物料!$C91&lt;&gt;$K$1,对接源_02物料!$B91=""),0,IF(OR(N(对接源_02物料!$B91)&lt;$K$2,N(对接源_02物料!$B91)&gt;$K$3),0,1))</f>
        <v>0</v>
      </c>
      <c r="L1291">
        <f>IF(OR($L$1="",对接源_02物料!$C91="",对接源_02物料!$C91&lt;&gt;$L$1,对接源_02物料!$B91=""),0,IF(OR(N(对接源_02物料!$B91)&lt;$L$2,N(对接源_02物料!$B91)&gt;$L$3),0,1))</f>
        <v>0</v>
      </c>
      <c r="M1291">
        <f>IF(OR($M$1="",对接源_02物料!$C91="",对接源_02物料!$C91&lt;&gt;$M$1,对接源_02物料!$B91=""),0,IF(OR(N(对接源_02物料!$B91)&lt;$M$2,N(对接源_02物料!$B91)&gt;$M$3),0,1))</f>
        <v>0</v>
      </c>
      <c r="N1291">
        <f>IF(OR($N$1="",对接源_02物料!$C91="",对接源_02物料!$C91&lt;&gt;$N$1,对接源_02物料!$B91=""),0,IF(OR(N(对接源_02物料!$B91)&lt;$N$2,N(对接源_02物料!$B91)&gt;$N$3),0,1))</f>
        <v>0</v>
      </c>
      <c r="P1291">
        <f>IF(AND($K1291=1,AND(对接源_02物料!$X91="公司筐",N(对接源_02物料!$T91)&lt;&gt;0)),1,0)</f>
        <v>0</v>
      </c>
      <c r="Q1291">
        <f>N(Q1290)+$P1291</f>
        <v>0</v>
      </c>
      <c r="R1291">
        <f>IF(AND($K1291=1,AND(对接源_02物料!$X91="公司筐",N(对接源_02物料!$U91)&lt;&gt;0)),1,0)</f>
        <v>0</v>
      </c>
      <c r="S1291">
        <f>N(S1290)+$R1291</f>
        <v>0</v>
      </c>
      <c r="T1291">
        <f>IF(AND($K1291=1,AND(对接源_02物料!$X91="公司筐",N(对接源_02物料!$V91)&lt;&gt;0)),1,0)</f>
        <v>0</v>
      </c>
      <c r="U1291">
        <f>N(U1290)+$T1291</f>
        <v>47</v>
      </c>
      <c r="V1291">
        <f>IF(AND($L1291=1,AND(对接源_02物料!$X91="自备筐",N(对接源_02物料!$V91)&lt;&gt;0)),1,0)</f>
        <v>0</v>
      </c>
      <c r="W1291">
        <f>N(W1290)+$V1291</f>
        <v>11</v>
      </c>
      <c r="X1291">
        <f>IF(AND($L1291=1,AND(对接源_02物料!$X91="自备筐",N(对接源_02物料!$T91)&lt;&gt;0)),1,0)</f>
        <v>0</v>
      </c>
      <c r="Y1291">
        <f>N(Y1290)+$X1291</f>
        <v>0</v>
      </c>
      <c r="Z1291">
        <f>IF(AND($M1291=1,对接源_02物料!$D91="原料入库"),1,0)</f>
        <v>0</v>
      </c>
      <c r="AA1291">
        <f>N(AA1290)+$Z1291</f>
        <v>24</v>
      </c>
      <c r="AB1291">
        <f>IF(AND($M1291=1,LEFT(对接源_02物料!$D91,4)="原料出库"),1,0)</f>
        <v>0</v>
      </c>
      <c r="AC1291">
        <f>N(AC1290)+$AB1291</f>
        <v>0</v>
      </c>
      <c r="AD1291">
        <f>IF(AND($M1291=1,LEFT(对接源_02物料!$D91,4)="成品出库"),1,0)</f>
        <v>0</v>
      </c>
      <c r="AE1291">
        <f>N(AE1290)+$AD1291</f>
        <v>0</v>
      </c>
      <c r="AF1291">
        <f>IF(AND($N1291=1,AND(LEFT(对接源_02物料!$D91,4)="包装物料",N(对接源_02物料!$K91)&lt;&gt;0)),1,0)</f>
        <v>0</v>
      </c>
      <c r="AG1291">
        <f>N(AG1290)+$AF1291</f>
        <v>10</v>
      </c>
      <c r="AH1291">
        <f>IF(AND($N1291=1,AND(对接源_02物料!$D91="周转筐－销售出库",N(对接源_02物料!$K91)&lt;&gt;0)),1,0)</f>
        <v>0</v>
      </c>
      <c r="AI1291">
        <f>N(AI1290)+$AH1291</f>
        <v>0</v>
      </c>
      <c r="AL1291" t="n">
        <v>0</v>
      </c>
      <c r="AM1291">
        <f>N(AM1290)+$AL1291</f>
        <v>2</v>
      </c>
      <c r="AN1291">
        <f>""</f>
      </c>
      <c r="AO1291" t="n">
        <v>0</v>
      </c>
      <c r="AP1291">
        <f>N(AP1290)+$AO1291</f>
        <v>13</v>
      </c>
      <c r="AR1291">
        <f>IF(OR($AF1291=1,$AH1291=1),1,0)</f>
        <v>0</v>
      </c>
      <c r="AS1291">
        <f>N(AS1290)+$AR1291</f>
        <v>10</v>
      </c>
    </row>
    <row r="1292" s="127">
      <c r="A1292" t="str">
        <f>IF(对接源_02物料!$C92="","",对接源_02物料!$C92)</f>
        <v>吐尔洪</v>
      </c>
      <c r="B1292">
        <f>IF(A1292="",0,IF(MATCH(A1292,$A$4:$A$2403,0)=ROW()-3,1,0))</f>
        <v>0</v>
      </c>
      <c r="C1292">
        <f>N(C1291)+B1292</f>
        <v>25</v>
      </c>
      <c r="K1292">
        <f>IF(OR($K$1="",对接源_02物料!$C92="",对接源_02物料!$C92&lt;&gt;$K$1,对接源_02物料!$B92=""),0,IF(OR(N(对接源_02物料!$B92)&lt;$K$2,N(对接源_02物料!$B92)&gt;$K$3),0,1))</f>
        <v>0</v>
      </c>
      <c r="L1292">
        <f>IF(OR($L$1="",对接源_02物料!$C92="",对接源_02物料!$C92&lt;&gt;$L$1,对接源_02物料!$B92=""),0,IF(OR(N(对接源_02物料!$B92)&lt;$L$2,N(对接源_02物料!$B92)&gt;$L$3),0,1))</f>
        <v>0</v>
      </c>
      <c r="M1292">
        <f>IF(OR($M$1="",对接源_02物料!$C92="",对接源_02物料!$C92&lt;&gt;$M$1,对接源_02物料!$B92=""),0,IF(OR(N(对接源_02物料!$B92)&lt;$M$2,N(对接源_02物料!$B92)&gt;$M$3),0,1))</f>
        <v>1</v>
      </c>
      <c r="N1292">
        <f>IF(OR($N$1="",对接源_02物料!$C92="",对接源_02物料!$C92&lt;&gt;$N$1,对接源_02物料!$B92=""),0,IF(OR(N(对接源_02物料!$B92)&lt;$N$2,N(对接源_02物料!$B92)&gt;$N$3),0,1))</f>
        <v>0</v>
      </c>
      <c r="P1292">
        <f>IF(AND($K1292=1,AND(对接源_02物料!$X92="公司筐",N(对接源_02物料!$T92)&lt;&gt;0)),1,0)</f>
        <v>0</v>
      </c>
      <c r="Q1292">
        <f>N(Q1291)+$P1292</f>
        <v>0</v>
      </c>
      <c r="R1292">
        <f>IF(AND($K1292=1,AND(对接源_02物料!$X92="公司筐",N(对接源_02物料!$U92)&lt;&gt;0)),1,0)</f>
        <v>0</v>
      </c>
      <c r="S1292">
        <f>N(S1291)+$R1292</f>
        <v>0</v>
      </c>
      <c r="T1292">
        <f>IF(AND($K1292=1,AND(对接源_02物料!$X92="公司筐",N(对接源_02物料!$V92)&lt;&gt;0)),1,0)</f>
        <v>0</v>
      </c>
      <c r="U1292">
        <f>N(U1291)+$T1292</f>
        <v>47</v>
      </c>
      <c r="V1292">
        <f>IF(AND($L1292=1,AND(对接源_02物料!$X92="自备筐",N(对接源_02物料!$V92)&lt;&gt;0)),1,0)</f>
        <v>0</v>
      </c>
      <c r="W1292">
        <f>N(W1291)+$V1292</f>
        <v>11</v>
      </c>
      <c r="X1292">
        <f>IF(AND($L1292=1,AND(对接源_02物料!$X92="自备筐",N(对接源_02物料!$T92)&lt;&gt;0)),1,0)</f>
        <v>0</v>
      </c>
      <c r="Y1292">
        <f>N(Y1291)+$X1292</f>
        <v>0</v>
      </c>
      <c r="Z1292">
        <f>IF(AND($M1292=1,对接源_02物料!$D92="原料入库"),1,0)</f>
        <v>0</v>
      </c>
      <c r="AA1292">
        <f>N(AA1291)+$Z1292</f>
        <v>24</v>
      </c>
      <c r="AB1292">
        <f>IF(AND($M1292=1,LEFT(对接源_02物料!$D92,4)="原料出库"),1,0)</f>
        <v>0</v>
      </c>
      <c r="AC1292">
        <f>N(AC1291)+$AB1292</f>
        <v>0</v>
      </c>
      <c r="AD1292">
        <f>IF(AND($M1292=1,LEFT(对接源_02物料!$D92,4)="成品出库"),1,0)</f>
        <v>0</v>
      </c>
      <c r="AE1292">
        <f>N(AE1291)+$AD1292</f>
        <v>0</v>
      </c>
      <c r="AF1292">
        <f>IF(AND($N1292=1,AND(LEFT(对接源_02物料!$D92,4)="包装物料",N(对接源_02物料!$K92)&lt;&gt;0)),1,0)</f>
        <v>0</v>
      </c>
      <c r="AG1292">
        <f>N(AG1291)+$AF1292</f>
        <v>10</v>
      </c>
      <c r="AH1292">
        <f>IF(AND($N1292=1,AND(对接源_02物料!$D92="周转筐－销售出库",N(对接源_02物料!$K92)&lt;&gt;0)),1,0)</f>
        <v>0</v>
      </c>
      <c r="AI1292">
        <f>N(AI1291)+$AH1292</f>
        <v>0</v>
      </c>
      <c r="AL1292" t="n">
        <v>0</v>
      </c>
      <c r="AM1292">
        <f>N(AM1291)+$AL1292</f>
        <v>2</v>
      </c>
      <c r="AN1292">
        <f>""</f>
      </c>
      <c r="AO1292" t="n">
        <v>0</v>
      </c>
      <c r="AP1292">
        <f>N(AP1291)+$AO1292</f>
        <v>13</v>
      </c>
      <c r="AR1292">
        <f>IF(OR($AF1292=1,$AH1292=1),1,0)</f>
        <v>0</v>
      </c>
      <c r="AS1292">
        <f>N(AS1291)+$AR1292</f>
        <v>10</v>
      </c>
    </row>
    <row r="1293" s="127">
      <c r="A1293" t="str">
        <f>IF(对接源_02物料!$C93="","",对接源_02物料!$C93)</f>
        <v>全修塑业</v>
      </c>
      <c r="B1293">
        <f>IF(A1293="",0,IF(MATCH(A1293,$A$4:$A$2403,0)=ROW()-3,1,0))</f>
        <v>0</v>
      </c>
      <c r="C1293">
        <f>N(C1292)+B1293</f>
        <v>25</v>
      </c>
      <c r="K1293">
        <f>IF(OR($K$1="",对接源_02物料!$C93="",对接源_02物料!$C93&lt;&gt;$K$1,对接源_02物料!$B93=""),0,IF(OR(N(对接源_02物料!$B93)&lt;$K$2,N(对接源_02物料!$B93)&gt;$K$3),0,1))</f>
        <v>0</v>
      </c>
      <c r="L1293">
        <f>IF(OR($L$1="",对接源_02物料!$C93="",对接源_02物料!$C93&lt;&gt;$L$1,对接源_02物料!$B93=""),0,IF(OR(N(对接源_02物料!$B93)&lt;$L$2,N(对接源_02物料!$B93)&gt;$L$3),0,1))</f>
        <v>0</v>
      </c>
      <c r="M1293">
        <f>IF(OR($M$1="",对接源_02物料!$C93="",对接源_02物料!$C93&lt;&gt;$M$1,对接源_02物料!$B93=""),0,IF(OR(N(对接源_02物料!$B93)&lt;$M$2,N(对接源_02物料!$B93)&gt;$M$3),0,1))</f>
        <v>0</v>
      </c>
      <c r="N1293">
        <f>IF(OR($N$1="",对接源_02物料!$C93="",对接源_02物料!$C93&lt;&gt;$N$1,对接源_02物料!$B93=""),0,IF(OR(N(对接源_02物料!$B93)&lt;$N$2,N(对接源_02物料!$B93)&gt;$N$3),0,1))</f>
        <v>0</v>
      </c>
      <c r="P1293">
        <f>IF(AND($K1293=1,AND(对接源_02物料!$X93="公司筐",N(对接源_02物料!$T93)&lt;&gt;0)),1,0)</f>
        <v>0</v>
      </c>
      <c r="Q1293">
        <f>N(Q1292)+$P1293</f>
        <v>0</v>
      </c>
      <c r="R1293">
        <f>IF(AND($K1293=1,AND(对接源_02物料!$X93="公司筐",N(对接源_02物料!$U93)&lt;&gt;0)),1,0)</f>
        <v>0</v>
      </c>
      <c r="S1293">
        <f>N(S1292)+$R1293</f>
        <v>0</v>
      </c>
      <c r="T1293">
        <f>IF(AND($K1293=1,AND(对接源_02物料!$X93="公司筐",N(对接源_02物料!$V93)&lt;&gt;0)),1,0)</f>
        <v>0</v>
      </c>
      <c r="U1293">
        <f>N(U1292)+$T1293</f>
        <v>47</v>
      </c>
      <c r="V1293">
        <f>IF(AND($L1293=1,AND(对接源_02物料!$X93="自备筐",N(对接源_02物料!$V93)&lt;&gt;0)),1,0)</f>
        <v>0</v>
      </c>
      <c r="W1293">
        <f>N(W1292)+$V1293</f>
        <v>11</v>
      </c>
      <c r="X1293">
        <f>IF(AND($L1293=1,AND(对接源_02物料!$X93="自备筐",N(对接源_02物料!$T93)&lt;&gt;0)),1,0)</f>
        <v>0</v>
      </c>
      <c r="Y1293">
        <f>N(Y1292)+$X1293</f>
        <v>0</v>
      </c>
      <c r="Z1293">
        <f>IF(AND($M1293=1,对接源_02物料!$D93="原料入库"),1,0)</f>
        <v>0</v>
      </c>
      <c r="AA1293">
        <f>N(AA1292)+$Z1293</f>
        <v>24</v>
      </c>
      <c r="AB1293">
        <f>IF(AND($M1293=1,LEFT(对接源_02物料!$D93,4)="原料出库"),1,0)</f>
        <v>0</v>
      </c>
      <c r="AC1293">
        <f>N(AC1292)+$AB1293</f>
        <v>0</v>
      </c>
      <c r="AD1293">
        <f>IF(AND($M1293=1,LEFT(对接源_02物料!$D93,4)="成品出库"),1,0)</f>
        <v>0</v>
      </c>
      <c r="AE1293">
        <f>N(AE1292)+$AD1293</f>
        <v>0</v>
      </c>
      <c r="AF1293">
        <f>IF(AND($N1293=1,AND(LEFT(对接源_02物料!$D93,4)="包装物料",N(对接源_02物料!$K93)&lt;&gt;0)),1,0)</f>
        <v>0</v>
      </c>
      <c r="AG1293">
        <f>N(AG1292)+$AF1293</f>
        <v>10</v>
      </c>
      <c r="AH1293">
        <f>IF(AND($N1293=1,AND(对接源_02物料!$D93="周转筐－销售出库",N(对接源_02物料!$K93)&lt;&gt;0)),1,0)</f>
        <v>0</v>
      </c>
      <c r="AI1293">
        <f>N(AI1292)+$AH1293</f>
        <v>0</v>
      </c>
      <c r="AL1293" t="n">
        <v>0</v>
      </c>
      <c r="AM1293">
        <f>N(AM1292)+$AL1293</f>
        <v>2</v>
      </c>
      <c r="AN1293">
        <f>""</f>
      </c>
      <c r="AO1293" t="n">
        <v>0</v>
      </c>
      <c r="AP1293">
        <f>N(AP1292)+$AO1293</f>
        <v>13</v>
      </c>
      <c r="AR1293">
        <f>IF(OR($AF1293=1,$AH1293=1),1,0)</f>
        <v>0</v>
      </c>
      <c r="AS1293">
        <f>N(AS1292)+$AR1293</f>
        <v>10</v>
      </c>
    </row>
    <row r="1294" s="127">
      <c r="A1294" t="str">
        <f>IF(对接源_02物料!$C94="","",对接源_02物料!$C94)</f>
        <v>热合曼</v>
      </c>
      <c r="B1294">
        <f>IF(A1294="",0,IF(MATCH(A1294,$A$4:$A$2403,0)=ROW()-3,1,0))</f>
        <v>0</v>
      </c>
      <c r="C1294">
        <f>N(C1293)+B1294</f>
        <v>25</v>
      </c>
      <c r="K1294">
        <f>IF(OR($K$1="",对接源_02物料!$C94="",对接源_02物料!$C94&lt;&gt;$K$1,对接源_02物料!$B94=""),0,IF(OR(N(对接源_02物料!$B94)&lt;$K$2,N(对接源_02物料!$B94)&gt;$K$3),0,1))</f>
        <v>0</v>
      </c>
      <c r="L1294">
        <f>IF(OR($L$1="",对接源_02物料!$C94="",对接源_02物料!$C94&lt;&gt;$L$1,对接源_02物料!$B94=""),0,IF(OR(N(对接源_02物料!$B94)&lt;$L$2,N(对接源_02物料!$B94)&gt;$L$3),0,1))</f>
        <v>0</v>
      </c>
      <c r="M1294">
        <f>IF(OR($M$1="",对接源_02物料!$C94="",对接源_02物料!$C94&lt;&gt;$M$1,对接源_02物料!$B94=""),0,IF(OR(N(对接源_02物料!$B94)&lt;$M$2,N(对接源_02物料!$B94)&gt;$M$3),0,1))</f>
        <v>0</v>
      </c>
      <c r="N1294">
        <f>IF(OR($N$1="",对接源_02物料!$C94="",对接源_02物料!$C94&lt;&gt;$N$1,对接源_02物料!$B94=""),0,IF(OR(N(对接源_02物料!$B94)&lt;$N$2,N(对接源_02物料!$B94)&gt;$N$3),0,1))</f>
        <v>0</v>
      </c>
      <c r="P1294">
        <f>IF(AND($K1294=1,AND(对接源_02物料!$X94="公司筐",N(对接源_02物料!$T94)&lt;&gt;0)),1,0)</f>
        <v>0</v>
      </c>
      <c r="Q1294">
        <f>N(Q1293)+$P1294</f>
        <v>0</v>
      </c>
      <c r="R1294">
        <f>IF(AND($K1294=1,AND(对接源_02物料!$X94="公司筐",N(对接源_02物料!$U94)&lt;&gt;0)),1,0)</f>
        <v>0</v>
      </c>
      <c r="S1294">
        <f>N(S1293)+$R1294</f>
        <v>0</v>
      </c>
      <c r="T1294">
        <f>IF(AND($K1294=1,AND(对接源_02物料!$X94="公司筐",N(对接源_02物料!$V94)&lt;&gt;0)),1,0)</f>
        <v>0</v>
      </c>
      <c r="U1294">
        <f>N(U1293)+$T1294</f>
        <v>47</v>
      </c>
      <c r="V1294">
        <f>IF(AND($L1294=1,AND(对接源_02物料!$X94="自备筐",N(对接源_02物料!$V94)&lt;&gt;0)),1,0)</f>
        <v>0</v>
      </c>
      <c r="W1294">
        <f>N(W1293)+$V1294</f>
        <v>11</v>
      </c>
      <c r="X1294">
        <f>IF(AND($L1294=1,AND(对接源_02物料!$X94="自备筐",N(对接源_02物料!$T94)&lt;&gt;0)),1,0)</f>
        <v>0</v>
      </c>
      <c r="Y1294">
        <f>N(Y1293)+$X1294</f>
        <v>0</v>
      </c>
      <c r="Z1294">
        <f>IF(AND($M1294=1,对接源_02物料!$D94="原料入库"),1,0)</f>
        <v>0</v>
      </c>
      <c r="AA1294">
        <f>N(AA1293)+$Z1294</f>
        <v>24</v>
      </c>
      <c r="AB1294">
        <f>IF(AND($M1294=1,LEFT(对接源_02物料!$D94,4)="原料出库"),1,0)</f>
        <v>0</v>
      </c>
      <c r="AC1294">
        <f>N(AC1293)+$AB1294</f>
        <v>0</v>
      </c>
      <c r="AD1294">
        <f>IF(AND($M1294=1,LEFT(对接源_02物料!$D94,4)="成品出库"),1,0)</f>
        <v>0</v>
      </c>
      <c r="AE1294">
        <f>N(AE1293)+$AD1294</f>
        <v>0</v>
      </c>
      <c r="AF1294">
        <f>IF(AND($N1294=1,AND(LEFT(对接源_02物料!$D94,4)="包装物料",N(对接源_02物料!$K94)&lt;&gt;0)),1,0)</f>
        <v>0</v>
      </c>
      <c r="AG1294">
        <f>N(AG1293)+$AF1294</f>
        <v>10</v>
      </c>
      <c r="AH1294">
        <f>IF(AND($N1294=1,AND(对接源_02物料!$D94="周转筐－销售出库",N(对接源_02物料!$K94)&lt;&gt;0)),1,0)</f>
        <v>0</v>
      </c>
      <c r="AI1294">
        <f>N(AI1293)+$AH1294</f>
        <v>0</v>
      </c>
      <c r="AL1294" t="n">
        <v>0</v>
      </c>
      <c r="AM1294">
        <f>N(AM1293)+$AL1294</f>
        <v>2</v>
      </c>
      <c r="AN1294">
        <f>""</f>
      </c>
      <c r="AO1294" t="n">
        <v>0</v>
      </c>
      <c r="AP1294">
        <f>N(AP1293)+$AO1294</f>
        <v>13</v>
      </c>
      <c r="AR1294">
        <f>IF(OR($AF1294=1,$AH1294=1),1,0)</f>
        <v>0</v>
      </c>
      <c r="AS1294">
        <f>N(AS1293)+$AR1294</f>
        <v>10</v>
      </c>
    </row>
    <row r="1295" s="127">
      <c r="A1295" t="str">
        <f>IF(对接源_02物料!$C95="","",对接源_02物料!$C95)</f>
        <v>全修塑业</v>
      </c>
      <c r="B1295">
        <f>IF(A1295="",0,IF(MATCH(A1295,$A$4:$A$2403,0)=ROW()-3,1,0))</f>
        <v>0</v>
      </c>
      <c r="C1295">
        <f>N(C1294)+B1295</f>
        <v>25</v>
      </c>
      <c r="K1295">
        <f>IF(OR($K$1="",对接源_02物料!$C95="",对接源_02物料!$C95&lt;&gt;$K$1,对接源_02物料!$B95=""),0,IF(OR(N(对接源_02物料!$B95)&lt;$K$2,N(对接源_02物料!$B95)&gt;$K$3),0,1))</f>
        <v>0</v>
      </c>
      <c r="L1295">
        <f>IF(OR($L$1="",对接源_02物料!$C95="",对接源_02物料!$C95&lt;&gt;$L$1,对接源_02物料!$B95=""),0,IF(OR(N(对接源_02物料!$B95)&lt;$L$2,N(对接源_02物料!$B95)&gt;$L$3),0,1))</f>
        <v>0</v>
      </c>
      <c r="M1295">
        <f>IF(OR($M$1="",对接源_02物料!$C95="",对接源_02物料!$C95&lt;&gt;$M$1,对接源_02物料!$B95=""),0,IF(OR(N(对接源_02物料!$B95)&lt;$M$2,N(对接源_02物料!$B95)&gt;$M$3),0,1))</f>
        <v>0</v>
      </c>
      <c r="N1295">
        <f>IF(OR($N$1="",对接源_02物料!$C95="",对接源_02物料!$C95&lt;&gt;$N$1,对接源_02物料!$B95=""),0,IF(OR(N(对接源_02物料!$B95)&lt;$N$2,N(对接源_02物料!$B95)&gt;$N$3),0,1))</f>
        <v>0</v>
      </c>
      <c r="P1295">
        <f>IF(AND($K1295=1,AND(对接源_02物料!$X95="公司筐",N(对接源_02物料!$T95)&lt;&gt;0)),1,0)</f>
        <v>0</v>
      </c>
      <c r="Q1295">
        <f>N(Q1294)+$P1295</f>
        <v>0</v>
      </c>
      <c r="R1295">
        <f>IF(AND($K1295=1,AND(对接源_02物料!$X95="公司筐",N(对接源_02物料!$U95)&lt;&gt;0)),1,0)</f>
        <v>0</v>
      </c>
      <c r="S1295">
        <f>N(S1294)+$R1295</f>
        <v>0</v>
      </c>
      <c r="T1295">
        <f>IF(AND($K1295=1,AND(对接源_02物料!$X95="公司筐",N(对接源_02物料!$V95)&lt;&gt;0)),1,0)</f>
        <v>0</v>
      </c>
      <c r="U1295">
        <f>N(U1294)+$T1295</f>
        <v>47</v>
      </c>
      <c r="V1295">
        <f>IF(AND($L1295=1,AND(对接源_02物料!$X95="自备筐",N(对接源_02物料!$V95)&lt;&gt;0)),1,0)</f>
        <v>0</v>
      </c>
      <c r="W1295">
        <f>N(W1294)+$V1295</f>
        <v>11</v>
      </c>
      <c r="X1295">
        <f>IF(AND($L1295=1,AND(对接源_02物料!$X95="自备筐",N(对接源_02物料!$T95)&lt;&gt;0)),1,0)</f>
        <v>0</v>
      </c>
      <c r="Y1295">
        <f>N(Y1294)+$X1295</f>
        <v>0</v>
      </c>
      <c r="Z1295">
        <f>IF(AND($M1295=1,对接源_02物料!$D95="原料入库"),1,0)</f>
        <v>0</v>
      </c>
      <c r="AA1295">
        <f>N(AA1294)+$Z1295</f>
        <v>24</v>
      </c>
      <c r="AB1295">
        <f>IF(AND($M1295=1,LEFT(对接源_02物料!$D95,4)="原料出库"),1,0)</f>
        <v>0</v>
      </c>
      <c r="AC1295">
        <f>N(AC1294)+$AB1295</f>
        <v>0</v>
      </c>
      <c r="AD1295">
        <f>IF(AND($M1295=1,LEFT(对接源_02物料!$D95,4)="成品出库"),1,0)</f>
        <v>0</v>
      </c>
      <c r="AE1295">
        <f>N(AE1294)+$AD1295</f>
        <v>0</v>
      </c>
      <c r="AF1295">
        <f>IF(AND($N1295=1,AND(LEFT(对接源_02物料!$D95,4)="包装物料",N(对接源_02物料!$K95)&lt;&gt;0)),1,0)</f>
        <v>0</v>
      </c>
      <c r="AG1295">
        <f>N(AG1294)+$AF1295</f>
        <v>10</v>
      </c>
      <c r="AH1295">
        <f>IF(AND($N1295=1,AND(对接源_02物料!$D95="周转筐－销售出库",N(对接源_02物料!$K95)&lt;&gt;0)),1,0)</f>
        <v>0</v>
      </c>
      <c r="AI1295">
        <f>N(AI1294)+$AH1295</f>
        <v>0</v>
      </c>
      <c r="AL1295" t="n">
        <v>0</v>
      </c>
      <c r="AM1295">
        <f>N(AM1294)+$AL1295</f>
        <v>2</v>
      </c>
      <c r="AN1295">
        <f>""</f>
      </c>
      <c r="AO1295" t="n">
        <v>0</v>
      </c>
      <c r="AP1295">
        <f>N(AP1294)+$AO1295</f>
        <v>13</v>
      </c>
      <c r="AR1295">
        <f>IF(OR($AF1295=1,$AH1295=1),1,0)</f>
        <v>0</v>
      </c>
      <c r="AS1295">
        <f>N(AS1294)+$AR1295</f>
        <v>10</v>
      </c>
    </row>
    <row r="1296" s="127">
      <c r="A1296" t="str">
        <f>IF(对接源_02物料!$C96="","",对接源_02物料!$C96)</f>
        <v>王灵云</v>
      </c>
      <c r="B1296">
        <f>IF(A1296="",0,IF(MATCH(A1296,$A$4:$A$2403,0)=ROW()-3,1,0))</f>
        <v>0</v>
      </c>
      <c r="C1296">
        <f>N(C1295)+B1296</f>
        <v>25</v>
      </c>
      <c r="K1296">
        <f>IF(OR($K$1="",对接源_02物料!$C96="",对接源_02物料!$C96&lt;&gt;$K$1,对接源_02物料!$B96=""),0,IF(OR(N(对接源_02物料!$B96)&lt;$K$2,N(对接源_02物料!$B96)&gt;$K$3),0,1))</f>
        <v>1</v>
      </c>
      <c r="L1296">
        <f>IF(OR($L$1="",对接源_02物料!$C96="",对接源_02物料!$C96&lt;&gt;$L$1,对接源_02物料!$B96=""),0,IF(OR(N(对接源_02物料!$B96)&lt;$L$2,N(对接源_02物料!$B96)&gt;$L$3),0,1))</f>
        <v>0</v>
      </c>
      <c r="M1296">
        <f>IF(OR($M$1="",对接源_02物料!$C96="",对接源_02物料!$C96&lt;&gt;$M$1,对接源_02物料!$B96=""),0,IF(OR(N(对接源_02物料!$B96)&lt;$M$2,N(对接源_02物料!$B96)&gt;$M$3),0,1))</f>
        <v>0</v>
      </c>
      <c r="N1296">
        <f>IF(OR($N$1="",对接源_02物料!$C96="",对接源_02物料!$C96&lt;&gt;$N$1,对接源_02物料!$B96=""),0,IF(OR(N(对接源_02物料!$B96)&lt;$N$2,N(对接源_02物料!$B96)&gt;$N$3),0,1))</f>
        <v>0</v>
      </c>
      <c r="P1296">
        <f>IF(AND($K1296=1,AND(对接源_02物料!$X96="公司筐",N(对接源_02物料!$T96)&lt;&gt;0)),1,0)</f>
        <v>1</v>
      </c>
      <c r="Q1296">
        <f>N(Q1295)+$P1296</f>
        <v>1</v>
      </c>
      <c r="R1296">
        <f>IF(AND($K1296=1,AND(对接源_02物料!$X96="公司筐",N(对接源_02物料!$U96)&lt;&gt;0)),1,0)</f>
        <v>0</v>
      </c>
      <c r="S1296">
        <f>N(S1295)+$R1296</f>
        <v>0</v>
      </c>
      <c r="T1296">
        <f>IF(AND($K1296=1,AND(对接源_02物料!$X96="公司筐",N(对接源_02物料!$V96)&lt;&gt;0)),1,0)</f>
        <v>0</v>
      </c>
      <c r="U1296">
        <f>N(U1295)+$T1296</f>
        <v>47</v>
      </c>
      <c r="V1296">
        <f>IF(AND($L1296=1,AND(对接源_02物料!$X96="自备筐",N(对接源_02物料!$V96)&lt;&gt;0)),1,0)</f>
        <v>0</v>
      </c>
      <c r="W1296">
        <f>N(W1295)+$V1296</f>
        <v>11</v>
      </c>
      <c r="X1296">
        <f>IF(AND($L1296=1,AND(对接源_02物料!$X96="自备筐",N(对接源_02物料!$T96)&lt;&gt;0)),1,0)</f>
        <v>0</v>
      </c>
      <c r="Y1296">
        <f>N(Y1295)+$X1296</f>
        <v>0</v>
      </c>
      <c r="Z1296">
        <f>IF(AND($M1296=1,对接源_02物料!$D96="原料入库"),1,0)</f>
        <v>0</v>
      </c>
      <c r="AA1296">
        <f>N(AA1295)+$Z1296</f>
        <v>24</v>
      </c>
      <c r="AB1296">
        <f>IF(AND($M1296=1,LEFT(对接源_02物料!$D96,4)="原料出库"),1,0)</f>
        <v>0</v>
      </c>
      <c r="AC1296">
        <f>N(AC1295)+$AB1296</f>
        <v>0</v>
      </c>
      <c r="AD1296">
        <f>IF(AND($M1296=1,LEFT(对接源_02物料!$D96,4)="成品出库"),1,0)</f>
        <v>0</v>
      </c>
      <c r="AE1296">
        <f>N(AE1295)+$AD1296</f>
        <v>0</v>
      </c>
      <c r="AF1296">
        <f>IF(AND($N1296=1,AND(LEFT(对接源_02物料!$D96,4)="包装物料",N(对接源_02物料!$K96)&lt;&gt;0)),1,0)</f>
        <v>0</v>
      </c>
      <c r="AG1296">
        <f>N(AG1295)+$AF1296</f>
        <v>10</v>
      </c>
      <c r="AH1296">
        <f>IF(AND($N1296=1,AND(对接源_02物料!$D96="周转筐－销售出库",N(对接源_02物料!$K96)&lt;&gt;0)),1,0)</f>
        <v>0</v>
      </c>
      <c r="AI1296">
        <f>N(AI1295)+$AH1296</f>
        <v>0</v>
      </c>
      <c r="AL1296" t="n">
        <v>0</v>
      </c>
      <c r="AM1296">
        <f>N(AM1295)+$AL1296</f>
        <v>2</v>
      </c>
      <c r="AN1296">
        <f>""</f>
      </c>
      <c r="AO1296" t="n">
        <v>0</v>
      </c>
      <c r="AP1296">
        <f>N(AP1295)+$AO1296</f>
        <v>13</v>
      </c>
      <c r="AR1296">
        <f>IF(OR($AF1296=1,$AH1296=1),1,0)</f>
        <v>0</v>
      </c>
      <c r="AS1296">
        <f>N(AS1295)+$AR1296</f>
        <v>10</v>
      </c>
    </row>
    <row r="1297" s="127">
      <c r="A1297" t="str">
        <f>IF(对接源_02物料!$C97="","",对接源_02物料!$C97)</f>
        <v>全修塑业</v>
      </c>
      <c r="B1297">
        <f>IF(A1297="",0,IF(MATCH(A1297,$A$4:$A$2403,0)=ROW()-3,1,0))</f>
        <v>0</v>
      </c>
      <c r="C1297">
        <f>N(C1296)+B1297</f>
        <v>25</v>
      </c>
      <c r="K1297">
        <f>IF(OR($K$1="",对接源_02物料!$C97="",对接源_02物料!$C97&lt;&gt;$K$1,对接源_02物料!$B97=""),0,IF(OR(N(对接源_02物料!$B97)&lt;$K$2,N(对接源_02物料!$B97)&gt;$K$3),0,1))</f>
        <v>0</v>
      </c>
      <c r="L1297">
        <f>IF(OR($L$1="",对接源_02物料!$C97="",对接源_02物料!$C97&lt;&gt;$L$1,对接源_02物料!$B97=""),0,IF(OR(N(对接源_02物料!$B97)&lt;$L$2,N(对接源_02物料!$B97)&gt;$L$3),0,1))</f>
        <v>0</v>
      </c>
      <c r="M1297">
        <f>IF(OR($M$1="",对接源_02物料!$C97="",对接源_02物料!$C97&lt;&gt;$M$1,对接源_02物料!$B97=""),0,IF(OR(N(对接源_02物料!$B97)&lt;$M$2,N(对接源_02物料!$B97)&gt;$M$3),0,1))</f>
        <v>0</v>
      </c>
      <c r="N1297">
        <f>IF(OR($N$1="",对接源_02物料!$C97="",对接源_02物料!$C97&lt;&gt;$N$1,对接源_02物料!$B97=""),0,IF(OR(N(对接源_02物料!$B97)&lt;$N$2,N(对接源_02物料!$B97)&gt;$N$3),0,1))</f>
        <v>0</v>
      </c>
      <c r="P1297">
        <f>IF(AND($K1297=1,AND(对接源_02物料!$X97="公司筐",N(对接源_02物料!$T97)&lt;&gt;0)),1,0)</f>
        <v>0</v>
      </c>
      <c r="Q1297">
        <f>N(Q1296)+$P1297</f>
        <v>1</v>
      </c>
      <c r="R1297">
        <f>IF(AND($K1297=1,AND(对接源_02物料!$X97="公司筐",N(对接源_02物料!$U97)&lt;&gt;0)),1,0)</f>
        <v>0</v>
      </c>
      <c r="S1297">
        <f>N(S1296)+$R1297</f>
        <v>0</v>
      </c>
      <c r="T1297">
        <f>IF(AND($K1297=1,AND(对接源_02物料!$X97="公司筐",N(对接源_02物料!$V97)&lt;&gt;0)),1,0)</f>
        <v>0</v>
      </c>
      <c r="U1297">
        <f>N(U1296)+$T1297</f>
        <v>47</v>
      </c>
      <c r="V1297">
        <f>IF(AND($L1297=1,AND(对接源_02物料!$X97="自备筐",N(对接源_02物料!$V97)&lt;&gt;0)),1,0)</f>
        <v>0</v>
      </c>
      <c r="W1297">
        <f>N(W1296)+$V1297</f>
        <v>11</v>
      </c>
      <c r="X1297">
        <f>IF(AND($L1297=1,AND(对接源_02物料!$X97="自备筐",N(对接源_02物料!$T97)&lt;&gt;0)),1,0)</f>
        <v>0</v>
      </c>
      <c r="Y1297">
        <f>N(Y1296)+$X1297</f>
        <v>0</v>
      </c>
      <c r="Z1297">
        <f>IF(AND($M1297=1,对接源_02物料!$D97="原料入库"),1,0)</f>
        <v>0</v>
      </c>
      <c r="AA1297">
        <f>N(AA1296)+$Z1297</f>
        <v>24</v>
      </c>
      <c r="AB1297">
        <f>IF(AND($M1297=1,LEFT(对接源_02物料!$D97,4)="原料出库"),1,0)</f>
        <v>0</v>
      </c>
      <c r="AC1297">
        <f>N(AC1296)+$AB1297</f>
        <v>0</v>
      </c>
      <c r="AD1297">
        <f>IF(AND($M1297=1,LEFT(对接源_02物料!$D97,4)="成品出库"),1,0)</f>
        <v>0</v>
      </c>
      <c r="AE1297">
        <f>N(AE1296)+$AD1297</f>
        <v>0</v>
      </c>
      <c r="AF1297">
        <f>IF(AND($N1297=1,AND(LEFT(对接源_02物料!$D97,4)="包装物料",N(对接源_02物料!$K97)&lt;&gt;0)),1,0)</f>
        <v>0</v>
      </c>
      <c r="AG1297">
        <f>N(AG1296)+$AF1297</f>
        <v>10</v>
      </c>
      <c r="AH1297">
        <f>IF(AND($N1297=1,AND(对接源_02物料!$D97="周转筐－销售出库",N(对接源_02物料!$K97)&lt;&gt;0)),1,0)</f>
        <v>0</v>
      </c>
      <c r="AI1297">
        <f>N(AI1296)+$AH1297</f>
        <v>0</v>
      </c>
      <c r="AL1297" t="n">
        <v>0</v>
      </c>
      <c r="AM1297">
        <f>N(AM1296)+$AL1297</f>
        <v>2</v>
      </c>
      <c r="AN1297">
        <f>""</f>
      </c>
      <c r="AO1297" t="n">
        <v>0</v>
      </c>
      <c r="AP1297">
        <f>N(AP1296)+$AO1297</f>
        <v>13</v>
      </c>
      <c r="AR1297">
        <f>IF(OR($AF1297=1,$AH1297=1),1,0)</f>
        <v>0</v>
      </c>
      <c r="AS1297">
        <f>N(AS1296)+$AR1297</f>
        <v>10</v>
      </c>
    </row>
    <row r="1298" s="127">
      <c r="A1298" t="str">
        <f>IF(对接源_02物料!$C98="","",对接源_02物料!$C98)</f>
        <v>麦麦提</v>
      </c>
      <c r="B1298">
        <f>IF(A1298="",0,IF(MATCH(A1298,$A$4:$A$2403,0)=ROW()-3,1,0))</f>
        <v>0</v>
      </c>
      <c r="C1298">
        <f>N(C1297)+B1298</f>
        <v>25</v>
      </c>
      <c r="K1298">
        <f>IF(OR($K$1="",对接源_02物料!$C98="",对接源_02物料!$C98&lt;&gt;$K$1,对接源_02物料!$B98=""),0,IF(OR(N(对接源_02物料!$B98)&lt;$K$2,N(对接源_02物料!$B98)&gt;$K$3),0,1))</f>
        <v>0</v>
      </c>
      <c r="L1298">
        <f>IF(OR($L$1="",对接源_02物料!$C98="",对接源_02物料!$C98&lt;&gt;$L$1,对接源_02物料!$B98=""),0,IF(OR(N(对接源_02物料!$B98)&lt;$L$2,N(对接源_02物料!$B98)&gt;$L$3),0,1))</f>
        <v>0</v>
      </c>
      <c r="M1298">
        <f>IF(OR($M$1="",对接源_02物料!$C98="",对接源_02物料!$C98&lt;&gt;$M$1,对接源_02物料!$B98=""),0,IF(OR(N(对接源_02物料!$B98)&lt;$M$2,N(对接源_02物料!$B98)&gt;$M$3),0,1))</f>
        <v>0</v>
      </c>
      <c r="N1298">
        <f>IF(OR($N$1="",对接源_02物料!$C98="",对接源_02物料!$C98&lt;&gt;$N$1,对接源_02物料!$B98=""),0,IF(OR(N(对接源_02物料!$B98)&lt;$N$2,N(对接源_02物料!$B98)&gt;$N$3),0,1))</f>
        <v>1</v>
      </c>
      <c r="P1298">
        <f>IF(AND($K1298=1,AND(对接源_02物料!$X98="公司筐",N(对接源_02物料!$T98)&lt;&gt;0)),1,0)</f>
        <v>0</v>
      </c>
      <c r="Q1298">
        <f>N(Q1297)+$P1298</f>
        <v>1</v>
      </c>
      <c r="R1298">
        <f>IF(AND($K1298=1,AND(对接源_02物料!$X98="公司筐",N(对接源_02物料!$U98)&lt;&gt;0)),1,0)</f>
        <v>0</v>
      </c>
      <c r="S1298">
        <f>N(S1297)+$R1298</f>
        <v>0</v>
      </c>
      <c r="T1298">
        <f>IF(AND($K1298=1,AND(对接源_02物料!$X98="公司筐",N(对接源_02物料!$V98)&lt;&gt;0)),1,0)</f>
        <v>0</v>
      </c>
      <c r="U1298">
        <f>N(U1297)+$T1298</f>
        <v>47</v>
      </c>
      <c r="V1298">
        <f>IF(AND($L1298=1,AND(对接源_02物料!$X98="自备筐",N(对接源_02物料!$V98)&lt;&gt;0)),1,0)</f>
        <v>0</v>
      </c>
      <c r="W1298">
        <f>N(W1297)+$V1298</f>
        <v>11</v>
      </c>
      <c r="X1298">
        <f>IF(AND($L1298=1,AND(对接源_02物料!$X98="自备筐",N(对接源_02物料!$T98)&lt;&gt;0)),1,0)</f>
        <v>0</v>
      </c>
      <c r="Y1298">
        <f>N(Y1297)+$X1298</f>
        <v>0</v>
      </c>
      <c r="Z1298">
        <f>IF(AND($M1298=1,对接源_02物料!$D98="原料入库"),1,0)</f>
        <v>0</v>
      </c>
      <c r="AA1298">
        <f>N(AA1297)+$Z1298</f>
        <v>24</v>
      </c>
      <c r="AB1298">
        <f>IF(AND($M1298=1,LEFT(对接源_02物料!$D98,4)="原料出库"),1,0)</f>
        <v>0</v>
      </c>
      <c r="AC1298">
        <f>N(AC1297)+$AB1298</f>
        <v>0</v>
      </c>
      <c r="AD1298">
        <f>IF(AND($M1298=1,LEFT(对接源_02物料!$D98,4)="成品出库"),1,0)</f>
        <v>0</v>
      </c>
      <c r="AE1298">
        <f>N(AE1297)+$AD1298</f>
        <v>0</v>
      </c>
      <c r="AF1298">
        <f>IF(AND($N1298=1,AND(LEFT(对接源_02物料!$D98,4)="包装物料",N(对接源_02物料!$K98)&lt;&gt;0)),1,0)</f>
        <v>0</v>
      </c>
      <c r="AG1298">
        <f>N(AG1297)+$AF1298</f>
        <v>10</v>
      </c>
      <c r="AH1298">
        <f>IF(AND($N1298=1,AND(对接源_02物料!$D98="周转筐－销售出库",N(对接源_02物料!$K98)&lt;&gt;0)),1,0)</f>
        <v>0</v>
      </c>
      <c r="AI1298">
        <f>N(AI1297)+$AH1298</f>
        <v>0</v>
      </c>
      <c r="AL1298" t="n">
        <v>0</v>
      </c>
      <c r="AM1298">
        <f>N(AM1297)+$AL1298</f>
        <v>2</v>
      </c>
      <c r="AN1298">
        <f>""</f>
      </c>
      <c r="AO1298" t="n">
        <v>0</v>
      </c>
      <c r="AP1298">
        <f>N(AP1297)+$AO1298</f>
        <v>13</v>
      </c>
      <c r="AR1298">
        <f>IF(OR($AF1298=1,$AH1298=1),1,0)</f>
        <v>0</v>
      </c>
      <c r="AS1298">
        <f>N(AS1297)+$AR1298</f>
        <v>10</v>
      </c>
    </row>
    <row r="1299" s="127">
      <c r="A1299" t="str">
        <f>IF(对接源_02物料!$C99="","",对接源_02物料!$C99)</f>
        <v>全修塑业</v>
      </c>
      <c r="B1299">
        <f>IF(A1299="",0,IF(MATCH(A1299,$A$4:$A$2403,0)=ROW()-3,1,0))</f>
        <v>0</v>
      </c>
      <c r="C1299">
        <f>N(C1298)+B1299</f>
        <v>25</v>
      </c>
      <c r="K1299">
        <f>IF(OR($K$1="",对接源_02物料!$C99="",对接源_02物料!$C99&lt;&gt;$K$1,对接源_02物料!$B99=""),0,IF(OR(N(对接源_02物料!$B99)&lt;$K$2,N(对接源_02物料!$B99)&gt;$K$3),0,1))</f>
        <v>0</v>
      </c>
      <c r="L1299">
        <f>IF(OR($L$1="",对接源_02物料!$C99="",对接源_02物料!$C99&lt;&gt;$L$1,对接源_02物料!$B99=""),0,IF(OR(N(对接源_02物料!$B99)&lt;$L$2,N(对接源_02物料!$B99)&gt;$L$3),0,1))</f>
        <v>0</v>
      </c>
      <c r="M1299">
        <f>IF(OR($M$1="",对接源_02物料!$C99="",对接源_02物料!$C99&lt;&gt;$M$1,对接源_02物料!$B99=""),0,IF(OR(N(对接源_02物料!$B99)&lt;$M$2,N(对接源_02物料!$B99)&gt;$M$3),0,1))</f>
        <v>0</v>
      </c>
      <c r="N1299">
        <f>IF(OR($N$1="",对接源_02物料!$C99="",对接源_02物料!$C99&lt;&gt;$N$1,对接源_02物料!$B99=""),0,IF(OR(N(对接源_02物料!$B99)&lt;$N$2,N(对接源_02物料!$B99)&gt;$N$3),0,1))</f>
        <v>0</v>
      </c>
      <c r="P1299">
        <f>IF(AND($K1299=1,AND(对接源_02物料!$X99="公司筐",N(对接源_02物料!$T99)&lt;&gt;0)),1,0)</f>
        <v>0</v>
      </c>
      <c r="Q1299">
        <f>N(Q1298)+$P1299</f>
        <v>1</v>
      </c>
      <c r="R1299">
        <f>IF(AND($K1299=1,AND(对接源_02物料!$X99="公司筐",N(对接源_02物料!$U99)&lt;&gt;0)),1,0)</f>
        <v>0</v>
      </c>
      <c r="S1299">
        <f>N(S1298)+$R1299</f>
        <v>0</v>
      </c>
      <c r="T1299">
        <f>IF(AND($K1299=1,AND(对接源_02物料!$X99="公司筐",N(对接源_02物料!$V99)&lt;&gt;0)),1,0)</f>
        <v>0</v>
      </c>
      <c r="U1299">
        <f>N(U1298)+$T1299</f>
        <v>47</v>
      </c>
      <c r="V1299">
        <f>IF(AND($L1299=1,AND(对接源_02物料!$X99="自备筐",N(对接源_02物料!$V99)&lt;&gt;0)),1,0)</f>
        <v>0</v>
      </c>
      <c r="W1299">
        <f>N(W1298)+$V1299</f>
        <v>11</v>
      </c>
      <c r="X1299">
        <f>IF(AND($L1299=1,AND(对接源_02物料!$X99="自备筐",N(对接源_02物料!$T99)&lt;&gt;0)),1,0)</f>
        <v>0</v>
      </c>
      <c r="Y1299">
        <f>N(Y1298)+$X1299</f>
        <v>0</v>
      </c>
      <c r="Z1299">
        <f>IF(AND($M1299=1,对接源_02物料!$D99="原料入库"),1,0)</f>
        <v>0</v>
      </c>
      <c r="AA1299">
        <f>N(AA1298)+$Z1299</f>
        <v>24</v>
      </c>
      <c r="AB1299">
        <f>IF(AND($M1299=1,LEFT(对接源_02物料!$D99,4)="原料出库"),1,0)</f>
        <v>0</v>
      </c>
      <c r="AC1299">
        <f>N(AC1298)+$AB1299</f>
        <v>0</v>
      </c>
      <c r="AD1299">
        <f>IF(AND($M1299=1,LEFT(对接源_02物料!$D99,4)="成品出库"),1,0)</f>
        <v>0</v>
      </c>
      <c r="AE1299">
        <f>N(AE1298)+$AD1299</f>
        <v>0</v>
      </c>
      <c r="AF1299">
        <f>IF(AND($N1299=1,AND(LEFT(对接源_02物料!$D99,4)="包装物料",N(对接源_02物料!$K99)&lt;&gt;0)),1,0)</f>
        <v>0</v>
      </c>
      <c r="AG1299">
        <f>N(AG1298)+$AF1299</f>
        <v>10</v>
      </c>
      <c r="AH1299">
        <f>IF(AND($N1299=1,AND(对接源_02物料!$D99="周转筐－销售出库",N(对接源_02物料!$K99)&lt;&gt;0)),1,0)</f>
        <v>0</v>
      </c>
      <c r="AI1299">
        <f>N(AI1298)+$AH1299</f>
        <v>0</v>
      </c>
      <c r="AL1299" t="n">
        <v>0</v>
      </c>
      <c r="AM1299">
        <f>N(AM1298)+$AL1299</f>
        <v>2</v>
      </c>
      <c r="AN1299">
        <f>""</f>
      </c>
      <c r="AO1299" t="n">
        <v>0</v>
      </c>
      <c r="AP1299">
        <f>N(AP1298)+$AO1299</f>
        <v>13</v>
      </c>
      <c r="AR1299">
        <f>IF(OR($AF1299=1,$AH1299=1),1,0)</f>
        <v>0</v>
      </c>
      <c r="AS1299">
        <f>N(AS1298)+$AR1299</f>
        <v>10</v>
      </c>
    </row>
    <row r="1300" s="127">
      <c r="A1300" t="str">
        <f>IF(对接源_02物料!$C100="","",对接源_02物料!$C100)</f>
        <v>努尔敦</v>
      </c>
      <c r="B1300">
        <f>IF(A1300="",0,IF(MATCH(A1300,$A$4:$A$2403,0)=ROW()-3,1,0))</f>
        <v>0</v>
      </c>
      <c r="C1300">
        <f>N(C1299)+B1300</f>
        <v>25</v>
      </c>
      <c r="K1300">
        <f>IF(OR($K$1="",对接源_02物料!$C100="",对接源_02物料!$C100&lt;&gt;$K$1,对接源_02物料!$B100=""),0,IF(OR(N(对接源_02物料!$B100)&lt;$K$2,N(对接源_02物料!$B100)&gt;$K$3),0,1))</f>
        <v>0</v>
      </c>
      <c r="L1300">
        <f>IF(OR($L$1="",对接源_02物料!$C100="",对接源_02物料!$C100&lt;&gt;$L$1,对接源_02物料!$B100=""),0,IF(OR(N(对接源_02物料!$B100)&lt;$L$2,N(对接源_02物料!$B100)&gt;$L$3),0,1))</f>
        <v>0</v>
      </c>
      <c r="M1300">
        <f>IF(OR($M$1="",对接源_02物料!$C100="",对接源_02物料!$C100&lt;&gt;$M$1,对接源_02物料!$B100=""),0,IF(OR(N(对接源_02物料!$B100)&lt;$M$2,N(对接源_02物料!$B100)&gt;$M$3),0,1))</f>
        <v>0</v>
      </c>
      <c r="N1300">
        <f>IF(OR($N$1="",对接源_02物料!$C100="",对接源_02物料!$C100&lt;&gt;$N$1,对接源_02物料!$B100=""),0,IF(OR(N(对接源_02物料!$B100)&lt;$N$2,N(对接源_02物料!$B100)&gt;$N$3),0,1))</f>
        <v>0</v>
      </c>
      <c r="P1300">
        <f>IF(AND($K1300=1,AND(对接源_02物料!$X100="公司筐",N(对接源_02物料!$T100)&lt;&gt;0)),1,0)</f>
        <v>0</v>
      </c>
      <c r="Q1300">
        <f>N(Q1299)+$P1300</f>
        <v>1</v>
      </c>
      <c r="R1300">
        <f>IF(AND($K1300=1,AND(对接源_02物料!$X100="公司筐",N(对接源_02物料!$U100)&lt;&gt;0)),1,0)</f>
        <v>0</v>
      </c>
      <c r="S1300">
        <f>N(S1299)+$R1300</f>
        <v>0</v>
      </c>
      <c r="T1300">
        <f>IF(AND($K1300=1,AND(对接源_02物料!$X100="公司筐",N(对接源_02物料!$V100)&lt;&gt;0)),1,0)</f>
        <v>0</v>
      </c>
      <c r="U1300">
        <f>N(U1299)+$T1300</f>
        <v>47</v>
      </c>
      <c r="V1300">
        <f>IF(AND($L1300=1,AND(对接源_02物料!$X100="自备筐",N(对接源_02物料!$V100)&lt;&gt;0)),1,0)</f>
        <v>0</v>
      </c>
      <c r="W1300">
        <f>N(W1299)+$V1300</f>
        <v>11</v>
      </c>
      <c r="X1300">
        <f>IF(AND($L1300=1,AND(对接源_02物料!$X100="自备筐",N(对接源_02物料!$T100)&lt;&gt;0)),1,0)</f>
        <v>0</v>
      </c>
      <c r="Y1300">
        <f>N(Y1299)+$X1300</f>
        <v>0</v>
      </c>
      <c r="Z1300">
        <f>IF(AND($M1300=1,对接源_02物料!$D100="原料入库"),1,0)</f>
        <v>0</v>
      </c>
      <c r="AA1300">
        <f>N(AA1299)+$Z1300</f>
        <v>24</v>
      </c>
      <c r="AB1300">
        <f>IF(AND($M1300=1,LEFT(对接源_02物料!$D100,4)="原料出库"),1,0)</f>
        <v>0</v>
      </c>
      <c r="AC1300">
        <f>N(AC1299)+$AB1300</f>
        <v>0</v>
      </c>
      <c r="AD1300">
        <f>IF(AND($M1300=1,LEFT(对接源_02物料!$D100,4)="成品出库"),1,0)</f>
        <v>0</v>
      </c>
      <c r="AE1300">
        <f>N(AE1299)+$AD1300</f>
        <v>0</v>
      </c>
      <c r="AF1300">
        <f>IF(AND($N1300=1,AND(LEFT(对接源_02物料!$D100,4)="包装物料",N(对接源_02物料!$K100)&lt;&gt;0)),1,0)</f>
        <v>0</v>
      </c>
      <c r="AG1300">
        <f>N(AG1299)+$AF1300</f>
        <v>10</v>
      </c>
      <c r="AH1300">
        <f>IF(AND($N1300=1,AND(对接源_02物料!$D100="周转筐－销售出库",N(对接源_02物料!$K100)&lt;&gt;0)),1,0)</f>
        <v>0</v>
      </c>
      <c r="AI1300">
        <f>N(AI1299)+$AH1300</f>
        <v>0</v>
      </c>
      <c r="AL1300" t="n">
        <v>0</v>
      </c>
      <c r="AM1300">
        <f>N(AM1299)+$AL1300</f>
        <v>2</v>
      </c>
      <c r="AN1300">
        <f>""</f>
      </c>
      <c r="AO1300" t="n">
        <v>0</v>
      </c>
      <c r="AP1300">
        <f>N(AP1299)+$AO1300</f>
        <v>13</v>
      </c>
      <c r="AR1300">
        <f>IF(OR($AF1300=1,$AH1300=1),1,0)</f>
        <v>0</v>
      </c>
      <c r="AS1300">
        <f>N(AS1299)+$AR1300</f>
        <v>10</v>
      </c>
    </row>
    <row r="1301" s="127">
      <c r="A1301" t="str">
        <f>IF(对接源_02物料!$C101="","",对接源_02物料!$C101)</f>
        <v>全修塑业</v>
      </c>
      <c r="B1301">
        <f>IF(A1301="",0,IF(MATCH(A1301,$A$4:$A$2403,0)=ROW()-3,1,0))</f>
        <v>0</v>
      </c>
      <c r="C1301">
        <f>N(C1300)+B1301</f>
        <v>25</v>
      </c>
      <c r="K1301">
        <f>IF(OR($K$1="",对接源_02物料!$C101="",对接源_02物料!$C101&lt;&gt;$K$1,对接源_02物料!$B101=""),0,IF(OR(N(对接源_02物料!$B101)&lt;$K$2,N(对接源_02物料!$B101)&gt;$K$3),0,1))</f>
        <v>0</v>
      </c>
      <c r="L1301">
        <f>IF(OR($L$1="",对接源_02物料!$C101="",对接源_02物料!$C101&lt;&gt;$L$1,对接源_02物料!$B101=""),0,IF(OR(N(对接源_02物料!$B101)&lt;$L$2,N(对接源_02物料!$B101)&gt;$L$3),0,1))</f>
        <v>0</v>
      </c>
      <c r="M1301">
        <f>IF(OR($M$1="",对接源_02物料!$C101="",对接源_02物料!$C101&lt;&gt;$M$1,对接源_02物料!$B101=""),0,IF(OR(N(对接源_02物料!$B101)&lt;$M$2,N(对接源_02物料!$B101)&gt;$M$3),0,1))</f>
        <v>0</v>
      </c>
      <c r="N1301">
        <f>IF(OR($N$1="",对接源_02物料!$C101="",对接源_02物料!$C101&lt;&gt;$N$1,对接源_02物料!$B101=""),0,IF(OR(N(对接源_02物料!$B101)&lt;$N$2,N(对接源_02物料!$B101)&gt;$N$3),0,1))</f>
        <v>0</v>
      </c>
      <c r="P1301">
        <f>IF(AND($K1301=1,AND(对接源_02物料!$X101="公司筐",N(对接源_02物料!$T101)&lt;&gt;0)),1,0)</f>
        <v>0</v>
      </c>
      <c r="Q1301">
        <f>N(Q1300)+$P1301</f>
        <v>1</v>
      </c>
      <c r="R1301">
        <f>IF(AND($K1301=1,AND(对接源_02物料!$X101="公司筐",N(对接源_02物料!$U101)&lt;&gt;0)),1,0)</f>
        <v>0</v>
      </c>
      <c r="S1301">
        <f>N(S1300)+$R1301</f>
        <v>0</v>
      </c>
      <c r="T1301">
        <f>IF(AND($K1301=1,AND(对接源_02物料!$X101="公司筐",N(对接源_02物料!$V101)&lt;&gt;0)),1,0)</f>
        <v>0</v>
      </c>
      <c r="U1301">
        <f>N(U1300)+$T1301</f>
        <v>47</v>
      </c>
      <c r="V1301">
        <f>IF(AND($L1301=1,AND(对接源_02物料!$X101="自备筐",N(对接源_02物料!$V101)&lt;&gt;0)),1,0)</f>
        <v>0</v>
      </c>
      <c r="W1301">
        <f>N(W1300)+$V1301</f>
        <v>11</v>
      </c>
      <c r="X1301">
        <f>IF(AND($L1301=1,AND(对接源_02物料!$X101="自备筐",N(对接源_02物料!$T101)&lt;&gt;0)),1,0)</f>
        <v>0</v>
      </c>
      <c r="Y1301">
        <f>N(Y1300)+$X1301</f>
        <v>0</v>
      </c>
      <c r="Z1301">
        <f>IF(AND($M1301=1,对接源_02物料!$D101="原料入库"),1,0)</f>
        <v>0</v>
      </c>
      <c r="AA1301">
        <f>N(AA1300)+$Z1301</f>
        <v>24</v>
      </c>
      <c r="AB1301">
        <f>IF(AND($M1301=1,LEFT(对接源_02物料!$D101,4)="原料出库"),1,0)</f>
        <v>0</v>
      </c>
      <c r="AC1301">
        <f>N(AC1300)+$AB1301</f>
        <v>0</v>
      </c>
      <c r="AD1301">
        <f>IF(AND($M1301=1,LEFT(对接源_02物料!$D101,4)="成品出库"),1,0)</f>
        <v>0</v>
      </c>
      <c r="AE1301">
        <f>N(AE1300)+$AD1301</f>
        <v>0</v>
      </c>
      <c r="AF1301">
        <f>IF(AND($N1301=1,AND(LEFT(对接源_02物料!$D101,4)="包装物料",N(对接源_02物料!$K101)&lt;&gt;0)),1,0)</f>
        <v>0</v>
      </c>
      <c r="AG1301">
        <f>N(AG1300)+$AF1301</f>
        <v>10</v>
      </c>
      <c r="AH1301">
        <f>IF(AND($N1301=1,AND(对接源_02物料!$D101="周转筐－销售出库",N(对接源_02物料!$K101)&lt;&gt;0)),1,0)</f>
        <v>0</v>
      </c>
      <c r="AI1301">
        <f>N(AI1300)+$AH1301</f>
        <v>0</v>
      </c>
      <c r="AL1301" t="n">
        <v>0</v>
      </c>
      <c r="AM1301">
        <f>N(AM1300)+$AL1301</f>
        <v>2</v>
      </c>
      <c r="AN1301">
        <f>""</f>
      </c>
      <c r="AO1301" t="n">
        <v>0</v>
      </c>
      <c r="AP1301">
        <f>N(AP1300)+$AO1301</f>
        <v>13</v>
      </c>
      <c r="AR1301">
        <f>IF(OR($AF1301=1,$AH1301=1),1,0)</f>
        <v>0</v>
      </c>
      <c r="AS1301">
        <f>N(AS1300)+$AR1301</f>
        <v>10</v>
      </c>
    </row>
    <row r="1302" s="127">
      <c r="A1302" t="str">
        <f>IF(对接源_02物料!$C102="","",对接源_02物料!$C102)</f>
        <v>荆建君</v>
      </c>
      <c r="B1302">
        <f>IF(A1302="",0,IF(MATCH(A1302,$A$4:$A$2403,0)=ROW()-3,1,0))</f>
        <v>0</v>
      </c>
      <c r="C1302">
        <f>N(C1301)+B1302</f>
        <v>25</v>
      </c>
      <c r="K1302">
        <f>IF(OR($K$1="",对接源_02物料!$C102="",对接源_02物料!$C102&lt;&gt;$K$1,对接源_02物料!$B102=""),0,IF(OR(N(对接源_02物料!$B102)&lt;$K$2,N(对接源_02物料!$B102)&gt;$K$3),0,1))</f>
        <v>0</v>
      </c>
      <c r="L1302">
        <f>IF(OR($L$1="",对接源_02物料!$C102="",对接源_02物料!$C102&lt;&gt;$L$1,对接源_02物料!$B102=""),0,IF(OR(N(对接源_02物料!$B102)&lt;$L$2,N(对接源_02物料!$B102)&gt;$L$3),0,1))</f>
        <v>0</v>
      </c>
      <c r="M1302">
        <f>IF(OR($M$1="",对接源_02物料!$C102="",对接源_02物料!$C102&lt;&gt;$M$1,对接源_02物料!$B102=""),0,IF(OR(N(对接源_02物料!$B102)&lt;$M$2,N(对接源_02物料!$B102)&gt;$M$3),0,1))</f>
        <v>0</v>
      </c>
      <c r="N1302">
        <f>IF(OR($N$1="",对接源_02物料!$C102="",对接源_02物料!$C102&lt;&gt;$N$1,对接源_02物料!$B102=""),0,IF(OR(N(对接源_02物料!$B102)&lt;$N$2,N(对接源_02物料!$B102)&gt;$N$3),0,1))</f>
        <v>0</v>
      </c>
      <c r="P1302">
        <f>IF(AND($K1302=1,AND(对接源_02物料!$X102="公司筐",N(对接源_02物料!$T102)&lt;&gt;0)),1,0)</f>
        <v>0</v>
      </c>
      <c r="Q1302">
        <f>N(Q1301)+$P1302</f>
        <v>1</v>
      </c>
      <c r="R1302">
        <f>IF(AND($K1302=1,AND(对接源_02物料!$X102="公司筐",N(对接源_02物料!$U102)&lt;&gt;0)),1,0)</f>
        <v>0</v>
      </c>
      <c r="S1302">
        <f>N(S1301)+$R1302</f>
        <v>0</v>
      </c>
      <c r="T1302">
        <f>IF(AND($K1302=1,AND(对接源_02物料!$X102="公司筐",N(对接源_02物料!$V102)&lt;&gt;0)),1,0)</f>
        <v>0</v>
      </c>
      <c r="U1302">
        <f>N(U1301)+$T1302</f>
        <v>47</v>
      </c>
      <c r="V1302">
        <f>IF(AND($L1302=1,AND(对接源_02物料!$X102="自备筐",N(对接源_02物料!$V102)&lt;&gt;0)),1,0)</f>
        <v>0</v>
      </c>
      <c r="W1302">
        <f>N(W1301)+$V1302</f>
        <v>11</v>
      </c>
      <c r="X1302">
        <f>IF(AND($L1302=1,AND(对接源_02物料!$X102="自备筐",N(对接源_02物料!$T102)&lt;&gt;0)),1,0)</f>
        <v>0</v>
      </c>
      <c r="Y1302">
        <f>N(Y1301)+$X1302</f>
        <v>0</v>
      </c>
      <c r="Z1302">
        <f>IF(AND($M1302=1,对接源_02物料!$D102="原料入库"),1,0)</f>
        <v>0</v>
      </c>
      <c r="AA1302">
        <f>N(AA1301)+$Z1302</f>
        <v>24</v>
      </c>
      <c r="AB1302">
        <f>IF(AND($M1302=1,LEFT(对接源_02物料!$D102,4)="原料出库"),1,0)</f>
        <v>0</v>
      </c>
      <c r="AC1302">
        <f>N(AC1301)+$AB1302</f>
        <v>0</v>
      </c>
      <c r="AD1302">
        <f>IF(AND($M1302=1,LEFT(对接源_02物料!$D102,4)="成品出库"),1,0)</f>
        <v>0</v>
      </c>
      <c r="AE1302">
        <f>N(AE1301)+$AD1302</f>
        <v>0</v>
      </c>
      <c r="AF1302">
        <f>IF(AND($N1302=1,AND(LEFT(对接源_02物料!$D102,4)="包装物料",N(对接源_02物料!$K102)&lt;&gt;0)),1,0)</f>
        <v>0</v>
      </c>
      <c r="AG1302">
        <f>N(AG1301)+$AF1302</f>
        <v>10</v>
      </c>
      <c r="AH1302">
        <f>IF(AND($N1302=1,AND(对接源_02物料!$D102="周转筐－销售出库",N(对接源_02物料!$K102)&lt;&gt;0)),1,0)</f>
        <v>0</v>
      </c>
      <c r="AI1302">
        <f>N(AI1301)+$AH1302</f>
        <v>0</v>
      </c>
      <c r="AL1302" t="n">
        <v>0</v>
      </c>
      <c r="AM1302">
        <f>N(AM1301)+$AL1302</f>
        <v>2</v>
      </c>
      <c r="AN1302">
        <f>""</f>
      </c>
      <c r="AO1302" t="n">
        <v>0</v>
      </c>
      <c r="AP1302">
        <f>N(AP1301)+$AO1302</f>
        <v>13</v>
      </c>
      <c r="AR1302">
        <f>IF(OR($AF1302=1,$AH1302=1),1,0)</f>
        <v>0</v>
      </c>
      <c r="AS1302">
        <f>N(AS1301)+$AR1302</f>
        <v>10</v>
      </c>
    </row>
    <row r="1303" s="127">
      <c r="A1303" t="str">
        <f>IF(对接源_02物料!$C103="","",对接源_02物料!$C103)</f>
        <v>马锦祥</v>
      </c>
      <c r="B1303">
        <f>IF(A1303="",0,IF(MATCH(A1303,$A$4:$A$2403,0)=ROW()-3,1,0))</f>
        <v>0</v>
      </c>
      <c r="C1303">
        <f>N(C1302)+B1303</f>
        <v>25</v>
      </c>
      <c r="K1303">
        <f>IF(OR($K$1="",对接源_02物料!$C103="",对接源_02物料!$C103&lt;&gt;$K$1,对接源_02物料!$B103=""),0,IF(OR(N(对接源_02物料!$B103)&lt;$K$2,N(对接源_02物料!$B103)&gt;$K$3),0,1))</f>
        <v>0</v>
      </c>
      <c r="L1303">
        <f>IF(OR($L$1="",对接源_02物料!$C103="",对接源_02物料!$C103&lt;&gt;$L$1,对接源_02物料!$B103=""),0,IF(OR(N(对接源_02物料!$B103)&lt;$L$2,N(对接源_02物料!$B103)&gt;$L$3),0,1))</f>
        <v>0</v>
      </c>
      <c r="M1303">
        <f>IF(OR($M$1="",对接源_02物料!$C103="",对接源_02物料!$C103&lt;&gt;$M$1,对接源_02物料!$B103=""),0,IF(OR(N(对接源_02物料!$B103)&lt;$M$2,N(对接源_02物料!$B103)&gt;$M$3),0,1))</f>
        <v>0</v>
      </c>
      <c r="N1303">
        <f>IF(OR($N$1="",对接源_02物料!$C103="",对接源_02物料!$C103&lt;&gt;$N$1,对接源_02物料!$B103=""),0,IF(OR(N(对接源_02物料!$B103)&lt;$N$2,N(对接源_02物料!$B103)&gt;$N$3),0,1))</f>
        <v>0</v>
      </c>
      <c r="P1303">
        <f>IF(AND($K1303=1,AND(对接源_02物料!$X103="公司筐",N(对接源_02物料!$T103)&lt;&gt;0)),1,0)</f>
        <v>0</v>
      </c>
      <c r="Q1303">
        <f>N(Q1302)+$P1303</f>
        <v>1</v>
      </c>
      <c r="R1303">
        <f>IF(AND($K1303=1,AND(对接源_02物料!$X103="公司筐",N(对接源_02物料!$U103)&lt;&gt;0)),1,0)</f>
        <v>0</v>
      </c>
      <c r="S1303">
        <f>N(S1302)+$R1303</f>
        <v>0</v>
      </c>
      <c r="T1303">
        <f>IF(AND($K1303=1,AND(对接源_02物料!$X103="公司筐",N(对接源_02物料!$V103)&lt;&gt;0)),1,0)</f>
        <v>0</v>
      </c>
      <c r="U1303">
        <f>N(U1302)+$T1303</f>
        <v>47</v>
      </c>
      <c r="V1303">
        <f>IF(AND($L1303=1,AND(对接源_02物料!$X103="自备筐",N(对接源_02物料!$V103)&lt;&gt;0)),1,0)</f>
        <v>0</v>
      </c>
      <c r="W1303">
        <f>N(W1302)+$V1303</f>
        <v>11</v>
      </c>
      <c r="X1303">
        <f>IF(AND($L1303=1,AND(对接源_02物料!$X103="自备筐",N(对接源_02物料!$T103)&lt;&gt;0)),1,0)</f>
        <v>0</v>
      </c>
      <c r="Y1303">
        <f>N(Y1302)+$X1303</f>
        <v>0</v>
      </c>
      <c r="Z1303">
        <f>IF(AND($M1303=1,对接源_02物料!$D103="原料入库"),1,0)</f>
        <v>0</v>
      </c>
      <c r="AA1303">
        <f>N(AA1302)+$Z1303</f>
        <v>24</v>
      </c>
      <c r="AB1303">
        <f>IF(AND($M1303=1,LEFT(对接源_02物料!$D103,4)="原料出库"),1,0)</f>
        <v>0</v>
      </c>
      <c r="AC1303">
        <f>N(AC1302)+$AB1303</f>
        <v>0</v>
      </c>
      <c r="AD1303">
        <f>IF(AND($M1303=1,LEFT(对接源_02物料!$D103,4)="成品出库"),1,0)</f>
        <v>0</v>
      </c>
      <c r="AE1303">
        <f>N(AE1302)+$AD1303</f>
        <v>0</v>
      </c>
      <c r="AF1303">
        <f>IF(AND($N1303=1,AND(LEFT(对接源_02物料!$D103,4)="包装物料",N(对接源_02物料!$K103)&lt;&gt;0)),1,0)</f>
        <v>0</v>
      </c>
      <c r="AG1303">
        <f>N(AG1302)+$AF1303</f>
        <v>10</v>
      </c>
      <c r="AH1303">
        <f>IF(AND($N1303=1,AND(对接源_02物料!$D103="周转筐－销售出库",N(对接源_02物料!$K103)&lt;&gt;0)),1,0)</f>
        <v>0</v>
      </c>
      <c r="AI1303">
        <f>N(AI1302)+$AH1303</f>
        <v>0</v>
      </c>
      <c r="AL1303" t="n">
        <v>0</v>
      </c>
      <c r="AM1303">
        <f>N(AM1302)+$AL1303</f>
        <v>2</v>
      </c>
      <c r="AN1303">
        <f>""</f>
      </c>
      <c r="AO1303" t="n">
        <v>0</v>
      </c>
      <c r="AP1303">
        <f>N(AP1302)+$AO1303</f>
        <v>13</v>
      </c>
      <c r="AR1303">
        <f>IF(OR($AF1303=1,$AH1303=1),1,0)</f>
        <v>0</v>
      </c>
      <c r="AS1303">
        <f>N(AS1302)+$AR1303</f>
        <v>10</v>
      </c>
    </row>
    <row r="1304" s="127">
      <c r="A1304" t="str">
        <f>IF(对接源_02物料!$C104="","",对接源_02物料!$C104)</f>
        <v>全修塑业</v>
      </c>
      <c r="B1304">
        <f>IF(A1304="",0,IF(MATCH(A1304,$A$4:$A$2403,0)=ROW()-3,1,0))</f>
        <v>0</v>
      </c>
      <c r="C1304">
        <f>N(C1303)+B1304</f>
        <v>25</v>
      </c>
      <c r="K1304">
        <f>IF(OR($K$1="",对接源_02物料!$C104="",对接源_02物料!$C104&lt;&gt;$K$1,对接源_02物料!$B104=""),0,IF(OR(N(对接源_02物料!$B104)&lt;$K$2,N(对接源_02物料!$B104)&gt;$K$3),0,1))</f>
        <v>0</v>
      </c>
      <c r="L1304">
        <f>IF(OR($L$1="",对接源_02物料!$C104="",对接源_02物料!$C104&lt;&gt;$L$1,对接源_02物料!$B104=""),0,IF(OR(N(对接源_02物料!$B104)&lt;$L$2,N(对接源_02物料!$B104)&gt;$L$3),0,1))</f>
        <v>0</v>
      </c>
      <c r="M1304">
        <f>IF(OR($M$1="",对接源_02物料!$C104="",对接源_02物料!$C104&lt;&gt;$M$1,对接源_02物料!$B104=""),0,IF(OR(N(对接源_02物料!$B104)&lt;$M$2,N(对接源_02物料!$B104)&gt;$M$3),0,1))</f>
        <v>0</v>
      </c>
      <c r="N1304">
        <f>IF(OR($N$1="",对接源_02物料!$C104="",对接源_02物料!$C104&lt;&gt;$N$1,对接源_02物料!$B104=""),0,IF(OR(N(对接源_02物料!$B104)&lt;$N$2,N(对接源_02物料!$B104)&gt;$N$3),0,1))</f>
        <v>0</v>
      </c>
      <c r="P1304">
        <f>IF(AND($K1304=1,AND(对接源_02物料!$X104="公司筐",N(对接源_02物料!$T104)&lt;&gt;0)),1,0)</f>
        <v>0</v>
      </c>
      <c r="Q1304">
        <f>N(Q1303)+$P1304</f>
        <v>1</v>
      </c>
      <c r="R1304">
        <f>IF(AND($K1304=1,AND(对接源_02物料!$X104="公司筐",N(对接源_02物料!$U104)&lt;&gt;0)),1,0)</f>
        <v>0</v>
      </c>
      <c r="S1304">
        <f>N(S1303)+$R1304</f>
        <v>0</v>
      </c>
      <c r="T1304">
        <f>IF(AND($K1304=1,AND(对接源_02物料!$X104="公司筐",N(对接源_02物料!$V104)&lt;&gt;0)),1,0)</f>
        <v>0</v>
      </c>
      <c r="U1304">
        <f>N(U1303)+$T1304</f>
        <v>47</v>
      </c>
      <c r="V1304">
        <f>IF(AND($L1304=1,AND(对接源_02物料!$X104="自备筐",N(对接源_02物料!$V104)&lt;&gt;0)),1,0)</f>
        <v>0</v>
      </c>
      <c r="W1304">
        <f>N(W1303)+$V1304</f>
        <v>11</v>
      </c>
      <c r="X1304">
        <f>IF(AND($L1304=1,AND(对接源_02物料!$X104="自备筐",N(对接源_02物料!$T104)&lt;&gt;0)),1,0)</f>
        <v>0</v>
      </c>
      <c r="Y1304">
        <f>N(Y1303)+$X1304</f>
        <v>0</v>
      </c>
      <c r="Z1304">
        <f>IF(AND($M1304=1,对接源_02物料!$D104="原料入库"),1,0)</f>
        <v>0</v>
      </c>
      <c r="AA1304">
        <f>N(AA1303)+$Z1304</f>
        <v>24</v>
      </c>
      <c r="AB1304">
        <f>IF(AND($M1304=1,LEFT(对接源_02物料!$D104,4)="原料出库"),1,0)</f>
        <v>0</v>
      </c>
      <c r="AC1304">
        <f>N(AC1303)+$AB1304</f>
        <v>0</v>
      </c>
      <c r="AD1304">
        <f>IF(AND($M1304=1,LEFT(对接源_02物料!$D104,4)="成品出库"),1,0)</f>
        <v>0</v>
      </c>
      <c r="AE1304">
        <f>N(AE1303)+$AD1304</f>
        <v>0</v>
      </c>
      <c r="AF1304">
        <f>IF(AND($N1304=1,AND(LEFT(对接源_02物料!$D104,4)="包装物料",N(对接源_02物料!$K104)&lt;&gt;0)),1,0)</f>
        <v>0</v>
      </c>
      <c r="AG1304">
        <f>N(AG1303)+$AF1304</f>
        <v>10</v>
      </c>
      <c r="AH1304">
        <f>IF(AND($N1304=1,AND(对接源_02物料!$D104="周转筐－销售出库",N(对接源_02物料!$K104)&lt;&gt;0)),1,0)</f>
        <v>0</v>
      </c>
      <c r="AI1304">
        <f>N(AI1303)+$AH1304</f>
        <v>0</v>
      </c>
      <c r="AL1304" t="n">
        <v>0</v>
      </c>
      <c r="AM1304">
        <f>N(AM1303)+$AL1304</f>
        <v>2</v>
      </c>
      <c r="AN1304">
        <f>""</f>
      </c>
      <c r="AO1304" t="n">
        <v>0</v>
      </c>
      <c r="AP1304">
        <f>N(AP1303)+$AO1304</f>
        <v>13</v>
      </c>
      <c r="AR1304">
        <f>IF(OR($AF1304=1,$AH1304=1),1,0)</f>
        <v>0</v>
      </c>
      <c r="AS1304">
        <f>N(AS1303)+$AR1304</f>
        <v>10</v>
      </c>
    </row>
    <row r="1305" s="127">
      <c r="A1305" t="str">
        <f>IF(对接源_02物料!$C105="","",对接源_02物料!$C105)</f>
        <v>努尔敦</v>
      </c>
      <c r="B1305">
        <f>IF(A1305="",0,IF(MATCH(A1305,$A$4:$A$2403,0)=ROW()-3,1,0))</f>
        <v>0</v>
      </c>
      <c r="C1305">
        <f>N(C1304)+B1305</f>
        <v>25</v>
      </c>
      <c r="K1305">
        <f>IF(OR($K$1="",对接源_02物料!$C105="",对接源_02物料!$C105&lt;&gt;$K$1,对接源_02物料!$B105=""),0,IF(OR(N(对接源_02物料!$B105)&lt;$K$2,N(对接源_02物料!$B105)&gt;$K$3),0,1))</f>
        <v>0</v>
      </c>
      <c r="L1305">
        <f>IF(OR($L$1="",对接源_02物料!$C105="",对接源_02物料!$C105&lt;&gt;$L$1,对接源_02物料!$B105=""),0,IF(OR(N(对接源_02物料!$B105)&lt;$L$2,N(对接源_02物料!$B105)&gt;$L$3),0,1))</f>
        <v>0</v>
      </c>
      <c r="M1305">
        <f>IF(OR($M$1="",对接源_02物料!$C105="",对接源_02物料!$C105&lt;&gt;$M$1,对接源_02物料!$B105=""),0,IF(OR(N(对接源_02物料!$B105)&lt;$M$2,N(对接源_02物料!$B105)&gt;$M$3),0,1))</f>
        <v>0</v>
      </c>
      <c r="N1305">
        <f>IF(OR($N$1="",对接源_02物料!$C105="",对接源_02物料!$C105&lt;&gt;$N$1,对接源_02物料!$B105=""),0,IF(OR(N(对接源_02物料!$B105)&lt;$N$2,N(对接源_02物料!$B105)&gt;$N$3),0,1))</f>
        <v>0</v>
      </c>
      <c r="P1305">
        <f>IF(AND($K1305=1,AND(对接源_02物料!$X105="公司筐",N(对接源_02物料!$T105)&lt;&gt;0)),1,0)</f>
        <v>0</v>
      </c>
      <c r="Q1305">
        <f>N(Q1304)+$P1305</f>
        <v>1</v>
      </c>
      <c r="R1305">
        <f>IF(AND($K1305=1,AND(对接源_02物料!$X105="公司筐",N(对接源_02物料!$U105)&lt;&gt;0)),1,0)</f>
        <v>0</v>
      </c>
      <c r="S1305">
        <f>N(S1304)+$R1305</f>
        <v>0</v>
      </c>
      <c r="T1305">
        <f>IF(AND($K1305=1,AND(对接源_02物料!$X105="公司筐",N(对接源_02物料!$V105)&lt;&gt;0)),1,0)</f>
        <v>0</v>
      </c>
      <c r="U1305">
        <f>N(U1304)+$T1305</f>
        <v>47</v>
      </c>
      <c r="V1305">
        <f>IF(AND($L1305=1,AND(对接源_02物料!$X105="自备筐",N(对接源_02物料!$V105)&lt;&gt;0)),1,0)</f>
        <v>0</v>
      </c>
      <c r="W1305">
        <f>N(W1304)+$V1305</f>
        <v>11</v>
      </c>
      <c r="X1305">
        <f>IF(AND($L1305=1,AND(对接源_02物料!$X105="自备筐",N(对接源_02物料!$T105)&lt;&gt;0)),1,0)</f>
        <v>0</v>
      </c>
      <c r="Y1305">
        <f>N(Y1304)+$X1305</f>
        <v>0</v>
      </c>
      <c r="Z1305">
        <f>IF(AND($M1305=1,对接源_02物料!$D105="原料入库"),1,0)</f>
        <v>0</v>
      </c>
      <c r="AA1305">
        <f>N(AA1304)+$Z1305</f>
        <v>24</v>
      </c>
      <c r="AB1305">
        <f>IF(AND($M1305=1,LEFT(对接源_02物料!$D105,4)="原料出库"),1,0)</f>
        <v>0</v>
      </c>
      <c r="AC1305">
        <f>N(AC1304)+$AB1305</f>
        <v>0</v>
      </c>
      <c r="AD1305">
        <f>IF(AND($M1305=1,LEFT(对接源_02物料!$D105,4)="成品出库"),1,0)</f>
        <v>0</v>
      </c>
      <c r="AE1305">
        <f>N(AE1304)+$AD1305</f>
        <v>0</v>
      </c>
      <c r="AF1305">
        <f>IF(AND($N1305=1,AND(LEFT(对接源_02物料!$D105,4)="包装物料",N(对接源_02物料!$K105)&lt;&gt;0)),1,0)</f>
        <v>0</v>
      </c>
      <c r="AG1305">
        <f>N(AG1304)+$AF1305</f>
        <v>10</v>
      </c>
      <c r="AH1305">
        <f>IF(AND($N1305=1,AND(对接源_02物料!$D105="周转筐－销售出库",N(对接源_02物料!$K105)&lt;&gt;0)),1,0)</f>
        <v>0</v>
      </c>
      <c r="AI1305">
        <f>N(AI1304)+$AH1305</f>
        <v>0</v>
      </c>
      <c r="AL1305" t="n">
        <v>0</v>
      </c>
      <c r="AM1305">
        <f>N(AM1304)+$AL1305</f>
        <v>2</v>
      </c>
      <c r="AN1305">
        <f>""</f>
      </c>
      <c r="AO1305" t="n">
        <v>0</v>
      </c>
      <c r="AP1305">
        <f>N(AP1304)+$AO1305</f>
        <v>13</v>
      </c>
      <c r="AR1305">
        <f>IF(OR($AF1305=1,$AH1305=1),1,0)</f>
        <v>0</v>
      </c>
      <c r="AS1305">
        <f>N(AS1304)+$AR1305</f>
        <v>10</v>
      </c>
    </row>
    <row r="1306" s="127">
      <c r="A1306" t="str">
        <f>IF(对接源_02物料!$C106="","",对接源_02物料!$C106)</f>
        <v>全修塑业</v>
      </c>
      <c r="B1306">
        <f>IF(A1306="",0,IF(MATCH(A1306,$A$4:$A$2403,0)=ROW()-3,1,0))</f>
        <v>0</v>
      </c>
      <c r="C1306">
        <f>N(C1305)+B1306</f>
        <v>25</v>
      </c>
      <c r="K1306">
        <f>IF(OR($K$1="",对接源_02物料!$C106="",对接源_02物料!$C106&lt;&gt;$K$1,对接源_02物料!$B106=""),0,IF(OR(N(对接源_02物料!$B106)&lt;$K$2,N(对接源_02物料!$B106)&gt;$K$3),0,1))</f>
        <v>0</v>
      </c>
      <c r="L1306">
        <f>IF(OR($L$1="",对接源_02物料!$C106="",对接源_02物料!$C106&lt;&gt;$L$1,对接源_02物料!$B106=""),0,IF(OR(N(对接源_02物料!$B106)&lt;$L$2,N(对接源_02物料!$B106)&gt;$L$3),0,1))</f>
        <v>0</v>
      </c>
      <c r="M1306">
        <f>IF(OR($M$1="",对接源_02物料!$C106="",对接源_02物料!$C106&lt;&gt;$M$1,对接源_02物料!$B106=""),0,IF(OR(N(对接源_02物料!$B106)&lt;$M$2,N(对接源_02物料!$B106)&gt;$M$3),0,1))</f>
        <v>0</v>
      </c>
      <c r="N1306">
        <f>IF(OR($N$1="",对接源_02物料!$C106="",对接源_02物料!$C106&lt;&gt;$N$1,对接源_02物料!$B106=""),0,IF(OR(N(对接源_02物料!$B106)&lt;$N$2,N(对接源_02物料!$B106)&gt;$N$3),0,1))</f>
        <v>0</v>
      </c>
      <c r="P1306">
        <f>IF(AND($K1306=1,AND(对接源_02物料!$X106="公司筐",N(对接源_02物料!$T106)&lt;&gt;0)),1,0)</f>
        <v>0</v>
      </c>
      <c r="Q1306">
        <f>N(Q1305)+$P1306</f>
        <v>1</v>
      </c>
      <c r="R1306">
        <f>IF(AND($K1306=1,AND(对接源_02物料!$X106="公司筐",N(对接源_02物料!$U106)&lt;&gt;0)),1,0)</f>
        <v>0</v>
      </c>
      <c r="S1306">
        <f>N(S1305)+$R1306</f>
        <v>0</v>
      </c>
      <c r="T1306">
        <f>IF(AND($K1306=1,AND(对接源_02物料!$X106="公司筐",N(对接源_02物料!$V106)&lt;&gt;0)),1,0)</f>
        <v>0</v>
      </c>
      <c r="U1306">
        <f>N(U1305)+$T1306</f>
        <v>47</v>
      </c>
      <c r="V1306">
        <f>IF(AND($L1306=1,AND(对接源_02物料!$X106="自备筐",N(对接源_02物料!$V106)&lt;&gt;0)),1,0)</f>
        <v>0</v>
      </c>
      <c r="W1306">
        <f>N(W1305)+$V1306</f>
        <v>11</v>
      </c>
      <c r="X1306">
        <f>IF(AND($L1306=1,AND(对接源_02物料!$X106="自备筐",N(对接源_02物料!$T106)&lt;&gt;0)),1,0)</f>
        <v>0</v>
      </c>
      <c r="Y1306">
        <f>N(Y1305)+$X1306</f>
        <v>0</v>
      </c>
      <c r="Z1306">
        <f>IF(AND($M1306=1,对接源_02物料!$D106="原料入库"),1,0)</f>
        <v>0</v>
      </c>
      <c r="AA1306">
        <f>N(AA1305)+$Z1306</f>
        <v>24</v>
      </c>
      <c r="AB1306">
        <f>IF(AND($M1306=1,LEFT(对接源_02物料!$D106,4)="原料出库"),1,0)</f>
        <v>0</v>
      </c>
      <c r="AC1306">
        <f>N(AC1305)+$AB1306</f>
        <v>0</v>
      </c>
      <c r="AD1306">
        <f>IF(AND($M1306=1,LEFT(对接源_02物料!$D106,4)="成品出库"),1,0)</f>
        <v>0</v>
      </c>
      <c r="AE1306">
        <f>N(AE1305)+$AD1306</f>
        <v>0</v>
      </c>
      <c r="AF1306">
        <f>IF(AND($N1306=1,AND(LEFT(对接源_02物料!$D106,4)="包装物料",N(对接源_02物料!$K106)&lt;&gt;0)),1,0)</f>
        <v>0</v>
      </c>
      <c r="AG1306">
        <f>N(AG1305)+$AF1306</f>
        <v>10</v>
      </c>
      <c r="AH1306">
        <f>IF(AND($N1306=1,AND(对接源_02物料!$D106="周转筐－销售出库",N(对接源_02物料!$K106)&lt;&gt;0)),1,0)</f>
        <v>0</v>
      </c>
      <c r="AI1306">
        <f>N(AI1305)+$AH1306</f>
        <v>0</v>
      </c>
      <c r="AL1306" t="n">
        <v>0</v>
      </c>
      <c r="AM1306">
        <f>N(AM1305)+$AL1306</f>
        <v>2</v>
      </c>
      <c r="AN1306">
        <f>""</f>
      </c>
      <c r="AO1306" t="n">
        <v>0</v>
      </c>
      <c r="AP1306">
        <f>N(AP1305)+$AO1306</f>
        <v>13</v>
      </c>
      <c r="AR1306">
        <f>IF(OR($AF1306=1,$AH1306=1),1,0)</f>
        <v>0</v>
      </c>
      <c r="AS1306">
        <f>N(AS1305)+$AR1306</f>
        <v>10</v>
      </c>
    </row>
    <row r="1307" s="127">
      <c r="A1307" t="str">
        <f>IF(对接源_02物料!$C107="","",对接源_02物料!$C107)</f>
        <v>荆建君</v>
      </c>
      <c r="B1307">
        <f>IF(A1307="",0,IF(MATCH(A1307,$A$4:$A$2403,0)=ROW()-3,1,0))</f>
        <v>0</v>
      </c>
      <c r="C1307">
        <f>N(C1306)+B1307</f>
        <v>25</v>
      </c>
      <c r="K1307">
        <f>IF(OR($K$1="",对接源_02物料!$C107="",对接源_02物料!$C107&lt;&gt;$K$1,对接源_02物料!$B107=""),0,IF(OR(N(对接源_02物料!$B107)&lt;$K$2,N(对接源_02物料!$B107)&gt;$K$3),0,1))</f>
        <v>0</v>
      </c>
      <c r="L1307">
        <f>IF(OR($L$1="",对接源_02物料!$C107="",对接源_02物料!$C107&lt;&gt;$L$1,对接源_02物料!$B107=""),0,IF(OR(N(对接源_02物料!$B107)&lt;$L$2,N(对接源_02物料!$B107)&gt;$L$3),0,1))</f>
        <v>0</v>
      </c>
      <c r="M1307">
        <f>IF(OR($M$1="",对接源_02物料!$C107="",对接源_02物料!$C107&lt;&gt;$M$1,对接源_02物料!$B107=""),0,IF(OR(N(对接源_02物料!$B107)&lt;$M$2,N(对接源_02物料!$B107)&gt;$M$3),0,1))</f>
        <v>0</v>
      </c>
      <c r="N1307">
        <f>IF(OR($N$1="",对接源_02物料!$C107="",对接源_02物料!$C107&lt;&gt;$N$1,对接源_02物料!$B107=""),0,IF(OR(N(对接源_02物料!$B107)&lt;$N$2,N(对接源_02物料!$B107)&gt;$N$3),0,1))</f>
        <v>0</v>
      </c>
      <c r="P1307">
        <f>IF(AND($K1307=1,AND(对接源_02物料!$X107="公司筐",N(对接源_02物料!$T107)&lt;&gt;0)),1,0)</f>
        <v>0</v>
      </c>
      <c r="Q1307">
        <f>N(Q1306)+$P1307</f>
        <v>1</v>
      </c>
      <c r="R1307">
        <f>IF(AND($K1307=1,AND(对接源_02物料!$X107="公司筐",N(对接源_02物料!$U107)&lt;&gt;0)),1,0)</f>
        <v>0</v>
      </c>
      <c r="S1307">
        <f>N(S1306)+$R1307</f>
        <v>0</v>
      </c>
      <c r="T1307">
        <f>IF(AND($K1307=1,AND(对接源_02物料!$X107="公司筐",N(对接源_02物料!$V107)&lt;&gt;0)),1,0)</f>
        <v>0</v>
      </c>
      <c r="U1307">
        <f>N(U1306)+$T1307</f>
        <v>47</v>
      </c>
      <c r="V1307">
        <f>IF(AND($L1307=1,AND(对接源_02物料!$X107="自备筐",N(对接源_02物料!$V107)&lt;&gt;0)),1,0)</f>
        <v>0</v>
      </c>
      <c r="W1307">
        <f>N(W1306)+$V1307</f>
        <v>11</v>
      </c>
      <c r="X1307">
        <f>IF(AND($L1307=1,AND(对接源_02物料!$X107="自备筐",N(对接源_02物料!$T107)&lt;&gt;0)),1,0)</f>
        <v>0</v>
      </c>
      <c r="Y1307">
        <f>N(Y1306)+$X1307</f>
        <v>0</v>
      </c>
      <c r="Z1307">
        <f>IF(AND($M1307=1,对接源_02物料!$D107="原料入库"),1,0)</f>
        <v>0</v>
      </c>
      <c r="AA1307">
        <f>N(AA1306)+$Z1307</f>
        <v>24</v>
      </c>
      <c r="AB1307">
        <f>IF(AND($M1307=1,LEFT(对接源_02物料!$D107,4)="原料出库"),1,0)</f>
        <v>0</v>
      </c>
      <c r="AC1307">
        <f>N(AC1306)+$AB1307</f>
        <v>0</v>
      </c>
      <c r="AD1307">
        <f>IF(AND($M1307=1,LEFT(对接源_02物料!$D107,4)="成品出库"),1,0)</f>
        <v>0</v>
      </c>
      <c r="AE1307">
        <f>N(AE1306)+$AD1307</f>
        <v>0</v>
      </c>
      <c r="AF1307">
        <f>IF(AND($N1307=1,AND(LEFT(对接源_02物料!$D107,4)="包装物料",N(对接源_02物料!$K107)&lt;&gt;0)),1,0)</f>
        <v>0</v>
      </c>
      <c r="AG1307">
        <f>N(AG1306)+$AF1307</f>
        <v>10</v>
      </c>
      <c r="AH1307">
        <f>IF(AND($N1307=1,AND(对接源_02物料!$D107="周转筐－销售出库",N(对接源_02物料!$K107)&lt;&gt;0)),1,0)</f>
        <v>0</v>
      </c>
      <c r="AI1307">
        <f>N(AI1306)+$AH1307</f>
        <v>0</v>
      </c>
      <c r="AL1307" t="n">
        <v>0</v>
      </c>
      <c r="AM1307">
        <f>N(AM1306)+$AL1307</f>
        <v>2</v>
      </c>
      <c r="AN1307">
        <f>""</f>
      </c>
      <c r="AO1307" t="n">
        <v>0</v>
      </c>
      <c r="AP1307">
        <f>N(AP1306)+$AO1307</f>
        <v>13</v>
      </c>
      <c r="AR1307">
        <f>IF(OR($AF1307=1,$AH1307=1),1,0)</f>
        <v>0</v>
      </c>
      <c r="AS1307">
        <f>N(AS1306)+$AR1307</f>
        <v>10</v>
      </c>
    </row>
    <row r="1308" s="127">
      <c r="A1308" t="str">
        <f>IF(对接源_02物料!$C108="","",对接源_02物料!$C108)</f>
        <v>王浩</v>
      </c>
      <c r="B1308">
        <f>IF(A1308="",0,IF(MATCH(A1308,$A$4:$A$2403,0)=ROW()-3,1,0))</f>
        <v>0</v>
      </c>
      <c r="C1308">
        <f>N(C1307)+B1308</f>
        <v>25</v>
      </c>
      <c r="K1308">
        <f>IF(OR($K$1="",对接源_02物料!$C108="",对接源_02物料!$C108&lt;&gt;$K$1,对接源_02物料!$B108=""),0,IF(OR(N(对接源_02物料!$B108)&lt;$K$2,N(对接源_02物料!$B108)&gt;$K$3),0,1))</f>
        <v>0</v>
      </c>
      <c r="L1308">
        <f>IF(OR($L$1="",对接源_02物料!$C108="",对接源_02物料!$C108&lt;&gt;$L$1,对接源_02物料!$B108=""),0,IF(OR(N(对接源_02物料!$B108)&lt;$L$2,N(对接源_02物料!$B108)&gt;$L$3),0,1))</f>
        <v>0</v>
      </c>
      <c r="M1308">
        <f>IF(OR($M$1="",对接源_02物料!$C108="",对接源_02物料!$C108&lt;&gt;$M$1,对接源_02物料!$B108=""),0,IF(OR(N(对接源_02物料!$B108)&lt;$M$2,N(对接源_02物料!$B108)&gt;$M$3),0,1))</f>
        <v>0</v>
      </c>
      <c r="N1308">
        <f>IF(OR($N$1="",对接源_02物料!$C108="",对接源_02物料!$C108&lt;&gt;$N$1,对接源_02物料!$B108=""),0,IF(OR(N(对接源_02物料!$B108)&lt;$N$2,N(对接源_02物料!$B108)&gt;$N$3),0,1))</f>
        <v>0</v>
      </c>
      <c r="P1308">
        <f>IF(AND($K1308=1,AND(对接源_02物料!$X108="公司筐",N(对接源_02物料!$T108)&lt;&gt;0)),1,0)</f>
        <v>0</v>
      </c>
      <c r="Q1308">
        <f>N(Q1307)+$P1308</f>
        <v>1</v>
      </c>
      <c r="R1308">
        <f>IF(AND($K1308=1,AND(对接源_02物料!$X108="公司筐",N(对接源_02物料!$U108)&lt;&gt;0)),1,0)</f>
        <v>0</v>
      </c>
      <c r="S1308">
        <f>N(S1307)+$R1308</f>
        <v>0</v>
      </c>
      <c r="T1308">
        <f>IF(AND($K1308=1,AND(对接源_02物料!$X108="公司筐",N(对接源_02物料!$V108)&lt;&gt;0)),1,0)</f>
        <v>0</v>
      </c>
      <c r="U1308">
        <f>N(U1307)+$T1308</f>
        <v>47</v>
      </c>
      <c r="V1308">
        <f>IF(AND($L1308=1,AND(对接源_02物料!$X108="自备筐",N(对接源_02物料!$V108)&lt;&gt;0)),1,0)</f>
        <v>0</v>
      </c>
      <c r="W1308">
        <f>N(W1307)+$V1308</f>
        <v>11</v>
      </c>
      <c r="X1308">
        <f>IF(AND($L1308=1,AND(对接源_02物料!$X108="自备筐",N(对接源_02物料!$T108)&lt;&gt;0)),1,0)</f>
        <v>0</v>
      </c>
      <c r="Y1308">
        <f>N(Y1307)+$X1308</f>
        <v>0</v>
      </c>
      <c r="Z1308">
        <f>IF(AND($M1308=1,对接源_02物料!$D108="原料入库"),1,0)</f>
        <v>0</v>
      </c>
      <c r="AA1308">
        <f>N(AA1307)+$Z1308</f>
        <v>24</v>
      </c>
      <c r="AB1308">
        <f>IF(AND($M1308=1,LEFT(对接源_02物料!$D108,4)="原料出库"),1,0)</f>
        <v>0</v>
      </c>
      <c r="AC1308">
        <f>N(AC1307)+$AB1308</f>
        <v>0</v>
      </c>
      <c r="AD1308">
        <f>IF(AND($M1308=1,LEFT(对接源_02物料!$D108,4)="成品出库"),1,0)</f>
        <v>0</v>
      </c>
      <c r="AE1308">
        <f>N(AE1307)+$AD1308</f>
        <v>0</v>
      </c>
      <c r="AF1308">
        <f>IF(AND($N1308=1,AND(LEFT(对接源_02物料!$D108,4)="包装物料",N(对接源_02物料!$K108)&lt;&gt;0)),1,0)</f>
        <v>0</v>
      </c>
      <c r="AG1308">
        <f>N(AG1307)+$AF1308</f>
        <v>10</v>
      </c>
      <c r="AH1308">
        <f>IF(AND($N1308=1,AND(对接源_02物料!$D108="周转筐－销售出库",N(对接源_02物料!$K108)&lt;&gt;0)),1,0)</f>
        <v>0</v>
      </c>
      <c r="AI1308">
        <f>N(AI1307)+$AH1308</f>
        <v>0</v>
      </c>
      <c r="AL1308" t="n">
        <v>0</v>
      </c>
      <c r="AM1308">
        <f>N(AM1307)+$AL1308</f>
        <v>2</v>
      </c>
      <c r="AN1308">
        <f>""</f>
      </c>
      <c r="AO1308" t="n">
        <v>0</v>
      </c>
      <c r="AP1308">
        <f>N(AP1307)+$AO1308</f>
        <v>13</v>
      </c>
      <c r="AR1308">
        <f>IF(OR($AF1308=1,$AH1308=1),1,0)</f>
        <v>0</v>
      </c>
      <c r="AS1308">
        <f>N(AS1307)+$AR1308</f>
        <v>10</v>
      </c>
    </row>
    <row r="1309" s="127">
      <c r="A1309" t="str">
        <f>IF(对接源_02物料!$C109="","",对接源_02物料!$C109)</f>
        <v>贾建国</v>
      </c>
      <c r="B1309">
        <f>IF(A1309="",0,IF(MATCH(A1309,$A$4:$A$2403,0)=ROW()-3,1,0))</f>
        <v>0</v>
      </c>
      <c r="C1309">
        <f>N(C1308)+B1309</f>
        <v>25</v>
      </c>
      <c r="K1309">
        <f>IF(OR($K$1="",对接源_02物料!$C109="",对接源_02物料!$C109&lt;&gt;$K$1,对接源_02物料!$B109=""),0,IF(OR(N(对接源_02物料!$B109)&lt;$K$2,N(对接源_02物料!$B109)&gt;$K$3),0,1))</f>
        <v>0</v>
      </c>
      <c r="L1309">
        <f>IF(OR($L$1="",对接源_02物料!$C109="",对接源_02物料!$C109&lt;&gt;$L$1,对接源_02物料!$B109=""),0,IF(OR(N(对接源_02物料!$B109)&lt;$L$2,N(对接源_02物料!$B109)&gt;$L$3),0,1))</f>
        <v>1</v>
      </c>
      <c r="M1309">
        <f>IF(OR($M$1="",对接源_02物料!$C109="",对接源_02物料!$C109&lt;&gt;$M$1,对接源_02物料!$B109=""),0,IF(OR(N(对接源_02物料!$B109)&lt;$M$2,N(对接源_02物料!$B109)&gt;$M$3),0,1))</f>
        <v>0</v>
      </c>
      <c r="N1309">
        <f>IF(OR($N$1="",对接源_02物料!$C109="",对接源_02物料!$C109&lt;&gt;$N$1,对接源_02物料!$B109=""),0,IF(OR(N(对接源_02物料!$B109)&lt;$N$2,N(对接源_02物料!$B109)&gt;$N$3),0,1))</f>
        <v>0</v>
      </c>
      <c r="P1309">
        <f>IF(AND($K1309=1,AND(对接源_02物料!$X109="公司筐",N(对接源_02物料!$T109)&lt;&gt;0)),1,0)</f>
        <v>0</v>
      </c>
      <c r="Q1309">
        <f>N(Q1308)+$P1309</f>
        <v>1</v>
      </c>
      <c r="R1309">
        <f>IF(AND($K1309=1,AND(对接源_02物料!$X109="公司筐",N(对接源_02物料!$U109)&lt;&gt;0)),1,0)</f>
        <v>0</v>
      </c>
      <c r="S1309">
        <f>N(S1308)+$R1309</f>
        <v>0</v>
      </c>
      <c r="T1309">
        <f>IF(AND($K1309=1,AND(对接源_02物料!$X109="公司筐",N(对接源_02物料!$V109)&lt;&gt;0)),1,0)</f>
        <v>0</v>
      </c>
      <c r="U1309">
        <f>N(U1308)+$T1309</f>
        <v>47</v>
      </c>
      <c r="V1309">
        <f>IF(AND($L1309=1,AND(对接源_02物料!$X109="自备筐",N(对接源_02物料!$V109)&lt;&gt;0)),1,0)</f>
        <v>0</v>
      </c>
      <c r="W1309">
        <f>N(W1308)+$V1309</f>
        <v>11</v>
      </c>
      <c r="X1309">
        <f>IF(AND($L1309=1,AND(对接源_02物料!$X109="自备筐",N(对接源_02物料!$T109)&lt;&gt;0)),1,0)</f>
        <v>0</v>
      </c>
      <c r="Y1309">
        <f>N(Y1308)+$X1309</f>
        <v>0</v>
      </c>
      <c r="Z1309">
        <f>IF(AND($M1309=1,对接源_02物料!$D109="原料入库"),1,0)</f>
        <v>0</v>
      </c>
      <c r="AA1309">
        <f>N(AA1308)+$Z1309</f>
        <v>24</v>
      </c>
      <c r="AB1309">
        <f>IF(AND($M1309=1,LEFT(对接源_02物料!$D109,4)="原料出库"),1,0)</f>
        <v>0</v>
      </c>
      <c r="AC1309">
        <f>N(AC1308)+$AB1309</f>
        <v>0</v>
      </c>
      <c r="AD1309">
        <f>IF(AND($M1309=1,LEFT(对接源_02物料!$D109,4)="成品出库"),1,0)</f>
        <v>0</v>
      </c>
      <c r="AE1309">
        <f>N(AE1308)+$AD1309</f>
        <v>0</v>
      </c>
      <c r="AF1309">
        <f>IF(AND($N1309=1,AND(LEFT(对接源_02物料!$D109,4)="包装物料",N(对接源_02物料!$K109)&lt;&gt;0)),1,0)</f>
        <v>0</v>
      </c>
      <c r="AG1309">
        <f>N(AG1308)+$AF1309</f>
        <v>10</v>
      </c>
      <c r="AH1309">
        <f>IF(AND($N1309=1,AND(对接源_02物料!$D109="周转筐－销售出库",N(对接源_02物料!$K109)&lt;&gt;0)),1,0)</f>
        <v>0</v>
      </c>
      <c r="AI1309">
        <f>N(AI1308)+$AH1309</f>
        <v>0</v>
      </c>
      <c r="AL1309" t="n">
        <v>0</v>
      </c>
      <c r="AM1309">
        <f>N(AM1308)+$AL1309</f>
        <v>2</v>
      </c>
      <c r="AN1309">
        <f>""</f>
      </c>
      <c r="AO1309" t="n">
        <v>0</v>
      </c>
      <c r="AP1309">
        <f>N(AP1308)+$AO1309</f>
        <v>13</v>
      </c>
      <c r="AR1309">
        <f>IF(OR($AF1309=1,$AH1309=1),1,0)</f>
        <v>0</v>
      </c>
      <c r="AS1309">
        <f>N(AS1308)+$AR1309</f>
        <v>10</v>
      </c>
    </row>
    <row r="1310" s="127">
      <c r="A1310" t="str">
        <f>IF(对接源_02物料!$C110="","",对接源_02物料!$C110)</f>
        <v>全修塑业</v>
      </c>
      <c r="B1310">
        <f>IF(A1310="",0,IF(MATCH(A1310,$A$4:$A$2403,0)=ROW()-3,1,0))</f>
        <v>0</v>
      </c>
      <c r="C1310">
        <f>N(C1309)+B1310</f>
        <v>25</v>
      </c>
      <c r="K1310">
        <f>IF(OR($K$1="",对接源_02物料!$C110="",对接源_02物料!$C110&lt;&gt;$K$1,对接源_02物料!$B110=""),0,IF(OR(N(对接源_02物料!$B110)&lt;$K$2,N(对接源_02物料!$B110)&gt;$K$3),0,1))</f>
        <v>0</v>
      </c>
      <c r="L1310">
        <f>IF(OR($L$1="",对接源_02物料!$C110="",对接源_02物料!$C110&lt;&gt;$L$1,对接源_02物料!$B110=""),0,IF(OR(N(对接源_02物料!$B110)&lt;$L$2,N(对接源_02物料!$B110)&gt;$L$3),0,1))</f>
        <v>0</v>
      </c>
      <c r="M1310">
        <f>IF(OR($M$1="",对接源_02物料!$C110="",对接源_02物料!$C110&lt;&gt;$M$1,对接源_02物料!$B110=""),0,IF(OR(N(对接源_02物料!$B110)&lt;$M$2,N(对接源_02物料!$B110)&gt;$M$3),0,1))</f>
        <v>0</v>
      </c>
      <c r="N1310">
        <f>IF(OR($N$1="",对接源_02物料!$C110="",对接源_02物料!$C110&lt;&gt;$N$1,对接源_02物料!$B110=""),0,IF(OR(N(对接源_02物料!$B110)&lt;$N$2,N(对接源_02物料!$B110)&gt;$N$3),0,1))</f>
        <v>0</v>
      </c>
      <c r="P1310">
        <f>IF(AND($K1310=1,AND(对接源_02物料!$X110="公司筐",N(对接源_02物料!$T110)&lt;&gt;0)),1,0)</f>
        <v>0</v>
      </c>
      <c r="Q1310">
        <f>N(Q1309)+$P1310</f>
        <v>1</v>
      </c>
      <c r="R1310">
        <f>IF(AND($K1310=1,AND(对接源_02物料!$X110="公司筐",N(对接源_02物料!$U110)&lt;&gt;0)),1,0)</f>
        <v>0</v>
      </c>
      <c r="S1310">
        <f>N(S1309)+$R1310</f>
        <v>0</v>
      </c>
      <c r="T1310">
        <f>IF(AND($K1310=1,AND(对接源_02物料!$X110="公司筐",N(对接源_02物料!$V110)&lt;&gt;0)),1,0)</f>
        <v>0</v>
      </c>
      <c r="U1310">
        <f>N(U1309)+$T1310</f>
        <v>47</v>
      </c>
      <c r="V1310">
        <f>IF(AND($L1310=1,AND(对接源_02物料!$X110="自备筐",N(对接源_02物料!$V110)&lt;&gt;0)),1,0)</f>
        <v>0</v>
      </c>
      <c r="W1310">
        <f>N(W1309)+$V1310</f>
        <v>11</v>
      </c>
      <c r="X1310">
        <f>IF(AND($L1310=1,AND(对接源_02物料!$X110="自备筐",N(对接源_02物料!$T110)&lt;&gt;0)),1,0)</f>
        <v>0</v>
      </c>
      <c r="Y1310">
        <f>N(Y1309)+$X1310</f>
        <v>0</v>
      </c>
      <c r="Z1310">
        <f>IF(AND($M1310=1,对接源_02物料!$D110="原料入库"),1,0)</f>
        <v>0</v>
      </c>
      <c r="AA1310">
        <f>N(AA1309)+$Z1310</f>
        <v>24</v>
      </c>
      <c r="AB1310">
        <f>IF(AND($M1310=1,LEFT(对接源_02物料!$D110,4)="原料出库"),1,0)</f>
        <v>0</v>
      </c>
      <c r="AC1310">
        <f>N(AC1309)+$AB1310</f>
        <v>0</v>
      </c>
      <c r="AD1310">
        <f>IF(AND($M1310=1,LEFT(对接源_02物料!$D110,4)="成品出库"),1,0)</f>
        <v>0</v>
      </c>
      <c r="AE1310">
        <f>N(AE1309)+$AD1310</f>
        <v>0</v>
      </c>
      <c r="AF1310">
        <f>IF(AND($N1310=1,AND(LEFT(对接源_02物料!$D110,4)="包装物料",N(对接源_02物料!$K110)&lt;&gt;0)),1,0)</f>
        <v>0</v>
      </c>
      <c r="AG1310">
        <f>N(AG1309)+$AF1310</f>
        <v>10</v>
      </c>
      <c r="AH1310">
        <f>IF(AND($N1310=1,AND(对接源_02物料!$D110="周转筐－销售出库",N(对接源_02物料!$K110)&lt;&gt;0)),1,0)</f>
        <v>0</v>
      </c>
      <c r="AI1310">
        <f>N(AI1309)+$AH1310</f>
        <v>0</v>
      </c>
      <c r="AL1310" t="n">
        <v>0</v>
      </c>
      <c r="AM1310">
        <f>N(AM1309)+$AL1310</f>
        <v>2</v>
      </c>
      <c r="AN1310">
        <f>""</f>
      </c>
      <c r="AO1310" t="n">
        <v>0</v>
      </c>
      <c r="AP1310">
        <f>N(AP1309)+$AO1310</f>
        <v>13</v>
      </c>
      <c r="AR1310">
        <f>IF(OR($AF1310=1,$AH1310=1),1,0)</f>
        <v>0</v>
      </c>
      <c r="AS1310">
        <f>N(AS1309)+$AR1310</f>
        <v>10</v>
      </c>
    </row>
    <row r="1311" s="127">
      <c r="A1311" t="str">
        <f>IF(对接源_02物料!$C111="","",对接源_02物料!$C111)</f>
        <v>麦麦提</v>
      </c>
      <c r="B1311">
        <f>IF(A1311="",0,IF(MATCH(A1311,$A$4:$A$2403,0)=ROW()-3,1,0))</f>
        <v>0</v>
      </c>
      <c r="C1311">
        <f>N(C1310)+B1311</f>
        <v>25</v>
      </c>
      <c r="K1311">
        <f>IF(OR($K$1="",对接源_02物料!$C111="",对接源_02物料!$C111&lt;&gt;$K$1,对接源_02物料!$B111=""),0,IF(OR(N(对接源_02物料!$B111)&lt;$K$2,N(对接源_02物料!$B111)&gt;$K$3),0,1))</f>
        <v>0</v>
      </c>
      <c r="L1311">
        <f>IF(OR($L$1="",对接源_02物料!$C111="",对接源_02物料!$C111&lt;&gt;$L$1,对接源_02物料!$B111=""),0,IF(OR(N(对接源_02物料!$B111)&lt;$L$2,N(对接源_02物料!$B111)&gt;$L$3),0,1))</f>
        <v>0</v>
      </c>
      <c r="M1311">
        <f>IF(OR($M$1="",对接源_02物料!$C111="",对接源_02物料!$C111&lt;&gt;$M$1,对接源_02物料!$B111=""),0,IF(OR(N(对接源_02物料!$B111)&lt;$M$2,N(对接源_02物料!$B111)&gt;$M$3),0,1))</f>
        <v>0</v>
      </c>
      <c r="N1311">
        <f>IF(OR($N$1="",对接源_02物料!$C111="",对接源_02物料!$C111&lt;&gt;$N$1,对接源_02物料!$B111=""),0,IF(OR(N(对接源_02物料!$B111)&lt;$N$2,N(对接源_02物料!$B111)&gt;$N$3),0,1))</f>
        <v>1</v>
      </c>
      <c r="P1311">
        <f>IF(AND($K1311=1,AND(对接源_02物料!$X111="公司筐",N(对接源_02物料!$T111)&lt;&gt;0)),1,0)</f>
        <v>0</v>
      </c>
      <c r="Q1311">
        <f>N(Q1310)+$P1311</f>
        <v>1</v>
      </c>
      <c r="R1311">
        <f>IF(AND($K1311=1,AND(对接源_02物料!$X111="公司筐",N(对接源_02物料!$U111)&lt;&gt;0)),1,0)</f>
        <v>0</v>
      </c>
      <c r="S1311">
        <f>N(S1310)+$R1311</f>
        <v>0</v>
      </c>
      <c r="T1311">
        <f>IF(AND($K1311=1,AND(对接源_02物料!$X111="公司筐",N(对接源_02物料!$V111)&lt;&gt;0)),1,0)</f>
        <v>0</v>
      </c>
      <c r="U1311">
        <f>N(U1310)+$T1311</f>
        <v>47</v>
      </c>
      <c r="V1311">
        <f>IF(AND($L1311=1,AND(对接源_02物料!$X111="自备筐",N(对接源_02物料!$V111)&lt;&gt;0)),1,0)</f>
        <v>0</v>
      </c>
      <c r="W1311">
        <f>N(W1310)+$V1311</f>
        <v>11</v>
      </c>
      <c r="X1311">
        <f>IF(AND($L1311=1,AND(对接源_02物料!$X111="自备筐",N(对接源_02物料!$T111)&lt;&gt;0)),1,0)</f>
        <v>0</v>
      </c>
      <c r="Y1311">
        <f>N(Y1310)+$X1311</f>
        <v>0</v>
      </c>
      <c r="Z1311">
        <f>IF(AND($M1311=1,对接源_02物料!$D111="原料入库"),1,0)</f>
        <v>0</v>
      </c>
      <c r="AA1311">
        <f>N(AA1310)+$Z1311</f>
        <v>24</v>
      </c>
      <c r="AB1311">
        <f>IF(AND($M1311=1,LEFT(对接源_02物料!$D111,4)="原料出库"),1,0)</f>
        <v>0</v>
      </c>
      <c r="AC1311">
        <f>N(AC1310)+$AB1311</f>
        <v>0</v>
      </c>
      <c r="AD1311">
        <f>IF(AND($M1311=1,LEFT(对接源_02物料!$D111,4)="成品出库"),1,0)</f>
        <v>0</v>
      </c>
      <c r="AE1311">
        <f>N(AE1310)+$AD1311</f>
        <v>0</v>
      </c>
      <c r="AF1311">
        <f>IF(AND($N1311=1,AND(LEFT(对接源_02物料!$D111,4)="包装物料",N(对接源_02物料!$K111)&lt;&gt;0)),1,0)</f>
        <v>0</v>
      </c>
      <c r="AG1311">
        <f>N(AG1310)+$AF1311</f>
        <v>10</v>
      </c>
      <c r="AH1311">
        <f>IF(AND($N1311=1,AND(对接源_02物料!$D111="周转筐－销售出库",N(对接源_02物料!$K111)&lt;&gt;0)),1,0)</f>
        <v>0</v>
      </c>
      <c r="AI1311">
        <f>N(AI1310)+$AH1311</f>
        <v>0</v>
      </c>
      <c r="AL1311" t="n">
        <v>0</v>
      </c>
      <c r="AM1311">
        <f>N(AM1310)+$AL1311</f>
        <v>2</v>
      </c>
      <c r="AN1311">
        <f>""</f>
      </c>
      <c r="AO1311" t="n">
        <v>0</v>
      </c>
      <c r="AP1311">
        <f>N(AP1310)+$AO1311</f>
        <v>13</v>
      </c>
      <c r="AR1311">
        <f>IF(OR($AF1311=1,$AH1311=1),1,0)</f>
        <v>0</v>
      </c>
      <c r="AS1311">
        <f>N(AS1310)+$AR1311</f>
        <v>10</v>
      </c>
    </row>
    <row r="1312" s="127">
      <c r="A1312" t="str">
        <f>IF(对接源_02物料!$C112="","",对接源_02物料!$C112)</f>
        <v>全修塑业</v>
      </c>
      <c r="B1312">
        <f>IF(A1312="",0,IF(MATCH(A1312,$A$4:$A$2403,0)=ROW()-3,1,0))</f>
        <v>0</v>
      </c>
      <c r="C1312">
        <f>N(C1311)+B1312</f>
        <v>25</v>
      </c>
      <c r="K1312">
        <f>IF(OR($K$1="",对接源_02物料!$C112="",对接源_02物料!$C112&lt;&gt;$K$1,对接源_02物料!$B112=""),0,IF(OR(N(对接源_02物料!$B112)&lt;$K$2,N(对接源_02物料!$B112)&gt;$K$3),0,1))</f>
        <v>0</v>
      </c>
      <c r="L1312">
        <f>IF(OR($L$1="",对接源_02物料!$C112="",对接源_02物料!$C112&lt;&gt;$L$1,对接源_02物料!$B112=""),0,IF(OR(N(对接源_02物料!$B112)&lt;$L$2,N(对接源_02物料!$B112)&gt;$L$3),0,1))</f>
        <v>0</v>
      </c>
      <c r="M1312">
        <f>IF(OR($M$1="",对接源_02物料!$C112="",对接源_02物料!$C112&lt;&gt;$M$1,对接源_02物料!$B112=""),0,IF(OR(N(对接源_02物料!$B112)&lt;$M$2,N(对接源_02物料!$B112)&gt;$M$3),0,1))</f>
        <v>0</v>
      </c>
      <c r="N1312">
        <f>IF(OR($N$1="",对接源_02物料!$C112="",对接源_02物料!$C112&lt;&gt;$N$1,对接源_02物料!$B112=""),0,IF(OR(N(对接源_02物料!$B112)&lt;$N$2,N(对接源_02物料!$B112)&gt;$N$3),0,1))</f>
        <v>0</v>
      </c>
      <c r="P1312">
        <f>IF(AND($K1312=1,AND(对接源_02物料!$X112="公司筐",N(对接源_02物料!$T112)&lt;&gt;0)),1,0)</f>
        <v>0</v>
      </c>
      <c r="Q1312">
        <f>N(Q1311)+$P1312</f>
        <v>1</v>
      </c>
      <c r="R1312">
        <f>IF(AND($K1312=1,AND(对接源_02物料!$X112="公司筐",N(对接源_02物料!$U112)&lt;&gt;0)),1,0)</f>
        <v>0</v>
      </c>
      <c r="S1312">
        <f>N(S1311)+$R1312</f>
        <v>0</v>
      </c>
      <c r="T1312">
        <f>IF(AND($K1312=1,AND(对接源_02物料!$X112="公司筐",N(对接源_02物料!$V112)&lt;&gt;0)),1,0)</f>
        <v>0</v>
      </c>
      <c r="U1312">
        <f>N(U1311)+$T1312</f>
        <v>47</v>
      </c>
      <c r="V1312">
        <f>IF(AND($L1312=1,AND(对接源_02物料!$X112="自备筐",N(对接源_02物料!$V112)&lt;&gt;0)),1,0)</f>
        <v>0</v>
      </c>
      <c r="W1312">
        <f>N(W1311)+$V1312</f>
        <v>11</v>
      </c>
      <c r="X1312">
        <f>IF(AND($L1312=1,AND(对接源_02物料!$X112="自备筐",N(对接源_02物料!$T112)&lt;&gt;0)),1,0)</f>
        <v>0</v>
      </c>
      <c r="Y1312">
        <f>N(Y1311)+$X1312</f>
        <v>0</v>
      </c>
      <c r="Z1312">
        <f>IF(AND($M1312=1,对接源_02物料!$D112="原料入库"),1,0)</f>
        <v>0</v>
      </c>
      <c r="AA1312">
        <f>N(AA1311)+$Z1312</f>
        <v>24</v>
      </c>
      <c r="AB1312">
        <f>IF(AND($M1312=1,LEFT(对接源_02物料!$D112,4)="原料出库"),1,0)</f>
        <v>0</v>
      </c>
      <c r="AC1312">
        <f>N(AC1311)+$AB1312</f>
        <v>0</v>
      </c>
      <c r="AD1312">
        <f>IF(AND($M1312=1,LEFT(对接源_02物料!$D112,4)="成品出库"),1,0)</f>
        <v>0</v>
      </c>
      <c r="AE1312">
        <f>N(AE1311)+$AD1312</f>
        <v>0</v>
      </c>
      <c r="AF1312">
        <f>IF(AND($N1312=1,AND(LEFT(对接源_02物料!$D112,4)="包装物料",N(对接源_02物料!$K112)&lt;&gt;0)),1,0)</f>
        <v>0</v>
      </c>
      <c r="AG1312">
        <f>N(AG1311)+$AF1312</f>
        <v>10</v>
      </c>
      <c r="AH1312">
        <f>IF(AND($N1312=1,AND(对接源_02物料!$D112="周转筐－销售出库",N(对接源_02物料!$K112)&lt;&gt;0)),1,0)</f>
        <v>0</v>
      </c>
      <c r="AI1312">
        <f>N(AI1311)+$AH1312</f>
        <v>0</v>
      </c>
      <c r="AL1312" t="n">
        <v>0</v>
      </c>
      <c r="AM1312">
        <f>N(AM1311)+$AL1312</f>
        <v>2</v>
      </c>
      <c r="AN1312">
        <f>""</f>
      </c>
      <c r="AO1312" t="n">
        <v>0</v>
      </c>
      <c r="AP1312">
        <f>N(AP1311)+$AO1312</f>
        <v>13</v>
      </c>
      <c r="AR1312">
        <f>IF(OR($AF1312=1,$AH1312=1),1,0)</f>
        <v>0</v>
      </c>
      <c r="AS1312">
        <f>N(AS1311)+$AR1312</f>
        <v>10</v>
      </c>
    </row>
    <row r="1313" s="127">
      <c r="A1313" t="str">
        <f>IF(对接源_02物料!$C113="","",对接源_02物料!$C113)</f>
        <v>马锦祥</v>
      </c>
      <c r="B1313">
        <f>IF(A1313="",0,IF(MATCH(A1313,$A$4:$A$2403,0)=ROW()-3,1,0))</f>
        <v>0</v>
      </c>
      <c r="C1313">
        <f>N(C1312)+B1313</f>
        <v>25</v>
      </c>
      <c r="K1313">
        <f>IF(OR($K$1="",对接源_02物料!$C113="",对接源_02物料!$C113&lt;&gt;$K$1,对接源_02物料!$B113=""),0,IF(OR(N(对接源_02物料!$B113)&lt;$K$2,N(对接源_02物料!$B113)&gt;$K$3),0,1))</f>
        <v>0</v>
      </c>
      <c r="L1313">
        <f>IF(OR($L$1="",对接源_02物料!$C113="",对接源_02物料!$C113&lt;&gt;$L$1,对接源_02物料!$B113=""),0,IF(OR(N(对接源_02物料!$B113)&lt;$L$2,N(对接源_02物料!$B113)&gt;$L$3),0,1))</f>
        <v>0</v>
      </c>
      <c r="M1313">
        <f>IF(OR($M$1="",对接源_02物料!$C113="",对接源_02物料!$C113&lt;&gt;$M$1,对接源_02物料!$B113=""),0,IF(OR(N(对接源_02物料!$B113)&lt;$M$2,N(对接源_02物料!$B113)&gt;$M$3),0,1))</f>
        <v>0</v>
      </c>
      <c r="N1313">
        <f>IF(OR($N$1="",对接源_02物料!$C113="",对接源_02物料!$C113&lt;&gt;$N$1,对接源_02物料!$B113=""),0,IF(OR(N(对接源_02物料!$B113)&lt;$N$2,N(对接源_02物料!$B113)&gt;$N$3),0,1))</f>
        <v>0</v>
      </c>
      <c r="P1313">
        <f>IF(AND($K1313=1,AND(对接源_02物料!$X113="公司筐",N(对接源_02物料!$T113)&lt;&gt;0)),1,0)</f>
        <v>0</v>
      </c>
      <c r="Q1313">
        <f>N(Q1312)+$P1313</f>
        <v>1</v>
      </c>
      <c r="R1313">
        <f>IF(AND($K1313=1,AND(对接源_02物料!$X113="公司筐",N(对接源_02物料!$U113)&lt;&gt;0)),1,0)</f>
        <v>0</v>
      </c>
      <c r="S1313">
        <f>N(S1312)+$R1313</f>
        <v>0</v>
      </c>
      <c r="T1313">
        <f>IF(AND($K1313=1,AND(对接源_02物料!$X113="公司筐",N(对接源_02物料!$V113)&lt;&gt;0)),1,0)</f>
        <v>0</v>
      </c>
      <c r="U1313">
        <f>N(U1312)+$T1313</f>
        <v>47</v>
      </c>
      <c r="V1313">
        <f>IF(AND($L1313=1,AND(对接源_02物料!$X113="自备筐",N(对接源_02物料!$V113)&lt;&gt;0)),1,0)</f>
        <v>0</v>
      </c>
      <c r="W1313">
        <f>N(W1312)+$V1313</f>
        <v>11</v>
      </c>
      <c r="X1313">
        <f>IF(AND($L1313=1,AND(对接源_02物料!$X113="自备筐",N(对接源_02物料!$T113)&lt;&gt;0)),1,0)</f>
        <v>0</v>
      </c>
      <c r="Y1313">
        <f>N(Y1312)+$X1313</f>
        <v>0</v>
      </c>
      <c r="Z1313">
        <f>IF(AND($M1313=1,对接源_02物料!$D113="原料入库"),1,0)</f>
        <v>0</v>
      </c>
      <c r="AA1313">
        <f>N(AA1312)+$Z1313</f>
        <v>24</v>
      </c>
      <c r="AB1313">
        <f>IF(AND($M1313=1,LEFT(对接源_02物料!$D113,4)="原料出库"),1,0)</f>
        <v>0</v>
      </c>
      <c r="AC1313">
        <f>N(AC1312)+$AB1313</f>
        <v>0</v>
      </c>
      <c r="AD1313">
        <f>IF(AND($M1313=1,LEFT(对接源_02物料!$D113,4)="成品出库"),1,0)</f>
        <v>0</v>
      </c>
      <c r="AE1313">
        <f>N(AE1312)+$AD1313</f>
        <v>0</v>
      </c>
      <c r="AF1313">
        <f>IF(AND($N1313=1,AND(LEFT(对接源_02物料!$D113,4)="包装物料",N(对接源_02物料!$K113)&lt;&gt;0)),1,0)</f>
        <v>0</v>
      </c>
      <c r="AG1313">
        <f>N(AG1312)+$AF1313</f>
        <v>10</v>
      </c>
      <c r="AH1313">
        <f>IF(AND($N1313=1,AND(对接源_02物料!$D113="周转筐－销售出库",N(对接源_02物料!$K113)&lt;&gt;0)),1,0)</f>
        <v>0</v>
      </c>
      <c r="AI1313">
        <f>N(AI1312)+$AH1313</f>
        <v>0</v>
      </c>
      <c r="AL1313" t="n">
        <v>0</v>
      </c>
      <c r="AM1313">
        <f>N(AM1312)+$AL1313</f>
        <v>2</v>
      </c>
      <c r="AN1313">
        <f>""</f>
      </c>
      <c r="AO1313" t="n">
        <v>0</v>
      </c>
      <c r="AP1313">
        <f>N(AP1312)+$AO1313</f>
        <v>13</v>
      </c>
      <c r="AR1313">
        <f>IF(OR($AF1313=1,$AH1313=1),1,0)</f>
        <v>0</v>
      </c>
      <c r="AS1313">
        <f>N(AS1312)+$AR1313</f>
        <v>10</v>
      </c>
    </row>
    <row r="1314" s="127">
      <c r="A1314" t="str">
        <f>IF(对接源_02物料!$C114="","",对接源_02物料!$C114)</f>
        <v>贾建国</v>
      </c>
      <c r="B1314">
        <f>IF(A1314="",0,IF(MATCH(A1314,$A$4:$A$2403,0)=ROW()-3,1,0))</f>
        <v>0</v>
      </c>
      <c r="C1314">
        <f>N(C1313)+B1314</f>
        <v>25</v>
      </c>
      <c r="K1314">
        <f>IF(OR($K$1="",对接源_02物料!$C114="",对接源_02物料!$C114&lt;&gt;$K$1,对接源_02物料!$B114=""),0,IF(OR(N(对接源_02物料!$B114)&lt;$K$2,N(对接源_02物料!$B114)&gt;$K$3),0,1))</f>
        <v>0</v>
      </c>
      <c r="L1314">
        <f>IF(OR($L$1="",对接源_02物料!$C114="",对接源_02物料!$C114&lt;&gt;$L$1,对接源_02物料!$B114=""),0,IF(OR(N(对接源_02物料!$B114)&lt;$L$2,N(对接源_02物料!$B114)&gt;$L$3),0,1))</f>
        <v>1</v>
      </c>
      <c r="M1314">
        <f>IF(OR($M$1="",对接源_02物料!$C114="",对接源_02物料!$C114&lt;&gt;$M$1,对接源_02物料!$B114=""),0,IF(OR(N(对接源_02物料!$B114)&lt;$M$2,N(对接源_02物料!$B114)&gt;$M$3),0,1))</f>
        <v>0</v>
      </c>
      <c r="N1314">
        <f>IF(OR($N$1="",对接源_02物料!$C114="",对接源_02物料!$C114&lt;&gt;$N$1,对接源_02物料!$B114=""),0,IF(OR(N(对接源_02物料!$B114)&lt;$N$2,N(对接源_02物料!$B114)&gt;$N$3),0,1))</f>
        <v>0</v>
      </c>
      <c r="P1314">
        <f>IF(AND($K1314=1,AND(对接源_02物料!$X114="公司筐",N(对接源_02物料!$T114)&lt;&gt;0)),1,0)</f>
        <v>0</v>
      </c>
      <c r="Q1314">
        <f>N(Q1313)+$P1314</f>
        <v>1</v>
      </c>
      <c r="R1314">
        <f>IF(AND($K1314=1,AND(对接源_02物料!$X114="公司筐",N(对接源_02物料!$U114)&lt;&gt;0)),1,0)</f>
        <v>0</v>
      </c>
      <c r="S1314">
        <f>N(S1313)+$R1314</f>
        <v>0</v>
      </c>
      <c r="T1314">
        <f>IF(AND($K1314=1,AND(对接源_02物料!$X114="公司筐",N(对接源_02物料!$V114)&lt;&gt;0)),1,0)</f>
        <v>0</v>
      </c>
      <c r="U1314">
        <f>N(U1313)+$T1314</f>
        <v>47</v>
      </c>
      <c r="V1314">
        <f>IF(AND($L1314=1,AND(对接源_02物料!$X114="自备筐",N(对接源_02物料!$V114)&lt;&gt;0)),1,0)</f>
        <v>0</v>
      </c>
      <c r="W1314">
        <f>N(W1313)+$V1314</f>
        <v>11</v>
      </c>
      <c r="X1314">
        <f>IF(AND($L1314=1,AND(对接源_02物料!$X114="自备筐",N(对接源_02物料!$T114)&lt;&gt;0)),1,0)</f>
        <v>0</v>
      </c>
      <c r="Y1314">
        <f>N(Y1313)+$X1314</f>
        <v>0</v>
      </c>
      <c r="Z1314">
        <f>IF(AND($M1314=1,对接源_02物料!$D114="原料入库"),1,0)</f>
        <v>0</v>
      </c>
      <c r="AA1314">
        <f>N(AA1313)+$Z1314</f>
        <v>24</v>
      </c>
      <c r="AB1314">
        <f>IF(AND($M1314=1,LEFT(对接源_02物料!$D114,4)="原料出库"),1,0)</f>
        <v>0</v>
      </c>
      <c r="AC1314">
        <f>N(AC1313)+$AB1314</f>
        <v>0</v>
      </c>
      <c r="AD1314">
        <f>IF(AND($M1314=1,LEFT(对接源_02物料!$D114,4)="成品出库"),1,0)</f>
        <v>0</v>
      </c>
      <c r="AE1314">
        <f>N(AE1313)+$AD1314</f>
        <v>0</v>
      </c>
      <c r="AF1314">
        <f>IF(AND($N1314=1,AND(LEFT(对接源_02物料!$D114,4)="包装物料",N(对接源_02物料!$K114)&lt;&gt;0)),1,0)</f>
        <v>0</v>
      </c>
      <c r="AG1314">
        <f>N(AG1313)+$AF1314</f>
        <v>10</v>
      </c>
      <c r="AH1314">
        <f>IF(AND($N1314=1,AND(对接源_02物料!$D114="周转筐－销售出库",N(对接源_02物料!$K114)&lt;&gt;0)),1,0)</f>
        <v>0</v>
      </c>
      <c r="AI1314">
        <f>N(AI1313)+$AH1314</f>
        <v>0</v>
      </c>
      <c r="AL1314" t="n">
        <v>0</v>
      </c>
      <c r="AM1314">
        <f>N(AM1313)+$AL1314</f>
        <v>2</v>
      </c>
      <c r="AN1314">
        <f>""</f>
      </c>
      <c r="AO1314" t="n">
        <v>0</v>
      </c>
      <c r="AP1314">
        <f>N(AP1313)+$AO1314</f>
        <v>13</v>
      </c>
      <c r="AR1314">
        <f>IF(OR($AF1314=1,$AH1314=1),1,0)</f>
        <v>0</v>
      </c>
      <c r="AS1314">
        <f>N(AS1313)+$AR1314</f>
        <v>10</v>
      </c>
    </row>
    <row r="1315" s="127">
      <c r="A1315" t="str">
        <f>IF(对接源_02物料!$C115="","",对接源_02物料!$C115)</f>
        <v>热合曼</v>
      </c>
      <c r="B1315">
        <f>IF(A1315="",0,IF(MATCH(A1315,$A$4:$A$2403,0)=ROW()-3,1,0))</f>
        <v>0</v>
      </c>
      <c r="C1315">
        <f>N(C1314)+B1315</f>
        <v>25</v>
      </c>
      <c r="K1315">
        <f>IF(OR($K$1="",对接源_02物料!$C115="",对接源_02物料!$C115&lt;&gt;$K$1,对接源_02物料!$B115=""),0,IF(OR(N(对接源_02物料!$B115)&lt;$K$2,N(对接源_02物料!$B115)&gt;$K$3),0,1))</f>
        <v>0</v>
      </c>
      <c r="L1315">
        <f>IF(OR($L$1="",对接源_02物料!$C115="",对接源_02物料!$C115&lt;&gt;$L$1,对接源_02物料!$B115=""),0,IF(OR(N(对接源_02物料!$B115)&lt;$L$2,N(对接源_02物料!$B115)&gt;$L$3),0,1))</f>
        <v>0</v>
      </c>
      <c r="M1315">
        <f>IF(OR($M$1="",对接源_02物料!$C115="",对接源_02物料!$C115&lt;&gt;$M$1,对接源_02物料!$B115=""),0,IF(OR(N(对接源_02物料!$B115)&lt;$M$2,N(对接源_02物料!$B115)&gt;$M$3),0,1))</f>
        <v>0</v>
      </c>
      <c r="N1315">
        <f>IF(OR($N$1="",对接源_02物料!$C115="",对接源_02物料!$C115&lt;&gt;$N$1,对接源_02物料!$B115=""),0,IF(OR(N(对接源_02物料!$B115)&lt;$N$2,N(对接源_02物料!$B115)&gt;$N$3),0,1))</f>
        <v>0</v>
      </c>
      <c r="P1315">
        <f>IF(AND($K1315=1,AND(对接源_02物料!$X115="公司筐",N(对接源_02物料!$T115)&lt;&gt;0)),1,0)</f>
        <v>0</v>
      </c>
      <c r="Q1315">
        <f>N(Q1314)+$P1315</f>
        <v>1</v>
      </c>
      <c r="R1315">
        <f>IF(AND($K1315=1,AND(对接源_02物料!$X115="公司筐",N(对接源_02物料!$U115)&lt;&gt;0)),1,0)</f>
        <v>0</v>
      </c>
      <c r="S1315">
        <f>N(S1314)+$R1315</f>
        <v>0</v>
      </c>
      <c r="T1315">
        <f>IF(AND($K1315=1,AND(对接源_02物料!$X115="公司筐",N(对接源_02物料!$V115)&lt;&gt;0)),1,0)</f>
        <v>0</v>
      </c>
      <c r="U1315">
        <f>N(U1314)+$T1315</f>
        <v>47</v>
      </c>
      <c r="V1315">
        <f>IF(AND($L1315=1,AND(对接源_02物料!$X115="自备筐",N(对接源_02物料!$V115)&lt;&gt;0)),1,0)</f>
        <v>0</v>
      </c>
      <c r="W1315">
        <f>N(W1314)+$V1315</f>
        <v>11</v>
      </c>
      <c r="X1315">
        <f>IF(AND($L1315=1,AND(对接源_02物料!$X115="自备筐",N(对接源_02物料!$T115)&lt;&gt;0)),1,0)</f>
        <v>0</v>
      </c>
      <c r="Y1315">
        <f>N(Y1314)+$X1315</f>
        <v>0</v>
      </c>
      <c r="Z1315">
        <f>IF(AND($M1315=1,对接源_02物料!$D115="原料入库"),1,0)</f>
        <v>0</v>
      </c>
      <c r="AA1315">
        <f>N(AA1314)+$Z1315</f>
        <v>24</v>
      </c>
      <c r="AB1315">
        <f>IF(AND($M1315=1,LEFT(对接源_02物料!$D115,4)="原料出库"),1,0)</f>
        <v>0</v>
      </c>
      <c r="AC1315">
        <f>N(AC1314)+$AB1315</f>
        <v>0</v>
      </c>
      <c r="AD1315">
        <f>IF(AND($M1315=1,LEFT(对接源_02物料!$D115,4)="成品出库"),1,0)</f>
        <v>0</v>
      </c>
      <c r="AE1315">
        <f>N(AE1314)+$AD1315</f>
        <v>0</v>
      </c>
      <c r="AF1315">
        <f>IF(AND($N1315=1,AND(LEFT(对接源_02物料!$D115,4)="包装物料",N(对接源_02物料!$K115)&lt;&gt;0)),1,0)</f>
        <v>0</v>
      </c>
      <c r="AG1315">
        <f>N(AG1314)+$AF1315</f>
        <v>10</v>
      </c>
      <c r="AH1315">
        <f>IF(AND($N1315=1,AND(对接源_02物料!$D115="周转筐－销售出库",N(对接源_02物料!$K115)&lt;&gt;0)),1,0)</f>
        <v>0</v>
      </c>
      <c r="AI1315">
        <f>N(AI1314)+$AH1315</f>
        <v>0</v>
      </c>
      <c r="AL1315" t="n">
        <v>0</v>
      </c>
      <c r="AM1315">
        <f>N(AM1314)+$AL1315</f>
        <v>2</v>
      </c>
      <c r="AN1315">
        <f>""</f>
      </c>
      <c r="AO1315" t="n">
        <v>0</v>
      </c>
      <c r="AP1315">
        <f>N(AP1314)+$AO1315</f>
        <v>13</v>
      </c>
      <c r="AR1315">
        <f>IF(OR($AF1315=1,$AH1315=1),1,0)</f>
        <v>0</v>
      </c>
      <c r="AS1315">
        <f>N(AS1314)+$AR1315</f>
        <v>10</v>
      </c>
    </row>
    <row r="1316" s="127">
      <c r="A1316" t="str">
        <f>IF(对接源_02物料!$C116="","",对接源_02物料!$C116)</f>
        <v>王照雪</v>
      </c>
      <c r="B1316">
        <f>IF(A1316="",0,IF(MATCH(A1316,$A$4:$A$2403,0)=ROW()-3,1,0))</f>
        <v>0</v>
      </c>
      <c r="C1316">
        <f>N(C1315)+B1316</f>
        <v>25</v>
      </c>
      <c r="K1316">
        <f>IF(OR($K$1="",对接源_02物料!$C116="",对接源_02物料!$C116&lt;&gt;$K$1,对接源_02物料!$B116=""),0,IF(OR(N(对接源_02物料!$B116)&lt;$K$2,N(对接源_02物料!$B116)&gt;$K$3),0,1))</f>
        <v>0</v>
      </c>
      <c r="L1316">
        <f>IF(OR($L$1="",对接源_02物料!$C116="",对接源_02物料!$C116&lt;&gt;$L$1,对接源_02物料!$B116=""),0,IF(OR(N(对接源_02物料!$B116)&lt;$L$2,N(对接源_02物料!$B116)&gt;$L$3),0,1))</f>
        <v>0</v>
      </c>
      <c r="M1316">
        <f>IF(OR($M$1="",对接源_02物料!$C116="",对接源_02物料!$C116&lt;&gt;$M$1,对接源_02物料!$B116=""),0,IF(OR(N(对接源_02物料!$B116)&lt;$M$2,N(对接源_02物料!$B116)&gt;$M$3),0,1))</f>
        <v>0</v>
      </c>
      <c r="N1316">
        <f>IF(OR($N$1="",对接源_02物料!$C116="",对接源_02物料!$C116&lt;&gt;$N$1,对接源_02物料!$B116=""),0,IF(OR(N(对接源_02物料!$B116)&lt;$N$2,N(对接源_02物料!$B116)&gt;$N$3),0,1))</f>
        <v>0</v>
      </c>
      <c r="P1316">
        <f>IF(AND($K1316=1,AND(对接源_02物料!$X116="公司筐",N(对接源_02物料!$T116)&lt;&gt;0)),1,0)</f>
        <v>0</v>
      </c>
      <c r="Q1316">
        <f>N(Q1315)+$P1316</f>
        <v>1</v>
      </c>
      <c r="R1316">
        <f>IF(AND($K1316=1,AND(对接源_02物料!$X116="公司筐",N(对接源_02物料!$U116)&lt;&gt;0)),1,0)</f>
        <v>0</v>
      </c>
      <c r="S1316">
        <f>N(S1315)+$R1316</f>
        <v>0</v>
      </c>
      <c r="T1316">
        <f>IF(AND($K1316=1,AND(对接源_02物料!$X116="公司筐",N(对接源_02物料!$V116)&lt;&gt;0)),1,0)</f>
        <v>0</v>
      </c>
      <c r="U1316">
        <f>N(U1315)+$T1316</f>
        <v>47</v>
      </c>
      <c r="V1316">
        <f>IF(AND($L1316=1,AND(对接源_02物料!$X116="自备筐",N(对接源_02物料!$V116)&lt;&gt;0)),1,0)</f>
        <v>0</v>
      </c>
      <c r="W1316">
        <f>N(W1315)+$V1316</f>
        <v>11</v>
      </c>
      <c r="X1316">
        <f>IF(AND($L1316=1,AND(对接源_02物料!$X116="自备筐",N(对接源_02物料!$T116)&lt;&gt;0)),1,0)</f>
        <v>0</v>
      </c>
      <c r="Y1316">
        <f>N(Y1315)+$X1316</f>
        <v>0</v>
      </c>
      <c r="Z1316">
        <f>IF(AND($M1316=1,对接源_02物料!$D116="原料入库"),1,0)</f>
        <v>0</v>
      </c>
      <c r="AA1316">
        <f>N(AA1315)+$Z1316</f>
        <v>24</v>
      </c>
      <c r="AB1316">
        <f>IF(AND($M1316=1,LEFT(对接源_02物料!$D116,4)="原料出库"),1,0)</f>
        <v>0</v>
      </c>
      <c r="AC1316">
        <f>N(AC1315)+$AB1316</f>
        <v>0</v>
      </c>
      <c r="AD1316">
        <f>IF(AND($M1316=1,LEFT(对接源_02物料!$D116,4)="成品出库"),1,0)</f>
        <v>0</v>
      </c>
      <c r="AE1316">
        <f>N(AE1315)+$AD1316</f>
        <v>0</v>
      </c>
      <c r="AF1316">
        <f>IF(AND($N1316=1,AND(LEFT(对接源_02物料!$D116,4)="包装物料",N(对接源_02物料!$K116)&lt;&gt;0)),1,0)</f>
        <v>0</v>
      </c>
      <c r="AG1316">
        <f>N(AG1315)+$AF1316</f>
        <v>10</v>
      </c>
      <c r="AH1316">
        <f>IF(AND($N1316=1,AND(对接源_02物料!$D116="周转筐－销售出库",N(对接源_02物料!$K116)&lt;&gt;0)),1,0)</f>
        <v>0</v>
      </c>
      <c r="AI1316">
        <f>N(AI1315)+$AH1316</f>
        <v>0</v>
      </c>
      <c r="AL1316" t="n">
        <v>0</v>
      </c>
      <c r="AM1316">
        <f>N(AM1315)+$AL1316</f>
        <v>2</v>
      </c>
      <c r="AN1316">
        <f>""</f>
      </c>
      <c r="AO1316" t="n">
        <v>0</v>
      </c>
      <c r="AP1316">
        <f>N(AP1315)+$AO1316</f>
        <v>13</v>
      </c>
      <c r="AR1316">
        <f>IF(OR($AF1316=1,$AH1316=1),1,0)</f>
        <v>0</v>
      </c>
      <c r="AS1316">
        <f>N(AS1315)+$AR1316</f>
        <v>10</v>
      </c>
    </row>
    <row r="1317" s="127">
      <c r="A1317" t="str">
        <f>IF(对接源_02物料!$C117="","",对接源_02物料!$C117)</f>
        <v>王照雪</v>
      </c>
      <c r="B1317">
        <f>IF(A1317="",0,IF(MATCH(A1317,$A$4:$A$2403,0)=ROW()-3,1,0))</f>
        <v>0</v>
      </c>
      <c r="C1317">
        <f>N(C1316)+B1317</f>
        <v>25</v>
      </c>
      <c r="K1317">
        <f>IF(OR($K$1="",对接源_02物料!$C117="",对接源_02物料!$C117&lt;&gt;$K$1,对接源_02物料!$B117=""),0,IF(OR(N(对接源_02物料!$B117)&lt;$K$2,N(对接源_02物料!$B117)&gt;$K$3),0,1))</f>
        <v>0</v>
      </c>
      <c r="L1317">
        <f>IF(OR($L$1="",对接源_02物料!$C117="",对接源_02物料!$C117&lt;&gt;$L$1,对接源_02物料!$B117=""),0,IF(OR(N(对接源_02物料!$B117)&lt;$L$2,N(对接源_02物料!$B117)&gt;$L$3),0,1))</f>
        <v>0</v>
      </c>
      <c r="M1317">
        <f>IF(OR($M$1="",对接源_02物料!$C117="",对接源_02物料!$C117&lt;&gt;$M$1,对接源_02物料!$B117=""),0,IF(OR(N(对接源_02物料!$B117)&lt;$M$2,N(对接源_02物料!$B117)&gt;$M$3),0,1))</f>
        <v>0</v>
      </c>
      <c r="N1317">
        <f>IF(OR($N$1="",对接源_02物料!$C117="",对接源_02物料!$C117&lt;&gt;$N$1,对接源_02物料!$B117=""),0,IF(OR(N(对接源_02物料!$B117)&lt;$N$2,N(对接源_02物料!$B117)&gt;$N$3),0,1))</f>
        <v>0</v>
      </c>
      <c r="P1317">
        <f>IF(AND($K1317=1,AND(对接源_02物料!$X117="公司筐",N(对接源_02物料!$T117)&lt;&gt;0)),1,0)</f>
        <v>0</v>
      </c>
      <c r="Q1317">
        <f>N(Q1316)+$P1317</f>
        <v>1</v>
      </c>
      <c r="R1317">
        <f>IF(AND($K1317=1,AND(对接源_02物料!$X117="公司筐",N(对接源_02物料!$U117)&lt;&gt;0)),1,0)</f>
        <v>0</v>
      </c>
      <c r="S1317">
        <f>N(S1316)+$R1317</f>
        <v>0</v>
      </c>
      <c r="T1317">
        <f>IF(AND($K1317=1,AND(对接源_02物料!$X117="公司筐",N(对接源_02物料!$V117)&lt;&gt;0)),1,0)</f>
        <v>0</v>
      </c>
      <c r="U1317">
        <f>N(U1316)+$T1317</f>
        <v>47</v>
      </c>
      <c r="V1317">
        <f>IF(AND($L1317=1,AND(对接源_02物料!$X117="自备筐",N(对接源_02物料!$V117)&lt;&gt;0)),1,0)</f>
        <v>0</v>
      </c>
      <c r="W1317">
        <f>N(W1316)+$V1317</f>
        <v>11</v>
      </c>
      <c r="X1317">
        <f>IF(AND($L1317=1,AND(对接源_02物料!$X117="自备筐",N(对接源_02物料!$T117)&lt;&gt;0)),1,0)</f>
        <v>0</v>
      </c>
      <c r="Y1317">
        <f>N(Y1316)+$X1317</f>
        <v>0</v>
      </c>
      <c r="Z1317">
        <f>IF(AND($M1317=1,对接源_02物料!$D117="原料入库"),1,0)</f>
        <v>0</v>
      </c>
      <c r="AA1317">
        <f>N(AA1316)+$Z1317</f>
        <v>24</v>
      </c>
      <c r="AB1317">
        <f>IF(AND($M1317=1,LEFT(对接源_02物料!$D117,4)="原料出库"),1,0)</f>
        <v>0</v>
      </c>
      <c r="AC1317">
        <f>N(AC1316)+$AB1317</f>
        <v>0</v>
      </c>
      <c r="AD1317">
        <f>IF(AND($M1317=1,LEFT(对接源_02物料!$D117,4)="成品出库"),1,0)</f>
        <v>0</v>
      </c>
      <c r="AE1317">
        <f>N(AE1316)+$AD1317</f>
        <v>0</v>
      </c>
      <c r="AF1317">
        <f>IF(AND($N1317=1,AND(LEFT(对接源_02物料!$D117,4)="包装物料",N(对接源_02物料!$K117)&lt;&gt;0)),1,0)</f>
        <v>0</v>
      </c>
      <c r="AG1317">
        <f>N(AG1316)+$AF1317</f>
        <v>10</v>
      </c>
      <c r="AH1317">
        <f>IF(AND($N1317=1,AND(对接源_02物料!$D117="周转筐－销售出库",N(对接源_02物料!$K117)&lt;&gt;0)),1,0)</f>
        <v>0</v>
      </c>
      <c r="AI1317">
        <f>N(AI1316)+$AH1317</f>
        <v>0</v>
      </c>
      <c r="AL1317" t="n">
        <v>0</v>
      </c>
      <c r="AM1317">
        <f>N(AM1316)+$AL1317</f>
        <v>2</v>
      </c>
      <c r="AN1317">
        <f>""</f>
      </c>
      <c r="AO1317" t="n">
        <v>0</v>
      </c>
      <c r="AP1317">
        <f>N(AP1316)+$AO1317</f>
        <v>13</v>
      </c>
      <c r="AR1317">
        <f>IF(OR($AF1317=1,$AH1317=1),1,0)</f>
        <v>0</v>
      </c>
      <c r="AS1317">
        <f>N(AS1316)+$AR1317</f>
        <v>10</v>
      </c>
    </row>
    <row r="1318" s="127">
      <c r="A1318" t="str">
        <f>IF(对接源_02物料!$C118="","",对接源_02物料!$C118)</f>
        <v>吐尔逊</v>
      </c>
      <c r="B1318">
        <f>IF(A1318="",0,IF(MATCH(A1318,$A$4:$A$2403,0)=ROW()-3,1,0))</f>
        <v>0</v>
      </c>
      <c r="C1318">
        <f>N(C1317)+B1318</f>
        <v>25</v>
      </c>
      <c r="K1318">
        <f>IF(OR($K$1="",对接源_02物料!$C118="",对接源_02物料!$C118&lt;&gt;$K$1,对接源_02物料!$B118=""),0,IF(OR(N(对接源_02物料!$B118)&lt;$K$2,N(对接源_02物料!$B118)&gt;$K$3),0,1))</f>
        <v>0</v>
      </c>
      <c r="L1318">
        <f>IF(OR($L$1="",对接源_02物料!$C118="",对接源_02物料!$C118&lt;&gt;$L$1,对接源_02物料!$B118=""),0,IF(OR(N(对接源_02物料!$B118)&lt;$L$2,N(对接源_02物料!$B118)&gt;$L$3),0,1))</f>
        <v>0</v>
      </c>
      <c r="M1318">
        <f>IF(OR($M$1="",对接源_02物料!$C118="",对接源_02物料!$C118&lt;&gt;$M$1,对接源_02物料!$B118=""),0,IF(OR(N(对接源_02物料!$B118)&lt;$M$2,N(对接源_02物料!$B118)&gt;$M$3),0,1))</f>
        <v>0</v>
      </c>
      <c r="N1318">
        <f>IF(OR($N$1="",对接源_02物料!$C118="",对接源_02物料!$C118&lt;&gt;$N$1,对接源_02物料!$B118=""),0,IF(OR(N(对接源_02物料!$B118)&lt;$N$2,N(对接源_02物料!$B118)&gt;$N$3),0,1))</f>
        <v>0</v>
      </c>
      <c r="P1318">
        <f>IF(AND($K1318=1,AND(对接源_02物料!$X118="公司筐",N(对接源_02物料!$T118)&lt;&gt;0)),1,0)</f>
        <v>0</v>
      </c>
      <c r="Q1318">
        <f>N(Q1317)+$P1318</f>
        <v>1</v>
      </c>
      <c r="R1318">
        <f>IF(AND($K1318=1,AND(对接源_02物料!$X118="公司筐",N(对接源_02物料!$U118)&lt;&gt;0)),1,0)</f>
        <v>0</v>
      </c>
      <c r="S1318">
        <f>N(S1317)+$R1318</f>
        <v>0</v>
      </c>
      <c r="T1318">
        <f>IF(AND($K1318=1,AND(对接源_02物料!$X118="公司筐",N(对接源_02物料!$V118)&lt;&gt;0)),1,0)</f>
        <v>0</v>
      </c>
      <c r="U1318">
        <f>N(U1317)+$T1318</f>
        <v>47</v>
      </c>
      <c r="V1318">
        <f>IF(AND($L1318=1,AND(对接源_02物料!$X118="自备筐",N(对接源_02物料!$V118)&lt;&gt;0)),1,0)</f>
        <v>0</v>
      </c>
      <c r="W1318">
        <f>N(W1317)+$V1318</f>
        <v>11</v>
      </c>
      <c r="X1318">
        <f>IF(AND($L1318=1,AND(对接源_02物料!$X118="自备筐",N(对接源_02物料!$T118)&lt;&gt;0)),1,0)</f>
        <v>0</v>
      </c>
      <c r="Y1318">
        <f>N(Y1317)+$X1318</f>
        <v>0</v>
      </c>
      <c r="Z1318">
        <f>IF(AND($M1318=1,对接源_02物料!$D118="原料入库"),1,0)</f>
        <v>0</v>
      </c>
      <c r="AA1318">
        <f>N(AA1317)+$Z1318</f>
        <v>24</v>
      </c>
      <c r="AB1318">
        <f>IF(AND($M1318=1,LEFT(对接源_02物料!$D118,4)="原料出库"),1,0)</f>
        <v>0</v>
      </c>
      <c r="AC1318">
        <f>N(AC1317)+$AB1318</f>
        <v>0</v>
      </c>
      <c r="AD1318">
        <f>IF(AND($M1318=1,LEFT(对接源_02物料!$D118,4)="成品出库"),1,0)</f>
        <v>0</v>
      </c>
      <c r="AE1318">
        <f>N(AE1317)+$AD1318</f>
        <v>0</v>
      </c>
      <c r="AF1318">
        <f>IF(AND($N1318=1,AND(LEFT(对接源_02物料!$D118,4)="包装物料",N(对接源_02物料!$K118)&lt;&gt;0)),1,0)</f>
        <v>0</v>
      </c>
      <c r="AG1318">
        <f>N(AG1317)+$AF1318</f>
        <v>10</v>
      </c>
      <c r="AH1318">
        <f>IF(AND($N1318=1,AND(对接源_02物料!$D118="周转筐－销售出库",N(对接源_02物料!$K118)&lt;&gt;0)),1,0)</f>
        <v>0</v>
      </c>
      <c r="AI1318">
        <f>N(AI1317)+$AH1318</f>
        <v>0</v>
      </c>
      <c r="AL1318" t="n">
        <v>0</v>
      </c>
      <c r="AM1318">
        <f>N(AM1317)+$AL1318</f>
        <v>2</v>
      </c>
      <c r="AN1318">
        <f>""</f>
      </c>
      <c r="AO1318" t="n">
        <v>0</v>
      </c>
      <c r="AP1318">
        <f>N(AP1317)+$AO1318</f>
        <v>13</v>
      </c>
      <c r="AR1318">
        <f>IF(OR($AF1318=1,$AH1318=1),1,0)</f>
        <v>0</v>
      </c>
      <c r="AS1318">
        <f>N(AS1317)+$AR1318</f>
        <v>10</v>
      </c>
    </row>
    <row r="1319" s="127">
      <c r="A1319" t="str">
        <f>IF(对接源_02物料!$C119="","",对接源_02物料!$C119)</f>
        <v>全修塑业</v>
      </c>
      <c r="B1319">
        <f>IF(A1319="",0,IF(MATCH(A1319,$A$4:$A$2403,0)=ROW()-3,1,0))</f>
        <v>0</v>
      </c>
      <c r="C1319">
        <f>N(C1318)+B1319</f>
        <v>25</v>
      </c>
      <c r="K1319">
        <f>IF(OR($K$1="",对接源_02物料!$C119="",对接源_02物料!$C119&lt;&gt;$K$1,对接源_02物料!$B119=""),0,IF(OR(N(对接源_02物料!$B119)&lt;$K$2,N(对接源_02物料!$B119)&gt;$K$3),0,1))</f>
        <v>0</v>
      </c>
      <c r="L1319">
        <f>IF(OR($L$1="",对接源_02物料!$C119="",对接源_02物料!$C119&lt;&gt;$L$1,对接源_02物料!$B119=""),0,IF(OR(N(对接源_02物料!$B119)&lt;$L$2,N(对接源_02物料!$B119)&gt;$L$3),0,1))</f>
        <v>0</v>
      </c>
      <c r="M1319">
        <f>IF(OR($M$1="",对接源_02物料!$C119="",对接源_02物料!$C119&lt;&gt;$M$1,对接源_02物料!$B119=""),0,IF(OR(N(对接源_02物料!$B119)&lt;$M$2,N(对接源_02物料!$B119)&gt;$M$3),0,1))</f>
        <v>0</v>
      </c>
      <c r="N1319">
        <f>IF(OR($N$1="",对接源_02物料!$C119="",对接源_02物料!$C119&lt;&gt;$N$1,对接源_02物料!$B119=""),0,IF(OR(N(对接源_02物料!$B119)&lt;$N$2,N(对接源_02物料!$B119)&gt;$N$3),0,1))</f>
        <v>0</v>
      </c>
      <c r="P1319">
        <f>IF(AND($K1319=1,AND(对接源_02物料!$X119="公司筐",N(对接源_02物料!$T119)&lt;&gt;0)),1,0)</f>
        <v>0</v>
      </c>
      <c r="Q1319">
        <f>N(Q1318)+$P1319</f>
        <v>1</v>
      </c>
      <c r="R1319">
        <f>IF(AND($K1319=1,AND(对接源_02物料!$X119="公司筐",N(对接源_02物料!$U119)&lt;&gt;0)),1,0)</f>
        <v>0</v>
      </c>
      <c r="S1319">
        <f>N(S1318)+$R1319</f>
        <v>0</v>
      </c>
      <c r="T1319">
        <f>IF(AND($K1319=1,AND(对接源_02物料!$X119="公司筐",N(对接源_02物料!$V119)&lt;&gt;0)),1,0)</f>
        <v>0</v>
      </c>
      <c r="U1319">
        <f>N(U1318)+$T1319</f>
        <v>47</v>
      </c>
      <c r="V1319">
        <f>IF(AND($L1319=1,AND(对接源_02物料!$X119="自备筐",N(对接源_02物料!$V119)&lt;&gt;0)),1,0)</f>
        <v>0</v>
      </c>
      <c r="W1319">
        <f>N(W1318)+$V1319</f>
        <v>11</v>
      </c>
      <c r="X1319">
        <f>IF(AND($L1319=1,AND(对接源_02物料!$X119="自备筐",N(对接源_02物料!$T119)&lt;&gt;0)),1,0)</f>
        <v>0</v>
      </c>
      <c r="Y1319">
        <f>N(Y1318)+$X1319</f>
        <v>0</v>
      </c>
      <c r="Z1319">
        <f>IF(AND($M1319=1,对接源_02物料!$D119="原料入库"),1,0)</f>
        <v>0</v>
      </c>
      <c r="AA1319">
        <f>N(AA1318)+$Z1319</f>
        <v>24</v>
      </c>
      <c r="AB1319">
        <f>IF(AND($M1319=1,LEFT(对接源_02物料!$D119,4)="原料出库"),1,0)</f>
        <v>0</v>
      </c>
      <c r="AC1319">
        <f>N(AC1318)+$AB1319</f>
        <v>0</v>
      </c>
      <c r="AD1319">
        <f>IF(AND($M1319=1,LEFT(对接源_02物料!$D119,4)="成品出库"),1,0)</f>
        <v>0</v>
      </c>
      <c r="AE1319">
        <f>N(AE1318)+$AD1319</f>
        <v>0</v>
      </c>
      <c r="AF1319">
        <f>IF(AND($N1319=1,AND(LEFT(对接源_02物料!$D119,4)="包装物料",N(对接源_02物料!$K119)&lt;&gt;0)),1,0)</f>
        <v>0</v>
      </c>
      <c r="AG1319">
        <f>N(AG1318)+$AF1319</f>
        <v>10</v>
      </c>
      <c r="AH1319">
        <f>IF(AND($N1319=1,AND(对接源_02物料!$D119="周转筐－销售出库",N(对接源_02物料!$K119)&lt;&gt;0)),1,0)</f>
        <v>0</v>
      </c>
      <c r="AI1319">
        <f>N(AI1318)+$AH1319</f>
        <v>0</v>
      </c>
      <c r="AL1319" t="n">
        <v>0</v>
      </c>
      <c r="AM1319">
        <f>N(AM1318)+$AL1319</f>
        <v>2</v>
      </c>
      <c r="AN1319">
        <f>""</f>
      </c>
      <c r="AO1319" t="n">
        <v>0</v>
      </c>
      <c r="AP1319">
        <f>N(AP1318)+$AO1319</f>
        <v>13</v>
      </c>
      <c r="AR1319">
        <f>IF(OR($AF1319=1,$AH1319=1),1,0)</f>
        <v>0</v>
      </c>
      <c r="AS1319">
        <f>N(AS1318)+$AR1319</f>
        <v>10</v>
      </c>
    </row>
    <row r="1320" s="127">
      <c r="A1320" t="str">
        <f>IF(对接源_02物料!$C120="","",对接源_02物料!$C120)</f>
        <v>全修塑业</v>
      </c>
      <c r="B1320">
        <f>IF(A1320="",0,IF(MATCH(A1320,$A$4:$A$2403,0)=ROW()-3,1,0))</f>
        <v>0</v>
      </c>
      <c r="C1320">
        <f>N(C1319)+B1320</f>
        <v>25</v>
      </c>
      <c r="K1320">
        <f>IF(OR($K$1="",对接源_02物料!$C120="",对接源_02物料!$C120&lt;&gt;$K$1,对接源_02物料!$B120=""),0,IF(OR(N(对接源_02物料!$B120)&lt;$K$2,N(对接源_02物料!$B120)&gt;$K$3),0,1))</f>
        <v>0</v>
      </c>
      <c r="L1320">
        <f>IF(OR($L$1="",对接源_02物料!$C120="",对接源_02物料!$C120&lt;&gt;$L$1,对接源_02物料!$B120=""),0,IF(OR(N(对接源_02物料!$B120)&lt;$L$2,N(对接源_02物料!$B120)&gt;$L$3),0,1))</f>
        <v>0</v>
      </c>
      <c r="M1320">
        <f>IF(OR($M$1="",对接源_02物料!$C120="",对接源_02物料!$C120&lt;&gt;$M$1,对接源_02物料!$B120=""),0,IF(OR(N(对接源_02物料!$B120)&lt;$M$2,N(对接源_02物料!$B120)&gt;$M$3),0,1))</f>
        <v>0</v>
      </c>
      <c r="N1320">
        <f>IF(OR($N$1="",对接源_02物料!$C120="",对接源_02物料!$C120&lt;&gt;$N$1,对接源_02物料!$B120=""),0,IF(OR(N(对接源_02物料!$B120)&lt;$N$2,N(对接源_02物料!$B120)&gt;$N$3),0,1))</f>
        <v>0</v>
      </c>
      <c r="P1320">
        <f>IF(AND($K1320=1,AND(对接源_02物料!$X120="公司筐",N(对接源_02物料!$T120)&lt;&gt;0)),1,0)</f>
        <v>0</v>
      </c>
      <c r="Q1320">
        <f>N(Q1319)+$P1320</f>
        <v>1</v>
      </c>
      <c r="R1320">
        <f>IF(AND($K1320=1,AND(对接源_02物料!$X120="公司筐",N(对接源_02物料!$U120)&lt;&gt;0)),1,0)</f>
        <v>0</v>
      </c>
      <c r="S1320">
        <f>N(S1319)+$R1320</f>
        <v>0</v>
      </c>
      <c r="T1320">
        <f>IF(AND($K1320=1,AND(对接源_02物料!$X120="公司筐",N(对接源_02物料!$V120)&lt;&gt;0)),1,0)</f>
        <v>0</v>
      </c>
      <c r="U1320">
        <f>N(U1319)+$T1320</f>
        <v>47</v>
      </c>
      <c r="V1320">
        <f>IF(AND($L1320=1,AND(对接源_02物料!$X120="自备筐",N(对接源_02物料!$V120)&lt;&gt;0)),1,0)</f>
        <v>0</v>
      </c>
      <c r="W1320">
        <f>N(W1319)+$V1320</f>
        <v>11</v>
      </c>
      <c r="X1320">
        <f>IF(AND($L1320=1,AND(对接源_02物料!$X120="自备筐",N(对接源_02物料!$T120)&lt;&gt;0)),1,0)</f>
        <v>0</v>
      </c>
      <c r="Y1320">
        <f>N(Y1319)+$X1320</f>
        <v>0</v>
      </c>
      <c r="Z1320">
        <f>IF(AND($M1320=1,对接源_02物料!$D120="原料入库"),1,0)</f>
        <v>0</v>
      </c>
      <c r="AA1320">
        <f>N(AA1319)+$Z1320</f>
        <v>24</v>
      </c>
      <c r="AB1320">
        <f>IF(AND($M1320=1,LEFT(对接源_02物料!$D120,4)="原料出库"),1,0)</f>
        <v>0</v>
      </c>
      <c r="AC1320">
        <f>N(AC1319)+$AB1320</f>
        <v>0</v>
      </c>
      <c r="AD1320">
        <f>IF(AND($M1320=1,LEFT(对接源_02物料!$D120,4)="成品出库"),1,0)</f>
        <v>0</v>
      </c>
      <c r="AE1320">
        <f>N(AE1319)+$AD1320</f>
        <v>0</v>
      </c>
      <c r="AF1320">
        <f>IF(AND($N1320=1,AND(LEFT(对接源_02物料!$D120,4)="包装物料",N(对接源_02物料!$K120)&lt;&gt;0)),1,0)</f>
        <v>0</v>
      </c>
      <c r="AG1320">
        <f>N(AG1319)+$AF1320</f>
        <v>10</v>
      </c>
      <c r="AH1320">
        <f>IF(AND($N1320=1,AND(对接源_02物料!$D120="周转筐－销售出库",N(对接源_02物料!$K120)&lt;&gt;0)),1,0)</f>
        <v>0</v>
      </c>
      <c r="AI1320">
        <f>N(AI1319)+$AH1320</f>
        <v>0</v>
      </c>
      <c r="AL1320" t="n">
        <v>0</v>
      </c>
      <c r="AM1320">
        <f>N(AM1319)+$AL1320</f>
        <v>2</v>
      </c>
      <c r="AN1320">
        <f>""</f>
      </c>
      <c r="AO1320" t="n">
        <v>0</v>
      </c>
      <c r="AP1320">
        <f>N(AP1319)+$AO1320</f>
        <v>13</v>
      </c>
      <c r="AR1320">
        <f>IF(OR($AF1320=1,$AH1320=1),1,0)</f>
        <v>0</v>
      </c>
      <c r="AS1320">
        <f>N(AS1319)+$AR1320</f>
        <v>10</v>
      </c>
    </row>
    <row r="1321" s="127">
      <c r="A1321" t="str">
        <f>IF(对接源_02物料!$C121="","",对接源_02物料!$C121)</f>
        <v>全修塑业</v>
      </c>
      <c r="B1321">
        <f>IF(A1321="",0,IF(MATCH(A1321,$A$4:$A$2403,0)=ROW()-3,1,0))</f>
        <v>0</v>
      </c>
      <c r="C1321">
        <f>N(C1320)+B1321</f>
        <v>25</v>
      </c>
      <c r="K1321">
        <f>IF(OR($K$1="",对接源_02物料!$C121="",对接源_02物料!$C121&lt;&gt;$K$1,对接源_02物料!$B121=""),0,IF(OR(N(对接源_02物料!$B121)&lt;$K$2,N(对接源_02物料!$B121)&gt;$K$3),0,1))</f>
        <v>0</v>
      </c>
      <c r="L1321">
        <f>IF(OR($L$1="",对接源_02物料!$C121="",对接源_02物料!$C121&lt;&gt;$L$1,对接源_02物料!$B121=""),0,IF(OR(N(对接源_02物料!$B121)&lt;$L$2,N(对接源_02物料!$B121)&gt;$L$3),0,1))</f>
        <v>0</v>
      </c>
      <c r="M1321">
        <f>IF(OR($M$1="",对接源_02物料!$C121="",对接源_02物料!$C121&lt;&gt;$M$1,对接源_02物料!$B121=""),0,IF(OR(N(对接源_02物料!$B121)&lt;$M$2,N(对接源_02物料!$B121)&gt;$M$3),0,1))</f>
        <v>0</v>
      </c>
      <c r="N1321">
        <f>IF(OR($N$1="",对接源_02物料!$C121="",对接源_02物料!$C121&lt;&gt;$N$1,对接源_02物料!$B121=""),0,IF(OR(N(对接源_02物料!$B121)&lt;$N$2,N(对接源_02物料!$B121)&gt;$N$3),0,1))</f>
        <v>0</v>
      </c>
      <c r="P1321">
        <f>IF(AND($K1321=1,AND(对接源_02物料!$X121="公司筐",N(对接源_02物料!$T121)&lt;&gt;0)),1,0)</f>
        <v>0</v>
      </c>
      <c r="Q1321">
        <f>N(Q1320)+$P1321</f>
        <v>1</v>
      </c>
      <c r="R1321">
        <f>IF(AND($K1321=1,AND(对接源_02物料!$X121="公司筐",N(对接源_02物料!$U121)&lt;&gt;0)),1,0)</f>
        <v>0</v>
      </c>
      <c r="S1321">
        <f>N(S1320)+$R1321</f>
        <v>0</v>
      </c>
      <c r="T1321">
        <f>IF(AND($K1321=1,AND(对接源_02物料!$X121="公司筐",N(对接源_02物料!$V121)&lt;&gt;0)),1,0)</f>
        <v>0</v>
      </c>
      <c r="U1321">
        <f>N(U1320)+$T1321</f>
        <v>47</v>
      </c>
      <c r="V1321">
        <f>IF(AND($L1321=1,AND(对接源_02物料!$X121="自备筐",N(对接源_02物料!$V121)&lt;&gt;0)),1,0)</f>
        <v>0</v>
      </c>
      <c r="W1321">
        <f>N(W1320)+$V1321</f>
        <v>11</v>
      </c>
      <c r="X1321">
        <f>IF(AND($L1321=1,AND(对接源_02物料!$X121="自备筐",N(对接源_02物料!$T121)&lt;&gt;0)),1,0)</f>
        <v>0</v>
      </c>
      <c r="Y1321">
        <f>N(Y1320)+$X1321</f>
        <v>0</v>
      </c>
      <c r="Z1321">
        <f>IF(AND($M1321=1,对接源_02物料!$D121="原料入库"),1,0)</f>
        <v>0</v>
      </c>
      <c r="AA1321">
        <f>N(AA1320)+$Z1321</f>
        <v>24</v>
      </c>
      <c r="AB1321">
        <f>IF(AND($M1321=1,LEFT(对接源_02物料!$D121,4)="原料出库"),1,0)</f>
        <v>0</v>
      </c>
      <c r="AC1321">
        <f>N(AC1320)+$AB1321</f>
        <v>0</v>
      </c>
      <c r="AD1321">
        <f>IF(AND($M1321=1,LEFT(对接源_02物料!$D121,4)="成品出库"),1,0)</f>
        <v>0</v>
      </c>
      <c r="AE1321">
        <f>N(AE1320)+$AD1321</f>
        <v>0</v>
      </c>
      <c r="AF1321">
        <f>IF(AND($N1321=1,AND(LEFT(对接源_02物料!$D121,4)="包装物料",N(对接源_02物料!$K121)&lt;&gt;0)),1,0)</f>
        <v>0</v>
      </c>
      <c r="AG1321">
        <f>N(AG1320)+$AF1321</f>
        <v>10</v>
      </c>
      <c r="AH1321">
        <f>IF(AND($N1321=1,AND(对接源_02物料!$D121="周转筐－销售出库",N(对接源_02物料!$K121)&lt;&gt;0)),1,0)</f>
        <v>0</v>
      </c>
      <c r="AI1321">
        <f>N(AI1320)+$AH1321</f>
        <v>0</v>
      </c>
      <c r="AL1321" t="n">
        <v>0</v>
      </c>
      <c r="AM1321">
        <f>N(AM1320)+$AL1321</f>
        <v>2</v>
      </c>
      <c r="AN1321">
        <f>""</f>
      </c>
      <c r="AO1321" t="n">
        <v>0</v>
      </c>
      <c r="AP1321">
        <f>N(AP1320)+$AO1321</f>
        <v>13</v>
      </c>
      <c r="AR1321">
        <f>IF(OR($AF1321=1,$AH1321=1),1,0)</f>
        <v>0</v>
      </c>
      <c r="AS1321">
        <f>N(AS1320)+$AR1321</f>
        <v>10</v>
      </c>
    </row>
    <row r="1322" s="127">
      <c r="A1322" t="str">
        <f>IF(对接源_02物料!$C122="","",对接源_02物料!$C122)</f>
        <v>吐尔洪</v>
      </c>
      <c r="B1322">
        <f>IF(A1322="",0,IF(MATCH(A1322,$A$4:$A$2403,0)=ROW()-3,1,0))</f>
        <v>0</v>
      </c>
      <c r="C1322">
        <f>N(C1321)+B1322</f>
        <v>25</v>
      </c>
      <c r="K1322">
        <f>IF(OR($K$1="",对接源_02物料!$C122="",对接源_02物料!$C122&lt;&gt;$K$1,对接源_02物料!$B122=""),0,IF(OR(N(对接源_02物料!$B122)&lt;$K$2,N(对接源_02物料!$B122)&gt;$K$3),0,1))</f>
        <v>0</v>
      </c>
      <c r="L1322">
        <f>IF(OR($L$1="",对接源_02物料!$C122="",对接源_02物料!$C122&lt;&gt;$L$1,对接源_02物料!$B122=""),0,IF(OR(N(对接源_02物料!$B122)&lt;$L$2,N(对接源_02物料!$B122)&gt;$L$3),0,1))</f>
        <v>0</v>
      </c>
      <c r="M1322">
        <f>IF(OR($M$1="",对接源_02物料!$C122="",对接源_02物料!$C122&lt;&gt;$M$1,对接源_02物料!$B122=""),0,IF(OR(N(对接源_02物料!$B122)&lt;$M$2,N(对接源_02物料!$B122)&gt;$M$3),0,1))</f>
        <v>1</v>
      </c>
      <c r="N1322">
        <f>IF(OR($N$1="",对接源_02物料!$C122="",对接源_02物料!$C122&lt;&gt;$N$1,对接源_02物料!$B122=""),0,IF(OR(N(对接源_02物料!$B122)&lt;$N$2,N(对接源_02物料!$B122)&gt;$N$3),0,1))</f>
        <v>0</v>
      </c>
      <c r="P1322">
        <f>IF(AND($K1322=1,AND(对接源_02物料!$X122="公司筐",N(对接源_02物料!$T122)&lt;&gt;0)),1,0)</f>
        <v>0</v>
      </c>
      <c r="Q1322">
        <f>N(Q1321)+$P1322</f>
        <v>1</v>
      </c>
      <c r="R1322">
        <f>IF(AND($K1322=1,AND(对接源_02物料!$X122="公司筐",N(对接源_02物料!$U122)&lt;&gt;0)),1,0)</f>
        <v>0</v>
      </c>
      <c r="S1322">
        <f>N(S1321)+$R1322</f>
        <v>0</v>
      </c>
      <c r="T1322">
        <f>IF(AND($K1322=1,AND(对接源_02物料!$X122="公司筐",N(对接源_02物料!$V122)&lt;&gt;0)),1,0)</f>
        <v>0</v>
      </c>
      <c r="U1322">
        <f>N(U1321)+$T1322</f>
        <v>47</v>
      </c>
      <c r="V1322">
        <f>IF(AND($L1322=1,AND(对接源_02物料!$X122="自备筐",N(对接源_02物料!$V122)&lt;&gt;0)),1,0)</f>
        <v>0</v>
      </c>
      <c r="W1322">
        <f>N(W1321)+$V1322</f>
        <v>11</v>
      </c>
      <c r="X1322">
        <f>IF(AND($L1322=1,AND(对接源_02物料!$X122="自备筐",N(对接源_02物料!$T122)&lt;&gt;0)),1,0)</f>
        <v>0</v>
      </c>
      <c r="Y1322">
        <f>N(Y1321)+$X1322</f>
        <v>0</v>
      </c>
      <c r="Z1322">
        <f>IF(AND($M1322=1,对接源_02物料!$D122="原料入库"),1,0)</f>
        <v>0</v>
      </c>
      <c r="AA1322">
        <f>N(AA1321)+$Z1322</f>
        <v>24</v>
      </c>
      <c r="AB1322">
        <f>IF(AND($M1322=1,LEFT(对接源_02物料!$D122,4)="原料出库"),1,0)</f>
        <v>0</v>
      </c>
      <c r="AC1322">
        <f>N(AC1321)+$AB1322</f>
        <v>0</v>
      </c>
      <c r="AD1322">
        <f>IF(AND($M1322=1,LEFT(对接源_02物料!$D122,4)="成品出库"),1,0)</f>
        <v>0</v>
      </c>
      <c r="AE1322">
        <f>N(AE1321)+$AD1322</f>
        <v>0</v>
      </c>
      <c r="AF1322">
        <f>IF(AND($N1322=1,AND(LEFT(对接源_02物料!$D122,4)="包装物料",N(对接源_02物料!$K122)&lt;&gt;0)),1,0)</f>
        <v>0</v>
      </c>
      <c r="AG1322">
        <f>N(AG1321)+$AF1322</f>
        <v>10</v>
      </c>
      <c r="AH1322">
        <f>IF(AND($N1322=1,AND(对接源_02物料!$D122="周转筐－销售出库",N(对接源_02物料!$K122)&lt;&gt;0)),1,0)</f>
        <v>0</v>
      </c>
      <c r="AI1322">
        <f>N(AI1321)+$AH1322</f>
        <v>0</v>
      </c>
      <c r="AL1322" t="n">
        <v>0</v>
      </c>
      <c r="AM1322">
        <f>N(AM1321)+$AL1322</f>
        <v>2</v>
      </c>
      <c r="AN1322">
        <f>""</f>
      </c>
      <c r="AO1322" t="n">
        <v>0</v>
      </c>
      <c r="AP1322">
        <f>N(AP1321)+$AO1322</f>
        <v>13</v>
      </c>
      <c r="AR1322">
        <f>IF(OR($AF1322=1,$AH1322=1),1,0)</f>
        <v>0</v>
      </c>
      <c r="AS1322">
        <f>N(AS1321)+$AR1322</f>
        <v>10</v>
      </c>
    </row>
    <row r="1323" s="127">
      <c r="A1323" t="str">
        <f>IF(对接源_02物料!$C123="","",对接源_02物料!$C123)</f>
        <v>荆建君</v>
      </c>
      <c r="B1323">
        <f>IF(A1323="",0,IF(MATCH(A1323,$A$4:$A$2403,0)=ROW()-3,1,0))</f>
        <v>0</v>
      </c>
      <c r="C1323">
        <f>N(C1322)+B1323</f>
        <v>25</v>
      </c>
      <c r="K1323">
        <f>IF(OR($K$1="",对接源_02物料!$C123="",对接源_02物料!$C123&lt;&gt;$K$1,对接源_02物料!$B123=""),0,IF(OR(N(对接源_02物料!$B123)&lt;$K$2,N(对接源_02物料!$B123)&gt;$K$3),0,1))</f>
        <v>0</v>
      </c>
      <c r="L1323">
        <f>IF(OR($L$1="",对接源_02物料!$C123="",对接源_02物料!$C123&lt;&gt;$L$1,对接源_02物料!$B123=""),0,IF(OR(N(对接源_02物料!$B123)&lt;$L$2,N(对接源_02物料!$B123)&gt;$L$3),0,1))</f>
        <v>0</v>
      </c>
      <c r="M1323">
        <f>IF(OR($M$1="",对接源_02物料!$C123="",对接源_02物料!$C123&lt;&gt;$M$1,对接源_02物料!$B123=""),0,IF(OR(N(对接源_02物料!$B123)&lt;$M$2,N(对接源_02物料!$B123)&gt;$M$3),0,1))</f>
        <v>0</v>
      </c>
      <c r="N1323">
        <f>IF(OR($N$1="",对接源_02物料!$C123="",对接源_02物料!$C123&lt;&gt;$N$1,对接源_02物料!$B123=""),0,IF(OR(N(对接源_02物料!$B123)&lt;$N$2,N(对接源_02物料!$B123)&gt;$N$3),0,1))</f>
        <v>0</v>
      </c>
      <c r="P1323">
        <f>IF(AND($K1323=1,AND(对接源_02物料!$X123="公司筐",N(对接源_02物料!$T123)&lt;&gt;0)),1,0)</f>
        <v>0</v>
      </c>
      <c r="Q1323">
        <f>N(Q1322)+$P1323</f>
        <v>1</v>
      </c>
      <c r="R1323">
        <f>IF(AND($K1323=1,AND(对接源_02物料!$X123="公司筐",N(对接源_02物料!$U123)&lt;&gt;0)),1,0)</f>
        <v>0</v>
      </c>
      <c r="S1323">
        <f>N(S1322)+$R1323</f>
        <v>0</v>
      </c>
      <c r="T1323">
        <f>IF(AND($K1323=1,AND(对接源_02物料!$X123="公司筐",N(对接源_02物料!$V123)&lt;&gt;0)),1,0)</f>
        <v>0</v>
      </c>
      <c r="U1323">
        <f>N(U1322)+$T1323</f>
        <v>47</v>
      </c>
      <c r="V1323">
        <f>IF(AND($L1323=1,AND(对接源_02物料!$X123="自备筐",N(对接源_02物料!$V123)&lt;&gt;0)),1,0)</f>
        <v>0</v>
      </c>
      <c r="W1323">
        <f>N(W1322)+$V1323</f>
        <v>11</v>
      </c>
      <c r="X1323">
        <f>IF(AND($L1323=1,AND(对接源_02物料!$X123="自备筐",N(对接源_02物料!$T123)&lt;&gt;0)),1,0)</f>
        <v>0</v>
      </c>
      <c r="Y1323">
        <f>N(Y1322)+$X1323</f>
        <v>0</v>
      </c>
      <c r="Z1323">
        <f>IF(AND($M1323=1,对接源_02物料!$D123="原料入库"),1,0)</f>
        <v>0</v>
      </c>
      <c r="AA1323">
        <f>N(AA1322)+$Z1323</f>
        <v>24</v>
      </c>
      <c r="AB1323">
        <f>IF(AND($M1323=1,LEFT(对接源_02物料!$D123,4)="原料出库"),1,0)</f>
        <v>0</v>
      </c>
      <c r="AC1323">
        <f>N(AC1322)+$AB1323</f>
        <v>0</v>
      </c>
      <c r="AD1323">
        <f>IF(AND($M1323=1,LEFT(对接源_02物料!$D123,4)="成品出库"),1,0)</f>
        <v>0</v>
      </c>
      <c r="AE1323">
        <f>N(AE1322)+$AD1323</f>
        <v>0</v>
      </c>
      <c r="AF1323">
        <f>IF(AND($N1323=1,AND(LEFT(对接源_02物料!$D123,4)="包装物料",N(对接源_02物料!$K123)&lt;&gt;0)),1,0)</f>
        <v>0</v>
      </c>
      <c r="AG1323">
        <f>N(AG1322)+$AF1323</f>
        <v>10</v>
      </c>
      <c r="AH1323">
        <f>IF(AND($N1323=1,AND(对接源_02物料!$D123="周转筐－销售出库",N(对接源_02物料!$K123)&lt;&gt;0)),1,0)</f>
        <v>0</v>
      </c>
      <c r="AI1323">
        <f>N(AI1322)+$AH1323</f>
        <v>0</v>
      </c>
      <c r="AL1323" t="n">
        <v>0</v>
      </c>
      <c r="AM1323">
        <f>N(AM1322)+$AL1323</f>
        <v>2</v>
      </c>
      <c r="AN1323">
        <f>""</f>
      </c>
      <c r="AO1323" t="n">
        <v>0</v>
      </c>
      <c r="AP1323">
        <f>N(AP1322)+$AO1323</f>
        <v>13</v>
      </c>
      <c r="AR1323">
        <f>IF(OR($AF1323=1,$AH1323=1),1,0)</f>
        <v>0</v>
      </c>
      <c r="AS1323">
        <f>N(AS1322)+$AR1323</f>
        <v>10</v>
      </c>
    </row>
    <row r="1324" s="127">
      <c r="A1324" t="str">
        <f>IF(对接源_02物料!$C124="","",对接源_02物料!$C124)</f>
        <v>麦麦提</v>
      </c>
      <c r="B1324">
        <f>IF(A1324="",0,IF(MATCH(A1324,$A$4:$A$2403,0)=ROW()-3,1,0))</f>
        <v>0</v>
      </c>
      <c r="C1324">
        <f>N(C1323)+B1324</f>
        <v>25</v>
      </c>
      <c r="K1324">
        <f>IF(OR($K$1="",对接源_02物料!$C124="",对接源_02物料!$C124&lt;&gt;$K$1,对接源_02物料!$B124=""),0,IF(OR(N(对接源_02物料!$B124)&lt;$K$2,N(对接源_02物料!$B124)&gt;$K$3),0,1))</f>
        <v>0</v>
      </c>
      <c r="L1324">
        <f>IF(OR($L$1="",对接源_02物料!$C124="",对接源_02物料!$C124&lt;&gt;$L$1,对接源_02物料!$B124=""),0,IF(OR(N(对接源_02物料!$B124)&lt;$L$2,N(对接源_02物料!$B124)&gt;$L$3),0,1))</f>
        <v>0</v>
      </c>
      <c r="M1324">
        <f>IF(OR($M$1="",对接源_02物料!$C124="",对接源_02物料!$C124&lt;&gt;$M$1,对接源_02物料!$B124=""),0,IF(OR(N(对接源_02物料!$B124)&lt;$M$2,N(对接源_02物料!$B124)&gt;$M$3),0,1))</f>
        <v>0</v>
      </c>
      <c r="N1324">
        <f>IF(OR($N$1="",对接源_02物料!$C124="",对接源_02物料!$C124&lt;&gt;$N$1,对接源_02物料!$B124=""),0,IF(OR(N(对接源_02物料!$B124)&lt;$N$2,N(对接源_02物料!$B124)&gt;$N$3),0,1))</f>
        <v>1</v>
      </c>
      <c r="P1324">
        <f>IF(AND($K1324=1,AND(对接源_02物料!$X124="公司筐",N(对接源_02物料!$T124)&lt;&gt;0)),1,0)</f>
        <v>0</v>
      </c>
      <c r="Q1324">
        <f>N(Q1323)+$P1324</f>
        <v>1</v>
      </c>
      <c r="R1324">
        <f>IF(AND($K1324=1,AND(对接源_02物料!$X124="公司筐",N(对接源_02物料!$U124)&lt;&gt;0)),1,0)</f>
        <v>0</v>
      </c>
      <c r="S1324">
        <f>N(S1323)+$R1324</f>
        <v>0</v>
      </c>
      <c r="T1324">
        <f>IF(AND($K1324=1,AND(对接源_02物料!$X124="公司筐",N(对接源_02物料!$V124)&lt;&gt;0)),1,0)</f>
        <v>0</v>
      </c>
      <c r="U1324">
        <f>N(U1323)+$T1324</f>
        <v>47</v>
      </c>
      <c r="V1324">
        <f>IF(AND($L1324=1,AND(对接源_02物料!$X124="自备筐",N(对接源_02物料!$V124)&lt;&gt;0)),1,0)</f>
        <v>0</v>
      </c>
      <c r="W1324">
        <f>N(W1323)+$V1324</f>
        <v>11</v>
      </c>
      <c r="X1324">
        <f>IF(AND($L1324=1,AND(对接源_02物料!$X124="自备筐",N(对接源_02物料!$T124)&lt;&gt;0)),1,0)</f>
        <v>0</v>
      </c>
      <c r="Y1324">
        <f>N(Y1323)+$X1324</f>
        <v>0</v>
      </c>
      <c r="Z1324">
        <f>IF(AND($M1324=1,对接源_02物料!$D124="原料入库"),1,0)</f>
        <v>0</v>
      </c>
      <c r="AA1324">
        <f>N(AA1323)+$Z1324</f>
        <v>24</v>
      </c>
      <c r="AB1324">
        <f>IF(AND($M1324=1,LEFT(对接源_02物料!$D124,4)="原料出库"),1,0)</f>
        <v>0</v>
      </c>
      <c r="AC1324">
        <f>N(AC1323)+$AB1324</f>
        <v>0</v>
      </c>
      <c r="AD1324">
        <f>IF(AND($M1324=1,LEFT(对接源_02物料!$D124,4)="成品出库"),1,0)</f>
        <v>0</v>
      </c>
      <c r="AE1324">
        <f>N(AE1323)+$AD1324</f>
        <v>0</v>
      </c>
      <c r="AF1324">
        <f>IF(AND($N1324=1,AND(LEFT(对接源_02物料!$D124,4)="包装物料",N(对接源_02物料!$K124)&lt;&gt;0)),1,0)</f>
        <v>0</v>
      </c>
      <c r="AG1324">
        <f>N(AG1323)+$AF1324</f>
        <v>10</v>
      </c>
      <c r="AH1324">
        <f>IF(AND($N1324=1,AND(对接源_02物料!$D124="周转筐－销售出库",N(对接源_02物料!$K124)&lt;&gt;0)),1,0)</f>
        <v>0</v>
      </c>
      <c r="AI1324">
        <f>N(AI1323)+$AH1324</f>
        <v>0</v>
      </c>
      <c r="AL1324" t="n">
        <v>0</v>
      </c>
      <c r="AM1324">
        <f>N(AM1323)+$AL1324</f>
        <v>2</v>
      </c>
      <c r="AN1324">
        <f>""</f>
      </c>
      <c r="AO1324" t="n">
        <v>0</v>
      </c>
      <c r="AP1324">
        <f>N(AP1323)+$AO1324</f>
        <v>13</v>
      </c>
      <c r="AR1324">
        <f>IF(OR($AF1324=1,$AH1324=1),1,0)</f>
        <v>0</v>
      </c>
      <c r="AS1324">
        <f>N(AS1323)+$AR1324</f>
        <v>10</v>
      </c>
    </row>
    <row r="1325" s="127">
      <c r="A1325" t="str">
        <f>IF(对接源_02物料!$C125="","",对接源_02物料!$C125)</f>
        <v>王照雪</v>
      </c>
      <c r="B1325">
        <f>IF(A1325="",0,IF(MATCH(A1325,$A$4:$A$2403,0)=ROW()-3,1,0))</f>
        <v>0</v>
      </c>
      <c r="C1325">
        <f>N(C1324)+B1325</f>
        <v>25</v>
      </c>
      <c r="K1325">
        <f>IF(OR($K$1="",对接源_02物料!$C125="",对接源_02物料!$C125&lt;&gt;$K$1,对接源_02物料!$B125=""),0,IF(OR(N(对接源_02物料!$B125)&lt;$K$2,N(对接源_02物料!$B125)&gt;$K$3),0,1))</f>
        <v>0</v>
      </c>
      <c r="L1325">
        <f>IF(OR($L$1="",对接源_02物料!$C125="",对接源_02物料!$C125&lt;&gt;$L$1,对接源_02物料!$B125=""),0,IF(OR(N(对接源_02物料!$B125)&lt;$L$2,N(对接源_02物料!$B125)&gt;$L$3),0,1))</f>
        <v>0</v>
      </c>
      <c r="M1325">
        <f>IF(OR($M$1="",对接源_02物料!$C125="",对接源_02物料!$C125&lt;&gt;$M$1,对接源_02物料!$B125=""),0,IF(OR(N(对接源_02物料!$B125)&lt;$M$2,N(对接源_02物料!$B125)&gt;$M$3),0,1))</f>
        <v>0</v>
      </c>
      <c r="N1325">
        <f>IF(OR($N$1="",对接源_02物料!$C125="",对接源_02物料!$C125&lt;&gt;$N$1,对接源_02物料!$B125=""),0,IF(OR(N(对接源_02物料!$B125)&lt;$N$2,N(对接源_02物料!$B125)&gt;$N$3),0,1))</f>
        <v>0</v>
      </c>
      <c r="P1325">
        <f>IF(AND($K1325=1,AND(对接源_02物料!$X125="公司筐",N(对接源_02物料!$T125)&lt;&gt;0)),1,0)</f>
        <v>0</v>
      </c>
      <c r="Q1325">
        <f>N(Q1324)+$P1325</f>
        <v>1</v>
      </c>
      <c r="R1325">
        <f>IF(AND($K1325=1,AND(对接源_02物料!$X125="公司筐",N(对接源_02物料!$U125)&lt;&gt;0)),1,0)</f>
        <v>0</v>
      </c>
      <c r="S1325">
        <f>N(S1324)+$R1325</f>
        <v>0</v>
      </c>
      <c r="T1325">
        <f>IF(AND($K1325=1,AND(对接源_02物料!$X125="公司筐",N(对接源_02物料!$V125)&lt;&gt;0)),1,0)</f>
        <v>0</v>
      </c>
      <c r="U1325">
        <f>N(U1324)+$T1325</f>
        <v>47</v>
      </c>
      <c r="V1325">
        <f>IF(AND($L1325=1,AND(对接源_02物料!$X125="自备筐",N(对接源_02物料!$V125)&lt;&gt;0)),1,0)</f>
        <v>0</v>
      </c>
      <c r="W1325">
        <f>N(W1324)+$V1325</f>
        <v>11</v>
      </c>
      <c r="X1325">
        <f>IF(AND($L1325=1,AND(对接源_02物料!$X125="自备筐",N(对接源_02物料!$T125)&lt;&gt;0)),1,0)</f>
        <v>0</v>
      </c>
      <c r="Y1325">
        <f>N(Y1324)+$X1325</f>
        <v>0</v>
      </c>
      <c r="Z1325">
        <f>IF(AND($M1325=1,对接源_02物料!$D125="原料入库"),1,0)</f>
        <v>0</v>
      </c>
      <c r="AA1325">
        <f>N(AA1324)+$Z1325</f>
        <v>24</v>
      </c>
      <c r="AB1325">
        <f>IF(AND($M1325=1,LEFT(对接源_02物料!$D125,4)="原料出库"),1,0)</f>
        <v>0</v>
      </c>
      <c r="AC1325">
        <f>N(AC1324)+$AB1325</f>
        <v>0</v>
      </c>
      <c r="AD1325">
        <f>IF(AND($M1325=1,LEFT(对接源_02物料!$D125,4)="成品出库"),1,0)</f>
        <v>0</v>
      </c>
      <c r="AE1325">
        <f>N(AE1324)+$AD1325</f>
        <v>0</v>
      </c>
      <c r="AF1325">
        <f>IF(AND($N1325=1,AND(LEFT(对接源_02物料!$D125,4)="包装物料",N(对接源_02物料!$K125)&lt;&gt;0)),1,0)</f>
        <v>0</v>
      </c>
      <c r="AG1325">
        <f>N(AG1324)+$AF1325</f>
        <v>10</v>
      </c>
      <c r="AH1325">
        <f>IF(AND($N1325=1,AND(对接源_02物料!$D125="周转筐－销售出库",N(对接源_02物料!$K125)&lt;&gt;0)),1,0)</f>
        <v>0</v>
      </c>
      <c r="AI1325">
        <f>N(AI1324)+$AH1325</f>
        <v>0</v>
      </c>
      <c r="AL1325" t="n">
        <v>0</v>
      </c>
      <c r="AM1325">
        <f>N(AM1324)+$AL1325</f>
        <v>2</v>
      </c>
      <c r="AN1325">
        <f>""</f>
      </c>
      <c r="AO1325" t="n">
        <v>0</v>
      </c>
      <c r="AP1325">
        <f>N(AP1324)+$AO1325</f>
        <v>13</v>
      </c>
      <c r="AR1325">
        <f>IF(OR($AF1325=1,$AH1325=1),1,0)</f>
        <v>0</v>
      </c>
      <c r="AS1325">
        <f>N(AS1324)+$AR1325</f>
        <v>10</v>
      </c>
    </row>
    <row r="1326" s="127">
      <c r="A1326" t="str">
        <f>IF(对接源_02物料!$C126="","",对接源_02物料!$C126)</f>
        <v>全修塑业</v>
      </c>
      <c r="B1326">
        <f>IF(A1326="",0,IF(MATCH(A1326,$A$4:$A$2403,0)=ROW()-3,1,0))</f>
        <v>0</v>
      </c>
      <c r="C1326">
        <f>N(C1325)+B1326</f>
        <v>25</v>
      </c>
      <c r="K1326">
        <f>IF(OR($K$1="",对接源_02物料!$C126="",对接源_02物料!$C126&lt;&gt;$K$1,对接源_02物料!$B126=""),0,IF(OR(N(对接源_02物料!$B126)&lt;$K$2,N(对接源_02物料!$B126)&gt;$K$3),0,1))</f>
        <v>0</v>
      </c>
      <c r="L1326">
        <f>IF(OR($L$1="",对接源_02物料!$C126="",对接源_02物料!$C126&lt;&gt;$L$1,对接源_02物料!$B126=""),0,IF(OR(N(对接源_02物料!$B126)&lt;$L$2,N(对接源_02物料!$B126)&gt;$L$3),0,1))</f>
        <v>0</v>
      </c>
      <c r="M1326">
        <f>IF(OR($M$1="",对接源_02物料!$C126="",对接源_02物料!$C126&lt;&gt;$M$1,对接源_02物料!$B126=""),0,IF(OR(N(对接源_02物料!$B126)&lt;$M$2,N(对接源_02物料!$B126)&gt;$M$3),0,1))</f>
        <v>0</v>
      </c>
      <c r="N1326">
        <f>IF(OR($N$1="",对接源_02物料!$C126="",对接源_02物料!$C126&lt;&gt;$N$1,对接源_02物料!$B126=""),0,IF(OR(N(对接源_02物料!$B126)&lt;$N$2,N(对接源_02物料!$B126)&gt;$N$3),0,1))</f>
        <v>0</v>
      </c>
      <c r="P1326">
        <f>IF(AND($K1326=1,AND(对接源_02物料!$X126="公司筐",N(对接源_02物料!$T126)&lt;&gt;0)),1,0)</f>
        <v>0</v>
      </c>
      <c r="Q1326">
        <f>N(Q1325)+$P1326</f>
        <v>1</v>
      </c>
      <c r="R1326">
        <f>IF(AND($K1326=1,AND(对接源_02物料!$X126="公司筐",N(对接源_02物料!$U126)&lt;&gt;0)),1,0)</f>
        <v>0</v>
      </c>
      <c r="S1326">
        <f>N(S1325)+$R1326</f>
        <v>0</v>
      </c>
      <c r="T1326">
        <f>IF(AND($K1326=1,AND(对接源_02物料!$X126="公司筐",N(对接源_02物料!$V126)&lt;&gt;0)),1,0)</f>
        <v>0</v>
      </c>
      <c r="U1326">
        <f>N(U1325)+$T1326</f>
        <v>47</v>
      </c>
      <c r="V1326">
        <f>IF(AND($L1326=1,AND(对接源_02物料!$X126="自备筐",N(对接源_02物料!$V126)&lt;&gt;0)),1,0)</f>
        <v>0</v>
      </c>
      <c r="W1326">
        <f>N(W1325)+$V1326</f>
        <v>11</v>
      </c>
      <c r="X1326">
        <f>IF(AND($L1326=1,AND(对接源_02物料!$X126="自备筐",N(对接源_02物料!$T126)&lt;&gt;0)),1,0)</f>
        <v>0</v>
      </c>
      <c r="Y1326">
        <f>N(Y1325)+$X1326</f>
        <v>0</v>
      </c>
      <c r="Z1326">
        <f>IF(AND($M1326=1,对接源_02物料!$D126="原料入库"),1,0)</f>
        <v>0</v>
      </c>
      <c r="AA1326">
        <f>N(AA1325)+$Z1326</f>
        <v>24</v>
      </c>
      <c r="AB1326">
        <f>IF(AND($M1326=1,LEFT(对接源_02物料!$D126,4)="原料出库"),1,0)</f>
        <v>0</v>
      </c>
      <c r="AC1326">
        <f>N(AC1325)+$AB1326</f>
        <v>0</v>
      </c>
      <c r="AD1326">
        <f>IF(AND($M1326=1,LEFT(对接源_02物料!$D126,4)="成品出库"),1,0)</f>
        <v>0</v>
      </c>
      <c r="AE1326">
        <f>N(AE1325)+$AD1326</f>
        <v>0</v>
      </c>
      <c r="AF1326">
        <f>IF(AND($N1326=1,AND(LEFT(对接源_02物料!$D126,4)="包装物料",N(对接源_02物料!$K126)&lt;&gt;0)),1,0)</f>
        <v>0</v>
      </c>
      <c r="AG1326">
        <f>N(AG1325)+$AF1326</f>
        <v>10</v>
      </c>
      <c r="AH1326">
        <f>IF(AND($N1326=1,AND(对接源_02物料!$D126="周转筐－销售出库",N(对接源_02物料!$K126)&lt;&gt;0)),1,0)</f>
        <v>0</v>
      </c>
      <c r="AI1326">
        <f>N(AI1325)+$AH1326</f>
        <v>0</v>
      </c>
      <c r="AL1326" t="n">
        <v>0</v>
      </c>
      <c r="AM1326">
        <f>N(AM1325)+$AL1326</f>
        <v>2</v>
      </c>
      <c r="AN1326">
        <f>""</f>
      </c>
      <c r="AO1326" t="n">
        <v>0</v>
      </c>
      <c r="AP1326">
        <f>N(AP1325)+$AO1326</f>
        <v>13</v>
      </c>
      <c r="AR1326">
        <f>IF(OR($AF1326=1,$AH1326=1),1,0)</f>
        <v>0</v>
      </c>
      <c r="AS1326">
        <f>N(AS1325)+$AR1326</f>
        <v>10</v>
      </c>
    </row>
    <row r="1327" s="127">
      <c r="A1327" t="str">
        <f>IF(对接源_02物料!$C127="","",对接源_02物料!$C127)</f>
        <v>王灵云</v>
      </c>
      <c r="B1327">
        <f>IF(A1327="",0,IF(MATCH(A1327,$A$4:$A$2403,0)=ROW()-3,1,0))</f>
        <v>0</v>
      </c>
      <c r="C1327">
        <f>N(C1326)+B1327</f>
        <v>25</v>
      </c>
      <c r="K1327">
        <f>IF(OR($K$1="",对接源_02物料!$C127="",对接源_02物料!$C127&lt;&gt;$K$1,对接源_02物料!$B127=""),0,IF(OR(N(对接源_02物料!$B127)&lt;$K$2,N(对接源_02物料!$B127)&gt;$K$3),0,1))</f>
        <v>1</v>
      </c>
      <c r="L1327">
        <f>IF(OR($L$1="",对接源_02物料!$C127="",对接源_02物料!$C127&lt;&gt;$L$1,对接源_02物料!$B127=""),0,IF(OR(N(对接源_02物料!$B127)&lt;$L$2,N(对接源_02物料!$B127)&gt;$L$3),0,1))</f>
        <v>0</v>
      </c>
      <c r="M1327">
        <f>IF(OR($M$1="",对接源_02物料!$C127="",对接源_02物料!$C127&lt;&gt;$M$1,对接源_02物料!$B127=""),0,IF(OR(N(对接源_02物料!$B127)&lt;$M$2,N(对接源_02物料!$B127)&gt;$M$3),0,1))</f>
        <v>0</v>
      </c>
      <c r="N1327">
        <f>IF(OR($N$1="",对接源_02物料!$C127="",对接源_02物料!$C127&lt;&gt;$N$1,对接源_02物料!$B127=""),0,IF(OR(N(对接源_02物料!$B127)&lt;$N$2,N(对接源_02物料!$B127)&gt;$N$3),0,1))</f>
        <v>0</v>
      </c>
      <c r="P1327">
        <f>IF(AND($K1327=1,AND(对接源_02物料!$X127="公司筐",N(对接源_02物料!$T127)&lt;&gt;0)),1,0)</f>
        <v>1</v>
      </c>
      <c r="Q1327">
        <f>N(Q1326)+$P1327</f>
        <v>2</v>
      </c>
      <c r="R1327">
        <f>IF(AND($K1327=1,AND(对接源_02物料!$X127="公司筐",N(对接源_02物料!$U127)&lt;&gt;0)),1,0)</f>
        <v>0</v>
      </c>
      <c r="S1327">
        <f>N(S1326)+$R1327</f>
        <v>0</v>
      </c>
      <c r="T1327">
        <f>IF(AND($K1327=1,AND(对接源_02物料!$X127="公司筐",N(对接源_02物料!$V127)&lt;&gt;0)),1,0)</f>
        <v>0</v>
      </c>
      <c r="U1327">
        <f>N(U1326)+$T1327</f>
        <v>47</v>
      </c>
      <c r="V1327">
        <f>IF(AND($L1327=1,AND(对接源_02物料!$X127="自备筐",N(对接源_02物料!$V127)&lt;&gt;0)),1,0)</f>
        <v>0</v>
      </c>
      <c r="W1327">
        <f>N(W1326)+$V1327</f>
        <v>11</v>
      </c>
      <c r="X1327">
        <f>IF(AND($L1327=1,AND(对接源_02物料!$X127="自备筐",N(对接源_02物料!$T127)&lt;&gt;0)),1,0)</f>
        <v>0</v>
      </c>
      <c r="Y1327">
        <f>N(Y1326)+$X1327</f>
        <v>0</v>
      </c>
      <c r="Z1327">
        <f>IF(AND($M1327=1,对接源_02物料!$D127="原料入库"),1,0)</f>
        <v>0</v>
      </c>
      <c r="AA1327">
        <f>N(AA1326)+$Z1327</f>
        <v>24</v>
      </c>
      <c r="AB1327">
        <f>IF(AND($M1327=1,LEFT(对接源_02物料!$D127,4)="原料出库"),1,0)</f>
        <v>0</v>
      </c>
      <c r="AC1327">
        <f>N(AC1326)+$AB1327</f>
        <v>0</v>
      </c>
      <c r="AD1327">
        <f>IF(AND($M1327=1,LEFT(对接源_02物料!$D127,4)="成品出库"),1,0)</f>
        <v>0</v>
      </c>
      <c r="AE1327">
        <f>N(AE1326)+$AD1327</f>
        <v>0</v>
      </c>
      <c r="AF1327">
        <f>IF(AND($N1327=1,AND(LEFT(对接源_02物料!$D127,4)="包装物料",N(对接源_02物料!$K127)&lt;&gt;0)),1,0)</f>
        <v>0</v>
      </c>
      <c r="AG1327">
        <f>N(AG1326)+$AF1327</f>
        <v>10</v>
      </c>
      <c r="AH1327">
        <f>IF(AND($N1327=1,AND(对接源_02物料!$D127="周转筐－销售出库",N(对接源_02物料!$K127)&lt;&gt;0)),1,0)</f>
        <v>0</v>
      </c>
      <c r="AI1327">
        <f>N(AI1326)+$AH1327</f>
        <v>0</v>
      </c>
      <c r="AL1327" t="n">
        <v>0</v>
      </c>
      <c r="AM1327">
        <f>N(AM1326)+$AL1327</f>
        <v>2</v>
      </c>
      <c r="AN1327">
        <f>""</f>
      </c>
      <c r="AO1327" t="n">
        <v>0</v>
      </c>
      <c r="AP1327">
        <f>N(AP1326)+$AO1327</f>
        <v>13</v>
      </c>
      <c r="AR1327">
        <f>IF(OR($AF1327=1,$AH1327=1),1,0)</f>
        <v>0</v>
      </c>
      <c r="AS1327">
        <f>N(AS1326)+$AR1327</f>
        <v>10</v>
      </c>
    </row>
    <row r="1328" s="127">
      <c r="A1328" t="str">
        <f>IF(对接源_02物料!$C128="","",对接源_02物料!$C128)</f>
        <v>全修塑业</v>
      </c>
      <c r="B1328">
        <f>IF(A1328="",0,IF(MATCH(A1328,$A$4:$A$2403,0)=ROW()-3,1,0))</f>
        <v>0</v>
      </c>
      <c r="C1328">
        <f>N(C1327)+B1328</f>
        <v>25</v>
      </c>
      <c r="K1328">
        <f>IF(OR($K$1="",对接源_02物料!$C128="",对接源_02物料!$C128&lt;&gt;$K$1,对接源_02物料!$B128=""),0,IF(OR(N(对接源_02物料!$B128)&lt;$K$2,N(对接源_02物料!$B128)&gt;$K$3),0,1))</f>
        <v>0</v>
      </c>
      <c r="L1328">
        <f>IF(OR($L$1="",对接源_02物料!$C128="",对接源_02物料!$C128&lt;&gt;$L$1,对接源_02物料!$B128=""),0,IF(OR(N(对接源_02物料!$B128)&lt;$L$2,N(对接源_02物料!$B128)&gt;$L$3),0,1))</f>
        <v>0</v>
      </c>
      <c r="M1328">
        <f>IF(OR($M$1="",对接源_02物料!$C128="",对接源_02物料!$C128&lt;&gt;$M$1,对接源_02物料!$B128=""),0,IF(OR(N(对接源_02物料!$B128)&lt;$M$2,N(对接源_02物料!$B128)&gt;$M$3),0,1))</f>
        <v>0</v>
      </c>
      <c r="N1328">
        <f>IF(OR($N$1="",对接源_02物料!$C128="",对接源_02物料!$C128&lt;&gt;$N$1,对接源_02物料!$B128=""),0,IF(OR(N(对接源_02物料!$B128)&lt;$N$2,N(对接源_02物料!$B128)&gt;$N$3),0,1))</f>
        <v>0</v>
      </c>
      <c r="P1328">
        <f>IF(AND($K1328=1,AND(对接源_02物料!$X128="公司筐",N(对接源_02物料!$T128)&lt;&gt;0)),1,0)</f>
        <v>0</v>
      </c>
      <c r="Q1328">
        <f>N(Q1327)+$P1328</f>
        <v>2</v>
      </c>
      <c r="R1328">
        <f>IF(AND($K1328=1,AND(对接源_02物料!$X128="公司筐",N(对接源_02物料!$U128)&lt;&gt;0)),1,0)</f>
        <v>0</v>
      </c>
      <c r="S1328">
        <f>N(S1327)+$R1328</f>
        <v>0</v>
      </c>
      <c r="T1328">
        <f>IF(AND($K1328=1,AND(对接源_02物料!$X128="公司筐",N(对接源_02物料!$V128)&lt;&gt;0)),1,0)</f>
        <v>0</v>
      </c>
      <c r="U1328">
        <f>N(U1327)+$T1328</f>
        <v>47</v>
      </c>
      <c r="V1328">
        <f>IF(AND($L1328=1,AND(对接源_02物料!$X128="自备筐",N(对接源_02物料!$V128)&lt;&gt;0)),1,0)</f>
        <v>0</v>
      </c>
      <c r="W1328">
        <f>N(W1327)+$V1328</f>
        <v>11</v>
      </c>
      <c r="X1328">
        <f>IF(AND($L1328=1,AND(对接源_02物料!$X128="自备筐",N(对接源_02物料!$T128)&lt;&gt;0)),1,0)</f>
        <v>0</v>
      </c>
      <c r="Y1328">
        <f>N(Y1327)+$X1328</f>
        <v>0</v>
      </c>
      <c r="Z1328">
        <f>IF(AND($M1328=1,对接源_02物料!$D128="原料入库"),1,0)</f>
        <v>0</v>
      </c>
      <c r="AA1328">
        <f>N(AA1327)+$Z1328</f>
        <v>24</v>
      </c>
      <c r="AB1328">
        <f>IF(AND($M1328=1,LEFT(对接源_02物料!$D128,4)="原料出库"),1,0)</f>
        <v>0</v>
      </c>
      <c r="AC1328">
        <f>N(AC1327)+$AB1328</f>
        <v>0</v>
      </c>
      <c r="AD1328">
        <f>IF(AND($M1328=1,LEFT(对接源_02物料!$D128,4)="成品出库"),1,0)</f>
        <v>0</v>
      </c>
      <c r="AE1328">
        <f>N(AE1327)+$AD1328</f>
        <v>0</v>
      </c>
      <c r="AF1328">
        <f>IF(AND($N1328=1,AND(LEFT(对接源_02物料!$D128,4)="包装物料",N(对接源_02物料!$K128)&lt;&gt;0)),1,0)</f>
        <v>0</v>
      </c>
      <c r="AG1328">
        <f>N(AG1327)+$AF1328</f>
        <v>10</v>
      </c>
      <c r="AH1328">
        <f>IF(AND($N1328=1,AND(对接源_02物料!$D128="周转筐－销售出库",N(对接源_02物料!$K128)&lt;&gt;0)),1,0)</f>
        <v>0</v>
      </c>
      <c r="AI1328">
        <f>N(AI1327)+$AH1328</f>
        <v>0</v>
      </c>
      <c r="AL1328" t="n">
        <v>0</v>
      </c>
      <c r="AM1328">
        <f>N(AM1327)+$AL1328</f>
        <v>2</v>
      </c>
      <c r="AN1328">
        <f>""</f>
      </c>
      <c r="AO1328" t="n">
        <v>0</v>
      </c>
      <c r="AP1328">
        <f>N(AP1327)+$AO1328</f>
        <v>13</v>
      </c>
      <c r="AR1328">
        <f>IF(OR($AF1328=1,$AH1328=1),1,0)</f>
        <v>0</v>
      </c>
      <c r="AS1328">
        <f>N(AS1327)+$AR1328</f>
        <v>10</v>
      </c>
    </row>
    <row r="1329" s="127">
      <c r="A1329" t="str">
        <f>IF(对接源_02物料!$C129="","",对接源_02物料!$C129)</f>
        <v>吐尔洪</v>
      </c>
      <c r="B1329">
        <f>IF(A1329="",0,IF(MATCH(A1329,$A$4:$A$2403,0)=ROW()-3,1,0))</f>
        <v>0</v>
      </c>
      <c r="C1329">
        <f>N(C1328)+B1329</f>
        <v>25</v>
      </c>
      <c r="K1329">
        <f>IF(OR($K$1="",对接源_02物料!$C129="",对接源_02物料!$C129&lt;&gt;$K$1,对接源_02物料!$B129=""),0,IF(OR(N(对接源_02物料!$B129)&lt;$K$2,N(对接源_02物料!$B129)&gt;$K$3),0,1))</f>
        <v>0</v>
      </c>
      <c r="L1329">
        <f>IF(OR($L$1="",对接源_02物料!$C129="",对接源_02物料!$C129&lt;&gt;$L$1,对接源_02物料!$B129=""),0,IF(OR(N(对接源_02物料!$B129)&lt;$L$2,N(对接源_02物料!$B129)&gt;$L$3),0,1))</f>
        <v>0</v>
      </c>
      <c r="M1329">
        <f>IF(OR($M$1="",对接源_02物料!$C129="",对接源_02物料!$C129&lt;&gt;$M$1,对接源_02物料!$B129=""),0,IF(OR(N(对接源_02物料!$B129)&lt;$M$2,N(对接源_02物料!$B129)&gt;$M$3),0,1))</f>
        <v>1</v>
      </c>
      <c r="N1329">
        <f>IF(OR($N$1="",对接源_02物料!$C129="",对接源_02物料!$C129&lt;&gt;$N$1,对接源_02物料!$B129=""),0,IF(OR(N(对接源_02物料!$B129)&lt;$N$2,N(对接源_02物料!$B129)&gt;$N$3),0,1))</f>
        <v>0</v>
      </c>
      <c r="P1329">
        <f>IF(AND($K1329=1,AND(对接源_02物料!$X129="公司筐",N(对接源_02物料!$T129)&lt;&gt;0)),1,0)</f>
        <v>0</v>
      </c>
      <c r="Q1329">
        <f>N(Q1328)+$P1329</f>
        <v>2</v>
      </c>
      <c r="R1329">
        <f>IF(AND($K1329=1,AND(对接源_02物料!$X129="公司筐",N(对接源_02物料!$U129)&lt;&gt;0)),1,0)</f>
        <v>0</v>
      </c>
      <c r="S1329">
        <f>N(S1328)+$R1329</f>
        <v>0</v>
      </c>
      <c r="T1329">
        <f>IF(AND($K1329=1,AND(对接源_02物料!$X129="公司筐",N(对接源_02物料!$V129)&lt;&gt;0)),1,0)</f>
        <v>0</v>
      </c>
      <c r="U1329">
        <f>N(U1328)+$T1329</f>
        <v>47</v>
      </c>
      <c r="V1329">
        <f>IF(AND($L1329=1,AND(对接源_02物料!$X129="自备筐",N(对接源_02物料!$V129)&lt;&gt;0)),1,0)</f>
        <v>0</v>
      </c>
      <c r="W1329">
        <f>N(W1328)+$V1329</f>
        <v>11</v>
      </c>
      <c r="X1329">
        <f>IF(AND($L1329=1,AND(对接源_02物料!$X129="自备筐",N(对接源_02物料!$T129)&lt;&gt;0)),1,0)</f>
        <v>0</v>
      </c>
      <c r="Y1329">
        <f>N(Y1328)+$X1329</f>
        <v>0</v>
      </c>
      <c r="Z1329">
        <f>IF(AND($M1329=1,对接源_02物料!$D129="原料入库"),1,0)</f>
        <v>0</v>
      </c>
      <c r="AA1329">
        <f>N(AA1328)+$Z1329</f>
        <v>24</v>
      </c>
      <c r="AB1329">
        <f>IF(AND($M1329=1,LEFT(对接源_02物料!$D129,4)="原料出库"),1,0)</f>
        <v>0</v>
      </c>
      <c r="AC1329">
        <f>N(AC1328)+$AB1329</f>
        <v>0</v>
      </c>
      <c r="AD1329">
        <f>IF(AND($M1329=1,LEFT(对接源_02物料!$D129,4)="成品出库"),1,0)</f>
        <v>0</v>
      </c>
      <c r="AE1329">
        <f>N(AE1328)+$AD1329</f>
        <v>0</v>
      </c>
      <c r="AF1329">
        <f>IF(AND($N1329=1,AND(LEFT(对接源_02物料!$D129,4)="包装物料",N(对接源_02物料!$K129)&lt;&gt;0)),1,0)</f>
        <v>0</v>
      </c>
      <c r="AG1329">
        <f>N(AG1328)+$AF1329</f>
        <v>10</v>
      </c>
      <c r="AH1329">
        <f>IF(AND($N1329=1,AND(对接源_02物料!$D129="周转筐－销售出库",N(对接源_02物料!$K129)&lt;&gt;0)),1,0)</f>
        <v>0</v>
      </c>
      <c r="AI1329">
        <f>N(AI1328)+$AH1329</f>
        <v>0</v>
      </c>
      <c r="AL1329" t="n">
        <v>0</v>
      </c>
      <c r="AM1329">
        <f>N(AM1328)+$AL1329</f>
        <v>2</v>
      </c>
      <c r="AN1329">
        <f>""</f>
      </c>
      <c r="AO1329" t="n">
        <v>0</v>
      </c>
      <c r="AP1329">
        <f>N(AP1328)+$AO1329</f>
        <v>13</v>
      </c>
      <c r="AR1329">
        <f>IF(OR($AF1329=1,$AH1329=1),1,0)</f>
        <v>0</v>
      </c>
      <c r="AS1329">
        <f>N(AS1328)+$AR1329</f>
        <v>10</v>
      </c>
    </row>
    <row r="1330" s="127">
      <c r="A1330" t="str">
        <f>IF(对接源_02物料!$C130="","",对接源_02物料!$C130)</f>
        <v>全修塑业</v>
      </c>
      <c r="B1330">
        <f>IF(A1330="",0,IF(MATCH(A1330,$A$4:$A$2403,0)=ROW()-3,1,0))</f>
        <v>0</v>
      </c>
      <c r="C1330">
        <f>N(C1329)+B1330</f>
        <v>25</v>
      </c>
      <c r="K1330">
        <f>IF(OR($K$1="",对接源_02物料!$C130="",对接源_02物料!$C130&lt;&gt;$K$1,对接源_02物料!$B130=""),0,IF(OR(N(对接源_02物料!$B130)&lt;$K$2,N(对接源_02物料!$B130)&gt;$K$3),0,1))</f>
        <v>0</v>
      </c>
      <c r="L1330">
        <f>IF(OR($L$1="",对接源_02物料!$C130="",对接源_02物料!$C130&lt;&gt;$L$1,对接源_02物料!$B130=""),0,IF(OR(N(对接源_02物料!$B130)&lt;$L$2,N(对接源_02物料!$B130)&gt;$L$3),0,1))</f>
        <v>0</v>
      </c>
      <c r="M1330">
        <f>IF(OR($M$1="",对接源_02物料!$C130="",对接源_02物料!$C130&lt;&gt;$M$1,对接源_02物料!$B130=""),0,IF(OR(N(对接源_02物料!$B130)&lt;$M$2,N(对接源_02物料!$B130)&gt;$M$3),0,1))</f>
        <v>0</v>
      </c>
      <c r="N1330">
        <f>IF(OR($N$1="",对接源_02物料!$C130="",对接源_02物料!$C130&lt;&gt;$N$1,对接源_02物料!$B130=""),0,IF(OR(N(对接源_02物料!$B130)&lt;$N$2,N(对接源_02物料!$B130)&gt;$N$3),0,1))</f>
        <v>0</v>
      </c>
      <c r="P1330">
        <f>IF(AND($K1330=1,AND(对接源_02物料!$X130="公司筐",N(对接源_02物料!$T130)&lt;&gt;0)),1,0)</f>
        <v>0</v>
      </c>
      <c r="Q1330">
        <f>N(Q1329)+$P1330</f>
        <v>2</v>
      </c>
      <c r="R1330">
        <f>IF(AND($K1330=1,AND(对接源_02物料!$X130="公司筐",N(对接源_02物料!$U130)&lt;&gt;0)),1,0)</f>
        <v>0</v>
      </c>
      <c r="S1330">
        <f>N(S1329)+$R1330</f>
        <v>0</v>
      </c>
      <c r="T1330">
        <f>IF(AND($K1330=1,AND(对接源_02物料!$X130="公司筐",N(对接源_02物料!$V130)&lt;&gt;0)),1,0)</f>
        <v>0</v>
      </c>
      <c r="U1330">
        <f>N(U1329)+$T1330</f>
        <v>47</v>
      </c>
      <c r="V1330">
        <f>IF(AND($L1330=1,AND(对接源_02物料!$X130="自备筐",N(对接源_02物料!$V130)&lt;&gt;0)),1,0)</f>
        <v>0</v>
      </c>
      <c r="W1330">
        <f>N(W1329)+$V1330</f>
        <v>11</v>
      </c>
      <c r="X1330">
        <f>IF(AND($L1330=1,AND(对接源_02物料!$X130="自备筐",N(对接源_02物料!$T130)&lt;&gt;0)),1,0)</f>
        <v>0</v>
      </c>
      <c r="Y1330">
        <f>N(Y1329)+$X1330</f>
        <v>0</v>
      </c>
      <c r="Z1330">
        <f>IF(AND($M1330=1,对接源_02物料!$D130="原料入库"),1,0)</f>
        <v>0</v>
      </c>
      <c r="AA1330">
        <f>N(AA1329)+$Z1330</f>
        <v>24</v>
      </c>
      <c r="AB1330">
        <f>IF(AND($M1330=1,LEFT(对接源_02物料!$D130,4)="原料出库"),1,0)</f>
        <v>0</v>
      </c>
      <c r="AC1330">
        <f>N(AC1329)+$AB1330</f>
        <v>0</v>
      </c>
      <c r="AD1330">
        <f>IF(AND($M1330=1,LEFT(对接源_02物料!$D130,4)="成品出库"),1,0)</f>
        <v>0</v>
      </c>
      <c r="AE1330">
        <f>N(AE1329)+$AD1330</f>
        <v>0</v>
      </c>
      <c r="AF1330">
        <f>IF(AND($N1330=1,AND(LEFT(对接源_02物料!$D130,4)="包装物料",N(对接源_02物料!$K130)&lt;&gt;0)),1,0)</f>
        <v>0</v>
      </c>
      <c r="AG1330">
        <f>N(AG1329)+$AF1330</f>
        <v>10</v>
      </c>
      <c r="AH1330">
        <f>IF(AND($N1330=1,AND(对接源_02物料!$D130="周转筐－销售出库",N(对接源_02物料!$K130)&lt;&gt;0)),1,0)</f>
        <v>0</v>
      </c>
      <c r="AI1330">
        <f>N(AI1329)+$AH1330</f>
        <v>0</v>
      </c>
      <c r="AL1330" t="n">
        <v>0</v>
      </c>
      <c r="AM1330">
        <f>N(AM1329)+$AL1330</f>
        <v>2</v>
      </c>
      <c r="AN1330">
        <f>""</f>
      </c>
      <c r="AO1330" t="n">
        <v>0</v>
      </c>
      <c r="AP1330">
        <f>N(AP1329)+$AO1330</f>
        <v>13</v>
      </c>
      <c r="AR1330">
        <f>IF(OR($AF1330=1,$AH1330=1),1,0)</f>
        <v>0</v>
      </c>
      <c r="AS1330">
        <f>N(AS1329)+$AR1330</f>
        <v>10</v>
      </c>
    </row>
    <row r="1331" s="127">
      <c r="A1331" t="str">
        <f>IF(对接源_02物料!$C131="","",对接源_02物料!$C131)</f>
        <v>麦麦提</v>
      </c>
      <c r="B1331">
        <f>IF(A1331="",0,IF(MATCH(A1331,$A$4:$A$2403,0)=ROW()-3,1,0))</f>
        <v>0</v>
      </c>
      <c r="C1331">
        <f>N(C1330)+B1331</f>
        <v>25</v>
      </c>
      <c r="K1331">
        <f>IF(OR($K$1="",对接源_02物料!$C131="",对接源_02物料!$C131&lt;&gt;$K$1,对接源_02物料!$B131=""),0,IF(OR(N(对接源_02物料!$B131)&lt;$K$2,N(对接源_02物料!$B131)&gt;$K$3),0,1))</f>
        <v>0</v>
      </c>
      <c r="L1331">
        <f>IF(OR($L$1="",对接源_02物料!$C131="",对接源_02物料!$C131&lt;&gt;$L$1,对接源_02物料!$B131=""),0,IF(OR(N(对接源_02物料!$B131)&lt;$L$2,N(对接源_02物料!$B131)&gt;$L$3),0,1))</f>
        <v>0</v>
      </c>
      <c r="M1331">
        <f>IF(OR($M$1="",对接源_02物料!$C131="",对接源_02物料!$C131&lt;&gt;$M$1,对接源_02物料!$B131=""),0,IF(OR(N(对接源_02物料!$B131)&lt;$M$2,N(对接源_02物料!$B131)&gt;$M$3),0,1))</f>
        <v>0</v>
      </c>
      <c r="N1331">
        <f>IF(OR($N$1="",对接源_02物料!$C131="",对接源_02物料!$C131&lt;&gt;$N$1,对接源_02物料!$B131=""),0,IF(OR(N(对接源_02物料!$B131)&lt;$N$2,N(对接源_02物料!$B131)&gt;$N$3),0,1))</f>
        <v>1</v>
      </c>
      <c r="P1331">
        <f>IF(AND($K1331=1,AND(对接源_02物料!$X131="公司筐",N(对接源_02物料!$T131)&lt;&gt;0)),1,0)</f>
        <v>0</v>
      </c>
      <c r="Q1331">
        <f>N(Q1330)+$P1331</f>
        <v>2</v>
      </c>
      <c r="R1331">
        <f>IF(AND($K1331=1,AND(对接源_02物料!$X131="公司筐",N(对接源_02物料!$U131)&lt;&gt;0)),1,0)</f>
        <v>0</v>
      </c>
      <c r="S1331">
        <f>N(S1330)+$R1331</f>
        <v>0</v>
      </c>
      <c r="T1331">
        <f>IF(AND($K1331=1,AND(对接源_02物料!$X131="公司筐",N(对接源_02物料!$V131)&lt;&gt;0)),1,0)</f>
        <v>0</v>
      </c>
      <c r="U1331">
        <f>N(U1330)+$T1331</f>
        <v>47</v>
      </c>
      <c r="V1331">
        <f>IF(AND($L1331=1,AND(对接源_02物料!$X131="自备筐",N(对接源_02物料!$V131)&lt;&gt;0)),1,0)</f>
        <v>0</v>
      </c>
      <c r="W1331">
        <f>N(W1330)+$V1331</f>
        <v>11</v>
      </c>
      <c r="X1331">
        <f>IF(AND($L1331=1,AND(对接源_02物料!$X131="自备筐",N(对接源_02物料!$T131)&lt;&gt;0)),1,0)</f>
        <v>0</v>
      </c>
      <c r="Y1331">
        <f>N(Y1330)+$X1331</f>
        <v>0</v>
      </c>
      <c r="Z1331">
        <f>IF(AND($M1331=1,对接源_02物料!$D131="原料入库"),1,0)</f>
        <v>0</v>
      </c>
      <c r="AA1331">
        <f>N(AA1330)+$Z1331</f>
        <v>24</v>
      </c>
      <c r="AB1331">
        <f>IF(AND($M1331=1,LEFT(对接源_02物料!$D131,4)="原料出库"),1,0)</f>
        <v>0</v>
      </c>
      <c r="AC1331">
        <f>N(AC1330)+$AB1331</f>
        <v>0</v>
      </c>
      <c r="AD1331">
        <f>IF(AND($M1331=1,LEFT(对接源_02物料!$D131,4)="成品出库"),1,0)</f>
        <v>0</v>
      </c>
      <c r="AE1331">
        <f>N(AE1330)+$AD1331</f>
        <v>0</v>
      </c>
      <c r="AF1331">
        <f>IF(AND($N1331=1,AND(LEFT(对接源_02物料!$D131,4)="包装物料",N(对接源_02物料!$K131)&lt;&gt;0)),1,0)</f>
        <v>0</v>
      </c>
      <c r="AG1331">
        <f>N(AG1330)+$AF1331</f>
        <v>10</v>
      </c>
      <c r="AH1331">
        <f>IF(AND($N1331=1,AND(对接源_02物料!$D131="周转筐－销售出库",N(对接源_02物料!$K131)&lt;&gt;0)),1,0)</f>
        <v>0</v>
      </c>
      <c r="AI1331">
        <f>N(AI1330)+$AH1331</f>
        <v>0</v>
      </c>
      <c r="AL1331" t="n">
        <v>0</v>
      </c>
      <c r="AM1331">
        <f>N(AM1330)+$AL1331</f>
        <v>2</v>
      </c>
      <c r="AN1331">
        <f>""</f>
      </c>
      <c r="AO1331" t="n">
        <v>0</v>
      </c>
      <c r="AP1331">
        <f>N(AP1330)+$AO1331</f>
        <v>13</v>
      </c>
      <c r="AR1331">
        <f>IF(OR($AF1331=1,$AH1331=1),1,0)</f>
        <v>0</v>
      </c>
      <c r="AS1331">
        <f>N(AS1330)+$AR1331</f>
        <v>10</v>
      </c>
    </row>
    <row r="1332" s="127">
      <c r="A1332" t="str">
        <f>IF(对接源_02物料!$C132="","",对接源_02物料!$C132)</f>
        <v>全修塑业</v>
      </c>
      <c r="B1332">
        <f>IF(A1332="",0,IF(MATCH(A1332,$A$4:$A$2403,0)=ROW()-3,1,0))</f>
        <v>0</v>
      </c>
      <c r="C1332">
        <f>N(C1331)+B1332</f>
        <v>25</v>
      </c>
      <c r="K1332">
        <f>IF(OR($K$1="",对接源_02物料!$C132="",对接源_02物料!$C132&lt;&gt;$K$1,对接源_02物料!$B132=""),0,IF(OR(N(对接源_02物料!$B132)&lt;$K$2,N(对接源_02物料!$B132)&gt;$K$3),0,1))</f>
        <v>0</v>
      </c>
      <c r="L1332">
        <f>IF(OR($L$1="",对接源_02物料!$C132="",对接源_02物料!$C132&lt;&gt;$L$1,对接源_02物料!$B132=""),0,IF(OR(N(对接源_02物料!$B132)&lt;$L$2,N(对接源_02物料!$B132)&gt;$L$3),0,1))</f>
        <v>0</v>
      </c>
      <c r="M1332">
        <f>IF(OR($M$1="",对接源_02物料!$C132="",对接源_02物料!$C132&lt;&gt;$M$1,对接源_02物料!$B132=""),0,IF(OR(N(对接源_02物料!$B132)&lt;$M$2,N(对接源_02物料!$B132)&gt;$M$3),0,1))</f>
        <v>0</v>
      </c>
      <c r="N1332">
        <f>IF(OR($N$1="",对接源_02物料!$C132="",对接源_02物料!$C132&lt;&gt;$N$1,对接源_02物料!$B132=""),0,IF(OR(N(对接源_02物料!$B132)&lt;$N$2,N(对接源_02物料!$B132)&gt;$N$3),0,1))</f>
        <v>0</v>
      </c>
      <c r="P1332">
        <f>IF(AND($K1332=1,AND(对接源_02物料!$X132="公司筐",N(对接源_02物料!$T132)&lt;&gt;0)),1,0)</f>
        <v>0</v>
      </c>
      <c r="Q1332">
        <f>N(Q1331)+$P1332</f>
        <v>2</v>
      </c>
      <c r="R1332">
        <f>IF(AND($K1332=1,AND(对接源_02物料!$X132="公司筐",N(对接源_02物料!$U132)&lt;&gt;0)),1,0)</f>
        <v>0</v>
      </c>
      <c r="S1332">
        <f>N(S1331)+$R1332</f>
        <v>0</v>
      </c>
      <c r="T1332">
        <f>IF(AND($K1332=1,AND(对接源_02物料!$X132="公司筐",N(对接源_02物料!$V132)&lt;&gt;0)),1,0)</f>
        <v>0</v>
      </c>
      <c r="U1332">
        <f>N(U1331)+$T1332</f>
        <v>47</v>
      </c>
      <c r="V1332">
        <f>IF(AND($L1332=1,AND(对接源_02物料!$X132="自备筐",N(对接源_02物料!$V132)&lt;&gt;0)),1,0)</f>
        <v>0</v>
      </c>
      <c r="W1332">
        <f>N(W1331)+$V1332</f>
        <v>11</v>
      </c>
      <c r="X1332">
        <f>IF(AND($L1332=1,AND(对接源_02物料!$X132="自备筐",N(对接源_02物料!$T132)&lt;&gt;0)),1,0)</f>
        <v>0</v>
      </c>
      <c r="Y1332">
        <f>N(Y1331)+$X1332</f>
        <v>0</v>
      </c>
      <c r="Z1332">
        <f>IF(AND($M1332=1,对接源_02物料!$D132="原料入库"),1,0)</f>
        <v>0</v>
      </c>
      <c r="AA1332">
        <f>N(AA1331)+$Z1332</f>
        <v>24</v>
      </c>
      <c r="AB1332">
        <f>IF(AND($M1332=1,LEFT(对接源_02物料!$D132,4)="原料出库"),1,0)</f>
        <v>0</v>
      </c>
      <c r="AC1332">
        <f>N(AC1331)+$AB1332</f>
        <v>0</v>
      </c>
      <c r="AD1332">
        <f>IF(AND($M1332=1,LEFT(对接源_02物料!$D132,4)="成品出库"),1,0)</f>
        <v>0</v>
      </c>
      <c r="AE1332">
        <f>N(AE1331)+$AD1332</f>
        <v>0</v>
      </c>
      <c r="AF1332">
        <f>IF(AND($N1332=1,AND(LEFT(对接源_02物料!$D132,4)="包装物料",N(对接源_02物料!$K132)&lt;&gt;0)),1,0)</f>
        <v>0</v>
      </c>
      <c r="AG1332">
        <f>N(AG1331)+$AF1332</f>
        <v>10</v>
      </c>
      <c r="AH1332">
        <f>IF(AND($N1332=1,AND(对接源_02物料!$D132="周转筐－销售出库",N(对接源_02物料!$K132)&lt;&gt;0)),1,0)</f>
        <v>0</v>
      </c>
      <c r="AI1332">
        <f>N(AI1331)+$AH1332</f>
        <v>0</v>
      </c>
      <c r="AL1332" t="n">
        <v>0</v>
      </c>
      <c r="AM1332">
        <f>N(AM1331)+$AL1332</f>
        <v>2</v>
      </c>
      <c r="AN1332">
        <f>""</f>
      </c>
      <c r="AO1332" t="n">
        <v>0</v>
      </c>
      <c r="AP1332">
        <f>N(AP1331)+$AO1332</f>
        <v>13</v>
      </c>
      <c r="AR1332">
        <f>IF(OR($AF1332=1,$AH1332=1),1,0)</f>
        <v>0</v>
      </c>
      <c r="AS1332">
        <f>N(AS1331)+$AR1332</f>
        <v>10</v>
      </c>
    </row>
    <row r="1333" s="127">
      <c r="A1333" t="str">
        <f>IF(对接源_02物料!$C133="","",对接源_02物料!$C133)</f>
        <v>马锦祥</v>
      </c>
      <c r="B1333">
        <f>IF(A1333="",0,IF(MATCH(A1333,$A$4:$A$2403,0)=ROW()-3,1,0))</f>
        <v>0</v>
      </c>
      <c r="C1333">
        <f>N(C1332)+B1333</f>
        <v>25</v>
      </c>
      <c r="K1333">
        <f>IF(OR($K$1="",对接源_02物料!$C133="",对接源_02物料!$C133&lt;&gt;$K$1,对接源_02物料!$B133=""),0,IF(OR(N(对接源_02物料!$B133)&lt;$K$2,N(对接源_02物料!$B133)&gt;$K$3),0,1))</f>
        <v>0</v>
      </c>
      <c r="L1333">
        <f>IF(OR($L$1="",对接源_02物料!$C133="",对接源_02物料!$C133&lt;&gt;$L$1,对接源_02物料!$B133=""),0,IF(OR(N(对接源_02物料!$B133)&lt;$L$2,N(对接源_02物料!$B133)&gt;$L$3),0,1))</f>
        <v>0</v>
      </c>
      <c r="M1333">
        <f>IF(OR($M$1="",对接源_02物料!$C133="",对接源_02物料!$C133&lt;&gt;$M$1,对接源_02物料!$B133=""),0,IF(OR(N(对接源_02物料!$B133)&lt;$M$2,N(对接源_02物料!$B133)&gt;$M$3),0,1))</f>
        <v>0</v>
      </c>
      <c r="N1333">
        <f>IF(OR($N$1="",对接源_02物料!$C133="",对接源_02物料!$C133&lt;&gt;$N$1,对接源_02物料!$B133=""),0,IF(OR(N(对接源_02物料!$B133)&lt;$N$2,N(对接源_02物料!$B133)&gt;$N$3),0,1))</f>
        <v>0</v>
      </c>
      <c r="P1333">
        <f>IF(AND($K1333=1,AND(对接源_02物料!$X133="公司筐",N(对接源_02物料!$T133)&lt;&gt;0)),1,0)</f>
        <v>0</v>
      </c>
      <c r="Q1333">
        <f>N(Q1332)+$P1333</f>
        <v>2</v>
      </c>
      <c r="R1333">
        <f>IF(AND($K1333=1,AND(对接源_02物料!$X133="公司筐",N(对接源_02物料!$U133)&lt;&gt;0)),1,0)</f>
        <v>0</v>
      </c>
      <c r="S1333">
        <f>N(S1332)+$R1333</f>
        <v>0</v>
      </c>
      <c r="T1333">
        <f>IF(AND($K1333=1,AND(对接源_02物料!$X133="公司筐",N(对接源_02物料!$V133)&lt;&gt;0)),1,0)</f>
        <v>0</v>
      </c>
      <c r="U1333">
        <f>N(U1332)+$T1333</f>
        <v>47</v>
      </c>
      <c r="V1333">
        <f>IF(AND($L1333=1,AND(对接源_02物料!$X133="自备筐",N(对接源_02物料!$V133)&lt;&gt;0)),1,0)</f>
        <v>0</v>
      </c>
      <c r="W1333">
        <f>N(W1332)+$V1333</f>
        <v>11</v>
      </c>
      <c r="X1333">
        <f>IF(AND($L1333=1,AND(对接源_02物料!$X133="自备筐",N(对接源_02物料!$T133)&lt;&gt;0)),1,0)</f>
        <v>0</v>
      </c>
      <c r="Y1333">
        <f>N(Y1332)+$X1333</f>
        <v>0</v>
      </c>
      <c r="Z1333">
        <f>IF(AND($M1333=1,对接源_02物料!$D133="原料入库"),1,0)</f>
        <v>0</v>
      </c>
      <c r="AA1333">
        <f>N(AA1332)+$Z1333</f>
        <v>24</v>
      </c>
      <c r="AB1333">
        <f>IF(AND($M1333=1,LEFT(对接源_02物料!$D133,4)="原料出库"),1,0)</f>
        <v>0</v>
      </c>
      <c r="AC1333">
        <f>N(AC1332)+$AB1333</f>
        <v>0</v>
      </c>
      <c r="AD1333">
        <f>IF(AND($M1333=1,LEFT(对接源_02物料!$D133,4)="成品出库"),1,0)</f>
        <v>0</v>
      </c>
      <c r="AE1333">
        <f>N(AE1332)+$AD1333</f>
        <v>0</v>
      </c>
      <c r="AF1333">
        <f>IF(AND($N1333=1,AND(LEFT(对接源_02物料!$D133,4)="包装物料",N(对接源_02物料!$K133)&lt;&gt;0)),1,0)</f>
        <v>0</v>
      </c>
      <c r="AG1333">
        <f>N(AG1332)+$AF1333</f>
        <v>10</v>
      </c>
      <c r="AH1333">
        <f>IF(AND($N1333=1,AND(对接源_02物料!$D133="周转筐－销售出库",N(对接源_02物料!$K133)&lt;&gt;0)),1,0)</f>
        <v>0</v>
      </c>
      <c r="AI1333">
        <f>N(AI1332)+$AH1333</f>
        <v>0</v>
      </c>
      <c r="AL1333" t="n">
        <v>0</v>
      </c>
      <c r="AM1333">
        <f>N(AM1332)+$AL1333</f>
        <v>2</v>
      </c>
      <c r="AN1333">
        <f>""</f>
      </c>
      <c r="AO1333" t="n">
        <v>0</v>
      </c>
      <c r="AP1333">
        <f>N(AP1332)+$AO1333</f>
        <v>13</v>
      </c>
      <c r="AR1333">
        <f>IF(OR($AF1333=1,$AH1333=1),1,0)</f>
        <v>0</v>
      </c>
      <c r="AS1333">
        <f>N(AS1332)+$AR1333</f>
        <v>10</v>
      </c>
    </row>
    <row r="1334" s="127">
      <c r="A1334" t="str">
        <f>IF(对接源_02物料!$C134="","",对接源_02物料!$C134)</f>
        <v>王照雪</v>
      </c>
      <c r="B1334">
        <f>IF(A1334="",0,IF(MATCH(A1334,$A$4:$A$2403,0)=ROW()-3,1,0))</f>
        <v>0</v>
      </c>
      <c r="C1334">
        <f>N(C1333)+B1334</f>
        <v>25</v>
      </c>
      <c r="K1334">
        <f>IF(OR($K$1="",对接源_02物料!$C134="",对接源_02物料!$C134&lt;&gt;$K$1,对接源_02物料!$B134=""),0,IF(OR(N(对接源_02物料!$B134)&lt;$K$2,N(对接源_02物料!$B134)&gt;$K$3),0,1))</f>
        <v>0</v>
      </c>
      <c r="L1334">
        <f>IF(OR($L$1="",对接源_02物料!$C134="",对接源_02物料!$C134&lt;&gt;$L$1,对接源_02物料!$B134=""),0,IF(OR(N(对接源_02物料!$B134)&lt;$L$2,N(对接源_02物料!$B134)&gt;$L$3),0,1))</f>
        <v>0</v>
      </c>
      <c r="M1334">
        <f>IF(OR($M$1="",对接源_02物料!$C134="",对接源_02物料!$C134&lt;&gt;$M$1,对接源_02物料!$B134=""),0,IF(OR(N(对接源_02物料!$B134)&lt;$M$2,N(对接源_02物料!$B134)&gt;$M$3),0,1))</f>
        <v>0</v>
      </c>
      <c r="N1334">
        <f>IF(OR($N$1="",对接源_02物料!$C134="",对接源_02物料!$C134&lt;&gt;$N$1,对接源_02物料!$B134=""),0,IF(OR(N(对接源_02物料!$B134)&lt;$N$2,N(对接源_02物料!$B134)&gt;$N$3),0,1))</f>
        <v>0</v>
      </c>
      <c r="P1334">
        <f>IF(AND($K1334=1,AND(对接源_02物料!$X134="公司筐",N(对接源_02物料!$T134)&lt;&gt;0)),1,0)</f>
        <v>0</v>
      </c>
      <c r="Q1334">
        <f>N(Q1333)+$P1334</f>
        <v>2</v>
      </c>
      <c r="R1334">
        <f>IF(AND($K1334=1,AND(对接源_02物料!$X134="公司筐",N(对接源_02物料!$U134)&lt;&gt;0)),1,0)</f>
        <v>0</v>
      </c>
      <c r="S1334">
        <f>N(S1333)+$R1334</f>
        <v>0</v>
      </c>
      <c r="T1334">
        <f>IF(AND($K1334=1,AND(对接源_02物料!$X134="公司筐",N(对接源_02物料!$V134)&lt;&gt;0)),1,0)</f>
        <v>0</v>
      </c>
      <c r="U1334">
        <f>N(U1333)+$T1334</f>
        <v>47</v>
      </c>
      <c r="V1334">
        <f>IF(AND($L1334=1,AND(对接源_02物料!$X134="自备筐",N(对接源_02物料!$V134)&lt;&gt;0)),1,0)</f>
        <v>0</v>
      </c>
      <c r="W1334">
        <f>N(W1333)+$V1334</f>
        <v>11</v>
      </c>
      <c r="X1334">
        <f>IF(AND($L1334=1,AND(对接源_02物料!$X134="自备筐",N(对接源_02物料!$T134)&lt;&gt;0)),1,0)</f>
        <v>0</v>
      </c>
      <c r="Y1334">
        <f>N(Y1333)+$X1334</f>
        <v>0</v>
      </c>
      <c r="Z1334">
        <f>IF(AND($M1334=1,对接源_02物料!$D134="原料入库"),1,0)</f>
        <v>0</v>
      </c>
      <c r="AA1334">
        <f>N(AA1333)+$Z1334</f>
        <v>24</v>
      </c>
      <c r="AB1334">
        <f>IF(AND($M1334=1,LEFT(对接源_02物料!$D134,4)="原料出库"),1,0)</f>
        <v>0</v>
      </c>
      <c r="AC1334">
        <f>N(AC1333)+$AB1334</f>
        <v>0</v>
      </c>
      <c r="AD1334">
        <f>IF(AND($M1334=1,LEFT(对接源_02物料!$D134,4)="成品出库"),1,0)</f>
        <v>0</v>
      </c>
      <c r="AE1334">
        <f>N(AE1333)+$AD1334</f>
        <v>0</v>
      </c>
      <c r="AF1334">
        <f>IF(AND($N1334=1,AND(LEFT(对接源_02物料!$D134,4)="包装物料",N(对接源_02物料!$K134)&lt;&gt;0)),1,0)</f>
        <v>0</v>
      </c>
      <c r="AG1334">
        <f>N(AG1333)+$AF1334</f>
        <v>10</v>
      </c>
      <c r="AH1334">
        <f>IF(AND($N1334=1,AND(对接源_02物料!$D134="周转筐－销售出库",N(对接源_02物料!$K134)&lt;&gt;0)),1,0)</f>
        <v>0</v>
      </c>
      <c r="AI1334">
        <f>N(AI1333)+$AH1334</f>
        <v>0</v>
      </c>
      <c r="AL1334" t="n">
        <v>0</v>
      </c>
      <c r="AM1334">
        <f>N(AM1333)+$AL1334</f>
        <v>2</v>
      </c>
      <c r="AN1334">
        <f>""</f>
      </c>
      <c r="AO1334" t="n">
        <v>0</v>
      </c>
      <c r="AP1334">
        <f>N(AP1333)+$AO1334</f>
        <v>13</v>
      </c>
      <c r="AR1334">
        <f>IF(OR($AF1334=1,$AH1334=1),1,0)</f>
        <v>0</v>
      </c>
      <c r="AS1334">
        <f>N(AS1333)+$AR1334</f>
        <v>10</v>
      </c>
    </row>
    <row r="1335" s="127">
      <c r="A1335" t="str">
        <f>IF(对接源_02物料!$C135="","",对接源_02物料!$C135)</f>
        <v>王照雪</v>
      </c>
      <c r="B1335">
        <f>IF(A1335="",0,IF(MATCH(A1335,$A$4:$A$2403,0)=ROW()-3,1,0))</f>
        <v>0</v>
      </c>
      <c r="C1335">
        <f>N(C1334)+B1335</f>
        <v>25</v>
      </c>
      <c r="K1335">
        <f>IF(OR($K$1="",对接源_02物料!$C135="",对接源_02物料!$C135&lt;&gt;$K$1,对接源_02物料!$B135=""),0,IF(OR(N(对接源_02物料!$B135)&lt;$K$2,N(对接源_02物料!$B135)&gt;$K$3),0,1))</f>
        <v>0</v>
      </c>
      <c r="L1335">
        <f>IF(OR($L$1="",对接源_02物料!$C135="",对接源_02物料!$C135&lt;&gt;$L$1,对接源_02物料!$B135=""),0,IF(OR(N(对接源_02物料!$B135)&lt;$L$2,N(对接源_02物料!$B135)&gt;$L$3),0,1))</f>
        <v>0</v>
      </c>
      <c r="M1335">
        <f>IF(OR($M$1="",对接源_02物料!$C135="",对接源_02物料!$C135&lt;&gt;$M$1,对接源_02物料!$B135=""),0,IF(OR(N(对接源_02物料!$B135)&lt;$M$2,N(对接源_02物料!$B135)&gt;$M$3),0,1))</f>
        <v>0</v>
      </c>
      <c r="N1335">
        <f>IF(OR($N$1="",对接源_02物料!$C135="",对接源_02物料!$C135&lt;&gt;$N$1,对接源_02物料!$B135=""),0,IF(OR(N(对接源_02物料!$B135)&lt;$N$2,N(对接源_02物料!$B135)&gt;$N$3),0,1))</f>
        <v>0</v>
      </c>
      <c r="P1335">
        <f>IF(AND($K1335=1,AND(对接源_02物料!$X135="公司筐",N(对接源_02物料!$T135)&lt;&gt;0)),1,0)</f>
        <v>0</v>
      </c>
      <c r="Q1335">
        <f>N(Q1334)+$P1335</f>
        <v>2</v>
      </c>
      <c r="R1335">
        <f>IF(AND($K1335=1,AND(对接源_02物料!$X135="公司筐",N(对接源_02物料!$U135)&lt;&gt;0)),1,0)</f>
        <v>0</v>
      </c>
      <c r="S1335">
        <f>N(S1334)+$R1335</f>
        <v>0</v>
      </c>
      <c r="T1335">
        <f>IF(AND($K1335=1,AND(对接源_02物料!$X135="公司筐",N(对接源_02物料!$V135)&lt;&gt;0)),1,0)</f>
        <v>0</v>
      </c>
      <c r="U1335">
        <f>N(U1334)+$T1335</f>
        <v>47</v>
      </c>
      <c r="V1335">
        <f>IF(AND($L1335=1,AND(对接源_02物料!$X135="自备筐",N(对接源_02物料!$V135)&lt;&gt;0)),1,0)</f>
        <v>0</v>
      </c>
      <c r="W1335">
        <f>N(W1334)+$V1335</f>
        <v>11</v>
      </c>
      <c r="X1335">
        <f>IF(AND($L1335=1,AND(对接源_02物料!$X135="自备筐",N(对接源_02物料!$T135)&lt;&gt;0)),1,0)</f>
        <v>0</v>
      </c>
      <c r="Y1335">
        <f>N(Y1334)+$X1335</f>
        <v>0</v>
      </c>
      <c r="Z1335">
        <f>IF(AND($M1335=1,对接源_02物料!$D135="原料入库"),1,0)</f>
        <v>0</v>
      </c>
      <c r="AA1335">
        <f>N(AA1334)+$Z1335</f>
        <v>24</v>
      </c>
      <c r="AB1335">
        <f>IF(AND($M1335=1,LEFT(对接源_02物料!$D135,4)="原料出库"),1,0)</f>
        <v>0</v>
      </c>
      <c r="AC1335">
        <f>N(AC1334)+$AB1335</f>
        <v>0</v>
      </c>
      <c r="AD1335">
        <f>IF(AND($M1335=1,LEFT(对接源_02物料!$D135,4)="成品出库"),1,0)</f>
        <v>0</v>
      </c>
      <c r="AE1335">
        <f>N(AE1334)+$AD1335</f>
        <v>0</v>
      </c>
      <c r="AF1335">
        <f>IF(AND($N1335=1,AND(LEFT(对接源_02物料!$D135,4)="包装物料",N(对接源_02物料!$K135)&lt;&gt;0)),1,0)</f>
        <v>0</v>
      </c>
      <c r="AG1335">
        <f>N(AG1334)+$AF1335</f>
        <v>10</v>
      </c>
      <c r="AH1335">
        <f>IF(AND($N1335=1,AND(对接源_02物料!$D135="周转筐－销售出库",N(对接源_02物料!$K135)&lt;&gt;0)),1,0)</f>
        <v>0</v>
      </c>
      <c r="AI1335">
        <f>N(AI1334)+$AH1335</f>
        <v>0</v>
      </c>
      <c r="AL1335" t="n">
        <v>0</v>
      </c>
      <c r="AM1335">
        <f>N(AM1334)+$AL1335</f>
        <v>2</v>
      </c>
      <c r="AN1335">
        <f>""</f>
      </c>
      <c r="AO1335" t="n">
        <v>0</v>
      </c>
      <c r="AP1335">
        <f>N(AP1334)+$AO1335</f>
        <v>13</v>
      </c>
      <c r="AR1335">
        <f>IF(OR($AF1335=1,$AH1335=1),1,0)</f>
        <v>0</v>
      </c>
      <c r="AS1335">
        <f>N(AS1334)+$AR1335</f>
        <v>10</v>
      </c>
    </row>
    <row r="1336" s="127">
      <c r="A1336" t="str">
        <f>IF(对接源_02物料!$C136="","",对接源_02物料!$C136)</f>
        <v>努尔敦</v>
      </c>
      <c r="B1336">
        <f>IF(A1336="",0,IF(MATCH(A1336,$A$4:$A$2403,0)=ROW()-3,1,0))</f>
        <v>0</v>
      </c>
      <c r="C1336">
        <f>N(C1335)+B1336</f>
        <v>25</v>
      </c>
      <c r="K1336">
        <f>IF(OR($K$1="",对接源_02物料!$C136="",对接源_02物料!$C136&lt;&gt;$K$1,对接源_02物料!$B136=""),0,IF(OR(N(对接源_02物料!$B136)&lt;$K$2,N(对接源_02物料!$B136)&gt;$K$3),0,1))</f>
        <v>0</v>
      </c>
      <c r="L1336">
        <f>IF(OR($L$1="",对接源_02物料!$C136="",对接源_02物料!$C136&lt;&gt;$L$1,对接源_02物料!$B136=""),0,IF(OR(N(对接源_02物料!$B136)&lt;$L$2,N(对接源_02物料!$B136)&gt;$L$3),0,1))</f>
        <v>0</v>
      </c>
      <c r="M1336">
        <f>IF(OR($M$1="",对接源_02物料!$C136="",对接源_02物料!$C136&lt;&gt;$M$1,对接源_02物料!$B136=""),0,IF(OR(N(对接源_02物料!$B136)&lt;$M$2,N(对接源_02物料!$B136)&gt;$M$3),0,1))</f>
        <v>0</v>
      </c>
      <c r="N1336">
        <f>IF(OR($N$1="",对接源_02物料!$C136="",对接源_02物料!$C136&lt;&gt;$N$1,对接源_02物料!$B136=""),0,IF(OR(N(对接源_02物料!$B136)&lt;$N$2,N(对接源_02物料!$B136)&gt;$N$3),0,1))</f>
        <v>0</v>
      </c>
      <c r="P1336">
        <f>IF(AND($K1336=1,AND(对接源_02物料!$X136="公司筐",N(对接源_02物料!$T136)&lt;&gt;0)),1,0)</f>
        <v>0</v>
      </c>
      <c r="Q1336">
        <f>N(Q1335)+$P1336</f>
        <v>2</v>
      </c>
      <c r="R1336">
        <f>IF(AND($K1336=1,AND(对接源_02物料!$X136="公司筐",N(对接源_02物料!$U136)&lt;&gt;0)),1,0)</f>
        <v>0</v>
      </c>
      <c r="S1336">
        <f>N(S1335)+$R1336</f>
        <v>0</v>
      </c>
      <c r="T1336">
        <f>IF(AND($K1336=1,AND(对接源_02物料!$X136="公司筐",N(对接源_02物料!$V136)&lt;&gt;0)),1,0)</f>
        <v>0</v>
      </c>
      <c r="U1336">
        <f>N(U1335)+$T1336</f>
        <v>47</v>
      </c>
      <c r="V1336">
        <f>IF(AND($L1336=1,AND(对接源_02物料!$X136="自备筐",N(对接源_02物料!$V136)&lt;&gt;0)),1,0)</f>
        <v>0</v>
      </c>
      <c r="W1336">
        <f>N(W1335)+$V1336</f>
        <v>11</v>
      </c>
      <c r="X1336">
        <f>IF(AND($L1336=1,AND(对接源_02物料!$X136="自备筐",N(对接源_02物料!$T136)&lt;&gt;0)),1,0)</f>
        <v>0</v>
      </c>
      <c r="Y1336">
        <f>N(Y1335)+$X1336</f>
        <v>0</v>
      </c>
      <c r="Z1336">
        <f>IF(AND($M1336=1,对接源_02物料!$D136="原料入库"),1,0)</f>
        <v>0</v>
      </c>
      <c r="AA1336">
        <f>N(AA1335)+$Z1336</f>
        <v>24</v>
      </c>
      <c r="AB1336">
        <f>IF(AND($M1336=1,LEFT(对接源_02物料!$D136,4)="原料出库"),1,0)</f>
        <v>0</v>
      </c>
      <c r="AC1336">
        <f>N(AC1335)+$AB1336</f>
        <v>0</v>
      </c>
      <c r="AD1336">
        <f>IF(AND($M1336=1,LEFT(对接源_02物料!$D136,4)="成品出库"),1,0)</f>
        <v>0</v>
      </c>
      <c r="AE1336">
        <f>N(AE1335)+$AD1336</f>
        <v>0</v>
      </c>
      <c r="AF1336">
        <f>IF(AND($N1336=1,AND(LEFT(对接源_02物料!$D136,4)="包装物料",N(对接源_02物料!$K136)&lt;&gt;0)),1,0)</f>
        <v>0</v>
      </c>
      <c r="AG1336">
        <f>N(AG1335)+$AF1336</f>
        <v>10</v>
      </c>
      <c r="AH1336">
        <f>IF(AND($N1336=1,AND(对接源_02物料!$D136="周转筐－销售出库",N(对接源_02物料!$K136)&lt;&gt;0)),1,0)</f>
        <v>0</v>
      </c>
      <c r="AI1336">
        <f>N(AI1335)+$AH1336</f>
        <v>0</v>
      </c>
      <c r="AL1336" t="n">
        <v>0</v>
      </c>
      <c r="AM1336">
        <f>N(AM1335)+$AL1336</f>
        <v>2</v>
      </c>
      <c r="AN1336">
        <f>""</f>
      </c>
      <c r="AO1336" t="n">
        <v>0</v>
      </c>
      <c r="AP1336">
        <f>N(AP1335)+$AO1336</f>
        <v>13</v>
      </c>
      <c r="AR1336">
        <f>IF(OR($AF1336=1,$AH1336=1),1,0)</f>
        <v>0</v>
      </c>
      <c r="AS1336">
        <f>N(AS1335)+$AR1336</f>
        <v>10</v>
      </c>
    </row>
    <row r="1337" s="127">
      <c r="A1337" t="str">
        <f>IF(对接源_02物料!$C137="","",对接源_02物料!$C137)</f>
        <v>全修塑业</v>
      </c>
      <c r="B1337">
        <f>IF(A1337="",0,IF(MATCH(A1337,$A$4:$A$2403,0)=ROW()-3,1,0))</f>
        <v>0</v>
      </c>
      <c r="C1337">
        <f>N(C1336)+B1337</f>
        <v>25</v>
      </c>
      <c r="K1337">
        <f>IF(OR($K$1="",对接源_02物料!$C137="",对接源_02物料!$C137&lt;&gt;$K$1,对接源_02物料!$B137=""),0,IF(OR(N(对接源_02物料!$B137)&lt;$K$2,N(对接源_02物料!$B137)&gt;$K$3),0,1))</f>
        <v>0</v>
      </c>
      <c r="L1337">
        <f>IF(OR($L$1="",对接源_02物料!$C137="",对接源_02物料!$C137&lt;&gt;$L$1,对接源_02物料!$B137=""),0,IF(OR(N(对接源_02物料!$B137)&lt;$L$2,N(对接源_02物料!$B137)&gt;$L$3),0,1))</f>
        <v>0</v>
      </c>
      <c r="M1337">
        <f>IF(OR($M$1="",对接源_02物料!$C137="",对接源_02物料!$C137&lt;&gt;$M$1,对接源_02物料!$B137=""),0,IF(OR(N(对接源_02物料!$B137)&lt;$M$2,N(对接源_02物料!$B137)&gt;$M$3),0,1))</f>
        <v>0</v>
      </c>
      <c r="N1337">
        <f>IF(OR($N$1="",对接源_02物料!$C137="",对接源_02物料!$C137&lt;&gt;$N$1,对接源_02物料!$B137=""),0,IF(OR(N(对接源_02物料!$B137)&lt;$N$2,N(对接源_02物料!$B137)&gt;$N$3),0,1))</f>
        <v>0</v>
      </c>
      <c r="P1337">
        <f>IF(AND($K1337=1,AND(对接源_02物料!$X137="公司筐",N(对接源_02物料!$T137)&lt;&gt;0)),1,0)</f>
        <v>0</v>
      </c>
      <c r="Q1337">
        <f>N(Q1336)+$P1337</f>
        <v>2</v>
      </c>
      <c r="R1337">
        <f>IF(AND($K1337=1,AND(对接源_02物料!$X137="公司筐",N(对接源_02物料!$U137)&lt;&gt;0)),1,0)</f>
        <v>0</v>
      </c>
      <c r="S1337">
        <f>N(S1336)+$R1337</f>
        <v>0</v>
      </c>
      <c r="T1337">
        <f>IF(AND($K1337=1,AND(对接源_02物料!$X137="公司筐",N(对接源_02物料!$V137)&lt;&gt;0)),1,0)</f>
        <v>0</v>
      </c>
      <c r="U1337">
        <f>N(U1336)+$T1337</f>
        <v>47</v>
      </c>
      <c r="V1337">
        <f>IF(AND($L1337=1,AND(对接源_02物料!$X137="自备筐",N(对接源_02物料!$V137)&lt;&gt;0)),1,0)</f>
        <v>0</v>
      </c>
      <c r="W1337">
        <f>N(W1336)+$V1337</f>
        <v>11</v>
      </c>
      <c r="X1337">
        <f>IF(AND($L1337=1,AND(对接源_02物料!$X137="自备筐",N(对接源_02物料!$T137)&lt;&gt;0)),1,0)</f>
        <v>0</v>
      </c>
      <c r="Y1337">
        <f>N(Y1336)+$X1337</f>
        <v>0</v>
      </c>
      <c r="Z1337">
        <f>IF(AND($M1337=1,对接源_02物料!$D137="原料入库"),1,0)</f>
        <v>0</v>
      </c>
      <c r="AA1337">
        <f>N(AA1336)+$Z1337</f>
        <v>24</v>
      </c>
      <c r="AB1337">
        <f>IF(AND($M1337=1,LEFT(对接源_02物料!$D137,4)="原料出库"),1,0)</f>
        <v>0</v>
      </c>
      <c r="AC1337">
        <f>N(AC1336)+$AB1337</f>
        <v>0</v>
      </c>
      <c r="AD1337">
        <f>IF(AND($M1337=1,LEFT(对接源_02物料!$D137,4)="成品出库"),1,0)</f>
        <v>0</v>
      </c>
      <c r="AE1337">
        <f>N(AE1336)+$AD1337</f>
        <v>0</v>
      </c>
      <c r="AF1337">
        <f>IF(AND($N1337=1,AND(LEFT(对接源_02物料!$D137,4)="包装物料",N(对接源_02物料!$K137)&lt;&gt;0)),1,0)</f>
        <v>0</v>
      </c>
      <c r="AG1337">
        <f>N(AG1336)+$AF1337</f>
        <v>10</v>
      </c>
      <c r="AH1337">
        <f>IF(AND($N1337=1,AND(对接源_02物料!$D137="周转筐－销售出库",N(对接源_02物料!$K137)&lt;&gt;0)),1,0)</f>
        <v>0</v>
      </c>
      <c r="AI1337">
        <f>N(AI1336)+$AH1337</f>
        <v>0</v>
      </c>
      <c r="AL1337" t="n">
        <v>0</v>
      </c>
      <c r="AM1337">
        <f>N(AM1336)+$AL1337</f>
        <v>2</v>
      </c>
      <c r="AN1337">
        <f>""</f>
      </c>
      <c r="AO1337" t="n">
        <v>0</v>
      </c>
      <c r="AP1337">
        <f>N(AP1336)+$AO1337</f>
        <v>13</v>
      </c>
      <c r="AR1337">
        <f>IF(OR($AF1337=1,$AH1337=1),1,0)</f>
        <v>0</v>
      </c>
      <c r="AS1337">
        <f>N(AS1336)+$AR1337</f>
        <v>10</v>
      </c>
    </row>
    <row r="1338" s="127">
      <c r="A1338" t="str">
        <f>IF(对接源_02物料!$C138="","",对接源_02物料!$C138)</f>
        <v>热合曼</v>
      </c>
      <c r="B1338">
        <f>IF(A1338="",0,IF(MATCH(A1338,$A$4:$A$2403,0)=ROW()-3,1,0))</f>
        <v>0</v>
      </c>
      <c r="C1338">
        <f>N(C1337)+B1338</f>
        <v>25</v>
      </c>
      <c r="K1338">
        <f>IF(OR($K$1="",对接源_02物料!$C138="",对接源_02物料!$C138&lt;&gt;$K$1,对接源_02物料!$B138=""),0,IF(OR(N(对接源_02物料!$B138)&lt;$K$2,N(对接源_02物料!$B138)&gt;$K$3),0,1))</f>
        <v>0</v>
      </c>
      <c r="L1338">
        <f>IF(OR($L$1="",对接源_02物料!$C138="",对接源_02物料!$C138&lt;&gt;$L$1,对接源_02物料!$B138=""),0,IF(OR(N(对接源_02物料!$B138)&lt;$L$2,N(对接源_02物料!$B138)&gt;$L$3),0,1))</f>
        <v>0</v>
      </c>
      <c r="M1338">
        <f>IF(OR($M$1="",对接源_02物料!$C138="",对接源_02物料!$C138&lt;&gt;$M$1,对接源_02物料!$B138=""),0,IF(OR(N(对接源_02物料!$B138)&lt;$M$2,N(对接源_02物料!$B138)&gt;$M$3),0,1))</f>
        <v>0</v>
      </c>
      <c r="N1338">
        <f>IF(OR($N$1="",对接源_02物料!$C138="",对接源_02物料!$C138&lt;&gt;$N$1,对接源_02物料!$B138=""),0,IF(OR(N(对接源_02物料!$B138)&lt;$N$2,N(对接源_02物料!$B138)&gt;$N$3),0,1))</f>
        <v>0</v>
      </c>
      <c r="P1338">
        <f>IF(AND($K1338=1,AND(对接源_02物料!$X138="公司筐",N(对接源_02物料!$T138)&lt;&gt;0)),1,0)</f>
        <v>0</v>
      </c>
      <c r="Q1338">
        <f>N(Q1337)+$P1338</f>
        <v>2</v>
      </c>
      <c r="R1338">
        <f>IF(AND($K1338=1,AND(对接源_02物料!$X138="公司筐",N(对接源_02物料!$U138)&lt;&gt;0)),1,0)</f>
        <v>0</v>
      </c>
      <c r="S1338">
        <f>N(S1337)+$R1338</f>
        <v>0</v>
      </c>
      <c r="T1338">
        <f>IF(AND($K1338=1,AND(对接源_02物料!$X138="公司筐",N(对接源_02物料!$V138)&lt;&gt;0)),1,0)</f>
        <v>0</v>
      </c>
      <c r="U1338">
        <f>N(U1337)+$T1338</f>
        <v>47</v>
      </c>
      <c r="V1338">
        <f>IF(AND($L1338=1,AND(对接源_02物料!$X138="自备筐",N(对接源_02物料!$V138)&lt;&gt;0)),1,0)</f>
        <v>0</v>
      </c>
      <c r="W1338">
        <f>N(W1337)+$V1338</f>
        <v>11</v>
      </c>
      <c r="X1338">
        <f>IF(AND($L1338=1,AND(对接源_02物料!$X138="自备筐",N(对接源_02物料!$T138)&lt;&gt;0)),1,0)</f>
        <v>0</v>
      </c>
      <c r="Y1338">
        <f>N(Y1337)+$X1338</f>
        <v>0</v>
      </c>
      <c r="Z1338">
        <f>IF(AND($M1338=1,对接源_02物料!$D138="原料入库"),1,0)</f>
        <v>0</v>
      </c>
      <c r="AA1338">
        <f>N(AA1337)+$Z1338</f>
        <v>24</v>
      </c>
      <c r="AB1338">
        <f>IF(AND($M1338=1,LEFT(对接源_02物料!$D138,4)="原料出库"),1,0)</f>
        <v>0</v>
      </c>
      <c r="AC1338">
        <f>N(AC1337)+$AB1338</f>
        <v>0</v>
      </c>
      <c r="AD1338">
        <f>IF(AND($M1338=1,LEFT(对接源_02物料!$D138,4)="成品出库"),1,0)</f>
        <v>0</v>
      </c>
      <c r="AE1338">
        <f>N(AE1337)+$AD1338</f>
        <v>0</v>
      </c>
      <c r="AF1338">
        <f>IF(AND($N1338=1,AND(LEFT(对接源_02物料!$D138,4)="包装物料",N(对接源_02物料!$K138)&lt;&gt;0)),1,0)</f>
        <v>0</v>
      </c>
      <c r="AG1338">
        <f>N(AG1337)+$AF1338</f>
        <v>10</v>
      </c>
      <c r="AH1338">
        <f>IF(AND($N1338=1,AND(对接源_02物料!$D138="周转筐－销售出库",N(对接源_02物料!$K138)&lt;&gt;0)),1,0)</f>
        <v>0</v>
      </c>
      <c r="AI1338">
        <f>N(AI1337)+$AH1338</f>
        <v>0</v>
      </c>
      <c r="AL1338" t="n">
        <v>0</v>
      </c>
      <c r="AM1338">
        <f>N(AM1337)+$AL1338</f>
        <v>2</v>
      </c>
      <c r="AN1338">
        <f>""</f>
      </c>
      <c r="AO1338" t="n">
        <v>0</v>
      </c>
      <c r="AP1338">
        <f>N(AP1337)+$AO1338</f>
        <v>13</v>
      </c>
      <c r="AR1338">
        <f>IF(OR($AF1338=1,$AH1338=1),1,0)</f>
        <v>0</v>
      </c>
      <c r="AS1338">
        <f>N(AS1337)+$AR1338</f>
        <v>10</v>
      </c>
    </row>
    <row r="1339" s="127">
      <c r="A1339" t="str">
        <f>IF(对接源_02物料!$C139="","",对接源_02物料!$C139)</f>
        <v>全修塑业</v>
      </c>
      <c r="B1339">
        <f>IF(A1339="",0,IF(MATCH(A1339,$A$4:$A$2403,0)=ROW()-3,1,0))</f>
        <v>0</v>
      </c>
      <c r="C1339">
        <f>N(C1338)+B1339</f>
        <v>25</v>
      </c>
      <c r="K1339">
        <f>IF(OR($K$1="",对接源_02物料!$C139="",对接源_02物料!$C139&lt;&gt;$K$1,对接源_02物料!$B139=""),0,IF(OR(N(对接源_02物料!$B139)&lt;$K$2,N(对接源_02物料!$B139)&gt;$K$3),0,1))</f>
        <v>0</v>
      </c>
      <c r="L1339">
        <f>IF(OR($L$1="",对接源_02物料!$C139="",对接源_02物料!$C139&lt;&gt;$L$1,对接源_02物料!$B139=""),0,IF(OR(N(对接源_02物料!$B139)&lt;$L$2,N(对接源_02物料!$B139)&gt;$L$3),0,1))</f>
        <v>0</v>
      </c>
      <c r="M1339">
        <f>IF(OR($M$1="",对接源_02物料!$C139="",对接源_02物料!$C139&lt;&gt;$M$1,对接源_02物料!$B139=""),0,IF(OR(N(对接源_02物料!$B139)&lt;$M$2,N(对接源_02物料!$B139)&gt;$M$3),0,1))</f>
        <v>0</v>
      </c>
      <c r="N1339">
        <f>IF(OR($N$1="",对接源_02物料!$C139="",对接源_02物料!$C139&lt;&gt;$N$1,对接源_02物料!$B139=""),0,IF(OR(N(对接源_02物料!$B139)&lt;$N$2,N(对接源_02物料!$B139)&gt;$N$3),0,1))</f>
        <v>0</v>
      </c>
      <c r="P1339">
        <f>IF(AND($K1339=1,AND(对接源_02物料!$X139="公司筐",N(对接源_02物料!$T139)&lt;&gt;0)),1,0)</f>
        <v>0</v>
      </c>
      <c r="Q1339">
        <f>N(Q1338)+$P1339</f>
        <v>2</v>
      </c>
      <c r="R1339">
        <f>IF(AND($K1339=1,AND(对接源_02物料!$X139="公司筐",N(对接源_02物料!$U139)&lt;&gt;0)),1,0)</f>
        <v>0</v>
      </c>
      <c r="S1339">
        <f>N(S1338)+$R1339</f>
        <v>0</v>
      </c>
      <c r="T1339">
        <f>IF(AND($K1339=1,AND(对接源_02物料!$X139="公司筐",N(对接源_02物料!$V139)&lt;&gt;0)),1,0)</f>
        <v>0</v>
      </c>
      <c r="U1339">
        <f>N(U1338)+$T1339</f>
        <v>47</v>
      </c>
      <c r="V1339">
        <f>IF(AND($L1339=1,AND(对接源_02物料!$X139="自备筐",N(对接源_02物料!$V139)&lt;&gt;0)),1,0)</f>
        <v>0</v>
      </c>
      <c r="W1339">
        <f>N(W1338)+$V1339</f>
        <v>11</v>
      </c>
      <c r="X1339">
        <f>IF(AND($L1339=1,AND(对接源_02物料!$X139="自备筐",N(对接源_02物料!$T139)&lt;&gt;0)),1,0)</f>
        <v>0</v>
      </c>
      <c r="Y1339">
        <f>N(Y1338)+$X1339</f>
        <v>0</v>
      </c>
      <c r="Z1339">
        <f>IF(AND($M1339=1,对接源_02物料!$D139="原料入库"),1,0)</f>
        <v>0</v>
      </c>
      <c r="AA1339">
        <f>N(AA1338)+$Z1339</f>
        <v>24</v>
      </c>
      <c r="AB1339">
        <f>IF(AND($M1339=1,LEFT(对接源_02物料!$D139,4)="原料出库"),1,0)</f>
        <v>0</v>
      </c>
      <c r="AC1339">
        <f>N(AC1338)+$AB1339</f>
        <v>0</v>
      </c>
      <c r="AD1339">
        <f>IF(AND($M1339=1,LEFT(对接源_02物料!$D139,4)="成品出库"),1,0)</f>
        <v>0</v>
      </c>
      <c r="AE1339">
        <f>N(AE1338)+$AD1339</f>
        <v>0</v>
      </c>
      <c r="AF1339">
        <f>IF(AND($N1339=1,AND(LEFT(对接源_02物料!$D139,4)="包装物料",N(对接源_02物料!$K139)&lt;&gt;0)),1,0)</f>
        <v>0</v>
      </c>
      <c r="AG1339">
        <f>N(AG1338)+$AF1339</f>
        <v>10</v>
      </c>
      <c r="AH1339">
        <f>IF(AND($N1339=1,AND(对接源_02物料!$D139="周转筐－销售出库",N(对接源_02物料!$K139)&lt;&gt;0)),1,0)</f>
        <v>0</v>
      </c>
      <c r="AI1339">
        <f>N(AI1338)+$AH1339</f>
        <v>0</v>
      </c>
      <c r="AL1339" t="n">
        <v>0</v>
      </c>
      <c r="AM1339">
        <f>N(AM1338)+$AL1339</f>
        <v>2</v>
      </c>
      <c r="AN1339">
        <f>""</f>
      </c>
      <c r="AO1339" t="n">
        <v>0</v>
      </c>
      <c r="AP1339">
        <f>N(AP1338)+$AO1339</f>
        <v>13</v>
      </c>
      <c r="AR1339">
        <f>IF(OR($AF1339=1,$AH1339=1),1,0)</f>
        <v>0</v>
      </c>
      <c r="AS1339">
        <f>N(AS1338)+$AR1339</f>
        <v>10</v>
      </c>
    </row>
    <row r="1340" s="127">
      <c r="A1340" t="str">
        <f>IF(对接源_02物料!$C140="","",对接源_02物料!$C140)</f>
        <v>吐尔洪</v>
      </c>
      <c r="B1340">
        <f>IF(A1340="",0,IF(MATCH(A1340,$A$4:$A$2403,0)=ROW()-3,1,0))</f>
        <v>0</v>
      </c>
      <c r="C1340">
        <f>N(C1339)+B1340</f>
        <v>25</v>
      </c>
      <c r="K1340">
        <f>IF(OR($K$1="",对接源_02物料!$C140="",对接源_02物料!$C140&lt;&gt;$K$1,对接源_02物料!$B140=""),0,IF(OR(N(对接源_02物料!$B140)&lt;$K$2,N(对接源_02物料!$B140)&gt;$K$3),0,1))</f>
        <v>0</v>
      </c>
      <c r="L1340">
        <f>IF(OR($L$1="",对接源_02物料!$C140="",对接源_02物料!$C140&lt;&gt;$L$1,对接源_02物料!$B140=""),0,IF(OR(N(对接源_02物料!$B140)&lt;$L$2,N(对接源_02物料!$B140)&gt;$L$3),0,1))</f>
        <v>0</v>
      </c>
      <c r="M1340">
        <f>IF(OR($M$1="",对接源_02物料!$C140="",对接源_02物料!$C140&lt;&gt;$M$1,对接源_02物料!$B140=""),0,IF(OR(N(对接源_02物料!$B140)&lt;$M$2,N(对接源_02物料!$B140)&gt;$M$3),0,1))</f>
        <v>1</v>
      </c>
      <c r="N1340">
        <f>IF(OR($N$1="",对接源_02物料!$C140="",对接源_02物料!$C140&lt;&gt;$N$1,对接源_02物料!$B140=""),0,IF(OR(N(对接源_02物料!$B140)&lt;$N$2,N(对接源_02物料!$B140)&gt;$N$3),0,1))</f>
        <v>0</v>
      </c>
      <c r="P1340">
        <f>IF(AND($K1340=1,AND(对接源_02物料!$X140="公司筐",N(对接源_02物料!$T140)&lt;&gt;0)),1,0)</f>
        <v>0</v>
      </c>
      <c r="Q1340">
        <f>N(Q1339)+$P1340</f>
        <v>2</v>
      </c>
      <c r="R1340">
        <f>IF(AND($K1340=1,AND(对接源_02物料!$X140="公司筐",N(对接源_02物料!$U140)&lt;&gt;0)),1,0)</f>
        <v>0</v>
      </c>
      <c r="S1340">
        <f>N(S1339)+$R1340</f>
        <v>0</v>
      </c>
      <c r="T1340">
        <f>IF(AND($K1340=1,AND(对接源_02物料!$X140="公司筐",N(对接源_02物料!$V140)&lt;&gt;0)),1,0)</f>
        <v>0</v>
      </c>
      <c r="U1340">
        <f>N(U1339)+$T1340</f>
        <v>47</v>
      </c>
      <c r="V1340">
        <f>IF(AND($L1340=1,AND(对接源_02物料!$X140="自备筐",N(对接源_02物料!$V140)&lt;&gt;0)),1,0)</f>
        <v>0</v>
      </c>
      <c r="W1340">
        <f>N(W1339)+$V1340</f>
        <v>11</v>
      </c>
      <c r="X1340">
        <f>IF(AND($L1340=1,AND(对接源_02物料!$X140="自备筐",N(对接源_02物料!$T140)&lt;&gt;0)),1,0)</f>
        <v>0</v>
      </c>
      <c r="Y1340">
        <f>N(Y1339)+$X1340</f>
        <v>0</v>
      </c>
      <c r="Z1340">
        <f>IF(AND($M1340=1,对接源_02物料!$D140="原料入库"),1,0)</f>
        <v>0</v>
      </c>
      <c r="AA1340">
        <f>N(AA1339)+$Z1340</f>
        <v>24</v>
      </c>
      <c r="AB1340">
        <f>IF(AND($M1340=1,LEFT(对接源_02物料!$D140,4)="原料出库"),1,0)</f>
        <v>0</v>
      </c>
      <c r="AC1340">
        <f>N(AC1339)+$AB1340</f>
        <v>0</v>
      </c>
      <c r="AD1340">
        <f>IF(AND($M1340=1,LEFT(对接源_02物料!$D140,4)="成品出库"),1,0)</f>
        <v>0</v>
      </c>
      <c r="AE1340">
        <f>N(AE1339)+$AD1340</f>
        <v>0</v>
      </c>
      <c r="AF1340">
        <f>IF(AND($N1340=1,AND(LEFT(对接源_02物料!$D140,4)="包装物料",N(对接源_02物料!$K140)&lt;&gt;0)),1,0)</f>
        <v>0</v>
      </c>
      <c r="AG1340">
        <f>N(AG1339)+$AF1340</f>
        <v>10</v>
      </c>
      <c r="AH1340">
        <f>IF(AND($N1340=1,AND(对接源_02物料!$D140="周转筐－销售出库",N(对接源_02物料!$K140)&lt;&gt;0)),1,0)</f>
        <v>0</v>
      </c>
      <c r="AI1340">
        <f>N(AI1339)+$AH1340</f>
        <v>0</v>
      </c>
      <c r="AL1340" t="n">
        <v>0</v>
      </c>
      <c r="AM1340">
        <f>N(AM1339)+$AL1340</f>
        <v>2</v>
      </c>
      <c r="AN1340">
        <f>""</f>
      </c>
      <c r="AO1340" t="n">
        <v>0</v>
      </c>
      <c r="AP1340">
        <f>N(AP1339)+$AO1340</f>
        <v>13</v>
      </c>
      <c r="AR1340">
        <f>IF(OR($AF1340=1,$AH1340=1),1,0)</f>
        <v>0</v>
      </c>
      <c r="AS1340">
        <f>N(AS1339)+$AR1340</f>
        <v>10</v>
      </c>
    </row>
    <row r="1341" s="127">
      <c r="A1341" t="str">
        <f>IF(对接源_02物料!$C141="","",对接源_02物料!$C141)</f>
        <v>王照雪</v>
      </c>
      <c r="B1341">
        <f>IF(A1341="",0,IF(MATCH(A1341,$A$4:$A$2403,0)=ROW()-3,1,0))</f>
        <v>0</v>
      </c>
      <c r="C1341">
        <f>N(C1340)+B1341</f>
        <v>25</v>
      </c>
      <c r="K1341">
        <f>IF(OR($K$1="",对接源_02物料!$C141="",对接源_02物料!$C141&lt;&gt;$K$1,对接源_02物料!$B141=""),0,IF(OR(N(对接源_02物料!$B141)&lt;$K$2,N(对接源_02物料!$B141)&gt;$K$3),0,1))</f>
        <v>0</v>
      </c>
      <c r="L1341">
        <f>IF(OR($L$1="",对接源_02物料!$C141="",对接源_02物料!$C141&lt;&gt;$L$1,对接源_02物料!$B141=""),0,IF(OR(N(对接源_02物料!$B141)&lt;$L$2,N(对接源_02物料!$B141)&gt;$L$3),0,1))</f>
        <v>0</v>
      </c>
      <c r="M1341">
        <f>IF(OR($M$1="",对接源_02物料!$C141="",对接源_02物料!$C141&lt;&gt;$M$1,对接源_02物料!$B141=""),0,IF(OR(N(对接源_02物料!$B141)&lt;$M$2,N(对接源_02物料!$B141)&gt;$M$3),0,1))</f>
        <v>0</v>
      </c>
      <c r="N1341">
        <f>IF(OR($N$1="",对接源_02物料!$C141="",对接源_02物料!$C141&lt;&gt;$N$1,对接源_02物料!$B141=""),0,IF(OR(N(对接源_02物料!$B141)&lt;$N$2,N(对接源_02物料!$B141)&gt;$N$3),0,1))</f>
        <v>0</v>
      </c>
      <c r="P1341">
        <f>IF(AND($K1341=1,AND(对接源_02物料!$X141="公司筐",N(对接源_02物料!$T141)&lt;&gt;0)),1,0)</f>
        <v>0</v>
      </c>
      <c r="Q1341">
        <f>N(Q1340)+$P1341</f>
        <v>2</v>
      </c>
      <c r="R1341">
        <f>IF(AND($K1341=1,AND(对接源_02物料!$X141="公司筐",N(对接源_02物料!$U141)&lt;&gt;0)),1,0)</f>
        <v>0</v>
      </c>
      <c r="S1341">
        <f>N(S1340)+$R1341</f>
        <v>0</v>
      </c>
      <c r="T1341">
        <f>IF(AND($K1341=1,AND(对接源_02物料!$X141="公司筐",N(对接源_02物料!$V141)&lt;&gt;0)),1,0)</f>
        <v>0</v>
      </c>
      <c r="U1341">
        <f>N(U1340)+$T1341</f>
        <v>47</v>
      </c>
      <c r="V1341">
        <f>IF(AND($L1341=1,AND(对接源_02物料!$X141="自备筐",N(对接源_02物料!$V141)&lt;&gt;0)),1,0)</f>
        <v>0</v>
      </c>
      <c r="W1341">
        <f>N(W1340)+$V1341</f>
        <v>11</v>
      </c>
      <c r="X1341">
        <f>IF(AND($L1341=1,AND(对接源_02物料!$X141="自备筐",N(对接源_02物料!$T141)&lt;&gt;0)),1,0)</f>
        <v>0</v>
      </c>
      <c r="Y1341">
        <f>N(Y1340)+$X1341</f>
        <v>0</v>
      </c>
      <c r="Z1341">
        <f>IF(AND($M1341=1,对接源_02物料!$D141="原料入库"),1,0)</f>
        <v>0</v>
      </c>
      <c r="AA1341">
        <f>N(AA1340)+$Z1341</f>
        <v>24</v>
      </c>
      <c r="AB1341">
        <f>IF(AND($M1341=1,LEFT(对接源_02物料!$D141,4)="原料出库"),1,0)</f>
        <v>0</v>
      </c>
      <c r="AC1341">
        <f>N(AC1340)+$AB1341</f>
        <v>0</v>
      </c>
      <c r="AD1341">
        <f>IF(AND($M1341=1,LEFT(对接源_02物料!$D141,4)="成品出库"),1,0)</f>
        <v>0</v>
      </c>
      <c r="AE1341">
        <f>N(AE1340)+$AD1341</f>
        <v>0</v>
      </c>
      <c r="AF1341">
        <f>IF(AND($N1341=1,AND(LEFT(对接源_02物料!$D141,4)="包装物料",N(对接源_02物料!$K141)&lt;&gt;0)),1,0)</f>
        <v>0</v>
      </c>
      <c r="AG1341">
        <f>N(AG1340)+$AF1341</f>
        <v>10</v>
      </c>
      <c r="AH1341">
        <f>IF(AND($N1341=1,AND(对接源_02物料!$D141="周转筐－销售出库",N(对接源_02物料!$K141)&lt;&gt;0)),1,0)</f>
        <v>0</v>
      </c>
      <c r="AI1341">
        <f>N(AI1340)+$AH1341</f>
        <v>0</v>
      </c>
      <c r="AL1341" t="n">
        <v>0</v>
      </c>
      <c r="AM1341">
        <f>N(AM1340)+$AL1341</f>
        <v>2</v>
      </c>
      <c r="AN1341">
        <f>""</f>
      </c>
      <c r="AO1341" t="n">
        <v>0</v>
      </c>
      <c r="AP1341">
        <f>N(AP1340)+$AO1341</f>
        <v>13</v>
      </c>
      <c r="AR1341">
        <f>IF(OR($AF1341=1,$AH1341=1),1,0)</f>
        <v>0</v>
      </c>
      <c r="AS1341">
        <f>N(AS1340)+$AR1341</f>
        <v>10</v>
      </c>
    </row>
    <row r="1342" s="127">
      <c r="A1342" t="str">
        <f>IF(对接源_02物料!$C142="","",对接源_02物料!$C142)</f>
        <v>王照雪</v>
      </c>
      <c r="B1342">
        <f>IF(A1342="",0,IF(MATCH(A1342,$A$4:$A$2403,0)=ROW()-3,1,0))</f>
        <v>0</v>
      </c>
      <c r="C1342">
        <f>N(C1341)+B1342</f>
        <v>25</v>
      </c>
      <c r="K1342">
        <f>IF(OR($K$1="",对接源_02物料!$C142="",对接源_02物料!$C142&lt;&gt;$K$1,对接源_02物料!$B142=""),0,IF(OR(N(对接源_02物料!$B142)&lt;$K$2,N(对接源_02物料!$B142)&gt;$K$3),0,1))</f>
        <v>0</v>
      </c>
      <c r="L1342">
        <f>IF(OR($L$1="",对接源_02物料!$C142="",对接源_02物料!$C142&lt;&gt;$L$1,对接源_02物料!$B142=""),0,IF(OR(N(对接源_02物料!$B142)&lt;$L$2,N(对接源_02物料!$B142)&gt;$L$3),0,1))</f>
        <v>0</v>
      </c>
      <c r="M1342">
        <f>IF(OR($M$1="",对接源_02物料!$C142="",对接源_02物料!$C142&lt;&gt;$M$1,对接源_02物料!$B142=""),0,IF(OR(N(对接源_02物料!$B142)&lt;$M$2,N(对接源_02物料!$B142)&gt;$M$3),0,1))</f>
        <v>0</v>
      </c>
      <c r="N1342">
        <f>IF(OR($N$1="",对接源_02物料!$C142="",对接源_02物料!$C142&lt;&gt;$N$1,对接源_02物料!$B142=""),0,IF(OR(N(对接源_02物料!$B142)&lt;$N$2,N(对接源_02物料!$B142)&gt;$N$3),0,1))</f>
        <v>0</v>
      </c>
      <c r="P1342">
        <f>IF(AND($K1342=1,AND(对接源_02物料!$X142="公司筐",N(对接源_02物料!$T142)&lt;&gt;0)),1,0)</f>
        <v>0</v>
      </c>
      <c r="Q1342">
        <f>N(Q1341)+$P1342</f>
        <v>2</v>
      </c>
      <c r="R1342">
        <f>IF(AND($K1342=1,AND(对接源_02物料!$X142="公司筐",N(对接源_02物料!$U142)&lt;&gt;0)),1,0)</f>
        <v>0</v>
      </c>
      <c r="S1342">
        <f>N(S1341)+$R1342</f>
        <v>0</v>
      </c>
      <c r="T1342">
        <f>IF(AND($K1342=1,AND(对接源_02物料!$X142="公司筐",N(对接源_02物料!$V142)&lt;&gt;0)),1,0)</f>
        <v>0</v>
      </c>
      <c r="U1342">
        <f>N(U1341)+$T1342</f>
        <v>47</v>
      </c>
      <c r="V1342">
        <f>IF(AND($L1342=1,AND(对接源_02物料!$X142="自备筐",N(对接源_02物料!$V142)&lt;&gt;0)),1,0)</f>
        <v>0</v>
      </c>
      <c r="W1342">
        <f>N(W1341)+$V1342</f>
        <v>11</v>
      </c>
      <c r="X1342">
        <f>IF(AND($L1342=1,AND(对接源_02物料!$X142="自备筐",N(对接源_02物料!$T142)&lt;&gt;0)),1,0)</f>
        <v>0</v>
      </c>
      <c r="Y1342">
        <f>N(Y1341)+$X1342</f>
        <v>0</v>
      </c>
      <c r="Z1342">
        <f>IF(AND($M1342=1,对接源_02物料!$D142="原料入库"),1,0)</f>
        <v>0</v>
      </c>
      <c r="AA1342">
        <f>N(AA1341)+$Z1342</f>
        <v>24</v>
      </c>
      <c r="AB1342">
        <f>IF(AND($M1342=1,LEFT(对接源_02物料!$D142,4)="原料出库"),1,0)</f>
        <v>0</v>
      </c>
      <c r="AC1342">
        <f>N(AC1341)+$AB1342</f>
        <v>0</v>
      </c>
      <c r="AD1342">
        <f>IF(AND($M1342=1,LEFT(对接源_02物料!$D142,4)="成品出库"),1,0)</f>
        <v>0</v>
      </c>
      <c r="AE1342">
        <f>N(AE1341)+$AD1342</f>
        <v>0</v>
      </c>
      <c r="AF1342">
        <f>IF(AND($N1342=1,AND(LEFT(对接源_02物料!$D142,4)="包装物料",N(对接源_02物料!$K142)&lt;&gt;0)),1,0)</f>
        <v>0</v>
      </c>
      <c r="AG1342">
        <f>N(AG1341)+$AF1342</f>
        <v>10</v>
      </c>
      <c r="AH1342">
        <f>IF(AND($N1342=1,AND(对接源_02物料!$D142="周转筐－销售出库",N(对接源_02物料!$K142)&lt;&gt;0)),1,0)</f>
        <v>0</v>
      </c>
      <c r="AI1342">
        <f>N(AI1341)+$AH1342</f>
        <v>0</v>
      </c>
      <c r="AL1342" t="n">
        <v>0</v>
      </c>
      <c r="AM1342">
        <f>N(AM1341)+$AL1342</f>
        <v>2</v>
      </c>
      <c r="AN1342">
        <f>""</f>
      </c>
      <c r="AO1342" t="n">
        <v>0</v>
      </c>
      <c r="AP1342">
        <f>N(AP1341)+$AO1342</f>
        <v>13</v>
      </c>
      <c r="AR1342">
        <f>IF(OR($AF1342=1,$AH1342=1),1,0)</f>
        <v>0</v>
      </c>
      <c r="AS1342">
        <f>N(AS1341)+$AR1342</f>
        <v>10</v>
      </c>
    </row>
    <row r="1343" s="127">
      <c r="A1343" t="str">
        <f>IF(对接源_02物料!$C143="","",对接源_02物料!$C143)</f>
        <v>全修塑业</v>
      </c>
      <c r="B1343">
        <f>IF(A1343="",0,IF(MATCH(A1343,$A$4:$A$2403,0)=ROW()-3,1,0))</f>
        <v>0</v>
      </c>
      <c r="C1343">
        <f>N(C1342)+B1343</f>
        <v>25</v>
      </c>
      <c r="K1343">
        <f>IF(OR($K$1="",对接源_02物料!$C143="",对接源_02物料!$C143&lt;&gt;$K$1,对接源_02物料!$B143=""),0,IF(OR(N(对接源_02物料!$B143)&lt;$K$2,N(对接源_02物料!$B143)&gt;$K$3),0,1))</f>
        <v>0</v>
      </c>
      <c r="L1343">
        <f>IF(OR($L$1="",对接源_02物料!$C143="",对接源_02物料!$C143&lt;&gt;$L$1,对接源_02物料!$B143=""),0,IF(OR(N(对接源_02物料!$B143)&lt;$L$2,N(对接源_02物料!$B143)&gt;$L$3),0,1))</f>
        <v>0</v>
      </c>
      <c r="M1343">
        <f>IF(OR($M$1="",对接源_02物料!$C143="",对接源_02物料!$C143&lt;&gt;$M$1,对接源_02物料!$B143=""),0,IF(OR(N(对接源_02物料!$B143)&lt;$M$2,N(对接源_02物料!$B143)&gt;$M$3),0,1))</f>
        <v>0</v>
      </c>
      <c r="N1343">
        <f>IF(OR($N$1="",对接源_02物料!$C143="",对接源_02物料!$C143&lt;&gt;$N$1,对接源_02物料!$B143=""),0,IF(OR(N(对接源_02物料!$B143)&lt;$N$2,N(对接源_02物料!$B143)&gt;$N$3),0,1))</f>
        <v>0</v>
      </c>
      <c r="P1343">
        <f>IF(AND($K1343=1,AND(对接源_02物料!$X143="公司筐",N(对接源_02物料!$T143)&lt;&gt;0)),1,0)</f>
        <v>0</v>
      </c>
      <c r="Q1343">
        <f>N(Q1342)+$P1343</f>
        <v>2</v>
      </c>
      <c r="R1343">
        <f>IF(AND($K1343=1,AND(对接源_02物料!$X143="公司筐",N(对接源_02物料!$U143)&lt;&gt;0)),1,0)</f>
        <v>0</v>
      </c>
      <c r="S1343">
        <f>N(S1342)+$R1343</f>
        <v>0</v>
      </c>
      <c r="T1343">
        <f>IF(AND($K1343=1,AND(对接源_02物料!$X143="公司筐",N(对接源_02物料!$V143)&lt;&gt;0)),1,0)</f>
        <v>0</v>
      </c>
      <c r="U1343">
        <f>N(U1342)+$T1343</f>
        <v>47</v>
      </c>
      <c r="V1343">
        <f>IF(AND($L1343=1,AND(对接源_02物料!$X143="自备筐",N(对接源_02物料!$V143)&lt;&gt;0)),1,0)</f>
        <v>0</v>
      </c>
      <c r="W1343">
        <f>N(W1342)+$V1343</f>
        <v>11</v>
      </c>
      <c r="X1343">
        <f>IF(AND($L1343=1,AND(对接源_02物料!$X143="自备筐",N(对接源_02物料!$T143)&lt;&gt;0)),1,0)</f>
        <v>0</v>
      </c>
      <c r="Y1343">
        <f>N(Y1342)+$X1343</f>
        <v>0</v>
      </c>
      <c r="Z1343">
        <f>IF(AND($M1343=1,对接源_02物料!$D143="原料入库"),1,0)</f>
        <v>0</v>
      </c>
      <c r="AA1343">
        <f>N(AA1342)+$Z1343</f>
        <v>24</v>
      </c>
      <c r="AB1343">
        <f>IF(AND($M1343=1,LEFT(对接源_02物料!$D143,4)="原料出库"),1,0)</f>
        <v>0</v>
      </c>
      <c r="AC1343">
        <f>N(AC1342)+$AB1343</f>
        <v>0</v>
      </c>
      <c r="AD1343">
        <f>IF(AND($M1343=1,LEFT(对接源_02物料!$D143,4)="成品出库"),1,0)</f>
        <v>0</v>
      </c>
      <c r="AE1343">
        <f>N(AE1342)+$AD1343</f>
        <v>0</v>
      </c>
      <c r="AF1343">
        <f>IF(AND($N1343=1,AND(LEFT(对接源_02物料!$D143,4)="包装物料",N(对接源_02物料!$K143)&lt;&gt;0)),1,0)</f>
        <v>0</v>
      </c>
      <c r="AG1343">
        <f>N(AG1342)+$AF1343</f>
        <v>10</v>
      </c>
      <c r="AH1343">
        <f>IF(AND($N1343=1,AND(对接源_02物料!$D143="周转筐－销售出库",N(对接源_02物料!$K143)&lt;&gt;0)),1,0)</f>
        <v>0</v>
      </c>
      <c r="AI1343">
        <f>N(AI1342)+$AH1343</f>
        <v>0</v>
      </c>
      <c r="AL1343" t="n">
        <v>0</v>
      </c>
      <c r="AM1343">
        <f>N(AM1342)+$AL1343</f>
        <v>2</v>
      </c>
      <c r="AN1343">
        <f>""</f>
      </c>
      <c r="AO1343" t="n">
        <v>0</v>
      </c>
      <c r="AP1343">
        <f>N(AP1342)+$AO1343</f>
        <v>13</v>
      </c>
      <c r="AR1343">
        <f>IF(OR($AF1343=1,$AH1343=1),1,0)</f>
        <v>0</v>
      </c>
      <c r="AS1343">
        <f>N(AS1342)+$AR1343</f>
        <v>10</v>
      </c>
    </row>
    <row r="1344" s="127">
      <c r="A1344" t="str">
        <f>IF(对接源_02物料!$C144="","",对接源_02物料!$C144)</f>
        <v>麦麦提</v>
      </c>
      <c r="B1344">
        <f>IF(A1344="",0,IF(MATCH(A1344,$A$4:$A$2403,0)=ROW()-3,1,0))</f>
        <v>0</v>
      </c>
      <c r="C1344">
        <f>N(C1343)+B1344</f>
        <v>25</v>
      </c>
      <c r="K1344">
        <f>IF(OR($K$1="",对接源_02物料!$C144="",对接源_02物料!$C144&lt;&gt;$K$1,对接源_02物料!$B144=""),0,IF(OR(N(对接源_02物料!$B144)&lt;$K$2,N(对接源_02物料!$B144)&gt;$K$3),0,1))</f>
        <v>0</v>
      </c>
      <c r="L1344">
        <f>IF(OR($L$1="",对接源_02物料!$C144="",对接源_02物料!$C144&lt;&gt;$L$1,对接源_02物料!$B144=""),0,IF(OR(N(对接源_02物料!$B144)&lt;$L$2,N(对接源_02物料!$B144)&gt;$L$3),0,1))</f>
        <v>0</v>
      </c>
      <c r="M1344">
        <f>IF(OR($M$1="",对接源_02物料!$C144="",对接源_02物料!$C144&lt;&gt;$M$1,对接源_02物料!$B144=""),0,IF(OR(N(对接源_02物料!$B144)&lt;$M$2,N(对接源_02物料!$B144)&gt;$M$3),0,1))</f>
        <v>0</v>
      </c>
      <c r="N1344">
        <f>IF(OR($N$1="",对接源_02物料!$C144="",对接源_02物料!$C144&lt;&gt;$N$1,对接源_02物料!$B144=""),0,IF(OR(N(对接源_02物料!$B144)&lt;$N$2,N(对接源_02物料!$B144)&gt;$N$3),0,1))</f>
        <v>1</v>
      </c>
      <c r="P1344">
        <f>IF(AND($K1344=1,AND(对接源_02物料!$X144="公司筐",N(对接源_02物料!$T144)&lt;&gt;0)),1,0)</f>
        <v>0</v>
      </c>
      <c r="Q1344">
        <f>N(Q1343)+$P1344</f>
        <v>2</v>
      </c>
      <c r="R1344">
        <f>IF(AND($K1344=1,AND(对接源_02物料!$X144="公司筐",N(对接源_02物料!$U144)&lt;&gt;0)),1,0)</f>
        <v>0</v>
      </c>
      <c r="S1344">
        <f>N(S1343)+$R1344</f>
        <v>0</v>
      </c>
      <c r="T1344">
        <f>IF(AND($K1344=1,AND(对接源_02物料!$X144="公司筐",N(对接源_02物料!$V144)&lt;&gt;0)),1,0)</f>
        <v>0</v>
      </c>
      <c r="U1344">
        <f>N(U1343)+$T1344</f>
        <v>47</v>
      </c>
      <c r="V1344">
        <f>IF(AND($L1344=1,AND(对接源_02物料!$X144="自备筐",N(对接源_02物料!$V144)&lt;&gt;0)),1,0)</f>
        <v>0</v>
      </c>
      <c r="W1344">
        <f>N(W1343)+$V1344</f>
        <v>11</v>
      </c>
      <c r="X1344">
        <f>IF(AND($L1344=1,AND(对接源_02物料!$X144="自备筐",N(对接源_02物料!$T144)&lt;&gt;0)),1,0)</f>
        <v>0</v>
      </c>
      <c r="Y1344">
        <f>N(Y1343)+$X1344</f>
        <v>0</v>
      </c>
      <c r="Z1344">
        <f>IF(AND($M1344=1,对接源_02物料!$D144="原料入库"),1,0)</f>
        <v>0</v>
      </c>
      <c r="AA1344">
        <f>N(AA1343)+$Z1344</f>
        <v>24</v>
      </c>
      <c r="AB1344">
        <f>IF(AND($M1344=1,LEFT(对接源_02物料!$D144,4)="原料出库"),1,0)</f>
        <v>0</v>
      </c>
      <c r="AC1344">
        <f>N(AC1343)+$AB1344</f>
        <v>0</v>
      </c>
      <c r="AD1344">
        <f>IF(AND($M1344=1,LEFT(对接源_02物料!$D144,4)="成品出库"),1,0)</f>
        <v>0</v>
      </c>
      <c r="AE1344">
        <f>N(AE1343)+$AD1344</f>
        <v>0</v>
      </c>
      <c r="AF1344">
        <f>IF(AND($N1344=1,AND(LEFT(对接源_02物料!$D144,4)="包装物料",N(对接源_02物料!$K144)&lt;&gt;0)),1,0)</f>
        <v>0</v>
      </c>
      <c r="AG1344">
        <f>N(AG1343)+$AF1344</f>
        <v>10</v>
      </c>
      <c r="AH1344">
        <f>IF(AND($N1344=1,AND(对接源_02物料!$D144="周转筐－销售出库",N(对接源_02物料!$K144)&lt;&gt;0)),1,0)</f>
        <v>0</v>
      </c>
      <c r="AI1344">
        <f>N(AI1343)+$AH1344</f>
        <v>0</v>
      </c>
      <c r="AL1344" t="n">
        <v>0</v>
      </c>
      <c r="AM1344">
        <f>N(AM1343)+$AL1344</f>
        <v>2</v>
      </c>
      <c r="AN1344">
        <f>""</f>
      </c>
      <c r="AO1344" t="n">
        <v>0</v>
      </c>
      <c r="AP1344">
        <f>N(AP1343)+$AO1344</f>
        <v>13</v>
      </c>
      <c r="AR1344">
        <f>IF(OR($AF1344=1,$AH1344=1),1,0)</f>
        <v>0</v>
      </c>
      <c r="AS1344">
        <f>N(AS1343)+$AR1344</f>
        <v>10</v>
      </c>
    </row>
    <row r="1345" s="127">
      <c r="A1345" t="str">
        <f>IF(对接源_02物料!$C145="","",对接源_02物料!$C145)</f>
        <v>全修塑业</v>
      </c>
      <c r="B1345">
        <f>IF(A1345="",0,IF(MATCH(A1345,$A$4:$A$2403,0)=ROW()-3,1,0))</f>
        <v>0</v>
      </c>
      <c r="C1345">
        <f>N(C1344)+B1345</f>
        <v>25</v>
      </c>
      <c r="K1345">
        <f>IF(OR($K$1="",对接源_02物料!$C145="",对接源_02物料!$C145&lt;&gt;$K$1,对接源_02物料!$B145=""),0,IF(OR(N(对接源_02物料!$B145)&lt;$K$2,N(对接源_02物料!$B145)&gt;$K$3),0,1))</f>
        <v>0</v>
      </c>
      <c r="L1345">
        <f>IF(OR($L$1="",对接源_02物料!$C145="",对接源_02物料!$C145&lt;&gt;$L$1,对接源_02物料!$B145=""),0,IF(OR(N(对接源_02物料!$B145)&lt;$L$2,N(对接源_02物料!$B145)&gt;$L$3),0,1))</f>
        <v>0</v>
      </c>
      <c r="M1345">
        <f>IF(OR($M$1="",对接源_02物料!$C145="",对接源_02物料!$C145&lt;&gt;$M$1,对接源_02物料!$B145=""),0,IF(OR(N(对接源_02物料!$B145)&lt;$M$2,N(对接源_02物料!$B145)&gt;$M$3),0,1))</f>
        <v>0</v>
      </c>
      <c r="N1345">
        <f>IF(OR($N$1="",对接源_02物料!$C145="",对接源_02物料!$C145&lt;&gt;$N$1,对接源_02物料!$B145=""),0,IF(OR(N(对接源_02物料!$B145)&lt;$N$2,N(对接源_02物料!$B145)&gt;$N$3),0,1))</f>
        <v>0</v>
      </c>
      <c r="P1345">
        <f>IF(AND($K1345=1,AND(对接源_02物料!$X145="公司筐",N(对接源_02物料!$T145)&lt;&gt;0)),1,0)</f>
        <v>0</v>
      </c>
      <c r="Q1345">
        <f>N(Q1344)+$P1345</f>
        <v>2</v>
      </c>
      <c r="R1345">
        <f>IF(AND($K1345=1,AND(对接源_02物料!$X145="公司筐",N(对接源_02物料!$U145)&lt;&gt;0)),1,0)</f>
        <v>0</v>
      </c>
      <c r="S1345">
        <f>N(S1344)+$R1345</f>
        <v>0</v>
      </c>
      <c r="T1345">
        <f>IF(AND($K1345=1,AND(对接源_02物料!$X145="公司筐",N(对接源_02物料!$V145)&lt;&gt;0)),1,0)</f>
        <v>0</v>
      </c>
      <c r="U1345">
        <f>N(U1344)+$T1345</f>
        <v>47</v>
      </c>
      <c r="V1345">
        <f>IF(AND($L1345=1,AND(对接源_02物料!$X145="自备筐",N(对接源_02物料!$V145)&lt;&gt;0)),1,0)</f>
        <v>0</v>
      </c>
      <c r="W1345">
        <f>N(W1344)+$V1345</f>
        <v>11</v>
      </c>
      <c r="X1345">
        <f>IF(AND($L1345=1,AND(对接源_02物料!$X145="自备筐",N(对接源_02物料!$T145)&lt;&gt;0)),1,0)</f>
        <v>0</v>
      </c>
      <c r="Y1345">
        <f>N(Y1344)+$X1345</f>
        <v>0</v>
      </c>
      <c r="Z1345">
        <f>IF(AND($M1345=1,对接源_02物料!$D145="原料入库"),1,0)</f>
        <v>0</v>
      </c>
      <c r="AA1345">
        <f>N(AA1344)+$Z1345</f>
        <v>24</v>
      </c>
      <c r="AB1345">
        <f>IF(AND($M1345=1,LEFT(对接源_02物料!$D145,4)="原料出库"),1,0)</f>
        <v>0</v>
      </c>
      <c r="AC1345">
        <f>N(AC1344)+$AB1345</f>
        <v>0</v>
      </c>
      <c r="AD1345">
        <f>IF(AND($M1345=1,LEFT(对接源_02物料!$D145,4)="成品出库"),1,0)</f>
        <v>0</v>
      </c>
      <c r="AE1345">
        <f>N(AE1344)+$AD1345</f>
        <v>0</v>
      </c>
      <c r="AF1345">
        <f>IF(AND($N1345=1,AND(LEFT(对接源_02物料!$D145,4)="包装物料",N(对接源_02物料!$K145)&lt;&gt;0)),1,0)</f>
        <v>0</v>
      </c>
      <c r="AG1345">
        <f>N(AG1344)+$AF1345</f>
        <v>10</v>
      </c>
      <c r="AH1345">
        <f>IF(AND($N1345=1,AND(对接源_02物料!$D145="周转筐－销售出库",N(对接源_02物料!$K145)&lt;&gt;0)),1,0)</f>
        <v>0</v>
      </c>
      <c r="AI1345">
        <f>N(AI1344)+$AH1345</f>
        <v>0</v>
      </c>
      <c r="AL1345" t="n">
        <v>0</v>
      </c>
      <c r="AM1345">
        <f>N(AM1344)+$AL1345</f>
        <v>2</v>
      </c>
      <c r="AN1345">
        <f>""</f>
      </c>
      <c r="AO1345" t="n">
        <v>0</v>
      </c>
      <c r="AP1345">
        <f>N(AP1344)+$AO1345</f>
        <v>13</v>
      </c>
      <c r="AR1345">
        <f>IF(OR($AF1345=1,$AH1345=1),1,0)</f>
        <v>0</v>
      </c>
      <c r="AS1345">
        <f>N(AS1344)+$AR1345</f>
        <v>10</v>
      </c>
    </row>
    <row r="1346" s="127">
      <c r="A1346" t="str">
        <f>IF(对接源_02物料!$C146="","",对接源_02物料!$C146)</f>
        <v>王照雪</v>
      </c>
      <c r="B1346">
        <f>IF(A1346="",0,IF(MATCH(A1346,$A$4:$A$2403,0)=ROW()-3,1,0))</f>
        <v>0</v>
      </c>
      <c r="C1346">
        <f>N(C1345)+B1346</f>
        <v>25</v>
      </c>
      <c r="K1346">
        <f>IF(OR($K$1="",对接源_02物料!$C146="",对接源_02物料!$C146&lt;&gt;$K$1,对接源_02物料!$B146=""),0,IF(OR(N(对接源_02物料!$B146)&lt;$K$2,N(对接源_02物料!$B146)&gt;$K$3),0,1))</f>
        <v>0</v>
      </c>
      <c r="L1346">
        <f>IF(OR($L$1="",对接源_02物料!$C146="",对接源_02物料!$C146&lt;&gt;$L$1,对接源_02物料!$B146=""),0,IF(OR(N(对接源_02物料!$B146)&lt;$L$2,N(对接源_02物料!$B146)&gt;$L$3),0,1))</f>
        <v>0</v>
      </c>
      <c r="M1346">
        <f>IF(OR($M$1="",对接源_02物料!$C146="",对接源_02物料!$C146&lt;&gt;$M$1,对接源_02物料!$B146=""),0,IF(OR(N(对接源_02物料!$B146)&lt;$M$2,N(对接源_02物料!$B146)&gt;$M$3),0,1))</f>
        <v>0</v>
      </c>
      <c r="N1346">
        <f>IF(OR($N$1="",对接源_02物料!$C146="",对接源_02物料!$C146&lt;&gt;$N$1,对接源_02物料!$B146=""),0,IF(OR(N(对接源_02物料!$B146)&lt;$N$2,N(对接源_02物料!$B146)&gt;$N$3),0,1))</f>
        <v>0</v>
      </c>
      <c r="P1346">
        <f>IF(AND($K1346=1,AND(对接源_02物料!$X146="公司筐",N(对接源_02物料!$T146)&lt;&gt;0)),1,0)</f>
        <v>0</v>
      </c>
      <c r="Q1346">
        <f>N(Q1345)+$P1346</f>
        <v>2</v>
      </c>
      <c r="R1346">
        <f>IF(AND($K1346=1,AND(对接源_02物料!$X146="公司筐",N(对接源_02物料!$U146)&lt;&gt;0)),1,0)</f>
        <v>0</v>
      </c>
      <c r="S1346">
        <f>N(S1345)+$R1346</f>
        <v>0</v>
      </c>
      <c r="T1346">
        <f>IF(AND($K1346=1,AND(对接源_02物料!$X146="公司筐",N(对接源_02物料!$V146)&lt;&gt;0)),1,0)</f>
        <v>0</v>
      </c>
      <c r="U1346">
        <f>N(U1345)+$T1346</f>
        <v>47</v>
      </c>
      <c r="V1346">
        <f>IF(AND($L1346=1,AND(对接源_02物料!$X146="自备筐",N(对接源_02物料!$V146)&lt;&gt;0)),1,0)</f>
        <v>0</v>
      </c>
      <c r="W1346">
        <f>N(W1345)+$V1346</f>
        <v>11</v>
      </c>
      <c r="X1346">
        <f>IF(AND($L1346=1,AND(对接源_02物料!$X146="自备筐",N(对接源_02物料!$T146)&lt;&gt;0)),1,0)</f>
        <v>0</v>
      </c>
      <c r="Y1346">
        <f>N(Y1345)+$X1346</f>
        <v>0</v>
      </c>
      <c r="Z1346">
        <f>IF(AND($M1346=1,对接源_02物料!$D146="原料入库"),1,0)</f>
        <v>0</v>
      </c>
      <c r="AA1346">
        <f>N(AA1345)+$Z1346</f>
        <v>24</v>
      </c>
      <c r="AB1346">
        <f>IF(AND($M1346=1,LEFT(对接源_02物料!$D146,4)="原料出库"),1,0)</f>
        <v>0</v>
      </c>
      <c r="AC1346">
        <f>N(AC1345)+$AB1346</f>
        <v>0</v>
      </c>
      <c r="AD1346">
        <f>IF(AND($M1346=1,LEFT(对接源_02物料!$D146,4)="成品出库"),1,0)</f>
        <v>0</v>
      </c>
      <c r="AE1346">
        <f>N(AE1345)+$AD1346</f>
        <v>0</v>
      </c>
      <c r="AF1346">
        <f>IF(AND($N1346=1,AND(LEFT(对接源_02物料!$D146,4)="包装物料",N(对接源_02物料!$K146)&lt;&gt;0)),1,0)</f>
        <v>0</v>
      </c>
      <c r="AG1346">
        <f>N(AG1345)+$AF1346</f>
        <v>10</v>
      </c>
      <c r="AH1346">
        <f>IF(AND($N1346=1,AND(对接源_02物料!$D146="周转筐－销售出库",N(对接源_02物料!$K146)&lt;&gt;0)),1,0)</f>
        <v>0</v>
      </c>
      <c r="AI1346">
        <f>N(AI1345)+$AH1346</f>
        <v>0</v>
      </c>
      <c r="AL1346" t="n">
        <v>0</v>
      </c>
      <c r="AM1346">
        <f>N(AM1345)+$AL1346</f>
        <v>2</v>
      </c>
      <c r="AN1346">
        <f>""</f>
      </c>
      <c r="AO1346" t="n">
        <v>0</v>
      </c>
      <c r="AP1346">
        <f>N(AP1345)+$AO1346</f>
        <v>13</v>
      </c>
      <c r="AR1346">
        <f>IF(OR($AF1346=1,$AH1346=1),1,0)</f>
        <v>0</v>
      </c>
      <c r="AS1346">
        <f>N(AS1345)+$AR1346</f>
        <v>10</v>
      </c>
    </row>
    <row r="1347" s="127">
      <c r="A1347" t="str">
        <f>IF(对接源_02物料!$C147="","",对接源_02物料!$C147)</f>
        <v>王灵云</v>
      </c>
      <c r="B1347">
        <f>IF(A1347="",0,IF(MATCH(A1347,$A$4:$A$2403,0)=ROW()-3,1,0))</f>
        <v>0</v>
      </c>
      <c r="C1347">
        <f>N(C1346)+B1347</f>
        <v>25</v>
      </c>
      <c r="K1347">
        <f>IF(OR($K$1="",对接源_02物料!$C147="",对接源_02物料!$C147&lt;&gt;$K$1,对接源_02物料!$B147=""),0,IF(OR(N(对接源_02物料!$B147)&lt;$K$2,N(对接源_02物料!$B147)&gt;$K$3),0,1))</f>
        <v>1</v>
      </c>
      <c r="L1347">
        <f>IF(OR($L$1="",对接源_02物料!$C147="",对接源_02物料!$C147&lt;&gt;$L$1,对接源_02物料!$B147=""),0,IF(OR(N(对接源_02物料!$B147)&lt;$L$2,N(对接源_02物料!$B147)&gt;$L$3),0,1))</f>
        <v>0</v>
      </c>
      <c r="M1347">
        <f>IF(OR($M$1="",对接源_02物料!$C147="",对接源_02物料!$C147&lt;&gt;$M$1,对接源_02物料!$B147=""),0,IF(OR(N(对接源_02物料!$B147)&lt;$M$2,N(对接源_02物料!$B147)&gt;$M$3),0,1))</f>
        <v>0</v>
      </c>
      <c r="N1347">
        <f>IF(OR($N$1="",对接源_02物料!$C147="",对接源_02物料!$C147&lt;&gt;$N$1,对接源_02物料!$B147=""),0,IF(OR(N(对接源_02物料!$B147)&lt;$N$2,N(对接源_02物料!$B147)&gt;$N$3),0,1))</f>
        <v>0</v>
      </c>
      <c r="P1347">
        <f>IF(AND($K1347=1,AND(对接源_02物料!$X147="公司筐",N(对接源_02物料!$T147)&lt;&gt;0)),1,0)</f>
        <v>1</v>
      </c>
      <c r="Q1347">
        <f>N(Q1346)+$P1347</f>
        <v>3</v>
      </c>
      <c r="R1347">
        <f>IF(AND($K1347=1,AND(对接源_02物料!$X147="公司筐",N(对接源_02物料!$U147)&lt;&gt;0)),1,0)</f>
        <v>0</v>
      </c>
      <c r="S1347">
        <f>N(S1346)+$R1347</f>
        <v>0</v>
      </c>
      <c r="T1347">
        <f>IF(AND($K1347=1,AND(对接源_02物料!$X147="公司筐",N(对接源_02物料!$V147)&lt;&gt;0)),1,0)</f>
        <v>0</v>
      </c>
      <c r="U1347">
        <f>N(U1346)+$T1347</f>
        <v>47</v>
      </c>
      <c r="V1347">
        <f>IF(AND($L1347=1,AND(对接源_02物料!$X147="自备筐",N(对接源_02物料!$V147)&lt;&gt;0)),1,0)</f>
        <v>0</v>
      </c>
      <c r="W1347">
        <f>N(W1346)+$V1347</f>
        <v>11</v>
      </c>
      <c r="X1347">
        <f>IF(AND($L1347=1,AND(对接源_02物料!$X147="自备筐",N(对接源_02物料!$T147)&lt;&gt;0)),1,0)</f>
        <v>0</v>
      </c>
      <c r="Y1347">
        <f>N(Y1346)+$X1347</f>
        <v>0</v>
      </c>
      <c r="Z1347">
        <f>IF(AND($M1347=1,对接源_02物料!$D147="原料入库"),1,0)</f>
        <v>0</v>
      </c>
      <c r="AA1347">
        <f>N(AA1346)+$Z1347</f>
        <v>24</v>
      </c>
      <c r="AB1347">
        <f>IF(AND($M1347=1,LEFT(对接源_02物料!$D147,4)="原料出库"),1,0)</f>
        <v>0</v>
      </c>
      <c r="AC1347">
        <f>N(AC1346)+$AB1347</f>
        <v>0</v>
      </c>
      <c r="AD1347">
        <f>IF(AND($M1347=1,LEFT(对接源_02物料!$D147,4)="成品出库"),1,0)</f>
        <v>0</v>
      </c>
      <c r="AE1347">
        <f>N(AE1346)+$AD1347</f>
        <v>0</v>
      </c>
      <c r="AF1347">
        <f>IF(AND($N1347=1,AND(LEFT(对接源_02物料!$D147,4)="包装物料",N(对接源_02物料!$K147)&lt;&gt;0)),1,0)</f>
        <v>0</v>
      </c>
      <c r="AG1347">
        <f>N(AG1346)+$AF1347</f>
        <v>10</v>
      </c>
      <c r="AH1347">
        <f>IF(AND($N1347=1,AND(对接源_02物料!$D147="周转筐－销售出库",N(对接源_02物料!$K147)&lt;&gt;0)),1,0)</f>
        <v>0</v>
      </c>
      <c r="AI1347">
        <f>N(AI1346)+$AH1347</f>
        <v>0</v>
      </c>
      <c r="AL1347" t="n">
        <v>0</v>
      </c>
      <c r="AM1347">
        <f>N(AM1346)+$AL1347</f>
        <v>2</v>
      </c>
      <c r="AN1347">
        <f>""</f>
      </c>
      <c r="AO1347" t="n">
        <v>0</v>
      </c>
      <c r="AP1347">
        <f>N(AP1346)+$AO1347</f>
        <v>13</v>
      </c>
      <c r="AR1347">
        <f>IF(OR($AF1347=1,$AH1347=1),1,0)</f>
        <v>0</v>
      </c>
      <c r="AS1347">
        <f>N(AS1346)+$AR1347</f>
        <v>10</v>
      </c>
    </row>
    <row r="1348" s="127">
      <c r="A1348" t="str">
        <f>IF(对接源_02物料!$C148="","",对接源_02物料!$C148)</f>
        <v>马锦祥</v>
      </c>
      <c r="B1348">
        <f>IF(A1348="",0,IF(MATCH(A1348,$A$4:$A$2403,0)=ROW()-3,1,0))</f>
        <v>0</v>
      </c>
      <c r="C1348">
        <f>N(C1347)+B1348</f>
        <v>25</v>
      </c>
      <c r="K1348">
        <f>IF(OR($K$1="",对接源_02物料!$C148="",对接源_02物料!$C148&lt;&gt;$K$1,对接源_02物料!$B148=""),0,IF(OR(N(对接源_02物料!$B148)&lt;$K$2,N(对接源_02物料!$B148)&gt;$K$3),0,1))</f>
        <v>0</v>
      </c>
      <c r="L1348">
        <f>IF(OR($L$1="",对接源_02物料!$C148="",对接源_02物料!$C148&lt;&gt;$L$1,对接源_02物料!$B148=""),0,IF(OR(N(对接源_02物料!$B148)&lt;$L$2,N(对接源_02物料!$B148)&gt;$L$3),0,1))</f>
        <v>0</v>
      </c>
      <c r="M1348">
        <f>IF(OR($M$1="",对接源_02物料!$C148="",对接源_02物料!$C148&lt;&gt;$M$1,对接源_02物料!$B148=""),0,IF(OR(N(对接源_02物料!$B148)&lt;$M$2,N(对接源_02物料!$B148)&gt;$M$3),0,1))</f>
        <v>0</v>
      </c>
      <c r="N1348">
        <f>IF(OR($N$1="",对接源_02物料!$C148="",对接源_02物料!$C148&lt;&gt;$N$1,对接源_02物料!$B148=""),0,IF(OR(N(对接源_02物料!$B148)&lt;$N$2,N(对接源_02物料!$B148)&gt;$N$3),0,1))</f>
        <v>0</v>
      </c>
      <c r="P1348">
        <f>IF(AND($K1348=1,AND(对接源_02物料!$X148="公司筐",N(对接源_02物料!$T148)&lt;&gt;0)),1,0)</f>
        <v>0</v>
      </c>
      <c r="Q1348">
        <f>N(Q1347)+$P1348</f>
        <v>3</v>
      </c>
      <c r="R1348">
        <f>IF(AND($K1348=1,AND(对接源_02物料!$X148="公司筐",N(对接源_02物料!$U148)&lt;&gt;0)),1,0)</f>
        <v>0</v>
      </c>
      <c r="S1348">
        <f>N(S1347)+$R1348</f>
        <v>0</v>
      </c>
      <c r="T1348">
        <f>IF(AND($K1348=1,AND(对接源_02物料!$X148="公司筐",N(对接源_02物料!$V148)&lt;&gt;0)),1,0)</f>
        <v>0</v>
      </c>
      <c r="U1348">
        <f>N(U1347)+$T1348</f>
        <v>47</v>
      </c>
      <c r="V1348">
        <f>IF(AND($L1348=1,AND(对接源_02物料!$X148="自备筐",N(对接源_02物料!$V148)&lt;&gt;0)),1,0)</f>
        <v>0</v>
      </c>
      <c r="W1348">
        <f>N(W1347)+$V1348</f>
        <v>11</v>
      </c>
      <c r="X1348">
        <f>IF(AND($L1348=1,AND(对接源_02物料!$X148="自备筐",N(对接源_02物料!$T148)&lt;&gt;0)),1,0)</f>
        <v>0</v>
      </c>
      <c r="Y1348">
        <f>N(Y1347)+$X1348</f>
        <v>0</v>
      </c>
      <c r="Z1348">
        <f>IF(AND($M1348=1,对接源_02物料!$D148="原料入库"),1,0)</f>
        <v>0</v>
      </c>
      <c r="AA1348">
        <f>N(AA1347)+$Z1348</f>
        <v>24</v>
      </c>
      <c r="AB1348">
        <f>IF(AND($M1348=1,LEFT(对接源_02物料!$D148,4)="原料出库"),1,0)</f>
        <v>0</v>
      </c>
      <c r="AC1348">
        <f>N(AC1347)+$AB1348</f>
        <v>0</v>
      </c>
      <c r="AD1348">
        <f>IF(AND($M1348=1,LEFT(对接源_02物料!$D148,4)="成品出库"),1,0)</f>
        <v>0</v>
      </c>
      <c r="AE1348">
        <f>N(AE1347)+$AD1348</f>
        <v>0</v>
      </c>
      <c r="AF1348">
        <f>IF(AND($N1348=1,AND(LEFT(对接源_02物料!$D148,4)="包装物料",N(对接源_02物料!$K148)&lt;&gt;0)),1,0)</f>
        <v>0</v>
      </c>
      <c r="AG1348">
        <f>N(AG1347)+$AF1348</f>
        <v>10</v>
      </c>
      <c r="AH1348">
        <f>IF(AND($N1348=1,AND(对接源_02物料!$D148="周转筐－销售出库",N(对接源_02物料!$K148)&lt;&gt;0)),1,0)</f>
        <v>0</v>
      </c>
      <c r="AI1348">
        <f>N(AI1347)+$AH1348</f>
        <v>0</v>
      </c>
      <c r="AL1348" t="n">
        <v>0</v>
      </c>
      <c r="AM1348">
        <f>N(AM1347)+$AL1348</f>
        <v>2</v>
      </c>
      <c r="AN1348">
        <f>""</f>
      </c>
      <c r="AO1348" t="n">
        <v>0</v>
      </c>
      <c r="AP1348">
        <f>N(AP1347)+$AO1348</f>
        <v>13</v>
      </c>
      <c r="AR1348">
        <f>IF(OR($AF1348=1,$AH1348=1),1,0)</f>
        <v>0</v>
      </c>
      <c r="AS1348">
        <f>N(AS1347)+$AR1348</f>
        <v>10</v>
      </c>
    </row>
    <row r="1349" s="127">
      <c r="A1349" t="str">
        <f>IF(对接源_02物料!$C149="","",对接源_02物料!$C149)</f>
        <v>全修塑业</v>
      </c>
      <c r="B1349">
        <f>IF(A1349="",0,IF(MATCH(A1349,$A$4:$A$2403,0)=ROW()-3,1,0))</f>
        <v>0</v>
      </c>
      <c r="C1349">
        <f>N(C1348)+B1349</f>
        <v>25</v>
      </c>
      <c r="K1349">
        <f>IF(OR($K$1="",对接源_02物料!$C149="",对接源_02物料!$C149&lt;&gt;$K$1,对接源_02物料!$B149=""),0,IF(OR(N(对接源_02物料!$B149)&lt;$K$2,N(对接源_02物料!$B149)&gt;$K$3),0,1))</f>
        <v>0</v>
      </c>
      <c r="L1349">
        <f>IF(OR($L$1="",对接源_02物料!$C149="",对接源_02物料!$C149&lt;&gt;$L$1,对接源_02物料!$B149=""),0,IF(OR(N(对接源_02物料!$B149)&lt;$L$2,N(对接源_02物料!$B149)&gt;$L$3),0,1))</f>
        <v>0</v>
      </c>
      <c r="M1349">
        <f>IF(OR($M$1="",对接源_02物料!$C149="",对接源_02物料!$C149&lt;&gt;$M$1,对接源_02物料!$B149=""),0,IF(OR(N(对接源_02物料!$B149)&lt;$M$2,N(对接源_02物料!$B149)&gt;$M$3),0,1))</f>
        <v>0</v>
      </c>
      <c r="N1349">
        <f>IF(OR($N$1="",对接源_02物料!$C149="",对接源_02物料!$C149&lt;&gt;$N$1,对接源_02物料!$B149=""),0,IF(OR(N(对接源_02物料!$B149)&lt;$N$2,N(对接源_02物料!$B149)&gt;$N$3),0,1))</f>
        <v>0</v>
      </c>
      <c r="P1349">
        <f>IF(AND($K1349=1,AND(对接源_02物料!$X149="公司筐",N(对接源_02物料!$T149)&lt;&gt;0)),1,0)</f>
        <v>0</v>
      </c>
      <c r="Q1349">
        <f>N(Q1348)+$P1349</f>
        <v>3</v>
      </c>
      <c r="R1349">
        <f>IF(AND($K1349=1,AND(对接源_02物料!$X149="公司筐",N(对接源_02物料!$U149)&lt;&gt;0)),1,0)</f>
        <v>0</v>
      </c>
      <c r="S1349">
        <f>N(S1348)+$R1349</f>
        <v>0</v>
      </c>
      <c r="T1349">
        <f>IF(AND($K1349=1,AND(对接源_02物料!$X149="公司筐",N(对接源_02物料!$V149)&lt;&gt;0)),1,0)</f>
        <v>0</v>
      </c>
      <c r="U1349">
        <f>N(U1348)+$T1349</f>
        <v>47</v>
      </c>
      <c r="V1349">
        <f>IF(AND($L1349=1,AND(对接源_02物料!$X149="自备筐",N(对接源_02物料!$V149)&lt;&gt;0)),1,0)</f>
        <v>0</v>
      </c>
      <c r="W1349">
        <f>N(W1348)+$V1349</f>
        <v>11</v>
      </c>
      <c r="X1349">
        <f>IF(AND($L1349=1,AND(对接源_02物料!$X149="自备筐",N(对接源_02物料!$T149)&lt;&gt;0)),1,0)</f>
        <v>0</v>
      </c>
      <c r="Y1349">
        <f>N(Y1348)+$X1349</f>
        <v>0</v>
      </c>
      <c r="Z1349">
        <f>IF(AND($M1349=1,对接源_02物料!$D149="原料入库"),1,0)</f>
        <v>0</v>
      </c>
      <c r="AA1349">
        <f>N(AA1348)+$Z1349</f>
        <v>24</v>
      </c>
      <c r="AB1349">
        <f>IF(AND($M1349=1,LEFT(对接源_02物料!$D149,4)="原料出库"),1,0)</f>
        <v>0</v>
      </c>
      <c r="AC1349">
        <f>N(AC1348)+$AB1349</f>
        <v>0</v>
      </c>
      <c r="AD1349">
        <f>IF(AND($M1349=1,LEFT(对接源_02物料!$D149,4)="成品出库"),1,0)</f>
        <v>0</v>
      </c>
      <c r="AE1349">
        <f>N(AE1348)+$AD1349</f>
        <v>0</v>
      </c>
      <c r="AF1349">
        <f>IF(AND($N1349=1,AND(LEFT(对接源_02物料!$D149,4)="包装物料",N(对接源_02物料!$K149)&lt;&gt;0)),1,0)</f>
        <v>0</v>
      </c>
      <c r="AG1349">
        <f>N(AG1348)+$AF1349</f>
        <v>10</v>
      </c>
      <c r="AH1349">
        <f>IF(AND($N1349=1,AND(对接源_02物料!$D149="周转筐－销售出库",N(对接源_02物料!$K149)&lt;&gt;0)),1,0)</f>
        <v>0</v>
      </c>
      <c r="AI1349">
        <f>N(AI1348)+$AH1349</f>
        <v>0</v>
      </c>
      <c r="AL1349" t="n">
        <v>0</v>
      </c>
      <c r="AM1349">
        <f>N(AM1348)+$AL1349</f>
        <v>2</v>
      </c>
      <c r="AN1349">
        <f>""</f>
      </c>
      <c r="AO1349" t="n">
        <v>0</v>
      </c>
      <c r="AP1349">
        <f>N(AP1348)+$AO1349</f>
        <v>13</v>
      </c>
      <c r="AR1349">
        <f>IF(OR($AF1349=1,$AH1349=1),1,0)</f>
        <v>0</v>
      </c>
      <c r="AS1349">
        <f>N(AS1348)+$AR1349</f>
        <v>10</v>
      </c>
    </row>
    <row r="1350" s="127">
      <c r="A1350" t="str">
        <f>IF(对接源_02物料!$C150="","",对接源_02物料!$C150)</f>
        <v>王灵云</v>
      </c>
      <c r="B1350">
        <f>IF(A1350="",0,IF(MATCH(A1350,$A$4:$A$2403,0)=ROW()-3,1,0))</f>
        <v>0</v>
      </c>
      <c r="C1350">
        <f>N(C1349)+B1350</f>
        <v>25</v>
      </c>
      <c r="K1350">
        <f>IF(OR($K$1="",对接源_02物料!$C150="",对接源_02物料!$C150&lt;&gt;$K$1,对接源_02物料!$B150=""),0,IF(OR(N(对接源_02物料!$B150)&lt;$K$2,N(对接源_02物料!$B150)&gt;$K$3),0,1))</f>
        <v>1</v>
      </c>
      <c r="L1350">
        <f>IF(OR($L$1="",对接源_02物料!$C150="",对接源_02物料!$C150&lt;&gt;$L$1,对接源_02物料!$B150=""),0,IF(OR(N(对接源_02物料!$B150)&lt;$L$2,N(对接源_02物料!$B150)&gt;$L$3),0,1))</f>
        <v>0</v>
      </c>
      <c r="M1350">
        <f>IF(OR($M$1="",对接源_02物料!$C150="",对接源_02物料!$C150&lt;&gt;$M$1,对接源_02物料!$B150=""),0,IF(OR(N(对接源_02物料!$B150)&lt;$M$2,N(对接源_02物料!$B150)&gt;$M$3),0,1))</f>
        <v>0</v>
      </c>
      <c r="N1350">
        <f>IF(OR($N$1="",对接源_02物料!$C150="",对接源_02物料!$C150&lt;&gt;$N$1,对接源_02物料!$B150=""),0,IF(OR(N(对接源_02物料!$B150)&lt;$N$2,N(对接源_02物料!$B150)&gt;$N$3),0,1))</f>
        <v>0</v>
      </c>
      <c r="P1350">
        <f>IF(AND($K1350=1,AND(对接源_02物料!$X150="公司筐",N(对接源_02物料!$T150)&lt;&gt;0)),1,0)</f>
        <v>1</v>
      </c>
      <c r="Q1350">
        <f>N(Q1349)+$P1350</f>
        <v>4</v>
      </c>
      <c r="R1350">
        <f>IF(AND($K1350=1,AND(对接源_02物料!$X150="公司筐",N(对接源_02物料!$U150)&lt;&gt;0)),1,0)</f>
        <v>0</v>
      </c>
      <c r="S1350">
        <f>N(S1349)+$R1350</f>
        <v>0</v>
      </c>
      <c r="T1350">
        <f>IF(AND($K1350=1,AND(对接源_02物料!$X150="公司筐",N(对接源_02物料!$V150)&lt;&gt;0)),1,0)</f>
        <v>0</v>
      </c>
      <c r="U1350">
        <f>N(U1349)+$T1350</f>
        <v>47</v>
      </c>
      <c r="V1350">
        <f>IF(AND($L1350=1,AND(对接源_02物料!$X150="自备筐",N(对接源_02物料!$V150)&lt;&gt;0)),1,0)</f>
        <v>0</v>
      </c>
      <c r="W1350">
        <f>N(W1349)+$V1350</f>
        <v>11</v>
      </c>
      <c r="X1350">
        <f>IF(AND($L1350=1,AND(对接源_02物料!$X150="自备筐",N(对接源_02物料!$T150)&lt;&gt;0)),1,0)</f>
        <v>0</v>
      </c>
      <c r="Y1350">
        <f>N(Y1349)+$X1350</f>
        <v>0</v>
      </c>
      <c r="Z1350">
        <f>IF(AND($M1350=1,对接源_02物料!$D150="原料入库"),1,0)</f>
        <v>0</v>
      </c>
      <c r="AA1350">
        <f>N(AA1349)+$Z1350</f>
        <v>24</v>
      </c>
      <c r="AB1350">
        <f>IF(AND($M1350=1,LEFT(对接源_02物料!$D150,4)="原料出库"),1,0)</f>
        <v>0</v>
      </c>
      <c r="AC1350">
        <f>N(AC1349)+$AB1350</f>
        <v>0</v>
      </c>
      <c r="AD1350">
        <f>IF(AND($M1350=1,LEFT(对接源_02物料!$D150,4)="成品出库"),1,0)</f>
        <v>0</v>
      </c>
      <c r="AE1350">
        <f>N(AE1349)+$AD1350</f>
        <v>0</v>
      </c>
      <c r="AF1350">
        <f>IF(AND($N1350=1,AND(LEFT(对接源_02物料!$D150,4)="包装物料",N(对接源_02物料!$K150)&lt;&gt;0)),1,0)</f>
        <v>0</v>
      </c>
      <c r="AG1350">
        <f>N(AG1349)+$AF1350</f>
        <v>10</v>
      </c>
      <c r="AH1350">
        <f>IF(AND($N1350=1,AND(对接源_02物料!$D150="周转筐－销售出库",N(对接源_02物料!$K150)&lt;&gt;0)),1,0)</f>
        <v>0</v>
      </c>
      <c r="AI1350">
        <f>N(AI1349)+$AH1350</f>
        <v>0</v>
      </c>
      <c r="AL1350" t="n">
        <v>0</v>
      </c>
      <c r="AM1350">
        <f>N(AM1349)+$AL1350</f>
        <v>2</v>
      </c>
      <c r="AN1350">
        <f>""</f>
      </c>
      <c r="AO1350" t="n">
        <v>0</v>
      </c>
      <c r="AP1350">
        <f>N(AP1349)+$AO1350</f>
        <v>13</v>
      </c>
      <c r="AR1350">
        <f>IF(OR($AF1350=1,$AH1350=1),1,0)</f>
        <v>0</v>
      </c>
      <c r="AS1350">
        <f>N(AS1349)+$AR1350</f>
        <v>10</v>
      </c>
    </row>
    <row r="1351" s="127">
      <c r="A1351" t="str">
        <f>IF(对接源_02物料!$C151="","",对接源_02物料!$C151)</f>
        <v>李现东</v>
      </c>
      <c r="B1351">
        <f>IF(A1351="",0,IF(MATCH(A1351,$A$4:$A$2403,0)=ROW()-3,1,0))</f>
        <v>0</v>
      </c>
      <c r="C1351">
        <f>N(C1350)+B1351</f>
        <v>25</v>
      </c>
      <c r="K1351">
        <f>IF(OR($K$1="",对接源_02物料!$C151="",对接源_02物料!$C151&lt;&gt;$K$1,对接源_02物料!$B151=""),0,IF(OR(N(对接源_02物料!$B151)&lt;$K$2,N(对接源_02物料!$B151)&gt;$K$3),0,1))</f>
        <v>0</v>
      </c>
      <c r="L1351">
        <f>IF(OR($L$1="",对接源_02物料!$C151="",对接源_02物料!$C151&lt;&gt;$L$1,对接源_02物料!$B151=""),0,IF(OR(N(对接源_02物料!$B151)&lt;$L$2,N(对接源_02物料!$B151)&gt;$L$3),0,1))</f>
        <v>0</v>
      </c>
      <c r="M1351">
        <f>IF(OR($M$1="",对接源_02物料!$C151="",对接源_02物料!$C151&lt;&gt;$M$1,对接源_02物料!$B151=""),0,IF(OR(N(对接源_02物料!$B151)&lt;$M$2,N(对接源_02物料!$B151)&gt;$M$3),0,1))</f>
        <v>0</v>
      </c>
      <c r="N1351">
        <f>IF(OR($N$1="",对接源_02物料!$C151="",对接源_02物料!$C151&lt;&gt;$N$1,对接源_02物料!$B151=""),0,IF(OR(N(对接源_02物料!$B151)&lt;$N$2,N(对接源_02物料!$B151)&gt;$N$3),0,1))</f>
        <v>0</v>
      </c>
      <c r="P1351">
        <f>IF(AND($K1351=1,AND(对接源_02物料!$X151="公司筐",N(对接源_02物料!$T151)&lt;&gt;0)),1,0)</f>
        <v>0</v>
      </c>
      <c r="Q1351">
        <f>N(Q1350)+$P1351</f>
        <v>4</v>
      </c>
      <c r="R1351">
        <f>IF(AND($K1351=1,AND(对接源_02物料!$X151="公司筐",N(对接源_02物料!$U151)&lt;&gt;0)),1,0)</f>
        <v>0</v>
      </c>
      <c r="S1351">
        <f>N(S1350)+$R1351</f>
        <v>0</v>
      </c>
      <c r="T1351">
        <f>IF(AND($K1351=1,AND(对接源_02物料!$X151="公司筐",N(对接源_02物料!$V151)&lt;&gt;0)),1,0)</f>
        <v>0</v>
      </c>
      <c r="U1351">
        <f>N(U1350)+$T1351</f>
        <v>47</v>
      </c>
      <c r="V1351">
        <f>IF(AND($L1351=1,AND(对接源_02物料!$X151="自备筐",N(对接源_02物料!$V151)&lt;&gt;0)),1,0)</f>
        <v>0</v>
      </c>
      <c r="W1351">
        <f>N(W1350)+$V1351</f>
        <v>11</v>
      </c>
      <c r="X1351">
        <f>IF(AND($L1351=1,AND(对接源_02物料!$X151="自备筐",N(对接源_02物料!$T151)&lt;&gt;0)),1,0)</f>
        <v>0</v>
      </c>
      <c r="Y1351">
        <f>N(Y1350)+$X1351</f>
        <v>0</v>
      </c>
      <c r="Z1351">
        <f>IF(AND($M1351=1,对接源_02物料!$D151="原料入库"),1,0)</f>
        <v>0</v>
      </c>
      <c r="AA1351">
        <f>N(AA1350)+$Z1351</f>
        <v>24</v>
      </c>
      <c r="AB1351">
        <f>IF(AND($M1351=1,LEFT(对接源_02物料!$D151,4)="原料出库"),1,0)</f>
        <v>0</v>
      </c>
      <c r="AC1351">
        <f>N(AC1350)+$AB1351</f>
        <v>0</v>
      </c>
      <c r="AD1351">
        <f>IF(AND($M1351=1,LEFT(对接源_02物料!$D151,4)="成品出库"),1,0)</f>
        <v>0</v>
      </c>
      <c r="AE1351">
        <f>N(AE1350)+$AD1351</f>
        <v>0</v>
      </c>
      <c r="AF1351">
        <f>IF(AND($N1351=1,AND(LEFT(对接源_02物料!$D151,4)="包装物料",N(对接源_02物料!$K151)&lt;&gt;0)),1,0)</f>
        <v>0</v>
      </c>
      <c r="AG1351">
        <f>N(AG1350)+$AF1351</f>
        <v>10</v>
      </c>
      <c r="AH1351">
        <f>IF(AND($N1351=1,AND(对接源_02物料!$D151="周转筐－销售出库",N(对接源_02物料!$K151)&lt;&gt;0)),1,0)</f>
        <v>0</v>
      </c>
      <c r="AI1351">
        <f>N(AI1350)+$AH1351</f>
        <v>0</v>
      </c>
      <c r="AL1351" t="n">
        <v>0</v>
      </c>
      <c r="AM1351">
        <f>N(AM1350)+$AL1351</f>
        <v>2</v>
      </c>
      <c r="AN1351">
        <f>""</f>
      </c>
      <c r="AO1351" t="n">
        <v>0</v>
      </c>
      <c r="AP1351">
        <f>N(AP1350)+$AO1351</f>
        <v>13</v>
      </c>
      <c r="AR1351">
        <f>IF(OR($AF1351=1,$AH1351=1),1,0)</f>
        <v>0</v>
      </c>
      <c r="AS1351">
        <f>N(AS1350)+$AR1351</f>
        <v>10</v>
      </c>
    </row>
    <row r="1352" s="127">
      <c r="A1352" t="str">
        <f>IF(对接源_02物料!$C152="","",对接源_02物料!$C152)</f>
        <v>李现东</v>
      </c>
      <c r="B1352">
        <f>IF(A1352="",0,IF(MATCH(A1352,$A$4:$A$2403,0)=ROW()-3,1,0))</f>
        <v>0</v>
      </c>
      <c r="C1352">
        <f>N(C1351)+B1352</f>
        <v>25</v>
      </c>
      <c r="K1352">
        <f>IF(OR($K$1="",对接源_02物料!$C152="",对接源_02物料!$C152&lt;&gt;$K$1,对接源_02物料!$B152=""),0,IF(OR(N(对接源_02物料!$B152)&lt;$K$2,N(对接源_02物料!$B152)&gt;$K$3),0,1))</f>
        <v>0</v>
      </c>
      <c r="L1352">
        <f>IF(OR($L$1="",对接源_02物料!$C152="",对接源_02物料!$C152&lt;&gt;$L$1,对接源_02物料!$B152=""),0,IF(OR(N(对接源_02物料!$B152)&lt;$L$2,N(对接源_02物料!$B152)&gt;$L$3),0,1))</f>
        <v>0</v>
      </c>
      <c r="M1352">
        <f>IF(OR($M$1="",对接源_02物料!$C152="",对接源_02物料!$C152&lt;&gt;$M$1,对接源_02物料!$B152=""),0,IF(OR(N(对接源_02物料!$B152)&lt;$M$2,N(对接源_02物料!$B152)&gt;$M$3),0,1))</f>
        <v>0</v>
      </c>
      <c r="N1352">
        <f>IF(OR($N$1="",对接源_02物料!$C152="",对接源_02物料!$C152&lt;&gt;$N$1,对接源_02物料!$B152=""),0,IF(OR(N(对接源_02物料!$B152)&lt;$N$2,N(对接源_02物料!$B152)&gt;$N$3),0,1))</f>
        <v>0</v>
      </c>
      <c r="P1352">
        <f>IF(AND($K1352=1,AND(对接源_02物料!$X152="公司筐",N(对接源_02物料!$T152)&lt;&gt;0)),1,0)</f>
        <v>0</v>
      </c>
      <c r="Q1352">
        <f>N(Q1351)+$P1352</f>
        <v>4</v>
      </c>
      <c r="R1352">
        <f>IF(AND($K1352=1,AND(对接源_02物料!$X152="公司筐",N(对接源_02物料!$U152)&lt;&gt;0)),1,0)</f>
        <v>0</v>
      </c>
      <c r="S1352">
        <f>N(S1351)+$R1352</f>
        <v>0</v>
      </c>
      <c r="T1352">
        <f>IF(AND($K1352=1,AND(对接源_02物料!$X152="公司筐",N(对接源_02物料!$V152)&lt;&gt;0)),1,0)</f>
        <v>0</v>
      </c>
      <c r="U1352">
        <f>N(U1351)+$T1352</f>
        <v>47</v>
      </c>
      <c r="V1352">
        <f>IF(AND($L1352=1,AND(对接源_02物料!$X152="自备筐",N(对接源_02物料!$V152)&lt;&gt;0)),1,0)</f>
        <v>0</v>
      </c>
      <c r="W1352">
        <f>N(W1351)+$V1352</f>
        <v>11</v>
      </c>
      <c r="X1352">
        <f>IF(AND($L1352=1,AND(对接源_02物料!$X152="自备筐",N(对接源_02物料!$T152)&lt;&gt;0)),1,0)</f>
        <v>0</v>
      </c>
      <c r="Y1352">
        <f>N(Y1351)+$X1352</f>
        <v>0</v>
      </c>
      <c r="Z1352">
        <f>IF(AND($M1352=1,对接源_02物料!$D152="原料入库"),1,0)</f>
        <v>0</v>
      </c>
      <c r="AA1352">
        <f>N(AA1351)+$Z1352</f>
        <v>24</v>
      </c>
      <c r="AB1352">
        <f>IF(AND($M1352=1,LEFT(对接源_02物料!$D152,4)="原料出库"),1,0)</f>
        <v>0</v>
      </c>
      <c r="AC1352">
        <f>N(AC1351)+$AB1352</f>
        <v>0</v>
      </c>
      <c r="AD1352">
        <f>IF(AND($M1352=1,LEFT(对接源_02物料!$D152,4)="成品出库"),1,0)</f>
        <v>0</v>
      </c>
      <c r="AE1352">
        <f>N(AE1351)+$AD1352</f>
        <v>0</v>
      </c>
      <c r="AF1352">
        <f>IF(AND($N1352=1,AND(LEFT(对接源_02物料!$D152,4)="包装物料",N(对接源_02物料!$K152)&lt;&gt;0)),1,0)</f>
        <v>0</v>
      </c>
      <c r="AG1352">
        <f>N(AG1351)+$AF1352</f>
        <v>10</v>
      </c>
      <c r="AH1352">
        <f>IF(AND($N1352=1,AND(对接源_02物料!$D152="周转筐－销售出库",N(对接源_02物料!$K152)&lt;&gt;0)),1,0)</f>
        <v>0</v>
      </c>
      <c r="AI1352">
        <f>N(AI1351)+$AH1352</f>
        <v>0</v>
      </c>
      <c r="AL1352" t="n">
        <v>0</v>
      </c>
      <c r="AM1352">
        <f>N(AM1351)+$AL1352</f>
        <v>2</v>
      </c>
      <c r="AN1352">
        <f>""</f>
      </c>
      <c r="AO1352" t="n">
        <v>0</v>
      </c>
      <c r="AP1352">
        <f>N(AP1351)+$AO1352</f>
        <v>13</v>
      </c>
      <c r="AR1352">
        <f>IF(OR($AF1352=1,$AH1352=1),1,0)</f>
        <v>0</v>
      </c>
      <c r="AS1352">
        <f>N(AS1351)+$AR1352</f>
        <v>10</v>
      </c>
    </row>
    <row r="1353" s="127">
      <c r="A1353" t="str">
        <f>IF(对接源_02物料!$C153="","",对接源_02物料!$C153)</f>
        <v>全修塑业</v>
      </c>
      <c r="B1353">
        <f>IF(A1353="",0,IF(MATCH(A1353,$A$4:$A$2403,0)=ROW()-3,1,0))</f>
        <v>0</v>
      </c>
      <c r="C1353">
        <f>N(C1352)+B1353</f>
        <v>25</v>
      </c>
      <c r="K1353">
        <f>IF(OR($K$1="",对接源_02物料!$C153="",对接源_02物料!$C153&lt;&gt;$K$1,对接源_02物料!$B153=""),0,IF(OR(N(对接源_02物料!$B153)&lt;$K$2,N(对接源_02物料!$B153)&gt;$K$3),0,1))</f>
        <v>0</v>
      </c>
      <c r="L1353">
        <f>IF(OR($L$1="",对接源_02物料!$C153="",对接源_02物料!$C153&lt;&gt;$L$1,对接源_02物料!$B153=""),0,IF(OR(N(对接源_02物料!$B153)&lt;$L$2,N(对接源_02物料!$B153)&gt;$L$3),0,1))</f>
        <v>0</v>
      </c>
      <c r="M1353">
        <f>IF(OR($M$1="",对接源_02物料!$C153="",对接源_02物料!$C153&lt;&gt;$M$1,对接源_02物料!$B153=""),0,IF(OR(N(对接源_02物料!$B153)&lt;$M$2,N(对接源_02物料!$B153)&gt;$M$3),0,1))</f>
        <v>0</v>
      </c>
      <c r="N1353">
        <f>IF(OR($N$1="",对接源_02物料!$C153="",对接源_02物料!$C153&lt;&gt;$N$1,对接源_02物料!$B153=""),0,IF(OR(N(对接源_02物料!$B153)&lt;$N$2,N(对接源_02物料!$B153)&gt;$N$3),0,1))</f>
        <v>0</v>
      </c>
      <c r="P1353">
        <f>IF(AND($K1353=1,AND(对接源_02物料!$X153="公司筐",N(对接源_02物料!$T153)&lt;&gt;0)),1,0)</f>
        <v>0</v>
      </c>
      <c r="Q1353">
        <f>N(Q1352)+$P1353</f>
        <v>4</v>
      </c>
      <c r="R1353">
        <f>IF(AND($K1353=1,AND(对接源_02物料!$X153="公司筐",N(对接源_02物料!$U153)&lt;&gt;0)),1,0)</f>
        <v>0</v>
      </c>
      <c r="S1353">
        <f>N(S1352)+$R1353</f>
        <v>0</v>
      </c>
      <c r="T1353">
        <f>IF(AND($K1353=1,AND(对接源_02物料!$X153="公司筐",N(对接源_02物料!$V153)&lt;&gt;0)),1,0)</f>
        <v>0</v>
      </c>
      <c r="U1353">
        <f>N(U1352)+$T1353</f>
        <v>47</v>
      </c>
      <c r="V1353">
        <f>IF(AND($L1353=1,AND(对接源_02物料!$X153="自备筐",N(对接源_02物料!$V153)&lt;&gt;0)),1,0)</f>
        <v>0</v>
      </c>
      <c r="W1353">
        <f>N(W1352)+$V1353</f>
        <v>11</v>
      </c>
      <c r="X1353">
        <f>IF(AND($L1353=1,AND(对接源_02物料!$X153="自备筐",N(对接源_02物料!$T153)&lt;&gt;0)),1,0)</f>
        <v>0</v>
      </c>
      <c r="Y1353">
        <f>N(Y1352)+$X1353</f>
        <v>0</v>
      </c>
      <c r="Z1353">
        <f>IF(AND($M1353=1,对接源_02物料!$D153="原料入库"),1,0)</f>
        <v>0</v>
      </c>
      <c r="AA1353">
        <f>N(AA1352)+$Z1353</f>
        <v>24</v>
      </c>
      <c r="AB1353">
        <f>IF(AND($M1353=1,LEFT(对接源_02物料!$D153,4)="原料出库"),1,0)</f>
        <v>0</v>
      </c>
      <c r="AC1353">
        <f>N(AC1352)+$AB1353</f>
        <v>0</v>
      </c>
      <c r="AD1353">
        <f>IF(AND($M1353=1,LEFT(对接源_02物料!$D153,4)="成品出库"),1,0)</f>
        <v>0</v>
      </c>
      <c r="AE1353">
        <f>N(AE1352)+$AD1353</f>
        <v>0</v>
      </c>
      <c r="AF1353">
        <f>IF(AND($N1353=1,AND(LEFT(对接源_02物料!$D153,4)="包装物料",N(对接源_02物料!$K153)&lt;&gt;0)),1,0)</f>
        <v>0</v>
      </c>
      <c r="AG1353">
        <f>N(AG1352)+$AF1353</f>
        <v>10</v>
      </c>
      <c r="AH1353">
        <f>IF(AND($N1353=1,AND(对接源_02物料!$D153="周转筐－销售出库",N(对接源_02物料!$K153)&lt;&gt;0)),1,0)</f>
        <v>0</v>
      </c>
      <c r="AI1353">
        <f>N(AI1352)+$AH1353</f>
        <v>0</v>
      </c>
      <c r="AL1353" t="n">
        <v>0</v>
      </c>
      <c r="AM1353">
        <f>N(AM1352)+$AL1353</f>
        <v>2</v>
      </c>
      <c r="AN1353">
        <f>""</f>
      </c>
      <c r="AO1353" t="n">
        <v>0</v>
      </c>
      <c r="AP1353">
        <f>N(AP1352)+$AO1353</f>
        <v>13</v>
      </c>
      <c r="AR1353">
        <f>IF(OR($AF1353=1,$AH1353=1),1,0)</f>
        <v>0</v>
      </c>
      <c r="AS1353">
        <f>N(AS1352)+$AR1353</f>
        <v>10</v>
      </c>
    </row>
    <row r="1354" s="127">
      <c r="A1354" t="str">
        <f>IF(对接源_02物料!$C154="","",对接源_02物料!$C154)</f>
        <v>努尔敦</v>
      </c>
      <c r="B1354">
        <f>IF(A1354="",0,IF(MATCH(A1354,$A$4:$A$2403,0)=ROW()-3,1,0))</f>
        <v>0</v>
      </c>
      <c r="C1354">
        <f>N(C1353)+B1354</f>
        <v>25</v>
      </c>
      <c r="K1354">
        <f>IF(OR($K$1="",对接源_02物料!$C154="",对接源_02物料!$C154&lt;&gt;$K$1,对接源_02物料!$B154=""),0,IF(OR(N(对接源_02物料!$B154)&lt;$K$2,N(对接源_02物料!$B154)&gt;$K$3),0,1))</f>
        <v>0</v>
      </c>
      <c r="L1354">
        <f>IF(OR($L$1="",对接源_02物料!$C154="",对接源_02物料!$C154&lt;&gt;$L$1,对接源_02物料!$B154=""),0,IF(OR(N(对接源_02物料!$B154)&lt;$L$2,N(对接源_02物料!$B154)&gt;$L$3),0,1))</f>
        <v>0</v>
      </c>
      <c r="M1354">
        <f>IF(OR($M$1="",对接源_02物料!$C154="",对接源_02物料!$C154&lt;&gt;$M$1,对接源_02物料!$B154=""),0,IF(OR(N(对接源_02物料!$B154)&lt;$M$2,N(对接源_02物料!$B154)&gt;$M$3),0,1))</f>
        <v>0</v>
      </c>
      <c r="N1354">
        <f>IF(OR($N$1="",对接源_02物料!$C154="",对接源_02物料!$C154&lt;&gt;$N$1,对接源_02物料!$B154=""),0,IF(OR(N(对接源_02物料!$B154)&lt;$N$2,N(对接源_02物料!$B154)&gt;$N$3),0,1))</f>
        <v>0</v>
      </c>
      <c r="P1354">
        <f>IF(AND($K1354=1,AND(对接源_02物料!$X154="公司筐",N(对接源_02物料!$T154)&lt;&gt;0)),1,0)</f>
        <v>0</v>
      </c>
      <c r="Q1354">
        <f>N(Q1353)+$P1354</f>
        <v>4</v>
      </c>
      <c r="R1354">
        <f>IF(AND($K1354=1,AND(对接源_02物料!$X154="公司筐",N(对接源_02物料!$U154)&lt;&gt;0)),1,0)</f>
        <v>0</v>
      </c>
      <c r="S1354">
        <f>N(S1353)+$R1354</f>
        <v>0</v>
      </c>
      <c r="T1354">
        <f>IF(AND($K1354=1,AND(对接源_02物料!$X154="公司筐",N(对接源_02物料!$V154)&lt;&gt;0)),1,0)</f>
        <v>0</v>
      </c>
      <c r="U1354">
        <f>N(U1353)+$T1354</f>
        <v>47</v>
      </c>
      <c r="V1354">
        <f>IF(AND($L1354=1,AND(对接源_02物料!$X154="自备筐",N(对接源_02物料!$V154)&lt;&gt;0)),1,0)</f>
        <v>0</v>
      </c>
      <c r="W1354">
        <f>N(W1353)+$V1354</f>
        <v>11</v>
      </c>
      <c r="X1354">
        <f>IF(AND($L1354=1,AND(对接源_02物料!$X154="自备筐",N(对接源_02物料!$T154)&lt;&gt;0)),1,0)</f>
        <v>0</v>
      </c>
      <c r="Y1354">
        <f>N(Y1353)+$X1354</f>
        <v>0</v>
      </c>
      <c r="Z1354">
        <f>IF(AND($M1354=1,对接源_02物料!$D154="原料入库"),1,0)</f>
        <v>0</v>
      </c>
      <c r="AA1354">
        <f>N(AA1353)+$Z1354</f>
        <v>24</v>
      </c>
      <c r="AB1354">
        <f>IF(AND($M1354=1,LEFT(对接源_02物料!$D154,4)="原料出库"),1,0)</f>
        <v>0</v>
      </c>
      <c r="AC1354">
        <f>N(AC1353)+$AB1354</f>
        <v>0</v>
      </c>
      <c r="AD1354">
        <f>IF(AND($M1354=1,LEFT(对接源_02物料!$D154,4)="成品出库"),1,0)</f>
        <v>0</v>
      </c>
      <c r="AE1354">
        <f>N(AE1353)+$AD1354</f>
        <v>0</v>
      </c>
      <c r="AF1354">
        <f>IF(AND($N1354=1,AND(LEFT(对接源_02物料!$D154,4)="包装物料",N(对接源_02物料!$K154)&lt;&gt;0)),1,0)</f>
        <v>0</v>
      </c>
      <c r="AG1354">
        <f>N(AG1353)+$AF1354</f>
        <v>10</v>
      </c>
      <c r="AH1354">
        <f>IF(AND($N1354=1,AND(对接源_02物料!$D154="周转筐－销售出库",N(对接源_02物料!$K154)&lt;&gt;0)),1,0)</f>
        <v>0</v>
      </c>
      <c r="AI1354">
        <f>N(AI1353)+$AH1354</f>
        <v>0</v>
      </c>
      <c r="AL1354" t="n">
        <v>0</v>
      </c>
      <c r="AM1354">
        <f>N(AM1353)+$AL1354</f>
        <v>2</v>
      </c>
      <c r="AN1354">
        <f>""</f>
      </c>
      <c r="AO1354" t="n">
        <v>0</v>
      </c>
      <c r="AP1354">
        <f>N(AP1353)+$AO1354</f>
        <v>13</v>
      </c>
      <c r="AR1354">
        <f>IF(OR($AF1354=1,$AH1354=1),1,0)</f>
        <v>0</v>
      </c>
      <c r="AS1354">
        <f>N(AS1353)+$AR1354</f>
        <v>10</v>
      </c>
    </row>
    <row r="1355" s="127">
      <c r="A1355" t="str">
        <f>IF(对接源_02物料!$C155="","",对接源_02物料!$C155)</f>
        <v>全修塑业</v>
      </c>
      <c r="B1355">
        <f>IF(A1355="",0,IF(MATCH(A1355,$A$4:$A$2403,0)=ROW()-3,1,0))</f>
        <v>0</v>
      </c>
      <c r="C1355">
        <f>N(C1354)+B1355</f>
        <v>25</v>
      </c>
      <c r="K1355">
        <f>IF(OR($K$1="",对接源_02物料!$C155="",对接源_02物料!$C155&lt;&gt;$K$1,对接源_02物料!$B155=""),0,IF(OR(N(对接源_02物料!$B155)&lt;$K$2,N(对接源_02物料!$B155)&gt;$K$3),0,1))</f>
        <v>0</v>
      </c>
      <c r="L1355">
        <f>IF(OR($L$1="",对接源_02物料!$C155="",对接源_02物料!$C155&lt;&gt;$L$1,对接源_02物料!$B155=""),0,IF(OR(N(对接源_02物料!$B155)&lt;$L$2,N(对接源_02物料!$B155)&gt;$L$3),0,1))</f>
        <v>0</v>
      </c>
      <c r="M1355">
        <f>IF(OR($M$1="",对接源_02物料!$C155="",对接源_02物料!$C155&lt;&gt;$M$1,对接源_02物料!$B155=""),0,IF(OR(N(对接源_02物料!$B155)&lt;$M$2,N(对接源_02物料!$B155)&gt;$M$3),0,1))</f>
        <v>0</v>
      </c>
      <c r="N1355">
        <f>IF(OR($N$1="",对接源_02物料!$C155="",对接源_02物料!$C155&lt;&gt;$N$1,对接源_02物料!$B155=""),0,IF(OR(N(对接源_02物料!$B155)&lt;$N$2,N(对接源_02物料!$B155)&gt;$N$3),0,1))</f>
        <v>0</v>
      </c>
      <c r="P1355">
        <f>IF(AND($K1355=1,AND(对接源_02物料!$X155="公司筐",N(对接源_02物料!$T155)&lt;&gt;0)),1,0)</f>
        <v>0</v>
      </c>
      <c r="Q1355">
        <f>N(Q1354)+$P1355</f>
        <v>4</v>
      </c>
      <c r="R1355">
        <f>IF(AND($K1355=1,AND(对接源_02物料!$X155="公司筐",N(对接源_02物料!$U155)&lt;&gt;0)),1,0)</f>
        <v>0</v>
      </c>
      <c r="S1355">
        <f>N(S1354)+$R1355</f>
        <v>0</v>
      </c>
      <c r="T1355">
        <f>IF(AND($K1355=1,AND(对接源_02物料!$X155="公司筐",N(对接源_02物料!$V155)&lt;&gt;0)),1,0)</f>
        <v>0</v>
      </c>
      <c r="U1355">
        <f>N(U1354)+$T1355</f>
        <v>47</v>
      </c>
      <c r="V1355">
        <f>IF(AND($L1355=1,AND(对接源_02物料!$X155="自备筐",N(对接源_02物料!$V155)&lt;&gt;0)),1,0)</f>
        <v>0</v>
      </c>
      <c r="W1355">
        <f>N(W1354)+$V1355</f>
        <v>11</v>
      </c>
      <c r="X1355">
        <f>IF(AND($L1355=1,AND(对接源_02物料!$X155="自备筐",N(对接源_02物料!$T155)&lt;&gt;0)),1,0)</f>
        <v>0</v>
      </c>
      <c r="Y1355">
        <f>N(Y1354)+$X1355</f>
        <v>0</v>
      </c>
      <c r="Z1355">
        <f>IF(AND($M1355=1,对接源_02物料!$D155="原料入库"),1,0)</f>
        <v>0</v>
      </c>
      <c r="AA1355">
        <f>N(AA1354)+$Z1355</f>
        <v>24</v>
      </c>
      <c r="AB1355">
        <f>IF(AND($M1355=1,LEFT(对接源_02物料!$D155,4)="原料出库"),1,0)</f>
        <v>0</v>
      </c>
      <c r="AC1355">
        <f>N(AC1354)+$AB1355</f>
        <v>0</v>
      </c>
      <c r="AD1355">
        <f>IF(AND($M1355=1,LEFT(对接源_02物料!$D155,4)="成品出库"),1,0)</f>
        <v>0</v>
      </c>
      <c r="AE1355">
        <f>N(AE1354)+$AD1355</f>
        <v>0</v>
      </c>
      <c r="AF1355">
        <f>IF(AND($N1355=1,AND(LEFT(对接源_02物料!$D155,4)="包装物料",N(对接源_02物料!$K155)&lt;&gt;0)),1,0)</f>
        <v>0</v>
      </c>
      <c r="AG1355">
        <f>N(AG1354)+$AF1355</f>
        <v>10</v>
      </c>
      <c r="AH1355">
        <f>IF(AND($N1355=1,AND(对接源_02物料!$D155="周转筐－销售出库",N(对接源_02物料!$K155)&lt;&gt;0)),1,0)</f>
        <v>0</v>
      </c>
      <c r="AI1355">
        <f>N(AI1354)+$AH1355</f>
        <v>0</v>
      </c>
      <c r="AL1355" t="n">
        <v>0</v>
      </c>
      <c r="AM1355">
        <f>N(AM1354)+$AL1355</f>
        <v>2</v>
      </c>
      <c r="AN1355">
        <f>""</f>
      </c>
      <c r="AO1355" t="n">
        <v>0</v>
      </c>
      <c r="AP1355">
        <f>N(AP1354)+$AO1355</f>
        <v>13</v>
      </c>
      <c r="AR1355">
        <f>IF(OR($AF1355=1,$AH1355=1),1,0)</f>
        <v>0</v>
      </c>
      <c r="AS1355">
        <f>N(AS1354)+$AR1355</f>
        <v>10</v>
      </c>
    </row>
    <row r="1356" s="127">
      <c r="A1356" t="str">
        <f>IF(对接源_02物料!$C156="","",对接源_02物料!$C156)</f>
        <v>王照雪</v>
      </c>
      <c r="B1356">
        <f>IF(A1356="",0,IF(MATCH(A1356,$A$4:$A$2403,0)=ROW()-3,1,0))</f>
        <v>0</v>
      </c>
      <c r="C1356">
        <f>N(C1355)+B1356</f>
        <v>25</v>
      </c>
      <c r="K1356">
        <f>IF(OR($K$1="",对接源_02物料!$C156="",对接源_02物料!$C156&lt;&gt;$K$1,对接源_02物料!$B156=""),0,IF(OR(N(对接源_02物料!$B156)&lt;$K$2,N(对接源_02物料!$B156)&gt;$K$3),0,1))</f>
        <v>0</v>
      </c>
      <c r="L1356">
        <f>IF(OR($L$1="",对接源_02物料!$C156="",对接源_02物料!$C156&lt;&gt;$L$1,对接源_02物料!$B156=""),0,IF(OR(N(对接源_02物料!$B156)&lt;$L$2,N(对接源_02物料!$B156)&gt;$L$3),0,1))</f>
        <v>0</v>
      </c>
      <c r="M1356">
        <f>IF(OR($M$1="",对接源_02物料!$C156="",对接源_02物料!$C156&lt;&gt;$M$1,对接源_02物料!$B156=""),0,IF(OR(N(对接源_02物料!$B156)&lt;$M$2,N(对接源_02物料!$B156)&gt;$M$3),0,1))</f>
        <v>0</v>
      </c>
      <c r="N1356">
        <f>IF(OR($N$1="",对接源_02物料!$C156="",对接源_02物料!$C156&lt;&gt;$N$1,对接源_02物料!$B156=""),0,IF(OR(N(对接源_02物料!$B156)&lt;$N$2,N(对接源_02物料!$B156)&gt;$N$3),0,1))</f>
        <v>0</v>
      </c>
      <c r="P1356">
        <f>IF(AND($K1356=1,AND(对接源_02物料!$X156="公司筐",N(对接源_02物料!$T156)&lt;&gt;0)),1,0)</f>
        <v>0</v>
      </c>
      <c r="Q1356">
        <f>N(Q1355)+$P1356</f>
        <v>4</v>
      </c>
      <c r="R1356">
        <f>IF(AND($K1356=1,AND(对接源_02物料!$X156="公司筐",N(对接源_02物料!$U156)&lt;&gt;0)),1,0)</f>
        <v>0</v>
      </c>
      <c r="S1356">
        <f>N(S1355)+$R1356</f>
        <v>0</v>
      </c>
      <c r="T1356">
        <f>IF(AND($K1356=1,AND(对接源_02物料!$X156="公司筐",N(对接源_02物料!$V156)&lt;&gt;0)),1,0)</f>
        <v>0</v>
      </c>
      <c r="U1356">
        <f>N(U1355)+$T1356</f>
        <v>47</v>
      </c>
      <c r="V1356">
        <f>IF(AND($L1356=1,AND(对接源_02物料!$X156="自备筐",N(对接源_02物料!$V156)&lt;&gt;0)),1,0)</f>
        <v>0</v>
      </c>
      <c r="W1356">
        <f>N(W1355)+$V1356</f>
        <v>11</v>
      </c>
      <c r="X1356">
        <f>IF(AND($L1356=1,AND(对接源_02物料!$X156="自备筐",N(对接源_02物料!$T156)&lt;&gt;0)),1,0)</f>
        <v>0</v>
      </c>
      <c r="Y1356">
        <f>N(Y1355)+$X1356</f>
        <v>0</v>
      </c>
      <c r="Z1356">
        <f>IF(AND($M1356=1,对接源_02物料!$D156="原料入库"),1,0)</f>
        <v>0</v>
      </c>
      <c r="AA1356">
        <f>N(AA1355)+$Z1356</f>
        <v>24</v>
      </c>
      <c r="AB1356">
        <f>IF(AND($M1356=1,LEFT(对接源_02物料!$D156,4)="原料出库"),1,0)</f>
        <v>0</v>
      </c>
      <c r="AC1356">
        <f>N(AC1355)+$AB1356</f>
        <v>0</v>
      </c>
      <c r="AD1356">
        <f>IF(AND($M1356=1,LEFT(对接源_02物料!$D156,4)="成品出库"),1,0)</f>
        <v>0</v>
      </c>
      <c r="AE1356">
        <f>N(AE1355)+$AD1356</f>
        <v>0</v>
      </c>
      <c r="AF1356">
        <f>IF(AND($N1356=1,AND(LEFT(对接源_02物料!$D156,4)="包装物料",N(对接源_02物料!$K156)&lt;&gt;0)),1,0)</f>
        <v>0</v>
      </c>
      <c r="AG1356">
        <f>N(AG1355)+$AF1356</f>
        <v>10</v>
      </c>
      <c r="AH1356">
        <f>IF(AND($N1356=1,AND(对接源_02物料!$D156="周转筐－销售出库",N(对接源_02物料!$K156)&lt;&gt;0)),1,0)</f>
        <v>0</v>
      </c>
      <c r="AI1356">
        <f>N(AI1355)+$AH1356</f>
        <v>0</v>
      </c>
      <c r="AL1356" t="n">
        <v>0</v>
      </c>
      <c r="AM1356">
        <f>N(AM1355)+$AL1356</f>
        <v>2</v>
      </c>
      <c r="AN1356">
        <f>""</f>
      </c>
      <c r="AO1356" t="n">
        <v>0</v>
      </c>
      <c r="AP1356">
        <f>N(AP1355)+$AO1356</f>
        <v>13</v>
      </c>
      <c r="AR1356">
        <f>IF(OR($AF1356=1,$AH1356=1),1,0)</f>
        <v>0</v>
      </c>
      <c r="AS1356">
        <f>N(AS1355)+$AR1356</f>
        <v>10</v>
      </c>
    </row>
    <row r="1357" s="127">
      <c r="A1357" t="str">
        <f>IF(对接源_02物料!$C157="","",对接源_02物料!$C157)</f>
        <v>荆建君</v>
      </c>
      <c r="B1357">
        <f>IF(A1357="",0,IF(MATCH(A1357,$A$4:$A$2403,0)=ROW()-3,1,0))</f>
        <v>0</v>
      </c>
      <c r="C1357">
        <f>N(C1356)+B1357</f>
        <v>25</v>
      </c>
      <c r="K1357">
        <f>IF(OR($K$1="",对接源_02物料!$C157="",对接源_02物料!$C157&lt;&gt;$K$1,对接源_02物料!$B157=""),0,IF(OR(N(对接源_02物料!$B157)&lt;$K$2,N(对接源_02物料!$B157)&gt;$K$3),0,1))</f>
        <v>0</v>
      </c>
      <c r="L1357">
        <f>IF(OR($L$1="",对接源_02物料!$C157="",对接源_02物料!$C157&lt;&gt;$L$1,对接源_02物料!$B157=""),0,IF(OR(N(对接源_02物料!$B157)&lt;$L$2,N(对接源_02物料!$B157)&gt;$L$3),0,1))</f>
        <v>0</v>
      </c>
      <c r="M1357">
        <f>IF(OR($M$1="",对接源_02物料!$C157="",对接源_02物料!$C157&lt;&gt;$M$1,对接源_02物料!$B157=""),0,IF(OR(N(对接源_02物料!$B157)&lt;$M$2,N(对接源_02物料!$B157)&gt;$M$3),0,1))</f>
        <v>0</v>
      </c>
      <c r="N1357">
        <f>IF(OR($N$1="",对接源_02物料!$C157="",对接源_02物料!$C157&lt;&gt;$N$1,对接源_02物料!$B157=""),0,IF(OR(N(对接源_02物料!$B157)&lt;$N$2,N(对接源_02物料!$B157)&gt;$N$3),0,1))</f>
        <v>0</v>
      </c>
      <c r="P1357">
        <f>IF(AND($K1357=1,AND(对接源_02物料!$X157="公司筐",N(对接源_02物料!$T157)&lt;&gt;0)),1,0)</f>
        <v>0</v>
      </c>
      <c r="Q1357">
        <f>N(Q1356)+$P1357</f>
        <v>4</v>
      </c>
      <c r="R1357">
        <f>IF(AND($K1357=1,AND(对接源_02物料!$X157="公司筐",N(对接源_02物料!$U157)&lt;&gt;0)),1,0)</f>
        <v>0</v>
      </c>
      <c r="S1357">
        <f>N(S1356)+$R1357</f>
        <v>0</v>
      </c>
      <c r="T1357">
        <f>IF(AND($K1357=1,AND(对接源_02物料!$X157="公司筐",N(对接源_02物料!$V157)&lt;&gt;0)),1,0)</f>
        <v>0</v>
      </c>
      <c r="U1357">
        <f>N(U1356)+$T1357</f>
        <v>47</v>
      </c>
      <c r="V1357">
        <f>IF(AND($L1357=1,AND(对接源_02物料!$X157="自备筐",N(对接源_02物料!$V157)&lt;&gt;0)),1,0)</f>
        <v>0</v>
      </c>
      <c r="W1357">
        <f>N(W1356)+$V1357</f>
        <v>11</v>
      </c>
      <c r="X1357">
        <f>IF(AND($L1357=1,AND(对接源_02物料!$X157="自备筐",N(对接源_02物料!$T157)&lt;&gt;0)),1,0)</f>
        <v>0</v>
      </c>
      <c r="Y1357">
        <f>N(Y1356)+$X1357</f>
        <v>0</v>
      </c>
      <c r="Z1357">
        <f>IF(AND($M1357=1,对接源_02物料!$D157="原料入库"),1,0)</f>
        <v>0</v>
      </c>
      <c r="AA1357">
        <f>N(AA1356)+$Z1357</f>
        <v>24</v>
      </c>
      <c r="AB1357">
        <f>IF(AND($M1357=1,LEFT(对接源_02物料!$D157,4)="原料出库"),1,0)</f>
        <v>0</v>
      </c>
      <c r="AC1357">
        <f>N(AC1356)+$AB1357</f>
        <v>0</v>
      </c>
      <c r="AD1357">
        <f>IF(AND($M1357=1,LEFT(对接源_02物料!$D157,4)="成品出库"),1,0)</f>
        <v>0</v>
      </c>
      <c r="AE1357">
        <f>N(AE1356)+$AD1357</f>
        <v>0</v>
      </c>
      <c r="AF1357">
        <f>IF(AND($N1357=1,AND(LEFT(对接源_02物料!$D157,4)="包装物料",N(对接源_02物料!$K157)&lt;&gt;0)),1,0)</f>
        <v>0</v>
      </c>
      <c r="AG1357">
        <f>N(AG1356)+$AF1357</f>
        <v>10</v>
      </c>
      <c r="AH1357">
        <f>IF(AND($N1357=1,AND(对接源_02物料!$D157="周转筐－销售出库",N(对接源_02物料!$K157)&lt;&gt;0)),1,0)</f>
        <v>0</v>
      </c>
      <c r="AI1357">
        <f>N(AI1356)+$AH1357</f>
        <v>0</v>
      </c>
      <c r="AL1357" t="n">
        <v>0</v>
      </c>
      <c r="AM1357">
        <f>N(AM1356)+$AL1357</f>
        <v>2</v>
      </c>
      <c r="AN1357">
        <f>""</f>
      </c>
      <c r="AO1357" t="n">
        <v>0</v>
      </c>
      <c r="AP1357">
        <f>N(AP1356)+$AO1357</f>
        <v>13</v>
      </c>
      <c r="AR1357">
        <f>IF(OR($AF1357=1,$AH1357=1),1,0)</f>
        <v>0</v>
      </c>
      <c r="AS1357">
        <f>N(AS1356)+$AR1357</f>
        <v>10</v>
      </c>
    </row>
    <row r="1358" s="127">
      <c r="A1358" t="str">
        <f>IF(对接源_02物料!$C158="","",对接源_02物料!$C158)</f>
        <v>全修塑业</v>
      </c>
      <c r="B1358">
        <f>IF(A1358="",0,IF(MATCH(A1358,$A$4:$A$2403,0)=ROW()-3,1,0))</f>
        <v>0</v>
      </c>
      <c r="C1358">
        <f>N(C1357)+B1358</f>
        <v>25</v>
      </c>
      <c r="K1358">
        <f>IF(OR($K$1="",对接源_02物料!$C158="",对接源_02物料!$C158&lt;&gt;$K$1,对接源_02物料!$B158=""),0,IF(OR(N(对接源_02物料!$B158)&lt;$K$2,N(对接源_02物料!$B158)&gt;$K$3),0,1))</f>
        <v>0</v>
      </c>
      <c r="L1358">
        <f>IF(OR($L$1="",对接源_02物料!$C158="",对接源_02物料!$C158&lt;&gt;$L$1,对接源_02物料!$B158=""),0,IF(OR(N(对接源_02物料!$B158)&lt;$L$2,N(对接源_02物料!$B158)&gt;$L$3),0,1))</f>
        <v>0</v>
      </c>
      <c r="M1358">
        <f>IF(OR($M$1="",对接源_02物料!$C158="",对接源_02物料!$C158&lt;&gt;$M$1,对接源_02物料!$B158=""),0,IF(OR(N(对接源_02物料!$B158)&lt;$M$2,N(对接源_02物料!$B158)&gt;$M$3),0,1))</f>
        <v>0</v>
      </c>
      <c r="N1358">
        <f>IF(OR($N$1="",对接源_02物料!$C158="",对接源_02物料!$C158&lt;&gt;$N$1,对接源_02物料!$B158=""),0,IF(OR(N(对接源_02物料!$B158)&lt;$N$2,N(对接源_02物料!$B158)&gt;$N$3),0,1))</f>
        <v>0</v>
      </c>
      <c r="P1358">
        <f>IF(AND($K1358=1,AND(对接源_02物料!$X158="公司筐",N(对接源_02物料!$T158)&lt;&gt;0)),1,0)</f>
        <v>0</v>
      </c>
      <c r="Q1358">
        <f>N(Q1357)+$P1358</f>
        <v>4</v>
      </c>
      <c r="R1358">
        <f>IF(AND($K1358=1,AND(对接源_02物料!$X158="公司筐",N(对接源_02物料!$U158)&lt;&gt;0)),1,0)</f>
        <v>0</v>
      </c>
      <c r="S1358">
        <f>N(S1357)+$R1358</f>
        <v>0</v>
      </c>
      <c r="T1358">
        <f>IF(AND($K1358=1,AND(对接源_02物料!$X158="公司筐",N(对接源_02物料!$V158)&lt;&gt;0)),1,0)</f>
        <v>0</v>
      </c>
      <c r="U1358">
        <f>N(U1357)+$T1358</f>
        <v>47</v>
      </c>
      <c r="V1358">
        <f>IF(AND($L1358=1,AND(对接源_02物料!$X158="自备筐",N(对接源_02物料!$V158)&lt;&gt;0)),1,0)</f>
        <v>0</v>
      </c>
      <c r="W1358">
        <f>N(W1357)+$V1358</f>
        <v>11</v>
      </c>
      <c r="X1358">
        <f>IF(AND($L1358=1,AND(对接源_02物料!$X158="自备筐",N(对接源_02物料!$T158)&lt;&gt;0)),1,0)</f>
        <v>0</v>
      </c>
      <c r="Y1358">
        <f>N(Y1357)+$X1358</f>
        <v>0</v>
      </c>
      <c r="Z1358">
        <f>IF(AND($M1358=1,对接源_02物料!$D158="原料入库"),1,0)</f>
        <v>0</v>
      </c>
      <c r="AA1358">
        <f>N(AA1357)+$Z1358</f>
        <v>24</v>
      </c>
      <c r="AB1358">
        <f>IF(AND($M1358=1,LEFT(对接源_02物料!$D158,4)="原料出库"),1,0)</f>
        <v>0</v>
      </c>
      <c r="AC1358">
        <f>N(AC1357)+$AB1358</f>
        <v>0</v>
      </c>
      <c r="AD1358">
        <f>IF(AND($M1358=1,LEFT(对接源_02物料!$D158,4)="成品出库"),1,0)</f>
        <v>0</v>
      </c>
      <c r="AE1358">
        <f>N(AE1357)+$AD1358</f>
        <v>0</v>
      </c>
      <c r="AF1358">
        <f>IF(AND($N1358=1,AND(LEFT(对接源_02物料!$D158,4)="包装物料",N(对接源_02物料!$K158)&lt;&gt;0)),1,0)</f>
        <v>0</v>
      </c>
      <c r="AG1358">
        <f>N(AG1357)+$AF1358</f>
        <v>10</v>
      </c>
      <c r="AH1358">
        <f>IF(AND($N1358=1,AND(对接源_02物料!$D158="周转筐－销售出库",N(对接源_02物料!$K158)&lt;&gt;0)),1,0)</f>
        <v>0</v>
      </c>
      <c r="AI1358">
        <f>N(AI1357)+$AH1358</f>
        <v>0</v>
      </c>
      <c r="AL1358" t="n">
        <v>0</v>
      </c>
      <c r="AM1358">
        <f>N(AM1357)+$AL1358</f>
        <v>2</v>
      </c>
      <c r="AN1358">
        <f>""</f>
      </c>
      <c r="AO1358" t="n">
        <v>0</v>
      </c>
      <c r="AP1358">
        <f>N(AP1357)+$AO1358</f>
        <v>13</v>
      </c>
      <c r="AR1358">
        <f>IF(OR($AF1358=1,$AH1358=1),1,0)</f>
        <v>0</v>
      </c>
      <c r="AS1358">
        <f>N(AS1357)+$AR1358</f>
        <v>10</v>
      </c>
    </row>
    <row r="1359" s="127">
      <c r="A1359" t="str">
        <f>IF(对接源_02物料!$C159="","",对接源_02物料!$C159)</f>
        <v>王灵云</v>
      </c>
      <c r="B1359">
        <f>IF(A1359="",0,IF(MATCH(A1359,$A$4:$A$2403,0)=ROW()-3,1,0))</f>
        <v>0</v>
      </c>
      <c r="C1359">
        <f>N(C1358)+B1359</f>
        <v>25</v>
      </c>
      <c r="K1359">
        <f>IF(OR($K$1="",对接源_02物料!$C159="",对接源_02物料!$C159&lt;&gt;$K$1,对接源_02物料!$B159=""),0,IF(OR(N(对接源_02物料!$B159)&lt;$K$2,N(对接源_02物料!$B159)&gt;$K$3),0,1))</f>
        <v>1</v>
      </c>
      <c r="L1359">
        <f>IF(OR($L$1="",对接源_02物料!$C159="",对接源_02物料!$C159&lt;&gt;$L$1,对接源_02物料!$B159=""),0,IF(OR(N(对接源_02物料!$B159)&lt;$L$2,N(对接源_02物料!$B159)&gt;$L$3),0,1))</f>
        <v>0</v>
      </c>
      <c r="M1359">
        <f>IF(OR($M$1="",对接源_02物料!$C159="",对接源_02物料!$C159&lt;&gt;$M$1,对接源_02物料!$B159=""),0,IF(OR(N(对接源_02物料!$B159)&lt;$M$2,N(对接源_02物料!$B159)&gt;$M$3),0,1))</f>
        <v>0</v>
      </c>
      <c r="N1359">
        <f>IF(OR($N$1="",对接源_02物料!$C159="",对接源_02物料!$C159&lt;&gt;$N$1,对接源_02物料!$B159=""),0,IF(OR(N(对接源_02物料!$B159)&lt;$N$2,N(对接源_02物料!$B159)&gt;$N$3),0,1))</f>
        <v>0</v>
      </c>
      <c r="P1359">
        <f>IF(AND($K1359=1,AND(对接源_02物料!$X159="公司筐",N(对接源_02物料!$T159)&lt;&gt;0)),1,0)</f>
        <v>1</v>
      </c>
      <c r="Q1359">
        <f>N(Q1358)+$P1359</f>
        <v>5</v>
      </c>
      <c r="R1359">
        <f>IF(AND($K1359=1,AND(对接源_02物料!$X159="公司筐",N(对接源_02物料!$U159)&lt;&gt;0)),1,0)</f>
        <v>0</v>
      </c>
      <c r="S1359">
        <f>N(S1358)+$R1359</f>
        <v>0</v>
      </c>
      <c r="T1359">
        <f>IF(AND($K1359=1,AND(对接源_02物料!$X159="公司筐",N(对接源_02物料!$V159)&lt;&gt;0)),1,0)</f>
        <v>0</v>
      </c>
      <c r="U1359">
        <f>N(U1358)+$T1359</f>
        <v>47</v>
      </c>
      <c r="V1359">
        <f>IF(AND($L1359=1,AND(对接源_02物料!$X159="自备筐",N(对接源_02物料!$V159)&lt;&gt;0)),1,0)</f>
        <v>0</v>
      </c>
      <c r="W1359">
        <f>N(W1358)+$V1359</f>
        <v>11</v>
      </c>
      <c r="X1359">
        <f>IF(AND($L1359=1,AND(对接源_02物料!$X159="自备筐",N(对接源_02物料!$T159)&lt;&gt;0)),1,0)</f>
        <v>0</v>
      </c>
      <c r="Y1359">
        <f>N(Y1358)+$X1359</f>
        <v>0</v>
      </c>
      <c r="Z1359">
        <f>IF(AND($M1359=1,对接源_02物料!$D159="原料入库"),1,0)</f>
        <v>0</v>
      </c>
      <c r="AA1359">
        <f>N(AA1358)+$Z1359</f>
        <v>24</v>
      </c>
      <c r="AB1359">
        <f>IF(AND($M1359=1,LEFT(对接源_02物料!$D159,4)="原料出库"),1,0)</f>
        <v>0</v>
      </c>
      <c r="AC1359">
        <f>N(AC1358)+$AB1359</f>
        <v>0</v>
      </c>
      <c r="AD1359">
        <f>IF(AND($M1359=1,LEFT(对接源_02物料!$D159,4)="成品出库"),1,0)</f>
        <v>0</v>
      </c>
      <c r="AE1359">
        <f>N(AE1358)+$AD1359</f>
        <v>0</v>
      </c>
      <c r="AF1359">
        <f>IF(AND($N1359=1,AND(LEFT(对接源_02物料!$D159,4)="包装物料",N(对接源_02物料!$K159)&lt;&gt;0)),1,0)</f>
        <v>0</v>
      </c>
      <c r="AG1359">
        <f>N(AG1358)+$AF1359</f>
        <v>10</v>
      </c>
      <c r="AH1359">
        <f>IF(AND($N1359=1,AND(对接源_02物料!$D159="周转筐－销售出库",N(对接源_02物料!$K159)&lt;&gt;0)),1,0)</f>
        <v>0</v>
      </c>
      <c r="AI1359">
        <f>N(AI1358)+$AH1359</f>
        <v>0</v>
      </c>
      <c r="AL1359" t="n">
        <v>0</v>
      </c>
      <c r="AM1359">
        <f>N(AM1358)+$AL1359</f>
        <v>2</v>
      </c>
      <c r="AN1359">
        <f>""</f>
      </c>
      <c r="AO1359" t="n">
        <v>0</v>
      </c>
      <c r="AP1359">
        <f>N(AP1358)+$AO1359</f>
        <v>13</v>
      </c>
      <c r="AR1359">
        <f>IF(OR($AF1359=1,$AH1359=1),1,0)</f>
        <v>0</v>
      </c>
      <c r="AS1359">
        <f>N(AS1358)+$AR1359</f>
        <v>10</v>
      </c>
    </row>
    <row r="1360" s="127">
      <c r="A1360" t="str">
        <f>IF(对接源_02物料!$C160="","",对接源_02物料!$C160)</f>
        <v>全修塑业</v>
      </c>
      <c r="B1360">
        <f>IF(A1360="",0,IF(MATCH(A1360,$A$4:$A$2403,0)=ROW()-3,1,0))</f>
        <v>0</v>
      </c>
      <c r="C1360">
        <f>N(C1359)+B1360</f>
        <v>25</v>
      </c>
      <c r="K1360">
        <f>IF(OR($K$1="",对接源_02物料!$C160="",对接源_02物料!$C160&lt;&gt;$K$1,对接源_02物料!$B160=""),0,IF(OR(N(对接源_02物料!$B160)&lt;$K$2,N(对接源_02物料!$B160)&gt;$K$3),0,1))</f>
        <v>0</v>
      </c>
      <c r="L1360">
        <f>IF(OR($L$1="",对接源_02物料!$C160="",对接源_02物料!$C160&lt;&gt;$L$1,对接源_02物料!$B160=""),0,IF(OR(N(对接源_02物料!$B160)&lt;$L$2,N(对接源_02物料!$B160)&gt;$L$3),0,1))</f>
        <v>0</v>
      </c>
      <c r="M1360">
        <f>IF(OR($M$1="",对接源_02物料!$C160="",对接源_02物料!$C160&lt;&gt;$M$1,对接源_02物料!$B160=""),0,IF(OR(N(对接源_02物料!$B160)&lt;$M$2,N(对接源_02物料!$B160)&gt;$M$3),0,1))</f>
        <v>0</v>
      </c>
      <c r="N1360">
        <f>IF(OR($N$1="",对接源_02物料!$C160="",对接源_02物料!$C160&lt;&gt;$N$1,对接源_02物料!$B160=""),0,IF(OR(N(对接源_02物料!$B160)&lt;$N$2,N(对接源_02物料!$B160)&gt;$N$3),0,1))</f>
        <v>0</v>
      </c>
      <c r="P1360">
        <f>IF(AND($K1360=1,AND(对接源_02物料!$X160="公司筐",N(对接源_02物料!$T160)&lt;&gt;0)),1,0)</f>
        <v>0</v>
      </c>
      <c r="Q1360">
        <f>N(Q1359)+$P1360</f>
        <v>5</v>
      </c>
      <c r="R1360">
        <f>IF(AND($K1360=1,AND(对接源_02物料!$X160="公司筐",N(对接源_02物料!$U160)&lt;&gt;0)),1,0)</f>
        <v>0</v>
      </c>
      <c r="S1360">
        <f>N(S1359)+$R1360</f>
        <v>0</v>
      </c>
      <c r="T1360">
        <f>IF(AND($K1360=1,AND(对接源_02物料!$X160="公司筐",N(对接源_02物料!$V160)&lt;&gt;0)),1,0)</f>
        <v>0</v>
      </c>
      <c r="U1360">
        <f>N(U1359)+$T1360</f>
        <v>47</v>
      </c>
      <c r="V1360">
        <f>IF(AND($L1360=1,AND(对接源_02物料!$X160="自备筐",N(对接源_02物料!$V160)&lt;&gt;0)),1,0)</f>
        <v>0</v>
      </c>
      <c r="W1360">
        <f>N(W1359)+$V1360</f>
        <v>11</v>
      </c>
      <c r="X1360">
        <f>IF(AND($L1360=1,AND(对接源_02物料!$X160="自备筐",N(对接源_02物料!$T160)&lt;&gt;0)),1,0)</f>
        <v>0</v>
      </c>
      <c r="Y1360">
        <f>N(Y1359)+$X1360</f>
        <v>0</v>
      </c>
      <c r="Z1360">
        <f>IF(AND($M1360=1,对接源_02物料!$D160="原料入库"),1,0)</f>
        <v>0</v>
      </c>
      <c r="AA1360">
        <f>N(AA1359)+$Z1360</f>
        <v>24</v>
      </c>
      <c r="AB1360">
        <f>IF(AND($M1360=1,LEFT(对接源_02物料!$D160,4)="原料出库"),1,0)</f>
        <v>0</v>
      </c>
      <c r="AC1360">
        <f>N(AC1359)+$AB1360</f>
        <v>0</v>
      </c>
      <c r="AD1360">
        <f>IF(AND($M1360=1,LEFT(对接源_02物料!$D160,4)="成品出库"),1,0)</f>
        <v>0</v>
      </c>
      <c r="AE1360">
        <f>N(AE1359)+$AD1360</f>
        <v>0</v>
      </c>
      <c r="AF1360">
        <f>IF(AND($N1360=1,AND(LEFT(对接源_02物料!$D160,4)="包装物料",N(对接源_02物料!$K160)&lt;&gt;0)),1,0)</f>
        <v>0</v>
      </c>
      <c r="AG1360">
        <f>N(AG1359)+$AF1360</f>
        <v>10</v>
      </c>
      <c r="AH1360">
        <f>IF(AND($N1360=1,AND(对接源_02物料!$D160="周转筐－销售出库",N(对接源_02物料!$K160)&lt;&gt;0)),1,0)</f>
        <v>0</v>
      </c>
      <c r="AI1360">
        <f>N(AI1359)+$AH1360</f>
        <v>0</v>
      </c>
      <c r="AL1360" t="n">
        <v>0</v>
      </c>
      <c r="AM1360">
        <f>N(AM1359)+$AL1360</f>
        <v>2</v>
      </c>
      <c r="AN1360">
        <f>""</f>
      </c>
      <c r="AO1360" t="n">
        <v>0</v>
      </c>
      <c r="AP1360">
        <f>N(AP1359)+$AO1360</f>
        <v>13</v>
      </c>
      <c r="AR1360">
        <f>IF(OR($AF1360=1,$AH1360=1),1,0)</f>
        <v>0</v>
      </c>
      <c r="AS1360">
        <f>N(AS1359)+$AR1360</f>
        <v>10</v>
      </c>
    </row>
    <row r="1361" s="127">
      <c r="A1361" t="str">
        <f>IF(对接源_02物料!$C161="","",对接源_02物料!$C161)</f>
        <v>热合曼</v>
      </c>
      <c r="B1361">
        <f>IF(A1361="",0,IF(MATCH(A1361,$A$4:$A$2403,0)=ROW()-3,1,0))</f>
        <v>0</v>
      </c>
      <c r="C1361">
        <f>N(C1360)+B1361</f>
        <v>25</v>
      </c>
      <c r="K1361">
        <f>IF(OR($K$1="",对接源_02物料!$C161="",对接源_02物料!$C161&lt;&gt;$K$1,对接源_02物料!$B161=""),0,IF(OR(N(对接源_02物料!$B161)&lt;$K$2,N(对接源_02物料!$B161)&gt;$K$3),0,1))</f>
        <v>0</v>
      </c>
      <c r="L1361">
        <f>IF(OR($L$1="",对接源_02物料!$C161="",对接源_02物料!$C161&lt;&gt;$L$1,对接源_02物料!$B161=""),0,IF(OR(N(对接源_02物料!$B161)&lt;$L$2,N(对接源_02物料!$B161)&gt;$L$3),0,1))</f>
        <v>0</v>
      </c>
      <c r="M1361">
        <f>IF(OR($M$1="",对接源_02物料!$C161="",对接源_02物料!$C161&lt;&gt;$M$1,对接源_02物料!$B161=""),0,IF(OR(N(对接源_02物料!$B161)&lt;$M$2,N(对接源_02物料!$B161)&gt;$M$3),0,1))</f>
        <v>0</v>
      </c>
      <c r="N1361">
        <f>IF(OR($N$1="",对接源_02物料!$C161="",对接源_02物料!$C161&lt;&gt;$N$1,对接源_02物料!$B161=""),0,IF(OR(N(对接源_02物料!$B161)&lt;$N$2,N(对接源_02物料!$B161)&gt;$N$3),0,1))</f>
        <v>0</v>
      </c>
      <c r="P1361">
        <f>IF(AND($K1361=1,AND(对接源_02物料!$X161="公司筐",N(对接源_02物料!$T161)&lt;&gt;0)),1,0)</f>
        <v>0</v>
      </c>
      <c r="Q1361">
        <f>N(Q1360)+$P1361</f>
        <v>5</v>
      </c>
      <c r="R1361">
        <f>IF(AND($K1361=1,AND(对接源_02物料!$X161="公司筐",N(对接源_02物料!$U161)&lt;&gt;0)),1,0)</f>
        <v>0</v>
      </c>
      <c r="S1361">
        <f>N(S1360)+$R1361</f>
        <v>0</v>
      </c>
      <c r="T1361">
        <f>IF(AND($K1361=1,AND(对接源_02物料!$X161="公司筐",N(对接源_02物料!$V161)&lt;&gt;0)),1,0)</f>
        <v>0</v>
      </c>
      <c r="U1361">
        <f>N(U1360)+$T1361</f>
        <v>47</v>
      </c>
      <c r="V1361">
        <f>IF(AND($L1361=1,AND(对接源_02物料!$X161="自备筐",N(对接源_02物料!$V161)&lt;&gt;0)),1,0)</f>
        <v>0</v>
      </c>
      <c r="W1361">
        <f>N(W1360)+$V1361</f>
        <v>11</v>
      </c>
      <c r="X1361">
        <f>IF(AND($L1361=1,AND(对接源_02物料!$X161="自备筐",N(对接源_02物料!$T161)&lt;&gt;0)),1,0)</f>
        <v>0</v>
      </c>
      <c r="Y1361">
        <f>N(Y1360)+$X1361</f>
        <v>0</v>
      </c>
      <c r="Z1361">
        <f>IF(AND($M1361=1,对接源_02物料!$D161="原料入库"),1,0)</f>
        <v>0</v>
      </c>
      <c r="AA1361">
        <f>N(AA1360)+$Z1361</f>
        <v>24</v>
      </c>
      <c r="AB1361">
        <f>IF(AND($M1361=1,LEFT(对接源_02物料!$D161,4)="原料出库"),1,0)</f>
        <v>0</v>
      </c>
      <c r="AC1361">
        <f>N(AC1360)+$AB1361</f>
        <v>0</v>
      </c>
      <c r="AD1361">
        <f>IF(AND($M1361=1,LEFT(对接源_02物料!$D161,4)="成品出库"),1,0)</f>
        <v>0</v>
      </c>
      <c r="AE1361">
        <f>N(AE1360)+$AD1361</f>
        <v>0</v>
      </c>
      <c r="AF1361">
        <f>IF(AND($N1361=1,AND(LEFT(对接源_02物料!$D161,4)="包装物料",N(对接源_02物料!$K161)&lt;&gt;0)),1,0)</f>
        <v>0</v>
      </c>
      <c r="AG1361">
        <f>N(AG1360)+$AF1361</f>
        <v>10</v>
      </c>
      <c r="AH1361">
        <f>IF(AND($N1361=1,AND(对接源_02物料!$D161="周转筐－销售出库",N(对接源_02物料!$K161)&lt;&gt;0)),1,0)</f>
        <v>0</v>
      </c>
      <c r="AI1361">
        <f>N(AI1360)+$AH1361</f>
        <v>0</v>
      </c>
      <c r="AL1361" t="n">
        <v>0</v>
      </c>
      <c r="AM1361">
        <f>N(AM1360)+$AL1361</f>
        <v>2</v>
      </c>
      <c r="AN1361">
        <f>""</f>
      </c>
      <c r="AO1361" t="n">
        <v>0</v>
      </c>
      <c r="AP1361">
        <f>N(AP1360)+$AO1361</f>
        <v>13</v>
      </c>
      <c r="AR1361">
        <f>IF(OR($AF1361=1,$AH1361=1),1,0)</f>
        <v>0</v>
      </c>
      <c r="AS1361">
        <f>N(AS1360)+$AR1361</f>
        <v>10</v>
      </c>
    </row>
    <row r="1362" s="127">
      <c r="A1362" t="str">
        <f>IF(对接源_02物料!$C162="","",对接源_02物料!$C162)</f>
        <v>全修塑业</v>
      </c>
      <c r="B1362">
        <f>IF(A1362="",0,IF(MATCH(A1362,$A$4:$A$2403,0)=ROW()-3,1,0))</f>
        <v>0</v>
      </c>
      <c r="C1362">
        <f>N(C1361)+B1362</f>
        <v>25</v>
      </c>
      <c r="K1362">
        <f>IF(OR($K$1="",对接源_02物料!$C162="",对接源_02物料!$C162&lt;&gt;$K$1,对接源_02物料!$B162=""),0,IF(OR(N(对接源_02物料!$B162)&lt;$K$2,N(对接源_02物料!$B162)&gt;$K$3),0,1))</f>
        <v>0</v>
      </c>
      <c r="L1362">
        <f>IF(OR($L$1="",对接源_02物料!$C162="",对接源_02物料!$C162&lt;&gt;$L$1,对接源_02物料!$B162=""),0,IF(OR(N(对接源_02物料!$B162)&lt;$L$2,N(对接源_02物料!$B162)&gt;$L$3),0,1))</f>
        <v>0</v>
      </c>
      <c r="M1362">
        <f>IF(OR($M$1="",对接源_02物料!$C162="",对接源_02物料!$C162&lt;&gt;$M$1,对接源_02物料!$B162=""),0,IF(OR(N(对接源_02物料!$B162)&lt;$M$2,N(对接源_02物料!$B162)&gt;$M$3),0,1))</f>
        <v>0</v>
      </c>
      <c r="N1362">
        <f>IF(OR($N$1="",对接源_02物料!$C162="",对接源_02物料!$C162&lt;&gt;$N$1,对接源_02物料!$B162=""),0,IF(OR(N(对接源_02物料!$B162)&lt;$N$2,N(对接源_02物料!$B162)&gt;$N$3),0,1))</f>
        <v>0</v>
      </c>
      <c r="P1362">
        <f>IF(AND($K1362=1,AND(对接源_02物料!$X162="公司筐",N(对接源_02物料!$T162)&lt;&gt;0)),1,0)</f>
        <v>0</v>
      </c>
      <c r="Q1362">
        <f>N(Q1361)+$P1362</f>
        <v>5</v>
      </c>
      <c r="R1362">
        <f>IF(AND($K1362=1,AND(对接源_02物料!$X162="公司筐",N(对接源_02物料!$U162)&lt;&gt;0)),1,0)</f>
        <v>0</v>
      </c>
      <c r="S1362">
        <f>N(S1361)+$R1362</f>
        <v>0</v>
      </c>
      <c r="T1362">
        <f>IF(AND($K1362=1,AND(对接源_02物料!$X162="公司筐",N(对接源_02物料!$V162)&lt;&gt;0)),1,0)</f>
        <v>0</v>
      </c>
      <c r="U1362">
        <f>N(U1361)+$T1362</f>
        <v>47</v>
      </c>
      <c r="V1362">
        <f>IF(AND($L1362=1,AND(对接源_02物料!$X162="自备筐",N(对接源_02物料!$V162)&lt;&gt;0)),1,0)</f>
        <v>0</v>
      </c>
      <c r="W1362">
        <f>N(W1361)+$V1362</f>
        <v>11</v>
      </c>
      <c r="X1362">
        <f>IF(AND($L1362=1,AND(对接源_02物料!$X162="自备筐",N(对接源_02物料!$T162)&lt;&gt;0)),1,0)</f>
        <v>0</v>
      </c>
      <c r="Y1362">
        <f>N(Y1361)+$X1362</f>
        <v>0</v>
      </c>
      <c r="Z1362">
        <f>IF(AND($M1362=1,对接源_02物料!$D162="原料入库"),1,0)</f>
        <v>0</v>
      </c>
      <c r="AA1362">
        <f>N(AA1361)+$Z1362</f>
        <v>24</v>
      </c>
      <c r="AB1362">
        <f>IF(AND($M1362=1,LEFT(对接源_02物料!$D162,4)="原料出库"),1,0)</f>
        <v>0</v>
      </c>
      <c r="AC1362">
        <f>N(AC1361)+$AB1362</f>
        <v>0</v>
      </c>
      <c r="AD1362">
        <f>IF(AND($M1362=1,LEFT(对接源_02物料!$D162,4)="成品出库"),1,0)</f>
        <v>0</v>
      </c>
      <c r="AE1362">
        <f>N(AE1361)+$AD1362</f>
        <v>0</v>
      </c>
      <c r="AF1362">
        <f>IF(AND($N1362=1,AND(LEFT(对接源_02物料!$D162,4)="包装物料",N(对接源_02物料!$K162)&lt;&gt;0)),1,0)</f>
        <v>0</v>
      </c>
      <c r="AG1362">
        <f>N(AG1361)+$AF1362</f>
        <v>10</v>
      </c>
      <c r="AH1362">
        <f>IF(AND($N1362=1,AND(对接源_02物料!$D162="周转筐－销售出库",N(对接源_02物料!$K162)&lt;&gt;0)),1,0)</f>
        <v>0</v>
      </c>
      <c r="AI1362">
        <f>N(AI1361)+$AH1362</f>
        <v>0</v>
      </c>
      <c r="AL1362" t="n">
        <v>0</v>
      </c>
      <c r="AM1362">
        <f>N(AM1361)+$AL1362</f>
        <v>2</v>
      </c>
      <c r="AN1362">
        <f>""</f>
      </c>
      <c r="AO1362" t="n">
        <v>0</v>
      </c>
      <c r="AP1362">
        <f>N(AP1361)+$AO1362</f>
        <v>13</v>
      </c>
      <c r="AR1362">
        <f>IF(OR($AF1362=1,$AH1362=1),1,0)</f>
        <v>0</v>
      </c>
      <c r="AS1362">
        <f>N(AS1361)+$AR1362</f>
        <v>10</v>
      </c>
    </row>
    <row r="1363" s="127">
      <c r="A1363" t="str">
        <f>IF(对接源_02物料!$C163="","",对接源_02物料!$C163)</f>
        <v>努尔敦</v>
      </c>
      <c r="B1363">
        <f>IF(A1363="",0,IF(MATCH(A1363,$A$4:$A$2403,0)=ROW()-3,1,0))</f>
        <v>0</v>
      </c>
      <c r="C1363">
        <f>N(C1362)+B1363</f>
        <v>25</v>
      </c>
      <c r="K1363">
        <f>IF(OR($K$1="",对接源_02物料!$C163="",对接源_02物料!$C163&lt;&gt;$K$1,对接源_02物料!$B163=""),0,IF(OR(N(对接源_02物料!$B163)&lt;$K$2,N(对接源_02物料!$B163)&gt;$K$3),0,1))</f>
        <v>0</v>
      </c>
      <c r="L1363">
        <f>IF(OR($L$1="",对接源_02物料!$C163="",对接源_02物料!$C163&lt;&gt;$L$1,对接源_02物料!$B163=""),0,IF(OR(N(对接源_02物料!$B163)&lt;$L$2,N(对接源_02物料!$B163)&gt;$L$3),0,1))</f>
        <v>0</v>
      </c>
      <c r="M1363">
        <f>IF(OR($M$1="",对接源_02物料!$C163="",对接源_02物料!$C163&lt;&gt;$M$1,对接源_02物料!$B163=""),0,IF(OR(N(对接源_02物料!$B163)&lt;$M$2,N(对接源_02物料!$B163)&gt;$M$3),0,1))</f>
        <v>0</v>
      </c>
      <c r="N1363">
        <f>IF(OR($N$1="",对接源_02物料!$C163="",对接源_02物料!$C163&lt;&gt;$N$1,对接源_02物料!$B163=""),0,IF(OR(N(对接源_02物料!$B163)&lt;$N$2,N(对接源_02物料!$B163)&gt;$N$3),0,1))</f>
        <v>0</v>
      </c>
      <c r="P1363">
        <f>IF(AND($K1363=1,AND(对接源_02物料!$X163="公司筐",N(对接源_02物料!$T163)&lt;&gt;0)),1,0)</f>
        <v>0</v>
      </c>
      <c r="Q1363">
        <f>N(Q1362)+$P1363</f>
        <v>5</v>
      </c>
      <c r="R1363">
        <f>IF(AND($K1363=1,AND(对接源_02物料!$X163="公司筐",N(对接源_02物料!$U163)&lt;&gt;0)),1,0)</f>
        <v>0</v>
      </c>
      <c r="S1363">
        <f>N(S1362)+$R1363</f>
        <v>0</v>
      </c>
      <c r="T1363">
        <f>IF(AND($K1363=1,AND(对接源_02物料!$X163="公司筐",N(对接源_02物料!$V163)&lt;&gt;0)),1,0)</f>
        <v>0</v>
      </c>
      <c r="U1363">
        <f>N(U1362)+$T1363</f>
        <v>47</v>
      </c>
      <c r="V1363">
        <f>IF(AND($L1363=1,AND(对接源_02物料!$X163="自备筐",N(对接源_02物料!$V163)&lt;&gt;0)),1,0)</f>
        <v>0</v>
      </c>
      <c r="W1363">
        <f>N(W1362)+$V1363</f>
        <v>11</v>
      </c>
      <c r="X1363">
        <f>IF(AND($L1363=1,AND(对接源_02物料!$X163="自备筐",N(对接源_02物料!$T163)&lt;&gt;0)),1,0)</f>
        <v>0</v>
      </c>
      <c r="Y1363">
        <f>N(Y1362)+$X1363</f>
        <v>0</v>
      </c>
      <c r="Z1363">
        <f>IF(AND($M1363=1,对接源_02物料!$D163="原料入库"),1,0)</f>
        <v>0</v>
      </c>
      <c r="AA1363">
        <f>N(AA1362)+$Z1363</f>
        <v>24</v>
      </c>
      <c r="AB1363">
        <f>IF(AND($M1363=1,LEFT(对接源_02物料!$D163,4)="原料出库"),1,0)</f>
        <v>0</v>
      </c>
      <c r="AC1363">
        <f>N(AC1362)+$AB1363</f>
        <v>0</v>
      </c>
      <c r="AD1363">
        <f>IF(AND($M1363=1,LEFT(对接源_02物料!$D163,4)="成品出库"),1,0)</f>
        <v>0</v>
      </c>
      <c r="AE1363">
        <f>N(AE1362)+$AD1363</f>
        <v>0</v>
      </c>
      <c r="AF1363">
        <f>IF(AND($N1363=1,AND(LEFT(对接源_02物料!$D163,4)="包装物料",N(对接源_02物料!$K163)&lt;&gt;0)),1,0)</f>
        <v>0</v>
      </c>
      <c r="AG1363">
        <f>N(AG1362)+$AF1363</f>
        <v>10</v>
      </c>
      <c r="AH1363">
        <f>IF(AND($N1363=1,AND(对接源_02物料!$D163="周转筐－销售出库",N(对接源_02物料!$K163)&lt;&gt;0)),1,0)</f>
        <v>0</v>
      </c>
      <c r="AI1363">
        <f>N(AI1362)+$AH1363</f>
        <v>0</v>
      </c>
      <c r="AL1363" t="n">
        <v>0</v>
      </c>
      <c r="AM1363">
        <f>N(AM1362)+$AL1363</f>
        <v>2</v>
      </c>
      <c r="AN1363">
        <f>""</f>
      </c>
      <c r="AO1363" t="n">
        <v>0</v>
      </c>
      <c r="AP1363">
        <f>N(AP1362)+$AO1363</f>
        <v>13</v>
      </c>
      <c r="AR1363">
        <f>IF(OR($AF1363=1,$AH1363=1),1,0)</f>
        <v>0</v>
      </c>
      <c r="AS1363">
        <f>N(AS1362)+$AR1363</f>
        <v>10</v>
      </c>
    </row>
    <row r="1364" s="127">
      <c r="A1364" t="str">
        <f>IF(对接源_02物料!$C164="","",对接源_02物料!$C164)</f>
        <v>李现东</v>
      </c>
      <c r="B1364">
        <f>IF(A1364="",0,IF(MATCH(A1364,$A$4:$A$2403,0)=ROW()-3,1,0))</f>
        <v>0</v>
      </c>
      <c r="C1364">
        <f>N(C1363)+B1364</f>
        <v>25</v>
      </c>
      <c r="K1364">
        <f>IF(OR($K$1="",对接源_02物料!$C164="",对接源_02物料!$C164&lt;&gt;$K$1,对接源_02物料!$B164=""),0,IF(OR(N(对接源_02物料!$B164)&lt;$K$2,N(对接源_02物料!$B164)&gt;$K$3),0,1))</f>
        <v>0</v>
      </c>
      <c r="L1364">
        <f>IF(OR($L$1="",对接源_02物料!$C164="",对接源_02物料!$C164&lt;&gt;$L$1,对接源_02物料!$B164=""),0,IF(OR(N(对接源_02物料!$B164)&lt;$L$2,N(对接源_02物料!$B164)&gt;$L$3),0,1))</f>
        <v>0</v>
      </c>
      <c r="M1364">
        <f>IF(OR($M$1="",对接源_02物料!$C164="",对接源_02物料!$C164&lt;&gt;$M$1,对接源_02物料!$B164=""),0,IF(OR(N(对接源_02物料!$B164)&lt;$M$2,N(对接源_02物料!$B164)&gt;$M$3),0,1))</f>
        <v>0</v>
      </c>
      <c r="N1364">
        <f>IF(OR($N$1="",对接源_02物料!$C164="",对接源_02物料!$C164&lt;&gt;$N$1,对接源_02物料!$B164=""),0,IF(OR(N(对接源_02物料!$B164)&lt;$N$2,N(对接源_02物料!$B164)&gt;$N$3),0,1))</f>
        <v>0</v>
      </c>
      <c r="P1364">
        <f>IF(AND($K1364=1,AND(对接源_02物料!$X164="公司筐",N(对接源_02物料!$T164)&lt;&gt;0)),1,0)</f>
        <v>0</v>
      </c>
      <c r="Q1364">
        <f>N(Q1363)+$P1364</f>
        <v>5</v>
      </c>
      <c r="R1364">
        <f>IF(AND($K1364=1,AND(对接源_02物料!$X164="公司筐",N(对接源_02物料!$U164)&lt;&gt;0)),1,0)</f>
        <v>0</v>
      </c>
      <c r="S1364">
        <f>N(S1363)+$R1364</f>
        <v>0</v>
      </c>
      <c r="T1364">
        <f>IF(AND($K1364=1,AND(对接源_02物料!$X164="公司筐",N(对接源_02物料!$V164)&lt;&gt;0)),1,0)</f>
        <v>0</v>
      </c>
      <c r="U1364">
        <f>N(U1363)+$T1364</f>
        <v>47</v>
      </c>
      <c r="V1364">
        <f>IF(AND($L1364=1,AND(对接源_02物料!$X164="自备筐",N(对接源_02物料!$V164)&lt;&gt;0)),1,0)</f>
        <v>0</v>
      </c>
      <c r="W1364">
        <f>N(W1363)+$V1364</f>
        <v>11</v>
      </c>
      <c r="X1364">
        <f>IF(AND($L1364=1,AND(对接源_02物料!$X164="自备筐",N(对接源_02物料!$T164)&lt;&gt;0)),1,0)</f>
        <v>0</v>
      </c>
      <c r="Y1364">
        <f>N(Y1363)+$X1364</f>
        <v>0</v>
      </c>
      <c r="Z1364">
        <f>IF(AND($M1364=1,对接源_02物料!$D164="原料入库"),1,0)</f>
        <v>0</v>
      </c>
      <c r="AA1364">
        <f>N(AA1363)+$Z1364</f>
        <v>24</v>
      </c>
      <c r="AB1364">
        <f>IF(AND($M1364=1,LEFT(对接源_02物料!$D164,4)="原料出库"),1,0)</f>
        <v>0</v>
      </c>
      <c r="AC1364">
        <f>N(AC1363)+$AB1364</f>
        <v>0</v>
      </c>
      <c r="AD1364">
        <f>IF(AND($M1364=1,LEFT(对接源_02物料!$D164,4)="成品出库"),1,0)</f>
        <v>0</v>
      </c>
      <c r="AE1364">
        <f>N(AE1363)+$AD1364</f>
        <v>0</v>
      </c>
      <c r="AF1364">
        <f>IF(AND($N1364=1,AND(LEFT(对接源_02物料!$D164,4)="包装物料",N(对接源_02物料!$K164)&lt;&gt;0)),1,0)</f>
        <v>0</v>
      </c>
      <c r="AG1364">
        <f>N(AG1363)+$AF1364</f>
        <v>10</v>
      </c>
      <c r="AH1364">
        <f>IF(AND($N1364=1,AND(对接源_02物料!$D164="周转筐－销售出库",N(对接源_02物料!$K164)&lt;&gt;0)),1,0)</f>
        <v>0</v>
      </c>
      <c r="AI1364">
        <f>N(AI1363)+$AH1364</f>
        <v>0</v>
      </c>
      <c r="AL1364" t="n">
        <v>0</v>
      </c>
      <c r="AM1364">
        <f>N(AM1363)+$AL1364</f>
        <v>2</v>
      </c>
      <c r="AN1364">
        <f>""</f>
      </c>
      <c r="AO1364" t="n">
        <v>0</v>
      </c>
      <c r="AP1364">
        <f>N(AP1363)+$AO1364</f>
        <v>13</v>
      </c>
      <c r="AR1364">
        <f>IF(OR($AF1364=1,$AH1364=1),1,0)</f>
        <v>0</v>
      </c>
      <c r="AS1364">
        <f>N(AS1363)+$AR1364</f>
        <v>10</v>
      </c>
    </row>
    <row r="1365" s="127">
      <c r="A1365" t="str">
        <f>IF(对接源_02物料!$C165="","",对接源_02物料!$C165)</f>
        <v>全修塑业</v>
      </c>
      <c r="B1365">
        <f>IF(A1365="",0,IF(MATCH(A1365,$A$4:$A$2403,0)=ROW()-3,1,0))</f>
        <v>0</v>
      </c>
      <c r="C1365">
        <f>N(C1364)+B1365</f>
        <v>25</v>
      </c>
      <c r="K1365">
        <f>IF(OR($K$1="",对接源_02物料!$C165="",对接源_02物料!$C165&lt;&gt;$K$1,对接源_02物料!$B165=""),0,IF(OR(N(对接源_02物料!$B165)&lt;$K$2,N(对接源_02物料!$B165)&gt;$K$3),0,1))</f>
        <v>0</v>
      </c>
      <c r="L1365">
        <f>IF(OR($L$1="",对接源_02物料!$C165="",对接源_02物料!$C165&lt;&gt;$L$1,对接源_02物料!$B165=""),0,IF(OR(N(对接源_02物料!$B165)&lt;$L$2,N(对接源_02物料!$B165)&gt;$L$3),0,1))</f>
        <v>0</v>
      </c>
      <c r="M1365">
        <f>IF(OR($M$1="",对接源_02物料!$C165="",对接源_02物料!$C165&lt;&gt;$M$1,对接源_02物料!$B165=""),0,IF(OR(N(对接源_02物料!$B165)&lt;$M$2,N(对接源_02物料!$B165)&gt;$M$3),0,1))</f>
        <v>0</v>
      </c>
      <c r="N1365">
        <f>IF(OR($N$1="",对接源_02物料!$C165="",对接源_02物料!$C165&lt;&gt;$N$1,对接源_02物料!$B165=""),0,IF(OR(N(对接源_02物料!$B165)&lt;$N$2,N(对接源_02物料!$B165)&gt;$N$3),0,1))</f>
        <v>0</v>
      </c>
      <c r="P1365">
        <f>IF(AND($K1365=1,AND(对接源_02物料!$X165="公司筐",N(对接源_02物料!$T165)&lt;&gt;0)),1,0)</f>
        <v>0</v>
      </c>
      <c r="Q1365">
        <f>N(Q1364)+$P1365</f>
        <v>5</v>
      </c>
      <c r="R1365">
        <f>IF(AND($K1365=1,AND(对接源_02物料!$X165="公司筐",N(对接源_02物料!$U165)&lt;&gt;0)),1,0)</f>
        <v>0</v>
      </c>
      <c r="S1365">
        <f>N(S1364)+$R1365</f>
        <v>0</v>
      </c>
      <c r="T1365">
        <f>IF(AND($K1365=1,AND(对接源_02物料!$X165="公司筐",N(对接源_02物料!$V165)&lt;&gt;0)),1,0)</f>
        <v>0</v>
      </c>
      <c r="U1365">
        <f>N(U1364)+$T1365</f>
        <v>47</v>
      </c>
      <c r="V1365">
        <f>IF(AND($L1365=1,AND(对接源_02物料!$X165="自备筐",N(对接源_02物料!$V165)&lt;&gt;0)),1,0)</f>
        <v>0</v>
      </c>
      <c r="W1365">
        <f>N(W1364)+$V1365</f>
        <v>11</v>
      </c>
      <c r="X1365">
        <f>IF(AND($L1365=1,AND(对接源_02物料!$X165="自备筐",N(对接源_02物料!$T165)&lt;&gt;0)),1,0)</f>
        <v>0</v>
      </c>
      <c r="Y1365">
        <f>N(Y1364)+$X1365</f>
        <v>0</v>
      </c>
      <c r="Z1365">
        <f>IF(AND($M1365=1,对接源_02物料!$D165="原料入库"),1,0)</f>
        <v>0</v>
      </c>
      <c r="AA1365">
        <f>N(AA1364)+$Z1365</f>
        <v>24</v>
      </c>
      <c r="AB1365">
        <f>IF(AND($M1365=1,LEFT(对接源_02物料!$D165,4)="原料出库"),1,0)</f>
        <v>0</v>
      </c>
      <c r="AC1365">
        <f>N(AC1364)+$AB1365</f>
        <v>0</v>
      </c>
      <c r="AD1365">
        <f>IF(AND($M1365=1,LEFT(对接源_02物料!$D165,4)="成品出库"),1,0)</f>
        <v>0</v>
      </c>
      <c r="AE1365">
        <f>N(AE1364)+$AD1365</f>
        <v>0</v>
      </c>
      <c r="AF1365">
        <f>IF(AND($N1365=1,AND(LEFT(对接源_02物料!$D165,4)="包装物料",N(对接源_02物料!$K165)&lt;&gt;0)),1,0)</f>
        <v>0</v>
      </c>
      <c r="AG1365">
        <f>N(AG1364)+$AF1365</f>
        <v>10</v>
      </c>
      <c r="AH1365">
        <f>IF(AND($N1365=1,AND(对接源_02物料!$D165="周转筐－销售出库",N(对接源_02物料!$K165)&lt;&gt;0)),1,0)</f>
        <v>0</v>
      </c>
      <c r="AI1365">
        <f>N(AI1364)+$AH1365</f>
        <v>0</v>
      </c>
      <c r="AL1365" t="n">
        <v>0</v>
      </c>
      <c r="AM1365">
        <f>N(AM1364)+$AL1365</f>
        <v>2</v>
      </c>
      <c r="AN1365">
        <f>""</f>
      </c>
      <c r="AO1365" t="n">
        <v>0</v>
      </c>
      <c r="AP1365">
        <f>N(AP1364)+$AO1365</f>
        <v>13</v>
      </c>
      <c r="AR1365">
        <f>IF(OR($AF1365=1,$AH1365=1),1,0)</f>
        <v>0</v>
      </c>
      <c r="AS1365">
        <f>N(AS1364)+$AR1365</f>
        <v>10</v>
      </c>
    </row>
    <row r="1366" s="127">
      <c r="A1366" t="str">
        <f>IF(对接源_02物料!$C166="","",对接源_02物料!$C166)</f>
        <v>吐尔洪</v>
      </c>
      <c r="B1366">
        <f>IF(A1366="",0,IF(MATCH(A1366,$A$4:$A$2403,0)=ROW()-3,1,0))</f>
        <v>0</v>
      </c>
      <c r="C1366">
        <f>N(C1365)+B1366</f>
        <v>25</v>
      </c>
      <c r="K1366">
        <f>IF(OR($K$1="",对接源_02物料!$C166="",对接源_02物料!$C166&lt;&gt;$K$1,对接源_02物料!$B166=""),0,IF(OR(N(对接源_02物料!$B166)&lt;$K$2,N(对接源_02物料!$B166)&gt;$K$3),0,1))</f>
        <v>0</v>
      </c>
      <c r="L1366">
        <f>IF(OR($L$1="",对接源_02物料!$C166="",对接源_02物料!$C166&lt;&gt;$L$1,对接源_02物料!$B166=""),0,IF(OR(N(对接源_02物料!$B166)&lt;$L$2,N(对接源_02物料!$B166)&gt;$L$3),0,1))</f>
        <v>0</v>
      </c>
      <c r="M1366">
        <f>IF(OR($M$1="",对接源_02物料!$C166="",对接源_02物料!$C166&lt;&gt;$M$1,对接源_02物料!$B166=""),0,IF(OR(N(对接源_02物料!$B166)&lt;$M$2,N(对接源_02物料!$B166)&gt;$M$3),0,1))</f>
        <v>1</v>
      </c>
      <c r="N1366">
        <f>IF(OR($N$1="",对接源_02物料!$C166="",对接源_02物料!$C166&lt;&gt;$N$1,对接源_02物料!$B166=""),0,IF(OR(N(对接源_02物料!$B166)&lt;$N$2,N(对接源_02物料!$B166)&gt;$N$3),0,1))</f>
        <v>0</v>
      </c>
      <c r="P1366">
        <f>IF(AND($K1366=1,AND(对接源_02物料!$X166="公司筐",N(对接源_02物料!$T166)&lt;&gt;0)),1,0)</f>
        <v>0</v>
      </c>
      <c r="Q1366">
        <f>N(Q1365)+$P1366</f>
        <v>5</v>
      </c>
      <c r="R1366">
        <f>IF(AND($K1366=1,AND(对接源_02物料!$X166="公司筐",N(对接源_02物料!$U166)&lt;&gt;0)),1,0)</f>
        <v>0</v>
      </c>
      <c r="S1366">
        <f>N(S1365)+$R1366</f>
        <v>0</v>
      </c>
      <c r="T1366">
        <f>IF(AND($K1366=1,AND(对接源_02物料!$X166="公司筐",N(对接源_02物料!$V166)&lt;&gt;0)),1,0)</f>
        <v>0</v>
      </c>
      <c r="U1366">
        <f>N(U1365)+$T1366</f>
        <v>47</v>
      </c>
      <c r="V1366">
        <f>IF(AND($L1366=1,AND(对接源_02物料!$X166="自备筐",N(对接源_02物料!$V166)&lt;&gt;0)),1,0)</f>
        <v>0</v>
      </c>
      <c r="W1366">
        <f>N(W1365)+$V1366</f>
        <v>11</v>
      </c>
      <c r="X1366">
        <f>IF(AND($L1366=1,AND(对接源_02物料!$X166="自备筐",N(对接源_02物料!$T166)&lt;&gt;0)),1,0)</f>
        <v>0</v>
      </c>
      <c r="Y1366">
        <f>N(Y1365)+$X1366</f>
        <v>0</v>
      </c>
      <c r="Z1366">
        <f>IF(AND($M1366=1,对接源_02物料!$D166="原料入库"),1,0)</f>
        <v>0</v>
      </c>
      <c r="AA1366">
        <f>N(AA1365)+$Z1366</f>
        <v>24</v>
      </c>
      <c r="AB1366">
        <f>IF(AND($M1366=1,LEFT(对接源_02物料!$D166,4)="原料出库"),1,0)</f>
        <v>0</v>
      </c>
      <c r="AC1366">
        <f>N(AC1365)+$AB1366</f>
        <v>0</v>
      </c>
      <c r="AD1366">
        <f>IF(AND($M1366=1,LEFT(对接源_02物料!$D166,4)="成品出库"),1,0)</f>
        <v>0</v>
      </c>
      <c r="AE1366">
        <f>N(AE1365)+$AD1366</f>
        <v>0</v>
      </c>
      <c r="AF1366">
        <f>IF(AND($N1366=1,AND(LEFT(对接源_02物料!$D166,4)="包装物料",N(对接源_02物料!$K166)&lt;&gt;0)),1,0)</f>
        <v>0</v>
      </c>
      <c r="AG1366">
        <f>N(AG1365)+$AF1366</f>
        <v>10</v>
      </c>
      <c r="AH1366">
        <f>IF(AND($N1366=1,AND(对接源_02物料!$D166="周转筐－销售出库",N(对接源_02物料!$K166)&lt;&gt;0)),1,0)</f>
        <v>0</v>
      </c>
      <c r="AI1366">
        <f>N(AI1365)+$AH1366</f>
        <v>0</v>
      </c>
      <c r="AL1366" t="n">
        <v>0</v>
      </c>
      <c r="AM1366">
        <f>N(AM1365)+$AL1366</f>
        <v>2</v>
      </c>
      <c r="AN1366">
        <f>""</f>
      </c>
      <c r="AO1366" t="n">
        <v>0</v>
      </c>
      <c r="AP1366">
        <f>N(AP1365)+$AO1366</f>
        <v>13</v>
      </c>
      <c r="AR1366">
        <f>IF(OR($AF1366=1,$AH1366=1),1,0)</f>
        <v>0</v>
      </c>
      <c r="AS1366">
        <f>N(AS1365)+$AR1366</f>
        <v>10</v>
      </c>
    </row>
    <row r="1367" s="127">
      <c r="A1367" t="str">
        <f>IF(对接源_02物料!$C167="","",对接源_02物料!$C167)</f>
        <v>全修塑业</v>
      </c>
      <c r="B1367">
        <f>IF(A1367="",0,IF(MATCH(A1367,$A$4:$A$2403,0)=ROW()-3,1,0))</f>
        <v>0</v>
      </c>
      <c r="C1367">
        <f>N(C1366)+B1367</f>
        <v>25</v>
      </c>
      <c r="K1367">
        <f>IF(OR($K$1="",对接源_02物料!$C167="",对接源_02物料!$C167&lt;&gt;$K$1,对接源_02物料!$B167=""),0,IF(OR(N(对接源_02物料!$B167)&lt;$K$2,N(对接源_02物料!$B167)&gt;$K$3),0,1))</f>
        <v>0</v>
      </c>
      <c r="L1367">
        <f>IF(OR($L$1="",对接源_02物料!$C167="",对接源_02物料!$C167&lt;&gt;$L$1,对接源_02物料!$B167=""),0,IF(OR(N(对接源_02物料!$B167)&lt;$L$2,N(对接源_02物料!$B167)&gt;$L$3),0,1))</f>
        <v>0</v>
      </c>
      <c r="M1367">
        <f>IF(OR($M$1="",对接源_02物料!$C167="",对接源_02物料!$C167&lt;&gt;$M$1,对接源_02物料!$B167=""),0,IF(OR(N(对接源_02物料!$B167)&lt;$M$2,N(对接源_02物料!$B167)&gt;$M$3),0,1))</f>
        <v>0</v>
      </c>
      <c r="N1367">
        <f>IF(OR($N$1="",对接源_02物料!$C167="",对接源_02物料!$C167&lt;&gt;$N$1,对接源_02物料!$B167=""),0,IF(OR(N(对接源_02物料!$B167)&lt;$N$2,N(对接源_02物料!$B167)&gt;$N$3),0,1))</f>
        <v>0</v>
      </c>
      <c r="P1367">
        <f>IF(AND($K1367=1,AND(对接源_02物料!$X167="公司筐",N(对接源_02物料!$T167)&lt;&gt;0)),1,0)</f>
        <v>0</v>
      </c>
      <c r="Q1367">
        <f>N(Q1366)+$P1367</f>
        <v>5</v>
      </c>
      <c r="R1367">
        <f>IF(AND($K1367=1,AND(对接源_02物料!$X167="公司筐",N(对接源_02物料!$U167)&lt;&gt;0)),1,0)</f>
        <v>0</v>
      </c>
      <c r="S1367">
        <f>N(S1366)+$R1367</f>
        <v>0</v>
      </c>
      <c r="T1367">
        <f>IF(AND($K1367=1,AND(对接源_02物料!$X167="公司筐",N(对接源_02物料!$V167)&lt;&gt;0)),1,0)</f>
        <v>0</v>
      </c>
      <c r="U1367">
        <f>N(U1366)+$T1367</f>
        <v>47</v>
      </c>
      <c r="V1367">
        <f>IF(AND($L1367=1,AND(对接源_02物料!$X167="自备筐",N(对接源_02物料!$V167)&lt;&gt;0)),1,0)</f>
        <v>0</v>
      </c>
      <c r="W1367">
        <f>N(W1366)+$V1367</f>
        <v>11</v>
      </c>
      <c r="X1367">
        <f>IF(AND($L1367=1,AND(对接源_02物料!$X167="自备筐",N(对接源_02物料!$T167)&lt;&gt;0)),1,0)</f>
        <v>0</v>
      </c>
      <c r="Y1367">
        <f>N(Y1366)+$X1367</f>
        <v>0</v>
      </c>
      <c r="Z1367">
        <f>IF(AND($M1367=1,对接源_02物料!$D167="原料入库"),1,0)</f>
        <v>0</v>
      </c>
      <c r="AA1367">
        <f>N(AA1366)+$Z1367</f>
        <v>24</v>
      </c>
      <c r="AB1367">
        <f>IF(AND($M1367=1,LEFT(对接源_02物料!$D167,4)="原料出库"),1,0)</f>
        <v>0</v>
      </c>
      <c r="AC1367">
        <f>N(AC1366)+$AB1367</f>
        <v>0</v>
      </c>
      <c r="AD1367">
        <f>IF(AND($M1367=1,LEFT(对接源_02物料!$D167,4)="成品出库"),1,0)</f>
        <v>0</v>
      </c>
      <c r="AE1367">
        <f>N(AE1366)+$AD1367</f>
        <v>0</v>
      </c>
      <c r="AF1367">
        <f>IF(AND($N1367=1,AND(LEFT(对接源_02物料!$D167,4)="包装物料",N(对接源_02物料!$K167)&lt;&gt;0)),1,0)</f>
        <v>0</v>
      </c>
      <c r="AG1367">
        <f>N(AG1366)+$AF1367</f>
        <v>10</v>
      </c>
      <c r="AH1367">
        <f>IF(AND($N1367=1,AND(对接源_02物料!$D167="周转筐－销售出库",N(对接源_02物料!$K167)&lt;&gt;0)),1,0)</f>
        <v>0</v>
      </c>
      <c r="AI1367">
        <f>N(AI1366)+$AH1367</f>
        <v>0</v>
      </c>
      <c r="AL1367" t="n">
        <v>0</v>
      </c>
      <c r="AM1367">
        <f>N(AM1366)+$AL1367</f>
        <v>2</v>
      </c>
      <c r="AN1367">
        <f>""</f>
      </c>
      <c r="AO1367" t="n">
        <v>0</v>
      </c>
      <c r="AP1367">
        <f>N(AP1366)+$AO1367</f>
        <v>13</v>
      </c>
      <c r="AR1367">
        <f>IF(OR($AF1367=1,$AH1367=1),1,0)</f>
        <v>0</v>
      </c>
      <c r="AS1367">
        <f>N(AS1366)+$AR1367</f>
        <v>10</v>
      </c>
    </row>
    <row r="1368" s="127">
      <c r="A1368" t="str">
        <f>IF(对接源_02物料!$C168="","",对接源_02物料!$C168)</f>
        <v>全修塑业</v>
      </c>
      <c r="B1368">
        <f>IF(A1368="",0,IF(MATCH(A1368,$A$4:$A$2403,0)=ROW()-3,1,0))</f>
        <v>0</v>
      </c>
      <c r="C1368">
        <f>N(C1367)+B1368</f>
        <v>25</v>
      </c>
      <c r="K1368">
        <f>IF(OR($K$1="",对接源_02物料!$C168="",对接源_02物料!$C168&lt;&gt;$K$1,对接源_02物料!$B168=""),0,IF(OR(N(对接源_02物料!$B168)&lt;$K$2,N(对接源_02物料!$B168)&gt;$K$3),0,1))</f>
        <v>0</v>
      </c>
      <c r="L1368">
        <f>IF(OR($L$1="",对接源_02物料!$C168="",对接源_02物料!$C168&lt;&gt;$L$1,对接源_02物料!$B168=""),0,IF(OR(N(对接源_02物料!$B168)&lt;$L$2,N(对接源_02物料!$B168)&gt;$L$3),0,1))</f>
        <v>0</v>
      </c>
      <c r="M1368">
        <f>IF(OR($M$1="",对接源_02物料!$C168="",对接源_02物料!$C168&lt;&gt;$M$1,对接源_02物料!$B168=""),0,IF(OR(N(对接源_02物料!$B168)&lt;$M$2,N(对接源_02物料!$B168)&gt;$M$3),0,1))</f>
        <v>0</v>
      </c>
      <c r="N1368">
        <f>IF(OR($N$1="",对接源_02物料!$C168="",对接源_02物料!$C168&lt;&gt;$N$1,对接源_02物料!$B168=""),0,IF(OR(N(对接源_02物料!$B168)&lt;$N$2,N(对接源_02物料!$B168)&gt;$N$3),0,1))</f>
        <v>0</v>
      </c>
      <c r="P1368">
        <f>IF(AND($K1368=1,AND(对接源_02物料!$X168="公司筐",N(对接源_02物料!$T168)&lt;&gt;0)),1,0)</f>
        <v>0</v>
      </c>
      <c r="Q1368">
        <f>N(Q1367)+$P1368</f>
        <v>5</v>
      </c>
      <c r="R1368">
        <f>IF(AND($K1368=1,AND(对接源_02物料!$X168="公司筐",N(对接源_02物料!$U168)&lt;&gt;0)),1,0)</f>
        <v>0</v>
      </c>
      <c r="S1368">
        <f>N(S1367)+$R1368</f>
        <v>0</v>
      </c>
      <c r="T1368">
        <f>IF(AND($K1368=1,AND(对接源_02物料!$X168="公司筐",N(对接源_02物料!$V168)&lt;&gt;0)),1,0)</f>
        <v>0</v>
      </c>
      <c r="U1368">
        <f>N(U1367)+$T1368</f>
        <v>47</v>
      </c>
      <c r="V1368">
        <f>IF(AND($L1368=1,AND(对接源_02物料!$X168="自备筐",N(对接源_02物料!$V168)&lt;&gt;0)),1,0)</f>
        <v>0</v>
      </c>
      <c r="W1368">
        <f>N(W1367)+$V1368</f>
        <v>11</v>
      </c>
      <c r="X1368">
        <f>IF(AND($L1368=1,AND(对接源_02物料!$X168="自备筐",N(对接源_02物料!$T168)&lt;&gt;0)),1,0)</f>
        <v>0</v>
      </c>
      <c r="Y1368">
        <f>N(Y1367)+$X1368</f>
        <v>0</v>
      </c>
      <c r="Z1368">
        <f>IF(AND($M1368=1,对接源_02物料!$D168="原料入库"),1,0)</f>
        <v>0</v>
      </c>
      <c r="AA1368">
        <f>N(AA1367)+$Z1368</f>
        <v>24</v>
      </c>
      <c r="AB1368">
        <f>IF(AND($M1368=1,LEFT(对接源_02物料!$D168,4)="原料出库"),1,0)</f>
        <v>0</v>
      </c>
      <c r="AC1368">
        <f>N(AC1367)+$AB1368</f>
        <v>0</v>
      </c>
      <c r="AD1368">
        <f>IF(AND($M1368=1,LEFT(对接源_02物料!$D168,4)="成品出库"),1,0)</f>
        <v>0</v>
      </c>
      <c r="AE1368">
        <f>N(AE1367)+$AD1368</f>
        <v>0</v>
      </c>
      <c r="AF1368">
        <f>IF(AND($N1368=1,AND(LEFT(对接源_02物料!$D168,4)="包装物料",N(对接源_02物料!$K168)&lt;&gt;0)),1,0)</f>
        <v>0</v>
      </c>
      <c r="AG1368">
        <f>N(AG1367)+$AF1368</f>
        <v>10</v>
      </c>
      <c r="AH1368">
        <f>IF(AND($N1368=1,AND(对接源_02物料!$D168="周转筐－销售出库",N(对接源_02物料!$K168)&lt;&gt;0)),1,0)</f>
        <v>0</v>
      </c>
      <c r="AI1368">
        <f>N(AI1367)+$AH1368</f>
        <v>0</v>
      </c>
      <c r="AL1368" t="n">
        <v>0</v>
      </c>
      <c r="AM1368">
        <f>N(AM1367)+$AL1368</f>
        <v>2</v>
      </c>
      <c r="AN1368">
        <f>""</f>
      </c>
      <c r="AO1368" t="n">
        <v>0</v>
      </c>
      <c r="AP1368">
        <f>N(AP1367)+$AO1368</f>
        <v>13</v>
      </c>
      <c r="AR1368">
        <f>IF(OR($AF1368=1,$AH1368=1),1,0)</f>
        <v>0</v>
      </c>
      <c r="AS1368">
        <f>N(AS1367)+$AR1368</f>
        <v>10</v>
      </c>
    </row>
    <row r="1369" s="127">
      <c r="A1369" t="str">
        <f>IF(对接源_02物料!$C169="","",对接源_02物料!$C169)</f>
        <v>努尔敦</v>
      </c>
      <c r="B1369">
        <f>IF(A1369="",0,IF(MATCH(A1369,$A$4:$A$2403,0)=ROW()-3,1,0))</f>
        <v>0</v>
      </c>
      <c r="C1369">
        <f>N(C1368)+B1369</f>
        <v>25</v>
      </c>
      <c r="K1369">
        <f>IF(OR($K$1="",对接源_02物料!$C169="",对接源_02物料!$C169&lt;&gt;$K$1,对接源_02物料!$B169=""),0,IF(OR(N(对接源_02物料!$B169)&lt;$K$2,N(对接源_02物料!$B169)&gt;$K$3),0,1))</f>
        <v>0</v>
      </c>
      <c r="L1369">
        <f>IF(OR($L$1="",对接源_02物料!$C169="",对接源_02物料!$C169&lt;&gt;$L$1,对接源_02物料!$B169=""),0,IF(OR(N(对接源_02物料!$B169)&lt;$L$2,N(对接源_02物料!$B169)&gt;$L$3),0,1))</f>
        <v>0</v>
      </c>
      <c r="M1369">
        <f>IF(OR($M$1="",对接源_02物料!$C169="",对接源_02物料!$C169&lt;&gt;$M$1,对接源_02物料!$B169=""),0,IF(OR(N(对接源_02物料!$B169)&lt;$M$2,N(对接源_02物料!$B169)&gt;$M$3),0,1))</f>
        <v>0</v>
      </c>
      <c r="N1369">
        <f>IF(OR($N$1="",对接源_02物料!$C169="",对接源_02物料!$C169&lt;&gt;$N$1,对接源_02物料!$B169=""),0,IF(OR(N(对接源_02物料!$B169)&lt;$N$2,N(对接源_02物料!$B169)&gt;$N$3),0,1))</f>
        <v>0</v>
      </c>
      <c r="P1369">
        <f>IF(AND($K1369=1,AND(对接源_02物料!$X169="公司筐",N(对接源_02物料!$T169)&lt;&gt;0)),1,0)</f>
        <v>0</v>
      </c>
      <c r="Q1369">
        <f>N(Q1368)+$P1369</f>
        <v>5</v>
      </c>
      <c r="R1369">
        <f>IF(AND($K1369=1,AND(对接源_02物料!$X169="公司筐",N(对接源_02物料!$U169)&lt;&gt;0)),1,0)</f>
        <v>0</v>
      </c>
      <c r="S1369">
        <f>N(S1368)+$R1369</f>
        <v>0</v>
      </c>
      <c r="T1369">
        <f>IF(AND($K1369=1,AND(对接源_02物料!$X169="公司筐",N(对接源_02物料!$V169)&lt;&gt;0)),1,0)</f>
        <v>0</v>
      </c>
      <c r="U1369">
        <f>N(U1368)+$T1369</f>
        <v>47</v>
      </c>
      <c r="V1369">
        <f>IF(AND($L1369=1,AND(对接源_02物料!$X169="自备筐",N(对接源_02物料!$V169)&lt;&gt;0)),1,0)</f>
        <v>0</v>
      </c>
      <c r="W1369">
        <f>N(W1368)+$V1369</f>
        <v>11</v>
      </c>
      <c r="X1369">
        <f>IF(AND($L1369=1,AND(对接源_02物料!$X169="自备筐",N(对接源_02物料!$T169)&lt;&gt;0)),1,0)</f>
        <v>0</v>
      </c>
      <c r="Y1369">
        <f>N(Y1368)+$X1369</f>
        <v>0</v>
      </c>
      <c r="Z1369">
        <f>IF(AND($M1369=1,对接源_02物料!$D169="原料入库"),1,0)</f>
        <v>0</v>
      </c>
      <c r="AA1369">
        <f>N(AA1368)+$Z1369</f>
        <v>24</v>
      </c>
      <c r="AB1369">
        <f>IF(AND($M1369=1,LEFT(对接源_02物料!$D169,4)="原料出库"),1,0)</f>
        <v>0</v>
      </c>
      <c r="AC1369">
        <f>N(AC1368)+$AB1369</f>
        <v>0</v>
      </c>
      <c r="AD1369">
        <f>IF(AND($M1369=1,LEFT(对接源_02物料!$D169,4)="成品出库"),1,0)</f>
        <v>0</v>
      </c>
      <c r="AE1369">
        <f>N(AE1368)+$AD1369</f>
        <v>0</v>
      </c>
      <c r="AF1369">
        <f>IF(AND($N1369=1,AND(LEFT(对接源_02物料!$D169,4)="包装物料",N(对接源_02物料!$K169)&lt;&gt;0)),1,0)</f>
        <v>0</v>
      </c>
      <c r="AG1369">
        <f>N(AG1368)+$AF1369</f>
        <v>10</v>
      </c>
      <c r="AH1369">
        <f>IF(AND($N1369=1,AND(对接源_02物料!$D169="周转筐－销售出库",N(对接源_02物料!$K169)&lt;&gt;0)),1,0)</f>
        <v>0</v>
      </c>
      <c r="AI1369">
        <f>N(AI1368)+$AH1369</f>
        <v>0</v>
      </c>
      <c r="AL1369" t="n">
        <v>0</v>
      </c>
      <c r="AM1369">
        <f>N(AM1368)+$AL1369</f>
        <v>2</v>
      </c>
      <c r="AN1369">
        <f>""</f>
      </c>
      <c r="AO1369" t="n">
        <v>0</v>
      </c>
      <c r="AP1369">
        <f>N(AP1368)+$AO1369</f>
        <v>13</v>
      </c>
      <c r="AR1369">
        <f>IF(OR($AF1369=1,$AH1369=1),1,0)</f>
        <v>0</v>
      </c>
      <c r="AS1369">
        <f>N(AS1368)+$AR1369</f>
        <v>10</v>
      </c>
    </row>
    <row r="1370" s="127">
      <c r="A1370" t="str">
        <f>IF(对接源_02物料!$C170="","",对接源_02物料!$C170)</f>
        <v>麦麦提</v>
      </c>
      <c r="B1370">
        <f>IF(A1370="",0,IF(MATCH(A1370,$A$4:$A$2403,0)=ROW()-3,1,0))</f>
        <v>0</v>
      </c>
      <c r="C1370">
        <f>N(C1369)+B1370</f>
        <v>25</v>
      </c>
      <c r="K1370">
        <f>IF(OR($K$1="",对接源_02物料!$C170="",对接源_02物料!$C170&lt;&gt;$K$1,对接源_02物料!$B170=""),0,IF(OR(N(对接源_02物料!$B170)&lt;$K$2,N(对接源_02物料!$B170)&gt;$K$3),0,1))</f>
        <v>0</v>
      </c>
      <c r="L1370">
        <f>IF(OR($L$1="",对接源_02物料!$C170="",对接源_02物料!$C170&lt;&gt;$L$1,对接源_02物料!$B170=""),0,IF(OR(N(对接源_02物料!$B170)&lt;$L$2,N(对接源_02物料!$B170)&gt;$L$3),0,1))</f>
        <v>0</v>
      </c>
      <c r="M1370">
        <f>IF(OR($M$1="",对接源_02物料!$C170="",对接源_02物料!$C170&lt;&gt;$M$1,对接源_02物料!$B170=""),0,IF(OR(N(对接源_02物料!$B170)&lt;$M$2,N(对接源_02物料!$B170)&gt;$M$3),0,1))</f>
        <v>0</v>
      </c>
      <c r="N1370">
        <f>IF(OR($N$1="",对接源_02物料!$C170="",对接源_02物料!$C170&lt;&gt;$N$1,对接源_02物料!$B170=""),0,IF(OR(N(对接源_02物料!$B170)&lt;$N$2,N(对接源_02物料!$B170)&gt;$N$3),0,1))</f>
        <v>1</v>
      </c>
      <c r="P1370">
        <f>IF(AND($K1370=1,AND(对接源_02物料!$X170="公司筐",N(对接源_02物料!$T170)&lt;&gt;0)),1,0)</f>
        <v>0</v>
      </c>
      <c r="Q1370">
        <f>N(Q1369)+$P1370</f>
        <v>5</v>
      </c>
      <c r="R1370">
        <f>IF(AND($K1370=1,AND(对接源_02物料!$X170="公司筐",N(对接源_02物料!$U170)&lt;&gt;0)),1,0)</f>
        <v>0</v>
      </c>
      <c r="S1370">
        <f>N(S1369)+$R1370</f>
        <v>0</v>
      </c>
      <c r="T1370">
        <f>IF(AND($K1370=1,AND(对接源_02物料!$X170="公司筐",N(对接源_02物料!$V170)&lt;&gt;0)),1,0)</f>
        <v>0</v>
      </c>
      <c r="U1370">
        <f>N(U1369)+$T1370</f>
        <v>47</v>
      </c>
      <c r="V1370">
        <f>IF(AND($L1370=1,AND(对接源_02物料!$X170="自备筐",N(对接源_02物料!$V170)&lt;&gt;0)),1,0)</f>
        <v>0</v>
      </c>
      <c r="W1370">
        <f>N(W1369)+$V1370</f>
        <v>11</v>
      </c>
      <c r="X1370">
        <f>IF(AND($L1370=1,AND(对接源_02物料!$X170="自备筐",N(对接源_02物料!$T170)&lt;&gt;0)),1,0)</f>
        <v>0</v>
      </c>
      <c r="Y1370">
        <f>N(Y1369)+$X1370</f>
        <v>0</v>
      </c>
      <c r="Z1370">
        <f>IF(AND($M1370=1,对接源_02物料!$D170="原料入库"),1,0)</f>
        <v>0</v>
      </c>
      <c r="AA1370">
        <f>N(AA1369)+$Z1370</f>
        <v>24</v>
      </c>
      <c r="AB1370">
        <f>IF(AND($M1370=1,LEFT(对接源_02物料!$D170,4)="原料出库"),1,0)</f>
        <v>0</v>
      </c>
      <c r="AC1370">
        <f>N(AC1369)+$AB1370</f>
        <v>0</v>
      </c>
      <c r="AD1370">
        <f>IF(AND($M1370=1,LEFT(对接源_02物料!$D170,4)="成品出库"),1,0)</f>
        <v>0</v>
      </c>
      <c r="AE1370">
        <f>N(AE1369)+$AD1370</f>
        <v>0</v>
      </c>
      <c r="AF1370">
        <f>IF(AND($N1370=1,AND(LEFT(对接源_02物料!$D170,4)="包装物料",N(对接源_02物料!$K170)&lt;&gt;0)),1,0)</f>
        <v>0</v>
      </c>
      <c r="AG1370">
        <f>N(AG1369)+$AF1370</f>
        <v>10</v>
      </c>
      <c r="AH1370">
        <f>IF(AND($N1370=1,AND(对接源_02物料!$D170="周转筐－销售出库",N(对接源_02物料!$K170)&lt;&gt;0)),1,0)</f>
        <v>0</v>
      </c>
      <c r="AI1370">
        <f>N(AI1369)+$AH1370</f>
        <v>0</v>
      </c>
      <c r="AL1370" t="n">
        <v>0</v>
      </c>
      <c r="AM1370">
        <f>N(AM1369)+$AL1370</f>
        <v>2</v>
      </c>
      <c r="AN1370">
        <f>""</f>
      </c>
      <c r="AO1370" t="n">
        <v>0</v>
      </c>
      <c r="AP1370">
        <f>N(AP1369)+$AO1370</f>
        <v>13</v>
      </c>
      <c r="AR1370">
        <f>IF(OR($AF1370=1,$AH1370=1),1,0)</f>
        <v>0</v>
      </c>
      <c r="AS1370">
        <f>N(AS1369)+$AR1370</f>
        <v>10</v>
      </c>
    </row>
    <row r="1371" s="127">
      <c r="A1371" t="str">
        <f>IF(对接源_02物料!$C171="","",对接源_02物料!$C171)</f>
        <v>王照雪</v>
      </c>
      <c r="B1371">
        <f>IF(A1371="",0,IF(MATCH(A1371,$A$4:$A$2403,0)=ROW()-3,1,0))</f>
        <v>0</v>
      </c>
      <c r="C1371">
        <f>N(C1370)+B1371</f>
        <v>25</v>
      </c>
      <c r="K1371">
        <f>IF(OR($K$1="",对接源_02物料!$C171="",对接源_02物料!$C171&lt;&gt;$K$1,对接源_02物料!$B171=""),0,IF(OR(N(对接源_02物料!$B171)&lt;$K$2,N(对接源_02物料!$B171)&gt;$K$3),0,1))</f>
        <v>0</v>
      </c>
      <c r="L1371">
        <f>IF(OR($L$1="",对接源_02物料!$C171="",对接源_02物料!$C171&lt;&gt;$L$1,对接源_02物料!$B171=""),0,IF(OR(N(对接源_02物料!$B171)&lt;$L$2,N(对接源_02物料!$B171)&gt;$L$3),0,1))</f>
        <v>0</v>
      </c>
      <c r="M1371">
        <f>IF(OR($M$1="",对接源_02物料!$C171="",对接源_02物料!$C171&lt;&gt;$M$1,对接源_02物料!$B171=""),0,IF(OR(N(对接源_02物料!$B171)&lt;$M$2,N(对接源_02物料!$B171)&gt;$M$3),0,1))</f>
        <v>0</v>
      </c>
      <c r="N1371">
        <f>IF(OR($N$1="",对接源_02物料!$C171="",对接源_02物料!$C171&lt;&gt;$N$1,对接源_02物料!$B171=""),0,IF(OR(N(对接源_02物料!$B171)&lt;$N$2,N(对接源_02物料!$B171)&gt;$N$3),0,1))</f>
        <v>0</v>
      </c>
      <c r="P1371">
        <f>IF(AND($K1371=1,AND(对接源_02物料!$X171="公司筐",N(对接源_02物料!$T171)&lt;&gt;0)),1,0)</f>
        <v>0</v>
      </c>
      <c r="Q1371">
        <f>N(Q1370)+$P1371</f>
        <v>5</v>
      </c>
      <c r="R1371">
        <f>IF(AND($K1371=1,AND(对接源_02物料!$X171="公司筐",N(对接源_02物料!$U171)&lt;&gt;0)),1,0)</f>
        <v>0</v>
      </c>
      <c r="S1371">
        <f>N(S1370)+$R1371</f>
        <v>0</v>
      </c>
      <c r="T1371">
        <f>IF(AND($K1371=1,AND(对接源_02物料!$X171="公司筐",N(对接源_02物料!$V171)&lt;&gt;0)),1,0)</f>
        <v>0</v>
      </c>
      <c r="U1371">
        <f>N(U1370)+$T1371</f>
        <v>47</v>
      </c>
      <c r="V1371">
        <f>IF(AND($L1371=1,AND(对接源_02物料!$X171="自备筐",N(对接源_02物料!$V171)&lt;&gt;0)),1,0)</f>
        <v>0</v>
      </c>
      <c r="W1371">
        <f>N(W1370)+$V1371</f>
        <v>11</v>
      </c>
      <c r="X1371">
        <f>IF(AND($L1371=1,AND(对接源_02物料!$X171="自备筐",N(对接源_02物料!$T171)&lt;&gt;0)),1,0)</f>
        <v>0</v>
      </c>
      <c r="Y1371">
        <f>N(Y1370)+$X1371</f>
        <v>0</v>
      </c>
      <c r="Z1371">
        <f>IF(AND($M1371=1,对接源_02物料!$D171="原料入库"),1,0)</f>
        <v>0</v>
      </c>
      <c r="AA1371">
        <f>N(AA1370)+$Z1371</f>
        <v>24</v>
      </c>
      <c r="AB1371">
        <f>IF(AND($M1371=1,LEFT(对接源_02物料!$D171,4)="原料出库"),1,0)</f>
        <v>0</v>
      </c>
      <c r="AC1371">
        <f>N(AC1370)+$AB1371</f>
        <v>0</v>
      </c>
      <c r="AD1371">
        <f>IF(AND($M1371=1,LEFT(对接源_02物料!$D171,4)="成品出库"),1,0)</f>
        <v>0</v>
      </c>
      <c r="AE1371">
        <f>N(AE1370)+$AD1371</f>
        <v>0</v>
      </c>
      <c r="AF1371">
        <f>IF(AND($N1371=1,AND(LEFT(对接源_02物料!$D171,4)="包装物料",N(对接源_02物料!$K171)&lt;&gt;0)),1,0)</f>
        <v>0</v>
      </c>
      <c r="AG1371">
        <f>N(AG1370)+$AF1371</f>
        <v>10</v>
      </c>
      <c r="AH1371">
        <f>IF(AND($N1371=1,AND(对接源_02物料!$D171="周转筐－销售出库",N(对接源_02物料!$K171)&lt;&gt;0)),1,0)</f>
        <v>0</v>
      </c>
      <c r="AI1371">
        <f>N(AI1370)+$AH1371</f>
        <v>0</v>
      </c>
      <c r="AL1371" t="n">
        <v>0</v>
      </c>
      <c r="AM1371">
        <f>N(AM1370)+$AL1371</f>
        <v>2</v>
      </c>
      <c r="AN1371">
        <f>""</f>
      </c>
      <c r="AO1371" t="n">
        <v>0</v>
      </c>
      <c r="AP1371">
        <f>N(AP1370)+$AO1371</f>
        <v>13</v>
      </c>
      <c r="AR1371">
        <f>IF(OR($AF1371=1,$AH1371=1),1,0)</f>
        <v>0</v>
      </c>
      <c r="AS1371">
        <f>N(AS1370)+$AR1371</f>
        <v>10</v>
      </c>
    </row>
    <row r="1372" s="127">
      <c r="A1372" t="str">
        <f>IF(对接源_02物料!$C172="","",对接源_02物料!$C172)</f>
        <v>全修塑业</v>
      </c>
      <c r="B1372">
        <f>IF(A1372="",0,IF(MATCH(A1372,$A$4:$A$2403,0)=ROW()-3,1,0))</f>
        <v>0</v>
      </c>
      <c r="C1372">
        <f>N(C1371)+B1372</f>
        <v>25</v>
      </c>
      <c r="K1372">
        <f>IF(OR($K$1="",对接源_02物料!$C172="",对接源_02物料!$C172&lt;&gt;$K$1,对接源_02物料!$B172=""),0,IF(OR(N(对接源_02物料!$B172)&lt;$K$2,N(对接源_02物料!$B172)&gt;$K$3),0,1))</f>
        <v>0</v>
      </c>
      <c r="L1372">
        <f>IF(OR($L$1="",对接源_02物料!$C172="",对接源_02物料!$C172&lt;&gt;$L$1,对接源_02物料!$B172=""),0,IF(OR(N(对接源_02物料!$B172)&lt;$L$2,N(对接源_02物料!$B172)&gt;$L$3),0,1))</f>
        <v>0</v>
      </c>
      <c r="M1372">
        <f>IF(OR($M$1="",对接源_02物料!$C172="",对接源_02物料!$C172&lt;&gt;$M$1,对接源_02物料!$B172=""),0,IF(OR(N(对接源_02物料!$B172)&lt;$M$2,N(对接源_02物料!$B172)&gt;$M$3),0,1))</f>
        <v>0</v>
      </c>
      <c r="N1372">
        <f>IF(OR($N$1="",对接源_02物料!$C172="",对接源_02物料!$C172&lt;&gt;$N$1,对接源_02物料!$B172=""),0,IF(OR(N(对接源_02物料!$B172)&lt;$N$2,N(对接源_02物料!$B172)&gt;$N$3),0,1))</f>
        <v>0</v>
      </c>
      <c r="P1372">
        <f>IF(AND($K1372=1,AND(对接源_02物料!$X172="公司筐",N(对接源_02物料!$T172)&lt;&gt;0)),1,0)</f>
        <v>0</v>
      </c>
      <c r="Q1372">
        <f>N(Q1371)+$P1372</f>
        <v>5</v>
      </c>
      <c r="R1372">
        <f>IF(AND($K1372=1,AND(对接源_02物料!$X172="公司筐",N(对接源_02物料!$U172)&lt;&gt;0)),1,0)</f>
        <v>0</v>
      </c>
      <c r="S1372">
        <f>N(S1371)+$R1372</f>
        <v>0</v>
      </c>
      <c r="T1372">
        <f>IF(AND($K1372=1,AND(对接源_02物料!$X172="公司筐",N(对接源_02物料!$V172)&lt;&gt;0)),1,0)</f>
        <v>0</v>
      </c>
      <c r="U1372">
        <f>N(U1371)+$T1372</f>
        <v>47</v>
      </c>
      <c r="V1372">
        <f>IF(AND($L1372=1,AND(对接源_02物料!$X172="自备筐",N(对接源_02物料!$V172)&lt;&gt;0)),1,0)</f>
        <v>0</v>
      </c>
      <c r="W1372">
        <f>N(W1371)+$V1372</f>
        <v>11</v>
      </c>
      <c r="X1372">
        <f>IF(AND($L1372=1,AND(对接源_02物料!$X172="自备筐",N(对接源_02物料!$T172)&lt;&gt;0)),1,0)</f>
        <v>0</v>
      </c>
      <c r="Y1372">
        <f>N(Y1371)+$X1372</f>
        <v>0</v>
      </c>
      <c r="Z1372">
        <f>IF(AND($M1372=1,对接源_02物料!$D172="原料入库"),1,0)</f>
        <v>0</v>
      </c>
      <c r="AA1372">
        <f>N(AA1371)+$Z1372</f>
        <v>24</v>
      </c>
      <c r="AB1372">
        <f>IF(AND($M1372=1,LEFT(对接源_02物料!$D172,4)="原料出库"),1,0)</f>
        <v>0</v>
      </c>
      <c r="AC1372">
        <f>N(AC1371)+$AB1372</f>
        <v>0</v>
      </c>
      <c r="AD1372">
        <f>IF(AND($M1372=1,LEFT(对接源_02物料!$D172,4)="成品出库"),1,0)</f>
        <v>0</v>
      </c>
      <c r="AE1372">
        <f>N(AE1371)+$AD1372</f>
        <v>0</v>
      </c>
      <c r="AF1372">
        <f>IF(AND($N1372=1,AND(LEFT(对接源_02物料!$D172,4)="包装物料",N(对接源_02物料!$K172)&lt;&gt;0)),1,0)</f>
        <v>0</v>
      </c>
      <c r="AG1372">
        <f>N(AG1371)+$AF1372</f>
        <v>10</v>
      </c>
      <c r="AH1372">
        <f>IF(AND($N1372=1,AND(对接源_02物料!$D172="周转筐－销售出库",N(对接源_02物料!$K172)&lt;&gt;0)),1,0)</f>
        <v>0</v>
      </c>
      <c r="AI1372">
        <f>N(AI1371)+$AH1372</f>
        <v>0</v>
      </c>
      <c r="AL1372" t="n">
        <v>0</v>
      </c>
      <c r="AM1372">
        <f>N(AM1371)+$AL1372</f>
        <v>2</v>
      </c>
      <c r="AN1372">
        <f>""</f>
      </c>
      <c r="AO1372" t="n">
        <v>0</v>
      </c>
      <c r="AP1372">
        <f>N(AP1371)+$AO1372</f>
        <v>13</v>
      </c>
      <c r="AR1372">
        <f>IF(OR($AF1372=1,$AH1372=1),1,0)</f>
        <v>0</v>
      </c>
      <c r="AS1372">
        <f>N(AS1371)+$AR1372</f>
        <v>10</v>
      </c>
    </row>
    <row r="1373" s="127">
      <c r="A1373" t="str">
        <f>IF(对接源_02物料!$C173="","",对接源_02物料!$C173)</f>
        <v>全修塑业</v>
      </c>
      <c r="B1373">
        <f>IF(A1373="",0,IF(MATCH(A1373,$A$4:$A$2403,0)=ROW()-3,1,0))</f>
        <v>0</v>
      </c>
      <c r="C1373">
        <f>N(C1372)+B1373</f>
        <v>25</v>
      </c>
      <c r="K1373">
        <f>IF(OR($K$1="",对接源_02物料!$C173="",对接源_02物料!$C173&lt;&gt;$K$1,对接源_02物料!$B173=""),0,IF(OR(N(对接源_02物料!$B173)&lt;$K$2,N(对接源_02物料!$B173)&gt;$K$3),0,1))</f>
        <v>0</v>
      </c>
      <c r="L1373">
        <f>IF(OR($L$1="",对接源_02物料!$C173="",对接源_02物料!$C173&lt;&gt;$L$1,对接源_02物料!$B173=""),0,IF(OR(N(对接源_02物料!$B173)&lt;$L$2,N(对接源_02物料!$B173)&gt;$L$3),0,1))</f>
        <v>0</v>
      </c>
      <c r="M1373">
        <f>IF(OR($M$1="",对接源_02物料!$C173="",对接源_02物料!$C173&lt;&gt;$M$1,对接源_02物料!$B173=""),0,IF(OR(N(对接源_02物料!$B173)&lt;$M$2,N(对接源_02物料!$B173)&gt;$M$3),0,1))</f>
        <v>0</v>
      </c>
      <c r="N1373">
        <f>IF(OR($N$1="",对接源_02物料!$C173="",对接源_02物料!$C173&lt;&gt;$N$1,对接源_02物料!$B173=""),0,IF(OR(N(对接源_02物料!$B173)&lt;$N$2,N(对接源_02物料!$B173)&gt;$N$3),0,1))</f>
        <v>0</v>
      </c>
      <c r="P1373">
        <f>IF(AND($K1373=1,AND(对接源_02物料!$X173="公司筐",N(对接源_02物料!$T173)&lt;&gt;0)),1,0)</f>
        <v>0</v>
      </c>
      <c r="Q1373">
        <f>N(Q1372)+$P1373</f>
        <v>5</v>
      </c>
      <c r="R1373">
        <f>IF(AND($K1373=1,AND(对接源_02物料!$X173="公司筐",N(对接源_02物料!$U173)&lt;&gt;0)),1,0)</f>
        <v>0</v>
      </c>
      <c r="S1373">
        <f>N(S1372)+$R1373</f>
        <v>0</v>
      </c>
      <c r="T1373">
        <f>IF(AND($K1373=1,AND(对接源_02物料!$X173="公司筐",N(对接源_02物料!$V173)&lt;&gt;0)),1,0)</f>
        <v>0</v>
      </c>
      <c r="U1373">
        <f>N(U1372)+$T1373</f>
        <v>47</v>
      </c>
      <c r="V1373">
        <f>IF(AND($L1373=1,AND(对接源_02物料!$X173="自备筐",N(对接源_02物料!$V173)&lt;&gt;0)),1,0)</f>
        <v>0</v>
      </c>
      <c r="W1373">
        <f>N(W1372)+$V1373</f>
        <v>11</v>
      </c>
      <c r="X1373">
        <f>IF(AND($L1373=1,AND(对接源_02物料!$X173="自备筐",N(对接源_02物料!$T173)&lt;&gt;0)),1,0)</f>
        <v>0</v>
      </c>
      <c r="Y1373">
        <f>N(Y1372)+$X1373</f>
        <v>0</v>
      </c>
      <c r="Z1373">
        <f>IF(AND($M1373=1,对接源_02物料!$D173="原料入库"),1,0)</f>
        <v>0</v>
      </c>
      <c r="AA1373">
        <f>N(AA1372)+$Z1373</f>
        <v>24</v>
      </c>
      <c r="AB1373">
        <f>IF(AND($M1373=1,LEFT(对接源_02物料!$D173,4)="原料出库"),1,0)</f>
        <v>0</v>
      </c>
      <c r="AC1373">
        <f>N(AC1372)+$AB1373</f>
        <v>0</v>
      </c>
      <c r="AD1373">
        <f>IF(AND($M1373=1,LEFT(对接源_02物料!$D173,4)="成品出库"),1,0)</f>
        <v>0</v>
      </c>
      <c r="AE1373">
        <f>N(AE1372)+$AD1373</f>
        <v>0</v>
      </c>
      <c r="AF1373">
        <f>IF(AND($N1373=1,AND(LEFT(对接源_02物料!$D173,4)="包装物料",N(对接源_02物料!$K173)&lt;&gt;0)),1,0)</f>
        <v>0</v>
      </c>
      <c r="AG1373">
        <f>N(AG1372)+$AF1373</f>
        <v>10</v>
      </c>
      <c r="AH1373">
        <f>IF(AND($N1373=1,AND(对接源_02物料!$D173="周转筐－销售出库",N(对接源_02物料!$K173)&lt;&gt;0)),1,0)</f>
        <v>0</v>
      </c>
      <c r="AI1373">
        <f>N(AI1372)+$AH1373</f>
        <v>0</v>
      </c>
      <c r="AL1373" t="n">
        <v>0</v>
      </c>
      <c r="AM1373">
        <f>N(AM1372)+$AL1373</f>
        <v>2</v>
      </c>
      <c r="AN1373">
        <f>""</f>
      </c>
      <c r="AO1373" t="n">
        <v>0</v>
      </c>
      <c r="AP1373">
        <f>N(AP1372)+$AO1373</f>
        <v>13</v>
      </c>
      <c r="AR1373">
        <f>IF(OR($AF1373=1,$AH1373=1),1,0)</f>
        <v>0</v>
      </c>
      <c r="AS1373">
        <f>N(AS1372)+$AR1373</f>
        <v>10</v>
      </c>
    </row>
    <row r="1374" s="127">
      <c r="A1374" t="str">
        <f>IF(对接源_02物料!$C174="","",对接源_02物料!$C174)</f>
        <v>全修塑业</v>
      </c>
      <c r="B1374">
        <f>IF(A1374="",0,IF(MATCH(A1374,$A$4:$A$2403,0)=ROW()-3,1,0))</f>
        <v>0</v>
      </c>
      <c r="C1374">
        <f>N(C1373)+B1374</f>
        <v>25</v>
      </c>
      <c r="K1374">
        <f>IF(OR($K$1="",对接源_02物料!$C174="",对接源_02物料!$C174&lt;&gt;$K$1,对接源_02物料!$B174=""),0,IF(OR(N(对接源_02物料!$B174)&lt;$K$2,N(对接源_02物料!$B174)&gt;$K$3),0,1))</f>
        <v>0</v>
      </c>
      <c r="L1374">
        <f>IF(OR($L$1="",对接源_02物料!$C174="",对接源_02物料!$C174&lt;&gt;$L$1,对接源_02物料!$B174=""),0,IF(OR(N(对接源_02物料!$B174)&lt;$L$2,N(对接源_02物料!$B174)&gt;$L$3),0,1))</f>
        <v>0</v>
      </c>
      <c r="M1374">
        <f>IF(OR($M$1="",对接源_02物料!$C174="",对接源_02物料!$C174&lt;&gt;$M$1,对接源_02物料!$B174=""),0,IF(OR(N(对接源_02物料!$B174)&lt;$M$2,N(对接源_02物料!$B174)&gt;$M$3),0,1))</f>
        <v>0</v>
      </c>
      <c r="N1374">
        <f>IF(OR($N$1="",对接源_02物料!$C174="",对接源_02物料!$C174&lt;&gt;$N$1,对接源_02物料!$B174=""),0,IF(OR(N(对接源_02物料!$B174)&lt;$N$2,N(对接源_02物料!$B174)&gt;$N$3),0,1))</f>
        <v>0</v>
      </c>
      <c r="P1374">
        <f>IF(AND($K1374=1,AND(对接源_02物料!$X174="公司筐",N(对接源_02物料!$T174)&lt;&gt;0)),1,0)</f>
        <v>0</v>
      </c>
      <c r="Q1374">
        <f>N(Q1373)+$P1374</f>
        <v>5</v>
      </c>
      <c r="R1374">
        <f>IF(AND($K1374=1,AND(对接源_02物料!$X174="公司筐",N(对接源_02物料!$U174)&lt;&gt;0)),1,0)</f>
        <v>0</v>
      </c>
      <c r="S1374">
        <f>N(S1373)+$R1374</f>
        <v>0</v>
      </c>
      <c r="T1374">
        <f>IF(AND($K1374=1,AND(对接源_02物料!$X174="公司筐",N(对接源_02物料!$V174)&lt;&gt;0)),1,0)</f>
        <v>0</v>
      </c>
      <c r="U1374">
        <f>N(U1373)+$T1374</f>
        <v>47</v>
      </c>
      <c r="V1374">
        <f>IF(AND($L1374=1,AND(对接源_02物料!$X174="自备筐",N(对接源_02物料!$V174)&lt;&gt;0)),1,0)</f>
        <v>0</v>
      </c>
      <c r="W1374">
        <f>N(W1373)+$V1374</f>
        <v>11</v>
      </c>
      <c r="X1374">
        <f>IF(AND($L1374=1,AND(对接源_02物料!$X174="自备筐",N(对接源_02物料!$T174)&lt;&gt;0)),1,0)</f>
        <v>0</v>
      </c>
      <c r="Y1374">
        <f>N(Y1373)+$X1374</f>
        <v>0</v>
      </c>
      <c r="Z1374">
        <f>IF(AND($M1374=1,对接源_02物料!$D174="原料入库"),1,0)</f>
        <v>0</v>
      </c>
      <c r="AA1374">
        <f>N(AA1373)+$Z1374</f>
        <v>24</v>
      </c>
      <c r="AB1374">
        <f>IF(AND($M1374=1,LEFT(对接源_02物料!$D174,4)="原料出库"),1,0)</f>
        <v>0</v>
      </c>
      <c r="AC1374">
        <f>N(AC1373)+$AB1374</f>
        <v>0</v>
      </c>
      <c r="AD1374">
        <f>IF(AND($M1374=1,LEFT(对接源_02物料!$D174,4)="成品出库"),1,0)</f>
        <v>0</v>
      </c>
      <c r="AE1374">
        <f>N(AE1373)+$AD1374</f>
        <v>0</v>
      </c>
      <c r="AF1374">
        <f>IF(AND($N1374=1,AND(LEFT(对接源_02物料!$D174,4)="包装物料",N(对接源_02物料!$K174)&lt;&gt;0)),1,0)</f>
        <v>0</v>
      </c>
      <c r="AG1374">
        <f>N(AG1373)+$AF1374</f>
        <v>10</v>
      </c>
      <c r="AH1374">
        <f>IF(AND($N1374=1,AND(对接源_02物料!$D174="周转筐－销售出库",N(对接源_02物料!$K174)&lt;&gt;0)),1,0)</f>
        <v>0</v>
      </c>
      <c r="AI1374">
        <f>N(AI1373)+$AH1374</f>
        <v>0</v>
      </c>
      <c r="AL1374" t="n">
        <v>0</v>
      </c>
      <c r="AM1374">
        <f>N(AM1373)+$AL1374</f>
        <v>2</v>
      </c>
      <c r="AN1374">
        <f>""</f>
      </c>
      <c r="AO1374" t="n">
        <v>0</v>
      </c>
      <c r="AP1374">
        <f>N(AP1373)+$AO1374</f>
        <v>13</v>
      </c>
      <c r="AR1374">
        <f>IF(OR($AF1374=1,$AH1374=1),1,0)</f>
        <v>0</v>
      </c>
      <c r="AS1374">
        <f>N(AS1373)+$AR1374</f>
        <v>10</v>
      </c>
    </row>
    <row r="1375" s="127">
      <c r="A1375" t="str">
        <f>IF(对接源_02物料!$C175="","",对接源_02物料!$C175)</f>
        <v>王灵云</v>
      </c>
      <c r="B1375">
        <f>IF(A1375="",0,IF(MATCH(A1375,$A$4:$A$2403,0)=ROW()-3,1,0))</f>
        <v>0</v>
      </c>
      <c r="C1375">
        <f>N(C1374)+B1375</f>
        <v>25</v>
      </c>
      <c r="K1375">
        <f>IF(OR($K$1="",对接源_02物料!$C175="",对接源_02物料!$C175&lt;&gt;$K$1,对接源_02物料!$B175=""),0,IF(OR(N(对接源_02物料!$B175)&lt;$K$2,N(对接源_02物料!$B175)&gt;$K$3),0,1))</f>
        <v>1</v>
      </c>
      <c r="L1375">
        <f>IF(OR($L$1="",对接源_02物料!$C175="",对接源_02物料!$C175&lt;&gt;$L$1,对接源_02物料!$B175=""),0,IF(OR(N(对接源_02物料!$B175)&lt;$L$2,N(对接源_02物料!$B175)&gt;$L$3),0,1))</f>
        <v>0</v>
      </c>
      <c r="M1375">
        <f>IF(OR($M$1="",对接源_02物料!$C175="",对接源_02物料!$C175&lt;&gt;$M$1,对接源_02物料!$B175=""),0,IF(OR(N(对接源_02物料!$B175)&lt;$M$2,N(对接源_02物料!$B175)&gt;$M$3),0,1))</f>
        <v>0</v>
      </c>
      <c r="N1375">
        <f>IF(OR($N$1="",对接源_02物料!$C175="",对接源_02物料!$C175&lt;&gt;$N$1,对接源_02物料!$B175=""),0,IF(OR(N(对接源_02物料!$B175)&lt;$N$2,N(对接源_02物料!$B175)&gt;$N$3),0,1))</f>
        <v>0</v>
      </c>
      <c r="P1375">
        <f>IF(AND($K1375=1,AND(对接源_02物料!$X175="公司筐",N(对接源_02物料!$T175)&lt;&gt;0)),1,0)</f>
        <v>1</v>
      </c>
      <c r="Q1375">
        <f>N(Q1374)+$P1375</f>
        <v>6</v>
      </c>
      <c r="R1375">
        <f>IF(AND($K1375=1,AND(对接源_02物料!$X175="公司筐",N(对接源_02物料!$U175)&lt;&gt;0)),1,0)</f>
        <v>0</v>
      </c>
      <c r="S1375">
        <f>N(S1374)+$R1375</f>
        <v>0</v>
      </c>
      <c r="T1375">
        <f>IF(AND($K1375=1,AND(对接源_02物料!$X175="公司筐",N(对接源_02物料!$V175)&lt;&gt;0)),1,0)</f>
        <v>0</v>
      </c>
      <c r="U1375">
        <f>N(U1374)+$T1375</f>
        <v>47</v>
      </c>
      <c r="V1375">
        <f>IF(AND($L1375=1,AND(对接源_02物料!$X175="自备筐",N(对接源_02物料!$V175)&lt;&gt;0)),1,0)</f>
        <v>0</v>
      </c>
      <c r="W1375">
        <f>N(W1374)+$V1375</f>
        <v>11</v>
      </c>
      <c r="X1375">
        <f>IF(AND($L1375=1,AND(对接源_02物料!$X175="自备筐",N(对接源_02物料!$T175)&lt;&gt;0)),1,0)</f>
        <v>0</v>
      </c>
      <c r="Y1375">
        <f>N(Y1374)+$X1375</f>
        <v>0</v>
      </c>
      <c r="Z1375">
        <f>IF(AND($M1375=1,对接源_02物料!$D175="原料入库"),1,0)</f>
        <v>0</v>
      </c>
      <c r="AA1375">
        <f>N(AA1374)+$Z1375</f>
        <v>24</v>
      </c>
      <c r="AB1375">
        <f>IF(AND($M1375=1,LEFT(对接源_02物料!$D175,4)="原料出库"),1,0)</f>
        <v>0</v>
      </c>
      <c r="AC1375">
        <f>N(AC1374)+$AB1375</f>
        <v>0</v>
      </c>
      <c r="AD1375">
        <f>IF(AND($M1375=1,LEFT(对接源_02物料!$D175,4)="成品出库"),1,0)</f>
        <v>0</v>
      </c>
      <c r="AE1375">
        <f>N(AE1374)+$AD1375</f>
        <v>0</v>
      </c>
      <c r="AF1375">
        <f>IF(AND($N1375=1,AND(LEFT(对接源_02物料!$D175,4)="包装物料",N(对接源_02物料!$K175)&lt;&gt;0)),1,0)</f>
        <v>0</v>
      </c>
      <c r="AG1375">
        <f>N(AG1374)+$AF1375</f>
        <v>10</v>
      </c>
      <c r="AH1375">
        <f>IF(AND($N1375=1,AND(对接源_02物料!$D175="周转筐－销售出库",N(对接源_02物料!$K175)&lt;&gt;0)),1,0)</f>
        <v>0</v>
      </c>
      <c r="AI1375">
        <f>N(AI1374)+$AH1375</f>
        <v>0</v>
      </c>
      <c r="AL1375" t="n">
        <v>0</v>
      </c>
      <c r="AM1375">
        <f>N(AM1374)+$AL1375</f>
        <v>2</v>
      </c>
      <c r="AN1375">
        <f>""</f>
      </c>
      <c r="AO1375" t="n">
        <v>0</v>
      </c>
      <c r="AP1375">
        <f>N(AP1374)+$AO1375</f>
        <v>13</v>
      </c>
      <c r="AR1375">
        <f>IF(OR($AF1375=1,$AH1375=1),1,0)</f>
        <v>0</v>
      </c>
      <c r="AS1375">
        <f>N(AS1374)+$AR1375</f>
        <v>10</v>
      </c>
    </row>
    <row r="1376" s="127">
      <c r="A1376" t="str">
        <f>IF(对接源_02物料!$C176="","",对接源_02物料!$C176)</f>
        <v>王照雪</v>
      </c>
      <c r="B1376">
        <f>IF(A1376="",0,IF(MATCH(A1376,$A$4:$A$2403,0)=ROW()-3,1,0))</f>
        <v>0</v>
      </c>
      <c r="C1376">
        <f>N(C1375)+B1376</f>
        <v>25</v>
      </c>
      <c r="K1376">
        <f>IF(OR($K$1="",对接源_02物料!$C176="",对接源_02物料!$C176&lt;&gt;$K$1,对接源_02物料!$B176=""),0,IF(OR(N(对接源_02物料!$B176)&lt;$K$2,N(对接源_02物料!$B176)&gt;$K$3),0,1))</f>
        <v>0</v>
      </c>
      <c r="L1376">
        <f>IF(OR($L$1="",对接源_02物料!$C176="",对接源_02物料!$C176&lt;&gt;$L$1,对接源_02物料!$B176=""),0,IF(OR(N(对接源_02物料!$B176)&lt;$L$2,N(对接源_02物料!$B176)&gt;$L$3),0,1))</f>
        <v>0</v>
      </c>
      <c r="M1376">
        <f>IF(OR($M$1="",对接源_02物料!$C176="",对接源_02物料!$C176&lt;&gt;$M$1,对接源_02物料!$B176=""),0,IF(OR(N(对接源_02物料!$B176)&lt;$M$2,N(对接源_02物料!$B176)&gt;$M$3),0,1))</f>
        <v>0</v>
      </c>
      <c r="N1376">
        <f>IF(OR($N$1="",对接源_02物料!$C176="",对接源_02物料!$C176&lt;&gt;$N$1,对接源_02物料!$B176=""),0,IF(OR(N(对接源_02物料!$B176)&lt;$N$2,N(对接源_02物料!$B176)&gt;$N$3),0,1))</f>
        <v>0</v>
      </c>
      <c r="P1376">
        <f>IF(AND($K1376=1,AND(对接源_02物料!$X176="公司筐",N(对接源_02物料!$T176)&lt;&gt;0)),1,0)</f>
        <v>0</v>
      </c>
      <c r="Q1376">
        <f>N(Q1375)+$P1376</f>
        <v>6</v>
      </c>
      <c r="R1376">
        <f>IF(AND($K1376=1,AND(对接源_02物料!$X176="公司筐",N(对接源_02物料!$U176)&lt;&gt;0)),1,0)</f>
        <v>0</v>
      </c>
      <c r="S1376">
        <f>N(S1375)+$R1376</f>
        <v>0</v>
      </c>
      <c r="T1376">
        <f>IF(AND($K1376=1,AND(对接源_02物料!$X176="公司筐",N(对接源_02物料!$V176)&lt;&gt;0)),1,0)</f>
        <v>0</v>
      </c>
      <c r="U1376">
        <f>N(U1375)+$T1376</f>
        <v>47</v>
      </c>
      <c r="V1376">
        <f>IF(AND($L1376=1,AND(对接源_02物料!$X176="自备筐",N(对接源_02物料!$V176)&lt;&gt;0)),1,0)</f>
        <v>0</v>
      </c>
      <c r="W1376">
        <f>N(W1375)+$V1376</f>
        <v>11</v>
      </c>
      <c r="X1376">
        <f>IF(AND($L1376=1,AND(对接源_02物料!$X176="自备筐",N(对接源_02物料!$T176)&lt;&gt;0)),1,0)</f>
        <v>0</v>
      </c>
      <c r="Y1376">
        <f>N(Y1375)+$X1376</f>
        <v>0</v>
      </c>
      <c r="Z1376">
        <f>IF(AND($M1376=1,对接源_02物料!$D176="原料入库"),1,0)</f>
        <v>0</v>
      </c>
      <c r="AA1376">
        <f>N(AA1375)+$Z1376</f>
        <v>24</v>
      </c>
      <c r="AB1376">
        <f>IF(AND($M1376=1,LEFT(对接源_02物料!$D176,4)="原料出库"),1,0)</f>
        <v>0</v>
      </c>
      <c r="AC1376">
        <f>N(AC1375)+$AB1376</f>
        <v>0</v>
      </c>
      <c r="AD1376">
        <f>IF(AND($M1376=1,LEFT(对接源_02物料!$D176,4)="成品出库"),1,0)</f>
        <v>0</v>
      </c>
      <c r="AE1376">
        <f>N(AE1375)+$AD1376</f>
        <v>0</v>
      </c>
      <c r="AF1376">
        <f>IF(AND($N1376=1,AND(LEFT(对接源_02物料!$D176,4)="包装物料",N(对接源_02物料!$K176)&lt;&gt;0)),1,0)</f>
        <v>0</v>
      </c>
      <c r="AG1376">
        <f>N(AG1375)+$AF1376</f>
        <v>10</v>
      </c>
      <c r="AH1376">
        <f>IF(AND($N1376=1,AND(对接源_02物料!$D176="周转筐－销售出库",N(对接源_02物料!$K176)&lt;&gt;0)),1,0)</f>
        <v>0</v>
      </c>
      <c r="AI1376">
        <f>N(AI1375)+$AH1376</f>
        <v>0</v>
      </c>
      <c r="AL1376" t="n">
        <v>0</v>
      </c>
      <c r="AM1376">
        <f>N(AM1375)+$AL1376</f>
        <v>2</v>
      </c>
      <c r="AN1376">
        <f>""</f>
      </c>
      <c r="AO1376" t="n">
        <v>0</v>
      </c>
      <c r="AP1376">
        <f>N(AP1375)+$AO1376</f>
        <v>13</v>
      </c>
      <c r="AR1376">
        <f>IF(OR($AF1376=1,$AH1376=1),1,0)</f>
        <v>0</v>
      </c>
      <c r="AS1376">
        <f>N(AS1375)+$AR1376</f>
        <v>10</v>
      </c>
    </row>
    <row r="1377" s="127">
      <c r="A1377" t="str">
        <f>IF(对接源_02物料!$C177="","",对接源_02物料!$C177)</f>
        <v>王灵云</v>
      </c>
      <c r="B1377">
        <f>IF(A1377="",0,IF(MATCH(A1377,$A$4:$A$2403,0)=ROW()-3,1,0))</f>
        <v>0</v>
      </c>
      <c r="C1377">
        <f>N(C1376)+B1377</f>
        <v>25</v>
      </c>
      <c r="K1377">
        <f>IF(OR($K$1="",对接源_02物料!$C177="",对接源_02物料!$C177&lt;&gt;$K$1,对接源_02物料!$B177=""),0,IF(OR(N(对接源_02物料!$B177)&lt;$K$2,N(对接源_02物料!$B177)&gt;$K$3),0,1))</f>
        <v>1</v>
      </c>
      <c r="L1377">
        <f>IF(OR($L$1="",对接源_02物料!$C177="",对接源_02物料!$C177&lt;&gt;$L$1,对接源_02物料!$B177=""),0,IF(OR(N(对接源_02物料!$B177)&lt;$L$2,N(对接源_02物料!$B177)&gt;$L$3),0,1))</f>
        <v>0</v>
      </c>
      <c r="M1377">
        <f>IF(OR($M$1="",对接源_02物料!$C177="",对接源_02物料!$C177&lt;&gt;$M$1,对接源_02物料!$B177=""),0,IF(OR(N(对接源_02物料!$B177)&lt;$M$2,N(对接源_02物料!$B177)&gt;$M$3),0,1))</f>
        <v>0</v>
      </c>
      <c r="N1377">
        <f>IF(OR($N$1="",对接源_02物料!$C177="",对接源_02物料!$C177&lt;&gt;$N$1,对接源_02物料!$B177=""),0,IF(OR(N(对接源_02物料!$B177)&lt;$N$2,N(对接源_02物料!$B177)&gt;$N$3),0,1))</f>
        <v>0</v>
      </c>
      <c r="P1377">
        <f>IF(AND($K1377=1,AND(对接源_02物料!$X177="公司筐",N(对接源_02物料!$T177)&lt;&gt;0)),1,0)</f>
        <v>1</v>
      </c>
      <c r="Q1377">
        <f>N(Q1376)+$P1377</f>
        <v>7</v>
      </c>
      <c r="R1377">
        <f>IF(AND($K1377=1,AND(对接源_02物料!$X177="公司筐",N(对接源_02物料!$U177)&lt;&gt;0)),1,0)</f>
        <v>0</v>
      </c>
      <c r="S1377">
        <f>N(S1376)+$R1377</f>
        <v>0</v>
      </c>
      <c r="T1377">
        <f>IF(AND($K1377=1,AND(对接源_02物料!$X177="公司筐",N(对接源_02物料!$V177)&lt;&gt;0)),1,0)</f>
        <v>0</v>
      </c>
      <c r="U1377">
        <f>N(U1376)+$T1377</f>
        <v>47</v>
      </c>
      <c r="V1377">
        <f>IF(AND($L1377=1,AND(对接源_02物料!$X177="自备筐",N(对接源_02物料!$V177)&lt;&gt;0)),1,0)</f>
        <v>0</v>
      </c>
      <c r="W1377">
        <f>N(W1376)+$V1377</f>
        <v>11</v>
      </c>
      <c r="X1377">
        <f>IF(AND($L1377=1,AND(对接源_02物料!$X177="自备筐",N(对接源_02物料!$T177)&lt;&gt;0)),1,0)</f>
        <v>0</v>
      </c>
      <c r="Y1377">
        <f>N(Y1376)+$X1377</f>
        <v>0</v>
      </c>
      <c r="Z1377">
        <f>IF(AND($M1377=1,对接源_02物料!$D177="原料入库"),1,0)</f>
        <v>0</v>
      </c>
      <c r="AA1377">
        <f>N(AA1376)+$Z1377</f>
        <v>24</v>
      </c>
      <c r="AB1377">
        <f>IF(AND($M1377=1,LEFT(对接源_02物料!$D177,4)="原料出库"),1,0)</f>
        <v>0</v>
      </c>
      <c r="AC1377">
        <f>N(AC1376)+$AB1377</f>
        <v>0</v>
      </c>
      <c r="AD1377">
        <f>IF(AND($M1377=1,LEFT(对接源_02物料!$D177,4)="成品出库"),1,0)</f>
        <v>0</v>
      </c>
      <c r="AE1377">
        <f>N(AE1376)+$AD1377</f>
        <v>0</v>
      </c>
      <c r="AF1377">
        <f>IF(AND($N1377=1,AND(LEFT(对接源_02物料!$D177,4)="包装物料",N(对接源_02物料!$K177)&lt;&gt;0)),1,0)</f>
        <v>0</v>
      </c>
      <c r="AG1377">
        <f>N(AG1376)+$AF1377</f>
        <v>10</v>
      </c>
      <c r="AH1377">
        <f>IF(AND($N1377=1,AND(对接源_02物料!$D177="周转筐－销售出库",N(对接源_02物料!$K177)&lt;&gt;0)),1,0)</f>
        <v>0</v>
      </c>
      <c r="AI1377">
        <f>N(AI1376)+$AH1377</f>
        <v>0</v>
      </c>
      <c r="AL1377" t="n">
        <v>0</v>
      </c>
      <c r="AM1377">
        <f>N(AM1376)+$AL1377</f>
        <v>2</v>
      </c>
      <c r="AN1377">
        <f>""</f>
      </c>
      <c r="AO1377" t="n">
        <v>0</v>
      </c>
      <c r="AP1377">
        <f>N(AP1376)+$AO1377</f>
        <v>13</v>
      </c>
      <c r="AR1377">
        <f>IF(OR($AF1377=1,$AH1377=1),1,0)</f>
        <v>0</v>
      </c>
      <c r="AS1377">
        <f>N(AS1376)+$AR1377</f>
        <v>10</v>
      </c>
    </row>
    <row r="1378" s="127">
      <c r="A1378" t="str">
        <f>IF(对接源_02物料!$C178="","",对接源_02物料!$C178)</f>
        <v>热合曼</v>
      </c>
      <c r="B1378">
        <f>IF(A1378="",0,IF(MATCH(A1378,$A$4:$A$2403,0)=ROW()-3,1,0))</f>
        <v>0</v>
      </c>
      <c r="C1378">
        <f>N(C1377)+B1378</f>
        <v>25</v>
      </c>
      <c r="K1378">
        <f>IF(OR($K$1="",对接源_02物料!$C178="",对接源_02物料!$C178&lt;&gt;$K$1,对接源_02物料!$B178=""),0,IF(OR(N(对接源_02物料!$B178)&lt;$K$2,N(对接源_02物料!$B178)&gt;$K$3),0,1))</f>
        <v>0</v>
      </c>
      <c r="L1378">
        <f>IF(OR($L$1="",对接源_02物料!$C178="",对接源_02物料!$C178&lt;&gt;$L$1,对接源_02物料!$B178=""),0,IF(OR(N(对接源_02物料!$B178)&lt;$L$2,N(对接源_02物料!$B178)&gt;$L$3),0,1))</f>
        <v>0</v>
      </c>
      <c r="M1378">
        <f>IF(OR($M$1="",对接源_02物料!$C178="",对接源_02物料!$C178&lt;&gt;$M$1,对接源_02物料!$B178=""),0,IF(OR(N(对接源_02物料!$B178)&lt;$M$2,N(对接源_02物料!$B178)&gt;$M$3),0,1))</f>
        <v>0</v>
      </c>
      <c r="N1378">
        <f>IF(OR($N$1="",对接源_02物料!$C178="",对接源_02物料!$C178&lt;&gt;$N$1,对接源_02物料!$B178=""),0,IF(OR(N(对接源_02物料!$B178)&lt;$N$2,N(对接源_02物料!$B178)&gt;$N$3),0,1))</f>
        <v>0</v>
      </c>
      <c r="P1378">
        <f>IF(AND($K1378=1,AND(对接源_02物料!$X178="公司筐",N(对接源_02物料!$T178)&lt;&gt;0)),1,0)</f>
        <v>0</v>
      </c>
      <c r="Q1378">
        <f>N(Q1377)+$P1378</f>
        <v>7</v>
      </c>
      <c r="R1378">
        <f>IF(AND($K1378=1,AND(对接源_02物料!$X178="公司筐",N(对接源_02物料!$U178)&lt;&gt;0)),1,0)</f>
        <v>0</v>
      </c>
      <c r="S1378">
        <f>N(S1377)+$R1378</f>
        <v>0</v>
      </c>
      <c r="T1378">
        <f>IF(AND($K1378=1,AND(对接源_02物料!$X178="公司筐",N(对接源_02物料!$V178)&lt;&gt;0)),1,0)</f>
        <v>0</v>
      </c>
      <c r="U1378">
        <f>N(U1377)+$T1378</f>
        <v>47</v>
      </c>
      <c r="V1378">
        <f>IF(AND($L1378=1,AND(对接源_02物料!$X178="自备筐",N(对接源_02物料!$V178)&lt;&gt;0)),1,0)</f>
        <v>0</v>
      </c>
      <c r="W1378">
        <f>N(W1377)+$V1378</f>
        <v>11</v>
      </c>
      <c r="X1378">
        <f>IF(AND($L1378=1,AND(对接源_02物料!$X178="自备筐",N(对接源_02物料!$T178)&lt;&gt;0)),1,0)</f>
        <v>0</v>
      </c>
      <c r="Y1378">
        <f>N(Y1377)+$X1378</f>
        <v>0</v>
      </c>
      <c r="Z1378">
        <f>IF(AND($M1378=1,对接源_02物料!$D178="原料入库"),1,0)</f>
        <v>0</v>
      </c>
      <c r="AA1378">
        <f>N(AA1377)+$Z1378</f>
        <v>24</v>
      </c>
      <c r="AB1378">
        <f>IF(AND($M1378=1,LEFT(对接源_02物料!$D178,4)="原料出库"),1,0)</f>
        <v>0</v>
      </c>
      <c r="AC1378">
        <f>N(AC1377)+$AB1378</f>
        <v>0</v>
      </c>
      <c r="AD1378">
        <f>IF(AND($M1378=1,LEFT(对接源_02物料!$D178,4)="成品出库"),1,0)</f>
        <v>0</v>
      </c>
      <c r="AE1378">
        <f>N(AE1377)+$AD1378</f>
        <v>0</v>
      </c>
      <c r="AF1378">
        <f>IF(AND($N1378=1,AND(LEFT(对接源_02物料!$D178,4)="包装物料",N(对接源_02物料!$K178)&lt;&gt;0)),1,0)</f>
        <v>0</v>
      </c>
      <c r="AG1378">
        <f>N(AG1377)+$AF1378</f>
        <v>10</v>
      </c>
      <c r="AH1378">
        <f>IF(AND($N1378=1,AND(对接源_02物料!$D178="周转筐－销售出库",N(对接源_02物料!$K178)&lt;&gt;0)),1,0)</f>
        <v>0</v>
      </c>
      <c r="AI1378">
        <f>N(AI1377)+$AH1378</f>
        <v>0</v>
      </c>
      <c r="AL1378" t="n">
        <v>0</v>
      </c>
      <c r="AM1378">
        <f>N(AM1377)+$AL1378</f>
        <v>2</v>
      </c>
      <c r="AN1378">
        <f>""</f>
      </c>
      <c r="AO1378" t="n">
        <v>0</v>
      </c>
      <c r="AP1378">
        <f>N(AP1377)+$AO1378</f>
        <v>13</v>
      </c>
      <c r="AR1378">
        <f>IF(OR($AF1378=1,$AH1378=1),1,0)</f>
        <v>0</v>
      </c>
      <c r="AS1378">
        <f>N(AS1377)+$AR1378</f>
        <v>10</v>
      </c>
    </row>
    <row r="1379" s="127">
      <c r="A1379" t="str">
        <f>IF(对接源_02物料!$C179="","",对接源_02物料!$C179)</f>
        <v>全修塑业</v>
      </c>
      <c r="B1379">
        <f>IF(A1379="",0,IF(MATCH(A1379,$A$4:$A$2403,0)=ROW()-3,1,0))</f>
        <v>0</v>
      </c>
      <c r="C1379">
        <f>N(C1378)+B1379</f>
        <v>25</v>
      </c>
      <c r="K1379">
        <f>IF(OR($K$1="",对接源_02物料!$C179="",对接源_02物料!$C179&lt;&gt;$K$1,对接源_02物料!$B179=""),0,IF(OR(N(对接源_02物料!$B179)&lt;$K$2,N(对接源_02物料!$B179)&gt;$K$3),0,1))</f>
        <v>0</v>
      </c>
      <c r="L1379">
        <f>IF(OR($L$1="",对接源_02物料!$C179="",对接源_02物料!$C179&lt;&gt;$L$1,对接源_02物料!$B179=""),0,IF(OR(N(对接源_02物料!$B179)&lt;$L$2,N(对接源_02物料!$B179)&gt;$L$3),0,1))</f>
        <v>0</v>
      </c>
      <c r="M1379">
        <f>IF(OR($M$1="",对接源_02物料!$C179="",对接源_02物料!$C179&lt;&gt;$M$1,对接源_02物料!$B179=""),0,IF(OR(N(对接源_02物料!$B179)&lt;$M$2,N(对接源_02物料!$B179)&gt;$M$3),0,1))</f>
        <v>0</v>
      </c>
      <c r="N1379">
        <f>IF(OR($N$1="",对接源_02物料!$C179="",对接源_02物料!$C179&lt;&gt;$N$1,对接源_02物料!$B179=""),0,IF(OR(N(对接源_02物料!$B179)&lt;$N$2,N(对接源_02物料!$B179)&gt;$N$3),0,1))</f>
        <v>0</v>
      </c>
      <c r="P1379">
        <f>IF(AND($K1379=1,AND(对接源_02物料!$X179="公司筐",N(对接源_02物料!$T179)&lt;&gt;0)),1,0)</f>
        <v>0</v>
      </c>
      <c r="Q1379">
        <f>N(Q1378)+$P1379</f>
        <v>7</v>
      </c>
      <c r="R1379">
        <f>IF(AND($K1379=1,AND(对接源_02物料!$X179="公司筐",N(对接源_02物料!$U179)&lt;&gt;0)),1,0)</f>
        <v>0</v>
      </c>
      <c r="S1379">
        <f>N(S1378)+$R1379</f>
        <v>0</v>
      </c>
      <c r="T1379">
        <f>IF(AND($K1379=1,AND(对接源_02物料!$X179="公司筐",N(对接源_02物料!$V179)&lt;&gt;0)),1,0)</f>
        <v>0</v>
      </c>
      <c r="U1379">
        <f>N(U1378)+$T1379</f>
        <v>47</v>
      </c>
      <c r="V1379">
        <f>IF(AND($L1379=1,AND(对接源_02物料!$X179="自备筐",N(对接源_02物料!$V179)&lt;&gt;0)),1,0)</f>
        <v>0</v>
      </c>
      <c r="W1379">
        <f>N(W1378)+$V1379</f>
        <v>11</v>
      </c>
      <c r="X1379">
        <f>IF(AND($L1379=1,AND(对接源_02物料!$X179="自备筐",N(对接源_02物料!$T179)&lt;&gt;0)),1,0)</f>
        <v>0</v>
      </c>
      <c r="Y1379">
        <f>N(Y1378)+$X1379</f>
        <v>0</v>
      </c>
      <c r="Z1379">
        <f>IF(AND($M1379=1,对接源_02物料!$D179="原料入库"),1,0)</f>
        <v>0</v>
      </c>
      <c r="AA1379">
        <f>N(AA1378)+$Z1379</f>
        <v>24</v>
      </c>
      <c r="AB1379">
        <f>IF(AND($M1379=1,LEFT(对接源_02物料!$D179,4)="原料出库"),1,0)</f>
        <v>0</v>
      </c>
      <c r="AC1379">
        <f>N(AC1378)+$AB1379</f>
        <v>0</v>
      </c>
      <c r="AD1379">
        <f>IF(AND($M1379=1,LEFT(对接源_02物料!$D179,4)="成品出库"),1,0)</f>
        <v>0</v>
      </c>
      <c r="AE1379">
        <f>N(AE1378)+$AD1379</f>
        <v>0</v>
      </c>
      <c r="AF1379">
        <f>IF(AND($N1379=1,AND(LEFT(对接源_02物料!$D179,4)="包装物料",N(对接源_02物料!$K179)&lt;&gt;0)),1,0)</f>
        <v>0</v>
      </c>
      <c r="AG1379">
        <f>N(AG1378)+$AF1379</f>
        <v>10</v>
      </c>
      <c r="AH1379">
        <f>IF(AND($N1379=1,AND(对接源_02物料!$D179="周转筐－销售出库",N(对接源_02物料!$K179)&lt;&gt;0)),1,0)</f>
        <v>0</v>
      </c>
      <c r="AI1379">
        <f>N(AI1378)+$AH1379</f>
        <v>0</v>
      </c>
      <c r="AL1379" t="n">
        <v>0</v>
      </c>
      <c r="AM1379">
        <f>N(AM1378)+$AL1379</f>
        <v>2</v>
      </c>
      <c r="AN1379">
        <f>""</f>
      </c>
      <c r="AO1379" t="n">
        <v>0</v>
      </c>
      <c r="AP1379">
        <f>N(AP1378)+$AO1379</f>
        <v>13</v>
      </c>
      <c r="AR1379">
        <f>IF(OR($AF1379=1,$AH1379=1),1,0)</f>
        <v>0</v>
      </c>
      <c r="AS1379">
        <f>N(AS1378)+$AR1379</f>
        <v>10</v>
      </c>
    </row>
    <row r="1380" s="127">
      <c r="A1380" t="str">
        <f>IF(对接源_02物料!$C180="","",对接源_02物料!$C180)</f>
        <v>努尔敦</v>
      </c>
      <c r="B1380">
        <f>IF(A1380="",0,IF(MATCH(A1380,$A$4:$A$2403,0)=ROW()-3,1,0))</f>
        <v>0</v>
      </c>
      <c r="C1380">
        <f>N(C1379)+B1380</f>
        <v>25</v>
      </c>
      <c r="K1380">
        <f>IF(OR($K$1="",对接源_02物料!$C180="",对接源_02物料!$C180&lt;&gt;$K$1,对接源_02物料!$B180=""),0,IF(OR(N(对接源_02物料!$B180)&lt;$K$2,N(对接源_02物料!$B180)&gt;$K$3),0,1))</f>
        <v>0</v>
      </c>
      <c r="L1380">
        <f>IF(OR($L$1="",对接源_02物料!$C180="",对接源_02物料!$C180&lt;&gt;$L$1,对接源_02物料!$B180=""),0,IF(OR(N(对接源_02物料!$B180)&lt;$L$2,N(对接源_02物料!$B180)&gt;$L$3),0,1))</f>
        <v>0</v>
      </c>
      <c r="M1380">
        <f>IF(OR($M$1="",对接源_02物料!$C180="",对接源_02物料!$C180&lt;&gt;$M$1,对接源_02物料!$B180=""),0,IF(OR(N(对接源_02物料!$B180)&lt;$M$2,N(对接源_02物料!$B180)&gt;$M$3),0,1))</f>
        <v>0</v>
      </c>
      <c r="N1380">
        <f>IF(OR($N$1="",对接源_02物料!$C180="",对接源_02物料!$C180&lt;&gt;$N$1,对接源_02物料!$B180=""),0,IF(OR(N(对接源_02物料!$B180)&lt;$N$2,N(对接源_02物料!$B180)&gt;$N$3),0,1))</f>
        <v>0</v>
      </c>
      <c r="P1380">
        <f>IF(AND($K1380=1,AND(对接源_02物料!$X180="公司筐",N(对接源_02物料!$T180)&lt;&gt;0)),1,0)</f>
        <v>0</v>
      </c>
      <c r="Q1380">
        <f>N(Q1379)+$P1380</f>
        <v>7</v>
      </c>
      <c r="R1380">
        <f>IF(AND($K1380=1,AND(对接源_02物料!$X180="公司筐",N(对接源_02物料!$U180)&lt;&gt;0)),1,0)</f>
        <v>0</v>
      </c>
      <c r="S1380">
        <f>N(S1379)+$R1380</f>
        <v>0</v>
      </c>
      <c r="T1380">
        <f>IF(AND($K1380=1,AND(对接源_02物料!$X180="公司筐",N(对接源_02物料!$V180)&lt;&gt;0)),1,0)</f>
        <v>0</v>
      </c>
      <c r="U1380">
        <f>N(U1379)+$T1380</f>
        <v>47</v>
      </c>
      <c r="V1380">
        <f>IF(AND($L1380=1,AND(对接源_02物料!$X180="自备筐",N(对接源_02物料!$V180)&lt;&gt;0)),1,0)</f>
        <v>0</v>
      </c>
      <c r="W1380">
        <f>N(W1379)+$V1380</f>
        <v>11</v>
      </c>
      <c r="X1380">
        <f>IF(AND($L1380=1,AND(对接源_02物料!$X180="自备筐",N(对接源_02物料!$T180)&lt;&gt;0)),1,0)</f>
        <v>0</v>
      </c>
      <c r="Y1380">
        <f>N(Y1379)+$X1380</f>
        <v>0</v>
      </c>
      <c r="Z1380">
        <f>IF(AND($M1380=1,对接源_02物料!$D180="原料入库"),1,0)</f>
        <v>0</v>
      </c>
      <c r="AA1380">
        <f>N(AA1379)+$Z1380</f>
        <v>24</v>
      </c>
      <c r="AB1380">
        <f>IF(AND($M1380=1,LEFT(对接源_02物料!$D180,4)="原料出库"),1,0)</f>
        <v>0</v>
      </c>
      <c r="AC1380">
        <f>N(AC1379)+$AB1380</f>
        <v>0</v>
      </c>
      <c r="AD1380">
        <f>IF(AND($M1380=1,LEFT(对接源_02物料!$D180,4)="成品出库"),1,0)</f>
        <v>0</v>
      </c>
      <c r="AE1380">
        <f>N(AE1379)+$AD1380</f>
        <v>0</v>
      </c>
      <c r="AF1380">
        <f>IF(AND($N1380=1,AND(LEFT(对接源_02物料!$D180,4)="包装物料",N(对接源_02物料!$K180)&lt;&gt;0)),1,0)</f>
        <v>0</v>
      </c>
      <c r="AG1380">
        <f>N(AG1379)+$AF1380</f>
        <v>10</v>
      </c>
      <c r="AH1380">
        <f>IF(AND($N1380=1,AND(对接源_02物料!$D180="周转筐－销售出库",N(对接源_02物料!$K180)&lt;&gt;0)),1,0)</f>
        <v>0</v>
      </c>
      <c r="AI1380">
        <f>N(AI1379)+$AH1380</f>
        <v>0</v>
      </c>
      <c r="AL1380" t="n">
        <v>0</v>
      </c>
      <c r="AM1380">
        <f>N(AM1379)+$AL1380</f>
        <v>2</v>
      </c>
      <c r="AN1380">
        <f>""</f>
      </c>
      <c r="AO1380" t="n">
        <v>0</v>
      </c>
      <c r="AP1380">
        <f>N(AP1379)+$AO1380</f>
        <v>13</v>
      </c>
      <c r="AR1380">
        <f>IF(OR($AF1380=1,$AH1380=1),1,0)</f>
        <v>0</v>
      </c>
      <c r="AS1380">
        <f>N(AS1379)+$AR1380</f>
        <v>10</v>
      </c>
    </row>
    <row r="1381" s="127">
      <c r="A1381" t="str">
        <f>IF(对接源_02物料!$C181="","",对接源_02物料!$C181)</f>
        <v>努尔敦</v>
      </c>
      <c r="B1381">
        <f>IF(A1381="",0,IF(MATCH(A1381,$A$4:$A$2403,0)=ROW()-3,1,0))</f>
        <v>0</v>
      </c>
      <c r="C1381">
        <f>N(C1380)+B1381</f>
        <v>25</v>
      </c>
      <c r="K1381">
        <f>IF(OR($K$1="",对接源_02物料!$C181="",对接源_02物料!$C181&lt;&gt;$K$1,对接源_02物料!$B181=""),0,IF(OR(N(对接源_02物料!$B181)&lt;$K$2,N(对接源_02物料!$B181)&gt;$K$3),0,1))</f>
        <v>0</v>
      </c>
      <c r="L1381">
        <f>IF(OR($L$1="",对接源_02物料!$C181="",对接源_02物料!$C181&lt;&gt;$L$1,对接源_02物料!$B181=""),0,IF(OR(N(对接源_02物料!$B181)&lt;$L$2,N(对接源_02物料!$B181)&gt;$L$3),0,1))</f>
        <v>0</v>
      </c>
      <c r="M1381">
        <f>IF(OR($M$1="",对接源_02物料!$C181="",对接源_02物料!$C181&lt;&gt;$M$1,对接源_02物料!$B181=""),0,IF(OR(N(对接源_02物料!$B181)&lt;$M$2,N(对接源_02物料!$B181)&gt;$M$3),0,1))</f>
        <v>0</v>
      </c>
      <c r="N1381">
        <f>IF(OR($N$1="",对接源_02物料!$C181="",对接源_02物料!$C181&lt;&gt;$N$1,对接源_02物料!$B181=""),0,IF(OR(N(对接源_02物料!$B181)&lt;$N$2,N(对接源_02物料!$B181)&gt;$N$3),0,1))</f>
        <v>0</v>
      </c>
      <c r="P1381">
        <f>IF(AND($K1381=1,AND(对接源_02物料!$X181="公司筐",N(对接源_02物料!$T181)&lt;&gt;0)),1,0)</f>
        <v>0</v>
      </c>
      <c r="Q1381">
        <f>N(Q1380)+$P1381</f>
        <v>7</v>
      </c>
      <c r="R1381">
        <f>IF(AND($K1381=1,AND(对接源_02物料!$X181="公司筐",N(对接源_02物料!$U181)&lt;&gt;0)),1,0)</f>
        <v>0</v>
      </c>
      <c r="S1381">
        <f>N(S1380)+$R1381</f>
        <v>0</v>
      </c>
      <c r="T1381">
        <f>IF(AND($K1381=1,AND(对接源_02物料!$X181="公司筐",N(对接源_02物料!$V181)&lt;&gt;0)),1,0)</f>
        <v>0</v>
      </c>
      <c r="U1381">
        <f>N(U1380)+$T1381</f>
        <v>47</v>
      </c>
      <c r="V1381">
        <f>IF(AND($L1381=1,AND(对接源_02物料!$X181="自备筐",N(对接源_02物料!$V181)&lt;&gt;0)),1,0)</f>
        <v>0</v>
      </c>
      <c r="W1381">
        <f>N(W1380)+$V1381</f>
        <v>11</v>
      </c>
      <c r="X1381">
        <f>IF(AND($L1381=1,AND(对接源_02物料!$X181="自备筐",N(对接源_02物料!$T181)&lt;&gt;0)),1,0)</f>
        <v>0</v>
      </c>
      <c r="Y1381">
        <f>N(Y1380)+$X1381</f>
        <v>0</v>
      </c>
      <c r="Z1381">
        <f>IF(AND($M1381=1,对接源_02物料!$D181="原料入库"),1,0)</f>
        <v>0</v>
      </c>
      <c r="AA1381">
        <f>N(AA1380)+$Z1381</f>
        <v>24</v>
      </c>
      <c r="AB1381">
        <f>IF(AND($M1381=1,LEFT(对接源_02物料!$D181,4)="原料出库"),1,0)</f>
        <v>0</v>
      </c>
      <c r="AC1381">
        <f>N(AC1380)+$AB1381</f>
        <v>0</v>
      </c>
      <c r="AD1381">
        <f>IF(AND($M1381=1,LEFT(对接源_02物料!$D181,4)="成品出库"),1,0)</f>
        <v>0</v>
      </c>
      <c r="AE1381">
        <f>N(AE1380)+$AD1381</f>
        <v>0</v>
      </c>
      <c r="AF1381">
        <f>IF(AND($N1381=1,AND(LEFT(对接源_02物料!$D181,4)="包装物料",N(对接源_02物料!$K181)&lt;&gt;0)),1,0)</f>
        <v>0</v>
      </c>
      <c r="AG1381">
        <f>N(AG1380)+$AF1381</f>
        <v>10</v>
      </c>
      <c r="AH1381">
        <f>IF(AND($N1381=1,AND(对接源_02物料!$D181="周转筐－销售出库",N(对接源_02物料!$K181)&lt;&gt;0)),1,0)</f>
        <v>0</v>
      </c>
      <c r="AI1381">
        <f>N(AI1380)+$AH1381</f>
        <v>0</v>
      </c>
      <c r="AL1381" t="n">
        <v>0</v>
      </c>
      <c r="AM1381">
        <f>N(AM1380)+$AL1381</f>
        <v>2</v>
      </c>
      <c r="AN1381">
        <f>""</f>
      </c>
      <c r="AO1381" t="n">
        <v>0</v>
      </c>
      <c r="AP1381">
        <f>N(AP1380)+$AO1381</f>
        <v>13</v>
      </c>
      <c r="AR1381">
        <f>IF(OR($AF1381=1,$AH1381=1),1,0)</f>
        <v>0</v>
      </c>
      <c r="AS1381">
        <f>N(AS1380)+$AR1381</f>
        <v>10</v>
      </c>
    </row>
    <row r="1382" s="127">
      <c r="A1382" t="str">
        <f>IF(对接源_02物料!$C182="","",对接源_02物料!$C182)</f>
        <v>王照雪</v>
      </c>
      <c r="B1382">
        <f>IF(A1382="",0,IF(MATCH(A1382,$A$4:$A$2403,0)=ROW()-3,1,0))</f>
        <v>0</v>
      </c>
      <c r="C1382">
        <f>N(C1381)+B1382</f>
        <v>25</v>
      </c>
      <c r="K1382">
        <f>IF(OR($K$1="",对接源_02物料!$C182="",对接源_02物料!$C182&lt;&gt;$K$1,对接源_02物料!$B182=""),0,IF(OR(N(对接源_02物料!$B182)&lt;$K$2,N(对接源_02物料!$B182)&gt;$K$3),0,1))</f>
        <v>0</v>
      </c>
      <c r="L1382">
        <f>IF(OR($L$1="",对接源_02物料!$C182="",对接源_02物料!$C182&lt;&gt;$L$1,对接源_02物料!$B182=""),0,IF(OR(N(对接源_02物料!$B182)&lt;$L$2,N(对接源_02物料!$B182)&gt;$L$3),0,1))</f>
        <v>0</v>
      </c>
      <c r="M1382">
        <f>IF(OR($M$1="",对接源_02物料!$C182="",对接源_02物料!$C182&lt;&gt;$M$1,对接源_02物料!$B182=""),0,IF(OR(N(对接源_02物料!$B182)&lt;$M$2,N(对接源_02物料!$B182)&gt;$M$3),0,1))</f>
        <v>0</v>
      </c>
      <c r="N1382">
        <f>IF(OR($N$1="",对接源_02物料!$C182="",对接源_02物料!$C182&lt;&gt;$N$1,对接源_02物料!$B182=""),0,IF(OR(N(对接源_02物料!$B182)&lt;$N$2,N(对接源_02物料!$B182)&gt;$N$3),0,1))</f>
        <v>0</v>
      </c>
      <c r="P1382">
        <f>IF(AND($K1382=1,AND(对接源_02物料!$X182="公司筐",N(对接源_02物料!$T182)&lt;&gt;0)),1,0)</f>
        <v>0</v>
      </c>
      <c r="Q1382">
        <f>N(Q1381)+$P1382</f>
        <v>7</v>
      </c>
      <c r="R1382">
        <f>IF(AND($K1382=1,AND(对接源_02物料!$X182="公司筐",N(对接源_02物料!$U182)&lt;&gt;0)),1,0)</f>
        <v>0</v>
      </c>
      <c r="S1382">
        <f>N(S1381)+$R1382</f>
        <v>0</v>
      </c>
      <c r="T1382">
        <f>IF(AND($K1382=1,AND(对接源_02物料!$X182="公司筐",N(对接源_02物料!$V182)&lt;&gt;0)),1,0)</f>
        <v>0</v>
      </c>
      <c r="U1382">
        <f>N(U1381)+$T1382</f>
        <v>47</v>
      </c>
      <c r="V1382">
        <f>IF(AND($L1382=1,AND(对接源_02物料!$X182="自备筐",N(对接源_02物料!$V182)&lt;&gt;0)),1,0)</f>
        <v>0</v>
      </c>
      <c r="W1382">
        <f>N(W1381)+$V1382</f>
        <v>11</v>
      </c>
      <c r="X1382">
        <f>IF(AND($L1382=1,AND(对接源_02物料!$X182="自备筐",N(对接源_02物料!$T182)&lt;&gt;0)),1,0)</f>
        <v>0</v>
      </c>
      <c r="Y1382">
        <f>N(Y1381)+$X1382</f>
        <v>0</v>
      </c>
      <c r="Z1382">
        <f>IF(AND($M1382=1,对接源_02物料!$D182="原料入库"),1,0)</f>
        <v>0</v>
      </c>
      <c r="AA1382">
        <f>N(AA1381)+$Z1382</f>
        <v>24</v>
      </c>
      <c r="AB1382">
        <f>IF(AND($M1382=1,LEFT(对接源_02物料!$D182,4)="原料出库"),1,0)</f>
        <v>0</v>
      </c>
      <c r="AC1382">
        <f>N(AC1381)+$AB1382</f>
        <v>0</v>
      </c>
      <c r="AD1382">
        <f>IF(AND($M1382=1,LEFT(对接源_02物料!$D182,4)="成品出库"),1,0)</f>
        <v>0</v>
      </c>
      <c r="AE1382">
        <f>N(AE1381)+$AD1382</f>
        <v>0</v>
      </c>
      <c r="AF1382">
        <f>IF(AND($N1382=1,AND(LEFT(对接源_02物料!$D182,4)="包装物料",N(对接源_02物料!$K182)&lt;&gt;0)),1,0)</f>
        <v>0</v>
      </c>
      <c r="AG1382">
        <f>N(AG1381)+$AF1382</f>
        <v>10</v>
      </c>
      <c r="AH1382">
        <f>IF(AND($N1382=1,AND(对接源_02物料!$D182="周转筐－销售出库",N(对接源_02物料!$K182)&lt;&gt;0)),1,0)</f>
        <v>0</v>
      </c>
      <c r="AI1382">
        <f>N(AI1381)+$AH1382</f>
        <v>0</v>
      </c>
      <c r="AL1382" t="n">
        <v>0</v>
      </c>
      <c r="AM1382">
        <f>N(AM1381)+$AL1382</f>
        <v>2</v>
      </c>
      <c r="AN1382">
        <f>""</f>
      </c>
      <c r="AO1382" t="n">
        <v>0</v>
      </c>
      <c r="AP1382">
        <f>N(AP1381)+$AO1382</f>
        <v>13</v>
      </c>
      <c r="AR1382">
        <f>IF(OR($AF1382=1,$AH1382=1),1,0)</f>
        <v>0</v>
      </c>
      <c r="AS1382">
        <f>N(AS1381)+$AR1382</f>
        <v>10</v>
      </c>
    </row>
    <row r="1383" s="127">
      <c r="A1383" t="str">
        <f>IF(对接源_02物料!$C183="","",对接源_02物料!$C183)</f>
        <v>王照雪</v>
      </c>
      <c r="B1383">
        <f>IF(A1383="",0,IF(MATCH(A1383,$A$4:$A$2403,0)=ROW()-3,1,0))</f>
        <v>0</v>
      </c>
      <c r="C1383">
        <f>N(C1382)+B1383</f>
        <v>25</v>
      </c>
      <c r="K1383">
        <f>IF(OR($K$1="",对接源_02物料!$C183="",对接源_02物料!$C183&lt;&gt;$K$1,对接源_02物料!$B183=""),0,IF(OR(N(对接源_02物料!$B183)&lt;$K$2,N(对接源_02物料!$B183)&gt;$K$3),0,1))</f>
        <v>0</v>
      </c>
      <c r="L1383">
        <f>IF(OR($L$1="",对接源_02物料!$C183="",对接源_02物料!$C183&lt;&gt;$L$1,对接源_02物料!$B183=""),0,IF(OR(N(对接源_02物料!$B183)&lt;$L$2,N(对接源_02物料!$B183)&gt;$L$3),0,1))</f>
        <v>0</v>
      </c>
      <c r="M1383">
        <f>IF(OR($M$1="",对接源_02物料!$C183="",对接源_02物料!$C183&lt;&gt;$M$1,对接源_02物料!$B183=""),0,IF(OR(N(对接源_02物料!$B183)&lt;$M$2,N(对接源_02物料!$B183)&gt;$M$3),0,1))</f>
        <v>0</v>
      </c>
      <c r="N1383">
        <f>IF(OR($N$1="",对接源_02物料!$C183="",对接源_02物料!$C183&lt;&gt;$N$1,对接源_02物料!$B183=""),0,IF(OR(N(对接源_02物料!$B183)&lt;$N$2,N(对接源_02物料!$B183)&gt;$N$3),0,1))</f>
        <v>0</v>
      </c>
      <c r="P1383">
        <f>IF(AND($K1383=1,AND(对接源_02物料!$X183="公司筐",N(对接源_02物料!$T183)&lt;&gt;0)),1,0)</f>
        <v>0</v>
      </c>
      <c r="Q1383">
        <f>N(Q1382)+$P1383</f>
        <v>7</v>
      </c>
      <c r="R1383">
        <f>IF(AND($K1383=1,AND(对接源_02物料!$X183="公司筐",N(对接源_02物料!$U183)&lt;&gt;0)),1,0)</f>
        <v>0</v>
      </c>
      <c r="S1383">
        <f>N(S1382)+$R1383</f>
        <v>0</v>
      </c>
      <c r="T1383">
        <f>IF(AND($K1383=1,AND(对接源_02物料!$X183="公司筐",N(对接源_02物料!$V183)&lt;&gt;0)),1,0)</f>
        <v>0</v>
      </c>
      <c r="U1383">
        <f>N(U1382)+$T1383</f>
        <v>47</v>
      </c>
      <c r="V1383">
        <f>IF(AND($L1383=1,AND(对接源_02物料!$X183="自备筐",N(对接源_02物料!$V183)&lt;&gt;0)),1,0)</f>
        <v>0</v>
      </c>
      <c r="W1383">
        <f>N(W1382)+$V1383</f>
        <v>11</v>
      </c>
      <c r="X1383">
        <f>IF(AND($L1383=1,AND(对接源_02物料!$X183="自备筐",N(对接源_02物料!$T183)&lt;&gt;0)),1,0)</f>
        <v>0</v>
      </c>
      <c r="Y1383">
        <f>N(Y1382)+$X1383</f>
        <v>0</v>
      </c>
      <c r="Z1383">
        <f>IF(AND($M1383=1,对接源_02物料!$D183="原料入库"),1,0)</f>
        <v>0</v>
      </c>
      <c r="AA1383">
        <f>N(AA1382)+$Z1383</f>
        <v>24</v>
      </c>
      <c r="AB1383">
        <f>IF(AND($M1383=1,LEFT(对接源_02物料!$D183,4)="原料出库"),1,0)</f>
        <v>0</v>
      </c>
      <c r="AC1383">
        <f>N(AC1382)+$AB1383</f>
        <v>0</v>
      </c>
      <c r="AD1383">
        <f>IF(AND($M1383=1,LEFT(对接源_02物料!$D183,4)="成品出库"),1,0)</f>
        <v>0</v>
      </c>
      <c r="AE1383">
        <f>N(AE1382)+$AD1383</f>
        <v>0</v>
      </c>
      <c r="AF1383">
        <f>IF(AND($N1383=1,AND(LEFT(对接源_02物料!$D183,4)="包装物料",N(对接源_02物料!$K183)&lt;&gt;0)),1,0)</f>
        <v>0</v>
      </c>
      <c r="AG1383">
        <f>N(AG1382)+$AF1383</f>
        <v>10</v>
      </c>
      <c r="AH1383">
        <f>IF(AND($N1383=1,AND(对接源_02物料!$D183="周转筐－销售出库",N(对接源_02物料!$K183)&lt;&gt;0)),1,0)</f>
        <v>0</v>
      </c>
      <c r="AI1383">
        <f>N(AI1382)+$AH1383</f>
        <v>0</v>
      </c>
      <c r="AL1383" t="n">
        <v>0</v>
      </c>
      <c r="AM1383">
        <f>N(AM1382)+$AL1383</f>
        <v>2</v>
      </c>
      <c r="AN1383">
        <f>""</f>
      </c>
      <c r="AO1383" t="n">
        <v>0</v>
      </c>
      <c r="AP1383">
        <f>N(AP1382)+$AO1383</f>
        <v>13</v>
      </c>
      <c r="AR1383">
        <f>IF(OR($AF1383=1,$AH1383=1),1,0)</f>
        <v>0</v>
      </c>
      <c r="AS1383">
        <f>N(AS1382)+$AR1383</f>
        <v>10</v>
      </c>
    </row>
    <row r="1384" s="127">
      <c r="A1384" t="str">
        <f>IF(对接源_02物料!$C184="","",对接源_02物料!$C184)</f>
        <v>全修塑业</v>
      </c>
      <c r="B1384">
        <f>IF(A1384="",0,IF(MATCH(A1384,$A$4:$A$2403,0)=ROW()-3,1,0))</f>
        <v>0</v>
      </c>
      <c r="C1384">
        <f>N(C1383)+B1384</f>
        <v>25</v>
      </c>
      <c r="K1384">
        <f>IF(OR($K$1="",对接源_02物料!$C184="",对接源_02物料!$C184&lt;&gt;$K$1,对接源_02物料!$B184=""),0,IF(OR(N(对接源_02物料!$B184)&lt;$K$2,N(对接源_02物料!$B184)&gt;$K$3),0,1))</f>
        <v>0</v>
      </c>
      <c r="L1384">
        <f>IF(OR($L$1="",对接源_02物料!$C184="",对接源_02物料!$C184&lt;&gt;$L$1,对接源_02物料!$B184=""),0,IF(OR(N(对接源_02物料!$B184)&lt;$L$2,N(对接源_02物料!$B184)&gt;$L$3),0,1))</f>
        <v>0</v>
      </c>
      <c r="M1384">
        <f>IF(OR($M$1="",对接源_02物料!$C184="",对接源_02物料!$C184&lt;&gt;$M$1,对接源_02物料!$B184=""),0,IF(OR(N(对接源_02物料!$B184)&lt;$M$2,N(对接源_02物料!$B184)&gt;$M$3),0,1))</f>
        <v>0</v>
      </c>
      <c r="N1384">
        <f>IF(OR($N$1="",对接源_02物料!$C184="",对接源_02物料!$C184&lt;&gt;$N$1,对接源_02物料!$B184=""),0,IF(OR(N(对接源_02物料!$B184)&lt;$N$2,N(对接源_02物料!$B184)&gt;$N$3),0,1))</f>
        <v>0</v>
      </c>
      <c r="P1384">
        <f>IF(AND($K1384=1,AND(对接源_02物料!$X184="公司筐",N(对接源_02物料!$T184)&lt;&gt;0)),1,0)</f>
        <v>0</v>
      </c>
      <c r="Q1384">
        <f>N(Q1383)+$P1384</f>
        <v>7</v>
      </c>
      <c r="R1384">
        <f>IF(AND($K1384=1,AND(对接源_02物料!$X184="公司筐",N(对接源_02物料!$U184)&lt;&gt;0)),1,0)</f>
        <v>0</v>
      </c>
      <c r="S1384">
        <f>N(S1383)+$R1384</f>
        <v>0</v>
      </c>
      <c r="T1384">
        <f>IF(AND($K1384=1,AND(对接源_02物料!$X184="公司筐",N(对接源_02物料!$V184)&lt;&gt;0)),1,0)</f>
        <v>0</v>
      </c>
      <c r="U1384">
        <f>N(U1383)+$T1384</f>
        <v>47</v>
      </c>
      <c r="V1384">
        <f>IF(AND($L1384=1,AND(对接源_02物料!$X184="自备筐",N(对接源_02物料!$V184)&lt;&gt;0)),1,0)</f>
        <v>0</v>
      </c>
      <c r="W1384">
        <f>N(W1383)+$V1384</f>
        <v>11</v>
      </c>
      <c r="X1384">
        <f>IF(AND($L1384=1,AND(对接源_02物料!$X184="自备筐",N(对接源_02物料!$T184)&lt;&gt;0)),1,0)</f>
        <v>0</v>
      </c>
      <c r="Y1384">
        <f>N(Y1383)+$X1384</f>
        <v>0</v>
      </c>
      <c r="Z1384">
        <f>IF(AND($M1384=1,对接源_02物料!$D184="原料入库"),1,0)</f>
        <v>0</v>
      </c>
      <c r="AA1384">
        <f>N(AA1383)+$Z1384</f>
        <v>24</v>
      </c>
      <c r="AB1384">
        <f>IF(AND($M1384=1,LEFT(对接源_02物料!$D184,4)="原料出库"),1,0)</f>
        <v>0</v>
      </c>
      <c r="AC1384">
        <f>N(AC1383)+$AB1384</f>
        <v>0</v>
      </c>
      <c r="AD1384">
        <f>IF(AND($M1384=1,LEFT(对接源_02物料!$D184,4)="成品出库"),1,0)</f>
        <v>0</v>
      </c>
      <c r="AE1384">
        <f>N(AE1383)+$AD1384</f>
        <v>0</v>
      </c>
      <c r="AF1384">
        <f>IF(AND($N1384=1,AND(LEFT(对接源_02物料!$D184,4)="包装物料",N(对接源_02物料!$K184)&lt;&gt;0)),1,0)</f>
        <v>0</v>
      </c>
      <c r="AG1384">
        <f>N(AG1383)+$AF1384</f>
        <v>10</v>
      </c>
      <c r="AH1384">
        <f>IF(AND($N1384=1,AND(对接源_02物料!$D184="周转筐－销售出库",N(对接源_02物料!$K184)&lt;&gt;0)),1,0)</f>
        <v>0</v>
      </c>
      <c r="AI1384">
        <f>N(AI1383)+$AH1384</f>
        <v>0</v>
      </c>
      <c r="AL1384" t="n">
        <v>0</v>
      </c>
      <c r="AM1384">
        <f>N(AM1383)+$AL1384</f>
        <v>2</v>
      </c>
      <c r="AN1384">
        <f>""</f>
      </c>
      <c r="AO1384" t="n">
        <v>0</v>
      </c>
      <c r="AP1384">
        <f>N(AP1383)+$AO1384</f>
        <v>13</v>
      </c>
      <c r="AR1384">
        <f>IF(OR($AF1384=1,$AH1384=1),1,0)</f>
        <v>0</v>
      </c>
      <c r="AS1384">
        <f>N(AS1383)+$AR1384</f>
        <v>10</v>
      </c>
    </row>
    <row r="1385" s="127">
      <c r="A1385" t="str">
        <f>IF(对接源_02物料!$C185="","",对接源_02物料!$C185)</f>
        <v>桂疆</v>
      </c>
      <c r="B1385">
        <f>IF(A1385="",0,IF(MATCH(A1385,$A$4:$A$2403,0)=ROW()-3,1,0))</f>
        <v>1</v>
      </c>
      <c r="C1385">
        <f>N(C1384)+B1385</f>
        <v>26</v>
      </c>
      <c r="K1385">
        <f>IF(OR($K$1="",对接源_02物料!$C185="",对接源_02物料!$C185&lt;&gt;$K$1,对接源_02物料!$B185=""),0,IF(OR(N(对接源_02物料!$B185)&lt;$K$2,N(对接源_02物料!$B185)&gt;$K$3),0,1))</f>
        <v>0</v>
      </c>
      <c r="L1385">
        <f>IF(OR($L$1="",对接源_02物料!$C185="",对接源_02物料!$C185&lt;&gt;$L$1,对接源_02物料!$B185=""),0,IF(OR(N(对接源_02物料!$B185)&lt;$L$2,N(对接源_02物料!$B185)&gt;$L$3),0,1))</f>
        <v>0</v>
      </c>
      <c r="M1385">
        <f>IF(OR($M$1="",对接源_02物料!$C185="",对接源_02物料!$C185&lt;&gt;$M$1,对接源_02物料!$B185=""),0,IF(OR(N(对接源_02物料!$B185)&lt;$M$2,N(对接源_02物料!$B185)&gt;$M$3),0,1))</f>
        <v>0</v>
      </c>
      <c r="N1385">
        <f>IF(OR($N$1="",对接源_02物料!$C185="",对接源_02物料!$C185&lt;&gt;$N$1,对接源_02物料!$B185=""),0,IF(OR(N(对接源_02物料!$B185)&lt;$N$2,N(对接源_02物料!$B185)&gt;$N$3),0,1))</f>
        <v>0</v>
      </c>
      <c r="P1385">
        <f>IF(AND($K1385=1,AND(对接源_02物料!$X185="公司筐",N(对接源_02物料!$T185)&lt;&gt;0)),1,0)</f>
        <v>0</v>
      </c>
      <c r="Q1385">
        <f>N(Q1384)+$P1385</f>
        <v>7</v>
      </c>
      <c r="R1385">
        <f>IF(AND($K1385=1,AND(对接源_02物料!$X185="公司筐",N(对接源_02物料!$U185)&lt;&gt;0)),1,0)</f>
        <v>0</v>
      </c>
      <c r="S1385">
        <f>N(S1384)+$R1385</f>
        <v>0</v>
      </c>
      <c r="T1385">
        <f>IF(AND($K1385=1,AND(对接源_02物料!$X185="公司筐",N(对接源_02物料!$V185)&lt;&gt;0)),1,0)</f>
        <v>0</v>
      </c>
      <c r="U1385">
        <f>N(U1384)+$T1385</f>
        <v>47</v>
      </c>
      <c r="V1385">
        <f>IF(AND($L1385=1,AND(对接源_02物料!$X185="自备筐",N(对接源_02物料!$V185)&lt;&gt;0)),1,0)</f>
        <v>0</v>
      </c>
      <c r="W1385">
        <f>N(W1384)+$V1385</f>
        <v>11</v>
      </c>
      <c r="X1385">
        <f>IF(AND($L1385=1,AND(对接源_02物料!$X185="自备筐",N(对接源_02物料!$T185)&lt;&gt;0)),1,0)</f>
        <v>0</v>
      </c>
      <c r="Y1385">
        <f>N(Y1384)+$X1385</f>
        <v>0</v>
      </c>
      <c r="Z1385">
        <f>IF(AND($M1385=1,对接源_02物料!$D185="原料入库"),1,0)</f>
        <v>0</v>
      </c>
      <c r="AA1385">
        <f>N(AA1384)+$Z1385</f>
        <v>24</v>
      </c>
      <c r="AB1385">
        <f>IF(AND($M1385=1,LEFT(对接源_02物料!$D185,4)="原料出库"),1,0)</f>
        <v>0</v>
      </c>
      <c r="AC1385">
        <f>N(AC1384)+$AB1385</f>
        <v>0</v>
      </c>
      <c r="AD1385">
        <f>IF(AND($M1385=1,LEFT(对接源_02物料!$D185,4)="成品出库"),1,0)</f>
        <v>0</v>
      </c>
      <c r="AE1385">
        <f>N(AE1384)+$AD1385</f>
        <v>0</v>
      </c>
      <c r="AF1385">
        <f>IF(AND($N1385=1,AND(LEFT(对接源_02物料!$D185,4)="包装物料",N(对接源_02物料!$K185)&lt;&gt;0)),1,0)</f>
        <v>0</v>
      </c>
      <c r="AG1385">
        <f>N(AG1384)+$AF1385</f>
        <v>10</v>
      </c>
      <c r="AH1385">
        <f>IF(AND($N1385=1,AND(对接源_02物料!$D185="周转筐－销售出库",N(对接源_02物料!$K185)&lt;&gt;0)),1,0)</f>
        <v>0</v>
      </c>
      <c r="AI1385">
        <f>N(AI1384)+$AH1385</f>
        <v>0</v>
      </c>
      <c r="AL1385" t="n">
        <v>0</v>
      </c>
      <c r="AM1385">
        <f>N(AM1384)+$AL1385</f>
        <v>2</v>
      </c>
      <c r="AN1385">
        <f>""</f>
      </c>
      <c r="AO1385" t="n">
        <v>0</v>
      </c>
      <c r="AP1385">
        <f>N(AP1384)+$AO1385</f>
        <v>13</v>
      </c>
      <c r="AR1385">
        <f>IF(OR($AF1385=1,$AH1385=1),1,0)</f>
        <v>0</v>
      </c>
      <c r="AS1385">
        <f>N(AS1384)+$AR1385</f>
        <v>10</v>
      </c>
    </row>
    <row r="1386" s="127">
      <c r="A1386" t="str">
        <f>IF(对接源_02物料!$C186="","",对接源_02物料!$C186)</f>
        <v>王灵云</v>
      </c>
      <c r="B1386">
        <f>IF(A1386="",0,IF(MATCH(A1386,$A$4:$A$2403,0)=ROW()-3,1,0))</f>
        <v>0</v>
      </c>
      <c r="C1386">
        <f>N(C1385)+B1386</f>
        <v>26</v>
      </c>
      <c r="K1386">
        <f>IF(OR($K$1="",对接源_02物料!$C186="",对接源_02物料!$C186&lt;&gt;$K$1,对接源_02物料!$B186=""),0,IF(OR(N(对接源_02物料!$B186)&lt;$K$2,N(对接源_02物料!$B186)&gt;$K$3),0,1))</f>
        <v>1</v>
      </c>
      <c r="L1386">
        <f>IF(OR($L$1="",对接源_02物料!$C186="",对接源_02物料!$C186&lt;&gt;$L$1,对接源_02物料!$B186=""),0,IF(OR(N(对接源_02物料!$B186)&lt;$L$2,N(对接源_02物料!$B186)&gt;$L$3),0,1))</f>
        <v>0</v>
      </c>
      <c r="M1386">
        <f>IF(OR($M$1="",对接源_02物料!$C186="",对接源_02物料!$C186&lt;&gt;$M$1,对接源_02物料!$B186=""),0,IF(OR(N(对接源_02物料!$B186)&lt;$M$2,N(对接源_02物料!$B186)&gt;$M$3),0,1))</f>
        <v>0</v>
      </c>
      <c r="N1386">
        <f>IF(OR($N$1="",对接源_02物料!$C186="",对接源_02物料!$C186&lt;&gt;$N$1,对接源_02物料!$B186=""),0,IF(OR(N(对接源_02物料!$B186)&lt;$N$2,N(对接源_02物料!$B186)&gt;$N$3),0,1))</f>
        <v>0</v>
      </c>
      <c r="P1386">
        <f>IF(AND($K1386=1,AND(对接源_02物料!$X186="公司筐",N(对接源_02物料!$T186)&lt;&gt;0)),1,0)</f>
        <v>1</v>
      </c>
      <c r="Q1386">
        <f>N(Q1385)+$P1386</f>
        <v>8</v>
      </c>
      <c r="R1386">
        <f>IF(AND($K1386=1,AND(对接源_02物料!$X186="公司筐",N(对接源_02物料!$U186)&lt;&gt;0)),1,0)</f>
        <v>0</v>
      </c>
      <c r="S1386">
        <f>N(S1385)+$R1386</f>
        <v>0</v>
      </c>
      <c r="T1386">
        <f>IF(AND($K1386=1,AND(对接源_02物料!$X186="公司筐",N(对接源_02物料!$V186)&lt;&gt;0)),1,0)</f>
        <v>0</v>
      </c>
      <c r="U1386">
        <f>N(U1385)+$T1386</f>
        <v>47</v>
      </c>
      <c r="V1386">
        <f>IF(AND($L1386=1,AND(对接源_02物料!$X186="自备筐",N(对接源_02物料!$V186)&lt;&gt;0)),1,0)</f>
        <v>0</v>
      </c>
      <c r="W1386">
        <f>N(W1385)+$V1386</f>
        <v>11</v>
      </c>
      <c r="X1386">
        <f>IF(AND($L1386=1,AND(对接源_02物料!$X186="自备筐",N(对接源_02物料!$T186)&lt;&gt;0)),1,0)</f>
        <v>0</v>
      </c>
      <c r="Y1386">
        <f>N(Y1385)+$X1386</f>
        <v>0</v>
      </c>
      <c r="Z1386">
        <f>IF(AND($M1386=1,对接源_02物料!$D186="原料入库"),1,0)</f>
        <v>0</v>
      </c>
      <c r="AA1386">
        <f>N(AA1385)+$Z1386</f>
        <v>24</v>
      </c>
      <c r="AB1386">
        <f>IF(AND($M1386=1,LEFT(对接源_02物料!$D186,4)="原料出库"),1,0)</f>
        <v>0</v>
      </c>
      <c r="AC1386">
        <f>N(AC1385)+$AB1386</f>
        <v>0</v>
      </c>
      <c r="AD1386">
        <f>IF(AND($M1386=1,LEFT(对接源_02物料!$D186,4)="成品出库"),1,0)</f>
        <v>0</v>
      </c>
      <c r="AE1386">
        <f>N(AE1385)+$AD1386</f>
        <v>0</v>
      </c>
      <c r="AF1386">
        <f>IF(AND($N1386=1,AND(LEFT(对接源_02物料!$D186,4)="包装物料",N(对接源_02物料!$K186)&lt;&gt;0)),1,0)</f>
        <v>0</v>
      </c>
      <c r="AG1386">
        <f>N(AG1385)+$AF1386</f>
        <v>10</v>
      </c>
      <c r="AH1386">
        <f>IF(AND($N1386=1,AND(对接源_02物料!$D186="周转筐－销售出库",N(对接源_02物料!$K186)&lt;&gt;0)),1,0)</f>
        <v>0</v>
      </c>
      <c r="AI1386">
        <f>N(AI1385)+$AH1386</f>
        <v>0</v>
      </c>
      <c r="AL1386" t="n">
        <v>0</v>
      </c>
      <c r="AM1386">
        <f>N(AM1385)+$AL1386</f>
        <v>2</v>
      </c>
      <c r="AN1386">
        <f>""</f>
      </c>
      <c r="AO1386" t="n">
        <v>0</v>
      </c>
      <c r="AP1386">
        <f>N(AP1385)+$AO1386</f>
        <v>13</v>
      </c>
      <c r="AR1386">
        <f>IF(OR($AF1386=1,$AH1386=1),1,0)</f>
        <v>0</v>
      </c>
      <c r="AS1386">
        <f>N(AS1385)+$AR1386</f>
        <v>10</v>
      </c>
    </row>
    <row r="1387" s="127">
      <c r="A1387" t="str">
        <f>IF(对接源_02物料!$C187="","",对接源_02物料!$C187)</f>
        <v>王照雪</v>
      </c>
      <c r="B1387">
        <f>IF(A1387="",0,IF(MATCH(A1387,$A$4:$A$2403,0)=ROW()-3,1,0))</f>
        <v>0</v>
      </c>
      <c r="C1387">
        <f>N(C1386)+B1387</f>
        <v>26</v>
      </c>
      <c r="K1387">
        <f>IF(OR($K$1="",对接源_02物料!$C187="",对接源_02物料!$C187&lt;&gt;$K$1,对接源_02物料!$B187=""),0,IF(OR(N(对接源_02物料!$B187)&lt;$K$2,N(对接源_02物料!$B187)&gt;$K$3),0,1))</f>
        <v>0</v>
      </c>
      <c r="L1387">
        <f>IF(OR($L$1="",对接源_02物料!$C187="",对接源_02物料!$C187&lt;&gt;$L$1,对接源_02物料!$B187=""),0,IF(OR(N(对接源_02物料!$B187)&lt;$L$2,N(对接源_02物料!$B187)&gt;$L$3),0,1))</f>
        <v>0</v>
      </c>
      <c r="M1387">
        <f>IF(OR($M$1="",对接源_02物料!$C187="",对接源_02物料!$C187&lt;&gt;$M$1,对接源_02物料!$B187=""),0,IF(OR(N(对接源_02物料!$B187)&lt;$M$2,N(对接源_02物料!$B187)&gt;$M$3),0,1))</f>
        <v>0</v>
      </c>
      <c r="N1387">
        <f>IF(OR($N$1="",对接源_02物料!$C187="",对接源_02物料!$C187&lt;&gt;$N$1,对接源_02物料!$B187=""),0,IF(OR(N(对接源_02物料!$B187)&lt;$N$2,N(对接源_02物料!$B187)&gt;$N$3),0,1))</f>
        <v>0</v>
      </c>
      <c r="P1387">
        <f>IF(AND($K1387=1,AND(对接源_02物料!$X187="公司筐",N(对接源_02物料!$T187)&lt;&gt;0)),1,0)</f>
        <v>0</v>
      </c>
      <c r="Q1387">
        <f>N(Q1386)+$P1387</f>
        <v>8</v>
      </c>
      <c r="R1387">
        <f>IF(AND($K1387=1,AND(对接源_02物料!$X187="公司筐",N(对接源_02物料!$U187)&lt;&gt;0)),1,0)</f>
        <v>0</v>
      </c>
      <c r="S1387">
        <f>N(S1386)+$R1387</f>
        <v>0</v>
      </c>
      <c r="T1387">
        <f>IF(AND($K1387=1,AND(对接源_02物料!$X187="公司筐",N(对接源_02物料!$V187)&lt;&gt;0)),1,0)</f>
        <v>0</v>
      </c>
      <c r="U1387">
        <f>N(U1386)+$T1387</f>
        <v>47</v>
      </c>
      <c r="V1387">
        <f>IF(AND($L1387=1,AND(对接源_02物料!$X187="自备筐",N(对接源_02物料!$V187)&lt;&gt;0)),1,0)</f>
        <v>0</v>
      </c>
      <c r="W1387">
        <f>N(W1386)+$V1387</f>
        <v>11</v>
      </c>
      <c r="X1387">
        <f>IF(AND($L1387=1,AND(对接源_02物料!$X187="自备筐",N(对接源_02物料!$T187)&lt;&gt;0)),1,0)</f>
        <v>0</v>
      </c>
      <c r="Y1387">
        <f>N(Y1386)+$X1387</f>
        <v>0</v>
      </c>
      <c r="Z1387">
        <f>IF(AND($M1387=1,对接源_02物料!$D187="原料入库"),1,0)</f>
        <v>0</v>
      </c>
      <c r="AA1387">
        <f>N(AA1386)+$Z1387</f>
        <v>24</v>
      </c>
      <c r="AB1387">
        <f>IF(AND($M1387=1,LEFT(对接源_02物料!$D187,4)="原料出库"),1,0)</f>
        <v>0</v>
      </c>
      <c r="AC1387">
        <f>N(AC1386)+$AB1387</f>
        <v>0</v>
      </c>
      <c r="AD1387">
        <f>IF(AND($M1387=1,LEFT(对接源_02物料!$D187,4)="成品出库"),1,0)</f>
        <v>0</v>
      </c>
      <c r="AE1387">
        <f>N(AE1386)+$AD1387</f>
        <v>0</v>
      </c>
      <c r="AF1387">
        <f>IF(AND($N1387=1,AND(LEFT(对接源_02物料!$D187,4)="包装物料",N(对接源_02物料!$K187)&lt;&gt;0)),1,0)</f>
        <v>0</v>
      </c>
      <c r="AG1387">
        <f>N(AG1386)+$AF1387</f>
        <v>10</v>
      </c>
      <c r="AH1387">
        <f>IF(AND($N1387=1,AND(对接源_02物料!$D187="周转筐－销售出库",N(对接源_02物料!$K187)&lt;&gt;0)),1,0)</f>
        <v>0</v>
      </c>
      <c r="AI1387">
        <f>N(AI1386)+$AH1387</f>
        <v>0</v>
      </c>
      <c r="AL1387" t="n">
        <v>0</v>
      </c>
      <c r="AM1387">
        <f>N(AM1386)+$AL1387</f>
        <v>2</v>
      </c>
      <c r="AN1387">
        <f>""</f>
      </c>
      <c r="AO1387" t="n">
        <v>0</v>
      </c>
      <c r="AP1387">
        <f>N(AP1386)+$AO1387</f>
        <v>13</v>
      </c>
      <c r="AR1387">
        <f>IF(OR($AF1387=1,$AH1387=1),1,0)</f>
        <v>0</v>
      </c>
      <c r="AS1387">
        <f>N(AS1386)+$AR1387</f>
        <v>10</v>
      </c>
    </row>
    <row r="1388" s="127">
      <c r="A1388" t="str">
        <f>IF(对接源_02物料!$C188="","",对接源_02物料!$C188)</f>
        <v>全修塑业</v>
      </c>
      <c r="B1388">
        <f>IF(A1388="",0,IF(MATCH(A1388,$A$4:$A$2403,0)=ROW()-3,1,0))</f>
        <v>0</v>
      </c>
      <c r="C1388">
        <f>N(C1387)+B1388</f>
        <v>26</v>
      </c>
      <c r="K1388">
        <f>IF(OR($K$1="",对接源_02物料!$C188="",对接源_02物料!$C188&lt;&gt;$K$1,对接源_02物料!$B188=""),0,IF(OR(N(对接源_02物料!$B188)&lt;$K$2,N(对接源_02物料!$B188)&gt;$K$3),0,1))</f>
        <v>0</v>
      </c>
      <c r="L1388">
        <f>IF(OR($L$1="",对接源_02物料!$C188="",对接源_02物料!$C188&lt;&gt;$L$1,对接源_02物料!$B188=""),0,IF(OR(N(对接源_02物料!$B188)&lt;$L$2,N(对接源_02物料!$B188)&gt;$L$3),0,1))</f>
        <v>0</v>
      </c>
      <c r="M1388">
        <f>IF(OR($M$1="",对接源_02物料!$C188="",对接源_02物料!$C188&lt;&gt;$M$1,对接源_02物料!$B188=""),0,IF(OR(N(对接源_02物料!$B188)&lt;$M$2,N(对接源_02物料!$B188)&gt;$M$3),0,1))</f>
        <v>0</v>
      </c>
      <c r="N1388">
        <f>IF(OR($N$1="",对接源_02物料!$C188="",对接源_02物料!$C188&lt;&gt;$N$1,对接源_02物料!$B188=""),0,IF(OR(N(对接源_02物料!$B188)&lt;$N$2,N(对接源_02物料!$B188)&gt;$N$3),0,1))</f>
        <v>0</v>
      </c>
      <c r="P1388">
        <f>IF(AND($K1388=1,AND(对接源_02物料!$X188="公司筐",N(对接源_02物料!$T188)&lt;&gt;0)),1,0)</f>
        <v>0</v>
      </c>
      <c r="Q1388">
        <f>N(Q1387)+$P1388</f>
        <v>8</v>
      </c>
      <c r="R1388">
        <f>IF(AND($K1388=1,AND(对接源_02物料!$X188="公司筐",N(对接源_02物料!$U188)&lt;&gt;0)),1,0)</f>
        <v>0</v>
      </c>
      <c r="S1388">
        <f>N(S1387)+$R1388</f>
        <v>0</v>
      </c>
      <c r="T1388">
        <f>IF(AND($K1388=1,AND(对接源_02物料!$X188="公司筐",N(对接源_02物料!$V188)&lt;&gt;0)),1,0)</f>
        <v>0</v>
      </c>
      <c r="U1388">
        <f>N(U1387)+$T1388</f>
        <v>47</v>
      </c>
      <c r="V1388">
        <f>IF(AND($L1388=1,AND(对接源_02物料!$X188="自备筐",N(对接源_02物料!$V188)&lt;&gt;0)),1,0)</f>
        <v>0</v>
      </c>
      <c r="W1388">
        <f>N(W1387)+$V1388</f>
        <v>11</v>
      </c>
      <c r="X1388">
        <f>IF(AND($L1388=1,AND(对接源_02物料!$X188="自备筐",N(对接源_02物料!$T188)&lt;&gt;0)),1,0)</f>
        <v>0</v>
      </c>
      <c r="Y1388">
        <f>N(Y1387)+$X1388</f>
        <v>0</v>
      </c>
      <c r="Z1388">
        <f>IF(AND($M1388=1,对接源_02物料!$D188="原料入库"),1,0)</f>
        <v>0</v>
      </c>
      <c r="AA1388">
        <f>N(AA1387)+$Z1388</f>
        <v>24</v>
      </c>
      <c r="AB1388">
        <f>IF(AND($M1388=1,LEFT(对接源_02物料!$D188,4)="原料出库"),1,0)</f>
        <v>0</v>
      </c>
      <c r="AC1388">
        <f>N(AC1387)+$AB1388</f>
        <v>0</v>
      </c>
      <c r="AD1388">
        <f>IF(AND($M1388=1,LEFT(对接源_02物料!$D188,4)="成品出库"),1,0)</f>
        <v>0</v>
      </c>
      <c r="AE1388">
        <f>N(AE1387)+$AD1388</f>
        <v>0</v>
      </c>
      <c r="AF1388">
        <f>IF(AND($N1388=1,AND(LEFT(对接源_02物料!$D188,4)="包装物料",N(对接源_02物料!$K188)&lt;&gt;0)),1,0)</f>
        <v>0</v>
      </c>
      <c r="AG1388">
        <f>N(AG1387)+$AF1388</f>
        <v>10</v>
      </c>
      <c r="AH1388">
        <f>IF(AND($N1388=1,AND(对接源_02物料!$D188="周转筐－销售出库",N(对接源_02物料!$K188)&lt;&gt;0)),1,0)</f>
        <v>0</v>
      </c>
      <c r="AI1388">
        <f>N(AI1387)+$AH1388</f>
        <v>0</v>
      </c>
      <c r="AL1388" t="n">
        <v>0</v>
      </c>
      <c r="AM1388">
        <f>N(AM1387)+$AL1388</f>
        <v>2</v>
      </c>
      <c r="AN1388">
        <f>""</f>
      </c>
      <c r="AO1388" t="n">
        <v>0</v>
      </c>
      <c r="AP1388">
        <f>N(AP1387)+$AO1388</f>
        <v>13</v>
      </c>
      <c r="AR1388">
        <f>IF(OR($AF1388=1,$AH1388=1),1,0)</f>
        <v>0</v>
      </c>
      <c r="AS1388">
        <f>N(AS1387)+$AR1388</f>
        <v>10</v>
      </c>
    </row>
    <row r="1389" s="127">
      <c r="A1389" t="str">
        <f>IF(对接源_02物料!$C189="","",对接源_02物料!$C189)</f>
        <v>吐尔洪</v>
      </c>
      <c r="B1389">
        <f>IF(A1389="",0,IF(MATCH(A1389,$A$4:$A$2403,0)=ROW()-3,1,0))</f>
        <v>0</v>
      </c>
      <c r="C1389">
        <f>N(C1388)+B1389</f>
        <v>26</v>
      </c>
      <c r="K1389">
        <f>IF(OR($K$1="",对接源_02物料!$C189="",对接源_02物料!$C189&lt;&gt;$K$1,对接源_02物料!$B189=""),0,IF(OR(N(对接源_02物料!$B189)&lt;$K$2,N(对接源_02物料!$B189)&gt;$K$3),0,1))</f>
        <v>0</v>
      </c>
      <c r="L1389">
        <f>IF(OR($L$1="",对接源_02物料!$C189="",对接源_02物料!$C189&lt;&gt;$L$1,对接源_02物料!$B189=""),0,IF(OR(N(对接源_02物料!$B189)&lt;$L$2,N(对接源_02物料!$B189)&gt;$L$3),0,1))</f>
        <v>0</v>
      </c>
      <c r="M1389">
        <f>IF(OR($M$1="",对接源_02物料!$C189="",对接源_02物料!$C189&lt;&gt;$M$1,对接源_02物料!$B189=""),0,IF(OR(N(对接源_02物料!$B189)&lt;$M$2,N(对接源_02物料!$B189)&gt;$M$3),0,1))</f>
        <v>1</v>
      </c>
      <c r="N1389">
        <f>IF(OR($N$1="",对接源_02物料!$C189="",对接源_02物料!$C189&lt;&gt;$N$1,对接源_02物料!$B189=""),0,IF(OR(N(对接源_02物料!$B189)&lt;$N$2,N(对接源_02物料!$B189)&gt;$N$3),0,1))</f>
        <v>0</v>
      </c>
      <c r="P1389">
        <f>IF(AND($K1389=1,AND(对接源_02物料!$X189="公司筐",N(对接源_02物料!$T189)&lt;&gt;0)),1,0)</f>
        <v>0</v>
      </c>
      <c r="Q1389">
        <f>N(Q1388)+$P1389</f>
        <v>8</v>
      </c>
      <c r="R1389">
        <f>IF(AND($K1389=1,AND(对接源_02物料!$X189="公司筐",N(对接源_02物料!$U189)&lt;&gt;0)),1,0)</f>
        <v>0</v>
      </c>
      <c r="S1389">
        <f>N(S1388)+$R1389</f>
        <v>0</v>
      </c>
      <c r="T1389">
        <f>IF(AND($K1389=1,AND(对接源_02物料!$X189="公司筐",N(对接源_02物料!$V189)&lt;&gt;0)),1,0)</f>
        <v>0</v>
      </c>
      <c r="U1389">
        <f>N(U1388)+$T1389</f>
        <v>47</v>
      </c>
      <c r="V1389">
        <f>IF(AND($L1389=1,AND(对接源_02物料!$X189="自备筐",N(对接源_02物料!$V189)&lt;&gt;0)),1,0)</f>
        <v>0</v>
      </c>
      <c r="W1389">
        <f>N(W1388)+$V1389</f>
        <v>11</v>
      </c>
      <c r="X1389">
        <f>IF(AND($L1389=1,AND(对接源_02物料!$X189="自备筐",N(对接源_02物料!$T189)&lt;&gt;0)),1,0)</f>
        <v>0</v>
      </c>
      <c r="Y1389">
        <f>N(Y1388)+$X1389</f>
        <v>0</v>
      </c>
      <c r="Z1389">
        <f>IF(AND($M1389=1,对接源_02物料!$D189="原料入库"),1,0)</f>
        <v>0</v>
      </c>
      <c r="AA1389">
        <f>N(AA1388)+$Z1389</f>
        <v>24</v>
      </c>
      <c r="AB1389">
        <f>IF(AND($M1389=1,LEFT(对接源_02物料!$D189,4)="原料出库"),1,0)</f>
        <v>0</v>
      </c>
      <c r="AC1389">
        <f>N(AC1388)+$AB1389</f>
        <v>0</v>
      </c>
      <c r="AD1389">
        <f>IF(AND($M1389=1,LEFT(对接源_02物料!$D189,4)="成品出库"),1,0)</f>
        <v>0</v>
      </c>
      <c r="AE1389">
        <f>N(AE1388)+$AD1389</f>
        <v>0</v>
      </c>
      <c r="AF1389">
        <f>IF(AND($N1389=1,AND(LEFT(对接源_02物料!$D189,4)="包装物料",N(对接源_02物料!$K189)&lt;&gt;0)),1,0)</f>
        <v>0</v>
      </c>
      <c r="AG1389">
        <f>N(AG1388)+$AF1389</f>
        <v>10</v>
      </c>
      <c r="AH1389">
        <f>IF(AND($N1389=1,AND(对接源_02物料!$D189="周转筐－销售出库",N(对接源_02物料!$K189)&lt;&gt;0)),1,0)</f>
        <v>0</v>
      </c>
      <c r="AI1389">
        <f>N(AI1388)+$AH1389</f>
        <v>0</v>
      </c>
      <c r="AL1389" t="n">
        <v>0</v>
      </c>
      <c r="AM1389">
        <f>N(AM1388)+$AL1389</f>
        <v>2</v>
      </c>
      <c r="AN1389">
        <f>""</f>
      </c>
      <c r="AO1389" t="n">
        <v>0</v>
      </c>
      <c r="AP1389">
        <f>N(AP1388)+$AO1389</f>
        <v>13</v>
      </c>
      <c r="AR1389">
        <f>IF(OR($AF1389=1,$AH1389=1),1,0)</f>
        <v>0</v>
      </c>
      <c r="AS1389">
        <f>N(AS1388)+$AR1389</f>
        <v>10</v>
      </c>
    </row>
    <row r="1390" s="127">
      <c r="A1390" t="str">
        <f>IF(对接源_02物料!$C190="","",对接源_02物料!$C190)</f>
        <v>马锦祥</v>
      </c>
      <c r="B1390">
        <f>IF(A1390="",0,IF(MATCH(A1390,$A$4:$A$2403,0)=ROW()-3,1,0))</f>
        <v>0</v>
      </c>
      <c r="C1390">
        <f>N(C1389)+B1390</f>
        <v>26</v>
      </c>
      <c r="K1390">
        <f>IF(OR($K$1="",对接源_02物料!$C190="",对接源_02物料!$C190&lt;&gt;$K$1,对接源_02物料!$B190=""),0,IF(OR(N(对接源_02物料!$B190)&lt;$K$2,N(对接源_02物料!$B190)&gt;$K$3),0,1))</f>
        <v>0</v>
      </c>
      <c r="L1390">
        <f>IF(OR($L$1="",对接源_02物料!$C190="",对接源_02物料!$C190&lt;&gt;$L$1,对接源_02物料!$B190=""),0,IF(OR(N(对接源_02物料!$B190)&lt;$L$2,N(对接源_02物料!$B190)&gt;$L$3),0,1))</f>
        <v>0</v>
      </c>
      <c r="M1390">
        <f>IF(OR($M$1="",对接源_02物料!$C190="",对接源_02物料!$C190&lt;&gt;$M$1,对接源_02物料!$B190=""),0,IF(OR(N(对接源_02物料!$B190)&lt;$M$2,N(对接源_02物料!$B190)&gt;$M$3),0,1))</f>
        <v>0</v>
      </c>
      <c r="N1390">
        <f>IF(OR($N$1="",对接源_02物料!$C190="",对接源_02物料!$C190&lt;&gt;$N$1,对接源_02物料!$B190=""),0,IF(OR(N(对接源_02物料!$B190)&lt;$N$2,N(对接源_02物料!$B190)&gt;$N$3),0,1))</f>
        <v>0</v>
      </c>
      <c r="P1390">
        <f>IF(AND($K1390=1,AND(对接源_02物料!$X190="公司筐",N(对接源_02物料!$T190)&lt;&gt;0)),1,0)</f>
        <v>0</v>
      </c>
      <c r="Q1390">
        <f>N(Q1389)+$P1390</f>
        <v>8</v>
      </c>
      <c r="R1390">
        <f>IF(AND($K1390=1,AND(对接源_02物料!$X190="公司筐",N(对接源_02物料!$U190)&lt;&gt;0)),1,0)</f>
        <v>0</v>
      </c>
      <c r="S1390">
        <f>N(S1389)+$R1390</f>
        <v>0</v>
      </c>
      <c r="T1390">
        <f>IF(AND($K1390=1,AND(对接源_02物料!$X190="公司筐",N(对接源_02物料!$V190)&lt;&gt;0)),1,0)</f>
        <v>0</v>
      </c>
      <c r="U1390">
        <f>N(U1389)+$T1390</f>
        <v>47</v>
      </c>
      <c r="V1390">
        <f>IF(AND($L1390=1,AND(对接源_02物料!$X190="自备筐",N(对接源_02物料!$V190)&lt;&gt;0)),1,0)</f>
        <v>0</v>
      </c>
      <c r="W1390">
        <f>N(W1389)+$V1390</f>
        <v>11</v>
      </c>
      <c r="X1390">
        <f>IF(AND($L1390=1,AND(对接源_02物料!$X190="自备筐",N(对接源_02物料!$T190)&lt;&gt;0)),1,0)</f>
        <v>0</v>
      </c>
      <c r="Y1390">
        <f>N(Y1389)+$X1390</f>
        <v>0</v>
      </c>
      <c r="Z1390">
        <f>IF(AND($M1390=1,对接源_02物料!$D190="原料入库"),1,0)</f>
        <v>0</v>
      </c>
      <c r="AA1390">
        <f>N(AA1389)+$Z1390</f>
        <v>24</v>
      </c>
      <c r="AB1390">
        <f>IF(AND($M1390=1,LEFT(对接源_02物料!$D190,4)="原料出库"),1,0)</f>
        <v>0</v>
      </c>
      <c r="AC1390">
        <f>N(AC1389)+$AB1390</f>
        <v>0</v>
      </c>
      <c r="AD1390">
        <f>IF(AND($M1390=1,LEFT(对接源_02物料!$D190,4)="成品出库"),1,0)</f>
        <v>0</v>
      </c>
      <c r="AE1390">
        <f>N(AE1389)+$AD1390</f>
        <v>0</v>
      </c>
      <c r="AF1390">
        <f>IF(AND($N1390=1,AND(LEFT(对接源_02物料!$D190,4)="包装物料",N(对接源_02物料!$K190)&lt;&gt;0)),1,0)</f>
        <v>0</v>
      </c>
      <c r="AG1390">
        <f>N(AG1389)+$AF1390</f>
        <v>10</v>
      </c>
      <c r="AH1390">
        <f>IF(AND($N1390=1,AND(对接源_02物料!$D190="周转筐－销售出库",N(对接源_02物料!$K190)&lt;&gt;0)),1,0)</f>
        <v>0</v>
      </c>
      <c r="AI1390">
        <f>N(AI1389)+$AH1390</f>
        <v>0</v>
      </c>
      <c r="AL1390" t="n">
        <v>0</v>
      </c>
      <c r="AM1390">
        <f>N(AM1389)+$AL1390</f>
        <v>2</v>
      </c>
      <c r="AN1390">
        <f>""</f>
      </c>
      <c r="AO1390" t="n">
        <v>0</v>
      </c>
      <c r="AP1390">
        <f>N(AP1389)+$AO1390</f>
        <v>13</v>
      </c>
      <c r="AR1390">
        <f>IF(OR($AF1390=1,$AH1390=1),1,0)</f>
        <v>0</v>
      </c>
      <c r="AS1390">
        <f>N(AS1389)+$AR1390</f>
        <v>10</v>
      </c>
    </row>
    <row r="1391" s="127">
      <c r="A1391" t="str">
        <f>IF(对接源_02物料!$C191="","",对接源_02物料!$C191)</f>
        <v>全修塑业</v>
      </c>
      <c r="B1391">
        <f>IF(A1391="",0,IF(MATCH(A1391,$A$4:$A$2403,0)=ROW()-3,1,0))</f>
        <v>0</v>
      </c>
      <c r="C1391">
        <f>N(C1390)+B1391</f>
        <v>26</v>
      </c>
      <c r="K1391">
        <f>IF(OR($K$1="",对接源_02物料!$C191="",对接源_02物料!$C191&lt;&gt;$K$1,对接源_02物料!$B191=""),0,IF(OR(N(对接源_02物料!$B191)&lt;$K$2,N(对接源_02物料!$B191)&gt;$K$3),0,1))</f>
        <v>0</v>
      </c>
      <c r="L1391">
        <f>IF(OR($L$1="",对接源_02物料!$C191="",对接源_02物料!$C191&lt;&gt;$L$1,对接源_02物料!$B191=""),0,IF(OR(N(对接源_02物料!$B191)&lt;$L$2,N(对接源_02物料!$B191)&gt;$L$3),0,1))</f>
        <v>0</v>
      </c>
      <c r="M1391">
        <f>IF(OR($M$1="",对接源_02物料!$C191="",对接源_02物料!$C191&lt;&gt;$M$1,对接源_02物料!$B191=""),0,IF(OR(N(对接源_02物料!$B191)&lt;$M$2,N(对接源_02物料!$B191)&gt;$M$3),0,1))</f>
        <v>0</v>
      </c>
      <c r="N1391">
        <f>IF(OR($N$1="",对接源_02物料!$C191="",对接源_02物料!$C191&lt;&gt;$N$1,对接源_02物料!$B191=""),0,IF(OR(N(对接源_02物料!$B191)&lt;$N$2,N(对接源_02物料!$B191)&gt;$N$3),0,1))</f>
        <v>0</v>
      </c>
      <c r="P1391">
        <f>IF(AND($K1391=1,AND(对接源_02物料!$X191="公司筐",N(对接源_02物料!$T191)&lt;&gt;0)),1,0)</f>
        <v>0</v>
      </c>
      <c r="Q1391">
        <f>N(Q1390)+$P1391</f>
        <v>8</v>
      </c>
      <c r="R1391">
        <f>IF(AND($K1391=1,AND(对接源_02物料!$X191="公司筐",N(对接源_02物料!$U191)&lt;&gt;0)),1,0)</f>
        <v>0</v>
      </c>
      <c r="S1391">
        <f>N(S1390)+$R1391</f>
        <v>0</v>
      </c>
      <c r="T1391">
        <f>IF(AND($K1391=1,AND(对接源_02物料!$X191="公司筐",N(对接源_02物料!$V191)&lt;&gt;0)),1,0)</f>
        <v>0</v>
      </c>
      <c r="U1391">
        <f>N(U1390)+$T1391</f>
        <v>47</v>
      </c>
      <c r="V1391">
        <f>IF(AND($L1391=1,AND(对接源_02物料!$X191="自备筐",N(对接源_02物料!$V191)&lt;&gt;0)),1,0)</f>
        <v>0</v>
      </c>
      <c r="W1391">
        <f>N(W1390)+$V1391</f>
        <v>11</v>
      </c>
      <c r="X1391">
        <f>IF(AND($L1391=1,AND(对接源_02物料!$X191="自备筐",N(对接源_02物料!$T191)&lt;&gt;0)),1,0)</f>
        <v>0</v>
      </c>
      <c r="Y1391">
        <f>N(Y1390)+$X1391</f>
        <v>0</v>
      </c>
      <c r="Z1391">
        <f>IF(AND($M1391=1,对接源_02物料!$D191="原料入库"),1,0)</f>
        <v>0</v>
      </c>
      <c r="AA1391">
        <f>N(AA1390)+$Z1391</f>
        <v>24</v>
      </c>
      <c r="AB1391">
        <f>IF(AND($M1391=1,LEFT(对接源_02物料!$D191,4)="原料出库"),1,0)</f>
        <v>0</v>
      </c>
      <c r="AC1391">
        <f>N(AC1390)+$AB1391</f>
        <v>0</v>
      </c>
      <c r="AD1391">
        <f>IF(AND($M1391=1,LEFT(对接源_02物料!$D191,4)="成品出库"),1,0)</f>
        <v>0</v>
      </c>
      <c r="AE1391">
        <f>N(AE1390)+$AD1391</f>
        <v>0</v>
      </c>
      <c r="AF1391">
        <f>IF(AND($N1391=1,AND(LEFT(对接源_02物料!$D191,4)="包装物料",N(对接源_02物料!$K191)&lt;&gt;0)),1,0)</f>
        <v>0</v>
      </c>
      <c r="AG1391">
        <f>N(AG1390)+$AF1391</f>
        <v>10</v>
      </c>
      <c r="AH1391">
        <f>IF(AND($N1391=1,AND(对接源_02物料!$D191="周转筐－销售出库",N(对接源_02物料!$K191)&lt;&gt;0)),1,0)</f>
        <v>0</v>
      </c>
      <c r="AI1391">
        <f>N(AI1390)+$AH1391</f>
        <v>0</v>
      </c>
      <c r="AL1391" t="n">
        <v>0</v>
      </c>
      <c r="AM1391">
        <f>N(AM1390)+$AL1391</f>
        <v>2</v>
      </c>
      <c r="AN1391">
        <f>""</f>
      </c>
      <c r="AO1391" t="n">
        <v>0</v>
      </c>
      <c r="AP1391">
        <f>N(AP1390)+$AO1391</f>
        <v>13</v>
      </c>
      <c r="AR1391">
        <f>IF(OR($AF1391=1,$AH1391=1),1,0)</f>
        <v>0</v>
      </c>
      <c r="AS1391">
        <f>N(AS1390)+$AR1391</f>
        <v>10</v>
      </c>
    </row>
    <row r="1392" s="127">
      <c r="A1392" t="str">
        <f>IF(对接源_02物料!$C192="","",对接源_02物料!$C192)</f>
        <v>荆建君</v>
      </c>
      <c r="B1392">
        <f>IF(A1392="",0,IF(MATCH(A1392,$A$4:$A$2403,0)=ROW()-3,1,0))</f>
        <v>0</v>
      </c>
      <c r="C1392">
        <f>N(C1391)+B1392</f>
        <v>26</v>
      </c>
      <c r="K1392">
        <f>IF(OR($K$1="",对接源_02物料!$C192="",对接源_02物料!$C192&lt;&gt;$K$1,对接源_02物料!$B192=""),0,IF(OR(N(对接源_02物料!$B192)&lt;$K$2,N(对接源_02物料!$B192)&gt;$K$3),0,1))</f>
        <v>0</v>
      </c>
      <c r="L1392">
        <f>IF(OR($L$1="",对接源_02物料!$C192="",对接源_02物料!$C192&lt;&gt;$L$1,对接源_02物料!$B192=""),0,IF(OR(N(对接源_02物料!$B192)&lt;$L$2,N(对接源_02物料!$B192)&gt;$L$3),0,1))</f>
        <v>0</v>
      </c>
      <c r="M1392">
        <f>IF(OR($M$1="",对接源_02物料!$C192="",对接源_02物料!$C192&lt;&gt;$M$1,对接源_02物料!$B192=""),0,IF(OR(N(对接源_02物料!$B192)&lt;$M$2,N(对接源_02物料!$B192)&gt;$M$3),0,1))</f>
        <v>0</v>
      </c>
      <c r="N1392">
        <f>IF(OR($N$1="",对接源_02物料!$C192="",对接源_02物料!$C192&lt;&gt;$N$1,对接源_02物料!$B192=""),0,IF(OR(N(对接源_02物料!$B192)&lt;$N$2,N(对接源_02物料!$B192)&gt;$N$3),0,1))</f>
        <v>0</v>
      </c>
      <c r="P1392">
        <f>IF(AND($K1392=1,AND(对接源_02物料!$X192="公司筐",N(对接源_02物料!$T192)&lt;&gt;0)),1,0)</f>
        <v>0</v>
      </c>
      <c r="Q1392">
        <f>N(Q1391)+$P1392</f>
        <v>8</v>
      </c>
      <c r="R1392">
        <f>IF(AND($K1392=1,AND(对接源_02物料!$X192="公司筐",N(对接源_02物料!$U192)&lt;&gt;0)),1,0)</f>
        <v>0</v>
      </c>
      <c r="S1392">
        <f>N(S1391)+$R1392</f>
        <v>0</v>
      </c>
      <c r="T1392">
        <f>IF(AND($K1392=1,AND(对接源_02物料!$X192="公司筐",N(对接源_02物料!$V192)&lt;&gt;0)),1,0)</f>
        <v>0</v>
      </c>
      <c r="U1392">
        <f>N(U1391)+$T1392</f>
        <v>47</v>
      </c>
      <c r="V1392">
        <f>IF(AND($L1392=1,AND(对接源_02物料!$X192="自备筐",N(对接源_02物料!$V192)&lt;&gt;0)),1,0)</f>
        <v>0</v>
      </c>
      <c r="W1392">
        <f>N(W1391)+$V1392</f>
        <v>11</v>
      </c>
      <c r="X1392">
        <f>IF(AND($L1392=1,AND(对接源_02物料!$X192="自备筐",N(对接源_02物料!$T192)&lt;&gt;0)),1,0)</f>
        <v>0</v>
      </c>
      <c r="Y1392">
        <f>N(Y1391)+$X1392</f>
        <v>0</v>
      </c>
      <c r="Z1392">
        <f>IF(AND($M1392=1,对接源_02物料!$D192="原料入库"),1,0)</f>
        <v>0</v>
      </c>
      <c r="AA1392">
        <f>N(AA1391)+$Z1392</f>
        <v>24</v>
      </c>
      <c r="AB1392">
        <f>IF(AND($M1392=1,LEFT(对接源_02物料!$D192,4)="原料出库"),1,0)</f>
        <v>0</v>
      </c>
      <c r="AC1392">
        <f>N(AC1391)+$AB1392</f>
        <v>0</v>
      </c>
      <c r="AD1392">
        <f>IF(AND($M1392=1,LEFT(对接源_02物料!$D192,4)="成品出库"),1,0)</f>
        <v>0</v>
      </c>
      <c r="AE1392">
        <f>N(AE1391)+$AD1392</f>
        <v>0</v>
      </c>
      <c r="AF1392">
        <f>IF(AND($N1392=1,AND(LEFT(对接源_02物料!$D192,4)="包装物料",N(对接源_02物料!$K192)&lt;&gt;0)),1,0)</f>
        <v>0</v>
      </c>
      <c r="AG1392">
        <f>N(AG1391)+$AF1392</f>
        <v>10</v>
      </c>
      <c r="AH1392">
        <f>IF(AND($N1392=1,AND(对接源_02物料!$D192="周转筐－销售出库",N(对接源_02物料!$K192)&lt;&gt;0)),1,0)</f>
        <v>0</v>
      </c>
      <c r="AI1392">
        <f>N(AI1391)+$AH1392</f>
        <v>0</v>
      </c>
      <c r="AL1392" t="n">
        <v>0</v>
      </c>
      <c r="AM1392">
        <f>N(AM1391)+$AL1392</f>
        <v>2</v>
      </c>
      <c r="AN1392">
        <f>""</f>
      </c>
      <c r="AO1392" t="n">
        <v>0</v>
      </c>
      <c r="AP1392">
        <f>N(AP1391)+$AO1392</f>
        <v>13</v>
      </c>
      <c r="AR1392">
        <f>IF(OR($AF1392=1,$AH1392=1),1,0)</f>
        <v>0</v>
      </c>
      <c r="AS1392">
        <f>N(AS1391)+$AR1392</f>
        <v>10</v>
      </c>
    </row>
    <row r="1393" s="127">
      <c r="A1393" t="str">
        <f>IF(对接源_02物料!$C193="","",对接源_02物料!$C193)</f>
        <v>吐尔洪</v>
      </c>
      <c r="B1393">
        <f>IF(A1393="",0,IF(MATCH(A1393,$A$4:$A$2403,0)=ROW()-3,1,0))</f>
        <v>0</v>
      </c>
      <c r="C1393">
        <f>N(C1392)+B1393</f>
        <v>26</v>
      </c>
      <c r="K1393">
        <f>IF(OR($K$1="",对接源_02物料!$C193="",对接源_02物料!$C193&lt;&gt;$K$1,对接源_02物料!$B193=""),0,IF(OR(N(对接源_02物料!$B193)&lt;$K$2,N(对接源_02物料!$B193)&gt;$K$3),0,1))</f>
        <v>0</v>
      </c>
      <c r="L1393">
        <f>IF(OR($L$1="",对接源_02物料!$C193="",对接源_02物料!$C193&lt;&gt;$L$1,对接源_02物料!$B193=""),0,IF(OR(N(对接源_02物料!$B193)&lt;$L$2,N(对接源_02物料!$B193)&gt;$L$3),0,1))</f>
        <v>0</v>
      </c>
      <c r="M1393">
        <f>IF(OR($M$1="",对接源_02物料!$C193="",对接源_02物料!$C193&lt;&gt;$M$1,对接源_02物料!$B193=""),0,IF(OR(N(对接源_02物料!$B193)&lt;$M$2,N(对接源_02物料!$B193)&gt;$M$3),0,1))</f>
        <v>1</v>
      </c>
      <c r="N1393">
        <f>IF(OR($N$1="",对接源_02物料!$C193="",对接源_02物料!$C193&lt;&gt;$N$1,对接源_02物料!$B193=""),0,IF(OR(N(对接源_02物料!$B193)&lt;$N$2,N(对接源_02物料!$B193)&gt;$N$3),0,1))</f>
        <v>0</v>
      </c>
      <c r="P1393">
        <f>IF(AND($K1393=1,AND(对接源_02物料!$X193="公司筐",N(对接源_02物料!$T193)&lt;&gt;0)),1,0)</f>
        <v>0</v>
      </c>
      <c r="Q1393">
        <f>N(Q1392)+$P1393</f>
        <v>8</v>
      </c>
      <c r="R1393">
        <f>IF(AND($K1393=1,AND(对接源_02物料!$X193="公司筐",N(对接源_02物料!$U193)&lt;&gt;0)),1,0)</f>
        <v>0</v>
      </c>
      <c r="S1393">
        <f>N(S1392)+$R1393</f>
        <v>0</v>
      </c>
      <c r="T1393">
        <f>IF(AND($K1393=1,AND(对接源_02物料!$X193="公司筐",N(对接源_02物料!$V193)&lt;&gt;0)),1,0)</f>
        <v>0</v>
      </c>
      <c r="U1393">
        <f>N(U1392)+$T1393</f>
        <v>47</v>
      </c>
      <c r="V1393">
        <f>IF(AND($L1393=1,AND(对接源_02物料!$X193="自备筐",N(对接源_02物料!$V193)&lt;&gt;0)),1,0)</f>
        <v>0</v>
      </c>
      <c r="W1393">
        <f>N(W1392)+$V1393</f>
        <v>11</v>
      </c>
      <c r="X1393">
        <f>IF(AND($L1393=1,AND(对接源_02物料!$X193="自备筐",N(对接源_02物料!$T193)&lt;&gt;0)),1,0)</f>
        <v>0</v>
      </c>
      <c r="Y1393">
        <f>N(Y1392)+$X1393</f>
        <v>0</v>
      </c>
      <c r="Z1393">
        <f>IF(AND($M1393=1,对接源_02物料!$D193="原料入库"),1,0)</f>
        <v>0</v>
      </c>
      <c r="AA1393">
        <f>N(AA1392)+$Z1393</f>
        <v>24</v>
      </c>
      <c r="AB1393">
        <f>IF(AND($M1393=1,LEFT(对接源_02物料!$D193,4)="原料出库"),1,0)</f>
        <v>0</v>
      </c>
      <c r="AC1393">
        <f>N(AC1392)+$AB1393</f>
        <v>0</v>
      </c>
      <c r="AD1393">
        <f>IF(AND($M1393=1,LEFT(对接源_02物料!$D193,4)="成品出库"),1,0)</f>
        <v>0</v>
      </c>
      <c r="AE1393">
        <f>N(AE1392)+$AD1393</f>
        <v>0</v>
      </c>
      <c r="AF1393">
        <f>IF(AND($N1393=1,AND(LEFT(对接源_02物料!$D193,4)="包装物料",N(对接源_02物料!$K193)&lt;&gt;0)),1,0)</f>
        <v>0</v>
      </c>
      <c r="AG1393">
        <f>N(AG1392)+$AF1393</f>
        <v>10</v>
      </c>
      <c r="AH1393">
        <f>IF(AND($N1393=1,AND(对接源_02物料!$D193="周转筐－销售出库",N(对接源_02物料!$K193)&lt;&gt;0)),1,0)</f>
        <v>0</v>
      </c>
      <c r="AI1393">
        <f>N(AI1392)+$AH1393</f>
        <v>0</v>
      </c>
      <c r="AL1393" t="n">
        <v>0</v>
      </c>
      <c r="AM1393">
        <f>N(AM1392)+$AL1393</f>
        <v>2</v>
      </c>
      <c r="AN1393">
        <f>""</f>
      </c>
      <c r="AO1393" t="n">
        <v>0</v>
      </c>
      <c r="AP1393">
        <f>N(AP1392)+$AO1393</f>
        <v>13</v>
      </c>
      <c r="AR1393">
        <f>IF(OR($AF1393=1,$AH1393=1),1,0)</f>
        <v>0</v>
      </c>
      <c r="AS1393">
        <f>N(AS1392)+$AR1393</f>
        <v>10</v>
      </c>
    </row>
    <row r="1394" s="127">
      <c r="A1394" t="str">
        <f>IF(对接源_02物料!$C194="","",对接源_02物料!$C194)</f>
        <v>热合曼</v>
      </c>
      <c r="B1394">
        <f>IF(A1394="",0,IF(MATCH(A1394,$A$4:$A$2403,0)=ROW()-3,1,0))</f>
        <v>0</v>
      </c>
      <c r="C1394">
        <f>N(C1393)+B1394</f>
        <v>26</v>
      </c>
      <c r="K1394">
        <f>IF(OR($K$1="",对接源_02物料!$C194="",对接源_02物料!$C194&lt;&gt;$K$1,对接源_02物料!$B194=""),0,IF(OR(N(对接源_02物料!$B194)&lt;$K$2,N(对接源_02物料!$B194)&gt;$K$3),0,1))</f>
        <v>0</v>
      </c>
      <c r="L1394">
        <f>IF(OR($L$1="",对接源_02物料!$C194="",对接源_02物料!$C194&lt;&gt;$L$1,对接源_02物料!$B194=""),0,IF(OR(N(对接源_02物料!$B194)&lt;$L$2,N(对接源_02物料!$B194)&gt;$L$3),0,1))</f>
        <v>0</v>
      </c>
      <c r="M1394">
        <f>IF(OR($M$1="",对接源_02物料!$C194="",对接源_02物料!$C194&lt;&gt;$M$1,对接源_02物料!$B194=""),0,IF(OR(N(对接源_02物料!$B194)&lt;$M$2,N(对接源_02物料!$B194)&gt;$M$3),0,1))</f>
        <v>0</v>
      </c>
      <c r="N1394">
        <f>IF(OR($N$1="",对接源_02物料!$C194="",对接源_02物料!$C194&lt;&gt;$N$1,对接源_02物料!$B194=""),0,IF(OR(N(对接源_02物料!$B194)&lt;$N$2,N(对接源_02物料!$B194)&gt;$N$3),0,1))</f>
        <v>0</v>
      </c>
      <c r="P1394">
        <f>IF(AND($K1394=1,AND(对接源_02物料!$X194="公司筐",N(对接源_02物料!$T194)&lt;&gt;0)),1,0)</f>
        <v>0</v>
      </c>
      <c r="Q1394">
        <f>N(Q1393)+$P1394</f>
        <v>8</v>
      </c>
      <c r="R1394">
        <f>IF(AND($K1394=1,AND(对接源_02物料!$X194="公司筐",N(对接源_02物料!$U194)&lt;&gt;0)),1,0)</f>
        <v>0</v>
      </c>
      <c r="S1394">
        <f>N(S1393)+$R1394</f>
        <v>0</v>
      </c>
      <c r="T1394">
        <f>IF(AND($K1394=1,AND(对接源_02物料!$X194="公司筐",N(对接源_02物料!$V194)&lt;&gt;0)),1,0)</f>
        <v>0</v>
      </c>
      <c r="U1394">
        <f>N(U1393)+$T1394</f>
        <v>47</v>
      </c>
      <c r="V1394">
        <f>IF(AND($L1394=1,AND(对接源_02物料!$X194="自备筐",N(对接源_02物料!$V194)&lt;&gt;0)),1,0)</f>
        <v>0</v>
      </c>
      <c r="W1394">
        <f>N(W1393)+$V1394</f>
        <v>11</v>
      </c>
      <c r="X1394">
        <f>IF(AND($L1394=1,AND(对接源_02物料!$X194="自备筐",N(对接源_02物料!$T194)&lt;&gt;0)),1,0)</f>
        <v>0</v>
      </c>
      <c r="Y1394">
        <f>N(Y1393)+$X1394</f>
        <v>0</v>
      </c>
      <c r="Z1394">
        <f>IF(AND($M1394=1,对接源_02物料!$D194="原料入库"),1,0)</f>
        <v>0</v>
      </c>
      <c r="AA1394">
        <f>N(AA1393)+$Z1394</f>
        <v>24</v>
      </c>
      <c r="AB1394">
        <f>IF(AND($M1394=1,LEFT(对接源_02物料!$D194,4)="原料出库"),1,0)</f>
        <v>0</v>
      </c>
      <c r="AC1394">
        <f>N(AC1393)+$AB1394</f>
        <v>0</v>
      </c>
      <c r="AD1394">
        <f>IF(AND($M1394=1,LEFT(对接源_02物料!$D194,4)="成品出库"),1,0)</f>
        <v>0</v>
      </c>
      <c r="AE1394">
        <f>N(AE1393)+$AD1394</f>
        <v>0</v>
      </c>
      <c r="AF1394">
        <f>IF(AND($N1394=1,AND(LEFT(对接源_02物料!$D194,4)="包装物料",N(对接源_02物料!$K194)&lt;&gt;0)),1,0)</f>
        <v>0</v>
      </c>
      <c r="AG1394">
        <f>N(AG1393)+$AF1394</f>
        <v>10</v>
      </c>
      <c r="AH1394">
        <f>IF(AND($N1394=1,AND(对接源_02物料!$D194="周转筐－销售出库",N(对接源_02物料!$K194)&lt;&gt;0)),1,0)</f>
        <v>0</v>
      </c>
      <c r="AI1394">
        <f>N(AI1393)+$AH1394</f>
        <v>0</v>
      </c>
      <c r="AL1394" t="n">
        <v>0</v>
      </c>
      <c r="AM1394">
        <f>N(AM1393)+$AL1394</f>
        <v>2</v>
      </c>
      <c r="AN1394">
        <f>""</f>
      </c>
      <c r="AO1394" t="n">
        <v>0</v>
      </c>
      <c r="AP1394">
        <f>N(AP1393)+$AO1394</f>
        <v>13</v>
      </c>
      <c r="AR1394">
        <f>IF(OR($AF1394=1,$AH1394=1),1,0)</f>
        <v>0</v>
      </c>
      <c r="AS1394">
        <f>N(AS1393)+$AR1394</f>
        <v>10</v>
      </c>
    </row>
    <row r="1395" s="127">
      <c r="A1395" t="str">
        <f>IF(对接源_02物料!$C195="","",对接源_02物料!$C195)</f>
        <v>全修塑业</v>
      </c>
      <c r="B1395">
        <f>IF(A1395="",0,IF(MATCH(A1395,$A$4:$A$2403,0)=ROW()-3,1,0))</f>
        <v>0</v>
      </c>
      <c r="C1395">
        <f>N(C1394)+B1395</f>
        <v>26</v>
      </c>
      <c r="K1395">
        <f>IF(OR($K$1="",对接源_02物料!$C195="",对接源_02物料!$C195&lt;&gt;$K$1,对接源_02物料!$B195=""),0,IF(OR(N(对接源_02物料!$B195)&lt;$K$2,N(对接源_02物料!$B195)&gt;$K$3),0,1))</f>
        <v>0</v>
      </c>
      <c r="L1395">
        <f>IF(OR($L$1="",对接源_02物料!$C195="",对接源_02物料!$C195&lt;&gt;$L$1,对接源_02物料!$B195=""),0,IF(OR(N(对接源_02物料!$B195)&lt;$L$2,N(对接源_02物料!$B195)&gt;$L$3),0,1))</f>
        <v>0</v>
      </c>
      <c r="M1395">
        <f>IF(OR($M$1="",对接源_02物料!$C195="",对接源_02物料!$C195&lt;&gt;$M$1,对接源_02物料!$B195=""),0,IF(OR(N(对接源_02物料!$B195)&lt;$M$2,N(对接源_02物料!$B195)&gt;$M$3),0,1))</f>
        <v>0</v>
      </c>
      <c r="N1395">
        <f>IF(OR($N$1="",对接源_02物料!$C195="",对接源_02物料!$C195&lt;&gt;$N$1,对接源_02物料!$B195=""),0,IF(OR(N(对接源_02物料!$B195)&lt;$N$2,N(对接源_02物料!$B195)&gt;$N$3),0,1))</f>
        <v>0</v>
      </c>
      <c r="P1395">
        <f>IF(AND($K1395=1,AND(对接源_02物料!$X195="公司筐",N(对接源_02物料!$T195)&lt;&gt;0)),1,0)</f>
        <v>0</v>
      </c>
      <c r="Q1395">
        <f>N(Q1394)+$P1395</f>
        <v>8</v>
      </c>
      <c r="R1395">
        <f>IF(AND($K1395=1,AND(对接源_02物料!$X195="公司筐",N(对接源_02物料!$U195)&lt;&gt;0)),1,0)</f>
        <v>0</v>
      </c>
      <c r="S1395">
        <f>N(S1394)+$R1395</f>
        <v>0</v>
      </c>
      <c r="T1395">
        <f>IF(AND($K1395=1,AND(对接源_02物料!$X195="公司筐",N(对接源_02物料!$V195)&lt;&gt;0)),1,0)</f>
        <v>0</v>
      </c>
      <c r="U1395">
        <f>N(U1394)+$T1395</f>
        <v>47</v>
      </c>
      <c r="V1395">
        <f>IF(AND($L1395=1,AND(对接源_02物料!$X195="自备筐",N(对接源_02物料!$V195)&lt;&gt;0)),1,0)</f>
        <v>0</v>
      </c>
      <c r="W1395">
        <f>N(W1394)+$V1395</f>
        <v>11</v>
      </c>
      <c r="X1395">
        <f>IF(AND($L1395=1,AND(对接源_02物料!$X195="自备筐",N(对接源_02物料!$T195)&lt;&gt;0)),1,0)</f>
        <v>0</v>
      </c>
      <c r="Y1395">
        <f>N(Y1394)+$X1395</f>
        <v>0</v>
      </c>
      <c r="Z1395">
        <f>IF(AND($M1395=1,对接源_02物料!$D195="原料入库"),1,0)</f>
        <v>0</v>
      </c>
      <c r="AA1395">
        <f>N(AA1394)+$Z1395</f>
        <v>24</v>
      </c>
      <c r="AB1395">
        <f>IF(AND($M1395=1,LEFT(对接源_02物料!$D195,4)="原料出库"),1,0)</f>
        <v>0</v>
      </c>
      <c r="AC1395">
        <f>N(AC1394)+$AB1395</f>
        <v>0</v>
      </c>
      <c r="AD1395">
        <f>IF(AND($M1395=1,LEFT(对接源_02物料!$D195,4)="成品出库"),1,0)</f>
        <v>0</v>
      </c>
      <c r="AE1395">
        <f>N(AE1394)+$AD1395</f>
        <v>0</v>
      </c>
      <c r="AF1395">
        <f>IF(AND($N1395=1,AND(LEFT(对接源_02物料!$D195,4)="包装物料",N(对接源_02物料!$K195)&lt;&gt;0)),1,0)</f>
        <v>0</v>
      </c>
      <c r="AG1395">
        <f>N(AG1394)+$AF1395</f>
        <v>10</v>
      </c>
      <c r="AH1395">
        <f>IF(AND($N1395=1,AND(对接源_02物料!$D195="周转筐－销售出库",N(对接源_02物料!$K195)&lt;&gt;0)),1,0)</f>
        <v>0</v>
      </c>
      <c r="AI1395">
        <f>N(AI1394)+$AH1395</f>
        <v>0</v>
      </c>
      <c r="AL1395" t="n">
        <v>0</v>
      </c>
      <c r="AM1395">
        <f>N(AM1394)+$AL1395</f>
        <v>2</v>
      </c>
      <c r="AN1395">
        <f>""</f>
      </c>
      <c r="AO1395" t="n">
        <v>0</v>
      </c>
      <c r="AP1395">
        <f>N(AP1394)+$AO1395</f>
        <v>13</v>
      </c>
      <c r="AR1395">
        <f>IF(OR($AF1395=1,$AH1395=1),1,0)</f>
        <v>0</v>
      </c>
      <c r="AS1395">
        <f>N(AS1394)+$AR1395</f>
        <v>10</v>
      </c>
    </row>
    <row r="1396" s="127">
      <c r="A1396" t="str">
        <f>IF(对接源_02物料!$C196="","",对接源_02物料!$C196)</f>
        <v>王灵云</v>
      </c>
      <c r="B1396">
        <f>IF(A1396="",0,IF(MATCH(A1396,$A$4:$A$2403,0)=ROW()-3,1,0))</f>
        <v>0</v>
      </c>
      <c r="C1396">
        <f>N(C1395)+B1396</f>
        <v>26</v>
      </c>
      <c r="K1396">
        <f>IF(OR($K$1="",对接源_02物料!$C196="",对接源_02物料!$C196&lt;&gt;$K$1,对接源_02物料!$B196=""),0,IF(OR(N(对接源_02物料!$B196)&lt;$K$2,N(对接源_02物料!$B196)&gt;$K$3),0,1))</f>
        <v>1</v>
      </c>
      <c r="L1396">
        <f>IF(OR($L$1="",对接源_02物料!$C196="",对接源_02物料!$C196&lt;&gt;$L$1,对接源_02物料!$B196=""),0,IF(OR(N(对接源_02物料!$B196)&lt;$L$2,N(对接源_02物料!$B196)&gt;$L$3),0,1))</f>
        <v>0</v>
      </c>
      <c r="M1396">
        <f>IF(OR($M$1="",对接源_02物料!$C196="",对接源_02物料!$C196&lt;&gt;$M$1,对接源_02物料!$B196=""),0,IF(OR(N(对接源_02物料!$B196)&lt;$M$2,N(对接源_02物料!$B196)&gt;$M$3),0,1))</f>
        <v>0</v>
      </c>
      <c r="N1396">
        <f>IF(OR($N$1="",对接源_02物料!$C196="",对接源_02物料!$C196&lt;&gt;$N$1,对接源_02物料!$B196=""),0,IF(OR(N(对接源_02物料!$B196)&lt;$N$2,N(对接源_02物料!$B196)&gt;$N$3),0,1))</f>
        <v>0</v>
      </c>
      <c r="P1396">
        <f>IF(AND($K1396=1,AND(对接源_02物料!$X196="公司筐",N(对接源_02物料!$T196)&lt;&gt;0)),1,0)</f>
        <v>1</v>
      </c>
      <c r="Q1396">
        <f>N(Q1395)+$P1396</f>
        <v>9</v>
      </c>
      <c r="R1396">
        <f>IF(AND($K1396=1,AND(对接源_02物料!$X196="公司筐",N(对接源_02物料!$U196)&lt;&gt;0)),1,0)</f>
        <v>0</v>
      </c>
      <c r="S1396">
        <f>N(S1395)+$R1396</f>
        <v>0</v>
      </c>
      <c r="T1396">
        <f>IF(AND($K1396=1,AND(对接源_02物料!$X196="公司筐",N(对接源_02物料!$V196)&lt;&gt;0)),1,0)</f>
        <v>0</v>
      </c>
      <c r="U1396">
        <f>N(U1395)+$T1396</f>
        <v>47</v>
      </c>
      <c r="V1396">
        <f>IF(AND($L1396=1,AND(对接源_02物料!$X196="自备筐",N(对接源_02物料!$V196)&lt;&gt;0)),1,0)</f>
        <v>0</v>
      </c>
      <c r="W1396">
        <f>N(W1395)+$V1396</f>
        <v>11</v>
      </c>
      <c r="X1396">
        <f>IF(AND($L1396=1,AND(对接源_02物料!$X196="自备筐",N(对接源_02物料!$T196)&lt;&gt;0)),1,0)</f>
        <v>0</v>
      </c>
      <c r="Y1396">
        <f>N(Y1395)+$X1396</f>
        <v>0</v>
      </c>
      <c r="Z1396">
        <f>IF(AND($M1396=1,对接源_02物料!$D196="原料入库"),1,0)</f>
        <v>0</v>
      </c>
      <c r="AA1396">
        <f>N(AA1395)+$Z1396</f>
        <v>24</v>
      </c>
      <c r="AB1396">
        <f>IF(AND($M1396=1,LEFT(对接源_02物料!$D196,4)="原料出库"),1,0)</f>
        <v>0</v>
      </c>
      <c r="AC1396">
        <f>N(AC1395)+$AB1396</f>
        <v>0</v>
      </c>
      <c r="AD1396">
        <f>IF(AND($M1396=1,LEFT(对接源_02物料!$D196,4)="成品出库"),1,0)</f>
        <v>0</v>
      </c>
      <c r="AE1396">
        <f>N(AE1395)+$AD1396</f>
        <v>0</v>
      </c>
      <c r="AF1396">
        <f>IF(AND($N1396=1,AND(LEFT(对接源_02物料!$D196,4)="包装物料",N(对接源_02物料!$K196)&lt;&gt;0)),1,0)</f>
        <v>0</v>
      </c>
      <c r="AG1396">
        <f>N(AG1395)+$AF1396</f>
        <v>10</v>
      </c>
      <c r="AH1396">
        <f>IF(AND($N1396=1,AND(对接源_02物料!$D196="周转筐－销售出库",N(对接源_02物料!$K196)&lt;&gt;0)),1,0)</f>
        <v>0</v>
      </c>
      <c r="AI1396">
        <f>N(AI1395)+$AH1396</f>
        <v>0</v>
      </c>
      <c r="AL1396" t="n">
        <v>0</v>
      </c>
      <c r="AM1396">
        <f>N(AM1395)+$AL1396</f>
        <v>2</v>
      </c>
      <c r="AN1396">
        <f>""</f>
      </c>
      <c r="AO1396" t="n">
        <v>0</v>
      </c>
      <c r="AP1396">
        <f>N(AP1395)+$AO1396</f>
        <v>13</v>
      </c>
      <c r="AR1396">
        <f>IF(OR($AF1396=1,$AH1396=1),1,0)</f>
        <v>0</v>
      </c>
      <c r="AS1396">
        <f>N(AS1395)+$AR1396</f>
        <v>10</v>
      </c>
    </row>
    <row r="1397" s="127">
      <c r="A1397" t="str">
        <f>IF(对接源_02物料!$C197="","",对接源_02物料!$C197)</f>
        <v>王照雪</v>
      </c>
      <c r="B1397">
        <f>IF(A1397="",0,IF(MATCH(A1397,$A$4:$A$2403,0)=ROW()-3,1,0))</f>
        <v>0</v>
      </c>
      <c r="C1397">
        <f>N(C1396)+B1397</f>
        <v>26</v>
      </c>
      <c r="K1397">
        <f>IF(OR($K$1="",对接源_02物料!$C197="",对接源_02物料!$C197&lt;&gt;$K$1,对接源_02物料!$B197=""),0,IF(OR(N(对接源_02物料!$B197)&lt;$K$2,N(对接源_02物料!$B197)&gt;$K$3),0,1))</f>
        <v>0</v>
      </c>
      <c r="L1397">
        <f>IF(OR($L$1="",对接源_02物料!$C197="",对接源_02物料!$C197&lt;&gt;$L$1,对接源_02物料!$B197=""),0,IF(OR(N(对接源_02物料!$B197)&lt;$L$2,N(对接源_02物料!$B197)&gt;$L$3),0,1))</f>
        <v>0</v>
      </c>
      <c r="M1397">
        <f>IF(OR($M$1="",对接源_02物料!$C197="",对接源_02物料!$C197&lt;&gt;$M$1,对接源_02物料!$B197=""),0,IF(OR(N(对接源_02物料!$B197)&lt;$M$2,N(对接源_02物料!$B197)&gt;$M$3),0,1))</f>
        <v>0</v>
      </c>
      <c r="N1397">
        <f>IF(OR($N$1="",对接源_02物料!$C197="",对接源_02物料!$C197&lt;&gt;$N$1,对接源_02物料!$B197=""),0,IF(OR(N(对接源_02物料!$B197)&lt;$N$2,N(对接源_02物料!$B197)&gt;$N$3),0,1))</f>
        <v>0</v>
      </c>
      <c r="P1397">
        <f>IF(AND($K1397=1,AND(对接源_02物料!$X197="公司筐",N(对接源_02物料!$T197)&lt;&gt;0)),1,0)</f>
        <v>0</v>
      </c>
      <c r="Q1397">
        <f>N(Q1396)+$P1397</f>
        <v>9</v>
      </c>
      <c r="R1397">
        <f>IF(AND($K1397=1,AND(对接源_02物料!$X197="公司筐",N(对接源_02物料!$U197)&lt;&gt;0)),1,0)</f>
        <v>0</v>
      </c>
      <c r="S1397">
        <f>N(S1396)+$R1397</f>
        <v>0</v>
      </c>
      <c r="T1397">
        <f>IF(AND($K1397=1,AND(对接源_02物料!$X197="公司筐",N(对接源_02物料!$V197)&lt;&gt;0)),1,0)</f>
        <v>0</v>
      </c>
      <c r="U1397">
        <f>N(U1396)+$T1397</f>
        <v>47</v>
      </c>
      <c r="V1397">
        <f>IF(AND($L1397=1,AND(对接源_02物料!$X197="自备筐",N(对接源_02物料!$V197)&lt;&gt;0)),1,0)</f>
        <v>0</v>
      </c>
      <c r="W1397">
        <f>N(W1396)+$V1397</f>
        <v>11</v>
      </c>
      <c r="X1397">
        <f>IF(AND($L1397=1,AND(对接源_02物料!$X197="自备筐",N(对接源_02物料!$T197)&lt;&gt;0)),1,0)</f>
        <v>0</v>
      </c>
      <c r="Y1397">
        <f>N(Y1396)+$X1397</f>
        <v>0</v>
      </c>
      <c r="Z1397">
        <f>IF(AND($M1397=1,对接源_02物料!$D197="原料入库"),1,0)</f>
        <v>0</v>
      </c>
      <c r="AA1397">
        <f>N(AA1396)+$Z1397</f>
        <v>24</v>
      </c>
      <c r="AB1397">
        <f>IF(AND($M1397=1,LEFT(对接源_02物料!$D197,4)="原料出库"),1,0)</f>
        <v>0</v>
      </c>
      <c r="AC1397">
        <f>N(AC1396)+$AB1397</f>
        <v>0</v>
      </c>
      <c r="AD1397">
        <f>IF(AND($M1397=1,LEFT(对接源_02物料!$D197,4)="成品出库"),1,0)</f>
        <v>0</v>
      </c>
      <c r="AE1397">
        <f>N(AE1396)+$AD1397</f>
        <v>0</v>
      </c>
      <c r="AF1397">
        <f>IF(AND($N1397=1,AND(LEFT(对接源_02物料!$D197,4)="包装物料",N(对接源_02物料!$K197)&lt;&gt;0)),1,0)</f>
        <v>0</v>
      </c>
      <c r="AG1397">
        <f>N(AG1396)+$AF1397</f>
        <v>10</v>
      </c>
      <c r="AH1397">
        <f>IF(AND($N1397=1,AND(对接源_02物料!$D197="周转筐－销售出库",N(对接源_02物料!$K197)&lt;&gt;0)),1,0)</f>
        <v>0</v>
      </c>
      <c r="AI1397">
        <f>N(AI1396)+$AH1397</f>
        <v>0</v>
      </c>
      <c r="AL1397" t="n">
        <v>0</v>
      </c>
      <c r="AM1397">
        <f>N(AM1396)+$AL1397</f>
        <v>2</v>
      </c>
      <c r="AN1397">
        <f>""</f>
      </c>
      <c r="AO1397" t="n">
        <v>0</v>
      </c>
      <c r="AP1397">
        <f>N(AP1396)+$AO1397</f>
        <v>13</v>
      </c>
      <c r="AR1397">
        <f>IF(OR($AF1397=1,$AH1397=1),1,0)</f>
        <v>0</v>
      </c>
      <c r="AS1397">
        <f>N(AS1396)+$AR1397</f>
        <v>10</v>
      </c>
    </row>
    <row r="1398" s="127">
      <c r="A1398" t="str">
        <f>IF(对接源_02物料!$C198="","",对接源_02物料!$C198)</f>
        <v>全修塑业</v>
      </c>
      <c r="B1398">
        <f>IF(A1398="",0,IF(MATCH(A1398,$A$4:$A$2403,0)=ROW()-3,1,0))</f>
        <v>0</v>
      </c>
      <c r="C1398">
        <f>N(C1397)+B1398</f>
        <v>26</v>
      </c>
      <c r="K1398">
        <f>IF(OR($K$1="",对接源_02物料!$C198="",对接源_02物料!$C198&lt;&gt;$K$1,对接源_02物料!$B198=""),0,IF(OR(N(对接源_02物料!$B198)&lt;$K$2,N(对接源_02物料!$B198)&gt;$K$3),0,1))</f>
        <v>0</v>
      </c>
      <c r="L1398">
        <f>IF(OR($L$1="",对接源_02物料!$C198="",对接源_02物料!$C198&lt;&gt;$L$1,对接源_02物料!$B198=""),0,IF(OR(N(对接源_02物料!$B198)&lt;$L$2,N(对接源_02物料!$B198)&gt;$L$3),0,1))</f>
        <v>0</v>
      </c>
      <c r="M1398">
        <f>IF(OR($M$1="",对接源_02物料!$C198="",对接源_02物料!$C198&lt;&gt;$M$1,对接源_02物料!$B198=""),0,IF(OR(N(对接源_02物料!$B198)&lt;$M$2,N(对接源_02物料!$B198)&gt;$M$3),0,1))</f>
        <v>0</v>
      </c>
      <c r="N1398">
        <f>IF(OR($N$1="",对接源_02物料!$C198="",对接源_02物料!$C198&lt;&gt;$N$1,对接源_02物料!$B198=""),0,IF(OR(N(对接源_02物料!$B198)&lt;$N$2,N(对接源_02物料!$B198)&gt;$N$3),0,1))</f>
        <v>0</v>
      </c>
      <c r="P1398">
        <f>IF(AND($K1398=1,AND(对接源_02物料!$X198="公司筐",N(对接源_02物料!$T198)&lt;&gt;0)),1,0)</f>
        <v>0</v>
      </c>
      <c r="Q1398">
        <f>N(Q1397)+$P1398</f>
        <v>9</v>
      </c>
      <c r="R1398">
        <f>IF(AND($K1398=1,AND(对接源_02物料!$X198="公司筐",N(对接源_02物料!$U198)&lt;&gt;0)),1,0)</f>
        <v>0</v>
      </c>
      <c r="S1398">
        <f>N(S1397)+$R1398</f>
        <v>0</v>
      </c>
      <c r="T1398">
        <f>IF(AND($K1398=1,AND(对接源_02物料!$X198="公司筐",N(对接源_02物料!$V198)&lt;&gt;0)),1,0)</f>
        <v>0</v>
      </c>
      <c r="U1398">
        <f>N(U1397)+$T1398</f>
        <v>47</v>
      </c>
      <c r="V1398">
        <f>IF(AND($L1398=1,AND(对接源_02物料!$X198="自备筐",N(对接源_02物料!$V198)&lt;&gt;0)),1,0)</f>
        <v>0</v>
      </c>
      <c r="W1398">
        <f>N(W1397)+$V1398</f>
        <v>11</v>
      </c>
      <c r="X1398">
        <f>IF(AND($L1398=1,AND(对接源_02物料!$X198="自备筐",N(对接源_02物料!$T198)&lt;&gt;0)),1,0)</f>
        <v>0</v>
      </c>
      <c r="Y1398">
        <f>N(Y1397)+$X1398</f>
        <v>0</v>
      </c>
      <c r="Z1398">
        <f>IF(AND($M1398=1,对接源_02物料!$D198="原料入库"),1,0)</f>
        <v>0</v>
      </c>
      <c r="AA1398">
        <f>N(AA1397)+$Z1398</f>
        <v>24</v>
      </c>
      <c r="AB1398">
        <f>IF(AND($M1398=1,LEFT(对接源_02物料!$D198,4)="原料出库"),1,0)</f>
        <v>0</v>
      </c>
      <c r="AC1398">
        <f>N(AC1397)+$AB1398</f>
        <v>0</v>
      </c>
      <c r="AD1398">
        <f>IF(AND($M1398=1,LEFT(对接源_02物料!$D198,4)="成品出库"),1,0)</f>
        <v>0</v>
      </c>
      <c r="AE1398">
        <f>N(AE1397)+$AD1398</f>
        <v>0</v>
      </c>
      <c r="AF1398">
        <f>IF(AND($N1398=1,AND(LEFT(对接源_02物料!$D198,4)="包装物料",N(对接源_02物料!$K198)&lt;&gt;0)),1,0)</f>
        <v>0</v>
      </c>
      <c r="AG1398">
        <f>N(AG1397)+$AF1398</f>
        <v>10</v>
      </c>
      <c r="AH1398">
        <f>IF(AND($N1398=1,AND(对接源_02物料!$D198="周转筐－销售出库",N(对接源_02物料!$K198)&lt;&gt;0)),1,0)</f>
        <v>0</v>
      </c>
      <c r="AI1398">
        <f>N(AI1397)+$AH1398</f>
        <v>0</v>
      </c>
      <c r="AL1398" t="n">
        <v>0</v>
      </c>
      <c r="AM1398">
        <f>N(AM1397)+$AL1398</f>
        <v>2</v>
      </c>
      <c r="AN1398">
        <f>""</f>
      </c>
      <c r="AO1398" t="n">
        <v>0</v>
      </c>
      <c r="AP1398">
        <f>N(AP1397)+$AO1398</f>
        <v>13</v>
      </c>
      <c r="AR1398">
        <f>IF(OR($AF1398=1,$AH1398=1),1,0)</f>
        <v>0</v>
      </c>
      <c r="AS1398">
        <f>N(AS1397)+$AR1398</f>
        <v>10</v>
      </c>
    </row>
    <row r="1399" s="127">
      <c r="A1399" t="str">
        <f>IF(对接源_02物料!$C199="","",对接源_02物料!$C199)</f>
        <v>全修塑业</v>
      </c>
      <c r="B1399">
        <f>IF(A1399="",0,IF(MATCH(A1399,$A$4:$A$2403,0)=ROW()-3,1,0))</f>
        <v>0</v>
      </c>
      <c r="C1399">
        <f>N(C1398)+B1399</f>
        <v>26</v>
      </c>
      <c r="K1399">
        <f>IF(OR($K$1="",对接源_02物料!$C199="",对接源_02物料!$C199&lt;&gt;$K$1,对接源_02物料!$B199=""),0,IF(OR(N(对接源_02物料!$B199)&lt;$K$2,N(对接源_02物料!$B199)&gt;$K$3),0,1))</f>
        <v>0</v>
      </c>
      <c r="L1399">
        <f>IF(OR($L$1="",对接源_02物料!$C199="",对接源_02物料!$C199&lt;&gt;$L$1,对接源_02物料!$B199=""),0,IF(OR(N(对接源_02物料!$B199)&lt;$L$2,N(对接源_02物料!$B199)&gt;$L$3),0,1))</f>
        <v>0</v>
      </c>
      <c r="M1399">
        <f>IF(OR($M$1="",对接源_02物料!$C199="",对接源_02物料!$C199&lt;&gt;$M$1,对接源_02物料!$B199=""),0,IF(OR(N(对接源_02物料!$B199)&lt;$M$2,N(对接源_02物料!$B199)&gt;$M$3),0,1))</f>
        <v>0</v>
      </c>
      <c r="N1399">
        <f>IF(OR($N$1="",对接源_02物料!$C199="",对接源_02物料!$C199&lt;&gt;$N$1,对接源_02物料!$B199=""),0,IF(OR(N(对接源_02物料!$B199)&lt;$N$2,N(对接源_02物料!$B199)&gt;$N$3),0,1))</f>
        <v>0</v>
      </c>
      <c r="P1399">
        <f>IF(AND($K1399=1,AND(对接源_02物料!$X199="公司筐",N(对接源_02物料!$T199)&lt;&gt;0)),1,0)</f>
        <v>0</v>
      </c>
      <c r="Q1399">
        <f>N(Q1398)+$P1399</f>
        <v>9</v>
      </c>
      <c r="R1399">
        <f>IF(AND($K1399=1,AND(对接源_02物料!$X199="公司筐",N(对接源_02物料!$U199)&lt;&gt;0)),1,0)</f>
        <v>0</v>
      </c>
      <c r="S1399">
        <f>N(S1398)+$R1399</f>
        <v>0</v>
      </c>
      <c r="T1399">
        <f>IF(AND($K1399=1,AND(对接源_02物料!$X199="公司筐",N(对接源_02物料!$V199)&lt;&gt;0)),1,0)</f>
        <v>0</v>
      </c>
      <c r="U1399">
        <f>N(U1398)+$T1399</f>
        <v>47</v>
      </c>
      <c r="V1399">
        <f>IF(AND($L1399=1,AND(对接源_02物料!$X199="自备筐",N(对接源_02物料!$V199)&lt;&gt;0)),1,0)</f>
        <v>0</v>
      </c>
      <c r="W1399">
        <f>N(W1398)+$V1399</f>
        <v>11</v>
      </c>
      <c r="X1399">
        <f>IF(AND($L1399=1,AND(对接源_02物料!$X199="自备筐",N(对接源_02物料!$T199)&lt;&gt;0)),1,0)</f>
        <v>0</v>
      </c>
      <c r="Y1399">
        <f>N(Y1398)+$X1399</f>
        <v>0</v>
      </c>
      <c r="Z1399">
        <f>IF(AND($M1399=1,对接源_02物料!$D199="原料入库"),1,0)</f>
        <v>0</v>
      </c>
      <c r="AA1399">
        <f>N(AA1398)+$Z1399</f>
        <v>24</v>
      </c>
      <c r="AB1399">
        <f>IF(AND($M1399=1,LEFT(对接源_02物料!$D199,4)="原料出库"),1,0)</f>
        <v>0</v>
      </c>
      <c r="AC1399">
        <f>N(AC1398)+$AB1399</f>
        <v>0</v>
      </c>
      <c r="AD1399">
        <f>IF(AND($M1399=1,LEFT(对接源_02物料!$D199,4)="成品出库"),1,0)</f>
        <v>0</v>
      </c>
      <c r="AE1399">
        <f>N(AE1398)+$AD1399</f>
        <v>0</v>
      </c>
      <c r="AF1399">
        <f>IF(AND($N1399=1,AND(LEFT(对接源_02物料!$D199,4)="包装物料",N(对接源_02物料!$K199)&lt;&gt;0)),1,0)</f>
        <v>0</v>
      </c>
      <c r="AG1399">
        <f>N(AG1398)+$AF1399</f>
        <v>10</v>
      </c>
      <c r="AH1399">
        <f>IF(AND($N1399=1,AND(对接源_02物料!$D199="周转筐－销售出库",N(对接源_02物料!$K199)&lt;&gt;0)),1,0)</f>
        <v>0</v>
      </c>
      <c r="AI1399">
        <f>N(AI1398)+$AH1399</f>
        <v>0</v>
      </c>
      <c r="AL1399" t="n">
        <v>0</v>
      </c>
      <c r="AM1399">
        <f>N(AM1398)+$AL1399</f>
        <v>2</v>
      </c>
      <c r="AN1399">
        <f>""</f>
      </c>
      <c r="AO1399" t="n">
        <v>0</v>
      </c>
      <c r="AP1399">
        <f>N(AP1398)+$AO1399</f>
        <v>13</v>
      </c>
      <c r="AR1399">
        <f>IF(OR($AF1399=1,$AH1399=1),1,0)</f>
        <v>0</v>
      </c>
      <c r="AS1399">
        <f>N(AS1398)+$AR1399</f>
        <v>10</v>
      </c>
    </row>
    <row r="1400" s="127">
      <c r="A1400" t="str">
        <f>IF(对接源_02物料!$C200="","",对接源_02物料!$C200)</f>
        <v>全修塑业</v>
      </c>
      <c r="B1400">
        <f>IF(A1400="",0,IF(MATCH(A1400,$A$4:$A$2403,0)=ROW()-3,1,0))</f>
        <v>0</v>
      </c>
      <c r="C1400">
        <f>N(C1399)+B1400</f>
        <v>26</v>
      </c>
      <c r="K1400">
        <f>IF(OR($K$1="",对接源_02物料!$C200="",对接源_02物料!$C200&lt;&gt;$K$1,对接源_02物料!$B200=""),0,IF(OR(N(对接源_02物料!$B200)&lt;$K$2,N(对接源_02物料!$B200)&gt;$K$3),0,1))</f>
        <v>0</v>
      </c>
      <c r="L1400">
        <f>IF(OR($L$1="",对接源_02物料!$C200="",对接源_02物料!$C200&lt;&gt;$L$1,对接源_02物料!$B200=""),0,IF(OR(N(对接源_02物料!$B200)&lt;$L$2,N(对接源_02物料!$B200)&gt;$L$3),0,1))</f>
        <v>0</v>
      </c>
      <c r="M1400">
        <f>IF(OR($M$1="",对接源_02物料!$C200="",对接源_02物料!$C200&lt;&gt;$M$1,对接源_02物料!$B200=""),0,IF(OR(N(对接源_02物料!$B200)&lt;$M$2,N(对接源_02物料!$B200)&gt;$M$3),0,1))</f>
        <v>0</v>
      </c>
      <c r="N1400">
        <f>IF(OR($N$1="",对接源_02物料!$C200="",对接源_02物料!$C200&lt;&gt;$N$1,对接源_02物料!$B200=""),0,IF(OR(N(对接源_02物料!$B200)&lt;$N$2,N(对接源_02物料!$B200)&gt;$N$3),0,1))</f>
        <v>0</v>
      </c>
      <c r="P1400">
        <f>IF(AND($K1400=1,AND(对接源_02物料!$X200="公司筐",N(对接源_02物料!$T200)&lt;&gt;0)),1,0)</f>
        <v>0</v>
      </c>
      <c r="Q1400">
        <f>N(Q1399)+$P1400</f>
        <v>9</v>
      </c>
      <c r="R1400">
        <f>IF(AND($K1400=1,AND(对接源_02物料!$X200="公司筐",N(对接源_02物料!$U200)&lt;&gt;0)),1,0)</f>
        <v>0</v>
      </c>
      <c r="S1400">
        <f>N(S1399)+$R1400</f>
        <v>0</v>
      </c>
      <c r="T1400">
        <f>IF(AND($K1400=1,AND(对接源_02物料!$X200="公司筐",N(对接源_02物料!$V200)&lt;&gt;0)),1,0)</f>
        <v>0</v>
      </c>
      <c r="U1400">
        <f>N(U1399)+$T1400</f>
        <v>47</v>
      </c>
      <c r="V1400">
        <f>IF(AND($L1400=1,AND(对接源_02物料!$X200="自备筐",N(对接源_02物料!$V200)&lt;&gt;0)),1,0)</f>
        <v>0</v>
      </c>
      <c r="W1400">
        <f>N(W1399)+$V1400</f>
        <v>11</v>
      </c>
      <c r="X1400">
        <f>IF(AND($L1400=1,AND(对接源_02物料!$X200="自备筐",N(对接源_02物料!$T200)&lt;&gt;0)),1,0)</f>
        <v>0</v>
      </c>
      <c r="Y1400">
        <f>N(Y1399)+$X1400</f>
        <v>0</v>
      </c>
      <c r="Z1400">
        <f>IF(AND($M1400=1,对接源_02物料!$D200="原料入库"),1,0)</f>
        <v>0</v>
      </c>
      <c r="AA1400">
        <f>N(AA1399)+$Z1400</f>
        <v>24</v>
      </c>
      <c r="AB1400">
        <f>IF(AND($M1400=1,LEFT(对接源_02物料!$D200,4)="原料出库"),1,0)</f>
        <v>0</v>
      </c>
      <c r="AC1400">
        <f>N(AC1399)+$AB1400</f>
        <v>0</v>
      </c>
      <c r="AD1400">
        <f>IF(AND($M1400=1,LEFT(对接源_02物料!$D200,4)="成品出库"),1,0)</f>
        <v>0</v>
      </c>
      <c r="AE1400">
        <f>N(AE1399)+$AD1400</f>
        <v>0</v>
      </c>
      <c r="AF1400">
        <f>IF(AND($N1400=1,AND(LEFT(对接源_02物料!$D200,4)="包装物料",N(对接源_02物料!$K200)&lt;&gt;0)),1,0)</f>
        <v>0</v>
      </c>
      <c r="AG1400">
        <f>N(AG1399)+$AF1400</f>
        <v>10</v>
      </c>
      <c r="AH1400">
        <f>IF(AND($N1400=1,AND(对接源_02物料!$D200="周转筐－销售出库",N(对接源_02物料!$K200)&lt;&gt;0)),1,0)</f>
        <v>0</v>
      </c>
      <c r="AI1400">
        <f>N(AI1399)+$AH1400</f>
        <v>0</v>
      </c>
      <c r="AL1400" t="n">
        <v>0</v>
      </c>
      <c r="AM1400">
        <f>N(AM1399)+$AL1400</f>
        <v>2</v>
      </c>
      <c r="AN1400">
        <f>""</f>
      </c>
      <c r="AO1400" t="n">
        <v>0</v>
      </c>
      <c r="AP1400">
        <f>N(AP1399)+$AO1400</f>
        <v>13</v>
      </c>
      <c r="AR1400">
        <f>IF(OR($AF1400=1,$AH1400=1),1,0)</f>
        <v>0</v>
      </c>
      <c r="AS1400">
        <f>N(AS1399)+$AR1400</f>
        <v>10</v>
      </c>
    </row>
    <row r="1401" s="127">
      <c r="A1401" t="str">
        <f>IF(对接源_02物料!$C201="","",对接源_02物料!$C201)</f>
        <v>努尔敦</v>
      </c>
      <c r="B1401">
        <f>IF(A1401="",0,IF(MATCH(A1401,$A$4:$A$2403,0)=ROW()-3,1,0))</f>
        <v>0</v>
      </c>
      <c r="C1401">
        <f>N(C1400)+B1401</f>
        <v>26</v>
      </c>
      <c r="K1401">
        <f>IF(OR($K$1="",对接源_02物料!$C201="",对接源_02物料!$C201&lt;&gt;$K$1,对接源_02物料!$B201=""),0,IF(OR(N(对接源_02物料!$B201)&lt;$K$2,N(对接源_02物料!$B201)&gt;$K$3),0,1))</f>
        <v>0</v>
      </c>
      <c r="L1401">
        <f>IF(OR($L$1="",对接源_02物料!$C201="",对接源_02物料!$C201&lt;&gt;$L$1,对接源_02物料!$B201=""),0,IF(OR(N(对接源_02物料!$B201)&lt;$L$2,N(对接源_02物料!$B201)&gt;$L$3),0,1))</f>
        <v>0</v>
      </c>
      <c r="M1401">
        <f>IF(OR($M$1="",对接源_02物料!$C201="",对接源_02物料!$C201&lt;&gt;$M$1,对接源_02物料!$B201=""),0,IF(OR(N(对接源_02物料!$B201)&lt;$M$2,N(对接源_02物料!$B201)&gt;$M$3),0,1))</f>
        <v>0</v>
      </c>
      <c r="N1401">
        <f>IF(OR($N$1="",对接源_02物料!$C201="",对接源_02物料!$C201&lt;&gt;$N$1,对接源_02物料!$B201=""),0,IF(OR(N(对接源_02物料!$B201)&lt;$N$2,N(对接源_02物料!$B201)&gt;$N$3),0,1))</f>
        <v>0</v>
      </c>
      <c r="P1401">
        <f>IF(AND($K1401=1,AND(对接源_02物料!$X201="公司筐",N(对接源_02物料!$T201)&lt;&gt;0)),1,0)</f>
        <v>0</v>
      </c>
      <c r="Q1401">
        <f>N(Q1400)+$P1401</f>
        <v>9</v>
      </c>
      <c r="R1401">
        <f>IF(AND($K1401=1,AND(对接源_02物料!$X201="公司筐",N(对接源_02物料!$U201)&lt;&gt;0)),1,0)</f>
        <v>0</v>
      </c>
      <c r="S1401">
        <f>N(S1400)+$R1401</f>
        <v>0</v>
      </c>
      <c r="T1401">
        <f>IF(AND($K1401=1,AND(对接源_02物料!$X201="公司筐",N(对接源_02物料!$V201)&lt;&gt;0)),1,0)</f>
        <v>0</v>
      </c>
      <c r="U1401">
        <f>N(U1400)+$T1401</f>
        <v>47</v>
      </c>
      <c r="V1401">
        <f>IF(AND($L1401=1,AND(对接源_02物料!$X201="自备筐",N(对接源_02物料!$V201)&lt;&gt;0)),1,0)</f>
        <v>0</v>
      </c>
      <c r="W1401">
        <f>N(W1400)+$V1401</f>
        <v>11</v>
      </c>
      <c r="X1401">
        <f>IF(AND($L1401=1,AND(对接源_02物料!$X201="自备筐",N(对接源_02物料!$T201)&lt;&gt;0)),1,0)</f>
        <v>0</v>
      </c>
      <c r="Y1401">
        <f>N(Y1400)+$X1401</f>
        <v>0</v>
      </c>
      <c r="Z1401">
        <f>IF(AND($M1401=1,对接源_02物料!$D201="原料入库"),1,0)</f>
        <v>0</v>
      </c>
      <c r="AA1401">
        <f>N(AA1400)+$Z1401</f>
        <v>24</v>
      </c>
      <c r="AB1401">
        <f>IF(AND($M1401=1,LEFT(对接源_02物料!$D201,4)="原料出库"),1,0)</f>
        <v>0</v>
      </c>
      <c r="AC1401">
        <f>N(AC1400)+$AB1401</f>
        <v>0</v>
      </c>
      <c r="AD1401">
        <f>IF(AND($M1401=1,LEFT(对接源_02物料!$D201,4)="成品出库"),1,0)</f>
        <v>0</v>
      </c>
      <c r="AE1401">
        <f>N(AE1400)+$AD1401</f>
        <v>0</v>
      </c>
      <c r="AF1401">
        <f>IF(AND($N1401=1,AND(LEFT(对接源_02物料!$D201,4)="包装物料",N(对接源_02物料!$K201)&lt;&gt;0)),1,0)</f>
        <v>0</v>
      </c>
      <c r="AG1401">
        <f>N(AG1400)+$AF1401</f>
        <v>10</v>
      </c>
      <c r="AH1401">
        <f>IF(AND($N1401=1,AND(对接源_02物料!$D201="周转筐－销售出库",N(对接源_02物料!$K201)&lt;&gt;0)),1,0)</f>
        <v>0</v>
      </c>
      <c r="AI1401">
        <f>N(AI1400)+$AH1401</f>
        <v>0</v>
      </c>
      <c r="AL1401" t="n">
        <v>0</v>
      </c>
      <c r="AM1401">
        <f>N(AM1400)+$AL1401</f>
        <v>2</v>
      </c>
      <c r="AN1401">
        <f>""</f>
      </c>
      <c r="AO1401" t="n">
        <v>0</v>
      </c>
      <c r="AP1401">
        <f>N(AP1400)+$AO1401</f>
        <v>13</v>
      </c>
      <c r="AR1401">
        <f>IF(OR($AF1401=1,$AH1401=1),1,0)</f>
        <v>0</v>
      </c>
      <c r="AS1401">
        <f>N(AS1400)+$AR1401</f>
        <v>10</v>
      </c>
    </row>
    <row r="1402" s="127">
      <c r="A1402" t="str">
        <f>IF(对接源_02物料!$C202="","",对接源_02物料!$C202)</f>
        <v>贾建国</v>
      </c>
      <c r="B1402">
        <f>IF(A1402="",0,IF(MATCH(A1402,$A$4:$A$2403,0)=ROW()-3,1,0))</f>
        <v>0</v>
      </c>
      <c r="C1402">
        <f>N(C1401)+B1402</f>
        <v>26</v>
      </c>
      <c r="K1402">
        <f>IF(OR($K$1="",对接源_02物料!$C202="",对接源_02物料!$C202&lt;&gt;$K$1,对接源_02物料!$B202=""),0,IF(OR(N(对接源_02物料!$B202)&lt;$K$2,N(对接源_02物料!$B202)&gt;$K$3),0,1))</f>
        <v>0</v>
      </c>
      <c r="L1402">
        <f>IF(OR($L$1="",对接源_02物料!$C202="",对接源_02物料!$C202&lt;&gt;$L$1,对接源_02物料!$B202=""),0,IF(OR(N(对接源_02物料!$B202)&lt;$L$2,N(对接源_02物料!$B202)&gt;$L$3),0,1))</f>
        <v>1</v>
      </c>
      <c r="M1402">
        <f>IF(OR($M$1="",对接源_02物料!$C202="",对接源_02物料!$C202&lt;&gt;$M$1,对接源_02物料!$B202=""),0,IF(OR(N(对接源_02物料!$B202)&lt;$M$2,N(对接源_02物料!$B202)&gt;$M$3),0,1))</f>
        <v>0</v>
      </c>
      <c r="N1402">
        <f>IF(OR($N$1="",对接源_02物料!$C202="",对接源_02物料!$C202&lt;&gt;$N$1,对接源_02物料!$B202=""),0,IF(OR(N(对接源_02物料!$B202)&lt;$N$2,N(对接源_02物料!$B202)&gt;$N$3),0,1))</f>
        <v>0</v>
      </c>
      <c r="P1402">
        <f>IF(AND($K1402=1,AND(对接源_02物料!$X202="公司筐",N(对接源_02物料!$T202)&lt;&gt;0)),1,0)</f>
        <v>0</v>
      </c>
      <c r="Q1402">
        <f>N(Q1401)+$P1402</f>
        <v>9</v>
      </c>
      <c r="R1402">
        <f>IF(AND($K1402=1,AND(对接源_02物料!$X202="公司筐",N(对接源_02物料!$U202)&lt;&gt;0)),1,0)</f>
        <v>0</v>
      </c>
      <c r="S1402">
        <f>N(S1401)+$R1402</f>
        <v>0</v>
      </c>
      <c r="T1402">
        <f>IF(AND($K1402=1,AND(对接源_02物料!$X202="公司筐",N(对接源_02物料!$V202)&lt;&gt;0)),1,0)</f>
        <v>0</v>
      </c>
      <c r="U1402">
        <f>N(U1401)+$T1402</f>
        <v>47</v>
      </c>
      <c r="V1402">
        <f>IF(AND($L1402=1,AND(对接源_02物料!$X202="自备筐",N(对接源_02物料!$V202)&lt;&gt;0)),1,0)</f>
        <v>0</v>
      </c>
      <c r="W1402">
        <f>N(W1401)+$V1402</f>
        <v>11</v>
      </c>
      <c r="X1402">
        <f>IF(AND($L1402=1,AND(对接源_02物料!$X202="自备筐",N(对接源_02物料!$T202)&lt;&gt;0)),1,0)</f>
        <v>0</v>
      </c>
      <c r="Y1402">
        <f>N(Y1401)+$X1402</f>
        <v>0</v>
      </c>
      <c r="Z1402">
        <f>IF(AND($M1402=1,对接源_02物料!$D202="原料入库"),1,0)</f>
        <v>0</v>
      </c>
      <c r="AA1402">
        <f>N(AA1401)+$Z1402</f>
        <v>24</v>
      </c>
      <c r="AB1402">
        <f>IF(AND($M1402=1,LEFT(对接源_02物料!$D202,4)="原料出库"),1,0)</f>
        <v>0</v>
      </c>
      <c r="AC1402">
        <f>N(AC1401)+$AB1402</f>
        <v>0</v>
      </c>
      <c r="AD1402">
        <f>IF(AND($M1402=1,LEFT(对接源_02物料!$D202,4)="成品出库"),1,0)</f>
        <v>0</v>
      </c>
      <c r="AE1402">
        <f>N(AE1401)+$AD1402</f>
        <v>0</v>
      </c>
      <c r="AF1402">
        <f>IF(AND($N1402=1,AND(LEFT(对接源_02物料!$D202,4)="包装物料",N(对接源_02物料!$K202)&lt;&gt;0)),1,0)</f>
        <v>0</v>
      </c>
      <c r="AG1402">
        <f>N(AG1401)+$AF1402</f>
        <v>10</v>
      </c>
      <c r="AH1402">
        <f>IF(AND($N1402=1,AND(对接源_02物料!$D202="周转筐－销售出库",N(对接源_02物料!$K202)&lt;&gt;0)),1,0)</f>
        <v>0</v>
      </c>
      <c r="AI1402">
        <f>N(AI1401)+$AH1402</f>
        <v>0</v>
      </c>
      <c r="AL1402" t="n">
        <v>0</v>
      </c>
      <c r="AM1402">
        <f>N(AM1401)+$AL1402</f>
        <v>2</v>
      </c>
      <c r="AN1402">
        <f>""</f>
      </c>
      <c r="AO1402" t="n">
        <v>0</v>
      </c>
      <c r="AP1402">
        <f>N(AP1401)+$AO1402</f>
        <v>13</v>
      </c>
      <c r="AR1402">
        <f>IF(OR($AF1402=1,$AH1402=1),1,0)</f>
        <v>0</v>
      </c>
      <c r="AS1402">
        <f>N(AS1401)+$AR1402</f>
        <v>10</v>
      </c>
    </row>
    <row r="1403" s="127">
      <c r="A1403" t="str">
        <f>IF(对接源_02物料!$C203="","",对接源_02物料!$C203)</f>
        <v>李现东</v>
      </c>
      <c r="B1403">
        <f>IF(A1403="",0,IF(MATCH(A1403,$A$4:$A$2403,0)=ROW()-3,1,0))</f>
        <v>0</v>
      </c>
      <c r="C1403">
        <f>N(C1402)+B1403</f>
        <v>26</v>
      </c>
      <c r="K1403">
        <f>IF(OR($K$1="",对接源_02物料!$C203="",对接源_02物料!$C203&lt;&gt;$K$1,对接源_02物料!$B203=""),0,IF(OR(N(对接源_02物料!$B203)&lt;$K$2,N(对接源_02物料!$B203)&gt;$K$3),0,1))</f>
        <v>0</v>
      </c>
      <c r="L1403">
        <f>IF(OR($L$1="",对接源_02物料!$C203="",对接源_02物料!$C203&lt;&gt;$L$1,对接源_02物料!$B203=""),0,IF(OR(N(对接源_02物料!$B203)&lt;$L$2,N(对接源_02物料!$B203)&gt;$L$3),0,1))</f>
        <v>0</v>
      </c>
      <c r="M1403">
        <f>IF(OR($M$1="",对接源_02物料!$C203="",对接源_02物料!$C203&lt;&gt;$M$1,对接源_02物料!$B203=""),0,IF(OR(N(对接源_02物料!$B203)&lt;$M$2,N(对接源_02物料!$B203)&gt;$M$3),0,1))</f>
        <v>0</v>
      </c>
      <c r="N1403">
        <f>IF(OR($N$1="",对接源_02物料!$C203="",对接源_02物料!$C203&lt;&gt;$N$1,对接源_02物料!$B203=""),0,IF(OR(N(对接源_02物料!$B203)&lt;$N$2,N(对接源_02物料!$B203)&gt;$N$3),0,1))</f>
        <v>0</v>
      </c>
      <c r="P1403">
        <f>IF(AND($K1403=1,AND(对接源_02物料!$X203="公司筐",N(对接源_02物料!$T203)&lt;&gt;0)),1,0)</f>
        <v>0</v>
      </c>
      <c r="Q1403">
        <f>N(Q1402)+$P1403</f>
        <v>9</v>
      </c>
      <c r="R1403">
        <f>IF(AND($K1403=1,AND(对接源_02物料!$X203="公司筐",N(对接源_02物料!$U203)&lt;&gt;0)),1,0)</f>
        <v>0</v>
      </c>
      <c r="S1403">
        <f>N(S1402)+$R1403</f>
        <v>0</v>
      </c>
      <c r="T1403">
        <f>IF(AND($K1403=1,AND(对接源_02物料!$X203="公司筐",N(对接源_02物料!$V203)&lt;&gt;0)),1,0)</f>
        <v>0</v>
      </c>
      <c r="U1403">
        <f>N(U1402)+$T1403</f>
        <v>47</v>
      </c>
      <c r="V1403">
        <f>IF(AND($L1403=1,AND(对接源_02物料!$X203="自备筐",N(对接源_02物料!$V203)&lt;&gt;0)),1,0)</f>
        <v>0</v>
      </c>
      <c r="W1403">
        <f>N(W1402)+$V1403</f>
        <v>11</v>
      </c>
      <c r="X1403">
        <f>IF(AND($L1403=1,AND(对接源_02物料!$X203="自备筐",N(对接源_02物料!$T203)&lt;&gt;0)),1,0)</f>
        <v>0</v>
      </c>
      <c r="Y1403">
        <f>N(Y1402)+$X1403</f>
        <v>0</v>
      </c>
      <c r="Z1403">
        <f>IF(AND($M1403=1,对接源_02物料!$D203="原料入库"),1,0)</f>
        <v>0</v>
      </c>
      <c r="AA1403">
        <f>N(AA1402)+$Z1403</f>
        <v>24</v>
      </c>
      <c r="AB1403">
        <f>IF(AND($M1403=1,LEFT(对接源_02物料!$D203,4)="原料出库"),1,0)</f>
        <v>0</v>
      </c>
      <c r="AC1403">
        <f>N(AC1402)+$AB1403</f>
        <v>0</v>
      </c>
      <c r="AD1403">
        <f>IF(AND($M1403=1,LEFT(对接源_02物料!$D203,4)="成品出库"),1,0)</f>
        <v>0</v>
      </c>
      <c r="AE1403">
        <f>N(AE1402)+$AD1403</f>
        <v>0</v>
      </c>
      <c r="AF1403">
        <f>IF(AND($N1403=1,AND(LEFT(对接源_02物料!$D203,4)="包装物料",N(对接源_02物料!$K203)&lt;&gt;0)),1,0)</f>
        <v>0</v>
      </c>
      <c r="AG1403">
        <f>N(AG1402)+$AF1403</f>
        <v>10</v>
      </c>
      <c r="AH1403">
        <f>IF(AND($N1403=1,AND(对接源_02物料!$D203="周转筐－销售出库",N(对接源_02物料!$K203)&lt;&gt;0)),1,0)</f>
        <v>0</v>
      </c>
      <c r="AI1403">
        <f>N(AI1402)+$AH1403</f>
        <v>0</v>
      </c>
      <c r="AL1403" t="n">
        <v>0</v>
      </c>
      <c r="AM1403">
        <f>N(AM1402)+$AL1403</f>
        <v>2</v>
      </c>
      <c r="AN1403">
        <f>""</f>
      </c>
      <c r="AO1403" t="n">
        <v>0</v>
      </c>
      <c r="AP1403">
        <f>N(AP1402)+$AO1403</f>
        <v>13</v>
      </c>
      <c r="AR1403">
        <f>IF(OR($AF1403=1,$AH1403=1),1,0)</f>
        <v>0</v>
      </c>
      <c r="AS1403">
        <f>N(AS1402)+$AR1403</f>
        <v>10</v>
      </c>
    </row>
    <row r="1404" s="127">
      <c r="A1404" t="str">
        <f>IF(对接源_02物料!$C204="","",对接源_02物料!$C204)</f>
        <v>麦麦提</v>
      </c>
      <c r="B1404">
        <f>IF(A1404="",0,IF(MATCH(A1404,$A$4:$A$2403,0)=ROW()-3,1,0))</f>
        <v>0</v>
      </c>
      <c r="C1404">
        <f>N(C1403)+B1404</f>
        <v>26</v>
      </c>
      <c r="K1404">
        <f>IF(OR($K$1="",对接源_02物料!$C204="",对接源_02物料!$C204&lt;&gt;$K$1,对接源_02物料!$B204=""),0,IF(OR(N(对接源_02物料!$B204)&lt;$K$2,N(对接源_02物料!$B204)&gt;$K$3),0,1))</f>
        <v>0</v>
      </c>
      <c r="L1404">
        <f>IF(OR($L$1="",对接源_02物料!$C204="",对接源_02物料!$C204&lt;&gt;$L$1,对接源_02物料!$B204=""),0,IF(OR(N(对接源_02物料!$B204)&lt;$L$2,N(对接源_02物料!$B204)&gt;$L$3),0,1))</f>
        <v>0</v>
      </c>
      <c r="M1404">
        <f>IF(OR($M$1="",对接源_02物料!$C204="",对接源_02物料!$C204&lt;&gt;$M$1,对接源_02物料!$B204=""),0,IF(OR(N(对接源_02物料!$B204)&lt;$M$2,N(对接源_02物料!$B204)&gt;$M$3),0,1))</f>
        <v>0</v>
      </c>
      <c r="N1404">
        <f>IF(OR($N$1="",对接源_02物料!$C204="",对接源_02物料!$C204&lt;&gt;$N$1,对接源_02物料!$B204=""),0,IF(OR(N(对接源_02物料!$B204)&lt;$N$2,N(对接源_02物料!$B204)&gt;$N$3),0,1))</f>
        <v>1</v>
      </c>
      <c r="P1404">
        <f>IF(AND($K1404=1,AND(对接源_02物料!$X204="公司筐",N(对接源_02物料!$T204)&lt;&gt;0)),1,0)</f>
        <v>0</v>
      </c>
      <c r="Q1404">
        <f>N(Q1403)+$P1404</f>
        <v>9</v>
      </c>
      <c r="R1404">
        <f>IF(AND($K1404=1,AND(对接源_02物料!$X204="公司筐",N(对接源_02物料!$U204)&lt;&gt;0)),1,0)</f>
        <v>0</v>
      </c>
      <c r="S1404">
        <f>N(S1403)+$R1404</f>
        <v>0</v>
      </c>
      <c r="T1404">
        <f>IF(AND($K1404=1,AND(对接源_02物料!$X204="公司筐",N(对接源_02物料!$V204)&lt;&gt;0)),1,0)</f>
        <v>0</v>
      </c>
      <c r="U1404">
        <f>N(U1403)+$T1404</f>
        <v>47</v>
      </c>
      <c r="V1404">
        <f>IF(AND($L1404=1,AND(对接源_02物料!$X204="自备筐",N(对接源_02物料!$V204)&lt;&gt;0)),1,0)</f>
        <v>0</v>
      </c>
      <c r="W1404">
        <f>N(W1403)+$V1404</f>
        <v>11</v>
      </c>
      <c r="X1404">
        <f>IF(AND($L1404=1,AND(对接源_02物料!$X204="自备筐",N(对接源_02物料!$T204)&lt;&gt;0)),1,0)</f>
        <v>0</v>
      </c>
      <c r="Y1404">
        <f>N(Y1403)+$X1404</f>
        <v>0</v>
      </c>
      <c r="Z1404">
        <f>IF(AND($M1404=1,对接源_02物料!$D204="原料入库"),1,0)</f>
        <v>0</v>
      </c>
      <c r="AA1404">
        <f>N(AA1403)+$Z1404</f>
        <v>24</v>
      </c>
      <c r="AB1404">
        <f>IF(AND($M1404=1,LEFT(对接源_02物料!$D204,4)="原料出库"),1,0)</f>
        <v>0</v>
      </c>
      <c r="AC1404">
        <f>N(AC1403)+$AB1404</f>
        <v>0</v>
      </c>
      <c r="AD1404">
        <f>IF(AND($M1404=1,LEFT(对接源_02物料!$D204,4)="成品出库"),1,0)</f>
        <v>0</v>
      </c>
      <c r="AE1404">
        <f>N(AE1403)+$AD1404</f>
        <v>0</v>
      </c>
      <c r="AF1404">
        <f>IF(AND($N1404=1,AND(LEFT(对接源_02物料!$D204,4)="包装物料",N(对接源_02物料!$K204)&lt;&gt;0)),1,0)</f>
        <v>0</v>
      </c>
      <c r="AG1404">
        <f>N(AG1403)+$AF1404</f>
        <v>10</v>
      </c>
      <c r="AH1404">
        <f>IF(AND($N1404=1,AND(对接源_02物料!$D204="周转筐－销售出库",N(对接源_02物料!$K204)&lt;&gt;0)),1,0)</f>
        <v>0</v>
      </c>
      <c r="AI1404">
        <f>N(AI1403)+$AH1404</f>
        <v>0</v>
      </c>
      <c r="AL1404" t="n">
        <v>0</v>
      </c>
      <c r="AM1404">
        <f>N(AM1403)+$AL1404</f>
        <v>2</v>
      </c>
      <c r="AN1404">
        <f>""</f>
      </c>
      <c r="AO1404" t="n">
        <v>0</v>
      </c>
      <c r="AP1404">
        <f>N(AP1403)+$AO1404</f>
        <v>13</v>
      </c>
      <c r="AR1404">
        <f>IF(OR($AF1404=1,$AH1404=1),1,0)</f>
        <v>0</v>
      </c>
      <c r="AS1404">
        <f>N(AS1403)+$AR1404</f>
        <v>10</v>
      </c>
    </row>
    <row r="1405" s="127">
      <c r="A1405" t="str">
        <f>IF(对接源_02物料!$C205="","",对接源_02物料!$C205)</f>
        <v>努尔敦</v>
      </c>
      <c r="B1405">
        <f>IF(A1405="",0,IF(MATCH(A1405,$A$4:$A$2403,0)=ROW()-3,1,0))</f>
        <v>0</v>
      </c>
      <c r="C1405">
        <f>N(C1404)+B1405</f>
        <v>26</v>
      </c>
      <c r="K1405">
        <f>IF(OR($K$1="",对接源_02物料!$C205="",对接源_02物料!$C205&lt;&gt;$K$1,对接源_02物料!$B205=""),0,IF(OR(N(对接源_02物料!$B205)&lt;$K$2,N(对接源_02物料!$B205)&gt;$K$3),0,1))</f>
        <v>0</v>
      </c>
      <c r="L1405">
        <f>IF(OR($L$1="",对接源_02物料!$C205="",对接源_02物料!$C205&lt;&gt;$L$1,对接源_02物料!$B205=""),0,IF(OR(N(对接源_02物料!$B205)&lt;$L$2,N(对接源_02物料!$B205)&gt;$L$3),0,1))</f>
        <v>0</v>
      </c>
      <c r="M1405">
        <f>IF(OR($M$1="",对接源_02物料!$C205="",对接源_02物料!$C205&lt;&gt;$M$1,对接源_02物料!$B205=""),0,IF(OR(N(对接源_02物料!$B205)&lt;$M$2,N(对接源_02物料!$B205)&gt;$M$3),0,1))</f>
        <v>0</v>
      </c>
      <c r="N1405">
        <f>IF(OR($N$1="",对接源_02物料!$C205="",对接源_02物料!$C205&lt;&gt;$N$1,对接源_02物料!$B205=""),0,IF(OR(N(对接源_02物料!$B205)&lt;$N$2,N(对接源_02物料!$B205)&gt;$N$3),0,1))</f>
        <v>0</v>
      </c>
      <c r="P1405">
        <f>IF(AND($K1405=1,AND(对接源_02物料!$X205="公司筐",N(对接源_02物料!$T205)&lt;&gt;0)),1,0)</f>
        <v>0</v>
      </c>
      <c r="Q1405">
        <f>N(Q1404)+$P1405</f>
        <v>9</v>
      </c>
      <c r="R1405">
        <f>IF(AND($K1405=1,AND(对接源_02物料!$X205="公司筐",N(对接源_02物料!$U205)&lt;&gt;0)),1,0)</f>
        <v>0</v>
      </c>
      <c r="S1405">
        <f>N(S1404)+$R1405</f>
        <v>0</v>
      </c>
      <c r="T1405">
        <f>IF(AND($K1405=1,AND(对接源_02物料!$X205="公司筐",N(对接源_02物料!$V205)&lt;&gt;0)),1,0)</f>
        <v>0</v>
      </c>
      <c r="U1405">
        <f>N(U1404)+$T1405</f>
        <v>47</v>
      </c>
      <c r="V1405">
        <f>IF(AND($L1405=1,AND(对接源_02物料!$X205="自备筐",N(对接源_02物料!$V205)&lt;&gt;0)),1,0)</f>
        <v>0</v>
      </c>
      <c r="W1405">
        <f>N(W1404)+$V1405</f>
        <v>11</v>
      </c>
      <c r="X1405">
        <f>IF(AND($L1405=1,AND(对接源_02物料!$X205="自备筐",N(对接源_02物料!$T205)&lt;&gt;0)),1,0)</f>
        <v>0</v>
      </c>
      <c r="Y1405">
        <f>N(Y1404)+$X1405</f>
        <v>0</v>
      </c>
      <c r="Z1405">
        <f>IF(AND($M1405=1,对接源_02物料!$D205="原料入库"),1,0)</f>
        <v>0</v>
      </c>
      <c r="AA1405">
        <f>N(AA1404)+$Z1405</f>
        <v>24</v>
      </c>
      <c r="AB1405">
        <f>IF(AND($M1405=1,LEFT(对接源_02物料!$D205,4)="原料出库"),1,0)</f>
        <v>0</v>
      </c>
      <c r="AC1405">
        <f>N(AC1404)+$AB1405</f>
        <v>0</v>
      </c>
      <c r="AD1405">
        <f>IF(AND($M1405=1,LEFT(对接源_02物料!$D205,4)="成品出库"),1,0)</f>
        <v>0</v>
      </c>
      <c r="AE1405">
        <f>N(AE1404)+$AD1405</f>
        <v>0</v>
      </c>
      <c r="AF1405">
        <f>IF(AND($N1405=1,AND(LEFT(对接源_02物料!$D205,4)="包装物料",N(对接源_02物料!$K205)&lt;&gt;0)),1,0)</f>
        <v>0</v>
      </c>
      <c r="AG1405">
        <f>N(AG1404)+$AF1405</f>
        <v>10</v>
      </c>
      <c r="AH1405">
        <f>IF(AND($N1405=1,AND(对接源_02物料!$D205="周转筐－销售出库",N(对接源_02物料!$K205)&lt;&gt;0)),1,0)</f>
        <v>0</v>
      </c>
      <c r="AI1405">
        <f>N(AI1404)+$AH1405</f>
        <v>0</v>
      </c>
      <c r="AL1405" t="n">
        <v>0</v>
      </c>
      <c r="AM1405">
        <f>N(AM1404)+$AL1405</f>
        <v>2</v>
      </c>
      <c r="AN1405">
        <f>""</f>
      </c>
      <c r="AO1405" t="n">
        <v>0</v>
      </c>
      <c r="AP1405">
        <f>N(AP1404)+$AO1405</f>
        <v>13</v>
      </c>
      <c r="AR1405">
        <f>IF(OR($AF1405=1,$AH1405=1),1,0)</f>
        <v>0</v>
      </c>
      <c r="AS1405">
        <f>N(AS1404)+$AR1405</f>
        <v>10</v>
      </c>
    </row>
    <row r="1406" s="127">
      <c r="A1406" t="str">
        <f>IF(对接源_02物料!$C206="","",对接源_02物料!$C206)</f>
        <v>王照雪</v>
      </c>
      <c r="B1406">
        <f>IF(A1406="",0,IF(MATCH(A1406,$A$4:$A$2403,0)=ROW()-3,1,0))</f>
        <v>0</v>
      </c>
      <c r="C1406">
        <f>N(C1405)+B1406</f>
        <v>26</v>
      </c>
      <c r="K1406">
        <f>IF(OR($K$1="",对接源_02物料!$C206="",对接源_02物料!$C206&lt;&gt;$K$1,对接源_02物料!$B206=""),0,IF(OR(N(对接源_02物料!$B206)&lt;$K$2,N(对接源_02物料!$B206)&gt;$K$3),0,1))</f>
        <v>0</v>
      </c>
      <c r="L1406">
        <f>IF(OR($L$1="",对接源_02物料!$C206="",对接源_02物料!$C206&lt;&gt;$L$1,对接源_02物料!$B206=""),0,IF(OR(N(对接源_02物料!$B206)&lt;$L$2,N(对接源_02物料!$B206)&gt;$L$3),0,1))</f>
        <v>0</v>
      </c>
      <c r="M1406">
        <f>IF(OR($M$1="",对接源_02物料!$C206="",对接源_02物料!$C206&lt;&gt;$M$1,对接源_02物料!$B206=""),0,IF(OR(N(对接源_02物料!$B206)&lt;$M$2,N(对接源_02物料!$B206)&gt;$M$3),0,1))</f>
        <v>0</v>
      </c>
      <c r="N1406">
        <f>IF(OR($N$1="",对接源_02物料!$C206="",对接源_02物料!$C206&lt;&gt;$N$1,对接源_02物料!$B206=""),0,IF(OR(N(对接源_02物料!$B206)&lt;$N$2,N(对接源_02物料!$B206)&gt;$N$3),0,1))</f>
        <v>0</v>
      </c>
      <c r="P1406">
        <f>IF(AND($K1406=1,AND(对接源_02物料!$X206="公司筐",N(对接源_02物料!$T206)&lt;&gt;0)),1,0)</f>
        <v>0</v>
      </c>
      <c r="Q1406">
        <f>N(Q1405)+$P1406</f>
        <v>9</v>
      </c>
      <c r="R1406">
        <f>IF(AND($K1406=1,AND(对接源_02物料!$X206="公司筐",N(对接源_02物料!$U206)&lt;&gt;0)),1,0)</f>
        <v>0</v>
      </c>
      <c r="S1406">
        <f>N(S1405)+$R1406</f>
        <v>0</v>
      </c>
      <c r="T1406">
        <f>IF(AND($K1406=1,AND(对接源_02物料!$X206="公司筐",N(对接源_02物料!$V206)&lt;&gt;0)),1,0)</f>
        <v>0</v>
      </c>
      <c r="U1406">
        <f>N(U1405)+$T1406</f>
        <v>47</v>
      </c>
      <c r="V1406">
        <f>IF(AND($L1406=1,AND(对接源_02物料!$X206="自备筐",N(对接源_02物料!$V206)&lt;&gt;0)),1,0)</f>
        <v>0</v>
      </c>
      <c r="W1406">
        <f>N(W1405)+$V1406</f>
        <v>11</v>
      </c>
      <c r="X1406">
        <f>IF(AND($L1406=1,AND(对接源_02物料!$X206="自备筐",N(对接源_02物料!$T206)&lt;&gt;0)),1,0)</f>
        <v>0</v>
      </c>
      <c r="Y1406">
        <f>N(Y1405)+$X1406</f>
        <v>0</v>
      </c>
      <c r="Z1406">
        <f>IF(AND($M1406=1,对接源_02物料!$D206="原料入库"),1,0)</f>
        <v>0</v>
      </c>
      <c r="AA1406">
        <f>N(AA1405)+$Z1406</f>
        <v>24</v>
      </c>
      <c r="AB1406">
        <f>IF(AND($M1406=1,LEFT(对接源_02物料!$D206,4)="原料出库"),1,0)</f>
        <v>0</v>
      </c>
      <c r="AC1406">
        <f>N(AC1405)+$AB1406</f>
        <v>0</v>
      </c>
      <c r="AD1406">
        <f>IF(AND($M1406=1,LEFT(对接源_02物料!$D206,4)="成品出库"),1,0)</f>
        <v>0</v>
      </c>
      <c r="AE1406">
        <f>N(AE1405)+$AD1406</f>
        <v>0</v>
      </c>
      <c r="AF1406">
        <f>IF(AND($N1406=1,AND(LEFT(对接源_02物料!$D206,4)="包装物料",N(对接源_02物料!$K206)&lt;&gt;0)),1,0)</f>
        <v>0</v>
      </c>
      <c r="AG1406">
        <f>N(AG1405)+$AF1406</f>
        <v>10</v>
      </c>
      <c r="AH1406">
        <f>IF(AND($N1406=1,AND(对接源_02物料!$D206="周转筐－销售出库",N(对接源_02物料!$K206)&lt;&gt;0)),1,0)</f>
        <v>0</v>
      </c>
      <c r="AI1406">
        <f>N(AI1405)+$AH1406</f>
        <v>0</v>
      </c>
      <c r="AL1406" t="n">
        <v>0</v>
      </c>
      <c r="AM1406">
        <f>N(AM1405)+$AL1406</f>
        <v>2</v>
      </c>
      <c r="AN1406">
        <f>""</f>
      </c>
      <c r="AO1406" t="n">
        <v>0</v>
      </c>
      <c r="AP1406">
        <f>N(AP1405)+$AO1406</f>
        <v>13</v>
      </c>
      <c r="AR1406">
        <f>IF(OR($AF1406=1,$AH1406=1),1,0)</f>
        <v>0</v>
      </c>
      <c r="AS1406">
        <f>N(AS1405)+$AR1406</f>
        <v>10</v>
      </c>
    </row>
    <row r="1407" s="127">
      <c r="A1407" t="str">
        <f>IF(对接源_02物料!$C207="","",对接源_02物料!$C207)</f>
        <v>全修塑业</v>
      </c>
      <c r="B1407">
        <f>IF(A1407="",0,IF(MATCH(A1407,$A$4:$A$2403,0)=ROW()-3,1,0))</f>
        <v>0</v>
      </c>
      <c r="C1407">
        <f>N(C1406)+B1407</f>
        <v>26</v>
      </c>
      <c r="K1407">
        <f>IF(OR($K$1="",对接源_02物料!$C207="",对接源_02物料!$C207&lt;&gt;$K$1,对接源_02物料!$B207=""),0,IF(OR(N(对接源_02物料!$B207)&lt;$K$2,N(对接源_02物料!$B207)&gt;$K$3),0,1))</f>
        <v>0</v>
      </c>
      <c r="L1407">
        <f>IF(OR($L$1="",对接源_02物料!$C207="",对接源_02物料!$C207&lt;&gt;$L$1,对接源_02物料!$B207=""),0,IF(OR(N(对接源_02物料!$B207)&lt;$L$2,N(对接源_02物料!$B207)&gt;$L$3),0,1))</f>
        <v>0</v>
      </c>
      <c r="M1407">
        <f>IF(OR($M$1="",对接源_02物料!$C207="",对接源_02物料!$C207&lt;&gt;$M$1,对接源_02物料!$B207=""),0,IF(OR(N(对接源_02物料!$B207)&lt;$M$2,N(对接源_02物料!$B207)&gt;$M$3),0,1))</f>
        <v>0</v>
      </c>
      <c r="N1407">
        <f>IF(OR($N$1="",对接源_02物料!$C207="",对接源_02物料!$C207&lt;&gt;$N$1,对接源_02物料!$B207=""),0,IF(OR(N(对接源_02物料!$B207)&lt;$N$2,N(对接源_02物料!$B207)&gt;$N$3),0,1))</f>
        <v>0</v>
      </c>
      <c r="P1407">
        <f>IF(AND($K1407=1,AND(对接源_02物料!$X207="公司筐",N(对接源_02物料!$T207)&lt;&gt;0)),1,0)</f>
        <v>0</v>
      </c>
      <c r="Q1407">
        <f>N(Q1406)+$P1407</f>
        <v>9</v>
      </c>
      <c r="R1407">
        <f>IF(AND($K1407=1,AND(对接源_02物料!$X207="公司筐",N(对接源_02物料!$U207)&lt;&gt;0)),1,0)</f>
        <v>0</v>
      </c>
      <c r="S1407">
        <f>N(S1406)+$R1407</f>
        <v>0</v>
      </c>
      <c r="T1407">
        <f>IF(AND($K1407=1,AND(对接源_02物料!$X207="公司筐",N(对接源_02物料!$V207)&lt;&gt;0)),1,0)</f>
        <v>0</v>
      </c>
      <c r="U1407">
        <f>N(U1406)+$T1407</f>
        <v>47</v>
      </c>
      <c r="V1407">
        <f>IF(AND($L1407=1,AND(对接源_02物料!$X207="自备筐",N(对接源_02物料!$V207)&lt;&gt;0)),1,0)</f>
        <v>0</v>
      </c>
      <c r="W1407">
        <f>N(W1406)+$V1407</f>
        <v>11</v>
      </c>
      <c r="X1407">
        <f>IF(AND($L1407=1,AND(对接源_02物料!$X207="自备筐",N(对接源_02物料!$T207)&lt;&gt;0)),1,0)</f>
        <v>0</v>
      </c>
      <c r="Y1407">
        <f>N(Y1406)+$X1407</f>
        <v>0</v>
      </c>
      <c r="Z1407">
        <f>IF(AND($M1407=1,对接源_02物料!$D207="原料入库"),1,0)</f>
        <v>0</v>
      </c>
      <c r="AA1407">
        <f>N(AA1406)+$Z1407</f>
        <v>24</v>
      </c>
      <c r="AB1407">
        <f>IF(AND($M1407=1,LEFT(对接源_02物料!$D207,4)="原料出库"),1,0)</f>
        <v>0</v>
      </c>
      <c r="AC1407">
        <f>N(AC1406)+$AB1407</f>
        <v>0</v>
      </c>
      <c r="AD1407">
        <f>IF(AND($M1407=1,LEFT(对接源_02物料!$D207,4)="成品出库"),1,0)</f>
        <v>0</v>
      </c>
      <c r="AE1407">
        <f>N(AE1406)+$AD1407</f>
        <v>0</v>
      </c>
      <c r="AF1407">
        <f>IF(AND($N1407=1,AND(LEFT(对接源_02物料!$D207,4)="包装物料",N(对接源_02物料!$K207)&lt;&gt;0)),1,0)</f>
        <v>0</v>
      </c>
      <c r="AG1407">
        <f>N(AG1406)+$AF1407</f>
        <v>10</v>
      </c>
      <c r="AH1407">
        <f>IF(AND($N1407=1,AND(对接源_02物料!$D207="周转筐－销售出库",N(对接源_02物料!$K207)&lt;&gt;0)),1,0)</f>
        <v>0</v>
      </c>
      <c r="AI1407">
        <f>N(AI1406)+$AH1407</f>
        <v>0</v>
      </c>
      <c r="AL1407" t="n">
        <v>0</v>
      </c>
      <c r="AM1407">
        <f>N(AM1406)+$AL1407</f>
        <v>2</v>
      </c>
      <c r="AN1407">
        <f>""</f>
      </c>
      <c r="AO1407" t="n">
        <v>0</v>
      </c>
      <c r="AP1407">
        <f>N(AP1406)+$AO1407</f>
        <v>13</v>
      </c>
      <c r="AR1407">
        <f>IF(OR($AF1407=1,$AH1407=1),1,0)</f>
        <v>0</v>
      </c>
      <c r="AS1407">
        <f>N(AS1406)+$AR1407</f>
        <v>10</v>
      </c>
    </row>
    <row r="1408" s="127">
      <c r="A1408" t="str">
        <f>IF(对接源_02物料!$C208="","",对接源_02物料!$C208)</f>
        <v>努尔敦</v>
      </c>
      <c r="B1408">
        <f>IF(A1408="",0,IF(MATCH(A1408,$A$4:$A$2403,0)=ROW()-3,1,0))</f>
        <v>0</v>
      </c>
      <c r="C1408">
        <f>N(C1407)+B1408</f>
        <v>26</v>
      </c>
      <c r="K1408">
        <f>IF(OR($K$1="",对接源_02物料!$C208="",对接源_02物料!$C208&lt;&gt;$K$1,对接源_02物料!$B208=""),0,IF(OR(N(对接源_02物料!$B208)&lt;$K$2,N(对接源_02物料!$B208)&gt;$K$3),0,1))</f>
        <v>0</v>
      </c>
      <c r="L1408">
        <f>IF(OR($L$1="",对接源_02物料!$C208="",对接源_02物料!$C208&lt;&gt;$L$1,对接源_02物料!$B208=""),0,IF(OR(N(对接源_02物料!$B208)&lt;$L$2,N(对接源_02物料!$B208)&gt;$L$3),0,1))</f>
        <v>0</v>
      </c>
      <c r="M1408">
        <f>IF(OR($M$1="",对接源_02物料!$C208="",对接源_02物料!$C208&lt;&gt;$M$1,对接源_02物料!$B208=""),0,IF(OR(N(对接源_02物料!$B208)&lt;$M$2,N(对接源_02物料!$B208)&gt;$M$3),0,1))</f>
        <v>0</v>
      </c>
      <c r="N1408">
        <f>IF(OR($N$1="",对接源_02物料!$C208="",对接源_02物料!$C208&lt;&gt;$N$1,对接源_02物料!$B208=""),0,IF(OR(N(对接源_02物料!$B208)&lt;$N$2,N(对接源_02物料!$B208)&gt;$N$3),0,1))</f>
        <v>0</v>
      </c>
      <c r="P1408">
        <f>IF(AND($K1408=1,AND(对接源_02物料!$X208="公司筐",N(对接源_02物料!$T208)&lt;&gt;0)),1,0)</f>
        <v>0</v>
      </c>
      <c r="Q1408">
        <f>N(Q1407)+$P1408</f>
        <v>9</v>
      </c>
      <c r="R1408">
        <f>IF(AND($K1408=1,AND(对接源_02物料!$X208="公司筐",N(对接源_02物料!$U208)&lt;&gt;0)),1,0)</f>
        <v>0</v>
      </c>
      <c r="S1408">
        <f>N(S1407)+$R1408</f>
        <v>0</v>
      </c>
      <c r="T1408">
        <f>IF(AND($K1408=1,AND(对接源_02物料!$X208="公司筐",N(对接源_02物料!$V208)&lt;&gt;0)),1,0)</f>
        <v>0</v>
      </c>
      <c r="U1408">
        <f>N(U1407)+$T1408</f>
        <v>47</v>
      </c>
      <c r="V1408">
        <f>IF(AND($L1408=1,AND(对接源_02物料!$X208="自备筐",N(对接源_02物料!$V208)&lt;&gt;0)),1,0)</f>
        <v>0</v>
      </c>
      <c r="W1408">
        <f>N(W1407)+$V1408</f>
        <v>11</v>
      </c>
      <c r="X1408">
        <f>IF(AND($L1408=1,AND(对接源_02物料!$X208="自备筐",N(对接源_02物料!$T208)&lt;&gt;0)),1,0)</f>
        <v>0</v>
      </c>
      <c r="Y1408">
        <f>N(Y1407)+$X1408</f>
        <v>0</v>
      </c>
      <c r="Z1408">
        <f>IF(AND($M1408=1,对接源_02物料!$D208="原料入库"),1,0)</f>
        <v>0</v>
      </c>
      <c r="AA1408">
        <f>N(AA1407)+$Z1408</f>
        <v>24</v>
      </c>
      <c r="AB1408">
        <f>IF(AND($M1408=1,LEFT(对接源_02物料!$D208,4)="原料出库"),1,0)</f>
        <v>0</v>
      </c>
      <c r="AC1408">
        <f>N(AC1407)+$AB1408</f>
        <v>0</v>
      </c>
      <c r="AD1408">
        <f>IF(AND($M1408=1,LEFT(对接源_02物料!$D208,4)="成品出库"),1,0)</f>
        <v>0</v>
      </c>
      <c r="AE1408">
        <f>N(AE1407)+$AD1408</f>
        <v>0</v>
      </c>
      <c r="AF1408">
        <f>IF(AND($N1408=1,AND(LEFT(对接源_02物料!$D208,4)="包装物料",N(对接源_02物料!$K208)&lt;&gt;0)),1,0)</f>
        <v>0</v>
      </c>
      <c r="AG1408">
        <f>N(AG1407)+$AF1408</f>
        <v>10</v>
      </c>
      <c r="AH1408">
        <f>IF(AND($N1408=1,AND(对接源_02物料!$D208="周转筐－销售出库",N(对接源_02物料!$K208)&lt;&gt;0)),1,0)</f>
        <v>0</v>
      </c>
      <c r="AI1408">
        <f>N(AI1407)+$AH1408</f>
        <v>0</v>
      </c>
      <c r="AL1408" t="n">
        <v>0</v>
      </c>
      <c r="AM1408">
        <f>N(AM1407)+$AL1408</f>
        <v>2</v>
      </c>
      <c r="AN1408">
        <f>""</f>
      </c>
      <c r="AO1408" t="n">
        <v>0</v>
      </c>
      <c r="AP1408">
        <f>N(AP1407)+$AO1408</f>
        <v>13</v>
      </c>
      <c r="AR1408">
        <f>IF(OR($AF1408=1,$AH1408=1),1,0)</f>
        <v>0</v>
      </c>
      <c r="AS1408">
        <f>N(AS1407)+$AR1408</f>
        <v>10</v>
      </c>
    </row>
    <row r="1409" s="127">
      <c r="A1409" t="str">
        <f>IF(对接源_02物料!$C209="","",对接源_02物料!$C209)</f>
        <v>王照雪</v>
      </c>
      <c r="B1409">
        <f>IF(A1409="",0,IF(MATCH(A1409,$A$4:$A$2403,0)=ROW()-3,1,0))</f>
        <v>0</v>
      </c>
      <c r="C1409">
        <f>N(C1408)+B1409</f>
        <v>26</v>
      </c>
      <c r="K1409">
        <f>IF(OR($K$1="",对接源_02物料!$C209="",对接源_02物料!$C209&lt;&gt;$K$1,对接源_02物料!$B209=""),0,IF(OR(N(对接源_02物料!$B209)&lt;$K$2,N(对接源_02物料!$B209)&gt;$K$3),0,1))</f>
        <v>0</v>
      </c>
      <c r="L1409">
        <f>IF(OR($L$1="",对接源_02物料!$C209="",对接源_02物料!$C209&lt;&gt;$L$1,对接源_02物料!$B209=""),0,IF(OR(N(对接源_02物料!$B209)&lt;$L$2,N(对接源_02物料!$B209)&gt;$L$3),0,1))</f>
        <v>0</v>
      </c>
      <c r="M1409">
        <f>IF(OR($M$1="",对接源_02物料!$C209="",对接源_02物料!$C209&lt;&gt;$M$1,对接源_02物料!$B209=""),0,IF(OR(N(对接源_02物料!$B209)&lt;$M$2,N(对接源_02物料!$B209)&gt;$M$3),0,1))</f>
        <v>0</v>
      </c>
      <c r="N1409">
        <f>IF(OR($N$1="",对接源_02物料!$C209="",对接源_02物料!$C209&lt;&gt;$N$1,对接源_02物料!$B209=""),0,IF(OR(N(对接源_02物料!$B209)&lt;$N$2,N(对接源_02物料!$B209)&gt;$N$3),0,1))</f>
        <v>0</v>
      </c>
      <c r="P1409">
        <f>IF(AND($K1409=1,AND(对接源_02物料!$X209="公司筐",N(对接源_02物料!$T209)&lt;&gt;0)),1,0)</f>
        <v>0</v>
      </c>
      <c r="Q1409">
        <f>N(Q1408)+$P1409</f>
        <v>9</v>
      </c>
      <c r="R1409">
        <f>IF(AND($K1409=1,AND(对接源_02物料!$X209="公司筐",N(对接源_02物料!$U209)&lt;&gt;0)),1,0)</f>
        <v>0</v>
      </c>
      <c r="S1409">
        <f>N(S1408)+$R1409</f>
        <v>0</v>
      </c>
      <c r="T1409">
        <f>IF(AND($K1409=1,AND(对接源_02物料!$X209="公司筐",N(对接源_02物料!$V209)&lt;&gt;0)),1,0)</f>
        <v>0</v>
      </c>
      <c r="U1409">
        <f>N(U1408)+$T1409</f>
        <v>47</v>
      </c>
      <c r="V1409">
        <f>IF(AND($L1409=1,AND(对接源_02物料!$X209="自备筐",N(对接源_02物料!$V209)&lt;&gt;0)),1,0)</f>
        <v>0</v>
      </c>
      <c r="W1409">
        <f>N(W1408)+$V1409</f>
        <v>11</v>
      </c>
      <c r="X1409">
        <f>IF(AND($L1409=1,AND(对接源_02物料!$X209="自备筐",N(对接源_02物料!$T209)&lt;&gt;0)),1,0)</f>
        <v>0</v>
      </c>
      <c r="Y1409">
        <f>N(Y1408)+$X1409</f>
        <v>0</v>
      </c>
      <c r="Z1409">
        <f>IF(AND($M1409=1,对接源_02物料!$D209="原料入库"),1,0)</f>
        <v>0</v>
      </c>
      <c r="AA1409">
        <f>N(AA1408)+$Z1409</f>
        <v>24</v>
      </c>
      <c r="AB1409">
        <f>IF(AND($M1409=1,LEFT(对接源_02物料!$D209,4)="原料出库"),1,0)</f>
        <v>0</v>
      </c>
      <c r="AC1409">
        <f>N(AC1408)+$AB1409</f>
        <v>0</v>
      </c>
      <c r="AD1409">
        <f>IF(AND($M1409=1,LEFT(对接源_02物料!$D209,4)="成品出库"),1,0)</f>
        <v>0</v>
      </c>
      <c r="AE1409">
        <f>N(AE1408)+$AD1409</f>
        <v>0</v>
      </c>
      <c r="AF1409">
        <f>IF(AND($N1409=1,AND(LEFT(对接源_02物料!$D209,4)="包装物料",N(对接源_02物料!$K209)&lt;&gt;0)),1,0)</f>
        <v>0</v>
      </c>
      <c r="AG1409">
        <f>N(AG1408)+$AF1409</f>
        <v>10</v>
      </c>
      <c r="AH1409">
        <f>IF(AND($N1409=1,AND(对接源_02物料!$D209="周转筐－销售出库",N(对接源_02物料!$K209)&lt;&gt;0)),1,0)</f>
        <v>0</v>
      </c>
      <c r="AI1409">
        <f>N(AI1408)+$AH1409</f>
        <v>0</v>
      </c>
      <c r="AL1409" t="n">
        <v>0</v>
      </c>
      <c r="AM1409">
        <f>N(AM1408)+$AL1409</f>
        <v>2</v>
      </c>
      <c r="AN1409">
        <f>""</f>
      </c>
      <c r="AO1409" t="n">
        <v>0</v>
      </c>
      <c r="AP1409">
        <f>N(AP1408)+$AO1409</f>
        <v>13</v>
      </c>
      <c r="AR1409">
        <f>IF(OR($AF1409=1,$AH1409=1),1,0)</f>
        <v>0</v>
      </c>
      <c r="AS1409">
        <f>N(AS1408)+$AR1409</f>
        <v>10</v>
      </c>
    </row>
    <row r="1410" s="127">
      <c r="A1410" t="str">
        <f>IF(对接源_02物料!$C210="","",对接源_02物料!$C210)</f>
        <v>全修塑业</v>
      </c>
      <c r="B1410">
        <f>IF(A1410="",0,IF(MATCH(A1410,$A$4:$A$2403,0)=ROW()-3,1,0))</f>
        <v>0</v>
      </c>
      <c r="C1410">
        <f>N(C1409)+B1410</f>
        <v>26</v>
      </c>
      <c r="K1410">
        <f>IF(OR($K$1="",对接源_02物料!$C210="",对接源_02物料!$C210&lt;&gt;$K$1,对接源_02物料!$B210=""),0,IF(OR(N(对接源_02物料!$B210)&lt;$K$2,N(对接源_02物料!$B210)&gt;$K$3),0,1))</f>
        <v>0</v>
      </c>
      <c r="L1410">
        <f>IF(OR($L$1="",对接源_02物料!$C210="",对接源_02物料!$C210&lt;&gt;$L$1,对接源_02物料!$B210=""),0,IF(OR(N(对接源_02物料!$B210)&lt;$L$2,N(对接源_02物料!$B210)&gt;$L$3),0,1))</f>
        <v>0</v>
      </c>
      <c r="M1410">
        <f>IF(OR($M$1="",对接源_02物料!$C210="",对接源_02物料!$C210&lt;&gt;$M$1,对接源_02物料!$B210=""),0,IF(OR(N(对接源_02物料!$B210)&lt;$M$2,N(对接源_02物料!$B210)&gt;$M$3),0,1))</f>
        <v>0</v>
      </c>
      <c r="N1410">
        <f>IF(OR($N$1="",对接源_02物料!$C210="",对接源_02物料!$C210&lt;&gt;$N$1,对接源_02物料!$B210=""),0,IF(OR(N(对接源_02物料!$B210)&lt;$N$2,N(对接源_02物料!$B210)&gt;$N$3),0,1))</f>
        <v>0</v>
      </c>
      <c r="P1410">
        <f>IF(AND($K1410=1,AND(对接源_02物料!$X210="公司筐",N(对接源_02物料!$T210)&lt;&gt;0)),1,0)</f>
        <v>0</v>
      </c>
      <c r="Q1410">
        <f>N(Q1409)+$P1410</f>
        <v>9</v>
      </c>
      <c r="R1410">
        <f>IF(AND($K1410=1,AND(对接源_02物料!$X210="公司筐",N(对接源_02物料!$U210)&lt;&gt;0)),1,0)</f>
        <v>0</v>
      </c>
      <c r="S1410">
        <f>N(S1409)+$R1410</f>
        <v>0</v>
      </c>
      <c r="T1410">
        <f>IF(AND($K1410=1,AND(对接源_02物料!$X210="公司筐",N(对接源_02物料!$V210)&lt;&gt;0)),1,0)</f>
        <v>0</v>
      </c>
      <c r="U1410">
        <f>N(U1409)+$T1410</f>
        <v>47</v>
      </c>
      <c r="V1410">
        <f>IF(AND($L1410=1,AND(对接源_02物料!$X210="自备筐",N(对接源_02物料!$V210)&lt;&gt;0)),1,0)</f>
        <v>0</v>
      </c>
      <c r="W1410">
        <f>N(W1409)+$V1410</f>
        <v>11</v>
      </c>
      <c r="X1410">
        <f>IF(AND($L1410=1,AND(对接源_02物料!$X210="自备筐",N(对接源_02物料!$T210)&lt;&gt;0)),1,0)</f>
        <v>0</v>
      </c>
      <c r="Y1410">
        <f>N(Y1409)+$X1410</f>
        <v>0</v>
      </c>
      <c r="Z1410">
        <f>IF(AND($M1410=1,对接源_02物料!$D210="原料入库"),1,0)</f>
        <v>0</v>
      </c>
      <c r="AA1410">
        <f>N(AA1409)+$Z1410</f>
        <v>24</v>
      </c>
      <c r="AB1410">
        <f>IF(AND($M1410=1,LEFT(对接源_02物料!$D210,4)="原料出库"),1,0)</f>
        <v>0</v>
      </c>
      <c r="AC1410">
        <f>N(AC1409)+$AB1410</f>
        <v>0</v>
      </c>
      <c r="AD1410">
        <f>IF(AND($M1410=1,LEFT(对接源_02物料!$D210,4)="成品出库"),1,0)</f>
        <v>0</v>
      </c>
      <c r="AE1410">
        <f>N(AE1409)+$AD1410</f>
        <v>0</v>
      </c>
      <c r="AF1410">
        <f>IF(AND($N1410=1,AND(LEFT(对接源_02物料!$D210,4)="包装物料",N(对接源_02物料!$K210)&lt;&gt;0)),1,0)</f>
        <v>0</v>
      </c>
      <c r="AG1410">
        <f>N(AG1409)+$AF1410</f>
        <v>10</v>
      </c>
      <c r="AH1410">
        <f>IF(AND($N1410=1,AND(对接源_02物料!$D210="周转筐－销售出库",N(对接源_02物料!$K210)&lt;&gt;0)),1,0)</f>
        <v>0</v>
      </c>
      <c r="AI1410">
        <f>N(AI1409)+$AH1410</f>
        <v>0</v>
      </c>
      <c r="AL1410" t="n">
        <v>0</v>
      </c>
      <c r="AM1410">
        <f>N(AM1409)+$AL1410</f>
        <v>2</v>
      </c>
      <c r="AN1410">
        <f>""</f>
      </c>
      <c r="AO1410" t="n">
        <v>0</v>
      </c>
      <c r="AP1410">
        <f>N(AP1409)+$AO1410</f>
        <v>13</v>
      </c>
      <c r="AR1410">
        <f>IF(OR($AF1410=1,$AH1410=1),1,0)</f>
        <v>0</v>
      </c>
      <c r="AS1410">
        <f>N(AS1409)+$AR1410</f>
        <v>10</v>
      </c>
    </row>
    <row r="1411" s="127">
      <c r="A1411" t="str">
        <f>IF(对接源_02物料!$C211="","",对接源_02物料!$C211)</f>
        <v>王灵云</v>
      </c>
      <c r="B1411">
        <f>IF(A1411="",0,IF(MATCH(A1411,$A$4:$A$2403,0)=ROW()-3,1,0))</f>
        <v>0</v>
      </c>
      <c r="C1411">
        <f>N(C1410)+B1411</f>
        <v>26</v>
      </c>
      <c r="K1411">
        <f>IF(OR($K$1="",对接源_02物料!$C211="",对接源_02物料!$C211&lt;&gt;$K$1,对接源_02物料!$B211=""),0,IF(OR(N(对接源_02物料!$B211)&lt;$K$2,N(对接源_02物料!$B211)&gt;$K$3),0,1))</f>
        <v>1</v>
      </c>
      <c r="L1411">
        <f>IF(OR($L$1="",对接源_02物料!$C211="",对接源_02物料!$C211&lt;&gt;$L$1,对接源_02物料!$B211=""),0,IF(OR(N(对接源_02物料!$B211)&lt;$L$2,N(对接源_02物料!$B211)&gt;$L$3),0,1))</f>
        <v>0</v>
      </c>
      <c r="M1411">
        <f>IF(OR($M$1="",对接源_02物料!$C211="",对接源_02物料!$C211&lt;&gt;$M$1,对接源_02物料!$B211=""),0,IF(OR(N(对接源_02物料!$B211)&lt;$M$2,N(对接源_02物料!$B211)&gt;$M$3),0,1))</f>
        <v>0</v>
      </c>
      <c r="N1411">
        <f>IF(OR($N$1="",对接源_02物料!$C211="",对接源_02物料!$C211&lt;&gt;$N$1,对接源_02物料!$B211=""),0,IF(OR(N(对接源_02物料!$B211)&lt;$N$2,N(对接源_02物料!$B211)&gt;$N$3),0,1))</f>
        <v>0</v>
      </c>
      <c r="P1411">
        <f>IF(AND($K1411=1,AND(对接源_02物料!$X211="公司筐",N(对接源_02物料!$T211)&lt;&gt;0)),1,0)</f>
        <v>1</v>
      </c>
      <c r="Q1411">
        <f>N(Q1410)+$P1411</f>
        <v>10</v>
      </c>
      <c r="R1411">
        <f>IF(AND($K1411=1,AND(对接源_02物料!$X211="公司筐",N(对接源_02物料!$U211)&lt;&gt;0)),1,0)</f>
        <v>0</v>
      </c>
      <c r="S1411">
        <f>N(S1410)+$R1411</f>
        <v>0</v>
      </c>
      <c r="T1411">
        <f>IF(AND($K1411=1,AND(对接源_02物料!$X211="公司筐",N(对接源_02物料!$V211)&lt;&gt;0)),1,0)</f>
        <v>0</v>
      </c>
      <c r="U1411">
        <f>N(U1410)+$T1411</f>
        <v>47</v>
      </c>
      <c r="V1411">
        <f>IF(AND($L1411=1,AND(对接源_02物料!$X211="自备筐",N(对接源_02物料!$V211)&lt;&gt;0)),1,0)</f>
        <v>0</v>
      </c>
      <c r="W1411">
        <f>N(W1410)+$V1411</f>
        <v>11</v>
      </c>
      <c r="X1411">
        <f>IF(AND($L1411=1,AND(对接源_02物料!$X211="自备筐",N(对接源_02物料!$T211)&lt;&gt;0)),1,0)</f>
        <v>0</v>
      </c>
      <c r="Y1411">
        <f>N(Y1410)+$X1411</f>
        <v>0</v>
      </c>
      <c r="Z1411">
        <f>IF(AND($M1411=1,对接源_02物料!$D211="原料入库"),1,0)</f>
        <v>0</v>
      </c>
      <c r="AA1411">
        <f>N(AA1410)+$Z1411</f>
        <v>24</v>
      </c>
      <c r="AB1411">
        <f>IF(AND($M1411=1,LEFT(对接源_02物料!$D211,4)="原料出库"),1,0)</f>
        <v>0</v>
      </c>
      <c r="AC1411">
        <f>N(AC1410)+$AB1411</f>
        <v>0</v>
      </c>
      <c r="AD1411">
        <f>IF(AND($M1411=1,LEFT(对接源_02物料!$D211,4)="成品出库"),1,0)</f>
        <v>0</v>
      </c>
      <c r="AE1411">
        <f>N(AE1410)+$AD1411</f>
        <v>0</v>
      </c>
      <c r="AF1411">
        <f>IF(AND($N1411=1,AND(LEFT(对接源_02物料!$D211,4)="包装物料",N(对接源_02物料!$K211)&lt;&gt;0)),1,0)</f>
        <v>0</v>
      </c>
      <c r="AG1411">
        <f>N(AG1410)+$AF1411</f>
        <v>10</v>
      </c>
      <c r="AH1411">
        <f>IF(AND($N1411=1,AND(对接源_02物料!$D211="周转筐－销售出库",N(对接源_02物料!$K211)&lt;&gt;0)),1,0)</f>
        <v>0</v>
      </c>
      <c r="AI1411">
        <f>N(AI1410)+$AH1411</f>
        <v>0</v>
      </c>
      <c r="AL1411" t="n">
        <v>0</v>
      </c>
      <c r="AM1411">
        <f>N(AM1410)+$AL1411</f>
        <v>2</v>
      </c>
      <c r="AN1411">
        <f>""</f>
      </c>
      <c r="AO1411" t="n">
        <v>0</v>
      </c>
      <c r="AP1411">
        <f>N(AP1410)+$AO1411</f>
        <v>13</v>
      </c>
      <c r="AR1411">
        <f>IF(OR($AF1411=1,$AH1411=1),1,0)</f>
        <v>0</v>
      </c>
      <c r="AS1411">
        <f>N(AS1410)+$AR1411</f>
        <v>10</v>
      </c>
    </row>
    <row r="1412" s="127">
      <c r="A1412" t="str">
        <f>IF(对接源_02物料!$C212="","",对接源_02物料!$C212)</f>
        <v>全修塑业</v>
      </c>
      <c r="B1412">
        <f>IF(A1412="",0,IF(MATCH(A1412,$A$4:$A$2403,0)=ROW()-3,1,0))</f>
        <v>0</v>
      </c>
      <c r="C1412">
        <f>N(C1411)+B1412</f>
        <v>26</v>
      </c>
      <c r="K1412">
        <f>IF(OR($K$1="",对接源_02物料!$C212="",对接源_02物料!$C212&lt;&gt;$K$1,对接源_02物料!$B212=""),0,IF(OR(N(对接源_02物料!$B212)&lt;$K$2,N(对接源_02物料!$B212)&gt;$K$3),0,1))</f>
        <v>0</v>
      </c>
      <c r="L1412">
        <f>IF(OR($L$1="",对接源_02物料!$C212="",对接源_02物料!$C212&lt;&gt;$L$1,对接源_02物料!$B212=""),0,IF(OR(N(对接源_02物料!$B212)&lt;$L$2,N(对接源_02物料!$B212)&gt;$L$3),0,1))</f>
        <v>0</v>
      </c>
      <c r="M1412">
        <f>IF(OR($M$1="",对接源_02物料!$C212="",对接源_02物料!$C212&lt;&gt;$M$1,对接源_02物料!$B212=""),0,IF(OR(N(对接源_02物料!$B212)&lt;$M$2,N(对接源_02物料!$B212)&gt;$M$3),0,1))</f>
        <v>0</v>
      </c>
      <c r="N1412">
        <f>IF(OR($N$1="",对接源_02物料!$C212="",对接源_02物料!$C212&lt;&gt;$N$1,对接源_02物料!$B212=""),0,IF(OR(N(对接源_02物料!$B212)&lt;$N$2,N(对接源_02物料!$B212)&gt;$N$3),0,1))</f>
        <v>0</v>
      </c>
      <c r="P1412">
        <f>IF(AND($K1412=1,AND(对接源_02物料!$X212="公司筐",N(对接源_02物料!$T212)&lt;&gt;0)),1,0)</f>
        <v>0</v>
      </c>
      <c r="Q1412">
        <f>N(Q1411)+$P1412</f>
        <v>10</v>
      </c>
      <c r="R1412">
        <f>IF(AND($K1412=1,AND(对接源_02物料!$X212="公司筐",N(对接源_02物料!$U212)&lt;&gt;0)),1,0)</f>
        <v>0</v>
      </c>
      <c r="S1412">
        <f>N(S1411)+$R1412</f>
        <v>0</v>
      </c>
      <c r="T1412">
        <f>IF(AND($K1412=1,AND(对接源_02物料!$X212="公司筐",N(对接源_02物料!$V212)&lt;&gt;0)),1,0)</f>
        <v>0</v>
      </c>
      <c r="U1412">
        <f>N(U1411)+$T1412</f>
        <v>47</v>
      </c>
      <c r="V1412">
        <f>IF(AND($L1412=1,AND(对接源_02物料!$X212="自备筐",N(对接源_02物料!$V212)&lt;&gt;0)),1,0)</f>
        <v>0</v>
      </c>
      <c r="W1412">
        <f>N(W1411)+$V1412</f>
        <v>11</v>
      </c>
      <c r="X1412">
        <f>IF(AND($L1412=1,AND(对接源_02物料!$X212="自备筐",N(对接源_02物料!$T212)&lt;&gt;0)),1,0)</f>
        <v>0</v>
      </c>
      <c r="Y1412">
        <f>N(Y1411)+$X1412</f>
        <v>0</v>
      </c>
      <c r="Z1412">
        <f>IF(AND($M1412=1,对接源_02物料!$D212="原料入库"),1,0)</f>
        <v>0</v>
      </c>
      <c r="AA1412">
        <f>N(AA1411)+$Z1412</f>
        <v>24</v>
      </c>
      <c r="AB1412">
        <f>IF(AND($M1412=1,LEFT(对接源_02物料!$D212,4)="原料出库"),1,0)</f>
        <v>0</v>
      </c>
      <c r="AC1412">
        <f>N(AC1411)+$AB1412</f>
        <v>0</v>
      </c>
      <c r="AD1412">
        <f>IF(AND($M1412=1,LEFT(对接源_02物料!$D212,4)="成品出库"),1,0)</f>
        <v>0</v>
      </c>
      <c r="AE1412">
        <f>N(AE1411)+$AD1412</f>
        <v>0</v>
      </c>
      <c r="AF1412">
        <f>IF(AND($N1412=1,AND(LEFT(对接源_02物料!$D212,4)="包装物料",N(对接源_02物料!$K212)&lt;&gt;0)),1,0)</f>
        <v>0</v>
      </c>
      <c r="AG1412">
        <f>N(AG1411)+$AF1412</f>
        <v>10</v>
      </c>
      <c r="AH1412">
        <f>IF(AND($N1412=1,AND(对接源_02物料!$D212="周转筐－销售出库",N(对接源_02物料!$K212)&lt;&gt;0)),1,0)</f>
        <v>0</v>
      </c>
      <c r="AI1412">
        <f>N(AI1411)+$AH1412</f>
        <v>0</v>
      </c>
      <c r="AL1412" t="n">
        <v>0</v>
      </c>
      <c r="AM1412">
        <f>N(AM1411)+$AL1412</f>
        <v>2</v>
      </c>
      <c r="AN1412">
        <f>""</f>
      </c>
      <c r="AO1412" t="n">
        <v>0</v>
      </c>
      <c r="AP1412">
        <f>N(AP1411)+$AO1412</f>
        <v>13</v>
      </c>
      <c r="AR1412">
        <f>IF(OR($AF1412=1,$AH1412=1),1,0)</f>
        <v>0</v>
      </c>
      <c r="AS1412">
        <f>N(AS1411)+$AR1412</f>
        <v>10</v>
      </c>
    </row>
    <row r="1413" s="127">
      <c r="A1413" t="str">
        <f>IF(对接源_02物料!$C213="","",对接源_02物料!$C213)</f>
        <v>全修塑业</v>
      </c>
      <c r="B1413">
        <f>IF(A1413="",0,IF(MATCH(A1413,$A$4:$A$2403,0)=ROW()-3,1,0))</f>
        <v>0</v>
      </c>
      <c r="C1413">
        <f>N(C1412)+B1413</f>
        <v>26</v>
      </c>
      <c r="K1413">
        <f>IF(OR($K$1="",对接源_02物料!$C213="",对接源_02物料!$C213&lt;&gt;$K$1,对接源_02物料!$B213=""),0,IF(OR(N(对接源_02物料!$B213)&lt;$K$2,N(对接源_02物料!$B213)&gt;$K$3),0,1))</f>
        <v>0</v>
      </c>
      <c r="L1413">
        <f>IF(OR($L$1="",对接源_02物料!$C213="",对接源_02物料!$C213&lt;&gt;$L$1,对接源_02物料!$B213=""),0,IF(OR(N(对接源_02物料!$B213)&lt;$L$2,N(对接源_02物料!$B213)&gt;$L$3),0,1))</f>
        <v>0</v>
      </c>
      <c r="M1413">
        <f>IF(OR($M$1="",对接源_02物料!$C213="",对接源_02物料!$C213&lt;&gt;$M$1,对接源_02物料!$B213=""),0,IF(OR(N(对接源_02物料!$B213)&lt;$M$2,N(对接源_02物料!$B213)&gt;$M$3),0,1))</f>
        <v>0</v>
      </c>
      <c r="N1413">
        <f>IF(OR($N$1="",对接源_02物料!$C213="",对接源_02物料!$C213&lt;&gt;$N$1,对接源_02物料!$B213=""),0,IF(OR(N(对接源_02物料!$B213)&lt;$N$2,N(对接源_02物料!$B213)&gt;$N$3),0,1))</f>
        <v>0</v>
      </c>
      <c r="P1413">
        <f>IF(AND($K1413=1,AND(对接源_02物料!$X213="公司筐",N(对接源_02物料!$T213)&lt;&gt;0)),1,0)</f>
        <v>0</v>
      </c>
      <c r="Q1413">
        <f>N(Q1412)+$P1413</f>
        <v>10</v>
      </c>
      <c r="R1413">
        <f>IF(AND($K1413=1,AND(对接源_02物料!$X213="公司筐",N(对接源_02物料!$U213)&lt;&gt;0)),1,0)</f>
        <v>0</v>
      </c>
      <c r="S1413">
        <f>N(S1412)+$R1413</f>
        <v>0</v>
      </c>
      <c r="T1413">
        <f>IF(AND($K1413=1,AND(对接源_02物料!$X213="公司筐",N(对接源_02物料!$V213)&lt;&gt;0)),1,0)</f>
        <v>0</v>
      </c>
      <c r="U1413">
        <f>N(U1412)+$T1413</f>
        <v>47</v>
      </c>
      <c r="V1413">
        <f>IF(AND($L1413=1,AND(对接源_02物料!$X213="自备筐",N(对接源_02物料!$V213)&lt;&gt;0)),1,0)</f>
        <v>0</v>
      </c>
      <c r="W1413">
        <f>N(W1412)+$V1413</f>
        <v>11</v>
      </c>
      <c r="X1413">
        <f>IF(AND($L1413=1,AND(对接源_02物料!$X213="自备筐",N(对接源_02物料!$T213)&lt;&gt;0)),1,0)</f>
        <v>0</v>
      </c>
      <c r="Y1413">
        <f>N(Y1412)+$X1413</f>
        <v>0</v>
      </c>
      <c r="Z1413">
        <f>IF(AND($M1413=1,对接源_02物料!$D213="原料入库"),1,0)</f>
        <v>0</v>
      </c>
      <c r="AA1413">
        <f>N(AA1412)+$Z1413</f>
        <v>24</v>
      </c>
      <c r="AB1413">
        <f>IF(AND($M1413=1,LEFT(对接源_02物料!$D213,4)="原料出库"),1,0)</f>
        <v>0</v>
      </c>
      <c r="AC1413">
        <f>N(AC1412)+$AB1413</f>
        <v>0</v>
      </c>
      <c r="AD1413">
        <f>IF(AND($M1413=1,LEFT(对接源_02物料!$D213,4)="成品出库"),1,0)</f>
        <v>0</v>
      </c>
      <c r="AE1413">
        <f>N(AE1412)+$AD1413</f>
        <v>0</v>
      </c>
      <c r="AF1413">
        <f>IF(AND($N1413=1,AND(LEFT(对接源_02物料!$D213,4)="包装物料",N(对接源_02物料!$K213)&lt;&gt;0)),1,0)</f>
        <v>0</v>
      </c>
      <c r="AG1413">
        <f>N(AG1412)+$AF1413</f>
        <v>10</v>
      </c>
      <c r="AH1413">
        <f>IF(AND($N1413=1,AND(对接源_02物料!$D213="周转筐－销售出库",N(对接源_02物料!$K213)&lt;&gt;0)),1,0)</f>
        <v>0</v>
      </c>
      <c r="AI1413">
        <f>N(AI1412)+$AH1413</f>
        <v>0</v>
      </c>
      <c r="AL1413" t="n">
        <v>0</v>
      </c>
      <c r="AM1413">
        <f>N(AM1412)+$AL1413</f>
        <v>2</v>
      </c>
      <c r="AN1413">
        <f>""</f>
      </c>
      <c r="AO1413" t="n">
        <v>0</v>
      </c>
      <c r="AP1413">
        <f>N(AP1412)+$AO1413</f>
        <v>13</v>
      </c>
      <c r="AR1413">
        <f>IF(OR($AF1413=1,$AH1413=1),1,0)</f>
        <v>0</v>
      </c>
      <c r="AS1413">
        <f>N(AS1412)+$AR1413</f>
        <v>10</v>
      </c>
    </row>
    <row r="1414" s="127">
      <c r="A1414" t="str">
        <f>IF(对接源_02物料!$C214="","",对接源_02物料!$C214)</f>
        <v>努尔敦</v>
      </c>
      <c r="B1414">
        <f>IF(A1414="",0,IF(MATCH(A1414,$A$4:$A$2403,0)=ROW()-3,1,0))</f>
        <v>0</v>
      </c>
      <c r="C1414">
        <f>N(C1413)+B1414</f>
        <v>26</v>
      </c>
      <c r="K1414">
        <f>IF(OR($K$1="",对接源_02物料!$C214="",对接源_02物料!$C214&lt;&gt;$K$1,对接源_02物料!$B214=""),0,IF(OR(N(对接源_02物料!$B214)&lt;$K$2,N(对接源_02物料!$B214)&gt;$K$3),0,1))</f>
        <v>0</v>
      </c>
      <c r="L1414">
        <f>IF(OR($L$1="",对接源_02物料!$C214="",对接源_02物料!$C214&lt;&gt;$L$1,对接源_02物料!$B214=""),0,IF(OR(N(对接源_02物料!$B214)&lt;$L$2,N(对接源_02物料!$B214)&gt;$L$3),0,1))</f>
        <v>0</v>
      </c>
      <c r="M1414">
        <f>IF(OR($M$1="",对接源_02物料!$C214="",对接源_02物料!$C214&lt;&gt;$M$1,对接源_02物料!$B214=""),0,IF(OR(N(对接源_02物料!$B214)&lt;$M$2,N(对接源_02物料!$B214)&gt;$M$3),0,1))</f>
        <v>0</v>
      </c>
      <c r="N1414">
        <f>IF(OR($N$1="",对接源_02物料!$C214="",对接源_02物料!$C214&lt;&gt;$N$1,对接源_02物料!$B214=""),0,IF(OR(N(对接源_02物料!$B214)&lt;$N$2,N(对接源_02物料!$B214)&gt;$N$3),0,1))</f>
        <v>0</v>
      </c>
      <c r="P1414">
        <f>IF(AND($K1414=1,AND(对接源_02物料!$X214="公司筐",N(对接源_02物料!$T214)&lt;&gt;0)),1,0)</f>
        <v>0</v>
      </c>
      <c r="Q1414">
        <f>N(Q1413)+$P1414</f>
        <v>10</v>
      </c>
      <c r="R1414">
        <f>IF(AND($K1414=1,AND(对接源_02物料!$X214="公司筐",N(对接源_02物料!$U214)&lt;&gt;0)),1,0)</f>
        <v>0</v>
      </c>
      <c r="S1414">
        <f>N(S1413)+$R1414</f>
        <v>0</v>
      </c>
      <c r="T1414">
        <f>IF(AND($K1414=1,AND(对接源_02物料!$X214="公司筐",N(对接源_02物料!$V214)&lt;&gt;0)),1,0)</f>
        <v>0</v>
      </c>
      <c r="U1414">
        <f>N(U1413)+$T1414</f>
        <v>47</v>
      </c>
      <c r="V1414">
        <f>IF(AND($L1414=1,AND(对接源_02物料!$X214="自备筐",N(对接源_02物料!$V214)&lt;&gt;0)),1,0)</f>
        <v>0</v>
      </c>
      <c r="W1414">
        <f>N(W1413)+$V1414</f>
        <v>11</v>
      </c>
      <c r="X1414">
        <f>IF(AND($L1414=1,AND(对接源_02物料!$X214="自备筐",N(对接源_02物料!$T214)&lt;&gt;0)),1,0)</f>
        <v>0</v>
      </c>
      <c r="Y1414">
        <f>N(Y1413)+$X1414</f>
        <v>0</v>
      </c>
      <c r="Z1414">
        <f>IF(AND($M1414=1,对接源_02物料!$D214="原料入库"),1,0)</f>
        <v>0</v>
      </c>
      <c r="AA1414">
        <f>N(AA1413)+$Z1414</f>
        <v>24</v>
      </c>
      <c r="AB1414">
        <f>IF(AND($M1414=1,LEFT(对接源_02物料!$D214,4)="原料出库"),1,0)</f>
        <v>0</v>
      </c>
      <c r="AC1414">
        <f>N(AC1413)+$AB1414</f>
        <v>0</v>
      </c>
      <c r="AD1414">
        <f>IF(AND($M1414=1,LEFT(对接源_02物料!$D214,4)="成品出库"),1,0)</f>
        <v>0</v>
      </c>
      <c r="AE1414">
        <f>N(AE1413)+$AD1414</f>
        <v>0</v>
      </c>
      <c r="AF1414">
        <f>IF(AND($N1414=1,AND(LEFT(对接源_02物料!$D214,4)="包装物料",N(对接源_02物料!$K214)&lt;&gt;0)),1,0)</f>
        <v>0</v>
      </c>
      <c r="AG1414">
        <f>N(AG1413)+$AF1414</f>
        <v>10</v>
      </c>
      <c r="AH1414">
        <f>IF(AND($N1414=1,AND(对接源_02物料!$D214="周转筐－销售出库",N(对接源_02物料!$K214)&lt;&gt;0)),1,0)</f>
        <v>0</v>
      </c>
      <c r="AI1414">
        <f>N(AI1413)+$AH1414</f>
        <v>0</v>
      </c>
      <c r="AL1414" t="n">
        <v>0</v>
      </c>
      <c r="AM1414">
        <f>N(AM1413)+$AL1414</f>
        <v>2</v>
      </c>
      <c r="AN1414">
        <f>""</f>
      </c>
      <c r="AO1414" t="n">
        <v>0</v>
      </c>
      <c r="AP1414">
        <f>N(AP1413)+$AO1414</f>
        <v>13</v>
      </c>
      <c r="AR1414">
        <f>IF(OR($AF1414=1,$AH1414=1),1,0)</f>
        <v>0</v>
      </c>
      <c r="AS1414">
        <f>N(AS1413)+$AR1414</f>
        <v>10</v>
      </c>
    </row>
    <row r="1415" s="127">
      <c r="A1415" t="str">
        <f>IF(对接源_02物料!$C215="","",对接源_02物料!$C215)</f>
        <v>荆建君</v>
      </c>
      <c r="B1415">
        <f>IF(A1415="",0,IF(MATCH(A1415,$A$4:$A$2403,0)=ROW()-3,1,0))</f>
        <v>0</v>
      </c>
      <c r="C1415">
        <f>N(C1414)+B1415</f>
        <v>26</v>
      </c>
      <c r="K1415">
        <f>IF(OR($K$1="",对接源_02物料!$C215="",对接源_02物料!$C215&lt;&gt;$K$1,对接源_02物料!$B215=""),0,IF(OR(N(对接源_02物料!$B215)&lt;$K$2,N(对接源_02物料!$B215)&gt;$K$3),0,1))</f>
        <v>0</v>
      </c>
      <c r="L1415">
        <f>IF(OR($L$1="",对接源_02物料!$C215="",对接源_02物料!$C215&lt;&gt;$L$1,对接源_02物料!$B215=""),0,IF(OR(N(对接源_02物料!$B215)&lt;$L$2,N(对接源_02物料!$B215)&gt;$L$3),0,1))</f>
        <v>0</v>
      </c>
      <c r="M1415">
        <f>IF(OR($M$1="",对接源_02物料!$C215="",对接源_02物料!$C215&lt;&gt;$M$1,对接源_02物料!$B215=""),0,IF(OR(N(对接源_02物料!$B215)&lt;$M$2,N(对接源_02物料!$B215)&gt;$M$3),0,1))</f>
        <v>0</v>
      </c>
      <c r="N1415">
        <f>IF(OR($N$1="",对接源_02物料!$C215="",对接源_02物料!$C215&lt;&gt;$N$1,对接源_02物料!$B215=""),0,IF(OR(N(对接源_02物料!$B215)&lt;$N$2,N(对接源_02物料!$B215)&gt;$N$3),0,1))</f>
        <v>0</v>
      </c>
      <c r="P1415">
        <f>IF(AND($K1415=1,AND(对接源_02物料!$X215="公司筐",N(对接源_02物料!$T215)&lt;&gt;0)),1,0)</f>
        <v>0</v>
      </c>
      <c r="Q1415">
        <f>N(Q1414)+$P1415</f>
        <v>10</v>
      </c>
      <c r="R1415">
        <f>IF(AND($K1415=1,AND(对接源_02物料!$X215="公司筐",N(对接源_02物料!$U215)&lt;&gt;0)),1,0)</f>
        <v>0</v>
      </c>
      <c r="S1415">
        <f>N(S1414)+$R1415</f>
        <v>0</v>
      </c>
      <c r="T1415">
        <f>IF(AND($K1415=1,AND(对接源_02物料!$X215="公司筐",N(对接源_02物料!$V215)&lt;&gt;0)),1,0)</f>
        <v>0</v>
      </c>
      <c r="U1415">
        <f>N(U1414)+$T1415</f>
        <v>47</v>
      </c>
      <c r="V1415">
        <f>IF(AND($L1415=1,AND(对接源_02物料!$X215="自备筐",N(对接源_02物料!$V215)&lt;&gt;0)),1,0)</f>
        <v>0</v>
      </c>
      <c r="W1415">
        <f>N(W1414)+$V1415</f>
        <v>11</v>
      </c>
      <c r="X1415">
        <f>IF(AND($L1415=1,AND(对接源_02物料!$X215="自备筐",N(对接源_02物料!$T215)&lt;&gt;0)),1,0)</f>
        <v>0</v>
      </c>
      <c r="Y1415">
        <f>N(Y1414)+$X1415</f>
        <v>0</v>
      </c>
      <c r="Z1415">
        <f>IF(AND($M1415=1,对接源_02物料!$D215="原料入库"),1,0)</f>
        <v>0</v>
      </c>
      <c r="AA1415">
        <f>N(AA1414)+$Z1415</f>
        <v>24</v>
      </c>
      <c r="AB1415">
        <f>IF(AND($M1415=1,LEFT(对接源_02物料!$D215,4)="原料出库"),1,0)</f>
        <v>0</v>
      </c>
      <c r="AC1415">
        <f>N(AC1414)+$AB1415</f>
        <v>0</v>
      </c>
      <c r="AD1415">
        <f>IF(AND($M1415=1,LEFT(对接源_02物料!$D215,4)="成品出库"),1,0)</f>
        <v>0</v>
      </c>
      <c r="AE1415">
        <f>N(AE1414)+$AD1415</f>
        <v>0</v>
      </c>
      <c r="AF1415">
        <f>IF(AND($N1415=1,AND(LEFT(对接源_02物料!$D215,4)="包装物料",N(对接源_02物料!$K215)&lt;&gt;0)),1,0)</f>
        <v>0</v>
      </c>
      <c r="AG1415">
        <f>N(AG1414)+$AF1415</f>
        <v>10</v>
      </c>
      <c r="AH1415">
        <f>IF(AND($N1415=1,AND(对接源_02物料!$D215="周转筐－销售出库",N(对接源_02物料!$K215)&lt;&gt;0)),1,0)</f>
        <v>0</v>
      </c>
      <c r="AI1415">
        <f>N(AI1414)+$AH1415</f>
        <v>0</v>
      </c>
      <c r="AL1415" t="n">
        <v>0</v>
      </c>
      <c r="AM1415">
        <f>N(AM1414)+$AL1415</f>
        <v>2</v>
      </c>
      <c r="AN1415">
        <f>""</f>
      </c>
      <c r="AO1415" t="n">
        <v>0</v>
      </c>
      <c r="AP1415">
        <f>N(AP1414)+$AO1415</f>
        <v>13</v>
      </c>
      <c r="AR1415">
        <f>IF(OR($AF1415=1,$AH1415=1),1,0)</f>
        <v>0</v>
      </c>
      <c r="AS1415">
        <f>N(AS1414)+$AR1415</f>
        <v>10</v>
      </c>
    </row>
    <row r="1416" s="127">
      <c r="A1416" t="str">
        <f>IF(对接源_02物料!$C216="","",对接源_02物料!$C216)</f>
        <v>全修塑业</v>
      </c>
      <c r="B1416">
        <f>IF(A1416="",0,IF(MATCH(A1416,$A$4:$A$2403,0)=ROW()-3,1,0))</f>
        <v>0</v>
      </c>
      <c r="C1416">
        <f>N(C1415)+B1416</f>
        <v>26</v>
      </c>
      <c r="K1416">
        <f>IF(OR($K$1="",对接源_02物料!$C216="",对接源_02物料!$C216&lt;&gt;$K$1,对接源_02物料!$B216=""),0,IF(OR(N(对接源_02物料!$B216)&lt;$K$2,N(对接源_02物料!$B216)&gt;$K$3),0,1))</f>
        <v>0</v>
      </c>
      <c r="L1416">
        <f>IF(OR($L$1="",对接源_02物料!$C216="",对接源_02物料!$C216&lt;&gt;$L$1,对接源_02物料!$B216=""),0,IF(OR(N(对接源_02物料!$B216)&lt;$L$2,N(对接源_02物料!$B216)&gt;$L$3),0,1))</f>
        <v>0</v>
      </c>
      <c r="M1416">
        <f>IF(OR($M$1="",对接源_02物料!$C216="",对接源_02物料!$C216&lt;&gt;$M$1,对接源_02物料!$B216=""),0,IF(OR(N(对接源_02物料!$B216)&lt;$M$2,N(对接源_02物料!$B216)&gt;$M$3),0,1))</f>
        <v>0</v>
      </c>
      <c r="N1416">
        <f>IF(OR($N$1="",对接源_02物料!$C216="",对接源_02物料!$C216&lt;&gt;$N$1,对接源_02物料!$B216=""),0,IF(OR(N(对接源_02物料!$B216)&lt;$N$2,N(对接源_02物料!$B216)&gt;$N$3),0,1))</f>
        <v>0</v>
      </c>
      <c r="P1416">
        <f>IF(AND($K1416=1,AND(对接源_02物料!$X216="公司筐",N(对接源_02物料!$T216)&lt;&gt;0)),1,0)</f>
        <v>0</v>
      </c>
      <c r="Q1416">
        <f>N(Q1415)+$P1416</f>
        <v>10</v>
      </c>
      <c r="R1416">
        <f>IF(AND($K1416=1,AND(对接源_02物料!$X216="公司筐",N(对接源_02物料!$U216)&lt;&gt;0)),1,0)</f>
        <v>0</v>
      </c>
      <c r="S1416">
        <f>N(S1415)+$R1416</f>
        <v>0</v>
      </c>
      <c r="T1416">
        <f>IF(AND($K1416=1,AND(对接源_02物料!$X216="公司筐",N(对接源_02物料!$V216)&lt;&gt;0)),1,0)</f>
        <v>0</v>
      </c>
      <c r="U1416">
        <f>N(U1415)+$T1416</f>
        <v>47</v>
      </c>
      <c r="V1416">
        <f>IF(AND($L1416=1,AND(对接源_02物料!$X216="自备筐",N(对接源_02物料!$V216)&lt;&gt;0)),1,0)</f>
        <v>0</v>
      </c>
      <c r="W1416">
        <f>N(W1415)+$V1416</f>
        <v>11</v>
      </c>
      <c r="X1416">
        <f>IF(AND($L1416=1,AND(对接源_02物料!$X216="自备筐",N(对接源_02物料!$T216)&lt;&gt;0)),1,0)</f>
        <v>0</v>
      </c>
      <c r="Y1416">
        <f>N(Y1415)+$X1416</f>
        <v>0</v>
      </c>
      <c r="Z1416">
        <f>IF(AND($M1416=1,对接源_02物料!$D216="原料入库"),1,0)</f>
        <v>0</v>
      </c>
      <c r="AA1416">
        <f>N(AA1415)+$Z1416</f>
        <v>24</v>
      </c>
      <c r="AB1416">
        <f>IF(AND($M1416=1,LEFT(对接源_02物料!$D216,4)="原料出库"),1,0)</f>
        <v>0</v>
      </c>
      <c r="AC1416">
        <f>N(AC1415)+$AB1416</f>
        <v>0</v>
      </c>
      <c r="AD1416">
        <f>IF(AND($M1416=1,LEFT(对接源_02物料!$D216,4)="成品出库"),1,0)</f>
        <v>0</v>
      </c>
      <c r="AE1416">
        <f>N(AE1415)+$AD1416</f>
        <v>0</v>
      </c>
      <c r="AF1416">
        <f>IF(AND($N1416=1,AND(LEFT(对接源_02物料!$D216,4)="包装物料",N(对接源_02物料!$K216)&lt;&gt;0)),1,0)</f>
        <v>0</v>
      </c>
      <c r="AG1416">
        <f>N(AG1415)+$AF1416</f>
        <v>10</v>
      </c>
      <c r="AH1416">
        <f>IF(AND($N1416=1,AND(对接源_02物料!$D216="周转筐－销售出库",N(对接源_02物料!$K216)&lt;&gt;0)),1,0)</f>
        <v>0</v>
      </c>
      <c r="AI1416">
        <f>N(AI1415)+$AH1416</f>
        <v>0</v>
      </c>
      <c r="AL1416" t="n">
        <v>0</v>
      </c>
      <c r="AM1416">
        <f>N(AM1415)+$AL1416</f>
        <v>2</v>
      </c>
      <c r="AN1416">
        <f>""</f>
      </c>
      <c r="AO1416" t="n">
        <v>0</v>
      </c>
      <c r="AP1416">
        <f>N(AP1415)+$AO1416</f>
        <v>13</v>
      </c>
      <c r="AR1416">
        <f>IF(OR($AF1416=1,$AH1416=1),1,0)</f>
        <v>0</v>
      </c>
      <c r="AS1416">
        <f>N(AS1415)+$AR1416</f>
        <v>10</v>
      </c>
    </row>
    <row r="1417" s="127">
      <c r="A1417" t="str">
        <f>IF(对接源_02物料!$C217="","",对接源_02物料!$C217)</f>
        <v>全修塑业</v>
      </c>
      <c r="B1417">
        <f>IF(A1417="",0,IF(MATCH(A1417,$A$4:$A$2403,0)=ROW()-3,1,0))</f>
        <v>0</v>
      </c>
      <c r="C1417">
        <f>N(C1416)+B1417</f>
        <v>26</v>
      </c>
      <c r="K1417">
        <f>IF(OR($K$1="",对接源_02物料!$C217="",对接源_02物料!$C217&lt;&gt;$K$1,对接源_02物料!$B217=""),0,IF(OR(N(对接源_02物料!$B217)&lt;$K$2,N(对接源_02物料!$B217)&gt;$K$3),0,1))</f>
        <v>0</v>
      </c>
      <c r="L1417">
        <f>IF(OR($L$1="",对接源_02物料!$C217="",对接源_02物料!$C217&lt;&gt;$L$1,对接源_02物料!$B217=""),0,IF(OR(N(对接源_02物料!$B217)&lt;$L$2,N(对接源_02物料!$B217)&gt;$L$3),0,1))</f>
        <v>0</v>
      </c>
      <c r="M1417">
        <f>IF(OR($M$1="",对接源_02物料!$C217="",对接源_02物料!$C217&lt;&gt;$M$1,对接源_02物料!$B217=""),0,IF(OR(N(对接源_02物料!$B217)&lt;$M$2,N(对接源_02物料!$B217)&gt;$M$3),0,1))</f>
        <v>0</v>
      </c>
      <c r="N1417">
        <f>IF(OR($N$1="",对接源_02物料!$C217="",对接源_02物料!$C217&lt;&gt;$N$1,对接源_02物料!$B217=""),0,IF(OR(N(对接源_02物料!$B217)&lt;$N$2,N(对接源_02物料!$B217)&gt;$N$3),0,1))</f>
        <v>0</v>
      </c>
      <c r="P1417">
        <f>IF(AND($K1417=1,AND(对接源_02物料!$X217="公司筐",N(对接源_02物料!$T217)&lt;&gt;0)),1,0)</f>
        <v>0</v>
      </c>
      <c r="Q1417">
        <f>N(Q1416)+$P1417</f>
        <v>10</v>
      </c>
      <c r="R1417">
        <f>IF(AND($K1417=1,AND(对接源_02物料!$X217="公司筐",N(对接源_02物料!$U217)&lt;&gt;0)),1,0)</f>
        <v>0</v>
      </c>
      <c r="S1417">
        <f>N(S1416)+$R1417</f>
        <v>0</v>
      </c>
      <c r="T1417">
        <f>IF(AND($K1417=1,AND(对接源_02物料!$X217="公司筐",N(对接源_02物料!$V217)&lt;&gt;0)),1,0)</f>
        <v>0</v>
      </c>
      <c r="U1417">
        <f>N(U1416)+$T1417</f>
        <v>47</v>
      </c>
      <c r="V1417">
        <f>IF(AND($L1417=1,AND(对接源_02物料!$X217="自备筐",N(对接源_02物料!$V217)&lt;&gt;0)),1,0)</f>
        <v>0</v>
      </c>
      <c r="W1417">
        <f>N(W1416)+$V1417</f>
        <v>11</v>
      </c>
      <c r="X1417">
        <f>IF(AND($L1417=1,AND(对接源_02物料!$X217="自备筐",N(对接源_02物料!$T217)&lt;&gt;0)),1,0)</f>
        <v>0</v>
      </c>
      <c r="Y1417">
        <f>N(Y1416)+$X1417</f>
        <v>0</v>
      </c>
      <c r="Z1417">
        <f>IF(AND($M1417=1,对接源_02物料!$D217="原料入库"),1,0)</f>
        <v>0</v>
      </c>
      <c r="AA1417">
        <f>N(AA1416)+$Z1417</f>
        <v>24</v>
      </c>
      <c r="AB1417">
        <f>IF(AND($M1417=1,LEFT(对接源_02物料!$D217,4)="原料出库"),1,0)</f>
        <v>0</v>
      </c>
      <c r="AC1417">
        <f>N(AC1416)+$AB1417</f>
        <v>0</v>
      </c>
      <c r="AD1417">
        <f>IF(AND($M1417=1,LEFT(对接源_02物料!$D217,4)="成品出库"),1,0)</f>
        <v>0</v>
      </c>
      <c r="AE1417">
        <f>N(AE1416)+$AD1417</f>
        <v>0</v>
      </c>
      <c r="AF1417">
        <f>IF(AND($N1417=1,AND(LEFT(对接源_02物料!$D217,4)="包装物料",N(对接源_02物料!$K217)&lt;&gt;0)),1,0)</f>
        <v>0</v>
      </c>
      <c r="AG1417">
        <f>N(AG1416)+$AF1417</f>
        <v>10</v>
      </c>
      <c r="AH1417">
        <f>IF(AND($N1417=1,AND(对接源_02物料!$D217="周转筐－销售出库",N(对接源_02物料!$K217)&lt;&gt;0)),1,0)</f>
        <v>0</v>
      </c>
      <c r="AI1417">
        <f>N(AI1416)+$AH1417</f>
        <v>0</v>
      </c>
      <c r="AL1417" t="n">
        <v>0</v>
      </c>
      <c r="AM1417">
        <f>N(AM1416)+$AL1417</f>
        <v>2</v>
      </c>
      <c r="AN1417">
        <f>""</f>
      </c>
      <c r="AO1417" t="n">
        <v>0</v>
      </c>
      <c r="AP1417">
        <f>N(AP1416)+$AO1417</f>
        <v>13</v>
      </c>
      <c r="AR1417">
        <f>IF(OR($AF1417=1,$AH1417=1),1,0)</f>
        <v>0</v>
      </c>
      <c r="AS1417">
        <f>N(AS1416)+$AR1417</f>
        <v>10</v>
      </c>
    </row>
    <row r="1418" s="127">
      <c r="A1418" t="str">
        <f>IF(对接源_02物料!$C218="","",对接源_02物料!$C218)</f>
        <v>热合曼</v>
      </c>
      <c r="B1418">
        <f>IF(A1418="",0,IF(MATCH(A1418,$A$4:$A$2403,0)=ROW()-3,1,0))</f>
        <v>0</v>
      </c>
      <c r="C1418">
        <f>N(C1417)+B1418</f>
        <v>26</v>
      </c>
      <c r="K1418">
        <f>IF(OR($K$1="",对接源_02物料!$C218="",对接源_02物料!$C218&lt;&gt;$K$1,对接源_02物料!$B218=""),0,IF(OR(N(对接源_02物料!$B218)&lt;$K$2,N(对接源_02物料!$B218)&gt;$K$3),0,1))</f>
        <v>0</v>
      </c>
      <c r="L1418">
        <f>IF(OR($L$1="",对接源_02物料!$C218="",对接源_02物料!$C218&lt;&gt;$L$1,对接源_02物料!$B218=""),0,IF(OR(N(对接源_02物料!$B218)&lt;$L$2,N(对接源_02物料!$B218)&gt;$L$3),0,1))</f>
        <v>0</v>
      </c>
      <c r="M1418">
        <f>IF(OR($M$1="",对接源_02物料!$C218="",对接源_02物料!$C218&lt;&gt;$M$1,对接源_02物料!$B218=""),0,IF(OR(N(对接源_02物料!$B218)&lt;$M$2,N(对接源_02物料!$B218)&gt;$M$3),0,1))</f>
        <v>0</v>
      </c>
      <c r="N1418">
        <f>IF(OR($N$1="",对接源_02物料!$C218="",对接源_02物料!$C218&lt;&gt;$N$1,对接源_02物料!$B218=""),0,IF(OR(N(对接源_02物料!$B218)&lt;$N$2,N(对接源_02物料!$B218)&gt;$N$3),0,1))</f>
        <v>0</v>
      </c>
      <c r="P1418">
        <f>IF(AND($K1418=1,AND(对接源_02物料!$X218="公司筐",N(对接源_02物料!$T218)&lt;&gt;0)),1,0)</f>
        <v>0</v>
      </c>
      <c r="Q1418">
        <f>N(Q1417)+$P1418</f>
        <v>10</v>
      </c>
      <c r="R1418">
        <f>IF(AND($K1418=1,AND(对接源_02物料!$X218="公司筐",N(对接源_02物料!$U218)&lt;&gt;0)),1,0)</f>
        <v>0</v>
      </c>
      <c r="S1418">
        <f>N(S1417)+$R1418</f>
        <v>0</v>
      </c>
      <c r="T1418">
        <f>IF(AND($K1418=1,AND(对接源_02物料!$X218="公司筐",N(对接源_02物料!$V218)&lt;&gt;0)),1,0)</f>
        <v>0</v>
      </c>
      <c r="U1418">
        <f>N(U1417)+$T1418</f>
        <v>47</v>
      </c>
      <c r="V1418">
        <f>IF(AND($L1418=1,AND(对接源_02物料!$X218="自备筐",N(对接源_02物料!$V218)&lt;&gt;0)),1,0)</f>
        <v>0</v>
      </c>
      <c r="W1418">
        <f>N(W1417)+$V1418</f>
        <v>11</v>
      </c>
      <c r="X1418">
        <f>IF(AND($L1418=1,AND(对接源_02物料!$X218="自备筐",N(对接源_02物料!$T218)&lt;&gt;0)),1,0)</f>
        <v>0</v>
      </c>
      <c r="Y1418">
        <f>N(Y1417)+$X1418</f>
        <v>0</v>
      </c>
      <c r="Z1418">
        <f>IF(AND($M1418=1,对接源_02物料!$D218="原料入库"),1,0)</f>
        <v>0</v>
      </c>
      <c r="AA1418">
        <f>N(AA1417)+$Z1418</f>
        <v>24</v>
      </c>
      <c r="AB1418">
        <f>IF(AND($M1418=1,LEFT(对接源_02物料!$D218,4)="原料出库"),1,0)</f>
        <v>0</v>
      </c>
      <c r="AC1418">
        <f>N(AC1417)+$AB1418</f>
        <v>0</v>
      </c>
      <c r="AD1418">
        <f>IF(AND($M1418=1,LEFT(对接源_02物料!$D218,4)="成品出库"),1,0)</f>
        <v>0</v>
      </c>
      <c r="AE1418">
        <f>N(AE1417)+$AD1418</f>
        <v>0</v>
      </c>
      <c r="AF1418">
        <f>IF(AND($N1418=1,AND(LEFT(对接源_02物料!$D218,4)="包装物料",N(对接源_02物料!$K218)&lt;&gt;0)),1,0)</f>
        <v>0</v>
      </c>
      <c r="AG1418">
        <f>N(AG1417)+$AF1418</f>
        <v>10</v>
      </c>
      <c r="AH1418">
        <f>IF(AND($N1418=1,AND(对接源_02物料!$D218="周转筐－销售出库",N(对接源_02物料!$K218)&lt;&gt;0)),1,0)</f>
        <v>0</v>
      </c>
      <c r="AI1418">
        <f>N(AI1417)+$AH1418</f>
        <v>0</v>
      </c>
      <c r="AL1418" t="n">
        <v>0</v>
      </c>
      <c r="AM1418">
        <f>N(AM1417)+$AL1418</f>
        <v>2</v>
      </c>
      <c r="AN1418">
        <f>""</f>
      </c>
      <c r="AO1418" t="n">
        <v>0</v>
      </c>
      <c r="AP1418">
        <f>N(AP1417)+$AO1418</f>
        <v>13</v>
      </c>
      <c r="AR1418">
        <f>IF(OR($AF1418=1,$AH1418=1),1,0)</f>
        <v>0</v>
      </c>
      <c r="AS1418">
        <f>N(AS1417)+$AR1418</f>
        <v>10</v>
      </c>
    </row>
    <row r="1419" s="127">
      <c r="A1419" t="str">
        <f>IF(对接源_02物料!$C219="","",对接源_02物料!$C219)</f>
        <v>王灵云</v>
      </c>
      <c r="B1419">
        <f>IF(A1419="",0,IF(MATCH(A1419,$A$4:$A$2403,0)=ROW()-3,1,0))</f>
        <v>0</v>
      </c>
      <c r="C1419">
        <f>N(C1418)+B1419</f>
        <v>26</v>
      </c>
      <c r="K1419">
        <f>IF(OR($K$1="",对接源_02物料!$C219="",对接源_02物料!$C219&lt;&gt;$K$1,对接源_02物料!$B219=""),0,IF(OR(N(对接源_02物料!$B219)&lt;$K$2,N(对接源_02物料!$B219)&gt;$K$3),0,1))</f>
        <v>1</v>
      </c>
      <c r="L1419">
        <f>IF(OR($L$1="",对接源_02物料!$C219="",对接源_02物料!$C219&lt;&gt;$L$1,对接源_02物料!$B219=""),0,IF(OR(N(对接源_02物料!$B219)&lt;$L$2,N(对接源_02物料!$B219)&gt;$L$3),0,1))</f>
        <v>0</v>
      </c>
      <c r="M1419">
        <f>IF(OR($M$1="",对接源_02物料!$C219="",对接源_02物料!$C219&lt;&gt;$M$1,对接源_02物料!$B219=""),0,IF(OR(N(对接源_02物料!$B219)&lt;$M$2,N(对接源_02物料!$B219)&gt;$M$3),0,1))</f>
        <v>0</v>
      </c>
      <c r="N1419">
        <f>IF(OR($N$1="",对接源_02物料!$C219="",对接源_02物料!$C219&lt;&gt;$N$1,对接源_02物料!$B219=""),0,IF(OR(N(对接源_02物料!$B219)&lt;$N$2,N(对接源_02物料!$B219)&gt;$N$3),0,1))</f>
        <v>0</v>
      </c>
      <c r="P1419">
        <f>IF(AND($K1419=1,AND(对接源_02物料!$X219="公司筐",N(对接源_02物料!$T219)&lt;&gt;0)),1,0)</f>
        <v>1</v>
      </c>
      <c r="Q1419">
        <f>N(Q1418)+$P1419</f>
        <v>11</v>
      </c>
      <c r="R1419">
        <f>IF(AND($K1419=1,AND(对接源_02物料!$X219="公司筐",N(对接源_02物料!$U219)&lt;&gt;0)),1,0)</f>
        <v>0</v>
      </c>
      <c r="S1419">
        <f>N(S1418)+$R1419</f>
        <v>0</v>
      </c>
      <c r="T1419">
        <f>IF(AND($K1419=1,AND(对接源_02物料!$X219="公司筐",N(对接源_02物料!$V219)&lt;&gt;0)),1,0)</f>
        <v>0</v>
      </c>
      <c r="U1419">
        <f>N(U1418)+$T1419</f>
        <v>47</v>
      </c>
      <c r="V1419">
        <f>IF(AND($L1419=1,AND(对接源_02物料!$X219="自备筐",N(对接源_02物料!$V219)&lt;&gt;0)),1,0)</f>
        <v>0</v>
      </c>
      <c r="W1419">
        <f>N(W1418)+$V1419</f>
        <v>11</v>
      </c>
      <c r="X1419">
        <f>IF(AND($L1419=1,AND(对接源_02物料!$X219="自备筐",N(对接源_02物料!$T219)&lt;&gt;0)),1,0)</f>
        <v>0</v>
      </c>
      <c r="Y1419">
        <f>N(Y1418)+$X1419</f>
        <v>0</v>
      </c>
      <c r="Z1419">
        <f>IF(AND($M1419=1,对接源_02物料!$D219="原料入库"),1,0)</f>
        <v>0</v>
      </c>
      <c r="AA1419">
        <f>N(AA1418)+$Z1419</f>
        <v>24</v>
      </c>
      <c r="AB1419">
        <f>IF(AND($M1419=1,LEFT(对接源_02物料!$D219,4)="原料出库"),1,0)</f>
        <v>0</v>
      </c>
      <c r="AC1419">
        <f>N(AC1418)+$AB1419</f>
        <v>0</v>
      </c>
      <c r="AD1419">
        <f>IF(AND($M1419=1,LEFT(对接源_02物料!$D219,4)="成品出库"),1,0)</f>
        <v>0</v>
      </c>
      <c r="AE1419">
        <f>N(AE1418)+$AD1419</f>
        <v>0</v>
      </c>
      <c r="AF1419">
        <f>IF(AND($N1419=1,AND(LEFT(对接源_02物料!$D219,4)="包装物料",N(对接源_02物料!$K219)&lt;&gt;0)),1,0)</f>
        <v>0</v>
      </c>
      <c r="AG1419">
        <f>N(AG1418)+$AF1419</f>
        <v>10</v>
      </c>
      <c r="AH1419">
        <f>IF(AND($N1419=1,AND(对接源_02物料!$D219="周转筐－销售出库",N(对接源_02物料!$K219)&lt;&gt;0)),1,0)</f>
        <v>0</v>
      </c>
      <c r="AI1419">
        <f>N(AI1418)+$AH1419</f>
        <v>0</v>
      </c>
      <c r="AL1419" t="n">
        <v>0</v>
      </c>
      <c r="AM1419">
        <f>N(AM1418)+$AL1419</f>
        <v>2</v>
      </c>
      <c r="AN1419">
        <f>""</f>
      </c>
      <c r="AO1419" t="n">
        <v>0</v>
      </c>
      <c r="AP1419">
        <f>N(AP1418)+$AO1419</f>
        <v>13</v>
      </c>
      <c r="AR1419">
        <f>IF(OR($AF1419=1,$AH1419=1),1,0)</f>
        <v>0</v>
      </c>
      <c r="AS1419">
        <f>N(AS1418)+$AR1419</f>
        <v>10</v>
      </c>
    </row>
    <row r="1420" s="127">
      <c r="A1420" t="str">
        <f>IF(对接源_02物料!$C220="","",对接源_02物料!$C220)</f>
        <v>艾海提</v>
      </c>
      <c r="B1420">
        <f>IF(A1420="",0,IF(MATCH(A1420,$A$4:$A$2403,0)=ROW()-3,1,0))</f>
        <v>0</v>
      </c>
      <c r="C1420">
        <f>N(C1419)+B1420</f>
        <v>26</v>
      </c>
      <c r="K1420">
        <f>IF(OR($K$1="",对接源_02物料!$C220="",对接源_02物料!$C220&lt;&gt;$K$1,对接源_02物料!$B220=""),0,IF(OR(N(对接源_02物料!$B220)&lt;$K$2,N(对接源_02物料!$B220)&gt;$K$3),0,1))</f>
        <v>0</v>
      </c>
      <c r="L1420">
        <f>IF(OR($L$1="",对接源_02物料!$C220="",对接源_02物料!$C220&lt;&gt;$L$1,对接源_02物料!$B220=""),0,IF(OR(N(对接源_02物料!$B220)&lt;$L$2,N(对接源_02物料!$B220)&gt;$L$3),0,1))</f>
        <v>0</v>
      </c>
      <c r="M1420">
        <f>IF(OR($M$1="",对接源_02物料!$C220="",对接源_02物料!$C220&lt;&gt;$M$1,对接源_02物料!$B220=""),0,IF(OR(N(对接源_02物料!$B220)&lt;$M$2,N(对接源_02物料!$B220)&gt;$M$3),0,1))</f>
        <v>0</v>
      </c>
      <c r="N1420">
        <f>IF(OR($N$1="",对接源_02物料!$C220="",对接源_02物料!$C220&lt;&gt;$N$1,对接源_02物料!$B220=""),0,IF(OR(N(对接源_02物料!$B220)&lt;$N$2,N(对接源_02物料!$B220)&gt;$N$3),0,1))</f>
        <v>0</v>
      </c>
      <c r="P1420">
        <f>IF(AND($K1420=1,AND(对接源_02物料!$X220="公司筐",N(对接源_02物料!$T220)&lt;&gt;0)),1,0)</f>
        <v>0</v>
      </c>
      <c r="Q1420">
        <f>N(Q1419)+$P1420</f>
        <v>11</v>
      </c>
      <c r="R1420">
        <f>IF(AND($K1420=1,AND(对接源_02物料!$X220="公司筐",N(对接源_02物料!$U220)&lt;&gt;0)),1,0)</f>
        <v>0</v>
      </c>
      <c r="S1420">
        <f>N(S1419)+$R1420</f>
        <v>0</v>
      </c>
      <c r="T1420">
        <f>IF(AND($K1420=1,AND(对接源_02物料!$X220="公司筐",N(对接源_02物料!$V220)&lt;&gt;0)),1,0)</f>
        <v>0</v>
      </c>
      <c r="U1420">
        <f>N(U1419)+$T1420</f>
        <v>47</v>
      </c>
      <c r="V1420">
        <f>IF(AND($L1420=1,AND(对接源_02物料!$X220="自备筐",N(对接源_02物料!$V220)&lt;&gt;0)),1,0)</f>
        <v>0</v>
      </c>
      <c r="W1420">
        <f>N(W1419)+$V1420</f>
        <v>11</v>
      </c>
      <c r="X1420">
        <f>IF(AND($L1420=1,AND(对接源_02物料!$X220="自备筐",N(对接源_02物料!$T220)&lt;&gt;0)),1,0)</f>
        <v>0</v>
      </c>
      <c r="Y1420">
        <f>N(Y1419)+$X1420</f>
        <v>0</v>
      </c>
      <c r="Z1420">
        <f>IF(AND($M1420=1,对接源_02物料!$D220="原料入库"),1,0)</f>
        <v>0</v>
      </c>
      <c r="AA1420">
        <f>N(AA1419)+$Z1420</f>
        <v>24</v>
      </c>
      <c r="AB1420">
        <f>IF(AND($M1420=1,LEFT(对接源_02物料!$D220,4)="原料出库"),1,0)</f>
        <v>0</v>
      </c>
      <c r="AC1420">
        <f>N(AC1419)+$AB1420</f>
        <v>0</v>
      </c>
      <c r="AD1420">
        <f>IF(AND($M1420=1,LEFT(对接源_02物料!$D220,4)="成品出库"),1,0)</f>
        <v>0</v>
      </c>
      <c r="AE1420">
        <f>N(AE1419)+$AD1420</f>
        <v>0</v>
      </c>
      <c r="AF1420">
        <f>IF(AND($N1420=1,AND(LEFT(对接源_02物料!$D220,4)="包装物料",N(对接源_02物料!$K220)&lt;&gt;0)),1,0)</f>
        <v>0</v>
      </c>
      <c r="AG1420">
        <f>N(AG1419)+$AF1420</f>
        <v>10</v>
      </c>
      <c r="AH1420">
        <f>IF(AND($N1420=1,AND(对接源_02物料!$D220="周转筐－销售出库",N(对接源_02物料!$K220)&lt;&gt;0)),1,0)</f>
        <v>0</v>
      </c>
      <c r="AI1420">
        <f>N(AI1419)+$AH1420</f>
        <v>0</v>
      </c>
      <c r="AL1420" t="n">
        <v>0</v>
      </c>
      <c r="AM1420">
        <f>N(AM1419)+$AL1420</f>
        <v>2</v>
      </c>
      <c r="AN1420">
        <f>""</f>
      </c>
      <c r="AO1420" t="n">
        <v>0</v>
      </c>
      <c r="AP1420">
        <f>N(AP1419)+$AO1420</f>
        <v>13</v>
      </c>
      <c r="AR1420">
        <f>IF(OR($AF1420=1,$AH1420=1),1,0)</f>
        <v>0</v>
      </c>
      <c r="AS1420">
        <f>N(AS1419)+$AR1420</f>
        <v>10</v>
      </c>
    </row>
    <row r="1421" s="127">
      <c r="A1421" t="str">
        <f>IF(对接源_02物料!$C221="","",对接源_02物料!$C221)</f>
        <v>王浩</v>
      </c>
      <c r="B1421">
        <f>IF(A1421="",0,IF(MATCH(A1421,$A$4:$A$2403,0)=ROW()-3,1,0))</f>
        <v>0</v>
      </c>
      <c r="C1421">
        <f>N(C1420)+B1421</f>
        <v>26</v>
      </c>
      <c r="K1421">
        <f>IF(OR($K$1="",对接源_02物料!$C221="",对接源_02物料!$C221&lt;&gt;$K$1,对接源_02物料!$B221=""),0,IF(OR(N(对接源_02物料!$B221)&lt;$K$2,N(对接源_02物料!$B221)&gt;$K$3),0,1))</f>
        <v>0</v>
      </c>
      <c r="L1421">
        <f>IF(OR($L$1="",对接源_02物料!$C221="",对接源_02物料!$C221&lt;&gt;$L$1,对接源_02物料!$B221=""),0,IF(OR(N(对接源_02物料!$B221)&lt;$L$2,N(对接源_02物料!$B221)&gt;$L$3),0,1))</f>
        <v>0</v>
      </c>
      <c r="M1421">
        <f>IF(OR($M$1="",对接源_02物料!$C221="",对接源_02物料!$C221&lt;&gt;$M$1,对接源_02物料!$B221=""),0,IF(OR(N(对接源_02物料!$B221)&lt;$M$2,N(对接源_02物料!$B221)&gt;$M$3),0,1))</f>
        <v>0</v>
      </c>
      <c r="N1421">
        <f>IF(OR($N$1="",对接源_02物料!$C221="",对接源_02物料!$C221&lt;&gt;$N$1,对接源_02物料!$B221=""),0,IF(OR(N(对接源_02物料!$B221)&lt;$N$2,N(对接源_02物料!$B221)&gt;$N$3),0,1))</f>
        <v>0</v>
      </c>
      <c r="P1421">
        <f>IF(AND($K1421=1,AND(对接源_02物料!$X221="公司筐",N(对接源_02物料!$T221)&lt;&gt;0)),1,0)</f>
        <v>0</v>
      </c>
      <c r="Q1421">
        <f>N(Q1420)+$P1421</f>
        <v>11</v>
      </c>
      <c r="R1421">
        <f>IF(AND($K1421=1,AND(对接源_02物料!$X221="公司筐",N(对接源_02物料!$U221)&lt;&gt;0)),1,0)</f>
        <v>0</v>
      </c>
      <c r="S1421">
        <f>N(S1420)+$R1421</f>
        <v>0</v>
      </c>
      <c r="T1421">
        <f>IF(AND($K1421=1,AND(对接源_02物料!$X221="公司筐",N(对接源_02物料!$V221)&lt;&gt;0)),1,0)</f>
        <v>0</v>
      </c>
      <c r="U1421">
        <f>N(U1420)+$T1421</f>
        <v>47</v>
      </c>
      <c r="V1421">
        <f>IF(AND($L1421=1,AND(对接源_02物料!$X221="自备筐",N(对接源_02物料!$V221)&lt;&gt;0)),1,0)</f>
        <v>0</v>
      </c>
      <c r="W1421">
        <f>N(W1420)+$V1421</f>
        <v>11</v>
      </c>
      <c r="X1421">
        <f>IF(AND($L1421=1,AND(对接源_02物料!$X221="自备筐",N(对接源_02物料!$T221)&lt;&gt;0)),1,0)</f>
        <v>0</v>
      </c>
      <c r="Y1421">
        <f>N(Y1420)+$X1421</f>
        <v>0</v>
      </c>
      <c r="Z1421">
        <f>IF(AND($M1421=1,对接源_02物料!$D221="原料入库"),1,0)</f>
        <v>0</v>
      </c>
      <c r="AA1421">
        <f>N(AA1420)+$Z1421</f>
        <v>24</v>
      </c>
      <c r="AB1421">
        <f>IF(AND($M1421=1,LEFT(对接源_02物料!$D221,4)="原料出库"),1,0)</f>
        <v>0</v>
      </c>
      <c r="AC1421">
        <f>N(AC1420)+$AB1421</f>
        <v>0</v>
      </c>
      <c r="AD1421">
        <f>IF(AND($M1421=1,LEFT(对接源_02物料!$D221,4)="成品出库"),1,0)</f>
        <v>0</v>
      </c>
      <c r="AE1421">
        <f>N(AE1420)+$AD1421</f>
        <v>0</v>
      </c>
      <c r="AF1421">
        <f>IF(AND($N1421=1,AND(LEFT(对接源_02物料!$D221,4)="包装物料",N(对接源_02物料!$K221)&lt;&gt;0)),1,0)</f>
        <v>0</v>
      </c>
      <c r="AG1421">
        <f>N(AG1420)+$AF1421</f>
        <v>10</v>
      </c>
      <c r="AH1421">
        <f>IF(AND($N1421=1,AND(对接源_02物料!$D221="周转筐－销售出库",N(对接源_02物料!$K221)&lt;&gt;0)),1,0)</f>
        <v>0</v>
      </c>
      <c r="AI1421">
        <f>N(AI1420)+$AH1421</f>
        <v>0</v>
      </c>
      <c r="AL1421" t="n">
        <v>0</v>
      </c>
      <c r="AM1421">
        <f>N(AM1420)+$AL1421</f>
        <v>2</v>
      </c>
      <c r="AN1421">
        <f>""</f>
      </c>
      <c r="AO1421" t="n">
        <v>0</v>
      </c>
      <c r="AP1421">
        <f>N(AP1420)+$AO1421</f>
        <v>13</v>
      </c>
      <c r="AR1421">
        <f>IF(OR($AF1421=1,$AH1421=1),1,0)</f>
        <v>0</v>
      </c>
      <c r="AS1421">
        <f>N(AS1420)+$AR1421</f>
        <v>10</v>
      </c>
    </row>
    <row r="1422" s="127">
      <c r="A1422" t="str">
        <f>IF(对接源_02物料!$C222="","",对接源_02物料!$C222)</f>
        <v>全修塑业</v>
      </c>
      <c r="B1422">
        <f>IF(A1422="",0,IF(MATCH(A1422,$A$4:$A$2403,0)=ROW()-3,1,0))</f>
        <v>0</v>
      </c>
      <c r="C1422">
        <f>N(C1421)+B1422</f>
        <v>26</v>
      </c>
      <c r="K1422">
        <f>IF(OR($K$1="",对接源_02物料!$C222="",对接源_02物料!$C222&lt;&gt;$K$1,对接源_02物料!$B222=""),0,IF(OR(N(对接源_02物料!$B222)&lt;$K$2,N(对接源_02物料!$B222)&gt;$K$3),0,1))</f>
        <v>0</v>
      </c>
      <c r="L1422">
        <f>IF(OR($L$1="",对接源_02物料!$C222="",对接源_02物料!$C222&lt;&gt;$L$1,对接源_02物料!$B222=""),0,IF(OR(N(对接源_02物料!$B222)&lt;$L$2,N(对接源_02物料!$B222)&gt;$L$3),0,1))</f>
        <v>0</v>
      </c>
      <c r="M1422">
        <f>IF(OR($M$1="",对接源_02物料!$C222="",对接源_02物料!$C222&lt;&gt;$M$1,对接源_02物料!$B222=""),0,IF(OR(N(对接源_02物料!$B222)&lt;$M$2,N(对接源_02物料!$B222)&gt;$M$3),0,1))</f>
        <v>0</v>
      </c>
      <c r="N1422">
        <f>IF(OR($N$1="",对接源_02物料!$C222="",对接源_02物料!$C222&lt;&gt;$N$1,对接源_02物料!$B222=""),0,IF(OR(N(对接源_02物料!$B222)&lt;$N$2,N(对接源_02物料!$B222)&gt;$N$3),0,1))</f>
        <v>0</v>
      </c>
      <c r="P1422">
        <f>IF(AND($K1422=1,AND(对接源_02物料!$X222="公司筐",N(对接源_02物料!$T222)&lt;&gt;0)),1,0)</f>
        <v>0</v>
      </c>
      <c r="Q1422">
        <f>N(Q1421)+$P1422</f>
        <v>11</v>
      </c>
      <c r="R1422">
        <f>IF(AND($K1422=1,AND(对接源_02物料!$X222="公司筐",N(对接源_02物料!$U222)&lt;&gt;0)),1,0)</f>
        <v>0</v>
      </c>
      <c r="S1422">
        <f>N(S1421)+$R1422</f>
        <v>0</v>
      </c>
      <c r="T1422">
        <f>IF(AND($K1422=1,AND(对接源_02物料!$X222="公司筐",N(对接源_02物料!$V222)&lt;&gt;0)),1,0)</f>
        <v>0</v>
      </c>
      <c r="U1422">
        <f>N(U1421)+$T1422</f>
        <v>47</v>
      </c>
      <c r="V1422">
        <f>IF(AND($L1422=1,AND(对接源_02物料!$X222="自备筐",N(对接源_02物料!$V222)&lt;&gt;0)),1,0)</f>
        <v>0</v>
      </c>
      <c r="W1422">
        <f>N(W1421)+$V1422</f>
        <v>11</v>
      </c>
      <c r="X1422">
        <f>IF(AND($L1422=1,AND(对接源_02物料!$X222="自备筐",N(对接源_02物料!$T222)&lt;&gt;0)),1,0)</f>
        <v>0</v>
      </c>
      <c r="Y1422">
        <f>N(Y1421)+$X1422</f>
        <v>0</v>
      </c>
      <c r="Z1422">
        <f>IF(AND($M1422=1,对接源_02物料!$D222="原料入库"),1,0)</f>
        <v>0</v>
      </c>
      <c r="AA1422">
        <f>N(AA1421)+$Z1422</f>
        <v>24</v>
      </c>
      <c r="AB1422">
        <f>IF(AND($M1422=1,LEFT(对接源_02物料!$D222,4)="原料出库"),1,0)</f>
        <v>0</v>
      </c>
      <c r="AC1422">
        <f>N(AC1421)+$AB1422</f>
        <v>0</v>
      </c>
      <c r="AD1422">
        <f>IF(AND($M1422=1,LEFT(对接源_02物料!$D222,4)="成品出库"),1,0)</f>
        <v>0</v>
      </c>
      <c r="AE1422">
        <f>N(AE1421)+$AD1422</f>
        <v>0</v>
      </c>
      <c r="AF1422">
        <f>IF(AND($N1422=1,AND(LEFT(对接源_02物料!$D222,4)="包装物料",N(对接源_02物料!$K222)&lt;&gt;0)),1,0)</f>
        <v>0</v>
      </c>
      <c r="AG1422">
        <f>N(AG1421)+$AF1422</f>
        <v>10</v>
      </c>
      <c r="AH1422">
        <f>IF(AND($N1422=1,AND(对接源_02物料!$D222="周转筐－销售出库",N(对接源_02物料!$K222)&lt;&gt;0)),1,0)</f>
        <v>0</v>
      </c>
      <c r="AI1422">
        <f>N(AI1421)+$AH1422</f>
        <v>0</v>
      </c>
      <c r="AL1422" t="n">
        <v>0</v>
      </c>
      <c r="AM1422">
        <f>N(AM1421)+$AL1422</f>
        <v>2</v>
      </c>
      <c r="AN1422">
        <f>""</f>
      </c>
      <c r="AO1422" t="n">
        <v>0</v>
      </c>
      <c r="AP1422">
        <f>N(AP1421)+$AO1422</f>
        <v>13</v>
      </c>
      <c r="AR1422">
        <f>IF(OR($AF1422=1,$AH1422=1),1,0)</f>
        <v>0</v>
      </c>
      <c r="AS1422">
        <f>N(AS1421)+$AR1422</f>
        <v>10</v>
      </c>
    </row>
    <row r="1423" s="127">
      <c r="A1423" t="str">
        <f>IF(对接源_02物料!$C223="","",对接源_02物料!$C223)</f>
        <v>王灵云</v>
      </c>
      <c r="B1423">
        <f>IF(A1423="",0,IF(MATCH(A1423,$A$4:$A$2403,0)=ROW()-3,1,0))</f>
        <v>0</v>
      </c>
      <c r="C1423">
        <f>N(C1422)+B1423</f>
        <v>26</v>
      </c>
      <c r="K1423">
        <f>IF(OR($K$1="",对接源_02物料!$C223="",对接源_02物料!$C223&lt;&gt;$K$1,对接源_02物料!$B223=""),0,IF(OR(N(对接源_02物料!$B223)&lt;$K$2,N(对接源_02物料!$B223)&gt;$K$3),0,1))</f>
        <v>1</v>
      </c>
      <c r="L1423">
        <f>IF(OR($L$1="",对接源_02物料!$C223="",对接源_02物料!$C223&lt;&gt;$L$1,对接源_02物料!$B223=""),0,IF(OR(N(对接源_02物料!$B223)&lt;$L$2,N(对接源_02物料!$B223)&gt;$L$3),0,1))</f>
        <v>0</v>
      </c>
      <c r="M1423">
        <f>IF(OR($M$1="",对接源_02物料!$C223="",对接源_02物料!$C223&lt;&gt;$M$1,对接源_02物料!$B223=""),0,IF(OR(N(对接源_02物料!$B223)&lt;$M$2,N(对接源_02物料!$B223)&gt;$M$3),0,1))</f>
        <v>0</v>
      </c>
      <c r="N1423">
        <f>IF(OR($N$1="",对接源_02物料!$C223="",对接源_02物料!$C223&lt;&gt;$N$1,对接源_02物料!$B223=""),0,IF(OR(N(对接源_02物料!$B223)&lt;$N$2,N(对接源_02物料!$B223)&gt;$N$3),0,1))</f>
        <v>0</v>
      </c>
      <c r="P1423">
        <f>IF(AND($K1423=1,AND(对接源_02物料!$X223="公司筐",N(对接源_02物料!$T223)&lt;&gt;0)),1,0)</f>
        <v>1</v>
      </c>
      <c r="Q1423">
        <f>N(Q1422)+$P1423</f>
        <v>12</v>
      </c>
      <c r="R1423">
        <f>IF(AND($K1423=1,AND(对接源_02物料!$X223="公司筐",N(对接源_02物料!$U223)&lt;&gt;0)),1,0)</f>
        <v>0</v>
      </c>
      <c r="S1423">
        <f>N(S1422)+$R1423</f>
        <v>0</v>
      </c>
      <c r="T1423">
        <f>IF(AND($K1423=1,AND(对接源_02物料!$X223="公司筐",N(对接源_02物料!$V223)&lt;&gt;0)),1,0)</f>
        <v>0</v>
      </c>
      <c r="U1423">
        <f>N(U1422)+$T1423</f>
        <v>47</v>
      </c>
      <c r="V1423">
        <f>IF(AND($L1423=1,AND(对接源_02物料!$X223="自备筐",N(对接源_02物料!$V223)&lt;&gt;0)),1,0)</f>
        <v>0</v>
      </c>
      <c r="W1423">
        <f>N(W1422)+$V1423</f>
        <v>11</v>
      </c>
      <c r="X1423">
        <f>IF(AND($L1423=1,AND(对接源_02物料!$X223="自备筐",N(对接源_02物料!$T223)&lt;&gt;0)),1,0)</f>
        <v>0</v>
      </c>
      <c r="Y1423">
        <f>N(Y1422)+$X1423</f>
        <v>0</v>
      </c>
      <c r="Z1423">
        <f>IF(AND($M1423=1,对接源_02物料!$D223="原料入库"),1,0)</f>
        <v>0</v>
      </c>
      <c r="AA1423">
        <f>N(AA1422)+$Z1423</f>
        <v>24</v>
      </c>
      <c r="AB1423">
        <f>IF(AND($M1423=1,LEFT(对接源_02物料!$D223,4)="原料出库"),1,0)</f>
        <v>0</v>
      </c>
      <c r="AC1423">
        <f>N(AC1422)+$AB1423</f>
        <v>0</v>
      </c>
      <c r="AD1423">
        <f>IF(AND($M1423=1,LEFT(对接源_02物料!$D223,4)="成品出库"),1,0)</f>
        <v>0</v>
      </c>
      <c r="AE1423">
        <f>N(AE1422)+$AD1423</f>
        <v>0</v>
      </c>
      <c r="AF1423">
        <f>IF(AND($N1423=1,AND(LEFT(对接源_02物料!$D223,4)="包装物料",N(对接源_02物料!$K223)&lt;&gt;0)),1,0)</f>
        <v>0</v>
      </c>
      <c r="AG1423">
        <f>N(AG1422)+$AF1423</f>
        <v>10</v>
      </c>
      <c r="AH1423">
        <f>IF(AND($N1423=1,AND(对接源_02物料!$D223="周转筐－销售出库",N(对接源_02物料!$K223)&lt;&gt;0)),1,0)</f>
        <v>0</v>
      </c>
      <c r="AI1423">
        <f>N(AI1422)+$AH1423</f>
        <v>0</v>
      </c>
      <c r="AL1423" t="n">
        <v>0</v>
      </c>
      <c r="AM1423">
        <f>N(AM1422)+$AL1423</f>
        <v>2</v>
      </c>
      <c r="AN1423">
        <f>""</f>
      </c>
      <c r="AO1423" t="n">
        <v>0</v>
      </c>
      <c r="AP1423">
        <f>N(AP1422)+$AO1423</f>
        <v>13</v>
      </c>
      <c r="AR1423">
        <f>IF(OR($AF1423=1,$AH1423=1),1,0)</f>
        <v>0</v>
      </c>
      <c r="AS1423">
        <f>N(AS1422)+$AR1423</f>
        <v>10</v>
      </c>
    </row>
    <row r="1424" s="127">
      <c r="A1424" t="str">
        <f>IF(对接源_02物料!$C224="","",对接源_02物料!$C224)</f>
        <v>王照雪</v>
      </c>
      <c r="B1424">
        <f>IF(A1424="",0,IF(MATCH(A1424,$A$4:$A$2403,0)=ROW()-3,1,0))</f>
        <v>0</v>
      </c>
      <c r="C1424">
        <f>N(C1423)+B1424</f>
        <v>26</v>
      </c>
      <c r="K1424">
        <f>IF(OR($K$1="",对接源_02物料!$C224="",对接源_02物料!$C224&lt;&gt;$K$1,对接源_02物料!$B224=""),0,IF(OR(N(对接源_02物料!$B224)&lt;$K$2,N(对接源_02物料!$B224)&gt;$K$3),0,1))</f>
        <v>0</v>
      </c>
      <c r="L1424">
        <f>IF(OR($L$1="",对接源_02物料!$C224="",对接源_02物料!$C224&lt;&gt;$L$1,对接源_02物料!$B224=""),0,IF(OR(N(对接源_02物料!$B224)&lt;$L$2,N(对接源_02物料!$B224)&gt;$L$3),0,1))</f>
        <v>0</v>
      </c>
      <c r="M1424">
        <f>IF(OR($M$1="",对接源_02物料!$C224="",对接源_02物料!$C224&lt;&gt;$M$1,对接源_02物料!$B224=""),0,IF(OR(N(对接源_02物料!$B224)&lt;$M$2,N(对接源_02物料!$B224)&gt;$M$3),0,1))</f>
        <v>0</v>
      </c>
      <c r="N1424">
        <f>IF(OR($N$1="",对接源_02物料!$C224="",对接源_02物料!$C224&lt;&gt;$N$1,对接源_02物料!$B224=""),0,IF(OR(N(对接源_02物料!$B224)&lt;$N$2,N(对接源_02物料!$B224)&gt;$N$3),0,1))</f>
        <v>0</v>
      </c>
      <c r="P1424">
        <f>IF(AND($K1424=1,AND(对接源_02物料!$X224="公司筐",N(对接源_02物料!$T224)&lt;&gt;0)),1,0)</f>
        <v>0</v>
      </c>
      <c r="Q1424">
        <f>N(Q1423)+$P1424</f>
        <v>12</v>
      </c>
      <c r="R1424">
        <f>IF(AND($K1424=1,AND(对接源_02物料!$X224="公司筐",N(对接源_02物料!$U224)&lt;&gt;0)),1,0)</f>
        <v>0</v>
      </c>
      <c r="S1424">
        <f>N(S1423)+$R1424</f>
        <v>0</v>
      </c>
      <c r="T1424">
        <f>IF(AND($K1424=1,AND(对接源_02物料!$X224="公司筐",N(对接源_02物料!$V224)&lt;&gt;0)),1,0)</f>
        <v>0</v>
      </c>
      <c r="U1424">
        <f>N(U1423)+$T1424</f>
        <v>47</v>
      </c>
      <c r="V1424">
        <f>IF(AND($L1424=1,AND(对接源_02物料!$X224="自备筐",N(对接源_02物料!$V224)&lt;&gt;0)),1,0)</f>
        <v>0</v>
      </c>
      <c r="W1424">
        <f>N(W1423)+$V1424</f>
        <v>11</v>
      </c>
      <c r="X1424">
        <f>IF(AND($L1424=1,AND(对接源_02物料!$X224="自备筐",N(对接源_02物料!$T224)&lt;&gt;0)),1,0)</f>
        <v>0</v>
      </c>
      <c r="Y1424">
        <f>N(Y1423)+$X1424</f>
        <v>0</v>
      </c>
      <c r="Z1424">
        <f>IF(AND($M1424=1,对接源_02物料!$D224="原料入库"),1,0)</f>
        <v>0</v>
      </c>
      <c r="AA1424">
        <f>N(AA1423)+$Z1424</f>
        <v>24</v>
      </c>
      <c r="AB1424">
        <f>IF(AND($M1424=1,LEFT(对接源_02物料!$D224,4)="原料出库"),1,0)</f>
        <v>0</v>
      </c>
      <c r="AC1424">
        <f>N(AC1423)+$AB1424</f>
        <v>0</v>
      </c>
      <c r="AD1424">
        <f>IF(AND($M1424=1,LEFT(对接源_02物料!$D224,4)="成品出库"),1,0)</f>
        <v>0</v>
      </c>
      <c r="AE1424">
        <f>N(AE1423)+$AD1424</f>
        <v>0</v>
      </c>
      <c r="AF1424">
        <f>IF(AND($N1424=1,AND(LEFT(对接源_02物料!$D224,4)="包装物料",N(对接源_02物料!$K224)&lt;&gt;0)),1,0)</f>
        <v>0</v>
      </c>
      <c r="AG1424">
        <f>N(AG1423)+$AF1424</f>
        <v>10</v>
      </c>
      <c r="AH1424">
        <f>IF(AND($N1424=1,AND(对接源_02物料!$D224="周转筐－销售出库",N(对接源_02物料!$K224)&lt;&gt;0)),1,0)</f>
        <v>0</v>
      </c>
      <c r="AI1424">
        <f>N(AI1423)+$AH1424</f>
        <v>0</v>
      </c>
      <c r="AL1424" t="n">
        <v>0</v>
      </c>
      <c r="AM1424">
        <f>N(AM1423)+$AL1424</f>
        <v>2</v>
      </c>
      <c r="AN1424">
        <f>""</f>
      </c>
      <c r="AO1424" t="n">
        <v>0</v>
      </c>
      <c r="AP1424">
        <f>N(AP1423)+$AO1424</f>
        <v>13</v>
      </c>
      <c r="AR1424">
        <f>IF(OR($AF1424=1,$AH1424=1),1,0)</f>
        <v>0</v>
      </c>
      <c r="AS1424">
        <f>N(AS1423)+$AR1424</f>
        <v>10</v>
      </c>
    </row>
    <row r="1425" s="127">
      <c r="A1425" t="str">
        <f>IF(对接源_02物料!$C225="","",对接源_02物料!$C225)</f>
        <v>王照雪</v>
      </c>
      <c r="B1425">
        <f>IF(A1425="",0,IF(MATCH(A1425,$A$4:$A$2403,0)=ROW()-3,1,0))</f>
        <v>0</v>
      </c>
      <c r="C1425">
        <f>N(C1424)+B1425</f>
        <v>26</v>
      </c>
      <c r="K1425">
        <f>IF(OR($K$1="",对接源_02物料!$C225="",对接源_02物料!$C225&lt;&gt;$K$1,对接源_02物料!$B225=""),0,IF(OR(N(对接源_02物料!$B225)&lt;$K$2,N(对接源_02物料!$B225)&gt;$K$3),0,1))</f>
        <v>0</v>
      </c>
      <c r="L1425">
        <f>IF(OR($L$1="",对接源_02物料!$C225="",对接源_02物料!$C225&lt;&gt;$L$1,对接源_02物料!$B225=""),0,IF(OR(N(对接源_02物料!$B225)&lt;$L$2,N(对接源_02物料!$B225)&gt;$L$3),0,1))</f>
        <v>0</v>
      </c>
      <c r="M1425">
        <f>IF(OR($M$1="",对接源_02物料!$C225="",对接源_02物料!$C225&lt;&gt;$M$1,对接源_02物料!$B225=""),0,IF(OR(N(对接源_02物料!$B225)&lt;$M$2,N(对接源_02物料!$B225)&gt;$M$3),0,1))</f>
        <v>0</v>
      </c>
      <c r="N1425">
        <f>IF(OR($N$1="",对接源_02物料!$C225="",对接源_02物料!$C225&lt;&gt;$N$1,对接源_02物料!$B225=""),0,IF(OR(N(对接源_02物料!$B225)&lt;$N$2,N(对接源_02物料!$B225)&gt;$N$3),0,1))</f>
        <v>0</v>
      </c>
      <c r="P1425">
        <f>IF(AND($K1425=1,AND(对接源_02物料!$X225="公司筐",N(对接源_02物料!$T225)&lt;&gt;0)),1,0)</f>
        <v>0</v>
      </c>
      <c r="Q1425">
        <f>N(Q1424)+$P1425</f>
        <v>12</v>
      </c>
      <c r="R1425">
        <f>IF(AND($K1425=1,AND(对接源_02物料!$X225="公司筐",N(对接源_02物料!$U225)&lt;&gt;0)),1,0)</f>
        <v>0</v>
      </c>
      <c r="S1425">
        <f>N(S1424)+$R1425</f>
        <v>0</v>
      </c>
      <c r="T1425">
        <f>IF(AND($K1425=1,AND(对接源_02物料!$X225="公司筐",N(对接源_02物料!$V225)&lt;&gt;0)),1,0)</f>
        <v>0</v>
      </c>
      <c r="U1425">
        <f>N(U1424)+$T1425</f>
        <v>47</v>
      </c>
      <c r="V1425">
        <f>IF(AND($L1425=1,AND(对接源_02物料!$X225="自备筐",N(对接源_02物料!$V225)&lt;&gt;0)),1,0)</f>
        <v>0</v>
      </c>
      <c r="W1425">
        <f>N(W1424)+$V1425</f>
        <v>11</v>
      </c>
      <c r="X1425">
        <f>IF(AND($L1425=1,AND(对接源_02物料!$X225="自备筐",N(对接源_02物料!$T225)&lt;&gt;0)),1,0)</f>
        <v>0</v>
      </c>
      <c r="Y1425">
        <f>N(Y1424)+$X1425</f>
        <v>0</v>
      </c>
      <c r="Z1425">
        <f>IF(AND($M1425=1,对接源_02物料!$D225="原料入库"),1,0)</f>
        <v>0</v>
      </c>
      <c r="AA1425">
        <f>N(AA1424)+$Z1425</f>
        <v>24</v>
      </c>
      <c r="AB1425">
        <f>IF(AND($M1425=1,LEFT(对接源_02物料!$D225,4)="原料出库"),1,0)</f>
        <v>0</v>
      </c>
      <c r="AC1425">
        <f>N(AC1424)+$AB1425</f>
        <v>0</v>
      </c>
      <c r="AD1425">
        <f>IF(AND($M1425=1,LEFT(对接源_02物料!$D225,4)="成品出库"),1,0)</f>
        <v>0</v>
      </c>
      <c r="AE1425">
        <f>N(AE1424)+$AD1425</f>
        <v>0</v>
      </c>
      <c r="AF1425">
        <f>IF(AND($N1425=1,AND(LEFT(对接源_02物料!$D225,4)="包装物料",N(对接源_02物料!$K225)&lt;&gt;0)),1,0)</f>
        <v>0</v>
      </c>
      <c r="AG1425">
        <f>N(AG1424)+$AF1425</f>
        <v>10</v>
      </c>
      <c r="AH1425">
        <f>IF(AND($N1425=1,AND(对接源_02物料!$D225="周转筐－销售出库",N(对接源_02物料!$K225)&lt;&gt;0)),1,0)</f>
        <v>0</v>
      </c>
      <c r="AI1425">
        <f>N(AI1424)+$AH1425</f>
        <v>0</v>
      </c>
      <c r="AL1425" t="n">
        <v>0</v>
      </c>
      <c r="AM1425">
        <f>N(AM1424)+$AL1425</f>
        <v>2</v>
      </c>
      <c r="AN1425">
        <f>""</f>
      </c>
      <c r="AO1425" t="n">
        <v>0</v>
      </c>
      <c r="AP1425">
        <f>N(AP1424)+$AO1425</f>
        <v>13</v>
      </c>
      <c r="AR1425">
        <f>IF(OR($AF1425=1,$AH1425=1),1,0)</f>
        <v>0</v>
      </c>
      <c r="AS1425">
        <f>N(AS1424)+$AR1425</f>
        <v>10</v>
      </c>
    </row>
    <row r="1426" s="127">
      <c r="A1426" t="str">
        <f>IF(对接源_02物料!$C226="","",对接源_02物料!$C226)</f>
        <v>热合曼</v>
      </c>
      <c r="B1426">
        <f>IF(A1426="",0,IF(MATCH(A1426,$A$4:$A$2403,0)=ROW()-3,1,0))</f>
        <v>0</v>
      </c>
      <c r="C1426">
        <f>N(C1425)+B1426</f>
        <v>26</v>
      </c>
      <c r="K1426">
        <f>IF(OR($K$1="",对接源_02物料!$C226="",对接源_02物料!$C226&lt;&gt;$K$1,对接源_02物料!$B226=""),0,IF(OR(N(对接源_02物料!$B226)&lt;$K$2,N(对接源_02物料!$B226)&gt;$K$3),0,1))</f>
        <v>0</v>
      </c>
      <c r="L1426">
        <f>IF(OR($L$1="",对接源_02物料!$C226="",对接源_02物料!$C226&lt;&gt;$L$1,对接源_02物料!$B226=""),0,IF(OR(N(对接源_02物料!$B226)&lt;$L$2,N(对接源_02物料!$B226)&gt;$L$3),0,1))</f>
        <v>0</v>
      </c>
      <c r="M1426">
        <f>IF(OR($M$1="",对接源_02物料!$C226="",对接源_02物料!$C226&lt;&gt;$M$1,对接源_02物料!$B226=""),0,IF(OR(N(对接源_02物料!$B226)&lt;$M$2,N(对接源_02物料!$B226)&gt;$M$3),0,1))</f>
        <v>0</v>
      </c>
      <c r="N1426">
        <f>IF(OR($N$1="",对接源_02物料!$C226="",对接源_02物料!$C226&lt;&gt;$N$1,对接源_02物料!$B226=""),0,IF(OR(N(对接源_02物料!$B226)&lt;$N$2,N(对接源_02物料!$B226)&gt;$N$3),0,1))</f>
        <v>0</v>
      </c>
      <c r="P1426">
        <f>IF(AND($K1426=1,AND(对接源_02物料!$X226="公司筐",N(对接源_02物料!$T226)&lt;&gt;0)),1,0)</f>
        <v>0</v>
      </c>
      <c r="Q1426">
        <f>N(Q1425)+$P1426</f>
        <v>12</v>
      </c>
      <c r="R1426">
        <f>IF(AND($K1426=1,AND(对接源_02物料!$X226="公司筐",N(对接源_02物料!$U226)&lt;&gt;0)),1,0)</f>
        <v>0</v>
      </c>
      <c r="S1426">
        <f>N(S1425)+$R1426</f>
        <v>0</v>
      </c>
      <c r="T1426">
        <f>IF(AND($K1426=1,AND(对接源_02物料!$X226="公司筐",N(对接源_02物料!$V226)&lt;&gt;0)),1,0)</f>
        <v>0</v>
      </c>
      <c r="U1426">
        <f>N(U1425)+$T1426</f>
        <v>47</v>
      </c>
      <c r="V1426">
        <f>IF(AND($L1426=1,AND(对接源_02物料!$X226="自备筐",N(对接源_02物料!$V226)&lt;&gt;0)),1,0)</f>
        <v>0</v>
      </c>
      <c r="W1426">
        <f>N(W1425)+$V1426</f>
        <v>11</v>
      </c>
      <c r="X1426">
        <f>IF(AND($L1426=1,AND(对接源_02物料!$X226="自备筐",N(对接源_02物料!$T226)&lt;&gt;0)),1,0)</f>
        <v>0</v>
      </c>
      <c r="Y1426">
        <f>N(Y1425)+$X1426</f>
        <v>0</v>
      </c>
      <c r="Z1426">
        <f>IF(AND($M1426=1,对接源_02物料!$D226="原料入库"),1,0)</f>
        <v>0</v>
      </c>
      <c r="AA1426">
        <f>N(AA1425)+$Z1426</f>
        <v>24</v>
      </c>
      <c r="AB1426">
        <f>IF(AND($M1426=1,LEFT(对接源_02物料!$D226,4)="原料出库"),1,0)</f>
        <v>0</v>
      </c>
      <c r="AC1426">
        <f>N(AC1425)+$AB1426</f>
        <v>0</v>
      </c>
      <c r="AD1426">
        <f>IF(AND($M1426=1,LEFT(对接源_02物料!$D226,4)="成品出库"),1,0)</f>
        <v>0</v>
      </c>
      <c r="AE1426">
        <f>N(AE1425)+$AD1426</f>
        <v>0</v>
      </c>
      <c r="AF1426">
        <f>IF(AND($N1426=1,AND(LEFT(对接源_02物料!$D226,4)="包装物料",N(对接源_02物料!$K226)&lt;&gt;0)),1,0)</f>
        <v>0</v>
      </c>
      <c r="AG1426">
        <f>N(AG1425)+$AF1426</f>
        <v>10</v>
      </c>
      <c r="AH1426">
        <f>IF(AND($N1426=1,AND(对接源_02物料!$D226="周转筐－销售出库",N(对接源_02物料!$K226)&lt;&gt;0)),1,0)</f>
        <v>0</v>
      </c>
      <c r="AI1426">
        <f>N(AI1425)+$AH1426</f>
        <v>0</v>
      </c>
      <c r="AL1426" t="n">
        <v>0</v>
      </c>
      <c r="AM1426">
        <f>N(AM1425)+$AL1426</f>
        <v>2</v>
      </c>
      <c r="AN1426">
        <f>""</f>
      </c>
      <c r="AO1426" t="n">
        <v>0</v>
      </c>
      <c r="AP1426">
        <f>N(AP1425)+$AO1426</f>
        <v>13</v>
      </c>
      <c r="AR1426">
        <f>IF(OR($AF1426=1,$AH1426=1),1,0)</f>
        <v>0</v>
      </c>
      <c r="AS1426">
        <f>N(AS1425)+$AR1426</f>
        <v>10</v>
      </c>
    </row>
    <row r="1427" s="127">
      <c r="A1427" t="str">
        <f>IF(对接源_02物料!$C227="","",对接源_02物料!$C227)</f>
        <v>荆建君</v>
      </c>
      <c r="B1427">
        <f>IF(A1427="",0,IF(MATCH(A1427,$A$4:$A$2403,0)=ROW()-3,1,0))</f>
        <v>0</v>
      </c>
      <c r="C1427">
        <f>N(C1426)+B1427</f>
        <v>26</v>
      </c>
      <c r="K1427">
        <f>IF(OR($K$1="",对接源_02物料!$C227="",对接源_02物料!$C227&lt;&gt;$K$1,对接源_02物料!$B227=""),0,IF(OR(N(对接源_02物料!$B227)&lt;$K$2,N(对接源_02物料!$B227)&gt;$K$3),0,1))</f>
        <v>0</v>
      </c>
      <c r="L1427">
        <f>IF(OR($L$1="",对接源_02物料!$C227="",对接源_02物料!$C227&lt;&gt;$L$1,对接源_02物料!$B227=""),0,IF(OR(N(对接源_02物料!$B227)&lt;$L$2,N(对接源_02物料!$B227)&gt;$L$3),0,1))</f>
        <v>0</v>
      </c>
      <c r="M1427">
        <f>IF(OR($M$1="",对接源_02物料!$C227="",对接源_02物料!$C227&lt;&gt;$M$1,对接源_02物料!$B227=""),0,IF(OR(N(对接源_02物料!$B227)&lt;$M$2,N(对接源_02物料!$B227)&gt;$M$3),0,1))</f>
        <v>0</v>
      </c>
      <c r="N1427">
        <f>IF(OR($N$1="",对接源_02物料!$C227="",对接源_02物料!$C227&lt;&gt;$N$1,对接源_02物料!$B227=""),0,IF(OR(N(对接源_02物料!$B227)&lt;$N$2,N(对接源_02物料!$B227)&gt;$N$3),0,1))</f>
        <v>0</v>
      </c>
      <c r="P1427">
        <f>IF(AND($K1427=1,AND(对接源_02物料!$X227="公司筐",N(对接源_02物料!$T227)&lt;&gt;0)),1,0)</f>
        <v>0</v>
      </c>
      <c r="Q1427">
        <f>N(Q1426)+$P1427</f>
        <v>12</v>
      </c>
      <c r="R1427">
        <f>IF(AND($K1427=1,AND(对接源_02物料!$X227="公司筐",N(对接源_02物料!$U227)&lt;&gt;0)),1,0)</f>
        <v>0</v>
      </c>
      <c r="S1427">
        <f>N(S1426)+$R1427</f>
        <v>0</v>
      </c>
      <c r="T1427">
        <f>IF(AND($K1427=1,AND(对接源_02物料!$X227="公司筐",N(对接源_02物料!$V227)&lt;&gt;0)),1,0)</f>
        <v>0</v>
      </c>
      <c r="U1427">
        <f>N(U1426)+$T1427</f>
        <v>47</v>
      </c>
      <c r="V1427">
        <f>IF(AND($L1427=1,AND(对接源_02物料!$X227="自备筐",N(对接源_02物料!$V227)&lt;&gt;0)),1,0)</f>
        <v>0</v>
      </c>
      <c r="W1427">
        <f>N(W1426)+$V1427</f>
        <v>11</v>
      </c>
      <c r="X1427">
        <f>IF(AND($L1427=1,AND(对接源_02物料!$X227="自备筐",N(对接源_02物料!$T227)&lt;&gt;0)),1,0)</f>
        <v>0</v>
      </c>
      <c r="Y1427">
        <f>N(Y1426)+$X1427</f>
        <v>0</v>
      </c>
      <c r="Z1427">
        <f>IF(AND($M1427=1,对接源_02物料!$D227="原料入库"),1,0)</f>
        <v>0</v>
      </c>
      <c r="AA1427">
        <f>N(AA1426)+$Z1427</f>
        <v>24</v>
      </c>
      <c r="AB1427">
        <f>IF(AND($M1427=1,LEFT(对接源_02物料!$D227,4)="原料出库"),1,0)</f>
        <v>0</v>
      </c>
      <c r="AC1427">
        <f>N(AC1426)+$AB1427</f>
        <v>0</v>
      </c>
      <c r="AD1427">
        <f>IF(AND($M1427=1,LEFT(对接源_02物料!$D227,4)="成品出库"),1,0)</f>
        <v>0</v>
      </c>
      <c r="AE1427">
        <f>N(AE1426)+$AD1427</f>
        <v>0</v>
      </c>
      <c r="AF1427">
        <f>IF(AND($N1427=1,AND(LEFT(对接源_02物料!$D227,4)="包装物料",N(对接源_02物料!$K227)&lt;&gt;0)),1,0)</f>
        <v>0</v>
      </c>
      <c r="AG1427">
        <f>N(AG1426)+$AF1427</f>
        <v>10</v>
      </c>
      <c r="AH1427">
        <f>IF(AND($N1427=1,AND(对接源_02物料!$D227="周转筐－销售出库",N(对接源_02物料!$K227)&lt;&gt;0)),1,0)</f>
        <v>0</v>
      </c>
      <c r="AI1427">
        <f>N(AI1426)+$AH1427</f>
        <v>0</v>
      </c>
      <c r="AL1427" t="n">
        <v>0</v>
      </c>
      <c r="AM1427">
        <f>N(AM1426)+$AL1427</f>
        <v>2</v>
      </c>
      <c r="AN1427">
        <f>""</f>
      </c>
      <c r="AO1427" t="n">
        <v>0</v>
      </c>
      <c r="AP1427">
        <f>N(AP1426)+$AO1427</f>
        <v>13</v>
      </c>
      <c r="AR1427">
        <f>IF(OR($AF1427=1,$AH1427=1),1,0)</f>
        <v>0</v>
      </c>
      <c r="AS1427">
        <f>N(AS1426)+$AR1427</f>
        <v>10</v>
      </c>
    </row>
    <row r="1428" s="127">
      <c r="A1428" t="str">
        <f>IF(对接源_02物料!$C228="","",对接源_02物料!$C228)</f>
        <v>全修塑业</v>
      </c>
      <c r="B1428">
        <f>IF(A1428="",0,IF(MATCH(A1428,$A$4:$A$2403,0)=ROW()-3,1,0))</f>
        <v>0</v>
      </c>
      <c r="C1428">
        <f>N(C1427)+B1428</f>
        <v>26</v>
      </c>
      <c r="K1428">
        <f>IF(OR($K$1="",对接源_02物料!$C228="",对接源_02物料!$C228&lt;&gt;$K$1,对接源_02物料!$B228=""),0,IF(OR(N(对接源_02物料!$B228)&lt;$K$2,N(对接源_02物料!$B228)&gt;$K$3),0,1))</f>
        <v>0</v>
      </c>
      <c r="L1428">
        <f>IF(OR($L$1="",对接源_02物料!$C228="",对接源_02物料!$C228&lt;&gt;$L$1,对接源_02物料!$B228=""),0,IF(OR(N(对接源_02物料!$B228)&lt;$L$2,N(对接源_02物料!$B228)&gt;$L$3),0,1))</f>
        <v>0</v>
      </c>
      <c r="M1428">
        <f>IF(OR($M$1="",对接源_02物料!$C228="",对接源_02物料!$C228&lt;&gt;$M$1,对接源_02物料!$B228=""),0,IF(OR(N(对接源_02物料!$B228)&lt;$M$2,N(对接源_02物料!$B228)&gt;$M$3),0,1))</f>
        <v>0</v>
      </c>
      <c r="N1428">
        <f>IF(OR($N$1="",对接源_02物料!$C228="",对接源_02物料!$C228&lt;&gt;$N$1,对接源_02物料!$B228=""),0,IF(OR(N(对接源_02物料!$B228)&lt;$N$2,N(对接源_02物料!$B228)&gt;$N$3),0,1))</f>
        <v>0</v>
      </c>
      <c r="P1428">
        <f>IF(AND($K1428=1,AND(对接源_02物料!$X228="公司筐",N(对接源_02物料!$T228)&lt;&gt;0)),1,0)</f>
        <v>0</v>
      </c>
      <c r="Q1428">
        <f>N(Q1427)+$P1428</f>
        <v>12</v>
      </c>
      <c r="R1428">
        <f>IF(AND($K1428=1,AND(对接源_02物料!$X228="公司筐",N(对接源_02物料!$U228)&lt;&gt;0)),1,0)</f>
        <v>0</v>
      </c>
      <c r="S1428">
        <f>N(S1427)+$R1428</f>
        <v>0</v>
      </c>
      <c r="T1428">
        <f>IF(AND($K1428=1,AND(对接源_02物料!$X228="公司筐",N(对接源_02物料!$V228)&lt;&gt;0)),1,0)</f>
        <v>0</v>
      </c>
      <c r="U1428">
        <f>N(U1427)+$T1428</f>
        <v>47</v>
      </c>
      <c r="V1428">
        <f>IF(AND($L1428=1,AND(对接源_02物料!$X228="自备筐",N(对接源_02物料!$V228)&lt;&gt;0)),1,0)</f>
        <v>0</v>
      </c>
      <c r="W1428">
        <f>N(W1427)+$V1428</f>
        <v>11</v>
      </c>
      <c r="X1428">
        <f>IF(AND($L1428=1,AND(对接源_02物料!$X228="自备筐",N(对接源_02物料!$T228)&lt;&gt;0)),1,0)</f>
        <v>0</v>
      </c>
      <c r="Y1428">
        <f>N(Y1427)+$X1428</f>
        <v>0</v>
      </c>
      <c r="Z1428">
        <f>IF(AND($M1428=1,对接源_02物料!$D228="原料入库"),1,0)</f>
        <v>0</v>
      </c>
      <c r="AA1428">
        <f>N(AA1427)+$Z1428</f>
        <v>24</v>
      </c>
      <c r="AB1428">
        <f>IF(AND($M1428=1,LEFT(对接源_02物料!$D228,4)="原料出库"),1,0)</f>
        <v>0</v>
      </c>
      <c r="AC1428">
        <f>N(AC1427)+$AB1428</f>
        <v>0</v>
      </c>
      <c r="AD1428">
        <f>IF(AND($M1428=1,LEFT(对接源_02物料!$D228,4)="成品出库"),1,0)</f>
        <v>0</v>
      </c>
      <c r="AE1428">
        <f>N(AE1427)+$AD1428</f>
        <v>0</v>
      </c>
      <c r="AF1428">
        <f>IF(AND($N1428=1,AND(LEFT(对接源_02物料!$D228,4)="包装物料",N(对接源_02物料!$K228)&lt;&gt;0)),1,0)</f>
        <v>0</v>
      </c>
      <c r="AG1428">
        <f>N(AG1427)+$AF1428</f>
        <v>10</v>
      </c>
      <c r="AH1428">
        <f>IF(AND($N1428=1,AND(对接源_02物料!$D228="周转筐－销售出库",N(对接源_02物料!$K228)&lt;&gt;0)),1,0)</f>
        <v>0</v>
      </c>
      <c r="AI1428">
        <f>N(AI1427)+$AH1428</f>
        <v>0</v>
      </c>
      <c r="AL1428" t="n">
        <v>0</v>
      </c>
      <c r="AM1428">
        <f>N(AM1427)+$AL1428</f>
        <v>2</v>
      </c>
      <c r="AN1428">
        <f>""</f>
      </c>
      <c r="AO1428" t="n">
        <v>0</v>
      </c>
      <c r="AP1428">
        <f>N(AP1427)+$AO1428</f>
        <v>13</v>
      </c>
      <c r="AR1428">
        <f>IF(OR($AF1428=1,$AH1428=1),1,0)</f>
        <v>0</v>
      </c>
      <c r="AS1428">
        <f>N(AS1427)+$AR1428</f>
        <v>10</v>
      </c>
    </row>
    <row r="1429" s="127">
      <c r="A1429" t="str">
        <f>IF(对接源_02物料!$C229="","",对接源_02物料!$C229)</f>
        <v>王灵云</v>
      </c>
      <c r="B1429">
        <f>IF(A1429="",0,IF(MATCH(A1429,$A$4:$A$2403,0)=ROW()-3,1,0))</f>
        <v>0</v>
      </c>
      <c r="C1429">
        <f>N(C1428)+B1429</f>
        <v>26</v>
      </c>
      <c r="K1429">
        <f>IF(OR($K$1="",对接源_02物料!$C229="",对接源_02物料!$C229&lt;&gt;$K$1,对接源_02物料!$B229=""),0,IF(OR(N(对接源_02物料!$B229)&lt;$K$2,N(对接源_02物料!$B229)&gt;$K$3),0,1))</f>
        <v>1</v>
      </c>
      <c r="L1429">
        <f>IF(OR($L$1="",对接源_02物料!$C229="",对接源_02物料!$C229&lt;&gt;$L$1,对接源_02物料!$B229=""),0,IF(OR(N(对接源_02物料!$B229)&lt;$L$2,N(对接源_02物料!$B229)&gt;$L$3),0,1))</f>
        <v>0</v>
      </c>
      <c r="M1429">
        <f>IF(OR($M$1="",对接源_02物料!$C229="",对接源_02物料!$C229&lt;&gt;$M$1,对接源_02物料!$B229=""),0,IF(OR(N(对接源_02物料!$B229)&lt;$M$2,N(对接源_02物料!$B229)&gt;$M$3),0,1))</f>
        <v>0</v>
      </c>
      <c r="N1429">
        <f>IF(OR($N$1="",对接源_02物料!$C229="",对接源_02物料!$C229&lt;&gt;$N$1,对接源_02物料!$B229=""),0,IF(OR(N(对接源_02物料!$B229)&lt;$N$2,N(对接源_02物料!$B229)&gt;$N$3),0,1))</f>
        <v>0</v>
      </c>
      <c r="P1429">
        <f>IF(AND($K1429=1,AND(对接源_02物料!$X229="公司筐",N(对接源_02物料!$T229)&lt;&gt;0)),1,0)</f>
        <v>1</v>
      </c>
      <c r="Q1429">
        <f>N(Q1428)+$P1429</f>
        <v>13</v>
      </c>
      <c r="R1429">
        <f>IF(AND($K1429=1,AND(对接源_02物料!$X229="公司筐",N(对接源_02物料!$U229)&lt;&gt;0)),1,0)</f>
        <v>0</v>
      </c>
      <c r="S1429">
        <f>N(S1428)+$R1429</f>
        <v>0</v>
      </c>
      <c r="T1429">
        <f>IF(AND($K1429=1,AND(对接源_02物料!$X229="公司筐",N(对接源_02物料!$V229)&lt;&gt;0)),1,0)</f>
        <v>0</v>
      </c>
      <c r="U1429">
        <f>N(U1428)+$T1429</f>
        <v>47</v>
      </c>
      <c r="V1429">
        <f>IF(AND($L1429=1,AND(对接源_02物料!$X229="自备筐",N(对接源_02物料!$V229)&lt;&gt;0)),1,0)</f>
        <v>0</v>
      </c>
      <c r="W1429">
        <f>N(W1428)+$V1429</f>
        <v>11</v>
      </c>
      <c r="X1429">
        <f>IF(AND($L1429=1,AND(对接源_02物料!$X229="自备筐",N(对接源_02物料!$T229)&lt;&gt;0)),1,0)</f>
        <v>0</v>
      </c>
      <c r="Y1429">
        <f>N(Y1428)+$X1429</f>
        <v>0</v>
      </c>
      <c r="Z1429">
        <f>IF(AND($M1429=1,对接源_02物料!$D229="原料入库"),1,0)</f>
        <v>0</v>
      </c>
      <c r="AA1429">
        <f>N(AA1428)+$Z1429</f>
        <v>24</v>
      </c>
      <c r="AB1429">
        <f>IF(AND($M1429=1,LEFT(对接源_02物料!$D229,4)="原料出库"),1,0)</f>
        <v>0</v>
      </c>
      <c r="AC1429">
        <f>N(AC1428)+$AB1429</f>
        <v>0</v>
      </c>
      <c r="AD1429">
        <f>IF(AND($M1429=1,LEFT(对接源_02物料!$D229,4)="成品出库"),1,0)</f>
        <v>0</v>
      </c>
      <c r="AE1429">
        <f>N(AE1428)+$AD1429</f>
        <v>0</v>
      </c>
      <c r="AF1429">
        <f>IF(AND($N1429=1,AND(LEFT(对接源_02物料!$D229,4)="包装物料",N(对接源_02物料!$K229)&lt;&gt;0)),1,0)</f>
        <v>0</v>
      </c>
      <c r="AG1429">
        <f>N(AG1428)+$AF1429</f>
        <v>10</v>
      </c>
      <c r="AH1429">
        <f>IF(AND($N1429=1,AND(对接源_02物料!$D229="周转筐－销售出库",N(对接源_02物料!$K229)&lt;&gt;0)),1,0)</f>
        <v>0</v>
      </c>
      <c r="AI1429">
        <f>N(AI1428)+$AH1429</f>
        <v>0</v>
      </c>
      <c r="AL1429" t="n">
        <v>0</v>
      </c>
      <c r="AM1429">
        <f>N(AM1428)+$AL1429</f>
        <v>2</v>
      </c>
      <c r="AN1429">
        <f>""</f>
      </c>
      <c r="AO1429" t="n">
        <v>0</v>
      </c>
      <c r="AP1429">
        <f>N(AP1428)+$AO1429</f>
        <v>13</v>
      </c>
      <c r="AR1429">
        <f>IF(OR($AF1429=1,$AH1429=1),1,0)</f>
        <v>0</v>
      </c>
      <c r="AS1429">
        <f>N(AS1428)+$AR1429</f>
        <v>10</v>
      </c>
    </row>
    <row r="1430" s="127">
      <c r="A1430" t="str">
        <f>IF(对接源_02物料!$C230="","",对接源_02物料!$C230)</f>
        <v>王照雪</v>
      </c>
      <c r="B1430">
        <f>IF(A1430="",0,IF(MATCH(A1430,$A$4:$A$2403,0)=ROW()-3,1,0))</f>
        <v>0</v>
      </c>
      <c r="C1430">
        <f>N(C1429)+B1430</f>
        <v>26</v>
      </c>
      <c r="K1430">
        <f>IF(OR($K$1="",对接源_02物料!$C230="",对接源_02物料!$C230&lt;&gt;$K$1,对接源_02物料!$B230=""),0,IF(OR(N(对接源_02物料!$B230)&lt;$K$2,N(对接源_02物料!$B230)&gt;$K$3),0,1))</f>
        <v>0</v>
      </c>
      <c r="L1430">
        <f>IF(OR($L$1="",对接源_02物料!$C230="",对接源_02物料!$C230&lt;&gt;$L$1,对接源_02物料!$B230=""),0,IF(OR(N(对接源_02物料!$B230)&lt;$L$2,N(对接源_02物料!$B230)&gt;$L$3),0,1))</f>
        <v>0</v>
      </c>
      <c r="M1430">
        <f>IF(OR($M$1="",对接源_02物料!$C230="",对接源_02物料!$C230&lt;&gt;$M$1,对接源_02物料!$B230=""),0,IF(OR(N(对接源_02物料!$B230)&lt;$M$2,N(对接源_02物料!$B230)&gt;$M$3),0,1))</f>
        <v>0</v>
      </c>
      <c r="N1430">
        <f>IF(OR($N$1="",对接源_02物料!$C230="",对接源_02物料!$C230&lt;&gt;$N$1,对接源_02物料!$B230=""),0,IF(OR(N(对接源_02物料!$B230)&lt;$N$2,N(对接源_02物料!$B230)&gt;$N$3),0,1))</f>
        <v>0</v>
      </c>
      <c r="P1430">
        <f>IF(AND($K1430=1,AND(对接源_02物料!$X230="公司筐",N(对接源_02物料!$T230)&lt;&gt;0)),1,0)</f>
        <v>0</v>
      </c>
      <c r="Q1430">
        <f>N(Q1429)+$P1430</f>
        <v>13</v>
      </c>
      <c r="R1430">
        <f>IF(AND($K1430=1,AND(对接源_02物料!$X230="公司筐",N(对接源_02物料!$U230)&lt;&gt;0)),1,0)</f>
        <v>0</v>
      </c>
      <c r="S1430">
        <f>N(S1429)+$R1430</f>
        <v>0</v>
      </c>
      <c r="T1430">
        <f>IF(AND($K1430=1,AND(对接源_02物料!$X230="公司筐",N(对接源_02物料!$V230)&lt;&gt;0)),1,0)</f>
        <v>0</v>
      </c>
      <c r="U1430">
        <f>N(U1429)+$T1430</f>
        <v>47</v>
      </c>
      <c r="V1430">
        <f>IF(AND($L1430=1,AND(对接源_02物料!$X230="自备筐",N(对接源_02物料!$V230)&lt;&gt;0)),1,0)</f>
        <v>0</v>
      </c>
      <c r="W1430">
        <f>N(W1429)+$V1430</f>
        <v>11</v>
      </c>
      <c r="X1430">
        <f>IF(AND($L1430=1,AND(对接源_02物料!$X230="自备筐",N(对接源_02物料!$T230)&lt;&gt;0)),1,0)</f>
        <v>0</v>
      </c>
      <c r="Y1430">
        <f>N(Y1429)+$X1430</f>
        <v>0</v>
      </c>
      <c r="Z1430">
        <f>IF(AND($M1430=1,对接源_02物料!$D230="原料入库"),1,0)</f>
        <v>0</v>
      </c>
      <c r="AA1430">
        <f>N(AA1429)+$Z1430</f>
        <v>24</v>
      </c>
      <c r="AB1430">
        <f>IF(AND($M1430=1,LEFT(对接源_02物料!$D230,4)="原料出库"),1,0)</f>
        <v>0</v>
      </c>
      <c r="AC1430">
        <f>N(AC1429)+$AB1430</f>
        <v>0</v>
      </c>
      <c r="AD1430">
        <f>IF(AND($M1430=1,LEFT(对接源_02物料!$D230,4)="成品出库"),1,0)</f>
        <v>0</v>
      </c>
      <c r="AE1430">
        <f>N(AE1429)+$AD1430</f>
        <v>0</v>
      </c>
      <c r="AF1430">
        <f>IF(AND($N1430=1,AND(LEFT(对接源_02物料!$D230,4)="包装物料",N(对接源_02物料!$K230)&lt;&gt;0)),1,0)</f>
        <v>0</v>
      </c>
      <c r="AG1430">
        <f>N(AG1429)+$AF1430</f>
        <v>10</v>
      </c>
      <c r="AH1430">
        <f>IF(AND($N1430=1,AND(对接源_02物料!$D230="周转筐－销售出库",N(对接源_02物料!$K230)&lt;&gt;0)),1,0)</f>
        <v>0</v>
      </c>
      <c r="AI1430">
        <f>N(AI1429)+$AH1430</f>
        <v>0</v>
      </c>
      <c r="AL1430" t="n">
        <v>0</v>
      </c>
      <c r="AM1430">
        <f>N(AM1429)+$AL1430</f>
        <v>2</v>
      </c>
      <c r="AN1430">
        <f>""</f>
      </c>
      <c r="AO1430" t="n">
        <v>0</v>
      </c>
      <c r="AP1430">
        <f>N(AP1429)+$AO1430</f>
        <v>13</v>
      </c>
      <c r="AR1430">
        <f>IF(OR($AF1430=1,$AH1430=1),1,0)</f>
        <v>0</v>
      </c>
      <c r="AS1430">
        <f>N(AS1429)+$AR1430</f>
        <v>10</v>
      </c>
    </row>
    <row r="1431" s="127">
      <c r="A1431" t="str">
        <f>IF(对接源_02物料!$C231="","",对接源_02物料!$C231)</f>
        <v>艾海提</v>
      </c>
      <c r="B1431">
        <f>IF(A1431="",0,IF(MATCH(A1431,$A$4:$A$2403,0)=ROW()-3,1,0))</f>
        <v>0</v>
      </c>
      <c r="C1431">
        <f>N(C1430)+B1431</f>
        <v>26</v>
      </c>
      <c r="K1431">
        <f>IF(OR($K$1="",对接源_02物料!$C231="",对接源_02物料!$C231&lt;&gt;$K$1,对接源_02物料!$B231=""),0,IF(OR(N(对接源_02物料!$B231)&lt;$K$2,N(对接源_02物料!$B231)&gt;$K$3),0,1))</f>
        <v>0</v>
      </c>
      <c r="L1431">
        <f>IF(OR($L$1="",对接源_02物料!$C231="",对接源_02物料!$C231&lt;&gt;$L$1,对接源_02物料!$B231=""),0,IF(OR(N(对接源_02物料!$B231)&lt;$L$2,N(对接源_02物料!$B231)&gt;$L$3),0,1))</f>
        <v>0</v>
      </c>
      <c r="M1431">
        <f>IF(OR($M$1="",对接源_02物料!$C231="",对接源_02物料!$C231&lt;&gt;$M$1,对接源_02物料!$B231=""),0,IF(OR(N(对接源_02物料!$B231)&lt;$M$2,N(对接源_02物料!$B231)&gt;$M$3),0,1))</f>
        <v>0</v>
      </c>
      <c r="N1431">
        <f>IF(OR($N$1="",对接源_02物料!$C231="",对接源_02物料!$C231&lt;&gt;$N$1,对接源_02物料!$B231=""),0,IF(OR(N(对接源_02物料!$B231)&lt;$N$2,N(对接源_02物料!$B231)&gt;$N$3),0,1))</f>
        <v>0</v>
      </c>
      <c r="P1431">
        <f>IF(AND($K1431=1,AND(对接源_02物料!$X231="公司筐",N(对接源_02物料!$T231)&lt;&gt;0)),1,0)</f>
        <v>0</v>
      </c>
      <c r="Q1431">
        <f>N(Q1430)+$P1431</f>
        <v>13</v>
      </c>
      <c r="R1431">
        <f>IF(AND($K1431=1,AND(对接源_02物料!$X231="公司筐",N(对接源_02物料!$U231)&lt;&gt;0)),1,0)</f>
        <v>0</v>
      </c>
      <c r="S1431">
        <f>N(S1430)+$R1431</f>
        <v>0</v>
      </c>
      <c r="T1431">
        <f>IF(AND($K1431=1,AND(对接源_02物料!$X231="公司筐",N(对接源_02物料!$V231)&lt;&gt;0)),1,0)</f>
        <v>0</v>
      </c>
      <c r="U1431">
        <f>N(U1430)+$T1431</f>
        <v>47</v>
      </c>
      <c r="V1431">
        <f>IF(AND($L1431=1,AND(对接源_02物料!$X231="自备筐",N(对接源_02物料!$V231)&lt;&gt;0)),1,0)</f>
        <v>0</v>
      </c>
      <c r="W1431">
        <f>N(W1430)+$V1431</f>
        <v>11</v>
      </c>
      <c r="X1431">
        <f>IF(AND($L1431=1,AND(对接源_02物料!$X231="自备筐",N(对接源_02物料!$T231)&lt;&gt;0)),1,0)</f>
        <v>0</v>
      </c>
      <c r="Y1431">
        <f>N(Y1430)+$X1431</f>
        <v>0</v>
      </c>
      <c r="Z1431">
        <f>IF(AND($M1431=1,对接源_02物料!$D231="原料入库"),1,0)</f>
        <v>0</v>
      </c>
      <c r="AA1431">
        <f>N(AA1430)+$Z1431</f>
        <v>24</v>
      </c>
      <c r="AB1431">
        <f>IF(AND($M1431=1,LEFT(对接源_02物料!$D231,4)="原料出库"),1,0)</f>
        <v>0</v>
      </c>
      <c r="AC1431">
        <f>N(AC1430)+$AB1431</f>
        <v>0</v>
      </c>
      <c r="AD1431">
        <f>IF(AND($M1431=1,LEFT(对接源_02物料!$D231,4)="成品出库"),1,0)</f>
        <v>0</v>
      </c>
      <c r="AE1431">
        <f>N(AE1430)+$AD1431</f>
        <v>0</v>
      </c>
      <c r="AF1431">
        <f>IF(AND($N1431=1,AND(LEFT(对接源_02物料!$D231,4)="包装物料",N(对接源_02物料!$K231)&lt;&gt;0)),1,0)</f>
        <v>0</v>
      </c>
      <c r="AG1431">
        <f>N(AG1430)+$AF1431</f>
        <v>10</v>
      </c>
      <c r="AH1431">
        <f>IF(AND($N1431=1,AND(对接源_02物料!$D231="周转筐－销售出库",N(对接源_02物料!$K231)&lt;&gt;0)),1,0)</f>
        <v>0</v>
      </c>
      <c r="AI1431">
        <f>N(AI1430)+$AH1431</f>
        <v>0</v>
      </c>
      <c r="AL1431" t="n">
        <v>0</v>
      </c>
      <c r="AM1431">
        <f>N(AM1430)+$AL1431</f>
        <v>2</v>
      </c>
      <c r="AN1431">
        <f>""</f>
      </c>
      <c r="AO1431" t="n">
        <v>0</v>
      </c>
      <c r="AP1431">
        <f>N(AP1430)+$AO1431</f>
        <v>13</v>
      </c>
      <c r="AR1431">
        <f>IF(OR($AF1431=1,$AH1431=1),1,0)</f>
        <v>0</v>
      </c>
      <c r="AS1431">
        <f>N(AS1430)+$AR1431</f>
        <v>10</v>
      </c>
    </row>
    <row r="1432" s="127">
      <c r="A1432" t="str">
        <f>IF(对接源_02物料!$C232="","",对接源_02物料!$C232)</f>
        <v>全修塑业</v>
      </c>
      <c r="B1432">
        <f>IF(A1432="",0,IF(MATCH(A1432,$A$4:$A$2403,0)=ROW()-3,1,0))</f>
        <v>0</v>
      </c>
      <c r="C1432">
        <f>N(C1431)+B1432</f>
        <v>26</v>
      </c>
      <c r="K1432">
        <f>IF(OR($K$1="",对接源_02物料!$C232="",对接源_02物料!$C232&lt;&gt;$K$1,对接源_02物料!$B232=""),0,IF(OR(N(对接源_02物料!$B232)&lt;$K$2,N(对接源_02物料!$B232)&gt;$K$3),0,1))</f>
        <v>0</v>
      </c>
      <c r="L1432">
        <f>IF(OR($L$1="",对接源_02物料!$C232="",对接源_02物料!$C232&lt;&gt;$L$1,对接源_02物料!$B232=""),0,IF(OR(N(对接源_02物料!$B232)&lt;$L$2,N(对接源_02物料!$B232)&gt;$L$3),0,1))</f>
        <v>0</v>
      </c>
      <c r="M1432">
        <f>IF(OR($M$1="",对接源_02物料!$C232="",对接源_02物料!$C232&lt;&gt;$M$1,对接源_02物料!$B232=""),0,IF(OR(N(对接源_02物料!$B232)&lt;$M$2,N(对接源_02物料!$B232)&gt;$M$3),0,1))</f>
        <v>0</v>
      </c>
      <c r="N1432">
        <f>IF(OR($N$1="",对接源_02物料!$C232="",对接源_02物料!$C232&lt;&gt;$N$1,对接源_02物料!$B232=""),0,IF(OR(N(对接源_02物料!$B232)&lt;$N$2,N(对接源_02物料!$B232)&gt;$N$3),0,1))</f>
        <v>0</v>
      </c>
      <c r="P1432">
        <f>IF(AND($K1432=1,AND(对接源_02物料!$X232="公司筐",N(对接源_02物料!$T232)&lt;&gt;0)),1,0)</f>
        <v>0</v>
      </c>
      <c r="Q1432">
        <f>N(Q1431)+$P1432</f>
        <v>13</v>
      </c>
      <c r="R1432">
        <f>IF(AND($K1432=1,AND(对接源_02物料!$X232="公司筐",N(对接源_02物料!$U232)&lt;&gt;0)),1,0)</f>
        <v>0</v>
      </c>
      <c r="S1432">
        <f>N(S1431)+$R1432</f>
        <v>0</v>
      </c>
      <c r="T1432">
        <f>IF(AND($K1432=1,AND(对接源_02物料!$X232="公司筐",N(对接源_02物料!$V232)&lt;&gt;0)),1,0)</f>
        <v>0</v>
      </c>
      <c r="U1432">
        <f>N(U1431)+$T1432</f>
        <v>47</v>
      </c>
      <c r="V1432">
        <f>IF(AND($L1432=1,AND(对接源_02物料!$X232="自备筐",N(对接源_02物料!$V232)&lt;&gt;0)),1,0)</f>
        <v>0</v>
      </c>
      <c r="W1432">
        <f>N(W1431)+$V1432</f>
        <v>11</v>
      </c>
      <c r="X1432">
        <f>IF(AND($L1432=1,AND(对接源_02物料!$X232="自备筐",N(对接源_02物料!$T232)&lt;&gt;0)),1,0)</f>
        <v>0</v>
      </c>
      <c r="Y1432">
        <f>N(Y1431)+$X1432</f>
        <v>0</v>
      </c>
      <c r="Z1432">
        <f>IF(AND($M1432=1,对接源_02物料!$D232="原料入库"),1,0)</f>
        <v>0</v>
      </c>
      <c r="AA1432">
        <f>N(AA1431)+$Z1432</f>
        <v>24</v>
      </c>
      <c r="AB1432">
        <f>IF(AND($M1432=1,LEFT(对接源_02物料!$D232,4)="原料出库"),1,0)</f>
        <v>0</v>
      </c>
      <c r="AC1432">
        <f>N(AC1431)+$AB1432</f>
        <v>0</v>
      </c>
      <c r="AD1432">
        <f>IF(AND($M1432=1,LEFT(对接源_02物料!$D232,4)="成品出库"),1,0)</f>
        <v>0</v>
      </c>
      <c r="AE1432">
        <f>N(AE1431)+$AD1432</f>
        <v>0</v>
      </c>
      <c r="AF1432">
        <f>IF(AND($N1432=1,AND(LEFT(对接源_02物料!$D232,4)="包装物料",N(对接源_02物料!$K232)&lt;&gt;0)),1,0)</f>
        <v>0</v>
      </c>
      <c r="AG1432">
        <f>N(AG1431)+$AF1432</f>
        <v>10</v>
      </c>
      <c r="AH1432">
        <f>IF(AND($N1432=1,AND(对接源_02物料!$D232="周转筐－销售出库",N(对接源_02物料!$K232)&lt;&gt;0)),1,0)</f>
        <v>0</v>
      </c>
      <c r="AI1432">
        <f>N(AI1431)+$AH1432</f>
        <v>0</v>
      </c>
      <c r="AL1432" t="n">
        <v>0</v>
      </c>
      <c r="AM1432">
        <f>N(AM1431)+$AL1432</f>
        <v>2</v>
      </c>
      <c r="AN1432">
        <f>""</f>
      </c>
      <c r="AO1432" t="n">
        <v>0</v>
      </c>
      <c r="AP1432">
        <f>N(AP1431)+$AO1432</f>
        <v>13</v>
      </c>
      <c r="AR1432">
        <f>IF(OR($AF1432=1,$AH1432=1),1,0)</f>
        <v>0</v>
      </c>
      <c r="AS1432">
        <f>N(AS1431)+$AR1432</f>
        <v>10</v>
      </c>
    </row>
    <row r="1433" s="127">
      <c r="A1433" t="str">
        <f>IF(对接源_02物料!$C233="","",对接源_02物料!$C233)</f>
        <v>麦麦提</v>
      </c>
      <c r="B1433">
        <f>IF(A1433="",0,IF(MATCH(A1433,$A$4:$A$2403,0)=ROW()-3,1,0))</f>
        <v>0</v>
      </c>
      <c r="C1433">
        <f>N(C1432)+B1433</f>
        <v>26</v>
      </c>
      <c r="K1433">
        <f>IF(OR($K$1="",对接源_02物料!$C233="",对接源_02物料!$C233&lt;&gt;$K$1,对接源_02物料!$B233=""),0,IF(OR(N(对接源_02物料!$B233)&lt;$K$2,N(对接源_02物料!$B233)&gt;$K$3),0,1))</f>
        <v>0</v>
      </c>
      <c r="L1433">
        <f>IF(OR($L$1="",对接源_02物料!$C233="",对接源_02物料!$C233&lt;&gt;$L$1,对接源_02物料!$B233=""),0,IF(OR(N(对接源_02物料!$B233)&lt;$L$2,N(对接源_02物料!$B233)&gt;$L$3),0,1))</f>
        <v>0</v>
      </c>
      <c r="M1433">
        <f>IF(OR($M$1="",对接源_02物料!$C233="",对接源_02物料!$C233&lt;&gt;$M$1,对接源_02物料!$B233=""),0,IF(OR(N(对接源_02物料!$B233)&lt;$M$2,N(对接源_02物料!$B233)&gt;$M$3),0,1))</f>
        <v>0</v>
      </c>
      <c r="N1433">
        <f>IF(OR($N$1="",对接源_02物料!$C233="",对接源_02物料!$C233&lt;&gt;$N$1,对接源_02物料!$B233=""),0,IF(OR(N(对接源_02物料!$B233)&lt;$N$2,N(对接源_02物料!$B233)&gt;$N$3),0,1))</f>
        <v>1</v>
      </c>
      <c r="P1433">
        <f>IF(AND($K1433=1,AND(对接源_02物料!$X233="公司筐",N(对接源_02物料!$T233)&lt;&gt;0)),1,0)</f>
        <v>0</v>
      </c>
      <c r="Q1433">
        <f>N(Q1432)+$P1433</f>
        <v>13</v>
      </c>
      <c r="R1433">
        <f>IF(AND($K1433=1,AND(对接源_02物料!$X233="公司筐",N(对接源_02物料!$U233)&lt;&gt;0)),1,0)</f>
        <v>0</v>
      </c>
      <c r="S1433">
        <f>N(S1432)+$R1433</f>
        <v>0</v>
      </c>
      <c r="T1433">
        <f>IF(AND($K1433=1,AND(对接源_02物料!$X233="公司筐",N(对接源_02物料!$V233)&lt;&gt;0)),1,0)</f>
        <v>0</v>
      </c>
      <c r="U1433">
        <f>N(U1432)+$T1433</f>
        <v>47</v>
      </c>
      <c r="V1433">
        <f>IF(AND($L1433=1,AND(对接源_02物料!$X233="自备筐",N(对接源_02物料!$V233)&lt;&gt;0)),1,0)</f>
        <v>0</v>
      </c>
      <c r="W1433">
        <f>N(W1432)+$V1433</f>
        <v>11</v>
      </c>
      <c r="X1433">
        <f>IF(AND($L1433=1,AND(对接源_02物料!$X233="自备筐",N(对接源_02物料!$T233)&lt;&gt;0)),1,0)</f>
        <v>0</v>
      </c>
      <c r="Y1433">
        <f>N(Y1432)+$X1433</f>
        <v>0</v>
      </c>
      <c r="Z1433">
        <f>IF(AND($M1433=1,对接源_02物料!$D233="原料入库"),1,0)</f>
        <v>0</v>
      </c>
      <c r="AA1433">
        <f>N(AA1432)+$Z1433</f>
        <v>24</v>
      </c>
      <c r="AB1433">
        <f>IF(AND($M1433=1,LEFT(对接源_02物料!$D233,4)="原料出库"),1,0)</f>
        <v>0</v>
      </c>
      <c r="AC1433">
        <f>N(AC1432)+$AB1433</f>
        <v>0</v>
      </c>
      <c r="AD1433">
        <f>IF(AND($M1433=1,LEFT(对接源_02物料!$D233,4)="成品出库"),1,0)</f>
        <v>0</v>
      </c>
      <c r="AE1433">
        <f>N(AE1432)+$AD1433</f>
        <v>0</v>
      </c>
      <c r="AF1433">
        <f>IF(AND($N1433=1,AND(LEFT(对接源_02物料!$D233,4)="包装物料",N(对接源_02物料!$K233)&lt;&gt;0)),1,0)</f>
        <v>0</v>
      </c>
      <c r="AG1433">
        <f>N(AG1432)+$AF1433</f>
        <v>10</v>
      </c>
      <c r="AH1433">
        <f>IF(AND($N1433=1,AND(对接源_02物料!$D233="周转筐－销售出库",N(对接源_02物料!$K233)&lt;&gt;0)),1,0)</f>
        <v>0</v>
      </c>
      <c r="AI1433">
        <f>N(AI1432)+$AH1433</f>
        <v>0</v>
      </c>
      <c r="AL1433" t="n">
        <v>0</v>
      </c>
      <c r="AM1433">
        <f>N(AM1432)+$AL1433</f>
        <v>2</v>
      </c>
      <c r="AN1433">
        <f>""</f>
      </c>
      <c r="AO1433" t="n">
        <v>0</v>
      </c>
      <c r="AP1433">
        <f>N(AP1432)+$AO1433</f>
        <v>13</v>
      </c>
      <c r="AR1433">
        <f>IF(OR($AF1433=1,$AH1433=1),1,0)</f>
        <v>0</v>
      </c>
      <c r="AS1433">
        <f>N(AS1432)+$AR1433</f>
        <v>10</v>
      </c>
    </row>
    <row r="1434" s="127">
      <c r="A1434" t="str">
        <f>IF(对接源_02物料!$C234="","",对接源_02物料!$C234)</f>
        <v>全修塑业</v>
      </c>
      <c r="B1434">
        <f>IF(A1434="",0,IF(MATCH(A1434,$A$4:$A$2403,0)=ROW()-3,1,0))</f>
        <v>0</v>
      </c>
      <c r="C1434">
        <f>N(C1433)+B1434</f>
        <v>26</v>
      </c>
      <c r="K1434">
        <f>IF(OR($K$1="",对接源_02物料!$C234="",对接源_02物料!$C234&lt;&gt;$K$1,对接源_02物料!$B234=""),0,IF(OR(N(对接源_02物料!$B234)&lt;$K$2,N(对接源_02物料!$B234)&gt;$K$3),0,1))</f>
        <v>0</v>
      </c>
      <c r="L1434">
        <f>IF(OR($L$1="",对接源_02物料!$C234="",对接源_02物料!$C234&lt;&gt;$L$1,对接源_02物料!$B234=""),0,IF(OR(N(对接源_02物料!$B234)&lt;$L$2,N(对接源_02物料!$B234)&gt;$L$3),0,1))</f>
        <v>0</v>
      </c>
      <c r="M1434">
        <f>IF(OR($M$1="",对接源_02物料!$C234="",对接源_02物料!$C234&lt;&gt;$M$1,对接源_02物料!$B234=""),0,IF(OR(N(对接源_02物料!$B234)&lt;$M$2,N(对接源_02物料!$B234)&gt;$M$3),0,1))</f>
        <v>0</v>
      </c>
      <c r="N1434">
        <f>IF(OR($N$1="",对接源_02物料!$C234="",对接源_02物料!$C234&lt;&gt;$N$1,对接源_02物料!$B234=""),0,IF(OR(N(对接源_02物料!$B234)&lt;$N$2,N(对接源_02物料!$B234)&gt;$N$3),0,1))</f>
        <v>0</v>
      </c>
      <c r="P1434">
        <f>IF(AND($K1434=1,AND(对接源_02物料!$X234="公司筐",N(对接源_02物料!$T234)&lt;&gt;0)),1,0)</f>
        <v>0</v>
      </c>
      <c r="Q1434">
        <f>N(Q1433)+$P1434</f>
        <v>13</v>
      </c>
      <c r="R1434">
        <f>IF(AND($K1434=1,AND(对接源_02物料!$X234="公司筐",N(对接源_02物料!$U234)&lt;&gt;0)),1,0)</f>
        <v>0</v>
      </c>
      <c r="S1434">
        <f>N(S1433)+$R1434</f>
        <v>0</v>
      </c>
      <c r="T1434">
        <f>IF(AND($K1434=1,AND(对接源_02物料!$X234="公司筐",N(对接源_02物料!$V234)&lt;&gt;0)),1,0)</f>
        <v>0</v>
      </c>
      <c r="U1434">
        <f>N(U1433)+$T1434</f>
        <v>47</v>
      </c>
      <c r="V1434">
        <f>IF(AND($L1434=1,AND(对接源_02物料!$X234="自备筐",N(对接源_02物料!$V234)&lt;&gt;0)),1,0)</f>
        <v>0</v>
      </c>
      <c r="W1434">
        <f>N(W1433)+$V1434</f>
        <v>11</v>
      </c>
      <c r="X1434">
        <f>IF(AND($L1434=1,AND(对接源_02物料!$X234="自备筐",N(对接源_02物料!$T234)&lt;&gt;0)),1,0)</f>
        <v>0</v>
      </c>
      <c r="Y1434">
        <f>N(Y1433)+$X1434</f>
        <v>0</v>
      </c>
      <c r="Z1434">
        <f>IF(AND($M1434=1,对接源_02物料!$D234="原料入库"),1,0)</f>
        <v>0</v>
      </c>
      <c r="AA1434">
        <f>N(AA1433)+$Z1434</f>
        <v>24</v>
      </c>
      <c r="AB1434">
        <f>IF(AND($M1434=1,LEFT(对接源_02物料!$D234,4)="原料出库"),1,0)</f>
        <v>0</v>
      </c>
      <c r="AC1434">
        <f>N(AC1433)+$AB1434</f>
        <v>0</v>
      </c>
      <c r="AD1434">
        <f>IF(AND($M1434=1,LEFT(对接源_02物料!$D234,4)="成品出库"),1,0)</f>
        <v>0</v>
      </c>
      <c r="AE1434">
        <f>N(AE1433)+$AD1434</f>
        <v>0</v>
      </c>
      <c r="AF1434">
        <f>IF(AND($N1434=1,AND(LEFT(对接源_02物料!$D234,4)="包装物料",N(对接源_02物料!$K234)&lt;&gt;0)),1,0)</f>
        <v>0</v>
      </c>
      <c r="AG1434">
        <f>N(AG1433)+$AF1434</f>
        <v>10</v>
      </c>
      <c r="AH1434">
        <f>IF(AND($N1434=1,AND(对接源_02物料!$D234="周转筐－销售出库",N(对接源_02物料!$K234)&lt;&gt;0)),1,0)</f>
        <v>0</v>
      </c>
      <c r="AI1434">
        <f>N(AI1433)+$AH1434</f>
        <v>0</v>
      </c>
      <c r="AL1434" t="n">
        <v>0</v>
      </c>
      <c r="AM1434">
        <f>N(AM1433)+$AL1434</f>
        <v>2</v>
      </c>
      <c r="AN1434">
        <f>""</f>
      </c>
      <c r="AO1434" t="n">
        <v>0</v>
      </c>
      <c r="AP1434">
        <f>N(AP1433)+$AO1434</f>
        <v>13</v>
      </c>
      <c r="AR1434">
        <f>IF(OR($AF1434=1,$AH1434=1),1,0)</f>
        <v>0</v>
      </c>
      <c r="AS1434">
        <f>N(AS1433)+$AR1434</f>
        <v>10</v>
      </c>
    </row>
    <row r="1435" s="127">
      <c r="A1435" t="str">
        <f>IF(对接源_02物料!$C235="","",对接源_02物料!$C235)</f>
        <v>全修塑业</v>
      </c>
      <c r="B1435">
        <f>IF(A1435="",0,IF(MATCH(A1435,$A$4:$A$2403,0)=ROW()-3,1,0))</f>
        <v>0</v>
      </c>
      <c r="C1435">
        <f>N(C1434)+B1435</f>
        <v>26</v>
      </c>
      <c r="K1435">
        <f>IF(OR($K$1="",对接源_02物料!$C235="",对接源_02物料!$C235&lt;&gt;$K$1,对接源_02物料!$B235=""),0,IF(OR(N(对接源_02物料!$B235)&lt;$K$2,N(对接源_02物料!$B235)&gt;$K$3),0,1))</f>
        <v>0</v>
      </c>
      <c r="L1435">
        <f>IF(OR($L$1="",对接源_02物料!$C235="",对接源_02物料!$C235&lt;&gt;$L$1,对接源_02物料!$B235=""),0,IF(OR(N(对接源_02物料!$B235)&lt;$L$2,N(对接源_02物料!$B235)&gt;$L$3),0,1))</f>
        <v>0</v>
      </c>
      <c r="M1435">
        <f>IF(OR($M$1="",对接源_02物料!$C235="",对接源_02物料!$C235&lt;&gt;$M$1,对接源_02物料!$B235=""),0,IF(OR(N(对接源_02物料!$B235)&lt;$M$2,N(对接源_02物料!$B235)&gt;$M$3),0,1))</f>
        <v>0</v>
      </c>
      <c r="N1435">
        <f>IF(OR($N$1="",对接源_02物料!$C235="",对接源_02物料!$C235&lt;&gt;$N$1,对接源_02物料!$B235=""),0,IF(OR(N(对接源_02物料!$B235)&lt;$N$2,N(对接源_02物料!$B235)&gt;$N$3),0,1))</f>
        <v>0</v>
      </c>
      <c r="P1435">
        <f>IF(AND($K1435=1,AND(对接源_02物料!$X235="公司筐",N(对接源_02物料!$T235)&lt;&gt;0)),1,0)</f>
        <v>0</v>
      </c>
      <c r="Q1435">
        <f>N(Q1434)+$P1435</f>
        <v>13</v>
      </c>
      <c r="R1435">
        <f>IF(AND($K1435=1,AND(对接源_02物料!$X235="公司筐",N(对接源_02物料!$U235)&lt;&gt;0)),1,0)</f>
        <v>0</v>
      </c>
      <c r="S1435">
        <f>N(S1434)+$R1435</f>
        <v>0</v>
      </c>
      <c r="T1435">
        <f>IF(AND($K1435=1,AND(对接源_02物料!$X235="公司筐",N(对接源_02物料!$V235)&lt;&gt;0)),1,0)</f>
        <v>0</v>
      </c>
      <c r="U1435">
        <f>N(U1434)+$T1435</f>
        <v>47</v>
      </c>
      <c r="V1435">
        <f>IF(AND($L1435=1,AND(对接源_02物料!$X235="自备筐",N(对接源_02物料!$V235)&lt;&gt;0)),1,0)</f>
        <v>0</v>
      </c>
      <c r="W1435">
        <f>N(W1434)+$V1435</f>
        <v>11</v>
      </c>
      <c r="X1435">
        <f>IF(AND($L1435=1,AND(对接源_02物料!$X235="自备筐",N(对接源_02物料!$T235)&lt;&gt;0)),1,0)</f>
        <v>0</v>
      </c>
      <c r="Y1435">
        <f>N(Y1434)+$X1435</f>
        <v>0</v>
      </c>
      <c r="Z1435">
        <f>IF(AND($M1435=1,对接源_02物料!$D235="原料入库"),1,0)</f>
        <v>0</v>
      </c>
      <c r="AA1435">
        <f>N(AA1434)+$Z1435</f>
        <v>24</v>
      </c>
      <c r="AB1435">
        <f>IF(AND($M1435=1,LEFT(对接源_02物料!$D235,4)="原料出库"),1,0)</f>
        <v>0</v>
      </c>
      <c r="AC1435">
        <f>N(AC1434)+$AB1435</f>
        <v>0</v>
      </c>
      <c r="AD1435">
        <f>IF(AND($M1435=1,LEFT(对接源_02物料!$D235,4)="成品出库"),1,0)</f>
        <v>0</v>
      </c>
      <c r="AE1435">
        <f>N(AE1434)+$AD1435</f>
        <v>0</v>
      </c>
      <c r="AF1435">
        <f>IF(AND($N1435=1,AND(LEFT(对接源_02物料!$D235,4)="包装物料",N(对接源_02物料!$K235)&lt;&gt;0)),1,0)</f>
        <v>0</v>
      </c>
      <c r="AG1435">
        <f>N(AG1434)+$AF1435</f>
        <v>10</v>
      </c>
      <c r="AH1435">
        <f>IF(AND($N1435=1,AND(对接源_02物料!$D235="周转筐－销售出库",N(对接源_02物料!$K235)&lt;&gt;0)),1,0)</f>
        <v>0</v>
      </c>
      <c r="AI1435">
        <f>N(AI1434)+$AH1435</f>
        <v>0</v>
      </c>
      <c r="AL1435" t="n">
        <v>0</v>
      </c>
      <c r="AM1435">
        <f>N(AM1434)+$AL1435</f>
        <v>2</v>
      </c>
      <c r="AN1435">
        <f>""</f>
      </c>
      <c r="AO1435" t="n">
        <v>0</v>
      </c>
      <c r="AP1435">
        <f>N(AP1434)+$AO1435</f>
        <v>13</v>
      </c>
      <c r="AR1435">
        <f>IF(OR($AF1435=1,$AH1435=1),1,0)</f>
        <v>0</v>
      </c>
      <c r="AS1435">
        <f>N(AS1434)+$AR1435</f>
        <v>10</v>
      </c>
    </row>
    <row r="1436" s="127">
      <c r="A1436" t="str">
        <f>IF(对接源_02物料!$C236="","",对接源_02物料!$C236)</f>
        <v>努尔敦</v>
      </c>
      <c r="B1436">
        <f>IF(A1436="",0,IF(MATCH(A1436,$A$4:$A$2403,0)=ROW()-3,1,0))</f>
        <v>0</v>
      </c>
      <c r="C1436">
        <f>N(C1435)+B1436</f>
        <v>26</v>
      </c>
      <c r="K1436">
        <f>IF(OR($K$1="",对接源_02物料!$C236="",对接源_02物料!$C236&lt;&gt;$K$1,对接源_02物料!$B236=""),0,IF(OR(N(对接源_02物料!$B236)&lt;$K$2,N(对接源_02物料!$B236)&gt;$K$3),0,1))</f>
        <v>0</v>
      </c>
      <c r="L1436">
        <f>IF(OR($L$1="",对接源_02物料!$C236="",对接源_02物料!$C236&lt;&gt;$L$1,对接源_02物料!$B236=""),0,IF(OR(N(对接源_02物料!$B236)&lt;$L$2,N(对接源_02物料!$B236)&gt;$L$3),0,1))</f>
        <v>0</v>
      </c>
      <c r="M1436">
        <f>IF(OR($M$1="",对接源_02物料!$C236="",对接源_02物料!$C236&lt;&gt;$M$1,对接源_02物料!$B236=""),0,IF(OR(N(对接源_02物料!$B236)&lt;$M$2,N(对接源_02物料!$B236)&gt;$M$3),0,1))</f>
        <v>0</v>
      </c>
      <c r="N1436">
        <f>IF(OR($N$1="",对接源_02物料!$C236="",对接源_02物料!$C236&lt;&gt;$N$1,对接源_02物料!$B236=""),0,IF(OR(N(对接源_02物料!$B236)&lt;$N$2,N(对接源_02物料!$B236)&gt;$N$3),0,1))</f>
        <v>0</v>
      </c>
      <c r="P1436">
        <f>IF(AND($K1436=1,AND(对接源_02物料!$X236="公司筐",N(对接源_02物料!$T236)&lt;&gt;0)),1,0)</f>
        <v>0</v>
      </c>
      <c r="Q1436">
        <f>N(Q1435)+$P1436</f>
        <v>13</v>
      </c>
      <c r="R1436">
        <f>IF(AND($K1436=1,AND(对接源_02物料!$X236="公司筐",N(对接源_02物料!$U236)&lt;&gt;0)),1,0)</f>
        <v>0</v>
      </c>
      <c r="S1436">
        <f>N(S1435)+$R1436</f>
        <v>0</v>
      </c>
      <c r="T1436">
        <f>IF(AND($K1436=1,AND(对接源_02物料!$X236="公司筐",N(对接源_02物料!$V236)&lt;&gt;0)),1,0)</f>
        <v>0</v>
      </c>
      <c r="U1436">
        <f>N(U1435)+$T1436</f>
        <v>47</v>
      </c>
      <c r="V1436">
        <f>IF(AND($L1436=1,AND(对接源_02物料!$X236="自备筐",N(对接源_02物料!$V236)&lt;&gt;0)),1,0)</f>
        <v>0</v>
      </c>
      <c r="W1436">
        <f>N(W1435)+$V1436</f>
        <v>11</v>
      </c>
      <c r="X1436">
        <f>IF(AND($L1436=1,AND(对接源_02物料!$X236="自备筐",N(对接源_02物料!$T236)&lt;&gt;0)),1,0)</f>
        <v>0</v>
      </c>
      <c r="Y1436">
        <f>N(Y1435)+$X1436</f>
        <v>0</v>
      </c>
      <c r="Z1436">
        <f>IF(AND($M1436=1,对接源_02物料!$D236="原料入库"),1,0)</f>
        <v>0</v>
      </c>
      <c r="AA1436">
        <f>N(AA1435)+$Z1436</f>
        <v>24</v>
      </c>
      <c r="AB1436">
        <f>IF(AND($M1436=1,LEFT(对接源_02物料!$D236,4)="原料出库"),1,0)</f>
        <v>0</v>
      </c>
      <c r="AC1436">
        <f>N(AC1435)+$AB1436</f>
        <v>0</v>
      </c>
      <c r="AD1436">
        <f>IF(AND($M1436=1,LEFT(对接源_02物料!$D236,4)="成品出库"),1,0)</f>
        <v>0</v>
      </c>
      <c r="AE1436">
        <f>N(AE1435)+$AD1436</f>
        <v>0</v>
      </c>
      <c r="AF1436">
        <f>IF(AND($N1436=1,AND(LEFT(对接源_02物料!$D236,4)="包装物料",N(对接源_02物料!$K236)&lt;&gt;0)),1,0)</f>
        <v>0</v>
      </c>
      <c r="AG1436">
        <f>N(AG1435)+$AF1436</f>
        <v>10</v>
      </c>
      <c r="AH1436">
        <f>IF(AND($N1436=1,AND(对接源_02物料!$D236="周转筐－销售出库",N(对接源_02物料!$K236)&lt;&gt;0)),1,0)</f>
        <v>0</v>
      </c>
      <c r="AI1436">
        <f>N(AI1435)+$AH1436</f>
        <v>0</v>
      </c>
      <c r="AL1436" t="n">
        <v>0</v>
      </c>
      <c r="AM1436">
        <f>N(AM1435)+$AL1436</f>
        <v>2</v>
      </c>
      <c r="AN1436">
        <f>""</f>
      </c>
      <c r="AO1436" t="n">
        <v>0</v>
      </c>
      <c r="AP1436">
        <f>N(AP1435)+$AO1436</f>
        <v>13</v>
      </c>
      <c r="AR1436">
        <f>IF(OR($AF1436=1,$AH1436=1),1,0)</f>
        <v>0</v>
      </c>
      <c r="AS1436">
        <f>N(AS1435)+$AR1436</f>
        <v>10</v>
      </c>
    </row>
    <row r="1437" s="127">
      <c r="A1437" t="str">
        <f>IF(对接源_02物料!$C237="","",对接源_02物料!$C237)</f>
        <v>努尔敦</v>
      </c>
      <c r="B1437">
        <f>IF(A1437="",0,IF(MATCH(A1437,$A$4:$A$2403,0)=ROW()-3,1,0))</f>
        <v>0</v>
      </c>
      <c r="C1437">
        <f>N(C1436)+B1437</f>
        <v>26</v>
      </c>
      <c r="K1437">
        <f>IF(OR($K$1="",对接源_02物料!$C237="",对接源_02物料!$C237&lt;&gt;$K$1,对接源_02物料!$B237=""),0,IF(OR(N(对接源_02物料!$B237)&lt;$K$2,N(对接源_02物料!$B237)&gt;$K$3),0,1))</f>
        <v>0</v>
      </c>
      <c r="L1437">
        <f>IF(OR($L$1="",对接源_02物料!$C237="",对接源_02物料!$C237&lt;&gt;$L$1,对接源_02物料!$B237=""),0,IF(OR(N(对接源_02物料!$B237)&lt;$L$2,N(对接源_02物料!$B237)&gt;$L$3),0,1))</f>
        <v>0</v>
      </c>
      <c r="M1437">
        <f>IF(OR($M$1="",对接源_02物料!$C237="",对接源_02物料!$C237&lt;&gt;$M$1,对接源_02物料!$B237=""),0,IF(OR(N(对接源_02物料!$B237)&lt;$M$2,N(对接源_02物料!$B237)&gt;$M$3),0,1))</f>
        <v>0</v>
      </c>
      <c r="N1437">
        <f>IF(OR($N$1="",对接源_02物料!$C237="",对接源_02物料!$C237&lt;&gt;$N$1,对接源_02物料!$B237=""),0,IF(OR(N(对接源_02物料!$B237)&lt;$N$2,N(对接源_02物料!$B237)&gt;$N$3),0,1))</f>
        <v>0</v>
      </c>
      <c r="P1437">
        <f>IF(AND($K1437=1,AND(对接源_02物料!$X237="公司筐",N(对接源_02物料!$T237)&lt;&gt;0)),1,0)</f>
        <v>0</v>
      </c>
      <c r="Q1437">
        <f>N(Q1436)+$P1437</f>
        <v>13</v>
      </c>
      <c r="R1437">
        <f>IF(AND($K1437=1,AND(对接源_02物料!$X237="公司筐",N(对接源_02物料!$U237)&lt;&gt;0)),1,0)</f>
        <v>0</v>
      </c>
      <c r="S1437">
        <f>N(S1436)+$R1437</f>
        <v>0</v>
      </c>
      <c r="T1437">
        <f>IF(AND($K1437=1,AND(对接源_02物料!$X237="公司筐",N(对接源_02物料!$V237)&lt;&gt;0)),1,0)</f>
        <v>0</v>
      </c>
      <c r="U1437">
        <f>N(U1436)+$T1437</f>
        <v>47</v>
      </c>
      <c r="V1437">
        <f>IF(AND($L1437=1,AND(对接源_02物料!$X237="自备筐",N(对接源_02物料!$V237)&lt;&gt;0)),1,0)</f>
        <v>0</v>
      </c>
      <c r="W1437">
        <f>N(W1436)+$V1437</f>
        <v>11</v>
      </c>
      <c r="X1437">
        <f>IF(AND($L1437=1,AND(对接源_02物料!$X237="自备筐",N(对接源_02物料!$T237)&lt;&gt;0)),1,0)</f>
        <v>0</v>
      </c>
      <c r="Y1437">
        <f>N(Y1436)+$X1437</f>
        <v>0</v>
      </c>
      <c r="Z1437">
        <f>IF(AND($M1437=1,对接源_02物料!$D237="原料入库"),1,0)</f>
        <v>0</v>
      </c>
      <c r="AA1437">
        <f>N(AA1436)+$Z1437</f>
        <v>24</v>
      </c>
      <c r="AB1437">
        <f>IF(AND($M1437=1,LEFT(对接源_02物料!$D237,4)="原料出库"),1,0)</f>
        <v>0</v>
      </c>
      <c r="AC1437">
        <f>N(AC1436)+$AB1437</f>
        <v>0</v>
      </c>
      <c r="AD1437">
        <f>IF(AND($M1437=1,LEFT(对接源_02物料!$D237,4)="成品出库"),1,0)</f>
        <v>0</v>
      </c>
      <c r="AE1437">
        <f>N(AE1436)+$AD1437</f>
        <v>0</v>
      </c>
      <c r="AF1437">
        <f>IF(AND($N1437=1,AND(LEFT(对接源_02物料!$D237,4)="包装物料",N(对接源_02物料!$K237)&lt;&gt;0)),1,0)</f>
        <v>0</v>
      </c>
      <c r="AG1437">
        <f>N(AG1436)+$AF1437</f>
        <v>10</v>
      </c>
      <c r="AH1437">
        <f>IF(AND($N1437=1,AND(对接源_02物料!$D237="周转筐－销售出库",N(对接源_02物料!$K237)&lt;&gt;0)),1,0)</f>
        <v>0</v>
      </c>
      <c r="AI1437">
        <f>N(AI1436)+$AH1437</f>
        <v>0</v>
      </c>
      <c r="AL1437" t="n">
        <v>0</v>
      </c>
      <c r="AM1437">
        <f>N(AM1436)+$AL1437</f>
        <v>2</v>
      </c>
      <c r="AN1437">
        <f>""</f>
      </c>
      <c r="AO1437" t="n">
        <v>0</v>
      </c>
      <c r="AP1437">
        <f>N(AP1436)+$AO1437</f>
        <v>13</v>
      </c>
      <c r="AR1437">
        <f>IF(OR($AF1437=1,$AH1437=1),1,0)</f>
        <v>0</v>
      </c>
      <c r="AS1437">
        <f>N(AS1436)+$AR1437</f>
        <v>10</v>
      </c>
    </row>
    <row r="1438" s="127">
      <c r="A1438" t="str">
        <f>IF(对接源_02物料!$C238="","",对接源_02物料!$C238)</f>
        <v>全修塑业</v>
      </c>
      <c r="B1438">
        <f>IF(A1438="",0,IF(MATCH(A1438,$A$4:$A$2403,0)=ROW()-3,1,0))</f>
        <v>0</v>
      </c>
      <c r="C1438">
        <f>N(C1437)+B1438</f>
        <v>26</v>
      </c>
      <c r="K1438">
        <f>IF(OR($K$1="",对接源_02物料!$C238="",对接源_02物料!$C238&lt;&gt;$K$1,对接源_02物料!$B238=""),0,IF(OR(N(对接源_02物料!$B238)&lt;$K$2,N(对接源_02物料!$B238)&gt;$K$3),0,1))</f>
        <v>0</v>
      </c>
      <c r="L1438">
        <f>IF(OR($L$1="",对接源_02物料!$C238="",对接源_02物料!$C238&lt;&gt;$L$1,对接源_02物料!$B238=""),0,IF(OR(N(对接源_02物料!$B238)&lt;$L$2,N(对接源_02物料!$B238)&gt;$L$3),0,1))</f>
        <v>0</v>
      </c>
      <c r="M1438">
        <f>IF(OR($M$1="",对接源_02物料!$C238="",对接源_02物料!$C238&lt;&gt;$M$1,对接源_02物料!$B238=""),0,IF(OR(N(对接源_02物料!$B238)&lt;$M$2,N(对接源_02物料!$B238)&gt;$M$3),0,1))</f>
        <v>0</v>
      </c>
      <c r="N1438">
        <f>IF(OR($N$1="",对接源_02物料!$C238="",对接源_02物料!$C238&lt;&gt;$N$1,对接源_02物料!$B238=""),0,IF(OR(N(对接源_02物料!$B238)&lt;$N$2,N(对接源_02物料!$B238)&gt;$N$3),0,1))</f>
        <v>0</v>
      </c>
      <c r="P1438">
        <f>IF(AND($K1438=1,AND(对接源_02物料!$X238="公司筐",N(对接源_02物料!$T238)&lt;&gt;0)),1,0)</f>
        <v>0</v>
      </c>
      <c r="Q1438">
        <f>N(Q1437)+$P1438</f>
        <v>13</v>
      </c>
      <c r="R1438">
        <f>IF(AND($K1438=1,AND(对接源_02物料!$X238="公司筐",N(对接源_02物料!$U238)&lt;&gt;0)),1,0)</f>
        <v>0</v>
      </c>
      <c r="S1438">
        <f>N(S1437)+$R1438</f>
        <v>0</v>
      </c>
      <c r="T1438">
        <f>IF(AND($K1438=1,AND(对接源_02物料!$X238="公司筐",N(对接源_02物料!$V238)&lt;&gt;0)),1,0)</f>
        <v>0</v>
      </c>
      <c r="U1438">
        <f>N(U1437)+$T1438</f>
        <v>47</v>
      </c>
      <c r="V1438">
        <f>IF(AND($L1438=1,AND(对接源_02物料!$X238="自备筐",N(对接源_02物料!$V238)&lt;&gt;0)),1,0)</f>
        <v>0</v>
      </c>
      <c r="W1438">
        <f>N(W1437)+$V1438</f>
        <v>11</v>
      </c>
      <c r="X1438">
        <f>IF(AND($L1438=1,AND(对接源_02物料!$X238="自备筐",N(对接源_02物料!$T238)&lt;&gt;0)),1,0)</f>
        <v>0</v>
      </c>
      <c r="Y1438">
        <f>N(Y1437)+$X1438</f>
        <v>0</v>
      </c>
      <c r="Z1438">
        <f>IF(AND($M1438=1,对接源_02物料!$D238="原料入库"),1,0)</f>
        <v>0</v>
      </c>
      <c r="AA1438">
        <f>N(AA1437)+$Z1438</f>
        <v>24</v>
      </c>
      <c r="AB1438">
        <f>IF(AND($M1438=1,LEFT(对接源_02物料!$D238,4)="原料出库"),1,0)</f>
        <v>0</v>
      </c>
      <c r="AC1438">
        <f>N(AC1437)+$AB1438</f>
        <v>0</v>
      </c>
      <c r="AD1438">
        <f>IF(AND($M1438=1,LEFT(对接源_02物料!$D238,4)="成品出库"),1,0)</f>
        <v>0</v>
      </c>
      <c r="AE1438">
        <f>N(AE1437)+$AD1438</f>
        <v>0</v>
      </c>
      <c r="AF1438">
        <f>IF(AND($N1438=1,AND(LEFT(对接源_02物料!$D238,4)="包装物料",N(对接源_02物料!$K238)&lt;&gt;0)),1,0)</f>
        <v>0</v>
      </c>
      <c r="AG1438">
        <f>N(AG1437)+$AF1438</f>
        <v>10</v>
      </c>
      <c r="AH1438">
        <f>IF(AND($N1438=1,AND(对接源_02物料!$D238="周转筐－销售出库",N(对接源_02物料!$K238)&lt;&gt;0)),1,0)</f>
        <v>0</v>
      </c>
      <c r="AI1438">
        <f>N(AI1437)+$AH1438</f>
        <v>0</v>
      </c>
      <c r="AL1438" t="n">
        <v>0</v>
      </c>
      <c r="AM1438">
        <f>N(AM1437)+$AL1438</f>
        <v>2</v>
      </c>
      <c r="AN1438">
        <f>""</f>
      </c>
      <c r="AO1438" t="n">
        <v>0</v>
      </c>
      <c r="AP1438">
        <f>N(AP1437)+$AO1438</f>
        <v>13</v>
      </c>
      <c r="AR1438">
        <f>IF(OR($AF1438=1,$AH1438=1),1,0)</f>
        <v>0</v>
      </c>
      <c r="AS1438">
        <f>N(AS1437)+$AR1438</f>
        <v>10</v>
      </c>
    </row>
    <row r="1439" s="127">
      <c r="A1439" t="str">
        <f>IF(对接源_02物料!$C239="","",对接源_02物料!$C239)</f>
        <v>努尔敦</v>
      </c>
      <c r="B1439">
        <f>IF(A1439="",0,IF(MATCH(A1439,$A$4:$A$2403,0)=ROW()-3,1,0))</f>
        <v>0</v>
      </c>
      <c r="C1439">
        <f>N(C1438)+B1439</f>
        <v>26</v>
      </c>
      <c r="K1439">
        <f>IF(OR($K$1="",对接源_02物料!$C239="",对接源_02物料!$C239&lt;&gt;$K$1,对接源_02物料!$B239=""),0,IF(OR(N(对接源_02物料!$B239)&lt;$K$2,N(对接源_02物料!$B239)&gt;$K$3),0,1))</f>
        <v>0</v>
      </c>
      <c r="L1439">
        <f>IF(OR($L$1="",对接源_02物料!$C239="",对接源_02物料!$C239&lt;&gt;$L$1,对接源_02物料!$B239=""),0,IF(OR(N(对接源_02物料!$B239)&lt;$L$2,N(对接源_02物料!$B239)&gt;$L$3),0,1))</f>
        <v>0</v>
      </c>
      <c r="M1439">
        <f>IF(OR($M$1="",对接源_02物料!$C239="",对接源_02物料!$C239&lt;&gt;$M$1,对接源_02物料!$B239=""),0,IF(OR(N(对接源_02物料!$B239)&lt;$M$2,N(对接源_02物料!$B239)&gt;$M$3),0,1))</f>
        <v>0</v>
      </c>
      <c r="N1439">
        <f>IF(OR($N$1="",对接源_02物料!$C239="",对接源_02物料!$C239&lt;&gt;$N$1,对接源_02物料!$B239=""),0,IF(OR(N(对接源_02物料!$B239)&lt;$N$2,N(对接源_02物料!$B239)&gt;$N$3),0,1))</f>
        <v>0</v>
      </c>
      <c r="P1439">
        <f>IF(AND($K1439=1,AND(对接源_02物料!$X239="公司筐",N(对接源_02物料!$T239)&lt;&gt;0)),1,0)</f>
        <v>0</v>
      </c>
      <c r="Q1439">
        <f>N(Q1438)+$P1439</f>
        <v>13</v>
      </c>
      <c r="R1439">
        <f>IF(AND($K1439=1,AND(对接源_02物料!$X239="公司筐",N(对接源_02物料!$U239)&lt;&gt;0)),1,0)</f>
        <v>0</v>
      </c>
      <c r="S1439">
        <f>N(S1438)+$R1439</f>
        <v>0</v>
      </c>
      <c r="T1439">
        <f>IF(AND($K1439=1,AND(对接源_02物料!$X239="公司筐",N(对接源_02物料!$V239)&lt;&gt;0)),1,0)</f>
        <v>0</v>
      </c>
      <c r="U1439">
        <f>N(U1438)+$T1439</f>
        <v>47</v>
      </c>
      <c r="V1439">
        <f>IF(AND($L1439=1,AND(对接源_02物料!$X239="自备筐",N(对接源_02物料!$V239)&lt;&gt;0)),1,0)</f>
        <v>0</v>
      </c>
      <c r="W1439">
        <f>N(W1438)+$V1439</f>
        <v>11</v>
      </c>
      <c r="X1439">
        <f>IF(AND($L1439=1,AND(对接源_02物料!$X239="自备筐",N(对接源_02物料!$T239)&lt;&gt;0)),1,0)</f>
        <v>0</v>
      </c>
      <c r="Y1439">
        <f>N(Y1438)+$X1439</f>
        <v>0</v>
      </c>
      <c r="Z1439">
        <f>IF(AND($M1439=1,对接源_02物料!$D239="原料入库"),1,0)</f>
        <v>0</v>
      </c>
      <c r="AA1439">
        <f>N(AA1438)+$Z1439</f>
        <v>24</v>
      </c>
      <c r="AB1439">
        <f>IF(AND($M1439=1,LEFT(对接源_02物料!$D239,4)="原料出库"),1,0)</f>
        <v>0</v>
      </c>
      <c r="AC1439">
        <f>N(AC1438)+$AB1439</f>
        <v>0</v>
      </c>
      <c r="AD1439">
        <f>IF(AND($M1439=1,LEFT(对接源_02物料!$D239,4)="成品出库"),1,0)</f>
        <v>0</v>
      </c>
      <c r="AE1439">
        <f>N(AE1438)+$AD1439</f>
        <v>0</v>
      </c>
      <c r="AF1439">
        <f>IF(AND($N1439=1,AND(LEFT(对接源_02物料!$D239,4)="包装物料",N(对接源_02物料!$K239)&lt;&gt;0)),1,0)</f>
        <v>0</v>
      </c>
      <c r="AG1439">
        <f>N(AG1438)+$AF1439</f>
        <v>10</v>
      </c>
      <c r="AH1439">
        <f>IF(AND($N1439=1,AND(对接源_02物料!$D239="周转筐－销售出库",N(对接源_02物料!$K239)&lt;&gt;0)),1,0)</f>
        <v>0</v>
      </c>
      <c r="AI1439">
        <f>N(AI1438)+$AH1439</f>
        <v>0</v>
      </c>
      <c r="AL1439" t="n">
        <v>0</v>
      </c>
      <c r="AM1439">
        <f>N(AM1438)+$AL1439</f>
        <v>2</v>
      </c>
      <c r="AN1439">
        <f>""</f>
      </c>
      <c r="AO1439" t="n">
        <v>0</v>
      </c>
      <c r="AP1439">
        <f>N(AP1438)+$AO1439</f>
        <v>13</v>
      </c>
      <c r="AR1439">
        <f>IF(OR($AF1439=1,$AH1439=1),1,0)</f>
        <v>0</v>
      </c>
      <c r="AS1439">
        <f>N(AS1438)+$AR1439</f>
        <v>10</v>
      </c>
    </row>
    <row r="1440" s="127">
      <c r="A1440" t="str">
        <f>IF(对接源_02物料!$C240="","",对接源_02物料!$C240)</f>
        <v>全修塑业</v>
      </c>
      <c r="B1440">
        <f>IF(A1440="",0,IF(MATCH(A1440,$A$4:$A$2403,0)=ROW()-3,1,0))</f>
        <v>0</v>
      </c>
      <c r="C1440">
        <f>N(C1439)+B1440</f>
        <v>26</v>
      </c>
      <c r="K1440">
        <f>IF(OR($K$1="",对接源_02物料!$C240="",对接源_02物料!$C240&lt;&gt;$K$1,对接源_02物料!$B240=""),0,IF(OR(N(对接源_02物料!$B240)&lt;$K$2,N(对接源_02物料!$B240)&gt;$K$3),0,1))</f>
        <v>0</v>
      </c>
      <c r="L1440">
        <f>IF(OR($L$1="",对接源_02物料!$C240="",对接源_02物料!$C240&lt;&gt;$L$1,对接源_02物料!$B240=""),0,IF(OR(N(对接源_02物料!$B240)&lt;$L$2,N(对接源_02物料!$B240)&gt;$L$3),0,1))</f>
        <v>0</v>
      </c>
      <c r="M1440">
        <f>IF(OR($M$1="",对接源_02物料!$C240="",对接源_02物料!$C240&lt;&gt;$M$1,对接源_02物料!$B240=""),0,IF(OR(N(对接源_02物料!$B240)&lt;$M$2,N(对接源_02物料!$B240)&gt;$M$3),0,1))</f>
        <v>0</v>
      </c>
      <c r="N1440">
        <f>IF(OR($N$1="",对接源_02物料!$C240="",对接源_02物料!$C240&lt;&gt;$N$1,对接源_02物料!$B240=""),0,IF(OR(N(对接源_02物料!$B240)&lt;$N$2,N(对接源_02物料!$B240)&gt;$N$3),0,1))</f>
        <v>0</v>
      </c>
      <c r="P1440">
        <f>IF(AND($K1440=1,AND(对接源_02物料!$X240="公司筐",N(对接源_02物料!$T240)&lt;&gt;0)),1,0)</f>
        <v>0</v>
      </c>
      <c r="Q1440">
        <f>N(Q1439)+$P1440</f>
        <v>13</v>
      </c>
      <c r="R1440">
        <f>IF(AND($K1440=1,AND(对接源_02物料!$X240="公司筐",N(对接源_02物料!$U240)&lt;&gt;0)),1,0)</f>
        <v>0</v>
      </c>
      <c r="S1440">
        <f>N(S1439)+$R1440</f>
        <v>0</v>
      </c>
      <c r="T1440">
        <f>IF(AND($K1440=1,AND(对接源_02物料!$X240="公司筐",N(对接源_02物料!$V240)&lt;&gt;0)),1,0)</f>
        <v>0</v>
      </c>
      <c r="U1440">
        <f>N(U1439)+$T1440</f>
        <v>47</v>
      </c>
      <c r="V1440">
        <f>IF(AND($L1440=1,AND(对接源_02物料!$X240="自备筐",N(对接源_02物料!$V240)&lt;&gt;0)),1,0)</f>
        <v>0</v>
      </c>
      <c r="W1440">
        <f>N(W1439)+$V1440</f>
        <v>11</v>
      </c>
      <c r="X1440">
        <f>IF(AND($L1440=1,AND(对接源_02物料!$X240="自备筐",N(对接源_02物料!$T240)&lt;&gt;0)),1,0)</f>
        <v>0</v>
      </c>
      <c r="Y1440">
        <f>N(Y1439)+$X1440</f>
        <v>0</v>
      </c>
      <c r="Z1440">
        <f>IF(AND($M1440=1,对接源_02物料!$D240="原料入库"),1,0)</f>
        <v>0</v>
      </c>
      <c r="AA1440">
        <f>N(AA1439)+$Z1440</f>
        <v>24</v>
      </c>
      <c r="AB1440">
        <f>IF(AND($M1440=1,LEFT(对接源_02物料!$D240,4)="原料出库"),1,0)</f>
        <v>0</v>
      </c>
      <c r="AC1440">
        <f>N(AC1439)+$AB1440</f>
        <v>0</v>
      </c>
      <c r="AD1440">
        <f>IF(AND($M1440=1,LEFT(对接源_02物料!$D240,4)="成品出库"),1,0)</f>
        <v>0</v>
      </c>
      <c r="AE1440">
        <f>N(AE1439)+$AD1440</f>
        <v>0</v>
      </c>
      <c r="AF1440">
        <f>IF(AND($N1440=1,AND(LEFT(对接源_02物料!$D240,4)="包装物料",N(对接源_02物料!$K240)&lt;&gt;0)),1,0)</f>
        <v>0</v>
      </c>
      <c r="AG1440">
        <f>N(AG1439)+$AF1440</f>
        <v>10</v>
      </c>
      <c r="AH1440">
        <f>IF(AND($N1440=1,AND(对接源_02物料!$D240="周转筐－销售出库",N(对接源_02物料!$K240)&lt;&gt;0)),1,0)</f>
        <v>0</v>
      </c>
      <c r="AI1440">
        <f>N(AI1439)+$AH1440</f>
        <v>0</v>
      </c>
      <c r="AL1440" t="n">
        <v>0</v>
      </c>
      <c r="AM1440">
        <f>N(AM1439)+$AL1440</f>
        <v>2</v>
      </c>
      <c r="AN1440">
        <f>""</f>
      </c>
      <c r="AO1440" t="n">
        <v>0</v>
      </c>
      <c r="AP1440">
        <f>N(AP1439)+$AO1440</f>
        <v>13</v>
      </c>
      <c r="AR1440">
        <f>IF(OR($AF1440=1,$AH1440=1),1,0)</f>
        <v>0</v>
      </c>
      <c r="AS1440">
        <f>N(AS1439)+$AR1440</f>
        <v>10</v>
      </c>
    </row>
    <row r="1441" s="127">
      <c r="A1441" t="str">
        <f>IF(对接源_02物料!$C241="","",对接源_02物料!$C241)</f>
        <v>吐尔地</v>
      </c>
      <c r="B1441">
        <f>IF(A1441="",0,IF(MATCH(A1441,$A$4:$A$2403,0)=ROW()-3,1,0))</f>
        <v>0</v>
      </c>
      <c r="C1441">
        <f>N(C1440)+B1441</f>
        <v>26</v>
      </c>
      <c r="K1441">
        <f>IF(OR($K$1="",对接源_02物料!$C241="",对接源_02物料!$C241&lt;&gt;$K$1,对接源_02物料!$B241=""),0,IF(OR(N(对接源_02物料!$B241)&lt;$K$2,N(对接源_02物料!$B241)&gt;$K$3),0,1))</f>
        <v>0</v>
      </c>
      <c r="L1441">
        <f>IF(OR($L$1="",对接源_02物料!$C241="",对接源_02物料!$C241&lt;&gt;$L$1,对接源_02物料!$B241=""),0,IF(OR(N(对接源_02物料!$B241)&lt;$L$2,N(对接源_02物料!$B241)&gt;$L$3),0,1))</f>
        <v>0</v>
      </c>
      <c r="M1441">
        <f>IF(OR($M$1="",对接源_02物料!$C241="",对接源_02物料!$C241&lt;&gt;$M$1,对接源_02物料!$B241=""),0,IF(OR(N(对接源_02物料!$B241)&lt;$M$2,N(对接源_02物料!$B241)&gt;$M$3),0,1))</f>
        <v>0</v>
      </c>
      <c r="N1441">
        <f>IF(OR($N$1="",对接源_02物料!$C241="",对接源_02物料!$C241&lt;&gt;$N$1,对接源_02物料!$B241=""),0,IF(OR(N(对接源_02物料!$B241)&lt;$N$2,N(对接源_02物料!$B241)&gt;$N$3),0,1))</f>
        <v>0</v>
      </c>
      <c r="P1441">
        <f>IF(AND($K1441=1,AND(对接源_02物料!$X241="公司筐",N(对接源_02物料!$T241)&lt;&gt;0)),1,0)</f>
        <v>0</v>
      </c>
      <c r="Q1441">
        <f>N(Q1440)+$P1441</f>
        <v>13</v>
      </c>
      <c r="R1441">
        <f>IF(AND($K1441=1,AND(对接源_02物料!$X241="公司筐",N(对接源_02物料!$U241)&lt;&gt;0)),1,0)</f>
        <v>0</v>
      </c>
      <c r="S1441">
        <f>N(S1440)+$R1441</f>
        <v>0</v>
      </c>
      <c r="T1441">
        <f>IF(AND($K1441=1,AND(对接源_02物料!$X241="公司筐",N(对接源_02物料!$V241)&lt;&gt;0)),1,0)</f>
        <v>0</v>
      </c>
      <c r="U1441">
        <f>N(U1440)+$T1441</f>
        <v>47</v>
      </c>
      <c r="V1441">
        <f>IF(AND($L1441=1,AND(对接源_02物料!$X241="自备筐",N(对接源_02物料!$V241)&lt;&gt;0)),1,0)</f>
        <v>0</v>
      </c>
      <c r="W1441">
        <f>N(W1440)+$V1441</f>
        <v>11</v>
      </c>
      <c r="X1441">
        <f>IF(AND($L1441=1,AND(对接源_02物料!$X241="自备筐",N(对接源_02物料!$T241)&lt;&gt;0)),1,0)</f>
        <v>0</v>
      </c>
      <c r="Y1441">
        <f>N(Y1440)+$X1441</f>
        <v>0</v>
      </c>
      <c r="Z1441">
        <f>IF(AND($M1441=1,对接源_02物料!$D241="原料入库"),1,0)</f>
        <v>0</v>
      </c>
      <c r="AA1441">
        <f>N(AA1440)+$Z1441</f>
        <v>24</v>
      </c>
      <c r="AB1441">
        <f>IF(AND($M1441=1,LEFT(对接源_02物料!$D241,4)="原料出库"),1,0)</f>
        <v>0</v>
      </c>
      <c r="AC1441">
        <f>N(AC1440)+$AB1441</f>
        <v>0</v>
      </c>
      <c r="AD1441">
        <f>IF(AND($M1441=1,LEFT(对接源_02物料!$D241,4)="成品出库"),1,0)</f>
        <v>0</v>
      </c>
      <c r="AE1441">
        <f>N(AE1440)+$AD1441</f>
        <v>0</v>
      </c>
      <c r="AF1441">
        <f>IF(AND($N1441=1,AND(LEFT(对接源_02物料!$D241,4)="包装物料",N(对接源_02物料!$K241)&lt;&gt;0)),1,0)</f>
        <v>0</v>
      </c>
      <c r="AG1441">
        <f>N(AG1440)+$AF1441</f>
        <v>10</v>
      </c>
      <c r="AH1441">
        <f>IF(AND($N1441=1,AND(对接源_02物料!$D241="周转筐－销售出库",N(对接源_02物料!$K241)&lt;&gt;0)),1,0)</f>
        <v>0</v>
      </c>
      <c r="AI1441">
        <f>N(AI1440)+$AH1441</f>
        <v>0</v>
      </c>
      <c r="AL1441" t="n">
        <v>0</v>
      </c>
      <c r="AM1441">
        <f>N(AM1440)+$AL1441</f>
        <v>2</v>
      </c>
      <c r="AN1441">
        <f>""</f>
      </c>
      <c r="AO1441" t="n">
        <v>0</v>
      </c>
      <c r="AP1441">
        <f>N(AP1440)+$AO1441</f>
        <v>13</v>
      </c>
      <c r="AR1441">
        <f>IF(OR($AF1441=1,$AH1441=1),1,0)</f>
        <v>0</v>
      </c>
      <c r="AS1441">
        <f>N(AS1440)+$AR1441</f>
        <v>10</v>
      </c>
    </row>
    <row r="1442" s="127">
      <c r="A1442" t="str">
        <f>IF(对接源_02物料!$C242="","",对接源_02物料!$C242)</f>
        <v>麦麦提</v>
      </c>
      <c r="B1442">
        <f>IF(A1442="",0,IF(MATCH(A1442,$A$4:$A$2403,0)=ROW()-3,1,0))</f>
        <v>0</v>
      </c>
      <c r="C1442">
        <f>N(C1441)+B1442</f>
        <v>26</v>
      </c>
      <c r="K1442">
        <f>IF(OR($K$1="",对接源_02物料!$C242="",对接源_02物料!$C242&lt;&gt;$K$1,对接源_02物料!$B242=""),0,IF(OR(N(对接源_02物料!$B242)&lt;$K$2,N(对接源_02物料!$B242)&gt;$K$3),0,1))</f>
        <v>0</v>
      </c>
      <c r="L1442">
        <f>IF(OR($L$1="",对接源_02物料!$C242="",对接源_02物料!$C242&lt;&gt;$L$1,对接源_02物料!$B242=""),0,IF(OR(N(对接源_02物料!$B242)&lt;$L$2,N(对接源_02物料!$B242)&gt;$L$3),0,1))</f>
        <v>0</v>
      </c>
      <c r="M1442">
        <f>IF(OR($M$1="",对接源_02物料!$C242="",对接源_02物料!$C242&lt;&gt;$M$1,对接源_02物料!$B242=""),0,IF(OR(N(对接源_02物料!$B242)&lt;$M$2,N(对接源_02物料!$B242)&gt;$M$3),0,1))</f>
        <v>0</v>
      </c>
      <c r="N1442">
        <f>IF(OR($N$1="",对接源_02物料!$C242="",对接源_02物料!$C242&lt;&gt;$N$1,对接源_02物料!$B242=""),0,IF(OR(N(对接源_02物料!$B242)&lt;$N$2,N(对接源_02物料!$B242)&gt;$N$3),0,1))</f>
        <v>1</v>
      </c>
      <c r="P1442">
        <f>IF(AND($K1442=1,AND(对接源_02物料!$X242="公司筐",N(对接源_02物料!$T242)&lt;&gt;0)),1,0)</f>
        <v>0</v>
      </c>
      <c r="Q1442">
        <f>N(Q1441)+$P1442</f>
        <v>13</v>
      </c>
      <c r="R1442">
        <f>IF(AND($K1442=1,AND(对接源_02物料!$X242="公司筐",N(对接源_02物料!$U242)&lt;&gt;0)),1,0)</f>
        <v>0</v>
      </c>
      <c r="S1442">
        <f>N(S1441)+$R1442</f>
        <v>0</v>
      </c>
      <c r="T1442">
        <f>IF(AND($K1442=1,AND(对接源_02物料!$X242="公司筐",N(对接源_02物料!$V242)&lt;&gt;0)),1,0)</f>
        <v>0</v>
      </c>
      <c r="U1442">
        <f>N(U1441)+$T1442</f>
        <v>47</v>
      </c>
      <c r="V1442">
        <f>IF(AND($L1442=1,AND(对接源_02物料!$X242="自备筐",N(对接源_02物料!$V242)&lt;&gt;0)),1,0)</f>
        <v>0</v>
      </c>
      <c r="W1442">
        <f>N(W1441)+$V1442</f>
        <v>11</v>
      </c>
      <c r="X1442">
        <f>IF(AND($L1442=1,AND(对接源_02物料!$X242="自备筐",N(对接源_02物料!$T242)&lt;&gt;0)),1,0)</f>
        <v>0</v>
      </c>
      <c r="Y1442">
        <f>N(Y1441)+$X1442</f>
        <v>0</v>
      </c>
      <c r="Z1442">
        <f>IF(AND($M1442=1,对接源_02物料!$D242="原料入库"),1,0)</f>
        <v>0</v>
      </c>
      <c r="AA1442">
        <f>N(AA1441)+$Z1442</f>
        <v>24</v>
      </c>
      <c r="AB1442">
        <f>IF(AND($M1442=1,LEFT(对接源_02物料!$D242,4)="原料出库"),1,0)</f>
        <v>0</v>
      </c>
      <c r="AC1442">
        <f>N(AC1441)+$AB1442</f>
        <v>0</v>
      </c>
      <c r="AD1442">
        <f>IF(AND($M1442=1,LEFT(对接源_02物料!$D242,4)="成品出库"),1,0)</f>
        <v>0</v>
      </c>
      <c r="AE1442">
        <f>N(AE1441)+$AD1442</f>
        <v>0</v>
      </c>
      <c r="AF1442">
        <f>IF(AND($N1442=1,AND(LEFT(对接源_02物料!$D242,4)="包装物料",N(对接源_02物料!$K242)&lt;&gt;0)),1,0)</f>
        <v>0</v>
      </c>
      <c r="AG1442">
        <f>N(AG1441)+$AF1442</f>
        <v>10</v>
      </c>
      <c r="AH1442">
        <f>IF(AND($N1442=1,AND(对接源_02物料!$D242="周转筐－销售出库",N(对接源_02物料!$K242)&lt;&gt;0)),1,0)</f>
        <v>0</v>
      </c>
      <c r="AI1442">
        <f>N(AI1441)+$AH1442</f>
        <v>0</v>
      </c>
      <c r="AL1442" t="n">
        <v>0</v>
      </c>
      <c r="AM1442">
        <f>N(AM1441)+$AL1442</f>
        <v>2</v>
      </c>
      <c r="AN1442">
        <f>""</f>
      </c>
      <c r="AO1442" t="n">
        <v>0</v>
      </c>
      <c r="AP1442">
        <f>N(AP1441)+$AO1442</f>
        <v>13</v>
      </c>
      <c r="AR1442">
        <f>IF(OR($AF1442=1,$AH1442=1),1,0)</f>
        <v>0</v>
      </c>
      <c r="AS1442">
        <f>N(AS1441)+$AR1442</f>
        <v>10</v>
      </c>
    </row>
    <row r="1443" s="127">
      <c r="A1443" t="str">
        <f>IF(对接源_02物料!$C243="","",对接源_02物料!$C243)</f>
        <v>荆建君</v>
      </c>
      <c r="B1443">
        <f>IF(A1443="",0,IF(MATCH(A1443,$A$4:$A$2403,0)=ROW()-3,1,0))</f>
        <v>0</v>
      </c>
      <c r="C1443">
        <f>N(C1442)+B1443</f>
        <v>26</v>
      </c>
      <c r="K1443">
        <f>IF(OR($K$1="",对接源_02物料!$C243="",对接源_02物料!$C243&lt;&gt;$K$1,对接源_02物料!$B243=""),0,IF(OR(N(对接源_02物料!$B243)&lt;$K$2,N(对接源_02物料!$B243)&gt;$K$3),0,1))</f>
        <v>0</v>
      </c>
      <c r="L1443">
        <f>IF(OR($L$1="",对接源_02物料!$C243="",对接源_02物料!$C243&lt;&gt;$L$1,对接源_02物料!$B243=""),0,IF(OR(N(对接源_02物料!$B243)&lt;$L$2,N(对接源_02物料!$B243)&gt;$L$3),0,1))</f>
        <v>0</v>
      </c>
      <c r="M1443">
        <f>IF(OR($M$1="",对接源_02物料!$C243="",对接源_02物料!$C243&lt;&gt;$M$1,对接源_02物料!$B243=""),0,IF(OR(N(对接源_02物料!$B243)&lt;$M$2,N(对接源_02物料!$B243)&gt;$M$3),0,1))</f>
        <v>0</v>
      </c>
      <c r="N1443">
        <f>IF(OR($N$1="",对接源_02物料!$C243="",对接源_02物料!$C243&lt;&gt;$N$1,对接源_02物料!$B243=""),0,IF(OR(N(对接源_02物料!$B243)&lt;$N$2,N(对接源_02物料!$B243)&gt;$N$3),0,1))</f>
        <v>0</v>
      </c>
      <c r="P1443">
        <f>IF(AND($K1443=1,AND(对接源_02物料!$X243="公司筐",N(对接源_02物料!$T243)&lt;&gt;0)),1,0)</f>
        <v>0</v>
      </c>
      <c r="Q1443">
        <f>N(Q1442)+$P1443</f>
        <v>13</v>
      </c>
      <c r="R1443">
        <f>IF(AND($K1443=1,AND(对接源_02物料!$X243="公司筐",N(对接源_02物料!$U243)&lt;&gt;0)),1,0)</f>
        <v>0</v>
      </c>
      <c r="S1443">
        <f>N(S1442)+$R1443</f>
        <v>0</v>
      </c>
      <c r="T1443">
        <f>IF(AND($K1443=1,AND(对接源_02物料!$X243="公司筐",N(对接源_02物料!$V243)&lt;&gt;0)),1,0)</f>
        <v>0</v>
      </c>
      <c r="U1443">
        <f>N(U1442)+$T1443</f>
        <v>47</v>
      </c>
      <c r="V1443">
        <f>IF(AND($L1443=1,AND(对接源_02物料!$X243="自备筐",N(对接源_02物料!$V243)&lt;&gt;0)),1,0)</f>
        <v>0</v>
      </c>
      <c r="W1443">
        <f>N(W1442)+$V1443</f>
        <v>11</v>
      </c>
      <c r="X1443">
        <f>IF(AND($L1443=1,AND(对接源_02物料!$X243="自备筐",N(对接源_02物料!$T243)&lt;&gt;0)),1,0)</f>
        <v>0</v>
      </c>
      <c r="Y1443">
        <f>N(Y1442)+$X1443</f>
        <v>0</v>
      </c>
      <c r="Z1443">
        <f>IF(AND($M1443=1,对接源_02物料!$D243="原料入库"),1,0)</f>
        <v>0</v>
      </c>
      <c r="AA1443">
        <f>N(AA1442)+$Z1443</f>
        <v>24</v>
      </c>
      <c r="AB1443">
        <f>IF(AND($M1443=1,LEFT(对接源_02物料!$D243,4)="原料出库"),1,0)</f>
        <v>0</v>
      </c>
      <c r="AC1443">
        <f>N(AC1442)+$AB1443</f>
        <v>0</v>
      </c>
      <c r="AD1443">
        <f>IF(AND($M1443=1,LEFT(对接源_02物料!$D243,4)="成品出库"),1,0)</f>
        <v>0</v>
      </c>
      <c r="AE1443">
        <f>N(AE1442)+$AD1443</f>
        <v>0</v>
      </c>
      <c r="AF1443">
        <f>IF(AND($N1443=1,AND(LEFT(对接源_02物料!$D243,4)="包装物料",N(对接源_02物料!$K243)&lt;&gt;0)),1,0)</f>
        <v>0</v>
      </c>
      <c r="AG1443">
        <f>N(AG1442)+$AF1443</f>
        <v>10</v>
      </c>
      <c r="AH1443">
        <f>IF(AND($N1443=1,AND(对接源_02物料!$D243="周转筐－销售出库",N(对接源_02物料!$K243)&lt;&gt;0)),1,0)</f>
        <v>0</v>
      </c>
      <c r="AI1443">
        <f>N(AI1442)+$AH1443</f>
        <v>0</v>
      </c>
      <c r="AL1443" t="n">
        <v>0</v>
      </c>
      <c r="AM1443">
        <f>N(AM1442)+$AL1443</f>
        <v>2</v>
      </c>
      <c r="AN1443">
        <f>""</f>
      </c>
      <c r="AO1443" t="n">
        <v>0</v>
      </c>
      <c r="AP1443">
        <f>N(AP1442)+$AO1443</f>
        <v>13</v>
      </c>
      <c r="AR1443">
        <f>IF(OR($AF1443=1,$AH1443=1),1,0)</f>
        <v>0</v>
      </c>
      <c r="AS1443">
        <f>N(AS1442)+$AR1443</f>
        <v>10</v>
      </c>
    </row>
    <row r="1444" s="127">
      <c r="A1444" t="str">
        <f>IF(对接源_02物料!$C244="","",对接源_02物料!$C244)</f>
        <v>李现东</v>
      </c>
      <c r="B1444">
        <f>IF(A1444="",0,IF(MATCH(A1444,$A$4:$A$2403,0)=ROW()-3,1,0))</f>
        <v>0</v>
      </c>
      <c r="C1444">
        <f>N(C1443)+B1444</f>
        <v>26</v>
      </c>
      <c r="K1444">
        <f>IF(OR($K$1="",对接源_02物料!$C244="",对接源_02物料!$C244&lt;&gt;$K$1,对接源_02物料!$B244=""),0,IF(OR(N(对接源_02物料!$B244)&lt;$K$2,N(对接源_02物料!$B244)&gt;$K$3),0,1))</f>
        <v>0</v>
      </c>
      <c r="L1444">
        <f>IF(OR($L$1="",对接源_02物料!$C244="",对接源_02物料!$C244&lt;&gt;$L$1,对接源_02物料!$B244=""),0,IF(OR(N(对接源_02物料!$B244)&lt;$L$2,N(对接源_02物料!$B244)&gt;$L$3),0,1))</f>
        <v>0</v>
      </c>
      <c r="M1444">
        <f>IF(OR($M$1="",对接源_02物料!$C244="",对接源_02物料!$C244&lt;&gt;$M$1,对接源_02物料!$B244=""),0,IF(OR(N(对接源_02物料!$B244)&lt;$M$2,N(对接源_02物料!$B244)&gt;$M$3),0,1))</f>
        <v>0</v>
      </c>
      <c r="N1444">
        <f>IF(OR($N$1="",对接源_02物料!$C244="",对接源_02物料!$C244&lt;&gt;$N$1,对接源_02物料!$B244=""),0,IF(OR(N(对接源_02物料!$B244)&lt;$N$2,N(对接源_02物料!$B244)&gt;$N$3),0,1))</f>
        <v>0</v>
      </c>
      <c r="P1444">
        <f>IF(AND($K1444=1,AND(对接源_02物料!$X244="公司筐",N(对接源_02物料!$T244)&lt;&gt;0)),1,0)</f>
        <v>0</v>
      </c>
      <c r="Q1444">
        <f>N(Q1443)+$P1444</f>
        <v>13</v>
      </c>
      <c r="R1444">
        <f>IF(AND($K1444=1,AND(对接源_02物料!$X244="公司筐",N(对接源_02物料!$U244)&lt;&gt;0)),1,0)</f>
        <v>0</v>
      </c>
      <c r="S1444">
        <f>N(S1443)+$R1444</f>
        <v>0</v>
      </c>
      <c r="T1444">
        <f>IF(AND($K1444=1,AND(对接源_02物料!$X244="公司筐",N(对接源_02物料!$V244)&lt;&gt;0)),1,0)</f>
        <v>0</v>
      </c>
      <c r="U1444">
        <f>N(U1443)+$T1444</f>
        <v>47</v>
      </c>
      <c r="V1444">
        <f>IF(AND($L1444=1,AND(对接源_02物料!$X244="自备筐",N(对接源_02物料!$V244)&lt;&gt;0)),1,0)</f>
        <v>0</v>
      </c>
      <c r="W1444">
        <f>N(W1443)+$V1444</f>
        <v>11</v>
      </c>
      <c r="X1444">
        <f>IF(AND($L1444=1,AND(对接源_02物料!$X244="自备筐",N(对接源_02物料!$T244)&lt;&gt;0)),1,0)</f>
        <v>0</v>
      </c>
      <c r="Y1444">
        <f>N(Y1443)+$X1444</f>
        <v>0</v>
      </c>
      <c r="Z1444">
        <f>IF(AND($M1444=1,对接源_02物料!$D244="原料入库"),1,0)</f>
        <v>0</v>
      </c>
      <c r="AA1444">
        <f>N(AA1443)+$Z1444</f>
        <v>24</v>
      </c>
      <c r="AB1444">
        <f>IF(AND($M1444=1,LEFT(对接源_02物料!$D244,4)="原料出库"),1,0)</f>
        <v>0</v>
      </c>
      <c r="AC1444">
        <f>N(AC1443)+$AB1444</f>
        <v>0</v>
      </c>
      <c r="AD1444">
        <f>IF(AND($M1444=1,LEFT(对接源_02物料!$D244,4)="成品出库"),1,0)</f>
        <v>0</v>
      </c>
      <c r="AE1444">
        <f>N(AE1443)+$AD1444</f>
        <v>0</v>
      </c>
      <c r="AF1444">
        <f>IF(AND($N1444=1,AND(LEFT(对接源_02物料!$D244,4)="包装物料",N(对接源_02物料!$K244)&lt;&gt;0)),1,0)</f>
        <v>0</v>
      </c>
      <c r="AG1444">
        <f>N(AG1443)+$AF1444</f>
        <v>10</v>
      </c>
      <c r="AH1444">
        <f>IF(AND($N1444=1,AND(对接源_02物料!$D244="周转筐－销售出库",N(对接源_02物料!$K244)&lt;&gt;0)),1,0)</f>
        <v>0</v>
      </c>
      <c r="AI1444">
        <f>N(AI1443)+$AH1444</f>
        <v>0</v>
      </c>
      <c r="AL1444" t="n">
        <v>0</v>
      </c>
      <c r="AM1444">
        <f>N(AM1443)+$AL1444</f>
        <v>2</v>
      </c>
      <c r="AN1444">
        <f>""</f>
      </c>
      <c r="AO1444" t="n">
        <v>0</v>
      </c>
      <c r="AP1444">
        <f>N(AP1443)+$AO1444</f>
        <v>13</v>
      </c>
      <c r="AR1444">
        <f>IF(OR($AF1444=1,$AH1444=1),1,0)</f>
        <v>0</v>
      </c>
      <c r="AS1444">
        <f>N(AS1443)+$AR1444</f>
        <v>10</v>
      </c>
    </row>
    <row r="1445" s="127">
      <c r="A1445" t="str">
        <f>IF(对接源_02物料!$C245="","",对接源_02物料!$C245)</f>
        <v>吐尔地</v>
      </c>
      <c r="B1445">
        <f>IF(A1445="",0,IF(MATCH(A1445,$A$4:$A$2403,0)=ROW()-3,1,0))</f>
        <v>0</v>
      </c>
      <c r="C1445">
        <f>N(C1444)+B1445</f>
        <v>26</v>
      </c>
      <c r="K1445">
        <f>IF(OR($K$1="",对接源_02物料!$C245="",对接源_02物料!$C245&lt;&gt;$K$1,对接源_02物料!$B245=""),0,IF(OR(N(对接源_02物料!$B245)&lt;$K$2,N(对接源_02物料!$B245)&gt;$K$3),0,1))</f>
        <v>0</v>
      </c>
      <c r="L1445">
        <f>IF(OR($L$1="",对接源_02物料!$C245="",对接源_02物料!$C245&lt;&gt;$L$1,对接源_02物料!$B245=""),0,IF(OR(N(对接源_02物料!$B245)&lt;$L$2,N(对接源_02物料!$B245)&gt;$L$3),0,1))</f>
        <v>0</v>
      </c>
      <c r="M1445">
        <f>IF(OR($M$1="",对接源_02物料!$C245="",对接源_02物料!$C245&lt;&gt;$M$1,对接源_02物料!$B245=""),0,IF(OR(N(对接源_02物料!$B245)&lt;$M$2,N(对接源_02物料!$B245)&gt;$M$3),0,1))</f>
        <v>0</v>
      </c>
      <c r="N1445">
        <f>IF(OR($N$1="",对接源_02物料!$C245="",对接源_02物料!$C245&lt;&gt;$N$1,对接源_02物料!$B245=""),0,IF(OR(N(对接源_02物料!$B245)&lt;$N$2,N(对接源_02物料!$B245)&gt;$N$3),0,1))</f>
        <v>0</v>
      </c>
      <c r="P1445">
        <f>IF(AND($K1445=1,AND(对接源_02物料!$X245="公司筐",N(对接源_02物料!$T245)&lt;&gt;0)),1,0)</f>
        <v>0</v>
      </c>
      <c r="Q1445">
        <f>N(Q1444)+$P1445</f>
        <v>13</v>
      </c>
      <c r="R1445">
        <f>IF(AND($K1445=1,AND(对接源_02物料!$X245="公司筐",N(对接源_02物料!$U245)&lt;&gt;0)),1,0)</f>
        <v>0</v>
      </c>
      <c r="S1445">
        <f>N(S1444)+$R1445</f>
        <v>0</v>
      </c>
      <c r="T1445">
        <f>IF(AND($K1445=1,AND(对接源_02物料!$X245="公司筐",N(对接源_02物料!$V245)&lt;&gt;0)),1,0)</f>
        <v>0</v>
      </c>
      <c r="U1445">
        <f>N(U1444)+$T1445</f>
        <v>47</v>
      </c>
      <c r="V1445">
        <f>IF(AND($L1445=1,AND(对接源_02物料!$X245="自备筐",N(对接源_02物料!$V245)&lt;&gt;0)),1,0)</f>
        <v>0</v>
      </c>
      <c r="W1445">
        <f>N(W1444)+$V1445</f>
        <v>11</v>
      </c>
      <c r="X1445">
        <f>IF(AND($L1445=1,AND(对接源_02物料!$X245="自备筐",N(对接源_02物料!$T245)&lt;&gt;0)),1,0)</f>
        <v>0</v>
      </c>
      <c r="Y1445">
        <f>N(Y1444)+$X1445</f>
        <v>0</v>
      </c>
      <c r="Z1445">
        <f>IF(AND($M1445=1,对接源_02物料!$D245="原料入库"),1,0)</f>
        <v>0</v>
      </c>
      <c r="AA1445">
        <f>N(AA1444)+$Z1445</f>
        <v>24</v>
      </c>
      <c r="AB1445">
        <f>IF(AND($M1445=1,LEFT(对接源_02物料!$D245,4)="原料出库"),1,0)</f>
        <v>0</v>
      </c>
      <c r="AC1445">
        <f>N(AC1444)+$AB1445</f>
        <v>0</v>
      </c>
      <c r="AD1445">
        <f>IF(AND($M1445=1,LEFT(对接源_02物料!$D245,4)="成品出库"),1,0)</f>
        <v>0</v>
      </c>
      <c r="AE1445">
        <f>N(AE1444)+$AD1445</f>
        <v>0</v>
      </c>
      <c r="AF1445">
        <f>IF(AND($N1445=1,AND(LEFT(对接源_02物料!$D245,4)="包装物料",N(对接源_02物料!$K245)&lt;&gt;0)),1,0)</f>
        <v>0</v>
      </c>
      <c r="AG1445">
        <f>N(AG1444)+$AF1445</f>
        <v>10</v>
      </c>
      <c r="AH1445">
        <f>IF(AND($N1445=1,AND(对接源_02物料!$D245="周转筐－销售出库",N(对接源_02物料!$K245)&lt;&gt;0)),1,0)</f>
        <v>0</v>
      </c>
      <c r="AI1445">
        <f>N(AI1444)+$AH1445</f>
        <v>0</v>
      </c>
      <c r="AL1445" t="n">
        <v>0</v>
      </c>
      <c r="AM1445">
        <f>N(AM1444)+$AL1445</f>
        <v>2</v>
      </c>
      <c r="AN1445">
        <f>""</f>
      </c>
      <c r="AO1445" t="n">
        <v>0</v>
      </c>
      <c r="AP1445">
        <f>N(AP1444)+$AO1445</f>
        <v>13</v>
      </c>
      <c r="AR1445">
        <f>IF(OR($AF1445=1,$AH1445=1),1,0)</f>
        <v>0</v>
      </c>
      <c r="AS1445">
        <f>N(AS1444)+$AR1445</f>
        <v>10</v>
      </c>
    </row>
    <row r="1446" s="127">
      <c r="A1446" t="str">
        <f>IF(对接源_02物料!$C246="","",对接源_02物料!$C246)</f>
        <v>全修塑业</v>
      </c>
      <c r="B1446">
        <f>IF(A1446="",0,IF(MATCH(A1446,$A$4:$A$2403,0)=ROW()-3,1,0))</f>
        <v>0</v>
      </c>
      <c r="C1446">
        <f>N(C1445)+B1446</f>
        <v>26</v>
      </c>
      <c r="K1446">
        <f>IF(OR($K$1="",对接源_02物料!$C246="",对接源_02物料!$C246&lt;&gt;$K$1,对接源_02物料!$B246=""),0,IF(OR(N(对接源_02物料!$B246)&lt;$K$2,N(对接源_02物料!$B246)&gt;$K$3),0,1))</f>
        <v>0</v>
      </c>
      <c r="L1446">
        <f>IF(OR($L$1="",对接源_02物料!$C246="",对接源_02物料!$C246&lt;&gt;$L$1,对接源_02物料!$B246=""),0,IF(OR(N(对接源_02物料!$B246)&lt;$L$2,N(对接源_02物料!$B246)&gt;$L$3),0,1))</f>
        <v>0</v>
      </c>
      <c r="M1446">
        <f>IF(OR($M$1="",对接源_02物料!$C246="",对接源_02物料!$C246&lt;&gt;$M$1,对接源_02物料!$B246=""),0,IF(OR(N(对接源_02物料!$B246)&lt;$M$2,N(对接源_02物料!$B246)&gt;$M$3),0,1))</f>
        <v>0</v>
      </c>
      <c r="N1446">
        <f>IF(OR($N$1="",对接源_02物料!$C246="",对接源_02物料!$C246&lt;&gt;$N$1,对接源_02物料!$B246=""),0,IF(OR(N(对接源_02物料!$B246)&lt;$N$2,N(对接源_02物料!$B246)&gt;$N$3),0,1))</f>
        <v>0</v>
      </c>
      <c r="P1446">
        <f>IF(AND($K1446=1,AND(对接源_02物料!$X246="公司筐",N(对接源_02物料!$T246)&lt;&gt;0)),1,0)</f>
        <v>0</v>
      </c>
      <c r="Q1446">
        <f>N(Q1445)+$P1446</f>
        <v>13</v>
      </c>
      <c r="R1446">
        <f>IF(AND($K1446=1,AND(对接源_02物料!$X246="公司筐",N(对接源_02物料!$U246)&lt;&gt;0)),1,0)</f>
        <v>0</v>
      </c>
      <c r="S1446">
        <f>N(S1445)+$R1446</f>
        <v>0</v>
      </c>
      <c r="T1446">
        <f>IF(AND($K1446=1,AND(对接源_02物料!$X246="公司筐",N(对接源_02物料!$V246)&lt;&gt;0)),1,0)</f>
        <v>0</v>
      </c>
      <c r="U1446">
        <f>N(U1445)+$T1446</f>
        <v>47</v>
      </c>
      <c r="V1446">
        <f>IF(AND($L1446=1,AND(对接源_02物料!$X246="自备筐",N(对接源_02物料!$V246)&lt;&gt;0)),1,0)</f>
        <v>0</v>
      </c>
      <c r="W1446">
        <f>N(W1445)+$V1446</f>
        <v>11</v>
      </c>
      <c r="X1446">
        <f>IF(AND($L1446=1,AND(对接源_02物料!$X246="自备筐",N(对接源_02物料!$T246)&lt;&gt;0)),1,0)</f>
        <v>0</v>
      </c>
      <c r="Y1446">
        <f>N(Y1445)+$X1446</f>
        <v>0</v>
      </c>
      <c r="Z1446">
        <f>IF(AND($M1446=1,对接源_02物料!$D246="原料入库"),1,0)</f>
        <v>0</v>
      </c>
      <c r="AA1446">
        <f>N(AA1445)+$Z1446</f>
        <v>24</v>
      </c>
      <c r="AB1446">
        <f>IF(AND($M1446=1,LEFT(对接源_02物料!$D246,4)="原料出库"),1,0)</f>
        <v>0</v>
      </c>
      <c r="AC1446">
        <f>N(AC1445)+$AB1446</f>
        <v>0</v>
      </c>
      <c r="AD1446">
        <f>IF(AND($M1446=1,LEFT(对接源_02物料!$D246,4)="成品出库"),1,0)</f>
        <v>0</v>
      </c>
      <c r="AE1446">
        <f>N(AE1445)+$AD1446</f>
        <v>0</v>
      </c>
      <c r="AF1446">
        <f>IF(AND($N1446=1,AND(LEFT(对接源_02物料!$D246,4)="包装物料",N(对接源_02物料!$K246)&lt;&gt;0)),1,0)</f>
        <v>0</v>
      </c>
      <c r="AG1446">
        <f>N(AG1445)+$AF1446</f>
        <v>10</v>
      </c>
      <c r="AH1446">
        <f>IF(AND($N1446=1,AND(对接源_02物料!$D246="周转筐－销售出库",N(对接源_02物料!$K246)&lt;&gt;0)),1,0)</f>
        <v>0</v>
      </c>
      <c r="AI1446">
        <f>N(AI1445)+$AH1446</f>
        <v>0</v>
      </c>
      <c r="AL1446" t="n">
        <v>0</v>
      </c>
      <c r="AM1446">
        <f>N(AM1445)+$AL1446</f>
        <v>2</v>
      </c>
      <c r="AN1446">
        <f>""</f>
      </c>
      <c r="AO1446" t="n">
        <v>0</v>
      </c>
      <c r="AP1446">
        <f>N(AP1445)+$AO1446</f>
        <v>13</v>
      </c>
      <c r="AR1446">
        <f>IF(OR($AF1446=1,$AH1446=1),1,0)</f>
        <v>0</v>
      </c>
      <c r="AS1446">
        <f>N(AS1445)+$AR1446</f>
        <v>10</v>
      </c>
    </row>
    <row r="1447" s="127">
      <c r="A1447" t="str">
        <f>IF(对接源_02物料!$C247="","",对接源_02物料!$C247)</f>
        <v>王灵云</v>
      </c>
      <c r="B1447">
        <f>IF(A1447="",0,IF(MATCH(A1447,$A$4:$A$2403,0)=ROW()-3,1,0))</f>
        <v>0</v>
      </c>
      <c r="C1447">
        <f>N(C1446)+B1447</f>
        <v>26</v>
      </c>
      <c r="K1447">
        <f>IF(OR($K$1="",对接源_02物料!$C247="",对接源_02物料!$C247&lt;&gt;$K$1,对接源_02物料!$B247=""),0,IF(OR(N(对接源_02物料!$B247)&lt;$K$2,N(对接源_02物料!$B247)&gt;$K$3),0,1))</f>
        <v>1</v>
      </c>
      <c r="L1447">
        <f>IF(OR($L$1="",对接源_02物料!$C247="",对接源_02物料!$C247&lt;&gt;$L$1,对接源_02物料!$B247=""),0,IF(OR(N(对接源_02物料!$B247)&lt;$L$2,N(对接源_02物料!$B247)&gt;$L$3),0,1))</f>
        <v>0</v>
      </c>
      <c r="M1447">
        <f>IF(OR($M$1="",对接源_02物料!$C247="",对接源_02物料!$C247&lt;&gt;$M$1,对接源_02物料!$B247=""),0,IF(OR(N(对接源_02物料!$B247)&lt;$M$2,N(对接源_02物料!$B247)&gt;$M$3),0,1))</f>
        <v>0</v>
      </c>
      <c r="N1447">
        <f>IF(OR($N$1="",对接源_02物料!$C247="",对接源_02物料!$C247&lt;&gt;$N$1,对接源_02物料!$B247=""),0,IF(OR(N(对接源_02物料!$B247)&lt;$N$2,N(对接源_02物料!$B247)&gt;$N$3),0,1))</f>
        <v>0</v>
      </c>
      <c r="P1447">
        <f>IF(AND($K1447=1,AND(对接源_02物料!$X247="公司筐",N(对接源_02物料!$T247)&lt;&gt;0)),1,0)</f>
        <v>1</v>
      </c>
      <c r="Q1447">
        <f>N(Q1446)+$P1447</f>
        <v>14</v>
      </c>
      <c r="R1447">
        <f>IF(AND($K1447=1,AND(对接源_02物料!$X247="公司筐",N(对接源_02物料!$U247)&lt;&gt;0)),1,0)</f>
        <v>0</v>
      </c>
      <c r="S1447">
        <f>N(S1446)+$R1447</f>
        <v>0</v>
      </c>
      <c r="T1447">
        <f>IF(AND($K1447=1,AND(对接源_02物料!$X247="公司筐",N(对接源_02物料!$V247)&lt;&gt;0)),1,0)</f>
        <v>0</v>
      </c>
      <c r="U1447">
        <f>N(U1446)+$T1447</f>
        <v>47</v>
      </c>
      <c r="V1447">
        <f>IF(AND($L1447=1,AND(对接源_02物料!$X247="自备筐",N(对接源_02物料!$V247)&lt;&gt;0)),1,0)</f>
        <v>0</v>
      </c>
      <c r="W1447">
        <f>N(W1446)+$V1447</f>
        <v>11</v>
      </c>
      <c r="X1447">
        <f>IF(AND($L1447=1,AND(对接源_02物料!$X247="自备筐",N(对接源_02物料!$T247)&lt;&gt;0)),1,0)</f>
        <v>0</v>
      </c>
      <c r="Y1447">
        <f>N(Y1446)+$X1447</f>
        <v>0</v>
      </c>
      <c r="Z1447">
        <f>IF(AND($M1447=1,对接源_02物料!$D247="原料入库"),1,0)</f>
        <v>0</v>
      </c>
      <c r="AA1447">
        <f>N(AA1446)+$Z1447</f>
        <v>24</v>
      </c>
      <c r="AB1447">
        <f>IF(AND($M1447=1,LEFT(对接源_02物料!$D247,4)="原料出库"),1,0)</f>
        <v>0</v>
      </c>
      <c r="AC1447">
        <f>N(AC1446)+$AB1447</f>
        <v>0</v>
      </c>
      <c r="AD1447">
        <f>IF(AND($M1447=1,LEFT(对接源_02物料!$D247,4)="成品出库"),1,0)</f>
        <v>0</v>
      </c>
      <c r="AE1447">
        <f>N(AE1446)+$AD1447</f>
        <v>0</v>
      </c>
      <c r="AF1447">
        <f>IF(AND($N1447=1,AND(LEFT(对接源_02物料!$D247,4)="包装物料",N(对接源_02物料!$K247)&lt;&gt;0)),1,0)</f>
        <v>0</v>
      </c>
      <c r="AG1447">
        <f>N(AG1446)+$AF1447</f>
        <v>10</v>
      </c>
      <c r="AH1447">
        <f>IF(AND($N1447=1,AND(对接源_02物料!$D247="周转筐－销售出库",N(对接源_02物料!$K247)&lt;&gt;0)),1,0)</f>
        <v>0</v>
      </c>
      <c r="AI1447">
        <f>N(AI1446)+$AH1447</f>
        <v>0</v>
      </c>
      <c r="AL1447" t="n">
        <v>0</v>
      </c>
      <c r="AM1447">
        <f>N(AM1446)+$AL1447</f>
        <v>2</v>
      </c>
      <c r="AN1447">
        <f>""</f>
      </c>
      <c r="AO1447" t="n">
        <v>0</v>
      </c>
      <c r="AP1447">
        <f>N(AP1446)+$AO1447</f>
        <v>13</v>
      </c>
      <c r="AR1447">
        <f>IF(OR($AF1447=1,$AH1447=1),1,0)</f>
        <v>0</v>
      </c>
      <c r="AS1447">
        <f>N(AS1446)+$AR1447</f>
        <v>10</v>
      </c>
    </row>
    <row r="1448" s="127">
      <c r="A1448" t="str">
        <f>IF(对接源_02物料!$C248="","",对接源_02物料!$C248)</f>
        <v>热合曼</v>
      </c>
      <c r="B1448">
        <f>IF(A1448="",0,IF(MATCH(A1448,$A$4:$A$2403,0)=ROW()-3,1,0))</f>
        <v>0</v>
      </c>
      <c r="C1448">
        <f>N(C1447)+B1448</f>
        <v>26</v>
      </c>
      <c r="K1448">
        <f>IF(OR($K$1="",对接源_02物料!$C248="",对接源_02物料!$C248&lt;&gt;$K$1,对接源_02物料!$B248=""),0,IF(OR(N(对接源_02物料!$B248)&lt;$K$2,N(对接源_02物料!$B248)&gt;$K$3),0,1))</f>
        <v>0</v>
      </c>
      <c r="L1448">
        <f>IF(OR($L$1="",对接源_02物料!$C248="",对接源_02物料!$C248&lt;&gt;$L$1,对接源_02物料!$B248=""),0,IF(OR(N(对接源_02物料!$B248)&lt;$L$2,N(对接源_02物料!$B248)&gt;$L$3),0,1))</f>
        <v>0</v>
      </c>
      <c r="M1448">
        <f>IF(OR($M$1="",对接源_02物料!$C248="",对接源_02物料!$C248&lt;&gt;$M$1,对接源_02物料!$B248=""),0,IF(OR(N(对接源_02物料!$B248)&lt;$M$2,N(对接源_02物料!$B248)&gt;$M$3),0,1))</f>
        <v>0</v>
      </c>
      <c r="N1448">
        <f>IF(OR($N$1="",对接源_02物料!$C248="",对接源_02物料!$C248&lt;&gt;$N$1,对接源_02物料!$B248=""),0,IF(OR(N(对接源_02物料!$B248)&lt;$N$2,N(对接源_02物料!$B248)&gt;$N$3),0,1))</f>
        <v>0</v>
      </c>
      <c r="P1448">
        <f>IF(AND($K1448=1,AND(对接源_02物料!$X248="公司筐",N(对接源_02物料!$T248)&lt;&gt;0)),1,0)</f>
        <v>0</v>
      </c>
      <c r="Q1448">
        <f>N(Q1447)+$P1448</f>
        <v>14</v>
      </c>
      <c r="R1448">
        <f>IF(AND($K1448=1,AND(对接源_02物料!$X248="公司筐",N(对接源_02物料!$U248)&lt;&gt;0)),1,0)</f>
        <v>0</v>
      </c>
      <c r="S1448">
        <f>N(S1447)+$R1448</f>
        <v>0</v>
      </c>
      <c r="T1448">
        <f>IF(AND($K1448=1,AND(对接源_02物料!$X248="公司筐",N(对接源_02物料!$V248)&lt;&gt;0)),1,0)</f>
        <v>0</v>
      </c>
      <c r="U1448">
        <f>N(U1447)+$T1448</f>
        <v>47</v>
      </c>
      <c r="V1448">
        <f>IF(AND($L1448=1,AND(对接源_02物料!$X248="自备筐",N(对接源_02物料!$V248)&lt;&gt;0)),1,0)</f>
        <v>0</v>
      </c>
      <c r="W1448">
        <f>N(W1447)+$V1448</f>
        <v>11</v>
      </c>
      <c r="X1448">
        <f>IF(AND($L1448=1,AND(对接源_02物料!$X248="自备筐",N(对接源_02物料!$T248)&lt;&gt;0)),1,0)</f>
        <v>0</v>
      </c>
      <c r="Y1448">
        <f>N(Y1447)+$X1448</f>
        <v>0</v>
      </c>
      <c r="Z1448">
        <f>IF(AND($M1448=1,对接源_02物料!$D248="原料入库"),1,0)</f>
        <v>0</v>
      </c>
      <c r="AA1448">
        <f>N(AA1447)+$Z1448</f>
        <v>24</v>
      </c>
      <c r="AB1448">
        <f>IF(AND($M1448=1,LEFT(对接源_02物料!$D248,4)="原料出库"),1,0)</f>
        <v>0</v>
      </c>
      <c r="AC1448">
        <f>N(AC1447)+$AB1448</f>
        <v>0</v>
      </c>
      <c r="AD1448">
        <f>IF(AND($M1448=1,LEFT(对接源_02物料!$D248,4)="成品出库"),1,0)</f>
        <v>0</v>
      </c>
      <c r="AE1448">
        <f>N(AE1447)+$AD1448</f>
        <v>0</v>
      </c>
      <c r="AF1448">
        <f>IF(AND($N1448=1,AND(LEFT(对接源_02物料!$D248,4)="包装物料",N(对接源_02物料!$K248)&lt;&gt;0)),1,0)</f>
        <v>0</v>
      </c>
      <c r="AG1448">
        <f>N(AG1447)+$AF1448</f>
        <v>10</v>
      </c>
      <c r="AH1448">
        <f>IF(AND($N1448=1,AND(对接源_02物料!$D248="周转筐－销售出库",N(对接源_02物料!$K248)&lt;&gt;0)),1,0)</f>
        <v>0</v>
      </c>
      <c r="AI1448">
        <f>N(AI1447)+$AH1448</f>
        <v>0</v>
      </c>
      <c r="AL1448" t="n">
        <v>0</v>
      </c>
      <c r="AM1448">
        <f>N(AM1447)+$AL1448</f>
        <v>2</v>
      </c>
      <c r="AN1448">
        <f>""</f>
      </c>
      <c r="AO1448" t="n">
        <v>0</v>
      </c>
      <c r="AP1448">
        <f>N(AP1447)+$AO1448</f>
        <v>13</v>
      </c>
      <c r="AR1448">
        <f>IF(OR($AF1448=1,$AH1448=1),1,0)</f>
        <v>0</v>
      </c>
      <c r="AS1448">
        <f>N(AS1447)+$AR1448</f>
        <v>10</v>
      </c>
    </row>
    <row r="1449" s="127">
      <c r="A1449" t="str">
        <f>IF(对接源_02物料!$C249="","",对接源_02物料!$C249)</f>
        <v>全修塑业</v>
      </c>
      <c r="B1449">
        <f>IF(A1449="",0,IF(MATCH(A1449,$A$4:$A$2403,0)=ROW()-3,1,0))</f>
        <v>0</v>
      </c>
      <c r="C1449">
        <f>N(C1448)+B1449</f>
        <v>26</v>
      </c>
      <c r="K1449">
        <f>IF(OR($K$1="",对接源_02物料!$C249="",对接源_02物料!$C249&lt;&gt;$K$1,对接源_02物料!$B249=""),0,IF(OR(N(对接源_02物料!$B249)&lt;$K$2,N(对接源_02物料!$B249)&gt;$K$3),0,1))</f>
        <v>0</v>
      </c>
      <c r="L1449">
        <f>IF(OR($L$1="",对接源_02物料!$C249="",对接源_02物料!$C249&lt;&gt;$L$1,对接源_02物料!$B249=""),0,IF(OR(N(对接源_02物料!$B249)&lt;$L$2,N(对接源_02物料!$B249)&gt;$L$3),0,1))</f>
        <v>0</v>
      </c>
      <c r="M1449">
        <f>IF(OR($M$1="",对接源_02物料!$C249="",对接源_02物料!$C249&lt;&gt;$M$1,对接源_02物料!$B249=""),0,IF(OR(N(对接源_02物料!$B249)&lt;$M$2,N(对接源_02物料!$B249)&gt;$M$3),0,1))</f>
        <v>0</v>
      </c>
      <c r="N1449">
        <f>IF(OR($N$1="",对接源_02物料!$C249="",对接源_02物料!$C249&lt;&gt;$N$1,对接源_02物料!$B249=""),0,IF(OR(N(对接源_02物料!$B249)&lt;$N$2,N(对接源_02物料!$B249)&gt;$N$3),0,1))</f>
        <v>0</v>
      </c>
      <c r="P1449">
        <f>IF(AND($K1449=1,AND(对接源_02物料!$X249="公司筐",N(对接源_02物料!$T249)&lt;&gt;0)),1,0)</f>
        <v>0</v>
      </c>
      <c r="Q1449">
        <f>N(Q1448)+$P1449</f>
        <v>14</v>
      </c>
      <c r="R1449">
        <f>IF(AND($K1449=1,AND(对接源_02物料!$X249="公司筐",N(对接源_02物料!$U249)&lt;&gt;0)),1,0)</f>
        <v>0</v>
      </c>
      <c r="S1449">
        <f>N(S1448)+$R1449</f>
        <v>0</v>
      </c>
      <c r="T1449">
        <f>IF(AND($K1449=1,AND(对接源_02物料!$X249="公司筐",N(对接源_02物料!$V249)&lt;&gt;0)),1,0)</f>
        <v>0</v>
      </c>
      <c r="U1449">
        <f>N(U1448)+$T1449</f>
        <v>47</v>
      </c>
      <c r="V1449">
        <f>IF(AND($L1449=1,AND(对接源_02物料!$X249="自备筐",N(对接源_02物料!$V249)&lt;&gt;0)),1,0)</f>
        <v>0</v>
      </c>
      <c r="W1449">
        <f>N(W1448)+$V1449</f>
        <v>11</v>
      </c>
      <c r="X1449">
        <f>IF(AND($L1449=1,AND(对接源_02物料!$X249="自备筐",N(对接源_02物料!$T249)&lt;&gt;0)),1,0)</f>
        <v>0</v>
      </c>
      <c r="Y1449">
        <f>N(Y1448)+$X1449</f>
        <v>0</v>
      </c>
      <c r="Z1449">
        <f>IF(AND($M1449=1,对接源_02物料!$D249="原料入库"),1,0)</f>
        <v>0</v>
      </c>
      <c r="AA1449">
        <f>N(AA1448)+$Z1449</f>
        <v>24</v>
      </c>
      <c r="AB1449">
        <f>IF(AND($M1449=1,LEFT(对接源_02物料!$D249,4)="原料出库"),1,0)</f>
        <v>0</v>
      </c>
      <c r="AC1449">
        <f>N(AC1448)+$AB1449</f>
        <v>0</v>
      </c>
      <c r="AD1449">
        <f>IF(AND($M1449=1,LEFT(对接源_02物料!$D249,4)="成品出库"),1,0)</f>
        <v>0</v>
      </c>
      <c r="AE1449">
        <f>N(AE1448)+$AD1449</f>
        <v>0</v>
      </c>
      <c r="AF1449">
        <f>IF(AND($N1449=1,AND(LEFT(对接源_02物料!$D249,4)="包装物料",N(对接源_02物料!$K249)&lt;&gt;0)),1,0)</f>
        <v>0</v>
      </c>
      <c r="AG1449">
        <f>N(AG1448)+$AF1449</f>
        <v>10</v>
      </c>
      <c r="AH1449">
        <f>IF(AND($N1449=1,AND(对接源_02物料!$D249="周转筐－销售出库",N(对接源_02物料!$K249)&lt;&gt;0)),1,0)</f>
        <v>0</v>
      </c>
      <c r="AI1449">
        <f>N(AI1448)+$AH1449</f>
        <v>0</v>
      </c>
      <c r="AL1449" t="n">
        <v>0</v>
      </c>
      <c r="AM1449">
        <f>N(AM1448)+$AL1449</f>
        <v>2</v>
      </c>
      <c r="AN1449">
        <f>""</f>
      </c>
      <c r="AO1449" t="n">
        <v>0</v>
      </c>
      <c r="AP1449">
        <f>N(AP1448)+$AO1449</f>
        <v>13</v>
      </c>
      <c r="AR1449">
        <f>IF(OR($AF1449=1,$AH1449=1),1,0)</f>
        <v>0</v>
      </c>
      <c r="AS1449">
        <f>N(AS1448)+$AR1449</f>
        <v>10</v>
      </c>
    </row>
    <row r="1450" s="127">
      <c r="A1450" t="str">
        <f>IF(对接源_02物料!$C250="","",对接源_02物料!$C250)</f>
        <v>努尔敦</v>
      </c>
      <c r="B1450">
        <f>IF(A1450="",0,IF(MATCH(A1450,$A$4:$A$2403,0)=ROW()-3,1,0))</f>
        <v>0</v>
      </c>
      <c r="C1450">
        <f>N(C1449)+B1450</f>
        <v>26</v>
      </c>
      <c r="K1450">
        <f>IF(OR($K$1="",对接源_02物料!$C250="",对接源_02物料!$C250&lt;&gt;$K$1,对接源_02物料!$B250=""),0,IF(OR(N(对接源_02物料!$B250)&lt;$K$2,N(对接源_02物料!$B250)&gt;$K$3),0,1))</f>
        <v>0</v>
      </c>
      <c r="L1450">
        <f>IF(OR($L$1="",对接源_02物料!$C250="",对接源_02物料!$C250&lt;&gt;$L$1,对接源_02物料!$B250=""),0,IF(OR(N(对接源_02物料!$B250)&lt;$L$2,N(对接源_02物料!$B250)&gt;$L$3),0,1))</f>
        <v>0</v>
      </c>
      <c r="M1450">
        <f>IF(OR($M$1="",对接源_02物料!$C250="",对接源_02物料!$C250&lt;&gt;$M$1,对接源_02物料!$B250=""),0,IF(OR(N(对接源_02物料!$B250)&lt;$M$2,N(对接源_02物料!$B250)&gt;$M$3),0,1))</f>
        <v>0</v>
      </c>
      <c r="N1450">
        <f>IF(OR($N$1="",对接源_02物料!$C250="",对接源_02物料!$C250&lt;&gt;$N$1,对接源_02物料!$B250=""),0,IF(OR(N(对接源_02物料!$B250)&lt;$N$2,N(对接源_02物料!$B250)&gt;$N$3),0,1))</f>
        <v>0</v>
      </c>
      <c r="P1450">
        <f>IF(AND($K1450=1,AND(对接源_02物料!$X250="公司筐",N(对接源_02物料!$T250)&lt;&gt;0)),1,0)</f>
        <v>0</v>
      </c>
      <c r="Q1450">
        <f>N(Q1449)+$P1450</f>
        <v>14</v>
      </c>
      <c r="R1450">
        <f>IF(AND($K1450=1,AND(对接源_02物料!$X250="公司筐",N(对接源_02物料!$U250)&lt;&gt;0)),1,0)</f>
        <v>0</v>
      </c>
      <c r="S1450">
        <f>N(S1449)+$R1450</f>
        <v>0</v>
      </c>
      <c r="T1450">
        <f>IF(AND($K1450=1,AND(对接源_02物料!$X250="公司筐",N(对接源_02物料!$V250)&lt;&gt;0)),1,0)</f>
        <v>0</v>
      </c>
      <c r="U1450">
        <f>N(U1449)+$T1450</f>
        <v>47</v>
      </c>
      <c r="V1450">
        <f>IF(AND($L1450=1,AND(对接源_02物料!$X250="自备筐",N(对接源_02物料!$V250)&lt;&gt;0)),1,0)</f>
        <v>0</v>
      </c>
      <c r="W1450">
        <f>N(W1449)+$V1450</f>
        <v>11</v>
      </c>
      <c r="X1450">
        <f>IF(AND($L1450=1,AND(对接源_02物料!$X250="自备筐",N(对接源_02物料!$T250)&lt;&gt;0)),1,0)</f>
        <v>0</v>
      </c>
      <c r="Y1450">
        <f>N(Y1449)+$X1450</f>
        <v>0</v>
      </c>
      <c r="Z1450">
        <f>IF(AND($M1450=1,对接源_02物料!$D250="原料入库"),1,0)</f>
        <v>0</v>
      </c>
      <c r="AA1450">
        <f>N(AA1449)+$Z1450</f>
        <v>24</v>
      </c>
      <c r="AB1450">
        <f>IF(AND($M1450=1,LEFT(对接源_02物料!$D250,4)="原料出库"),1,0)</f>
        <v>0</v>
      </c>
      <c r="AC1450">
        <f>N(AC1449)+$AB1450</f>
        <v>0</v>
      </c>
      <c r="AD1450">
        <f>IF(AND($M1450=1,LEFT(对接源_02物料!$D250,4)="成品出库"),1,0)</f>
        <v>0</v>
      </c>
      <c r="AE1450">
        <f>N(AE1449)+$AD1450</f>
        <v>0</v>
      </c>
      <c r="AF1450">
        <f>IF(AND($N1450=1,AND(LEFT(对接源_02物料!$D250,4)="包装物料",N(对接源_02物料!$K250)&lt;&gt;0)),1,0)</f>
        <v>0</v>
      </c>
      <c r="AG1450">
        <f>N(AG1449)+$AF1450</f>
        <v>10</v>
      </c>
      <c r="AH1450">
        <f>IF(AND($N1450=1,AND(对接源_02物料!$D250="周转筐－销售出库",N(对接源_02物料!$K250)&lt;&gt;0)),1,0)</f>
        <v>0</v>
      </c>
      <c r="AI1450">
        <f>N(AI1449)+$AH1450</f>
        <v>0</v>
      </c>
      <c r="AL1450" t="n">
        <v>0</v>
      </c>
      <c r="AM1450">
        <f>N(AM1449)+$AL1450</f>
        <v>2</v>
      </c>
      <c r="AN1450">
        <f>""</f>
      </c>
      <c r="AO1450" t="n">
        <v>0</v>
      </c>
      <c r="AP1450">
        <f>N(AP1449)+$AO1450</f>
        <v>13</v>
      </c>
      <c r="AR1450">
        <f>IF(OR($AF1450=1,$AH1450=1),1,0)</f>
        <v>0</v>
      </c>
      <c r="AS1450">
        <f>N(AS1449)+$AR1450</f>
        <v>10</v>
      </c>
    </row>
    <row r="1451" s="127">
      <c r="A1451" t="str">
        <f>IF(对接源_02物料!$C251="","",对接源_02物料!$C251)</f>
        <v>贾建国</v>
      </c>
      <c r="B1451">
        <f>IF(A1451="",0,IF(MATCH(A1451,$A$4:$A$2403,0)=ROW()-3,1,0))</f>
        <v>0</v>
      </c>
      <c r="C1451">
        <f>N(C1450)+B1451</f>
        <v>26</v>
      </c>
      <c r="K1451">
        <f>IF(OR($K$1="",对接源_02物料!$C251="",对接源_02物料!$C251&lt;&gt;$K$1,对接源_02物料!$B251=""),0,IF(OR(N(对接源_02物料!$B251)&lt;$K$2,N(对接源_02物料!$B251)&gt;$K$3),0,1))</f>
        <v>0</v>
      </c>
      <c r="L1451">
        <f>IF(OR($L$1="",对接源_02物料!$C251="",对接源_02物料!$C251&lt;&gt;$L$1,对接源_02物料!$B251=""),0,IF(OR(N(对接源_02物料!$B251)&lt;$L$2,N(对接源_02物料!$B251)&gt;$L$3),0,1))</f>
        <v>1</v>
      </c>
      <c r="M1451">
        <f>IF(OR($M$1="",对接源_02物料!$C251="",对接源_02物料!$C251&lt;&gt;$M$1,对接源_02物料!$B251=""),0,IF(OR(N(对接源_02物料!$B251)&lt;$M$2,N(对接源_02物料!$B251)&gt;$M$3),0,1))</f>
        <v>0</v>
      </c>
      <c r="N1451">
        <f>IF(OR($N$1="",对接源_02物料!$C251="",对接源_02物料!$C251&lt;&gt;$N$1,对接源_02物料!$B251=""),0,IF(OR(N(对接源_02物料!$B251)&lt;$N$2,N(对接源_02物料!$B251)&gt;$N$3),0,1))</f>
        <v>0</v>
      </c>
      <c r="P1451">
        <f>IF(AND($K1451=1,AND(对接源_02物料!$X251="公司筐",N(对接源_02物料!$T251)&lt;&gt;0)),1,0)</f>
        <v>0</v>
      </c>
      <c r="Q1451">
        <f>N(Q1450)+$P1451</f>
        <v>14</v>
      </c>
      <c r="R1451">
        <f>IF(AND($K1451=1,AND(对接源_02物料!$X251="公司筐",N(对接源_02物料!$U251)&lt;&gt;0)),1,0)</f>
        <v>0</v>
      </c>
      <c r="S1451">
        <f>N(S1450)+$R1451</f>
        <v>0</v>
      </c>
      <c r="T1451">
        <f>IF(AND($K1451=1,AND(对接源_02物料!$X251="公司筐",N(对接源_02物料!$V251)&lt;&gt;0)),1,0)</f>
        <v>0</v>
      </c>
      <c r="U1451">
        <f>N(U1450)+$T1451</f>
        <v>47</v>
      </c>
      <c r="V1451">
        <f>IF(AND($L1451=1,AND(对接源_02物料!$X251="自备筐",N(对接源_02物料!$V251)&lt;&gt;0)),1,0)</f>
        <v>0</v>
      </c>
      <c r="W1451">
        <f>N(W1450)+$V1451</f>
        <v>11</v>
      </c>
      <c r="X1451">
        <f>IF(AND($L1451=1,AND(对接源_02物料!$X251="自备筐",N(对接源_02物料!$T251)&lt;&gt;0)),1,0)</f>
        <v>0</v>
      </c>
      <c r="Y1451">
        <f>N(Y1450)+$X1451</f>
        <v>0</v>
      </c>
      <c r="Z1451">
        <f>IF(AND($M1451=1,对接源_02物料!$D251="原料入库"),1,0)</f>
        <v>0</v>
      </c>
      <c r="AA1451">
        <f>N(AA1450)+$Z1451</f>
        <v>24</v>
      </c>
      <c r="AB1451">
        <f>IF(AND($M1451=1,LEFT(对接源_02物料!$D251,4)="原料出库"),1,0)</f>
        <v>0</v>
      </c>
      <c r="AC1451">
        <f>N(AC1450)+$AB1451</f>
        <v>0</v>
      </c>
      <c r="AD1451">
        <f>IF(AND($M1451=1,LEFT(对接源_02物料!$D251,4)="成品出库"),1,0)</f>
        <v>0</v>
      </c>
      <c r="AE1451">
        <f>N(AE1450)+$AD1451</f>
        <v>0</v>
      </c>
      <c r="AF1451">
        <f>IF(AND($N1451=1,AND(LEFT(对接源_02物料!$D251,4)="包装物料",N(对接源_02物料!$K251)&lt;&gt;0)),1,0)</f>
        <v>0</v>
      </c>
      <c r="AG1451">
        <f>N(AG1450)+$AF1451</f>
        <v>10</v>
      </c>
      <c r="AH1451">
        <f>IF(AND($N1451=1,AND(对接源_02物料!$D251="周转筐－销售出库",N(对接源_02物料!$K251)&lt;&gt;0)),1,0)</f>
        <v>0</v>
      </c>
      <c r="AI1451">
        <f>N(AI1450)+$AH1451</f>
        <v>0</v>
      </c>
      <c r="AL1451" t="n">
        <v>0</v>
      </c>
      <c r="AM1451">
        <f>N(AM1450)+$AL1451</f>
        <v>2</v>
      </c>
      <c r="AN1451">
        <f>""</f>
      </c>
      <c r="AO1451" t="n">
        <v>0</v>
      </c>
      <c r="AP1451">
        <f>N(AP1450)+$AO1451</f>
        <v>13</v>
      </c>
      <c r="AR1451">
        <f>IF(OR($AF1451=1,$AH1451=1),1,0)</f>
        <v>0</v>
      </c>
      <c r="AS1451">
        <f>N(AS1450)+$AR1451</f>
        <v>10</v>
      </c>
    </row>
    <row r="1452" s="127">
      <c r="A1452" t="str">
        <f>IF(对接源_02物料!$C252="","",对接源_02物料!$C252)</f>
        <v>王灵云</v>
      </c>
      <c r="B1452">
        <f>IF(A1452="",0,IF(MATCH(A1452,$A$4:$A$2403,0)=ROW()-3,1,0))</f>
        <v>0</v>
      </c>
      <c r="C1452">
        <f>N(C1451)+B1452</f>
        <v>26</v>
      </c>
      <c r="K1452">
        <f>IF(OR($K$1="",对接源_02物料!$C252="",对接源_02物料!$C252&lt;&gt;$K$1,对接源_02物料!$B252=""),0,IF(OR(N(对接源_02物料!$B252)&lt;$K$2,N(对接源_02物料!$B252)&gt;$K$3),0,1))</f>
        <v>1</v>
      </c>
      <c r="L1452">
        <f>IF(OR($L$1="",对接源_02物料!$C252="",对接源_02物料!$C252&lt;&gt;$L$1,对接源_02物料!$B252=""),0,IF(OR(N(对接源_02物料!$B252)&lt;$L$2,N(对接源_02物料!$B252)&gt;$L$3),0,1))</f>
        <v>0</v>
      </c>
      <c r="M1452">
        <f>IF(OR($M$1="",对接源_02物料!$C252="",对接源_02物料!$C252&lt;&gt;$M$1,对接源_02物料!$B252=""),0,IF(OR(N(对接源_02物料!$B252)&lt;$M$2,N(对接源_02物料!$B252)&gt;$M$3),0,1))</f>
        <v>0</v>
      </c>
      <c r="N1452">
        <f>IF(OR($N$1="",对接源_02物料!$C252="",对接源_02物料!$C252&lt;&gt;$N$1,对接源_02物料!$B252=""),0,IF(OR(N(对接源_02物料!$B252)&lt;$N$2,N(对接源_02物料!$B252)&gt;$N$3),0,1))</f>
        <v>0</v>
      </c>
      <c r="P1452">
        <f>IF(AND($K1452=1,AND(对接源_02物料!$X252="公司筐",N(对接源_02物料!$T252)&lt;&gt;0)),1,0)</f>
        <v>0</v>
      </c>
      <c r="Q1452">
        <f>N(Q1451)+$P1452</f>
        <v>14</v>
      </c>
      <c r="R1452">
        <f>IF(AND($K1452=1,AND(对接源_02物料!$X252="公司筐",N(对接源_02物料!$U252)&lt;&gt;0)),1,0)</f>
        <v>1</v>
      </c>
      <c r="S1452">
        <f>N(S1451)+$R1452</f>
        <v>1</v>
      </c>
      <c r="T1452">
        <f>IF(AND($K1452=1,AND(对接源_02物料!$X252="公司筐",N(对接源_02物料!$V252)&lt;&gt;0)),1,0)</f>
        <v>0</v>
      </c>
      <c r="U1452">
        <f>N(U1451)+$T1452</f>
        <v>47</v>
      </c>
      <c r="V1452">
        <f>IF(AND($L1452=1,AND(对接源_02物料!$X252="自备筐",N(对接源_02物料!$V252)&lt;&gt;0)),1,0)</f>
        <v>0</v>
      </c>
      <c r="W1452">
        <f>N(W1451)+$V1452</f>
        <v>11</v>
      </c>
      <c r="X1452">
        <f>IF(AND($L1452=1,AND(对接源_02物料!$X252="自备筐",N(对接源_02物料!$T252)&lt;&gt;0)),1,0)</f>
        <v>0</v>
      </c>
      <c r="Y1452">
        <f>N(Y1451)+$X1452</f>
        <v>0</v>
      </c>
      <c r="Z1452">
        <f>IF(AND($M1452=1,对接源_02物料!$D252="原料入库"),1,0)</f>
        <v>0</v>
      </c>
      <c r="AA1452">
        <f>N(AA1451)+$Z1452</f>
        <v>24</v>
      </c>
      <c r="AB1452">
        <f>IF(AND($M1452=1,LEFT(对接源_02物料!$D252,4)="原料出库"),1,0)</f>
        <v>0</v>
      </c>
      <c r="AC1452">
        <f>N(AC1451)+$AB1452</f>
        <v>0</v>
      </c>
      <c r="AD1452">
        <f>IF(AND($M1452=1,LEFT(对接源_02物料!$D252,4)="成品出库"),1,0)</f>
        <v>0</v>
      </c>
      <c r="AE1452">
        <f>N(AE1451)+$AD1452</f>
        <v>0</v>
      </c>
      <c r="AF1452">
        <f>IF(AND($N1452=1,AND(LEFT(对接源_02物料!$D252,4)="包装物料",N(对接源_02物料!$K252)&lt;&gt;0)),1,0)</f>
        <v>0</v>
      </c>
      <c r="AG1452">
        <f>N(AG1451)+$AF1452</f>
        <v>10</v>
      </c>
      <c r="AH1452">
        <f>IF(AND($N1452=1,AND(对接源_02物料!$D252="周转筐－销售出库",N(对接源_02物料!$K252)&lt;&gt;0)),1,0)</f>
        <v>0</v>
      </c>
      <c r="AI1452">
        <f>N(AI1451)+$AH1452</f>
        <v>0</v>
      </c>
      <c r="AL1452" t="n">
        <v>0</v>
      </c>
      <c r="AM1452">
        <f>N(AM1451)+$AL1452</f>
        <v>2</v>
      </c>
      <c r="AN1452">
        <f>""</f>
      </c>
      <c r="AO1452" t="n">
        <v>0</v>
      </c>
      <c r="AP1452">
        <f>N(AP1451)+$AO1452</f>
        <v>13</v>
      </c>
      <c r="AR1452">
        <f>IF(OR($AF1452=1,$AH1452=1),1,0)</f>
        <v>0</v>
      </c>
      <c r="AS1452">
        <f>N(AS1451)+$AR1452</f>
        <v>10</v>
      </c>
    </row>
    <row r="1453" s="127">
      <c r="A1453" t="str">
        <f>IF(对接源_02物料!$C253="","",对接源_02物料!$C253)</f>
        <v>荆建君</v>
      </c>
      <c r="B1453">
        <f>IF(A1453="",0,IF(MATCH(A1453,$A$4:$A$2403,0)=ROW()-3,1,0))</f>
        <v>0</v>
      </c>
      <c r="C1453">
        <f>N(C1452)+B1453</f>
        <v>26</v>
      </c>
      <c r="K1453">
        <f>IF(OR($K$1="",对接源_02物料!$C253="",对接源_02物料!$C253&lt;&gt;$K$1,对接源_02物料!$B253=""),0,IF(OR(N(对接源_02物料!$B253)&lt;$K$2,N(对接源_02物料!$B253)&gt;$K$3),0,1))</f>
        <v>0</v>
      </c>
      <c r="L1453">
        <f>IF(OR($L$1="",对接源_02物料!$C253="",对接源_02物料!$C253&lt;&gt;$L$1,对接源_02物料!$B253=""),0,IF(OR(N(对接源_02物料!$B253)&lt;$L$2,N(对接源_02物料!$B253)&gt;$L$3),0,1))</f>
        <v>0</v>
      </c>
      <c r="M1453">
        <f>IF(OR($M$1="",对接源_02物料!$C253="",对接源_02物料!$C253&lt;&gt;$M$1,对接源_02物料!$B253=""),0,IF(OR(N(对接源_02物料!$B253)&lt;$M$2,N(对接源_02物料!$B253)&gt;$M$3),0,1))</f>
        <v>0</v>
      </c>
      <c r="N1453">
        <f>IF(OR($N$1="",对接源_02物料!$C253="",对接源_02物料!$C253&lt;&gt;$N$1,对接源_02物料!$B253=""),0,IF(OR(N(对接源_02物料!$B253)&lt;$N$2,N(对接源_02物料!$B253)&gt;$N$3),0,1))</f>
        <v>0</v>
      </c>
      <c r="P1453">
        <f>IF(AND($K1453=1,AND(对接源_02物料!$X253="公司筐",N(对接源_02物料!$T253)&lt;&gt;0)),1,0)</f>
        <v>0</v>
      </c>
      <c r="Q1453">
        <f>N(Q1452)+$P1453</f>
        <v>14</v>
      </c>
      <c r="R1453">
        <f>IF(AND($K1453=1,AND(对接源_02物料!$X253="公司筐",N(对接源_02物料!$U253)&lt;&gt;0)),1,0)</f>
        <v>0</v>
      </c>
      <c r="S1453">
        <f>N(S1452)+$R1453</f>
        <v>1</v>
      </c>
      <c r="T1453">
        <f>IF(AND($K1453=1,AND(对接源_02物料!$X253="公司筐",N(对接源_02物料!$V253)&lt;&gt;0)),1,0)</f>
        <v>0</v>
      </c>
      <c r="U1453">
        <f>N(U1452)+$T1453</f>
        <v>47</v>
      </c>
      <c r="V1453">
        <f>IF(AND($L1453=1,AND(对接源_02物料!$X253="自备筐",N(对接源_02物料!$V253)&lt;&gt;0)),1,0)</f>
        <v>0</v>
      </c>
      <c r="W1453">
        <f>N(W1452)+$V1453</f>
        <v>11</v>
      </c>
      <c r="X1453">
        <f>IF(AND($L1453=1,AND(对接源_02物料!$X253="自备筐",N(对接源_02物料!$T253)&lt;&gt;0)),1,0)</f>
        <v>0</v>
      </c>
      <c r="Y1453">
        <f>N(Y1452)+$X1453</f>
        <v>0</v>
      </c>
      <c r="Z1453">
        <f>IF(AND($M1453=1,对接源_02物料!$D253="原料入库"),1,0)</f>
        <v>0</v>
      </c>
      <c r="AA1453">
        <f>N(AA1452)+$Z1453</f>
        <v>24</v>
      </c>
      <c r="AB1453">
        <f>IF(AND($M1453=1,LEFT(对接源_02物料!$D253,4)="原料出库"),1,0)</f>
        <v>0</v>
      </c>
      <c r="AC1453">
        <f>N(AC1452)+$AB1453</f>
        <v>0</v>
      </c>
      <c r="AD1453">
        <f>IF(AND($M1453=1,LEFT(对接源_02物料!$D253,4)="成品出库"),1,0)</f>
        <v>0</v>
      </c>
      <c r="AE1453">
        <f>N(AE1452)+$AD1453</f>
        <v>0</v>
      </c>
      <c r="AF1453">
        <f>IF(AND($N1453=1,AND(LEFT(对接源_02物料!$D253,4)="包装物料",N(对接源_02物料!$K253)&lt;&gt;0)),1,0)</f>
        <v>0</v>
      </c>
      <c r="AG1453">
        <f>N(AG1452)+$AF1453</f>
        <v>10</v>
      </c>
      <c r="AH1453">
        <f>IF(AND($N1453=1,AND(对接源_02物料!$D253="周转筐－销售出库",N(对接源_02物料!$K253)&lt;&gt;0)),1,0)</f>
        <v>0</v>
      </c>
      <c r="AI1453">
        <f>N(AI1452)+$AH1453</f>
        <v>0</v>
      </c>
      <c r="AL1453" t="n">
        <v>0</v>
      </c>
      <c r="AM1453">
        <f>N(AM1452)+$AL1453</f>
        <v>2</v>
      </c>
      <c r="AN1453">
        <f>""</f>
      </c>
      <c r="AO1453" t="n">
        <v>0</v>
      </c>
      <c r="AP1453">
        <f>N(AP1452)+$AO1453</f>
        <v>13</v>
      </c>
      <c r="AR1453">
        <f>IF(OR($AF1453=1,$AH1453=1),1,0)</f>
        <v>0</v>
      </c>
      <c r="AS1453">
        <f>N(AS1452)+$AR1453</f>
        <v>10</v>
      </c>
    </row>
    <row r="1454" s="127">
      <c r="A1454" t="str">
        <f>IF(对接源_02物料!$C254="","",对接源_02物料!$C254)</f>
        <v>全修塑业</v>
      </c>
      <c r="B1454">
        <f>IF(A1454="",0,IF(MATCH(A1454,$A$4:$A$2403,0)=ROW()-3,1,0))</f>
        <v>0</v>
      </c>
      <c r="C1454">
        <f>N(C1453)+B1454</f>
        <v>26</v>
      </c>
      <c r="K1454">
        <f>IF(OR($K$1="",对接源_02物料!$C254="",对接源_02物料!$C254&lt;&gt;$K$1,对接源_02物料!$B254=""),0,IF(OR(N(对接源_02物料!$B254)&lt;$K$2,N(对接源_02物料!$B254)&gt;$K$3),0,1))</f>
        <v>0</v>
      </c>
      <c r="L1454">
        <f>IF(OR($L$1="",对接源_02物料!$C254="",对接源_02物料!$C254&lt;&gt;$L$1,对接源_02物料!$B254=""),0,IF(OR(N(对接源_02物料!$B254)&lt;$L$2,N(对接源_02物料!$B254)&gt;$L$3),0,1))</f>
        <v>0</v>
      </c>
      <c r="M1454">
        <f>IF(OR($M$1="",对接源_02物料!$C254="",对接源_02物料!$C254&lt;&gt;$M$1,对接源_02物料!$B254=""),0,IF(OR(N(对接源_02物料!$B254)&lt;$M$2,N(对接源_02物料!$B254)&gt;$M$3),0,1))</f>
        <v>0</v>
      </c>
      <c r="N1454">
        <f>IF(OR($N$1="",对接源_02物料!$C254="",对接源_02物料!$C254&lt;&gt;$N$1,对接源_02物料!$B254=""),0,IF(OR(N(对接源_02物料!$B254)&lt;$N$2,N(对接源_02物料!$B254)&gt;$N$3),0,1))</f>
        <v>0</v>
      </c>
      <c r="P1454">
        <f>IF(AND($K1454=1,AND(对接源_02物料!$X254="公司筐",N(对接源_02物料!$T254)&lt;&gt;0)),1,0)</f>
        <v>0</v>
      </c>
      <c r="Q1454">
        <f>N(Q1453)+$P1454</f>
        <v>14</v>
      </c>
      <c r="R1454">
        <f>IF(AND($K1454=1,AND(对接源_02物料!$X254="公司筐",N(对接源_02物料!$U254)&lt;&gt;0)),1,0)</f>
        <v>0</v>
      </c>
      <c r="S1454">
        <f>N(S1453)+$R1454</f>
        <v>1</v>
      </c>
      <c r="T1454">
        <f>IF(AND($K1454=1,AND(对接源_02物料!$X254="公司筐",N(对接源_02物料!$V254)&lt;&gt;0)),1,0)</f>
        <v>0</v>
      </c>
      <c r="U1454">
        <f>N(U1453)+$T1454</f>
        <v>47</v>
      </c>
      <c r="V1454">
        <f>IF(AND($L1454=1,AND(对接源_02物料!$X254="自备筐",N(对接源_02物料!$V254)&lt;&gt;0)),1,0)</f>
        <v>0</v>
      </c>
      <c r="W1454">
        <f>N(W1453)+$V1454</f>
        <v>11</v>
      </c>
      <c r="X1454">
        <f>IF(AND($L1454=1,AND(对接源_02物料!$X254="自备筐",N(对接源_02物料!$T254)&lt;&gt;0)),1,0)</f>
        <v>0</v>
      </c>
      <c r="Y1454">
        <f>N(Y1453)+$X1454</f>
        <v>0</v>
      </c>
      <c r="Z1454">
        <f>IF(AND($M1454=1,对接源_02物料!$D254="原料入库"),1,0)</f>
        <v>0</v>
      </c>
      <c r="AA1454">
        <f>N(AA1453)+$Z1454</f>
        <v>24</v>
      </c>
      <c r="AB1454">
        <f>IF(AND($M1454=1,LEFT(对接源_02物料!$D254,4)="原料出库"),1,0)</f>
        <v>0</v>
      </c>
      <c r="AC1454">
        <f>N(AC1453)+$AB1454</f>
        <v>0</v>
      </c>
      <c r="AD1454">
        <f>IF(AND($M1454=1,LEFT(对接源_02物料!$D254,4)="成品出库"),1,0)</f>
        <v>0</v>
      </c>
      <c r="AE1454">
        <f>N(AE1453)+$AD1454</f>
        <v>0</v>
      </c>
      <c r="AF1454">
        <f>IF(AND($N1454=1,AND(LEFT(对接源_02物料!$D254,4)="包装物料",N(对接源_02物料!$K254)&lt;&gt;0)),1,0)</f>
        <v>0</v>
      </c>
      <c r="AG1454">
        <f>N(AG1453)+$AF1454</f>
        <v>10</v>
      </c>
      <c r="AH1454">
        <f>IF(AND($N1454=1,AND(对接源_02物料!$D254="周转筐－销售出库",N(对接源_02物料!$K254)&lt;&gt;0)),1,0)</f>
        <v>0</v>
      </c>
      <c r="AI1454">
        <f>N(AI1453)+$AH1454</f>
        <v>0</v>
      </c>
      <c r="AL1454" t="n">
        <v>0</v>
      </c>
      <c r="AM1454">
        <f>N(AM1453)+$AL1454</f>
        <v>2</v>
      </c>
      <c r="AN1454">
        <f>""</f>
      </c>
      <c r="AO1454" t="n">
        <v>0</v>
      </c>
      <c r="AP1454">
        <f>N(AP1453)+$AO1454</f>
        <v>13</v>
      </c>
      <c r="AR1454">
        <f>IF(OR($AF1454=1,$AH1454=1),1,0)</f>
        <v>0</v>
      </c>
      <c r="AS1454">
        <f>N(AS1453)+$AR1454</f>
        <v>10</v>
      </c>
    </row>
    <row r="1455" s="127">
      <c r="A1455" t="str">
        <f>IF(对接源_02物料!$C255="","",对接源_02物料!$C255)</f>
        <v>努尔敦</v>
      </c>
      <c r="B1455">
        <f>IF(A1455="",0,IF(MATCH(A1455,$A$4:$A$2403,0)=ROW()-3,1,0))</f>
        <v>0</v>
      </c>
      <c r="C1455">
        <f>N(C1454)+B1455</f>
        <v>26</v>
      </c>
      <c r="K1455">
        <f>IF(OR($K$1="",对接源_02物料!$C255="",对接源_02物料!$C255&lt;&gt;$K$1,对接源_02物料!$B255=""),0,IF(OR(N(对接源_02物料!$B255)&lt;$K$2,N(对接源_02物料!$B255)&gt;$K$3),0,1))</f>
        <v>0</v>
      </c>
      <c r="L1455">
        <f>IF(OR($L$1="",对接源_02物料!$C255="",对接源_02物料!$C255&lt;&gt;$L$1,对接源_02物料!$B255=""),0,IF(OR(N(对接源_02物料!$B255)&lt;$L$2,N(对接源_02物料!$B255)&gt;$L$3),0,1))</f>
        <v>0</v>
      </c>
      <c r="M1455">
        <f>IF(OR($M$1="",对接源_02物料!$C255="",对接源_02物料!$C255&lt;&gt;$M$1,对接源_02物料!$B255=""),0,IF(OR(N(对接源_02物料!$B255)&lt;$M$2,N(对接源_02物料!$B255)&gt;$M$3),0,1))</f>
        <v>0</v>
      </c>
      <c r="N1455">
        <f>IF(OR($N$1="",对接源_02物料!$C255="",对接源_02物料!$C255&lt;&gt;$N$1,对接源_02物料!$B255=""),0,IF(OR(N(对接源_02物料!$B255)&lt;$N$2,N(对接源_02物料!$B255)&gt;$N$3),0,1))</f>
        <v>0</v>
      </c>
      <c r="P1455">
        <f>IF(AND($K1455=1,AND(对接源_02物料!$X255="公司筐",N(对接源_02物料!$T255)&lt;&gt;0)),1,0)</f>
        <v>0</v>
      </c>
      <c r="Q1455">
        <f>N(Q1454)+$P1455</f>
        <v>14</v>
      </c>
      <c r="R1455">
        <f>IF(AND($K1455=1,AND(对接源_02物料!$X255="公司筐",N(对接源_02物料!$U255)&lt;&gt;0)),1,0)</f>
        <v>0</v>
      </c>
      <c r="S1455">
        <f>N(S1454)+$R1455</f>
        <v>1</v>
      </c>
      <c r="T1455">
        <f>IF(AND($K1455=1,AND(对接源_02物料!$X255="公司筐",N(对接源_02物料!$V255)&lt;&gt;0)),1,0)</f>
        <v>0</v>
      </c>
      <c r="U1455">
        <f>N(U1454)+$T1455</f>
        <v>47</v>
      </c>
      <c r="V1455">
        <f>IF(AND($L1455=1,AND(对接源_02物料!$X255="自备筐",N(对接源_02物料!$V255)&lt;&gt;0)),1,0)</f>
        <v>0</v>
      </c>
      <c r="W1455">
        <f>N(W1454)+$V1455</f>
        <v>11</v>
      </c>
      <c r="X1455">
        <f>IF(AND($L1455=1,AND(对接源_02物料!$X255="自备筐",N(对接源_02物料!$T255)&lt;&gt;0)),1,0)</f>
        <v>0</v>
      </c>
      <c r="Y1455">
        <f>N(Y1454)+$X1455</f>
        <v>0</v>
      </c>
      <c r="Z1455">
        <f>IF(AND($M1455=1,对接源_02物料!$D255="原料入库"),1,0)</f>
        <v>0</v>
      </c>
      <c r="AA1455">
        <f>N(AA1454)+$Z1455</f>
        <v>24</v>
      </c>
      <c r="AB1455">
        <f>IF(AND($M1455=1,LEFT(对接源_02物料!$D255,4)="原料出库"),1,0)</f>
        <v>0</v>
      </c>
      <c r="AC1455">
        <f>N(AC1454)+$AB1455</f>
        <v>0</v>
      </c>
      <c r="AD1455">
        <f>IF(AND($M1455=1,LEFT(对接源_02物料!$D255,4)="成品出库"),1,0)</f>
        <v>0</v>
      </c>
      <c r="AE1455">
        <f>N(AE1454)+$AD1455</f>
        <v>0</v>
      </c>
      <c r="AF1455">
        <f>IF(AND($N1455=1,AND(LEFT(对接源_02物料!$D255,4)="包装物料",N(对接源_02物料!$K255)&lt;&gt;0)),1,0)</f>
        <v>0</v>
      </c>
      <c r="AG1455">
        <f>N(AG1454)+$AF1455</f>
        <v>10</v>
      </c>
      <c r="AH1455">
        <f>IF(AND($N1455=1,AND(对接源_02物料!$D255="周转筐－销售出库",N(对接源_02物料!$K255)&lt;&gt;0)),1,0)</f>
        <v>0</v>
      </c>
      <c r="AI1455">
        <f>N(AI1454)+$AH1455</f>
        <v>0</v>
      </c>
      <c r="AL1455" t="n">
        <v>0</v>
      </c>
      <c r="AM1455">
        <f>N(AM1454)+$AL1455</f>
        <v>2</v>
      </c>
      <c r="AN1455">
        <f>""</f>
      </c>
      <c r="AO1455" t="n">
        <v>0</v>
      </c>
      <c r="AP1455">
        <f>N(AP1454)+$AO1455</f>
        <v>13</v>
      </c>
      <c r="AR1455">
        <f>IF(OR($AF1455=1,$AH1455=1),1,0)</f>
        <v>0</v>
      </c>
      <c r="AS1455">
        <f>N(AS1454)+$AR1455</f>
        <v>10</v>
      </c>
    </row>
    <row r="1456" s="127">
      <c r="A1456" t="str">
        <f>IF(对接源_02物料!$C256="","",对接源_02物料!$C256)</f>
        <v>麦麦提</v>
      </c>
      <c r="B1456">
        <f>IF(A1456="",0,IF(MATCH(A1456,$A$4:$A$2403,0)=ROW()-3,1,0))</f>
        <v>0</v>
      </c>
      <c r="C1456">
        <f>N(C1455)+B1456</f>
        <v>26</v>
      </c>
      <c r="K1456">
        <f>IF(OR($K$1="",对接源_02物料!$C256="",对接源_02物料!$C256&lt;&gt;$K$1,对接源_02物料!$B256=""),0,IF(OR(N(对接源_02物料!$B256)&lt;$K$2,N(对接源_02物料!$B256)&gt;$K$3),0,1))</f>
        <v>0</v>
      </c>
      <c r="L1456">
        <f>IF(OR($L$1="",对接源_02物料!$C256="",对接源_02物料!$C256&lt;&gt;$L$1,对接源_02物料!$B256=""),0,IF(OR(N(对接源_02物料!$B256)&lt;$L$2,N(对接源_02物料!$B256)&gt;$L$3),0,1))</f>
        <v>0</v>
      </c>
      <c r="M1456">
        <f>IF(OR($M$1="",对接源_02物料!$C256="",对接源_02物料!$C256&lt;&gt;$M$1,对接源_02物料!$B256=""),0,IF(OR(N(对接源_02物料!$B256)&lt;$M$2,N(对接源_02物料!$B256)&gt;$M$3),0,1))</f>
        <v>0</v>
      </c>
      <c r="N1456">
        <f>IF(OR($N$1="",对接源_02物料!$C256="",对接源_02物料!$C256&lt;&gt;$N$1,对接源_02物料!$B256=""),0,IF(OR(N(对接源_02物料!$B256)&lt;$N$2,N(对接源_02物料!$B256)&gt;$N$3),0,1))</f>
        <v>1</v>
      </c>
      <c r="P1456">
        <f>IF(AND($K1456=1,AND(对接源_02物料!$X256="公司筐",N(对接源_02物料!$T256)&lt;&gt;0)),1,0)</f>
        <v>0</v>
      </c>
      <c r="Q1456">
        <f>N(Q1455)+$P1456</f>
        <v>14</v>
      </c>
      <c r="R1456">
        <f>IF(AND($K1456=1,AND(对接源_02物料!$X256="公司筐",N(对接源_02物料!$U256)&lt;&gt;0)),1,0)</f>
        <v>0</v>
      </c>
      <c r="S1456">
        <f>N(S1455)+$R1456</f>
        <v>1</v>
      </c>
      <c r="T1456">
        <f>IF(AND($K1456=1,AND(对接源_02物料!$X256="公司筐",N(对接源_02物料!$V256)&lt;&gt;0)),1,0)</f>
        <v>0</v>
      </c>
      <c r="U1456">
        <f>N(U1455)+$T1456</f>
        <v>47</v>
      </c>
      <c r="V1456">
        <f>IF(AND($L1456=1,AND(对接源_02物料!$X256="自备筐",N(对接源_02物料!$V256)&lt;&gt;0)),1,0)</f>
        <v>0</v>
      </c>
      <c r="W1456">
        <f>N(W1455)+$V1456</f>
        <v>11</v>
      </c>
      <c r="X1456">
        <f>IF(AND($L1456=1,AND(对接源_02物料!$X256="自备筐",N(对接源_02物料!$T256)&lt;&gt;0)),1,0)</f>
        <v>0</v>
      </c>
      <c r="Y1456">
        <f>N(Y1455)+$X1456</f>
        <v>0</v>
      </c>
      <c r="Z1456">
        <f>IF(AND($M1456=1,对接源_02物料!$D256="原料入库"),1,0)</f>
        <v>0</v>
      </c>
      <c r="AA1456">
        <f>N(AA1455)+$Z1456</f>
        <v>24</v>
      </c>
      <c r="AB1456">
        <f>IF(AND($M1456=1,LEFT(对接源_02物料!$D256,4)="原料出库"),1,0)</f>
        <v>0</v>
      </c>
      <c r="AC1456">
        <f>N(AC1455)+$AB1456</f>
        <v>0</v>
      </c>
      <c r="AD1456">
        <f>IF(AND($M1456=1,LEFT(对接源_02物料!$D256,4)="成品出库"),1,0)</f>
        <v>0</v>
      </c>
      <c r="AE1456">
        <f>N(AE1455)+$AD1456</f>
        <v>0</v>
      </c>
      <c r="AF1456">
        <f>IF(AND($N1456=1,AND(LEFT(对接源_02物料!$D256,4)="包装物料",N(对接源_02物料!$K256)&lt;&gt;0)),1,0)</f>
        <v>0</v>
      </c>
      <c r="AG1456">
        <f>N(AG1455)+$AF1456</f>
        <v>10</v>
      </c>
      <c r="AH1456">
        <f>IF(AND($N1456=1,AND(对接源_02物料!$D256="周转筐－销售出库",N(对接源_02物料!$K256)&lt;&gt;0)),1,0)</f>
        <v>0</v>
      </c>
      <c r="AI1456">
        <f>N(AI1455)+$AH1456</f>
        <v>0</v>
      </c>
      <c r="AL1456" t="n">
        <v>0</v>
      </c>
      <c r="AM1456">
        <f>N(AM1455)+$AL1456</f>
        <v>2</v>
      </c>
      <c r="AN1456">
        <f>""</f>
      </c>
      <c r="AO1456" t="n">
        <v>0</v>
      </c>
      <c r="AP1456">
        <f>N(AP1455)+$AO1456</f>
        <v>13</v>
      </c>
      <c r="AR1456">
        <f>IF(OR($AF1456=1,$AH1456=1),1,0)</f>
        <v>0</v>
      </c>
      <c r="AS1456">
        <f>N(AS1455)+$AR1456</f>
        <v>10</v>
      </c>
    </row>
    <row r="1457" s="127">
      <c r="A1457" t="str">
        <f>IF(对接源_02物料!$C257="","",对接源_02物料!$C257)</f>
        <v>吐尔地</v>
      </c>
      <c r="B1457">
        <f>IF(A1457="",0,IF(MATCH(A1457,$A$4:$A$2403,0)=ROW()-3,1,0))</f>
        <v>0</v>
      </c>
      <c r="C1457">
        <f>N(C1456)+B1457</f>
        <v>26</v>
      </c>
      <c r="K1457">
        <f>IF(OR($K$1="",对接源_02物料!$C257="",对接源_02物料!$C257&lt;&gt;$K$1,对接源_02物料!$B257=""),0,IF(OR(N(对接源_02物料!$B257)&lt;$K$2,N(对接源_02物料!$B257)&gt;$K$3),0,1))</f>
        <v>0</v>
      </c>
      <c r="L1457">
        <f>IF(OR($L$1="",对接源_02物料!$C257="",对接源_02物料!$C257&lt;&gt;$L$1,对接源_02物料!$B257=""),0,IF(OR(N(对接源_02物料!$B257)&lt;$L$2,N(对接源_02物料!$B257)&gt;$L$3),0,1))</f>
        <v>0</v>
      </c>
      <c r="M1457">
        <f>IF(OR($M$1="",对接源_02物料!$C257="",对接源_02物料!$C257&lt;&gt;$M$1,对接源_02物料!$B257=""),0,IF(OR(N(对接源_02物料!$B257)&lt;$M$2,N(对接源_02物料!$B257)&gt;$M$3),0,1))</f>
        <v>0</v>
      </c>
      <c r="N1457">
        <f>IF(OR($N$1="",对接源_02物料!$C257="",对接源_02物料!$C257&lt;&gt;$N$1,对接源_02物料!$B257=""),0,IF(OR(N(对接源_02物料!$B257)&lt;$N$2,N(对接源_02物料!$B257)&gt;$N$3),0,1))</f>
        <v>0</v>
      </c>
      <c r="P1457">
        <f>IF(AND($K1457=1,AND(对接源_02物料!$X257="公司筐",N(对接源_02物料!$T257)&lt;&gt;0)),1,0)</f>
        <v>0</v>
      </c>
      <c r="Q1457">
        <f>N(Q1456)+$P1457</f>
        <v>14</v>
      </c>
      <c r="R1457">
        <f>IF(AND($K1457=1,AND(对接源_02物料!$X257="公司筐",N(对接源_02物料!$U257)&lt;&gt;0)),1,0)</f>
        <v>0</v>
      </c>
      <c r="S1457">
        <f>N(S1456)+$R1457</f>
        <v>1</v>
      </c>
      <c r="T1457">
        <f>IF(AND($K1457=1,AND(对接源_02物料!$X257="公司筐",N(对接源_02物料!$V257)&lt;&gt;0)),1,0)</f>
        <v>0</v>
      </c>
      <c r="U1457">
        <f>N(U1456)+$T1457</f>
        <v>47</v>
      </c>
      <c r="V1457">
        <f>IF(AND($L1457=1,AND(对接源_02物料!$X257="自备筐",N(对接源_02物料!$V257)&lt;&gt;0)),1,0)</f>
        <v>0</v>
      </c>
      <c r="W1457">
        <f>N(W1456)+$V1457</f>
        <v>11</v>
      </c>
      <c r="X1457">
        <f>IF(AND($L1457=1,AND(对接源_02物料!$X257="自备筐",N(对接源_02物料!$T257)&lt;&gt;0)),1,0)</f>
        <v>0</v>
      </c>
      <c r="Y1457">
        <f>N(Y1456)+$X1457</f>
        <v>0</v>
      </c>
      <c r="Z1457">
        <f>IF(AND($M1457=1,对接源_02物料!$D257="原料入库"),1,0)</f>
        <v>0</v>
      </c>
      <c r="AA1457">
        <f>N(AA1456)+$Z1457</f>
        <v>24</v>
      </c>
      <c r="AB1457">
        <f>IF(AND($M1457=1,LEFT(对接源_02物料!$D257,4)="原料出库"),1,0)</f>
        <v>0</v>
      </c>
      <c r="AC1457">
        <f>N(AC1456)+$AB1457</f>
        <v>0</v>
      </c>
      <c r="AD1457">
        <f>IF(AND($M1457=1,LEFT(对接源_02物料!$D257,4)="成品出库"),1,0)</f>
        <v>0</v>
      </c>
      <c r="AE1457">
        <f>N(AE1456)+$AD1457</f>
        <v>0</v>
      </c>
      <c r="AF1457">
        <f>IF(AND($N1457=1,AND(LEFT(对接源_02物料!$D257,4)="包装物料",N(对接源_02物料!$K257)&lt;&gt;0)),1,0)</f>
        <v>0</v>
      </c>
      <c r="AG1457">
        <f>N(AG1456)+$AF1457</f>
        <v>10</v>
      </c>
      <c r="AH1457">
        <f>IF(AND($N1457=1,AND(对接源_02物料!$D257="周转筐－销售出库",N(对接源_02物料!$K257)&lt;&gt;0)),1,0)</f>
        <v>0</v>
      </c>
      <c r="AI1457">
        <f>N(AI1456)+$AH1457</f>
        <v>0</v>
      </c>
      <c r="AL1457" t="n">
        <v>0</v>
      </c>
      <c r="AM1457">
        <f>N(AM1456)+$AL1457</f>
        <v>2</v>
      </c>
      <c r="AN1457">
        <f>""</f>
      </c>
      <c r="AO1457" t="n">
        <v>0</v>
      </c>
      <c r="AP1457">
        <f>N(AP1456)+$AO1457</f>
        <v>13</v>
      </c>
      <c r="AR1457">
        <f>IF(OR($AF1457=1,$AH1457=1),1,0)</f>
        <v>0</v>
      </c>
      <c r="AS1457">
        <f>N(AS1456)+$AR1457</f>
        <v>10</v>
      </c>
    </row>
    <row r="1458" s="127">
      <c r="A1458" t="str">
        <f>IF(对接源_02物料!$C258="","",对接源_02物料!$C258)</f>
        <v>热合曼</v>
      </c>
      <c r="B1458">
        <f>IF(A1458="",0,IF(MATCH(A1458,$A$4:$A$2403,0)=ROW()-3,1,0))</f>
        <v>0</v>
      </c>
      <c r="C1458">
        <f>N(C1457)+B1458</f>
        <v>26</v>
      </c>
      <c r="K1458">
        <f>IF(OR($K$1="",对接源_02物料!$C258="",对接源_02物料!$C258&lt;&gt;$K$1,对接源_02物料!$B258=""),0,IF(OR(N(对接源_02物料!$B258)&lt;$K$2,N(对接源_02物料!$B258)&gt;$K$3),0,1))</f>
        <v>0</v>
      </c>
      <c r="L1458">
        <f>IF(OR($L$1="",对接源_02物料!$C258="",对接源_02物料!$C258&lt;&gt;$L$1,对接源_02物料!$B258=""),0,IF(OR(N(对接源_02物料!$B258)&lt;$L$2,N(对接源_02物料!$B258)&gt;$L$3),0,1))</f>
        <v>0</v>
      </c>
      <c r="M1458">
        <f>IF(OR($M$1="",对接源_02物料!$C258="",对接源_02物料!$C258&lt;&gt;$M$1,对接源_02物料!$B258=""),0,IF(OR(N(对接源_02物料!$B258)&lt;$M$2,N(对接源_02物料!$B258)&gt;$M$3),0,1))</f>
        <v>0</v>
      </c>
      <c r="N1458">
        <f>IF(OR($N$1="",对接源_02物料!$C258="",对接源_02物料!$C258&lt;&gt;$N$1,对接源_02物料!$B258=""),0,IF(OR(N(对接源_02物料!$B258)&lt;$N$2,N(对接源_02物料!$B258)&gt;$N$3),0,1))</f>
        <v>0</v>
      </c>
      <c r="P1458">
        <f>IF(AND($K1458=1,AND(对接源_02物料!$X258="公司筐",N(对接源_02物料!$T258)&lt;&gt;0)),1,0)</f>
        <v>0</v>
      </c>
      <c r="Q1458">
        <f>N(Q1457)+$P1458</f>
        <v>14</v>
      </c>
      <c r="R1458">
        <f>IF(AND($K1458=1,AND(对接源_02物料!$X258="公司筐",N(对接源_02物料!$U258)&lt;&gt;0)),1,0)</f>
        <v>0</v>
      </c>
      <c r="S1458">
        <f>N(S1457)+$R1458</f>
        <v>1</v>
      </c>
      <c r="T1458">
        <f>IF(AND($K1458=1,AND(对接源_02物料!$X258="公司筐",N(对接源_02物料!$V258)&lt;&gt;0)),1,0)</f>
        <v>0</v>
      </c>
      <c r="U1458">
        <f>N(U1457)+$T1458</f>
        <v>47</v>
      </c>
      <c r="V1458">
        <f>IF(AND($L1458=1,AND(对接源_02物料!$X258="自备筐",N(对接源_02物料!$V258)&lt;&gt;0)),1,0)</f>
        <v>0</v>
      </c>
      <c r="W1458">
        <f>N(W1457)+$V1458</f>
        <v>11</v>
      </c>
      <c r="X1458">
        <f>IF(AND($L1458=1,AND(对接源_02物料!$X258="自备筐",N(对接源_02物料!$T258)&lt;&gt;0)),1,0)</f>
        <v>0</v>
      </c>
      <c r="Y1458">
        <f>N(Y1457)+$X1458</f>
        <v>0</v>
      </c>
      <c r="Z1458">
        <f>IF(AND($M1458=1,对接源_02物料!$D258="原料入库"),1,0)</f>
        <v>0</v>
      </c>
      <c r="AA1458">
        <f>N(AA1457)+$Z1458</f>
        <v>24</v>
      </c>
      <c r="AB1458">
        <f>IF(AND($M1458=1,LEFT(对接源_02物料!$D258,4)="原料出库"),1,0)</f>
        <v>0</v>
      </c>
      <c r="AC1458">
        <f>N(AC1457)+$AB1458</f>
        <v>0</v>
      </c>
      <c r="AD1458">
        <f>IF(AND($M1458=1,LEFT(对接源_02物料!$D258,4)="成品出库"),1,0)</f>
        <v>0</v>
      </c>
      <c r="AE1458">
        <f>N(AE1457)+$AD1458</f>
        <v>0</v>
      </c>
      <c r="AF1458">
        <f>IF(AND($N1458=1,AND(LEFT(对接源_02物料!$D258,4)="包装物料",N(对接源_02物料!$K258)&lt;&gt;0)),1,0)</f>
        <v>0</v>
      </c>
      <c r="AG1458">
        <f>N(AG1457)+$AF1458</f>
        <v>10</v>
      </c>
      <c r="AH1458">
        <f>IF(AND($N1458=1,AND(对接源_02物料!$D258="周转筐－销售出库",N(对接源_02物料!$K258)&lt;&gt;0)),1,0)</f>
        <v>0</v>
      </c>
      <c r="AI1458">
        <f>N(AI1457)+$AH1458</f>
        <v>0</v>
      </c>
      <c r="AL1458" t="n">
        <v>0</v>
      </c>
      <c r="AM1458">
        <f>N(AM1457)+$AL1458</f>
        <v>2</v>
      </c>
      <c r="AN1458">
        <f>""</f>
      </c>
      <c r="AO1458" t="n">
        <v>0</v>
      </c>
      <c r="AP1458">
        <f>N(AP1457)+$AO1458</f>
        <v>13</v>
      </c>
      <c r="AR1458">
        <f>IF(OR($AF1458=1,$AH1458=1),1,0)</f>
        <v>0</v>
      </c>
      <c r="AS1458">
        <f>N(AS1457)+$AR1458</f>
        <v>10</v>
      </c>
    </row>
    <row r="1459" s="127">
      <c r="A1459" t="str">
        <f>IF(对接源_02物料!$C259="","",对接源_02物料!$C259)</f>
        <v>麦麦提</v>
      </c>
      <c r="B1459">
        <f>IF(A1459="",0,IF(MATCH(A1459,$A$4:$A$2403,0)=ROW()-3,1,0))</f>
        <v>0</v>
      </c>
      <c r="C1459">
        <f>N(C1458)+B1459</f>
        <v>26</v>
      </c>
      <c r="K1459">
        <f>IF(OR($K$1="",对接源_02物料!$C259="",对接源_02物料!$C259&lt;&gt;$K$1,对接源_02物料!$B259=""),0,IF(OR(N(对接源_02物料!$B259)&lt;$K$2,N(对接源_02物料!$B259)&gt;$K$3),0,1))</f>
        <v>0</v>
      </c>
      <c r="L1459">
        <f>IF(OR($L$1="",对接源_02物料!$C259="",对接源_02物料!$C259&lt;&gt;$L$1,对接源_02物料!$B259=""),0,IF(OR(N(对接源_02物料!$B259)&lt;$L$2,N(对接源_02物料!$B259)&gt;$L$3),0,1))</f>
        <v>0</v>
      </c>
      <c r="M1459">
        <f>IF(OR($M$1="",对接源_02物料!$C259="",对接源_02物料!$C259&lt;&gt;$M$1,对接源_02物料!$B259=""),0,IF(OR(N(对接源_02物料!$B259)&lt;$M$2,N(对接源_02物料!$B259)&gt;$M$3),0,1))</f>
        <v>0</v>
      </c>
      <c r="N1459">
        <f>IF(OR($N$1="",对接源_02物料!$C259="",对接源_02物料!$C259&lt;&gt;$N$1,对接源_02物料!$B259=""),0,IF(OR(N(对接源_02物料!$B259)&lt;$N$2,N(对接源_02物料!$B259)&gt;$N$3),0,1))</f>
        <v>1</v>
      </c>
      <c r="P1459">
        <f>IF(AND($K1459=1,AND(对接源_02物料!$X259="公司筐",N(对接源_02物料!$T259)&lt;&gt;0)),1,0)</f>
        <v>0</v>
      </c>
      <c r="Q1459">
        <f>N(Q1458)+$P1459</f>
        <v>14</v>
      </c>
      <c r="R1459">
        <f>IF(AND($K1459=1,AND(对接源_02物料!$X259="公司筐",N(对接源_02物料!$U259)&lt;&gt;0)),1,0)</f>
        <v>0</v>
      </c>
      <c r="S1459">
        <f>N(S1458)+$R1459</f>
        <v>1</v>
      </c>
      <c r="T1459">
        <f>IF(AND($K1459=1,AND(对接源_02物料!$X259="公司筐",N(对接源_02物料!$V259)&lt;&gt;0)),1,0)</f>
        <v>0</v>
      </c>
      <c r="U1459">
        <f>N(U1458)+$T1459</f>
        <v>47</v>
      </c>
      <c r="V1459">
        <f>IF(AND($L1459=1,AND(对接源_02物料!$X259="自备筐",N(对接源_02物料!$V259)&lt;&gt;0)),1,0)</f>
        <v>0</v>
      </c>
      <c r="W1459">
        <f>N(W1458)+$V1459</f>
        <v>11</v>
      </c>
      <c r="X1459">
        <f>IF(AND($L1459=1,AND(对接源_02物料!$X259="自备筐",N(对接源_02物料!$T259)&lt;&gt;0)),1,0)</f>
        <v>0</v>
      </c>
      <c r="Y1459">
        <f>N(Y1458)+$X1459</f>
        <v>0</v>
      </c>
      <c r="Z1459">
        <f>IF(AND($M1459=1,对接源_02物料!$D259="原料入库"),1,0)</f>
        <v>0</v>
      </c>
      <c r="AA1459">
        <f>N(AA1458)+$Z1459</f>
        <v>24</v>
      </c>
      <c r="AB1459">
        <f>IF(AND($M1459=1,LEFT(对接源_02物料!$D259,4)="原料出库"),1,0)</f>
        <v>0</v>
      </c>
      <c r="AC1459">
        <f>N(AC1458)+$AB1459</f>
        <v>0</v>
      </c>
      <c r="AD1459">
        <f>IF(AND($M1459=1,LEFT(对接源_02物料!$D259,4)="成品出库"),1,0)</f>
        <v>0</v>
      </c>
      <c r="AE1459">
        <f>N(AE1458)+$AD1459</f>
        <v>0</v>
      </c>
      <c r="AF1459">
        <f>IF(AND($N1459=1,AND(LEFT(对接源_02物料!$D259,4)="包装物料",N(对接源_02物料!$K259)&lt;&gt;0)),1,0)</f>
        <v>0</v>
      </c>
      <c r="AG1459">
        <f>N(AG1458)+$AF1459</f>
        <v>10</v>
      </c>
      <c r="AH1459">
        <f>IF(AND($N1459=1,AND(对接源_02物料!$D259="周转筐－销售出库",N(对接源_02物料!$K259)&lt;&gt;0)),1,0)</f>
        <v>0</v>
      </c>
      <c r="AI1459">
        <f>N(AI1458)+$AH1459</f>
        <v>0</v>
      </c>
      <c r="AL1459" t="n">
        <v>0</v>
      </c>
      <c r="AM1459">
        <f>N(AM1458)+$AL1459</f>
        <v>2</v>
      </c>
      <c r="AN1459">
        <f>""</f>
      </c>
      <c r="AO1459" t="n">
        <v>0</v>
      </c>
      <c r="AP1459">
        <f>N(AP1458)+$AO1459</f>
        <v>13</v>
      </c>
      <c r="AR1459">
        <f>IF(OR($AF1459=1,$AH1459=1),1,0)</f>
        <v>0</v>
      </c>
      <c r="AS1459">
        <f>N(AS1458)+$AR1459</f>
        <v>10</v>
      </c>
    </row>
    <row r="1460" s="127">
      <c r="A1460" t="str">
        <f>IF(对接源_02物料!$C260="","",对接源_02物料!$C260)</f>
        <v>王照雪</v>
      </c>
      <c r="B1460">
        <f>IF(A1460="",0,IF(MATCH(A1460,$A$4:$A$2403,0)=ROW()-3,1,0))</f>
        <v>0</v>
      </c>
      <c r="C1460">
        <f>N(C1459)+B1460</f>
        <v>26</v>
      </c>
      <c r="K1460">
        <f>IF(OR($K$1="",对接源_02物料!$C260="",对接源_02物料!$C260&lt;&gt;$K$1,对接源_02物料!$B260=""),0,IF(OR(N(对接源_02物料!$B260)&lt;$K$2,N(对接源_02物料!$B260)&gt;$K$3),0,1))</f>
        <v>0</v>
      </c>
      <c r="L1460">
        <f>IF(OR($L$1="",对接源_02物料!$C260="",对接源_02物料!$C260&lt;&gt;$L$1,对接源_02物料!$B260=""),0,IF(OR(N(对接源_02物料!$B260)&lt;$L$2,N(对接源_02物料!$B260)&gt;$L$3),0,1))</f>
        <v>0</v>
      </c>
      <c r="M1460">
        <f>IF(OR($M$1="",对接源_02物料!$C260="",对接源_02物料!$C260&lt;&gt;$M$1,对接源_02物料!$B260=""),0,IF(OR(N(对接源_02物料!$B260)&lt;$M$2,N(对接源_02物料!$B260)&gt;$M$3),0,1))</f>
        <v>0</v>
      </c>
      <c r="N1460">
        <f>IF(OR($N$1="",对接源_02物料!$C260="",对接源_02物料!$C260&lt;&gt;$N$1,对接源_02物料!$B260=""),0,IF(OR(N(对接源_02物料!$B260)&lt;$N$2,N(对接源_02物料!$B260)&gt;$N$3),0,1))</f>
        <v>0</v>
      </c>
      <c r="P1460">
        <f>IF(AND($K1460=1,AND(对接源_02物料!$X260="公司筐",N(对接源_02物料!$T260)&lt;&gt;0)),1,0)</f>
        <v>0</v>
      </c>
      <c r="Q1460">
        <f>N(Q1459)+$P1460</f>
        <v>14</v>
      </c>
      <c r="R1460">
        <f>IF(AND($K1460=1,AND(对接源_02物料!$X260="公司筐",N(对接源_02物料!$U260)&lt;&gt;0)),1,0)</f>
        <v>0</v>
      </c>
      <c r="S1460">
        <f>N(S1459)+$R1460</f>
        <v>1</v>
      </c>
      <c r="T1460">
        <f>IF(AND($K1460=1,AND(对接源_02物料!$X260="公司筐",N(对接源_02物料!$V260)&lt;&gt;0)),1,0)</f>
        <v>0</v>
      </c>
      <c r="U1460">
        <f>N(U1459)+$T1460</f>
        <v>47</v>
      </c>
      <c r="V1460">
        <f>IF(AND($L1460=1,AND(对接源_02物料!$X260="自备筐",N(对接源_02物料!$V260)&lt;&gt;0)),1,0)</f>
        <v>0</v>
      </c>
      <c r="W1460">
        <f>N(W1459)+$V1460</f>
        <v>11</v>
      </c>
      <c r="X1460">
        <f>IF(AND($L1460=1,AND(对接源_02物料!$X260="自备筐",N(对接源_02物料!$T260)&lt;&gt;0)),1,0)</f>
        <v>0</v>
      </c>
      <c r="Y1460">
        <f>N(Y1459)+$X1460</f>
        <v>0</v>
      </c>
      <c r="Z1460">
        <f>IF(AND($M1460=1,对接源_02物料!$D260="原料入库"),1,0)</f>
        <v>0</v>
      </c>
      <c r="AA1460">
        <f>N(AA1459)+$Z1460</f>
        <v>24</v>
      </c>
      <c r="AB1460">
        <f>IF(AND($M1460=1,LEFT(对接源_02物料!$D260,4)="原料出库"),1,0)</f>
        <v>0</v>
      </c>
      <c r="AC1460">
        <f>N(AC1459)+$AB1460</f>
        <v>0</v>
      </c>
      <c r="AD1460">
        <f>IF(AND($M1460=1,LEFT(对接源_02物料!$D260,4)="成品出库"),1,0)</f>
        <v>0</v>
      </c>
      <c r="AE1460">
        <f>N(AE1459)+$AD1460</f>
        <v>0</v>
      </c>
      <c r="AF1460">
        <f>IF(AND($N1460=1,AND(LEFT(对接源_02物料!$D260,4)="包装物料",N(对接源_02物料!$K260)&lt;&gt;0)),1,0)</f>
        <v>0</v>
      </c>
      <c r="AG1460">
        <f>N(AG1459)+$AF1460</f>
        <v>10</v>
      </c>
      <c r="AH1460">
        <f>IF(AND($N1460=1,AND(对接源_02物料!$D260="周转筐－销售出库",N(对接源_02物料!$K260)&lt;&gt;0)),1,0)</f>
        <v>0</v>
      </c>
      <c r="AI1460">
        <f>N(AI1459)+$AH1460</f>
        <v>0</v>
      </c>
      <c r="AL1460" t="n">
        <v>0</v>
      </c>
      <c r="AM1460">
        <f>N(AM1459)+$AL1460</f>
        <v>2</v>
      </c>
      <c r="AN1460">
        <f>""</f>
      </c>
      <c r="AO1460" t="n">
        <v>0</v>
      </c>
      <c r="AP1460">
        <f>N(AP1459)+$AO1460</f>
        <v>13</v>
      </c>
      <c r="AR1460">
        <f>IF(OR($AF1460=1,$AH1460=1),1,0)</f>
        <v>0</v>
      </c>
      <c r="AS1460">
        <f>N(AS1459)+$AR1460</f>
        <v>10</v>
      </c>
    </row>
    <row r="1461" s="127">
      <c r="A1461" t="str">
        <f>IF(对接源_02物料!$C261="","",对接源_02物料!$C261)</f>
        <v>王照雪</v>
      </c>
      <c r="B1461">
        <f>IF(A1461="",0,IF(MATCH(A1461,$A$4:$A$2403,0)=ROW()-3,1,0))</f>
        <v>0</v>
      </c>
      <c r="C1461">
        <f>N(C1460)+B1461</f>
        <v>26</v>
      </c>
      <c r="K1461">
        <f>IF(OR($K$1="",对接源_02物料!$C261="",对接源_02物料!$C261&lt;&gt;$K$1,对接源_02物料!$B261=""),0,IF(OR(N(对接源_02物料!$B261)&lt;$K$2,N(对接源_02物料!$B261)&gt;$K$3),0,1))</f>
        <v>0</v>
      </c>
      <c r="L1461">
        <f>IF(OR($L$1="",对接源_02物料!$C261="",对接源_02物料!$C261&lt;&gt;$L$1,对接源_02物料!$B261=""),0,IF(OR(N(对接源_02物料!$B261)&lt;$L$2,N(对接源_02物料!$B261)&gt;$L$3),0,1))</f>
        <v>0</v>
      </c>
      <c r="M1461">
        <f>IF(OR($M$1="",对接源_02物料!$C261="",对接源_02物料!$C261&lt;&gt;$M$1,对接源_02物料!$B261=""),0,IF(OR(N(对接源_02物料!$B261)&lt;$M$2,N(对接源_02物料!$B261)&gt;$M$3),0,1))</f>
        <v>0</v>
      </c>
      <c r="N1461">
        <f>IF(OR($N$1="",对接源_02物料!$C261="",对接源_02物料!$C261&lt;&gt;$N$1,对接源_02物料!$B261=""),0,IF(OR(N(对接源_02物料!$B261)&lt;$N$2,N(对接源_02物料!$B261)&gt;$N$3),0,1))</f>
        <v>0</v>
      </c>
      <c r="P1461">
        <f>IF(AND($K1461=1,AND(对接源_02物料!$X261="公司筐",N(对接源_02物料!$T261)&lt;&gt;0)),1,0)</f>
        <v>0</v>
      </c>
      <c r="Q1461">
        <f>N(Q1460)+$P1461</f>
        <v>14</v>
      </c>
      <c r="R1461">
        <f>IF(AND($K1461=1,AND(对接源_02物料!$X261="公司筐",N(对接源_02物料!$U261)&lt;&gt;0)),1,0)</f>
        <v>0</v>
      </c>
      <c r="S1461">
        <f>N(S1460)+$R1461</f>
        <v>1</v>
      </c>
      <c r="T1461">
        <f>IF(AND($K1461=1,AND(对接源_02物料!$X261="公司筐",N(对接源_02物料!$V261)&lt;&gt;0)),1,0)</f>
        <v>0</v>
      </c>
      <c r="U1461">
        <f>N(U1460)+$T1461</f>
        <v>47</v>
      </c>
      <c r="V1461">
        <f>IF(AND($L1461=1,AND(对接源_02物料!$X261="自备筐",N(对接源_02物料!$V261)&lt;&gt;0)),1,0)</f>
        <v>0</v>
      </c>
      <c r="W1461">
        <f>N(W1460)+$V1461</f>
        <v>11</v>
      </c>
      <c r="X1461">
        <f>IF(AND($L1461=1,AND(对接源_02物料!$X261="自备筐",N(对接源_02物料!$T261)&lt;&gt;0)),1,0)</f>
        <v>0</v>
      </c>
      <c r="Y1461">
        <f>N(Y1460)+$X1461</f>
        <v>0</v>
      </c>
      <c r="Z1461">
        <f>IF(AND($M1461=1,对接源_02物料!$D261="原料入库"),1,0)</f>
        <v>0</v>
      </c>
      <c r="AA1461">
        <f>N(AA1460)+$Z1461</f>
        <v>24</v>
      </c>
      <c r="AB1461">
        <f>IF(AND($M1461=1,LEFT(对接源_02物料!$D261,4)="原料出库"),1,0)</f>
        <v>0</v>
      </c>
      <c r="AC1461">
        <f>N(AC1460)+$AB1461</f>
        <v>0</v>
      </c>
      <c r="AD1461">
        <f>IF(AND($M1461=1,LEFT(对接源_02物料!$D261,4)="成品出库"),1,0)</f>
        <v>0</v>
      </c>
      <c r="AE1461">
        <f>N(AE1460)+$AD1461</f>
        <v>0</v>
      </c>
      <c r="AF1461">
        <f>IF(AND($N1461=1,AND(LEFT(对接源_02物料!$D261,4)="包装物料",N(对接源_02物料!$K261)&lt;&gt;0)),1,0)</f>
        <v>0</v>
      </c>
      <c r="AG1461">
        <f>N(AG1460)+$AF1461</f>
        <v>10</v>
      </c>
      <c r="AH1461">
        <f>IF(AND($N1461=1,AND(对接源_02物料!$D261="周转筐－销售出库",N(对接源_02物料!$K261)&lt;&gt;0)),1,0)</f>
        <v>0</v>
      </c>
      <c r="AI1461">
        <f>N(AI1460)+$AH1461</f>
        <v>0</v>
      </c>
      <c r="AL1461" t="n">
        <v>0</v>
      </c>
      <c r="AM1461">
        <f>N(AM1460)+$AL1461</f>
        <v>2</v>
      </c>
      <c r="AN1461">
        <f>""</f>
      </c>
      <c r="AO1461" t="n">
        <v>0</v>
      </c>
      <c r="AP1461">
        <f>N(AP1460)+$AO1461</f>
        <v>13</v>
      </c>
      <c r="AR1461">
        <f>IF(OR($AF1461=1,$AH1461=1),1,0)</f>
        <v>0</v>
      </c>
      <c r="AS1461">
        <f>N(AS1460)+$AR1461</f>
        <v>10</v>
      </c>
    </row>
    <row r="1462" s="127">
      <c r="A1462" t="str">
        <f>IF(对接源_02物料!$C262="","",对接源_02物料!$C262)</f>
        <v>麦麦提</v>
      </c>
      <c r="B1462">
        <f>IF(A1462="",0,IF(MATCH(A1462,$A$4:$A$2403,0)=ROW()-3,1,0))</f>
        <v>0</v>
      </c>
      <c r="C1462">
        <f>N(C1461)+B1462</f>
        <v>26</v>
      </c>
      <c r="K1462">
        <f>IF(OR($K$1="",对接源_02物料!$C262="",对接源_02物料!$C262&lt;&gt;$K$1,对接源_02物料!$B262=""),0,IF(OR(N(对接源_02物料!$B262)&lt;$K$2,N(对接源_02物料!$B262)&gt;$K$3),0,1))</f>
        <v>0</v>
      </c>
      <c r="L1462">
        <f>IF(OR($L$1="",对接源_02物料!$C262="",对接源_02物料!$C262&lt;&gt;$L$1,对接源_02物料!$B262=""),0,IF(OR(N(对接源_02物料!$B262)&lt;$L$2,N(对接源_02物料!$B262)&gt;$L$3),0,1))</f>
        <v>0</v>
      </c>
      <c r="M1462">
        <f>IF(OR($M$1="",对接源_02物料!$C262="",对接源_02物料!$C262&lt;&gt;$M$1,对接源_02物料!$B262=""),0,IF(OR(N(对接源_02物料!$B262)&lt;$M$2,N(对接源_02物料!$B262)&gt;$M$3),0,1))</f>
        <v>0</v>
      </c>
      <c r="N1462">
        <f>IF(OR($N$1="",对接源_02物料!$C262="",对接源_02物料!$C262&lt;&gt;$N$1,对接源_02物料!$B262=""),0,IF(OR(N(对接源_02物料!$B262)&lt;$N$2,N(对接源_02物料!$B262)&gt;$N$3),0,1))</f>
        <v>1</v>
      </c>
      <c r="P1462">
        <f>IF(AND($K1462=1,AND(对接源_02物料!$X262="公司筐",N(对接源_02物料!$T262)&lt;&gt;0)),1,0)</f>
        <v>0</v>
      </c>
      <c r="Q1462">
        <f>N(Q1461)+$P1462</f>
        <v>14</v>
      </c>
      <c r="R1462">
        <f>IF(AND($K1462=1,AND(对接源_02物料!$X262="公司筐",N(对接源_02物料!$U262)&lt;&gt;0)),1,0)</f>
        <v>0</v>
      </c>
      <c r="S1462">
        <f>N(S1461)+$R1462</f>
        <v>1</v>
      </c>
      <c r="T1462">
        <f>IF(AND($K1462=1,AND(对接源_02物料!$X262="公司筐",N(对接源_02物料!$V262)&lt;&gt;0)),1,0)</f>
        <v>0</v>
      </c>
      <c r="U1462">
        <f>N(U1461)+$T1462</f>
        <v>47</v>
      </c>
      <c r="V1462">
        <f>IF(AND($L1462=1,AND(对接源_02物料!$X262="自备筐",N(对接源_02物料!$V262)&lt;&gt;0)),1,0)</f>
        <v>0</v>
      </c>
      <c r="W1462">
        <f>N(W1461)+$V1462</f>
        <v>11</v>
      </c>
      <c r="X1462">
        <f>IF(AND($L1462=1,AND(对接源_02物料!$X262="自备筐",N(对接源_02物料!$T262)&lt;&gt;0)),1,0)</f>
        <v>0</v>
      </c>
      <c r="Y1462">
        <f>N(Y1461)+$X1462</f>
        <v>0</v>
      </c>
      <c r="Z1462">
        <f>IF(AND($M1462=1,对接源_02物料!$D262="原料入库"),1,0)</f>
        <v>0</v>
      </c>
      <c r="AA1462">
        <f>N(AA1461)+$Z1462</f>
        <v>24</v>
      </c>
      <c r="AB1462">
        <f>IF(AND($M1462=1,LEFT(对接源_02物料!$D262,4)="原料出库"),1,0)</f>
        <v>0</v>
      </c>
      <c r="AC1462">
        <f>N(AC1461)+$AB1462</f>
        <v>0</v>
      </c>
      <c r="AD1462">
        <f>IF(AND($M1462=1,LEFT(对接源_02物料!$D262,4)="成品出库"),1,0)</f>
        <v>0</v>
      </c>
      <c r="AE1462">
        <f>N(AE1461)+$AD1462</f>
        <v>0</v>
      </c>
      <c r="AF1462">
        <f>IF(AND($N1462=1,AND(LEFT(对接源_02物料!$D262,4)="包装物料",N(对接源_02物料!$K262)&lt;&gt;0)),1,0)</f>
        <v>0</v>
      </c>
      <c r="AG1462">
        <f>N(AG1461)+$AF1462</f>
        <v>10</v>
      </c>
      <c r="AH1462">
        <f>IF(AND($N1462=1,AND(对接源_02物料!$D262="周转筐－销售出库",N(对接源_02物料!$K262)&lt;&gt;0)),1,0)</f>
        <v>0</v>
      </c>
      <c r="AI1462">
        <f>N(AI1461)+$AH1462</f>
        <v>0</v>
      </c>
      <c r="AL1462" t="n">
        <v>0</v>
      </c>
      <c r="AM1462">
        <f>N(AM1461)+$AL1462</f>
        <v>2</v>
      </c>
      <c r="AN1462">
        <f>""</f>
      </c>
      <c r="AO1462" t="n">
        <v>0</v>
      </c>
      <c r="AP1462">
        <f>N(AP1461)+$AO1462</f>
        <v>13</v>
      </c>
      <c r="AR1462">
        <f>IF(OR($AF1462=1,$AH1462=1),1,0)</f>
        <v>0</v>
      </c>
      <c r="AS1462">
        <f>N(AS1461)+$AR1462</f>
        <v>10</v>
      </c>
    </row>
    <row r="1463" s="127">
      <c r="A1463" t="str">
        <f>IF(对接源_02物料!$C263="","",对接源_02物料!$C263)</f>
        <v>王灵云</v>
      </c>
      <c r="B1463">
        <f>IF(A1463="",0,IF(MATCH(A1463,$A$4:$A$2403,0)=ROW()-3,1,0))</f>
        <v>0</v>
      </c>
      <c r="C1463">
        <f>N(C1462)+B1463</f>
        <v>26</v>
      </c>
      <c r="K1463">
        <f>IF(OR($K$1="",对接源_02物料!$C263="",对接源_02物料!$C263&lt;&gt;$K$1,对接源_02物料!$B263=""),0,IF(OR(N(对接源_02物料!$B263)&lt;$K$2,N(对接源_02物料!$B263)&gt;$K$3),0,1))</f>
        <v>1</v>
      </c>
      <c r="L1463">
        <f>IF(OR($L$1="",对接源_02物料!$C263="",对接源_02物料!$C263&lt;&gt;$L$1,对接源_02物料!$B263=""),0,IF(OR(N(对接源_02物料!$B263)&lt;$L$2,N(对接源_02物料!$B263)&gt;$L$3),0,1))</f>
        <v>0</v>
      </c>
      <c r="M1463">
        <f>IF(OR($M$1="",对接源_02物料!$C263="",对接源_02物料!$C263&lt;&gt;$M$1,对接源_02物料!$B263=""),0,IF(OR(N(对接源_02物料!$B263)&lt;$M$2,N(对接源_02物料!$B263)&gt;$M$3),0,1))</f>
        <v>0</v>
      </c>
      <c r="N1463">
        <f>IF(OR($N$1="",对接源_02物料!$C263="",对接源_02物料!$C263&lt;&gt;$N$1,对接源_02物料!$B263=""),0,IF(OR(N(对接源_02物料!$B263)&lt;$N$2,N(对接源_02物料!$B263)&gt;$N$3),0,1))</f>
        <v>0</v>
      </c>
      <c r="P1463">
        <f>IF(AND($K1463=1,AND(对接源_02物料!$X263="公司筐",N(对接源_02物料!$T263)&lt;&gt;0)),1,0)</f>
        <v>0</v>
      </c>
      <c r="Q1463">
        <f>N(Q1462)+$P1463</f>
        <v>14</v>
      </c>
      <c r="R1463">
        <f>IF(AND($K1463=1,AND(对接源_02物料!$X263="公司筐",N(对接源_02物料!$U263)&lt;&gt;0)),1,0)</f>
        <v>0</v>
      </c>
      <c r="S1463">
        <f>N(S1462)+$R1463</f>
        <v>1</v>
      </c>
      <c r="T1463">
        <f>IF(AND($K1463=1,AND(对接源_02物料!$X263="公司筐",N(对接源_02物料!$V263)&lt;&gt;0)),1,0)</f>
        <v>0</v>
      </c>
      <c r="U1463">
        <f>N(U1462)+$T1463</f>
        <v>47</v>
      </c>
      <c r="V1463">
        <f>IF(AND($L1463=1,AND(对接源_02物料!$X263="自备筐",N(对接源_02物料!$V263)&lt;&gt;0)),1,0)</f>
        <v>0</v>
      </c>
      <c r="W1463">
        <f>N(W1462)+$V1463</f>
        <v>11</v>
      </c>
      <c r="X1463">
        <f>IF(AND($L1463=1,AND(对接源_02物料!$X263="自备筐",N(对接源_02物料!$T263)&lt;&gt;0)),1,0)</f>
        <v>0</v>
      </c>
      <c r="Y1463">
        <f>N(Y1462)+$X1463</f>
        <v>0</v>
      </c>
      <c r="Z1463">
        <f>IF(AND($M1463=1,对接源_02物料!$D263="原料入库"),1,0)</f>
        <v>0</v>
      </c>
      <c r="AA1463">
        <f>N(AA1462)+$Z1463</f>
        <v>24</v>
      </c>
      <c r="AB1463">
        <f>IF(AND($M1463=1,LEFT(对接源_02物料!$D263,4)="原料出库"),1,0)</f>
        <v>0</v>
      </c>
      <c r="AC1463">
        <f>N(AC1462)+$AB1463</f>
        <v>0</v>
      </c>
      <c r="AD1463">
        <f>IF(AND($M1463=1,LEFT(对接源_02物料!$D263,4)="成品出库"),1,0)</f>
        <v>0</v>
      </c>
      <c r="AE1463">
        <f>N(AE1462)+$AD1463</f>
        <v>0</v>
      </c>
      <c r="AF1463">
        <f>IF(AND($N1463=1,AND(LEFT(对接源_02物料!$D263,4)="包装物料",N(对接源_02物料!$K263)&lt;&gt;0)),1,0)</f>
        <v>0</v>
      </c>
      <c r="AG1463">
        <f>N(AG1462)+$AF1463</f>
        <v>10</v>
      </c>
      <c r="AH1463">
        <f>IF(AND($N1463=1,AND(对接源_02物料!$D263="周转筐－销售出库",N(对接源_02物料!$K263)&lt;&gt;0)),1,0)</f>
        <v>0</v>
      </c>
      <c r="AI1463">
        <f>N(AI1462)+$AH1463</f>
        <v>0</v>
      </c>
      <c r="AL1463" t="n">
        <v>0</v>
      </c>
      <c r="AM1463">
        <f>N(AM1462)+$AL1463</f>
        <v>2</v>
      </c>
      <c r="AN1463">
        <f>""</f>
      </c>
      <c r="AO1463" t="n">
        <v>0</v>
      </c>
      <c r="AP1463">
        <f>N(AP1462)+$AO1463</f>
        <v>13</v>
      </c>
      <c r="AR1463">
        <f>IF(OR($AF1463=1,$AH1463=1),1,0)</f>
        <v>0</v>
      </c>
      <c r="AS1463">
        <f>N(AS1462)+$AR1463</f>
        <v>10</v>
      </c>
    </row>
    <row r="1464" s="127">
      <c r="A1464" t="str">
        <f>IF(对接源_02物料!$C264="","",对接源_02物料!$C264)</f>
        <v>麦麦提</v>
      </c>
      <c r="B1464">
        <f>IF(A1464="",0,IF(MATCH(A1464,$A$4:$A$2403,0)=ROW()-3,1,0))</f>
        <v>0</v>
      </c>
      <c r="C1464">
        <f>N(C1463)+B1464</f>
        <v>26</v>
      </c>
      <c r="K1464">
        <f>IF(OR($K$1="",对接源_02物料!$C264="",对接源_02物料!$C264&lt;&gt;$K$1,对接源_02物料!$B264=""),0,IF(OR(N(对接源_02物料!$B264)&lt;$K$2,N(对接源_02物料!$B264)&gt;$K$3),0,1))</f>
        <v>0</v>
      </c>
      <c r="L1464">
        <f>IF(OR($L$1="",对接源_02物料!$C264="",对接源_02物料!$C264&lt;&gt;$L$1,对接源_02物料!$B264=""),0,IF(OR(N(对接源_02物料!$B264)&lt;$L$2,N(对接源_02物料!$B264)&gt;$L$3),0,1))</f>
        <v>0</v>
      </c>
      <c r="M1464">
        <f>IF(OR($M$1="",对接源_02物料!$C264="",对接源_02物料!$C264&lt;&gt;$M$1,对接源_02物料!$B264=""),0,IF(OR(N(对接源_02物料!$B264)&lt;$M$2,N(对接源_02物料!$B264)&gt;$M$3),0,1))</f>
        <v>0</v>
      </c>
      <c r="N1464">
        <f>IF(OR($N$1="",对接源_02物料!$C264="",对接源_02物料!$C264&lt;&gt;$N$1,对接源_02物料!$B264=""),0,IF(OR(N(对接源_02物料!$B264)&lt;$N$2,N(对接源_02物料!$B264)&gt;$N$3),0,1))</f>
        <v>1</v>
      </c>
      <c r="P1464">
        <f>IF(AND($K1464=1,AND(对接源_02物料!$X264="公司筐",N(对接源_02物料!$T264)&lt;&gt;0)),1,0)</f>
        <v>0</v>
      </c>
      <c r="Q1464">
        <f>N(Q1463)+$P1464</f>
        <v>14</v>
      </c>
      <c r="R1464">
        <f>IF(AND($K1464=1,AND(对接源_02物料!$X264="公司筐",N(对接源_02物料!$U264)&lt;&gt;0)),1,0)</f>
        <v>0</v>
      </c>
      <c r="S1464">
        <f>N(S1463)+$R1464</f>
        <v>1</v>
      </c>
      <c r="T1464">
        <f>IF(AND($K1464=1,AND(对接源_02物料!$X264="公司筐",N(对接源_02物料!$V264)&lt;&gt;0)),1,0)</f>
        <v>0</v>
      </c>
      <c r="U1464">
        <f>N(U1463)+$T1464</f>
        <v>47</v>
      </c>
      <c r="V1464">
        <f>IF(AND($L1464=1,AND(对接源_02物料!$X264="自备筐",N(对接源_02物料!$V264)&lt;&gt;0)),1,0)</f>
        <v>0</v>
      </c>
      <c r="W1464">
        <f>N(W1463)+$V1464</f>
        <v>11</v>
      </c>
      <c r="X1464">
        <f>IF(AND($L1464=1,AND(对接源_02物料!$X264="自备筐",N(对接源_02物料!$T264)&lt;&gt;0)),1,0)</f>
        <v>0</v>
      </c>
      <c r="Y1464">
        <f>N(Y1463)+$X1464</f>
        <v>0</v>
      </c>
      <c r="Z1464">
        <f>IF(AND($M1464=1,对接源_02物料!$D264="原料入库"),1,0)</f>
        <v>0</v>
      </c>
      <c r="AA1464">
        <f>N(AA1463)+$Z1464</f>
        <v>24</v>
      </c>
      <c r="AB1464">
        <f>IF(AND($M1464=1,LEFT(对接源_02物料!$D264,4)="原料出库"),1,0)</f>
        <v>0</v>
      </c>
      <c r="AC1464">
        <f>N(AC1463)+$AB1464</f>
        <v>0</v>
      </c>
      <c r="AD1464">
        <f>IF(AND($M1464=1,LEFT(对接源_02物料!$D264,4)="成品出库"),1,0)</f>
        <v>0</v>
      </c>
      <c r="AE1464">
        <f>N(AE1463)+$AD1464</f>
        <v>0</v>
      </c>
      <c r="AF1464">
        <f>IF(AND($N1464=1,AND(LEFT(对接源_02物料!$D264,4)="包装物料",N(对接源_02物料!$K264)&lt;&gt;0)),1,0)</f>
        <v>0</v>
      </c>
      <c r="AG1464">
        <f>N(AG1463)+$AF1464</f>
        <v>10</v>
      </c>
      <c r="AH1464">
        <f>IF(AND($N1464=1,AND(对接源_02物料!$D264="周转筐－销售出库",N(对接源_02物料!$K264)&lt;&gt;0)),1,0)</f>
        <v>0</v>
      </c>
      <c r="AI1464">
        <f>N(AI1463)+$AH1464</f>
        <v>0</v>
      </c>
      <c r="AL1464" t="n">
        <v>0</v>
      </c>
      <c r="AM1464">
        <f>N(AM1463)+$AL1464</f>
        <v>2</v>
      </c>
      <c r="AN1464">
        <f>""</f>
      </c>
      <c r="AO1464" t="n">
        <v>0</v>
      </c>
      <c r="AP1464">
        <f>N(AP1463)+$AO1464</f>
        <v>13</v>
      </c>
      <c r="AR1464">
        <f>IF(OR($AF1464=1,$AH1464=1),1,0)</f>
        <v>0</v>
      </c>
      <c r="AS1464">
        <f>N(AS1463)+$AR1464</f>
        <v>10</v>
      </c>
    </row>
    <row r="1465" s="127">
      <c r="A1465" t="str">
        <f>IF(对接源_02物料!$C265="","",对接源_02物料!$C265)</f>
        <v>王照雪</v>
      </c>
      <c r="B1465">
        <f>IF(A1465="",0,IF(MATCH(A1465,$A$4:$A$2403,0)=ROW()-3,1,0))</f>
        <v>0</v>
      </c>
      <c r="C1465">
        <f>N(C1464)+B1465</f>
        <v>26</v>
      </c>
      <c r="K1465">
        <f>IF(OR($K$1="",对接源_02物料!$C265="",对接源_02物料!$C265&lt;&gt;$K$1,对接源_02物料!$B265=""),0,IF(OR(N(对接源_02物料!$B265)&lt;$K$2,N(对接源_02物料!$B265)&gt;$K$3),0,1))</f>
        <v>0</v>
      </c>
      <c r="L1465">
        <f>IF(OR($L$1="",对接源_02物料!$C265="",对接源_02物料!$C265&lt;&gt;$L$1,对接源_02物料!$B265=""),0,IF(OR(N(对接源_02物料!$B265)&lt;$L$2,N(对接源_02物料!$B265)&gt;$L$3),0,1))</f>
        <v>0</v>
      </c>
      <c r="M1465">
        <f>IF(OR($M$1="",对接源_02物料!$C265="",对接源_02物料!$C265&lt;&gt;$M$1,对接源_02物料!$B265=""),0,IF(OR(N(对接源_02物料!$B265)&lt;$M$2,N(对接源_02物料!$B265)&gt;$M$3),0,1))</f>
        <v>0</v>
      </c>
      <c r="N1465">
        <f>IF(OR($N$1="",对接源_02物料!$C265="",对接源_02物料!$C265&lt;&gt;$N$1,对接源_02物料!$B265=""),0,IF(OR(N(对接源_02物料!$B265)&lt;$N$2,N(对接源_02物料!$B265)&gt;$N$3),0,1))</f>
        <v>0</v>
      </c>
      <c r="P1465">
        <f>IF(AND($K1465=1,AND(对接源_02物料!$X265="公司筐",N(对接源_02物料!$T265)&lt;&gt;0)),1,0)</f>
        <v>0</v>
      </c>
      <c r="Q1465">
        <f>N(Q1464)+$P1465</f>
        <v>14</v>
      </c>
      <c r="R1465">
        <f>IF(AND($K1465=1,AND(对接源_02物料!$X265="公司筐",N(对接源_02物料!$U265)&lt;&gt;0)),1,0)</f>
        <v>0</v>
      </c>
      <c r="S1465">
        <f>N(S1464)+$R1465</f>
        <v>1</v>
      </c>
      <c r="T1465">
        <f>IF(AND($K1465=1,AND(对接源_02物料!$X265="公司筐",N(对接源_02物料!$V265)&lt;&gt;0)),1,0)</f>
        <v>0</v>
      </c>
      <c r="U1465">
        <f>N(U1464)+$T1465</f>
        <v>47</v>
      </c>
      <c r="V1465">
        <f>IF(AND($L1465=1,AND(对接源_02物料!$X265="自备筐",N(对接源_02物料!$V265)&lt;&gt;0)),1,0)</f>
        <v>0</v>
      </c>
      <c r="W1465">
        <f>N(W1464)+$V1465</f>
        <v>11</v>
      </c>
      <c r="X1465">
        <f>IF(AND($L1465=1,AND(对接源_02物料!$X265="自备筐",N(对接源_02物料!$T265)&lt;&gt;0)),1,0)</f>
        <v>0</v>
      </c>
      <c r="Y1465">
        <f>N(Y1464)+$X1465</f>
        <v>0</v>
      </c>
      <c r="Z1465">
        <f>IF(AND($M1465=1,对接源_02物料!$D265="原料入库"),1,0)</f>
        <v>0</v>
      </c>
      <c r="AA1465">
        <f>N(AA1464)+$Z1465</f>
        <v>24</v>
      </c>
      <c r="AB1465">
        <f>IF(AND($M1465=1,LEFT(对接源_02物料!$D265,4)="原料出库"),1,0)</f>
        <v>0</v>
      </c>
      <c r="AC1465">
        <f>N(AC1464)+$AB1465</f>
        <v>0</v>
      </c>
      <c r="AD1465">
        <f>IF(AND($M1465=1,LEFT(对接源_02物料!$D265,4)="成品出库"),1,0)</f>
        <v>0</v>
      </c>
      <c r="AE1465">
        <f>N(AE1464)+$AD1465</f>
        <v>0</v>
      </c>
      <c r="AF1465">
        <f>IF(AND($N1465=1,AND(LEFT(对接源_02物料!$D265,4)="包装物料",N(对接源_02物料!$K265)&lt;&gt;0)),1,0)</f>
        <v>0</v>
      </c>
      <c r="AG1465">
        <f>N(AG1464)+$AF1465</f>
        <v>10</v>
      </c>
      <c r="AH1465">
        <f>IF(AND($N1465=1,AND(对接源_02物料!$D265="周转筐－销售出库",N(对接源_02物料!$K265)&lt;&gt;0)),1,0)</f>
        <v>0</v>
      </c>
      <c r="AI1465">
        <f>N(AI1464)+$AH1465</f>
        <v>0</v>
      </c>
      <c r="AL1465" t="n">
        <v>0</v>
      </c>
      <c r="AM1465">
        <f>N(AM1464)+$AL1465</f>
        <v>2</v>
      </c>
      <c r="AN1465">
        <f>""</f>
      </c>
      <c r="AO1465" t="n">
        <v>0</v>
      </c>
      <c r="AP1465">
        <f>N(AP1464)+$AO1465</f>
        <v>13</v>
      </c>
      <c r="AR1465">
        <f>IF(OR($AF1465=1,$AH1465=1),1,0)</f>
        <v>0</v>
      </c>
      <c r="AS1465">
        <f>N(AS1464)+$AR1465</f>
        <v>10</v>
      </c>
    </row>
    <row r="1466" s="127">
      <c r="A1466" t="str">
        <f>IF(对接源_02物料!$C266="","",对接源_02物料!$C266)</f>
        <v>王灵云</v>
      </c>
      <c r="B1466">
        <f>IF(A1466="",0,IF(MATCH(A1466,$A$4:$A$2403,0)=ROW()-3,1,0))</f>
        <v>0</v>
      </c>
      <c r="C1466">
        <f>N(C1465)+B1466</f>
        <v>26</v>
      </c>
      <c r="K1466">
        <f>IF(OR($K$1="",对接源_02物料!$C266="",对接源_02物料!$C266&lt;&gt;$K$1,对接源_02物料!$B266=""),0,IF(OR(N(对接源_02物料!$B266)&lt;$K$2,N(对接源_02物料!$B266)&gt;$K$3),0,1))</f>
        <v>1</v>
      </c>
      <c r="L1466">
        <f>IF(OR($L$1="",对接源_02物料!$C266="",对接源_02物料!$C266&lt;&gt;$L$1,对接源_02物料!$B266=""),0,IF(OR(N(对接源_02物料!$B266)&lt;$L$2,N(对接源_02物料!$B266)&gt;$L$3),0,1))</f>
        <v>0</v>
      </c>
      <c r="M1466">
        <f>IF(OR($M$1="",对接源_02物料!$C266="",对接源_02物料!$C266&lt;&gt;$M$1,对接源_02物料!$B266=""),0,IF(OR(N(对接源_02物料!$B266)&lt;$M$2,N(对接源_02物料!$B266)&gt;$M$3),0,1))</f>
        <v>0</v>
      </c>
      <c r="N1466">
        <f>IF(OR($N$1="",对接源_02物料!$C266="",对接源_02物料!$C266&lt;&gt;$N$1,对接源_02物料!$B266=""),0,IF(OR(N(对接源_02物料!$B266)&lt;$N$2,N(对接源_02物料!$B266)&gt;$N$3),0,1))</f>
        <v>0</v>
      </c>
      <c r="P1466">
        <f>IF(AND($K1466=1,AND(对接源_02物料!$X266="公司筐",N(对接源_02物料!$T266)&lt;&gt;0)),1,0)</f>
        <v>0</v>
      </c>
      <c r="Q1466">
        <f>N(Q1465)+$P1466</f>
        <v>14</v>
      </c>
      <c r="R1466">
        <f>IF(AND($K1466=1,AND(对接源_02物料!$X266="公司筐",N(对接源_02物料!$U266)&lt;&gt;0)),1,0)</f>
        <v>0</v>
      </c>
      <c r="S1466">
        <f>N(S1465)+$R1466</f>
        <v>1</v>
      </c>
      <c r="T1466">
        <f>IF(AND($K1466=1,AND(对接源_02物料!$X266="公司筐",N(对接源_02物料!$V266)&lt;&gt;0)),1,0)</f>
        <v>0</v>
      </c>
      <c r="U1466">
        <f>N(U1465)+$T1466</f>
        <v>47</v>
      </c>
      <c r="V1466">
        <f>IF(AND($L1466=1,AND(对接源_02物料!$X266="自备筐",N(对接源_02物料!$V266)&lt;&gt;0)),1,0)</f>
        <v>0</v>
      </c>
      <c r="W1466">
        <f>N(W1465)+$V1466</f>
        <v>11</v>
      </c>
      <c r="X1466">
        <f>IF(AND($L1466=1,AND(对接源_02物料!$X266="自备筐",N(对接源_02物料!$T266)&lt;&gt;0)),1,0)</f>
        <v>0</v>
      </c>
      <c r="Y1466">
        <f>N(Y1465)+$X1466</f>
        <v>0</v>
      </c>
      <c r="Z1466">
        <f>IF(AND($M1466=1,对接源_02物料!$D266="原料入库"),1,0)</f>
        <v>0</v>
      </c>
      <c r="AA1466">
        <f>N(AA1465)+$Z1466</f>
        <v>24</v>
      </c>
      <c r="AB1466">
        <f>IF(AND($M1466=1,LEFT(对接源_02物料!$D266,4)="原料出库"),1,0)</f>
        <v>0</v>
      </c>
      <c r="AC1466">
        <f>N(AC1465)+$AB1466</f>
        <v>0</v>
      </c>
      <c r="AD1466">
        <f>IF(AND($M1466=1,LEFT(对接源_02物料!$D266,4)="成品出库"),1,0)</f>
        <v>0</v>
      </c>
      <c r="AE1466">
        <f>N(AE1465)+$AD1466</f>
        <v>0</v>
      </c>
      <c r="AF1466">
        <f>IF(AND($N1466=1,AND(LEFT(对接源_02物料!$D266,4)="包装物料",N(对接源_02物料!$K266)&lt;&gt;0)),1,0)</f>
        <v>0</v>
      </c>
      <c r="AG1466">
        <f>N(AG1465)+$AF1466</f>
        <v>10</v>
      </c>
      <c r="AH1466">
        <f>IF(AND($N1466=1,AND(对接源_02物料!$D266="周转筐－销售出库",N(对接源_02物料!$K266)&lt;&gt;0)),1,0)</f>
        <v>0</v>
      </c>
      <c r="AI1466">
        <f>N(AI1465)+$AH1466</f>
        <v>0</v>
      </c>
      <c r="AL1466" t="n">
        <v>0</v>
      </c>
      <c r="AM1466">
        <f>N(AM1465)+$AL1466</f>
        <v>2</v>
      </c>
      <c r="AN1466">
        <f>""</f>
      </c>
      <c r="AO1466" t="n">
        <v>0</v>
      </c>
      <c r="AP1466">
        <f>N(AP1465)+$AO1466</f>
        <v>13</v>
      </c>
      <c r="AR1466">
        <f>IF(OR($AF1466=1,$AH1466=1),1,0)</f>
        <v>0</v>
      </c>
      <c r="AS1466">
        <f>N(AS1465)+$AR1466</f>
        <v>10</v>
      </c>
    </row>
    <row r="1467" s="127">
      <c r="A1467" t="str">
        <f>IF(对接源_02物料!$C267="","",对接源_02物料!$C267)</f>
        <v>麦麦提</v>
      </c>
      <c r="B1467">
        <f>IF(A1467="",0,IF(MATCH(A1467,$A$4:$A$2403,0)=ROW()-3,1,0))</f>
        <v>0</v>
      </c>
      <c r="C1467">
        <f>N(C1466)+B1467</f>
        <v>26</v>
      </c>
      <c r="K1467">
        <f>IF(OR($K$1="",对接源_02物料!$C267="",对接源_02物料!$C267&lt;&gt;$K$1,对接源_02物料!$B267=""),0,IF(OR(N(对接源_02物料!$B267)&lt;$K$2,N(对接源_02物料!$B267)&gt;$K$3),0,1))</f>
        <v>0</v>
      </c>
      <c r="L1467">
        <f>IF(OR($L$1="",对接源_02物料!$C267="",对接源_02物料!$C267&lt;&gt;$L$1,对接源_02物料!$B267=""),0,IF(OR(N(对接源_02物料!$B267)&lt;$L$2,N(对接源_02物料!$B267)&gt;$L$3),0,1))</f>
        <v>0</v>
      </c>
      <c r="M1467">
        <f>IF(OR($M$1="",对接源_02物料!$C267="",对接源_02物料!$C267&lt;&gt;$M$1,对接源_02物料!$B267=""),0,IF(OR(N(对接源_02物料!$B267)&lt;$M$2,N(对接源_02物料!$B267)&gt;$M$3),0,1))</f>
        <v>0</v>
      </c>
      <c r="N1467">
        <f>IF(OR($N$1="",对接源_02物料!$C267="",对接源_02物料!$C267&lt;&gt;$N$1,对接源_02物料!$B267=""),0,IF(OR(N(对接源_02物料!$B267)&lt;$N$2,N(对接源_02物料!$B267)&gt;$N$3),0,1))</f>
        <v>1</v>
      </c>
      <c r="P1467">
        <f>IF(AND($K1467=1,AND(对接源_02物料!$X267="公司筐",N(对接源_02物料!$T267)&lt;&gt;0)),1,0)</f>
        <v>0</v>
      </c>
      <c r="Q1467">
        <f>N(Q1466)+$P1467</f>
        <v>14</v>
      </c>
      <c r="R1467">
        <f>IF(AND($K1467=1,AND(对接源_02物料!$X267="公司筐",N(对接源_02物料!$U267)&lt;&gt;0)),1,0)</f>
        <v>0</v>
      </c>
      <c r="S1467">
        <f>N(S1466)+$R1467</f>
        <v>1</v>
      </c>
      <c r="T1467">
        <f>IF(AND($K1467=1,AND(对接源_02物料!$X267="公司筐",N(对接源_02物料!$V267)&lt;&gt;0)),1,0)</f>
        <v>0</v>
      </c>
      <c r="U1467">
        <f>N(U1466)+$T1467</f>
        <v>47</v>
      </c>
      <c r="V1467">
        <f>IF(AND($L1467=1,AND(对接源_02物料!$X267="自备筐",N(对接源_02物料!$V267)&lt;&gt;0)),1,0)</f>
        <v>0</v>
      </c>
      <c r="W1467">
        <f>N(W1466)+$V1467</f>
        <v>11</v>
      </c>
      <c r="X1467">
        <f>IF(AND($L1467=1,AND(对接源_02物料!$X267="自备筐",N(对接源_02物料!$T267)&lt;&gt;0)),1,0)</f>
        <v>0</v>
      </c>
      <c r="Y1467">
        <f>N(Y1466)+$X1467</f>
        <v>0</v>
      </c>
      <c r="Z1467">
        <f>IF(AND($M1467=1,对接源_02物料!$D267="原料入库"),1,0)</f>
        <v>0</v>
      </c>
      <c r="AA1467">
        <f>N(AA1466)+$Z1467</f>
        <v>24</v>
      </c>
      <c r="AB1467">
        <f>IF(AND($M1467=1,LEFT(对接源_02物料!$D267,4)="原料出库"),1,0)</f>
        <v>0</v>
      </c>
      <c r="AC1467">
        <f>N(AC1466)+$AB1467</f>
        <v>0</v>
      </c>
      <c r="AD1467">
        <f>IF(AND($M1467=1,LEFT(对接源_02物料!$D267,4)="成品出库"),1,0)</f>
        <v>0</v>
      </c>
      <c r="AE1467">
        <f>N(AE1466)+$AD1467</f>
        <v>0</v>
      </c>
      <c r="AF1467">
        <f>IF(AND($N1467=1,AND(LEFT(对接源_02物料!$D267,4)="包装物料",N(对接源_02物料!$K267)&lt;&gt;0)),1,0)</f>
        <v>0</v>
      </c>
      <c r="AG1467">
        <f>N(AG1466)+$AF1467</f>
        <v>10</v>
      </c>
      <c r="AH1467">
        <f>IF(AND($N1467=1,AND(对接源_02物料!$D267="周转筐－销售出库",N(对接源_02物料!$K267)&lt;&gt;0)),1,0)</f>
        <v>0</v>
      </c>
      <c r="AI1467">
        <f>N(AI1466)+$AH1467</f>
        <v>0</v>
      </c>
      <c r="AL1467" t="n">
        <v>0</v>
      </c>
      <c r="AM1467">
        <f>N(AM1466)+$AL1467</f>
        <v>2</v>
      </c>
      <c r="AN1467">
        <f>""</f>
      </c>
      <c r="AO1467" t="n">
        <v>0</v>
      </c>
      <c r="AP1467">
        <f>N(AP1466)+$AO1467</f>
        <v>13</v>
      </c>
      <c r="AR1467">
        <f>IF(OR($AF1467=1,$AH1467=1),1,0)</f>
        <v>0</v>
      </c>
      <c r="AS1467">
        <f>N(AS1466)+$AR1467</f>
        <v>10</v>
      </c>
    </row>
    <row r="1468" s="127">
      <c r="A1468" t="str">
        <f>IF(对接源_02物料!$C268="","",对接源_02物料!$C268)</f>
        <v>王浩</v>
      </c>
      <c r="B1468">
        <f>IF(A1468="",0,IF(MATCH(A1468,$A$4:$A$2403,0)=ROW()-3,1,0))</f>
        <v>0</v>
      </c>
      <c r="C1468">
        <f>N(C1467)+B1468</f>
        <v>26</v>
      </c>
      <c r="K1468">
        <f>IF(OR($K$1="",对接源_02物料!$C268="",对接源_02物料!$C268&lt;&gt;$K$1,对接源_02物料!$B268=""),0,IF(OR(N(对接源_02物料!$B268)&lt;$K$2,N(对接源_02物料!$B268)&gt;$K$3),0,1))</f>
        <v>0</v>
      </c>
      <c r="L1468">
        <f>IF(OR($L$1="",对接源_02物料!$C268="",对接源_02物料!$C268&lt;&gt;$L$1,对接源_02物料!$B268=""),0,IF(OR(N(对接源_02物料!$B268)&lt;$L$2,N(对接源_02物料!$B268)&gt;$L$3),0,1))</f>
        <v>0</v>
      </c>
      <c r="M1468">
        <f>IF(OR($M$1="",对接源_02物料!$C268="",对接源_02物料!$C268&lt;&gt;$M$1,对接源_02物料!$B268=""),0,IF(OR(N(对接源_02物料!$B268)&lt;$M$2,N(对接源_02物料!$B268)&gt;$M$3),0,1))</f>
        <v>0</v>
      </c>
      <c r="N1468">
        <f>IF(OR($N$1="",对接源_02物料!$C268="",对接源_02物料!$C268&lt;&gt;$N$1,对接源_02物料!$B268=""),0,IF(OR(N(对接源_02物料!$B268)&lt;$N$2,N(对接源_02物料!$B268)&gt;$N$3),0,1))</f>
        <v>0</v>
      </c>
      <c r="P1468">
        <f>IF(AND($K1468=1,AND(对接源_02物料!$X268="公司筐",N(对接源_02物料!$T268)&lt;&gt;0)),1,0)</f>
        <v>0</v>
      </c>
      <c r="Q1468">
        <f>N(Q1467)+$P1468</f>
        <v>14</v>
      </c>
      <c r="R1468">
        <f>IF(AND($K1468=1,AND(对接源_02物料!$X268="公司筐",N(对接源_02物料!$U268)&lt;&gt;0)),1,0)</f>
        <v>0</v>
      </c>
      <c r="S1468">
        <f>N(S1467)+$R1468</f>
        <v>1</v>
      </c>
      <c r="T1468">
        <f>IF(AND($K1468=1,AND(对接源_02物料!$X268="公司筐",N(对接源_02物料!$V268)&lt;&gt;0)),1,0)</f>
        <v>0</v>
      </c>
      <c r="U1468">
        <f>N(U1467)+$T1468</f>
        <v>47</v>
      </c>
      <c r="V1468">
        <f>IF(AND($L1468=1,AND(对接源_02物料!$X268="自备筐",N(对接源_02物料!$V268)&lt;&gt;0)),1,0)</f>
        <v>0</v>
      </c>
      <c r="W1468">
        <f>N(W1467)+$V1468</f>
        <v>11</v>
      </c>
      <c r="X1468">
        <f>IF(AND($L1468=1,AND(对接源_02物料!$X268="自备筐",N(对接源_02物料!$T268)&lt;&gt;0)),1,0)</f>
        <v>0</v>
      </c>
      <c r="Y1468">
        <f>N(Y1467)+$X1468</f>
        <v>0</v>
      </c>
      <c r="Z1468">
        <f>IF(AND($M1468=1,对接源_02物料!$D268="原料入库"),1,0)</f>
        <v>0</v>
      </c>
      <c r="AA1468">
        <f>N(AA1467)+$Z1468</f>
        <v>24</v>
      </c>
      <c r="AB1468">
        <f>IF(AND($M1468=1,LEFT(对接源_02物料!$D268,4)="原料出库"),1,0)</f>
        <v>0</v>
      </c>
      <c r="AC1468">
        <f>N(AC1467)+$AB1468</f>
        <v>0</v>
      </c>
      <c r="AD1468">
        <f>IF(AND($M1468=1,LEFT(对接源_02物料!$D268,4)="成品出库"),1,0)</f>
        <v>0</v>
      </c>
      <c r="AE1468">
        <f>N(AE1467)+$AD1468</f>
        <v>0</v>
      </c>
      <c r="AF1468">
        <f>IF(AND($N1468=1,AND(LEFT(对接源_02物料!$D268,4)="包装物料",N(对接源_02物料!$K268)&lt;&gt;0)),1,0)</f>
        <v>0</v>
      </c>
      <c r="AG1468">
        <f>N(AG1467)+$AF1468</f>
        <v>10</v>
      </c>
      <c r="AH1468">
        <f>IF(AND($N1468=1,AND(对接源_02物料!$D268="周转筐－销售出库",N(对接源_02物料!$K268)&lt;&gt;0)),1,0)</f>
        <v>0</v>
      </c>
      <c r="AI1468">
        <f>N(AI1467)+$AH1468</f>
        <v>0</v>
      </c>
      <c r="AL1468" t="n">
        <v>0</v>
      </c>
      <c r="AM1468">
        <f>N(AM1467)+$AL1468</f>
        <v>2</v>
      </c>
      <c r="AN1468">
        <f>""</f>
      </c>
      <c r="AO1468" t="n">
        <v>0</v>
      </c>
      <c r="AP1468">
        <f>N(AP1467)+$AO1468</f>
        <v>13</v>
      </c>
      <c r="AR1468">
        <f>IF(OR($AF1468=1,$AH1468=1),1,0)</f>
        <v>0</v>
      </c>
      <c r="AS1468">
        <f>N(AS1467)+$AR1468</f>
        <v>10</v>
      </c>
    </row>
    <row r="1469" s="127">
      <c r="A1469" t="str">
        <f>IF(对接源_02物料!$C269="","",对接源_02物料!$C269)</f>
        <v>王灵云</v>
      </c>
      <c r="B1469">
        <f>IF(A1469="",0,IF(MATCH(A1469,$A$4:$A$2403,0)=ROW()-3,1,0))</f>
        <v>0</v>
      </c>
      <c r="C1469">
        <f>N(C1468)+B1469</f>
        <v>26</v>
      </c>
      <c r="K1469">
        <f>IF(OR($K$1="",对接源_02物料!$C269="",对接源_02物料!$C269&lt;&gt;$K$1,对接源_02物料!$B269=""),0,IF(OR(N(对接源_02物料!$B269)&lt;$K$2,N(对接源_02物料!$B269)&gt;$K$3),0,1))</f>
        <v>1</v>
      </c>
      <c r="L1469">
        <f>IF(OR($L$1="",对接源_02物料!$C269="",对接源_02物料!$C269&lt;&gt;$L$1,对接源_02物料!$B269=""),0,IF(OR(N(对接源_02物料!$B269)&lt;$L$2,N(对接源_02物料!$B269)&gt;$L$3),0,1))</f>
        <v>0</v>
      </c>
      <c r="M1469">
        <f>IF(OR($M$1="",对接源_02物料!$C269="",对接源_02物料!$C269&lt;&gt;$M$1,对接源_02物料!$B269=""),0,IF(OR(N(对接源_02物料!$B269)&lt;$M$2,N(对接源_02物料!$B269)&gt;$M$3),0,1))</f>
        <v>0</v>
      </c>
      <c r="N1469">
        <f>IF(OR($N$1="",对接源_02物料!$C269="",对接源_02物料!$C269&lt;&gt;$N$1,对接源_02物料!$B269=""),0,IF(OR(N(对接源_02物料!$B269)&lt;$N$2,N(对接源_02物料!$B269)&gt;$N$3),0,1))</f>
        <v>0</v>
      </c>
      <c r="P1469">
        <f>IF(AND($K1469=1,AND(对接源_02物料!$X269="公司筐",N(对接源_02物料!$T269)&lt;&gt;0)),1,0)</f>
        <v>0</v>
      </c>
      <c r="Q1469">
        <f>N(Q1468)+$P1469</f>
        <v>14</v>
      </c>
      <c r="R1469">
        <f>IF(AND($K1469=1,AND(对接源_02物料!$X269="公司筐",N(对接源_02物料!$U269)&lt;&gt;0)),1,0)</f>
        <v>0</v>
      </c>
      <c r="S1469">
        <f>N(S1468)+$R1469</f>
        <v>1</v>
      </c>
      <c r="T1469">
        <f>IF(AND($K1469=1,AND(对接源_02物料!$X269="公司筐",N(对接源_02物料!$V269)&lt;&gt;0)),1,0)</f>
        <v>0</v>
      </c>
      <c r="U1469">
        <f>N(U1468)+$T1469</f>
        <v>47</v>
      </c>
      <c r="V1469">
        <f>IF(AND($L1469=1,AND(对接源_02物料!$X269="自备筐",N(对接源_02物料!$V269)&lt;&gt;0)),1,0)</f>
        <v>0</v>
      </c>
      <c r="W1469">
        <f>N(W1468)+$V1469</f>
        <v>11</v>
      </c>
      <c r="X1469">
        <f>IF(AND($L1469=1,AND(对接源_02物料!$X269="自备筐",N(对接源_02物料!$T269)&lt;&gt;0)),1,0)</f>
        <v>0</v>
      </c>
      <c r="Y1469">
        <f>N(Y1468)+$X1469</f>
        <v>0</v>
      </c>
      <c r="Z1469">
        <f>IF(AND($M1469=1,对接源_02物料!$D269="原料入库"),1,0)</f>
        <v>0</v>
      </c>
      <c r="AA1469">
        <f>N(AA1468)+$Z1469</f>
        <v>24</v>
      </c>
      <c r="AB1469">
        <f>IF(AND($M1469=1,LEFT(对接源_02物料!$D269,4)="原料出库"),1,0)</f>
        <v>0</v>
      </c>
      <c r="AC1469">
        <f>N(AC1468)+$AB1469</f>
        <v>0</v>
      </c>
      <c r="AD1469">
        <f>IF(AND($M1469=1,LEFT(对接源_02物料!$D269,4)="成品出库"),1,0)</f>
        <v>0</v>
      </c>
      <c r="AE1469">
        <f>N(AE1468)+$AD1469</f>
        <v>0</v>
      </c>
      <c r="AF1469">
        <f>IF(AND($N1469=1,AND(LEFT(对接源_02物料!$D269,4)="包装物料",N(对接源_02物料!$K269)&lt;&gt;0)),1,0)</f>
        <v>0</v>
      </c>
      <c r="AG1469">
        <f>N(AG1468)+$AF1469</f>
        <v>10</v>
      </c>
      <c r="AH1469">
        <f>IF(AND($N1469=1,AND(对接源_02物料!$D269="周转筐－销售出库",N(对接源_02物料!$K269)&lt;&gt;0)),1,0)</f>
        <v>0</v>
      </c>
      <c r="AI1469">
        <f>N(AI1468)+$AH1469</f>
        <v>0</v>
      </c>
      <c r="AL1469" t="n">
        <v>0</v>
      </c>
      <c r="AM1469">
        <f>N(AM1468)+$AL1469</f>
        <v>2</v>
      </c>
      <c r="AN1469">
        <f>""</f>
      </c>
      <c r="AO1469" t="n">
        <v>0</v>
      </c>
      <c r="AP1469">
        <f>N(AP1468)+$AO1469</f>
        <v>13</v>
      </c>
      <c r="AR1469">
        <f>IF(OR($AF1469=1,$AH1469=1),1,0)</f>
        <v>0</v>
      </c>
      <c r="AS1469">
        <f>N(AS1468)+$AR1469</f>
        <v>10</v>
      </c>
    </row>
    <row r="1470" s="127">
      <c r="A1470" t="str">
        <f>IF(对接源_02物料!$C270="","",对接源_02物料!$C270)</f>
        <v>王灵云</v>
      </c>
      <c r="B1470">
        <f>IF(A1470="",0,IF(MATCH(A1470,$A$4:$A$2403,0)=ROW()-3,1,0))</f>
        <v>0</v>
      </c>
      <c r="C1470">
        <f>N(C1469)+B1470</f>
        <v>26</v>
      </c>
      <c r="K1470">
        <f>IF(OR($K$1="",对接源_02物料!$C270="",对接源_02物料!$C270&lt;&gt;$K$1,对接源_02物料!$B270=""),0,IF(OR(N(对接源_02物料!$B270)&lt;$K$2,N(对接源_02物料!$B270)&gt;$K$3),0,1))</f>
        <v>1</v>
      </c>
      <c r="L1470">
        <f>IF(OR($L$1="",对接源_02物料!$C270="",对接源_02物料!$C270&lt;&gt;$L$1,对接源_02物料!$B270=""),0,IF(OR(N(对接源_02物料!$B270)&lt;$L$2,N(对接源_02物料!$B270)&gt;$L$3),0,1))</f>
        <v>0</v>
      </c>
      <c r="M1470">
        <f>IF(OR($M$1="",对接源_02物料!$C270="",对接源_02物料!$C270&lt;&gt;$M$1,对接源_02物料!$B270=""),0,IF(OR(N(对接源_02物料!$B270)&lt;$M$2,N(对接源_02物料!$B270)&gt;$M$3),0,1))</f>
        <v>0</v>
      </c>
      <c r="N1470">
        <f>IF(OR($N$1="",对接源_02物料!$C270="",对接源_02物料!$C270&lt;&gt;$N$1,对接源_02物料!$B270=""),0,IF(OR(N(对接源_02物料!$B270)&lt;$N$2,N(对接源_02物料!$B270)&gt;$N$3),0,1))</f>
        <v>0</v>
      </c>
      <c r="P1470">
        <f>IF(AND($K1470=1,AND(对接源_02物料!$X270="公司筐",N(对接源_02物料!$T270)&lt;&gt;0)),1,0)</f>
        <v>0</v>
      </c>
      <c r="Q1470">
        <f>N(Q1469)+$P1470</f>
        <v>14</v>
      </c>
      <c r="R1470">
        <f>IF(AND($K1470=1,AND(对接源_02物料!$X270="公司筐",N(对接源_02物料!$U270)&lt;&gt;0)),1,0)</f>
        <v>0</v>
      </c>
      <c r="S1470">
        <f>N(S1469)+$R1470</f>
        <v>1</v>
      </c>
      <c r="T1470">
        <f>IF(AND($K1470=1,AND(对接源_02物料!$X270="公司筐",N(对接源_02物料!$V270)&lt;&gt;0)),1,0)</f>
        <v>0</v>
      </c>
      <c r="U1470">
        <f>N(U1469)+$T1470</f>
        <v>47</v>
      </c>
      <c r="V1470">
        <f>IF(AND($L1470=1,AND(对接源_02物料!$X270="自备筐",N(对接源_02物料!$V270)&lt;&gt;0)),1,0)</f>
        <v>0</v>
      </c>
      <c r="W1470">
        <f>N(W1469)+$V1470</f>
        <v>11</v>
      </c>
      <c r="X1470">
        <f>IF(AND($L1470=1,AND(对接源_02物料!$X270="自备筐",N(对接源_02物料!$T270)&lt;&gt;0)),1,0)</f>
        <v>0</v>
      </c>
      <c r="Y1470">
        <f>N(Y1469)+$X1470</f>
        <v>0</v>
      </c>
      <c r="Z1470">
        <f>IF(AND($M1470=1,对接源_02物料!$D270="原料入库"),1,0)</f>
        <v>0</v>
      </c>
      <c r="AA1470">
        <f>N(AA1469)+$Z1470</f>
        <v>24</v>
      </c>
      <c r="AB1470">
        <f>IF(AND($M1470=1,LEFT(对接源_02物料!$D270,4)="原料出库"),1,0)</f>
        <v>0</v>
      </c>
      <c r="AC1470">
        <f>N(AC1469)+$AB1470</f>
        <v>0</v>
      </c>
      <c r="AD1470">
        <f>IF(AND($M1470=1,LEFT(对接源_02物料!$D270,4)="成品出库"),1,0)</f>
        <v>0</v>
      </c>
      <c r="AE1470">
        <f>N(AE1469)+$AD1470</f>
        <v>0</v>
      </c>
      <c r="AF1470">
        <f>IF(AND($N1470=1,AND(LEFT(对接源_02物料!$D270,4)="包装物料",N(对接源_02物料!$K270)&lt;&gt;0)),1,0)</f>
        <v>0</v>
      </c>
      <c r="AG1470">
        <f>N(AG1469)+$AF1470</f>
        <v>10</v>
      </c>
      <c r="AH1470">
        <f>IF(AND($N1470=1,AND(对接源_02物料!$D270="周转筐－销售出库",N(对接源_02物料!$K270)&lt;&gt;0)),1,0)</f>
        <v>0</v>
      </c>
      <c r="AI1470">
        <f>N(AI1469)+$AH1470</f>
        <v>0</v>
      </c>
      <c r="AL1470" t="n">
        <v>0</v>
      </c>
      <c r="AM1470">
        <f>N(AM1469)+$AL1470</f>
        <v>2</v>
      </c>
      <c r="AN1470">
        <f>""</f>
      </c>
      <c r="AO1470" t="n">
        <v>0</v>
      </c>
      <c r="AP1470">
        <f>N(AP1469)+$AO1470</f>
        <v>13</v>
      </c>
      <c r="AR1470">
        <f>IF(OR($AF1470=1,$AH1470=1),1,0)</f>
        <v>0</v>
      </c>
      <c r="AS1470">
        <f>N(AS1469)+$AR1470</f>
        <v>10</v>
      </c>
    </row>
    <row r="1471" s="127">
      <c r="A1471" t="str">
        <f>IF(对接源_02物料!$C271="","",对接源_02物料!$C271)</f>
        <v>金龙</v>
      </c>
      <c r="B1471">
        <f>IF(A1471="",0,IF(MATCH(A1471,$A$4:$A$2403,0)=ROW()-3,1,0))</f>
        <v>0</v>
      </c>
      <c r="C1471">
        <f>N(C1470)+B1471</f>
        <v>26</v>
      </c>
      <c r="K1471">
        <f>IF(OR($K$1="",对接源_02物料!$C271="",对接源_02物料!$C271&lt;&gt;$K$1,对接源_02物料!$B271=""),0,IF(OR(N(对接源_02物料!$B271)&lt;$K$2,N(对接源_02物料!$B271)&gt;$K$3),0,1))</f>
        <v>0</v>
      </c>
      <c r="L1471">
        <f>IF(OR($L$1="",对接源_02物料!$C271="",对接源_02物料!$C271&lt;&gt;$L$1,对接源_02物料!$B271=""),0,IF(OR(N(对接源_02物料!$B271)&lt;$L$2,N(对接源_02物料!$B271)&gt;$L$3),0,1))</f>
        <v>0</v>
      </c>
      <c r="M1471">
        <f>IF(OR($M$1="",对接源_02物料!$C271="",对接源_02物料!$C271&lt;&gt;$M$1,对接源_02物料!$B271=""),0,IF(OR(N(对接源_02物料!$B271)&lt;$M$2,N(对接源_02物料!$B271)&gt;$M$3),0,1))</f>
        <v>0</v>
      </c>
      <c r="N1471">
        <f>IF(OR($N$1="",对接源_02物料!$C271="",对接源_02物料!$C271&lt;&gt;$N$1,对接源_02物料!$B271=""),0,IF(OR(N(对接源_02物料!$B271)&lt;$N$2,N(对接源_02物料!$B271)&gt;$N$3),0,1))</f>
        <v>0</v>
      </c>
      <c r="P1471">
        <f>IF(AND($K1471=1,AND(对接源_02物料!$X271="公司筐",N(对接源_02物料!$T271)&lt;&gt;0)),1,0)</f>
        <v>0</v>
      </c>
      <c r="Q1471">
        <f>N(Q1470)+$P1471</f>
        <v>14</v>
      </c>
      <c r="R1471">
        <f>IF(AND($K1471=1,AND(对接源_02物料!$X271="公司筐",N(对接源_02物料!$U271)&lt;&gt;0)),1,0)</f>
        <v>0</v>
      </c>
      <c r="S1471">
        <f>N(S1470)+$R1471</f>
        <v>1</v>
      </c>
      <c r="T1471">
        <f>IF(AND($K1471=1,AND(对接源_02物料!$X271="公司筐",N(对接源_02物料!$V271)&lt;&gt;0)),1,0)</f>
        <v>0</v>
      </c>
      <c r="U1471">
        <f>N(U1470)+$T1471</f>
        <v>47</v>
      </c>
      <c r="V1471">
        <f>IF(AND($L1471=1,AND(对接源_02物料!$X271="自备筐",N(对接源_02物料!$V271)&lt;&gt;0)),1,0)</f>
        <v>0</v>
      </c>
      <c r="W1471">
        <f>N(W1470)+$V1471</f>
        <v>11</v>
      </c>
      <c r="X1471">
        <f>IF(AND($L1471=1,AND(对接源_02物料!$X271="自备筐",N(对接源_02物料!$T271)&lt;&gt;0)),1,0)</f>
        <v>0</v>
      </c>
      <c r="Y1471">
        <f>N(Y1470)+$X1471</f>
        <v>0</v>
      </c>
      <c r="Z1471">
        <f>IF(AND($M1471=1,对接源_02物料!$D271="原料入库"),1,0)</f>
        <v>0</v>
      </c>
      <c r="AA1471">
        <f>N(AA1470)+$Z1471</f>
        <v>24</v>
      </c>
      <c r="AB1471">
        <f>IF(AND($M1471=1,LEFT(对接源_02物料!$D271,4)="原料出库"),1,0)</f>
        <v>0</v>
      </c>
      <c r="AC1471">
        <f>N(AC1470)+$AB1471</f>
        <v>0</v>
      </c>
      <c r="AD1471">
        <f>IF(AND($M1471=1,LEFT(对接源_02物料!$D271,4)="成品出库"),1,0)</f>
        <v>0</v>
      </c>
      <c r="AE1471">
        <f>N(AE1470)+$AD1471</f>
        <v>0</v>
      </c>
      <c r="AF1471">
        <f>IF(AND($N1471=1,AND(LEFT(对接源_02物料!$D271,4)="包装物料",N(对接源_02物料!$K271)&lt;&gt;0)),1,0)</f>
        <v>0</v>
      </c>
      <c r="AG1471">
        <f>N(AG1470)+$AF1471</f>
        <v>10</v>
      </c>
      <c r="AH1471">
        <f>IF(AND($N1471=1,AND(对接源_02物料!$D271="周转筐－销售出库",N(对接源_02物料!$K271)&lt;&gt;0)),1,0)</f>
        <v>0</v>
      </c>
      <c r="AI1471">
        <f>N(AI1470)+$AH1471</f>
        <v>0</v>
      </c>
      <c r="AL1471" t="n">
        <v>0</v>
      </c>
      <c r="AM1471">
        <f>N(AM1470)+$AL1471</f>
        <v>2</v>
      </c>
      <c r="AN1471">
        <f>""</f>
      </c>
      <c r="AO1471" t="n">
        <v>0</v>
      </c>
      <c r="AP1471">
        <f>N(AP1470)+$AO1471</f>
        <v>13</v>
      </c>
      <c r="AR1471">
        <f>IF(OR($AF1471=1,$AH1471=1),1,0)</f>
        <v>0</v>
      </c>
      <c r="AS1471">
        <f>N(AS1470)+$AR1471</f>
        <v>10</v>
      </c>
    </row>
    <row r="1472" s="127">
      <c r="A1472" t="str">
        <f>IF(对接源_02物料!$C272="","",对接源_02物料!$C272)</f>
        <v>王照雪</v>
      </c>
      <c r="B1472">
        <f>IF(A1472="",0,IF(MATCH(A1472,$A$4:$A$2403,0)=ROW()-3,1,0))</f>
        <v>0</v>
      </c>
      <c r="C1472">
        <f>N(C1471)+B1472</f>
        <v>26</v>
      </c>
      <c r="K1472">
        <f>IF(OR($K$1="",对接源_02物料!$C272="",对接源_02物料!$C272&lt;&gt;$K$1,对接源_02物料!$B272=""),0,IF(OR(N(对接源_02物料!$B272)&lt;$K$2,N(对接源_02物料!$B272)&gt;$K$3),0,1))</f>
        <v>0</v>
      </c>
      <c r="L1472">
        <f>IF(OR($L$1="",对接源_02物料!$C272="",对接源_02物料!$C272&lt;&gt;$L$1,对接源_02物料!$B272=""),0,IF(OR(N(对接源_02物料!$B272)&lt;$L$2,N(对接源_02物料!$B272)&gt;$L$3),0,1))</f>
        <v>0</v>
      </c>
      <c r="M1472">
        <f>IF(OR($M$1="",对接源_02物料!$C272="",对接源_02物料!$C272&lt;&gt;$M$1,对接源_02物料!$B272=""),0,IF(OR(N(对接源_02物料!$B272)&lt;$M$2,N(对接源_02物料!$B272)&gt;$M$3),0,1))</f>
        <v>0</v>
      </c>
      <c r="N1472">
        <f>IF(OR($N$1="",对接源_02物料!$C272="",对接源_02物料!$C272&lt;&gt;$N$1,对接源_02物料!$B272=""),0,IF(OR(N(对接源_02物料!$B272)&lt;$N$2,N(对接源_02物料!$B272)&gt;$N$3),0,1))</f>
        <v>0</v>
      </c>
      <c r="P1472">
        <f>IF(AND($K1472=1,AND(对接源_02物料!$X272="公司筐",N(对接源_02物料!$T272)&lt;&gt;0)),1,0)</f>
        <v>0</v>
      </c>
      <c r="Q1472">
        <f>N(Q1471)+$P1472</f>
        <v>14</v>
      </c>
      <c r="R1472">
        <f>IF(AND($K1472=1,AND(对接源_02物料!$X272="公司筐",N(对接源_02物料!$U272)&lt;&gt;0)),1,0)</f>
        <v>0</v>
      </c>
      <c r="S1472">
        <f>N(S1471)+$R1472</f>
        <v>1</v>
      </c>
      <c r="T1472">
        <f>IF(AND($K1472=1,AND(对接源_02物料!$X272="公司筐",N(对接源_02物料!$V272)&lt;&gt;0)),1,0)</f>
        <v>0</v>
      </c>
      <c r="U1472">
        <f>N(U1471)+$T1472</f>
        <v>47</v>
      </c>
      <c r="V1472">
        <f>IF(AND($L1472=1,AND(对接源_02物料!$X272="自备筐",N(对接源_02物料!$V272)&lt;&gt;0)),1,0)</f>
        <v>0</v>
      </c>
      <c r="W1472">
        <f>N(W1471)+$V1472</f>
        <v>11</v>
      </c>
      <c r="X1472">
        <f>IF(AND($L1472=1,AND(对接源_02物料!$X272="自备筐",N(对接源_02物料!$T272)&lt;&gt;0)),1,0)</f>
        <v>0</v>
      </c>
      <c r="Y1472">
        <f>N(Y1471)+$X1472</f>
        <v>0</v>
      </c>
      <c r="Z1472">
        <f>IF(AND($M1472=1,对接源_02物料!$D272="原料入库"),1,0)</f>
        <v>0</v>
      </c>
      <c r="AA1472">
        <f>N(AA1471)+$Z1472</f>
        <v>24</v>
      </c>
      <c r="AB1472">
        <f>IF(AND($M1472=1,LEFT(对接源_02物料!$D272,4)="原料出库"),1,0)</f>
        <v>0</v>
      </c>
      <c r="AC1472">
        <f>N(AC1471)+$AB1472</f>
        <v>0</v>
      </c>
      <c r="AD1472">
        <f>IF(AND($M1472=1,LEFT(对接源_02物料!$D272,4)="成品出库"),1,0)</f>
        <v>0</v>
      </c>
      <c r="AE1472">
        <f>N(AE1471)+$AD1472</f>
        <v>0</v>
      </c>
      <c r="AF1472">
        <f>IF(AND($N1472=1,AND(LEFT(对接源_02物料!$D272,4)="包装物料",N(对接源_02物料!$K272)&lt;&gt;0)),1,0)</f>
        <v>0</v>
      </c>
      <c r="AG1472">
        <f>N(AG1471)+$AF1472</f>
        <v>10</v>
      </c>
      <c r="AH1472">
        <f>IF(AND($N1472=1,AND(对接源_02物料!$D272="周转筐－销售出库",N(对接源_02物料!$K272)&lt;&gt;0)),1,0)</f>
        <v>0</v>
      </c>
      <c r="AI1472">
        <f>N(AI1471)+$AH1472</f>
        <v>0</v>
      </c>
      <c r="AL1472" t="n">
        <v>0</v>
      </c>
      <c r="AM1472">
        <f>N(AM1471)+$AL1472</f>
        <v>2</v>
      </c>
      <c r="AN1472">
        <f>""</f>
      </c>
      <c r="AO1472" t="n">
        <v>0</v>
      </c>
      <c r="AP1472">
        <f>N(AP1471)+$AO1472</f>
        <v>13</v>
      </c>
      <c r="AR1472">
        <f>IF(OR($AF1472=1,$AH1472=1),1,0)</f>
        <v>0</v>
      </c>
      <c r="AS1472">
        <f>N(AS1471)+$AR1472</f>
        <v>10</v>
      </c>
    </row>
    <row r="1473" s="127">
      <c r="A1473" t="str">
        <f>IF(对接源_02物料!$C273="","",对接源_02物料!$C273)</f>
        <v>王照雪</v>
      </c>
      <c r="B1473">
        <f>IF(A1473="",0,IF(MATCH(A1473,$A$4:$A$2403,0)=ROW()-3,1,0))</f>
        <v>0</v>
      </c>
      <c r="C1473">
        <f>N(C1472)+B1473</f>
        <v>26</v>
      </c>
      <c r="K1473">
        <f>IF(OR($K$1="",对接源_02物料!$C273="",对接源_02物料!$C273&lt;&gt;$K$1,对接源_02物料!$B273=""),0,IF(OR(N(对接源_02物料!$B273)&lt;$K$2,N(对接源_02物料!$B273)&gt;$K$3),0,1))</f>
        <v>0</v>
      </c>
      <c r="L1473">
        <f>IF(OR($L$1="",对接源_02物料!$C273="",对接源_02物料!$C273&lt;&gt;$L$1,对接源_02物料!$B273=""),0,IF(OR(N(对接源_02物料!$B273)&lt;$L$2,N(对接源_02物料!$B273)&gt;$L$3),0,1))</f>
        <v>0</v>
      </c>
      <c r="M1473">
        <f>IF(OR($M$1="",对接源_02物料!$C273="",对接源_02物料!$C273&lt;&gt;$M$1,对接源_02物料!$B273=""),0,IF(OR(N(对接源_02物料!$B273)&lt;$M$2,N(对接源_02物料!$B273)&gt;$M$3),0,1))</f>
        <v>0</v>
      </c>
      <c r="N1473">
        <f>IF(OR($N$1="",对接源_02物料!$C273="",对接源_02物料!$C273&lt;&gt;$N$1,对接源_02物料!$B273=""),0,IF(OR(N(对接源_02物料!$B273)&lt;$N$2,N(对接源_02物料!$B273)&gt;$N$3),0,1))</f>
        <v>0</v>
      </c>
      <c r="P1473">
        <f>IF(AND($K1473=1,AND(对接源_02物料!$X273="公司筐",N(对接源_02物料!$T273)&lt;&gt;0)),1,0)</f>
        <v>0</v>
      </c>
      <c r="Q1473">
        <f>N(Q1472)+$P1473</f>
        <v>14</v>
      </c>
      <c r="R1473">
        <f>IF(AND($K1473=1,AND(对接源_02物料!$X273="公司筐",N(对接源_02物料!$U273)&lt;&gt;0)),1,0)</f>
        <v>0</v>
      </c>
      <c r="S1473">
        <f>N(S1472)+$R1473</f>
        <v>1</v>
      </c>
      <c r="T1473">
        <f>IF(AND($K1473=1,AND(对接源_02物料!$X273="公司筐",N(对接源_02物料!$V273)&lt;&gt;0)),1,0)</f>
        <v>0</v>
      </c>
      <c r="U1473">
        <f>N(U1472)+$T1473</f>
        <v>47</v>
      </c>
      <c r="V1473">
        <f>IF(AND($L1473=1,AND(对接源_02物料!$X273="自备筐",N(对接源_02物料!$V273)&lt;&gt;0)),1,0)</f>
        <v>0</v>
      </c>
      <c r="W1473">
        <f>N(W1472)+$V1473</f>
        <v>11</v>
      </c>
      <c r="X1473">
        <f>IF(AND($L1473=1,AND(对接源_02物料!$X273="自备筐",N(对接源_02物料!$T273)&lt;&gt;0)),1,0)</f>
        <v>0</v>
      </c>
      <c r="Y1473">
        <f>N(Y1472)+$X1473</f>
        <v>0</v>
      </c>
      <c r="Z1473">
        <f>IF(AND($M1473=1,对接源_02物料!$D273="原料入库"),1,0)</f>
        <v>0</v>
      </c>
      <c r="AA1473">
        <f>N(AA1472)+$Z1473</f>
        <v>24</v>
      </c>
      <c r="AB1473">
        <f>IF(AND($M1473=1,LEFT(对接源_02物料!$D273,4)="原料出库"),1,0)</f>
        <v>0</v>
      </c>
      <c r="AC1473">
        <f>N(AC1472)+$AB1473</f>
        <v>0</v>
      </c>
      <c r="AD1473">
        <f>IF(AND($M1473=1,LEFT(对接源_02物料!$D273,4)="成品出库"),1,0)</f>
        <v>0</v>
      </c>
      <c r="AE1473">
        <f>N(AE1472)+$AD1473</f>
        <v>0</v>
      </c>
      <c r="AF1473">
        <f>IF(AND($N1473=1,AND(LEFT(对接源_02物料!$D273,4)="包装物料",N(对接源_02物料!$K273)&lt;&gt;0)),1,0)</f>
        <v>0</v>
      </c>
      <c r="AG1473">
        <f>N(AG1472)+$AF1473</f>
        <v>10</v>
      </c>
      <c r="AH1473">
        <f>IF(AND($N1473=1,AND(对接源_02物料!$D273="周转筐－销售出库",N(对接源_02物料!$K273)&lt;&gt;0)),1,0)</f>
        <v>0</v>
      </c>
      <c r="AI1473">
        <f>N(AI1472)+$AH1473</f>
        <v>0</v>
      </c>
      <c r="AL1473" t="n">
        <v>0</v>
      </c>
      <c r="AM1473">
        <f>N(AM1472)+$AL1473</f>
        <v>2</v>
      </c>
      <c r="AN1473">
        <f>""</f>
      </c>
      <c r="AO1473" t="n">
        <v>0</v>
      </c>
      <c r="AP1473">
        <f>N(AP1472)+$AO1473</f>
        <v>13</v>
      </c>
      <c r="AR1473">
        <f>IF(OR($AF1473=1,$AH1473=1),1,0)</f>
        <v>0</v>
      </c>
      <c r="AS1473">
        <f>N(AS1472)+$AR1473</f>
        <v>10</v>
      </c>
    </row>
    <row r="1474" s="127">
      <c r="A1474" t="str">
        <f>IF(对接源_02物料!$C274="","",对接源_02物料!$C274)</f>
        <v>王照雪</v>
      </c>
      <c r="B1474">
        <f>IF(A1474="",0,IF(MATCH(A1474,$A$4:$A$2403,0)=ROW()-3,1,0))</f>
        <v>0</v>
      </c>
      <c r="C1474">
        <f>N(C1473)+B1474</f>
        <v>26</v>
      </c>
      <c r="K1474">
        <f>IF(OR($K$1="",对接源_02物料!$C274="",对接源_02物料!$C274&lt;&gt;$K$1,对接源_02物料!$B274=""),0,IF(OR(N(对接源_02物料!$B274)&lt;$K$2,N(对接源_02物料!$B274)&gt;$K$3),0,1))</f>
        <v>0</v>
      </c>
      <c r="L1474">
        <f>IF(OR($L$1="",对接源_02物料!$C274="",对接源_02物料!$C274&lt;&gt;$L$1,对接源_02物料!$B274=""),0,IF(OR(N(对接源_02物料!$B274)&lt;$L$2,N(对接源_02物料!$B274)&gt;$L$3),0,1))</f>
        <v>0</v>
      </c>
      <c r="M1474">
        <f>IF(OR($M$1="",对接源_02物料!$C274="",对接源_02物料!$C274&lt;&gt;$M$1,对接源_02物料!$B274=""),0,IF(OR(N(对接源_02物料!$B274)&lt;$M$2,N(对接源_02物料!$B274)&gt;$M$3),0,1))</f>
        <v>0</v>
      </c>
      <c r="N1474">
        <f>IF(OR($N$1="",对接源_02物料!$C274="",对接源_02物料!$C274&lt;&gt;$N$1,对接源_02物料!$B274=""),0,IF(OR(N(对接源_02物料!$B274)&lt;$N$2,N(对接源_02物料!$B274)&gt;$N$3),0,1))</f>
        <v>0</v>
      </c>
      <c r="P1474">
        <f>IF(AND($K1474=1,AND(对接源_02物料!$X274="公司筐",N(对接源_02物料!$T274)&lt;&gt;0)),1,0)</f>
        <v>0</v>
      </c>
      <c r="Q1474">
        <f>N(Q1473)+$P1474</f>
        <v>14</v>
      </c>
      <c r="R1474">
        <f>IF(AND($K1474=1,AND(对接源_02物料!$X274="公司筐",N(对接源_02物料!$U274)&lt;&gt;0)),1,0)</f>
        <v>0</v>
      </c>
      <c r="S1474">
        <f>N(S1473)+$R1474</f>
        <v>1</v>
      </c>
      <c r="T1474">
        <f>IF(AND($K1474=1,AND(对接源_02物料!$X274="公司筐",N(对接源_02物料!$V274)&lt;&gt;0)),1,0)</f>
        <v>0</v>
      </c>
      <c r="U1474">
        <f>N(U1473)+$T1474</f>
        <v>47</v>
      </c>
      <c r="V1474">
        <f>IF(AND($L1474=1,AND(对接源_02物料!$X274="自备筐",N(对接源_02物料!$V274)&lt;&gt;0)),1,0)</f>
        <v>0</v>
      </c>
      <c r="W1474">
        <f>N(W1473)+$V1474</f>
        <v>11</v>
      </c>
      <c r="X1474">
        <f>IF(AND($L1474=1,AND(对接源_02物料!$X274="自备筐",N(对接源_02物料!$T274)&lt;&gt;0)),1,0)</f>
        <v>0</v>
      </c>
      <c r="Y1474">
        <f>N(Y1473)+$X1474</f>
        <v>0</v>
      </c>
      <c r="Z1474">
        <f>IF(AND($M1474=1,对接源_02物料!$D274="原料入库"),1,0)</f>
        <v>0</v>
      </c>
      <c r="AA1474">
        <f>N(AA1473)+$Z1474</f>
        <v>24</v>
      </c>
      <c r="AB1474">
        <f>IF(AND($M1474=1,LEFT(对接源_02物料!$D274,4)="原料出库"),1,0)</f>
        <v>0</v>
      </c>
      <c r="AC1474">
        <f>N(AC1473)+$AB1474</f>
        <v>0</v>
      </c>
      <c r="AD1474">
        <f>IF(AND($M1474=1,LEFT(对接源_02物料!$D274,4)="成品出库"),1,0)</f>
        <v>0</v>
      </c>
      <c r="AE1474">
        <f>N(AE1473)+$AD1474</f>
        <v>0</v>
      </c>
      <c r="AF1474">
        <f>IF(AND($N1474=1,AND(LEFT(对接源_02物料!$D274,4)="包装物料",N(对接源_02物料!$K274)&lt;&gt;0)),1,0)</f>
        <v>0</v>
      </c>
      <c r="AG1474">
        <f>N(AG1473)+$AF1474</f>
        <v>10</v>
      </c>
      <c r="AH1474">
        <f>IF(AND($N1474=1,AND(对接源_02物料!$D274="周转筐－销售出库",N(对接源_02物料!$K274)&lt;&gt;0)),1,0)</f>
        <v>0</v>
      </c>
      <c r="AI1474">
        <f>N(AI1473)+$AH1474</f>
        <v>0</v>
      </c>
      <c r="AL1474" t="n">
        <v>0</v>
      </c>
      <c r="AM1474">
        <f>N(AM1473)+$AL1474</f>
        <v>2</v>
      </c>
      <c r="AN1474">
        <f>""</f>
      </c>
      <c r="AO1474" t="n">
        <v>0</v>
      </c>
      <c r="AP1474">
        <f>N(AP1473)+$AO1474</f>
        <v>13</v>
      </c>
      <c r="AR1474">
        <f>IF(OR($AF1474=1,$AH1474=1),1,0)</f>
        <v>0</v>
      </c>
      <c r="AS1474">
        <f>N(AS1473)+$AR1474</f>
        <v>10</v>
      </c>
    </row>
    <row r="1475" s="127">
      <c r="A1475" t="str">
        <f>IF(对接源_02物料!$C275="","",对接源_02物料!$C275)</f>
        <v>王照雪</v>
      </c>
      <c r="B1475">
        <f>IF(A1475="",0,IF(MATCH(A1475,$A$4:$A$2403,0)=ROW()-3,1,0))</f>
        <v>0</v>
      </c>
      <c r="C1475">
        <f>N(C1474)+B1475</f>
        <v>26</v>
      </c>
      <c r="K1475">
        <f>IF(OR($K$1="",对接源_02物料!$C275="",对接源_02物料!$C275&lt;&gt;$K$1,对接源_02物料!$B275=""),0,IF(OR(N(对接源_02物料!$B275)&lt;$K$2,N(对接源_02物料!$B275)&gt;$K$3),0,1))</f>
        <v>0</v>
      </c>
      <c r="L1475">
        <f>IF(OR($L$1="",对接源_02物料!$C275="",对接源_02物料!$C275&lt;&gt;$L$1,对接源_02物料!$B275=""),0,IF(OR(N(对接源_02物料!$B275)&lt;$L$2,N(对接源_02物料!$B275)&gt;$L$3),0,1))</f>
        <v>0</v>
      </c>
      <c r="M1475">
        <f>IF(OR($M$1="",对接源_02物料!$C275="",对接源_02物料!$C275&lt;&gt;$M$1,对接源_02物料!$B275=""),0,IF(OR(N(对接源_02物料!$B275)&lt;$M$2,N(对接源_02物料!$B275)&gt;$M$3),0,1))</f>
        <v>0</v>
      </c>
      <c r="N1475">
        <f>IF(OR($N$1="",对接源_02物料!$C275="",对接源_02物料!$C275&lt;&gt;$N$1,对接源_02物料!$B275=""),0,IF(OR(N(对接源_02物料!$B275)&lt;$N$2,N(对接源_02物料!$B275)&gt;$N$3),0,1))</f>
        <v>0</v>
      </c>
      <c r="P1475">
        <f>IF(AND($K1475=1,AND(对接源_02物料!$X275="公司筐",N(对接源_02物料!$T275)&lt;&gt;0)),1,0)</f>
        <v>0</v>
      </c>
      <c r="Q1475">
        <f>N(Q1474)+$P1475</f>
        <v>14</v>
      </c>
      <c r="R1475">
        <f>IF(AND($K1475=1,AND(对接源_02物料!$X275="公司筐",N(对接源_02物料!$U275)&lt;&gt;0)),1,0)</f>
        <v>0</v>
      </c>
      <c r="S1475">
        <f>N(S1474)+$R1475</f>
        <v>1</v>
      </c>
      <c r="T1475">
        <f>IF(AND($K1475=1,AND(对接源_02物料!$X275="公司筐",N(对接源_02物料!$V275)&lt;&gt;0)),1,0)</f>
        <v>0</v>
      </c>
      <c r="U1475">
        <f>N(U1474)+$T1475</f>
        <v>47</v>
      </c>
      <c r="V1475">
        <f>IF(AND($L1475=1,AND(对接源_02物料!$X275="自备筐",N(对接源_02物料!$V275)&lt;&gt;0)),1,0)</f>
        <v>0</v>
      </c>
      <c r="W1475">
        <f>N(W1474)+$V1475</f>
        <v>11</v>
      </c>
      <c r="X1475">
        <f>IF(AND($L1475=1,AND(对接源_02物料!$X275="自备筐",N(对接源_02物料!$T275)&lt;&gt;0)),1,0)</f>
        <v>0</v>
      </c>
      <c r="Y1475">
        <f>N(Y1474)+$X1475</f>
        <v>0</v>
      </c>
      <c r="Z1475">
        <f>IF(AND($M1475=1,对接源_02物料!$D275="原料入库"),1,0)</f>
        <v>0</v>
      </c>
      <c r="AA1475">
        <f>N(AA1474)+$Z1475</f>
        <v>24</v>
      </c>
      <c r="AB1475">
        <f>IF(AND($M1475=1,LEFT(对接源_02物料!$D275,4)="原料出库"),1,0)</f>
        <v>0</v>
      </c>
      <c r="AC1475">
        <f>N(AC1474)+$AB1475</f>
        <v>0</v>
      </c>
      <c r="AD1475">
        <f>IF(AND($M1475=1,LEFT(对接源_02物料!$D275,4)="成品出库"),1,0)</f>
        <v>0</v>
      </c>
      <c r="AE1475">
        <f>N(AE1474)+$AD1475</f>
        <v>0</v>
      </c>
      <c r="AF1475">
        <f>IF(AND($N1475=1,AND(LEFT(对接源_02物料!$D275,4)="包装物料",N(对接源_02物料!$K275)&lt;&gt;0)),1,0)</f>
        <v>0</v>
      </c>
      <c r="AG1475">
        <f>N(AG1474)+$AF1475</f>
        <v>10</v>
      </c>
      <c r="AH1475">
        <f>IF(AND($N1475=1,AND(对接源_02物料!$D275="周转筐－销售出库",N(对接源_02物料!$K275)&lt;&gt;0)),1,0)</f>
        <v>0</v>
      </c>
      <c r="AI1475">
        <f>N(AI1474)+$AH1475</f>
        <v>0</v>
      </c>
      <c r="AL1475" t="n">
        <v>0</v>
      </c>
      <c r="AM1475">
        <f>N(AM1474)+$AL1475</f>
        <v>2</v>
      </c>
      <c r="AN1475">
        <f>""</f>
      </c>
      <c r="AO1475" t="n">
        <v>0</v>
      </c>
      <c r="AP1475">
        <f>N(AP1474)+$AO1475</f>
        <v>13</v>
      </c>
      <c r="AR1475">
        <f>IF(OR($AF1475=1,$AH1475=1),1,0)</f>
        <v>0</v>
      </c>
      <c r="AS1475">
        <f>N(AS1474)+$AR1475</f>
        <v>10</v>
      </c>
    </row>
    <row r="1476" s="127">
      <c r="A1476">
        <f>IF(对接源_02物料!$C276="","",对接源_02物料!$C276)</f>
      </c>
      <c r="B1476">
        <f>IF(A1476="",0,IF(MATCH(A1476,$A$4:$A$2403,0)=ROW()-3,1,0))</f>
        <v>0</v>
      </c>
      <c r="C1476">
        <f>N(C1475)+B1476</f>
        <v>26</v>
      </c>
      <c r="K1476">
        <f>IF(OR($K$1="",对接源_02物料!$C276="",对接源_02物料!$C276&lt;&gt;$K$1,对接源_02物料!$B276=""),0,IF(OR(N(对接源_02物料!$B276)&lt;$K$2,N(对接源_02物料!$B276)&gt;$K$3),0,1))</f>
        <v>0</v>
      </c>
      <c r="L1476">
        <f>IF(OR($L$1="",对接源_02物料!$C276="",对接源_02物料!$C276&lt;&gt;$L$1,对接源_02物料!$B276=""),0,IF(OR(N(对接源_02物料!$B276)&lt;$L$2,N(对接源_02物料!$B276)&gt;$L$3),0,1))</f>
        <v>0</v>
      </c>
      <c r="M1476">
        <f>IF(OR($M$1="",对接源_02物料!$C276="",对接源_02物料!$C276&lt;&gt;$M$1,对接源_02物料!$B276=""),0,IF(OR(N(对接源_02物料!$B276)&lt;$M$2,N(对接源_02物料!$B276)&gt;$M$3),0,1))</f>
        <v>0</v>
      </c>
      <c r="N1476">
        <f>IF(OR($N$1="",对接源_02物料!$C276="",对接源_02物料!$C276&lt;&gt;$N$1,对接源_02物料!$B276=""),0,IF(OR(N(对接源_02物料!$B276)&lt;$N$2,N(对接源_02物料!$B276)&gt;$N$3),0,1))</f>
        <v>0</v>
      </c>
      <c r="P1476">
        <f>IF(AND($K1476=1,AND(对接源_02物料!$X276="公司筐",N(对接源_02物料!$T276)&lt;&gt;0)),1,0)</f>
        <v>0</v>
      </c>
      <c r="Q1476">
        <f>N(Q1475)+$P1476</f>
        <v>14</v>
      </c>
      <c r="R1476">
        <f>IF(AND($K1476=1,AND(对接源_02物料!$X276="公司筐",N(对接源_02物料!$U276)&lt;&gt;0)),1,0)</f>
        <v>0</v>
      </c>
      <c r="S1476">
        <f>N(S1475)+$R1476</f>
        <v>1</v>
      </c>
      <c r="T1476">
        <f>IF(AND($K1476=1,AND(对接源_02物料!$X276="公司筐",N(对接源_02物料!$V276)&lt;&gt;0)),1,0)</f>
        <v>0</v>
      </c>
      <c r="U1476">
        <f>N(U1475)+$T1476</f>
        <v>47</v>
      </c>
      <c r="V1476">
        <f>IF(AND($L1476=1,AND(对接源_02物料!$X276="自备筐",N(对接源_02物料!$V276)&lt;&gt;0)),1,0)</f>
        <v>0</v>
      </c>
      <c r="W1476">
        <f>N(W1475)+$V1476</f>
        <v>11</v>
      </c>
      <c r="X1476">
        <f>IF(AND($L1476=1,AND(对接源_02物料!$X276="自备筐",N(对接源_02物料!$T276)&lt;&gt;0)),1,0)</f>
        <v>0</v>
      </c>
      <c r="Y1476">
        <f>N(Y1475)+$X1476</f>
        <v>0</v>
      </c>
      <c r="Z1476">
        <f>IF(AND($M1476=1,对接源_02物料!$D276="原料入库"),1,0)</f>
        <v>0</v>
      </c>
      <c r="AA1476">
        <f>N(AA1475)+$Z1476</f>
        <v>24</v>
      </c>
      <c r="AB1476">
        <f>IF(AND($M1476=1,LEFT(对接源_02物料!$D276,4)="原料出库"),1,0)</f>
        <v>0</v>
      </c>
      <c r="AC1476">
        <f>N(AC1475)+$AB1476</f>
        <v>0</v>
      </c>
      <c r="AD1476">
        <f>IF(AND($M1476=1,LEFT(对接源_02物料!$D276,4)="成品出库"),1,0)</f>
        <v>0</v>
      </c>
      <c r="AE1476">
        <f>N(AE1475)+$AD1476</f>
        <v>0</v>
      </c>
      <c r="AF1476">
        <f>IF(AND($N1476=1,AND(LEFT(对接源_02物料!$D276,4)="包装物料",N(对接源_02物料!$K276)&lt;&gt;0)),1,0)</f>
        <v>0</v>
      </c>
      <c r="AG1476">
        <f>N(AG1475)+$AF1476</f>
        <v>10</v>
      </c>
      <c r="AH1476">
        <f>IF(AND($N1476=1,AND(对接源_02物料!$D276="周转筐－销售出库",N(对接源_02物料!$K276)&lt;&gt;0)),1,0)</f>
        <v>0</v>
      </c>
      <c r="AI1476">
        <f>N(AI1475)+$AH1476</f>
        <v>0</v>
      </c>
      <c r="AL1476" t="n">
        <v>0</v>
      </c>
      <c r="AM1476">
        <f>N(AM1475)+$AL1476</f>
        <v>2</v>
      </c>
      <c r="AN1476">
        <f>""</f>
      </c>
      <c r="AO1476" t="n">
        <v>0</v>
      </c>
      <c r="AP1476">
        <f>N(AP1475)+$AO1476</f>
        <v>13</v>
      </c>
      <c r="AR1476">
        <f>IF(OR($AF1476=1,$AH1476=1),1,0)</f>
        <v>0</v>
      </c>
      <c r="AS1476">
        <f>N(AS1475)+$AR1476</f>
        <v>10</v>
      </c>
    </row>
    <row r="1477" s="127">
      <c r="A1477">
        <f>IF(对接源_02物料!$C277="","",对接源_02物料!$C277)</f>
      </c>
      <c r="B1477">
        <f>IF(A1477="",0,IF(MATCH(A1477,$A$4:$A$2403,0)=ROW()-3,1,0))</f>
        <v>0</v>
      </c>
      <c r="C1477">
        <f>N(C1476)+B1477</f>
        <v>26</v>
      </c>
      <c r="K1477">
        <f>IF(OR($K$1="",对接源_02物料!$C277="",对接源_02物料!$C277&lt;&gt;$K$1,对接源_02物料!$B277=""),0,IF(OR(N(对接源_02物料!$B277)&lt;$K$2,N(对接源_02物料!$B277)&gt;$K$3),0,1))</f>
        <v>0</v>
      </c>
      <c r="L1477">
        <f>IF(OR($L$1="",对接源_02物料!$C277="",对接源_02物料!$C277&lt;&gt;$L$1,对接源_02物料!$B277=""),0,IF(OR(N(对接源_02物料!$B277)&lt;$L$2,N(对接源_02物料!$B277)&gt;$L$3),0,1))</f>
        <v>0</v>
      </c>
      <c r="M1477">
        <f>IF(OR($M$1="",对接源_02物料!$C277="",对接源_02物料!$C277&lt;&gt;$M$1,对接源_02物料!$B277=""),0,IF(OR(N(对接源_02物料!$B277)&lt;$M$2,N(对接源_02物料!$B277)&gt;$M$3),0,1))</f>
        <v>0</v>
      </c>
      <c r="N1477">
        <f>IF(OR($N$1="",对接源_02物料!$C277="",对接源_02物料!$C277&lt;&gt;$N$1,对接源_02物料!$B277=""),0,IF(OR(N(对接源_02物料!$B277)&lt;$N$2,N(对接源_02物料!$B277)&gt;$N$3),0,1))</f>
        <v>0</v>
      </c>
      <c r="P1477">
        <f>IF(AND($K1477=1,AND(对接源_02物料!$X277="公司筐",N(对接源_02物料!$T277)&lt;&gt;0)),1,0)</f>
        <v>0</v>
      </c>
      <c r="Q1477">
        <f>N(Q1476)+$P1477</f>
        <v>14</v>
      </c>
      <c r="R1477">
        <f>IF(AND($K1477=1,AND(对接源_02物料!$X277="公司筐",N(对接源_02物料!$U277)&lt;&gt;0)),1,0)</f>
        <v>0</v>
      </c>
      <c r="S1477">
        <f>N(S1476)+$R1477</f>
        <v>1</v>
      </c>
      <c r="T1477">
        <f>IF(AND($K1477=1,AND(对接源_02物料!$X277="公司筐",N(对接源_02物料!$V277)&lt;&gt;0)),1,0)</f>
        <v>0</v>
      </c>
      <c r="U1477">
        <f>N(U1476)+$T1477</f>
        <v>47</v>
      </c>
      <c r="V1477">
        <f>IF(AND($L1477=1,AND(对接源_02物料!$X277="自备筐",N(对接源_02物料!$V277)&lt;&gt;0)),1,0)</f>
        <v>0</v>
      </c>
      <c r="W1477">
        <f>N(W1476)+$V1477</f>
        <v>11</v>
      </c>
      <c r="X1477">
        <f>IF(AND($L1477=1,AND(对接源_02物料!$X277="自备筐",N(对接源_02物料!$T277)&lt;&gt;0)),1,0)</f>
        <v>0</v>
      </c>
      <c r="Y1477">
        <f>N(Y1476)+$X1477</f>
        <v>0</v>
      </c>
      <c r="Z1477">
        <f>IF(AND($M1477=1,对接源_02物料!$D277="原料入库"),1,0)</f>
        <v>0</v>
      </c>
      <c r="AA1477">
        <f>N(AA1476)+$Z1477</f>
        <v>24</v>
      </c>
      <c r="AB1477">
        <f>IF(AND($M1477=1,LEFT(对接源_02物料!$D277,4)="原料出库"),1,0)</f>
        <v>0</v>
      </c>
      <c r="AC1477">
        <f>N(AC1476)+$AB1477</f>
        <v>0</v>
      </c>
      <c r="AD1477">
        <f>IF(AND($M1477=1,LEFT(对接源_02物料!$D277,4)="成品出库"),1,0)</f>
        <v>0</v>
      </c>
      <c r="AE1477">
        <f>N(AE1476)+$AD1477</f>
        <v>0</v>
      </c>
      <c r="AF1477">
        <f>IF(AND($N1477=1,AND(LEFT(对接源_02物料!$D277,4)="包装物料",N(对接源_02物料!$K277)&lt;&gt;0)),1,0)</f>
        <v>0</v>
      </c>
      <c r="AG1477">
        <f>N(AG1476)+$AF1477</f>
        <v>10</v>
      </c>
      <c r="AH1477">
        <f>IF(AND($N1477=1,AND(对接源_02物料!$D277="周转筐－销售出库",N(对接源_02物料!$K277)&lt;&gt;0)),1,0)</f>
        <v>0</v>
      </c>
      <c r="AI1477">
        <f>N(AI1476)+$AH1477</f>
        <v>0</v>
      </c>
      <c r="AL1477" t="n">
        <v>0</v>
      </c>
      <c r="AM1477">
        <f>N(AM1476)+$AL1477</f>
        <v>2</v>
      </c>
      <c r="AN1477">
        <f>""</f>
      </c>
      <c r="AO1477" t="n">
        <v>0</v>
      </c>
      <c r="AP1477">
        <f>N(AP1476)+$AO1477</f>
        <v>13</v>
      </c>
      <c r="AR1477">
        <f>IF(OR($AF1477=1,$AH1477=1),1,0)</f>
        <v>0</v>
      </c>
      <c r="AS1477">
        <f>N(AS1476)+$AR1477</f>
        <v>10</v>
      </c>
    </row>
    <row r="1478" s="127">
      <c r="A1478">
        <f>IF(对接源_02物料!$C278="","",对接源_02物料!$C278)</f>
      </c>
      <c r="B1478">
        <f>IF(A1478="",0,IF(MATCH(A1478,$A$4:$A$2403,0)=ROW()-3,1,0))</f>
        <v>0</v>
      </c>
      <c r="C1478">
        <f>N(C1477)+B1478</f>
        <v>26</v>
      </c>
      <c r="K1478">
        <f>IF(OR($K$1="",对接源_02物料!$C278="",对接源_02物料!$C278&lt;&gt;$K$1,对接源_02物料!$B278=""),0,IF(OR(N(对接源_02物料!$B278)&lt;$K$2,N(对接源_02物料!$B278)&gt;$K$3),0,1))</f>
        <v>0</v>
      </c>
      <c r="L1478">
        <f>IF(OR($L$1="",对接源_02物料!$C278="",对接源_02物料!$C278&lt;&gt;$L$1,对接源_02物料!$B278=""),0,IF(OR(N(对接源_02物料!$B278)&lt;$L$2,N(对接源_02物料!$B278)&gt;$L$3),0,1))</f>
        <v>0</v>
      </c>
      <c r="M1478">
        <f>IF(OR($M$1="",对接源_02物料!$C278="",对接源_02物料!$C278&lt;&gt;$M$1,对接源_02物料!$B278=""),0,IF(OR(N(对接源_02物料!$B278)&lt;$M$2,N(对接源_02物料!$B278)&gt;$M$3),0,1))</f>
        <v>0</v>
      </c>
      <c r="N1478">
        <f>IF(OR($N$1="",对接源_02物料!$C278="",对接源_02物料!$C278&lt;&gt;$N$1,对接源_02物料!$B278=""),0,IF(OR(N(对接源_02物料!$B278)&lt;$N$2,N(对接源_02物料!$B278)&gt;$N$3),0,1))</f>
        <v>0</v>
      </c>
      <c r="P1478">
        <f>IF(AND($K1478=1,AND(对接源_02物料!$X278="公司筐",N(对接源_02物料!$T278)&lt;&gt;0)),1,0)</f>
        <v>0</v>
      </c>
      <c r="Q1478">
        <f>N(Q1477)+$P1478</f>
        <v>14</v>
      </c>
      <c r="R1478">
        <f>IF(AND($K1478=1,AND(对接源_02物料!$X278="公司筐",N(对接源_02物料!$U278)&lt;&gt;0)),1,0)</f>
        <v>0</v>
      </c>
      <c r="S1478">
        <f>N(S1477)+$R1478</f>
        <v>1</v>
      </c>
      <c r="T1478">
        <f>IF(AND($K1478=1,AND(对接源_02物料!$X278="公司筐",N(对接源_02物料!$V278)&lt;&gt;0)),1,0)</f>
        <v>0</v>
      </c>
      <c r="U1478">
        <f>N(U1477)+$T1478</f>
        <v>47</v>
      </c>
      <c r="V1478">
        <f>IF(AND($L1478=1,AND(对接源_02物料!$X278="自备筐",N(对接源_02物料!$V278)&lt;&gt;0)),1,0)</f>
        <v>0</v>
      </c>
      <c r="W1478">
        <f>N(W1477)+$V1478</f>
        <v>11</v>
      </c>
      <c r="X1478">
        <f>IF(AND($L1478=1,AND(对接源_02物料!$X278="自备筐",N(对接源_02物料!$T278)&lt;&gt;0)),1,0)</f>
        <v>0</v>
      </c>
      <c r="Y1478">
        <f>N(Y1477)+$X1478</f>
        <v>0</v>
      </c>
      <c r="Z1478">
        <f>IF(AND($M1478=1,对接源_02物料!$D278="原料入库"),1,0)</f>
        <v>0</v>
      </c>
      <c r="AA1478">
        <f>N(AA1477)+$Z1478</f>
        <v>24</v>
      </c>
      <c r="AB1478">
        <f>IF(AND($M1478=1,LEFT(对接源_02物料!$D278,4)="原料出库"),1,0)</f>
        <v>0</v>
      </c>
      <c r="AC1478">
        <f>N(AC1477)+$AB1478</f>
        <v>0</v>
      </c>
      <c r="AD1478">
        <f>IF(AND($M1478=1,LEFT(对接源_02物料!$D278,4)="成品出库"),1,0)</f>
        <v>0</v>
      </c>
      <c r="AE1478">
        <f>N(AE1477)+$AD1478</f>
        <v>0</v>
      </c>
      <c r="AF1478">
        <f>IF(AND($N1478=1,AND(LEFT(对接源_02物料!$D278,4)="包装物料",N(对接源_02物料!$K278)&lt;&gt;0)),1,0)</f>
        <v>0</v>
      </c>
      <c r="AG1478">
        <f>N(AG1477)+$AF1478</f>
        <v>10</v>
      </c>
      <c r="AH1478">
        <f>IF(AND($N1478=1,AND(对接源_02物料!$D278="周转筐－销售出库",N(对接源_02物料!$K278)&lt;&gt;0)),1,0)</f>
        <v>0</v>
      </c>
      <c r="AI1478">
        <f>N(AI1477)+$AH1478</f>
        <v>0</v>
      </c>
      <c r="AL1478" t="n">
        <v>0</v>
      </c>
      <c r="AM1478">
        <f>N(AM1477)+$AL1478</f>
        <v>2</v>
      </c>
      <c r="AN1478">
        <f>""</f>
      </c>
      <c r="AO1478" t="n">
        <v>0</v>
      </c>
      <c r="AP1478">
        <f>N(AP1477)+$AO1478</f>
        <v>13</v>
      </c>
      <c r="AR1478">
        <f>IF(OR($AF1478=1,$AH1478=1),1,0)</f>
        <v>0</v>
      </c>
      <c r="AS1478">
        <f>N(AS1477)+$AR1478</f>
        <v>10</v>
      </c>
    </row>
    <row r="1479" s="127">
      <c r="A1479">
        <f>IF(对接源_02物料!$C279="","",对接源_02物料!$C279)</f>
      </c>
      <c r="B1479">
        <f>IF(A1479="",0,IF(MATCH(A1479,$A$4:$A$2403,0)=ROW()-3,1,0))</f>
        <v>0</v>
      </c>
      <c r="C1479">
        <f>N(C1478)+B1479</f>
        <v>26</v>
      </c>
      <c r="K1479">
        <f>IF(OR($K$1="",对接源_02物料!$C279="",对接源_02物料!$C279&lt;&gt;$K$1,对接源_02物料!$B279=""),0,IF(OR(N(对接源_02物料!$B279)&lt;$K$2,N(对接源_02物料!$B279)&gt;$K$3),0,1))</f>
        <v>0</v>
      </c>
      <c r="L1479">
        <f>IF(OR($L$1="",对接源_02物料!$C279="",对接源_02物料!$C279&lt;&gt;$L$1,对接源_02物料!$B279=""),0,IF(OR(N(对接源_02物料!$B279)&lt;$L$2,N(对接源_02物料!$B279)&gt;$L$3),0,1))</f>
        <v>0</v>
      </c>
      <c r="M1479">
        <f>IF(OR($M$1="",对接源_02物料!$C279="",对接源_02物料!$C279&lt;&gt;$M$1,对接源_02物料!$B279=""),0,IF(OR(N(对接源_02物料!$B279)&lt;$M$2,N(对接源_02物料!$B279)&gt;$M$3),0,1))</f>
        <v>0</v>
      </c>
      <c r="N1479">
        <f>IF(OR($N$1="",对接源_02物料!$C279="",对接源_02物料!$C279&lt;&gt;$N$1,对接源_02物料!$B279=""),0,IF(OR(N(对接源_02物料!$B279)&lt;$N$2,N(对接源_02物料!$B279)&gt;$N$3),0,1))</f>
        <v>0</v>
      </c>
      <c r="P1479">
        <f>IF(AND($K1479=1,AND(对接源_02物料!$X279="公司筐",N(对接源_02物料!$T279)&lt;&gt;0)),1,0)</f>
        <v>0</v>
      </c>
      <c r="Q1479">
        <f>N(Q1478)+$P1479</f>
        <v>14</v>
      </c>
      <c r="R1479">
        <f>IF(AND($K1479=1,AND(对接源_02物料!$X279="公司筐",N(对接源_02物料!$U279)&lt;&gt;0)),1,0)</f>
        <v>0</v>
      </c>
      <c r="S1479">
        <f>N(S1478)+$R1479</f>
        <v>1</v>
      </c>
      <c r="T1479">
        <f>IF(AND($K1479=1,AND(对接源_02物料!$X279="公司筐",N(对接源_02物料!$V279)&lt;&gt;0)),1,0)</f>
        <v>0</v>
      </c>
      <c r="U1479">
        <f>N(U1478)+$T1479</f>
        <v>47</v>
      </c>
      <c r="V1479">
        <f>IF(AND($L1479=1,AND(对接源_02物料!$X279="自备筐",N(对接源_02物料!$V279)&lt;&gt;0)),1,0)</f>
        <v>0</v>
      </c>
      <c r="W1479">
        <f>N(W1478)+$V1479</f>
        <v>11</v>
      </c>
      <c r="X1479">
        <f>IF(AND($L1479=1,AND(对接源_02物料!$X279="自备筐",N(对接源_02物料!$T279)&lt;&gt;0)),1,0)</f>
        <v>0</v>
      </c>
      <c r="Y1479">
        <f>N(Y1478)+$X1479</f>
        <v>0</v>
      </c>
      <c r="Z1479">
        <f>IF(AND($M1479=1,对接源_02物料!$D279="原料入库"),1,0)</f>
        <v>0</v>
      </c>
      <c r="AA1479">
        <f>N(AA1478)+$Z1479</f>
        <v>24</v>
      </c>
      <c r="AB1479">
        <f>IF(AND($M1479=1,LEFT(对接源_02物料!$D279,4)="原料出库"),1,0)</f>
        <v>0</v>
      </c>
      <c r="AC1479">
        <f>N(AC1478)+$AB1479</f>
        <v>0</v>
      </c>
      <c r="AD1479">
        <f>IF(AND($M1479=1,LEFT(对接源_02物料!$D279,4)="成品出库"),1,0)</f>
        <v>0</v>
      </c>
      <c r="AE1479">
        <f>N(AE1478)+$AD1479</f>
        <v>0</v>
      </c>
      <c r="AF1479">
        <f>IF(AND($N1479=1,AND(LEFT(对接源_02物料!$D279,4)="包装物料",N(对接源_02物料!$K279)&lt;&gt;0)),1,0)</f>
        <v>0</v>
      </c>
      <c r="AG1479">
        <f>N(AG1478)+$AF1479</f>
        <v>10</v>
      </c>
      <c r="AH1479">
        <f>IF(AND($N1479=1,AND(对接源_02物料!$D279="周转筐－销售出库",N(对接源_02物料!$K279)&lt;&gt;0)),1,0)</f>
        <v>0</v>
      </c>
      <c r="AI1479">
        <f>N(AI1478)+$AH1479</f>
        <v>0</v>
      </c>
      <c r="AL1479" t="n">
        <v>0</v>
      </c>
      <c r="AM1479">
        <f>N(AM1478)+$AL1479</f>
        <v>2</v>
      </c>
      <c r="AN1479">
        <f>""</f>
      </c>
      <c r="AO1479" t="n">
        <v>0</v>
      </c>
      <c r="AP1479">
        <f>N(AP1478)+$AO1479</f>
        <v>13</v>
      </c>
      <c r="AR1479">
        <f>IF(OR($AF1479=1,$AH1479=1),1,0)</f>
        <v>0</v>
      </c>
      <c r="AS1479">
        <f>N(AS1478)+$AR1479</f>
        <v>10</v>
      </c>
    </row>
    <row r="1480" s="127">
      <c r="A1480">
        <f>IF(对接源_02物料!$C280="","",对接源_02物料!$C280)</f>
      </c>
      <c r="B1480">
        <f>IF(A1480="",0,IF(MATCH(A1480,$A$4:$A$2403,0)=ROW()-3,1,0))</f>
        <v>0</v>
      </c>
      <c r="C1480">
        <f>N(C1479)+B1480</f>
        <v>26</v>
      </c>
      <c r="K1480">
        <f>IF(OR($K$1="",对接源_02物料!$C280="",对接源_02物料!$C280&lt;&gt;$K$1,对接源_02物料!$B280=""),0,IF(OR(N(对接源_02物料!$B280)&lt;$K$2,N(对接源_02物料!$B280)&gt;$K$3),0,1))</f>
        <v>0</v>
      </c>
      <c r="L1480">
        <f>IF(OR($L$1="",对接源_02物料!$C280="",对接源_02物料!$C280&lt;&gt;$L$1,对接源_02物料!$B280=""),0,IF(OR(N(对接源_02物料!$B280)&lt;$L$2,N(对接源_02物料!$B280)&gt;$L$3),0,1))</f>
        <v>0</v>
      </c>
      <c r="M1480">
        <f>IF(OR($M$1="",对接源_02物料!$C280="",对接源_02物料!$C280&lt;&gt;$M$1,对接源_02物料!$B280=""),0,IF(OR(N(对接源_02物料!$B280)&lt;$M$2,N(对接源_02物料!$B280)&gt;$M$3),0,1))</f>
        <v>0</v>
      </c>
      <c r="N1480">
        <f>IF(OR($N$1="",对接源_02物料!$C280="",对接源_02物料!$C280&lt;&gt;$N$1,对接源_02物料!$B280=""),0,IF(OR(N(对接源_02物料!$B280)&lt;$N$2,N(对接源_02物料!$B280)&gt;$N$3),0,1))</f>
        <v>0</v>
      </c>
      <c r="P1480">
        <f>IF(AND($K1480=1,AND(对接源_02物料!$X280="公司筐",N(对接源_02物料!$T280)&lt;&gt;0)),1,0)</f>
        <v>0</v>
      </c>
      <c r="Q1480">
        <f>N(Q1479)+$P1480</f>
        <v>14</v>
      </c>
      <c r="R1480">
        <f>IF(AND($K1480=1,AND(对接源_02物料!$X280="公司筐",N(对接源_02物料!$U280)&lt;&gt;0)),1,0)</f>
        <v>0</v>
      </c>
      <c r="S1480">
        <f>N(S1479)+$R1480</f>
        <v>1</v>
      </c>
      <c r="T1480">
        <f>IF(AND($K1480=1,AND(对接源_02物料!$X280="公司筐",N(对接源_02物料!$V280)&lt;&gt;0)),1,0)</f>
        <v>0</v>
      </c>
      <c r="U1480">
        <f>N(U1479)+$T1480</f>
        <v>47</v>
      </c>
      <c r="V1480">
        <f>IF(AND($L1480=1,AND(对接源_02物料!$X280="自备筐",N(对接源_02物料!$V280)&lt;&gt;0)),1,0)</f>
        <v>0</v>
      </c>
      <c r="W1480">
        <f>N(W1479)+$V1480</f>
        <v>11</v>
      </c>
      <c r="X1480">
        <f>IF(AND($L1480=1,AND(对接源_02物料!$X280="自备筐",N(对接源_02物料!$T280)&lt;&gt;0)),1,0)</f>
        <v>0</v>
      </c>
      <c r="Y1480">
        <f>N(Y1479)+$X1480</f>
        <v>0</v>
      </c>
      <c r="Z1480">
        <f>IF(AND($M1480=1,对接源_02物料!$D280="原料入库"),1,0)</f>
        <v>0</v>
      </c>
      <c r="AA1480">
        <f>N(AA1479)+$Z1480</f>
        <v>24</v>
      </c>
      <c r="AB1480">
        <f>IF(AND($M1480=1,LEFT(对接源_02物料!$D280,4)="原料出库"),1,0)</f>
        <v>0</v>
      </c>
      <c r="AC1480">
        <f>N(AC1479)+$AB1480</f>
        <v>0</v>
      </c>
      <c r="AD1480">
        <f>IF(AND($M1480=1,LEFT(对接源_02物料!$D280,4)="成品出库"),1,0)</f>
        <v>0</v>
      </c>
      <c r="AE1480">
        <f>N(AE1479)+$AD1480</f>
        <v>0</v>
      </c>
      <c r="AF1480">
        <f>IF(AND($N1480=1,AND(LEFT(对接源_02物料!$D280,4)="包装物料",N(对接源_02物料!$K280)&lt;&gt;0)),1,0)</f>
        <v>0</v>
      </c>
      <c r="AG1480">
        <f>N(AG1479)+$AF1480</f>
        <v>10</v>
      </c>
      <c r="AH1480">
        <f>IF(AND($N1480=1,AND(对接源_02物料!$D280="周转筐－销售出库",N(对接源_02物料!$K280)&lt;&gt;0)),1,0)</f>
        <v>0</v>
      </c>
      <c r="AI1480">
        <f>N(AI1479)+$AH1480</f>
        <v>0</v>
      </c>
      <c r="AL1480" t="n">
        <v>0</v>
      </c>
      <c r="AM1480">
        <f>N(AM1479)+$AL1480</f>
        <v>2</v>
      </c>
      <c r="AN1480">
        <f>""</f>
      </c>
      <c r="AO1480" t="n">
        <v>0</v>
      </c>
      <c r="AP1480">
        <f>N(AP1479)+$AO1480</f>
        <v>13</v>
      </c>
      <c r="AR1480">
        <f>IF(OR($AF1480=1,$AH1480=1),1,0)</f>
        <v>0</v>
      </c>
      <c r="AS1480">
        <f>N(AS1479)+$AR1480</f>
        <v>10</v>
      </c>
    </row>
    <row r="1481" s="127">
      <c r="A1481">
        <f>IF(对接源_02物料!$C281="","",对接源_02物料!$C281)</f>
      </c>
      <c r="B1481">
        <f>IF(A1481="",0,IF(MATCH(A1481,$A$4:$A$2403,0)=ROW()-3,1,0))</f>
        <v>0</v>
      </c>
      <c r="C1481">
        <f>N(C1480)+B1481</f>
        <v>26</v>
      </c>
      <c r="K1481">
        <f>IF(OR($K$1="",对接源_02物料!$C281="",对接源_02物料!$C281&lt;&gt;$K$1,对接源_02物料!$B281=""),0,IF(OR(N(对接源_02物料!$B281)&lt;$K$2,N(对接源_02物料!$B281)&gt;$K$3),0,1))</f>
        <v>0</v>
      </c>
      <c r="L1481">
        <f>IF(OR($L$1="",对接源_02物料!$C281="",对接源_02物料!$C281&lt;&gt;$L$1,对接源_02物料!$B281=""),0,IF(OR(N(对接源_02物料!$B281)&lt;$L$2,N(对接源_02物料!$B281)&gt;$L$3),0,1))</f>
        <v>0</v>
      </c>
      <c r="M1481">
        <f>IF(OR($M$1="",对接源_02物料!$C281="",对接源_02物料!$C281&lt;&gt;$M$1,对接源_02物料!$B281=""),0,IF(OR(N(对接源_02物料!$B281)&lt;$M$2,N(对接源_02物料!$B281)&gt;$M$3),0,1))</f>
        <v>0</v>
      </c>
      <c r="N1481">
        <f>IF(OR($N$1="",对接源_02物料!$C281="",对接源_02物料!$C281&lt;&gt;$N$1,对接源_02物料!$B281=""),0,IF(OR(N(对接源_02物料!$B281)&lt;$N$2,N(对接源_02物料!$B281)&gt;$N$3),0,1))</f>
        <v>0</v>
      </c>
      <c r="P1481">
        <f>IF(AND($K1481=1,AND(对接源_02物料!$X281="公司筐",N(对接源_02物料!$T281)&lt;&gt;0)),1,0)</f>
        <v>0</v>
      </c>
      <c r="Q1481">
        <f>N(Q1480)+$P1481</f>
        <v>14</v>
      </c>
      <c r="R1481">
        <f>IF(AND($K1481=1,AND(对接源_02物料!$X281="公司筐",N(对接源_02物料!$U281)&lt;&gt;0)),1,0)</f>
        <v>0</v>
      </c>
      <c r="S1481">
        <f>N(S1480)+$R1481</f>
        <v>1</v>
      </c>
      <c r="T1481">
        <f>IF(AND($K1481=1,AND(对接源_02物料!$X281="公司筐",N(对接源_02物料!$V281)&lt;&gt;0)),1,0)</f>
        <v>0</v>
      </c>
      <c r="U1481">
        <f>N(U1480)+$T1481</f>
        <v>47</v>
      </c>
      <c r="V1481">
        <f>IF(AND($L1481=1,AND(对接源_02物料!$X281="自备筐",N(对接源_02物料!$V281)&lt;&gt;0)),1,0)</f>
        <v>0</v>
      </c>
      <c r="W1481">
        <f>N(W1480)+$V1481</f>
        <v>11</v>
      </c>
      <c r="X1481">
        <f>IF(AND($L1481=1,AND(对接源_02物料!$X281="自备筐",N(对接源_02物料!$T281)&lt;&gt;0)),1,0)</f>
        <v>0</v>
      </c>
      <c r="Y1481">
        <f>N(Y1480)+$X1481</f>
        <v>0</v>
      </c>
      <c r="Z1481">
        <f>IF(AND($M1481=1,对接源_02物料!$D281="原料入库"),1,0)</f>
        <v>0</v>
      </c>
      <c r="AA1481">
        <f>N(AA1480)+$Z1481</f>
        <v>24</v>
      </c>
      <c r="AB1481">
        <f>IF(AND($M1481=1,LEFT(对接源_02物料!$D281,4)="原料出库"),1,0)</f>
        <v>0</v>
      </c>
      <c r="AC1481">
        <f>N(AC1480)+$AB1481</f>
        <v>0</v>
      </c>
      <c r="AD1481">
        <f>IF(AND($M1481=1,LEFT(对接源_02物料!$D281,4)="成品出库"),1,0)</f>
        <v>0</v>
      </c>
      <c r="AE1481">
        <f>N(AE1480)+$AD1481</f>
        <v>0</v>
      </c>
      <c r="AF1481">
        <f>IF(AND($N1481=1,AND(LEFT(对接源_02物料!$D281,4)="包装物料",N(对接源_02物料!$K281)&lt;&gt;0)),1,0)</f>
        <v>0</v>
      </c>
      <c r="AG1481">
        <f>N(AG1480)+$AF1481</f>
        <v>10</v>
      </c>
      <c r="AH1481">
        <f>IF(AND($N1481=1,AND(对接源_02物料!$D281="周转筐－销售出库",N(对接源_02物料!$K281)&lt;&gt;0)),1,0)</f>
        <v>0</v>
      </c>
      <c r="AI1481">
        <f>N(AI1480)+$AH1481</f>
        <v>0</v>
      </c>
      <c r="AL1481" t="n">
        <v>0</v>
      </c>
      <c r="AM1481">
        <f>N(AM1480)+$AL1481</f>
        <v>2</v>
      </c>
      <c r="AN1481">
        <f>""</f>
      </c>
      <c r="AO1481" t="n">
        <v>0</v>
      </c>
      <c r="AP1481">
        <f>N(AP1480)+$AO1481</f>
        <v>13</v>
      </c>
      <c r="AR1481">
        <f>IF(OR($AF1481=1,$AH1481=1),1,0)</f>
        <v>0</v>
      </c>
      <c r="AS1481">
        <f>N(AS1480)+$AR1481</f>
        <v>10</v>
      </c>
    </row>
    <row r="1482" s="127">
      <c r="A1482">
        <f>IF(对接源_02物料!$C282="","",对接源_02物料!$C282)</f>
      </c>
      <c r="B1482">
        <f>IF(A1482="",0,IF(MATCH(A1482,$A$4:$A$2403,0)=ROW()-3,1,0))</f>
        <v>0</v>
      </c>
      <c r="C1482">
        <f>N(C1481)+B1482</f>
        <v>26</v>
      </c>
      <c r="K1482">
        <f>IF(OR($K$1="",对接源_02物料!$C282="",对接源_02物料!$C282&lt;&gt;$K$1,对接源_02物料!$B282=""),0,IF(OR(N(对接源_02物料!$B282)&lt;$K$2,N(对接源_02物料!$B282)&gt;$K$3),0,1))</f>
        <v>0</v>
      </c>
      <c r="L1482">
        <f>IF(OR($L$1="",对接源_02物料!$C282="",对接源_02物料!$C282&lt;&gt;$L$1,对接源_02物料!$B282=""),0,IF(OR(N(对接源_02物料!$B282)&lt;$L$2,N(对接源_02物料!$B282)&gt;$L$3),0,1))</f>
        <v>0</v>
      </c>
      <c r="M1482">
        <f>IF(OR($M$1="",对接源_02物料!$C282="",对接源_02物料!$C282&lt;&gt;$M$1,对接源_02物料!$B282=""),0,IF(OR(N(对接源_02物料!$B282)&lt;$M$2,N(对接源_02物料!$B282)&gt;$M$3),0,1))</f>
        <v>0</v>
      </c>
      <c r="N1482">
        <f>IF(OR($N$1="",对接源_02物料!$C282="",对接源_02物料!$C282&lt;&gt;$N$1,对接源_02物料!$B282=""),0,IF(OR(N(对接源_02物料!$B282)&lt;$N$2,N(对接源_02物料!$B282)&gt;$N$3),0,1))</f>
        <v>0</v>
      </c>
      <c r="P1482">
        <f>IF(AND($K1482=1,AND(对接源_02物料!$X282="公司筐",N(对接源_02物料!$T282)&lt;&gt;0)),1,0)</f>
        <v>0</v>
      </c>
      <c r="Q1482">
        <f>N(Q1481)+$P1482</f>
        <v>14</v>
      </c>
      <c r="R1482">
        <f>IF(AND($K1482=1,AND(对接源_02物料!$X282="公司筐",N(对接源_02物料!$U282)&lt;&gt;0)),1,0)</f>
        <v>0</v>
      </c>
      <c r="S1482">
        <f>N(S1481)+$R1482</f>
        <v>1</v>
      </c>
      <c r="T1482">
        <f>IF(AND($K1482=1,AND(对接源_02物料!$X282="公司筐",N(对接源_02物料!$V282)&lt;&gt;0)),1,0)</f>
        <v>0</v>
      </c>
      <c r="U1482">
        <f>N(U1481)+$T1482</f>
        <v>47</v>
      </c>
      <c r="V1482">
        <f>IF(AND($L1482=1,AND(对接源_02物料!$X282="自备筐",N(对接源_02物料!$V282)&lt;&gt;0)),1,0)</f>
        <v>0</v>
      </c>
      <c r="W1482">
        <f>N(W1481)+$V1482</f>
        <v>11</v>
      </c>
      <c r="X1482">
        <f>IF(AND($L1482=1,AND(对接源_02物料!$X282="自备筐",N(对接源_02物料!$T282)&lt;&gt;0)),1,0)</f>
        <v>0</v>
      </c>
      <c r="Y1482">
        <f>N(Y1481)+$X1482</f>
        <v>0</v>
      </c>
      <c r="Z1482">
        <f>IF(AND($M1482=1,对接源_02物料!$D282="原料入库"),1,0)</f>
        <v>0</v>
      </c>
      <c r="AA1482">
        <f>N(AA1481)+$Z1482</f>
        <v>24</v>
      </c>
      <c r="AB1482">
        <f>IF(AND($M1482=1,LEFT(对接源_02物料!$D282,4)="原料出库"),1,0)</f>
        <v>0</v>
      </c>
      <c r="AC1482">
        <f>N(AC1481)+$AB1482</f>
        <v>0</v>
      </c>
      <c r="AD1482">
        <f>IF(AND($M1482=1,LEFT(对接源_02物料!$D282,4)="成品出库"),1,0)</f>
        <v>0</v>
      </c>
      <c r="AE1482">
        <f>N(AE1481)+$AD1482</f>
        <v>0</v>
      </c>
      <c r="AF1482">
        <f>IF(AND($N1482=1,AND(LEFT(对接源_02物料!$D282,4)="包装物料",N(对接源_02物料!$K282)&lt;&gt;0)),1,0)</f>
        <v>0</v>
      </c>
      <c r="AG1482">
        <f>N(AG1481)+$AF1482</f>
        <v>10</v>
      </c>
      <c r="AH1482">
        <f>IF(AND($N1482=1,AND(对接源_02物料!$D282="周转筐－销售出库",N(对接源_02物料!$K282)&lt;&gt;0)),1,0)</f>
        <v>0</v>
      </c>
      <c r="AI1482">
        <f>N(AI1481)+$AH1482</f>
        <v>0</v>
      </c>
      <c r="AL1482" t="n">
        <v>0</v>
      </c>
      <c r="AM1482">
        <f>N(AM1481)+$AL1482</f>
        <v>2</v>
      </c>
      <c r="AN1482">
        <f>""</f>
      </c>
      <c r="AO1482" t="n">
        <v>0</v>
      </c>
      <c r="AP1482">
        <f>N(AP1481)+$AO1482</f>
        <v>13</v>
      </c>
      <c r="AR1482">
        <f>IF(OR($AF1482=1,$AH1482=1),1,0)</f>
        <v>0</v>
      </c>
      <c r="AS1482">
        <f>N(AS1481)+$AR1482</f>
        <v>10</v>
      </c>
    </row>
    <row r="1483" s="127">
      <c r="A1483">
        <f>IF(对接源_02物料!$C283="","",对接源_02物料!$C283)</f>
      </c>
      <c r="B1483">
        <f>IF(A1483="",0,IF(MATCH(A1483,$A$4:$A$2403,0)=ROW()-3,1,0))</f>
        <v>0</v>
      </c>
      <c r="C1483">
        <f>N(C1482)+B1483</f>
        <v>26</v>
      </c>
      <c r="K1483">
        <f>IF(OR($K$1="",对接源_02物料!$C283="",对接源_02物料!$C283&lt;&gt;$K$1,对接源_02物料!$B283=""),0,IF(OR(N(对接源_02物料!$B283)&lt;$K$2,N(对接源_02物料!$B283)&gt;$K$3),0,1))</f>
        <v>0</v>
      </c>
      <c r="L1483">
        <f>IF(OR($L$1="",对接源_02物料!$C283="",对接源_02物料!$C283&lt;&gt;$L$1,对接源_02物料!$B283=""),0,IF(OR(N(对接源_02物料!$B283)&lt;$L$2,N(对接源_02物料!$B283)&gt;$L$3),0,1))</f>
        <v>0</v>
      </c>
      <c r="M1483">
        <f>IF(OR($M$1="",对接源_02物料!$C283="",对接源_02物料!$C283&lt;&gt;$M$1,对接源_02物料!$B283=""),0,IF(OR(N(对接源_02物料!$B283)&lt;$M$2,N(对接源_02物料!$B283)&gt;$M$3),0,1))</f>
        <v>0</v>
      </c>
      <c r="N1483">
        <f>IF(OR($N$1="",对接源_02物料!$C283="",对接源_02物料!$C283&lt;&gt;$N$1,对接源_02物料!$B283=""),0,IF(OR(N(对接源_02物料!$B283)&lt;$N$2,N(对接源_02物料!$B283)&gt;$N$3),0,1))</f>
        <v>0</v>
      </c>
      <c r="P1483">
        <f>IF(AND($K1483=1,AND(对接源_02物料!$X283="公司筐",N(对接源_02物料!$T283)&lt;&gt;0)),1,0)</f>
        <v>0</v>
      </c>
      <c r="Q1483">
        <f>N(Q1482)+$P1483</f>
        <v>14</v>
      </c>
      <c r="R1483">
        <f>IF(AND($K1483=1,AND(对接源_02物料!$X283="公司筐",N(对接源_02物料!$U283)&lt;&gt;0)),1,0)</f>
        <v>0</v>
      </c>
      <c r="S1483">
        <f>N(S1482)+$R1483</f>
        <v>1</v>
      </c>
      <c r="T1483">
        <f>IF(AND($K1483=1,AND(对接源_02物料!$X283="公司筐",N(对接源_02物料!$V283)&lt;&gt;0)),1,0)</f>
        <v>0</v>
      </c>
      <c r="U1483">
        <f>N(U1482)+$T1483</f>
        <v>47</v>
      </c>
      <c r="V1483">
        <f>IF(AND($L1483=1,AND(对接源_02物料!$X283="自备筐",N(对接源_02物料!$V283)&lt;&gt;0)),1,0)</f>
        <v>0</v>
      </c>
      <c r="W1483">
        <f>N(W1482)+$V1483</f>
        <v>11</v>
      </c>
      <c r="X1483">
        <f>IF(AND($L1483=1,AND(对接源_02物料!$X283="自备筐",N(对接源_02物料!$T283)&lt;&gt;0)),1,0)</f>
        <v>0</v>
      </c>
      <c r="Y1483">
        <f>N(Y1482)+$X1483</f>
        <v>0</v>
      </c>
      <c r="Z1483">
        <f>IF(AND($M1483=1,对接源_02物料!$D283="原料入库"),1,0)</f>
        <v>0</v>
      </c>
      <c r="AA1483">
        <f>N(AA1482)+$Z1483</f>
        <v>24</v>
      </c>
      <c r="AB1483">
        <f>IF(AND($M1483=1,LEFT(对接源_02物料!$D283,4)="原料出库"),1,0)</f>
        <v>0</v>
      </c>
      <c r="AC1483">
        <f>N(AC1482)+$AB1483</f>
        <v>0</v>
      </c>
      <c r="AD1483">
        <f>IF(AND($M1483=1,LEFT(对接源_02物料!$D283,4)="成品出库"),1,0)</f>
        <v>0</v>
      </c>
      <c r="AE1483">
        <f>N(AE1482)+$AD1483</f>
        <v>0</v>
      </c>
      <c r="AF1483">
        <f>IF(AND($N1483=1,AND(LEFT(对接源_02物料!$D283,4)="包装物料",N(对接源_02物料!$K283)&lt;&gt;0)),1,0)</f>
        <v>0</v>
      </c>
      <c r="AG1483">
        <f>N(AG1482)+$AF1483</f>
        <v>10</v>
      </c>
      <c r="AH1483">
        <f>IF(AND($N1483=1,AND(对接源_02物料!$D283="周转筐－销售出库",N(对接源_02物料!$K283)&lt;&gt;0)),1,0)</f>
        <v>0</v>
      </c>
      <c r="AI1483">
        <f>N(AI1482)+$AH1483</f>
        <v>0</v>
      </c>
      <c r="AL1483" t="n">
        <v>0</v>
      </c>
      <c r="AM1483">
        <f>N(AM1482)+$AL1483</f>
        <v>2</v>
      </c>
      <c r="AN1483">
        <f>""</f>
      </c>
      <c r="AO1483" t="n">
        <v>0</v>
      </c>
      <c r="AP1483">
        <f>N(AP1482)+$AO1483</f>
        <v>13</v>
      </c>
      <c r="AR1483">
        <f>IF(OR($AF1483=1,$AH1483=1),1,0)</f>
        <v>0</v>
      </c>
      <c r="AS1483">
        <f>N(AS1482)+$AR1483</f>
        <v>10</v>
      </c>
    </row>
    <row r="1484" s="127">
      <c r="A1484">
        <f>IF(对接源_02物料!$C284="","",对接源_02物料!$C284)</f>
      </c>
      <c r="B1484">
        <f>IF(A1484="",0,IF(MATCH(A1484,$A$4:$A$2403,0)=ROW()-3,1,0))</f>
        <v>0</v>
      </c>
      <c r="C1484">
        <f>N(C1483)+B1484</f>
        <v>26</v>
      </c>
      <c r="K1484">
        <f>IF(OR($K$1="",对接源_02物料!$C284="",对接源_02物料!$C284&lt;&gt;$K$1,对接源_02物料!$B284=""),0,IF(OR(N(对接源_02物料!$B284)&lt;$K$2,N(对接源_02物料!$B284)&gt;$K$3),0,1))</f>
        <v>0</v>
      </c>
      <c r="L1484">
        <f>IF(OR($L$1="",对接源_02物料!$C284="",对接源_02物料!$C284&lt;&gt;$L$1,对接源_02物料!$B284=""),0,IF(OR(N(对接源_02物料!$B284)&lt;$L$2,N(对接源_02物料!$B284)&gt;$L$3),0,1))</f>
        <v>0</v>
      </c>
      <c r="M1484">
        <f>IF(OR($M$1="",对接源_02物料!$C284="",对接源_02物料!$C284&lt;&gt;$M$1,对接源_02物料!$B284=""),0,IF(OR(N(对接源_02物料!$B284)&lt;$M$2,N(对接源_02物料!$B284)&gt;$M$3),0,1))</f>
        <v>0</v>
      </c>
      <c r="N1484">
        <f>IF(OR($N$1="",对接源_02物料!$C284="",对接源_02物料!$C284&lt;&gt;$N$1,对接源_02物料!$B284=""),0,IF(OR(N(对接源_02物料!$B284)&lt;$N$2,N(对接源_02物料!$B284)&gt;$N$3),0,1))</f>
        <v>0</v>
      </c>
      <c r="P1484">
        <f>IF(AND($K1484=1,AND(对接源_02物料!$X284="公司筐",N(对接源_02物料!$T284)&lt;&gt;0)),1,0)</f>
        <v>0</v>
      </c>
      <c r="Q1484">
        <f>N(Q1483)+$P1484</f>
        <v>14</v>
      </c>
      <c r="R1484">
        <f>IF(AND($K1484=1,AND(对接源_02物料!$X284="公司筐",N(对接源_02物料!$U284)&lt;&gt;0)),1,0)</f>
        <v>0</v>
      </c>
      <c r="S1484">
        <f>N(S1483)+$R1484</f>
        <v>1</v>
      </c>
      <c r="T1484">
        <f>IF(AND($K1484=1,AND(对接源_02物料!$X284="公司筐",N(对接源_02物料!$V284)&lt;&gt;0)),1,0)</f>
        <v>0</v>
      </c>
      <c r="U1484">
        <f>N(U1483)+$T1484</f>
        <v>47</v>
      </c>
      <c r="V1484">
        <f>IF(AND($L1484=1,AND(对接源_02物料!$X284="自备筐",N(对接源_02物料!$V284)&lt;&gt;0)),1,0)</f>
        <v>0</v>
      </c>
      <c r="W1484">
        <f>N(W1483)+$V1484</f>
        <v>11</v>
      </c>
      <c r="X1484">
        <f>IF(AND($L1484=1,AND(对接源_02物料!$X284="自备筐",N(对接源_02物料!$T284)&lt;&gt;0)),1,0)</f>
        <v>0</v>
      </c>
      <c r="Y1484">
        <f>N(Y1483)+$X1484</f>
        <v>0</v>
      </c>
      <c r="Z1484">
        <f>IF(AND($M1484=1,对接源_02物料!$D284="原料入库"),1,0)</f>
        <v>0</v>
      </c>
      <c r="AA1484">
        <f>N(AA1483)+$Z1484</f>
        <v>24</v>
      </c>
      <c r="AB1484">
        <f>IF(AND($M1484=1,LEFT(对接源_02物料!$D284,4)="原料出库"),1,0)</f>
        <v>0</v>
      </c>
      <c r="AC1484">
        <f>N(AC1483)+$AB1484</f>
        <v>0</v>
      </c>
      <c r="AD1484">
        <f>IF(AND($M1484=1,LEFT(对接源_02物料!$D284,4)="成品出库"),1,0)</f>
        <v>0</v>
      </c>
      <c r="AE1484">
        <f>N(AE1483)+$AD1484</f>
        <v>0</v>
      </c>
      <c r="AF1484">
        <f>IF(AND($N1484=1,AND(LEFT(对接源_02物料!$D284,4)="包装物料",N(对接源_02物料!$K284)&lt;&gt;0)),1,0)</f>
        <v>0</v>
      </c>
      <c r="AG1484">
        <f>N(AG1483)+$AF1484</f>
        <v>10</v>
      </c>
      <c r="AH1484">
        <f>IF(AND($N1484=1,AND(对接源_02物料!$D284="周转筐－销售出库",N(对接源_02物料!$K284)&lt;&gt;0)),1,0)</f>
        <v>0</v>
      </c>
      <c r="AI1484">
        <f>N(AI1483)+$AH1484</f>
        <v>0</v>
      </c>
      <c r="AL1484" t="n">
        <v>0</v>
      </c>
      <c r="AM1484">
        <f>N(AM1483)+$AL1484</f>
        <v>2</v>
      </c>
      <c r="AN1484">
        <f>""</f>
      </c>
      <c r="AO1484" t="n">
        <v>0</v>
      </c>
      <c r="AP1484">
        <f>N(AP1483)+$AO1484</f>
        <v>13</v>
      </c>
      <c r="AR1484">
        <f>IF(OR($AF1484=1,$AH1484=1),1,0)</f>
        <v>0</v>
      </c>
      <c r="AS1484">
        <f>N(AS1483)+$AR1484</f>
        <v>10</v>
      </c>
    </row>
    <row r="1485" s="127">
      <c r="A1485">
        <f>IF(对接源_02物料!$C285="","",对接源_02物料!$C285)</f>
      </c>
      <c r="B1485">
        <f>IF(A1485="",0,IF(MATCH(A1485,$A$4:$A$2403,0)=ROW()-3,1,0))</f>
        <v>0</v>
      </c>
      <c r="C1485">
        <f>N(C1484)+B1485</f>
        <v>26</v>
      </c>
      <c r="K1485">
        <f>IF(OR($K$1="",对接源_02物料!$C285="",对接源_02物料!$C285&lt;&gt;$K$1,对接源_02物料!$B285=""),0,IF(OR(N(对接源_02物料!$B285)&lt;$K$2,N(对接源_02物料!$B285)&gt;$K$3),0,1))</f>
        <v>0</v>
      </c>
      <c r="L1485">
        <f>IF(OR($L$1="",对接源_02物料!$C285="",对接源_02物料!$C285&lt;&gt;$L$1,对接源_02物料!$B285=""),0,IF(OR(N(对接源_02物料!$B285)&lt;$L$2,N(对接源_02物料!$B285)&gt;$L$3),0,1))</f>
        <v>0</v>
      </c>
      <c r="M1485">
        <f>IF(OR($M$1="",对接源_02物料!$C285="",对接源_02物料!$C285&lt;&gt;$M$1,对接源_02物料!$B285=""),0,IF(OR(N(对接源_02物料!$B285)&lt;$M$2,N(对接源_02物料!$B285)&gt;$M$3),0,1))</f>
        <v>0</v>
      </c>
      <c r="N1485">
        <f>IF(OR($N$1="",对接源_02物料!$C285="",对接源_02物料!$C285&lt;&gt;$N$1,对接源_02物料!$B285=""),0,IF(OR(N(对接源_02物料!$B285)&lt;$N$2,N(对接源_02物料!$B285)&gt;$N$3),0,1))</f>
        <v>0</v>
      </c>
      <c r="P1485">
        <f>IF(AND($K1485=1,AND(对接源_02物料!$X285="公司筐",N(对接源_02物料!$T285)&lt;&gt;0)),1,0)</f>
        <v>0</v>
      </c>
      <c r="Q1485">
        <f>N(Q1484)+$P1485</f>
        <v>14</v>
      </c>
      <c r="R1485">
        <f>IF(AND($K1485=1,AND(对接源_02物料!$X285="公司筐",N(对接源_02物料!$U285)&lt;&gt;0)),1,0)</f>
        <v>0</v>
      </c>
      <c r="S1485">
        <f>N(S1484)+$R1485</f>
        <v>1</v>
      </c>
      <c r="T1485">
        <f>IF(AND($K1485=1,AND(对接源_02物料!$X285="公司筐",N(对接源_02物料!$V285)&lt;&gt;0)),1,0)</f>
        <v>0</v>
      </c>
      <c r="U1485">
        <f>N(U1484)+$T1485</f>
        <v>47</v>
      </c>
      <c r="V1485">
        <f>IF(AND($L1485=1,AND(对接源_02物料!$X285="自备筐",N(对接源_02物料!$V285)&lt;&gt;0)),1,0)</f>
        <v>0</v>
      </c>
      <c r="W1485">
        <f>N(W1484)+$V1485</f>
        <v>11</v>
      </c>
      <c r="X1485">
        <f>IF(AND($L1485=1,AND(对接源_02物料!$X285="自备筐",N(对接源_02物料!$T285)&lt;&gt;0)),1,0)</f>
        <v>0</v>
      </c>
      <c r="Y1485">
        <f>N(Y1484)+$X1485</f>
        <v>0</v>
      </c>
      <c r="Z1485">
        <f>IF(AND($M1485=1,对接源_02物料!$D285="原料入库"),1,0)</f>
        <v>0</v>
      </c>
      <c r="AA1485">
        <f>N(AA1484)+$Z1485</f>
        <v>24</v>
      </c>
      <c r="AB1485">
        <f>IF(AND($M1485=1,LEFT(对接源_02物料!$D285,4)="原料出库"),1,0)</f>
        <v>0</v>
      </c>
      <c r="AC1485">
        <f>N(AC1484)+$AB1485</f>
        <v>0</v>
      </c>
      <c r="AD1485">
        <f>IF(AND($M1485=1,LEFT(对接源_02物料!$D285,4)="成品出库"),1,0)</f>
        <v>0</v>
      </c>
      <c r="AE1485">
        <f>N(AE1484)+$AD1485</f>
        <v>0</v>
      </c>
      <c r="AF1485">
        <f>IF(AND($N1485=1,AND(LEFT(对接源_02物料!$D285,4)="包装物料",N(对接源_02物料!$K285)&lt;&gt;0)),1,0)</f>
        <v>0</v>
      </c>
      <c r="AG1485">
        <f>N(AG1484)+$AF1485</f>
        <v>10</v>
      </c>
      <c r="AH1485">
        <f>IF(AND($N1485=1,AND(对接源_02物料!$D285="周转筐－销售出库",N(对接源_02物料!$K285)&lt;&gt;0)),1,0)</f>
        <v>0</v>
      </c>
      <c r="AI1485">
        <f>N(AI1484)+$AH1485</f>
        <v>0</v>
      </c>
      <c r="AL1485" t="n">
        <v>0</v>
      </c>
      <c r="AM1485">
        <f>N(AM1484)+$AL1485</f>
        <v>2</v>
      </c>
      <c r="AN1485">
        <f>""</f>
      </c>
      <c r="AO1485" t="n">
        <v>0</v>
      </c>
      <c r="AP1485">
        <f>N(AP1484)+$AO1485</f>
        <v>13</v>
      </c>
      <c r="AR1485">
        <f>IF(OR($AF1485=1,$AH1485=1),1,0)</f>
        <v>0</v>
      </c>
      <c r="AS1485">
        <f>N(AS1484)+$AR1485</f>
        <v>10</v>
      </c>
    </row>
    <row r="1486" s="127">
      <c r="A1486">
        <f>IF(对接源_02物料!$C286="","",对接源_02物料!$C286)</f>
      </c>
      <c r="B1486">
        <f>IF(A1486="",0,IF(MATCH(A1486,$A$4:$A$2403,0)=ROW()-3,1,0))</f>
        <v>0</v>
      </c>
      <c r="C1486">
        <f>N(C1485)+B1486</f>
        <v>26</v>
      </c>
      <c r="K1486">
        <f>IF(OR($K$1="",对接源_02物料!$C286="",对接源_02物料!$C286&lt;&gt;$K$1,对接源_02物料!$B286=""),0,IF(OR(N(对接源_02物料!$B286)&lt;$K$2,N(对接源_02物料!$B286)&gt;$K$3),0,1))</f>
        <v>0</v>
      </c>
      <c r="L1486">
        <f>IF(OR($L$1="",对接源_02物料!$C286="",对接源_02物料!$C286&lt;&gt;$L$1,对接源_02物料!$B286=""),0,IF(OR(N(对接源_02物料!$B286)&lt;$L$2,N(对接源_02物料!$B286)&gt;$L$3),0,1))</f>
        <v>0</v>
      </c>
      <c r="M1486">
        <f>IF(OR($M$1="",对接源_02物料!$C286="",对接源_02物料!$C286&lt;&gt;$M$1,对接源_02物料!$B286=""),0,IF(OR(N(对接源_02物料!$B286)&lt;$M$2,N(对接源_02物料!$B286)&gt;$M$3),0,1))</f>
        <v>0</v>
      </c>
      <c r="N1486">
        <f>IF(OR($N$1="",对接源_02物料!$C286="",对接源_02物料!$C286&lt;&gt;$N$1,对接源_02物料!$B286=""),0,IF(OR(N(对接源_02物料!$B286)&lt;$N$2,N(对接源_02物料!$B286)&gt;$N$3),0,1))</f>
        <v>0</v>
      </c>
      <c r="P1486">
        <f>IF(AND($K1486=1,AND(对接源_02物料!$X286="公司筐",N(对接源_02物料!$T286)&lt;&gt;0)),1,0)</f>
        <v>0</v>
      </c>
      <c r="Q1486">
        <f>N(Q1485)+$P1486</f>
        <v>14</v>
      </c>
      <c r="R1486">
        <f>IF(AND($K1486=1,AND(对接源_02物料!$X286="公司筐",N(对接源_02物料!$U286)&lt;&gt;0)),1,0)</f>
        <v>0</v>
      </c>
      <c r="S1486">
        <f>N(S1485)+$R1486</f>
        <v>1</v>
      </c>
      <c r="T1486">
        <f>IF(AND($K1486=1,AND(对接源_02物料!$X286="公司筐",N(对接源_02物料!$V286)&lt;&gt;0)),1,0)</f>
        <v>0</v>
      </c>
      <c r="U1486">
        <f>N(U1485)+$T1486</f>
        <v>47</v>
      </c>
      <c r="V1486">
        <f>IF(AND($L1486=1,AND(对接源_02物料!$X286="自备筐",N(对接源_02物料!$V286)&lt;&gt;0)),1,0)</f>
        <v>0</v>
      </c>
      <c r="W1486">
        <f>N(W1485)+$V1486</f>
        <v>11</v>
      </c>
      <c r="X1486">
        <f>IF(AND($L1486=1,AND(对接源_02物料!$X286="自备筐",N(对接源_02物料!$T286)&lt;&gt;0)),1,0)</f>
        <v>0</v>
      </c>
      <c r="Y1486">
        <f>N(Y1485)+$X1486</f>
        <v>0</v>
      </c>
      <c r="Z1486">
        <f>IF(AND($M1486=1,对接源_02物料!$D286="原料入库"),1,0)</f>
        <v>0</v>
      </c>
      <c r="AA1486">
        <f>N(AA1485)+$Z1486</f>
        <v>24</v>
      </c>
      <c r="AB1486">
        <f>IF(AND($M1486=1,LEFT(对接源_02物料!$D286,4)="原料出库"),1,0)</f>
        <v>0</v>
      </c>
      <c r="AC1486">
        <f>N(AC1485)+$AB1486</f>
        <v>0</v>
      </c>
      <c r="AD1486">
        <f>IF(AND($M1486=1,LEFT(对接源_02物料!$D286,4)="成品出库"),1,0)</f>
        <v>0</v>
      </c>
      <c r="AE1486">
        <f>N(AE1485)+$AD1486</f>
        <v>0</v>
      </c>
      <c r="AF1486">
        <f>IF(AND($N1486=1,AND(LEFT(对接源_02物料!$D286,4)="包装物料",N(对接源_02物料!$K286)&lt;&gt;0)),1,0)</f>
        <v>0</v>
      </c>
      <c r="AG1486">
        <f>N(AG1485)+$AF1486</f>
        <v>10</v>
      </c>
      <c r="AH1486">
        <f>IF(AND($N1486=1,AND(对接源_02物料!$D286="周转筐－销售出库",N(对接源_02物料!$K286)&lt;&gt;0)),1,0)</f>
        <v>0</v>
      </c>
      <c r="AI1486">
        <f>N(AI1485)+$AH1486</f>
        <v>0</v>
      </c>
      <c r="AL1486" t="n">
        <v>0</v>
      </c>
      <c r="AM1486">
        <f>N(AM1485)+$AL1486</f>
        <v>2</v>
      </c>
      <c r="AN1486">
        <f>""</f>
      </c>
      <c r="AO1486" t="n">
        <v>0</v>
      </c>
      <c r="AP1486">
        <f>N(AP1485)+$AO1486</f>
        <v>13</v>
      </c>
      <c r="AR1486">
        <f>IF(OR($AF1486=1,$AH1486=1),1,0)</f>
        <v>0</v>
      </c>
      <c r="AS1486">
        <f>N(AS1485)+$AR1486</f>
        <v>10</v>
      </c>
    </row>
    <row r="1487" s="127">
      <c r="A1487">
        <f>IF(对接源_02物料!$C287="","",对接源_02物料!$C287)</f>
      </c>
      <c r="B1487">
        <f>IF(A1487="",0,IF(MATCH(A1487,$A$4:$A$2403,0)=ROW()-3,1,0))</f>
        <v>0</v>
      </c>
      <c r="C1487">
        <f>N(C1486)+B1487</f>
        <v>26</v>
      </c>
      <c r="K1487">
        <f>IF(OR($K$1="",对接源_02物料!$C287="",对接源_02物料!$C287&lt;&gt;$K$1,对接源_02物料!$B287=""),0,IF(OR(N(对接源_02物料!$B287)&lt;$K$2,N(对接源_02物料!$B287)&gt;$K$3),0,1))</f>
        <v>0</v>
      </c>
      <c r="L1487">
        <f>IF(OR($L$1="",对接源_02物料!$C287="",对接源_02物料!$C287&lt;&gt;$L$1,对接源_02物料!$B287=""),0,IF(OR(N(对接源_02物料!$B287)&lt;$L$2,N(对接源_02物料!$B287)&gt;$L$3),0,1))</f>
        <v>0</v>
      </c>
      <c r="M1487">
        <f>IF(OR($M$1="",对接源_02物料!$C287="",对接源_02物料!$C287&lt;&gt;$M$1,对接源_02物料!$B287=""),0,IF(OR(N(对接源_02物料!$B287)&lt;$M$2,N(对接源_02物料!$B287)&gt;$M$3),0,1))</f>
        <v>0</v>
      </c>
      <c r="N1487">
        <f>IF(OR($N$1="",对接源_02物料!$C287="",对接源_02物料!$C287&lt;&gt;$N$1,对接源_02物料!$B287=""),0,IF(OR(N(对接源_02物料!$B287)&lt;$N$2,N(对接源_02物料!$B287)&gt;$N$3),0,1))</f>
        <v>0</v>
      </c>
      <c r="P1487">
        <f>IF(AND($K1487=1,AND(对接源_02物料!$X287="公司筐",N(对接源_02物料!$T287)&lt;&gt;0)),1,0)</f>
        <v>0</v>
      </c>
      <c r="Q1487">
        <f>N(Q1486)+$P1487</f>
        <v>14</v>
      </c>
      <c r="R1487">
        <f>IF(AND($K1487=1,AND(对接源_02物料!$X287="公司筐",N(对接源_02物料!$U287)&lt;&gt;0)),1,0)</f>
        <v>0</v>
      </c>
      <c r="S1487">
        <f>N(S1486)+$R1487</f>
        <v>1</v>
      </c>
      <c r="T1487">
        <f>IF(AND($K1487=1,AND(对接源_02物料!$X287="公司筐",N(对接源_02物料!$V287)&lt;&gt;0)),1,0)</f>
        <v>0</v>
      </c>
      <c r="U1487">
        <f>N(U1486)+$T1487</f>
        <v>47</v>
      </c>
      <c r="V1487">
        <f>IF(AND($L1487=1,AND(对接源_02物料!$X287="自备筐",N(对接源_02物料!$V287)&lt;&gt;0)),1,0)</f>
        <v>0</v>
      </c>
      <c r="W1487">
        <f>N(W1486)+$V1487</f>
        <v>11</v>
      </c>
      <c r="X1487">
        <f>IF(AND($L1487=1,AND(对接源_02物料!$X287="自备筐",N(对接源_02物料!$T287)&lt;&gt;0)),1,0)</f>
        <v>0</v>
      </c>
      <c r="Y1487">
        <f>N(Y1486)+$X1487</f>
        <v>0</v>
      </c>
      <c r="Z1487">
        <f>IF(AND($M1487=1,对接源_02物料!$D287="原料入库"),1,0)</f>
        <v>0</v>
      </c>
      <c r="AA1487">
        <f>N(AA1486)+$Z1487</f>
        <v>24</v>
      </c>
      <c r="AB1487">
        <f>IF(AND($M1487=1,LEFT(对接源_02物料!$D287,4)="原料出库"),1,0)</f>
        <v>0</v>
      </c>
      <c r="AC1487">
        <f>N(AC1486)+$AB1487</f>
        <v>0</v>
      </c>
      <c r="AD1487">
        <f>IF(AND($M1487=1,LEFT(对接源_02物料!$D287,4)="成品出库"),1,0)</f>
        <v>0</v>
      </c>
      <c r="AE1487">
        <f>N(AE1486)+$AD1487</f>
        <v>0</v>
      </c>
      <c r="AF1487">
        <f>IF(AND($N1487=1,AND(LEFT(对接源_02物料!$D287,4)="包装物料",N(对接源_02物料!$K287)&lt;&gt;0)),1,0)</f>
        <v>0</v>
      </c>
      <c r="AG1487">
        <f>N(AG1486)+$AF1487</f>
        <v>10</v>
      </c>
      <c r="AH1487">
        <f>IF(AND($N1487=1,AND(对接源_02物料!$D287="周转筐－销售出库",N(对接源_02物料!$K287)&lt;&gt;0)),1,0)</f>
        <v>0</v>
      </c>
      <c r="AI1487">
        <f>N(AI1486)+$AH1487</f>
        <v>0</v>
      </c>
      <c r="AL1487" t="n">
        <v>0</v>
      </c>
      <c r="AM1487">
        <f>N(AM1486)+$AL1487</f>
        <v>2</v>
      </c>
      <c r="AN1487">
        <f>""</f>
      </c>
      <c r="AO1487" t="n">
        <v>0</v>
      </c>
      <c r="AP1487">
        <f>N(AP1486)+$AO1487</f>
        <v>13</v>
      </c>
      <c r="AR1487">
        <f>IF(OR($AF1487=1,$AH1487=1),1,0)</f>
        <v>0</v>
      </c>
      <c r="AS1487">
        <f>N(AS1486)+$AR1487</f>
        <v>10</v>
      </c>
    </row>
    <row r="1488" s="127">
      <c r="A1488">
        <f>IF(对接源_02物料!$C288="","",对接源_02物料!$C288)</f>
      </c>
      <c r="B1488">
        <f>IF(A1488="",0,IF(MATCH(A1488,$A$4:$A$2403,0)=ROW()-3,1,0))</f>
        <v>0</v>
      </c>
      <c r="C1488">
        <f>N(C1487)+B1488</f>
        <v>26</v>
      </c>
      <c r="K1488">
        <f>IF(OR($K$1="",对接源_02物料!$C288="",对接源_02物料!$C288&lt;&gt;$K$1,对接源_02物料!$B288=""),0,IF(OR(N(对接源_02物料!$B288)&lt;$K$2,N(对接源_02物料!$B288)&gt;$K$3),0,1))</f>
        <v>0</v>
      </c>
      <c r="L1488">
        <f>IF(OR($L$1="",对接源_02物料!$C288="",对接源_02物料!$C288&lt;&gt;$L$1,对接源_02物料!$B288=""),0,IF(OR(N(对接源_02物料!$B288)&lt;$L$2,N(对接源_02物料!$B288)&gt;$L$3),0,1))</f>
        <v>0</v>
      </c>
      <c r="M1488">
        <f>IF(OR($M$1="",对接源_02物料!$C288="",对接源_02物料!$C288&lt;&gt;$M$1,对接源_02物料!$B288=""),0,IF(OR(N(对接源_02物料!$B288)&lt;$M$2,N(对接源_02物料!$B288)&gt;$M$3),0,1))</f>
        <v>0</v>
      </c>
      <c r="N1488">
        <f>IF(OR($N$1="",对接源_02物料!$C288="",对接源_02物料!$C288&lt;&gt;$N$1,对接源_02物料!$B288=""),0,IF(OR(N(对接源_02物料!$B288)&lt;$N$2,N(对接源_02物料!$B288)&gt;$N$3),0,1))</f>
        <v>0</v>
      </c>
      <c r="P1488">
        <f>IF(AND($K1488=1,AND(对接源_02物料!$X288="公司筐",N(对接源_02物料!$T288)&lt;&gt;0)),1,0)</f>
        <v>0</v>
      </c>
      <c r="Q1488">
        <f>N(Q1487)+$P1488</f>
        <v>14</v>
      </c>
      <c r="R1488">
        <f>IF(AND($K1488=1,AND(对接源_02物料!$X288="公司筐",N(对接源_02物料!$U288)&lt;&gt;0)),1,0)</f>
        <v>0</v>
      </c>
      <c r="S1488">
        <f>N(S1487)+$R1488</f>
        <v>1</v>
      </c>
      <c r="T1488">
        <f>IF(AND($K1488=1,AND(对接源_02物料!$X288="公司筐",N(对接源_02物料!$V288)&lt;&gt;0)),1,0)</f>
        <v>0</v>
      </c>
      <c r="U1488">
        <f>N(U1487)+$T1488</f>
        <v>47</v>
      </c>
      <c r="V1488">
        <f>IF(AND($L1488=1,AND(对接源_02物料!$X288="自备筐",N(对接源_02物料!$V288)&lt;&gt;0)),1,0)</f>
        <v>0</v>
      </c>
      <c r="W1488">
        <f>N(W1487)+$V1488</f>
        <v>11</v>
      </c>
      <c r="X1488">
        <f>IF(AND($L1488=1,AND(对接源_02物料!$X288="自备筐",N(对接源_02物料!$T288)&lt;&gt;0)),1,0)</f>
        <v>0</v>
      </c>
      <c r="Y1488">
        <f>N(Y1487)+$X1488</f>
        <v>0</v>
      </c>
      <c r="Z1488">
        <f>IF(AND($M1488=1,对接源_02物料!$D288="原料入库"),1,0)</f>
        <v>0</v>
      </c>
      <c r="AA1488">
        <f>N(AA1487)+$Z1488</f>
        <v>24</v>
      </c>
      <c r="AB1488">
        <f>IF(AND($M1488=1,LEFT(对接源_02物料!$D288,4)="原料出库"),1,0)</f>
        <v>0</v>
      </c>
      <c r="AC1488">
        <f>N(AC1487)+$AB1488</f>
        <v>0</v>
      </c>
      <c r="AD1488">
        <f>IF(AND($M1488=1,LEFT(对接源_02物料!$D288,4)="成品出库"),1,0)</f>
        <v>0</v>
      </c>
      <c r="AE1488">
        <f>N(AE1487)+$AD1488</f>
        <v>0</v>
      </c>
      <c r="AF1488">
        <f>IF(AND($N1488=1,AND(LEFT(对接源_02物料!$D288,4)="包装物料",N(对接源_02物料!$K288)&lt;&gt;0)),1,0)</f>
        <v>0</v>
      </c>
      <c r="AG1488">
        <f>N(AG1487)+$AF1488</f>
        <v>10</v>
      </c>
      <c r="AH1488">
        <f>IF(AND($N1488=1,AND(对接源_02物料!$D288="周转筐－销售出库",N(对接源_02物料!$K288)&lt;&gt;0)),1,0)</f>
        <v>0</v>
      </c>
      <c r="AI1488">
        <f>N(AI1487)+$AH1488</f>
        <v>0</v>
      </c>
      <c r="AL1488" t="n">
        <v>0</v>
      </c>
      <c r="AM1488">
        <f>N(AM1487)+$AL1488</f>
        <v>2</v>
      </c>
      <c r="AN1488">
        <f>""</f>
      </c>
      <c r="AO1488" t="n">
        <v>0</v>
      </c>
      <c r="AP1488">
        <f>N(AP1487)+$AO1488</f>
        <v>13</v>
      </c>
      <c r="AR1488">
        <f>IF(OR($AF1488=1,$AH1488=1),1,0)</f>
        <v>0</v>
      </c>
      <c r="AS1488">
        <f>N(AS1487)+$AR1488</f>
        <v>10</v>
      </c>
    </row>
    <row r="1489" s="127">
      <c r="A1489">
        <f>IF(对接源_02物料!$C289="","",对接源_02物料!$C289)</f>
      </c>
      <c r="B1489">
        <f>IF(A1489="",0,IF(MATCH(A1489,$A$4:$A$2403,0)=ROW()-3,1,0))</f>
        <v>0</v>
      </c>
      <c r="C1489">
        <f>N(C1488)+B1489</f>
        <v>26</v>
      </c>
      <c r="K1489">
        <f>IF(OR($K$1="",对接源_02物料!$C289="",对接源_02物料!$C289&lt;&gt;$K$1,对接源_02物料!$B289=""),0,IF(OR(N(对接源_02物料!$B289)&lt;$K$2,N(对接源_02物料!$B289)&gt;$K$3),0,1))</f>
        <v>0</v>
      </c>
      <c r="L1489">
        <f>IF(OR($L$1="",对接源_02物料!$C289="",对接源_02物料!$C289&lt;&gt;$L$1,对接源_02物料!$B289=""),0,IF(OR(N(对接源_02物料!$B289)&lt;$L$2,N(对接源_02物料!$B289)&gt;$L$3),0,1))</f>
        <v>0</v>
      </c>
      <c r="M1489">
        <f>IF(OR($M$1="",对接源_02物料!$C289="",对接源_02物料!$C289&lt;&gt;$M$1,对接源_02物料!$B289=""),0,IF(OR(N(对接源_02物料!$B289)&lt;$M$2,N(对接源_02物料!$B289)&gt;$M$3),0,1))</f>
        <v>0</v>
      </c>
      <c r="N1489">
        <f>IF(OR($N$1="",对接源_02物料!$C289="",对接源_02物料!$C289&lt;&gt;$N$1,对接源_02物料!$B289=""),0,IF(OR(N(对接源_02物料!$B289)&lt;$N$2,N(对接源_02物料!$B289)&gt;$N$3),0,1))</f>
        <v>0</v>
      </c>
      <c r="P1489">
        <f>IF(AND($K1489=1,AND(对接源_02物料!$X289="公司筐",N(对接源_02物料!$T289)&lt;&gt;0)),1,0)</f>
        <v>0</v>
      </c>
      <c r="Q1489">
        <f>N(Q1488)+$P1489</f>
        <v>14</v>
      </c>
      <c r="R1489">
        <f>IF(AND($K1489=1,AND(对接源_02物料!$X289="公司筐",N(对接源_02物料!$U289)&lt;&gt;0)),1,0)</f>
        <v>0</v>
      </c>
      <c r="S1489">
        <f>N(S1488)+$R1489</f>
        <v>1</v>
      </c>
      <c r="T1489">
        <f>IF(AND($K1489=1,AND(对接源_02物料!$X289="公司筐",N(对接源_02物料!$V289)&lt;&gt;0)),1,0)</f>
        <v>0</v>
      </c>
      <c r="U1489">
        <f>N(U1488)+$T1489</f>
        <v>47</v>
      </c>
      <c r="V1489">
        <f>IF(AND($L1489=1,AND(对接源_02物料!$X289="自备筐",N(对接源_02物料!$V289)&lt;&gt;0)),1,0)</f>
        <v>0</v>
      </c>
      <c r="W1489">
        <f>N(W1488)+$V1489</f>
        <v>11</v>
      </c>
      <c r="X1489">
        <f>IF(AND($L1489=1,AND(对接源_02物料!$X289="自备筐",N(对接源_02物料!$T289)&lt;&gt;0)),1,0)</f>
        <v>0</v>
      </c>
      <c r="Y1489">
        <f>N(Y1488)+$X1489</f>
        <v>0</v>
      </c>
      <c r="Z1489">
        <f>IF(AND($M1489=1,对接源_02物料!$D289="原料入库"),1,0)</f>
        <v>0</v>
      </c>
      <c r="AA1489">
        <f>N(AA1488)+$Z1489</f>
        <v>24</v>
      </c>
      <c r="AB1489">
        <f>IF(AND($M1489=1,LEFT(对接源_02物料!$D289,4)="原料出库"),1,0)</f>
        <v>0</v>
      </c>
      <c r="AC1489">
        <f>N(AC1488)+$AB1489</f>
        <v>0</v>
      </c>
      <c r="AD1489">
        <f>IF(AND($M1489=1,LEFT(对接源_02物料!$D289,4)="成品出库"),1,0)</f>
        <v>0</v>
      </c>
      <c r="AE1489">
        <f>N(AE1488)+$AD1489</f>
        <v>0</v>
      </c>
      <c r="AF1489">
        <f>IF(AND($N1489=1,AND(LEFT(对接源_02物料!$D289,4)="包装物料",N(对接源_02物料!$K289)&lt;&gt;0)),1,0)</f>
        <v>0</v>
      </c>
      <c r="AG1489">
        <f>N(AG1488)+$AF1489</f>
        <v>10</v>
      </c>
      <c r="AH1489">
        <f>IF(AND($N1489=1,AND(对接源_02物料!$D289="周转筐－销售出库",N(对接源_02物料!$K289)&lt;&gt;0)),1,0)</f>
        <v>0</v>
      </c>
      <c r="AI1489">
        <f>N(AI1488)+$AH1489</f>
        <v>0</v>
      </c>
      <c r="AL1489" t="n">
        <v>0</v>
      </c>
      <c r="AM1489">
        <f>N(AM1488)+$AL1489</f>
        <v>2</v>
      </c>
      <c r="AN1489">
        <f>""</f>
      </c>
      <c r="AO1489" t="n">
        <v>0</v>
      </c>
      <c r="AP1489">
        <f>N(AP1488)+$AO1489</f>
        <v>13</v>
      </c>
      <c r="AR1489">
        <f>IF(OR($AF1489=1,$AH1489=1),1,0)</f>
        <v>0</v>
      </c>
      <c r="AS1489">
        <f>N(AS1488)+$AR1489</f>
        <v>10</v>
      </c>
    </row>
    <row r="1490" s="127">
      <c r="A1490">
        <f>IF(对接源_02物料!$C290="","",对接源_02物料!$C290)</f>
      </c>
      <c r="B1490">
        <f>IF(A1490="",0,IF(MATCH(A1490,$A$4:$A$2403,0)=ROW()-3,1,0))</f>
        <v>0</v>
      </c>
      <c r="C1490">
        <f>N(C1489)+B1490</f>
        <v>26</v>
      </c>
      <c r="K1490">
        <f>IF(OR($K$1="",对接源_02物料!$C290="",对接源_02物料!$C290&lt;&gt;$K$1,对接源_02物料!$B290=""),0,IF(OR(N(对接源_02物料!$B290)&lt;$K$2,N(对接源_02物料!$B290)&gt;$K$3),0,1))</f>
        <v>0</v>
      </c>
      <c r="L1490">
        <f>IF(OR($L$1="",对接源_02物料!$C290="",对接源_02物料!$C290&lt;&gt;$L$1,对接源_02物料!$B290=""),0,IF(OR(N(对接源_02物料!$B290)&lt;$L$2,N(对接源_02物料!$B290)&gt;$L$3),0,1))</f>
        <v>0</v>
      </c>
      <c r="M1490">
        <f>IF(OR($M$1="",对接源_02物料!$C290="",对接源_02物料!$C290&lt;&gt;$M$1,对接源_02物料!$B290=""),0,IF(OR(N(对接源_02物料!$B290)&lt;$M$2,N(对接源_02物料!$B290)&gt;$M$3),0,1))</f>
        <v>0</v>
      </c>
      <c r="N1490">
        <f>IF(OR($N$1="",对接源_02物料!$C290="",对接源_02物料!$C290&lt;&gt;$N$1,对接源_02物料!$B290=""),0,IF(OR(N(对接源_02物料!$B290)&lt;$N$2,N(对接源_02物料!$B290)&gt;$N$3),0,1))</f>
        <v>0</v>
      </c>
      <c r="P1490">
        <f>IF(AND($K1490=1,AND(对接源_02物料!$X290="公司筐",N(对接源_02物料!$T290)&lt;&gt;0)),1,0)</f>
        <v>0</v>
      </c>
      <c r="Q1490">
        <f>N(Q1489)+$P1490</f>
        <v>14</v>
      </c>
      <c r="R1490">
        <f>IF(AND($K1490=1,AND(对接源_02物料!$X290="公司筐",N(对接源_02物料!$U290)&lt;&gt;0)),1,0)</f>
        <v>0</v>
      </c>
      <c r="S1490">
        <f>N(S1489)+$R1490</f>
        <v>1</v>
      </c>
      <c r="T1490">
        <f>IF(AND($K1490=1,AND(对接源_02物料!$X290="公司筐",N(对接源_02物料!$V290)&lt;&gt;0)),1,0)</f>
        <v>0</v>
      </c>
      <c r="U1490">
        <f>N(U1489)+$T1490</f>
        <v>47</v>
      </c>
      <c r="V1490">
        <f>IF(AND($L1490=1,AND(对接源_02物料!$X290="自备筐",N(对接源_02物料!$V290)&lt;&gt;0)),1,0)</f>
        <v>0</v>
      </c>
      <c r="W1490">
        <f>N(W1489)+$V1490</f>
        <v>11</v>
      </c>
      <c r="X1490">
        <f>IF(AND($L1490=1,AND(对接源_02物料!$X290="自备筐",N(对接源_02物料!$T290)&lt;&gt;0)),1,0)</f>
        <v>0</v>
      </c>
      <c r="Y1490">
        <f>N(Y1489)+$X1490</f>
        <v>0</v>
      </c>
      <c r="Z1490">
        <f>IF(AND($M1490=1,对接源_02物料!$D290="原料入库"),1,0)</f>
        <v>0</v>
      </c>
      <c r="AA1490">
        <f>N(AA1489)+$Z1490</f>
        <v>24</v>
      </c>
      <c r="AB1490">
        <f>IF(AND($M1490=1,LEFT(对接源_02物料!$D290,4)="原料出库"),1,0)</f>
        <v>0</v>
      </c>
      <c r="AC1490">
        <f>N(AC1489)+$AB1490</f>
        <v>0</v>
      </c>
      <c r="AD1490">
        <f>IF(AND($M1490=1,LEFT(对接源_02物料!$D290,4)="成品出库"),1,0)</f>
        <v>0</v>
      </c>
      <c r="AE1490">
        <f>N(AE1489)+$AD1490</f>
        <v>0</v>
      </c>
      <c r="AF1490">
        <f>IF(AND($N1490=1,AND(LEFT(对接源_02物料!$D290,4)="包装物料",N(对接源_02物料!$K290)&lt;&gt;0)),1,0)</f>
        <v>0</v>
      </c>
      <c r="AG1490">
        <f>N(AG1489)+$AF1490</f>
        <v>10</v>
      </c>
      <c r="AH1490">
        <f>IF(AND($N1490=1,AND(对接源_02物料!$D290="周转筐－销售出库",N(对接源_02物料!$K290)&lt;&gt;0)),1,0)</f>
        <v>0</v>
      </c>
      <c r="AI1490">
        <f>N(AI1489)+$AH1490</f>
        <v>0</v>
      </c>
      <c r="AL1490" t="n">
        <v>0</v>
      </c>
      <c r="AM1490">
        <f>N(AM1489)+$AL1490</f>
        <v>2</v>
      </c>
      <c r="AN1490">
        <f>""</f>
      </c>
      <c r="AO1490" t="n">
        <v>0</v>
      </c>
      <c r="AP1490">
        <f>N(AP1489)+$AO1490</f>
        <v>13</v>
      </c>
      <c r="AR1490">
        <f>IF(OR($AF1490=1,$AH1490=1),1,0)</f>
        <v>0</v>
      </c>
      <c r="AS1490">
        <f>N(AS1489)+$AR1490</f>
        <v>10</v>
      </c>
    </row>
    <row r="1491" s="127">
      <c r="A1491">
        <f>IF(对接源_02物料!$C291="","",对接源_02物料!$C291)</f>
      </c>
      <c r="B1491">
        <f>IF(A1491="",0,IF(MATCH(A1491,$A$4:$A$2403,0)=ROW()-3,1,0))</f>
        <v>0</v>
      </c>
      <c r="C1491">
        <f>N(C1490)+B1491</f>
        <v>26</v>
      </c>
      <c r="K1491">
        <f>IF(OR($K$1="",对接源_02物料!$C291="",对接源_02物料!$C291&lt;&gt;$K$1,对接源_02物料!$B291=""),0,IF(OR(N(对接源_02物料!$B291)&lt;$K$2,N(对接源_02物料!$B291)&gt;$K$3),0,1))</f>
        <v>0</v>
      </c>
      <c r="L1491">
        <f>IF(OR($L$1="",对接源_02物料!$C291="",对接源_02物料!$C291&lt;&gt;$L$1,对接源_02物料!$B291=""),0,IF(OR(N(对接源_02物料!$B291)&lt;$L$2,N(对接源_02物料!$B291)&gt;$L$3),0,1))</f>
        <v>0</v>
      </c>
      <c r="M1491">
        <f>IF(OR($M$1="",对接源_02物料!$C291="",对接源_02物料!$C291&lt;&gt;$M$1,对接源_02物料!$B291=""),0,IF(OR(N(对接源_02物料!$B291)&lt;$M$2,N(对接源_02物料!$B291)&gt;$M$3),0,1))</f>
        <v>0</v>
      </c>
      <c r="N1491">
        <f>IF(OR($N$1="",对接源_02物料!$C291="",对接源_02物料!$C291&lt;&gt;$N$1,对接源_02物料!$B291=""),0,IF(OR(N(对接源_02物料!$B291)&lt;$N$2,N(对接源_02物料!$B291)&gt;$N$3),0,1))</f>
        <v>0</v>
      </c>
      <c r="P1491">
        <f>IF(AND($K1491=1,AND(对接源_02物料!$X291="公司筐",N(对接源_02物料!$T291)&lt;&gt;0)),1,0)</f>
        <v>0</v>
      </c>
      <c r="Q1491">
        <f>N(Q1490)+$P1491</f>
        <v>14</v>
      </c>
      <c r="R1491">
        <f>IF(AND($K1491=1,AND(对接源_02物料!$X291="公司筐",N(对接源_02物料!$U291)&lt;&gt;0)),1,0)</f>
        <v>0</v>
      </c>
      <c r="S1491">
        <f>N(S1490)+$R1491</f>
        <v>1</v>
      </c>
      <c r="T1491">
        <f>IF(AND($K1491=1,AND(对接源_02物料!$X291="公司筐",N(对接源_02物料!$V291)&lt;&gt;0)),1,0)</f>
        <v>0</v>
      </c>
      <c r="U1491">
        <f>N(U1490)+$T1491</f>
        <v>47</v>
      </c>
      <c r="V1491">
        <f>IF(AND($L1491=1,AND(对接源_02物料!$X291="自备筐",N(对接源_02物料!$V291)&lt;&gt;0)),1,0)</f>
        <v>0</v>
      </c>
      <c r="W1491">
        <f>N(W1490)+$V1491</f>
        <v>11</v>
      </c>
      <c r="X1491">
        <f>IF(AND($L1491=1,AND(对接源_02物料!$X291="自备筐",N(对接源_02物料!$T291)&lt;&gt;0)),1,0)</f>
        <v>0</v>
      </c>
      <c r="Y1491">
        <f>N(Y1490)+$X1491</f>
        <v>0</v>
      </c>
      <c r="Z1491">
        <f>IF(AND($M1491=1,对接源_02物料!$D291="原料入库"),1,0)</f>
        <v>0</v>
      </c>
      <c r="AA1491">
        <f>N(AA1490)+$Z1491</f>
        <v>24</v>
      </c>
      <c r="AB1491">
        <f>IF(AND($M1491=1,LEFT(对接源_02物料!$D291,4)="原料出库"),1,0)</f>
        <v>0</v>
      </c>
      <c r="AC1491">
        <f>N(AC1490)+$AB1491</f>
        <v>0</v>
      </c>
      <c r="AD1491">
        <f>IF(AND($M1491=1,LEFT(对接源_02物料!$D291,4)="成品出库"),1,0)</f>
        <v>0</v>
      </c>
      <c r="AE1491">
        <f>N(AE1490)+$AD1491</f>
        <v>0</v>
      </c>
      <c r="AF1491">
        <f>IF(AND($N1491=1,AND(LEFT(对接源_02物料!$D291,4)="包装物料",N(对接源_02物料!$K291)&lt;&gt;0)),1,0)</f>
        <v>0</v>
      </c>
      <c r="AG1491">
        <f>N(AG1490)+$AF1491</f>
        <v>10</v>
      </c>
      <c r="AH1491">
        <f>IF(AND($N1491=1,AND(对接源_02物料!$D291="周转筐－销售出库",N(对接源_02物料!$K291)&lt;&gt;0)),1,0)</f>
        <v>0</v>
      </c>
      <c r="AI1491">
        <f>N(AI1490)+$AH1491</f>
        <v>0</v>
      </c>
      <c r="AL1491" t="n">
        <v>0</v>
      </c>
      <c r="AM1491">
        <f>N(AM1490)+$AL1491</f>
        <v>2</v>
      </c>
      <c r="AN1491">
        <f>""</f>
      </c>
      <c r="AO1491" t="n">
        <v>0</v>
      </c>
      <c r="AP1491">
        <f>N(AP1490)+$AO1491</f>
        <v>13</v>
      </c>
      <c r="AR1491">
        <f>IF(OR($AF1491=1,$AH1491=1),1,0)</f>
        <v>0</v>
      </c>
      <c r="AS1491">
        <f>N(AS1490)+$AR1491</f>
        <v>10</v>
      </c>
    </row>
    <row r="1492" s="127">
      <c r="A1492">
        <f>IF(对接源_02物料!$C292="","",对接源_02物料!$C292)</f>
      </c>
      <c r="B1492">
        <f>IF(A1492="",0,IF(MATCH(A1492,$A$4:$A$2403,0)=ROW()-3,1,0))</f>
        <v>0</v>
      </c>
      <c r="C1492">
        <f>N(C1491)+B1492</f>
        <v>26</v>
      </c>
      <c r="K1492">
        <f>IF(OR($K$1="",对接源_02物料!$C292="",对接源_02物料!$C292&lt;&gt;$K$1,对接源_02物料!$B292=""),0,IF(OR(N(对接源_02物料!$B292)&lt;$K$2,N(对接源_02物料!$B292)&gt;$K$3),0,1))</f>
        <v>0</v>
      </c>
      <c r="L1492">
        <f>IF(OR($L$1="",对接源_02物料!$C292="",对接源_02物料!$C292&lt;&gt;$L$1,对接源_02物料!$B292=""),0,IF(OR(N(对接源_02物料!$B292)&lt;$L$2,N(对接源_02物料!$B292)&gt;$L$3),0,1))</f>
        <v>0</v>
      </c>
      <c r="M1492">
        <f>IF(OR($M$1="",对接源_02物料!$C292="",对接源_02物料!$C292&lt;&gt;$M$1,对接源_02物料!$B292=""),0,IF(OR(N(对接源_02物料!$B292)&lt;$M$2,N(对接源_02物料!$B292)&gt;$M$3),0,1))</f>
        <v>0</v>
      </c>
      <c r="N1492">
        <f>IF(OR($N$1="",对接源_02物料!$C292="",对接源_02物料!$C292&lt;&gt;$N$1,对接源_02物料!$B292=""),0,IF(OR(N(对接源_02物料!$B292)&lt;$N$2,N(对接源_02物料!$B292)&gt;$N$3),0,1))</f>
        <v>0</v>
      </c>
      <c r="P1492">
        <f>IF(AND($K1492=1,AND(对接源_02物料!$X292="公司筐",N(对接源_02物料!$T292)&lt;&gt;0)),1,0)</f>
        <v>0</v>
      </c>
      <c r="Q1492">
        <f>N(Q1491)+$P1492</f>
        <v>14</v>
      </c>
      <c r="R1492">
        <f>IF(AND($K1492=1,AND(对接源_02物料!$X292="公司筐",N(对接源_02物料!$U292)&lt;&gt;0)),1,0)</f>
        <v>0</v>
      </c>
      <c r="S1492">
        <f>N(S1491)+$R1492</f>
        <v>1</v>
      </c>
      <c r="T1492">
        <f>IF(AND($K1492=1,AND(对接源_02物料!$X292="公司筐",N(对接源_02物料!$V292)&lt;&gt;0)),1,0)</f>
        <v>0</v>
      </c>
      <c r="U1492">
        <f>N(U1491)+$T1492</f>
        <v>47</v>
      </c>
      <c r="V1492">
        <f>IF(AND($L1492=1,AND(对接源_02物料!$X292="自备筐",N(对接源_02物料!$V292)&lt;&gt;0)),1,0)</f>
        <v>0</v>
      </c>
      <c r="W1492">
        <f>N(W1491)+$V1492</f>
        <v>11</v>
      </c>
      <c r="X1492">
        <f>IF(AND($L1492=1,AND(对接源_02物料!$X292="自备筐",N(对接源_02物料!$T292)&lt;&gt;0)),1,0)</f>
        <v>0</v>
      </c>
      <c r="Y1492">
        <f>N(Y1491)+$X1492</f>
        <v>0</v>
      </c>
      <c r="Z1492">
        <f>IF(AND($M1492=1,对接源_02物料!$D292="原料入库"),1,0)</f>
        <v>0</v>
      </c>
      <c r="AA1492">
        <f>N(AA1491)+$Z1492</f>
        <v>24</v>
      </c>
      <c r="AB1492">
        <f>IF(AND($M1492=1,LEFT(对接源_02物料!$D292,4)="原料出库"),1,0)</f>
        <v>0</v>
      </c>
      <c r="AC1492">
        <f>N(AC1491)+$AB1492</f>
        <v>0</v>
      </c>
      <c r="AD1492">
        <f>IF(AND($M1492=1,LEFT(对接源_02物料!$D292,4)="成品出库"),1,0)</f>
        <v>0</v>
      </c>
      <c r="AE1492">
        <f>N(AE1491)+$AD1492</f>
        <v>0</v>
      </c>
      <c r="AF1492">
        <f>IF(AND($N1492=1,AND(LEFT(对接源_02物料!$D292,4)="包装物料",N(对接源_02物料!$K292)&lt;&gt;0)),1,0)</f>
        <v>0</v>
      </c>
      <c r="AG1492">
        <f>N(AG1491)+$AF1492</f>
        <v>10</v>
      </c>
      <c r="AH1492">
        <f>IF(AND($N1492=1,AND(对接源_02物料!$D292="周转筐－销售出库",N(对接源_02物料!$K292)&lt;&gt;0)),1,0)</f>
        <v>0</v>
      </c>
      <c r="AI1492">
        <f>N(AI1491)+$AH1492</f>
        <v>0</v>
      </c>
      <c r="AL1492" t="n">
        <v>0</v>
      </c>
      <c r="AM1492">
        <f>N(AM1491)+$AL1492</f>
        <v>2</v>
      </c>
      <c r="AN1492">
        <f>""</f>
      </c>
      <c r="AO1492" t="n">
        <v>0</v>
      </c>
      <c r="AP1492">
        <f>N(AP1491)+$AO1492</f>
        <v>13</v>
      </c>
      <c r="AR1492">
        <f>IF(OR($AF1492=1,$AH1492=1),1,0)</f>
        <v>0</v>
      </c>
      <c r="AS1492">
        <f>N(AS1491)+$AR1492</f>
        <v>10</v>
      </c>
    </row>
    <row r="1493" s="127">
      <c r="A1493">
        <f>IF(对接源_02物料!$C293="","",对接源_02物料!$C293)</f>
      </c>
      <c r="B1493">
        <f>IF(A1493="",0,IF(MATCH(A1493,$A$4:$A$2403,0)=ROW()-3,1,0))</f>
        <v>0</v>
      </c>
      <c r="C1493">
        <f>N(C1492)+B1493</f>
        <v>26</v>
      </c>
      <c r="K1493">
        <f>IF(OR($K$1="",对接源_02物料!$C293="",对接源_02物料!$C293&lt;&gt;$K$1,对接源_02物料!$B293=""),0,IF(OR(N(对接源_02物料!$B293)&lt;$K$2,N(对接源_02物料!$B293)&gt;$K$3),0,1))</f>
        <v>0</v>
      </c>
      <c r="L1493">
        <f>IF(OR($L$1="",对接源_02物料!$C293="",对接源_02物料!$C293&lt;&gt;$L$1,对接源_02物料!$B293=""),0,IF(OR(N(对接源_02物料!$B293)&lt;$L$2,N(对接源_02物料!$B293)&gt;$L$3),0,1))</f>
        <v>0</v>
      </c>
      <c r="M1493">
        <f>IF(OR($M$1="",对接源_02物料!$C293="",对接源_02物料!$C293&lt;&gt;$M$1,对接源_02物料!$B293=""),0,IF(OR(N(对接源_02物料!$B293)&lt;$M$2,N(对接源_02物料!$B293)&gt;$M$3),0,1))</f>
        <v>0</v>
      </c>
      <c r="N1493">
        <f>IF(OR($N$1="",对接源_02物料!$C293="",对接源_02物料!$C293&lt;&gt;$N$1,对接源_02物料!$B293=""),0,IF(OR(N(对接源_02物料!$B293)&lt;$N$2,N(对接源_02物料!$B293)&gt;$N$3),0,1))</f>
        <v>0</v>
      </c>
      <c r="P1493">
        <f>IF(AND($K1493=1,AND(对接源_02物料!$X293="公司筐",N(对接源_02物料!$T293)&lt;&gt;0)),1,0)</f>
        <v>0</v>
      </c>
      <c r="Q1493">
        <f>N(Q1492)+$P1493</f>
        <v>14</v>
      </c>
      <c r="R1493">
        <f>IF(AND($K1493=1,AND(对接源_02物料!$X293="公司筐",N(对接源_02物料!$U293)&lt;&gt;0)),1,0)</f>
        <v>0</v>
      </c>
      <c r="S1493">
        <f>N(S1492)+$R1493</f>
        <v>1</v>
      </c>
      <c r="T1493">
        <f>IF(AND($K1493=1,AND(对接源_02物料!$X293="公司筐",N(对接源_02物料!$V293)&lt;&gt;0)),1,0)</f>
        <v>0</v>
      </c>
      <c r="U1493">
        <f>N(U1492)+$T1493</f>
        <v>47</v>
      </c>
      <c r="V1493">
        <f>IF(AND($L1493=1,AND(对接源_02物料!$X293="自备筐",N(对接源_02物料!$V293)&lt;&gt;0)),1,0)</f>
        <v>0</v>
      </c>
      <c r="W1493">
        <f>N(W1492)+$V1493</f>
        <v>11</v>
      </c>
      <c r="X1493">
        <f>IF(AND($L1493=1,AND(对接源_02物料!$X293="自备筐",N(对接源_02物料!$T293)&lt;&gt;0)),1,0)</f>
        <v>0</v>
      </c>
      <c r="Y1493">
        <f>N(Y1492)+$X1493</f>
        <v>0</v>
      </c>
      <c r="Z1493">
        <f>IF(AND($M1493=1,对接源_02物料!$D293="原料入库"),1,0)</f>
        <v>0</v>
      </c>
      <c r="AA1493">
        <f>N(AA1492)+$Z1493</f>
        <v>24</v>
      </c>
      <c r="AB1493">
        <f>IF(AND($M1493=1,LEFT(对接源_02物料!$D293,4)="原料出库"),1,0)</f>
        <v>0</v>
      </c>
      <c r="AC1493">
        <f>N(AC1492)+$AB1493</f>
        <v>0</v>
      </c>
      <c r="AD1493">
        <f>IF(AND($M1493=1,LEFT(对接源_02物料!$D293,4)="成品出库"),1,0)</f>
        <v>0</v>
      </c>
      <c r="AE1493">
        <f>N(AE1492)+$AD1493</f>
        <v>0</v>
      </c>
      <c r="AF1493">
        <f>IF(AND($N1493=1,AND(LEFT(对接源_02物料!$D293,4)="包装物料",N(对接源_02物料!$K293)&lt;&gt;0)),1,0)</f>
        <v>0</v>
      </c>
      <c r="AG1493">
        <f>N(AG1492)+$AF1493</f>
        <v>10</v>
      </c>
      <c r="AH1493">
        <f>IF(AND($N1493=1,AND(对接源_02物料!$D293="周转筐－销售出库",N(对接源_02物料!$K293)&lt;&gt;0)),1,0)</f>
        <v>0</v>
      </c>
      <c r="AI1493">
        <f>N(AI1492)+$AH1493</f>
        <v>0</v>
      </c>
      <c r="AL1493" t="n">
        <v>0</v>
      </c>
      <c r="AM1493">
        <f>N(AM1492)+$AL1493</f>
        <v>2</v>
      </c>
      <c r="AN1493">
        <f>""</f>
      </c>
      <c r="AO1493" t="n">
        <v>0</v>
      </c>
      <c r="AP1493">
        <f>N(AP1492)+$AO1493</f>
        <v>13</v>
      </c>
      <c r="AR1493">
        <f>IF(OR($AF1493=1,$AH1493=1),1,0)</f>
        <v>0</v>
      </c>
      <c r="AS1493">
        <f>N(AS1492)+$AR1493</f>
        <v>10</v>
      </c>
    </row>
    <row r="1494" s="127">
      <c r="A1494">
        <f>IF(对接源_02物料!$C294="","",对接源_02物料!$C294)</f>
      </c>
      <c r="B1494">
        <f>IF(A1494="",0,IF(MATCH(A1494,$A$4:$A$2403,0)=ROW()-3,1,0))</f>
        <v>0</v>
      </c>
      <c r="C1494">
        <f>N(C1493)+B1494</f>
        <v>26</v>
      </c>
      <c r="K1494">
        <f>IF(OR($K$1="",对接源_02物料!$C294="",对接源_02物料!$C294&lt;&gt;$K$1,对接源_02物料!$B294=""),0,IF(OR(N(对接源_02物料!$B294)&lt;$K$2,N(对接源_02物料!$B294)&gt;$K$3),0,1))</f>
        <v>0</v>
      </c>
      <c r="L1494">
        <f>IF(OR($L$1="",对接源_02物料!$C294="",对接源_02物料!$C294&lt;&gt;$L$1,对接源_02物料!$B294=""),0,IF(OR(N(对接源_02物料!$B294)&lt;$L$2,N(对接源_02物料!$B294)&gt;$L$3),0,1))</f>
        <v>0</v>
      </c>
      <c r="M1494">
        <f>IF(OR($M$1="",对接源_02物料!$C294="",对接源_02物料!$C294&lt;&gt;$M$1,对接源_02物料!$B294=""),0,IF(OR(N(对接源_02物料!$B294)&lt;$M$2,N(对接源_02物料!$B294)&gt;$M$3),0,1))</f>
        <v>0</v>
      </c>
      <c r="N1494">
        <f>IF(OR($N$1="",对接源_02物料!$C294="",对接源_02物料!$C294&lt;&gt;$N$1,对接源_02物料!$B294=""),0,IF(OR(N(对接源_02物料!$B294)&lt;$N$2,N(对接源_02物料!$B294)&gt;$N$3),0,1))</f>
        <v>0</v>
      </c>
      <c r="P1494">
        <f>IF(AND($K1494=1,AND(对接源_02物料!$X294="公司筐",N(对接源_02物料!$T294)&lt;&gt;0)),1,0)</f>
        <v>0</v>
      </c>
      <c r="Q1494">
        <f>N(Q1493)+$P1494</f>
        <v>14</v>
      </c>
      <c r="R1494">
        <f>IF(AND($K1494=1,AND(对接源_02物料!$X294="公司筐",N(对接源_02物料!$U294)&lt;&gt;0)),1,0)</f>
        <v>0</v>
      </c>
      <c r="S1494">
        <f>N(S1493)+$R1494</f>
        <v>1</v>
      </c>
      <c r="T1494">
        <f>IF(AND($K1494=1,AND(对接源_02物料!$X294="公司筐",N(对接源_02物料!$V294)&lt;&gt;0)),1,0)</f>
        <v>0</v>
      </c>
      <c r="U1494">
        <f>N(U1493)+$T1494</f>
        <v>47</v>
      </c>
      <c r="V1494">
        <f>IF(AND($L1494=1,AND(对接源_02物料!$X294="自备筐",N(对接源_02物料!$V294)&lt;&gt;0)),1,0)</f>
        <v>0</v>
      </c>
      <c r="W1494">
        <f>N(W1493)+$V1494</f>
        <v>11</v>
      </c>
      <c r="X1494">
        <f>IF(AND($L1494=1,AND(对接源_02物料!$X294="自备筐",N(对接源_02物料!$T294)&lt;&gt;0)),1,0)</f>
        <v>0</v>
      </c>
      <c r="Y1494">
        <f>N(Y1493)+$X1494</f>
        <v>0</v>
      </c>
      <c r="Z1494">
        <f>IF(AND($M1494=1,对接源_02物料!$D294="原料入库"),1,0)</f>
        <v>0</v>
      </c>
      <c r="AA1494">
        <f>N(AA1493)+$Z1494</f>
        <v>24</v>
      </c>
      <c r="AB1494">
        <f>IF(AND($M1494=1,LEFT(对接源_02物料!$D294,4)="原料出库"),1,0)</f>
        <v>0</v>
      </c>
      <c r="AC1494">
        <f>N(AC1493)+$AB1494</f>
        <v>0</v>
      </c>
      <c r="AD1494">
        <f>IF(AND($M1494=1,LEFT(对接源_02物料!$D294,4)="成品出库"),1,0)</f>
        <v>0</v>
      </c>
      <c r="AE1494">
        <f>N(AE1493)+$AD1494</f>
        <v>0</v>
      </c>
      <c r="AF1494">
        <f>IF(AND($N1494=1,AND(LEFT(对接源_02物料!$D294,4)="包装物料",N(对接源_02物料!$K294)&lt;&gt;0)),1,0)</f>
        <v>0</v>
      </c>
      <c r="AG1494">
        <f>N(AG1493)+$AF1494</f>
        <v>10</v>
      </c>
      <c r="AH1494">
        <f>IF(AND($N1494=1,AND(对接源_02物料!$D294="周转筐－销售出库",N(对接源_02物料!$K294)&lt;&gt;0)),1,0)</f>
        <v>0</v>
      </c>
      <c r="AI1494">
        <f>N(AI1493)+$AH1494</f>
        <v>0</v>
      </c>
      <c r="AL1494" t="n">
        <v>0</v>
      </c>
      <c r="AM1494">
        <f>N(AM1493)+$AL1494</f>
        <v>2</v>
      </c>
      <c r="AN1494">
        <f>""</f>
      </c>
      <c r="AO1494" t="n">
        <v>0</v>
      </c>
      <c r="AP1494">
        <f>N(AP1493)+$AO1494</f>
        <v>13</v>
      </c>
      <c r="AR1494">
        <f>IF(OR($AF1494=1,$AH1494=1),1,0)</f>
        <v>0</v>
      </c>
      <c r="AS1494">
        <f>N(AS1493)+$AR1494</f>
        <v>10</v>
      </c>
    </row>
    <row r="1495" s="127">
      <c r="A1495">
        <f>IF(对接源_02物料!$C295="","",对接源_02物料!$C295)</f>
      </c>
      <c r="B1495">
        <f>IF(A1495="",0,IF(MATCH(A1495,$A$4:$A$2403,0)=ROW()-3,1,0))</f>
        <v>0</v>
      </c>
      <c r="C1495">
        <f>N(C1494)+B1495</f>
        <v>26</v>
      </c>
      <c r="K1495">
        <f>IF(OR($K$1="",对接源_02物料!$C295="",对接源_02物料!$C295&lt;&gt;$K$1,对接源_02物料!$B295=""),0,IF(OR(N(对接源_02物料!$B295)&lt;$K$2,N(对接源_02物料!$B295)&gt;$K$3),0,1))</f>
        <v>0</v>
      </c>
      <c r="L1495">
        <f>IF(OR($L$1="",对接源_02物料!$C295="",对接源_02物料!$C295&lt;&gt;$L$1,对接源_02物料!$B295=""),0,IF(OR(N(对接源_02物料!$B295)&lt;$L$2,N(对接源_02物料!$B295)&gt;$L$3),0,1))</f>
        <v>0</v>
      </c>
      <c r="M1495">
        <f>IF(OR($M$1="",对接源_02物料!$C295="",对接源_02物料!$C295&lt;&gt;$M$1,对接源_02物料!$B295=""),0,IF(OR(N(对接源_02物料!$B295)&lt;$M$2,N(对接源_02物料!$B295)&gt;$M$3),0,1))</f>
        <v>0</v>
      </c>
      <c r="N1495">
        <f>IF(OR($N$1="",对接源_02物料!$C295="",对接源_02物料!$C295&lt;&gt;$N$1,对接源_02物料!$B295=""),0,IF(OR(N(对接源_02物料!$B295)&lt;$N$2,N(对接源_02物料!$B295)&gt;$N$3),0,1))</f>
        <v>0</v>
      </c>
      <c r="P1495">
        <f>IF(AND($K1495=1,AND(对接源_02物料!$X295="公司筐",N(对接源_02物料!$T295)&lt;&gt;0)),1,0)</f>
        <v>0</v>
      </c>
      <c r="Q1495">
        <f>N(Q1494)+$P1495</f>
        <v>14</v>
      </c>
      <c r="R1495">
        <f>IF(AND($K1495=1,AND(对接源_02物料!$X295="公司筐",N(对接源_02物料!$U295)&lt;&gt;0)),1,0)</f>
        <v>0</v>
      </c>
      <c r="S1495">
        <f>N(S1494)+$R1495</f>
        <v>1</v>
      </c>
      <c r="T1495">
        <f>IF(AND($K1495=1,AND(对接源_02物料!$X295="公司筐",N(对接源_02物料!$V295)&lt;&gt;0)),1,0)</f>
        <v>0</v>
      </c>
      <c r="U1495">
        <f>N(U1494)+$T1495</f>
        <v>47</v>
      </c>
      <c r="V1495">
        <f>IF(AND($L1495=1,AND(对接源_02物料!$X295="自备筐",N(对接源_02物料!$V295)&lt;&gt;0)),1,0)</f>
        <v>0</v>
      </c>
      <c r="W1495">
        <f>N(W1494)+$V1495</f>
        <v>11</v>
      </c>
      <c r="X1495">
        <f>IF(AND($L1495=1,AND(对接源_02物料!$X295="自备筐",N(对接源_02物料!$T295)&lt;&gt;0)),1,0)</f>
        <v>0</v>
      </c>
      <c r="Y1495">
        <f>N(Y1494)+$X1495</f>
        <v>0</v>
      </c>
      <c r="Z1495">
        <f>IF(AND($M1495=1,对接源_02物料!$D295="原料入库"),1,0)</f>
        <v>0</v>
      </c>
      <c r="AA1495">
        <f>N(AA1494)+$Z1495</f>
        <v>24</v>
      </c>
      <c r="AB1495">
        <f>IF(AND($M1495=1,LEFT(对接源_02物料!$D295,4)="原料出库"),1,0)</f>
        <v>0</v>
      </c>
      <c r="AC1495">
        <f>N(AC1494)+$AB1495</f>
        <v>0</v>
      </c>
      <c r="AD1495">
        <f>IF(AND($M1495=1,LEFT(对接源_02物料!$D295,4)="成品出库"),1,0)</f>
        <v>0</v>
      </c>
      <c r="AE1495">
        <f>N(AE1494)+$AD1495</f>
        <v>0</v>
      </c>
      <c r="AF1495">
        <f>IF(AND($N1495=1,AND(LEFT(对接源_02物料!$D295,4)="包装物料",N(对接源_02物料!$K295)&lt;&gt;0)),1,0)</f>
        <v>0</v>
      </c>
      <c r="AG1495">
        <f>N(AG1494)+$AF1495</f>
        <v>10</v>
      </c>
      <c r="AH1495">
        <f>IF(AND($N1495=1,AND(对接源_02物料!$D295="周转筐－销售出库",N(对接源_02物料!$K295)&lt;&gt;0)),1,0)</f>
        <v>0</v>
      </c>
      <c r="AI1495">
        <f>N(AI1494)+$AH1495</f>
        <v>0</v>
      </c>
      <c r="AL1495" t="n">
        <v>0</v>
      </c>
      <c r="AM1495">
        <f>N(AM1494)+$AL1495</f>
        <v>2</v>
      </c>
      <c r="AN1495">
        <f>""</f>
      </c>
      <c r="AO1495" t="n">
        <v>0</v>
      </c>
      <c r="AP1495">
        <f>N(AP1494)+$AO1495</f>
        <v>13</v>
      </c>
      <c r="AR1495">
        <f>IF(OR($AF1495=1,$AH1495=1),1,0)</f>
        <v>0</v>
      </c>
      <c r="AS1495">
        <f>N(AS1494)+$AR1495</f>
        <v>10</v>
      </c>
    </row>
    <row r="1496" s="127">
      <c r="A1496">
        <f>IF(对接源_02物料!$C296="","",对接源_02物料!$C296)</f>
      </c>
      <c r="B1496">
        <f>IF(A1496="",0,IF(MATCH(A1496,$A$4:$A$2403,0)=ROW()-3,1,0))</f>
        <v>0</v>
      </c>
      <c r="C1496">
        <f>N(C1495)+B1496</f>
        <v>26</v>
      </c>
      <c r="K1496">
        <f>IF(OR($K$1="",对接源_02物料!$C296="",对接源_02物料!$C296&lt;&gt;$K$1,对接源_02物料!$B296=""),0,IF(OR(N(对接源_02物料!$B296)&lt;$K$2,N(对接源_02物料!$B296)&gt;$K$3),0,1))</f>
        <v>0</v>
      </c>
      <c r="L1496">
        <f>IF(OR($L$1="",对接源_02物料!$C296="",对接源_02物料!$C296&lt;&gt;$L$1,对接源_02物料!$B296=""),0,IF(OR(N(对接源_02物料!$B296)&lt;$L$2,N(对接源_02物料!$B296)&gt;$L$3),0,1))</f>
        <v>0</v>
      </c>
      <c r="M1496">
        <f>IF(OR($M$1="",对接源_02物料!$C296="",对接源_02物料!$C296&lt;&gt;$M$1,对接源_02物料!$B296=""),0,IF(OR(N(对接源_02物料!$B296)&lt;$M$2,N(对接源_02物料!$B296)&gt;$M$3),0,1))</f>
        <v>0</v>
      </c>
      <c r="N1496">
        <f>IF(OR($N$1="",对接源_02物料!$C296="",对接源_02物料!$C296&lt;&gt;$N$1,对接源_02物料!$B296=""),0,IF(OR(N(对接源_02物料!$B296)&lt;$N$2,N(对接源_02物料!$B296)&gt;$N$3),0,1))</f>
        <v>0</v>
      </c>
      <c r="P1496">
        <f>IF(AND($K1496=1,AND(对接源_02物料!$X296="公司筐",N(对接源_02物料!$T296)&lt;&gt;0)),1,0)</f>
        <v>0</v>
      </c>
      <c r="Q1496">
        <f>N(Q1495)+$P1496</f>
        <v>14</v>
      </c>
      <c r="R1496">
        <f>IF(AND($K1496=1,AND(对接源_02物料!$X296="公司筐",N(对接源_02物料!$U296)&lt;&gt;0)),1,0)</f>
        <v>0</v>
      </c>
      <c r="S1496">
        <f>N(S1495)+$R1496</f>
        <v>1</v>
      </c>
      <c r="T1496">
        <f>IF(AND($K1496=1,AND(对接源_02物料!$X296="公司筐",N(对接源_02物料!$V296)&lt;&gt;0)),1,0)</f>
        <v>0</v>
      </c>
      <c r="U1496">
        <f>N(U1495)+$T1496</f>
        <v>47</v>
      </c>
      <c r="V1496">
        <f>IF(AND($L1496=1,AND(对接源_02物料!$X296="自备筐",N(对接源_02物料!$V296)&lt;&gt;0)),1,0)</f>
        <v>0</v>
      </c>
      <c r="W1496">
        <f>N(W1495)+$V1496</f>
        <v>11</v>
      </c>
      <c r="X1496">
        <f>IF(AND($L1496=1,AND(对接源_02物料!$X296="自备筐",N(对接源_02物料!$T296)&lt;&gt;0)),1,0)</f>
        <v>0</v>
      </c>
      <c r="Y1496">
        <f>N(Y1495)+$X1496</f>
        <v>0</v>
      </c>
      <c r="Z1496">
        <f>IF(AND($M1496=1,对接源_02物料!$D296="原料入库"),1,0)</f>
        <v>0</v>
      </c>
      <c r="AA1496">
        <f>N(AA1495)+$Z1496</f>
        <v>24</v>
      </c>
      <c r="AB1496">
        <f>IF(AND($M1496=1,LEFT(对接源_02物料!$D296,4)="原料出库"),1,0)</f>
        <v>0</v>
      </c>
      <c r="AC1496">
        <f>N(AC1495)+$AB1496</f>
        <v>0</v>
      </c>
      <c r="AD1496">
        <f>IF(AND($M1496=1,LEFT(对接源_02物料!$D296,4)="成品出库"),1,0)</f>
        <v>0</v>
      </c>
      <c r="AE1496">
        <f>N(AE1495)+$AD1496</f>
        <v>0</v>
      </c>
      <c r="AF1496">
        <f>IF(AND($N1496=1,AND(LEFT(对接源_02物料!$D296,4)="包装物料",N(对接源_02物料!$K296)&lt;&gt;0)),1,0)</f>
        <v>0</v>
      </c>
      <c r="AG1496">
        <f>N(AG1495)+$AF1496</f>
        <v>10</v>
      </c>
      <c r="AH1496">
        <f>IF(AND($N1496=1,AND(对接源_02物料!$D296="周转筐－销售出库",N(对接源_02物料!$K296)&lt;&gt;0)),1,0)</f>
        <v>0</v>
      </c>
      <c r="AI1496">
        <f>N(AI1495)+$AH1496</f>
        <v>0</v>
      </c>
      <c r="AL1496" t="n">
        <v>0</v>
      </c>
      <c r="AM1496">
        <f>N(AM1495)+$AL1496</f>
        <v>2</v>
      </c>
      <c r="AN1496">
        <f>""</f>
      </c>
      <c r="AO1496" t="n">
        <v>0</v>
      </c>
      <c r="AP1496">
        <f>N(AP1495)+$AO1496</f>
        <v>13</v>
      </c>
      <c r="AR1496">
        <f>IF(OR($AF1496=1,$AH1496=1),1,0)</f>
        <v>0</v>
      </c>
      <c r="AS1496">
        <f>N(AS1495)+$AR1496</f>
        <v>10</v>
      </c>
    </row>
    <row r="1497" s="127">
      <c r="A1497">
        <f>IF(对接源_02物料!$C297="","",对接源_02物料!$C297)</f>
      </c>
      <c r="B1497">
        <f>IF(A1497="",0,IF(MATCH(A1497,$A$4:$A$2403,0)=ROW()-3,1,0))</f>
        <v>0</v>
      </c>
      <c r="C1497">
        <f>N(C1496)+B1497</f>
        <v>26</v>
      </c>
      <c r="K1497">
        <f>IF(OR($K$1="",对接源_02物料!$C297="",对接源_02物料!$C297&lt;&gt;$K$1,对接源_02物料!$B297=""),0,IF(OR(N(对接源_02物料!$B297)&lt;$K$2,N(对接源_02物料!$B297)&gt;$K$3),0,1))</f>
        <v>0</v>
      </c>
      <c r="L1497">
        <f>IF(OR($L$1="",对接源_02物料!$C297="",对接源_02物料!$C297&lt;&gt;$L$1,对接源_02物料!$B297=""),0,IF(OR(N(对接源_02物料!$B297)&lt;$L$2,N(对接源_02物料!$B297)&gt;$L$3),0,1))</f>
        <v>0</v>
      </c>
      <c r="M1497">
        <f>IF(OR($M$1="",对接源_02物料!$C297="",对接源_02物料!$C297&lt;&gt;$M$1,对接源_02物料!$B297=""),0,IF(OR(N(对接源_02物料!$B297)&lt;$M$2,N(对接源_02物料!$B297)&gt;$M$3),0,1))</f>
        <v>0</v>
      </c>
      <c r="N1497">
        <f>IF(OR($N$1="",对接源_02物料!$C297="",对接源_02物料!$C297&lt;&gt;$N$1,对接源_02物料!$B297=""),0,IF(OR(N(对接源_02物料!$B297)&lt;$N$2,N(对接源_02物料!$B297)&gt;$N$3),0,1))</f>
        <v>0</v>
      </c>
      <c r="P1497">
        <f>IF(AND($K1497=1,AND(对接源_02物料!$X297="公司筐",N(对接源_02物料!$T297)&lt;&gt;0)),1,0)</f>
        <v>0</v>
      </c>
      <c r="Q1497">
        <f>N(Q1496)+$P1497</f>
        <v>14</v>
      </c>
      <c r="R1497">
        <f>IF(AND($K1497=1,AND(对接源_02物料!$X297="公司筐",N(对接源_02物料!$U297)&lt;&gt;0)),1,0)</f>
        <v>0</v>
      </c>
      <c r="S1497">
        <f>N(S1496)+$R1497</f>
        <v>1</v>
      </c>
      <c r="T1497">
        <f>IF(AND($K1497=1,AND(对接源_02物料!$X297="公司筐",N(对接源_02物料!$V297)&lt;&gt;0)),1,0)</f>
        <v>0</v>
      </c>
      <c r="U1497">
        <f>N(U1496)+$T1497</f>
        <v>47</v>
      </c>
      <c r="V1497">
        <f>IF(AND($L1497=1,AND(对接源_02物料!$X297="自备筐",N(对接源_02物料!$V297)&lt;&gt;0)),1,0)</f>
        <v>0</v>
      </c>
      <c r="W1497">
        <f>N(W1496)+$V1497</f>
        <v>11</v>
      </c>
      <c r="X1497">
        <f>IF(AND($L1497=1,AND(对接源_02物料!$X297="自备筐",N(对接源_02物料!$T297)&lt;&gt;0)),1,0)</f>
        <v>0</v>
      </c>
      <c r="Y1497">
        <f>N(Y1496)+$X1497</f>
        <v>0</v>
      </c>
      <c r="Z1497">
        <f>IF(AND($M1497=1,对接源_02物料!$D297="原料入库"),1,0)</f>
        <v>0</v>
      </c>
      <c r="AA1497">
        <f>N(AA1496)+$Z1497</f>
        <v>24</v>
      </c>
      <c r="AB1497">
        <f>IF(AND($M1497=1,LEFT(对接源_02物料!$D297,4)="原料出库"),1,0)</f>
        <v>0</v>
      </c>
      <c r="AC1497">
        <f>N(AC1496)+$AB1497</f>
        <v>0</v>
      </c>
      <c r="AD1497">
        <f>IF(AND($M1497=1,LEFT(对接源_02物料!$D297,4)="成品出库"),1,0)</f>
        <v>0</v>
      </c>
      <c r="AE1497">
        <f>N(AE1496)+$AD1497</f>
        <v>0</v>
      </c>
      <c r="AF1497">
        <f>IF(AND($N1497=1,AND(LEFT(对接源_02物料!$D297,4)="包装物料",N(对接源_02物料!$K297)&lt;&gt;0)),1,0)</f>
        <v>0</v>
      </c>
      <c r="AG1497">
        <f>N(AG1496)+$AF1497</f>
        <v>10</v>
      </c>
      <c r="AH1497">
        <f>IF(AND($N1497=1,AND(对接源_02物料!$D297="周转筐－销售出库",N(对接源_02物料!$K297)&lt;&gt;0)),1,0)</f>
        <v>0</v>
      </c>
      <c r="AI1497">
        <f>N(AI1496)+$AH1497</f>
        <v>0</v>
      </c>
      <c r="AL1497" t="n">
        <v>0</v>
      </c>
      <c r="AM1497">
        <f>N(AM1496)+$AL1497</f>
        <v>2</v>
      </c>
      <c r="AN1497">
        <f>""</f>
      </c>
      <c r="AO1497" t="n">
        <v>0</v>
      </c>
      <c r="AP1497">
        <f>N(AP1496)+$AO1497</f>
        <v>13</v>
      </c>
      <c r="AR1497">
        <f>IF(OR($AF1497=1,$AH1497=1),1,0)</f>
        <v>0</v>
      </c>
      <c r="AS1497">
        <f>N(AS1496)+$AR1497</f>
        <v>10</v>
      </c>
    </row>
    <row r="1498" s="127">
      <c r="A1498">
        <f>IF(对接源_02物料!$C298="","",对接源_02物料!$C298)</f>
      </c>
      <c r="B1498">
        <f>IF(A1498="",0,IF(MATCH(A1498,$A$4:$A$2403,0)=ROW()-3,1,0))</f>
        <v>0</v>
      </c>
      <c r="C1498">
        <f>N(C1497)+B1498</f>
        <v>26</v>
      </c>
      <c r="K1498">
        <f>IF(OR($K$1="",对接源_02物料!$C298="",对接源_02物料!$C298&lt;&gt;$K$1,对接源_02物料!$B298=""),0,IF(OR(N(对接源_02物料!$B298)&lt;$K$2,N(对接源_02物料!$B298)&gt;$K$3),0,1))</f>
        <v>0</v>
      </c>
      <c r="L1498">
        <f>IF(OR($L$1="",对接源_02物料!$C298="",对接源_02物料!$C298&lt;&gt;$L$1,对接源_02物料!$B298=""),0,IF(OR(N(对接源_02物料!$B298)&lt;$L$2,N(对接源_02物料!$B298)&gt;$L$3),0,1))</f>
        <v>0</v>
      </c>
      <c r="M1498">
        <f>IF(OR($M$1="",对接源_02物料!$C298="",对接源_02物料!$C298&lt;&gt;$M$1,对接源_02物料!$B298=""),0,IF(OR(N(对接源_02物料!$B298)&lt;$M$2,N(对接源_02物料!$B298)&gt;$M$3),0,1))</f>
        <v>0</v>
      </c>
      <c r="N1498">
        <f>IF(OR($N$1="",对接源_02物料!$C298="",对接源_02物料!$C298&lt;&gt;$N$1,对接源_02物料!$B298=""),0,IF(OR(N(对接源_02物料!$B298)&lt;$N$2,N(对接源_02物料!$B298)&gt;$N$3),0,1))</f>
        <v>0</v>
      </c>
      <c r="P1498">
        <f>IF(AND($K1498=1,AND(对接源_02物料!$X298="公司筐",N(对接源_02物料!$T298)&lt;&gt;0)),1,0)</f>
        <v>0</v>
      </c>
      <c r="Q1498">
        <f>N(Q1497)+$P1498</f>
        <v>14</v>
      </c>
      <c r="R1498">
        <f>IF(AND($K1498=1,AND(对接源_02物料!$X298="公司筐",N(对接源_02物料!$U298)&lt;&gt;0)),1,0)</f>
        <v>0</v>
      </c>
      <c r="S1498">
        <f>N(S1497)+$R1498</f>
        <v>1</v>
      </c>
      <c r="T1498">
        <f>IF(AND($K1498=1,AND(对接源_02物料!$X298="公司筐",N(对接源_02物料!$V298)&lt;&gt;0)),1,0)</f>
        <v>0</v>
      </c>
      <c r="U1498">
        <f>N(U1497)+$T1498</f>
        <v>47</v>
      </c>
      <c r="V1498">
        <f>IF(AND($L1498=1,AND(对接源_02物料!$X298="自备筐",N(对接源_02物料!$V298)&lt;&gt;0)),1,0)</f>
        <v>0</v>
      </c>
      <c r="W1498">
        <f>N(W1497)+$V1498</f>
        <v>11</v>
      </c>
      <c r="X1498">
        <f>IF(AND($L1498=1,AND(对接源_02物料!$X298="自备筐",N(对接源_02物料!$T298)&lt;&gt;0)),1,0)</f>
        <v>0</v>
      </c>
      <c r="Y1498">
        <f>N(Y1497)+$X1498</f>
        <v>0</v>
      </c>
      <c r="Z1498">
        <f>IF(AND($M1498=1,对接源_02物料!$D298="原料入库"),1,0)</f>
        <v>0</v>
      </c>
      <c r="AA1498">
        <f>N(AA1497)+$Z1498</f>
        <v>24</v>
      </c>
      <c r="AB1498">
        <f>IF(AND($M1498=1,LEFT(对接源_02物料!$D298,4)="原料出库"),1,0)</f>
        <v>0</v>
      </c>
      <c r="AC1498">
        <f>N(AC1497)+$AB1498</f>
        <v>0</v>
      </c>
      <c r="AD1498">
        <f>IF(AND($M1498=1,LEFT(对接源_02物料!$D298,4)="成品出库"),1,0)</f>
        <v>0</v>
      </c>
      <c r="AE1498">
        <f>N(AE1497)+$AD1498</f>
        <v>0</v>
      </c>
      <c r="AF1498">
        <f>IF(AND($N1498=1,AND(LEFT(对接源_02物料!$D298,4)="包装物料",N(对接源_02物料!$K298)&lt;&gt;0)),1,0)</f>
        <v>0</v>
      </c>
      <c r="AG1498">
        <f>N(AG1497)+$AF1498</f>
        <v>10</v>
      </c>
      <c r="AH1498">
        <f>IF(AND($N1498=1,AND(对接源_02物料!$D298="周转筐－销售出库",N(对接源_02物料!$K298)&lt;&gt;0)),1,0)</f>
        <v>0</v>
      </c>
      <c r="AI1498">
        <f>N(AI1497)+$AH1498</f>
        <v>0</v>
      </c>
      <c r="AL1498" t="n">
        <v>0</v>
      </c>
      <c r="AM1498">
        <f>N(AM1497)+$AL1498</f>
        <v>2</v>
      </c>
      <c r="AN1498">
        <f>""</f>
      </c>
      <c r="AO1498" t="n">
        <v>0</v>
      </c>
      <c r="AP1498">
        <f>N(AP1497)+$AO1498</f>
        <v>13</v>
      </c>
      <c r="AR1498">
        <f>IF(OR($AF1498=1,$AH1498=1),1,0)</f>
        <v>0</v>
      </c>
      <c r="AS1498">
        <f>N(AS1497)+$AR1498</f>
        <v>10</v>
      </c>
    </row>
    <row r="1499" s="127">
      <c r="A1499">
        <f>IF(对接源_02物料!$C299="","",对接源_02物料!$C299)</f>
      </c>
      <c r="B1499">
        <f>IF(A1499="",0,IF(MATCH(A1499,$A$4:$A$2403,0)=ROW()-3,1,0))</f>
        <v>0</v>
      </c>
      <c r="C1499">
        <f>N(C1498)+B1499</f>
        <v>26</v>
      </c>
      <c r="K1499">
        <f>IF(OR($K$1="",对接源_02物料!$C299="",对接源_02物料!$C299&lt;&gt;$K$1,对接源_02物料!$B299=""),0,IF(OR(N(对接源_02物料!$B299)&lt;$K$2,N(对接源_02物料!$B299)&gt;$K$3),0,1))</f>
        <v>0</v>
      </c>
      <c r="L1499">
        <f>IF(OR($L$1="",对接源_02物料!$C299="",对接源_02物料!$C299&lt;&gt;$L$1,对接源_02物料!$B299=""),0,IF(OR(N(对接源_02物料!$B299)&lt;$L$2,N(对接源_02物料!$B299)&gt;$L$3),0,1))</f>
        <v>0</v>
      </c>
      <c r="M1499">
        <f>IF(OR($M$1="",对接源_02物料!$C299="",对接源_02物料!$C299&lt;&gt;$M$1,对接源_02物料!$B299=""),0,IF(OR(N(对接源_02物料!$B299)&lt;$M$2,N(对接源_02物料!$B299)&gt;$M$3),0,1))</f>
        <v>0</v>
      </c>
      <c r="N1499">
        <f>IF(OR($N$1="",对接源_02物料!$C299="",对接源_02物料!$C299&lt;&gt;$N$1,对接源_02物料!$B299=""),0,IF(OR(N(对接源_02物料!$B299)&lt;$N$2,N(对接源_02物料!$B299)&gt;$N$3),0,1))</f>
        <v>0</v>
      </c>
      <c r="P1499">
        <f>IF(AND($K1499=1,AND(对接源_02物料!$X299="公司筐",N(对接源_02物料!$T299)&lt;&gt;0)),1,0)</f>
        <v>0</v>
      </c>
      <c r="Q1499">
        <f>N(Q1498)+$P1499</f>
        <v>14</v>
      </c>
      <c r="R1499">
        <f>IF(AND($K1499=1,AND(对接源_02物料!$X299="公司筐",N(对接源_02物料!$U299)&lt;&gt;0)),1,0)</f>
        <v>0</v>
      </c>
      <c r="S1499">
        <f>N(S1498)+$R1499</f>
        <v>1</v>
      </c>
      <c r="T1499">
        <f>IF(AND($K1499=1,AND(对接源_02物料!$X299="公司筐",N(对接源_02物料!$V299)&lt;&gt;0)),1,0)</f>
        <v>0</v>
      </c>
      <c r="U1499">
        <f>N(U1498)+$T1499</f>
        <v>47</v>
      </c>
      <c r="V1499">
        <f>IF(AND($L1499=1,AND(对接源_02物料!$X299="自备筐",N(对接源_02物料!$V299)&lt;&gt;0)),1,0)</f>
        <v>0</v>
      </c>
      <c r="W1499">
        <f>N(W1498)+$V1499</f>
        <v>11</v>
      </c>
      <c r="X1499">
        <f>IF(AND($L1499=1,AND(对接源_02物料!$X299="自备筐",N(对接源_02物料!$T299)&lt;&gt;0)),1,0)</f>
        <v>0</v>
      </c>
      <c r="Y1499">
        <f>N(Y1498)+$X1499</f>
        <v>0</v>
      </c>
      <c r="Z1499">
        <f>IF(AND($M1499=1,对接源_02物料!$D299="原料入库"),1,0)</f>
        <v>0</v>
      </c>
      <c r="AA1499">
        <f>N(AA1498)+$Z1499</f>
        <v>24</v>
      </c>
      <c r="AB1499">
        <f>IF(AND($M1499=1,LEFT(对接源_02物料!$D299,4)="原料出库"),1,0)</f>
        <v>0</v>
      </c>
      <c r="AC1499">
        <f>N(AC1498)+$AB1499</f>
        <v>0</v>
      </c>
      <c r="AD1499">
        <f>IF(AND($M1499=1,LEFT(对接源_02物料!$D299,4)="成品出库"),1,0)</f>
        <v>0</v>
      </c>
      <c r="AE1499">
        <f>N(AE1498)+$AD1499</f>
        <v>0</v>
      </c>
      <c r="AF1499">
        <f>IF(AND($N1499=1,AND(LEFT(对接源_02物料!$D299,4)="包装物料",N(对接源_02物料!$K299)&lt;&gt;0)),1,0)</f>
        <v>0</v>
      </c>
      <c r="AG1499">
        <f>N(AG1498)+$AF1499</f>
        <v>10</v>
      </c>
      <c r="AH1499">
        <f>IF(AND($N1499=1,AND(对接源_02物料!$D299="周转筐－销售出库",N(对接源_02物料!$K299)&lt;&gt;0)),1,0)</f>
        <v>0</v>
      </c>
      <c r="AI1499">
        <f>N(AI1498)+$AH1499</f>
        <v>0</v>
      </c>
      <c r="AL1499" t="n">
        <v>0</v>
      </c>
      <c r="AM1499">
        <f>N(AM1498)+$AL1499</f>
        <v>2</v>
      </c>
      <c r="AN1499">
        <f>""</f>
      </c>
      <c r="AO1499" t="n">
        <v>0</v>
      </c>
      <c r="AP1499">
        <f>N(AP1498)+$AO1499</f>
        <v>13</v>
      </c>
      <c r="AR1499">
        <f>IF(OR($AF1499=1,$AH1499=1),1,0)</f>
        <v>0</v>
      </c>
      <c r="AS1499">
        <f>N(AS1498)+$AR1499</f>
        <v>10</v>
      </c>
    </row>
    <row r="1500" s="127">
      <c r="A1500">
        <f>IF(对接源_02物料!$C300="","",对接源_02物料!$C300)</f>
      </c>
      <c r="B1500">
        <f>IF(A1500="",0,IF(MATCH(A1500,$A$4:$A$2403,0)=ROW()-3,1,0))</f>
        <v>0</v>
      </c>
      <c r="C1500">
        <f>N(C1499)+B1500</f>
        <v>26</v>
      </c>
      <c r="K1500">
        <f>IF(OR($K$1="",对接源_02物料!$C300="",对接源_02物料!$C300&lt;&gt;$K$1,对接源_02物料!$B300=""),0,IF(OR(N(对接源_02物料!$B300)&lt;$K$2,N(对接源_02物料!$B300)&gt;$K$3),0,1))</f>
        <v>0</v>
      </c>
      <c r="L1500">
        <f>IF(OR($L$1="",对接源_02物料!$C300="",对接源_02物料!$C300&lt;&gt;$L$1,对接源_02物料!$B300=""),0,IF(OR(N(对接源_02物料!$B300)&lt;$L$2,N(对接源_02物料!$B300)&gt;$L$3),0,1))</f>
        <v>0</v>
      </c>
      <c r="M1500">
        <f>IF(OR($M$1="",对接源_02物料!$C300="",对接源_02物料!$C300&lt;&gt;$M$1,对接源_02物料!$B300=""),0,IF(OR(N(对接源_02物料!$B300)&lt;$M$2,N(对接源_02物料!$B300)&gt;$M$3),0,1))</f>
        <v>0</v>
      </c>
      <c r="N1500">
        <f>IF(OR($N$1="",对接源_02物料!$C300="",对接源_02物料!$C300&lt;&gt;$N$1,对接源_02物料!$B300=""),0,IF(OR(N(对接源_02物料!$B300)&lt;$N$2,N(对接源_02物料!$B300)&gt;$N$3),0,1))</f>
        <v>0</v>
      </c>
      <c r="P1500">
        <f>IF(AND($K1500=1,AND(对接源_02物料!$X300="公司筐",N(对接源_02物料!$T300)&lt;&gt;0)),1,0)</f>
        <v>0</v>
      </c>
      <c r="Q1500">
        <f>N(Q1499)+$P1500</f>
        <v>14</v>
      </c>
      <c r="R1500">
        <f>IF(AND($K1500=1,AND(对接源_02物料!$X300="公司筐",N(对接源_02物料!$U300)&lt;&gt;0)),1,0)</f>
        <v>0</v>
      </c>
      <c r="S1500">
        <f>N(S1499)+$R1500</f>
        <v>1</v>
      </c>
      <c r="T1500">
        <f>IF(AND($K1500=1,AND(对接源_02物料!$X300="公司筐",N(对接源_02物料!$V300)&lt;&gt;0)),1,0)</f>
        <v>0</v>
      </c>
      <c r="U1500">
        <f>N(U1499)+$T1500</f>
        <v>47</v>
      </c>
      <c r="V1500">
        <f>IF(AND($L1500=1,AND(对接源_02物料!$X300="自备筐",N(对接源_02物料!$V300)&lt;&gt;0)),1,0)</f>
        <v>0</v>
      </c>
      <c r="W1500">
        <f>N(W1499)+$V1500</f>
        <v>11</v>
      </c>
      <c r="X1500">
        <f>IF(AND($L1500=1,AND(对接源_02物料!$X300="自备筐",N(对接源_02物料!$T300)&lt;&gt;0)),1,0)</f>
        <v>0</v>
      </c>
      <c r="Y1500">
        <f>N(Y1499)+$X1500</f>
        <v>0</v>
      </c>
      <c r="Z1500">
        <f>IF(AND($M1500=1,对接源_02物料!$D300="原料入库"),1,0)</f>
        <v>0</v>
      </c>
      <c r="AA1500">
        <f>N(AA1499)+$Z1500</f>
        <v>24</v>
      </c>
      <c r="AB1500">
        <f>IF(AND($M1500=1,LEFT(对接源_02物料!$D300,4)="原料出库"),1,0)</f>
        <v>0</v>
      </c>
      <c r="AC1500">
        <f>N(AC1499)+$AB1500</f>
        <v>0</v>
      </c>
      <c r="AD1500">
        <f>IF(AND($M1500=1,LEFT(对接源_02物料!$D300,4)="成品出库"),1,0)</f>
        <v>0</v>
      </c>
      <c r="AE1500">
        <f>N(AE1499)+$AD1500</f>
        <v>0</v>
      </c>
      <c r="AF1500">
        <f>IF(AND($N1500=1,AND(LEFT(对接源_02物料!$D300,4)="包装物料",N(对接源_02物料!$K300)&lt;&gt;0)),1,0)</f>
        <v>0</v>
      </c>
      <c r="AG1500">
        <f>N(AG1499)+$AF1500</f>
        <v>10</v>
      </c>
      <c r="AH1500">
        <f>IF(AND($N1500=1,AND(对接源_02物料!$D300="周转筐－销售出库",N(对接源_02物料!$K300)&lt;&gt;0)),1,0)</f>
        <v>0</v>
      </c>
      <c r="AI1500">
        <f>N(AI1499)+$AH1500</f>
        <v>0</v>
      </c>
      <c r="AL1500" t="n">
        <v>0</v>
      </c>
      <c r="AM1500">
        <f>N(AM1499)+$AL1500</f>
        <v>2</v>
      </c>
      <c r="AN1500">
        <f>""</f>
      </c>
      <c r="AO1500" t="n">
        <v>0</v>
      </c>
      <c r="AP1500">
        <f>N(AP1499)+$AO1500</f>
        <v>13</v>
      </c>
      <c r="AR1500">
        <f>IF(OR($AF1500=1,$AH1500=1),1,0)</f>
        <v>0</v>
      </c>
      <c r="AS1500">
        <f>N(AS1499)+$AR1500</f>
        <v>10</v>
      </c>
    </row>
    <row r="1501" s="127">
      <c r="A1501">
        <f>IF(对接源_02物料!$C301="","",对接源_02物料!$C301)</f>
      </c>
      <c r="B1501">
        <f>IF(A1501="",0,IF(MATCH(A1501,$A$4:$A$2403,0)=ROW()-3,1,0))</f>
        <v>0</v>
      </c>
      <c r="C1501">
        <f>N(C1500)+B1501</f>
        <v>26</v>
      </c>
      <c r="K1501">
        <f>IF(OR($K$1="",对接源_02物料!$C301="",对接源_02物料!$C301&lt;&gt;$K$1,对接源_02物料!$B301=""),0,IF(OR(N(对接源_02物料!$B301)&lt;$K$2,N(对接源_02物料!$B301)&gt;$K$3),0,1))</f>
        <v>0</v>
      </c>
      <c r="L1501">
        <f>IF(OR($L$1="",对接源_02物料!$C301="",对接源_02物料!$C301&lt;&gt;$L$1,对接源_02物料!$B301=""),0,IF(OR(N(对接源_02物料!$B301)&lt;$L$2,N(对接源_02物料!$B301)&gt;$L$3),0,1))</f>
        <v>0</v>
      </c>
      <c r="M1501">
        <f>IF(OR($M$1="",对接源_02物料!$C301="",对接源_02物料!$C301&lt;&gt;$M$1,对接源_02物料!$B301=""),0,IF(OR(N(对接源_02物料!$B301)&lt;$M$2,N(对接源_02物料!$B301)&gt;$M$3),0,1))</f>
        <v>0</v>
      </c>
      <c r="N1501">
        <f>IF(OR($N$1="",对接源_02物料!$C301="",对接源_02物料!$C301&lt;&gt;$N$1,对接源_02物料!$B301=""),0,IF(OR(N(对接源_02物料!$B301)&lt;$N$2,N(对接源_02物料!$B301)&gt;$N$3),0,1))</f>
        <v>0</v>
      </c>
      <c r="P1501">
        <f>IF(AND($K1501=1,AND(对接源_02物料!$X301="公司筐",N(对接源_02物料!$T301)&lt;&gt;0)),1,0)</f>
        <v>0</v>
      </c>
      <c r="Q1501">
        <f>N(Q1500)+$P1501</f>
        <v>14</v>
      </c>
      <c r="R1501">
        <f>IF(AND($K1501=1,AND(对接源_02物料!$X301="公司筐",N(对接源_02物料!$U301)&lt;&gt;0)),1,0)</f>
        <v>0</v>
      </c>
      <c r="S1501">
        <f>N(S1500)+$R1501</f>
        <v>1</v>
      </c>
      <c r="T1501">
        <f>IF(AND($K1501=1,AND(对接源_02物料!$X301="公司筐",N(对接源_02物料!$V301)&lt;&gt;0)),1,0)</f>
        <v>0</v>
      </c>
      <c r="U1501">
        <f>N(U1500)+$T1501</f>
        <v>47</v>
      </c>
      <c r="V1501">
        <f>IF(AND($L1501=1,AND(对接源_02物料!$X301="自备筐",N(对接源_02物料!$V301)&lt;&gt;0)),1,0)</f>
        <v>0</v>
      </c>
      <c r="W1501">
        <f>N(W1500)+$V1501</f>
        <v>11</v>
      </c>
      <c r="X1501">
        <f>IF(AND($L1501=1,AND(对接源_02物料!$X301="自备筐",N(对接源_02物料!$T301)&lt;&gt;0)),1,0)</f>
        <v>0</v>
      </c>
      <c r="Y1501">
        <f>N(Y1500)+$X1501</f>
        <v>0</v>
      </c>
      <c r="Z1501">
        <f>IF(AND($M1501=1,对接源_02物料!$D301="原料入库"),1,0)</f>
        <v>0</v>
      </c>
      <c r="AA1501">
        <f>N(AA1500)+$Z1501</f>
        <v>24</v>
      </c>
      <c r="AB1501">
        <f>IF(AND($M1501=1,LEFT(对接源_02物料!$D301,4)="原料出库"),1,0)</f>
        <v>0</v>
      </c>
      <c r="AC1501">
        <f>N(AC1500)+$AB1501</f>
        <v>0</v>
      </c>
      <c r="AD1501">
        <f>IF(AND($M1501=1,LEFT(对接源_02物料!$D301,4)="成品出库"),1,0)</f>
        <v>0</v>
      </c>
      <c r="AE1501">
        <f>N(AE1500)+$AD1501</f>
        <v>0</v>
      </c>
      <c r="AF1501">
        <f>IF(AND($N1501=1,AND(LEFT(对接源_02物料!$D301,4)="包装物料",N(对接源_02物料!$K301)&lt;&gt;0)),1,0)</f>
        <v>0</v>
      </c>
      <c r="AG1501">
        <f>N(AG1500)+$AF1501</f>
        <v>10</v>
      </c>
      <c r="AH1501">
        <f>IF(AND($N1501=1,AND(对接源_02物料!$D301="周转筐－销售出库",N(对接源_02物料!$K301)&lt;&gt;0)),1,0)</f>
        <v>0</v>
      </c>
      <c r="AI1501">
        <f>N(AI1500)+$AH1501</f>
        <v>0</v>
      </c>
      <c r="AL1501" t="n">
        <v>0</v>
      </c>
      <c r="AM1501">
        <f>N(AM1500)+$AL1501</f>
        <v>2</v>
      </c>
      <c r="AN1501">
        <f>""</f>
      </c>
      <c r="AO1501" t="n">
        <v>0</v>
      </c>
      <c r="AP1501">
        <f>N(AP1500)+$AO1501</f>
        <v>13</v>
      </c>
      <c r="AR1501">
        <f>IF(OR($AF1501=1,$AH1501=1),1,0)</f>
        <v>0</v>
      </c>
      <c r="AS1501">
        <f>N(AS1500)+$AR1501</f>
        <v>10</v>
      </c>
    </row>
    <row r="1502" s="127">
      <c r="A1502">
        <f>IF(对接源_02物料!$C302="","",对接源_02物料!$C302)</f>
      </c>
      <c r="B1502">
        <f>IF(A1502="",0,IF(MATCH(A1502,$A$4:$A$2403,0)=ROW()-3,1,0))</f>
        <v>0</v>
      </c>
      <c r="C1502">
        <f>N(C1501)+B1502</f>
        <v>26</v>
      </c>
      <c r="K1502">
        <f>IF(OR($K$1="",对接源_02物料!$C302="",对接源_02物料!$C302&lt;&gt;$K$1,对接源_02物料!$B302=""),0,IF(OR(N(对接源_02物料!$B302)&lt;$K$2,N(对接源_02物料!$B302)&gt;$K$3),0,1))</f>
        <v>0</v>
      </c>
      <c r="L1502">
        <f>IF(OR($L$1="",对接源_02物料!$C302="",对接源_02物料!$C302&lt;&gt;$L$1,对接源_02物料!$B302=""),0,IF(OR(N(对接源_02物料!$B302)&lt;$L$2,N(对接源_02物料!$B302)&gt;$L$3),0,1))</f>
        <v>0</v>
      </c>
      <c r="M1502">
        <f>IF(OR($M$1="",对接源_02物料!$C302="",对接源_02物料!$C302&lt;&gt;$M$1,对接源_02物料!$B302=""),0,IF(OR(N(对接源_02物料!$B302)&lt;$M$2,N(对接源_02物料!$B302)&gt;$M$3),0,1))</f>
        <v>0</v>
      </c>
      <c r="N1502">
        <f>IF(OR($N$1="",对接源_02物料!$C302="",对接源_02物料!$C302&lt;&gt;$N$1,对接源_02物料!$B302=""),0,IF(OR(N(对接源_02物料!$B302)&lt;$N$2,N(对接源_02物料!$B302)&gt;$N$3),0,1))</f>
        <v>0</v>
      </c>
      <c r="P1502">
        <f>IF(AND($K1502=1,AND(对接源_02物料!$X302="公司筐",N(对接源_02物料!$T302)&lt;&gt;0)),1,0)</f>
        <v>0</v>
      </c>
      <c r="Q1502">
        <f>N(Q1501)+$P1502</f>
        <v>14</v>
      </c>
      <c r="R1502">
        <f>IF(AND($K1502=1,AND(对接源_02物料!$X302="公司筐",N(对接源_02物料!$U302)&lt;&gt;0)),1,0)</f>
        <v>0</v>
      </c>
      <c r="S1502">
        <f>N(S1501)+$R1502</f>
        <v>1</v>
      </c>
      <c r="T1502">
        <f>IF(AND($K1502=1,AND(对接源_02物料!$X302="公司筐",N(对接源_02物料!$V302)&lt;&gt;0)),1,0)</f>
        <v>0</v>
      </c>
      <c r="U1502">
        <f>N(U1501)+$T1502</f>
        <v>47</v>
      </c>
      <c r="V1502">
        <f>IF(AND($L1502=1,AND(对接源_02物料!$X302="自备筐",N(对接源_02物料!$V302)&lt;&gt;0)),1,0)</f>
        <v>0</v>
      </c>
      <c r="W1502">
        <f>N(W1501)+$V1502</f>
        <v>11</v>
      </c>
      <c r="X1502">
        <f>IF(AND($L1502=1,AND(对接源_02物料!$X302="自备筐",N(对接源_02物料!$T302)&lt;&gt;0)),1,0)</f>
        <v>0</v>
      </c>
      <c r="Y1502">
        <f>N(Y1501)+$X1502</f>
        <v>0</v>
      </c>
      <c r="Z1502">
        <f>IF(AND($M1502=1,对接源_02物料!$D302="原料入库"),1,0)</f>
        <v>0</v>
      </c>
      <c r="AA1502">
        <f>N(AA1501)+$Z1502</f>
        <v>24</v>
      </c>
      <c r="AB1502">
        <f>IF(AND($M1502=1,LEFT(对接源_02物料!$D302,4)="原料出库"),1,0)</f>
        <v>0</v>
      </c>
      <c r="AC1502">
        <f>N(AC1501)+$AB1502</f>
        <v>0</v>
      </c>
      <c r="AD1502">
        <f>IF(AND($M1502=1,LEFT(对接源_02物料!$D302,4)="成品出库"),1,0)</f>
        <v>0</v>
      </c>
      <c r="AE1502">
        <f>N(AE1501)+$AD1502</f>
        <v>0</v>
      </c>
      <c r="AF1502">
        <f>IF(AND($N1502=1,AND(LEFT(对接源_02物料!$D302,4)="包装物料",N(对接源_02物料!$K302)&lt;&gt;0)),1,0)</f>
        <v>0</v>
      </c>
      <c r="AG1502">
        <f>N(AG1501)+$AF1502</f>
        <v>10</v>
      </c>
      <c r="AH1502">
        <f>IF(AND($N1502=1,AND(对接源_02物料!$D302="周转筐－销售出库",N(对接源_02物料!$K302)&lt;&gt;0)),1,0)</f>
        <v>0</v>
      </c>
      <c r="AI1502">
        <f>N(AI1501)+$AH1502</f>
        <v>0</v>
      </c>
      <c r="AL1502" t="n">
        <v>0</v>
      </c>
      <c r="AM1502">
        <f>N(AM1501)+$AL1502</f>
        <v>2</v>
      </c>
      <c r="AN1502">
        <f>""</f>
      </c>
      <c r="AO1502" t="n">
        <v>0</v>
      </c>
      <c r="AP1502">
        <f>N(AP1501)+$AO1502</f>
        <v>13</v>
      </c>
      <c r="AR1502">
        <f>IF(OR($AF1502=1,$AH1502=1),1,0)</f>
        <v>0</v>
      </c>
      <c r="AS1502">
        <f>N(AS1501)+$AR1502</f>
        <v>10</v>
      </c>
    </row>
    <row r="1503" s="127">
      <c r="A1503">
        <f>IF(对接源_02物料!$C303="","",对接源_02物料!$C303)</f>
      </c>
      <c r="B1503">
        <f>IF(A1503="",0,IF(MATCH(A1503,$A$4:$A$2403,0)=ROW()-3,1,0))</f>
        <v>0</v>
      </c>
      <c r="C1503">
        <f>N(C1502)+B1503</f>
        <v>26</v>
      </c>
      <c r="K1503">
        <f>IF(OR($K$1="",对接源_02物料!$C303="",对接源_02物料!$C303&lt;&gt;$K$1,对接源_02物料!$B303=""),0,IF(OR(N(对接源_02物料!$B303)&lt;$K$2,N(对接源_02物料!$B303)&gt;$K$3),0,1))</f>
        <v>0</v>
      </c>
      <c r="L1503">
        <f>IF(OR($L$1="",对接源_02物料!$C303="",对接源_02物料!$C303&lt;&gt;$L$1,对接源_02物料!$B303=""),0,IF(OR(N(对接源_02物料!$B303)&lt;$L$2,N(对接源_02物料!$B303)&gt;$L$3),0,1))</f>
        <v>0</v>
      </c>
      <c r="M1503">
        <f>IF(OR($M$1="",对接源_02物料!$C303="",对接源_02物料!$C303&lt;&gt;$M$1,对接源_02物料!$B303=""),0,IF(OR(N(对接源_02物料!$B303)&lt;$M$2,N(对接源_02物料!$B303)&gt;$M$3),0,1))</f>
        <v>0</v>
      </c>
      <c r="N1503">
        <f>IF(OR($N$1="",对接源_02物料!$C303="",对接源_02物料!$C303&lt;&gt;$N$1,对接源_02物料!$B303=""),0,IF(OR(N(对接源_02物料!$B303)&lt;$N$2,N(对接源_02物料!$B303)&gt;$N$3),0,1))</f>
        <v>0</v>
      </c>
      <c r="P1503">
        <f>IF(AND($K1503=1,AND(对接源_02物料!$X303="公司筐",N(对接源_02物料!$T303)&lt;&gt;0)),1,0)</f>
        <v>0</v>
      </c>
      <c r="Q1503">
        <f>N(Q1502)+$P1503</f>
        <v>14</v>
      </c>
      <c r="R1503">
        <f>IF(AND($K1503=1,AND(对接源_02物料!$X303="公司筐",N(对接源_02物料!$U303)&lt;&gt;0)),1,0)</f>
        <v>0</v>
      </c>
      <c r="S1503">
        <f>N(S1502)+$R1503</f>
        <v>1</v>
      </c>
      <c r="T1503">
        <f>IF(AND($K1503=1,AND(对接源_02物料!$X303="公司筐",N(对接源_02物料!$V303)&lt;&gt;0)),1,0)</f>
        <v>0</v>
      </c>
      <c r="U1503">
        <f>N(U1502)+$T1503</f>
        <v>47</v>
      </c>
      <c r="V1503">
        <f>IF(AND($L1503=1,AND(对接源_02物料!$X303="自备筐",N(对接源_02物料!$V303)&lt;&gt;0)),1,0)</f>
        <v>0</v>
      </c>
      <c r="W1503">
        <f>N(W1502)+$V1503</f>
        <v>11</v>
      </c>
      <c r="X1503">
        <f>IF(AND($L1503=1,AND(对接源_02物料!$X303="自备筐",N(对接源_02物料!$T303)&lt;&gt;0)),1,0)</f>
        <v>0</v>
      </c>
      <c r="Y1503">
        <f>N(Y1502)+$X1503</f>
        <v>0</v>
      </c>
      <c r="Z1503">
        <f>IF(AND($M1503=1,对接源_02物料!$D303="原料入库"),1,0)</f>
        <v>0</v>
      </c>
      <c r="AA1503">
        <f>N(AA1502)+$Z1503</f>
        <v>24</v>
      </c>
      <c r="AB1503">
        <f>IF(AND($M1503=1,LEFT(对接源_02物料!$D303,4)="原料出库"),1,0)</f>
        <v>0</v>
      </c>
      <c r="AC1503">
        <f>N(AC1502)+$AB1503</f>
        <v>0</v>
      </c>
      <c r="AD1503">
        <f>IF(AND($M1503=1,LEFT(对接源_02物料!$D303,4)="成品出库"),1,0)</f>
        <v>0</v>
      </c>
      <c r="AE1503">
        <f>N(AE1502)+$AD1503</f>
        <v>0</v>
      </c>
      <c r="AF1503">
        <f>IF(AND($N1503=1,AND(LEFT(对接源_02物料!$D303,4)="包装物料",N(对接源_02物料!$K303)&lt;&gt;0)),1,0)</f>
        <v>0</v>
      </c>
      <c r="AG1503">
        <f>N(AG1502)+$AF1503</f>
        <v>10</v>
      </c>
      <c r="AH1503">
        <f>IF(AND($N1503=1,AND(对接源_02物料!$D303="周转筐－销售出库",N(对接源_02物料!$K303)&lt;&gt;0)),1,0)</f>
        <v>0</v>
      </c>
      <c r="AI1503">
        <f>N(AI1502)+$AH1503</f>
        <v>0</v>
      </c>
      <c r="AL1503" t="n">
        <v>0</v>
      </c>
      <c r="AM1503">
        <f>N(AM1502)+$AL1503</f>
        <v>2</v>
      </c>
      <c r="AN1503">
        <f>""</f>
      </c>
      <c r="AO1503" t="n">
        <v>0</v>
      </c>
      <c r="AP1503">
        <f>N(AP1502)+$AO1503</f>
        <v>13</v>
      </c>
      <c r="AR1503">
        <f>IF(OR($AF1503=1,$AH1503=1),1,0)</f>
        <v>0</v>
      </c>
      <c r="AS1503">
        <f>N(AS1502)+$AR1503</f>
        <v>10</v>
      </c>
    </row>
    <row r="1504" s="127">
      <c r="A1504">
        <f>IF(对接源_02物料!$C304="","",对接源_02物料!$C304)</f>
      </c>
      <c r="B1504">
        <f>IF(A1504="",0,IF(MATCH(A1504,$A$4:$A$2403,0)=ROW()-3,1,0))</f>
        <v>0</v>
      </c>
      <c r="C1504">
        <f>N(C1503)+B1504</f>
        <v>26</v>
      </c>
      <c r="K1504">
        <f>IF(OR($K$1="",对接源_02物料!$C304="",对接源_02物料!$C304&lt;&gt;$K$1,对接源_02物料!$B304=""),0,IF(OR(N(对接源_02物料!$B304)&lt;$K$2,N(对接源_02物料!$B304)&gt;$K$3),0,1))</f>
        <v>0</v>
      </c>
      <c r="L1504">
        <f>IF(OR($L$1="",对接源_02物料!$C304="",对接源_02物料!$C304&lt;&gt;$L$1,对接源_02物料!$B304=""),0,IF(OR(N(对接源_02物料!$B304)&lt;$L$2,N(对接源_02物料!$B304)&gt;$L$3),0,1))</f>
        <v>0</v>
      </c>
      <c r="M1504">
        <f>IF(OR($M$1="",对接源_02物料!$C304="",对接源_02物料!$C304&lt;&gt;$M$1,对接源_02物料!$B304=""),0,IF(OR(N(对接源_02物料!$B304)&lt;$M$2,N(对接源_02物料!$B304)&gt;$M$3),0,1))</f>
        <v>0</v>
      </c>
      <c r="N1504">
        <f>IF(OR($N$1="",对接源_02物料!$C304="",对接源_02物料!$C304&lt;&gt;$N$1,对接源_02物料!$B304=""),0,IF(OR(N(对接源_02物料!$B304)&lt;$N$2,N(对接源_02物料!$B304)&gt;$N$3),0,1))</f>
        <v>0</v>
      </c>
      <c r="P1504">
        <f>IF(AND($K1504=1,AND(对接源_02物料!$X304="公司筐",N(对接源_02物料!$T304)&lt;&gt;0)),1,0)</f>
        <v>0</v>
      </c>
      <c r="Q1504">
        <f>N(Q1503)+$P1504</f>
        <v>14</v>
      </c>
      <c r="R1504">
        <f>IF(AND($K1504=1,AND(对接源_02物料!$X304="公司筐",N(对接源_02物料!$U304)&lt;&gt;0)),1,0)</f>
        <v>0</v>
      </c>
      <c r="S1504">
        <f>N(S1503)+$R1504</f>
        <v>1</v>
      </c>
      <c r="T1504">
        <f>IF(AND($K1504=1,AND(对接源_02物料!$X304="公司筐",N(对接源_02物料!$V304)&lt;&gt;0)),1,0)</f>
        <v>0</v>
      </c>
      <c r="U1504">
        <f>N(U1503)+$T1504</f>
        <v>47</v>
      </c>
      <c r="V1504">
        <f>IF(AND($L1504=1,AND(对接源_02物料!$X304="自备筐",N(对接源_02物料!$V304)&lt;&gt;0)),1,0)</f>
        <v>0</v>
      </c>
      <c r="W1504">
        <f>N(W1503)+$V1504</f>
        <v>11</v>
      </c>
      <c r="X1504">
        <f>IF(AND($L1504=1,AND(对接源_02物料!$X304="自备筐",N(对接源_02物料!$T304)&lt;&gt;0)),1,0)</f>
        <v>0</v>
      </c>
      <c r="Y1504">
        <f>N(Y1503)+$X1504</f>
        <v>0</v>
      </c>
      <c r="Z1504">
        <f>IF(AND($M1504=1,对接源_02物料!$D304="原料入库"),1,0)</f>
        <v>0</v>
      </c>
      <c r="AA1504">
        <f>N(AA1503)+$Z1504</f>
        <v>24</v>
      </c>
      <c r="AB1504">
        <f>IF(AND($M1504=1,LEFT(对接源_02物料!$D304,4)="原料出库"),1,0)</f>
        <v>0</v>
      </c>
      <c r="AC1504">
        <f>N(AC1503)+$AB1504</f>
        <v>0</v>
      </c>
      <c r="AD1504">
        <f>IF(AND($M1504=1,LEFT(对接源_02物料!$D304,4)="成品出库"),1,0)</f>
        <v>0</v>
      </c>
      <c r="AE1504">
        <f>N(AE1503)+$AD1504</f>
        <v>0</v>
      </c>
      <c r="AF1504">
        <f>IF(AND($N1504=1,AND(LEFT(对接源_02物料!$D304,4)="包装物料",N(对接源_02物料!$K304)&lt;&gt;0)),1,0)</f>
        <v>0</v>
      </c>
      <c r="AG1504">
        <f>N(AG1503)+$AF1504</f>
        <v>10</v>
      </c>
      <c r="AH1504">
        <f>IF(AND($N1504=1,AND(对接源_02物料!$D304="周转筐－销售出库",N(对接源_02物料!$K304)&lt;&gt;0)),1,0)</f>
        <v>0</v>
      </c>
      <c r="AI1504">
        <f>N(AI1503)+$AH1504</f>
        <v>0</v>
      </c>
      <c r="AL1504" t="n">
        <v>0</v>
      </c>
      <c r="AM1504">
        <f>N(AM1503)+$AL1504</f>
        <v>2</v>
      </c>
      <c r="AN1504">
        <f>""</f>
      </c>
      <c r="AO1504" t="n">
        <v>0</v>
      </c>
      <c r="AP1504">
        <f>N(AP1503)+$AO1504</f>
        <v>13</v>
      </c>
      <c r="AR1504">
        <f>IF(OR($AF1504=1,$AH1504=1),1,0)</f>
        <v>0</v>
      </c>
      <c r="AS1504">
        <f>N(AS1503)+$AR1504</f>
        <v>10</v>
      </c>
    </row>
    <row r="1505" s="127">
      <c r="A1505">
        <f>IF(对接源_02物料!$C305="","",对接源_02物料!$C305)</f>
      </c>
      <c r="B1505">
        <f>IF(A1505="",0,IF(MATCH(A1505,$A$4:$A$2403,0)=ROW()-3,1,0))</f>
        <v>0</v>
      </c>
      <c r="C1505">
        <f>N(C1504)+B1505</f>
        <v>26</v>
      </c>
      <c r="K1505">
        <f>IF(OR($K$1="",对接源_02物料!$C305="",对接源_02物料!$C305&lt;&gt;$K$1,对接源_02物料!$B305=""),0,IF(OR(N(对接源_02物料!$B305)&lt;$K$2,N(对接源_02物料!$B305)&gt;$K$3),0,1))</f>
        <v>0</v>
      </c>
      <c r="L1505">
        <f>IF(OR($L$1="",对接源_02物料!$C305="",对接源_02物料!$C305&lt;&gt;$L$1,对接源_02物料!$B305=""),0,IF(OR(N(对接源_02物料!$B305)&lt;$L$2,N(对接源_02物料!$B305)&gt;$L$3),0,1))</f>
        <v>0</v>
      </c>
      <c r="M1505">
        <f>IF(OR($M$1="",对接源_02物料!$C305="",对接源_02物料!$C305&lt;&gt;$M$1,对接源_02物料!$B305=""),0,IF(OR(N(对接源_02物料!$B305)&lt;$M$2,N(对接源_02物料!$B305)&gt;$M$3),0,1))</f>
        <v>0</v>
      </c>
      <c r="N1505">
        <f>IF(OR($N$1="",对接源_02物料!$C305="",对接源_02物料!$C305&lt;&gt;$N$1,对接源_02物料!$B305=""),0,IF(OR(N(对接源_02物料!$B305)&lt;$N$2,N(对接源_02物料!$B305)&gt;$N$3),0,1))</f>
        <v>0</v>
      </c>
      <c r="P1505">
        <f>IF(AND($K1505=1,AND(对接源_02物料!$X305="公司筐",N(对接源_02物料!$T305)&lt;&gt;0)),1,0)</f>
        <v>0</v>
      </c>
      <c r="Q1505">
        <f>N(Q1504)+$P1505</f>
        <v>14</v>
      </c>
      <c r="R1505">
        <f>IF(AND($K1505=1,AND(对接源_02物料!$X305="公司筐",N(对接源_02物料!$U305)&lt;&gt;0)),1,0)</f>
        <v>0</v>
      </c>
      <c r="S1505">
        <f>N(S1504)+$R1505</f>
        <v>1</v>
      </c>
      <c r="T1505">
        <f>IF(AND($K1505=1,AND(对接源_02物料!$X305="公司筐",N(对接源_02物料!$V305)&lt;&gt;0)),1,0)</f>
        <v>0</v>
      </c>
      <c r="U1505">
        <f>N(U1504)+$T1505</f>
        <v>47</v>
      </c>
      <c r="V1505">
        <f>IF(AND($L1505=1,AND(对接源_02物料!$X305="自备筐",N(对接源_02物料!$V305)&lt;&gt;0)),1,0)</f>
        <v>0</v>
      </c>
      <c r="W1505">
        <f>N(W1504)+$V1505</f>
        <v>11</v>
      </c>
      <c r="X1505">
        <f>IF(AND($L1505=1,AND(对接源_02物料!$X305="自备筐",N(对接源_02物料!$T305)&lt;&gt;0)),1,0)</f>
        <v>0</v>
      </c>
      <c r="Y1505">
        <f>N(Y1504)+$X1505</f>
        <v>0</v>
      </c>
      <c r="Z1505">
        <f>IF(AND($M1505=1,对接源_02物料!$D305="原料入库"),1,0)</f>
        <v>0</v>
      </c>
      <c r="AA1505">
        <f>N(AA1504)+$Z1505</f>
        <v>24</v>
      </c>
      <c r="AB1505">
        <f>IF(AND($M1505=1,LEFT(对接源_02物料!$D305,4)="原料出库"),1,0)</f>
        <v>0</v>
      </c>
      <c r="AC1505">
        <f>N(AC1504)+$AB1505</f>
        <v>0</v>
      </c>
      <c r="AD1505">
        <f>IF(AND($M1505=1,LEFT(对接源_02物料!$D305,4)="成品出库"),1,0)</f>
        <v>0</v>
      </c>
      <c r="AE1505">
        <f>N(AE1504)+$AD1505</f>
        <v>0</v>
      </c>
      <c r="AF1505">
        <f>IF(AND($N1505=1,AND(LEFT(对接源_02物料!$D305,4)="包装物料",N(对接源_02物料!$K305)&lt;&gt;0)),1,0)</f>
        <v>0</v>
      </c>
      <c r="AG1505">
        <f>N(AG1504)+$AF1505</f>
        <v>10</v>
      </c>
      <c r="AH1505">
        <f>IF(AND($N1505=1,AND(对接源_02物料!$D305="周转筐－销售出库",N(对接源_02物料!$K305)&lt;&gt;0)),1,0)</f>
        <v>0</v>
      </c>
      <c r="AI1505">
        <f>N(AI1504)+$AH1505</f>
        <v>0</v>
      </c>
      <c r="AL1505" t="n">
        <v>0</v>
      </c>
      <c r="AM1505">
        <f>N(AM1504)+$AL1505</f>
        <v>2</v>
      </c>
      <c r="AN1505">
        <f>""</f>
      </c>
      <c r="AO1505" t="n">
        <v>0</v>
      </c>
      <c r="AP1505">
        <f>N(AP1504)+$AO1505</f>
        <v>13</v>
      </c>
      <c r="AR1505">
        <f>IF(OR($AF1505=1,$AH1505=1),1,0)</f>
        <v>0</v>
      </c>
      <c r="AS1505">
        <f>N(AS1504)+$AR1505</f>
        <v>10</v>
      </c>
    </row>
    <row r="1506" s="127">
      <c r="A1506">
        <f>IF(对接源_02物料!$C306="","",对接源_02物料!$C306)</f>
      </c>
      <c r="B1506">
        <f>IF(A1506="",0,IF(MATCH(A1506,$A$4:$A$2403,0)=ROW()-3,1,0))</f>
        <v>0</v>
      </c>
      <c r="C1506">
        <f>N(C1505)+B1506</f>
        <v>26</v>
      </c>
      <c r="K1506">
        <f>IF(OR($K$1="",对接源_02物料!$C306="",对接源_02物料!$C306&lt;&gt;$K$1,对接源_02物料!$B306=""),0,IF(OR(N(对接源_02物料!$B306)&lt;$K$2,N(对接源_02物料!$B306)&gt;$K$3),0,1))</f>
        <v>0</v>
      </c>
      <c r="L1506">
        <f>IF(OR($L$1="",对接源_02物料!$C306="",对接源_02物料!$C306&lt;&gt;$L$1,对接源_02物料!$B306=""),0,IF(OR(N(对接源_02物料!$B306)&lt;$L$2,N(对接源_02物料!$B306)&gt;$L$3),0,1))</f>
        <v>0</v>
      </c>
      <c r="M1506">
        <f>IF(OR($M$1="",对接源_02物料!$C306="",对接源_02物料!$C306&lt;&gt;$M$1,对接源_02物料!$B306=""),0,IF(OR(N(对接源_02物料!$B306)&lt;$M$2,N(对接源_02物料!$B306)&gt;$M$3),0,1))</f>
        <v>0</v>
      </c>
      <c r="N1506">
        <f>IF(OR($N$1="",对接源_02物料!$C306="",对接源_02物料!$C306&lt;&gt;$N$1,对接源_02物料!$B306=""),0,IF(OR(N(对接源_02物料!$B306)&lt;$N$2,N(对接源_02物料!$B306)&gt;$N$3),0,1))</f>
        <v>0</v>
      </c>
      <c r="P1506">
        <f>IF(AND($K1506=1,AND(对接源_02物料!$X306="公司筐",N(对接源_02物料!$T306)&lt;&gt;0)),1,0)</f>
        <v>0</v>
      </c>
      <c r="Q1506">
        <f>N(Q1505)+$P1506</f>
        <v>14</v>
      </c>
      <c r="R1506">
        <f>IF(AND($K1506=1,AND(对接源_02物料!$X306="公司筐",N(对接源_02物料!$U306)&lt;&gt;0)),1,0)</f>
        <v>0</v>
      </c>
      <c r="S1506">
        <f>N(S1505)+$R1506</f>
        <v>1</v>
      </c>
      <c r="T1506">
        <f>IF(AND($K1506=1,AND(对接源_02物料!$X306="公司筐",N(对接源_02物料!$V306)&lt;&gt;0)),1,0)</f>
        <v>0</v>
      </c>
      <c r="U1506">
        <f>N(U1505)+$T1506</f>
        <v>47</v>
      </c>
      <c r="V1506">
        <f>IF(AND($L1506=1,AND(对接源_02物料!$X306="自备筐",N(对接源_02物料!$V306)&lt;&gt;0)),1,0)</f>
        <v>0</v>
      </c>
      <c r="W1506">
        <f>N(W1505)+$V1506</f>
        <v>11</v>
      </c>
      <c r="X1506">
        <f>IF(AND($L1506=1,AND(对接源_02物料!$X306="自备筐",N(对接源_02物料!$T306)&lt;&gt;0)),1,0)</f>
        <v>0</v>
      </c>
      <c r="Y1506">
        <f>N(Y1505)+$X1506</f>
        <v>0</v>
      </c>
      <c r="Z1506">
        <f>IF(AND($M1506=1,对接源_02物料!$D306="原料入库"),1,0)</f>
        <v>0</v>
      </c>
      <c r="AA1506">
        <f>N(AA1505)+$Z1506</f>
        <v>24</v>
      </c>
      <c r="AB1506">
        <f>IF(AND($M1506=1,LEFT(对接源_02物料!$D306,4)="原料出库"),1,0)</f>
        <v>0</v>
      </c>
      <c r="AC1506">
        <f>N(AC1505)+$AB1506</f>
        <v>0</v>
      </c>
      <c r="AD1506">
        <f>IF(AND($M1506=1,LEFT(对接源_02物料!$D306,4)="成品出库"),1,0)</f>
        <v>0</v>
      </c>
      <c r="AE1506">
        <f>N(AE1505)+$AD1506</f>
        <v>0</v>
      </c>
      <c r="AF1506">
        <f>IF(AND($N1506=1,AND(LEFT(对接源_02物料!$D306,4)="包装物料",N(对接源_02物料!$K306)&lt;&gt;0)),1,0)</f>
        <v>0</v>
      </c>
      <c r="AG1506">
        <f>N(AG1505)+$AF1506</f>
        <v>10</v>
      </c>
      <c r="AH1506">
        <f>IF(AND($N1506=1,AND(对接源_02物料!$D306="周转筐－销售出库",N(对接源_02物料!$K306)&lt;&gt;0)),1,0)</f>
        <v>0</v>
      </c>
      <c r="AI1506">
        <f>N(AI1505)+$AH1506</f>
        <v>0</v>
      </c>
      <c r="AL1506" t="n">
        <v>0</v>
      </c>
      <c r="AM1506">
        <f>N(AM1505)+$AL1506</f>
        <v>2</v>
      </c>
      <c r="AN1506">
        <f>""</f>
      </c>
      <c r="AO1506" t="n">
        <v>0</v>
      </c>
      <c r="AP1506">
        <f>N(AP1505)+$AO1506</f>
        <v>13</v>
      </c>
      <c r="AR1506">
        <f>IF(OR($AF1506=1,$AH1506=1),1,0)</f>
        <v>0</v>
      </c>
      <c r="AS1506">
        <f>N(AS1505)+$AR1506</f>
        <v>10</v>
      </c>
    </row>
    <row r="1507" s="127">
      <c r="A1507">
        <f>IF(对接源_02物料!$C307="","",对接源_02物料!$C307)</f>
      </c>
      <c r="B1507">
        <f>IF(A1507="",0,IF(MATCH(A1507,$A$4:$A$2403,0)=ROW()-3,1,0))</f>
        <v>0</v>
      </c>
      <c r="C1507">
        <f>N(C1506)+B1507</f>
        <v>26</v>
      </c>
      <c r="K1507">
        <f>IF(OR($K$1="",对接源_02物料!$C307="",对接源_02物料!$C307&lt;&gt;$K$1,对接源_02物料!$B307=""),0,IF(OR(N(对接源_02物料!$B307)&lt;$K$2,N(对接源_02物料!$B307)&gt;$K$3),0,1))</f>
        <v>0</v>
      </c>
      <c r="L1507">
        <f>IF(OR($L$1="",对接源_02物料!$C307="",对接源_02物料!$C307&lt;&gt;$L$1,对接源_02物料!$B307=""),0,IF(OR(N(对接源_02物料!$B307)&lt;$L$2,N(对接源_02物料!$B307)&gt;$L$3),0,1))</f>
        <v>0</v>
      </c>
      <c r="M1507">
        <f>IF(OR($M$1="",对接源_02物料!$C307="",对接源_02物料!$C307&lt;&gt;$M$1,对接源_02物料!$B307=""),0,IF(OR(N(对接源_02物料!$B307)&lt;$M$2,N(对接源_02物料!$B307)&gt;$M$3),0,1))</f>
        <v>0</v>
      </c>
      <c r="N1507">
        <f>IF(OR($N$1="",对接源_02物料!$C307="",对接源_02物料!$C307&lt;&gt;$N$1,对接源_02物料!$B307=""),0,IF(OR(N(对接源_02物料!$B307)&lt;$N$2,N(对接源_02物料!$B307)&gt;$N$3),0,1))</f>
        <v>0</v>
      </c>
      <c r="P1507">
        <f>IF(AND($K1507=1,AND(对接源_02物料!$X307="公司筐",N(对接源_02物料!$T307)&lt;&gt;0)),1,0)</f>
        <v>0</v>
      </c>
      <c r="Q1507">
        <f>N(Q1506)+$P1507</f>
        <v>14</v>
      </c>
      <c r="R1507">
        <f>IF(AND($K1507=1,AND(对接源_02物料!$X307="公司筐",N(对接源_02物料!$U307)&lt;&gt;0)),1,0)</f>
        <v>0</v>
      </c>
      <c r="S1507">
        <f>N(S1506)+$R1507</f>
        <v>1</v>
      </c>
      <c r="T1507">
        <f>IF(AND($K1507=1,AND(对接源_02物料!$X307="公司筐",N(对接源_02物料!$V307)&lt;&gt;0)),1,0)</f>
        <v>0</v>
      </c>
      <c r="U1507">
        <f>N(U1506)+$T1507</f>
        <v>47</v>
      </c>
      <c r="V1507">
        <f>IF(AND($L1507=1,AND(对接源_02物料!$X307="自备筐",N(对接源_02物料!$V307)&lt;&gt;0)),1,0)</f>
        <v>0</v>
      </c>
      <c r="W1507">
        <f>N(W1506)+$V1507</f>
        <v>11</v>
      </c>
      <c r="X1507">
        <f>IF(AND($L1507=1,AND(对接源_02物料!$X307="自备筐",N(对接源_02物料!$T307)&lt;&gt;0)),1,0)</f>
        <v>0</v>
      </c>
      <c r="Y1507">
        <f>N(Y1506)+$X1507</f>
        <v>0</v>
      </c>
      <c r="Z1507">
        <f>IF(AND($M1507=1,对接源_02物料!$D307="原料入库"),1,0)</f>
        <v>0</v>
      </c>
      <c r="AA1507">
        <f>N(AA1506)+$Z1507</f>
        <v>24</v>
      </c>
      <c r="AB1507">
        <f>IF(AND($M1507=1,LEFT(对接源_02物料!$D307,4)="原料出库"),1,0)</f>
        <v>0</v>
      </c>
      <c r="AC1507">
        <f>N(AC1506)+$AB1507</f>
        <v>0</v>
      </c>
      <c r="AD1507">
        <f>IF(AND($M1507=1,LEFT(对接源_02物料!$D307,4)="成品出库"),1,0)</f>
        <v>0</v>
      </c>
      <c r="AE1507">
        <f>N(AE1506)+$AD1507</f>
        <v>0</v>
      </c>
      <c r="AF1507">
        <f>IF(AND($N1507=1,AND(LEFT(对接源_02物料!$D307,4)="包装物料",N(对接源_02物料!$K307)&lt;&gt;0)),1,0)</f>
        <v>0</v>
      </c>
      <c r="AG1507">
        <f>N(AG1506)+$AF1507</f>
        <v>10</v>
      </c>
      <c r="AH1507">
        <f>IF(AND($N1507=1,AND(对接源_02物料!$D307="周转筐－销售出库",N(对接源_02物料!$K307)&lt;&gt;0)),1,0)</f>
        <v>0</v>
      </c>
      <c r="AI1507">
        <f>N(AI1506)+$AH1507</f>
        <v>0</v>
      </c>
      <c r="AL1507" t="n">
        <v>0</v>
      </c>
      <c r="AM1507">
        <f>N(AM1506)+$AL1507</f>
        <v>2</v>
      </c>
      <c r="AN1507">
        <f>""</f>
      </c>
      <c r="AO1507" t="n">
        <v>0</v>
      </c>
      <c r="AP1507">
        <f>N(AP1506)+$AO1507</f>
        <v>13</v>
      </c>
      <c r="AR1507">
        <f>IF(OR($AF1507=1,$AH1507=1),1,0)</f>
        <v>0</v>
      </c>
      <c r="AS1507">
        <f>N(AS1506)+$AR1507</f>
        <v>10</v>
      </c>
    </row>
    <row r="1508" s="127">
      <c r="A1508">
        <f>IF(对接源_02物料!$C308="","",对接源_02物料!$C308)</f>
      </c>
      <c r="B1508">
        <f>IF(A1508="",0,IF(MATCH(A1508,$A$4:$A$2403,0)=ROW()-3,1,0))</f>
        <v>0</v>
      </c>
      <c r="C1508">
        <f>N(C1507)+B1508</f>
        <v>26</v>
      </c>
      <c r="K1508">
        <f>IF(OR($K$1="",对接源_02物料!$C308="",对接源_02物料!$C308&lt;&gt;$K$1,对接源_02物料!$B308=""),0,IF(OR(N(对接源_02物料!$B308)&lt;$K$2,N(对接源_02物料!$B308)&gt;$K$3),0,1))</f>
        <v>0</v>
      </c>
      <c r="L1508">
        <f>IF(OR($L$1="",对接源_02物料!$C308="",对接源_02物料!$C308&lt;&gt;$L$1,对接源_02物料!$B308=""),0,IF(OR(N(对接源_02物料!$B308)&lt;$L$2,N(对接源_02物料!$B308)&gt;$L$3),0,1))</f>
        <v>0</v>
      </c>
      <c r="M1508">
        <f>IF(OR($M$1="",对接源_02物料!$C308="",对接源_02物料!$C308&lt;&gt;$M$1,对接源_02物料!$B308=""),0,IF(OR(N(对接源_02物料!$B308)&lt;$M$2,N(对接源_02物料!$B308)&gt;$M$3),0,1))</f>
        <v>0</v>
      </c>
      <c r="N1508">
        <f>IF(OR($N$1="",对接源_02物料!$C308="",对接源_02物料!$C308&lt;&gt;$N$1,对接源_02物料!$B308=""),0,IF(OR(N(对接源_02物料!$B308)&lt;$N$2,N(对接源_02物料!$B308)&gt;$N$3),0,1))</f>
        <v>0</v>
      </c>
      <c r="P1508">
        <f>IF(AND($K1508=1,AND(对接源_02物料!$X308="公司筐",N(对接源_02物料!$T308)&lt;&gt;0)),1,0)</f>
        <v>0</v>
      </c>
      <c r="Q1508">
        <f>N(Q1507)+$P1508</f>
        <v>14</v>
      </c>
      <c r="R1508">
        <f>IF(AND($K1508=1,AND(对接源_02物料!$X308="公司筐",N(对接源_02物料!$U308)&lt;&gt;0)),1,0)</f>
        <v>0</v>
      </c>
      <c r="S1508">
        <f>N(S1507)+$R1508</f>
        <v>1</v>
      </c>
      <c r="T1508">
        <f>IF(AND($K1508=1,AND(对接源_02物料!$X308="公司筐",N(对接源_02物料!$V308)&lt;&gt;0)),1,0)</f>
        <v>0</v>
      </c>
      <c r="U1508">
        <f>N(U1507)+$T1508</f>
        <v>47</v>
      </c>
      <c r="V1508">
        <f>IF(AND($L1508=1,AND(对接源_02物料!$X308="自备筐",N(对接源_02物料!$V308)&lt;&gt;0)),1,0)</f>
        <v>0</v>
      </c>
      <c r="W1508">
        <f>N(W1507)+$V1508</f>
        <v>11</v>
      </c>
      <c r="X1508">
        <f>IF(AND($L1508=1,AND(对接源_02物料!$X308="自备筐",N(对接源_02物料!$T308)&lt;&gt;0)),1,0)</f>
        <v>0</v>
      </c>
      <c r="Y1508">
        <f>N(Y1507)+$X1508</f>
        <v>0</v>
      </c>
      <c r="Z1508">
        <f>IF(AND($M1508=1,对接源_02物料!$D308="原料入库"),1,0)</f>
        <v>0</v>
      </c>
      <c r="AA1508">
        <f>N(AA1507)+$Z1508</f>
        <v>24</v>
      </c>
      <c r="AB1508">
        <f>IF(AND($M1508=1,LEFT(对接源_02物料!$D308,4)="原料出库"),1,0)</f>
        <v>0</v>
      </c>
      <c r="AC1508">
        <f>N(AC1507)+$AB1508</f>
        <v>0</v>
      </c>
      <c r="AD1508">
        <f>IF(AND($M1508=1,LEFT(对接源_02物料!$D308,4)="成品出库"),1,0)</f>
        <v>0</v>
      </c>
      <c r="AE1508">
        <f>N(AE1507)+$AD1508</f>
        <v>0</v>
      </c>
      <c r="AF1508">
        <f>IF(AND($N1508=1,AND(LEFT(对接源_02物料!$D308,4)="包装物料",N(对接源_02物料!$K308)&lt;&gt;0)),1,0)</f>
        <v>0</v>
      </c>
      <c r="AG1508">
        <f>N(AG1507)+$AF1508</f>
        <v>10</v>
      </c>
      <c r="AH1508">
        <f>IF(AND($N1508=1,AND(对接源_02物料!$D308="周转筐－销售出库",N(对接源_02物料!$K308)&lt;&gt;0)),1,0)</f>
        <v>0</v>
      </c>
      <c r="AI1508">
        <f>N(AI1507)+$AH1508</f>
        <v>0</v>
      </c>
      <c r="AL1508" t="n">
        <v>0</v>
      </c>
      <c r="AM1508">
        <f>N(AM1507)+$AL1508</f>
        <v>2</v>
      </c>
      <c r="AN1508">
        <f>""</f>
      </c>
      <c r="AO1508" t="n">
        <v>0</v>
      </c>
      <c r="AP1508">
        <f>N(AP1507)+$AO1508</f>
        <v>13</v>
      </c>
      <c r="AR1508">
        <f>IF(OR($AF1508=1,$AH1508=1),1,0)</f>
        <v>0</v>
      </c>
      <c r="AS1508">
        <f>N(AS1507)+$AR1508</f>
        <v>10</v>
      </c>
    </row>
    <row r="1509" s="127">
      <c r="A1509">
        <f>IF(对接源_02物料!$C309="","",对接源_02物料!$C309)</f>
      </c>
      <c r="B1509">
        <f>IF(A1509="",0,IF(MATCH(A1509,$A$4:$A$2403,0)=ROW()-3,1,0))</f>
        <v>0</v>
      </c>
      <c r="C1509">
        <f>N(C1508)+B1509</f>
        <v>26</v>
      </c>
      <c r="K1509">
        <f>IF(OR($K$1="",对接源_02物料!$C309="",对接源_02物料!$C309&lt;&gt;$K$1,对接源_02物料!$B309=""),0,IF(OR(N(对接源_02物料!$B309)&lt;$K$2,N(对接源_02物料!$B309)&gt;$K$3),0,1))</f>
        <v>0</v>
      </c>
      <c r="L1509">
        <f>IF(OR($L$1="",对接源_02物料!$C309="",对接源_02物料!$C309&lt;&gt;$L$1,对接源_02物料!$B309=""),0,IF(OR(N(对接源_02物料!$B309)&lt;$L$2,N(对接源_02物料!$B309)&gt;$L$3),0,1))</f>
        <v>0</v>
      </c>
      <c r="M1509">
        <f>IF(OR($M$1="",对接源_02物料!$C309="",对接源_02物料!$C309&lt;&gt;$M$1,对接源_02物料!$B309=""),0,IF(OR(N(对接源_02物料!$B309)&lt;$M$2,N(对接源_02物料!$B309)&gt;$M$3),0,1))</f>
        <v>0</v>
      </c>
      <c r="N1509">
        <f>IF(OR($N$1="",对接源_02物料!$C309="",对接源_02物料!$C309&lt;&gt;$N$1,对接源_02物料!$B309=""),0,IF(OR(N(对接源_02物料!$B309)&lt;$N$2,N(对接源_02物料!$B309)&gt;$N$3),0,1))</f>
        <v>0</v>
      </c>
      <c r="P1509">
        <f>IF(AND($K1509=1,AND(对接源_02物料!$X309="公司筐",N(对接源_02物料!$T309)&lt;&gt;0)),1,0)</f>
        <v>0</v>
      </c>
      <c r="Q1509">
        <f>N(Q1508)+$P1509</f>
        <v>14</v>
      </c>
      <c r="R1509">
        <f>IF(AND($K1509=1,AND(对接源_02物料!$X309="公司筐",N(对接源_02物料!$U309)&lt;&gt;0)),1,0)</f>
        <v>0</v>
      </c>
      <c r="S1509">
        <f>N(S1508)+$R1509</f>
        <v>1</v>
      </c>
      <c r="T1509">
        <f>IF(AND($K1509=1,AND(对接源_02物料!$X309="公司筐",N(对接源_02物料!$V309)&lt;&gt;0)),1,0)</f>
        <v>0</v>
      </c>
      <c r="U1509">
        <f>N(U1508)+$T1509</f>
        <v>47</v>
      </c>
      <c r="V1509">
        <f>IF(AND($L1509=1,AND(对接源_02物料!$X309="自备筐",N(对接源_02物料!$V309)&lt;&gt;0)),1,0)</f>
        <v>0</v>
      </c>
      <c r="W1509">
        <f>N(W1508)+$V1509</f>
        <v>11</v>
      </c>
      <c r="X1509">
        <f>IF(AND($L1509=1,AND(对接源_02物料!$X309="自备筐",N(对接源_02物料!$T309)&lt;&gt;0)),1,0)</f>
        <v>0</v>
      </c>
      <c r="Y1509">
        <f>N(Y1508)+$X1509</f>
        <v>0</v>
      </c>
      <c r="Z1509">
        <f>IF(AND($M1509=1,对接源_02物料!$D309="原料入库"),1,0)</f>
        <v>0</v>
      </c>
      <c r="AA1509">
        <f>N(AA1508)+$Z1509</f>
        <v>24</v>
      </c>
      <c r="AB1509">
        <f>IF(AND($M1509=1,LEFT(对接源_02物料!$D309,4)="原料出库"),1,0)</f>
        <v>0</v>
      </c>
      <c r="AC1509">
        <f>N(AC1508)+$AB1509</f>
        <v>0</v>
      </c>
      <c r="AD1509">
        <f>IF(AND($M1509=1,LEFT(对接源_02物料!$D309,4)="成品出库"),1,0)</f>
        <v>0</v>
      </c>
      <c r="AE1509">
        <f>N(AE1508)+$AD1509</f>
        <v>0</v>
      </c>
      <c r="AF1509">
        <f>IF(AND($N1509=1,AND(LEFT(对接源_02物料!$D309,4)="包装物料",N(对接源_02物料!$K309)&lt;&gt;0)),1,0)</f>
        <v>0</v>
      </c>
      <c r="AG1509">
        <f>N(AG1508)+$AF1509</f>
        <v>10</v>
      </c>
      <c r="AH1509">
        <f>IF(AND($N1509=1,AND(对接源_02物料!$D309="周转筐－销售出库",N(对接源_02物料!$K309)&lt;&gt;0)),1,0)</f>
        <v>0</v>
      </c>
      <c r="AI1509">
        <f>N(AI1508)+$AH1509</f>
        <v>0</v>
      </c>
      <c r="AL1509" t="n">
        <v>0</v>
      </c>
      <c r="AM1509">
        <f>N(AM1508)+$AL1509</f>
        <v>2</v>
      </c>
      <c r="AN1509">
        <f>""</f>
      </c>
      <c r="AO1509" t="n">
        <v>0</v>
      </c>
      <c r="AP1509">
        <f>N(AP1508)+$AO1509</f>
        <v>13</v>
      </c>
      <c r="AR1509">
        <f>IF(OR($AF1509=1,$AH1509=1),1,0)</f>
        <v>0</v>
      </c>
      <c r="AS1509">
        <f>N(AS1508)+$AR1509</f>
        <v>10</v>
      </c>
    </row>
    <row r="1510" s="127">
      <c r="A1510">
        <f>IF(对接源_02物料!$C310="","",对接源_02物料!$C310)</f>
      </c>
      <c r="B1510">
        <f>IF(A1510="",0,IF(MATCH(A1510,$A$4:$A$2403,0)=ROW()-3,1,0))</f>
        <v>0</v>
      </c>
      <c r="C1510">
        <f>N(C1509)+B1510</f>
        <v>26</v>
      </c>
      <c r="K1510">
        <f>IF(OR($K$1="",对接源_02物料!$C310="",对接源_02物料!$C310&lt;&gt;$K$1,对接源_02物料!$B310=""),0,IF(OR(N(对接源_02物料!$B310)&lt;$K$2,N(对接源_02物料!$B310)&gt;$K$3),0,1))</f>
        <v>0</v>
      </c>
      <c r="L1510">
        <f>IF(OR($L$1="",对接源_02物料!$C310="",对接源_02物料!$C310&lt;&gt;$L$1,对接源_02物料!$B310=""),0,IF(OR(N(对接源_02物料!$B310)&lt;$L$2,N(对接源_02物料!$B310)&gt;$L$3),0,1))</f>
        <v>0</v>
      </c>
      <c r="M1510">
        <f>IF(OR($M$1="",对接源_02物料!$C310="",对接源_02物料!$C310&lt;&gt;$M$1,对接源_02物料!$B310=""),0,IF(OR(N(对接源_02物料!$B310)&lt;$M$2,N(对接源_02物料!$B310)&gt;$M$3),0,1))</f>
        <v>0</v>
      </c>
      <c r="N1510">
        <f>IF(OR($N$1="",对接源_02物料!$C310="",对接源_02物料!$C310&lt;&gt;$N$1,对接源_02物料!$B310=""),0,IF(OR(N(对接源_02物料!$B310)&lt;$N$2,N(对接源_02物料!$B310)&gt;$N$3),0,1))</f>
        <v>0</v>
      </c>
      <c r="P1510">
        <f>IF(AND($K1510=1,AND(对接源_02物料!$X310="公司筐",N(对接源_02物料!$T310)&lt;&gt;0)),1,0)</f>
        <v>0</v>
      </c>
      <c r="Q1510">
        <f>N(Q1509)+$P1510</f>
        <v>14</v>
      </c>
      <c r="R1510">
        <f>IF(AND($K1510=1,AND(对接源_02物料!$X310="公司筐",N(对接源_02物料!$U310)&lt;&gt;0)),1,0)</f>
        <v>0</v>
      </c>
      <c r="S1510">
        <f>N(S1509)+$R1510</f>
        <v>1</v>
      </c>
      <c r="T1510">
        <f>IF(AND($K1510=1,AND(对接源_02物料!$X310="公司筐",N(对接源_02物料!$V310)&lt;&gt;0)),1,0)</f>
        <v>0</v>
      </c>
      <c r="U1510">
        <f>N(U1509)+$T1510</f>
        <v>47</v>
      </c>
      <c r="V1510">
        <f>IF(AND($L1510=1,AND(对接源_02物料!$X310="自备筐",N(对接源_02物料!$V310)&lt;&gt;0)),1,0)</f>
        <v>0</v>
      </c>
      <c r="W1510">
        <f>N(W1509)+$V1510</f>
        <v>11</v>
      </c>
      <c r="X1510">
        <f>IF(AND($L1510=1,AND(对接源_02物料!$X310="自备筐",N(对接源_02物料!$T310)&lt;&gt;0)),1,0)</f>
        <v>0</v>
      </c>
      <c r="Y1510">
        <f>N(Y1509)+$X1510</f>
        <v>0</v>
      </c>
      <c r="Z1510">
        <f>IF(AND($M1510=1,对接源_02物料!$D310="原料入库"),1,0)</f>
        <v>0</v>
      </c>
      <c r="AA1510">
        <f>N(AA1509)+$Z1510</f>
        <v>24</v>
      </c>
      <c r="AB1510">
        <f>IF(AND($M1510=1,LEFT(对接源_02物料!$D310,4)="原料出库"),1,0)</f>
        <v>0</v>
      </c>
      <c r="AC1510">
        <f>N(AC1509)+$AB1510</f>
        <v>0</v>
      </c>
      <c r="AD1510">
        <f>IF(AND($M1510=1,LEFT(对接源_02物料!$D310,4)="成品出库"),1,0)</f>
        <v>0</v>
      </c>
      <c r="AE1510">
        <f>N(AE1509)+$AD1510</f>
        <v>0</v>
      </c>
      <c r="AF1510">
        <f>IF(AND($N1510=1,AND(LEFT(对接源_02物料!$D310,4)="包装物料",N(对接源_02物料!$K310)&lt;&gt;0)),1,0)</f>
        <v>0</v>
      </c>
      <c r="AG1510">
        <f>N(AG1509)+$AF1510</f>
        <v>10</v>
      </c>
      <c r="AH1510">
        <f>IF(AND($N1510=1,AND(对接源_02物料!$D310="周转筐－销售出库",N(对接源_02物料!$K310)&lt;&gt;0)),1,0)</f>
        <v>0</v>
      </c>
      <c r="AI1510">
        <f>N(AI1509)+$AH1510</f>
        <v>0</v>
      </c>
      <c r="AL1510" t="n">
        <v>0</v>
      </c>
      <c r="AM1510">
        <f>N(AM1509)+$AL1510</f>
        <v>2</v>
      </c>
      <c r="AN1510">
        <f>""</f>
      </c>
      <c r="AO1510" t="n">
        <v>0</v>
      </c>
      <c r="AP1510">
        <f>N(AP1509)+$AO1510</f>
        <v>13</v>
      </c>
      <c r="AR1510">
        <f>IF(OR($AF1510=1,$AH1510=1),1,0)</f>
        <v>0</v>
      </c>
      <c r="AS1510">
        <f>N(AS1509)+$AR1510</f>
        <v>10</v>
      </c>
    </row>
    <row r="1511" s="127">
      <c r="A1511">
        <f>IF(对接源_02物料!$C311="","",对接源_02物料!$C311)</f>
      </c>
      <c r="B1511">
        <f>IF(A1511="",0,IF(MATCH(A1511,$A$4:$A$2403,0)=ROW()-3,1,0))</f>
        <v>0</v>
      </c>
      <c r="C1511">
        <f>N(C1510)+B1511</f>
        <v>26</v>
      </c>
      <c r="K1511">
        <f>IF(OR($K$1="",对接源_02物料!$C311="",对接源_02物料!$C311&lt;&gt;$K$1,对接源_02物料!$B311=""),0,IF(OR(N(对接源_02物料!$B311)&lt;$K$2,N(对接源_02物料!$B311)&gt;$K$3),0,1))</f>
        <v>0</v>
      </c>
      <c r="L1511">
        <f>IF(OR($L$1="",对接源_02物料!$C311="",对接源_02物料!$C311&lt;&gt;$L$1,对接源_02物料!$B311=""),0,IF(OR(N(对接源_02物料!$B311)&lt;$L$2,N(对接源_02物料!$B311)&gt;$L$3),0,1))</f>
        <v>0</v>
      </c>
      <c r="M1511">
        <f>IF(OR($M$1="",对接源_02物料!$C311="",对接源_02物料!$C311&lt;&gt;$M$1,对接源_02物料!$B311=""),0,IF(OR(N(对接源_02物料!$B311)&lt;$M$2,N(对接源_02物料!$B311)&gt;$M$3),0,1))</f>
        <v>0</v>
      </c>
      <c r="N1511">
        <f>IF(OR($N$1="",对接源_02物料!$C311="",对接源_02物料!$C311&lt;&gt;$N$1,对接源_02物料!$B311=""),0,IF(OR(N(对接源_02物料!$B311)&lt;$N$2,N(对接源_02物料!$B311)&gt;$N$3),0,1))</f>
        <v>0</v>
      </c>
      <c r="P1511">
        <f>IF(AND($K1511=1,AND(对接源_02物料!$X311="公司筐",N(对接源_02物料!$T311)&lt;&gt;0)),1,0)</f>
        <v>0</v>
      </c>
      <c r="Q1511">
        <f>N(Q1510)+$P1511</f>
        <v>14</v>
      </c>
      <c r="R1511">
        <f>IF(AND($K1511=1,AND(对接源_02物料!$X311="公司筐",N(对接源_02物料!$U311)&lt;&gt;0)),1,0)</f>
        <v>0</v>
      </c>
      <c r="S1511">
        <f>N(S1510)+$R1511</f>
        <v>1</v>
      </c>
      <c r="T1511">
        <f>IF(AND($K1511=1,AND(对接源_02物料!$X311="公司筐",N(对接源_02物料!$V311)&lt;&gt;0)),1,0)</f>
        <v>0</v>
      </c>
      <c r="U1511">
        <f>N(U1510)+$T1511</f>
        <v>47</v>
      </c>
      <c r="V1511">
        <f>IF(AND($L1511=1,AND(对接源_02物料!$X311="自备筐",N(对接源_02物料!$V311)&lt;&gt;0)),1,0)</f>
        <v>0</v>
      </c>
      <c r="W1511">
        <f>N(W1510)+$V1511</f>
        <v>11</v>
      </c>
      <c r="X1511">
        <f>IF(AND($L1511=1,AND(对接源_02物料!$X311="自备筐",N(对接源_02物料!$T311)&lt;&gt;0)),1,0)</f>
        <v>0</v>
      </c>
      <c r="Y1511">
        <f>N(Y1510)+$X1511</f>
        <v>0</v>
      </c>
      <c r="Z1511">
        <f>IF(AND($M1511=1,对接源_02物料!$D311="原料入库"),1,0)</f>
        <v>0</v>
      </c>
      <c r="AA1511">
        <f>N(AA1510)+$Z1511</f>
        <v>24</v>
      </c>
      <c r="AB1511">
        <f>IF(AND($M1511=1,LEFT(对接源_02物料!$D311,4)="原料出库"),1,0)</f>
        <v>0</v>
      </c>
      <c r="AC1511">
        <f>N(AC1510)+$AB1511</f>
        <v>0</v>
      </c>
      <c r="AD1511">
        <f>IF(AND($M1511=1,LEFT(对接源_02物料!$D311,4)="成品出库"),1,0)</f>
        <v>0</v>
      </c>
      <c r="AE1511">
        <f>N(AE1510)+$AD1511</f>
        <v>0</v>
      </c>
      <c r="AF1511">
        <f>IF(AND($N1511=1,AND(LEFT(对接源_02物料!$D311,4)="包装物料",N(对接源_02物料!$K311)&lt;&gt;0)),1,0)</f>
        <v>0</v>
      </c>
      <c r="AG1511">
        <f>N(AG1510)+$AF1511</f>
        <v>10</v>
      </c>
      <c r="AH1511">
        <f>IF(AND($N1511=1,AND(对接源_02物料!$D311="周转筐－销售出库",N(对接源_02物料!$K311)&lt;&gt;0)),1,0)</f>
        <v>0</v>
      </c>
      <c r="AI1511">
        <f>N(AI1510)+$AH1511</f>
        <v>0</v>
      </c>
      <c r="AL1511" t="n">
        <v>0</v>
      </c>
      <c r="AM1511">
        <f>N(AM1510)+$AL1511</f>
        <v>2</v>
      </c>
      <c r="AN1511">
        <f>""</f>
      </c>
      <c r="AO1511" t="n">
        <v>0</v>
      </c>
      <c r="AP1511">
        <f>N(AP1510)+$AO1511</f>
        <v>13</v>
      </c>
      <c r="AR1511">
        <f>IF(OR($AF1511=1,$AH1511=1),1,0)</f>
        <v>0</v>
      </c>
      <c r="AS1511">
        <f>N(AS1510)+$AR1511</f>
        <v>10</v>
      </c>
    </row>
    <row r="1512" s="127">
      <c r="A1512">
        <f>IF(对接源_02物料!$C312="","",对接源_02物料!$C312)</f>
      </c>
      <c r="B1512">
        <f>IF(A1512="",0,IF(MATCH(A1512,$A$4:$A$2403,0)=ROW()-3,1,0))</f>
        <v>0</v>
      </c>
      <c r="C1512">
        <f>N(C1511)+B1512</f>
        <v>26</v>
      </c>
      <c r="K1512">
        <f>IF(OR($K$1="",对接源_02物料!$C312="",对接源_02物料!$C312&lt;&gt;$K$1,对接源_02物料!$B312=""),0,IF(OR(N(对接源_02物料!$B312)&lt;$K$2,N(对接源_02物料!$B312)&gt;$K$3),0,1))</f>
        <v>0</v>
      </c>
      <c r="L1512">
        <f>IF(OR($L$1="",对接源_02物料!$C312="",对接源_02物料!$C312&lt;&gt;$L$1,对接源_02物料!$B312=""),0,IF(OR(N(对接源_02物料!$B312)&lt;$L$2,N(对接源_02物料!$B312)&gt;$L$3),0,1))</f>
        <v>0</v>
      </c>
      <c r="M1512">
        <f>IF(OR($M$1="",对接源_02物料!$C312="",对接源_02物料!$C312&lt;&gt;$M$1,对接源_02物料!$B312=""),0,IF(OR(N(对接源_02物料!$B312)&lt;$M$2,N(对接源_02物料!$B312)&gt;$M$3),0,1))</f>
        <v>0</v>
      </c>
      <c r="N1512">
        <f>IF(OR($N$1="",对接源_02物料!$C312="",对接源_02物料!$C312&lt;&gt;$N$1,对接源_02物料!$B312=""),0,IF(OR(N(对接源_02物料!$B312)&lt;$N$2,N(对接源_02物料!$B312)&gt;$N$3),0,1))</f>
        <v>0</v>
      </c>
      <c r="P1512">
        <f>IF(AND($K1512=1,AND(对接源_02物料!$X312="公司筐",N(对接源_02物料!$T312)&lt;&gt;0)),1,0)</f>
        <v>0</v>
      </c>
      <c r="Q1512">
        <f>N(Q1511)+$P1512</f>
        <v>14</v>
      </c>
      <c r="R1512">
        <f>IF(AND($K1512=1,AND(对接源_02物料!$X312="公司筐",N(对接源_02物料!$U312)&lt;&gt;0)),1,0)</f>
        <v>0</v>
      </c>
      <c r="S1512">
        <f>N(S1511)+$R1512</f>
        <v>1</v>
      </c>
      <c r="T1512">
        <f>IF(AND($K1512=1,AND(对接源_02物料!$X312="公司筐",N(对接源_02物料!$V312)&lt;&gt;0)),1,0)</f>
        <v>0</v>
      </c>
      <c r="U1512">
        <f>N(U1511)+$T1512</f>
        <v>47</v>
      </c>
      <c r="V1512">
        <f>IF(AND($L1512=1,AND(对接源_02物料!$X312="自备筐",N(对接源_02物料!$V312)&lt;&gt;0)),1,0)</f>
        <v>0</v>
      </c>
      <c r="W1512">
        <f>N(W1511)+$V1512</f>
        <v>11</v>
      </c>
      <c r="X1512">
        <f>IF(AND($L1512=1,AND(对接源_02物料!$X312="自备筐",N(对接源_02物料!$T312)&lt;&gt;0)),1,0)</f>
        <v>0</v>
      </c>
      <c r="Y1512">
        <f>N(Y1511)+$X1512</f>
        <v>0</v>
      </c>
      <c r="Z1512">
        <f>IF(AND($M1512=1,对接源_02物料!$D312="原料入库"),1,0)</f>
        <v>0</v>
      </c>
      <c r="AA1512">
        <f>N(AA1511)+$Z1512</f>
        <v>24</v>
      </c>
      <c r="AB1512">
        <f>IF(AND($M1512=1,LEFT(对接源_02物料!$D312,4)="原料出库"),1,0)</f>
        <v>0</v>
      </c>
      <c r="AC1512">
        <f>N(AC1511)+$AB1512</f>
        <v>0</v>
      </c>
      <c r="AD1512">
        <f>IF(AND($M1512=1,LEFT(对接源_02物料!$D312,4)="成品出库"),1,0)</f>
        <v>0</v>
      </c>
      <c r="AE1512">
        <f>N(AE1511)+$AD1512</f>
        <v>0</v>
      </c>
      <c r="AF1512">
        <f>IF(AND($N1512=1,AND(LEFT(对接源_02物料!$D312,4)="包装物料",N(对接源_02物料!$K312)&lt;&gt;0)),1,0)</f>
        <v>0</v>
      </c>
      <c r="AG1512">
        <f>N(AG1511)+$AF1512</f>
        <v>10</v>
      </c>
      <c r="AH1512">
        <f>IF(AND($N1512=1,AND(对接源_02物料!$D312="周转筐－销售出库",N(对接源_02物料!$K312)&lt;&gt;0)),1,0)</f>
        <v>0</v>
      </c>
      <c r="AI1512">
        <f>N(AI1511)+$AH1512</f>
        <v>0</v>
      </c>
      <c r="AL1512" t="n">
        <v>0</v>
      </c>
      <c r="AM1512">
        <f>N(AM1511)+$AL1512</f>
        <v>2</v>
      </c>
      <c r="AN1512">
        <f>""</f>
      </c>
      <c r="AO1512" t="n">
        <v>0</v>
      </c>
      <c r="AP1512">
        <f>N(AP1511)+$AO1512</f>
        <v>13</v>
      </c>
      <c r="AR1512">
        <f>IF(OR($AF1512=1,$AH1512=1),1,0)</f>
        <v>0</v>
      </c>
      <c r="AS1512">
        <f>N(AS1511)+$AR1512</f>
        <v>10</v>
      </c>
    </row>
    <row r="1513" s="127">
      <c r="A1513">
        <f>IF(对接源_02物料!$C313="","",对接源_02物料!$C313)</f>
      </c>
      <c r="B1513">
        <f>IF(A1513="",0,IF(MATCH(A1513,$A$4:$A$2403,0)=ROW()-3,1,0))</f>
        <v>0</v>
      </c>
      <c r="C1513">
        <f>N(C1512)+B1513</f>
        <v>26</v>
      </c>
      <c r="K1513">
        <f>IF(OR($K$1="",对接源_02物料!$C313="",对接源_02物料!$C313&lt;&gt;$K$1,对接源_02物料!$B313=""),0,IF(OR(N(对接源_02物料!$B313)&lt;$K$2,N(对接源_02物料!$B313)&gt;$K$3),0,1))</f>
        <v>0</v>
      </c>
      <c r="L1513">
        <f>IF(OR($L$1="",对接源_02物料!$C313="",对接源_02物料!$C313&lt;&gt;$L$1,对接源_02物料!$B313=""),0,IF(OR(N(对接源_02物料!$B313)&lt;$L$2,N(对接源_02物料!$B313)&gt;$L$3),0,1))</f>
        <v>0</v>
      </c>
      <c r="M1513">
        <f>IF(OR($M$1="",对接源_02物料!$C313="",对接源_02物料!$C313&lt;&gt;$M$1,对接源_02物料!$B313=""),0,IF(OR(N(对接源_02物料!$B313)&lt;$M$2,N(对接源_02物料!$B313)&gt;$M$3),0,1))</f>
        <v>0</v>
      </c>
      <c r="N1513">
        <f>IF(OR($N$1="",对接源_02物料!$C313="",对接源_02物料!$C313&lt;&gt;$N$1,对接源_02物料!$B313=""),0,IF(OR(N(对接源_02物料!$B313)&lt;$N$2,N(对接源_02物料!$B313)&gt;$N$3),0,1))</f>
        <v>0</v>
      </c>
      <c r="P1513">
        <f>IF(AND($K1513=1,AND(对接源_02物料!$X313="公司筐",N(对接源_02物料!$T313)&lt;&gt;0)),1,0)</f>
        <v>0</v>
      </c>
      <c r="Q1513">
        <f>N(Q1512)+$P1513</f>
        <v>14</v>
      </c>
      <c r="R1513">
        <f>IF(AND($K1513=1,AND(对接源_02物料!$X313="公司筐",N(对接源_02物料!$U313)&lt;&gt;0)),1,0)</f>
        <v>0</v>
      </c>
      <c r="S1513">
        <f>N(S1512)+$R1513</f>
        <v>1</v>
      </c>
      <c r="T1513">
        <f>IF(AND($K1513=1,AND(对接源_02物料!$X313="公司筐",N(对接源_02物料!$V313)&lt;&gt;0)),1,0)</f>
        <v>0</v>
      </c>
      <c r="U1513">
        <f>N(U1512)+$T1513</f>
        <v>47</v>
      </c>
      <c r="V1513">
        <f>IF(AND($L1513=1,AND(对接源_02物料!$X313="自备筐",N(对接源_02物料!$V313)&lt;&gt;0)),1,0)</f>
        <v>0</v>
      </c>
      <c r="W1513">
        <f>N(W1512)+$V1513</f>
        <v>11</v>
      </c>
      <c r="X1513">
        <f>IF(AND($L1513=1,AND(对接源_02物料!$X313="自备筐",N(对接源_02物料!$T313)&lt;&gt;0)),1,0)</f>
        <v>0</v>
      </c>
      <c r="Y1513">
        <f>N(Y1512)+$X1513</f>
        <v>0</v>
      </c>
      <c r="Z1513">
        <f>IF(AND($M1513=1,对接源_02物料!$D313="原料入库"),1,0)</f>
        <v>0</v>
      </c>
      <c r="AA1513">
        <f>N(AA1512)+$Z1513</f>
        <v>24</v>
      </c>
      <c r="AB1513">
        <f>IF(AND($M1513=1,LEFT(对接源_02物料!$D313,4)="原料出库"),1,0)</f>
        <v>0</v>
      </c>
      <c r="AC1513">
        <f>N(AC1512)+$AB1513</f>
        <v>0</v>
      </c>
      <c r="AD1513">
        <f>IF(AND($M1513=1,LEFT(对接源_02物料!$D313,4)="成品出库"),1,0)</f>
        <v>0</v>
      </c>
      <c r="AE1513">
        <f>N(AE1512)+$AD1513</f>
        <v>0</v>
      </c>
      <c r="AF1513">
        <f>IF(AND($N1513=1,AND(LEFT(对接源_02物料!$D313,4)="包装物料",N(对接源_02物料!$K313)&lt;&gt;0)),1,0)</f>
        <v>0</v>
      </c>
      <c r="AG1513">
        <f>N(AG1512)+$AF1513</f>
        <v>10</v>
      </c>
      <c r="AH1513">
        <f>IF(AND($N1513=1,AND(对接源_02物料!$D313="周转筐－销售出库",N(对接源_02物料!$K313)&lt;&gt;0)),1,0)</f>
        <v>0</v>
      </c>
      <c r="AI1513">
        <f>N(AI1512)+$AH1513</f>
        <v>0</v>
      </c>
      <c r="AL1513" t="n">
        <v>0</v>
      </c>
      <c r="AM1513">
        <f>N(AM1512)+$AL1513</f>
        <v>2</v>
      </c>
      <c r="AN1513">
        <f>""</f>
      </c>
      <c r="AO1513" t="n">
        <v>0</v>
      </c>
      <c r="AP1513">
        <f>N(AP1512)+$AO1513</f>
        <v>13</v>
      </c>
      <c r="AR1513">
        <f>IF(OR($AF1513=1,$AH1513=1),1,0)</f>
        <v>0</v>
      </c>
      <c r="AS1513">
        <f>N(AS1512)+$AR1513</f>
        <v>10</v>
      </c>
    </row>
    <row r="1514" s="127">
      <c r="A1514">
        <f>IF(对接源_02物料!$C314="","",对接源_02物料!$C314)</f>
      </c>
      <c r="B1514">
        <f>IF(A1514="",0,IF(MATCH(A1514,$A$4:$A$2403,0)=ROW()-3,1,0))</f>
        <v>0</v>
      </c>
      <c r="C1514">
        <f>N(C1513)+B1514</f>
        <v>26</v>
      </c>
      <c r="K1514">
        <f>IF(OR($K$1="",对接源_02物料!$C314="",对接源_02物料!$C314&lt;&gt;$K$1,对接源_02物料!$B314=""),0,IF(OR(N(对接源_02物料!$B314)&lt;$K$2,N(对接源_02物料!$B314)&gt;$K$3),0,1))</f>
        <v>0</v>
      </c>
      <c r="L1514">
        <f>IF(OR($L$1="",对接源_02物料!$C314="",对接源_02物料!$C314&lt;&gt;$L$1,对接源_02物料!$B314=""),0,IF(OR(N(对接源_02物料!$B314)&lt;$L$2,N(对接源_02物料!$B314)&gt;$L$3),0,1))</f>
        <v>0</v>
      </c>
      <c r="M1514">
        <f>IF(OR($M$1="",对接源_02物料!$C314="",对接源_02物料!$C314&lt;&gt;$M$1,对接源_02物料!$B314=""),0,IF(OR(N(对接源_02物料!$B314)&lt;$M$2,N(对接源_02物料!$B314)&gt;$M$3),0,1))</f>
        <v>0</v>
      </c>
      <c r="N1514">
        <f>IF(OR($N$1="",对接源_02物料!$C314="",对接源_02物料!$C314&lt;&gt;$N$1,对接源_02物料!$B314=""),0,IF(OR(N(对接源_02物料!$B314)&lt;$N$2,N(对接源_02物料!$B314)&gt;$N$3),0,1))</f>
        <v>0</v>
      </c>
      <c r="P1514">
        <f>IF(AND($K1514=1,AND(对接源_02物料!$X314="公司筐",N(对接源_02物料!$T314)&lt;&gt;0)),1,0)</f>
        <v>0</v>
      </c>
      <c r="Q1514">
        <f>N(Q1513)+$P1514</f>
        <v>14</v>
      </c>
      <c r="R1514">
        <f>IF(AND($K1514=1,AND(对接源_02物料!$X314="公司筐",N(对接源_02物料!$U314)&lt;&gt;0)),1,0)</f>
        <v>0</v>
      </c>
      <c r="S1514">
        <f>N(S1513)+$R1514</f>
        <v>1</v>
      </c>
      <c r="T1514">
        <f>IF(AND($K1514=1,AND(对接源_02物料!$X314="公司筐",N(对接源_02物料!$V314)&lt;&gt;0)),1,0)</f>
        <v>0</v>
      </c>
      <c r="U1514">
        <f>N(U1513)+$T1514</f>
        <v>47</v>
      </c>
      <c r="V1514">
        <f>IF(AND($L1514=1,AND(对接源_02物料!$X314="自备筐",N(对接源_02物料!$V314)&lt;&gt;0)),1,0)</f>
        <v>0</v>
      </c>
      <c r="W1514">
        <f>N(W1513)+$V1514</f>
        <v>11</v>
      </c>
      <c r="X1514">
        <f>IF(AND($L1514=1,AND(对接源_02物料!$X314="自备筐",N(对接源_02物料!$T314)&lt;&gt;0)),1,0)</f>
        <v>0</v>
      </c>
      <c r="Y1514">
        <f>N(Y1513)+$X1514</f>
        <v>0</v>
      </c>
      <c r="Z1514">
        <f>IF(AND($M1514=1,对接源_02物料!$D314="原料入库"),1,0)</f>
        <v>0</v>
      </c>
      <c r="AA1514">
        <f>N(AA1513)+$Z1514</f>
        <v>24</v>
      </c>
      <c r="AB1514">
        <f>IF(AND($M1514=1,LEFT(对接源_02物料!$D314,4)="原料出库"),1,0)</f>
        <v>0</v>
      </c>
      <c r="AC1514">
        <f>N(AC1513)+$AB1514</f>
        <v>0</v>
      </c>
      <c r="AD1514">
        <f>IF(AND($M1514=1,LEFT(对接源_02物料!$D314,4)="成品出库"),1,0)</f>
        <v>0</v>
      </c>
      <c r="AE1514">
        <f>N(AE1513)+$AD1514</f>
        <v>0</v>
      </c>
      <c r="AF1514">
        <f>IF(AND($N1514=1,AND(LEFT(对接源_02物料!$D314,4)="包装物料",N(对接源_02物料!$K314)&lt;&gt;0)),1,0)</f>
        <v>0</v>
      </c>
      <c r="AG1514">
        <f>N(AG1513)+$AF1514</f>
        <v>10</v>
      </c>
      <c r="AH1514">
        <f>IF(AND($N1514=1,AND(对接源_02物料!$D314="周转筐－销售出库",N(对接源_02物料!$K314)&lt;&gt;0)),1,0)</f>
        <v>0</v>
      </c>
      <c r="AI1514">
        <f>N(AI1513)+$AH1514</f>
        <v>0</v>
      </c>
      <c r="AL1514" t="n">
        <v>0</v>
      </c>
      <c r="AM1514">
        <f>N(AM1513)+$AL1514</f>
        <v>2</v>
      </c>
      <c r="AN1514">
        <f>""</f>
      </c>
      <c r="AO1514" t="n">
        <v>0</v>
      </c>
      <c r="AP1514">
        <f>N(AP1513)+$AO1514</f>
        <v>13</v>
      </c>
      <c r="AR1514">
        <f>IF(OR($AF1514=1,$AH1514=1),1,0)</f>
        <v>0</v>
      </c>
      <c r="AS1514">
        <f>N(AS1513)+$AR1514</f>
        <v>10</v>
      </c>
    </row>
    <row r="1515" s="127">
      <c r="A1515">
        <f>IF(对接源_02物料!$C315="","",对接源_02物料!$C315)</f>
      </c>
      <c r="B1515">
        <f>IF(A1515="",0,IF(MATCH(A1515,$A$4:$A$2403,0)=ROW()-3,1,0))</f>
        <v>0</v>
      </c>
      <c r="C1515">
        <f>N(C1514)+B1515</f>
        <v>26</v>
      </c>
      <c r="K1515">
        <f>IF(OR($K$1="",对接源_02物料!$C315="",对接源_02物料!$C315&lt;&gt;$K$1,对接源_02物料!$B315=""),0,IF(OR(N(对接源_02物料!$B315)&lt;$K$2,N(对接源_02物料!$B315)&gt;$K$3),0,1))</f>
        <v>0</v>
      </c>
      <c r="L1515">
        <f>IF(OR($L$1="",对接源_02物料!$C315="",对接源_02物料!$C315&lt;&gt;$L$1,对接源_02物料!$B315=""),0,IF(OR(N(对接源_02物料!$B315)&lt;$L$2,N(对接源_02物料!$B315)&gt;$L$3),0,1))</f>
        <v>0</v>
      </c>
      <c r="M1515">
        <f>IF(OR($M$1="",对接源_02物料!$C315="",对接源_02物料!$C315&lt;&gt;$M$1,对接源_02物料!$B315=""),0,IF(OR(N(对接源_02物料!$B315)&lt;$M$2,N(对接源_02物料!$B315)&gt;$M$3),0,1))</f>
        <v>0</v>
      </c>
      <c r="N1515">
        <f>IF(OR($N$1="",对接源_02物料!$C315="",对接源_02物料!$C315&lt;&gt;$N$1,对接源_02物料!$B315=""),0,IF(OR(N(对接源_02物料!$B315)&lt;$N$2,N(对接源_02物料!$B315)&gt;$N$3),0,1))</f>
        <v>0</v>
      </c>
      <c r="P1515">
        <f>IF(AND($K1515=1,AND(对接源_02物料!$X315="公司筐",N(对接源_02物料!$T315)&lt;&gt;0)),1,0)</f>
        <v>0</v>
      </c>
      <c r="Q1515">
        <f>N(Q1514)+$P1515</f>
        <v>14</v>
      </c>
      <c r="R1515">
        <f>IF(AND($K1515=1,AND(对接源_02物料!$X315="公司筐",N(对接源_02物料!$U315)&lt;&gt;0)),1,0)</f>
        <v>0</v>
      </c>
      <c r="S1515">
        <f>N(S1514)+$R1515</f>
        <v>1</v>
      </c>
      <c r="T1515">
        <f>IF(AND($K1515=1,AND(对接源_02物料!$X315="公司筐",N(对接源_02物料!$V315)&lt;&gt;0)),1,0)</f>
        <v>0</v>
      </c>
      <c r="U1515">
        <f>N(U1514)+$T1515</f>
        <v>47</v>
      </c>
      <c r="V1515">
        <f>IF(AND($L1515=1,AND(对接源_02物料!$X315="自备筐",N(对接源_02物料!$V315)&lt;&gt;0)),1,0)</f>
        <v>0</v>
      </c>
      <c r="W1515">
        <f>N(W1514)+$V1515</f>
        <v>11</v>
      </c>
      <c r="X1515">
        <f>IF(AND($L1515=1,AND(对接源_02物料!$X315="自备筐",N(对接源_02物料!$T315)&lt;&gt;0)),1,0)</f>
        <v>0</v>
      </c>
      <c r="Y1515">
        <f>N(Y1514)+$X1515</f>
        <v>0</v>
      </c>
      <c r="Z1515">
        <f>IF(AND($M1515=1,对接源_02物料!$D315="原料入库"),1,0)</f>
        <v>0</v>
      </c>
      <c r="AA1515">
        <f>N(AA1514)+$Z1515</f>
        <v>24</v>
      </c>
      <c r="AB1515">
        <f>IF(AND($M1515=1,LEFT(对接源_02物料!$D315,4)="原料出库"),1,0)</f>
        <v>0</v>
      </c>
      <c r="AC1515">
        <f>N(AC1514)+$AB1515</f>
        <v>0</v>
      </c>
      <c r="AD1515">
        <f>IF(AND($M1515=1,LEFT(对接源_02物料!$D315,4)="成品出库"),1,0)</f>
        <v>0</v>
      </c>
      <c r="AE1515">
        <f>N(AE1514)+$AD1515</f>
        <v>0</v>
      </c>
      <c r="AF1515">
        <f>IF(AND($N1515=1,AND(LEFT(对接源_02物料!$D315,4)="包装物料",N(对接源_02物料!$K315)&lt;&gt;0)),1,0)</f>
        <v>0</v>
      </c>
      <c r="AG1515">
        <f>N(AG1514)+$AF1515</f>
        <v>10</v>
      </c>
      <c r="AH1515">
        <f>IF(AND($N1515=1,AND(对接源_02物料!$D315="周转筐－销售出库",N(对接源_02物料!$K315)&lt;&gt;0)),1,0)</f>
        <v>0</v>
      </c>
      <c r="AI1515">
        <f>N(AI1514)+$AH1515</f>
        <v>0</v>
      </c>
      <c r="AL1515" t="n">
        <v>0</v>
      </c>
      <c r="AM1515">
        <f>N(AM1514)+$AL1515</f>
        <v>2</v>
      </c>
      <c r="AN1515">
        <f>""</f>
      </c>
      <c r="AO1515" t="n">
        <v>0</v>
      </c>
      <c r="AP1515">
        <f>N(AP1514)+$AO1515</f>
        <v>13</v>
      </c>
      <c r="AR1515">
        <f>IF(OR($AF1515=1,$AH1515=1),1,0)</f>
        <v>0</v>
      </c>
      <c r="AS1515">
        <f>N(AS1514)+$AR1515</f>
        <v>10</v>
      </c>
    </row>
    <row r="1516" s="127">
      <c r="A1516">
        <f>IF(对接源_02物料!$C316="","",对接源_02物料!$C316)</f>
      </c>
      <c r="B1516">
        <f>IF(A1516="",0,IF(MATCH(A1516,$A$4:$A$2403,0)=ROW()-3,1,0))</f>
        <v>0</v>
      </c>
      <c r="C1516">
        <f>N(C1515)+B1516</f>
        <v>26</v>
      </c>
      <c r="K1516">
        <f>IF(OR($K$1="",对接源_02物料!$C316="",对接源_02物料!$C316&lt;&gt;$K$1,对接源_02物料!$B316=""),0,IF(OR(N(对接源_02物料!$B316)&lt;$K$2,N(对接源_02物料!$B316)&gt;$K$3),0,1))</f>
        <v>0</v>
      </c>
      <c r="L1516">
        <f>IF(OR($L$1="",对接源_02物料!$C316="",对接源_02物料!$C316&lt;&gt;$L$1,对接源_02物料!$B316=""),0,IF(OR(N(对接源_02物料!$B316)&lt;$L$2,N(对接源_02物料!$B316)&gt;$L$3),0,1))</f>
        <v>0</v>
      </c>
      <c r="M1516">
        <f>IF(OR($M$1="",对接源_02物料!$C316="",对接源_02物料!$C316&lt;&gt;$M$1,对接源_02物料!$B316=""),0,IF(OR(N(对接源_02物料!$B316)&lt;$M$2,N(对接源_02物料!$B316)&gt;$M$3),0,1))</f>
        <v>0</v>
      </c>
      <c r="N1516">
        <f>IF(OR($N$1="",对接源_02物料!$C316="",对接源_02物料!$C316&lt;&gt;$N$1,对接源_02物料!$B316=""),0,IF(OR(N(对接源_02物料!$B316)&lt;$N$2,N(对接源_02物料!$B316)&gt;$N$3),0,1))</f>
        <v>0</v>
      </c>
      <c r="P1516">
        <f>IF(AND($K1516=1,AND(对接源_02物料!$X316="公司筐",N(对接源_02物料!$T316)&lt;&gt;0)),1,0)</f>
        <v>0</v>
      </c>
      <c r="Q1516">
        <f>N(Q1515)+$P1516</f>
        <v>14</v>
      </c>
      <c r="R1516">
        <f>IF(AND($K1516=1,AND(对接源_02物料!$X316="公司筐",N(对接源_02物料!$U316)&lt;&gt;0)),1,0)</f>
        <v>0</v>
      </c>
      <c r="S1516">
        <f>N(S1515)+$R1516</f>
        <v>1</v>
      </c>
      <c r="T1516">
        <f>IF(AND($K1516=1,AND(对接源_02物料!$X316="公司筐",N(对接源_02物料!$V316)&lt;&gt;0)),1,0)</f>
        <v>0</v>
      </c>
      <c r="U1516">
        <f>N(U1515)+$T1516</f>
        <v>47</v>
      </c>
      <c r="V1516">
        <f>IF(AND($L1516=1,AND(对接源_02物料!$X316="自备筐",N(对接源_02物料!$V316)&lt;&gt;0)),1,0)</f>
        <v>0</v>
      </c>
      <c r="W1516">
        <f>N(W1515)+$V1516</f>
        <v>11</v>
      </c>
      <c r="X1516">
        <f>IF(AND($L1516=1,AND(对接源_02物料!$X316="自备筐",N(对接源_02物料!$T316)&lt;&gt;0)),1,0)</f>
        <v>0</v>
      </c>
      <c r="Y1516">
        <f>N(Y1515)+$X1516</f>
        <v>0</v>
      </c>
      <c r="Z1516">
        <f>IF(AND($M1516=1,对接源_02物料!$D316="原料入库"),1,0)</f>
        <v>0</v>
      </c>
      <c r="AA1516">
        <f>N(AA1515)+$Z1516</f>
        <v>24</v>
      </c>
      <c r="AB1516">
        <f>IF(AND($M1516=1,LEFT(对接源_02物料!$D316,4)="原料出库"),1,0)</f>
        <v>0</v>
      </c>
      <c r="AC1516">
        <f>N(AC1515)+$AB1516</f>
        <v>0</v>
      </c>
      <c r="AD1516">
        <f>IF(AND($M1516=1,LEFT(对接源_02物料!$D316,4)="成品出库"),1,0)</f>
        <v>0</v>
      </c>
      <c r="AE1516">
        <f>N(AE1515)+$AD1516</f>
        <v>0</v>
      </c>
      <c r="AF1516">
        <f>IF(AND($N1516=1,AND(LEFT(对接源_02物料!$D316,4)="包装物料",N(对接源_02物料!$K316)&lt;&gt;0)),1,0)</f>
        <v>0</v>
      </c>
      <c r="AG1516">
        <f>N(AG1515)+$AF1516</f>
        <v>10</v>
      </c>
      <c r="AH1516">
        <f>IF(AND($N1516=1,AND(对接源_02物料!$D316="周转筐－销售出库",N(对接源_02物料!$K316)&lt;&gt;0)),1,0)</f>
        <v>0</v>
      </c>
      <c r="AI1516">
        <f>N(AI1515)+$AH1516</f>
        <v>0</v>
      </c>
      <c r="AL1516" t="n">
        <v>0</v>
      </c>
      <c r="AM1516">
        <f>N(AM1515)+$AL1516</f>
        <v>2</v>
      </c>
      <c r="AN1516">
        <f>""</f>
      </c>
      <c r="AO1516" t="n">
        <v>0</v>
      </c>
      <c r="AP1516">
        <f>N(AP1515)+$AO1516</f>
        <v>13</v>
      </c>
      <c r="AR1516">
        <f>IF(OR($AF1516=1,$AH1516=1),1,0)</f>
        <v>0</v>
      </c>
      <c r="AS1516">
        <f>N(AS1515)+$AR1516</f>
        <v>10</v>
      </c>
    </row>
    <row r="1517" s="127">
      <c r="A1517">
        <f>IF(对接源_02物料!$C317="","",对接源_02物料!$C317)</f>
      </c>
      <c r="B1517">
        <f>IF(A1517="",0,IF(MATCH(A1517,$A$4:$A$2403,0)=ROW()-3,1,0))</f>
        <v>0</v>
      </c>
      <c r="C1517">
        <f>N(C1516)+B1517</f>
        <v>26</v>
      </c>
      <c r="K1517">
        <f>IF(OR($K$1="",对接源_02物料!$C317="",对接源_02物料!$C317&lt;&gt;$K$1,对接源_02物料!$B317=""),0,IF(OR(N(对接源_02物料!$B317)&lt;$K$2,N(对接源_02物料!$B317)&gt;$K$3),0,1))</f>
        <v>0</v>
      </c>
      <c r="L1517">
        <f>IF(OR($L$1="",对接源_02物料!$C317="",对接源_02物料!$C317&lt;&gt;$L$1,对接源_02物料!$B317=""),0,IF(OR(N(对接源_02物料!$B317)&lt;$L$2,N(对接源_02物料!$B317)&gt;$L$3),0,1))</f>
        <v>0</v>
      </c>
      <c r="M1517">
        <f>IF(OR($M$1="",对接源_02物料!$C317="",对接源_02物料!$C317&lt;&gt;$M$1,对接源_02物料!$B317=""),0,IF(OR(N(对接源_02物料!$B317)&lt;$M$2,N(对接源_02物料!$B317)&gt;$M$3),0,1))</f>
        <v>0</v>
      </c>
      <c r="N1517">
        <f>IF(OR($N$1="",对接源_02物料!$C317="",对接源_02物料!$C317&lt;&gt;$N$1,对接源_02物料!$B317=""),0,IF(OR(N(对接源_02物料!$B317)&lt;$N$2,N(对接源_02物料!$B317)&gt;$N$3),0,1))</f>
        <v>0</v>
      </c>
      <c r="P1517">
        <f>IF(AND($K1517=1,AND(对接源_02物料!$X317="公司筐",N(对接源_02物料!$T317)&lt;&gt;0)),1,0)</f>
        <v>0</v>
      </c>
      <c r="Q1517">
        <f>N(Q1516)+$P1517</f>
        <v>14</v>
      </c>
      <c r="R1517">
        <f>IF(AND($K1517=1,AND(对接源_02物料!$X317="公司筐",N(对接源_02物料!$U317)&lt;&gt;0)),1,0)</f>
        <v>0</v>
      </c>
      <c r="S1517">
        <f>N(S1516)+$R1517</f>
        <v>1</v>
      </c>
      <c r="T1517">
        <f>IF(AND($K1517=1,AND(对接源_02物料!$X317="公司筐",N(对接源_02物料!$V317)&lt;&gt;0)),1,0)</f>
        <v>0</v>
      </c>
      <c r="U1517">
        <f>N(U1516)+$T1517</f>
        <v>47</v>
      </c>
      <c r="V1517">
        <f>IF(AND($L1517=1,AND(对接源_02物料!$X317="自备筐",N(对接源_02物料!$V317)&lt;&gt;0)),1,0)</f>
        <v>0</v>
      </c>
      <c r="W1517">
        <f>N(W1516)+$V1517</f>
        <v>11</v>
      </c>
      <c r="X1517">
        <f>IF(AND($L1517=1,AND(对接源_02物料!$X317="自备筐",N(对接源_02物料!$T317)&lt;&gt;0)),1,0)</f>
        <v>0</v>
      </c>
      <c r="Y1517">
        <f>N(Y1516)+$X1517</f>
        <v>0</v>
      </c>
      <c r="Z1517">
        <f>IF(AND($M1517=1,对接源_02物料!$D317="原料入库"),1,0)</f>
        <v>0</v>
      </c>
      <c r="AA1517">
        <f>N(AA1516)+$Z1517</f>
        <v>24</v>
      </c>
      <c r="AB1517">
        <f>IF(AND($M1517=1,LEFT(对接源_02物料!$D317,4)="原料出库"),1,0)</f>
        <v>0</v>
      </c>
      <c r="AC1517">
        <f>N(AC1516)+$AB1517</f>
        <v>0</v>
      </c>
      <c r="AD1517">
        <f>IF(AND($M1517=1,LEFT(对接源_02物料!$D317,4)="成品出库"),1,0)</f>
        <v>0</v>
      </c>
      <c r="AE1517">
        <f>N(AE1516)+$AD1517</f>
        <v>0</v>
      </c>
      <c r="AF1517">
        <f>IF(AND($N1517=1,AND(LEFT(对接源_02物料!$D317,4)="包装物料",N(对接源_02物料!$K317)&lt;&gt;0)),1,0)</f>
        <v>0</v>
      </c>
      <c r="AG1517">
        <f>N(AG1516)+$AF1517</f>
        <v>10</v>
      </c>
      <c r="AH1517">
        <f>IF(AND($N1517=1,AND(对接源_02物料!$D317="周转筐－销售出库",N(对接源_02物料!$K317)&lt;&gt;0)),1,0)</f>
        <v>0</v>
      </c>
      <c r="AI1517">
        <f>N(AI1516)+$AH1517</f>
        <v>0</v>
      </c>
      <c r="AL1517" t="n">
        <v>0</v>
      </c>
      <c r="AM1517">
        <f>N(AM1516)+$AL1517</f>
        <v>2</v>
      </c>
      <c r="AN1517">
        <f>""</f>
      </c>
      <c r="AO1517" t="n">
        <v>0</v>
      </c>
      <c r="AP1517">
        <f>N(AP1516)+$AO1517</f>
        <v>13</v>
      </c>
      <c r="AR1517">
        <f>IF(OR($AF1517=1,$AH1517=1),1,0)</f>
        <v>0</v>
      </c>
      <c r="AS1517">
        <f>N(AS1516)+$AR1517</f>
        <v>10</v>
      </c>
    </row>
    <row r="1518" s="127">
      <c r="A1518">
        <f>IF(对接源_02物料!$C318="","",对接源_02物料!$C318)</f>
      </c>
      <c r="B1518">
        <f>IF(A1518="",0,IF(MATCH(A1518,$A$4:$A$2403,0)=ROW()-3,1,0))</f>
        <v>0</v>
      </c>
      <c r="C1518">
        <f>N(C1517)+B1518</f>
        <v>26</v>
      </c>
      <c r="K1518">
        <f>IF(OR($K$1="",对接源_02物料!$C318="",对接源_02物料!$C318&lt;&gt;$K$1,对接源_02物料!$B318=""),0,IF(OR(N(对接源_02物料!$B318)&lt;$K$2,N(对接源_02物料!$B318)&gt;$K$3),0,1))</f>
        <v>0</v>
      </c>
      <c r="L1518">
        <f>IF(OR($L$1="",对接源_02物料!$C318="",对接源_02物料!$C318&lt;&gt;$L$1,对接源_02物料!$B318=""),0,IF(OR(N(对接源_02物料!$B318)&lt;$L$2,N(对接源_02物料!$B318)&gt;$L$3),0,1))</f>
        <v>0</v>
      </c>
      <c r="M1518">
        <f>IF(OR($M$1="",对接源_02物料!$C318="",对接源_02物料!$C318&lt;&gt;$M$1,对接源_02物料!$B318=""),0,IF(OR(N(对接源_02物料!$B318)&lt;$M$2,N(对接源_02物料!$B318)&gt;$M$3),0,1))</f>
        <v>0</v>
      </c>
      <c r="N1518">
        <f>IF(OR($N$1="",对接源_02物料!$C318="",对接源_02物料!$C318&lt;&gt;$N$1,对接源_02物料!$B318=""),0,IF(OR(N(对接源_02物料!$B318)&lt;$N$2,N(对接源_02物料!$B318)&gt;$N$3),0,1))</f>
        <v>0</v>
      </c>
      <c r="P1518">
        <f>IF(AND($K1518=1,AND(对接源_02物料!$X318="公司筐",N(对接源_02物料!$T318)&lt;&gt;0)),1,0)</f>
        <v>0</v>
      </c>
      <c r="Q1518">
        <f>N(Q1517)+$P1518</f>
        <v>14</v>
      </c>
      <c r="R1518">
        <f>IF(AND($K1518=1,AND(对接源_02物料!$X318="公司筐",N(对接源_02物料!$U318)&lt;&gt;0)),1,0)</f>
        <v>0</v>
      </c>
      <c r="S1518">
        <f>N(S1517)+$R1518</f>
        <v>1</v>
      </c>
      <c r="T1518">
        <f>IF(AND($K1518=1,AND(对接源_02物料!$X318="公司筐",N(对接源_02物料!$V318)&lt;&gt;0)),1,0)</f>
        <v>0</v>
      </c>
      <c r="U1518">
        <f>N(U1517)+$T1518</f>
        <v>47</v>
      </c>
      <c r="V1518">
        <f>IF(AND($L1518=1,AND(对接源_02物料!$X318="自备筐",N(对接源_02物料!$V318)&lt;&gt;0)),1,0)</f>
        <v>0</v>
      </c>
      <c r="W1518">
        <f>N(W1517)+$V1518</f>
        <v>11</v>
      </c>
      <c r="X1518">
        <f>IF(AND($L1518=1,AND(对接源_02物料!$X318="自备筐",N(对接源_02物料!$T318)&lt;&gt;0)),1,0)</f>
        <v>0</v>
      </c>
      <c r="Y1518">
        <f>N(Y1517)+$X1518</f>
        <v>0</v>
      </c>
      <c r="Z1518">
        <f>IF(AND($M1518=1,对接源_02物料!$D318="原料入库"),1,0)</f>
        <v>0</v>
      </c>
      <c r="AA1518">
        <f>N(AA1517)+$Z1518</f>
        <v>24</v>
      </c>
      <c r="AB1518">
        <f>IF(AND($M1518=1,LEFT(对接源_02物料!$D318,4)="原料出库"),1,0)</f>
        <v>0</v>
      </c>
      <c r="AC1518">
        <f>N(AC1517)+$AB1518</f>
        <v>0</v>
      </c>
      <c r="AD1518">
        <f>IF(AND($M1518=1,LEFT(对接源_02物料!$D318,4)="成品出库"),1,0)</f>
        <v>0</v>
      </c>
      <c r="AE1518">
        <f>N(AE1517)+$AD1518</f>
        <v>0</v>
      </c>
      <c r="AF1518">
        <f>IF(AND($N1518=1,AND(LEFT(对接源_02物料!$D318,4)="包装物料",N(对接源_02物料!$K318)&lt;&gt;0)),1,0)</f>
        <v>0</v>
      </c>
      <c r="AG1518">
        <f>N(AG1517)+$AF1518</f>
        <v>10</v>
      </c>
      <c r="AH1518">
        <f>IF(AND($N1518=1,AND(对接源_02物料!$D318="周转筐－销售出库",N(对接源_02物料!$K318)&lt;&gt;0)),1,0)</f>
        <v>0</v>
      </c>
      <c r="AI1518">
        <f>N(AI1517)+$AH1518</f>
        <v>0</v>
      </c>
      <c r="AL1518" t="n">
        <v>0</v>
      </c>
      <c r="AM1518">
        <f>N(AM1517)+$AL1518</f>
        <v>2</v>
      </c>
      <c r="AN1518">
        <f>""</f>
      </c>
      <c r="AO1518" t="n">
        <v>0</v>
      </c>
      <c r="AP1518">
        <f>N(AP1517)+$AO1518</f>
        <v>13</v>
      </c>
      <c r="AR1518">
        <f>IF(OR($AF1518=1,$AH1518=1),1,0)</f>
        <v>0</v>
      </c>
      <c r="AS1518">
        <f>N(AS1517)+$AR1518</f>
        <v>10</v>
      </c>
    </row>
    <row r="1519" s="127">
      <c r="A1519">
        <f>IF(对接源_02物料!$C319="","",对接源_02物料!$C319)</f>
      </c>
      <c r="B1519">
        <f>IF(A1519="",0,IF(MATCH(A1519,$A$4:$A$2403,0)=ROW()-3,1,0))</f>
        <v>0</v>
      </c>
      <c r="C1519">
        <f>N(C1518)+B1519</f>
        <v>26</v>
      </c>
      <c r="K1519">
        <f>IF(OR($K$1="",对接源_02物料!$C319="",对接源_02物料!$C319&lt;&gt;$K$1,对接源_02物料!$B319=""),0,IF(OR(N(对接源_02物料!$B319)&lt;$K$2,N(对接源_02物料!$B319)&gt;$K$3),0,1))</f>
        <v>0</v>
      </c>
      <c r="L1519">
        <f>IF(OR($L$1="",对接源_02物料!$C319="",对接源_02物料!$C319&lt;&gt;$L$1,对接源_02物料!$B319=""),0,IF(OR(N(对接源_02物料!$B319)&lt;$L$2,N(对接源_02物料!$B319)&gt;$L$3),0,1))</f>
        <v>0</v>
      </c>
      <c r="M1519">
        <f>IF(OR($M$1="",对接源_02物料!$C319="",对接源_02物料!$C319&lt;&gt;$M$1,对接源_02物料!$B319=""),0,IF(OR(N(对接源_02物料!$B319)&lt;$M$2,N(对接源_02物料!$B319)&gt;$M$3),0,1))</f>
        <v>0</v>
      </c>
      <c r="N1519">
        <f>IF(OR($N$1="",对接源_02物料!$C319="",对接源_02物料!$C319&lt;&gt;$N$1,对接源_02物料!$B319=""),0,IF(OR(N(对接源_02物料!$B319)&lt;$N$2,N(对接源_02物料!$B319)&gt;$N$3),0,1))</f>
        <v>0</v>
      </c>
      <c r="P1519">
        <f>IF(AND($K1519=1,AND(对接源_02物料!$X319="公司筐",N(对接源_02物料!$T319)&lt;&gt;0)),1,0)</f>
        <v>0</v>
      </c>
      <c r="Q1519">
        <f>N(Q1518)+$P1519</f>
        <v>14</v>
      </c>
      <c r="R1519">
        <f>IF(AND($K1519=1,AND(对接源_02物料!$X319="公司筐",N(对接源_02物料!$U319)&lt;&gt;0)),1,0)</f>
        <v>0</v>
      </c>
      <c r="S1519">
        <f>N(S1518)+$R1519</f>
        <v>1</v>
      </c>
      <c r="T1519">
        <f>IF(AND($K1519=1,AND(对接源_02物料!$X319="公司筐",N(对接源_02物料!$V319)&lt;&gt;0)),1,0)</f>
        <v>0</v>
      </c>
      <c r="U1519">
        <f>N(U1518)+$T1519</f>
        <v>47</v>
      </c>
      <c r="V1519">
        <f>IF(AND($L1519=1,AND(对接源_02物料!$X319="自备筐",N(对接源_02物料!$V319)&lt;&gt;0)),1,0)</f>
        <v>0</v>
      </c>
      <c r="W1519">
        <f>N(W1518)+$V1519</f>
        <v>11</v>
      </c>
      <c r="X1519">
        <f>IF(AND($L1519=1,AND(对接源_02物料!$X319="自备筐",N(对接源_02物料!$T319)&lt;&gt;0)),1,0)</f>
        <v>0</v>
      </c>
      <c r="Y1519">
        <f>N(Y1518)+$X1519</f>
        <v>0</v>
      </c>
      <c r="Z1519">
        <f>IF(AND($M1519=1,对接源_02物料!$D319="原料入库"),1,0)</f>
        <v>0</v>
      </c>
      <c r="AA1519">
        <f>N(AA1518)+$Z1519</f>
        <v>24</v>
      </c>
      <c r="AB1519">
        <f>IF(AND($M1519=1,LEFT(对接源_02物料!$D319,4)="原料出库"),1,0)</f>
        <v>0</v>
      </c>
      <c r="AC1519">
        <f>N(AC1518)+$AB1519</f>
        <v>0</v>
      </c>
      <c r="AD1519">
        <f>IF(AND($M1519=1,LEFT(对接源_02物料!$D319,4)="成品出库"),1,0)</f>
        <v>0</v>
      </c>
      <c r="AE1519">
        <f>N(AE1518)+$AD1519</f>
        <v>0</v>
      </c>
      <c r="AF1519">
        <f>IF(AND($N1519=1,AND(LEFT(对接源_02物料!$D319,4)="包装物料",N(对接源_02物料!$K319)&lt;&gt;0)),1,0)</f>
        <v>0</v>
      </c>
      <c r="AG1519">
        <f>N(AG1518)+$AF1519</f>
        <v>10</v>
      </c>
      <c r="AH1519">
        <f>IF(AND($N1519=1,AND(对接源_02物料!$D319="周转筐－销售出库",N(对接源_02物料!$K319)&lt;&gt;0)),1,0)</f>
        <v>0</v>
      </c>
      <c r="AI1519">
        <f>N(AI1518)+$AH1519</f>
        <v>0</v>
      </c>
      <c r="AL1519" t="n">
        <v>0</v>
      </c>
      <c r="AM1519">
        <f>N(AM1518)+$AL1519</f>
        <v>2</v>
      </c>
      <c r="AN1519">
        <f>""</f>
      </c>
      <c r="AO1519" t="n">
        <v>0</v>
      </c>
      <c r="AP1519">
        <f>N(AP1518)+$AO1519</f>
        <v>13</v>
      </c>
      <c r="AR1519">
        <f>IF(OR($AF1519=1,$AH1519=1),1,0)</f>
        <v>0</v>
      </c>
      <c r="AS1519">
        <f>N(AS1518)+$AR1519</f>
        <v>10</v>
      </c>
    </row>
    <row r="1520" s="127">
      <c r="A1520">
        <f>IF(对接源_02物料!$C320="","",对接源_02物料!$C320)</f>
      </c>
      <c r="B1520">
        <f>IF(A1520="",0,IF(MATCH(A1520,$A$4:$A$2403,0)=ROW()-3,1,0))</f>
        <v>0</v>
      </c>
      <c r="C1520">
        <f>N(C1519)+B1520</f>
        <v>26</v>
      </c>
      <c r="K1520">
        <f>IF(OR($K$1="",对接源_02物料!$C320="",对接源_02物料!$C320&lt;&gt;$K$1,对接源_02物料!$B320=""),0,IF(OR(N(对接源_02物料!$B320)&lt;$K$2,N(对接源_02物料!$B320)&gt;$K$3),0,1))</f>
        <v>0</v>
      </c>
      <c r="L1520">
        <f>IF(OR($L$1="",对接源_02物料!$C320="",对接源_02物料!$C320&lt;&gt;$L$1,对接源_02物料!$B320=""),0,IF(OR(N(对接源_02物料!$B320)&lt;$L$2,N(对接源_02物料!$B320)&gt;$L$3),0,1))</f>
        <v>0</v>
      </c>
      <c r="M1520">
        <f>IF(OR($M$1="",对接源_02物料!$C320="",对接源_02物料!$C320&lt;&gt;$M$1,对接源_02物料!$B320=""),0,IF(OR(N(对接源_02物料!$B320)&lt;$M$2,N(对接源_02物料!$B320)&gt;$M$3),0,1))</f>
        <v>0</v>
      </c>
      <c r="N1520">
        <f>IF(OR($N$1="",对接源_02物料!$C320="",对接源_02物料!$C320&lt;&gt;$N$1,对接源_02物料!$B320=""),0,IF(OR(N(对接源_02物料!$B320)&lt;$N$2,N(对接源_02物料!$B320)&gt;$N$3),0,1))</f>
        <v>0</v>
      </c>
      <c r="P1520">
        <f>IF(AND($K1520=1,AND(对接源_02物料!$X320="公司筐",N(对接源_02物料!$T320)&lt;&gt;0)),1,0)</f>
        <v>0</v>
      </c>
      <c r="Q1520">
        <f>N(Q1519)+$P1520</f>
        <v>14</v>
      </c>
      <c r="R1520">
        <f>IF(AND($K1520=1,AND(对接源_02物料!$X320="公司筐",N(对接源_02物料!$U320)&lt;&gt;0)),1,0)</f>
        <v>0</v>
      </c>
      <c r="S1520">
        <f>N(S1519)+$R1520</f>
        <v>1</v>
      </c>
      <c r="T1520">
        <f>IF(AND($K1520=1,AND(对接源_02物料!$X320="公司筐",N(对接源_02物料!$V320)&lt;&gt;0)),1,0)</f>
        <v>0</v>
      </c>
      <c r="U1520">
        <f>N(U1519)+$T1520</f>
        <v>47</v>
      </c>
      <c r="V1520">
        <f>IF(AND($L1520=1,AND(对接源_02物料!$X320="自备筐",N(对接源_02物料!$V320)&lt;&gt;0)),1,0)</f>
        <v>0</v>
      </c>
      <c r="W1520">
        <f>N(W1519)+$V1520</f>
        <v>11</v>
      </c>
      <c r="X1520">
        <f>IF(AND($L1520=1,AND(对接源_02物料!$X320="自备筐",N(对接源_02物料!$T320)&lt;&gt;0)),1,0)</f>
        <v>0</v>
      </c>
      <c r="Y1520">
        <f>N(Y1519)+$X1520</f>
        <v>0</v>
      </c>
      <c r="Z1520">
        <f>IF(AND($M1520=1,对接源_02物料!$D320="原料入库"),1,0)</f>
        <v>0</v>
      </c>
      <c r="AA1520">
        <f>N(AA1519)+$Z1520</f>
        <v>24</v>
      </c>
      <c r="AB1520">
        <f>IF(AND($M1520=1,LEFT(对接源_02物料!$D320,4)="原料出库"),1,0)</f>
        <v>0</v>
      </c>
      <c r="AC1520">
        <f>N(AC1519)+$AB1520</f>
        <v>0</v>
      </c>
      <c r="AD1520">
        <f>IF(AND($M1520=1,LEFT(对接源_02物料!$D320,4)="成品出库"),1,0)</f>
        <v>0</v>
      </c>
      <c r="AE1520">
        <f>N(AE1519)+$AD1520</f>
        <v>0</v>
      </c>
      <c r="AF1520">
        <f>IF(AND($N1520=1,AND(LEFT(对接源_02物料!$D320,4)="包装物料",N(对接源_02物料!$K320)&lt;&gt;0)),1,0)</f>
        <v>0</v>
      </c>
      <c r="AG1520">
        <f>N(AG1519)+$AF1520</f>
        <v>10</v>
      </c>
      <c r="AH1520">
        <f>IF(AND($N1520=1,AND(对接源_02物料!$D320="周转筐－销售出库",N(对接源_02物料!$K320)&lt;&gt;0)),1,0)</f>
        <v>0</v>
      </c>
      <c r="AI1520">
        <f>N(AI1519)+$AH1520</f>
        <v>0</v>
      </c>
      <c r="AL1520" t="n">
        <v>0</v>
      </c>
      <c r="AM1520">
        <f>N(AM1519)+$AL1520</f>
        <v>2</v>
      </c>
      <c r="AN1520">
        <f>""</f>
      </c>
      <c r="AO1520" t="n">
        <v>0</v>
      </c>
      <c r="AP1520">
        <f>N(AP1519)+$AO1520</f>
        <v>13</v>
      </c>
      <c r="AR1520">
        <f>IF(OR($AF1520=1,$AH1520=1),1,0)</f>
        <v>0</v>
      </c>
      <c r="AS1520">
        <f>N(AS1519)+$AR1520</f>
        <v>10</v>
      </c>
    </row>
    <row r="1521" s="127">
      <c r="A1521">
        <f>IF(对接源_02物料!$C321="","",对接源_02物料!$C321)</f>
      </c>
      <c r="B1521">
        <f>IF(A1521="",0,IF(MATCH(A1521,$A$4:$A$2403,0)=ROW()-3,1,0))</f>
        <v>0</v>
      </c>
      <c r="C1521">
        <f>N(C1520)+B1521</f>
        <v>26</v>
      </c>
      <c r="K1521">
        <f>IF(OR($K$1="",对接源_02物料!$C321="",对接源_02物料!$C321&lt;&gt;$K$1,对接源_02物料!$B321=""),0,IF(OR(N(对接源_02物料!$B321)&lt;$K$2,N(对接源_02物料!$B321)&gt;$K$3),0,1))</f>
        <v>0</v>
      </c>
      <c r="L1521">
        <f>IF(OR($L$1="",对接源_02物料!$C321="",对接源_02物料!$C321&lt;&gt;$L$1,对接源_02物料!$B321=""),0,IF(OR(N(对接源_02物料!$B321)&lt;$L$2,N(对接源_02物料!$B321)&gt;$L$3),0,1))</f>
        <v>0</v>
      </c>
      <c r="M1521">
        <f>IF(OR($M$1="",对接源_02物料!$C321="",对接源_02物料!$C321&lt;&gt;$M$1,对接源_02物料!$B321=""),0,IF(OR(N(对接源_02物料!$B321)&lt;$M$2,N(对接源_02物料!$B321)&gt;$M$3),0,1))</f>
        <v>0</v>
      </c>
      <c r="N1521">
        <f>IF(OR($N$1="",对接源_02物料!$C321="",对接源_02物料!$C321&lt;&gt;$N$1,对接源_02物料!$B321=""),0,IF(OR(N(对接源_02物料!$B321)&lt;$N$2,N(对接源_02物料!$B321)&gt;$N$3),0,1))</f>
        <v>0</v>
      </c>
      <c r="P1521">
        <f>IF(AND($K1521=1,AND(对接源_02物料!$X321="公司筐",N(对接源_02物料!$T321)&lt;&gt;0)),1,0)</f>
        <v>0</v>
      </c>
      <c r="Q1521">
        <f>N(Q1520)+$P1521</f>
        <v>14</v>
      </c>
      <c r="R1521">
        <f>IF(AND($K1521=1,AND(对接源_02物料!$X321="公司筐",N(对接源_02物料!$U321)&lt;&gt;0)),1,0)</f>
        <v>0</v>
      </c>
      <c r="S1521">
        <f>N(S1520)+$R1521</f>
        <v>1</v>
      </c>
      <c r="T1521">
        <f>IF(AND($K1521=1,AND(对接源_02物料!$X321="公司筐",N(对接源_02物料!$V321)&lt;&gt;0)),1,0)</f>
        <v>0</v>
      </c>
      <c r="U1521">
        <f>N(U1520)+$T1521</f>
        <v>47</v>
      </c>
      <c r="V1521">
        <f>IF(AND($L1521=1,AND(对接源_02物料!$X321="自备筐",N(对接源_02物料!$V321)&lt;&gt;0)),1,0)</f>
        <v>0</v>
      </c>
      <c r="W1521">
        <f>N(W1520)+$V1521</f>
        <v>11</v>
      </c>
      <c r="X1521">
        <f>IF(AND($L1521=1,AND(对接源_02物料!$X321="自备筐",N(对接源_02物料!$T321)&lt;&gt;0)),1,0)</f>
        <v>0</v>
      </c>
      <c r="Y1521">
        <f>N(Y1520)+$X1521</f>
        <v>0</v>
      </c>
      <c r="Z1521">
        <f>IF(AND($M1521=1,对接源_02物料!$D321="原料入库"),1,0)</f>
        <v>0</v>
      </c>
      <c r="AA1521">
        <f>N(AA1520)+$Z1521</f>
        <v>24</v>
      </c>
      <c r="AB1521">
        <f>IF(AND($M1521=1,LEFT(对接源_02物料!$D321,4)="原料出库"),1,0)</f>
        <v>0</v>
      </c>
      <c r="AC1521">
        <f>N(AC1520)+$AB1521</f>
        <v>0</v>
      </c>
      <c r="AD1521">
        <f>IF(AND($M1521=1,LEFT(对接源_02物料!$D321,4)="成品出库"),1,0)</f>
        <v>0</v>
      </c>
      <c r="AE1521">
        <f>N(AE1520)+$AD1521</f>
        <v>0</v>
      </c>
      <c r="AF1521">
        <f>IF(AND($N1521=1,AND(LEFT(对接源_02物料!$D321,4)="包装物料",N(对接源_02物料!$K321)&lt;&gt;0)),1,0)</f>
        <v>0</v>
      </c>
      <c r="AG1521">
        <f>N(AG1520)+$AF1521</f>
        <v>10</v>
      </c>
      <c r="AH1521">
        <f>IF(AND($N1521=1,AND(对接源_02物料!$D321="周转筐－销售出库",N(对接源_02物料!$K321)&lt;&gt;0)),1,0)</f>
        <v>0</v>
      </c>
      <c r="AI1521">
        <f>N(AI1520)+$AH1521</f>
        <v>0</v>
      </c>
      <c r="AL1521" t="n">
        <v>0</v>
      </c>
      <c r="AM1521">
        <f>N(AM1520)+$AL1521</f>
        <v>2</v>
      </c>
      <c r="AN1521">
        <f>""</f>
      </c>
      <c r="AO1521" t="n">
        <v>0</v>
      </c>
      <c r="AP1521">
        <f>N(AP1520)+$AO1521</f>
        <v>13</v>
      </c>
      <c r="AR1521">
        <f>IF(OR($AF1521=1,$AH1521=1),1,0)</f>
        <v>0</v>
      </c>
      <c r="AS1521">
        <f>N(AS1520)+$AR1521</f>
        <v>10</v>
      </c>
    </row>
    <row r="1522" s="127">
      <c r="A1522">
        <f>IF(对接源_02物料!$C322="","",对接源_02物料!$C322)</f>
      </c>
      <c r="B1522">
        <f>IF(A1522="",0,IF(MATCH(A1522,$A$4:$A$2403,0)=ROW()-3,1,0))</f>
        <v>0</v>
      </c>
      <c r="C1522">
        <f>N(C1521)+B1522</f>
        <v>26</v>
      </c>
      <c r="K1522">
        <f>IF(OR($K$1="",对接源_02物料!$C322="",对接源_02物料!$C322&lt;&gt;$K$1,对接源_02物料!$B322=""),0,IF(OR(N(对接源_02物料!$B322)&lt;$K$2,N(对接源_02物料!$B322)&gt;$K$3),0,1))</f>
        <v>0</v>
      </c>
      <c r="L1522">
        <f>IF(OR($L$1="",对接源_02物料!$C322="",对接源_02物料!$C322&lt;&gt;$L$1,对接源_02物料!$B322=""),0,IF(OR(N(对接源_02物料!$B322)&lt;$L$2,N(对接源_02物料!$B322)&gt;$L$3),0,1))</f>
        <v>0</v>
      </c>
      <c r="M1522">
        <f>IF(OR($M$1="",对接源_02物料!$C322="",对接源_02物料!$C322&lt;&gt;$M$1,对接源_02物料!$B322=""),0,IF(OR(N(对接源_02物料!$B322)&lt;$M$2,N(对接源_02物料!$B322)&gt;$M$3),0,1))</f>
        <v>0</v>
      </c>
      <c r="N1522">
        <f>IF(OR($N$1="",对接源_02物料!$C322="",对接源_02物料!$C322&lt;&gt;$N$1,对接源_02物料!$B322=""),0,IF(OR(N(对接源_02物料!$B322)&lt;$N$2,N(对接源_02物料!$B322)&gt;$N$3),0,1))</f>
        <v>0</v>
      </c>
      <c r="P1522">
        <f>IF(AND($K1522=1,AND(对接源_02物料!$X322="公司筐",N(对接源_02物料!$T322)&lt;&gt;0)),1,0)</f>
        <v>0</v>
      </c>
      <c r="Q1522">
        <f>N(Q1521)+$P1522</f>
        <v>14</v>
      </c>
      <c r="R1522">
        <f>IF(AND($K1522=1,AND(对接源_02物料!$X322="公司筐",N(对接源_02物料!$U322)&lt;&gt;0)),1,0)</f>
        <v>0</v>
      </c>
      <c r="S1522">
        <f>N(S1521)+$R1522</f>
        <v>1</v>
      </c>
      <c r="T1522">
        <f>IF(AND($K1522=1,AND(对接源_02物料!$X322="公司筐",N(对接源_02物料!$V322)&lt;&gt;0)),1,0)</f>
        <v>0</v>
      </c>
      <c r="U1522">
        <f>N(U1521)+$T1522</f>
        <v>47</v>
      </c>
      <c r="V1522">
        <f>IF(AND($L1522=1,AND(对接源_02物料!$X322="自备筐",N(对接源_02物料!$V322)&lt;&gt;0)),1,0)</f>
        <v>0</v>
      </c>
      <c r="W1522">
        <f>N(W1521)+$V1522</f>
        <v>11</v>
      </c>
      <c r="X1522">
        <f>IF(AND($L1522=1,AND(对接源_02物料!$X322="自备筐",N(对接源_02物料!$T322)&lt;&gt;0)),1,0)</f>
        <v>0</v>
      </c>
      <c r="Y1522">
        <f>N(Y1521)+$X1522</f>
        <v>0</v>
      </c>
      <c r="Z1522">
        <f>IF(AND($M1522=1,对接源_02物料!$D322="原料入库"),1,0)</f>
        <v>0</v>
      </c>
      <c r="AA1522">
        <f>N(AA1521)+$Z1522</f>
        <v>24</v>
      </c>
      <c r="AB1522">
        <f>IF(AND($M1522=1,LEFT(对接源_02物料!$D322,4)="原料出库"),1,0)</f>
        <v>0</v>
      </c>
      <c r="AC1522">
        <f>N(AC1521)+$AB1522</f>
        <v>0</v>
      </c>
      <c r="AD1522">
        <f>IF(AND($M1522=1,LEFT(对接源_02物料!$D322,4)="成品出库"),1,0)</f>
        <v>0</v>
      </c>
      <c r="AE1522">
        <f>N(AE1521)+$AD1522</f>
        <v>0</v>
      </c>
      <c r="AF1522">
        <f>IF(AND($N1522=1,AND(LEFT(对接源_02物料!$D322,4)="包装物料",N(对接源_02物料!$K322)&lt;&gt;0)),1,0)</f>
        <v>0</v>
      </c>
      <c r="AG1522">
        <f>N(AG1521)+$AF1522</f>
        <v>10</v>
      </c>
      <c r="AH1522">
        <f>IF(AND($N1522=1,AND(对接源_02物料!$D322="周转筐－销售出库",N(对接源_02物料!$K322)&lt;&gt;0)),1,0)</f>
        <v>0</v>
      </c>
      <c r="AI1522">
        <f>N(AI1521)+$AH1522</f>
        <v>0</v>
      </c>
      <c r="AL1522" t="n">
        <v>0</v>
      </c>
      <c r="AM1522">
        <f>N(AM1521)+$AL1522</f>
        <v>2</v>
      </c>
      <c r="AN1522">
        <f>""</f>
      </c>
      <c r="AO1522" t="n">
        <v>0</v>
      </c>
      <c r="AP1522">
        <f>N(AP1521)+$AO1522</f>
        <v>13</v>
      </c>
      <c r="AR1522">
        <f>IF(OR($AF1522=1,$AH1522=1),1,0)</f>
        <v>0</v>
      </c>
      <c r="AS1522">
        <f>N(AS1521)+$AR1522</f>
        <v>10</v>
      </c>
    </row>
    <row r="1523" s="127">
      <c r="A1523">
        <f>IF(对接源_02物料!$C323="","",对接源_02物料!$C323)</f>
      </c>
      <c r="B1523">
        <f>IF(A1523="",0,IF(MATCH(A1523,$A$4:$A$2403,0)=ROW()-3,1,0))</f>
        <v>0</v>
      </c>
      <c r="C1523">
        <f>N(C1522)+B1523</f>
        <v>26</v>
      </c>
      <c r="K1523">
        <f>IF(OR($K$1="",对接源_02物料!$C323="",对接源_02物料!$C323&lt;&gt;$K$1,对接源_02物料!$B323=""),0,IF(OR(N(对接源_02物料!$B323)&lt;$K$2,N(对接源_02物料!$B323)&gt;$K$3),0,1))</f>
        <v>0</v>
      </c>
      <c r="L1523">
        <f>IF(OR($L$1="",对接源_02物料!$C323="",对接源_02物料!$C323&lt;&gt;$L$1,对接源_02物料!$B323=""),0,IF(OR(N(对接源_02物料!$B323)&lt;$L$2,N(对接源_02物料!$B323)&gt;$L$3),0,1))</f>
        <v>0</v>
      </c>
      <c r="M1523">
        <f>IF(OR($M$1="",对接源_02物料!$C323="",对接源_02物料!$C323&lt;&gt;$M$1,对接源_02物料!$B323=""),0,IF(OR(N(对接源_02物料!$B323)&lt;$M$2,N(对接源_02物料!$B323)&gt;$M$3),0,1))</f>
        <v>0</v>
      </c>
      <c r="N1523">
        <f>IF(OR($N$1="",对接源_02物料!$C323="",对接源_02物料!$C323&lt;&gt;$N$1,对接源_02物料!$B323=""),0,IF(OR(N(对接源_02物料!$B323)&lt;$N$2,N(对接源_02物料!$B323)&gt;$N$3),0,1))</f>
        <v>0</v>
      </c>
      <c r="P1523">
        <f>IF(AND($K1523=1,AND(对接源_02物料!$X323="公司筐",N(对接源_02物料!$T323)&lt;&gt;0)),1,0)</f>
        <v>0</v>
      </c>
      <c r="Q1523">
        <f>N(Q1522)+$P1523</f>
        <v>14</v>
      </c>
      <c r="R1523">
        <f>IF(AND($K1523=1,AND(对接源_02物料!$X323="公司筐",N(对接源_02物料!$U323)&lt;&gt;0)),1,0)</f>
        <v>0</v>
      </c>
      <c r="S1523">
        <f>N(S1522)+$R1523</f>
        <v>1</v>
      </c>
      <c r="T1523">
        <f>IF(AND($K1523=1,AND(对接源_02物料!$X323="公司筐",N(对接源_02物料!$V323)&lt;&gt;0)),1,0)</f>
        <v>0</v>
      </c>
      <c r="U1523">
        <f>N(U1522)+$T1523</f>
        <v>47</v>
      </c>
      <c r="V1523">
        <f>IF(AND($L1523=1,AND(对接源_02物料!$X323="自备筐",N(对接源_02物料!$V323)&lt;&gt;0)),1,0)</f>
        <v>0</v>
      </c>
      <c r="W1523">
        <f>N(W1522)+$V1523</f>
        <v>11</v>
      </c>
      <c r="X1523">
        <f>IF(AND($L1523=1,AND(对接源_02物料!$X323="自备筐",N(对接源_02物料!$T323)&lt;&gt;0)),1,0)</f>
        <v>0</v>
      </c>
      <c r="Y1523">
        <f>N(Y1522)+$X1523</f>
        <v>0</v>
      </c>
      <c r="Z1523">
        <f>IF(AND($M1523=1,对接源_02物料!$D323="原料入库"),1,0)</f>
        <v>0</v>
      </c>
      <c r="AA1523">
        <f>N(AA1522)+$Z1523</f>
        <v>24</v>
      </c>
      <c r="AB1523">
        <f>IF(AND($M1523=1,LEFT(对接源_02物料!$D323,4)="原料出库"),1,0)</f>
        <v>0</v>
      </c>
      <c r="AC1523">
        <f>N(AC1522)+$AB1523</f>
        <v>0</v>
      </c>
      <c r="AD1523">
        <f>IF(AND($M1523=1,LEFT(对接源_02物料!$D323,4)="成品出库"),1,0)</f>
        <v>0</v>
      </c>
      <c r="AE1523">
        <f>N(AE1522)+$AD1523</f>
        <v>0</v>
      </c>
      <c r="AF1523">
        <f>IF(AND($N1523=1,AND(LEFT(对接源_02物料!$D323,4)="包装物料",N(对接源_02物料!$K323)&lt;&gt;0)),1,0)</f>
        <v>0</v>
      </c>
      <c r="AG1523">
        <f>N(AG1522)+$AF1523</f>
        <v>10</v>
      </c>
      <c r="AH1523">
        <f>IF(AND($N1523=1,AND(对接源_02物料!$D323="周转筐－销售出库",N(对接源_02物料!$K323)&lt;&gt;0)),1,0)</f>
        <v>0</v>
      </c>
      <c r="AI1523">
        <f>N(AI1522)+$AH1523</f>
        <v>0</v>
      </c>
      <c r="AL1523" t="n">
        <v>0</v>
      </c>
      <c r="AM1523">
        <f>N(AM1522)+$AL1523</f>
        <v>2</v>
      </c>
      <c r="AN1523">
        <f>""</f>
      </c>
      <c r="AO1523" t="n">
        <v>0</v>
      </c>
      <c r="AP1523">
        <f>N(AP1522)+$AO1523</f>
        <v>13</v>
      </c>
      <c r="AR1523">
        <f>IF(OR($AF1523=1,$AH1523=1),1,0)</f>
        <v>0</v>
      </c>
      <c r="AS1523">
        <f>N(AS1522)+$AR1523</f>
        <v>10</v>
      </c>
    </row>
    <row r="1524" s="127">
      <c r="A1524">
        <f>IF(对接源_02物料!$C324="","",对接源_02物料!$C324)</f>
      </c>
      <c r="B1524">
        <f>IF(A1524="",0,IF(MATCH(A1524,$A$4:$A$2403,0)=ROW()-3,1,0))</f>
        <v>0</v>
      </c>
      <c r="C1524">
        <f>N(C1523)+B1524</f>
        <v>26</v>
      </c>
      <c r="K1524">
        <f>IF(OR($K$1="",对接源_02物料!$C324="",对接源_02物料!$C324&lt;&gt;$K$1,对接源_02物料!$B324=""),0,IF(OR(N(对接源_02物料!$B324)&lt;$K$2,N(对接源_02物料!$B324)&gt;$K$3),0,1))</f>
        <v>0</v>
      </c>
      <c r="L1524">
        <f>IF(OR($L$1="",对接源_02物料!$C324="",对接源_02物料!$C324&lt;&gt;$L$1,对接源_02物料!$B324=""),0,IF(OR(N(对接源_02物料!$B324)&lt;$L$2,N(对接源_02物料!$B324)&gt;$L$3),0,1))</f>
        <v>0</v>
      </c>
      <c r="M1524">
        <f>IF(OR($M$1="",对接源_02物料!$C324="",对接源_02物料!$C324&lt;&gt;$M$1,对接源_02物料!$B324=""),0,IF(OR(N(对接源_02物料!$B324)&lt;$M$2,N(对接源_02物料!$B324)&gt;$M$3),0,1))</f>
        <v>0</v>
      </c>
      <c r="N1524">
        <f>IF(OR($N$1="",对接源_02物料!$C324="",对接源_02物料!$C324&lt;&gt;$N$1,对接源_02物料!$B324=""),0,IF(OR(N(对接源_02物料!$B324)&lt;$N$2,N(对接源_02物料!$B324)&gt;$N$3),0,1))</f>
        <v>0</v>
      </c>
      <c r="P1524">
        <f>IF(AND($K1524=1,AND(对接源_02物料!$X324="公司筐",N(对接源_02物料!$T324)&lt;&gt;0)),1,0)</f>
        <v>0</v>
      </c>
      <c r="Q1524">
        <f>N(Q1523)+$P1524</f>
        <v>14</v>
      </c>
      <c r="R1524">
        <f>IF(AND($K1524=1,AND(对接源_02物料!$X324="公司筐",N(对接源_02物料!$U324)&lt;&gt;0)),1,0)</f>
        <v>0</v>
      </c>
      <c r="S1524">
        <f>N(S1523)+$R1524</f>
        <v>1</v>
      </c>
      <c r="T1524">
        <f>IF(AND($K1524=1,AND(对接源_02物料!$X324="公司筐",N(对接源_02物料!$V324)&lt;&gt;0)),1,0)</f>
        <v>0</v>
      </c>
      <c r="U1524">
        <f>N(U1523)+$T1524</f>
        <v>47</v>
      </c>
      <c r="V1524">
        <f>IF(AND($L1524=1,AND(对接源_02物料!$X324="自备筐",N(对接源_02物料!$V324)&lt;&gt;0)),1,0)</f>
        <v>0</v>
      </c>
      <c r="W1524">
        <f>N(W1523)+$V1524</f>
        <v>11</v>
      </c>
      <c r="X1524">
        <f>IF(AND($L1524=1,AND(对接源_02物料!$X324="自备筐",N(对接源_02物料!$T324)&lt;&gt;0)),1,0)</f>
        <v>0</v>
      </c>
      <c r="Y1524">
        <f>N(Y1523)+$X1524</f>
        <v>0</v>
      </c>
      <c r="Z1524">
        <f>IF(AND($M1524=1,对接源_02物料!$D324="原料入库"),1,0)</f>
        <v>0</v>
      </c>
      <c r="AA1524">
        <f>N(AA1523)+$Z1524</f>
        <v>24</v>
      </c>
      <c r="AB1524">
        <f>IF(AND($M1524=1,LEFT(对接源_02物料!$D324,4)="原料出库"),1,0)</f>
        <v>0</v>
      </c>
      <c r="AC1524">
        <f>N(AC1523)+$AB1524</f>
        <v>0</v>
      </c>
      <c r="AD1524">
        <f>IF(AND($M1524=1,LEFT(对接源_02物料!$D324,4)="成品出库"),1,0)</f>
        <v>0</v>
      </c>
      <c r="AE1524">
        <f>N(AE1523)+$AD1524</f>
        <v>0</v>
      </c>
      <c r="AF1524">
        <f>IF(AND($N1524=1,AND(LEFT(对接源_02物料!$D324,4)="包装物料",N(对接源_02物料!$K324)&lt;&gt;0)),1,0)</f>
        <v>0</v>
      </c>
      <c r="AG1524">
        <f>N(AG1523)+$AF1524</f>
        <v>10</v>
      </c>
      <c r="AH1524">
        <f>IF(AND($N1524=1,AND(对接源_02物料!$D324="周转筐－销售出库",N(对接源_02物料!$K324)&lt;&gt;0)),1,0)</f>
        <v>0</v>
      </c>
      <c r="AI1524">
        <f>N(AI1523)+$AH1524</f>
        <v>0</v>
      </c>
      <c r="AL1524" t="n">
        <v>0</v>
      </c>
      <c r="AM1524">
        <f>N(AM1523)+$AL1524</f>
        <v>2</v>
      </c>
      <c r="AN1524">
        <f>""</f>
      </c>
      <c r="AO1524" t="n">
        <v>0</v>
      </c>
      <c r="AP1524">
        <f>N(AP1523)+$AO1524</f>
        <v>13</v>
      </c>
      <c r="AR1524">
        <f>IF(OR($AF1524=1,$AH1524=1),1,0)</f>
        <v>0</v>
      </c>
      <c r="AS1524">
        <f>N(AS1523)+$AR1524</f>
        <v>10</v>
      </c>
    </row>
    <row r="1525" s="127">
      <c r="A1525">
        <f>IF(对接源_02物料!$C325="","",对接源_02物料!$C325)</f>
      </c>
      <c r="B1525">
        <f>IF(A1525="",0,IF(MATCH(A1525,$A$4:$A$2403,0)=ROW()-3,1,0))</f>
        <v>0</v>
      </c>
      <c r="C1525">
        <f>N(C1524)+B1525</f>
        <v>26</v>
      </c>
      <c r="K1525">
        <f>IF(OR($K$1="",对接源_02物料!$C325="",对接源_02物料!$C325&lt;&gt;$K$1,对接源_02物料!$B325=""),0,IF(OR(N(对接源_02物料!$B325)&lt;$K$2,N(对接源_02物料!$B325)&gt;$K$3),0,1))</f>
        <v>0</v>
      </c>
      <c r="L1525">
        <f>IF(OR($L$1="",对接源_02物料!$C325="",对接源_02物料!$C325&lt;&gt;$L$1,对接源_02物料!$B325=""),0,IF(OR(N(对接源_02物料!$B325)&lt;$L$2,N(对接源_02物料!$B325)&gt;$L$3),0,1))</f>
        <v>0</v>
      </c>
      <c r="M1525">
        <f>IF(OR($M$1="",对接源_02物料!$C325="",对接源_02物料!$C325&lt;&gt;$M$1,对接源_02物料!$B325=""),0,IF(OR(N(对接源_02物料!$B325)&lt;$M$2,N(对接源_02物料!$B325)&gt;$M$3),0,1))</f>
        <v>0</v>
      </c>
      <c r="N1525">
        <f>IF(OR($N$1="",对接源_02物料!$C325="",对接源_02物料!$C325&lt;&gt;$N$1,对接源_02物料!$B325=""),0,IF(OR(N(对接源_02物料!$B325)&lt;$N$2,N(对接源_02物料!$B325)&gt;$N$3),0,1))</f>
        <v>0</v>
      </c>
      <c r="P1525">
        <f>IF(AND($K1525=1,AND(对接源_02物料!$X325="公司筐",N(对接源_02物料!$T325)&lt;&gt;0)),1,0)</f>
        <v>0</v>
      </c>
      <c r="Q1525">
        <f>N(Q1524)+$P1525</f>
        <v>14</v>
      </c>
      <c r="R1525">
        <f>IF(AND($K1525=1,AND(对接源_02物料!$X325="公司筐",N(对接源_02物料!$U325)&lt;&gt;0)),1,0)</f>
        <v>0</v>
      </c>
      <c r="S1525">
        <f>N(S1524)+$R1525</f>
        <v>1</v>
      </c>
      <c r="T1525">
        <f>IF(AND($K1525=1,AND(对接源_02物料!$X325="公司筐",N(对接源_02物料!$V325)&lt;&gt;0)),1,0)</f>
        <v>0</v>
      </c>
      <c r="U1525">
        <f>N(U1524)+$T1525</f>
        <v>47</v>
      </c>
      <c r="V1525">
        <f>IF(AND($L1525=1,AND(对接源_02物料!$X325="自备筐",N(对接源_02物料!$V325)&lt;&gt;0)),1,0)</f>
        <v>0</v>
      </c>
      <c r="W1525">
        <f>N(W1524)+$V1525</f>
        <v>11</v>
      </c>
      <c r="X1525">
        <f>IF(AND($L1525=1,AND(对接源_02物料!$X325="自备筐",N(对接源_02物料!$T325)&lt;&gt;0)),1,0)</f>
        <v>0</v>
      </c>
      <c r="Y1525">
        <f>N(Y1524)+$X1525</f>
        <v>0</v>
      </c>
      <c r="Z1525">
        <f>IF(AND($M1525=1,对接源_02物料!$D325="原料入库"),1,0)</f>
        <v>0</v>
      </c>
      <c r="AA1525">
        <f>N(AA1524)+$Z1525</f>
        <v>24</v>
      </c>
      <c r="AB1525">
        <f>IF(AND($M1525=1,LEFT(对接源_02物料!$D325,4)="原料出库"),1,0)</f>
        <v>0</v>
      </c>
      <c r="AC1525">
        <f>N(AC1524)+$AB1525</f>
        <v>0</v>
      </c>
      <c r="AD1525">
        <f>IF(AND($M1525=1,LEFT(对接源_02物料!$D325,4)="成品出库"),1,0)</f>
        <v>0</v>
      </c>
      <c r="AE1525">
        <f>N(AE1524)+$AD1525</f>
        <v>0</v>
      </c>
      <c r="AF1525">
        <f>IF(AND($N1525=1,AND(LEFT(对接源_02物料!$D325,4)="包装物料",N(对接源_02物料!$K325)&lt;&gt;0)),1,0)</f>
        <v>0</v>
      </c>
      <c r="AG1525">
        <f>N(AG1524)+$AF1525</f>
        <v>10</v>
      </c>
      <c r="AH1525">
        <f>IF(AND($N1525=1,AND(对接源_02物料!$D325="周转筐－销售出库",N(对接源_02物料!$K325)&lt;&gt;0)),1,0)</f>
        <v>0</v>
      </c>
      <c r="AI1525">
        <f>N(AI1524)+$AH1525</f>
        <v>0</v>
      </c>
      <c r="AL1525" t="n">
        <v>0</v>
      </c>
      <c r="AM1525">
        <f>N(AM1524)+$AL1525</f>
        <v>2</v>
      </c>
      <c r="AN1525">
        <f>""</f>
      </c>
      <c r="AO1525" t="n">
        <v>0</v>
      </c>
      <c r="AP1525">
        <f>N(AP1524)+$AO1525</f>
        <v>13</v>
      </c>
      <c r="AR1525">
        <f>IF(OR($AF1525=1,$AH1525=1),1,0)</f>
        <v>0</v>
      </c>
      <c r="AS1525">
        <f>N(AS1524)+$AR1525</f>
        <v>10</v>
      </c>
    </row>
    <row r="1526" s="127">
      <c r="A1526">
        <f>IF(对接源_02物料!$C326="","",对接源_02物料!$C326)</f>
      </c>
      <c r="B1526">
        <f>IF(A1526="",0,IF(MATCH(A1526,$A$4:$A$2403,0)=ROW()-3,1,0))</f>
        <v>0</v>
      </c>
      <c r="C1526">
        <f>N(C1525)+B1526</f>
        <v>26</v>
      </c>
      <c r="K1526">
        <f>IF(OR($K$1="",对接源_02物料!$C326="",对接源_02物料!$C326&lt;&gt;$K$1,对接源_02物料!$B326=""),0,IF(OR(N(对接源_02物料!$B326)&lt;$K$2,N(对接源_02物料!$B326)&gt;$K$3),0,1))</f>
        <v>0</v>
      </c>
      <c r="L1526">
        <f>IF(OR($L$1="",对接源_02物料!$C326="",对接源_02物料!$C326&lt;&gt;$L$1,对接源_02物料!$B326=""),0,IF(OR(N(对接源_02物料!$B326)&lt;$L$2,N(对接源_02物料!$B326)&gt;$L$3),0,1))</f>
        <v>0</v>
      </c>
      <c r="M1526">
        <f>IF(OR($M$1="",对接源_02物料!$C326="",对接源_02物料!$C326&lt;&gt;$M$1,对接源_02物料!$B326=""),0,IF(OR(N(对接源_02物料!$B326)&lt;$M$2,N(对接源_02物料!$B326)&gt;$M$3),0,1))</f>
        <v>0</v>
      </c>
      <c r="N1526">
        <f>IF(OR($N$1="",对接源_02物料!$C326="",对接源_02物料!$C326&lt;&gt;$N$1,对接源_02物料!$B326=""),0,IF(OR(N(对接源_02物料!$B326)&lt;$N$2,N(对接源_02物料!$B326)&gt;$N$3),0,1))</f>
        <v>0</v>
      </c>
      <c r="P1526">
        <f>IF(AND($K1526=1,AND(对接源_02物料!$X326="公司筐",N(对接源_02物料!$T326)&lt;&gt;0)),1,0)</f>
        <v>0</v>
      </c>
      <c r="Q1526">
        <f>N(Q1525)+$P1526</f>
        <v>14</v>
      </c>
      <c r="R1526">
        <f>IF(AND($K1526=1,AND(对接源_02物料!$X326="公司筐",N(对接源_02物料!$U326)&lt;&gt;0)),1,0)</f>
        <v>0</v>
      </c>
      <c r="S1526">
        <f>N(S1525)+$R1526</f>
        <v>1</v>
      </c>
      <c r="T1526">
        <f>IF(AND($K1526=1,AND(对接源_02物料!$X326="公司筐",N(对接源_02物料!$V326)&lt;&gt;0)),1,0)</f>
        <v>0</v>
      </c>
      <c r="U1526">
        <f>N(U1525)+$T1526</f>
        <v>47</v>
      </c>
      <c r="V1526">
        <f>IF(AND($L1526=1,AND(对接源_02物料!$X326="自备筐",N(对接源_02物料!$V326)&lt;&gt;0)),1,0)</f>
        <v>0</v>
      </c>
      <c r="W1526">
        <f>N(W1525)+$V1526</f>
        <v>11</v>
      </c>
      <c r="X1526">
        <f>IF(AND($L1526=1,AND(对接源_02物料!$X326="自备筐",N(对接源_02物料!$T326)&lt;&gt;0)),1,0)</f>
        <v>0</v>
      </c>
      <c r="Y1526">
        <f>N(Y1525)+$X1526</f>
        <v>0</v>
      </c>
      <c r="Z1526">
        <f>IF(AND($M1526=1,对接源_02物料!$D326="原料入库"),1,0)</f>
        <v>0</v>
      </c>
      <c r="AA1526">
        <f>N(AA1525)+$Z1526</f>
        <v>24</v>
      </c>
      <c r="AB1526">
        <f>IF(AND($M1526=1,LEFT(对接源_02物料!$D326,4)="原料出库"),1,0)</f>
        <v>0</v>
      </c>
      <c r="AC1526">
        <f>N(AC1525)+$AB1526</f>
        <v>0</v>
      </c>
      <c r="AD1526">
        <f>IF(AND($M1526=1,LEFT(对接源_02物料!$D326,4)="成品出库"),1,0)</f>
        <v>0</v>
      </c>
      <c r="AE1526">
        <f>N(AE1525)+$AD1526</f>
        <v>0</v>
      </c>
      <c r="AF1526">
        <f>IF(AND($N1526=1,AND(LEFT(对接源_02物料!$D326,4)="包装物料",N(对接源_02物料!$K326)&lt;&gt;0)),1,0)</f>
        <v>0</v>
      </c>
      <c r="AG1526">
        <f>N(AG1525)+$AF1526</f>
        <v>10</v>
      </c>
      <c r="AH1526">
        <f>IF(AND($N1526=1,AND(对接源_02物料!$D326="周转筐－销售出库",N(对接源_02物料!$K326)&lt;&gt;0)),1,0)</f>
        <v>0</v>
      </c>
      <c r="AI1526">
        <f>N(AI1525)+$AH1526</f>
        <v>0</v>
      </c>
      <c r="AL1526" t="n">
        <v>0</v>
      </c>
      <c r="AM1526">
        <f>N(AM1525)+$AL1526</f>
        <v>2</v>
      </c>
      <c r="AN1526">
        <f>""</f>
      </c>
      <c r="AO1526" t="n">
        <v>0</v>
      </c>
      <c r="AP1526">
        <f>N(AP1525)+$AO1526</f>
        <v>13</v>
      </c>
      <c r="AR1526">
        <f>IF(OR($AF1526=1,$AH1526=1),1,0)</f>
        <v>0</v>
      </c>
      <c r="AS1526">
        <f>N(AS1525)+$AR1526</f>
        <v>10</v>
      </c>
    </row>
    <row r="1527" s="127">
      <c r="A1527">
        <f>IF(对接源_02物料!$C327="","",对接源_02物料!$C327)</f>
      </c>
      <c r="B1527">
        <f>IF(A1527="",0,IF(MATCH(A1527,$A$4:$A$2403,0)=ROW()-3,1,0))</f>
        <v>0</v>
      </c>
      <c r="C1527">
        <f>N(C1526)+B1527</f>
        <v>26</v>
      </c>
      <c r="K1527">
        <f>IF(OR($K$1="",对接源_02物料!$C327="",对接源_02物料!$C327&lt;&gt;$K$1,对接源_02物料!$B327=""),0,IF(OR(N(对接源_02物料!$B327)&lt;$K$2,N(对接源_02物料!$B327)&gt;$K$3),0,1))</f>
        <v>0</v>
      </c>
      <c r="L1527">
        <f>IF(OR($L$1="",对接源_02物料!$C327="",对接源_02物料!$C327&lt;&gt;$L$1,对接源_02物料!$B327=""),0,IF(OR(N(对接源_02物料!$B327)&lt;$L$2,N(对接源_02物料!$B327)&gt;$L$3),0,1))</f>
        <v>0</v>
      </c>
      <c r="M1527">
        <f>IF(OR($M$1="",对接源_02物料!$C327="",对接源_02物料!$C327&lt;&gt;$M$1,对接源_02物料!$B327=""),0,IF(OR(N(对接源_02物料!$B327)&lt;$M$2,N(对接源_02物料!$B327)&gt;$M$3),0,1))</f>
        <v>0</v>
      </c>
      <c r="N1527">
        <f>IF(OR($N$1="",对接源_02物料!$C327="",对接源_02物料!$C327&lt;&gt;$N$1,对接源_02物料!$B327=""),0,IF(OR(N(对接源_02物料!$B327)&lt;$N$2,N(对接源_02物料!$B327)&gt;$N$3),0,1))</f>
        <v>0</v>
      </c>
      <c r="P1527">
        <f>IF(AND($K1527=1,AND(对接源_02物料!$X327="公司筐",N(对接源_02物料!$T327)&lt;&gt;0)),1,0)</f>
        <v>0</v>
      </c>
      <c r="Q1527">
        <f>N(Q1526)+$P1527</f>
        <v>14</v>
      </c>
      <c r="R1527">
        <f>IF(AND($K1527=1,AND(对接源_02物料!$X327="公司筐",N(对接源_02物料!$U327)&lt;&gt;0)),1,0)</f>
        <v>0</v>
      </c>
      <c r="S1527">
        <f>N(S1526)+$R1527</f>
        <v>1</v>
      </c>
      <c r="T1527">
        <f>IF(AND($K1527=1,AND(对接源_02物料!$X327="公司筐",N(对接源_02物料!$V327)&lt;&gt;0)),1,0)</f>
        <v>0</v>
      </c>
      <c r="U1527">
        <f>N(U1526)+$T1527</f>
        <v>47</v>
      </c>
      <c r="V1527">
        <f>IF(AND($L1527=1,AND(对接源_02物料!$X327="自备筐",N(对接源_02物料!$V327)&lt;&gt;0)),1,0)</f>
        <v>0</v>
      </c>
      <c r="W1527">
        <f>N(W1526)+$V1527</f>
        <v>11</v>
      </c>
      <c r="X1527">
        <f>IF(AND($L1527=1,AND(对接源_02物料!$X327="自备筐",N(对接源_02物料!$T327)&lt;&gt;0)),1,0)</f>
        <v>0</v>
      </c>
      <c r="Y1527">
        <f>N(Y1526)+$X1527</f>
        <v>0</v>
      </c>
      <c r="Z1527">
        <f>IF(AND($M1527=1,对接源_02物料!$D327="原料入库"),1,0)</f>
        <v>0</v>
      </c>
      <c r="AA1527">
        <f>N(AA1526)+$Z1527</f>
        <v>24</v>
      </c>
      <c r="AB1527">
        <f>IF(AND($M1527=1,LEFT(对接源_02物料!$D327,4)="原料出库"),1,0)</f>
        <v>0</v>
      </c>
      <c r="AC1527">
        <f>N(AC1526)+$AB1527</f>
        <v>0</v>
      </c>
      <c r="AD1527">
        <f>IF(AND($M1527=1,LEFT(对接源_02物料!$D327,4)="成品出库"),1,0)</f>
        <v>0</v>
      </c>
      <c r="AE1527">
        <f>N(AE1526)+$AD1527</f>
        <v>0</v>
      </c>
      <c r="AF1527">
        <f>IF(AND($N1527=1,AND(LEFT(对接源_02物料!$D327,4)="包装物料",N(对接源_02物料!$K327)&lt;&gt;0)),1,0)</f>
        <v>0</v>
      </c>
      <c r="AG1527">
        <f>N(AG1526)+$AF1527</f>
        <v>10</v>
      </c>
      <c r="AH1527">
        <f>IF(AND($N1527=1,AND(对接源_02物料!$D327="周转筐－销售出库",N(对接源_02物料!$K327)&lt;&gt;0)),1,0)</f>
        <v>0</v>
      </c>
      <c r="AI1527">
        <f>N(AI1526)+$AH1527</f>
        <v>0</v>
      </c>
      <c r="AL1527" t="n">
        <v>0</v>
      </c>
      <c r="AM1527">
        <f>N(AM1526)+$AL1527</f>
        <v>2</v>
      </c>
      <c r="AN1527">
        <f>""</f>
      </c>
      <c r="AO1527" t="n">
        <v>0</v>
      </c>
      <c r="AP1527">
        <f>N(AP1526)+$AO1527</f>
        <v>13</v>
      </c>
      <c r="AR1527">
        <f>IF(OR($AF1527=1,$AH1527=1),1,0)</f>
        <v>0</v>
      </c>
      <c r="AS1527">
        <f>N(AS1526)+$AR1527</f>
        <v>10</v>
      </c>
    </row>
    <row r="1528" s="127">
      <c r="A1528">
        <f>IF(对接源_02物料!$C328="","",对接源_02物料!$C328)</f>
      </c>
      <c r="B1528">
        <f>IF(A1528="",0,IF(MATCH(A1528,$A$4:$A$2403,0)=ROW()-3,1,0))</f>
        <v>0</v>
      </c>
      <c r="C1528">
        <f>N(C1527)+B1528</f>
        <v>26</v>
      </c>
      <c r="K1528">
        <f>IF(OR($K$1="",对接源_02物料!$C328="",对接源_02物料!$C328&lt;&gt;$K$1,对接源_02物料!$B328=""),0,IF(OR(N(对接源_02物料!$B328)&lt;$K$2,N(对接源_02物料!$B328)&gt;$K$3),0,1))</f>
        <v>0</v>
      </c>
      <c r="L1528">
        <f>IF(OR($L$1="",对接源_02物料!$C328="",对接源_02物料!$C328&lt;&gt;$L$1,对接源_02物料!$B328=""),0,IF(OR(N(对接源_02物料!$B328)&lt;$L$2,N(对接源_02物料!$B328)&gt;$L$3),0,1))</f>
        <v>0</v>
      </c>
      <c r="M1528">
        <f>IF(OR($M$1="",对接源_02物料!$C328="",对接源_02物料!$C328&lt;&gt;$M$1,对接源_02物料!$B328=""),0,IF(OR(N(对接源_02物料!$B328)&lt;$M$2,N(对接源_02物料!$B328)&gt;$M$3),0,1))</f>
        <v>0</v>
      </c>
      <c r="N1528">
        <f>IF(OR($N$1="",对接源_02物料!$C328="",对接源_02物料!$C328&lt;&gt;$N$1,对接源_02物料!$B328=""),0,IF(OR(N(对接源_02物料!$B328)&lt;$N$2,N(对接源_02物料!$B328)&gt;$N$3),0,1))</f>
        <v>0</v>
      </c>
      <c r="P1528">
        <f>IF(AND($K1528=1,AND(对接源_02物料!$X328="公司筐",N(对接源_02物料!$T328)&lt;&gt;0)),1,0)</f>
        <v>0</v>
      </c>
      <c r="Q1528">
        <f>N(Q1527)+$P1528</f>
        <v>14</v>
      </c>
      <c r="R1528">
        <f>IF(AND($K1528=1,AND(对接源_02物料!$X328="公司筐",N(对接源_02物料!$U328)&lt;&gt;0)),1,0)</f>
        <v>0</v>
      </c>
      <c r="S1528">
        <f>N(S1527)+$R1528</f>
        <v>1</v>
      </c>
      <c r="T1528">
        <f>IF(AND($K1528=1,AND(对接源_02物料!$X328="公司筐",N(对接源_02物料!$V328)&lt;&gt;0)),1,0)</f>
        <v>0</v>
      </c>
      <c r="U1528">
        <f>N(U1527)+$T1528</f>
        <v>47</v>
      </c>
      <c r="V1528">
        <f>IF(AND($L1528=1,AND(对接源_02物料!$X328="自备筐",N(对接源_02物料!$V328)&lt;&gt;0)),1,0)</f>
        <v>0</v>
      </c>
      <c r="W1528">
        <f>N(W1527)+$V1528</f>
        <v>11</v>
      </c>
      <c r="X1528">
        <f>IF(AND($L1528=1,AND(对接源_02物料!$X328="自备筐",N(对接源_02物料!$T328)&lt;&gt;0)),1,0)</f>
        <v>0</v>
      </c>
      <c r="Y1528">
        <f>N(Y1527)+$X1528</f>
        <v>0</v>
      </c>
      <c r="Z1528">
        <f>IF(AND($M1528=1,对接源_02物料!$D328="原料入库"),1,0)</f>
        <v>0</v>
      </c>
      <c r="AA1528">
        <f>N(AA1527)+$Z1528</f>
        <v>24</v>
      </c>
      <c r="AB1528">
        <f>IF(AND($M1528=1,LEFT(对接源_02物料!$D328,4)="原料出库"),1,0)</f>
        <v>0</v>
      </c>
      <c r="AC1528">
        <f>N(AC1527)+$AB1528</f>
        <v>0</v>
      </c>
      <c r="AD1528">
        <f>IF(AND($M1528=1,LEFT(对接源_02物料!$D328,4)="成品出库"),1,0)</f>
        <v>0</v>
      </c>
      <c r="AE1528">
        <f>N(AE1527)+$AD1528</f>
        <v>0</v>
      </c>
      <c r="AF1528">
        <f>IF(AND($N1528=1,AND(LEFT(对接源_02物料!$D328,4)="包装物料",N(对接源_02物料!$K328)&lt;&gt;0)),1,0)</f>
        <v>0</v>
      </c>
      <c r="AG1528">
        <f>N(AG1527)+$AF1528</f>
        <v>10</v>
      </c>
      <c r="AH1528">
        <f>IF(AND($N1528=1,AND(对接源_02物料!$D328="周转筐－销售出库",N(对接源_02物料!$K328)&lt;&gt;0)),1,0)</f>
        <v>0</v>
      </c>
      <c r="AI1528">
        <f>N(AI1527)+$AH1528</f>
        <v>0</v>
      </c>
      <c r="AL1528" t="n">
        <v>0</v>
      </c>
      <c r="AM1528">
        <f>N(AM1527)+$AL1528</f>
        <v>2</v>
      </c>
      <c r="AN1528">
        <f>""</f>
      </c>
      <c r="AO1528" t="n">
        <v>0</v>
      </c>
      <c r="AP1528">
        <f>N(AP1527)+$AO1528</f>
        <v>13</v>
      </c>
      <c r="AR1528">
        <f>IF(OR($AF1528=1,$AH1528=1),1,0)</f>
        <v>0</v>
      </c>
      <c r="AS1528">
        <f>N(AS1527)+$AR1528</f>
        <v>10</v>
      </c>
    </row>
    <row r="1529" s="127">
      <c r="A1529">
        <f>IF(对接源_02物料!$C329="","",对接源_02物料!$C329)</f>
      </c>
      <c r="B1529">
        <f>IF(A1529="",0,IF(MATCH(A1529,$A$4:$A$2403,0)=ROW()-3,1,0))</f>
        <v>0</v>
      </c>
      <c r="C1529">
        <f>N(C1528)+B1529</f>
        <v>26</v>
      </c>
      <c r="K1529">
        <f>IF(OR($K$1="",对接源_02物料!$C329="",对接源_02物料!$C329&lt;&gt;$K$1,对接源_02物料!$B329=""),0,IF(OR(N(对接源_02物料!$B329)&lt;$K$2,N(对接源_02物料!$B329)&gt;$K$3),0,1))</f>
        <v>0</v>
      </c>
      <c r="L1529">
        <f>IF(OR($L$1="",对接源_02物料!$C329="",对接源_02物料!$C329&lt;&gt;$L$1,对接源_02物料!$B329=""),0,IF(OR(N(对接源_02物料!$B329)&lt;$L$2,N(对接源_02物料!$B329)&gt;$L$3),0,1))</f>
        <v>0</v>
      </c>
      <c r="M1529">
        <f>IF(OR($M$1="",对接源_02物料!$C329="",对接源_02物料!$C329&lt;&gt;$M$1,对接源_02物料!$B329=""),0,IF(OR(N(对接源_02物料!$B329)&lt;$M$2,N(对接源_02物料!$B329)&gt;$M$3),0,1))</f>
        <v>0</v>
      </c>
      <c r="N1529">
        <f>IF(OR($N$1="",对接源_02物料!$C329="",对接源_02物料!$C329&lt;&gt;$N$1,对接源_02物料!$B329=""),0,IF(OR(N(对接源_02物料!$B329)&lt;$N$2,N(对接源_02物料!$B329)&gt;$N$3),0,1))</f>
        <v>0</v>
      </c>
      <c r="P1529">
        <f>IF(AND($K1529=1,AND(对接源_02物料!$X329="公司筐",N(对接源_02物料!$T329)&lt;&gt;0)),1,0)</f>
        <v>0</v>
      </c>
      <c r="Q1529">
        <f>N(Q1528)+$P1529</f>
        <v>14</v>
      </c>
      <c r="R1529">
        <f>IF(AND($K1529=1,AND(对接源_02物料!$X329="公司筐",N(对接源_02物料!$U329)&lt;&gt;0)),1,0)</f>
        <v>0</v>
      </c>
      <c r="S1529">
        <f>N(S1528)+$R1529</f>
        <v>1</v>
      </c>
      <c r="T1529">
        <f>IF(AND($K1529=1,AND(对接源_02物料!$X329="公司筐",N(对接源_02物料!$V329)&lt;&gt;0)),1,0)</f>
        <v>0</v>
      </c>
      <c r="U1529">
        <f>N(U1528)+$T1529</f>
        <v>47</v>
      </c>
      <c r="V1529">
        <f>IF(AND($L1529=1,AND(对接源_02物料!$X329="自备筐",N(对接源_02物料!$V329)&lt;&gt;0)),1,0)</f>
        <v>0</v>
      </c>
      <c r="W1529">
        <f>N(W1528)+$V1529</f>
        <v>11</v>
      </c>
      <c r="X1529">
        <f>IF(AND($L1529=1,AND(对接源_02物料!$X329="自备筐",N(对接源_02物料!$T329)&lt;&gt;0)),1,0)</f>
        <v>0</v>
      </c>
      <c r="Y1529">
        <f>N(Y1528)+$X1529</f>
        <v>0</v>
      </c>
      <c r="Z1529">
        <f>IF(AND($M1529=1,对接源_02物料!$D329="原料入库"),1,0)</f>
        <v>0</v>
      </c>
      <c r="AA1529">
        <f>N(AA1528)+$Z1529</f>
        <v>24</v>
      </c>
      <c r="AB1529">
        <f>IF(AND($M1529=1,LEFT(对接源_02物料!$D329,4)="原料出库"),1,0)</f>
        <v>0</v>
      </c>
      <c r="AC1529">
        <f>N(AC1528)+$AB1529</f>
        <v>0</v>
      </c>
      <c r="AD1529">
        <f>IF(AND($M1529=1,LEFT(对接源_02物料!$D329,4)="成品出库"),1,0)</f>
        <v>0</v>
      </c>
      <c r="AE1529">
        <f>N(AE1528)+$AD1529</f>
        <v>0</v>
      </c>
      <c r="AF1529">
        <f>IF(AND($N1529=1,AND(LEFT(对接源_02物料!$D329,4)="包装物料",N(对接源_02物料!$K329)&lt;&gt;0)),1,0)</f>
        <v>0</v>
      </c>
      <c r="AG1529">
        <f>N(AG1528)+$AF1529</f>
        <v>10</v>
      </c>
      <c r="AH1529">
        <f>IF(AND($N1529=1,AND(对接源_02物料!$D329="周转筐－销售出库",N(对接源_02物料!$K329)&lt;&gt;0)),1,0)</f>
        <v>0</v>
      </c>
      <c r="AI1529">
        <f>N(AI1528)+$AH1529</f>
        <v>0</v>
      </c>
      <c r="AL1529" t="n">
        <v>0</v>
      </c>
      <c r="AM1529">
        <f>N(AM1528)+$AL1529</f>
        <v>2</v>
      </c>
      <c r="AN1529">
        <f>""</f>
      </c>
      <c r="AO1529" t="n">
        <v>0</v>
      </c>
      <c r="AP1529">
        <f>N(AP1528)+$AO1529</f>
        <v>13</v>
      </c>
      <c r="AR1529">
        <f>IF(OR($AF1529=1,$AH1529=1),1,0)</f>
        <v>0</v>
      </c>
      <c r="AS1529">
        <f>N(AS1528)+$AR1529</f>
        <v>10</v>
      </c>
    </row>
    <row r="1530" s="127">
      <c r="A1530">
        <f>IF(对接源_02物料!$C330="","",对接源_02物料!$C330)</f>
      </c>
      <c r="B1530">
        <f>IF(A1530="",0,IF(MATCH(A1530,$A$4:$A$2403,0)=ROW()-3,1,0))</f>
        <v>0</v>
      </c>
      <c r="C1530">
        <f>N(C1529)+B1530</f>
        <v>26</v>
      </c>
      <c r="K1530">
        <f>IF(OR($K$1="",对接源_02物料!$C330="",对接源_02物料!$C330&lt;&gt;$K$1,对接源_02物料!$B330=""),0,IF(OR(N(对接源_02物料!$B330)&lt;$K$2,N(对接源_02物料!$B330)&gt;$K$3),0,1))</f>
        <v>0</v>
      </c>
      <c r="L1530">
        <f>IF(OR($L$1="",对接源_02物料!$C330="",对接源_02物料!$C330&lt;&gt;$L$1,对接源_02物料!$B330=""),0,IF(OR(N(对接源_02物料!$B330)&lt;$L$2,N(对接源_02物料!$B330)&gt;$L$3),0,1))</f>
        <v>0</v>
      </c>
      <c r="M1530">
        <f>IF(OR($M$1="",对接源_02物料!$C330="",对接源_02物料!$C330&lt;&gt;$M$1,对接源_02物料!$B330=""),0,IF(OR(N(对接源_02物料!$B330)&lt;$M$2,N(对接源_02物料!$B330)&gt;$M$3),0,1))</f>
        <v>0</v>
      </c>
      <c r="N1530">
        <f>IF(OR($N$1="",对接源_02物料!$C330="",对接源_02物料!$C330&lt;&gt;$N$1,对接源_02物料!$B330=""),0,IF(OR(N(对接源_02物料!$B330)&lt;$N$2,N(对接源_02物料!$B330)&gt;$N$3),0,1))</f>
        <v>0</v>
      </c>
      <c r="P1530">
        <f>IF(AND($K1530=1,AND(对接源_02物料!$X330="公司筐",N(对接源_02物料!$T330)&lt;&gt;0)),1,0)</f>
        <v>0</v>
      </c>
      <c r="Q1530">
        <f>N(Q1529)+$P1530</f>
        <v>14</v>
      </c>
      <c r="R1530">
        <f>IF(AND($K1530=1,AND(对接源_02物料!$X330="公司筐",N(对接源_02物料!$U330)&lt;&gt;0)),1,0)</f>
        <v>0</v>
      </c>
      <c r="S1530">
        <f>N(S1529)+$R1530</f>
        <v>1</v>
      </c>
      <c r="T1530">
        <f>IF(AND($K1530=1,AND(对接源_02物料!$X330="公司筐",N(对接源_02物料!$V330)&lt;&gt;0)),1,0)</f>
        <v>0</v>
      </c>
      <c r="U1530">
        <f>N(U1529)+$T1530</f>
        <v>47</v>
      </c>
      <c r="V1530">
        <f>IF(AND($L1530=1,AND(对接源_02物料!$X330="自备筐",N(对接源_02物料!$V330)&lt;&gt;0)),1,0)</f>
        <v>0</v>
      </c>
      <c r="W1530">
        <f>N(W1529)+$V1530</f>
        <v>11</v>
      </c>
      <c r="X1530">
        <f>IF(AND($L1530=1,AND(对接源_02物料!$X330="自备筐",N(对接源_02物料!$T330)&lt;&gt;0)),1,0)</f>
        <v>0</v>
      </c>
      <c r="Y1530">
        <f>N(Y1529)+$X1530</f>
        <v>0</v>
      </c>
      <c r="Z1530">
        <f>IF(AND($M1530=1,对接源_02物料!$D330="原料入库"),1,0)</f>
        <v>0</v>
      </c>
      <c r="AA1530">
        <f>N(AA1529)+$Z1530</f>
        <v>24</v>
      </c>
      <c r="AB1530">
        <f>IF(AND($M1530=1,LEFT(对接源_02物料!$D330,4)="原料出库"),1,0)</f>
        <v>0</v>
      </c>
      <c r="AC1530">
        <f>N(AC1529)+$AB1530</f>
        <v>0</v>
      </c>
      <c r="AD1530">
        <f>IF(AND($M1530=1,LEFT(对接源_02物料!$D330,4)="成品出库"),1,0)</f>
        <v>0</v>
      </c>
      <c r="AE1530">
        <f>N(AE1529)+$AD1530</f>
        <v>0</v>
      </c>
      <c r="AF1530">
        <f>IF(AND($N1530=1,AND(LEFT(对接源_02物料!$D330,4)="包装物料",N(对接源_02物料!$K330)&lt;&gt;0)),1,0)</f>
        <v>0</v>
      </c>
      <c r="AG1530">
        <f>N(AG1529)+$AF1530</f>
        <v>10</v>
      </c>
      <c r="AH1530">
        <f>IF(AND($N1530=1,AND(对接源_02物料!$D330="周转筐－销售出库",N(对接源_02物料!$K330)&lt;&gt;0)),1,0)</f>
        <v>0</v>
      </c>
      <c r="AI1530">
        <f>N(AI1529)+$AH1530</f>
        <v>0</v>
      </c>
      <c r="AL1530" t="n">
        <v>0</v>
      </c>
      <c r="AM1530">
        <f>N(AM1529)+$AL1530</f>
        <v>2</v>
      </c>
      <c r="AN1530">
        <f>""</f>
      </c>
      <c r="AO1530" t="n">
        <v>0</v>
      </c>
      <c r="AP1530">
        <f>N(AP1529)+$AO1530</f>
        <v>13</v>
      </c>
      <c r="AR1530">
        <f>IF(OR($AF1530=1,$AH1530=1),1,0)</f>
        <v>0</v>
      </c>
      <c r="AS1530">
        <f>N(AS1529)+$AR1530</f>
        <v>10</v>
      </c>
    </row>
    <row r="1531" s="127">
      <c r="A1531">
        <f>IF(对接源_02物料!$C331="","",对接源_02物料!$C331)</f>
      </c>
      <c r="B1531">
        <f>IF(A1531="",0,IF(MATCH(A1531,$A$4:$A$2403,0)=ROW()-3,1,0))</f>
        <v>0</v>
      </c>
      <c r="C1531">
        <f>N(C1530)+B1531</f>
        <v>26</v>
      </c>
      <c r="K1531">
        <f>IF(OR($K$1="",对接源_02物料!$C331="",对接源_02物料!$C331&lt;&gt;$K$1,对接源_02物料!$B331=""),0,IF(OR(N(对接源_02物料!$B331)&lt;$K$2,N(对接源_02物料!$B331)&gt;$K$3),0,1))</f>
        <v>0</v>
      </c>
      <c r="L1531">
        <f>IF(OR($L$1="",对接源_02物料!$C331="",对接源_02物料!$C331&lt;&gt;$L$1,对接源_02物料!$B331=""),0,IF(OR(N(对接源_02物料!$B331)&lt;$L$2,N(对接源_02物料!$B331)&gt;$L$3),0,1))</f>
        <v>0</v>
      </c>
      <c r="M1531">
        <f>IF(OR($M$1="",对接源_02物料!$C331="",对接源_02物料!$C331&lt;&gt;$M$1,对接源_02物料!$B331=""),0,IF(OR(N(对接源_02物料!$B331)&lt;$M$2,N(对接源_02物料!$B331)&gt;$M$3),0,1))</f>
        <v>0</v>
      </c>
      <c r="N1531">
        <f>IF(OR($N$1="",对接源_02物料!$C331="",对接源_02物料!$C331&lt;&gt;$N$1,对接源_02物料!$B331=""),0,IF(OR(N(对接源_02物料!$B331)&lt;$N$2,N(对接源_02物料!$B331)&gt;$N$3),0,1))</f>
        <v>0</v>
      </c>
      <c r="P1531">
        <f>IF(AND($K1531=1,AND(对接源_02物料!$X331="公司筐",N(对接源_02物料!$T331)&lt;&gt;0)),1,0)</f>
        <v>0</v>
      </c>
      <c r="Q1531">
        <f>N(Q1530)+$P1531</f>
        <v>14</v>
      </c>
      <c r="R1531">
        <f>IF(AND($K1531=1,AND(对接源_02物料!$X331="公司筐",N(对接源_02物料!$U331)&lt;&gt;0)),1,0)</f>
        <v>0</v>
      </c>
      <c r="S1531">
        <f>N(S1530)+$R1531</f>
        <v>1</v>
      </c>
      <c r="T1531">
        <f>IF(AND($K1531=1,AND(对接源_02物料!$X331="公司筐",N(对接源_02物料!$V331)&lt;&gt;0)),1,0)</f>
        <v>0</v>
      </c>
      <c r="U1531">
        <f>N(U1530)+$T1531</f>
        <v>47</v>
      </c>
      <c r="V1531">
        <f>IF(AND($L1531=1,AND(对接源_02物料!$X331="自备筐",N(对接源_02物料!$V331)&lt;&gt;0)),1,0)</f>
        <v>0</v>
      </c>
      <c r="W1531">
        <f>N(W1530)+$V1531</f>
        <v>11</v>
      </c>
      <c r="X1531">
        <f>IF(AND($L1531=1,AND(对接源_02物料!$X331="自备筐",N(对接源_02物料!$T331)&lt;&gt;0)),1,0)</f>
        <v>0</v>
      </c>
      <c r="Y1531">
        <f>N(Y1530)+$X1531</f>
        <v>0</v>
      </c>
      <c r="Z1531">
        <f>IF(AND($M1531=1,对接源_02物料!$D331="原料入库"),1,0)</f>
        <v>0</v>
      </c>
      <c r="AA1531">
        <f>N(AA1530)+$Z1531</f>
        <v>24</v>
      </c>
      <c r="AB1531">
        <f>IF(AND($M1531=1,LEFT(对接源_02物料!$D331,4)="原料出库"),1,0)</f>
        <v>0</v>
      </c>
      <c r="AC1531">
        <f>N(AC1530)+$AB1531</f>
        <v>0</v>
      </c>
      <c r="AD1531">
        <f>IF(AND($M1531=1,LEFT(对接源_02物料!$D331,4)="成品出库"),1,0)</f>
        <v>0</v>
      </c>
      <c r="AE1531">
        <f>N(AE1530)+$AD1531</f>
        <v>0</v>
      </c>
      <c r="AF1531">
        <f>IF(AND($N1531=1,AND(LEFT(对接源_02物料!$D331,4)="包装物料",N(对接源_02物料!$K331)&lt;&gt;0)),1,0)</f>
        <v>0</v>
      </c>
      <c r="AG1531">
        <f>N(AG1530)+$AF1531</f>
        <v>10</v>
      </c>
      <c r="AH1531">
        <f>IF(AND($N1531=1,AND(对接源_02物料!$D331="周转筐－销售出库",N(对接源_02物料!$K331)&lt;&gt;0)),1,0)</f>
        <v>0</v>
      </c>
      <c r="AI1531">
        <f>N(AI1530)+$AH1531</f>
        <v>0</v>
      </c>
      <c r="AL1531" t="n">
        <v>0</v>
      </c>
      <c r="AM1531">
        <f>N(AM1530)+$AL1531</f>
        <v>2</v>
      </c>
      <c r="AN1531">
        <f>""</f>
      </c>
      <c r="AO1531" t="n">
        <v>0</v>
      </c>
      <c r="AP1531">
        <f>N(AP1530)+$AO1531</f>
        <v>13</v>
      </c>
      <c r="AR1531">
        <f>IF(OR($AF1531=1,$AH1531=1),1,0)</f>
        <v>0</v>
      </c>
      <c r="AS1531">
        <f>N(AS1530)+$AR1531</f>
        <v>10</v>
      </c>
    </row>
    <row r="1532" s="127">
      <c r="A1532">
        <f>IF(对接源_02物料!$C332="","",对接源_02物料!$C332)</f>
      </c>
      <c r="B1532">
        <f>IF(A1532="",0,IF(MATCH(A1532,$A$4:$A$2403,0)=ROW()-3,1,0))</f>
        <v>0</v>
      </c>
      <c r="C1532">
        <f>N(C1531)+B1532</f>
        <v>26</v>
      </c>
      <c r="K1532">
        <f>IF(OR($K$1="",对接源_02物料!$C332="",对接源_02物料!$C332&lt;&gt;$K$1,对接源_02物料!$B332=""),0,IF(OR(N(对接源_02物料!$B332)&lt;$K$2,N(对接源_02物料!$B332)&gt;$K$3),0,1))</f>
        <v>0</v>
      </c>
      <c r="L1532">
        <f>IF(OR($L$1="",对接源_02物料!$C332="",对接源_02物料!$C332&lt;&gt;$L$1,对接源_02物料!$B332=""),0,IF(OR(N(对接源_02物料!$B332)&lt;$L$2,N(对接源_02物料!$B332)&gt;$L$3),0,1))</f>
        <v>0</v>
      </c>
      <c r="M1532">
        <f>IF(OR($M$1="",对接源_02物料!$C332="",对接源_02物料!$C332&lt;&gt;$M$1,对接源_02物料!$B332=""),0,IF(OR(N(对接源_02物料!$B332)&lt;$M$2,N(对接源_02物料!$B332)&gt;$M$3),0,1))</f>
        <v>0</v>
      </c>
      <c r="N1532">
        <f>IF(OR($N$1="",对接源_02物料!$C332="",对接源_02物料!$C332&lt;&gt;$N$1,对接源_02物料!$B332=""),0,IF(OR(N(对接源_02物料!$B332)&lt;$N$2,N(对接源_02物料!$B332)&gt;$N$3),0,1))</f>
        <v>0</v>
      </c>
      <c r="P1532">
        <f>IF(AND($K1532=1,AND(对接源_02物料!$X332="公司筐",N(对接源_02物料!$T332)&lt;&gt;0)),1,0)</f>
        <v>0</v>
      </c>
      <c r="Q1532">
        <f>N(Q1531)+$P1532</f>
        <v>14</v>
      </c>
      <c r="R1532">
        <f>IF(AND($K1532=1,AND(对接源_02物料!$X332="公司筐",N(对接源_02物料!$U332)&lt;&gt;0)),1,0)</f>
        <v>0</v>
      </c>
      <c r="S1532">
        <f>N(S1531)+$R1532</f>
        <v>1</v>
      </c>
      <c r="T1532">
        <f>IF(AND($K1532=1,AND(对接源_02物料!$X332="公司筐",N(对接源_02物料!$V332)&lt;&gt;0)),1,0)</f>
        <v>0</v>
      </c>
      <c r="U1532">
        <f>N(U1531)+$T1532</f>
        <v>47</v>
      </c>
      <c r="V1532">
        <f>IF(AND($L1532=1,AND(对接源_02物料!$X332="自备筐",N(对接源_02物料!$V332)&lt;&gt;0)),1,0)</f>
        <v>0</v>
      </c>
      <c r="W1532">
        <f>N(W1531)+$V1532</f>
        <v>11</v>
      </c>
      <c r="X1532">
        <f>IF(AND($L1532=1,AND(对接源_02物料!$X332="自备筐",N(对接源_02物料!$T332)&lt;&gt;0)),1,0)</f>
        <v>0</v>
      </c>
      <c r="Y1532">
        <f>N(Y1531)+$X1532</f>
        <v>0</v>
      </c>
      <c r="Z1532">
        <f>IF(AND($M1532=1,对接源_02物料!$D332="原料入库"),1,0)</f>
        <v>0</v>
      </c>
      <c r="AA1532">
        <f>N(AA1531)+$Z1532</f>
        <v>24</v>
      </c>
      <c r="AB1532">
        <f>IF(AND($M1532=1,LEFT(对接源_02物料!$D332,4)="原料出库"),1,0)</f>
        <v>0</v>
      </c>
      <c r="AC1532">
        <f>N(AC1531)+$AB1532</f>
        <v>0</v>
      </c>
      <c r="AD1532">
        <f>IF(AND($M1532=1,LEFT(对接源_02物料!$D332,4)="成品出库"),1,0)</f>
        <v>0</v>
      </c>
      <c r="AE1532">
        <f>N(AE1531)+$AD1532</f>
        <v>0</v>
      </c>
      <c r="AF1532">
        <f>IF(AND($N1532=1,AND(LEFT(对接源_02物料!$D332,4)="包装物料",N(对接源_02物料!$K332)&lt;&gt;0)),1,0)</f>
        <v>0</v>
      </c>
      <c r="AG1532">
        <f>N(AG1531)+$AF1532</f>
        <v>10</v>
      </c>
      <c r="AH1532">
        <f>IF(AND($N1532=1,AND(对接源_02物料!$D332="周转筐－销售出库",N(对接源_02物料!$K332)&lt;&gt;0)),1,0)</f>
        <v>0</v>
      </c>
      <c r="AI1532">
        <f>N(AI1531)+$AH1532</f>
        <v>0</v>
      </c>
      <c r="AL1532" t="n">
        <v>0</v>
      </c>
      <c r="AM1532">
        <f>N(AM1531)+$AL1532</f>
        <v>2</v>
      </c>
      <c r="AN1532">
        <f>""</f>
      </c>
      <c r="AO1532" t="n">
        <v>0</v>
      </c>
      <c r="AP1532">
        <f>N(AP1531)+$AO1532</f>
        <v>13</v>
      </c>
      <c r="AR1532">
        <f>IF(OR($AF1532=1,$AH1532=1),1,0)</f>
        <v>0</v>
      </c>
      <c r="AS1532">
        <f>N(AS1531)+$AR1532</f>
        <v>10</v>
      </c>
    </row>
    <row r="1533" s="127">
      <c r="A1533">
        <f>IF(对接源_02物料!$C333="","",对接源_02物料!$C333)</f>
      </c>
      <c r="B1533">
        <f>IF(A1533="",0,IF(MATCH(A1533,$A$4:$A$2403,0)=ROW()-3,1,0))</f>
        <v>0</v>
      </c>
      <c r="C1533">
        <f>N(C1532)+B1533</f>
        <v>26</v>
      </c>
      <c r="K1533">
        <f>IF(OR($K$1="",对接源_02物料!$C333="",对接源_02物料!$C333&lt;&gt;$K$1,对接源_02物料!$B333=""),0,IF(OR(N(对接源_02物料!$B333)&lt;$K$2,N(对接源_02物料!$B333)&gt;$K$3),0,1))</f>
        <v>0</v>
      </c>
      <c r="L1533">
        <f>IF(OR($L$1="",对接源_02物料!$C333="",对接源_02物料!$C333&lt;&gt;$L$1,对接源_02物料!$B333=""),0,IF(OR(N(对接源_02物料!$B333)&lt;$L$2,N(对接源_02物料!$B333)&gt;$L$3),0,1))</f>
        <v>0</v>
      </c>
      <c r="M1533">
        <f>IF(OR($M$1="",对接源_02物料!$C333="",对接源_02物料!$C333&lt;&gt;$M$1,对接源_02物料!$B333=""),0,IF(OR(N(对接源_02物料!$B333)&lt;$M$2,N(对接源_02物料!$B333)&gt;$M$3),0,1))</f>
        <v>0</v>
      </c>
      <c r="N1533">
        <f>IF(OR($N$1="",对接源_02物料!$C333="",对接源_02物料!$C333&lt;&gt;$N$1,对接源_02物料!$B333=""),0,IF(OR(N(对接源_02物料!$B333)&lt;$N$2,N(对接源_02物料!$B333)&gt;$N$3),0,1))</f>
        <v>0</v>
      </c>
      <c r="P1533">
        <f>IF(AND($K1533=1,AND(对接源_02物料!$X333="公司筐",N(对接源_02物料!$T333)&lt;&gt;0)),1,0)</f>
        <v>0</v>
      </c>
      <c r="Q1533">
        <f>N(Q1532)+$P1533</f>
        <v>14</v>
      </c>
      <c r="R1533">
        <f>IF(AND($K1533=1,AND(对接源_02物料!$X333="公司筐",N(对接源_02物料!$U333)&lt;&gt;0)),1,0)</f>
        <v>0</v>
      </c>
      <c r="S1533">
        <f>N(S1532)+$R1533</f>
        <v>1</v>
      </c>
      <c r="T1533">
        <f>IF(AND($K1533=1,AND(对接源_02物料!$X333="公司筐",N(对接源_02物料!$V333)&lt;&gt;0)),1,0)</f>
        <v>0</v>
      </c>
      <c r="U1533">
        <f>N(U1532)+$T1533</f>
        <v>47</v>
      </c>
      <c r="V1533">
        <f>IF(AND($L1533=1,AND(对接源_02物料!$X333="自备筐",N(对接源_02物料!$V333)&lt;&gt;0)),1,0)</f>
        <v>0</v>
      </c>
      <c r="W1533">
        <f>N(W1532)+$V1533</f>
        <v>11</v>
      </c>
      <c r="X1533">
        <f>IF(AND($L1533=1,AND(对接源_02物料!$X333="自备筐",N(对接源_02物料!$T333)&lt;&gt;0)),1,0)</f>
        <v>0</v>
      </c>
      <c r="Y1533">
        <f>N(Y1532)+$X1533</f>
        <v>0</v>
      </c>
      <c r="Z1533">
        <f>IF(AND($M1533=1,对接源_02物料!$D333="原料入库"),1,0)</f>
        <v>0</v>
      </c>
      <c r="AA1533">
        <f>N(AA1532)+$Z1533</f>
        <v>24</v>
      </c>
      <c r="AB1533">
        <f>IF(AND($M1533=1,LEFT(对接源_02物料!$D333,4)="原料出库"),1,0)</f>
        <v>0</v>
      </c>
      <c r="AC1533">
        <f>N(AC1532)+$AB1533</f>
        <v>0</v>
      </c>
      <c r="AD1533">
        <f>IF(AND($M1533=1,LEFT(对接源_02物料!$D333,4)="成品出库"),1,0)</f>
        <v>0</v>
      </c>
      <c r="AE1533">
        <f>N(AE1532)+$AD1533</f>
        <v>0</v>
      </c>
      <c r="AF1533">
        <f>IF(AND($N1533=1,AND(LEFT(对接源_02物料!$D333,4)="包装物料",N(对接源_02物料!$K333)&lt;&gt;0)),1,0)</f>
        <v>0</v>
      </c>
      <c r="AG1533">
        <f>N(AG1532)+$AF1533</f>
        <v>10</v>
      </c>
      <c r="AH1533">
        <f>IF(AND($N1533=1,AND(对接源_02物料!$D333="周转筐－销售出库",N(对接源_02物料!$K333)&lt;&gt;0)),1,0)</f>
        <v>0</v>
      </c>
      <c r="AI1533">
        <f>N(AI1532)+$AH1533</f>
        <v>0</v>
      </c>
      <c r="AL1533" t="n">
        <v>0</v>
      </c>
      <c r="AM1533">
        <f>N(AM1532)+$AL1533</f>
        <v>2</v>
      </c>
      <c r="AN1533">
        <f>""</f>
      </c>
      <c r="AO1533" t="n">
        <v>0</v>
      </c>
      <c r="AP1533">
        <f>N(AP1532)+$AO1533</f>
        <v>13</v>
      </c>
      <c r="AR1533">
        <f>IF(OR($AF1533=1,$AH1533=1),1,0)</f>
        <v>0</v>
      </c>
      <c r="AS1533">
        <f>N(AS1532)+$AR1533</f>
        <v>10</v>
      </c>
    </row>
    <row r="1534" s="127">
      <c r="A1534">
        <f>IF(对接源_02物料!$C334="","",对接源_02物料!$C334)</f>
      </c>
      <c r="B1534">
        <f>IF(A1534="",0,IF(MATCH(A1534,$A$4:$A$2403,0)=ROW()-3,1,0))</f>
        <v>0</v>
      </c>
      <c r="C1534">
        <f>N(C1533)+B1534</f>
        <v>26</v>
      </c>
      <c r="K1534">
        <f>IF(OR($K$1="",对接源_02物料!$C334="",对接源_02物料!$C334&lt;&gt;$K$1,对接源_02物料!$B334=""),0,IF(OR(N(对接源_02物料!$B334)&lt;$K$2,N(对接源_02物料!$B334)&gt;$K$3),0,1))</f>
        <v>0</v>
      </c>
      <c r="L1534">
        <f>IF(OR($L$1="",对接源_02物料!$C334="",对接源_02物料!$C334&lt;&gt;$L$1,对接源_02物料!$B334=""),0,IF(OR(N(对接源_02物料!$B334)&lt;$L$2,N(对接源_02物料!$B334)&gt;$L$3),0,1))</f>
        <v>0</v>
      </c>
      <c r="M1534">
        <f>IF(OR($M$1="",对接源_02物料!$C334="",对接源_02物料!$C334&lt;&gt;$M$1,对接源_02物料!$B334=""),0,IF(OR(N(对接源_02物料!$B334)&lt;$M$2,N(对接源_02物料!$B334)&gt;$M$3),0,1))</f>
        <v>0</v>
      </c>
      <c r="N1534">
        <f>IF(OR($N$1="",对接源_02物料!$C334="",对接源_02物料!$C334&lt;&gt;$N$1,对接源_02物料!$B334=""),0,IF(OR(N(对接源_02物料!$B334)&lt;$N$2,N(对接源_02物料!$B334)&gt;$N$3),0,1))</f>
        <v>0</v>
      </c>
      <c r="P1534">
        <f>IF(AND($K1534=1,AND(对接源_02物料!$X334="公司筐",N(对接源_02物料!$T334)&lt;&gt;0)),1,0)</f>
        <v>0</v>
      </c>
      <c r="Q1534">
        <f>N(Q1533)+$P1534</f>
        <v>14</v>
      </c>
      <c r="R1534">
        <f>IF(AND($K1534=1,AND(对接源_02物料!$X334="公司筐",N(对接源_02物料!$U334)&lt;&gt;0)),1,0)</f>
        <v>0</v>
      </c>
      <c r="S1534">
        <f>N(S1533)+$R1534</f>
        <v>1</v>
      </c>
      <c r="T1534">
        <f>IF(AND($K1534=1,AND(对接源_02物料!$X334="公司筐",N(对接源_02物料!$V334)&lt;&gt;0)),1,0)</f>
        <v>0</v>
      </c>
      <c r="U1534">
        <f>N(U1533)+$T1534</f>
        <v>47</v>
      </c>
      <c r="V1534">
        <f>IF(AND($L1534=1,AND(对接源_02物料!$X334="自备筐",N(对接源_02物料!$V334)&lt;&gt;0)),1,0)</f>
        <v>0</v>
      </c>
      <c r="W1534">
        <f>N(W1533)+$V1534</f>
        <v>11</v>
      </c>
      <c r="X1534">
        <f>IF(AND($L1534=1,AND(对接源_02物料!$X334="自备筐",N(对接源_02物料!$T334)&lt;&gt;0)),1,0)</f>
        <v>0</v>
      </c>
      <c r="Y1534">
        <f>N(Y1533)+$X1534</f>
        <v>0</v>
      </c>
      <c r="Z1534">
        <f>IF(AND($M1534=1,对接源_02物料!$D334="原料入库"),1,0)</f>
        <v>0</v>
      </c>
      <c r="AA1534">
        <f>N(AA1533)+$Z1534</f>
        <v>24</v>
      </c>
      <c r="AB1534">
        <f>IF(AND($M1534=1,LEFT(对接源_02物料!$D334,4)="原料出库"),1,0)</f>
        <v>0</v>
      </c>
      <c r="AC1534">
        <f>N(AC1533)+$AB1534</f>
        <v>0</v>
      </c>
      <c r="AD1534">
        <f>IF(AND($M1534=1,LEFT(对接源_02物料!$D334,4)="成品出库"),1,0)</f>
        <v>0</v>
      </c>
      <c r="AE1534">
        <f>N(AE1533)+$AD1534</f>
        <v>0</v>
      </c>
      <c r="AF1534">
        <f>IF(AND($N1534=1,AND(LEFT(对接源_02物料!$D334,4)="包装物料",N(对接源_02物料!$K334)&lt;&gt;0)),1,0)</f>
        <v>0</v>
      </c>
      <c r="AG1534">
        <f>N(AG1533)+$AF1534</f>
        <v>10</v>
      </c>
      <c r="AH1534">
        <f>IF(AND($N1534=1,AND(对接源_02物料!$D334="周转筐－销售出库",N(对接源_02物料!$K334)&lt;&gt;0)),1,0)</f>
        <v>0</v>
      </c>
      <c r="AI1534">
        <f>N(AI1533)+$AH1534</f>
        <v>0</v>
      </c>
      <c r="AL1534" t="n">
        <v>0</v>
      </c>
      <c r="AM1534">
        <f>N(AM1533)+$AL1534</f>
        <v>2</v>
      </c>
      <c r="AN1534">
        <f>""</f>
      </c>
      <c r="AO1534" t="n">
        <v>0</v>
      </c>
      <c r="AP1534">
        <f>N(AP1533)+$AO1534</f>
        <v>13</v>
      </c>
      <c r="AR1534">
        <f>IF(OR($AF1534=1,$AH1534=1),1,0)</f>
        <v>0</v>
      </c>
      <c r="AS1534">
        <f>N(AS1533)+$AR1534</f>
        <v>10</v>
      </c>
    </row>
    <row r="1535" s="127">
      <c r="A1535">
        <f>IF(对接源_02物料!$C335="","",对接源_02物料!$C335)</f>
      </c>
      <c r="B1535">
        <f>IF(A1535="",0,IF(MATCH(A1535,$A$4:$A$2403,0)=ROW()-3,1,0))</f>
        <v>0</v>
      </c>
      <c r="C1535">
        <f>N(C1534)+B1535</f>
        <v>26</v>
      </c>
      <c r="K1535">
        <f>IF(OR($K$1="",对接源_02物料!$C335="",对接源_02物料!$C335&lt;&gt;$K$1,对接源_02物料!$B335=""),0,IF(OR(N(对接源_02物料!$B335)&lt;$K$2,N(对接源_02物料!$B335)&gt;$K$3),0,1))</f>
        <v>0</v>
      </c>
      <c r="L1535">
        <f>IF(OR($L$1="",对接源_02物料!$C335="",对接源_02物料!$C335&lt;&gt;$L$1,对接源_02物料!$B335=""),0,IF(OR(N(对接源_02物料!$B335)&lt;$L$2,N(对接源_02物料!$B335)&gt;$L$3),0,1))</f>
        <v>0</v>
      </c>
      <c r="M1535">
        <f>IF(OR($M$1="",对接源_02物料!$C335="",对接源_02物料!$C335&lt;&gt;$M$1,对接源_02物料!$B335=""),0,IF(OR(N(对接源_02物料!$B335)&lt;$M$2,N(对接源_02物料!$B335)&gt;$M$3),0,1))</f>
        <v>0</v>
      </c>
      <c r="N1535">
        <f>IF(OR($N$1="",对接源_02物料!$C335="",对接源_02物料!$C335&lt;&gt;$N$1,对接源_02物料!$B335=""),0,IF(OR(N(对接源_02物料!$B335)&lt;$N$2,N(对接源_02物料!$B335)&gt;$N$3),0,1))</f>
        <v>0</v>
      </c>
      <c r="P1535">
        <f>IF(AND($K1535=1,AND(对接源_02物料!$X335="公司筐",N(对接源_02物料!$T335)&lt;&gt;0)),1,0)</f>
        <v>0</v>
      </c>
      <c r="Q1535">
        <f>N(Q1534)+$P1535</f>
        <v>14</v>
      </c>
      <c r="R1535">
        <f>IF(AND($K1535=1,AND(对接源_02物料!$X335="公司筐",N(对接源_02物料!$U335)&lt;&gt;0)),1,0)</f>
        <v>0</v>
      </c>
      <c r="S1535">
        <f>N(S1534)+$R1535</f>
        <v>1</v>
      </c>
      <c r="T1535">
        <f>IF(AND($K1535=1,AND(对接源_02物料!$X335="公司筐",N(对接源_02物料!$V335)&lt;&gt;0)),1,0)</f>
        <v>0</v>
      </c>
      <c r="U1535">
        <f>N(U1534)+$T1535</f>
        <v>47</v>
      </c>
      <c r="V1535">
        <f>IF(AND($L1535=1,AND(对接源_02物料!$X335="自备筐",N(对接源_02物料!$V335)&lt;&gt;0)),1,0)</f>
        <v>0</v>
      </c>
      <c r="W1535">
        <f>N(W1534)+$V1535</f>
        <v>11</v>
      </c>
      <c r="X1535">
        <f>IF(AND($L1535=1,AND(对接源_02物料!$X335="自备筐",N(对接源_02物料!$T335)&lt;&gt;0)),1,0)</f>
        <v>0</v>
      </c>
      <c r="Y1535">
        <f>N(Y1534)+$X1535</f>
        <v>0</v>
      </c>
      <c r="Z1535">
        <f>IF(AND($M1535=1,对接源_02物料!$D335="原料入库"),1,0)</f>
        <v>0</v>
      </c>
      <c r="AA1535">
        <f>N(AA1534)+$Z1535</f>
        <v>24</v>
      </c>
      <c r="AB1535">
        <f>IF(AND($M1535=1,LEFT(对接源_02物料!$D335,4)="原料出库"),1,0)</f>
        <v>0</v>
      </c>
      <c r="AC1535">
        <f>N(AC1534)+$AB1535</f>
        <v>0</v>
      </c>
      <c r="AD1535">
        <f>IF(AND($M1535=1,LEFT(对接源_02物料!$D335,4)="成品出库"),1,0)</f>
        <v>0</v>
      </c>
      <c r="AE1535">
        <f>N(AE1534)+$AD1535</f>
        <v>0</v>
      </c>
      <c r="AF1535">
        <f>IF(AND($N1535=1,AND(LEFT(对接源_02物料!$D335,4)="包装物料",N(对接源_02物料!$K335)&lt;&gt;0)),1,0)</f>
        <v>0</v>
      </c>
      <c r="AG1535">
        <f>N(AG1534)+$AF1535</f>
        <v>10</v>
      </c>
      <c r="AH1535">
        <f>IF(AND($N1535=1,AND(对接源_02物料!$D335="周转筐－销售出库",N(对接源_02物料!$K335)&lt;&gt;0)),1,0)</f>
        <v>0</v>
      </c>
      <c r="AI1535">
        <f>N(AI1534)+$AH1535</f>
        <v>0</v>
      </c>
      <c r="AL1535" t="n">
        <v>0</v>
      </c>
      <c r="AM1535">
        <f>N(AM1534)+$AL1535</f>
        <v>2</v>
      </c>
      <c r="AN1535">
        <f>""</f>
      </c>
      <c r="AO1535" t="n">
        <v>0</v>
      </c>
      <c r="AP1535">
        <f>N(AP1534)+$AO1535</f>
        <v>13</v>
      </c>
      <c r="AR1535">
        <f>IF(OR($AF1535=1,$AH1535=1),1,0)</f>
        <v>0</v>
      </c>
      <c r="AS1535">
        <f>N(AS1534)+$AR1535</f>
        <v>10</v>
      </c>
    </row>
    <row r="1536" s="127">
      <c r="A1536">
        <f>IF(对接源_02物料!$C336="","",对接源_02物料!$C336)</f>
      </c>
      <c r="B1536">
        <f>IF(A1536="",0,IF(MATCH(A1536,$A$4:$A$2403,0)=ROW()-3,1,0))</f>
        <v>0</v>
      </c>
      <c r="C1536">
        <f>N(C1535)+B1536</f>
        <v>26</v>
      </c>
      <c r="K1536">
        <f>IF(OR($K$1="",对接源_02物料!$C336="",对接源_02物料!$C336&lt;&gt;$K$1,对接源_02物料!$B336=""),0,IF(OR(N(对接源_02物料!$B336)&lt;$K$2,N(对接源_02物料!$B336)&gt;$K$3),0,1))</f>
        <v>0</v>
      </c>
      <c r="L1536">
        <f>IF(OR($L$1="",对接源_02物料!$C336="",对接源_02物料!$C336&lt;&gt;$L$1,对接源_02物料!$B336=""),0,IF(OR(N(对接源_02物料!$B336)&lt;$L$2,N(对接源_02物料!$B336)&gt;$L$3),0,1))</f>
        <v>0</v>
      </c>
      <c r="M1536">
        <f>IF(OR($M$1="",对接源_02物料!$C336="",对接源_02物料!$C336&lt;&gt;$M$1,对接源_02物料!$B336=""),0,IF(OR(N(对接源_02物料!$B336)&lt;$M$2,N(对接源_02物料!$B336)&gt;$M$3),0,1))</f>
        <v>0</v>
      </c>
      <c r="N1536">
        <f>IF(OR($N$1="",对接源_02物料!$C336="",对接源_02物料!$C336&lt;&gt;$N$1,对接源_02物料!$B336=""),0,IF(OR(N(对接源_02物料!$B336)&lt;$N$2,N(对接源_02物料!$B336)&gt;$N$3),0,1))</f>
        <v>0</v>
      </c>
      <c r="P1536">
        <f>IF(AND($K1536=1,AND(对接源_02物料!$X336="公司筐",N(对接源_02物料!$T336)&lt;&gt;0)),1,0)</f>
        <v>0</v>
      </c>
      <c r="Q1536">
        <f>N(Q1535)+$P1536</f>
        <v>14</v>
      </c>
      <c r="R1536">
        <f>IF(AND($K1536=1,AND(对接源_02物料!$X336="公司筐",N(对接源_02物料!$U336)&lt;&gt;0)),1,0)</f>
        <v>0</v>
      </c>
      <c r="S1536">
        <f>N(S1535)+$R1536</f>
        <v>1</v>
      </c>
      <c r="T1536">
        <f>IF(AND($K1536=1,AND(对接源_02物料!$X336="公司筐",N(对接源_02物料!$V336)&lt;&gt;0)),1,0)</f>
        <v>0</v>
      </c>
      <c r="U1536">
        <f>N(U1535)+$T1536</f>
        <v>47</v>
      </c>
      <c r="V1536">
        <f>IF(AND($L1536=1,AND(对接源_02物料!$X336="自备筐",N(对接源_02物料!$V336)&lt;&gt;0)),1,0)</f>
        <v>0</v>
      </c>
      <c r="W1536">
        <f>N(W1535)+$V1536</f>
        <v>11</v>
      </c>
      <c r="X1536">
        <f>IF(AND($L1536=1,AND(对接源_02物料!$X336="自备筐",N(对接源_02物料!$T336)&lt;&gt;0)),1,0)</f>
        <v>0</v>
      </c>
      <c r="Y1536">
        <f>N(Y1535)+$X1536</f>
        <v>0</v>
      </c>
      <c r="Z1536">
        <f>IF(AND($M1536=1,对接源_02物料!$D336="原料入库"),1,0)</f>
        <v>0</v>
      </c>
      <c r="AA1536">
        <f>N(AA1535)+$Z1536</f>
        <v>24</v>
      </c>
      <c r="AB1536">
        <f>IF(AND($M1536=1,LEFT(对接源_02物料!$D336,4)="原料出库"),1,0)</f>
        <v>0</v>
      </c>
      <c r="AC1536">
        <f>N(AC1535)+$AB1536</f>
        <v>0</v>
      </c>
      <c r="AD1536">
        <f>IF(AND($M1536=1,LEFT(对接源_02物料!$D336,4)="成品出库"),1,0)</f>
        <v>0</v>
      </c>
      <c r="AE1536">
        <f>N(AE1535)+$AD1536</f>
        <v>0</v>
      </c>
      <c r="AF1536">
        <f>IF(AND($N1536=1,AND(LEFT(对接源_02物料!$D336,4)="包装物料",N(对接源_02物料!$K336)&lt;&gt;0)),1,0)</f>
        <v>0</v>
      </c>
      <c r="AG1536">
        <f>N(AG1535)+$AF1536</f>
        <v>10</v>
      </c>
      <c r="AH1536">
        <f>IF(AND($N1536=1,AND(对接源_02物料!$D336="周转筐－销售出库",N(对接源_02物料!$K336)&lt;&gt;0)),1,0)</f>
        <v>0</v>
      </c>
      <c r="AI1536">
        <f>N(AI1535)+$AH1536</f>
        <v>0</v>
      </c>
      <c r="AL1536" t="n">
        <v>0</v>
      </c>
      <c r="AM1536">
        <f>N(AM1535)+$AL1536</f>
        <v>2</v>
      </c>
      <c r="AN1536">
        <f>""</f>
      </c>
      <c r="AO1536" t="n">
        <v>0</v>
      </c>
      <c r="AP1536">
        <f>N(AP1535)+$AO1536</f>
        <v>13</v>
      </c>
      <c r="AR1536">
        <f>IF(OR($AF1536=1,$AH1536=1),1,0)</f>
        <v>0</v>
      </c>
      <c r="AS1536">
        <f>N(AS1535)+$AR1536</f>
        <v>10</v>
      </c>
    </row>
    <row r="1537" s="127">
      <c r="A1537">
        <f>IF(对接源_02物料!$C337="","",对接源_02物料!$C337)</f>
      </c>
      <c r="B1537">
        <f>IF(A1537="",0,IF(MATCH(A1537,$A$4:$A$2403,0)=ROW()-3,1,0))</f>
        <v>0</v>
      </c>
      <c r="C1537">
        <f>N(C1536)+B1537</f>
        <v>26</v>
      </c>
      <c r="K1537">
        <f>IF(OR($K$1="",对接源_02物料!$C337="",对接源_02物料!$C337&lt;&gt;$K$1,对接源_02物料!$B337=""),0,IF(OR(N(对接源_02物料!$B337)&lt;$K$2,N(对接源_02物料!$B337)&gt;$K$3),0,1))</f>
        <v>0</v>
      </c>
      <c r="L1537">
        <f>IF(OR($L$1="",对接源_02物料!$C337="",对接源_02物料!$C337&lt;&gt;$L$1,对接源_02物料!$B337=""),0,IF(OR(N(对接源_02物料!$B337)&lt;$L$2,N(对接源_02物料!$B337)&gt;$L$3),0,1))</f>
        <v>0</v>
      </c>
      <c r="M1537">
        <f>IF(OR($M$1="",对接源_02物料!$C337="",对接源_02物料!$C337&lt;&gt;$M$1,对接源_02物料!$B337=""),0,IF(OR(N(对接源_02物料!$B337)&lt;$M$2,N(对接源_02物料!$B337)&gt;$M$3),0,1))</f>
        <v>0</v>
      </c>
      <c r="N1537">
        <f>IF(OR($N$1="",对接源_02物料!$C337="",对接源_02物料!$C337&lt;&gt;$N$1,对接源_02物料!$B337=""),0,IF(OR(N(对接源_02物料!$B337)&lt;$N$2,N(对接源_02物料!$B337)&gt;$N$3),0,1))</f>
        <v>0</v>
      </c>
      <c r="P1537">
        <f>IF(AND($K1537=1,AND(对接源_02物料!$X337="公司筐",N(对接源_02物料!$T337)&lt;&gt;0)),1,0)</f>
        <v>0</v>
      </c>
      <c r="Q1537">
        <f>N(Q1536)+$P1537</f>
        <v>14</v>
      </c>
      <c r="R1537">
        <f>IF(AND($K1537=1,AND(对接源_02物料!$X337="公司筐",N(对接源_02物料!$U337)&lt;&gt;0)),1,0)</f>
        <v>0</v>
      </c>
      <c r="S1537">
        <f>N(S1536)+$R1537</f>
        <v>1</v>
      </c>
      <c r="T1537">
        <f>IF(AND($K1537=1,AND(对接源_02物料!$X337="公司筐",N(对接源_02物料!$V337)&lt;&gt;0)),1,0)</f>
        <v>0</v>
      </c>
      <c r="U1537">
        <f>N(U1536)+$T1537</f>
        <v>47</v>
      </c>
      <c r="V1537">
        <f>IF(AND($L1537=1,AND(对接源_02物料!$X337="自备筐",N(对接源_02物料!$V337)&lt;&gt;0)),1,0)</f>
        <v>0</v>
      </c>
      <c r="W1537">
        <f>N(W1536)+$V1537</f>
        <v>11</v>
      </c>
      <c r="X1537">
        <f>IF(AND($L1537=1,AND(对接源_02物料!$X337="自备筐",N(对接源_02物料!$T337)&lt;&gt;0)),1,0)</f>
        <v>0</v>
      </c>
      <c r="Y1537">
        <f>N(Y1536)+$X1537</f>
        <v>0</v>
      </c>
      <c r="Z1537">
        <f>IF(AND($M1537=1,对接源_02物料!$D337="原料入库"),1,0)</f>
        <v>0</v>
      </c>
      <c r="AA1537">
        <f>N(AA1536)+$Z1537</f>
        <v>24</v>
      </c>
      <c r="AB1537">
        <f>IF(AND($M1537=1,LEFT(对接源_02物料!$D337,4)="原料出库"),1,0)</f>
        <v>0</v>
      </c>
      <c r="AC1537">
        <f>N(AC1536)+$AB1537</f>
        <v>0</v>
      </c>
      <c r="AD1537">
        <f>IF(AND($M1537=1,LEFT(对接源_02物料!$D337,4)="成品出库"),1,0)</f>
        <v>0</v>
      </c>
      <c r="AE1537">
        <f>N(AE1536)+$AD1537</f>
        <v>0</v>
      </c>
      <c r="AF1537">
        <f>IF(AND($N1537=1,AND(LEFT(对接源_02物料!$D337,4)="包装物料",N(对接源_02物料!$K337)&lt;&gt;0)),1,0)</f>
        <v>0</v>
      </c>
      <c r="AG1537">
        <f>N(AG1536)+$AF1537</f>
        <v>10</v>
      </c>
      <c r="AH1537">
        <f>IF(AND($N1537=1,AND(对接源_02物料!$D337="周转筐－销售出库",N(对接源_02物料!$K337)&lt;&gt;0)),1,0)</f>
        <v>0</v>
      </c>
      <c r="AI1537">
        <f>N(AI1536)+$AH1537</f>
        <v>0</v>
      </c>
      <c r="AL1537" t="n">
        <v>0</v>
      </c>
      <c r="AM1537">
        <f>N(AM1536)+$AL1537</f>
        <v>2</v>
      </c>
      <c r="AN1537">
        <f>""</f>
      </c>
      <c r="AO1537" t="n">
        <v>0</v>
      </c>
      <c r="AP1537">
        <f>N(AP1536)+$AO1537</f>
        <v>13</v>
      </c>
      <c r="AR1537">
        <f>IF(OR($AF1537=1,$AH1537=1),1,0)</f>
        <v>0</v>
      </c>
      <c r="AS1537">
        <f>N(AS1536)+$AR1537</f>
        <v>10</v>
      </c>
    </row>
    <row r="1538" s="127">
      <c r="A1538">
        <f>IF(对接源_02物料!$C338="","",对接源_02物料!$C338)</f>
      </c>
      <c r="B1538">
        <f>IF(A1538="",0,IF(MATCH(A1538,$A$4:$A$2403,0)=ROW()-3,1,0))</f>
        <v>0</v>
      </c>
      <c r="C1538">
        <f>N(C1537)+B1538</f>
        <v>26</v>
      </c>
      <c r="K1538">
        <f>IF(OR($K$1="",对接源_02物料!$C338="",对接源_02物料!$C338&lt;&gt;$K$1,对接源_02物料!$B338=""),0,IF(OR(N(对接源_02物料!$B338)&lt;$K$2,N(对接源_02物料!$B338)&gt;$K$3),0,1))</f>
        <v>0</v>
      </c>
      <c r="L1538">
        <f>IF(OR($L$1="",对接源_02物料!$C338="",对接源_02物料!$C338&lt;&gt;$L$1,对接源_02物料!$B338=""),0,IF(OR(N(对接源_02物料!$B338)&lt;$L$2,N(对接源_02物料!$B338)&gt;$L$3),0,1))</f>
        <v>0</v>
      </c>
      <c r="M1538">
        <f>IF(OR($M$1="",对接源_02物料!$C338="",对接源_02物料!$C338&lt;&gt;$M$1,对接源_02物料!$B338=""),0,IF(OR(N(对接源_02物料!$B338)&lt;$M$2,N(对接源_02物料!$B338)&gt;$M$3),0,1))</f>
        <v>0</v>
      </c>
      <c r="N1538">
        <f>IF(OR($N$1="",对接源_02物料!$C338="",对接源_02物料!$C338&lt;&gt;$N$1,对接源_02物料!$B338=""),0,IF(OR(N(对接源_02物料!$B338)&lt;$N$2,N(对接源_02物料!$B338)&gt;$N$3),0,1))</f>
        <v>0</v>
      </c>
      <c r="P1538">
        <f>IF(AND($K1538=1,AND(对接源_02物料!$X338="公司筐",N(对接源_02物料!$T338)&lt;&gt;0)),1,0)</f>
        <v>0</v>
      </c>
      <c r="Q1538">
        <f>N(Q1537)+$P1538</f>
        <v>14</v>
      </c>
      <c r="R1538">
        <f>IF(AND($K1538=1,AND(对接源_02物料!$X338="公司筐",N(对接源_02物料!$U338)&lt;&gt;0)),1,0)</f>
        <v>0</v>
      </c>
      <c r="S1538">
        <f>N(S1537)+$R1538</f>
        <v>1</v>
      </c>
      <c r="T1538">
        <f>IF(AND($K1538=1,AND(对接源_02物料!$X338="公司筐",N(对接源_02物料!$V338)&lt;&gt;0)),1,0)</f>
        <v>0</v>
      </c>
      <c r="U1538">
        <f>N(U1537)+$T1538</f>
        <v>47</v>
      </c>
      <c r="V1538">
        <f>IF(AND($L1538=1,AND(对接源_02物料!$X338="自备筐",N(对接源_02物料!$V338)&lt;&gt;0)),1,0)</f>
        <v>0</v>
      </c>
      <c r="W1538">
        <f>N(W1537)+$V1538</f>
        <v>11</v>
      </c>
      <c r="X1538">
        <f>IF(AND($L1538=1,AND(对接源_02物料!$X338="自备筐",N(对接源_02物料!$T338)&lt;&gt;0)),1,0)</f>
        <v>0</v>
      </c>
      <c r="Y1538">
        <f>N(Y1537)+$X1538</f>
        <v>0</v>
      </c>
      <c r="Z1538">
        <f>IF(AND($M1538=1,对接源_02物料!$D338="原料入库"),1,0)</f>
        <v>0</v>
      </c>
      <c r="AA1538">
        <f>N(AA1537)+$Z1538</f>
        <v>24</v>
      </c>
      <c r="AB1538">
        <f>IF(AND($M1538=1,LEFT(对接源_02物料!$D338,4)="原料出库"),1,0)</f>
        <v>0</v>
      </c>
      <c r="AC1538">
        <f>N(AC1537)+$AB1538</f>
        <v>0</v>
      </c>
      <c r="AD1538">
        <f>IF(AND($M1538=1,LEFT(对接源_02物料!$D338,4)="成品出库"),1,0)</f>
        <v>0</v>
      </c>
      <c r="AE1538">
        <f>N(AE1537)+$AD1538</f>
        <v>0</v>
      </c>
      <c r="AF1538">
        <f>IF(AND($N1538=1,AND(LEFT(对接源_02物料!$D338,4)="包装物料",N(对接源_02物料!$K338)&lt;&gt;0)),1,0)</f>
        <v>0</v>
      </c>
      <c r="AG1538">
        <f>N(AG1537)+$AF1538</f>
        <v>10</v>
      </c>
      <c r="AH1538">
        <f>IF(AND($N1538=1,AND(对接源_02物料!$D338="周转筐－销售出库",N(对接源_02物料!$K338)&lt;&gt;0)),1,0)</f>
        <v>0</v>
      </c>
      <c r="AI1538">
        <f>N(AI1537)+$AH1538</f>
        <v>0</v>
      </c>
      <c r="AL1538" t="n">
        <v>0</v>
      </c>
      <c r="AM1538">
        <f>N(AM1537)+$AL1538</f>
        <v>2</v>
      </c>
      <c r="AN1538">
        <f>""</f>
      </c>
      <c r="AO1538" t="n">
        <v>0</v>
      </c>
      <c r="AP1538">
        <f>N(AP1537)+$AO1538</f>
        <v>13</v>
      </c>
      <c r="AR1538">
        <f>IF(OR($AF1538=1,$AH1538=1),1,0)</f>
        <v>0</v>
      </c>
      <c r="AS1538">
        <f>N(AS1537)+$AR1538</f>
        <v>10</v>
      </c>
    </row>
    <row r="1539" s="127">
      <c r="A1539">
        <f>IF(对接源_02物料!$C339="","",对接源_02物料!$C339)</f>
      </c>
      <c r="B1539">
        <f>IF(A1539="",0,IF(MATCH(A1539,$A$4:$A$2403,0)=ROW()-3,1,0))</f>
        <v>0</v>
      </c>
      <c r="C1539">
        <f>N(C1538)+B1539</f>
        <v>26</v>
      </c>
      <c r="K1539">
        <f>IF(OR($K$1="",对接源_02物料!$C339="",对接源_02物料!$C339&lt;&gt;$K$1,对接源_02物料!$B339=""),0,IF(OR(N(对接源_02物料!$B339)&lt;$K$2,N(对接源_02物料!$B339)&gt;$K$3),0,1))</f>
        <v>0</v>
      </c>
      <c r="L1539">
        <f>IF(OR($L$1="",对接源_02物料!$C339="",对接源_02物料!$C339&lt;&gt;$L$1,对接源_02物料!$B339=""),0,IF(OR(N(对接源_02物料!$B339)&lt;$L$2,N(对接源_02物料!$B339)&gt;$L$3),0,1))</f>
        <v>0</v>
      </c>
      <c r="M1539">
        <f>IF(OR($M$1="",对接源_02物料!$C339="",对接源_02物料!$C339&lt;&gt;$M$1,对接源_02物料!$B339=""),0,IF(OR(N(对接源_02物料!$B339)&lt;$M$2,N(对接源_02物料!$B339)&gt;$M$3),0,1))</f>
        <v>0</v>
      </c>
      <c r="N1539">
        <f>IF(OR($N$1="",对接源_02物料!$C339="",对接源_02物料!$C339&lt;&gt;$N$1,对接源_02物料!$B339=""),0,IF(OR(N(对接源_02物料!$B339)&lt;$N$2,N(对接源_02物料!$B339)&gt;$N$3),0,1))</f>
        <v>0</v>
      </c>
      <c r="P1539">
        <f>IF(AND($K1539=1,AND(对接源_02物料!$X339="公司筐",N(对接源_02物料!$T339)&lt;&gt;0)),1,0)</f>
        <v>0</v>
      </c>
      <c r="Q1539">
        <f>N(Q1538)+$P1539</f>
        <v>14</v>
      </c>
      <c r="R1539">
        <f>IF(AND($K1539=1,AND(对接源_02物料!$X339="公司筐",N(对接源_02物料!$U339)&lt;&gt;0)),1,0)</f>
        <v>0</v>
      </c>
      <c r="S1539">
        <f>N(S1538)+$R1539</f>
        <v>1</v>
      </c>
      <c r="T1539">
        <f>IF(AND($K1539=1,AND(对接源_02物料!$X339="公司筐",N(对接源_02物料!$V339)&lt;&gt;0)),1,0)</f>
        <v>0</v>
      </c>
      <c r="U1539">
        <f>N(U1538)+$T1539</f>
        <v>47</v>
      </c>
      <c r="V1539">
        <f>IF(AND($L1539=1,AND(对接源_02物料!$X339="自备筐",N(对接源_02物料!$V339)&lt;&gt;0)),1,0)</f>
        <v>0</v>
      </c>
      <c r="W1539">
        <f>N(W1538)+$V1539</f>
        <v>11</v>
      </c>
      <c r="X1539">
        <f>IF(AND($L1539=1,AND(对接源_02物料!$X339="自备筐",N(对接源_02物料!$T339)&lt;&gt;0)),1,0)</f>
        <v>0</v>
      </c>
      <c r="Y1539">
        <f>N(Y1538)+$X1539</f>
        <v>0</v>
      </c>
      <c r="Z1539">
        <f>IF(AND($M1539=1,对接源_02物料!$D339="原料入库"),1,0)</f>
        <v>0</v>
      </c>
      <c r="AA1539">
        <f>N(AA1538)+$Z1539</f>
        <v>24</v>
      </c>
      <c r="AB1539">
        <f>IF(AND($M1539=1,LEFT(对接源_02物料!$D339,4)="原料出库"),1,0)</f>
        <v>0</v>
      </c>
      <c r="AC1539">
        <f>N(AC1538)+$AB1539</f>
        <v>0</v>
      </c>
      <c r="AD1539">
        <f>IF(AND($M1539=1,LEFT(对接源_02物料!$D339,4)="成品出库"),1,0)</f>
        <v>0</v>
      </c>
      <c r="AE1539">
        <f>N(AE1538)+$AD1539</f>
        <v>0</v>
      </c>
      <c r="AF1539">
        <f>IF(AND($N1539=1,AND(LEFT(对接源_02物料!$D339,4)="包装物料",N(对接源_02物料!$K339)&lt;&gt;0)),1,0)</f>
        <v>0</v>
      </c>
      <c r="AG1539">
        <f>N(AG1538)+$AF1539</f>
        <v>10</v>
      </c>
      <c r="AH1539">
        <f>IF(AND($N1539=1,AND(对接源_02物料!$D339="周转筐－销售出库",N(对接源_02物料!$K339)&lt;&gt;0)),1,0)</f>
        <v>0</v>
      </c>
      <c r="AI1539">
        <f>N(AI1538)+$AH1539</f>
        <v>0</v>
      </c>
      <c r="AL1539" t="n">
        <v>0</v>
      </c>
      <c r="AM1539">
        <f>N(AM1538)+$AL1539</f>
        <v>2</v>
      </c>
      <c r="AN1539">
        <f>""</f>
      </c>
      <c r="AO1539" t="n">
        <v>0</v>
      </c>
      <c r="AP1539">
        <f>N(AP1538)+$AO1539</f>
        <v>13</v>
      </c>
      <c r="AR1539">
        <f>IF(OR($AF1539=1,$AH1539=1),1,0)</f>
        <v>0</v>
      </c>
      <c r="AS1539">
        <f>N(AS1538)+$AR1539</f>
        <v>10</v>
      </c>
    </row>
    <row r="1540" s="127">
      <c r="A1540">
        <f>IF(对接源_02物料!$C340="","",对接源_02物料!$C340)</f>
      </c>
      <c r="B1540">
        <f>IF(A1540="",0,IF(MATCH(A1540,$A$4:$A$2403,0)=ROW()-3,1,0))</f>
        <v>0</v>
      </c>
      <c r="C1540">
        <f>N(C1539)+B1540</f>
        <v>26</v>
      </c>
      <c r="K1540">
        <f>IF(OR($K$1="",对接源_02物料!$C340="",对接源_02物料!$C340&lt;&gt;$K$1,对接源_02物料!$B340=""),0,IF(OR(N(对接源_02物料!$B340)&lt;$K$2,N(对接源_02物料!$B340)&gt;$K$3),0,1))</f>
        <v>0</v>
      </c>
      <c r="L1540">
        <f>IF(OR($L$1="",对接源_02物料!$C340="",对接源_02物料!$C340&lt;&gt;$L$1,对接源_02物料!$B340=""),0,IF(OR(N(对接源_02物料!$B340)&lt;$L$2,N(对接源_02物料!$B340)&gt;$L$3),0,1))</f>
        <v>0</v>
      </c>
      <c r="M1540">
        <f>IF(OR($M$1="",对接源_02物料!$C340="",对接源_02物料!$C340&lt;&gt;$M$1,对接源_02物料!$B340=""),0,IF(OR(N(对接源_02物料!$B340)&lt;$M$2,N(对接源_02物料!$B340)&gt;$M$3),0,1))</f>
        <v>0</v>
      </c>
      <c r="N1540">
        <f>IF(OR($N$1="",对接源_02物料!$C340="",对接源_02物料!$C340&lt;&gt;$N$1,对接源_02物料!$B340=""),0,IF(OR(N(对接源_02物料!$B340)&lt;$N$2,N(对接源_02物料!$B340)&gt;$N$3),0,1))</f>
        <v>0</v>
      </c>
      <c r="P1540">
        <f>IF(AND($K1540=1,AND(对接源_02物料!$X340="公司筐",N(对接源_02物料!$T340)&lt;&gt;0)),1,0)</f>
        <v>0</v>
      </c>
      <c r="Q1540">
        <f>N(Q1539)+$P1540</f>
        <v>14</v>
      </c>
      <c r="R1540">
        <f>IF(AND($K1540=1,AND(对接源_02物料!$X340="公司筐",N(对接源_02物料!$U340)&lt;&gt;0)),1,0)</f>
        <v>0</v>
      </c>
      <c r="S1540">
        <f>N(S1539)+$R1540</f>
        <v>1</v>
      </c>
      <c r="T1540">
        <f>IF(AND($K1540=1,AND(对接源_02物料!$X340="公司筐",N(对接源_02物料!$V340)&lt;&gt;0)),1,0)</f>
        <v>0</v>
      </c>
      <c r="U1540">
        <f>N(U1539)+$T1540</f>
        <v>47</v>
      </c>
      <c r="V1540">
        <f>IF(AND($L1540=1,AND(对接源_02物料!$X340="自备筐",N(对接源_02物料!$V340)&lt;&gt;0)),1,0)</f>
        <v>0</v>
      </c>
      <c r="W1540">
        <f>N(W1539)+$V1540</f>
        <v>11</v>
      </c>
      <c r="X1540">
        <f>IF(AND($L1540=1,AND(对接源_02物料!$X340="自备筐",N(对接源_02物料!$T340)&lt;&gt;0)),1,0)</f>
        <v>0</v>
      </c>
      <c r="Y1540">
        <f>N(Y1539)+$X1540</f>
        <v>0</v>
      </c>
      <c r="Z1540">
        <f>IF(AND($M1540=1,对接源_02物料!$D340="原料入库"),1,0)</f>
        <v>0</v>
      </c>
      <c r="AA1540">
        <f>N(AA1539)+$Z1540</f>
        <v>24</v>
      </c>
      <c r="AB1540">
        <f>IF(AND($M1540=1,LEFT(对接源_02物料!$D340,4)="原料出库"),1,0)</f>
        <v>0</v>
      </c>
      <c r="AC1540">
        <f>N(AC1539)+$AB1540</f>
        <v>0</v>
      </c>
      <c r="AD1540">
        <f>IF(AND($M1540=1,LEFT(对接源_02物料!$D340,4)="成品出库"),1,0)</f>
        <v>0</v>
      </c>
      <c r="AE1540">
        <f>N(AE1539)+$AD1540</f>
        <v>0</v>
      </c>
      <c r="AF1540">
        <f>IF(AND($N1540=1,AND(LEFT(对接源_02物料!$D340,4)="包装物料",N(对接源_02物料!$K340)&lt;&gt;0)),1,0)</f>
        <v>0</v>
      </c>
      <c r="AG1540">
        <f>N(AG1539)+$AF1540</f>
        <v>10</v>
      </c>
      <c r="AH1540">
        <f>IF(AND($N1540=1,AND(对接源_02物料!$D340="周转筐－销售出库",N(对接源_02物料!$K340)&lt;&gt;0)),1,0)</f>
        <v>0</v>
      </c>
      <c r="AI1540">
        <f>N(AI1539)+$AH1540</f>
        <v>0</v>
      </c>
      <c r="AL1540" t="n">
        <v>0</v>
      </c>
      <c r="AM1540">
        <f>N(AM1539)+$AL1540</f>
        <v>2</v>
      </c>
      <c r="AN1540">
        <f>""</f>
      </c>
      <c r="AO1540" t="n">
        <v>0</v>
      </c>
      <c r="AP1540">
        <f>N(AP1539)+$AO1540</f>
        <v>13</v>
      </c>
      <c r="AR1540">
        <f>IF(OR($AF1540=1,$AH1540=1),1,0)</f>
        <v>0</v>
      </c>
      <c r="AS1540">
        <f>N(AS1539)+$AR1540</f>
        <v>10</v>
      </c>
    </row>
    <row r="1541" s="127">
      <c r="A1541">
        <f>IF(对接源_02物料!$C341="","",对接源_02物料!$C341)</f>
      </c>
      <c r="B1541">
        <f>IF(A1541="",0,IF(MATCH(A1541,$A$4:$A$2403,0)=ROW()-3,1,0))</f>
        <v>0</v>
      </c>
      <c r="C1541">
        <f>N(C1540)+B1541</f>
        <v>26</v>
      </c>
      <c r="K1541">
        <f>IF(OR($K$1="",对接源_02物料!$C341="",对接源_02物料!$C341&lt;&gt;$K$1,对接源_02物料!$B341=""),0,IF(OR(N(对接源_02物料!$B341)&lt;$K$2,N(对接源_02物料!$B341)&gt;$K$3),0,1))</f>
        <v>0</v>
      </c>
      <c r="L1541">
        <f>IF(OR($L$1="",对接源_02物料!$C341="",对接源_02物料!$C341&lt;&gt;$L$1,对接源_02物料!$B341=""),0,IF(OR(N(对接源_02物料!$B341)&lt;$L$2,N(对接源_02物料!$B341)&gt;$L$3),0,1))</f>
        <v>0</v>
      </c>
      <c r="M1541">
        <f>IF(OR($M$1="",对接源_02物料!$C341="",对接源_02物料!$C341&lt;&gt;$M$1,对接源_02物料!$B341=""),0,IF(OR(N(对接源_02物料!$B341)&lt;$M$2,N(对接源_02物料!$B341)&gt;$M$3),0,1))</f>
        <v>0</v>
      </c>
      <c r="N1541">
        <f>IF(OR($N$1="",对接源_02物料!$C341="",对接源_02物料!$C341&lt;&gt;$N$1,对接源_02物料!$B341=""),0,IF(OR(N(对接源_02物料!$B341)&lt;$N$2,N(对接源_02物料!$B341)&gt;$N$3),0,1))</f>
        <v>0</v>
      </c>
      <c r="P1541">
        <f>IF(AND($K1541=1,AND(对接源_02物料!$X341="公司筐",N(对接源_02物料!$T341)&lt;&gt;0)),1,0)</f>
        <v>0</v>
      </c>
      <c r="Q1541">
        <f>N(Q1540)+$P1541</f>
        <v>14</v>
      </c>
      <c r="R1541">
        <f>IF(AND($K1541=1,AND(对接源_02物料!$X341="公司筐",N(对接源_02物料!$U341)&lt;&gt;0)),1,0)</f>
        <v>0</v>
      </c>
      <c r="S1541">
        <f>N(S1540)+$R1541</f>
        <v>1</v>
      </c>
      <c r="T1541">
        <f>IF(AND($K1541=1,AND(对接源_02物料!$X341="公司筐",N(对接源_02物料!$V341)&lt;&gt;0)),1,0)</f>
        <v>0</v>
      </c>
      <c r="U1541">
        <f>N(U1540)+$T1541</f>
        <v>47</v>
      </c>
      <c r="V1541">
        <f>IF(AND($L1541=1,AND(对接源_02物料!$X341="自备筐",N(对接源_02物料!$V341)&lt;&gt;0)),1,0)</f>
        <v>0</v>
      </c>
      <c r="W1541">
        <f>N(W1540)+$V1541</f>
        <v>11</v>
      </c>
      <c r="X1541">
        <f>IF(AND($L1541=1,AND(对接源_02物料!$X341="自备筐",N(对接源_02物料!$T341)&lt;&gt;0)),1,0)</f>
        <v>0</v>
      </c>
      <c r="Y1541">
        <f>N(Y1540)+$X1541</f>
        <v>0</v>
      </c>
      <c r="Z1541">
        <f>IF(AND($M1541=1,对接源_02物料!$D341="原料入库"),1,0)</f>
        <v>0</v>
      </c>
      <c r="AA1541">
        <f>N(AA1540)+$Z1541</f>
        <v>24</v>
      </c>
      <c r="AB1541">
        <f>IF(AND($M1541=1,LEFT(对接源_02物料!$D341,4)="原料出库"),1,0)</f>
        <v>0</v>
      </c>
      <c r="AC1541">
        <f>N(AC1540)+$AB1541</f>
        <v>0</v>
      </c>
      <c r="AD1541">
        <f>IF(AND($M1541=1,LEFT(对接源_02物料!$D341,4)="成品出库"),1,0)</f>
        <v>0</v>
      </c>
      <c r="AE1541">
        <f>N(AE1540)+$AD1541</f>
        <v>0</v>
      </c>
      <c r="AF1541">
        <f>IF(AND($N1541=1,AND(LEFT(对接源_02物料!$D341,4)="包装物料",N(对接源_02物料!$K341)&lt;&gt;0)),1,0)</f>
        <v>0</v>
      </c>
      <c r="AG1541">
        <f>N(AG1540)+$AF1541</f>
        <v>10</v>
      </c>
      <c r="AH1541">
        <f>IF(AND($N1541=1,AND(对接源_02物料!$D341="周转筐－销售出库",N(对接源_02物料!$K341)&lt;&gt;0)),1,0)</f>
        <v>0</v>
      </c>
      <c r="AI1541">
        <f>N(AI1540)+$AH1541</f>
        <v>0</v>
      </c>
      <c r="AL1541" t="n">
        <v>0</v>
      </c>
      <c r="AM1541">
        <f>N(AM1540)+$AL1541</f>
        <v>2</v>
      </c>
      <c r="AN1541">
        <f>""</f>
      </c>
      <c r="AO1541" t="n">
        <v>0</v>
      </c>
      <c r="AP1541">
        <f>N(AP1540)+$AO1541</f>
        <v>13</v>
      </c>
      <c r="AR1541">
        <f>IF(OR($AF1541=1,$AH1541=1),1,0)</f>
        <v>0</v>
      </c>
      <c r="AS1541">
        <f>N(AS1540)+$AR1541</f>
        <v>10</v>
      </c>
    </row>
    <row r="1542" s="127">
      <c r="A1542">
        <f>IF(对接源_02物料!$C342="","",对接源_02物料!$C342)</f>
      </c>
      <c r="B1542">
        <f>IF(A1542="",0,IF(MATCH(A1542,$A$4:$A$2403,0)=ROW()-3,1,0))</f>
        <v>0</v>
      </c>
      <c r="C1542">
        <f>N(C1541)+B1542</f>
        <v>26</v>
      </c>
      <c r="K1542">
        <f>IF(OR($K$1="",对接源_02物料!$C342="",对接源_02物料!$C342&lt;&gt;$K$1,对接源_02物料!$B342=""),0,IF(OR(N(对接源_02物料!$B342)&lt;$K$2,N(对接源_02物料!$B342)&gt;$K$3),0,1))</f>
        <v>0</v>
      </c>
      <c r="L1542">
        <f>IF(OR($L$1="",对接源_02物料!$C342="",对接源_02物料!$C342&lt;&gt;$L$1,对接源_02物料!$B342=""),0,IF(OR(N(对接源_02物料!$B342)&lt;$L$2,N(对接源_02物料!$B342)&gt;$L$3),0,1))</f>
        <v>0</v>
      </c>
      <c r="M1542">
        <f>IF(OR($M$1="",对接源_02物料!$C342="",对接源_02物料!$C342&lt;&gt;$M$1,对接源_02物料!$B342=""),0,IF(OR(N(对接源_02物料!$B342)&lt;$M$2,N(对接源_02物料!$B342)&gt;$M$3),0,1))</f>
        <v>0</v>
      </c>
      <c r="N1542">
        <f>IF(OR($N$1="",对接源_02物料!$C342="",对接源_02物料!$C342&lt;&gt;$N$1,对接源_02物料!$B342=""),0,IF(OR(N(对接源_02物料!$B342)&lt;$N$2,N(对接源_02物料!$B342)&gt;$N$3),0,1))</f>
        <v>0</v>
      </c>
      <c r="P1542">
        <f>IF(AND($K1542=1,AND(对接源_02物料!$X342="公司筐",N(对接源_02物料!$T342)&lt;&gt;0)),1,0)</f>
        <v>0</v>
      </c>
      <c r="Q1542">
        <f>N(Q1541)+$P1542</f>
        <v>14</v>
      </c>
      <c r="R1542">
        <f>IF(AND($K1542=1,AND(对接源_02物料!$X342="公司筐",N(对接源_02物料!$U342)&lt;&gt;0)),1,0)</f>
        <v>0</v>
      </c>
      <c r="S1542">
        <f>N(S1541)+$R1542</f>
        <v>1</v>
      </c>
      <c r="T1542">
        <f>IF(AND($K1542=1,AND(对接源_02物料!$X342="公司筐",N(对接源_02物料!$V342)&lt;&gt;0)),1,0)</f>
        <v>0</v>
      </c>
      <c r="U1542">
        <f>N(U1541)+$T1542</f>
        <v>47</v>
      </c>
      <c r="V1542">
        <f>IF(AND($L1542=1,AND(对接源_02物料!$X342="自备筐",N(对接源_02物料!$V342)&lt;&gt;0)),1,0)</f>
        <v>0</v>
      </c>
      <c r="W1542">
        <f>N(W1541)+$V1542</f>
        <v>11</v>
      </c>
      <c r="X1542">
        <f>IF(AND($L1542=1,AND(对接源_02物料!$X342="自备筐",N(对接源_02物料!$T342)&lt;&gt;0)),1,0)</f>
        <v>0</v>
      </c>
      <c r="Y1542">
        <f>N(Y1541)+$X1542</f>
        <v>0</v>
      </c>
      <c r="Z1542">
        <f>IF(AND($M1542=1,对接源_02物料!$D342="原料入库"),1,0)</f>
        <v>0</v>
      </c>
      <c r="AA1542">
        <f>N(AA1541)+$Z1542</f>
        <v>24</v>
      </c>
      <c r="AB1542">
        <f>IF(AND($M1542=1,LEFT(对接源_02物料!$D342,4)="原料出库"),1,0)</f>
        <v>0</v>
      </c>
      <c r="AC1542">
        <f>N(AC1541)+$AB1542</f>
        <v>0</v>
      </c>
      <c r="AD1542">
        <f>IF(AND($M1542=1,LEFT(对接源_02物料!$D342,4)="成品出库"),1,0)</f>
        <v>0</v>
      </c>
      <c r="AE1542">
        <f>N(AE1541)+$AD1542</f>
        <v>0</v>
      </c>
      <c r="AF1542">
        <f>IF(AND($N1542=1,AND(LEFT(对接源_02物料!$D342,4)="包装物料",N(对接源_02物料!$K342)&lt;&gt;0)),1,0)</f>
        <v>0</v>
      </c>
      <c r="AG1542">
        <f>N(AG1541)+$AF1542</f>
        <v>10</v>
      </c>
      <c r="AH1542">
        <f>IF(AND($N1542=1,AND(对接源_02物料!$D342="周转筐－销售出库",N(对接源_02物料!$K342)&lt;&gt;0)),1,0)</f>
        <v>0</v>
      </c>
      <c r="AI1542">
        <f>N(AI1541)+$AH1542</f>
        <v>0</v>
      </c>
      <c r="AL1542" t="n">
        <v>0</v>
      </c>
      <c r="AM1542">
        <f>N(AM1541)+$AL1542</f>
        <v>2</v>
      </c>
      <c r="AN1542">
        <f>""</f>
      </c>
      <c r="AO1542" t="n">
        <v>0</v>
      </c>
      <c r="AP1542">
        <f>N(AP1541)+$AO1542</f>
        <v>13</v>
      </c>
      <c r="AR1542">
        <f>IF(OR($AF1542=1,$AH1542=1),1,0)</f>
        <v>0</v>
      </c>
      <c r="AS1542">
        <f>N(AS1541)+$AR1542</f>
        <v>10</v>
      </c>
    </row>
    <row r="1543" s="127">
      <c r="A1543">
        <f>IF(对接源_02物料!$C343="","",对接源_02物料!$C343)</f>
      </c>
      <c r="B1543">
        <f>IF(A1543="",0,IF(MATCH(A1543,$A$4:$A$2403,0)=ROW()-3,1,0))</f>
        <v>0</v>
      </c>
      <c r="C1543">
        <f>N(C1542)+B1543</f>
        <v>26</v>
      </c>
      <c r="K1543">
        <f>IF(OR($K$1="",对接源_02物料!$C343="",对接源_02物料!$C343&lt;&gt;$K$1,对接源_02物料!$B343=""),0,IF(OR(N(对接源_02物料!$B343)&lt;$K$2,N(对接源_02物料!$B343)&gt;$K$3),0,1))</f>
        <v>0</v>
      </c>
      <c r="L1543">
        <f>IF(OR($L$1="",对接源_02物料!$C343="",对接源_02物料!$C343&lt;&gt;$L$1,对接源_02物料!$B343=""),0,IF(OR(N(对接源_02物料!$B343)&lt;$L$2,N(对接源_02物料!$B343)&gt;$L$3),0,1))</f>
        <v>0</v>
      </c>
      <c r="M1543">
        <f>IF(OR($M$1="",对接源_02物料!$C343="",对接源_02物料!$C343&lt;&gt;$M$1,对接源_02物料!$B343=""),0,IF(OR(N(对接源_02物料!$B343)&lt;$M$2,N(对接源_02物料!$B343)&gt;$M$3),0,1))</f>
        <v>0</v>
      </c>
      <c r="N1543">
        <f>IF(OR($N$1="",对接源_02物料!$C343="",对接源_02物料!$C343&lt;&gt;$N$1,对接源_02物料!$B343=""),0,IF(OR(N(对接源_02物料!$B343)&lt;$N$2,N(对接源_02物料!$B343)&gt;$N$3),0,1))</f>
        <v>0</v>
      </c>
      <c r="P1543">
        <f>IF(AND($K1543=1,AND(对接源_02物料!$X343="公司筐",N(对接源_02物料!$T343)&lt;&gt;0)),1,0)</f>
        <v>0</v>
      </c>
      <c r="Q1543">
        <f>N(Q1542)+$P1543</f>
        <v>14</v>
      </c>
      <c r="R1543">
        <f>IF(AND($K1543=1,AND(对接源_02物料!$X343="公司筐",N(对接源_02物料!$U343)&lt;&gt;0)),1,0)</f>
        <v>0</v>
      </c>
      <c r="S1543">
        <f>N(S1542)+$R1543</f>
        <v>1</v>
      </c>
      <c r="T1543">
        <f>IF(AND($K1543=1,AND(对接源_02物料!$X343="公司筐",N(对接源_02物料!$V343)&lt;&gt;0)),1,0)</f>
        <v>0</v>
      </c>
      <c r="U1543">
        <f>N(U1542)+$T1543</f>
        <v>47</v>
      </c>
      <c r="V1543">
        <f>IF(AND($L1543=1,AND(对接源_02物料!$X343="自备筐",N(对接源_02物料!$V343)&lt;&gt;0)),1,0)</f>
        <v>0</v>
      </c>
      <c r="W1543">
        <f>N(W1542)+$V1543</f>
        <v>11</v>
      </c>
      <c r="X1543">
        <f>IF(AND($L1543=1,AND(对接源_02物料!$X343="自备筐",N(对接源_02物料!$T343)&lt;&gt;0)),1,0)</f>
        <v>0</v>
      </c>
      <c r="Y1543">
        <f>N(Y1542)+$X1543</f>
        <v>0</v>
      </c>
      <c r="Z1543">
        <f>IF(AND($M1543=1,对接源_02物料!$D343="原料入库"),1,0)</f>
        <v>0</v>
      </c>
      <c r="AA1543">
        <f>N(AA1542)+$Z1543</f>
        <v>24</v>
      </c>
      <c r="AB1543">
        <f>IF(AND($M1543=1,LEFT(对接源_02物料!$D343,4)="原料出库"),1,0)</f>
        <v>0</v>
      </c>
      <c r="AC1543">
        <f>N(AC1542)+$AB1543</f>
        <v>0</v>
      </c>
      <c r="AD1543">
        <f>IF(AND($M1543=1,LEFT(对接源_02物料!$D343,4)="成品出库"),1,0)</f>
        <v>0</v>
      </c>
      <c r="AE1543">
        <f>N(AE1542)+$AD1543</f>
        <v>0</v>
      </c>
      <c r="AF1543">
        <f>IF(AND($N1543=1,AND(LEFT(对接源_02物料!$D343,4)="包装物料",N(对接源_02物料!$K343)&lt;&gt;0)),1,0)</f>
        <v>0</v>
      </c>
      <c r="AG1543">
        <f>N(AG1542)+$AF1543</f>
        <v>10</v>
      </c>
      <c r="AH1543">
        <f>IF(AND($N1543=1,AND(对接源_02物料!$D343="周转筐－销售出库",N(对接源_02物料!$K343)&lt;&gt;0)),1,0)</f>
        <v>0</v>
      </c>
      <c r="AI1543">
        <f>N(AI1542)+$AH1543</f>
        <v>0</v>
      </c>
      <c r="AL1543" t="n">
        <v>0</v>
      </c>
      <c r="AM1543">
        <f>N(AM1542)+$AL1543</f>
        <v>2</v>
      </c>
      <c r="AN1543">
        <f>""</f>
      </c>
      <c r="AO1543" t="n">
        <v>0</v>
      </c>
      <c r="AP1543">
        <f>N(AP1542)+$AO1543</f>
        <v>13</v>
      </c>
      <c r="AR1543">
        <f>IF(OR($AF1543=1,$AH1543=1),1,0)</f>
        <v>0</v>
      </c>
      <c r="AS1543">
        <f>N(AS1542)+$AR1543</f>
        <v>10</v>
      </c>
    </row>
    <row r="1544" s="127">
      <c r="A1544">
        <f>IF(对接源_02物料!$C344="","",对接源_02物料!$C344)</f>
      </c>
      <c r="B1544">
        <f>IF(A1544="",0,IF(MATCH(A1544,$A$4:$A$2403,0)=ROW()-3,1,0))</f>
        <v>0</v>
      </c>
      <c r="C1544">
        <f>N(C1543)+B1544</f>
        <v>26</v>
      </c>
      <c r="K1544">
        <f>IF(OR($K$1="",对接源_02物料!$C344="",对接源_02物料!$C344&lt;&gt;$K$1,对接源_02物料!$B344=""),0,IF(OR(N(对接源_02物料!$B344)&lt;$K$2,N(对接源_02物料!$B344)&gt;$K$3),0,1))</f>
        <v>0</v>
      </c>
      <c r="L1544">
        <f>IF(OR($L$1="",对接源_02物料!$C344="",对接源_02物料!$C344&lt;&gt;$L$1,对接源_02物料!$B344=""),0,IF(OR(N(对接源_02物料!$B344)&lt;$L$2,N(对接源_02物料!$B344)&gt;$L$3),0,1))</f>
        <v>0</v>
      </c>
      <c r="M1544">
        <f>IF(OR($M$1="",对接源_02物料!$C344="",对接源_02物料!$C344&lt;&gt;$M$1,对接源_02物料!$B344=""),0,IF(OR(N(对接源_02物料!$B344)&lt;$M$2,N(对接源_02物料!$B344)&gt;$M$3),0,1))</f>
        <v>0</v>
      </c>
      <c r="N1544">
        <f>IF(OR($N$1="",对接源_02物料!$C344="",对接源_02物料!$C344&lt;&gt;$N$1,对接源_02物料!$B344=""),0,IF(OR(N(对接源_02物料!$B344)&lt;$N$2,N(对接源_02物料!$B344)&gt;$N$3),0,1))</f>
        <v>0</v>
      </c>
      <c r="P1544">
        <f>IF(AND($K1544=1,AND(对接源_02物料!$X344="公司筐",N(对接源_02物料!$T344)&lt;&gt;0)),1,0)</f>
        <v>0</v>
      </c>
      <c r="Q1544">
        <f>N(Q1543)+$P1544</f>
        <v>14</v>
      </c>
      <c r="R1544">
        <f>IF(AND($K1544=1,AND(对接源_02物料!$X344="公司筐",N(对接源_02物料!$U344)&lt;&gt;0)),1,0)</f>
        <v>0</v>
      </c>
      <c r="S1544">
        <f>N(S1543)+$R1544</f>
        <v>1</v>
      </c>
      <c r="T1544">
        <f>IF(AND($K1544=1,AND(对接源_02物料!$X344="公司筐",N(对接源_02物料!$V344)&lt;&gt;0)),1,0)</f>
        <v>0</v>
      </c>
      <c r="U1544">
        <f>N(U1543)+$T1544</f>
        <v>47</v>
      </c>
      <c r="V1544">
        <f>IF(AND($L1544=1,AND(对接源_02物料!$X344="自备筐",N(对接源_02物料!$V344)&lt;&gt;0)),1,0)</f>
        <v>0</v>
      </c>
      <c r="W1544">
        <f>N(W1543)+$V1544</f>
        <v>11</v>
      </c>
      <c r="X1544">
        <f>IF(AND($L1544=1,AND(对接源_02物料!$X344="自备筐",N(对接源_02物料!$T344)&lt;&gt;0)),1,0)</f>
        <v>0</v>
      </c>
      <c r="Y1544">
        <f>N(Y1543)+$X1544</f>
        <v>0</v>
      </c>
      <c r="Z1544">
        <f>IF(AND($M1544=1,对接源_02物料!$D344="原料入库"),1,0)</f>
        <v>0</v>
      </c>
      <c r="AA1544">
        <f>N(AA1543)+$Z1544</f>
        <v>24</v>
      </c>
      <c r="AB1544">
        <f>IF(AND($M1544=1,LEFT(对接源_02物料!$D344,4)="原料出库"),1,0)</f>
        <v>0</v>
      </c>
      <c r="AC1544">
        <f>N(AC1543)+$AB1544</f>
        <v>0</v>
      </c>
      <c r="AD1544">
        <f>IF(AND($M1544=1,LEFT(对接源_02物料!$D344,4)="成品出库"),1,0)</f>
        <v>0</v>
      </c>
      <c r="AE1544">
        <f>N(AE1543)+$AD1544</f>
        <v>0</v>
      </c>
      <c r="AF1544">
        <f>IF(AND($N1544=1,AND(LEFT(对接源_02物料!$D344,4)="包装物料",N(对接源_02物料!$K344)&lt;&gt;0)),1,0)</f>
        <v>0</v>
      </c>
      <c r="AG1544">
        <f>N(AG1543)+$AF1544</f>
        <v>10</v>
      </c>
      <c r="AH1544">
        <f>IF(AND($N1544=1,AND(对接源_02物料!$D344="周转筐－销售出库",N(对接源_02物料!$K344)&lt;&gt;0)),1,0)</f>
        <v>0</v>
      </c>
      <c r="AI1544">
        <f>N(AI1543)+$AH1544</f>
        <v>0</v>
      </c>
      <c r="AL1544" t="n">
        <v>0</v>
      </c>
      <c r="AM1544">
        <f>N(AM1543)+$AL1544</f>
        <v>2</v>
      </c>
      <c r="AN1544">
        <f>""</f>
      </c>
      <c r="AO1544" t="n">
        <v>0</v>
      </c>
      <c r="AP1544">
        <f>N(AP1543)+$AO1544</f>
        <v>13</v>
      </c>
      <c r="AR1544">
        <f>IF(OR($AF1544=1,$AH1544=1),1,0)</f>
        <v>0</v>
      </c>
      <c r="AS1544">
        <f>N(AS1543)+$AR1544</f>
        <v>10</v>
      </c>
    </row>
    <row r="1545" s="127">
      <c r="A1545">
        <f>IF(对接源_02物料!$C345="","",对接源_02物料!$C345)</f>
      </c>
      <c r="B1545">
        <f>IF(A1545="",0,IF(MATCH(A1545,$A$4:$A$2403,0)=ROW()-3,1,0))</f>
        <v>0</v>
      </c>
      <c r="C1545">
        <f>N(C1544)+B1545</f>
        <v>26</v>
      </c>
      <c r="K1545">
        <f>IF(OR($K$1="",对接源_02物料!$C345="",对接源_02物料!$C345&lt;&gt;$K$1,对接源_02物料!$B345=""),0,IF(OR(N(对接源_02物料!$B345)&lt;$K$2,N(对接源_02物料!$B345)&gt;$K$3),0,1))</f>
        <v>0</v>
      </c>
      <c r="L1545">
        <f>IF(OR($L$1="",对接源_02物料!$C345="",对接源_02物料!$C345&lt;&gt;$L$1,对接源_02物料!$B345=""),0,IF(OR(N(对接源_02物料!$B345)&lt;$L$2,N(对接源_02物料!$B345)&gt;$L$3),0,1))</f>
        <v>0</v>
      </c>
      <c r="M1545">
        <f>IF(OR($M$1="",对接源_02物料!$C345="",对接源_02物料!$C345&lt;&gt;$M$1,对接源_02物料!$B345=""),0,IF(OR(N(对接源_02物料!$B345)&lt;$M$2,N(对接源_02物料!$B345)&gt;$M$3),0,1))</f>
        <v>0</v>
      </c>
      <c r="N1545">
        <f>IF(OR($N$1="",对接源_02物料!$C345="",对接源_02物料!$C345&lt;&gt;$N$1,对接源_02物料!$B345=""),0,IF(OR(N(对接源_02物料!$B345)&lt;$N$2,N(对接源_02物料!$B345)&gt;$N$3),0,1))</f>
        <v>0</v>
      </c>
      <c r="P1545">
        <f>IF(AND($K1545=1,AND(对接源_02物料!$X345="公司筐",N(对接源_02物料!$T345)&lt;&gt;0)),1,0)</f>
        <v>0</v>
      </c>
      <c r="Q1545">
        <f>N(Q1544)+$P1545</f>
        <v>14</v>
      </c>
      <c r="R1545">
        <f>IF(AND($K1545=1,AND(对接源_02物料!$X345="公司筐",N(对接源_02物料!$U345)&lt;&gt;0)),1,0)</f>
        <v>0</v>
      </c>
      <c r="S1545">
        <f>N(S1544)+$R1545</f>
        <v>1</v>
      </c>
      <c r="T1545">
        <f>IF(AND($K1545=1,AND(对接源_02物料!$X345="公司筐",N(对接源_02物料!$V345)&lt;&gt;0)),1,0)</f>
        <v>0</v>
      </c>
      <c r="U1545">
        <f>N(U1544)+$T1545</f>
        <v>47</v>
      </c>
      <c r="V1545">
        <f>IF(AND($L1545=1,AND(对接源_02物料!$X345="自备筐",N(对接源_02物料!$V345)&lt;&gt;0)),1,0)</f>
        <v>0</v>
      </c>
      <c r="W1545">
        <f>N(W1544)+$V1545</f>
        <v>11</v>
      </c>
      <c r="X1545">
        <f>IF(AND($L1545=1,AND(对接源_02物料!$X345="自备筐",N(对接源_02物料!$T345)&lt;&gt;0)),1,0)</f>
        <v>0</v>
      </c>
      <c r="Y1545">
        <f>N(Y1544)+$X1545</f>
        <v>0</v>
      </c>
      <c r="Z1545">
        <f>IF(AND($M1545=1,对接源_02物料!$D345="原料入库"),1,0)</f>
        <v>0</v>
      </c>
      <c r="AA1545">
        <f>N(AA1544)+$Z1545</f>
        <v>24</v>
      </c>
      <c r="AB1545">
        <f>IF(AND($M1545=1,LEFT(对接源_02物料!$D345,4)="原料出库"),1,0)</f>
        <v>0</v>
      </c>
      <c r="AC1545">
        <f>N(AC1544)+$AB1545</f>
        <v>0</v>
      </c>
      <c r="AD1545">
        <f>IF(AND($M1545=1,LEFT(对接源_02物料!$D345,4)="成品出库"),1,0)</f>
        <v>0</v>
      </c>
      <c r="AE1545">
        <f>N(AE1544)+$AD1545</f>
        <v>0</v>
      </c>
      <c r="AF1545">
        <f>IF(AND($N1545=1,AND(LEFT(对接源_02物料!$D345,4)="包装物料",N(对接源_02物料!$K345)&lt;&gt;0)),1,0)</f>
        <v>0</v>
      </c>
      <c r="AG1545">
        <f>N(AG1544)+$AF1545</f>
        <v>10</v>
      </c>
      <c r="AH1545">
        <f>IF(AND($N1545=1,AND(对接源_02物料!$D345="周转筐－销售出库",N(对接源_02物料!$K345)&lt;&gt;0)),1,0)</f>
        <v>0</v>
      </c>
      <c r="AI1545">
        <f>N(AI1544)+$AH1545</f>
        <v>0</v>
      </c>
      <c r="AL1545" t="n">
        <v>0</v>
      </c>
      <c r="AM1545">
        <f>N(AM1544)+$AL1545</f>
        <v>2</v>
      </c>
      <c r="AN1545">
        <f>""</f>
      </c>
      <c r="AO1545" t="n">
        <v>0</v>
      </c>
      <c r="AP1545">
        <f>N(AP1544)+$AO1545</f>
        <v>13</v>
      </c>
      <c r="AR1545">
        <f>IF(OR($AF1545=1,$AH1545=1),1,0)</f>
        <v>0</v>
      </c>
      <c r="AS1545">
        <f>N(AS1544)+$AR1545</f>
        <v>10</v>
      </c>
    </row>
    <row r="1546" s="127">
      <c r="A1546">
        <f>IF(对接源_02物料!$C346="","",对接源_02物料!$C346)</f>
      </c>
      <c r="B1546">
        <f>IF(A1546="",0,IF(MATCH(A1546,$A$4:$A$2403,0)=ROW()-3,1,0))</f>
        <v>0</v>
      </c>
      <c r="C1546">
        <f>N(C1545)+B1546</f>
        <v>26</v>
      </c>
      <c r="K1546">
        <f>IF(OR($K$1="",对接源_02物料!$C346="",对接源_02物料!$C346&lt;&gt;$K$1,对接源_02物料!$B346=""),0,IF(OR(N(对接源_02物料!$B346)&lt;$K$2,N(对接源_02物料!$B346)&gt;$K$3),0,1))</f>
        <v>0</v>
      </c>
      <c r="L1546">
        <f>IF(OR($L$1="",对接源_02物料!$C346="",对接源_02物料!$C346&lt;&gt;$L$1,对接源_02物料!$B346=""),0,IF(OR(N(对接源_02物料!$B346)&lt;$L$2,N(对接源_02物料!$B346)&gt;$L$3),0,1))</f>
        <v>0</v>
      </c>
      <c r="M1546">
        <f>IF(OR($M$1="",对接源_02物料!$C346="",对接源_02物料!$C346&lt;&gt;$M$1,对接源_02物料!$B346=""),0,IF(OR(N(对接源_02物料!$B346)&lt;$M$2,N(对接源_02物料!$B346)&gt;$M$3),0,1))</f>
        <v>0</v>
      </c>
      <c r="N1546">
        <f>IF(OR($N$1="",对接源_02物料!$C346="",对接源_02物料!$C346&lt;&gt;$N$1,对接源_02物料!$B346=""),0,IF(OR(N(对接源_02物料!$B346)&lt;$N$2,N(对接源_02物料!$B346)&gt;$N$3),0,1))</f>
        <v>0</v>
      </c>
      <c r="P1546">
        <f>IF(AND($K1546=1,AND(对接源_02物料!$X346="公司筐",N(对接源_02物料!$T346)&lt;&gt;0)),1,0)</f>
        <v>0</v>
      </c>
      <c r="Q1546">
        <f>N(Q1545)+$P1546</f>
        <v>14</v>
      </c>
      <c r="R1546">
        <f>IF(AND($K1546=1,AND(对接源_02物料!$X346="公司筐",N(对接源_02物料!$U346)&lt;&gt;0)),1,0)</f>
        <v>0</v>
      </c>
      <c r="S1546">
        <f>N(S1545)+$R1546</f>
        <v>1</v>
      </c>
      <c r="T1546">
        <f>IF(AND($K1546=1,AND(对接源_02物料!$X346="公司筐",N(对接源_02物料!$V346)&lt;&gt;0)),1,0)</f>
        <v>0</v>
      </c>
      <c r="U1546">
        <f>N(U1545)+$T1546</f>
        <v>47</v>
      </c>
      <c r="V1546">
        <f>IF(AND($L1546=1,AND(对接源_02物料!$X346="自备筐",N(对接源_02物料!$V346)&lt;&gt;0)),1,0)</f>
        <v>0</v>
      </c>
      <c r="W1546">
        <f>N(W1545)+$V1546</f>
        <v>11</v>
      </c>
      <c r="X1546">
        <f>IF(AND($L1546=1,AND(对接源_02物料!$X346="自备筐",N(对接源_02物料!$T346)&lt;&gt;0)),1,0)</f>
        <v>0</v>
      </c>
      <c r="Y1546">
        <f>N(Y1545)+$X1546</f>
        <v>0</v>
      </c>
      <c r="Z1546">
        <f>IF(AND($M1546=1,对接源_02物料!$D346="原料入库"),1,0)</f>
        <v>0</v>
      </c>
      <c r="AA1546">
        <f>N(AA1545)+$Z1546</f>
        <v>24</v>
      </c>
      <c r="AB1546">
        <f>IF(AND($M1546=1,LEFT(对接源_02物料!$D346,4)="原料出库"),1,0)</f>
        <v>0</v>
      </c>
      <c r="AC1546">
        <f>N(AC1545)+$AB1546</f>
        <v>0</v>
      </c>
      <c r="AD1546">
        <f>IF(AND($M1546=1,LEFT(对接源_02物料!$D346,4)="成品出库"),1,0)</f>
        <v>0</v>
      </c>
      <c r="AE1546">
        <f>N(AE1545)+$AD1546</f>
        <v>0</v>
      </c>
      <c r="AF1546">
        <f>IF(AND($N1546=1,AND(LEFT(对接源_02物料!$D346,4)="包装物料",N(对接源_02物料!$K346)&lt;&gt;0)),1,0)</f>
        <v>0</v>
      </c>
      <c r="AG1546">
        <f>N(AG1545)+$AF1546</f>
        <v>10</v>
      </c>
      <c r="AH1546">
        <f>IF(AND($N1546=1,AND(对接源_02物料!$D346="周转筐－销售出库",N(对接源_02物料!$K346)&lt;&gt;0)),1,0)</f>
        <v>0</v>
      </c>
      <c r="AI1546">
        <f>N(AI1545)+$AH1546</f>
        <v>0</v>
      </c>
      <c r="AL1546" t="n">
        <v>0</v>
      </c>
      <c r="AM1546">
        <f>N(AM1545)+$AL1546</f>
        <v>2</v>
      </c>
      <c r="AN1546">
        <f>""</f>
      </c>
      <c r="AO1546" t="n">
        <v>0</v>
      </c>
      <c r="AP1546">
        <f>N(AP1545)+$AO1546</f>
        <v>13</v>
      </c>
      <c r="AR1546">
        <f>IF(OR($AF1546=1,$AH1546=1),1,0)</f>
        <v>0</v>
      </c>
      <c r="AS1546">
        <f>N(AS1545)+$AR1546</f>
        <v>10</v>
      </c>
    </row>
    <row r="1547" s="127">
      <c r="A1547">
        <f>IF(对接源_02物料!$C347="","",对接源_02物料!$C347)</f>
      </c>
      <c r="B1547">
        <f>IF(A1547="",0,IF(MATCH(A1547,$A$4:$A$2403,0)=ROW()-3,1,0))</f>
        <v>0</v>
      </c>
      <c r="C1547">
        <f>N(C1546)+B1547</f>
        <v>26</v>
      </c>
      <c r="K1547">
        <f>IF(OR($K$1="",对接源_02物料!$C347="",对接源_02物料!$C347&lt;&gt;$K$1,对接源_02物料!$B347=""),0,IF(OR(N(对接源_02物料!$B347)&lt;$K$2,N(对接源_02物料!$B347)&gt;$K$3),0,1))</f>
        <v>0</v>
      </c>
      <c r="L1547">
        <f>IF(OR($L$1="",对接源_02物料!$C347="",对接源_02物料!$C347&lt;&gt;$L$1,对接源_02物料!$B347=""),0,IF(OR(N(对接源_02物料!$B347)&lt;$L$2,N(对接源_02物料!$B347)&gt;$L$3),0,1))</f>
        <v>0</v>
      </c>
      <c r="M1547">
        <f>IF(OR($M$1="",对接源_02物料!$C347="",对接源_02物料!$C347&lt;&gt;$M$1,对接源_02物料!$B347=""),0,IF(OR(N(对接源_02物料!$B347)&lt;$M$2,N(对接源_02物料!$B347)&gt;$M$3),0,1))</f>
        <v>0</v>
      </c>
      <c r="N1547">
        <f>IF(OR($N$1="",对接源_02物料!$C347="",对接源_02物料!$C347&lt;&gt;$N$1,对接源_02物料!$B347=""),0,IF(OR(N(对接源_02物料!$B347)&lt;$N$2,N(对接源_02物料!$B347)&gt;$N$3),0,1))</f>
        <v>0</v>
      </c>
      <c r="P1547">
        <f>IF(AND($K1547=1,AND(对接源_02物料!$X347="公司筐",N(对接源_02物料!$T347)&lt;&gt;0)),1,0)</f>
        <v>0</v>
      </c>
      <c r="Q1547">
        <f>N(Q1546)+$P1547</f>
        <v>14</v>
      </c>
      <c r="R1547">
        <f>IF(AND($K1547=1,AND(对接源_02物料!$X347="公司筐",N(对接源_02物料!$U347)&lt;&gt;0)),1,0)</f>
        <v>0</v>
      </c>
      <c r="S1547">
        <f>N(S1546)+$R1547</f>
        <v>1</v>
      </c>
      <c r="T1547">
        <f>IF(AND($K1547=1,AND(对接源_02物料!$X347="公司筐",N(对接源_02物料!$V347)&lt;&gt;0)),1,0)</f>
        <v>0</v>
      </c>
      <c r="U1547">
        <f>N(U1546)+$T1547</f>
        <v>47</v>
      </c>
      <c r="V1547">
        <f>IF(AND($L1547=1,AND(对接源_02物料!$X347="自备筐",N(对接源_02物料!$V347)&lt;&gt;0)),1,0)</f>
        <v>0</v>
      </c>
      <c r="W1547">
        <f>N(W1546)+$V1547</f>
        <v>11</v>
      </c>
      <c r="X1547">
        <f>IF(AND($L1547=1,AND(对接源_02物料!$X347="自备筐",N(对接源_02物料!$T347)&lt;&gt;0)),1,0)</f>
        <v>0</v>
      </c>
      <c r="Y1547">
        <f>N(Y1546)+$X1547</f>
        <v>0</v>
      </c>
      <c r="Z1547">
        <f>IF(AND($M1547=1,对接源_02物料!$D347="原料入库"),1,0)</f>
        <v>0</v>
      </c>
      <c r="AA1547">
        <f>N(AA1546)+$Z1547</f>
        <v>24</v>
      </c>
      <c r="AB1547">
        <f>IF(AND($M1547=1,LEFT(对接源_02物料!$D347,4)="原料出库"),1,0)</f>
        <v>0</v>
      </c>
      <c r="AC1547">
        <f>N(AC1546)+$AB1547</f>
        <v>0</v>
      </c>
      <c r="AD1547">
        <f>IF(AND($M1547=1,LEFT(对接源_02物料!$D347,4)="成品出库"),1,0)</f>
        <v>0</v>
      </c>
      <c r="AE1547">
        <f>N(AE1546)+$AD1547</f>
        <v>0</v>
      </c>
      <c r="AF1547">
        <f>IF(AND($N1547=1,AND(LEFT(对接源_02物料!$D347,4)="包装物料",N(对接源_02物料!$K347)&lt;&gt;0)),1,0)</f>
        <v>0</v>
      </c>
      <c r="AG1547">
        <f>N(AG1546)+$AF1547</f>
        <v>10</v>
      </c>
      <c r="AH1547">
        <f>IF(AND($N1547=1,AND(对接源_02物料!$D347="周转筐－销售出库",N(对接源_02物料!$K347)&lt;&gt;0)),1,0)</f>
        <v>0</v>
      </c>
      <c r="AI1547">
        <f>N(AI1546)+$AH1547</f>
        <v>0</v>
      </c>
      <c r="AL1547" t="n">
        <v>0</v>
      </c>
      <c r="AM1547">
        <f>N(AM1546)+$AL1547</f>
        <v>2</v>
      </c>
      <c r="AN1547">
        <f>""</f>
      </c>
      <c r="AO1547" t="n">
        <v>0</v>
      </c>
      <c r="AP1547">
        <f>N(AP1546)+$AO1547</f>
        <v>13</v>
      </c>
      <c r="AR1547">
        <f>IF(OR($AF1547=1,$AH1547=1),1,0)</f>
        <v>0</v>
      </c>
      <c r="AS1547">
        <f>N(AS1546)+$AR1547</f>
        <v>10</v>
      </c>
    </row>
    <row r="1548" s="127">
      <c r="A1548">
        <f>IF(对接源_02物料!$C348="","",对接源_02物料!$C348)</f>
      </c>
      <c r="B1548">
        <f>IF(A1548="",0,IF(MATCH(A1548,$A$4:$A$2403,0)=ROW()-3,1,0))</f>
        <v>0</v>
      </c>
      <c r="C1548">
        <f>N(C1547)+B1548</f>
        <v>26</v>
      </c>
      <c r="K1548">
        <f>IF(OR($K$1="",对接源_02物料!$C348="",对接源_02物料!$C348&lt;&gt;$K$1,对接源_02物料!$B348=""),0,IF(OR(N(对接源_02物料!$B348)&lt;$K$2,N(对接源_02物料!$B348)&gt;$K$3),0,1))</f>
        <v>0</v>
      </c>
      <c r="L1548">
        <f>IF(OR($L$1="",对接源_02物料!$C348="",对接源_02物料!$C348&lt;&gt;$L$1,对接源_02物料!$B348=""),0,IF(OR(N(对接源_02物料!$B348)&lt;$L$2,N(对接源_02物料!$B348)&gt;$L$3),0,1))</f>
        <v>0</v>
      </c>
      <c r="M1548">
        <f>IF(OR($M$1="",对接源_02物料!$C348="",对接源_02物料!$C348&lt;&gt;$M$1,对接源_02物料!$B348=""),0,IF(OR(N(对接源_02物料!$B348)&lt;$M$2,N(对接源_02物料!$B348)&gt;$M$3),0,1))</f>
        <v>0</v>
      </c>
      <c r="N1548">
        <f>IF(OR($N$1="",对接源_02物料!$C348="",对接源_02物料!$C348&lt;&gt;$N$1,对接源_02物料!$B348=""),0,IF(OR(N(对接源_02物料!$B348)&lt;$N$2,N(对接源_02物料!$B348)&gt;$N$3),0,1))</f>
        <v>0</v>
      </c>
      <c r="P1548">
        <f>IF(AND($K1548=1,AND(对接源_02物料!$X348="公司筐",N(对接源_02物料!$T348)&lt;&gt;0)),1,0)</f>
        <v>0</v>
      </c>
      <c r="Q1548">
        <f>N(Q1547)+$P1548</f>
        <v>14</v>
      </c>
      <c r="R1548">
        <f>IF(AND($K1548=1,AND(对接源_02物料!$X348="公司筐",N(对接源_02物料!$U348)&lt;&gt;0)),1,0)</f>
        <v>0</v>
      </c>
      <c r="S1548">
        <f>N(S1547)+$R1548</f>
        <v>1</v>
      </c>
      <c r="T1548">
        <f>IF(AND($K1548=1,AND(对接源_02物料!$X348="公司筐",N(对接源_02物料!$V348)&lt;&gt;0)),1,0)</f>
        <v>0</v>
      </c>
      <c r="U1548">
        <f>N(U1547)+$T1548</f>
        <v>47</v>
      </c>
      <c r="V1548">
        <f>IF(AND($L1548=1,AND(对接源_02物料!$X348="自备筐",N(对接源_02物料!$V348)&lt;&gt;0)),1,0)</f>
        <v>0</v>
      </c>
      <c r="W1548">
        <f>N(W1547)+$V1548</f>
        <v>11</v>
      </c>
      <c r="X1548">
        <f>IF(AND($L1548=1,AND(对接源_02物料!$X348="自备筐",N(对接源_02物料!$T348)&lt;&gt;0)),1,0)</f>
        <v>0</v>
      </c>
      <c r="Y1548">
        <f>N(Y1547)+$X1548</f>
        <v>0</v>
      </c>
      <c r="Z1548">
        <f>IF(AND($M1548=1,对接源_02物料!$D348="原料入库"),1,0)</f>
        <v>0</v>
      </c>
      <c r="AA1548">
        <f>N(AA1547)+$Z1548</f>
        <v>24</v>
      </c>
      <c r="AB1548">
        <f>IF(AND($M1548=1,LEFT(对接源_02物料!$D348,4)="原料出库"),1,0)</f>
        <v>0</v>
      </c>
      <c r="AC1548">
        <f>N(AC1547)+$AB1548</f>
        <v>0</v>
      </c>
      <c r="AD1548">
        <f>IF(AND($M1548=1,LEFT(对接源_02物料!$D348,4)="成品出库"),1,0)</f>
        <v>0</v>
      </c>
      <c r="AE1548">
        <f>N(AE1547)+$AD1548</f>
        <v>0</v>
      </c>
      <c r="AF1548">
        <f>IF(AND($N1548=1,AND(LEFT(对接源_02物料!$D348,4)="包装物料",N(对接源_02物料!$K348)&lt;&gt;0)),1,0)</f>
        <v>0</v>
      </c>
      <c r="AG1548">
        <f>N(AG1547)+$AF1548</f>
        <v>10</v>
      </c>
      <c r="AH1548">
        <f>IF(AND($N1548=1,AND(对接源_02物料!$D348="周转筐－销售出库",N(对接源_02物料!$K348)&lt;&gt;0)),1,0)</f>
        <v>0</v>
      </c>
      <c r="AI1548">
        <f>N(AI1547)+$AH1548</f>
        <v>0</v>
      </c>
      <c r="AL1548" t="n">
        <v>0</v>
      </c>
      <c r="AM1548">
        <f>N(AM1547)+$AL1548</f>
        <v>2</v>
      </c>
      <c r="AN1548">
        <f>""</f>
      </c>
      <c r="AO1548" t="n">
        <v>0</v>
      </c>
      <c r="AP1548">
        <f>N(AP1547)+$AO1548</f>
        <v>13</v>
      </c>
      <c r="AR1548">
        <f>IF(OR($AF1548=1,$AH1548=1),1,0)</f>
        <v>0</v>
      </c>
      <c r="AS1548">
        <f>N(AS1547)+$AR1548</f>
        <v>10</v>
      </c>
    </row>
    <row r="1549" s="127">
      <c r="A1549">
        <f>IF(对接源_02物料!$C349="","",对接源_02物料!$C349)</f>
      </c>
      <c r="B1549">
        <f>IF(A1549="",0,IF(MATCH(A1549,$A$4:$A$2403,0)=ROW()-3,1,0))</f>
        <v>0</v>
      </c>
      <c r="C1549">
        <f>N(C1548)+B1549</f>
        <v>26</v>
      </c>
      <c r="K1549">
        <f>IF(OR($K$1="",对接源_02物料!$C349="",对接源_02物料!$C349&lt;&gt;$K$1,对接源_02物料!$B349=""),0,IF(OR(N(对接源_02物料!$B349)&lt;$K$2,N(对接源_02物料!$B349)&gt;$K$3),0,1))</f>
        <v>0</v>
      </c>
      <c r="L1549">
        <f>IF(OR($L$1="",对接源_02物料!$C349="",对接源_02物料!$C349&lt;&gt;$L$1,对接源_02物料!$B349=""),0,IF(OR(N(对接源_02物料!$B349)&lt;$L$2,N(对接源_02物料!$B349)&gt;$L$3),0,1))</f>
        <v>0</v>
      </c>
      <c r="M1549">
        <f>IF(OR($M$1="",对接源_02物料!$C349="",对接源_02物料!$C349&lt;&gt;$M$1,对接源_02物料!$B349=""),0,IF(OR(N(对接源_02物料!$B349)&lt;$M$2,N(对接源_02物料!$B349)&gt;$M$3),0,1))</f>
        <v>0</v>
      </c>
      <c r="N1549">
        <f>IF(OR($N$1="",对接源_02物料!$C349="",对接源_02物料!$C349&lt;&gt;$N$1,对接源_02物料!$B349=""),0,IF(OR(N(对接源_02物料!$B349)&lt;$N$2,N(对接源_02物料!$B349)&gt;$N$3),0,1))</f>
        <v>0</v>
      </c>
      <c r="P1549">
        <f>IF(AND($K1549=1,AND(对接源_02物料!$X349="公司筐",N(对接源_02物料!$T349)&lt;&gt;0)),1,0)</f>
        <v>0</v>
      </c>
      <c r="Q1549">
        <f>N(Q1548)+$P1549</f>
        <v>14</v>
      </c>
      <c r="R1549">
        <f>IF(AND($K1549=1,AND(对接源_02物料!$X349="公司筐",N(对接源_02物料!$U349)&lt;&gt;0)),1,0)</f>
        <v>0</v>
      </c>
      <c r="S1549">
        <f>N(S1548)+$R1549</f>
        <v>1</v>
      </c>
      <c r="T1549">
        <f>IF(AND($K1549=1,AND(对接源_02物料!$X349="公司筐",N(对接源_02物料!$V349)&lt;&gt;0)),1,0)</f>
        <v>0</v>
      </c>
      <c r="U1549">
        <f>N(U1548)+$T1549</f>
        <v>47</v>
      </c>
      <c r="V1549">
        <f>IF(AND($L1549=1,AND(对接源_02物料!$X349="自备筐",N(对接源_02物料!$V349)&lt;&gt;0)),1,0)</f>
        <v>0</v>
      </c>
      <c r="W1549">
        <f>N(W1548)+$V1549</f>
        <v>11</v>
      </c>
      <c r="X1549">
        <f>IF(AND($L1549=1,AND(对接源_02物料!$X349="自备筐",N(对接源_02物料!$T349)&lt;&gt;0)),1,0)</f>
        <v>0</v>
      </c>
      <c r="Y1549">
        <f>N(Y1548)+$X1549</f>
        <v>0</v>
      </c>
      <c r="Z1549">
        <f>IF(AND($M1549=1,对接源_02物料!$D349="原料入库"),1,0)</f>
        <v>0</v>
      </c>
      <c r="AA1549">
        <f>N(AA1548)+$Z1549</f>
        <v>24</v>
      </c>
      <c r="AB1549">
        <f>IF(AND($M1549=1,LEFT(对接源_02物料!$D349,4)="原料出库"),1,0)</f>
        <v>0</v>
      </c>
      <c r="AC1549">
        <f>N(AC1548)+$AB1549</f>
        <v>0</v>
      </c>
      <c r="AD1549">
        <f>IF(AND($M1549=1,LEFT(对接源_02物料!$D349,4)="成品出库"),1,0)</f>
        <v>0</v>
      </c>
      <c r="AE1549">
        <f>N(AE1548)+$AD1549</f>
        <v>0</v>
      </c>
      <c r="AF1549">
        <f>IF(AND($N1549=1,AND(LEFT(对接源_02物料!$D349,4)="包装物料",N(对接源_02物料!$K349)&lt;&gt;0)),1,0)</f>
        <v>0</v>
      </c>
      <c r="AG1549">
        <f>N(AG1548)+$AF1549</f>
        <v>10</v>
      </c>
      <c r="AH1549">
        <f>IF(AND($N1549=1,AND(对接源_02物料!$D349="周转筐－销售出库",N(对接源_02物料!$K349)&lt;&gt;0)),1,0)</f>
        <v>0</v>
      </c>
      <c r="AI1549">
        <f>N(AI1548)+$AH1549</f>
        <v>0</v>
      </c>
      <c r="AL1549" t="n">
        <v>0</v>
      </c>
      <c r="AM1549">
        <f>N(AM1548)+$AL1549</f>
        <v>2</v>
      </c>
      <c r="AN1549">
        <f>""</f>
      </c>
      <c r="AO1549" t="n">
        <v>0</v>
      </c>
      <c r="AP1549">
        <f>N(AP1548)+$AO1549</f>
        <v>13</v>
      </c>
      <c r="AR1549">
        <f>IF(OR($AF1549=1,$AH1549=1),1,0)</f>
        <v>0</v>
      </c>
      <c r="AS1549">
        <f>N(AS1548)+$AR1549</f>
        <v>10</v>
      </c>
    </row>
    <row r="1550" s="127">
      <c r="A1550">
        <f>IF(对接源_02物料!$C350="","",对接源_02物料!$C350)</f>
      </c>
      <c r="B1550">
        <f>IF(A1550="",0,IF(MATCH(A1550,$A$4:$A$2403,0)=ROW()-3,1,0))</f>
        <v>0</v>
      </c>
      <c r="C1550">
        <f>N(C1549)+B1550</f>
        <v>26</v>
      </c>
      <c r="K1550">
        <f>IF(OR($K$1="",对接源_02物料!$C350="",对接源_02物料!$C350&lt;&gt;$K$1,对接源_02物料!$B350=""),0,IF(OR(N(对接源_02物料!$B350)&lt;$K$2,N(对接源_02物料!$B350)&gt;$K$3),0,1))</f>
        <v>0</v>
      </c>
      <c r="L1550">
        <f>IF(OR($L$1="",对接源_02物料!$C350="",对接源_02物料!$C350&lt;&gt;$L$1,对接源_02物料!$B350=""),0,IF(OR(N(对接源_02物料!$B350)&lt;$L$2,N(对接源_02物料!$B350)&gt;$L$3),0,1))</f>
        <v>0</v>
      </c>
      <c r="M1550">
        <f>IF(OR($M$1="",对接源_02物料!$C350="",对接源_02物料!$C350&lt;&gt;$M$1,对接源_02物料!$B350=""),0,IF(OR(N(对接源_02物料!$B350)&lt;$M$2,N(对接源_02物料!$B350)&gt;$M$3),0,1))</f>
        <v>0</v>
      </c>
      <c r="N1550">
        <f>IF(OR($N$1="",对接源_02物料!$C350="",对接源_02物料!$C350&lt;&gt;$N$1,对接源_02物料!$B350=""),0,IF(OR(N(对接源_02物料!$B350)&lt;$N$2,N(对接源_02物料!$B350)&gt;$N$3),0,1))</f>
        <v>0</v>
      </c>
      <c r="P1550">
        <f>IF(AND($K1550=1,AND(对接源_02物料!$X350="公司筐",N(对接源_02物料!$T350)&lt;&gt;0)),1,0)</f>
        <v>0</v>
      </c>
      <c r="Q1550">
        <f>N(Q1549)+$P1550</f>
        <v>14</v>
      </c>
      <c r="R1550">
        <f>IF(AND($K1550=1,AND(对接源_02物料!$X350="公司筐",N(对接源_02物料!$U350)&lt;&gt;0)),1,0)</f>
        <v>0</v>
      </c>
      <c r="S1550">
        <f>N(S1549)+$R1550</f>
        <v>1</v>
      </c>
      <c r="T1550">
        <f>IF(AND($K1550=1,AND(对接源_02物料!$X350="公司筐",N(对接源_02物料!$V350)&lt;&gt;0)),1,0)</f>
        <v>0</v>
      </c>
      <c r="U1550">
        <f>N(U1549)+$T1550</f>
        <v>47</v>
      </c>
      <c r="V1550">
        <f>IF(AND($L1550=1,AND(对接源_02物料!$X350="自备筐",N(对接源_02物料!$V350)&lt;&gt;0)),1,0)</f>
        <v>0</v>
      </c>
      <c r="W1550">
        <f>N(W1549)+$V1550</f>
        <v>11</v>
      </c>
      <c r="X1550">
        <f>IF(AND($L1550=1,AND(对接源_02物料!$X350="自备筐",N(对接源_02物料!$T350)&lt;&gt;0)),1,0)</f>
        <v>0</v>
      </c>
      <c r="Y1550">
        <f>N(Y1549)+$X1550</f>
        <v>0</v>
      </c>
      <c r="Z1550">
        <f>IF(AND($M1550=1,对接源_02物料!$D350="原料入库"),1,0)</f>
        <v>0</v>
      </c>
      <c r="AA1550">
        <f>N(AA1549)+$Z1550</f>
        <v>24</v>
      </c>
      <c r="AB1550">
        <f>IF(AND($M1550=1,LEFT(对接源_02物料!$D350,4)="原料出库"),1,0)</f>
        <v>0</v>
      </c>
      <c r="AC1550">
        <f>N(AC1549)+$AB1550</f>
        <v>0</v>
      </c>
      <c r="AD1550">
        <f>IF(AND($M1550=1,LEFT(对接源_02物料!$D350,4)="成品出库"),1,0)</f>
        <v>0</v>
      </c>
      <c r="AE1550">
        <f>N(AE1549)+$AD1550</f>
        <v>0</v>
      </c>
      <c r="AF1550">
        <f>IF(AND($N1550=1,AND(LEFT(对接源_02物料!$D350,4)="包装物料",N(对接源_02物料!$K350)&lt;&gt;0)),1,0)</f>
        <v>0</v>
      </c>
      <c r="AG1550">
        <f>N(AG1549)+$AF1550</f>
        <v>10</v>
      </c>
      <c r="AH1550">
        <f>IF(AND($N1550=1,AND(对接源_02物料!$D350="周转筐－销售出库",N(对接源_02物料!$K350)&lt;&gt;0)),1,0)</f>
        <v>0</v>
      </c>
      <c r="AI1550">
        <f>N(AI1549)+$AH1550</f>
        <v>0</v>
      </c>
      <c r="AL1550" t="n">
        <v>0</v>
      </c>
      <c r="AM1550">
        <f>N(AM1549)+$AL1550</f>
        <v>2</v>
      </c>
      <c r="AN1550">
        <f>""</f>
      </c>
      <c r="AO1550" t="n">
        <v>0</v>
      </c>
      <c r="AP1550">
        <f>N(AP1549)+$AO1550</f>
        <v>13</v>
      </c>
      <c r="AR1550">
        <f>IF(OR($AF1550=1,$AH1550=1),1,0)</f>
        <v>0</v>
      </c>
      <c r="AS1550">
        <f>N(AS1549)+$AR1550</f>
        <v>10</v>
      </c>
    </row>
    <row r="1551" s="127">
      <c r="A1551">
        <f>IF(对接源_02物料!$C351="","",对接源_02物料!$C351)</f>
      </c>
      <c r="B1551">
        <f>IF(A1551="",0,IF(MATCH(A1551,$A$4:$A$2403,0)=ROW()-3,1,0))</f>
        <v>0</v>
      </c>
      <c r="C1551">
        <f>N(C1550)+B1551</f>
        <v>26</v>
      </c>
      <c r="K1551">
        <f>IF(OR($K$1="",对接源_02物料!$C351="",对接源_02物料!$C351&lt;&gt;$K$1,对接源_02物料!$B351=""),0,IF(OR(N(对接源_02物料!$B351)&lt;$K$2,N(对接源_02物料!$B351)&gt;$K$3),0,1))</f>
        <v>0</v>
      </c>
      <c r="L1551">
        <f>IF(OR($L$1="",对接源_02物料!$C351="",对接源_02物料!$C351&lt;&gt;$L$1,对接源_02物料!$B351=""),0,IF(OR(N(对接源_02物料!$B351)&lt;$L$2,N(对接源_02物料!$B351)&gt;$L$3),0,1))</f>
        <v>0</v>
      </c>
      <c r="M1551">
        <f>IF(OR($M$1="",对接源_02物料!$C351="",对接源_02物料!$C351&lt;&gt;$M$1,对接源_02物料!$B351=""),0,IF(OR(N(对接源_02物料!$B351)&lt;$M$2,N(对接源_02物料!$B351)&gt;$M$3),0,1))</f>
        <v>0</v>
      </c>
      <c r="N1551">
        <f>IF(OR($N$1="",对接源_02物料!$C351="",对接源_02物料!$C351&lt;&gt;$N$1,对接源_02物料!$B351=""),0,IF(OR(N(对接源_02物料!$B351)&lt;$N$2,N(对接源_02物料!$B351)&gt;$N$3),0,1))</f>
        <v>0</v>
      </c>
      <c r="P1551">
        <f>IF(AND($K1551=1,AND(对接源_02物料!$X351="公司筐",N(对接源_02物料!$T351)&lt;&gt;0)),1,0)</f>
        <v>0</v>
      </c>
      <c r="Q1551">
        <f>N(Q1550)+$P1551</f>
        <v>14</v>
      </c>
      <c r="R1551">
        <f>IF(AND($K1551=1,AND(对接源_02物料!$X351="公司筐",N(对接源_02物料!$U351)&lt;&gt;0)),1,0)</f>
        <v>0</v>
      </c>
      <c r="S1551">
        <f>N(S1550)+$R1551</f>
        <v>1</v>
      </c>
      <c r="T1551">
        <f>IF(AND($K1551=1,AND(对接源_02物料!$X351="公司筐",N(对接源_02物料!$V351)&lt;&gt;0)),1,0)</f>
        <v>0</v>
      </c>
      <c r="U1551">
        <f>N(U1550)+$T1551</f>
        <v>47</v>
      </c>
      <c r="V1551">
        <f>IF(AND($L1551=1,AND(对接源_02物料!$X351="自备筐",N(对接源_02物料!$V351)&lt;&gt;0)),1,0)</f>
        <v>0</v>
      </c>
      <c r="W1551">
        <f>N(W1550)+$V1551</f>
        <v>11</v>
      </c>
      <c r="X1551">
        <f>IF(AND($L1551=1,AND(对接源_02物料!$X351="自备筐",N(对接源_02物料!$T351)&lt;&gt;0)),1,0)</f>
        <v>0</v>
      </c>
      <c r="Y1551">
        <f>N(Y1550)+$X1551</f>
        <v>0</v>
      </c>
      <c r="Z1551">
        <f>IF(AND($M1551=1,对接源_02物料!$D351="原料入库"),1,0)</f>
        <v>0</v>
      </c>
      <c r="AA1551">
        <f>N(AA1550)+$Z1551</f>
        <v>24</v>
      </c>
      <c r="AB1551">
        <f>IF(AND($M1551=1,LEFT(对接源_02物料!$D351,4)="原料出库"),1,0)</f>
        <v>0</v>
      </c>
      <c r="AC1551">
        <f>N(AC1550)+$AB1551</f>
        <v>0</v>
      </c>
      <c r="AD1551">
        <f>IF(AND($M1551=1,LEFT(对接源_02物料!$D351,4)="成品出库"),1,0)</f>
        <v>0</v>
      </c>
      <c r="AE1551">
        <f>N(AE1550)+$AD1551</f>
        <v>0</v>
      </c>
      <c r="AF1551">
        <f>IF(AND($N1551=1,AND(LEFT(对接源_02物料!$D351,4)="包装物料",N(对接源_02物料!$K351)&lt;&gt;0)),1,0)</f>
        <v>0</v>
      </c>
      <c r="AG1551">
        <f>N(AG1550)+$AF1551</f>
        <v>10</v>
      </c>
      <c r="AH1551">
        <f>IF(AND($N1551=1,AND(对接源_02物料!$D351="周转筐－销售出库",N(对接源_02物料!$K351)&lt;&gt;0)),1,0)</f>
        <v>0</v>
      </c>
      <c r="AI1551">
        <f>N(AI1550)+$AH1551</f>
        <v>0</v>
      </c>
      <c r="AL1551" t="n">
        <v>0</v>
      </c>
      <c r="AM1551">
        <f>N(AM1550)+$AL1551</f>
        <v>2</v>
      </c>
      <c r="AN1551">
        <f>""</f>
      </c>
      <c r="AO1551" t="n">
        <v>0</v>
      </c>
      <c r="AP1551">
        <f>N(AP1550)+$AO1551</f>
        <v>13</v>
      </c>
      <c r="AR1551">
        <f>IF(OR($AF1551=1,$AH1551=1),1,0)</f>
        <v>0</v>
      </c>
      <c r="AS1551">
        <f>N(AS1550)+$AR1551</f>
        <v>10</v>
      </c>
    </row>
    <row r="1552" s="127">
      <c r="A1552">
        <f>IF(对接源_02物料!$C352="","",对接源_02物料!$C352)</f>
      </c>
      <c r="B1552">
        <f>IF(A1552="",0,IF(MATCH(A1552,$A$4:$A$2403,0)=ROW()-3,1,0))</f>
        <v>0</v>
      </c>
      <c r="C1552">
        <f>N(C1551)+B1552</f>
        <v>26</v>
      </c>
      <c r="K1552">
        <f>IF(OR($K$1="",对接源_02物料!$C352="",对接源_02物料!$C352&lt;&gt;$K$1,对接源_02物料!$B352=""),0,IF(OR(N(对接源_02物料!$B352)&lt;$K$2,N(对接源_02物料!$B352)&gt;$K$3),0,1))</f>
        <v>0</v>
      </c>
      <c r="L1552">
        <f>IF(OR($L$1="",对接源_02物料!$C352="",对接源_02物料!$C352&lt;&gt;$L$1,对接源_02物料!$B352=""),0,IF(OR(N(对接源_02物料!$B352)&lt;$L$2,N(对接源_02物料!$B352)&gt;$L$3),0,1))</f>
        <v>0</v>
      </c>
      <c r="M1552">
        <f>IF(OR($M$1="",对接源_02物料!$C352="",对接源_02物料!$C352&lt;&gt;$M$1,对接源_02物料!$B352=""),0,IF(OR(N(对接源_02物料!$B352)&lt;$M$2,N(对接源_02物料!$B352)&gt;$M$3),0,1))</f>
        <v>0</v>
      </c>
      <c r="N1552">
        <f>IF(OR($N$1="",对接源_02物料!$C352="",对接源_02物料!$C352&lt;&gt;$N$1,对接源_02物料!$B352=""),0,IF(OR(N(对接源_02物料!$B352)&lt;$N$2,N(对接源_02物料!$B352)&gt;$N$3),0,1))</f>
        <v>0</v>
      </c>
      <c r="P1552">
        <f>IF(AND($K1552=1,AND(对接源_02物料!$X352="公司筐",N(对接源_02物料!$T352)&lt;&gt;0)),1,0)</f>
        <v>0</v>
      </c>
      <c r="Q1552">
        <f>N(Q1551)+$P1552</f>
        <v>14</v>
      </c>
      <c r="R1552">
        <f>IF(AND($K1552=1,AND(对接源_02物料!$X352="公司筐",N(对接源_02物料!$U352)&lt;&gt;0)),1,0)</f>
        <v>0</v>
      </c>
      <c r="S1552">
        <f>N(S1551)+$R1552</f>
        <v>1</v>
      </c>
      <c r="T1552">
        <f>IF(AND($K1552=1,AND(对接源_02物料!$X352="公司筐",N(对接源_02物料!$V352)&lt;&gt;0)),1,0)</f>
        <v>0</v>
      </c>
      <c r="U1552">
        <f>N(U1551)+$T1552</f>
        <v>47</v>
      </c>
      <c r="V1552">
        <f>IF(AND($L1552=1,AND(对接源_02物料!$X352="自备筐",N(对接源_02物料!$V352)&lt;&gt;0)),1,0)</f>
        <v>0</v>
      </c>
      <c r="W1552">
        <f>N(W1551)+$V1552</f>
        <v>11</v>
      </c>
      <c r="X1552">
        <f>IF(AND($L1552=1,AND(对接源_02物料!$X352="自备筐",N(对接源_02物料!$T352)&lt;&gt;0)),1,0)</f>
        <v>0</v>
      </c>
      <c r="Y1552">
        <f>N(Y1551)+$X1552</f>
        <v>0</v>
      </c>
      <c r="Z1552">
        <f>IF(AND($M1552=1,对接源_02物料!$D352="原料入库"),1,0)</f>
        <v>0</v>
      </c>
      <c r="AA1552">
        <f>N(AA1551)+$Z1552</f>
        <v>24</v>
      </c>
      <c r="AB1552">
        <f>IF(AND($M1552=1,LEFT(对接源_02物料!$D352,4)="原料出库"),1,0)</f>
        <v>0</v>
      </c>
      <c r="AC1552">
        <f>N(AC1551)+$AB1552</f>
        <v>0</v>
      </c>
      <c r="AD1552">
        <f>IF(AND($M1552=1,LEFT(对接源_02物料!$D352,4)="成品出库"),1,0)</f>
        <v>0</v>
      </c>
      <c r="AE1552">
        <f>N(AE1551)+$AD1552</f>
        <v>0</v>
      </c>
      <c r="AF1552">
        <f>IF(AND($N1552=1,AND(LEFT(对接源_02物料!$D352,4)="包装物料",N(对接源_02物料!$K352)&lt;&gt;0)),1,0)</f>
        <v>0</v>
      </c>
      <c r="AG1552">
        <f>N(AG1551)+$AF1552</f>
        <v>10</v>
      </c>
      <c r="AH1552">
        <f>IF(AND($N1552=1,AND(对接源_02物料!$D352="周转筐－销售出库",N(对接源_02物料!$K352)&lt;&gt;0)),1,0)</f>
        <v>0</v>
      </c>
      <c r="AI1552">
        <f>N(AI1551)+$AH1552</f>
        <v>0</v>
      </c>
      <c r="AL1552" t="n">
        <v>0</v>
      </c>
      <c r="AM1552">
        <f>N(AM1551)+$AL1552</f>
        <v>2</v>
      </c>
      <c r="AN1552">
        <f>""</f>
      </c>
      <c r="AO1552" t="n">
        <v>0</v>
      </c>
      <c r="AP1552">
        <f>N(AP1551)+$AO1552</f>
        <v>13</v>
      </c>
      <c r="AR1552">
        <f>IF(OR($AF1552=1,$AH1552=1),1,0)</f>
        <v>0</v>
      </c>
      <c r="AS1552">
        <f>N(AS1551)+$AR1552</f>
        <v>10</v>
      </c>
    </row>
    <row r="1553" s="127">
      <c r="A1553">
        <f>IF(对接源_02物料!$C353="","",对接源_02物料!$C353)</f>
      </c>
      <c r="B1553">
        <f>IF(A1553="",0,IF(MATCH(A1553,$A$4:$A$2403,0)=ROW()-3,1,0))</f>
        <v>0</v>
      </c>
      <c r="C1553">
        <f>N(C1552)+B1553</f>
        <v>26</v>
      </c>
      <c r="K1553">
        <f>IF(OR($K$1="",对接源_02物料!$C353="",对接源_02物料!$C353&lt;&gt;$K$1,对接源_02物料!$B353=""),0,IF(OR(N(对接源_02物料!$B353)&lt;$K$2,N(对接源_02物料!$B353)&gt;$K$3),0,1))</f>
        <v>0</v>
      </c>
      <c r="L1553">
        <f>IF(OR($L$1="",对接源_02物料!$C353="",对接源_02物料!$C353&lt;&gt;$L$1,对接源_02物料!$B353=""),0,IF(OR(N(对接源_02物料!$B353)&lt;$L$2,N(对接源_02物料!$B353)&gt;$L$3),0,1))</f>
        <v>0</v>
      </c>
      <c r="M1553">
        <f>IF(OR($M$1="",对接源_02物料!$C353="",对接源_02物料!$C353&lt;&gt;$M$1,对接源_02物料!$B353=""),0,IF(OR(N(对接源_02物料!$B353)&lt;$M$2,N(对接源_02物料!$B353)&gt;$M$3),0,1))</f>
        <v>0</v>
      </c>
      <c r="N1553">
        <f>IF(OR($N$1="",对接源_02物料!$C353="",对接源_02物料!$C353&lt;&gt;$N$1,对接源_02物料!$B353=""),0,IF(OR(N(对接源_02物料!$B353)&lt;$N$2,N(对接源_02物料!$B353)&gt;$N$3),0,1))</f>
        <v>0</v>
      </c>
      <c r="P1553">
        <f>IF(AND($K1553=1,AND(对接源_02物料!$X353="公司筐",N(对接源_02物料!$T353)&lt;&gt;0)),1,0)</f>
        <v>0</v>
      </c>
      <c r="Q1553">
        <f>N(Q1552)+$P1553</f>
        <v>14</v>
      </c>
      <c r="R1553">
        <f>IF(AND($K1553=1,AND(对接源_02物料!$X353="公司筐",N(对接源_02物料!$U353)&lt;&gt;0)),1,0)</f>
        <v>0</v>
      </c>
      <c r="S1553">
        <f>N(S1552)+$R1553</f>
        <v>1</v>
      </c>
      <c r="T1553">
        <f>IF(AND($K1553=1,AND(对接源_02物料!$X353="公司筐",N(对接源_02物料!$V353)&lt;&gt;0)),1,0)</f>
        <v>0</v>
      </c>
      <c r="U1553">
        <f>N(U1552)+$T1553</f>
        <v>47</v>
      </c>
      <c r="V1553">
        <f>IF(AND($L1553=1,AND(对接源_02物料!$X353="自备筐",N(对接源_02物料!$V353)&lt;&gt;0)),1,0)</f>
        <v>0</v>
      </c>
      <c r="W1553">
        <f>N(W1552)+$V1553</f>
        <v>11</v>
      </c>
      <c r="X1553">
        <f>IF(AND($L1553=1,AND(对接源_02物料!$X353="自备筐",N(对接源_02物料!$T353)&lt;&gt;0)),1,0)</f>
        <v>0</v>
      </c>
      <c r="Y1553">
        <f>N(Y1552)+$X1553</f>
        <v>0</v>
      </c>
      <c r="Z1553">
        <f>IF(AND($M1553=1,对接源_02物料!$D353="原料入库"),1,0)</f>
        <v>0</v>
      </c>
      <c r="AA1553">
        <f>N(AA1552)+$Z1553</f>
        <v>24</v>
      </c>
      <c r="AB1553">
        <f>IF(AND($M1553=1,LEFT(对接源_02物料!$D353,4)="原料出库"),1,0)</f>
        <v>0</v>
      </c>
      <c r="AC1553">
        <f>N(AC1552)+$AB1553</f>
        <v>0</v>
      </c>
      <c r="AD1553">
        <f>IF(AND($M1553=1,LEFT(对接源_02物料!$D353,4)="成品出库"),1,0)</f>
        <v>0</v>
      </c>
      <c r="AE1553">
        <f>N(AE1552)+$AD1553</f>
        <v>0</v>
      </c>
      <c r="AF1553">
        <f>IF(AND($N1553=1,AND(LEFT(对接源_02物料!$D353,4)="包装物料",N(对接源_02物料!$K353)&lt;&gt;0)),1,0)</f>
        <v>0</v>
      </c>
      <c r="AG1553">
        <f>N(AG1552)+$AF1553</f>
        <v>10</v>
      </c>
      <c r="AH1553">
        <f>IF(AND($N1553=1,AND(对接源_02物料!$D353="周转筐－销售出库",N(对接源_02物料!$K353)&lt;&gt;0)),1,0)</f>
        <v>0</v>
      </c>
      <c r="AI1553">
        <f>N(AI1552)+$AH1553</f>
        <v>0</v>
      </c>
      <c r="AL1553" t="n">
        <v>0</v>
      </c>
      <c r="AM1553">
        <f>N(AM1552)+$AL1553</f>
        <v>2</v>
      </c>
      <c r="AN1553">
        <f>""</f>
      </c>
      <c r="AO1553" t="n">
        <v>0</v>
      </c>
      <c r="AP1553">
        <f>N(AP1552)+$AO1553</f>
        <v>13</v>
      </c>
      <c r="AR1553">
        <f>IF(OR($AF1553=1,$AH1553=1),1,0)</f>
        <v>0</v>
      </c>
      <c r="AS1553">
        <f>N(AS1552)+$AR1553</f>
        <v>10</v>
      </c>
    </row>
    <row r="1554" s="127">
      <c r="A1554">
        <f>IF(对接源_02物料!$C354="","",对接源_02物料!$C354)</f>
      </c>
      <c r="B1554">
        <f>IF(A1554="",0,IF(MATCH(A1554,$A$4:$A$2403,0)=ROW()-3,1,0))</f>
        <v>0</v>
      </c>
      <c r="C1554">
        <f>N(C1553)+B1554</f>
        <v>26</v>
      </c>
      <c r="K1554">
        <f>IF(OR($K$1="",对接源_02物料!$C354="",对接源_02物料!$C354&lt;&gt;$K$1,对接源_02物料!$B354=""),0,IF(OR(N(对接源_02物料!$B354)&lt;$K$2,N(对接源_02物料!$B354)&gt;$K$3),0,1))</f>
        <v>0</v>
      </c>
      <c r="L1554">
        <f>IF(OR($L$1="",对接源_02物料!$C354="",对接源_02物料!$C354&lt;&gt;$L$1,对接源_02物料!$B354=""),0,IF(OR(N(对接源_02物料!$B354)&lt;$L$2,N(对接源_02物料!$B354)&gt;$L$3),0,1))</f>
        <v>0</v>
      </c>
      <c r="M1554">
        <f>IF(OR($M$1="",对接源_02物料!$C354="",对接源_02物料!$C354&lt;&gt;$M$1,对接源_02物料!$B354=""),0,IF(OR(N(对接源_02物料!$B354)&lt;$M$2,N(对接源_02物料!$B354)&gt;$M$3),0,1))</f>
        <v>0</v>
      </c>
      <c r="N1554">
        <f>IF(OR($N$1="",对接源_02物料!$C354="",对接源_02物料!$C354&lt;&gt;$N$1,对接源_02物料!$B354=""),0,IF(OR(N(对接源_02物料!$B354)&lt;$N$2,N(对接源_02物料!$B354)&gt;$N$3),0,1))</f>
        <v>0</v>
      </c>
      <c r="P1554">
        <f>IF(AND($K1554=1,AND(对接源_02物料!$X354="公司筐",N(对接源_02物料!$T354)&lt;&gt;0)),1,0)</f>
        <v>0</v>
      </c>
      <c r="Q1554">
        <f>N(Q1553)+$P1554</f>
        <v>14</v>
      </c>
      <c r="R1554">
        <f>IF(AND($K1554=1,AND(对接源_02物料!$X354="公司筐",N(对接源_02物料!$U354)&lt;&gt;0)),1,0)</f>
        <v>0</v>
      </c>
      <c r="S1554">
        <f>N(S1553)+$R1554</f>
        <v>1</v>
      </c>
      <c r="T1554">
        <f>IF(AND($K1554=1,AND(对接源_02物料!$X354="公司筐",N(对接源_02物料!$V354)&lt;&gt;0)),1,0)</f>
        <v>0</v>
      </c>
      <c r="U1554">
        <f>N(U1553)+$T1554</f>
        <v>47</v>
      </c>
      <c r="V1554">
        <f>IF(AND($L1554=1,AND(对接源_02物料!$X354="自备筐",N(对接源_02物料!$V354)&lt;&gt;0)),1,0)</f>
        <v>0</v>
      </c>
      <c r="W1554">
        <f>N(W1553)+$V1554</f>
        <v>11</v>
      </c>
      <c r="X1554">
        <f>IF(AND($L1554=1,AND(对接源_02物料!$X354="自备筐",N(对接源_02物料!$T354)&lt;&gt;0)),1,0)</f>
        <v>0</v>
      </c>
      <c r="Y1554">
        <f>N(Y1553)+$X1554</f>
        <v>0</v>
      </c>
      <c r="Z1554">
        <f>IF(AND($M1554=1,对接源_02物料!$D354="原料入库"),1,0)</f>
        <v>0</v>
      </c>
      <c r="AA1554">
        <f>N(AA1553)+$Z1554</f>
        <v>24</v>
      </c>
      <c r="AB1554">
        <f>IF(AND($M1554=1,LEFT(对接源_02物料!$D354,4)="原料出库"),1,0)</f>
        <v>0</v>
      </c>
      <c r="AC1554">
        <f>N(AC1553)+$AB1554</f>
        <v>0</v>
      </c>
      <c r="AD1554">
        <f>IF(AND($M1554=1,LEFT(对接源_02物料!$D354,4)="成品出库"),1,0)</f>
        <v>0</v>
      </c>
      <c r="AE1554">
        <f>N(AE1553)+$AD1554</f>
        <v>0</v>
      </c>
      <c r="AF1554">
        <f>IF(AND($N1554=1,AND(LEFT(对接源_02物料!$D354,4)="包装物料",N(对接源_02物料!$K354)&lt;&gt;0)),1,0)</f>
        <v>0</v>
      </c>
      <c r="AG1554">
        <f>N(AG1553)+$AF1554</f>
        <v>10</v>
      </c>
      <c r="AH1554">
        <f>IF(AND($N1554=1,AND(对接源_02物料!$D354="周转筐－销售出库",N(对接源_02物料!$K354)&lt;&gt;0)),1,0)</f>
        <v>0</v>
      </c>
      <c r="AI1554">
        <f>N(AI1553)+$AH1554</f>
        <v>0</v>
      </c>
      <c r="AL1554" t="n">
        <v>0</v>
      </c>
      <c r="AM1554">
        <f>N(AM1553)+$AL1554</f>
        <v>2</v>
      </c>
      <c r="AN1554">
        <f>""</f>
      </c>
      <c r="AO1554" t="n">
        <v>0</v>
      </c>
      <c r="AP1554">
        <f>N(AP1553)+$AO1554</f>
        <v>13</v>
      </c>
      <c r="AR1554">
        <f>IF(OR($AF1554=1,$AH1554=1),1,0)</f>
        <v>0</v>
      </c>
      <c r="AS1554">
        <f>N(AS1553)+$AR1554</f>
        <v>10</v>
      </c>
    </row>
    <row r="1555" s="127">
      <c r="A1555">
        <f>IF(对接源_02物料!$C355="","",对接源_02物料!$C355)</f>
      </c>
      <c r="B1555">
        <f>IF(A1555="",0,IF(MATCH(A1555,$A$4:$A$2403,0)=ROW()-3,1,0))</f>
        <v>0</v>
      </c>
      <c r="C1555">
        <f>N(C1554)+B1555</f>
        <v>26</v>
      </c>
      <c r="K1555">
        <f>IF(OR($K$1="",对接源_02物料!$C355="",对接源_02物料!$C355&lt;&gt;$K$1,对接源_02物料!$B355=""),0,IF(OR(N(对接源_02物料!$B355)&lt;$K$2,N(对接源_02物料!$B355)&gt;$K$3),0,1))</f>
        <v>0</v>
      </c>
      <c r="L1555">
        <f>IF(OR($L$1="",对接源_02物料!$C355="",对接源_02物料!$C355&lt;&gt;$L$1,对接源_02物料!$B355=""),0,IF(OR(N(对接源_02物料!$B355)&lt;$L$2,N(对接源_02物料!$B355)&gt;$L$3),0,1))</f>
        <v>0</v>
      </c>
      <c r="M1555">
        <f>IF(OR($M$1="",对接源_02物料!$C355="",对接源_02物料!$C355&lt;&gt;$M$1,对接源_02物料!$B355=""),0,IF(OR(N(对接源_02物料!$B355)&lt;$M$2,N(对接源_02物料!$B355)&gt;$M$3),0,1))</f>
        <v>0</v>
      </c>
      <c r="N1555">
        <f>IF(OR($N$1="",对接源_02物料!$C355="",对接源_02物料!$C355&lt;&gt;$N$1,对接源_02物料!$B355=""),0,IF(OR(N(对接源_02物料!$B355)&lt;$N$2,N(对接源_02物料!$B355)&gt;$N$3),0,1))</f>
        <v>0</v>
      </c>
      <c r="P1555">
        <f>IF(AND($K1555=1,AND(对接源_02物料!$X355="公司筐",N(对接源_02物料!$T355)&lt;&gt;0)),1,0)</f>
        <v>0</v>
      </c>
      <c r="Q1555">
        <f>N(Q1554)+$P1555</f>
        <v>14</v>
      </c>
      <c r="R1555">
        <f>IF(AND($K1555=1,AND(对接源_02物料!$X355="公司筐",N(对接源_02物料!$U355)&lt;&gt;0)),1,0)</f>
        <v>0</v>
      </c>
      <c r="S1555">
        <f>N(S1554)+$R1555</f>
        <v>1</v>
      </c>
      <c r="T1555">
        <f>IF(AND($K1555=1,AND(对接源_02物料!$X355="公司筐",N(对接源_02物料!$V355)&lt;&gt;0)),1,0)</f>
        <v>0</v>
      </c>
      <c r="U1555">
        <f>N(U1554)+$T1555</f>
        <v>47</v>
      </c>
      <c r="V1555">
        <f>IF(AND($L1555=1,AND(对接源_02物料!$X355="自备筐",N(对接源_02物料!$V355)&lt;&gt;0)),1,0)</f>
        <v>0</v>
      </c>
      <c r="W1555">
        <f>N(W1554)+$V1555</f>
        <v>11</v>
      </c>
      <c r="X1555">
        <f>IF(AND($L1555=1,AND(对接源_02物料!$X355="自备筐",N(对接源_02物料!$T355)&lt;&gt;0)),1,0)</f>
        <v>0</v>
      </c>
      <c r="Y1555">
        <f>N(Y1554)+$X1555</f>
        <v>0</v>
      </c>
      <c r="Z1555">
        <f>IF(AND($M1555=1,对接源_02物料!$D355="原料入库"),1,0)</f>
        <v>0</v>
      </c>
      <c r="AA1555">
        <f>N(AA1554)+$Z1555</f>
        <v>24</v>
      </c>
      <c r="AB1555">
        <f>IF(AND($M1555=1,LEFT(对接源_02物料!$D355,4)="原料出库"),1,0)</f>
        <v>0</v>
      </c>
      <c r="AC1555">
        <f>N(AC1554)+$AB1555</f>
        <v>0</v>
      </c>
      <c r="AD1555">
        <f>IF(AND($M1555=1,LEFT(对接源_02物料!$D355,4)="成品出库"),1,0)</f>
        <v>0</v>
      </c>
      <c r="AE1555">
        <f>N(AE1554)+$AD1555</f>
        <v>0</v>
      </c>
      <c r="AF1555">
        <f>IF(AND($N1555=1,AND(LEFT(对接源_02物料!$D355,4)="包装物料",N(对接源_02物料!$K355)&lt;&gt;0)),1,0)</f>
        <v>0</v>
      </c>
      <c r="AG1555">
        <f>N(AG1554)+$AF1555</f>
        <v>10</v>
      </c>
      <c r="AH1555">
        <f>IF(AND($N1555=1,AND(对接源_02物料!$D355="周转筐－销售出库",N(对接源_02物料!$K355)&lt;&gt;0)),1,0)</f>
        <v>0</v>
      </c>
      <c r="AI1555">
        <f>N(AI1554)+$AH1555</f>
        <v>0</v>
      </c>
      <c r="AL1555" t="n">
        <v>0</v>
      </c>
      <c r="AM1555">
        <f>N(AM1554)+$AL1555</f>
        <v>2</v>
      </c>
      <c r="AN1555">
        <f>""</f>
      </c>
      <c r="AO1555" t="n">
        <v>0</v>
      </c>
      <c r="AP1555">
        <f>N(AP1554)+$AO1555</f>
        <v>13</v>
      </c>
      <c r="AR1555">
        <f>IF(OR($AF1555=1,$AH1555=1),1,0)</f>
        <v>0</v>
      </c>
      <c r="AS1555">
        <f>N(AS1554)+$AR1555</f>
        <v>10</v>
      </c>
    </row>
    <row r="1556" s="127">
      <c r="A1556">
        <f>IF(对接源_02物料!$C356="","",对接源_02物料!$C356)</f>
      </c>
      <c r="B1556">
        <f>IF(A1556="",0,IF(MATCH(A1556,$A$4:$A$2403,0)=ROW()-3,1,0))</f>
        <v>0</v>
      </c>
      <c r="C1556">
        <f>N(C1555)+B1556</f>
        <v>26</v>
      </c>
      <c r="K1556">
        <f>IF(OR($K$1="",对接源_02物料!$C356="",对接源_02物料!$C356&lt;&gt;$K$1,对接源_02物料!$B356=""),0,IF(OR(N(对接源_02物料!$B356)&lt;$K$2,N(对接源_02物料!$B356)&gt;$K$3),0,1))</f>
        <v>0</v>
      </c>
      <c r="L1556">
        <f>IF(OR($L$1="",对接源_02物料!$C356="",对接源_02物料!$C356&lt;&gt;$L$1,对接源_02物料!$B356=""),0,IF(OR(N(对接源_02物料!$B356)&lt;$L$2,N(对接源_02物料!$B356)&gt;$L$3),0,1))</f>
        <v>0</v>
      </c>
      <c r="M1556">
        <f>IF(OR($M$1="",对接源_02物料!$C356="",对接源_02物料!$C356&lt;&gt;$M$1,对接源_02物料!$B356=""),0,IF(OR(N(对接源_02物料!$B356)&lt;$M$2,N(对接源_02物料!$B356)&gt;$M$3),0,1))</f>
        <v>0</v>
      </c>
      <c r="N1556">
        <f>IF(OR($N$1="",对接源_02物料!$C356="",对接源_02物料!$C356&lt;&gt;$N$1,对接源_02物料!$B356=""),0,IF(OR(N(对接源_02物料!$B356)&lt;$N$2,N(对接源_02物料!$B356)&gt;$N$3),0,1))</f>
        <v>0</v>
      </c>
      <c r="P1556">
        <f>IF(AND($K1556=1,AND(对接源_02物料!$X356="公司筐",N(对接源_02物料!$T356)&lt;&gt;0)),1,0)</f>
        <v>0</v>
      </c>
      <c r="Q1556">
        <f>N(Q1555)+$P1556</f>
        <v>14</v>
      </c>
      <c r="R1556">
        <f>IF(AND($K1556=1,AND(对接源_02物料!$X356="公司筐",N(对接源_02物料!$U356)&lt;&gt;0)),1,0)</f>
        <v>0</v>
      </c>
      <c r="S1556">
        <f>N(S1555)+$R1556</f>
        <v>1</v>
      </c>
      <c r="T1556">
        <f>IF(AND($K1556=1,AND(对接源_02物料!$X356="公司筐",N(对接源_02物料!$V356)&lt;&gt;0)),1,0)</f>
        <v>0</v>
      </c>
      <c r="U1556">
        <f>N(U1555)+$T1556</f>
        <v>47</v>
      </c>
      <c r="V1556">
        <f>IF(AND($L1556=1,AND(对接源_02物料!$X356="自备筐",N(对接源_02物料!$V356)&lt;&gt;0)),1,0)</f>
        <v>0</v>
      </c>
      <c r="W1556">
        <f>N(W1555)+$V1556</f>
        <v>11</v>
      </c>
      <c r="X1556">
        <f>IF(AND($L1556=1,AND(对接源_02物料!$X356="自备筐",N(对接源_02物料!$T356)&lt;&gt;0)),1,0)</f>
        <v>0</v>
      </c>
      <c r="Y1556">
        <f>N(Y1555)+$X1556</f>
        <v>0</v>
      </c>
      <c r="Z1556">
        <f>IF(AND($M1556=1,对接源_02物料!$D356="原料入库"),1,0)</f>
        <v>0</v>
      </c>
      <c r="AA1556">
        <f>N(AA1555)+$Z1556</f>
        <v>24</v>
      </c>
      <c r="AB1556">
        <f>IF(AND($M1556=1,LEFT(对接源_02物料!$D356,4)="原料出库"),1,0)</f>
        <v>0</v>
      </c>
      <c r="AC1556">
        <f>N(AC1555)+$AB1556</f>
        <v>0</v>
      </c>
      <c r="AD1556">
        <f>IF(AND($M1556=1,LEFT(对接源_02物料!$D356,4)="成品出库"),1,0)</f>
        <v>0</v>
      </c>
      <c r="AE1556">
        <f>N(AE1555)+$AD1556</f>
        <v>0</v>
      </c>
      <c r="AF1556">
        <f>IF(AND($N1556=1,AND(LEFT(对接源_02物料!$D356,4)="包装物料",N(对接源_02物料!$K356)&lt;&gt;0)),1,0)</f>
        <v>0</v>
      </c>
      <c r="AG1556">
        <f>N(AG1555)+$AF1556</f>
        <v>10</v>
      </c>
      <c r="AH1556">
        <f>IF(AND($N1556=1,AND(对接源_02物料!$D356="周转筐－销售出库",N(对接源_02物料!$K356)&lt;&gt;0)),1,0)</f>
        <v>0</v>
      </c>
      <c r="AI1556">
        <f>N(AI1555)+$AH1556</f>
        <v>0</v>
      </c>
      <c r="AL1556" t="n">
        <v>0</v>
      </c>
      <c r="AM1556">
        <f>N(AM1555)+$AL1556</f>
        <v>2</v>
      </c>
      <c r="AN1556">
        <f>""</f>
      </c>
      <c r="AO1556" t="n">
        <v>0</v>
      </c>
      <c r="AP1556">
        <f>N(AP1555)+$AO1556</f>
        <v>13</v>
      </c>
      <c r="AR1556">
        <f>IF(OR($AF1556=1,$AH1556=1),1,0)</f>
        <v>0</v>
      </c>
      <c r="AS1556">
        <f>N(AS1555)+$AR1556</f>
        <v>10</v>
      </c>
    </row>
    <row r="1557" s="127">
      <c r="A1557">
        <f>IF(对接源_02物料!$C357="","",对接源_02物料!$C357)</f>
      </c>
      <c r="B1557">
        <f>IF(A1557="",0,IF(MATCH(A1557,$A$4:$A$2403,0)=ROW()-3,1,0))</f>
        <v>0</v>
      </c>
      <c r="C1557">
        <f>N(C1556)+B1557</f>
        <v>26</v>
      </c>
      <c r="K1557">
        <f>IF(OR($K$1="",对接源_02物料!$C357="",对接源_02物料!$C357&lt;&gt;$K$1,对接源_02物料!$B357=""),0,IF(OR(N(对接源_02物料!$B357)&lt;$K$2,N(对接源_02物料!$B357)&gt;$K$3),0,1))</f>
        <v>0</v>
      </c>
      <c r="L1557">
        <f>IF(OR($L$1="",对接源_02物料!$C357="",对接源_02物料!$C357&lt;&gt;$L$1,对接源_02物料!$B357=""),0,IF(OR(N(对接源_02物料!$B357)&lt;$L$2,N(对接源_02物料!$B357)&gt;$L$3),0,1))</f>
        <v>0</v>
      </c>
      <c r="M1557">
        <f>IF(OR($M$1="",对接源_02物料!$C357="",对接源_02物料!$C357&lt;&gt;$M$1,对接源_02物料!$B357=""),0,IF(OR(N(对接源_02物料!$B357)&lt;$M$2,N(对接源_02物料!$B357)&gt;$M$3),0,1))</f>
        <v>0</v>
      </c>
      <c r="N1557">
        <f>IF(OR($N$1="",对接源_02物料!$C357="",对接源_02物料!$C357&lt;&gt;$N$1,对接源_02物料!$B357=""),0,IF(OR(N(对接源_02物料!$B357)&lt;$N$2,N(对接源_02物料!$B357)&gt;$N$3),0,1))</f>
        <v>0</v>
      </c>
      <c r="P1557">
        <f>IF(AND($K1557=1,AND(对接源_02物料!$X357="公司筐",N(对接源_02物料!$T357)&lt;&gt;0)),1,0)</f>
        <v>0</v>
      </c>
      <c r="Q1557">
        <f>N(Q1556)+$P1557</f>
        <v>14</v>
      </c>
      <c r="R1557">
        <f>IF(AND($K1557=1,AND(对接源_02物料!$X357="公司筐",N(对接源_02物料!$U357)&lt;&gt;0)),1,0)</f>
        <v>0</v>
      </c>
      <c r="S1557">
        <f>N(S1556)+$R1557</f>
        <v>1</v>
      </c>
      <c r="T1557">
        <f>IF(AND($K1557=1,AND(对接源_02物料!$X357="公司筐",N(对接源_02物料!$V357)&lt;&gt;0)),1,0)</f>
        <v>0</v>
      </c>
      <c r="U1557">
        <f>N(U1556)+$T1557</f>
        <v>47</v>
      </c>
      <c r="V1557">
        <f>IF(AND($L1557=1,AND(对接源_02物料!$X357="自备筐",N(对接源_02物料!$V357)&lt;&gt;0)),1,0)</f>
        <v>0</v>
      </c>
      <c r="W1557">
        <f>N(W1556)+$V1557</f>
        <v>11</v>
      </c>
      <c r="X1557">
        <f>IF(AND($L1557=1,AND(对接源_02物料!$X357="自备筐",N(对接源_02物料!$T357)&lt;&gt;0)),1,0)</f>
        <v>0</v>
      </c>
      <c r="Y1557">
        <f>N(Y1556)+$X1557</f>
        <v>0</v>
      </c>
      <c r="Z1557">
        <f>IF(AND($M1557=1,对接源_02物料!$D357="原料入库"),1,0)</f>
        <v>0</v>
      </c>
      <c r="AA1557">
        <f>N(AA1556)+$Z1557</f>
        <v>24</v>
      </c>
      <c r="AB1557">
        <f>IF(AND($M1557=1,LEFT(对接源_02物料!$D357,4)="原料出库"),1,0)</f>
        <v>0</v>
      </c>
      <c r="AC1557">
        <f>N(AC1556)+$AB1557</f>
        <v>0</v>
      </c>
      <c r="AD1557">
        <f>IF(AND($M1557=1,LEFT(对接源_02物料!$D357,4)="成品出库"),1,0)</f>
        <v>0</v>
      </c>
      <c r="AE1557">
        <f>N(AE1556)+$AD1557</f>
        <v>0</v>
      </c>
      <c r="AF1557">
        <f>IF(AND($N1557=1,AND(LEFT(对接源_02物料!$D357,4)="包装物料",N(对接源_02物料!$K357)&lt;&gt;0)),1,0)</f>
        <v>0</v>
      </c>
      <c r="AG1557">
        <f>N(AG1556)+$AF1557</f>
        <v>10</v>
      </c>
      <c r="AH1557">
        <f>IF(AND($N1557=1,AND(对接源_02物料!$D357="周转筐－销售出库",N(对接源_02物料!$K357)&lt;&gt;0)),1,0)</f>
        <v>0</v>
      </c>
      <c r="AI1557">
        <f>N(AI1556)+$AH1557</f>
        <v>0</v>
      </c>
      <c r="AL1557" t="n">
        <v>0</v>
      </c>
      <c r="AM1557">
        <f>N(AM1556)+$AL1557</f>
        <v>2</v>
      </c>
      <c r="AN1557">
        <f>""</f>
      </c>
      <c r="AO1557" t="n">
        <v>0</v>
      </c>
      <c r="AP1557">
        <f>N(AP1556)+$AO1557</f>
        <v>13</v>
      </c>
      <c r="AR1557">
        <f>IF(OR($AF1557=1,$AH1557=1),1,0)</f>
        <v>0</v>
      </c>
      <c r="AS1557">
        <f>N(AS1556)+$AR1557</f>
        <v>10</v>
      </c>
    </row>
    <row r="1558" s="127">
      <c r="A1558">
        <f>IF(对接源_02物料!$C358="","",对接源_02物料!$C358)</f>
      </c>
      <c r="B1558">
        <f>IF(A1558="",0,IF(MATCH(A1558,$A$4:$A$2403,0)=ROW()-3,1,0))</f>
        <v>0</v>
      </c>
      <c r="C1558">
        <f>N(C1557)+B1558</f>
        <v>26</v>
      </c>
      <c r="K1558">
        <f>IF(OR($K$1="",对接源_02物料!$C358="",对接源_02物料!$C358&lt;&gt;$K$1,对接源_02物料!$B358=""),0,IF(OR(N(对接源_02物料!$B358)&lt;$K$2,N(对接源_02物料!$B358)&gt;$K$3),0,1))</f>
        <v>0</v>
      </c>
      <c r="L1558">
        <f>IF(OR($L$1="",对接源_02物料!$C358="",对接源_02物料!$C358&lt;&gt;$L$1,对接源_02物料!$B358=""),0,IF(OR(N(对接源_02物料!$B358)&lt;$L$2,N(对接源_02物料!$B358)&gt;$L$3),0,1))</f>
        <v>0</v>
      </c>
      <c r="M1558">
        <f>IF(OR($M$1="",对接源_02物料!$C358="",对接源_02物料!$C358&lt;&gt;$M$1,对接源_02物料!$B358=""),0,IF(OR(N(对接源_02物料!$B358)&lt;$M$2,N(对接源_02物料!$B358)&gt;$M$3),0,1))</f>
        <v>0</v>
      </c>
      <c r="N1558">
        <f>IF(OR($N$1="",对接源_02物料!$C358="",对接源_02物料!$C358&lt;&gt;$N$1,对接源_02物料!$B358=""),0,IF(OR(N(对接源_02物料!$B358)&lt;$N$2,N(对接源_02物料!$B358)&gt;$N$3),0,1))</f>
        <v>0</v>
      </c>
      <c r="P1558">
        <f>IF(AND($K1558=1,AND(对接源_02物料!$X358="公司筐",N(对接源_02物料!$T358)&lt;&gt;0)),1,0)</f>
        <v>0</v>
      </c>
      <c r="Q1558">
        <f>N(Q1557)+$P1558</f>
        <v>14</v>
      </c>
      <c r="R1558">
        <f>IF(AND($K1558=1,AND(对接源_02物料!$X358="公司筐",N(对接源_02物料!$U358)&lt;&gt;0)),1,0)</f>
        <v>0</v>
      </c>
      <c r="S1558">
        <f>N(S1557)+$R1558</f>
        <v>1</v>
      </c>
      <c r="T1558">
        <f>IF(AND($K1558=1,AND(对接源_02物料!$X358="公司筐",N(对接源_02物料!$V358)&lt;&gt;0)),1,0)</f>
        <v>0</v>
      </c>
      <c r="U1558">
        <f>N(U1557)+$T1558</f>
        <v>47</v>
      </c>
      <c r="V1558">
        <f>IF(AND($L1558=1,AND(对接源_02物料!$X358="自备筐",N(对接源_02物料!$V358)&lt;&gt;0)),1,0)</f>
        <v>0</v>
      </c>
      <c r="W1558">
        <f>N(W1557)+$V1558</f>
        <v>11</v>
      </c>
      <c r="X1558">
        <f>IF(AND($L1558=1,AND(对接源_02物料!$X358="自备筐",N(对接源_02物料!$T358)&lt;&gt;0)),1,0)</f>
        <v>0</v>
      </c>
      <c r="Y1558">
        <f>N(Y1557)+$X1558</f>
        <v>0</v>
      </c>
      <c r="Z1558">
        <f>IF(AND($M1558=1,对接源_02物料!$D358="原料入库"),1,0)</f>
        <v>0</v>
      </c>
      <c r="AA1558">
        <f>N(AA1557)+$Z1558</f>
        <v>24</v>
      </c>
      <c r="AB1558">
        <f>IF(AND($M1558=1,LEFT(对接源_02物料!$D358,4)="原料出库"),1,0)</f>
        <v>0</v>
      </c>
      <c r="AC1558">
        <f>N(AC1557)+$AB1558</f>
        <v>0</v>
      </c>
      <c r="AD1558">
        <f>IF(AND($M1558=1,LEFT(对接源_02物料!$D358,4)="成品出库"),1,0)</f>
        <v>0</v>
      </c>
      <c r="AE1558">
        <f>N(AE1557)+$AD1558</f>
        <v>0</v>
      </c>
      <c r="AF1558">
        <f>IF(AND($N1558=1,AND(LEFT(对接源_02物料!$D358,4)="包装物料",N(对接源_02物料!$K358)&lt;&gt;0)),1,0)</f>
        <v>0</v>
      </c>
      <c r="AG1558">
        <f>N(AG1557)+$AF1558</f>
        <v>10</v>
      </c>
      <c r="AH1558">
        <f>IF(AND($N1558=1,AND(对接源_02物料!$D358="周转筐－销售出库",N(对接源_02物料!$K358)&lt;&gt;0)),1,0)</f>
        <v>0</v>
      </c>
      <c r="AI1558">
        <f>N(AI1557)+$AH1558</f>
        <v>0</v>
      </c>
      <c r="AL1558" t="n">
        <v>0</v>
      </c>
      <c r="AM1558">
        <f>N(AM1557)+$AL1558</f>
        <v>2</v>
      </c>
      <c r="AN1558">
        <f>""</f>
      </c>
      <c r="AO1558" t="n">
        <v>0</v>
      </c>
      <c r="AP1558">
        <f>N(AP1557)+$AO1558</f>
        <v>13</v>
      </c>
      <c r="AR1558">
        <f>IF(OR($AF1558=1,$AH1558=1),1,0)</f>
        <v>0</v>
      </c>
      <c r="AS1558">
        <f>N(AS1557)+$AR1558</f>
        <v>10</v>
      </c>
    </row>
    <row r="1559" s="127">
      <c r="A1559">
        <f>IF(对接源_02物料!$C359="","",对接源_02物料!$C359)</f>
      </c>
      <c r="B1559">
        <f>IF(A1559="",0,IF(MATCH(A1559,$A$4:$A$2403,0)=ROW()-3,1,0))</f>
        <v>0</v>
      </c>
      <c r="C1559">
        <f>N(C1558)+B1559</f>
        <v>26</v>
      </c>
      <c r="K1559">
        <f>IF(OR($K$1="",对接源_02物料!$C359="",对接源_02物料!$C359&lt;&gt;$K$1,对接源_02物料!$B359=""),0,IF(OR(N(对接源_02物料!$B359)&lt;$K$2,N(对接源_02物料!$B359)&gt;$K$3),0,1))</f>
        <v>0</v>
      </c>
      <c r="L1559">
        <f>IF(OR($L$1="",对接源_02物料!$C359="",对接源_02物料!$C359&lt;&gt;$L$1,对接源_02物料!$B359=""),0,IF(OR(N(对接源_02物料!$B359)&lt;$L$2,N(对接源_02物料!$B359)&gt;$L$3),0,1))</f>
        <v>0</v>
      </c>
      <c r="M1559">
        <f>IF(OR($M$1="",对接源_02物料!$C359="",对接源_02物料!$C359&lt;&gt;$M$1,对接源_02物料!$B359=""),0,IF(OR(N(对接源_02物料!$B359)&lt;$M$2,N(对接源_02物料!$B359)&gt;$M$3),0,1))</f>
        <v>0</v>
      </c>
      <c r="N1559">
        <f>IF(OR($N$1="",对接源_02物料!$C359="",对接源_02物料!$C359&lt;&gt;$N$1,对接源_02物料!$B359=""),0,IF(OR(N(对接源_02物料!$B359)&lt;$N$2,N(对接源_02物料!$B359)&gt;$N$3),0,1))</f>
        <v>0</v>
      </c>
      <c r="P1559">
        <f>IF(AND($K1559=1,AND(对接源_02物料!$X359="公司筐",N(对接源_02物料!$T359)&lt;&gt;0)),1,0)</f>
        <v>0</v>
      </c>
      <c r="Q1559">
        <f>N(Q1558)+$P1559</f>
        <v>14</v>
      </c>
      <c r="R1559">
        <f>IF(AND($K1559=1,AND(对接源_02物料!$X359="公司筐",N(对接源_02物料!$U359)&lt;&gt;0)),1,0)</f>
        <v>0</v>
      </c>
      <c r="S1559">
        <f>N(S1558)+$R1559</f>
        <v>1</v>
      </c>
      <c r="T1559">
        <f>IF(AND($K1559=1,AND(对接源_02物料!$X359="公司筐",N(对接源_02物料!$V359)&lt;&gt;0)),1,0)</f>
        <v>0</v>
      </c>
      <c r="U1559">
        <f>N(U1558)+$T1559</f>
        <v>47</v>
      </c>
      <c r="V1559">
        <f>IF(AND($L1559=1,AND(对接源_02物料!$X359="自备筐",N(对接源_02物料!$V359)&lt;&gt;0)),1,0)</f>
        <v>0</v>
      </c>
      <c r="W1559">
        <f>N(W1558)+$V1559</f>
        <v>11</v>
      </c>
      <c r="X1559">
        <f>IF(AND($L1559=1,AND(对接源_02物料!$X359="自备筐",N(对接源_02物料!$T359)&lt;&gt;0)),1,0)</f>
        <v>0</v>
      </c>
      <c r="Y1559">
        <f>N(Y1558)+$X1559</f>
        <v>0</v>
      </c>
      <c r="Z1559">
        <f>IF(AND($M1559=1,对接源_02物料!$D359="原料入库"),1,0)</f>
        <v>0</v>
      </c>
      <c r="AA1559">
        <f>N(AA1558)+$Z1559</f>
        <v>24</v>
      </c>
      <c r="AB1559">
        <f>IF(AND($M1559=1,LEFT(对接源_02物料!$D359,4)="原料出库"),1,0)</f>
        <v>0</v>
      </c>
      <c r="AC1559">
        <f>N(AC1558)+$AB1559</f>
        <v>0</v>
      </c>
      <c r="AD1559">
        <f>IF(AND($M1559=1,LEFT(对接源_02物料!$D359,4)="成品出库"),1,0)</f>
        <v>0</v>
      </c>
      <c r="AE1559">
        <f>N(AE1558)+$AD1559</f>
        <v>0</v>
      </c>
      <c r="AF1559">
        <f>IF(AND($N1559=1,AND(LEFT(对接源_02物料!$D359,4)="包装物料",N(对接源_02物料!$K359)&lt;&gt;0)),1,0)</f>
        <v>0</v>
      </c>
      <c r="AG1559">
        <f>N(AG1558)+$AF1559</f>
        <v>10</v>
      </c>
      <c r="AH1559">
        <f>IF(AND($N1559=1,AND(对接源_02物料!$D359="周转筐－销售出库",N(对接源_02物料!$K359)&lt;&gt;0)),1,0)</f>
        <v>0</v>
      </c>
      <c r="AI1559">
        <f>N(AI1558)+$AH1559</f>
        <v>0</v>
      </c>
      <c r="AL1559" t="n">
        <v>0</v>
      </c>
      <c r="AM1559">
        <f>N(AM1558)+$AL1559</f>
        <v>2</v>
      </c>
      <c r="AN1559">
        <f>""</f>
      </c>
      <c r="AO1559" t="n">
        <v>0</v>
      </c>
      <c r="AP1559">
        <f>N(AP1558)+$AO1559</f>
        <v>13</v>
      </c>
      <c r="AR1559">
        <f>IF(OR($AF1559=1,$AH1559=1),1,0)</f>
        <v>0</v>
      </c>
      <c r="AS1559">
        <f>N(AS1558)+$AR1559</f>
        <v>10</v>
      </c>
    </row>
    <row r="1560" s="127">
      <c r="A1560">
        <f>IF(对接源_02物料!$C360="","",对接源_02物料!$C360)</f>
      </c>
      <c r="B1560">
        <f>IF(A1560="",0,IF(MATCH(A1560,$A$4:$A$2403,0)=ROW()-3,1,0))</f>
        <v>0</v>
      </c>
      <c r="C1560">
        <f>N(C1559)+B1560</f>
        <v>26</v>
      </c>
      <c r="K1560">
        <f>IF(OR($K$1="",对接源_02物料!$C360="",对接源_02物料!$C360&lt;&gt;$K$1,对接源_02物料!$B360=""),0,IF(OR(N(对接源_02物料!$B360)&lt;$K$2,N(对接源_02物料!$B360)&gt;$K$3),0,1))</f>
        <v>0</v>
      </c>
      <c r="L1560">
        <f>IF(OR($L$1="",对接源_02物料!$C360="",对接源_02物料!$C360&lt;&gt;$L$1,对接源_02物料!$B360=""),0,IF(OR(N(对接源_02物料!$B360)&lt;$L$2,N(对接源_02物料!$B360)&gt;$L$3),0,1))</f>
        <v>0</v>
      </c>
      <c r="M1560">
        <f>IF(OR($M$1="",对接源_02物料!$C360="",对接源_02物料!$C360&lt;&gt;$M$1,对接源_02物料!$B360=""),0,IF(OR(N(对接源_02物料!$B360)&lt;$M$2,N(对接源_02物料!$B360)&gt;$M$3),0,1))</f>
        <v>0</v>
      </c>
      <c r="N1560">
        <f>IF(OR($N$1="",对接源_02物料!$C360="",对接源_02物料!$C360&lt;&gt;$N$1,对接源_02物料!$B360=""),0,IF(OR(N(对接源_02物料!$B360)&lt;$N$2,N(对接源_02物料!$B360)&gt;$N$3),0,1))</f>
        <v>0</v>
      </c>
      <c r="P1560">
        <f>IF(AND($K1560=1,AND(对接源_02物料!$X360="公司筐",N(对接源_02物料!$T360)&lt;&gt;0)),1,0)</f>
        <v>0</v>
      </c>
      <c r="Q1560">
        <f>N(Q1559)+$P1560</f>
        <v>14</v>
      </c>
      <c r="R1560">
        <f>IF(AND($K1560=1,AND(对接源_02物料!$X360="公司筐",N(对接源_02物料!$U360)&lt;&gt;0)),1,0)</f>
        <v>0</v>
      </c>
      <c r="S1560">
        <f>N(S1559)+$R1560</f>
        <v>1</v>
      </c>
      <c r="T1560">
        <f>IF(AND($K1560=1,AND(对接源_02物料!$X360="公司筐",N(对接源_02物料!$V360)&lt;&gt;0)),1,0)</f>
        <v>0</v>
      </c>
      <c r="U1560">
        <f>N(U1559)+$T1560</f>
        <v>47</v>
      </c>
      <c r="V1560">
        <f>IF(AND($L1560=1,AND(对接源_02物料!$X360="自备筐",N(对接源_02物料!$V360)&lt;&gt;0)),1,0)</f>
        <v>0</v>
      </c>
      <c r="W1560">
        <f>N(W1559)+$V1560</f>
        <v>11</v>
      </c>
      <c r="X1560">
        <f>IF(AND($L1560=1,AND(对接源_02物料!$X360="自备筐",N(对接源_02物料!$T360)&lt;&gt;0)),1,0)</f>
        <v>0</v>
      </c>
      <c r="Y1560">
        <f>N(Y1559)+$X1560</f>
        <v>0</v>
      </c>
      <c r="Z1560">
        <f>IF(AND($M1560=1,对接源_02物料!$D360="原料入库"),1,0)</f>
        <v>0</v>
      </c>
      <c r="AA1560">
        <f>N(AA1559)+$Z1560</f>
        <v>24</v>
      </c>
      <c r="AB1560">
        <f>IF(AND($M1560=1,LEFT(对接源_02物料!$D360,4)="原料出库"),1,0)</f>
        <v>0</v>
      </c>
      <c r="AC1560">
        <f>N(AC1559)+$AB1560</f>
        <v>0</v>
      </c>
      <c r="AD1560">
        <f>IF(AND($M1560=1,LEFT(对接源_02物料!$D360,4)="成品出库"),1,0)</f>
        <v>0</v>
      </c>
      <c r="AE1560">
        <f>N(AE1559)+$AD1560</f>
        <v>0</v>
      </c>
      <c r="AF1560">
        <f>IF(AND($N1560=1,AND(LEFT(对接源_02物料!$D360,4)="包装物料",N(对接源_02物料!$K360)&lt;&gt;0)),1,0)</f>
        <v>0</v>
      </c>
      <c r="AG1560">
        <f>N(AG1559)+$AF1560</f>
        <v>10</v>
      </c>
      <c r="AH1560">
        <f>IF(AND($N1560=1,AND(对接源_02物料!$D360="周转筐－销售出库",N(对接源_02物料!$K360)&lt;&gt;0)),1,0)</f>
        <v>0</v>
      </c>
      <c r="AI1560">
        <f>N(AI1559)+$AH1560</f>
        <v>0</v>
      </c>
      <c r="AL1560" t="n">
        <v>0</v>
      </c>
      <c r="AM1560">
        <f>N(AM1559)+$AL1560</f>
        <v>2</v>
      </c>
      <c r="AN1560">
        <f>""</f>
      </c>
      <c r="AO1560" t="n">
        <v>0</v>
      </c>
      <c r="AP1560">
        <f>N(AP1559)+$AO1560</f>
        <v>13</v>
      </c>
      <c r="AR1560">
        <f>IF(OR($AF1560=1,$AH1560=1),1,0)</f>
        <v>0</v>
      </c>
      <c r="AS1560">
        <f>N(AS1559)+$AR1560</f>
        <v>10</v>
      </c>
    </row>
    <row r="1561" s="127">
      <c r="A1561">
        <f>IF(对接源_02物料!$C361="","",对接源_02物料!$C361)</f>
      </c>
      <c r="B1561">
        <f>IF(A1561="",0,IF(MATCH(A1561,$A$4:$A$2403,0)=ROW()-3,1,0))</f>
        <v>0</v>
      </c>
      <c r="C1561">
        <f>N(C1560)+B1561</f>
        <v>26</v>
      </c>
      <c r="K1561">
        <f>IF(OR($K$1="",对接源_02物料!$C361="",对接源_02物料!$C361&lt;&gt;$K$1,对接源_02物料!$B361=""),0,IF(OR(N(对接源_02物料!$B361)&lt;$K$2,N(对接源_02物料!$B361)&gt;$K$3),0,1))</f>
        <v>0</v>
      </c>
      <c r="L1561">
        <f>IF(OR($L$1="",对接源_02物料!$C361="",对接源_02物料!$C361&lt;&gt;$L$1,对接源_02物料!$B361=""),0,IF(OR(N(对接源_02物料!$B361)&lt;$L$2,N(对接源_02物料!$B361)&gt;$L$3),0,1))</f>
        <v>0</v>
      </c>
      <c r="M1561">
        <f>IF(OR($M$1="",对接源_02物料!$C361="",对接源_02物料!$C361&lt;&gt;$M$1,对接源_02物料!$B361=""),0,IF(OR(N(对接源_02物料!$B361)&lt;$M$2,N(对接源_02物料!$B361)&gt;$M$3),0,1))</f>
        <v>0</v>
      </c>
      <c r="N1561">
        <f>IF(OR($N$1="",对接源_02物料!$C361="",对接源_02物料!$C361&lt;&gt;$N$1,对接源_02物料!$B361=""),0,IF(OR(N(对接源_02物料!$B361)&lt;$N$2,N(对接源_02物料!$B361)&gt;$N$3),0,1))</f>
        <v>0</v>
      </c>
      <c r="P1561">
        <f>IF(AND($K1561=1,AND(对接源_02物料!$X361="公司筐",N(对接源_02物料!$T361)&lt;&gt;0)),1,0)</f>
        <v>0</v>
      </c>
      <c r="Q1561">
        <f>N(Q1560)+$P1561</f>
        <v>14</v>
      </c>
      <c r="R1561">
        <f>IF(AND($K1561=1,AND(对接源_02物料!$X361="公司筐",N(对接源_02物料!$U361)&lt;&gt;0)),1,0)</f>
        <v>0</v>
      </c>
      <c r="S1561">
        <f>N(S1560)+$R1561</f>
        <v>1</v>
      </c>
      <c r="T1561">
        <f>IF(AND($K1561=1,AND(对接源_02物料!$X361="公司筐",N(对接源_02物料!$V361)&lt;&gt;0)),1,0)</f>
        <v>0</v>
      </c>
      <c r="U1561">
        <f>N(U1560)+$T1561</f>
        <v>47</v>
      </c>
      <c r="V1561">
        <f>IF(AND($L1561=1,AND(对接源_02物料!$X361="自备筐",N(对接源_02物料!$V361)&lt;&gt;0)),1,0)</f>
        <v>0</v>
      </c>
      <c r="W1561">
        <f>N(W1560)+$V1561</f>
        <v>11</v>
      </c>
      <c r="X1561">
        <f>IF(AND($L1561=1,AND(对接源_02物料!$X361="自备筐",N(对接源_02物料!$T361)&lt;&gt;0)),1,0)</f>
        <v>0</v>
      </c>
      <c r="Y1561">
        <f>N(Y1560)+$X1561</f>
        <v>0</v>
      </c>
      <c r="Z1561">
        <f>IF(AND($M1561=1,对接源_02物料!$D361="原料入库"),1,0)</f>
        <v>0</v>
      </c>
      <c r="AA1561">
        <f>N(AA1560)+$Z1561</f>
        <v>24</v>
      </c>
      <c r="AB1561">
        <f>IF(AND($M1561=1,LEFT(对接源_02物料!$D361,4)="原料出库"),1,0)</f>
        <v>0</v>
      </c>
      <c r="AC1561">
        <f>N(AC1560)+$AB1561</f>
        <v>0</v>
      </c>
      <c r="AD1561">
        <f>IF(AND($M1561=1,LEFT(对接源_02物料!$D361,4)="成品出库"),1,0)</f>
        <v>0</v>
      </c>
      <c r="AE1561">
        <f>N(AE1560)+$AD1561</f>
        <v>0</v>
      </c>
      <c r="AF1561">
        <f>IF(AND($N1561=1,AND(LEFT(对接源_02物料!$D361,4)="包装物料",N(对接源_02物料!$K361)&lt;&gt;0)),1,0)</f>
        <v>0</v>
      </c>
      <c r="AG1561">
        <f>N(AG1560)+$AF1561</f>
        <v>10</v>
      </c>
      <c r="AH1561">
        <f>IF(AND($N1561=1,AND(对接源_02物料!$D361="周转筐－销售出库",N(对接源_02物料!$K361)&lt;&gt;0)),1,0)</f>
        <v>0</v>
      </c>
      <c r="AI1561">
        <f>N(AI1560)+$AH1561</f>
        <v>0</v>
      </c>
      <c r="AL1561" t="n">
        <v>0</v>
      </c>
      <c r="AM1561">
        <f>N(AM1560)+$AL1561</f>
        <v>2</v>
      </c>
      <c r="AN1561">
        <f>""</f>
      </c>
      <c r="AO1561" t="n">
        <v>0</v>
      </c>
      <c r="AP1561">
        <f>N(AP1560)+$AO1561</f>
        <v>13</v>
      </c>
      <c r="AR1561">
        <f>IF(OR($AF1561=1,$AH1561=1),1,0)</f>
        <v>0</v>
      </c>
      <c r="AS1561">
        <f>N(AS1560)+$AR1561</f>
        <v>10</v>
      </c>
    </row>
    <row r="1562" s="127">
      <c r="A1562">
        <f>IF(对接源_02物料!$C362="","",对接源_02物料!$C362)</f>
      </c>
      <c r="B1562">
        <f>IF(A1562="",0,IF(MATCH(A1562,$A$4:$A$2403,0)=ROW()-3,1,0))</f>
        <v>0</v>
      </c>
      <c r="C1562">
        <f>N(C1561)+B1562</f>
        <v>26</v>
      </c>
      <c r="K1562">
        <f>IF(OR($K$1="",对接源_02物料!$C362="",对接源_02物料!$C362&lt;&gt;$K$1,对接源_02物料!$B362=""),0,IF(OR(N(对接源_02物料!$B362)&lt;$K$2,N(对接源_02物料!$B362)&gt;$K$3),0,1))</f>
        <v>0</v>
      </c>
      <c r="L1562">
        <f>IF(OR($L$1="",对接源_02物料!$C362="",对接源_02物料!$C362&lt;&gt;$L$1,对接源_02物料!$B362=""),0,IF(OR(N(对接源_02物料!$B362)&lt;$L$2,N(对接源_02物料!$B362)&gt;$L$3),0,1))</f>
        <v>0</v>
      </c>
      <c r="M1562">
        <f>IF(OR($M$1="",对接源_02物料!$C362="",对接源_02物料!$C362&lt;&gt;$M$1,对接源_02物料!$B362=""),0,IF(OR(N(对接源_02物料!$B362)&lt;$M$2,N(对接源_02物料!$B362)&gt;$M$3),0,1))</f>
        <v>0</v>
      </c>
      <c r="N1562">
        <f>IF(OR($N$1="",对接源_02物料!$C362="",对接源_02物料!$C362&lt;&gt;$N$1,对接源_02物料!$B362=""),0,IF(OR(N(对接源_02物料!$B362)&lt;$N$2,N(对接源_02物料!$B362)&gt;$N$3),0,1))</f>
        <v>0</v>
      </c>
      <c r="P1562">
        <f>IF(AND($K1562=1,AND(对接源_02物料!$X362="公司筐",N(对接源_02物料!$T362)&lt;&gt;0)),1,0)</f>
        <v>0</v>
      </c>
      <c r="Q1562">
        <f>N(Q1561)+$P1562</f>
        <v>14</v>
      </c>
      <c r="R1562">
        <f>IF(AND($K1562=1,AND(对接源_02物料!$X362="公司筐",N(对接源_02物料!$U362)&lt;&gt;0)),1,0)</f>
        <v>0</v>
      </c>
      <c r="S1562">
        <f>N(S1561)+$R1562</f>
        <v>1</v>
      </c>
      <c r="T1562">
        <f>IF(AND($K1562=1,AND(对接源_02物料!$X362="公司筐",N(对接源_02物料!$V362)&lt;&gt;0)),1,0)</f>
        <v>0</v>
      </c>
      <c r="U1562">
        <f>N(U1561)+$T1562</f>
        <v>47</v>
      </c>
      <c r="V1562">
        <f>IF(AND($L1562=1,AND(对接源_02物料!$X362="自备筐",N(对接源_02物料!$V362)&lt;&gt;0)),1,0)</f>
        <v>0</v>
      </c>
      <c r="W1562">
        <f>N(W1561)+$V1562</f>
        <v>11</v>
      </c>
      <c r="X1562">
        <f>IF(AND($L1562=1,AND(对接源_02物料!$X362="自备筐",N(对接源_02物料!$T362)&lt;&gt;0)),1,0)</f>
        <v>0</v>
      </c>
      <c r="Y1562">
        <f>N(Y1561)+$X1562</f>
        <v>0</v>
      </c>
      <c r="Z1562">
        <f>IF(AND($M1562=1,对接源_02物料!$D362="原料入库"),1,0)</f>
        <v>0</v>
      </c>
      <c r="AA1562">
        <f>N(AA1561)+$Z1562</f>
        <v>24</v>
      </c>
      <c r="AB1562">
        <f>IF(AND($M1562=1,LEFT(对接源_02物料!$D362,4)="原料出库"),1,0)</f>
        <v>0</v>
      </c>
      <c r="AC1562">
        <f>N(AC1561)+$AB1562</f>
        <v>0</v>
      </c>
      <c r="AD1562">
        <f>IF(AND($M1562=1,LEFT(对接源_02物料!$D362,4)="成品出库"),1,0)</f>
        <v>0</v>
      </c>
      <c r="AE1562">
        <f>N(AE1561)+$AD1562</f>
        <v>0</v>
      </c>
      <c r="AF1562">
        <f>IF(AND($N1562=1,AND(LEFT(对接源_02物料!$D362,4)="包装物料",N(对接源_02物料!$K362)&lt;&gt;0)),1,0)</f>
        <v>0</v>
      </c>
      <c r="AG1562">
        <f>N(AG1561)+$AF1562</f>
        <v>10</v>
      </c>
      <c r="AH1562">
        <f>IF(AND($N1562=1,AND(对接源_02物料!$D362="周转筐－销售出库",N(对接源_02物料!$K362)&lt;&gt;0)),1,0)</f>
        <v>0</v>
      </c>
      <c r="AI1562">
        <f>N(AI1561)+$AH1562</f>
        <v>0</v>
      </c>
      <c r="AL1562" t="n">
        <v>0</v>
      </c>
      <c r="AM1562">
        <f>N(AM1561)+$AL1562</f>
        <v>2</v>
      </c>
      <c r="AN1562">
        <f>""</f>
      </c>
      <c r="AO1562" t="n">
        <v>0</v>
      </c>
      <c r="AP1562">
        <f>N(AP1561)+$AO1562</f>
        <v>13</v>
      </c>
      <c r="AR1562">
        <f>IF(OR($AF1562=1,$AH1562=1),1,0)</f>
        <v>0</v>
      </c>
      <c r="AS1562">
        <f>N(AS1561)+$AR1562</f>
        <v>10</v>
      </c>
    </row>
    <row r="1563" s="127">
      <c r="A1563">
        <f>IF(对接源_02物料!$C363="","",对接源_02物料!$C363)</f>
      </c>
      <c r="B1563">
        <f>IF(A1563="",0,IF(MATCH(A1563,$A$4:$A$2403,0)=ROW()-3,1,0))</f>
        <v>0</v>
      </c>
      <c r="C1563">
        <f>N(C1562)+B1563</f>
        <v>26</v>
      </c>
      <c r="K1563">
        <f>IF(OR($K$1="",对接源_02物料!$C363="",对接源_02物料!$C363&lt;&gt;$K$1,对接源_02物料!$B363=""),0,IF(OR(N(对接源_02物料!$B363)&lt;$K$2,N(对接源_02物料!$B363)&gt;$K$3),0,1))</f>
        <v>0</v>
      </c>
      <c r="L1563">
        <f>IF(OR($L$1="",对接源_02物料!$C363="",对接源_02物料!$C363&lt;&gt;$L$1,对接源_02物料!$B363=""),0,IF(OR(N(对接源_02物料!$B363)&lt;$L$2,N(对接源_02物料!$B363)&gt;$L$3),0,1))</f>
        <v>0</v>
      </c>
      <c r="M1563">
        <f>IF(OR($M$1="",对接源_02物料!$C363="",对接源_02物料!$C363&lt;&gt;$M$1,对接源_02物料!$B363=""),0,IF(OR(N(对接源_02物料!$B363)&lt;$M$2,N(对接源_02物料!$B363)&gt;$M$3),0,1))</f>
        <v>0</v>
      </c>
      <c r="N1563">
        <f>IF(OR($N$1="",对接源_02物料!$C363="",对接源_02物料!$C363&lt;&gt;$N$1,对接源_02物料!$B363=""),0,IF(OR(N(对接源_02物料!$B363)&lt;$N$2,N(对接源_02物料!$B363)&gt;$N$3),0,1))</f>
        <v>0</v>
      </c>
      <c r="P1563">
        <f>IF(AND($K1563=1,AND(对接源_02物料!$X363="公司筐",N(对接源_02物料!$T363)&lt;&gt;0)),1,0)</f>
        <v>0</v>
      </c>
      <c r="Q1563">
        <f>N(Q1562)+$P1563</f>
        <v>14</v>
      </c>
      <c r="R1563">
        <f>IF(AND($K1563=1,AND(对接源_02物料!$X363="公司筐",N(对接源_02物料!$U363)&lt;&gt;0)),1,0)</f>
        <v>0</v>
      </c>
      <c r="S1563">
        <f>N(S1562)+$R1563</f>
        <v>1</v>
      </c>
      <c r="T1563">
        <f>IF(AND($K1563=1,AND(对接源_02物料!$X363="公司筐",N(对接源_02物料!$V363)&lt;&gt;0)),1,0)</f>
        <v>0</v>
      </c>
      <c r="U1563">
        <f>N(U1562)+$T1563</f>
        <v>47</v>
      </c>
      <c r="V1563">
        <f>IF(AND($L1563=1,AND(对接源_02物料!$X363="自备筐",N(对接源_02物料!$V363)&lt;&gt;0)),1,0)</f>
        <v>0</v>
      </c>
      <c r="W1563">
        <f>N(W1562)+$V1563</f>
        <v>11</v>
      </c>
      <c r="X1563">
        <f>IF(AND($L1563=1,AND(对接源_02物料!$X363="自备筐",N(对接源_02物料!$T363)&lt;&gt;0)),1,0)</f>
        <v>0</v>
      </c>
      <c r="Y1563">
        <f>N(Y1562)+$X1563</f>
        <v>0</v>
      </c>
      <c r="Z1563">
        <f>IF(AND($M1563=1,对接源_02物料!$D363="原料入库"),1,0)</f>
        <v>0</v>
      </c>
      <c r="AA1563">
        <f>N(AA1562)+$Z1563</f>
        <v>24</v>
      </c>
      <c r="AB1563">
        <f>IF(AND($M1563=1,LEFT(对接源_02物料!$D363,4)="原料出库"),1,0)</f>
        <v>0</v>
      </c>
      <c r="AC1563">
        <f>N(AC1562)+$AB1563</f>
        <v>0</v>
      </c>
      <c r="AD1563">
        <f>IF(AND($M1563=1,LEFT(对接源_02物料!$D363,4)="成品出库"),1,0)</f>
        <v>0</v>
      </c>
      <c r="AE1563">
        <f>N(AE1562)+$AD1563</f>
        <v>0</v>
      </c>
      <c r="AF1563">
        <f>IF(AND($N1563=1,AND(LEFT(对接源_02物料!$D363,4)="包装物料",N(对接源_02物料!$K363)&lt;&gt;0)),1,0)</f>
        <v>0</v>
      </c>
      <c r="AG1563">
        <f>N(AG1562)+$AF1563</f>
        <v>10</v>
      </c>
      <c r="AH1563">
        <f>IF(AND($N1563=1,AND(对接源_02物料!$D363="周转筐－销售出库",N(对接源_02物料!$K363)&lt;&gt;0)),1,0)</f>
        <v>0</v>
      </c>
      <c r="AI1563">
        <f>N(AI1562)+$AH1563</f>
        <v>0</v>
      </c>
      <c r="AL1563" t="n">
        <v>0</v>
      </c>
      <c r="AM1563">
        <f>N(AM1562)+$AL1563</f>
        <v>2</v>
      </c>
      <c r="AN1563">
        <f>""</f>
      </c>
      <c r="AO1563" t="n">
        <v>0</v>
      </c>
      <c r="AP1563">
        <f>N(AP1562)+$AO1563</f>
        <v>13</v>
      </c>
      <c r="AR1563">
        <f>IF(OR($AF1563=1,$AH1563=1),1,0)</f>
        <v>0</v>
      </c>
      <c r="AS1563">
        <f>N(AS1562)+$AR1563</f>
        <v>10</v>
      </c>
    </row>
    <row r="1564" s="127">
      <c r="A1564">
        <f>IF(对接源_02物料!$C364="","",对接源_02物料!$C364)</f>
      </c>
      <c r="B1564">
        <f>IF(A1564="",0,IF(MATCH(A1564,$A$4:$A$2403,0)=ROW()-3,1,0))</f>
        <v>0</v>
      </c>
      <c r="C1564">
        <f>N(C1563)+B1564</f>
        <v>26</v>
      </c>
      <c r="K1564">
        <f>IF(OR($K$1="",对接源_02物料!$C364="",对接源_02物料!$C364&lt;&gt;$K$1,对接源_02物料!$B364=""),0,IF(OR(N(对接源_02物料!$B364)&lt;$K$2,N(对接源_02物料!$B364)&gt;$K$3),0,1))</f>
        <v>0</v>
      </c>
      <c r="L1564">
        <f>IF(OR($L$1="",对接源_02物料!$C364="",对接源_02物料!$C364&lt;&gt;$L$1,对接源_02物料!$B364=""),0,IF(OR(N(对接源_02物料!$B364)&lt;$L$2,N(对接源_02物料!$B364)&gt;$L$3),0,1))</f>
        <v>0</v>
      </c>
      <c r="M1564">
        <f>IF(OR($M$1="",对接源_02物料!$C364="",对接源_02物料!$C364&lt;&gt;$M$1,对接源_02物料!$B364=""),0,IF(OR(N(对接源_02物料!$B364)&lt;$M$2,N(对接源_02物料!$B364)&gt;$M$3),0,1))</f>
        <v>0</v>
      </c>
      <c r="N1564">
        <f>IF(OR($N$1="",对接源_02物料!$C364="",对接源_02物料!$C364&lt;&gt;$N$1,对接源_02物料!$B364=""),0,IF(OR(N(对接源_02物料!$B364)&lt;$N$2,N(对接源_02物料!$B364)&gt;$N$3),0,1))</f>
        <v>0</v>
      </c>
      <c r="P1564">
        <f>IF(AND($K1564=1,AND(对接源_02物料!$X364="公司筐",N(对接源_02物料!$T364)&lt;&gt;0)),1,0)</f>
        <v>0</v>
      </c>
      <c r="Q1564">
        <f>N(Q1563)+$P1564</f>
        <v>14</v>
      </c>
      <c r="R1564">
        <f>IF(AND($K1564=1,AND(对接源_02物料!$X364="公司筐",N(对接源_02物料!$U364)&lt;&gt;0)),1,0)</f>
        <v>0</v>
      </c>
      <c r="S1564">
        <f>N(S1563)+$R1564</f>
        <v>1</v>
      </c>
      <c r="T1564">
        <f>IF(AND($K1564=1,AND(对接源_02物料!$X364="公司筐",N(对接源_02物料!$V364)&lt;&gt;0)),1,0)</f>
        <v>0</v>
      </c>
      <c r="U1564">
        <f>N(U1563)+$T1564</f>
        <v>47</v>
      </c>
      <c r="V1564">
        <f>IF(AND($L1564=1,AND(对接源_02物料!$X364="自备筐",N(对接源_02物料!$V364)&lt;&gt;0)),1,0)</f>
        <v>0</v>
      </c>
      <c r="W1564">
        <f>N(W1563)+$V1564</f>
        <v>11</v>
      </c>
      <c r="X1564">
        <f>IF(AND($L1564=1,AND(对接源_02物料!$X364="自备筐",N(对接源_02物料!$T364)&lt;&gt;0)),1,0)</f>
        <v>0</v>
      </c>
      <c r="Y1564">
        <f>N(Y1563)+$X1564</f>
        <v>0</v>
      </c>
      <c r="Z1564">
        <f>IF(AND($M1564=1,对接源_02物料!$D364="原料入库"),1,0)</f>
        <v>0</v>
      </c>
      <c r="AA1564">
        <f>N(AA1563)+$Z1564</f>
        <v>24</v>
      </c>
      <c r="AB1564">
        <f>IF(AND($M1564=1,LEFT(对接源_02物料!$D364,4)="原料出库"),1,0)</f>
        <v>0</v>
      </c>
      <c r="AC1564">
        <f>N(AC1563)+$AB1564</f>
        <v>0</v>
      </c>
      <c r="AD1564">
        <f>IF(AND($M1564=1,LEFT(对接源_02物料!$D364,4)="成品出库"),1,0)</f>
        <v>0</v>
      </c>
      <c r="AE1564">
        <f>N(AE1563)+$AD1564</f>
        <v>0</v>
      </c>
      <c r="AF1564">
        <f>IF(AND($N1564=1,AND(LEFT(对接源_02物料!$D364,4)="包装物料",N(对接源_02物料!$K364)&lt;&gt;0)),1,0)</f>
        <v>0</v>
      </c>
      <c r="AG1564">
        <f>N(AG1563)+$AF1564</f>
        <v>10</v>
      </c>
      <c r="AH1564">
        <f>IF(AND($N1564=1,AND(对接源_02物料!$D364="周转筐－销售出库",N(对接源_02物料!$K364)&lt;&gt;0)),1,0)</f>
        <v>0</v>
      </c>
      <c r="AI1564">
        <f>N(AI1563)+$AH1564</f>
        <v>0</v>
      </c>
      <c r="AL1564" t="n">
        <v>0</v>
      </c>
      <c r="AM1564">
        <f>N(AM1563)+$AL1564</f>
        <v>2</v>
      </c>
      <c r="AN1564">
        <f>""</f>
      </c>
      <c r="AO1564" t="n">
        <v>0</v>
      </c>
      <c r="AP1564">
        <f>N(AP1563)+$AO1564</f>
        <v>13</v>
      </c>
      <c r="AR1564">
        <f>IF(OR($AF1564=1,$AH1564=1),1,0)</f>
        <v>0</v>
      </c>
      <c r="AS1564">
        <f>N(AS1563)+$AR1564</f>
        <v>10</v>
      </c>
    </row>
    <row r="1565" s="127">
      <c r="A1565">
        <f>IF(对接源_02物料!$C365="","",对接源_02物料!$C365)</f>
      </c>
      <c r="B1565">
        <f>IF(A1565="",0,IF(MATCH(A1565,$A$4:$A$2403,0)=ROW()-3,1,0))</f>
        <v>0</v>
      </c>
      <c r="C1565">
        <f>N(C1564)+B1565</f>
        <v>26</v>
      </c>
      <c r="K1565">
        <f>IF(OR($K$1="",对接源_02物料!$C365="",对接源_02物料!$C365&lt;&gt;$K$1,对接源_02物料!$B365=""),0,IF(OR(N(对接源_02物料!$B365)&lt;$K$2,N(对接源_02物料!$B365)&gt;$K$3),0,1))</f>
        <v>0</v>
      </c>
      <c r="L1565">
        <f>IF(OR($L$1="",对接源_02物料!$C365="",对接源_02物料!$C365&lt;&gt;$L$1,对接源_02物料!$B365=""),0,IF(OR(N(对接源_02物料!$B365)&lt;$L$2,N(对接源_02物料!$B365)&gt;$L$3),0,1))</f>
        <v>0</v>
      </c>
      <c r="M1565">
        <f>IF(OR($M$1="",对接源_02物料!$C365="",对接源_02物料!$C365&lt;&gt;$M$1,对接源_02物料!$B365=""),0,IF(OR(N(对接源_02物料!$B365)&lt;$M$2,N(对接源_02物料!$B365)&gt;$M$3),0,1))</f>
        <v>0</v>
      </c>
      <c r="N1565">
        <f>IF(OR($N$1="",对接源_02物料!$C365="",对接源_02物料!$C365&lt;&gt;$N$1,对接源_02物料!$B365=""),0,IF(OR(N(对接源_02物料!$B365)&lt;$N$2,N(对接源_02物料!$B365)&gt;$N$3),0,1))</f>
        <v>0</v>
      </c>
      <c r="P1565">
        <f>IF(AND($K1565=1,AND(对接源_02物料!$X365="公司筐",N(对接源_02物料!$T365)&lt;&gt;0)),1,0)</f>
        <v>0</v>
      </c>
      <c r="Q1565">
        <f>N(Q1564)+$P1565</f>
        <v>14</v>
      </c>
      <c r="R1565">
        <f>IF(AND($K1565=1,AND(对接源_02物料!$X365="公司筐",N(对接源_02物料!$U365)&lt;&gt;0)),1,0)</f>
        <v>0</v>
      </c>
      <c r="S1565">
        <f>N(S1564)+$R1565</f>
        <v>1</v>
      </c>
      <c r="T1565">
        <f>IF(AND($K1565=1,AND(对接源_02物料!$X365="公司筐",N(对接源_02物料!$V365)&lt;&gt;0)),1,0)</f>
        <v>0</v>
      </c>
      <c r="U1565">
        <f>N(U1564)+$T1565</f>
        <v>47</v>
      </c>
      <c r="V1565">
        <f>IF(AND($L1565=1,AND(对接源_02物料!$X365="自备筐",N(对接源_02物料!$V365)&lt;&gt;0)),1,0)</f>
        <v>0</v>
      </c>
      <c r="W1565">
        <f>N(W1564)+$V1565</f>
        <v>11</v>
      </c>
      <c r="X1565">
        <f>IF(AND($L1565=1,AND(对接源_02物料!$X365="自备筐",N(对接源_02物料!$T365)&lt;&gt;0)),1,0)</f>
        <v>0</v>
      </c>
      <c r="Y1565">
        <f>N(Y1564)+$X1565</f>
        <v>0</v>
      </c>
      <c r="Z1565">
        <f>IF(AND($M1565=1,对接源_02物料!$D365="原料入库"),1,0)</f>
        <v>0</v>
      </c>
      <c r="AA1565">
        <f>N(AA1564)+$Z1565</f>
        <v>24</v>
      </c>
      <c r="AB1565">
        <f>IF(AND($M1565=1,LEFT(对接源_02物料!$D365,4)="原料出库"),1,0)</f>
        <v>0</v>
      </c>
      <c r="AC1565">
        <f>N(AC1564)+$AB1565</f>
        <v>0</v>
      </c>
      <c r="AD1565">
        <f>IF(AND($M1565=1,LEFT(对接源_02物料!$D365,4)="成品出库"),1,0)</f>
        <v>0</v>
      </c>
      <c r="AE1565">
        <f>N(AE1564)+$AD1565</f>
        <v>0</v>
      </c>
      <c r="AF1565">
        <f>IF(AND($N1565=1,AND(LEFT(对接源_02物料!$D365,4)="包装物料",N(对接源_02物料!$K365)&lt;&gt;0)),1,0)</f>
        <v>0</v>
      </c>
      <c r="AG1565">
        <f>N(AG1564)+$AF1565</f>
        <v>10</v>
      </c>
      <c r="AH1565">
        <f>IF(AND($N1565=1,AND(对接源_02物料!$D365="周转筐－销售出库",N(对接源_02物料!$K365)&lt;&gt;0)),1,0)</f>
        <v>0</v>
      </c>
      <c r="AI1565">
        <f>N(AI1564)+$AH1565</f>
        <v>0</v>
      </c>
      <c r="AL1565" t="n">
        <v>0</v>
      </c>
      <c r="AM1565">
        <f>N(AM1564)+$AL1565</f>
        <v>2</v>
      </c>
      <c r="AN1565">
        <f>""</f>
      </c>
      <c r="AO1565" t="n">
        <v>0</v>
      </c>
      <c r="AP1565">
        <f>N(AP1564)+$AO1565</f>
        <v>13</v>
      </c>
      <c r="AR1565">
        <f>IF(OR($AF1565=1,$AH1565=1),1,0)</f>
        <v>0</v>
      </c>
      <c r="AS1565">
        <f>N(AS1564)+$AR1565</f>
        <v>10</v>
      </c>
    </row>
    <row r="1566" s="127">
      <c r="A1566">
        <f>IF(对接源_02物料!$C366="","",对接源_02物料!$C366)</f>
      </c>
      <c r="B1566">
        <f>IF(A1566="",0,IF(MATCH(A1566,$A$4:$A$2403,0)=ROW()-3,1,0))</f>
        <v>0</v>
      </c>
      <c r="C1566">
        <f>N(C1565)+B1566</f>
        <v>26</v>
      </c>
      <c r="K1566">
        <f>IF(OR($K$1="",对接源_02物料!$C366="",对接源_02物料!$C366&lt;&gt;$K$1,对接源_02物料!$B366=""),0,IF(OR(N(对接源_02物料!$B366)&lt;$K$2,N(对接源_02物料!$B366)&gt;$K$3),0,1))</f>
        <v>0</v>
      </c>
      <c r="L1566">
        <f>IF(OR($L$1="",对接源_02物料!$C366="",对接源_02物料!$C366&lt;&gt;$L$1,对接源_02物料!$B366=""),0,IF(OR(N(对接源_02物料!$B366)&lt;$L$2,N(对接源_02物料!$B366)&gt;$L$3),0,1))</f>
        <v>0</v>
      </c>
      <c r="M1566">
        <f>IF(OR($M$1="",对接源_02物料!$C366="",对接源_02物料!$C366&lt;&gt;$M$1,对接源_02物料!$B366=""),0,IF(OR(N(对接源_02物料!$B366)&lt;$M$2,N(对接源_02物料!$B366)&gt;$M$3),0,1))</f>
        <v>0</v>
      </c>
      <c r="N1566">
        <f>IF(OR($N$1="",对接源_02物料!$C366="",对接源_02物料!$C366&lt;&gt;$N$1,对接源_02物料!$B366=""),0,IF(OR(N(对接源_02物料!$B366)&lt;$N$2,N(对接源_02物料!$B366)&gt;$N$3),0,1))</f>
        <v>0</v>
      </c>
      <c r="P1566">
        <f>IF(AND($K1566=1,AND(对接源_02物料!$X366="公司筐",N(对接源_02物料!$T366)&lt;&gt;0)),1,0)</f>
        <v>0</v>
      </c>
      <c r="Q1566">
        <f>N(Q1565)+$P1566</f>
        <v>14</v>
      </c>
      <c r="R1566">
        <f>IF(AND($K1566=1,AND(对接源_02物料!$X366="公司筐",N(对接源_02物料!$U366)&lt;&gt;0)),1,0)</f>
        <v>0</v>
      </c>
      <c r="S1566">
        <f>N(S1565)+$R1566</f>
        <v>1</v>
      </c>
      <c r="T1566">
        <f>IF(AND($K1566=1,AND(对接源_02物料!$X366="公司筐",N(对接源_02物料!$V366)&lt;&gt;0)),1,0)</f>
        <v>0</v>
      </c>
      <c r="U1566">
        <f>N(U1565)+$T1566</f>
        <v>47</v>
      </c>
      <c r="V1566">
        <f>IF(AND($L1566=1,AND(对接源_02物料!$X366="自备筐",N(对接源_02物料!$V366)&lt;&gt;0)),1,0)</f>
        <v>0</v>
      </c>
      <c r="W1566">
        <f>N(W1565)+$V1566</f>
        <v>11</v>
      </c>
      <c r="X1566">
        <f>IF(AND($L1566=1,AND(对接源_02物料!$X366="自备筐",N(对接源_02物料!$T366)&lt;&gt;0)),1,0)</f>
        <v>0</v>
      </c>
      <c r="Y1566">
        <f>N(Y1565)+$X1566</f>
        <v>0</v>
      </c>
      <c r="Z1566">
        <f>IF(AND($M1566=1,对接源_02物料!$D366="原料入库"),1,0)</f>
        <v>0</v>
      </c>
      <c r="AA1566">
        <f>N(AA1565)+$Z1566</f>
        <v>24</v>
      </c>
      <c r="AB1566">
        <f>IF(AND($M1566=1,LEFT(对接源_02物料!$D366,4)="原料出库"),1,0)</f>
        <v>0</v>
      </c>
      <c r="AC1566">
        <f>N(AC1565)+$AB1566</f>
        <v>0</v>
      </c>
      <c r="AD1566">
        <f>IF(AND($M1566=1,LEFT(对接源_02物料!$D366,4)="成品出库"),1,0)</f>
        <v>0</v>
      </c>
      <c r="AE1566">
        <f>N(AE1565)+$AD1566</f>
        <v>0</v>
      </c>
      <c r="AF1566">
        <f>IF(AND($N1566=1,AND(LEFT(对接源_02物料!$D366,4)="包装物料",N(对接源_02物料!$K366)&lt;&gt;0)),1,0)</f>
        <v>0</v>
      </c>
      <c r="AG1566">
        <f>N(AG1565)+$AF1566</f>
        <v>10</v>
      </c>
      <c r="AH1566">
        <f>IF(AND($N1566=1,AND(对接源_02物料!$D366="周转筐－销售出库",N(对接源_02物料!$K366)&lt;&gt;0)),1,0)</f>
        <v>0</v>
      </c>
      <c r="AI1566">
        <f>N(AI1565)+$AH1566</f>
        <v>0</v>
      </c>
      <c r="AL1566" t="n">
        <v>0</v>
      </c>
      <c r="AM1566">
        <f>N(AM1565)+$AL1566</f>
        <v>2</v>
      </c>
      <c r="AN1566">
        <f>""</f>
      </c>
      <c r="AO1566" t="n">
        <v>0</v>
      </c>
      <c r="AP1566">
        <f>N(AP1565)+$AO1566</f>
        <v>13</v>
      </c>
      <c r="AR1566">
        <f>IF(OR($AF1566=1,$AH1566=1),1,0)</f>
        <v>0</v>
      </c>
      <c r="AS1566">
        <f>N(AS1565)+$AR1566</f>
        <v>10</v>
      </c>
    </row>
    <row r="1567" s="127">
      <c r="A1567">
        <f>IF(对接源_02物料!$C367="","",对接源_02物料!$C367)</f>
      </c>
      <c r="B1567">
        <f>IF(A1567="",0,IF(MATCH(A1567,$A$4:$A$2403,0)=ROW()-3,1,0))</f>
        <v>0</v>
      </c>
      <c r="C1567">
        <f>N(C1566)+B1567</f>
        <v>26</v>
      </c>
      <c r="K1567">
        <f>IF(OR($K$1="",对接源_02物料!$C367="",对接源_02物料!$C367&lt;&gt;$K$1,对接源_02物料!$B367=""),0,IF(OR(N(对接源_02物料!$B367)&lt;$K$2,N(对接源_02物料!$B367)&gt;$K$3),0,1))</f>
        <v>0</v>
      </c>
      <c r="L1567">
        <f>IF(OR($L$1="",对接源_02物料!$C367="",对接源_02物料!$C367&lt;&gt;$L$1,对接源_02物料!$B367=""),0,IF(OR(N(对接源_02物料!$B367)&lt;$L$2,N(对接源_02物料!$B367)&gt;$L$3),0,1))</f>
        <v>0</v>
      </c>
      <c r="M1567">
        <f>IF(OR($M$1="",对接源_02物料!$C367="",对接源_02物料!$C367&lt;&gt;$M$1,对接源_02物料!$B367=""),0,IF(OR(N(对接源_02物料!$B367)&lt;$M$2,N(对接源_02物料!$B367)&gt;$M$3),0,1))</f>
        <v>0</v>
      </c>
      <c r="N1567">
        <f>IF(OR($N$1="",对接源_02物料!$C367="",对接源_02物料!$C367&lt;&gt;$N$1,对接源_02物料!$B367=""),0,IF(OR(N(对接源_02物料!$B367)&lt;$N$2,N(对接源_02物料!$B367)&gt;$N$3),0,1))</f>
        <v>0</v>
      </c>
      <c r="P1567">
        <f>IF(AND($K1567=1,AND(对接源_02物料!$X367="公司筐",N(对接源_02物料!$T367)&lt;&gt;0)),1,0)</f>
        <v>0</v>
      </c>
      <c r="Q1567">
        <f>N(Q1566)+$P1567</f>
        <v>14</v>
      </c>
      <c r="R1567">
        <f>IF(AND($K1567=1,AND(对接源_02物料!$X367="公司筐",N(对接源_02物料!$U367)&lt;&gt;0)),1,0)</f>
        <v>0</v>
      </c>
      <c r="S1567">
        <f>N(S1566)+$R1567</f>
        <v>1</v>
      </c>
      <c r="T1567">
        <f>IF(AND($K1567=1,AND(对接源_02物料!$X367="公司筐",N(对接源_02物料!$V367)&lt;&gt;0)),1,0)</f>
        <v>0</v>
      </c>
      <c r="U1567">
        <f>N(U1566)+$T1567</f>
        <v>47</v>
      </c>
      <c r="V1567">
        <f>IF(AND($L1567=1,AND(对接源_02物料!$X367="自备筐",N(对接源_02物料!$V367)&lt;&gt;0)),1,0)</f>
        <v>0</v>
      </c>
      <c r="W1567">
        <f>N(W1566)+$V1567</f>
        <v>11</v>
      </c>
      <c r="X1567">
        <f>IF(AND($L1567=1,AND(对接源_02物料!$X367="自备筐",N(对接源_02物料!$T367)&lt;&gt;0)),1,0)</f>
        <v>0</v>
      </c>
      <c r="Y1567">
        <f>N(Y1566)+$X1567</f>
        <v>0</v>
      </c>
      <c r="Z1567">
        <f>IF(AND($M1567=1,对接源_02物料!$D367="原料入库"),1,0)</f>
        <v>0</v>
      </c>
      <c r="AA1567">
        <f>N(AA1566)+$Z1567</f>
        <v>24</v>
      </c>
      <c r="AB1567">
        <f>IF(AND($M1567=1,LEFT(对接源_02物料!$D367,4)="原料出库"),1,0)</f>
        <v>0</v>
      </c>
      <c r="AC1567">
        <f>N(AC1566)+$AB1567</f>
        <v>0</v>
      </c>
      <c r="AD1567">
        <f>IF(AND($M1567=1,LEFT(对接源_02物料!$D367,4)="成品出库"),1,0)</f>
        <v>0</v>
      </c>
      <c r="AE1567">
        <f>N(AE1566)+$AD1567</f>
        <v>0</v>
      </c>
      <c r="AF1567">
        <f>IF(AND($N1567=1,AND(LEFT(对接源_02物料!$D367,4)="包装物料",N(对接源_02物料!$K367)&lt;&gt;0)),1,0)</f>
        <v>0</v>
      </c>
      <c r="AG1567">
        <f>N(AG1566)+$AF1567</f>
        <v>10</v>
      </c>
      <c r="AH1567">
        <f>IF(AND($N1567=1,AND(对接源_02物料!$D367="周转筐－销售出库",N(对接源_02物料!$K367)&lt;&gt;0)),1,0)</f>
        <v>0</v>
      </c>
      <c r="AI1567">
        <f>N(AI1566)+$AH1567</f>
        <v>0</v>
      </c>
      <c r="AL1567" t="n">
        <v>0</v>
      </c>
      <c r="AM1567">
        <f>N(AM1566)+$AL1567</f>
        <v>2</v>
      </c>
      <c r="AN1567">
        <f>""</f>
      </c>
      <c r="AO1567" t="n">
        <v>0</v>
      </c>
      <c r="AP1567">
        <f>N(AP1566)+$AO1567</f>
        <v>13</v>
      </c>
      <c r="AR1567">
        <f>IF(OR($AF1567=1,$AH1567=1),1,0)</f>
        <v>0</v>
      </c>
      <c r="AS1567">
        <f>N(AS1566)+$AR1567</f>
        <v>10</v>
      </c>
    </row>
    <row r="1568" s="127">
      <c r="A1568">
        <f>IF(对接源_02物料!$C368="","",对接源_02物料!$C368)</f>
      </c>
      <c r="B1568">
        <f>IF(A1568="",0,IF(MATCH(A1568,$A$4:$A$2403,0)=ROW()-3,1,0))</f>
        <v>0</v>
      </c>
      <c r="C1568">
        <f>N(C1567)+B1568</f>
        <v>26</v>
      </c>
      <c r="K1568">
        <f>IF(OR($K$1="",对接源_02物料!$C368="",对接源_02物料!$C368&lt;&gt;$K$1,对接源_02物料!$B368=""),0,IF(OR(N(对接源_02物料!$B368)&lt;$K$2,N(对接源_02物料!$B368)&gt;$K$3),0,1))</f>
        <v>0</v>
      </c>
      <c r="L1568">
        <f>IF(OR($L$1="",对接源_02物料!$C368="",对接源_02物料!$C368&lt;&gt;$L$1,对接源_02物料!$B368=""),0,IF(OR(N(对接源_02物料!$B368)&lt;$L$2,N(对接源_02物料!$B368)&gt;$L$3),0,1))</f>
        <v>0</v>
      </c>
      <c r="M1568">
        <f>IF(OR($M$1="",对接源_02物料!$C368="",对接源_02物料!$C368&lt;&gt;$M$1,对接源_02物料!$B368=""),0,IF(OR(N(对接源_02物料!$B368)&lt;$M$2,N(对接源_02物料!$B368)&gt;$M$3),0,1))</f>
        <v>0</v>
      </c>
      <c r="N1568">
        <f>IF(OR($N$1="",对接源_02物料!$C368="",对接源_02物料!$C368&lt;&gt;$N$1,对接源_02物料!$B368=""),0,IF(OR(N(对接源_02物料!$B368)&lt;$N$2,N(对接源_02物料!$B368)&gt;$N$3),0,1))</f>
        <v>0</v>
      </c>
      <c r="P1568">
        <f>IF(AND($K1568=1,AND(对接源_02物料!$X368="公司筐",N(对接源_02物料!$T368)&lt;&gt;0)),1,0)</f>
        <v>0</v>
      </c>
      <c r="Q1568">
        <f>N(Q1567)+$P1568</f>
        <v>14</v>
      </c>
      <c r="R1568">
        <f>IF(AND($K1568=1,AND(对接源_02物料!$X368="公司筐",N(对接源_02物料!$U368)&lt;&gt;0)),1,0)</f>
        <v>0</v>
      </c>
      <c r="S1568">
        <f>N(S1567)+$R1568</f>
        <v>1</v>
      </c>
      <c r="T1568">
        <f>IF(AND($K1568=1,AND(对接源_02物料!$X368="公司筐",N(对接源_02物料!$V368)&lt;&gt;0)),1,0)</f>
        <v>0</v>
      </c>
      <c r="U1568">
        <f>N(U1567)+$T1568</f>
        <v>47</v>
      </c>
      <c r="V1568">
        <f>IF(AND($L1568=1,AND(对接源_02物料!$X368="自备筐",N(对接源_02物料!$V368)&lt;&gt;0)),1,0)</f>
        <v>0</v>
      </c>
      <c r="W1568">
        <f>N(W1567)+$V1568</f>
        <v>11</v>
      </c>
      <c r="X1568">
        <f>IF(AND($L1568=1,AND(对接源_02物料!$X368="自备筐",N(对接源_02物料!$T368)&lt;&gt;0)),1,0)</f>
        <v>0</v>
      </c>
      <c r="Y1568">
        <f>N(Y1567)+$X1568</f>
        <v>0</v>
      </c>
      <c r="Z1568">
        <f>IF(AND($M1568=1,对接源_02物料!$D368="原料入库"),1,0)</f>
        <v>0</v>
      </c>
      <c r="AA1568">
        <f>N(AA1567)+$Z1568</f>
        <v>24</v>
      </c>
      <c r="AB1568">
        <f>IF(AND($M1568=1,LEFT(对接源_02物料!$D368,4)="原料出库"),1,0)</f>
        <v>0</v>
      </c>
      <c r="AC1568">
        <f>N(AC1567)+$AB1568</f>
        <v>0</v>
      </c>
      <c r="AD1568">
        <f>IF(AND($M1568=1,LEFT(对接源_02物料!$D368,4)="成品出库"),1,0)</f>
        <v>0</v>
      </c>
      <c r="AE1568">
        <f>N(AE1567)+$AD1568</f>
        <v>0</v>
      </c>
      <c r="AF1568">
        <f>IF(AND($N1568=1,AND(LEFT(对接源_02物料!$D368,4)="包装物料",N(对接源_02物料!$K368)&lt;&gt;0)),1,0)</f>
        <v>0</v>
      </c>
      <c r="AG1568">
        <f>N(AG1567)+$AF1568</f>
        <v>10</v>
      </c>
      <c r="AH1568">
        <f>IF(AND($N1568=1,AND(对接源_02物料!$D368="周转筐－销售出库",N(对接源_02物料!$K368)&lt;&gt;0)),1,0)</f>
        <v>0</v>
      </c>
      <c r="AI1568">
        <f>N(AI1567)+$AH1568</f>
        <v>0</v>
      </c>
      <c r="AL1568" t="n">
        <v>0</v>
      </c>
      <c r="AM1568">
        <f>N(AM1567)+$AL1568</f>
        <v>2</v>
      </c>
      <c r="AN1568">
        <f>""</f>
      </c>
      <c r="AO1568" t="n">
        <v>0</v>
      </c>
      <c r="AP1568">
        <f>N(AP1567)+$AO1568</f>
        <v>13</v>
      </c>
      <c r="AR1568">
        <f>IF(OR($AF1568=1,$AH1568=1),1,0)</f>
        <v>0</v>
      </c>
      <c r="AS1568">
        <f>N(AS1567)+$AR1568</f>
        <v>10</v>
      </c>
    </row>
    <row r="1569" s="127">
      <c r="A1569">
        <f>IF(对接源_02物料!$C369="","",对接源_02物料!$C369)</f>
      </c>
      <c r="B1569">
        <f>IF(A1569="",0,IF(MATCH(A1569,$A$4:$A$2403,0)=ROW()-3,1,0))</f>
        <v>0</v>
      </c>
      <c r="C1569">
        <f>N(C1568)+B1569</f>
        <v>26</v>
      </c>
      <c r="K1569">
        <f>IF(OR($K$1="",对接源_02物料!$C369="",对接源_02物料!$C369&lt;&gt;$K$1,对接源_02物料!$B369=""),0,IF(OR(N(对接源_02物料!$B369)&lt;$K$2,N(对接源_02物料!$B369)&gt;$K$3),0,1))</f>
        <v>0</v>
      </c>
      <c r="L1569">
        <f>IF(OR($L$1="",对接源_02物料!$C369="",对接源_02物料!$C369&lt;&gt;$L$1,对接源_02物料!$B369=""),0,IF(OR(N(对接源_02物料!$B369)&lt;$L$2,N(对接源_02物料!$B369)&gt;$L$3),0,1))</f>
        <v>0</v>
      </c>
      <c r="M1569">
        <f>IF(OR($M$1="",对接源_02物料!$C369="",对接源_02物料!$C369&lt;&gt;$M$1,对接源_02物料!$B369=""),0,IF(OR(N(对接源_02物料!$B369)&lt;$M$2,N(对接源_02物料!$B369)&gt;$M$3),0,1))</f>
        <v>0</v>
      </c>
      <c r="N1569">
        <f>IF(OR($N$1="",对接源_02物料!$C369="",对接源_02物料!$C369&lt;&gt;$N$1,对接源_02物料!$B369=""),0,IF(OR(N(对接源_02物料!$B369)&lt;$N$2,N(对接源_02物料!$B369)&gt;$N$3),0,1))</f>
        <v>0</v>
      </c>
      <c r="P1569">
        <f>IF(AND($K1569=1,AND(对接源_02物料!$X369="公司筐",N(对接源_02物料!$T369)&lt;&gt;0)),1,0)</f>
        <v>0</v>
      </c>
      <c r="Q1569">
        <f>N(Q1568)+$P1569</f>
        <v>14</v>
      </c>
      <c r="R1569">
        <f>IF(AND($K1569=1,AND(对接源_02物料!$X369="公司筐",N(对接源_02物料!$U369)&lt;&gt;0)),1,0)</f>
        <v>0</v>
      </c>
      <c r="S1569">
        <f>N(S1568)+$R1569</f>
        <v>1</v>
      </c>
      <c r="T1569">
        <f>IF(AND($K1569=1,AND(对接源_02物料!$X369="公司筐",N(对接源_02物料!$V369)&lt;&gt;0)),1,0)</f>
        <v>0</v>
      </c>
      <c r="U1569">
        <f>N(U1568)+$T1569</f>
        <v>47</v>
      </c>
      <c r="V1569">
        <f>IF(AND($L1569=1,AND(对接源_02物料!$X369="自备筐",N(对接源_02物料!$V369)&lt;&gt;0)),1,0)</f>
        <v>0</v>
      </c>
      <c r="W1569">
        <f>N(W1568)+$V1569</f>
        <v>11</v>
      </c>
      <c r="X1569">
        <f>IF(AND($L1569=1,AND(对接源_02物料!$X369="自备筐",N(对接源_02物料!$T369)&lt;&gt;0)),1,0)</f>
        <v>0</v>
      </c>
      <c r="Y1569">
        <f>N(Y1568)+$X1569</f>
        <v>0</v>
      </c>
      <c r="Z1569">
        <f>IF(AND($M1569=1,对接源_02物料!$D369="原料入库"),1,0)</f>
        <v>0</v>
      </c>
      <c r="AA1569">
        <f>N(AA1568)+$Z1569</f>
        <v>24</v>
      </c>
      <c r="AB1569">
        <f>IF(AND($M1569=1,LEFT(对接源_02物料!$D369,4)="原料出库"),1,0)</f>
        <v>0</v>
      </c>
      <c r="AC1569">
        <f>N(AC1568)+$AB1569</f>
        <v>0</v>
      </c>
      <c r="AD1569">
        <f>IF(AND($M1569=1,LEFT(对接源_02物料!$D369,4)="成品出库"),1,0)</f>
        <v>0</v>
      </c>
      <c r="AE1569">
        <f>N(AE1568)+$AD1569</f>
        <v>0</v>
      </c>
      <c r="AF1569">
        <f>IF(AND($N1569=1,AND(LEFT(对接源_02物料!$D369,4)="包装物料",N(对接源_02物料!$K369)&lt;&gt;0)),1,0)</f>
        <v>0</v>
      </c>
      <c r="AG1569">
        <f>N(AG1568)+$AF1569</f>
        <v>10</v>
      </c>
      <c r="AH1569">
        <f>IF(AND($N1569=1,AND(对接源_02物料!$D369="周转筐－销售出库",N(对接源_02物料!$K369)&lt;&gt;0)),1,0)</f>
        <v>0</v>
      </c>
      <c r="AI1569">
        <f>N(AI1568)+$AH1569</f>
        <v>0</v>
      </c>
      <c r="AL1569" t="n">
        <v>0</v>
      </c>
      <c r="AM1569">
        <f>N(AM1568)+$AL1569</f>
        <v>2</v>
      </c>
      <c r="AN1569">
        <f>""</f>
      </c>
      <c r="AO1569" t="n">
        <v>0</v>
      </c>
      <c r="AP1569">
        <f>N(AP1568)+$AO1569</f>
        <v>13</v>
      </c>
      <c r="AR1569">
        <f>IF(OR($AF1569=1,$AH1569=1),1,0)</f>
        <v>0</v>
      </c>
      <c r="AS1569">
        <f>N(AS1568)+$AR1569</f>
        <v>10</v>
      </c>
    </row>
    <row r="1570" s="127">
      <c r="A1570">
        <f>IF(对接源_02物料!$C370="","",对接源_02物料!$C370)</f>
      </c>
      <c r="B1570">
        <f>IF(A1570="",0,IF(MATCH(A1570,$A$4:$A$2403,0)=ROW()-3,1,0))</f>
        <v>0</v>
      </c>
      <c r="C1570">
        <f>N(C1569)+B1570</f>
        <v>26</v>
      </c>
      <c r="K1570">
        <f>IF(OR($K$1="",对接源_02物料!$C370="",对接源_02物料!$C370&lt;&gt;$K$1,对接源_02物料!$B370=""),0,IF(OR(N(对接源_02物料!$B370)&lt;$K$2,N(对接源_02物料!$B370)&gt;$K$3),0,1))</f>
        <v>0</v>
      </c>
      <c r="L1570">
        <f>IF(OR($L$1="",对接源_02物料!$C370="",对接源_02物料!$C370&lt;&gt;$L$1,对接源_02物料!$B370=""),0,IF(OR(N(对接源_02物料!$B370)&lt;$L$2,N(对接源_02物料!$B370)&gt;$L$3),0,1))</f>
        <v>0</v>
      </c>
      <c r="M1570">
        <f>IF(OR($M$1="",对接源_02物料!$C370="",对接源_02物料!$C370&lt;&gt;$M$1,对接源_02物料!$B370=""),0,IF(OR(N(对接源_02物料!$B370)&lt;$M$2,N(对接源_02物料!$B370)&gt;$M$3),0,1))</f>
        <v>0</v>
      </c>
      <c r="N1570">
        <f>IF(OR($N$1="",对接源_02物料!$C370="",对接源_02物料!$C370&lt;&gt;$N$1,对接源_02物料!$B370=""),0,IF(OR(N(对接源_02物料!$B370)&lt;$N$2,N(对接源_02物料!$B370)&gt;$N$3),0,1))</f>
        <v>0</v>
      </c>
      <c r="P1570">
        <f>IF(AND($K1570=1,AND(对接源_02物料!$X370="公司筐",N(对接源_02物料!$T370)&lt;&gt;0)),1,0)</f>
        <v>0</v>
      </c>
      <c r="Q1570">
        <f>N(Q1569)+$P1570</f>
        <v>14</v>
      </c>
      <c r="R1570">
        <f>IF(AND($K1570=1,AND(对接源_02物料!$X370="公司筐",N(对接源_02物料!$U370)&lt;&gt;0)),1,0)</f>
        <v>0</v>
      </c>
      <c r="S1570">
        <f>N(S1569)+$R1570</f>
        <v>1</v>
      </c>
      <c r="T1570">
        <f>IF(AND($K1570=1,AND(对接源_02物料!$X370="公司筐",N(对接源_02物料!$V370)&lt;&gt;0)),1,0)</f>
        <v>0</v>
      </c>
      <c r="U1570">
        <f>N(U1569)+$T1570</f>
        <v>47</v>
      </c>
      <c r="V1570">
        <f>IF(AND($L1570=1,AND(对接源_02物料!$X370="自备筐",N(对接源_02物料!$V370)&lt;&gt;0)),1,0)</f>
        <v>0</v>
      </c>
      <c r="W1570">
        <f>N(W1569)+$V1570</f>
        <v>11</v>
      </c>
      <c r="X1570">
        <f>IF(AND($L1570=1,AND(对接源_02物料!$X370="自备筐",N(对接源_02物料!$T370)&lt;&gt;0)),1,0)</f>
        <v>0</v>
      </c>
      <c r="Y1570">
        <f>N(Y1569)+$X1570</f>
        <v>0</v>
      </c>
      <c r="Z1570">
        <f>IF(AND($M1570=1,对接源_02物料!$D370="原料入库"),1,0)</f>
        <v>0</v>
      </c>
      <c r="AA1570">
        <f>N(AA1569)+$Z1570</f>
        <v>24</v>
      </c>
      <c r="AB1570">
        <f>IF(AND($M1570=1,LEFT(对接源_02物料!$D370,4)="原料出库"),1,0)</f>
        <v>0</v>
      </c>
      <c r="AC1570">
        <f>N(AC1569)+$AB1570</f>
        <v>0</v>
      </c>
      <c r="AD1570">
        <f>IF(AND($M1570=1,LEFT(对接源_02物料!$D370,4)="成品出库"),1,0)</f>
        <v>0</v>
      </c>
      <c r="AE1570">
        <f>N(AE1569)+$AD1570</f>
        <v>0</v>
      </c>
      <c r="AF1570">
        <f>IF(AND($N1570=1,AND(LEFT(对接源_02物料!$D370,4)="包装物料",N(对接源_02物料!$K370)&lt;&gt;0)),1,0)</f>
        <v>0</v>
      </c>
      <c r="AG1570">
        <f>N(AG1569)+$AF1570</f>
        <v>10</v>
      </c>
      <c r="AH1570">
        <f>IF(AND($N1570=1,AND(对接源_02物料!$D370="周转筐－销售出库",N(对接源_02物料!$K370)&lt;&gt;0)),1,0)</f>
        <v>0</v>
      </c>
      <c r="AI1570">
        <f>N(AI1569)+$AH1570</f>
        <v>0</v>
      </c>
      <c r="AL1570" t="n">
        <v>0</v>
      </c>
      <c r="AM1570">
        <f>N(AM1569)+$AL1570</f>
        <v>2</v>
      </c>
      <c r="AN1570">
        <f>""</f>
      </c>
      <c r="AO1570" t="n">
        <v>0</v>
      </c>
      <c r="AP1570">
        <f>N(AP1569)+$AO1570</f>
        <v>13</v>
      </c>
      <c r="AR1570">
        <f>IF(OR($AF1570=1,$AH1570=1),1,0)</f>
        <v>0</v>
      </c>
      <c r="AS1570">
        <f>N(AS1569)+$AR1570</f>
        <v>10</v>
      </c>
    </row>
    <row r="1571" s="127">
      <c r="A1571">
        <f>IF(对接源_02物料!$C371="","",对接源_02物料!$C371)</f>
      </c>
      <c r="B1571">
        <f>IF(A1571="",0,IF(MATCH(A1571,$A$4:$A$2403,0)=ROW()-3,1,0))</f>
        <v>0</v>
      </c>
      <c r="C1571">
        <f>N(C1570)+B1571</f>
        <v>26</v>
      </c>
      <c r="K1571">
        <f>IF(OR($K$1="",对接源_02物料!$C371="",对接源_02物料!$C371&lt;&gt;$K$1,对接源_02物料!$B371=""),0,IF(OR(N(对接源_02物料!$B371)&lt;$K$2,N(对接源_02物料!$B371)&gt;$K$3),0,1))</f>
        <v>0</v>
      </c>
      <c r="L1571">
        <f>IF(OR($L$1="",对接源_02物料!$C371="",对接源_02物料!$C371&lt;&gt;$L$1,对接源_02物料!$B371=""),0,IF(OR(N(对接源_02物料!$B371)&lt;$L$2,N(对接源_02物料!$B371)&gt;$L$3),0,1))</f>
        <v>0</v>
      </c>
      <c r="M1571">
        <f>IF(OR($M$1="",对接源_02物料!$C371="",对接源_02物料!$C371&lt;&gt;$M$1,对接源_02物料!$B371=""),0,IF(OR(N(对接源_02物料!$B371)&lt;$M$2,N(对接源_02物料!$B371)&gt;$M$3),0,1))</f>
        <v>0</v>
      </c>
      <c r="N1571">
        <f>IF(OR($N$1="",对接源_02物料!$C371="",对接源_02物料!$C371&lt;&gt;$N$1,对接源_02物料!$B371=""),0,IF(OR(N(对接源_02物料!$B371)&lt;$N$2,N(对接源_02物料!$B371)&gt;$N$3),0,1))</f>
        <v>0</v>
      </c>
      <c r="P1571">
        <f>IF(AND($K1571=1,AND(对接源_02物料!$X371="公司筐",N(对接源_02物料!$T371)&lt;&gt;0)),1,0)</f>
        <v>0</v>
      </c>
      <c r="Q1571">
        <f>N(Q1570)+$P1571</f>
        <v>14</v>
      </c>
      <c r="R1571">
        <f>IF(AND($K1571=1,AND(对接源_02物料!$X371="公司筐",N(对接源_02物料!$U371)&lt;&gt;0)),1,0)</f>
        <v>0</v>
      </c>
      <c r="S1571">
        <f>N(S1570)+$R1571</f>
        <v>1</v>
      </c>
      <c r="T1571">
        <f>IF(AND($K1571=1,AND(对接源_02物料!$X371="公司筐",N(对接源_02物料!$V371)&lt;&gt;0)),1,0)</f>
        <v>0</v>
      </c>
      <c r="U1571">
        <f>N(U1570)+$T1571</f>
        <v>47</v>
      </c>
      <c r="V1571">
        <f>IF(AND($L1571=1,AND(对接源_02物料!$X371="自备筐",N(对接源_02物料!$V371)&lt;&gt;0)),1,0)</f>
        <v>0</v>
      </c>
      <c r="W1571">
        <f>N(W1570)+$V1571</f>
        <v>11</v>
      </c>
      <c r="X1571">
        <f>IF(AND($L1571=1,AND(对接源_02物料!$X371="自备筐",N(对接源_02物料!$T371)&lt;&gt;0)),1,0)</f>
        <v>0</v>
      </c>
      <c r="Y1571">
        <f>N(Y1570)+$X1571</f>
        <v>0</v>
      </c>
      <c r="Z1571">
        <f>IF(AND($M1571=1,对接源_02物料!$D371="原料入库"),1,0)</f>
        <v>0</v>
      </c>
      <c r="AA1571">
        <f>N(AA1570)+$Z1571</f>
        <v>24</v>
      </c>
      <c r="AB1571">
        <f>IF(AND($M1571=1,LEFT(对接源_02物料!$D371,4)="原料出库"),1,0)</f>
        <v>0</v>
      </c>
      <c r="AC1571">
        <f>N(AC1570)+$AB1571</f>
        <v>0</v>
      </c>
      <c r="AD1571">
        <f>IF(AND($M1571=1,LEFT(对接源_02物料!$D371,4)="成品出库"),1,0)</f>
        <v>0</v>
      </c>
      <c r="AE1571">
        <f>N(AE1570)+$AD1571</f>
        <v>0</v>
      </c>
      <c r="AF1571">
        <f>IF(AND($N1571=1,AND(LEFT(对接源_02物料!$D371,4)="包装物料",N(对接源_02物料!$K371)&lt;&gt;0)),1,0)</f>
        <v>0</v>
      </c>
      <c r="AG1571">
        <f>N(AG1570)+$AF1571</f>
        <v>10</v>
      </c>
      <c r="AH1571">
        <f>IF(AND($N1571=1,AND(对接源_02物料!$D371="周转筐－销售出库",N(对接源_02物料!$K371)&lt;&gt;0)),1,0)</f>
        <v>0</v>
      </c>
      <c r="AI1571">
        <f>N(AI1570)+$AH1571</f>
        <v>0</v>
      </c>
      <c r="AL1571" t="n">
        <v>0</v>
      </c>
      <c r="AM1571">
        <f>N(AM1570)+$AL1571</f>
        <v>2</v>
      </c>
      <c r="AN1571">
        <f>""</f>
      </c>
      <c r="AO1571" t="n">
        <v>0</v>
      </c>
      <c r="AP1571">
        <f>N(AP1570)+$AO1571</f>
        <v>13</v>
      </c>
      <c r="AR1571">
        <f>IF(OR($AF1571=1,$AH1571=1),1,0)</f>
        <v>0</v>
      </c>
      <c r="AS1571">
        <f>N(AS1570)+$AR1571</f>
        <v>10</v>
      </c>
    </row>
    <row r="1572" s="127">
      <c r="A1572">
        <f>IF(对接源_02物料!$C372="","",对接源_02物料!$C372)</f>
      </c>
      <c r="B1572">
        <f>IF(A1572="",0,IF(MATCH(A1572,$A$4:$A$2403,0)=ROW()-3,1,0))</f>
        <v>0</v>
      </c>
      <c r="C1572">
        <f>N(C1571)+B1572</f>
        <v>26</v>
      </c>
      <c r="K1572">
        <f>IF(OR($K$1="",对接源_02物料!$C372="",对接源_02物料!$C372&lt;&gt;$K$1,对接源_02物料!$B372=""),0,IF(OR(N(对接源_02物料!$B372)&lt;$K$2,N(对接源_02物料!$B372)&gt;$K$3),0,1))</f>
        <v>0</v>
      </c>
      <c r="L1572">
        <f>IF(OR($L$1="",对接源_02物料!$C372="",对接源_02物料!$C372&lt;&gt;$L$1,对接源_02物料!$B372=""),0,IF(OR(N(对接源_02物料!$B372)&lt;$L$2,N(对接源_02物料!$B372)&gt;$L$3),0,1))</f>
        <v>0</v>
      </c>
      <c r="M1572">
        <f>IF(OR($M$1="",对接源_02物料!$C372="",对接源_02物料!$C372&lt;&gt;$M$1,对接源_02物料!$B372=""),0,IF(OR(N(对接源_02物料!$B372)&lt;$M$2,N(对接源_02物料!$B372)&gt;$M$3),0,1))</f>
        <v>0</v>
      </c>
      <c r="N1572">
        <f>IF(OR($N$1="",对接源_02物料!$C372="",对接源_02物料!$C372&lt;&gt;$N$1,对接源_02物料!$B372=""),0,IF(OR(N(对接源_02物料!$B372)&lt;$N$2,N(对接源_02物料!$B372)&gt;$N$3),0,1))</f>
        <v>0</v>
      </c>
      <c r="P1572">
        <f>IF(AND($K1572=1,AND(对接源_02物料!$X372="公司筐",N(对接源_02物料!$T372)&lt;&gt;0)),1,0)</f>
        <v>0</v>
      </c>
      <c r="Q1572">
        <f>N(Q1571)+$P1572</f>
        <v>14</v>
      </c>
      <c r="R1572">
        <f>IF(AND($K1572=1,AND(对接源_02物料!$X372="公司筐",N(对接源_02物料!$U372)&lt;&gt;0)),1,0)</f>
        <v>0</v>
      </c>
      <c r="S1572">
        <f>N(S1571)+$R1572</f>
        <v>1</v>
      </c>
      <c r="T1572">
        <f>IF(AND($K1572=1,AND(对接源_02物料!$X372="公司筐",N(对接源_02物料!$V372)&lt;&gt;0)),1,0)</f>
        <v>0</v>
      </c>
      <c r="U1572">
        <f>N(U1571)+$T1572</f>
        <v>47</v>
      </c>
      <c r="V1572">
        <f>IF(AND($L1572=1,AND(对接源_02物料!$X372="自备筐",N(对接源_02物料!$V372)&lt;&gt;0)),1,0)</f>
        <v>0</v>
      </c>
      <c r="W1572">
        <f>N(W1571)+$V1572</f>
        <v>11</v>
      </c>
      <c r="X1572">
        <f>IF(AND($L1572=1,AND(对接源_02物料!$X372="自备筐",N(对接源_02物料!$T372)&lt;&gt;0)),1,0)</f>
        <v>0</v>
      </c>
      <c r="Y1572">
        <f>N(Y1571)+$X1572</f>
        <v>0</v>
      </c>
      <c r="Z1572">
        <f>IF(AND($M1572=1,对接源_02物料!$D372="原料入库"),1,0)</f>
        <v>0</v>
      </c>
      <c r="AA1572">
        <f>N(AA1571)+$Z1572</f>
        <v>24</v>
      </c>
      <c r="AB1572">
        <f>IF(AND($M1572=1,LEFT(对接源_02物料!$D372,4)="原料出库"),1,0)</f>
        <v>0</v>
      </c>
      <c r="AC1572">
        <f>N(AC1571)+$AB1572</f>
        <v>0</v>
      </c>
      <c r="AD1572">
        <f>IF(AND($M1572=1,LEFT(对接源_02物料!$D372,4)="成品出库"),1,0)</f>
        <v>0</v>
      </c>
      <c r="AE1572">
        <f>N(AE1571)+$AD1572</f>
        <v>0</v>
      </c>
      <c r="AF1572">
        <f>IF(AND($N1572=1,AND(LEFT(对接源_02物料!$D372,4)="包装物料",N(对接源_02物料!$K372)&lt;&gt;0)),1,0)</f>
        <v>0</v>
      </c>
      <c r="AG1572">
        <f>N(AG1571)+$AF1572</f>
        <v>10</v>
      </c>
      <c r="AH1572">
        <f>IF(AND($N1572=1,AND(对接源_02物料!$D372="周转筐－销售出库",N(对接源_02物料!$K372)&lt;&gt;0)),1,0)</f>
        <v>0</v>
      </c>
      <c r="AI1572">
        <f>N(AI1571)+$AH1572</f>
        <v>0</v>
      </c>
      <c r="AL1572" t="n">
        <v>0</v>
      </c>
      <c r="AM1572">
        <f>N(AM1571)+$AL1572</f>
        <v>2</v>
      </c>
      <c r="AN1572">
        <f>""</f>
      </c>
      <c r="AO1572" t="n">
        <v>0</v>
      </c>
      <c r="AP1572">
        <f>N(AP1571)+$AO1572</f>
        <v>13</v>
      </c>
      <c r="AR1572">
        <f>IF(OR($AF1572=1,$AH1572=1),1,0)</f>
        <v>0</v>
      </c>
      <c r="AS1572">
        <f>N(AS1571)+$AR1572</f>
        <v>10</v>
      </c>
    </row>
    <row r="1573" s="127">
      <c r="A1573">
        <f>IF(对接源_02物料!$C373="","",对接源_02物料!$C373)</f>
      </c>
      <c r="B1573">
        <f>IF(A1573="",0,IF(MATCH(A1573,$A$4:$A$2403,0)=ROW()-3,1,0))</f>
        <v>0</v>
      </c>
      <c r="C1573">
        <f>N(C1572)+B1573</f>
        <v>26</v>
      </c>
      <c r="K1573">
        <f>IF(OR($K$1="",对接源_02物料!$C373="",对接源_02物料!$C373&lt;&gt;$K$1,对接源_02物料!$B373=""),0,IF(OR(N(对接源_02物料!$B373)&lt;$K$2,N(对接源_02物料!$B373)&gt;$K$3),0,1))</f>
        <v>0</v>
      </c>
      <c r="L1573">
        <f>IF(OR($L$1="",对接源_02物料!$C373="",对接源_02物料!$C373&lt;&gt;$L$1,对接源_02物料!$B373=""),0,IF(OR(N(对接源_02物料!$B373)&lt;$L$2,N(对接源_02物料!$B373)&gt;$L$3),0,1))</f>
        <v>0</v>
      </c>
      <c r="M1573">
        <f>IF(OR($M$1="",对接源_02物料!$C373="",对接源_02物料!$C373&lt;&gt;$M$1,对接源_02物料!$B373=""),0,IF(OR(N(对接源_02物料!$B373)&lt;$M$2,N(对接源_02物料!$B373)&gt;$M$3),0,1))</f>
        <v>0</v>
      </c>
      <c r="N1573">
        <f>IF(OR($N$1="",对接源_02物料!$C373="",对接源_02物料!$C373&lt;&gt;$N$1,对接源_02物料!$B373=""),0,IF(OR(N(对接源_02物料!$B373)&lt;$N$2,N(对接源_02物料!$B373)&gt;$N$3),0,1))</f>
        <v>0</v>
      </c>
      <c r="P1573">
        <f>IF(AND($K1573=1,AND(对接源_02物料!$X373="公司筐",N(对接源_02物料!$T373)&lt;&gt;0)),1,0)</f>
        <v>0</v>
      </c>
      <c r="Q1573">
        <f>N(Q1572)+$P1573</f>
        <v>14</v>
      </c>
      <c r="R1573">
        <f>IF(AND($K1573=1,AND(对接源_02物料!$X373="公司筐",N(对接源_02物料!$U373)&lt;&gt;0)),1,0)</f>
        <v>0</v>
      </c>
      <c r="S1573">
        <f>N(S1572)+$R1573</f>
        <v>1</v>
      </c>
      <c r="T1573">
        <f>IF(AND($K1573=1,AND(对接源_02物料!$X373="公司筐",N(对接源_02物料!$V373)&lt;&gt;0)),1,0)</f>
        <v>0</v>
      </c>
      <c r="U1573">
        <f>N(U1572)+$T1573</f>
        <v>47</v>
      </c>
      <c r="V1573">
        <f>IF(AND($L1573=1,AND(对接源_02物料!$X373="自备筐",N(对接源_02物料!$V373)&lt;&gt;0)),1,0)</f>
        <v>0</v>
      </c>
      <c r="W1573">
        <f>N(W1572)+$V1573</f>
        <v>11</v>
      </c>
      <c r="X1573">
        <f>IF(AND($L1573=1,AND(对接源_02物料!$X373="自备筐",N(对接源_02物料!$T373)&lt;&gt;0)),1,0)</f>
        <v>0</v>
      </c>
      <c r="Y1573">
        <f>N(Y1572)+$X1573</f>
        <v>0</v>
      </c>
      <c r="Z1573">
        <f>IF(AND($M1573=1,对接源_02物料!$D373="原料入库"),1,0)</f>
        <v>0</v>
      </c>
      <c r="AA1573">
        <f>N(AA1572)+$Z1573</f>
        <v>24</v>
      </c>
      <c r="AB1573">
        <f>IF(AND($M1573=1,LEFT(对接源_02物料!$D373,4)="原料出库"),1,0)</f>
        <v>0</v>
      </c>
      <c r="AC1573">
        <f>N(AC1572)+$AB1573</f>
        <v>0</v>
      </c>
      <c r="AD1573">
        <f>IF(AND($M1573=1,LEFT(对接源_02物料!$D373,4)="成品出库"),1,0)</f>
        <v>0</v>
      </c>
      <c r="AE1573">
        <f>N(AE1572)+$AD1573</f>
        <v>0</v>
      </c>
      <c r="AF1573">
        <f>IF(AND($N1573=1,AND(LEFT(对接源_02物料!$D373,4)="包装物料",N(对接源_02物料!$K373)&lt;&gt;0)),1,0)</f>
        <v>0</v>
      </c>
      <c r="AG1573">
        <f>N(AG1572)+$AF1573</f>
        <v>10</v>
      </c>
      <c r="AH1573">
        <f>IF(AND($N1573=1,AND(对接源_02物料!$D373="周转筐－销售出库",N(对接源_02物料!$K373)&lt;&gt;0)),1,0)</f>
        <v>0</v>
      </c>
      <c r="AI1573">
        <f>N(AI1572)+$AH1573</f>
        <v>0</v>
      </c>
      <c r="AL1573" t="n">
        <v>0</v>
      </c>
      <c r="AM1573">
        <f>N(AM1572)+$AL1573</f>
        <v>2</v>
      </c>
      <c r="AN1573">
        <f>""</f>
      </c>
      <c r="AO1573" t="n">
        <v>0</v>
      </c>
      <c r="AP1573">
        <f>N(AP1572)+$AO1573</f>
        <v>13</v>
      </c>
      <c r="AR1573">
        <f>IF(OR($AF1573=1,$AH1573=1),1,0)</f>
        <v>0</v>
      </c>
      <c r="AS1573">
        <f>N(AS1572)+$AR1573</f>
        <v>10</v>
      </c>
    </row>
    <row r="1574" s="127">
      <c r="A1574">
        <f>IF(对接源_02物料!$C374="","",对接源_02物料!$C374)</f>
      </c>
      <c r="B1574">
        <f>IF(A1574="",0,IF(MATCH(A1574,$A$4:$A$2403,0)=ROW()-3,1,0))</f>
        <v>0</v>
      </c>
      <c r="C1574">
        <f>N(C1573)+B1574</f>
        <v>26</v>
      </c>
      <c r="K1574">
        <f>IF(OR($K$1="",对接源_02物料!$C374="",对接源_02物料!$C374&lt;&gt;$K$1,对接源_02物料!$B374=""),0,IF(OR(N(对接源_02物料!$B374)&lt;$K$2,N(对接源_02物料!$B374)&gt;$K$3),0,1))</f>
        <v>0</v>
      </c>
      <c r="L1574">
        <f>IF(OR($L$1="",对接源_02物料!$C374="",对接源_02物料!$C374&lt;&gt;$L$1,对接源_02物料!$B374=""),0,IF(OR(N(对接源_02物料!$B374)&lt;$L$2,N(对接源_02物料!$B374)&gt;$L$3),0,1))</f>
        <v>0</v>
      </c>
      <c r="M1574">
        <f>IF(OR($M$1="",对接源_02物料!$C374="",对接源_02物料!$C374&lt;&gt;$M$1,对接源_02物料!$B374=""),0,IF(OR(N(对接源_02物料!$B374)&lt;$M$2,N(对接源_02物料!$B374)&gt;$M$3),0,1))</f>
        <v>0</v>
      </c>
      <c r="N1574">
        <f>IF(OR($N$1="",对接源_02物料!$C374="",对接源_02物料!$C374&lt;&gt;$N$1,对接源_02物料!$B374=""),0,IF(OR(N(对接源_02物料!$B374)&lt;$N$2,N(对接源_02物料!$B374)&gt;$N$3),0,1))</f>
        <v>0</v>
      </c>
      <c r="P1574">
        <f>IF(AND($K1574=1,AND(对接源_02物料!$X374="公司筐",N(对接源_02物料!$T374)&lt;&gt;0)),1,0)</f>
        <v>0</v>
      </c>
      <c r="Q1574">
        <f>N(Q1573)+$P1574</f>
        <v>14</v>
      </c>
      <c r="R1574">
        <f>IF(AND($K1574=1,AND(对接源_02物料!$X374="公司筐",N(对接源_02物料!$U374)&lt;&gt;0)),1,0)</f>
        <v>0</v>
      </c>
      <c r="S1574">
        <f>N(S1573)+$R1574</f>
        <v>1</v>
      </c>
      <c r="T1574">
        <f>IF(AND($K1574=1,AND(对接源_02物料!$X374="公司筐",N(对接源_02物料!$V374)&lt;&gt;0)),1,0)</f>
        <v>0</v>
      </c>
      <c r="U1574">
        <f>N(U1573)+$T1574</f>
        <v>47</v>
      </c>
      <c r="V1574">
        <f>IF(AND($L1574=1,AND(对接源_02物料!$X374="自备筐",N(对接源_02物料!$V374)&lt;&gt;0)),1,0)</f>
        <v>0</v>
      </c>
      <c r="W1574">
        <f>N(W1573)+$V1574</f>
        <v>11</v>
      </c>
      <c r="X1574">
        <f>IF(AND($L1574=1,AND(对接源_02物料!$X374="自备筐",N(对接源_02物料!$T374)&lt;&gt;0)),1,0)</f>
        <v>0</v>
      </c>
      <c r="Y1574">
        <f>N(Y1573)+$X1574</f>
        <v>0</v>
      </c>
      <c r="Z1574">
        <f>IF(AND($M1574=1,对接源_02物料!$D374="原料入库"),1,0)</f>
        <v>0</v>
      </c>
      <c r="AA1574">
        <f>N(AA1573)+$Z1574</f>
        <v>24</v>
      </c>
      <c r="AB1574">
        <f>IF(AND($M1574=1,LEFT(对接源_02物料!$D374,4)="原料出库"),1,0)</f>
        <v>0</v>
      </c>
      <c r="AC1574">
        <f>N(AC1573)+$AB1574</f>
        <v>0</v>
      </c>
      <c r="AD1574">
        <f>IF(AND($M1574=1,LEFT(对接源_02物料!$D374,4)="成品出库"),1,0)</f>
        <v>0</v>
      </c>
      <c r="AE1574">
        <f>N(AE1573)+$AD1574</f>
        <v>0</v>
      </c>
      <c r="AF1574">
        <f>IF(AND($N1574=1,AND(LEFT(对接源_02物料!$D374,4)="包装物料",N(对接源_02物料!$K374)&lt;&gt;0)),1,0)</f>
        <v>0</v>
      </c>
      <c r="AG1574">
        <f>N(AG1573)+$AF1574</f>
        <v>10</v>
      </c>
      <c r="AH1574">
        <f>IF(AND($N1574=1,AND(对接源_02物料!$D374="周转筐－销售出库",N(对接源_02物料!$K374)&lt;&gt;0)),1,0)</f>
        <v>0</v>
      </c>
      <c r="AI1574">
        <f>N(AI1573)+$AH1574</f>
        <v>0</v>
      </c>
      <c r="AL1574" t="n">
        <v>0</v>
      </c>
      <c r="AM1574">
        <f>N(AM1573)+$AL1574</f>
        <v>2</v>
      </c>
      <c r="AN1574">
        <f>""</f>
      </c>
      <c r="AO1574" t="n">
        <v>0</v>
      </c>
      <c r="AP1574">
        <f>N(AP1573)+$AO1574</f>
        <v>13</v>
      </c>
      <c r="AR1574">
        <f>IF(OR($AF1574=1,$AH1574=1),1,0)</f>
        <v>0</v>
      </c>
      <c r="AS1574">
        <f>N(AS1573)+$AR1574</f>
        <v>10</v>
      </c>
    </row>
    <row r="1575" s="127">
      <c r="A1575">
        <f>IF(对接源_02物料!$C375="","",对接源_02物料!$C375)</f>
      </c>
      <c r="B1575">
        <f>IF(A1575="",0,IF(MATCH(A1575,$A$4:$A$2403,0)=ROW()-3,1,0))</f>
        <v>0</v>
      </c>
      <c r="C1575">
        <f>N(C1574)+B1575</f>
        <v>26</v>
      </c>
      <c r="K1575">
        <f>IF(OR($K$1="",对接源_02物料!$C375="",对接源_02物料!$C375&lt;&gt;$K$1,对接源_02物料!$B375=""),0,IF(OR(N(对接源_02物料!$B375)&lt;$K$2,N(对接源_02物料!$B375)&gt;$K$3),0,1))</f>
        <v>0</v>
      </c>
      <c r="L1575">
        <f>IF(OR($L$1="",对接源_02物料!$C375="",对接源_02物料!$C375&lt;&gt;$L$1,对接源_02物料!$B375=""),0,IF(OR(N(对接源_02物料!$B375)&lt;$L$2,N(对接源_02物料!$B375)&gt;$L$3),0,1))</f>
        <v>0</v>
      </c>
      <c r="M1575">
        <f>IF(OR($M$1="",对接源_02物料!$C375="",对接源_02物料!$C375&lt;&gt;$M$1,对接源_02物料!$B375=""),0,IF(OR(N(对接源_02物料!$B375)&lt;$M$2,N(对接源_02物料!$B375)&gt;$M$3),0,1))</f>
        <v>0</v>
      </c>
      <c r="N1575">
        <f>IF(OR($N$1="",对接源_02物料!$C375="",对接源_02物料!$C375&lt;&gt;$N$1,对接源_02物料!$B375=""),0,IF(OR(N(对接源_02物料!$B375)&lt;$N$2,N(对接源_02物料!$B375)&gt;$N$3),0,1))</f>
        <v>0</v>
      </c>
      <c r="P1575">
        <f>IF(AND($K1575=1,AND(对接源_02物料!$X375="公司筐",N(对接源_02物料!$T375)&lt;&gt;0)),1,0)</f>
        <v>0</v>
      </c>
      <c r="Q1575">
        <f>N(Q1574)+$P1575</f>
        <v>14</v>
      </c>
      <c r="R1575">
        <f>IF(AND($K1575=1,AND(对接源_02物料!$X375="公司筐",N(对接源_02物料!$U375)&lt;&gt;0)),1,0)</f>
        <v>0</v>
      </c>
      <c r="S1575">
        <f>N(S1574)+$R1575</f>
        <v>1</v>
      </c>
      <c r="T1575">
        <f>IF(AND($K1575=1,AND(对接源_02物料!$X375="公司筐",N(对接源_02物料!$V375)&lt;&gt;0)),1,0)</f>
        <v>0</v>
      </c>
      <c r="U1575">
        <f>N(U1574)+$T1575</f>
        <v>47</v>
      </c>
      <c r="V1575">
        <f>IF(AND($L1575=1,AND(对接源_02物料!$X375="自备筐",N(对接源_02物料!$V375)&lt;&gt;0)),1,0)</f>
        <v>0</v>
      </c>
      <c r="W1575">
        <f>N(W1574)+$V1575</f>
        <v>11</v>
      </c>
      <c r="X1575">
        <f>IF(AND($L1575=1,AND(对接源_02物料!$X375="自备筐",N(对接源_02物料!$T375)&lt;&gt;0)),1,0)</f>
        <v>0</v>
      </c>
      <c r="Y1575">
        <f>N(Y1574)+$X1575</f>
        <v>0</v>
      </c>
      <c r="Z1575">
        <f>IF(AND($M1575=1,对接源_02物料!$D375="原料入库"),1,0)</f>
        <v>0</v>
      </c>
      <c r="AA1575">
        <f>N(AA1574)+$Z1575</f>
        <v>24</v>
      </c>
      <c r="AB1575">
        <f>IF(AND($M1575=1,LEFT(对接源_02物料!$D375,4)="原料出库"),1,0)</f>
        <v>0</v>
      </c>
      <c r="AC1575">
        <f>N(AC1574)+$AB1575</f>
        <v>0</v>
      </c>
      <c r="AD1575">
        <f>IF(AND($M1575=1,LEFT(对接源_02物料!$D375,4)="成品出库"),1,0)</f>
        <v>0</v>
      </c>
      <c r="AE1575">
        <f>N(AE1574)+$AD1575</f>
        <v>0</v>
      </c>
      <c r="AF1575">
        <f>IF(AND($N1575=1,AND(LEFT(对接源_02物料!$D375,4)="包装物料",N(对接源_02物料!$K375)&lt;&gt;0)),1,0)</f>
        <v>0</v>
      </c>
      <c r="AG1575">
        <f>N(AG1574)+$AF1575</f>
        <v>10</v>
      </c>
      <c r="AH1575">
        <f>IF(AND($N1575=1,AND(对接源_02物料!$D375="周转筐－销售出库",N(对接源_02物料!$K375)&lt;&gt;0)),1,0)</f>
        <v>0</v>
      </c>
      <c r="AI1575">
        <f>N(AI1574)+$AH1575</f>
        <v>0</v>
      </c>
      <c r="AL1575" t="n">
        <v>0</v>
      </c>
      <c r="AM1575">
        <f>N(AM1574)+$AL1575</f>
        <v>2</v>
      </c>
      <c r="AN1575">
        <f>""</f>
      </c>
      <c r="AO1575" t="n">
        <v>0</v>
      </c>
      <c r="AP1575">
        <f>N(AP1574)+$AO1575</f>
        <v>13</v>
      </c>
      <c r="AR1575">
        <f>IF(OR($AF1575=1,$AH1575=1),1,0)</f>
        <v>0</v>
      </c>
      <c r="AS1575">
        <f>N(AS1574)+$AR1575</f>
        <v>10</v>
      </c>
    </row>
    <row r="1576" s="127">
      <c r="A1576">
        <f>IF(对接源_02物料!$C376="","",对接源_02物料!$C376)</f>
      </c>
      <c r="B1576">
        <f>IF(A1576="",0,IF(MATCH(A1576,$A$4:$A$2403,0)=ROW()-3,1,0))</f>
        <v>0</v>
      </c>
      <c r="C1576">
        <f>N(C1575)+B1576</f>
        <v>26</v>
      </c>
      <c r="K1576">
        <f>IF(OR($K$1="",对接源_02物料!$C376="",对接源_02物料!$C376&lt;&gt;$K$1,对接源_02物料!$B376=""),0,IF(OR(N(对接源_02物料!$B376)&lt;$K$2,N(对接源_02物料!$B376)&gt;$K$3),0,1))</f>
        <v>0</v>
      </c>
      <c r="L1576">
        <f>IF(OR($L$1="",对接源_02物料!$C376="",对接源_02物料!$C376&lt;&gt;$L$1,对接源_02物料!$B376=""),0,IF(OR(N(对接源_02物料!$B376)&lt;$L$2,N(对接源_02物料!$B376)&gt;$L$3),0,1))</f>
        <v>0</v>
      </c>
      <c r="M1576">
        <f>IF(OR($M$1="",对接源_02物料!$C376="",对接源_02物料!$C376&lt;&gt;$M$1,对接源_02物料!$B376=""),0,IF(OR(N(对接源_02物料!$B376)&lt;$M$2,N(对接源_02物料!$B376)&gt;$M$3),0,1))</f>
        <v>0</v>
      </c>
      <c r="N1576">
        <f>IF(OR($N$1="",对接源_02物料!$C376="",对接源_02物料!$C376&lt;&gt;$N$1,对接源_02物料!$B376=""),0,IF(OR(N(对接源_02物料!$B376)&lt;$N$2,N(对接源_02物料!$B376)&gt;$N$3),0,1))</f>
        <v>0</v>
      </c>
      <c r="P1576">
        <f>IF(AND($K1576=1,AND(对接源_02物料!$X376="公司筐",N(对接源_02物料!$T376)&lt;&gt;0)),1,0)</f>
        <v>0</v>
      </c>
      <c r="Q1576">
        <f>N(Q1575)+$P1576</f>
        <v>14</v>
      </c>
      <c r="R1576">
        <f>IF(AND($K1576=1,AND(对接源_02物料!$X376="公司筐",N(对接源_02物料!$U376)&lt;&gt;0)),1,0)</f>
        <v>0</v>
      </c>
      <c r="S1576">
        <f>N(S1575)+$R1576</f>
        <v>1</v>
      </c>
      <c r="T1576">
        <f>IF(AND($K1576=1,AND(对接源_02物料!$X376="公司筐",N(对接源_02物料!$V376)&lt;&gt;0)),1,0)</f>
        <v>0</v>
      </c>
      <c r="U1576">
        <f>N(U1575)+$T1576</f>
        <v>47</v>
      </c>
      <c r="V1576">
        <f>IF(AND($L1576=1,AND(对接源_02物料!$X376="自备筐",N(对接源_02物料!$V376)&lt;&gt;0)),1,0)</f>
        <v>0</v>
      </c>
      <c r="W1576">
        <f>N(W1575)+$V1576</f>
        <v>11</v>
      </c>
      <c r="X1576">
        <f>IF(AND($L1576=1,AND(对接源_02物料!$X376="自备筐",N(对接源_02物料!$T376)&lt;&gt;0)),1,0)</f>
        <v>0</v>
      </c>
      <c r="Y1576">
        <f>N(Y1575)+$X1576</f>
        <v>0</v>
      </c>
      <c r="Z1576">
        <f>IF(AND($M1576=1,对接源_02物料!$D376="原料入库"),1,0)</f>
        <v>0</v>
      </c>
      <c r="AA1576">
        <f>N(AA1575)+$Z1576</f>
        <v>24</v>
      </c>
      <c r="AB1576">
        <f>IF(AND($M1576=1,LEFT(对接源_02物料!$D376,4)="原料出库"),1,0)</f>
        <v>0</v>
      </c>
      <c r="AC1576">
        <f>N(AC1575)+$AB1576</f>
        <v>0</v>
      </c>
      <c r="AD1576">
        <f>IF(AND($M1576=1,LEFT(对接源_02物料!$D376,4)="成品出库"),1,0)</f>
        <v>0</v>
      </c>
      <c r="AE1576">
        <f>N(AE1575)+$AD1576</f>
        <v>0</v>
      </c>
      <c r="AF1576">
        <f>IF(AND($N1576=1,AND(LEFT(对接源_02物料!$D376,4)="包装物料",N(对接源_02物料!$K376)&lt;&gt;0)),1,0)</f>
        <v>0</v>
      </c>
      <c r="AG1576">
        <f>N(AG1575)+$AF1576</f>
        <v>10</v>
      </c>
      <c r="AH1576">
        <f>IF(AND($N1576=1,AND(对接源_02物料!$D376="周转筐－销售出库",N(对接源_02物料!$K376)&lt;&gt;0)),1,0)</f>
        <v>0</v>
      </c>
      <c r="AI1576">
        <f>N(AI1575)+$AH1576</f>
        <v>0</v>
      </c>
      <c r="AL1576" t="n">
        <v>0</v>
      </c>
      <c r="AM1576">
        <f>N(AM1575)+$AL1576</f>
        <v>2</v>
      </c>
      <c r="AN1576">
        <f>""</f>
      </c>
      <c r="AO1576" t="n">
        <v>0</v>
      </c>
      <c r="AP1576">
        <f>N(AP1575)+$AO1576</f>
        <v>13</v>
      </c>
      <c r="AR1576">
        <f>IF(OR($AF1576=1,$AH1576=1),1,0)</f>
        <v>0</v>
      </c>
      <c r="AS1576">
        <f>N(AS1575)+$AR1576</f>
        <v>10</v>
      </c>
    </row>
    <row r="1577" s="127">
      <c r="A1577">
        <f>IF(对接源_02物料!$C377="","",对接源_02物料!$C377)</f>
      </c>
      <c r="B1577">
        <f>IF(A1577="",0,IF(MATCH(A1577,$A$4:$A$2403,0)=ROW()-3,1,0))</f>
        <v>0</v>
      </c>
      <c r="C1577">
        <f>N(C1576)+B1577</f>
        <v>26</v>
      </c>
      <c r="K1577">
        <f>IF(OR($K$1="",对接源_02物料!$C377="",对接源_02物料!$C377&lt;&gt;$K$1,对接源_02物料!$B377=""),0,IF(OR(N(对接源_02物料!$B377)&lt;$K$2,N(对接源_02物料!$B377)&gt;$K$3),0,1))</f>
        <v>0</v>
      </c>
      <c r="L1577">
        <f>IF(OR($L$1="",对接源_02物料!$C377="",对接源_02物料!$C377&lt;&gt;$L$1,对接源_02物料!$B377=""),0,IF(OR(N(对接源_02物料!$B377)&lt;$L$2,N(对接源_02物料!$B377)&gt;$L$3),0,1))</f>
        <v>0</v>
      </c>
      <c r="M1577">
        <f>IF(OR($M$1="",对接源_02物料!$C377="",对接源_02物料!$C377&lt;&gt;$M$1,对接源_02物料!$B377=""),0,IF(OR(N(对接源_02物料!$B377)&lt;$M$2,N(对接源_02物料!$B377)&gt;$M$3),0,1))</f>
        <v>0</v>
      </c>
      <c r="N1577">
        <f>IF(OR($N$1="",对接源_02物料!$C377="",对接源_02物料!$C377&lt;&gt;$N$1,对接源_02物料!$B377=""),0,IF(OR(N(对接源_02物料!$B377)&lt;$N$2,N(对接源_02物料!$B377)&gt;$N$3),0,1))</f>
        <v>0</v>
      </c>
      <c r="P1577">
        <f>IF(AND($K1577=1,AND(对接源_02物料!$X377="公司筐",N(对接源_02物料!$T377)&lt;&gt;0)),1,0)</f>
        <v>0</v>
      </c>
      <c r="Q1577">
        <f>N(Q1576)+$P1577</f>
        <v>14</v>
      </c>
      <c r="R1577">
        <f>IF(AND($K1577=1,AND(对接源_02物料!$X377="公司筐",N(对接源_02物料!$U377)&lt;&gt;0)),1,0)</f>
        <v>0</v>
      </c>
      <c r="S1577">
        <f>N(S1576)+$R1577</f>
        <v>1</v>
      </c>
      <c r="T1577">
        <f>IF(AND($K1577=1,AND(对接源_02物料!$X377="公司筐",N(对接源_02物料!$V377)&lt;&gt;0)),1,0)</f>
        <v>0</v>
      </c>
      <c r="U1577">
        <f>N(U1576)+$T1577</f>
        <v>47</v>
      </c>
      <c r="V1577">
        <f>IF(AND($L1577=1,AND(对接源_02物料!$X377="自备筐",N(对接源_02物料!$V377)&lt;&gt;0)),1,0)</f>
        <v>0</v>
      </c>
      <c r="W1577">
        <f>N(W1576)+$V1577</f>
        <v>11</v>
      </c>
      <c r="X1577">
        <f>IF(AND($L1577=1,AND(对接源_02物料!$X377="自备筐",N(对接源_02物料!$T377)&lt;&gt;0)),1,0)</f>
        <v>0</v>
      </c>
      <c r="Y1577">
        <f>N(Y1576)+$X1577</f>
        <v>0</v>
      </c>
      <c r="Z1577">
        <f>IF(AND($M1577=1,对接源_02物料!$D377="原料入库"),1,0)</f>
        <v>0</v>
      </c>
      <c r="AA1577">
        <f>N(AA1576)+$Z1577</f>
        <v>24</v>
      </c>
      <c r="AB1577">
        <f>IF(AND($M1577=1,LEFT(对接源_02物料!$D377,4)="原料出库"),1,0)</f>
        <v>0</v>
      </c>
      <c r="AC1577">
        <f>N(AC1576)+$AB1577</f>
        <v>0</v>
      </c>
      <c r="AD1577">
        <f>IF(AND($M1577=1,LEFT(对接源_02物料!$D377,4)="成品出库"),1,0)</f>
        <v>0</v>
      </c>
      <c r="AE1577">
        <f>N(AE1576)+$AD1577</f>
        <v>0</v>
      </c>
      <c r="AF1577">
        <f>IF(AND($N1577=1,AND(LEFT(对接源_02物料!$D377,4)="包装物料",N(对接源_02物料!$K377)&lt;&gt;0)),1,0)</f>
        <v>0</v>
      </c>
      <c r="AG1577">
        <f>N(AG1576)+$AF1577</f>
        <v>10</v>
      </c>
      <c r="AH1577">
        <f>IF(AND($N1577=1,AND(对接源_02物料!$D377="周转筐－销售出库",N(对接源_02物料!$K377)&lt;&gt;0)),1,0)</f>
        <v>0</v>
      </c>
      <c r="AI1577">
        <f>N(AI1576)+$AH1577</f>
        <v>0</v>
      </c>
      <c r="AL1577" t="n">
        <v>0</v>
      </c>
      <c r="AM1577">
        <f>N(AM1576)+$AL1577</f>
        <v>2</v>
      </c>
      <c r="AN1577">
        <f>""</f>
      </c>
      <c r="AO1577" t="n">
        <v>0</v>
      </c>
      <c r="AP1577">
        <f>N(AP1576)+$AO1577</f>
        <v>13</v>
      </c>
      <c r="AR1577">
        <f>IF(OR($AF1577=1,$AH1577=1),1,0)</f>
        <v>0</v>
      </c>
      <c r="AS1577">
        <f>N(AS1576)+$AR1577</f>
        <v>10</v>
      </c>
    </row>
    <row r="1578" s="127">
      <c r="A1578">
        <f>IF(对接源_02物料!$C378="","",对接源_02物料!$C378)</f>
      </c>
      <c r="B1578">
        <f>IF(A1578="",0,IF(MATCH(A1578,$A$4:$A$2403,0)=ROW()-3,1,0))</f>
        <v>0</v>
      </c>
      <c r="C1578">
        <f>N(C1577)+B1578</f>
        <v>26</v>
      </c>
      <c r="K1578">
        <f>IF(OR($K$1="",对接源_02物料!$C378="",对接源_02物料!$C378&lt;&gt;$K$1,对接源_02物料!$B378=""),0,IF(OR(N(对接源_02物料!$B378)&lt;$K$2,N(对接源_02物料!$B378)&gt;$K$3),0,1))</f>
        <v>0</v>
      </c>
      <c r="L1578">
        <f>IF(OR($L$1="",对接源_02物料!$C378="",对接源_02物料!$C378&lt;&gt;$L$1,对接源_02物料!$B378=""),0,IF(OR(N(对接源_02物料!$B378)&lt;$L$2,N(对接源_02物料!$B378)&gt;$L$3),0,1))</f>
        <v>0</v>
      </c>
      <c r="M1578">
        <f>IF(OR($M$1="",对接源_02物料!$C378="",对接源_02物料!$C378&lt;&gt;$M$1,对接源_02物料!$B378=""),0,IF(OR(N(对接源_02物料!$B378)&lt;$M$2,N(对接源_02物料!$B378)&gt;$M$3),0,1))</f>
        <v>0</v>
      </c>
      <c r="N1578">
        <f>IF(OR($N$1="",对接源_02物料!$C378="",对接源_02物料!$C378&lt;&gt;$N$1,对接源_02物料!$B378=""),0,IF(OR(N(对接源_02物料!$B378)&lt;$N$2,N(对接源_02物料!$B378)&gt;$N$3),0,1))</f>
        <v>0</v>
      </c>
      <c r="P1578">
        <f>IF(AND($K1578=1,AND(对接源_02物料!$X378="公司筐",N(对接源_02物料!$T378)&lt;&gt;0)),1,0)</f>
        <v>0</v>
      </c>
      <c r="Q1578">
        <f>N(Q1577)+$P1578</f>
        <v>14</v>
      </c>
      <c r="R1578">
        <f>IF(AND($K1578=1,AND(对接源_02物料!$X378="公司筐",N(对接源_02物料!$U378)&lt;&gt;0)),1,0)</f>
        <v>0</v>
      </c>
      <c r="S1578">
        <f>N(S1577)+$R1578</f>
        <v>1</v>
      </c>
      <c r="T1578">
        <f>IF(AND($K1578=1,AND(对接源_02物料!$X378="公司筐",N(对接源_02物料!$V378)&lt;&gt;0)),1,0)</f>
        <v>0</v>
      </c>
      <c r="U1578">
        <f>N(U1577)+$T1578</f>
        <v>47</v>
      </c>
      <c r="V1578">
        <f>IF(AND($L1578=1,AND(对接源_02物料!$X378="自备筐",N(对接源_02物料!$V378)&lt;&gt;0)),1,0)</f>
        <v>0</v>
      </c>
      <c r="W1578">
        <f>N(W1577)+$V1578</f>
        <v>11</v>
      </c>
      <c r="X1578">
        <f>IF(AND($L1578=1,AND(对接源_02物料!$X378="自备筐",N(对接源_02物料!$T378)&lt;&gt;0)),1,0)</f>
        <v>0</v>
      </c>
      <c r="Y1578">
        <f>N(Y1577)+$X1578</f>
        <v>0</v>
      </c>
      <c r="Z1578">
        <f>IF(AND($M1578=1,对接源_02物料!$D378="原料入库"),1,0)</f>
        <v>0</v>
      </c>
      <c r="AA1578">
        <f>N(AA1577)+$Z1578</f>
        <v>24</v>
      </c>
      <c r="AB1578">
        <f>IF(AND($M1578=1,LEFT(对接源_02物料!$D378,4)="原料出库"),1,0)</f>
        <v>0</v>
      </c>
      <c r="AC1578">
        <f>N(AC1577)+$AB1578</f>
        <v>0</v>
      </c>
      <c r="AD1578">
        <f>IF(AND($M1578=1,LEFT(对接源_02物料!$D378,4)="成品出库"),1,0)</f>
        <v>0</v>
      </c>
      <c r="AE1578">
        <f>N(AE1577)+$AD1578</f>
        <v>0</v>
      </c>
      <c r="AF1578">
        <f>IF(AND($N1578=1,AND(LEFT(对接源_02物料!$D378,4)="包装物料",N(对接源_02物料!$K378)&lt;&gt;0)),1,0)</f>
        <v>0</v>
      </c>
      <c r="AG1578">
        <f>N(AG1577)+$AF1578</f>
        <v>10</v>
      </c>
      <c r="AH1578">
        <f>IF(AND($N1578=1,AND(对接源_02物料!$D378="周转筐－销售出库",N(对接源_02物料!$K378)&lt;&gt;0)),1,0)</f>
        <v>0</v>
      </c>
      <c r="AI1578">
        <f>N(AI1577)+$AH1578</f>
        <v>0</v>
      </c>
      <c r="AL1578" t="n">
        <v>0</v>
      </c>
      <c r="AM1578">
        <f>N(AM1577)+$AL1578</f>
        <v>2</v>
      </c>
      <c r="AN1578">
        <f>""</f>
      </c>
      <c r="AO1578" t="n">
        <v>0</v>
      </c>
      <c r="AP1578">
        <f>N(AP1577)+$AO1578</f>
        <v>13</v>
      </c>
      <c r="AR1578">
        <f>IF(OR($AF1578=1,$AH1578=1),1,0)</f>
        <v>0</v>
      </c>
      <c r="AS1578">
        <f>N(AS1577)+$AR1578</f>
        <v>10</v>
      </c>
    </row>
    <row r="1579" s="127">
      <c r="A1579">
        <f>IF(对接源_02物料!$C379="","",对接源_02物料!$C379)</f>
      </c>
      <c r="B1579">
        <f>IF(A1579="",0,IF(MATCH(A1579,$A$4:$A$2403,0)=ROW()-3,1,0))</f>
        <v>0</v>
      </c>
      <c r="C1579">
        <f>N(C1578)+B1579</f>
        <v>26</v>
      </c>
      <c r="K1579">
        <f>IF(OR($K$1="",对接源_02物料!$C379="",对接源_02物料!$C379&lt;&gt;$K$1,对接源_02物料!$B379=""),0,IF(OR(N(对接源_02物料!$B379)&lt;$K$2,N(对接源_02物料!$B379)&gt;$K$3),0,1))</f>
        <v>0</v>
      </c>
      <c r="L1579">
        <f>IF(OR($L$1="",对接源_02物料!$C379="",对接源_02物料!$C379&lt;&gt;$L$1,对接源_02物料!$B379=""),0,IF(OR(N(对接源_02物料!$B379)&lt;$L$2,N(对接源_02物料!$B379)&gt;$L$3),0,1))</f>
        <v>0</v>
      </c>
      <c r="M1579">
        <f>IF(OR($M$1="",对接源_02物料!$C379="",对接源_02物料!$C379&lt;&gt;$M$1,对接源_02物料!$B379=""),0,IF(OR(N(对接源_02物料!$B379)&lt;$M$2,N(对接源_02物料!$B379)&gt;$M$3),0,1))</f>
        <v>0</v>
      </c>
      <c r="N1579">
        <f>IF(OR($N$1="",对接源_02物料!$C379="",对接源_02物料!$C379&lt;&gt;$N$1,对接源_02物料!$B379=""),0,IF(OR(N(对接源_02物料!$B379)&lt;$N$2,N(对接源_02物料!$B379)&gt;$N$3),0,1))</f>
        <v>0</v>
      </c>
      <c r="P1579">
        <f>IF(AND($K1579=1,AND(对接源_02物料!$X379="公司筐",N(对接源_02物料!$T379)&lt;&gt;0)),1,0)</f>
        <v>0</v>
      </c>
      <c r="Q1579">
        <f>N(Q1578)+$P1579</f>
        <v>14</v>
      </c>
      <c r="R1579">
        <f>IF(AND($K1579=1,AND(对接源_02物料!$X379="公司筐",N(对接源_02物料!$U379)&lt;&gt;0)),1,0)</f>
        <v>0</v>
      </c>
      <c r="S1579">
        <f>N(S1578)+$R1579</f>
        <v>1</v>
      </c>
      <c r="T1579">
        <f>IF(AND($K1579=1,AND(对接源_02物料!$X379="公司筐",N(对接源_02物料!$V379)&lt;&gt;0)),1,0)</f>
        <v>0</v>
      </c>
      <c r="U1579">
        <f>N(U1578)+$T1579</f>
        <v>47</v>
      </c>
      <c r="V1579">
        <f>IF(AND($L1579=1,AND(对接源_02物料!$X379="自备筐",N(对接源_02物料!$V379)&lt;&gt;0)),1,0)</f>
        <v>0</v>
      </c>
      <c r="W1579">
        <f>N(W1578)+$V1579</f>
        <v>11</v>
      </c>
      <c r="X1579">
        <f>IF(AND($L1579=1,AND(对接源_02物料!$X379="自备筐",N(对接源_02物料!$T379)&lt;&gt;0)),1,0)</f>
        <v>0</v>
      </c>
      <c r="Y1579">
        <f>N(Y1578)+$X1579</f>
        <v>0</v>
      </c>
      <c r="Z1579">
        <f>IF(AND($M1579=1,对接源_02物料!$D379="原料入库"),1,0)</f>
        <v>0</v>
      </c>
      <c r="AA1579">
        <f>N(AA1578)+$Z1579</f>
        <v>24</v>
      </c>
      <c r="AB1579">
        <f>IF(AND($M1579=1,LEFT(对接源_02物料!$D379,4)="原料出库"),1,0)</f>
        <v>0</v>
      </c>
      <c r="AC1579">
        <f>N(AC1578)+$AB1579</f>
        <v>0</v>
      </c>
      <c r="AD1579">
        <f>IF(AND($M1579=1,LEFT(对接源_02物料!$D379,4)="成品出库"),1,0)</f>
        <v>0</v>
      </c>
      <c r="AE1579">
        <f>N(AE1578)+$AD1579</f>
        <v>0</v>
      </c>
      <c r="AF1579">
        <f>IF(AND($N1579=1,AND(LEFT(对接源_02物料!$D379,4)="包装物料",N(对接源_02物料!$K379)&lt;&gt;0)),1,0)</f>
        <v>0</v>
      </c>
      <c r="AG1579">
        <f>N(AG1578)+$AF1579</f>
        <v>10</v>
      </c>
      <c r="AH1579">
        <f>IF(AND($N1579=1,AND(对接源_02物料!$D379="周转筐－销售出库",N(对接源_02物料!$K379)&lt;&gt;0)),1,0)</f>
        <v>0</v>
      </c>
      <c r="AI1579">
        <f>N(AI1578)+$AH1579</f>
        <v>0</v>
      </c>
      <c r="AL1579" t="n">
        <v>0</v>
      </c>
      <c r="AM1579">
        <f>N(AM1578)+$AL1579</f>
        <v>2</v>
      </c>
      <c r="AN1579">
        <f>""</f>
      </c>
      <c r="AO1579" t="n">
        <v>0</v>
      </c>
      <c r="AP1579">
        <f>N(AP1578)+$AO1579</f>
        <v>13</v>
      </c>
      <c r="AR1579">
        <f>IF(OR($AF1579=1,$AH1579=1),1,0)</f>
        <v>0</v>
      </c>
      <c r="AS1579">
        <f>N(AS1578)+$AR1579</f>
        <v>10</v>
      </c>
    </row>
    <row r="1580" s="127">
      <c r="A1580">
        <f>IF(对接源_02物料!$C380="","",对接源_02物料!$C380)</f>
      </c>
      <c r="B1580">
        <f>IF(A1580="",0,IF(MATCH(A1580,$A$4:$A$2403,0)=ROW()-3,1,0))</f>
        <v>0</v>
      </c>
      <c r="C1580">
        <f>N(C1579)+B1580</f>
        <v>26</v>
      </c>
      <c r="K1580">
        <f>IF(OR($K$1="",对接源_02物料!$C380="",对接源_02物料!$C380&lt;&gt;$K$1,对接源_02物料!$B380=""),0,IF(OR(N(对接源_02物料!$B380)&lt;$K$2,N(对接源_02物料!$B380)&gt;$K$3),0,1))</f>
        <v>0</v>
      </c>
      <c r="L1580">
        <f>IF(OR($L$1="",对接源_02物料!$C380="",对接源_02物料!$C380&lt;&gt;$L$1,对接源_02物料!$B380=""),0,IF(OR(N(对接源_02物料!$B380)&lt;$L$2,N(对接源_02物料!$B380)&gt;$L$3),0,1))</f>
        <v>0</v>
      </c>
      <c r="M1580">
        <f>IF(OR($M$1="",对接源_02物料!$C380="",对接源_02物料!$C380&lt;&gt;$M$1,对接源_02物料!$B380=""),0,IF(OR(N(对接源_02物料!$B380)&lt;$M$2,N(对接源_02物料!$B380)&gt;$M$3),0,1))</f>
        <v>0</v>
      </c>
      <c r="N1580">
        <f>IF(OR($N$1="",对接源_02物料!$C380="",对接源_02物料!$C380&lt;&gt;$N$1,对接源_02物料!$B380=""),0,IF(OR(N(对接源_02物料!$B380)&lt;$N$2,N(对接源_02物料!$B380)&gt;$N$3),0,1))</f>
        <v>0</v>
      </c>
      <c r="P1580">
        <f>IF(AND($K1580=1,AND(对接源_02物料!$X380="公司筐",N(对接源_02物料!$T380)&lt;&gt;0)),1,0)</f>
        <v>0</v>
      </c>
      <c r="Q1580">
        <f>N(Q1579)+$P1580</f>
        <v>14</v>
      </c>
      <c r="R1580">
        <f>IF(AND($K1580=1,AND(对接源_02物料!$X380="公司筐",N(对接源_02物料!$U380)&lt;&gt;0)),1,0)</f>
        <v>0</v>
      </c>
      <c r="S1580">
        <f>N(S1579)+$R1580</f>
        <v>1</v>
      </c>
      <c r="T1580">
        <f>IF(AND($K1580=1,AND(对接源_02物料!$X380="公司筐",N(对接源_02物料!$V380)&lt;&gt;0)),1,0)</f>
        <v>0</v>
      </c>
      <c r="U1580">
        <f>N(U1579)+$T1580</f>
        <v>47</v>
      </c>
      <c r="V1580">
        <f>IF(AND($L1580=1,AND(对接源_02物料!$X380="自备筐",N(对接源_02物料!$V380)&lt;&gt;0)),1,0)</f>
        <v>0</v>
      </c>
      <c r="W1580">
        <f>N(W1579)+$V1580</f>
        <v>11</v>
      </c>
      <c r="X1580">
        <f>IF(AND($L1580=1,AND(对接源_02物料!$X380="自备筐",N(对接源_02物料!$T380)&lt;&gt;0)),1,0)</f>
        <v>0</v>
      </c>
      <c r="Y1580">
        <f>N(Y1579)+$X1580</f>
        <v>0</v>
      </c>
      <c r="Z1580">
        <f>IF(AND($M1580=1,对接源_02物料!$D380="原料入库"),1,0)</f>
        <v>0</v>
      </c>
      <c r="AA1580">
        <f>N(AA1579)+$Z1580</f>
        <v>24</v>
      </c>
      <c r="AB1580">
        <f>IF(AND($M1580=1,LEFT(对接源_02物料!$D380,4)="原料出库"),1,0)</f>
        <v>0</v>
      </c>
      <c r="AC1580">
        <f>N(AC1579)+$AB1580</f>
        <v>0</v>
      </c>
      <c r="AD1580">
        <f>IF(AND($M1580=1,LEFT(对接源_02物料!$D380,4)="成品出库"),1,0)</f>
        <v>0</v>
      </c>
      <c r="AE1580">
        <f>N(AE1579)+$AD1580</f>
        <v>0</v>
      </c>
      <c r="AF1580">
        <f>IF(AND($N1580=1,AND(LEFT(对接源_02物料!$D380,4)="包装物料",N(对接源_02物料!$K380)&lt;&gt;0)),1,0)</f>
        <v>0</v>
      </c>
      <c r="AG1580">
        <f>N(AG1579)+$AF1580</f>
        <v>10</v>
      </c>
      <c r="AH1580">
        <f>IF(AND($N1580=1,AND(对接源_02物料!$D380="周转筐－销售出库",N(对接源_02物料!$K380)&lt;&gt;0)),1,0)</f>
        <v>0</v>
      </c>
      <c r="AI1580">
        <f>N(AI1579)+$AH1580</f>
        <v>0</v>
      </c>
      <c r="AL1580" t="n">
        <v>0</v>
      </c>
      <c r="AM1580">
        <f>N(AM1579)+$AL1580</f>
        <v>2</v>
      </c>
      <c r="AN1580">
        <f>""</f>
      </c>
      <c r="AO1580" t="n">
        <v>0</v>
      </c>
      <c r="AP1580">
        <f>N(AP1579)+$AO1580</f>
        <v>13</v>
      </c>
      <c r="AR1580">
        <f>IF(OR($AF1580=1,$AH1580=1),1,0)</f>
        <v>0</v>
      </c>
      <c r="AS1580">
        <f>N(AS1579)+$AR1580</f>
        <v>10</v>
      </c>
    </row>
    <row r="1581" s="127">
      <c r="A1581">
        <f>IF(对接源_02物料!$C381="","",对接源_02物料!$C381)</f>
      </c>
      <c r="B1581">
        <f>IF(A1581="",0,IF(MATCH(A1581,$A$4:$A$2403,0)=ROW()-3,1,0))</f>
        <v>0</v>
      </c>
      <c r="C1581">
        <f>N(C1580)+B1581</f>
        <v>26</v>
      </c>
      <c r="K1581">
        <f>IF(OR($K$1="",对接源_02物料!$C381="",对接源_02物料!$C381&lt;&gt;$K$1,对接源_02物料!$B381=""),0,IF(OR(N(对接源_02物料!$B381)&lt;$K$2,N(对接源_02物料!$B381)&gt;$K$3),0,1))</f>
        <v>0</v>
      </c>
      <c r="L1581">
        <f>IF(OR($L$1="",对接源_02物料!$C381="",对接源_02物料!$C381&lt;&gt;$L$1,对接源_02物料!$B381=""),0,IF(OR(N(对接源_02物料!$B381)&lt;$L$2,N(对接源_02物料!$B381)&gt;$L$3),0,1))</f>
        <v>0</v>
      </c>
      <c r="M1581">
        <f>IF(OR($M$1="",对接源_02物料!$C381="",对接源_02物料!$C381&lt;&gt;$M$1,对接源_02物料!$B381=""),0,IF(OR(N(对接源_02物料!$B381)&lt;$M$2,N(对接源_02物料!$B381)&gt;$M$3),0,1))</f>
        <v>0</v>
      </c>
      <c r="N1581">
        <f>IF(OR($N$1="",对接源_02物料!$C381="",对接源_02物料!$C381&lt;&gt;$N$1,对接源_02物料!$B381=""),0,IF(OR(N(对接源_02物料!$B381)&lt;$N$2,N(对接源_02物料!$B381)&gt;$N$3),0,1))</f>
        <v>0</v>
      </c>
      <c r="P1581">
        <f>IF(AND($K1581=1,AND(对接源_02物料!$X381="公司筐",N(对接源_02物料!$T381)&lt;&gt;0)),1,0)</f>
        <v>0</v>
      </c>
      <c r="Q1581">
        <f>N(Q1580)+$P1581</f>
        <v>14</v>
      </c>
      <c r="R1581">
        <f>IF(AND($K1581=1,AND(对接源_02物料!$X381="公司筐",N(对接源_02物料!$U381)&lt;&gt;0)),1,0)</f>
        <v>0</v>
      </c>
      <c r="S1581">
        <f>N(S1580)+$R1581</f>
        <v>1</v>
      </c>
      <c r="T1581">
        <f>IF(AND($K1581=1,AND(对接源_02物料!$X381="公司筐",N(对接源_02物料!$V381)&lt;&gt;0)),1,0)</f>
        <v>0</v>
      </c>
      <c r="U1581">
        <f>N(U1580)+$T1581</f>
        <v>47</v>
      </c>
      <c r="V1581">
        <f>IF(AND($L1581=1,AND(对接源_02物料!$X381="自备筐",N(对接源_02物料!$V381)&lt;&gt;0)),1,0)</f>
        <v>0</v>
      </c>
      <c r="W1581">
        <f>N(W1580)+$V1581</f>
        <v>11</v>
      </c>
      <c r="X1581">
        <f>IF(AND($L1581=1,AND(对接源_02物料!$X381="自备筐",N(对接源_02物料!$T381)&lt;&gt;0)),1,0)</f>
        <v>0</v>
      </c>
      <c r="Y1581">
        <f>N(Y1580)+$X1581</f>
        <v>0</v>
      </c>
      <c r="Z1581">
        <f>IF(AND($M1581=1,对接源_02物料!$D381="原料入库"),1,0)</f>
        <v>0</v>
      </c>
      <c r="AA1581">
        <f>N(AA1580)+$Z1581</f>
        <v>24</v>
      </c>
      <c r="AB1581">
        <f>IF(AND($M1581=1,LEFT(对接源_02物料!$D381,4)="原料出库"),1,0)</f>
        <v>0</v>
      </c>
      <c r="AC1581">
        <f>N(AC1580)+$AB1581</f>
        <v>0</v>
      </c>
      <c r="AD1581">
        <f>IF(AND($M1581=1,LEFT(对接源_02物料!$D381,4)="成品出库"),1,0)</f>
        <v>0</v>
      </c>
      <c r="AE1581">
        <f>N(AE1580)+$AD1581</f>
        <v>0</v>
      </c>
      <c r="AF1581">
        <f>IF(AND($N1581=1,AND(LEFT(对接源_02物料!$D381,4)="包装物料",N(对接源_02物料!$K381)&lt;&gt;0)),1,0)</f>
        <v>0</v>
      </c>
      <c r="AG1581">
        <f>N(AG1580)+$AF1581</f>
        <v>10</v>
      </c>
      <c r="AH1581">
        <f>IF(AND($N1581=1,AND(对接源_02物料!$D381="周转筐－销售出库",N(对接源_02物料!$K381)&lt;&gt;0)),1,0)</f>
        <v>0</v>
      </c>
      <c r="AI1581">
        <f>N(AI1580)+$AH1581</f>
        <v>0</v>
      </c>
      <c r="AL1581" t="n">
        <v>0</v>
      </c>
      <c r="AM1581">
        <f>N(AM1580)+$AL1581</f>
        <v>2</v>
      </c>
      <c r="AN1581">
        <f>""</f>
      </c>
      <c r="AO1581" t="n">
        <v>0</v>
      </c>
      <c r="AP1581">
        <f>N(AP1580)+$AO1581</f>
        <v>13</v>
      </c>
      <c r="AR1581">
        <f>IF(OR($AF1581=1,$AH1581=1),1,0)</f>
        <v>0</v>
      </c>
      <c r="AS1581">
        <f>N(AS1580)+$AR1581</f>
        <v>10</v>
      </c>
    </row>
    <row r="1582" s="127">
      <c r="A1582">
        <f>IF(对接源_02物料!$C382="","",对接源_02物料!$C382)</f>
      </c>
      <c r="B1582">
        <f>IF(A1582="",0,IF(MATCH(A1582,$A$4:$A$2403,0)=ROW()-3,1,0))</f>
        <v>0</v>
      </c>
      <c r="C1582">
        <f>N(C1581)+B1582</f>
        <v>26</v>
      </c>
      <c r="K1582">
        <f>IF(OR($K$1="",对接源_02物料!$C382="",对接源_02物料!$C382&lt;&gt;$K$1,对接源_02物料!$B382=""),0,IF(OR(N(对接源_02物料!$B382)&lt;$K$2,N(对接源_02物料!$B382)&gt;$K$3),0,1))</f>
        <v>0</v>
      </c>
      <c r="L1582">
        <f>IF(OR($L$1="",对接源_02物料!$C382="",对接源_02物料!$C382&lt;&gt;$L$1,对接源_02物料!$B382=""),0,IF(OR(N(对接源_02物料!$B382)&lt;$L$2,N(对接源_02物料!$B382)&gt;$L$3),0,1))</f>
        <v>0</v>
      </c>
      <c r="M1582">
        <f>IF(OR($M$1="",对接源_02物料!$C382="",对接源_02物料!$C382&lt;&gt;$M$1,对接源_02物料!$B382=""),0,IF(OR(N(对接源_02物料!$B382)&lt;$M$2,N(对接源_02物料!$B382)&gt;$M$3),0,1))</f>
        <v>0</v>
      </c>
      <c r="N1582">
        <f>IF(OR($N$1="",对接源_02物料!$C382="",对接源_02物料!$C382&lt;&gt;$N$1,对接源_02物料!$B382=""),0,IF(OR(N(对接源_02物料!$B382)&lt;$N$2,N(对接源_02物料!$B382)&gt;$N$3),0,1))</f>
        <v>0</v>
      </c>
      <c r="P1582">
        <f>IF(AND($K1582=1,AND(对接源_02物料!$X382="公司筐",N(对接源_02物料!$T382)&lt;&gt;0)),1,0)</f>
        <v>0</v>
      </c>
      <c r="Q1582">
        <f>N(Q1581)+$P1582</f>
        <v>14</v>
      </c>
      <c r="R1582">
        <f>IF(AND($K1582=1,AND(对接源_02物料!$X382="公司筐",N(对接源_02物料!$U382)&lt;&gt;0)),1,0)</f>
        <v>0</v>
      </c>
      <c r="S1582">
        <f>N(S1581)+$R1582</f>
        <v>1</v>
      </c>
      <c r="T1582">
        <f>IF(AND($K1582=1,AND(对接源_02物料!$X382="公司筐",N(对接源_02物料!$V382)&lt;&gt;0)),1,0)</f>
        <v>0</v>
      </c>
      <c r="U1582">
        <f>N(U1581)+$T1582</f>
        <v>47</v>
      </c>
      <c r="V1582">
        <f>IF(AND($L1582=1,AND(对接源_02物料!$X382="自备筐",N(对接源_02物料!$V382)&lt;&gt;0)),1,0)</f>
        <v>0</v>
      </c>
      <c r="W1582">
        <f>N(W1581)+$V1582</f>
        <v>11</v>
      </c>
      <c r="X1582">
        <f>IF(AND($L1582=1,AND(对接源_02物料!$X382="自备筐",N(对接源_02物料!$T382)&lt;&gt;0)),1,0)</f>
        <v>0</v>
      </c>
      <c r="Y1582">
        <f>N(Y1581)+$X1582</f>
        <v>0</v>
      </c>
      <c r="Z1582">
        <f>IF(AND($M1582=1,对接源_02物料!$D382="原料入库"),1,0)</f>
        <v>0</v>
      </c>
      <c r="AA1582">
        <f>N(AA1581)+$Z1582</f>
        <v>24</v>
      </c>
      <c r="AB1582">
        <f>IF(AND($M1582=1,LEFT(对接源_02物料!$D382,4)="原料出库"),1,0)</f>
        <v>0</v>
      </c>
      <c r="AC1582">
        <f>N(AC1581)+$AB1582</f>
        <v>0</v>
      </c>
      <c r="AD1582">
        <f>IF(AND($M1582=1,LEFT(对接源_02物料!$D382,4)="成品出库"),1,0)</f>
        <v>0</v>
      </c>
      <c r="AE1582">
        <f>N(AE1581)+$AD1582</f>
        <v>0</v>
      </c>
      <c r="AF1582">
        <f>IF(AND($N1582=1,AND(LEFT(对接源_02物料!$D382,4)="包装物料",N(对接源_02物料!$K382)&lt;&gt;0)),1,0)</f>
        <v>0</v>
      </c>
      <c r="AG1582">
        <f>N(AG1581)+$AF1582</f>
        <v>10</v>
      </c>
      <c r="AH1582">
        <f>IF(AND($N1582=1,AND(对接源_02物料!$D382="周转筐－销售出库",N(对接源_02物料!$K382)&lt;&gt;0)),1,0)</f>
        <v>0</v>
      </c>
      <c r="AI1582">
        <f>N(AI1581)+$AH1582</f>
        <v>0</v>
      </c>
      <c r="AL1582" t="n">
        <v>0</v>
      </c>
      <c r="AM1582">
        <f>N(AM1581)+$AL1582</f>
        <v>2</v>
      </c>
      <c r="AN1582">
        <f>""</f>
      </c>
      <c r="AO1582" t="n">
        <v>0</v>
      </c>
      <c r="AP1582">
        <f>N(AP1581)+$AO1582</f>
        <v>13</v>
      </c>
      <c r="AR1582">
        <f>IF(OR($AF1582=1,$AH1582=1),1,0)</f>
        <v>0</v>
      </c>
      <c r="AS1582">
        <f>N(AS1581)+$AR1582</f>
        <v>10</v>
      </c>
    </row>
    <row r="1583" s="127">
      <c r="A1583">
        <f>IF(对接源_02物料!$C383="","",对接源_02物料!$C383)</f>
      </c>
      <c r="B1583">
        <f>IF(A1583="",0,IF(MATCH(A1583,$A$4:$A$2403,0)=ROW()-3,1,0))</f>
        <v>0</v>
      </c>
      <c r="C1583">
        <f>N(C1582)+B1583</f>
        <v>26</v>
      </c>
      <c r="K1583">
        <f>IF(OR($K$1="",对接源_02物料!$C383="",对接源_02物料!$C383&lt;&gt;$K$1,对接源_02物料!$B383=""),0,IF(OR(N(对接源_02物料!$B383)&lt;$K$2,N(对接源_02物料!$B383)&gt;$K$3),0,1))</f>
        <v>0</v>
      </c>
      <c r="L1583">
        <f>IF(OR($L$1="",对接源_02物料!$C383="",对接源_02物料!$C383&lt;&gt;$L$1,对接源_02物料!$B383=""),0,IF(OR(N(对接源_02物料!$B383)&lt;$L$2,N(对接源_02物料!$B383)&gt;$L$3),0,1))</f>
        <v>0</v>
      </c>
      <c r="M1583">
        <f>IF(OR($M$1="",对接源_02物料!$C383="",对接源_02物料!$C383&lt;&gt;$M$1,对接源_02物料!$B383=""),0,IF(OR(N(对接源_02物料!$B383)&lt;$M$2,N(对接源_02物料!$B383)&gt;$M$3),0,1))</f>
        <v>0</v>
      </c>
      <c r="N1583">
        <f>IF(OR($N$1="",对接源_02物料!$C383="",对接源_02物料!$C383&lt;&gt;$N$1,对接源_02物料!$B383=""),0,IF(OR(N(对接源_02物料!$B383)&lt;$N$2,N(对接源_02物料!$B383)&gt;$N$3),0,1))</f>
        <v>0</v>
      </c>
      <c r="P1583">
        <f>IF(AND($K1583=1,AND(对接源_02物料!$X383="公司筐",N(对接源_02物料!$T383)&lt;&gt;0)),1,0)</f>
        <v>0</v>
      </c>
      <c r="Q1583">
        <f>N(Q1582)+$P1583</f>
        <v>14</v>
      </c>
      <c r="R1583">
        <f>IF(AND($K1583=1,AND(对接源_02物料!$X383="公司筐",N(对接源_02物料!$U383)&lt;&gt;0)),1,0)</f>
        <v>0</v>
      </c>
      <c r="S1583">
        <f>N(S1582)+$R1583</f>
        <v>1</v>
      </c>
      <c r="T1583">
        <f>IF(AND($K1583=1,AND(对接源_02物料!$X383="公司筐",N(对接源_02物料!$V383)&lt;&gt;0)),1,0)</f>
        <v>0</v>
      </c>
      <c r="U1583">
        <f>N(U1582)+$T1583</f>
        <v>47</v>
      </c>
      <c r="V1583">
        <f>IF(AND($L1583=1,AND(对接源_02物料!$X383="自备筐",N(对接源_02物料!$V383)&lt;&gt;0)),1,0)</f>
        <v>0</v>
      </c>
      <c r="W1583">
        <f>N(W1582)+$V1583</f>
        <v>11</v>
      </c>
      <c r="X1583">
        <f>IF(AND($L1583=1,AND(对接源_02物料!$X383="自备筐",N(对接源_02物料!$T383)&lt;&gt;0)),1,0)</f>
        <v>0</v>
      </c>
      <c r="Y1583">
        <f>N(Y1582)+$X1583</f>
        <v>0</v>
      </c>
      <c r="Z1583">
        <f>IF(AND($M1583=1,对接源_02物料!$D383="原料入库"),1,0)</f>
        <v>0</v>
      </c>
      <c r="AA1583">
        <f>N(AA1582)+$Z1583</f>
        <v>24</v>
      </c>
      <c r="AB1583">
        <f>IF(AND($M1583=1,LEFT(对接源_02物料!$D383,4)="原料出库"),1,0)</f>
        <v>0</v>
      </c>
      <c r="AC1583">
        <f>N(AC1582)+$AB1583</f>
        <v>0</v>
      </c>
      <c r="AD1583">
        <f>IF(AND($M1583=1,LEFT(对接源_02物料!$D383,4)="成品出库"),1,0)</f>
        <v>0</v>
      </c>
      <c r="AE1583">
        <f>N(AE1582)+$AD1583</f>
        <v>0</v>
      </c>
      <c r="AF1583">
        <f>IF(AND($N1583=1,AND(LEFT(对接源_02物料!$D383,4)="包装物料",N(对接源_02物料!$K383)&lt;&gt;0)),1,0)</f>
        <v>0</v>
      </c>
      <c r="AG1583">
        <f>N(AG1582)+$AF1583</f>
        <v>10</v>
      </c>
      <c r="AH1583">
        <f>IF(AND($N1583=1,AND(对接源_02物料!$D383="周转筐－销售出库",N(对接源_02物料!$K383)&lt;&gt;0)),1,0)</f>
        <v>0</v>
      </c>
      <c r="AI1583">
        <f>N(AI1582)+$AH1583</f>
        <v>0</v>
      </c>
      <c r="AL1583" t="n">
        <v>0</v>
      </c>
      <c r="AM1583">
        <f>N(AM1582)+$AL1583</f>
        <v>2</v>
      </c>
      <c r="AN1583">
        <f>""</f>
      </c>
      <c r="AO1583" t="n">
        <v>0</v>
      </c>
      <c r="AP1583">
        <f>N(AP1582)+$AO1583</f>
        <v>13</v>
      </c>
      <c r="AR1583">
        <f>IF(OR($AF1583=1,$AH1583=1),1,0)</f>
        <v>0</v>
      </c>
      <c r="AS1583">
        <f>N(AS1582)+$AR1583</f>
        <v>10</v>
      </c>
    </row>
    <row r="1584" s="127">
      <c r="A1584">
        <f>IF(对接源_02物料!$C384="","",对接源_02物料!$C384)</f>
      </c>
      <c r="B1584">
        <f>IF(A1584="",0,IF(MATCH(A1584,$A$4:$A$2403,0)=ROW()-3,1,0))</f>
        <v>0</v>
      </c>
      <c r="C1584">
        <f>N(C1583)+B1584</f>
        <v>26</v>
      </c>
      <c r="K1584">
        <f>IF(OR($K$1="",对接源_02物料!$C384="",对接源_02物料!$C384&lt;&gt;$K$1,对接源_02物料!$B384=""),0,IF(OR(N(对接源_02物料!$B384)&lt;$K$2,N(对接源_02物料!$B384)&gt;$K$3),0,1))</f>
        <v>0</v>
      </c>
      <c r="L1584">
        <f>IF(OR($L$1="",对接源_02物料!$C384="",对接源_02物料!$C384&lt;&gt;$L$1,对接源_02物料!$B384=""),0,IF(OR(N(对接源_02物料!$B384)&lt;$L$2,N(对接源_02物料!$B384)&gt;$L$3),0,1))</f>
        <v>0</v>
      </c>
      <c r="M1584">
        <f>IF(OR($M$1="",对接源_02物料!$C384="",对接源_02物料!$C384&lt;&gt;$M$1,对接源_02物料!$B384=""),0,IF(OR(N(对接源_02物料!$B384)&lt;$M$2,N(对接源_02物料!$B384)&gt;$M$3),0,1))</f>
        <v>0</v>
      </c>
      <c r="N1584">
        <f>IF(OR($N$1="",对接源_02物料!$C384="",对接源_02物料!$C384&lt;&gt;$N$1,对接源_02物料!$B384=""),0,IF(OR(N(对接源_02物料!$B384)&lt;$N$2,N(对接源_02物料!$B384)&gt;$N$3),0,1))</f>
        <v>0</v>
      </c>
      <c r="P1584">
        <f>IF(AND($K1584=1,AND(对接源_02物料!$X384="公司筐",N(对接源_02物料!$T384)&lt;&gt;0)),1,0)</f>
        <v>0</v>
      </c>
      <c r="Q1584">
        <f>N(Q1583)+$P1584</f>
        <v>14</v>
      </c>
      <c r="R1584">
        <f>IF(AND($K1584=1,AND(对接源_02物料!$X384="公司筐",N(对接源_02物料!$U384)&lt;&gt;0)),1,0)</f>
        <v>0</v>
      </c>
      <c r="S1584">
        <f>N(S1583)+$R1584</f>
        <v>1</v>
      </c>
      <c r="T1584">
        <f>IF(AND($K1584=1,AND(对接源_02物料!$X384="公司筐",N(对接源_02物料!$V384)&lt;&gt;0)),1,0)</f>
        <v>0</v>
      </c>
      <c r="U1584">
        <f>N(U1583)+$T1584</f>
        <v>47</v>
      </c>
      <c r="V1584">
        <f>IF(AND($L1584=1,AND(对接源_02物料!$X384="自备筐",N(对接源_02物料!$V384)&lt;&gt;0)),1,0)</f>
        <v>0</v>
      </c>
      <c r="W1584">
        <f>N(W1583)+$V1584</f>
        <v>11</v>
      </c>
      <c r="X1584">
        <f>IF(AND($L1584=1,AND(对接源_02物料!$X384="自备筐",N(对接源_02物料!$T384)&lt;&gt;0)),1,0)</f>
        <v>0</v>
      </c>
      <c r="Y1584">
        <f>N(Y1583)+$X1584</f>
        <v>0</v>
      </c>
      <c r="Z1584">
        <f>IF(AND($M1584=1,对接源_02物料!$D384="原料入库"),1,0)</f>
        <v>0</v>
      </c>
      <c r="AA1584">
        <f>N(AA1583)+$Z1584</f>
        <v>24</v>
      </c>
      <c r="AB1584">
        <f>IF(AND($M1584=1,LEFT(对接源_02物料!$D384,4)="原料出库"),1,0)</f>
        <v>0</v>
      </c>
      <c r="AC1584">
        <f>N(AC1583)+$AB1584</f>
        <v>0</v>
      </c>
      <c r="AD1584">
        <f>IF(AND($M1584=1,LEFT(对接源_02物料!$D384,4)="成品出库"),1,0)</f>
        <v>0</v>
      </c>
      <c r="AE1584">
        <f>N(AE1583)+$AD1584</f>
        <v>0</v>
      </c>
      <c r="AF1584">
        <f>IF(AND($N1584=1,AND(LEFT(对接源_02物料!$D384,4)="包装物料",N(对接源_02物料!$K384)&lt;&gt;0)),1,0)</f>
        <v>0</v>
      </c>
      <c r="AG1584">
        <f>N(AG1583)+$AF1584</f>
        <v>10</v>
      </c>
      <c r="AH1584">
        <f>IF(AND($N1584=1,AND(对接源_02物料!$D384="周转筐－销售出库",N(对接源_02物料!$K384)&lt;&gt;0)),1,0)</f>
        <v>0</v>
      </c>
      <c r="AI1584">
        <f>N(AI1583)+$AH1584</f>
        <v>0</v>
      </c>
      <c r="AL1584" t="n">
        <v>0</v>
      </c>
      <c r="AM1584">
        <f>N(AM1583)+$AL1584</f>
        <v>2</v>
      </c>
      <c r="AN1584">
        <f>""</f>
      </c>
      <c r="AO1584" t="n">
        <v>0</v>
      </c>
      <c r="AP1584">
        <f>N(AP1583)+$AO1584</f>
        <v>13</v>
      </c>
      <c r="AR1584">
        <f>IF(OR($AF1584=1,$AH1584=1),1,0)</f>
        <v>0</v>
      </c>
      <c r="AS1584">
        <f>N(AS1583)+$AR1584</f>
        <v>10</v>
      </c>
    </row>
    <row r="1585" s="127">
      <c r="A1585">
        <f>IF(对接源_02物料!$C385="","",对接源_02物料!$C385)</f>
      </c>
      <c r="B1585">
        <f>IF(A1585="",0,IF(MATCH(A1585,$A$4:$A$2403,0)=ROW()-3,1,0))</f>
        <v>0</v>
      </c>
      <c r="C1585">
        <f>N(C1584)+B1585</f>
        <v>26</v>
      </c>
      <c r="K1585">
        <f>IF(OR($K$1="",对接源_02物料!$C385="",对接源_02物料!$C385&lt;&gt;$K$1,对接源_02物料!$B385=""),0,IF(OR(N(对接源_02物料!$B385)&lt;$K$2,N(对接源_02物料!$B385)&gt;$K$3),0,1))</f>
        <v>0</v>
      </c>
      <c r="L1585">
        <f>IF(OR($L$1="",对接源_02物料!$C385="",对接源_02物料!$C385&lt;&gt;$L$1,对接源_02物料!$B385=""),0,IF(OR(N(对接源_02物料!$B385)&lt;$L$2,N(对接源_02物料!$B385)&gt;$L$3),0,1))</f>
        <v>0</v>
      </c>
      <c r="M1585">
        <f>IF(OR($M$1="",对接源_02物料!$C385="",对接源_02物料!$C385&lt;&gt;$M$1,对接源_02物料!$B385=""),0,IF(OR(N(对接源_02物料!$B385)&lt;$M$2,N(对接源_02物料!$B385)&gt;$M$3),0,1))</f>
        <v>0</v>
      </c>
      <c r="N1585">
        <f>IF(OR($N$1="",对接源_02物料!$C385="",对接源_02物料!$C385&lt;&gt;$N$1,对接源_02物料!$B385=""),0,IF(OR(N(对接源_02物料!$B385)&lt;$N$2,N(对接源_02物料!$B385)&gt;$N$3),0,1))</f>
        <v>0</v>
      </c>
      <c r="P1585">
        <f>IF(AND($K1585=1,AND(对接源_02物料!$X385="公司筐",N(对接源_02物料!$T385)&lt;&gt;0)),1,0)</f>
        <v>0</v>
      </c>
      <c r="Q1585">
        <f>N(Q1584)+$P1585</f>
        <v>14</v>
      </c>
      <c r="R1585">
        <f>IF(AND($K1585=1,AND(对接源_02物料!$X385="公司筐",N(对接源_02物料!$U385)&lt;&gt;0)),1,0)</f>
        <v>0</v>
      </c>
      <c r="S1585">
        <f>N(S1584)+$R1585</f>
        <v>1</v>
      </c>
      <c r="T1585">
        <f>IF(AND($K1585=1,AND(对接源_02物料!$X385="公司筐",N(对接源_02物料!$V385)&lt;&gt;0)),1,0)</f>
        <v>0</v>
      </c>
      <c r="U1585">
        <f>N(U1584)+$T1585</f>
        <v>47</v>
      </c>
      <c r="V1585">
        <f>IF(AND($L1585=1,AND(对接源_02物料!$X385="自备筐",N(对接源_02物料!$V385)&lt;&gt;0)),1,0)</f>
        <v>0</v>
      </c>
      <c r="W1585">
        <f>N(W1584)+$V1585</f>
        <v>11</v>
      </c>
      <c r="X1585">
        <f>IF(AND($L1585=1,AND(对接源_02物料!$X385="自备筐",N(对接源_02物料!$T385)&lt;&gt;0)),1,0)</f>
        <v>0</v>
      </c>
      <c r="Y1585">
        <f>N(Y1584)+$X1585</f>
        <v>0</v>
      </c>
      <c r="Z1585">
        <f>IF(AND($M1585=1,对接源_02物料!$D385="原料入库"),1,0)</f>
        <v>0</v>
      </c>
      <c r="AA1585">
        <f>N(AA1584)+$Z1585</f>
        <v>24</v>
      </c>
      <c r="AB1585">
        <f>IF(AND($M1585=1,LEFT(对接源_02物料!$D385,4)="原料出库"),1,0)</f>
        <v>0</v>
      </c>
      <c r="AC1585">
        <f>N(AC1584)+$AB1585</f>
        <v>0</v>
      </c>
      <c r="AD1585">
        <f>IF(AND($M1585=1,LEFT(对接源_02物料!$D385,4)="成品出库"),1,0)</f>
        <v>0</v>
      </c>
      <c r="AE1585">
        <f>N(AE1584)+$AD1585</f>
        <v>0</v>
      </c>
      <c r="AF1585">
        <f>IF(AND($N1585=1,AND(LEFT(对接源_02物料!$D385,4)="包装物料",N(对接源_02物料!$K385)&lt;&gt;0)),1,0)</f>
        <v>0</v>
      </c>
      <c r="AG1585">
        <f>N(AG1584)+$AF1585</f>
        <v>10</v>
      </c>
      <c r="AH1585">
        <f>IF(AND($N1585=1,AND(对接源_02物料!$D385="周转筐－销售出库",N(对接源_02物料!$K385)&lt;&gt;0)),1,0)</f>
        <v>0</v>
      </c>
      <c r="AI1585">
        <f>N(AI1584)+$AH1585</f>
        <v>0</v>
      </c>
      <c r="AL1585" t="n">
        <v>0</v>
      </c>
      <c r="AM1585">
        <f>N(AM1584)+$AL1585</f>
        <v>2</v>
      </c>
      <c r="AN1585">
        <f>""</f>
      </c>
      <c r="AO1585" t="n">
        <v>0</v>
      </c>
      <c r="AP1585">
        <f>N(AP1584)+$AO1585</f>
        <v>13</v>
      </c>
      <c r="AR1585">
        <f>IF(OR($AF1585=1,$AH1585=1),1,0)</f>
        <v>0</v>
      </c>
      <c r="AS1585">
        <f>N(AS1584)+$AR1585</f>
        <v>10</v>
      </c>
    </row>
    <row r="1586" s="127">
      <c r="A1586">
        <f>IF(对接源_02物料!$C386="","",对接源_02物料!$C386)</f>
      </c>
      <c r="B1586">
        <f>IF(A1586="",0,IF(MATCH(A1586,$A$4:$A$2403,0)=ROW()-3,1,0))</f>
        <v>0</v>
      </c>
      <c r="C1586">
        <f>N(C1585)+B1586</f>
        <v>26</v>
      </c>
      <c r="K1586">
        <f>IF(OR($K$1="",对接源_02物料!$C386="",对接源_02物料!$C386&lt;&gt;$K$1,对接源_02物料!$B386=""),0,IF(OR(N(对接源_02物料!$B386)&lt;$K$2,N(对接源_02物料!$B386)&gt;$K$3),0,1))</f>
        <v>0</v>
      </c>
      <c r="L1586">
        <f>IF(OR($L$1="",对接源_02物料!$C386="",对接源_02物料!$C386&lt;&gt;$L$1,对接源_02物料!$B386=""),0,IF(OR(N(对接源_02物料!$B386)&lt;$L$2,N(对接源_02物料!$B386)&gt;$L$3),0,1))</f>
        <v>0</v>
      </c>
      <c r="M1586">
        <f>IF(OR($M$1="",对接源_02物料!$C386="",对接源_02物料!$C386&lt;&gt;$M$1,对接源_02物料!$B386=""),0,IF(OR(N(对接源_02物料!$B386)&lt;$M$2,N(对接源_02物料!$B386)&gt;$M$3),0,1))</f>
        <v>0</v>
      </c>
      <c r="N1586">
        <f>IF(OR($N$1="",对接源_02物料!$C386="",对接源_02物料!$C386&lt;&gt;$N$1,对接源_02物料!$B386=""),0,IF(OR(N(对接源_02物料!$B386)&lt;$N$2,N(对接源_02物料!$B386)&gt;$N$3),0,1))</f>
        <v>0</v>
      </c>
      <c r="P1586">
        <f>IF(AND($K1586=1,AND(对接源_02物料!$X386="公司筐",N(对接源_02物料!$T386)&lt;&gt;0)),1,0)</f>
        <v>0</v>
      </c>
      <c r="Q1586">
        <f>N(Q1585)+$P1586</f>
        <v>14</v>
      </c>
      <c r="R1586">
        <f>IF(AND($K1586=1,AND(对接源_02物料!$X386="公司筐",N(对接源_02物料!$U386)&lt;&gt;0)),1,0)</f>
        <v>0</v>
      </c>
      <c r="S1586">
        <f>N(S1585)+$R1586</f>
        <v>1</v>
      </c>
      <c r="T1586">
        <f>IF(AND($K1586=1,AND(对接源_02物料!$X386="公司筐",N(对接源_02物料!$V386)&lt;&gt;0)),1,0)</f>
        <v>0</v>
      </c>
      <c r="U1586">
        <f>N(U1585)+$T1586</f>
        <v>47</v>
      </c>
      <c r="V1586">
        <f>IF(AND($L1586=1,AND(对接源_02物料!$X386="自备筐",N(对接源_02物料!$V386)&lt;&gt;0)),1,0)</f>
        <v>0</v>
      </c>
      <c r="W1586">
        <f>N(W1585)+$V1586</f>
        <v>11</v>
      </c>
      <c r="X1586">
        <f>IF(AND($L1586=1,AND(对接源_02物料!$X386="自备筐",N(对接源_02物料!$T386)&lt;&gt;0)),1,0)</f>
        <v>0</v>
      </c>
      <c r="Y1586">
        <f>N(Y1585)+$X1586</f>
        <v>0</v>
      </c>
      <c r="Z1586">
        <f>IF(AND($M1586=1,对接源_02物料!$D386="原料入库"),1,0)</f>
        <v>0</v>
      </c>
      <c r="AA1586">
        <f>N(AA1585)+$Z1586</f>
        <v>24</v>
      </c>
      <c r="AB1586">
        <f>IF(AND($M1586=1,LEFT(对接源_02物料!$D386,4)="原料出库"),1,0)</f>
        <v>0</v>
      </c>
      <c r="AC1586">
        <f>N(AC1585)+$AB1586</f>
        <v>0</v>
      </c>
      <c r="AD1586">
        <f>IF(AND($M1586=1,LEFT(对接源_02物料!$D386,4)="成品出库"),1,0)</f>
        <v>0</v>
      </c>
      <c r="AE1586">
        <f>N(AE1585)+$AD1586</f>
        <v>0</v>
      </c>
      <c r="AF1586">
        <f>IF(AND($N1586=1,AND(LEFT(对接源_02物料!$D386,4)="包装物料",N(对接源_02物料!$K386)&lt;&gt;0)),1,0)</f>
        <v>0</v>
      </c>
      <c r="AG1586">
        <f>N(AG1585)+$AF1586</f>
        <v>10</v>
      </c>
      <c r="AH1586">
        <f>IF(AND($N1586=1,AND(对接源_02物料!$D386="周转筐－销售出库",N(对接源_02物料!$K386)&lt;&gt;0)),1,0)</f>
        <v>0</v>
      </c>
      <c r="AI1586">
        <f>N(AI1585)+$AH1586</f>
        <v>0</v>
      </c>
      <c r="AL1586" t="n">
        <v>0</v>
      </c>
      <c r="AM1586">
        <f>N(AM1585)+$AL1586</f>
        <v>2</v>
      </c>
      <c r="AN1586">
        <f>""</f>
      </c>
      <c r="AO1586" t="n">
        <v>0</v>
      </c>
      <c r="AP1586">
        <f>N(AP1585)+$AO1586</f>
        <v>13</v>
      </c>
      <c r="AR1586">
        <f>IF(OR($AF1586=1,$AH1586=1),1,0)</f>
        <v>0</v>
      </c>
      <c r="AS1586">
        <f>N(AS1585)+$AR1586</f>
        <v>10</v>
      </c>
    </row>
    <row r="1587" s="127">
      <c r="A1587">
        <f>IF(对接源_02物料!$C387="","",对接源_02物料!$C387)</f>
      </c>
      <c r="B1587">
        <f>IF(A1587="",0,IF(MATCH(A1587,$A$4:$A$2403,0)=ROW()-3,1,0))</f>
        <v>0</v>
      </c>
      <c r="C1587">
        <f>N(C1586)+B1587</f>
        <v>26</v>
      </c>
      <c r="K1587">
        <f>IF(OR($K$1="",对接源_02物料!$C387="",对接源_02物料!$C387&lt;&gt;$K$1,对接源_02物料!$B387=""),0,IF(OR(N(对接源_02物料!$B387)&lt;$K$2,N(对接源_02物料!$B387)&gt;$K$3),0,1))</f>
        <v>0</v>
      </c>
      <c r="L1587">
        <f>IF(OR($L$1="",对接源_02物料!$C387="",对接源_02物料!$C387&lt;&gt;$L$1,对接源_02物料!$B387=""),0,IF(OR(N(对接源_02物料!$B387)&lt;$L$2,N(对接源_02物料!$B387)&gt;$L$3),0,1))</f>
        <v>0</v>
      </c>
      <c r="M1587">
        <f>IF(OR($M$1="",对接源_02物料!$C387="",对接源_02物料!$C387&lt;&gt;$M$1,对接源_02物料!$B387=""),0,IF(OR(N(对接源_02物料!$B387)&lt;$M$2,N(对接源_02物料!$B387)&gt;$M$3),0,1))</f>
        <v>0</v>
      </c>
      <c r="N1587">
        <f>IF(OR($N$1="",对接源_02物料!$C387="",对接源_02物料!$C387&lt;&gt;$N$1,对接源_02物料!$B387=""),0,IF(OR(N(对接源_02物料!$B387)&lt;$N$2,N(对接源_02物料!$B387)&gt;$N$3),0,1))</f>
        <v>0</v>
      </c>
      <c r="P1587">
        <f>IF(AND($K1587=1,AND(对接源_02物料!$X387="公司筐",N(对接源_02物料!$T387)&lt;&gt;0)),1,0)</f>
        <v>0</v>
      </c>
      <c r="Q1587">
        <f>N(Q1586)+$P1587</f>
        <v>14</v>
      </c>
      <c r="R1587">
        <f>IF(AND($K1587=1,AND(对接源_02物料!$X387="公司筐",N(对接源_02物料!$U387)&lt;&gt;0)),1,0)</f>
        <v>0</v>
      </c>
      <c r="S1587">
        <f>N(S1586)+$R1587</f>
        <v>1</v>
      </c>
      <c r="T1587">
        <f>IF(AND($K1587=1,AND(对接源_02物料!$X387="公司筐",N(对接源_02物料!$V387)&lt;&gt;0)),1,0)</f>
        <v>0</v>
      </c>
      <c r="U1587">
        <f>N(U1586)+$T1587</f>
        <v>47</v>
      </c>
      <c r="V1587">
        <f>IF(AND($L1587=1,AND(对接源_02物料!$X387="自备筐",N(对接源_02物料!$V387)&lt;&gt;0)),1,0)</f>
        <v>0</v>
      </c>
      <c r="W1587">
        <f>N(W1586)+$V1587</f>
        <v>11</v>
      </c>
      <c r="X1587">
        <f>IF(AND($L1587=1,AND(对接源_02物料!$X387="自备筐",N(对接源_02物料!$T387)&lt;&gt;0)),1,0)</f>
        <v>0</v>
      </c>
      <c r="Y1587">
        <f>N(Y1586)+$X1587</f>
        <v>0</v>
      </c>
      <c r="Z1587">
        <f>IF(AND($M1587=1,对接源_02物料!$D387="原料入库"),1,0)</f>
        <v>0</v>
      </c>
      <c r="AA1587">
        <f>N(AA1586)+$Z1587</f>
        <v>24</v>
      </c>
      <c r="AB1587">
        <f>IF(AND($M1587=1,LEFT(对接源_02物料!$D387,4)="原料出库"),1,0)</f>
        <v>0</v>
      </c>
      <c r="AC1587">
        <f>N(AC1586)+$AB1587</f>
        <v>0</v>
      </c>
      <c r="AD1587">
        <f>IF(AND($M1587=1,LEFT(对接源_02物料!$D387,4)="成品出库"),1,0)</f>
        <v>0</v>
      </c>
      <c r="AE1587">
        <f>N(AE1586)+$AD1587</f>
        <v>0</v>
      </c>
      <c r="AF1587">
        <f>IF(AND($N1587=1,AND(LEFT(对接源_02物料!$D387,4)="包装物料",N(对接源_02物料!$K387)&lt;&gt;0)),1,0)</f>
        <v>0</v>
      </c>
      <c r="AG1587">
        <f>N(AG1586)+$AF1587</f>
        <v>10</v>
      </c>
      <c r="AH1587">
        <f>IF(AND($N1587=1,AND(对接源_02物料!$D387="周转筐－销售出库",N(对接源_02物料!$K387)&lt;&gt;0)),1,0)</f>
        <v>0</v>
      </c>
      <c r="AI1587">
        <f>N(AI1586)+$AH1587</f>
        <v>0</v>
      </c>
      <c r="AL1587" t="n">
        <v>0</v>
      </c>
      <c r="AM1587">
        <f>N(AM1586)+$AL1587</f>
        <v>2</v>
      </c>
      <c r="AN1587">
        <f>""</f>
      </c>
      <c r="AO1587" t="n">
        <v>0</v>
      </c>
      <c r="AP1587">
        <f>N(AP1586)+$AO1587</f>
        <v>13</v>
      </c>
      <c r="AR1587">
        <f>IF(OR($AF1587=1,$AH1587=1),1,0)</f>
        <v>0</v>
      </c>
      <c r="AS1587">
        <f>N(AS1586)+$AR1587</f>
        <v>10</v>
      </c>
    </row>
    <row r="1588" s="127">
      <c r="A1588">
        <f>IF(对接源_02物料!$C388="","",对接源_02物料!$C388)</f>
      </c>
      <c r="B1588">
        <f>IF(A1588="",0,IF(MATCH(A1588,$A$4:$A$2403,0)=ROW()-3,1,0))</f>
        <v>0</v>
      </c>
      <c r="C1588">
        <f>N(C1587)+B1588</f>
        <v>26</v>
      </c>
      <c r="K1588">
        <f>IF(OR($K$1="",对接源_02物料!$C388="",对接源_02物料!$C388&lt;&gt;$K$1,对接源_02物料!$B388=""),0,IF(OR(N(对接源_02物料!$B388)&lt;$K$2,N(对接源_02物料!$B388)&gt;$K$3),0,1))</f>
        <v>0</v>
      </c>
      <c r="L1588">
        <f>IF(OR($L$1="",对接源_02物料!$C388="",对接源_02物料!$C388&lt;&gt;$L$1,对接源_02物料!$B388=""),0,IF(OR(N(对接源_02物料!$B388)&lt;$L$2,N(对接源_02物料!$B388)&gt;$L$3),0,1))</f>
        <v>0</v>
      </c>
      <c r="M1588">
        <f>IF(OR($M$1="",对接源_02物料!$C388="",对接源_02物料!$C388&lt;&gt;$M$1,对接源_02物料!$B388=""),0,IF(OR(N(对接源_02物料!$B388)&lt;$M$2,N(对接源_02物料!$B388)&gt;$M$3),0,1))</f>
        <v>0</v>
      </c>
      <c r="N1588">
        <f>IF(OR($N$1="",对接源_02物料!$C388="",对接源_02物料!$C388&lt;&gt;$N$1,对接源_02物料!$B388=""),0,IF(OR(N(对接源_02物料!$B388)&lt;$N$2,N(对接源_02物料!$B388)&gt;$N$3),0,1))</f>
        <v>0</v>
      </c>
      <c r="P1588">
        <f>IF(AND($K1588=1,AND(对接源_02物料!$X388="公司筐",N(对接源_02物料!$T388)&lt;&gt;0)),1,0)</f>
        <v>0</v>
      </c>
      <c r="Q1588">
        <f>N(Q1587)+$P1588</f>
        <v>14</v>
      </c>
      <c r="R1588">
        <f>IF(AND($K1588=1,AND(对接源_02物料!$X388="公司筐",N(对接源_02物料!$U388)&lt;&gt;0)),1,0)</f>
        <v>0</v>
      </c>
      <c r="S1588">
        <f>N(S1587)+$R1588</f>
        <v>1</v>
      </c>
      <c r="T1588">
        <f>IF(AND($K1588=1,AND(对接源_02物料!$X388="公司筐",N(对接源_02物料!$V388)&lt;&gt;0)),1,0)</f>
        <v>0</v>
      </c>
      <c r="U1588">
        <f>N(U1587)+$T1588</f>
        <v>47</v>
      </c>
      <c r="V1588">
        <f>IF(AND($L1588=1,AND(对接源_02物料!$X388="自备筐",N(对接源_02物料!$V388)&lt;&gt;0)),1,0)</f>
        <v>0</v>
      </c>
      <c r="W1588">
        <f>N(W1587)+$V1588</f>
        <v>11</v>
      </c>
      <c r="X1588">
        <f>IF(AND($L1588=1,AND(对接源_02物料!$X388="自备筐",N(对接源_02物料!$T388)&lt;&gt;0)),1,0)</f>
        <v>0</v>
      </c>
      <c r="Y1588">
        <f>N(Y1587)+$X1588</f>
        <v>0</v>
      </c>
      <c r="Z1588">
        <f>IF(AND($M1588=1,对接源_02物料!$D388="原料入库"),1,0)</f>
        <v>0</v>
      </c>
      <c r="AA1588">
        <f>N(AA1587)+$Z1588</f>
        <v>24</v>
      </c>
      <c r="AB1588">
        <f>IF(AND($M1588=1,LEFT(对接源_02物料!$D388,4)="原料出库"),1,0)</f>
        <v>0</v>
      </c>
      <c r="AC1588">
        <f>N(AC1587)+$AB1588</f>
        <v>0</v>
      </c>
      <c r="AD1588">
        <f>IF(AND($M1588=1,LEFT(对接源_02物料!$D388,4)="成品出库"),1,0)</f>
        <v>0</v>
      </c>
      <c r="AE1588">
        <f>N(AE1587)+$AD1588</f>
        <v>0</v>
      </c>
      <c r="AF1588">
        <f>IF(AND($N1588=1,AND(LEFT(对接源_02物料!$D388,4)="包装物料",N(对接源_02物料!$K388)&lt;&gt;0)),1,0)</f>
        <v>0</v>
      </c>
      <c r="AG1588">
        <f>N(AG1587)+$AF1588</f>
        <v>10</v>
      </c>
      <c r="AH1588">
        <f>IF(AND($N1588=1,AND(对接源_02物料!$D388="周转筐－销售出库",N(对接源_02物料!$K388)&lt;&gt;0)),1,0)</f>
        <v>0</v>
      </c>
      <c r="AI1588">
        <f>N(AI1587)+$AH1588</f>
        <v>0</v>
      </c>
      <c r="AL1588" t="n">
        <v>0</v>
      </c>
      <c r="AM1588">
        <f>N(AM1587)+$AL1588</f>
        <v>2</v>
      </c>
      <c r="AN1588">
        <f>""</f>
      </c>
      <c r="AO1588" t="n">
        <v>0</v>
      </c>
      <c r="AP1588">
        <f>N(AP1587)+$AO1588</f>
        <v>13</v>
      </c>
      <c r="AR1588">
        <f>IF(OR($AF1588=1,$AH1588=1),1,0)</f>
        <v>0</v>
      </c>
      <c r="AS1588">
        <f>N(AS1587)+$AR1588</f>
        <v>10</v>
      </c>
    </row>
    <row r="1589" s="127">
      <c r="A1589">
        <f>IF(对接源_02物料!$C389="","",对接源_02物料!$C389)</f>
      </c>
      <c r="B1589">
        <f>IF(A1589="",0,IF(MATCH(A1589,$A$4:$A$2403,0)=ROW()-3,1,0))</f>
        <v>0</v>
      </c>
      <c r="C1589">
        <f>N(C1588)+B1589</f>
        <v>26</v>
      </c>
      <c r="K1589">
        <f>IF(OR($K$1="",对接源_02物料!$C389="",对接源_02物料!$C389&lt;&gt;$K$1,对接源_02物料!$B389=""),0,IF(OR(N(对接源_02物料!$B389)&lt;$K$2,N(对接源_02物料!$B389)&gt;$K$3),0,1))</f>
        <v>0</v>
      </c>
      <c r="L1589">
        <f>IF(OR($L$1="",对接源_02物料!$C389="",对接源_02物料!$C389&lt;&gt;$L$1,对接源_02物料!$B389=""),0,IF(OR(N(对接源_02物料!$B389)&lt;$L$2,N(对接源_02物料!$B389)&gt;$L$3),0,1))</f>
        <v>0</v>
      </c>
      <c r="M1589">
        <f>IF(OR($M$1="",对接源_02物料!$C389="",对接源_02物料!$C389&lt;&gt;$M$1,对接源_02物料!$B389=""),0,IF(OR(N(对接源_02物料!$B389)&lt;$M$2,N(对接源_02物料!$B389)&gt;$M$3),0,1))</f>
        <v>0</v>
      </c>
      <c r="N1589">
        <f>IF(OR($N$1="",对接源_02物料!$C389="",对接源_02物料!$C389&lt;&gt;$N$1,对接源_02物料!$B389=""),0,IF(OR(N(对接源_02物料!$B389)&lt;$N$2,N(对接源_02物料!$B389)&gt;$N$3),0,1))</f>
        <v>0</v>
      </c>
      <c r="P1589">
        <f>IF(AND($K1589=1,AND(对接源_02物料!$X389="公司筐",N(对接源_02物料!$T389)&lt;&gt;0)),1,0)</f>
        <v>0</v>
      </c>
      <c r="Q1589">
        <f>N(Q1588)+$P1589</f>
        <v>14</v>
      </c>
      <c r="R1589">
        <f>IF(AND($K1589=1,AND(对接源_02物料!$X389="公司筐",N(对接源_02物料!$U389)&lt;&gt;0)),1,0)</f>
        <v>0</v>
      </c>
      <c r="S1589">
        <f>N(S1588)+$R1589</f>
        <v>1</v>
      </c>
      <c r="T1589">
        <f>IF(AND($K1589=1,AND(对接源_02物料!$X389="公司筐",N(对接源_02物料!$V389)&lt;&gt;0)),1,0)</f>
        <v>0</v>
      </c>
      <c r="U1589">
        <f>N(U1588)+$T1589</f>
        <v>47</v>
      </c>
      <c r="V1589">
        <f>IF(AND($L1589=1,AND(对接源_02物料!$X389="自备筐",N(对接源_02物料!$V389)&lt;&gt;0)),1,0)</f>
        <v>0</v>
      </c>
      <c r="W1589">
        <f>N(W1588)+$V1589</f>
        <v>11</v>
      </c>
      <c r="X1589">
        <f>IF(AND($L1589=1,AND(对接源_02物料!$X389="自备筐",N(对接源_02物料!$T389)&lt;&gt;0)),1,0)</f>
        <v>0</v>
      </c>
      <c r="Y1589">
        <f>N(Y1588)+$X1589</f>
        <v>0</v>
      </c>
      <c r="Z1589">
        <f>IF(AND($M1589=1,对接源_02物料!$D389="原料入库"),1,0)</f>
        <v>0</v>
      </c>
      <c r="AA1589">
        <f>N(AA1588)+$Z1589</f>
        <v>24</v>
      </c>
      <c r="AB1589">
        <f>IF(AND($M1589=1,LEFT(对接源_02物料!$D389,4)="原料出库"),1,0)</f>
        <v>0</v>
      </c>
      <c r="AC1589">
        <f>N(AC1588)+$AB1589</f>
        <v>0</v>
      </c>
      <c r="AD1589">
        <f>IF(AND($M1589=1,LEFT(对接源_02物料!$D389,4)="成品出库"),1,0)</f>
        <v>0</v>
      </c>
      <c r="AE1589">
        <f>N(AE1588)+$AD1589</f>
        <v>0</v>
      </c>
      <c r="AF1589">
        <f>IF(AND($N1589=1,AND(LEFT(对接源_02物料!$D389,4)="包装物料",N(对接源_02物料!$K389)&lt;&gt;0)),1,0)</f>
        <v>0</v>
      </c>
      <c r="AG1589">
        <f>N(AG1588)+$AF1589</f>
        <v>10</v>
      </c>
      <c r="AH1589">
        <f>IF(AND($N1589=1,AND(对接源_02物料!$D389="周转筐－销售出库",N(对接源_02物料!$K389)&lt;&gt;0)),1,0)</f>
        <v>0</v>
      </c>
      <c r="AI1589">
        <f>N(AI1588)+$AH1589</f>
        <v>0</v>
      </c>
      <c r="AL1589" t="n">
        <v>0</v>
      </c>
      <c r="AM1589">
        <f>N(AM1588)+$AL1589</f>
        <v>2</v>
      </c>
      <c r="AN1589">
        <f>""</f>
      </c>
      <c r="AO1589" t="n">
        <v>0</v>
      </c>
      <c r="AP1589">
        <f>N(AP1588)+$AO1589</f>
        <v>13</v>
      </c>
      <c r="AR1589">
        <f>IF(OR($AF1589=1,$AH1589=1),1,0)</f>
        <v>0</v>
      </c>
      <c r="AS1589">
        <f>N(AS1588)+$AR1589</f>
        <v>10</v>
      </c>
    </row>
    <row r="1590" s="127">
      <c r="A1590">
        <f>IF(对接源_02物料!$C390="","",对接源_02物料!$C390)</f>
      </c>
      <c r="B1590">
        <f>IF(A1590="",0,IF(MATCH(A1590,$A$4:$A$2403,0)=ROW()-3,1,0))</f>
        <v>0</v>
      </c>
      <c r="C1590">
        <f>N(C1589)+B1590</f>
        <v>26</v>
      </c>
      <c r="K1590">
        <f>IF(OR($K$1="",对接源_02物料!$C390="",对接源_02物料!$C390&lt;&gt;$K$1,对接源_02物料!$B390=""),0,IF(OR(N(对接源_02物料!$B390)&lt;$K$2,N(对接源_02物料!$B390)&gt;$K$3),0,1))</f>
        <v>0</v>
      </c>
      <c r="L1590">
        <f>IF(OR($L$1="",对接源_02物料!$C390="",对接源_02物料!$C390&lt;&gt;$L$1,对接源_02物料!$B390=""),0,IF(OR(N(对接源_02物料!$B390)&lt;$L$2,N(对接源_02物料!$B390)&gt;$L$3),0,1))</f>
        <v>0</v>
      </c>
      <c r="M1590">
        <f>IF(OR($M$1="",对接源_02物料!$C390="",对接源_02物料!$C390&lt;&gt;$M$1,对接源_02物料!$B390=""),0,IF(OR(N(对接源_02物料!$B390)&lt;$M$2,N(对接源_02物料!$B390)&gt;$M$3),0,1))</f>
        <v>0</v>
      </c>
      <c r="N1590">
        <f>IF(OR($N$1="",对接源_02物料!$C390="",对接源_02物料!$C390&lt;&gt;$N$1,对接源_02物料!$B390=""),0,IF(OR(N(对接源_02物料!$B390)&lt;$N$2,N(对接源_02物料!$B390)&gt;$N$3),0,1))</f>
        <v>0</v>
      </c>
      <c r="P1590">
        <f>IF(AND($K1590=1,AND(对接源_02物料!$X390="公司筐",N(对接源_02物料!$T390)&lt;&gt;0)),1,0)</f>
        <v>0</v>
      </c>
      <c r="Q1590">
        <f>N(Q1589)+$P1590</f>
        <v>14</v>
      </c>
      <c r="R1590">
        <f>IF(AND($K1590=1,AND(对接源_02物料!$X390="公司筐",N(对接源_02物料!$U390)&lt;&gt;0)),1,0)</f>
        <v>0</v>
      </c>
      <c r="S1590">
        <f>N(S1589)+$R1590</f>
        <v>1</v>
      </c>
      <c r="T1590">
        <f>IF(AND($K1590=1,AND(对接源_02物料!$X390="公司筐",N(对接源_02物料!$V390)&lt;&gt;0)),1,0)</f>
        <v>0</v>
      </c>
      <c r="U1590">
        <f>N(U1589)+$T1590</f>
        <v>47</v>
      </c>
      <c r="V1590">
        <f>IF(AND($L1590=1,AND(对接源_02物料!$X390="自备筐",N(对接源_02物料!$V390)&lt;&gt;0)),1,0)</f>
        <v>0</v>
      </c>
      <c r="W1590">
        <f>N(W1589)+$V1590</f>
        <v>11</v>
      </c>
      <c r="X1590">
        <f>IF(AND($L1590=1,AND(对接源_02物料!$X390="自备筐",N(对接源_02物料!$T390)&lt;&gt;0)),1,0)</f>
        <v>0</v>
      </c>
      <c r="Y1590">
        <f>N(Y1589)+$X1590</f>
        <v>0</v>
      </c>
      <c r="Z1590">
        <f>IF(AND($M1590=1,对接源_02物料!$D390="原料入库"),1,0)</f>
        <v>0</v>
      </c>
      <c r="AA1590">
        <f>N(AA1589)+$Z1590</f>
        <v>24</v>
      </c>
      <c r="AB1590">
        <f>IF(AND($M1590=1,LEFT(对接源_02物料!$D390,4)="原料出库"),1,0)</f>
        <v>0</v>
      </c>
      <c r="AC1590">
        <f>N(AC1589)+$AB1590</f>
        <v>0</v>
      </c>
      <c r="AD1590">
        <f>IF(AND($M1590=1,LEFT(对接源_02物料!$D390,4)="成品出库"),1,0)</f>
        <v>0</v>
      </c>
      <c r="AE1590">
        <f>N(AE1589)+$AD1590</f>
        <v>0</v>
      </c>
      <c r="AF1590">
        <f>IF(AND($N1590=1,AND(LEFT(对接源_02物料!$D390,4)="包装物料",N(对接源_02物料!$K390)&lt;&gt;0)),1,0)</f>
        <v>0</v>
      </c>
      <c r="AG1590">
        <f>N(AG1589)+$AF1590</f>
        <v>10</v>
      </c>
      <c r="AH1590">
        <f>IF(AND($N1590=1,AND(对接源_02物料!$D390="周转筐－销售出库",N(对接源_02物料!$K390)&lt;&gt;0)),1,0)</f>
        <v>0</v>
      </c>
      <c r="AI1590">
        <f>N(AI1589)+$AH1590</f>
        <v>0</v>
      </c>
      <c r="AL1590" t="n">
        <v>0</v>
      </c>
      <c r="AM1590">
        <f>N(AM1589)+$AL1590</f>
        <v>2</v>
      </c>
      <c r="AN1590">
        <f>""</f>
      </c>
      <c r="AO1590" t="n">
        <v>0</v>
      </c>
      <c r="AP1590">
        <f>N(AP1589)+$AO1590</f>
        <v>13</v>
      </c>
      <c r="AR1590">
        <f>IF(OR($AF1590=1,$AH1590=1),1,0)</f>
        <v>0</v>
      </c>
      <c r="AS1590">
        <f>N(AS1589)+$AR1590</f>
        <v>10</v>
      </c>
    </row>
    <row r="1591" s="127">
      <c r="A1591">
        <f>IF(对接源_02物料!$C391="","",对接源_02物料!$C391)</f>
      </c>
      <c r="B1591">
        <f>IF(A1591="",0,IF(MATCH(A1591,$A$4:$A$2403,0)=ROW()-3,1,0))</f>
        <v>0</v>
      </c>
      <c r="C1591">
        <f>N(C1590)+B1591</f>
        <v>26</v>
      </c>
      <c r="K1591">
        <f>IF(OR($K$1="",对接源_02物料!$C391="",对接源_02物料!$C391&lt;&gt;$K$1,对接源_02物料!$B391=""),0,IF(OR(N(对接源_02物料!$B391)&lt;$K$2,N(对接源_02物料!$B391)&gt;$K$3),0,1))</f>
        <v>0</v>
      </c>
      <c r="L1591">
        <f>IF(OR($L$1="",对接源_02物料!$C391="",对接源_02物料!$C391&lt;&gt;$L$1,对接源_02物料!$B391=""),0,IF(OR(N(对接源_02物料!$B391)&lt;$L$2,N(对接源_02物料!$B391)&gt;$L$3),0,1))</f>
        <v>0</v>
      </c>
      <c r="M1591">
        <f>IF(OR($M$1="",对接源_02物料!$C391="",对接源_02物料!$C391&lt;&gt;$M$1,对接源_02物料!$B391=""),0,IF(OR(N(对接源_02物料!$B391)&lt;$M$2,N(对接源_02物料!$B391)&gt;$M$3),0,1))</f>
        <v>0</v>
      </c>
      <c r="N1591">
        <f>IF(OR($N$1="",对接源_02物料!$C391="",对接源_02物料!$C391&lt;&gt;$N$1,对接源_02物料!$B391=""),0,IF(OR(N(对接源_02物料!$B391)&lt;$N$2,N(对接源_02物料!$B391)&gt;$N$3),0,1))</f>
        <v>0</v>
      </c>
      <c r="P1591">
        <f>IF(AND($K1591=1,AND(对接源_02物料!$X391="公司筐",N(对接源_02物料!$T391)&lt;&gt;0)),1,0)</f>
        <v>0</v>
      </c>
      <c r="Q1591">
        <f>N(Q1590)+$P1591</f>
        <v>14</v>
      </c>
      <c r="R1591">
        <f>IF(AND($K1591=1,AND(对接源_02物料!$X391="公司筐",N(对接源_02物料!$U391)&lt;&gt;0)),1,0)</f>
        <v>0</v>
      </c>
      <c r="S1591">
        <f>N(S1590)+$R1591</f>
        <v>1</v>
      </c>
      <c r="T1591">
        <f>IF(AND($K1591=1,AND(对接源_02物料!$X391="公司筐",N(对接源_02物料!$V391)&lt;&gt;0)),1,0)</f>
        <v>0</v>
      </c>
      <c r="U1591">
        <f>N(U1590)+$T1591</f>
        <v>47</v>
      </c>
      <c r="V1591">
        <f>IF(AND($L1591=1,AND(对接源_02物料!$X391="自备筐",N(对接源_02物料!$V391)&lt;&gt;0)),1,0)</f>
        <v>0</v>
      </c>
      <c r="W1591">
        <f>N(W1590)+$V1591</f>
        <v>11</v>
      </c>
      <c r="X1591">
        <f>IF(AND($L1591=1,AND(对接源_02物料!$X391="自备筐",N(对接源_02物料!$T391)&lt;&gt;0)),1,0)</f>
        <v>0</v>
      </c>
      <c r="Y1591">
        <f>N(Y1590)+$X1591</f>
        <v>0</v>
      </c>
      <c r="Z1591">
        <f>IF(AND($M1591=1,对接源_02物料!$D391="原料入库"),1,0)</f>
        <v>0</v>
      </c>
      <c r="AA1591">
        <f>N(AA1590)+$Z1591</f>
        <v>24</v>
      </c>
      <c r="AB1591">
        <f>IF(AND($M1591=1,LEFT(对接源_02物料!$D391,4)="原料出库"),1,0)</f>
        <v>0</v>
      </c>
      <c r="AC1591">
        <f>N(AC1590)+$AB1591</f>
        <v>0</v>
      </c>
      <c r="AD1591">
        <f>IF(AND($M1591=1,LEFT(对接源_02物料!$D391,4)="成品出库"),1,0)</f>
        <v>0</v>
      </c>
      <c r="AE1591">
        <f>N(AE1590)+$AD1591</f>
        <v>0</v>
      </c>
      <c r="AF1591">
        <f>IF(AND($N1591=1,AND(LEFT(对接源_02物料!$D391,4)="包装物料",N(对接源_02物料!$K391)&lt;&gt;0)),1,0)</f>
        <v>0</v>
      </c>
      <c r="AG1591">
        <f>N(AG1590)+$AF1591</f>
        <v>10</v>
      </c>
      <c r="AH1591">
        <f>IF(AND($N1591=1,AND(对接源_02物料!$D391="周转筐－销售出库",N(对接源_02物料!$K391)&lt;&gt;0)),1,0)</f>
        <v>0</v>
      </c>
      <c r="AI1591">
        <f>N(AI1590)+$AH1591</f>
        <v>0</v>
      </c>
      <c r="AL1591" t="n">
        <v>0</v>
      </c>
      <c r="AM1591">
        <f>N(AM1590)+$AL1591</f>
        <v>2</v>
      </c>
      <c r="AN1591">
        <f>""</f>
      </c>
      <c r="AO1591" t="n">
        <v>0</v>
      </c>
      <c r="AP1591">
        <f>N(AP1590)+$AO1591</f>
        <v>13</v>
      </c>
      <c r="AR1591">
        <f>IF(OR($AF1591=1,$AH1591=1),1,0)</f>
        <v>0</v>
      </c>
      <c r="AS1591">
        <f>N(AS1590)+$AR1591</f>
        <v>10</v>
      </c>
    </row>
    <row r="1592" s="127">
      <c r="A1592">
        <f>IF(对接源_02物料!$C392="","",对接源_02物料!$C392)</f>
      </c>
      <c r="B1592">
        <f>IF(A1592="",0,IF(MATCH(A1592,$A$4:$A$2403,0)=ROW()-3,1,0))</f>
        <v>0</v>
      </c>
      <c r="C1592">
        <f>N(C1591)+B1592</f>
        <v>26</v>
      </c>
      <c r="K1592">
        <f>IF(OR($K$1="",对接源_02物料!$C392="",对接源_02物料!$C392&lt;&gt;$K$1,对接源_02物料!$B392=""),0,IF(OR(N(对接源_02物料!$B392)&lt;$K$2,N(对接源_02物料!$B392)&gt;$K$3),0,1))</f>
        <v>0</v>
      </c>
      <c r="L1592">
        <f>IF(OR($L$1="",对接源_02物料!$C392="",对接源_02物料!$C392&lt;&gt;$L$1,对接源_02物料!$B392=""),0,IF(OR(N(对接源_02物料!$B392)&lt;$L$2,N(对接源_02物料!$B392)&gt;$L$3),0,1))</f>
        <v>0</v>
      </c>
      <c r="M1592">
        <f>IF(OR($M$1="",对接源_02物料!$C392="",对接源_02物料!$C392&lt;&gt;$M$1,对接源_02物料!$B392=""),0,IF(OR(N(对接源_02物料!$B392)&lt;$M$2,N(对接源_02物料!$B392)&gt;$M$3),0,1))</f>
        <v>0</v>
      </c>
      <c r="N1592">
        <f>IF(OR($N$1="",对接源_02物料!$C392="",对接源_02物料!$C392&lt;&gt;$N$1,对接源_02物料!$B392=""),0,IF(OR(N(对接源_02物料!$B392)&lt;$N$2,N(对接源_02物料!$B392)&gt;$N$3),0,1))</f>
        <v>0</v>
      </c>
      <c r="P1592">
        <f>IF(AND($K1592=1,AND(对接源_02物料!$X392="公司筐",N(对接源_02物料!$T392)&lt;&gt;0)),1,0)</f>
        <v>0</v>
      </c>
      <c r="Q1592">
        <f>N(Q1591)+$P1592</f>
        <v>14</v>
      </c>
      <c r="R1592">
        <f>IF(AND($K1592=1,AND(对接源_02物料!$X392="公司筐",N(对接源_02物料!$U392)&lt;&gt;0)),1,0)</f>
        <v>0</v>
      </c>
      <c r="S1592">
        <f>N(S1591)+$R1592</f>
        <v>1</v>
      </c>
      <c r="T1592">
        <f>IF(AND($K1592=1,AND(对接源_02物料!$X392="公司筐",N(对接源_02物料!$V392)&lt;&gt;0)),1,0)</f>
        <v>0</v>
      </c>
      <c r="U1592">
        <f>N(U1591)+$T1592</f>
        <v>47</v>
      </c>
      <c r="V1592">
        <f>IF(AND($L1592=1,AND(对接源_02物料!$X392="自备筐",N(对接源_02物料!$V392)&lt;&gt;0)),1,0)</f>
        <v>0</v>
      </c>
      <c r="W1592">
        <f>N(W1591)+$V1592</f>
        <v>11</v>
      </c>
      <c r="X1592">
        <f>IF(AND($L1592=1,AND(对接源_02物料!$X392="自备筐",N(对接源_02物料!$T392)&lt;&gt;0)),1,0)</f>
        <v>0</v>
      </c>
      <c r="Y1592">
        <f>N(Y1591)+$X1592</f>
        <v>0</v>
      </c>
      <c r="Z1592">
        <f>IF(AND($M1592=1,对接源_02物料!$D392="原料入库"),1,0)</f>
        <v>0</v>
      </c>
      <c r="AA1592">
        <f>N(AA1591)+$Z1592</f>
        <v>24</v>
      </c>
      <c r="AB1592">
        <f>IF(AND($M1592=1,LEFT(对接源_02物料!$D392,4)="原料出库"),1,0)</f>
        <v>0</v>
      </c>
      <c r="AC1592">
        <f>N(AC1591)+$AB1592</f>
        <v>0</v>
      </c>
      <c r="AD1592">
        <f>IF(AND($M1592=1,LEFT(对接源_02物料!$D392,4)="成品出库"),1,0)</f>
        <v>0</v>
      </c>
      <c r="AE1592">
        <f>N(AE1591)+$AD1592</f>
        <v>0</v>
      </c>
      <c r="AF1592">
        <f>IF(AND($N1592=1,AND(LEFT(对接源_02物料!$D392,4)="包装物料",N(对接源_02物料!$K392)&lt;&gt;0)),1,0)</f>
        <v>0</v>
      </c>
      <c r="AG1592">
        <f>N(AG1591)+$AF1592</f>
        <v>10</v>
      </c>
      <c r="AH1592">
        <f>IF(AND($N1592=1,AND(对接源_02物料!$D392="周转筐－销售出库",N(对接源_02物料!$K392)&lt;&gt;0)),1,0)</f>
        <v>0</v>
      </c>
      <c r="AI1592">
        <f>N(AI1591)+$AH1592</f>
        <v>0</v>
      </c>
      <c r="AL1592" t="n">
        <v>0</v>
      </c>
      <c r="AM1592">
        <f>N(AM1591)+$AL1592</f>
        <v>2</v>
      </c>
      <c r="AN1592">
        <f>""</f>
      </c>
      <c r="AO1592" t="n">
        <v>0</v>
      </c>
      <c r="AP1592">
        <f>N(AP1591)+$AO1592</f>
        <v>13</v>
      </c>
      <c r="AR1592">
        <f>IF(OR($AF1592=1,$AH1592=1),1,0)</f>
        <v>0</v>
      </c>
      <c r="AS1592">
        <f>N(AS1591)+$AR1592</f>
        <v>10</v>
      </c>
    </row>
    <row r="1593" s="127">
      <c r="A1593">
        <f>IF(对接源_02物料!$C393="","",对接源_02物料!$C393)</f>
      </c>
      <c r="B1593">
        <f>IF(A1593="",0,IF(MATCH(A1593,$A$4:$A$2403,0)=ROW()-3,1,0))</f>
        <v>0</v>
      </c>
      <c r="C1593">
        <f>N(C1592)+B1593</f>
        <v>26</v>
      </c>
      <c r="K1593">
        <f>IF(OR($K$1="",对接源_02物料!$C393="",对接源_02物料!$C393&lt;&gt;$K$1,对接源_02物料!$B393=""),0,IF(OR(N(对接源_02物料!$B393)&lt;$K$2,N(对接源_02物料!$B393)&gt;$K$3),0,1))</f>
        <v>0</v>
      </c>
      <c r="L1593">
        <f>IF(OR($L$1="",对接源_02物料!$C393="",对接源_02物料!$C393&lt;&gt;$L$1,对接源_02物料!$B393=""),0,IF(OR(N(对接源_02物料!$B393)&lt;$L$2,N(对接源_02物料!$B393)&gt;$L$3),0,1))</f>
        <v>0</v>
      </c>
      <c r="M1593">
        <f>IF(OR($M$1="",对接源_02物料!$C393="",对接源_02物料!$C393&lt;&gt;$M$1,对接源_02物料!$B393=""),0,IF(OR(N(对接源_02物料!$B393)&lt;$M$2,N(对接源_02物料!$B393)&gt;$M$3),0,1))</f>
        <v>0</v>
      </c>
      <c r="N1593">
        <f>IF(OR($N$1="",对接源_02物料!$C393="",对接源_02物料!$C393&lt;&gt;$N$1,对接源_02物料!$B393=""),0,IF(OR(N(对接源_02物料!$B393)&lt;$N$2,N(对接源_02物料!$B393)&gt;$N$3),0,1))</f>
        <v>0</v>
      </c>
      <c r="P1593">
        <f>IF(AND($K1593=1,AND(对接源_02物料!$X393="公司筐",N(对接源_02物料!$T393)&lt;&gt;0)),1,0)</f>
        <v>0</v>
      </c>
      <c r="Q1593">
        <f>N(Q1592)+$P1593</f>
        <v>14</v>
      </c>
      <c r="R1593">
        <f>IF(AND($K1593=1,AND(对接源_02物料!$X393="公司筐",N(对接源_02物料!$U393)&lt;&gt;0)),1,0)</f>
        <v>0</v>
      </c>
      <c r="S1593">
        <f>N(S1592)+$R1593</f>
        <v>1</v>
      </c>
      <c r="T1593">
        <f>IF(AND($K1593=1,AND(对接源_02物料!$X393="公司筐",N(对接源_02物料!$V393)&lt;&gt;0)),1,0)</f>
        <v>0</v>
      </c>
      <c r="U1593">
        <f>N(U1592)+$T1593</f>
        <v>47</v>
      </c>
      <c r="V1593">
        <f>IF(AND($L1593=1,AND(对接源_02物料!$X393="自备筐",N(对接源_02物料!$V393)&lt;&gt;0)),1,0)</f>
        <v>0</v>
      </c>
      <c r="W1593">
        <f>N(W1592)+$V1593</f>
        <v>11</v>
      </c>
      <c r="X1593">
        <f>IF(AND($L1593=1,AND(对接源_02物料!$X393="自备筐",N(对接源_02物料!$T393)&lt;&gt;0)),1,0)</f>
        <v>0</v>
      </c>
      <c r="Y1593">
        <f>N(Y1592)+$X1593</f>
        <v>0</v>
      </c>
      <c r="Z1593">
        <f>IF(AND($M1593=1,对接源_02物料!$D393="原料入库"),1,0)</f>
        <v>0</v>
      </c>
      <c r="AA1593">
        <f>N(AA1592)+$Z1593</f>
        <v>24</v>
      </c>
      <c r="AB1593">
        <f>IF(AND($M1593=1,LEFT(对接源_02物料!$D393,4)="原料出库"),1,0)</f>
        <v>0</v>
      </c>
      <c r="AC1593">
        <f>N(AC1592)+$AB1593</f>
        <v>0</v>
      </c>
      <c r="AD1593">
        <f>IF(AND($M1593=1,LEFT(对接源_02物料!$D393,4)="成品出库"),1,0)</f>
        <v>0</v>
      </c>
      <c r="AE1593">
        <f>N(AE1592)+$AD1593</f>
        <v>0</v>
      </c>
      <c r="AF1593">
        <f>IF(AND($N1593=1,AND(LEFT(对接源_02物料!$D393,4)="包装物料",N(对接源_02物料!$K393)&lt;&gt;0)),1,0)</f>
        <v>0</v>
      </c>
      <c r="AG1593">
        <f>N(AG1592)+$AF1593</f>
        <v>10</v>
      </c>
      <c r="AH1593">
        <f>IF(AND($N1593=1,AND(对接源_02物料!$D393="周转筐－销售出库",N(对接源_02物料!$K393)&lt;&gt;0)),1,0)</f>
        <v>0</v>
      </c>
      <c r="AI1593">
        <f>N(AI1592)+$AH1593</f>
        <v>0</v>
      </c>
      <c r="AL1593" t="n">
        <v>0</v>
      </c>
      <c r="AM1593">
        <f>N(AM1592)+$AL1593</f>
        <v>2</v>
      </c>
      <c r="AN1593">
        <f>""</f>
      </c>
      <c r="AO1593" t="n">
        <v>0</v>
      </c>
      <c r="AP1593">
        <f>N(AP1592)+$AO1593</f>
        <v>13</v>
      </c>
      <c r="AR1593">
        <f>IF(OR($AF1593=1,$AH1593=1),1,0)</f>
        <v>0</v>
      </c>
      <c r="AS1593">
        <f>N(AS1592)+$AR1593</f>
        <v>10</v>
      </c>
    </row>
    <row r="1594" s="127">
      <c r="A1594">
        <f>IF(对接源_02物料!$C394="","",对接源_02物料!$C394)</f>
      </c>
      <c r="B1594">
        <f>IF(A1594="",0,IF(MATCH(A1594,$A$4:$A$2403,0)=ROW()-3,1,0))</f>
        <v>0</v>
      </c>
      <c r="C1594">
        <f>N(C1593)+B1594</f>
        <v>26</v>
      </c>
      <c r="K1594">
        <f>IF(OR($K$1="",对接源_02物料!$C394="",对接源_02物料!$C394&lt;&gt;$K$1,对接源_02物料!$B394=""),0,IF(OR(N(对接源_02物料!$B394)&lt;$K$2,N(对接源_02物料!$B394)&gt;$K$3),0,1))</f>
        <v>0</v>
      </c>
      <c r="L1594">
        <f>IF(OR($L$1="",对接源_02物料!$C394="",对接源_02物料!$C394&lt;&gt;$L$1,对接源_02物料!$B394=""),0,IF(OR(N(对接源_02物料!$B394)&lt;$L$2,N(对接源_02物料!$B394)&gt;$L$3),0,1))</f>
        <v>0</v>
      </c>
      <c r="M1594">
        <f>IF(OR($M$1="",对接源_02物料!$C394="",对接源_02物料!$C394&lt;&gt;$M$1,对接源_02物料!$B394=""),0,IF(OR(N(对接源_02物料!$B394)&lt;$M$2,N(对接源_02物料!$B394)&gt;$M$3),0,1))</f>
        <v>0</v>
      </c>
      <c r="N1594">
        <f>IF(OR($N$1="",对接源_02物料!$C394="",对接源_02物料!$C394&lt;&gt;$N$1,对接源_02物料!$B394=""),0,IF(OR(N(对接源_02物料!$B394)&lt;$N$2,N(对接源_02物料!$B394)&gt;$N$3),0,1))</f>
        <v>0</v>
      </c>
      <c r="P1594">
        <f>IF(AND($K1594=1,AND(对接源_02物料!$X394="公司筐",N(对接源_02物料!$T394)&lt;&gt;0)),1,0)</f>
        <v>0</v>
      </c>
      <c r="Q1594">
        <f>N(Q1593)+$P1594</f>
        <v>14</v>
      </c>
      <c r="R1594">
        <f>IF(AND($K1594=1,AND(对接源_02物料!$X394="公司筐",N(对接源_02物料!$U394)&lt;&gt;0)),1,0)</f>
        <v>0</v>
      </c>
      <c r="S1594">
        <f>N(S1593)+$R1594</f>
        <v>1</v>
      </c>
      <c r="T1594">
        <f>IF(AND($K1594=1,AND(对接源_02物料!$X394="公司筐",N(对接源_02物料!$V394)&lt;&gt;0)),1,0)</f>
        <v>0</v>
      </c>
      <c r="U1594">
        <f>N(U1593)+$T1594</f>
        <v>47</v>
      </c>
      <c r="V1594">
        <f>IF(AND($L1594=1,AND(对接源_02物料!$X394="自备筐",N(对接源_02物料!$V394)&lt;&gt;0)),1,0)</f>
        <v>0</v>
      </c>
      <c r="W1594">
        <f>N(W1593)+$V1594</f>
        <v>11</v>
      </c>
      <c r="X1594">
        <f>IF(AND($L1594=1,AND(对接源_02物料!$X394="自备筐",N(对接源_02物料!$T394)&lt;&gt;0)),1,0)</f>
        <v>0</v>
      </c>
      <c r="Y1594">
        <f>N(Y1593)+$X1594</f>
        <v>0</v>
      </c>
      <c r="Z1594">
        <f>IF(AND($M1594=1,对接源_02物料!$D394="原料入库"),1,0)</f>
        <v>0</v>
      </c>
      <c r="AA1594">
        <f>N(AA1593)+$Z1594</f>
        <v>24</v>
      </c>
      <c r="AB1594">
        <f>IF(AND($M1594=1,LEFT(对接源_02物料!$D394,4)="原料出库"),1,0)</f>
        <v>0</v>
      </c>
      <c r="AC1594">
        <f>N(AC1593)+$AB1594</f>
        <v>0</v>
      </c>
      <c r="AD1594">
        <f>IF(AND($M1594=1,LEFT(对接源_02物料!$D394,4)="成品出库"),1,0)</f>
        <v>0</v>
      </c>
      <c r="AE1594">
        <f>N(AE1593)+$AD1594</f>
        <v>0</v>
      </c>
      <c r="AF1594">
        <f>IF(AND($N1594=1,AND(LEFT(对接源_02物料!$D394,4)="包装物料",N(对接源_02物料!$K394)&lt;&gt;0)),1,0)</f>
        <v>0</v>
      </c>
      <c r="AG1594">
        <f>N(AG1593)+$AF1594</f>
        <v>10</v>
      </c>
      <c r="AH1594">
        <f>IF(AND($N1594=1,AND(对接源_02物料!$D394="周转筐－销售出库",N(对接源_02物料!$K394)&lt;&gt;0)),1,0)</f>
        <v>0</v>
      </c>
      <c r="AI1594">
        <f>N(AI1593)+$AH1594</f>
        <v>0</v>
      </c>
      <c r="AL1594" t="n">
        <v>0</v>
      </c>
      <c r="AM1594">
        <f>N(AM1593)+$AL1594</f>
        <v>2</v>
      </c>
      <c r="AN1594">
        <f>""</f>
      </c>
      <c r="AO1594" t="n">
        <v>0</v>
      </c>
      <c r="AP1594">
        <f>N(AP1593)+$AO1594</f>
        <v>13</v>
      </c>
      <c r="AR1594">
        <f>IF(OR($AF1594=1,$AH1594=1),1,0)</f>
        <v>0</v>
      </c>
      <c r="AS1594">
        <f>N(AS1593)+$AR1594</f>
        <v>10</v>
      </c>
    </row>
    <row r="1595" s="127">
      <c r="A1595">
        <f>IF(对接源_02物料!$C395="","",对接源_02物料!$C395)</f>
      </c>
      <c r="B1595">
        <f>IF(A1595="",0,IF(MATCH(A1595,$A$4:$A$2403,0)=ROW()-3,1,0))</f>
        <v>0</v>
      </c>
      <c r="C1595">
        <f>N(C1594)+B1595</f>
        <v>26</v>
      </c>
      <c r="K1595">
        <f>IF(OR($K$1="",对接源_02物料!$C395="",对接源_02物料!$C395&lt;&gt;$K$1,对接源_02物料!$B395=""),0,IF(OR(N(对接源_02物料!$B395)&lt;$K$2,N(对接源_02物料!$B395)&gt;$K$3),0,1))</f>
        <v>0</v>
      </c>
      <c r="L1595">
        <f>IF(OR($L$1="",对接源_02物料!$C395="",对接源_02物料!$C395&lt;&gt;$L$1,对接源_02物料!$B395=""),0,IF(OR(N(对接源_02物料!$B395)&lt;$L$2,N(对接源_02物料!$B395)&gt;$L$3),0,1))</f>
        <v>0</v>
      </c>
      <c r="M1595">
        <f>IF(OR($M$1="",对接源_02物料!$C395="",对接源_02物料!$C395&lt;&gt;$M$1,对接源_02物料!$B395=""),0,IF(OR(N(对接源_02物料!$B395)&lt;$M$2,N(对接源_02物料!$B395)&gt;$M$3),0,1))</f>
        <v>0</v>
      </c>
      <c r="N1595">
        <f>IF(OR($N$1="",对接源_02物料!$C395="",对接源_02物料!$C395&lt;&gt;$N$1,对接源_02物料!$B395=""),0,IF(OR(N(对接源_02物料!$B395)&lt;$N$2,N(对接源_02物料!$B395)&gt;$N$3),0,1))</f>
        <v>0</v>
      </c>
      <c r="P1595">
        <f>IF(AND($K1595=1,AND(对接源_02物料!$X395="公司筐",N(对接源_02物料!$T395)&lt;&gt;0)),1,0)</f>
        <v>0</v>
      </c>
      <c r="Q1595">
        <f>N(Q1594)+$P1595</f>
        <v>14</v>
      </c>
      <c r="R1595">
        <f>IF(AND($K1595=1,AND(对接源_02物料!$X395="公司筐",N(对接源_02物料!$U395)&lt;&gt;0)),1,0)</f>
        <v>0</v>
      </c>
      <c r="S1595">
        <f>N(S1594)+$R1595</f>
        <v>1</v>
      </c>
      <c r="T1595">
        <f>IF(AND($K1595=1,AND(对接源_02物料!$X395="公司筐",N(对接源_02物料!$V395)&lt;&gt;0)),1,0)</f>
        <v>0</v>
      </c>
      <c r="U1595">
        <f>N(U1594)+$T1595</f>
        <v>47</v>
      </c>
      <c r="V1595">
        <f>IF(AND($L1595=1,AND(对接源_02物料!$X395="自备筐",N(对接源_02物料!$V395)&lt;&gt;0)),1,0)</f>
        <v>0</v>
      </c>
      <c r="W1595">
        <f>N(W1594)+$V1595</f>
        <v>11</v>
      </c>
      <c r="X1595">
        <f>IF(AND($L1595=1,AND(对接源_02物料!$X395="自备筐",N(对接源_02物料!$T395)&lt;&gt;0)),1,0)</f>
        <v>0</v>
      </c>
      <c r="Y1595">
        <f>N(Y1594)+$X1595</f>
        <v>0</v>
      </c>
      <c r="Z1595">
        <f>IF(AND($M1595=1,对接源_02物料!$D395="原料入库"),1,0)</f>
        <v>0</v>
      </c>
      <c r="AA1595">
        <f>N(AA1594)+$Z1595</f>
        <v>24</v>
      </c>
      <c r="AB1595">
        <f>IF(AND($M1595=1,LEFT(对接源_02物料!$D395,4)="原料出库"),1,0)</f>
        <v>0</v>
      </c>
      <c r="AC1595">
        <f>N(AC1594)+$AB1595</f>
        <v>0</v>
      </c>
      <c r="AD1595">
        <f>IF(AND($M1595=1,LEFT(对接源_02物料!$D395,4)="成品出库"),1,0)</f>
        <v>0</v>
      </c>
      <c r="AE1595">
        <f>N(AE1594)+$AD1595</f>
        <v>0</v>
      </c>
      <c r="AF1595">
        <f>IF(AND($N1595=1,AND(LEFT(对接源_02物料!$D395,4)="包装物料",N(对接源_02物料!$K395)&lt;&gt;0)),1,0)</f>
        <v>0</v>
      </c>
      <c r="AG1595">
        <f>N(AG1594)+$AF1595</f>
        <v>10</v>
      </c>
      <c r="AH1595">
        <f>IF(AND($N1595=1,AND(对接源_02物料!$D395="周转筐－销售出库",N(对接源_02物料!$K395)&lt;&gt;0)),1,0)</f>
        <v>0</v>
      </c>
      <c r="AI1595">
        <f>N(AI1594)+$AH1595</f>
        <v>0</v>
      </c>
      <c r="AL1595" t="n">
        <v>0</v>
      </c>
      <c r="AM1595">
        <f>N(AM1594)+$AL1595</f>
        <v>2</v>
      </c>
      <c r="AN1595">
        <f>""</f>
      </c>
      <c r="AO1595" t="n">
        <v>0</v>
      </c>
      <c r="AP1595">
        <f>N(AP1594)+$AO1595</f>
        <v>13</v>
      </c>
      <c r="AR1595">
        <f>IF(OR($AF1595=1,$AH1595=1),1,0)</f>
        <v>0</v>
      </c>
      <c r="AS1595">
        <f>N(AS1594)+$AR1595</f>
        <v>10</v>
      </c>
    </row>
    <row r="1596" s="127">
      <c r="A1596">
        <f>IF(对接源_02物料!$C396="","",对接源_02物料!$C396)</f>
      </c>
      <c r="B1596">
        <f>IF(A1596="",0,IF(MATCH(A1596,$A$4:$A$2403,0)=ROW()-3,1,0))</f>
        <v>0</v>
      </c>
      <c r="C1596">
        <f>N(C1595)+B1596</f>
        <v>26</v>
      </c>
      <c r="K1596">
        <f>IF(OR($K$1="",对接源_02物料!$C396="",对接源_02物料!$C396&lt;&gt;$K$1,对接源_02物料!$B396=""),0,IF(OR(N(对接源_02物料!$B396)&lt;$K$2,N(对接源_02物料!$B396)&gt;$K$3),0,1))</f>
        <v>0</v>
      </c>
      <c r="L1596">
        <f>IF(OR($L$1="",对接源_02物料!$C396="",对接源_02物料!$C396&lt;&gt;$L$1,对接源_02物料!$B396=""),0,IF(OR(N(对接源_02物料!$B396)&lt;$L$2,N(对接源_02物料!$B396)&gt;$L$3),0,1))</f>
        <v>0</v>
      </c>
      <c r="M1596">
        <f>IF(OR($M$1="",对接源_02物料!$C396="",对接源_02物料!$C396&lt;&gt;$M$1,对接源_02物料!$B396=""),0,IF(OR(N(对接源_02物料!$B396)&lt;$M$2,N(对接源_02物料!$B396)&gt;$M$3),0,1))</f>
        <v>0</v>
      </c>
      <c r="N1596">
        <f>IF(OR($N$1="",对接源_02物料!$C396="",对接源_02物料!$C396&lt;&gt;$N$1,对接源_02物料!$B396=""),0,IF(OR(N(对接源_02物料!$B396)&lt;$N$2,N(对接源_02物料!$B396)&gt;$N$3),0,1))</f>
        <v>0</v>
      </c>
      <c r="P1596">
        <f>IF(AND($K1596=1,AND(对接源_02物料!$X396="公司筐",N(对接源_02物料!$T396)&lt;&gt;0)),1,0)</f>
        <v>0</v>
      </c>
      <c r="Q1596">
        <f>N(Q1595)+$P1596</f>
        <v>14</v>
      </c>
      <c r="R1596">
        <f>IF(AND($K1596=1,AND(对接源_02物料!$X396="公司筐",N(对接源_02物料!$U396)&lt;&gt;0)),1,0)</f>
        <v>0</v>
      </c>
      <c r="S1596">
        <f>N(S1595)+$R1596</f>
        <v>1</v>
      </c>
      <c r="T1596">
        <f>IF(AND($K1596=1,AND(对接源_02物料!$X396="公司筐",N(对接源_02物料!$V396)&lt;&gt;0)),1,0)</f>
        <v>0</v>
      </c>
      <c r="U1596">
        <f>N(U1595)+$T1596</f>
        <v>47</v>
      </c>
      <c r="V1596">
        <f>IF(AND($L1596=1,AND(对接源_02物料!$X396="自备筐",N(对接源_02物料!$V396)&lt;&gt;0)),1,0)</f>
        <v>0</v>
      </c>
      <c r="W1596">
        <f>N(W1595)+$V1596</f>
        <v>11</v>
      </c>
      <c r="X1596">
        <f>IF(AND($L1596=1,AND(对接源_02物料!$X396="自备筐",N(对接源_02物料!$T396)&lt;&gt;0)),1,0)</f>
        <v>0</v>
      </c>
      <c r="Y1596">
        <f>N(Y1595)+$X1596</f>
        <v>0</v>
      </c>
      <c r="Z1596">
        <f>IF(AND($M1596=1,对接源_02物料!$D396="原料入库"),1,0)</f>
        <v>0</v>
      </c>
      <c r="AA1596">
        <f>N(AA1595)+$Z1596</f>
        <v>24</v>
      </c>
      <c r="AB1596">
        <f>IF(AND($M1596=1,LEFT(对接源_02物料!$D396,4)="原料出库"),1,0)</f>
        <v>0</v>
      </c>
      <c r="AC1596">
        <f>N(AC1595)+$AB1596</f>
        <v>0</v>
      </c>
      <c r="AD1596">
        <f>IF(AND($M1596=1,LEFT(对接源_02物料!$D396,4)="成品出库"),1,0)</f>
        <v>0</v>
      </c>
      <c r="AE1596">
        <f>N(AE1595)+$AD1596</f>
        <v>0</v>
      </c>
      <c r="AF1596">
        <f>IF(AND($N1596=1,AND(LEFT(对接源_02物料!$D396,4)="包装物料",N(对接源_02物料!$K396)&lt;&gt;0)),1,0)</f>
        <v>0</v>
      </c>
      <c r="AG1596">
        <f>N(AG1595)+$AF1596</f>
        <v>10</v>
      </c>
      <c r="AH1596">
        <f>IF(AND($N1596=1,AND(对接源_02物料!$D396="周转筐－销售出库",N(对接源_02物料!$K396)&lt;&gt;0)),1,0)</f>
        <v>0</v>
      </c>
      <c r="AI1596">
        <f>N(AI1595)+$AH1596</f>
        <v>0</v>
      </c>
      <c r="AL1596" t="n">
        <v>0</v>
      </c>
      <c r="AM1596">
        <f>N(AM1595)+$AL1596</f>
        <v>2</v>
      </c>
      <c r="AN1596">
        <f>""</f>
      </c>
      <c r="AO1596" t="n">
        <v>0</v>
      </c>
      <c r="AP1596">
        <f>N(AP1595)+$AO1596</f>
        <v>13</v>
      </c>
      <c r="AR1596">
        <f>IF(OR($AF1596=1,$AH1596=1),1,0)</f>
        <v>0</v>
      </c>
      <c r="AS1596">
        <f>N(AS1595)+$AR1596</f>
        <v>10</v>
      </c>
    </row>
    <row r="1597" s="127">
      <c r="A1597">
        <f>IF(对接源_02物料!$C397="","",对接源_02物料!$C397)</f>
      </c>
      <c r="B1597">
        <f>IF(A1597="",0,IF(MATCH(A1597,$A$4:$A$2403,0)=ROW()-3,1,0))</f>
        <v>0</v>
      </c>
      <c r="C1597">
        <f>N(C1596)+B1597</f>
        <v>26</v>
      </c>
      <c r="K1597">
        <f>IF(OR($K$1="",对接源_02物料!$C397="",对接源_02物料!$C397&lt;&gt;$K$1,对接源_02物料!$B397=""),0,IF(OR(N(对接源_02物料!$B397)&lt;$K$2,N(对接源_02物料!$B397)&gt;$K$3),0,1))</f>
        <v>0</v>
      </c>
      <c r="L1597">
        <f>IF(OR($L$1="",对接源_02物料!$C397="",对接源_02物料!$C397&lt;&gt;$L$1,对接源_02物料!$B397=""),0,IF(OR(N(对接源_02物料!$B397)&lt;$L$2,N(对接源_02物料!$B397)&gt;$L$3),0,1))</f>
        <v>0</v>
      </c>
      <c r="M1597">
        <f>IF(OR($M$1="",对接源_02物料!$C397="",对接源_02物料!$C397&lt;&gt;$M$1,对接源_02物料!$B397=""),0,IF(OR(N(对接源_02物料!$B397)&lt;$M$2,N(对接源_02物料!$B397)&gt;$M$3),0,1))</f>
        <v>0</v>
      </c>
      <c r="N1597">
        <f>IF(OR($N$1="",对接源_02物料!$C397="",对接源_02物料!$C397&lt;&gt;$N$1,对接源_02物料!$B397=""),0,IF(OR(N(对接源_02物料!$B397)&lt;$N$2,N(对接源_02物料!$B397)&gt;$N$3),0,1))</f>
        <v>0</v>
      </c>
      <c r="P1597">
        <f>IF(AND($K1597=1,AND(对接源_02物料!$X397="公司筐",N(对接源_02物料!$T397)&lt;&gt;0)),1,0)</f>
        <v>0</v>
      </c>
      <c r="Q1597">
        <f>N(Q1596)+$P1597</f>
        <v>14</v>
      </c>
      <c r="R1597">
        <f>IF(AND($K1597=1,AND(对接源_02物料!$X397="公司筐",N(对接源_02物料!$U397)&lt;&gt;0)),1,0)</f>
        <v>0</v>
      </c>
      <c r="S1597">
        <f>N(S1596)+$R1597</f>
        <v>1</v>
      </c>
      <c r="T1597">
        <f>IF(AND($K1597=1,AND(对接源_02物料!$X397="公司筐",N(对接源_02物料!$V397)&lt;&gt;0)),1,0)</f>
        <v>0</v>
      </c>
      <c r="U1597">
        <f>N(U1596)+$T1597</f>
        <v>47</v>
      </c>
      <c r="V1597">
        <f>IF(AND($L1597=1,AND(对接源_02物料!$X397="自备筐",N(对接源_02物料!$V397)&lt;&gt;0)),1,0)</f>
        <v>0</v>
      </c>
      <c r="W1597">
        <f>N(W1596)+$V1597</f>
        <v>11</v>
      </c>
      <c r="X1597">
        <f>IF(AND($L1597=1,AND(对接源_02物料!$X397="自备筐",N(对接源_02物料!$T397)&lt;&gt;0)),1,0)</f>
        <v>0</v>
      </c>
      <c r="Y1597">
        <f>N(Y1596)+$X1597</f>
        <v>0</v>
      </c>
      <c r="Z1597">
        <f>IF(AND($M1597=1,对接源_02物料!$D397="原料入库"),1,0)</f>
        <v>0</v>
      </c>
      <c r="AA1597">
        <f>N(AA1596)+$Z1597</f>
        <v>24</v>
      </c>
      <c r="AB1597">
        <f>IF(AND($M1597=1,LEFT(对接源_02物料!$D397,4)="原料出库"),1,0)</f>
        <v>0</v>
      </c>
      <c r="AC1597">
        <f>N(AC1596)+$AB1597</f>
        <v>0</v>
      </c>
      <c r="AD1597">
        <f>IF(AND($M1597=1,LEFT(对接源_02物料!$D397,4)="成品出库"),1,0)</f>
        <v>0</v>
      </c>
      <c r="AE1597">
        <f>N(AE1596)+$AD1597</f>
        <v>0</v>
      </c>
      <c r="AF1597">
        <f>IF(AND($N1597=1,AND(LEFT(对接源_02物料!$D397,4)="包装物料",N(对接源_02物料!$K397)&lt;&gt;0)),1,0)</f>
        <v>0</v>
      </c>
      <c r="AG1597">
        <f>N(AG1596)+$AF1597</f>
        <v>10</v>
      </c>
      <c r="AH1597">
        <f>IF(AND($N1597=1,AND(对接源_02物料!$D397="周转筐－销售出库",N(对接源_02物料!$K397)&lt;&gt;0)),1,0)</f>
        <v>0</v>
      </c>
      <c r="AI1597">
        <f>N(AI1596)+$AH1597</f>
        <v>0</v>
      </c>
      <c r="AL1597" t="n">
        <v>0</v>
      </c>
      <c r="AM1597">
        <f>N(AM1596)+$AL1597</f>
        <v>2</v>
      </c>
      <c r="AN1597">
        <f>""</f>
      </c>
      <c r="AO1597" t="n">
        <v>0</v>
      </c>
      <c r="AP1597">
        <f>N(AP1596)+$AO1597</f>
        <v>13</v>
      </c>
      <c r="AR1597">
        <f>IF(OR($AF1597=1,$AH1597=1),1,0)</f>
        <v>0</v>
      </c>
      <c r="AS1597">
        <f>N(AS1596)+$AR1597</f>
        <v>10</v>
      </c>
    </row>
    <row r="1598" s="127">
      <c r="A1598">
        <f>IF(对接源_02物料!$C398="","",对接源_02物料!$C398)</f>
      </c>
      <c r="B1598">
        <f>IF(A1598="",0,IF(MATCH(A1598,$A$4:$A$2403,0)=ROW()-3,1,0))</f>
        <v>0</v>
      </c>
      <c r="C1598">
        <f>N(C1597)+B1598</f>
        <v>26</v>
      </c>
      <c r="K1598">
        <f>IF(OR($K$1="",对接源_02物料!$C398="",对接源_02物料!$C398&lt;&gt;$K$1,对接源_02物料!$B398=""),0,IF(OR(N(对接源_02物料!$B398)&lt;$K$2,N(对接源_02物料!$B398)&gt;$K$3),0,1))</f>
        <v>0</v>
      </c>
      <c r="L1598">
        <f>IF(OR($L$1="",对接源_02物料!$C398="",对接源_02物料!$C398&lt;&gt;$L$1,对接源_02物料!$B398=""),0,IF(OR(N(对接源_02物料!$B398)&lt;$L$2,N(对接源_02物料!$B398)&gt;$L$3),0,1))</f>
        <v>0</v>
      </c>
      <c r="M1598">
        <f>IF(OR($M$1="",对接源_02物料!$C398="",对接源_02物料!$C398&lt;&gt;$M$1,对接源_02物料!$B398=""),0,IF(OR(N(对接源_02物料!$B398)&lt;$M$2,N(对接源_02物料!$B398)&gt;$M$3),0,1))</f>
        <v>0</v>
      </c>
      <c r="N1598">
        <f>IF(OR($N$1="",对接源_02物料!$C398="",对接源_02物料!$C398&lt;&gt;$N$1,对接源_02物料!$B398=""),0,IF(OR(N(对接源_02物料!$B398)&lt;$N$2,N(对接源_02物料!$B398)&gt;$N$3),0,1))</f>
        <v>0</v>
      </c>
      <c r="P1598">
        <f>IF(AND($K1598=1,AND(对接源_02物料!$X398="公司筐",N(对接源_02物料!$T398)&lt;&gt;0)),1,0)</f>
        <v>0</v>
      </c>
      <c r="Q1598">
        <f>N(Q1597)+$P1598</f>
        <v>14</v>
      </c>
      <c r="R1598">
        <f>IF(AND($K1598=1,AND(对接源_02物料!$X398="公司筐",N(对接源_02物料!$U398)&lt;&gt;0)),1,0)</f>
        <v>0</v>
      </c>
      <c r="S1598">
        <f>N(S1597)+$R1598</f>
        <v>1</v>
      </c>
      <c r="T1598">
        <f>IF(AND($K1598=1,AND(对接源_02物料!$X398="公司筐",N(对接源_02物料!$V398)&lt;&gt;0)),1,0)</f>
        <v>0</v>
      </c>
      <c r="U1598">
        <f>N(U1597)+$T1598</f>
        <v>47</v>
      </c>
      <c r="V1598">
        <f>IF(AND($L1598=1,AND(对接源_02物料!$X398="自备筐",N(对接源_02物料!$V398)&lt;&gt;0)),1,0)</f>
        <v>0</v>
      </c>
      <c r="W1598">
        <f>N(W1597)+$V1598</f>
        <v>11</v>
      </c>
      <c r="X1598">
        <f>IF(AND($L1598=1,AND(对接源_02物料!$X398="自备筐",N(对接源_02物料!$T398)&lt;&gt;0)),1,0)</f>
        <v>0</v>
      </c>
      <c r="Y1598">
        <f>N(Y1597)+$X1598</f>
        <v>0</v>
      </c>
      <c r="Z1598">
        <f>IF(AND($M1598=1,对接源_02物料!$D398="原料入库"),1,0)</f>
        <v>0</v>
      </c>
      <c r="AA1598">
        <f>N(AA1597)+$Z1598</f>
        <v>24</v>
      </c>
      <c r="AB1598">
        <f>IF(AND($M1598=1,LEFT(对接源_02物料!$D398,4)="原料出库"),1,0)</f>
        <v>0</v>
      </c>
      <c r="AC1598">
        <f>N(AC1597)+$AB1598</f>
        <v>0</v>
      </c>
      <c r="AD1598">
        <f>IF(AND($M1598=1,LEFT(对接源_02物料!$D398,4)="成品出库"),1,0)</f>
        <v>0</v>
      </c>
      <c r="AE1598">
        <f>N(AE1597)+$AD1598</f>
        <v>0</v>
      </c>
      <c r="AF1598">
        <f>IF(AND($N1598=1,AND(LEFT(对接源_02物料!$D398,4)="包装物料",N(对接源_02物料!$K398)&lt;&gt;0)),1,0)</f>
        <v>0</v>
      </c>
      <c r="AG1598">
        <f>N(AG1597)+$AF1598</f>
        <v>10</v>
      </c>
      <c r="AH1598">
        <f>IF(AND($N1598=1,AND(对接源_02物料!$D398="周转筐－销售出库",N(对接源_02物料!$K398)&lt;&gt;0)),1,0)</f>
        <v>0</v>
      </c>
      <c r="AI1598">
        <f>N(AI1597)+$AH1598</f>
        <v>0</v>
      </c>
      <c r="AL1598" t="n">
        <v>0</v>
      </c>
      <c r="AM1598">
        <f>N(AM1597)+$AL1598</f>
        <v>2</v>
      </c>
      <c r="AN1598">
        <f>""</f>
      </c>
      <c r="AO1598" t="n">
        <v>0</v>
      </c>
      <c r="AP1598">
        <f>N(AP1597)+$AO1598</f>
        <v>13</v>
      </c>
      <c r="AR1598">
        <f>IF(OR($AF1598=1,$AH1598=1),1,0)</f>
        <v>0</v>
      </c>
      <c r="AS1598">
        <f>N(AS1597)+$AR1598</f>
        <v>10</v>
      </c>
    </row>
    <row r="1599" s="127">
      <c r="A1599">
        <f>IF(对接源_02物料!$C399="","",对接源_02物料!$C399)</f>
      </c>
      <c r="B1599">
        <f>IF(A1599="",0,IF(MATCH(A1599,$A$4:$A$2403,0)=ROW()-3,1,0))</f>
        <v>0</v>
      </c>
      <c r="C1599">
        <f>N(C1598)+B1599</f>
        <v>26</v>
      </c>
      <c r="K1599">
        <f>IF(OR($K$1="",对接源_02物料!$C399="",对接源_02物料!$C399&lt;&gt;$K$1,对接源_02物料!$B399=""),0,IF(OR(N(对接源_02物料!$B399)&lt;$K$2,N(对接源_02物料!$B399)&gt;$K$3),0,1))</f>
        <v>0</v>
      </c>
      <c r="L1599">
        <f>IF(OR($L$1="",对接源_02物料!$C399="",对接源_02物料!$C399&lt;&gt;$L$1,对接源_02物料!$B399=""),0,IF(OR(N(对接源_02物料!$B399)&lt;$L$2,N(对接源_02物料!$B399)&gt;$L$3),0,1))</f>
        <v>0</v>
      </c>
      <c r="M1599">
        <f>IF(OR($M$1="",对接源_02物料!$C399="",对接源_02物料!$C399&lt;&gt;$M$1,对接源_02物料!$B399=""),0,IF(OR(N(对接源_02物料!$B399)&lt;$M$2,N(对接源_02物料!$B399)&gt;$M$3),0,1))</f>
        <v>0</v>
      </c>
      <c r="N1599">
        <f>IF(OR($N$1="",对接源_02物料!$C399="",对接源_02物料!$C399&lt;&gt;$N$1,对接源_02物料!$B399=""),0,IF(OR(N(对接源_02物料!$B399)&lt;$N$2,N(对接源_02物料!$B399)&gt;$N$3),0,1))</f>
        <v>0</v>
      </c>
      <c r="P1599">
        <f>IF(AND($K1599=1,AND(对接源_02物料!$X399="公司筐",N(对接源_02物料!$T399)&lt;&gt;0)),1,0)</f>
        <v>0</v>
      </c>
      <c r="Q1599">
        <f>N(Q1598)+$P1599</f>
        <v>14</v>
      </c>
      <c r="R1599">
        <f>IF(AND($K1599=1,AND(对接源_02物料!$X399="公司筐",N(对接源_02物料!$U399)&lt;&gt;0)),1,0)</f>
        <v>0</v>
      </c>
      <c r="S1599">
        <f>N(S1598)+$R1599</f>
        <v>1</v>
      </c>
      <c r="T1599">
        <f>IF(AND($K1599=1,AND(对接源_02物料!$X399="公司筐",N(对接源_02物料!$V399)&lt;&gt;0)),1,0)</f>
        <v>0</v>
      </c>
      <c r="U1599">
        <f>N(U1598)+$T1599</f>
        <v>47</v>
      </c>
      <c r="V1599">
        <f>IF(AND($L1599=1,AND(对接源_02物料!$X399="自备筐",N(对接源_02物料!$V399)&lt;&gt;0)),1,0)</f>
        <v>0</v>
      </c>
      <c r="W1599">
        <f>N(W1598)+$V1599</f>
        <v>11</v>
      </c>
      <c r="X1599">
        <f>IF(AND($L1599=1,AND(对接源_02物料!$X399="自备筐",N(对接源_02物料!$T399)&lt;&gt;0)),1,0)</f>
        <v>0</v>
      </c>
      <c r="Y1599">
        <f>N(Y1598)+$X1599</f>
        <v>0</v>
      </c>
      <c r="Z1599">
        <f>IF(AND($M1599=1,对接源_02物料!$D399="原料入库"),1,0)</f>
        <v>0</v>
      </c>
      <c r="AA1599">
        <f>N(AA1598)+$Z1599</f>
        <v>24</v>
      </c>
      <c r="AB1599">
        <f>IF(AND($M1599=1,LEFT(对接源_02物料!$D399,4)="原料出库"),1,0)</f>
        <v>0</v>
      </c>
      <c r="AC1599">
        <f>N(AC1598)+$AB1599</f>
        <v>0</v>
      </c>
      <c r="AD1599">
        <f>IF(AND($M1599=1,LEFT(对接源_02物料!$D399,4)="成品出库"),1,0)</f>
        <v>0</v>
      </c>
      <c r="AE1599">
        <f>N(AE1598)+$AD1599</f>
        <v>0</v>
      </c>
      <c r="AF1599">
        <f>IF(AND($N1599=1,AND(LEFT(对接源_02物料!$D399,4)="包装物料",N(对接源_02物料!$K399)&lt;&gt;0)),1,0)</f>
        <v>0</v>
      </c>
      <c r="AG1599">
        <f>N(AG1598)+$AF1599</f>
        <v>10</v>
      </c>
      <c r="AH1599">
        <f>IF(AND($N1599=1,AND(对接源_02物料!$D399="周转筐－销售出库",N(对接源_02物料!$K399)&lt;&gt;0)),1,0)</f>
        <v>0</v>
      </c>
      <c r="AI1599">
        <f>N(AI1598)+$AH1599</f>
        <v>0</v>
      </c>
      <c r="AL1599" t="n">
        <v>0</v>
      </c>
      <c r="AM1599">
        <f>N(AM1598)+$AL1599</f>
        <v>2</v>
      </c>
      <c r="AN1599">
        <f>""</f>
      </c>
      <c r="AO1599" t="n">
        <v>0</v>
      </c>
      <c r="AP1599">
        <f>N(AP1598)+$AO1599</f>
        <v>13</v>
      </c>
      <c r="AR1599">
        <f>IF(OR($AF1599=1,$AH1599=1),1,0)</f>
        <v>0</v>
      </c>
      <c r="AS1599">
        <f>N(AS1598)+$AR1599</f>
        <v>10</v>
      </c>
    </row>
    <row r="1600" s="127">
      <c r="A1600">
        <f>IF(对接源_02物料!$C400="","",对接源_02物料!$C400)</f>
      </c>
      <c r="B1600">
        <f>IF(A1600="",0,IF(MATCH(A1600,$A$4:$A$2403,0)=ROW()-3,1,0))</f>
        <v>0</v>
      </c>
      <c r="C1600">
        <f>N(C1599)+B1600</f>
        <v>26</v>
      </c>
      <c r="K1600">
        <f>IF(OR($K$1="",对接源_02物料!$C400="",对接源_02物料!$C400&lt;&gt;$K$1,对接源_02物料!$B400=""),0,IF(OR(N(对接源_02物料!$B400)&lt;$K$2,N(对接源_02物料!$B400)&gt;$K$3),0,1))</f>
        <v>0</v>
      </c>
      <c r="L1600">
        <f>IF(OR($L$1="",对接源_02物料!$C400="",对接源_02物料!$C400&lt;&gt;$L$1,对接源_02物料!$B400=""),0,IF(OR(N(对接源_02物料!$B400)&lt;$L$2,N(对接源_02物料!$B400)&gt;$L$3),0,1))</f>
        <v>0</v>
      </c>
      <c r="M1600">
        <f>IF(OR($M$1="",对接源_02物料!$C400="",对接源_02物料!$C400&lt;&gt;$M$1,对接源_02物料!$B400=""),0,IF(OR(N(对接源_02物料!$B400)&lt;$M$2,N(对接源_02物料!$B400)&gt;$M$3),0,1))</f>
        <v>0</v>
      </c>
      <c r="N1600">
        <f>IF(OR($N$1="",对接源_02物料!$C400="",对接源_02物料!$C400&lt;&gt;$N$1,对接源_02物料!$B400=""),0,IF(OR(N(对接源_02物料!$B400)&lt;$N$2,N(对接源_02物料!$B400)&gt;$N$3),0,1))</f>
        <v>0</v>
      </c>
      <c r="P1600">
        <f>IF(AND($K1600=1,AND(对接源_02物料!$X400="公司筐",N(对接源_02物料!$T400)&lt;&gt;0)),1,0)</f>
        <v>0</v>
      </c>
      <c r="Q1600">
        <f>N(Q1599)+$P1600</f>
        <v>14</v>
      </c>
      <c r="R1600">
        <f>IF(AND($K1600=1,AND(对接源_02物料!$X400="公司筐",N(对接源_02物料!$U400)&lt;&gt;0)),1,0)</f>
        <v>0</v>
      </c>
      <c r="S1600">
        <f>N(S1599)+$R1600</f>
        <v>1</v>
      </c>
      <c r="T1600">
        <f>IF(AND($K1600=1,AND(对接源_02物料!$X400="公司筐",N(对接源_02物料!$V400)&lt;&gt;0)),1,0)</f>
        <v>0</v>
      </c>
      <c r="U1600">
        <f>N(U1599)+$T1600</f>
        <v>47</v>
      </c>
      <c r="V1600">
        <f>IF(AND($L1600=1,AND(对接源_02物料!$X400="自备筐",N(对接源_02物料!$V400)&lt;&gt;0)),1,0)</f>
        <v>0</v>
      </c>
      <c r="W1600">
        <f>N(W1599)+$V1600</f>
        <v>11</v>
      </c>
      <c r="X1600">
        <f>IF(AND($L1600=1,AND(对接源_02物料!$X400="自备筐",N(对接源_02物料!$T400)&lt;&gt;0)),1,0)</f>
        <v>0</v>
      </c>
      <c r="Y1600">
        <f>N(Y1599)+$X1600</f>
        <v>0</v>
      </c>
      <c r="Z1600">
        <f>IF(AND($M1600=1,对接源_02物料!$D400="原料入库"),1,0)</f>
        <v>0</v>
      </c>
      <c r="AA1600">
        <f>N(AA1599)+$Z1600</f>
        <v>24</v>
      </c>
      <c r="AB1600">
        <f>IF(AND($M1600=1,LEFT(对接源_02物料!$D400,4)="原料出库"),1,0)</f>
        <v>0</v>
      </c>
      <c r="AC1600">
        <f>N(AC1599)+$AB1600</f>
        <v>0</v>
      </c>
      <c r="AD1600">
        <f>IF(AND($M1600=1,LEFT(对接源_02物料!$D400,4)="成品出库"),1,0)</f>
        <v>0</v>
      </c>
      <c r="AE1600">
        <f>N(AE1599)+$AD1600</f>
        <v>0</v>
      </c>
      <c r="AF1600">
        <f>IF(AND($N1600=1,AND(LEFT(对接源_02物料!$D400,4)="包装物料",N(对接源_02物料!$K400)&lt;&gt;0)),1,0)</f>
        <v>0</v>
      </c>
      <c r="AG1600">
        <f>N(AG1599)+$AF1600</f>
        <v>10</v>
      </c>
      <c r="AH1600">
        <f>IF(AND($N1600=1,AND(对接源_02物料!$D400="周转筐－销售出库",N(对接源_02物料!$K400)&lt;&gt;0)),1,0)</f>
        <v>0</v>
      </c>
      <c r="AI1600">
        <f>N(AI1599)+$AH1600</f>
        <v>0</v>
      </c>
      <c r="AL1600" t="n">
        <v>0</v>
      </c>
      <c r="AM1600">
        <f>N(AM1599)+$AL1600</f>
        <v>2</v>
      </c>
      <c r="AN1600">
        <f>""</f>
      </c>
      <c r="AO1600" t="n">
        <v>0</v>
      </c>
      <c r="AP1600">
        <f>N(AP1599)+$AO1600</f>
        <v>13</v>
      </c>
      <c r="AR1600">
        <f>IF(OR($AF1600=1,$AH1600=1),1,0)</f>
        <v>0</v>
      </c>
      <c r="AS1600">
        <f>N(AS1599)+$AR1600</f>
        <v>10</v>
      </c>
    </row>
    <row r="1601" s="127">
      <c r="A1601">
        <f>IF(对接源_02物料!$C401="","",对接源_02物料!$C401)</f>
      </c>
      <c r="B1601">
        <f>IF(A1601="",0,IF(MATCH(A1601,$A$4:$A$2403,0)=ROW()-3,1,0))</f>
        <v>0</v>
      </c>
      <c r="C1601">
        <f>N(C1600)+B1601</f>
        <v>26</v>
      </c>
      <c r="K1601">
        <f>IF(OR($K$1="",对接源_02物料!$C401="",对接源_02物料!$C401&lt;&gt;$K$1,对接源_02物料!$B401=""),0,IF(OR(N(对接源_02物料!$B401)&lt;$K$2,N(对接源_02物料!$B401)&gt;$K$3),0,1))</f>
        <v>0</v>
      </c>
      <c r="L1601">
        <f>IF(OR($L$1="",对接源_02物料!$C401="",对接源_02物料!$C401&lt;&gt;$L$1,对接源_02物料!$B401=""),0,IF(OR(N(对接源_02物料!$B401)&lt;$L$2,N(对接源_02物料!$B401)&gt;$L$3),0,1))</f>
        <v>0</v>
      </c>
      <c r="M1601">
        <f>IF(OR($M$1="",对接源_02物料!$C401="",对接源_02物料!$C401&lt;&gt;$M$1,对接源_02物料!$B401=""),0,IF(OR(N(对接源_02物料!$B401)&lt;$M$2,N(对接源_02物料!$B401)&gt;$M$3),0,1))</f>
        <v>0</v>
      </c>
      <c r="N1601">
        <f>IF(OR($N$1="",对接源_02物料!$C401="",对接源_02物料!$C401&lt;&gt;$N$1,对接源_02物料!$B401=""),0,IF(OR(N(对接源_02物料!$B401)&lt;$N$2,N(对接源_02物料!$B401)&gt;$N$3),0,1))</f>
        <v>0</v>
      </c>
      <c r="P1601">
        <f>IF(AND($K1601=1,AND(对接源_02物料!$X401="公司筐",N(对接源_02物料!$T401)&lt;&gt;0)),1,0)</f>
        <v>0</v>
      </c>
      <c r="Q1601">
        <f>N(Q1600)+$P1601</f>
        <v>14</v>
      </c>
      <c r="R1601">
        <f>IF(AND($K1601=1,AND(对接源_02物料!$X401="公司筐",N(对接源_02物料!$U401)&lt;&gt;0)),1,0)</f>
        <v>0</v>
      </c>
      <c r="S1601">
        <f>N(S1600)+$R1601</f>
        <v>1</v>
      </c>
      <c r="T1601">
        <f>IF(AND($K1601=1,AND(对接源_02物料!$X401="公司筐",N(对接源_02物料!$V401)&lt;&gt;0)),1,0)</f>
        <v>0</v>
      </c>
      <c r="U1601">
        <f>N(U1600)+$T1601</f>
        <v>47</v>
      </c>
      <c r="V1601">
        <f>IF(AND($L1601=1,AND(对接源_02物料!$X401="自备筐",N(对接源_02物料!$V401)&lt;&gt;0)),1,0)</f>
        <v>0</v>
      </c>
      <c r="W1601">
        <f>N(W1600)+$V1601</f>
        <v>11</v>
      </c>
      <c r="X1601">
        <f>IF(AND($L1601=1,AND(对接源_02物料!$X401="自备筐",N(对接源_02物料!$T401)&lt;&gt;0)),1,0)</f>
        <v>0</v>
      </c>
      <c r="Y1601">
        <f>N(Y1600)+$X1601</f>
        <v>0</v>
      </c>
      <c r="Z1601">
        <f>IF(AND($M1601=1,对接源_02物料!$D401="原料入库"),1,0)</f>
        <v>0</v>
      </c>
      <c r="AA1601">
        <f>N(AA1600)+$Z1601</f>
        <v>24</v>
      </c>
      <c r="AB1601">
        <f>IF(AND($M1601=1,LEFT(对接源_02物料!$D401,4)="原料出库"),1,0)</f>
        <v>0</v>
      </c>
      <c r="AC1601">
        <f>N(AC1600)+$AB1601</f>
        <v>0</v>
      </c>
      <c r="AD1601">
        <f>IF(AND($M1601=1,LEFT(对接源_02物料!$D401,4)="成品出库"),1,0)</f>
        <v>0</v>
      </c>
      <c r="AE1601">
        <f>N(AE1600)+$AD1601</f>
        <v>0</v>
      </c>
      <c r="AF1601">
        <f>IF(AND($N1601=1,AND(LEFT(对接源_02物料!$D401,4)="包装物料",N(对接源_02物料!$K401)&lt;&gt;0)),1,0)</f>
        <v>0</v>
      </c>
      <c r="AG1601">
        <f>N(AG1600)+$AF1601</f>
        <v>10</v>
      </c>
      <c r="AH1601">
        <f>IF(AND($N1601=1,AND(对接源_02物料!$D401="周转筐－销售出库",N(对接源_02物料!$K401)&lt;&gt;0)),1,0)</f>
        <v>0</v>
      </c>
      <c r="AI1601">
        <f>N(AI1600)+$AH1601</f>
        <v>0</v>
      </c>
      <c r="AL1601" t="n">
        <v>0</v>
      </c>
      <c r="AM1601">
        <f>N(AM1600)+$AL1601</f>
        <v>2</v>
      </c>
      <c r="AN1601">
        <f>""</f>
      </c>
      <c r="AO1601" t="n">
        <v>0</v>
      </c>
      <c r="AP1601">
        <f>N(AP1600)+$AO1601</f>
        <v>13</v>
      </c>
      <c r="AR1601">
        <f>IF(OR($AF1601=1,$AH1601=1),1,0)</f>
        <v>0</v>
      </c>
      <c r="AS1601">
        <f>N(AS1600)+$AR1601</f>
        <v>10</v>
      </c>
    </row>
    <row r="1602" s="127">
      <c r="A1602">
        <f>IF(对接源_02物料!$C402="","",对接源_02物料!$C402)</f>
      </c>
      <c r="B1602">
        <f>IF(A1602="",0,IF(MATCH(A1602,$A$4:$A$2403,0)=ROW()-3,1,0))</f>
        <v>0</v>
      </c>
      <c r="C1602">
        <f>N(C1601)+B1602</f>
        <v>26</v>
      </c>
      <c r="K1602">
        <f>IF(OR($K$1="",对接源_02物料!$C402="",对接源_02物料!$C402&lt;&gt;$K$1,对接源_02物料!$B402=""),0,IF(OR(N(对接源_02物料!$B402)&lt;$K$2,N(对接源_02物料!$B402)&gt;$K$3),0,1))</f>
        <v>0</v>
      </c>
      <c r="L1602">
        <f>IF(OR($L$1="",对接源_02物料!$C402="",对接源_02物料!$C402&lt;&gt;$L$1,对接源_02物料!$B402=""),0,IF(OR(N(对接源_02物料!$B402)&lt;$L$2,N(对接源_02物料!$B402)&gt;$L$3),0,1))</f>
        <v>0</v>
      </c>
      <c r="M1602">
        <f>IF(OR($M$1="",对接源_02物料!$C402="",对接源_02物料!$C402&lt;&gt;$M$1,对接源_02物料!$B402=""),0,IF(OR(N(对接源_02物料!$B402)&lt;$M$2,N(对接源_02物料!$B402)&gt;$M$3),0,1))</f>
        <v>0</v>
      </c>
      <c r="N1602">
        <f>IF(OR($N$1="",对接源_02物料!$C402="",对接源_02物料!$C402&lt;&gt;$N$1,对接源_02物料!$B402=""),0,IF(OR(N(对接源_02物料!$B402)&lt;$N$2,N(对接源_02物料!$B402)&gt;$N$3),0,1))</f>
        <v>0</v>
      </c>
      <c r="P1602">
        <f>IF(AND($K1602=1,AND(对接源_02物料!$X402="公司筐",N(对接源_02物料!$T402)&lt;&gt;0)),1,0)</f>
        <v>0</v>
      </c>
      <c r="Q1602">
        <f>N(Q1601)+$P1602</f>
        <v>14</v>
      </c>
      <c r="R1602">
        <f>IF(AND($K1602=1,AND(对接源_02物料!$X402="公司筐",N(对接源_02物料!$U402)&lt;&gt;0)),1,0)</f>
        <v>0</v>
      </c>
      <c r="S1602">
        <f>N(S1601)+$R1602</f>
        <v>1</v>
      </c>
      <c r="T1602">
        <f>IF(AND($K1602=1,AND(对接源_02物料!$X402="公司筐",N(对接源_02物料!$V402)&lt;&gt;0)),1,0)</f>
        <v>0</v>
      </c>
      <c r="U1602">
        <f>N(U1601)+$T1602</f>
        <v>47</v>
      </c>
      <c r="V1602">
        <f>IF(AND($L1602=1,AND(对接源_02物料!$X402="自备筐",N(对接源_02物料!$V402)&lt;&gt;0)),1,0)</f>
        <v>0</v>
      </c>
      <c r="W1602">
        <f>N(W1601)+$V1602</f>
        <v>11</v>
      </c>
      <c r="X1602">
        <f>IF(AND($L1602=1,AND(对接源_02物料!$X402="自备筐",N(对接源_02物料!$T402)&lt;&gt;0)),1,0)</f>
        <v>0</v>
      </c>
      <c r="Y1602">
        <f>N(Y1601)+$X1602</f>
        <v>0</v>
      </c>
      <c r="Z1602">
        <f>IF(AND($M1602=1,对接源_02物料!$D402="原料入库"),1,0)</f>
        <v>0</v>
      </c>
      <c r="AA1602">
        <f>N(AA1601)+$Z1602</f>
        <v>24</v>
      </c>
      <c r="AB1602">
        <f>IF(AND($M1602=1,LEFT(对接源_02物料!$D402,4)="原料出库"),1,0)</f>
        <v>0</v>
      </c>
      <c r="AC1602">
        <f>N(AC1601)+$AB1602</f>
        <v>0</v>
      </c>
      <c r="AD1602">
        <f>IF(AND($M1602=1,LEFT(对接源_02物料!$D402,4)="成品出库"),1,0)</f>
        <v>0</v>
      </c>
      <c r="AE1602">
        <f>N(AE1601)+$AD1602</f>
        <v>0</v>
      </c>
      <c r="AF1602">
        <f>IF(AND($N1602=1,AND(LEFT(对接源_02物料!$D402,4)="包装物料",N(对接源_02物料!$K402)&lt;&gt;0)),1,0)</f>
        <v>0</v>
      </c>
      <c r="AG1602">
        <f>N(AG1601)+$AF1602</f>
        <v>10</v>
      </c>
      <c r="AH1602">
        <f>IF(AND($N1602=1,AND(对接源_02物料!$D402="周转筐－销售出库",N(对接源_02物料!$K402)&lt;&gt;0)),1,0)</f>
        <v>0</v>
      </c>
      <c r="AI1602">
        <f>N(AI1601)+$AH1602</f>
        <v>0</v>
      </c>
      <c r="AL1602" t="n">
        <v>0</v>
      </c>
      <c r="AM1602">
        <f>N(AM1601)+$AL1602</f>
        <v>2</v>
      </c>
      <c r="AN1602">
        <f>""</f>
      </c>
      <c r="AO1602" t="n">
        <v>0</v>
      </c>
      <c r="AP1602">
        <f>N(AP1601)+$AO1602</f>
        <v>13</v>
      </c>
      <c r="AR1602">
        <f>IF(OR($AF1602=1,$AH1602=1),1,0)</f>
        <v>0</v>
      </c>
      <c r="AS1602">
        <f>N(AS1601)+$AR1602</f>
        <v>10</v>
      </c>
    </row>
    <row r="1603" s="127">
      <c r="A1603">
        <f>IF(对接源_02物料!$C403="","",对接源_02物料!$C403)</f>
      </c>
      <c r="B1603">
        <f>IF(A1603="",0,IF(MATCH(A1603,$A$4:$A$2403,0)=ROW()-3,1,0))</f>
        <v>0</v>
      </c>
      <c r="C1603">
        <f>N(C1602)+B1603</f>
        <v>26</v>
      </c>
      <c r="K1603">
        <f>IF(OR($K$1="",对接源_02物料!$C403="",对接源_02物料!$C403&lt;&gt;$K$1,对接源_02物料!$B403=""),0,IF(OR(N(对接源_02物料!$B403)&lt;$K$2,N(对接源_02物料!$B403)&gt;$K$3),0,1))</f>
        <v>0</v>
      </c>
      <c r="L1603">
        <f>IF(OR($L$1="",对接源_02物料!$C403="",对接源_02物料!$C403&lt;&gt;$L$1,对接源_02物料!$B403=""),0,IF(OR(N(对接源_02物料!$B403)&lt;$L$2,N(对接源_02物料!$B403)&gt;$L$3),0,1))</f>
        <v>0</v>
      </c>
      <c r="M1603">
        <f>IF(OR($M$1="",对接源_02物料!$C403="",对接源_02物料!$C403&lt;&gt;$M$1,对接源_02物料!$B403=""),0,IF(OR(N(对接源_02物料!$B403)&lt;$M$2,N(对接源_02物料!$B403)&gt;$M$3),0,1))</f>
        <v>0</v>
      </c>
      <c r="N1603">
        <f>IF(OR($N$1="",对接源_02物料!$C403="",对接源_02物料!$C403&lt;&gt;$N$1,对接源_02物料!$B403=""),0,IF(OR(N(对接源_02物料!$B403)&lt;$N$2,N(对接源_02物料!$B403)&gt;$N$3),0,1))</f>
        <v>0</v>
      </c>
      <c r="P1603">
        <f>IF(AND($K1603=1,AND(对接源_02物料!$X403="公司筐",N(对接源_02物料!$T403)&lt;&gt;0)),1,0)</f>
        <v>0</v>
      </c>
      <c r="Q1603">
        <f>N(Q1602)+$P1603</f>
        <v>14</v>
      </c>
      <c r="R1603">
        <f>IF(AND($K1603=1,AND(对接源_02物料!$X403="公司筐",N(对接源_02物料!$U403)&lt;&gt;0)),1,0)</f>
        <v>0</v>
      </c>
      <c r="S1603">
        <f>N(S1602)+$R1603</f>
        <v>1</v>
      </c>
      <c r="T1603">
        <f>IF(AND($K1603=1,AND(对接源_02物料!$X403="公司筐",N(对接源_02物料!$V403)&lt;&gt;0)),1,0)</f>
        <v>0</v>
      </c>
      <c r="U1603">
        <f>N(U1602)+$T1603</f>
        <v>47</v>
      </c>
      <c r="V1603">
        <f>IF(AND($L1603=1,AND(对接源_02物料!$X403="自备筐",N(对接源_02物料!$V403)&lt;&gt;0)),1,0)</f>
        <v>0</v>
      </c>
      <c r="W1603">
        <f>N(W1602)+$V1603</f>
        <v>11</v>
      </c>
      <c r="X1603">
        <f>IF(AND($L1603=1,AND(对接源_02物料!$X403="自备筐",N(对接源_02物料!$T403)&lt;&gt;0)),1,0)</f>
        <v>0</v>
      </c>
      <c r="Y1603">
        <f>N(Y1602)+$X1603</f>
        <v>0</v>
      </c>
      <c r="Z1603">
        <f>IF(AND($M1603=1,对接源_02物料!$D403="原料入库"),1,0)</f>
        <v>0</v>
      </c>
      <c r="AA1603">
        <f>N(AA1602)+$Z1603</f>
        <v>24</v>
      </c>
      <c r="AB1603">
        <f>IF(AND($M1603=1,LEFT(对接源_02物料!$D403,4)="原料出库"),1,0)</f>
        <v>0</v>
      </c>
      <c r="AC1603">
        <f>N(AC1602)+$AB1603</f>
        <v>0</v>
      </c>
      <c r="AD1603">
        <f>IF(AND($M1603=1,LEFT(对接源_02物料!$D403,4)="成品出库"),1,0)</f>
        <v>0</v>
      </c>
      <c r="AE1603">
        <f>N(AE1602)+$AD1603</f>
        <v>0</v>
      </c>
      <c r="AF1603">
        <f>IF(AND($N1603=1,AND(LEFT(对接源_02物料!$D403,4)="包装物料",N(对接源_02物料!$K403)&lt;&gt;0)),1,0)</f>
        <v>0</v>
      </c>
      <c r="AG1603">
        <f>N(AG1602)+$AF1603</f>
        <v>10</v>
      </c>
      <c r="AH1603">
        <f>IF(AND($N1603=1,AND(对接源_02物料!$D403="周转筐－销售出库",N(对接源_02物料!$K403)&lt;&gt;0)),1,0)</f>
        <v>0</v>
      </c>
      <c r="AI1603">
        <f>N(AI1602)+$AH1603</f>
        <v>0</v>
      </c>
      <c r="AL1603" t="n">
        <v>0</v>
      </c>
      <c r="AM1603">
        <f>N(AM1602)+$AL1603</f>
        <v>2</v>
      </c>
      <c r="AN1603">
        <f>""</f>
      </c>
      <c r="AO1603" t="n">
        <v>0</v>
      </c>
      <c r="AP1603">
        <f>N(AP1602)+$AO1603</f>
        <v>13</v>
      </c>
      <c r="AR1603">
        <f>IF(OR($AF1603=1,$AH1603=1),1,0)</f>
        <v>0</v>
      </c>
      <c r="AS1603">
        <f>N(AS1602)+$AR1603</f>
        <v>10</v>
      </c>
    </row>
    <row r="1604" s="127">
      <c r="A1604">
        <f>IF(对接源_02物料!$C404="","",对接源_02物料!$C404)</f>
      </c>
      <c r="B1604">
        <f>IF(A1604="",0,IF(MATCH(A1604,$A$4:$A$2403,0)=ROW()-3,1,0))</f>
        <v>0</v>
      </c>
      <c r="C1604">
        <f>N(C1603)+B1604</f>
        <v>26</v>
      </c>
      <c r="K1604">
        <f>IF(OR($K$1="",对接源_02物料!$C404="",对接源_02物料!$C404&lt;&gt;$K$1,对接源_02物料!$B404=""),0,IF(OR(N(对接源_02物料!$B404)&lt;$K$2,N(对接源_02物料!$B404)&gt;$K$3),0,1))</f>
        <v>0</v>
      </c>
      <c r="L1604">
        <f>IF(OR($L$1="",对接源_02物料!$C404="",对接源_02物料!$C404&lt;&gt;$L$1,对接源_02物料!$B404=""),0,IF(OR(N(对接源_02物料!$B404)&lt;$L$2,N(对接源_02物料!$B404)&gt;$L$3),0,1))</f>
        <v>0</v>
      </c>
      <c r="M1604">
        <f>IF(OR($M$1="",对接源_02物料!$C404="",对接源_02物料!$C404&lt;&gt;$M$1,对接源_02物料!$B404=""),0,IF(OR(N(对接源_02物料!$B404)&lt;$M$2,N(对接源_02物料!$B404)&gt;$M$3),0,1))</f>
        <v>0</v>
      </c>
      <c r="N1604">
        <f>IF(OR($N$1="",对接源_02物料!$C404="",对接源_02物料!$C404&lt;&gt;$N$1,对接源_02物料!$B404=""),0,IF(OR(N(对接源_02物料!$B404)&lt;$N$2,N(对接源_02物料!$B404)&gt;$N$3),0,1))</f>
        <v>0</v>
      </c>
      <c r="P1604">
        <f>IF(AND($K1604=1,AND(对接源_02物料!$X404="公司筐",N(对接源_02物料!$T404)&lt;&gt;0)),1,0)</f>
        <v>0</v>
      </c>
      <c r="Q1604">
        <f>N(Q1603)+$P1604</f>
        <v>14</v>
      </c>
      <c r="R1604">
        <f>IF(AND($K1604=1,AND(对接源_02物料!$X404="公司筐",N(对接源_02物料!$U404)&lt;&gt;0)),1,0)</f>
        <v>0</v>
      </c>
      <c r="S1604">
        <f>N(S1603)+$R1604</f>
        <v>1</v>
      </c>
      <c r="T1604">
        <f>IF(AND($K1604=1,AND(对接源_02物料!$X404="公司筐",N(对接源_02物料!$V404)&lt;&gt;0)),1,0)</f>
        <v>0</v>
      </c>
      <c r="U1604">
        <f>N(U1603)+$T1604</f>
        <v>47</v>
      </c>
      <c r="V1604">
        <f>IF(AND($L1604=1,AND(对接源_02物料!$X404="自备筐",N(对接源_02物料!$V404)&lt;&gt;0)),1,0)</f>
        <v>0</v>
      </c>
      <c r="W1604">
        <f>N(W1603)+$V1604</f>
        <v>11</v>
      </c>
      <c r="X1604">
        <f>IF(AND($L1604=1,AND(对接源_02物料!$X404="自备筐",N(对接源_02物料!$T404)&lt;&gt;0)),1,0)</f>
        <v>0</v>
      </c>
      <c r="Y1604">
        <f>N(Y1603)+$X1604</f>
        <v>0</v>
      </c>
      <c r="Z1604">
        <f>IF(AND($M1604=1,对接源_02物料!$D404="原料入库"),1,0)</f>
        <v>0</v>
      </c>
      <c r="AA1604">
        <f>N(AA1603)+$Z1604</f>
        <v>24</v>
      </c>
      <c r="AB1604">
        <f>IF(AND($M1604=1,LEFT(对接源_02物料!$D404,4)="原料出库"),1,0)</f>
        <v>0</v>
      </c>
      <c r="AC1604">
        <f>N(AC1603)+$AB1604</f>
        <v>0</v>
      </c>
      <c r="AD1604">
        <f>IF(AND($M1604=1,LEFT(对接源_02物料!$D404,4)="成品出库"),1,0)</f>
        <v>0</v>
      </c>
      <c r="AE1604">
        <f>N(AE1603)+$AD1604</f>
        <v>0</v>
      </c>
      <c r="AF1604">
        <f>IF(AND($N1604=1,AND(LEFT(对接源_02物料!$D404,4)="包装物料",N(对接源_02物料!$K404)&lt;&gt;0)),1,0)</f>
        <v>0</v>
      </c>
      <c r="AG1604">
        <f>N(AG1603)+$AF1604</f>
        <v>10</v>
      </c>
      <c r="AH1604">
        <f>IF(AND($N1604=1,AND(对接源_02物料!$D404="周转筐－销售出库",N(对接源_02物料!$K404)&lt;&gt;0)),1,0)</f>
        <v>0</v>
      </c>
      <c r="AI1604">
        <f>N(AI1603)+$AH1604</f>
        <v>0</v>
      </c>
      <c r="AL1604" t="n">
        <v>0</v>
      </c>
      <c r="AM1604">
        <f>N(AM1603)+$AL1604</f>
        <v>2</v>
      </c>
      <c r="AN1604">
        <f>""</f>
      </c>
      <c r="AO1604" t="n">
        <v>0</v>
      </c>
      <c r="AP1604">
        <f>N(AP1603)+$AO1604</f>
        <v>13</v>
      </c>
      <c r="AR1604">
        <f>IF(OR($AF1604=1,$AH1604=1),1,0)</f>
        <v>0</v>
      </c>
      <c r="AS1604">
        <f>N(AS1603)+$AR1604</f>
        <v>10</v>
      </c>
    </row>
    <row r="1605" s="127">
      <c r="A1605">
        <f>IF(对接源_02物料!$C405="","",对接源_02物料!$C405)</f>
      </c>
      <c r="B1605">
        <f>IF(A1605="",0,IF(MATCH(A1605,$A$4:$A$2403,0)=ROW()-3,1,0))</f>
        <v>0</v>
      </c>
      <c r="C1605">
        <f>N(C1604)+B1605</f>
        <v>26</v>
      </c>
      <c r="K1605">
        <f>IF(OR($K$1="",对接源_02物料!$C405="",对接源_02物料!$C405&lt;&gt;$K$1,对接源_02物料!$B405=""),0,IF(OR(N(对接源_02物料!$B405)&lt;$K$2,N(对接源_02物料!$B405)&gt;$K$3),0,1))</f>
        <v>0</v>
      </c>
      <c r="L1605">
        <f>IF(OR($L$1="",对接源_02物料!$C405="",对接源_02物料!$C405&lt;&gt;$L$1,对接源_02物料!$B405=""),0,IF(OR(N(对接源_02物料!$B405)&lt;$L$2,N(对接源_02物料!$B405)&gt;$L$3),0,1))</f>
        <v>0</v>
      </c>
      <c r="M1605">
        <f>IF(OR($M$1="",对接源_02物料!$C405="",对接源_02物料!$C405&lt;&gt;$M$1,对接源_02物料!$B405=""),0,IF(OR(N(对接源_02物料!$B405)&lt;$M$2,N(对接源_02物料!$B405)&gt;$M$3),0,1))</f>
        <v>0</v>
      </c>
      <c r="N1605">
        <f>IF(OR($N$1="",对接源_02物料!$C405="",对接源_02物料!$C405&lt;&gt;$N$1,对接源_02物料!$B405=""),0,IF(OR(N(对接源_02物料!$B405)&lt;$N$2,N(对接源_02物料!$B405)&gt;$N$3),0,1))</f>
        <v>0</v>
      </c>
      <c r="P1605">
        <f>IF(AND($K1605=1,AND(对接源_02物料!$X405="公司筐",N(对接源_02物料!$T405)&lt;&gt;0)),1,0)</f>
        <v>0</v>
      </c>
      <c r="Q1605">
        <f>N(Q1604)+$P1605</f>
        <v>14</v>
      </c>
      <c r="R1605">
        <f>IF(AND($K1605=1,AND(对接源_02物料!$X405="公司筐",N(对接源_02物料!$U405)&lt;&gt;0)),1,0)</f>
        <v>0</v>
      </c>
      <c r="S1605">
        <f>N(S1604)+$R1605</f>
        <v>1</v>
      </c>
      <c r="T1605">
        <f>IF(AND($K1605=1,AND(对接源_02物料!$X405="公司筐",N(对接源_02物料!$V405)&lt;&gt;0)),1,0)</f>
        <v>0</v>
      </c>
      <c r="U1605">
        <f>N(U1604)+$T1605</f>
        <v>47</v>
      </c>
      <c r="V1605">
        <f>IF(AND($L1605=1,AND(对接源_02物料!$X405="自备筐",N(对接源_02物料!$V405)&lt;&gt;0)),1,0)</f>
        <v>0</v>
      </c>
      <c r="W1605">
        <f>N(W1604)+$V1605</f>
        <v>11</v>
      </c>
      <c r="X1605">
        <f>IF(AND($L1605=1,AND(对接源_02物料!$X405="自备筐",N(对接源_02物料!$T405)&lt;&gt;0)),1,0)</f>
        <v>0</v>
      </c>
      <c r="Y1605">
        <f>N(Y1604)+$X1605</f>
        <v>0</v>
      </c>
      <c r="Z1605">
        <f>IF(AND($M1605=1,对接源_02物料!$D405="原料入库"),1,0)</f>
        <v>0</v>
      </c>
      <c r="AA1605">
        <f>N(AA1604)+$Z1605</f>
        <v>24</v>
      </c>
      <c r="AB1605">
        <f>IF(AND($M1605=1,LEFT(对接源_02物料!$D405,4)="原料出库"),1,0)</f>
        <v>0</v>
      </c>
      <c r="AC1605">
        <f>N(AC1604)+$AB1605</f>
        <v>0</v>
      </c>
      <c r="AD1605">
        <f>IF(AND($M1605=1,LEFT(对接源_02物料!$D405,4)="成品出库"),1,0)</f>
        <v>0</v>
      </c>
      <c r="AE1605">
        <f>N(AE1604)+$AD1605</f>
        <v>0</v>
      </c>
      <c r="AF1605">
        <f>IF(AND($N1605=1,AND(LEFT(对接源_02物料!$D405,4)="包装物料",N(对接源_02物料!$K405)&lt;&gt;0)),1,0)</f>
        <v>0</v>
      </c>
      <c r="AG1605">
        <f>N(AG1604)+$AF1605</f>
        <v>10</v>
      </c>
      <c r="AH1605">
        <f>IF(AND($N1605=1,AND(对接源_02物料!$D405="周转筐－销售出库",N(对接源_02物料!$K405)&lt;&gt;0)),1,0)</f>
        <v>0</v>
      </c>
      <c r="AI1605">
        <f>N(AI1604)+$AH1605</f>
        <v>0</v>
      </c>
      <c r="AL1605" t="n">
        <v>0</v>
      </c>
      <c r="AM1605">
        <f>N(AM1604)+$AL1605</f>
        <v>2</v>
      </c>
      <c r="AN1605">
        <f>""</f>
      </c>
      <c r="AO1605" t="n">
        <v>0</v>
      </c>
      <c r="AP1605">
        <f>N(AP1604)+$AO1605</f>
        <v>13</v>
      </c>
      <c r="AR1605">
        <f>IF(OR($AF1605=1,$AH1605=1),1,0)</f>
        <v>0</v>
      </c>
      <c r="AS1605">
        <f>N(AS1604)+$AR1605</f>
        <v>10</v>
      </c>
    </row>
    <row r="1606" s="127">
      <c r="A1606">
        <f>IF(对接源_02物料!$C406="","",对接源_02物料!$C406)</f>
      </c>
      <c r="B1606">
        <f>IF(A1606="",0,IF(MATCH(A1606,$A$4:$A$2403,0)=ROW()-3,1,0))</f>
        <v>0</v>
      </c>
      <c r="C1606">
        <f>N(C1605)+B1606</f>
        <v>26</v>
      </c>
      <c r="K1606">
        <f>IF(OR($K$1="",对接源_02物料!$C406="",对接源_02物料!$C406&lt;&gt;$K$1,对接源_02物料!$B406=""),0,IF(OR(N(对接源_02物料!$B406)&lt;$K$2,N(对接源_02物料!$B406)&gt;$K$3),0,1))</f>
        <v>0</v>
      </c>
      <c r="L1606">
        <f>IF(OR($L$1="",对接源_02物料!$C406="",对接源_02物料!$C406&lt;&gt;$L$1,对接源_02物料!$B406=""),0,IF(OR(N(对接源_02物料!$B406)&lt;$L$2,N(对接源_02物料!$B406)&gt;$L$3),0,1))</f>
        <v>0</v>
      </c>
      <c r="M1606">
        <f>IF(OR($M$1="",对接源_02物料!$C406="",对接源_02物料!$C406&lt;&gt;$M$1,对接源_02物料!$B406=""),0,IF(OR(N(对接源_02物料!$B406)&lt;$M$2,N(对接源_02物料!$B406)&gt;$M$3),0,1))</f>
        <v>0</v>
      </c>
      <c r="N1606">
        <f>IF(OR($N$1="",对接源_02物料!$C406="",对接源_02物料!$C406&lt;&gt;$N$1,对接源_02物料!$B406=""),0,IF(OR(N(对接源_02物料!$B406)&lt;$N$2,N(对接源_02物料!$B406)&gt;$N$3),0,1))</f>
        <v>0</v>
      </c>
      <c r="P1606">
        <f>IF(AND($K1606=1,AND(对接源_02物料!$X406="公司筐",N(对接源_02物料!$T406)&lt;&gt;0)),1,0)</f>
        <v>0</v>
      </c>
      <c r="Q1606">
        <f>N(Q1605)+$P1606</f>
        <v>14</v>
      </c>
      <c r="R1606">
        <f>IF(AND($K1606=1,AND(对接源_02物料!$X406="公司筐",N(对接源_02物料!$U406)&lt;&gt;0)),1,0)</f>
        <v>0</v>
      </c>
      <c r="S1606">
        <f>N(S1605)+$R1606</f>
        <v>1</v>
      </c>
      <c r="T1606">
        <f>IF(AND($K1606=1,AND(对接源_02物料!$X406="公司筐",N(对接源_02物料!$V406)&lt;&gt;0)),1,0)</f>
        <v>0</v>
      </c>
      <c r="U1606">
        <f>N(U1605)+$T1606</f>
        <v>47</v>
      </c>
      <c r="V1606">
        <f>IF(AND($L1606=1,AND(对接源_02物料!$X406="自备筐",N(对接源_02物料!$V406)&lt;&gt;0)),1,0)</f>
        <v>0</v>
      </c>
      <c r="W1606">
        <f>N(W1605)+$V1606</f>
        <v>11</v>
      </c>
      <c r="X1606">
        <f>IF(AND($L1606=1,AND(对接源_02物料!$X406="自备筐",N(对接源_02物料!$T406)&lt;&gt;0)),1,0)</f>
        <v>0</v>
      </c>
      <c r="Y1606">
        <f>N(Y1605)+$X1606</f>
        <v>0</v>
      </c>
      <c r="Z1606">
        <f>IF(AND($M1606=1,对接源_02物料!$D406="原料入库"),1,0)</f>
        <v>0</v>
      </c>
      <c r="AA1606">
        <f>N(AA1605)+$Z1606</f>
        <v>24</v>
      </c>
      <c r="AB1606">
        <f>IF(AND($M1606=1,LEFT(对接源_02物料!$D406,4)="原料出库"),1,0)</f>
        <v>0</v>
      </c>
      <c r="AC1606">
        <f>N(AC1605)+$AB1606</f>
        <v>0</v>
      </c>
      <c r="AD1606">
        <f>IF(AND($M1606=1,LEFT(对接源_02物料!$D406,4)="成品出库"),1,0)</f>
        <v>0</v>
      </c>
      <c r="AE1606">
        <f>N(AE1605)+$AD1606</f>
        <v>0</v>
      </c>
      <c r="AF1606">
        <f>IF(AND($N1606=1,AND(LEFT(对接源_02物料!$D406,4)="包装物料",N(对接源_02物料!$K406)&lt;&gt;0)),1,0)</f>
        <v>0</v>
      </c>
      <c r="AG1606">
        <f>N(AG1605)+$AF1606</f>
        <v>10</v>
      </c>
      <c r="AH1606">
        <f>IF(AND($N1606=1,AND(对接源_02物料!$D406="周转筐－销售出库",N(对接源_02物料!$K406)&lt;&gt;0)),1,0)</f>
        <v>0</v>
      </c>
      <c r="AI1606">
        <f>N(AI1605)+$AH1606</f>
        <v>0</v>
      </c>
      <c r="AL1606" t="n">
        <v>0</v>
      </c>
      <c r="AM1606">
        <f>N(AM1605)+$AL1606</f>
        <v>2</v>
      </c>
      <c r="AN1606">
        <f>""</f>
      </c>
      <c r="AO1606" t="n">
        <v>0</v>
      </c>
      <c r="AP1606">
        <f>N(AP1605)+$AO1606</f>
        <v>13</v>
      </c>
      <c r="AR1606">
        <f>IF(OR($AF1606=1,$AH1606=1),1,0)</f>
        <v>0</v>
      </c>
      <c r="AS1606">
        <f>N(AS1605)+$AR1606</f>
        <v>10</v>
      </c>
    </row>
    <row r="1607" s="127">
      <c r="A1607">
        <f>IF(对接源_02物料!$C407="","",对接源_02物料!$C407)</f>
      </c>
      <c r="B1607">
        <f>IF(A1607="",0,IF(MATCH(A1607,$A$4:$A$2403,0)=ROW()-3,1,0))</f>
        <v>0</v>
      </c>
      <c r="C1607">
        <f>N(C1606)+B1607</f>
        <v>26</v>
      </c>
      <c r="K1607">
        <f>IF(OR($K$1="",对接源_02物料!$C407="",对接源_02物料!$C407&lt;&gt;$K$1,对接源_02物料!$B407=""),0,IF(OR(N(对接源_02物料!$B407)&lt;$K$2,N(对接源_02物料!$B407)&gt;$K$3),0,1))</f>
        <v>0</v>
      </c>
      <c r="L1607">
        <f>IF(OR($L$1="",对接源_02物料!$C407="",对接源_02物料!$C407&lt;&gt;$L$1,对接源_02物料!$B407=""),0,IF(OR(N(对接源_02物料!$B407)&lt;$L$2,N(对接源_02物料!$B407)&gt;$L$3),0,1))</f>
        <v>0</v>
      </c>
      <c r="M1607">
        <f>IF(OR($M$1="",对接源_02物料!$C407="",对接源_02物料!$C407&lt;&gt;$M$1,对接源_02物料!$B407=""),0,IF(OR(N(对接源_02物料!$B407)&lt;$M$2,N(对接源_02物料!$B407)&gt;$M$3),0,1))</f>
        <v>0</v>
      </c>
      <c r="N1607">
        <f>IF(OR($N$1="",对接源_02物料!$C407="",对接源_02物料!$C407&lt;&gt;$N$1,对接源_02物料!$B407=""),0,IF(OR(N(对接源_02物料!$B407)&lt;$N$2,N(对接源_02物料!$B407)&gt;$N$3),0,1))</f>
        <v>0</v>
      </c>
      <c r="P1607">
        <f>IF(AND($K1607=1,AND(对接源_02物料!$X407="公司筐",N(对接源_02物料!$T407)&lt;&gt;0)),1,0)</f>
        <v>0</v>
      </c>
      <c r="Q1607">
        <f>N(Q1606)+$P1607</f>
        <v>14</v>
      </c>
      <c r="R1607">
        <f>IF(AND($K1607=1,AND(对接源_02物料!$X407="公司筐",N(对接源_02物料!$U407)&lt;&gt;0)),1,0)</f>
        <v>0</v>
      </c>
      <c r="S1607">
        <f>N(S1606)+$R1607</f>
        <v>1</v>
      </c>
      <c r="T1607">
        <f>IF(AND($K1607=1,AND(对接源_02物料!$X407="公司筐",N(对接源_02物料!$V407)&lt;&gt;0)),1,0)</f>
        <v>0</v>
      </c>
      <c r="U1607">
        <f>N(U1606)+$T1607</f>
        <v>47</v>
      </c>
      <c r="V1607">
        <f>IF(AND($L1607=1,AND(对接源_02物料!$X407="自备筐",N(对接源_02物料!$V407)&lt;&gt;0)),1,0)</f>
        <v>0</v>
      </c>
      <c r="W1607">
        <f>N(W1606)+$V1607</f>
        <v>11</v>
      </c>
      <c r="X1607">
        <f>IF(AND($L1607=1,AND(对接源_02物料!$X407="自备筐",N(对接源_02物料!$T407)&lt;&gt;0)),1,0)</f>
        <v>0</v>
      </c>
      <c r="Y1607">
        <f>N(Y1606)+$X1607</f>
        <v>0</v>
      </c>
      <c r="Z1607">
        <f>IF(AND($M1607=1,对接源_02物料!$D407="原料入库"),1,0)</f>
        <v>0</v>
      </c>
      <c r="AA1607">
        <f>N(AA1606)+$Z1607</f>
        <v>24</v>
      </c>
      <c r="AB1607">
        <f>IF(AND($M1607=1,LEFT(对接源_02物料!$D407,4)="原料出库"),1,0)</f>
        <v>0</v>
      </c>
      <c r="AC1607">
        <f>N(AC1606)+$AB1607</f>
        <v>0</v>
      </c>
      <c r="AD1607">
        <f>IF(AND($M1607=1,LEFT(对接源_02物料!$D407,4)="成品出库"),1,0)</f>
        <v>0</v>
      </c>
      <c r="AE1607">
        <f>N(AE1606)+$AD1607</f>
        <v>0</v>
      </c>
      <c r="AF1607">
        <f>IF(AND($N1607=1,AND(LEFT(对接源_02物料!$D407,4)="包装物料",N(对接源_02物料!$K407)&lt;&gt;0)),1,0)</f>
        <v>0</v>
      </c>
      <c r="AG1607">
        <f>N(AG1606)+$AF1607</f>
        <v>10</v>
      </c>
      <c r="AH1607">
        <f>IF(AND($N1607=1,AND(对接源_02物料!$D407="周转筐－销售出库",N(对接源_02物料!$K407)&lt;&gt;0)),1,0)</f>
        <v>0</v>
      </c>
      <c r="AI1607">
        <f>N(AI1606)+$AH1607</f>
        <v>0</v>
      </c>
      <c r="AL1607" t="n">
        <v>0</v>
      </c>
      <c r="AM1607">
        <f>N(AM1606)+$AL1607</f>
        <v>2</v>
      </c>
      <c r="AN1607">
        <f>""</f>
      </c>
      <c r="AO1607" t="n">
        <v>0</v>
      </c>
      <c r="AP1607">
        <f>N(AP1606)+$AO1607</f>
        <v>13</v>
      </c>
      <c r="AR1607">
        <f>IF(OR($AF1607=1,$AH1607=1),1,0)</f>
        <v>0</v>
      </c>
      <c r="AS1607">
        <f>N(AS1606)+$AR1607</f>
        <v>10</v>
      </c>
    </row>
    <row r="1608" s="127">
      <c r="A1608">
        <f>IF(对接源_02物料!$C408="","",对接源_02物料!$C408)</f>
      </c>
      <c r="B1608">
        <f>IF(A1608="",0,IF(MATCH(A1608,$A$4:$A$2403,0)=ROW()-3,1,0))</f>
        <v>0</v>
      </c>
      <c r="C1608">
        <f>N(C1607)+B1608</f>
        <v>26</v>
      </c>
      <c r="K1608">
        <f>IF(OR($K$1="",对接源_02物料!$C408="",对接源_02物料!$C408&lt;&gt;$K$1,对接源_02物料!$B408=""),0,IF(OR(N(对接源_02物料!$B408)&lt;$K$2,N(对接源_02物料!$B408)&gt;$K$3),0,1))</f>
        <v>0</v>
      </c>
      <c r="L1608">
        <f>IF(OR($L$1="",对接源_02物料!$C408="",对接源_02物料!$C408&lt;&gt;$L$1,对接源_02物料!$B408=""),0,IF(OR(N(对接源_02物料!$B408)&lt;$L$2,N(对接源_02物料!$B408)&gt;$L$3),0,1))</f>
        <v>0</v>
      </c>
      <c r="M1608">
        <f>IF(OR($M$1="",对接源_02物料!$C408="",对接源_02物料!$C408&lt;&gt;$M$1,对接源_02物料!$B408=""),0,IF(OR(N(对接源_02物料!$B408)&lt;$M$2,N(对接源_02物料!$B408)&gt;$M$3),0,1))</f>
        <v>0</v>
      </c>
      <c r="N1608">
        <f>IF(OR($N$1="",对接源_02物料!$C408="",对接源_02物料!$C408&lt;&gt;$N$1,对接源_02物料!$B408=""),0,IF(OR(N(对接源_02物料!$B408)&lt;$N$2,N(对接源_02物料!$B408)&gt;$N$3),0,1))</f>
        <v>0</v>
      </c>
      <c r="P1608">
        <f>IF(AND($K1608=1,AND(对接源_02物料!$X408="公司筐",N(对接源_02物料!$T408)&lt;&gt;0)),1,0)</f>
        <v>0</v>
      </c>
      <c r="Q1608">
        <f>N(Q1607)+$P1608</f>
        <v>14</v>
      </c>
      <c r="R1608">
        <f>IF(AND($K1608=1,AND(对接源_02物料!$X408="公司筐",N(对接源_02物料!$U408)&lt;&gt;0)),1,0)</f>
        <v>0</v>
      </c>
      <c r="S1608">
        <f>N(S1607)+$R1608</f>
        <v>1</v>
      </c>
      <c r="T1608">
        <f>IF(AND($K1608=1,AND(对接源_02物料!$X408="公司筐",N(对接源_02物料!$V408)&lt;&gt;0)),1,0)</f>
        <v>0</v>
      </c>
      <c r="U1608">
        <f>N(U1607)+$T1608</f>
        <v>47</v>
      </c>
      <c r="V1608">
        <f>IF(AND($L1608=1,AND(对接源_02物料!$X408="自备筐",N(对接源_02物料!$V408)&lt;&gt;0)),1,0)</f>
        <v>0</v>
      </c>
      <c r="W1608">
        <f>N(W1607)+$V1608</f>
        <v>11</v>
      </c>
      <c r="X1608">
        <f>IF(AND($L1608=1,AND(对接源_02物料!$X408="自备筐",N(对接源_02物料!$T408)&lt;&gt;0)),1,0)</f>
        <v>0</v>
      </c>
      <c r="Y1608">
        <f>N(Y1607)+$X1608</f>
        <v>0</v>
      </c>
      <c r="Z1608">
        <f>IF(AND($M1608=1,对接源_02物料!$D408="原料入库"),1,0)</f>
        <v>0</v>
      </c>
      <c r="AA1608">
        <f>N(AA1607)+$Z1608</f>
        <v>24</v>
      </c>
      <c r="AB1608">
        <f>IF(AND($M1608=1,LEFT(对接源_02物料!$D408,4)="原料出库"),1,0)</f>
        <v>0</v>
      </c>
      <c r="AC1608">
        <f>N(AC1607)+$AB1608</f>
        <v>0</v>
      </c>
      <c r="AD1608">
        <f>IF(AND($M1608=1,LEFT(对接源_02物料!$D408,4)="成品出库"),1,0)</f>
        <v>0</v>
      </c>
      <c r="AE1608">
        <f>N(AE1607)+$AD1608</f>
        <v>0</v>
      </c>
      <c r="AF1608">
        <f>IF(AND($N1608=1,AND(LEFT(对接源_02物料!$D408,4)="包装物料",N(对接源_02物料!$K408)&lt;&gt;0)),1,0)</f>
        <v>0</v>
      </c>
      <c r="AG1608">
        <f>N(AG1607)+$AF1608</f>
        <v>10</v>
      </c>
      <c r="AH1608">
        <f>IF(AND($N1608=1,AND(对接源_02物料!$D408="周转筐－销售出库",N(对接源_02物料!$K408)&lt;&gt;0)),1,0)</f>
        <v>0</v>
      </c>
      <c r="AI1608">
        <f>N(AI1607)+$AH1608</f>
        <v>0</v>
      </c>
      <c r="AL1608" t="n">
        <v>0</v>
      </c>
      <c r="AM1608">
        <f>N(AM1607)+$AL1608</f>
        <v>2</v>
      </c>
      <c r="AN1608">
        <f>""</f>
      </c>
      <c r="AO1608" t="n">
        <v>0</v>
      </c>
      <c r="AP1608">
        <f>N(AP1607)+$AO1608</f>
        <v>13</v>
      </c>
      <c r="AR1608">
        <f>IF(OR($AF1608=1,$AH1608=1),1,0)</f>
        <v>0</v>
      </c>
      <c r="AS1608">
        <f>N(AS1607)+$AR1608</f>
        <v>10</v>
      </c>
    </row>
    <row r="1609" s="127">
      <c r="A1609">
        <f>IF(对接源_02物料!$C409="","",对接源_02物料!$C409)</f>
      </c>
      <c r="B1609">
        <f>IF(A1609="",0,IF(MATCH(A1609,$A$4:$A$2403,0)=ROW()-3,1,0))</f>
        <v>0</v>
      </c>
      <c r="C1609">
        <f>N(C1608)+B1609</f>
        <v>26</v>
      </c>
      <c r="K1609">
        <f>IF(OR($K$1="",对接源_02物料!$C409="",对接源_02物料!$C409&lt;&gt;$K$1,对接源_02物料!$B409=""),0,IF(OR(N(对接源_02物料!$B409)&lt;$K$2,N(对接源_02物料!$B409)&gt;$K$3),0,1))</f>
        <v>0</v>
      </c>
      <c r="L1609">
        <f>IF(OR($L$1="",对接源_02物料!$C409="",对接源_02物料!$C409&lt;&gt;$L$1,对接源_02物料!$B409=""),0,IF(OR(N(对接源_02物料!$B409)&lt;$L$2,N(对接源_02物料!$B409)&gt;$L$3),0,1))</f>
        <v>0</v>
      </c>
      <c r="M1609">
        <f>IF(OR($M$1="",对接源_02物料!$C409="",对接源_02物料!$C409&lt;&gt;$M$1,对接源_02物料!$B409=""),0,IF(OR(N(对接源_02物料!$B409)&lt;$M$2,N(对接源_02物料!$B409)&gt;$M$3),0,1))</f>
        <v>0</v>
      </c>
      <c r="N1609">
        <f>IF(OR($N$1="",对接源_02物料!$C409="",对接源_02物料!$C409&lt;&gt;$N$1,对接源_02物料!$B409=""),0,IF(OR(N(对接源_02物料!$B409)&lt;$N$2,N(对接源_02物料!$B409)&gt;$N$3),0,1))</f>
        <v>0</v>
      </c>
      <c r="P1609">
        <f>IF(AND($K1609=1,AND(对接源_02物料!$X409="公司筐",N(对接源_02物料!$T409)&lt;&gt;0)),1,0)</f>
        <v>0</v>
      </c>
      <c r="Q1609">
        <f>N(Q1608)+$P1609</f>
        <v>14</v>
      </c>
      <c r="R1609">
        <f>IF(AND($K1609=1,AND(对接源_02物料!$X409="公司筐",N(对接源_02物料!$U409)&lt;&gt;0)),1,0)</f>
        <v>0</v>
      </c>
      <c r="S1609">
        <f>N(S1608)+$R1609</f>
        <v>1</v>
      </c>
      <c r="T1609">
        <f>IF(AND($K1609=1,AND(对接源_02物料!$X409="公司筐",N(对接源_02物料!$V409)&lt;&gt;0)),1,0)</f>
        <v>0</v>
      </c>
      <c r="U1609">
        <f>N(U1608)+$T1609</f>
        <v>47</v>
      </c>
      <c r="V1609">
        <f>IF(AND($L1609=1,AND(对接源_02物料!$X409="自备筐",N(对接源_02物料!$V409)&lt;&gt;0)),1,0)</f>
        <v>0</v>
      </c>
      <c r="W1609">
        <f>N(W1608)+$V1609</f>
        <v>11</v>
      </c>
      <c r="X1609">
        <f>IF(AND($L1609=1,AND(对接源_02物料!$X409="自备筐",N(对接源_02物料!$T409)&lt;&gt;0)),1,0)</f>
        <v>0</v>
      </c>
      <c r="Y1609">
        <f>N(Y1608)+$X1609</f>
        <v>0</v>
      </c>
      <c r="Z1609">
        <f>IF(AND($M1609=1,对接源_02物料!$D409="原料入库"),1,0)</f>
        <v>0</v>
      </c>
      <c r="AA1609">
        <f>N(AA1608)+$Z1609</f>
        <v>24</v>
      </c>
      <c r="AB1609">
        <f>IF(AND($M1609=1,LEFT(对接源_02物料!$D409,4)="原料出库"),1,0)</f>
        <v>0</v>
      </c>
      <c r="AC1609">
        <f>N(AC1608)+$AB1609</f>
        <v>0</v>
      </c>
      <c r="AD1609">
        <f>IF(AND($M1609=1,LEFT(对接源_02物料!$D409,4)="成品出库"),1,0)</f>
        <v>0</v>
      </c>
      <c r="AE1609">
        <f>N(AE1608)+$AD1609</f>
        <v>0</v>
      </c>
      <c r="AF1609">
        <f>IF(AND($N1609=1,AND(LEFT(对接源_02物料!$D409,4)="包装物料",N(对接源_02物料!$K409)&lt;&gt;0)),1,0)</f>
        <v>0</v>
      </c>
      <c r="AG1609">
        <f>N(AG1608)+$AF1609</f>
        <v>10</v>
      </c>
      <c r="AH1609">
        <f>IF(AND($N1609=1,AND(对接源_02物料!$D409="周转筐－销售出库",N(对接源_02物料!$K409)&lt;&gt;0)),1,0)</f>
        <v>0</v>
      </c>
      <c r="AI1609">
        <f>N(AI1608)+$AH1609</f>
        <v>0</v>
      </c>
      <c r="AL1609" t="n">
        <v>0</v>
      </c>
      <c r="AM1609">
        <f>N(AM1608)+$AL1609</f>
        <v>2</v>
      </c>
      <c r="AN1609">
        <f>""</f>
      </c>
      <c r="AO1609" t="n">
        <v>0</v>
      </c>
      <c r="AP1609">
        <f>N(AP1608)+$AO1609</f>
        <v>13</v>
      </c>
      <c r="AR1609">
        <f>IF(OR($AF1609=1,$AH1609=1),1,0)</f>
        <v>0</v>
      </c>
      <c r="AS1609">
        <f>N(AS1608)+$AR1609</f>
        <v>10</v>
      </c>
    </row>
    <row r="1610" s="127">
      <c r="A1610">
        <f>IF(对接源_02物料!$C410="","",对接源_02物料!$C410)</f>
      </c>
      <c r="B1610">
        <f>IF(A1610="",0,IF(MATCH(A1610,$A$4:$A$2403,0)=ROW()-3,1,0))</f>
        <v>0</v>
      </c>
      <c r="C1610">
        <f>N(C1609)+B1610</f>
        <v>26</v>
      </c>
      <c r="K1610">
        <f>IF(OR($K$1="",对接源_02物料!$C410="",对接源_02物料!$C410&lt;&gt;$K$1,对接源_02物料!$B410=""),0,IF(OR(N(对接源_02物料!$B410)&lt;$K$2,N(对接源_02物料!$B410)&gt;$K$3),0,1))</f>
        <v>0</v>
      </c>
      <c r="L1610">
        <f>IF(OR($L$1="",对接源_02物料!$C410="",对接源_02物料!$C410&lt;&gt;$L$1,对接源_02物料!$B410=""),0,IF(OR(N(对接源_02物料!$B410)&lt;$L$2,N(对接源_02物料!$B410)&gt;$L$3),0,1))</f>
        <v>0</v>
      </c>
      <c r="M1610">
        <f>IF(OR($M$1="",对接源_02物料!$C410="",对接源_02物料!$C410&lt;&gt;$M$1,对接源_02物料!$B410=""),0,IF(OR(N(对接源_02物料!$B410)&lt;$M$2,N(对接源_02物料!$B410)&gt;$M$3),0,1))</f>
        <v>0</v>
      </c>
      <c r="N1610">
        <f>IF(OR($N$1="",对接源_02物料!$C410="",对接源_02物料!$C410&lt;&gt;$N$1,对接源_02物料!$B410=""),0,IF(OR(N(对接源_02物料!$B410)&lt;$N$2,N(对接源_02物料!$B410)&gt;$N$3),0,1))</f>
        <v>0</v>
      </c>
      <c r="P1610">
        <f>IF(AND($K1610=1,AND(对接源_02物料!$X410="公司筐",N(对接源_02物料!$T410)&lt;&gt;0)),1,0)</f>
        <v>0</v>
      </c>
      <c r="Q1610">
        <f>N(Q1609)+$P1610</f>
        <v>14</v>
      </c>
      <c r="R1610">
        <f>IF(AND($K1610=1,AND(对接源_02物料!$X410="公司筐",N(对接源_02物料!$U410)&lt;&gt;0)),1,0)</f>
        <v>0</v>
      </c>
      <c r="S1610">
        <f>N(S1609)+$R1610</f>
        <v>1</v>
      </c>
      <c r="T1610">
        <f>IF(AND($K1610=1,AND(对接源_02物料!$X410="公司筐",N(对接源_02物料!$V410)&lt;&gt;0)),1,0)</f>
        <v>0</v>
      </c>
      <c r="U1610">
        <f>N(U1609)+$T1610</f>
        <v>47</v>
      </c>
      <c r="V1610">
        <f>IF(AND($L1610=1,AND(对接源_02物料!$X410="自备筐",N(对接源_02物料!$V410)&lt;&gt;0)),1,0)</f>
        <v>0</v>
      </c>
      <c r="W1610">
        <f>N(W1609)+$V1610</f>
        <v>11</v>
      </c>
      <c r="X1610">
        <f>IF(AND($L1610=1,AND(对接源_02物料!$X410="自备筐",N(对接源_02物料!$T410)&lt;&gt;0)),1,0)</f>
        <v>0</v>
      </c>
      <c r="Y1610">
        <f>N(Y1609)+$X1610</f>
        <v>0</v>
      </c>
      <c r="Z1610">
        <f>IF(AND($M1610=1,对接源_02物料!$D410="原料入库"),1,0)</f>
        <v>0</v>
      </c>
      <c r="AA1610">
        <f>N(AA1609)+$Z1610</f>
        <v>24</v>
      </c>
      <c r="AB1610">
        <f>IF(AND($M1610=1,LEFT(对接源_02物料!$D410,4)="原料出库"),1,0)</f>
        <v>0</v>
      </c>
      <c r="AC1610">
        <f>N(AC1609)+$AB1610</f>
        <v>0</v>
      </c>
      <c r="AD1610">
        <f>IF(AND($M1610=1,LEFT(对接源_02物料!$D410,4)="成品出库"),1,0)</f>
        <v>0</v>
      </c>
      <c r="AE1610">
        <f>N(AE1609)+$AD1610</f>
        <v>0</v>
      </c>
      <c r="AF1610">
        <f>IF(AND($N1610=1,AND(LEFT(对接源_02物料!$D410,4)="包装物料",N(对接源_02物料!$K410)&lt;&gt;0)),1,0)</f>
        <v>0</v>
      </c>
      <c r="AG1610">
        <f>N(AG1609)+$AF1610</f>
        <v>10</v>
      </c>
      <c r="AH1610">
        <f>IF(AND($N1610=1,AND(对接源_02物料!$D410="周转筐－销售出库",N(对接源_02物料!$K410)&lt;&gt;0)),1,0)</f>
        <v>0</v>
      </c>
      <c r="AI1610">
        <f>N(AI1609)+$AH1610</f>
        <v>0</v>
      </c>
      <c r="AL1610" t="n">
        <v>0</v>
      </c>
      <c r="AM1610">
        <f>N(AM1609)+$AL1610</f>
        <v>2</v>
      </c>
      <c r="AN1610">
        <f>""</f>
      </c>
      <c r="AO1610" t="n">
        <v>0</v>
      </c>
      <c r="AP1610">
        <f>N(AP1609)+$AO1610</f>
        <v>13</v>
      </c>
      <c r="AR1610">
        <f>IF(OR($AF1610=1,$AH1610=1),1,0)</f>
        <v>0</v>
      </c>
      <c r="AS1610">
        <f>N(AS1609)+$AR1610</f>
        <v>10</v>
      </c>
    </row>
    <row r="1611" s="127">
      <c r="A1611">
        <f>IF(对接源_02物料!$C411="","",对接源_02物料!$C411)</f>
      </c>
      <c r="B1611">
        <f>IF(A1611="",0,IF(MATCH(A1611,$A$4:$A$2403,0)=ROW()-3,1,0))</f>
        <v>0</v>
      </c>
      <c r="C1611">
        <f>N(C1610)+B1611</f>
        <v>26</v>
      </c>
      <c r="K1611">
        <f>IF(OR($K$1="",对接源_02物料!$C411="",对接源_02物料!$C411&lt;&gt;$K$1,对接源_02物料!$B411=""),0,IF(OR(N(对接源_02物料!$B411)&lt;$K$2,N(对接源_02物料!$B411)&gt;$K$3),0,1))</f>
        <v>0</v>
      </c>
      <c r="L1611">
        <f>IF(OR($L$1="",对接源_02物料!$C411="",对接源_02物料!$C411&lt;&gt;$L$1,对接源_02物料!$B411=""),0,IF(OR(N(对接源_02物料!$B411)&lt;$L$2,N(对接源_02物料!$B411)&gt;$L$3),0,1))</f>
        <v>0</v>
      </c>
      <c r="M1611">
        <f>IF(OR($M$1="",对接源_02物料!$C411="",对接源_02物料!$C411&lt;&gt;$M$1,对接源_02物料!$B411=""),0,IF(OR(N(对接源_02物料!$B411)&lt;$M$2,N(对接源_02物料!$B411)&gt;$M$3),0,1))</f>
        <v>0</v>
      </c>
      <c r="N1611">
        <f>IF(OR($N$1="",对接源_02物料!$C411="",对接源_02物料!$C411&lt;&gt;$N$1,对接源_02物料!$B411=""),0,IF(OR(N(对接源_02物料!$B411)&lt;$N$2,N(对接源_02物料!$B411)&gt;$N$3),0,1))</f>
        <v>0</v>
      </c>
      <c r="P1611">
        <f>IF(AND($K1611=1,AND(对接源_02物料!$X411="公司筐",N(对接源_02物料!$T411)&lt;&gt;0)),1,0)</f>
        <v>0</v>
      </c>
      <c r="Q1611">
        <f>N(Q1610)+$P1611</f>
        <v>14</v>
      </c>
      <c r="R1611">
        <f>IF(AND($K1611=1,AND(对接源_02物料!$X411="公司筐",N(对接源_02物料!$U411)&lt;&gt;0)),1,0)</f>
        <v>0</v>
      </c>
      <c r="S1611">
        <f>N(S1610)+$R1611</f>
        <v>1</v>
      </c>
      <c r="T1611">
        <f>IF(AND($K1611=1,AND(对接源_02物料!$X411="公司筐",N(对接源_02物料!$V411)&lt;&gt;0)),1,0)</f>
        <v>0</v>
      </c>
      <c r="U1611">
        <f>N(U1610)+$T1611</f>
        <v>47</v>
      </c>
      <c r="V1611">
        <f>IF(AND($L1611=1,AND(对接源_02物料!$X411="自备筐",N(对接源_02物料!$V411)&lt;&gt;0)),1,0)</f>
        <v>0</v>
      </c>
      <c r="W1611">
        <f>N(W1610)+$V1611</f>
        <v>11</v>
      </c>
      <c r="X1611">
        <f>IF(AND($L1611=1,AND(对接源_02物料!$X411="自备筐",N(对接源_02物料!$T411)&lt;&gt;0)),1,0)</f>
        <v>0</v>
      </c>
      <c r="Y1611">
        <f>N(Y1610)+$X1611</f>
        <v>0</v>
      </c>
      <c r="Z1611">
        <f>IF(AND($M1611=1,对接源_02物料!$D411="原料入库"),1,0)</f>
        <v>0</v>
      </c>
      <c r="AA1611">
        <f>N(AA1610)+$Z1611</f>
        <v>24</v>
      </c>
      <c r="AB1611">
        <f>IF(AND($M1611=1,LEFT(对接源_02物料!$D411,4)="原料出库"),1,0)</f>
        <v>0</v>
      </c>
      <c r="AC1611">
        <f>N(AC1610)+$AB1611</f>
        <v>0</v>
      </c>
      <c r="AD1611">
        <f>IF(AND($M1611=1,LEFT(对接源_02物料!$D411,4)="成品出库"),1,0)</f>
        <v>0</v>
      </c>
      <c r="AE1611">
        <f>N(AE1610)+$AD1611</f>
        <v>0</v>
      </c>
      <c r="AF1611">
        <f>IF(AND($N1611=1,AND(LEFT(对接源_02物料!$D411,4)="包装物料",N(对接源_02物料!$K411)&lt;&gt;0)),1,0)</f>
        <v>0</v>
      </c>
      <c r="AG1611">
        <f>N(AG1610)+$AF1611</f>
        <v>10</v>
      </c>
      <c r="AH1611">
        <f>IF(AND($N1611=1,AND(对接源_02物料!$D411="周转筐－销售出库",N(对接源_02物料!$K411)&lt;&gt;0)),1,0)</f>
        <v>0</v>
      </c>
      <c r="AI1611">
        <f>N(AI1610)+$AH1611</f>
        <v>0</v>
      </c>
      <c r="AL1611" t="n">
        <v>0</v>
      </c>
      <c r="AM1611">
        <f>N(AM1610)+$AL1611</f>
        <v>2</v>
      </c>
      <c r="AN1611">
        <f>""</f>
      </c>
      <c r="AO1611" t="n">
        <v>0</v>
      </c>
      <c r="AP1611">
        <f>N(AP1610)+$AO1611</f>
        <v>13</v>
      </c>
      <c r="AR1611">
        <f>IF(OR($AF1611=1,$AH1611=1),1,0)</f>
        <v>0</v>
      </c>
      <c r="AS1611">
        <f>N(AS1610)+$AR1611</f>
        <v>10</v>
      </c>
    </row>
    <row r="1612" s="127">
      <c r="A1612">
        <f>IF(对接源_02物料!$C412="","",对接源_02物料!$C412)</f>
      </c>
      <c r="B1612">
        <f>IF(A1612="",0,IF(MATCH(A1612,$A$4:$A$2403,0)=ROW()-3,1,0))</f>
        <v>0</v>
      </c>
      <c r="C1612">
        <f>N(C1611)+B1612</f>
        <v>26</v>
      </c>
      <c r="K1612">
        <f>IF(OR($K$1="",对接源_02物料!$C412="",对接源_02物料!$C412&lt;&gt;$K$1,对接源_02物料!$B412=""),0,IF(OR(N(对接源_02物料!$B412)&lt;$K$2,N(对接源_02物料!$B412)&gt;$K$3),0,1))</f>
        <v>0</v>
      </c>
      <c r="L1612">
        <f>IF(OR($L$1="",对接源_02物料!$C412="",对接源_02物料!$C412&lt;&gt;$L$1,对接源_02物料!$B412=""),0,IF(OR(N(对接源_02物料!$B412)&lt;$L$2,N(对接源_02物料!$B412)&gt;$L$3),0,1))</f>
        <v>0</v>
      </c>
      <c r="M1612">
        <f>IF(OR($M$1="",对接源_02物料!$C412="",对接源_02物料!$C412&lt;&gt;$M$1,对接源_02物料!$B412=""),0,IF(OR(N(对接源_02物料!$B412)&lt;$M$2,N(对接源_02物料!$B412)&gt;$M$3),0,1))</f>
        <v>0</v>
      </c>
      <c r="N1612">
        <f>IF(OR($N$1="",对接源_02物料!$C412="",对接源_02物料!$C412&lt;&gt;$N$1,对接源_02物料!$B412=""),0,IF(OR(N(对接源_02物料!$B412)&lt;$N$2,N(对接源_02物料!$B412)&gt;$N$3),0,1))</f>
        <v>0</v>
      </c>
      <c r="P1612">
        <f>IF(AND($K1612=1,AND(对接源_02物料!$X412="公司筐",N(对接源_02物料!$T412)&lt;&gt;0)),1,0)</f>
        <v>0</v>
      </c>
      <c r="Q1612">
        <f>N(Q1611)+$P1612</f>
        <v>14</v>
      </c>
      <c r="R1612">
        <f>IF(AND($K1612=1,AND(对接源_02物料!$X412="公司筐",N(对接源_02物料!$U412)&lt;&gt;0)),1,0)</f>
        <v>0</v>
      </c>
      <c r="S1612">
        <f>N(S1611)+$R1612</f>
        <v>1</v>
      </c>
      <c r="T1612">
        <f>IF(AND($K1612=1,AND(对接源_02物料!$X412="公司筐",N(对接源_02物料!$V412)&lt;&gt;0)),1,0)</f>
        <v>0</v>
      </c>
      <c r="U1612">
        <f>N(U1611)+$T1612</f>
        <v>47</v>
      </c>
      <c r="V1612">
        <f>IF(AND($L1612=1,AND(对接源_02物料!$X412="自备筐",N(对接源_02物料!$V412)&lt;&gt;0)),1,0)</f>
        <v>0</v>
      </c>
      <c r="W1612">
        <f>N(W1611)+$V1612</f>
        <v>11</v>
      </c>
      <c r="X1612">
        <f>IF(AND($L1612=1,AND(对接源_02物料!$X412="自备筐",N(对接源_02物料!$T412)&lt;&gt;0)),1,0)</f>
        <v>0</v>
      </c>
      <c r="Y1612">
        <f>N(Y1611)+$X1612</f>
        <v>0</v>
      </c>
      <c r="Z1612">
        <f>IF(AND($M1612=1,对接源_02物料!$D412="原料入库"),1,0)</f>
        <v>0</v>
      </c>
      <c r="AA1612">
        <f>N(AA1611)+$Z1612</f>
        <v>24</v>
      </c>
      <c r="AB1612">
        <f>IF(AND($M1612=1,LEFT(对接源_02物料!$D412,4)="原料出库"),1,0)</f>
        <v>0</v>
      </c>
      <c r="AC1612">
        <f>N(AC1611)+$AB1612</f>
        <v>0</v>
      </c>
      <c r="AD1612">
        <f>IF(AND($M1612=1,LEFT(对接源_02物料!$D412,4)="成品出库"),1,0)</f>
        <v>0</v>
      </c>
      <c r="AE1612">
        <f>N(AE1611)+$AD1612</f>
        <v>0</v>
      </c>
      <c r="AF1612">
        <f>IF(AND($N1612=1,AND(LEFT(对接源_02物料!$D412,4)="包装物料",N(对接源_02物料!$K412)&lt;&gt;0)),1,0)</f>
        <v>0</v>
      </c>
      <c r="AG1612">
        <f>N(AG1611)+$AF1612</f>
        <v>10</v>
      </c>
      <c r="AH1612">
        <f>IF(AND($N1612=1,AND(对接源_02物料!$D412="周转筐－销售出库",N(对接源_02物料!$K412)&lt;&gt;0)),1,0)</f>
        <v>0</v>
      </c>
      <c r="AI1612">
        <f>N(AI1611)+$AH1612</f>
        <v>0</v>
      </c>
      <c r="AL1612" t="n">
        <v>0</v>
      </c>
      <c r="AM1612">
        <f>N(AM1611)+$AL1612</f>
        <v>2</v>
      </c>
      <c r="AN1612">
        <f>""</f>
      </c>
      <c r="AO1612" t="n">
        <v>0</v>
      </c>
      <c r="AP1612">
        <f>N(AP1611)+$AO1612</f>
        <v>13</v>
      </c>
      <c r="AR1612">
        <f>IF(OR($AF1612=1,$AH1612=1),1,0)</f>
        <v>0</v>
      </c>
      <c r="AS1612">
        <f>N(AS1611)+$AR1612</f>
        <v>10</v>
      </c>
    </row>
    <row r="1613" s="127">
      <c r="A1613">
        <f>IF(对接源_02物料!$C413="","",对接源_02物料!$C413)</f>
      </c>
      <c r="B1613">
        <f>IF(A1613="",0,IF(MATCH(A1613,$A$4:$A$2403,0)=ROW()-3,1,0))</f>
        <v>0</v>
      </c>
      <c r="C1613">
        <f>N(C1612)+B1613</f>
        <v>26</v>
      </c>
      <c r="K1613">
        <f>IF(OR($K$1="",对接源_02物料!$C413="",对接源_02物料!$C413&lt;&gt;$K$1,对接源_02物料!$B413=""),0,IF(OR(N(对接源_02物料!$B413)&lt;$K$2,N(对接源_02物料!$B413)&gt;$K$3),0,1))</f>
        <v>0</v>
      </c>
      <c r="L1613">
        <f>IF(OR($L$1="",对接源_02物料!$C413="",对接源_02物料!$C413&lt;&gt;$L$1,对接源_02物料!$B413=""),0,IF(OR(N(对接源_02物料!$B413)&lt;$L$2,N(对接源_02物料!$B413)&gt;$L$3),0,1))</f>
        <v>0</v>
      </c>
      <c r="M1613">
        <f>IF(OR($M$1="",对接源_02物料!$C413="",对接源_02物料!$C413&lt;&gt;$M$1,对接源_02物料!$B413=""),0,IF(OR(N(对接源_02物料!$B413)&lt;$M$2,N(对接源_02物料!$B413)&gt;$M$3),0,1))</f>
        <v>0</v>
      </c>
      <c r="N1613">
        <f>IF(OR($N$1="",对接源_02物料!$C413="",对接源_02物料!$C413&lt;&gt;$N$1,对接源_02物料!$B413=""),0,IF(OR(N(对接源_02物料!$B413)&lt;$N$2,N(对接源_02物料!$B413)&gt;$N$3),0,1))</f>
        <v>0</v>
      </c>
      <c r="P1613">
        <f>IF(AND($K1613=1,AND(对接源_02物料!$X413="公司筐",N(对接源_02物料!$T413)&lt;&gt;0)),1,0)</f>
        <v>0</v>
      </c>
      <c r="Q1613">
        <f>N(Q1612)+$P1613</f>
        <v>14</v>
      </c>
      <c r="R1613">
        <f>IF(AND($K1613=1,AND(对接源_02物料!$X413="公司筐",N(对接源_02物料!$U413)&lt;&gt;0)),1,0)</f>
        <v>0</v>
      </c>
      <c r="S1613">
        <f>N(S1612)+$R1613</f>
        <v>1</v>
      </c>
      <c r="T1613">
        <f>IF(AND($K1613=1,AND(对接源_02物料!$X413="公司筐",N(对接源_02物料!$V413)&lt;&gt;0)),1,0)</f>
        <v>0</v>
      </c>
      <c r="U1613">
        <f>N(U1612)+$T1613</f>
        <v>47</v>
      </c>
      <c r="V1613">
        <f>IF(AND($L1613=1,AND(对接源_02物料!$X413="自备筐",N(对接源_02物料!$V413)&lt;&gt;0)),1,0)</f>
        <v>0</v>
      </c>
      <c r="W1613">
        <f>N(W1612)+$V1613</f>
        <v>11</v>
      </c>
      <c r="X1613">
        <f>IF(AND($L1613=1,AND(对接源_02物料!$X413="自备筐",N(对接源_02物料!$T413)&lt;&gt;0)),1,0)</f>
        <v>0</v>
      </c>
      <c r="Y1613">
        <f>N(Y1612)+$X1613</f>
        <v>0</v>
      </c>
      <c r="Z1613">
        <f>IF(AND($M1613=1,对接源_02物料!$D413="原料入库"),1,0)</f>
        <v>0</v>
      </c>
      <c r="AA1613">
        <f>N(AA1612)+$Z1613</f>
        <v>24</v>
      </c>
      <c r="AB1613">
        <f>IF(AND($M1613=1,LEFT(对接源_02物料!$D413,4)="原料出库"),1,0)</f>
        <v>0</v>
      </c>
      <c r="AC1613">
        <f>N(AC1612)+$AB1613</f>
        <v>0</v>
      </c>
      <c r="AD1613">
        <f>IF(AND($M1613=1,LEFT(对接源_02物料!$D413,4)="成品出库"),1,0)</f>
        <v>0</v>
      </c>
      <c r="AE1613">
        <f>N(AE1612)+$AD1613</f>
        <v>0</v>
      </c>
      <c r="AF1613">
        <f>IF(AND($N1613=1,AND(LEFT(对接源_02物料!$D413,4)="包装物料",N(对接源_02物料!$K413)&lt;&gt;0)),1,0)</f>
        <v>0</v>
      </c>
      <c r="AG1613">
        <f>N(AG1612)+$AF1613</f>
        <v>10</v>
      </c>
      <c r="AH1613">
        <f>IF(AND($N1613=1,AND(对接源_02物料!$D413="周转筐－销售出库",N(对接源_02物料!$K413)&lt;&gt;0)),1,0)</f>
        <v>0</v>
      </c>
      <c r="AI1613">
        <f>N(AI1612)+$AH1613</f>
        <v>0</v>
      </c>
      <c r="AL1613" t="n">
        <v>0</v>
      </c>
      <c r="AM1613">
        <f>N(AM1612)+$AL1613</f>
        <v>2</v>
      </c>
      <c r="AN1613">
        <f>""</f>
      </c>
      <c r="AO1613" t="n">
        <v>0</v>
      </c>
      <c r="AP1613">
        <f>N(AP1612)+$AO1613</f>
        <v>13</v>
      </c>
      <c r="AR1613">
        <f>IF(OR($AF1613=1,$AH1613=1),1,0)</f>
        <v>0</v>
      </c>
      <c r="AS1613">
        <f>N(AS1612)+$AR1613</f>
        <v>10</v>
      </c>
    </row>
    <row r="1614" s="127">
      <c r="A1614">
        <f>IF(对接源_02物料!$C414="","",对接源_02物料!$C414)</f>
      </c>
      <c r="B1614">
        <f>IF(A1614="",0,IF(MATCH(A1614,$A$4:$A$2403,0)=ROW()-3,1,0))</f>
        <v>0</v>
      </c>
      <c r="C1614">
        <f>N(C1613)+B1614</f>
        <v>26</v>
      </c>
      <c r="K1614">
        <f>IF(OR($K$1="",对接源_02物料!$C414="",对接源_02物料!$C414&lt;&gt;$K$1,对接源_02物料!$B414=""),0,IF(OR(N(对接源_02物料!$B414)&lt;$K$2,N(对接源_02物料!$B414)&gt;$K$3),0,1))</f>
        <v>0</v>
      </c>
      <c r="L1614">
        <f>IF(OR($L$1="",对接源_02物料!$C414="",对接源_02物料!$C414&lt;&gt;$L$1,对接源_02物料!$B414=""),0,IF(OR(N(对接源_02物料!$B414)&lt;$L$2,N(对接源_02物料!$B414)&gt;$L$3),0,1))</f>
        <v>0</v>
      </c>
      <c r="M1614">
        <f>IF(OR($M$1="",对接源_02物料!$C414="",对接源_02物料!$C414&lt;&gt;$M$1,对接源_02物料!$B414=""),0,IF(OR(N(对接源_02物料!$B414)&lt;$M$2,N(对接源_02物料!$B414)&gt;$M$3),0,1))</f>
        <v>0</v>
      </c>
      <c r="N1614">
        <f>IF(OR($N$1="",对接源_02物料!$C414="",对接源_02物料!$C414&lt;&gt;$N$1,对接源_02物料!$B414=""),0,IF(OR(N(对接源_02物料!$B414)&lt;$N$2,N(对接源_02物料!$B414)&gt;$N$3),0,1))</f>
        <v>0</v>
      </c>
      <c r="P1614">
        <f>IF(AND($K1614=1,AND(对接源_02物料!$X414="公司筐",N(对接源_02物料!$T414)&lt;&gt;0)),1,0)</f>
        <v>0</v>
      </c>
      <c r="Q1614">
        <f>N(Q1613)+$P1614</f>
        <v>14</v>
      </c>
      <c r="R1614">
        <f>IF(AND($K1614=1,AND(对接源_02物料!$X414="公司筐",N(对接源_02物料!$U414)&lt;&gt;0)),1,0)</f>
        <v>0</v>
      </c>
      <c r="S1614">
        <f>N(S1613)+$R1614</f>
        <v>1</v>
      </c>
      <c r="T1614">
        <f>IF(AND($K1614=1,AND(对接源_02物料!$X414="公司筐",N(对接源_02物料!$V414)&lt;&gt;0)),1,0)</f>
        <v>0</v>
      </c>
      <c r="U1614">
        <f>N(U1613)+$T1614</f>
        <v>47</v>
      </c>
      <c r="V1614">
        <f>IF(AND($L1614=1,AND(对接源_02物料!$X414="自备筐",N(对接源_02物料!$V414)&lt;&gt;0)),1,0)</f>
        <v>0</v>
      </c>
      <c r="W1614">
        <f>N(W1613)+$V1614</f>
        <v>11</v>
      </c>
      <c r="X1614">
        <f>IF(AND($L1614=1,AND(对接源_02物料!$X414="自备筐",N(对接源_02物料!$T414)&lt;&gt;0)),1,0)</f>
        <v>0</v>
      </c>
      <c r="Y1614">
        <f>N(Y1613)+$X1614</f>
        <v>0</v>
      </c>
      <c r="Z1614">
        <f>IF(AND($M1614=1,对接源_02物料!$D414="原料入库"),1,0)</f>
        <v>0</v>
      </c>
      <c r="AA1614">
        <f>N(AA1613)+$Z1614</f>
        <v>24</v>
      </c>
      <c r="AB1614">
        <f>IF(AND($M1614=1,LEFT(对接源_02物料!$D414,4)="原料出库"),1,0)</f>
        <v>0</v>
      </c>
      <c r="AC1614">
        <f>N(AC1613)+$AB1614</f>
        <v>0</v>
      </c>
      <c r="AD1614">
        <f>IF(AND($M1614=1,LEFT(对接源_02物料!$D414,4)="成品出库"),1,0)</f>
        <v>0</v>
      </c>
      <c r="AE1614">
        <f>N(AE1613)+$AD1614</f>
        <v>0</v>
      </c>
      <c r="AF1614">
        <f>IF(AND($N1614=1,AND(LEFT(对接源_02物料!$D414,4)="包装物料",N(对接源_02物料!$K414)&lt;&gt;0)),1,0)</f>
        <v>0</v>
      </c>
      <c r="AG1614">
        <f>N(AG1613)+$AF1614</f>
        <v>10</v>
      </c>
      <c r="AH1614">
        <f>IF(AND($N1614=1,AND(对接源_02物料!$D414="周转筐－销售出库",N(对接源_02物料!$K414)&lt;&gt;0)),1,0)</f>
        <v>0</v>
      </c>
      <c r="AI1614">
        <f>N(AI1613)+$AH1614</f>
        <v>0</v>
      </c>
      <c r="AL1614" t="n">
        <v>0</v>
      </c>
      <c r="AM1614">
        <f>N(AM1613)+$AL1614</f>
        <v>2</v>
      </c>
      <c r="AN1614">
        <f>""</f>
      </c>
      <c r="AO1614" t="n">
        <v>0</v>
      </c>
      <c r="AP1614">
        <f>N(AP1613)+$AO1614</f>
        <v>13</v>
      </c>
      <c r="AR1614">
        <f>IF(OR($AF1614=1,$AH1614=1),1,0)</f>
        <v>0</v>
      </c>
      <c r="AS1614">
        <f>N(AS1613)+$AR1614</f>
        <v>10</v>
      </c>
    </row>
    <row r="1615" s="127">
      <c r="A1615">
        <f>IF(对接源_02物料!$C415="","",对接源_02物料!$C415)</f>
      </c>
      <c r="B1615">
        <f>IF(A1615="",0,IF(MATCH(A1615,$A$4:$A$2403,0)=ROW()-3,1,0))</f>
        <v>0</v>
      </c>
      <c r="C1615">
        <f>N(C1614)+B1615</f>
        <v>26</v>
      </c>
      <c r="K1615">
        <f>IF(OR($K$1="",对接源_02物料!$C415="",对接源_02物料!$C415&lt;&gt;$K$1,对接源_02物料!$B415=""),0,IF(OR(N(对接源_02物料!$B415)&lt;$K$2,N(对接源_02物料!$B415)&gt;$K$3),0,1))</f>
        <v>0</v>
      </c>
      <c r="L1615">
        <f>IF(OR($L$1="",对接源_02物料!$C415="",对接源_02物料!$C415&lt;&gt;$L$1,对接源_02物料!$B415=""),0,IF(OR(N(对接源_02物料!$B415)&lt;$L$2,N(对接源_02物料!$B415)&gt;$L$3),0,1))</f>
        <v>0</v>
      </c>
      <c r="M1615">
        <f>IF(OR($M$1="",对接源_02物料!$C415="",对接源_02物料!$C415&lt;&gt;$M$1,对接源_02物料!$B415=""),0,IF(OR(N(对接源_02物料!$B415)&lt;$M$2,N(对接源_02物料!$B415)&gt;$M$3),0,1))</f>
        <v>0</v>
      </c>
      <c r="N1615">
        <f>IF(OR($N$1="",对接源_02物料!$C415="",对接源_02物料!$C415&lt;&gt;$N$1,对接源_02物料!$B415=""),0,IF(OR(N(对接源_02物料!$B415)&lt;$N$2,N(对接源_02物料!$B415)&gt;$N$3),0,1))</f>
        <v>0</v>
      </c>
      <c r="P1615">
        <f>IF(AND($K1615=1,AND(对接源_02物料!$X415="公司筐",N(对接源_02物料!$T415)&lt;&gt;0)),1,0)</f>
        <v>0</v>
      </c>
      <c r="Q1615">
        <f>N(Q1614)+$P1615</f>
        <v>14</v>
      </c>
      <c r="R1615">
        <f>IF(AND($K1615=1,AND(对接源_02物料!$X415="公司筐",N(对接源_02物料!$U415)&lt;&gt;0)),1,0)</f>
        <v>0</v>
      </c>
      <c r="S1615">
        <f>N(S1614)+$R1615</f>
        <v>1</v>
      </c>
      <c r="T1615">
        <f>IF(AND($K1615=1,AND(对接源_02物料!$X415="公司筐",N(对接源_02物料!$V415)&lt;&gt;0)),1,0)</f>
        <v>0</v>
      </c>
      <c r="U1615">
        <f>N(U1614)+$T1615</f>
        <v>47</v>
      </c>
      <c r="V1615">
        <f>IF(AND($L1615=1,AND(对接源_02物料!$X415="自备筐",N(对接源_02物料!$V415)&lt;&gt;0)),1,0)</f>
        <v>0</v>
      </c>
      <c r="W1615">
        <f>N(W1614)+$V1615</f>
        <v>11</v>
      </c>
      <c r="X1615">
        <f>IF(AND($L1615=1,AND(对接源_02物料!$X415="自备筐",N(对接源_02物料!$T415)&lt;&gt;0)),1,0)</f>
        <v>0</v>
      </c>
      <c r="Y1615">
        <f>N(Y1614)+$X1615</f>
        <v>0</v>
      </c>
      <c r="Z1615">
        <f>IF(AND($M1615=1,对接源_02物料!$D415="原料入库"),1,0)</f>
        <v>0</v>
      </c>
      <c r="AA1615">
        <f>N(AA1614)+$Z1615</f>
        <v>24</v>
      </c>
      <c r="AB1615">
        <f>IF(AND($M1615=1,LEFT(对接源_02物料!$D415,4)="原料出库"),1,0)</f>
        <v>0</v>
      </c>
      <c r="AC1615">
        <f>N(AC1614)+$AB1615</f>
        <v>0</v>
      </c>
      <c r="AD1615">
        <f>IF(AND($M1615=1,LEFT(对接源_02物料!$D415,4)="成品出库"),1,0)</f>
        <v>0</v>
      </c>
      <c r="AE1615">
        <f>N(AE1614)+$AD1615</f>
        <v>0</v>
      </c>
      <c r="AF1615">
        <f>IF(AND($N1615=1,AND(LEFT(对接源_02物料!$D415,4)="包装物料",N(对接源_02物料!$K415)&lt;&gt;0)),1,0)</f>
        <v>0</v>
      </c>
      <c r="AG1615">
        <f>N(AG1614)+$AF1615</f>
        <v>10</v>
      </c>
      <c r="AH1615">
        <f>IF(AND($N1615=1,AND(对接源_02物料!$D415="周转筐－销售出库",N(对接源_02物料!$K415)&lt;&gt;0)),1,0)</f>
        <v>0</v>
      </c>
      <c r="AI1615">
        <f>N(AI1614)+$AH1615</f>
        <v>0</v>
      </c>
      <c r="AL1615" t="n">
        <v>0</v>
      </c>
      <c r="AM1615">
        <f>N(AM1614)+$AL1615</f>
        <v>2</v>
      </c>
      <c r="AN1615">
        <f>""</f>
      </c>
      <c r="AO1615" t="n">
        <v>0</v>
      </c>
      <c r="AP1615">
        <f>N(AP1614)+$AO1615</f>
        <v>13</v>
      </c>
      <c r="AR1615">
        <f>IF(OR($AF1615=1,$AH1615=1),1,0)</f>
        <v>0</v>
      </c>
      <c r="AS1615">
        <f>N(AS1614)+$AR1615</f>
        <v>10</v>
      </c>
    </row>
    <row r="1616" s="127">
      <c r="A1616">
        <f>IF(对接源_02物料!$C416="","",对接源_02物料!$C416)</f>
      </c>
      <c r="B1616">
        <f>IF(A1616="",0,IF(MATCH(A1616,$A$4:$A$2403,0)=ROW()-3,1,0))</f>
        <v>0</v>
      </c>
      <c r="C1616">
        <f>N(C1615)+B1616</f>
        <v>26</v>
      </c>
      <c r="K1616">
        <f>IF(OR($K$1="",对接源_02物料!$C416="",对接源_02物料!$C416&lt;&gt;$K$1,对接源_02物料!$B416=""),0,IF(OR(N(对接源_02物料!$B416)&lt;$K$2,N(对接源_02物料!$B416)&gt;$K$3),0,1))</f>
        <v>0</v>
      </c>
      <c r="L1616">
        <f>IF(OR($L$1="",对接源_02物料!$C416="",对接源_02物料!$C416&lt;&gt;$L$1,对接源_02物料!$B416=""),0,IF(OR(N(对接源_02物料!$B416)&lt;$L$2,N(对接源_02物料!$B416)&gt;$L$3),0,1))</f>
        <v>0</v>
      </c>
      <c r="M1616">
        <f>IF(OR($M$1="",对接源_02物料!$C416="",对接源_02物料!$C416&lt;&gt;$M$1,对接源_02物料!$B416=""),0,IF(OR(N(对接源_02物料!$B416)&lt;$M$2,N(对接源_02物料!$B416)&gt;$M$3),0,1))</f>
        <v>0</v>
      </c>
      <c r="N1616">
        <f>IF(OR($N$1="",对接源_02物料!$C416="",对接源_02物料!$C416&lt;&gt;$N$1,对接源_02物料!$B416=""),0,IF(OR(N(对接源_02物料!$B416)&lt;$N$2,N(对接源_02物料!$B416)&gt;$N$3),0,1))</f>
        <v>0</v>
      </c>
      <c r="P1616">
        <f>IF(AND($K1616=1,AND(对接源_02物料!$X416="公司筐",N(对接源_02物料!$T416)&lt;&gt;0)),1,0)</f>
        <v>0</v>
      </c>
      <c r="Q1616">
        <f>N(Q1615)+$P1616</f>
        <v>14</v>
      </c>
      <c r="R1616">
        <f>IF(AND($K1616=1,AND(对接源_02物料!$X416="公司筐",N(对接源_02物料!$U416)&lt;&gt;0)),1,0)</f>
        <v>0</v>
      </c>
      <c r="S1616">
        <f>N(S1615)+$R1616</f>
        <v>1</v>
      </c>
      <c r="T1616">
        <f>IF(AND($K1616=1,AND(对接源_02物料!$X416="公司筐",N(对接源_02物料!$V416)&lt;&gt;0)),1,0)</f>
        <v>0</v>
      </c>
      <c r="U1616">
        <f>N(U1615)+$T1616</f>
        <v>47</v>
      </c>
      <c r="V1616">
        <f>IF(AND($L1616=1,AND(对接源_02物料!$X416="自备筐",N(对接源_02物料!$V416)&lt;&gt;0)),1,0)</f>
        <v>0</v>
      </c>
      <c r="W1616">
        <f>N(W1615)+$V1616</f>
        <v>11</v>
      </c>
      <c r="X1616">
        <f>IF(AND($L1616=1,AND(对接源_02物料!$X416="自备筐",N(对接源_02物料!$T416)&lt;&gt;0)),1,0)</f>
        <v>0</v>
      </c>
      <c r="Y1616">
        <f>N(Y1615)+$X1616</f>
        <v>0</v>
      </c>
      <c r="Z1616">
        <f>IF(AND($M1616=1,对接源_02物料!$D416="原料入库"),1,0)</f>
        <v>0</v>
      </c>
      <c r="AA1616">
        <f>N(AA1615)+$Z1616</f>
        <v>24</v>
      </c>
      <c r="AB1616">
        <f>IF(AND($M1616=1,LEFT(对接源_02物料!$D416,4)="原料出库"),1,0)</f>
        <v>0</v>
      </c>
      <c r="AC1616">
        <f>N(AC1615)+$AB1616</f>
        <v>0</v>
      </c>
      <c r="AD1616">
        <f>IF(AND($M1616=1,LEFT(对接源_02物料!$D416,4)="成品出库"),1,0)</f>
        <v>0</v>
      </c>
      <c r="AE1616">
        <f>N(AE1615)+$AD1616</f>
        <v>0</v>
      </c>
      <c r="AF1616">
        <f>IF(AND($N1616=1,AND(LEFT(对接源_02物料!$D416,4)="包装物料",N(对接源_02物料!$K416)&lt;&gt;0)),1,0)</f>
        <v>0</v>
      </c>
      <c r="AG1616">
        <f>N(AG1615)+$AF1616</f>
        <v>10</v>
      </c>
      <c r="AH1616">
        <f>IF(AND($N1616=1,AND(对接源_02物料!$D416="周转筐－销售出库",N(对接源_02物料!$K416)&lt;&gt;0)),1,0)</f>
        <v>0</v>
      </c>
      <c r="AI1616">
        <f>N(AI1615)+$AH1616</f>
        <v>0</v>
      </c>
      <c r="AL1616" t="n">
        <v>0</v>
      </c>
      <c r="AM1616">
        <f>N(AM1615)+$AL1616</f>
        <v>2</v>
      </c>
      <c r="AN1616">
        <f>""</f>
      </c>
      <c r="AO1616" t="n">
        <v>0</v>
      </c>
      <c r="AP1616">
        <f>N(AP1615)+$AO1616</f>
        <v>13</v>
      </c>
      <c r="AR1616">
        <f>IF(OR($AF1616=1,$AH1616=1),1,0)</f>
        <v>0</v>
      </c>
      <c r="AS1616">
        <f>N(AS1615)+$AR1616</f>
        <v>10</v>
      </c>
    </row>
    <row r="1617" s="127">
      <c r="A1617">
        <f>IF(对接源_02物料!$C417="","",对接源_02物料!$C417)</f>
      </c>
      <c r="B1617">
        <f>IF(A1617="",0,IF(MATCH(A1617,$A$4:$A$2403,0)=ROW()-3,1,0))</f>
        <v>0</v>
      </c>
      <c r="C1617">
        <f>N(C1616)+B1617</f>
        <v>26</v>
      </c>
      <c r="K1617">
        <f>IF(OR($K$1="",对接源_02物料!$C417="",对接源_02物料!$C417&lt;&gt;$K$1,对接源_02物料!$B417=""),0,IF(OR(N(对接源_02物料!$B417)&lt;$K$2,N(对接源_02物料!$B417)&gt;$K$3),0,1))</f>
        <v>0</v>
      </c>
      <c r="L1617">
        <f>IF(OR($L$1="",对接源_02物料!$C417="",对接源_02物料!$C417&lt;&gt;$L$1,对接源_02物料!$B417=""),0,IF(OR(N(对接源_02物料!$B417)&lt;$L$2,N(对接源_02物料!$B417)&gt;$L$3),0,1))</f>
        <v>0</v>
      </c>
      <c r="M1617">
        <f>IF(OR($M$1="",对接源_02物料!$C417="",对接源_02物料!$C417&lt;&gt;$M$1,对接源_02物料!$B417=""),0,IF(OR(N(对接源_02物料!$B417)&lt;$M$2,N(对接源_02物料!$B417)&gt;$M$3),0,1))</f>
        <v>0</v>
      </c>
      <c r="N1617">
        <f>IF(OR($N$1="",对接源_02物料!$C417="",对接源_02物料!$C417&lt;&gt;$N$1,对接源_02物料!$B417=""),0,IF(OR(N(对接源_02物料!$B417)&lt;$N$2,N(对接源_02物料!$B417)&gt;$N$3),0,1))</f>
        <v>0</v>
      </c>
      <c r="P1617">
        <f>IF(AND($K1617=1,AND(对接源_02物料!$X417="公司筐",N(对接源_02物料!$T417)&lt;&gt;0)),1,0)</f>
        <v>0</v>
      </c>
      <c r="Q1617">
        <f>N(Q1616)+$P1617</f>
        <v>14</v>
      </c>
      <c r="R1617">
        <f>IF(AND($K1617=1,AND(对接源_02物料!$X417="公司筐",N(对接源_02物料!$U417)&lt;&gt;0)),1,0)</f>
        <v>0</v>
      </c>
      <c r="S1617">
        <f>N(S1616)+$R1617</f>
        <v>1</v>
      </c>
      <c r="T1617">
        <f>IF(AND($K1617=1,AND(对接源_02物料!$X417="公司筐",N(对接源_02物料!$V417)&lt;&gt;0)),1,0)</f>
        <v>0</v>
      </c>
      <c r="U1617">
        <f>N(U1616)+$T1617</f>
        <v>47</v>
      </c>
      <c r="V1617">
        <f>IF(AND($L1617=1,AND(对接源_02物料!$X417="自备筐",N(对接源_02物料!$V417)&lt;&gt;0)),1,0)</f>
        <v>0</v>
      </c>
      <c r="W1617">
        <f>N(W1616)+$V1617</f>
        <v>11</v>
      </c>
      <c r="X1617">
        <f>IF(AND($L1617=1,AND(对接源_02物料!$X417="自备筐",N(对接源_02物料!$T417)&lt;&gt;0)),1,0)</f>
        <v>0</v>
      </c>
      <c r="Y1617">
        <f>N(Y1616)+$X1617</f>
        <v>0</v>
      </c>
      <c r="Z1617">
        <f>IF(AND($M1617=1,对接源_02物料!$D417="原料入库"),1,0)</f>
        <v>0</v>
      </c>
      <c r="AA1617">
        <f>N(AA1616)+$Z1617</f>
        <v>24</v>
      </c>
      <c r="AB1617">
        <f>IF(AND($M1617=1,LEFT(对接源_02物料!$D417,4)="原料出库"),1,0)</f>
        <v>0</v>
      </c>
      <c r="AC1617">
        <f>N(AC1616)+$AB1617</f>
        <v>0</v>
      </c>
      <c r="AD1617">
        <f>IF(AND($M1617=1,LEFT(对接源_02物料!$D417,4)="成品出库"),1,0)</f>
        <v>0</v>
      </c>
      <c r="AE1617">
        <f>N(AE1616)+$AD1617</f>
        <v>0</v>
      </c>
      <c r="AF1617">
        <f>IF(AND($N1617=1,AND(LEFT(对接源_02物料!$D417,4)="包装物料",N(对接源_02物料!$K417)&lt;&gt;0)),1,0)</f>
        <v>0</v>
      </c>
      <c r="AG1617">
        <f>N(AG1616)+$AF1617</f>
        <v>10</v>
      </c>
      <c r="AH1617">
        <f>IF(AND($N1617=1,AND(对接源_02物料!$D417="周转筐－销售出库",N(对接源_02物料!$K417)&lt;&gt;0)),1,0)</f>
        <v>0</v>
      </c>
      <c r="AI1617">
        <f>N(AI1616)+$AH1617</f>
        <v>0</v>
      </c>
      <c r="AL1617" t="n">
        <v>0</v>
      </c>
      <c r="AM1617">
        <f>N(AM1616)+$AL1617</f>
        <v>2</v>
      </c>
      <c r="AN1617">
        <f>""</f>
      </c>
      <c r="AO1617" t="n">
        <v>0</v>
      </c>
      <c r="AP1617">
        <f>N(AP1616)+$AO1617</f>
        <v>13</v>
      </c>
      <c r="AR1617">
        <f>IF(OR($AF1617=1,$AH1617=1),1,0)</f>
        <v>0</v>
      </c>
      <c r="AS1617">
        <f>N(AS1616)+$AR1617</f>
        <v>10</v>
      </c>
    </row>
    <row r="1618" s="127">
      <c r="A1618">
        <f>IF(对接源_02物料!$C418="","",对接源_02物料!$C418)</f>
      </c>
      <c r="B1618">
        <f>IF(A1618="",0,IF(MATCH(A1618,$A$4:$A$2403,0)=ROW()-3,1,0))</f>
        <v>0</v>
      </c>
      <c r="C1618">
        <f>N(C1617)+B1618</f>
        <v>26</v>
      </c>
      <c r="K1618">
        <f>IF(OR($K$1="",对接源_02物料!$C418="",对接源_02物料!$C418&lt;&gt;$K$1,对接源_02物料!$B418=""),0,IF(OR(N(对接源_02物料!$B418)&lt;$K$2,N(对接源_02物料!$B418)&gt;$K$3),0,1))</f>
        <v>0</v>
      </c>
      <c r="L1618">
        <f>IF(OR($L$1="",对接源_02物料!$C418="",对接源_02物料!$C418&lt;&gt;$L$1,对接源_02物料!$B418=""),0,IF(OR(N(对接源_02物料!$B418)&lt;$L$2,N(对接源_02物料!$B418)&gt;$L$3),0,1))</f>
        <v>0</v>
      </c>
      <c r="M1618">
        <f>IF(OR($M$1="",对接源_02物料!$C418="",对接源_02物料!$C418&lt;&gt;$M$1,对接源_02物料!$B418=""),0,IF(OR(N(对接源_02物料!$B418)&lt;$M$2,N(对接源_02物料!$B418)&gt;$M$3),0,1))</f>
        <v>0</v>
      </c>
      <c r="N1618">
        <f>IF(OR($N$1="",对接源_02物料!$C418="",对接源_02物料!$C418&lt;&gt;$N$1,对接源_02物料!$B418=""),0,IF(OR(N(对接源_02物料!$B418)&lt;$N$2,N(对接源_02物料!$B418)&gt;$N$3),0,1))</f>
        <v>0</v>
      </c>
      <c r="P1618">
        <f>IF(AND($K1618=1,AND(对接源_02物料!$X418="公司筐",N(对接源_02物料!$T418)&lt;&gt;0)),1,0)</f>
        <v>0</v>
      </c>
      <c r="Q1618">
        <f>N(Q1617)+$P1618</f>
        <v>14</v>
      </c>
      <c r="R1618">
        <f>IF(AND($K1618=1,AND(对接源_02物料!$X418="公司筐",N(对接源_02物料!$U418)&lt;&gt;0)),1,0)</f>
        <v>0</v>
      </c>
      <c r="S1618">
        <f>N(S1617)+$R1618</f>
        <v>1</v>
      </c>
      <c r="T1618">
        <f>IF(AND($K1618=1,AND(对接源_02物料!$X418="公司筐",N(对接源_02物料!$V418)&lt;&gt;0)),1,0)</f>
        <v>0</v>
      </c>
      <c r="U1618">
        <f>N(U1617)+$T1618</f>
        <v>47</v>
      </c>
      <c r="V1618">
        <f>IF(AND($L1618=1,AND(对接源_02物料!$X418="自备筐",N(对接源_02物料!$V418)&lt;&gt;0)),1,0)</f>
        <v>0</v>
      </c>
      <c r="W1618">
        <f>N(W1617)+$V1618</f>
        <v>11</v>
      </c>
      <c r="X1618">
        <f>IF(AND($L1618=1,AND(对接源_02物料!$X418="自备筐",N(对接源_02物料!$T418)&lt;&gt;0)),1,0)</f>
        <v>0</v>
      </c>
      <c r="Y1618">
        <f>N(Y1617)+$X1618</f>
        <v>0</v>
      </c>
      <c r="Z1618">
        <f>IF(AND($M1618=1,对接源_02物料!$D418="原料入库"),1,0)</f>
        <v>0</v>
      </c>
      <c r="AA1618">
        <f>N(AA1617)+$Z1618</f>
        <v>24</v>
      </c>
      <c r="AB1618">
        <f>IF(AND($M1618=1,LEFT(对接源_02物料!$D418,4)="原料出库"),1,0)</f>
        <v>0</v>
      </c>
      <c r="AC1618">
        <f>N(AC1617)+$AB1618</f>
        <v>0</v>
      </c>
      <c r="AD1618">
        <f>IF(AND($M1618=1,LEFT(对接源_02物料!$D418,4)="成品出库"),1,0)</f>
        <v>0</v>
      </c>
      <c r="AE1618">
        <f>N(AE1617)+$AD1618</f>
        <v>0</v>
      </c>
      <c r="AF1618">
        <f>IF(AND($N1618=1,AND(LEFT(对接源_02物料!$D418,4)="包装物料",N(对接源_02物料!$K418)&lt;&gt;0)),1,0)</f>
        <v>0</v>
      </c>
      <c r="AG1618">
        <f>N(AG1617)+$AF1618</f>
        <v>10</v>
      </c>
      <c r="AH1618">
        <f>IF(AND($N1618=1,AND(对接源_02物料!$D418="周转筐－销售出库",N(对接源_02物料!$K418)&lt;&gt;0)),1,0)</f>
        <v>0</v>
      </c>
      <c r="AI1618">
        <f>N(AI1617)+$AH1618</f>
        <v>0</v>
      </c>
      <c r="AL1618" t="n">
        <v>0</v>
      </c>
      <c r="AM1618">
        <f>N(AM1617)+$AL1618</f>
        <v>2</v>
      </c>
      <c r="AN1618">
        <f>""</f>
      </c>
      <c r="AO1618" t="n">
        <v>0</v>
      </c>
      <c r="AP1618">
        <f>N(AP1617)+$AO1618</f>
        <v>13</v>
      </c>
      <c r="AR1618">
        <f>IF(OR($AF1618=1,$AH1618=1),1,0)</f>
        <v>0</v>
      </c>
      <c r="AS1618">
        <f>N(AS1617)+$AR1618</f>
        <v>10</v>
      </c>
    </row>
    <row r="1619" s="127">
      <c r="A1619">
        <f>IF(对接源_02物料!$C419="","",对接源_02物料!$C419)</f>
      </c>
      <c r="B1619">
        <f>IF(A1619="",0,IF(MATCH(A1619,$A$4:$A$2403,0)=ROW()-3,1,0))</f>
        <v>0</v>
      </c>
      <c r="C1619">
        <f>N(C1618)+B1619</f>
        <v>26</v>
      </c>
      <c r="K1619">
        <f>IF(OR($K$1="",对接源_02物料!$C419="",对接源_02物料!$C419&lt;&gt;$K$1,对接源_02物料!$B419=""),0,IF(OR(N(对接源_02物料!$B419)&lt;$K$2,N(对接源_02物料!$B419)&gt;$K$3),0,1))</f>
        <v>0</v>
      </c>
      <c r="L1619">
        <f>IF(OR($L$1="",对接源_02物料!$C419="",对接源_02物料!$C419&lt;&gt;$L$1,对接源_02物料!$B419=""),0,IF(OR(N(对接源_02物料!$B419)&lt;$L$2,N(对接源_02物料!$B419)&gt;$L$3),0,1))</f>
        <v>0</v>
      </c>
      <c r="M1619">
        <f>IF(OR($M$1="",对接源_02物料!$C419="",对接源_02物料!$C419&lt;&gt;$M$1,对接源_02物料!$B419=""),0,IF(OR(N(对接源_02物料!$B419)&lt;$M$2,N(对接源_02物料!$B419)&gt;$M$3),0,1))</f>
        <v>0</v>
      </c>
      <c r="N1619">
        <f>IF(OR($N$1="",对接源_02物料!$C419="",对接源_02物料!$C419&lt;&gt;$N$1,对接源_02物料!$B419=""),0,IF(OR(N(对接源_02物料!$B419)&lt;$N$2,N(对接源_02物料!$B419)&gt;$N$3),0,1))</f>
        <v>0</v>
      </c>
      <c r="P1619">
        <f>IF(AND($K1619=1,AND(对接源_02物料!$X419="公司筐",N(对接源_02物料!$T419)&lt;&gt;0)),1,0)</f>
        <v>0</v>
      </c>
      <c r="Q1619">
        <f>N(Q1618)+$P1619</f>
        <v>14</v>
      </c>
      <c r="R1619">
        <f>IF(AND($K1619=1,AND(对接源_02物料!$X419="公司筐",N(对接源_02物料!$U419)&lt;&gt;0)),1,0)</f>
        <v>0</v>
      </c>
      <c r="S1619">
        <f>N(S1618)+$R1619</f>
        <v>1</v>
      </c>
      <c r="T1619">
        <f>IF(AND($K1619=1,AND(对接源_02物料!$X419="公司筐",N(对接源_02物料!$V419)&lt;&gt;0)),1,0)</f>
        <v>0</v>
      </c>
      <c r="U1619">
        <f>N(U1618)+$T1619</f>
        <v>47</v>
      </c>
      <c r="V1619">
        <f>IF(AND($L1619=1,AND(对接源_02物料!$X419="自备筐",N(对接源_02物料!$V419)&lt;&gt;0)),1,0)</f>
        <v>0</v>
      </c>
      <c r="W1619">
        <f>N(W1618)+$V1619</f>
        <v>11</v>
      </c>
      <c r="X1619">
        <f>IF(AND($L1619=1,AND(对接源_02物料!$X419="自备筐",N(对接源_02物料!$T419)&lt;&gt;0)),1,0)</f>
        <v>0</v>
      </c>
      <c r="Y1619">
        <f>N(Y1618)+$X1619</f>
        <v>0</v>
      </c>
      <c r="Z1619">
        <f>IF(AND($M1619=1,对接源_02物料!$D419="原料入库"),1,0)</f>
        <v>0</v>
      </c>
      <c r="AA1619">
        <f>N(AA1618)+$Z1619</f>
        <v>24</v>
      </c>
      <c r="AB1619">
        <f>IF(AND($M1619=1,LEFT(对接源_02物料!$D419,4)="原料出库"),1,0)</f>
        <v>0</v>
      </c>
      <c r="AC1619">
        <f>N(AC1618)+$AB1619</f>
        <v>0</v>
      </c>
      <c r="AD1619">
        <f>IF(AND($M1619=1,LEFT(对接源_02物料!$D419,4)="成品出库"),1,0)</f>
        <v>0</v>
      </c>
      <c r="AE1619">
        <f>N(AE1618)+$AD1619</f>
        <v>0</v>
      </c>
      <c r="AF1619">
        <f>IF(AND($N1619=1,AND(LEFT(对接源_02物料!$D419,4)="包装物料",N(对接源_02物料!$K419)&lt;&gt;0)),1,0)</f>
        <v>0</v>
      </c>
      <c r="AG1619">
        <f>N(AG1618)+$AF1619</f>
        <v>10</v>
      </c>
      <c r="AH1619">
        <f>IF(AND($N1619=1,AND(对接源_02物料!$D419="周转筐－销售出库",N(对接源_02物料!$K419)&lt;&gt;0)),1,0)</f>
        <v>0</v>
      </c>
      <c r="AI1619">
        <f>N(AI1618)+$AH1619</f>
        <v>0</v>
      </c>
      <c r="AL1619" t="n">
        <v>0</v>
      </c>
      <c r="AM1619">
        <f>N(AM1618)+$AL1619</f>
        <v>2</v>
      </c>
      <c r="AN1619">
        <f>""</f>
      </c>
      <c r="AO1619" t="n">
        <v>0</v>
      </c>
      <c r="AP1619">
        <f>N(AP1618)+$AO1619</f>
        <v>13</v>
      </c>
      <c r="AR1619">
        <f>IF(OR($AF1619=1,$AH1619=1),1,0)</f>
        <v>0</v>
      </c>
      <c r="AS1619">
        <f>N(AS1618)+$AR1619</f>
        <v>10</v>
      </c>
    </row>
    <row r="1620" s="127">
      <c r="A1620">
        <f>IF(对接源_02物料!$C420="","",对接源_02物料!$C420)</f>
      </c>
      <c r="B1620">
        <f>IF(A1620="",0,IF(MATCH(A1620,$A$4:$A$2403,0)=ROW()-3,1,0))</f>
        <v>0</v>
      </c>
      <c r="C1620">
        <f>N(C1619)+B1620</f>
        <v>26</v>
      </c>
      <c r="K1620">
        <f>IF(OR($K$1="",对接源_02物料!$C420="",对接源_02物料!$C420&lt;&gt;$K$1,对接源_02物料!$B420=""),0,IF(OR(N(对接源_02物料!$B420)&lt;$K$2,N(对接源_02物料!$B420)&gt;$K$3),0,1))</f>
        <v>0</v>
      </c>
      <c r="L1620">
        <f>IF(OR($L$1="",对接源_02物料!$C420="",对接源_02物料!$C420&lt;&gt;$L$1,对接源_02物料!$B420=""),0,IF(OR(N(对接源_02物料!$B420)&lt;$L$2,N(对接源_02物料!$B420)&gt;$L$3),0,1))</f>
        <v>0</v>
      </c>
      <c r="M1620">
        <f>IF(OR($M$1="",对接源_02物料!$C420="",对接源_02物料!$C420&lt;&gt;$M$1,对接源_02物料!$B420=""),0,IF(OR(N(对接源_02物料!$B420)&lt;$M$2,N(对接源_02物料!$B420)&gt;$M$3),0,1))</f>
        <v>0</v>
      </c>
      <c r="N1620">
        <f>IF(OR($N$1="",对接源_02物料!$C420="",对接源_02物料!$C420&lt;&gt;$N$1,对接源_02物料!$B420=""),0,IF(OR(N(对接源_02物料!$B420)&lt;$N$2,N(对接源_02物料!$B420)&gt;$N$3),0,1))</f>
        <v>0</v>
      </c>
      <c r="P1620">
        <f>IF(AND($K1620=1,AND(对接源_02物料!$X420="公司筐",N(对接源_02物料!$T420)&lt;&gt;0)),1,0)</f>
        <v>0</v>
      </c>
      <c r="Q1620">
        <f>N(Q1619)+$P1620</f>
        <v>14</v>
      </c>
      <c r="R1620">
        <f>IF(AND($K1620=1,AND(对接源_02物料!$X420="公司筐",N(对接源_02物料!$U420)&lt;&gt;0)),1,0)</f>
        <v>0</v>
      </c>
      <c r="S1620">
        <f>N(S1619)+$R1620</f>
        <v>1</v>
      </c>
      <c r="T1620">
        <f>IF(AND($K1620=1,AND(对接源_02物料!$X420="公司筐",N(对接源_02物料!$V420)&lt;&gt;0)),1,0)</f>
        <v>0</v>
      </c>
      <c r="U1620">
        <f>N(U1619)+$T1620</f>
        <v>47</v>
      </c>
      <c r="V1620">
        <f>IF(AND($L1620=1,AND(对接源_02物料!$X420="自备筐",N(对接源_02物料!$V420)&lt;&gt;0)),1,0)</f>
        <v>0</v>
      </c>
      <c r="W1620">
        <f>N(W1619)+$V1620</f>
        <v>11</v>
      </c>
      <c r="X1620">
        <f>IF(AND($L1620=1,AND(对接源_02物料!$X420="自备筐",N(对接源_02物料!$T420)&lt;&gt;0)),1,0)</f>
        <v>0</v>
      </c>
      <c r="Y1620">
        <f>N(Y1619)+$X1620</f>
        <v>0</v>
      </c>
      <c r="Z1620">
        <f>IF(AND($M1620=1,对接源_02物料!$D420="原料入库"),1,0)</f>
        <v>0</v>
      </c>
      <c r="AA1620">
        <f>N(AA1619)+$Z1620</f>
        <v>24</v>
      </c>
      <c r="AB1620">
        <f>IF(AND($M1620=1,LEFT(对接源_02物料!$D420,4)="原料出库"),1,0)</f>
        <v>0</v>
      </c>
      <c r="AC1620">
        <f>N(AC1619)+$AB1620</f>
        <v>0</v>
      </c>
      <c r="AD1620">
        <f>IF(AND($M1620=1,LEFT(对接源_02物料!$D420,4)="成品出库"),1,0)</f>
        <v>0</v>
      </c>
      <c r="AE1620">
        <f>N(AE1619)+$AD1620</f>
        <v>0</v>
      </c>
      <c r="AF1620">
        <f>IF(AND($N1620=1,AND(LEFT(对接源_02物料!$D420,4)="包装物料",N(对接源_02物料!$K420)&lt;&gt;0)),1,0)</f>
        <v>0</v>
      </c>
      <c r="AG1620">
        <f>N(AG1619)+$AF1620</f>
        <v>10</v>
      </c>
      <c r="AH1620">
        <f>IF(AND($N1620=1,AND(对接源_02物料!$D420="周转筐－销售出库",N(对接源_02物料!$K420)&lt;&gt;0)),1,0)</f>
        <v>0</v>
      </c>
      <c r="AI1620">
        <f>N(AI1619)+$AH1620</f>
        <v>0</v>
      </c>
      <c r="AL1620" t="n">
        <v>0</v>
      </c>
      <c r="AM1620">
        <f>N(AM1619)+$AL1620</f>
        <v>2</v>
      </c>
      <c r="AN1620">
        <f>""</f>
      </c>
      <c r="AO1620" t="n">
        <v>0</v>
      </c>
      <c r="AP1620">
        <f>N(AP1619)+$AO1620</f>
        <v>13</v>
      </c>
      <c r="AR1620">
        <f>IF(OR($AF1620=1,$AH1620=1),1,0)</f>
        <v>0</v>
      </c>
      <c r="AS1620">
        <f>N(AS1619)+$AR1620</f>
        <v>10</v>
      </c>
    </row>
    <row r="1621" s="127">
      <c r="A1621">
        <f>IF(对接源_02物料!$C421="","",对接源_02物料!$C421)</f>
      </c>
      <c r="B1621">
        <f>IF(A1621="",0,IF(MATCH(A1621,$A$4:$A$2403,0)=ROW()-3,1,0))</f>
        <v>0</v>
      </c>
      <c r="C1621">
        <f>N(C1620)+B1621</f>
        <v>26</v>
      </c>
      <c r="K1621">
        <f>IF(OR($K$1="",对接源_02物料!$C421="",对接源_02物料!$C421&lt;&gt;$K$1,对接源_02物料!$B421=""),0,IF(OR(N(对接源_02物料!$B421)&lt;$K$2,N(对接源_02物料!$B421)&gt;$K$3),0,1))</f>
        <v>0</v>
      </c>
      <c r="L1621">
        <f>IF(OR($L$1="",对接源_02物料!$C421="",对接源_02物料!$C421&lt;&gt;$L$1,对接源_02物料!$B421=""),0,IF(OR(N(对接源_02物料!$B421)&lt;$L$2,N(对接源_02物料!$B421)&gt;$L$3),0,1))</f>
        <v>0</v>
      </c>
      <c r="M1621">
        <f>IF(OR($M$1="",对接源_02物料!$C421="",对接源_02物料!$C421&lt;&gt;$M$1,对接源_02物料!$B421=""),0,IF(OR(N(对接源_02物料!$B421)&lt;$M$2,N(对接源_02物料!$B421)&gt;$M$3),0,1))</f>
        <v>0</v>
      </c>
      <c r="N1621">
        <f>IF(OR($N$1="",对接源_02物料!$C421="",对接源_02物料!$C421&lt;&gt;$N$1,对接源_02物料!$B421=""),0,IF(OR(N(对接源_02物料!$B421)&lt;$N$2,N(对接源_02物料!$B421)&gt;$N$3),0,1))</f>
        <v>0</v>
      </c>
      <c r="P1621">
        <f>IF(AND($K1621=1,AND(对接源_02物料!$X421="公司筐",N(对接源_02物料!$T421)&lt;&gt;0)),1,0)</f>
        <v>0</v>
      </c>
      <c r="Q1621">
        <f>N(Q1620)+$P1621</f>
        <v>14</v>
      </c>
      <c r="R1621">
        <f>IF(AND($K1621=1,AND(对接源_02物料!$X421="公司筐",N(对接源_02物料!$U421)&lt;&gt;0)),1,0)</f>
        <v>0</v>
      </c>
      <c r="S1621">
        <f>N(S1620)+$R1621</f>
        <v>1</v>
      </c>
      <c r="T1621">
        <f>IF(AND($K1621=1,AND(对接源_02物料!$X421="公司筐",N(对接源_02物料!$V421)&lt;&gt;0)),1,0)</f>
        <v>0</v>
      </c>
      <c r="U1621">
        <f>N(U1620)+$T1621</f>
        <v>47</v>
      </c>
      <c r="V1621">
        <f>IF(AND($L1621=1,AND(对接源_02物料!$X421="自备筐",N(对接源_02物料!$V421)&lt;&gt;0)),1,0)</f>
        <v>0</v>
      </c>
      <c r="W1621">
        <f>N(W1620)+$V1621</f>
        <v>11</v>
      </c>
      <c r="X1621">
        <f>IF(AND($L1621=1,AND(对接源_02物料!$X421="自备筐",N(对接源_02物料!$T421)&lt;&gt;0)),1,0)</f>
        <v>0</v>
      </c>
      <c r="Y1621">
        <f>N(Y1620)+$X1621</f>
        <v>0</v>
      </c>
      <c r="Z1621">
        <f>IF(AND($M1621=1,对接源_02物料!$D421="原料入库"),1,0)</f>
        <v>0</v>
      </c>
      <c r="AA1621">
        <f>N(AA1620)+$Z1621</f>
        <v>24</v>
      </c>
      <c r="AB1621">
        <f>IF(AND($M1621=1,LEFT(对接源_02物料!$D421,4)="原料出库"),1,0)</f>
        <v>0</v>
      </c>
      <c r="AC1621">
        <f>N(AC1620)+$AB1621</f>
        <v>0</v>
      </c>
      <c r="AD1621">
        <f>IF(AND($M1621=1,LEFT(对接源_02物料!$D421,4)="成品出库"),1,0)</f>
        <v>0</v>
      </c>
      <c r="AE1621">
        <f>N(AE1620)+$AD1621</f>
        <v>0</v>
      </c>
      <c r="AF1621">
        <f>IF(AND($N1621=1,AND(LEFT(对接源_02物料!$D421,4)="包装物料",N(对接源_02物料!$K421)&lt;&gt;0)),1,0)</f>
        <v>0</v>
      </c>
      <c r="AG1621">
        <f>N(AG1620)+$AF1621</f>
        <v>10</v>
      </c>
      <c r="AH1621">
        <f>IF(AND($N1621=1,AND(对接源_02物料!$D421="周转筐－销售出库",N(对接源_02物料!$K421)&lt;&gt;0)),1,0)</f>
        <v>0</v>
      </c>
      <c r="AI1621">
        <f>N(AI1620)+$AH1621</f>
        <v>0</v>
      </c>
      <c r="AL1621" t="n">
        <v>0</v>
      </c>
      <c r="AM1621">
        <f>N(AM1620)+$AL1621</f>
        <v>2</v>
      </c>
      <c r="AN1621">
        <f>""</f>
      </c>
      <c r="AO1621" t="n">
        <v>0</v>
      </c>
      <c r="AP1621">
        <f>N(AP1620)+$AO1621</f>
        <v>13</v>
      </c>
      <c r="AR1621">
        <f>IF(OR($AF1621=1,$AH1621=1),1,0)</f>
        <v>0</v>
      </c>
      <c r="AS1621">
        <f>N(AS1620)+$AR1621</f>
        <v>10</v>
      </c>
    </row>
    <row r="1622" s="127">
      <c r="A1622">
        <f>IF(对接源_02物料!$C422="","",对接源_02物料!$C422)</f>
      </c>
      <c r="B1622">
        <f>IF(A1622="",0,IF(MATCH(A1622,$A$4:$A$2403,0)=ROW()-3,1,0))</f>
        <v>0</v>
      </c>
      <c r="C1622">
        <f>N(C1621)+B1622</f>
        <v>26</v>
      </c>
      <c r="K1622">
        <f>IF(OR($K$1="",对接源_02物料!$C422="",对接源_02物料!$C422&lt;&gt;$K$1,对接源_02物料!$B422=""),0,IF(OR(N(对接源_02物料!$B422)&lt;$K$2,N(对接源_02物料!$B422)&gt;$K$3),0,1))</f>
        <v>0</v>
      </c>
      <c r="L1622">
        <f>IF(OR($L$1="",对接源_02物料!$C422="",对接源_02物料!$C422&lt;&gt;$L$1,对接源_02物料!$B422=""),0,IF(OR(N(对接源_02物料!$B422)&lt;$L$2,N(对接源_02物料!$B422)&gt;$L$3),0,1))</f>
        <v>0</v>
      </c>
      <c r="M1622">
        <f>IF(OR($M$1="",对接源_02物料!$C422="",对接源_02物料!$C422&lt;&gt;$M$1,对接源_02物料!$B422=""),0,IF(OR(N(对接源_02物料!$B422)&lt;$M$2,N(对接源_02物料!$B422)&gt;$M$3),0,1))</f>
        <v>0</v>
      </c>
      <c r="N1622">
        <f>IF(OR($N$1="",对接源_02物料!$C422="",对接源_02物料!$C422&lt;&gt;$N$1,对接源_02物料!$B422=""),0,IF(OR(N(对接源_02物料!$B422)&lt;$N$2,N(对接源_02物料!$B422)&gt;$N$3),0,1))</f>
        <v>0</v>
      </c>
      <c r="P1622">
        <f>IF(AND($K1622=1,AND(对接源_02物料!$X422="公司筐",N(对接源_02物料!$T422)&lt;&gt;0)),1,0)</f>
        <v>0</v>
      </c>
      <c r="Q1622">
        <f>N(Q1621)+$P1622</f>
        <v>14</v>
      </c>
      <c r="R1622">
        <f>IF(AND($K1622=1,AND(对接源_02物料!$X422="公司筐",N(对接源_02物料!$U422)&lt;&gt;0)),1,0)</f>
        <v>0</v>
      </c>
      <c r="S1622">
        <f>N(S1621)+$R1622</f>
        <v>1</v>
      </c>
      <c r="T1622">
        <f>IF(AND($K1622=1,AND(对接源_02物料!$X422="公司筐",N(对接源_02物料!$V422)&lt;&gt;0)),1,0)</f>
        <v>0</v>
      </c>
      <c r="U1622">
        <f>N(U1621)+$T1622</f>
        <v>47</v>
      </c>
      <c r="V1622">
        <f>IF(AND($L1622=1,AND(对接源_02物料!$X422="自备筐",N(对接源_02物料!$V422)&lt;&gt;0)),1,0)</f>
        <v>0</v>
      </c>
      <c r="W1622">
        <f>N(W1621)+$V1622</f>
        <v>11</v>
      </c>
      <c r="X1622">
        <f>IF(AND($L1622=1,AND(对接源_02物料!$X422="自备筐",N(对接源_02物料!$T422)&lt;&gt;0)),1,0)</f>
        <v>0</v>
      </c>
      <c r="Y1622">
        <f>N(Y1621)+$X1622</f>
        <v>0</v>
      </c>
      <c r="Z1622">
        <f>IF(AND($M1622=1,对接源_02物料!$D422="原料入库"),1,0)</f>
        <v>0</v>
      </c>
      <c r="AA1622">
        <f>N(AA1621)+$Z1622</f>
        <v>24</v>
      </c>
      <c r="AB1622">
        <f>IF(AND($M1622=1,LEFT(对接源_02物料!$D422,4)="原料出库"),1,0)</f>
        <v>0</v>
      </c>
      <c r="AC1622">
        <f>N(AC1621)+$AB1622</f>
        <v>0</v>
      </c>
      <c r="AD1622">
        <f>IF(AND($M1622=1,LEFT(对接源_02物料!$D422,4)="成品出库"),1,0)</f>
        <v>0</v>
      </c>
      <c r="AE1622">
        <f>N(AE1621)+$AD1622</f>
        <v>0</v>
      </c>
      <c r="AF1622">
        <f>IF(AND($N1622=1,AND(LEFT(对接源_02物料!$D422,4)="包装物料",N(对接源_02物料!$K422)&lt;&gt;0)),1,0)</f>
        <v>0</v>
      </c>
      <c r="AG1622">
        <f>N(AG1621)+$AF1622</f>
        <v>10</v>
      </c>
      <c r="AH1622">
        <f>IF(AND($N1622=1,AND(对接源_02物料!$D422="周转筐－销售出库",N(对接源_02物料!$K422)&lt;&gt;0)),1,0)</f>
        <v>0</v>
      </c>
      <c r="AI1622">
        <f>N(AI1621)+$AH1622</f>
        <v>0</v>
      </c>
      <c r="AL1622" t="n">
        <v>0</v>
      </c>
      <c r="AM1622">
        <f>N(AM1621)+$AL1622</f>
        <v>2</v>
      </c>
      <c r="AN1622">
        <f>""</f>
      </c>
      <c r="AO1622" t="n">
        <v>0</v>
      </c>
      <c r="AP1622">
        <f>N(AP1621)+$AO1622</f>
        <v>13</v>
      </c>
      <c r="AR1622">
        <f>IF(OR($AF1622=1,$AH1622=1),1,0)</f>
        <v>0</v>
      </c>
      <c r="AS1622">
        <f>N(AS1621)+$AR1622</f>
        <v>10</v>
      </c>
    </row>
    <row r="1623" s="127">
      <c r="A1623">
        <f>IF(对接源_02物料!$C423="","",对接源_02物料!$C423)</f>
      </c>
      <c r="B1623">
        <f>IF(A1623="",0,IF(MATCH(A1623,$A$4:$A$2403,0)=ROW()-3,1,0))</f>
        <v>0</v>
      </c>
      <c r="C1623">
        <f>N(C1622)+B1623</f>
        <v>26</v>
      </c>
      <c r="K1623">
        <f>IF(OR($K$1="",对接源_02物料!$C423="",对接源_02物料!$C423&lt;&gt;$K$1,对接源_02物料!$B423=""),0,IF(OR(N(对接源_02物料!$B423)&lt;$K$2,N(对接源_02物料!$B423)&gt;$K$3),0,1))</f>
        <v>0</v>
      </c>
      <c r="L1623">
        <f>IF(OR($L$1="",对接源_02物料!$C423="",对接源_02物料!$C423&lt;&gt;$L$1,对接源_02物料!$B423=""),0,IF(OR(N(对接源_02物料!$B423)&lt;$L$2,N(对接源_02物料!$B423)&gt;$L$3),0,1))</f>
        <v>0</v>
      </c>
      <c r="M1623">
        <f>IF(OR($M$1="",对接源_02物料!$C423="",对接源_02物料!$C423&lt;&gt;$M$1,对接源_02物料!$B423=""),0,IF(OR(N(对接源_02物料!$B423)&lt;$M$2,N(对接源_02物料!$B423)&gt;$M$3),0,1))</f>
        <v>0</v>
      </c>
      <c r="N1623">
        <f>IF(OR($N$1="",对接源_02物料!$C423="",对接源_02物料!$C423&lt;&gt;$N$1,对接源_02物料!$B423=""),0,IF(OR(N(对接源_02物料!$B423)&lt;$N$2,N(对接源_02物料!$B423)&gt;$N$3),0,1))</f>
        <v>0</v>
      </c>
      <c r="P1623">
        <f>IF(AND($K1623=1,AND(对接源_02物料!$X423="公司筐",N(对接源_02物料!$T423)&lt;&gt;0)),1,0)</f>
        <v>0</v>
      </c>
      <c r="Q1623">
        <f>N(Q1622)+$P1623</f>
        <v>14</v>
      </c>
      <c r="R1623">
        <f>IF(AND($K1623=1,AND(对接源_02物料!$X423="公司筐",N(对接源_02物料!$U423)&lt;&gt;0)),1,0)</f>
        <v>0</v>
      </c>
      <c r="S1623">
        <f>N(S1622)+$R1623</f>
        <v>1</v>
      </c>
      <c r="T1623">
        <f>IF(AND($K1623=1,AND(对接源_02物料!$X423="公司筐",N(对接源_02物料!$V423)&lt;&gt;0)),1,0)</f>
        <v>0</v>
      </c>
      <c r="U1623">
        <f>N(U1622)+$T1623</f>
        <v>47</v>
      </c>
      <c r="V1623">
        <f>IF(AND($L1623=1,AND(对接源_02物料!$X423="自备筐",N(对接源_02物料!$V423)&lt;&gt;0)),1,0)</f>
        <v>0</v>
      </c>
      <c r="W1623">
        <f>N(W1622)+$V1623</f>
        <v>11</v>
      </c>
      <c r="X1623">
        <f>IF(AND($L1623=1,AND(对接源_02物料!$X423="自备筐",N(对接源_02物料!$T423)&lt;&gt;0)),1,0)</f>
        <v>0</v>
      </c>
      <c r="Y1623">
        <f>N(Y1622)+$X1623</f>
        <v>0</v>
      </c>
      <c r="Z1623">
        <f>IF(AND($M1623=1,对接源_02物料!$D423="原料入库"),1,0)</f>
        <v>0</v>
      </c>
      <c r="AA1623">
        <f>N(AA1622)+$Z1623</f>
        <v>24</v>
      </c>
      <c r="AB1623">
        <f>IF(AND($M1623=1,LEFT(对接源_02物料!$D423,4)="原料出库"),1,0)</f>
        <v>0</v>
      </c>
      <c r="AC1623">
        <f>N(AC1622)+$AB1623</f>
        <v>0</v>
      </c>
      <c r="AD1623">
        <f>IF(AND($M1623=1,LEFT(对接源_02物料!$D423,4)="成品出库"),1,0)</f>
        <v>0</v>
      </c>
      <c r="AE1623">
        <f>N(AE1622)+$AD1623</f>
        <v>0</v>
      </c>
      <c r="AF1623">
        <f>IF(AND($N1623=1,AND(LEFT(对接源_02物料!$D423,4)="包装物料",N(对接源_02物料!$K423)&lt;&gt;0)),1,0)</f>
        <v>0</v>
      </c>
      <c r="AG1623">
        <f>N(AG1622)+$AF1623</f>
        <v>10</v>
      </c>
      <c r="AH1623">
        <f>IF(AND($N1623=1,AND(对接源_02物料!$D423="周转筐－销售出库",N(对接源_02物料!$K423)&lt;&gt;0)),1,0)</f>
        <v>0</v>
      </c>
      <c r="AI1623">
        <f>N(AI1622)+$AH1623</f>
        <v>0</v>
      </c>
      <c r="AL1623" t="n">
        <v>0</v>
      </c>
      <c r="AM1623">
        <f>N(AM1622)+$AL1623</f>
        <v>2</v>
      </c>
      <c r="AN1623">
        <f>""</f>
      </c>
      <c r="AO1623" t="n">
        <v>0</v>
      </c>
      <c r="AP1623">
        <f>N(AP1622)+$AO1623</f>
        <v>13</v>
      </c>
      <c r="AR1623">
        <f>IF(OR($AF1623=1,$AH1623=1),1,0)</f>
        <v>0</v>
      </c>
      <c r="AS1623">
        <f>N(AS1622)+$AR1623</f>
        <v>10</v>
      </c>
    </row>
    <row r="1624" s="127">
      <c r="A1624">
        <f>IF(对接源_02物料!$C424="","",对接源_02物料!$C424)</f>
      </c>
      <c r="B1624">
        <f>IF(A1624="",0,IF(MATCH(A1624,$A$4:$A$2403,0)=ROW()-3,1,0))</f>
        <v>0</v>
      </c>
      <c r="C1624">
        <f>N(C1623)+B1624</f>
        <v>26</v>
      </c>
      <c r="K1624">
        <f>IF(OR($K$1="",对接源_02物料!$C424="",对接源_02物料!$C424&lt;&gt;$K$1,对接源_02物料!$B424=""),0,IF(OR(N(对接源_02物料!$B424)&lt;$K$2,N(对接源_02物料!$B424)&gt;$K$3),0,1))</f>
        <v>0</v>
      </c>
      <c r="L1624">
        <f>IF(OR($L$1="",对接源_02物料!$C424="",对接源_02物料!$C424&lt;&gt;$L$1,对接源_02物料!$B424=""),0,IF(OR(N(对接源_02物料!$B424)&lt;$L$2,N(对接源_02物料!$B424)&gt;$L$3),0,1))</f>
        <v>0</v>
      </c>
      <c r="M1624">
        <f>IF(OR($M$1="",对接源_02物料!$C424="",对接源_02物料!$C424&lt;&gt;$M$1,对接源_02物料!$B424=""),0,IF(OR(N(对接源_02物料!$B424)&lt;$M$2,N(对接源_02物料!$B424)&gt;$M$3),0,1))</f>
        <v>0</v>
      </c>
      <c r="N1624">
        <f>IF(OR($N$1="",对接源_02物料!$C424="",对接源_02物料!$C424&lt;&gt;$N$1,对接源_02物料!$B424=""),0,IF(OR(N(对接源_02物料!$B424)&lt;$N$2,N(对接源_02物料!$B424)&gt;$N$3),0,1))</f>
        <v>0</v>
      </c>
      <c r="P1624">
        <f>IF(AND($K1624=1,AND(对接源_02物料!$X424="公司筐",N(对接源_02物料!$T424)&lt;&gt;0)),1,0)</f>
        <v>0</v>
      </c>
      <c r="Q1624">
        <f>N(Q1623)+$P1624</f>
        <v>14</v>
      </c>
      <c r="R1624">
        <f>IF(AND($K1624=1,AND(对接源_02物料!$X424="公司筐",N(对接源_02物料!$U424)&lt;&gt;0)),1,0)</f>
        <v>0</v>
      </c>
      <c r="S1624">
        <f>N(S1623)+$R1624</f>
        <v>1</v>
      </c>
      <c r="T1624">
        <f>IF(AND($K1624=1,AND(对接源_02物料!$X424="公司筐",N(对接源_02物料!$V424)&lt;&gt;0)),1,0)</f>
        <v>0</v>
      </c>
      <c r="U1624">
        <f>N(U1623)+$T1624</f>
        <v>47</v>
      </c>
      <c r="V1624">
        <f>IF(AND($L1624=1,AND(对接源_02物料!$X424="自备筐",N(对接源_02物料!$V424)&lt;&gt;0)),1,0)</f>
        <v>0</v>
      </c>
      <c r="W1624">
        <f>N(W1623)+$V1624</f>
        <v>11</v>
      </c>
      <c r="X1624">
        <f>IF(AND($L1624=1,AND(对接源_02物料!$X424="自备筐",N(对接源_02物料!$T424)&lt;&gt;0)),1,0)</f>
        <v>0</v>
      </c>
      <c r="Y1624">
        <f>N(Y1623)+$X1624</f>
        <v>0</v>
      </c>
      <c r="Z1624">
        <f>IF(AND($M1624=1,对接源_02物料!$D424="原料入库"),1,0)</f>
        <v>0</v>
      </c>
      <c r="AA1624">
        <f>N(AA1623)+$Z1624</f>
        <v>24</v>
      </c>
      <c r="AB1624">
        <f>IF(AND($M1624=1,LEFT(对接源_02物料!$D424,4)="原料出库"),1,0)</f>
        <v>0</v>
      </c>
      <c r="AC1624">
        <f>N(AC1623)+$AB1624</f>
        <v>0</v>
      </c>
      <c r="AD1624">
        <f>IF(AND($M1624=1,LEFT(对接源_02物料!$D424,4)="成品出库"),1,0)</f>
        <v>0</v>
      </c>
      <c r="AE1624">
        <f>N(AE1623)+$AD1624</f>
        <v>0</v>
      </c>
      <c r="AF1624">
        <f>IF(AND($N1624=1,AND(LEFT(对接源_02物料!$D424,4)="包装物料",N(对接源_02物料!$K424)&lt;&gt;0)),1,0)</f>
        <v>0</v>
      </c>
      <c r="AG1624">
        <f>N(AG1623)+$AF1624</f>
        <v>10</v>
      </c>
      <c r="AH1624">
        <f>IF(AND($N1624=1,AND(对接源_02物料!$D424="周转筐－销售出库",N(对接源_02物料!$K424)&lt;&gt;0)),1,0)</f>
        <v>0</v>
      </c>
      <c r="AI1624">
        <f>N(AI1623)+$AH1624</f>
        <v>0</v>
      </c>
      <c r="AL1624" t="n">
        <v>0</v>
      </c>
      <c r="AM1624">
        <f>N(AM1623)+$AL1624</f>
        <v>2</v>
      </c>
      <c r="AN1624">
        <f>""</f>
      </c>
      <c r="AO1624" t="n">
        <v>0</v>
      </c>
      <c r="AP1624">
        <f>N(AP1623)+$AO1624</f>
        <v>13</v>
      </c>
      <c r="AR1624">
        <f>IF(OR($AF1624=1,$AH1624=1),1,0)</f>
        <v>0</v>
      </c>
      <c r="AS1624">
        <f>N(AS1623)+$AR1624</f>
        <v>10</v>
      </c>
    </row>
    <row r="1625" s="127">
      <c r="A1625">
        <f>IF(对接源_02物料!$C425="","",对接源_02物料!$C425)</f>
      </c>
      <c r="B1625">
        <f>IF(A1625="",0,IF(MATCH(A1625,$A$4:$A$2403,0)=ROW()-3,1,0))</f>
        <v>0</v>
      </c>
      <c r="C1625">
        <f>N(C1624)+B1625</f>
        <v>26</v>
      </c>
      <c r="K1625">
        <f>IF(OR($K$1="",对接源_02物料!$C425="",对接源_02物料!$C425&lt;&gt;$K$1,对接源_02物料!$B425=""),0,IF(OR(N(对接源_02物料!$B425)&lt;$K$2,N(对接源_02物料!$B425)&gt;$K$3),0,1))</f>
        <v>0</v>
      </c>
      <c r="L1625">
        <f>IF(OR($L$1="",对接源_02物料!$C425="",对接源_02物料!$C425&lt;&gt;$L$1,对接源_02物料!$B425=""),0,IF(OR(N(对接源_02物料!$B425)&lt;$L$2,N(对接源_02物料!$B425)&gt;$L$3),0,1))</f>
        <v>0</v>
      </c>
      <c r="M1625">
        <f>IF(OR($M$1="",对接源_02物料!$C425="",对接源_02物料!$C425&lt;&gt;$M$1,对接源_02物料!$B425=""),0,IF(OR(N(对接源_02物料!$B425)&lt;$M$2,N(对接源_02物料!$B425)&gt;$M$3),0,1))</f>
        <v>0</v>
      </c>
      <c r="N1625">
        <f>IF(OR($N$1="",对接源_02物料!$C425="",对接源_02物料!$C425&lt;&gt;$N$1,对接源_02物料!$B425=""),0,IF(OR(N(对接源_02物料!$B425)&lt;$N$2,N(对接源_02物料!$B425)&gt;$N$3),0,1))</f>
        <v>0</v>
      </c>
      <c r="P1625">
        <f>IF(AND($K1625=1,AND(对接源_02物料!$X425="公司筐",N(对接源_02物料!$T425)&lt;&gt;0)),1,0)</f>
        <v>0</v>
      </c>
      <c r="Q1625">
        <f>N(Q1624)+$P1625</f>
        <v>14</v>
      </c>
      <c r="R1625">
        <f>IF(AND($K1625=1,AND(对接源_02物料!$X425="公司筐",N(对接源_02物料!$U425)&lt;&gt;0)),1,0)</f>
        <v>0</v>
      </c>
      <c r="S1625">
        <f>N(S1624)+$R1625</f>
        <v>1</v>
      </c>
      <c r="T1625">
        <f>IF(AND($K1625=1,AND(对接源_02物料!$X425="公司筐",N(对接源_02物料!$V425)&lt;&gt;0)),1,0)</f>
        <v>0</v>
      </c>
      <c r="U1625">
        <f>N(U1624)+$T1625</f>
        <v>47</v>
      </c>
      <c r="V1625">
        <f>IF(AND($L1625=1,AND(对接源_02物料!$X425="自备筐",N(对接源_02物料!$V425)&lt;&gt;0)),1,0)</f>
        <v>0</v>
      </c>
      <c r="W1625">
        <f>N(W1624)+$V1625</f>
        <v>11</v>
      </c>
      <c r="X1625">
        <f>IF(AND($L1625=1,AND(对接源_02物料!$X425="自备筐",N(对接源_02物料!$T425)&lt;&gt;0)),1,0)</f>
        <v>0</v>
      </c>
      <c r="Y1625">
        <f>N(Y1624)+$X1625</f>
        <v>0</v>
      </c>
      <c r="Z1625">
        <f>IF(AND($M1625=1,对接源_02物料!$D425="原料入库"),1,0)</f>
        <v>0</v>
      </c>
      <c r="AA1625">
        <f>N(AA1624)+$Z1625</f>
        <v>24</v>
      </c>
      <c r="AB1625">
        <f>IF(AND($M1625=1,LEFT(对接源_02物料!$D425,4)="原料出库"),1,0)</f>
        <v>0</v>
      </c>
      <c r="AC1625">
        <f>N(AC1624)+$AB1625</f>
        <v>0</v>
      </c>
      <c r="AD1625">
        <f>IF(AND($M1625=1,LEFT(对接源_02物料!$D425,4)="成品出库"),1,0)</f>
        <v>0</v>
      </c>
      <c r="AE1625">
        <f>N(AE1624)+$AD1625</f>
        <v>0</v>
      </c>
      <c r="AF1625">
        <f>IF(AND($N1625=1,AND(LEFT(对接源_02物料!$D425,4)="包装物料",N(对接源_02物料!$K425)&lt;&gt;0)),1,0)</f>
        <v>0</v>
      </c>
      <c r="AG1625">
        <f>N(AG1624)+$AF1625</f>
        <v>10</v>
      </c>
      <c r="AH1625">
        <f>IF(AND($N1625=1,AND(对接源_02物料!$D425="周转筐－销售出库",N(对接源_02物料!$K425)&lt;&gt;0)),1,0)</f>
        <v>0</v>
      </c>
      <c r="AI1625">
        <f>N(AI1624)+$AH1625</f>
        <v>0</v>
      </c>
      <c r="AL1625" t="n">
        <v>0</v>
      </c>
      <c r="AM1625">
        <f>N(AM1624)+$AL1625</f>
        <v>2</v>
      </c>
      <c r="AN1625">
        <f>""</f>
      </c>
      <c r="AO1625" t="n">
        <v>0</v>
      </c>
      <c r="AP1625">
        <f>N(AP1624)+$AO1625</f>
        <v>13</v>
      </c>
      <c r="AR1625">
        <f>IF(OR($AF1625=1,$AH1625=1),1,0)</f>
        <v>0</v>
      </c>
      <c r="AS1625">
        <f>N(AS1624)+$AR1625</f>
        <v>10</v>
      </c>
    </row>
    <row r="1626" s="127">
      <c r="A1626">
        <f>IF(对接源_02物料!$C426="","",对接源_02物料!$C426)</f>
      </c>
      <c r="B1626">
        <f>IF(A1626="",0,IF(MATCH(A1626,$A$4:$A$2403,0)=ROW()-3,1,0))</f>
        <v>0</v>
      </c>
      <c r="C1626">
        <f>N(C1625)+B1626</f>
        <v>26</v>
      </c>
      <c r="K1626">
        <f>IF(OR($K$1="",对接源_02物料!$C426="",对接源_02物料!$C426&lt;&gt;$K$1,对接源_02物料!$B426=""),0,IF(OR(N(对接源_02物料!$B426)&lt;$K$2,N(对接源_02物料!$B426)&gt;$K$3),0,1))</f>
        <v>0</v>
      </c>
      <c r="L1626">
        <f>IF(OR($L$1="",对接源_02物料!$C426="",对接源_02物料!$C426&lt;&gt;$L$1,对接源_02物料!$B426=""),0,IF(OR(N(对接源_02物料!$B426)&lt;$L$2,N(对接源_02物料!$B426)&gt;$L$3),0,1))</f>
        <v>0</v>
      </c>
      <c r="M1626">
        <f>IF(OR($M$1="",对接源_02物料!$C426="",对接源_02物料!$C426&lt;&gt;$M$1,对接源_02物料!$B426=""),0,IF(OR(N(对接源_02物料!$B426)&lt;$M$2,N(对接源_02物料!$B426)&gt;$M$3),0,1))</f>
        <v>0</v>
      </c>
      <c r="N1626">
        <f>IF(OR($N$1="",对接源_02物料!$C426="",对接源_02物料!$C426&lt;&gt;$N$1,对接源_02物料!$B426=""),0,IF(OR(N(对接源_02物料!$B426)&lt;$N$2,N(对接源_02物料!$B426)&gt;$N$3),0,1))</f>
        <v>0</v>
      </c>
      <c r="P1626">
        <f>IF(AND($K1626=1,AND(对接源_02物料!$X426="公司筐",N(对接源_02物料!$T426)&lt;&gt;0)),1,0)</f>
        <v>0</v>
      </c>
      <c r="Q1626">
        <f>N(Q1625)+$P1626</f>
        <v>14</v>
      </c>
      <c r="R1626">
        <f>IF(AND($K1626=1,AND(对接源_02物料!$X426="公司筐",N(对接源_02物料!$U426)&lt;&gt;0)),1,0)</f>
        <v>0</v>
      </c>
      <c r="S1626">
        <f>N(S1625)+$R1626</f>
        <v>1</v>
      </c>
      <c r="T1626">
        <f>IF(AND($K1626=1,AND(对接源_02物料!$X426="公司筐",N(对接源_02物料!$V426)&lt;&gt;0)),1,0)</f>
        <v>0</v>
      </c>
      <c r="U1626">
        <f>N(U1625)+$T1626</f>
        <v>47</v>
      </c>
      <c r="V1626">
        <f>IF(AND($L1626=1,AND(对接源_02物料!$X426="自备筐",N(对接源_02物料!$V426)&lt;&gt;0)),1,0)</f>
        <v>0</v>
      </c>
      <c r="W1626">
        <f>N(W1625)+$V1626</f>
        <v>11</v>
      </c>
      <c r="X1626">
        <f>IF(AND($L1626=1,AND(对接源_02物料!$X426="自备筐",N(对接源_02物料!$T426)&lt;&gt;0)),1,0)</f>
        <v>0</v>
      </c>
      <c r="Y1626">
        <f>N(Y1625)+$X1626</f>
        <v>0</v>
      </c>
      <c r="Z1626">
        <f>IF(AND($M1626=1,对接源_02物料!$D426="原料入库"),1,0)</f>
        <v>0</v>
      </c>
      <c r="AA1626">
        <f>N(AA1625)+$Z1626</f>
        <v>24</v>
      </c>
      <c r="AB1626">
        <f>IF(AND($M1626=1,LEFT(对接源_02物料!$D426,4)="原料出库"),1,0)</f>
        <v>0</v>
      </c>
      <c r="AC1626">
        <f>N(AC1625)+$AB1626</f>
        <v>0</v>
      </c>
      <c r="AD1626">
        <f>IF(AND($M1626=1,LEFT(对接源_02物料!$D426,4)="成品出库"),1,0)</f>
        <v>0</v>
      </c>
      <c r="AE1626">
        <f>N(AE1625)+$AD1626</f>
        <v>0</v>
      </c>
      <c r="AF1626">
        <f>IF(AND($N1626=1,AND(LEFT(对接源_02物料!$D426,4)="包装物料",N(对接源_02物料!$K426)&lt;&gt;0)),1,0)</f>
        <v>0</v>
      </c>
      <c r="AG1626">
        <f>N(AG1625)+$AF1626</f>
        <v>10</v>
      </c>
      <c r="AH1626">
        <f>IF(AND($N1626=1,AND(对接源_02物料!$D426="周转筐－销售出库",N(对接源_02物料!$K426)&lt;&gt;0)),1,0)</f>
        <v>0</v>
      </c>
      <c r="AI1626">
        <f>N(AI1625)+$AH1626</f>
        <v>0</v>
      </c>
      <c r="AL1626" t="n">
        <v>0</v>
      </c>
      <c r="AM1626">
        <f>N(AM1625)+$AL1626</f>
        <v>2</v>
      </c>
      <c r="AN1626">
        <f>""</f>
      </c>
      <c r="AO1626" t="n">
        <v>0</v>
      </c>
      <c r="AP1626">
        <f>N(AP1625)+$AO1626</f>
        <v>13</v>
      </c>
      <c r="AR1626">
        <f>IF(OR($AF1626=1,$AH1626=1),1,0)</f>
        <v>0</v>
      </c>
      <c r="AS1626">
        <f>N(AS1625)+$AR1626</f>
        <v>10</v>
      </c>
    </row>
    <row r="1627" s="127">
      <c r="A1627">
        <f>IF(对接源_02物料!$C427="","",对接源_02物料!$C427)</f>
      </c>
      <c r="B1627">
        <f>IF(A1627="",0,IF(MATCH(A1627,$A$4:$A$2403,0)=ROW()-3,1,0))</f>
        <v>0</v>
      </c>
      <c r="C1627">
        <f>N(C1626)+B1627</f>
        <v>26</v>
      </c>
      <c r="K1627">
        <f>IF(OR($K$1="",对接源_02物料!$C427="",对接源_02物料!$C427&lt;&gt;$K$1,对接源_02物料!$B427=""),0,IF(OR(N(对接源_02物料!$B427)&lt;$K$2,N(对接源_02物料!$B427)&gt;$K$3),0,1))</f>
        <v>0</v>
      </c>
      <c r="L1627">
        <f>IF(OR($L$1="",对接源_02物料!$C427="",对接源_02物料!$C427&lt;&gt;$L$1,对接源_02物料!$B427=""),0,IF(OR(N(对接源_02物料!$B427)&lt;$L$2,N(对接源_02物料!$B427)&gt;$L$3),0,1))</f>
        <v>0</v>
      </c>
      <c r="M1627">
        <f>IF(OR($M$1="",对接源_02物料!$C427="",对接源_02物料!$C427&lt;&gt;$M$1,对接源_02物料!$B427=""),0,IF(OR(N(对接源_02物料!$B427)&lt;$M$2,N(对接源_02物料!$B427)&gt;$M$3),0,1))</f>
        <v>0</v>
      </c>
      <c r="N1627">
        <f>IF(OR($N$1="",对接源_02物料!$C427="",对接源_02物料!$C427&lt;&gt;$N$1,对接源_02物料!$B427=""),0,IF(OR(N(对接源_02物料!$B427)&lt;$N$2,N(对接源_02物料!$B427)&gt;$N$3),0,1))</f>
        <v>0</v>
      </c>
      <c r="P1627">
        <f>IF(AND($K1627=1,AND(对接源_02物料!$X427="公司筐",N(对接源_02物料!$T427)&lt;&gt;0)),1,0)</f>
        <v>0</v>
      </c>
      <c r="Q1627">
        <f>N(Q1626)+$P1627</f>
        <v>14</v>
      </c>
      <c r="R1627">
        <f>IF(AND($K1627=1,AND(对接源_02物料!$X427="公司筐",N(对接源_02物料!$U427)&lt;&gt;0)),1,0)</f>
        <v>0</v>
      </c>
      <c r="S1627">
        <f>N(S1626)+$R1627</f>
        <v>1</v>
      </c>
      <c r="T1627">
        <f>IF(AND($K1627=1,AND(对接源_02物料!$X427="公司筐",N(对接源_02物料!$V427)&lt;&gt;0)),1,0)</f>
        <v>0</v>
      </c>
      <c r="U1627">
        <f>N(U1626)+$T1627</f>
        <v>47</v>
      </c>
      <c r="V1627">
        <f>IF(AND($L1627=1,AND(对接源_02物料!$X427="自备筐",N(对接源_02物料!$V427)&lt;&gt;0)),1,0)</f>
        <v>0</v>
      </c>
      <c r="W1627">
        <f>N(W1626)+$V1627</f>
        <v>11</v>
      </c>
      <c r="X1627">
        <f>IF(AND($L1627=1,AND(对接源_02物料!$X427="自备筐",N(对接源_02物料!$T427)&lt;&gt;0)),1,0)</f>
        <v>0</v>
      </c>
      <c r="Y1627">
        <f>N(Y1626)+$X1627</f>
        <v>0</v>
      </c>
      <c r="Z1627">
        <f>IF(AND($M1627=1,对接源_02物料!$D427="原料入库"),1,0)</f>
        <v>0</v>
      </c>
      <c r="AA1627">
        <f>N(AA1626)+$Z1627</f>
        <v>24</v>
      </c>
      <c r="AB1627">
        <f>IF(AND($M1627=1,LEFT(对接源_02物料!$D427,4)="原料出库"),1,0)</f>
        <v>0</v>
      </c>
      <c r="AC1627">
        <f>N(AC1626)+$AB1627</f>
        <v>0</v>
      </c>
      <c r="AD1627">
        <f>IF(AND($M1627=1,LEFT(对接源_02物料!$D427,4)="成品出库"),1,0)</f>
        <v>0</v>
      </c>
      <c r="AE1627">
        <f>N(AE1626)+$AD1627</f>
        <v>0</v>
      </c>
      <c r="AF1627">
        <f>IF(AND($N1627=1,AND(LEFT(对接源_02物料!$D427,4)="包装物料",N(对接源_02物料!$K427)&lt;&gt;0)),1,0)</f>
        <v>0</v>
      </c>
      <c r="AG1627">
        <f>N(AG1626)+$AF1627</f>
        <v>10</v>
      </c>
      <c r="AH1627">
        <f>IF(AND($N1627=1,AND(对接源_02物料!$D427="周转筐－销售出库",N(对接源_02物料!$K427)&lt;&gt;0)),1,0)</f>
        <v>0</v>
      </c>
      <c r="AI1627">
        <f>N(AI1626)+$AH1627</f>
        <v>0</v>
      </c>
      <c r="AL1627" t="n">
        <v>0</v>
      </c>
      <c r="AM1627">
        <f>N(AM1626)+$AL1627</f>
        <v>2</v>
      </c>
      <c r="AN1627">
        <f>""</f>
      </c>
      <c r="AO1627" t="n">
        <v>0</v>
      </c>
      <c r="AP1627">
        <f>N(AP1626)+$AO1627</f>
        <v>13</v>
      </c>
      <c r="AR1627">
        <f>IF(OR($AF1627=1,$AH1627=1),1,0)</f>
        <v>0</v>
      </c>
      <c r="AS1627">
        <f>N(AS1626)+$AR1627</f>
        <v>10</v>
      </c>
    </row>
    <row r="1628" s="127">
      <c r="A1628">
        <f>IF(对接源_02物料!$C428="","",对接源_02物料!$C428)</f>
      </c>
      <c r="B1628">
        <f>IF(A1628="",0,IF(MATCH(A1628,$A$4:$A$2403,0)=ROW()-3,1,0))</f>
        <v>0</v>
      </c>
      <c r="C1628">
        <f>N(C1627)+B1628</f>
        <v>26</v>
      </c>
      <c r="K1628">
        <f>IF(OR($K$1="",对接源_02物料!$C428="",对接源_02物料!$C428&lt;&gt;$K$1,对接源_02物料!$B428=""),0,IF(OR(N(对接源_02物料!$B428)&lt;$K$2,N(对接源_02物料!$B428)&gt;$K$3),0,1))</f>
        <v>0</v>
      </c>
      <c r="L1628">
        <f>IF(OR($L$1="",对接源_02物料!$C428="",对接源_02物料!$C428&lt;&gt;$L$1,对接源_02物料!$B428=""),0,IF(OR(N(对接源_02物料!$B428)&lt;$L$2,N(对接源_02物料!$B428)&gt;$L$3),0,1))</f>
        <v>0</v>
      </c>
      <c r="M1628">
        <f>IF(OR($M$1="",对接源_02物料!$C428="",对接源_02物料!$C428&lt;&gt;$M$1,对接源_02物料!$B428=""),0,IF(OR(N(对接源_02物料!$B428)&lt;$M$2,N(对接源_02物料!$B428)&gt;$M$3),0,1))</f>
        <v>0</v>
      </c>
      <c r="N1628">
        <f>IF(OR($N$1="",对接源_02物料!$C428="",对接源_02物料!$C428&lt;&gt;$N$1,对接源_02物料!$B428=""),0,IF(OR(N(对接源_02物料!$B428)&lt;$N$2,N(对接源_02物料!$B428)&gt;$N$3),0,1))</f>
        <v>0</v>
      </c>
      <c r="P1628">
        <f>IF(AND($K1628=1,AND(对接源_02物料!$X428="公司筐",N(对接源_02物料!$T428)&lt;&gt;0)),1,0)</f>
        <v>0</v>
      </c>
      <c r="Q1628">
        <f>N(Q1627)+$P1628</f>
        <v>14</v>
      </c>
      <c r="R1628">
        <f>IF(AND($K1628=1,AND(对接源_02物料!$X428="公司筐",N(对接源_02物料!$U428)&lt;&gt;0)),1,0)</f>
        <v>0</v>
      </c>
      <c r="S1628">
        <f>N(S1627)+$R1628</f>
        <v>1</v>
      </c>
      <c r="T1628">
        <f>IF(AND($K1628=1,AND(对接源_02物料!$X428="公司筐",N(对接源_02物料!$V428)&lt;&gt;0)),1,0)</f>
        <v>0</v>
      </c>
      <c r="U1628">
        <f>N(U1627)+$T1628</f>
        <v>47</v>
      </c>
      <c r="V1628">
        <f>IF(AND($L1628=1,AND(对接源_02物料!$X428="自备筐",N(对接源_02物料!$V428)&lt;&gt;0)),1,0)</f>
        <v>0</v>
      </c>
      <c r="W1628">
        <f>N(W1627)+$V1628</f>
        <v>11</v>
      </c>
      <c r="X1628">
        <f>IF(AND($L1628=1,AND(对接源_02物料!$X428="自备筐",N(对接源_02物料!$T428)&lt;&gt;0)),1,0)</f>
        <v>0</v>
      </c>
      <c r="Y1628">
        <f>N(Y1627)+$X1628</f>
        <v>0</v>
      </c>
      <c r="Z1628">
        <f>IF(AND($M1628=1,对接源_02物料!$D428="原料入库"),1,0)</f>
        <v>0</v>
      </c>
      <c r="AA1628">
        <f>N(AA1627)+$Z1628</f>
        <v>24</v>
      </c>
      <c r="AB1628">
        <f>IF(AND($M1628=1,LEFT(对接源_02物料!$D428,4)="原料出库"),1,0)</f>
        <v>0</v>
      </c>
      <c r="AC1628">
        <f>N(AC1627)+$AB1628</f>
        <v>0</v>
      </c>
      <c r="AD1628">
        <f>IF(AND($M1628=1,LEFT(对接源_02物料!$D428,4)="成品出库"),1,0)</f>
        <v>0</v>
      </c>
      <c r="AE1628">
        <f>N(AE1627)+$AD1628</f>
        <v>0</v>
      </c>
      <c r="AF1628">
        <f>IF(AND($N1628=1,AND(LEFT(对接源_02物料!$D428,4)="包装物料",N(对接源_02物料!$K428)&lt;&gt;0)),1,0)</f>
        <v>0</v>
      </c>
      <c r="AG1628">
        <f>N(AG1627)+$AF1628</f>
        <v>10</v>
      </c>
      <c r="AH1628">
        <f>IF(AND($N1628=1,AND(对接源_02物料!$D428="周转筐－销售出库",N(对接源_02物料!$K428)&lt;&gt;0)),1,0)</f>
        <v>0</v>
      </c>
      <c r="AI1628">
        <f>N(AI1627)+$AH1628</f>
        <v>0</v>
      </c>
      <c r="AL1628" t="n">
        <v>0</v>
      </c>
      <c r="AM1628">
        <f>N(AM1627)+$AL1628</f>
        <v>2</v>
      </c>
      <c r="AN1628">
        <f>""</f>
      </c>
      <c r="AO1628" t="n">
        <v>0</v>
      </c>
      <c r="AP1628">
        <f>N(AP1627)+$AO1628</f>
        <v>13</v>
      </c>
      <c r="AR1628">
        <f>IF(OR($AF1628=1,$AH1628=1),1,0)</f>
        <v>0</v>
      </c>
      <c r="AS1628">
        <f>N(AS1627)+$AR1628</f>
        <v>10</v>
      </c>
    </row>
    <row r="1629" s="127">
      <c r="A1629">
        <f>IF(对接源_02物料!$C429="","",对接源_02物料!$C429)</f>
      </c>
      <c r="B1629">
        <f>IF(A1629="",0,IF(MATCH(A1629,$A$4:$A$2403,0)=ROW()-3,1,0))</f>
        <v>0</v>
      </c>
      <c r="C1629">
        <f>N(C1628)+B1629</f>
        <v>26</v>
      </c>
      <c r="K1629">
        <f>IF(OR($K$1="",对接源_02物料!$C429="",对接源_02物料!$C429&lt;&gt;$K$1,对接源_02物料!$B429=""),0,IF(OR(N(对接源_02物料!$B429)&lt;$K$2,N(对接源_02物料!$B429)&gt;$K$3),0,1))</f>
        <v>0</v>
      </c>
      <c r="L1629">
        <f>IF(OR($L$1="",对接源_02物料!$C429="",对接源_02物料!$C429&lt;&gt;$L$1,对接源_02物料!$B429=""),0,IF(OR(N(对接源_02物料!$B429)&lt;$L$2,N(对接源_02物料!$B429)&gt;$L$3),0,1))</f>
        <v>0</v>
      </c>
      <c r="M1629">
        <f>IF(OR($M$1="",对接源_02物料!$C429="",对接源_02物料!$C429&lt;&gt;$M$1,对接源_02物料!$B429=""),0,IF(OR(N(对接源_02物料!$B429)&lt;$M$2,N(对接源_02物料!$B429)&gt;$M$3),0,1))</f>
        <v>0</v>
      </c>
      <c r="N1629">
        <f>IF(OR($N$1="",对接源_02物料!$C429="",对接源_02物料!$C429&lt;&gt;$N$1,对接源_02物料!$B429=""),0,IF(OR(N(对接源_02物料!$B429)&lt;$N$2,N(对接源_02物料!$B429)&gt;$N$3),0,1))</f>
        <v>0</v>
      </c>
      <c r="P1629">
        <f>IF(AND($K1629=1,AND(对接源_02物料!$X429="公司筐",N(对接源_02物料!$T429)&lt;&gt;0)),1,0)</f>
        <v>0</v>
      </c>
      <c r="Q1629">
        <f>N(Q1628)+$P1629</f>
        <v>14</v>
      </c>
      <c r="R1629">
        <f>IF(AND($K1629=1,AND(对接源_02物料!$X429="公司筐",N(对接源_02物料!$U429)&lt;&gt;0)),1,0)</f>
        <v>0</v>
      </c>
      <c r="S1629">
        <f>N(S1628)+$R1629</f>
        <v>1</v>
      </c>
      <c r="T1629">
        <f>IF(AND($K1629=1,AND(对接源_02物料!$X429="公司筐",N(对接源_02物料!$V429)&lt;&gt;0)),1,0)</f>
        <v>0</v>
      </c>
      <c r="U1629">
        <f>N(U1628)+$T1629</f>
        <v>47</v>
      </c>
      <c r="V1629">
        <f>IF(AND($L1629=1,AND(对接源_02物料!$X429="自备筐",N(对接源_02物料!$V429)&lt;&gt;0)),1,0)</f>
        <v>0</v>
      </c>
      <c r="W1629">
        <f>N(W1628)+$V1629</f>
        <v>11</v>
      </c>
      <c r="X1629">
        <f>IF(AND($L1629=1,AND(对接源_02物料!$X429="自备筐",N(对接源_02物料!$T429)&lt;&gt;0)),1,0)</f>
        <v>0</v>
      </c>
      <c r="Y1629">
        <f>N(Y1628)+$X1629</f>
        <v>0</v>
      </c>
      <c r="Z1629">
        <f>IF(AND($M1629=1,对接源_02物料!$D429="原料入库"),1,0)</f>
        <v>0</v>
      </c>
      <c r="AA1629">
        <f>N(AA1628)+$Z1629</f>
        <v>24</v>
      </c>
      <c r="AB1629">
        <f>IF(AND($M1629=1,LEFT(对接源_02物料!$D429,4)="原料出库"),1,0)</f>
        <v>0</v>
      </c>
      <c r="AC1629">
        <f>N(AC1628)+$AB1629</f>
        <v>0</v>
      </c>
      <c r="AD1629">
        <f>IF(AND($M1629=1,LEFT(对接源_02物料!$D429,4)="成品出库"),1,0)</f>
        <v>0</v>
      </c>
      <c r="AE1629">
        <f>N(AE1628)+$AD1629</f>
        <v>0</v>
      </c>
      <c r="AF1629">
        <f>IF(AND($N1629=1,AND(LEFT(对接源_02物料!$D429,4)="包装物料",N(对接源_02物料!$K429)&lt;&gt;0)),1,0)</f>
        <v>0</v>
      </c>
      <c r="AG1629">
        <f>N(AG1628)+$AF1629</f>
        <v>10</v>
      </c>
      <c r="AH1629">
        <f>IF(AND($N1629=1,AND(对接源_02物料!$D429="周转筐－销售出库",N(对接源_02物料!$K429)&lt;&gt;0)),1,0)</f>
        <v>0</v>
      </c>
      <c r="AI1629">
        <f>N(AI1628)+$AH1629</f>
        <v>0</v>
      </c>
      <c r="AL1629" t="n">
        <v>0</v>
      </c>
      <c r="AM1629">
        <f>N(AM1628)+$AL1629</f>
        <v>2</v>
      </c>
      <c r="AN1629">
        <f>""</f>
      </c>
      <c r="AO1629" t="n">
        <v>0</v>
      </c>
      <c r="AP1629">
        <f>N(AP1628)+$AO1629</f>
        <v>13</v>
      </c>
      <c r="AR1629">
        <f>IF(OR($AF1629=1,$AH1629=1),1,0)</f>
        <v>0</v>
      </c>
      <c r="AS1629">
        <f>N(AS1628)+$AR1629</f>
        <v>10</v>
      </c>
    </row>
    <row r="1630" s="127">
      <c r="A1630">
        <f>IF(对接源_02物料!$C430="","",对接源_02物料!$C430)</f>
      </c>
      <c r="B1630">
        <f>IF(A1630="",0,IF(MATCH(A1630,$A$4:$A$2403,0)=ROW()-3,1,0))</f>
        <v>0</v>
      </c>
      <c r="C1630">
        <f>N(C1629)+B1630</f>
        <v>26</v>
      </c>
      <c r="K1630">
        <f>IF(OR($K$1="",对接源_02物料!$C430="",对接源_02物料!$C430&lt;&gt;$K$1,对接源_02物料!$B430=""),0,IF(OR(N(对接源_02物料!$B430)&lt;$K$2,N(对接源_02物料!$B430)&gt;$K$3),0,1))</f>
        <v>0</v>
      </c>
      <c r="L1630">
        <f>IF(OR($L$1="",对接源_02物料!$C430="",对接源_02物料!$C430&lt;&gt;$L$1,对接源_02物料!$B430=""),0,IF(OR(N(对接源_02物料!$B430)&lt;$L$2,N(对接源_02物料!$B430)&gt;$L$3),0,1))</f>
        <v>0</v>
      </c>
      <c r="M1630">
        <f>IF(OR($M$1="",对接源_02物料!$C430="",对接源_02物料!$C430&lt;&gt;$M$1,对接源_02物料!$B430=""),0,IF(OR(N(对接源_02物料!$B430)&lt;$M$2,N(对接源_02物料!$B430)&gt;$M$3),0,1))</f>
        <v>0</v>
      </c>
      <c r="N1630">
        <f>IF(OR($N$1="",对接源_02物料!$C430="",对接源_02物料!$C430&lt;&gt;$N$1,对接源_02物料!$B430=""),0,IF(OR(N(对接源_02物料!$B430)&lt;$N$2,N(对接源_02物料!$B430)&gt;$N$3),0,1))</f>
        <v>0</v>
      </c>
      <c r="P1630">
        <f>IF(AND($K1630=1,AND(对接源_02物料!$X430="公司筐",N(对接源_02物料!$T430)&lt;&gt;0)),1,0)</f>
        <v>0</v>
      </c>
      <c r="Q1630">
        <f>N(Q1629)+$P1630</f>
        <v>14</v>
      </c>
      <c r="R1630">
        <f>IF(AND($K1630=1,AND(对接源_02物料!$X430="公司筐",N(对接源_02物料!$U430)&lt;&gt;0)),1,0)</f>
        <v>0</v>
      </c>
      <c r="S1630">
        <f>N(S1629)+$R1630</f>
        <v>1</v>
      </c>
      <c r="T1630">
        <f>IF(AND($K1630=1,AND(对接源_02物料!$X430="公司筐",N(对接源_02物料!$V430)&lt;&gt;0)),1,0)</f>
        <v>0</v>
      </c>
      <c r="U1630">
        <f>N(U1629)+$T1630</f>
        <v>47</v>
      </c>
      <c r="V1630">
        <f>IF(AND($L1630=1,AND(对接源_02物料!$X430="自备筐",N(对接源_02物料!$V430)&lt;&gt;0)),1,0)</f>
        <v>0</v>
      </c>
      <c r="W1630">
        <f>N(W1629)+$V1630</f>
        <v>11</v>
      </c>
      <c r="X1630">
        <f>IF(AND($L1630=1,AND(对接源_02物料!$X430="自备筐",N(对接源_02物料!$T430)&lt;&gt;0)),1,0)</f>
        <v>0</v>
      </c>
      <c r="Y1630">
        <f>N(Y1629)+$X1630</f>
        <v>0</v>
      </c>
      <c r="Z1630">
        <f>IF(AND($M1630=1,对接源_02物料!$D430="原料入库"),1,0)</f>
        <v>0</v>
      </c>
      <c r="AA1630">
        <f>N(AA1629)+$Z1630</f>
        <v>24</v>
      </c>
      <c r="AB1630">
        <f>IF(AND($M1630=1,LEFT(对接源_02物料!$D430,4)="原料出库"),1,0)</f>
        <v>0</v>
      </c>
      <c r="AC1630">
        <f>N(AC1629)+$AB1630</f>
        <v>0</v>
      </c>
      <c r="AD1630">
        <f>IF(AND($M1630=1,LEFT(对接源_02物料!$D430,4)="成品出库"),1,0)</f>
        <v>0</v>
      </c>
      <c r="AE1630">
        <f>N(AE1629)+$AD1630</f>
        <v>0</v>
      </c>
      <c r="AF1630">
        <f>IF(AND($N1630=1,AND(LEFT(对接源_02物料!$D430,4)="包装物料",N(对接源_02物料!$K430)&lt;&gt;0)),1,0)</f>
        <v>0</v>
      </c>
      <c r="AG1630">
        <f>N(AG1629)+$AF1630</f>
        <v>10</v>
      </c>
      <c r="AH1630">
        <f>IF(AND($N1630=1,AND(对接源_02物料!$D430="周转筐－销售出库",N(对接源_02物料!$K430)&lt;&gt;0)),1,0)</f>
        <v>0</v>
      </c>
      <c r="AI1630">
        <f>N(AI1629)+$AH1630</f>
        <v>0</v>
      </c>
      <c r="AL1630" t="n">
        <v>0</v>
      </c>
      <c r="AM1630">
        <f>N(AM1629)+$AL1630</f>
        <v>2</v>
      </c>
      <c r="AN1630">
        <f>""</f>
      </c>
      <c r="AO1630" t="n">
        <v>0</v>
      </c>
      <c r="AP1630">
        <f>N(AP1629)+$AO1630</f>
        <v>13</v>
      </c>
      <c r="AR1630">
        <f>IF(OR($AF1630=1,$AH1630=1),1,0)</f>
        <v>0</v>
      </c>
      <c r="AS1630">
        <f>N(AS1629)+$AR1630</f>
        <v>10</v>
      </c>
    </row>
    <row r="1631" s="127">
      <c r="A1631">
        <f>IF(对接源_02物料!$C431="","",对接源_02物料!$C431)</f>
      </c>
      <c r="B1631">
        <f>IF(A1631="",0,IF(MATCH(A1631,$A$4:$A$2403,0)=ROW()-3,1,0))</f>
        <v>0</v>
      </c>
      <c r="C1631">
        <f>N(C1630)+B1631</f>
        <v>26</v>
      </c>
      <c r="K1631">
        <f>IF(OR($K$1="",对接源_02物料!$C431="",对接源_02物料!$C431&lt;&gt;$K$1,对接源_02物料!$B431=""),0,IF(OR(N(对接源_02物料!$B431)&lt;$K$2,N(对接源_02物料!$B431)&gt;$K$3),0,1))</f>
        <v>0</v>
      </c>
      <c r="L1631">
        <f>IF(OR($L$1="",对接源_02物料!$C431="",对接源_02物料!$C431&lt;&gt;$L$1,对接源_02物料!$B431=""),0,IF(OR(N(对接源_02物料!$B431)&lt;$L$2,N(对接源_02物料!$B431)&gt;$L$3),0,1))</f>
        <v>0</v>
      </c>
      <c r="M1631">
        <f>IF(OR($M$1="",对接源_02物料!$C431="",对接源_02物料!$C431&lt;&gt;$M$1,对接源_02物料!$B431=""),0,IF(OR(N(对接源_02物料!$B431)&lt;$M$2,N(对接源_02物料!$B431)&gt;$M$3),0,1))</f>
        <v>0</v>
      </c>
      <c r="N1631">
        <f>IF(OR($N$1="",对接源_02物料!$C431="",对接源_02物料!$C431&lt;&gt;$N$1,对接源_02物料!$B431=""),0,IF(OR(N(对接源_02物料!$B431)&lt;$N$2,N(对接源_02物料!$B431)&gt;$N$3),0,1))</f>
        <v>0</v>
      </c>
      <c r="P1631">
        <f>IF(AND($K1631=1,AND(对接源_02物料!$X431="公司筐",N(对接源_02物料!$T431)&lt;&gt;0)),1,0)</f>
        <v>0</v>
      </c>
      <c r="Q1631">
        <f>N(Q1630)+$P1631</f>
        <v>14</v>
      </c>
      <c r="R1631">
        <f>IF(AND($K1631=1,AND(对接源_02物料!$X431="公司筐",N(对接源_02物料!$U431)&lt;&gt;0)),1,0)</f>
        <v>0</v>
      </c>
      <c r="S1631">
        <f>N(S1630)+$R1631</f>
        <v>1</v>
      </c>
      <c r="T1631">
        <f>IF(AND($K1631=1,AND(对接源_02物料!$X431="公司筐",N(对接源_02物料!$V431)&lt;&gt;0)),1,0)</f>
        <v>0</v>
      </c>
      <c r="U1631">
        <f>N(U1630)+$T1631</f>
        <v>47</v>
      </c>
      <c r="V1631">
        <f>IF(AND($L1631=1,AND(对接源_02物料!$X431="自备筐",N(对接源_02物料!$V431)&lt;&gt;0)),1,0)</f>
        <v>0</v>
      </c>
      <c r="W1631">
        <f>N(W1630)+$V1631</f>
        <v>11</v>
      </c>
      <c r="X1631">
        <f>IF(AND($L1631=1,AND(对接源_02物料!$X431="自备筐",N(对接源_02物料!$T431)&lt;&gt;0)),1,0)</f>
        <v>0</v>
      </c>
      <c r="Y1631">
        <f>N(Y1630)+$X1631</f>
        <v>0</v>
      </c>
      <c r="Z1631">
        <f>IF(AND($M1631=1,对接源_02物料!$D431="原料入库"),1,0)</f>
        <v>0</v>
      </c>
      <c r="AA1631">
        <f>N(AA1630)+$Z1631</f>
        <v>24</v>
      </c>
      <c r="AB1631">
        <f>IF(AND($M1631=1,LEFT(对接源_02物料!$D431,4)="原料出库"),1,0)</f>
        <v>0</v>
      </c>
      <c r="AC1631">
        <f>N(AC1630)+$AB1631</f>
        <v>0</v>
      </c>
      <c r="AD1631">
        <f>IF(AND($M1631=1,LEFT(对接源_02物料!$D431,4)="成品出库"),1,0)</f>
        <v>0</v>
      </c>
      <c r="AE1631">
        <f>N(AE1630)+$AD1631</f>
        <v>0</v>
      </c>
      <c r="AF1631">
        <f>IF(AND($N1631=1,AND(LEFT(对接源_02物料!$D431,4)="包装物料",N(对接源_02物料!$K431)&lt;&gt;0)),1,0)</f>
        <v>0</v>
      </c>
      <c r="AG1631">
        <f>N(AG1630)+$AF1631</f>
        <v>10</v>
      </c>
      <c r="AH1631">
        <f>IF(AND($N1631=1,AND(对接源_02物料!$D431="周转筐－销售出库",N(对接源_02物料!$K431)&lt;&gt;0)),1,0)</f>
        <v>0</v>
      </c>
      <c r="AI1631">
        <f>N(AI1630)+$AH1631</f>
        <v>0</v>
      </c>
      <c r="AL1631" t="n">
        <v>0</v>
      </c>
      <c r="AM1631">
        <f>N(AM1630)+$AL1631</f>
        <v>2</v>
      </c>
      <c r="AN1631">
        <f>""</f>
      </c>
      <c r="AO1631" t="n">
        <v>0</v>
      </c>
      <c r="AP1631">
        <f>N(AP1630)+$AO1631</f>
        <v>13</v>
      </c>
      <c r="AR1631">
        <f>IF(OR($AF1631=1,$AH1631=1),1,0)</f>
        <v>0</v>
      </c>
      <c r="AS1631">
        <f>N(AS1630)+$AR1631</f>
        <v>10</v>
      </c>
    </row>
    <row r="1632" s="127">
      <c r="A1632">
        <f>IF(对接源_02物料!$C432="","",对接源_02物料!$C432)</f>
      </c>
      <c r="B1632">
        <f>IF(A1632="",0,IF(MATCH(A1632,$A$4:$A$2403,0)=ROW()-3,1,0))</f>
        <v>0</v>
      </c>
      <c r="C1632">
        <f>N(C1631)+B1632</f>
        <v>26</v>
      </c>
      <c r="K1632">
        <f>IF(OR($K$1="",对接源_02物料!$C432="",对接源_02物料!$C432&lt;&gt;$K$1,对接源_02物料!$B432=""),0,IF(OR(N(对接源_02物料!$B432)&lt;$K$2,N(对接源_02物料!$B432)&gt;$K$3),0,1))</f>
        <v>0</v>
      </c>
      <c r="L1632">
        <f>IF(OR($L$1="",对接源_02物料!$C432="",对接源_02物料!$C432&lt;&gt;$L$1,对接源_02物料!$B432=""),0,IF(OR(N(对接源_02物料!$B432)&lt;$L$2,N(对接源_02物料!$B432)&gt;$L$3),0,1))</f>
        <v>0</v>
      </c>
      <c r="M1632">
        <f>IF(OR($M$1="",对接源_02物料!$C432="",对接源_02物料!$C432&lt;&gt;$M$1,对接源_02物料!$B432=""),0,IF(OR(N(对接源_02物料!$B432)&lt;$M$2,N(对接源_02物料!$B432)&gt;$M$3),0,1))</f>
        <v>0</v>
      </c>
      <c r="N1632">
        <f>IF(OR($N$1="",对接源_02物料!$C432="",对接源_02物料!$C432&lt;&gt;$N$1,对接源_02物料!$B432=""),0,IF(OR(N(对接源_02物料!$B432)&lt;$N$2,N(对接源_02物料!$B432)&gt;$N$3),0,1))</f>
        <v>0</v>
      </c>
      <c r="P1632">
        <f>IF(AND($K1632=1,AND(对接源_02物料!$X432="公司筐",N(对接源_02物料!$T432)&lt;&gt;0)),1,0)</f>
        <v>0</v>
      </c>
      <c r="Q1632">
        <f>N(Q1631)+$P1632</f>
        <v>14</v>
      </c>
      <c r="R1632">
        <f>IF(AND($K1632=1,AND(对接源_02物料!$X432="公司筐",N(对接源_02物料!$U432)&lt;&gt;0)),1,0)</f>
        <v>0</v>
      </c>
      <c r="S1632">
        <f>N(S1631)+$R1632</f>
        <v>1</v>
      </c>
      <c r="T1632">
        <f>IF(AND($K1632=1,AND(对接源_02物料!$X432="公司筐",N(对接源_02物料!$V432)&lt;&gt;0)),1,0)</f>
        <v>0</v>
      </c>
      <c r="U1632">
        <f>N(U1631)+$T1632</f>
        <v>47</v>
      </c>
      <c r="V1632">
        <f>IF(AND($L1632=1,AND(对接源_02物料!$X432="自备筐",N(对接源_02物料!$V432)&lt;&gt;0)),1,0)</f>
        <v>0</v>
      </c>
      <c r="W1632">
        <f>N(W1631)+$V1632</f>
        <v>11</v>
      </c>
      <c r="X1632">
        <f>IF(AND($L1632=1,AND(对接源_02物料!$X432="自备筐",N(对接源_02物料!$T432)&lt;&gt;0)),1,0)</f>
        <v>0</v>
      </c>
      <c r="Y1632">
        <f>N(Y1631)+$X1632</f>
        <v>0</v>
      </c>
      <c r="Z1632">
        <f>IF(AND($M1632=1,对接源_02物料!$D432="原料入库"),1,0)</f>
        <v>0</v>
      </c>
      <c r="AA1632">
        <f>N(AA1631)+$Z1632</f>
        <v>24</v>
      </c>
      <c r="AB1632">
        <f>IF(AND($M1632=1,LEFT(对接源_02物料!$D432,4)="原料出库"),1,0)</f>
        <v>0</v>
      </c>
      <c r="AC1632">
        <f>N(AC1631)+$AB1632</f>
        <v>0</v>
      </c>
      <c r="AD1632">
        <f>IF(AND($M1632=1,LEFT(对接源_02物料!$D432,4)="成品出库"),1,0)</f>
        <v>0</v>
      </c>
      <c r="AE1632">
        <f>N(AE1631)+$AD1632</f>
        <v>0</v>
      </c>
      <c r="AF1632">
        <f>IF(AND($N1632=1,AND(LEFT(对接源_02物料!$D432,4)="包装物料",N(对接源_02物料!$K432)&lt;&gt;0)),1,0)</f>
        <v>0</v>
      </c>
      <c r="AG1632">
        <f>N(AG1631)+$AF1632</f>
        <v>10</v>
      </c>
      <c r="AH1632">
        <f>IF(AND($N1632=1,AND(对接源_02物料!$D432="周转筐－销售出库",N(对接源_02物料!$K432)&lt;&gt;0)),1,0)</f>
        <v>0</v>
      </c>
      <c r="AI1632">
        <f>N(AI1631)+$AH1632</f>
        <v>0</v>
      </c>
      <c r="AL1632" t="n">
        <v>0</v>
      </c>
      <c r="AM1632">
        <f>N(AM1631)+$AL1632</f>
        <v>2</v>
      </c>
      <c r="AN1632">
        <f>""</f>
      </c>
      <c r="AO1632" t="n">
        <v>0</v>
      </c>
      <c r="AP1632">
        <f>N(AP1631)+$AO1632</f>
        <v>13</v>
      </c>
      <c r="AR1632">
        <f>IF(OR($AF1632=1,$AH1632=1),1,0)</f>
        <v>0</v>
      </c>
      <c r="AS1632">
        <f>N(AS1631)+$AR1632</f>
        <v>10</v>
      </c>
    </row>
    <row r="1633" s="127">
      <c r="A1633">
        <f>IF(对接源_02物料!$C433="","",对接源_02物料!$C433)</f>
      </c>
      <c r="B1633">
        <f>IF(A1633="",0,IF(MATCH(A1633,$A$4:$A$2403,0)=ROW()-3,1,0))</f>
        <v>0</v>
      </c>
      <c r="C1633">
        <f>N(C1632)+B1633</f>
        <v>26</v>
      </c>
      <c r="K1633">
        <f>IF(OR($K$1="",对接源_02物料!$C433="",对接源_02物料!$C433&lt;&gt;$K$1,对接源_02物料!$B433=""),0,IF(OR(N(对接源_02物料!$B433)&lt;$K$2,N(对接源_02物料!$B433)&gt;$K$3),0,1))</f>
        <v>0</v>
      </c>
      <c r="L1633">
        <f>IF(OR($L$1="",对接源_02物料!$C433="",对接源_02物料!$C433&lt;&gt;$L$1,对接源_02物料!$B433=""),0,IF(OR(N(对接源_02物料!$B433)&lt;$L$2,N(对接源_02物料!$B433)&gt;$L$3),0,1))</f>
        <v>0</v>
      </c>
      <c r="M1633">
        <f>IF(OR($M$1="",对接源_02物料!$C433="",对接源_02物料!$C433&lt;&gt;$M$1,对接源_02物料!$B433=""),0,IF(OR(N(对接源_02物料!$B433)&lt;$M$2,N(对接源_02物料!$B433)&gt;$M$3),0,1))</f>
        <v>0</v>
      </c>
      <c r="N1633">
        <f>IF(OR($N$1="",对接源_02物料!$C433="",对接源_02物料!$C433&lt;&gt;$N$1,对接源_02物料!$B433=""),0,IF(OR(N(对接源_02物料!$B433)&lt;$N$2,N(对接源_02物料!$B433)&gt;$N$3),0,1))</f>
        <v>0</v>
      </c>
      <c r="P1633">
        <f>IF(AND($K1633=1,AND(对接源_02物料!$X433="公司筐",N(对接源_02物料!$T433)&lt;&gt;0)),1,0)</f>
        <v>0</v>
      </c>
      <c r="Q1633">
        <f>N(Q1632)+$P1633</f>
        <v>14</v>
      </c>
      <c r="R1633">
        <f>IF(AND($K1633=1,AND(对接源_02物料!$X433="公司筐",N(对接源_02物料!$U433)&lt;&gt;0)),1,0)</f>
        <v>0</v>
      </c>
      <c r="S1633">
        <f>N(S1632)+$R1633</f>
        <v>1</v>
      </c>
      <c r="T1633">
        <f>IF(AND($K1633=1,AND(对接源_02物料!$X433="公司筐",N(对接源_02物料!$V433)&lt;&gt;0)),1,0)</f>
        <v>0</v>
      </c>
      <c r="U1633">
        <f>N(U1632)+$T1633</f>
        <v>47</v>
      </c>
      <c r="V1633">
        <f>IF(AND($L1633=1,AND(对接源_02物料!$X433="自备筐",N(对接源_02物料!$V433)&lt;&gt;0)),1,0)</f>
        <v>0</v>
      </c>
      <c r="W1633">
        <f>N(W1632)+$V1633</f>
        <v>11</v>
      </c>
      <c r="X1633">
        <f>IF(AND($L1633=1,AND(对接源_02物料!$X433="自备筐",N(对接源_02物料!$T433)&lt;&gt;0)),1,0)</f>
        <v>0</v>
      </c>
      <c r="Y1633">
        <f>N(Y1632)+$X1633</f>
        <v>0</v>
      </c>
      <c r="Z1633">
        <f>IF(AND($M1633=1,对接源_02物料!$D433="原料入库"),1,0)</f>
        <v>0</v>
      </c>
      <c r="AA1633">
        <f>N(AA1632)+$Z1633</f>
        <v>24</v>
      </c>
      <c r="AB1633">
        <f>IF(AND($M1633=1,LEFT(对接源_02物料!$D433,4)="原料出库"),1,0)</f>
        <v>0</v>
      </c>
      <c r="AC1633">
        <f>N(AC1632)+$AB1633</f>
        <v>0</v>
      </c>
      <c r="AD1633">
        <f>IF(AND($M1633=1,LEFT(对接源_02物料!$D433,4)="成品出库"),1,0)</f>
        <v>0</v>
      </c>
      <c r="AE1633">
        <f>N(AE1632)+$AD1633</f>
        <v>0</v>
      </c>
      <c r="AF1633">
        <f>IF(AND($N1633=1,AND(LEFT(对接源_02物料!$D433,4)="包装物料",N(对接源_02物料!$K433)&lt;&gt;0)),1,0)</f>
        <v>0</v>
      </c>
      <c r="AG1633">
        <f>N(AG1632)+$AF1633</f>
        <v>10</v>
      </c>
      <c r="AH1633">
        <f>IF(AND($N1633=1,AND(对接源_02物料!$D433="周转筐－销售出库",N(对接源_02物料!$K433)&lt;&gt;0)),1,0)</f>
        <v>0</v>
      </c>
      <c r="AI1633">
        <f>N(AI1632)+$AH1633</f>
        <v>0</v>
      </c>
      <c r="AL1633" t="n">
        <v>0</v>
      </c>
      <c r="AM1633">
        <f>N(AM1632)+$AL1633</f>
        <v>2</v>
      </c>
      <c r="AN1633">
        <f>""</f>
      </c>
      <c r="AO1633" t="n">
        <v>0</v>
      </c>
      <c r="AP1633">
        <f>N(AP1632)+$AO1633</f>
        <v>13</v>
      </c>
      <c r="AR1633">
        <f>IF(OR($AF1633=1,$AH1633=1),1,0)</f>
        <v>0</v>
      </c>
      <c r="AS1633">
        <f>N(AS1632)+$AR1633</f>
        <v>10</v>
      </c>
    </row>
    <row r="1634" s="127">
      <c r="A1634">
        <f>IF(对接源_02物料!$C434="","",对接源_02物料!$C434)</f>
      </c>
      <c r="B1634">
        <f>IF(A1634="",0,IF(MATCH(A1634,$A$4:$A$2403,0)=ROW()-3,1,0))</f>
        <v>0</v>
      </c>
      <c r="C1634">
        <f>N(C1633)+B1634</f>
        <v>26</v>
      </c>
      <c r="K1634">
        <f>IF(OR($K$1="",对接源_02物料!$C434="",对接源_02物料!$C434&lt;&gt;$K$1,对接源_02物料!$B434=""),0,IF(OR(N(对接源_02物料!$B434)&lt;$K$2,N(对接源_02物料!$B434)&gt;$K$3),0,1))</f>
        <v>0</v>
      </c>
      <c r="L1634">
        <f>IF(OR($L$1="",对接源_02物料!$C434="",对接源_02物料!$C434&lt;&gt;$L$1,对接源_02物料!$B434=""),0,IF(OR(N(对接源_02物料!$B434)&lt;$L$2,N(对接源_02物料!$B434)&gt;$L$3),0,1))</f>
        <v>0</v>
      </c>
      <c r="M1634">
        <f>IF(OR($M$1="",对接源_02物料!$C434="",对接源_02物料!$C434&lt;&gt;$M$1,对接源_02物料!$B434=""),0,IF(OR(N(对接源_02物料!$B434)&lt;$M$2,N(对接源_02物料!$B434)&gt;$M$3),0,1))</f>
        <v>0</v>
      </c>
      <c r="N1634">
        <f>IF(OR($N$1="",对接源_02物料!$C434="",对接源_02物料!$C434&lt;&gt;$N$1,对接源_02物料!$B434=""),0,IF(OR(N(对接源_02物料!$B434)&lt;$N$2,N(对接源_02物料!$B434)&gt;$N$3),0,1))</f>
        <v>0</v>
      </c>
      <c r="P1634">
        <f>IF(AND($K1634=1,AND(对接源_02物料!$X434="公司筐",N(对接源_02物料!$T434)&lt;&gt;0)),1,0)</f>
        <v>0</v>
      </c>
      <c r="Q1634">
        <f>N(Q1633)+$P1634</f>
        <v>14</v>
      </c>
      <c r="R1634">
        <f>IF(AND($K1634=1,AND(对接源_02物料!$X434="公司筐",N(对接源_02物料!$U434)&lt;&gt;0)),1,0)</f>
        <v>0</v>
      </c>
      <c r="S1634">
        <f>N(S1633)+$R1634</f>
        <v>1</v>
      </c>
      <c r="T1634">
        <f>IF(AND($K1634=1,AND(对接源_02物料!$X434="公司筐",N(对接源_02物料!$V434)&lt;&gt;0)),1,0)</f>
        <v>0</v>
      </c>
      <c r="U1634">
        <f>N(U1633)+$T1634</f>
        <v>47</v>
      </c>
      <c r="V1634">
        <f>IF(AND($L1634=1,AND(对接源_02物料!$X434="自备筐",N(对接源_02物料!$V434)&lt;&gt;0)),1,0)</f>
        <v>0</v>
      </c>
      <c r="W1634">
        <f>N(W1633)+$V1634</f>
        <v>11</v>
      </c>
      <c r="X1634">
        <f>IF(AND($L1634=1,AND(对接源_02物料!$X434="自备筐",N(对接源_02物料!$T434)&lt;&gt;0)),1,0)</f>
        <v>0</v>
      </c>
      <c r="Y1634">
        <f>N(Y1633)+$X1634</f>
        <v>0</v>
      </c>
      <c r="Z1634">
        <f>IF(AND($M1634=1,对接源_02物料!$D434="原料入库"),1,0)</f>
        <v>0</v>
      </c>
      <c r="AA1634">
        <f>N(AA1633)+$Z1634</f>
        <v>24</v>
      </c>
      <c r="AB1634">
        <f>IF(AND($M1634=1,LEFT(对接源_02物料!$D434,4)="原料出库"),1,0)</f>
        <v>0</v>
      </c>
      <c r="AC1634">
        <f>N(AC1633)+$AB1634</f>
        <v>0</v>
      </c>
      <c r="AD1634">
        <f>IF(AND($M1634=1,LEFT(对接源_02物料!$D434,4)="成品出库"),1,0)</f>
        <v>0</v>
      </c>
      <c r="AE1634">
        <f>N(AE1633)+$AD1634</f>
        <v>0</v>
      </c>
      <c r="AF1634">
        <f>IF(AND($N1634=1,AND(LEFT(对接源_02物料!$D434,4)="包装物料",N(对接源_02物料!$K434)&lt;&gt;0)),1,0)</f>
        <v>0</v>
      </c>
      <c r="AG1634">
        <f>N(AG1633)+$AF1634</f>
        <v>10</v>
      </c>
      <c r="AH1634">
        <f>IF(AND($N1634=1,AND(对接源_02物料!$D434="周转筐－销售出库",N(对接源_02物料!$K434)&lt;&gt;0)),1,0)</f>
        <v>0</v>
      </c>
      <c r="AI1634">
        <f>N(AI1633)+$AH1634</f>
        <v>0</v>
      </c>
      <c r="AL1634" t="n">
        <v>0</v>
      </c>
      <c r="AM1634">
        <f>N(AM1633)+$AL1634</f>
        <v>2</v>
      </c>
      <c r="AN1634">
        <f>""</f>
      </c>
      <c r="AO1634" t="n">
        <v>0</v>
      </c>
      <c r="AP1634">
        <f>N(AP1633)+$AO1634</f>
        <v>13</v>
      </c>
      <c r="AR1634">
        <f>IF(OR($AF1634=1,$AH1634=1),1,0)</f>
        <v>0</v>
      </c>
      <c r="AS1634">
        <f>N(AS1633)+$AR1634</f>
        <v>10</v>
      </c>
    </row>
    <row r="1635" s="127">
      <c r="A1635">
        <f>IF(对接源_02物料!$C435="","",对接源_02物料!$C435)</f>
      </c>
      <c r="B1635">
        <f>IF(A1635="",0,IF(MATCH(A1635,$A$4:$A$2403,0)=ROW()-3,1,0))</f>
        <v>0</v>
      </c>
      <c r="C1635">
        <f>N(C1634)+B1635</f>
        <v>26</v>
      </c>
      <c r="K1635">
        <f>IF(OR($K$1="",对接源_02物料!$C435="",对接源_02物料!$C435&lt;&gt;$K$1,对接源_02物料!$B435=""),0,IF(OR(N(对接源_02物料!$B435)&lt;$K$2,N(对接源_02物料!$B435)&gt;$K$3),0,1))</f>
        <v>0</v>
      </c>
      <c r="L1635">
        <f>IF(OR($L$1="",对接源_02物料!$C435="",对接源_02物料!$C435&lt;&gt;$L$1,对接源_02物料!$B435=""),0,IF(OR(N(对接源_02物料!$B435)&lt;$L$2,N(对接源_02物料!$B435)&gt;$L$3),0,1))</f>
        <v>0</v>
      </c>
      <c r="M1635">
        <f>IF(OR($M$1="",对接源_02物料!$C435="",对接源_02物料!$C435&lt;&gt;$M$1,对接源_02物料!$B435=""),0,IF(OR(N(对接源_02物料!$B435)&lt;$M$2,N(对接源_02物料!$B435)&gt;$M$3),0,1))</f>
        <v>0</v>
      </c>
      <c r="N1635">
        <f>IF(OR($N$1="",对接源_02物料!$C435="",对接源_02物料!$C435&lt;&gt;$N$1,对接源_02物料!$B435=""),0,IF(OR(N(对接源_02物料!$B435)&lt;$N$2,N(对接源_02物料!$B435)&gt;$N$3),0,1))</f>
        <v>0</v>
      </c>
      <c r="P1635">
        <f>IF(AND($K1635=1,AND(对接源_02物料!$X435="公司筐",N(对接源_02物料!$T435)&lt;&gt;0)),1,0)</f>
        <v>0</v>
      </c>
      <c r="Q1635">
        <f>N(Q1634)+$P1635</f>
        <v>14</v>
      </c>
      <c r="R1635">
        <f>IF(AND($K1635=1,AND(对接源_02物料!$X435="公司筐",N(对接源_02物料!$U435)&lt;&gt;0)),1,0)</f>
        <v>0</v>
      </c>
      <c r="S1635">
        <f>N(S1634)+$R1635</f>
        <v>1</v>
      </c>
      <c r="T1635">
        <f>IF(AND($K1635=1,AND(对接源_02物料!$X435="公司筐",N(对接源_02物料!$V435)&lt;&gt;0)),1,0)</f>
        <v>0</v>
      </c>
      <c r="U1635">
        <f>N(U1634)+$T1635</f>
        <v>47</v>
      </c>
      <c r="V1635">
        <f>IF(AND($L1635=1,AND(对接源_02物料!$X435="自备筐",N(对接源_02物料!$V435)&lt;&gt;0)),1,0)</f>
        <v>0</v>
      </c>
      <c r="W1635">
        <f>N(W1634)+$V1635</f>
        <v>11</v>
      </c>
      <c r="X1635">
        <f>IF(AND($L1635=1,AND(对接源_02物料!$X435="自备筐",N(对接源_02物料!$T435)&lt;&gt;0)),1,0)</f>
        <v>0</v>
      </c>
      <c r="Y1635">
        <f>N(Y1634)+$X1635</f>
        <v>0</v>
      </c>
      <c r="Z1635">
        <f>IF(AND($M1635=1,对接源_02物料!$D435="原料入库"),1,0)</f>
        <v>0</v>
      </c>
      <c r="AA1635">
        <f>N(AA1634)+$Z1635</f>
        <v>24</v>
      </c>
      <c r="AB1635">
        <f>IF(AND($M1635=1,LEFT(对接源_02物料!$D435,4)="原料出库"),1,0)</f>
        <v>0</v>
      </c>
      <c r="AC1635">
        <f>N(AC1634)+$AB1635</f>
        <v>0</v>
      </c>
      <c r="AD1635">
        <f>IF(AND($M1635=1,LEFT(对接源_02物料!$D435,4)="成品出库"),1,0)</f>
        <v>0</v>
      </c>
      <c r="AE1635">
        <f>N(AE1634)+$AD1635</f>
        <v>0</v>
      </c>
      <c r="AF1635">
        <f>IF(AND($N1635=1,AND(LEFT(对接源_02物料!$D435,4)="包装物料",N(对接源_02物料!$K435)&lt;&gt;0)),1,0)</f>
        <v>0</v>
      </c>
      <c r="AG1635">
        <f>N(AG1634)+$AF1635</f>
        <v>10</v>
      </c>
      <c r="AH1635">
        <f>IF(AND($N1635=1,AND(对接源_02物料!$D435="周转筐－销售出库",N(对接源_02物料!$K435)&lt;&gt;0)),1,0)</f>
        <v>0</v>
      </c>
      <c r="AI1635">
        <f>N(AI1634)+$AH1635</f>
        <v>0</v>
      </c>
      <c r="AL1635" t="n">
        <v>0</v>
      </c>
      <c r="AM1635">
        <f>N(AM1634)+$AL1635</f>
        <v>2</v>
      </c>
      <c r="AN1635">
        <f>""</f>
      </c>
      <c r="AO1635" t="n">
        <v>0</v>
      </c>
      <c r="AP1635">
        <f>N(AP1634)+$AO1635</f>
        <v>13</v>
      </c>
      <c r="AR1635">
        <f>IF(OR($AF1635=1,$AH1635=1),1,0)</f>
        <v>0</v>
      </c>
      <c r="AS1635">
        <f>N(AS1634)+$AR1635</f>
        <v>10</v>
      </c>
    </row>
    <row r="1636" s="127">
      <c r="A1636">
        <f>IF(对接源_02物料!$C436="","",对接源_02物料!$C436)</f>
      </c>
      <c r="B1636">
        <f>IF(A1636="",0,IF(MATCH(A1636,$A$4:$A$2403,0)=ROW()-3,1,0))</f>
        <v>0</v>
      </c>
      <c r="C1636">
        <f>N(C1635)+B1636</f>
        <v>26</v>
      </c>
      <c r="K1636">
        <f>IF(OR($K$1="",对接源_02物料!$C436="",对接源_02物料!$C436&lt;&gt;$K$1,对接源_02物料!$B436=""),0,IF(OR(N(对接源_02物料!$B436)&lt;$K$2,N(对接源_02物料!$B436)&gt;$K$3),0,1))</f>
        <v>0</v>
      </c>
      <c r="L1636">
        <f>IF(OR($L$1="",对接源_02物料!$C436="",对接源_02物料!$C436&lt;&gt;$L$1,对接源_02物料!$B436=""),0,IF(OR(N(对接源_02物料!$B436)&lt;$L$2,N(对接源_02物料!$B436)&gt;$L$3),0,1))</f>
        <v>0</v>
      </c>
      <c r="M1636">
        <f>IF(OR($M$1="",对接源_02物料!$C436="",对接源_02物料!$C436&lt;&gt;$M$1,对接源_02物料!$B436=""),0,IF(OR(N(对接源_02物料!$B436)&lt;$M$2,N(对接源_02物料!$B436)&gt;$M$3),0,1))</f>
        <v>0</v>
      </c>
      <c r="N1636">
        <f>IF(OR($N$1="",对接源_02物料!$C436="",对接源_02物料!$C436&lt;&gt;$N$1,对接源_02物料!$B436=""),0,IF(OR(N(对接源_02物料!$B436)&lt;$N$2,N(对接源_02物料!$B436)&gt;$N$3),0,1))</f>
        <v>0</v>
      </c>
      <c r="P1636">
        <f>IF(AND($K1636=1,AND(对接源_02物料!$X436="公司筐",N(对接源_02物料!$T436)&lt;&gt;0)),1,0)</f>
        <v>0</v>
      </c>
      <c r="Q1636">
        <f>N(Q1635)+$P1636</f>
        <v>14</v>
      </c>
      <c r="R1636">
        <f>IF(AND($K1636=1,AND(对接源_02物料!$X436="公司筐",N(对接源_02物料!$U436)&lt;&gt;0)),1,0)</f>
        <v>0</v>
      </c>
      <c r="S1636">
        <f>N(S1635)+$R1636</f>
        <v>1</v>
      </c>
      <c r="T1636">
        <f>IF(AND($K1636=1,AND(对接源_02物料!$X436="公司筐",N(对接源_02物料!$V436)&lt;&gt;0)),1,0)</f>
        <v>0</v>
      </c>
      <c r="U1636">
        <f>N(U1635)+$T1636</f>
        <v>47</v>
      </c>
      <c r="V1636">
        <f>IF(AND($L1636=1,AND(对接源_02物料!$X436="自备筐",N(对接源_02物料!$V436)&lt;&gt;0)),1,0)</f>
        <v>0</v>
      </c>
      <c r="W1636">
        <f>N(W1635)+$V1636</f>
        <v>11</v>
      </c>
      <c r="X1636">
        <f>IF(AND($L1636=1,AND(对接源_02物料!$X436="自备筐",N(对接源_02物料!$T436)&lt;&gt;0)),1,0)</f>
        <v>0</v>
      </c>
      <c r="Y1636">
        <f>N(Y1635)+$X1636</f>
        <v>0</v>
      </c>
      <c r="Z1636">
        <f>IF(AND($M1636=1,对接源_02物料!$D436="原料入库"),1,0)</f>
        <v>0</v>
      </c>
      <c r="AA1636">
        <f>N(AA1635)+$Z1636</f>
        <v>24</v>
      </c>
      <c r="AB1636">
        <f>IF(AND($M1636=1,LEFT(对接源_02物料!$D436,4)="原料出库"),1,0)</f>
        <v>0</v>
      </c>
      <c r="AC1636">
        <f>N(AC1635)+$AB1636</f>
        <v>0</v>
      </c>
      <c r="AD1636">
        <f>IF(AND($M1636=1,LEFT(对接源_02物料!$D436,4)="成品出库"),1,0)</f>
        <v>0</v>
      </c>
      <c r="AE1636">
        <f>N(AE1635)+$AD1636</f>
        <v>0</v>
      </c>
      <c r="AF1636">
        <f>IF(AND($N1636=1,AND(LEFT(对接源_02物料!$D436,4)="包装物料",N(对接源_02物料!$K436)&lt;&gt;0)),1,0)</f>
        <v>0</v>
      </c>
      <c r="AG1636">
        <f>N(AG1635)+$AF1636</f>
        <v>10</v>
      </c>
      <c r="AH1636">
        <f>IF(AND($N1636=1,AND(对接源_02物料!$D436="周转筐－销售出库",N(对接源_02物料!$K436)&lt;&gt;0)),1,0)</f>
        <v>0</v>
      </c>
      <c r="AI1636">
        <f>N(AI1635)+$AH1636</f>
        <v>0</v>
      </c>
      <c r="AL1636" t="n">
        <v>0</v>
      </c>
      <c r="AM1636">
        <f>N(AM1635)+$AL1636</f>
        <v>2</v>
      </c>
      <c r="AN1636">
        <f>""</f>
      </c>
      <c r="AO1636" t="n">
        <v>0</v>
      </c>
      <c r="AP1636">
        <f>N(AP1635)+$AO1636</f>
        <v>13</v>
      </c>
      <c r="AR1636">
        <f>IF(OR($AF1636=1,$AH1636=1),1,0)</f>
        <v>0</v>
      </c>
      <c r="AS1636">
        <f>N(AS1635)+$AR1636</f>
        <v>10</v>
      </c>
    </row>
    <row r="1637" s="127">
      <c r="A1637">
        <f>IF(对接源_02物料!$C437="","",对接源_02物料!$C437)</f>
      </c>
      <c r="B1637">
        <f>IF(A1637="",0,IF(MATCH(A1637,$A$4:$A$2403,0)=ROW()-3,1,0))</f>
        <v>0</v>
      </c>
      <c r="C1637">
        <f>N(C1636)+B1637</f>
        <v>26</v>
      </c>
      <c r="K1637">
        <f>IF(OR($K$1="",对接源_02物料!$C437="",对接源_02物料!$C437&lt;&gt;$K$1,对接源_02物料!$B437=""),0,IF(OR(N(对接源_02物料!$B437)&lt;$K$2,N(对接源_02物料!$B437)&gt;$K$3),0,1))</f>
        <v>0</v>
      </c>
      <c r="L1637">
        <f>IF(OR($L$1="",对接源_02物料!$C437="",对接源_02物料!$C437&lt;&gt;$L$1,对接源_02物料!$B437=""),0,IF(OR(N(对接源_02物料!$B437)&lt;$L$2,N(对接源_02物料!$B437)&gt;$L$3),0,1))</f>
        <v>0</v>
      </c>
      <c r="M1637">
        <f>IF(OR($M$1="",对接源_02物料!$C437="",对接源_02物料!$C437&lt;&gt;$M$1,对接源_02物料!$B437=""),0,IF(OR(N(对接源_02物料!$B437)&lt;$M$2,N(对接源_02物料!$B437)&gt;$M$3),0,1))</f>
        <v>0</v>
      </c>
      <c r="N1637">
        <f>IF(OR($N$1="",对接源_02物料!$C437="",对接源_02物料!$C437&lt;&gt;$N$1,对接源_02物料!$B437=""),0,IF(OR(N(对接源_02物料!$B437)&lt;$N$2,N(对接源_02物料!$B437)&gt;$N$3),0,1))</f>
        <v>0</v>
      </c>
      <c r="P1637">
        <f>IF(AND($K1637=1,AND(对接源_02物料!$X437="公司筐",N(对接源_02物料!$T437)&lt;&gt;0)),1,0)</f>
        <v>0</v>
      </c>
      <c r="Q1637">
        <f>N(Q1636)+$P1637</f>
        <v>14</v>
      </c>
      <c r="R1637">
        <f>IF(AND($K1637=1,AND(对接源_02物料!$X437="公司筐",N(对接源_02物料!$U437)&lt;&gt;0)),1,0)</f>
        <v>0</v>
      </c>
      <c r="S1637">
        <f>N(S1636)+$R1637</f>
        <v>1</v>
      </c>
      <c r="T1637">
        <f>IF(AND($K1637=1,AND(对接源_02物料!$X437="公司筐",N(对接源_02物料!$V437)&lt;&gt;0)),1,0)</f>
        <v>0</v>
      </c>
      <c r="U1637">
        <f>N(U1636)+$T1637</f>
        <v>47</v>
      </c>
      <c r="V1637">
        <f>IF(AND($L1637=1,AND(对接源_02物料!$X437="自备筐",N(对接源_02物料!$V437)&lt;&gt;0)),1,0)</f>
        <v>0</v>
      </c>
      <c r="W1637">
        <f>N(W1636)+$V1637</f>
        <v>11</v>
      </c>
      <c r="X1637">
        <f>IF(AND($L1637=1,AND(对接源_02物料!$X437="自备筐",N(对接源_02物料!$T437)&lt;&gt;0)),1,0)</f>
        <v>0</v>
      </c>
      <c r="Y1637">
        <f>N(Y1636)+$X1637</f>
        <v>0</v>
      </c>
      <c r="Z1637">
        <f>IF(AND($M1637=1,对接源_02物料!$D437="原料入库"),1,0)</f>
        <v>0</v>
      </c>
      <c r="AA1637">
        <f>N(AA1636)+$Z1637</f>
        <v>24</v>
      </c>
      <c r="AB1637">
        <f>IF(AND($M1637=1,LEFT(对接源_02物料!$D437,4)="原料出库"),1,0)</f>
        <v>0</v>
      </c>
      <c r="AC1637">
        <f>N(AC1636)+$AB1637</f>
        <v>0</v>
      </c>
      <c r="AD1637">
        <f>IF(AND($M1637=1,LEFT(对接源_02物料!$D437,4)="成品出库"),1,0)</f>
        <v>0</v>
      </c>
      <c r="AE1637">
        <f>N(AE1636)+$AD1637</f>
        <v>0</v>
      </c>
      <c r="AF1637">
        <f>IF(AND($N1637=1,AND(LEFT(对接源_02物料!$D437,4)="包装物料",N(对接源_02物料!$K437)&lt;&gt;0)),1,0)</f>
        <v>0</v>
      </c>
      <c r="AG1637">
        <f>N(AG1636)+$AF1637</f>
        <v>10</v>
      </c>
      <c r="AH1637">
        <f>IF(AND($N1637=1,AND(对接源_02物料!$D437="周转筐－销售出库",N(对接源_02物料!$K437)&lt;&gt;0)),1,0)</f>
        <v>0</v>
      </c>
      <c r="AI1637">
        <f>N(AI1636)+$AH1637</f>
        <v>0</v>
      </c>
      <c r="AL1637" t="n">
        <v>0</v>
      </c>
      <c r="AM1637">
        <f>N(AM1636)+$AL1637</f>
        <v>2</v>
      </c>
      <c r="AN1637">
        <f>""</f>
      </c>
      <c r="AO1637" t="n">
        <v>0</v>
      </c>
      <c r="AP1637">
        <f>N(AP1636)+$AO1637</f>
        <v>13</v>
      </c>
      <c r="AR1637">
        <f>IF(OR($AF1637=1,$AH1637=1),1,0)</f>
        <v>0</v>
      </c>
      <c r="AS1637">
        <f>N(AS1636)+$AR1637</f>
        <v>10</v>
      </c>
    </row>
    <row r="1638" s="127">
      <c r="A1638">
        <f>IF(对接源_02物料!$C438="","",对接源_02物料!$C438)</f>
      </c>
      <c r="B1638">
        <f>IF(A1638="",0,IF(MATCH(A1638,$A$4:$A$2403,0)=ROW()-3,1,0))</f>
        <v>0</v>
      </c>
      <c r="C1638">
        <f>N(C1637)+B1638</f>
        <v>26</v>
      </c>
      <c r="K1638">
        <f>IF(OR($K$1="",对接源_02物料!$C438="",对接源_02物料!$C438&lt;&gt;$K$1,对接源_02物料!$B438=""),0,IF(OR(N(对接源_02物料!$B438)&lt;$K$2,N(对接源_02物料!$B438)&gt;$K$3),0,1))</f>
        <v>0</v>
      </c>
      <c r="L1638">
        <f>IF(OR($L$1="",对接源_02物料!$C438="",对接源_02物料!$C438&lt;&gt;$L$1,对接源_02物料!$B438=""),0,IF(OR(N(对接源_02物料!$B438)&lt;$L$2,N(对接源_02物料!$B438)&gt;$L$3),0,1))</f>
        <v>0</v>
      </c>
      <c r="M1638">
        <f>IF(OR($M$1="",对接源_02物料!$C438="",对接源_02物料!$C438&lt;&gt;$M$1,对接源_02物料!$B438=""),0,IF(OR(N(对接源_02物料!$B438)&lt;$M$2,N(对接源_02物料!$B438)&gt;$M$3),0,1))</f>
        <v>0</v>
      </c>
      <c r="N1638">
        <f>IF(OR($N$1="",对接源_02物料!$C438="",对接源_02物料!$C438&lt;&gt;$N$1,对接源_02物料!$B438=""),0,IF(OR(N(对接源_02物料!$B438)&lt;$N$2,N(对接源_02物料!$B438)&gt;$N$3),0,1))</f>
        <v>0</v>
      </c>
      <c r="P1638">
        <f>IF(AND($K1638=1,AND(对接源_02物料!$X438="公司筐",N(对接源_02物料!$T438)&lt;&gt;0)),1,0)</f>
        <v>0</v>
      </c>
      <c r="Q1638">
        <f>N(Q1637)+$P1638</f>
        <v>14</v>
      </c>
      <c r="R1638">
        <f>IF(AND($K1638=1,AND(对接源_02物料!$X438="公司筐",N(对接源_02物料!$U438)&lt;&gt;0)),1,0)</f>
        <v>0</v>
      </c>
      <c r="S1638">
        <f>N(S1637)+$R1638</f>
        <v>1</v>
      </c>
      <c r="T1638">
        <f>IF(AND($K1638=1,AND(对接源_02物料!$X438="公司筐",N(对接源_02物料!$V438)&lt;&gt;0)),1,0)</f>
        <v>0</v>
      </c>
      <c r="U1638">
        <f>N(U1637)+$T1638</f>
        <v>47</v>
      </c>
      <c r="V1638">
        <f>IF(AND($L1638=1,AND(对接源_02物料!$X438="自备筐",N(对接源_02物料!$V438)&lt;&gt;0)),1,0)</f>
        <v>0</v>
      </c>
      <c r="W1638">
        <f>N(W1637)+$V1638</f>
        <v>11</v>
      </c>
      <c r="X1638">
        <f>IF(AND($L1638=1,AND(对接源_02物料!$X438="自备筐",N(对接源_02物料!$T438)&lt;&gt;0)),1,0)</f>
        <v>0</v>
      </c>
      <c r="Y1638">
        <f>N(Y1637)+$X1638</f>
        <v>0</v>
      </c>
      <c r="Z1638">
        <f>IF(AND($M1638=1,对接源_02物料!$D438="原料入库"),1,0)</f>
        <v>0</v>
      </c>
      <c r="AA1638">
        <f>N(AA1637)+$Z1638</f>
        <v>24</v>
      </c>
      <c r="AB1638">
        <f>IF(AND($M1638=1,LEFT(对接源_02物料!$D438,4)="原料出库"),1,0)</f>
        <v>0</v>
      </c>
      <c r="AC1638">
        <f>N(AC1637)+$AB1638</f>
        <v>0</v>
      </c>
      <c r="AD1638">
        <f>IF(AND($M1638=1,LEFT(对接源_02物料!$D438,4)="成品出库"),1,0)</f>
        <v>0</v>
      </c>
      <c r="AE1638">
        <f>N(AE1637)+$AD1638</f>
        <v>0</v>
      </c>
      <c r="AF1638">
        <f>IF(AND($N1638=1,AND(LEFT(对接源_02物料!$D438,4)="包装物料",N(对接源_02物料!$K438)&lt;&gt;0)),1,0)</f>
        <v>0</v>
      </c>
      <c r="AG1638">
        <f>N(AG1637)+$AF1638</f>
        <v>10</v>
      </c>
      <c r="AH1638">
        <f>IF(AND($N1638=1,AND(对接源_02物料!$D438="周转筐－销售出库",N(对接源_02物料!$K438)&lt;&gt;0)),1,0)</f>
        <v>0</v>
      </c>
      <c r="AI1638">
        <f>N(AI1637)+$AH1638</f>
        <v>0</v>
      </c>
      <c r="AL1638" t="n">
        <v>0</v>
      </c>
      <c r="AM1638">
        <f>N(AM1637)+$AL1638</f>
        <v>2</v>
      </c>
      <c r="AN1638">
        <f>""</f>
      </c>
      <c r="AO1638" t="n">
        <v>0</v>
      </c>
      <c r="AP1638">
        <f>N(AP1637)+$AO1638</f>
        <v>13</v>
      </c>
      <c r="AR1638">
        <f>IF(OR($AF1638=1,$AH1638=1),1,0)</f>
        <v>0</v>
      </c>
      <c r="AS1638">
        <f>N(AS1637)+$AR1638</f>
        <v>10</v>
      </c>
    </row>
    <row r="1639" s="127">
      <c r="A1639">
        <f>IF(对接源_02物料!$C439="","",对接源_02物料!$C439)</f>
      </c>
      <c r="B1639">
        <f>IF(A1639="",0,IF(MATCH(A1639,$A$4:$A$2403,0)=ROW()-3,1,0))</f>
        <v>0</v>
      </c>
      <c r="C1639">
        <f>N(C1638)+B1639</f>
        <v>26</v>
      </c>
      <c r="K1639">
        <f>IF(OR($K$1="",对接源_02物料!$C439="",对接源_02物料!$C439&lt;&gt;$K$1,对接源_02物料!$B439=""),0,IF(OR(N(对接源_02物料!$B439)&lt;$K$2,N(对接源_02物料!$B439)&gt;$K$3),0,1))</f>
        <v>0</v>
      </c>
      <c r="L1639">
        <f>IF(OR($L$1="",对接源_02物料!$C439="",对接源_02物料!$C439&lt;&gt;$L$1,对接源_02物料!$B439=""),0,IF(OR(N(对接源_02物料!$B439)&lt;$L$2,N(对接源_02物料!$B439)&gt;$L$3),0,1))</f>
        <v>0</v>
      </c>
      <c r="M1639">
        <f>IF(OR($M$1="",对接源_02物料!$C439="",对接源_02物料!$C439&lt;&gt;$M$1,对接源_02物料!$B439=""),0,IF(OR(N(对接源_02物料!$B439)&lt;$M$2,N(对接源_02物料!$B439)&gt;$M$3),0,1))</f>
        <v>0</v>
      </c>
      <c r="N1639">
        <f>IF(OR($N$1="",对接源_02物料!$C439="",对接源_02物料!$C439&lt;&gt;$N$1,对接源_02物料!$B439=""),0,IF(OR(N(对接源_02物料!$B439)&lt;$N$2,N(对接源_02物料!$B439)&gt;$N$3),0,1))</f>
        <v>0</v>
      </c>
      <c r="P1639">
        <f>IF(AND($K1639=1,AND(对接源_02物料!$X439="公司筐",N(对接源_02物料!$T439)&lt;&gt;0)),1,0)</f>
        <v>0</v>
      </c>
      <c r="Q1639">
        <f>N(Q1638)+$P1639</f>
        <v>14</v>
      </c>
      <c r="R1639">
        <f>IF(AND($K1639=1,AND(对接源_02物料!$X439="公司筐",N(对接源_02物料!$U439)&lt;&gt;0)),1,0)</f>
        <v>0</v>
      </c>
      <c r="S1639">
        <f>N(S1638)+$R1639</f>
        <v>1</v>
      </c>
      <c r="T1639">
        <f>IF(AND($K1639=1,AND(对接源_02物料!$X439="公司筐",N(对接源_02物料!$V439)&lt;&gt;0)),1,0)</f>
        <v>0</v>
      </c>
      <c r="U1639">
        <f>N(U1638)+$T1639</f>
        <v>47</v>
      </c>
      <c r="V1639">
        <f>IF(AND($L1639=1,AND(对接源_02物料!$X439="自备筐",N(对接源_02物料!$V439)&lt;&gt;0)),1,0)</f>
        <v>0</v>
      </c>
      <c r="W1639">
        <f>N(W1638)+$V1639</f>
        <v>11</v>
      </c>
      <c r="X1639">
        <f>IF(AND($L1639=1,AND(对接源_02物料!$X439="自备筐",N(对接源_02物料!$T439)&lt;&gt;0)),1,0)</f>
        <v>0</v>
      </c>
      <c r="Y1639">
        <f>N(Y1638)+$X1639</f>
        <v>0</v>
      </c>
      <c r="Z1639">
        <f>IF(AND($M1639=1,对接源_02物料!$D439="原料入库"),1,0)</f>
        <v>0</v>
      </c>
      <c r="AA1639">
        <f>N(AA1638)+$Z1639</f>
        <v>24</v>
      </c>
      <c r="AB1639">
        <f>IF(AND($M1639=1,LEFT(对接源_02物料!$D439,4)="原料出库"),1,0)</f>
        <v>0</v>
      </c>
      <c r="AC1639">
        <f>N(AC1638)+$AB1639</f>
        <v>0</v>
      </c>
      <c r="AD1639">
        <f>IF(AND($M1639=1,LEFT(对接源_02物料!$D439,4)="成品出库"),1,0)</f>
        <v>0</v>
      </c>
      <c r="AE1639">
        <f>N(AE1638)+$AD1639</f>
        <v>0</v>
      </c>
      <c r="AF1639">
        <f>IF(AND($N1639=1,AND(LEFT(对接源_02物料!$D439,4)="包装物料",N(对接源_02物料!$K439)&lt;&gt;0)),1,0)</f>
        <v>0</v>
      </c>
      <c r="AG1639">
        <f>N(AG1638)+$AF1639</f>
        <v>10</v>
      </c>
      <c r="AH1639">
        <f>IF(AND($N1639=1,AND(对接源_02物料!$D439="周转筐－销售出库",N(对接源_02物料!$K439)&lt;&gt;0)),1,0)</f>
        <v>0</v>
      </c>
      <c r="AI1639">
        <f>N(AI1638)+$AH1639</f>
        <v>0</v>
      </c>
      <c r="AL1639" t="n">
        <v>0</v>
      </c>
      <c r="AM1639">
        <f>N(AM1638)+$AL1639</f>
        <v>2</v>
      </c>
      <c r="AN1639">
        <f>""</f>
      </c>
      <c r="AO1639" t="n">
        <v>0</v>
      </c>
      <c r="AP1639">
        <f>N(AP1638)+$AO1639</f>
        <v>13</v>
      </c>
      <c r="AR1639">
        <f>IF(OR($AF1639=1,$AH1639=1),1,0)</f>
        <v>0</v>
      </c>
      <c r="AS1639">
        <f>N(AS1638)+$AR1639</f>
        <v>10</v>
      </c>
    </row>
    <row r="1640" s="127">
      <c r="A1640">
        <f>IF(对接源_02物料!$C440="","",对接源_02物料!$C440)</f>
      </c>
      <c r="B1640">
        <f>IF(A1640="",0,IF(MATCH(A1640,$A$4:$A$2403,0)=ROW()-3,1,0))</f>
        <v>0</v>
      </c>
      <c r="C1640">
        <f>N(C1639)+B1640</f>
        <v>26</v>
      </c>
      <c r="K1640">
        <f>IF(OR($K$1="",对接源_02物料!$C440="",对接源_02物料!$C440&lt;&gt;$K$1,对接源_02物料!$B440=""),0,IF(OR(N(对接源_02物料!$B440)&lt;$K$2,N(对接源_02物料!$B440)&gt;$K$3),0,1))</f>
        <v>0</v>
      </c>
      <c r="L1640">
        <f>IF(OR($L$1="",对接源_02物料!$C440="",对接源_02物料!$C440&lt;&gt;$L$1,对接源_02物料!$B440=""),0,IF(OR(N(对接源_02物料!$B440)&lt;$L$2,N(对接源_02物料!$B440)&gt;$L$3),0,1))</f>
        <v>0</v>
      </c>
      <c r="M1640">
        <f>IF(OR($M$1="",对接源_02物料!$C440="",对接源_02物料!$C440&lt;&gt;$M$1,对接源_02物料!$B440=""),0,IF(OR(N(对接源_02物料!$B440)&lt;$M$2,N(对接源_02物料!$B440)&gt;$M$3),0,1))</f>
        <v>0</v>
      </c>
      <c r="N1640">
        <f>IF(OR($N$1="",对接源_02物料!$C440="",对接源_02物料!$C440&lt;&gt;$N$1,对接源_02物料!$B440=""),0,IF(OR(N(对接源_02物料!$B440)&lt;$N$2,N(对接源_02物料!$B440)&gt;$N$3),0,1))</f>
        <v>0</v>
      </c>
      <c r="P1640">
        <f>IF(AND($K1640=1,AND(对接源_02物料!$X440="公司筐",N(对接源_02物料!$T440)&lt;&gt;0)),1,0)</f>
        <v>0</v>
      </c>
      <c r="Q1640">
        <f>N(Q1639)+$P1640</f>
        <v>14</v>
      </c>
      <c r="R1640">
        <f>IF(AND($K1640=1,AND(对接源_02物料!$X440="公司筐",N(对接源_02物料!$U440)&lt;&gt;0)),1,0)</f>
        <v>0</v>
      </c>
      <c r="S1640">
        <f>N(S1639)+$R1640</f>
        <v>1</v>
      </c>
      <c r="T1640">
        <f>IF(AND($K1640=1,AND(对接源_02物料!$X440="公司筐",N(对接源_02物料!$V440)&lt;&gt;0)),1,0)</f>
        <v>0</v>
      </c>
      <c r="U1640">
        <f>N(U1639)+$T1640</f>
        <v>47</v>
      </c>
      <c r="V1640">
        <f>IF(AND($L1640=1,AND(对接源_02物料!$X440="自备筐",N(对接源_02物料!$V440)&lt;&gt;0)),1,0)</f>
        <v>0</v>
      </c>
      <c r="W1640">
        <f>N(W1639)+$V1640</f>
        <v>11</v>
      </c>
      <c r="X1640">
        <f>IF(AND($L1640=1,AND(对接源_02物料!$X440="自备筐",N(对接源_02物料!$T440)&lt;&gt;0)),1,0)</f>
        <v>0</v>
      </c>
      <c r="Y1640">
        <f>N(Y1639)+$X1640</f>
        <v>0</v>
      </c>
      <c r="Z1640">
        <f>IF(AND($M1640=1,对接源_02物料!$D440="原料入库"),1,0)</f>
        <v>0</v>
      </c>
      <c r="AA1640">
        <f>N(AA1639)+$Z1640</f>
        <v>24</v>
      </c>
      <c r="AB1640">
        <f>IF(AND($M1640=1,LEFT(对接源_02物料!$D440,4)="原料出库"),1,0)</f>
        <v>0</v>
      </c>
      <c r="AC1640">
        <f>N(AC1639)+$AB1640</f>
        <v>0</v>
      </c>
      <c r="AD1640">
        <f>IF(AND($M1640=1,LEFT(对接源_02物料!$D440,4)="成品出库"),1,0)</f>
        <v>0</v>
      </c>
      <c r="AE1640">
        <f>N(AE1639)+$AD1640</f>
        <v>0</v>
      </c>
      <c r="AF1640">
        <f>IF(AND($N1640=1,AND(LEFT(对接源_02物料!$D440,4)="包装物料",N(对接源_02物料!$K440)&lt;&gt;0)),1,0)</f>
        <v>0</v>
      </c>
      <c r="AG1640">
        <f>N(AG1639)+$AF1640</f>
        <v>10</v>
      </c>
      <c r="AH1640">
        <f>IF(AND($N1640=1,AND(对接源_02物料!$D440="周转筐－销售出库",N(对接源_02物料!$K440)&lt;&gt;0)),1,0)</f>
        <v>0</v>
      </c>
      <c r="AI1640">
        <f>N(AI1639)+$AH1640</f>
        <v>0</v>
      </c>
      <c r="AL1640" t="n">
        <v>0</v>
      </c>
      <c r="AM1640">
        <f>N(AM1639)+$AL1640</f>
        <v>2</v>
      </c>
      <c r="AN1640">
        <f>""</f>
      </c>
      <c r="AO1640" t="n">
        <v>0</v>
      </c>
      <c r="AP1640">
        <f>N(AP1639)+$AO1640</f>
        <v>13</v>
      </c>
      <c r="AR1640">
        <f>IF(OR($AF1640=1,$AH1640=1),1,0)</f>
        <v>0</v>
      </c>
      <c r="AS1640">
        <f>N(AS1639)+$AR1640</f>
        <v>10</v>
      </c>
    </row>
    <row r="1641" s="127">
      <c r="A1641">
        <f>IF(对接源_02物料!$C441="","",对接源_02物料!$C441)</f>
      </c>
      <c r="B1641">
        <f>IF(A1641="",0,IF(MATCH(A1641,$A$4:$A$2403,0)=ROW()-3,1,0))</f>
        <v>0</v>
      </c>
      <c r="C1641">
        <f>N(C1640)+B1641</f>
        <v>26</v>
      </c>
      <c r="K1641">
        <f>IF(OR($K$1="",对接源_02物料!$C441="",对接源_02物料!$C441&lt;&gt;$K$1,对接源_02物料!$B441=""),0,IF(OR(N(对接源_02物料!$B441)&lt;$K$2,N(对接源_02物料!$B441)&gt;$K$3),0,1))</f>
        <v>0</v>
      </c>
      <c r="L1641">
        <f>IF(OR($L$1="",对接源_02物料!$C441="",对接源_02物料!$C441&lt;&gt;$L$1,对接源_02物料!$B441=""),0,IF(OR(N(对接源_02物料!$B441)&lt;$L$2,N(对接源_02物料!$B441)&gt;$L$3),0,1))</f>
        <v>0</v>
      </c>
      <c r="M1641">
        <f>IF(OR($M$1="",对接源_02物料!$C441="",对接源_02物料!$C441&lt;&gt;$M$1,对接源_02物料!$B441=""),0,IF(OR(N(对接源_02物料!$B441)&lt;$M$2,N(对接源_02物料!$B441)&gt;$M$3),0,1))</f>
        <v>0</v>
      </c>
      <c r="N1641">
        <f>IF(OR($N$1="",对接源_02物料!$C441="",对接源_02物料!$C441&lt;&gt;$N$1,对接源_02物料!$B441=""),0,IF(OR(N(对接源_02物料!$B441)&lt;$N$2,N(对接源_02物料!$B441)&gt;$N$3),0,1))</f>
        <v>0</v>
      </c>
      <c r="P1641">
        <f>IF(AND($K1641=1,AND(对接源_02物料!$X441="公司筐",N(对接源_02物料!$T441)&lt;&gt;0)),1,0)</f>
        <v>0</v>
      </c>
      <c r="Q1641">
        <f>N(Q1640)+$P1641</f>
        <v>14</v>
      </c>
      <c r="R1641">
        <f>IF(AND($K1641=1,AND(对接源_02物料!$X441="公司筐",N(对接源_02物料!$U441)&lt;&gt;0)),1,0)</f>
        <v>0</v>
      </c>
      <c r="S1641">
        <f>N(S1640)+$R1641</f>
        <v>1</v>
      </c>
      <c r="T1641">
        <f>IF(AND($K1641=1,AND(对接源_02物料!$X441="公司筐",N(对接源_02物料!$V441)&lt;&gt;0)),1,0)</f>
        <v>0</v>
      </c>
      <c r="U1641">
        <f>N(U1640)+$T1641</f>
        <v>47</v>
      </c>
      <c r="V1641">
        <f>IF(AND($L1641=1,AND(对接源_02物料!$X441="自备筐",N(对接源_02物料!$V441)&lt;&gt;0)),1,0)</f>
        <v>0</v>
      </c>
      <c r="W1641">
        <f>N(W1640)+$V1641</f>
        <v>11</v>
      </c>
      <c r="X1641">
        <f>IF(AND($L1641=1,AND(对接源_02物料!$X441="自备筐",N(对接源_02物料!$T441)&lt;&gt;0)),1,0)</f>
        <v>0</v>
      </c>
      <c r="Y1641">
        <f>N(Y1640)+$X1641</f>
        <v>0</v>
      </c>
      <c r="Z1641">
        <f>IF(AND($M1641=1,对接源_02物料!$D441="原料入库"),1,0)</f>
        <v>0</v>
      </c>
      <c r="AA1641">
        <f>N(AA1640)+$Z1641</f>
        <v>24</v>
      </c>
      <c r="AB1641">
        <f>IF(AND($M1641=1,LEFT(对接源_02物料!$D441,4)="原料出库"),1,0)</f>
        <v>0</v>
      </c>
      <c r="AC1641">
        <f>N(AC1640)+$AB1641</f>
        <v>0</v>
      </c>
      <c r="AD1641">
        <f>IF(AND($M1641=1,LEFT(对接源_02物料!$D441,4)="成品出库"),1,0)</f>
        <v>0</v>
      </c>
      <c r="AE1641">
        <f>N(AE1640)+$AD1641</f>
        <v>0</v>
      </c>
      <c r="AF1641">
        <f>IF(AND($N1641=1,AND(LEFT(对接源_02物料!$D441,4)="包装物料",N(对接源_02物料!$K441)&lt;&gt;0)),1,0)</f>
        <v>0</v>
      </c>
      <c r="AG1641">
        <f>N(AG1640)+$AF1641</f>
        <v>10</v>
      </c>
      <c r="AH1641">
        <f>IF(AND($N1641=1,AND(对接源_02物料!$D441="周转筐－销售出库",N(对接源_02物料!$K441)&lt;&gt;0)),1,0)</f>
        <v>0</v>
      </c>
      <c r="AI1641">
        <f>N(AI1640)+$AH1641</f>
        <v>0</v>
      </c>
      <c r="AL1641" t="n">
        <v>0</v>
      </c>
      <c r="AM1641">
        <f>N(AM1640)+$AL1641</f>
        <v>2</v>
      </c>
      <c r="AN1641">
        <f>""</f>
      </c>
      <c r="AO1641" t="n">
        <v>0</v>
      </c>
      <c r="AP1641">
        <f>N(AP1640)+$AO1641</f>
        <v>13</v>
      </c>
      <c r="AR1641">
        <f>IF(OR($AF1641=1,$AH1641=1),1,0)</f>
        <v>0</v>
      </c>
      <c r="AS1641">
        <f>N(AS1640)+$AR1641</f>
        <v>10</v>
      </c>
    </row>
    <row r="1642" s="127">
      <c r="A1642">
        <f>IF(对接源_02物料!$C442="","",对接源_02物料!$C442)</f>
      </c>
      <c r="B1642">
        <f>IF(A1642="",0,IF(MATCH(A1642,$A$4:$A$2403,0)=ROW()-3,1,0))</f>
        <v>0</v>
      </c>
      <c r="C1642">
        <f>N(C1641)+B1642</f>
        <v>26</v>
      </c>
      <c r="K1642">
        <f>IF(OR($K$1="",对接源_02物料!$C442="",对接源_02物料!$C442&lt;&gt;$K$1,对接源_02物料!$B442=""),0,IF(OR(N(对接源_02物料!$B442)&lt;$K$2,N(对接源_02物料!$B442)&gt;$K$3),0,1))</f>
        <v>0</v>
      </c>
      <c r="L1642">
        <f>IF(OR($L$1="",对接源_02物料!$C442="",对接源_02物料!$C442&lt;&gt;$L$1,对接源_02物料!$B442=""),0,IF(OR(N(对接源_02物料!$B442)&lt;$L$2,N(对接源_02物料!$B442)&gt;$L$3),0,1))</f>
        <v>0</v>
      </c>
      <c r="M1642">
        <f>IF(OR($M$1="",对接源_02物料!$C442="",对接源_02物料!$C442&lt;&gt;$M$1,对接源_02物料!$B442=""),0,IF(OR(N(对接源_02物料!$B442)&lt;$M$2,N(对接源_02物料!$B442)&gt;$M$3),0,1))</f>
        <v>0</v>
      </c>
      <c r="N1642">
        <f>IF(OR($N$1="",对接源_02物料!$C442="",对接源_02物料!$C442&lt;&gt;$N$1,对接源_02物料!$B442=""),0,IF(OR(N(对接源_02物料!$B442)&lt;$N$2,N(对接源_02物料!$B442)&gt;$N$3),0,1))</f>
        <v>0</v>
      </c>
      <c r="P1642">
        <f>IF(AND($K1642=1,AND(对接源_02物料!$X442="公司筐",N(对接源_02物料!$T442)&lt;&gt;0)),1,0)</f>
        <v>0</v>
      </c>
      <c r="Q1642">
        <f>N(Q1641)+$P1642</f>
        <v>14</v>
      </c>
      <c r="R1642">
        <f>IF(AND($K1642=1,AND(对接源_02物料!$X442="公司筐",N(对接源_02物料!$U442)&lt;&gt;0)),1,0)</f>
        <v>0</v>
      </c>
      <c r="S1642">
        <f>N(S1641)+$R1642</f>
        <v>1</v>
      </c>
      <c r="T1642">
        <f>IF(AND($K1642=1,AND(对接源_02物料!$X442="公司筐",N(对接源_02物料!$V442)&lt;&gt;0)),1,0)</f>
        <v>0</v>
      </c>
      <c r="U1642">
        <f>N(U1641)+$T1642</f>
        <v>47</v>
      </c>
      <c r="V1642">
        <f>IF(AND($L1642=1,AND(对接源_02物料!$X442="自备筐",N(对接源_02物料!$V442)&lt;&gt;0)),1,0)</f>
        <v>0</v>
      </c>
      <c r="W1642">
        <f>N(W1641)+$V1642</f>
        <v>11</v>
      </c>
      <c r="X1642">
        <f>IF(AND($L1642=1,AND(对接源_02物料!$X442="自备筐",N(对接源_02物料!$T442)&lt;&gt;0)),1,0)</f>
        <v>0</v>
      </c>
      <c r="Y1642">
        <f>N(Y1641)+$X1642</f>
        <v>0</v>
      </c>
      <c r="Z1642">
        <f>IF(AND($M1642=1,对接源_02物料!$D442="原料入库"),1,0)</f>
        <v>0</v>
      </c>
      <c r="AA1642">
        <f>N(AA1641)+$Z1642</f>
        <v>24</v>
      </c>
      <c r="AB1642">
        <f>IF(AND($M1642=1,LEFT(对接源_02物料!$D442,4)="原料出库"),1,0)</f>
        <v>0</v>
      </c>
      <c r="AC1642">
        <f>N(AC1641)+$AB1642</f>
        <v>0</v>
      </c>
      <c r="AD1642">
        <f>IF(AND($M1642=1,LEFT(对接源_02物料!$D442,4)="成品出库"),1,0)</f>
        <v>0</v>
      </c>
      <c r="AE1642">
        <f>N(AE1641)+$AD1642</f>
        <v>0</v>
      </c>
      <c r="AF1642">
        <f>IF(AND($N1642=1,AND(LEFT(对接源_02物料!$D442,4)="包装物料",N(对接源_02物料!$K442)&lt;&gt;0)),1,0)</f>
        <v>0</v>
      </c>
      <c r="AG1642">
        <f>N(AG1641)+$AF1642</f>
        <v>10</v>
      </c>
      <c r="AH1642">
        <f>IF(AND($N1642=1,AND(对接源_02物料!$D442="周转筐－销售出库",N(对接源_02物料!$K442)&lt;&gt;0)),1,0)</f>
        <v>0</v>
      </c>
      <c r="AI1642">
        <f>N(AI1641)+$AH1642</f>
        <v>0</v>
      </c>
      <c r="AL1642" t="n">
        <v>0</v>
      </c>
      <c r="AM1642">
        <f>N(AM1641)+$AL1642</f>
        <v>2</v>
      </c>
      <c r="AN1642">
        <f>""</f>
      </c>
      <c r="AO1642" t="n">
        <v>0</v>
      </c>
      <c r="AP1642">
        <f>N(AP1641)+$AO1642</f>
        <v>13</v>
      </c>
      <c r="AR1642">
        <f>IF(OR($AF1642=1,$AH1642=1),1,0)</f>
        <v>0</v>
      </c>
      <c r="AS1642">
        <f>N(AS1641)+$AR1642</f>
        <v>10</v>
      </c>
    </row>
    <row r="1643" s="127">
      <c r="A1643">
        <f>IF(对接源_02物料!$C443="","",对接源_02物料!$C443)</f>
      </c>
      <c r="B1643">
        <f>IF(A1643="",0,IF(MATCH(A1643,$A$4:$A$2403,0)=ROW()-3,1,0))</f>
        <v>0</v>
      </c>
      <c r="C1643">
        <f>N(C1642)+B1643</f>
        <v>26</v>
      </c>
      <c r="K1643">
        <f>IF(OR($K$1="",对接源_02物料!$C443="",对接源_02物料!$C443&lt;&gt;$K$1,对接源_02物料!$B443=""),0,IF(OR(N(对接源_02物料!$B443)&lt;$K$2,N(对接源_02物料!$B443)&gt;$K$3),0,1))</f>
        <v>0</v>
      </c>
      <c r="L1643">
        <f>IF(OR($L$1="",对接源_02物料!$C443="",对接源_02物料!$C443&lt;&gt;$L$1,对接源_02物料!$B443=""),0,IF(OR(N(对接源_02物料!$B443)&lt;$L$2,N(对接源_02物料!$B443)&gt;$L$3),0,1))</f>
        <v>0</v>
      </c>
      <c r="M1643">
        <f>IF(OR($M$1="",对接源_02物料!$C443="",对接源_02物料!$C443&lt;&gt;$M$1,对接源_02物料!$B443=""),0,IF(OR(N(对接源_02物料!$B443)&lt;$M$2,N(对接源_02物料!$B443)&gt;$M$3),0,1))</f>
        <v>0</v>
      </c>
      <c r="N1643">
        <f>IF(OR($N$1="",对接源_02物料!$C443="",对接源_02物料!$C443&lt;&gt;$N$1,对接源_02物料!$B443=""),0,IF(OR(N(对接源_02物料!$B443)&lt;$N$2,N(对接源_02物料!$B443)&gt;$N$3),0,1))</f>
        <v>0</v>
      </c>
      <c r="P1643">
        <f>IF(AND($K1643=1,AND(对接源_02物料!$X443="公司筐",N(对接源_02物料!$T443)&lt;&gt;0)),1,0)</f>
        <v>0</v>
      </c>
      <c r="Q1643">
        <f>N(Q1642)+$P1643</f>
        <v>14</v>
      </c>
      <c r="R1643">
        <f>IF(AND($K1643=1,AND(对接源_02物料!$X443="公司筐",N(对接源_02物料!$U443)&lt;&gt;0)),1,0)</f>
        <v>0</v>
      </c>
      <c r="S1643">
        <f>N(S1642)+$R1643</f>
        <v>1</v>
      </c>
      <c r="T1643">
        <f>IF(AND($K1643=1,AND(对接源_02物料!$X443="公司筐",N(对接源_02物料!$V443)&lt;&gt;0)),1,0)</f>
        <v>0</v>
      </c>
      <c r="U1643">
        <f>N(U1642)+$T1643</f>
        <v>47</v>
      </c>
      <c r="V1643">
        <f>IF(AND($L1643=1,AND(对接源_02物料!$X443="自备筐",N(对接源_02物料!$V443)&lt;&gt;0)),1,0)</f>
        <v>0</v>
      </c>
      <c r="W1643">
        <f>N(W1642)+$V1643</f>
        <v>11</v>
      </c>
      <c r="X1643">
        <f>IF(AND($L1643=1,AND(对接源_02物料!$X443="自备筐",N(对接源_02物料!$T443)&lt;&gt;0)),1,0)</f>
        <v>0</v>
      </c>
      <c r="Y1643">
        <f>N(Y1642)+$X1643</f>
        <v>0</v>
      </c>
      <c r="Z1643">
        <f>IF(AND($M1643=1,对接源_02物料!$D443="原料入库"),1,0)</f>
        <v>0</v>
      </c>
      <c r="AA1643">
        <f>N(AA1642)+$Z1643</f>
        <v>24</v>
      </c>
      <c r="AB1643">
        <f>IF(AND($M1643=1,LEFT(对接源_02物料!$D443,4)="原料出库"),1,0)</f>
        <v>0</v>
      </c>
      <c r="AC1643">
        <f>N(AC1642)+$AB1643</f>
        <v>0</v>
      </c>
      <c r="AD1643">
        <f>IF(AND($M1643=1,LEFT(对接源_02物料!$D443,4)="成品出库"),1,0)</f>
        <v>0</v>
      </c>
      <c r="AE1643">
        <f>N(AE1642)+$AD1643</f>
        <v>0</v>
      </c>
      <c r="AF1643">
        <f>IF(AND($N1643=1,AND(LEFT(对接源_02物料!$D443,4)="包装物料",N(对接源_02物料!$K443)&lt;&gt;0)),1,0)</f>
        <v>0</v>
      </c>
      <c r="AG1643">
        <f>N(AG1642)+$AF1643</f>
        <v>10</v>
      </c>
      <c r="AH1643">
        <f>IF(AND($N1643=1,AND(对接源_02物料!$D443="周转筐－销售出库",N(对接源_02物料!$K443)&lt;&gt;0)),1,0)</f>
        <v>0</v>
      </c>
      <c r="AI1643">
        <f>N(AI1642)+$AH1643</f>
        <v>0</v>
      </c>
      <c r="AL1643" t="n">
        <v>0</v>
      </c>
      <c r="AM1643">
        <f>N(AM1642)+$AL1643</f>
        <v>2</v>
      </c>
      <c r="AN1643">
        <f>""</f>
      </c>
      <c r="AO1643" t="n">
        <v>0</v>
      </c>
      <c r="AP1643">
        <f>N(AP1642)+$AO1643</f>
        <v>13</v>
      </c>
      <c r="AR1643">
        <f>IF(OR($AF1643=1,$AH1643=1),1,0)</f>
        <v>0</v>
      </c>
      <c r="AS1643">
        <f>N(AS1642)+$AR1643</f>
        <v>10</v>
      </c>
    </row>
    <row r="1644" s="127">
      <c r="A1644">
        <f>IF(对接源_02物料!$C444="","",对接源_02物料!$C444)</f>
      </c>
      <c r="B1644">
        <f>IF(A1644="",0,IF(MATCH(A1644,$A$4:$A$2403,0)=ROW()-3,1,0))</f>
        <v>0</v>
      </c>
      <c r="C1644">
        <f>N(C1643)+B1644</f>
        <v>26</v>
      </c>
      <c r="K1644">
        <f>IF(OR($K$1="",对接源_02物料!$C444="",对接源_02物料!$C444&lt;&gt;$K$1,对接源_02物料!$B444=""),0,IF(OR(N(对接源_02物料!$B444)&lt;$K$2,N(对接源_02物料!$B444)&gt;$K$3),0,1))</f>
        <v>0</v>
      </c>
      <c r="L1644">
        <f>IF(OR($L$1="",对接源_02物料!$C444="",对接源_02物料!$C444&lt;&gt;$L$1,对接源_02物料!$B444=""),0,IF(OR(N(对接源_02物料!$B444)&lt;$L$2,N(对接源_02物料!$B444)&gt;$L$3),0,1))</f>
        <v>0</v>
      </c>
      <c r="M1644">
        <f>IF(OR($M$1="",对接源_02物料!$C444="",对接源_02物料!$C444&lt;&gt;$M$1,对接源_02物料!$B444=""),0,IF(OR(N(对接源_02物料!$B444)&lt;$M$2,N(对接源_02物料!$B444)&gt;$M$3),0,1))</f>
        <v>0</v>
      </c>
      <c r="N1644">
        <f>IF(OR($N$1="",对接源_02物料!$C444="",对接源_02物料!$C444&lt;&gt;$N$1,对接源_02物料!$B444=""),0,IF(OR(N(对接源_02物料!$B444)&lt;$N$2,N(对接源_02物料!$B444)&gt;$N$3),0,1))</f>
        <v>0</v>
      </c>
      <c r="P1644">
        <f>IF(AND($K1644=1,AND(对接源_02物料!$X444="公司筐",N(对接源_02物料!$T444)&lt;&gt;0)),1,0)</f>
        <v>0</v>
      </c>
      <c r="Q1644">
        <f>N(Q1643)+$P1644</f>
        <v>14</v>
      </c>
      <c r="R1644">
        <f>IF(AND($K1644=1,AND(对接源_02物料!$X444="公司筐",N(对接源_02物料!$U444)&lt;&gt;0)),1,0)</f>
        <v>0</v>
      </c>
      <c r="S1644">
        <f>N(S1643)+$R1644</f>
        <v>1</v>
      </c>
      <c r="T1644">
        <f>IF(AND($K1644=1,AND(对接源_02物料!$X444="公司筐",N(对接源_02物料!$V444)&lt;&gt;0)),1,0)</f>
        <v>0</v>
      </c>
      <c r="U1644">
        <f>N(U1643)+$T1644</f>
        <v>47</v>
      </c>
      <c r="V1644">
        <f>IF(AND($L1644=1,AND(对接源_02物料!$X444="自备筐",N(对接源_02物料!$V444)&lt;&gt;0)),1,0)</f>
        <v>0</v>
      </c>
      <c r="W1644">
        <f>N(W1643)+$V1644</f>
        <v>11</v>
      </c>
      <c r="X1644">
        <f>IF(AND($L1644=1,AND(对接源_02物料!$X444="自备筐",N(对接源_02物料!$T444)&lt;&gt;0)),1,0)</f>
        <v>0</v>
      </c>
      <c r="Y1644">
        <f>N(Y1643)+$X1644</f>
        <v>0</v>
      </c>
      <c r="Z1644">
        <f>IF(AND($M1644=1,对接源_02物料!$D444="原料入库"),1,0)</f>
        <v>0</v>
      </c>
      <c r="AA1644">
        <f>N(AA1643)+$Z1644</f>
        <v>24</v>
      </c>
      <c r="AB1644">
        <f>IF(AND($M1644=1,LEFT(对接源_02物料!$D444,4)="原料出库"),1,0)</f>
        <v>0</v>
      </c>
      <c r="AC1644">
        <f>N(AC1643)+$AB1644</f>
        <v>0</v>
      </c>
      <c r="AD1644">
        <f>IF(AND($M1644=1,LEFT(对接源_02物料!$D444,4)="成品出库"),1,0)</f>
        <v>0</v>
      </c>
      <c r="AE1644">
        <f>N(AE1643)+$AD1644</f>
        <v>0</v>
      </c>
      <c r="AF1644">
        <f>IF(AND($N1644=1,AND(LEFT(对接源_02物料!$D444,4)="包装物料",N(对接源_02物料!$K444)&lt;&gt;0)),1,0)</f>
        <v>0</v>
      </c>
      <c r="AG1644">
        <f>N(AG1643)+$AF1644</f>
        <v>10</v>
      </c>
      <c r="AH1644">
        <f>IF(AND($N1644=1,AND(对接源_02物料!$D444="周转筐－销售出库",N(对接源_02物料!$K444)&lt;&gt;0)),1,0)</f>
        <v>0</v>
      </c>
      <c r="AI1644">
        <f>N(AI1643)+$AH1644</f>
        <v>0</v>
      </c>
      <c r="AL1644" t="n">
        <v>0</v>
      </c>
      <c r="AM1644">
        <f>N(AM1643)+$AL1644</f>
        <v>2</v>
      </c>
      <c r="AN1644">
        <f>""</f>
      </c>
      <c r="AO1644" t="n">
        <v>0</v>
      </c>
      <c r="AP1644">
        <f>N(AP1643)+$AO1644</f>
        <v>13</v>
      </c>
      <c r="AR1644">
        <f>IF(OR($AF1644=1,$AH1644=1),1,0)</f>
        <v>0</v>
      </c>
      <c r="AS1644">
        <f>N(AS1643)+$AR1644</f>
        <v>10</v>
      </c>
    </row>
    <row r="1645" s="127">
      <c r="A1645">
        <f>IF(对接源_02物料!$C445="","",对接源_02物料!$C445)</f>
      </c>
      <c r="B1645">
        <f>IF(A1645="",0,IF(MATCH(A1645,$A$4:$A$2403,0)=ROW()-3,1,0))</f>
        <v>0</v>
      </c>
      <c r="C1645">
        <f>N(C1644)+B1645</f>
        <v>26</v>
      </c>
      <c r="K1645">
        <f>IF(OR($K$1="",对接源_02物料!$C445="",对接源_02物料!$C445&lt;&gt;$K$1,对接源_02物料!$B445=""),0,IF(OR(N(对接源_02物料!$B445)&lt;$K$2,N(对接源_02物料!$B445)&gt;$K$3),0,1))</f>
        <v>0</v>
      </c>
      <c r="L1645">
        <f>IF(OR($L$1="",对接源_02物料!$C445="",对接源_02物料!$C445&lt;&gt;$L$1,对接源_02物料!$B445=""),0,IF(OR(N(对接源_02物料!$B445)&lt;$L$2,N(对接源_02物料!$B445)&gt;$L$3),0,1))</f>
        <v>0</v>
      </c>
      <c r="M1645">
        <f>IF(OR($M$1="",对接源_02物料!$C445="",对接源_02物料!$C445&lt;&gt;$M$1,对接源_02物料!$B445=""),0,IF(OR(N(对接源_02物料!$B445)&lt;$M$2,N(对接源_02物料!$B445)&gt;$M$3),0,1))</f>
        <v>0</v>
      </c>
      <c r="N1645">
        <f>IF(OR($N$1="",对接源_02物料!$C445="",对接源_02物料!$C445&lt;&gt;$N$1,对接源_02物料!$B445=""),0,IF(OR(N(对接源_02物料!$B445)&lt;$N$2,N(对接源_02物料!$B445)&gt;$N$3),0,1))</f>
        <v>0</v>
      </c>
      <c r="P1645">
        <f>IF(AND($K1645=1,AND(对接源_02物料!$X445="公司筐",N(对接源_02物料!$T445)&lt;&gt;0)),1,0)</f>
        <v>0</v>
      </c>
      <c r="Q1645">
        <f>N(Q1644)+$P1645</f>
        <v>14</v>
      </c>
      <c r="R1645">
        <f>IF(AND($K1645=1,AND(对接源_02物料!$X445="公司筐",N(对接源_02物料!$U445)&lt;&gt;0)),1,0)</f>
        <v>0</v>
      </c>
      <c r="S1645">
        <f>N(S1644)+$R1645</f>
        <v>1</v>
      </c>
      <c r="T1645">
        <f>IF(AND($K1645=1,AND(对接源_02物料!$X445="公司筐",N(对接源_02物料!$V445)&lt;&gt;0)),1,0)</f>
        <v>0</v>
      </c>
      <c r="U1645">
        <f>N(U1644)+$T1645</f>
        <v>47</v>
      </c>
      <c r="V1645">
        <f>IF(AND($L1645=1,AND(对接源_02物料!$X445="自备筐",N(对接源_02物料!$V445)&lt;&gt;0)),1,0)</f>
        <v>0</v>
      </c>
      <c r="W1645">
        <f>N(W1644)+$V1645</f>
        <v>11</v>
      </c>
      <c r="X1645">
        <f>IF(AND($L1645=1,AND(对接源_02物料!$X445="自备筐",N(对接源_02物料!$T445)&lt;&gt;0)),1,0)</f>
        <v>0</v>
      </c>
      <c r="Y1645">
        <f>N(Y1644)+$X1645</f>
        <v>0</v>
      </c>
      <c r="Z1645">
        <f>IF(AND($M1645=1,对接源_02物料!$D445="原料入库"),1,0)</f>
        <v>0</v>
      </c>
      <c r="AA1645">
        <f>N(AA1644)+$Z1645</f>
        <v>24</v>
      </c>
      <c r="AB1645">
        <f>IF(AND($M1645=1,LEFT(对接源_02物料!$D445,4)="原料出库"),1,0)</f>
        <v>0</v>
      </c>
      <c r="AC1645">
        <f>N(AC1644)+$AB1645</f>
        <v>0</v>
      </c>
      <c r="AD1645">
        <f>IF(AND($M1645=1,LEFT(对接源_02物料!$D445,4)="成品出库"),1,0)</f>
        <v>0</v>
      </c>
      <c r="AE1645">
        <f>N(AE1644)+$AD1645</f>
        <v>0</v>
      </c>
      <c r="AF1645">
        <f>IF(AND($N1645=1,AND(LEFT(对接源_02物料!$D445,4)="包装物料",N(对接源_02物料!$K445)&lt;&gt;0)),1,0)</f>
        <v>0</v>
      </c>
      <c r="AG1645">
        <f>N(AG1644)+$AF1645</f>
        <v>10</v>
      </c>
      <c r="AH1645">
        <f>IF(AND($N1645=1,AND(对接源_02物料!$D445="周转筐－销售出库",N(对接源_02物料!$K445)&lt;&gt;0)),1,0)</f>
        <v>0</v>
      </c>
      <c r="AI1645">
        <f>N(AI1644)+$AH1645</f>
        <v>0</v>
      </c>
      <c r="AL1645" t="n">
        <v>0</v>
      </c>
      <c r="AM1645">
        <f>N(AM1644)+$AL1645</f>
        <v>2</v>
      </c>
      <c r="AN1645">
        <f>""</f>
      </c>
      <c r="AO1645" t="n">
        <v>0</v>
      </c>
      <c r="AP1645">
        <f>N(AP1644)+$AO1645</f>
        <v>13</v>
      </c>
      <c r="AR1645">
        <f>IF(OR($AF1645=1,$AH1645=1),1,0)</f>
        <v>0</v>
      </c>
      <c r="AS1645">
        <f>N(AS1644)+$AR1645</f>
        <v>10</v>
      </c>
    </row>
    <row r="1646" s="127">
      <c r="A1646">
        <f>IF(对接源_02物料!$C446="","",对接源_02物料!$C446)</f>
      </c>
      <c r="B1646">
        <f>IF(A1646="",0,IF(MATCH(A1646,$A$4:$A$2403,0)=ROW()-3,1,0))</f>
        <v>0</v>
      </c>
      <c r="C1646">
        <f>N(C1645)+B1646</f>
        <v>26</v>
      </c>
      <c r="K1646">
        <f>IF(OR($K$1="",对接源_02物料!$C446="",对接源_02物料!$C446&lt;&gt;$K$1,对接源_02物料!$B446=""),0,IF(OR(N(对接源_02物料!$B446)&lt;$K$2,N(对接源_02物料!$B446)&gt;$K$3),0,1))</f>
        <v>0</v>
      </c>
      <c r="L1646">
        <f>IF(OR($L$1="",对接源_02物料!$C446="",对接源_02物料!$C446&lt;&gt;$L$1,对接源_02物料!$B446=""),0,IF(OR(N(对接源_02物料!$B446)&lt;$L$2,N(对接源_02物料!$B446)&gt;$L$3),0,1))</f>
        <v>0</v>
      </c>
      <c r="M1646">
        <f>IF(OR($M$1="",对接源_02物料!$C446="",对接源_02物料!$C446&lt;&gt;$M$1,对接源_02物料!$B446=""),0,IF(OR(N(对接源_02物料!$B446)&lt;$M$2,N(对接源_02物料!$B446)&gt;$M$3),0,1))</f>
        <v>0</v>
      </c>
      <c r="N1646">
        <f>IF(OR($N$1="",对接源_02物料!$C446="",对接源_02物料!$C446&lt;&gt;$N$1,对接源_02物料!$B446=""),0,IF(OR(N(对接源_02物料!$B446)&lt;$N$2,N(对接源_02物料!$B446)&gt;$N$3),0,1))</f>
        <v>0</v>
      </c>
      <c r="P1646">
        <f>IF(AND($K1646=1,AND(对接源_02物料!$X446="公司筐",N(对接源_02物料!$T446)&lt;&gt;0)),1,0)</f>
        <v>0</v>
      </c>
      <c r="Q1646">
        <f>N(Q1645)+$P1646</f>
        <v>14</v>
      </c>
      <c r="R1646">
        <f>IF(AND($K1646=1,AND(对接源_02物料!$X446="公司筐",N(对接源_02物料!$U446)&lt;&gt;0)),1,0)</f>
        <v>0</v>
      </c>
      <c r="S1646">
        <f>N(S1645)+$R1646</f>
        <v>1</v>
      </c>
      <c r="T1646">
        <f>IF(AND($K1646=1,AND(对接源_02物料!$X446="公司筐",N(对接源_02物料!$V446)&lt;&gt;0)),1,0)</f>
        <v>0</v>
      </c>
      <c r="U1646">
        <f>N(U1645)+$T1646</f>
        <v>47</v>
      </c>
      <c r="V1646">
        <f>IF(AND($L1646=1,AND(对接源_02物料!$X446="自备筐",N(对接源_02物料!$V446)&lt;&gt;0)),1,0)</f>
        <v>0</v>
      </c>
      <c r="W1646">
        <f>N(W1645)+$V1646</f>
        <v>11</v>
      </c>
      <c r="X1646">
        <f>IF(AND($L1646=1,AND(对接源_02物料!$X446="自备筐",N(对接源_02物料!$T446)&lt;&gt;0)),1,0)</f>
        <v>0</v>
      </c>
      <c r="Y1646">
        <f>N(Y1645)+$X1646</f>
        <v>0</v>
      </c>
      <c r="Z1646">
        <f>IF(AND($M1646=1,对接源_02物料!$D446="原料入库"),1,0)</f>
        <v>0</v>
      </c>
      <c r="AA1646">
        <f>N(AA1645)+$Z1646</f>
        <v>24</v>
      </c>
      <c r="AB1646">
        <f>IF(AND($M1646=1,LEFT(对接源_02物料!$D446,4)="原料出库"),1,0)</f>
        <v>0</v>
      </c>
      <c r="AC1646">
        <f>N(AC1645)+$AB1646</f>
        <v>0</v>
      </c>
      <c r="AD1646">
        <f>IF(AND($M1646=1,LEFT(对接源_02物料!$D446,4)="成品出库"),1,0)</f>
        <v>0</v>
      </c>
      <c r="AE1646">
        <f>N(AE1645)+$AD1646</f>
        <v>0</v>
      </c>
      <c r="AF1646">
        <f>IF(AND($N1646=1,AND(LEFT(对接源_02物料!$D446,4)="包装物料",N(对接源_02物料!$K446)&lt;&gt;0)),1,0)</f>
        <v>0</v>
      </c>
      <c r="AG1646">
        <f>N(AG1645)+$AF1646</f>
        <v>10</v>
      </c>
      <c r="AH1646">
        <f>IF(AND($N1646=1,AND(对接源_02物料!$D446="周转筐－销售出库",N(对接源_02物料!$K446)&lt;&gt;0)),1,0)</f>
        <v>0</v>
      </c>
      <c r="AI1646">
        <f>N(AI1645)+$AH1646</f>
        <v>0</v>
      </c>
      <c r="AL1646" t="n">
        <v>0</v>
      </c>
      <c r="AM1646">
        <f>N(AM1645)+$AL1646</f>
        <v>2</v>
      </c>
      <c r="AN1646">
        <f>""</f>
      </c>
      <c r="AO1646" t="n">
        <v>0</v>
      </c>
      <c r="AP1646">
        <f>N(AP1645)+$AO1646</f>
        <v>13</v>
      </c>
      <c r="AR1646">
        <f>IF(OR($AF1646=1,$AH1646=1),1,0)</f>
        <v>0</v>
      </c>
      <c r="AS1646">
        <f>N(AS1645)+$AR1646</f>
        <v>10</v>
      </c>
    </row>
    <row r="1647" s="127">
      <c r="A1647">
        <f>IF(对接源_02物料!$C447="","",对接源_02物料!$C447)</f>
      </c>
      <c r="B1647">
        <f>IF(A1647="",0,IF(MATCH(A1647,$A$4:$A$2403,0)=ROW()-3,1,0))</f>
        <v>0</v>
      </c>
      <c r="C1647">
        <f>N(C1646)+B1647</f>
        <v>26</v>
      </c>
      <c r="K1647">
        <f>IF(OR($K$1="",对接源_02物料!$C447="",对接源_02物料!$C447&lt;&gt;$K$1,对接源_02物料!$B447=""),0,IF(OR(N(对接源_02物料!$B447)&lt;$K$2,N(对接源_02物料!$B447)&gt;$K$3),0,1))</f>
        <v>0</v>
      </c>
      <c r="L1647">
        <f>IF(OR($L$1="",对接源_02物料!$C447="",对接源_02物料!$C447&lt;&gt;$L$1,对接源_02物料!$B447=""),0,IF(OR(N(对接源_02物料!$B447)&lt;$L$2,N(对接源_02物料!$B447)&gt;$L$3),0,1))</f>
        <v>0</v>
      </c>
      <c r="M1647">
        <f>IF(OR($M$1="",对接源_02物料!$C447="",对接源_02物料!$C447&lt;&gt;$M$1,对接源_02物料!$B447=""),0,IF(OR(N(对接源_02物料!$B447)&lt;$M$2,N(对接源_02物料!$B447)&gt;$M$3),0,1))</f>
        <v>0</v>
      </c>
      <c r="N1647">
        <f>IF(OR($N$1="",对接源_02物料!$C447="",对接源_02物料!$C447&lt;&gt;$N$1,对接源_02物料!$B447=""),0,IF(OR(N(对接源_02物料!$B447)&lt;$N$2,N(对接源_02物料!$B447)&gt;$N$3),0,1))</f>
        <v>0</v>
      </c>
      <c r="P1647">
        <f>IF(AND($K1647=1,AND(对接源_02物料!$X447="公司筐",N(对接源_02物料!$T447)&lt;&gt;0)),1,0)</f>
        <v>0</v>
      </c>
      <c r="Q1647">
        <f>N(Q1646)+$P1647</f>
        <v>14</v>
      </c>
      <c r="R1647">
        <f>IF(AND($K1647=1,AND(对接源_02物料!$X447="公司筐",N(对接源_02物料!$U447)&lt;&gt;0)),1,0)</f>
        <v>0</v>
      </c>
      <c r="S1647">
        <f>N(S1646)+$R1647</f>
        <v>1</v>
      </c>
      <c r="T1647">
        <f>IF(AND($K1647=1,AND(对接源_02物料!$X447="公司筐",N(对接源_02物料!$V447)&lt;&gt;0)),1,0)</f>
        <v>0</v>
      </c>
      <c r="U1647">
        <f>N(U1646)+$T1647</f>
        <v>47</v>
      </c>
      <c r="V1647">
        <f>IF(AND($L1647=1,AND(对接源_02物料!$X447="自备筐",N(对接源_02物料!$V447)&lt;&gt;0)),1,0)</f>
        <v>0</v>
      </c>
      <c r="W1647">
        <f>N(W1646)+$V1647</f>
        <v>11</v>
      </c>
      <c r="X1647">
        <f>IF(AND($L1647=1,AND(对接源_02物料!$X447="自备筐",N(对接源_02物料!$T447)&lt;&gt;0)),1,0)</f>
        <v>0</v>
      </c>
      <c r="Y1647">
        <f>N(Y1646)+$X1647</f>
        <v>0</v>
      </c>
      <c r="Z1647">
        <f>IF(AND($M1647=1,对接源_02物料!$D447="原料入库"),1,0)</f>
        <v>0</v>
      </c>
      <c r="AA1647">
        <f>N(AA1646)+$Z1647</f>
        <v>24</v>
      </c>
      <c r="AB1647">
        <f>IF(AND($M1647=1,LEFT(对接源_02物料!$D447,4)="原料出库"),1,0)</f>
        <v>0</v>
      </c>
      <c r="AC1647">
        <f>N(AC1646)+$AB1647</f>
        <v>0</v>
      </c>
      <c r="AD1647">
        <f>IF(AND($M1647=1,LEFT(对接源_02物料!$D447,4)="成品出库"),1,0)</f>
        <v>0</v>
      </c>
      <c r="AE1647">
        <f>N(AE1646)+$AD1647</f>
        <v>0</v>
      </c>
      <c r="AF1647">
        <f>IF(AND($N1647=1,AND(LEFT(对接源_02物料!$D447,4)="包装物料",N(对接源_02物料!$K447)&lt;&gt;0)),1,0)</f>
        <v>0</v>
      </c>
      <c r="AG1647">
        <f>N(AG1646)+$AF1647</f>
        <v>10</v>
      </c>
      <c r="AH1647">
        <f>IF(AND($N1647=1,AND(对接源_02物料!$D447="周转筐－销售出库",N(对接源_02物料!$K447)&lt;&gt;0)),1,0)</f>
        <v>0</v>
      </c>
      <c r="AI1647">
        <f>N(AI1646)+$AH1647</f>
        <v>0</v>
      </c>
      <c r="AL1647" t="n">
        <v>0</v>
      </c>
      <c r="AM1647">
        <f>N(AM1646)+$AL1647</f>
        <v>2</v>
      </c>
      <c r="AN1647">
        <f>""</f>
      </c>
      <c r="AO1647" t="n">
        <v>0</v>
      </c>
      <c r="AP1647">
        <f>N(AP1646)+$AO1647</f>
        <v>13</v>
      </c>
      <c r="AR1647">
        <f>IF(OR($AF1647=1,$AH1647=1),1,0)</f>
        <v>0</v>
      </c>
      <c r="AS1647">
        <f>N(AS1646)+$AR1647</f>
        <v>10</v>
      </c>
    </row>
    <row r="1648" s="127">
      <c r="A1648">
        <f>IF(对接源_02物料!$C448="","",对接源_02物料!$C448)</f>
      </c>
      <c r="B1648">
        <f>IF(A1648="",0,IF(MATCH(A1648,$A$4:$A$2403,0)=ROW()-3,1,0))</f>
        <v>0</v>
      </c>
      <c r="C1648">
        <f>N(C1647)+B1648</f>
        <v>26</v>
      </c>
      <c r="K1648">
        <f>IF(OR($K$1="",对接源_02物料!$C448="",对接源_02物料!$C448&lt;&gt;$K$1,对接源_02物料!$B448=""),0,IF(OR(N(对接源_02物料!$B448)&lt;$K$2,N(对接源_02物料!$B448)&gt;$K$3),0,1))</f>
        <v>0</v>
      </c>
      <c r="L1648">
        <f>IF(OR($L$1="",对接源_02物料!$C448="",对接源_02物料!$C448&lt;&gt;$L$1,对接源_02物料!$B448=""),0,IF(OR(N(对接源_02物料!$B448)&lt;$L$2,N(对接源_02物料!$B448)&gt;$L$3),0,1))</f>
        <v>0</v>
      </c>
      <c r="M1648">
        <f>IF(OR($M$1="",对接源_02物料!$C448="",对接源_02物料!$C448&lt;&gt;$M$1,对接源_02物料!$B448=""),0,IF(OR(N(对接源_02物料!$B448)&lt;$M$2,N(对接源_02物料!$B448)&gt;$M$3),0,1))</f>
        <v>0</v>
      </c>
      <c r="N1648">
        <f>IF(OR($N$1="",对接源_02物料!$C448="",对接源_02物料!$C448&lt;&gt;$N$1,对接源_02物料!$B448=""),0,IF(OR(N(对接源_02物料!$B448)&lt;$N$2,N(对接源_02物料!$B448)&gt;$N$3),0,1))</f>
        <v>0</v>
      </c>
      <c r="P1648">
        <f>IF(AND($K1648=1,AND(对接源_02物料!$X448="公司筐",N(对接源_02物料!$T448)&lt;&gt;0)),1,0)</f>
        <v>0</v>
      </c>
      <c r="Q1648">
        <f>N(Q1647)+$P1648</f>
        <v>14</v>
      </c>
      <c r="R1648">
        <f>IF(AND($K1648=1,AND(对接源_02物料!$X448="公司筐",N(对接源_02物料!$U448)&lt;&gt;0)),1,0)</f>
        <v>0</v>
      </c>
      <c r="S1648">
        <f>N(S1647)+$R1648</f>
        <v>1</v>
      </c>
      <c r="T1648">
        <f>IF(AND($K1648=1,AND(对接源_02物料!$X448="公司筐",N(对接源_02物料!$V448)&lt;&gt;0)),1,0)</f>
        <v>0</v>
      </c>
      <c r="U1648">
        <f>N(U1647)+$T1648</f>
        <v>47</v>
      </c>
      <c r="V1648">
        <f>IF(AND($L1648=1,AND(对接源_02物料!$X448="自备筐",N(对接源_02物料!$V448)&lt;&gt;0)),1,0)</f>
        <v>0</v>
      </c>
      <c r="W1648">
        <f>N(W1647)+$V1648</f>
        <v>11</v>
      </c>
      <c r="X1648">
        <f>IF(AND($L1648=1,AND(对接源_02物料!$X448="自备筐",N(对接源_02物料!$T448)&lt;&gt;0)),1,0)</f>
        <v>0</v>
      </c>
      <c r="Y1648">
        <f>N(Y1647)+$X1648</f>
        <v>0</v>
      </c>
      <c r="Z1648">
        <f>IF(AND($M1648=1,对接源_02物料!$D448="原料入库"),1,0)</f>
        <v>0</v>
      </c>
      <c r="AA1648">
        <f>N(AA1647)+$Z1648</f>
        <v>24</v>
      </c>
      <c r="AB1648">
        <f>IF(AND($M1648=1,LEFT(对接源_02物料!$D448,4)="原料出库"),1,0)</f>
        <v>0</v>
      </c>
      <c r="AC1648">
        <f>N(AC1647)+$AB1648</f>
        <v>0</v>
      </c>
      <c r="AD1648">
        <f>IF(AND($M1648=1,LEFT(对接源_02物料!$D448,4)="成品出库"),1,0)</f>
        <v>0</v>
      </c>
      <c r="AE1648">
        <f>N(AE1647)+$AD1648</f>
        <v>0</v>
      </c>
      <c r="AF1648">
        <f>IF(AND($N1648=1,AND(LEFT(对接源_02物料!$D448,4)="包装物料",N(对接源_02物料!$K448)&lt;&gt;0)),1,0)</f>
        <v>0</v>
      </c>
      <c r="AG1648">
        <f>N(AG1647)+$AF1648</f>
        <v>10</v>
      </c>
      <c r="AH1648">
        <f>IF(AND($N1648=1,AND(对接源_02物料!$D448="周转筐－销售出库",N(对接源_02物料!$K448)&lt;&gt;0)),1,0)</f>
        <v>0</v>
      </c>
      <c r="AI1648">
        <f>N(AI1647)+$AH1648</f>
        <v>0</v>
      </c>
      <c r="AL1648" t="n">
        <v>0</v>
      </c>
      <c r="AM1648">
        <f>N(AM1647)+$AL1648</f>
        <v>2</v>
      </c>
      <c r="AN1648">
        <f>""</f>
      </c>
      <c r="AO1648" t="n">
        <v>0</v>
      </c>
      <c r="AP1648">
        <f>N(AP1647)+$AO1648</f>
        <v>13</v>
      </c>
      <c r="AR1648">
        <f>IF(OR($AF1648=1,$AH1648=1),1,0)</f>
        <v>0</v>
      </c>
      <c r="AS1648">
        <f>N(AS1647)+$AR1648</f>
        <v>10</v>
      </c>
    </row>
    <row r="1649" s="127">
      <c r="A1649">
        <f>IF(对接源_02物料!$C449="","",对接源_02物料!$C449)</f>
      </c>
      <c r="B1649">
        <f>IF(A1649="",0,IF(MATCH(A1649,$A$4:$A$2403,0)=ROW()-3,1,0))</f>
        <v>0</v>
      </c>
      <c r="C1649">
        <f>N(C1648)+B1649</f>
        <v>26</v>
      </c>
      <c r="K1649">
        <f>IF(OR($K$1="",对接源_02物料!$C449="",对接源_02物料!$C449&lt;&gt;$K$1,对接源_02物料!$B449=""),0,IF(OR(N(对接源_02物料!$B449)&lt;$K$2,N(对接源_02物料!$B449)&gt;$K$3),0,1))</f>
        <v>0</v>
      </c>
      <c r="L1649">
        <f>IF(OR($L$1="",对接源_02物料!$C449="",对接源_02物料!$C449&lt;&gt;$L$1,对接源_02物料!$B449=""),0,IF(OR(N(对接源_02物料!$B449)&lt;$L$2,N(对接源_02物料!$B449)&gt;$L$3),0,1))</f>
        <v>0</v>
      </c>
      <c r="M1649">
        <f>IF(OR($M$1="",对接源_02物料!$C449="",对接源_02物料!$C449&lt;&gt;$M$1,对接源_02物料!$B449=""),0,IF(OR(N(对接源_02物料!$B449)&lt;$M$2,N(对接源_02物料!$B449)&gt;$M$3),0,1))</f>
        <v>0</v>
      </c>
      <c r="N1649">
        <f>IF(OR($N$1="",对接源_02物料!$C449="",对接源_02物料!$C449&lt;&gt;$N$1,对接源_02物料!$B449=""),0,IF(OR(N(对接源_02物料!$B449)&lt;$N$2,N(对接源_02物料!$B449)&gt;$N$3),0,1))</f>
        <v>0</v>
      </c>
      <c r="P1649">
        <f>IF(AND($K1649=1,AND(对接源_02物料!$X449="公司筐",N(对接源_02物料!$T449)&lt;&gt;0)),1,0)</f>
        <v>0</v>
      </c>
      <c r="Q1649">
        <f>N(Q1648)+$P1649</f>
        <v>14</v>
      </c>
      <c r="R1649">
        <f>IF(AND($K1649=1,AND(对接源_02物料!$X449="公司筐",N(对接源_02物料!$U449)&lt;&gt;0)),1,0)</f>
        <v>0</v>
      </c>
      <c r="S1649">
        <f>N(S1648)+$R1649</f>
        <v>1</v>
      </c>
      <c r="T1649">
        <f>IF(AND($K1649=1,AND(对接源_02物料!$X449="公司筐",N(对接源_02物料!$V449)&lt;&gt;0)),1,0)</f>
        <v>0</v>
      </c>
      <c r="U1649">
        <f>N(U1648)+$T1649</f>
        <v>47</v>
      </c>
      <c r="V1649">
        <f>IF(AND($L1649=1,AND(对接源_02物料!$X449="自备筐",N(对接源_02物料!$V449)&lt;&gt;0)),1,0)</f>
        <v>0</v>
      </c>
      <c r="W1649">
        <f>N(W1648)+$V1649</f>
        <v>11</v>
      </c>
      <c r="X1649">
        <f>IF(AND($L1649=1,AND(对接源_02物料!$X449="自备筐",N(对接源_02物料!$T449)&lt;&gt;0)),1,0)</f>
        <v>0</v>
      </c>
      <c r="Y1649">
        <f>N(Y1648)+$X1649</f>
        <v>0</v>
      </c>
      <c r="Z1649">
        <f>IF(AND($M1649=1,对接源_02物料!$D449="原料入库"),1,0)</f>
        <v>0</v>
      </c>
      <c r="AA1649">
        <f>N(AA1648)+$Z1649</f>
        <v>24</v>
      </c>
      <c r="AB1649">
        <f>IF(AND($M1649=1,LEFT(对接源_02物料!$D449,4)="原料出库"),1,0)</f>
        <v>0</v>
      </c>
      <c r="AC1649">
        <f>N(AC1648)+$AB1649</f>
        <v>0</v>
      </c>
      <c r="AD1649">
        <f>IF(AND($M1649=1,LEFT(对接源_02物料!$D449,4)="成品出库"),1,0)</f>
        <v>0</v>
      </c>
      <c r="AE1649">
        <f>N(AE1648)+$AD1649</f>
        <v>0</v>
      </c>
      <c r="AF1649">
        <f>IF(AND($N1649=1,AND(LEFT(对接源_02物料!$D449,4)="包装物料",N(对接源_02物料!$K449)&lt;&gt;0)),1,0)</f>
        <v>0</v>
      </c>
      <c r="AG1649">
        <f>N(AG1648)+$AF1649</f>
        <v>10</v>
      </c>
      <c r="AH1649">
        <f>IF(AND($N1649=1,AND(对接源_02物料!$D449="周转筐－销售出库",N(对接源_02物料!$K449)&lt;&gt;0)),1,0)</f>
        <v>0</v>
      </c>
      <c r="AI1649">
        <f>N(AI1648)+$AH1649</f>
        <v>0</v>
      </c>
      <c r="AL1649" t="n">
        <v>0</v>
      </c>
      <c r="AM1649">
        <f>N(AM1648)+$AL1649</f>
        <v>2</v>
      </c>
      <c r="AN1649">
        <f>""</f>
      </c>
      <c r="AO1649" t="n">
        <v>0</v>
      </c>
      <c r="AP1649">
        <f>N(AP1648)+$AO1649</f>
        <v>13</v>
      </c>
      <c r="AR1649">
        <f>IF(OR($AF1649=1,$AH1649=1),1,0)</f>
        <v>0</v>
      </c>
      <c r="AS1649">
        <f>N(AS1648)+$AR1649</f>
        <v>10</v>
      </c>
    </row>
    <row r="1650" s="127">
      <c r="A1650">
        <f>IF(对接源_02物料!$C450="","",对接源_02物料!$C450)</f>
      </c>
      <c r="B1650">
        <f>IF(A1650="",0,IF(MATCH(A1650,$A$4:$A$2403,0)=ROW()-3,1,0))</f>
        <v>0</v>
      </c>
      <c r="C1650">
        <f>N(C1649)+B1650</f>
        <v>26</v>
      </c>
      <c r="K1650">
        <f>IF(OR($K$1="",对接源_02物料!$C450="",对接源_02物料!$C450&lt;&gt;$K$1,对接源_02物料!$B450=""),0,IF(OR(N(对接源_02物料!$B450)&lt;$K$2,N(对接源_02物料!$B450)&gt;$K$3),0,1))</f>
        <v>0</v>
      </c>
      <c r="L1650">
        <f>IF(OR($L$1="",对接源_02物料!$C450="",对接源_02物料!$C450&lt;&gt;$L$1,对接源_02物料!$B450=""),0,IF(OR(N(对接源_02物料!$B450)&lt;$L$2,N(对接源_02物料!$B450)&gt;$L$3),0,1))</f>
        <v>0</v>
      </c>
      <c r="M1650">
        <f>IF(OR($M$1="",对接源_02物料!$C450="",对接源_02物料!$C450&lt;&gt;$M$1,对接源_02物料!$B450=""),0,IF(OR(N(对接源_02物料!$B450)&lt;$M$2,N(对接源_02物料!$B450)&gt;$M$3),0,1))</f>
        <v>0</v>
      </c>
      <c r="N1650">
        <f>IF(OR($N$1="",对接源_02物料!$C450="",对接源_02物料!$C450&lt;&gt;$N$1,对接源_02物料!$B450=""),0,IF(OR(N(对接源_02物料!$B450)&lt;$N$2,N(对接源_02物料!$B450)&gt;$N$3),0,1))</f>
        <v>0</v>
      </c>
      <c r="P1650">
        <f>IF(AND($K1650=1,AND(对接源_02物料!$X450="公司筐",N(对接源_02物料!$T450)&lt;&gt;0)),1,0)</f>
        <v>0</v>
      </c>
      <c r="Q1650">
        <f>N(Q1649)+$P1650</f>
        <v>14</v>
      </c>
      <c r="R1650">
        <f>IF(AND($K1650=1,AND(对接源_02物料!$X450="公司筐",N(对接源_02物料!$U450)&lt;&gt;0)),1,0)</f>
        <v>0</v>
      </c>
      <c r="S1650">
        <f>N(S1649)+$R1650</f>
        <v>1</v>
      </c>
      <c r="T1650">
        <f>IF(AND($K1650=1,AND(对接源_02物料!$X450="公司筐",N(对接源_02物料!$V450)&lt;&gt;0)),1,0)</f>
        <v>0</v>
      </c>
      <c r="U1650">
        <f>N(U1649)+$T1650</f>
        <v>47</v>
      </c>
      <c r="V1650">
        <f>IF(AND($L1650=1,AND(对接源_02物料!$X450="自备筐",N(对接源_02物料!$V450)&lt;&gt;0)),1,0)</f>
        <v>0</v>
      </c>
      <c r="W1650">
        <f>N(W1649)+$V1650</f>
        <v>11</v>
      </c>
      <c r="X1650">
        <f>IF(AND($L1650=1,AND(对接源_02物料!$X450="自备筐",N(对接源_02物料!$T450)&lt;&gt;0)),1,0)</f>
        <v>0</v>
      </c>
      <c r="Y1650">
        <f>N(Y1649)+$X1650</f>
        <v>0</v>
      </c>
      <c r="Z1650">
        <f>IF(AND($M1650=1,对接源_02物料!$D450="原料入库"),1,0)</f>
        <v>0</v>
      </c>
      <c r="AA1650">
        <f>N(AA1649)+$Z1650</f>
        <v>24</v>
      </c>
      <c r="AB1650">
        <f>IF(AND($M1650=1,LEFT(对接源_02物料!$D450,4)="原料出库"),1,0)</f>
        <v>0</v>
      </c>
      <c r="AC1650">
        <f>N(AC1649)+$AB1650</f>
        <v>0</v>
      </c>
      <c r="AD1650">
        <f>IF(AND($M1650=1,LEFT(对接源_02物料!$D450,4)="成品出库"),1,0)</f>
        <v>0</v>
      </c>
      <c r="AE1650">
        <f>N(AE1649)+$AD1650</f>
        <v>0</v>
      </c>
      <c r="AF1650">
        <f>IF(AND($N1650=1,AND(LEFT(对接源_02物料!$D450,4)="包装物料",N(对接源_02物料!$K450)&lt;&gt;0)),1,0)</f>
        <v>0</v>
      </c>
      <c r="AG1650">
        <f>N(AG1649)+$AF1650</f>
        <v>10</v>
      </c>
      <c r="AH1650">
        <f>IF(AND($N1650=1,AND(对接源_02物料!$D450="周转筐－销售出库",N(对接源_02物料!$K450)&lt;&gt;0)),1,0)</f>
        <v>0</v>
      </c>
      <c r="AI1650">
        <f>N(AI1649)+$AH1650</f>
        <v>0</v>
      </c>
      <c r="AL1650" t="n">
        <v>0</v>
      </c>
      <c r="AM1650">
        <f>N(AM1649)+$AL1650</f>
        <v>2</v>
      </c>
      <c r="AN1650">
        <f>""</f>
      </c>
      <c r="AO1650" t="n">
        <v>0</v>
      </c>
      <c r="AP1650">
        <f>N(AP1649)+$AO1650</f>
        <v>13</v>
      </c>
      <c r="AR1650">
        <f>IF(OR($AF1650=1,$AH1650=1),1,0)</f>
        <v>0</v>
      </c>
      <c r="AS1650">
        <f>N(AS1649)+$AR1650</f>
        <v>10</v>
      </c>
    </row>
    <row r="1651" s="127">
      <c r="A1651">
        <f>IF(对接源_02物料!$C451="","",对接源_02物料!$C451)</f>
      </c>
      <c r="B1651">
        <f>IF(A1651="",0,IF(MATCH(A1651,$A$4:$A$2403,0)=ROW()-3,1,0))</f>
        <v>0</v>
      </c>
      <c r="C1651">
        <f>N(C1650)+B1651</f>
        <v>26</v>
      </c>
      <c r="K1651">
        <f>IF(OR($K$1="",对接源_02物料!$C451="",对接源_02物料!$C451&lt;&gt;$K$1,对接源_02物料!$B451=""),0,IF(OR(N(对接源_02物料!$B451)&lt;$K$2,N(对接源_02物料!$B451)&gt;$K$3),0,1))</f>
        <v>0</v>
      </c>
      <c r="L1651">
        <f>IF(OR($L$1="",对接源_02物料!$C451="",对接源_02物料!$C451&lt;&gt;$L$1,对接源_02物料!$B451=""),0,IF(OR(N(对接源_02物料!$B451)&lt;$L$2,N(对接源_02物料!$B451)&gt;$L$3),0,1))</f>
        <v>0</v>
      </c>
      <c r="M1651">
        <f>IF(OR($M$1="",对接源_02物料!$C451="",对接源_02物料!$C451&lt;&gt;$M$1,对接源_02物料!$B451=""),0,IF(OR(N(对接源_02物料!$B451)&lt;$M$2,N(对接源_02物料!$B451)&gt;$M$3),0,1))</f>
        <v>0</v>
      </c>
      <c r="N1651">
        <f>IF(OR($N$1="",对接源_02物料!$C451="",对接源_02物料!$C451&lt;&gt;$N$1,对接源_02物料!$B451=""),0,IF(OR(N(对接源_02物料!$B451)&lt;$N$2,N(对接源_02物料!$B451)&gt;$N$3),0,1))</f>
        <v>0</v>
      </c>
      <c r="P1651">
        <f>IF(AND($K1651=1,AND(对接源_02物料!$X451="公司筐",N(对接源_02物料!$T451)&lt;&gt;0)),1,0)</f>
        <v>0</v>
      </c>
      <c r="Q1651">
        <f>N(Q1650)+$P1651</f>
        <v>14</v>
      </c>
      <c r="R1651">
        <f>IF(AND($K1651=1,AND(对接源_02物料!$X451="公司筐",N(对接源_02物料!$U451)&lt;&gt;0)),1,0)</f>
        <v>0</v>
      </c>
      <c r="S1651">
        <f>N(S1650)+$R1651</f>
        <v>1</v>
      </c>
      <c r="T1651">
        <f>IF(AND($K1651=1,AND(对接源_02物料!$X451="公司筐",N(对接源_02物料!$V451)&lt;&gt;0)),1,0)</f>
        <v>0</v>
      </c>
      <c r="U1651">
        <f>N(U1650)+$T1651</f>
        <v>47</v>
      </c>
      <c r="V1651">
        <f>IF(AND($L1651=1,AND(对接源_02物料!$X451="自备筐",N(对接源_02物料!$V451)&lt;&gt;0)),1,0)</f>
        <v>0</v>
      </c>
      <c r="W1651">
        <f>N(W1650)+$V1651</f>
        <v>11</v>
      </c>
      <c r="X1651">
        <f>IF(AND($L1651=1,AND(对接源_02物料!$X451="自备筐",N(对接源_02物料!$T451)&lt;&gt;0)),1,0)</f>
        <v>0</v>
      </c>
      <c r="Y1651">
        <f>N(Y1650)+$X1651</f>
        <v>0</v>
      </c>
      <c r="Z1651">
        <f>IF(AND($M1651=1,对接源_02物料!$D451="原料入库"),1,0)</f>
        <v>0</v>
      </c>
      <c r="AA1651">
        <f>N(AA1650)+$Z1651</f>
        <v>24</v>
      </c>
      <c r="AB1651">
        <f>IF(AND($M1651=1,LEFT(对接源_02物料!$D451,4)="原料出库"),1,0)</f>
        <v>0</v>
      </c>
      <c r="AC1651">
        <f>N(AC1650)+$AB1651</f>
        <v>0</v>
      </c>
      <c r="AD1651">
        <f>IF(AND($M1651=1,LEFT(对接源_02物料!$D451,4)="成品出库"),1,0)</f>
        <v>0</v>
      </c>
      <c r="AE1651">
        <f>N(AE1650)+$AD1651</f>
        <v>0</v>
      </c>
      <c r="AF1651">
        <f>IF(AND($N1651=1,AND(LEFT(对接源_02物料!$D451,4)="包装物料",N(对接源_02物料!$K451)&lt;&gt;0)),1,0)</f>
        <v>0</v>
      </c>
      <c r="AG1651">
        <f>N(AG1650)+$AF1651</f>
        <v>10</v>
      </c>
      <c r="AH1651">
        <f>IF(AND($N1651=1,AND(对接源_02物料!$D451="周转筐－销售出库",N(对接源_02物料!$K451)&lt;&gt;0)),1,0)</f>
        <v>0</v>
      </c>
      <c r="AI1651">
        <f>N(AI1650)+$AH1651</f>
        <v>0</v>
      </c>
      <c r="AL1651" t="n">
        <v>0</v>
      </c>
      <c r="AM1651">
        <f>N(AM1650)+$AL1651</f>
        <v>2</v>
      </c>
      <c r="AN1651">
        <f>""</f>
      </c>
      <c r="AO1651" t="n">
        <v>0</v>
      </c>
      <c r="AP1651">
        <f>N(AP1650)+$AO1651</f>
        <v>13</v>
      </c>
      <c r="AR1651">
        <f>IF(OR($AF1651=1,$AH1651=1),1,0)</f>
        <v>0</v>
      </c>
      <c r="AS1651">
        <f>N(AS1650)+$AR1651</f>
        <v>10</v>
      </c>
    </row>
    <row r="1652" s="127">
      <c r="A1652">
        <f>IF(对接源_02物料!$C452="","",对接源_02物料!$C452)</f>
      </c>
      <c r="B1652">
        <f>IF(A1652="",0,IF(MATCH(A1652,$A$4:$A$2403,0)=ROW()-3,1,0))</f>
        <v>0</v>
      </c>
      <c r="C1652">
        <f>N(C1651)+B1652</f>
        <v>26</v>
      </c>
      <c r="K1652">
        <f>IF(OR($K$1="",对接源_02物料!$C452="",对接源_02物料!$C452&lt;&gt;$K$1,对接源_02物料!$B452=""),0,IF(OR(N(对接源_02物料!$B452)&lt;$K$2,N(对接源_02物料!$B452)&gt;$K$3),0,1))</f>
        <v>0</v>
      </c>
      <c r="L1652">
        <f>IF(OR($L$1="",对接源_02物料!$C452="",对接源_02物料!$C452&lt;&gt;$L$1,对接源_02物料!$B452=""),0,IF(OR(N(对接源_02物料!$B452)&lt;$L$2,N(对接源_02物料!$B452)&gt;$L$3),0,1))</f>
        <v>0</v>
      </c>
      <c r="M1652">
        <f>IF(OR($M$1="",对接源_02物料!$C452="",对接源_02物料!$C452&lt;&gt;$M$1,对接源_02物料!$B452=""),0,IF(OR(N(对接源_02物料!$B452)&lt;$M$2,N(对接源_02物料!$B452)&gt;$M$3),0,1))</f>
        <v>0</v>
      </c>
      <c r="N1652">
        <f>IF(OR($N$1="",对接源_02物料!$C452="",对接源_02物料!$C452&lt;&gt;$N$1,对接源_02物料!$B452=""),0,IF(OR(N(对接源_02物料!$B452)&lt;$N$2,N(对接源_02物料!$B452)&gt;$N$3),0,1))</f>
        <v>0</v>
      </c>
      <c r="P1652">
        <f>IF(AND($K1652=1,AND(对接源_02物料!$X452="公司筐",N(对接源_02物料!$T452)&lt;&gt;0)),1,0)</f>
        <v>0</v>
      </c>
      <c r="Q1652">
        <f>N(Q1651)+$P1652</f>
        <v>14</v>
      </c>
      <c r="R1652">
        <f>IF(AND($K1652=1,AND(对接源_02物料!$X452="公司筐",N(对接源_02物料!$U452)&lt;&gt;0)),1,0)</f>
        <v>0</v>
      </c>
      <c r="S1652">
        <f>N(S1651)+$R1652</f>
        <v>1</v>
      </c>
      <c r="T1652">
        <f>IF(AND($K1652=1,AND(对接源_02物料!$X452="公司筐",N(对接源_02物料!$V452)&lt;&gt;0)),1,0)</f>
        <v>0</v>
      </c>
      <c r="U1652">
        <f>N(U1651)+$T1652</f>
        <v>47</v>
      </c>
      <c r="V1652">
        <f>IF(AND($L1652=1,AND(对接源_02物料!$X452="自备筐",N(对接源_02物料!$V452)&lt;&gt;0)),1,0)</f>
        <v>0</v>
      </c>
      <c r="W1652">
        <f>N(W1651)+$V1652</f>
        <v>11</v>
      </c>
      <c r="X1652">
        <f>IF(AND($L1652=1,AND(对接源_02物料!$X452="自备筐",N(对接源_02物料!$T452)&lt;&gt;0)),1,0)</f>
        <v>0</v>
      </c>
      <c r="Y1652">
        <f>N(Y1651)+$X1652</f>
        <v>0</v>
      </c>
      <c r="Z1652">
        <f>IF(AND($M1652=1,对接源_02物料!$D452="原料入库"),1,0)</f>
        <v>0</v>
      </c>
      <c r="AA1652">
        <f>N(AA1651)+$Z1652</f>
        <v>24</v>
      </c>
      <c r="AB1652">
        <f>IF(AND($M1652=1,LEFT(对接源_02物料!$D452,4)="原料出库"),1,0)</f>
        <v>0</v>
      </c>
      <c r="AC1652">
        <f>N(AC1651)+$AB1652</f>
        <v>0</v>
      </c>
      <c r="AD1652">
        <f>IF(AND($M1652=1,LEFT(对接源_02物料!$D452,4)="成品出库"),1,0)</f>
        <v>0</v>
      </c>
      <c r="AE1652">
        <f>N(AE1651)+$AD1652</f>
        <v>0</v>
      </c>
      <c r="AF1652">
        <f>IF(AND($N1652=1,AND(LEFT(对接源_02物料!$D452,4)="包装物料",N(对接源_02物料!$K452)&lt;&gt;0)),1,0)</f>
        <v>0</v>
      </c>
      <c r="AG1652">
        <f>N(AG1651)+$AF1652</f>
        <v>10</v>
      </c>
      <c r="AH1652">
        <f>IF(AND($N1652=1,AND(对接源_02物料!$D452="周转筐－销售出库",N(对接源_02物料!$K452)&lt;&gt;0)),1,0)</f>
        <v>0</v>
      </c>
      <c r="AI1652">
        <f>N(AI1651)+$AH1652</f>
        <v>0</v>
      </c>
      <c r="AL1652" t="n">
        <v>0</v>
      </c>
      <c r="AM1652">
        <f>N(AM1651)+$AL1652</f>
        <v>2</v>
      </c>
      <c r="AN1652">
        <f>""</f>
      </c>
      <c r="AO1652" t="n">
        <v>0</v>
      </c>
      <c r="AP1652">
        <f>N(AP1651)+$AO1652</f>
        <v>13</v>
      </c>
      <c r="AR1652">
        <f>IF(OR($AF1652=1,$AH1652=1),1,0)</f>
        <v>0</v>
      </c>
      <c r="AS1652">
        <f>N(AS1651)+$AR1652</f>
        <v>10</v>
      </c>
    </row>
    <row r="1653" s="127">
      <c r="A1653">
        <f>IF(对接源_02物料!$C453="","",对接源_02物料!$C453)</f>
      </c>
      <c r="B1653">
        <f>IF(A1653="",0,IF(MATCH(A1653,$A$4:$A$2403,0)=ROW()-3,1,0))</f>
        <v>0</v>
      </c>
      <c r="C1653">
        <f>N(C1652)+B1653</f>
        <v>26</v>
      </c>
      <c r="K1653">
        <f>IF(OR($K$1="",对接源_02物料!$C453="",对接源_02物料!$C453&lt;&gt;$K$1,对接源_02物料!$B453=""),0,IF(OR(N(对接源_02物料!$B453)&lt;$K$2,N(对接源_02物料!$B453)&gt;$K$3),0,1))</f>
        <v>0</v>
      </c>
      <c r="L1653">
        <f>IF(OR($L$1="",对接源_02物料!$C453="",对接源_02物料!$C453&lt;&gt;$L$1,对接源_02物料!$B453=""),0,IF(OR(N(对接源_02物料!$B453)&lt;$L$2,N(对接源_02物料!$B453)&gt;$L$3),0,1))</f>
        <v>0</v>
      </c>
      <c r="M1653">
        <f>IF(OR($M$1="",对接源_02物料!$C453="",对接源_02物料!$C453&lt;&gt;$M$1,对接源_02物料!$B453=""),0,IF(OR(N(对接源_02物料!$B453)&lt;$M$2,N(对接源_02物料!$B453)&gt;$M$3),0,1))</f>
        <v>0</v>
      </c>
      <c r="N1653">
        <f>IF(OR($N$1="",对接源_02物料!$C453="",对接源_02物料!$C453&lt;&gt;$N$1,对接源_02物料!$B453=""),0,IF(OR(N(对接源_02物料!$B453)&lt;$N$2,N(对接源_02物料!$B453)&gt;$N$3),0,1))</f>
        <v>0</v>
      </c>
      <c r="P1653">
        <f>IF(AND($K1653=1,AND(对接源_02物料!$X453="公司筐",N(对接源_02物料!$T453)&lt;&gt;0)),1,0)</f>
        <v>0</v>
      </c>
      <c r="Q1653">
        <f>N(Q1652)+$P1653</f>
        <v>14</v>
      </c>
      <c r="R1653">
        <f>IF(AND($K1653=1,AND(对接源_02物料!$X453="公司筐",N(对接源_02物料!$U453)&lt;&gt;0)),1,0)</f>
        <v>0</v>
      </c>
      <c r="S1653">
        <f>N(S1652)+$R1653</f>
        <v>1</v>
      </c>
      <c r="T1653">
        <f>IF(AND($K1653=1,AND(对接源_02物料!$X453="公司筐",N(对接源_02物料!$V453)&lt;&gt;0)),1,0)</f>
        <v>0</v>
      </c>
      <c r="U1653">
        <f>N(U1652)+$T1653</f>
        <v>47</v>
      </c>
      <c r="V1653">
        <f>IF(AND($L1653=1,AND(对接源_02物料!$X453="自备筐",N(对接源_02物料!$V453)&lt;&gt;0)),1,0)</f>
        <v>0</v>
      </c>
      <c r="W1653">
        <f>N(W1652)+$V1653</f>
        <v>11</v>
      </c>
      <c r="X1653">
        <f>IF(AND($L1653=1,AND(对接源_02物料!$X453="自备筐",N(对接源_02物料!$T453)&lt;&gt;0)),1,0)</f>
        <v>0</v>
      </c>
      <c r="Y1653">
        <f>N(Y1652)+$X1653</f>
        <v>0</v>
      </c>
      <c r="Z1653">
        <f>IF(AND($M1653=1,对接源_02物料!$D453="原料入库"),1,0)</f>
        <v>0</v>
      </c>
      <c r="AA1653">
        <f>N(AA1652)+$Z1653</f>
        <v>24</v>
      </c>
      <c r="AB1653">
        <f>IF(AND($M1653=1,LEFT(对接源_02物料!$D453,4)="原料出库"),1,0)</f>
        <v>0</v>
      </c>
      <c r="AC1653">
        <f>N(AC1652)+$AB1653</f>
        <v>0</v>
      </c>
      <c r="AD1653">
        <f>IF(AND($M1653=1,LEFT(对接源_02物料!$D453,4)="成品出库"),1,0)</f>
        <v>0</v>
      </c>
      <c r="AE1653">
        <f>N(AE1652)+$AD1653</f>
        <v>0</v>
      </c>
      <c r="AF1653">
        <f>IF(AND($N1653=1,AND(LEFT(对接源_02物料!$D453,4)="包装物料",N(对接源_02物料!$K453)&lt;&gt;0)),1,0)</f>
        <v>0</v>
      </c>
      <c r="AG1653">
        <f>N(AG1652)+$AF1653</f>
        <v>10</v>
      </c>
      <c r="AH1653">
        <f>IF(AND($N1653=1,AND(对接源_02物料!$D453="周转筐－销售出库",N(对接源_02物料!$K453)&lt;&gt;0)),1,0)</f>
        <v>0</v>
      </c>
      <c r="AI1653">
        <f>N(AI1652)+$AH1653</f>
        <v>0</v>
      </c>
      <c r="AL1653" t="n">
        <v>0</v>
      </c>
      <c r="AM1653">
        <f>N(AM1652)+$AL1653</f>
        <v>2</v>
      </c>
      <c r="AN1653">
        <f>""</f>
      </c>
      <c r="AO1653" t="n">
        <v>0</v>
      </c>
      <c r="AP1653">
        <f>N(AP1652)+$AO1653</f>
        <v>13</v>
      </c>
      <c r="AR1653">
        <f>IF(OR($AF1653=1,$AH1653=1),1,0)</f>
        <v>0</v>
      </c>
      <c r="AS1653">
        <f>N(AS1652)+$AR1653</f>
        <v>10</v>
      </c>
    </row>
    <row r="1654" s="127">
      <c r="A1654">
        <f>IF(对接源_02物料!$C454="","",对接源_02物料!$C454)</f>
      </c>
      <c r="B1654">
        <f>IF(A1654="",0,IF(MATCH(A1654,$A$4:$A$2403,0)=ROW()-3,1,0))</f>
        <v>0</v>
      </c>
      <c r="C1654">
        <f>N(C1653)+B1654</f>
        <v>26</v>
      </c>
      <c r="K1654">
        <f>IF(OR($K$1="",对接源_02物料!$C454="",对接源_02物料!$C454&lt;&gt;$K$1,对接源_02物料!$B454=""),0,IF(OR(N(对接源_02物料!$B454)&lt;$K$2,N(对接源_02物料!$B454)&gt;$K$3),0,1))</f>
        <v>0</v>
      </c>
      <c r="L1654">
        <f>IF(OR($L$1="",对接源_02物料!$C454="",对接源_02物料!$C454&lt;&gt;$L$1,对接源_02物料!$B454=""),0,IF(OR(N(对接源_02物料!$B454)&lt;$L$2,N(对接源_02物料!$B454)&gt;$L$3),0,1))</f>
        <v>0</v>
      </c>
      <c r="M1654">
        <f>IF(OR($M$1="",对接源_02物料!$C454="",对接源_02物料!$C454&lt;&gt;$M$1,对接源_02物料!$B454=""),0,IF(OR(N(对接源_02物料!$B454)&lt;$M$2,N(对接源_02物料!$B454)&gt;$M$3),0,1))</f>
        <v>0</v>
      </c>
      <c r="N1654">
        <f>IF(OR($N$1="",对接源_02物料!$C454="",对接源_02物料!$C454&lt;&gt;$N$1,对接源_02物料!$B454=""),0,IF(OR(N(对接源_02物料!$B454)&lt;$N$2,N(对接源_02物料!$B454)&gt;$N$3),0,1))</f>
        <v>0</v>
      </c>
      <c r="P1654">
        <f>IF(AND($K1654=1,AND(对接源_02物料!$X454="公司筐",N(对接源_02物料!$T454)&lt;&gt;0)),1,0)</f>
        <v>0</v>
      </c>
      <c r="Q1654">
        <f>N(Q1653)+$P1654</f>
        <v>14</v>
      </c>
      <c r="R1654">
        <f>IF(AND($K1654=1,AND(对接源_02物料!$X454="公司筐",N(对接源_02物料!$U454)&lt;&gt;0)),1,0)</f>
        <v>0</v>
      </c>
      <c r="S1654">
        <f>N(S1653)+$R1654</f>
        <v>1</v>
      </c>
      <c r="T1654">
        <f>IF(AND($K1654=1,AND(对接源_02物料!$X454="公司筐",N(对接源_02物料!$V454)&lt;&gt;0)),1,0)</f>
        <v>0</v>
      </c>
      <c r="U1654">
        <f>N(U1653)+$T1654</f>
        <v>47</v>
      </c>
      <c r="V1654">
        <f>IF(AND($L1654=1,AND(对接源_02物料!$X454="自备筐",N(对接源_02物料!$V454)&lt;&gt;0)),1,0)</f>
        <v>0</v>
      </c>
      <c r="W1654">
        <f>N(W1653)+$V1654</f>
        <v>11</v>
      </c>
      <c r="X1654">
        <f>IF(AND($L1654=1,AND(对接源_02物料!$X454="自备筐",N(对接源_02物料!$T454)&lt;&gt;0)),1,0)</f>
        <v>0</v>
      </c>
      <c r="Y1654">
        <f>N(Y1653)+$X1654</f>
        <v>0</v>
      </c>
      <c r="Z1654">
        <f>IF(AND($M1654=1,对接源_02物料!$D454="原料入库"),1,0)</f>
        <v>0</v>
      </c>
      <c r="AA1654">
        <f>N(AA1653)+$Z1654</f>
        <v>24</v>
      </c>
      <c r="AB1654">
        <f>IF(AND($M1654=1,LEFT(对接源_02物料!$D454,4)="原料出库"),1,0)</f>
        <v>0</v>
      </c>
      <c r="AC1654">
        <f>N(AC1653)+$AB1654</f>
        <v>0</v>
      </c>
      <c r="AD1654">
        <f>IF(AND($M1654=1,LEFT(对接源_02物料!$D454,4)="成品出库"),1,0)</f>
        <v>0</v>
      </c>
      <c r="AE1654">
        <f>N(AE1653)+$AD1654</f>
        <v>0</v>
      </c>
      <c r="AF1654">
        <f>IF(AND($N1654=1,AND(LEFT(对接源_02物料!$D454,4)="包装物料",N(对接源_02物料!$K454)&lt;&gt;0)),1,0)</f>
        <v>0</v>
      </c>
      <c r="AG1654">
        <f>N(AG1653)+$AF1654</f>
        <v>10</v>
      </c>
      <c r="AH1654">
        <f>IF(AND($N1654=1,AND(对接源_02物料!$D454="周转筐－销售出库",N(对接源_02物料!$K454)&lt;&gt;0)),1,0)</f>
        <v>0</v>
      </c>
      <c r="AI1654">
        <f>N(AI1653)+$AH1654</f>
        <v>0</v>
      </c>
      <c r="AL1654" t="n">
        <v>0</v>
      </c>
      <c r="AM1654">
        <f>N(AM1653)+$AL1654</f>
        <v>2</v>
      </c>
      <c r="AN1654">
        <f>""</f>
      </c>
      <c r="AO1654" t="n">
        <v>0</v>
      </c>
      <c r="AP1654">
        <f>N(AP1653)+$AO1654</f>
        <v>13</v>
      </c>
      <c r="AR1654">
        <f>IF(OR($AF1654=1,$AH1654=1),1,0)</f>
        <v>0</v>
      </c>
      <c r="AS1654">
        <f>N(AS1653)+$AR1654</f>
        <v>10</v>
      </c>
    </row>
    <row r="1655" s="127">
      <c r="A1655">
        <f>IF(对接源_02物料!$C455="","",对接源_02物料!$C455)</f>
      </c>
      <c r="B1655">
        <f>IF(A1655="",0,IF(MATCH(A1655,$A$4:$A$2403,0)=ROW()-3,1,0))</f>
        <v>0</v>
      </c>
      <c r="C1655">
        <f>N(C1654)+B1655</f>
        <v>26</v>
      </c>
      <c r="K1655">
        <f>IF(OR($K$1="",对接源_02物料!$C455="",对接源_02物料!$C455&lt;&gt;$K$1,对接源_02物料!$B455=""),0,IF(OR(N(对接源_02物料!$B455)&lt;$K$2,N(对接源_02物料!$B455)&gt;$K$3),0,1))</f>
        <v>0</v>
      </c>
      <c r="L1655">
        <f>IF(OR($L$1="",对接源_02物料!$C455="",对接源_02物料!$C455&lt;&gt;$L$1,对接源_02物料!$B455=""),0,IF(OR(N(对接源_02物料!$B455)&lt;$L$2,N(对接源_02物料!$B455)&gt;$L$3),0,1))</f>
        <v>0</v>
      </c>
      <c r="M1655">
        <f>IF(OR($M$1="",对接源_02物料!$C455="",对接源_02物料!$C455&lt;&gt;$M$1,对接源_02物料!$B455=""),0,IF(OR(N(对接源_02物料!$B455)&lt;$M$2,N(对接源_02物料!$B455)&gt;$M$3),0,1))</f>
        <v>0</v>
      </c>
      <c r="N1655">
        <f>IF(OR($N$1="",对接源_02物料!$C455="",对接源_02物料!$C455&lt;&gt;$N$1,对接源_02物料!$B455=""),0,IF(OR(N(对接源_02物料!$B455)&lt;$N$2,N(对接源_02物料!$B455)&gt;$N$3),0,1))</f>
        <v>0</v>
      </c>
      <c r="P1655">
        <f>IF(AND($K1655=1,AND(对接源_02物料!$X455="公司筐",N(对接源_02物料!$T455)&lt;&gt;0)),1,0)</f>
        <v>0</v>
      </c>
      <c r="Q1655">
        <f>N(Q1654)+$P1655</f>
        <v>14</v>
      </c>
      <c r="R1655">
        <f>IF(AND($K1655=1,AND(对接源_02物料!$X455="公司筐",N(对接源_02物料!$U455)&lt;&gt;0)),1,0)</f>
        <v>0</v>
      </c>
      <c r="S1655">
        <f>N(S1654)+$R1655</f>
        <v>1</v>
      </c>
      <c r="T1655">
        <f>IF(AND($K1655=1,AND(对接源_02物料!$X455="公司筐",N(对接源_02物料!$V455)&lt;&gt;0)),1,0)</f>
        <v>0</v>
      </c>
      <c r="U1655">
        <f>N(U1654)+$T1655</f>
        <v>47</v>
      </c>
      <c r="V1655">
        <f>IF(AND($L1655=1,AND(对接源_02物料!$X455="自备筐",N(对接源_02物料!$V455)&lt;&gt;0)),1,0)</f>
        <v>0</v>
      </c>
      <c r="W1655">
        <f>N(W1654)+$V1655</f>
        <v>11</v>
      </c>
      <c r="X1655">
        <f>IF(AND($L1655=1,AND(对接源_02物料!$X455="自备筐",N(对接源_02物料!$T455)&lt;&gt;0)),1,0)</f>
        <v>0</v>
      </c>
      <c r="Y1655">
        <f>N(Y1654)+$X1655</f>
        <v>0</v>
      </c>
      <c r="Z1655">
        <f>IF(AND($M1655=1,对接源_02物料!$D455="原料入库"),1,0)</f>
        <v>0</v>
      </c>
      <c r="AA1655">
        <f>N(AA1654)+$Z1655</f>
        <v>24</v>
      </c>
      <c r="AB1655">
        <f>IF(AND($M1655=1,LEFT(对接源_02物料!$D455,4)="原料出库"),1,0)</f>
        <v>0</v>
      </c>
      <c r="AC1655">
        <f>N(AC1654)+$AB1655</f>
        <v>0</v>
      </c>
      <c r="AD1655">
        <f>IF(AND($M1655=1,LEFT(对接源_02物料!$D455,4)="成品出库"),1,0)</f>
        <v>0</v>
      </c>
      <c r="AE1655">
        <f>N(AE1654)+$AD1655</f>
        <v>0</v>
      </c>
      <c r="AF1655">
        <f>IF(AND($N1655=1,AND(LEFT(对接源_02物料!$D455,4)="包装物料",N(对接源_02物料!$K455)&lt;&gt;0)),1,0)</f>
        <v>0</v>
      </c>
      <c r="AG1655">
        <f>N(AG1654)+$AF1655</f>
        <v>10</v>
      </c>
      <c r="AH1655">
        <f>IF(AND($N1655=1,AND(对接源_02物料!$D455="周转筐－销售出库",N(对接源_02物料!$K455)&lt;&gt;0)),1,0)</f>
        <v>0</v>
      </c>
      <c r="AI1655">
        <f>N(AI1654)+$AH1655</f>
        <v>0</v>
      </c>
      <c r="AL1655" t="n">
        <v>0</v>
      </c>
      <c r="AM1655">
        <f>N(AM1654)+$AL1655</f>
        <v>2</v>
      </c>
      <c r="AN1655">
        <f>""</f>
      </c>
      <c r="AO1655" t="n">
        <v>0</v>
      </c>
      <c r="AP1655">
        <f>N(AP1654)+$AO1655</f>
        <v>13</v>
      </c>
      <c r="AR1655">
        <f>IF(OR($AF1655=1,$AH1655=1),1,0)</f>
        <v>0</v>
      </c>
      <c r="AS1655">
        <f>N(AS1654)+$AR1655</f>
        <v>10</v>
      </c>
    </row>
    <row r="1656" s="127">
      <c r="A1656">
        <f>IF(对接源_02物料!$C456="","",对接源_02物料!$C456)</f>
      </c>
      <c r="B1656">
        <f>IF(A1656="",0,IF(MATCH(A1656,$A$4:$A$2403,0)=ROW()-3,1,0))</f>
        <v>0</v>
      </c>
      <c r="C1656">
        <f>N(C1655)+B1656</f>
        <v>26</v>
      </c>
      <c r="K1656">
        <f>IF(OR($K$1="",对接源_02物料!$C456="",对接源_02物料!$C456&lt;&gt;$K$1,对接源_02物料!$B456=""),0,IF(OR(N(对接源_02物料!$B456)&lt;$K$2,N(对接源_02物料!$B456)&gt;$K$3),0,1))</f>
        <v>0</v>
      </c>
      <c r="L1656">
        <f>IF(OR($L$1="",对接源_02物料!$C456="",对接源_02物料!$C456&lt;&gt;$L$1,对接源_02物料!$B456=""),0,IF(OR(N(对接源_02物料!$B456)&lt;$L$2,N(对接源_02物料!$B456)&gt;$L$3),0,1))</f>
        <v>0</v>
      </c>
      <c r="M1656">
        <f>IF(OR($M$1="",对接源_02物料!$C456="",对接源_02物料!$C456&lt;&gt;$M$1,对接源_02物料!$B456=""),0,IF(OR(N(对接源_02物料!$B456)&lt;$M$2,N(对接源_02物料!$B456)&gt;$M$3),0,1))</f>
        <v>0</v>
      </c>
      <c r="N1656">
        <f>IF(OR($N$1="",对接源_02物料!$C456="",对接源_02物料!$C456&lt;&gt;$N$1,对接源_02物料!$B456=""),0,IF(OR(N(对接源_02物料!$B456)&lt;$N$2,N(对接源_02物料!$B456)&gt;$N$3),0,1))</f>
        <v>0</v>
      </c>
      <c r="P1656">
        <f>IF(AND($K1656=1,AND(对接源_02物料!$X456="公司筐",N(对接源_02物料!$T456)&lt;&gt;0)),1,0)</f>
        <v>0</v>
      </c>
      <c r="Q1656">
        <f>N(Q1655)+$P1656</f>
        <v>14</v>
      </c>
      <c r="R1656">
        <f>IF(AND($K1656=1,AND(对接源_02物料!$X456="公司筐",N(对接源_02物料!$U456)&lt;&gt;0)),1,0)</f>
        <v>0</v>
      </c>
      <c r="S1656">
        <f>N(S1655)+$R1656</f>
        <v>1</v>
      </c>
      <c r="T1656">
        <f>IF(AND($K1656=1,AND(对接源_02物料!$X456="公司筐",N(对接源_02物料!$V456)&lt;&gt;0)),1,0)</f>
        <v>0</v>
      </c>
      <c r="U1656">
        <f>N(U1655)+$T1656</f>
        <v>47</v>
      </c>
      <c r="V1656">
        <f>IF(AND($L1656=1,AND(对接源_02物料!$X456="自备筐",N(对接源_02物料!$V456)&lt;&gt;0)),1,0)</f>
        <v>0</v>
      </c>
      <c r="W1656">
        <f>N(W1655)+$V1656</f>
        <v>11</v>
      </c>
      <c r="X1656">
        <f>IF(AND($L1656=1,AND(对接源_02物料!$X456="自备筐",N(对接源_02物料!$T456)&lt;&gt;0)),1,0)</f>
        <v>0</v>
      </c>
      <c r="Y1656">
        <f>N(Y1655)+$X1656</f>
        <v>0</v>
      </c>
      <c r="Z1656">
        <f>IF(AND($M1656=1,对接源_02物料!$D456="原料入库"),1,0)</f>
        <v>0</v>
      </c>
      <c r="AA1656">
        <f>N(AA1655)+$Z1656</f>
        <v>24</v>
      </c>
      <c r="AB1656">
        <f>IF(AND($M1656=1,LEFT(对接源_02物料!$D456,4)="原料出库"),1,0)</f>
        <v>0</v>
      </c>
      <c r="AC1656">
        <f>N(AC1655)+$AB1656</f>
        <v>0</v>
      </c>
      <c r="AD1656">
        <f>IF(AND($M1656=1,LEFT(对接源_02物料!$D456,4)="成品出库"),1,0)</f>
        <v>0</v>
      </c>
      <c r="AE1656">
        <f>N(AE1655)+$AD1656</f>
        <v>0</v>
      </c>
      <c r="AF1656">
        <f>IF(AND($N1656=1,AND(LEFT(对接源_02物料!$D456,4)="包装物料",N(对接源_02物料!$K456)&lt;&gt;0)),1,0)</f>
        <v>0</v>
      </c>
      <c r="AG1656">
        <f>N(AG1655)+$AF1656</f>
        <v>10</v>
      </c>
      <c r="AH1656">
        <f>IF(AND($N1656=1,AND(对接源_02物料!$D456="周转筐－销售出库",N(对接源_02物料!$K456)&lt;&gt;0)),1,0)</f>
        <v>0</v>
      </c>
      <c r="AI1656">
        <f>N(AI1655)+$AH1656</f>
        <v>0</v>
      </c>
      <c r="AL1656" t="n">
        <v>0</v>
      </c>
      <c r="AM1656">
        <f>N(AM1655)+$AL1656</f>
        <v>2</v>
      </c>
      <c r="AN1656">
        <f>""</f>
      </c>
      <c r="AO1656" t="n">
        <v>0</v>
      </c>
      <c r="AP1656">
        <f>N(AP1655)+$AO1656</f>
        <v>13</v>
      </c>
      <c r="AR1656">
        <f>IF(OR($AF1656=1,$AH1656=1),1,0)</f>
        <v>0</v>
      </c>
      <c r="AS1656">
        <f>N(AS1655)+$AR1656</f>
        <v>10</v>
      </c>
    </row>
    <row r="1657" s="127">
      <c r="A1657">
        <f>IF(对接源_02物料!$C457="","",对接源_02物料!$C457)</f>
      </c>
      <c r="B1657">
        <f>IF(A1657="",0,IF(MATCH(A1657,$A$4:$A$2403,0)=ROW()-3,1,0))</f>
        <v>0</v>
      </c>
      <c r="C1657">
        <f>N(C1656)+B1657</f>
        <v>26</v>
      </c>
      <c r="K1657">
        <f>IF(OR($K$1="",对接源_02物料!$C457="",对接源_02物料!$C457&lt;&gt;$K$1,对接源_02物料!$B457=""),0,IF(OR(N(对接源_02物料!$B457)&lt;$K$2,N(对接源_02物料!$B457)&gt;$K$3),0,1))</f>
        <v>0</v>
      </c>
      <c r="L1657">
        <f>IF(OR($L$1="",对接源_02物料!$C457="",对接源_02物料!$C457&lt;&gt;$L$1,对接源_02物料!$B457=""),0,IF(OR(N(对接源_02物料!$B457)&lt;$L$2,N(对接源_02物料!$B457)&gt;$L$3),0,1))</f>
        <v>0</v>
      </c>
      <c r="M1657">
        <f>IF(OR($M$1="",对接源_02物料!$C457="",对接源_02物料!$C457&lt;&gt;$M$1,对接源_02物料!$B457=""),0,IF(OR(N(对接源_02物料!$B457)&lt;$M$2,N(对接源_02物料!$B457)&gt;$M$3),0,1))</f>
        <v>0</v>
      </c>
      <c r="N1657">
        <f>IF(OR($N$1="",对接源_02物料!$C457="",对接源_02物料!$C457&lt;&gt;$N$1,对接源_02物料!$B457=""),0,IF(OR(N(对接源_02物料!$B457)&lt;$N$2,N(对接源_02物料!$B457)&gt;$N$3),0,1))</f>
        <v>0</v>
      </c>
      <c r="P1657">
        <f>IF(AND($K1657=1,AND(对接源_02物料!$X457="公司筐",N(对接源_02物料!$T457)&lt;&gt;0)),1,0)</f>
        <v>0</v>
      </c>
      <c r="Q1657">
        <f>N(Q1656)+$P1657</f>
        <v>14</v>
      </c>
      <c r="R1657">
        <f>IF(AND($K1657=1,AND(对接源_02物料!$X457="公司筐",N(对接源_02物料!$U457)&lt;&gt;0)),1,0)</f>
        <v>0</v>
      </c>
      <c r="S1657">
        <f>N(S1656)+$R1657</f>
        <v>1</v>
      </c>
      <c r="T1657">
        <f>IF(AND($K1657=1,AND(对接源_02物料!$X457="公司筐",N(对接源_02物料!$V457)&lt;&gt;0)),1,0)</f>
        <v>0</v>
      </c>
      <c r="U1657">
        <f>N(U1656)+$T1657</f>
        <v>47</v>
      </c>
      <c r="V1657">
        <f>IF(AND($L1657=1,AND(对接源_02物料!$X457="自备筐",N(对接源_02物料!$V457)&lt;&gt;0)),1,0)</f>
        <v>0</v>
      </c>
      <c r="W1657">
        <f>N(W1656)+$V1657</f>
        <v>11</v>
      </c>
      <c r="X1657">
        <f>IF(AND($L1657=1,AND(对接源_02物料!$X457="自备筐",N(对接源_02物料!$T457)&lt;&gt;0)),1,0)</f>
        <v>0</v>
      </c>
      <c r="Y1657">
        <f>N(Y1656)+$X1657</f>
        <v>0</v>
      </c>
      <c r="Z1657">
        <f>IF(AND($M1657=1,对接源_02物料!$D457="原料入库"),1,0)</f>
        <v>0</v>
      </c>
      <c r="AA1657">
        <f>N(AA1656)+$Z1657</f>
        <v>24</v>
      </c>
      <c r="AB1657">
        <f>IF(AND($M1657=1,LEFT(对接源_02物料!$D457,4)="原料出库"),1,0)</f>
        <v>0</v>
      </c>
      <c r="AC1657">
        <f>N(AC1656)+$AB1657</f>
        <v>0</v>
      </c>
      <c r="AD1657">
        <f>IF(AND($M1657=1,LEFT(对接源_02物料!$D457,4)="成品出库"),1,0)</f>
        <v>0</v>
      </c>
      <c r="AE1657">
        <f>N(AE1656)+$AD1657</f>
        <v>0</v>
      </c>
      <c r="AF1657">
        <f>IF(AND($N1657=1,AND(LEFT(对接源_02物料!$D457,4)="包装物料",N(对接源_02物料!$K457)&lt;&gt;0)),1,0)</f>
        <v>0</v>
      </c>
      <c r="AG1657">
        <f>N(AG1656)+$AF1657</f>
        <v>10</v>
      </c>
      <c r="AH1657">
        <f>IF(AND($N1657=1,AND(对接源_02物料!$D457="周转筐－销售出库",N(对接源_02物料!$K457)&lt;&gt;0)),1,0)</f>
        <v>0</v>
      </c>
      <c r="AI1657">
        <f>N(AI1656)+$AH1657</f>
        <v>0</v>
      </c>
      <c r="AL1657" t="n">
        <v>0</v>
      </c>
      <c r="AM1657">
        <f>N(AM1656)+$AL1657</f>
        <v>2</v>
      </c>
      <c r="AN1657">
        <f>""</f>
      </c>
      <c r="AO1657" t="n">
        <v>0</v>
      </c>
      <c r="AP1657">
        <f>N(AP1656)+$AO1657</f>
        <v>13</v>
      </c>
      <c r="AR1657">
        <f>IF(OR($AF1657=1,$AH1657=1),1,0)</f>
        <v>0</v>
      </c>
      <c r="AS1657">
        <f>N(AS1656)+$AR1657</f>
        <v>10</v>
      </c>
    </row>
    <row r="1658" s="127">
      <c r="A1658">
        <f>IF(对接源_02物料!$C458="","",对接源_02物料!$C458)</f>
      </c>
      <c r="B1658">
        <f>IF(A1658="",0,IF(MATCH(A1658,$A$4:$A$2403,0)=ROW()-3,1,0))</f>
        <v>0</v>
      </c>
      <c r="C1658">
        <f>N(C1657)+B1658</f>
        <v>26</v>
      </c>
      <c r="K1658">
        <f>IF(OR($K$1="",对接源_02物料!$C458="",对接源_02物料!$C458&lt;&gt;$K$1,对接源_02物料!$B458=""),0,IF(OR(N(对接源_02物料!$B458)&lt;$K$2,N(对接源_02物料!$B458)&gt;$K$3),0,1))</f>
        <v>0</v>
      </c>
      <c r="L1658">
        <f>IF(OR($L$1="",对接源_02物料!$C458="",对接源_02物料!$C458&lt;&gt;$L$1,对接源_02物料!$B458=""),0,IF(OR(N(对接源_02物料!$B458)&lt;$L$2,N(对接源_02物料!$B458)&gt;$L$3),0,1))</f>
        <v>0</v>
      </c>
      <c r="M1658">
        <f>IF(OR($M$1="",对接源_02物料!$C458="",对接源_02物料!$C458&lt;&gt;$M$1,对接源_02物料!$B458=""),0,IF(OR(N(对接源_02物料!$B458)&lt;$M$2,N(对接源_02物料!$B458)&gt;$M$3),0,1))</f>
        <v>0</v>
      </c>
      <c r="N1658">
        <f>IF(OR($N$1="",对接源_02物料!$C458="",对接源_02物料!$C458&lt;&gt;$N$1,对接源_02物料!$B458=""),0,IF(OR(N(对接源_02物料!$B458)&lt;$N$2,N(对接源_02物料!$B458)&gt;$N$3),0,1))</f>
        <v>0</v>
      </c>
      <c r="P1658">
        <f>IF(AND($K1658=1,AND(对接源_02物料!$X458="公司筐",N(对接源_02物料!$T458)&lt;&gt;0)),1,0)</f>
        <v>0</v>
      </c>
      <c r="Q1658">
        <f>N(Q1657)+$P1658</f>
        <v>14</v>
      </c>
      <c r="R1658">
        <f>IF(AND($K1658=1,AND(对接源_02物料!$X458="公司筐",N(对接源_02物料!$U458)&lt;&gt;0)),1,0)</f>
        <v>0</v>
      </c>
      <c r="S1658">
        <f>N(S1657)+$R1658</f>
        <v>1</v>
      </c>
      <c r="T1658">
        <f>IF(AND($K1658=1,AND(对接源_02物料!$X458="公司筐",N(对接源_02物料!$V458)&lt;&gt;0)),1,0)</f>
        <v>0</v>
      </c>
      <c r="U1658">
        <f>N(U1657)+$T1658</f>
        <v>47</v>
      </c>
      <c r="V1658">
        <f>IF(AND($L1658=1,AND(对接源_02物料!$X458="自备筐",N(对接源_02物料!$V458)&lt;&gt;0)),1,0)</f>
        <v>0</v>
      </c>
      <c r="W1658">
        <f>N(W1657)+$V1658</f>
        <v>11</v>
      </c>
      <c r="X1658">
        <f>IF(AND($L1658=1,AND(对接源_02物料!$X458="自备筐",N(对接源_02物料!$T458)&lt;&gt;0)),1,0)</f>
        <v>0</v>
      </c>
      <c r="Y1658">
        <f>N(Y1657)+$X1658</f>
        <v>0</v>
      </c>
      <c r="Z1658">
        <f>IF(AND($M1658=1,对接源_02物料!$D458="原料入库"),1,0)</f>
        <v>0</v>
      </c>
      <c r="AA1658">
        <f>N(AA1657)+$Z1658</f>
        <v>24</v>
      </c>
      <c r="AB1658">
        <f>IF(AND($M1658=1,LEFT(对接源_02物料!$D458,4)="原料出库"),1,0)</f>
        <v>0</v>
      </c>
      <c r="AC1658">
        <f>N(AC1657)+$AB1658</f>
        <v>0</v>
      </c>
      <c r="AD1658">
        <f>IF(AND($M1658=1,LEFT(对接源_02物料!$D458,4)="成品出库"),1,0)</f>
        <v>0</v>
      </c>
      <c r="AE1658">
        <f>N(AE1657)+$AD1658</f>
        <v>0</v>
      </c>
      <c r="AF1658">
        <f>IF(AND($N1658=1,AND(LEFT(对接源_02物料!$D458,4)="包装物料",N(对接源_02物料!$K458)&lt;&gt;0)),1,0)</f>
        <v>0</v>
      </c>
      <c r="AG1658">
        <f>N(AG1657)+$AF1658</f>
        <v>10</v>
      </c>
      <c r="AH1658">
        <f>IF(AND($N1658=1,AND(对接源_02物料!$D458="周转筐－销售出库",N(对接源_02物料!$K458)&lt;&gt;0)),1,0)</f>
        <v>0</v>
      </c>
      <c r="AI1658">
        <f>N(AI1657)+$AH1658</f>
        <v>0</v>
      </c>
      <c r="AL1658" t="n">
        <v>0</v>
      </c>
      <c r="AM1658">
        <f>N(AM1657)+$AL1658</f>
        <v>2</v>
      </c>
      <c r="AN1658">
        <f>""</f>
      </c>
      <c r="AO1658" t="n">
        <v>0</v>
      </c>
      <c r="AP1658">
        <f>N(AP1657)+$AO1658</f>
        <v>13</v>
      </c>
      <c r="AR1658">
        <f>IF(OR($AF1658=1,$AH1658=1),1,0)</f>
        <v>0</v>
      </c>
      <c r="AS1658">
        <f>N(AS1657)+$AR1658</f>
        <v>10</v>
      </c>
    </row>
    <row r="1659" s="127">
      <c r="A1659">
        <f>IF(对接源_02物料!$C459="","",对接源_02物料!$C459)</f>
      </c>
      <c r="B1659">
        <f>IF(A1659="",0,IF(MATCH(A1659,$A$4:$A$2403,0)=ROW()-3,1,0))</f>
        <v>0</v>
      </c>
      <c r="C1659">
        <f>N(C1658)+B1659</f>
        <v>26</v>
      </c>
      <c r="K1659">
        <f>IF(OR($K$1="",对接源_02物料!$C459="",对接源_02物料!$C459&lt;&gt;$K$1,对接源_02物料!$B459=""),0,IF(OR(N(对接源_02物料!$B459)&lt;$K$2,N(对接源_02物料!$B459)&gt;$K$3),0,1))</f>
        <v>0</v>
      </c>
      <c r="L1659">
        <f>IF(OR($L$1="",对接源_02物料!$C459="",对接源_02物料!$C459&lt;&gt;$L$1,对接源_02物料!$B459=""),0,IF(OR(N(对接源_02物料!$B459)&lt;$L$2,N(对接源_02物料!$B459)&gt;$L$3),0,1))</f>
        <v>0</v>
      </c>
      <c r="M1659">
        <f>IF(OR($M$1="",对接源_02物料!$C459="",对接源_02物料!$C459&lt;&gt;$M$1,对接源_02物料!$B459=""),0,IF(OR(N(对接源_02物料!$B459)&lt;$M$2,N(对接源_02物料!$B459)&gt;$M$3),0,1))</f>
        <v>0</v>
      </c>
      <c r="N1659">
        <f>IF(OR($N$1="",对接源_02物料!$C459="",对接源_02物料!$C459&lt;&gt;$N$1,对接源_02物料!$B459=""),0,IF(OR(N(对接源_02物料!$B459)&lt;$N$2,N(对接源_02物料!$B459)&gt;$N$3),0,1))</f>
        <v>0</v>
      </c>
      <c r="P1659">
        <f>IF(AND($K1659=1,AND(对接源_02物料!$X459="公司筐",N(对接源_02物料!$T459)&lt;&gt;0)),1,0)</f>
        <v>0</v>
      </c>
      <c r="Q1659">
        <f>N(Q1658)+$P1659</f>
        <v>14</v>
      </c>
      <c r="R1659">
        <f>IF(AND($K1659=1,AND(对接源_02物料!$X459="公司筐",N(对接源_02物料!$U459)&lt;&gt;0)),1,0)</f>
        <v>0</v>
      </c>
      <c r="S1659">
        <f>N(S1658)+$R1659</f>
        <v>1</v>
      </c>
      <c r="T1659">
        <f>IF(AND($K1659=1,AND(对接源_02物料!$X459="公司筐",N(对接源_02物料!$V459)&lt;&gt;0)),1,0)</f>
        <v>0</v>
      </c>
      <c r="U1659">
        <f>N(U1658)+$T1659</f>
        <v>47</v>
      </c>
      <c r="V1659">
        <f>IF(AND($L1659=1,AND(对接源_02物料!$X459="自备筐",N(对接源_02物料!$V459)&lt;&gt;0)),1,0)</f>
        <v>0</v>
      </c>
      <c r="W1659">
        <f>N(W1658)+$V1659</f>
        <v>11</v>
      </c>
      <c r="X1659">
        <f>IF(AND($L1659=1,AND(对接源_02物料!$X459="自备筐",N(对接源_02物料!$T459)&lt;&gt;0)),1,0)</f>
        <v>0</v>
      </c>
      <c r="Y1659">
        <f>N(Y1658)+$X1659</f>
        <v>0</v>
      </c>
      <c r="Z1659">
        <f>IF(AND($M1659=1,对接源_02物料!$D459="原料入库"),1,0)</f>
        <v>0</v>
      </c>
      <c r="AA1659">
        <f>N(AA1658)+$Z1659</f>
        <v>24</v>
      </c>
      <c r="AB1659">
        <f>IF(AND($M1659=1,LEFT(对接源_02物料!$D459,4)="原料出库"),1,0)</f>
        <v>0</v>
      </c>
      <c r="AC1659">
        <f>N(AC1658)+$AB1659</f>
        <v>0</v>
      </c>
      <c r="AD1659">
        <f>IF(AND($M1659=1,LEFT(对接源_02物料!$D459,4)="成品出库"),1,0)</f>
        <v>0</v>
      </c>
      <c r="AE1659">
        <f>N(AE1658)+$AD1659</f>
        <v>0</v>
      </c>
      <c r="AF1659">
        <f>IF(AND($N1659=1,AND(LEFT(对接源_02物料!$D459,4)="包装物料",N(对接源_02物料!$K459)&lt;&gt;0)),1,0)</f>
        <v>0</v>
      </c>
      <c r="AG1659">
        <f>N(AG1658)+$AF1659</f>
        <v>10</v>
      </c>
      <c r="AH1659">
        <f>IF(AND($N1659=1,AND(对接源_02物料!$D459="周转筐－销售出库",N(对接源_02物料!$K459)&lt;&gt;0)),1,0)</f>
        <v>0</v>
      </c>
      <c r="AI1659">
        <f>N(AI1658)+$AH1659</f>
        <v>0</v>
      </c>
      <c r="AL1659" t="n">
        <v>0</v>
      </c>
      <c r="AM1659">
        <f>N(AM1658)+$AL1659</f>
        <v>2</v>
      </c>
      <c r="AN1659">
        <f>""</f>
      </c>
      <c r="AO1659" t="n">
        <v>0</v>
      </c>
      <c r="AP1659">
        <f>N(AP1658)+$AO1659</f>
        <v>13</v>
      </c>
      <c r="AR1659">
        <f>IF(OR($AF1659=1,$AH1659=1),1,0)</f>
        <v>0</v>
      </c>
      <c r="AS1659">
        <f>N(AS1658)+$AR1659</f>
        <v>10</v>
      </c>
    </row>
    <row r="1660" s="127">
      <c r="A1660">
        <f>IF(对接源_02物料!$C460="","",对接源_02物料!$C460)</f>
      </c>
      <c r="B1660">
        <f>IF(A1660="",0,IF(MATCH(A1660,$A$4:$A$2403,0)=ROW()-3,1,0))</f>
        <v>0</v>
      </c>
      <c r="C1660">
        <f>N(C1659)+B1660</f>
        <v>26</v>
      </c>
      <c r="K1660">
        <f>IF(OR($K$1="",对接源_02物料!$C460="",对接源_02物料!$C460&lt;&gt;$K$1,对接源_02物料!$B460=""),0,IF(OR(N(对接源_02物料!$B460)&lt;$K$2,N(对接源_02物料!$B460)&gt;$K$3),0,1))</f>
        <v>0</v>
      </c>
      <c r="L1660">
        <f>IF(OR($L$1="",对接源_02物料!$C460="",对接源_02物料!$C460&lt;&gt;$L$1,对接源_02物料!$B460=""),0,IF(OR(N(对接源_02物料!$B460)&lt;$L$2,N(对接源_02物料!$B460)&gt;$L$3),0,1))</f>
        <v>0</v>
      </c>
      <c r="M1660">
        <f>IF(OR($M$1="",对接源_02物料!$C460="",对接源_02物料!$C460&lt;&gt;$M$1,对接源_02物料!$B460=""),0,IF(OR(N(对接源_02物料!$B460)&lt;$M$2,N(对接源_02物料!$B460)&gt;$M$3),0,1))</f>
        <v>0</v>
      </c>
      <c r="N1660">
        <f>IF(OR($N$1="",对接源_02物料!$C460="",对接源_02物料!$C460&lt;&gt;$N$1,对接源_02物料!$B460=""),0,IF(OR(N(对接源_02物料!$B460)&lt;$N$2,N(对接源_02物料!$B460)&gt;$N$3),0,1))</f>
        <v>0</v>
      </c>
      <c r="P1660">
        <f>IF(AND($K1660=1,AND(对接源_02物料!$X460="公司筐",N(对接源_02物料!$T460)&lt;&gt;0)),1,0)</f>
        <v>0</v>
      </c>
      <c r="Q1660">
        <f>N(Q1659)+$P1660</f>
        <v>14</v>
      </c>
      <c r="R1660">
        <f>IF(AND($K1660=1,AND(对接源_02物料!$X460="公司筐",N(对接源_02物料!$U460)&lt;&gt;0)),1,0)</f>
        <v>0</v>
      </c>
      <c r="S1660">
        <f>N(S1659)+$R1660</f>
        <v>1</v>
      </c>
      <c r="T1660">
        <f>IF(AND($K1660=1,AND(对接源_02物料!$X460="公司筐",N(对接源_02物料!$V460)&lt;&gt;0)),1,0)</f>
        <v>0</v>
      </c>
      <c r="U1660">
        <f>N(U1659)+$T1660</f>
        <v>47</v>
      </c>
      <c r="V1660">
        <f>IF(AND($L1660=1,AND(对接源_02物料!$X460="自备筐",N(对接源_02物料!$V460)&lt;&gt;0)),1,0)</f>
        <v>0</v>
      </c>
      <c r="W1660">
        <f>N(W1659)+$V1660</f>
        <v>11</v>
      </c>
      <c r="X1660">
        <f>IF(AND($L1660=1,AND(对接源_02物料!$X460="自备筐",N(对接源_02物料!$T460)&lt;&gt;0)),1,0)</f>
        <v>0</v>
      </c>
      <c r="Y1660">
        <f>N(Y1659)+$X1660</f>
        <v>0</v>
      </c>
      <c r="Z1660">
        <f>IF(AND($M1660=1,对接源_02物料!$D460="原料入库"),1,0)</f>
        <v>0</v>
      </c>
      <c r="AA1660">
        <f>N(AA1659)+$Z1660</f>
        <v>24</v>
      </c>
      <c r="AB1660">
        <f>IF(AND($M1660=1,LEFT(对接源_02物料!$D460,4)="原料出库"),1,0)</f>
        <v>0</v>
      </c>
      <c r="AC1660">
        <f>N(AC1659)+$AB1660</f>
        <v>0</v>
      </c>
      <c r="AD1660">
        <f>IF(AND($M1660=1,LEFT(对接源_02物料!$D460,4)="成品出库"),1,0)</f>
        <v>0</v>
      </c>
      <c r="AE1660">
        <f>N(AE1659)+$AD1660</f>
        <v>0</v>
      </c>
      <c r="AF1660">
        <f>IF(AND($N1660=1,AND(LEFT(对接源_02物料!$D460,4)="包装物料",N(对接源_02物料!$K460)&lt;&gt;0)),1,0)</f>
        <v>0</v>
      </c>
      <c r="AG1660">
        <f>N(AG1659)+$AF1660</f>
        <v>10</v>
      </c>
      <c r="AH1660">
        <f>IF(AND($N1660=1,AND(对接源_02物料!$D460="周转筐－销售出库",N(对接源_02物料!$K460)&lt;&gt;0)),1,0)</f>
        <v>0</v>
      </c>
      <c r="AI1660">
        <f>N(AI1659)+$AH1660</f>
        <v>0</v>
      </c>
      <c r="AL1660" t="n">
        <v>0</v>
      </c>
      <c r="AM1660">
        <f>N(AM1659)+$AL1660</f>
        <v>2</v>
      </c>
      <c r="AN1660">
        <f>""</f>
      </c>
      <c r="AO1660" t="n">
        <v>0</v>
      </c>
      <c r="AP1660">
        <f>N(AP1659)+$AO1660</f>
        <v>13</v>
      </c>
      <c r="AR1660">
        <f>IF(OR($AF1660=1,$AH1660=1),1,0)</f>
        <v>0</v>
      </c>
      <c r="AS1660">
        <f>N(AS1659)+$AR1660</f>
        <v>10</v>
      </c>
    </row>
    <row r="1661" s="127">
      <c r="A1661">
        <f>IF(对接源_02物料!$C461="","",对接源_02物料!$C461)</f>
      </c>
      <c r="B1661">
        <f>IF(A1661="",0,IF(MATCH(A1661,$A$4:$A$2403,0)=ROW()-3,1,0))</f>
        <v>0</v>
      </c>
      <c r="C1661">
        <f>N(C1660)+B1661</f>
        <v>26</v>
      </c>
      <c r="K1661">
        <f>IF(OR($K$1="",对接源_02物料!$C461="",对接源_02物料!$C461&lt;&gt;$K$1,对接源_02物料!$B461=""),0,IF(OR(N(对接源_02物料!$B461)&lt;$K$2,N(对接源_02物料!$B461)&gt;$K$3),0,1))</f>
        <v>0</v>
      </c>
      <c r="L1661">
        <f>IF(OR($L$1="",对接源_02物料!$C461="",对接源_02物料!$C461&lt;&gt;$L$1,对接源_02物料!$B461=""),0,IF(OR(N(对接源_02物料!$B461)&lt;$L$2,N(对接源_02物料!$B461)&gt;$L$3),0,1))</f>
        <v>0</v>
      </c>
      <c r="M1661">
        <f>IF(OR($M$1="",对接源_02物料!$C461="",对接源_02物料!$C461&lt;&gt;$M$1,对接源_02物料!$B461=""),0,IF(OR(N(对接源_02物料!$B461)&lt;$M$2,N(对接源_02物料!$B461)&gt;$M$3),0,1))</f>
        <v>0</v>
      </c>
      <c r="N1661">
        <f>IF(OR($N$1="",对接源_02物料!$C461="",对接源_02物料!$C461&lt;&gt;$N$1,对接源_02物料!$B461=""),0,IF(OR(N(对接源_02物料!$B461)&lt;$N$2,N(对接源_02物料!$B461)&gt;$N$3),0,1))</f>
        <v>0</v>
      </c>
      <c r="P1661">
        <f>IF(AND($K1661=1,AND(对接源_02物料!$X461="公司筐",N(对接源_02物料!$T461)&lt;&gt;0)),1,0)</f>
        <v>0</v>
      </c>
      <c r="Q1661">
        <f>N(Q1660)+$P1661</f>
        <v>14</v>
      </c>
      <c r="R1661">
        <f>IF(AND($K1661=1,AND(对接源_02物料!$X461="公司筐",N(对接源_02物料!$U461)&lt;&gt;0)),1,0)</f>
        <v>0</v>
      </c>
      <c r="S1661">
        <f>N(S1660)+$R1661</f>
        <v>1</v>
      </c>
      <c r="T1661">
        <f>IF(AND($K1661=1,AND(对接源_02物料!$X461="公司筐",N(对接源_02物料!$V461)&lt;&gt;0)),1,0)</f>
        <v>0</v>
      </c>
      <c r="U1661">
        <f>N(U1660)+$T1661</f>
        <v>47</v>
      </c>
      <c r="V1661">
        <f>IF(AND($L1661=1,AND(对接源_02物料!$X461="自备筐",N(对接源_02物料!$V461)&lt;&gt;0)),1,0)</f>
        <v>0</v>
      </c>
      <c r="W1661">
        <f>N(W1660)+$V1661</f>
        <v>11</v>
      </c>
      <c r="X1661">
        <f>IF(AND($L1661=1,AND(对接源_02物料!$X461="自备筐",N(对接源_02物料!$T461)&lt;&gt;0)),1,0)</f>
        <v>0</v>
      </c>
      <c r="Y1661">
        <f>N(Y1660)+$X1661</f>
        <v>0</v>
      </c>
      <c r="Z1661">
        <f>IF(AND($M1661=1,对接源_02物料!$D461="原料入库"),1,0)</f>
        <v>0</v>
      </c>
      <c r="AA1661">
        <f>N(AA1660)+$Z1661</f>
        <v>24</v>
      </c>
      <c r="AB1661">
        <f>IF(AND($M1661=1,LEFT(对接源_02物料!$D461,4)="原料出库"),1,0)</f>
        <v>0</v>
      </c>
      <c r="AC1661">
        <f>N(AC1660)+$AB1661</f>
        <v>0</v>
      </c>
      <c r="AD1661">
        <f>IF(AND($M1661=1,LEFT(对接源_02物料!$D461,4)="成品出库"),1,0)</f>
        <v>0</v>
      </c>
      <c r="AE1661">
        <f>N(AE1660)+$AD1661</f>
        <v>0</v>
      </c>
      <c r="AF1661">
        <f>IF(AND($N1661=1,AND(LEFT(对接源_02物料!$D461,4)="包装物料",N(对接源_02物料!$K461)&lt;&gt;0)),1,0)</f>
        <v>0</v>
      </c>
      <c r="AG1661">
        <f>N(AG1660)+$AF1661</f>
        <v>10</v>
      </c>
      <c r="AH1661">
        <f>IF(AND($N1661=1,AND(对接源_02物料!$D461="周转筐－销售出库",N(对接源_02物料!$K461)&lt;&gt;0)),1,0)</f>
        <v>0</v>
      </c>
      <c r="AI1661">
        <f>N(AI1660)+$AH1661</f>
        <v>0</v>
      </c>
      <c r="AL1661" t="n">
        <v>0</v>
      </c>
      <c r="AM1661">
        <f>N(AM1660)+$AL1661</f>
        <v>2</v>
      </c>
      <c r="AN1661">
        <f>""</f>
      </c>
      <c r="AO1661" t="n">
        <v>0</v>
      </c>
      <c r="AP1661">
        <f>N(AP1660)+$AO1661</f>
        <v>13</v>
      </c>
      <c r="AR1661">
        <f>IF(OR($AF1661=1,$AH1661=1),1,0)</f>
        <v>0</v>
      </c>
      <c r="AS1661">
        <f>N(AS1660)+$AR1661</f>
        <v>10</v>
      </c>
    </row>
    <row r="1662" s="127">
      <c r="A1662">
        <f>IF(对接源_02物料!$C462="","",对接源_02物料!$C462)</f>
      </c>
      <c r="B1662">
        <f>IF(A1662="",0,IF(MATCH(A1662,$A$4:$A$2403,0)=ROW()-3,1,0))</f>
        <v>0</v>
      </c>
      <c r="C1662">
        <f>N(C1661)+B1662</f>
        <v>26</v>
      </c>
      <c r="K1662">
        <f>IF(OR($K$1="",对接源_02物料!$C462="",对接源_02物料!$C462&lt;&gt;$K$1,对接源_02物料!$B462=""),0,IF(OR(N(对接源_02物料!$B462)&lt;$K$2,N(对接源_02物料!$B462)&gt;$K$3),0,1))</f>
        <v>0</v>
      </c>
      <c r="L1662">
        <f>IF(OR($L$1="",对接源_02物料!$C462="",对接源_02物料!$C462&lt;&gt;$L$1,对接源_02物料!$B462=""),0,IF(OR(N(对接源_02物料!$B462)&lt;$L$2,N(对接源_02物料!$B462)&gt;$L$3),0,1))</f>
        <v>0</v>
      </c>
      <c r="M1662">
        <f>IF(OR($M$1="",对接源_02物料!$C462="",对接源_02物料!$C462&lt;&gt;$M$1,对接源_02物料!$B462=""),0,IF(OR(N(对接源_02物料!$B462)&lt;$M$2,N(对接源_02物料!$B462)&gt;$M$3),0,1))</f>
        <v>0</v>
      </c>
      <c r="N1662">
        <f>IF(OR($N$1="",对接源_02物料!$C462="",对接源_02物料!$C462&lt;&gt;$N$1,对接源_02物料!$B462=""),0,IF(OR(N(对接源_02物料!$B462)&lt;$N$2,N(对接源_02物料!$B462)&gt;$N$3),0,1))</f>
        <v>0</v>
      </c>
      <c r="P1662">
        <f>IF(AND($K1662=1,AND(对接源_02物料!$X462="公司筐",N(对接源_02物料!$T462)&lt;&gt;0)),1,0)</f>
        <v>0</v>
      </c>
      <c r="Q1662">
        <f>N(Q1661)+$P1662</f>
        <v>14</v>
      </c>
      <c r="R1662">
        <f>IF(AND($K1662=1,AND(对接源_02物料!$X462="公司筐",N(对接源_02物料!$U462)&lt;&gt;0)),1,0)</f>
        <v>0</v>
      </c>
      <c r="S1662">
        <f>N(S1661)+$R1662</f>
        <v>1</v>
      </c>
      <c r="T1662">
        <f>IF(AND($K1662=1,AND(对接源_02物料!$X462="公司筐",N(对接源_02物料!$V462)&lt;&gt;0)),1,0)</f>
        <v>0</v>
      </c>
      <c r="U1662">
        <f>N(U1661)+$T1662</f>
        <v>47</v>
      </c>
      <c r="V1662">
        <f>IF(AND($L1662=1,AND(对接源_02物料!$X462="自备筐",N(对接源_02物料!$V462)&lt;&gt;0)),1,0)</f>
        <v>0</v>
      </c>
      <c r="W1662">
        <f>N(W1661)+$V1662</f>
        <v>11</v>
      </c>
      <c r="X1662">
        <f>IF(AND($L1662=1,AND(对接源_02物料!$X462="自备筐",N(对接源_02物料!$T462)&lt;&gt;0)),1,0)</f>
        <v>0</v>
      </c>
      <c r="Y1662">
        <f>N(Y1661)+$X1662</f>
        <v>0</v>
      </c>
      <c r="Z1662">
        <f>IF(AND($M1662=1,对接源_02物料!$D462="原料入库"),1,0)</f>
        <v>0</v>
      </c>
      <c r="AA1662">
        <f>N(AA1661)+$Z1662</f>
        <v>24</v>
      </c>
      <c r="AB1662">
        <f>IF(AND($M1662=1,LEFT(对接源_02物料!$D462,4)="原料出库"),1,0)</f>
        <v>0</v>
      </c>
      <c r="AC1662">
        <f>N(AC1661)+$AB1662</f>
        <v>0</v>
      </c>
      <c r="AD1662">
        <f>IF(AND($M1662=1,LEFT(对接源_02物料!$D462,4)="成品出库"),1,0)</f>
        <v>0</v>
      </c>
      <c r="AE1662">
        <f>N(AE1661)+$AD1662</f>
        <v>0</v>
      </c>
      <c r="AF1662">
        <f>IF(AND($N1662=1,AND(LEFT(对接源_02物料!$D462,4)="包装物料",N(对接源_02物料!$K462)&lt;&gt;0)),1,0)</f>
        <v>0</v>
      </c>
      <c r="AG1662">
        <f>N(AG1661)+$AF1662</f>
        <v>10</v>
      </c>
      <c r="AH1662">
        <f>IF(AND($N1662=1,AND(对接源_02物料!$D462="周转筐－销售出库",N(对接源_02物料!$K462)&lt;&gt;0)),1,0)</f>
        <v>0</v>
      </c>
      <c r="AI1662">
        <f>N(AI1661)+$AH1662</f>
        <v>0</v>
      </c>
      <c r="AL1662" t="n">
        <v>0</v>
      </c>
      <c r="AM1662">
        <f>N(AM1661)+$AL1662</f>
        <v>2</v>
      </c>
      <c r="AN1662">
        <f>""</f>
      </c>
      <c r="AO1662" t="n">
        <v>0</v>
      </c>
      <c r="AP1662">
        <f>N(AP1661)+$AO1662</f>
        <v>13</v>
      </c>
      <c r="AR1662">
        <f>IF(OR($AF1662=1,$AH1662=1),1,0)</f>
        <v>0</v>
      </c>
      <c r="AS1662">
        <f>N(AS1661)+$AR1662</f>
        <v>10</v>
      </c>
    </row>
    <row r="1663" s="127">
      <c r="A1663">
        <f>IF(对接源_02物料!$C463="","",对接源_02物料!$C463)</f>
      </c>
      <c r="B1663">
        <f>IF(A1663="",0,IF(MATCH(A1663,$A$4:$A$2403,0)=ROW()-3,1,0))</f>
        <v>0</v>
      </c>
      <c r="C1663">
        <f>N(C1662)+B1663</f>
        <v>26</v>
      </c>
      <c r="K1663">
        <f>IF(OR($K$1="",对接源_02物料!$C463="",对接源_02物料!$C463&lt;&gt;$K$1,对接源_02物料!$B463=""),0,IF(OR(N(对接源_02物料!$B463)&lt;$K$2,N(对接源_02物料!$B463)&gt;$K$3),0,1))</f>
        <v>0</v>
      </c>
      <c r="L1663">
        <f>IF(OR($L$1="",对接源_02物料!$C463="",对接源_02物料!$C463&lt;&gt;$L$1,对接源_02物料!$B463=""),0,IF(OR(N(对接源_02物料!$B463)&lt;$L$2,N(对接源_02物料!$B463)&gt;$L$3),0,1))</f>
        <v>0</v>
      </c>
      <c r="M1663">
        <f>IF(OR($M$1="",对接源_02物料!$C463="",对接源_02物料!$C463&lt;&gt;$M$1,对接源_02物料!$B463=""),0,IF(OR(N(对接源_02物料!$B463)&lt;$M$2,N(对接源_02物料!$B463)&gt;$M$3),0,1))</f>
        <v>0</v>
      </c>
      <c r="N1663">
        <f>IF(OR($N$1="",对接源_02物料!$C463="",对接源_02物料!$C463&lt;&gt;$N$1,对接源_02物料!$B463=""),0,IF(OR(N(对接源_02物料!$B463)&lt;$N$2,N(对接源_02物料!$B463)&gt;$N$3),0,1))</f>
        <v>0</v>
      </c>
      <c r="P1663">
        <f>IF(AND($K1663=1,AND(对接源_02物料!$X463="公司筐",N(对接源_02物料!$T463)&lt;&gt;0)),1,0)</f>
        <v>0</v>
      </c>
      <c r="Q1663">
        <f>N(Q1662)+$P1663</f>
        <v>14</v>
      </c>
      <c r="R1663">
        <f>IF(AND($K1663=1,AND(对接源_02物料!$X463="公司筐",N(对接源_02物料!$U463)&lt;&gt;0)),1,0)</f>
        <v>0</v>
      </c>
      <c r="S1663">
        <f>N(S1662)+$R1663</f>
        <v>1</v>
      </c>
      <c r="T1663">
        <f>IF(AND($K1663=1,AND(对接源_02物料!$X463="公司筐",N(对接源_02物料!$V463)&lt;&gt;0)),1,0)</f>
        <v>0</v>
      </c>
      <c r="U1663">
        <f>N(U1662)+$T1663</f>
        <v>47</v>
      </c>
      <c r="V1663">
        <f>IF(AND($L1663=1,AND(对接源_02物料!$X463="自备筐",N(对接源_02物料!$V463)&lt;&gt;0)),1,0)</f>
        <v>0</v>
      </c>
      <c r="W1663">
        <f>N(W1662)+$V1663</f>
        <v>11</v>
      </c>
      <c r="X1663">
        <f>IF(AND($L1663=1,AND(对接源_02物料!$X463="自备筐",N(对接源_02物料!$T463)&lt;&gt;0)),1,0)</f>
        <v>0</v>
      </c>
      <c r="Y1663">
        <f>N(Y1662)+$X1663</f>
        <v>0</v>
      </c>
      <c r="Z1663">
        <f>IF(AND($M1663=1,对接源_02物料!$D463="原料入库"),1,0)</f>
        <v>0</v>
      </c>
      <c r="AA1663">
        <f>N(AA1662)+$Z1663</f>
        <v>24</v>
      </c>
      <c r="AB1663">
        <f>IF(AND($M1663=1,LEFT(对接源_02物料!$D463,4)="原料出库"),1,0)</f>
        <v>0</v>
      </c>
      <c r="AC1663">
        <f>N(AC1662)+$AB1663</f>
        <v>0</v>
      </c>
      <c r="AD1663">
        <f>IF(AND($M1663=1,LEFT(对接源_02物料!$D463,4)="成品出库"),1,0)</f>
        <v>0</v>
      </c>
      <c r="AE1663">
        <f>N(AE1662)+$AD1663</f>
        <v>0</v>
      </c>
      <c r="AF1663">
        <f>IF(AND($N1663=1,AND(LEFT(对接源_02物料!$D463,4)="包装物料",N(对接源_02物料!$K463)&lt;&gt;0)),1,0)</f>
        <v>0</v>
      </c>
      <c r="AG1663">
        <f>N(AG1662)+$AF1663</f>
        <v>10</v>
      </c>
      <c r="AH1663">
        <f>IF(AND($N1663=1,AND(对接源_02物料!$D463="周转筐－销售出库",N(对接源_02物料!$K463)&lt;&gt;0)),1,0)</f>
        <v>0</v>
      </c>
      <c r="AI1663">
        <f>N(AI1662)+$AH1663</f>
        <v>0</v>
      </c>
      <c r="AL1663" t="n">
        <v>0</v>
      </c>
      <c r="AM1663">
        <f>N(AM1662)+$AL1663</f>
        <v>2</v>
      </c>
      <c r="AN1663">
        <f>""</f>
      </c>
      <c r="AO1663" t="n">
        <v>0</v>
      </c>
      <c r="AP1663">
        <f>N(AP1662)+$AO1663</f>
        <v>13</v>
      </c>
      <c r="AR1663">
        <f>IF(OR($AF1663=1,$AH1663=1),1,0)</f>
        <v>0</v>
      </c>
      <c r="AS1663">
        <f>N(AS1662)+$AR1663</f>
        <v>10</v>
      </c>
    </row>
    <row r="1664" s="127">
      <c r="A1664">
        <f>IF(对接源_02物料!$C464="","",对接源_02物料!$C464)</f>
      </c>
      <c r="B1664">
        <f>IF(A1664="",0,IF(MATCH(A1664,$A$4:$A$2403,0)=ROW()-3,1,0))</f>
        <v>0</v>
      </c>
      <c r="C1664">
        <f>N(C1663)+B1664</f>
        <v>26</v>
      </c>
      <c r="K1664">
        <f>IF(OR($K$1="",对接源_02物料!$C464="",对接源_02物料!$C464&lt;&gt;$K$1,对接源_02物料!$B464=""),0,IF(OR(N(对接源_02物料!$B464)&lt;$K$2,N(对接源_02物料!$B464)&gt;$K$3),0,1))</f>
        <v>0</v>
      </c>
      <c r="L1664">
        <f>IF(OR($L$1="",对接源_02物料!$C464="",对接源_02物料!$C464&lt;&gt;$L$1,对接源_02物料!$B464=""),0,IF(OR(N(对接源_02物料!$B464)&lt;$L$2,N(对接源_02物料!$B464)&gt;$L$3),0,1))</f>
        <v>0</v>
      </c>
      <c r="M1664">
        <f>IF(OR($M$1="",对接源_02物料!$C464="",对接源_02物料!$C464&lt;&gt;$M$1,对接源_02物料!$B464=""),0,IF(OR(N(对接源_02物料!$B464)&lt;$M$2,N(对接源_02物料!$B464)&gt;$M$3),0,1))</f>
        <v>0</v>
      </c>
      <c r="N1664">
        <f>IF(OR($N$1="",对接源_02物料!$C464="",对接源_02物料!$C464&lt;&gt;$N$1,对接源_02物料!$B464=""),0,IF(OR(N(对接源_02物料!$B464)&lt;$N$2,N(对接源_02物料!$B464)&gt;$N$3),0,1))</f>
        <v>0</v>
      </c>
      <c r="P1664">
        <f>IF(AND($K1664=1,AND(对接源_02物料!$X464="公司筐",N(对接源_02物料!$T464)&lt;&gt;0)),1,0)</f>
        <v>0</v>
      </c>
      <c r="Q1664">
        <f>N(Q1663)+$P1664</f>
        <v>14</v>
      </c>
      <c r="R1664">
        <f>IF(AND($K1664=1,AND(对接源_02物料!$X464="公司筐",N(对接源_02物料!$U464)&lt;&gt;0)),1,0)</f>
        <v>0</v>
      </c>
      <c r="S1664">
        <f>N(S1663)+$R1664</f>
        <v>1</v>
      </c>
      <c r="T1664">
        <f>IF(AND($K1664=1,AND(对接源_02物料!$X464="公司筐",N(对接源_02物料!$V464)&lt;&gt;0)),1,0)</f>
        <v>0</v>
      </c>
      <c r="U1664">
        <f>N(U1663)+$T1664</f>
        <v>47</v>
      </c>
      <c r="V1664">
        <f>IF(AND($L1664=1,AND(对接源_02物料!$X464="自备筐",N(对接源_02物料!$V464)&lt;&gt;0)),1,0)</f>
        <v>0</v>
      </c>
      <c r="W1664">
        <f>N(W1663)+$V1664</f>
        <v>11</v>
      </c>
      <c r="X1664">
        <f>IF(AND($L1664=1,AND(对接源_02物料!$X464="自备筐",N(对接源_02物料!$T464)&lt;&gt;0)),1,0)</f>
        <v>0</v>
      </c>
      <c r="Y1664">
        <f>N(Y1663)+$X1664</f>
        <v>0</v>
      </c>
      <c r="Z1664">
        <f>IF(AND($M1664=1,对接源_02物料!$D464="原料入库"),1,0)</f>
        <v>0</v>
      </c>
      <c r="AA1664">
        <f>N(AA1663)+$Z1664</f>
        <v>24</v>
      </c>
      <c r="AB1664">
        <f>IF(AND($M1664=1,LEFT(对接源_02物料!$D464,4)="原料出库"),1,0)</f>
        <v>0</v>
      </c>
      <c r="AC1664">
        <f>N(AC1663)+$AB1664</f>
        <v>0</v>
      </c>
      <c r="AD1664">
        <f>IF(AND($M1664=1,LEFT(对接源_02物料!$D464,4)="成品出库"),1,0)</f>
        <v>0</v>
      </c>
      <c r="AE1664">
        <f>N(AE1663)+$AD1664</f>
        <v>0</v>
      </c>
      <c r="AF1664">
        <f>IF(AND($N1664=1,AND(LEFT(对接源_02物料!$D464,4)="包装物料",N(对接源_02物料!$K464)&lt;&gt;0)),1,0)</f>
        <v>0</v>
      </c>
      <c r="AG1664">
        <f>N(AG1663)+$AF1664</f>
        <v>10</v>
      </c>
      <c r="AH1664">
        <f>IF(AND($N1664=1,AND(对接源_02物料!$D464="周转筐－销售出库",N(对接源_02物料!$K464)&lt;&gt;0)),1,0)</f>
        <v>0</v>
      </c>
      <c r="AI1664">
        <f>N(AI1663)+$AH1664</f>
        <v>0</v>
      </c>
      <c r="AL1664" t="n">
        <v>0</v>
      </c>
      <c r="AM1664">
        <f>N(AM1663)+$AL1664</f>
        <v>2</v>
      </c>
      <c r="AN1664">
        <f>""</f>
      </c>
      <c r="AO1664" t="n">
        <v>0</v>
      </c>
      <c r="AP1664">
        <f>N(AP1663)+$AO1664</f>
        <v>13</v>
      </c>
      <c r="AR1664">
        <f>IF(OR($AF1664=1,$AH1664=1),1,0)</f>
        <v>0</v>
      </c>
      <c r="AS1664">
        <f>N(AS1663)+$AR1664</f>
        <v>10</v>
      </c>
    </row>
    <row r="1665" s="127">
      <c r="A1665">
        <f>IF(对接源_02物料!$C465="","",对接源_02物料!$C465)</f>
      </c>
      <c r="B1665">
        <f>IF(A1665="",0,IF(MATCH(A1665,$A$4:$A$2403,0)=ROW()-3,1,0))</f>
        <v>0</v>
      </c>
      <c r="C1665">
        <f>N(C1664)+B1665</f>
        <v>26</v>
      </c>
      <c r="K1665">
        <f>IF(OR($K$1="",对接源_02物料!$C465="",对接源_02物料!$C465&lt;&gt;$K$1,对接源_02物料!$B465=""),0,IF(OR(N(对接源_02物料!$B465)&lt;$K$2,N(对接源_02物料!$B465)&gt;$K$3),0,1))</f>
        <v>0</v>
      </c>
      <c r="L1665">
        <f>IF(OR($L$1="",对接源_02物料!$C465="",对接源_02物料!$C465&lt;&gt;$L$1,对接源_02物料!$B465=""),0,IF(OR(N(对接源_02物料!$B465)&lt;$L$2,N(对接源_02物料!$B465)&gt;$L$3),0,1))</f>
        <v>0</v>
      </c>
      <c r="M1665">
        <f>IF(OR($M$1="",对接源_02物料!$C465="",对接源_02物料!$C465&lt;&gt;$M$1,对接源_02物料!$B465=""),0,IF(OR(N(对接源_02物料!$B465)&lt;$M$2,N(对接源_02物料!$B465)&gt;$M$3),0,1))</f>
        <v>0</v>
      </c>
      <c r="N1665">
        <f>IF(OR($N$1="",对接源_02物料!$C465="",对接源_02物料!$C465&lt;&gt;$N$1,对接源_02物料!$B465=""),0,IF(OR(N(对接源_02物料!$B465)&lt;$N$2,N(对接源_02物料!$B465)&gt;$N$3),0,1))</f>
        <v>0</v>
      </c>
      <c r="P1665">
        <f>IF(AND($K1665=1,AND(对接源_02物料!$X465="公司筐",N(对接源_02物料!$T465)&lt;&gt;0)),1,0)</f>
        <v>0</v>
      </c>
      <c r="Q1665">
        <f>N(Q1664)+$P1665</f>
        <v>14</v>
      </c>
      <c r="R1665">
        <f>IF(AND($K1665=1,AND(对接源_02物料!$X465="公司筐",N(对接源_02物料!$U465)&lt;&gt;0)),1,0)</f>
        <v>0</v>
      </c>
      <c r="S1665">
        <f>N(S1664)+$R1665</f>
        <v>1</v>
      </c>
      <c r="T1665">
        <f>IF(AND($K1665=1,AND(对接源_02物料!$X465="公司筐",N(对接源_02物料!$V465)&lt;&gt;0)),1,0)</f>
        <v>0</v>
      </c>
      <c r="U1665">
        <f>N(U1664)+$T1665</f>
        <v>47</v>
      </c>
      <c r="V1665">
        <f>IF(AND($L1665=1,AND(对接源_02物料!$X465="自备筐",N(对接源_02物料!$V465)&lt;&gt;0)),1,0)</f>
        <v>0</v>
      </c>
      <c r="W1665">
        <f>N(W1664)+$V1665</f>
        <v>11</v>
      </c>
      <c r="X1665">
        <f>IF(AND($L1665=1,AND(对接源_02物料!$X465="自备筐",N(对接源_02物料!$T465)&lt;&gt;0)),1,0)</f>
        <v>0</v>
      </c>
      <c r="Y1665">
        <f>N(Y1664)+$X1665</f>
        <v>0</v>
      </c>
      <c r="Z1665">
        <f>IF(AND($M1665=1,对接源_02物料!$D465="原料入库"),1,0)</f>
        <v>0</v>
      </c>
      <c r="AA1665">
        <f>N(AA1664)+$Z1665</f>
        <v>24</v>
      </c>
      <c r="AB1665">
        <f>IF(AND($M1665=1,LEFT(对接源_02物料!$D465,4)="原料出库"),1,0)</f>
        <v>0</v>
      </c>
      <c r="AC1665">
        <f>N(AC1664)+$AB1665</f>
        <v>0</v>
      </c>
      <c r="AD1665">
        <f>IF(AND($M1665=1,LEFT(对接源_02物料!$D465,4)="成品出库"),1,0)</f>
        <v>0</v>
      </c>
      <c r="AE1665">
        <f>N(AE1664)+$AD1665</f>
        <v>0</v>
      </c>
      <c r="AF1665">
        <f>IF(AND($N1665=1,AND(LEFT(对接源_02物料!$D465,4)="包装物料",N(对接源_02物料!$K465)&lt;&gt;0)),1,0)</f>
        <v>0</v>
      </c>
      <c r="AG1665">
        <f>N(AG1664)+$AF1665</f>
        <v>10</v>
      </c>
      <c r="AH1665">
        <f>IF(AND($N1665=1,AND(对接源_02物料!$D465="周转筐－销售出库",N(对接源_02物料!$K465)&lt;&gt;0)),1,0)</f>
        <v>0</v>
      </c>
      <c r="AI1665">
        <f>N(AI1664)+$AH1665</f>
        <v>0</v>
      </c>
      <c r="AL1665" t="n">
        <v>0</v>
      </c>
      <c r="AM1665">
        <f>N(AM1664)+$AL1665</f>
        <v>2</v>
      </c>
      <c r="AN1665">
        <f>""</f>
      </c>
      <c r="AO1665" t="n">
        <v>0</v>
      </c>
      <c r="AP1665">
        <f>N(AP1664)+$AO1665</f>
        <v>13</v>
      </c>
      <c r="AR1665">
        <f>IF(OR($AF1665=1,$AH1665=1),1,0)</f>
        <v>0</v>
      </c>
      <c r="AS1665">
        <f>N(AS1664)+$AR1665</f>
        <v>10</v>
      </c>
    </row>
    <row r="1666" s="127">
      <c r="A1666">
        <f>IF(对接源_02物料!$C466="","",对接源_02物料!$C466)</f>
      </c>
      <c r="B1666">
        <f>IF(A1666="",0,IF(MATCH(A1666,$A$4:$A$2403,0)=ROW()-3,1,0))</f>
        <v>0</v>
      </c>
      <c r="C1666">
        <f>N(C1665)+B1666</f>
        <v>26</v>
      </c>
      <c r="K1666">
        <f>IF(OR($K$1="",对接源_02物料!$C466="",对接源_02物料!$C466&lt;&gt;$K$1,对接源_02物料!$B466=""),0,IF(OR(N(对接源_02物料!$B466)&lt;$K$2,N(对接源_02物料!$B466)&gt;$K$3),0,1))</f>
        <v>0</v>
      </c>
      <c r="L1666">
        <f>IF(OR($L$1="",对接源_02物料!$C466="",对接源_02物料!$C466&lt;&gt;$L$1,对接源_02物料!$B466=""),0,IF(OR(N(对接源_02物料!$B466)&lt;$L$2,N(对接源_02物料!$B466)&gt;$L$3),0,1))</f>
        <v>0</v>
      </c>
      <c r="M1666">
        <f>IF(OR($M$1="",对接源_02物料!$C466="",对接源_02物料!$C466&lt;&gt;$M$1,对接源_02物料!$B466=""),0,IF(OR(N(对接源_02物料!$B466)&lt;$M$2,N(对接源_02物料!$B466)&gt;$M$3),0,1))</f>
        <v>0</v>
      </c>
      <c r="N1666">
        <f>IF(OR($N$1="",对接源_02物料!$C466="",对接源_02物料!$C466&lt;&gt;$N$1,对接源_02物料!$B466=""),0,IF(OR(N(对接源_02物料!$B466)&lt;$N$2,N(对接源_02物料!$B466)&gt;$N$3),0,1))</f>
        <v>0</v>
      </c>
      <c r="P1666">
        <f>IF(AND($K1666=1,AND(对接源_02物料!$X466="公司筐",N(对接源_02物料!$T466)&lt;&gt;0)),1,0)</f>
        <v>0</v>
      </c>
      <c r="Q1666">
        <f>N(Q1665)+$P1666</f>
        <v>14</v>
      </c>
      <c r="R1666">
        <f>IF(AND($K1666=1,AND(对接源_02物料!$X466="公司筐",N(对接源_02物料!$U466)&lt;&gt;0)),1,0)</f>
        <v>0</v>
      </c>
      <c r="S1666">
        <f>N(S1665)+$R1666</f>
        <v>1</v>
      </c>
      <c r="T1666">
        <f>IF(AND($K1666=1,AND(对接源_02物料!$X466="公司筐",N(对接源_02物料!$V466)&lt;&gt;0)),1,0)</f>
        <v>0</v>
      </c>
      <c r="U1666">
        <f>N(U1665)+$T1666</f>
        <v>47</v>
      </c>
      <c r="V1666">
        <f>IF(AND($L1666=1,AND(对接源_02物料!$X466="自备筐",N(对接源_02物料!$V466)&lt;&gt;0)),1,0)</f>
        <v>0</v>
      </c>
      <c r="W1666">
        <f>N(W1665)+$V1666</f>
        <v>11</v>
      </c>
      <c r="X1666">
        <f>IF(AND($L1666=1,AND(对接源_02物料!$X466="自备筐",N(对接源_02物料!$T466)&lt;&gt;0)),1,0)</f>
        <v>0</v>
      </c>
      <c r="Y1666">
        <f>N(Y1665)+$X1666</f>
        <v>0</v>
      </c>
      <c r="Z1666">
        <f>IF(AND($M1666=1,对接源_02物料!$D466="原料入库"),1,0)</f>
        <v>0</v>
      </c>
      <c r="AA1666">
        <f>N(AA1665)+$Z1666</f>
        <v>24</v>
      </c>
      <c r="AB1666">
        <f>IF(AND($M1666=1,LEFT(对接源_02物料!$D466,4)="原料出库"),1,0)</f>
        <v>0</v>
      </c>
      <c r="AC1666">
        <f>N(AC1665)+$AB1666</f>
        <v>0</v>
      </c>
      <c r="AD1666">
        <f>IF(AND($M1666=1,LEFT(对接源_02物料!$D466,4)="成品出库"),1,0)</f>
        <v>0</v>
      </c>
      <c r="AE1666">
        <f>N(AE1665)+$AD1666</f>
        <v>0</v>
      </c>
      <c r="AF1666">
        <f>IF(AND($N1666=1,AND(LEFT(对接源_02物料!$D466,4)="包装物料",N(对接源_02物料!$K466)&lt;&gt;0)),1,0)</f>
        <v>0</v>
      </c>
      <c r="AG1666">
        <f>N(AG1665)+$AF1666</f>
        <v>10</v>
      </c>
      <c r="AH1666">
        <f>IF(AND($N1666=1,AND(对接源_02物料!$D466="周转筐－销售出库",N(对接源_02物料!$K466)&lt;&gt;0)),1,0)</f>
        <v>0</v>
      </c>
      <c r="AI1666">
        <f>N(AI1665)+$AH1666</f>
        <v>0</v>
      </c>
      <c r="AL1666" t="n">
        <v>0</v>
      </c>
      <c r="AM1666">
        <f>N(AM1665)+$AL1666</f>
        <v>2</v>
      </c>
      <c r="AN1666">
        <f>""</f>
      </c>
      <c r="AO1666" t="n">
        <v>0</v>
      </c>
      <c r="AP1666">
        <f>N(AP1665)+$AO1666</f>
        <v>13</v>
      </c>
      <c r="AR1666">
        <f>IF(OR($AF1666=1,$AH1666=1),1,0)</f>
        <v>0</v>
      </c>
      <c r="AS1666">
        <f>N(AS1665)+$AR1666</f>
        <v>10</v>
      </c>
    </row>
    <row r="1667" s="127">
      <c r="A1667">
        <f>IF(对接源_02物料!$C467="","",对接源_02物料!$C467)</f>
      </c>
      <c r="B1667">
        <f>IF(A1667="",0,IF(MATCH(A1667,$A$4:$A$2403,0)=ROW()-3,1,0))</f>
        <v>0</v>
      </c>
      <c r="C1667">
        <f>N(C1666)+B1667</f>
        <v>26</v>
      </c>
      <c r="K1667">
        <f>IF(OR($K$1="",对接源_02物料!$C467="",对接源_02物料!$C467&lt;&gt;$K$1,对接源_02物料!$B467=""),0,IF(OR(N(对接源_02物料!$B467)&lt;$K$2,N(对接源_02物料!$B467)&gt;$K$3),0,1))</f>
        <v>0</v>
      </c>
      <c r="L1667">
        <f>IF(OR($L$1="",对接源_02物料!$C467="",对接源_02物料!$C467&lt;&gt;$L$1,对接源_02物料!$B467=""),0,IF(OR(N(对接源_02物料!$B467)&lt;$L$2,N(对接源_02物料!$B467)&gt;$L$3),0,1))</f>
        <v>0</v>
      </c>
      <c r="M1667">
        <f>IF(OR($M$1="",对接源_02物料!$C467="",对接源_02物料!$C467&lt;&gt;$M$1,对接源_02物料!$B467=""),0,IF(OR(N(对接源_02物料!$B467)&lt;$M$2,N(对接源_02物料!$B467)&gt;$M$3),0,1))</f>
        <v>0</v>
      </c>
      <c r="N1667">
        <f>IF(OR($N$1="",对接源_02物料!$C467="",对接源_02物料!$C467&lt;&gt;$N$1,对接源_02物料!$B467=""),0,IF(OR(N(对接源_02物料!$B467)&lt;$N$2,N(对接源_02物料!$B467)&gt;$N$3),0,1))</f>
        <v>0</v>
      </c>
      <c r="P1667">
        <f>IF(AND($K1667=1,AND(对接源_02物料!$X467="公司筐",N(对接源_02物料!$T467)&lt;&gt;0)),1,0)</f>
        <v>0</v>
      </c>
      <c r="Q1667">
        <f>N(Q1666)+$P1667</f>
        <v>14</v>
      </c>
      <c r="R1667">
        <f>IF(AND($K1667=1,AND(对接源_02物料!$X467="公司筐",N(对接源_02物料!$U467)&lt;&gt;0)),1,0)</f>
        <v>0</v>
      </c>
      <c r="S1667">
        <f>N(S1666)+$R1667</f>
        <v>1</v>
      </c>
      <c r="T1667">
        <f>IF(AND($K1667=1,AND(对接源_02物料!$X467="公司筐",N(对接源_02物料!$V467)&lt;&gt;0)),1,0)</f>
        <v>0</v>
      </c>
      <c r="U1667">
        <f>N(U1666)+$T1667</f>
        <v>47</v>
      </c>
      <c r="V1667">
        <f>IF(AND($L1667=1,AND(对接源_02物料!$X467="自备筐",N(对接源_02物料!$V467)&lt;&gt;0)),1,0)</f>
        <v>0</v>
      </c>
      <c r="W1667">
        <f>N(W1666)+$V1667</f>
        <v>11</v>
      </c>
      <c r="X1667">
        <f>IF(AND($L1667=1,AND(对接源_02物料!$X467="自备筐",N(对接源_02物料!$T467)&lt;&gt;0)),1,0)</f>
        <v>0</v>
      </c>
      <c r="Y1667">
        <f>N(Y1666)+$X1667</f>
        <v>0</v>
      </c>
      <c r="Z1667">
        <f>IF(AND($M1667=1,对接源_02物料!$D467="原料入库"),1,0)</f>
        <v>0</v>
      </c>
      <c r="AA1667">
        <f>N(AA1666)+$Z1667</f>
        <v>24</v>
      </c>
      <c r="AB1667">
        <f>IF(AND($M1667=1,LEFT(对接源_02物料!$D467,4)="原料出库"),1,0)</f>
        <v>0</v>
      </c>
      <c r="AC1667">
        <f>N(AC1666)+$AB1667</f>
        <v>0</v>
      </c>
      <c r="AD1667">
        <f>IF(AND($M1667=1,LEFT(对接源_02物料!$D467,4)="成品出库"),1,0)</f>
        <v>0</v>
      </c>
      <c r="AE1667">
        <f>N(AE1666)+$AD1667</f>
        <v>0</v>
      </c>
      <c r="AF1667">
        <f>IF(AND($N1667=1,AND(LEFT(对接源_02物料!$D467,4)="包装物料",N(对接源_02物料!$K467)&lt;&gt;0)),1,0)</f>
        <v>0</v>
      </c>
      <c r="AG1667">
        <f>N(AG1666)+$AF1667</f>
        <v>10</v>
      </c>
      <c r="AH1667">
        <f>IF(AND($N1667=1,AND(对接源_02物料!$D467="周转筐－销售出库",N(对接源_02物料!$K467)&lt;&gt;0)),1,0)</f>
        <v>0</v>
      </c>
      <c r="AI1667">
        <f>N(AI1666)+$AH1667</f>
        <v>0</v>
      </c>
      <c r="AL1667" t="n">
        <v>0</v>
      </c>
      <c r="AM1667">
        <f>N(AM1666)+$AL1667</f>
        <v>2</v>
      </c>
      <c r="AN1667">
        <f>""</f>
      </c>
      <c r="AO1667" t="n">
        <v>0</v>
      </c>
      <c r="AP1667">
        <f>N(AP1666)+$AO1667</f>
        <v>13</v>
      </c>
      <c r="AR1667">
        <f>IF(OR($AF1667=1,$AH1667=1),1,0)</f>
        <v>0</v>
      </c>
      <c r="AS1667">
        <f>N(AS1666)+$AR1667</f>
        <v>10</v>
      </c>
    </row>
    <row r="1668" s="127">
      <c r="A1668">
        <f>IF(对接源_02物料!$C468="","",对接源_02物料!$C468)</f>
      </c>
      <c r="B1668">
        <f>IF(A1668="",0,IF(MATCH(A1668,$A$4:$A$2403,0)=ROW()-3,1,0))</f>
        <v>0</v>
      </c>
      <c r="C1668">
        <f>N(C1667)+B1668</f>
        <v>26</v>
      </c>
      <c r="K1668">
        <f>IF(OR($K$1="",对接源_02物料!$C468="",对接源_02物料!$C468&lt;&gt;$K$1,对接源_02物料!$B468=""),0,IF(OR(N(对接源_02物料!$B468)&lt;$K$2,N(对接源_02物料!$B468)&gt;$K$3),0,1))</f>
        <v>0</v>
      </c>
      <c r="L1668">
        <f>IF(OR($L$1="",对接源_02物料!$C468="",对接源_02物料!$C468&lt;&gt;$L$1,对接源_02物料!$B468=""),0,IF(OR(N(对接源_02物料!$B468)&lt;$L$2,N(对接源_02物料!$B468)&gt;$L$3),0,1))</f>
        <v>0</v>
      </c>
      <c r="M1668">
        <f>IF(OR($M$1="",对接源_02物料!$C468="",对接源_02物料!$C468&lt;&gt;$M$1,对接源_02物料!$B468=""),0,IF(OR(N(对接源_02物料!$B468)&lt;$M$2,N(对接源_02物料!$B468)&gt;$M$3),0,1))</f>
        <v>0</v>
      </c>
      <c r="N1668">
        <f>IF(OR($N$1="",对接源_02物料!$C468="",对接源_02物料!$C468&lt;&gt;$N$1,对接源_02物料!$B468=""),0,IF(OR(N(对接源_02物料!$B468)&lt;$N$2,N(对接源_02物料!$B468)&gt;$N$3),0,1))</f>
        <v>0</v>
      </c>
      <c r="P1668">
        <f>IF(AND($K1668=1,AND(对接源_02物料!$X468="公司筐",N(对接源_02物料!$T468)&lt;&gt;0)),1,0)</f>
        <v>0</v>
      </c>
      <c r="Q1668">
        <f>N(Q1667)+$P1668</f>
        <v>14</v>
      </c>
      <c r="R1668">
        <f>IF(AND($K1668=1,AND(对接源_02物料!$X468="公司筐",N(对接源_02物料!$U468)&lt;&gt;0)),1,0)</f>
        <v>0</v>
      </c>
      <c r="S1668">
        <f>N(S1667)+$R1668</f>
        <v>1</v>
      </c>
      <c r="T1668">
        <f>IF(AND($K1668=1,AND(对接源_02物料!$X468="公司筐",N(对接源_02物料!$V468)&lt;&gt;0)),1,0)</f>
        <v>0</v>
      </c>
      <c r="U1668">
        <f>N(U1667)+$T1668</f>
        <v>47</v>
      </c>
      <c r="V1668">
        <f>IF(AND($L1668=1,AND(对接源_02物料!$X468="自备筐",N(对接源_02物料!$V468)&lt;&gt;0)),1,0)</f>
        <v>0</v>
      </c>
      <c r="W1668">
        <f>N(W1667)+$V1668</f>
        <v>11</v>
      </c>
      <c r="X1668">
        <f>IF(AND($L1668=1,AND(对接源_02物料!$X468="自备筐",N(对接源_02物料!$T468)&lt;&gt;0)),1,0)</f>
        <v>0</v>
      </c>
      <c r="Y1668">
        <f>N(Y1667)+$X1668</f>
        <v>0</v>
      </c>
      <c r="Z1668">
        <f>IF(AND($M1668=1,对接源_02物料!$D468="原料入库"),1,0)</f>
        <v>0</v>
      </c>
      <c r="AA1668">
        <f>N(AA1667)+$Z1668</f>
        <v>24</v>
      </c>
      <c r="AB1668">
        <f>IF(AND($M1668=1,LEFT(对接源_02物料!$D468,4)="原料出库"),1,0)</f>
        <v>0</v>
      </c>
      <c r="AC1668">
        <f>N(AC1667)+$AB1668</f>
        <v>0</v>
      </c>
      <c r="AD1668">
        <f>IF(AND($M1668=1,LEFT(对接源_02物料!$D468,4)="成品出库"),1,0)</f>
        <v>0</v>
      </c>
      <c r="AE1668">
        <f>N(AE1667)+$AD1668</f>
        <v>0</v>
      </c>
      <c r="AF1668">
        <f>IF(AND($N1668=1,AND(LEFT(对接源_02物料!$D468,4)="包装物料",N(对接源_02物料!$K468)&lt;&gt;0)),1,0)</f>
        <v>0</v>
      </c>
      <c r="AG1668">
        <f>N(AG1667)+$AF1668</f>
        <v>10</v>
      </c>
      <c r="AH1668">
        <f>IF(AND($N1668=1,AND(对接源_02物料!$D468="周转筐－销售出库",N(对接源_02物料!$K468)&lt;&gt;0)),1,0)</f>
        <v>0</v>
      </c>
      <c r="AI1668">
        <f>N(AI1667)+$AH1668</f>
        <v>0</v>
      </c>
      <c r="AL1668" t="n">
        <v>0</v>
      </c>
      <c r="AM1668">
        <f>N(AM1667)+$AL1668</f>
        <v>2</v>
      </c>
      <c r="AN1668">
        <f>""</f>
      </c>
      <c r="AO1668" t="n">
        <v>0</v>
      </c>
      <c r="AP1668">
        <f>N(AP1667)+$AO1668</f>
        <v>13</v>
      </c>
      <c r="AR1668">
        <f>IF(OR($AF1668=1,$AH1668=1),1,0)</f>
        <v>0</v>
      </c>
      <c r="AS1668">
        <f>N(AS1667)+$AR1668</f>
        <v>10</v>
      </c>
    </row>
    <row r="1669" s="127">
      <c r="A1669">
        <f>IF(对接源_02物料!$C469="","",对接源_02物料!$C469)</f>
      </c>
      <c r="B1669">
        <f>IF(A1669="",0,IF(MATCH(A1669,$A$4:$A$2403,0)=ROW()-3,1,0))</f>
        <v>0</v>
      </c>
      <c r="C1669">
        <f>N(C1668)+B1669</f>
        <v>26</v>
      </c>
      <c r="K1669">
        <f>IF(OR($K$1="",对接源_02物料!$C469="",对接源_02物料!$C469&lt;&gt;$K$1,对接源_02物料!$B469=""),0,IF(OR(N(对接源_02物料!$B469)&lt;$K$2,N(对接源_02物料!$B469)&gt;$K$3),0,1))</f>
        <v>0</v>
      </c>
      <c r="L1669">
        <f>IF(OR($L$1="",对接源_02物料!$C469="",对接源_02物料!$C469&lt;&gt;$L$1,对接源_02物料!$B469=""),0,IF(OR(N(对接源_02物料!$B469)&lt;$L$2,N(对接源_02物料!$B469)&gt;$L$3),0,1))</f>
        <v>0</v>
      </c>
      <c r="M1669">
        <f>IF(OR($M$1="",对接源_02物料!$C469="",对接源_02物料!$C469&lt;&gt;$M$1,对接源_02物料!$B469=""),0,IF(OR(N(对接源_02物料!$B469)&lt;$M$2,N(对接源_02物料!$B469)&gt;$M$3),0,1))</f>
        <v>0</v>
      </c>
      <c r="N1669">
        <f>IF(OR($N$1="",对接源_02物料!$C469="",对接源_02物料!$C469&lt;&gt;$N$1,对接源_02物料!$B469=""),0,IF(OR(N(对接源_02物料!$B469)&lt;$N$2,N(对接源_02物料!$B469)&gt;$N$3),0,1))</f>
        <v>0</v>
      </c>
      <c r="P1669">
        <f>IF(AND($K1669=1,AND(对接源_02物料!$X469="公司筐",N(对接源_02物料!$T469)&lt;&gt;0)),1,0)</f>
        <v>0</v>
      </c>
      <c r="Q1669">
        <f>N(Q1668)+$P1669</f>
        <v>14</v>
      </c>
      <c r="R1669">
        <f>IF(AND($K1669=1,AND(对接源_02物料!$X469="公司筐",N(对接源_02物料!$U469)&lt;&gt;0)),1,0)</f>
        <v>0</v>
      </c>
      <c r="S1669">
        <f>N(S1668)+$R1669</f>
        <v>1</v>
      </c>
      <c r="T1669">
        <f>IF(AND($K1669=1,AND(对接源_02物料!$X469="公司筐",N(对接源_02物料!$V469)&lt;&gt;0)),1,0)</f>
        <v>0</v>
      </c>
      <c r="U1669">
        <f>N(U1668)+$T1669</f>
        <v>47</v>
      </c>
      <c r="V1669">
        <f>IF(AND($L1669=1,AND(对接源_02物料!$X469="自备筐",N(对接源_02物料!$V469)&lt;&gt;0)),1,0)</f>
        <v>0</v>
      </c>
      <c r="W1669">
        <f>N(W1668)+$V1669</f>
        <v>11</v>
      </c>
      <c r="X1669">
        <f>IF(AND($L1669=1,AND(对接源_02物料!$X469="自备筐",N(对接源_02物料!$T469)&lt;&gt;0)),1,0)</f>
        <v>0</v>
      </c>
      <c r="Y1669">
        <f>N(Y1668)+$X1669</f>
        <v>0</v>
      </c>
      <c r="Z1669">
        <f>IF(AND($M1669=1,对接源_02物料!$D469="原料入库"),1,0)</f>
        <v>0</v>
      </c>
      <c r="AA1669">
        <f>N(AA1668)+$Z1669</f>
        <v>24</v>
      </c>
      <c r="AB1669">
        <f>IF(AND($M1669=1,LEFT(对接源_02物料!$D469,4)="原料出库"),1,0)</f>
        <v>0</v>
      </c>
      <c r="AC1669">
        <f>N(AC1668)+$AB1669</f>
        <v>0</v>
      </c>
      <c r="AD1669">
        <f>IF(AND($M1669=1,LEFT(对接源_02物料!$D469,4)="成品出库"),1,0)</f>
        <v>0</v>
      </c>
      <c r="AE1669">
        <f>N(AE1668)+$AD1669</f>
        <v>0</v>
      </c>
      <c r="AF1669">
        <f>IF(AND($N1669=1,AND(LEFT(对接源_02物料!$D469,4)="包装物料",N(对接源_02物料!$K469)&lt;&gt;0)),1,0)</f>
        <v>0</v>
      </c>
      <c r="AG1669">
        <f>N(AG1668)+$AF1669</f>
        <v>10</v>
      </c>
      <c r="AH1669">
        <f>IF(AND($N1669=1,AND(对接源_02物料!$D469="周转筐－销售出库",N(对接源_02物料!$K469)&lt;&gt;0)),1,0)</f>
        <v>0</v>
      </c>
      <c r="AI1669">
        <f>N(AI1668)+$AH1669</f>
        <v>0</v>
      </c>
      <c r="AL1669" t="n">
        <v>0</v>
      </c>
      <c r="AM1669">
        <f>N(AM1668)+$AL1669</f>
        <v>2</v>
      </c>
      <c r="AN1669">
        <f>""</f>
      </c>
      <c r="AO1669" t="n">
        <v>0</v>
      </c>
      <c r="AP1669">
        <f>N(AP1668)+$AO1669</f>
        <v>13</v>
      </c>
      <c r="AR1669">
        <f>IF(OR($AF1669=1,$AH1669=1),1,0)</f>
        <v>0</v>
      </c>
      <c r="AS1669">
        <f>N(AS1668)+$AR1669</f>
        <v>10</v>
      </c>
    </row>
    <row r="1670" s="127">
      <c r="A1670">
        <f>IF(对接源_02物料!$C470="","",对接源_02物料!$C470)</f>
      </c>
      <c r="B1670">
        <f>IF(A1670="",0,IF(MATCH(A1670,$A$4:$A$2403,0)=ROW()-3,1,0))</f>
        <v>0</v>
      </c>
      <c r="C1670">
        <f>N(C1669)+B1670</f>
        <v>26</v>
      </c>
      <c r="K1670">
        <f>IF(OR($K$1="",对接源_02物料!$C470="",对接源_02物料!$C470&lt;&gt;$K$1,对接源_02物料!$B470=""),0,IF(OR(N(对接源_02物料!$B470)&lt;$K$2,N(对接源_02物料!$B470)&gt;$K$3),0,1))</f>
        <v>0</v>
      </c>
      <c r="L1670">
        <f>IF(OR($L$1="",对接源_02物料!$C470="",对接源_02物料!$C470&lt;&gt;$L$1,对接源_02物料!$B470=""),0,IF(OR(N(对接源_02物料!$B470)&lt;$L$2,N(对接源_02物料!$B470)&gt;$L$3),0,1))</f>
        <v>0</v>
      </c>
      <c r="M1670">
        <f>IF(OR($M$1="",对接源_02物料!$C470="",对接源_02物料!$C470&lt;&gt;$M$1,对接源_02物料!$B470=""),0,IF(OR(N(对接源_02物料!$B470)&lt;$M$2,N(对接源_02物料!$B470)&gt;$M$3),0,1))</f>
        <v>0</v>
      </c>
      <c r="N1670">
        <f>IF(OR($N$1="",对接源_02物料!$C470="",对接源_02物料!$C470&lt;&gt;$N$1,对接源_02物料!$B470=""),0,IF(OR(N(对接源_02物料!$B470)&lt;$N$2,N(对接源_02物料!$B470)&gt;$N$3),0,1))</f>
        <v>0</v>
      </c>
      <c r="P1670">
        <f>IF(AND($K1670=1,AND(对接源_02物料!$X470="公司筐",N(对接源_02物料!$T470)&lt;&gt;0)),1,0)</f>
        <v>0</v>
      </c>
      <c r="Q1670">
        <f>N(Q1669)+$P1670</f>
        <v>14</v>
      </c>
      <c r="R1670">
        <f>IF(AND($K1670=1,AND(对接源_02物料!$X470="公司筐",N(对接源_02物料!$U470)&lt;&gt;0)),1,0)</f>
        <v>0</v>
      </c>
      <c r="S1670">
        <f>N(S1669)+$R1670</f>
        <v>1</v>
      </c>
      <c r="T1670">
        <f>IF(AND($K1670=1,AND(对接源_02物料!$X470="公司筐",N(对接源_02物料!$V470)&lt;&gt;0)),1,0)</f>
        <v>0</v>
      </c>
      <c r="U1670">
        <f>N(U1669)+$T1670</f>
        <v>47</v>
      </c>
      <c r="V1670">
        <f>IF(AND($L1670=1,AND(对接源_02物料!$X470="自备筐",N(对接源_02物料!$V470)&lt;&gt;0)),1,0)</f>
        <v>0</v>
      </c>
      <c r="W1670">
        <f>N(W1669)+$V1670</f>
        <v>11</v>
      </c>
      <c r="X1670">
        <f>IF(AND($L1670=1,AND(对接源_02物料!$X470="自备筐",N(对接源_02物料!$T470)&lt;&gt;0)),1,0)</f>
        <v>0</v>
      </c>
      <c r="Y1670">
        <f>N(Y1669)+$X1670</f>
        <v>0</v>
      </c>
      <c r="Z1670">
        <f>IF(AND($M1670=1,对接源_02物料!$D470="原料入库"),1,0)</f>
        <v>0</v>
      </c>
      <c r="AA1670">
        <f>N(AA1669)+$Z1670</f>
        <v>24</v>
      </c>
      <c r="AB1670">
        <f>IF(AND($M1670=1,LEFT(对接源_02物料!$D470,4)="原料出库"),1,0)</f>
        <v>0</v>
      </c>
      <c r="AC1670">
        <f>N(AC1669)+$AB1670</f>
        <v>0</v>
      </c>
      <c r="AD1670">
        <f>IF(AND($M1670=1,LEFT(对接源_02物料!$D470,4)="成品出库"),1,0)</f>
        <v>0</v>
      </c>
      <c r="AE1670">
        <f>N(AE1669)+$AD1670</f>
        <v>0</v>
      </c>
      <c r="AF1670">
        <f>IF(AND($N1670=1,AND(LEFT(对接源_02物料!$D470,4)="包装物料",N(对接源_02物料!$K470)&lt;&gt;0)),1,0)</f>
        <v>0</v>
      </c>
      <c r="AG1670">
        <f>N(AG1669)+$AF1670</f>
        <v>10</v>
      </c>
      <c r="AH1670">
        <f>IF(AND($N1670=1,AND(对接源_02物料!$D470="周转筐－销售出库",N(对接源_02物料!$K470)&lt;&gt;0)),1,0)</f>
        <v>0</v>
      </c>
      <c r="AI1670">
        <f>N(AI1669)+$AH1670</f>
        <v>0</v>
      </c>
      <c r="AL1670" t="n">
        <v>0</v>
      </c>
      <c r="AM1670">
        <f>N(AM1669)+$AL1670</f>
        <v>2</v>
      </c>
      <c r="AN1670">
        <f>""</f>
      </c>
      <c r="AO1670" t="n">
        <v>0</v>
      </c>
      <c r="AP1670">
        <f>N(AP1669)+$AO1670</f>
        <v>13</v>
      </c>
      <c r="AR1670">
        <f>IF(OR($AF1670=1,$AH1670=1),1,0)</f>
        <v>0</v>
      </c>
      <c r="AS1670">
        <f>N(AS1669)+$AR1670</f>
        <v>10</v>
      </c>
    </row>
    <row r="1671" s="127">
      <c r="A1671">
        <f>IF(对接源_02物料!$C471="","",对接源_02物料!$C471)</f>
      </c>
      <c r="B1671">
        <f>IF(A1671="",0,IF(MATCH(A1671,$A$4:$A$2403,0)=ROW()-3,1,0))</f>
        <v>0</v>
      </c>
      <c r="C1671">
        <f>N(C1670)+B1671</f>
        <v>26</v>
      </c>
      <c r="K1671">
        <f>IF(OR($K$1="",对接源_02物料!$C471="",对接源_02物料!$C471&lt;&gt;$K$1,对接源_02物料!$B471=""),0,IF(OR(N(对接源_02物料!$B471)&lt;$K$2,N(对接源_02物料!$B471)&gt;$K$3),0,1))</f>
        <v>0</v>
      </c>
      <c r="L1671">
        <f>IF(OR($L$1="",对接源_02物料!$C471="",对接源_02物料!$C471&lt;&gt;$L$1,对接源_02物料!$B471=""),0,IF(OR(N(对接源_02物料!$B471)&lt;$L$2,N(对接源_02物料!$B471)&gt;$L$3),0,1))</f>
        <v>0</v>
      </c>
      <c r="M1671">
        <f>IF(OR($M$1="",对接源_02物料!$C471="",对接源_02物料!$C471&lt;&gt;$M$1,对接源_02物料!$B471=""),0,IF(OR(N(对接源_02物料!$B471)&lt;$M$2,N(对接源_02物料!$B471)&gt;$M$3),0,1))</f>
        <v>0</v>
      </c>
      <c r="N1671">
        <f>IF(OR($N$1="",对接源_02物料!$C471="",对接源_02物料!$C471&lt;&gt;$N$1,对接源_02物料!$B471=""),0,IF(OR(N(对接源_02物料!$B471)&lt;$N$2,N(对接源_02物料!$B471)&gt;$N$3),0,1))</f>
        <v>0</v>
      </c>
      <c r="P1671">
        <f>IF(AND($K1671=1,AND(对接源_02物料!$X471="公司筐",N(对接源_02物料!$T471)&lt;&gt;0)),1,0)</f>
        <v>0</v>
      </c>
      <c r="Q1671">
        <f>N(Q1670)+$P1671</f>
        <v>14</v>
      </c>
      <c r="R1671">
        <f>IF(AND($K1671=1,AND(对接源_02物料!$X471="公司筐",N(对接源_02物料!$U471)&lt;&gt;0)),1,0)</f>
        <v>0</v>
      </c>
      <c r="S1671">
        <f>N(S1670)+$R1671</f>
        <v>1</v>
      </c>
      <c r="T1671">
        <f>IF(AND($K1671=1,AND(对接源_02物料!$X471="公司筐",N(对接源_02物料!$V471)&lt;&gt;0)),1,0)</f>
        <v>0</v>
      </c>
      <c r="U1671">
        <f>N(U1670)+$T1671</f>
        <v>47</v>
      </c>
      <c r="V1671">
        <f>IF(AND($L1671=1,AND(对接源_02物料!$X471="自备筐",N(对接源_02物料!$V471)&lt;&gt;0)),1,0)</f>
        <v>0</v>
      </c>
      <c r="W1671">
        <f>N(W1670)+$V1671</f>
        <v>11</v>
      </c>
      <c r="X1671">
        <f>IF(AND($L1671=1,AND(对接源_02物料!$X471="自备筐",N(对接源_02物料!$T471)&lt;&gt;0)),1,0)</f>
        <v>0</v>
      </c>
      <c r="Y1671">
        <f>N(Y1670)+$X1671</f>
        <v>0</v>
      </c>
      <c r="Z1671">
        <f>IF(AND($M1671=1,对接源_02物料!$D471="原料入库"),1,0)</f>
        <v>0</v>
      </c>
      <c r="AA1671">
        <f>N(AA1670)+$Z1671</f>
        <v>24</v>
      </c>
      <c r="AB1671">
        <f>IF(AND($M1671=1,LEFT(对接源_02物料!$D471,4)="原料出库"),1,0)</f>
        <v>0</v>
      </c>
      <c r="AC1671">
        <f>N(AC1670)+$AB1671</f>
        <v>0</v>
      </c>
      <c r="AD1671">
        <f>IF(AND($M1671=1,LEFT(对接源_02物料!$D471,4)="成品出库"),1,0)</f>
        <v>0</v>
      </c>
      <c r="AE1671">
        <f>N(AE1670)+$AD1671</f>
        <v>0</v>
      </c>
      <c r="AF1671">
        <f>IF(AND($N1671=1,AND(LEFT(对接源_02物料!$D471,4)="包装物料",N(对接源_02物料!$K471)&lt;&gt;0)),1,0)</f>
        <v>0</v>
      </c>
      <c r="AG1671">
        <f>N(AG1670)+$AF1671</f>
        <v>10</v>
      </c>
      <c r="AH1671">
        <f>IF(AND($N1671=1,AND(对接源_02物料!$D471="周转筐－销售出库",N(对接源_02物料!$K471)&lt;&gt;0)),1,0)</f>
        <v>0</v>
      </c>
      <c r="AI1671">
        <f>N(AI1670)+$AH1671</f>
        <v>0</v>
      </c>
      <c r="AL1671" t="n">
        <v>0</v>
      </c>
      <c r="AM1671">
        <f>N(AM1670)+$AL1671</f>
        <v>2</v>
      </c>
      <c r="AN1671">
        <f>""</f>
      </c>
      <c r="AO1671" t="n">
        <v>0</v>
      </c>
      <c r="AP1671">
        <f>N(AP1670)+$AO1671</f>
        <v>13</v>
      </c>
      <c r="AR1671">
        <f>IF(OR($AF1671=1,$AH1671=1),1,0)</f>
        <v>0</v>
      </c>
      <c r="AS1671">
        <f>N(AS1670)+$AR1671</f>
        <v>10</v>
      </c>
    </row>
    <row r="1672" s="127">
      <c r="A1672">
        <f>IF(对接源_02物料!$C472="","",对接源_02物料!$C472)</f>
      </c>
      <c r="B1672">
        <f>IF(A1672="",0,IF(MATCH(A1672,$A$4:$A$2403,0)=ROW()-3,1,0))</f>
        <v>0</v>
      </c>
      <c r="C1672">
        <f>N(C1671)+B1672</f>
        <v>26</v>
      </c>
      <c r="K1672">
        <f>IF(OR($K$1="",对接源_02物料!$C472="",对接源_02物料!$C472&lt;&gt;$K$1,对接源_02物料!$B472=""),0,IF(OR(N(对接源_02物料!$B472)&lt;$K$2,N(对接源_02物料!$B472)&gt;$K$3),0,1))</f>
        <v>0</v>
      </c>
      <c r="L1672">
        <f>IF(OR($L$1="",对接源_02物料!$C472="",对接源_02物料!$C472&lt;&gt;$L$1,对接源_02物料!$B472=""),0,IF(OR(N(对接源_02物料!$B472)&lt;$L$2,N(对接源_02物料!$B472)&gt;$L$3),0,1))</f>
        <v>0</v>
      </c>
      <c r="M1672">
        <f>IF(OR($M$1="",对接源_02物料!$C472="",对接源_02物料!$C472&lt;&gt;$M$1,对接源_02物料!$B472=""),0,IF(OR(N(对接源_02物料!$B472)&lt;$M$2,N(对接源_02物料!$B472)&gt;$M$3),0,1))</f>
        <v>0</v>
      </c>
      <c r="N1672">
        <f>IF(OR($N$1="",对接源_02物料!$C472="",对接源_02物料!$C472&lt;&gt;$N$1,对接源_02物料!$B472=""),0,IF(OR(N(对接源_02物料!$B472)&lt;$N$2,N(对接源_02物料!$B472)&gt;$N$3),0,1))</f>
        <v>0</v>
      </c>
      <c r="P1672">
        <f>IF(AND($K1672=1,AND(对接源_02物料!$X472="公司筐",N(对接源_02物料!$T472)&lt;&gt;0)),1,0)</f>
        <v>0</v>
      </c>
      <c r="Q1672">
        <f>N(Q1671)+$P1672</f>
        <v>14</v>
      </c>
      <c r="R1672">
        <f>IF(AND($K1672=1,AND(对接源_02物料!$X472="公司筐",N(对接源_02物料!$U472)&lt;&gt;0)),1,0)</f>
        <v>0</v>
      </c>
      <c r="S1672">
        <f>N(S1671)+$R1672</f>
        <v>1</v>
      </c>
      <c r="T1672">
        <f>IF(AND($K1672=1,AND(对接源_02物料!$X472="公司筐",N(对接源_02物料!$V472)&lt;&gt;0)),1,0)</f>
        <v>0</v>
      </c>
      <c r="U1672">
        <f>N(U1671)+$T1672</f>
        <v>47</v>
      </c>
      <c r="V1672">
        <f>IF(AND($L1672=1,AND(对接源_02物料!$X472="自备筐",N(对接源_02物料!$V472)&lt;&gt;0)),1,0)</f>
        <v>0</v>
      </c>
      <c r="W1672">
        <f>N(W1671)+$V1672</f>
        <v>11</v>
      </c>
      <c r="X1672">
        <f>IF(AND($L1672=1,AND(对接源_02物料!$X472="自备筐",N(对接源_02物料!$T472)&lt;&gt;0)),1,0)</f>
        <v>0</v>
      </c>
      <c r="Y1672">
        <f>N(Y1671)+$X1672</f>
        <v>0</v>
      </c>
      <c r="Z1672">
        <f>IF(AND($M1672=1,对接源_02物料!$D472="原料入库"),1,0)</f>
        <v>0</v>
      </c>
      <c r="AA1672">
        <f>N(AA1671)+$Z1672</f>
        <v>24</v>
      </c>
      <c r="AB1672">
        <f>IF(AND($M1672=1,LEFT(对接源_02物料!$D472,4)="原料出库"),1,0)</f>
        <v>0</v>
      </c>
      <c r="AC1672">
        <f>N(AC1671)+$AB1672</f>
        <v>0</v>
      </c>
      <c r="AD1672">
        <f>IF(AND($M1672=1,LEFT(对接源_02物料!$D472,4)="成品出库"),1,0)</f>
        <v>0</v>
      </c>
      <c r="AE1672">
        <f>N(AE1671)+$AD1672</f>
        <v>0</v>
      </c>
      <c r="AF1672">
        <f>IF(AND($N1672=1,AND(LEFT(对接源_02物料!$D472,4)="包装物料",N(对接源_02物料!$K472)&lt;&gt;0)),1,0)</f>
        <v>0</v>
      </c>
      <c r="AG1672">
        <f>N(AG1671)+$AF1672</f>
        <v>10</v>
      </c>
      <c r="AH1672">
        <f>IF(AND($N1672=1,AND(对接源_02物料!$D472="周转筐－销售出库",N(对接源_02物料!$K472)&lt;&gt;0)),1,0)</f>
        <v>0</v>
      </c>
      <c r="AI1672">
        <f>N(AI1671)+$AH1672</f>
        <v>0</v>
      </c>
      <c r="AL1672" t="n">
        <v>0</v>
      </c>
      <c r="AM1672">
        <f>N(AM1671)+$AL1672</f>
        <v>2</v>
      </c>
      <c r="AN1672">
        <f>""</f>
      </c>
      <c r="AO1672" t="n">
        <v>0</v>
      </c>
      <c r="AP1672">
        <f>N(AP1671)+$AO1672</f>
        <v>13</v>
      </c>
      <c r="AR1672">
        <f>IF(OR($AF1672=1,$AH1672=1),1,0)</f>
        <v>0</v>
      </c>
      <c r="AS1672">
        <f>N(AS1671)+$AR1672</f>
        <v>10</v>
      </c>
    </row>
    <row r="1673" s="127">
      <c r="A1673">
        <f>IF(对接源_02物料!$C473="","",对接源_02物料!$C473)</f>
      </c>
      <c r="B1673">
        <f>IF(A1673="",0,IF(MATCH(A1673,$A$4:$A$2403,0)=ROW()-3,1,0))</f>
        <v>0</v>
      </c>
      <c r="C1673">
        <f>N(C1672)+B1673</f>
        <v>26</v>
      </c>
      <c r="K1673">
        <f>IF(OR($K$1="",对接源_02物料!$C473="",对接源_02物料!$C473&lt;&gt;$K$1,对接源_02物料!$B473=""),0,IF(OR(N(对接源_02物料!$B473)&lt;$K$2,N(对接源_02物料!$B473)&gt;$K$3),0,1))</f>
        <v>0</v>
      </c>
      <c r="L1673">
        <f>IF(OR($L$1="",对接源_02物料!$C473="",对接源_02物料!$C473&lt;&gt;$L$1,对接源_02物料!$B473=""),0,IF(OR(N(对接源_02物料!$B473)&lt;$L$2,N(对接源_02物料!$B473)&gt;$L$3),0,1))</f>
        <v>0</v>
      </c>
      <c r="M1673">
        <f>IF(OR($M$1="",对接源_02物料!$C473="",对接源_02物料!$C473&lt;&gt;$M$1,对接源_02物料!$B473=""),0,IF(OR(N(对接源_02物料!$B473)&lt;$M$2,N(对接源_02物料!$B473)&gt;$M$3),0,1))</f>
        <v>0</v>
      </c>
      <c r="N1673">
        <f>IF(OR($N$1="",对接源_02物料!$C473="",对接源_02物料!$C473&lt;&gt;$N$1,对接源_02物料!$B473=""),0,IF(OR(N(对接源_02物料!$B473)&lt;$N$2,N(对接源_02物料!$B473)&gt;$N$3),0,1))</f>
        <v>0</v>
      </c>
      <c r="P1673">
        <f>IF(AND($K1673=1,AND(对接源_02物料!$X473="公司筐",N(对接源_02物料!$T473)&lt;&gt;0)),1,0)</f>
        <v>0</v>
      </c>
      <c r="Q1673">
        <f>N(Q1672)+$P1673</f>
        <v>14</v>
      </c>
      <c r="R1673">
        <f>IF(AND($K1673=1,AND(对接源_02物料!$X473="公司筐",N(对接源_02物料!$U473)&lt;&gt;0)),1,0)</f>
        <v>0</v>
      </c>
      <c r="S1673">
        <f>N(S1672)+$R1673</f>
        <v>1</v>
      </c>
      <c r="T1673">
        <f>IF(AND($K1673=1,AND(对接源_02物料!$X473="公司筐",N(对接源_02物料!$V473)&lt;&gt;0)),1,0)</f>
        <v>0</v>
      </c>
      <c r="U1673">
        <f>N(U1672)+$T1673</f>
        <v>47</v>
      </c>
      <c r="V1673">
        <f>IF(AND($L1673=1,AND(对接源_02物料!$X473="自备筐",N(对接源_02物料!$V473)&lt;&gt;0)),1,0)</f>
        <v>0</v>
      </c>
      <c r="W1673">
        <f>N(W1672)+$V1673</f>
        <v>11</v>
      </c>
      <c r="X1673">
        <f>IF(AND($L1673=1,AND(对接源_02物料!$X473="自备筐",N(对接源_02物料!$T473)&lt;&gt;0)),1,0)</f>
        <v>0</v>
      </c>
      <c r="Y1673">
        <f>N(Y1672)+$X1673</f>
        <v>0</v>
      </c>
      <c r="Z1673">
        <f>IF(AND($M1673=1,对接源_02物料!$D473="原料入库"),1,0)</f>
        <v>0</v>
      </c>
      <c r="AA1673">
        <f>N(AA1672)+$Z1673</f>
        <v>24</v>
      </c>
      <c r="AB1673">
        <f>IF(AND($M1673=1,LEFT(对接源_02物料!$D473,4)="原料出库"),1,0)</f>
        <v>0</v>
      </c>
      <c r="AC1673">
        <f>N(AC1672)+$AB1673</f>
        <v>0</v>
      </c>
      <c r="AD1673">
        <f>IF(AND($M1673=1,LEFT(对接源_02物料!$D473,4)="成品出库"),1,0)</f>
        <v>0</v>
      </c>
      <c r="AE1673">
        <f>N(AE1672)+$AD1673</f>
        <v>0</v>
      </c>
      <c r="AF1673">
        <f>IF(AND($N1673=1,AND(LEFT(对接源_02物料!$D473,4)="包装物料",N(对接源_02物料!$K473)&lt;&gt;0)),1,0)</f>
        <v>0</v>
      </c>
      <c r="AG1673">
        <f>N(AG1672)+$AF1673</f>
        <v>10</v>
      </c>
      <c r="AH1673">
        <f>IF(AND($N1673=1,AND(对接源_02物料!$D473="周转筐－销售出库",N(对接源_02物料!$K473)&lt;&gt;0)),1,0)</f>
        <v>0</v>
      </c>
      <c r="AI1673">
        <f>N(AI1672)+$AH1673</f>
        <v>0</v>
      </c>
      <c r="AL1673" t="n">
        <v>0</v>
      </c>
      <c r="AM1673">
        <f>N(AM1672)+$AL1673</f>
        <v>2</v>
      </c>
      <c r="AN1673">
        <f>""</f>
      </c>
      <c r="AO1673" t="n">
        <v>0</v>
      </c>
      <c r="AP1673">
        <f>N(AP1672)+$AO1673</f>
        <v>13</v>
      </c>
      <c r="AR1673">
        <f>IF(OR($AF1673=1,$AH1673=1),1,0)</f>
        <v>0</v>
      </c>
      <c r="AS1673">
        <f>N(AS1672)+$AR1673</f>
        <v>10</v>
      </c>
    </row>
    <row r="1674" s="127">
      <c r="A1674">
        <f>IF(对接源_02物料!$C474="","",对接源_02物料!$C474)</f>
      </c>
      <c r="B1674">
        <f>IF(A1674="",0,IF(MATCH(A1674,$A$4:$A$2403,0)=ROW()-3,1,0))</f>
        <v>0</v>
      </c>
      <c r="C1674">
        <f>N(C1673)+B1674</f>
        <v>26</v>
      </c>
      <c r="K1674">
        <f>IF(OR($K$1="",对接源_02物料!$C474="",对接源_02物料!$C474&lt;&gt;$K$1,对接源_02物料!$B474=""),0,IF(OR(N(对接源_02物料!$B474)&lt;$K$2,N(对接源_02物料!$B474)&gt;$K$3),0,1))</f>
        <v>0</v>
      </c>
      <c r="L1674">
        <f>IF(OR($L$1="",对接源_02物料!$C474="",对接源_02物料!$C474&lt;&gt;$L$1,对接源_02物料!$B474=""),0,IF(OR(N(对接源_02物料!$B474)&lt;$L$2,N(对接源_02物料!$B474)&gt;$L$3),0,1))</f>
        <v>0</v>
      </c>
      <c r="M1674">
        <f>IF(OR($M$1="",对接源_02物料!$C474="",对接源_02物料!$C474&lt;&gt;$M$1,对接源_02物料!$B474=""),0,IF(OR(N(对接源_02物料!$B474)&lt;$M$2,N(对接源_02物料!$B474)&gt;$M$3),0,1))</f>
        <v>0</v>
      </c>
      <c r="N1674">
        <f>IF(OR($N$1="",对接源_02物料!$C474="",对接源_02物料!$C474&lt;&gt;$N$1,对接源_02物料!$B474=""),0,IF(OR(N(对接源_02物料!$B474)&lt;$N$2,N(对接源_02物料!$B474)&gt;$N$3),0,1))</f>
        <v>0</v>
      </c>
      <c r="P1674">
        <f>IF(AND($K1674=1,AND(对接源_02物料!$X474="公司筐",N(对接源_02物料!$T474)&lt;&gt;0)),1,0)</f>
        <v>0</v>
      </c>
      <c r="Q1674">
        <f>N(Q1673)+$P1674</f>
        <v>14</v>
      </c>
      <c r="R1674">
        <f>IF(AND($K1674=1,AND(对接源_02物料!$X474="公司筐",N(对接源_02物料!$U474)&lt;&gt;0)),1,0)</f>
        <v>0</v>
      </c>
      <c r="S1674">
        <f>N(S1673)+$R1674</f>
        <v>1</v>
      </c>
      <c r="T1674">
        <f>IF(AND($K1674=1,AND(对接源_02物料!$X474="公司筐",N(对接源_02物料!$V474)&lt;&gt;0)),1,0)</f>
        <v>0</v>
      </c>
      <c r="U1674">
        <f>N(U1673)+$T1674</f>
        <v>47</v>
      </c>
      <c r="V1674">
        <f>IF(AND($L1674=1,AND(对接源_02物料!$X474="自备筐",N(对接源_02物料!$V474)&lt;&gt;0)),1,0)</f>
        <v>0</v>
      </c>
      <c r="W1674">
        <f>N(W1673)+$V1674</f>
        <v>11</v>
      </c>
      <c r="X1674">
        <f>IF(AND($L1674=1,AND(对接源_02物料!$X474="自备筐",N(对接源_02物料!$T474)&lt;&gt;0)),1,0)</f>
        <v>0</v>
      </c>
      <c r="Y1674">
        <f>N(Y1673)+$X1674</f>
        <v>0</v>
      </c>
      <c r="Z1674">
        <f>IF(AND($M1674=1,对接源_02物料!$D474="原料入库"),1,0)</f>
        <v>0</v>
      </c>
      <c r="AA1674">
        <f>N(AA1673)+$Z1674</f>
        <v>24</v>
      </c>
      <c r="AB1674">
        <f>IF(AND($M1674=1,LEFT(对接源_02物料!$D474,4)="原料出库"),1,0)</f>
        <v>0</v>
      </c>
      <c r="AC1674">
        <f>N(AC1673)+$AB1674</f>
        <v>0</v>
      </c>
      <c r="AD1674">
        <f>IF(AND($M1674=1,LEFT(对接源_02物料!$D474,4)="成品出库"),1,0)</f>
        <v>0</v>
      </c>
      <c r="AE1674">
        <f>N(AE1673)+$AD1674</f>
        <v>0</v>
      </c>
      <c r="AF1674">
        <f>IF(AND($N1674=1,AND(LEFT(对接源_02物料!$D474,4)="包装物料",N(对接源_02物料!$K474)&lt;&gt;0)),1,0)</f>
        <v>0</v>
      </c>
      <c r="AG1674">
        <f>N(AG1673)+$AF1674</f>
        <v>10</v>
      </c>
      <c r="AH1674">
        <f>IF(AND($N1674=1,AND(对接源_02物料!$D474="周转筐－销售出库",N(对接源_02物料!$K474)&lt;&gt;0)),1,0)</f>
        <v>0</v>
      </c>
      <c r="AI1674">
        <f>N(AI1673)+$AH1674</f>
        <v>0</v>
      </c>
      <c r="AL1674" t="n">
        <v>0</v>
      </c>
      <c r="AM1674">
        <f>N(AM1673)+$AL1674</f>
        <v>2</v>
      </c>
      <c r="AN1674">
        <f>""</f>
      </c>
      <c r="AO1674" t="n">
        <v>0</v>
      </c>
      <c r="AP1674">
        <f>N(AP1673)+$AO1674</f>
        <v>13</v>
      </c>
      <c r="AR1674">
        <f>IF(OR($AF1674=1,$AH1674=1),1,0)</f>
        <v>0</v>
      </c>
      <c r="AS1674">
        <f>N(AS1673)+$AR1674</f>
        <v>10</v>
      </c>
    </row>
    <row r="1675" s="127">
      <c r="A1675">
        <f>IF(对接源_02物料!$C475="","",对接源_02物料!$C475)</f>
      </c>
      <c r="B1675">
        <f>IF(A1675="",0,IF(MATCH(A1675,$A$4:$A$2403,0)=ROW()-3,1,0))</f>
        <v>0</v>
      </c>
      <c r="C1675">
        <f>N(C1674)+B1675</f>
        <v>26</v>
      </c>
      <c r="K1675">
        <f>IF(OR($K$1="",对接源_02物料!$C475="",对接源_02物料!$C475&lt;&gt;$K$1,对接源_02物料!$B475=""),0,IF(OR(N(对接源_02物料!$B475)&lt;$K$2,N(对接源_02物料!$B475)&gt;$K$3),0,1))</f>
        <v>0</v>
      </c>
      <c r="L1675">
        <f>IF(OR($L$1="",对接源_02物料!$C475="",对接源_02物料!$C475&lt;&gt;$L$1,对接源_02物料!$B475=""),0,IF(OR(N(对接源_02物料!$B475)&lt;$L$2,N(对接源_02物料!$B475)&gt;$L$3),0,1))</f>
        <v>0</v>
      </c>
      <c r="M1675">
        <f>IF(OR($M$1="",对接源_02物料!$C475="",对接源_02物料!$C475&lt;&gt;$M$1,对接源_02物料!$B475=""),0,IF(OR(N(对接源_02物料!$B475)&lt;$M$2,N(对接源_02物料!$B475)&gt;$M$3),0,1))</f>
        <v>0</v>
      </c>
      <c r="N1675">
        <f>IF(OR($N$1="",对接源_02物料!$C475="",对接源_02物料!$C475&lt;&gt;$N$1,对接源_02物料!$B475=""),0,IF(OR(N(对接源_02物料!$B475)&lt;$N$2,N(对接源_02物料!$B475)&gt;$N$3),0,1))</f>
        <v>0</v>
      </c>
      <c r="P1675">
        <f>IF(AND($K1675=1,AND(对接源_02物料!$X475="公司筐",N(对接源_02物料!$T475)&lt;&gt;0)),1,0)</f>
        <v>0</v>
      </c>
      <c r="Q1675">
        <f>N(Q1674)+$P1675</f>
        <v>14</v>
      </c>
      <c r="R1675">
        <f>IF(AND($K1675=1,AND(对接源_02物料!$X475="公司筐",N(对接源_02物料!$U475)&lt;&gt;0)),1,0)</f>
        <v>0</v>
      </c>
      <c r="S1675">
        <f>N(S1674)+$R1675</f>
        <v>1</v>
      </c>
      <c r="T1675">
        <f>IF(AND($K1675=1,AND(对接源_02物料!$X475="公司筐",N(对接源_02物料!$V475)&lt;&gt;0)),1,0)</f>
        <v>0</v>
      </c>
      <c r="U1675">
        <f>N(U1674)+$T1675</f>
        <v>47</v>
      </c>
      <c r="V1675">
        <f>IF(AND($L1675=1,AND(对接源_02物料!$X475="自备筐",N(对接源_02物料!$V475)&lt;&gt;0)),1,0)</f>
        <v>0</v>
      </c>
      <c r="W1675">
        <f>N(W1674)+$V1675</f>
        <v>11</v>
      </c>
      <c r="X1675">
        <f>IF(AND($L1675=1,AND(对接源_02物料!$X475="自备筐",N(对接源_02物料!$T475)&lt;&gt;0)),1,0)</f>
        <v>0</v>
      </c>
      <c r="Y1675">
        <f>N(Y1674)+$X1675</f>
        <v>0</v>
      </c>
      <c r="Z1675">
        <f>IF(AND($M1675=1,对接源_02物料!$D475="原料入库"),1,0)</f>
        <v>0</v>
      </c>
      <c r="AA1675">
        <f>N(AA1674)+$Z1675</f>
        <v>24</v>
      </c>
      <c r="AB1675">
        <f>IF(AND($M1675=1,LEFT(对接源_02物料!$D475,4)="原料出库"),1,0)</f>
        <v>0</v>
      </c>
      <c r="AC1675">
        <f>N(AC1674)+$AB1675</f>
        <v>0</v>
      </c>
      <c r="AD1675">
        <f>IF(AND($M1675=1,LEFT(对接源_02物料!$D475,4)="成品出库"),1,0)</f>
        <v>0</v>
      </c>
      <c r="AE1675">
        <f>N(AE1674)+$AD1675</f>
        <v>0</v>
      </c>
      <c r="AF1675">
        <f>IF(AND($N1675=1,AND(LEFT(对接源_02物料!$D475,4)="包装物料",N(对接源_02物料!$K475)&lt;&gt;0)),1,0)</f>
        <v>0</v>
      </c>
      <c r="AG1675">
        <f>N(AG1674)+$AF1675</f>
        <v>10</v>
      </c>
      <c r="AH1675">
        <f>IF(AND($N1675=1,AND(对接源_02物料!$D475="周转筐－销售出库",N(对接源_02物料!$K475)&lt;&gt;0)),1,0)</f>
        <v>0</v>
      </c>
      <c r="AI1675">
        <f>N(AI1674)+$AH1675</f>
        <v>0</v>
      </c>
      <c r="AL1675" t="n">
        <v>0</v>
      </c>
      <c r="AM1675">
        <f>N(AM1674)+$AL1675</f>
        <v>2</v>
      </c>
      <c r="AN1675">
        <f>""</f>
      </c>
      <c r="AO1675" t="n">
        <v>0</v>
      </c>
      <c r="AP1675">
        <f>N(AP1674)+$AO1675</f>
        <v>13</v>
      </c>
      <c r="AR1675">
        <f>IF(OR($AF1675=1,$AH1675=1),1,0)</f>
        <v>0</v>
      </c>
      <c r="AS1675">
        <f>N(AS1674)+$AR1675</f>
        <v>10</v>
      </c>
    </row>
    <row r="1676" s="127">
      <c r="A1676">
        <f>IF(对接源_02物料!$C476="","",对接源_02物料!$C476)</f>
      </c>
      <c r="B1676">
        <f>IF(A1676="",0,IF(MATCH(A1676,$A$4:$A$2403,0)=ROW()-3,1,0))</f>
        <v>0</v>
      </c>
      <c r="C1676">
        <f>N(C1675)+B1676</f>
        <v>26</v>
      </c>
      <c r="K1676">
        <f>IF(OR($K$1="",对接源_02物料!$C476="",对接源_02物料!$C476&lt;&gt;$K$1,对接源_02物料!$B476=""),0,IF(OR(N(对接源_02物料!$B476)&lt;$K$2,N(对接源_02物料!$B476)&gt;$K$3),0,1))</f>
        <v>0</v>
      </c>
      <c r="L1676">
        <f>IF(OR($L$1="",对接源_02物料!$C476="",对接源_02物料!$C476&lt;&gt;$L$1,对接源_02物料!$B476=""),0,IF(OR(N(对接源_02物料!$B476)&lt;$L$2,N(对接源_02物料!$B476)&gt;$L$3),0,1))</f>
        <v>0</v>
      </c>
      <c r="M1676">
        <f>IF(OR($M$1="",对接源_02物料!$C476="",对接源_02物料!$C476&lt;&gt;$M$1,对接源_02物料!$B476=""),0,IF(OR(N(对接源_02物料!$B476)&lt;$M$2,N(对接源_02物料!$B476)&gt;$M$3),0,1))</f>
        <v>0</v>
      </c>
      <c r="N1676">
        <f>IF(OR($N$1="",对接源_02物料!$C476="",对接源_02物料!$C476&lt;&gt;$N$1,对接源_02物料!$B476=""),0,IF(OR(N(对接源_02物料!$B476)&lt;$N$2,N(对接源_02物料!$B476)&gt;$N$3),0,1))</f>
        <v>0</v>
      </c>
      <c r="P1676">
        <f>IF(AND($K1676=1,AND(对接源_02物料!$X476="公司筐",N(对接源_02物料!$T476)&lt;&gt;0)),1,0)</f>
        <v>0</v>
      </c>
      <c r="Q1676">
        <f>N(Q1675)+$P1676</f>
        <v>14</v>
      </c>
      <c r="R1676">
        <f>IF(AND($K1676=1,AND(对接源_02物料!$X476="公司筐",N(对接源_02物料!$U476)&lt;&gt;0)),1,0)</f>
        <v>0</v>
      </c>
      <c r="S1676">
        <f>N(S1675)+$R1676</f>
        <v>1</v>
      </c>
      <c r="T1676">
        <f>IF(AND($K1676=1,AND(对接源_02物料!$X476="公司筐",N(对接源_02物料!$V476)&lt;&gt;0)),1,0)</f>
        <v>0</v>
      </c>
      <c r="U1676">
        <f>N(U1675)+$T1676</f>
        <v>47</v>
      </c>
      <c r="V1676">
        <f>IF(AND($L1676=1,AND(对接源_02物料!$X476="自备筐",N(对接源_02物料!$V476)&lt;&gt;0)),1,0)</f>
        <v>0</v>
      </c>
      <c r="W1676">
        <f>N(W1675)+$V1676</f>
        <v>11</v>
      </c>
      <c r="X1676">
        <f>IF(AND($L1676=1,AND(对接源_02物料!$X476="自备筐",N(对接源_02物料!$T476)&lt;&gt;0)),1,0)</f>
        <v>0</v>
      </c>
      <c r="Y1676">
        <f>N(Y1675)+$X1676</f>
        <v>0</v>
      </c>
      <c r="Z1676">
        <f>IF(AND($M1676=1,对接源_02物料!$D476="原料入库"),1,0)</f>
        <v>0</v>
      </c>
      <c r="AA1676">
        <f>N(AA1675)+$Z1676</f>
        <v>24</v>
      </c>
      <c r="AB1676">
        <f>IF(AND($M1676=1,LEFT(对接源_02物料!$D476,4)="原料出库"),1,0)</f>
        <v>0</v>
      </c>
      <c r="AC1676">
        <f>N(AC1675)+$AB1676</f>
        <v>0</v>
      </c>
      <c r="AD1676">
        <f>IF(AND($M1676=1,LEFT(对接源_02物料!$D476,4)="成品出库"),1,0)</f>
        <v>0</v>
      </c>
      <c r="AE1676">
        <f>N(AE1675)+$AD1676</f>
        <v>0</v>
      </c>
      <c r="AF1676">
        <f>IF(AND($N1676=1,AND(LEFT(对接源_02物料!$D476,4)="包装物料",N(对接源_02物料!$K476)&lt;&gt;0)),1,0)</f>
        <v>0</v>
      </c>
      <c r="AG1676">
        <f>N(AG1675)+$AF1676</f>
        <v>10</v>
      </c>
      <c r="AH1676">
        <f>IF(AND($N1676=1,AND(对接源_02物料!$D476="周转筐－销售出库",N(对接源_02物料!$K476)&lt;&gt;0)),1,0)</f>
        <v>0</v>
      </c>
      <c r="AI1676">
        <f>N(AI1675)+$AH1676</f>
        <v>0</v>
      </c>
      <c r="AL1676" t="n">
        <v>0</v>
      </c>
      <c r="AM1676">
        <f>N(AM1675)+$AL1676</f>
        <v>2</v>
      </c>
      <c r="AN1676">
        <f>""</f>
      </c>
      <c r="AO1676" t="n">
        <v>0</v>
      </c>
      <c r="AP1676">
        <f>N(AP1675)+$AO1676</f>
        <v>13</v>
      </c>
      <c r="AR1676">
        <f>IF(OR($AF1676=1,$AH1676=1),1,0)</f>
        <v>0</v>
      </c>
      <c r="AS1676">
        <f>N(AS1675)+$AR1676</f>
        <v>10</v>
      </c>
    </row>
    <row r="1677" s="127">
      <c r="A1677">
        <f>IF(对接源_02物料!$C477="","",对接源_02物料!$C477)</f>
      </c>
      <c r="B1677">
        <f>IF(A1677="",0,IF(MATCH(A1677,$A$4:$A$2403,0)=ROW()-3,1,0))</f>
        <v>0</v>
      </c>
      <c r="C1677">
        <f>N(C1676)+B1677</f>
        <v>26</v>
      </c>
      <c r="K1677">
        <f>IF(OR($K$1="",对接源_02物料!$C477="",对接源_02物料!$C477&lt;&gt;$K$1,对接源_02物料!$B477=""),0,IF(OR(N(对接源_02物料!$B477)&lt;$K$2,N(对接源_02物料!$B477)&gt;$K$3),0,1))</f>
        <v>0</v>
      </c>
      <c r="L1677">
        <f>IF(OR($L$1="",对接源_02物料!$C477="",对接源_02物料!$C477&lt;&gt;$L$1,对接源_02物料!$B477=""),0,IF(OR(N(对接源_02物料!$B477)&lt;$L$2,N(对接源_02物料!$B477)&gt;$L$3),0,1))</f>
        <v>0</v>
      </c>
      <c r="M1677">
        <f>IF(OR($M$1="",对接源_02物料!$C477="",对接源_02物料!$C477&lt;&gt;$M$1,对接源_02物料!$B477=""),0,IF(OR(N(对接源_02物料!$B477)&lt;$M$2,N(对接源_02物料!$B477)&gt;$M$3),0,1))</f>
        <v>0</v>
      </c>
      <c r="N1677">
        <f>IF(OR($N$1="",对接源_02物料!$C477="",对接源_02物料!$C477&lt;&gt;$N$1,对接源_02物料!$B477=""),0,IF(OR(N(对接源_02物料!$B477)&lt;$N$2,N(对接源_02物料!$B477)&gt;$N$3),0,1))</f>
        <v>0</v>
      </c>
      <c r="P1677">
        <f>IF(AND($K1677=1,AND(对接源_02物料!$X477="公司筐",N(对接源_02物料!$T477)&lt;&gt;0)),1,0)</f>
        <v>0</v>
      </c>
      <c r="Q1677">
        <f>N(Q1676)+$P1677</f>
        <v>14</v>
      </c>
      <c r="R1677">
        <f>IF(AND($K1677=1,AND(对接源_02物料!$X477="公司筐",N(对接源_02物料!$U477)&lt;&gt;0)),1,0)</f>
        <v>0</v>
      </c>
      <c r="S1677">
        <f>N(S1676)+$R1677</f>
        <v>1</v>
      </c>
      <c r="T1677">
        <f>IF(AND($K1677=1,AND(对接源_02物料!$X477="公司筐",N(对接源_02物料!$V477)&lt;&gt;0)),1,0)</f>
        <v>0</v>
      </c>
      <c r="U1677">
        <f>N(U1676)+$T1677</f>
        <v>47</v>
      </c>
      <c r="V1677">
        <f>IF(AND($L1677=1,AND(对接源_02物料!$X477="自备筐",N(对接源_02物料!$V477)&lt;&gt;0)),1,0)</f>
        <v>0</v>
      </c>
      <c r="W1677">
        <f>N(W1676)+$V1677</f>
        <v>11</v>
      </c>
      <c r="X1677">
        <f>IF(AND($L1677=1,AND(对接源_02物料!$X477="自备筐",N(对接源_02物料!$T477)&lt;&gt;0)),1,0)</f>
        <v>0</v>
      </c>
      <c r="Y1677">
        <f>N(Y1676)+$X1677</f>
        <v>0</v>
      </c>
      <c r="Z1677">
        <f>IF(AND($M1677=1,对接源_02物料!$D477="原料入库"),1,0)</f>
        <v>0</v>
      </c>
      <c r="AA1677">
        <f>N(AA1676)+$Z1677</f>
        <v>24</v>
      </c>
      <c r="AB1677">
        <f>IF(AND($M1677=1,LEFT(对接源_02物料!$D477,4)="原料出库"),1,0)</f>
        <v>0</v>
      </c>
      <c r="AC1677">
        <f>N(AC1676)+$AB1677</f>
        <v>0</v>
      </c>
      <c r="AD1677">
        <f>IF(AND($M1677=1,LEFT(对接源_02物料!$D477,4)="成品出库"),1,0)</f>
        <v>0</v>
      </c>
      <c r="AE1677">
        <f>N(AE1676)+$AD1677</f>
        <v>0</v>
      </c>
      <c r="AF1677">
        <f>IF(AND($N1677=1,AND(LEFT(对接源_02物料!$D477,4)="包装物料",N(对接源_02物料!$K477)&lt;&gt;0)),1,0)</f>
        <v>0</v>
      </c>
      <c r="AG1677">
        <f>N(AG1676)+$AF1677</f>
        <v>10</v>
      </c>
      <c r="AH1677">
        <f>IF(AND($N1677=1,AND(对接源_02物料!$D477="周转筐－销售出库",N(对接源_02物料!$K477)&lt;&gt;0)),1,0)</f>
        <v>0</v>
      </c>
      <c r="AI1677">
        <f>N(AI1676)+$AH1677</f>
        <v>0</v>
      </c>
      <c r="AL1677" t="n">
        <v>0</v>
      </c>
      <c r="AM1677">
        <f>N(AM1676)+$AL1677</f>
        <v>2</v>
      </c>
      <c r="AN1677">
        <f>""</f>
      </c>
      <c r="AO1677" t="n">
        <v>0</v>
      </c>
      <c r="AP1677">
        <f>N(AP1676)+$AO1677</f>
        <v>13</v>
      </c>
      <c r="AR1677">
        <f>IF(OR($AF1677=1,$AH1677=1),1,0)</f>
        <v>0</v>
      </c>
      <c r="AS1677">
        <f>N(AS1676)+$AR1677</f>
        <v>10</v>
      </c>
    </row>
    <row r="1678" s="127">
      <c r="A1678">
        <f>IF(对接源_02物料!$C478="","",对接源_02物料!$C478)</f>
      </c>
      <c r="B1678">
        <f>IF(A1678="",0,IF(MATCH(A1678,$A$4:$A$2403,0)=ROW()-3,1,0))</f>
        <v>0</v>
      </c>
      <c r="C1678">
        <f>N(C1677)+B1678</f>
        <v>26</v>
      </c>
      <c r="K1678">
        <f>IF(OR($K$1="",对接源_02物料!$C478="",对接源_02物料!$C478&lt;&gt;$K$1,对接源_02物料!$B478=""),0,IF(OR(N(对接源_02物料!$B478)&lt;$K$2,N(对接源_02物料!$B478)&gt;$K$3),0,1))</f>
        <v>0</v>
      </c>
      <c r="L1678">
        <f>IF(OR($L$1="",对接源_02物料!$C478="",对接源_02物料!$C478&lt;&gt;$L$1,对接源_02物料!$B478=""),0,IF(OR(N(对接源_02物料!$B478)&lt;$L$2,N(对接源_02物料!$B478)&gt;$L$3),0,1))</f>
        <v>0</v>
      </c>
      <c r="M1678">
        <f>IF(OR($M$1="",对接源_02物料!$C478="",对接源_02物料!$C478&lt;&gt;$M$1,对接源_02物料!$B478=""),0,IF(OR(N(对接源_02物料!$B478)&lt;$M$2,N(对接源_02物料!$B478)&gt;$M$3),0,1))</f>
        <v>0</v>
      </c>
      <c r="N1678">
        <f>IF(OR($N$1="",对接源_02物料!$C478="",对接源_02物料!$C478&lt;&gt;$N$1,对接源_02物料!$B478=""),0,IF(OR(N(对接源_02物料!$B478)&lt;$N$2,N(对接源_02物料!$B478)&gt;$N$3),0,1))</f>
        <v>0</v>
      </c>
      <c r="P1678">
        <f>IF(AND($K1678=1,AND(对接源_02物料!$X478="公司筐",N(对接源_02物料!$T478)&lt;&gt;0)),1,0)</f>
        <v>0</v>
      </c>
      <c r="Q1678">
        <f>N(Q1677)+$P1678</f>
        <v>14</v>
      </c>
      <c r="R1678">
        <f>IF(AND($K1678=1,AND(对接源_02物料!$X478="公司筐",N(对接源_02物料!$U478)&lt;&gt;0)),1,0)</f>
        <v>0</v>
      </c>
      <c r="S1678">
        <f>N(S1677)+$R1678</f>
        <v>1</v>
      </c>
      <c r="T1678">
        <f>IF(AND($K1678=1,AND(对接源_02物料!$X478="公司筐",N(对接源_02物料!$V478)&lt;&gt;0)),1,0)</f>
        <v>0</v>
      </c>
      <c r="U1678">
        <f>N(U1677)+$T1678</f>
        <v>47</v>
      </c>
      <c r="V1678">
        <f>IF(AND($L1678=1,AND(对接源_02物料!$X478="自备筐",N(对接源_02物料!$V478)&lt;&gt;0)),1,0)</f>
        <v>0</v>
      </c>
      <c r="W1678">
        <f>N(W1677)+$V1678</f>
        <v>11</v>
      </c>
      <c r="X1678">
        <f>IF(AND($L1678=1,AND(对接源_02物料!$X478="自备筐",N(对接源_02物料!$T478)&lt;&gt;0)),1,0)</f>
        <v>0</v>
      </c>
      <c r="Y1678">
        <f>N(Y1677)+$X1678</f>
        <v>0</v>
      </c>
      <c r="Z1678">
        <f>IF(AND($M1678=1,对接源_02物料!$D478="原料入库"),1,0)</f>
        <v>0</v>
      </c>
      <c r="AA1678">
        <f>N(AA1677)+$Z1678</f>
        <v>24</v>
      </c>
      <c r="AB1678">
        <f>IF(AND($M1678=1,LEFT(对接源_02物料!$D478,4)="原料出库"),1,0)</f>
        <v>0</v>
      </c>
      <c r="AC1678">
        <f>N(AC1677)+$AB1678</f>
        <v>0</v>
      </c>
      <c r="AD1678">
        <f>IF(AND($M1678=1,LEFT(对接源_02物料!$D478,4)="成品出库"),1,0)</f>
        <v>0</v>
      </c>
      <c r="AE1678">
        <f>N(AE1677)+$AD1678</f>
        <v>0</v>
      </c>
      <c r="AF1678">
        <f>IF(AND($N1678=1,AND(LEFT(对接源_02物料!$D478,4)="包装物料",N(对接源_02物料!$K478)&lt;&gt;0)),1,0)</f>
        <v>0</v>
      </c>
      <c r="AG1678">
        <f>N(AG1677)+$AF1678</f>
        <v>10</v>
      </c>
      <c r="AH1678">
        <f>IF(AND($N1678=1,AND(对接源_02物料!$D478="周转筐－销售出库",N(对接源_02物料!$K478)&lt;&gt;0)),1,0)</f>
        <v>0</v>
      </c>
      <c r="AI1678">
        <f>N(AI1677)+$AH1678</f>
        <v>0</v>
      </c>
      <c r="AL1678" t="n">
        <v>0</v>
      </c>
      <c r="AM1678">
        <f>N(AM1677)+$AL1678</f>
        <v>2</v>
      </c>
      <c r="AN1678">
        <f>""</f>
      </c>
      <c r="AO1678" t="n">
        <v>0</v>
      </c>
      <c r="AP1678">
        <f>N(AP1677)+$AO1678</f>
        <v>13</v>
      </c>
      <c r="AR1678">
        <f>IF(OR($AF1678=1,$AH1678=1),1,0)</f>
        <v>0</v>
      </c>
      <c r="AS1678">
        <f>N(AS1677)+$AR1678</f>
        <v>10</v>
      </c>
    </row>
    <row r="1679" s="127">
      <c r="A1679">
        <f>IF(对接源_02物料!$C479="","",对接源_02物料!$C479)</f>
      </c>
      <c r="B1679">
        <f>IF(A1679="",0,IF(MATCH(A1679,$A$4:$A$2403,0)=ROW()-3,1,0))</f>
        <v>0</v>
      </c>
      <c r="C1679">
        <f>N(C1678)+B1679</f>
        <v>26</v>
      </c>
      <c r="K1679">
        <f>IF(OR($K$1="",对接源_02物料!$C479="",对接源_02物料!$C479&lt;&gt;$K$1,对接源_02物料!$B479=""),0,IF(OR(N(对接源_02物料!$B479)&lt;$K$2,N(对接源_02物料!$B479)&gt;$K$3),0,1))</f>
        <v>0</v>
      </c>
      <c r="L1679">
        <f>IF(OR($L$1="",对接源_02物料!$C479="",对接源_02物料!$C479&lt;&gt;$L$1,对接源_02物料!$B479=""),0,IF(OR(N(对接源_02物料!$B479)&lt;$L$2,N(对接源_02物料!$B479)&gt;$L$3),0,1))</f>
        <v>0</v>
      </c>
      <c r="M1679">
        <f>IF(OR($M$1="",对接源_02物料!$C479="",对接源_02物料!$C479&lt;&gt;$M$1,对接源_02物料!$B479=""),0,IF(OR(N(对接源_02物料!$B479)&lt;$M$2,N(对接源_02物料!$B479)&gt;$M$3),0,1))</f>
        <v>0</v>
      </c>
      <c r="N1679">
        <f>IF(OR($N$1="",对接源_02物料!$C479="",对接源_02物料!$C479&lt;&gt;$N$1,对接源_02物料!$B479=""),0,IF(OR(N(对接源_02物料!$B479)&lt;$N$2,N(对接源_02物料!$B479)&gt;$N$3),0,1))</f>
        <v>0</v>
      </c>
      <c r="P1679">
        <f>IF(AND($K1679=1,AND(对接源_02物料!$X479="公司筐",N(对接源_02物料!$T479)&lt;&gt;0)),1,0)</f>
        <v>0</v>
      </c>
      <c r="Q1679">
        <f>N(Q1678)+$P1679</f>
        <v>14</v>
      </c>
      <c r="R1679">
        <f>IF(AND($K1679=1,AND(对接源_02物料!$X479="公司筐",N(对接源_02物料!$U479)&lt;&gt;0)),1,0)</f>
        <v>0</v>
      </c>
      <c r="S1679">
        <f>N(S1678)+$R1679</f>
        <v>1</v>
      </c>
      <c r="T1679">
        <f>IF(AND($K1679=1,AND(对接源_02物料!$X479="公司筐",N(对接源_02物料!$V479)&lt;&gt;0)),1,0)</f>
        <v>0</v>
      </c>
      <c r="U1679">
        <f>N(U1678)+$T1679</f>
        <v>47</v>
      </c>
      <c r="V1679">
        <f>IF(AND($L1679=1,AND(对接源_02物料!$X479="自备筐",N(对接源_02物料!$V479)&lt;&gt;0)),1,0)</f>
        <v>0</v>
      </c>
      <c r="W1679">
        <f>N(W1678)+$V1679</f>
        <v>11</v>
      </c>
      <c r="X1679">
        <f>IF(AND($L1679=1,AND(对接源_02物料!$X479="自备筐",N(对接源_02物料!$T479)&lt;&gt;0)),1,0)</f>
        <v>0</v>
      </c>
      <c r="Y1679">
        <f>N(Y1678)+$X1679</f>
        <v>0</v>
      </c>
      <c r="Z1679">
        <f>IF(AND($M1679=1,对接源_02物料!$D479="原料入库"),1,0)</f>
        <v>0</v>
      </c>
      <c r="AA1679">
        <f>N(AA1678)+$Z1679</f>
        <v>24</v>
      </c>
      <c r="AB1679">
        <f>IF(AND($M1679=1,LEFT(对接源_02物料!$D479,4)="原料出库"),1,0)</f>
        <v>0</v>
      </c>
      <c r="AC1679">
        <f>N(AC1678)+$AB1679</f>
        <v>0</v>
      </c>
      <c r="AD1679">
        <f>IF(AND($M1679=1,LEFT(对接源_02物料!$D479,4)="成品出库"),1,0)</f>
        <v>0</v>
      </c>
      <c r="AE1679">
        <f>N(AE1678)+$AD1679</f>
        <v>0</v>
      </c>
      <c r="AF1679">
        <f>IF(AND($N1679=1,AND(LEFT(对接源_02物料!$D479,4)="包装物料",N(对接源_02物料!$K479)&lt;&gt;0)),1,0)</f>
        <v>0</v>
      </c>
      <c r="AG1679">
        <f>N(AG1678)+$AF1679</f>
        <v>10</v>
      </c>
      <c r="AH1679">
        <f>IF(AND($N1679=1,AND(对接源_02物料!$D479="周转筐－销售出库",N(对接源_02物料!$K479)&lt;&gt;0)),1,0)</f>
        <v>0</v>
      </c>
      <c r="AI1679">
        <f>N(AI1678)+$AH1679</f>
        <v>0</v>
      </c>
      <c r="AL1679" t="n">
        <v>0</v>
      </c>
      <c r="AM1679">
        <f>N(AM1678)+$AL1679</f>
        <v>2</v>
      </c>
      <c r="AN1679">
        <f>""</f>
      </c>
      <c r="AO1679" t="n">
        <v>0</v>
      </c>
      <c r="AP1679">
        <f>N(AP1678)+$AO1679</f>
        <v>13</v>
      </c>
      <c r="AR1679">
        <f>IF(OR($AF1679=1,$AH1679=1),1,0)</f>
        <v>0</v>
      </c>
      <c r="AS1679">
        <f>N(AS1678)+$AR1679</f>
        <v>10</v>
      </c>
    </row>
    <row r="1680" s="127">
      <c r="A1680">
        <f>IF(对接源_02物料!$C480="","",对接源_02物料!$C480)</f>
      </c>
      <c r="B1680">
        <f>IF(A1680="",0,IF(MATCH(A1680,$A$4:$A$2403,0)=ROW()-3,1,0))</f>
        <v>0</v>
      </c>
      <c r="C1680">
        <f>N(C1679)+B1680</f>
        <v>26</v>
      </c>
      <c r="K1680">
        <f>IF(OR($K$1="",对接源_02物料!$C480="",对接源_02物料!$C480&lt;&gt;$K$1,对接源_02物料!$B480=""),0,IF(OR(N(对接源_02物料!$B480)&lt;$K$2,N(对接源_02物料!$B480)&gt;$K$3),0,1))</f>
        <v>0</v>
      </c>
      <c r="L1680">
        <f>IF(OR($L$1="",对接源_02物料!$C480="",对接源_02物料!$C480&lt;&gt;$L$1,对接源_02物料!$B480=""),0,IF(OR(N(对接源_02物料!$B480)&lt;$L$2,N(对接源_02物料!$B480)&gt;$L$3),0,1))</f>
        <v>0</v>
      </c>
      <c r="M1680">
        <f>IF(OR($M$1="",对接源_02物料!$C480="",对接源_02物料!$C480&lt;&gt;$M$1,对接源_02物料!$B480=""),0,IF(OR(N(对接源_02物料!$B480)&lt;$M$2,N(对接源_02物料!$B480)&gt;$M$3),0,1))</f>
        <v>0</v>
      </c>
      <c r="N1680">
        <f>IF(OR($N$1="",对接源_02物料!$C480="",对接源_02物料!$C480&lt;&gt;$N$1,对接源_02物料!$B480=""),0,IF(OR(N(对接源_02物料!$B480)&lt;$N$2,N(对接源_02物料!$B480)&gt;$N$3),0,1))</f>
        <v>0</v>
      </c>
      <c r="P1680">
        <f>IF(AND($K1680=1,AND(对接源_02物料!$X480="公司筐",N(对接源_02物料!$T480)&lt;&gt;0)),1,0)</f>
        <v>0</v>
      </c>
      <c r="Q1680">
        <f>N(Q1679)+$P1680</f>
        <v>14</v>
      </c>
      <c r="R1680">
        <f>IF(AND($K1680=1,AND(对接源_02物料!$X480="公司筐",N(对接源_02物料!$U480)&lt;&gt;0)),1,0)</f>
        <v>0</v>
      </c>
      <c r="S1680">
        <f>N(S1679)+$R1680</f>
        <v>1</v>
      </c>
      <c r="T1680">
        <f>IF(AND($K1680=1,AND(对接源_02物料!$X480="公司筐",N(对接源_02物料!$V480)&lt;&gt;0)),1,0)</f>
        <v>0</v>
      </c>
      <c r="U1680">
        <f>N(U1679)+$T1680</f>
        <v>47</v>
      </c>
      <c r="V1680">
        <f>IF(AND($L1680=1,AND(对接源_02物料!$X480="自备筐",N(对接源_02物料!$V480)&lt;&gt;0)),1,0)</f>
        <v>0</v>
      </c>
      <c r="W1680">
        <f>N(W1679)+$V1680</f>
        <v>11</v>
      </c>
      <c r="X1680">
        <f>IF(AND($L1680=1,AND(对接源_02物料!$X480="自备筐",N(对接源_02物料!$T480)&lt;&gt;0)),1,0)</f>
        <v>0</v>
      </c>
      <c r="Y1680">
        <f>N(Y1679)+$X1680</f>
        <v>0</v>
      </c>
      <c r="Z1680">
        <f>IF(AND($M1680=1,对接源_02物料!$D480="原料入库"),1,0)</f>
        <v>0</v>
      </c>
      <c r="AA1680">
        <f>N(AA1679)+$Z1680</f>
        <v>24</v>
      </c>
      <c r="AB1680">
        <f>IF(AND($M1680=1,LEFT(对接源_02物料!$D480,4)="原料出库"),1,0)</f>
        <v>0</v>
      </c>
      <c r="AC1680">
        <f>N(AC1679)+$AB1680</f>
        <v>0</v>
      </c>
      <c r="AD1680">
        <f>IF(AND($M1680=1,LEFT(对接源_02物料!$D480,4)="成品出库"),1,0)</f>
        <v>0</v>
      </c>
      <c r="AE1680">
        <f>N(AE1679)+$AD1680</f>
        <v>0</v>
      </c>
      <c r="AF1680">
        <f>IF(AND($N1680=1,AND(LEFT(对接源_02物料!$D480,4)="包装物料",N(对接源_02物料!$K480)&lt;&gt;0)),1,0)</f>
        <v>0</v>
      </c>
      <c r="AG1680">
        <f>N(AG1679)+$AF1680</f>
        <v>10</v>
      </c>
      <c r="AH1680">
        <f>IF(AND($N1680=1,AND(对接源_02物料!$D480="周转筐－销售出库",N(对接源_02物料!$K480)&lt;&gt;0)),1,0)</f>
        <v>0</v>
      </c>
      <c r="AI1680">
        <f>N(AI1679)+$AH1680</f>
        <v>0</v>
      </c>
      <c r="AL1680" t="n">
        <v>0</v>
      </c>
      <c r="AM1680">
        <f>N(AM1679)+$AL1680</f>
        <v>2</v>
      </c>
      <c r="AN1680">
        <f>""</f>
      </c>
      <c r="AO1680" t="n">
        <v>0</v>
      </c>
      <c r="AP1680">
        <f>N(AP1679)+$AO1680</f>
        <v>13</v>
      </c>
      <c r="AR1680">
        <f>IF(OR($AF1680=1,$AH1680=1),1,0)</f>
        <v>0</v>
      </c>
      <c r="AS1680">
        <f>N(AS1679)+$AR1680</f>
        <v>10</v>
      </c>
    </row>
    <row r="1681" s="127">
      <c r="A1681">
        <f>IF(对接源_02物料!$C481="","",对接源_02物料!$C481)</f>
      </c>
      <c r="B1681">
        <f>IF(A1681="",0,IF(MATCH(A1681,$A$4:$A$2403,0)=ROW()-3,1,0))</f>
        <v>0</v>
      </c>
      <c r="C1681">
        <f>N(C1680)+B1681</f>
        <v>26</v>
      </c>
      <c r="K1681">
        <f>IF(OR($K$1="",对接源_02物料!$C481="",对接源_02物料!$C481&lt;&gt;$K$1,对接源_02物料!$B481=""),0,IF(OR(N(对接源_02物料!$B481)&lt;$K$2,N(对接源_02物料!$B481)&gt;$K$3),0,1))</f>
        <v>0</v>
      </c>
      <c r="L1681">
        <f>IF(OR($L$1="",对接源_02物料!$C481="",对接源_02物料!$C481&lt;&gt;$L$1,对接源_02物料!$B481=""),0,IF(OR(N(对接源_02物料!$B481)&lt;$L$2,N(对接源_02物料!$B481)&gt;$L$3),0,1))</f>
        <v>0</v>
      </c>
      <c r="M1681">
        <f>IF(OR($M$1="",对接源_02物料!$C481="",对接源_02物料!$C481&lt;&gt;$M$1,对接源_02物料!$B481=""),0,IF(OR(N(对接源_02物料!$B481)&lt;$M$2,N(对接源_02物料!$B481)&gt;$M$3),0,1))</f>
        <v>0</v>
      </c>
      <c r="N1681">
        <f>IF(OR($N$1="",对接源_02物料!$C481="",对接源_02物料!$C481&lt;&gt;$N$1,对接源_02物料!$B481=""),0,IF(OR(N(对接源_02物料!$B481)&lt;$N$2,N(对接源_02物料!$B481)&gt;$N$3),0,1))</f>
        <v>0</v>
      </c>
      <c r="P1681">
        <f>IF(AND($K1681=1,AND(对接源_02物料!$X481="公司筐",N(对接源_02物料!$T481)&lt;&gt;0)),1,0)</f>
        <v>0</v>
      </c>
      <c r="Q1681">
        <f>N(Q1680)+$P1681</f>
        <v>14</v>
      </c>
      <c r="R1681">
        <f>IF(AND($K1681=1,AND(对接源_02物料!$X481="公司筐",N(对接源_02物料!$U481)&lt;&gt;0)),1,0)</f>
        <v>0</v>
      </c>
      <c r="S1681">
        <f>N(S1680)+$R1681</f>
        <v>1</v>
      </c>
      <c r="T1681">
        <f>IF(AND($K1681=1,AND(对接源_02物料!$X481="公司筐",N(对接源_02物料!$V481)&lt;&gt;0)),1,0)</f>
        <v>0</v>
      </c>
      <c r="U1681">
        <f>N(U1680)+$T1681</f>
        <v>47</v>
      </c>
      <c r="V1681">
        <f>IF(AND($L1681=1,AND(对接源_02物料!$X481="自备筐",N(对接源_02物料!$V481)&lt;&gt;0)),1,0)</f>
        <v>0</v>
      </c>
      <c r="W1681">
        <f>N(W1680)+$V1681</f>
        <v>11</v>
      </c>
      <c r="X1681">
        <f>IF(AND($L1681=1,AND(对接源_02物料!$X481="自备筐",N(对接源_02物料!$T481)&lt;&gt;0)),1,0)</f>
        <v>0</v>
      </c>
      <c r="Y1681">
        <f>N(Y1680)+$X1681</f>
        <v>0</v>
      </c>
      <c r="Z1681">
        <f>IF(AND($M1681=1,对接源_02物料!$D481="原料入库"),1,0)</f>
        <v>0</v>
      </c>
      <c r="AA1681">
        <f>N(AA1680)+$Z1681</f>
        <v>24</v>
      </c>
      <c r="AB1681">
        <f>IF(AND($M1681=1,LEFT(对接源_02物料!$D481,4)="原料出库"),1,0)</f>
        <v>0</v>
      </c>
      <c r="AC1681">
        <f>N(AC1680)+$AB1681</f>
        <v>0</v>
      </c>
      <c r="AD1681">
        <f>IF(AND($M1681=1,LEFT(对接源_02物料!$D481,4)="成品出库"),1,0)</f>
        <v>0</v>
      </c>
      <c r="AE1681">
        <f>N(AE1680)+$AD1681</f>
        <v>0</v>
      </c>
      <c r="AF1681">
        <f>IF(AND($N1681=1,AND(LEFT(对接源_02物料!$D481,4)="包装物料",N(对接源_02物料!$K481)&lt;&gt;0)),1,0)</f>
        <v>0</v>
      </c>
      <c r="AG1681">
        <f>N(AG1680)+$AF1681</f>
        <v>10</v>
      </c>
      <c r="AH1681">
        <f>IF(AND($N1681=1,AND(对接源_02物料!$D481="周转筐－销售出库",N(对接源_02物料!$K481)&lt;&gt;0)),1,0)</f>
        <v>0</v>
      </c>
      <c r="AI1681">
        <f>N(AI1680)+$AH1681</f>
        <v>0</v>
      </c>
      <c r="AL1681" t="n">
        <v>0</v>
      </c>
      <c r="AM1681">
        <f>N(AM1680)+$AL1681</f>
        <v>2</v>
      </c>
      <c r="AN1681">
        <f>""</f>
      </c>
      <c r="AO1681" t="n">
        <v>0</v>
      </c>
      <c r="AP1681">
        <f>N(AP1680)+$AO1681</f>
        <v>13</v>
      </c>
      <c r="AR1681">
        <f>IF(OR($AF1681=1,$AH1681=1),1,0)</f>
        <v>0</v>
      </c>
      <c r="AS1681">
        <f>N(AS1680)+$AR1681</f>
        <v>10</v>
      </c>
    </row>
    <row r="1682" s="127">
      <c r="A1682">
        <f>IF(对接源_02物料!$C482="","",对接源_02物料!$C482)</f>
      </c>
      <c r="B1682">
        <f>IF(A1682="",0,IF(MATCH(A1682,$A$4:$A$2403,0)=ROW()-3,1,0))</f>
        <v>0</v>
      </c>
      <c r="C1682">
        <f>N(C1681)+B1682</f>
        <v>26</v>
      </c>
      <c r="K1682">
        <f>IF(OR($K$1="",对接源_02物料!$C482="",对接源_02物料!$C482&lt;&gt;$K$1,对接源_02物料!$B482=""),0,IF(OR(N(对接源_02物料!$B482)&lt;$K$2,N(对接源_02物料!$B482)&gt;$K$3),0,1))</f>
        <v>0</v>
      </c>
      <c r="L1682">
        <f>IF(OR($L$1="",对接源_02物料!$C482="",对接源_02物料!$C482&lt;&gt;$L$1,对接源_02物料!$B482=""),0,IF(OR(N(对接源_02物料!$B482)&lt;$L$2,N(对接源_02物料!$B482)&gt;$L$3),0,1))</f>
        <v>0</v>
      </c>
      <c r="M1682">
        <f>IF(OR($M$1="",对接源_02物料!$C482="",对接源_02物料!$C482&lt;&gt;$M$1,对接源_02物料!$B482=""),0,IF(OR(N(对接源_02物料!$B482)&lt;$M$2,N(对接源_02物料!$B482)&gt;$M$3),0,1))</f>
        <v>0</v>
      </c>
      <c r="N1682">
        <f>IF(OR($N$1="",对接源_02物料!$C482="",对接源_02物料!$C482&lt;&gt;$N$1,对接源_02物料!$B482=""),0,IF(OR(N(对接源_02物料!$B482)&lt;$N$2,N(对接源_02物料!$B482)&gt;$N$3),0,1))</f>
        <v>0</v>
      </c>
      <c r="P1682">
        <f>IF(AND($K1682=1,AND(对接源_02物料!$X482="公司筐",N(对接源_02物料!$T482)&lt;&gt;0)),1,0)</f>
        <v>0</v>
      </c>
      <c r="Q1682">
        <f>N(Q1681)+$P1682</f>
        <v>14</v>
      </c>
      <c r="R1682">
        <f>IF(AND($K1682=1,AND(对接源_02物料!$X482="公司筐",N(对接源_02物料!$U482)&lt;&gt;0)),1,0)</f>
        <v>0</v>
      </c>
      <c r="S1682">
        <f>N(S1681)+$R1682</f>
        <v>1</v>
      </c>
      <c r="T1682">
        <f>IF(AND($K1682=1,AND(对接源_02物料!$X482="公司筐",N(对接源_02物料!$V482)&lt;&gt;0)),1,0)</f>
        <v>0</v>
      </c>
      <c r="U1682">
        <f>N(U1681)+$T1682</f>
        <v>47</v>
      </c>
      <c r="V1682">
        <f>IF(AND($L1682=1,AND(对接源_02物料!$X482="自备筐",N(对接源_02物料!$V482)&lt;&gt;0)),1,0)</f>
        <v>0</v>
      </c>
      <c r="W1682">
        <f>N(W1681)+$V1682</f>
        <v>11</v>
      </c>
      <c r="X1682">
        <f>IF(AND($L1682=1,AND(对接源_02物料!$X482="自备筐",N(对接源_02物料!$T482)&lt;&gt;0)),1,0)</f>
        <v>0</v>
      </c>
      <c r="Y1682">
        <f>N(Y1681)+$X1682</f>
        <v>0</v>
      </c>
      <c r="Z1682">
        <f>IF(AND($M1682=1,对接源_02物料!$D482="原料入库"),1,0)</f>
        <v>0</v>
      </c>
      <c r="AA1682">
        <f>N(AA1681)+$Z1682</f>
        <v>24</v>
      </c>
      <c r="AB1682">
        <f>IF(AND($M1682=1,LEFT(对接源_02物料!$D482,4)="原料出库"),1,0)</f>
        <v>0</v>
      </c>
      <c r="AC1682">
        <f>N(AC1681)+$AB1682</f>
        <v>0</v>
      </c>
      <c r="AD1682">
        <f>IF(AND($M1682=1,LEFT(对接源_02物料!$D482,4)="成品出库"),1,0)</f>
        <v>0</v>
      </c>
      <c r="AE1682">
        <f>N(AE1681)+$AD1682</f>
        <v>0</v>
      </c>
      <c r="AF1682">
        <f>IF(AND($N1682=1,AND(LEFT(对接源_02物料!$D482,4)="包装物料",N(对接源_02物料!$K482)&lt;&gt;0)),1,0)</f>
        <v>0</v>
      </c>
      <c r="AG1682">
        <f>N(AG1681)+$AF1682</f>
        <v>10</v>
      </c>
      <c r="AH1682">
        <f>IF(AND($N1682=1,AND(对接源_02物料!$D482="周转筐－销售出库",N(对接源_02物料!$K482)&lt;&gt;0)),1,0)</f>
        <v>0</v>
      </c>
      <c r="AI1682">
        <f>N(AI1681)+$AH1682</f>
        <v>0</v>
      </c>
      <c r="AL1682" t="n">
        <v>0</v>
      </c>
      <c r="AM1682">
        <f>N(AM1681)+$AL1682</f>
        <v>2</v>
      </c>
      <c r="AN1682">
        <f>""</f>
      </c>
      <c r="AO1682" t="n">
        <v>0</v>
      </c>
      <c r="AP1682">
        <f>N(AP1681)+$AO1682</f>
        <v>13</v>
      </c>
      <c r="AR1682">
        <f>IF(OR($AF1682=1,$AH1682=1),1,0)</f>
        <v>0</v>
      </c>
      <c r="AS1682">
        <f>N(AS1681)+$AR1682</f>
        <v>10</v>
      </c>
    </row>
    <row r="1683" s="127">
      <c r="A1683">
        <f>IF(对接源_02物料!$C483="","",对接源_02物料!$C483)</f>
      </c>
      <c r="B1683">
        <f>IF(A1683="",0,IF(MATCH(A1683,$A$4:$A$2403,0)=ROW()-3,1,0))</f>
        <v>0</v>
      </c>
      <c r="C1683">
        <f>N(C1682)+B1683</f>
        <v>26</v>
      </c>
      <c r="K1683">
        <f>IF(OR($K$1="",对接源_02物料!$C483="",对接源_02物料!$C483&lt;&gt;$K$1,对接源_02物料!$B483=""),0,IF(OR(N(对接源_02物料!$B483)&lt;$K$2,N(对接源_02物料!$B483)&gt;$K$3),0,1))</f>
        <v>0</v>
      </c>
      <c r="L1683">
        <f>IF(OR($L$1="",对接源_02物料!$C483="",对接源_02物料!$C483&lt;&gt;$L$1,对接源_02物料!$B483=""),0,IF(OR(N(对接源_02物料!$B483)&lt;$L$2,N(对接源_02物料!$B483)&gt;$L$3),0,1))</f>
        <v>0</v>
      </c>
      <c r="M1683">
        <f>IF(OR($M$1="",对接源_02物料!$C483="",对接源_02物料!$C483&lt;&gt;$M$1,对接源_02物料!$B483=""),0,IF(OR(N(对接源_02物料!$B483)&lt;$M$2,N(对接源_02物料!$B483)&gt;$M$3),0,1))</f>
        <v>0</v>
      </c>
      <c r="N1683">
        <f>IF(OR($N$1="",对接源_02物料!$C483="",对接源_02物料!$C483&lt;&gt;$N$1,对接源_02物料!$B483=""),0,IF(OR(N(对接源_02物料!$B483)&lt;$N$2,N(对接源_02物料!$B483)&gt;$N$3),0,1))</f>
        <v>0</v>
      </c>
      <c r="P1683">
        <f>IF(AND($K1683=1,AND(对接源_02物料!$X483="公司筐",N(对接源_02物料!$T483)&lt;&gt;0)),1,0)</f>
        <v>0</v>
      </c>
      <c r="Q1683">
        <f>N(Q1682)+$P1683</f>
        <v>14</v>
      </c>
      <c r="R1683">
        <f>IF(AND($K1683=1,AND(对接源_02物料!$X483="公司筐",N(对接源_02物料!$U483)&lt;&gt;0)),1,0)</f>
        <v>0</v>
      </c>
      <c r="S1683">
        <f>N(S1682)+$R1683</f>
        <v>1</v>
      </c>
      <c r="T1683">
        <f>IF(AND($K1683=1,AND(对接源_02物料!$X483="公司筐",N(对接源_02物料!$V483)&lt;&gt;0)),1,0)</f>
        <v>0</v>
      </c>
      <c r="U1683">
        <f>N(U1682)+$T1683</f>
        <v>47</v>
      </c>
      <c r="V1683">
        <f>IF(AND($L1683=1,AND(对接源_02物料!$X483="自备筐",N(对接源_02物料!$V483)&lt;&gt;0)),1,0)</f>
        <v>0</v>
      </c>
      <c r="W1683">
        <f>N(W1682)+$V1683</f>
        <v>11</v>
      </c>
      <c r="X1683">
        <f>IF(AND($L1683=1,AND(对接源_02物料!$X483="自备筐",N(对接源_02物料!$T483)&lt;&gt;0)),1,0)</f>
        <v>0</v>
      </c>
      <c r="Y1683">
        <f>N(Y1682)+$X1683</f>
        <v>0</v>
      </c>
      <c r="Z1683">
        <f>IF(AND($M1683=1,对接源_02物料!$D483="原料入库"),1,0)</f>
        <v>0</v>
      </c>
      <c r="AA1683">
        <f>N(AA1682)+$Z1683</f>
        <v>24</v>
      </c>
      <c r="AB1683">
        <f>IF(AND($M1683=1,LEFT(对接源_02物料!$D483,4)="原料出库"),1,0)</f>
        <v>0</v>
      </c>
      <c r="AC1683">
        <f>N(AC1682)+$AB1683</f>
        <v>0</v>
      </c>
      <c r="AD1683">
        <f>IF(AND($M1683=1,LEFT(对接源_02物料!$D483,4)="成品出库"),1,0)</f>
        <v>0</v>
      </c>
      <c r="AE1683">
        <f>N(AE1682)+$AD1683</f>
        <v>0</v>
      </c>
      <c r="AF1683">
        <f>IF(AND($N1683=1,AND(LEFT(对接源_02物料!$D483,4)="包装物料",N(对接源_02物料!$K483)&lt;&gt;0)),1,0)</f>
        <v>0</v>
      </c>
      <c r="AG1683">
        <f>N(AG1682)+$AF1683</f>
        <v>10</v>
      </c>
      <c r="AH1683">
        <f>IF(AND($N1683=1,AND(对接源_02物料!$D483="周转筐－销售出库",N(对接源_02物料!$K483)&lt;&gt;0)),1,0)</f>
        <v>0</v>
      </c>
      <c r="AI1683">
        <f>N(AI1682)+$AH1683</f>
        <v>0</v>
      </c>
      <c r="AL1683" t="n">
        <v>0</v>
      </c>
      <c r="AM1683">
        <f>N(AM1682)+$AL1683</f>
        <v>2</v>
      </c>
      <c r="AN1683">
        <f>""</f>
      </c>
      <c r="AO1683" t="n">
        <v>0</v>
      </c>
      <c r="AP1683">
        <f>N(AP1682)+$AO1683</f>
        <v>13</v>
      </c>
      <c r="AR1683">
        <f>IF(OR($AF1683=1,$AH1683=1),1,0)</f>
        <v>0</v>
      </c>
      <c r="AS1683">
        <f>N(AS1682)+$AR1683</f>
        <v>10</v>
      </c>
    </row>
    <row r="1684" s="127">
      <c r="A1684">
        <f>IF(对接源_02物料!$C484="","",对接源_02物料!$C484)</f>
      </c>
      <c r="B1684">
        <f>IF(A1684="",0,IF(MATCH(A1684,$A$4:$A$2403,0)=ROW()-3,1,0))</f>
        <v>0</v>
      </c>
      <c r="C1684">
        <f>N(C1683)+B1684</f>
        <v>26</v>
      </c>
      <c r="K1684">
        <f>IF(OR($K$1="",对接源_02物料!$C484="",对接源_02物料!$C484&lt;&gt;$K$1,对接源_02物料!$B484=""),0,IF(OR(N(对接源_02物料!$B484)&lt;$K$2,N(对接源_02物料!$B484)&gt;$K$3),0,1))</f>
        <v>0</v>
      </c>
      <c r="L1684">
        <f>IF(OR($L$1="",对接源_02物料!$C484="",对接源_02物料!$C484&lt;&gt;$L$1,对接源_02物料!$B484=""),0,IF(OR(N(对接源_02物料!$B484)&lt;$L$2,N(对接源_02物料!$B484)&gt;$L$3),0,1))</f>
        <v>0</v>
      </c>
      <c r="M1684">
        <f>IF(OR($M$1="",对接源_02物料!$C484="",对接源_02物料!$C484&lt;&gt;$M$1,对接源_02物料!$B484=""),0,IF(OR(N(对接源_02物料!$B484)&lt;$M$2,N(对接源_02物料!$B484)&gt;$M$3),0,1))</f>
        <v>0</v>
      </c>
      <c r="N1684">
        <f>IF(OR($N$1="",对接源_02物料!$C484="",对接源_02物料!$C484&lt;&gt;$N$1,对接源_02物料!$B484=""),0,IF(OR(N(对接源_02物料!$B484)&lt;$N$2,N(对接源_02物料!$B484)&gt;$N$3),0,1))</f>
        <v>0</v>
      </c>
      <c r="P1684">
        <f>IF(AND($K1684=1,AND(对接源_02物料!$X484="公司筐",N(对接源_02物料!$T484)&lt;&gt;0)),1,0)</f>
        <v>0</v>
      </c>
      <c r="Q1684">
        <f>N(Q1683)+$P1684</f>
        <v>14</v>
      </c>
      <c r="R1684">
        <f>IF(AND($K1684=1,AND(对接源_02物料!$X484="公司筐",N(对接源_02物料!$U484)&lt;&gt;0)),1,0)</f>
        <v>0</v>
      </c>
      <c r="S1684">
        <f>N(S1683)+$R1684</f>
        <v>1</v>
      </c>
      <c r="T1684">
        <f>IF(AND($K1684=1,AND(对接源_02物料!$X484="公司筐",N(对接源_02物料!$V484)&lt;&gt;0)),1,0)</f>
        <v>0</v>
      </c>
      <c r="U1684">
        <f>N(U1683)+$T1684</f>
        <v>47</v>
      </c>
      <c r="V1684">
        <f>IF(AND($L1684=1,AND(对接源_02物料!$X484="自备筐",N(对接源_02物料!$V484)&lt;&gt;0)),1,0)</f>
        <v>0</v>
      </c>
      <c r="W1684">
        <f>N(W1683)+$V1684</f>
        <v>11</v>
      </c>
      <c r="X1684">
        <f>IF(AND($L1684=1,AND(对接源_02物料!$X484="自备筐",N(对接源_02物料!$T484)&lt;&gt;0)),1,0)</f>
        <v>0</v>
      </c>
      <c r="Y1684">
        <f>N(Y1683)+$X1684</f>
        <v>0</v>
      </c>
      <c r="Z1684">
        <f>IF(AND($M1684=1,对接源_02物料!$D484="原料入库"),1,0)</f>
        <v>0</v>
      </c>
      <c r="AA1684">
        <f>N(AA1683)+$Z1684</f>
        <v>24</v>
      </c>
      <c r="AB1684">
        <f>IF(AND($M1684=1,LEFT(对接源_02物料!$D484,4)="原料出库"),1,0)</f>
        <v>0</v>
      </c>
      <c r="AC1684">
        <f>N(AC1683)+$AB1684</f>
        <v>0</v>
      </c>
      <c r="AD1684">
        <f>IF(AND($M1684=1,LEFT(对接源_02物料!$D484,4)="成品出库"),1,0)</f>
        <v>0</v>
      </c>
      <c r="AE1684">
        <f>N(AE1683)+$AD1684</f>
        <v>0</v>
      </c>
      <c r="AF1684">
        <f>IF(AND($N1684=1,AND(LEFT(对接源_02物料!$D484,4)="包装物料",N(对接源_02物料!$K484)&lt;&gt;0)),1,0)</f>
        <v>0</v>
      </c>
      <c r="AG1684">
        <f>N(AG1683)+$AF1684</f>
        <v>10</v>
      </c>
      <c r="AH1684">
        <f>IF(AND($N1684=1,AND(对接源_02物料!$D484="周转筐－销售出库",N(对接源_02物料!$K484)&lt;&gt;0)),1,0)</f>
        <v>0</v>
      </c>
      <c r="AI1684">
        <f>N(AI1683)+$AH1684</f>
        <v>0</v>
      </c>
      <c r="AL1684" t="n">
        <v>0</v>
      </c>
      <c r="AM1684">
        <f>N(AM1683)+$AL1684</f>
        <v>2</v>
      </c>
      <c r="AN1684">
        <f>""</f>
      </c>
      <c r="AO1684" t="n">
        <v>0</v>
      </c>
      <c r="AP1684">
        <f>N(AP1683)+$AO1684</f>
        <v>13</v>
      </c>
      <c r="AR1684">
        <f>IF(OR($AF1684=1,$AH1684=1),1,0)</f>
        <v>0</v>
      </c>
      <c r="AS1684">
        <f>N(AS1683)+$AR1684</f>
        <v>10</v>
      </c>
    </row>
    <row r="1685" s="127">
      <c r="A1685">
        <f>IF(对接源_02物料!$C485="","",对接源_02物料!$C485)</f>
      </c>
      <c r="B1685">
        <f>IF(A1685="",0,IF(MATCH(A1685,$A$4:$A$2403,0)=ROW()-3,1,0))</f>
        <v>0</v>
      </c>
      <c r="C1685">
        <f>N(C1684)+B1685</f>
        <v>26</v>
      </c>
      <c r="K1685">
        <f>IF(OR($K$1="",对接源_02物料!$C485="",对接源_02物料!$C485&lt;&gt;$K$1,对接源_02物料!$B485=""),0,IF(OR(N(对接源_02物料!$B485)&lt;$K$2,N(对接源_02物料!$B485)&gt;$K$3),0,1))</f>
        <v>0</v>
      </c>
      <c r="L1685">
        <f>IF(OR($L$1="",对接源_02物料!$C485="",对接源_02物料!$C485&lt;&gt;$L$1,对接源_02物料!$B485=""),0,IF(OR(N(对接源_02物料!$B485)&lt;$L$2,N(对接源_02物料!$B485)&gt;$L$3),0,1))</f>
        <v>0</v>
      </c>
      <c r="M1685">
        <f>IF(OR($M$1="",对接源_02物料!$C485="",对接源_02物料!$C485&lt;&gt;$M$1,对接源_02物料!$B485=""),0,IF(OR(N(对接源_02物料!$B485)&lt;$M$2,N(对接源_02物料!$B485)&gt;$M$3),0,1))</f>
        <v>0</v>
      </c>
      <c r="N1685">
        <f>IF(OR($N$1="",对接源_02物料!$C485="",对接源_02物料!$C485&lt;&gt;$N$1,对接源_02物料!$B485=""),0,IF(OR(N(对接源_02物料!$B485)&lt;$N$2,N(对接源_02物料!$B485)&gt;$N$3),0,1))</f>
        <v>0</v>
      </c>
      <c r="P1685">
        <f>IF(AND($K1685=1,AND(对接源_02物料!$X485="公司筐",N(对接源_02物料!$T485)&lt;&gt;0)),1,0)</f>
        <v>0</v>
      </c>
      <c r="Q1685">
        <f>N(Q1684)+$P1685</f>
        <v>14</v>
      </c>
      <c r="R1685">
        <f>IF(AND($K1685=1,AND(对接源_02物料!$X485="公司筐",N(对接源_02物料!$U485)&lt;&gt;0)),1,0)</f>
        <v>0</v>
      </c>
      <c r="S1685">
        <f>N(S1684)+$R1685</f>
        <v>1</v>
      </c>
      <c r="T1685">
        <f>IF(AND($K1685=1,AND(对接源_02物料!$X485="公司筐",N(对接源_02物料!$V485)&lt;&gt;0)),1,0)</f>
        <v>0</v>
      </c>
      <c r="U1685">
        <f>N(U1684)+$T1685</f>
        <v>47</v>
      </c>
      <c r="V1685">
        <f>IF(AND($L1685=1,AND(对接源_02物料!$X485="自备筐",N(对接源_02物料!$V485)&lt;&gt;0)),1,0)</f>
        <v>0</v>
      </c>
      <c r="W1685">
        <f>N(W1684)+$V1685</f>
        <v>11</v>
      </c>
      <c r="X1685">
        <f>IF(AND($L1685=1,AND(对接源_02物料!$X485="自备筐",N(对接源_02物料!$T485)&lt;&gt;0)),1,0)</f>
        <v>0</v>
      </c>
      <c r="Y1685">
        <f>N(Y1684)+$X1685</f>
        <v>0</v>
      </c>
      <c r="Z1685">
        <f>IF(AND($M1685=1,对接源_02物料!$D485="原料入库"),1,0)</f>
        <v>0</v>
      </c>
      <c r="AA1685">
        <f>N(AA1684)+$Z1685</f>
        <v>24</v>
      </c>
      <c r="AB1685">
        <f>IF(AND($M1685=1,LEFT(对接源_02物料!$D485,4)="原料出库"),1,0)</f>
        <v>0</v>
      </c>
      <c r="AC1685">
        <f>N(AC1684)+$AB1685</f>
        <v>0</v>
      </c>
      <c r="AD1685">
        <f>IF(AND($M1685=1,LEFT(对接源_02物料!$D485,4)="成品出库"),1,0)</f>
        <v>0</v>
      </c>
      <c r="AE1685">
        <f>N(AE1684)+$AD1685</f>
        <v>0</v>
      </c>
      <c r="AF1685">
        <f>IF(AND($N1685=1,AND(LEFT(对接源_02物料!$D485,4)="包装物料",N(对接源_02物料!$K485)&lt;&gt;0)),1,0)</f>
        <v>0</v>
      </c>
      <c r="AG1685">
        <f>N(AG1684)+$AF1685</f>
        <v>10</v>
      </c>
      <c r="AH1685">
        <f>IF(AND($N1685=1,AND(对接源_02物料!$D485="周转筐－销售出库",N(对接源_02物料!$K485)&lt;&gt;0)),1,0)</f>
        <v>0</v>
      </c>
      <c r="AI1685">
        <f>N(AI1684)+$AH1685</f>
        <v>0</v>
      </c>
      <c r="AL1685" t="n">
        <v>0</v>
      </c>
      <c r="AM1685">
        <f>N(AM1684)+$AL1685</f>
        <v>2</v>
      </c>
      <c r="AN1685">
        <f>""</f>
      </c>
      <c r="AO1685" t="n">
        <v>0</v>
      </c>
      <c r="AP1685">
        <f>N(AP1684)+$AO1685</f>
        <v>13</v>
      </c>
      <c r="AR1685">
        <f>IF(OR($AF1685=1,$AH1685=1),1,0)</f>
        <v>0</v>
      </c>
      <c r="AS1685">
        <f>N(AS1684)+$AR1685</f>
        <v>10</v>
      </c>
    </row>
    <row r="1686" s="127">
      <c r="A1686">
        <f>IF(对接源_02物料!$C486="","",对接源_02物料!$C486)</f>
      </c>
      <c r="B1686">
        <f>IF(A1686="",0,IF(MATCH(A1686,$A$4:$A$2403,0)=ROW()-3,1,0))</f>
        <v>0</v>
      </c>
      <c r="C1686">
        <f>N(C1685)+B1686</f>
        <v>26</v>
      </c>
      <c r="K1686">
        <f>IF(OR($K$1="",对接源_02物料!$C486="",对接源_02物料!$C486&lt;&gt;$K$1,对接源_02物料!$B486=""),0,IF(OR(N(对接源_02物料!$B486)&lt;$K$2,N(对接源_02物料!$B486)&gt;$K$3),0,1))</f>
        <v>0</v>
      </c>
      <c r="L1686">
        <f>IF(OR($L$1="",对接源_02物料!$C486="",对接源_02物料!$C486&lt;&gt;$L$1,对接源_02物料!$B486=""),0,IF(OR(N(对接源_02物料!$B486)&lt;$L$2,N(对接源_02物料!$B486)&gt;$L$3),0,1))</f>
        <v>0</v>
      </c>
      <c r="M1686">
        <f>IF(OR($M$1="",对接源_02物料!$C486="",对接源_02物料!$C486&lt;&gt;$M$1,对接源_02物料!$B486=""),0,IF(OR(N(对接源_02物料!$B486)&lt;$M$2,N(对接源_02物料!$B486)&gt;$M$3),0,1))</f>
        <v>0</v>
      </c>
      <c r="N1686">
        <f>IF(OR($N$1="",对接源_02物料!$C486="",对接源_02物料!$C486&lt;&gt;$N$1,对接源_02物料!$B486=""),0,IF(OR(N(对接源_02物料!$B486)&lt;$N$2,N(对接源_02物料!$B486)&gt;$N$3),0,1))</f>
        <v>0</v>
      </c>
      <c r="P1686">
        <f>IF(AND($K1686=1,AND(对接源_02物料!$X486="公司筐",N(对接源_02物料!$T486)&lt;&gt;0)),1,0)</f>
        <v>0</v>
      </c>
      <c r="Q1686">
        <f>N(Q1685)+$P1686</f>
        <v>14</v>
      </c>
      <c r="R1686">
        <f>IF(AND($K1686=1,AND(对接源_02物料!$X486="公司筐",N(对接源_02物料!$U486)&lt;&gt;0)),1,0)</f>
        <v>0</v>
      </c>
      <c r="S1686">
        <f>N(S1685)+$R1686</f>
        <v>1</v>
      </c>
      <c r="T1686">
        <f>IF(AND($K1686=1,AND(对接源_02物料!$X486="公司筐",N(对接源_02物料!$V486)&lt;&gt;0)),1,0)</f>
        <v>0</v>
      </c>
      <c r="U1686">
        <f>N(U1685)+$T1686</f>
        <v>47</v>
      </c>
      <c r="V1686">
        <f>IF(AND($L1686=1,AND(对接源_02物料!$X486="自备筐",N(对接源_02物料!$V486)&lt;&gt;0)),1,0)</f>
        <v>0</v>
      </c>
      <c r="W1686">
        <f>N(W1685)+$V1686</f>
        <v>11</v>
      </c>
      <c r="X1686">
        <f>IF(AND($L1686=1,AND(对接源_02物料!$X486="自备筐",N(对接源_02物料!$T486)&lt;&gt;0)),1,0)</f>
        <v>0</v>
      </c>
      <c r="Y1686">
        <f>N(Y1685)+$X1686</f>
        <v>0</v>
      </c>
      <c r="Z1686">
        <f>IF(AND($M1686=1,对接源_02物料!$D486="原料入库"),1,0)</f>
        <v>0</v>
      </c>
      <c r="AA1686">
        <f>N(AA1685)+$Z1686</f>
        <v>24</v>
      </c>
      <c r="AB1686">
        <f>IF(AND($M1686=1,LEFT(对接源_02物料!$D486,4)="原料出库"),1,0)</f>
        <v>0</v>
      </c>
      <c r="AC1686">
        <f>N(AC1685)+$AB1686</f>
        <v>0</v>
      </c>
      <c r="AD1686">
        <f>IF(AND($M1686=1,LEFT(对接源_02物料!$D486,4)="成品出库"),1,0)</f>
        <v>0</v>
      </c>
      <c r="AE1686">
        <f>N(AE1685)+$AD1686</f>
        <v>0</v>
      </c>
      <c r="AF1686">
        <f>IF(AND($N1686=1,AND(LEFT(对接源_02物料!$D486,4)="包装物料",N(对接源_02物料!$K486)&lt;&gt;0)),1,0)</f>
        <v>0</v>
      </c>
      <c r="AG1686">
        <f>N(AG1685)+$AF1686</f>
        <v>10</v>
      </c>
      <c r="AH1686">
        <f>IF(AND($N1686=1,AND(对接源_02物料!$D486="周转筐－销售出库",N(对接源_02物料!$K486)&lt;&gt;0)),1,0)</f>
        <v>0</v>
      </c>
      <c r="AI1686">
        <f>N(AI1685)+$AH1686</f>
        <v>0</v>
      </c>
      <c r="AL1686" t="n">
        <v>0</v>
      </c>
      <c r="AM1686">
        <f>N(AM1685)+$AL1686</f>
        <v>2</v>
      </c>
      <c r="AN1686">
        <f>""</f>
      </c>
      <c r="AO1686" t="n">
        <v>0</v>
      </c>
      <c r="AP1686">
        <f>N(AP1685)+$AO1686</f>
        <v>13</v>
      </c>
      <c r="AR1686">
        <f>IF(OR($AF1686=1,$AH1686=1),1,0)</f>
        <v>0</v>
      </c>
      <c r="AS1686">
        <f>N(AS1685)+$AR1686</f>
        <v>10</v>
      </c>
    </row>
    <row r="1687" s="127">
      <c r="A1687">
        <f>IF(对接源_02物料!$C487="","",对接源_02物料!$C487)</f>
      </c>
      <c r="B1687">
        <f>IF(A1687="",0,IF(MATCH(A1687,$A$4:$A$2403,0)=ROW()-3,1,0))</f>
        <v>0</v>
      </c>
      <c r="C1687">
        <f>N(C1686)+B1687</f>
        <v>26</v>
      </c>
      <c r="K1687">
        <f>IF(OR($K$1="",对接源_02物料!$C487="",对接源_02物料!$C487&lt;&gt;$K$1,对接源_02物料!$B487=""),0,IF(OR(N(对接源_02物料!$B487)&lt;$K$2,N(对接源_02物料!$B487)&gt;$K$3),0,1))</f>
        <v>0</v>
      </c>
      <c r="L1687">
        <f>IF(OR($L$1="",对接源_02物料!$C487="",对接源_02物料!$C487&lt;&gt;$L$1,对接源_02物料!$B487=""),0,IF(OR(N(对接源_02物料!$B487)&lt;$L$2,N(对接源_02物料!$B487)&gt;$L$3),0,1))</f>
        <v>0</v>
      </c>
      <c r="M1687">
        <f>IF(OR($M$1="",对接源_02物料!$C487="",对接源_02物料!$C487&lt;&gt;$M$1,对接源_02物料!$B487=""),0,IF(OR(N(对接源_02物料!$B487)&lt;$M$2,N(对接源_02物料!$B487)&gt;$M$3),0,1))</f>
        <v>0</v>
      </c>
      <c r="N1687">
        <f>IF(OR($N$1="",对接源_02物料!$C487="",对接源_02物料!$C487&lt;&gt;$N$1,对接源_02物料!$B487=""),0,IF(OR(N(对接源_02物料!$B487)&lt;$N$2,N(对接源_02物料!$B487)&gt;$N$3),0,1))</f>
        <v>0</v>
      </c>
      <c r="P1687">
        <f>IF(AND($K1687=1,AND(对接源_02物料!$X487="公司筐",N(对接源_02物料!$T487)&lt;&gt;0)),1,0)</f>
        <v>0</v>
      </c>
      <c r="Q1687">
        <f>N(Q1686)+$P1687</f>
        <v>14</v>
      </c>
      <c r="R1687">
        <f>IF(AND($K1687=1,AND(对接源_02物料!$X487="公司筐",N(对接源_02物料!$U487)&lt;&gt;0)),1,0)</f>
        <v>0</v>
      </c>
      <c r="S1687">
        <f>N(S1686)+$R1687</f>
        <v>1</v>
      </c>
      <c r="T1687">
        <f>IF(AND($K1687=1,AND(对接源_02物料!$X487="公司筐",N(对接源_02物料!$V487)&lt;&gt;0)),1,0)</f>
        <v>0</v>
      </c>
      <c r="U1687">
        <f>N(U1686)+$T1687</f>
        <v>47</v>
      </c>
      <c r="V1687">
        <f>IF(AND($L1687=1,AND(对接源_02物料!$X487="自备筐",N(对接源_02物料!$V487)&lt;&gt;0)),1,0)</f>
        <v>0</v>
      </c>
      <c r="W1687">
        <f>N(W1686)+$V1687</f>
        <v>11</v>
      </c>
      <c r="X1687">
        <f>IF(AND($L1687=1,AND(对接源_02物料!$X487="自备筐",N(对接源_02物料!$T487)&lt;&gt;0)),1,0)</f>
        <v>0</v>
      </c>
      <c r="Y1687">
        <f>N(Y1686)+$X1687</f>
        <v>0</v>
      </c>
      <c r="Z1687">
        <f>IF(AND($M1687=1,对接源_02物料!$D487="原料入库"),1,0)</f>
        <v>0</v>
      </c>
      <c r="AA1687">
        <f>N(AA1686)+$Z1687</f>
        <v>24</v>
      </c>
      <c r="AB1687">
        <f>IF(AND($M1687=1,LEFT(对接源_02物料!$D487,4)="原料出库"),1,0)</f>
        <v>0</v>
      </c>
      <c r="AC1687">
        <f>N(AC1686)+$AB1687</f>
        <v>0</v>
      </c>
      <c r="AD1687">
        <f>IF(AND($M1687=1,LEFT(对接源_02物料!$D487,4)="成品出库"),1,0)</f>
        <v>0</v>
      </c>
      <c r="AE1687">
        <f>N(AE1686)+$AD1687</f>
        <v>0</v>
      </c>
      <c r="AF1687">
        <f>IF(AND($N1687=1,AND(LEFT(对接源_02物料!$D487,4)="包装物料",N(对接源_02物料!$K487)&lt;&gt;0)),1,0)</f>
        <v>0</v>
      </c>
      <c r="AG1687">
        <f>N(AG1686)+$AF1687</f>
        <v>10</v>
      </c>
      <c r="AH1687">
        <f>IF(AND($N1687=1,AND(对接源_02物料!$D487="周转筐－销售出库",N(对接源_02物料!$K487)&lt;&gt;0)),1,0)</f>
        <v>0</v>
      </c>
      <c r="AI1687">
        <f>N(AI1686)+$AH1687</f>
        <v>0</v>
      </c>
      <c r="AL1687" t="n">
        <v>0</v>
      </c>
      <c r="AM1687">
        <f>N(AM1686)+$AL1687</f>
        <v>2</v>
      </c>
      <c r="AN1687">
        <f>""</f>
      </c>
      <c r="AO1687" t="n">
        <v>0</v>
      </c>
      <c r="AP1687">
        <f>N(AP1686)+$AO1687</f>
        <v>13</v>
      </c>
      <c r="AR1687">
        <f>IF(OR($AF1687=1,$AH1687=1),1,0)</f>
        <v>0</v>
      </c>
      <c r="AS1687">
        <f>N(AS1686)+$AR1687</f>
        <v>10</v>
      </c>
    </row>
    <row r="1688" s="127">
      <c r="A1688">
        <f>IF(对接源_02物料!$C488="","",对接源_02物料!$C488)</f>
      </c>
      <c r="B1688">
        <f>IF(A1688="",0,IF(MATCH(A1688,$A$4:$A$2403,0)=ROW()-3,1,0))</f>
        <v>0</v>
      </c>
      <c r="C1688">
        <f>N(C1687)+B1688</f>
        <v>26</v>
      </c>
      <c r="K1688">
        <f>IF(OR($K$1="",对接源_02物料!$C488="",对接源_02物料!$C488&lt;&gt;$K$1,对接源_02物料!$B488=""),0,IF(OR(N(对接源_02物料!$B488)&lt;$K$2,N(对接源_02物料!$B488)&gt;$K$3),0,1))</f>
        <v>0</v>
      </c>
      <c r="L1688">
        <f>IF(OR($L$1="",对接源_02物料!$C488="",对接源_02物料!$C488&lt;&gt;$L$1,对接源_02物料!$B488=""),0,IF(OR(N(对接源_02物料!$B488)&lt;$L$2,N(对接源_02物料!$B488)&gt;$L$3),0,1))</f>
        <v>0</v>
      </c>
      <c r="M1688">
        <f>IF(OR($M$1="",对接源_02物料!$C488="",对接源_02物料!$C488&lt;&gt;$M$1,对接源_02物料!$B488=""),0,IF(OR(N(对接源_02物料!$B488)&lt;$M$2,N(对接源_02物料!$B488)&gt;$M$3),0,1))</f>
        <v>0</v>
      </c>
      <c r="N1688">
        <f>IF(OR($N$1="",对接源_02物料!$C488="",对接源_02物料!$C488&lt;&gt;$N$1,对接源_02物料!$B488=""),0,IF(OR(N(对接源_02物料!$B488)&lt;$N$2,N(对接源_02物料!$B488)&gt;$N$3),0,1))</f>
        <v>0</v>
      </c>
      <c r="P1688">
        <f>IF(AND($K1688=1,AND(对接源_02物料!$X488="公司筐",N(对接源_02物料!$T488)&lt;&gt;0)),1,0)</f>
        <v>0</v>
      </c>
      <c r="Q1688">
        <f>N(Q1687)+$P1688</f>
        <v>14</v>
      </c>
      <c r="R1688">
        <f>IF(AND($K1688=1,AND(对接源_02物料!$X488="公司筐",N(对接源_02物料!$U488)&lt;&gt;0)),1,0)</f>
        <v>0</v>
      </c>
      <c r="S1688">
        <f>N(S1687)+$R1688</f>
        <v>1</v>
      </c>
      <c r="T1688">
        <f>IF(AND($K1688=1,AND(对接源_02物料!$X488="公司筐",N(对接源_02物料!$V488)&lt;&gt;0)),1,0)</f>
        <v>0</v>
      </c>
      <c r="U1688">
        <f>N(U1687)+$T1688</f>
        <v>47</v>
      </c>
      <c r="V1688">
        <f>IF(AND($L1688=1,AND(对接源_02物料!$X488="自备筐",N(对接源_02物料!$V488)&lt;&gt;0)),1,0)</f>
        <v>0</v>
      </c>
      <c r="W1688">
        <f>N(W1687)+$V1688</f>
        <v>11</v>
      </c>
      <c r="X1688">
        <f>IF(AND($L1688=1,AND(对接源_02物料!$X488="自备筐",N(对接源_02物料!$T488)&lt;&gt;0)),1,0)</f>
        <v>0</v>
      </c>
      <c r="Y1688">
        <f>N(Y1687)+$X1688</f>
        <v>0</v>
      </c>
      <c r="Z1688">
        <f>IF(AND($M1688=1,对接源_02物料!$D488="原料入库"),1,0)</f>
        <v>0</v>
      </c>
      <c r="AA1688">
        <f>N(AA1687)+$Z1688</f>
        <v>24</v>
      </c>
      <c r="AB1688">
        <f>IF(AND($M1688=1,LEFT(对接源_02物料!$D488,4)="原料出库"),1,0)</f>
        <v>0</v>
      </c>
      <c r="AC1688">
        <f>N(AC1687)+$AB1688</f>
        <v>0</v>
      </c>
      <c r="AD1688">
        <f>IF(AND($M1688=1,LEFT(对接源_02物料!$D488,4)="成品出库"),1,0)</f>
        <v>0</v>
      </c>
      <c r="AE1688">
        <f>N(AE1687)+$AD1688</f>
        <v>0</v>
      </c>
      <c r="AF1688">
        <f>IF(AND($N1688=1,AND(LEFT(对接源_02物料!$D488,4)="包装物料",N(对接源_02物料!$K488)&lt;&gt;0)),1,0)</f>
        <v>0</v>
      </c>
      <c r="AG1688">
        <f>N(AG1687)+$AF1688</f>
        <v>10</v>
      </c>
      <c r="AH1688">
        <f>IF(AND($N1688=1,AND(对接源_02物料!$D488="周转筐－销售出库",N(对接源_02物料!$K488)&lt;&gt;0)),1,0)</f>
        <v>0</v>
      </c>
      <c r="AI1688">
        <f>N(AI1687)+$AH1688</f>
        <v>0</v>
      </c>
      <c r="AL1688" t="n">
        <v>0</v>
      </c>
      <c r="AM1688">
        <f>N(AM1687)+$AL1688</f>
        <v>2</v>
      </c>
      <c r="AN1688">
        <f>""</f>
      </c>
      <c r="AO1688" t="n">
        <v>0</v>
      </c>
      <c r="AP1688">
        <f>N(AP1687)+$AO1688</f>
        <v>13</v>
      </c>
      <c r="AR1688">
        <f>IF(OR($AF1688=1,$AH1688=1),1,0)</f>
        <v>0</v>
      </c>
      <c r="AS1688">
        <f>N(AS1687)+$AR1688</f>
        <v>10</v>
      </c>
    </row>
    <row r="1689" s="127">
      <c r="A1689">
        <f>IF(对接源_02物料!$C489="","",对接源_02物料!$C489)</f>
      </c>
      <c r="B1689">
        <f>IF(A1689="",0,IF(MATCH(A1689,$A$4:$A$2403,0)=ROW()-3,1,0))</f>
        <v>0</v>
      </c>
      <c r="C1689">
        <f>N(C1688)+B1689</f>
        <v>26</v>
      </c>
      <c r="K1689">
        <f>IF(OR($K$1="",对接源_02物料!$C489="",对接源_02物料!$C489&lt;&gt;$K$1,对接源_02物料!$B489=""),0,IF(OR(N(对接源_02物料!$B489)&lt;$K$2,N(对接源_02物料!$B489)&gt;$K$3),0,1))</f>
        <v>0</v>
      </c>
      <c r="L1689">
        <f>IF(OR($L$1="",对接源_02物料!$C489="",对接源_02物料!$C489&lt;&gt;$L$1,对接源_02物料!$B489=""),0,IF(OR(N(对接源_02物料!$B489)&lt;$L$2,N(对接源_02物料!$B489)&gt;$L$3),0,1))</f>
        <v>0</v>
      </c>
      <c r="M1689">
        <f>IF(OR($M$1="",对接源_02物料!$C489="",对接源_02物料!$C489&lt;&gt;$M$1,对接源_02物料!$B489=""),0,IF(OR(N(对接源_02物料!$B489)&lt;$M$2,N(对接源_02物料!$B489)&gt;$M$3),0,1))</f>
        <v>0</v>
      </c>
      <c r="N1689">
        <f>IF(OR($N$1="",对接源_02物料!$C489="",对接源_02物料!$C489&lt;&gt;$N$1,对接源_02物料!$B489=""),0,IF(OR(N(对接源_02物料!$B489)&lt;$N$2,N(对接源_02物料!$B489)&gt;$N$3),0,1))</f>
        <v>0</v>
      </c>
      <c r="P1689">
        <f>IF(AND($K1689=1,AND(对接源_02物料!$X489="公司筐",N(对接源_02物料!$T489)&lt;&gt;0)),1,0)</f>
        <v>0</v>
      </c>
      <c r="Q1689">
        <f>N(Q1688)+$P1689</f>
        <v>14</v>
      </c>
      <c r="R1689">
        <f>IF(AND($K1689=1,AND(对接源_02物料!$X489="公司筐",N(对接源_02物料!$U489)&lt;&gt;0)),1,0)</f>
        <v>0</v>
      </c>
      <c r="S1689">
        <f>N(S1688)+$R1689</f>
        <v>1</v>
      </c>
      <c r="T1689">
        <f>IF(AND($K1689=1,AND(对接源_02物料!$X489="公司筐",N(对接源_02物料!$V489)&lt;&gt;0)),1,0)</f>
        <v>0</v>
      </c>
      <c r="U1689">
        <f>N(U1688)+$T1689</f>
        <v>47</v>
      </c>
      <c r="V1689">
        <f>IF(AND($L1689=1,AND(对接源_02物料!$X489="自备筐",N(对接源_02物料!$V489)&lt;&gt;0)),1,0)</f>
        <v>0</v>
      </c>
      <c r="W1689">
        <f>N(W1688)+$V1689</f>
        <v>11</v>
      </c>
      <c r="X1689">
        <f>IF(AND($L1689=1,AND(对接源_02物料!$X489="自备筐",N(对接源_02物料!$T489)&lt;&gt;0)),1,0)</f>
        <v>0</v>
      </c>
      <c r="Y1689">
        <f>N(Y1688)+$X1689</f>
        <v>0</v>
      </c>
      <c r="Z1689">
        <f>IF(AND($M1689=1,对接源_02物料!$D489="原料入库"),1,0)</f>
        <v>0</v>
      </c>
      <c r="AA1689">
        <f>N(AA1688)+$Z1689</f>
        <v>24</v>
      </c>
      <c r="AB1689">
        <f>IF(AND($M1689=1,LEFT(对接源_02物料!$D489,4)="原料出库"),1,0)</f>
        <v>0</v>
      </c>
      <c r="AC1689">
        <f>N(AC1688)+$AB1689</f>
        <v>0</v>
      </c>
      <c r="AD1689">
        <f>IF(AND($M1689=1,LEFT(对接源_02物料!$D489,4)="成品出库"),1,0)</f>
        <v>0</v>
      </c>
      <c r="AE1689">
        <f>N(AE1688)+$AD1689</f>
        <v>0</v>
      </c>
      <c r="AF1689">
        <f>IF(AND($N1689=1,AND(LEFT(对接源_02物料!$D489,4)="包装物料",N(对接源_02物料!$K489)&lt;&gt;0)),1,0)</f>
        <v>0</v>
      </c>
      <c r="AG1689">
        <f>N(AG1688)+$AF1689</f>
        <v>10</v>
      </c>
      <c r="AH1689">
        <f>IF(AND($N1689=1,AND(对接源_02物料!$D489="周转筐－销售出库",N(对接源_02物料!$K489)&lt;&gt;0)),1,0)</f>
        <v>0</v>
      </c>
      <c r="AI1689">
        <f>N(AI1688)+$AH1689</f>
        <v>0</v>
      </c>
      <c r="AL1689" t="n">
        <v>0</v>
      </c>
      <c r="AM1689">
        <f>N(AM1688)+$AL1689</f>
        <v>2</v>
      </c>
      <c r="AN1689">
        <f>""</f>
      </c>
      <c r="AO1689" t="n">
        <v>0</v>
      </c>
      <c r="AP1689">
        <f>N(AP1688)+$AO1689</f>
        <v>13</v>
      </c>
      <c r="AR1689">
        <f>IF(OR($AF1689=1,$AH1689=1),1,0)</f>
        <v>0</v>
      </c>
      <c r="AS1689">
        <f>N(AS1688)+$AR1689</f>
        <v>10</v>
      </c>
    </row>
    <row r="1690" s="127">
      <c r="A1690">
        <f>IF(对接源_02物料!$C490="","",对接源_02物料!$C490)</f>
      </c>
      <c r="B1690">
        <f>IF(A1690="",0,IF(MATCH(A1690,$A$4:$A$2403,0)=ROW()-3,1,0))</f>
        <v>0</v>
      </c>
      <c r="C1690">
        <f>N(C1689)+B1690</f>
        <v>26</v>
      </c>
      <c r="K1690">
        <f>IF(OR($K$1="",对接源_02物料!$C490="",对接源_02物料!$C490&lt;&gt;$K$1,对接源_02物料!$B490=""),0,IF(OR(N(对接源_02物料!$B490)&lt;$K$2,N(对接源_02物料!$B490)&gt;$K$3),0,1))</f>
        <v>0</v>
      </c>
      <c r="L1690">
        <f>IF(OR($L$1="",对接源_02物料!$C490="",对接源_02物料!$C490&lt;&gt;$L$1,对接源_02物料!$B490=""),0,IF(OR(N(对接源_02物料!$B490)&lt;$L$2,N(对接源_02物料!$B490)&gt;$L$3),0,1))</f>
        <v>0</v>
      </c>
      <c r="M1690">
        <f>IF(OR($M$1="",对接源_02物料!$C490="",对接源_02物料!$C490&lt;&gt;$M$1,对接源_02物料!$B490=""),0,IF(OR(N(对接源_02物料!$B490)&lt;$M$2,N(对接源_02物料!$B490)&gt;$M$3),0,1))</f>
        <v>0</v>
      </c>
      <c r="N1690">
        <f>IF(OR($N$1="",对接源_02物料!$C490="",对接源_02物料!$C490&lt;&gt;$N$1,对接源_02物料!$B490=""),0,IF(OR(N(对接源_02物料!$B490)&lt;$N$2,N(对接源_02物料!$B490)&gt;$N$3),0,1))</f>
        <v>0</v>
      </c>
      <c r="P1690">
        <f>IF(AND($K1690=1,AND(对接源_02物料!$X490="公司筐",N(对接源_02物料!$T490)&lt;&gt;0)),1,0)</f>
        <v>0</v>
      </c>
      <c r="Q1690">
        <f>N(Q1689)+$P1690</f>
        <v>14</v>
      </c>
      <c r="R1690">
        <f>IF(AND($K1690=1,AND(对接源_02物料!$X490="公司筐",N(对接源_02物料!$U490)&lt;&gt;0)),1,0)</f>
        <v>0</v>
      </c>
      <c r="S1690">
        <f>N(S1689)+$R1690</f>
        <v>1</v>
      </c>
      <c r="T1690">
        <f>IF(AND($K1690=1,AND(对接源_02物料!$X490="公司筐",N(对接源_02物料!$V490)&lt;&gt;0)),1,0)</f>
        <v>0</v>
      </c>
      <c r="U1690">
        <f>N(U1689)+$T1690</f>
        <v>47</v>
      </c>
      <c r="V1690">
        <f>IF(AND($L1690=1,AND(对接源_02物料!$X490="自备筐",N(对接源_02物料!$V490)&lt;&gt;0)),1,0)</f>
        <v>0</v>
      </c>
      <c r="W1690">
        <f>N(W1689)+$V1690</f>
        <v>11</v>
      </c>
      <c r="X1690">
        <f>IF(AND($L1690=1,AND(对接源_02物料!$X490="自备筐",N(对接源_02物料!$T490)&lt;&gt;0)),1,0)</f>
        <v>0</v>
      </c>
      <c r="Y1690">
        <f>N(Y1689)+$X1690</f>
        <v>0</v>
      </c>
      <c r="Z1690">
        <f>IF(AND($M1690=1,对接源_02物料!$D490="原料入库"),1,0)</f>
        <v>0</v>
      </c>
      <c r="AA1690">
        <f>N(AA1689)+$Z1690</f>
        <v>24</v>
      </c>
      <c r="AB1690">
        <f>IF(AND($M1690=1,LEFT(对接源_02物料!$D490,4)="原料出库"),1,0)</f>
        <v>0</v>
      </c>
      <c r="AC1690">
        <f>N(AC1689)+$AB1690</f>
        <v>0</v>
      </c>
      <c r="AD1690">
        <f>IF(AND($M1690=1,LEFT(对接源_02物料!$D490,4)="成品出库"),1,0)</f>
        <v>0</v>
      </c>
      <c r="AE1690">
        <f>N(AE1689)+$AD1690</f>
        <v>0</v>
      </c>
      <c r="AF1690">
        <f>IF(AND($N1690=1,AND(LEFT(对接源_02物料!$D490,4)="包装物料",N(对接源_02物料!$K490)&lt;&gt;0)),1,0)</f>
        <v>0</v>
      </c>
      <c r="AG1690">
        <f>N(AG1689)+$AF1690</f>
        <v>10</v>
      </c>
      <c r="AH1690">
        <f>IF(AND($N1690=1,AND(对接源_02物料!$D490="周转筐－销售出库",N(对接源_02物料!$K490)&lt;&gt;0)),1,0)</f>
        <v>0</v>
      </c>
      <c r="AI1690">
        <f>N(AI1689)+$AH1690</f>
        <v>0</v>
      </c>
      <c r="AL1690" t="n">
        <v>0</v>
      </c>
      <c r="AM1690">
        <f>N(AM1689)+$AL1690</f>
        <v>2</v>
      </c>
      <c r="AN1690">
        <f>""</f>
      </c>
      <c r="AO1690" t="n">
        <v>0</v>
      </c>
      <c r="AP1690">
        <f>N(AP1689)+$AO1690</f>
        <v>13</v>
      </c>
      <c r="AR1690">
        <f>IF(OR($AF1690=1,$AH1690=1),1,0)</f>
        <v>0</v>
      </c>
      <c r="AS1690">
        <f>N(AS1689)+$AR1690</f>
        <v>10</v>
      </c>
    </row>
    <row r="1691" s="127">
      <c r="A1691">
        <f>IF(对接源_02物料!$C491="","",对接源_02物料!$C491)</f>
      </c>
      <c r="B1691">
        <f>IF(A1691="",0,IF(MATCH(A1691,$A$4:$A$2403,0)=ROW()-3,1,0))</f>
        <v>0</v>
      </c>
      <c r="C1691">
        <f>N(C1690)+B1691</f>
        <v>26</v>
      </c>
      <c r="K1691">
        <f>IF(OR($K$1="",对接源_02物料!$C491="",对接源_02物料!$C491&lt;&gt;$K$1,对接源_02物料!$B491=""),0,IF(OR(N(对接源_02物料!$B491)&lt;$K$2,N(对接源_02物料!$B491)&gt;$K$3),0,1))</f>
        <v>0</v>
      </c>
      <c r="L1691">
        <f>IF(OR($L$1="",对接源_02物料!$C491="",对接源_02物料!$C491&lt;&gt;$L$1,对接源_02物料!$B491=""),0,IF(OR(N(对接源_02物料!$B491)&lt;$L$2,N(对接源_02物料!$B491)&gt;$L$3),0,1))</f>
        <v>0</v>
      </c>
      <c r="M1691">
        <f>IF(OR($M$1="",对接源_02物料!$C491="",对接源_02物料!$C491&lt;&gt;$M$1,对接源_02物料!$B491=""),0,IF(OR(N(对接源_02物料!$B491)&lt;$M$2,N(对接源_02物料!$B491)&gt;$M$3),0,1))</f>
        <v>0</v>
      </c>
      <c r="N1691">
        <f>IF(OR($N$1="",对接源_02物料!$C491="",对接源_02物料!$C491&lt;&gt;$N$1,对接源_02物料!$B491=""),0,IF(OR(N(对接源_02物料!$B491)&lt;$N$2,N(对接源_02物料!$B491)&gt;$N$3),0,1))</f>
        <v>0</v>
      </c>
      <c r="P1691">
        <f>IF(AND($K1691=1,AND(对接源_02物料!$X491="公司筐",N(对接源_02物料!$T491)&lt;&gt;0)),1,0)</f>
        <v>0</v>
      </c>
      <c r="Q1691">
        <f>N(Q1690)+$P1691</f>
        <v>14</v>
      </c>
      <c r="R1691">
        <f>IF(AND($K1691=1,AND(对接源_02物料!$X491="公司筐",N(对接源_02物料!$U491)&lt;&gt;0)),1,0)</f>
        <v>0</v>
      </c>
      <c r="S1691">
        <f>N(S1690)+$R1691</f>
        <v>1</v>
      </c>
      <c r="T1691">
        <f>IF(AND($K1691=1,AND(对接源_02物料!$X491="公司筐",N(对接源_02物料!$V491)&lt;&gt;0)),1,0)</f>
        <v>0</v>
      </c>
      <c r="U1691">
        <f>N(U1690)+$T1691</f>
        <v>47</v>
      </c>
      <c r="V1691">
        <f>IF(AND($L1691=1,AND(对接源_02物料!$X491="自备筐",N(对接源_02物料!$V491)&lt;&gt;0)),1,0)</f>
        <v>0</v>
      </c>
      <c r="W1691">
        <f>N(W1690)+$V1691</f>
        <v>11</v>
      </c>
      <c r="X1691">
        <f>IF(AND($L1691=1,AND(对接源_02物料!$X491="自备筐",N(对接源_02物料!$T491)&lt;&gt;0)),1,0)</f>
        <v>0</v>
      </c>
      <c r="Y1691">
        <f>N(Y1690)+$X1691</f>
        <v>0</v>
      </c>
      <c r="Z1691">
        <f>IF(AND($M1691=1,对接源_02物料!$D491="原料入库"),1,0)</f>
        <v>0</v>
      </c>
      <c r="AA1691">
        <f>N(AA1690)+$Z1691</f>
        <v>24</v>
      </c>
      <c r="AB1691">
        <f>IF(AND($M1691=1,LEFT(对接源_02物料!$D491,4)="原料出库"),1,0)</f>
        <v>0</v>
      </c>
      <c r="AC1691">
        <f>N(AC1690)+$AB1691</f>
        <v>0</v>
      </c>
      <c r="AD1691">
        <f>IF(AND($M1691=1,LEFT(对接源_02物料!$D491,4)="成品出库"),1,0)</f>
        <v>0</v>
      </c>
      <c r="AE1691">
        <f>N(AE1690)+$AD1691</f>
        <v>0</v>
      </c>
      <c r="AF1691">
        <f>IF(AND($N1691=1,AND(LEFT(对接源_02物料!$D491,4)="包装物料",N(对接源_02物料!$K491)&lt;&gt;0)),1,0)</f>
        <v>0</v>
      </c>
      <c r="AG1691">
        <f>N(AG1690)+$AF1691</f>
        <v>10</v>
      </c>
      <c r="AH1691">
        <f>IF(AND($N1691=1,AND(对接源_02物料!$D491="周转筐－销售出库",N(对接源_02物料!$K491)&lt;&gt;0)),1,0)</f>
        <v>0</v>
      </c>
      <c r="AI1691">
        <f>N(AI1690)+$AH1691</f>
        <v>0</v>
      </c>
      <c r="AL1691" t="n">
        <v>0</v>
      </c>
      <c r="AM1691">
        <f>N(AM1690)+$AL1691</f>
        <v>2</v>
      </c>
      <c r="AN1691">
        <f>""</f>
      </c>
      <c r="AO1691" t="n">
        <v>0</v>
      </c>
      <c r="AP1691">
        <f>N(AP1690)+$AO1691</f>
        <v>13</v>
      </c>
      <c r="AR1691">
        <f>IF(OR($AF1691=1,$AH1691=1),1,0)</f>
        <v>0</v>
      </c>
      <c r="AS1691">
        <f>N(AS1690)+$AR1691</f>
        <v>10</v>
      </c>
    </row>
    <row r="1692" s="127">
      <c r="A1692">
        <f>IF(对接源_02物料!$C492="","",对接源_02物料!$C492)</f>
      </c>
      <c r="B1692">
        <f>IF(A1692="",0,IF(MATCH(A1692,$A$4:$A$2403,0)=ROW()-3,1,0))</f>
        <v>0</v>
      </c>
      <c r="C1692">
        <f>N(C1691)+B1692</f>
        <v>26</v>
      </c>
      <c r="K1692">
        <f>IF(OR($K$1="",对接源_02物料!$C492="",对接源_02物料!$C492&lt;&gt;$K$1,对接源_02物料!$B492=""),0,IF(OR(N(对接源_02物料!$B492)&lt;$K$2,N(对接源_02物料!$B492)&gt;$K$3),0,1))</f>
        <v>0</v>
      </c>
      <c r="L1692">
        <f>IF(OR($L$1="",对接源_02物料!$C492="",对接源_02物料!$C492&lt;&gt;$L$1,对接源_02物料!$B492=""),0,IF(OR(N(对接源_02物料!$B492)&lt;$L$2,N(对接源_02物料!$B492)&gt;$L$3),0,1))</f>
        <v>0</v>
      </c>
      <c r="M1692">
        <f>IF(OR($M$1="",对接源_02物料!$C492="",对接源_02物料!$C492&lt;&gt;$M$1,对接源_02物料!$B492=""),0,IF(OR(N(对接源_02物料!$B492)&lt;$M$2,N(对接源_02物料!$B492)&gt;$M$3),0,1))</f>
        <v>0</v>
      </c>
      <c r="N1692">
        <f>IF(OR($N$1="",对接源_02物料!$C492="",对接源_02物料!$C492&lt;&gt;$N$1,对接源_02物料!$B492=""),0,IF(OR(N(对接源_02物料!$B492)&lt;$N$2,N(对接源_02物料!$B492)&gt;$N$3),0,1))</f>
        <v>0</v>
      </c>
      <c r="P1692">
        <f>IF(AND($K1692=1,AND(对接源_02物料!$X492="公司筐",N(对接源_02物料!$T492)&lt;&gt;0)),1,0)</f>
        <v>0</v>
      </c>
      <c r="Q1692">
        <f>N(Q1691)+$P1692</f>
        <v>14</v>
      </c>
      <c r="R1692">
        <f>IF(AND($K1692=1,AND(对接源_02物料!$X492="公司筐",N(对接源_02物料!$U492)&lt;&gt;0)),1,0)</f>
        <v>0</v>
      </c>
      <c r="S1692">
        <f>N(S1691)+$R1692</f>
        <v>1</v>
      </c>
      <c r="T1692">
        <f>IF(AND($K1692=1,AND(对接源_02物料!$X492="公司筐",N(对接源_02物料!$V492)&lt;&gt;0)),1,0)</f>
        <v>0</v>
      </c>
      <c r="U1692">
        <f>N(U1691)+$T1692</f>
        <v>47</v>
      </c>
      <c r="V1692">
        <f>IF(AND($L1692=1,AND(对接源_02物料!$X492="自备筐",N(对接源_02物料!$V492)&lt;&gt;0)),1,0)</f>
        <v>0</v>
      </c>
      <c r="W1692">
        <f>N(W1691)+$V1692</f>
        <v>11</v>
      </c>
      <c r="X1692">
        <f>IF(AND($L1692=1,AND(对接源_02物料!$X492="自备筐",N(对接源_02物料!$T492)&lt;&gt;0)),1,0)</f>
        <v>0</v>
      </c>
      <c r="Y1692">
        <f>N(Y1691)+$X1692</f>
        <v>0</v>
      </c>
      <c r="Z1692">
        <f>IF(AND($M1692=1,对接源_02物料!$D492="原料入库"),1,0)</f>
        <v>0</v>
      </c>
      <c r="AA1692">
        <f>N(AA1691)+$Z1692</f>
        <v>24</v>
      </c>
      <c r="AB1692">
        <f>IF(AND($M1692=1,LEFT(对接源_02物料!$D492,4)="原料出库"),1,0)</f>
        <v>0</v>
      </c>
      <c r="AC1692">
        <f>N(AC1691)+$AB1692</f>
        <v>0</v>
      </c>
      <c r="AD1692">
        <f>IF(AND($M1692=1,LEFT(对接源_02物料!$D492,4)="成品出库"),1,0)</f>
        <v>0</v>
      </c>
      <c r="AE1692">
        <f>N(AE1691)+$AD1692</f>
        <v>0</v>
      </c>
      <c r="AF1692">
        <f>IF(AND($N1692=1,AND(LEFT(对接源_02物料!$D492,4)="包装物料",N(对接源_02物料!$K492)&lt;&gt;0)),1,0)</f>
        <v>0</v>
      </c>
      <c r="AG1692">
        <f>N(AG1691)+$AF1692</f>
        <v>10</v>
      </c>
      <c r="AH1692">
        <f>IF(AND($N1692=1,AND(对接源_02物料!$D492="周转筐－销售出库",N(对接源_02物料!$K492)&lt;&gt;0)),1,0)</f>
        <v>0</v>
      </c>
      <c r="AI1692">
        <f>N(AI1691)+$AH1692</f>
        <v>0</v>
      </c>
      <c r="AL1692" t="n">
        <v>0</v>
      </c>
      <c r="AM1692">
        <f>N(AM1691)+$AL1692</f>
        <v>2</v>
      </c>
      <c r="AN1692">
        <f>""</f>
      </c>
      <c r="AO1692" t="n">
        <v>0</v>
      </c>
      <c r="AP1692">
        <f>N(AP1691)+$AO1692</f>
        <v>13</v>
      </c>
      <c r="AR1692">
        <f>IF(OR($AF1692=1,$AH1692=1),1,0)</f>
        <v>0</v>
      </c>
      <c r="AS1692">
        <f>N(AS1691)+$AR1692</f>
        <v>10</v>
      </c>
    </row>
    <row r="1693" s="127">
      <c r="A1693">
        <f>IF(对接源_02物料!$C493="","",对接源_02物料!$C493)</f>
      </c>
      <c r="B1693">
        <f>IF(A1693="",0,IF(MATCH(A1693,$A$4:$A$2403,0)=ROW()-3,1,0))</f>
        <v>0</v>
      </c>
      <c r="C1693">
        <f>N(C1692)+B1693</f>
        <v>26</v>
      </c>
      <c r="K1693">
        <f>IF(OR($K$1="",对接源_02物料!$C493="",对接源_02物料!$C493&lt;&gt;$K$1,对接源_02物料!$B493=""),0,IF(OR(N(对接源_02物料!$B493)&lt;$K$2,N(对接源_02物料!$B493)&gt;$K$3),0,1))</f>
        <v>0</v>
      </c>
      <c r="L1693">
        <f>IF(OR($L$1="",对接源_02物料!$C493="",对接源_02物料!$C493&lt;&gt;$L$1,对接源_02物料!$B493=""),0,IF(OR(N(对接源_02物料!$B493)&lt;$L$2,N(对接源_02物料!$B493)&gt;$L$3),0,1))</f>
        <v>0</v>
      </c>
      <c r="M1693">
        <f>IF(OR($M$1="",对接源_02物料!$C493="",对接源_02物料!$C493&lt;&gt;$M$1,对接源_02物料!$B493=""),0,IF(OR(N(对接源_02物料!$B493)&lt;$M$2,N(对接源_02物料!$B493)&gt;$M$3),0,1))</f>
        <v>0</v>
      </c>
      <c r="N1693">
        <f>IF(OR($N$1="",对接源_02物料!$C493="",对接源_02物料!$C493&lt;&gt;$N$1,对接源_02物料!$B493=""),0,IF(OR(N(对接源_02物料!$B493)&lt;$N$2,N(对接源_02物料!$B493)&gt;$N$3),0,1))</f>
        <v>0</v>
      </c>
      <c r="P1693">
        <f>IF(AND($K1693=1,AND(对接源_02物料!$X493="公司筐",N(对接源_02物料!$T493)&lt;&gt;0)),1,0)</f>
        <v>0</v>
      </c>
      <c r="Q1693">
        <f>N(Q1692)+$P1693</f>
        <v>14</v>
      </c>
      <c r="R1693">
        <f>IF(AND($K1693=1,AND(对接源_02物料!$X493="公司筐",N(对接源_02物料!$U493)&lt;&gt;0)),1,0)</f>
        <v>0</v>
      </c>
      <c r="S1693">
        <f>N(S1692)+$R1693</f>
        <v>1</v>
      </c>
      <c r="T1693">
        <f>IF(AND($K1693=1,AND(对接源_02物料!$X493="公司筐",N(对接源_02物料!$V493)&lt;&gt;0)),1,0)</f>
        <v>0</v>
      </c>
      <c r="U1693">
        <f>N(U1692)+$T1693</f>
        <v>47</v>
      </c>
      <c r="V1693">
        <f>IF(AND($L1693=1,AND(对接源_02物料!$X493="自备筐",N(对接源_02物料!$V493)&lt;&gt;0)),1,0)</f>
        <v>0</v>
      </c>
      <c r="W1693">
        <f>N(W1692)+$V1693</f>
        <v>11</v>
      </c>
      <c r="X1693">
        <f>IF(AND($L1693=1,AND(对接源_02物料!$X493="自备筐",N(对接源_02物料!$T493)&lt;&gt;0)),1,0)</f>
        <v>0</v>
      </c>
      <c r="Y1693">
        <f>N(Y1692)+$X1693</f>
        <v>0</v>
      </c>
      <c r="Z1693">
        <f>IF(AND($M1693=1,对接源_02物料!$D493="原料入库"),1,0)</f>
        <v>0</v>
      </c>
      <c r="AA1693">
        <f>N(AA1692)+$Z1693</f>
        <v>24</v>
      </c>
      <c r="AB1693">
        <f>IF(AND($M1693=1,LEFT(对接源_02物料!$D493,4)="原料出库"),1,0)</f>
        <v>0</v>
      </c>
      <c r="AC1693">
        <f>N(AC1692)+$AB1693</f>
        <v>0</v>
      </c>
      <c r="AD1693">
        <f>IF(AND($M1693=1,LEFT(对接源_02物料!$D493,4)="成品出库"),1,0)</f>
        <v>0</v>
      </c>
      <c r="AE1693">
        <f>N(AE1692)+$AD1693</f>
        <v>0</v>
      </c>
      <c r="AF1693">
        <f>IF(AND($N1693=1,AND(LEFT(对接源_02物料!$D493,4)="包装物料",N(对接源_02物料!$K493)&lt;&gt;0)),1,0)</f>
        <v>0</v>
      </c>
      <c r="AG1693">
        <f>N(AG1692)+$AF1693</f>
        <v>10</v>
      </c>
      <c r="AH1693">
        <f>IF(AND($N1693=1,AND(对接源_02物料!$D493="周转筐－销售出库",N(对接源_02物料!$K493)&lt;&gt;0)),1,0)</f>
        <v>0</v>
      </c>
      <c r="AI1693">
        <f>N(AI1692)+$AH1693</f>
        <v>0</v>
      </c>
      <c r="AL1693" t="n">
        <v>0</v>
      </c>
      <c r="AM1693">
        <f>N(AM1692)+$AL1693</f>
        <v>2</v>
      </c>
      <c r="AN1693">
        <f>""</f>
      </c>
      <c r="AO1693" t="n">
        <v>0</v>
      </c>
      <c r="AP1693">
        <f>N(AP1692)+$AO1693</f>
        <v>13</v>
      </c>
      <c r="AR1693">
        <f>IF(OR($AF1693=1,$AH1693=1),1,0)</f>
        <v>0</v>
      </c>
      <c r="AS1693">
        <f>N(AS1692)+$AR1693</f>
        <v>10</v>
      </c>
    </row>
    <row r="1694" s="127">
      <c r="A1694">
        <f>IF(对接源_02物料!$C494="","",对接源_02物料!$C494)</f>
      </c>
      <c r="B1694">
        <f>IF(A1694="",0,IF(MATCH(A1694,$A$4:$A$2403,0)=ROW()-3,1,0))</f>
        <v>0</v>
      </c>
      <c r="C1694">
        <f>N(C1693)+B1694</f>
        <v>26</v>
      </c>
      <c r="K1694">
        <f>IF(OR($K$1="",对接源_02物料!$C494="",对接源_02物料!$C494&lt;&gt;$K$1,对接源_02物料!$B494=""),0,IF(OR(N(对接源_02物料!$B494)&lt;$K$2,N(对接源_02物料!$B494)&gt;$K$3),0,1))</f>
        <v>0</v>
      </c>
      <c r="L1694">
        <f>IF(OR($L$1="",对接源_02物料!$C494="",对接源_02物料!$C494&lt;&gt;$L$1,对接源_02物料!$B494=""),0,IF(OR(N(对接源_02物料!$B494)&lt;$L$2,N(对接源_02物料!$B494)&gt;$L$3),0,1))</f>
        <v>0</v>
      </c>
      <c r="M1694">
        <f>IF(OR($M$1="",对接源_02物料!$C494="",对接源_02物料!$C494&lt;&gt;$M$1,对接源_02物料!$B494=""),0,IF(OR(N(对接源_02物料!$B494)&lt;$M$2,N(对接源_02物料!$B494)&gt;$M$3),0,1))</f>
        <v>0</v>
      </c>
      <c r="N1694">
        <f>IF(OR($N$1="",对接源_02物料!$C494="",对接源_02物料!$C494&lt;&gt;$N$1,对接源_02物料!$B494=""),0,IF(OR(N(对接源_02物料!$B494)&lt;$N$2,N(对接源_02物料!$B494)&gt;$N$3),0,1))</f>
        <v>0</v>
      </c>
      <c r="P1694">
        <f>IF(AND($K1694=1,AND(对接源_02物料!$X494="公司筐",N(对接源_02物料!$T494)&lt;&gt;0)),1,0)</f>
        <v>0</v>
      </c>
      <c r="Q1694">
        <f>N(Q1693)+$P1694</f>
        <v>14</v>
      </c>
      <c r="R1694">
        <f>IF(AND($K1694=1,AND(对接源_02物料!$X494="公司筐",N(对接源_02物料!$U494)&lt;&gt;0)),1,0)</f>
        <v>0</v>
      </c>
      <c r="S1694">
        <f>N(S1693)+$R1694</f>
        <v>1</v>
      </c>
      <c r="T1694">
        <f>IF(AND($K1694=1,AND(对接源_02物料!$X494="公司筐",N(对接源_02物料!$V494)&lt;&gt;0)),1,0)</f>
        <v>0</v>
      </c>
      <c r="U1694">
        <f>N(U1693)+$T1694</f>
        <v>47</v>
      </c>
      <c r="V1694">
        <f>IF(AND($L1694=1,AND(对接源_02物料!$X494="自备筐",N(对接源_02物料!$V494)&lt;&gt;0)),1,0)</f>
        <v>0</v>
      </c>
      <c r="W1694">
        <f>N(W1693)+$V1694</f>
        <v>11</v>
      </c>
      <c r="X1694">
        <f>IF(AND($L1694=1,AND(对接源_02物料!$X494="自备筐",N(对接源_02物料!$T494)&lt;&gt;0)),1,0)</f>
        <v>0</v>
      </c>
      <c r="Y1694">
        <f>N(Y1693)+$X1694</f>
        <v>0</v>
      </c>
      <c r="Z1694">
        <f>IF(AND($M1694=1,对接源_02物料!$D494="原料入库"),1,0)</f>
        <v>0</v>
      </c>
      <c r="AA1694">
        <f>N(AA1693)+$Z1694</f>
        <v>24</v>
      </c>
      <c r="AB1694">
        <f>IF(AND($M1694=1,LEFT(对接源_02物料!$D494,4)="原料出库"),1,0)</f>
        <v>0</v>
      </c>
      <c r="AC1694">
        <f>N(AC1693)+$AB1694</f>
        <v>0</v>
      </c>
      <c r="AD1694">
        <f>IF(AND($M1694=1,LEFT(对接源_02物料!$D494,4)="成品出库"),1,0)</f>
        <v>0</v>
      </c>
      <c r="AE1694">
        <f>N(AE1693)+$AD1694</f>
        <v>0</v>
      </c>
      <c r="AF1694">
        <f>IF(AND($N1694=1,AND(LEFT(对接源_02物料!$D494,4)="包装物料",N(对接源_02物料!$K494)&lt;&gt;0)),1,0)</f>
        <v>0</v>
      </c>
      <c r="AG1694">
        <f>N(AG1693)+$AF1694</f>
        <v>10</v>
      </c>
      <c r="AH1694">
        <f>IF(AND($N1694=1,AND(对接源_02物料!$D494="周转筐－销售出库",N(对接源_02物料!$K494)&lt;&gt;0)),1,0)</f>
        <v>0</v>
      </c>
      <c r="AI1694">
        <f>N(AI1693)+$AH1694</f>
        <v>0</v>
      </c>
      <c r="AL1694" t="n">
        <v>0</v>
      </c>
      <c r="AM1694">
        <f>N(AM1693)+$AL1694</f>
        <v>2</v>
      </c>
      <c r="AN1694">
        <f>""</f>
      </c>
      <c r="AO1694" t="n">
        <v>0</v>
      </c>
      <c r="AP1694">
        <f>N(AP1693)+$AO1694</f>
        <v>13</v>
      </c>
      <c r="AR1694">
        <f>IF(OR($AF1694=1,$AH1694=1),1,0)</f>
        <v>0</v>
      </c>
      <c r="AS1694">
        <f>N(AS1693)+$AR1694</f>
        <v>10</v>
      </c>
    </row>
    <row r="1695" s="127">
      <c r="A1695">
        <f>IF(对接源_02物料!$C495="","",对接源_02物料!$C495)</f>
      </c>
      <c r="B1695">
        <f>IF(A1695="",0,IF(MATCH(A1695,$A$4:$A$2403,0)=ROW()-3,1,0))</f>
        <v>0</v>
      </c>
      <c r="C1695">
        <f>N(C1694)+B1695</f>
        <v>26</v>
      </c>
      <c r="K1695">
        <f>IF(OR($K$1="",对接源_02物料!$C495="",对接源_02物料!$C495&lt;&gt;$K$1,对接源_02物料!$B495=""),0,IF(OR(N(对接源_02物料!$B495)&lt;$K$2,N(对接源_02物料!$B495)&gt;$K$3),0,1))</f>
        <v>0</v>
      </c>
      <c r="L1695">
        <f>IF(OR($L$1="",对接源_02物料!$C495="",对接源_02物料!$C495&lt;&gt;$L$1,对接源_02物料!$B495=""),0,IF(OR(N(对接源_02物料!$B495)&lt;$L$2,N(对接源_02物料!$B495)&gt;$L$3),0,1))</f>
        <v>0</v>
      </c>
      <c r="M1695">
        <f>IF(OR($M$1="",对接源_02物料!$C495="",对接源_02物料!$C495&lt;&gt;$M$1,对接源_02物料!$B495=""),0,IF(OR(N(对接源_02物料!$B495)&lt;$M$2,N(对接源_02物料!$B495)&gt;$M$3),0,1))</f>
        <v>0</v>
      </c>
      <c r="N1695">
        <f>IF(OR($N$1="",对接源_02物料!$C495="",对接源_02物料!$C495&lt;&gt;$N$1,对接源_02物料!$B495=""),0,IF(OR(N(对接源_02物料!$B495)&lt;$N$2,N(对接源_02物料!$B495)&gt;$N$3),0,1))</f>
        <v>0</v>
      </c>
      <c r="P1695">
        <f>IF(AND($K1695=1,AND(对接源_02物料!$X495="公司筐",N(对接源_02物料!$T495)&lt;&gt;0)),1,0)</f>
        <v>0</v>
      </c>
      <c r="Q1695">
        <f>N(Q1694)+$P1695</f>
        <v>14</v>
      </c>
      <c r="R1695">
        <f>IF(AND($K1695=1,AND(对接源_02物料!$X495="公司筐",N(对接源_02物料!$U495)&lt;&gt;0)),1,0)</f>
        <v>0</v>
      </c>
      <c r="S1695">
        <f>N(S1694)+$R1695</f>
        <v>1</v>
      </c>
      <c r="T1695">
        <f>IF(AND($K1695=1,AND(对接源_02物料!$X495="公司筐",N(对接源_02物料!$V495)&lt;&gt;0)),1,0)</f>
        <v>0</v>
      </c>
      <c r="U1695">
        <f>N(U1694)+$T1695</f>
        <v>47</v>
      </c>
      <c r="V1695">
        <f>IF(AND($L1695=1,AND(对接源_02物料!$X495="自备筐",N(对接源_02物料!$V495)&lt;&gt;0)),1,0)</f>
        <v>0</v>
      </c>
      <c r="W1695">
        <f>N(W1694)+$V1695</f>
        <v>11</v>
      </c>
      <c r="X1695">
        <f>IF(AND($L1695=1,AND(对接源_02物料!$X495="自备筐",N(对接源_02物料!$T495)&lt;&gt;0)),1,0)</f>
        <v>0</v>
      </c>
      <c r="Y1695">
        <f>N(Y1694)+$X1695</f>
        <v>0</v>
      </c>
      <c r="Z1695">
        <f>IF(AND($M1695=1,对接源_02物料!$D495="原料入库"),1,0)</f>
        <v>0</v>
      </c>
      <c r="AA1695">
        <f>N(AA1694)+$Z1695</f>
        <v>24</v>
      </c>
      <c r="AB1695">
        <f>IF(AND($M1695=1,LEFT(对接源_02物料!$D495,4)="原料出库"),1,0)</f>
        <v>0</v>
      </c>
      <c r="AC1695">
        <f>N(AC1694)+$AB1695</f>
        <v>0</v>
      </c>
      <c r="AD1695">
        <f>IF(AND($M1695=1,LEFT(对接源_02物料!$D495,4)="成品出库"),1,0)</f>
        <v>0</v>
      </c>
      <c r="AE1695">
        <f>N(AE1694)+$AD1695</f>
        <v>0</v>
      </c>
      <c r="AF1695">
        <f>IF(AND($N1695=1,AND(LEFT(对接源_02物料!$D495,4)="包装物料",N(对接源_02物料!$K495)&lt;&gt;0)),1,0)</f>
        <v>0</v>
      </c>
      <c r="AG1695">
        <f>N(AG1694)+$AF1695</f>
        <v>10</v>
      </c>
      <c r="AH1695">
        <f>IF(AND($N1695=1,AND(对接源_02物料!$D495="周转筐－销售出库",N(对接源_02物料!$K495)&lt;&gt;0)),1,0)</f>
        <v>0</v>
      </c>
      <c r="AI1695">
        <f>N(AI1694)+$AH1695</f>
        <v>0</v>
      </c>
      <c r="AL1695" t="n">
        <v>0</v>
      </c>
      <c r="AM1695">
        <f>N(AM1694)+$AL1695</f>
        <v>2</v>
      </c>
      <c r="AN1695">
        <f>""</f>
      </c>
      <c r="AO1695" t="n">
        <v>0</v>
      </c>
      <c r="AP1695">
        <f>N(AP1694)+$AO1695</f>
        <v>13</v>
      </c>
      <c r="AR1695">
        <f>IF(OR($AF1695=1,$AH1695=1),1,0)</f>
        <v>0</v>
      </c>
      <c r="AS1695">
        <f>N(AS1694)+$AR1695</f>
        <v>10</v>
      </c>
    </row>
    <row r="1696" s="127">
      <c r="A1696">
        <f>IF(对接源_02物料!$C496="","",对接源_02物料!$C496)</f>
      </c>
      <c r="B1696">
        <f>IF(A1696="",0,IF(MATCH(A1696,$A$4:$A$2403,0)=ROW()-3,1,0))</f>
        <v>0</v>
      </c>
      <c r="C1696">
        <f>N(C1695)+B1696</f>
        <v>26</v>
      </c>
      <c r="K1696">
        <f>IF(OR($K$1="",对接源_02物料!$C496="",对接源_02物料!$C496&lt;&gt;$K$1,对接源_02物料!$B496=""),0,IF(OR(N(对接源_02物料!$B496)&lt;$K$2,N(对接源_02物料!$B496)&gt;$K$3),0,1))</f>
        <v>0</v>
      </c>
      <c r="L1696">
        <f>IF(OR($L$1="",对接源_02物料!$C496="",对接源_02物料!$C496&lt;&gt;$L$1,对接源_02物料!$B496=""),0,IF(OR(N(对接源_02物料!$B496)&lt;$L$2,N(对接源_02物料!$B496)&gt;$L$3),0,1))</f>
        <v>0</v>
      </c>
      <c r="M1696">
        <f>IF(OR($M$1="",对接源_02物料!$C496="",对接源_02物料!$C496&lt;&gt;$M$1,对接源_02物料!$B496=""),0,IF(OR(N(对接源_02物料!$B496)&lt;$M$2,N(对接源_02物料!$B496)&gt;$M$3),0,1))</f>
        <v>0</v>
      </c>
      <c r="N1696">
        <f>IF(OR($N$1="",对接源_02物料!$C496="",对接源_02物料!$C496&lt;&gt;$N$1,对接源_02物料!$B496=""),0,IF(OR(N(对接源_02物料!$B496)&lt;$N$2,N(对接源_02物料!$B496)&gt;$N$3),0,1))</f>
        <v>0</v>
      </c>
      <c r="P1696">
        <f>IF(AND($K1696=1,AND(对接源_02物料!$X496="公司筐",N(对接源_02物料!$T496)&lt;&gt;0)),1,0)</f>
        <v>0</v>
      </c>
      <c r="Q1696">
        <f>N(Q1695)+$P1696</f>
        <v>14</v>
      </c>
      <c r="R1696">
        <f>IF(AND($K1696=1,AND(对接源_02物料!$X496="公司筐",N(对接源_02物料!$U496)&lt;&gt;0)),1,0)</f>
        <v>0</v>
      </c>
      <c r="S1696">
        <f>N(S1695)+$R1696</f>
        <v>1</v>
      </c>
      <c r="T1696">
        <f>IF(AND($K1696=1,AND(对接源_02物料!$X496="公司筐",N(对接源_02物料!$V496)&lt;&gt;0)),1,0)</f>
        <v>0</v>
      </c>
      <c r="U1696">
        <f>N(U1695)+$T1696</f>
        <v>47</v>
      </c>
      <c r="V1696">
        <f>IF(AND($L1696=1,AND(对接源_02物料!$X496="自备筐",N(对接源_02物料!$V496)&lt;&gt;0)),1,0)</f>
        <v>0</v>
      </c>
      <c r="W1696">
        <f>N(W1695)+$V1696</f>
        <v>11</v>
      </c>
      <c r="X1696">
        <f>IF(AND($L1696=1,AND(对接源_02物料!$X496="自备筐",N(对接源_02物料!$T496)&lt;&gt;0)),1,0)</f>
        <v>0</v>
      </c>
      <c r="Y1696">
        <f>N(Y1695)+$X1696</f>
        <v>0</v>
      </c>
      <c r="Z1696">
        <f>IF(AND($M1696=1,对接源_02物料!$D496="原料入库"),1,0)</f>
        <v>0</v>
      </c>
      <c r="AA1696">
        <f>N(AA1695)+$Z1696</f>
        <v>24</v>
      </c>
      <c r="AB1696">
        <f>IF(AND($M1696=1,LEFT(对接源_02物料!$D496,4)="原料出库"),1,0)</f>
        <v>0</v>
      </c>
      <c r="AC1696">
        <f>N(AC1695)+$AB1696</f>
        <v>0</v>
      </c>
      <c r="AD1696">
        <f>IF(AND($M1696=1,LEFT(对接源_02物料!$D496,4)="成品出库"),1,0)</f>
        <v>0</v>
      </c>
      <c r="AE1696">
        <f>N(AE1695)+$AD1696</f>
        <v>0</v>
      </c>
      <c r="AF1696">
        <f>IF(AND($N1696=1,AND(LEFT(对接源_02物料!$D496,4)="包装物料",N(对接源_02物料!$K496)&lt;&gt;0)),1,0)</f>
        <v>0</v>
      </c>
      <c r="AG1696">
        <f>N(AG1695)+$AF1696</f>
        <v>10</v>
      </c>
      <c r="AH1696">
        <f>IF(AND($N1696=1,AND(对接源_02物料!$D496="周转筐－销售出库",N(对接源_02物料!$K496)&lt;&gt;0)),1,0)</f>
        <v>0</v>
      </c>
      <c r="AI1696">
        <f>N(AI1695)+$AH1696</f>
        <v>0</v>
      </c>
      <c r="AL1696" t="n">
        <v>0</v>
      </c>
      <c r="AM1696">
        <f>N(AM1695)+$AL1696</f>
        <v>2</v>
      </c>
      <c r="AN1696">
        <f>""</f>
      </c>
      <c r="AO1696" t="n">
        <v>0</v>
      </c>
      <c r="AP1696">
        <f>N(AP1695)+$AO1696</f>
        <v>13</v>
      </c>
      <c r="AR1696">
        <f>IF(OR($AF1696=1,$AH1696=1),1,0)</f>
        <v>0</v>
      </c>
      <c r="AS1696">
        <f>N(AS1695)+$AR1696</f>
        <v>10</v>
      </c>
    </row>
    <row r="1697" s="127">
      <c r="A1697">
        <f>IF(对接源_02物料!$C497="","",对接源_02物料!$C497)</f>
      </c>
      <c r="B1697">
        <f>IF(A1697="",0,IF(MATCH(A1697,$A$4:$A$2403,0)=ROW()-3,1,0))</f>
        <v>0</v>
      </c>
      <c r="C1697">
        <f>N(C1696)+B1697</f>
        <v>26</v>
      </c>
      <c r="K1697">
        <f>IF(OR($K$1="",对接源_02物料!$C497="",对接源_02物料!$C497&lt;&gt;$K$1,对接源_02物料!$B497=""),0,IF(OR(N(对接源_02物料!$B497)&lt;$K$2,N(对接源_02物料!$B497)&gt;$K$3),0,1))</f>
        <v>0</v>
      </c>
      <c r="L1697">
        <f>IF(OR($L$1="",对接源_02物料!$C497="",对接源_02物料!$C497&lt;&gt;$L$1,对接源_02物料!$B497=""),0,IF(OR(N(对接源_02物料!$B497)&lt;$L$2,N(对接源_02物料!$B497)&gt;$L$3),0,1))</f>
        <v>0</v>
      </c>
      <c r="M1697">
        <f>IF(OR($M$1="",对接源_02物料!$C497="",对接源_02物料!$C497&lt;&gt;$M$1,对接源_02物料!$B497=""),0,IF(OR(N(对接源_02物料!$B497)&lt;$M$2,N(对接源_02物料!$B497)&gt;$M$3),0,1))</f>
        <v>0</v>
      </c>
      <c r="N1697">
        <f>IF(OR($N$1="",对接源_02物料!$C497="",对接源_02物料!$C497&lt;&gt;$N$1,对接源_02物料!$B497=""),0,IF(OR(N(对接源_02物料!$B497)&lt;$N$2,N(对接源_02物料!$B497)&gt;$N$3),0,1))</f>
        <v>0</v>
      </c>
      <c r="P1697">
        <f>IF(AND($K1697=1,AND(对接源_02物料!$X497="公司筐",N(对接源_02物料!$T497)&lt;&gt;0)),1,0)</f>
        <v>0</v>
      </c>
      <c r="Q1697">
        <f>N(Q1696)+$P1697</f>
        <v>14</v>
      </c>
      <c r="R1697">
        <f>IF(AND($K1697=1,AND(对接源_02物料!$X497="公司筐",N(对接源_02物料!$U497)&lt;&gt;0)),1,0)</f>
        <v>0</v>
      </c>
      <c r="S1697">
        <f>N(S1696)+$R1697</f>
        <v>1</v>
      </c>
      <c r="T1697">
        <f>IF(AND($K1697=1,AND(对接源_02物料!$X497="公司筐",N(对接源_02物料!$V497)&lt;&gt;0)),1,0)</f>
        <v>0</v>
      </c>
      <c r="U1697">
        <f>N(U1696)+$T1697</f>
        <v>47</v>
      </c>
      <c r="V1697">
        <f>IF(AND($L1697=1,AND(对接源_02物料!$X497="自备筐",N(对接源_02物料!$V497)&lt;&gt;0)),1,0)</f>
        <v>0</v>
      </c>
      <c r="W1697">
        <f>N(W1696)+$V1697</f>
        <v>11</v>
      </c>
      <c r="X1697">
        <f>IF(AND($L1697=1,AND(对接源_02物料!$X497="自备筐",N(对接源_02物料!$T497)&lt;&gt;0)),1,0)</f>
        <v>0</v>
      </c>
      <c r="Y1697">
        <f>N(Y1696)+$X1697</f>
        <v>0</v>
      </c>
      <c r="Z1697">
        <f>IF(AND($M1697=1,对接源_02物料!$D497="原料入库"),1,0)</f>
        <v>0</v>
      </c>
      <c r="AA1697">
        <f>N(AA1696)+$Z1697</f>
        <v>24</v>
      </c>
      <c r="AB1697">
        <f>IF(AND($M1697=1,LEFT(对接源_02物料!$D497,4)="原料出库"),1,0)</f>
        <v>0</v>
      </c>
      <c r="AC1697">
        <f>N(AC1696)+$AB1697</f>
        <v>0</v>
      </c>
      <c r="AD1697">
        <f>IF(AND($M1697=1,LEFT(对接源_02物料!$D497,4)="成品出库"),1,0)</f>
        <v>0</v>
      </c>
      <c r="AE1697">
        <f>N(AE1696)+$AD1697</f>
        <v>0</v>
      </c>
      <c r="AF1697">
        <f>IF(AND($N1697=1,AND(LEFT(对接源_02物料!$D497,4)="包装物料",N(对接源_02物料!$K497)&lt;&gt;0)),1,0)</f>
        <v>0</v>
      </c>
      <c r="AG1697">
        <f>N(AG1696)+$AF1697</f>
        <v>10</v>
      </c>
      <c r="AH1697">
        <f>IF(AND($N1697=1,AND(对接源_02物料!$D497="周转筐－销售出库",N(对接源_02物料!$K497)&lt;&gt;0)),1,0)</f>
        <v>0</v>
      </c>
      <c r="AI1697">
        <f>N(AI1696)+$AH1697</f>
        <v>0</v>
      </c>
      <c r="AL1697" t="n">
        <v>0</v>
      </c>
      <c r="AM1697">
        <f>N(AM1696)+$AL1697</f>
        <v>2</v>
      </c>
      <c r="AN1697">
        <f>""</f>
      </c>
      <c r="AO1697" t="n">
        <v>0</v>
      </c>
      <c r="AP1697">
        <f>N(AP1696)+$AO1697</f>
        <v>13</v>
      </c>
      <c r="AR1697">
        <f>IF(OR($AF1697=1,$AH1697=1),1,0)</f>
        <v>0</v>
      </c>
      <c r="AS1697">
        <f>N(AS1696)+$AR1697</f>
        <v>10</v>
      </c>
    </row>
    <row r="1698" s="127">
      <c r="A1698">
        <f>IF(对接源_02物料!$C498="","",对接源_02物料!$C498)</f>
      </c>
      <c r="B1698">
        <f>IF(A1698="",0,IF(MATCH(A1698,$A$4:$A$2403,0)=ROW()-3,1,0))</f>
        <v>0</v>
      </c>
      <c r="C1698">
        <f>N(C1697)+B1698</f>
        <v>26</v>
      </c>
      <c r="K1698">
        <f>IF(OR($K$1="",对接源_02物料!$C498="",对接源_02物料!$C498&lt;&gt;$K$1,对接源_02物料!$B498=""),0,IF(OR(N(对接源_02物料!$B498)&lt;$K$2,N(对接源_02物料!$B498)&gt;$K$3),0,1))</f>
        <v>0</v>
      </c>
      <c r="L1698">
        <f>IF(OR($L$1="",对接源_02物料!$C498="",对接源_02物料!$C498&lt;&gt;$L$1,对接源_02物料!$B498=""),0,IF(OR(N(对接源_02物料!$B498)&lt;$L$2,N(对接源_02物料!$B498)&gt;$L$3),0,1))</f>
        <v>0</v>
      </c>
      <c r="M1698">
        <f>IF(OR($M$1="",对接源_02物料!$C498="",对接源_02物料!$C498&lt;&gt;$M$1,对接源_02物料!$B498=""),0,IF(OR(N(对接源_02物料!$B498)&lt;$M$2,N(对接源_02物料!$B498)&gt;$M$3),0,1))</f>
        <v>0</v>
      </c>
      <c r="N1698">
        <f>IF(OR($N$1="",对接源_02物料!$C498="",对接源_02物料!$C498&lt;&gt;$N$1,对接源_02物料!$B498=""),0,IF(OR(N(对接源_02物料!$B498)&lt;$N$2,N(对接源_02物料!$B498)&gt;$N$3),0,1))</f>
        <v>0</v>
      </c>
      <c r="P1698">
        <f>IF(AND($K1698=1,AND(对接源_02物料!$X498="公司筐",N(对接源_02物料!$T498)&lt;&gt;0)),1,0)</f>
        <v>0</v>
      </c>
      <c r="Q1698">
        <f>N(Q1697)+$P1698</f>
        <v>14</v>
      </c>
      <c r="R1698">
        <f>IF(AND($K1698=1,AND(对接源_02物料!$X498="公司筐",N(对接源_02物料!$U498)&lt;&gt;0)),1,0)</f>
        <v>0</v>
      </c>
      <c r="S1698">
        <f>N(S1697)+$R1698</f>
        <v>1</v>
      </c>
      <c r="T1698">
        <f>IF(AND($K1698=1,AND(对接源_02物料!$X498="公司筐",N(对接源_02物料!$V498)&lt;&gt;0)),1,0)</f>
        <v>0</v>
      </c>
      <c r="U1698">
        <f>N(U1697)+$T1698</f>
        <v>47</v>
      </c>
      <c r="V1698">
        <f>IF(AND($L1698=1,AND(对接源_02物料!$X498="自备筐",N(对接源_02物料!$V498)&lt;&gt;0)),1,0)</f>
        <v>0</v>
      </c>
      <c r="W1698">
        <f>N(W1697)+$V1698</f>
        <v>11</v>
      </c>
      <c r="X1698">
        <f>IF(AND($L1698=1,AND(对接源_02物料!$X498="自备筐",N(对接源_02物料!$T498)&lt;&gt;0)),1,0)</f>
        <v>0</v>
      </c>
      <c r="Y1698">
        <f>N(Y1697)+$X1698</f>
        <v>0</v>
      </c>
      <c r="Z1698">
        <f>IF(AND($M1698=1,对接源_02物料!$D498="原料入库"),1,0)</f>
        <v>0</v>
      </c>
      <c r="AA1698">
        <f>N(AA1697)+$Z1698</f>
        <v>24</v>
      </c>
      <c r="AB1698">
        <f>IF(AND($M1698=1,LEFT(对接源_02物料!$D498,4)="原料出库"),1,0)</f>
        <v>0</v>
      </c>
      <c r="AC1698">
        <f>N(AC1697)+$AB1698</f>
        <v>0</v>
      </c>
      <c r="AD1698">
        <f>IF(AND($M1698=1,LEFT(对接源_02物料!$D498,4)="成品出库"),1,0)</f>
        <v>0</v>
      </c>
      <c r="AE1698">
        <f>N(AE1697)+$AD1698</f>
        <v>0</v>
      </c>
      <c r="AF1698">
        <f>IF(AND($N1698=1,AND(LEFT(对接源_02物料!$D498,4)="包装物料",N(对接源_02物料!$K498)&lt;&gt;0)),1,0)</f>
        <v>0</v>
      </c>
      <c r="AG1698">
        <f>N(AG1697)+$AF1698</f>
        <v>10</v>
      </c>
      <c r="AH1698">
        <f>IF(AND($N1698=1,AND(对接源_02物料!$D498="周转筐－销售出库",N(对接源_02物料!$K498)&lt;&gt;0)),1,0)</f>
        <v>0</v>
      </c>
      <c r="AI1698">
        <f>N(AI1697)+$AH1698</f>
        <v>0</v>
      </c>
      <c r="AL1698" t="n">
        <v>0</v>
      </c>
      <c r="AM1698">
        <f>N(AM1697)+$AL1698</f>
        <v>2</v>
      </c>
      <c r="AN1698">
        <f>""</f>
      </c>
      <c r="AO1698" t="n">
        <v>0</v>
      </c>
      <c r="AP1698">
        <f>N(AP1697)+$AO1698</f>
        <v>13</v>
      </c>
      <c r="AR1698">
        <f>IF(OR($AF1698=1,$AH1698=1),1,0)</f>
        <v>0</v>
      </c>
      <c r="AS1698">
        <f>N(AS1697)+$AR1698</f>
        <v>10</v>
      </c>
    </row>
    <row r="1699" s="127">
      <c r="A1699">
        <f>IF(对接源_02物料!$C499="","",对接源_02物料!$C499)</f>
      </c>
      <c r="B1699">
        <f>IF(A1699="",0,IF(MATCH(A1699,$A$4:$A$2403,0)=ROW()-3,1,0))</f>
        <v>0</v>
      </c>
      <c r="C1699">
        <f>N(C1698)+B1699</f>
        <v>26</v>
      </c>
      <c r="K1699">
        <f>IF(OR($K$1="",对接源_02物料!$C499="",对接源_02物料!$C499&lt;&gt;$K$1,对接源_02物料!$B499=""),0,IF(OR(N(对接源_02物料!$B499)&lt;$K$2,N(对接源_02物料!$B499)&gt;$K$3),0,1))</f>
        <v>0</v>
      </c>
      <c r="L1699">
        <f>IF(OR($L$1="",对接源_02物料!$C499="",对接源_02物料!$C499&lt;&gt;$L$1,对接源_02物料!$B499=""),0,IF(OR(N(对接源_02物料!$B499)&lt;$L$2,N(对接源_02物料!$B499)&gt;$L$3),0,1))</f>
        <v>0</v>
      </c>
      <c r="M1699">
        <f>IF(OR($M$1="",对接源_02物料!$C499="",对接源_02物料!$C499&lt;&gt;$M$1,对接源_02物料!$B499=""),0,IF(OR(N(对接源_02物料!$B499)&lt;$M$2,N(对接源_02物料!$B499)&gt;$M$3),0,1))</f>
        <v>0</v>
      </c>
      <c r="N1699">
        <f>IF(OR($N$1="",对接源_02物料!$C499="",对接源_02物料!$C499&lt;&gt;$N$1,对接源_02物料!$B499=""),0,IF(OR(N(对接源_02物料!$B499)&lt;$N$2,N(对接源_02物料!$B499)&gt;$N$3),0,1))</f>
        <v>0</v>
      </c>
      <c r="P1699">
        <f>IF(AND($K1699=1,AND(对接源_02物料!$X499="公司筐",N(对接源_02物料!$T499)&lt;&gt;0)),1,0)</f>
        <v>0</v>
      </c>
      <c r="Q1699">
        <f>N(Q1698)+$P1699</f>
        <v>14</v>
      </c>
      <c r="R1699">
        <f>IF(AND($K1699=1,AND(对接源_02物料!$X499="公司筐",N(对接源_02物料!$U499)&lt;&gt;0)),1,0)</f>
        <v>0</v>
      </c>
      <c r="S1699">
        <f>N(S1698)+$R1699</f>
        <v>1</v>
      </c>
      <c r="T1699">
        <f>IF(AND($K1699=1,AND(对接源_02物料!$X499="公司筐",N(对接源_02物料!$V499)&lt;&gt;0)),1,0)</f>
        <v>0</v>
      </c>
      <c r="U1699">
        <f>N(U1698)+$T1699</f>
        <v>47</v>
      </c>
      <c r="V1699">
        <f>IF(AND($L1699=1,AND(对接源_02物料!$X499="自备筐",N(对接源_02物料!$V499)&lt;&gt;0)),1,0)</f>
        <v>0</v>
      </c>
      <c r="W1699">
        <f>N(W1698)+$V1699</f>
        <v>11</v>
      </c>
      <c r="X1699">
        <f>IF(AND($L1699=1,AND(对接源_02物料!$X499="自备筐",N(对接源_02物料!$T499)&lt;&gt;0)),1,0)</f>
        <v>0</v>
      </c>
      <c r="Y1699">
        <f>N(Y1698)+$X1699</f>
        <v>0</v>
      </c>
      <c r="Z1699">
        <f>IF(AND($M1699=1,对接源_02物料!$D499="原料入库"),1,0)</f>
        <v>0</v>
      </c>
      <c r="AA1699">
        <f>N(AA1698)+$Z1699</f>
        <v>24</v>
      </c>
      <c r="AB1699">
        <f>IF(AND($M1699=1,LEFT(对接源_02物料!$D499,4)="原料出库"),1,0)</f>
        <v>0</v>
      </c>
      <c r="AC1699">
        <f>N(AC1698)+$AB1699</f>
        <v>0</v>
      </c>
      <c r="AD1699">
        <f>IF(AND($M1699=1,LEFT(对接源_02物料!$D499,4)="成品出库"),1,0)</f>
        <v>0</v>
      </c>
      <c r="AE1699">
        <f>N(AE1698)+$AD1699</f>
        <v>0</v>
      </c>
      <c r="AF1699">
        <f>IF(AND($N1699=1,AND(LEFT(对接源_02物料!$D499,4)="包装物料",N(对接源_02物料!$K499)&lt;&gt;0)),1,0)</f>
        <v>0</v>
      </c>
      <c r="AG1699">
        <f>N(AG1698)+$AF1699</f>
        <v>10</v>
      </c>
      <c r="AH1699">
        <f>IF(AND($N1699=1,AND(对接源_02物料!$D499="周转筐－销售出库",N(对接源_02物料!$K499)&lt;&gt;0)),1,0)</f>
        <v>0</v>
      </c>
      <c r="AI1699">
        <f>N(AI1698)+$AH1699</f>
        <v>0</v>
      </c>
      <c r="AL1699" t="n">
        <v>0</v>
      </c>
      <c r="AM1699">
        <f>N(AM1698)+$AL1699</f>
        <v>2</v>
      </c>
      <c r="AN1699">
        <f>""</f>
      </c>
      <c r="AO1699" t="n">
        <v>0</v>
      </c>
      <c r="AP1699">
        <f>N(AP1698)+$AO1699</f>
        <v>13</v>
      </c>
      <c r="AR1699">
        <f>IF(OR($AF1699=1,$AH1699=1),1,0)</f>
        <v>0</v>
      </c>
      <c r="AS1699">
        <f>N(AS1698)+$AR1699</f>
        <v>10</v>
      </c>
    </row>
    <row r="1700" s="127">
      <c r="A1700">
        <f>IF(对接源_02物料!$C500="","",对接源_02物料!$C500)</f>
      </c>
      <c r="B1700">
        <f>IF(A1700="",0,IF(MATCH(A1700,$A$4:$A$2403,0)=ROW()-3,1,0))</f>
        <v>0</v>
      </c>
      <c r="C1700">
        <f>N(C1699)+B1700</f>
        <v>26</v>
      </c>
      <c r="K1700">
        <f>IF(OR($K$1="",对接源_02物料!$C500="",对接源_02物料!$C500&lt;&gt;$K$1,对接源_02物料!$B500=""),0,IF(OR(N(对接源_02物料!$B500)&lt;$K$2,N(对接源_02物料!$B500)&gt;$K$3),0,1))</f>
        <v>0</v>
      </c>
      <c r="L1700">
        <f>IF(OR($L$1="",对接源_02物料!$C500="",对接源_02物料!$C500&lt;&gt;$L$1,对接源_02物料!$B500=""),0,IF(OR(N(对接源_02物料!$B500)&lt;$L$2,N(对接源_02物料!$B500)&gt;$L$3),0,1))</f>
        <v>0</v>
      </c>
      <c r="M1700">
        <f>IF(OR($M$1="",对接源_02物料!$C500="",对接源_02物料!$C500&lt;&gt;$M$1,对接源_02物料!$B500=""),0,IF(OR(N(对接源_02物料!$B500)&lt;$M$2,N(对接源_02物料!$B500)&gt;$M$3),0,1))</f>
        <v>0</v>
      </c>
      <c r="N1700">
        <f>IF(OR($N$1="",对接源_02物料!$C500="",对接源_02物料!$C500&lt;&gt;$N$1,对接源_02物料!$B500=""),0,IF(OR(N(对接源_02物料!$B500)&lt;$N$2,N(对接源_02物料!$B500)&gt;$N$3),0,1))</f>
        <v>0</v>
      </c>
      <c r="P1700">
        <f>IF(AND($K1700=1,AND(对接源_02物料!$X500="公司筐",N(对接源_02物料!$T500)&lt;&gt;0)),1,0)</f>
        <v>0</v>
      </c>
      <c r="Q1700">
        <f>N(Q1699)+$P1700</f>
        <v>14</v>
      </c>
      <c r="R1700">
        <f>IF(AND($K1700=1,AND(对接源_02物料!$X500="公司筐",N(对接源_02物料!$U500)&lt;&gt;0)),1,0)</f>
        <v>0</v>
      </c>
      <c r="S1700">
        <f>N(S1699)+$R1700</f>
        <v>1</v>
      </c>
      <c r="T1700">
        <f>IF(AND($K1700=1,AND(对接源_02物料!$X500="公司筐",N(对接源_02物料!$V500)&lt;&gt;0)),1,0)</f>
        <v>0</v>
      </c>
      <c r="U1700">
        <f>N(U1699)+$T1700</f>
        <v>47</v>
      </c>
      <c r="V1700">
        <f>IF(AND($L1700=1,AND(对接源_02物料!$X500="自备筐",N(对接源_02物料!$V500)&lt;&gt;0)),1,0)</f>
        <v>0</v>
      </c>
      <c r="W1700">
        <f>N(W1699)+$V1700</f>
        <v>11</v>
      </c>
      <c r="X1700">
        <f>IF(AND($L1700=1,AND(对接源_02物料!$X500="自备筐",N(对接源_02物料!$T500)&lt;&gt;0)),1,0)</f>
        <v>0</v>
      </c>
      <c r="Y1700">
        <f>N(Y1699)+$X1700</f>
        <v>0</v>
      </c>
      <c r="Z1700">
        <f>IF(AND($M1700=1,对接源_02物料!$D500="原料入库"),1,0)</f>
        <v>0</v>
      </c>
      <c r="AA1700">
        <f>N(AA1699)+$Z1700</f>
        <v>24</v>
      </c>
      <c r="AB1700">
        <f>IF(AND($M1700=1,LEFT(对接源_02物料!$D500,4)="原料出库"),1,0)</f>
        <v>0</v>
      </c>
      <c r="AC1700">
        <f>N(AC1699)+$AB1700</f>
        <v>0</v>
      </c>
      <c r="AD1700">
        <f>IF(AND($M1700=1,LEFT(对接源_02物料!$D500,4)="成品出库"),1,0)</f>
        <v>0</v>
      </c>
      <c r="AE1700">
        <f>N(AE1699)+$AD1700</f>
        <v>0</v>
      </c>
      <c r="AF1700">
        <f>IF(AND($N1700=1,AND(LEFT(对接源_02物料!$D500,4)="包装物料",N(对接源_02物料!$K500)&lt;&gt;0)),1,0)</f>
        <v>0</v>
      </c>
      <c r="AG1700">
        <f>N(AG1699)+$AF1700</f>
        <v>10</v>
      </c>
      <c r="AH1700">
        <f>IF(AND($N1700=1,AND(对接源_02物料!$D500="周转筐－销售出库",N(对接源_02物料!$K500)&lt;&gt;0)),1,0)</f>
        <v>0</v>
      </c>
      <c r="AI1700">
        <f>N(AI1699)+$AH1700</f>
        <v>0</v>
      </c>
      <c r="AL1700" t="n">
        <v>0</v>
      </c>
      <c r="AM1700">
        <f>N(AM1699)+$AL1700</f>
        <v>2</v>
      </c>
      <c r="AN1700">
        <f>""</f>
      </c>
      <c r="AO1700" t="n">
        <v>0</v>
      </c>
      <c r="AP1700">
        <f>N(AP1699)+$AO1700</f>
        <v>13</v>
      </c>
      <c r="AR1700">
        <f>IF(OR($AF1700=1,$AH1700=1),1,0)</f>
        <v>0</v>
      </c>
      <c r="AS1700">
        <f>N(AS1699)+$AR1700</f>
        <v>10</v>
      </c>
    </row>
    <row r="1701" s="127">
      <c r="A1701">
        <f>IF(对接源_02物料!$C501="","",对接源_02物料!$C501)</f>
      </c>
      <c r="B1701">
        <f>IF(A1701="",0,IF(MATCH(A1701,$A$4:$A$2403,0)=ROW()-3,1,0))</f>
        <v>0</v>
      </c>
      <c r="C1701">
        <f>N(C1700)+B1701</f>
        <v>26</v>
      </c>
      <c r="K1701">
        <f>IF(OR($K$1="",对接源_02物料!$C501="",对接源_02物料!$C501&lt;&gt;$K$1,对接源_02物料!$B501=""),0,IF(OR(N(对接源_02物料!$B501)&lt;$K$2,N(对接源_02物料!$B501)&gt;$K$3),0,1))</f>
        <v>0</v>
      </c>
      <c r="L1701">
        <f>IF(OR($L$1="",对接源_02物料!$C501="",对接源_02物料!$C501&lt;&gt;$L$1,对接源_02物料!$B501=""),0,IF(OR(N(对接源_02物料!$B501)&lt;$L$2,N(对接源_02物料!$B501)&gt;$L$3),0,1))</f>
        <v>0</v>
      </c>
      <c r="M1701">
        <f>IF(OR($M$1="",对接源_02物料!$C501="",对接源_02物料!$C501&lt;&gt;$M$1,对接源_02物料!$B501=""),0,IF(OR(N(对接源_02物料!$B501)&lt;$M$2,N(对接源_02物料!$B501)&gt;$M$3),0,1))</f>
        <v>0</v>
      </c>
      <c r="N1701">
        <f>IF(OR($N$1="",对接源_02物料!$C501="",对接源_02物料!$C501&lt;&gt;$N$1,对接源_02物料!$B501=""),0,IF(OR(N(对接源_02物料!$B501)&lt;$N$2,N(对接源_02物料!$B501)&gt;$N$3),0,1))</f>
        <v>0</v>
      </c>
      <c r="P1701">
        <f>IF(AND($K1701=1,AND(对接源_02物料!$X501="公司筐",N(对接源_02物料!$T501)&lt;&gt;0)),1,0)</f>
        <v>0</v>
      </c>
      <c r="Q1701">
        <f>N(Q1700)+$P1701</f>
        <v>14</v>
      </c>
      <c r="R1701">
        <f>IF(AND($K1701=1,AND(对接源_02物料!$X501="公司筐",N(对接源_02物料!$U501)&lt;&gt;0)),1,0)</f>
        <v>0</v>
      </c>
      <c r="S1701">
        <f>N(S1700)+$R1701</f>
        <v>1</v>
      </c>
      <c r="T1701">
        <f>IF(AND($K1701=1,AND(对接源_02物料!$X501="公司筐",N(对接源_02物料!$V501)&lt;&gt;0)),1,0)</f>
        <v>0</v>
      </c>
      <c r="U1701">
        <f>N(U1700)+$T1701</f>
        <v>47</v>
      </c>
      <c r="V1701">
        <f>IF(AND($L1701=1,AND(对接源_02物料!$X501="自备筐",N(对接源_02物料!$V501)&lt;&gt;0)),1,0)</f>
        <v>0</v>
      </c>
      <c r="W1701">
        <f>N(W1700)+$V1701</f>
        <v>11</v>
      </c>
      <c r="X1701">
        <f>IF(AND($L1701=1,AND(对接源_02物料!$X501="自备筐",N(对接源_02物料!$T501)&lt;&gt;0)),1,0)</f>
        <v>0</v>
      </c>
      <c r="Y1701">
        <f>N(Y1700)+$X1701</f>
        <v>0</v>
      </c>
      <c r="Z1701">
        <f>IF(AND($M1701=1,对接源_02物料!$D501="原料入库"),1,0)</f>
        <v>0</v>
      </c>
      <c r="AA1701">
        <f>N(AA1700)+$Z1701</f>
        <v>24</v>
      </c>
      <c r="AB1701">
        <f>IF(AND($M1701=1,LEFT(对接源_02物料!$D501,4)="原料出库"),1,0)</f>
        <v>0</v>
      </c>
      <c r="AC1701">
        <f>N(AC1700)+$AB1701</f>
        <v>0</v>
      </c>
      <c r="AD1701">
        <f>IF(AND($M1701=1,LEFT(对接源_02物料!$D501,4)="成品出库"),1,0)</f>
        <v>0</v>
      </c>
      <c r="AE1701">
        <f>N(AE1700)+$AD1701</f>
        <v>0</v>
      </c>
      <c r="AF1701">
        <f>IF(AND($N1701=1,AND(LEFT(对接源_02物料!$D501,4)="包装物料",N(对接源_02物料!$K501)&lt;&gt;0)),1,0)</f>
        <v>0</v>
      </c>
      <c r="AG1701">
        <f>N(AG1700)+$AF1701</f>
        <v>10</v>
      </c>
      <c r="AH1701">
        <f>IF(AND($N1701=1,AND(对接源_02物料!$D501="周转筐－销售出库",N(对接源_02物料!$K501)&lt;&gt;0)),1,0)</f>
        <v>0</v>
      </c>
      <c r="AI1701">
        <f>N(AI1700)+$AH1701</f>
        <v>0</v>
      </c>
      <c r="AL1701" t="n">
        <v>0</v>
      </c>
      <c r="AM1701">
        <f>N(AM1700)+$AL1701</f>
        <v>2</v>
      </c>
      <c r="AN1701">
        <f>""</f>
      </c>
      <c r="AO1701" t="n">
        <v>0</v>
      </c>
      <c r="AP1701">
        <f>N(AP1700)+$AO1701</f>
        <v>13</v>
      </c>
      <c r="AR1701">
        <f>IF(OR($AF1701=1,$AH1701=1),1,0)</f>
        <v>0</v>
      </c>
      <c r="AS1701">
        <f>N(AS1700)+$AR1701</f>
        <v>10</v>
      </c>
    </row>
    <row r="1702" s="127">
      <c r="A1702">
        <f>IF(对接源_02物料!$C502="","",对接源_02物料!$C502)</f>
      </c>
      <c r="B1702">
        <f>IF(A1702="",0,IF(MATCH(A1702,$A$4:$A$2403,0)=ROW()-3,1,0))</f>
        <v>0</v>
      </c>
      <c r="C1702">
        <f>N(C1701)+B1702</f>
        <v>26</v>
      </c>
      <c r="K1702">
        <f>IF(OR($K$1="",对接源_02物料!$C502="",对接源_02物料!$C502&lt;&gt;$K$1,对接源_02物料!$B502=""),0,IF(OR(N(对接源_02物料!$B502)&lt;$K$2,N(对接源_02物料!$B502)&gt;$K$3),0,1))</f>
        <v>0</v>
      </c>
      <c r="L1702">
        <f>IF(OR($L$1="",对接源_02物料!$C502="",对接源_02物料!$C502&lt;&gt;$L$1,对接源_02物料!$B502=""),0,IF(OR(N(对接源_02物料!$B502)&lt;$L$2,N(对接源_02物料!$B502)&gt;$L$3),0,1))</f>
        <v>0</v>
      </c>
      <c r="M1702">
        <f>IF(OR($M$1="",对接源_02物料!$C502="",对接源_02物料!$C502&lt;&gt;$M$1,对接源_02物料!$B502=""),0,IF(OR(N(对接源_02物料!$B502)&lt;$M$2,N(对接源_02物料!$B502)&gt;$M$3),0,1))</f>
        <v>0</v>
      </c>
      <c r="N1702">
        <f>IF(OR($N$1="",对接源_02物料!$C502="",对接源_02物料!$C502&lt;&gt;$N$1,对接源_02物料!$B502=""),0,IF(OR(N(对接源_02物料!$B502)&lt;$N$2,N(对接源_02物料!$B502)&gt;$N$3),0,1))</f>
        <v>0</v>
      </c>
      <c r="P1702">
        <f>IF(AND($K1702=1,AND(对接源_02物料!$X502="公司筐",N(对接源_02物料!$T502)&lt;&gt;0)),1,0)</f>
        <v>0</v>
      </c>
      <c r="Q1702">
        <f>N(Q1701)+$P1702</f>
        <v>14</v>
      </c>
      <c r="R1702">
        <f>IF(AND($K1702=1,AND(对接源_02物料!$X502="公司筐",N(对接源_02物料!$U502)&lt;&gt;0)),1,0)</f>
        <v>0</v>
      </c>
      <c r="S1702">
        <f>N(S1701)+$R1702</f>
        <v>1</v>
      </c>
      <c r="T1702">
        <f>IF(AND($K1702=1,AND(对接源_02物料!$X502="公司筐",N(对接源_02物料!$V502)&lt;&gt;0)),1,0)</f>
        <v>0</v>
      </c>
      <c r="U1702">
        <f>N(U1701)+$T1702</f>
        <v>47</v>
      </c>
      <c r="V1702">
        <f>IF(AND($L1702=1,AND(对接源_02物料!$X502="自备筐",N(对接源_02物料!$V502)&lt;&gt;0)),1,0)</f>
        <v>0</v>
      </c>
      <c r="W1702">
        <f>N(W1701)+$V1702</f>
        <v>11</v>
      </c>
      <c r="X1702">
        <f>IF(AND($L1702=1,AND(对接源_02物料!$X502="自备筐",N(对接源_02物料!$T502)&lt;&gt;0)),1,0)</f>
        <v>0</v>
      </c>
      <c r="Y1702">
        <f>N(Y1701)+$X1702</f>
        <v>0</v>
      </c>
      <c r="Z1702">
        <f>IF(AND($M1702=1,对接源_02物料!$D502="原料入库"),1,0)</f>
        <v>0</v>
      </c>
      <c r="AA1702">
        <f>N(AA1701)+$Z1702</f>
        <v>24</v>
      </c>
      <c r="AB1702">
        <f>IF(AND($M1702=1,LEFT(对接源_02物料!$D502,4)="原料出库"),1,0)</f>
        <v>0</v>
      </c>
      <c r="AC1702">
        <f>N(AC1701)+$AB1702</f>
        <v>0</v>
      </c>
      <c r="AD1702">
        <f>IF(AND($M1702=1,LEFT(对接源_02物料!$D502,4)="成品出库"),1,0)</f>
        <v>0</v>
      </c>
      <c r="AE1702">
        <f>N(AE1701)+$AD1702</f>
        <v>0</v>
      </c>
      <c r="AF1702">
        <f>IF(AND($N1702=1,AND(LEFT(对接源_02物料!$D502,4)="包装物料",N(对接源_02物料!$K502)&lt;&gt;0)),1,0)</f>
        <v>0</v>
      </c>
      <c r="AG1702">
        <f>N(AG1701)+$AF1702</f>
        <v>10</v>
      </c>
      <c r="AH1702">
        <f>IF(AND($N1702=1,AND(对接源_02物料!$D502="周转筐－销售出库",N(对接源_02物料!$K502)&lt;&gt;0)),1,0)</f>
        <v>0</v>
      </c>
      <c r="AI1702">
        <f>N(AI1701)+$AH1702</f>
        <v>0</v>
      </c>
      <c r="AL1702" t="n">
        <v>0</v>
      </c>
      <c r="AM1702">
        <f>N(AM1701)+$AL1702</f>
        <v>2</v>
      </c>
      <c r="AN1702">
        <f>""</f>
      </c>
      <c r="AO1702" t="n">
        <v>0</v>
      </c>
      <c r="AP1702">
        <f>N(AP1701)+$AO1702</f>
        <v>13</v>
      </c>
      <c r="AR1702">
        <f>IF(OR($AF1702=1,$AH1702=1),1,0)</f>
        <v>0</v>
      </c>
      <c r="AS1702">
        <f>N(AS1701)+$AR1702</f>
        <v>10</v>
      </c>
    </row>
    <row r="1703" s="127">
      <c r="A1703">
        <f>IF(对接源_02物料!$C503="","",对接源_02物料!$C503)</f>
      </c>
      <c r="B1703">
        <f>IF(A1703="",0,IF(MATCH(A1703,$A$4:$A$2403,0)=ROW()-3,1,0))</f>
        <v>0</v>
      </c>
      <c r="C1703">
        <f>N(C1702)+B1703</f>
        <v>26</v>
      </c>
      <c r="K1703">
        <f>IF(OR($K$1="",对接源_02物料!$C503="",对接源_02物料!$C503&lt;&gt;$K$1,对接源_02物料!$B503=""),0,IF(OR(N(对接源_02物料!$B503)&lt;$K$2,N(对接源_02物料!$B503)&gt;$K$3),0,1))</f>
        <v>0</v>
      </c>
      <c r="L1703">
        <f>IF(OR($L$1="",对接源_02物料!$C503="",对接源_02物料!$C503&lt;&gt;$L$1,对接源_02物料!$B503=""),0,IF(OR(N(对接源_02物料!$B503)&lt;$L$2,N(对接源_02物料!$B503)&gt;$L$3),0,1))</f>
        <v>0</v>
      </c>
      <c r="M1703">
        <f>IF(OR($M$1="",对接源_02物料!$C503="",对接源_02物料!$C503&lt;&gt;$M$1,对接源_02物料!$B503=""),0,IF(OR(N(对接源_02物料!$B503)&lt;$M$2,N(对接源_02物料!$B503)&gt;$M$3),0,1))</f>
        <v>0</v>
      </c>
      <c r="N1703">
        <f>IF(OR($N$1="",对接源_02物料!$C503="",对接源_02物料!$C503&lt;&gt;$N$1,对接源_02物料!$B503=""),0,IF(OR(N(对接源_02物料!$B503)&lt;$N$2,N(对接源_02物料!$B503)&gt;$N$3),0,1))</f>
        <v>0</v>
      </c>
      <c r="P1703">
        <f>IF(AND($K1703=1,AND(对接源_02物料!$X503="公司筐",N(对接源_02物料!$T503)&lt;&gt;0)),1,0)</f>
        <v>0</v>
      </c>
      <c r="Q1703">
        <f>N(Q1702)+$P1703</f>
        <v>14</v>
      </c>
      <c r="R1703">
        <f>IF(AND($K1703=1,AND(对接源_02物料!$X503="公司筐",N(对接源_02物料!$U503)&lt;&gt;0)),1,0)</f>
        <v>0</v>
      </c>
      <c r="S1703">
        <f>N(S1702)+$R1703</f>
        <v>1</v>
      </c>
      <c r="T1703">
        <f>IF(AND($K1703=1,AND(对接源_02物料!$X503="公司筐",N(对接源_02物料!$V503)&lt;&gt;0)),1,0)</f>
        <v>0</v>
      </c>
      <c r="U1703">
        <f>N(U1702)+$T1703</f>
        <v>47</v>
      </c>
      <c r="V1703">
        <f>IF(AND($L1703=1,AND(对接源_02物料!$X503="自备筐",N(对接源_02物料!$V503)&lt;&gt;0)),1,0)</f>
        <v>0</v>
      </c>
      <c r="W1703">
        <f>N(W1702)+$V1703</f>
        <v>11</v>
      </c>
      <c r="X1703">
        <f>IF(AND($L1703=1,AND(对接源_02物料!$X503="自备筐",N(对接源_02物料!$T503)&lt;&gt;0)),1,0)</f>
        <v>0</v>
      </c>
      <c r="Y1703">
        <f>N(Y1702)+$X1703</f>
        <v>0</v>
      </c>
      <c r="Z1703">
        <f>IF(AND($M1703=1,对接源_02物料!$D503="原料入库"),1,0)</f>
        <v>0</v>
      </c>
      <c r="AA1703">
        <f>N(AA1702)+$Z1703</f>
        <v>24</v>
      </c>
      <c r="AB1703">
        <f>IF(AND($M1703=1,LEFT(对接源_02物料!$D503,4)="原料出库"),1,0)</f>
        <v>0</v>
      </c>
      <c r="AC1703">
        <f>N(AC1702)+$AB1703</f>
        <v>0</v>
      </c>
      <c r="AD1703">
        <f>IF(AND($M1703=1,LEFT(对接源_02物料!$D503,4)="成品出库"),1,0)</f>
        <v>0</v>
      </c>
      <c r="AE1703">
        <f>N(AE1702)+$AD1703</f>
        <v>0</v>
      </c>
      <c r="AF1703">
        <f>IF(AND($N1703=1,AND(LEFT(对接源_02物料!$D503,4)="包装物料",N(对接源_02物料!$K503)&lt;&gt;0)),1,0)</f>
        <v>0</v>
      </c>
      <c r="AG1703">
        <f>N(AG1702)+$AF1703</f>
        <v>10</v>
      </c>
      <c r="AH1703">
        <f>IF(AND($N1703=1,AND(对接源_02物料!$D503="周转筐－销售出库",N(对接源_02物料!$K503)&lt;&gt;0)),1,0)</f>
        <v>0</v>
      </c>
      <c r="AI1703">
        <f>N(AI1702)+$AH1703</f>
        <v>0</v>
      </c>
      <c r="AL1703" t="n">
        <v>0</v>
      </c>
      <c r="AM1703">
        <f>N(AM1702)+$AL1703</f>
        <v>2</v>
      </c>
      <c r="AN1703">
        <f>""</f>
      </c>
      <c r="AO1703" t="n">
        <v>0</v>
      </c>
      <c r="AP1703">
        <f>N(AP1702)+$AO1703</f>
        <v>13</v>
      </c>
      <c r="AR1703">
        <f>IF(OR($AF1703=1,$AH1703=1),1,0)</f>
        <v>0</v>
      </c>
      <c r="AS1703">
        <f>N(AS1702)+$AR1703</f>
        <v>10</v>
      </c>
    </row>
    <row r="1704" s="127">
      <c r="A1704">
        <f>IF(对接源_02物料!$C504="","",对接源_02物料!$C504)</f>
      </c>
      <c r="B1704">
        <f>IF(A1704="",0,IF(MATCH(A1704,$A$4:$A$2403,0)=ROW()-3,1,0))</f>
        <v>0</v>
      </c>
      <c r="C1704">
        <f>N(C1703)+B1704</f>
        <v>26</v>
      </c>
      <c r="K1704">
        <f>IF(OR($K$1="",对接源_02物料!$C504="",对接源_02物料!$C504&lt;&gt;$K$1,对接源_02物料!$B504=""),0,IF(OR(N(对接源_02物料!$B504)&lt;$K$2,N(对接源_02物料!$B504)&gt;$K$3),0,1))</f>
        <v>0</v>
      </c>
      <c r="L1704">
        <f>IF(OR($L$1="",对接源_02物料!$C504="",对接源_02物料!$C504&lt;&gt;$L$1,对接源_02物料!$B504=""),0,IF(OR(N(对接源_02物料!$B504)&lt;$L$2,N(对接源_02物料!$B504)&gt;$L$3),0,1))</f>
        <v>0</v>
      </c>
      <c r="M1704">
        <f>IF(OR($M$1="",对接源_02物料!$C504="",对接源_02物料!$C504&lt;&gt;$M$1,对接源_02物料!$B504=""),0,IF(OR(N(对接源_02物料!$B504)&lt;$M$2,N(对接源_02物料!$B504)&gt;$M$3),0,1))</f>
        <v>0</v>
      </c>
      <c r="N1704">
        <f>IF(OR($N$1="",对接源_02物料!$C504="",对接源_02物料!$C504&lt;&gt;$N$1,对接源_02物料!$B504=""),0,IF(OR(N(对接源_02物料!$B504)&lt;$N$2,N(对接源_02物料!$B504)&gt;$N$3),0,1))</f>
        <v>0</v>
      </c>
      <c r="P1704">
        <f>IF(AND($K1704=1,AND(对接源_02物料!$X504="公司筐",N(对接源_02物料!$T504)&lt;&gt;0)),1,0)</f>
        <v>0</v>
      </c>
      <c r="Q1704">
        <f>N(Q1703)+$P1704</f>
        <v>14</v>
      </c>
      <c r="R1704">
        <f>IF(AND($K1704=1,AND(对接源_02物料!$X504="公司筐",N(对接源_02物料!$U504)&lt;&gt;0)),1,0)</f>
        <v>0</v>
      </c>
      <c r="S1704">
        <f>N(S1703)+$R1704</f>
        <v>1</v>
      </c>
      <c r="T1704">
        <f>IF(AND($K1704=1,AND(对接源_02物料!$X504="公司筐",N(对接源_02物料!$V504)&lt;&gt;0)),1,0)</f>
        <v>0</v>
      </c>
      <c r="U1704">
        <f>N(U1703)+$T1704</f>
        <v>47</v>
      </c>
      <c r="V1704">
        <f>IF(AND($L1704=1,AND(对接源_02物料!$X504="自备筐",N(对接源_02物料!$V504)&lt;&gt;0)),1,0)</f>
        <v>0</v>
      </c>
      <c r="W1704">
        <f>N(W1703)+$V1704</f>
        <v>11</v>
      </c>
      <c r="X1704">
        <f>IF(AND($L1704=1,AND(对接源_02物料!$X504="自备筐",N(对接源_02物料!$T504)&lt;&gt;0)),1,0)</f>
        <v>0</v>
      </c>
      <c r="Y1704">
        <f>N(Y1703)+$X1704</f>
        <v>0</v>
      </c>
      <c r="Z1704">
        <f>IF(AND($M1704=1,对接源_02物料!$D504="原料入库"),1,0)</f>
        <v>0</v>
      </c>
      <c r="AA1704">
        <f>N(AA1703)+$Z1704</f>
        <v>24</v>
      </c>
      <c r="AB1704">
        <f>IF(AND($M1704=1,LEFT(对接源_02物料!$D504,4)="原料出库"),1,0)</f>
        <v>0</v>
      </c>
      <c r="AC1704">
        <f>N(AC1703)+$AB1704</f>
        <v>0</v>
      </c>
      <c r="AD1704">
        <f>IF(AND($M1704=1,LEFT(对接源_02物料!$D504,4)="成品出库"),1,0)</f>
        <v>0</v>
      </c>
      <c r="AE1704">
        <f>N(AE1703)+$AD1704</f>
        <v>0</v>
      </c>
      <c r="AF1704">
        <f>IF(AND($N1704=1,AND(LEFT(对接源_02物料!$D504,4)="包装物料",N(对接源_02物料!$K504)&lt;&gt;0)),1,0)</f>
        <v>0</v>
      </c>
      <c r="AG1704">
        <f>N(AG1703)+$AF1704</f>
        <v>10</v>
      </c>
      <c r="AH1704">
        <f>IF(AND($N1704=1,AND(对接源_02物料!$D504="周转筐－销售出库",N(对接源_02物料!$K504)&lt;&gt;0)),1,0)</f>
        <v>0</v>
      </c>
      <c r="AI1704">
        <f>N(AI1703)+$AH1704</f>
        <v>0</v>
      </c>
      <c r="AL1704" t="n">
        <v>0</v>
      </c>
      <c r="AM1704">
        <f>N(AM1703)+$AL1704</f>
        <v>2</v>
      </c>
      <c r="AN1704">
        <f>""</f>
      </c>
      <c r="AO1704" t="n">
        <v>0</v>
      </c>
      <c r="AP1704">
        <f>N(AP1703)+$AO1704</f>
        <v>13</v>
      </c>
      <c r="AR1704">
        <f>IF(OR($AF1704=1,$AH1704=1),1,0)</f>
        <v>0</v>
      </c>
      <c r="AS1704">
        <f>N(AS1703)+$AR1704</f>
        <v>10</v>
      </c>
    </row>
    <row r="1705" s="127">
      <c r="A1705">
        <f>IF(对接源_02物料!$C505="","",对接源_02物料!$C505)</f>
      </c>
      <c r="B1705">
        <f>IF(A1705="",0,IF(MATCH(A1705,$A$4:$A$2403,0)=ROW()-3,1,0))</f>
        <v>0</v>
      </c>
      <c r="C1705">
        <f>N(C1704)+B1705</f>
        <v>26</v>
      </c>
      <c r="K1705">
        <f>IF(OR($K$1="",对接源_02物料!$C505="",对接源_02物料!$C505&lt;&gt;$K$1,对接源_02物料!$B505=""),0,IF(OR(N(对接源_02物料!$B505)&lt;$K$2,N(对接源_02物料!$B505)&gt;$K$3),0,1))</f>
        <v>0</v>
      </c>
      <c r="L1705">
        <f>IF(OR($L$1="",对接源_02物料!$C505="",对接源_02物料!$C505&lt;&gt;$L$1,对接源_02物料!$B505=""),0,IF(OR(N(对接源_02物料!$B505)&lt;$L$2,N(对接源_02物料!$B505)&gt;$L$3),0,1))</f>
        <v>0</v>
      </c>
      <c r="M1705">
        <f>IF(OR($M$1="",对接源_02物料!$C505="",对接源_02物料!$C505&lt;&gt;$M$1,对接源_02物料!$B505=""),0,IF(OR(N(对接源_02物料!$B505)&lt;$M$2,N(对接源_02物料!$B505)&gt;$M$3),0,1))</f>
        <v>0</v>
      </c>
      <c r="N1705">
        <f>IF(OR($N$1="",对接源_02物料!$C505="",对接源_02物料!$C505&lt;&gt;$N$1,对接源_02物料!$B505=""),0,IF(OR(N(对接源_02物料!$B505)&lt;$N$2,N(对接源_02物料!$B505)&gt;$N$3),0,1))</f>
        <v>0</v>
      </c>
      <c r="P1705">
        <f>IF(AND($K1705=1,AND(对接源_02物料!$X505="公司筐",N(对接源_02物料!$T505)&lt;&gt;0)),1,0)</f>
        <v>0</v>
      </c>
      <c r="Q1705">
        <f>N(Q1704)+$P1705</f>
        <v>14</v>
      </c>
      <c r="R1705">
        <f>IF(AND($K1705=1,AND(对接源_02物料!$X505="公司筐",N(对接源_02物料!$U505)&lt;&gt;0)),1,0)</f>
        <v>0</v>
      </c>
      <c r="S1705">
        <f>N(S1704)+$R1705</f>
        <v>1</v>
      </c>
      <c r="T1705">
        <f>IF(AND($K1705=1,AND(对接源_02物料!$X505="公司筐",N(对接源_02物料!$V505)&lt;&gt;0)),1,0)</f>
        <v>0</v>
      </c>
      <c r="U1705">
        <f>N(U1704)+$T1705</f>
        <v>47</v>
      </c>
      <c r="V1705">
        <f>IF(AND($L1705=1,AND(对接源_02物料!$X505="自备筐",N(对接源_02物料!$V505)&lt;&gt;0)),1,0)</f>
        <v>0</v>
      </c>
      <c r="W1705">
        <f>N(W1704)+$V1705</f>
        <v>11</v>
      </c>
      <c r="X1705">
        <f>IF(AND($L1705=1,AND(对接源_02物料!$X505="自备筐",N(对接源_02物料!$T505)&lt;&gt;0)),1,0)</f>
        <v>0</v>
      </c>
      <c r="Y1705">
        <f>N(Y1704)+$X1705</f>
        <v>0</v>
      </c>
      <c r="Z1705">
        <f>IF(AND($M1705=1,对接源_02物料!$D505="原料入库"),1,0)</f>
        <v>0</v>
      </c>
      <c r="AA1705">
        <f>N(AA1704)+$Z1705</f>
        <v>24</v>
      </c>
      <c r="AB1705">
        <f>IF(AND($M1705=1,LEFT(对接源_02物料!$D505,4)="原料出库"),1,0)</f>
        <v>0</v>
      </c>
      <c r="AC1705">
        <f>N(AC1704)+$AB1705</f>
        <v>0</v>
      </c>
      <c r="AD1705">
        <f>IF(AND($M1705=1,LEFT(对接源_02物料!$D505,4)="成品出库"),1,0)</f>
        <v>0</v>
      </c>
      <c r="AE1705">
        <f>N(AE1704)+$AD1705</f>
        <v>0</v>
      </c>
      <c r="AF1705">
        <f>IF(AND($N1705=1,AND(LEFT(对接源_02物料!$D505,4)="包装物料",N(对接源_02物料!$K505)&lt;&gt;0)),1,0)</f>
        <v>0</v>
      </c>
      <c r="AG1705">
        <f>N(AG1704)+$AF1705</f>
        <v>10</v>
      </c>
      <c r="AH1705">
        <f>IF(AND($N1705=1,AND(对接源_02物料!$D505="周转筐－销售出库",N(对接源_02物料!$K505)&lt;&gt;0)),1,0)</f>
        <v>0</v>
      </c>
      <c r="AI1705">
        <f>N(AI1704)+$AH1705</f>
        <v>0</v>
      </c>
      <c r="AL1705" t="n">
        <v>0</v>
      </c>
      <c r="AM1705">
        <f>N(AM1704)+$AL1705</f>
        <v>2</v>
      </c>
      <c r="AN1705">
        <f>""</f>
      </c>
      <c r="AO1705" t="n">
        <v>0</v>
      </c>
      <c r="AP1705">
        <f>N(AP1704)+$AO1705</f>
        <v>13</v>
      </c>
      <c r="AR1705">
        <f>IF(OR($AF1705=1,$AH1705=1),1,0)</f>
        <v>0</v>
      </c>
      <c r="AS1705">
        <f>N(AS1704)+$AR1705</f>
        <v>10</v>
      </c>
    </row>
    <row r="1706" s="127">
      <c r="A1706">
        <f>IF(对接源_02物料!$C506="","",对接源_02物料!$C506)</f>
      </c>
      <c r="B1706">
        <f>IF(A1706="",0,IF(MATCH(A1706,$A$4:$A$2403,0)=ROW()-3,1,0))</f>
        <v>0</v>
      </c>
      <c r="C1706">
        <f>N(C1705)+B1706</f>
        <v>26</v>
      </c>
      <c r="K1706">
        <f>IF(OR($K$1="",对接源_02物料!$C506="",对接源_02物料!$C506&lt;&gt;$K$1,对接源_02物料!$B506=""),0,IF(OR(N(对接源_02物料!$B506)&lt;$K$2,N(对接源_02物料!$B506)&gt;$K$3),0,1))</f>
        <v>0</v>
      </c>
      <c r="L1706">
        <f>IF(OR($L$1="",对接源_02物料!$C506="",对接源_02物料!$C506&lt;&gt;$L$1,对接源_02物料!$B506=""),0,IF(OR(N(对接源_02物料!$B506)&lt;$L$2,N(对接源_02物料!$B506)&gt;$L$3),0,1))</f>
        <v>0</v>
      </c>
      <c r="M1706">
        <f>IF(OR($M$1="",对接源_02物料!$C506="",对接源_02物料!$C506&lt;&gt;$M$1,对接源_02物料!$B506=""),0,IF(OR(N(对接源_02物料!$B506)&lt;$M$2,N(对接源_02物料!$B506)&gt;$M$3),0,1))</f>
        <v>0</v>
      </c>
      <c r="N1706">
        <f>IF(OR($N$1="",对接源_02物料!$C506="",对接源_02物料!$C506&lt;&gt;$N$1,对接源_02物料!$B506=""),0,IF(OR(N(对接源_02物料!$B506)&lt;$N$2,N(对接源_02物料!$B506)&gt;$N$3),0,1))</f>
        <v>0</v>
      </c>
      <c r="P1706">
        <f>IF(AND($K1706=1,AND(对接源_02物料!$X506="公司筐",N(对接源_02物料!$T506)&lt;&gt;0)),1,0)</f>
        <v>0</v>
      </c>
      <c r="Q1706">
        <f>N(Q1705)+$P1706</f>
        <v>14</v>
      </c>
      <c r="R1706">
        <f>IF(AND($K1706=1,AND(对接源_02物料!$X506="公司筐",N(对接源_02物料!$U506)&lt;&gt;0)),1,0)</f>
        <v>0</v>
      </c>
      <c r="S1706">
        <f>N(S1705)+$R1706</f>
        <v>1</v>
      </c>
      <c r="T1706">
        <f>IF(AND($K1706=1,AND(对接源_02物料!$X506="公司筐",N(对接源_02物料!$V506)&lt;&gt;0)),1,0)</f>
        <v>0</v>
      </c>
      <c r="U1706">
        <f>N(U1705)+$T1706</f>
        <v>47</v>
      </c>
      <c r="V1706">
        <f>IF(AND($L1706=1,AND(对接源_02物料!$X506="自备筐",N(对接源_02物料!$V506)&lt;&gt;0)),1,0)</f>
        <v>0</v>
      </c>
      <c r="W1706">
        <f>N(W1705)+$V1706</f>
        <v>11</v>
      </c>
      <c r="X1706">
        <f>IF(AND($L1706=1,AND(对接源_02物料!$X506="自备筐",N(对接源_02物料!$T506)&lt;&gt;0)),1,0)</f>
        <v>0</v>
      </c>
      <c r="Y1706">
        <f>N(Y1705)+$X1706</f>
        <v>0</v>
      </c>
      <c r="Z1706">
        <f>IF(AND($M1706=1,对接源_02物料!$D506="原料入库"),1,0)</f>
        <v>0</v>
      </c>
      <c r="AA1706">
        <f>N(AA1705)+$Z1706</f>
        <v>24</v>
      </c>
      <c r="AB1706">
        <f>IF(AND($M1706=1,LEFT(对接源_02物料!$D506,4)="原料出库"),1,0)</f>
        <v>0</v>
      </c>
      <c r="AC1706">
        <f>N(AC1705)+$AB1706</f>
        <v>0</v>
      </c>
      <c r="AD1706">
        <f>IF(AND($M1706=1,LEFT(对接源_02物料!$D506,4)="成品出库"),1,0)</f>
        <v>0</v>
      </c>
      <c r="AE1706">
        <f>N(AE1705)+$AD1706</f>
        <v>0</v>
      </c>
      <c r="AF1706">
        <f>IF(AND($N1706=1,AND(LEFT(对接源_02物料!$D506,4)="包装物料",N(对接源_02物料!$K506)&lt;&gt;0)),1,0)</f>
        <v>0</v>
      </c>
      <c r="AG1706">
        <f>N(AG1705)+$AF1706</f>
        <v>10</v>
      </c>
      <c r="AH1706">
        <f>IF(AND($N1706=1,AND(对接源_02物料!$D506="周转筐－销售出库",N(对接源_02物料!$K506)&lt;&gt;0)),1,0)</f>
        <v>0</v>
      </c>
      <c r="AI1706">
        <f>N(AI1705)+$AH1706</f>
        <v>0</v>
      </c>
      <c r="AL1706" t="n">
        <v>0</v>
      </c>
      <c r="AM1706">
        <f>N(AM1705)+$AL1706</f>
        <v>2</v>
      </c>
      <c r="AN1706">
        <f>""</f>
      </c>
      <c r="AO1706" t="n">
        <v>0</v>
      </c>
      <c r="AP1706">
        <f>N(AP1705)+$AO1706</f>
        <v>13</v>
      </c>
      <c r="AR1706">
        <f>IF(OR($AF1706=1,$AH1706=1),1,0)</f>
        <v>0</v>
      </c>
      <c r="AS1706">
        <f>N(AS1705)+$AR1706</f>
        <v>10</v>
      </c>
    </row>
    <row r="1707" s="127">
      <c r="A1707">
        <f>IF(对接源_02物料!$C507="","",对接源_02物料!$C507)</f>
      </c>
      <c r="B1707">
        <f>IF(A1707="",0,IF(MATCH(A1707,$A$4:$A$2403,0)=ROW()-3,1,0))</f>
        <v>0</v>
      </c>
      <c r="C1707">
        <f>N(C1706)+B1707</f>
        <v>26</v>
      </c>
      <c r="K1707">
        <f>IF(OR($K$1="",对接源_02物料!$C507="",对接源_02物料!$C507&lt;&gt;$K$1,对接源_02物料!$B507=""),0,IF(OR(N(对接源_02物料!$B507)&lt;$K$2,N(对接源_02物料!$B507)&gt;$K$3),0,1))</f>
        <v>0</v>
      </c>
      <c r="L1707">
        <f>IF(OR($L$1="",对接源_02物料!$C507="",对接源_02物料!$C507&lt;&gt;$L$1,对接源_02物料!$B507=""),0,IF(OR(N(对接源_02物料!$B507)&lt;$L$2,N(对接源_02物料!$B507)&gt;$L$3),0,1))</f>
        <v>0</v>
      </c>
      <c r="M1707">
        <f>IF(OR($M$1="",对接源_02物料!$C507="",对接源_02物料!$C507&lt;&gt;$M$1,对接源_02物料!$B507=""),0,IF(OR(N(对接源_02物料!$B507)&lt;$M$2,N(对接源_02物料!$B507)&gt;$M$3),0,1))</f>
        <v>0</v>
      </c>
      <c r="N1707">
        <f>IF(OR($N$1="",对接源_02物料!$C507="",对接源_02物料!$C507&lt;&gt;$N$1,对接源_02物料!$B507=""),0,IF(OR(N(对接源_02物料!$B507)&lt;$N$2,N(对接源_02物料!$B507)&gt;$N$3),0,1))</f>
        <v>0</v>
      </c>
      <c r="P1707">
        <f>IF(AND($K1707=1,AND(对接源_02物料!$X507="公司筐",N(对接源_02物料!$T507)&lt;&gt;0)),1,0)</f>
        <v>0</v>
      </c>
      <c r="Q1707">
        <f>N(Q1706)+$P1707</f>
        <v>14</v>
      </c>
      <c r="R1707">
        <f>IF(AND($K1707=1,AND(对接源_02物料!$X507="公司筐",N(对接源_02物料!$U507)&lt;&gt;0)),1,0)</f>
        <v>0</v>
      </c>
      <c r="S1707">
        <f>N(S1706)+$R1707</f>
        <v>1</v>
      </c>
      <c r="T1707">
        <f>IF(AND($K1707=1,AND(对接源_02物料!$X507="公司筐",N(对接源_02物料!$V507)&lt;&gt;0)),1,0)</f>
        <v>0</v>
      </c>
      <c r="U1707">
        <f>N(U1706)+$T1707</f>
        <v>47</v>
      </c>
      <c r="V1707">
        <f>IF(AND($L1707=1,AND(对接源_02物料!$X507="自备筐",N(对接源_02物料!$V507)&lt;&gt;0)),1,0)</f>
        <v>0</v>
      </c>
      <c r="W1707">
        <f>N(W1706)+$V1707</f>
        <v>11</v>
      </c>
      <c r="X1707">
        <f>IF(AND($L1707=1,AND(对接源_02物料!$X507="自备筐",N(对接源_02物料!$T507)&lt;&gt;0)),1,0)</f>
        <v>0</v>
      </c>
      <c r="Y1707">
        <f>N(Y1706)+$X1707</f>
        <v>0</v>
      </c>
      <c r="Z1707">
        <f>IF(AND($M1707=1,对接源_02物料!$D507="原料入库"),1,0)</f>
        <v>0</v>
      </c>
      <c r="AA1707">
        <f>N(AA1706)+$Z1707</f>
        <v>24</v>
      </c>
      <c r="AB1707">
        <f>IF(AND($M1707=1,LEFT(对接源_02物料!$D507,4)="原料出库"),1,0)</f>
        <v>0</v>
      </c>
      <c r="AC1707">
        <f>N(AC1706)+$AB1707</f>
        <v>0</v>
      </c>
      <c r="AD1707">
        <f>IF(AND($M1707=1,LEFT(对接源_02物料!$D507,4)="成品出库"),1,0)</f>
        <v>0</v>
      </c>
      <c r="AE1707">
        <f>N(AE1706)+$AD1707</f>
        <v>0</v>
      </c>
      <c r="AF1707">
        <f>IF(AND($N1707=1,AND(LEFT(对接源_02物料!$D507,4)="包装物料",N(对接源_02物料!$K507)&lt;&gt;0)),1,0)</f>
        <v>0</v>
      </c>
      <c r="AG1707">
        <f>N(AG1706)+$AF1707</f>
        <v>10</v>
      </c>
      <c r="AH1707">
        <f>IF(AND($N1707=1,AND(对接源_02物料!$D507="周转筐－销售出库",N(对接源_02物料!$K507)&lt;&gt;0)),1,0)</f>
        <v>0</v>
      </c>
      <c r="AI1707">
        <f>N(AI1706)+$AH1707</f>
        <v>0</v>
      </c>
      <c r="AL1707" t="n">
        <v>0</v>
      </c>
      <c r="AM1707">
        <f>N(AM1706)+$AL1707</f>
        <v>2</v>
      </c>
      <c r="AN1707">
        <f>""</f>
      </c>
      <c r="AO1707" t="n">
        <v>0</v>
      </c>
      <c r="AP1707">
        <f>N(AP1706)+$AO1707</f>
        <v>13</v>
      </c>
      <c r="AR1707">
        <f>IF(OR($AF1707=1,$AH1707=1),1,0)</f>
        <v>0</v>
      </c>
      <c r="AS1707">
        <f>N(AS1706)+$AR1707</f>
        <v>10</v>
      </c>
    </row>
    <row r="1708" s="127">
      <c r="A1708">
        <f>IF(对接源_02物料!$C508="","",对接源_02物料!$C508)</f>
      </c>
      <c r="B1708">
        <f>IF(A1708="",0,IF(MATCH(A1708,$A$4:$A$2403,0)=ROW()-3,1,0))</f>
        <v>0</v>
      </c>
      <c r="C1708">
        <f>N(C1707)+B1708</f>
        <v>26</v>
      </c>
      <c r="K1708">
        <f>IF(OR($K$1="",对接源_02物料!$C508="",对接源_02物料!$C508&lt;&gt;$K$1,对接源_02物料!$B508=""),0,IF(OR(N(对接源_02物料!$B508)&lt;$K$2,N(对接源_02物料!$B508)&gt;$K$3),0,1))</f>
        <v>0</v>
      </c>
      <c r="L1708">
        <f>IF(OR($L$1="",对接源_02物料!$C508="",对接源_02物料!$C508&lt;&gt;$L$1,对接源_02物料!$B508=""),0,IF(OR(N(对接源_02物料!$B508)&lt;$L$2,N(对接源_02物料!$B508)&gt;$L$3),0,1))</f>
        <v>0</v>
      </c>
      <c r="M1708">
        <f>IF(OR($M$1="",对接源_02物料!$C508="",对接源_02物料!$C508&lt;&gt;$M$1,对接源_02物料!$B508=""),0,IF(OR(N(对接源_02物料!$B508)&lt;$M$2,N(对接源_02物料!$B508)&gt;$M$3),0,1))</f>
        <v>0</v>
      </c>
      <c r="N1708">
        <f>IF(OR($N$1="",对接源_02物料!$C508="",对接源_02物料!$C508&lt;&gt;$N$1,对接源_02物料!$B508=""),0,IF(OR(N(对接源_02物料!$B508)&lt;$N$2,N(对接源_02物料!$B508)&gt;$N$3),0,1))</f>
        <v>0</v>
      </c>
      <c r="P1708">
        <f>IF(AND($K1708=1,AND(对接源_02物料!$X508="公司筐",N(对接源_02物料!$T508)&lt;&gt;0)),1,0)</f>
        <v>0</v>
      </c>
      <c r="Q1708">
        <f>N(Q1707)+$P1708</f>
        <v>14</v>
      </c>
      <c r="R1708">
        <f>IF(AND($K1708=1,AND(对接源_02物料!$X508="公司筐",N(对接源_02物料!$U508)&lt;&gt;0)),1,0)</f>
        <v>0</v>
      </c>
      <c r="S1708">
        <f>N(S1707)+$R1708</f>
        <v>1</v>
      </c>
      <c r="T1708">
        <f>IF(AND($K1708=1,AND(对接源_02物料!$X508="公司筐",N(对接源_02物料!$V508)&lt;&gt;0)),1,0)</f>
        <v>0</v>
      </c>
      <c r="U1708">
        <f>N(U1707)+$T1708</f>
        <v>47</v>
      </c>
      <c r="V1708">
        <f>IF(AND($L1708=1,AND(对接源_02物料!$X508="自备筐",N(对接源_02物料!$V508)&lt;&gt;0)),1,0)</f>
        <v>0</v>
      </c>
      <c r="W1708">
        <f>N(W1707)+$V1708</f>
        <v>11</v>
      </c>
      <c r="X1708">
        <f>IF(AND($L1708=1,AND(对接源_02物料!$X508="自备筐",N(对接源_02物料!$T508)&lt;&gt;0)),1,0)</f>
        <v>0</v>
      </c>
      <c r="Y1708">
        <f>N(Y1707)+$X1708</f>
        <v>0</v>
      </c>
      <c r="Z1708">
        <f>IF(AND($M1708=1,对接源_02物料!$D508="原料入库"),1,0)</f>
        <v>0</v>
      </c>
      <c r="AA1708">
        <f>N(AA1707)+$Z1708</f>
        <v>24</v>
      </c>
      <c r="AB1708">
        <f>IF(AND($M1708=1,LEFT(对接源_02物料!$D508,4)="原料出库"),1,0)</f>
        <v>0</v>
      </c>
      <c r="AC1708">
        <f>N(AC1707)+$AB1708</f>
        <v>0</v>
      </c>
      <c r="AD1708">
        <f>IF(AND($M1708=1,LEFT(对接源_02物料!$D508,4)="成品出库"),1,0)</f>
        <v>0</v>
      </c>
      <c r="AE1708">
        <f>N(AE1707)+$AD1708</f>
        <v>0</v>
      </c>
      <c r="AF1708">
        <f>IF(AND($N1708=1,AND(LEFT(对接源_02物料!$D508,4)="包装物料",N(对接源_02物料!$K508)&lt;&gt;0)),1,0)</f>
        <v>0</v>
      </c>
      <c r="AG1708">
        <f>N(AG1707)+$AF1708</f>
        <v>10</v>
      </c>
      <c r="AH1708">
        <f>IF(AND($N1708=1,AND(对接源_02物料!$D508="周转筐－销售出库",N(对接源_02物料!$K508)&lt;&gt;0)),1,0)</f>
        <v>0</v>
      </c>
      <c r="AI1708">
        <f>N(AI1707)+$AH1708</f>
        <v>0</v>
      </c>
      <c r="AL1708" t="n">
        <v>0</v>
      </c>
      <c r="AM1708">
        <f>N(AM1707)+$AL1708</f>
        <v>2</v>
      </c>
      <c r="AN1708">
        <f>""</f>
      </c>
      <c r="AO1708" t="n">
        <v>0</v>
      </c>
      <c r="AP1708">
        <f>N(AP1707)+$AO1708</f>
        <v>13</v>
      </c>
      <c r="AR1708">
        <f>IF(OR($AF1708=1,$AH1708=1),1,0)</f>
        <v>0</v>
      </c>
      <c r="AS1708">
        <f>N(AS1707)+$AR1708</f>
        <v>10</v>
      </c>
    </row>
    <row r="1709" s="127">
      <c r="A1709">
        <f>IF(对接源_02物料!$C509="","",对接源_02物料!$C509)</f>
      </c>
      <c r="B1709">
        <f>IF(A1709="",0,IF(MATCH(A1709,$A$4:$A$2403,0)=ROW()-3,1,0))</f>
        <v>0</v>
      </c>
      <c r="C1709">
        <f>N(C1708)+B1709</f>
        <v>26</v>
      </c>
      <c r="K1709">
        <f>IF(OR($K$1="",对接源_02物料!$C509="",对接源_02物料!$C509&lt;&gt;$K$1,对接源_02物料!$B509=""),0,IF(OR(N(对接源_02物料!$B509)&lt;$K$2,N(对接源_02物料!$B509)&gt;$K$3),0,1))</f>
        <v>0</v>
      </c>
      <c r="L1709">
        <f>IF(OR($L$1="",对接源_02物料!$C509="",对接源_02物料!$C509&lt;&gt;$L$1,对接源_02物料!$B509=""),0,IF(OR(N(对接源_02物料!$B509)&lt;$L$2,N(对接源_02物料!$B509)&gt;$L$3),0,1))</f>
        <v>0</v>
      </c>
      <c r="M1709">
        <f>IF(OR($M$1="",对接源_02物料!$C509="",对接源_02物料!$C509&lt;&gt;$M$1,对接源_02物料!$B509=""),0,IF(OR(N(对接源_02物料!$B509)&lt;$M$2,N(对接源_02物料!$B509)&gt;$M$3),0,1))</f>
        <v>0</v>
      </c>
      <c r="N1709">
        <f>IF(OR($N$1="",对接源_02物料!$C509="",对接源_02物料!$C509&lt;&gt;$N$1,对接源_02物料!$B509=""),0,IF(OR(N(对接源_02物料!$B509)&lt;$N$2,N(对接源_02物料!$B509)&gt;$N$3),0,1))</f>
        <v>0</v>
      </c>
      <c r="P1709">
        <f>IF(AND($K1709=1,AND(对接源_02物料!$X509="公司筐",N(对接源_02物料!$T509)&lt;&gt;0)),1,0)</f>
        <v>0</v>
      </c>
      <c r="Q1709">
        <f>N(Q1708)+$P1709</f>
        <v>14</v>
      </c>
      <c r="R1709">
        <f>IF(AND($K1709=1,AND(对接源_02物料!$X509="公司筐",N(对接源_02物料!$U509)&lt;&gt;0)),1,0)</f>
        <v>0</v>
      </c>
      <c r="S1709">
        <f>N(S1708)+$R1709</f>
        <v>1</v>
      </c>
      <c r="T1709">
        <f>IF(AND($K1709=1,AND(对接源_02物料!$X509="公司筐",N(对接源_02物料!$V509)&lt;&gt;0)),1,0)</f>
        <v>0</v>
      </c>
      <c r="U1709">
        <f>N(U1708)+$T1709</f>
        <v>47</v>
      </c>
      <c r="V1709">
        <f>IF(AND($L1709=1,AND(对接源_02物料!$X509="自备筐",N(对接源_02物料!$V509)&lt;&gt;0)),1,0)</f>
        <v>0</v>
      </c>
      <c r="W1709">
        <f>N(W1708)+$V1709</f>
        <v>11</v>
      </c>
      <c r="X1709">
        <f>IF(AND($L1709=1,AND(对接源_02物料!$X509="自备筐",N(对接源_02物料!$T509)&lt;&gt;0)),1,0)</f>
        <v>0</v>
      </c>
      <c r="Y1709">
        <f>N(Y1708)+$X1709</f>
        <v>0</v>
      </c>
      <c r="Z1709">
        <f>IF(AND($M1709=1,对接源_02物料!$D509="原料入库"),1,0)</f>
        <v>0</v>
      </c>
      <c r="AA1709">
        <f>N(AA1708)+$Z1709</f>
        <v>24</v>
      </c>
      <c r="AB1709">
        <f>IF(AND($M1709=1,LEFT(对接源_02物料!$D509,4)="原料出库"),1,0)</f>
        <v>0</v>
      </c>
      <c r="AC1709">
        <f>N(AC1708)+$AB1709</f>
        <v>0</v>
      </c>
      <c r="AD1709">
        <f>IF(AND($M1709=1,LEFT(对接源_02物料!$D509,4)="成品出库"),1,0)</f>
        <v>0</v>
      </c>
      <c r="AE1709">
        <f>N(AE1708)+$AD1709</f>
        <v>0</v>
      </c>
      <c r="AF1709">
        <f>IF(AND($N1709=1,AND(LEFT(对接源_02物料!$D509,4)="包装物料",N(对接源_02物料!$K509)&lt;&gt;0)),1,0)</f>
        <v>0</v>
      </c>
      <c r="AG1709">
        <f>N(AG1708)+$AF1709</f>
        <v>10</v>
      </c>
      <c r="AH1709">
        <f>IF(AND($N1709=1,AND(对接源_02物料!$D509="周转筐－销售出库",N(对接源_02物料!$K509)&lt;&gt;0)),1,0)</f>
        <v>0</v>
      </c>
      <c r="AI1709">
        <f>N(AI1708)+$AH1709</f>
        <v>0</v>
      </c>
      <c r="AL1709" t="n">
        <v>0</v>
      </c>
      <c r="AM1709">
        <f>N(AM1708)+$AL1709</f>
        <v>2</v>
      </c>
      <c r="AN1709">
        <f>""</f>
      </c>
      <c r="AO1709" t="n">
        <v>0</v>
      </c>
      <c r="AP1709">
        <f>N(AP1708)+$AO1709</f>
        <v>13</v>
      </c>
      <c r="AR1709">
        <f>IF(OR($AF1709=1,$AH1709=1),1,0)</f>
        <v>0</v>
      </c>
      <c r="AS1709">
        <f>N(AS1708)+$AR1709</f>
        <v>10</v>
      </c>
    </row>
    <row r="1710" s="127">
      <c r="A1710">
        <f>IF(对接源_02物料!$C510="","",对接源_02物料!$C510)</f>
      </c>
      <c r="B1710">
        <f>IF(A1710="",0,IF(MATCH(A1710,$A$4:$A$2403,0)=ROW()-3,1,0))</f>
        <v>0</v>
      </c>
      <c r="C1710">
        <f>N(C1709)+B1710</f>
        <v>26</v>
      </c>
      <c r="K1710">
        <f>IF(OR($K$1="",对接源_02物料!$C510="",对接源_02物料!$C510&lt;&gt;$K$1,对接源_02物料!$B510=""),0,IF(OR(N(对接源_02物料!$B510)&lt;$K$2,N(对接源_02物料!$B510)&gt;$K$3),0,1))</f>
        <v>0</v>
      </c>
      <c r="L1710">
        <f>IF(OR($L$1="",对接源_02物料!$C510="",对接源_02物料!$C510&lt;&gt;$L$1,对接源_02物料!$B510=""),0,IF(OR(N(对接源_02物料!$B510)&lt;$L$2,N(对接源_02物料!$B510)&gt;$L$3),0,1))</f>
        <v>0</v>
      </c>
      <c r="M1710">
        <f>IF(OR($M$1="",对接源_02物料!$C510="",对接源_02物料!$C510&lt;&gt;$M$1,对接源_02物料!$B510=""),0,IF(OR(N(对接源_02物料!$B510)&lt;$M$2,N(对接源_02物料!$B510)&gt;$M$3),0,1))</f>
        <v>0</v>
      </c>
      <c r="N1710">
        <f>IF(OR($N$1="",对接源_02物料!$C510="",对接源_02物料!$C510&lt;&gt;$N$1,对接源_02物料!$B510=""),0,IF(OR(N(对接源_02物料!$B510)&lt;$N$2,N(对接源_02物料!$B510)&gt;$N$3),0,1))</f>
        <v>0</v>
      </c>
      <c r="P1710">
        <f>IF(AND($K1710=1,AND(对接源_02物料!$X510="公司筐",N(对接源_02物料!$T510)&lt;&gt;0)),1,0)</f>
        <v>0</v>
      </c>
      <c r="Q1710">
        <f>N(Q1709)+$P1710</f>
        <v>14</v>
      </c>
      <c r="R1710">
        <f>IF(AND($K1710=1,AND(对接源_02物料!$X510="公司筐",N(对接源_02物料!$U510)&lt;&gt;0)),1,0)</f>
        <v>0</v>
      </c>
      <c r="S1710">
        <f>N(S1709)+$R1710</f>
        <v>1</v>
      </c>
      <c r="T1710">
        <f>IF(AND($K1710=1,AND(对接源_02物料!$X510="公司筐",N(对接源_02物料!$V510)&lt;&gt;0)),1,0)</f>
        <v>0</v>
      </c>
      <c r="U1710">
        <f>N(U1709)+$T1710</f>
        <v>47</v>
      </c>
      <c r="V1710">
        <f>IF(AND($L1710=1,AND(对接源_02物料!$X510="自备筐",N(对接源_02物料!$V510)&lt;&gt;0)),1,0)</f>
        <v>0</v>
      </c>
      <c r="W1710">
        <f>N(W1709)+$V1710</f>
        <v>11</v>
      </c>
      <c r="X1710">
        <f>IF(AND($L1710=1,AND(对接源_02物料!$X510="自备筐",N(对接源_02物料!$T510)&lt;&gt;0)),1,0)</f>
        <v>0</v>
      </c>
      <c r="Y1710">
        <f>N(Y1709)+$X1710</f>
        <v>0</v>
      </c>
      <c r="Z1710">
        <f>IF(AND($M1710=1,对接源_02物料!$D510="原料入库"),1,0)</f>
        <v>0</v>
      </c>
      <c r="AA1710">
        <f>N(AA1709)+$Z1710</f>
        <v>24</v>
      </c>
      <c r="AB1710">
        <f>IF(AND($M1710=1,LEFT(对接源_02物料!$D510,4)="原料出库"),1,0)</f>
        <v>0</v>
      </c>
      <c r="AC1710">
        <f>N(AC1709)+$AB1710</f>
        <v>0</v>
      </c>
      <c r="AD1710">
        <f>IF(AND($M1710=1,LEFT(对接源_02物料!$D510,4)="成品出库"),1,0)</f>
        <v>0</v>
      </c>
      <c r="AE1710">
        <f>N(AE1709)+$AD1710</f>
        <v>0</v>
      </c>
      <c r="AF1710">
        <f>IF(AND($N1710=1,AND(LEFT(对接源_02物料!$D510,4)="包装物料",N(对接源_02物料!$K510)&lt;&gt;0)),1,0)</f>
        <v>0</v>
      </c>
      <c r="AG1710">
        <f>N(AG1709)+$AF1710</f>
        <v>10</v>
      </c>
      <c r="AH1710">
        <f>IF(AND($N1710=1,AND(对接源_02物料!$D510="周转筐－销售出库",N(对接源_02物料!$K510)&lt;&gt;0)),1,0)</f>
        <v>0</v>
      </c>
      <c r="AI1710">
        <f>N(AI1709)+$AH1710</f>
        <v>0</v>
      </c>
      <c r="AL1710" t="n">
        <v>0</v>
      </c>
      <c r="AM1710">
        <f>N(AM1709)+$AL1710</f>
        <v>2</v>
      </c>
      <c r="AN1710">
        <f>""</f>
      </c>
      <c r="AO1710" t="n">
        <v>0</v>
      </c>
      <c r="AP1710">
        <f>N(AP1709)+$AO1710</f>
        <v>13</v>
      </c>
      <c r="AR1710">
        <f>IF(OR($AF1710=1,$AH1710=1),1,0)</f>
        <v>0</v>
      </c>
      <c r="AS1710">
        <f>N(AS1709)+$AR1710</f>
        <v>10</v>
      </c>
    </row>
    <row r="1711" s="127">
      <c r="A1711">
        <f>IF(对接源_02物料!$C511="","",对接源_02物料!$C511)</f>
      </c>
      <c r="B1711">
        <f>IF(A1711="",0,IF(MATCH(A1711,$A$4:$A$2403,0)=ROW()-3,1,0))</f>
        <v>0</v>
      </c>
      <c r="C1711">
        <f>N(C1710)+B1711</f>
        <v>26</v>
      </c>
      <c r="K1711">
        <f>IF(OR($K$1="",对接源_02物料!$C511="",对接源_02物料!$C511&lt;&gt;$K$1,对接源_02物料!$B511=""),0,IF(OR(N(对接源_02物料!$B511)&lt;$K$2,N(对接源_02物料!$B511)&gt;$K$3),0,1))</f>
        <v>0</v>
      </c>
      <c r="L1711">
        <f>IF(OR($L$1="",对接源_02物料!$C511="",对接源_02物料!$C511&lt;&gt;$L$1,对接源_02物料!$B511=""),0,IF(OR(N(对接源_02物料!$B511)&lt;$L$2,N(对接源_02物料!$B511)&gt;$L$3),0,1))</f>
        <v>0</v>
      </c>
      <c r="M1711">
        <f>IF(OR($M$1="",对接源_02物料!$C511="",对接源_02物料!$C511&lt;&gt;$M$1,对接源_02物料!$B511=""),0,IF(OR(N(对接源_02物料!$B511)&lt;$M$2,N(对接源_02物料!$B511)&gt;$M$3),0,1))</f>
        <v>0</v>
      </c>
      <c r="N1711">
        <f>IF(OR($N$1="",对接源_02物料!$C511="",对接源_02物料!$C511&lt;&gt;$N$1,对接源_02物料!$B511=""),0,IF(OR(N(对接源_02物料!$B511)&lt;$N$2,N(对接源_02物料!$B511)&gt;$N$3),0,1))</f>
        <v>0</v>
      </c>
      <c r="P1711">
        <f>IF(AND($K1711=1,AND(对接源_02物料!$X511="公司筐",N(对接源_02物料!$T511)&lt;&gt;0)),1,0)</f>
        <v>0</v>
      </c>
      <c r="Q1711">
        <f>N(Q1710)+$P1711</f>
        <v>14</v>
      </c>
      <c r="R1711">
        <f>IF(AND($K1711=1,AND(对接源_02物料!$X511="公司筐",N(对接源_02物料!$U511)&lt;&gt;0)),1,0)</f>
        <v>0</v>
      </c>
      <c r="S1711">
        <f>N(S1710)+$R1711</f>
        <v>1</v>
      </c>
      <c r="T1711">
        <f>IF(AND($K1711=1,AND(对接源_02物料!$X511="公司筐",N(对接源_02物料!$V511)&lt;&gt;0)),1,0)</f>
        <v>0</v>
      </c>
      <c r="U1711">
        <f>N(U1710)+$T1711</f>
        <v>47</v>
      </c>
      <c r="V1711">
        <f>IF(AND($L1711=1,AND(对接源_02物料!$X511="自备筐",N(对接源_02物料!$V511)&lt;&gt;0)),1,0)</f>
        <v>0</v>
      </c>
      <c r="W1711">
        <f>N(W1710)+$V1711</f>
        <v>11</v>
      </c>
      <c r="X1711">
        <f>IF(AND($L1711=1,AND(对接源_02物料!$X511="自备筐",N(对接源_02物料!$T511)&lt;&gt;0)),1,0)</f>
        <v>0</v>
      </c>
      <c r="Y1711">
        <f>N(Y1710)+$X1711</f>
        <v>0</v>
      </c>
      <c r="Z1711">
        <f>IF(AND($M1711=1,对接源_02物料!$D511="原料入库"),1,0)</f>
        <v>0</v>
      </c>
      <c r="AA1711">
        <f>N(AA1710)+$Z1711</f>
        <v>24</v>
      </c>
      <c r="AB1711">
        <f>IF(AND($M1711=1,LEFT(对接源_02物料!$D511,4)="原料出库"),1,0)</f>
        <v>0</v>
      </c>
      <c r="AC1711">
        <f>N(AC1710)+$AB1711</f>
        <v>0</v>
      </c>
      <c r="AD1711">
        <f>IF(AND($M1711=1,LEFT(对接源_02物料!$D511,4)="成品出库"),1,0)</f>
        <v>0</v>
      </c>
      <c r="AE1711">
        <f>N(AE1710)+$AD1711</f>
        <v>0</v>
      </c>
      <c r="AF1711">
        <f>IF(AND($N1711=1,AND(LEFT(对接源_02物料!$D511,4)="包装物料",N(对接源_02物料!$K511)&lt;&gt;0)),1,0)</f>
        <v>0</v>
      </c>
      <c r="AG1711">
        <f>N(AG1710)+$AF1711</f>
        <v>10</v>
      </c>
      <c r="AH1711">
        <f>IF(AND($N1711=1,AND(对接源_02物料!$D511="周转筐－销售出库",N(对接源_02物料!$K511)&lt;&gt;0)),1,0)</f>
        <v>0</v>
      </c>
      <c r="AI1711">
        <f>N(AI1710)+$AH1711</f>
        <v>0</v>
      </c>
      <c r="AL1711" t="n">
        <v>0</v>
      </c>
      <c r="AM1711">
        <f>N(AM1710)+$AL1711</f>
        <v>2</v>
      </c>
      <c r="AN1711">
        <f>""</f>
      </c>
      <c r="AO1711" t="n">
        <v>0</v>
      </c>
      <c r="AP1711">
        <f>N(AP1710)+$AO1711</f>
        <v>13</v>
      </c>
      <c r="AR1711">
        <f>IF(OR($AF1711=1,$AH1711=1),1,0)</f>
        <v>0</v>
      </c>
      <c r="AS1711">
        <f>N(AS1710)+$AR1711</f>
        <v>10</v>
      </c>
    </row>
    <row r="1712" s="127">
      <c r="A1712">
        <f>IF(对接源_02物料!$C512="","",对接源_02物料!$C512)</f>
      </c>
      <c r="B1712">
        <f>IF(A1712="",0,IF(MATCH(A1712,$A$4:$A$2403,0)=ROW()-3,1,0))</f>
        <v>0</v>
      </c>
      <c r="C1712">
        <f>N(C1711)+B1712</f>
        <v>26</v>
      </c>
      <c r="K1712">
        <f>IF(OR($K$1="",对接源_02物料!$C512="",对接源_02物料!$C512&lt;&gt;$K$1,对接源_02物料!$B512=""),0,IF(OR(N(对接源_02物料!$B512)&lt;$K$2,N(对接源_02物料!$B512)&gt;$K$3),0,1))</f>
        <v>0</v>
      </c>
      <c r="L1712">
        <f>IF(OR($L$1="",对接源_02物料!$C512="",对接源_02物料!$C512&lt;&gt;$L$1,对接源_02物料!$B512=""),0,IF(OR(N(对接源_02物料!$B512)&lt;$L$2,N(对接源_02物料!$B512)&gt;$L$3),0,1))</f>
        <v>0</v>
      </c>
      <c r="M1712">
        <f>IF(OR($M$1="",对接源_02物料!$C512="",对接源_02物料!$C512&lt;&gt;$M$1,对接源_02物料!$B512=""),0,IF(OR(N(对接源_02物料!$B512)&lt;$M$2,N(对接源_02物料!$B512)&gt;$M$3),0,1))</f>
        <v>0</v>
      </c>
      <c r="N1712">
        <f>IF(OR($N$1="",对接源_02物料!$C512="",对接源_02物料!$C512&lt;&gt;$N$1,对接源_02物料!$B512=""),0,IF(OR(N(对接源_02物料!$B512)&lt;$N$2,N(对接源_02物料!$B512)&gt;$N$3),0,1))</f>
        <v>0</v>
      </c>
      <c r="P1712">
        <f>IF(AND($K1712=1,AND(对接源_02物料!$X512="公司筐",N(对接源_02物料!$T512)&lt;&gt;0)),1,0)</f>
        <v>0</v>
      </c>
      <c r="Q1712">
        <f>N(Q1711)+$P1712</f>
        <v>14</v>
      </c>
      <c r="R1712">
        <f>IF(AND($K1712=1,AND(对接源_02物料!$X512="公司筐",N(对接源_02物料!$U512)&lt;&gt;0)),1,0)</f>
        <v>0</v>
      </c>
      <c r="S1712">
        <f>N(S1711)+$R1712</f>
        <v>1</v>
      </c>
      <c r="T1712">
        <f>IF(AND($K1712=1,AND(对接源_02物料!$X512="公司筐",N(对接源_02物料!$V512)&lt;&gt;0)),1,0)</f>
        <v>0</v>
      </c>
      <c r="U1712">
        <f>N(U1711)+$T1712</f>
        <v>47</v>
      </c>
      <c r="V1712">
        <f>IF(AND($L1712=1,AND(对接源_02物料!$X512="自备筐",N(对接源_02物料!$V512)&lt;&gt;0)),1,0)</f>
        <v>0</v>
      </c>
      <c r="W1712">
        <f>N(W1711)+$V1712</f>
        <v>11</v>
      </c>
      <c r="X1712">
        <f>IF(AND($L1712=1,AND(对接源_02物料!$X512="自备筐",N(对接源_02物料!$T512)&lt;&gt;0)),1,0)</f>
        <v>0</v>
      </c>
      <c r="Y1712">
        <f>N(Y1711)+$X1712</f>
        <v>0</v>
      </c>
      <c r="Z1712">
        <f>IF(AND($M1712=1,对接源_02物料!$D512="原料入库"),1,0)</f>
        <v>0</v>
      </c>
      <c r="AA1712">
        <f>N(AA1711)+$Z1712</f>
        <v>24</v>
      </c>
      <c r="AB1712">
        <f>IF(AND($M1712=1,LEFT(对接源_02物料!$D512,4)="原料出库"),1,0)</f>
        <v>0</v>
      </c>
      <c r="AC1712">
        <f>N(AC1711)+$AB1712</f>
        <v>0</v>
      </c>
      <c r="AD1712">
        <f>IF(AND($M1712=1,LEFT(对接源_02物料!$D512,4)="成品出库"),1,0)</f>
        <v>0</v>
      </c>
      <c r="AE1712">
        <f>N(AE1711)+$AD1712</f>
        <v>0</v>
      </c>
      <c r="AF1712">
        <f>IF(AND($N1712=1,AND(LEFT(对接源_02物料!$D512,4)="包装物料",N(对接源_02物料!$K512)&lt;&gt;0)),1,0)</f>
        <v>0</v>
      </c>
      <c r="AG1712">
        <f>N(AG1711)+$AF1712</f>
        <v>10</v>
      </c>
      <c r="AH1712">
        <f>IF(AND($N1712=1,AND(对接源_02物料!$D512="周转筐－销售出库",N(对接源_02物料!$K512)&lt;&gt;0)),1,0)</f>
        <v>0</v>
      </c>
      <c r="AI1712">
        <f>N(AI1711)+$AH1712</f>
        <v>0</v>
      </c>
      <c r="AL1712" t="n">
        <v>0</v>
      </c>
      <c r="AM1712">
        <f>N(AM1711)+$AL1712</f>
        <v>2</v>
      </c>
      <c r="AN1712">
        <f>""</f>
      </c>
      <c r="AO1712" t="n">
        <v>0</v>
      </c>
      <c r="AP1712">
        <f>N(AP1711)+$AO1712</f>
        <v>13</v>
      </c>
      <c r="AR1712">
        <f>IF(OR($AF1712=1,$AH1712=1),1,0)</f>
        <v>0</v>
      </c>
      <c r="AS1712">
        <f>N(AS1711)+$AR1712</f>
        <v>10</v>
      </c>
    </row>
    <row r="1713" s="127">
      <c r="A1713">
        <f>IF(对接源_02物料!$C513="","",对接源_02物料!$C513)</f>
      </c>
      <c r="B1713">
        <f>IF(A1713="",0,IF(MATCH(A1713,$A$4:$A$2403,0)=ROW()-3,1,0))</f>
        <v>0</v>
      </c>
      <c r="C1713">
        <f>N(C1712)+B1713</f>
        <v>26</v>
      </c>
      <c r="K1713">
        <f>IF(OR($K$1="",对接源_02物料!$C513="",对接源_02物料!$C513&lt;&gt;$K$1,对接源_02物料!$B513=""),0,IF(OR(N(对接源_02物料!$B513)&lt;$K$2,N(对接源_02物料!$B513)&gt;$K$3),0,1))</f>
        <v>0</v>
      </c>
      <c r="L1713">
        <f>IF(OR($L$1="",对接源_02物料!$C513="",对接源_02物料!$C513&lt;&gt;$L$1,对接源_02物料!$B513=""),0,IF(OR(N(对接源_02物料!$B513)&lt;$L$2,N(对接源_02物料!$B513)&gt;$L$3),0,1))</f>
        <v>0</v>
      </c>
      <c r="M1713">
        <f>IF(OR($M$1="",对接源_02物料!$C513="",对接源_02物料!$C513&lt;&gt;$M$1,对接源_02物料!$B513=""),0,IF(OR(N(对接源_02物料!$B513)&lt;$M$2,N(对接源_02物料!$B513)&gt;$M$3),0,1))</f>
        <v>0</v>
      </c>
      <c r="N1713">
        <f>IF(OR($N$1="",对接源_02物料!$C513="",对接源_02物料!$C513&lt;&gt;$N$1,对接源_02物料!$B513=""),0,IF(OR(N(对接源_02物料!$B513)&lt;$N$2,N(对接源_02物料!$B513)&gt;$N$3),0,1))</f>
        <v>0</v>
      </c>
      <c r="P1713">
        <f>IF(AND($K1713=1,AND(对接源_02物料!$X513="公司筐",N(对接源_02物料!$T513)&lt;&gt;0)),1,0)</f>
        <v>0</v>
      </c>
      <c r="Q1713">
        <f>N(Q1712)+$P1713</f>
        <v>14</v>
      </c>
      <c r="R1713">
        <f>IF(AND($K1713=1,AND(对接源_02物料!$X513="公司筐",N(对接源_02物料!$U513)&lt;&gt;0)),1,0)</f>
        <v>0</v>
      </c>
      <c r="S1713">
        <f>N(S1712)+$R1713</f>
        <v>1</v>
      </c>
      <c r="T1713">
        <f>IF(AND($K1713=1,AND(对接源_02物料!$X513="公司筐",N(对接源_02物料!$V513)&lt;&gt;0)),1,0)</f>
        <v>0</v>
      </c>
      <c r="U1713">
        <f>N(U1712)+$T1713</f>
        <v>47</v>
      </c>
      <c r="V1713">
        <f>IF(AND($L1713=1,AND(对接源_02物料!$X513="自备筐",N(对接源_02物料!$V513)&lt;&gt;0)),1,0)</f>
        <v>0</v>
      </c>
      <c r="W1713">
        <f>N(W1712)+$V1713</f>
        <v>11</v>
      </c>
      <c r="X1713">
        <f>IF(AND($L1713=1,AND(对接源_02物料!$X513="自备筐",N(对接源_02物料!$T513)&lt;&gt;0)),1,0)</f>
        <v>0</v>
      </c>
      <c r="Y1713">
        <f>N(Y1712)+$X1713</f>
        <v>0</v>
      </c>
      <c r="Z1713">
        <f>IF(AND($M1713=1,对接源_02物料!$D513="原料入库"),1,0)</f>
        <v>0</v>
      </c>
      <c r="AA1713">
        <f>N(AA1712)+$Z1713</f>
        <v>24</v>
      </c>
      <c r="AB1713">
        <f>IF(AND($M1713=1,LEFT(对接源_02物料!$D513,4)="原料出库"),1,0)</f>
        <v>0</v>
      </c>
      <c r="AC1713">
        <f>N(AC1712)+$AB1713</f>
        <v>0</v>
      </c>
      <c r="AD1713">
        <f>IF(AND($M1713=1,LEFT(对接源_02物料!$D513,4)="成品出库"),1,0)</f>
        <v>0</v>
      </c>
      <c r="AE1713">
        <f>N(AE1712)+$AD1713</f>
        <v>0</v>
      </c>
      <c r="AF1713">
        <f>IF(AND($N1713=1,AND(LEFT(对接源_02物料!$D513,4)="包装物料",N(对接源_02物料!$K513)&lt;&gt;0)),1,0)</f>
        <v>0</v>
      </c>
      <c r="AG1713">
        <f>N(AG1712)+$AF1713</f>
        <v>10</v>
      </c>
      <c r="AH1713">
        <f>IF(AND($N1713=1,AND(对接源_02物料!$D513="周转筐－销售出库",N(对接源_02物料!$K513)&lt;&gt;0)),1,0)</f>
        <v>0</v>
      </c>
      <c r="AI1713">
        <f>N(AI1712)+$AH1713</f>
        <v>0</v>
      </c>
      <c r="AL1713" t="n">
        <v>0</v>
      </c>
      <c r="AM1713">
        <f>N(AM1712)+$AL1713</f>
        <v>2</v>
      </c>
      <c r="AN1713">
        <f>""</f>
      </c>
      <c r="AO1713" t="n">
        <v>0</v>
      </c>
      <c r="AP1713">
        <f>N(AP1712)+$AO1713</f>
        <v>13</v>
      </c>
      <c r="AR1713">
        <f>IF(OR($AF1713=1,$AH1713=1),1,0)</f>
        <v>0</v>
      </c>
      <c r="AS1713">
        <f>N(AS1712)+$AR1713</f>
        <v>10</v>
      </c>
    </row>
    <row r="1714" s="127">
      <c r="A1714">
        <f>IF(对接源_02物料!$C514="","",对接源_02物料!$C514)</f>
      </c>
      <c r="B1714">
        <f>IF(A1714="",0,IF(MATCH(A1714,$A$4:$A$2403,0)=ROW()-3,1,0))</f>
        <v>0</v>
      </c>
      <c r="C1714">
        <f>N(C1713)+B1714</f>
        <v>26</v>
      </c>
      <c r="K1714">
        <f>IF(OR($K$1="",对接源_02物料!$C514="",对接源_02物料!$C514&lt;&gt;$K$1,对接源_02物料!$B514=""),0,IF(OR(N(对接源_02物料!$B514)&lt;$K$2,N(对接源_02物料!$B514)&gt;$K$3),0,1))</f>
        <v>0</v>
      </c>
      <c r="L1714">
        <f>IF(OR($L$1="",对接源_02物料!$C514="",对接源_02物料!$C514&lt;&gt;$L$1,对接源_02物料!$B514=""),0,IF(OR(N(对接源_02物料!$B514)&lt;$L$2,N(对接源_02物料!$B514)&gt;$L$3),0,1))</f>
        <v>0</v>
      </c>
      <c r="M1714">
        <f>IF(OR($M$1="",对接源_02物料!$C514="",对接源_02物料!$C514&lt;&gt;$M$1,对接源_02物料!$B514=""),0,IF(OR(N(对接源_02物料!$B514)&lt;$M$2,N(对接源_02物料!$B514)&gt;$M$3),0,1))</f>
        <v>0</v>
      </c>
      <c r="N1714">
        <f>IF(OR($N$1="",对接源_02物料!$C514="",对接源_02物料!$C514&lt;&gt;$N$1,对接源_02物料!$B514=""),0,IF(OR(N(对接源_02物料!$B514)&lt;$N$2,N(对接源_02物料!$B514)&gt;$N$3),0,1))</f>
        <v>0</v>
      </c>
      <c r="P1714">
        <f>IF(AND($K1714=1,AND(对接源_02物料!$X514="公司筐",N(对接源_02物料!$T514)&lt;&gt;0)),1,0)</f>
        <v>0</v>
      </c>
      <c r="Q1714">
        <f>N(Q1713)+$P1714</f>
        <v>14</v>
      </c>
      <c r="R1714">
        <f>IF(AND($K1714=1,AND(对接源_02物料!$X514="公司筐",N(对接源_02物料!$U514)&lt;&gt;0)),1,0)</f>
        <v>0</v>
      </c>
      <c r="S1714">
        <f>N(S1713)+$R1714</f>
        <v>1</v>
      </c>
      <c r="T1714">
        <f>IF(AND($K1714=1,AND(对接源_02物料!$X514="公司筐",N(对接源_02物料!$V514)&lt;&gt;0)),1,0)</f>
        <v>0</v>
      </c>
      <c r="U1714">
        <f>N(U1713)+$T1714</f>
        <v>47</v>
      </c>
      <c r="V1714">
        <f>IF(AND($L1714=1,AND(对接源_02物料!$X514="自备筐",N(对接源_02物料!$V514)&lt;&gt;0)),1,0)</f>
        <v>0</v>
      </c>
      <c r="W1714">
        <f>N(W1713)+$V1714</f>
        <v>11</v>
      </c>
      <c r="X1714">
        <f>IF(AND($L1714=1,AND(对接源_02物料!$X514="自备筐",N(对接源_02物料!$T514)&lt;&gt;0)),1,0)</f>
        <v>0</v>
      </c>
      <c r="Y1714">
        <f>N(Y1713)+$X1714</f>
        <v>0</v>
      </c>
      <c r="Z1714">
        <f>IF(AND($M1714=1,对接源_02物料!$D514="原料入库"),1,0)</f>
        <v>0</v>
      </c>
      <c r="AA1714">
        <f>N(AA1713)+$Z1714</f>
        <v>24</v>
      </c>
      <c r="AB1714">
        <f>IF(AND($M1714=1,LEFT(对接源_02物料!$D514,4)="原料出库"),1,0)</f>
        <v>0</v>
      </c>
      <c r="AC1714">
        <f>N(AC1713)+$AB1714</f>
        <v>0</v>
      </c>
      <c r="AD1714">
        <f>IF(AND($M1714=1,LEFT(对接源_02物料!$D514,4)="成品出库"),1,0)</f>
        <v>0</v>
      </c>
      <c r="AE1714">
        <f>N(AE1713)+$AD1714</f>
        <v>0</v>
      </c>
      <c r="AF1714">
        <f>IF(AND($N1714=1,AND(LEFT(对接源_02物料!$D514,4)="包装物料",N(对接源_02物料!$K514)&lt;&gt;0)),1,0)</f>
        <v>0</v>
      </c>
      <c r="AG1714">
        <f>N(AG1713)+$AF1714</f>
        <v>10</v>
      </c>
      <c r="AH1714">
        <f>IF(AND($N1714=1,AND(对接源_02物料!$D514="周转筐－销售出库",N(对接源_02物料!$K514)&lt;&gt;0)),1,0)</f>
        <v>0</v>
      </c>
      <c r="AI1714">
        <f>N(AI1713)+$AH1714</f>
        <v>0</v>
      </c>
      <c r="AL1714" t="n">
        <v>0</v>
      </c>
      <c r="AM1714">
        <f>N(AM1713)+$AL1714</f>
        <v>2</v>
      </c>
      <c r="AN1714">
        <f>""</f>
      </c>
      <c r="AO1714" t="n">
        <v>0</v>
      </c>
      <c r="AP1714">
        <f>N(AP1713)+$AO1714</f>
        <v>13</v>
      </c>
      <c r="AR1714">
        <f>IF(OR($AF1714=1,$AH1714=1),1,0)</f>
        <v>0</v>
      </c>
      <c r="AS1714">
        <f>N(AS1713)+$AR1714</f>
        <v>10</v>
      </c>
    </row>
    <row r="1715" s="127">
      <c r="A1715">
        <f>IF(对接源_02物料!$C515="","",对接源_02物料!$C515)</f>
      </c>
      <c r="B1715">
        <f>IF(A1715="",0,IF(MATCH(A1715,$A$4:$A$2403,0)=ROW()-3,1,0))</f>
        <v>0</v>
      </c>
      <c r="C1715">
        <f>N(C1714)+B1715</f>
        <v>26</v>
      </c>
      <c r="K1715">
        <f>IF(OR($K$1="",对接源_02物料!$C515="",对接源_02物料!$C515&lt;&gt;$K$1,对接源_02物料!$B515=""),0,IF(OR(N(对接源_02物料!$B515)&lt;$K$2,N(对接源_02物料!$B515)&gt;$K$3),0,1))</f>
        <v>0</v>
      </c>
      <c r="L1715">
        <f>IF(OR($L$1="",对接源_02物料!$C515="",对接源_02物料!$C515&lt;&gt;$L$1,对接源_02物料!$B515=""),0,IF(OR(N(对接源_02物料!$B515)&lt;$L$2,N(对接源_02物料!$B515)&gt;$L$3),0,1))</f>
        <v>0</v>
      </c>
      <c r="M1715">
        <f>IF(OR($M$1="",对接源_02物料!$C515="",对接源_02物料!$C515&lt;&gt;$M$1,对接源_02物料!$B515=""),0,IF(OR(N(对接源_02物料!$B515)&lt;$M$2,N(对接源_02物料!$B515)&gt;$M$3),0,1))</f>
        <v>0</v>
      </c>
      <c r="N1715">
        <f>IF(OR($N$1="",对接源_02物料!$C515="",对接源_02物料!$C515&lt;&gt;$N$1,对接源_02物料!$B515=""),0,IF(OR(N(对接源_02物料!$B515)&lt;$N$2,N(对接源_02物料!$B515)&gt;$N$3),0,1))</f>
        <v>0</v>
      </c>
      <c r="P1715">
        <f>IF(AND($K1715=1,AND(对接源_02物料!$X515="公司筐",N(对接源_02物料!$T515)&lt;&gt;0)),1,0)</f>
        <v>0</v>
      </c>
      <c r="Q1715">
        <f>N(Q1714)+$P1715</f>
        <v>14</v>
      </c>
      <c r="R1715">
        <f>IF(AND($K1715=1,AND(对接源_02物料!$X515="公司筐",N(对接源_02物料!$U515)&lt;&gt;0)),1,0)</f>
        <v>0</v>
      </c>
      <c r="S1715">
        <f>N(S1714)+$R1715</f>
        <v>1</v>
      </c>
      <c r="T1715">
        <f>IF(AND($K1715=1,AND(对接源_02物料!$X515="公司筐",N(对接源_02物料!$V515)&lt;&gt;0)),1,0)</f>
        <v>0</v>
      </c>
      <c r="U1715">
        <f>N(U1714)+$T1715</f>
        <v>47</v>
      </c>
      <c r="V1715">
        <f>IF(AND($L1715=1,AND(对接源_02物料!$X515="自备筐",N(对接源_02物料!$V515)&lt;&gt;0)),1,0)</f>
        <v>0</v>
      </c>
      <c r="W1715">
        <f>N(W1714)+$V1715</f>
        <v>11</v>
      </c>
      <c r="X1715">
        <f>IF(AND($L1715=1,AND(对接源_02物料!$X515="自备筐",N(对接源_02物料!$T515)&lt;&gt;0)),1,0)</f>
        <v>0</v>
      </c>
      <c r="Y1715">
        <f>N(Y1714)+$X1715</f>
        <v>0</v>
      </c>
      <c r="Z1715">
        <f>IF(AND($M1715=1,对接源_02物料!$D515="原料入库"),1,0)</f>
        <v>0</v>
      </c>
      <c r="AA1715">
        <f>N(AA1714)+$Z1715</f>
        <v>24</v>
      </c>
      <c r="AB1715">
        <f>IF(AND($M1715=1,LEFT(对接源_02物料!$D515,4)="原料出库"),1,0)</f>
        <v>0</v>
      </c>
      <c r="AC1715">
        <f>N(AC1714)+$AB1715</f>
        <v>0</v>
      </c>
      <c r="AD1715">
        <f>IF(AND($M1715=1,LEFT(对接源_02物料!$D515,4)="成品出库"),1,0)</f>
        <v>0</v>
      </c>
      <c r="AE1715">
        <f>N(AE1714)+$AD1715</f>
        <v>0</v>
      </c>
      <c r="AF1715">
        <f>IF(AND($N1715=1,AND(LEFT(对接源_02物料!$D515,4)="包装物料",N(对接源_02物料!$K515)&lt;&gt;0)),1,0)</f>
        <v>0</v>
      </c>
      <c r="AG1715">
        <f>N(AG1714)+$AF1715</f>
        <v>10</v>
      </c>
      <c r="AH1715">
        <f>IF(AND($N1715=1,AND(对接源_02物料!$D515="周转筐－销售出库",N(对接源_02物料!$K515)&lt;&gt;0)),1,0)</f>
        <v>0</v>
      </c>
      <c r="AI1715">
        <f>N(AI1714)+$AH1715</f>
        <v>0</v>
      </c>
      <c r="AL1715" t="n">
        <v>0</v>
      </c>
      <c r="AM1715">
        <f>N(AM1714)+$AL1715</f>
        <v>2</v>
      </c>
      <c r="AN1715">
        <f>""</f>
      </c>
      <c r="AO1715" t="n">
        <v>0</v>
      </c>
      <c r="AP1715">
        <f>N(AP1714)+$AO1715</f>
        <v>13</v>
      </c>
      <c r="AR1715">
        <f>IF(OR($AF1715=1,$AH1715=1),1,0)</f>
        <v>0</v>
      </c>
      <c r="AS1715">
        <f>N(AS1714)+$AR1715</f>
        <v>10</v>
      </c>
    </row>
    <row r="1716" s="127">
      <c r="A1716">
        <f>IF(对接源_02物料!$C516="","",对接源_02物料!$C516)</f>
      </c>
      <c r="B1716">
        <f>IF(A1716="",0,IF(MATCH(A1716,$A$4:$A$2403,0)=ROW()-3,1,0))</f>
        <v>0</v>
      </c>
      <c r="C1716">
        <f>N(C1715)+B1716</f>
        <v>26</v>
      </c>
      <c r="K1716">
        <f>IF(OR($K$1="",对接源_02物料!$C516="",对接源_02物料!$C516&lt;&gt;$K$1,对接源_02物料!$B516=""),0,IF(OR(N(对接源_02物料!$B516)&lt;$K$2,N(对接源_02物料!$B516)&gt;$K$3),0,1))</f>
        <v>0</v>
      </c>
      <c r="L1716">
        <f>IF(OR($L$1="",对接源_02物料!$C516="",对接源_02物料!$C516&lt;&gt;$L$1,对接源_02物料!$B516=""),0,IF(OR(N(对接源_02物料!$B516)&lt;$L$2,N(对接源_02物料!$B516)&gt;$L$3),0,1))</f>
        <v>0</v>
      </c>
      <c r="M1716">
        <f>IF(OR($M$1="",对接源_02物料!$C516="",对接源_02物料!$C516&lt;&gt;$M$1,对接源_02物料!$B516=""),0,IF(OR(N(对接源_02物料!$B516)&lt;$M$2,N(对接源_02物料!$B516)&gt;$M$3),0,1))</f>
        <v>0</v>
      </c>
      <c r="N1716">
        <f>IF(OR($N$1="",对接源_02物料!$C516="",对接源_02物料!$C516&lt;&gt;$N$1,对接源_02物料!$B516=""),0,IF(OR(N(对接源_02物料!$B516)&lt;$N$2,N(对接源_02物料!$B516)&gt;$N$3),0,1))</f>
        <v>0</v>
      </c>
      <c r="P1716">
        <f>IF(AND($K1716=1,AND(对接源_02物料!$X516="公司筐",N(对接源_02物料!$T516)&lt;&gt;0)),1,0)</f>
        <v>0</v>
      </c>
      <c r="Q1716">
        <f>N(Q1715)+$P1716</f>
        <v>14</v>
      </c>
      <c r="R1716">
        <f>IF(AND($K1716=1,AND(对接源_02物料!$X516="公司筐",N(对接源_02物料!$U516)&lt;&gt;0)),1,0)</f>
        <v>0</v>
      </c>
      <c r="S1716">
        <f>N(S1715)+$R1716</f>
        <v>1</v>
      </c>
      <c r="T1716">
        <f>IF(AND($K1716=1,AND(对接源_02物料!$X516="公司筐",N(对接源_02物料!$V516)&lt;&gt;0)),1,0)</f>
        <v>0</v>
      </c>
      <c r="U1716">
        <f>N(U1715)+$T1716</f>
        <v>47</v>
      </c>
      <c r="V1716">
        <f>IF(AND($L1716=1,AND(对接源_02物料!$X516="自备筐",N(对接源_02物料!$V516)&lt;&gt;0)),1,0)</f>
        <v>0</v>
      </c>
      <c r="W1716">
        <f>N(W1715)+$V1716</f>
        <v>11</v>
      </c>
      <c r="X1716">
        <f>IF(AND($L1716=1,AND(对接源_02物料!$X516="自备筐",N(对接源_02物料!$T516)&lt;&gt;0)),1,0)</f>
        <v>0</v>
      </c>
      <c r="Y1716">
        <f>N(Y1715)+$X1716</f>
        <v>0</v>
      </c>
      <c r="Z1716">
        <f>IF(AND($M1716=1,对接源_02物料!$D516="原料入库"),1,0)</f>
        <v>0</v>
      </c>
      <c r="AA1716">
        <f>N(AA1715)+$Z1716</f>
        <v>24</v>
      </c>
      <c r="AB1716">
        <f>IF(AND($M1716=1,LEFT(对接源_02物料!$D516,4)="原料出库"),1,0)</f>
        <v>0</v>
      </c>
      <c r="AC1716">
        <f>N(AC1715)+$AB1716</f>
        <v>0</v>
      </c>
      <c r="AD1716">
        <f>IF(AND($M1716=1,LEFT(对接源_02物料!$D516,4)="成品出库"),1,0)</f>
        <v>0</v>
      </c>
      <c r="AE1716">
        <f>N(AE1715)+$AD1716</f>
        <v>0</v>
      </c>
      <c r="AF1716">
        <f>IF(AND($N1716=1,AND(LEFT(对接源_02物料!$D516,4)="包装物料",N(对接源_02物料!$K516)&lt;&gt;0)),1,0)</f>
        <v>0</v>
      </c>
      <c r="AG1716">
        <f>N(AG1715)+$AF1716</f>
        <v>10</v>
      </c>
      <c r="AH1716">
        <f>IF(AND($N1716=1,AND(对接源_02物料!$D516="周转筐－销售出库",N(对接源_02物料!$K516)&lt;&gt;0)),1,0)</f>
        <v>0</v>
      </c>
      <c r="AI1716">
        <f>N(AI1715)+$AH1716</f>
        <v>0</v>
      </c>
      <c r="AL1716" t="n">
        <v>0</v>
      </c>
      <c r="AM1716">
        <f>N(AM1715)+$AL1716</f>
        <v>2</v>
      </c>
      <c r="AN1716">
        <f>""</f>
      </c>
      <c r="AO1716" t="n">
        <v>0</v>
      </c>
      <c r="AP1716">
        <f>N(AP1715)+$AO1716</f>
        <v>13</v>
      </c>
      <c r="AR1716">
        <f>IF(OR($AF1716=1,$AH1716=1),1,0)</f>
        <v>0</v>
      </c>
      <c r="AS1716">
        <f>N(AS1715)+$AR1716</f>
        <v>10</v>
      </c>
    </row>
    <row r="1717" s="127">
      <c r="A1717">
        <f>IF(对接源_02物料!$C517="","",对接源_02物料!$C517)</f>
      </c>
      <c r="B1717">
        <f>IF(A1717="",0,IF(MATCH(A1717,$A$4:$A$2403,0)=ROW()-3,1,0))</f>
        <v>0</v>
      </c>
      <c r="C1717">
        <f>N(C1716)+B1717</f>
        <v>26</v>
      </c>
      <c r="K1717">
        <f>IF(OR($K$1="",对接源_02物料!$C517="",对接源_02物料!$C517&lt;&gt;$K$1,对接源_02物料!$B517=""),0,IF(OR(N(对接源_02物料!$B517)&lt;$K$2,N(对接源_02物料!$B517)&gt;$K$3),0,1))</f>
        <v>0</v>
      </c>
      <c r="L1717">
        <f>IF(OR($L$1="",对接源_02物料!$C517="",对接源_02物料!$C517&lt;&gt;$L$1,对接源_02物料!$B517=""),0,IF(OR(N(对接源_02物料!$B517)&lt;$L$2,N(对接源_02物料!$B517)&gt;$L$3),0,1))</f>
        <v>0</v>
      </c>
      <c r="M1717">
        <f>IF(OR($M$1="",对接源_02物料!$C517="",对接源_02物料!$C517&lt;&gt;$M$1,对接源_02物料!$B517=""),0,IF(OR(N(对接源_02物料!$B517)&lt;$M$2,N(对接源_02物料!$B517)&gt;$M$3),0,1))</f>
        <v>0</v>
      </c>
      <c r="N1717">
        <f>IF(OR($N$1="",对接源_02物料!$C517="",对接源_02物料!$C517&lt;&gt;$N$1,对接源_02物料!$B517=""),0,IF(OR(N(对接源_02物料!$B517)&lt;$N$2,N(对接源_02物料!$B517)&gt;$N$3),0,1))</f>
        <v>0</v>
      </c>
      <c r="P1717">
        <f>IF(AND($K1717=1,AND(对接源_02物料!$X517="公司筐",N(对接源_02物料!$T517)&lt;&gt;0)),1,0)</f>
        <v>0</v>
      </c>
      <c r="Q1717">
        <f>N(Q1716)+$P1717</f>
        <v>14</v>
      </c>
      <c r="R1717">
        <f>IF(AND($K1717=1,AND(对接源_02物料!$X517="公司筐",N(对接源_02物料!$U517)&lt;&gt;0)),1,0)</f>
        <v>0</v>
      </c>
      <c r="S1717">
        <f>N(S1716)+$R1717</f>
        <v>1</v>
      </c>
      <c r="T1717">
        <f>IF(AND($K1717=1,AND(对接源_02物料!$X517="公司筐",N(对接源_02物料!$V517)&lt;&gt;0)),1,0)</f>
        <v>0</v>
      </c>
      <c r="U1717">
        <f>N(U1716)+$T1717</f>
        <v>47</v>
      </c>
      <c r="V1717">
        <f>IF(AND($L1717=1,AND(对接源_02物料!$X517="自备筐",N(对接源_02物料!$V517)&lt;&gt;0)),1,0)</f>
        <v>0</v>
      </c>
      <c r="W1717">
        <f>N(W1716)+$V1717</f>
        <v>11</v>
      </c>
      <c r="X1717">
        <f>IF(AND($L1717=1,AND(对接源_02物料!$X517="自备筐",N(对接源_02物料!$T517)&lt;&gt;0)),1,0)</f>
        <v>0</v>
      </c>
      <c r="Y1717">
        <f>N(Y1716)+$X1717</f>
        <v>0</v>
      </c>
      <c r="Z1717">
        <f>IF(AND($M1717=1,对接源_02物料!$D517="原料入库"),1,0)</f>
        <v>0</v>
      </c>
      <c r="AA1717">
        <f>N(AA1716)+$Z1717</f>
        <v>24</v>
      </c>
      <c r="AB1717">
        <f>IF(AND($M1717=1,LEFT(对接源_02物料!$D517,4)="原料出库"),1,0)</f>
        <v>0</v>
      </c>
      <c r="AC1717">
        <f>N(AC1716)+$AB1717</f>
        <v>0</v>
      </c>
      <c r="AD1717">
        <f>IF(AND($M1717=1,LEFT(对接源_02物料!$D517,4)="成品出库"),1,0)</f>
        <v>0</v>
      </c>
      <c r="AE1717">
        <f>N(AE1716)+$AD1717</f>
        <v>0</v>
      </c>
      <c r="AF1717">
        <f>IF(AND($N1717=1,AND(LEFT(对接源_02物料!$D517,4)="包装物料",N(对接源_02物料!$K517)&lt;&gt;0)),1,0)</f>
        <v>0</v>
      </c>
      <c r="AG1717">
        <f>N(AG1716)+$AF1717</f>
        <v>10</v>
      </c>
      <c r="AH1717">
        <f>IF(AND($N1717=1,AND(对接源_02物料!$D517="周转筐－销售出库",N(对接源_02物料!$K517)&lt;&gt;0)),1,0)</f>
        <v>0</v>
      </c>
      <c r="AI1717">
        <f>N(AI1716)+$AH1717</f>
        <v>0</v>
      </c>
      <c r="AL1717" t="n">
        <v>0</v>
      </c>
      <c r="AM1717">
        <f>N(AM1716)+$AL1717</f>
        <v>2</v>
      </c>
      <c r="AN1717">
        <f>""</f>
      </c>
      <c r="AO1717" t="n">
        <v>0</v>
      </c>
      <c r="AP1717">
        <f>N(AP1716)+$AO1717</f>
        <v>13</v>
      </c>
      <c r="AR1717">
        <f>IF(OR($AF1717=1,$AH1717=1),1,0)</f>
        <v>0</v>
      </c>
      <c r="AS1717">
        <f>N(AS1716)+$AR1717</f>
        <v>10</v>
      </c>
    </row>
    <row r="1718" s="127">
      <c r="A1718">
        <f>IF(对接源_02物料!$C518="","",对接源_02物料!$C518)</f>
      </c>
      <c r="B1718">
        <f>IF(A1718="",0,IF(MATCH(A1718,$A$4:$A$2403,0)=ROW()-3,1,0))</f>
        <v>0</v>
      </c>
      <c r="C1718">
        <f>N(C1717)+B1718</f>
        <v>26</v>
      </c>
      <c r="K1718">
        <f>IF(OR($K$1="",对接源_02物料!$C518="",对接源_02物料!$C518&lt;&gt;$K$1,对接源_02物料!$B518=""),0,IF(OR(N(对接源_02物料!$B518)&lt;$K$2,N(对接源_02物料!$B518)&gt;$K$3),0,1))</f>
        <v>0</v>
      </c>
      <c r="L1718">
        <f>IF(OR($L$1="",对接源_02物料!$C518="",对接源_02物料!$C518&lt;&gt;$L$1,对接源_02物料!$B518=""),0,IF(OR(N(对接源_02物料!$B518)&lt;$L$2,N(对接源_02物料!$B518)&gt;$L$3),0,1))</f>
        <v>0</v>
      </c>
      <c r="M1718">
        <f>IF(OR($M$1="",对接源_02物料!$C518="",对接源_02物料!$C518&lt;&gt;$M$1,对接源_02物料!$B518=""),0,IF(OR(N(对接源_02物料!$B518)&lt;$M$2,N(对接源_02物料!$B518)&gt;$M$3),0,1))</f>
        <v>0</v>
      </c>
      <c r="N1718">
        <f>IF(OR($N$1="",对接源_02物料!$C518="",对接源_02物料!$C518&lt;&gt;$N$1,对接源_02物料!$B518=""),0,IF(OR(N(对接源_02物料!$B518)&lt;$N$2,N(对接源_02物料!$B518)&gt;$N$3),0,1))</f>
        <v>0</v>
      </c>
      <c r="P1718">
        <f>IF(AND($K1718=1,AND(对接源_02物料!$X518="公司筐",N(对接源_02物料!$T518)&lt;&gt;0)),1,0)</f>
        <v>0</v>
      </c>
      <c r="Q1718">
        <f>N(Q1717)+$P1718</f>
        <v>14</v>
      </c>
      <c r="R1718">
        <f>IF(AND($K1718=1,AND(对接源_02物料!$X518="公司筐",N(对接源_02物料!$U518)&lt;&gt;0)),1,0)</f>
        <v>0</v>
      </c>
      <c r="S1718">
        <f>N(S1717)+$R1718</f>
        <v>1</v>
      </c>
      <c r="T1718">
        <f>IF(AND($K1718=1,AND(对接源_02物料!$X518="公司筐",N(对接源_02物料!$V518)&lt;&gt;0)),1,0)</f>
        <v>0</v>
      </c>
      <c r="U1718">
        <f>N(U1717)+$T1718</f>
        <v>47</v>
      </c>
      <c r="V1718">
        <f>IF(AND($L1718=1,AND(对接源_02物料!$X518="自备筐",N(对接源_02物料!$V518)&lt;&gt;0)),1,0)</f>
        <v>0</v>
      </c>
      <c r="W1718">
        <f>N(W1717)+$V1718</f>
        <v>11</v>
      </c>
      <c r="X1718">
        <f>IF(AND($L1718=1,AND(对接源_02物料!$X518="自备筐",N(对接源_02物料!$T518)&lt;&gt;0)),1,0)</f>
        <v>0</v>
      </c>
      <c r="Y1718">
        <f>N(Y1717)+$X1718</f>
        <v>0</v>
      </c>
      <c r="Z1718">
        <f>IF(AND($M1718=1,对接源_02物料!$D518="原料入库"),1,0)</f>
        <v>0</v>
      </c>
      <c r="AA1718">
        <f>N(AA1717)+$Z1718</f>
        <v>24</v>
      </c>
      <c r="AB1718">
        <f>IF(AND($M1718=1,LEFT(对接源_02物料!$D518,4)="原料出库"),1,0)</f>
        <v>0</v>
      </c>
      <c r="AC1718">
        <f>N(AC1717)+$AB1718</f>
        <v>0</v>
      </c>
      <c r="AD1718">
        <f>IF(AND($M1718=1,LEFT(对接源_02物料!$D518,4)="成品出库"),1,0)</f>
        <v>0</v>
      </c>
      <c r="AE1718">
        <f>N(AE1717)+$AD1718</f>
        <v>0</v>
      </c>
      <c r="AF1718">
        <f>IF(AND($N1718=1,AND(LEFT(对接源_02物料!$D518,4)="包装物料",N(对接源_02物料!$K518)&lt;&gt;0)),1,0)</f>
        <v>0</v>
      </c>
      <c r="AG1718">
        <f>N(AG1717)+$AF1718</f>
        <v>10</v>
      </c>
      <c r="AH1718">
        <f>IF(AND($N1718=1,AND(对接源_02物料!$D518="周转筐－销售出库",N(对接源_02物料!$K518)&lt;&gt;0)),1,0)</f>
        <v>0</v>
      </c>
      <c r="AI1718">
        <f>N(AI1717)+$AH1718</f>
        <v>0</v>
      </c>
      <c r="AL1718" t="n">
        <v>0</v>
      </c>
      <c r="AM1718">
        <f>N(AM1717)+$AL1718</f>
        <v>2</v>
      </c>
      <c r="AN1718">
        <f>""</f>
      </c>
      <c r="AO1718" t="n">
        <v>0</v>
      </c>
      <c r="AP1718">
        <f>N(AP1717)+$AO1718</f>
        <v>13</v>
      </c>
      <c r="AR1718">
        <f>IF(OR($AF1718=1,$AH1718=1),1,0)</f>
        <v>0</v>
      </c>
      <c r="AS1718">
        <f>N(AS1717)+$AR1718</f>
        <v>10</v>
      </c>
    </row>
    <row r="1719" s="127">
      <c r="A1719">
        <f>IF(对接源_02物料!$C519="","",对接源_02物料!$C519)</f>
      </c>
      <c r="B1719">
        <f>IF(A1719="",0,IF(MATCH(A1719,$A$4:$A$2403,0)=ROW()-3,1,0))</f>
        <v>0</v>
      </c>
      <c r="C1719">
        <f>N(C1718)+B1719</f>
        <v>26</v>
      </c>
      <c r="K1719">
        <f>IF(OR($K$1="",对接源_02物料!$C519="",对接源_02物料!$C519&lt;&gt;$K$1,对接源_02物料!$B519=""),0,IF(OR(N(对接源_02物料!$B519)&lt;$K$2,N(对接源_02物料!$B519)&gt;$K$3),0,1))</f>
        <v>0</v>
      </c>
      <c r="L1719">
        <f>IF(OR($L$1="",对接源_02物料!$C519="",对接源_02物料!$C519&lt;&gt;$L$1,对接源_02物料!$B519=""),0,IF(OR(N(对接源_02物料!$B519)&lt;$L$2,N(对接源_02物料!$B519)&gt;$L$3),0,1))</f>
        <v>0</v>
      </c>
      <c r="M1719">
        <f>IF(OR($M$1="",对接源_02物料!$C519="",对接源_02物料!$C519&lt;&gt;$M$1,对接源_02物料!$B519=""),0,IF(OR(N(对接源_02物料!$B519)&lt;$M$2,N(对接源_02物料!$B519)&gt;$M$3),0,1))</f>
        <v>0</v>
      </c>
      <c r="N1719">
        <f>IF(OR($N$1="",对接源_02物料!$C519="",对接源_02物料!$C519&lt;&gt;$N$1,对接源_02物料!$B519=""),0,IF(OR(N(对接源_02物料!$B519)&lt;$N$2,N(对接源_02物料!$B519)&gt;$N$3),0,1))</f>
        <v>0</v>
      </c>
      <c r="P1719">
        <f>IF(AND($K1719=1,AND(对接源_02物料!$X519="公司筐",N(对接源_02物料!$T519)&lt;&gt;0)),1,0)</f>
        <v>0</v>
      </c>
      <c r="Q1719">
        <f>N(Q1718)+$P1719</f>
        <v>14</v>
      </c>
      <c r="R1719">
        <f>IF(AND($K1719=1,AND(对接源_02物料!$X519="公司筐",N(对接源_02物料!$U519)&lt;&gt;0)),1,0)</f>
        <v>0</v>
      </c>
      <c r="S1719">
        <f>N(S1718)+$R1719</f>
        <v>1</v>
      </c>
      <c r="T1719">
        <f>IF(AND($K1719=1,AND(对接源_02物料!$X519="公司筐",N(对接源_02物料!$V519)&lt;&gt;0)),1,0)</f>
        <v>0</v>
      </c>
      <c r="U1719">
        <f>N(U1718)+$T1719</f>
        <v>47</v>
      </c>
      <c r="V1719">
        <f>IF(AND($L1719=1,AND(对接源_02物料!$X519="自备筐",N(对接源_02物料!$V519)&lt;&gt;0)),1,0)</f>
        <v>0</v>
      </c>
      <c r="W1719">
        <f>N(W1718)+$V1719</f>
        <v>11</v>
      </c>
      <c r="X1719">
        <f>IF(AND($L1719=1,AND(对接源_02物料!$X519="自备筐",N(对接源_02物料!$T519)&lt;&gt;0)),1,0)</f>
        <v>0</v>
      </c>
      <c r="Y1719">
        <f>N(Y1718)+$X1719</f>
        <v>0</v>
      </c>
      <c r="Z1719">
        <f>IF(AND($M1719=1,对接源_02物料!$D519="原料入库"),1,0)</f>
        <v>0</v>
      </c>
      <c r="AA1719">
        <f>N(AA1718)+$Z1719</f>
        <v>24</v>
      </c>
      <c r="AB1719">
        <f>IF(AND($M1719=1,LEFT(对接源_02物料!$D519,4)="原料出库"),1,0)</f>
        <v>0</v>
      </c>
      <c r="AC1719">
        <f>N(AC1718)+$AB1719</f>
        <v>0</v>
      </c>
      <c r="AD1719">
        <f>IF(AND($M1719=1,LEFT(对接源_02物料!$D519,4)="成品出库"),1,0)</f>
        <v>0</v>
      </c>
      <c r="AE1719">
        <f>N(AE1718)+$AD1719</f>
        <v>0</v>
      </c>
      <c r="AF1719">
        <f>IF(AND($N1719=1,AND(LEFT(对接源_02物料!$D519,4)="包装物料",N(对接源_02物料!$K519)&lt;&gt;0)),1,0)</f>
        <v>0</v>
      </c>
      <c r="AG1719">
        <f>N(AG1718)+$AF1719</f>
        <v>10</v>
      </c>
      <c r="AH1719">
        <f>IF(AND($N1719=1,AND(对接源_02物料!$D519="周转筐－销售出库",N(对接源_02物料!$K519)&lt;&gt;0)),1,0)</f>
        <v>0</v>
      </c>
      <c r="AI1719">
        <f>N(AI1718)+$AH1719</f>
        <v>0</v>
      </c>
      <c r="AL1719" t="n">
        <v>0</v>
      </c>
      <c r="AM1719">
        <f>N(AM1718)+$AL1719</f>
        <v>2</v>
      </c>
      <c r="AN1719">
        <f>""</f>
      </c>
      <c r="AO1719" t="n">
        <v>0</v>
      </c>
      <c r="AP1719">
        <f>N(AP1718)+$AO1719</f>
        <v>13</v>
      </c>
      <c r="AR1719">
        <f>IF(OR($AF1719=1,$AH1719=1),1,0)</f>
        <v>0</v>
      </c>
      <c r="AS1719">
        <f>N(AS1718)+$AR1719</f>
        <v>10</v>
      </c>
    </row>
    <row r="1720" s="127">
      <c r="A1720">
        <f>IF(对接源_02物料!$C520="","",对接源_02物料!$C520)</f>
      </c>
      <c r="B1720">
        <f>IF(A1720="",0,IF(MATCH(A1720,$A$4:$A$2403,0)=ROW()-3,1,0))</f>
        <v>0</v>
      </c>
      <c r="C1720">
        <f>N(C1719)+B1720</f>
        <v>26</v>
      </c>
      <c r="K1720">
        <f>IF(OR($K$1="",对接源_02物料!$C520="",对接源_02物料!$C520&lt;&gt;$K$1,对接源_02物料!$B520=""),0,IF(OR(N(对接源_02物料!$B520)&lt;$K$2,N(对接源_02物料!$B520)&gt;$K$3),0,1))</f>
        <v>0</v>
      </c>
      <c r="L1720">
        <f>IF(OR($L$1="",对接源_02物料!$C520="",对接源_02物料!$C520&lt;&gt;$L$1,对接源_02物料!$B520=""),0,IF(OR(N(对接源_02物料!$B520)&lt;$L$2,N(对接源_02物料!$B520)&gt;$L$3),0,1))</f>
        <v>0</v>
      </c>
      <c r="M1720">
        <f>IF(OR($M$1="",对接源_02物料!$C520="",对接源_02物料!$C520&lt;&gt;$M$1,对接源_02物料!$B520=""),0,IF(OR(N(对接源_02物料!$B520)&lt;$M$2,N(对接源_02物料!$B520)&gt;$M$3),0,1))</f>
        <v>0</v>
      </c>
      <c r="N1720">
        <f>IF(OR($N$1="",对接源_02物料!$C520="",对接源_02物料!$C520&lt;&gt;$N$1,对接源_02物料!$B520=""),0,IF(OR(N(对接源_02物料!$B520)&lt;$N$2,N(对接源_02物料!$B520)&gt;$N$3),0,1))</f>
        <v>0</v>
      </c>
      <c r="P1720">
        <f>IF(AND($K1720=1,AND(对接源_02物料!$X520="公司筐",N(对接源_02物料!$T520)&lt;&gt;0)),1,0)</f>
        <v>0</v>
      </c>
      <c r="Q1720">
        <f>N(Q1719)+$P1720</f>
        <v>14</v>
      </c>
      <c r="R1720">
        <f>IF(AND($K1720=1,AND(对接源_02物料!$X520="公司筐",N(对接源_02物料!$U520)&lt;&gt;0)),1,0)</f>
        <v>0</v>
      </c>
      <c r="S1720">
        <f>N(S1719)+$R1720</f>
        <v>1</v>
      </c>
      <c r="T1720">
        <f>IF(AND($K1720=1,AND(对接源_02物料!$X520="公司筐",N(对接源_02物料!$V520)&lt;&gt;0)),1,0)</f>
        <v>0</v>
      </c>
      <c r="U1720">
        <f>N(U1719)+$T1720</f>
        <v>47</v>
      </c>
      <c r="V1720">
        <f>IF(AND($L1720=1,AND(对接源_02物料!$X520="自备筐",N(对接源_02物料!$V520)&lt;&gt;0)),1,0)</f>
        <v>0</v>
      </c>
      <c r="W1720">
        <f>N(W1719)+$V1720</f>
        <v>11</v>
      </c>
      <c r="X1720">
        <f>IF(AND($L1720=1,AND(对接源_02物料!$X520="自备筐",N(对接源_02物料!$T520)&lt;&gt;0)),1,0)</f>
        <v>0</v>
      </c>
      <c r="Y1720">
        <f>N(Y1719)+$X1720</f>
        <v>0</v>
      </c>
      <c r="Z1720">
        <f>IF(AND($M1720=1,对接源_02物料!$D520="原料入库"),1,0)</f>
        <v>0</v>
      </c>
      <c r="AA1720">
        <f>N(AA1719)+$Z1720</f>
        <v>24</v>
      </c>
      <c r="AB1720">
        <f>IF(AND($M1720=1,LEFT(对接源_02物料!$D520,4)="原料出库"),1,0)</f>
        <v>0</v>
      </c>
      <c r="AC1720">
        <f>N(AC1719)+$AB1720</f>
        <v>0</v>
      </c>
      <c r="AD1720">
        <f>IF(AND($M1720=1,LEFT(对接源_02物料!$D520,4)="成品出库"),1,0)</f>
        <v>0</v>
      </c>
      <c r="AE1720">
        <f>N(AE1719)+$AD1720</f>
        <v>0</v>
      </c>
      <c r="AF1720">
        <f>IF(AND($N1720=1,AND(LEFT(对接源_02物料!$D520,4)="包装物料",N(对接源_02物料!$K520)&lt;&gt;0)),1,0)</f>
        <v>0</v>
      </c>
      <c r="AG1720">
        <f>N(AG1719)+$AF1720</f>
        <v>10</v>
      </c>
      <c r="AH1720">
        <f>IF(AND($N1720=1,AND(对接源_02物料!$D520="周转筐－销售出库",N(对接源_02物料!$K520)&lt;&gt;0)),1,0)</f>
        <v>0</v>
      </c>
      <c r="AI1720">
        <f>N(AI1719)+$AH1720</f>
        <v>0</v>
      </c>
      <c r="AL1720" t="n">
        <v>0</v>
      </c>
      <c r="AM1720">
        <f>N(AM1719)+$AL1720</f>
        <v>2</v>
      </c>
      <c r="AN1720">
        <f>""</f>
      </c>
      <c r="AO1720" t="n">
        <v>0</v>
      </c>
      <c r="AP1720">
        <f>N(AP1719)+$AO1720</f>
        <v>13</v>
      </c>
      <c r="AR1720">
        <f>IF(OR($AF1720=1,$AH1720=1),1,0)</f>
        <v>0</v>
      </c>
      <c r="AS1720">
        <f>N(AS1719)+$AR1720</f>
        <v>10</v>
      </c>
    </row>
    <row r="1721" s="127">
      <c r="A1721">
        <f>IF(对接源_02物料!$C521="","",对接源_02物料!$C521)</f>
      </c>
      <c r="B1721">
        <f>IF(A1721="",0,IF(MATCH(A1721,$A$4:$A$2403,0)=ROW()-3,1,0))</f>
        <v>0</v>
      </c>
      <c r="C1721">
        <f>N(C1720)+B1721</f>
        <v>26</v>
      </c>
      <c r="K1721">
        <f>IF(OR($K$1="",对接源_02物料!$C521="",对接源_02物料!$C521&lt;&gt;$K$1,对接源_02物料!$B521=""),0,IF(OR(N(对接源_02物料!$B521)&lt;$K$2,N(对接源_02物料!$B521)&gt;$K$3),0,1))</f>
        <v>0</v>
      </c>
      <c r="L1721">
        <f>IF(OR($L$1="",对接源_02物料!$C521="",对接源_02物料!$C521&lt;&gt;$L$1,对接源_02物料!$B521=""),0,IF(OR(N(对接源_02物料!$B521)&lt;$L$2,N(对接源_02物料!$B521)&gt;$L$3),0,1))</f>
        <v>0</v>
      </c>
      <c r="M1721">
        <f>IF(OR($M$1="",对接源_02物料!$C521="",对接源_02物料!$C521&lt;&gt;$M$1,对接源_02物料!$B521=""),0,IF(OR(N(对接源_02物料!$B521)&lt;$M$2,N(对接源_02物料!$B521)&gt;$M$3),0,1))</f>
        <v>0</v>
      </c>
      <c r="N1721">
        <f>IF(OR($N$1="",对接源_02物料!$C521="",对接源_02物料!$C521&lt;&gt;$N$1,对接源_02物料!$B521=""),0,IF(OR(N(对接源_02物料!$B521)&lt;$N$2,N(对接源_02物料!$B521)&gt;$N$3),0,1))</f>
        <v>0</v>
      </c>
      <c r="P1721">
        <f>IF(AND($K1721=1,AND(对接源_02物料!$X521="公司筐",N(对接源_02物料!$T521)&lt;&gt;0)),1,0)</f>
        <v>0</v>
      </c>
      <c r="Q1721">
        <f>N(Q1720)+$P1721</f>
        <v>14</v>
      </c>
      <c r="R1721">
        <f>IF(AND($K1721=1,AND(对接源_02物料!$X521="公司筐",N(对接源_02物料!$U521)&lt;&gt;0)),1,0)</f>
        <v>0</v>
      </c>
      <c r="S1721">
        <f>N(S1720)+$R1721</f>
        <v>1</v>
      </c>
      <c r="T1721">
        <f>IF(AND($K1721=1,AND(对接源_02物料!$X521="公司筐",N(对接源_02物料!$V521)&lt;&gt;0)),1,0)</f>
        <v>0</v>
      </c>
      <c r="U1721">
        <f>N(U1720)+$T1721</f>
        <v>47</v>
      </c>
      <c r="V1721">
        <f>IF(AND($L1721=1,AND(对接源_02物料!$X521="自备筐",N(对接源_02物料!$V521)&lt;&gt;0)),1,0)</f>
        <v>0</v>
      </c>
      <c r="W1721">
        <f>N(W1720)+$V1721</f>
        <v>11</v>
      </c>
      <c r="X1721">
        <f>IF(AND($L1721=1,AND(对接源_02物料!$X521="自备筐",N(对接源_02物料!$T521)&lt;&gt;0)),1,0)</f>
        <v>0</v>
      </c>
      <c r="Y1721">
        <f>N(Y1720)+$X1721</f>
        <v>0</v>
      </c>
      <c r="Z1721">
        <f>IF(AND($M1721=1,对接源_02物料!$D521="原料入库"),1,0)</f>
        <v>0</v>
      </c>
      <c r="AA1721">
        <f>N(AA1720)+$Z1721</f>
        <v>24</v>
      </c>
      <c r="AB1721">
        <f>IF(AND($M1721=1,LEFT(对接源_02物料!$D521,4)="原料出库"),1,0)</f>
        <v>0</v>
      </c>
      <c r="AC1721">
        <f>N(AC1720)+$AB1721</f>
        <v>0</v>
      </c>
      <c r="AD1721">
        <f>IF(AND($M1721=1,LEFT(对接源_02物料!$D521,4)="成品出库"),1,0)</f>
        <v>0</v>
      </c>
      <c r="AE1721">
        <f>N(AE1720)+$AD1721</f>
        <v>0</v>
      </c>
      <c r="AF1721">
        <f>IF(AND($N1721=1,AND(LEFT(对接源_02物料!$D521,4)="包装物料",N(对接源_02物料!$K521)&lt;&gt;0)),1,0)</f>
        <v>0</v>
      </c>
      <c r="AG1721">
        <f>N(AG1720)+$AF1721</f>
        <v>10</v>
      </c>
      <c r="AH1721">
        <f>IF(AND($N1721=1,AND(对接源_02物料!$D521="周转筐－销售出库",N(对接源_02物料!$K521)&lt;&gt;0)),1,0)</f>
        <v>0</v>
      </c>
      <c r="AI1721">
        <f>N(AI1720)+$AH1721</f>
        <v>0</v>
      </c>
      <c r="AL1721" t="n">
        <v>0</v>
      </c>
      <c r="AM1721">
        <f>N(AM1720)+$AL1721</f>
        <v>2</v>
      </c>
      <c r="AN1721">
        <f>""</f>
      </c>
      <c r="AO1721" t="n">
        <v>0</v>
      </c>
      <c r="AP1721">
        <f>N(AP1720)+$AO1721</f>
        <v>13</v>
      </c>
      <c r="AR1721">
        <f>IF(OR($AF1721=1,$AH1721=1),1,0)</f>
        <v>0</v>
      </c>
      <c r="AS1721">
        <f>N(AS1720)+$AR1721</f>
        <v>10</v>
      </c>
    </row>
    <row r="1722" s="127">
      <c r="A1722">
        <f>IF(对接源_02物料!$C522="","",对接源_02物料!$C522)</f>
      </c>
      <c r="B1722">
        <f>IF(A1722="",0,IF(MATCH(A1722,$A$4:$A$2403,0)=ROW()-3,1,0))</f>
        <v>0</v>
      </c>
      <c r="C1722">
        <f>N(C1721)+B1722</f>
        <v>26</v>
      </c>
      <c r="K1722">
        <f>IF(OR($K$1="",对接源_02物料!$C522="",对接源_02物料!$C522&lt;&gt;$K$1,对接源_02物料!$B522=""),0,IF(OR(N(对接源_02物料!$B522)&lt;$K$2,N(对接源_02物料!$B522)&gt;$K$3),0,1))</f>
        <v>0</v>
      </c>
      <c r="L1722">
        <f>IF(OR($L$1="",对接源_02物料!$C522="",对接源_02物料!$C522&lt;&gt;$L$1,对接源_02物料!$B522=""),0,IF(OR(N(对接源_02物料!$B522)&lt;$L$2,N(对接源_02物料!$B522)&gt;$L$3),0,1))</f>
        <v>0</v>
      </c>
      <c r="M1722">
        <f>IF(OR($M$1="",对接源_02物料!$C522="",对接源_02物料!$C522&lt;&gt;$M$1,对接源_02物料!$B522=""),0,IF(OR(N(对接源_02物料!$B522)&lt;$M$2,N(对接源_02物料!$B522)&gt;$M$3),0,1))</f>
        <v>0</v>
      </c>
      <c r="N1722">
        <f>IF(OR($N$1="",对接源_02物料!$C522="",对接源_02物料!$C522&lt;&gt;$N$1,对接源_02物料!$B522=""),0,IF(OR(N(对接源_02物料!$B522)&lt;$N$2,N(对接源_02物料!$B522)&gt;$N$3),0,1))</f>
        <v>0</v>
      </c>
      <c r="P1722">
        <f>IF(AND($K1722=1,AND(对接源_02物料!$X522="公司筐",N(对接源_02物料!$T522)&lt;&gt;0)),1,0)</f>
        <v>0</v>
      </c>
      <c r="Q1722">
        <f>N(Q1721)+$P1722</f>
        <v>14</v>
      </c>
      <c r="R1722">
        <f>IF(AND($K1722=1,AND(对接源_02物料!$X522="公司筐",N(对接源_02物料!$U522)&lt;&gt;0)),1,0)</f>
        <v>0</v>
      </c>
      <c r="S1722">
        <f>N(S1721)+$R1722</f>
        <v>1</v>
      </c>
      <c r="T1722">
        <f>IF(AND($K1722=1,AND(对接源_02物料!$X522="公司筐",N(对接源_02物料!$V522)&lt;&gt;0)),1,0)</f>
        <v>0</v>
      </c>
      <c r="U1722">
        <f>N(U1721)+$T1722</f>
        <v>47</v>
      </c>
      <c r="V1722">
        <f>IF(AND($L1722=1,AND(对接源_02物料!$X522="自备筐",N(对接源_02物料!$V522)&lt;&gt;0)),1,0)</f>
        <v>0</v>
      </c>
      <c r="W1722">
        <f>N(W1721)+$V1722</f>
        <v>11</v>
      </c>
      <c r="X1722">
        <f>IF(AND($L1722=1,AND(对接源_02物料!$X522="自备筐",N(对接源_02物料!$T522)&lt;&gt;0)),1,0)</f>
        <v>0</v>
      </c>
      <c r="Y1722">
        <f>N(Y1721)+$X1722</f>
        <v>0</v>
      </c>
      <c r="Z1722">
        <f>IF(AND($M1722=1,对接源_02物料!$D522="原料入库"),1,0)</f>
        <v>0</v>
      </c>
      <c r="AA1722">
        <f>N(AA1721)+$Z1722</f>
        <v>24</v>
      </c>
      <c r="AB1722">
        <f>IF(AND($M1722=1,LEFT(对接源_02物料!$D522,4)="原料出库"),1,0)</f>
        <v>0</v>
      </c>
      <c r="AC1722">
        <f>N(AC1721)+$AB1722</f>
        <v>0</v>
      </c>
      <c r="AD1722">
        <f>IF(AND($M1722=1,LEFT(对接源_02物料!$D522,4)="成品出库"),1,0)</f>
        <v>0</v>
      </c>
      <c r="AE1722">
        <f>N(AE1721)+$AD1722</f>
        <v>0</v>
      </c>
      <c r="AF1722">
        <f>IF(AND($N1722=1,AND(LEFT(对接源_02物料!$D522,4)="包装物料",N(对接源_02物料!$K522)&lt;&gt;0)),1,0)</f>
        <v>0</v>
      </c>
      <c r="AG1722">
        <f>N(AG1721)+$AF1722</f>
        <v>10</v>
      </c>
      <c r="AH1722">
        <f>IF(AND($N1722=1,AND(对接源_02物料!$D522="周转筐－销售出库",N(对接源_02物料!$K522)&lt;&gt;0)),1,0)</f>
        <v>0</v>
      </c>
      <c r="AI1722">
        <f>N(AI1721)+$AH1722</f>
        <v>0</v>
      </c>
      <c r="AL1722" t="n">
        <v>0</v>
      </c>
      <c r="AM1722">
        <f>N(AM1721)+$AL1722</f>
        <v>2</v>
      </c>
      <c r="AN1722">
        <f>""</f>
      </c>
      <c r="AO1722" t="n">
        <v>0</v>
      </c>
      <c r="AP1722">
        <f>N(AP1721)+$AO1722</f>
        <v>13</v>
      </c>
      <c r="AR1722">
        <f>IF(OR($AF1722=1,$AH1722=1),1,0)</f>
        <v>0</v>
      </c>
      <c r="AS1722">
        <f>N(AS1721)+$AR1722</f>
        <v>10</v>
      </c>
    </row>
    <row r="1723" s="127">
      <c r="A1723">
        <f>IF(对接源_02物料!$C523="","",对接源_02物料!$C523)</f>
      </c>
      <c r="B1723">
        <f>IF(A1723="",0,IF(MATCH(A1723,$A$4:$A$2403,0)=ROW()-3,1,0))</f>
        <v>0</v>
      </c>
      <c r="C1723">
        <f>N(C1722)+B1723</f>
        <v>26</v>
      </c>
      <c r="K1723">
        <f>IF(OR($K$1="",对接源_02物料!$C523="",对接源_02物料!$C523&lt;&gt;$K$1,对接源_02物料!$B523=""),0,IF(OR(N(对接源_02物料!$B523)&lt;$K$2,N(对接源_02物料!$B523)&gt;$K$3),0,1))</f>
        <v>0</v>
      </c>
      <c r="L1723">
        <f>IF(OR($L$1="",对接源_02物料!$C523="",对接源_02物料!$C523&lt;&gt;$L$1,对接源_02物料!$B523=""),0,IF(OR(N(对接源_02物料!$B523)&lt;$L$2,N(对接源_02物料!$B523)&gt;$L$3),0,1))</f>
        <v>0</v>
      </c>
      <c r="M1723">
        <f>IF(OR($M$1="",对接源_02物料!$C523="",对接源_02物料!$C523&lt;&gt;$M$1,对接源_02物料!$B523=""),0,IF(OR(N(对接源_02物料!$B523)&lt;$M$2,N(对接源_02物料!$B523)&gt;$M$3),0,1))</f>
        <v>0</v>
      </c>
      <c r="N1723">
        <f>IF(OR($N$1="",对接源_02物料!$C523="",对接源_02物料!$C523&lt;&gt;$N$1,对接源_02物料!$B523=""),0,IF(OR(N(对接源_02物料!$B523)&lt;$N$2,N(对接源_02物料!$B523)&gt;$N$3),0,1))</f>
        <v>0</v>
      </c>
      <c r="P1723">
        <f>IF(AND($K1723=1,AND(对接源_02物料!$X523="公司筐",N(对接源_02物料!$T523)&lt;&gt;0)),1,0)</f>
        <v>0</v>
      </c>
      <c r="Q1723">
        <f>N(Q1722)+$P1723</f>
        <v>14</v>
      </c>
      <c r="R1723">
        <f>IF(AND($K1723=1,AND(对接源_02物料!$X523="公司筐",N(对接源_02物料!$U523)&lt;&gt;0)),1,0)</f>
        <v>0</v>
      </c>
      <c r="S1723">
        <f>N(S1722)+$R1723</f>
        <v>1</v>
      </c>
      <c r="T1723">
        <f>IF(AND($K1723=1,AND(对接源_02物料!$X523="公司筐",N(对接源_02物料!$V523)&lt;&gt;0)),1,0)</f>
        <v>0</v>
      </c>
      <c r="U1723">
        <f>N(U1722)+$T1723</f>
        <v>47</v>
      </c>
      <c r="V1723">
        <f>IF(AND($L1723=1,AND(对接源_02物料!$X523="自备筐",N(对接源_02物料!$V523)&lt;&gt;0)),1,0)</f>
        <v>0</v>
      </c>
      <c r="W1723">
        <f>N(W1722)+$V1723</f>
        <v>11</v>
      </c>
      <c r="X1723">
        <f>IF(AND($L1723=1,AND(对接源_02物料!$X523="自备筐",N(对接源_02物料!$T523)&lt;&gt;0)),1,0)</f>
        <v>0</v>
      </c>
      <c r="Y1723">
        <f>N(Y1722)+$X1723</f>
        <v>0</v>
      </c>
      <c r="Z1723">
        <f>IF(AND($M1723=1,对接源_02物料!$D523="原料入库"),1,0)</f>
        <v>0</v>
      </c>
      <c r="AA1723">
        <f>N(AA1722)+$Z1723</f>
        <v>24</v>
      </c>
      <c r="AB1723">
        <f>IF(AND($M1723=1,LEFT(对接源_02物料!$D523,4)="原料出库"),1,0)</f>
        <v>0</v>
      </c>
      <c r="AC1723">
        <f>N(AC1722)+$AB1723</f>
        <v>0</v>
      </c>
      <c r="AD1723">
        <f>IF(AND($M1723=1,LEFT(对接源_02物料!$D523,4)="成品出库"),1,0)</f>
        <v>0</v>
      </c>
      <c r="AE1723">
        <f>N(AE1722)+$AD1723</f>
        <v>0</v>
      </c>
      <c r="AF1723">
        <f>IF(AND($N1723=1,AND(LEFT(对接源_02物料!$D523,4)="包装物料",N(对接源_02物料!$K523)&lt;&gt;0)),1,0)</f>
        <v>0</v>
      </c>
      <c r="AG1723">
        <f>N(AG1722)+$AF1723</f>
        <v>10</v>
      </c>
      <c r="AH1723">
        <f>IF(AND($N1723=1,AND(对接源_02物料!$D523="周转筐－销售出库",N(对接源_02物料!$K523)&lt;&gt;0)),1,0)</f>
        <v>0</v>
      </c>
      <c r="AI1723">
        <f>N(AI1722)+$AH1723</f>
        <v>0</v>
      </c>
      <c r="AL1723" t="n">
        <v>0</v>
      </c>
      <c r="AM1723">
        <f>N(AM1722)+$AL1723</f>
        <v>2</v>
      </c>
      <c r="AN1723">
        <f>""</f>
      </c>
      <c r="AO1723" t="n">
        <v>0</v>
      </c>
      <c r="AP1723">
        <f>N(AP1722)+$AO1723</f>
        <v>13</v>
      </c>
      <c r="AR1723">
        <f>IF(OR($AF1723=1,$AH1723=1),1,0)</f>
        <v>0</v>
      </c>
      <c r="AS1723">
        <f>N(AS1722)+$AR1723</f>
        <v>10</v>
      </c>
    </row>
    <row r="1724" s="127">
      <c r="A1724">
        <f>IF(对接源_02物料!$C524="","",对接源_02物料!$C524)</f>
      </c>
      <c r="B1724">
        <f>IF(A1724="",0,IF(MATCH(A1724,$A$4:$A$2403,0)=ROW()-3,1,0))</f>
        <v>0</v>
      </c>
      <c r="C1724">
        <f>N(C1723)+B1724</f>
        <v>26</v>
      </c>
      <c r="K1724">
        <f>IF(OR($K$1="",对接源_02物料!$C524="",对接源_02物料!$C524&lt;&gt;$K$1,对接源_02物料!$B524=""),0,IF(OR(N(对接源_02物料!$B524)&lt;$K$2,N(对接源_02物料!$B524)&gt;$K$3),0,1))</f>
        <v>0</v>
      </c>
      <c r="L1724">
        <f>IF(OR($L$1="",对接源_02物料!$C524="",对接源_02物料!$C524&lt;&gt;$L$1,对接源_02物料!$B524=""),0,IF(OR(N(对接源_02物料!$B524)&lt;$L$2,N(对接源_02物料!$B524)&gt;$L$3),0,1))</f>
        <v>0</v>
      </c>
      <c r="M1724">
        <f>IF(OR($M$1="",对接源_02物料!$C524="",对接源_02物料!$C524&lt;&gt;$M$1,对接源_02物料!$B524=""),0,IF(OR(N(对接源_02物料!$B524)&lt;$M$2,N(对接源_02物料!$B524)&gt;$M$3),0,1))</f>
        <v>0</v>
      </c>
      <c r="N1724">
        <f>IF(OR($N$1="",对接源_02物料!$C524="",对接源_02物料!$C524&lt;&gt;$N$1,对接源_02物料!$B524=""),0,IF(OR(N(对接源_02物料!$B524)&lt;$N$2,N(对接源_02物料!$B524)&gt;$N$3),0,1))</f>
        <v>0</v>
      </c>
      <c r="P1724">
        <f>IF(AND($K1724=1,AND(对接源_02物料!$X524="公司筐",N(对接源_02物料!$T524)&lt;&gt;0)),1,0)</f>
        <v>0</v>
      </c>
      <c r="Q1724">
        <f>N(Q1723)+$P1724</f>
        <v>14</v>
      </c>
      <c r="R1724">
        <f>IF(AND($K1724=1,AND(对接源_02物料!$X524="公司筐",N(对接源_02物料!$U524)&lt;&gt;0)),1,0)</f>
        <v>0</v>
      </c>
      <c r="S1724">
        <f>N(S1723)+$R1724</f>
        <v>1</v>
      </c>
      <c r="T1724">
        <f>IF(AND($K1724=1,AND(对接源_02物料!$X524="公司筐",N(对接源_02物料!$V524)&lt;&gt;0)),1,0)</f>
        <v>0</v>
      </c>
      <c r="U1724">
        <f>N(U1723)+$T1724</f>
        <v>47</v>
      </c>
      <c r="V1724">
        <f>IF(AND($L1724=1,AND(对接源_02物料!$X524="自备筐",N(对接源_02物料!$V524)&lt;&gt;0)),1,0)</f>
        <v>0</v>
      </c>
      <c r="W1724">
        <f>N(W1723)+$V1724</f>
        <v>11</v>
      </c>
      <c r="X1724">
        <f>IF(AND($L1724=1,AND(对接源_02物料!$X524="自备筐",N(对接源_02物料!$T524)&lt;&gt;0)),1,0)</f>
        <v>0</v>
      </c>
      <c r="Y1724">
        <f>N(Y1723)+$X1724</f>
        <v>0</v>
      </c>
      <c r="Z1724">
        <f>IF(AND($M1724=1,对接源_02物料!$D524="原料入库"),1,0)</f>
        <v>0</v>
      </c>
      <c r="AA1724">
        <f>N(AA1723)+$Z1724</f>
        <v>24</v>
      </c>
      <c r="AB1724">
        <f>IF(AND($M1724=1,LEFT(对接源_02物料!$D524,4)="原料出库"),1,0)</f>
        <v>0</v>
      </c>
      <c r="AC1724">
        <f>N(AC1723)+$AB1724</f>
        <v>0</v>
      </c>
      <c r="AD1724">
        <f>IF(AND($M1724=1,LEFT(对接源_02物料!$D524,4)="成品出库"),1,0)</f>
        <v>0</v>
      </c>
      <c r="AE1724">
        <f>N(AE1723)+$AD1724</f>
        <v>0</v>
      </c>
      <c r="AF1724">
        <f>IF(AND($N1724=1,AND(LEFT(对接源_02物料!$D524,4)="包装物料",N(对接源_02物料!$K524)&lt;&gt;0)),1,0)</f>
        <v>0</v>
      </c>
      <c r="AG1724">
        <f>N(AG1723)+$AF1724</f>
        <v>10</v>
      </c>
      <c r="AH1724">
        <f>IF(AND($N1724=1,AND(对接源_02物料!$D524="周转筐－销售出库",N(对接源_02物料!$K524)&lt;&gt;0)),1,0)</f>
        <v>0</v>
      </c>
      <c r="AI1724">
        <f>N(AI1723)+$AH1724</f>
        <v>0</v>
      </c>
      <c r="AL1724" t="n">
        <v>0</v>
      </c>
      <c r="AM1724">
        <f>N(AM1723)+$AL1724</f>
        <v>2</v>
      </c>
      <c r="AN1724">
        <f>""</f>
      </c>
      <c r="AO1724" t="n">
        <v>0</v>
      </c>
      <c r="AP1724">
        <f>N(AP1723)+$AO1724</f>
        <v>13</v>
      </c>
      <c r="AR1724">
        <f>IF(OR($AF1724=1,$AH1724=1),1,0)</f>
        <v>0</v>
      </c>
      <c r="AS1724">
        <f>N(AS1723)+$AR1724</f>
        <v>10</v>
      </c>
    </row>
    <row r="1725" s="127">
      <c r="A1725">
        <f>IF(对接源_02物料!$C525="","",对接源_02物料!$C525)</f>
      </c>
      <c r="B1725">
        <f>IF(A1725="",0,IF(MATCH(A1725,$A$4:$A$2403,0)=ROW()-3,1,0))</f>
        <v>0</v>
      </c>
      <c r="C1725">
        <f>N(C1724)+B1725</f>
        <v>26</v>
      </c>
      <c r="K1725">
        <f>IF(OR($K$1="",对接源_02物料!$C525="",对接源_02物料!$C525&lt;&gt;$K$1,对接源_02物料!$B525=""),0,IF(OR(N(对接源_02物料!$B525)&lt;$K$2,N(对接源_02物料!$B525)&gt;$K$3),0,1))</f>
        <v>0</v>
      </c>
      <c r="L1725">
        <f>IF(OR($L$1="",对接源_02物料!$C525="",对接源_02物料!$C525&lt;&gt;$L$1,对接源_02物料!$B525=""),0,IF(OR(N(对接源_02物料!$B525)&lt;$L$2,N(对接源_02物料!$B525)&gt;$L$3),0,1))</f>
        <v>0</v>
      </c>
      <c r="M1725">
        <f>IF(OR($M$1="",对接源_02物料!$C525="",对接源_02物料!$C525&lt;&gt;$M$1,对接源_02物料!$B525=""),0,IF(OR(N(对接源_02物料!$B525)&lt;$M$2,N(对接源_02物料!$B525)&gt;$M$3),0,1))</f>
        <v>0</v>
      </c>
      <c r="N1725">
        <f>IF(OR($N$1="",对接源_02物料!$C525="",对接源_02物料!$C525&lt;&gt;$N$1,对接源_02物料!$B525=""),0,IF(OR(N(对接源_02物料!$B525)&lt;$N$2,N(对接源_02物料!$B525)&gt;$N$3),0,1))</f>
        <v>0</v>
      </c>
      <c r="P1725">
        <f>IF(AND($K1725=1,AND(对接源_02物料!$X525="公司筐",N(对接源_02物料!$T525)&lt;&gt;0)),1,0)</f>
        <v>0</v>
      </c>
      <c r="Q1725">
        <f>N(Q1724)+$P1725</f>
        <v>14</v>
      </c>
      <c r="R1725">
        <f>IF(AND($K1725=1,AND(对接源_02物料!$X525="公司筐",N(对接源_02物料!$U525)&lt;&gt;0)),1,0)</f>
        <v>0</v>
      </c>
      <c r="S1725">
        <f>N(S1724)+$R1725</f>
        <v>1</v>
      </c>
      <c r="T1725">
        <f>IF(AND($K1725=1,AND(对接源_02物料!$X525="公司筐",N(对接源_02物料!$V525)&lt;&gt;0)),1,0)</f>
        <v>0</v>
      </c>
      <c r="U1725">
        <f>N(U1724)+$T1725</f>
        <v>47</v>
      </c>
      <c r="V1725">
        <f>IF(AND($L1725=1,AND(对接源_02物料!$X525="自备筐",N(对接源_02物料!$V525)&lt;&gt;0)),1,0)</f>
        <v>0</v>
      </c>
      <c r="W1725">
        <f>N(W1724)+$V1725</f>
        <v>11</v>
      </c>
      <c r="X1725">
        <f>IF(AND($L1725=1,AND(对接源_02物料!$X525="自备筐",N(对接源_02物料!$T525)&lt;&gt;0)),1,0)</f>
        <v>0</v>
      </c>
      <c r="Y1725">
        <f>N(Y1724)+$X1725</f>
        <v>0</v>
      </c>
      <c r="Z1725">
        <f>IF(AND($M1725=1,对接源_02物料!$D525="原料入库"),1,0)</f>
        <v>0</v>
      </c>
      <c r="AA1725">
        <f>N(AA1724)+$Z1725</f>
        <v>24</v>
      </c>
      <c r="AB1725">
        <f>IF(AND($M1725=1,LEFT(对接源_02物料!$D525,4)="原料出库"),1,0)</f>
        <v>0</v>
      </c>
      <c r="AC1725">
        <f>N(AC1724)+$AB1725</f>
        <v>0</v>
      </c>
      <c r="AD1725">
        <f>IF(AND($M1725=1,LEFT(对接源_02物料!$D525,4)="成品出库"),1,0)</f>
        <v>0</v>
      </c>
      <c r="AE1725">
        <f>N(AE1724)+$AD1725</f>
        <v>0</v>
      </c>
      <c r="AF1725">
        <f>IF(AND($N1725=1,AND(LEFT(对接源_02物料!$D525,4)="包装物料",N(对接源_02物料!$K525)&lt;&gt;0)),1,0)</f>
        <v>0</v>
      </c>
      <c r="AG1725">
        <f>N(AG1724)+$AF1725</f>
        <v>10</v>
      </c>
      <c r="AH1725">
        <f>IF(AND($N1725=1,AND(对接源_02物料!$D525="周转筐－销售出库",N(对接源_02物料!$K525)&lt;&gt;0)),1,0)</f>
        <v>0</v>
      </c>
      <c r="AI1725">
        <f>N(AI1724)+$AH1725</f>
        <v>0</v>
      </c>
      <c r="AL1725" t="n">
        <v>0</v>
      </c>
      <c r="AM1725">
        <f>N(AM1724)+$AL1725</f>
        <v>2</v>
      </c>
      <c r="AN1725">
        <f>""</f>
      </c>
      <c r="AO1725" t="n">
        <v>0</v>
      </c>
      <c r="AP1725">
        <f>N(AP1724)+$AO1725</f>
        <v>13</v>
      </c>
      <c r="AR1725">
        <f>IF(OR($AF1725=1,$AH1725=1),1,0)</f>
        <v>0</v>
      </c>
      <c r="AS1725">
        <f>N(AS1724)+$AR1725</f>
        <v>10</v>
      </c>
    </row>
    <row r="1726" s="127">
      <c r="A1726">
        <f>IF(对接源_02物料!$C526="","",对接源_02物料!$C526)</f>
      </c>
      <c r="B1726">
        <f>IF(A1726="",0,IF(MATCH(A1726,$A$4:$A$2403,0)=ROW()-3,1,0))</f>
        <v>0</v>
      </c>
      <c r="C1726">
        <f>N(C1725)+B1726</f>
        <v>26</v>
      </c>
      <c r="K1726">
        <f>IF(OR($K$1="",对接源_02物料!$C526="",对接源_02物料!$C526&lt;&gt;$K$1,对接源_02物料!$B526=""),0,IF(OR(N(对接源_02物料!$B526)&lt;$K$2,N(对接源_02物料!$B526)&gt;$K$3),0,1))</f>
        <v>0</v>
      </c>
      <c r="L1726">
        <f>IF(OR($L$1="",对接源_02物料!$C526="",对接源_02物料!$C526&lt;&gt;$L$1,对接源_02物料!$B526=""),0,IF(OR(N(对接源_02物料!$B526)&lt;$L$2,N(对接源_02物料!$B526)&gt;$L$3),0,1))</f>
        <v>0</v>
      </c>
      <c r="M1726">
        <f>IF(OR($M$1="",对接源_02物料!$C526="",对接源_02物料!$C526&lt;&gt;$M$1,对接源_02物料!$B526=""),0,IF(OR(N(对接源_02物料!$B526)&lt;$M$2,N(对接源_02物料!$B526)&gt;$M$3),0,1))</f>
        <v>0</v>
      </c>
      <c r="N1726">
        <f>IF(OR($N$1="",对接源_02物料!$C526="",对接源_02物料!$C526&lt;&gt;$N$1,对接源_02物料!$B526=""),0,IF(OR(N(对接源_02物料!$B526)&lt;$N$2,N(对接源_02物料!$B526)&gt;$N$3),0,1))</f>
        <v>0</v>
      </c>
      <c r="P1726">
        <f>IF(AND($K1726=1,AND(对接源_02物料!$X526="公司筐",N(对接源_02物料!$T526)&lt;&gt;0)),1,0)</f>
        <v>0</v>
      </c>
      <c r="Q1726">
        <f>N(Q1725)+$P1726</f>
        <v>14</v>
      </c>
      <c r="R1726">
        <f>IF(AND($K1726=1,AND(对接源_02物料!$X526="公司筐",N(对接源_02物料!$U526)&lt;&gt;0)),1,0)</f>
        <v>0</v>
      </c>
      <c r="S1726">
        <f>N(S1725)+$R1726</f>
        <v>1</v>
      </c>
      <c r="T1726">
        <f>IF(AND($K1726=1,AND(对接源_02物料!$X526="公司筐",N(对接源_02物料!$V526)&lt;&gt;0)),1,0)</f>
        <v>0</v>
      </c>
      <c r="U1726">
        <f>N(U1725)+$T1726</f>
        <v>47</v>
      </c>
      <c r="V1726">
        <f>IF(AND($L1726=1,AND(对接源_02物料!$X526="自备筐",N(对接源_02物料!$V526)&lt;&gt;0)),1,0)</f>
        <v>0</v>
      </c>
      <c r="W1726">
        <f>N(W1725)+$V1726</f>
        <v>11</v>
      </c>
      <c r="X1726">
        <f>IF(AND($L1726=1,AND(对接源_02物料!$X526="自备筐",N(对接源_02物料!$T526)&lt;&gt;0)),1,0)</f>
        <v>0</v>
      </c>
      <c r="Y1726">
        <f>N(Y1725)+$X1726</f>
        <v>0</v>
      </c>
      <c r="Z1726">
        <f>IF(AND($M1726=1,对接源_02物料!$D526="原料入库"),1,0)</f>
        <v>0</v>
      </c>
      <c r="AA1726">
        <f>N(AA1725)+$Z1726</f>
        <v>24</v>
      </c>
      <c r="AB1726">
        <f>IF(AND($M1726=1,LEFT(对接源_02物料!$D526,4)="原料出库"),1,0)</f>
        <v>0</v>
      </c>
      <c r="AC1726">
        <f>N(AC1725)+$AB1726</f>
        <v>0</v>
      </c>
      <c r="AD1726">
        <f>IF(AND($M1726=1,LEFT(对接源_02物料!$D526,4)="成品出库"),1,0)</f>
        <v>0</v>
      </c>
      <c r="AE1726">
        <f>N(AE1725)+$AD1726</f>
        <v>0</v>
      </c>
      <c r="AF1726">
        <f>IF(AND($N1726=1,AND(LEFT(对接源_02物料!$D526,4)="包装物料",N(对接源_02物料!$K526)&lt;&gt;0)),1,0)</f>
        <v>0</v>
      </c>
      <c r="AG1726">
        <f>N(AG1725)+$AF1726</f>
        <v>10</v>
      </c>
      <c r="AH1726">
        <f>IF(AND($N1726=1,AND(对接源_02物料!$D526="周转筐－销售出库",N(对接源_02物料!$K526)&lt;&gt;0)),1,0)</f>
        <v>0</v>
      </c>
      <c r="AI1726">
        <f>N(AI1725)+$AH1726</f>
        <v>0</v>
      </c>
      <c r="AL1726" t="n">
        <v>0</v>
      </c>
      <c r="AM1726">
        <f>N(AM1725)+$AL1726</f>
        <v>2</v>
      </c>
      <c r="AN1726">
        <f>""</f>
      </c>
      <c r="AO1726" t="n">
        <v>0</v>
      </c>
      <c r="AP1726">
        <f>N(AP1725)+$AO1726</f>
        <v>13</v>
      </c>
      <c r="AR1726">
        <f>IF(OR($AF1726=1,$AH1726=1),1,0)</f>
        <v>0</v>
      </c>
      <c r="AS1726">
        <f>N(AS1725)+$AR1726</f>
        <v>10</v>
      </c>
    </row>
    <row r="1727" s="127">
      <c r="A1727">
        <f>IF(对接源_02物料!$C527="","",对接源_02物料!$C527)</f>
      </c>
      <c r="B1727">
        <f>IF(A1727="",0,IF(MATCH(A1727,$A$4:$A$2403,0)=ROW()-3,1,0))</f>
        <v>0</v>
      </c>
      <c r="C1727">
        <f>N(C1726)+B1727</f>
        <v>26</v>
      </c>
      <c r="K1727">
        <f>IF(OR($K$1="",对接源_02物料!$C527="",对接源_02物料!$C527&lt;&gt;$K$1,对接源_02物料!$B527=""),0,IF(OR(N(对接源_02物料!$B527)&lt;$K$2,N(对接源_02物料!$B527)&gt;$K$3),0,1))</f>
        <v>0</v>
      </c>
      <c r="L1727">
        <f>IF(OR($L$1="",对接源_02物料!$C527="",对接源_02物料!$C527&lt;&gt;$L$1,对接源_02物料!$B527=""),0,IF(OR(N(对接源_02物料!$B527)&lt;$L$2,N(对接源_02物料!$B527)&gt;$L$3),0,1))</f>
        <v>0</v>
      </c>
      <c r="M1727">
        <f>IF(OR($M$1="",对接源_02物料!$C527="",对接源_02物料!$C527&lt;&gt;$M$1,对接源_02物料!$B527=""),0,IF(OR(N(对接源_02物料!$B527)&lt;$M$2,N(对接源_02物料!$B527)&gt;$M$3),0,1))</f>
        <v>0</v>
      </c>
      <c r="N1727">
        <f>IF(OR($N$1="",对接源_02物料!$C527="",对接源_02物料!$C527&lt;&gt;$N$1,对接源_02物料!$B527=""),0,IF(OR(N(对接源_02物料!$B527)&lt;$N$2,N(对接源_02物料!$B527)&gt;$N$3),0,1))</f>
        <v>0</v>
      </c>
      <c r="P1727">
        <f>IF(AND($K1727=1,AND(对接源_02物料!$X527="公司筐",N(对接源_02物料!$T527)&lt;&gt;0)),1,0)</f>
        <v>0</v>
      </c>
      <c r="Q1727">
        <f>N(Q1726)+$P1727</f>
        <v>14</v>
      </c>
      <c r="R1727">
        <f>IF(AND($K1727=1,AND(对接源_02物料!$X527="公司筐",N(对接源_02物料!$U527)&lt;&gt;0)),1,0)</f>
        <v>0</v>
      </c>
      <c r="S1727">
        <f>N(S1726)+$R1727</f>
        <v>1</v>
      </c>
      <c r="T1727">
        <f>IF(AND($K1727=1,AND(对接源_02物料!$X527="公司筐",N(对接源_02物料!$V527)&lt;&gt;0)),1,0)</f>
        <v>0</v>
      </c>
      <c r="U1727">
        <f>N(U1726)+$T1727</f>
        <v>47</v>
      </c>
      <c r="V1727">
        <f>IF(AND($L1727=1,AND(对接源_02物料!$X527="自备筐",N(对接源_02物料!$V527)&lt;&gt;0)),1,0)</f>
        <v>0</v>
      </c>
      <c r="W1727">
        <f>N(W1726)+$V1727</f>
        <v>11</v>
      </c>
      <c r="X1727">
        <f>IF(AND($L1727=1,AND(对接源_02物料!$X527="自备筐",N(对接源_02物料!$T527)&lt;&gt;0)),1,0)</f>
        <v>0</v>
      </c>
      <c r="Y1727">
        <f>N(Y1726)+$X1727</f>
        <v>0</v>
      </c>
      <c r="Z1727">
        <f>IF(AND($M1727=1,对接源_02物料!$D527="原料入库"),1,0)</f>
        <v>0</v>
      </c>
      <c r="AA1727">
        <f>N(AA1726)+$Z1727</f>
        <v>24</v>
      </c>
      <c r="AB1727">
        <f>IF(AND($M1727=1,LEFT(对接源_02物料!$D527,4)="原料出库"),1,0)</f>
        <v>0</v>
      </c>
      <c r="AC1727">
        <f>N(AC1726)+$AB1727</f>
        <v>0</v>
      </c>
      <c r="AD1727">
        <f>IF(AND($M1727=1,LEFT(对接源_02物料!$D527,4)="成品出库"),1,0)</f>
        <v>0</v>
      </c>
      <c r="AE1727">
        <f>N(AE1726)+$AD1727</f>
        <v>0</v>
      </c>
      <c r="AF1727">
        <f>IF(AND($N1727=1,AND(LEFT(对接源_02物料!$D527,4)="包装物料",N(对接源_02物料!$K527)&lt;&gt;0)),1,0)</f>
        <v>0</v>
      </c>
      <c r="AG1727">
        <f>N(AG1726)+$AF1727</f>
        <v>10</v>
      </c>
      <c r="AH1727">
        <f>IF(AND($N1727=1,AND(对接源_02物料!$D527="周转筐－销售出库",N(对接源_02物料!$K527)&lt;&gt;0)),1,0)</f>
        <v>0</v>
      </c>
      <c r="AI1727">
        <f>N(AI1726)+$AH1727</f>
        <v>0</v>
      </c>
      <c r="AL1727" t="n">
        <v>0</v>
      </c>
      <c r="AM1727">
        <f>N(AM1726)+$AL1727</f>
        <v>2</v>
      </c>
      <c r="AN1727">
        <f>""</f>
      </c>
      <c r="AO1727" t="n">
        <v>0</v>
      </c>
      <c r="AP1727">
        <f>N(AP1726)+$AO1727</f>
        <v>13</v>
      </c>
      <c r="AR1727">
        <f>IF(OR($AF1727=1,$AH1727=1),1,0)</f>
        <v>0</v>
      </c>
      <c r="AS1727">
        <f>N(AS1726)+$AR1727</f>
        <v>10</v>
      </c>
    </row>
    <row r="1728" s="127">
      <c r="A1728">
        <f>IF(对接源_02物料!$C528="","",对接源_02物料!$C528)</f>
      </c>
      <c r="B1728">
        <f>IF(A1728="",0,IF(MATCH(A1728,$A$4:$A$2403,0)=ROW()-3,1,0))</f>
        <v>0</v>
      </c>
      <c r="C1728">
        <f>N(C1727)+B1728</f>
        <v>26</v>
      </c>
      <c r="K1728">
        <f>IF(OR($K$1="",对接源_02物料!$C528="",对接源_02物料!$C528&lt;&gt;$K$1,对接源_02物料!$B528=""),0,IF(OR(N(对接源_02物料!$B528)&lt;$K$2,N(对接源_02物料!$B528)&gt;$K$3),0,1))</f>
        <v>0</v>
      </c>
      <c r="L1728">
        <f>IF(OR($L$1="",对接源_02物料!$C528="",对接源_02物料!$C528&lt;&gt;$L$1,对接源_02物料!$B528=""),0,IF(OR(N(对接源_02物料!$B528)&lt;$L$2,N(对接源_02物料!$B528)&gt;$L$3),0,1))</f>
        <v>0</v>
      </c>
      <c r="M1728">
        <f>IF(OR($M$1="",对接源_02物料!$C528="",对接源_02物料!$C528&lt;&gt;$M$1,对接源_02物料!$B528=""),0,IF(OR(N(对接源_02物料!$B528)&lt;$M$2,N(对接源_02物料!$B528)&gt;$M$3),0,1))</f>
        <v>0</v>
      </c>
      <c r="N1728">
        <f>IF(OR($N$1="",对接源_02物料!$C528="",对接源_02物料!$C528&lt;&gt;$N$1,对接源_02物料!$B528=""),0,IF(OR(N(对接源_02物料!$B528)&lt;$N$2,N(对接源_02物料!$B528)&gt;$N$3),0,1))</f>
        <v>0</v>
      </c>
      <c r="P1728">
        <f>IF(AND($K1728=1,AND(对接源_02物料!$X528="公司筐",N(对接源_02物料!$T528)&lt;&gt;0)),1,0)</f>
        <v>0</v>
      </c>
      <c r="Q1728">
        <f>N(Q1727)+$P1728</f>
        <v>14</v>
      </c>
      <c r="R1728">
        <f>IF(AND($K1728=1,AND(对接源_02物料!$X528="公司筐",N(对接源_02物料!$U528)&lt;&gt;0)),1,0)</f>
        <v>0</v>
      </c>
      <c r="S1728">
        <f>N(S1727)+$R1728</f>
        <v>1</v>
      </c>
      <c r="T1728">
        <f>IF(AND($K1728=1,AND(对接源_02物料!$X528="公司筐",N(对接源_02物料!$V528)&lt;&gt;0)),1,0)</f>
        <v>0</v>
      </c>
      <c r="U1728">
        <f>N(U1727)+$T1728</f>
        <v>47</v>
      </c>
      <c r="V1728">
        <f>IF(AND($L1728=1,AND(对接源_02物料!$X528="自备筐",N(对接源_02物料!$V528)&lt;&gt;0)),1,0)</f>
        <v>0</v>
      </c>
      <c r="W1728">
        <f>N(W1727)+$V1728</f>
        <v>11</v>
      </c>
      <c r="X1728">
        <f>IF(AND($L1728=1,AND(对接源_02物料!$X528="自备筐",N(对接源_02物料!$T528)&lt;&gt;0)),1,0)</f>
        <v>0</v>
      </c>
      <c r="Y1728">
        <f>N(Y1727)+$X1728</f>
        <v>0</v>
      </c>
      <c r="Z1728">
        <f>IF(AND($M1728=1,对接源_02物料!$D528="原料入库"),1,0)</f>
        <v>0</v>
      </c>
      <c r="AA1728">
        <f>N(AA1727)+$Z1728</f>
        <v>24</v>
      </c>
      <c r="AB1728">
        <f>IF(AND($M1728=1,LEFT(对接源_02物料!$D528,4)="原料出库"),1,0)</f>
        <v>0</v>
      </c>
      <c r="AC1728">
        <f>N(AC1727)+$AB1728</f>
        <v>0</v>
      </c>
      <c r="AD1728">
        <f>IF(AND($M1728=1,LEFT(对接源_02物料!$D528,4)="成品出库"),1,0)</f>
        <v>0</v>
      </c>
      <c r="AE1728">
        <f>N(AE1727)+$AD1728</f>
        <v>0</v>
      </c>
      <c r="AF1728">
        <f>IF(AND($N1728=1,AND(LEFT(对接源_02物料!$D528,4)="包装物料",N(对接源_02物料!$K528)&lt;&gt;0)),1,0)</f>
        <v>0</v>
      </c>
      <c r="AG1728">
        <f>N(AG1727)+$AF1728</f>
        <v>10</v>
      </c>
      <c r="AH1728">
        <f>IF(AND($N1728=1,AND(对接源_02物料!$D528="周转筐－销售出库",N(对接源_02物料!$K528)&lt;&gt;0)),1,0)</f>
        <v>0</v>
      </c>
      <c r="AI1728">
        <f>N(AI1727)+$AH1728</f>
        <v>0</v>
      </c>
      <c r="AL1728" t="n">
        <v>0</v>
      </c>
      <c r="AM1728">
        <f>N(AM1727)+$AL1728</f>
        <v>2</v>
      </c>
      <c r="AN1728">
        <f>""</f>
      </c>
      <c r="AO1728" t="n">
        <v>0</v>
      </c>
      <c r="AP1728">
        <f>N(AP1727)+$AO1728</f>
        <v>13</v>
      </c>
      <c r="AR1728">
        <f>IF(OR($AF1728=1,$AH1728=1),1,0)</f>
        <v>0</v>
      </c>
      <c r="AS1728">
        <f>N(AS1727)+$AR1728</f>
        <v>10</v>
      </c>
    </row>
    <row r="1729" s="127">
      <c r="A1729">
        <f>IF(对接源_02物料!$C529="","",对接源_02物料!$C529)</f>
      </c>
      <c r="B1729">
        <f>IF(A1729="",0,IF(MATCH(A1729,$A$4:$A$2403,0)=ROW()-3,1,0))</f>
        <v>0</v>
      </c>
      <c r="C1729">
        <f>N(C1728)+B1729</f>
        <v>26</v>
      </c>
      <c r="K1729">
        <f>IF(OR($K$1="",对接源_02物料!$C529="",对接源_02物料!$C529&lt;&gt;$K$1,对接源_02物料!$B529=""),0,IF(OR(N(对接源_02物料!$B529)&lt;$K$2,N(对接源_02物料!$B529)&gt;$K$3),0,1))</f>
        <v>0</v>
      </c>
      <c r="L1729">
        <f>IF(OR($L$1="",对接源_02物料!$C529="",对接源_02物料!$C529&lt;&gt;$L$1,对接源_02物料!$B529=""),0,IF(OR(N(对接源_02物料!$B529)&lt;$L$2,N(对接源_02物料!$B529)&gt;$L$3),0,1))</f>
        <v>0</v>
      </c>
      <c r="M1729">
        <f>IF(OR($M$1="",对接源_02物料!$C529="",对接源_02物料!$C529&lt;&gt;$M$1,对接源_02物料!$B529=""),0,IF(OR(N(对接源_02物料!$B529)&lt;$M$2,N(对接源_02物料!$B529)&gt;$M$3),0,1))</f>
        <v>0</v>
      </c>
      <c r="N1729">
        <f>IF(OR($N$1="",对接源_02物料!$C529="",对接源_02物料!$C529&lt;&gt;$N$1,对接源_02物料!$B529=""),0,IF(OR(N(对接源_02物料!$B529)&lt;$N$2,N(对接源_02物料!$B529)&gt;$N$3),0,1))</f>
        <v>0</v>
      </c>
      <c r="P1729">
        <f>IF(AND($K1729=1,AND(对接源_02物料!$X529="公司筐",N(对接源_02物料!$T529)&lt;&gt;0)),1,0)</f>
        <v>0</v>
      </c>
      <c r="Q1729">
        <f>N(Q1728)+$P1729</f>
        <v>14</v>
      </c>
      <c r="R1729">
        <f>IF(AND($K1729=1,AND(对接源_02物料!$X529="公司筐",N(对接源_02物料!$U529)&lt;&gt;0)),1,0)</f>
        <v>0</v>
      </c>
      <c r="S1729">
        <f>N(S1728)+$R1729</f>
        <v>1</v>
      </c>
      <c r="T1729">
        <f>IF(AND($K1729=1,AND(对接源_02物料!$X529="公司筐",N(对接源_02物料!$V529)&lt;&gt;0)),1,0)</f>
        <v>0</v>
      </c>
      <c r="U1729">
        <f>N(U1728)+$T1729</f>
        <v>47</v>
      </c>
      <c r="V1729">
        <f>IF(AND($L1729=1,AND(对接源_02物料!$X529="自备筐",N(对接源_02物料!$V529)&lt;&gt;0)),1,0)</f>
        <v>0</v>
      </c>
      <c r="W1729">
        <f>N(W1728)+$V1729</f>
        <v>11</v>
      </c>
      <c r="X1729">
        <f>IF(AND($L1729=1,AND(对接源_02物料!$X529="自备筐",N(对接源_02物料!$T529)&lt;&gt;0)),1,0)</f>
        <v>0</v>
      </c>
      <c r="Y1729">
        <f>N(Y1728)+$X1729</f>
        <v>0</v>
      </c>
      <c r="Z1729">
        <f>IF(AND($M1729=1,对接源_02物料!$D529="原料入库"),1,0)</f>
        <v>0</v>
      </c>
      <c r="AA1729">
        <f>N(AA1728)+$Z1729</f>
        <v>24</v>
      </c>
      <c r="AB1729">
        <f>IF(AND($M1729=1,LEFT(对接源_02物料!$D529,4)="原料出库"),1,0)</f>
        <v>0</v>
      </c>
      <c r="AC1729">
        <f>N(AC1728)+$AB1729</f>
        <v>0</v>
      </c>
      <c r="AD1729">
        <f>IF(AND($M1729=1,LEFT(对接源_02物料!$D529,4)="成品出库"),1,0)</f>
        <v>0</v>
      </c>
      <c r="AE1729">
        <f>N(AE1728)+$AD1729</f>
        <v>0</v>
      </c>
      <c r="AF1729">
        <f>IF(AND($N1729=1,AND(LEFT(对接源_02物料!$D529,4)="包装物料",N(对接源_02物料!$K529)&lt;&gt;0)),1,0)</f>
        <v>0</v>
      </c>
      <c r="AG1729">
        <f>N(AG1728)+$AF1729</f>
        <v>10</v>
      </c>
      <c r="AH1729">
        <f>IF(AND($N1729=1,AND(对接源_02物料!$D529="周转筐－销售出库",N(对接源_02物料!$K529)&lt;&gt;0)),1,0)</f>
        <v>0</v>
      </c>
      <c r="AI1729">
        <f>N(AI1728)+$AH1729</f>
        <v>0</v>
      </c>
      <c r="AL1729" t="n">
        <v>0</v>
      </c>
      <c r="AM1729">
        <f>N(AM1728)+$AL1729</f>
        <v>2</v>
      </c>
      <c r="AN1729">
        <f>""</f>
      </c>
      <c r="AO1729" t="n">
        <v>0</v>
      </c>
      <c r="AP1729">
        <f>N(AP1728)+$AO1729</f>
        <v>13</v>
      </c>
      <c r="AR1729">
        <f>IF(OR($AF1729=1,$AH1729=1),1,0)</f>
        <v>0</v>
      </c>
      <c r="AS1729">
        <f>N(AS1728)+$AR1729</f>
        <v>10</v>
      </c>
    </row>
    <row r="1730" s="127">
      <c r="A1730">
        <f>IF(对接源_02物料!$C530="","",对接源_02物料!$C530)</f>
      </c>
      <c r="B1730">
        <f>IF(A1730="",0,IF(MATCH(A1730,$A$4:$A$2403,0)=ROW()-3,1,0))</f>
        <v>0</v>
      </c>
      <c r="C1730">
        <f>N(C1729)+B1730</f>
        <v>26</v>
      </c>
      <c r="K1730">
        <f>IF(OR($K$1="",对接源_02物料!$C530="",对接源_02物料!$C530&lt;&gt;$K$1,对接源_02物料!$B530=""),0,IF(OR(N(对接源_02物料!$B530)&lt;$K$2,N(对接源_02物料!$B530)&gt;$K$3),0,1))</f>
        <v>0</v>
      </c>
      <c r="L1730">
        <f>IF(OR($L$1="",对接源_02物料!$C530="",对接源_02物料!$C530&lt;&gt;$L$1,对接源_02物料!$B530=""),0,IF(OR(N(对接源_02物料!$B530)&lt;$L$2,N(对接源_02物料!$B530)&gt;$L$3),0,1))</f>
        <v>0</v>
      </c>
      <c r="M1730">
        <f>IF(OR($M$1="",对接源_02物料!$C530="",对接源_02物料!$C530&lt;&gt;$M$1,对接源_02物料!$B530=""),0,IF(OR(N(对接源_02物料!$B530)&lt;$M$2,N(对接源_02物料!$B530)&gt;$M$3),0,1))</f>
        <v>0</v>
      </c>
      <c r="N1730">
        <f>IF(OR($N$1="",对接源_02物料!$C530="",对接源_02物料!$C530&lt;&gt;$N$1,对接源_02物料!$B530=""),0,IF(OR(N(对接源_02物料!$B530)&lt;$N$2,N(对接源_02物料!$B530)&gt;$N$3),0,1))</f>
        <v>0</v>
      </c>
      <c r="P1730">
        <f>IF(AND($K1730=1,AND(对接源_02物料!$X530="公司筐",N(对接源_02物料!$T530)&lt;&gt;0)),1,0)</f>
        <v>0</v>
      </c>
      <c r="Q1730">
        <f>N(Q1729)+$P1730</f>
        <v>14</v>
      </c>
      <c r="R1730">
        <f>IF(AND($K1730=1,AND(对接源_02物料!$X530="公司筐",N(对接源_02物料!$U530)&lt;&gt;0)),1,0)</f>
        <v>0</v>
      </c>
      <c r="S1730">
        <f>N(S1729)+$R1730</f>
        <v>1</v>
      </c>
      <c r="T1730">
        <f>IF(AND($K1730=1,AND(对接源_02物料!$X530="公司筐",N(对接源_02物料!$V530)&lt;&gt;0)),1,0)</f>
        <v>0</v>
      </c>
      <c r="U1730">
        <f>N(U1729)+$T1730</f>
        <v>47</v>
      </c>
      <c r="V1730">
        <f>IF(AND($L1730=1,AND(对接源_02物料!$X530="自备筐",N(对接源_02物料!$V530)&lt;&gt;0)),1,0)</f>
        <v>0</v>
      </c>
      <c r="W1730">
        <f>N(W1729)+$V1730</f>
        <v>11</v>
      </c>
      <c r="X1730">
        <f>IF(AND($L1730=1,AND(对接源_02物料!$X530="自备筐",N(对接源_02物料!$T530)&lt;&gt;0)),1,0)</f>
        <v>0</v>
      </c>
      <c r="Y1730">
        <f>N(Y1729)+$X1730</f>
        <v>0</v>
      </c>
      <c r="Z1730">
        <f>IF(AND($M1730=1,对接源_02物料!$D530="原料入库"),1,0)</f>
        <v>0</v>
      </c>
      <c r="AA1730">
        <f>N(AA1729)+$Z1730</f>
        <v>24</v>
      </c>
      <c r="AB1730">
        <f>IF(AND($M1730=1,LEFT(对接源_02物料!$D530,4)="原料出库"),1,0)</f>
        <v>0</v>
      </c>
      <c r="AC1730">
        <f>N(AC1729)+$AB1730</f>
        <v>0</v>
      </c>
      <c r="AD1730">
        <f>IF(AND($M1730=1,LEFT(对接源_02物料!$D530,4)="成品出库"),1,0)</f>
        <v>0</v>
      </c>
      <c r="AE1730">
        <f>N(AE1729)+$AD1730</f>
        <v>0</v>
      </c>
      <c r="AF1730">
        <f>IF(AND($N1730=1,AND(LEFT(对接源_02物料!$D530,4)="包装物料",N(对接源_02物料!$K530)&lt;&gt;0)),1,0)</f>
        <v>0</v>
      </c>
      <c r="AG1730">
        <f>N(AG1729)+$AF1730</f>
        <v>10</v>
      </c>
      <c r="AH1730">
        <f>IF(AND($N1730=1,AND(对接源_02物料!$D530="周转筐－销售出库",N(对接源_02物料!$K530)&lt;&gt;0)),1,0)</f>
        <v>0</v>
      </c>
      <c r="AI1730">
        <f>N(AI1729)+$AH1730</f>
        <v>0</v>
      </c>
      <c r="AL1730" t="n">
        <v>0</v>
      </c>
      <c r="AM1730">
        <f>N(AM1729)+$AL1730</f>
        <v>2</v>
      </c>
      <c r="AN1730">
        <f>""</f>
      </c>
      <c r="AO1730" t="n">
        <v>0</v>
      </c>
      <c r="AP1730">
        <f>N(AP1729)+$AO1730</f>
        <v>13</v>
      </c>
      <c r="AR1730">
        <f>IF(OR($AF1730=1,$AH1730=1),1,0)</f>
        <v>0</v>
      </c>
      <c r="AS1730">
        <f>N(AS1729)+$AR1730</f>
        <v>10</v>
      </c>
    </row>
    <row r="1731" s="127">
      <c r="A1731">
        <f>IF(对接源_02物料!$C531="","",对接源_02物料!$C531)</f>
      </c>
      <c r="B1731">
        <f>IF(A1731="",0,IF(MATCH(A1731,$A$4:$A$2403,0)=ROW()-3,1,0))</f>
        <v>0</v>
      </c>
      <c r="C1731">
        <f>N(C1730)+B1731</f>
        <v>26</v>
      </c>
      <c r="K1731">
        <f>IF(OR($K$1="",对接源_02物料!$C531="",对接源_02物料!$C531&lt;&gt;$K$1,对接源_02物料!$B531=""),0,IF(OR(N(对接源_02物料!$B531)&lt;$K$2,N(对接源_02物料!$B531)&gt;$K$3),0,1))</f>
        <v>0</v>
      </c>
      <c r="L1731">
        <f>IF(OR($L$1="",对接源_02物料!$C531="",对接源_02物料!$C531&lt;&gt;$L$1,对接源_02物料!$B531=""),0,IF(OR(N(对接源_02物料!$B531)&lt;$L$2,N(对接源_02物料!$B531)&gt;$L$3),0,1))</f>
        <v>0</v>
      </c>
      <c r="M1731">
        <f>IF(OR($M$1="",对接源_02物料!$C531="",对接源_02物料!$C531&lt;&gt;$M$1,对接源_02物料!$B531=""),0,IF(OR(N(对接源_02物料!$B531)&lt;$M$2,N(对接源_02物料!$B531)&gt;$M$3),0,1))</f>
        <v>0</v>
      </c>
      <c r="N1731">
        <f>IF(OR($N$1="",对接源_02物料!$C531="",对接源_02物料!$C531&lt;&gt;$N$1,对接源_02物料!$B531=""),0,IF(OR(N(对接源_02物料!$B531)&lt;$N$2,N(对接源_02物料!$B531)&gt;$N$3),0,1))</f>
        <v>0</v>
      </c>
      <c r="P1731">
        <f>IF(AND($K1731=1,AND(对接源_02物料!$X531="公司筐",N(对接源_02物料!$T531)&lt;&gt;0)),1,0)</f>
        <v>0</v>
      </c>
      <c r="Q1731">
        <f>N(Q1730)+$P1731</f>
        <v>14</v>
      </c>
      <c r="R1731">
        <f>IF(AND($K1731=1,AND(对接源_02物料!$X531="公司筐",N(对接源_02物料!$U531)&lt;&gt;0)),1,0)</f>
        <v>0</v>
      </c>
      <c r="S1731">
        <f>N(S1730)+$R1731</f>
        <v>1</v>
      </c>
      <c r="T1731">
        <f>IF(AND($K1731=1,AND(对接源_02物料!$X531="公司筐",N(对接源_02物料!$V531)&lt;&gt;0)),1,0)</f>
        <v>0</v>
      </c>
      <c r="U1731">
        <f>N(U1730)+$T1731</f>
        <v>47</v>
      </c>
      <c r="V1731">
        <f>IF(AND($L1731=1,AND(对接源_02物料!$X531="自备筐",N(对接源_02物料!$V531)&lt;&gt;0)),1,0)</f>
        <v>0</v>
      </c>
      <c r="W1731">
        <f>N(W1730)+$V1731</f>
        <v>11</v>
      </c>
      <c r="X1731">
        <f>IF(AND($L1731=1,AND(对接源_02物料!$X531="自备筐",N(对接源_02物料!$T531)&lt;&gt;0)),1,0)</f>
        <v>0</v>
      </c>
      <c r="Y1731">
        <f>N(Y1730)+$X1731</f>
        <v>0</v>
      </c>
      <c r="Z1731">
        <f>IF(AND($M1731=1,对接源_02物料!$D531="原料入库"),1,0)</f>
        <v>0</v>
      </c>
      <c r="AA1731">
        <f>N(AA1730)+$Z1731</f>
        <v>24</v>
      </c>
      <c r="AB1731">
        <f>IF(AND($M1731=1,LEFT(对接源_02物料!$D531,4)="原料出库"),1,0)</f>
        <v>0</v>
      </c>
      <c r="AC1731">
        <f>N(AC1730)+$AB1731</f>
        <v>0</v>
      </c>
      <c r="AD1731">
        <f>IF(AND($M1731=1,LEFT(对接源_02物料!$D531,4)="成品出库"),1,0)</f>
        <v>0</v>
      </c>
      <c r="AE1731">
        <f>N(AE1730)+$AD1731</f>
        <v>0</v>
      </c>
      <c r="AF1731">
        <f>IF(AND($N1731=1,AND(LEFT(对接源_02物料!$D531,4)="包装物料",N(对接源_02物料!$K531)&lt;&gt;0)),1,0)</f>
        <v>0</v>
      </c>
      <c r="AG1731">
        <f>N(AG1730)+$AF1731</f>
        <v>10</v>
      </c>
      <c r="AH1731">
        <f>IF(AND($N1731=1,AND(对接源_02物料!$D531="周转筐－销售出库",N(对接源_02物料!$K531)&lt;&gt;0)),1,0)</f>
        <v>0</v>
      </c>
      <c r="AI1731">
        <f>N(AI1730)+$AH1731</f>
        <v>0</v>
      </c>
      <c r="AL1731" t="n">
        <v>0</v>
      </c>
      <c r="AM1731">
        <f>N(AM1730)+$AL1731</f>
        <v>2</v>
      </c>
      <c r="AN1731">
        <f>""</f>
      </c>
      <c r="AO1731" t="n">
        <v>0</v>
      </c>
      <c r="AP1731">
        <f>N(AP1730)+$AO1731</f>
        <v>13</v>
      </c>
      <c r="AR1731">
        <f>IF(OR($AF1731=1,$AH1731=1),1,0)</f>
        <v>0</v>
      </c>
      <c r="AS1731">
        <f>N(AS1730)+$AR1731</f>
        <v>10</v>
      </c>
    </row>
    <row r="1732" s="127">
      <c r="A1732">
        <f>IF(对接源_02物料!$C532="","",对接源_02物料!$C532)</f>
      </c>
      <c r="B1732">
        <f>IF(A1732="",0,IF(MATCH(A1732,$A$4:$A$2403,0)=ROW()-3,1,0))</f>
        <v>0</v>
      </c>
      <c r="C1732">
        <f>N(C1731)+B1732</f>
        <v>26</v>
      </c>
      <c r="K1732">
        <f>IF(OR($K$1="",对接源_02物料!$C532="",对接源_02物料!$C532&lt;&gt;$K$1,对接源_02物料!$B532=""),0,IF(OR(N(对接源_02物料!$B532)&lt;$K$2,N(对接源_02物料!$B532)&gt;$K$3),0,1))</f>
        <v>0</v>
      </c>
      <c r="L1732">
        <f>IF(OR($L$1="",对接源_02物料!$C532="",对接源_02物料!$C532&lt;&gt;$L$1,对接源_02物料!$B532=""),0,IF(OR(N(对接源_02物料!$B532)&lt;$L$2,N(对接源_02物料!$B532)&gt;$L$3),0,1))</f>
        <v>0</v>
      </c>
      <c r="M1732">
        <f>IF(OR($M$1="",对接源_02物料!$C532="",对接源_02物料!$C532&lt;&gt;$M$1,对接源_02物料!$B532=""),0,IF(OR(N(对接源_02物料!$B532)&lt;$M$2,N(对接源_02物料!$B532)&gt;$M$3),0,1))</f>
        <v>0</v>
      </c>
      <c r="N1732">
        <f>IF(OR($N$1="",对接源_02物料!$C532="",对接源_02物料!$C532&lt;&gt;$N$1,对接源_02物料!$B532=""),0,IF(OR(N(对接源_02物料!$B532)&lt;$N$2,N(对接源_02物料!$B532)&gt;$N$3),0,1))</f>
        <v>0</v>
      </c>
      <c r="P1732">
        <f>IF(AND($K1732=1,AND(对接源_02物料!$X532="公司筐",N(对接源_02物料!$T532)&lt;&gt;0)),1,0)</f>
        <v>0</v>
      </c>
      <c r="Q1732">
        <f>N(Q1731)+$P1732</f>
        <v>14</v>
      </c>
      <c r="R1732">
        <f>IF(AND($K1732=1,AND(对接源_02物料!$X532="公司筐",N(对接源_02物料!$U532)&lt;&gt;0)),1,0)</f>
        <v>0</v>
      </c>
      <c r="S1732">
        <f>N(S1731)+$R1732</f>
        <v>1</v>
      </c>
      <c r="T1732">
        <f>IF(AND($K1732=1,AND(对接源_02物料!$X532="公司筐",N(对接源_02物料!$V532)&lt;&gt;0)),1,0)</f>
        <v>0</v>
      </c>
      <c r="U1732">
        <f>N(U1731)+$T1732</f>
        <v>47</v>
      </c>
      <c r="V1732">
        <f>IF(AND($L1732=1,AND(对接源_02物料!$X532="自备筐",N(对接源_02物料!$V532)&lt;&gt;0)),1,0)</f>
        <v>0</v>
      </c>
      <c r="W1732">
        <f>N(W1731)+$V1732</f>
        <v>11</v>
      </c>
      <c r="X1732">
        <f>IF(AND($L1732=1,AND(对接源_02物料!$X532="自备筐",N(对接源_02物料!$T532)&lt;&gt;0)),1,0)</f>
        <v>0</v>
      </c>
      <c r="Y1732">
        <f>N(Y1731)+$X1732</f>
        <v>0</v>
      </c>
      <c r="Z1732">
        <f>IF(AND($M1732=1,对接源_02物料!$D532="原料入库"),1,0)</f>
        <v>0</v>
      </c>
      <c r="AA1732">
        <f>N(AA1731)+$Z1732</f>
        <v>24</v>
      </c>
      <c r="AB1732">
        <f>IF(AND($M1732=1,LEFT(对接源_02物料!$D532,4)="原料出库"),1,0)</f>
        <v>0</v>
      </c>
      <c r="AC1732">
        <f>N(AC1731)+$AB1732</f>
        <v>0</v>
      </c>
      <c r="AD1732">
        <f>IF(AND($M1732=1,LEFT(对接源_02物料!$D532,4)="成品出库"),1,0)</f>
        <v>0</v>
      </c>
      <c r="AE1732">
        <f>N(AE1731)+$AD1732</f>
        <v>0</v>
      </c>
      <c r="AF1732">
        <f>IF(AND($N1732=1,AND(LEFT(对接源_02物料!$D532,4)="包装物料",N(对接源_02物料!$K532)&lt;&gt;0)),1,0)</f>
        <v>0</v>
      </c>
      <c r="AG1732">
        <f>N(AG1731)+$AF1732</f>
        <v>10</v>
      </c>
      <c r="AH1732">
        <f>IF(AND($N1732=1,AND(对接源_02物料!$D532="周转筐－销售出库",N(对接源_02物料!$K532)&lt;&gt;0)),1,0)</f>
        <v>0</v>
      </c>
      <c r="AI1732">
        <f>N(AI1731)+$AH1732</f>
        <v>0</v>
      </c>
      <c r="AL1732" t="n">
        <v>0</v>
      </c>
      <c r="AM1732">
        <f>N(AM1731)+$AL1732</f>
        <v>2</v>
      </c>
      <c r="AN1732">
        <f>""</f>
      </c>
      <c r="AO1732" t="n">
        <v>0</v>
      </c>
      <c r="AP1732">
        <f>N(AP1731)+$AO1732</f>
        <v>13</v>
      </c>
      <c r="AR1732">
        <f>IF(OR($AF1732=1,$AH1732=1),1,0)</f>
        <v>0</v>
      </c>
      <c r="AS1732">
        <f>N(AS1731)+$AR1732</f>
        <v>10</v>
      </c>
    </row>
    <row r="1733" s="127">
      <c r="A1733">
        <f>IF(对接源_02物料!$C533="","",对接源_02物料!$C533)</f>
      </c>
      <c r="B1733">
        <f>IF(A1733="",0,IF(MATCH(A1733,$A$4:$A$2403,0)=ROW()-3,1,0))</f>
        <v>0</v>
      </c>
      <c r="C1733">
        <f>N(C1732)+B1733</f>
        <v>26</v>
      </c>
      <c r="K1733">
        <f>IF(OR($K$1="",对接源_02物料!$C533="",对接源_02物料!$C533&lt;&gt;$K$1,对接源_02物料!$B533=""),0,IF(OR(N(对接源_02物料!$B533)&lt;$K$2,N(对接源_02物料!$B533)&gt;$K$3),0,1))</f>
        <v>0</v>
      </c>
      <c r="L1733">
        <f>IF(OR($L$1="",对接源_02物料!$C533="",对接源_02物料!$C533&lt;&gt;$L$1,对接源_02物料!$B533=""),0,IF(OR(N(对接源_02物料!$B533)&lt;$L$2,N(对接源_02物料!$B533)&gt;$L$3),0,1))</f>
        <v>0</v>
      </c>
      <c r="M1733">
        <f>IF(OR($M$1="",对接源_02物料!$C533="",对接源_02物料!$C533&lt;&gt;$M$1,对接源_02物料!$B533=""),0,IF(OR(N(对接源_02物料!$B533)&lt;$M$2,N(对接源_02物料!$B533)&gt;$M$3),0,1))</f>
        <v>0</v>
      </c>
      <c r="N1733">
        <f>IF(OR($N$1="",对接源_02物料!$C533="",对接源_02物料!$C533&lt;&gt;$N$1,对接源_02物料!$B533=""),0,IF(OR(N(对接源_02物料!$B533)&lt;$N$2,N(对接源_02物料!$B533)&gt;$N$3),0,1))</f>
        <v>0</v>
      </c>
      <c r="P1733">
        <f>IF(AND($K1733=1,AND(对接源_02物料!$X533="公司筐",N(对接源_02物料!$T533)&lt;&gt;0)),1,0)</f>
        <v>0</v>
      </c>
      <c r="Q1733">
        <f>N(Q1732)+$P1733</f>
        <v>14</v>
      </c>
      <c r="R1733">
        <f>IF(AND($K1733=1,AND(对接源_02物料!$X533="公司筐",N(对接源_02物料!$U533)&lt;&gt;0)),1,0)</f>
        <v>0</v>
      </c>
      <c r="S1733">
        <f>N(S1732)+$R1733</f>
        <v>1</v>
      </c>
      <c r="T1733">
        <f>IF(AND($K1733=1,AND(对接源_02物料!$X533="公司筐",N(对接源_02物料!$V533)&lt;&gt;0)),1,0)</f>
        <v>0</v>
      </c>
      <c r="U1733">
        <f>N(U1732)+$T1733</f>
        <v>47</v>
      </c>
      <c r="V1733">
        <f>IF(AND($L1733=1,AND(对接源_02物料!$X533="自备筐",N(对接源_02物料!$V533)&lt;&gt;0)),1,0)</f>
        <v>0</v>
      </c>
      <c r="W1733">
        <f>N(W1732)+$V1733</f>
        <v>11</v>
      </c>
      <c r="X1733">
        <f>IF(AND($L1733=1,AND(对接源_02物料!$X533="自备筐",N(对接源_02物料!$T533)&lt;&gt;0)),1,0)</f>
        <v>0</v>
      </c>
      <c r="Y1733">
        <f>N(Y1732)+$X1733</f>
        <v>0</v>
      </c>
      <c r="Z1733">
        <f>IF(AND($M1733=1,对接源_02物料!$D533="原料入库"),1,0)</f>
        <v>0</v>
      </c>
      <c r="AA1733">
        <f>N(AA1732)+$Z1733</f>
        <v>24</v>
      </c>
      <c r="AB1733">
        <f>IF(AND($M1733=1,LEFT(对接源_02物料!$D533,4)="原料出库"),1,0)</f>
        <v>0</v>
      </c>
      <c r="AC1733">
        <f>N(AC1732)+$AB1733</f>
        <v>0</v>
      </c>
      <c r="AD1733">
        <f>IF(AND($M1733=1,LEFT(对接源_02物料!$D533,4)="成品出库"),1,0)</f>
        <v>0</v>
      </c>
      <c r="AE1733">
        <f>N(AE1732)+$AD1733</f>
        <v>0</v>
      </c>
      <c r="AF1733">
        <f>IF(AND($N1733=1,AND(LEFT(对接源_02物料!$D533,4)="包装物料",N(对接源_02物料!$K533)&lt;&gt;0)),1,0)</f>
        <v>0</v>
      </c>
      <c r="AG1733">
        <f>N(AG1732)+$AF1733</f>
        <v>10</v>
      </c>
      <c r="AH1733">
        <f>IF(AND($N1733=1,AND(对接源_02物料!$D533="周转筐－销售出库",N(对接源_02物料!$K533)&lt;&gt;0)),1,0)</f>
        <v>0</v>
      </c>
      <c r="AI1733">
        <f>N(AI1732)+$AH1733</f>
        <v>0</v>
      </c>
      <c r="AL1733" t="n">
        <v>0</v>
      </c>
      <c r="AM1733">
        <f>N(AM1732)+$AL1733</f>
        <v>2</v>
      </c>
      <c r="AN1733">
        <f>""</f>
      </c>
      <c r="AO1733" t="n">
        <v>0</v>
      </c>
      <c r="AP1733">
        <f>N(AP1732)+$AO1733</f>
        <v>13</v>
      </c>
      <c r="AR1733">
        <f>IF(OR($AF1733=1,$AH1733=1),1,0)</f>
        <v>0</v>
      </c>
      <c r="AS1733">
        <f>N(AS1732)+$AR1733</f>
        <v>10</v>
      </c>
    </row>
    <row r="1734" s="127">
      <c r="A1734">
        <f>IF(对接源_02物料!$C534="","",对接源_02物料!$C534)</f>
      </c>
      <c r="B1734">
        <f>IF(A1734="",0,IF(MATCH(A1734,$A$4:$A$2403,0)=ROW()-3,1,0))</f>
        <v>0</v>
      </c>
      <c r="C1734">
        <f>N(C1733)+B1734</f>
        <v>26</v>
      </c>
      <c r="K1734">
        <f>IF(OR($K$1="",对接源_02物料!$C534="",对接源_02物料!$C534&lt;&gt;$K$1,对接源_02物料!$B534=""),0,IF(OR(N(对接源_02物料!$B534)&lt;$K$2,N(对接源_02物料!$B534)&gt;$K$3),0,1))</f>
        <v>0</v>
      </c>
      <c r="L1734">
        <f>IF(OR($L$1="",对接源_02物料!$C534="",对接源_02物料!$C534&lt;&gt;$L$1,对接源_02物料!$B534=""),0,IF(OR(N(对接源_02物料!$B534)&lt;$L$2,N(对接源_02物料!$B534)&gt;$L$3),0,1))</f>
        <v>0</v>
      </c>
      <c r="M1734">
        <f>IF(OR($M$1="",对接源_02物料!$C534="",对接源_02物料!$C534&lt;&gt;$M$1,对接源_02物料!$B534=""),0,IF(OR(N(对接源_02物料!$B534)&lt;$M$2,N(对接源_02物料!$B534)&gt;$M$3),0,1))</f>
        <v>0</v>
      </c>
      <c r="N1734">
        <f>IF(OR($N$1="",对接源_02物料!$C534="",对接源_02物料!$C534&lt;&gt;$N$1,对接源_02物料!$B534=""),0,IF(OR(N(对接源_02物料!$B534)&lt;$N$2,N(对接源_02物料!$B534)&gt;$N$3),0,1))</f>
        <v>0</v>
      </c>
      <c r="P1734">
        <f>IF(AND($K1734=1,AND(对接源_02物料!$X534="公司筐",N(对接源_02物料!$T534)&lt;&gt;0)),1,0)</f>
        <v>0</v>
      </c>
      <c r="Q1734">
        <f>N(Q1733)+$P1734</f>
        <v>14</v>
      </c>
      <c r="R1734">
        <f>IF(AND($K1734=1,AND(对接源_02物料!$X534="公司筐",N(对接源_02物料!$U534)&lt;&gt;0)),1,0)</f>
        <v>0</v>
      </c>
      <c r="S1734">
        <f>N(S1733)+$R1734</f>
        <v>1</v>
      </c>
      <c r="T1734">
        <f>IF(AND($K1734=1,AND(对接源_02物料!$X534="公司筐",N(对接源_02物料!$V534)&lt;&gt;0)),1,0)</f>
        <v>0</v>
      </c>
      <c r="U1734">
        <f>N(U1733)+$T1734</f>
        <v>47</v>
      </c>
      <c r="V1734">
        <f>IF(AND($L1734=1,AND(对接源_02物料!$X534="自备筐",N(对接源_02物料!$V534)&lt;&gt;0)),1,0)</f>
        <v>0</v>
      </c>
      <c r="W1734">
        <f>N(W1733)+$V1734</f>
        <v>11</v>
      </c>
      <c r="X1734">
        <f>IF(AND($L1734=1,AND(对接源_02物料!$X534="自备筐",N(对接源_02物料!$T534)&lt;&gt;0)),1,0)</f>
        <v>0</v>
      </c>
      <c r="Y1734">
        <f>N(Y1733)+$X1734</f>
        <v>0</v>
      </c>
      <c r="Z1734">
        <f>IF(AND($M1734=1,对接源_02物料!$D534="原料入库"),1,0)</f>
        <v>0</v>
      </c>
      <c r="AA1734">
        <f>N(AA1733)+$Z1734</f>
        <v>24</v>
      </c>
      <c r="AB1734">
        <f>IF(AND($M1734=1,LEFT(对接源_02物料!$D534,4)="原料出库"),1,0)</f>
        <v>0</v>
      </c>
      <c r="AC1734">
        <f>N(AC1733)+$AB1734</f>
        <v>0</v>
      </c>
      <c r="AD1734">
        <f>IF(AND($M1734=1,LEFT(对接源_02物料!$D534,4)="成品出库"),1,0)</f>
        <v>0</v>
      </c>
      <c r="AE1734">
        <f>N(AE1733)+$AD1734</f>
        <v>0</v>
      </c>
      <c r="AF1734">
        <f>IF(AND($N1734=1,AND(LEFT(对接源_02物料!$D534,4)="包装物料",N(对接源_02物料!$K534)&lt;&gt;0)),1,0)</f>
        <v>0</v>
      </c>
      <c r="AG1734">
        <f>N(AG1733)+$AF1734</f>
        <v>10</v>
      </c>
      <c r="AH1734">
        <f>IF(AND($N1734=1,AND(对接源_02物料!$D534="周转筐－销售出库",N(对接源_02物料!$K534)&lt;&gt;0)),1,0)</f>
        <v>0</v>
      </c>
      <c r="AI1734">
        <f>N(AI1733)+$AH1734</f>
        <v>0</v>
      </c>
      <c r="AL1734" t="n">
        <v>0</v>
      </c>
      <c r="AM1734">
        <f>N(AM1733)+$AL1734</f>
        <v>2</v>
      </c>
      <c r="AN1734">
        <f>""</f>
      </c>
      <c r="AO1734" t="n">
        <v>0</v>
      </c>
      <c r="AP1734">
        <f>N(AP1733)+$AO1734</f>
        <v>13</v>
      </c>
      <c r="AR1734">
        <f>IF(OR($AF1734=1,$AH1734=1),1,0)</f>
        <v>0</v>
      </c>
      <c r="AS1734">
        <f>N(AS1733)+$AR1734</f>
        <v>10</v>
      </c>
    </row>
    <row r="1735" s="127">
      <c r="A1735">
        <f>IF(对接源_02物料!$C535="","",对接源_02物料!$C535)</f>
      </c>
      <c r="B1735">
        <f>IF(A1735="",0,IF(MATCH(A1735,$A$4:$A$2403,0)=ROW()-3,1,0))</f>
        <v>0</v>
      </c>
      <c r="C1735">
        <f>N(C1734)+B1735</f>
        <v>26</v>
      </c>
      <c r="K1735">
        <f>IF(OR($K$1="",对接源_02物料!$C535="",对接源_02物料!$C535&lt;&gt;$K$1,对接源_02物料!$B535=""),0,IF(OR(N(对接源_02物料!$B535)&lt;$K$2,N(对接源_02物料!$B535)&gt;$K$3),0,1))</f>
        <v>0</v>
      </c>
      <c r="L1735">
        <f>IF(OR($L$1="",对接源_02物料!$C535="",对接源_02物料!$C535&lt;&gt;$L$1,对接源_02物料!$B535=""),0,IF(OR(N(对接源_02物料!$B535)&lt;$L$2,N(对接源_02物料!$B535)&gt;$L$3),0,1))</f>
        <v>0</v>
      </c>
      <c r="M1735">
        <f>IF(OR($M$1="",对接源_02物料!$C535="",对接源_02物料!$C535&lt;&gt;$M$1,对接源_02物料!$B535=""),0,IF(OR(N(对接源_02物料!$B535)&lt;$M$2,N(对接源_02物料!$B535)&gt;$M$3),0,1))</f>
        <v>0</v>
      </c>
      <c r="N1735">
        <f>IF(OR($N$1="",对接源_02物料!$C535="",对接源_02物料!$C535&lt;&gt;$N$1,对接源_02物料!$B535=""),0,IF(OR(N(对接源_02物料!$B535)&lt;$N$2,N(对接源_02物料!$B535)&gt;$N$3),0,1))</f>
        <v>0</v>
      </c>
      <c r="P1735">
        <f>IF(AND($K1735=1,AND(对接源_02物料!$X535="公司筐",N(对接源_02物料!$T535)&lt;&gt;0)),1,0)</f>
        <v>0</v>
      </c>
      <c r="Q1735">
        <f>N(Q1734)+$P1735</f>
        <v>14</v>
      </c>
      <c r="R1735">
        <f>IF(AND($K1735=1,AND(对接源_02物料!$X535="公司筐",N(对接源_02物料!$U535)&lt;&gt;0)),1,0)</f>
        <v>0</v>
      </c>
      <c r="S1735">
        <f>N(S1734)+$R1735</f>
        <v>1</v>
      </c>
      <c r="T1735">
        <f>IF(AND($K1735=1,AND(对接源_02物料!$X535="公司筐",N(对接源_02物料!$V535)&lt;&gt;0)),1,0)</f>
        <v>0</v>
      </c>
      <c r="U1735">
        <f>N(U1734)+$T1735</f>
        <v>47</v>
      </c>
      <c r="V1735">
        <f>IF(AND($L1735=1,AND(对接源_02物料!$X535="自备筐",N(对接源_02物料!$V535)&lt;&gt;0)),1,0)</f>
        <v>0</v>
      </c>
      <c r="W1735">
        <f>N(W1734)+$V1735</f>
        <v>11</v>
      </c>
      <c r="X1735">
        <f>IF(AND($L1735=1,AND(对接源_02物料!$X535="自备筐",N(对接源_02物料!$T535)&lt;&gt;0)),1,0)</f>
        <v>0</v>
      </c>
      <c r="Y1735">
        <f>N(Y1734)+$X1735</f>
        <v>0</v>
      </c>
      <c r="Z1735">
        <f>IF(AND($M1735=1,对接源_02物料!$D535="原料入库"),1,0)</f>
        <v>0</v>
      </c>
      <c r="AA1735">
        <f>N(AA1734)+$Z1735</f>
        <v>24</v>
      </c>
      <c r="AB1735">
        <f>IF(AND($M1735=1,LEFT(对接源_02物料!$D535,4)="原料出库"),1,0)</f>
        <v>0</v>
      </c>
      <c r="AC1735">
        <f>N(AC1734)+$AB1735</f>
        <v>0</v>
      </c>
      <c r="AD1735">
        <f>IF(AND($M1735=1,LEFT(对接源_02物料!$D535,4)="成品出库"),1,0)</f>
        <v>0</v>
      </c>
      <c r="AE1735">
        <f>N(AE1734)+$AD1735</f>
        <v>0</v>
      </c>
      <c r="AF1735">
        <f>IF(AND($N1735=1,AND(LEFT(对接源_02物料!$D535,4)="包装物料",N(对接源_02物料!$K535)&lt;&gt;0)),1,0)</f>
        <v>0</v>
      </c>
      <c r="AG1735">
        <f>N(AG1734)+$AF1735</f>
        <v>10</v>
      </c>
      <c r="AH1735">
        <f>IF(AND($N1735=1,AND(对接源_02物料!$D535="周转筐－销售出库",N(对接源_02物料!$K535)&lt;&gt;0)),1,0)</f>
        <v>0</v>
      </c>
      <c r="AI1735">
        <f>N(AI1734)+$AH1735</f>
        <v>0</v>
      </c>
      <c r="AL1735" t="n">
        <v>0</v>
      </c>
      <c r="AM1735">
        <f>N(AM1734)+$AL1735</f>
        <v>2</v>
      </c>
      <c r="AN1735">
        <f>""</f>
      </c>
      <c r="AO1735" t="n">
        <v>0</v>
      </c>
      <c r="AP1735">
        <f>N(AP1734)+$AO1735</f>
        <v>13</v>
      </c>
      <c r="AR1735">
        <f>IF(OR($AF1735=1,$AH1735=1),1,0)</f>
        <v>0</v>
      </c>
      <c r="AS1735">
        <f>N(AS1734)+$AR1735</f>
        <v>10</v>
      </c>
    </row>
    <row r="1736" s="127">
      <c r="A1736">
        <f>IF(对接源_02物料!$C536="","",对接源_02物料!$C536)</f>
      </c>
      <c r="B1736">
        <f>IF(A1736="",0,IF(MATCH(A1736,$A$4:$A$2403,0)=ROW()-3,1,0))</f>
        <v>0</v>
      </c>
      <c r="C1736">
        <f>N(C1735)+B1736</f>
        <v>26</v>
      </c>
      <c r="K1736">
        <f>IF(OR($K$1="",对接源_02物料!$C536="",对接源_02物料!$C536&lt;&gt;$K$1,对接源_02物料!$B536=""),0,IF(OR(N(对接源_02物料!$B536)&lt;$K$2,N(对接源_02物料!$B536)&gt;$K$3),0,1))</f>
        <v>0</v>
      </c>
      <c r="L1736">
        <f>IF(OR($L$1="",对接源_02物料!$C536="",对接源_02物料!$C536&lt;&gt;$L$1,对接源_02物料!$B536=""),0,IF(OR(N(对接源_02物料!$B536)&lt;$L$2,N(对接源_02物料!$B536)&gt;$L$3),0,1))</f>
        <v>0</v>
      </c>
      <c r="M1736">
        <f>IF(OR($M$1="",对接源_02物料!$C536="",对接源_02物料!$C536&lt;&gt;$M$1,对接源_02物料!$B536=""),0,IF(OR(N(对接源_02物料!$B536)&lt;$M$2,N(对接源_02物料!$B536)&gt;$M$3),0,1))</f>
        <v>0</v>
      </c>
      <c r="N1736">
        <f>IF(OR($N$1="",对接源_02物料!$C536="",对接源_02物料!$C536&lt;&gt;$N$1,对接源_02物料!$B536=""),0,IF(OR(N(对接源_02物料!$B536)&lt;$N$2,N(对接源_02物料!$B536)&gt;$N$3),0,1))</f>
        <v>0</v>
      </c>
      <c r="P1736">
        <f>IF(AND($K1736=1,AND(对接源_02物料!$X536="公司筐",N(对接源_02物料!$T536)&lt;&gt;0)),1,0)</f>
        <v>0</v>
      </c>
      <c r="Q1736">
        <f>N(Q1735)+$P1736</f>
        <v>14</v>
      </c>
      <c r="R1736">
        <f>IF(AND($K1736=1,AND(对接源_02物料!$X536="公司筐",N(对接源_02物料!$U536)&lt;&gt;0)),1,0)</f>
        <v>0</v>
      </c>
      <c r="S1736">
        <f>N(S1735)+$R1736</f>
        <v>1</v>
      </c>
      <c r="T1736">
        <f>IF(AND($K1736=1,AND(对接源_02物料!$X536="公司筐",N(对接源_02物料!$V536)&lt;&gt;0)),1,0)</f>
        <v>0</v>
      </c>
      <c r="U1736">
        <f>N(U1735)+$T1736</f>
        <v>47</v>
      </c>
      <c r="V1736">
        <f>IF(AND($L1736=1,AND(对接源_02物料!$X536="自备筐",N(对接源_02物料!$V536)&lt;&gt;0)),1,0)</f>
        <v>0</v>
      </c>
      <c r="W1736">
        <f>N(W1735)+$V1736</f>
        <v>11</v>
      </c>
      <c r="X1736">
        <f>IF(AND($L1736=1,AND(对接源_02物料!$X536="自备筐",N(对接源_02物料!$T536)&lt;&gt;0)),1,0)</f>
        <v>0</v>
      </c>
      <c r="Y1736">
        <f>N(Y1735)+$X1736</f>
        <v>0</v>
      </c>
      <c r="Z1736">
        <f>IF(AND($M1736=1,对接源_02物料!$D536="原料入库"),1,0)</f>
        <v>0</v>
      </c>
      <c r="AA1736">
        <f>N(AA1735)+$Z1736</f>
        <v>24</v>
      </c>
      <c r="AB1736">
        <f>IF(AND($M1736=1,LEFT(对接源_02物料!$D536,4)="原料出库"),1,0)</f>
        <v>0</v>
      </c>
      <c r="AC1736">
        <f>N(AC1735)+$AB1736</f>
        <v>0</v>
      </c>
      <c r="AD1736">
        <f>IF(AND($M1736=1,LEFT(对接源_02物料!$D536,4)="成品出库"),1,0)</f>
        <v>0</v>
      </c>
      <c r="AE1736">
        <f>N(AE1735)+$AD1736</f>
        <v>0</v>
      </c>
      <c r="AF1736">
        <f>IF(AND($N1736=1,AND(LEFT(对接源_02物料!$D536,4)="包装物料",N(对接源_02物料!$K536)&lt;&gt;0)),1,0)</f>
        <v>0</v>
      </c>
      <c r="AG1736">
        <f>N(AG1735)+$AF1736</f>
        <v>10</v>
      </c>
      <c r="AH1736">
        <f>IF(AND($N1736=1,AND(对接源_02物料!$D536="周转筐－销售出库",N(对接源_02物料!$K536)&lt;&gt;0)),1,0)</f>
        <v>0</v>
      </c>
      <c r="AI1736">
        <f>N(AI1735)+$AH1736</f>
        <v>0</v>
      </c>
      <c r="AL1736" t="n">
        <v>0</v>
      </c>
      <c r="AM1736">
        <f>N(AM1735)+$AL1736</f>
        <v>2</v>
      </c>
      <c r="AN1736">
        <f>""</f>
      </c>
      <c r="AO1736" t="n">
        <v>0</v>
      </c>
      <c r="AP1736">
        <f>N(AP1735)+$AO1736</f>
        <v>13</v>
      </c>
      <c r="AR1736">
        <f>IF(OR($AF1736=1,$AH1736=1),1,0)</f>
        <v>0</v>
      </c>
      <c r="AS1736">
        <f>N(AS1735)+$AR1736</f>
        <v>10</v>
      </c>
    </row>
    <row r="1737" s="127">
      <c r="A1737">
        <f>IF(对接源_02物料!$C537="","",对接源_02物料!$C537)</f>
      </c>
      <c r="B1737">
        <f>IF(A1737="",0,IF(MATCH(A1737,$A$4:$A$2403,0)=ROW()-3,1,0))</f>
        <v>0</v>
      </c>
      <c r="C1737">
        <f>N(C1736)+B1737</f>
        <v>26</v>
      </c>
      <c r="K1737">
        <f>IF(OR($K$1="",对接源_02物料!$C537="",对接源_02物料!$C537&lt;&gt;$K$1,对接源_02物料!$B537=""),0,IF(OR(N(对接源_02物料!$B537)&lt;$K$2,N(对接源_02物料!$B537)&gt;$K$3),0,1))</f>
        <v>0</v>
      </c>
      <c r="L1737">
        <f>IF(OR($L$1="",对接源_02物料!$C537="",对接源_02物料!$C537&lt;&gt;$L$1,对接源_02物料!$B537=""),0,IF(OR(N(对接源_02物料!$B537)&lt;$L$2,N(对接源_02物料!$B537)&gt;$L$3),0,1))</f>
        <v>0</v>
      </c>
      <c r="M1737">
        <f>IF(OR($M$1="",对接源_02物料!$C537="",对接源_02物料!$C537&lt;&gt;$M$1,对接源_02物料!$B537=""),0,IF(OR(N(对接源_02物料!$B537)&lt;$M$2,N(对接源_02物料!$B537)&gt;$M$3),0,1))</f>
        <v>0</v>
      </c>
      <c r="N1737">
        <f>IF(OR($N$1="",对接源_02物料!$C537="",对接源_02物料!$C537&lt;&gt;$N$1,对接源_02物料!$B537=""),0,IF(OR(N(对接源_02物料!$B537)&lt;$N$2,N(对接源_02物料!$B537)&gt;$N$3),0,1))</f>
        <v>0</v>
      </c>
      <c r="P1737">
        <f>IF(AND($K1737=1,AND(对接源_02物料!$X537="公司筐",N(对接源_02物料!$T537)&lt;&gt;0)),1,0)</f>
        <v>0</v>
      </c>
      <c r="Q1737">
        <f>N(Q1736)+$P1737</f>
        <v>14</v>
      </c>
      <c r="R1737">
        <f>IF(AND($K1737=1,AND(对接源_02物料!$X537="公司筐",N(对接源_02物料!$U537)&lt;&gt;0)),1,0)</f>
        <v>0</v>
      </c>
      <c r="S1737">
        <f>N(S1736)+$R1737</f>
        <v>1</v>
      </c>
      <c r="T1737">
        <f>IF(AND($K1737=1,AND(对接源_02物料!$X537="公司筐",N(对接源_02物料!$V537)&lt;&gt;0)),1,0)</f>
        <v>0</v>
      </c>
      <c r="U1737">
        <f>N(U1736)+$T1737</f>
        <v>47</v>
      </c>
      <c r="V1737">
        <f>IF(AND($L1737=1,AND(对接源_02物料!$X537="自备筐",N(对接源_02物料!$V537)&lt;&gt;0)),1,0)</f>
        <v>0</v>
      </c>
      <c r="W1737">
        <f>N(W1736)+$V1737</f>
        <v>11</v>
      </c>
      <c r="X1737">
        <f>IF(AND($L1737=1,AND(对接源_02物料!$X537="自备筐",N(对接源_02物料!$T537)&lt;&gt;0)),1,0)</f>
        <v>0</v>
      </c>
      <c r="Y1737">
        <f>N(Y1736)+$X1737</f>
        <v>0</v>
      </c>
      <c r="Z1737">
        <f>IF(AND($M1737=1,对接源_02物料!$D537="原料入库"),1,0)</f>
        <v>0</v>
      </c>
      <c r="AA1737">
        <f>N(AA1736)+$Z1737</f>
        <v>24</v>
      </c>
      <c r="AB1737">
        <f>IF(AND($M1737=1,LEFT(对接源_02物料!$D537,4)="原料出库"),1,0)</f>
        <v>0</v>
      </c>
      <c r="AC1737">
        <f>N(AC1736)+$AB1737</f>
        <v>0</v>
      </c>
      <c r="AD1737">
        <f>IF(AND($M1737=1,LEFT(对接源_02物料!$D537,4)="成品出库"),1,0)</f>
        <v>0</v>
      </c>
      <c r="AE1737">
        <f>N(AE1736)+$AD1737</f>
        <v>0</v>
      </c>
      <c r="AF1737">
        <f>IF(AND($N1737=1,AND(LEFT(对接源_02物料!$D537,4)="包装物料",N(对接源_02物料!$K537)&lt;&gt;0)),1,0)</f>
        <v>0</v>
      </c>
      <c r="AG1737">
        <f>N(AG1736)+$AF1737</f>
        <v>10</v>
      </c>
      <c r="AH1737">
        <f>IF(AND($N1737=1,AND(对接源_02物料!$D537="周转筐－销售出库",N(对接源_02物料!$K537)&lt;&gt;0)),1,0)</f>
        <v>0</v>
      </c>
      <c r="AI1737">
        <f>N(AI1736)+$AH1737</f>
        <v>0</v>
      </c>
      <c r="AL1737" t="n">
        <v>0</v>
      </c>
      <c r="AM1737">
        <f>N(AM1736)+$AL1737</f>
        <v>2</v>
      </c>
      <c r="AN1737">
        <f>""</f>
      </c>
      <c r="AO1737" t="n">
        <v>0</v>
      </c>
      <c r="AP1737">
        <f>N(AP1736)+$AO1737</f>
        <v>13</v>
      </c>
      <c r="AR1737">
        <f>IF(OR($AF1737=1,$AH1737=1),1,0)</f>
        <v>0</v>
      </c>
      <c r="AS1737">
        <f>N(AS1736)+$AR1737</f>
        <v>10</v>
      </c>
    </row>
    <row r="1738" s="127">
      <c r="A1738">
        <f>IF(对接源_02物料!$C538="","",对接源_02物料!$C538)</f>
      </c>
      <c r="B1738">
        <f>IF(A1738="",0,IF(MATCH(A1738,$A$4:$A$2403,0)=ROW()-3,1,0))</f>
        <v>0</v>
      </c>
      <c r="C1738">
        <f>N(C1737)+B1738</f>
        <v>26</v>
      </c>
      <c r="K1738">
        <f>IF(OR($K$1="",对接源_02物料!$C538="",对接源_02物料!$C538&lt;&gt;$K$1,对接源_02物料!$B538=""),0,IF(OR(N(对接源_02物料!$B538)&lt;$K$2,N(对接源_02物料!$B538)&gt;$K$3),0,1))</f>
        <v>0</v>
      </c>
      <c r="L1738">
        <f>IF(OR($L$1="",对接源_02物料!$C538="",对接源_02物料!$C538&lt;&gt;$L$1,对接源_02物料!$B538=""),0,IF(OR(N(对接源_02物料!$B538)&lt;$L$2,N(对接源_02物料!$B538)&gt;$L$3),0,1))</f>
        <v>0</v>
      </c>
      <c r="M1738">
        <f>IF(OR($M$1="",对接源_02物料!$C538="",对接源_02物料!$C538&lt;&gt;$M$1,对接源_02物料!$B538=""),0,IF(OR(N(对接源_02物料!$B538)&lt;$M$2,N(对接源_02物料!$B538)&gt;$M$3),0,1))</f>
        <v>0</v>
      </c>
      <c r="N1738">
        <f>IF(OR($N$1="",对接源_02物料!$C538="",对接源_02物料!$C538&lt;&gt;$N$1,对接源_02物料!$B538=""),0,IF(OR(N(对接源_02物料!$B538)&lt;$N$2,N(对接源_02物料!$B538)&gt;$N$3),0,1))</f>
        <v>0</v>
      </c>
      <c r="P1738">
        <f>IF(AND($K1738=1,AND(对接源_02物料!$X538="公司筐",N(对接源_02物料!$T538)&lt;&gt;0)),1,0)</f>
        <v>0</v>
      </c>
      <c r="Q1738">
        <f>N(Q1737)+$P1738</f>
        <v>14</v>
      </c>
      <c r="R1738">
        <f>IF(AND($K1738=1,AND(对接源_02物料!$X538="公司筐",N(对接源_02物料!$U538)&lt;&gt;0)),1,0)</f>
        <v>0</v>
      </c>
      <c r="S1738">
        <f>N(S1737)+$R1738</f>
        <v>1</v>
      </c>
      <c r="T1738">
        <f>IF(AND($K1738=1,AND(对接源_02物料!$X538="公司筐",N(对接源_02物料!$V538)&lt;&gt;0)),1,0)</f>
        <v>0</v>
      </c>
      <c r="U1738">
        <f>N(U1737)+$T1738</f>
        <v>47</v>
      </c>
      <c r="V1738">
        <f>IF(AND($L1738=1,AND(对接源_02物料!$X538="自备筐",N(对接源_02物料!$V538)&lt;&gt;0)),1,0)</f>
        <v>0</v>
      </c>
      <c r="W1738">
        <f>N(W1737)+$V1738</f>
        <v>11</v>
      </c>
      <c r="X1738">
        <f>IF(AND($L1738=1,AND(对接源_02物料!$X538="自备筐",N(对接源_02物料!$T538)&lt;&gt;0)),1,0)</f>
        <v>0</v>
      </c>
      <c r="Y1738">
        <f>N(Y1737)+$X1738</f>
        <v>0</v>
      </c>
      <c r="Z1738">
        <f>IF(AND($M1738=1,对接源_02物料!$D538="原料入库"),1,0)</f>
        <v>0</v>
      </c>
      <c r="AA1738">
        <f>N(AA1737)+$Z1738</f>
        <v>24</v>
      </c>
      <c r="AB1738">
        <f>IF(AND($M1738=1,LEFT(对接源_02物料!$D538,4)="原料出库"),1,0)</f>
        <v>0</v>
      </c>
      <c r="AC1738">
        <f>N(AC1737)+$AB1738</f>
        <v>0</v>
      </c>
      <c r="AD1738">
        <f>IF(AND($M1738=1,LEFT(对接源_02物料!$D538,4)="成品出库"),1,0)</f>
        <v>0</v>
      </c>
      <c r="AE1738">
        <f>N(AE1737)+$AD1738</f>
        <v>0</v>
      </c>
      <c r="AF1738">
        <f>IF(AND($N1738=1,AND(LEFT(对接源_02物料!$D538,4)="包装物料",N(对接源_02物料!$K538)&lt;&gt;0)),1,0)</f>
        <v>0</v>
      </c>
      <c r="AG1738">
        <f>N(AG1737)+$AF1738</f>
        <v>10</v>
      </c>
      <c r="AH1738">
        <f>IF(AND($N1738=1,AND(对接源_02物料!$D538="周转筐－销售出库",N(对接源_02物料!$K538)&lt;&gt;0)),1,0)</f>
        <v>0</v>
      </c>
      <c r="AI1738">
        <f>N(AI1737)+$AH1738</f>
        <v>0</v>
      </c>
      <c r="AL1738" t="n">
        <v>0</v>
      </c>
      <c r="AM1738">
        <f>N(AM1737)+$AL1738</f>
        <v>2</v>
      </c>
      <c r="AN1738">
        <f>""</f>
      </c>
      <c r="AO1738" t="n">
        <v>0</v>
      </c>
      <c r="AP1738">
        <f>N(AP1737)+$AO1738</f>
        <v>13</v>
      </c>
      <c r="AR1738">
        <f>IF(OR($AF1738=1,$AH1738=1),1,0)</f>
        <v>0</v>
      </c>
      <c r="AS1738">
        <f>N(AS1737)+$AR1738</f>
        <v>10</v>
      </c>
    </row>
    <row r="1739" s="127">
      <c r="A1739">
        <f>IF(对接源_02物料!$C539="","",对接源_02物料!$C539)</f>
      </c>
      <c r="B1739">
        <f>IF(A1739="",0,IF(MATCH(A1739,$A$4:$A$2403,0)=ROW()-3,1,0))</f>
        <v>0</v>
      </c>
      <c r="C1739">
        <f>N(C1738)+B1739</f>
        <v>26</v>
      </c>
      <c r="K1739">
        <f>IF(OR($K$1="",对接源_02物料!$C539="",对接源_02物料!$C539&lt;&gt;$K$1,对接源_02物料!$B539=""),0,IF(OR(N(对接源_02物料!$B539)&lt;$K$2,N(对接源_02物料!$B539)&gt;$K$3),0,1))</f>
        <v>0</v>
      </c>
      <c r="L1739">
        <f>IF(OR($L$1="",对接源_02物料!$C539="",对接源_02物料!$C539&lt;&gt;$L$1,对接源_02物料!$B539=""),0,IF(OR(N(对接源_02物料!$B539)&lt;$L$2,N(对接源_02物料!$B539)&gt;$L$3),0,1))</f>
        <v>0</v>
      </c>
      <c r="M1739">
        <f>IF(OR($M$1="",对接源_02物料!$C539="",对接源_02物料!$C539&lt;&gt;$M$1,对接源_02物料!$B539=""),0,IF(OR(N(对接源_02物料!$B539)&lt;$M$2,N(对接源_02物料!$B539)&gt;$M$3),0,1))</f>
        <v>0</v>
      </c>
      <c r="N1739">
        <f>IF(OR($N$1="",对接源_02物料!$C539="",对接源_02物料!$C539&lt;&gt;$N$1,对接源_02物料!$B539=""),0,IF(OR(N(对接源_02物料!$B539)&lt;$N$2,N(对接源_02物料!$B539)&gt;$N$3),0,1))</f>
        <v>0</v>
      </c>
      <c r="P1739">
        <f>IF(AND($K1739=1,AND(对接源_02物料!$X539="公司筐",N(对接源_02物料!$T539)&lt;&gt;0)),1,0)</f>
        <v>0</v>
      </c>
      <c r="Q1739">
        <f>N(Q1738)+$P1739</f>
        <v>14</v>
      </c>
      <c r="R1739">
        <f>IF(AND($K1739=1,AND(对接源_02物料!$X539="公司筐",N(对接源_02物料!$U539)&lt;&gt;0)),1,0)</f>
        <v>0</v>
      </c>
      <c r="S1739">
        <f>N(S1738)+$R1739</f>
        <v>1</v>
      </c>
      <c r="T1739">
        <f>IF(AND($K1739=1,AND(对接源_02物料!$X539="公司筐",N(对接源_02物料!$V539)&lt;&gt;0)),1,0)</f>
        <v>0</v>
      </c>
      <c r="U1739">
        <f>N(U1738)+$T1739</f>
        <v>47</v>
      </c>
      <c r="V1739">
        <f>IF(AND($L1739=1,AND(对接源_02物料!$X539="自备筐",N(对接源_02物料!$V539)&lt;&gt;0)),1,0)</f>
        <v>0</v>
      </c>
      <c r="W1739">
        <f>N(W1738)+$V1739</f>
        <v>11</v>
      </c>
      <c r="X1739">
        <f>IF(AND($L1739=1,AND(对接源_02物料!$X539="自备筐",N(对接源_02物料!$T539)&lt;&gt;0)),1,0)</f>
        <v>0</v>
      </c>
      <c r="Y1739">
        <f>N(Y1738)+$X1739</f>
        <v>0</v>
      </c>
      <c r="Z1739">
        <f>IF(AND($M1739=1,对接源_02物料!$D539="原料入库"),1,0)</f>
        <v>0</v>
      </c>
      <c r="AA1739">
        <f>N(AA1738)+$Z1739</f>
        <v>24</v>
      </c>
      <c r="AB1739">
        <f>IF(AND($M1739=1,LEFT(对接源_02物料!$D539,4)="原料出库"),1,0)</f>
        <v>0</v>
      </c>
      <c r="AC1739">
        <f>N(AC1738)+$AB1739</f>
        <v>0</v>
      </c>
      <c r="AD1739">
        <f>IF(AND($M1739=1,LEFT(对接源_02物料!$D539,4)="成品出库"),1,0)</f>
        <v>0</v>
      </c>
      <c r="AE1739">
        <f>N(AE1738)+$AD1739</f>
        <v>0</v>
      </c>
      <c r="AF1739">
        <f>IF(AND($N1739=1,AND(LEFT(对接源_02物料!$D539,4)="包装物料",N(对接源_02物料!$K539)&lt;&gt;0)),1,0)</f>
        <v>0</v>
      </c>
      <c r="AG1739">
        <f>N(AG1738)+$AF1739</f>
        <v>10</v>
      </c>
      <c r="AH1739">
        <f>IF(AND($N1739=1,AND(对接源_02物料!$D539="周转筐－销售出库",N(对接源_02物料!$K539)&lt;&gt;0)),1,0)</f>
        <v>0</v>
      </c>
      <c r="AI1739">
        <f>N(AI1738)+$AH1739</f>
        <v>0</v>
      </c>
      <c r="AL1739" t="n">
        <v>0</v>
      </c>
      <c r="AM1739">
        <f>N(AM1738)+$AL1739</f>
        <v>2</v>
      </c>
      <c r="AN1739">
        <f>""</f>
      </c>
      <c r="AO1739" t="n">
        <v>0</v>
      </c>
      <c r="AP1739">
        <f>N(AP1738)+$AO1739</f>
        <v>13</v>
      </c>
      <c r="AR1739">
        <f>IF(OR($AF1739=1,$AH1739=1),1,0)</f>
        <v>0</v>
      </c>
      <c r="AS1739">
        <f>N(AS1738)+$AR1739</f>
        <v>10</v>
      </c>
    </row>
    <row r="1740" s="127">
      <c r="A1740">
        <f>IF(对接源_02物料!$C540="","",对接源_02物料!$C540)</f>
      </c>
      <c r="B1740">
        <f>IF(A1740="",0,IF(MATCH(A1740,$A$4:$A$2403,0)=ROW()-3,1,0))</f>
        <v>0</v>
      </c>
      <c r="C1740">
        <f>N(C1739)+B1740</f>
        <v>26</v>
      </c>
      <c r="K1740">
        <f>IF(OR($K$1="",对接源_02物料!$C540="",对接源_02物料!$C540&lt;&gt;$K$1,对接源_02物料!$B540=""),0,IF(OR(N(对接源_02物料!$B540)&lt;$K$2,N(对接源_02物料!$B540)&gt;$K$3),0,1))</f>
        <v>0</v>
      </c>
      <c r="L1740">
        <f>IF(OR($L$1="",对接源_02物料!$C540="",对接源_02物料!$C540&lt;&gt;$L$1,对接源_02物料!$B540=""),0,IF(OR(N(对接源_02物料!$B540)&lt;$L$2,N(对接源_02物料!$B540)&gt;$L$3),0,1))</f>
        <v>0</v>
      </c>
      <c r="M1740">
        <f>IF(OR($M$1="",对接源_02物料!$C540="",对接源_02物料!$C540&lt;&gt;$M$1,对接源_02物料!$B540=""),0,IF(OR(N(对接源_02物料!$B540)&lt;$M$2,N(对接源_02物料!$B540)&gt;$M$3),0,1))</f>
        <v>0</v>
      </c>
      <c r="N1740">
        <f>IF(OR($N$1="",对接源_02物料!$C540="",对接源_02物料!$C540&lt;&gt;$N$1,对接源_02物料!$B540=""),0,IF(OR(N(对接源_02物料!$B540)&lt;$N$2,N(对接源_02物料!$B540)&gt;$N$3),0,1))</f>
        <v>0</v>
      </c>
      <c r="P1740">
        <f>IF(AND($K1740=1,AND(对接源_02物料!$X540="公司筐",N(对接源_02物料!$T540)&lt;&gt;0)),1,0)</f>
        <v>0</v>
      </c>
      <c r="Q1740">
        <f>N(Q1739)+$P1740</f>
        <v>14</v>
      </c>
      <c r="R1740">
        <f>IF(AND($K1740=1,AND(对接源_02物料!$X540="公司筐",N(对接源_02物料!$U540)&lt;&gt;0)),1,0)</f>
        <v>0</v>
      </c>
      <c r="S1740">
        <f>N(S1739)+$R1740</f>
        <v>1</v>
      </c>
      <c r="T1740">
        <f>IF(AND($K1740=1,AND(对接源_02物料!$X540="公司筐",N(对接源_02物料!$V540)&lt;&gt;0)),1,0)</f>
        <v>0</v>
      </c>
      <c r="U1740">
        <f>N(U1739)+$T1740</f>
        <v>47</v>
      </c>
      <c r="V1740">
        <f>IF(AND($L1740=1,AND(对接源_02物料!$X540="自备筐",N(对接源_02物料!$V540)&lt;&gt;0)),1,0)</f>
        <v>0</v>
      </c>
      <c r="W1740">
        <f>N(W1739)+$V1740</f>
        <v>11</v>
      </c>
      <c r="X1740">
        <f>IF(AND($L1740=1,AND(对接源_02物料!$X540="自备筐",N(对接源_02物料!$T540)&lt;&gt;0)),1,0)</f>
        <v>0</v>
      </c>
      <c r="Y1740">
        <f>N(Y1739)+$X1740</f>
        <v>0</v>
      </c>
      <c r="Z1740">
        <f>IF(AND($M1740=1,对接源_02物料!$D540="原料入库"),1,0)</f>
        <v>0</v>
      </c>
      <c r="AA1740">
        <f>N(AA1739)+$Z1740</f>
        <v>24</v>
      </c>
      <c r="AB1740">
        <f>IF(AND($M1740=1,LEFT(对接源_02物料!$D540,4)="原料出库"),1,0)</f>
        <v>0</v>
      </c>
      <c r="AC1740">
        <f>N(AC1739)+$AB1740</f>
        <v>0</v>
      </c>
      <c r="AD1740">
        <f>IF(AND($M1740=1,LEFT(对接源_02物料!$D540,4)="成品出库"),1,0)</f>
        <v>0</v>
      </c>
      <c r="AE1740">
        <f>N(AE1739)+$AD1740</f>
        <v>0</v>
      </c>
      <c r="AF1740">
        <f>IF(AND($N1740=1,AND(LEFT(对接源_02物料!$D540,4)="包装物料",N(对接源_02物料!$K540)&lt;&gt;0)),1,0)</f>
        <v>0</v>
      </c>
      <c r="AG1740">
        <f>N(AG1739)+$AF1740</f>
        <v>10</v>
      </c>
      <c r="AH1740">
        <f>IF(AND($N1740=1,AND(对接源_02物料!$D540="周转筐－销售出库",N(对接源_02物料!$K540)&lt;&gt;0)),1,0)</f>
        <v>0</v>
      </c>
      <c r="AI1740">
        <f>N(AI1739)+$AH1740</f>
        <v>0</v>
      </c>
      <c r="AL1740" t="n">
        <v>0</v>
      </c>
      <c r="AM1740">
        <f>N(AM1739)+$AL1740</f>
        <v>2</v>
      </c>
      <c r="AN1740">
        <f>""</f>
      </c>
      <c r="AO1740" t="n">
        <v>0</v>
      </c>
      <c r="AP1740">
        <f>N(AP1739)+$AO1740</f>
        <v>13</v>
      </c>
      <c r="AR1740">
        <f>IF(OR($AF1740=1,$AH1740=1),1,0)</f>
        <v>0</v>
      </c>
      <c r="AS1740">
        <f>N(AS1739)+$AR1740</f>
        <v>10</v>
      </c>
    </row>
    <row r="1741" s="127">
      <c r="A1741">
        <f>IF(对接源_02物料!$C541="","",对接源_02物料!$C541)</f>
      </c>
      <c r="B1741">
        <f>IF(A1741="",0,IF(MATCH(A1741,$A$4:$A$2403,0)=ROW()-3,1,0))</f>
        <v>0</v>
      </c>
      <c r="C1741">
        <f>N(C1740)+B1741</f>
        <v>26</v>
      </c>
      <c r="K1741">
        <f>IF(OR($K$1="",对接源_02物料!$C541="",对接源_02物料!$C541&lt;&gt;$K$1,对接源_02物料!$B541=""),0,IF(OR(N(对接源_02物料!$B541)&lt;$K$2,N(对接源_02物料!$B541)&gt;$K$3),0,1))</f>
        <v>0</v>
      </c>
      <c r="L1741">
        <f>IF(OR($L$1="",对接源_02物料!$C541="",对接源_02物料!$C541&lt;&gt;$L$1,对接源_02物料!$B541=""),0,IF(OR(N(对接源_02物料!$B541)&lt;$L$2,N(对接源_02物料!$B541)&gt;$L$3),0,1))</f>
        <v>0</v>
      </c>
      <c r="M1741">
        <f>IF(OR($M$1="",对接源_02物料!$C541="",对接源_02物料!$C541&lt;&gt;$M$1,对接源_02物料!$B541=""),0,IF(OR(N(对接源_02物料!$B541)&lt;$M$2,N(对接源_02物料!$B541)&gt;$M$3),0,1))</f>
        <v>0</v>
      </c>
      <c r="N1741">
        <f>IF(OR($N$1="",对接源_02物料!$C541="",对接源_02物料!$C541&lt;&gt;$N$1,对接源_02物料!$B541=""),0,IF(OR(N(对接源_02物料!$B541)&lt;$N$2,N(对接源_02物料!$B541)&gt;$N$3),0,1))</f>
        <v>0</v>
      </c>
      <c r="P1741">
        <f>IF(AND($K1741=1,AND(对接源_02物料!$X541="公司筐",N(对接源_02物料!$T541)&lt;&gt;0)),1,0)</f>
        <v>0</v>
      </c>
      <c r="Q1741">
        <f>N(Q1740)+$P1741</f>
        <v>14</v>
      </c>
      <c r="R1741">
        <f>IF(AND($K1741=1,AND(对接源_02物料!$X541="公司筐",N(对接源_02物料!$U541)&lt;&gt;0)),1,0)</f>
        <v>0</v>
      </c>
      <c r="S1741">
        <f>N(S1740)+$R1741</f>
        <v>1</v>
      </c>
      <c r="T1741">
        <f>IF(AND($K1741=1,AND(对接源_02物料!$X541="公司筐",N(对接源_02物料!$V541)&lt;&gt;0)),1,0)</f>
        <v>0</v>
      </c>
      <c r="U1741">
        <f>N(U1740)+$T1741</f>
        <v>47</v>
      </c>
      <c r="V1741">
        <f>IF(AND($L1741=1,AND(对接源_02物料!$X541="自备筐",N(对接源_02物料!$V541)&lt;&gt;0)),1,0)</f>
        <v>0</v>
      </c>
      <c r="W1741">
        <f>N(W1740)+$V1741</f>
        <v>11</v>
      </c>
      <c r="X1741">
        <f>IF(AND($L1741=1,AND(对接源_02物料!$X541="自备筐",N(对接源_02物料!$T541)&lt;&gt;0)),1,0)</f>
        <v>0</v>
      </c>
      <c r="Y1741">
        <f>N(Y1740)+$X1741</f>
        <v>0</v>
      </c>
      <c r="Z1741">
        <f>IF(AND($M1741=1,对接源_02物料!$D541="原料入库"),1,0)</f>
        <v>0</v>
      </c>
      <c r="AA1741">
        <f>N(AA1740)+$Z1741</f>
        <v>24</v>
      </c>
      <c r="AB1741">
        <f>IF(AND($M1741=1,LEFT(对接源_02物料!$D541,4)="原料出库"),1,0)</f>
        <v>0</v>
      </c>
      <c r="AC1741">
        <f>N(AC1740)+$AB1741</f>
        <v>0</v>
      </c>
      <c r="AD1741">
        <f>IF(AND($M1741=1,LEFT(对接源_02物料!$D541,4)="成品出库"),1,0)</f>
        <v>0</v>
      </c>
      <c r="AE1741">
        <f>N(AE1740)+$AD1741</f>
        <v>0</v>
      </c>
      <c r="AF1741">
        <f>IF(AND($N1741=1,AND(LEFT(对接源_02物料!$D541,4)="包装物料",N(对接源_02物料!$K541)&lt;&gt;0)),1,0)</f>
        <v>0</v>
      </c>
      <c r="AG1741">
        <f>N(AG1740)+$AF1741</f>
        <v>10</v>
      </c>
      <c r="AH1741">
        <f>IF(AND($N1741=1,AND(对接源_02物料!$D541="周转筐－销售出库",N(对接源_02物料!$K541)&lt;&gt;0)),1,0)</f>
        <v>0</v>
      </c>
      <c r="AI1741">
        <f>N(AI1740)+$AH1741</f>
        <v>0</v>
      </c>
      <c r="AL1741" t="n">
        <v>0</v>
      </c>
      <c r="AM1741">
        <f>N(AM1740)+$AL1741</f>
        <v>2</v>
      </c>
      <c r="AN1741">
        <f>""</f>
      </c>
      <c r="AO1741" t="n">
        <v>0</v>
      </c>
      <c r="AP1741">
        <f>N(AP1740)+$AO1741</f>
        <v>13</v>
      </c>
      <c r="AR1741">
        <f>IF(OR($AF1741=1,$AH1741=1),1,0)</f>
        <v>0</v>
      </c>
      <c r="AS1741">
        <f>N(AS1740)+$AR1741</f>
        <v>10</v>
      </c>
    </row>
    <row r="1742" s="127">
      <c r="A1742">
        <f>IF(对接源_02物料!$C542="","",对接源_02物料!$C542)</f>
      </c>
      <c r="B1742">
        <f>IF(A1742="",0,IF(MATCH(A1742,$A$4:$A$2403,0)=ROW()-3,1,0))</f>
        <v>0</v>
      </c>
      <c r="C1742">
        <f>N(C1741)+B1742</f>
        <v>26</v>
      </c>
      <c r="K1742">
        <f>IF(OR($K$1="",对接源_02物料!$C542="",对接源_02物料!$C542&lt;&gt;$K$1,对接源_02物料!$B542=""),0,IF(OR(N(对接源_02物料!$B542)&lt;$K$2,N(对接源_02物料!$B542)&gt;$K$3),0,1))</f>
        <v>0</v>
      </c>
      <c r="L1742">
        <f>IF(OR($L$1="",对接源_02物料!$C542="",对接源_02物料!$C542&lt;&gt;$L$1,对接源_02物料!$B542=""),0,IF(OR(N(对接源_02物料!$B542)&lt;$L$2,N(对接源_02物料!$B542)&gt;$L$3),0,1))</f>
        <v>0</v>
      </c>
      <c r="M1742">
        <f>IF(OR($M$1="",对接源_02物料!$C542="",对接源_02物料!$C542&lt;&gt;$M$1,对接源_02物料!$B542=""),0,IF(OR(N(对接源_02物料!$B542)&lt;$M$2,N(对接源_02物料!$B542)&gt;$M$3),0,1))</f>
        <v>0</v>
      </c>
      <c r="N1742">
        <f>IF(OR($N$1="",对接源_02物料!$C542="",对接源_02物料!$C542&lt;&gt;$N$1,对接源_02物料!$B542=""),0,IF(OR(N(对接源_02物料!$B542)&lt;$N$2,N(对接源_02物料!$B542)&gt;$N$3),0,1))</f>
        <v>0</v>
      </c>
      <c r="P1742">
        <f>IF(AND($K1742=1,AND(对接源_02物料!$X542="公司筐",N(对接源_02物料!$T542)&lt;&gt;0)),1,0)</f>
        <v>0</v>
      </c>
      <c r="Q1742">
        <f>N(Q1741)+$P1742</f>
        <v>14</v>
      </c>
      <c r="R1742">
        <f>IF(AND($K1742=1,AND(对接源_02物料!$X542="公司筐",N(对接源_02物料!$U542)&lt;&gt;0)),1,0)</f>
        <v>0</v>
      </c>
      <c r="S1742">
        <f>N(S1741)+$R1742</f>
        <v>1</v>
      </c>
      <c r="T1742">
        <f>IF(AND($K1742=1,AND(对接源_02物料!$X542="公司筐",N(对接源_02物料!$V542)&lt;&gt;0)),1,0)</f>
        <v>0</v>
      </c>
      <c r="U1742">
        <f>N(U1741)+$T1742</f>
        <v>47</v>
      </c>
      <c r="V1742">
        <f>IF(AND($L1742=1,AND(对接源_02物料!$X542="自备筐",N(对接源_02物料!$V542)&lt;&gt;0)),1,0)</f>
        <v>0</v>
      </c>
      <c r="W1742">
        <f>N(W1741)+$V1742</f>
        <v>11</v>
      </c>
      <c r="X1742">
        <f>IF(AND($L1742=1,AND(对接源_02物料!$X542="自备筐",N(对接源_02物料!$T542)&lt;&gt;0)),1,0)</f>
        <v>0</v>
      </c>
      <c r="Y1742">
        <f>N(Y1741)+$X1742</f>
        <v>0</v>
      </c>
      <c r="Z1742">
        <f>IF(AND($M1742=1,对接源_02物料!$D542="原料入库"),1,0)</f>
        <v>0</v>
      </c>
      <c r="AA1742">
        <f>N(AA1741)+$Z1742</f>
        <v>24</v>
      </c>
      <c r="AB1742">
        <f>IF(AND($M1742=1,LEFT(对接源_02物料!$D542,4)="原料出库"),1,0)</f>
        <v>0</v>
      </c>
      <c r="AC1742">
        <f>N(AC1741)+$AB1742</f>
        <v>0</v>
      </c>
      <c r="AD1742">
        <f>IF(AND($M1742=1,LEFT(对接源_02物料!$D542,4)="成品出库"),1,0)</f>
        <v>0</v>
      </c>
      <c r="AE1742">
        <f>N(AE1741)+$AD1742</f>
        <v>0</v>
      </c>
      <c r="AF1742">
        <f>IF(AND($N1742=1,AND(LEFT(对接源_02物料!$D542,4)="包装物料",N(对接源_02物料!$K542)&lt;&gt;0)),1,0)</f>
        <v>0</v>
      </c>
      <c r="AG1742">
        <f>N(AG1741)+$AF1742</f>
        <v>10</v>
      </c>
      <c r="AH1742">
        <f>IF(AND($N1742=1,AND(对接源_02物料!$D542="周转筐－销售出库",N(对接源_02物料!$K542)&lt;&gt;0)),1,0)</f>
        <v>0</v>
      </c>
      <c r="AI1742">
        <f>N(AI1741)+$AH1742</f>
        <v>0</v>
      </c>
      <c r="AL1742" t="n">
        <v>0</v>
      </c>
      <c r="AM1742">
        <f>N(AM1741)+$AL1742</f>
        <v>2</v>
      </c>
      <c r="AN1742">
        <f>""</f>
      </c>
      <c r="AO1742" t="n">
        <v>0</v>
      </c>
      <c r="AP1742">
        <f>N(AP1741)+$AO1742</f>
        <v>13</v>
      </c>
      <c r="AR1742">
        <f>IF(OR($AF1742=1,$AH1742=1),1,0)</f>
        <v>0</v>
      </c>
      <c r="AS1742">
        <f>N(AS1741)+$AR1742</f>
        <v>10</v>
      </c>
    </row>
    <row r="1743" s="127">
      <c r="A1743">
        <f>IF(对接源_02物料!$C543="","",对接源_02物料!$C543)</f>
      </c>
      <c r="B1743">
        <f>IF(A1743="",0,IF(MATCH(A1743,$A$4:$A$2403,0)=ROW()-3,1,0))</f>
        <v>0</v>
      </c>
      <c r="C1743">
        <f>N(C1742)+B1743</f>
        <v>26</v>
      </c>
      <c r="K1743">
        <f>IF(OR($K$1="",对接源_02物料!$C543="",对接源_02物料!$C543&lt;&gt;$K$1,对接源_02物料!$B543=""),0,IF(OR(N(对接源_02物料!$B543)&lt;$K$2,N(对接源_02物料!$B543)&gt;$K$3),0,1))</f>
        <v>0</v>
      </c>
      <c r="L1743">
        <f>IF(OR($L$1="",对接源_02物料!$C543="",对接源_02物料!$C543&lt;&gt;$L$1,对接源_02物料!$B543=""),0,IF(OR(N(对接源_02物料!$B543)&lt;$L$2,N(对接源_02物料!$B543)&gt;$L$3),0,1))</f>
        <v>0</v>
      </c>
      <c r="M1743">
        <f>IF(OR($M$1="",对接源_02物料!$C543="",对接源_02物料!$C543&lt;&gt;$M$1,对接源_02物料!$B543=""),0,IF(OR(N(对接源_02物料!$B543)&lt;$M$2,N(对接源_02物料!$B543)&gt;$M$3),0,1))</f>
        <v>0</v>
      </c>
      <c r="N1743">
        <f>IF(OR($N$1="",对接源_02物料!$C543="",对接源_02物料!$C543&lt;&gt;$N$1,对接源_02物料!$B543=""),0,IF(OR(N(对接源_02物料!$B543)&lt;$N$2,N(对接源_02物料!$B543)&gt;$N$3),0,1))</f>
        <v>0</v>
      </c>
      <c r="P1743">
        <f>IF(AND($K1743=1,AND(对接源_02物料!$X543="公司筐",N(对接源_02物料!$T543)&lt;&gt;0)),1,0)</f>
        <v>0</v>
      </c>
      <c r="Q1743">
        <f>N(Q1742)+$P1743</f>
        <v>14</v>
      </c>
      <c r="R1743">
        <f>IF(AND($K1743=1,AND(对接源_02物料!$X543="公司筐",N(对接源_02物料!$U543)&lt;&gt;0)),1,0)</f>
        <v>0</v>
      </c>
      <c r="S1743">
        <f>N(S1742)+$R1743</f>
        <v>1</v>
      </c>
      <c r="T1743">
        <f>IF(AND($K1743=1,AND(对接源_02物料!$X543="公司筐",N(对接源_02物料!$V543)&lt;&gt;0)),1,0)</f>
        <v>0</v>
      </c>
      <c r="U1743">
        <f>N(U1742)+$T1743</f>
        <v>47</v>
      </c>
      <c r="V1743">
        <f>IF(AND($L1743=1,AND(对接源_02物料!$X543="自备筐",N(对接源_02物料!$V543)&lt;&gt;0)),1,0)</f>
        <v>0</v>
      </c>
      <c r="W1743">
        <f>N(W1742)+$V1743</f>
        <v>11</v>
      </c>
      <c r="X1743">
        <f>IF(AND($L1743=1,AND(对接源_02物料!$X543="自备筐",N(对接源_02物料!$T543)&lt;&gt;0)),1,0)</f>
        <v>0</v>
      </c>
      <c r="Y1743">
        <f>N(Y1742)+$X1743</f>
        <v>0</v>
      </c>
      <c r="Z1743">
        <f>IF(AND($M1743=1,对接源_02物料!$D543="原料入库"),1,0)</f>
        <v>0</v>
      </c>
      <c r="AA1743">
        <f>N(AA1742)+$Z1743</f>
        <v>24</v>
      </c>
      <c r="AB1743">
        <f>IF(AND($M1743=1,LEFT(对接源_02物料!$D543,4)="原料出库"),1,0)</f>
        <v>0</v>
      </c>
      <c r="AC1743">
        <f>N(AC1742)+$AB1743</f>
        <v>0</v>
      </c>
      <c r="AD1743">
        <f>IF(AND($M1743=1,LEFT(对接源_02物料!$D543,4)="成品出库"),1,0)</f>
        <v>0</v>
      </c>
      <c r="AE1743">
        <f>N(AE1742)+$AD1743</f>
        <v>0</v>
      </c>
      <c r="AF1743">
        <f>IF(AND($N1743=1,AND(LEFT(对接源_02物料!$D543,4)="包装物料",N(对接源_02物料!$K543)&lt;&gt;0)),1,0)</f>
        <v>0</v>
      </c>
      <c r="AG1743">
        <f>N(AG1742)+$AF1743</f>
        <v>10</v>
      </c>
      <c r="AH1743">
        <f>IF(AND($N1743=1,AND(对接源_02物料!$D543="周转筐－销售出库",N(对接源_02物料!$K543)&lt;&gt;0)),1,0)</f>
        <v>0</v>
      </c>
      <c r="AI1743">
        <f>N(AI1742)+$AH1743</f>
        <v>0</v>
      </c>
      <c r="AL1743" t="n">
        <v>0</v>
      </c>
      <c r="AM1743">
        <f>N(AM1742)+$AL1743</f>
        <v>2</v>
      </c>
      <c r="AN1743">
        <f>""</f>
      </c>
      <c r="AO1743" t="n">
        <v>0</v>
      </c>
      <c r="AP1743">
        <f>N(AP1742)+$AO1743</f>
        <v>13</v>
      </c>
      <c r="AR1743">
        <f>IF(OR($AF1743=1,$AH1743=1),1,0)</f>
        <v>0</v>
      </c>
      <c r="AS1743">
        <f>N(AS1742)+$AR1743</f>
        <v>10</v>
      </c>
    </row>
    <row r="1744" s="127">
      <c r="A1744">
        <f>IF(对接源_02物料!$C544="","",对接源_02物料!$C544)</f>
      </c>
      <c r="B1744">
        <f>IF(A1744="",0,IF(MATCH(A1744,$A$4:$A$2403,0)=ROW()-3,1,0))</f>
        <v>0</v>
      </c>
      <c r="C1744">
        <f>N(C1743)+B1744</f>
        <v>26</v>
      </c>
      <c r="K1744">
        <f>IF(OR($K$1="",对接源_02物料!$C544="",对接源_02物料!$C544&lt;&gt;$K$1,对接源_02物料!$B544=""),0,IF(OR(N(对接源_02物料!$B544)&lt;$K$2,N(对接源_02物料!$B544)&gt;$K$3),0,1))</f>
        <v>0</v>
      </c>
      <c r="L1744">
        <f>IF(OR($L$1="",对接源_02物料!$C544="",对接源_02物料!$C544&lt;&gt;$L$1,对接源_02物料!$B544=""),0,IF(OR(N(对接源_02物料!$B544)&lt;$L$2,N(对接源_02物料!$B544)&gt;$L$3),0,1))</f>
        <v>0</v>
      </c>
      <c r="M1744">
        <f>IF(OR($M$1="",对接源_02物料!$C544="",对接源_02物料!$C544&lt;&gt;$M$1,对接源_02物料!$B544=""),0,IF(OR(N(对接源_02物料!$B544)&lt;$M$2,N(对接源_02物料!$B544)&gt;$M$3),0,1))</f>
        <v>0</v>
      </c>
      <c r="N1744">
        <f>IF(OR($N$1="",对接源_02物料!$C544="",对接源_02物料!$C544&lt;&gt;$N$1,对接源_02物料!$B544=""),0,IF(OR(N(对接源_02物料!$B544)&lt;$N$2,N(对接源_02物料!$B544)&gt;$N$3),0,1))</f>
        <v>0</v>
      </c>
      <c r="P1744">
        <f>IF(AND($K1744=1,AND(对接源_02物料!$X544="公司筐",N(对接源_02物料!$T544)&lt;&gt;0)),1,0)</f>
        <v>0</v>
      </c>
      <c r="Q1744">
        <f>N(Q1743)+$P1744</f>
        <v>14</v>
      </c>
      <c r="R1744">
        <f>IF(AND($K1744=1,AND(对接源_02物料!$X544="公司筐",N(对接源_02物料!$U544)&lt;&gt;0)),1,0)</f>
        <v>0</v>
      </c>
      <c r="S1744">
        <f>N(S1743)+$R1744</f>
        <v>1</v>
      </c>
      <c r="T1744">
        <f>IF(AND($K1744=1,AND(对接源_02物料!$X544="公司筐",N(对接源_02物料!$V544)&lt;&gt;0)),1,0)</f>
        <v>0</v>
      </c>
      <c r="U1744">
        <f>N(U1743)+$T1744</f>
        <v>47</v>
      </c>
      <c r="V1744">
        <f>IF(AND($L1744=1,AND(对接源_02物料!$X544="自备筐",N(对接源_02物料!$V544)&lt;&gt;0)),1,0)</f>
        <v>0</v>
      </c>
      <c r="W1744">
        <f>N(W1743)+$V1744</f>
        <v>11</v>
      </c>
      <c r="X1744">
        <f>IF(AND($L1744=1,AND(对接源_02物料!$X544="自备筐",N(对接源_02物料!$T544)&lt;&gt;0)),1,0)</f>
        <v>0</v>
      </c>
      <c r="Y1744">
        <f>N(Y1743)+$X1744</f>
        <v>0</v>
      </c>
      <c r="Z1744">
        <f>IF(AND($M1744=1,对接源_02物料!$D544="原料入库"),1,0)</f>
        <v>0</v>
      </c>
      <c r="AA1744">
        <f>N(AA1743)+$Z1744</f>
        <v>24</v>
      </c>
      <c r="AB1744">
        <f>IF(AND($M1744=1,LEFT(对接源_02物料!$D544,4)="原料出库"),1,0)</f>
        <v>0</v>
      </c>
      <c r="AC1744">
        <f>N(AC1743)+$AB1744</f>
        <v>0</v>
      </c>
      <c r="AD1744">
        <f>IF(AND($M1744=1,LEFT(对接源_02物料!$D544,4)="成品出库"),1,0)</f>
        <v>0</v>
      </c>
      <c r="AE1744">
        <f>N(AE1743)+$AD1744</f>
        <v>0</v>
      </c>
      <c r="AF1744">
        <f>IF(AND($N1744=1,AND(LEFT(对接源_02物料!$D544,4)="包装物料",N(对接源_02物料!$K544)&lt;&gt;0)),1,0)</f>
        <v>0</v>
      </c>
      <c r="AG1744">
        <f>N(AG1743)+$AF1744</f>
        <v>10</v>
      </c>
      <c r="AH1744">
        <f>IF(AND($N1744=1,AND(对接源_02物料!$D544="周转筐－销售出库",N(对接源_02物料!$K544)&lt;&gt;0)),1,0)</f>
        <v>0</v>
      </c>
      <c r="AI1744">
        <f>N(AI1743)+$AH1744</f>
        <v>0</v>
      </c>
      <c r="AL1744" t="n">
        <v>0</v>
      </c>
      <c r="AM1744">
        <f>N(AM1743)+$AL1744</f>
        <v>2</v>
      </c>
      <c r="AN1744">
        <f>""</f>
      </c>
      <c r="AO1744" t="n">
        <v>0</v>
      </c>
      <c r="AP1744">
        <f>N(AP1743)+$AO1744</f>
        <v>13</v>
      </c>
      <c r="AR1744">
        <f>IF(OR($AF1744=1,$AH1744=1),1,0)</f>
        <v>0</v>
      </c>
      <c r="AS1744">
        <f>N(AS1743)+$AR1744</f>
        <v>10</v>
      </c>
    </row>
    <row r="1745" s="127">
      <c r="A1745">
        <f>IF(对接源_02物料!$C545="","",对接源_02物料!$C545)</f>
      </c>
      <c r="B1745">
        <f>IF(A1745="",0,IF(MATCH(A1745,$A$4:$A$2403,0)=ROW()-3,1,0))</f>
        <v>0</v>
      </c>
      <c r="C1745">
        <f>N(C1744)+B1745</f>
        <v>26</v>
      </c>
      <c r="K1745">
        <f>IF(OR($K$1="",对接源_02物料!$C545="",对接源_02物料!$C545&lt;&gt;$K$1,对接源_02物料!$B545=""),0,IF(OR(N(对接源_02物料!$B545)&lt;$K$2,N(对接源_02物料!$B545)&gt;$K$3),0,1))</f>
        <v>0</v>
      </c>
      <c r="L1745">
        <f>IF(OR($L$1="",对接源_02物料!$C545="",对接源_02物料!$C545&lt;&gt;$L$1,对接源_02物料!$B545=""),0,IF(OR(N(对接源_02物料!$B545)&lt;$L$2,N(对接源_02物料!$B545)&gt;$L$3),0,1))</f>
        <v>0</v>
      </c>
      <c r="M1745">
        <f>IF(OR($M$1="",对接源_02物料!$C545="",对接源_02物料!$C545&lt;&gt;$M$1,对接源_02物料!$B545=""),0,IF(OR(N(对接源_02物料!$B545)&lt;$M$2,N(对接源_02物料!$B545)&gt;$M$3),0,1))</f>
        <v>0</v>
      </c>
      <c r="N1745">
        <f>IF(OR($N$1="",对接源_02物料!$C545="",对接源_02物料!$C545&lt;&gt;$N$1,对接源_02物料!$B545=""),0,IF(OR(N(对接源_02物料!$B545)&lt;$N$2,N(对接源_02物料!$B545)&gt;$N$3),0,1))</f>
        <v>0</v>
      </c>
      <c r="P1745">
        <f>IF(AND($K1745=1,AND(对接源_02物料!$X545="公司筐",N(对接源_02物料!$T545)&lt;&gt;0)),1,0)</f>
        <v>0</v>
      </c>
      <c r="Q1745">
        <f>N(Q1744)+$P1745</f>
        <v>14</v>
      </c>
      <c r="R1745">
        <f>IF(AND($K1745=1,AND(对接源_02物料!$X545="公司筐",N(对接源_02物料!$U545)&lt;&gt;0)),1,0)</f>
        <v>0</v>
      </c>
      <c r="S1745">
        <f>N(S1744)+$R1745</f>
        <v>1</v>
      </c>
      <c r="T1745">
        <f>IF(AND($K1745=1,AND(对接源_02物料!$X545="公司筐",N(对接源_02物料!$V545)&lt;&gt;0)),1,0)</f>
        <v>0</v>
      </c>
      <c r="U1745">
        <f>N(U1744)+$T1745</f>
        <v>47</v>
      </c>
      <c r="V1745">
        <f>IF(AND($L1745=1,AND(对接源_02物料!$X545="自备筐",N(对接源_02物料!$V545)&lt;&gt;0)),1,0)</f>
        <v>0</v>
      </c>
      <c r="W1745">
        <f>N(W1744)+$V1745</f>
        <v>11</v>
      </c>
      <c r="X1745">
        <f>IF(AND($L1745=1,AND(对接源_02物料!$X545="自备筐",N(对接源_02物料!$T545)&lt;&gt;0)),1,0)</f>
        <v>0</v>
      </c>
      <c r="Y1745">
        <f>N(Y1744)+$X1745</f>
        <v>0</v>
      </c>
      <c r="Z1745">
        <f>IF(AND($M1745=1,对接源_02物料!$D545="原料入库"),1,0)</f>
        <v>0</v>
      </c>
      <c r="AA1745">
        <f>N(AA1744)+$Z1745</f>
        <v>24</v>
      </c>
      <c r="AB1745">
        <f>IF(AND($M1745=1,LEFT(对接源_02物料!$D545,4)="原料出库"),1,0)</f>
        <v>0</v>
      </c>
      <c r="AC1745">
        <f>N(AC1744)+$AB1745</f>
        <v>0</v>
      </c>
      <c r="AD1745">
        <f>IF(AND($M1745=1,LEFT(对接源_02物料!$D545,4)="成品出库"),1,0)</f>
        <v>0</v>
      </c>
      <c r="AE1745">
        <f>N(AE1744)+$AD1745</f>
        <v>0</v>
      </c>
      <c r="AF1745">
        <f>IF(AND($N1745=1,AND(LEFT(对接源_02物料!$D545,4)="包装物料",N(对接源_02物料!$K545)&lt;&gt;0)),1,0)</f>
        <v>0</v>
      </c>
      <c r="AG1745">
        <f>N(AG1744)+$AF1745</f>
        <v>10</v>
      </c>
      <c r="AH1745">
        <f>IF(AND($N1745=1,AND(对接源_02物料!$D545="周转筐－销售出库",N(对接源_02物料!$K545)&lt;&gt;0)),1,0)</f>
        <v>0</v>
      </c>
      <c r="AI1745">
        <f>N(AI1744)+$AH1745</f>
        <v>0</v>
      </c>
      <c r="AL1745" t="n">
        <v>0</v>
      </c>
      <c r="AM1745">
        <f>N(AM1744)+$AL1745</f>
        <v>2</v>
      </c>
      <c r="AN1745">
        <f>""</f>
      </c>
      <c r="AO1745" t="n">
        <v>0</v>
      </c>
      <c r="AP1745">
        <f>N(AP1744)+$AO1745</f>
        <v>13</v>
      </c>
      <c r="AR1745">
        <f>IF(OR($AF1745=1,$AH1745=1),1,0)</f>
        <v>0</v>
      </c>
      <c r="AS1745">
        <f>N(AS1744)+$AR1745</f>
        <v>10</v>
      </c>
    </row>
    <row r="1746" s="127">
      <c r="A1746">
        <f>IF(对接源_02物料!$C546="","",对接源_02物料!$C546)</f>
      </c>
      <c r="B1746">
        <f>IF(A1746="",0,IF(MATCH(A1746,$A$4:$A$2403,0)=ROW()-3,1,0))</f>
        <v>0</v>
      </c>
      <c r="C1746">
        <f>N(C1745)+B1746</f>
        <v>26</v>
      </c>
      <c r="K1746">
        <f>IF(OR($K$1="",对接源_02物料!$C546="",对接源_02物料!$C546&lt;&gt;$K$1,对接源_02物料!$B546=""),0,IF(OR(N(对接源_02物料!$B546)&lt;$K$2,N(对接源_02物料!$B546)&gt;$K$3),0,1))</f>
        <v>0</v>
      </c>
      <c r="L1746">
        <f>IF(OR($L$1="",对接源_02物料!$C546="",对接源_02物料!$C546&lt;&gt;$L$1,对接源_02物料!$B546=""),0,IF(OR(N(对接源_02物料!$B546)&lt;$L$2,N(对接源_02物料!$B546)&gt;$L$3),0,1))</f>
        <v>0</v>
      </c>
      <c r="M1746">
        <f>IF(OR($M$1="",对接源_02物料!$C546="",对接源_02物料!$C546&lt;&gt;$M$1,对接源_02物料!$B546=""),0,IF(OR(N(对接源_02物料!$B546)&lt;$M$2,N(对接源_02物料!$B546)&gt;$M$3),0,1))</f>
        <v>0</v>
      </c>
      <c r="N1746">
        <f>IF(OR($N$1="",对接源_02物料!$C546="",对接源_02物料!$C546&lt;&gt;$N$1,对接源_02物料!$B546=""),0,IF(OR(N(对接源_02物料!$B546)&lt;$N$2,N(对接源_02物料!$B546)&gt;$N$3),0,1))</f>
        <v>0</v>
      </c>
      <c r="P1746">
        <f>IF(AND($K1746=1,AND(对接源_02物料!$X546="公司筐",N(对接源_02物料!$T546)&lt;&gt;0)),1,0)</f>
        <v>0</v>
      </c>
      <c r="Q1746">
        <f>N(Q1745)+$P1746</f>
        <v>14</v>
      </c>
      <c r="R1746">
        <f>IF(AND($K1746=1,AND(对接源_02物料!$X546="公司筐",N(对接源_02物料!$U546)&lt;&gt;0)),1,0)</f>
        <v>0</v>
      </c>
      <c r="S1746">
        <f>N(S1745)+$R1746</f>
        <v>1</v>
      </c>
      <c r="T1746">
        <f>IF(AND($K1746=1,AND(对接源_02物料!$X546="公司筐",N(对接源_02物料!$V546)&lt;&gt;0)),1,0)</f>
        <v>0</v>
      </c>
      <c r="U1746">
        <f>N(U1745)+$T1746</f>
        <v>47</v>
      </c>
      <c r="V1746">
        <f>IF(AND($L1746=1,AND(对接源_02物料!$X546="自备筐",N(对接源_02物料!$V546)&lt;&gt;0)),1,0)</f>
        <v>0</v>
      </c>
      <c r="W1746">
        <f>N(W1745)+$V1746</f>
        <v>11</v>
      </c>
      <c r="X1746">
        <f>IF(AND($L1746=1,AND(对接源_02物料!$X546="自备筐",N(对接源_02物料!$T546)&lt;&gt;0)),1,0)</f>
        <v>0</v>
      </c>
      <c r="Y1746">
        <f>N(Y1745)+$X1746</f>
        <v>0</v>
      </c>
      <c r="Z1746">
        <f>IF(AND($M1746=1,对接源_02物料!$D546="原料入库"),1,0)</f>
        <v>0</v>
      </c>
      <c r="AA1746">
        <f>N(AA1745)+$Z1746</f>
        <v>24</v>
      </c>
      <c r="AB1746">
        <f>IF(AND($M1746=1,LEFT(对接源_02物料!$D546,4)="原料出库"),1,0)</f>
        <v>0</v>
      </c>
      <c r="AC1746">
        <f>N(AC1745)+$AB1746</f>
        <v>0</v>
      </c>
      <c r="AD1746">
        <f>IF(AND($M1746=1,LEFT(对接源_02物料!$D546,4)="成品出库"),1,0)</f>
        <v>0</v>
      </c>
      <c r="AE1746">
        <f>N(AE1745)+$AD1746</f>
        <v>0</v>
      </c>
      <c r="AF1746">
        <f>IF(AND($N1746=1,AND(LEFT(对接源_02物料!$D546,4)="包装物料",N(对接源_02物料!$K546)&lt;&gt;0)),1,0)</f>
        <v>0</v>
      </c>
      <c r="AG1746">
        <f>N(AG1745)+$AF1746</f>
        <v>10</v>
      </c>
      <c r="AH1746">
        <f>IF(AND($N1746=1,AND(对接源_02物料!$D546="周转筐－销售出库",N(对接源_02物料!$K546)&lt;&gt;0)),1,0)</f>
        <v>0</v>
      </c>
      <c r="AI1746">
        <f>N(AI1745)+$AH1746</f>
        <v>0</v>
      </c>
      <c r="AL1746" t="n">
        <v>0</v>
      </c>
      <c r="AM1746">
        <f>N(AM1745)+$AL1746</f>
        <v>2</v>
      </c>
      <c r="AN1746">
        <f>""</f>
      </c>
      <c r="AO1746" t="n">
        <v>0</v>
      </c>
      <c r="AP1746">
        <f>N(AP1745)+$AO1746</f>
        <v>13</v>
      </c>
      <c r="AR1746">
        <f>IF(OR($AF1746=1,$AH1746=1),1,0)</f>
        <v>0</v>
      </c>
      <c r="AS1746">
        <f>N(AS1745)+$AR1746</f>
        <v>10</v>
      </c>
    </row>
    <row r="1747" s="127">
      <c r="A1747">
        <f>IF(对接源_02物料!$C547="","",对接源_02物料!$C547)</f>
      </c>
      <c r="B1747">
        <f>IF(A1747="",0,IF(MATCH(A1747,$A$4:$A$2403,0)=ROW()-3,1,0))</f>
        <v>0</v>
      </c>
      <c r="C1747">
        <f>N(C1746)+B1747</f>
        <v>26</v>
      </c>
      <c r="K1747">
        <f>IF(OR($K$1="",对接源_02物料!$C547="",对接源_02物料!$C547&lt;&gt;$K$1,对接源_02物料!$B547=""),0,IF(OR(N(对接源_02物料!$B547)&lt;$K$2,N(对接源_02物料!$B547)&gt;$K$3),0,1))</f>
        <v>0</v>
      </c>
      <c r="L1747">
        <f>IF(OR($L$1="",对接源_02物料!$C547="",对接源_02物料!$C547&lt;&gt;$L$1,对接源_02物料!$B547=""),0,IF(OR(N(对接源_02物料!$B547)&lt;$L$2,N(对接源_02物料!$B547)&gt;$L$3),0,1))</f>
        <v>0</v>
      </c>
      <c r="M1747">
        <f>IF(OR($M$1="",对接源_02物料!$C547="",对接源_02物料!$C547&lt;&gt;$M$1,对接源_02物料!$B547=""),0,IF(OR(N(对接源_02物料!$B547)&lt;$M$2,N(对接源_02物料!$B547)&gt;$M$3),0,1))</f>
        <v>0</v>
      </c>
      <c r="N1747">
        <f>IF(OR($N$1="",对接源_02物料!$C547="",对接源_02物料!$C547&lt;&gt;$N$1,对接源_02物料!$B547=""),0,IF(OR(N(对接源_02物料!$B547)&lt;$N$2,N(对接源_02物料!$B547)&gt;$N$3),0,1))</f>
        <v>0</v>
      </c>
      <c r="P1747">
        <f>IF(AND($K1747=1,AND(对接源_02物料!$X547="公司筐",N(对接源_02物料!$T547)&lt;&gt;0)),1,0)</f>
        <v>0</v>
      </c>
      <c r="Q1747">
        <f>N(Q1746)+$P1747</f>
        <v>14</v>
      </c>
      <c r="R1747">
        <f>IF(AND($K1747=1,AND(对接源_02物料!$X547="公司筐",N(对接源_02物料!$U547)&lt;&gt;0)),1,0)</f>
        <v>0</v>
      </c>
      <c r="S1747">
        <f>N(S1746)+$R1747</f>
        <v>1</v>
      </c>
      <c r="T1747">
        <f>IF(AND($K1747=1,AND(对接源_02物料!$X547="公司筐",N(对接源_02物料!$V547)&lt;&gt;0)),1,0)</f>
        <v>0</v>
      </c>
      <c r="U1747">
        <f>N(U1746)+$T1747</f>
        <v>47</v>
      </c>
      <c r="V1747">
        <f>IF(AND($L1747=1,AND(对接源_02物料!$X547="自备筐",N(对接源_02物料!$V547)&lt;&gt;0)),1,0)</f>
        <v>0</v>
      </c>
      <c r="W1747">
        <f>N(W1746)+$V1747</f>
        <v>11</v>
      </c>
      <c r="X1747">
        <f>IF(AND($L1747=1,AND(对接源_02物料!$X547="自备筐",N(对接源_02物料!$T547)&lt;&gt;0)),1,0)</f>
        <v>0</v>
      </c>
      <c r="Y1747">
        <f>N(Y1746)+$X1747</f>
        <v>0</v>
      </c>
      <c r="Z1747">
        <f>IF(AND($M1747=1,对接源_02物料!$D547="原料入库"),1,0)</f>
        <v>0</v>
      </c>
      <c r="AA1747">
        <f>N(AA1746)+$Z1747</f>
        <v>24</v>
      </c>
      <c r="AB1747">
        <f>IF(AND($M1747=1,LEFT(对接源_02物料!$D547,4)="原料出库"),1,0)</f>
        <v>0</v>
      </c>
      <c r="AC1747">
        <f>N(AC1746)+$AB1747</f>
        <v>0</v>
      </c>
      <c r="AD1747">
        <f>IF(AND($M1747=1,LEFT(对接源_02物料!$D547,4)="成品出库"),1,0)</f>
        <v>0</v>
      </c>
      <c r="AE1747">
        <f>N(AE1746)+$AD1747</f>
        <v>0</v>
      </c>
      <c r="AF1747">
        <f>IF(AND($N1747=1,AND(LEFT(对接源_02物料!$D547,4)="包装物料",N(对接源_02物料!$K547)&lt;&gt;0)),1,0)</f>
        <v>0</v>
      </c>
      <c r="AG1747">
        <f>N(AG1746)+$AF1747</f>
        <v>10</v>
      </c>
      <c r="AH1747">
        <f>IF(AND($N1747=1,AND(对接源_02物料!$D547="周转筐－销售出库",N(对接源_02物料!$K547)&lt;&gt;0)),1,0)</f>
        <v>0</v>
      </c>
      <c r="AI1747">
        <f>N(AI1746)+$AH1747</f>
        <v>0</v>
      </c>
      <c r="AL1747" t="n">
        <v>0</v>
      </c>
      <c r="AM1747">
        <f>N(AM1746)+$AL1747</f>
        <v>2</v>
      </c>
      <c r="AN1747">
        <f>""</f>
      </c>
      <c r="AO1747" t="n">
        <v>0</v>
      </c>
      <c r="AP1747">
        <f>N(AP1746)+$AO1747</f>
        <v>13</v>
      </c>
      <c r="AR1747">
        <f>IF(OR($AF1747=1,$AH1747=1),1,0)</f>
        <v>0</v>
      </c>
      <c r="AS1747">
        <f>N(AS1746)+$AR1747</f>
        <v>10</v>
      </c>
    </row>
    <row r="1748" s="127">
      <c r="A1748">
        <f>IF(对接源_02物料!$C548="","",对接源_02物料!$C548)</f>
      </c>
      <c r="B1748">
        <f>IF(A1748="",0,IF(MATCH(A1748,$A$4:$A$2403,0)=ROW()-3,1,0))</f>
        <v>0</v>
      </c>
      <c r="C1748">
        <f>N(C1747)+B1748</f>
        <v>26</v>
      </c>
      <c r="K1748">
        <f>IF(OR($K$1="",对接源_02物料!$C548="",对接源_02物料!$C548&lt;&gt;$K$1,对接源_02物料!$B548=""),0,IF(OR(N(对接源_02物料!$B548)&lt;$K$2,N(对接源_02物料!$B548)&gt;$K$3),0,1))</f>
        <v>0</v>
      </c>
      <c r="L1748">
        <f>IF(OR($L$1="",对接源_02物料!$C548="",对接源_02物料!$C548&lt;&gt;$L$1,对接源_02物料!$B548=""),0,IF(OR(N(对接源_02物料!$B548)&lt;$L$2,N(对接源_02物料!$B548)&gt;$L$3),0,1))</f>
        <v>0</v>
      </c>
      <c r="M1748">
        <f>IF(OR($M$1="",对接源_02物料!$C548="",对接源_02物料!$C548&lt;&gt;$M$1,对接源_02物料!$B548=""),0,IF(OR(N(对接源_02物料!$B548)&lt;$M$2,N(对接源_02物料!$B548)&gt;$M$3),0,1))</f>
        <v>0</v>
      </c>
      <c r="N1748">
        <f>IF(OR($N$1="",对接源_02物料!$C548="",对接源_02物料!$C548&lt;&gt;$N$1,对接源_02物料!$B548=""),0,IF(OR(N(对接源_02物料!$B548)&lt;$N$2,N(对接源_02物料!$B548)&gt;$N$3),0,1))</f>
        <v>0</v>
      </c>
      <c r="P1748">
        <f>IF(AND($K1748=1,AND(对接源_02物料!$X548="公司筐",N(对接源_02物料!$T548)&lt;&gt;0)),1,0)</f>
        <v>0</v>
      </c>
      <c r="Q1748">
        <f>N(Q1747)+$P1748</f>
        <v>14</v>
      </c>
      <c r="R1748">
        <f>IF(AND($K1748=1,AND(对接源_02物料!$X548="公司筐",N(对接源_02物料!$U548)&lt;&gt;0)),1,0)</f>
        <v>0</v>
      </c>
      <c r="S1748">
        <f>N(S1747)+$R1748</f>
        <v>1</v>
      </c>
      <c r="T1748">
        <f>IF(AND($K1748=1,AND(对接源_02物料!$X548="公司筐",N(对接源_02物料!$V548)&lt;&gt;0)),1,0)</f>
        <v>0</v>
      </c>
      <c r="U1748">
        <f>N(U1747)+$T1748</f>
        <v>47</v>
      </c>
      <c r="V1748">
        <f>IF(AND($L1748=1,AND(对接源_02物料!$X548="自备筐",N(对接源_02物料!$V548)&lt;&gt;0)),1,0)</f>
        <v>0</v>
      </c>
      <c r="W1748">
        <f>N(W1747)+$V1748</f>
        <v>11</v>
      </c>
      <c r="X1748">
        <f>IF(AND($L1748=1,AND(对接源_02物料!$X548="自备筐",N(对接源_02物料!$T548)&lt;&gt;0)),1,0)</f>
        <v>0</v>
      </c>
      <c r="Y1748">
        <f>N(Y1747)+$X1748</f>
        <v>0</v>
      </c>
      <c r="Z1748">
        <f>IF(AND($M1748=1,对接源_02物料!$D548="原料入库"),1,0)</f>
        <v>0</v>
      </c>
      <c r="AA1748">
        <f>N(AA1747)+$Z1748</f>
        <v>24</v>
      </c>
      <c r="AB1748">
        <f>IF(AND($M1748=1,LEFT(对接源_02物料!$D548,4)="原料出库"),1,0)</f>
        <v>0</v>
      </c>
      <c r="AC1748">
        <f>N(AC1747)+$AB1748</f>
        <v>0</v>
      </c>
      <c r="AD1748">
        <f>IF(AND($M1748=1,LEFT(对接源_02物料!$D548,4)="成品出库"),1,0)</f>
        <v>0</v>
      </c>
      <c r="AE1748">
        <f>N(AE1747)+$AD1748</f>
        <v>0</v>
      </c>
      <c r="AF1748">
        <f>IF(AND($N1748=1,AND(LEFT(对接源_02物料!$D548,4)="包装物料",N(对接源_02物料!$K548)&lt;&gt;0)),1,0)</f>
        <v>0</v>
      </c>
      <c r="AG1748">
        <f>N(AG1747)+$AF1748</f>
        <v>10</v>
      </c>
      <c r="AH1748">
        <f>IF(AND($N1748=1,AND(对接源_02物料!$D548="周转筐－销售出库",N(对接源_02物料!$K548)&lt;&gt;0)),1,0)</f>
        <v>0</v>
      </c>
      <c r="AI1748">
        <f>N(AI1747)+$AH1748</f>
        <v>0</v>
      </c>
      <c r="AL1748" t="n">
        <v>0</v>
      </c>
      <c r="AM1748">
        <f>N(AM1747)+$AL1748</f>
        <v>2</v>
      </c>
      <c r="AN1748">
        <f>""</f>
      </c>
      <c r="AO1748" t="n">
        <v>0</v>
      </c>
      <c r="AP1748">
        <f>N(AP1747)+$AO1748</f>
        <v>13</v>
      </c>
      <c r="AR1748">
        <f>IF(OR($AF1748=1,$AH1748=1),1,0)</f>
        <v>0</v>
      </c>
      <c r="AS1748">
        <f>N(AS1747)+$AR1748</f>
        <v>10</v>
      </c>
    </row>
    <row r="1749" s="127">
      <c r="A1749">
        <f>IF(对接源_02物料!$C549="","",对接源_02物料!$C549)</f>
      </c>
      <c r="B1749">
        <f>IF(A1749="",0,IF(MATCH(A1749,$A$4:$A$2403,0)=ROW()-3,1,0))</f>
        <v>0</v>
      </c>
      <c r="C1749">
        <f>N(C1748)+B1749</f>
        <v>26</v>
      </c>
      <c r="K1749">
        <f>IF(OR($K$1="",对接源_02物料!$C549="",对接源_02物料!$C549&lt;&gt;$K$1,对接源_02物料!$B549=""),0,IF(OR(N(对接源_02物料!$B549)&lt;$K$2,N(对接源_02物料!$B549)&gt;$K$3),0,1))</f>
        <v>0</v>
      </c>
      <c r="L1749">
        <f>IF(OR($L$1="",对接源_02物料!$C549="",对接源_02物料!$C549&lt;&gt;$L$1,对接源_02物料!$B549=""),0,IF(OR(N(对接源_02物料!$B549)&lt;$L$2,N(对接源_02物料!$B549)&gt;$L$3),0,1))</f>
        <v>0</v>
      </c>
      <c r="M1749">
        <f>IF(OR($M$1="",对接源_02物料!$C549="",对接源_02物料!$C549&lt;&gt;$M$1,对接源_02物料!$B549=""),0,IF(OR(N(对接源_02物料!$B549)&lt;$M$2,N(对接源_02物料!$B549)&gt;$M$3),0,1))</f>
        <v>0</v>
      </c>
      <c r="N1749">
        <f>IF(OR($N$1="",对接源_02物料!$C549="",对接源_02物料!$C549&lt;&gt;$N$1,对接源_02物料!$B549=""),0,IF(OR(N(对接源_02物料!$B549)&lt;$N$2,N(对接源_02物料!$B549)&gt;$N$3),0,1))</f>
        <v>0</v>
      </c>
      <c r="P1749">
        <f>IF(AND($K1749=1,AND(对接源_02物料!$X549="公司筐",N(对接源_02物料!$T549)&lt;&gt;0)),1,0)</f>
        <v>0</v>
      </c>
      <c r="Q1749">
        <f>N(Q1748)+$P1749</f>
        <v>14</v>
      </c>
      <c r="R1749">
        <f>IF(AND($K1749=1,AND(对接源_02物料!$X549="公司筐",N(对接源_02物料!$U549)&lt;&gt;0)),1,0)</f>
        <v>0</v>
      </c>
      <c r="S1749">
        <f>N(S1748)+$R1749</f>
        <v>1</v>
      </c>
      <c r="T1749">
        <f>IF(AND($K1749=1,AND(对接源_02物料!$X549="公司筐",N(对接源_02物料!$V549)&lt;&gt;0)),1,0)</f>
        <v>0</v>
      </c>
      <c r="U1749">
        <f>N(U1748)+$T1749</f>
        <v>47</v>
      </c>
      <c r="V1749">
        <f>IF(AND($L1749=1,AND(对接源_02物料!$X549="自备筐",N(对接源_02物料!$V549)&lt;&gt;0)),1,0)</f>
        <v>0</v>
      </c>
      <c r="W1749">
        <f>N(W1748)+$V1749</f>
        <v>11</v>
      </c>
      <c r="X1749">
        <f>IF(AND($L1749=1,AND(对接源_02物料!$X549="自备筐",N(对接源_02物料!$T549)&lt;&gt;0)),1,0)</f>
        <v>0</v>
      </c>
      <c r="Y1749">
        <f>N(Y1748)+$X1749</f>
        <v>0</v>
      </c>
      <c r="Z1749">
        <f>IF(AND($M1749=1,对接源_02物料!$D549="原料入库"),1,0)</f>
        <v>0</v>
      </c>
      <c r="AA1749">
        <f>N(AA1748)+$Z1749</f>
        <v>24</v>
      </c>
      <c r="AB1749">
        <f>IF(AND($M1749=1,LEFT(对接源_02物料!$D549,4)="原料出库"),1,0)</f>
        <v>0</v>
      </c>
      <c r="AC1749">
        <f>N(AC1748)+$AB1749</f>
        <v>0</v>
      </c>
      <c r="AD1749">
        <f>IF(AND($M1749=1,LEFT(对接源_02物料!$D549,4)="成品出库"),1,0)</f>
        <v>0</v>
      </c>
      <c r="AE1749">
        <f>N(AE1748)+$AD1749</f>
        <v>0</v>
      </c>
      <c r="AF1749">
        <f>IF(AND($N1749=1,AND(LEFT(对接源_02物料!$D549,4)="包装物料",N(对接源_02物料!$K549)&lt;&gt;0)),1,0)</f>
        <v>0</v>
      </c>
      <c r="AG1749">
        <f>N(AG1748)+$AF1749</f>
        <v>10</v>
      </c>
      <c r="AH1749">
        <f>IF(AND($N1749=1,AND(对接源_02物料!$D549="周转筐－销售出库",N(对接源_02物料!$K549)&lt;&gt;0)),1,0)</f>
        <v>0</v>
      </c>
      <c r="AI1749">
        <f>N(AI1748)+$AH1749</f>
        <v>0</v>
      </c>
      <c r="AL1749" t="n">
        <v>0</v>
      </c>
      <c r="AM1749">
        <f>N(AM1748)+$AL1749</f>
        <v>2</v>
      </c>
      <c r="AN1749">
        <f>""</f>
      </c>
      <c r="AO1749" t="n">
        <v>0</v>
      </c>
      <c r="AP1749">
        <f>N(AP1748)+$AO1749</f>
        <v>13</v>
      </c>
      <c r="AR1749">
        <f>IF(OR($AF1749=1,$AH1749=1),1,0)</f>
        <v>0</v>
      </c>
      <c r="AS1749">
        <f>N(AS1748)+$AR1749</f>
        <v>10</v>
      </c>
    </row>
    <row r="1750" s="127">
      <c r="A1750">
        <f>IF(对接源_02物料!$C550="","",对接源_02物料!$C550)</f>
      </c>
      <c r="B1750">
        <f>IF(A1750="",0,IF(MATCH(A1750,$A$4:$A$2403,0)=ROW()-3,1,0))</f>
        <v>0</v>
      </c>
      <c r="C1750">
        <f>N(C1749)+B1750</f>
        <v>26</v>
      </c>
      <c r="K1750">
        <f>IF(OR($K$1="",对接源_02物料!$C550="",对接源_02物料!$C550&lt;&gt;$K$1,对接源_02物料!$B550=""),0,IF(OR(N(对接源_02物料!$B550)&lt;$K$2,N(对接源_02物料!$B550)&gt;$K$3),0,1))</f>
        <v>0</v>
      </c>
      <c r="L1750">
        <f>IF(OR($L$1="",对接源_02物料!$C550="",对接源_02物料!$C550&lt;&gt;$L$1,对接源_02物料!$B550=""),0,IF(OR(N(对接源_02物料!$B550)&lt;$L$2,N(对接源_02物料!$B550)&gt;$L$3),0,1))</f>
        <v>0</v>
      </c>
      <c r="M1750">
        <f>IF(OR($M$1="",对接源_02物料!$C550="",对接源_02物料!$C550&lt;&gt;$M$1,对接源_02物料!$B550=""),0,IF(OR(N(对接源_02物料!$B550)&lt;$M$2,N(对接源_02物料!$B550)&gt;$M$3),0,1))</f>
        <v>0</v>
      </c>
      <c r="N1750">
        <f>IF(OR($N$1="",对接源_02物料!$C550="",对接源_02物料!$C550&lt;&gt;$N$1,对接源_02物料!$B550=""),0,IF(OR(N(对接源_02物料!$B550)&lt;$N$2,N(对接源_02物料!$B550)&gt;$N$3),0,1))</f>
        <v>0</v>
      </c>
      <c r="P1750">
        <f>IF(AND($K1750=1,AND(对接源_02物料!$X550="公司筐",N(对接源_02物料!$T550)&lt;&gt;0)),1,0)</f>
        <v>0</v>
      </c>
      <c r="Q1750">
        <f>N(Q1749)+$P1750</f>
        <v>14</v>
      </c>
      <c r="R1750">
        <f>IF(AND($K1750=1,AND(对接源_02物料!$X550="公司筐",N(对接源_02物料!$U550)&lt;&gt;0)),1,0)</f>
        <v>0</v>
      </c>
      <c r="S1750">
        <f>N(S1749)+$R1750</f>
        <v>1</v>
      </c>
      <c r="T1750">
        <f>IF(AND($K1750=1,AND(对接源_02物料!$X550="公司筐",N(对接源_02物料!$V550)&lt;&gt;0)),1,0)</f>
        <v>0</v>
      </c>
      <c r="U1750">
        <f>N(U1749)+$T1750</f>
        <v>47</v>
      </c>
      <c r="V1750">
        <f>IF(AND($L1750=1,AND(对接源_02物料!$X550="自备筐",N(对接源_02物料!$V550)&lt;&gt;0)),1,0)</f>
        <v>0</v>
      </c>
      <c r="W1750">
        <f>N(W1749)+$V1750</f>
        <v>11</v>
      </c>
      <c r="X1750">
        <f>IF(AND($L1750=1,AND(对接源_02物料!$X550="自备筐",N(对接源_02物料!$T550)&lt;&gt;0)),1,0)</f>
        <v>0</v>
      </c>
      <c r="Y1750">
        <f>N(Y1749)+$X1750</f>
        <v>0</v>
      </c>
      <c r="Z1750">
        <f>IF(AND($M1750=1,对接源_02物料!$D550="原料入库"),1,0)</f>
        <v>0</v>
      </c>
      <c r="AA1750">
        <f>N(AA1749)+$Z1750</f>
        <v>24</v>
      </c>
      <c r="AB1750">
        <f>IF(AND($M1750=1,LEFT(对接源_02物料!$D550,4)="原料出库"),1,0)</f>
        <v>0</v>
      </c>
      <c r="AC1750">
        <f>N(AC1749)+$AB1750</f>
        <v>0</v>
      </c>
      <c r="AD1750">
        <f>IF(AND($M1750=1,LEFT(对接源_02物料!$D550,4)="成品出库"),1,0)</f>
        <v>0</v>
      </c>
      <c r="AE1750">
        <f>N(AE1749)+$AD1750</f>
        <v>0</v>
      </c>
      <c r="AF1750">
        <f>IF(AND($N1750=1,AND(LEFT(对接源_02物料!$D550,4)="包装物料",N(对接源_02物料!$K550)&lt;&gt;0)),1,0)</f>
        <v>0</v>
      </c>
      <c r="AG1750">
        <f>N(AG1749)+$AF1750</f>
        <v>10</v>
      </c>
      <c r="AH1750">
        <f>IF(AND($N1750=1,AND(对接源_02物料!$D550="周转筐－销售出库",N(对接源_02物料!$K550)&lt;&gt;0)),1,0)</f>
        <v>0</v>
      </c>
      <c r="AI1750">
        <f>N(AI1749)+$AH1750</f>
        <v>0</v>
      </c>
      <c r="AL1750" t="n">
        <v>0</v>
      </c>
      <c r="AM1750">
        <f>N(AM1749)+$AL1750</f>
        <v>2</v>
      </c>
      <c r="AN1750">
        <f>""</f>
      </c>
      <c r="AO1750" t="n">
        <v>0</v>
      </c>
      <c r="AP1750">
        <f>N(AP1749)+$AO1750</f>
        <v>13</v>
      </c>
      <c r="AR1750">
        <f>IF(OR($AF1750=1,$AH1750=1),1,0)</f>
        <v>0</v>
      </c>
      <c r="AS1750">
        <f>N(AS1749)+$AR1750</f>
        <v>10</v>
      </c>
    </row>
    <row r="1751" s="127">
      <c r="A1751">
        <f>IF(对接源_02物料!$C551="","",对接源_02物料!$C551)</f>
      </c>
      <c r="B1751">
        <f>IF(A1751="",0,IF(MATCH(A1751,$A$4:$A$2403,0)=ROW()-3,1,0))</f>
        <v>0</v>
      </c>
      <c r="C1751">
        <f>N(C1750)+B1751</f>
        <v>26</v>
      </c>
      <c r="K1751">
        <f>IF(OR($K$1="",对接源_02物料!$C551="",对接源_02物料!$C551&lt;&gt;$K$1,对接源_02物料!$B551=""),0,IF(OR(N(对接源_02物料!$B551)&lt;$K$2,N(对接源_02物料!$B551)&gt;$K$3),0,1))</f>
        <v>0</v>
      </c>
      <c r="L1751">
        <f>IF(OR($L$1="",对接源_02物料!$C551="",对接源_02物料!$C551&lt;&gt;$L$1,对接源_02物料!$B551=""),0,IF(OR(N(对接源_02物料!$B551)&lt;$L$2,N(对接源_02物料!$B551)&gt;$L$3),0,1))</f>
        <v>0</v>
      </c>
      <c r="M1751">
        <f>IF(OR($M$1="",对接源_02物料!$C551="",对接源_02物料!$C551&lt;&gt;$M$1,对接源_02物料!$B551=""),0,IF(OR(N(对接源_02物料!$B551)&lt;$M$2,N(对接源_02物料!$B551)&gt;$M$3),0,1))</f>
        <v>0</v>
      </c>
      <c r="N1751">
        <f>IF(OR($N$1="",对接源_02物料!$C551="",对接源_02物料!$C551&lt;&gt;$N$1,对接源_02物料!$B551=""),0,IF(OR(N(对接源_02物料!$B551)&lt;$N$2,N(对接源_02物料!$B551)&gt;$N$3),0,1))</f>
        <v>0</v>
      </c>
      <c r="P1751">
        <f>IF(AND($K1751=1,AND(对接源_02物料!$X551="公司筐",N(对接源_02物料!$T551)&lt;&gt;0)),1,0)</f>
        <v>0</v>
      </c>
      <c r="Q1751">
        <f>N(Q1750)+$P1751</f>
        <v>14</v>
      </c>
      <c r="R1751">
        <f>IF(AND($K1751=1,AND(对接源_02物料!$X551="公司筐",N(对接源_02物料!$U551)&lt;&gt;0)),1,0)</f>
        <v>0</v>
      </c>
      <c r="S1751">
        <f>N(S1750)+$R1751</f>
        <v>1</v>
      </c>
      <c r="T1751">
        <f>IF(AND($K1751=1,AND(对接源_02物料!$X551="公司筐",N(对接源_02物料!$V551)&lt;&gt;0)),1,0)</f>
        <v>0</v>
      </c>
      <c r="U1751">
        <f>N(U1750)+$T1751</f>
        <v>47</v>
      </c>
      <c r="V1751">
        <f>IF(AND($L1751=1,AND(对接源_02物料!$X551="自备筐",N(对接源_02物料!$V551)&lt;&gt;0)),1,0)</f>
        <v>0</v>
      </c>
      <c r="W1751">
        <f>N(W1750)+$V1751</f>
        <v>11</v>
      </c>
      <c r="X1751">
        <f>IF(AND($L1751=1,AND(对接源_02物料!$X551="自备筐",N(对接源_02物料!$T551)&lt;&gt;0)),1,0)</f>
        <v>0</v>
      </c>
      <c r="Y1751">
        <f>N(Y1750)+$X1751</f>
        <v>0</v>
      </c>
      <c r="Z1751">
        <f>IF(AND($M1751=1,对接源_02物料!$D551="原料入库"),1,0)</f>
        <v>0</v>
      </c>
      <c r="AA1751">
        <f>N(AA1750)+$Z1751</f>
        <v>24</v>
      </c>
      <c r="AB1751">
        <f>IF(AND($M1751=1,LEFT(对接源_02物料!$D551,4)="原料出库"),1,0)</f>
        <v>0</v>
      </c>
      <c r="AC1751">
        <f>N(AC1750)+$AB1751</f>
        <v>0</v>
      </c>
      <c r="AD1751">
        <f>IF(AND($M1751=1,LEFT(对接源_02物料!$D551,4)="成品出库"),1,0)</f>
        <v>0</v>
      </c>
      <c r="AE1751">
        <f>N(AE1750)+$AD1751</f>
        <v>0</v>
      </c>
      <c r="AF1751">
        <f>IF(AND($N1751=1,AND(LEFT(对接源_02物料!$D551,4)="包装物料",N(对接源_02物料!$K551)&lt;&gt;0)),1,0)</f>
        <v>0</v>
      </c>
      <c r="AG1751">
        <f>N(AG1750)+$AF1751</f>
        <v>10</v>
      </c>
      <c r="AH1751">
        <f>IF(AND($N1751=1,AND(对接源_02物料!$D551="周转筐－销售出库",N(对接源_02物料!$K551)&lt;&gt;0)),1,0)</f>
        <v>0</v>
      </c>
      <c r="AI1751">
        <f>N(AI1750)+$AH1751</f>
        <v>0</v>
      </c>
      <c r="AL1751" t="n">
        <v>0</v>
      </c>
      <c r="AM1751">
        <f>N(AM1750)+$AL1751</f>
        <v>2</v>
      </c>
      <c r="AN1751">
        <f>""</f>
      </c>
      <c r="AO1751" t="n">
        <v>0</v>
      </c>
      <c r="AP1751">
        <f>N(AP1750)+$AO1751</f>
        <v>13</v>
      </c>
      <c r="AR1751">
        <f>IF(OR($AF1751=1,$AH1751=1),1,0)</f>
        <v>0</v>
      </c>
      <c r="AS1751">
        <f>N(AS1750)+$AR1751</f>
        <v>10</v>
      </c>
    </row>
    <row r="1752" s="127">
      <c r="A1752">
        <f>IF(对接源_02物料!$C552="","",对接源_02物料!$C552)</f>
      </c>
      <c r="B1752">
        <f>IF(A1752="",0,IF(MATCH(A1752,$A$4:$A$2403,0)=ROW()-3,1,0))</f>
        <v>0</v>
      </c>
      <c r="C1752">
        <f>N(C1751)+B1752</f>
        <v>26</v>
      </c>
      <c r="K1752">
        <f>IF(OR($K$1="",对接源_02物料!$C552="",对接源_02物料!$C552&lt;&gt;$K$1,对接源_02物料!$B552=""),0,IF(OR(N(对接源_02物料!$B552)&lt;$K$2,N(对接源_02物料!$B552)&gt;$K$3),0,1))</f>
        <v>0</v>
      </c>
      <c r="L1752">
        <f>IF(OR($L$1="",对接源_02物料!$C552="",对接源_02物料!$C552&lt;&gt;$L$1,对接源_02物料!$B552=""),0,IF(OR(N(对接源_02物料!$B552)&lt;$L$2,N(对接源_02物料!$B552)&gt;$L$3),0,1))</f>
        <v>0</v>
      </c>
      <c r="M1752">
        <f>IF(OR($M$1="",对接源_02物料!$C552="",对接源_02物料!$C552&lt;&gt;$M$1,对接源_02物料!$B552=""),0,IF(OR(N(对接源_02物料!$B552)&lt;$M$2,N(对接源_02物料!$B552)&gt;$M$3),0,1))</f>
        <v>0</v>
      </c>
      <c r="N1752">
        <f>IF(OR($N$1="",对接源_02物料!$C552="",对接源_02物料!$C552&lt;&gt;$N$1,对接源_02物料!$B552=""),0,IF(OR(N(对接源_02物料!$B552)&lt;$N$2,N(对接源_02物料!$B552)&gt;$N$3),0,1))</f>
        <v>0</v>
      </c>
      <c r="P1752">
        <f>IF(AND($K1752=1,AND(对接源_02物料!$X552="公司筐",N(对接源_02物料!$T552)&lt;&gt;0)),1,0)</f>
        <v>0</v>
      </c>
      <c r="Q1752">
        <f>N(Q1751)+$P1752</f>
        <v>14</v>
      </c>
      <c r="R1752">
        <f>IF(AND($K1752=1,AND(对接源_02物料!$X552="公司筐",N(对接源_02物料!$U552)&lt;&gt;0)),1,0)</f>
        <v>0</v>
      </c>
      <c r="S1752">
        <f>N(S1751)+$R1752</f>
        <v>1</v>
      </c>
      <c r="T1752">
        <f>IF(AND($K1752=1,AND(对接源_02物料!$X552="公司筐",N(对接源_02物料!$V552)&lt;&gt;0)),1,0)</f>
        <v>0</v>
      </c>
      <c r="U1752">
        <f>N(U1751)+$T1752</f>
        <v>47</v>
      </c>
      <c r="V1752">
        <f>IF(AND($L1752=1,AND(对接源_02物料!$X552="自备筐",N(对接源_02物料!$V552)&lt;&gt;0)),1,0)</f>
        <v>0</v>
      </c>
      <c r="W1752">
        <f>N(W1751)+$V1752</f>
        <v>11</v>
      </c>
      <c r="X1752">
        <f>IF(AND($L1752=1,AND(对接源_02物料!$X552="自备筐",N(对接源_02物料!$T552)&lt;&gt;0)),1,0)</f>
        <v>0</v>
      </c>
      <c r="Y1752">
        <f>N(Y1751)+$X1752</f>
        <v>0</v>
      </c>
      <c r="Z1752">
        <f>IF(AND($M1752=1,对接源_02物料!$D552="原料入库"),1,0)</f>
        <v>0</v>
      </c>
      <c r="AA1752">
        <f>N(AA1751)+$Z1752</f>
        <v>24</v>
      </c>
      <c r="AB1752">
        <f>IF(AND($M1752=1,LEFT(对接源_02物料!$D552,4)="原料出库"),1,0)</f>
        <v>0</v>
      </c>
      <c r="AC1752">
        <f>N(AC1751)+$AB1752</f>
        <v>0</v>
      </c>
      <c r="AD1752">
        <f>IF(AND($M1752=1,LEFT(对接源_02物料!$D552,4)="成品出库"),1,0)</f>
        <v>0</v>
      </c>
      <c r="AE1752">
        <f>N(AE1751)+$AD1752</f>
        <v>0</v>
      </c>
      <c r="AF1752">
        <f>IF(AND($N1752=1,AND(LEFT(对接源_02物料!$D552,4)="包装物料",N(对接源_02物料!$K552)&lt;&gt;0)),1,0)</f>
        <v>0</v>
      </c>
      <c r="AG1752">
        <f>N(AG1751)+$AF1752</f>
        <v>10</v>
      </c>
      <c r="AH1752">
        <f>IF(AND($N1752=1,AND(对接源_02物料!$D552="周转筐－销售出库",N(对接源_02物料!$K552)&lt;&gt;0)),1,0)</f>
        <v>0</v>
      </c>
      <c r="AI1752">
        <f>N(AI1751)+$AH1752</f>
        <v>0</v>
      </c>
      <c r="AL1752" t="n">
        <v>0</v>
      </c>
      <c r="AM1752">
        <f>N(AM1751)+$AL1752</f>
        <v>2</v>
      </c>
      <c r="AN1752">
        <f>""</f>
      </c>
      <c r="AO1752" t="n">
        <v>0</v>
      </c>
      <c r="AP1752">
        <f>N(AP1751)+$AO1752</f>
        <v>13</v>
      </c>
      <c r="AR1752">
        <f>IF(OR($AF1752=1,$AH1752=1),1,0)</f>
        <v>0</v>
      </c>
      <c r="AS1752">
        <f>N(AS1751)+$AR1752</f>
        <v>10</v>
      </c>
    </row>
    <row r="1753" s="127">
      <c r="A1753">
        <f>IF(对接源_02物料!$C553="","",对接源_02物料!$C553)</f>
      </c>
      <c r="B1753">
        <f>IF(A1753="",0,IF(MATCH(A1753,$A$4:$A$2403,0)=ROW()-3,1,0))</f>
        <v>0</v>
      </c>
      <c r="C1753">
        <f>N(C1752)+B1753</f>
        <v>26</v>
      </c>
      <c r="K1753">
        <f>IF(OR($K$1="",对接源_02物料!$C553="",对接源_02物料!$C553&lt;&gt;$K$1,对接源_02物料!$B553=""),0,IF(OR(N(对接源_02物料!$B553)&lt;$K$2,N(对接源_02物料!$B553)&gt;$K$3),0,1))</f>
        <v>0</v>
      </c>
      <c r="L1753">
        <f>IF(OR($L$1="",对接源_02物料!$C553="",对接源_02物料!$C553&lt;&gt;$L$1,对接源_02物料!$B553=""),0,IF(OR(N(对接源_02物料!$B553)&lt;$L$2,N(对接源_02物料!$B553)&gt;$L$3),0,1))</f>
        <v>0</v>
      </c>
      <c r="M1753">
        <f>IF(OR($M$1="",对接源_02物料!$C553="",对接源_02物料!$C553&lt;&gt;$M$1,对接源_02物料!$B553=""),0,IF(OR(N(对接源_02物料!$B553)&lt;$M$2,N(对接源_02物料!$B553)&gt;$M$3),0,1))</f>
        <v>0</v>
      </c>
      <c r="N1753">
        <f>IF(OR($N$1="",对接源_02物料!$C553="",对接源_02物料!$C553&lt;&gt;$N$1,对接源_02物料!$B553=""),0,IF(OR(N(对接源_02物料!$B553)&lt;$N$2,N(对接源_02物料!$B553)&gt;$N$3),0,1))</f>
        <v>0</v>
      </c>
      <c r="P1753">
        <f>IF(AND($K1753=1,AND(对接源_02物料!$X553="公司筐",N(对接源_02物料!$T553)&lt;&gt;0)),1,0)</f>
        <v>0</v>
      </c>
      <c r="Q1753">
        <f>N(Q1752)+$P1753</f>
        <v>14</v>
      </c>
      <c r="R1753">
        <f>IF(AND($K1753=1,AND(对接源_02物料!$X553="公司筐",N(对接源_02物料!$U553)&lt;&gt;0)),1,0)</f>
        <v>0</v>
      </c>
      <c r="S1753">
        <f>N(S1752)+$R1753</f>
        <v>1</v>
      </c>
      <c r="T1753">
        <f>IF(AND($K1753=1,AND(对接源_02物料!$X553="公司筐",N(对接源_02物料!$V553)&lt;&gt;0)),1,0)</f>
        <v>0</v>
      </c>
      <c r="U1753">
        <f>N(U1752)+$T1753</f>
        <v>47</v>
      </c>
      <c r="V1753">
        <f>IF(AND($L1753=1,AND(对接源_02物料!$X553="自备筐",N(对接源_02物料!$V553)&lt;&gt;0)),1,0)</f>
        <v>0</v>
      </c>
      <c r="W1753">
        <f>N(W1752)+$V1753</f>
        <v>11</v>
      </c>
      <c r="X1753">
        <f>IF(AND($L1753=1,AND(对接源_02物料!$X553="自备筐",N(对接源_02物料!$T553)&lt;&gt;0)),1,0)</f>
        <v>0</v>
      </c>
      <c r="Y1753">
        <f>N(Y1752)+$X1753</f>
        <v>0</v>
      </c>
      <c r="Z1753">
        <f>IF(AND($M1753=1,对接源_02物料!$D553="原料入库"),1,0)</f>
        <v>0</v>
      </c>
      <c r="AA1753">
        <f>N(AA1752)+$Z1753</f>
        <v>24</v>
      </c>
      <c r="AB1753">
        <f>IF(AND($M1753=1,LEFT(对接源_02物料!$D553,4)="原料出库"),1,0)</f>
        <v>0</v>
      </c>
      <c r="AC1753">
        <f>N(AC1752)+$AB1753</f>
        <v>0</v>
      </c>
      <c r="AD1753">
        <f>IF(AND($M1753=1,LEFT(对接源_02物料!$D553,4)="成品出库"),1,0)</f>
        <v>0</v>
      </c>
      <c r="AE1753">
        <f>N(AE1752)+$AD1753</f>
        <v>0</v>
      </c>
      <c r="AF1753">
        <f>IF(AND($N1753=1,AND(LEFT(对接源_02物料!$D553,4)="包装物料",N(对接源_02物料!$K553)&lt;&gt;0)),1,0)</f>
        <v>0</v>
      </c>
      <c r="AG1753">
        <f>N(AG1752)+$AF1753</f>
        <v>10</v>
      </c>
      <c r="AH1753">
        <f>IF(AND($N1753=1,AND(对接源_02物料!$D553="周转筐－销售出库",N(对接源_02物料!$K553)&lt;&gt;0)),1,0)</f>
        <v>0</v>
      </c>
      <c r="AI1753">
        <f>N(AI1752)+$AH1753</f>
        <v>0</v>
      </c>
      <c r="AL1753" t="n">
        <v>0</v>
      </c>
      <c r="AM1753">
        <f>N(AM1752)+$AL1753</f>
        <v>2</v>
      </c>
      <c r="AN1753">
        <f>""</f>
      </c>
      <c r="AO1753" t="n">
        <v>0</v>
      </c>
      <c r="AP1753">
        <f>N(AP1752)+$AO1753</f>
        <v>13</v>
      </c>
      <c r="AR1753">
        <f>IF(OR($AF1753=1,$AH1753=1),1,0)</f>
        <v>0</v>
      </c>
      <c r="AS1753">
        <f>N(AS1752)+$AR1753</f>
        <v>10</v>
      </c>
    </row>
    <row r="1754" s="127">
      <c r="A1754">
        <f>IF(对接源_02物料!$C554="","",对接源_02物料!$C554)</f>
      </c>
      <c r="B1754">
        <f>IF(A1754="",0,IF(MATCH(A1754,$A$4:$A$2403,0)=ROW()-3,1,0))</f>
        <v>0</v>
      </c>
      <c r="C1754">
        <f>N(C1753)+B1754</f>
        <v>26</v>
      </c>
      <c r="K1754">
        <f>IF(OR($K$1="",对接源_02物料!$C554="",对接源_02物料!$C554&lt;&gt;$K$1,对接源_02物料!$B554=""),0,IF(OR(N(对接源_02物料!$B554)&lt;$K$2,N(对接源_02物料!$B554)&gt;$K$3),0,1))</f>
        <v>0</v>
      </c>
      <c r="L1754">
        <f>IF(OR($L$1="",对接源_02物料!$C554="",对接源_02物料!$C554&lt;&gt;$L$1,对接源_02物料!$B554=""),0,IF(OR(N(对接源_02物料!$B554)&lt;$L$2,N(对接源_02物料!$B554)&gt;$L$3),0,1))</f>
        <v>0</v>
      </c>
      <c r="M1754">
        <f>IF(OR($M$1="",对接源_02物料!$C554="",对接源_02物料!$C554&lt;&gt;$M$1,对接源_02物料!$B554=""),0,IF(OR(N(对接源_02物料!$B554)&lt;$M$2,N(对接源_02物料!$B554)&gt;$M$3),0,1))</f>
        <v>0</v>
      </c>
      <c r="N1754">
        <f>IF(OR($N$1="",对接源_02物料!$C554="",对接源_02物料!$C554&lt;&gt;$N$1,对接源_02物料!$B554=""),0,IF(OR(N(对接源_02物料!$B554)&lt;$N$2,N(对接源_02物料!$B554)&gt;$N$3),0,1))</f>
        <v>0</v>
      </c>
      <c r="P1754">
        <f>IF(AND($K1754=1,AND(对接源_02物料!$X554="公司筐",N(对接源_02物料!$T554)&lt;&gt;0)),1,0)</f>
        <v>0</v>
      </c>
      <c r="Q1754">
        <f>N(Q1753)+$P1754</f>
        <v>14</v>
      </c>
      <c r="R1754">
        <f>IF(AND($K1754=1,AND(对接源_02物料!$X554="公司筐",N(对接源_02物料!$U554)&lt;&gt;0)),1,0)</f>
        <v>0</v>
      </c>
      <c r="S1754">
        <f>N(S1753)+$R1754</f>
        <v>1</v>
      </c>
      <c r="T1754">
        <f>IF(AND($K1754=1,AND(对接源_02物料!$X554="公司筐",N(对接源_02物料!$V554)&lt;&gt;0)),1,0)</f>
        <v>0</v>
      </c>
      <c r="U1754">
        <f>N(U1753)+$T1754</f>
        <v>47</v>
      </c>
      <c r="V1754">
        <f>IF(AND($L1754=1,AND(对接源_02物料!$X554="自备筐",N(对接源_02物料!$V554)&lt;&gt;0)),1,0)</f>
        <v>0</v>
      </c>
      <c r="W1754">
        <f>N(W1753)+$V1754</f>
        <v>11</v>
      </c>
      <c r="X1754">
        <f>IF(AND($L1754=1,AND(对接源_02物料!$X554="自备筐",N(对接源_02物料!$T554)&lt;&gt;0)),1,0)</f>
        <v>0</v>
      </c>
      <c r="Y1754">
        <f>N(Y1753)+$X1754</f>
        <v>0</v>
      </c>
      <c r="Z1754">
        <f>IF(AND($M1754=1,对接源_02物料!$D554="原料入库"),1,0)</f>
        <v>0</v>
      </c>
      <c r="AA1754">
        <f>N(AA1753)+$Z1754</f>
        <v>24</v>
      </c>
      <c r="AB1754">
        <f>IF(AND($M1754=1,LEFT(对接源_02物料!$D554,4)="原料出库"),1,0)</f>
        <v>0</v>
      </c>
      <c r="AC1754">
        <f>N(AC1753)+$AB1754</f>
        <v>0</v>
      </c>
      <c r="AD1754">
        <f>IF(AND($M1754=1,LEFT(对接源_02物料!$D554,4)="成品出库"),1,0)</f>
        <v>0</v>
      </c>
      <c r="AE1754">
        <f>N(AE1753)+$AD1754</f>
        <v>0</v>
      </c>
      <c r="AF1754">
        <f>IF(AND($N1754=1,AND(LEFT(对接源_02物料!$D554,4)="包装物料",N(对接源_02物料!$K554)&lt;&gt;0)),1,0)</f>
        <v>0</v>
      </c>
      <c r="AG1754">
        <f>N(AG1753)+$AF1754</f>
        <v>10</v>
      </c>
      <c r="AH1754">
        <f>IF(AND($N1754=1,AND(对接源_02物料!$D554="周转筐－销售出库",N(对接源_02物料!$K554)&lt;&gt;0)),1,0)</f>
        <v>0</v>
      </c>
      <c r="AI1754">
        <f>N(AI1753)+$AH1754</f>
        <v>0</v>
      </c>
      <c r="AL1754" t="n">
        <v>0</v>
      </c>
      <c r="AM1754">
        <f>N(AM1753)+$AL1754</f>
        <v>2</v>
      </c>
      <c r="AN1754">
        <f>""</f>
      </c>
      <c r="AO1754" t="n">
        <v>0</v>
      </c>
      <c r="AP1754">
        <f>N(AP1753)+$AO1754</f>
        <v>13</v>
      </c>
      <c r="AR1754">
        <f>IF(OR($AF1754=1,$AH1754=1),1,0)</f>
        <v>0</v>
      </c>
      <c r="AS1754">
        <f>N(AS1753)+$AR1754</f>
        <v>10</v>
      </c>
    </row>
    <row r="1755" s="127">
      <c r="A1755">
        <f>IF(对接源_02物料!$C555="","",对接源_02物料!$C555)</f>
      </c>
      <c r="B1755">
        <f>IF(A1755="",0,IF(MATCH(A1755,$A$4:$A$2403,0)=ROW()-3,1,0))</f>
        <v>0</v>
      </c>
      <c r="C1755">
        <f>N(C1754)+B1755</f>
        <v>26</v>
      </c>
      <c r="K1755">
        <f>IF(OR($K$1="",对接源_02物料!$C555="",对接源_02物料!$C555&lt;&gt;$K$1,对接源_02物料!$B555=""),0,IF(OR(N(对接源_02物料!$B555)&lt;$K$2,N(对接源_02物料!$B555)&gt;$K$3),0,1))</f>
        <v>0</v>
      </c>
      <c r="L1755">
        <f>IF(OR($L$1="",对接源_02物料!$C555="",对接源_02物料!$C555&lt;&gt;$L$1,对接源_02物料!$B555=""),0,IF(OR(N(对接源_02物料!$B555)&lt;$L$2,N(对接源_02物料!$B555)&gt;$L$3),0,1))</f>
        <v>0</v>
      </c>
      <c r="M1755">
        <f>IF(OR($M$1="",对接源_02物料!$C555="",对接源_02物料!$C555&lt;&gt;$M$1,对接源_02物料!$B555=""),0,IF(OR(N(对接源_02物料!$B555)&lt;$M$2,N(对接源_02物料!$B555)&gt;$M$3),0,1))</f>
        <v>0</v>
      </c>
      <c r="N1755">
        <f>IF(OR($N$1="",对接源_02物料!$C555="",对接源_02物料!$C555&lt;&gt;$N$1,对接源_02物料!$B555=""),0,IF(OR(N(对接源_02物料!$B555)&lt;$N$2,N(对接源_02物料!$B555)&gt;$N$3),0,1))</f>
        <v>0</v>
      </c>
      <c r="P1755">
        <f>IF(AND($K1755=1,AND(对接源_02物料!$X555="公司筐",N(对接源_02物料!$T555)&lt;&gt;0)),1,0)</f>
        <v>0</v>
      </c>
      <c r="Q1755">
        <f>N(Q1754)+$P1755</f>
        <v>14</v>
      </c>
      <c r="R1755">
        <f>IF(AND($K1755=1,AND(对接源_02物料!$X555="公司筐",N(对接源_02物料!$U555)&lt;&gt;0)),1,0)</f>
        <v>0</v>
      </c>
      <c r="S1755">
        <f>N(S1754)+$R1755</f>
        <v>1</v>
      </c>
      <c r="T1755">
        <f>IF(AND($K1755=1,AND(对接源_02物料!$X555="公司筐",N(对接源_02物料!$V555)&lt;&gt;0)),1,0)</f>
        <v>0</v>
      </c>
      <c r="U1755">
        <f>N(U1754)+$T1755</f>
        <v>47</v>
      </c>
      <c r="V1755">
        <f>IF(AND($L1755=1,AND(对接源_02物料!$X555="自备筐",N(对接源_02物料!$V555)&lt;&gt;0)),1,0)</f>
        <v>0</v>
      </c>
      <c r="W1755">
        <f>N(W1754)+$V1755</f>
        <v>11</v>
      </c>
      <c r="X1755">
        <f>IF(AND($L1755=1,AND(对接源_02物料!$X555="自备筐",N(对接源_02物料!$T555)&lt;&gt;0)),1,0)</f>
        <v>0</v>
      </c>
      <c r="Y1755">
        <f>N(Y1754)+$X1755</f>
        <v>0</v>
      </c>
      <c r="Z1755">
        <f>IF(AND($M1755=1,对接源_02物料!$D555="原料入库"),1,0)</f>
        <v>0</v>
      </c>
      <c r="AA1755">
        <f>N(AA1754)+$Z1755</f>
        <v>24</v>
      </c>
      <c r="AB1755">
        <f>IF(AND($M1755=1,LEFT(对接源_02物料!$D555,4)="原料出库"),1,0)</f>
        <v>0</v>
      </c>
      <c r="AC1755">
        <f>N(AC1754)+$AB1755</f>
        <v>0</v>
      </c>
      <c r="AD1755">
        <f>IF(AND($M1755=1,LEFT(对接源_02物料!$D555,4)="成品出库"),1,0)</f>
        <v>0</v>
      </c>
      <c r="AE1755">
        <f>N(AE1754)+$AD1755</f>
        <v>0</v>
      </c>
      <c r="AF1755">
        <f>IF(AND($N1755=1,AND(LEFT(对接源_02物料!$D555,4)="包装物料",N(对接源_02物料!$K555)&lt;&gt;0)),1,0)</f>
        <v>0</v>
      </c>
      <c r="AG1755">
        <f>N(AG1754)+$AF1755</f>
        <v>10</v>
      </c>
      <c r="AH1755">
        <f>IF(AND($N1755=1,AND(对接源_02物料!$D555="周转筐－销售出库",N(对接源_02物料!$K555)&lt;&gt;0)),1,0)</f>
        <v>0</v>
      </c>
      <c r="AI1755">
        <f>N(AI1754)+$AH1755</f>
        <v>0</v>
      </c>
      <c r="AL1755" t="n">
        <v>0</v>
      </c>
      <c r="AM1755">
        <f>N(AM1754)+$AL1755</f>
        <v>2</v>
      </c>
      <c r="AN1755">
        <f>""</f>
      </c>
      <c r="AO1755" t="n">
        <v>0</v>
      </c>
      <c r="AP1755">
        <f>N(AP1754)+$AO1755</f>
        <v>13</v>
      </c>
      <c r="AR1755">
        <f>IF(OR($AF1755=1,$AH1755=1),1,0)</f>
        <v>0</v>
      </c>
      <c r="AS1755">
        <f>N(AS1754)+$AR1755</f>
        <v>10</v>
      </c>
    </row>
    <row r="1756" s="127">
      <c r="A1756">
        <f>IF(对接源_02物料!$C556="","",对接源_02物料!$C556)</f>
      </c>
      <c r="B1756">
        <f>IF(A1756="",0,IF(MATCH(A1756,$A$4:$A$2403,0)=ROW()-3,1,0))</f>
        <v>0</v>
      </c>
      <c r="C1756">
        <f>N(C1755)+B1756</f>
        <v>26</v>
      </c>
      <c r="K1756">
        <f>IF(OR($K$1="",对接源_02物料!$C556="",对接源_02物料!$C556&lt;&gt;$K$1,对接源_02物料!$B556=""),0,IF(OR(N(对接源_02物料!$B556)&lt;$K$2,N(对接源_02物料!$B556)&gt;$K$3),0,1))</f>
        <v>0</v>
      </c>
      <c r="L1756">
        <f>IF(OR($L$1="",对接源_02物料!$C556="",对接源_02物料!$C556&lt;&gt;$L$1,对接源_02物料!$B556=""),0,IF(OR(N(对接源_02物料!$B556)&lt;$L$2,N(对接源_02物料!$B556)&gt;$L$3),0,1))</f>
        <v>0</v>
      </c>
      <c r="M1756">
        <f>IF(OR($M$1="",对接源_02物料!$C556="",对接源_02物料!$C556&lt;&gt;$M$1,对接源_02物料!$B556=""),0,IF(OR(N(对接源_02物料!$B556)&lt;$M$2,N(对接源_02物料!$B556)&gt;$M$3),0,1))</f>
        <v>0</v>
      </c>
      <c r="N1756">
        <f>IF(OR($N$1="",对接源_02物料!$C556="",对接源_02物料!$C556&lt;&gt;$N$1,对接源_02物料!$B556=""),0,IF(OR(N(对接源_02物料!$B556)&lt;$N$2,N(对接源_02物料!$B556)&gt;$N$3),0,1))</f>
        <v>0</v>
      </c>
      <c r="P1756">
        <f>IF(AND($K1756=1,AND(对接源_02物料!$X556="公司筐",N(对接源_02物料!$T556)&lt;&gt;0)),1,0)</f>
        <v>0</v>
      </c>
      <c r="Q1756">
        <f>N(Q1755)+$P1756</f>
        <v>14</v>
      </c>
      <c r="R1756">
        <f>IF(AND($K1756=1,AND(对接源_02物料!$X556="公司筐",N(对接源_02物料!$U556)&lt;&gt;0)),1,0)</f>
        <v>0</v>
      </c>
      <c r="S1756">
        <f>N(S1755)+$R1756</f>
        <v>1</v>
      </c>
      <c r="T1756">
        <f>IF(AND($K1756=1,AND(对接源_02物料!$X556="公司筐",N(对接源_02物料!$V556)&lt;&gt;0)),1,0)</f>
        <v>0</v>
      </c>
      <c r="U1756">
        <f>N(U1755)+$T1756</f>
        <v>47</v>
      </c>
      <c r="V1756">
        <f>IF(AND($L1756=1,AND(对接源_02物料!$X556="自备筐",N(对接源_02物料!$V556)&lt;&gt;0)),1,0)</f>
        <v>0</v>
      </c>
      <c r="W1756">
        <f>N(W1755)+$V1756</f>
        <v>11</v>
      </c>
      <c r="X1756">
        <f>IF(AND($L1756=1,AND(对接源_02物料!$X556="自备筐",N(对接源_02物料!$T556)&lt;&gt;0)),1,0)</f>
        <v>0</v>
      </c>
      <c r="Y1756">
        <f>N(Y1755)+$X1756</f>
        <v>0</v>
      </c>
      <c r="Z1756">
        <f>IF(AND($M1756=1,对接源_02物料!$D556="原料入库"),1,0)</f>
        <v>0</v>
      </c>
      <c r="AA1756">
        <f>N(AA1755)+$Z1756</f>
        <v>24</v>
      </c>
      <c r="AB1756">
        <f>IF(AND($M1756=1,LEFT(对接源_02物料!$D556,4)="原料出库"),1,0)</f>
        <v>0</v>
      </c>
      <c r="AC1756">
        <f>N(AC1755)+$AB1756</f>
        <v>0</v>
      </c>
      <c r="AD1756">
        <f>IF(AND($M1756=1,LEFT(对接源_02物料!$D556,4)="成品出库"),1,0)</f>
        <v>0</v>
      </c>
      <c r="AE1756">
        <f>N(AE1755)+$AD1756</f>
        <v>0</v>
      </c>
      <c r="AF1756">
        <f>IF(AND($N1756=1,AND(LEFT(对接源_02物料!$D556,4)="包装物料",N(对接源_02物料!$K556)&lt;&gt;0)),1,0)</f>
        <v>0</v>
      </c>
      <c r="AG1756">
        <f>N(AG1755)+$AF1756</f>
        <v>10</v>
      </c>
      <c r="AH1756">
        <f>IF(AND($N1756=1,AND(对接源_02物料!$D556="周转筐－销售出库",N(对接源_02物料!$K556)&lt;&gt;0)),1,0)</f>
        <v>0</v>
      </c>
      <c r="AI1756">
        <f>N(AI1755)+$AH1756</f>
        <v>0</v>
      </c>
      <c r="AL1756" t="n">
        <v>0</v>
      </c>
      <c r="AM1756">
        <f>N(AM1755)+$AL1756</f>
        <v>2</v>
      </c>
      <c r="AN1756">
        <f>""</f>
      </c>
      <c r="AO1756" t="n">
        <v>0</v>
      </c>
      <c r="AP1756">
        <f>N(AP1755)+$AO1756</f>
        <v>13</v>
      </c>
      <c r="AR1756">
        <f>IF(OR($AF1756=1,$AH1756=1),1,0)</f>
        <v>0</v>
      </c>
      <c r="AS1756">
        <f>N(AS1755)+$AR1756</f>
        <v>10</v>
      </c>
    </row>
    <row r="1757" s="127">
      <c r="A1757">
        <f>IF(对接源_02物料!$C557="","",对接源_02物料!$C557)</f>
      </c>
      <c r="B1757">
        <f>IF(A1757="",0,IF(MATCH(A1757,$A$4:$A$2403,0)=ROW()-3,1,0))</f>
        <v>0</v>
      </c>
      <c r="C1757">
        <f>N(C1756)+B1757</f>
        <v>26</v>
      </c>
      <c r="K1757">
        <f>IF(OR($K$1="",对接源_02物料!$C557="",对接源_02物料!$C557&lt;&gt;$K$1,对接源_02物料!$B557=""),0,IF(OR(N(对接源_02物料!$B557)&lt;$K$2,N(对接源_02物料!$B557)&gt;$K$3),0,1))</f>
        <v>0</v>
      </c>
      <c r="L1757">
        <f>IF(OR($L$1="",对接源_02物料!$C557="",对接源_02物料!$C557&lt;&gt;$L$1,对接源_02物料!$B557=""),0,IF(OR(N(对接源_02物料!$B557)&lt;$L$2,N(对接源_02物料!$B557)&gt;$L$3),0,1))</f>
        <v>0</v>
      </c>
      <c r="M1757">
        <f>IF(OR($M$1="",对接源_02物料!$C557="",对接源_02物料!$C557&lt;&gt;$M$1,对接源_02物料!$B557=""),0,IF(OR(N(对接源_02物料!$B557)&lt;$M$2,N(对接源_02物料!$B557)&gt;$M$3),0,1))</f>
        <v>0</v>
      </c>
      <c r="N1757">
        <f>IF(OR($N$1="",对接源_02物料!$C557="",对接源_02物料!$C557&lt;&gt;$N$1,对接源_02物料!$B557=""),0,IF(OR(N(对接源_02物料!$B557)&lt;$N$2,N(对接源_02物料!$B557)&gt;$N$3),0,1))</f>
        <v>0</v>
      </c>
      <c r="P1757">
        <f>IF(AND($K1757=1,AND(对接源_02物料!$X557="公司筐",N(对接源_02物料!$T557)&lt;&gt;0)),1,0)</f>
        <v>0</v>
      </c>
      <c r="Q1757">
        <f>N(Q1756)+$P1757</f>
        <v>14</v>
      </c>
      <c r="R1757">
        <f>IF(AND($K1757=1,AND(对接源_02物料!$X557="公司筐",N(对接源_02物料!$U557)&lt;&gt;0)),1,0)</f>
        <v>0</v>
      </c>
      <c r="S1757">
        <f>N(S1756)+$R1757</f>
        <v>1</v>
      </c>
      <c r="T1757">
        <f>IF(AND($K1757=1,AND(对接源_02物料!$X557="公司筐",N(对接源_02物料!$V557)&lt;&gt;0)),1,0)</f>
        <v>0</v>
      </c>
      <c r="U1757">
        <f>N(U1756)+$T1757</f>
        <v>47</v>
      </c>
      <c r="V1757">
        <f>IF(AND($L1757=1,AND(对接源_02物料!$X557="自备筐",N(对接源_02物料!$V557)&lt;&gt;0)),1,0)</f>
        <v>0</v>
      </c>
      <c r="W1757">
        <f>N(W1756)+$V1757</f>
        <v>11</v>
      </c>
      <c r="X1757">
        <f>IF(AND($L1757=1,AND(对接源_02物料!$X557="自备筐",N(对接源_02物料!$T557)&lt;&gt;0)),1,0)</f>
        <v>0</v>
      </c>
      <c r="Y1757">
        <f>N(Y1756)+$X1757</f>
        <v>0</v>
      </c>
      <c r="Z1757">
        <f>IF(AND($M1757=1,对接源_02物料!$D557="原料入库"),1,0)</f>
        <v>0</v>
      </c>
      <c r="AA1757">
        <f>N(AA1756)+$Z1757</f>
        <v>24</v>
      </c>
      <c r="AB1757">
        <f>IF(AND($M1757=1,LEFT(对接源_02物料!$D557,4)="原料出库"),1,0)</f>
        <v>0</v>
      </c>
      <c r="AC1757">
        <f>N(AC1756)+$AB1757</f>
        <v>0</v>
      </c>
      <c r="AD1757">
        <f>IF(AND($M1757=1,LEFT(对接源_02物料!$D557,4)="成品出库"),1,0)</f>
        <v>0</v>
      </c>
      <c r="AE1757">
        <f>N(AE1756)+$AD1757</f>
        <v>0</v>
      </c>
      <c r="AF1757">
        <f>IF(AND($N1757=1,AND(LEFT(对接源_02物料!$D557,4)="包装物料",N(对接源_02物料!$K557)&lt;&gt;0)),1,0)</f>
        <v>0</v>
      </c>
      <c r="AG1757">
        <f>N(AG1756)+$AF1757</f>
        <v>10</v>
      </c>
      <c r="AH1757">
        <f>IF(AND($N1757=1,AND(对接源_02物料!$D557="周转筐－销售出库",N(对接源_02物料!$K557)&lt;&gt;0)),1,0)</f>
        <v>0</v>
      </c>
      <c r="AI1757">
        <f>N(AI1756)+$AH1757</f>
        <v>0</v>
      </c>
      <c r="AL1757" t="n">
        <v>0</v>
      </c>
      <c r="AM1757">
        <f>N(AM1756)+$AL1757</f>
        <v>2</v>
      </c>
      <c r="AN1757">
        <f>""</f>
      </c>
      <c r="AO1757" t="n">
        <v>0</v>
      </c>
      <c r="AP1757">
        <f>N(AP1756)+$AO1757</f>
        <v>13</v>
      </c>
      <c r="AR1757">
        <f>IF(OR($AF1757=1,$AH1757=1),1,0)</f>
        <v>0</v>
      </c>
      <c r="AS1757">
        <f>N(AS1756)+$AR1757</f>
        <v>10</v>
      </c>
    </row>
    <row r="1758" s="127">
      <c r="A1758">
        <f>IF(对接源_02物料!$C558="","",对接源_02物料!$C558)</f>
      </c>
      <c r="B1758">
        <f>IF(A1758="",0,IF(MATCH(A1758,$A$4:$A$2403,0)=ROW()-3,1,0))</f>
        <v>0</v>
      </c>
      <c r="C1758">
        <f>N(C1757)+B1758</f>
        <v>26</v>
      </c>
      <c r="K1758">
        <f>IF(OR($K$1="",对接源_02物料!$C558="",对接源_02物料!$C558&lt;&gt;$K$1,对接源_02物料!$B558=""),0,IF(OR(N(对接源_02物料!$B558)&lt;$K$2,N(对接源_02物料!$B558)&gt;$K$3),0,1))</f>
        <v>0</v>
      </c>
      <c r="L1758">
        <f>IF(OR($L$1="",对接源_02物料!$C558="",对接源_02物料!$C558&lt;&gt;$L$1,对接源_02物料!$B558=""),0,IF(OR(N(对接源_02物料!$B558)&lt;$L$2,N(对接源_02物料!$B558)&gt;$L$3),0,1))</f>
        <v>0</v>
      </c>
      <c r="M1758">
        <f>IF(OR($M$1="",对接源_02物料!$C558="",对接源_02物料!$C558&lt;&gt;$M$1,对接源_02物料!$B558=""),0,IF(OR(N(对接源_02物料!$B558)&lt;$M$2,N(对接源_02物料!$B558)&gt;$M$3),0,1))</f>
        <v>0</v>
      </c>
      <c r="N1758">
        <f>IF(OR($N$1="",对接源_02物料!$C558="",对接源_02物料!$C558&lt;&gt;$N$1,对接源_02物料!$B558=""),0,IF(OR(N(对接源_02物料!$B558)&lt;$N$2,N(对接源_02物料!$B558)&gt;$N$3),0,1))</f>
        <v>0</v>
      </c>
      <c r="P1758">
        <f>IF(AND($K1758=1,AND(对接源_02物料!$X558="公司筐",N(对接源_02物料!$T558)&lt;&gt;0)),1,0)</f>
        <v>0</v>
      </c>
      <c r="Q1758">
        <f>N(Q1757)+$P1758</f>
        <v>14</v>
      </c>
      <c r="R1758">
        <f>IF(AND($K1758=1,AND(对接源_02物料!$X558="公司筐",N(对接源_02物料!$U558)&lt;&gt;0)),1,0)</f>
        <v>0</v>
      </c>
      <c r="S1758">
        <f>N(S1757)+$R1758</f>
        <v>1</v>
      </c>
      <c r="T1758">
        <f>IF(AND($K1758=1,AND(对接源_02物料!$X558="公司筐",N(对接源_02物料!$V558)&lt;&gt;0)),1,0)</f>
        <v>0</v>
      </c>
      <c r="U1758">
        <f>N(U1757)+$T1758</f>
        <v>47</v>
      </c>
      <c r="V1758">
        <f>IF(AND($L1758=1,AND(对接源_02物料!$X558="自备筐",N(对接源_02物料!$V558)&lt;&gt;0)),1,0)</f>
        <v>0</v>
      </c>
      <c r="W1758">
        <f>N(W1757)+$V1758</f>
        <v>11</v>
      </c>
      <c r="X1758">
        <f>IF(AND($L1758=1,AND(对接源_02物料!$X558="自备筐",N(对接源_02物料!$T558)&lt;&gt;0)),1,0)</f>
        <v>0</v>
      </c>
      <c r="Y1758">
        <f>N(Y1757)+$X1758</f>
        <v>0</v>
      </c>
      <c r="Z1758">
        <f>IF(AND($M1758=1,对接源_02物料!$D558="原料入库"),1,0)</f>
        <v>0</v>
      </c>
      <c r="AA1758">
        <f>N(AA1757)+$Z1758</f>
        <v>24</v>
      </c>
      <c r="AB1758">
        <f>IF(AND($M1758=1,LEFT(对接源_02物料!$D558,4)="原料出库"),1,0)</f>
        <v>0</v>
      </c>
      <c r="AC1758">
        <f>N(AC1757)+$AB1758</f>
        <v>0</v>
      </c>
      <c r="AD1758">
        <f>IF(AND($M1758=1,LEFT(对接源_02物料!$D558,4)="成品出库"),1,0)</f>
        <v>0</v>
      </c>
      <c r="AE1758">
        <f>N(AE1757)+$AD1758</f>
        <v>0</v>
      </c>
      <c r="AF1758">
        <f>IF(AND($N1758=1,AND(LEFT(对接源_02物料!$D558,4)="包装物料",N(对接源_02物料!$K558)&lt;&gt;0)),1,0)</f>
        <v>0</v>
      </c>
      <c r="AG1758">
        <f>N(AG1757)+$AF1758</f>
        <v>10</v>
      </c>
      <c r="AH1758">
        <f>IF(AND($N1758=1,AND(对接源_02物料!$D558="周转筐－销售出库",N(对接源_02物料!$K558)&lt;&gt;0)),1,0)</f>
        <v>0</v>
      </c>
      <c r="AI1758">
        <f>N(AI1757)+$AH1758</f>
        <v>0</v>
      </c>
      <c r="AL1758" t="n">
        <v>0</v>
      </c>
      <c r="AM1758">
        <f>N(AM1757)+$AL1758</f>
        <v>2</v>
      </c>
      <c r="AN1758">
        <f>""</f>
      </c>
      <c r="AO1758" t="n">
        <v>0</v>
      </c>
      <c r="AP1758">
        <f>N(AP1757)+$AO1758</f>
        <v>13</v>
      </c>
      <c r="AR1758">
        <f>IF(OR($AF1758=1,$AH1758=1),1,0)</f>
        <v>0</v>
      </c>
      <c r="AS1758">
        <f>N(AS1757)+$AR1758</f>
        <v>10</v>
      </c>
    </row>
    <row r="1759" s="127">
      <c r="A1759">
        <f>IF(对接源_02物料!$C559="","",对接源_02物料!$C559)</f>
      </c>
      <c r="B1759">
        <f>IF(A1759="",0,IF(MATCH(A1759,$A$4:$A$2403,0)=ROW()-3,1,0))</f>
        <v>0</v>
      </c>
      <c r="C1759">
        <f>N(C1758)+B1759</f>
        <v>26</v>
      </c>
      <c r="K1759">
        <f>IF(OR($K$1="",对接源_02物料!$C559="",对接源_02物料!$C559&lt;&gt;$K$1,对接源_02物料!$B559=""),0,IF(OR(N(对接源_02物料!$B559)&lt;$K$2,N(对接源_02物料!$B559)&gt;$K$3),0,1))</f>
        <v>0</v>
      </c>
      <c r="L1759">
        <f>IF(OR($L$1="",对接源_02物料!$C559="",对接源_02物料!$C559&lt;&gt;$L$1,对接源_02物料!$B559=""),0,IF(OR(N(对接源_02物料!$B559)&lt;$L$2,N(对接源_02物料!$B559)&gt;$L$3),0,1))</f>
        <v>0</v>
      </c>
      <c r="M1759">
        <f>IF(OR($M$1="",对接源_02物料!$C559="",对接源_02物料!$C559&lt;&gt;$M$1,对接源_02物料!$B559=""),0,IF(OR(N(对接源_02物料!$B559)&lt;$M$2,N(对接源_02物料!$B559)&gt;$M$3),0,1))</f>
        <v>0</v>
      </c>
      <c r="N1759">
        <f>IF(OR($N$1="",对接源_02物料!$C559="",对接源_02物料!$C559&lt;&gt;$N$1,对接源_02物料!$B559=""),0,IF(OR(N(对接源_02物料!$B559)&lt;$N$2,N(对接源_02物料!$B559)&gt;$N$3),0,1))</f>
        <v>0</v>
      </c>
      <c r="P1759">
        <f>IF(AND($K1759=1,AND(对接源_02物料!$X559="公司筐",N(对接源_02物料!$T559)&lt;&gt;0)),1,0)</f>
        <v>0</v>
      </c>
      <c r="Q1759">
        <f>N(Q1758)+$P1759</f>
        <v>14</v>
      </c>
      <c r="R1759">
        <f>IF(AND($K1759=1,AND(对接源_02物料!$X559="公司筐",N(对接源_02物料!$U559)&lt;&gt;0)),1,0)</f>
        <v>0</v>
      </c>
      <c r="S1759">
        <f>N(S1758)+$R1759</f>
        <v>1</v>
      </c>
      <c r="T1759">
        <f>IF(AND($K1759=1,AND(对接源_02物料!$X559="公司筐",N(对接源_02物料!$V559)&lt;&gt;0)),1,0)</f>
        <v>0</v>
      </c>
      <c r="U1759">
        <f>N(U1758)+$T1759</f>
        <v>47</v>
      </c>
      <c r="V1759">
        <f>IF(AND($L1759=1,AND(对接源_02物料!$X559="自备筐",N(对接源_02物料!$V559)&lt;&gt;0)),1,0)</f>
        <v>0</v>
      </c>
      <c r="W1759">
        <f>N(W1758)+$V1759</f>
        <v>11</v>
      </c>
      <c r="X1759">
        <f>IF(AND($L1759=1,AND(对接源_02物料!$X559="自备筐",N(对接源_02物料!$T559)&lt;&gt;0)),1,0)</f>
        <v>0</v>
      </c>
      <c r="Y1759">
        <f>N(Y1758)+$X1759</f>
        <v>0</v>
      </c>
      <c r="Z1759">
        <f>IF(AND($M1759=1,对接源_02物料!$D559="原料入库"),1,0)</f>
        <v>0</v>
      </c>
      <c r="AA1759">
        <f>N(AA1758)+$Z1759</f>
        <v>24</v>
      </c>
      <c r="AB1759">
        <f>IF(AND($M1759=1,LEFT(对接源_02物料!$D559,4)="原料出库"),1,0)</f>
        <v>0</v>
      </c>
      <c r="AC1759">
        <f>N(AC1758)+$AB1759</f>
        <v>0</v>
      </c>
      <c r="AD1759">
        <f>IF(AND($M1759=1,LEFT(对接源_02物料!$D559,4)="成品出库"),1,0)</f>
        <v>0</v>
      </c>
      <c r="AE1759">
        <f>N(AE1758)+$AD1759</f>
        <v>0</v>
      </c>
      <c r="AF1759">
        <f>IF(AND($N1759=1,AND(LEFT(对接源_02物料!$D559,4)="包装物料",N(对接源_02物料!$K559)&lt;&gt;0)),1,0)</f>
        <v>0</v>
      </c>
      <c r="AG1759">
        <f>N(AG1758)+$AF1759</f>
        <v>10</v>
      </c>
      <c r="AH1759">
        <f>IF(AND($N1759=1,AND(对接源_02物料!$D559="周转筐－销售出库",N(对接源_02物料!$K559)&lt;&gt;0)),1,0)</f>
        <v>0</v>
      </c>
      <c r="AI1759">
        <f>N(AI1758)+$AH1759</f>
        <v>0</v>
      </c>
      <c r="AL1759" t="n">
        <v>0</v>
      </c>
      <c r="AM1759">
        <f>N(AM1758)+$AL1759</f>
        <v>2</v>
      </c>
      <c r="AN1759">
        <f>""</f>
      </c>
      <c r="AO1759" t="n">
        <v>0</v>
      </c>
      <c r="AP1759">
        <f>N(AP1758)+$AO1759</f>
        <v>13</v>
      </c>
      <c r="AR1759">
        <f>IF(OR($AF1759=1,$AH1759=1),1,0)</f>
        <v>0</v>
      </c>
      <c r="AS1759">
        <f>N(AS1758)+$AR1759</f>
        <v>10</v>
      </c>
    </row>
    <row r="1760" s="127">
      <c r="A1760">
        <f>IF(对接源_02物料!$C560="","",对接源_02物料!$C560)</f>
      </c>
      <c r="B1760">
        <f>IF(A1760="",0,IF(MATCH(A1760,$A$4:$A$2403,0)=ROW()-3,1,0))</f>
        <v>0</v>
      </c>
      <c r="C1760">
        <f>N(C1759)+B1760</f>
        <v>26</v>
      </c>
      <c r="K1760">
        <f>IF(OR($K$1="",对接源_02物料!$C560="",对接源_02物料!$C560&lt;&gt;$K$1,对接源_02物料!$B560=""),0,IF(OR(N(对接源_02物料!$B560)&lt;$K$2,N(对接源_02物料!$B560)&gt;$K$3),0,1))</f>
        <v>0</v>
      </c>
      <c r="L1760">
        <f>IF(OR($L$1="",对接源_02物料!$C560="",对接源_02物料!$C560&lt;&gt;$L$1,对接源_02物料!$B560=""),0,IF(OR(N(对接源_02物料!$B560)&lt;$L$2,N(对接源_02物料!$B560)&gt;$L$3),0,1))</f>
        <v>0</v>
      </c>
      <c r="M1760">
        <f>IF(OR($M$1="",对接源_02物料!$C560="",对接源_02物料!$C560&lt;&gt;$M$1,对接源_02物料!$B560=""),0,IF(OR(N(对接源_02物料!$B560)&lt;$M$2,N(对接源_02物料!$B560)&gt;$M$3),0,1))</f>
        <v>0</v>
      </c>
      <c r="N1760">
        <f>IF(OR($N$1="",对接源_02物料!$C560="",对接源_02物料!$C560&lt;&gt;$N$1,对接源_02物料!$B560=""),0,IF(OR(N(对接源_02物料!$B560)&lt;$N$2,N(对接源_02物料!$B560)&gt;$N$3),0,1))</f>
        <v>0</v>
      </c>
      <c r="P1760">
        <f>IF(AND($K1760=1,AND(对接源_02物料!$X560="公司筐",N(对接源_02物料!$T560)&lt;&gt;0)),1,0)</f>
        <v>0</v>
      </c>
      <c r="Q1760">
        <f>N(Q1759)+$P1760</f>
        <v>14</v>
      </c>
      <c r="R1760">
        <f>IF(AND($K1760=1,AND(对接源_02物料!$X560="公司筐",N(对接源_02物料!$U560)&lt;&gt;0)),1,0)</f>
        <v>0</v>
      </c>
      <c r="S1760">
        <f>N(S1759)+$R1760</f>
        <v>1</v>
      </c>
      <c r="T1760">
        <f>IF(AND($K1760=1,AND(对接源_02物料!$X560="公司筐",N(对接源_02物料!$V560)&lt;&gt;0)),1,0)</f>
        <v>0</v>
      </c>
      <c r="U1760">
        <f>N(U1759)+$T1760</f>
        <v>47</v>
      </c>
      <c r="V1760">
        <f>IF(AND($L1760=1,AND(对接源_02物料!$X560="自备筐",N(对接源_02物料!$V560)&lt;&gt;0)),1,0)</f>
        <v>0</v>
      </c>
      <c r="W1760">
        <f>N(W1759)+$V1760</f>
        <v>11</v>
      </c>
      <c r="X1760">
        <f>IF(AND($L1760=1,AND(对接源_02物料!$X560="自备筐",N(对接源_02物料!$T560)&lt;&gt;0)),1,0)</f>
        <v>0</v>
      </c>
      <c r="Y1760">
        <f>N(Y1759)+$X1760</f>
        <v>0</v>
      </c>
      <c r="Z1760">
        <f>IF(AND($M1760=1,对接源_02物料!$D560="原料入库"),1,0)</f>
        <v>0</v>
      </c>
      <c r="AA1760">
        <f>N(AA1759)+$Z1760</f>
        <v>24</v>
      </c>
      <c r="AB1760">
        <f>IF(AND($M1760=1,LEFT(对接源_02物料!$D560,4)="原料出库"),1,0)</f>
        <v>0</v>
      </c>
      <c r="AC1760">
        <f>N(AC1759)+$AB1760</f>
        <v>0</v>
      </c>
      <c r="AD1760">
        <f>IF(AND($M1760=1,LEFT(对接源_02物料!$D560,4)="成品出库"),1,0)</f>
        <v>0</v>
      </c>
      <c r="AE1760">
        <f>N(AE1759)+$AD1760</f>
        <v>0</v>
      </c>
      <c r="AF1760">
        <f>IF(AND($N1760=1,AND(LEFT(对接源_02物料!$D560,4)="包装物料",N(对接源_02物料!$K560)&lt;&gt;0)),1,0)</f>
        <v>0</v>
      </c>
      <c r="AG1760">
        <f>N(AG1759)+$AF1760</f>
        <v>10</v>
      </c>
      <c r="AH1760">
        <f>IF(AND($N1760=1,AND(对接源_02物料!$D560="周转筐－销售出库",N(对接源_02物料!$K560)&lt;&gt;0)),1,0)</f>
        <v>0</v>
      </c>
      <c r="AI1760">
        <f>N(AI1759)+$AH1760</f>
        <v>0</v>
      </c>
      <c r="AL1760" t="n">
        <v>0</v>
      </c>
      <c r="AM1760">
        <f>N(AM1759)+$AL1760</f>
        <v>2</v>
      </c>
      <c r="AN1760">
        <f>""</f>
      </c>
      <c r="AO1760" t="n">
        <v>0</v>
      </c>
      <c r="AP1760">
        <f>N(AP1759)+$AO1760</f>
        <v>13</v>
      </c>
      <c r="AR1760">
        <f>IF(OR($AF1760=1,$AH1760=1),1,0)</f>
        <v>0</v>
      </c>
      <c r="AS1760">
        <f>N(AS1759)+$AR1760</f>
        <v>10</v>
      </c>
    </row>
    <row r="1761" s="127">
      <c r="A1761">
        <f>IF(对接源_02物料!$C561="","",对接源_02物料!$C561)</f>
      </c>
      <c r="B1761">
        <f>IF(A1761="",0,IF(MATCH(A1761,$A$4:$A$2403,0)=ROW()-3,1,0))</f>
        <v>0</v>
      </c>
      <c r="C1761">
        <f>N(C1760)+B1761</f>
        <v>26</v>
      </c>
      <c r="K1761">
        <f>IF(OR($K$1="",对接源_02物料!$C561="",对接源_02物料!$C561&lt;&gt;$K$1,对接源_02物料!$B561=""),0,IF(OR(N(对接源_02物料!$B561)&lt;$K$2,N(对接源_02物料!$B561)&gt;$K$3),0,1))</f>
        <v>0</v>
      </c>
      <c r="L1761">
        <f>IF(OR($L$1="",对接源_02物料!$C561="",对接源_02物料!$C561&lt;&gt;$L$1,对接源_02物料!$B561=""),0,IF(OR(N(对接源_02物料!$B561)&lt;$L$2,N(对接源_02物料!$B561)&gt;$L$3),0,1))</f>
        <v>0</v>
      </c>
      <c r="M1761">
        <f>IF(OR($M$1="",对接源_02物料!$C561="",对接源_02物料!$C561&lt;&gt;$M$1,对接源_02物料!$B561=""),0,IF(OR(N(对接源_02物料!$B561)&lt;$M$2,N(对接源_02物料!$B561)&gt;$M$3),0,1))</f>
        <v>0</v>
      </c>
      <c r="N1761">
        <f>IF(OR($N$1="",对接源_02物料!$C561="",对接源_02物料!$C561&lt;&gt;$N$1,对接源_02物料!$B561=""),0,IF(OR(N(对接源_02物料!$B561)&lt;$N$2,N(对接源_02物料!$B561)&gt;$N$3),0,1))</f>
        <v>0</v>
      </c>
      <c r="P1761">
        <f>IF(AND($K1761=1,AND(对接源_02物料!$X561="公司筐",N(对接源_02物料!$T561)&lt;&gt;0)),1,0)</f>
        <v>0</v>
      </c>
      <c r="Q1761">
        <f>N(Q1760)+$P1761</f>
        <v>14</v>
      </c>
      <c r="R1761">
        <f>IF(AND($K1761=1,AND(对接源_02物料!$X561="公司筐",N(对接源_02物料!$U561)&lt;&gt;0)),1,0)</f>
        <v>0</v>
      </c>
      <c r="S1761">
        <f>N(S1760)+$R1761</f>
        <v>1</v>
      </c>
      <c r="T1761">
        <f>IF(AND($K1761=1,AND(对接源_02物料!$X561="公司筐",N(对接源_02物料!$V561)&lt;&gt;0)),1,0)</f>
        <v>0</v>
      </c>
      <c r="U1761">
        <f>N(U1760)+$T1761</f>
        <v>47</v>
      </c>
      <c r="V1761">
        <f>IF(AND($L1761=1,AND(对接源_02物料!$X561="自备筐",N(对接源_02物料!$V561)&lt;&gt;0)),1,0)</f>
        <v>0</v>
      </c>
      <c r="W1761">
        <f>N(W1760)+$V1761</f>
        <v>11</v>
      </c>
      <c r="X1761">
        <f>IF(AND($L1761=1,AND(对接源_02物料!$X561="自备筐",N(对接源_02物料!$T561)&lt;&gt;0)),1,0)</f>
        <v>0</v>
      </c>
      <c r="Y1761">
        <f>N(Y1760)+$X1761</f>
        <v>0</v>
      </c>
      <c r="Z1761">
        <f>IF(AND($M1761=1,对接源_02物料!$D561="原料入库"),1,0)</f>
        <v>0</v>
      </c>
      <c r="AA1761">
        <f>N(AA1760)+$Z1761</f>
        <v>24</v>
      </c>
      <c r="AB1761">
        <f>IF(AND($M1761=1,LEFT(对接源_02物料!$D561,4)="原料出库"),1,0)</f>
        <v>0</v>
      </c>
      <c r="AC1761">
        <f>N(AC1760)+$AB1761</f>
        <v>0</v>
      </c>
      <c r="AD1761">
        <f>IF(AND($M1761=1,LEFT(对接源_02物料!$D561,4)="成品出库"),1,0)</f>
        <v>0</v>
      </c>
      <c r="AE1761">
        <f>N(AE1760)+$AD1761</f>
        <v>0</v>
      </c>
      <c r="AF1761">
        <f>IF(AND($N1761=1,AND(LEFT(对接源_02物料!$D561,4)="包装物料",N(对接源_02物料!$K561)&lt;&gt;0)),1,0)</f>
        <v>0</v>
      </c>
      <c r="AG1761">
        <f>N(AG1760)+$AF1761</f>
        <v>10</v>
      </c>
      <c r="AH1761">
        <f>IF(AND($N1761=1,AND(对接源_02物料!$D561="周转筐－销售出库",N(对接源_02物料!$K561)&lt;&gt;0)),1,0)</f>
        <v>0</v>
      </c>
      <c r="AI1761">
        <f>N(AI1760)+$AH1761</f>
        <v>0</v>
      </c>
      <c r="AL1761" t="n">
        <v>0</v>
      </c>
      <c r="AM1761">
        <f>N(AM1760)+$AL1761</f>
        <v>2</v>
      </c>
      <c r="AN1761">
        <f>""</f>
      </c>
      <c r="AO1761" t="n">
        <v>0</v>
      </c>
      <c r="AP1761">
        <f>N(AP1760)+$AO1761</f>
        <v>13</v>
      </c>
      <c r="AR1761">
        <f>IF(OR($AF1761=1,$AH1761=1),1,0)</f>
        <v>0</v>
      </c>
      <c r="AS1761">
        <f>N(AS1760)+$AR1761</f>
        <v>10</v>
      </c>
    </row>
    <row r="1762" s="127">
      <c r="A1762">
        <f>IF(对接源_02物料!$C562="","",对接源_02物料!$C562)</f>
      </c>
      <c r="B1762">
        <f>IF(A1762="",0,IF(MATCH(A1762,$A$4:$A$2403,0)=ROW()-3,1,0))</f>
        <v>0</v>
      </c>
      <c r="C1762">
        <f>N(C1761)+B1762</f>
        <v>26</v>
      </c>
      <c r="K1762">
        <f>IF(OR($K$1="",对接源_02物料!$C562="",对接源_02物料!$C562&lt;&gt;$K$1,对接源_02物料!$B562=""),0,IF(OR(N(对接源_02物料!$B562)&lt;$K$2,N(对接源_02物料!$B562)&gt;$K$3),0,1))</f>
        <v>0</v>
      </c>
      <c r="L1762">
        <f>IF(OR($L$1="",对接源_02物料!$C562="",对接源_02物料!$C562&lt;&gt;$L$1,对接源_02物料!$B562=""),0,IF(OR(N(对接源_02物料!$B562)&lt;$L$2,N(对接源_02物料!$B562)&gt;$L$3),0,1))</f>
        <v>0</v>
      </c>
      <c r="M1762">
        <f>IF(OR($M$1="",对接源_02物料!$C562="",对接源_02物料!$C562&lt;&gt;$M$1,对接源_02物料!$B562=""),0,IF(OR(N(对接源_02物料!$B562)&lt;$M$2,N(对接源_02物料!$B562)&gt;$M$3),0,1))</f>
        <v>0</v>
      </c>
      <c r="N1762">
        <f>IF(OR($N$1="",对接源_02物料!$C562="",对接源_02物料!$C562&lt;&gt;$N$1,对接源_02物料!$B562=""),0,IF(OR(N(对接源_02物料!$B562)&lt;$N$2,N(对接源_02物料!$B562)&gt;$N$3),0,1))</f>
        <v>0</v>
      </c>
      <c r="P1762">
        <f>IF(AND($K1762=1,AND(对接源_02物料!$X562="公司筐",N(对接源_02物料!$T562)&lt;&gt;0)),1,0)</f>
        <v>0</v>
      </c>
      <c r="Q1762">
        <f>N(Q1761)+$P1762</f>
        <v>14</v>
      </c>
      <c r="R1762">
        <f>IF(AND($K1762=1,AND(对接源_02物料!$X562="公司筐",N(对接源_02物料!$U562)&lt;&gt;0)),1,0)</f>
        <v>0</v>
      </c>
      <c r="S1762">
        <f>N(S1761)+$R1762</f>
        <v>1</v>
      </c>
      <c r="T1762">
        <f>IF(AND($K1762=1,AND(对接源_02物料!$X562="公司筐",N(对接源_02物料!$V562)&lt;&gt;0)),1,0)</f>
        <v>0</v>
      </c>
      <c r="U1762">
        <f>N(U1761)+$T1762</f>
        <v>47</v>
      </c>
      <c r="V1762">
        <f>IF(AND($L1762=1,AND(对接源_02物料!$X562="自备筐",N(对接源_02物料!$V562)&lt;&gt;0)),1,0)</f>
        <v>0</v>
      </c>
      <c r="W1762">
        <f>N(W1761)+$V1762</f>
        <v>11</v>
      </c>
      <c r="X1762">
        <f>IF(AND($L1762=1,AND(对接源_02物料!$X562="自备筐",N(对接源_02物料!$T562)&lt;&gt;0)),1,0)</f>
        <v>0</v>
      </c>
      <c r="Y1762">
        <f>N(Y1761)+$X1762</f>
        <v>0</v>
      </c>
      <c r="Z1762">
        <f>IF(AND($M1762=1,对接源_02物料!$D562="原料入库"),1,0)</f>
        <v>0</v>
      </c>
      <c r="AA1762">
        <f>N(AA1761)+$Z1762</f>
        <v>24</v>
      </c>
      <c r="AB1762">
        <f>IF(AND($M1762=1,LEFT(对接源_02物料!$D562,4)="原料出库"),1,0)</f>
        <v>0</v>
      </c>
      <c r="AC1762">
        <f>N(AC1761)+$AB1762</f>
        <v>0</v>
      </c>
      <c r="AD1762">
        <f>IF(AND($M1762=1,LEFT(对接源_02物料!$D562,4)="成品出库"),1,0)</f>
        <v>0</v>
      </c>
      <c r="AE1762">
        <f>N(AE1761)+$AD1762</f>
        <v>0</v>
      </c>
      <c r="AF1762">
        <f>IF(AND($N1762=1,AND(LEFT(对接源_02物料!$D562,4)="包装物料",N(对接源_02物料!$K562)&lt;&gt;0)),1,0)</f>
        <v>0</v>
      </c>
      <c r="AG1762">
        <f>N(AG1761)+$AF1762</f>
        <v>10</v>
      </c>
      <c r="AH1762">
        <f>IF(AND($N1762=1,AND(对接源_02物料!$D562="周转筐－销售出库",N(对接源_02物料!$K562)&lt;&gt;0)),1,0)</f>
        <v>0</v>
      </c>
      <c r="AI1762">
        <f>N(AI1761)+$AH1762</f>
        <v>0</v>
      </c>
      <c r="AL1762" t="n">
        <v>0</v>
      </c>
      <c r="AM1762">
        <f>N(AM1761)+$AL1762</f>
        <v>2</v>
      </c>
      <c r="AN1762">
        <f>""</f>
      </c>
      <c r="AO1762" t="n">
        <v>0</v>
      </c>
      <c r="AP1762">
        <f>N(AP1761)+$AO1762</f>
        <v>13</v>
      </c>
      <c r="AR1762">
        <f>IF(OR($AF1762=1,$AH1762=1),1,0)</f>
        <v>0</v>
      </c>
      <c r="AS1762">
        <f>N(AS1761)+$AR1762</f>
        <v>10</v>
      </c>
    </row>
    <row r="1763" s="127">
      <c r="A1763">
        <f>IF(对接源_02物料!$C563="","",对接源_02物料!$C563)</f>
      </c>
      <c r="B1763">
        <f>IF(A1763="",0,IF(MATCH(A1763,$A$4:$A$2403,0)=ROW()-3,1,0))</f>
        <v>0</v>
      </c>
      <c r="C1763">
        <f>N(C1762)+B1763</f>
        <v>26</v>
      </c>
      <c r="K1763">
        <f>IF(OR($K$1="",对接源_02物料!$C563="",对接源_02物料!$C563&lt;&gt;$K$1,对接源_02物料!$B563=""),0,IF(OR(N(对接源_02物料!$B563)&lt;$K$2,N(对接源_02物料!$B563)&gt;$K$3),0,1))</f>
        <v>0</v>
      </c>
      <c r="L1763">
        <f>IF(OR($L$1="",对接源_02物料!$C563="",对接源_02物料!$C563&lt;&gt;$L$1,对接源_02物料!$B563=""),0,IF(OR(N(对接源_02物料!$B563)&lt;$L$2,N(对接源_02物料!$B563)&gt;$L$3),0,1))</f>
        <v>0</v>
      </c>
      <c r="M1763">
        <f>IF(OR($M$1="",对接源_02物料!$C563="",对接源_02物料!$C563&lt;&gt;$M$1,对接源_02物料!$B563=""),0,IF(OR(N(对接源_02物料!$B563)&lt;$M$2,N(对接源_02物料!$B563)&gt;$M$3),0,1))</f>
        <v>0</v>
      </c>
      <c r="N1763">
        <f>IF(OR($N$1="",对接源_02物料!$C563="",对接源_02物料!$C563&lt;&gt;$N$1,对接源_02物料!$B563=""),0,IF(OR(N(对接源_02物料!$B563)&lt;$N$2,N(对接源_02物料!$B563)&gt;$N$3),0,1))</f>
        <v>0</v>
      </c>
      <c r="P1763">
        <f>IF(AND($K1763=1,AND(对接源_02物料!$X563="公司筐",N(对接源_02物料!$T563)&lt;&gt;0)),1,0)</f>
        <v>0</v>
      </c>
      <c r="Q1763">
        <f>N(Q1762)+$P1763</f>
        <v>14</v>
      </c>
      <c r="R1763">
        <f>IF(AND($K1763=1,AND(对接源_02物料!$X563="公司筐",N(对接源_02物料!$U563)&lt;&gt;0)),1,0)</f>
        <v>0</v>
      </c>
      <c r="S1763">
        <f>N(S1762)+$R1763</f>
        <v>1</v>
      </c>
      <c r="T1763">
        <f>IF(AND($K1763=1,AND(对接源_02物料!$X563="公司筐",N(对接源_02物料!$V563)&lt;&gt;0)),1,0)</f>
        <v>0</v>
      </c>
      <c r="U1763">
        <f>N(U1762)+$T1763</f>
        <v>47</v>
      </c>
      <c r="V1763">
        <f>IF(AND($L1763=1,AND(对接源_02物料!$X563="自备筐",N(对接源_02物料!$V563)&lt;&gt;0)),1,0)</f>
        <v>0</v>
      </c>
      <c r="W1763">
        <f>N(W1762)+$V1763</f>
        <v>11</v>
      </c>
      <c r="X1763">
        <f>IF(AND($L1763=1,AND(对接源_02物料!$X563="自备筐",N(对接源_02物料!$T563)&lt;&gt;0)),1,0)</f>
        <v>0</v>
      </c>
      <c r="Y1763">
        <f>N(Y1762)+$X1763</f>
        <v>0</v>
      </c>
      <c r="Z1763">
        <f>IF(AND($M1763=1,对接源_02物料!$D563="原料入库"),1,0)</f>
        <v>0</v>
      </c>
      <c r="AA1763">
        <f>N(AA1762)+$Z1763</f>
        <v>24</v>
      </c>
      <c r="AB1763">
        <f>IF(AND($M1763=1,LEFT(对接源_02物料!$D563,4)="原料出库"),1,0)</f>
        <v>0</v>
      </c>
      <c r="AC1763">
        <f>N(AC1762)+$AB1763</f>
        <v>0</v>
      </c>
      <c r="AD1763">
        <f>IF(AND($M1763=1,LEFT(对接源_02物料!$D563,4)="成品出库"),1,0)</f>
        <v>0</v>
      </c>
      <c r="AE1763">
        <f>N(AE1762)+$AD1763</f>
        <v>0</v>
      </c>
      <c r="AF1763">
        <f>IF(AND($N1763=1,AND(LEFT(对接源_02物料!$D563,4)="包装物料",N(对接源_02物料!$K563)&lt;&gt;0)),1,0)</f>
        <v>0</v>
      </c>
      <c r="AG1763">
        <f>N(AG1762)+$AF1763</f>
        <v>10</v>
      </c>
      <c r="AH1763">
        <f>IF(AND($N1763=1,AND(对接源_02物料!$D563="周转筐－销售出库",N(对接源_02物料!$K563)&lt;&gt;0)),1,0)</f>
        <v>0</v>
      </c>
      <c r="AI1763">
        <f>N(AI1762)+$AH1763</f>
        <v>0</v>
      </c>
      <c r="AL1763" t="n">
        <v>0</v>
      </c>
      <c r="AM1763">
        <f>N(AM1762)+$AL1763</f>
        <v>2</v>
      </c>
      <c r="AN1763">
        <f>""</f>
      </c>
      <c r="AO1763" t="n">
        <v>0</v>
      </c>
      <c r="AP1763">
        <f>N(AP1762)+$AO1763</f>
        <v>13</v>
      </c>
      <c r="AR1763">
        <f>IF(OR($AF1763=1,$AH1763=1),1,0)</f>
        <v>0</v>
      </c>
      <c r="AS1763">
        <f>N(AS1762)+$AR1763</f>
        <v>10</v>
      </c>
    </row>
    <row r="1764" s="127">
      <c r="A1764">
        <f>IF(对接源_02物料!$C564="","",对接源_02物料!$C564)</f>
      </c>
      <c r="B1764">
        <f>IF(A1764="",0,IF(MATCH(A1764,$A$4:$A$2403,0)=ROW()-3,1,0))</f>
        <v>0</v>
      </c>
      <c r="C1764">
        <f>N(C1763)+B1764</f>
        <v>26</v>
      </c>
      <c r="K1764">
        <f>IF(OR($K$1="",对接源_02物料!$C564="",对接源_02物料!$C564&lt;&gt;$K$1,对接源_02物料!$B564=""),0,IF(OR(N(对接源_02物料!$B564)&lt;$K$2,N(对接源_02物料!$B564)&gt;$K$3),0,1))</f>
        <v>0</v>
      </c>
      <c r="L1764">
        <f>IF(OR($L$1="",对接源_02物料!$C564="",对接源_02物料!$C564&lt;&gt;$L$1,对接源_02物料!$B564=""),0,IF(OR(N(对接源_02物料!$B564)&lt;$L$2,N(对接源_02物料!$B564)&gt;$L$3),0,1))</f>
        <v>0</v>
      </c>
      <c r="M1764">
        <f>IF(OR($M$1="",对接源_02物料!$C564="",对接源_02物料!$C564&lt;&gt;$M$1,对接源_02物料!$B564=""),0,IF(OR(N(对接源_02物料!$B564)&lt;$M$2,N(对接源_02物料!$B564)&gt;$M$3),0,1))</f>
        <v>0</v>
      </c>
      <c r="N1764">
        <f>IF(OR($N$1="",对接源_02物料!$C564="",对接源_02物料!$C564&lt;&gt;$N$1,对接源_02物料!$B564=""),0,IF(OR(N(对接源_02物料!$B564)&lt;$N$2,N(对接源_02物料!$B564)&gt;$N$3),0,1))</f>
        <v>0</v>
      </c>
      <c r="P1764">
        <f>IF(AND($K1764=1,AND(对接源_02物料!$X564="公司筐",N(对接源_02物料!$T564)&lt;&gt;0)),1,0)</f>
        <v>0</v>
      </c>
      <c r="Q1764">
        <f>N(Q1763)+$P1764</f>
        <v>14</v>
      </c>
      <c r="R1764">
        <f>IF(AND($K1764=1,AND(对接源_02物料!$X564="公司筐",N(对接源_02物料!$U564)&lt;&gt;0)),1,0)</f>
        <v>0</v>
      </c>
      <c r="S1764">
        <f>N(S1763)+$R1764</f>
        <v>1</v>
      </c>
      <c r="T1764">
        <f>IF(AND($K1764=1,AND(对接源_02物料!$X564="公司筐",N(对接源_02物料!$V564)&lt;&gt;0)),1,0)</f>
        <v>0</v>
      </c>
      <c r="U1764">
        <f>N(U1763)+$T1764</f>
        <v>47</v>
      </c>
      <c r="V1764">
        <f>IF(AND($L1764=1,AND(对接源_02物料!$X564="自备筐",N(对接源_02物料!$V564)&lt;&gt;0)),1,0)</f>
        <v>0</v>
      </c>
      <c r="W1764">
        <f>N(W1763)+$V1764</f>
        <v>11</v>
      </c>
      <c r="X1764">
        <f>IF(AND($L1764=1,AND(对接源_02物料!$X564="自备筐",N(对接源_02物料!$T564)&lt;&gt;0)),1,0)</f>
        <v>0</v>
      </c>
      <c r="Y1764">
        <f>N(Y1763)+$X1764</f>
        <v>0</v>
      </c>
      <c r="Z1764">
        <f>IF(AND($M1764=1,对接源_02物料!$D564="原料入库"),1,0)</f>
        <v>0</v>
      </c>
      <c r="AA1764">
        <f>N(AA1763)+$Z1764</f>
        <v>24</v>
      </c>
      <c r="AB1764">
        <f>IF(AND($M1764=1,LEFT(对接源_02物料!$D564,4)="原料出库"),1,0)</f>
        <v>0</v>
      </c>
      <c r="AC1764">
        <f>N(AC1763)+$AB1764</f>
        <v>0</v>
      </c>
      <c r="AD1764">
        <f>IF(AND($M1764=1,LEFT(对接源_02物料!$D564,4)="成品出库"),1,0)</f>
        <v>0</v>
      </c>
      <c r="AE1764">
        <f>N(AE1763)+$AD1764</f>
        <v>0</v>
      </c>
      <c r="AF1764">
        <f>IF(AND($N1764=1,AND(LEFT(对接源_02物料!$D564,4)="包装物料",N(对接源_02物料!$K564)&lt;&gt;0)),1,0)</f>
        <v>0</v>
      </c>
      <c r="AG1764">
        <f>N(AG1763)+$AF1764</f>
        <v>10</v>
      </c>
      <c r="AH1764">
        <f>IF(AND($N1764=1,AND(对接源_02物料!$D564="周转筐－销售出库",N(对接源_02物料!$K564)&lt;&gt;0)),1,0)</f>
        <v>0</v>
      </c>
      <c r="AI1764">
        <f>N(AI1763)+$AH1764</f>
        <v>0</v>
      </c>
      <c r="AL1764" t="n">
        <v>0</v>
      </c>
      <c r="AM1764">
        <f>N(AM1763)+$AL1764</f>
        <v>2</v>
      </c>
      <c r="AN1764">
        <f>""</f>
      </c>
      <c r="AO1764" t="n">
        <v>0</v>
      </c>
      <c r="AP1764">
        <f>N(AP1763)+$AO1764</f>
        <v>13</v>
      </c>
      <c r="AR1764">
        <f>IF(OR($AF1764=1,$AH1764=1),1,0)</f>
        <v>0</v>
      </c>
      <c r="AS1764">
        <f>N(AS1763)+$AR1764</f>
        <v>10</v>
      </c>
    </row>
    <row r="1765" s="127">
      <c r="A1765">
        <f>IF(对接源_02物料!$C565="","",对接源_02物料!$C565)</f>
      </c>
      <c r="B1765">
        <f>IF(A1765="",0,IF(MATCH(A1765,$A$4:$A$2403,0)=ROW()-3,1,0))</f>
        <v>0</v>
      </c>
      <c r="C1765">
        <f>N(C1764)+B1765</f>
        <v>26</v>
      </c>
      <c r="K1765">
        <f>IF(OR($K$1="",对接源_02物料!$C565="",对接源_02物料!$C565&lt;&gt;$K$1,对接源_02物料!$B565=""),0,IF(OR(N(对接源_02物料!$B565)&lt;$K$2,N(对接源_02物料!$B565)&gt;$K$3),0,1))</f>
        <v>0</v>
      </c>
      <c r="L1765">
        <f>IF(OR($L$1="",对接源_02物料!$C565="",对接源_02物料!$C565&lt;&gt;$L$1,对接源_02物料!$B565=""),0,IF(OR(N(对接源_02物料!$B565)&lt;$L$2,N(对接源_02物料!$B565)&gt;$L$3),0,1))</f>
        <v>0</v>
      </c>
      <c r="M1765">
        <f>IF(OR($M$1="",对接源_02物料!$C565="",对接源_02物料!$C565&lt;&gt;$M$1,对接源_02物料!$B565=""),0,IF(OR(N(对接源_02物料!$B565)&lt;$M$2,N(对接源_02物料!$B565)&gt;$M$3),0,1))</f>
        <v>0</v>
      </c>
      <c r="N1765">
        <f>IF(OR($N$1="",对接源_02物料!$C565="",对接源_02物料!$C565&lt;&gt;$N$1,对接源_02物料!$B565=""),0,IF(OR(N(对接源_02物料!$B565)&lt;$N$2,N(对接源_02物料!$B565)&gt;$N$3),0,1))</f>
        <v>0</v>
      </c>
      <c r="P1765">
        <f>IF(AND($K1765=1,AND(对接源_02物料!$X565="公司筐",N(对接源_02物料!$T565)&lt;&gt;0)),1,0)</f>
        <v>0</v>
      </c>
      <c r="Q1765">
        <f>N(Q1764)+$P1765</f>
        <v>14</v>
      </c>
      <c r="R1765">
        <f>IF(AND($K1765=1,AND(对接源_02物料!$X565="公司筐",N(对接源_02物料!$U565)&lt;&gt;0)),1,0)</f>
        <v>0</v>
      </c>
      <c r="S1765">
        <f>N(S1764)+$R1765</f>
        <v>1</v>
      </c>
      <c r="T1765">
        <f>IF(AND($K1765=1,AND(对接源_02物料!$X565="公司筐",N(对接源_02物料!$V565)&lt;&gt;0)),1,0)</f>
        <v>0</v>
      </c>
      <c r="U1765">
        <f>N(U1764)+$T1765</f>
        <v>47</v>
      </c>
      <c r="V1765">
        <f>IF(AND($L1765=1,AND(对接源_02物料!$X565="自备筐",N(对接源_02物料!$V565)&lt;&gt;0)),1,0)</f>
        <v>0</v>
      </c>
      <c r="W1765">
        <f>N(W1764)+$V1765</f>
        <v>11</v>
      </c>
      <c r="X1765">
        <f>IF(AND($L1765=1,AND(对接源_02物料!$X565="自备筐",N(对接源_02物料!$T565)&lt;&gt;0)),1,0)</f>
        <v>0</v>
      </c>
      <c r="Y1765">
        <f>N(Y1764)+$X1765</f>
        <v>0</v>
      </c>
      <c r="Z1765">
        <f>IF(AND($M1765=1,对接源_02物料!$D565="原料入库"),1,0)</f>
        <v>0</v>
      </c>
      <c r="AA1765">
        <f>N(AA1764)+$Z1765</f>
        <v>24</v>
      </c>
      <c r="AB1765">
        <f>IF(AND($M1765=1,LEFT(对接源_02物料!$D565,4)="原料出库"),1,0)</f>
        <v>0</v>
      </c>
      <c r="AC1765">
        <f>N(AC1764)+$AB1765</f>
        <v>0</v>
      </c>
      <c r="AD1765">
        <f>IF(AND($M1765=1,LEFT(对接源_02物料!$D565,4)="成品出库"),1,0)</f>
        <v>0</v>
      </c>
      <c r="AE1765">
        <f>N(AE1764)+$AD1765</f>
        <v>0</v>
      </c>
      <c r="AF1765">
        <f>IF(AND($N1765=1,AND(LEFT(对接源_02物料!$D565,4)="包装物料",N(对接源_02物料!$K565)&lt;&gt;0)),1,0)</f>
        <v>0</v>
      </c>
      <c r="AG1765">
        <f>N(AG1764)+$AF1765</f>
        <v>10</v>
      </c>
      <c r="AH1765">
        <f>IF(AND($N1765=1,AND(对接源_02物料!$D565="周转筐－销售出库",N(对接源_02物料!$K565)&lt;&gt;0)),1,0)</f>
        <v>0</v>
      </c>
      <c r="AI1765">
        <f>N(AI1764)+$AH1765</f>
        <v>0</v>
      </c>
      <c r="AL1765" t="n">
        <v>0</v>
      </c>
      <c r="AM1765">
        <f>N(AM1764)+$AL1765</f>
        <v>2</v>
      </c>
      <c r="AN1765">
        <f>""</f>
      </c>
      <c r="AO1765" t="n">
        <v>0</v>
      </c>
      <c r="AP1765">
        <f>N(AP1764)+$AO1765</f>
        <v>13</v>
      </c>
      <c r="AR1765">
        <f>IF(OR($AF1765=1,$AH1765=1),1,0)</f>
        <v>0</v>
      </c>
      <c r="AS1765">
        <f>N(AS1764)+$AR1765</f>
        <v>10</v>
      </c>
    </row>
    <row r="1766" s="127">
      <c r="A1766">
        <f>IF(对接源_02物料!$C566="","",对接源_02物料!$C566)</f>
      </c>
      <c r="B1766">
        <f>IF(A1766="",0,IF(MATCH(A1766,$A$4:$A$2403,0)=ROW()-3,1,0))</f>
        <v>0</v>
      </c>
      <c r="C1766">
        <f>N(C1765)+B1766</f>
        <v>26</v>
      </c>
      <c r="K1766">
        <f>IF(OR($K$1="",对接源_02物料!$C566="",对接源_02物料!$C566&lt;&gt;$K$1,对接源_02物料!$B566=""),0,IF(OR(N(对接源_02物料!$B566)&lt;$K$2,N(对接源_02物料!$B566)&gt;$K$3),0,1))</f>
        <v>0</v>
      </c>
      <c r="L1766">
        <f>IF(OR($L$1="",对接源_02物料!$C566="",对接源_02物料!$C566&lt;&gt;$L$1,对接源_02物料!$B566=""),0,IF(OR(N(对接源_02物料!$B566)&lt;$L$2,N(对接源_02物料!$B566)&gt;$L$3),0,1))</f>
        <v>0</v>
      </c>
      <c r="M1766">
        <f>IF(OR($M$1="",对接源_02物料!$C566="",对接源_02物料!$C566&lt;&gt;$M$1,对接源_02物料!$B566=""),0,IF(OR(N(对接源_02物料!$B566)&lt;$M$2,N(对接源_02物料!$B566)&gt;$M$3),0,1))</f>
        <v>0</v>
      </c>
      <c r="N1766">
        <f>IF(OR($N$1="",对接源_02物料!$C566="",对接源_02物料!$C566&lt;&gt;$N$1,对接源_02物料!$B566=""),0,IF(OR(N(对接源_02物料!$B566)&lt;$N$2,N(对接源_02物料!$B566)&gt;$N$3),0,1))</f>
        <v>0</v>
      </c>
      <c r="P1766">
        <f>IF(AND($K1766=1,AND(对接源_02物料!$X566="公司筐",N(对接源_02物料!$T566)&lt;&gt;0)),1,0)</f>
        <v>0</v>
      </c>
      <c r="Q1766">
        <f>N(Q1765)+$P1766</f>
        <v>14</v>
      </c>
      <c r="R1766">
        <f>IF(AND($K1766=1,AND(对接源_02物料!$X566="公司筐",N(对接源_02物料!$U566)&lt;&gt;0)),1,0)</f>
        <v>0</v>
      </c>
      <c r="S1766">
        <f>N(S1765)+$R1766</f>
        <v>1</v>
      </c>
      <c r="T1766">
        <f>IF(AND($K1766=1,AND(对接源_02物料!$X566="公司筐",N(对接源_02物料!$V566)&lt;&gt;0)),1,0)</f>
        <v>0</v>
      </c>
      <c r="U1766">
        <f>N(U1765)+$T1766</f>
        <v>47</v>
      </c>
      <c r="V1766">
        <f>IF(AND($L1766=1,AND(对接源_02物料!$X566="自备筐",N(对接源_02物料!$V566)&lt;&gt;0)),1,0)</f>
        <v>0</v>
      </c>
      <c r="W1766">
        <f>N(W1765)+$V1766</f>
        <v>11</v>
      </c>
      <c r="X1766">
        <f>IF(AND($L1766=1,AND(对接源_02物料!$X566="自备筐",N(对接源_02物料!$T566)&lt;&gt;0)),1,0)</f>
        <v>0</v>
      </c>
      <c r="Y1766">
        <f>N(Y1765)+$X1766</f>
        <v>0</v>
      </c>
      <c r="Z1766">
        <f>IF(AND($M1766=1,对接源_02物料!$D566="原料入库"),1,0)</f>
        <v>0</v>
      </c>
      <c r="AA1766">
        <f>N(AA1765)+$Z1766</f>
        <v>24</v>
      </c>
      <c r="AB1766">
        <f>IF(AND($M1766=1,LEFT(对接源_02物料!$D566,4)="原料出库"),1,0)</f>
        <v>0</v>
      </c>
      <c r="AC1766">
        <f>N(AC1765)+$AB1766</f>
        <v>0</v>
      </c>
      <c r="AD1766">
        <f>IF(AND($M1766=1,LEFT(对接源_02物料!$D566,4)="成品出库"),1,0)</f>
        <v>0</v>
      </c>
      <c r="AE1766">
        <f>N(AE1765)+$AD1766</f>
        <v>0</v>
      </c>
      <c r="AF1766">
        <f>IF(AND($N1766=1,AND(LEFT(对接源_02物料!$D566,4)="包装物料",N(对接源_02物料!$K566)&lt;&gt;0)),1,0)</f>
        <v>0</v>
      </c>
      <c r="AG1766">
        <f>N(AG1765)+$AF1766</f>
        <v>10</v>
      </c>
      <c r="AH1766">
        <f>IF(AND($N1766=1,AND(对接源_02物料!$D566="周转筐－销售出库",N(对接源_02物料!$K566)&lt;&gt;0)),1,0)</f>
        <v>0</v>
      </c>
      <c r="AI1766">
        <f>N(AI1765)+$AH1766</f>
        <v>0</v>
      </c>
      <c r="AL1766" t="n">
        <v>0</v>
      </c>
      <c r="AM1766">
        <f>N(AM1765)+$AL1766</f>
        <v>2</v>
      </c>
      <c r="AN1766">
        <f>""</f>
      </c>
      <c r="AO1766" t="n">
        <v>0</v>
      </c>
      <c r="AP1766">
        <f>N(AP1765)+$AO1766</f>
        <v>13</v>
      </c>
      <c r="AR1766">
        <f>IF(OR($AF1766=1,$AH1766=1),1,0)</f>
        <v>0</v>
      </c>
      <c r="AS1766">
        <f>N(AS1765)+$AR1766</f>
        <v>10</v>
      </c>
    </row>
    <row r="1767" s="127">
      <c r="A1767">
        <f>IF(对接源_02物料!$C567="","",对接源_02物料!$C567)</f>
      </c>
      <c r="B1767">
        <f>IF(A1767="",0,IF(MATCH(A1767,$A$4:$A$2403,0)=ROW()-3,1,0))</f>
        <v>0</v>
      </c>
      <c r="C1767">
        <f>N(C1766)+B1767</f>
        <v>26</v>
      </c>
      <c r="K1767">
        <f>IF(OR($K$1="",对接源_02物料!$C567="",对接源_02物料!$C567&lt;&gt;$K$1,对接源_02物料!$B567=""),0,IF(OR(N(对接源_02物料!$B567)&lt;$K$2,N(对接源_02物料!$B567)&gt;$K$3),0,1))</f>
        <v>0</v>
      </c>
      <c r="L1767">
        <f>IF(OR($L$1="",对接源_02物料!$C567="",对接源_02物料!$C567&lt;&gt;$L$1,对接源_02物料!$B567=""),0,IF(OR(N(对接源_02物料!$B567)&lt;$L$2,N(对接源_02物料!$B567)&gt;$L$3),0,1))</f>
        <v>0</v>
      </c>
      <c r="M1767">
        <f>IF(OR($M$1="",对接源_02物料!$C567="",对接源_02物料!$C567&lt;&gt;$M$1,对接源_02物料!$B567=""),0,IF(OR(N(对接源_02物料!$B567)&lt;$M$2,N(对接源_02物料!$B567)&gt;$M$3),0,1))</f>
        <v>0</v>
      </c>
      <c r="N1767">
        <f>IF(OR($N$1="",对接源_02物料!$C567="",对接源_02物料!$C567&lt;&gt;$N$1,对接源_02物料!$B567=""),0,IF(OR(N(对接源_02物料!$B567)&lt;$N$2,N(对接源_02物料!$B567)&gt;$N$3),0,1))</f>
        <v>0</v>
      </c>
      <c r="P1767">
        <f>IF(AND($K1767=1,AND(对接源_02物料!$X567="公司筐",N(对接源_02物料!$T567)&lt;&gt;0)),1,0)</f>
        <v>0</v>
      </c>
      <c r="Q1767">
        <f>N(Q1766)+$P1767</f>
        <v>14</v>
      </c>
      <c r="R1767">
        <f>IF(AND($K1767=1,AND(对接源_02物料!$X567="公司筐",N(对接源_02物料!$U567)&lt;&gt;0)),1,0)</f>
        <v>0</v>
      </c>
      <c r="S1767">
        <f>N(S1766)+$R1767</f>
        <v>1</v>
      </c>
      <c r="T1767">
        <f>IF(AND($K1767=1,AND(对接源_02物料!$X567="公司筐",N(对接源_02物料!$V567)&lt;&gt;0)),1,0)</f>
        <v>0</v>
      </c>
      <c r="U1767">
        <f>N(U1766)+$T1767</f>
        <v>47</v>
      </c>
      <c r="V1767">
        <f>IF(AND($L1767=1,AND(对接源_02物料!$X567="自备筐",N(对接源_02物料!$V567)&lt;&gt;0)),1,0)</f>
        <v>0</v>
      </c>
      <c r="W1767">
        <f>N(W1766)+$V1767</f>
        <v>11</v>
      </c>
      <c r="X1767">
        <f>IF(AND($L1767=1,AND(对接源_02物料!$X567="自备筐",N(对接源_02物料!$T567)&lt;&gt;0)),1,0)</f>
        <v>0</v>
      </c>
      <c r="Y1767">
        <f>N(Y1766)+$X1767</f>
        <v>0</v>
      </c>
      <c r="Z1767">
        <f>IF(AND($M1767=1,对接源_02物料!$D567="原料入库"),1,0)</f>
        <v>0</v>
      </c>
      <c r="AA1767">
        <f>N(AA1766)+$Z1767</f>
        <v>24</v>
      </c>
      <c r="AB1767">
        <f>IF(AND($M1767=1,LEFT(对接源_02物料!$D567,4)="原料出库"),1,0)</f>
        <v>0</v>
      </c>
      <c r="AC1767">
        <f>N(AC1766)+$AB1767</f>
        <v>0</v>
      </c>
      <c r="AD1767">
        <f>IF(AND($M1767=1,LEFT(对接源_02物料!$D567,4)="成品出库"),1,0)</f>
        <v>0</v>
      </c>
      <c r="AE1767">
        <f>N(AE1766)+$AD1767</f>
        <v>0</v>
      </c>
      <c r="AF1767">
        <f>IF(AND($N1767=1,AND(LEFT(对接源_02物料!$D567,4)="包装物料",N(对接源_02物料!$K567)&lt;&gt;0)),1,0)</f>
        <v>0</v>
      </c>
      <c r="AG1767">
        <f>N(AG1766)+$AF1767</f>
        <v>10</v>
      </c>
      <c r="AH1767">
        <f>IF(AND($N1767=1,AND(对接源_02物料!$D567="周转筐－销售出库",N(对接源_02物料!$K567)&lt;&gt;0)),1,0)</f>
        <v>0</v>
      </c>
      <c r="AI1767">
        <f>N(AI1766)+$AH1767</f>
        <v>0</v>
      </c>
      <c r="AL1767" t="n">
        <v>0</v>
      </c>
      <c r="AM1767">
        <f>N(AM1766)+$AL1767</f>
        <v>2</v>
      </c>
      <c r="AN1767">
        <f>""</f>
      </c>
      <c r="AO1767" t="n">
        <v>0</v>
      </c>
      <c r="AP1767">
        <f>N(AP1766)+$AO1767</f>
        <v>13</v>
      </c>
      <c r="AR1767">
        <f>IF(OR($AF1767=1,$AH1767=1),1,0)</f>
        <v>0</v>
      </c>
      <c r="AS1767">
        <f>N(AS1766)+$AR1767</f>
        <v>10</v>
      </c>
    </row>
    <row r="1768" s="127">
      <c r="A1768">
        <f>IF(对接源_02物料!$C568="","",对接源_02物料!$C568)</f>
      </c>
      <c r="B1768">
        <f>IF(A1768="",0,IF(MATCH(A1768,$A$4:$A$2403,0)=ROW()-3,1,0))</f>
        <v>0</v>
      </c>
      <c r="C1768">
        <f>N(C1767)+B1768</f>
        <v>26</v>
      </c>
      <c r="K1768">
        <f>IF(OR($K$1="",对接源_02物料!$C568="",对接源_02物料!$C568&lt;&gt;$K$1,对接源_02物料!$B568=""),0,IF(OR(N(对接源_02物料!$B568)&lt;$K$2,N(对接源_02物料!$B568)&gt;$K$3),0,1))</f>
        <v>0</v>
      </c>
      <c r="L1768">
        <f>IF(OR($L$1="",对接源_02物料!$C568="",对接源_02物料!$C568&lt;&gt;$L$1,对接源_02物料!$B568=""),0,IF(OR(N(对接源_02物料!$B568)&lt;$L$2,N(对接源_02物料!$B568)&gt;$L$3),0,1))</f>
        <v>0</v>
      </c>
      <c r="M1768">
        <f>IF(OR($M$1="",对接源_02物料!$C568="",对接源_02物料!$C568&lt;&gt;$M$1,对接源_02物料!$B568=""),0,IF(OR(N(对接源_02物料!$B568)&lt;$M$2,N(对接源_02物料!$B568)&gt;$M$3),0,1))</f>
        <v>0</v>
      </c>
      <c r="N1768">
        <f>IF(OR($N$1="",对接源_02物料!$C568="",对接源_02物料!$C568&lt;&gt;$N$1,对接源_02物料!$B568=""),0,IF(OR(N(对接源_02物料!$B568)&lt;$N$2,N(对接源_02物料!$B568)&gt;$N$3),0,1))</f>
        <v>0</v>
      </c>
      <c r="P1768">
        <f>IF(AND($K1768=1,AND(对接源_02物料!$X568="公司筐",N(对接源_02物料!$T568)&lt;&gt;0)),1,0)</f>
        <v>0</v>
      </c>
      <c r="Q1768">
        <f>N(Q1767)+$P1768</f>
        <v>14</v>
      </c>
      <c r="R1768">
        <f>IF(AND($K1768=1,AND(对接源_02物料!$X568="公司筐",N(对接源_02物料!$U568)&lt;&gt;0)),1,0)</f>
        <v>0</v>
      </c>
      <c r="S1768">
        <f>N(S1767)+$R1768</f>
        <v>1</v>
      </c>
      <c r="T1768">
        <f>IF(AND($K1768=1,AND(对接源_02物料!$X568="公司筐",N(对接源_02物料!$V568)&lt;&gt;0)),1,0)</f>
        <v>0</v>
      </c>
      <c r="U1768">
        <f>N(U1767)+$T1768</f>
        <v>47</v>
      </c>
      <c r="V1768">
        <f>IF(AND($L1768=1,AND(对接源_02物料!$X568="自备筐",N(对接源_02物料!$V568)&lt;&gt;0)),1,0)</f>
        <v>0</v>
      </c>
      <c r="W1768">
        <f>N(W1767)+$V1768</f>
        <v>11</v>
      </c>
      <c r="X1768">
        <f>IF(AND($L1768=1,AND(对接源_02物料!$X568="自备筐",N(对接源_02物料!$T568)&lt;&gt;0)),1,0)</f>
        <v>0</v>
      </c>
      <c r="Y1768">
        <f>N(Y1767)+$X1768</f>
        <v>0</v>
      </c>
      <c r="Z1768">
        <f>IF(AND($M1768=1,对接源_02物料!$D568="原料入库"),1,0)</f>
        <v>0</v>
      </c>
      <c r="AA1768">
        <f>N(AA1767)+$Z1768</f>
        <v>24</v>
      </c>
      <c r="AB1768">
        <f>IF(AND($M1768=1,LEFT(对接源_02物料!$D568,4)="原料出库"),1,0)</f>
        <v>0</v>
      </c>
      <c r="AC1768">
        <f>N(AC1767)+$AB1768</f>
        <v>0</v>
      </c>
      <c r="AD1768">
        <f>IF(AND($M1768=1,LEFT(对接源_02物料!$D568,4)="成品出库"),1,0)</f>
        <v>0</v>
      </c>
      <c r="AE1768">
        <f>N(AE1767)+$AD1768</f>
        <v>0</v>
      </c>
      <c r="AF1768">
        <f>IF(AND($N1768=1,AND(LEFT(对接源_02物料!$D568,4)="包装物料",N(对接源_02物料!$K568)&lt;&gt;0)),1,0)</f>
        <v>0</v>
      </c>
      <c r="AG1768">
        <f>N(AG1767)+$AF1768</f>
        <v>10</v>
      </c>
      <c r="AH1768">
        <f>IF(AND($N1768=1,AND(对接源_02物料!$D568="周转筐－销售出库",N(对接源_02物料!$K568)&lt;&gt;0)),1,0)</f>
        <v>0</v>
      </c>
      <c r="AI1768">
        <f>N(AI1767)+$AH1768</f>
        <v>0</v>
      </c>
      <c r="AL1768" t="n">
        <v>0</v>
      </c>
      <c r="AM1768">
        <f>N(AM1767)+$AL1768</f>
        <v>2</v>
      </c>
      <c r="AN1768">
        <f>""</f>
      </c>
      <c r="AO1768" t="n">
        <v>0</v>
      </c>
      <c r="AP1768">
        <f>N(AP1767)+$AO1768</f>
        <v>13</v>
      </c>
      <c r="AR1768">
        <f>IF(OR($AF1768=1,$AH1768=1),1,0)</f>
        <v>0</v>
      </c>
      <c r="AS1768">
        <f>N(AS1767)+$AR1768</f>
        <v>10</v>
      </c>
    </row>
    <row r="1769" s="127">
      <c r="A1769">
        <f>IF(对接源_02物料!$C569="","",对接源_02物料!$C569)</f>
      </c>
      <c r="B1769">
        <f>IF(A1769="",0,IF(MATCH(A1769,$A$4:$A$2403,0)=ROW()-3,1,0))</f>
        <v>0</v>
      </c>
      <c r="C1769">
        <f>N(C1768)+B1769</f>
        <v>26</v>
      </c>
      <c r="K1769">
        <f>IF(OR($K$1="",对接源_02物料!$C569="",对接源_02物料!$C569&lt;&gt;$K$1,对接源_02物料!$B569=""),0,IF(OR(N(对接源_02物料!$B569)&lt;$K$2,N(对接源_02物料!$B569)&gt;$K$3),0,1))</f>
        <v>0</v>
      </c>
      <c r="L1769">
        <f>IF(OR($L$1="",对接源_02物料!$C569="",对接源_02物料!$C569&lt;&gt;$L$1,对接源_02物料!$B569=""),0,IF(OR(N(对接源_02物料!$B569)&lt;$L$2,N(对接源_02物料!$B569)&gt;$L$3),0,1))</f>
        <v>0</v>
      </c>
      <c r="M1769">
        <f>IF(OR($M$1="",对接源_02物料!$C569="",对接源_02物料!$C569&lt;&gt;$M$1,对接源_02物料!$B569=""),0,IF(OR(N(对接源_02物料!$B569)&lt;$M$2,N(对接源_02物料!$B569)&gt;$M$3),0,1))</f>
        <v>0</v>
      </c>
      <c r="N1769">
        <f>IF(OR($N$1="",对接源_02物料!$C569="",对接源_02物料!$C569&lt;&gt;$N$1,对接源_02物料!$B569=""),0,IF(OR(N(对接源_02物料!$B569)&lt;$N$2,N(对接源_02物料!$B569)&gt;$N$3),0,1))</f>
        <v>0</v>
      </c>
      <c r="P1769">
        <f>IF(AND($K1769=1,AND(对接源_02物料!$X569="公司筐",N(对接源_02物料!$T569)&lt;&gt;0)),1,0)</f>
        <v>0</v>
      </c>
      <c r="Q1769">
        <f>N(Q1768)+$P1769</f>
        <v>14</v>
      </c>
      <c r="R1769">
        <f>IF(AND($K1769=1,AND(对接源_02物料!$X569="公司筐",N(对接源_02物料!$U569)&lt;&gt;0)),1,0)</f>
        <v>0</v>
      </c>
      <c r="S1769">
        <f>N(S1768)+$R1769</f>
        <v>1</v>
      </c>
      <c r="T1769">
        <f>IF(AND($K1769=1,AND(对接源_02物料!$X569="公司筐",N(对接源_02物料!$V569)&lt;&gt;0)),1,0)</f>
        <v>0</v>
      </c>
      <c r="U1769">
        <f>N(U1768)+$T1769</f>
        <v>47</v>
      </c>
      <c r="V1769">
        <f>IF(AND($L1769=1,AND(对接源_02物料!$X569="自备筐",N(对接源_02物料!$V569)&lt;&gt;0)),1,0)</f>
        <v>0</v>
      </c>
      <c r="W1769">
        <f>N(W1768)+$V1769</f>
        <v>11</v>
      </c>
      <c r="X1769">
        <f>IF(AND($L1769=1,AND(对接源_02物料!$X569="自备筐",N(对接源_02物料!$T569)&lt;&gt;0)),1,0)</f>
        <v>0</v>
      </c>
      <c r="Y1769">
        <f>N(Y1768)+$X1769</f>
        <v>0</v>
      </c>
      <c r="Z1769">
        <f>IF(AND($M1769=1,对接源_02物料!$D569="原料入库"),1,0)</f>
        <v>0</v>
      </c>
      <c r="AA1769">
        <f>N(AA1768)+$Z1769</f>
        <v>24</v>
      </c>
      <c r="AB1769">
        <f>IF(AND($M1769=1,LEFT(对接源_02物料!$D569,4)="原料出库"),1,0)</f>
        <v>0</v>
      </c>
      <c r="AC1769">
        <f>N(AC1768)+$AB1769</f>
        <v>0</v>
      </c>
      <c r="AD1769">
        <f>IF(AND($M1769=1,LEFT(对接源_02物料!$D569,4)="成品出库"),1,0)</f>
        <v>0</v>
      </c>
      <c r="AE1769">
        <f>N(AE1768)+$AD1769</f>
        <v>0</v>
      </c>
      <c r="AF1769">
        <f>IF(AND($N1769=1,AND(LEFT(对接源_02物料!$D569,4)="包装物料",N(对接源_02物料!$K569)&lt;&gt;0)),1,0)</f>
        <v>0</v>
      </c>
      <c r="AG1769">
        <f>N(AG1768)+$AF1769</f>
        <v>10</v>
      </c>
      <c r="AH1769">
        <f>IF(AND($N1769=1,AND(对接源_02物料!$D569="周转筐－销售出库",N(对接源_02物料!$K569)&lt;&gt;0)),1,0)</f>
        <v>0</v>
      </c>
      <c r="AI1769">
        <f>N(AI1768)+$AH1769</f>
        <v>0</v>
      </c>
      <c r="AL1769" t="n">
        <v>0</v>
      </c>
      <c r="AM1769">
        <f>N(AM1768)+$AL1769</f>
        <v>2</v>
      </c>
      <c r="AN1769">
        <f>""</f>
      </c>
      <c r="AO1769" t="n">
        <v>0</v>
      </c>
      <c r="AP1769">
        <f>N(AP1768)+$AO1769</f>
        <v>13</v>
      </c>
      <c r="AR1769">
        <f>IF(OR($AF1769=1,$AH1769=1),1,0)</f>
        <v>0</v>
      </c>
      <c r="AS1769">
        <f>N(AS1768)+$AR1769</f>
        <v>10</v>
      </c>
    </row>
    <row r="1770" s="127">
      <c r="A1770">
        <f>IF(对接源_02物料!$C570="","",对接源_02物料!$C570)</f>
      </c>
      <c r="B1770">
        <f>IF(A1770="",0,IF(MATCH(A1770,$A$4:$A$2403,0)=ROW()-3,1,0))</f>
        <v>0</v>
      </c>
      <c r="C1770">
        <f>N(C1769)+B1770</f>
        <v>26</v>
      </c>
      <c r="K1770">
        <f>IF(OR($K$1="",对接源_02物料!$C570="",对接源_02物料!$C570&lt;&gt;$K$1,对接源_02物料!$B570=""),0,IF(OR(N(对接源_02物料!$B570)&lt;$K$2,N(对接源_02物料!$B570)&gt;$K$3),0,1))</f>
        <v>0</v>
      </c>
      <c r="L1770">
        <f>IF(OR($L$1="",对接源_02物料!$C570="",对接源_02物料!$C570&lt;&gt;$L$1,对接源_02物料!$B570=""),0,IF(OR(N(对接源_02物料!$B570)&lt;$L$2,N(对接源_02物料!$B570)&gt;$L$3),0,1))</f>
        <v>0</v>
      </c>
      <c r="M1770">
        <f>IF(OR($M$1="",对接源_02物料!$C570="",对接源_02物料!$C570&lt;&gt;$M$1,对接源_02物料!$B570=""),0,IF(OR(N(对接源_02物料!$B570)&lt;$M$2,N(对接源_02物料!$B570)&gt;$M$3),0,1))</f>
        <v>0</v>
      </c>
      <c r="N1770">
        <f>IF(OR($N$1="",对接源_02物料!$C570="",对接源_02物料!$C570&lt;&gt;$N$1,对接源_02物料!$B570=""),0,IF(OR(N(对接源_02物料!$B570)&lt;$N$2,N(对接源_02物料!$B570)&gt;$N$3),0,1))</f>
        <v>0</v>
      </c>
      <c r="P1770">
        <f>IF(AND($K1770=1,AND(对接源_02物料!$X570="公司筐",N(对接源_02物料!$T570)&lt;&gt;0)),1,0)</f>
        <v>0</v>
      </c>
      <c r="Q1770">
        <f>N(Q1769)+$P1770</f>
        <v>14</v>
      </c>
      <c r="R1770">
        <f>IF(AND($K1770=1,AND(对接源_02物料!$X570="公司筐",N(对接源_02物料!$U570)&lt;&gt;0)),1,0)</f>
        <v>0</v>
      </c>
      <c r="S1770">
        <f>N(S1769)+$R1770</f>
        <v>1</v>
      </c>
      <c r="T1770">
        <f>IF(AND($K1770=1,AND(对接源_02物料!$X570="公司筐",N(对接源_02物料!$V570)&lt;&gt;0)),1,0)</f>
        <v>0</v>
      </c>
      <c r="U1770">
        <f>N(U1769)+$T1770</f>
        <v>47</v>
      </c>
      <c r="V1770">
        <f>IF(AND($L1770=1,AND(对接源_02物料!$X570="自备筐",N(对接源_02物料!$V570)&lt;&gt;0)),1,0)</f>
        <v>0</v>
      </c>
      <c r="W1770">
        <f>N(W1769)+$V1770</f>
        <v>11</v>
      </c>
      <c r="X1770">
        <f>IF(AND($L1770=1,AND(对接源_02物料!$X570="自备筐",N(对接源_02物料!$T570)&lt;&gt;0)),1,0)</f>
        <v>0</v>
      </c>
      <c r="Y1770">
        <f>N(Y1769)+$X1770</f>
        <v>0</v>
      </c>
      <c r="Z1770">
        <f>IF(AND($M1770=1,对接源_02物料!$D570="原料入库"),1,0)</f>
        <v>0</v>
      </c>
      <c r="AA1770">
        <f>N(AA1769)+$Z1770</f>
        <v>24</v>
      </c>
      <c r="AB1770">
        <f>IF(AND($M1770=1,LEFT(对接源_02物料!$D570,4)="原料出库"),1,0)</f>
        <v>0</v>
      </c>
      <c r="AC1770">
        <f>N(AC1769)+$AB1770</f>
        <v>0</v>
      </c>
      <c r="AD1770">
        <f>IF(AND($M1770=1,LEFT(对接源_02物料!$D570,4)="成品出库"),1,0)</f>
        <v>0</v>
      </c>
      <c r="AE1770">
        <f>N(AE1769)+$AD1770</f>
        <v>0</v>
      </c>
      <c r="AF1770">
        <f>IF(AND($N1770=1,AND(LEFT(对接源_02物料!$D570,4)="包装物料",N(对接源_02物料!$K570)&lt;&gt;0)),1,0)</f>
        <v>0</v>
      </c>
      <c r="AG1770">
        <f>N(AG1769)+$AF1770</f>
        <v>10</v>
      </c>
      <c r="AH1770">
        <f>IF(AND($N1770=1,AND(对接源_02物料!$D570="周转筐－销售出库",N(对接源_02物料!$K570)&lt;&gt;0)),1,0)</f>
        <v>0</v>
      </c>
      <c r="AI1770">
        <f>N(AI1769)+$AH1770</f>
        <v>0</v>
      </c>
      <c r="AL1770" t="n">
        <v>0</v>
      </c>
      <c r="AM1770">
        <f>N(AM1769)+$AL1770</f>
        <v>2</v>
      </c>
      <c r="AN1770">
        <f>""</f>
      </c>
      <c r="AO1770" t="n">
        <v>0</v>
      </c>
      <c r="AP1770">
        <f>N(AP1769)+$AO1770</f>
        <v>13</v>
      </c>
      <c r="AR1770">
        <f>IF(OR($AF1770=1,$AH1770=1),1,0)</f>
        <v>0</v>
      </c>
      <c r="AS1770">
        <f>N(AS1769)+$AR1770</f>
        <v>10</v>
      </c>
    </row>
    <row r="1771" s="127">
      <c r="A1771">
        <f>IF(对接源_02物料!$C571="","",对接源_02物料!$C571)</f>
      </c>
      <c r="B1771">
        <f>IF(A1771="",0,IF(MATCH(A1771,$A$4:$A$2403,0)=ROW()-3,1,0))</f>
        <v>0</v>
      </c>
      <c r="C1771">
        <f>N(C1770)+B1771</f>
        <v>26</v>
      </c>
      <c r="K1771">
        <f>IF(OR($K$1="",对接源_02物料!$C571="",对接源_02物料!$C571&lt;&gt;$K$1,对接源_02物料!$B571=""),0,IF(OR(N(对接源_02物料!$B571)&lt;$K$2,N(对接源_02物料!$B571)&gt;$K$3),0,1))</f>
        <v>0</v>
      </c>
      <c r="L1771">
        <f>IF(OR($L$1="",对接源_02物料!$C571="",对接源_02物料!$C571&lt;&gt;$L$1,对接源_02物料!$B571=""),0,IF(OR(N(对接源_02物料!$B571)&lt;$L$2,N(对接源_02物料!$B571)&gt;$L$3),0,1))</f>
        <v>0</v>
      </c>
      <c r="M1771">
        <f>IF(OR($M$1="",对接源_02物料!$C571="",对接源_02物料!$C571&lt;&gt;$M$1,对接源_02物料!$B571=""),0,IF(OR(N(对接源_02物料!$B571)&lt;$M$2,N(对接源_02物料!$B571)&gt;$M$3),0,1))</f>
        <v>0</v>
      </c>
      <c r="N1771">
        <f>IF(OR($N$1="",对接源_02物料!$C571="",对接源_02物料!$C571&lt;&gt;$N$1,对接源_02物料!$B571=""),0,IF(OR(N(对接源_02物料!$B571)&lt;$N$2,N(对接源_02物料!$B571)&gt;$N$3),0,1))</f>
        <v>0</v>
      </c>
      <c r="P1771">
        <f>IF(AND($K1771=1,AND(对接源_02物料!$X571="公司筐",N(对接源_02物料!$T571)&lt;&gt;0)),1,0)</f>
        <v>0</v>
      </c>
      <c r="Q1771">
        <f>N(Q1770)+$P1771</f>
        <v>14</v>
      </c>
      <c r="R1771">
        <f>IF(AND($K1771=1,AND(对接源_02物料!$X571="公司筐",N(对接源_02物料!$U571)&lt;&gt;0)),1,0)</f>
        <v>0</v>
      </c>
      <c r="S1771">
        <f>N(S1770)+$R1771</f>
        <v>1</v>
      </c>
      <c r="T1771">
        <f>IF(AND($K1771=1,AND(对接源_02物料!$X571="公司筐",N(对接源_02物料!$V571)&lt;&gt;0)),1,0)</f>
        <v>0</v>
      </c>
      <c r="U1771">
        <f>N(U1770)+$T1771</f>
        <v>47</v>
      </c>
      <c r="V1771">
        <f>IF(AND($L1771=1,AND(对接源_02物料!$X571="自备筐",N(对接源_02物料!$V571)&lt;&gt;0)),1,0)</f>
        <v>0</v>
      </c>
      <c r="W1771">
        <f>N(W1770)+$V1771</f>
        <v>11</v>
      </c>
      <c r="X1771">
        <f>IF(AND($L1771=1,AND(对接源_02物料!$X571="自备筐",N(对接源_02物料!$T571)&lt;&gt;0)),1,0)</f>
        <v>0</v>
      </c>
      <c r="Y1771">
        <f>N(Y1770)+$X1771</f>
        <v>0</v>
      </c>
      <c r="Z1771">
        <f>IF(AND($M1771=1,对接源_02物料!$D571="原料入库"),1,0)</f>
        <v>0</v>
      </c>
      <c r="AA1771">
        <f>N(AA1770)+$Z1771</f>
        <v>24</v>
      </c>
      <c r="AB1771">
        <f>IF(AND($M1771=1,LEFT(对接源_02物料!$D571,4)="原料出库"),1,0)</f>
        <v>0</v>
      </c>
      <c r="AC1771">
        <f>N(AC1770)+$AB1771</f>
        <v>0</v>
      </c>
      <c r="AD1771">
        <f>IF(AND($M1771=1,LEFT(对接源_02物料!$D571,4)="成品出库"),1,0)</f>
        <v>0</v>
      </c>
      <c r="AE1771">
        <f>N(AE1770)+$AD1771</f>
        <v>0</v>
      </c>
      <c r="AF1771">
        <f>IF(AND($N1771=1,AND(LEFT(对接源_02物料!$D571,4)="包装物料",N(对接源_02物料!$K571)&lt;&gt;0)),1,0)</f>
        <v>0</v>
      </c>
      <c r="AG1771">
        <f>N(AG1770)+$AF1771</f>
        <v>10</v>
      </c>
      <c r="AH1771">
        <f>IF(AND($N1771=1,AND(对接源_02物料!$D571="周转筐－销售出库",N(对接源_02物料!$K571)&lt;&gt;0)),1,0)</f>
        <v>0</v>
      </c>
      <c r="AI1771">
        <f>N(AI1770)+$AH1771</f>
        <v>0</v>
      </c>
      <c r="AL1771" t="n">
        <v>0</v>
      </c>
      <c r="AM1771">
        <f>N(AM1770)+$AL1771</f>
        <v>2</v>
      </c>
      <c r="AN1771">
        <f>""</f>
      </c>
      <c r="AO1771" t="n">
        <v>0</v>
      </c>
      <c r="AP1771">
        <f>N(AP1770)+$AO1771</f>
        <v>13</v>
      </c>
      <c r="AR1771">
        <f>IF(OR($AF1771=1,$AH1771=1),1,0)</f>
        <v>0</v>
      </c>
      <c r="AS1771">
        <f>N(AS1770)+$AR1771</f>
        <v>10</v>
      </c>
    </row>
    <row r="1772" s="127">
      <c r="A1772">
        <f>IF(对接源_02物料!$C572="","",对接源_02物料!$C572)</f>
      </c>
      <c r="B1772">
        <f>IF(A1772="",0,IF(MATCH(A1772,$A$4:$A$2403,0)=ROW()-3,1,0))</f>
        <v>0</v>
      </c>
      <c r="C1772">
        <f>N(C1771)+B1772</f>
        <v>26</v>
      </c>
      <c r="K1772">
        <f>IF(OR($K$1="",对接源_02物料!$C572="",对接源_02物料!$C572&lt;&gt;$K$1,对接源_02物料!$B572=""),0,IF(OR(N(对接源_02物料!$B572)&lt;$K$2,N(对接源_02物料!$B572)&gt;$K$3),0,1))</f>
        <v>0</v>
      </c>
      <c r="L1772">
        <f>IF(OR($L$1="",对接源_02物料!$C572="",对接源_02物料!$C572&lt;&gt;$L$1,对接源_02物料!$B572=""),0,IF(OR(N(对接源_02物料!$B572)&lt;$L$2,N(对接源_02物料!$B572)&gt;$L$3),0,1))</f>
        <v>0</v>
      </c>
      <c r="M1772">
        <f>IF(OR($M$1="",对接源_02物料!$C572="",对接源_02物料!$C572&lt;&gt;$M$1,对接源_02物料!$B572=""),0,IF(OR(N(对接源_02物料!$B572)&lt;$M$2,N(对接源_02物料!$B572)&gt;$M$3),0,1))</f>
        <v>0</v>
      </c>
      <c r="N1772">
        <f>IF(OR($N$1="",对接源_02物料!$C572="",对接源_02物料!$C572&lt;&gt;$N$1,对接源_02物料!$B572=""),0,IF(OR(N(对接源_02物料!$B572)&lt;$N$2,N(对接源_02物料!$B572)&gt;$N$3),0,1))</f>
        <v>0</v>
      </c>
      <c r="P1772">
        <f>IF(AND($K1772=1,AND(对接源_02物料!$X572="公司筐",N(对接源_02物料!$T572)&lt;&gt;0)),1,0)</f>
        <v>0</v>
      </c>
      <c r="Q1772">
        <f>N(Q1771)+$P1772</f>
        <v>14</v>
      </c>
      <c r="R1772">
        <f>IF(AND($K1772=1,AND(对接源_02物料!$X572="公司筐",N(对接源_02物料!$U572)&lt;&gt;0)),1,0)</f>
        <v>0</v>
      </c>
      <c r="S1772">
        <f>N(S1771)+$R1772</f>
        <v>1</v>
      </c>
      <c r="T1772">
        <f>IF(AND($K1772=1,AND(对接源_02物料!$X572="公司筐",N(对接源_02物料!$V572)&lt;&gt;0)),1,0)</f>
        <v>0</v>
      </c>
      <c r="U1772">
        <f>N(U1771)+$T1772</f>
        <v>47</v>
      </c>
      <c r="V1772">
        <f>IF(AND($L1772=1,AND(对接源_02物料!$X572="自备筐",N(对接源_02物料!$V572)&lt;&gt;0)),1,0)</f>
        <v>0</v>
      </c>
      <c r="W1772">
        <f>N(W1771)+$V1772</f>
        <v>11</v>
      </c>
      <c r="X1772">
        <f>IF(AND($L1772=1,AND(对接源_02物料!$X572="自备筐",N(对接源_02物料!$T572)&lt;&gt;0)),1,0)</f>
        <v>0</v>
      </c>
      <c r="Y1772">
        <f>N(Y1771)+$X1772</f>
        <v>0</v>
      </c>
      <c r="Z1772">
        <f>IF(AND($M1772=1,对接源_02物料!$D572="原料入库"),1,0)</f>
        <v>0</v>
      </c>
      <c r="AA1772">
        <f>N(AA1771)+$Z1772</f>
        <v>24</v>
      </c>
      <c r="AB1772">
        <f>IF(AND($M1772=1,LEFT(对接源_02物料!$D572,4)="原料出库"),1,0)</f>
        <v>0</v>
      </c>
      <c r="AC1772">
        <f>N(AC1771)+$AB1772</f>
        <v>0</v>
      </c>
      <c r="AD1772">
        <f>IF(AND($M1772=1,LEFT(对接源_02物料!$D572,4)="成品出库"),1,0)</f>
        <v>0</v>
      </c>
      <c r="AE1772">
        <f>N(AE1771)+$AD1772</f>
        <v>0</v>
      </c>
      <c r="AF1772">
        <f>IF(AND($N1772=1,AND(LEFT(对接源_02物料!$D572,4)="包装物料",N(对接源_02物料!$K572)&lt;&gt;0)),1,0)</f>
        <v>0</v>
      </c>
      <c r="AG1772">
        <f>N(AG1771)+$AF1772</f>
        <v>10</v>
      </c>
      <c r="AH1772">
        <f>IF(AND($N1772=1,AND(对接源_02物料!$D572="周转筐－销售出库",N(对接源_02物料!$K572)&lt;&gt;0)),1,0)</f>
        <v>0</v>
      </c>
      <c r="AI1772">
        <f>N(AI1771)+$AH1772</f>
        <v>0</v>
      </c>
      <c r="AL1772" t="n">
        <v>0</v>
      </c>
      <c r="AM1772">
        <f>N(AM1771)+$AL1772</f>
        <v>2</v>
      </c>
      <c r="AN1772">
        <f>""</f>
      </c>
      <c r="AO1772" t="n">
        <v>0</v>
      </c>
      <c r="AP1772">
        <f>N(AP1771)+$AO1772</f>
        <v>13</v>
      </c>
      <c r="AR1772">
        <f>IF(OR($AF1772=1,$AH1772=1),1,0)</f>
        <v>0</v>
      </c>
      <c r="AS1772">
        <f>N(AS1771)+$AR1772</f>
        <v>10</v>
      </c>
    </row>
    <row r="1773" s="127">
      <c r="A1773">
        <f>IF(对接源_02物料!$C573="","",对接源_02物料!$C573)</f>
      </c>
      <c r="B1773">
        <f>IF(A1773="",0,IF(MATCH(A1773,$A$4:$A$2403,0)=ROW()-3,1,0))</f>
        <v>0</v>
      </c>
      <c r="C1773">
        <f>N(C1772)+B1773</f>
        <v>26</v>
      </c>
      <c r="K1773">
        <f>IF(OR($K$1="",对接源_02物料!$C573="",对接源_02物料!$C573&lt;&gt;$K$1,对接源_02物料!$B573=""),0,IF(OR(N(对接源_02物料!$B573)&lt;$K$2,N(对接源_02物料!$B573)&gt;$K$3),0,1))</f>
        <v>0</v>
      </c>
      <c r="L1773">
        <f>IF(OR($L$1="",对接源_02物料!$C573="",对接源_02物料!$C573&lt;&gt;$L$1,对接源_02物料!$B573=""),0,IF(OR(N(对接源_02物料!$B573)&lt;$L$2,N(对接源_02物料!$B573)&gt;$L$3),0,1))</f>
        <v>0</v>
      </c>
      <c r="M1773">
        <f>IF(OR($M$1="",对接源_02物料!$C573="",对接源_02物料!$C573&lt;&gt;$M$1,对接源_02物料!$B573=""),0,IF(OR(N(对接源_02物料!$B573)&lt;$M$2,N(对接源_02物料!$B573)&gt;$M$3),0,1))</f>
        <v>0</v>
      </c>
      <c r="N1773">
        <f>IF(OR($N$1="",对接源_02物料!$C573="",对接源_02物料!$C573&lt;&gt;$N$1,对接源_02物料!$B573=""),0,IF(OR(N(对接源_02物料!$B573)&lt;$N$2,N(对接源_02物料!$B573)&gt;$N$3),0,1))</f>
        <v>0</v>
      </c>
      <c r="P1773">
        <f>IF(AND($K1773=1,AND(对接源_02物料!$X573="公司筐",N(对接源_02物料!$T573)&lt;&gt;0)),1,0)</f>
        <v>0</v>
      </c>
      <c r="Q1773">
        <f>N(Q1772)+$P1773</f>
        <v>14</v>
      </c>
      <c r="R1773">
        <f>IF(AND($K1773=1,AND(对接源_02物料!$X573="公司筐",N(对接源_02物料!$U573)&lt;&gt;0)),1,0)</f>
        <v>0</v>
      </c>
      <c r="S1773">
        <f>N(S1772)+$R1773</f>
        <v>1</v>
      </c>
      <c r="T1773">
        <f>IF(AND($K1773=1,AND(对接源_02物料!$X573="公司筐",N(对接源_02物料!$V573)&lt;&gt;0)),1,0)</f>
        <v>0</v>
      </c>
      <c r="U1773">
        <f>N(U1772)+$T1773</f>
        <v>47</v>
      </c>
      <c r="V1773">
        <f>IF(AND($L1773=1,AND(对接源_02物料!$X573="自备筐",N(对接源_02物料!$V573)&lt;&gt;0)),1,0)</f>
        <v>0</v>
      </c>
      <c r="W1773">
        <f>N(W1772)+$V1773</f>
        <v>11</v>
      </c>
      <c r="X1773">
        <f>IF(AND($L1773=1,AND(对接源_02物料!$X573="自备筐",N(对接源_02物料!$T573)&lt;&gt;0)),1,0)</f>
        <v>0</v>
      </c>
      <c r="Y1773">
        <f>N(Y1772)+$X1773</f>
        <v>0</v>
      </c>
      <c r="Z1773">
        <f>IF(AND($M1773=1,对接源_02物料!$D573="原料入库"),1,0)</f>
        <v>0</v>
      </c>
      <c r="AA1773">
        <f>N(AA1772)+$Z1773</f>
        <v>24</v>
      </c>
      <c r="AB1773">
        <f>IF(AND($M1773=1,LEFT(对接源_02物料!$D573,4)="原料出库"),1,0)</f>
        <v>0</v>
      </c>
      <c r="AC1773">
        <f>N(AC1772)+$AB1773</f>
        <v>0</v>
      </c>
      <c r="AD1773">
        <f>IF(AND($M1773=1,LEFT(对接源_02物料!$D573,4)="成品出库"),1,0)</f>
        <v>0</v>
      </c>
      <c r="AE1773">
        <f>N(AE1772)+$AD1773</f>
        <v>0</v>
      </c>
      <c r="AF1773">
        <f>IF(AND($N1773=1,AND(LEFT(对接源_02物料!$D573,4)="包装物料",N(对接源_02物料!$K573)&lt;&gt;0)),1,0)</f>
        <v>0</v>
      </c>
      <c r="AG1773">
        <f>N(AG1772)+$AF1773</f>
        <v>10</v>
      </c>
      <c r="AH1773">
        <f>IF(AND($N1773=1,AND(对接源_02物料!$D573="周转筐－销售出库",N(对接源_02物料!$K573)&lt;&gt;0)),1,0)</f>
        <v>0</v>
      </c>
      <c r="AI1773">
        <f>N(AI1772)+$AH1773</f>
        <v>0</v>
      </c>
      <c r="AL1773" t="n">
        <v>0</v>
      </c>
      <c r="AM1773">
        <f>N(AM1772)+$AL1773</f>
        <v>2</v>
      </c>
      <c r="AN1773">
        <f>""</f>
      </c>
      <c r="AO1773" t="n">
        <v>0</v>
      </c>
      <c r="AP1773">
        <f>N(AP1772)+$AO1773</f>
        <v>13</v>
      </c>
      <c r="AR1773">
        <f>IF(OR($AF1773=1,$AH1773=1),1,0)</f>
        <v>0</v>
      </c>
      <c r="AS1773">
        <f>N(AS1772)+$AR1773</f>
        <v>10</v>
      </c>
    </row>
    <row r="1774" s="127">
      <c r="A1774">
        <f>IF(对接源_02物料!$C574="","",对接源_02物料!$C574)</f>
      </c>
      <c r="B1774">
        <f>IF(A1774="",0,IF(MATCH(A1774,$A$4:$A$2403,0)=ROW()-3,1,0))</f>
        <v>0</v>
      </c>
      <c r="C1774">
        <f>N(C1773)+B1774</f>
        <v>26</v>
      </c>
      <c r="K1774">
        <f>IF(OR($K$1="",对接源_02物料!$C574="",对接源_02物料!$C574&lt;&gt;$K$1,对接源_02物料!$B574=""),0,IF(OR(N(对接源_02物料!$B574)&lt;$K$2,N(对接源_02物料!$B574)&gt;$K$3),0,1))</f>
        <v>0</v>
      </c>
      <c r="L1774">
        <f>IF(OR($L$1="",对接源_02物料!$C574="",对接源_02物料!$C574&lt;&gt;$L$1,对接源_02物料!$B574=""),0,IF(OR(N(对接源_02物料!$B574)&lt;$L$2,N(对接源_02物料!$B574)&gt;$L$3),0,1))</f>
        <v>0</v>
      </c>
      <c r="M1774">
        <f>IF(OR($M$1="",对接源_02物料!$C574="",对接源_02物料!$C574&lt;&gt;$M$1,对接源_02物料!$B574=""),0,IF(OR(N(对接源_02物料!$B574)&lt;$M$2,N(对接源_02物料!$B574)&gt;$M$3),0,1))</f>
        <v>0</v>
      </c>
      <c r="N1774">
        <f>IF(OR($N$1="",对接源_02物料!$C574="",对接源_02物料!$C574&lt;&gt;$N$1,对接源_02物料!$B574=""),0,IF(OR(N(对接源_02物料!$B574)&lt;$N$2,N(对接源_02物料!$B574)&gt;$N$3),0,1))</f>
        <v>0</v>
      </c>
      <c r="P1774">
        <f>IF(AND($K1774=1,AND(对接源_02物料!$X574="公司筐",N(对接源_02物料!$T574)&lt;&gt;0)),1,0)</f>
        <v>0</v>
      </c>
      <c r="Q1774">
        <f>N(Q1773)+$P1774</f>
        <v>14</v>
      </c>
      <c r="R1774">
        <f>IF(AND($K1774=1,AND(对接源_02物料!$X574="公司筐",N(对接源_02物料!$U574)&lt;&gt;0)),1,0)</f>
        <v>0</v>
      </c>
      <c r="S1774">
        <f>N(S1773)+$R1774</f>
        <v>1</v>
      </c>
      <c r="T1774">
        <f>IF(AND($K1774=1,AND(对接源_02物料!$X574="公司筐",N(对接源_02物料!$V574)&lt;&gt;0)),1,0)</f>
        <v>0</v>
      </c>
      <c r="U1774">
        <f>N(U1773)+$T1774</f>
        <v>47</v>
      </c>
      <c r="V1774">
        <f>IF(AND($L1774=1,AND(对接源_02物料!$X574="自备筐",N(对接源_02物料!$V574)&lt;&gt;0)),1,0)</f>
        <v>0</v>
      </c>
      <c r="W1774">
        <f>N(W1773)+$V1774</f>
        <v>11</v>
      </c>
      <c r="X1774">
        <f>IF(AND($L1774=1,AND(对接源_02物料!$X574="自备筐",N(对接源_02物料!$T574)&lt;&gt;0)),1,0)</f>
        <v>0</v>
      </c>
      <c r="Y1774">
        <f>N(Y1773)+$X1774</f>
        <v>0</v>
      </c>
      <c r="Z1774">
        <f>IF(AND($M1774=1,对接源_02物料!$D574="原料入库"),1,0)</f>
        <v>0</v>
      </c>
      <c r="AA1774">
        <f>N(AA1773)+$Z1774</f>
        <v>24</v>
      </c>
      <c r="AB1774">
        <f>IF(AND($M1774=1,LEFT(对接源_02物料!$D574,4)="原料出库"),1,0)</f>
        <v>0</v>
      </c>
      <c r="AC1774">
        <f>N(AC1773)+$AB1774</f>
        <v>0</v>
      </c>
      <c r="AD1774">
        <f>IF(AND($M1774=1,LEFT(对接源_02物料!$D574,4)="成品出库"),1,0)</f>
        <v>0</v>
      </c>
      <c r="AE1774">
        <f>N(AE1773)+$AD1774</f>
        <v>0</v>
      </c>
      <c r="AF1774">
        <f>IF(AND($N1774=1,AND(LEFT(对接源_02物料!$D574,4)="包装物料",N(对接源_02物料!$K574)&lt;&gt;0)),1,0)</f>
        <v>0</v>
      </c>
      <c r="AG1774">
        <f>N(AG1773)+$AF1774</f>
        <v>10</v>
      </c>
      <c r="AH1774">
        <f>IF(AND($N1774=1,AND(对接源_02物料!$D574="周转筐－销售出库",N(对接源_02物料!$K574)&lt;&gt;0)),1,0)</f>
        <v>0</v>
      </c>
      <c r="AI1774">
        <f>N(AI1773)+$AH1774</f>
        <v>0</v>
      </c>
      <c r="AL1774" t="n">
        <v>0</v>
      </c>
      <c r="AM1774">
        <f>N(AM1773)+$AL1774</f>
        <v>2</v>
      </c>
      <c r="AN1774">
        <f>""</f>
      </c>
      <c r="AO1774" t="n">
        <v>0</v>
      </c>
      <c r="AP1774">
        <f>N(AP1773)+$AO1774</f>
        <v>13</v>
      </c>
      <c r="AR1774">
        <f>IF(OR($AF1774=1,$AH1774=1),1,0)</f>
        <v>0</v>
      </c>
      <c r="AS1774">
        <f>N(AS1773)+$AR1774</f>
        <v>10</v>
      </c>
    </row>
    <row r="1775" s="127">
      <c r="A1775">
        <f>IF(对接源_02物料!$C575="","",对接源_02物料!$C575)</f>
      </c>
      <c r="B1775">
        <f>IF(A1775="",0,IF(MATCH(A1775,$A$4:$A$2403,0)=ROW()-3,1,0))</f>
        <v>0</v>
      </c>
      <c r="C1775">
        <f>N(C1774)+B1775</f>
        <v>26</v>
      </c>
      <c r="K1775">
        <f>IF(OR($K$1="",对接源_02物料!$C575="",对接源_02物料!$C575&lt;&gt;$K$1,对接源_02物料!$B575=""),0,IF(OR(N(对接源_02物料!$B575)&lt;$K$2,N(对接源_02物料!$B575)&gt;$K$3),0,1))</f>
        <v>0</v>
      </c>
      <c r="L1775">
        <f>IF(OR($L$1="",对接源_02物料!$C575="",对接源_02物料!$C575&lt;&gt;$L$1,对接源_02物料!$B575=""),0,IF(OR(N(对接源_02物料!$B575)&lt;$L$2,N(对接源_02物料!$B575)&gt;$L$3),0,1))</f>
        <v>0</v>
      </c>
      <c r="M1775">
        <f>IF(OR($M$1="",对接源_02物料!$C575="",对接源_02物料!$C575&lt;&gt;$M$1,对接源_02物料!$B575=""),0,IF(OR(N(对接源_02物料!$B575)&lt;$M$2,N(对接源_02物料!$B575)&gt;$M$3),0,1))</f>
        <v>0</v>
      </c>
      <c r="N1775">
        <f>IF(OR($N$1="",对接源_02物料!$C575="",对接源_02物料!$C575&lt;&gt;$N$1,对接源_02物料!$B575=""),0,IF(OR(N(对接源_02物料!$B575)&lt;$N$2,N(对接源_02物料!$B575)&gt;$N$3),0,1))</f>
        <v>0</v>
      </c>
      <c r="P1775">
        <f>IF(AND($K1775=1,AND(对接源_02物料!$X575="公司筐",N(对接源_02物料!$T575)&lt;&gt;0)),1,0)</f>
        <v>0</v>
      </c>
      <c r="Q1775">
        <f>N(Q1774)+$P1775</f>
        <v>14</v>
      </c>
      <c r="R1775">
        <f>IF(AND($K1775=1,AND(对接源_02物料!$X575="公司筐",N(对接源_02物料!$U575)&lt;&gt;0)),1,0)</f>
        <v>0</v>
      </c>
      <c r="S1775">
        <f>N(S1774)+$R1775</f>
        <v>1</v>
      </c>
      <c r="T1775">
        <f>IF(AND($K1775=1,AND(对接源_02物料!$X575="公司筐",N(对接源_02物料!$V575)&lt;&gt;0)),1,0)</f>
        <v>0</v>
      </c>
      <c r="U1775">
        <f>N(U1774)+$T1775</f>
        <v>47</v>
      </c>
      <c r="V1775">
        <f>IF(AND($L1775=1,AND(对接源_02物料!$X575="自备筐",N(对接源_02物料!$V575)&lt;&gt;0)),1,0)</f>
        <v>0</v>
      </c>
      <c r="W1775">
        <f>N(W1774)+$V1775</f>
        <v>11</v>
      </c>
      <c r="X1775">
        <f>IF(AND($L1775=1,AND(对接源_02物料!$X575="自备筐",N(对接源_02物料!$T575)&lt;&gt;0)),1,0)</f>
        <v>0</v>
      </c>
      <c r="Y1775">
        <f>N(Y1774)+$X1775</f>
        <v>0</v>
      </c>
      <c r="Z1775">
        <f>IF(AND($M1775=1,对接源_02物料!$D575="原料入库"),1,0)</f>
        <v>0</v>
      </c>
      <c r="AA1775">
        <f>N(AA1774)+$Z1775</f>
        <v>24</v>
      </c>
      <c r="AB1775">
        <f>IF(AND($M1775=1,LEFT(对接源_02物料!$D575,4)="原料出库"),1,0)</f>
        <v>0</v>
      </c>
      <c r="AC1775">
        <f>N(AC1774)+$AB1775</f>
        <v>0</v>
      </c>
      <c r="AD1775">
        <f>IF(AND($M1775=1,LEFT(对接源_02物料!$D575,4)="成品出库"),1,0)</f>
        <v>0</v>
      </c>
      <c r="AE1775">
        <f>N(AE1774)+$AD1775</f>
        <v>0</v>
      </c>
      <c r="AF1775">
        <f>IF(AND($N1775=1,AND(LEFT(对接源_02物料!$D575,4)="包装物料",N(对接源_02物料!$K575)&lt;&gt;0)),1,0)</f>
        <v>0</v>
      </c>
      <c r="AG1775">
        <f>N(AG1774)+$AF1775</f>
        <v>10</v>
      </c>
      <c r="AH1775">
        <f>IF(AND($N1775=1,AND(对接源_02物料!$D575="周转筐－销售出库",N(对接源_02物料!$K575)&lt;&gt;0)),1,0)</f>
        <v>0</v>
      </c>
      <c r="AI1775">
        <f>N(AI1774)+$AH1775</f>
        <v>0</v>
      </c>
      <c r="AL1775" t="n">
        <v>0</v>
      </c>
      <c r="AM1775">
        <f>N(AM1774)+$AL1775</f>
        <v>2</v>
      </c>
      <c r="AN1775">
        <f>""</f>
      </c>
      <c r="AO1775" t="n">
        <v>0</v>
      </c>
      <c r="AP1775">
        <f>N(AP1774)+$AO1775</f>
        <v>13</v>
      </c>
      <c r="AR1775">
        <f>IF(OR($AF1775=1,$AH1775=1),1,0)</f>
        <v>0</v>
      </c>
      <c r="AS1775">
        <f>N(AS1774)+$AR1775</f>
        <v>10</v>
      </c>
    </row>
    <row r="1776" s="127">
      <c r="A1776">
        <f>IF(对接源_02物料!$C576="","",对接源_02物料!$C576)</f>
      </c>
      <c r="B1776">
        <f>IF(A1776="",0,IF(MATCH(A1776,$A$4:$A$2403,0)=ROW()-3,1,0))</f>
        <v>0</v>
      </c>
      <c r="C1776">
        <f>N(C1775)+B1776</f>
        <v>26</v>
      </c>
      <c r="K1776">
        <f>IF(OR($K$1="",对接源_02物料!$C576="",对接源_02物料!$C576&lt;&gt;$K$1,对接源_02物料!$B576=""),0,IF(OR(N(对接源_02物料!$B576)&lt;$K$2,N(对接源_02物料!$B576)&gt;$K$3),0,1))</f>
        <v>0</v>
      </c>
      <c r="L1776">
        <f>IF(OR($L$1="",对接源_02物料!$C576="",对接源_02物料!$C576&lt;&gt;$L$1,对接源_02物料!$B576=""),0,IF(OR(N(对接源_02物料!$B576)&lt;$L$2,N(对接源_02物料!$B576)&gt;$L$3),0,1))</f>
        <v>0</v>
      </c>
      <c r="M1776">
        <f>IF(OR($M$1="",对接源_02物料!$C576="",对接源_02物料!$C576&lt;&gt;$M$1,对接源_02物料!$B576=""),0,IF(OR(N(对接源_02物料!$B576)&lt;$M$2,N(对接源_02物料!$B576)&gt;$M$3),0,1))</f>
        <v>0</v>
      </c>
      <c r="N1776">
        <f>IF(OR($N$1="",对接源_02物料!$C576="",对接源_02物料!$C576&lt;&gt;$N$1,对接源_02物料!$B576=""),0,IF(OR(N(对接源_02物料!$B576)&lt;$N$2,N(对接源_02物料!$B576)&gt;$N$3),0,1))</f>
        <v>0</v>
      </c>
      <c r="P1776">
        <f>IF(AND($K1776=1,AND(对接源_02物料!$X576="公司筐",N(对接源_02物料!$T576)&lt;&gt;0)),1,0)</f>
        <v>0</v>
      </c>
      <c r="Q1776">
        <f>N(Q1775)+$P1776</f>
        <v>14</v>
      </c>
      <c r="R1776">
        <f>IF(AND($K1776=1,AND(对接源_02物料!$X576="公司筐",N(对接源_02物料!$U576)&lt;&gt;0)),1,0)</f>
        <v>0</v>
      </c>
      <c r="S1776">
        <f>N(S1775)+$R1776</f>
        <v>1</v>
      </c>
      <c r="T1776">
        <f>IF(AND($K1776=1,AND(对接源_02物料!$X576="公司筐",N(对接源_02物料!$V576)&lt;&gt;0)),1,0)</f>
        <v>0</v>
      </c>
      <c r="U1776">
        <f>N(U1775)+$T1776</f>
        <v>47</v>
      </c>
      <c r="V1776">
        <f>IF(AND($L1776=1,AND(对接源_02物料!$X576="自备筐",N(对接源_02物料!$V576)&lt;&gt;0)),1,0)</f>
        <v>0</v>
      </c>
      <c r="W1776">
        <f>N(W1775)+$V1776</f>
        <v>11</v>
      </c>
      <c r="X1776">
        <f>IF(AND($L1776=1,AND(对接源_02物料!$X576="自备筐",N(对接源_02物料!$T576)&lt;&gt;0)),1,0)</f>
        <v>0</v>
      </c>
      <c r="Y1776">
        <f>N(Y1775)+$X1776</f>
        <v>0</v>
      </c>
      <c r="Z1776">
        <f>IF(AND($M1776=1,对接源_02物料!$D576="原料入库"),1,0)</f>
        <v>0</v>
      </c>
      <c r="AA1776">
        <f>N(AA1775)+$Z1776</f>
        <v>24</v>
      </c>
      <c r="AB1776">
        <f>IF(AND($M1776=1,LEFT(对接源_02物料!$D576,4)="原料出库"),1,0)</f>
        <v>0</v>
      </c>
      <c r="AC1776">
        <f>N(AC1775)+$AB1776</f>
        <v>0</v>
      </c>
      <c r="AD1776">
        <f>IF(AND($M1776=1,LEFT(对接源_02物料!$D576,4)="成品出库"),1,0)</f>
        <v>0</v>
      </c>
      <c r="AE1776">
        <f>N(AE1775)+$AD1776</f>
        <v>0</v>
      </c>
      <c r="AF1776">
        <f>IF(AND($N1776=1,AND(LEFT(对接源_02物料!$D576,4)="包装物料",N(对接源_02物料!$K576)&lt;&gt;0)),1,0)</f>
        <v>0</v>
      </c>
      <c r="AG1776">
        <f>N(AG1775)+$AF1776</f>
        <v>10</v>
      </c>
      <c r="AH1776">
        <f>IF(AND($N1776=1,AND(对接源_02物料!$D576="周转筐－销售出库",N(对接源_02物料!$K576)&lt;&gt;0)),1,0)</f>
        <v>0</v>
      </c>
      <c r="AI1776">
        <f>N(AI1775)+$AH1776</f>
        <v>0</v>
      </c>
      <c r="AL1776" t="n">
        <v>0</v>
      </c>
      <c r="AM1776">
        <f>N(AM1775)+$AL1776</f>
        <v>2</v>
      </c>
      <c r="AN1776">
        <f>""</f>
      </c>
      <c r="AO1776" t="n">
        <v>0</v>
      </c>
      <c r="AP1776">
        <f>N(AP1775)+$AO1776</f>
        <v>13</v>
      </c>
      <c r="AR1776">
        <f>IF(OR($AF1776=1,$AH1776=1),1,0)</f>
        <v>0</v>
      </c>
      <c r="AS1776">
        <f>N(AS1775)+$AR1776</f>
        <v>10</v>
      </c>
    </row>
    <row r="1777" s="127">
      <c r="A1777">
        <f>IF(对接源_02物料!$C577="","",对接源_02物料!$C577)</f>
      </c>
      <c r="B1777">
        <f>IF(A1777="",0,IF(MATCH(A1777,$A$4:$A$2403,0)=ROW()-3,1,0))</f>
        <v>0</v>
      </c>
      <c r="C1777">
        <f>N(C1776)+B1777</f>
        <v>26</v>
      </c>
      <c r="K1777">
        <f>IF(OR($K$1="",对接源_02物料!$C577="",对接源_02物料!$C577&lt;&gt;$K$1,对接源_02物料!$B577=""),0,IF(OR(N(对接源_02物料!$B577)&lt;$K$2,N(对接源_02物料!$B577)&gt;$K$3),0,1))</f>
        <v>0</v>
      </c>
      <c r="L1777">
        <f>IF(OR($L$1="",对接源_02物料!$C577="",对接源_02物料!$C577&lt;&gt;$L$1,对接源_02物料!$B577=""),0,IF(OR(N(对接源_02物料!$B577)&lt;$L$2,N(对接源_02物料!$B577)&gt;$L$3),0,1))</f>
        <v>0</v>
      </c>
      <c r="M1777">
        <f>IF(OR($M$1="",对接源_02物料!$C577="",对接源_02物料!$C577&lt;&gt;$M$1,对接源_02物料!$B577=""),0,IF(OR(N(对接源_02物料!$B577)&lt;$M$2,N(对接源_02物料!$B577)&gt;$M$3),0,1))</f>
        <v>0</v>
      </c>
      <c r="N1777">
        <f>IF(OR($N$1="",对接源_02物料!$C577="",对接源_02物料!$C577&lt;&gt;$N$1,对接源_02物料!$B577=""),0,IF(OR(N(对接源_02物料!$B577)&lt;$N$2,N(对接源_02物料!$B577)&gt;$N$3),0,1))</f>
        <v>0</v>
      </c>
      <c r="P1777">
        <f>IF(AND($K1777=1,AND(对接源_02物料!$X577="公司筐",N(对接源_02物料!$T577)&lt;&gt;0)),1,0)</f>
        <v>0</v>
      </c>
      <c r="Q1777">
        <f>N(Q1776)+$P1777</f>
        <v>14</v>
      </c>
      <c r="R1777">
        <f>IF(AND($K1777=1,AND(对接源_02物料!$X577="公司筐",N(对接源_02物料!$U577)&lt;&gt;0)),1,0)</f>
        <v>0</v>
      </c>
      <c r="S1777">
        <f>N(S1776)+$R1777</f>
        <v>1</v>
      </c>
      <c r="T1777">
        <f>IF(AND($K1777=1,AND(对接源_02物料!$X577="公司筐",N(对接源_02物料!$V577)&lt;&gt;0)),1,0)</f>
        <v>0</v>
      </c>
      <c r="U1777">
        <f>N(U1776)+$T1777</f>
        <v>47</v>
      </c>
      <c r="V1777">
        <f>IF(AND($L1777=1,AND(对接源_02物料!$X577="自备筐",N(对接源_02物料!$V577)&lt;&gt;0)),1,0)</f>
        <v>0</v>
      </c>
      <c r="W1777">
        <f>N(W1776)+$V1777</f>
        <v>11</v>
      </c>
      <c r="X1777">
        <f>IF(AND($L1777=1,AND(对接源_02物料!$X577="自备筐",N(对接源_02物料!$T577)&lt;&gt;0)),1,0)</f>
        <v>0</v>
      </c>
      <c r="Y1777">
        <f>N(Y1776)+$X1777</f>
        <v>0</v>
      </c>
      <c r="Z1777">
        <f>IF(AND($M1777=1,对接源_02物料!$D577="原料入库"),1,0)</f>
        <v>0</v>
      </c>
      <c r="AA1777">
        <f>N(AA1776)+$Z1777</f>
        <v>24</v>
      </c>
      <c r="AB1777">
        <f>IF(AND($M1777=1,LEFT(对接源_02物料!$D577,4)="原料出库"),1,0)</f>
        <v>0</v>
      </c>
      <c r="AC1777">
        <f>N(AC1776)+$AB1777</f>
        <v>0</v>
      </c>
      <c r="AD1777">
        <f>IF(AND($M1777=1,LEFT(对接源_02物料!$D577,4)="成品出库"),1,0)</f>
        <v>0</v>
      </c>
      <c r="AE1777">
        <f>N(AE1776)+$AD1777</f>
        <v>0</v>
      </c>
      <c r="AF1777">
        <f>IF(AND($N1777=1,AND(LEFT(对接源_02物料!$D577,4)="包装物料",N(对接源_02物料!$K577)&lt;&gt;0)),1,0)</f>
        <v>0</v>
      </c>
      <c r="AG1777">
        <f>N(AG1776)+$AF1777</f>
        <v>10</v>
      </c>
      <c r="AH1777">
        <f>IF(AND($N1777=1,AND(对接源_02物料!$D577="周转筐－销售出库",N(对接源_02物料!$K577)&lt;&gt;0)),1,0)</f>
        <v>0</v>
      </c>
      <c r="AI1777">
        <f>N(AI1776)+$AH1777</f>
        <v>0</v>
      </c>
      <c r="AL1777" t="n">
        <v>0</v>
      </c>
      <c r="AM1777">
        <f>N(AM1776)+$AL1777</f>
        <v>2</v>
      </c>
      <c r="AN1777">
        <f>""</f>
      </c>
      <c r="AO1777" t="n">
        <v>0</v>
      </c>
      <c r="AP1777">
        <f>N(AP1776)+$AO1777</f>
        <v>13</v>
      </c>
      <c r="AR1777">
        <f>IF(OR($AF1777=1,$AH1777=1),1,0)</f>
        <v>0</v>
      </c>
      <c r="AS1777">
        <f>N(AS1776)+$AR1777</f>
        <v>10</v>
      </c>
    </row>
    <row r="1778" s="127">
      <c r="A1778">
        <f>IF(对接源_02物料!$C578="","",对接源_02物料!$C578)</f>
      </c>
      <c r="B1778">
        <f>IF(A1778="",0,IF(MATCH(A1778,$A$4:$A$2403,0)=ROW()-3,1,0))</f>
        <v>0</v>
      </c>
      <c r="C1778">
        <f>N(C1777)+B1778</f>
        <v>26</v>
      </c>
      <c r="K1778">
        <f>IF(OR($K$1="",对接源_02物料!$C578="",对接源_02物料!$C578&lt;&gt;$K$1,对接源_02物料!$B578=""),0,IF(OR(N(对接源_02物料!$B578)&lt;$K$2,N(对接源_02物料!$B578)&gt;$K$3),0,1))</f>
        <v>0</v>
      </c>
      <c r="L1778">
        <f>IF(OR($L$1="",对接源_02物料!$C578="",对接源_02物料!$C578&lt;&gt;$L$1,对接源_02物料!$B578=""),0,IF(OR(N(对接源_02物料!$B578)&lt;$L$2,N(对接源_02物料!$B578)&gt;$L$3),0,1))</f>
        <v>0</v>
      </c>
      <c r="M1778">
        <f>IF(OR($M$1="",对接源_02物料!$C578="",对接源_02物料!$C578&lt;&gt;$M$1,对接源_02物料!$B578=""),0,IF(OR(N(对接源_02物料!$B578)&lt;$M$2,N(对接源_02物料!$B578)&gt;$M$3),0,1))</f>
        <v>0</v>
      </c>
      <c r="N1778">
        <f>IF(OR($N$1="",对接源_02物料!$C578="",对接源_02物料!$C578&lt;&gt;$N$1,对接源_02物料!$B578=""),0,IF(OR(N(对接源_02物料!$B578)&lt;$N$2,N(对接源_02物料!$B578)&gt;$N$3),0,1))</f>
        <v>0</v>
      </c>
      <c r="P1778">
        <f>IF(AND($K1778=1,AND(对接源_02物料!$X578="公司筐",N(对接源_02物料!$T578)&lt;&gt;0)),1,0)</f>
        <v>0</v>
      </c>
      <c r="Q1778">
        <f>N(Q1777)+$P1778</f>
        <v>14</v>
      </c>
      <c r="R1778">
        <f>IF(AND($K1778=1,AND(对接源_02物料!$X578="公司筐",N(对接源_02物料!$U578)&lt;&gt;0)),1,0)</f>
        <v>0</v>
      </c>
      <c r="S1778">
        <f>N(S1777)+$R1778</f>
        <v>1</v>
      </c>
      <c r="T1778">
        <f>IF(AND($K1778=1,AND(对接源_02物料!$X578="公司筐",N(对接源_02物料!$V578)&lt;&gt;0)),1,0)</f>
        <v>0</v>
      </c>
      <c r="U1778">
        <f>N(U1777)+$T1778</f>
        <v>47</v>
      </c>
      <c r="V1778">
        <f>IF(AND($L1778=1,AND(对接源_02物料!$X578="自备筐",N(对接源_02物料!$V578)&lt;&gt;0)),1,0)</f>
        <v>0</v>
      </c>
      <c r="W1778">
        <f>N(W1777)+$V1778</f>
        <v>11</v>
      </c>
      <c r="X1778">
        <f>IF(AND($L1778=1,AND(对接源_02物料!$X578="自备筐",N(对接源_02物料!$T578)&lt;&gt;0)),1,0)</f>
        <v>0</v>
      </c>
      <c r="Y1778">
        <f>N(Y1777)+$X1778</f>
        <v>0</v>
      </c>
      <c r="Z1778">
        <f>IF(AND($M1778=1,对接源_02物料!$D578="原料入库"),1,0)</f>
        <v>0</v>
      </c>
      <c r="AA1778">
        <f>N(AA1777)+$Z1778</f>
        <v>24</v>
      </c>
      <c r="AB1778">
        <f>IF(AND($M1778=1,LEFT(对接源_02物料!$D578,4)="原料出库"),1,0)</f>
        <v>0</v>
      </c>
      <c r="AC1778">
        <f>N(AC1777)+$AB1778</f>
        <v>0</v>
      </c>
      <c r="AD1778">
        <f>IF(AND($M1778=1,LEFT(对接源_02物料!$D578,4)="成品出库"),1,0)</f>
        <v>0</v>
      </c>
      <c r="AE1778">
        <f>N(AE1777)+$AD1778</f>
        <v>0</v>
      </c>
      <c r="AF1778">
        <f>IF(AND($N1778=1,AND(LEFT(对接源_02物料!$D578,4)="包装物料",N(对接源_02物料!$K578)&lt;&gt;0)),1,0)</f>
        <v>0</v>
      </c>
      <c r="AG1778">
        <f>N(AG1777)+$AF1778</f>
        <v>10</v>
      </c>
      <c r="AH1778">
        <f>IF(AND($N1778=1,AND(对接源_02物料!$D578="周转筐－销售出库",N(对接源_02物料!$K578)&lt;&gt;0)),1,0)</f>
        <v>0</v>
      </c>
      <c r="AI1778">
        <f>N(AI1777)+$AH1778</f>
        <v>0</v>
      </c>
      <c r="AL1778" t="n">
        <v>0</v>
      </c>
      <c r="AM1778">
        <f>N(AM1777)+$AL1778</f>
        <v>2</v>
      </c>
      <c r="AN1778">
        <f>""</f>
      </c>
      <c r="AO1778" t="n">
        <v>0</v>
      </c>
      <c r="AP1778">
        <f>N(AP1777)+$AO1778</f>
        <v>13</v>
      </c>
      <c r="AR1778">
        <f>IF(OR($AF1778=1,$AH1778=1),1,0)</f>
        <v>0</v>
      </c>
      <c r="AS1778">
        <f>N(AS1777)+$AR1778</f>
        <v>10</v>
      </c>
    </row>
    <row r="1779" s="127">
      <c r="A1779">
        <f>IF(对接源_02物料!$C579="","",对接源_02物料!$C579)</f>
      </c>
      <c r="B1779">
        <f>IF(A1779="",0,IF(MATCH(A1779,$A$4:$A$2403,0)=ROW()-3,1,0))</f>
        <v>0</v>
      </c>
      <c r="C1779">
        <f>N(C1778)+B1779</f>
        <v>26</v>
      </c>
      <c r="K1779">
        <f>IF(OR($K$1="",对接源_02物料!$C579="",对接源_02物料!$C579&lt;&gt;$K$1,对接源_02物料!$B579=""),0,IF(OR(N(对接源_02物料!$B579)&lt;$K$2,N(对接源_02物料!$B579)&gt;$K$3),0,1))</f>
        <v>0</v>
      </c>
      <c r="L1779">
        <f>IF(OR($L$1="",对接源_02物料!$C579="",对接源_02物料!$C579&lt;&gt;$L$1,对接源_02物料!$B579=""),0,IF(OR(N(对接源_02物料!$B579)&lt;$L$2,N(对接源_02物料!$B579)&gt;$L$3),0,1))</f>
        <v>0</v>
      </c>
      <c r="M1779">
        <f>IF(OR($M$1="",对接源_02物料!$C579="",对接源_02物料!$C579&lt;&gt;$M$1,对接源_02物料!$B579=""),0,IF(OR(N(对接源_02物料!$B579)&lt;$M$2,N(对接源_02物料!$B579)&gt;$M$3),0,1))</f>
        <v>0</v>
      </c>
      <c r="N1779">
        <f>IF(OR($N$1="",对接源_02物料!$C579="",对接源_02物料!$C579&lt;&gt;$N$1,对接源_02物料!$B579=""),0,IF(OR(N(对接源_02物料!$B579)&lt;$N$2,N(对接源_02物料!$B579)&gt;$N$3),0,1))</f>
        <v>0</v>
      </c>
      <c r="P1779">
        <f>IF(AND($K1779=1,AND(对接源_02物料!$X579="公司筐",N(对接源_02物料!$T579)&lt;&gt;0)),1,0)</f>
        <v>0</v>
      </c>
      <c r="Q1779">
        <f>N(Q1778)+$P1779</f>
        <v>14</v>
      </c>
      <c r="R1779">
        <f>IF(AND($K1779=1,AND(对接源_02物料!$X579="公司筐",N(对接源_02物料!$U579)&lt;&gt;0)),1,0)</f>
        <v>0</v>
      </c>
      <c r="S1779">
        <f>N(S1778)+$R1779</f>
        <v>1</v>
      </c>
      <c r="T1779">
        <f>IF(AND($K1779=1,AND(对接源_02物料!$X579="公司筐",N(对接源_02物料!$V579)&lt;&gt;0)),1,0)</f>
        <v>0</v>
      </c>
      <c r="U1779">
        <f>N(U1778)+$T1779</f>
        <v>47</v>
      </c>
      <c r="V1779">
        <f>IF(AND($L1779=1,AND(对接源_02物料!$X579="自备筐",N(对接源_02物料!$V579)&lt;&gt;0)),1,0)</f>
        <v>0</v>
      </c>
      <c r="W1779">
        <f>N(W1778)+$V1779</f>
        <v>11</v>
      </c>
      <c r="X1779">
        <f>IF(AND($L1779=1,AND(对接源_02物料!$X579="自备筐",N(对接源_02物料!$T579)&lt;&gt;0)),1,0)</f>
        <v>0</v>
      </c>
      <c r="Y1779">
        <f>N(Y1778)+$X1779</f>
        <v>0</v>
      </c>
      <c r="Z1779">
        <f>IF(AND($M1779=1,对接源_02物料!$D579="原料入库"),1,0)</f>
        <v>0</v>
      </c>
      <c r="AA1779">
        <f>N(AA1778)+$Z1779</f>
        <v>24</v>
      </c>
      <c r="AB1779">
        <f>IF(AND($M1779=1,LEFT(对接源_02物料!$D579,4)="原料出库"),1,0)</f>
        <v>0</v>
      </c>
      <c r="AC1779">
        <f>N(AC1778)+$AB1779</f>
        <v>0</v>
      </c>
      <c r="AD1779">
        <f>IF(AND($M1779=1,LEFT(对接源_02物料!$D579,4)="成品出库"),1,0)</f>
        <v>0</v>
      </c>
      <c r="AE1779">
        <f>N(AE1778)+$AD1779</f>
        <v>0</v>
      </c>
      <c r="AF1779">
        <f>IF(AND($N1779=1,AND(LEFT(对接源_02物料!$D579,4)="包装物料",N(对接源_02物料!$K579)&lt;&gt;0)),1,0)</f>
        <v>0</v>
      </c>
      <c r="AG1779">
        <f>N(AG1778)+$AF1779</f>
        <v>10</v>
      </c>
      <c r="AH1779">
        <f>IF(AND($N1779=1,AND(对接源_02物料!$D579="周转筐－销售出库",N(对接源_02物料!$K579)&lt;&gt;0)),1,0)</f>
        <v>0</v>
      </c>
      <c r="AI1779">
        <f>N(AI1778)+$AH1779</f>
        <v>0</v>
      </c>
      <c r="AL1779" t="n">
        <v>0</v>
      </c>
      <c r="AM1779">
        <f>N(AM1778)+$AL1779</f>
        <v>2</v>
      </c>
      <c r="AN1779">
        <f>""</f>
      </c>
      <c r="AO1779" t="n">
        <v>0</v>
      </c>
      <c r="AP1779">
        <f>N(AP1778)+$AO1779</f>
        <v>13</v>
      </c>
      <c r="AR1779">
        <f>IF(OR($AF1779=1,$AH1779=1),1,0)</f>
        <v>0</v>
      </c>
      <c r="AS1779">
        <f>N(AS1778)+$AR1779</f>
        <v>10</v>
      </c>
    </row>
    <row r="1780" s="127">
      <c r="A1780">
        <f>IF(对接源_02物料!$C580="","",对接源_02物料!$C580)</f>
      </c>
      <c r="B1780">
        <f>IF(A1780="",0,IF(MATCH(A1780,$A$4:$A$2403,0)=ROW()-3,1,0))</f>
        <v>0</v>
      </c>
      <c r="C1780">
        <f>N(C1779)+B1780</f>
        <v>26</v>
      </c>
      <c r="K1780">
        <f>IF(OR($K$1="",对接源_02物料!$C580="",对接源_02物料!$C580&lt;&gt;$K$1,对接源_02物料!$B580=""),0,IF(OR(N(对接源_02物料!$B580)&lt;$K$2,N(对接源_02物料!$B580)&gt;$K$3),0,1))</f>
        <v>0</v>
      </c>
      <c r="L1780">
        <f>IF(OR($L$1="",对接源_02物料!$C580="",对接源_02物料!$C580&lt;&gt;$L$1,对接源_02物料!$B580=""),0,IF(OR(N(对接源_02物料!$B580)&lt;$L$2,N(对接源_02物料!$B580)&gt;$L$3),0,1))</f>
        <v>0</v>
      </c>
      <c r="M1780">
        <f>IF(OR($M$1="",对接源_02物料!$C580="",对接源_02物料!$C580&lt;&gt;$M$1,对接源_02物料!$B580=""),0,IF(OR(N(对接源_02物料!$B580)&lt;$M$2,N(对接源_02物料!$B580)&gt;$M$3),0,1))</f>
        <v>0</v>
      </c>
      <c r="N1780">
        <f>IF(OR($N$1="",对接源_02物料!$C580="",对接源_02物料!$C580&lt;&gt;$N$1,对接源_02物料!$B580=""),0,IF(OR(N(对接源_02物料!$B580)&lt;$N$2,N(对接源_02物料!$B580)&gt;$N$3),0,1))</f>
        <v>0</v>
      </c>
      <c r="P1780">
        <f>IF(AND($K1780=1,AND(对接源_02物料!$X580="公司筐",N(对接源_02物料!$T580)&lt;&gt;0)),1,0)</f>
        <v>0</v>
      </c>
      <c r="Q1780">
        <f>N(Q1779)+$P1780</f>
        <v>14</v>
      </c>
      <c r="R1780">
        <f>IF(AND($K1780=1,AND(对接源_02物料!$X580="公司筐",N(对接源_02物料!$U580)&lt;&gt;0)),1,0)</f>
        <v>0</v>
      </c>
      <c r="S1780">
        <f>N(S1779)+$R1780</f>
        <v>1</v>
      </c>
      <c r="T1780">
        <f>IF(AND($K1780=1,AND(对接源_02物料!$X580="公司筐",N(对接源_02物料!$V580)&lt;&gt;0)),1,0)</f>
        <v>0</v>
      </c>
      <c r="U1780">
        <f>N(U1779)+$T1780</f>
        <v>47</v>
      </c>
      <c r="V1780">
        <f>IF(AND($L1780=1,AND(对接源_02物料!$X580="自备筐",N(对接源_02物料!$V580)&lt;&gt;0)),1,0)</f>
        <v>0</v>
      </c>
      <c r="W1780">
        <f>N(W1779)+$V1780</f>
        <v>11</v>
      </c>
      <c r="X1780">
        <f>IF(AND($L1780=1,AND(对接源_02物料!$X580="自备筐",N(对接源_02物料!$T580)&lt;&gt;0)),1,0)</f>
        <v>0</v>
      </c>
      <c r="Y1780">
        <f>N(Y1779)+$X1780</f>
        <v>0</v>
      </c>
      <c r="Z1780">
        <f>IF(AND($M1780=1,对接源_02物料!$D580="原料入库"),1,0)</f>
        <v>0</v>
      </c>
      <c r="AA1780">
        <f>N(AA1779)+$Z1780</f>
        <v>24</v>
      </c>
      <c r="AB1780">
        <f>IF(AND($M1780=1,LEFT(对接源_02物料!$D580,4)="原料出库"),1,0)</f>
        <v>0</v>
      </c>
      <c r="AC1780">
        <f>N(AC1779)+$AB1780</f>
        <v>0</v>
      </c>
      <c r="AD1780">
        <f>IF(AND($M1780=1,LEFT(对接源_02物料!$D580,4)="成品出库"),1,0)</f>
        <v>0</v>
      </c>
      <c r="AE1780">
        <f>N(AE1779)+$AD1780</f>
        <v>0</v>
      </c>
      <c r="AF1780">
        <f>IF(AND($N1780=1,AND(LEFT(对接源_02物料!$D580,4)="包装物料",N(对接源_02物料!$K580)&lt;&gt;0)),1,0)</f>
        <v>0</v>
      </c>
      <c r="AG1780">
        <f>N(AG1779)+$AF1780</f>
        <v>10</v>
      </c>
      <c r="AH1780">
        <f>IF(AND($N1780=1,AND(对接源_02物料!$D580="周转筐－销售出库",N(对接源_02物料!$K580)&lt;&gt;0)),1,0)</f>
        <v>0</v>
      </c>
      <c r="AI1780">
        <f>N(AI1779)+$AH1780</f>
        <v>0</v>
      </c>
      <c r="AL1780" t="n">
        <v>0</v>
      </c>
      <c r="AM1780">
        <f>N(AM1779)+$AL1780</f>
        <v>2</v>
      </c>
      <c r="AN1780">
        <f>""</f>
      </c>
      <c r="AO1780" t="n">
        <v>0</v>
      </c>
      <c r="AP1780">
        <f>N(AP1779)+$AO1780</f>
        <v>13</v>
      </c>
      <c r="AR1780">
        <f>IF(OR($AF1780=1,$AH1780=1),1,0)</f>
        <v>0</v>
      </c>
      <c r="AS1780">
        <f>N(AS1779)+$AR1780</f>
        <v>10</v>
      </c>
    </row>
    <row r="1781" s="127">
      <c r="A1781">
        <f>IF(对接源_02物料!$C581="","",对接源_02物料!$C581)</f>
      </c>
      <c r="B1781">
        <f>IF(A1781="",0,IF(MATCH(A1781,$A$4:$A$2403,0)=ROW()-3,1,0))</f>
        <v>0</v>
      </c>
      <c r="C1781">
        <f>N(C1780)+B1781</f>
        <v>26</v>
      </c>
      <c r="K1781">
        <f>IF(OR($K$1="",对接源_02物料!$C581="",对接源_02物料!$C581&lt;&gt;$K$1,对接源_02物料!$B581=""),0,IF(OR(N(对接源_02物料!$B581)&lt;$K$2,N(对接源_02物料!$B581)&gt;$K$3),0,1))</f>
        <v>0</v>
      </c>
      <c r="L1781">
        <f>IF(OR($L$1="",对接源_02物料!$C581="",对接源_02物料!$C581&lt;&gt;$L$1,对接源_02物料!$B581=""),0,IF(OR(N(对接源_02物料!$B581)&lt;$L$2,N(对接源_02物料!$B581)&gt;$L$3),0,1))</f>
        <v>0</v>
      </c>
      <c r="M1781">
        <f>IF(OR($M$1="",对接源_02物料!$C581="",对接源_02物料!$C581&lt;&gt;$M$1,对接源_02物料!$B581=""),0,IF(OR(N(对接源_02物料!$B581)&lt;$M$2,N(对接源_02物料!$B581)&gt;$M$3),0,1))</f>
        <v>0</v>
      </c>
      <c r="N1781">
        <f>IF(OR($N$1="",对接源_02物料!$C581="",对接源_02物料!$C581&lt;&gt;$N$1,对接源_02物料!$B581=""),0,IF(OR(N(对接源_02物料!$B581)&lt;$N$2,N(对接源_02物料!$B581)&gt;$N$3),0,1))</f>
        <v>0</v>
      </c>
      <c r="P1781">
        <f>IF(AND($K1781=1,AND(对接源_02物料!$X581="公司筐",N(对接源_02物料!$T581)&lt;&gt;0)),1,0)</f>
        <v>0</v>
      </c>
      <c r="Q1781">
        <f>N(Q1780)+$P1781</f>
        <v>14</v>
      </c>
      <c r="R1781">
        <f>IF(AND($K1781=1,AND(对接源_02物料!$X581="公司筐",N(对接源_02物料!$U581)&lt;&gt;0)),1,0)</f>
        <v>0</v>
      </c>
      <c r="S1781">
        <f>N(S1780)+$R1781</f>
        <v>1</v>
      </c>
      <c r="T1781">
        <f>IF(AND($K1781=1,AND(对接源_02物料!$X581="公司筐",N(对接源_02物料!$V581)&lt;&gt;0)),1,0)</f>
        <v>0</v>
      </c>
      <c r="U1781">
        <f>N(U1780)+$T1781</f>
        <v>47</v>
      </c>
      <c r="V1781">
        <f>IF(AND($L1781=1,AND(对接源_02物料!$X581="自备筐",N(对接源_02物料!$V581)&lt;&gt;0)),1,0)</f>
        <v>0</v>
      </c>
      <c r="W1781">
        <f>N(W1780)+$V1781</f>
        <v>11</v>
      </c>
      <c r="X1781">
        <f>IF(AND($L1781=1,AND(对接源_02物料!$X581="自备筐",N(对接源_02物料!$T581)&lt;&gt;0)),1,0)</f>
        <v>0</v>
      </c>
      <c r="Y1781">
        <f>N(Y1780)+$X1781</f>
        <v>0</v>
      </c>
      <c r="Z1781">
        <f>IF(AND($M1781=1,对接源_02物料!$D581="原料入库"),1,0)</f>
        <v>0</v>
      </c>
      <c r="AA1781">
        <f>N(AA1780)+$Z1781</f>
        <v>24</v>
      </c>
      <c r="AB1781">
        <f>IF(AND($M1781=1,LEFT(对接源_02物料!$D581,4)="原料出库"),1,0)</f>
        <v>0</v>
      </c>
      <c r="AC1781">
        <f>N(AC1780)+$AB1781</f>
        <v>0</v>
      </c>
      <c r="AD1781">
        <f>IF(AND($M1781=1,LEFT(对接源_02物料!$D581,4)="成品出库"),1,0)</f>
        <v>0</v>
      </c>
      <c r="AE1781">
        <f>N(AE1780)+$AD1781</f>
        <v>0</v>
      </c>
      <c r="AF1781">
        <f>IF(AND($N1781=1,AND(LEFT(对接源_02物料!$D581,4)="包装物料",N(对接源_02物料!$K581)&lt;&gt;0)),1,0)</f>
        <v>0</v>
      </c>
      <c r="AG1781">
        <f>N(AG1780)+$AF1781</f>
        <v>10</v>
      </c>
      <c r="AH1781">
        <f>IF(AND($N1781=1,AND(对接源_02物料!$D581="周转筐－销售出库",N(对接源_02物料!$K581)&lt;&gt;0)),1,0)</f>
        <v>0</v>
      </c>
      <c r="AI1781">
        <f>N(AI1780)+$AH1781</f>
        <v>0</v>
      </c>
      <c r="AL1781" t="n">
        <v>0</v>
      </c>
      <c r="AM1781">
        <f>N(AM1780)+$AL1781</f>
        <v>2</v>
      </c>
      <c r="AN1781">
        <f>""</f>
      </c>
      <c r="AO1781" t="n">
        <v>0</v>
      </c>
      <c r="AP1781">
        <f>N(AP1780)+$AO1781</f>
        <v>13</v>
      </c>
      <c r="AR1781">
        <f>IF(OR($AF1781=1,$AH1781=1),1,0)</f>
        <v>0</v>
      </c>
      <c r="AS1781">
        <f>N(AS1780)+$AR1781</f>
        <v>10</v>
      </c>
    </row>
    <row r="1782" s="127">
      <c r="A1782">
        <f>IF(对接源_02物料!$C582="","",对接源_02物料!$C582)</f>
      </c>
      <c r="B1782">
        <f>IF(A1782="",0,IF(MATCH(A1782,$A$4:$A$2403,0)=ROW()-3,1,0))</f>
        <v>0</v>
      </c>
      <c r="C1782">
        <f>N(C1781)+B1782</f>
        <v>26</v>
      </c>
      <c r="K1782">
        <f>IF(OR($K$1="",对接源_02物料!$C582="",对接源_02物料!$C582&lt;&gt;$K$1,对接源_02物料!$B582=""),0,IF(OR(N(对接源_02物料!$B582)&lt;$K$2,N(对接源_02物料!$B582)&gt;$K$3),0,1))</f>
        <v>0</v>
      </c>
      <c r="L1782">
        <f>IF(OR($L$1="",对接源_02物料!$C582="",对接源_02物料!$C582&lt;&gt;$L$1,对接源_02物料!$B582=""),0,IF(OR(N(对接源_02物料!$B582)&lt;$L$2,N(对接源_02物料!$B582)&gt;$L$3),0,1))</f>
        <v>0</v>
      </c>
      <c r="M1782">
        <f>IF(OR($M$1="",对接源_02物料!$C582="",对接源_02物料!$C582&lt;&gt;$M$1,对接源_02物料!$B582=""),0,IF(OR(N(对接源_02物料!$B582)&lt;$M$2,N(对接源_02物料!$B582)&gt;$M$3),0,1))</f>
        <v>0</v>
      </c>
      <c r="N1782">
        <f>IF(OR($N$1="",对接源_02物料!$C582="",对接源_02物料!$C582&lt;&gt;$N$1,对接源_02物料!$B582=""),0,IF(OR(N(对接源_02物料!$B582)&lt;$N$2,N(对接源_02物料!$B582)&gt;$N$3),0,1))</f>
        <v>0</v>
      </c>
      <c r="P1782">
        <f>IF(AND($K1782=1,AND(对接源_02物料!$X582="公司筐",N(对接源_02物料!$T582)&lt;&gt;0)),1,0)</f>
        <v>0</v>
      </c>
      <c r="Q1782">
        <f>N(Q1781)+$P1782</f>
        <v>14</v>
      </c>
      <c r="R1782">
        <f>IF(AND($K1782=1,AND(对接源_02物料!$X582="公司筐",N(对接源_02物料!$U582)&lt;&gt;0)),1,0)</f>
        <v>0</v>
      </c>
      <c r="S1782">
        <f>N(S1781)+$R1782</f>
        <v>1</v>
      </c>
      <c r="T1782">
        <f>IF(AND($K1782=1,AND(对接源_02物料!$X582="公司筐",N(对接源_02物料!$V582)&lt;&gt;0)),1,0)</f>
        <v>0</v>
      </c>
      <c r="U1782">
        <f>N(U1781)+$T1782</f>
        <v>47</v>
      </c>
      <c r="V1782">
        <f>IF(AND($L1782=1,AND(对接源_02物料!$X582="自备筐",N(对接源_02物料!$V582)&lt;&gt;0)),1,0)</f>
        <v>0</v>
      </c>
      <c r="W1782">
        <f>N(W1781)+$V1782</f>
        <v>11</v>
      </c>
      <c r="X1782">
        <f>IF(AND($L1782=1,AND(对接源_02物料!$X582="自备筐",N(对接源_02物料!$T582)&lt;&gt;0)),1,0)</f>
        <v>0</v>
      </c>
      <c r="Y1782">
        <f>N(Y1781)+$X1782</f>
        <v>0</v>
      </c>
      <c r="Z1782">
        <f>IF(AND($M1782=1,对接源_02物料!$D582="原料入库"),1,0)</f>
        <v>0</v>
      </c>
      <c r="AA1782">
        <f>N(AA1781)+$Z1782</f>
        <v>24</v>
      </c>
      <c r="AB1782">
        <f>IF(AND($M1782=1,LEFT(对接源_02物料!$D582,4)="原料出库"),1,0)</f>
        <v>0</v>
      </c>
      <c r="AC1782">
        <f>N(AC1781)+$AB1782</f>
        <v>0</v>
      </c>
      <c r="AD1782">
        <f>IF(AND($M1782=1,LEFT(对接源_02物料!$D582,4)="成品出库"),1,0)</f>
        <v>0</v>
      </c>
      <c r="AE1782">
        <f>N(AE1781)+$AD1782</f>
        <v>0</v>
      </c>
      <c r="AF1782">
        <f>IF(AND($N1782=1,AND(LEFT(对接源_02物料!$D582,4)="包装物料",N(对接源_02物料!$K582)&lt;&gt;0)),1,0)</f>
        <v>0</v>
      </c>
      <c r="AG1782">
        <f>N(AG1781)+$AF1782</f>
        <v>10</v>
      </c>
      <c r="AH1782">
        <f>IF(AND($N1782=1,AND(对接源_02物料!$D582="周转筐－销售出库",N(对接源_02物料!$K582)&lt;&gt;0)),1,0)</f>
        <v>0</v>
      </c>
      <c r="AI1782">
        <f>N(AI1781)+$AH1782</f>
        <v>0</v>
      </c>
      <c r="AL1782" t="n">
        <v>0</v>
      </c>
      <c r="AM1782">
        <f>N(AM1781)+$AL1782</f>
        <v>2</v>
      </c>
      <c r="AN1782">
        <f>""</f>
      </c>
      <c r="AO1782" t="n">
        <v>0</v>
      </c>
      <c r="AP1782">
        <f>N(AP1781)+$AO1782</f>
        <v>13</v>
      </c>
      <c r="AR1782">
        <f>IF(OR($AF1782=1,$AH1782=1),1,0)</f>
        <v>0</v>
      </c>
      <c r="AS1782">
        <f>N(AS1781)+$AR1782</f>
        <v>10</v>
      </c>
    </row>
    <row r="1783" s="127">
      <c r="A1783">
        <f>IF(对接源_02物料!$C583="","",对接源_02物料!$C583)</f>
      </c>
      <c r="B1783">
        <f>IF(A1783="",0,IF(MATCH(A1783,$A$4:$A$2403,0)=ROW()-3,1,0))</f>
        <v>0</v>
      </c>
      <c r="C1783">
        <f>N(C1782)+B1783</f>
        <v>26</v>
      </c>
      <c r="K1783">
        <f>IF(OR($K$1="",对接源_02物料!$C583="",对接源_02物料!$C583&lt;&gt;$K$1,对接源_02物料!$B583=""),0,IF(OR(N(对接源_02物料!$B583)&lt;$K$2,N(对接源_02物料!$B583)&gt;$K$3),0,1))</f>
        <v>0</v>
      </c>
      <c r="L1783">
        <f>IF(OR($L$1="",对接源_02物料!$C583="",对接源_02物料!$C583&lt;&gt;$L$1,对接源_02物料!$B583=""),0,IF(OR(N(对接源_02物料!$B583)&lt;$L$2,N(对接源_02物料!$B583)&gt;$L$3),0,1))</f>
        <v>0</v>
      </c>
      <c r="M1783">
        <f>IF(OR($M$1="",对接源_02物料!$C583="",对接源_02物料!$C583&lt;&gt;$M$1,对接源_02物料!$B583=""),0,IF(OR(N(对接源_02物料!$B583)&lt;$M$2,N(对接源_02物料!$B583)&gt;$M$3),0,1))</f>
        <v>0</v>
      </c>
      <c r="N1783">
        <f>IF(OR($N$1="",对接源_02物料!$C583="",对接源_02物料!$C583&lt;&gt;$N$1,对接源_02物料!$B583=""),0,IF(OR(N(对接源_02物料!$B583)&lt;$N$2,N(对接源_02物料!$B583)&gt;$N$3),0,1))</f>
        <v>0</v>
      </c>
      <c r="P1783">
        <f>IF(AND($K1783=1,AND(对接源_02物料!$X583="公司筐",N(对接源_02物料!$T583)&lt;&gt;0)),1,0)</f>
        <v>0</v>
      </c>
      <c r="Q1783">
        <f>N(Q1782)+$P1783</f>
        <v>14</v>
      </c>
      <c r="R1783">
        <f>IF(AND($K1783=1,AND(对接源_02物料!$X583="公司筐",N(对接源_02物料!$U583)&lt;&gt;0)),1,0)</f>
        <v>0</v>
      </c>
      <c r="S1783">
        <f>N(S1782)+$R1783</f>
        <v>1</v>
      </c>
      <c r="T1783">
        <f>IF(AND($K1783=1,AND(对接源_02物料!$X583="公司筐",N(对接源_02物料!$V583)&lt;&gt;0)),1,0)</f>
        <v>0</v>
      </c>
      <c r="U1783">
        <f>N(U1782)+$T1783</f>
        <v>47</v>
      </c>
      <c r="V1783">
        <f>IF(AND($L1783=1,AND(对接源_02物料!$X583="自备筐",N(对接源_02物料!$V583)&lt;&gt;0)),1,0)</f>
        <v>0</v>
      </c>
      <c r="W1783">
        <f>N(W1782)+$V1783</f>
        <v>11</v>
      </c>
      <c r="X1783">
        <f>IF(AND($L1783=1,AND(对接源_02物料!$X583="自备筐",N(对接源_02物料!$T583)&lt;&gt;0)),1,0)</f>
        <v>0</v>
      </c>
      <c r="Y1783">
        <f>N(Y1782)+$X1783</f>
        <v>0</v>
      </c>
      <c r="Z1783">
        <f>IF(AND($M1783=1,对接源_02物料!$D583="原料入库"),1,0)</f>
        <v>0</v>
      </c>
      <c r="AA1783">
        <f>N(AA1782)+$Z1783</f>
        <v>24</v>
      </c>
      <c r="AB1783">
        <f>IF(AND($M1783=1,LEFT(对接源_02物料!$D583,4)="原料出库"),1,0)</f>
        <v>0</v>
      </c>
      <c r="AC1783">
        <f>N(AC1782)+$AB1783</f>
        <v>0</v>
      </c>
      <c r="AD1783">
        <f>IF(AND($M1783=1,LEFT(对接源_02物料!$D583,4)="成品出库"),1,0)</f>
        <v>0</v>
      </c>
      <c r="AE1783">
        <f>N(AE1782)+$AD1783</f>
        <v>0</v>
      </c>
      <c r="AF1783">
        <f>IF(AND($N1783=1,AND(LEFT(对接源_02物料!$D583,4)="包装物料",N(对接源_02物料!$K583)&lt;&gt;0)),1,0)</f>
        <v>0</v>
      </c>
      <c r="AG1783">
        <f>N(AG1782)+$AF1783</f>
        <v>10</v>
      </c>
      <c r="AH1783">
        <f>IF(AND($N1783=1,AND(对接源_02物料!$D583="周转筐－销售出库",N(对接源_02物料!$K583)&lt;&gt;0)),1,0)</f>
        <v>0</v>
      </c>
      <c r="AI1783">
        <f>N(AI1782)+$AH1783</f>
        <v>0</v>
      </c>
      <c r="AL1783" t="n">
        <v>0</v>
      </c>
      <c r="AM1783">
        <f>N(AM1782)+$AL1783</f>
        <v>2</v>
      </c>
      <c r="AN1783">
        <f>""</f>
      </c>
      <c r="AO1783" t="n">
        <v>0</v>
      </c>
      <c r="AP1783">
        <f>N(AP1782)+$AO1783</f>
        <v>13</v>
      </c>
      <c r="AR1783">
        <f>IF(OR($AF1783=1,$AH1783=1),1,0)</f>
        <v>0</v>
      </c>
      <c r="AS1783">
        <f>N(AS1782)+$AR1783</f>
        <v>10</v>
      </c>
    </row>
    <row r="1784" s="127">
      <c r="A1784">
        <f>IF(对接源_02物料!$C584="","",对接源_02物料!$C584)</f>
      </c>
      <c r="B1784">
        <f>IF(A1784="",0,IF(MATCH(A1784,$A$4:$A$2403,0)=ROW()-3,1,0))</f>
        <v>0</v>
      </c>
      <c r="C1784">
        <f>N(C1783)+B1784</f>
        <v>26</v>
      </c>
      <c r="K1784">
        <f>IF(OR($K$1="",对接源_02物料!$C584="",对接源_02物料!$C584&lt;&gt;$K$1,对接源_02物料!$B584=""),0,IF(OR(N(对接源_02物料!$B584)&lt;$K$2,N(对接源_02物料!$B584)&gt;$K$3),0,1))</f>
        <v>0</v>
      </c>
      <c r="L1784">
        <f>IF(OR($L$1="",对接源_02物料!$C584="",对接源_02物料!$C584&lt;&gt;$L$1,对接源_02物料!$B584=""),0,IF(OR(N(对接源_02物料!$B584)&lt;$L$2,N(对接源_02物料!$B584)&gt;$L$3),0,1))</f>
        <v>0</v>
      </c>
      <c r="M1784">
        <f>IF(OR($M$1="",对接源_02物料!$C584="",对接源_02物料!$C584&lt;&gt;$M$1,对接源_02物料!$B584=""),0,IF(OR(N(对接源_02物料!$B584)&lt;$M$2,N(对接源_02物料!$B584)&gt;$M$3),0,1))</f>
        <v>0</v>
      </c>
      <c r="N1784">
        <f>IF(OR($N$1="",对接源_02物料!$C584="",对接源_02物料!$C584&lt;&gt;$N$1,对接源_02物料!$B584=""),0,IF(OR(N(对接源_02物料!$B584)&lt;$N$2,N(对接源_02物料!$B584)&gt;$N$3),0,1))</f>
        <v>0</v>
      </c>
      <c r="P1784">
        <f>IF(AND($K1784=1,AND(对接源_02物料!$X584="公司筐",N(对接源_02物料!$T584)&lt;&gt;0)),1,0)</f>
        <v>0</v>
      </c>
      <c r="Q1784">
        <f>N(Q1783)+$P1784</f>
        <v>14</v>
      </c>
      <c r="R1784">
        <f>IF(AND($K1784=1,AND(对接源_02物料!$X584="公司筐",N(对接源_02物料!$U584)&lt;&gt;0)),1,0)</f>
        <v>0</v>
      </c>
      <c r="S1784">
        <f>N(S1783)+$R1784</f>
        <v>1</v>
      </c>
      <c r="T1784">
        <f>IF(AND($K1784=1,AND(对接源_02物料!$X584="公司筐",N(对接源_02物料!$V584)&lt;&gt;0)),1,0)</f>
        <v>0</v>
      </c>
      <c r="U1784">
        <f>N(U1783)+$T1784</f>
        <v>47</v>
      </c>
      <c r="V1784">
        <f>IF(AND($L1784=1,AND(对接源_02物料!$X584="自备筐",N(对接源_02物料!$V584)&lt;&gt;0)),1,0)</f>
        <v>0</v>
      </c>
      <c r="W1784">
        <f>N(W1783)+$V1784</f>
        <v>11</v>
      </c>
      <c r="X1784">
        <f>IF(AND($L1784=1,AND(对接源_02物料!$X584="自备筐",N(对接源_02物料!$T584)&lt;&gt;0)),1,0)</f>
        <v>0</v>
      </c>
      <c r="Y1784">
        <f>N(Y1783)+$X1784</f>
        <v>0</v>
      </c>
      <c r="Z1784">
        <f>IF(AND($M1784=1,对接源_02物料!$D584="原料入库"),1,0)</f>
        <v>0</v>
      </c>
      <c r="AA1784">
        <f>N(AA1783)+$Z1784</f>
        <v>24</v>
      </c>
      <c r="AB1784">
        <f>IF(AND($M1784=1,LEFT(对接源_02物料!$D584,4)="原料出库"),1,0)</f>
        <v>0</v>
      </c>
      <c r="AC1784">
        <f>N(AC1783)+$AB1784</f>
        <v>0</v>
      </c>
      <c r="AD1784">
        <f>IF(AND($M1784=1,LEFT(对接源_02物料!$D584,4)="成品出库"),1,0)</f>
        <v>0</v>
      </c>
      <c r="AE1784">
        <f>N(AE1783)+$AD1784</f>
        <v>0</v>
      </c>
      <c r="AF1784">
        <f>IF(AND($N1784=1,AND(LEFT(对接源_02物料!$D584,4)="包装物料",N(对接源_02物料!$K584)&lt;&gt;0)),1,0)</f>
        <v>0</v>
      </c>
      <c r="AG1784">
        <f>N(AG1783)+$AF1784</f>
        <v>10</v>
      </c>
      <c r="AH1784">
        <f>IF(AND($N1784=1,AND(对接源_02物料!$D584="周转筐－销售出库",N(对接源_02物料!$K584)&lt;&gt;0)),1,0)</f>
        <v>0</v>
      </c>
      <c r="AI1784">
        <f>N(AI1783)+$AH1784</f>
        <v>0</v>
      </c>
      <c r="AL1784" t="n">
        <v>0</v>
      </c>
      <c r="AM1784">
        <f>N(AM1783)+$AL1784</f>
        <v>2</v>
      </c>
      <c r="AN1784">
        <f>""</f>
      </c>
      <c r="AO1784" t="n">
        <v>0</v>
      </c>
      <c r="AP1784">
        <f>N(AP1783)+$AO1784</f>
        <v>13</v>
      </c>
      <c r="AR1784">
        <f>IF(OR($AF1784=1,$AH1784=1),1,0)</f>
        <v>0</v>
      </c>
      <c r="AS1784">
        <f>N(AS1783)+$AR1784</f>
        <v>10</v>
      </c>
    </row>
    <row r="1785" s="127">
      <c r="A1785">
        <f>IF(对接源_02物料!$C585="","",对接源_02物料!$C585)</f>
      </c>
      <c r="B1785">
        <f>IF(A1785="",0,IF(MATCH(A1785,$A$4:$A$2403,0)=ROW()-3,1,0))</f>
        <v>0</v>
      </c>
      <c r="C1785">
        <f>N(C1784)+B1785</f>
        <v>26</v>
      </c>
      <c r="K1785">
        <f>IF(OR($K$1="",对接源_02物料!$C585="",对接源_02物料!$C585&lt;&gt;$K$1,对接源_02物料!$B585=""),0,IF(OR(N(对接源_02物料!$B585)&lt;$K$2,N(对接源_02物料!$B585)&gt;$K$3),0,1))</f>
        <v>0</v>
      </c>
      <c r="L1785">
        <f>IF(OR($L$1="",对接源_02物料!$C585="",对接源_02物料!$C585&lt;&gt;$L$1,对接源_02物料!$B585=""),0,IF(OR(N(对接源_02物料!$B585)&lt;$L$2,N(对接源_02物料!$B585)&gt;$L$3),0,1))</f>
        <v>0</v>
      </c>
      <c r="M1785">
        <f>IF(OR($M$1="",对接源_02物料!$C585="",对接源_02物料!$C585&lt;&gt;$M$1,对接源_02物料!$B585=""),0,IF(OR(N(对接源_02物料!$B585)&lt;$M$2,N(对接源_02物料!$B585)&gt;$M$3),0,1))</f>
        <v>0</v>
      </c>
      <c r="N1785">
        <f>IF(OR($N$1="",对接源_02物料!$C585="",对接源_02物料!$C585&lt;&gt;$N$1,对接源_02物料!$B585=""),0,IF(OR(N(对接源_02物料!$B585)&lt;$N$2,N(对接源_02物料!$B585)&gt;$N$3),0,1))</f>
        <v>0</v>
      </c>
      <c r="P1785">
        <f>IF(AND($K1785=1,AND(对接源_02物料!$X585="公司筐",N(对接源_02物料!$T585)&lt;&gt;0)),1,0)</f>
        <v>0</v>
      </c>
      <c r="Q1785">
        <f>N(Q1784)+$P1785</f>
        <v>14</v>
      </c>
      <c r="R1785">
        <f>IF(AND($K1785=1,AND(对接源_02物料!$X585="公司筐",N(对接源_02物料!$U585)&lt;&gt;0)),1,0)</f>
        <v>0</v>
      </c>
      <c r="S1785">
        <f>N(S1784)+$R1785</f>
        <v>1</v>
      </c>
      <c r="T1785">
        <f>IF(AND($K1785=1,AND(对接源_02物料!$X585="公司筐",N(对接源_02物料!$V585)&lt;&gt;0)),1,0)</f>
        <v>0</v>
      </c>
      <c r="U1785">
        <f>N(U1784)+$T1785</f>
        <v>47</v>
      </c>
      <c r="V1785">
        <f>IF(AND($L1785=1,AND(对接源_02物料!$X585="自备筐",N(对接源_02物料!$V585)&lt;&gt;0)),1,0)</f>
        <v>0</v>
      </c>
      <c r="W1785">
        <f>N(W1784)+$V1785</f>
        <v>11</v>
      </c>
      <c r="X1785">
        <f>IF(AND($L1785=1,AND(对接源_02物料!$X585="自备筐",N(对接源_02物料!$T585)&lt;&gt;0)),1,0)</f>
        <v>0</v>
      </c>
      <c r="Y1785">
        <f>N(Y1784)+$X1785</f>
        <v>0</v>
      </c>
      <c r="Z1785">
        <f>IF(AND($M1785=1,对接源_02物料!$D585="原料入库"),1,0)</f>
        <v>0</v>
      </c>
      <c r="AA1785">
        <f>N(AA1784)+$Z1785</f>
        <v>24</v>
      </c>
      <c r="AB1785">
        <f>IF(AND($M1785=1,LEFT(对接源_02物料!$D585,4)="原料出库"),1,0)</f>
        <v>0</v>
      </c>
      <c r="AC1785">
        <f>N(AC1784)+$AB1785</f>
        <v>0</v>
      </c>
      <c r="AD1785">
        <f>IF(AND($M1785=1,LEFT(对接源_02物料!$D585,4)="成品出库"),1,0)</f>
        <v>0</v>
      </c>
      <c r="AE1785">
        <f>N(AE1784)+$AD1785</f>
        <v>0</v>
      </c>
      <c r="AF1785">
        <f>IF(AND($N1785=1,AND(LEFT(对接源_02物料!$D585,4)="包装物料",N(对接源_02物料!$K585)&lt;&gt;0)),1,0)</f>
        <v>0</v>
      </c>
      <c r="AG1785">
        <f>N(AG1784)+$AF1785</f>
        <v>10</v>
      </c>
      <c r="AH1785">
        <f>IF(AND($N1785=1,AND(对接源_02物料!$D585="周转筐－销售出库",N(对接源_02物料!$K585)&lt;&gt;0)),1,0)</f>
        <v>0</v>
      </c>
      <c r="AI1785">
        <f>N(AI1784)+$AH1785</f>
        <v>0</v>
      </c>
      <c r="AL1785" t="n">
        <v>0</v>
      </c>
      <c r="AM1785">
        <f>N(AM1784)+$AL1785</f>
        <v>2</v>
      </c>
      <c r="AN1785">
        <f>""</f>
      </c>
      <c r="AO1785" t="n">
        <v>0</v>
      </c>
      <c r="AP1785">
        <f>N(AP1784)+$AO1785</f>
        <v>13</v>
      </c>
      <c r="AR1785">
        <f>IF(OR($AF1785=1,$AH1785=1),1,0)</f>
        <v>0</v>
      </c>
      <c r="AS1785">
        <f>N(AS1784)+$AR1785</f>
        <v>10</v>
      </c>
    </row>
    <row r="1786" s="127">
      <c r="A1786">
        <f>IF(对接源_02物料!$C586="","",对接源_02物料!$C586)</f>
      </c>
      <c r="B1786">
        <f>IF(A1786="",0,IF(MATCH(A1786,$A$4:$A$2403,0)=ROW()-3,1,0))</f>
        <v>0</v>
      </c>
      <c r="C1786">
        <f>N(C1785)+B1786</f>
        <v>26</v>
      </c>
      <c r="K1786">
        <f>IF(OR($K$1="",对接源_02物料!$C586="",对接源_02物料!$C586&lt;&gt;$K$1,对接源_02物料!$B586=""),0,IF(OR(N(对接源_02物料!$B586)&lt;$K$2,N(对接源_02物料!$B586)&gt;$K$3),0,1))</f>
        <v>0</v>
      </c>
      <c r="L1786">
        <f>IF(OR($L$1="",对接源_02物料!$C586="",对接源_02物料!$C586&lt;&gt;$L$1,对接源_02物料!$B586=""),0,IF(OR(N(对接源_02物料!$B586)&lt;$L$2,N(对接源_02物料!$B586)&gt;$L$3),0,1))</f>
        <v>0</v>
      </c>
      <c r="M1786">
        <f>IF(OR($M$1="",对接源_02物料!$C586="",对接源_02物料!$C586&lt;&gt;$M$1,对接源_02物料!$B586=""),0,IF(OR(N(对接源_02物料!$B586)&lt;$M$2,N(对接源_02物料!$B586)&gt;$M$3),0,1))</f>
        <v>0</v>
      </c>
      <c r="N1786">
        <f>IF(OR($N$1="",对接源_02物料!$C586="",对接源_02物料!$C586&lt;&gt;$N$1,对接源_02物料!$B586=""),0,IF(OR(N(对接源_02物料!$B586)&lt;$N$2,N(对接源_02物料!$B586)&gt;$N$3),0,1))</f>
        <v>0</v>
      </c>
      <c r="P1786">
        <f>IF(AND($K1786=1,AND(对接源_02物料!$X586="公司筐",N(对接源_02物料!$T586)&lt;&gt;0)),1,0)</f>
        <v>0</v>
      </c>
      <c r="Q1786">
        <f>N(Q1785)+$P1786</f>
        <v>14</v>
      </c>
      <c r="R1786">
        <f>IF(AND($K1786=1,AND(对接源_02物料!$X586="公司筐",N(对接源_02物料!$U586)&lt;&gt;0)),1,0)</f>
        <v>0</v>
      </c>
      <c r="S1786">
        <f>N(S1785)+$R1786</f>
        <v>1</v>
      </c>
      <c r="T1786">
        <f>IF(AND($K1786=1,AND(对接源_02物料!$X586="公司筐",N(对接源_02物料!$V586)&lt;&gt;0)),1,0)</f>
        <v>0</v>
      </c>
      <c r="U1786">
        <f>N(U1785)+$T1786</f>
        <v>47</v>
      </c>
      <c r="V1786">
        <f>IF(AND($L1786=1,AND(对接源_02物料!$X586="自备筐",N(对接源_02物料!$V586)&lt;&gt;0)),1,0)</f>
        <v>0</v>
      </c>
      <c r="W1786">
        <f>N(W1785)+$V1786</f>
        <v>11</v>
      </c>
      <c r="X1786">
        <f>IF(AND($L1786=1,AND(对接源_02物料!$X586="自备筐",N(对接源_02物料!$T586)&lt;&gt;0)),1,0)</f>
        <v>0</v>
      </c>
      <c r="Y1786">
        <f>N(Y1785)+$X1786</f>
        <v>0</v>
      </c>
      <c r="Z1786">
        <f>IF(AND($M1786=1,对接源_02物料!$D586="原料入库"),1,0)</f>
        <v>0</v>
      </c>
      <c r="AA1786">
        <f>N(AA1785)+$Z1786</f>
        <v>24</v>
      </c>
      <c r="AB1786">
        <f>IF(AND($M1786=1,LEFT(对接源_02物料!$D586,4)="原料出库"),1,0)</f>
        <v>0</v>
      </c>
      <c r="AC1786">
        <f>N(AC1785)+$AB1786</f>
        <v>0</v>
      </c>
      <c r="AD1786">
        <f>IF(AND($M1786=1,LEFT(对接源_02物料!$D586,4)="成品出库"),1,0)</f>
        <v>0</v>
      </c>
      <c r="AE1786">
        <f>N(AE1785)+$AD1786</f>
        <v>0</v>
      </c>
      <c r="AF1786">
        <f>IF(AND($N1786=1,AND(LEFT(对接源_02物料!$D586,4)="包装物料",N(对接源_02物料!$K586)&lt;&gt;0)),1,0)</f>
        <v>0</v>
      </c>
      <c r="AG1786">
        <f>N(AG1785)+$AF1786</f>
        <v>10</v>
      </c>
      <c r="AH1786">
        <f>IF(AND($N1786=1,AND(对接源_02物料!$D586="周转筐－销售出库",N(对接源_02物料!$K586)&lt;&gt;0)),1,0)</f>
        <v>0</v>
      </c>
      <c r="AI1786">
        <f>N(AI1785)+$AH1786</f>
        <v>0</v>
      </c>
      <c r="AL1786" t="n">
        <v>0</v>
      </c>
      <c r="AM1786">
        <f>N(AM1785)+$AL1786</f>
        <v>2</v>
      </c>
      <c r="AN1786">
        <f>""</f>
      </c>
      <c r="AO1786" t="n">
        <v>0</v>
      </c>
      <c r="AP1786">
        <f>N(AP1785)+$AO1786</f>
        <v>13</v>
      </c>
      <c r="AR1786">
        <f>IF(OR($AF1786=1,$AH1786=1),1,0)</f>
        <v>0</v>
      </c>
      <c r="AS1786">
        <f>N(AS1785)+$AR1786</f>
        <v>10</v>
      </c>
    </row>
    <row r="1787" s="127">
      <c r="A1787">
        <f>IF(对接源_02物料!$C587="","",对接源_02物料!$C587)</f>
      </c>
      <c r="B1787">
        <f>IF(A1787="",0,IF(MATCH(A1787,$A$4:$A$2403,0)=ROW()-3,1,0))</f>
        <v>0</v>
      </c>
      <c r="C1787">
        <f>N(C1786)+B1787</f>
        <v>26</v>
      </c>
      <c r="K1787">
        <f>IF(OR($K$1="",对接源_02物料!$C587="",对接源_02物料!$C587&lt;&gt;$K$1,对接源_02物料!$B587=""),0,IF(OR(N(对接源_02物料!$B587)&lt;$K$2,N(对接源_02物料!$B587)&gt;$K$3),0,1))</f>
        <v>0</v>
      </c>
      <c r="L1787">
        <f>IF(OR($L$1="",对接源_02物料!$C587="",对接源_02物料!$C587&lt;&gt;$L$1,对接源_02物料!$B587=""),0,IF(OR(N(对接源_02物料!$B587)&lt;$L$2,N(对接源_02物料!$B587)&gt;$L$3),0,1))</f>
        <v>0</v>
      </c>
      <c r="M1787">
        <f>IF(OR($M$1="",对接源_02物料!$C587="",对接源_02物料!$C587&lt;&gt;$M$1,对接源_02物料!$B587=""),0,IF(OR(N(对接源_02物料!$B587)&lt;$M$2,N(对接源_02物料!$B587)&gt;$M$3),0,1))</f>
        <v>0</v>
      </c>
      <c r="N1787">
        <f>IF(OR($N$1="",对接源_02物料!$C587="",对接源_02物料!$C587&lt;&gt;$N$1,对接源_02物料!$B587=""),0,IF(OR(N(对接源_02物料!$B587)&lt;$N$2,N(对接源_02物料!$B587)&gt;$N$3),0,1))</f>
        <v>0</v>
      </c>
      <c r="P1787">
        <f>IF(AND($K1787=1,AND(对接源_02物料!$X587="公司筐",N(对接源_02物料!$T587)&lt;&gt;0)),1,0)</f>
        <v>0</v>
      </c>
      <c r="Q1787">
        <f>N(Q1786)+$P1787</f>
        <v>14</v>
      </c>
      <c r="R1787">
        <f>IF(AND($K1787=1,AND(对接源_02物料!$X587="公司筐",N(对接源_02物料!$U587)&lt;&gt;0)),1,0)</f>
        <v>0</v>
      </c>
      <c r="S1787">
        <f>N(S1786)+$R1787</f>
        <v>1</v>
      </c>
      <c r="T1787">
        <f>IF(AND($K1787=1,AND(对接源_02物料!$X587="公司筐",N(对接源_02物料!$V587)&lt;&gt;0)),1,0)</f>
        <v>0</v>
      </c>
      <c r="U1787">
        <f>N(U1786)+$T1787</f>
        <v>47</v>
      </c>
      <c r="V1787">
        <f>IF(AND($L1787=1,AND(对接源_02物料!$X587="自备筐",N(对接源_02物料!$V587)&lt;&gt;0)),1,0)</f>
        <v>0</v>
      </c>
      <c r="W1787">
        <f>N(W1786)+$V1787</f>
        <v>11</v>
      </c>
      <c r="X1787">
        <f>IF(AND($L1787=1,AND(对接源_02物料!$X587="自备筐",N(对接源_02物料!$T587)&lt;&gt;0)),1,0)</f>
        <v>0</v>
      </c>
      <c r="Y1787">
        <f>N(Y1786)+$X1787</f>
        <v>0</v>
      </c>
      <c r="Z1787">
        <f>IF(AND($M1787=1,对接源_02物料!$D587="原料入库"),1,0)</f>
        <v>0</v>
      </c>
      <c r="AA1787">
        <f>N(AA1786)+$Z1787</f>
        <v>24</v>
      </c>
      <c r="AB1787">
        <f>IF(AND($M1787=1,LEFT(对接源_02物料!$D587,4)="原料出库"),1,0)</f>
        <v>0</v>
      </c>
      <c r="AC1787">
        <f>N(AC1786)+$AB1787</f>
        <v>0</v>
      </c>
      <c r="AD1787">
        <f>IF(AND($M1787=1,LEFT(对接源_02物料!$D587,4)="成品出库"),1,0)</f>
        <v>0</v>
      </c>
      <c r="AE1787">
        <f>N(AE1786)+$AD1787</f>
        <v>0</v>
      </c>
      <c r="AF1787">
        <f>IF(AND($N1787=1,AND(LEFT(对接源_02物料!$D587,4)="包装物料",N(对接源_02物料!$K587)&lt;&gt;0)),1,0)</f>
        <v>0</v>
      </c>
      <c r="AG1787">
        <f>N(AG1786)+$AF1787</f>
        <v>10</v>
      </c>
      <c r="AH1787">
        <f>IF(AND($N1787=1,AND(对接源_02物料!$D587="周转筐－销售出库",N(对接源_02物料!$K587)&lt;&gt;0)),1,0)</f>
        <v>0</v>
      </c>
      <c r="AI1787">
        <f>N(AI1786)+$AH1787</f>
        <v>0</v>
      </c>
      <c r="AL1787" t="n">
        <v>0</v>
      </c>
      <c r="AM1787">
        <f>N(AM1786)+$AL1787</f>
        <v>2</v>
      </c>
      <c r="AN1787">
        <f>""</f>
      </c>
      <c r="AO1787" t="n">
        <v>0</v>
      </c>
      <c r="AP1787">
        <f>N(AP1786)+$AO1787</f>
        <v>13</v>
      </c>
      <c r="AR1787">
        <f>IF(OR($AF1787=1,$AH1787=1),1,0)</f>
        <v>0</v>
      </c>
      <c r="AS1787">
        <f>N(AS1786)+$AR1787</f>
        <v>10</v>
      </c>
    </row>
    <row r="1788" s="127">
      <c r="A1788">
        <f>IF(对接源_02物料!$C588="","",对接源_02物料!$C588)</f>
      </c>
      <c r="B1788">
        <f>IF(A1788="",0,IF(MATCH(A1788,$A$4:$A$2403,0)=ROW()-3,1,0))</f>
        <v>0</v>
      </c>
      <c r="C1788">
        <f>N(C1787)+B1788</f>
        <v>26</v>
      </c>
      <c r="K1788">
        <f>IF(OR($K$1="",对接源_02物料!$C588="",对接源_02物料!$C588&lt;&gt;$K$1,对接源_02物料!$B588=""),0,IF(OR(N(对接源_02物料!$B588)&lt;$K$2,N(对接源_02物料!$B588)&gt;$K$3),0,1))</f>
        <v>0</v>
      </c>
      <c r="L1788">
        <f>IF(OR($L$1="",对接源_02物料!$C588="",对接源_02物料!$C588&lt;&gt;$L$1,对接源_02物料!$B588=""),0,IF(OR(N(对接源_02物料!$B588)&lt;$L$2,N(对接源_02物料!$B588)&gt;$L$3),0,1))</f>
        <v>0</v>
      </c>
      <c r="M1788">
        <f>IF(OR($M$1="",对接源_02物料!$C588="",对接源_02物料!$C588&lt;&gt;$M$1,对接源_02物料!$B588=""),0,IF(OR(N(对接源_02物料!$B588)&lt;$M$2,N(对接源_02物料!$B588)&gt;$M$3),0,1))</f>
        <v>0</v>
      </c>
      <c r="N1788">
        <f>IF(OR($N$1="",对接源_02物料!$C588="",对接源_02物料!$C588&lt;&gt;$N$1,对接源_02物料!$B588=""),0,IF(OR(N(对接源_02物料!$B588)&lt;$N$2,N(对接源_02物料!$B588)&gt;$N$3),0,1))</f>
        <v>0</v>
      </c>
      <c r="P1788">
        <f>IF(AND($K1788=1,AND(对接源_02物料!$X588="公司筐",N(对接源_02物料!$T588)&lt;&gt;0)),1,0)</f>
        <v>0</v>
      </c>
      <c r="Q1788">
        <f>N(Q1787)+$P1788</f>
        <v>14</v>
      </c>
      <c r="R1788">
        <f>IF(AND($K1788=1,AND(对接源_02物料!$X588="公司筐",N(对接源_02物料!$U588)&lt;&gt;0)),1,0)</f>
        <v>0</v>
      </c>
      <c r="S1788">
        <f>N(S1787)+$R1788</f>
        <v>1</v>
      </c>
      <c r="T1788">
        <f>IF(AND($K1788=1,AND(对接源_02物料!$X588="公司筐",N(对接源_02物料!$V588)&lt;&gt;0)),1,0)</f>
        <v>0</v>
      </c>
      <c r="U1788">
        <f>N(U1787)+$T1788</f>
        <v>47</v>
      </c>
      <c r="V1788">
        <f>IF(AND($L1788=1,AND(对接源_02物料!$X588="自备筐",N(对接源_02物料!$V588)&lt;&gt;0)),1,0)</f>
        <v>0</v>
      </c>
      <c r="W1788">
        <f>N(W1787)+$V1788</f>
        <v>11</v>
      </c>
      <c r="X1788">
        <f>IF(AND($L1788=1,AND(对接源_02物料!$X588="自备筐",N(对接源_02物料!$T588)&lt;&gt;0)),1,0)</f>
        <v>0</v>
      </c>
      <c r="Y1788">
        <f>N(Y1787)+$X1788</f>
        <v>0</v>
      </c>
      <c r="Z1788">
        <f>IF(AND($M1788=1,对接源_02物料!$D588="原料入库"),1,0)</f>
        <v>0</v>
      </c>
      <c r="AA1788">
        <f>N(AA1787)+$Z1788</f>
        <v>24</v>
      </c>
      <c r="AB1788">
        <f>IF(AND($M1788=1,LEFT(对接源_02物料!$D588,4)="原料出库"),1,0)</f>
        <v>0</v>
      </c>
      <c r="AC1788">
        <f>N(AC1787)+$AB1788</f>
        <v>0</v>
      </c>
      <c r="AD1788">
        <f>IF(AND($M1788=1,LEFT(对接源_02物料!$D588,4)="成品出库"),1,0)</f>
        <v>0</v>
      </c>
      <c r="AE1788">
        <f>N(AE1787)+$AD1788</f>
        <v>0</v>
      </c>
      <c r="AF1788">
        <f>IF(AND($N1788=1,AND(LEFT(对接源_02物料!$D588,4)="包装物料",N(对接源_02物料!$K588)&lt;&gt;0)),1,0)</f>
        <v>0</v>
      </c>
      <c r="AG1788">
        <f>N(AG1787)+$AF1788</f>
        <v>10</v>
      </c>
      <c r="AH1788">
        <f>IF(AND($N1788=1,AND(对接源_02物料!$D588="周转筐－销售出库",N(对接源_02物料!$K588)&lt;&gt;0)),1,0)</f>
        <v>0</v>
      </c>
      <c r="AI1788">
        <f>N(AI1787)+$AH1788</f>
        <v>0</v>
      </c>
      <c r="AL1788" t="n">
        <v>0</v>
      </c>
      <c r="AM1788">
        <f>N(AM1787)+$AL1788</f>
        <v>2</v>
      </c>
      <c r="AN1788">
        <f>""</f>
      </c>
      <c r="AO1788" t="n">
        <v>0</v>
      </c>
      <c r="AP1788">
        <f>N(AP1787)+$AO1788</f>
        <v>13</v>
      </c>
      <c r="AR1788">
        <f>IF(OR($AF1788=1,$AH1788=1),1,0)</f>
        <v>0</v>
      </c>
      <c r="AS1788">
        <f>N(AS1787)+$AR1788</f>
        <v>10</v>
      </c>
    </row>
    <row r="1789" s="127">
      <c r="A1789">
        <f>IF(对接源_02物料!$C589="","",对接源_02物料!$C589)</f>
      </c>
      <c r="B1789">
        <f>IF(A1789="",0,IF(MATCH(A1789,$A$4:$A$2403,0)=ROW()-3,1,0))</f>
        <v>0</v>
      </c>
      <c r="C1789">
        <f>N(C1788)+B1789</f>
        <v>26</v>
      </c>
      <c r="K1789">
        <f>IF(OR($K$1="",对接源_02物料!$C589="",对接源_02物料!$C589&lt;&gt;$K$1,对接源_02物料!$B589=""),0,IF(OR(N(对接源_02物料!$B589)&lt;$K$2,N(对接源_02物料!$B589)&gt;$K$3),0,1))</f>
        <v>0</v>
      </c>
      <c r="L1789">
        <f>IF(OR($L$1="",对接源_02物料!$C589="",对接源_02物料!$C589&lt;&gt;$L$1,对接源_02物料!$B589=""),0,IF(OR(N(对接源_02物料!$B589)&lt;$L$2,N(对接源_02物料!$B589)&gt;$L$3),0,1))</f>
        <v>0</v>
      </c>
      <c r="M1789">
        <f>IF(OR($M$1="",对接源_02物料!$C589="",对接源_02物料!$C589&lt;&gt;$M$1,对接源_02物料!$B589=""),0,IF(OR(N(对接源_02物料!$B589)&lt;$M$2,N(对接源_02物料!$B589)&gt;$M$3),0,1))</f>
        <v>0</v>
      </c>
      <c r="N1789">
        <f>IF(OR($N$1="",对接源_02物料!$C589="",对接源_02物料!$C589&lt;&gt;$N$1,对接源_02物料!$B589=""),0,IF(OR(N(对接源_02物料!$B589)&lt;$N$2,N(对接源_02物料!$B589)&gt;$N$3),0,1))</f>
        <v>0</v>
      </c>
      <c r="P1789">
        <f>IF(AND($K1789=1,AND(对接源_02物料!$X589="公司筐",N(对接源_02物料!$T589)&lt;&gt;0)),1,0)</f>
        <v>0</v>
      </c>
      <c r="Q1789">
        <f>N(Q1788)+$P1789</f>
        <v>14</v>
      </c>
      <c r="R1789">
        <f>IF(AND($K1789=1,AND(对接源_02物料!$X589="公司筐",N(对接源_02物料!$U589)&lt;&gt;0)),1,0)</f>
        <v>0</v>
      </c>
      <c r="S1789">
        <f>N(S1788)+$R1789</f>
        <v>1</v>
      </c>
      <c r="T1789">
        <f>IF(AND($K1789=1,AND(对接源_02物料!$X589="公司筐",N(对接源_02物料!$V589)&lt;&gt;0)),1,0)</f>
        <v>0</v>
      </c>
      <c r="U1789">
        <f>N(U1788)+$T1789</f>
        <v>47</v>
      </c>
      <c r="V1789">
        <f>IF(AND($L1789=1,AND(对接源_02物料!$X589="自备筐",N(对接源_02物料!$V589)&lt;&gt;0)),1,0)</f>
        <v>0</v>
      </c>
      <c r="W1789">
        <f>N(W1788)+$V1789</f>
        <v>11</v>
      </c>
      <c r="X1789">
        <f>IF(AND($L1789=1,AND(对接源_02物料!$X589="自备筐",N(对接源_02物料!$T589)&lt;&gt;0)),1,0)</f>
        <v>0</v>
      </c>
      <c r="Y1789">
        <f>N(Y1788)+$X1789</f>
        <v>0</v>
      </c>
      <c r="Z1789">
        <f>IF(AND($M1789=1,对接源_02物料!$D589="原料入库"),1,0)</f>
        <v>0</v>
      </c>
      <c r="AA1789">
        <f>N(AA1788)+$Z1789</f>
        <v>24</v>
      </c>
      <c r="AB1789">
        <f>IF(AND($M1789=1,LEFT(对接源_02物料!$D589,4)="原料出库"),1,0)</f>
        <v>0</v>
      </c>
      <c r="AC1789">
        <f>N(AC1788)+$AB1789</f>
        <v>0</v>
      </c>
      <c r="AD1789">
        <f>IF(AND($M1789=1,LEFT(对接源_02物料!$D589,4)="成品出库"),1,0)</f>
        <v>0</v>
      </c>
      <c r="AE1789">
        <f>N(AE1788)+$AD1789</f>
        <v>0</v>
      </c>
      <c r="AF1789">
        <f>IF(AND($N1789=1,AND(LEFT(对接源_02物料!$D589,4)="包装物料",N(对接源_02物料!$K589)&lt;&gt;0)),1,0)</f>
        <v>0</v>
      </c>
      <c r="AG1789">
        <f>N(AG1788)+$AF1789</f>
        <v>10</v>
      </c>
      <c r="AH1789">
        <f>IF(AND($N1789=1,AND(对接源_02物料!$D589="周转筐－销售出库",N(对接源_02物料!$K589)&lt;&gt;0)),1,0)</f>
        <v>0</v>
      </c>
      <c r="AI1789">
        <f>N(AI1788)+$AH1789</f>
        <v>0</v>
      </c>
      <c r="AL1789" t="n">
        <v>0</v>
      </c>
      <c r="AM1789">
        <f>N(AM1788)+$AL1789</f>
        <v>2</v>
      </c>
      <c r="AN1789">
        <f>""</f>
      </c>
      <c r="AO1789" t="n">
        <v>0</v>
      </c>
      <c r="AP1789">
        <f>N(AP1788)+$AO1789</f>
        <v>13</v>
      </c>
      <c r="AR1789">
        <f>IF(OR($AF1789=1,$AH1789=1),1,0)</f>
        <v>0</v>
      </c>
      <c r="AS1789">
        <f>N(AS1788)+$AR1789</f>
        <v>10</v>
      </c>
    </row>
    <row r="1790" s="127">
      <c r="A1790">
        <f>IF(对接源_02物料!$C590="","",对接源_02物料!$C590)</f>
      </c>
      <c r="B1790">
        <f>IF(A1790="",0,IF(MATCH(A1790,$A$4:$A$2403,0)=ROW()-3,1,0))</f>
        <v>0</v>
      </c>
      <c r="C1790">
        <f>N(C1789)+B1790</f>
        <v>26</v>
      </c>
      <c r="K1790">
        <f>IF(OR($K$1="",对接源_02物料!$C590="",对接源_02物料!$C590&lt;&gt;$K$1,对接源_02物料!$B590=""),0,IF(OR(N(对接源_02物料!$B590)&lt;$K$2,N(对接源_02物料!$B590)&gt;$K$3),0,1))</f>
        <v>0</v>
      </c>
      <c r="L1790">
        <f>IF(OR($L$1="",对接源_02物料!$C590="",对接源_02物料!$C590&lt;&gt;$L$1,对接源_02物料!$B590=""),0,IF(OR(N(对接源_02物料!$B590)&lt;$L$2,N(对接源_02物料!$B590)&gt;$L$3),0,1))</f>
        <v>0</v>
      </c>
      <c r="M1790">
        <f>IF(OR($M$1="",对接源_02物料!$C590="",对接源_02物料!$C590&lt;&gt;$M$1,对接源_02物料!$B590=""),0,IF(OR(N(对接源_02物料!$B590)&lt;$M$2,N(对接源_02物料!$B590)&gt;$M$3),0,1))</f>
        <v>0</v>
      </c>
      <c r="N1790">
        <f>IF(OR($N$1="",对接源_02物料!$C590="",对接源_02物料!$C590&lt;&gt;$N$1,对接源_02物料!$B590=""),0,IF(OR(N(对接源_02物料!$B590)&lt;$N$2,N(对接源_02物料!$B590)&gt;$N$3),0,1))</f>
        <v>0</v>
      </c>
      <c r="P1790">
        <f>IF(AND($K1790=1,AND(对接源_02物料!$X590="公司筐",N(对接源_02物料!$T590)&lt;&gt;0)),1,0)</f>
        <v>0</v>
      </c>
      <c r="Q1790">
        <f>N(Q1789)+$P1790</f>
        <v>14</v>
      </c>
      <c r="R1790">
        <f>IF(AND($K1790=1,AND(对接源_02物料!$X590="公司筐",N(对接源_02物料!$U590)&lt;&gt;0)),1,0)</f>
        <v>0</v>
      </c>
      <c r="S1790">
        <f>N(S1789)+$R1790</f>
        <v>1</v>
      </c>
      <c r="T1790">
        <f>IF(AND($K1790=1,AND(对接源_02物料!$X590="公司筐",N(对接源_02物料!$V590)&lt;&gt;0)),1,0)</f>
        <v>0</v>
      </c>
      <c r="U1790">
        <f>N(U1789)+$T1790</f>
        <v>47</v>
      </c>
      <c r="V1790">
        <f>IF(AND($L1790=1,AND(对接源_02物料!$X590="自备筐",N(对接源_02物料!$V590)&lt;&gt;0)),1,0)</f>
        <v>0</v>
      </c>
      <c r="W1790">
        <f>N(W1789)+$V1790</f>
        <v>11</v>
      </c>
      <c r="X1790">
        <f>IF(AND($L1790=1,AND(对接源_02物料!$X590="自备筐",N(对接源_02物料!$T590)&lt;&gt;0)),1,0)</f>
        <v>0</v>
      </c>
      <c r="Y1790">
        <f>N(Y1789)+$X1790</f>
        <v>0</v>
      </c>
      <c r="Z1790">
        <f>IF(AND($M1790=1,对接源_02物料!$D590="原料入库"),1,0)</f>
        <v>0</v>
      </c>
      <c r="AA1790">
        <f>N(AA1789)+$Z1790</f>
        <v>24</v>
      </c>
      <c r="AB1790">
        <f>IF(AND($M1790=1,LEFT(对接源_02物料!$D590,4)="原料出库"),1,0)</f>
        <v>0</v>
      </c>
      <c r="AC1790">
        <f>N(AC1789)+$AB1790</f>
        <v>0</v>
      </c>
      <c r="AD1790">
        <f>IF(AND($M1790=1,LEFT(对接源_02物料!$D590,4)="成品出库"),1,0)</f>
        <v>0</v>
      </c>
      <c r="AE1790">
        <f>N(AE1789)+$AD1790</f>
        <v>0</v>
      </c>
      <c r="AF1790">
        <f>IF(AND($N1790=1,AND(LEFT(对接源_02物料!$D590,4)="包装物料",N(对接源_02物料!$K590)&lt;&gt;0)),1,0)</f>
        <v>0</v>
      </c>
      <c r="AG1790">
        <f>N(AG1789)+$AF1790</f>
        <v>10</v>
      </c>
      <c r="AH1790">
        <f>IF(AND($N1790=1,AND(对接源_02物料!$D590="周转筐－销售出库",N(对接源_02物料!$K590)&lt;&gt;0)),1,0)</f>
        <v>0</v>
      </c>
      <c r="AI1790">
        <f>N(AI1789)+$AH1790</f>
        <v>0</v>
      </c>
      <c r="AL1790" t="n">
        <v>0</v>
      </c>
      <c r="AM1790">
        <f>N(AM1789)+$AL1790</f>
        <v>2</v>
      </c>
      <c r="AN1790">
        <f>""</f>
      </c>
      <c r="AO1790" t="n">
        <v>0</v>
      </c>
      <c r="AP1790">
        <f>N(AP1789)+$AO1790</f>
        <v>13</v>
      </c>
      <c r="AR1790">
        <f>IF(OR($AF1790=1,$AH1790=1),1,0)</f>
        <v>0</v>
      </c>
      <c r="AS1790">
        <f>N(AS1789)+$AR1790</f>
        <v>10</v>
      </c>
    </row>
    <row r="1791" s="127">
      <c r="A1791">
        <f>IF(对接源_02物料!$C591="","",对接源_02物料!$C591)</f>
      </c>
      <c r="B1791">
        <f>IF(A1791="",0,IF(MATCH(A1791,$A$4:$A$2403,0)=ROW()-3,1,0))</f>
        <v>0</v>
      </c>
      <c r="C1791">
        <f>N(C1790)+B1791</f>
        <v>26</v>
      </c>
      <c r="K1791">
        <f>IF(OR($K$1="",对接源_02物料!$C591="",对接源_02物料!$C591&lt;&gt;$K$1,对接源_02物料!$B591=""),0,IF(OR(N(对接源_02物料!$B591)&lt;$K$2,N(对接源_02物料!$B591)&gt;$K$3),0,1))</f>
        <v>0</v>
      </c>
      <c r="L1791">
        <f>IF(OR($L$1="",对接源_02物料!$C591="",对接源_02物料!$C591&lt;&gt;$L$1,对接源_02物料!$B591=""),0,IF(OR(N(对接源_02物料!$B591)&lt;$L$2,N(对接源_02物料!$B591)&gt;$L$3),0,1))</f>
        <v>0</v>
      </c>
      <c r="M1791">
        <f>IF(OR($M$1="",对接源_02物料!$C591="",对接源_02物料!$C591&lt;&gt;$M$1,对接源_02物料!$B591=""),0,IF(OR(N(对接源_02物料!$B591)&lt;$M$2,N(对接源_02物料!$B591)&gt;$M$3),0,1))</f>
        <v>0</v>
      </c>
      <c r="N1791">
        <f>IF(OR($N$1="",对接源_02物料!$C591="",对接源_02物料!$C591&lt;&gt;$N$1,对接源_02物料!$B591=""),0,IF(OR(N(对接源_02物料!$B591)&lt;$N$2,N(对接源_02物料!$B591)&gt;$N$3),0,1))</f>
        <v>0</v>
      </c>
      <c r="P1791">
        <f>IF(AND($K1791=1,AND(对接源_02物料!$X591="公司筐",N(对接源_02物料!$T591)&lt;&gt;0)),1,0)</f>
        <v>0</v>
      </c>
      <c r="Q1791">
        <f>N(Q1790)+$P1791</f>
        <v>14</v>
      </c>
      <c r="R1791">
        <f>IF(AND($K1791=1,AND(对接源_02物料!$X591="公司筐",N(对接源_02物料!$U591)&lt;&gt;0)),1,0)</f>
        <v>0</v>
      </c>
      <c r="S1791">
        <f>N(S1790)+$R1791</f>
        <v>1</v>
      </c>
      <c r="T1791">
        <f>IF(AND($K1791=1,AND(对接源_02物料!$X591="公司筐",N(对接源_02物料!$V591)&lt;&gt;0)),1,0)</f>
        <v>0</v>
      </c>
      <c r="U1791">
        <f>N(U1790)+$T1791</f>
        <v>47</v>
      </c>
      <c r="V1791">
        <f>IF(AND($L1791=1,AND(对接源_02物料!$X591="自备筐",N(对接源_02物料!$V591)&lt;&gt;0)),1,0)</f>
        <v>0</v>
      </c>
      <c r="W1791">
        <f>N(W1790)+$V1791</f>
        <v>11</v>
      </c>
      <c r="X1791">
        <f>IF(AND($L1791=1,AND(对接源_02物料!$X591="自备筐",N(对接源_02物料!$T591)&lt;&gt;0)),1,0)</f>
        <v>0</v>
      </c>
      <c r="Y1791">
        <f>N(Y1790)+$X1791</f>
        <v>0</v>
      </c>
      <c r="Z1791">
        <f>IF(AND($M1791=1,对接源_02物料!$D591="原料入库"),1,0)</f>
        <v>0</v>
      </c>
      <c r="AA1791">
        <f>N(AA1790)+$Z1791</f>
        <v>24</v>
      </c>
      <c r="AB1791">
        <f>IF(AND($M1791=1,LEFT(对接源_02物料!$D591,4)="原料出库"),1,0)</f>
        <v>0</v>
      </c>
      <c r="AC1791">
        <f>N(AC1790)+$AB1791</f>
        <v>0</v>
      </c>
      <c r="AD1791">
        <f>IF(AND($M1791=1,LEFT(对接源_02物料!$D591,4)="成品出库"),1,0)</f>
        <v>0</v>
      </c>
      <c r="AE1791">
        <f>N(AE1790)+$AD1791</f>
        <v>0</v>
      </c>
      <c r="AF1791">
        <f>IF(AND($N1791=1,AND(LEFT(对接源_02物料!$D591,4)="包装物料",N(对接源_02物料!$K591)&lt;&gt;0)),1,0)</f>
        <v>0</v>
      </c>
      <c r="AG1791">
        <f>N(AG1790)+$AF1791</f>
        <v>10</v>
      </c>
      <c r="AH1791">
        <f>IF(AND($N1791=1,AND(对接源_02物料!$D591="周转筐－销售出库",N(对接源_02物料!$K591)&lt;&gt;0)),1,0)</f>
        <v>0</v>
      </c>
      <c r="AI1791">
        <f>N(AI1790)+$AH1791</f>
        <v>0</v>
      </c>
      <c r="AL1791" t="n">
        <v>0</v>
      </c>
      <c r="AM1791">
        <f>N(AM1790)+$AL1791</f>
        <v>2</v>
      </c>
      <c r="AN1791">
        <f>""</f>
      </c>
      <c r="AO1791" t="n">
        <v>0</v>
      </c>
      <c r="AP1791">
        <f>N(AP1790)+$AO1791</f>
        <v>13</v>
      </c>
      <c r="AR1791">
        <f>IF(OR($AF1791=1,$AH1791=1),1,0)</f>
        <v>0</v>
      </c>
      <c r="AS1791">
        <f>N(AS1790)+$AR1791</f>
        <v>10</v>
      </c>
    </row>
    <row r="1792" s="127">
      <c r="A1792">
        <f>IF(对接源_02物料!$C592="","",对接源_02物料!$C592)</f>
      </c>
      <c r="B1792">
        <f>IF(A1792="",0,IF(MATCH(A1792,$A$4:$A$2403,0)=ROW()-3,1,0))</f>
        <v>0</v>
      </c>
      <c r="C1792">
        <f>N(C1791)+B1792</f>
        <v>26</v>
      </c>
      <c r="K1792">
        <f>IF(OR($K$1="",对接源_02物料!$C592="",对接源_02物料!$C592&lt;&gt;$K$1,对接源_02物料!$B592=""),0,IF(OR(N(对接源_02物料!$B592)&lt;$K$2,N(对接源_02物料!$B592)&gt;$K$3),0,1))</f>
        <v>0</v>
      </c>
      <c r="L1792">
        <f>IF(OR($L$1="",对接源_02物料!$C592="",对接源_02物料!$C592&lt;&gt;$L$1,对接源_02物料!$B592=""),0,IF(OR(N(对接源_02物料!$B592)&lt;$L$2,N(对接源_02物料!$B592)&gt;$L$3),0,1))</f>
        <v>0</v>
      </c>
      <c r="M1792">
        <f>IF(OR($M$1="",对接源_02物料!$C592="",对接源_02物料!$C592&lt;&gt;$M$1,对接源_02物料!$B592=""),0,IF(OR(N(对接源_02物料!$B592)&lt;$M$2,N(对接源_02物料!$B592)&gt;$M$3),0,1))</f>
        <v>0</v>
      </c>
      <c r="N1792">
        <f>IF(OR($N$1="",对接源_02物料!$C592="",对接源_02物料!$C592&lt;&gt;$N$1,对接源_02物料!$B592=""),0,IF(OR(N(对接源_02物料!$B592)&lt;$N$2,N(对接源_02物料!$B592)&gt;$N$3),0,1))</f>
        <v>0</v>
      </c>
      <c r="P1792">
        <f>IF(AND($K1792=1,AND(对接源_02物料!$X592="公司筐",N(对接源_02物料!$T592)&lt;&gt;0)),1,0)</f>
        <v>0</v>
      </c>
      <c r="Q1792">
        <f>N(Q1791)+$P1792</f>
        <v>14</v>
      </c>
      <c r="R1792">
        <f>IF(AND($K1792=1,AND(对接源_02物料!$X592="公司筐",N(对接源_02物料!$U592)&lt;&gt;0)),1,0)</f>
        <v>0</v>
      </c>
      <c r="S1792">
        <f>N(S1791)+$R1792</f>
        <v>1</v>
      </c>
      <c r="T1792">
        <f>IF(AND($K1792=1,AND(对接源_02物料!$X592="公司筐",N(对接源_02物料!$V592)&lt;&gt;0)),1,0)</f>
        <v>0</v>
      </c>
      <c r="U1792">
        <f>N(U1791)+$T1792</f>
        <v>47</v>
      </c>
      <c r="V1792">
        <f>IF(AND($L1792=1,AND(对接源_02物料!$X592="自备筐",N(对接源_02物料!$V592)&lt;&gt;0)),1,0)</f>
        <v>0</v>
      </c>
      <c r="W1792">
        <f>N(W1791)+$V1792</f>
        <v>11</v>
      </c>
      <c r="X1792">
        <f>IF(AND($L1792=1,AND(对接源_02物料!$X592="自备筐",N(对接源_02物料!$T592)&lt;&gt;0)),1,0)</f>
        <v>0</v>
      </c>
      <c r="Y1792">
        <f>N(Y1791)+$X1792</f>
        <v>0</v>
      </c>
      <c r="Z1792">
        <f>IF(AND($M1792=1,对接源_02物料!$D592="原料入库"),1,0)</f>
        <v>0</v>
      </c>
      <c r="AA1792">
        <f>N(AA1791)+$Z1792</f>
        <v>24</v>
      </c>
      <c r="AB1792">
        <f>IF(AND($M1792=1,LEFT(对接源_02物料!$D592,4)="原料出库"),1,0)</f>
        <v>0</v>
      </c>
      <c r="AC1792">
        <f>N(AC1791)+$AB1792</f>
        <v>0</v>
      </c>
      <c r="AD1792">
        <f>IF(AND($M1792=1,LEFT(对接源_02物料!$D592,4)="成品出库"),1,0)</f>
        <v>0</v>
      </c>
      <c r="AE1792">
        <f>N(AE1791)+$AD1792</f>
        <v>0</v>
      </c>
      <c r="AF1792">
        <f>IF(AND($N1792=1,AND(LEFT(对接源_02物料!$D592,4)="包装物料",N(对接源_02物料!$K592)&lt;&gt;0)),1,0)</f>
        <v>0</v>
      </c>
      <c r="AG1792">
        <f>N(AG1791)+$AF1792</f>
        <v>10</v>
      </c>
      <c r="AH1792">
        <f>IF(AND($N1792=1,AND(对接源_02物料!$D592="周转筐－销售出库",N(对接源_02物料!$K592)&lt;&gt;0)),1,0)</f>
        <v>0</v>
      </c>
      <c r="AI1792">
        <f>N(AI1791)+$AH1792</f>
        <v>0</v>
      </c>
      <c r="AL1792" t="n">
        <v>0</v>
      </c>
      <c r="AM1792">
        <f>N(AM1791)+$AL1792</f>
        <v>2</v>
      </c>
      <c r="AN1792">
        <f>""</f>
      </c>
      <c r="AO1792" t="n">
        <v>0</v>
      </c>
      <c r="AP1792">
        <f>N(AP1791)+$AO1792</f>
        <v>13</v>
      </c>
      <c r="AR1792">
        <f>IF(OR($AF1792=1,$AH1792=1),1,0)</f>
        <v>0</v>
      </c>
      <c r="AS1792">
        <f>N(AS1791)+$AR1792</f>
        <v>10</v>
      </c>
    </row>
    <row r="1793" s="127">
      <c r="A1793">
        <f>IF(对接源_02物料!$C593="","",对接源_02物料!$C593)</f>
      </c>
      <c r="B1793">
        <f>IF(A1793="",0,IF(MATCH(A1793,$A$4:$A$2403,0)=ROW()-3,1,0))</f>
        <v>0</v>
      </c>
      <c r="C1793">
        <f>N(C1792)+B1793</f>
        <v>26</v>
      </c>
      <c r="K1793">
        <f>IF(OR($K$1="",对接源_02物料!$C593="",对接源_02物料!$C593&lt;&gt;$K$1,对接源_02物料!$B593=""),0,IF(OR(N(对接源_02物料!$B593)&lt;$K$2,N(对接源_02物料!$B593)&gt;$K$3),0,1))</f>
        <v>0</v>
      </c>
      <c r="L1793">
        <f>IF(OR($L$1="",对接源_02物料!$C593="",对接源_02物料!$C593&lt;&gt;$L$1,对接源_02物料!$B593=""),0,IF(OR(N(对接源_02物料!$B593)&lt;$L$2,N(对接源_02物料!$B593)&gt;$L$3),0,1))</f>
        <v>0</v>
      </c>
      <c r="M1793">
        <f>IF(OR($M$1="",对接源_02物料!$C593="",对接源_02物料!$C593&lt;&gt;$M$1,对接源_02物料!$B593=""),0,IF(OR(N(对接源_02物料!$B593)&lt;$M$2,N(对接源_02物料!$B593)&gt;$M$3),0,1))</f>
        <v>0</v>
      </c>
      <c r="N1793">
        <f>IF(OR($N$1="",对接源_02物料!$C593="",对接源_02物料!$C593&lt;&gt;$N$1,对接源_02物料!$B593=""),0,IF(OR(N(对接源_02物料!$B593)&lt;$N$2,N(对接源_02物料!$B593)&gt;$N$3),0,1))</f>
        <v>0</v>
      </c>
      <c r="P1793">
        <f>IF(AND($K1793=1,AND(对接源_02物料!$X593="公司筐",N(对接源_02物料!$T593)&lt;&gt;0)),1,0)</f>
        <v>0</v>
      </c>
      <c r="Q1793">
        <f>N(Q1792)+$P1793</f>
        <v>14</v>
      </c>
      <c r="R1793">
        <f>IF(AND($K1793=1,AND(对接源_02物料!$X593="公司筐",N(对接源_02物料!$U593)&lt;&gt;0)),1,0)</f>
        <v>0</v>
      </c>
      <c r="S1793">
        <f>N(S1792)+$R1793</f>
        <v>1</v>
      </c>
      <c r="T1793">
        <f>IF(AND($K1793=1,AND(对接源_02物料!$X593="公司筐",N(对接源_02物料!$V593)&lt;&gt;0)),1,0)</f>
        <v>0</v>
      </c>
      <c r="U1793">
        <f>N(U1792)+$T1793</f>
        <v>47</v>
      </c>
      <c r="V1793">
        <f>IF(AND($L1793=1,AND(对接源_02物料!$X593="自备筐",N(对接源_02物料!$V593)&lt;&gt;0)),1,0)</f>
        <v>0</v>
      </c>
      <c r="W1793">
        <f>N(W1792)+$V1793</f>
        <v>11</v>
      </c>
      <c r="X1793">
        <f>IF(AND($L1793=1,AND(对接源_02物料!$X593="自备筐",N(对接源_02物料!$T593)&lt;&gt;0)),1,0)</f>
        <v>0</v>
      </c>
      <c r="Y1793">
        <f>N(Y1792)+$X1793</f>
        <v>0</v>
      </c>
      <c r="Z1793">
        <f>IF(AND($M1793=1,对接源_02物料!$D593="原料入库"),1,0)</f>
        <v>0</v>
      </c>
      <c r="AA1793">
        <f>N(AA1792)+$Z1793</f>
        <v>24</v>
      </c>
      <c r="AB1793">
        <f>IF(AND($M1793=1,LEFT(对接源_02物料!$D593,4)="原料出库"),1,0)</f>
        <v>0</v>
      </c>
      <c r="AC1793">
        <f>N(AC1792)+$AB1793</f>
        <v>0</v>
      </c>
      <c r="AD1793">
        <f>IF(AND($M1793=1,LEFT(对接源_02物料!$D593,4)="成品出库"),1,0)</f>
        <v>0</v>
      </c>
      <c r="AE1793">
        <f>N(AE1792)+$AD1793</f>
        <v>0</v>
      </c>
      <c r="AF1793">
        <f>IF(AND($N1793=1,AND(LEFT(对接源_02物料!$D593,4)="包装物料",N(对接源_02物料!$K593)&lt;&gt;0)),1,0)</f>
        <v>0</v>
      </c>
      <c r="AG1793">
        <f>N(AG1792)+$AF1793</f>
        <v>10</v>
      </c>
      <c r="AH1793">
        <f>IF(AND($N1793=1,AND(对接源_02物料!$D593="周转筐－销售出库",N(对接源_02物料!$K593)&lt;&gt;0)),1,0)</f>
        <v>0</v>
      </c>
      <c r="AI1793">
        <f>N(AI1792)+$AH1793</f>
        <v>0</v>
      </c>
      <c r="AL1793" t="n">
        <v>0</v>
      </c>
      <c r="AM1793">
        <f>N(AM1792)+$AL1793</f>
        <v>2</v>
      </c>
      <c r="AN1793">
        <f>""</f>
      </c>
      <c r="AO1793" t="n">
        <v>0</v>
      </c>
      <c r="AP1793">
        <f>N(AP1792)+$AO1793</f>
        <v>13</v>
      </c>
      <c r="AR1793">
        <f>IF(OR($AF1793=1,$AH1793=1),1,0)</f>
        <v>0</v>
      </c>
      <c r="AS1793">
        <f>N(AS1792)+$AR1793</f>
        <v>10</v>
      </c>
    </row>
    <row r="1794" s="127">
      <c r="A1794">
        <f>IF(对接源_02物料!$C594="","",对接源_02物料!$C594)</f>
      </c>
      <c r="B1794">
        <f>IF(A1794="",0,IF(MATCH(A1794,$A$4:$A$2403,0)=ROW()-3,1,0))</f>
        <v>0</v>
      </c>
      <c r="C1794">
        <f>N(C1793)+B1794</f>
        <v>26</v>
      </c>
      <c r="K1794">
        <f>IF(OR($K$1="",对接源_02物料!$C594="",对接源_02物料!$C594&lt;&gt;$K$1,对接源_02物料!$B594=""),0,IF(OR(N(对接源_02物料!$B594)&lt;$K$2,N(对接源_02物料!$B594)&gt;$K$3),0,1))</f>
        <v>0</v>
      </c>
      <c r="L1794">
        <f>IF(OR($L$1="",对接源_02物料!$C594="",对接源_02物料!$C594&lt;&gt;$L$1,对接源_02物料!$B594=""),0,IF(OR(N(对接源_02物料!$B594)&lt;$L$2,N(对接源_02物料!$B594)&gt;$L$3),0,1))</f>
        <v>0</v>
      </c>
      <c r="M1794">
        <f>IF(OR($M$1="",对接源_02物料!$C594="",对接源_02物料!$C594&lt;&gt;$M$1,对接源_02物料!$B594=""),0,IF(OR(N(对接源_02物料!$B594)&lt;$M$2,N(对接源_02物料!$B594)&gt;$M$3),0,1))</f>
        <v>0</v>
      </c>
      <c r="N1794">
        <f>IF(OR($N$1="",对接源_02物料!$C594="",对接源_02物料!$C594&lt;&gt;$N$1,对接源_02物料!$B594=""),0,IF(OR(N(对接源_02物料!$B594)&lt;$N$2,N(对接源_02物料!$B594)&gt;$N$3),0,1))</f>
        <v>0</v>
      </c>
      <c r="P1794">
        <f>IF(AND($K1794=1,AND(对接源_02物料!$X594="公司筐",N(对接源_02物料!$T594)&lt;&gt;0)),1,0)</f>
        <v>0</v>
      </c>
      <c r="Q1794">
        <f>N(Q1793)+$P1794</f>
        <v>14</v>
      </c>
      <c r="R1794">
        <f>IF(AND($K1794=1,AND(对接源_02物料!$X594="公司筐",N(对接源_02物料!$U594)&lt;&gt;0)),1,0)</f>
        <v>0</v>
      </c>
      <c r="S1794">
        <f>N(S1793)+$R1794</f>
        <v>1</v>
      </c>
      <c r="T1794">
        <f>IF(AND($K1794=1,AND(对接源_02物料!$X594="公司筐",N(对接源_02物料!$V594)&lt;&gt;0)),1,0)</f>
        <v>0</v>
      </c>
      <c r="U1794">
        <f>N(U1793)+$T1794</f>
        <v>47</v>
      </c>
      <c r="V1794">
        <f>IF(AND($L1794=1,AND(对接源_02物料!$X594="自备筐",N(对接源_02物料!$V594)&lt;&gt;0)),1,0)</f>
        <v>0</v>
      </c>
      <c r="W1794">
        <f>N(W1793)+$V1794</f>
        <v>11</v>
      </c>
      <c r="X1794">
        <f>IF(AND($L1794=1,AND(对接源_02物料!$X594="自备筐",N(对接源_02物料!$T594)&lt;&gt;0)),1,0)</f>
        <v>0</v>
      </c>
      <c r="Y1794">
        <f>N(Y1793)+$X1794</f>
        <v>0</v>
      </c>
      <c r="Z1794">
        <f>IF(AND($M1794=1,对接源_02物料!$D594="原料入库"),1,0)</f>
        <v>0</v>
      </c>
      <c r="AA1794">
        <f>N(AA1793)+$Z1794</f>
        <v>24</v>
      </c>
      <c r="AB1794">
        <f>IF(AND($M1794=1,LEFT(对接源_02物料!$D594,4)="原料出库"),1,0)</f>
        <v>0</v>
      </c>
      <c r="AC1794">
        <f>N(AC1793)+$AB1794</f>
        <v>0</v>
      </c>
      <c r="AD1794">
        <f>IF(AND($M1794=1,LEFT(对接源_02物料!$D594,4)="成品出库"),1,0)</f>
        <v>0</v>
      </c>
      <c r="AE1794">
        <f>N(AE1793)+$AD1794</f>
        <v>0</v>
      </c>
      <c r="AF1794">
        <f>IF(AND($N1794=1,AND(LEFT(对接源_02物料!$D594,4)="包装物料",N(对接源_02物料!$K594)&lt;&gt;0)),1,0)</f>
        <v>0</v>
      </c>
      <c r="AG1794">
        <f>N(AG1793)+$AF1794</f>
        <v>10</v>
      </c>
      <c r="AH1794">
        <f>IF(AND($N1794=1,AND(对接源_02物料!$D594="周转筐－销售出库",N(对接源_02物料!$K594)&lt;&gt;0)),1,0)</f>
        <v>0</v>
      </c>
      <c r="AI1794">
        <f>N(AI1793)+$AH1794</f>
        <v>0</v>
      </c>
      <c r="AL1794" t="n">
        <v>0</v>
      </c>
      <c r="AM1794">
        <f>N(AM1793)+$AL1794</f>
        <v>2</v>
      </c>
      <c r="AN1794">
        <f>""</f>
      </c>
      <c r="AO1794" t="n">
        <v>0</v>
      </c>
      <c r="AP1794">
        <f>N(AP1793)+$AO1794</f>
        <v>13</v>
      </c>
      <c r="AR1794">
        <f>IF(OR($AF1794=1,$AH1794=1),1,0)</f>
        <v>0</v>
      </c>
      <c r="AS1794">
        <f>N(AS1793)+$AR1794</f>
        <v>10</v>
      </c>
    </row>
    <row r="1795" s="127">
      <c r="A1795">
        <f>IF(对接源_02物料!$C595="","",对接源_02物料!$C595)</f>
      </c>
      <c r="B1795">
        <f>IF(A1795="",0,IF(MATCH(A1795,$A$4:$A$2403,0)=ROW()-3,1,0))</f>
        <v>0</v>
      </c>
      <c r="C1795">
        <f>N(C1794)+B1795</f>
        <v>26</v>
      </c>
      <c r="K1795">
        <f>IF(OR($K$1="",对接源_02物料!$C595="",对接源_02物料!$C595&lt;&gt;$K$1,对接源_02物料!$B595=""),0,IF(OR(N(对接源_02物料!$B595)&lt;$K$2,N(对接源_02物料!$B595)&gt;$K$3),0,1))</f>
        <v>0</v>
      </c>
      <c r="L1795">
        <f>IF(OR($L$1="",对接源_02物料!$C595="",对接源_02物料!$C595&lt;&gt;$L$1,对接源_02物料!$B595=""),0,IF(OR(N(对接源_02物料!$B595)&lt;$L$2,N(对接源_02物料!$B595)&gt;$L$3),0,1))</f>
        <v>0</v>
      </c>
      <c r="M1795">
        <f>IF(OR($M$1="",对接源_02物料!$C595="",对接源_02物料!$C595&lt;&gt;$M$1,对接源_02物料!$B595=""),0,IF(OR(N(对接源_02物料!$B595)&lt;$M$2,N(对接源_02物料!$B595)&gt;$M$3),0,1))</f>
        <v>0</v>
      </c>
      <c r="N1795">
        <f>IF(OR($N$1="",对接源_02物料!$C595="",对接源_02物料!$C595&lt;&gt;$N$1,对接源_02物料!$B595=""),0,IF(OR(N(对接源_02物料!$B595)&lt;$N$2,N(对接源_02物料!$B595)&gt;$N$3),0,1))</f>
        <v>0</v>
      </c>
      <c r="P1795">
        <f>IF(AND($K1795=1,AND(对接源_02物料!$X595="公司筐",N(对接源_02物料!$T595)&lt;&gt;0)),1,0)</f>
        <v>0</v>
      </c>
      <c r="Q1795">
        <f>N(Q1794)+$P1795</f>
        <v>14</v>
      </c>
      <c r="R1795">
        <f>IF(AND($K1795=1,AND(对接源_02物料!$X595="公司筐",N(对接源_02物料!$U595)&lt;&gt;0)),1,0)</f>
        <v>0</v>
      </c>
      <c r="S1795">
        <f>N(S1794)+$R1795</f>
        <v>1</v>
      </c>
      <c r="T1795">
        <f>IF(AND($K1795=1,AND(对接源_02物料!$X595="公司筐",N(对接源_02物料!$V595)&lt;&gt;0)),1,0)</f>
        <v>0</v>
      </c>
      <c r="U1795">
        <f>N(U1794)+$T1795</f>
        <v>47</v>
      </c>
      <c r="V1795">
        <f>IF(AND($L1795=1,AND(对接源_02物料!$X595="自备筐",N(对接源_02物料!$V595)&lt;&gt;0)),1,0)</f>
        <v>0</v>
      </c>
      <c r="W1795">
        <f>N(W1794)+$V1795</f>
        <v>11</v>
      </c>
      <c r="X1795">
        <f>IF(AND($L1795=1,AND(对接源_02物料!$X595="自备筐",N(对接源_02物料!$T595)&lt;&gt;0)),1,0)</f>
        <v>0</v>
      </c>
      <c r="Y1795">
        <f>N(Y1794)+$X1795</f>
        <v>0</v>
      </c>
      <c r="Z1795">
        <f>IF(AND($M1795=1,对接源_02物料!$D595="原料入库"),1,0)</f>
        <v>0</v>
      </c>
      <c r="AA1795">
        <f>N(AA1794)+$Z1795</f>
        <v>24</v>
      </c>
      <c r="AB1795">
        <f>IF(AND($M1795=1,LEFT(对接源_02物料!$D595,4)="原料出库"),1,0)</f>
        <v>0</v>
      </c>
      <c r="AC1795">
        <f>N(AC1794)+$AB1795</f>
        <v>0</v>
      </c>
      <c r="AD1795">
        <f>IF(AND($M1795=1,LEFT(对接源_02物料!$D595,4)="成品出库"),1,0)</f>
        <v>0</v>
      </c>
      <c r="AE1795">
        <f>N(AE1794)+$AD1795</f>
        <v>0</v>
      </c>
      <c r="AF1795">
        <f>IF(AND($N1795=1,AND(LEFT(对接源_02物料!$D595,4)="包装物料",N(对接源_02物料!$K595)&lt;&gt;0)),1,0)</f>
        <v>0</v>
      </c>
      <c r="AG1795">
        <f>N(AG1794)+$AF1795</f>
        <v>10</v>
      </c>
      <c r="AH1795">
        <f>IF(AND($N1795=1,AND(对接源_02物料!$D595="周转筐－销售出库",N(对接源_02物料!$K595)&lt;&gt;0)),1,0)</f>
        <v>0</v>
      </c>
      <c r="AI1795">
        <f>N(AI1794)+$AH1795</f>
        <v>0</v>
      </c>
      <c r="AL1795" t="n">
        <v>0</v>
      </c>
      <c r="AM1795">
        <f>N(AM1794)+$AL1795</f>
        <v>2</v>
      </c>
      <c r="AN1795">
        <f>""</f>
      </c>
      <c r="AO1795" t="n">
        <v>0</v>
      </c>
      <c r="AP1795">
        <f>N(AP1794)+$AO1795</f>
        <v>13</v>
      </c>
      <c r="AR1795">
        <f>IF(OR($AF1795=1,$AH1795=1),1,0)</f>
        <v>0</v>
      </c>
      <c r="AS1795">
        <f>N(AS1794)+$AR1795</f>
        <v>10</v>
      </c>
    </row>
    <row r="1796" s="127">
      <c r="A1796">
        <f>IF(对接源_02物料!$C596="","",对接源_02物料!$C596)</f>
      </c>
      <c r="B1796">
        <f>IF(A1796="",0,IF(MATCH(A1796,$A$4:$A$2403,0)=ROW()-3,1,0))</f>
        <v>0</v>
      </c>
      <c r="C1796">
        <f>N(C1795)+B1796</f>
        <v>26</v>
      </c>
      <c r="K1796">
        <f>IF(OR($K$1="",对接源_02物料!$C596="",对接源_02物料!$C596&lt;&gt;$K$1,对接源_02物料!$B596=""),0,IF(OR(N(对接源_02物料!$B596)&lt;$K$2,N(对接源_02物料!$B596)&gt;$K$3),0,1))</f>
        <v>0</v>
      </c>
      <c r="L1796">
        <f>IF(OR($L$1="",对接源_02物料!$C596="",对接源_02物料!$C596&lt;&gt;$L$1,对接源_02物料!$B596=""),0,IF(OR(N(对接源_02物料!$B596)&lt;$L$2,N(对接源_02物料!$B596)&gt;$L$3),0,1))</f>
        <v>0</v>
      </c>
      <c r="M1796">
        <f>IF(OR($M$1="",对接源_02物料!$C596="",对接源_02物料!$C596&lt;&gt;$M$1,对接源_02物料!$B596=""),0,IF(OR(N(对接源_02物料!$B596)&lt;$M$2,N(对接源_02物料!$B596)&gt;$M$3),0,1))</f>
        <v>0</v>
      </c>
      <c r="N1796">
        <f>IF(OR($N$1="",对接源_02物料!$C596="",对接源_02物料!$C596&lt;&gt;$N$1,对接源_02物料!$B596=""),0,IF(OR(N(对接源_02物料!$B596)&lt;$N$2,N(对接源_02物料!$B596)&gt;$N$3),0,1))</f>
        <v>0</v>
      </c>
      <c r="P1796">
        <f>IF(AND($K1796=1,AND(对接源_02物料!$X596="公司筐",N(对接源_02物料!$T596)&lt;&gt;0)),1,0)</f>
        <v>0</v>
      </c>
      <c r="Q1796">
        <f>N(Q1795)+$P1796</f>
        <v>14</v>
      </c>
      <c r="R1796">
        <f>IF(AND($K1796=1,AND(对接源_02物料!$X596="公司筐",N(对接源_02物料!$U596)&lt;&gt;0)),1,0)</f>
        <v>0</v>
      </c>
      <c r="S1796">
        <f>N(S1795)+$R1796</f>
        <v>1</v>
      </c>
      <c r="T1796">
        <f>IF(AND($K1796=1,AND(对接源_02物料!$X596="公司筐",N(对接源_02物料!$V596)&lt;&gt;0)),1,0)</f>
        <v>0</v>
      </c>
      <c r="U1796">
        <f>N(U1795)+$T1796</f>
        <v>47</v>
      </c>
      <c r="V1796">
        <f>IF(AND($L1796=1,AND(对接源_02物料!$X596="自备筐",N(对接源_02物料!$V596)&lt;&gt;0)),1,0)</f>
        <v>0</v>
      </c>
      <c r="W1796">
        <f>N(W1795)+$V1796</f>
        <v>11</v>
      </c>
      <c r="X1796">
        <f>IF(AND($L1796=1,AND(对接源_02物料!$X596="自备筐",N(对接源_02物料!$T596)&lt;&gt;0)),1,0)</f>
        <v>0</v>
      </c>
      <c r="Y1796">
        <f>N(Y1795)+$X1796</f>
        <v>0</v>
      </c>
      <c r="Z1796">
        <f>IF(AND($M1796=1,对接源_02物料!$D596="原料入库"),1,0)</f>
        <v>0</v>
      </c>
      <c r="AA1796">
        <f>N(AA1795)+$Z1796</f>
        <v>24</v>
      </c>
      <c r="AB1796">
        <f>IF(AND($M1796=1,LEFT(对接源_02物料!$D596,4)="原料出库"),1,0)</f>
        <v>0</v>
      </c>
      <c r="AC1796">
        <f>N(AC1795)+$AB1796</f>
        <v>0</v>
      </c>
      <c r="AD1796">
        <f>IF(AND($M1796=1,LEFT(对接源_02物料!$D596,4)="成品出库"),1,0)</f>
        <v>0</v>
      </c>
      <c r="AE1796">
        <f>N(AE1795)+$AD1796</f>
        <v>0</v>
      </c>
      <c r="AF1796">
        <f>IF(AND($N1796=1,AND(LEFT(对接源_02物料!$D596,4)="包装物料",N(对接源_02物料!$K596)&lt;&gt;0)),1,0)</f>
        <v>0</v>
      </c>
      <c r="AG1796">
        <f>N(AG1795)+$AF1796</f>
        <v>10</v>
      </c>
      <c r="AH1796">
        <f>IF(AND($N1796=1,AND(对接源_02物料!$D596="周转筐－销售出库",N(对接源_02物料!$K596)&lt;&gt;0)),1,0)</f>
        <v>0</v>
      </c>
      <c r="AI1796">
        <f>N(AI1795)+$AH1796</f>
        <v>0</v>
      </c>
      <c r="AL1796" t="n">
        <v>0</v>
      </c>
      <c r="AM1796">
        <f>N(AM1795)+$AL1796</f>
        <v>2</v>
      </c>
      <c r="AN1796">
        <f>""</f>
      </c>
      <c r="AO1796" t="n">
        <v>0</v>
      </c>
      <c r="AP1796">
        <f>N(AP1795)+$AO1796</f>
        <v>13</v>
      </c>
      <c r="AR1796">
        <f>IF(OR($AF1796=1,$AH1796=1),1,0)</f>
        <v>0</v>
      </c>
      <c r="AS1796">
        <f>N(AS1795)+$AR1796</f>
        <v>10</v>
      </c>
    </row>
    <row r="1797" s="127">
      <c r="A1797">
        <f>IF(对接源_02物料!$C597="","",对接源_02物料!$C597)</f>
      </c>
      <c r="B1797">
        <f>IF(A1797="",0,IF(MATCH(A1797,$A$4:$A$2403,0)=ROW()-3,1,0))</f>
        <v>0</v>
      </c>
      <c r="C1797">
        <f>N(C1796)+B1797</f>
        <v>26</v>
      </c>
      <c r="K1797">
        <f>IF(OR($K$1="",对接源_02物料!$C597="",对接源_02物料!$C597&lt;&gt;$K$1,对接源_02物料!$B597=""),0,IF(OR(N(对接源_02物料!$B597)&lt;$K$2,N(对接源_02物料!$B597)&gt;$K$3),0,1))</f>
        <v>0</v>
      </c>
      <c r="L1797">
        <f>IF(OR($L$1="",对接源_02物料!$C597="",对接源_02物料!$C597&lt;&gt;$L$1,对接源_02物料!$B597=""),0,IF(OR(N(对接源_02物料!$B597)&lt;$L$2,N(对接源_02物料!$B597)&gt;$L$3),0,1))</f>
        <v>0</v>
      </c>
      <c r="M1797">
        <f>IF(OR($M$1="",对接源_02物料!$C597="",对接源_02物料!$C597&lt;&gt;$M$1,对接源_02物料!$B597=""),0,IF(OR(N(对接源_02物料!$B597)&lt;$M$2,N(对接源_02物料!$B597)&gt;$M$3),0,1))</f>
        <v>0</v>
      </c>
      <c r="N1797">
        <f>IF(OR($N$1="",对接源_02物料!$C597="",对接源_02物料!$C597&lt;&gt;$N$1,对接源_02物料!$B597=""),0,IF(OR(N(对接源_02物料!$B597)&lt;$N$2,N(对接源_02物料!$B597)&gt;$N$3),0,1))</f>
        <v>0</v>
      </c>
      <c r="P1797">
        <f>IF(AND($K1797=1,AND(对接源_02物料!$X597="公司筐",N(对接源_02物料!$T597)&lt;&gt;0)),1,0)</f>
        <v>0</v>
      </c>
      <c r="Q1797">
        <f>N(Q1796)+$P1797</f>
        <v>14</v>
      </c>
      <c r="R1797">
        <f>IF(AND($K1797=1,AND(对接源_02物料!$X597="公司筐",N(对接源_02物料!$U597)&lt;&gt;0)),1,0)</f>
        <v>0</v>
      </c>
      <c r="S1797">
        <f>N(S1796)+$R1797</f>
        <v>1</v>
      </c>
      <c r="T1797">
        <f>IF(AND($K1797=1,AND(对接源_02物料!$X597="公司筐",N(对接源_02物料!$V597)&lt;&gt;0)),1,0)</f>
        <v>0</v>
      </c>
      <c r="U1797">
        <f>N(U1796)+$T1797</f>
        <v>47</v>
      </c>
      <c r="V1797">
        <f>IF(AND($L1797=1,AND(对接源_02物料!$X597="自备筐",N(对接源_02物料!$V597)&lt;&gt;0)),1,0)</f>
        <v>0</v>
      </c>
      <c r="W1797">
        <f>N(W1796)+$V1797</f>
        <v>11</v>
      </c>
      <c r="X1797">
        <f>IF(AND($L1797=1,AND(对接源_02物料!$X597="自备筐",N(对接源_02物料!$T597)&lt;&gt;0)),1,0)</f>
        <v>0</v>
      </c>
      <c r="Y1797">
        <f>N(Y1796)+$X1797</f>
        <v>0</v>
      </c>
      <c r="Z1797">
        <f>IF(AND($M1797=1,对接源_02物料!$D597="原料入库"),1,0)</f>
        <v>0</v>
      </c>
      <c r="AA1797">
        <f>N(AA1796)+$Z1797</f>
        <v>24</v>
      </c>
      <c r="AB1797">
        <f>IF(AND($M1797=1,LEFT(对接源_02物料!$D597,4)="原料出库"),1,0)</f>
        <v>0</v>
      </c>
      <c r="AC1797">
        <f>N(AC1796)+$AB1797</f>
        <v>0</v>
      </c>
      <c r="AD1797">
        <f>IF(AND($M1797=1,LEFT(对接源_02物料!$D597,4)="成品出库"),1,0)</f>
        <v>0</v>
      </c>
      <c r="AE1797">
        <f>N(AE1796)+$AD1797</f>
        <v>0</v>
      </c>
      <c r="AF1797">
        <f>IF(AND($N1797=1,AND(LEFT(对接源_02物料!$D597,4)="包装物料",N(对接源_02物料!$K597)&lt;&gt;0)),1,0)</f>
        <v>0</v>
      </c>
      <c r="AG1797">
        <f>N(AG1796)+$AF1797</f>
        <v>10</v>
      </c>
      <c r="AH1797">
        <f>IF(AND($N1797=1,AND(对接源_02物料!$D597="周转筐－销售出库",N(对接源_02物料!$K597)&lt;&gt;0)),1,0)</f>
        <v>0</v>
      </c>
      <c r="AI1797">
        <f>N(AI1796)+$AH1797</f>
        <v>0</v>
      </c>
      <c r="AL1797" t="n">
        <v>0</v>
      </c>
      <c r="AM1797">
        <f>N(AM1796)+$AL1797</f>
        <v>2</v>
      </c>
      <c r="AN1797">
        <f>""</f>
      </c>
      <c r="AO1797" t="n">
        <v>0</v>
      </c>
      <c r="AP1797">
        <f>N(AP1796)+$AO1797</f>
        <v>13</v>
      </c>
      <c r="AR1797">
        <f>IF(OR($AF1797=1,$AH1797=1),1,0)</f>
        <v>0</v>
      </c>
      <c r="AS1797">
        <f>N(AS1796)+$AR1797</f>
        <v>10</v>
      </c>
    </row>
    <row r="1798" s="127">
      <c r="A1798">
        <f>IF(对接源_02物料!$C598="","",对接源_02物料!$C598)</f>
      </c>
      <c r="B1798">
        <f>IF(A1798="",0,IF(MATCH(A1798,$A$4:$A$2403,0)=ROW()-3,1,0))</f>
        <v>0</v>
      </c>
      <c r="C1798">
        <f>N(C1797)+B1798</f>
        <v>26</v>
      </c>
      <c r="K1798">
        <f>IF(OR($K$1="",对接源_02物料!$C598="",对接源_02物料!$C598&lt;&gt;$K$1,对接源_02物料!$B598=""),0,IF(OR(N(对接源_02物料!$B598)&lt;$K$2,N(对接源_02物料!$B598)&gt;$K$3),0,1))</f>
        <v>0</v>
      </c>
      <c r="L1798">
        <f>IF(OR($L$1="",对接源_02物料!$C598="",对接源_02物料!$C598&lt;&gt;$L$1,对接源_02物料!$B598=""),0,IF(OR(N(对接源_02物料!$B598)&lt;$L$2,N(对接源_02物料!$B598)&gt;$L$3),0,1))</f>
        <v>0</v>
      </c>
      <c r="M1798">
        <f>IF(OR($M$1="",对接源_02物料!$C598="",对接源_02物料!$C598&lt;&gt;$M$1,对接源_02物料!$B598=""),0,IF(OR(N(对接源_02物料!$B598)&lt;$M$2,N(对接源_02物料!$B598)&gt;$M$3),0,1))</f>
        <v>0</v>
      </c>
      <c r="N1798">
        <f>IF(OR($N$1="",对接源_02物料!$C598="",对接源_02物料!$C598&lt;&gt;$N$1,对接源_02物料!$B598=""),0,IF(OR(N(对接源_02物料!$B598)&lt;$N$2,N(对接源_02物料!$B598)&gt;$N$3),0,1))</f>
        <v>0</v>
      </c>
      <c r="P1798">
        <f>IF(AND($K1798=1,AND(对接源_02物料!$X598="公司筐",N(对接源_02物料!$T598)&lt;&gt;0)),1,0)</f>
        <v>0</v>
      </c>
      <c r="Q1798">
        <f>N(Q1797)+$P1798</f>
        <v>14</v>
      </c>
      <c r="R1798">
        <f>IF(AND($K1798=1,AND(对接源_02物料!$X598="公司筐",N(对接源_02物料!$U598)&lt;&gt;0)),1,0)</f>
        <v>0</v>
      </c>
      <c r="S1798">
        <f>N(S1797)+$R1798</f>
        <v>1</v>
      </c>
      <c r="T1798">
        <f>IF(AND($K1798=1,AND(对接源_02物料!$X598="公司筐",N(对接源_02物料!$V598)&lt;&gt;0)),1,0)</f>
        <v>0</v>
      </c>
      <c r="U1798">
        <f>N(U1797)+$T1798</f>
        <v>47</v>
      </c>
      <c r="V1798">
        <f>IF(AND($L1798=1,AND(对接源_02物料!$X598="自备筐",N(对接源_02物料!$V598)&lt;&gt;0)),1,0)</f>
        <v>0</v>
      </c>
      <c r="W1798">
        <f>N(W1797)+$V1798</f>
        <v>11</v>
      </c>
      <c r="X1798">
        <f>IF(AND($L1798=1,AND(对接源_02物料!$X598="自备筐",N(对接源_02物料!$T598)&lt;&gt;0)),1,0)</f>
        <v>0</v>
      </c>
      <c r="Y1798">
        <f>N(Y1797)+$X1798</f>
        <v>0</v>
      </c>
      <c r="Z1798">
        <f>IF(AND($M1798=1,对接源_02物料!$D598="原料入库"),1,0)</f>
        <v>0</v>
      </c>
      <c r="AA1798">
        <f>N(AA1797)+$Z1798</f>
        <v>24</v>
      </c>
      <c r="AB1798">
        <f>IF(AND($M1798=1,LEFT(对接源_02物料!$D598,4)="原料出库"),1,0)</f>
        <v>0</v>
      </c>
      <c r="AC1798">
        <f>N(AC1797)+$AB1798</f>
        <v>0</v>
      </c>
      <c r="AD1798">
        <f>IF(AND($M1798=1,LEFT(对接源_02物料!$D598,4)="成品出库"),1,0)</f>
        <v>0</v>
      </c>
      <c r="AE1798">
        <f>N(AE1797)+$AD1798</f>
        <v>0</v>
      </c>
      <c r="AF1798">
        <f>IF(AND($N1798=1,AND(LEFT(对接源_02物料!$D598,4)="包装物料",N(对接源_02物料!$K598)&lt;&gt;0)),1,0)</f>
        <v>0</v>
      </c>
      <c r="AG1798">
        <f>N(AG1797)+$AF1798</f>
        <v>10</v>
      </c>
      <c r="AH1798">
        <f>IF(AND($N1798=1,AND(对接源_02物料!$D598="周转筐－销售出库",N(对接源_02物料!$K598)&lt;&gt;0)),1,0)</f>
        <v>0</v>
      </c>
      <c r="AI1798">
        <f>N(AI1797)+$AH1798</f>
        <v>0</v>
      </c>
      <c r="AL1798" t="n">
        <v>0</v>
      </c>
      <c r="AM1798">
        <f>N(AM1797)+$AL1798</f>
        <v>2</v>
      </c>
      <c r="AN1798">
        <f>""</f>
      </c>
      <c r="AO1798" t="n">
        <v>0</v>
      </c>
      <c r="AP1798">
        <f>N(AP1797)+$AO1798</f>
        <v>13</v>
      </c>
      <c r="AR1798">
        <f>IF(OR($AF1798=1,$AH1798=1),1,0)</f>
        <v>0</v>
      </c>
      <c r="AS1798">
        <f>N(AS1797)+$AR1798</f>
        <v>10</v>
      </c>
    </row>
    <row r="1799" s="127">
      <c r="A1799">
        <f>IF(对接源_02物料!$C599="","",对接源_02物料!$C599)</f>
      </c>
      <c r="B1799">
        <f>IF(A1799="",0,IF(MATCH(A1799,$A$4:$A$2403,0)=ROW()-3,1,0))</f>
        <v>0</v>
      </c>
      <c r="C1799">
        <f>N(C1798)+B1799</f>
        <v>26</v>
      </c>
      <c r="K1799">
        <f>IF(OR($K$1="",对接源_02物料!$C599="",对接源_02物料!$C599&lt;&gt;$K$1,对接源_02物料!$B599=""),0,IF(OR(N(对接源_02物料!$B599)&lt;$K$2,N(对接源_02物料!$B599)&gt;$K$3),0,1))</f>
        <v>0</v>
      </c>
      <c r="L1799">
        <f>IF(OR($L$1="",对接源_02物料!$C599="",对接源_02物料!$C599&lt;&gt;$L$1,对接源_02物料!$B599=""),0,IF(OR(N(对接源_02物料!$B599)&lt;$L$2,N(对接源_02物料!$B599)&gt;$L$3),0,1))</f>
        <v>0</v>
      </c>
      <c r="M1799">
        <f>IF(OR($M$1="",对接源_02物料!$C599="",对接源_02物料!$C599&lt;&gt;$M$1,对接源_02物料!$B599=""),0,IF(OR(N(对接源_02物料!$B599)&lt;$M$2,N(对接源_02物料!$B599)&gt;$M$3),0,1))</f>
        <v>0</v>
      </c>
      <c r="N1799">
        <f>IF(OR($N$1="",对接源_02物料!$C599="",对接源_02物料!$C599&lt;&gt;$N$1,对接源_02物料!$B599=""),0,IF(OR(N(对接源_02物料!$B599)&lt;$N$2,N(对接源_02物料!$B599)&gt;$N$3),0,1))</f>
        <v>0</v>
      </c>
      <c r="P1799">
        <f>IF(AND($K1799=1,AND(对接源_02物料!$X599="公司筐",N(对接源_02物料!$T599)&lt;&gt;0)),1,0)</f>
        <v>0</v>
      </c>
      <c r="Q1799">
        <f>N(Q1798)+$P1799</f>
        <v>14</v>
      </c>
      <c r="R1799">
        <f>IF(AND($K1799=1,AND(对接源_02物料!$X599="公司筐",N(对接源_02物料!$U599)&lt;&gt;0)),1,0)</f>
        <v>0</v>
      </c>
      <c r="S1799">
        <f>N(S1798)+$R1799</f>
        <v>1</v>
      </c>
      <c r="T1799">
        <f>IF(AND($K1799=1,AND(对接源_02物料!$X599="公司筐",N(对接源_02物料!$V599)&lt;&gt;0)),1,0)</f>
        <v>0</v>
      </c>
      <c r="U1799">
        <f>N(U1798)+$T1799</f>
        <v>47</v>
      </c>
      <c r="V1799">
        <f>IF(AND($L1799=1,AND(对接源_02物料!$X599="自备筐",N(对接源_02物料!$V599)&lt;&gt;0)),1,0)</f>
        <v>0</v>
      </c>
      <c r="W1799">
        <f>N(W1798)+$V1799</f>
        <v>11</v>
      </c>
      <c r="X1799">
        <f>IF(AND($L1799=1,AND(对接源_02物料!$X599="自备筐",N(对接源_02物料!$T599)&lt;&gt;0)),1,0)</f>
        <v>0</v>
      </c>
      <c r="Y1799">
        <f>N(Y1798)+$X1799</f>
        <v>0</v>
      </c>
      <c r="Z1799">
        <f>IF(AND($M1799=1,对接源_02物料!$D599="原料入库"),1,0)</f>
        <v>0</v>
      </c>
      <c r="AA1799">
        <f>N(AA1798)+$Z1799</f>
        <v>24</v>
      </c>
      <c r="AB1799">
        <f>IF(AND($M1799=1,LEFT(对接源_02物料!$D599,4)="原料出库"),1,0)</f>
        <v>0</v>
      </c>
      <c r="AC1799">
        <f>N(AC1798)+$AB1799</f>
        <v>0</v>
      </c>
      <c r="AD1799">
        <f>IF(AND($M1799=1,LEFT(对接源_02物料!$D599,4)="成品出库"),1,0)</f>
        <v>0</v>
      </c>
      <c r="AE1799">
        <f>N(AE1798)+$AD1799</f>
        <v>0</v>
      </c>
      <c r="AF1799">
        <f>IF(AND($N1799=1,AND(LEFT(对接源_02物料!$D599,4)="包装物料",N(对接源_02物料!$K599)&lt;&gt;0)),1,0)</f>
        <v>0</v>
      </c>
      <c r="AG1799">
        <f>N(AG1798)+$AF1799</f>
        <v>10</v>
      </c>
      <c r="AH1799">
        <f>IF(AND($N1799=1,AND(对接源_02物料!$D599="周转筐－销售出库",N(对接源_02物料!$K599)&lt;&gt;0)),1,0)</f>
        <v>0</v>
      </c>
      <c r="AI1799">
        <f>N(AI1798)+$AH1799</f>
        <v>0</v>
      </c>
      <c r="AL1799" t="n">
        <v>0</v>
      </c>
      <c r="AM1799">
        <f>N(AM1798)+$AL1799</f>
        <v>2</v>
      </c>
      <c r="AN1799">
        <f>""</f>
      </c>
      <c r="AO1799" t="n">
        <v>0</v>
      </c>
      <c r="AP1799">
        <f>N(AP1798)+$AO1799</f>
        <v>13</v>
      </c>
      <c r="AR1799">
        <f>IF(OR($AF1799=1,$AH1799=1),1,0)</f>
        <v>0</v>
      </c>
      <c r="AS1799">
        <f>N(AS1798)+$AR1799</f>
        <v>10</v>
      </c>
    </row>
    <row r="1800" s="127">
      <c r="A1800">
        <f>IF(对接源_02物料!$C600="","",对接源_02物料!$C600)</f>
      </c>
      <c r="B1800">
        <f>IF(A1800="",0,IF(MATCH(A1800,$A$4:$A$2403,0)=ROW()-3,1,0))</f>
        <v>0</v>
      </c>
      <c r="C1800">
        <f>N(C1799)+B1800</f>
        <v>26</v>
      </c>
      <c r="K1800">
        <f>IF(OR($K$1="",对接源_02物料!$C600="",对接源_02物料!$C600&lt;&gt;$K$1,对接源_02物料!$B600=""),0,IF(OR(N(对接源_02物料!$B600)&lt;$K$2,N(对接源_02物料!$B600)&gt;$K$3),0,1))</f>
        <v>0</v>
      </c>
      <c r="L1800">
        <f>IF(OR($L$1="",对接源_02物料!$C600="",对接源_02物料!$C600&lt;&gt;$L$1,对接源_02物料!$B600=""),0,IF(OR(N(对接源_02物料!$B600)&lt;$L$2,N(对接源_02物料!$B600)&gt;$L$3),0,1))</f>
        <v>0</v>
      </c>
      <c r="M1800">
        <f>IF(OR($M$1="",对接源_02物料!$C600="",对接源_02物料!$C600&lt;&gt;$M$1,对接源_02物料!$B600=""),0,IF(OR(N(对接源_02物料!$B600)&lt;$M$2,N(对接源_02物料!$B600)&gt;$M$3),0,1))</f>
        <v>0</v>
      </c>
      <c r="N1800">
        <f>IF(OR($N$1="",对接源_02物料!$C600="",对接源_02物料!$C600&lt;&gt;$N$1,对接源_02物料!$B600=""),0,IF(OR(N(对接源_02物料!$B600)&lt;$N$2,N(对接源_02物料!$B600)&gt;$N$3),0,1))</f>
        <v>0</v>
      </c>
      <c r="P1800">
        <f>IF(AND($K1800=1,AND(对接源_02物料!$X600="公司筐",N(对接源_02物料!$T600)&lt;&gt;0)),1,0)</f>
        <v>0</v>
      </c>
      <c r="Q1800">
        <f>N(Q1799)+$P1800</f>
        <v>14</v>
      </c>
      <c r="R1800">
        <f>IF(AND($K1800=1,AND(对接源_02物料!$X600="公司筐",N(对接源_02物料!$U600)&lt;&gt;0)),1,0)</f>
        <v>0</v>
      </c>
      <c r="S1800">
        <f>N(S1799)+$R1800</f>
        <v>1</v>
      </c>
      <c r="T1800">
        <f>IF(AND($K1800=1,AND(对接源_02物料!$X600="公司筐",N(对接源_02物料!$V600)&lt;&gt;0)),1,0)</f>
        <v>0</v>
      </c>
      <c r="U1800">
        <f>N(U1799)+$T1800</f>
        <v>47</v>
      </c>
      <c r="V1800">
        <f>IF(AND($L1800=1,AND(对接源_02物料!$X600="自备筐",N(对接源_02物料!$V600)&lt;&gt;0)),1,0)</f>
        <v>0</v>
      </c>
      <c r="W1800">
        <f>N(W1799)+$V1800</f>
        <v>11</v>
      </c>
      <c r="X1800">
        <f>IF(AND($L1800=1,AND(对接源_02物料!$X600="自备筐",N(对接源_02物料!$T600)&lt;&gt;0)),1,0)</f>
        <v>0</v>
      </c>
      <c r="Y1800">
        <f>N(Y1799)+$X1800</f>
        <v>0</v>
      </c>
      <c r="Z1800">
        <f>IF(AND($M1800=1,对接源_02物料!$D600="原料入库"),1,0)</f>
        <v>0</v>
      </c>
      <c r="AA1800">
        <f>N(AA1799)+$Z1800</f>
        <v>24</v>
      </c>
      <c r="AB1800">
        <f>IF(AND($M1800=1,LEFT(对接源_02物料!$D600,4)="原料出库"),1,0)</f>
        <v>0</v>
      </c>
      <c r="AC1800">
        <f>N(AC1799)+$AB1800</f>
        <v>0</v>
      </c>
      <c r="AD1800">
        <f>IF(AND($M1800=1,LEFT(对接源_02物料!$D600,4)="成品出库"),1,0)</f>
        <v>0</v>
      </c>
      <c r="AE1800">
        <f>N(AE1799)+$AD1800</f>
        <v>0</v>
      </c>
      <c r="AF1800">
        <f>IF(AND($N1800=1,AND(LEFT(对接源_02物料!$D600,4)="包装物料",N(对接源_02物料!$K600)&lt;&gt;0)),1,0)</f>
        <v>0</v>
      </c>
      <c r="AG1800">
        <f>N(AG1799)+$AF1800</f>
        <v>10</v>
      </c>
      <c r="AH1800">
        <f>IF(AND($N1800=1,AND(对接源_02物料!$D600="周转筐－销售出库",N(对接源_02物料!$K600)&lt;&gt;0)),1,0)</f>
        <v>0</v>
      </c>
      <c r="AI1800">
        <f>N(AI1799)+$AH1800</f>
        <v>0</v>
      </c>
      <c r="AL1800" t="n">
        <v>0</v>
      </c>
      <c r="AM1800">
        <f>N(AM1799)+$AL1800</f>
        <v>2</v>
      </c>
      <c r="AN1800">
        <f>""</f>
      </c>
      <c r="AO1800" t="n">
        <v>0</v>
      </c>
      <c r="AP1800">
        <f>N(AP1799)+$AO1800</f>
        <v>13</v>
      </c>
      <c r="AR1800">
        <f>IF(OR($AF1800=1,$AH1800=1),1,0)</f>
        <v>0</v>
      </c>
      <c r="AS1800">
        <f>N(AS1799)+$AR1800</f>
        <v>10</v>
      </c>
    </row>
    <row r="1801" s="127">
      <c r="A1801">
        <f>IF(对接源_02物料!$C601="","",对接源_02物料!$C601)</f>
      </c>
      <c r="B1801">
        <f>IF(A1801="",0,IF(MATCH(A1801,$A$4:$A$2403,0)=ROW()-3,1,0))</f>
        <v>0</v>
      </c>
      <c r="C1801">
        <f>N(C1800)+B1801</f>
        <v>26</v>
      </c>
      <c r="K1801">
        <f>IF(OR($K$1="",对接源_02物料!$C601="",对接源_02物料!$C601&lt;&gt;$K$1,对接源_02物料!$B601=""),0,IF(OR(N(对接源_02物料!$B601)&lt;$K$2,N(对接源_02物料!$B601)&gt;$K$3),0,1))</f>
        <v>0</v>
      </c>
      <c r="L1801">
        <f>IF(OR($L$1="",对接源_02物料!$C601="",对接源_02物料!$C601&lt;&gt;$L$1,对接源_02物料!$B601=""),0,IF(OR(N(对接源_02物料!$B601)&lt;$L$2,N(对接源_02物料!$B601)&gt;$L$3),0,1))</f>
        <v>0</v>
      </c>
      <c r="M1801">
        <f>IF(OR($M$1="",对接源_02物料!$C601="",对接源_02物料!$C601&lt;&gt;$M$1,对接源_02物料!$B601=""),0,IF(OR(N(对接源_02物料!$B601)&lt;$M$2,N(对接源_02物料!$B601)&gt;$M$3),0,1))</f>
        <v>0</v>
      </c>
      <c r="N1801">
        <f>IF(OR($N$1="",对接源_02物料!$C601="",对接源_02物料!$C601&lt;&gt;$N$1,对接源_02物料!$B601=""),0,IF(OR(N(对接源_02物料!$B601)&lt;$N$2,N(对接源_02物料!$B601)&gt;$N$3),0,1))</f>
        <v>0</v>
      </c>
      <c r="P1801">
        <f>IF(AND($K1801=1,AND(对接源_02物料!$X601="公司筐",N(对接源_02物料!$T601)&lt;&gt;0)),1,0)</f>
        <v>0</v>
      </c>
      <c r="Q1801">
        <f>N(Q1800)+$P1801</f>
        <v>14</v>
      </c>
      <c r="R1801">
        <f>IF(AND($K1801=1,AND(对接源_02物料!$X601="公司筐",N(对接源_02物料!$U601)&lt;&gt;0)),1,0)</f>
        <v>0</v>
      </c>
      <c r="S1801">
        <f>N(S1800)+$R1801</f>
        <v>1</v>
      </c>
      <c r="T1801">
        <f>IF(AND($K1801=1,AND(对接源_02物料!$X601="公司筐",N(对接源_02物料!$V601)&lt;&gt;0)),1,0)</f>
        <v>0</v>
      </c>
      <c r="U1801">
        <f>N(U1800)+$T1801</f>
        <v>47</v>
      </c>
      <c r="V1801">
        <f>IF(AND($L1801=1,AND(对接源_02物料!$X601="自备筐",N(对接源_02物料!$V601)&lt;&gt;0)),1,0)</f>
        <v>0</v>
      </c>
      <c r="W1801">
        <f>N(W1800)+$V1801</f>
        <v>11</v>
      </c>
      <c r="X1801">
        <f>IF(AND($L1801=1,AND(对接源_02物料!$X601="自备筐",N(对接源_02物料!$T601)&lt;&gt;0)),1,0)</f>
        <v>0</v>
      </c>
      <c r="Y1801">
        <f>N(Y1800)+$X1801</f>
        <v>0</v>
      </c>
      <c r="Z1801">
        <f>IF(AND($M1801=1,对接源_02物料!$D601="原料入库"),1,0)</f>
        <v>0</v>
      </c>
      <c r="AA1801">
        <f>N(AA1800)+$Z1801</f>
        <v>24</v>
      </c>
      <c r="AB1801">
        <f>IF(AND($M1801=1,LEFT(对接源_02物料!$D601,4)="原料出库"),1,0)</f>
        <v>0</v>
      </c>
      <c r="AC1801">
        <f>N(AC1800)+$AB1801</f>
        <v>0</v>
      </c>
      <c r="AD1801">
        <f>IF(AND($M1801=1,LEFT(对接源_02物料!$D601,4)="成品出库"),1,0)</f>
        <v>0</v>
      </c>
      <c r="AE1801">
        <f>N(AE1800)+$AD1801</f>
        <v>0</v>
      </c>
      <c r="AF1801">
        <f>IF(AND($N1801=1,AND(LEFT(对接源_02物料!$D601,4)="包装物料",N(对接源_02物料!$K601)&lt;&gt;0)),1,0)</f>
        <v>0</v>
      </c>
      <c r="AG1801">
        <f>N(AG1800)+$AF1801</f>
        <v>10</v>
      </c>
      <c r="AH1801">
        <f>IF(AND($N1801=1,AND(对接源_02物料!$D601="周转筐－销售出库",N(对接源_02物料!$K601)&lt;&gt;0)),1,0)</f>
        <v>0</v>
      </c>
      <c r="AI1801">
        <f>N(AI1800)+$AH1801</f>
        <v>0</v>
      </c>
      <c r="AL1801" t="n">
        <v>0</v>
      </c>
      <c r="AM1801">
        <f>N(AM1800)+$AL1801</f>
        <v>2</v>
      </c>
      <c r="AN1801">
        <f>""</f>
      </c>
      <c r="AO1801" t="n">
        <v>0</v>
      </c>
      <c r="AP1801">
        <f>N(AP1800)+$AO1801</f>
        <v>13</v>
      </c>
      <c r="AR1801">
        <f>IF(OR($AF1801=1,$AH1801=1),1,0)</f>
        <v>0</v>
      </c>
      <c r="AS1801">
        <f>N(AS1800)+$AR1801</f>
        <v>10</v>
      </c>
    </row>
    <row r="1802" s="127">
      <c r="A1802">
        <f>IF(对接源_02物料!$C602="","",对接源_02物料!$C602)</f>
      </c>
      <c r="B1802">
        <f>IF(A1802="",0,IF(MATCH(A1802,$A$4:$A$2403,0)=ROW()-3,1,0))</f>
        <v>0</v>
      </c>
      <c r="C1802">
        <f>N(C1801)+B1802</f>
        <v>26</v>
      </c>
      <c r="K1802">
        <f>IF(OR($K$1="",对接源_02物料!$C602="",对接源_02物料!$C602&lt;&gt;$K$1,对接源_02物料!$B602=""),0,IF(OR(N(对接源_02物料!$B602)&lt;$K$2,N(对接源_02物料!$B602)&gt;$K$3),0,1))</f>
        <v>0</v>
      </c>
      <c r="L1802">
        <f>IF(OR($L$1="",对接源_02物料!$C602="",对接源_02物料!$C602&lt;&gt;$L$1,对接源_02物料!$B602=""),0,IF(OR(N(对接源_02物料!$B602)&lt;$L$2,N(对接源_02物料!$B602)&gt;$L$3),0,1))</f>
        <v>0</v>
      </c>
      <c r="M1802">
        <f>IF(OR($M$1="",对接源_02物料!$C602="",对接源_02物料!$C602&lt;&gt;$M$1,对接源_02物料!$B602=""),0,IF(OR(N(对接源_02物料!$B602)&lt;$M$2,N(对接源_02物料!$B602)&gt;$M$3),0,1))</f>
        <v>0</v>
      </c>
      <c r="N1802">
        <f>IF(OR($N$1="",对接源_02物料!$C602="",对接源_02物料!$C602&lt;&gt;$N$1,对接源_02物料!$B602=""),0,IF(OR(N(对接源_02物料!$B602)&lt;$N$2,N(对接源_02物料!$B602)&gt;$N$3),0,1))</f>
        <v>0</v>
      </c>
      <c r="P1802">
        <f>IF(AND($K1802=1,AND(对接源_02物料!$X602="公司筐",N(对接源_02物料!$T602)&lt;&gt;0)),1,0)</f>
        <v>0</v>
      </c>
      <c r="Q1802">
        <f>N(Q1801)+$P1802</f>
        <v>14</v>
      </c>
      <c r="R1802">
        <f>IF(AND($K1802=1,AND(对接源_02物料!$X602="公司筐",N(对接源_02物料!$U602)&lt;&gt;0)),1,0)</f>
        <v>0</v>
      </c>
      <c r="S1802">
        <f>N(S1801)+$R1802</f>
        <v>1</v>
      </c>
      <c r="T1802">
        <f>IF(AND($K1802=1,AND(对接源_02物料!$X602="公司筐",N(对接源_02物料!$V602)&lt;&gt;0)),1,0)</f>
        <v>0</v>
      </c>
      <c r="U1802">
        <f>N(U1801)+$T1802</f>
        <v>47</v>
      </c>
      <c r="V1802">
        <f>IF(AND($L1802=1,AND(对接源_02物料!$X602="自备筐",N(对接源_02物料!$V602)&lt;&gt;0)),1,0)</f>
        <v>0</v>
      </c>
      <c r="W1802">
        <f>N(W1801)+$V1802</f>
        <v>11</v>
      </c>
      <c r="X1802">
        <f>IF(AND($L1802=1,AND(对接源_02物料!$X602="自备筐",N(对接源_02物料!$T602)&lt;&gt;0)),1,0)</f>
        <v>0</v>
      </c>
      <c r="Y1802">
        <f>N(Y1801)+$X1802</f>
        <v>0</v>
      </c>
      <c r="Z1802">
        <f>IF(AND($M1802=1,对接源_02物料!$D602="原料入库"),1,0)</f>
        <v>0</v>
      </c>
      <c r="AA1802">
        <f>N(AA1801)+$Z1802</f>
        <v>24</v>
      </c>
      <c r="AB1802">
        <f>IF(AND($M1802=1,LEFT(对接源_02物料!$D602,4)="原料出库"),1,0)</f>
        <v>0</v>
      </c>
      <c r="AC1802">
        <f>N(AC1801)+$AB1802</f>
        <v>0</v>
      </c>
      <c r="AD1802">
        <f>IF(AND($M1802=1,LEFT(对接源_02物料!$D602,4)="成品出库"),1,0)</f>
        <v>0</v>
      </c>
      <c r="AE1802">
        <f>N(AE1801)+$AD1802</f>
        <v>0</v>
      </c>
      <c r="AF1802">
        <f>IF(AND($N1802=1,AND(LEFT(对接源_02物料!$D602,4)="包装物料",N(对接源_02物料!$K602)&lt;&gt;0)),1,0)</f>
        <v>0</v>
      </c>
      <c r="AG1802">
        <f>N(AG1801)+$AF1802</f>
        <v>10</v>
      </c>
      <c r="AH1802">
        <f>IF(AND($N1802=1,AND(对接源_02物料!$D602="周转筐－销售出库",N(对接源_02物料!$K602)&lt;&gt;0)),1,0)</f>
        <v>0</v>
      </c>
      <c r="AI1802">
        <f>N(AI1801)+$AH1802</f>
        <v>0</v>
      </c>
      <c r="AL1802" t="n">
        <v>0</v>
      </c>
      <c r="AM1802">
        <f>N(AM1801)+$AL1802</f>
        <v>2</v>
      </c>
      <c r="AN1802">
        <f>""</f>
      </c>
      <c r="AO1802" t="n">
        <v>0</v>
      </c>
      <c r="AP1802">
        <f>N(AP1801)+$AO1802</f>
        <v>13</v>
      </c>
      <c r="AR1802">
        <f>IF(OR($AF1802=1,$AH1802=1),1,0)</f>
        <v>0</v>
      </c>
      <c r="AS1802">
        <f>N(AS1801)+$AR1802</f>
        <v>10</v>
      </c>
    </row>
    <row r="1803" s="127">
      <c r="A1803">
        <f>IF(对接源_02物料!$C603="","",对接源_02物料!$C603)</f>
      </c>
      <c r="B1803">
        <f>IF(A1803="",0,IF(MATCH(A1803,$A$4:$A$2403,0)=ROW()-3,1,0))</f>
        <v>0</v>
      </c>
      <c r="C1803">
        <f>N(C1802)+B1803</f>
        <v>26</v>
      </c>
      <c r="K1803">
        <f>IF(OR($K$1="",对接源_02物料!$C603="",对接源_02物料!$C603&lt;&gt;$K$1,对接源_02物料!$B603=""),0,IF(OR(N(对接源_02物料!$B603)&lt;$K$2,N(对接源_02物料!$B603)&gt;$K$3),0,1))</f>
        <v>0</v>
      </c>
      <c r="L1803">
        <f>IF(OR($L$1="",对接源_02物料!$C603="",对接源_02物料!$C603&lt;&gt;$L$1,对接源_02物料!$B603=""),0,IF(OR(N(对接源_02物料!$B603)&lt;$L$2,N(对接源_02物料!$B603)&gt;$L$3),0,1))</f>
        <v>0</v>
      </c>
      <c r="M1803">
        <f>IF(OR($M$1="",对接源_02物料!$C603="",对接源_02物料!$C603&lt;&gt;$M$1,对接源_02物料!$B603=""),0,IF(OR(N(对接源_02物料!$B603)&lt;$M$2,N(对接源_02物料!$B603)&gt;$M$3),0,1))</f>
        <v>0</v>
      </c>
      <c r="N1803">
        <f>IF(OR($N$1="",对接源_02物料!$C603="",对接源_02物料!$C603&lt;&gt;$N$1,对接源_02物料!$B603=""),0,IF(OR(N(对接源_02物料!$B603)&lt;$N$2,N(对接源_02物料!$B603)&gt;$N$3),0,1))</f>
        <v>0</v>
      </c>
      <c r="P1803">
        <f>IF(AND($K1803=1,AND(对接源_02物料!$X603="公司筐",N(对接源_02物料!$T603)&lt;&gt;0)),1,0)</f>
        <v>0</v>
      </c>
      <c r="Q1803">
        <f>N(Q1802)+$P1803</f>
        <v>14</v>
      </c>
      <c r="R1803">
        <f>IF(AND($K1803=1,AND(对接源_02物料!$X603="公司筐",N(对接源_02物料!$U603)&lt;&gt;0)),1,0)</f>
        <v>0</v>
      </c>
      <c r="S1803">
        <f>N(S1802)+$R1803</f>
        <v>1</v>
      </c>
      <c r="T1803">
        <f>IF(AND($K1803=1,AND(对接源_02物料!$X603="公司筐",N(对接源_02物料!$V603)&lt;&gt;0)),1,0)</f>
        <v>0</v>
      </c>
      <c r="U1803">
        <f>N(U1802)+$T1803</f>
        <v>47</v>
      </c>
      <c r="V1803">
        <f>IF(AND($L1803=1,AND(对接源_02物料!$X603="自备筐",N(对接源_02物料!$V603)&lt;&gt;0)),1,0)</f>
        <v>0</v>
      </c>
      <c r="W1803">
        <f>N(W1802)+$V1803</f>
        <v>11</v>
      </c>
      <c r="X1803">
        <f>IF(AND($L1803=1,AND(对接源_02物料!$X603="自备筐",N(对接源_02物料!$T603)&lt;&gt;0)),1,0)</f>
        <v>0</v>
      </c>
      <c r="Y1803">
        <f>N(Y1802)+$X1803</f>
        <v>0</v>
      </c>
      <c r="Z1803">
        <f>IF(AND($M1803=1,对接源_02物料!$D603="原料入库"),1,0)</f>
        <v>0</v>
      </c>
      <c r="AA1803">
        <f>N(AA1802)+$Z1803</f>
        <v>24</v>
      </c>
      <c r="AB1803">
        <f>IF(AND($M1803=1,LEFT(对接源_02物料!$D603,4)="原料出库"),1,0)</f>
        <v>0</v>
      </c>
      <c r="AC1803">
        <f>N(AC1802)+$AB1803</f>
        <v>0</v>
      </c>
      <c r="AD1803">
        <f>IF(AND($M1803=1,LEFT(对接源_02物料!$D603,4)="成品出库"),1,0)</f>
        <v>0</v>
      </c>
      <c r="AE1803">
        <f>N(AE1802)+$AD1803</f>
        <v>0</v>
      </c>
      <c r="AF1803">
        <f>IF(AND($N1803=1,AND(LEFT(对接源_02物料!$D603,4)="包装物料",N(对接源_02物料!$K603)&lt;&gt;0)),1,0)</f>
        <v>0</v>
      </c>
      <c r="AG1803">
        <f>N(AG1802)+$AF1803</f>
        <v>10</v>
      </c>
      <c r="AH1803">
        <f>IF(AND($N1803=1,AND(对接源_02物料!$D603="周转筐－销售出库",N(对接源_02物料!$K603)&lt;&gt;0)),1,0)</f>
        <v>0</v>
      </c>
      <c r="AI1803">
        <f>N(AI1802)+$AH1803</f>
        <v>0</v>
      </c>
      <c r="AL1803" t="n">
        <v>0</v>
      </c>
      <c r="AM1803">
        <f>N(AM1802)+$AL1803</f>
        <v>2</v>
      </c>
      <c r="AN1803">
        <f>""</f>
      </c>
      <c r="AO1803" t="n">
        <v>0</v>
      </c>
      <c r="AP1803">
        <f>N(AP1802)+$AO1803</f>
        <v>13</v>
      </c>
      <c r="AR1803">
        <f>IF(OR($AF1803=1,$AH1803=1),1,0)</f>
        <v>0</v>
      </c>
      <c r="AS1803">
        <f>N(AS1802)+$AR1803</f>
        <v>10</v>
      </c>
    </row>
    <row r="1804" s="127">
      <c r="A1804">
        <f>IF(对接源_02物料!$C604="","",对接源_02物料!$C604)</f>
      </c>
      <c r="B1804">
        <f>IF(A1804="",0,IF(MATCH(A1804,$A$4:$A$2403,0)=ROW()-3,1,0))</f>
        <v>0</v>
      </c>
      <c r="C1804">
        <f>N(C1803)+B1804</f>
        <v>26</v>
      </c>
      <c r="K1804">
        <f>IF(OR($K$1="",对接源_02物料!$C604="",对接源_02物料!$C604&lt;&gt;$K$1,对接源_02物料!$B604=""),0,IF(OR(N(对接源_02物料!$B604)&lt;$K$2,N(对接源_02物料!$B604)&gt;$K$3),0,1))</f>
        <v>0</v>
      </c>
      <c r="L1804">
        <f>IF(OR($L$1="",对接源_02物料!$C604="",对接源_02物料!$C604&lt;&gt;$L$1,对接源_02物料!$B604=""),0,IF(OR(N(对接源_02物料!$B604)&lt;$L$2,N(对接源_02物料!$B604)&gt;$L$3),0,1))</f>
        <v>0</v>
      </c>
      <c r="M1804">
        <f>IF(OR($M$1="",对接源_02物料!$C604="",对接源_02物料!$C604&lt;&gt;$M$1,对接源_02物料!$B604=""),0,IF(OR(N(对接源_02物料!$B604)&lt;$M$2,N(对接源_02物料!$B604)&gt;$M$3),0,1))</f>
        <v>0</v>
      </c>
      <c r="N1804">
        <f>IF(OR($N$1="",对接源_02物料!$C604="",对接源_02物料!$C604&lt;&gt;$N$1,对接源_02物料!$B604=""),0,IF(OR(N(对接源_02物料!$B604)&lt;$N$2,N(对接源_02物料!$B604)&gt;$N$3),0,1))</f>
        <v>0</v>
      </c>
      <c r="P1804">
        <f>IF(AND($K1804=1,AND(对接源_02物料!$X604="公司筐",N(对接源_02物料!$T604)&lt;&gt;0)),1,0)</f>
        <v>0</v>
      </c>
      <c r="Q1804">
        <f>N(Q1803)+$P1804</f>
        <v>14</v>
      </c>
      <c r="R1804">
        <f>IF(AND($K1804=1,AND(对接源_02物料!$X604="公司筐",N(对接源_02物料!$U604)&lt;&gt;0)),1,0)</f>
        <v>0</v>
      </c>
      <c r="S1804">
        <f>N(S1803)+$R1804</f>
        <v>1</v>
      </c>
      <c r="T1804">
        <f>IF(AND($K1804=1,AND(对接源_02物料!$X604="公司筐",N(对接源_02物料!$V604)&lt;&gt;0)),1,0)</f>
        <v>0</v>
      </c>
      <c r="U1804">
        <f>N(U1803)+$T1804</f>
        <v>47</v>
      </c>
      <c r="V1804">
        <f>IF(AND($L1804=1,AND(对接源_02物料!$X604="自备筐",N(对接源_02物料!$V604)&lt;&gt;0)),1,0)</f>
        <v>0</v>
      </c>
      <c r="W1804">
        <f>N(W1803)+$V1804</f>
        <v>11</v>
      </c>
      <c r="X1804">
        <f>IF(AND($L1804=1,AND(对接源_02物料!$X604="自备筐",N(对接源_02物料!$T604)&lt;&gt;0)),1,0)</f>
        <v>0</v>
      </c>
      <c r="Y1804">
        <f>N(Y1803)+$X1804</f>
        <v>0</v>
      </c>
      <c r="Z1804">
        <f>IF(AND($M1804=1,对接源_02物料!$D604="原料入库"),1,0)</f>
        <v>0</v>
      </c>
      <c r="AA1804">
        <f>N(AA1803)+$Z1804</f>
        <v>24</v>
      </c>
      <c r="AB1804">
        <f>IF(AND($M1804=1,LEFT(对接源_02物料!$D604,4)="原料出库"),1,0)</f>
        <v>0</v>
      </c>
      <c r="AC1804">
        <f>N(AC1803)+$AB1804</f>
        <v>0</v>
      </c>
      <c r="AD1804">
        <f>IF(AND($M1804=1,LEFT(对接源_02物料!$D604,4)="成品出库"),1,0)</f>
        <v>0</v>
      </c>
      <c r="AE1804">
        <f>N(AE1803)+$AD1804</f>
        <v>0</v>
      </c>
      <c r="AF1804">
        <f>IF(AND($N1804=1,AND(LEFT(对接源_02物料!$D604,4)="包装物料",N(对接源_02物料!$K604)&lt;&gt;0)),1,0)</f>
        <v>0</v>
      </c>
      <c r="AG1804">
        <f>N(AG1803)+$AF1804</f>
        <v>10</v>
      </c>
      <c r="AH1804">
        <f>IF(AND($N1804=1,AND(对接源_02物料!$D604="周转筐－销售出库",N(对接源_02物料!$K604)&lt;&gt;0)),1,0)</f>
        <v>0</v>
      </c>
      <c r="AI1804">
        <f>N(AI1803)+$AH1804</f>
        <v>0</v>
      </c>
      <c r="AL1804" t="n">
        <v>0</v>
      </c>
      <c r="AM1804">
        <f>N(AM1803)+$AL1804</f>
        <v>2</v>
      </c>
      <c r="AN1804">
        <f>""</f>
      </c>
      <c r="AO1804" t="n">
        <v>0</v>
      </c>
      <c r="AP1804">
        <f>N(AP1803)+$AO1804</f>
        <v>13</v>
      </c>
      <c r="AR1804">
        <f>IF(OR($AF1804=1,$AH1804=1),1,0)</f>
        <v>0</v>
      </c>
      <c r="AS1804">
        <f>N(AS1803)+$AR1804</f>
        <v>10</v>
      </c>
    </row>
    <row r="1805" s="127">
      <c r="A1805">
        <f>IF(对接源_02物料!$C605="","",对接源_02物料!$C605)</f>
      </c>
      <c r="B1805">
        <f>IF(A1805="",0,IF(MATCH(A1805,$A$4:$A$2403,0)=ROW()-3,1,0))</f>
        <v>0</v>
      </c>
      <c r="C1805">
        <f>N(C1804)+B1805</f>
        <v>26</v>
      </c>
      <c r="K1805">
        <f>IF(OR($K$1="",对接源_02物料!$C605="",对接源_02物料!$C605&lt;&gt;$K$1,对接源_02物料!$B605=""),0,IF(OR(N(对接源_02物料!$B605)&lt;$K$2,N(对接源_02物料!$B605)&gt;$K$3),0,1))</f>
        <v>0</v>
      </c>
      <c r="L1805">
        <f>IF(OR($L$1="",对接源_02物料!$C605="",对接源_02物料!$C605&lt;&gt;$L$1,对接源_02物料!$B605=""),0,IF(OR(N(对接源_02物料!$B605)&lt;$L$2,N(对接源_02物料!$B605)&gt;$L$3),0,1))</f>
        <v>0</v>
      </c>
      <c r="M1805">
        <f>IF(OR($M$1="",对接源_02物料!$C605="",对接源_02物料!$C605&lt;&gt;$M$1,对接源_02物料!$B605=""),0,IF(OR(N(对接源_02物料!$B605)&lt;$M$2,N(对接源_02物料!$B605)&gt;$M$3),0,1))</f>
        <v>0</v>
      </c>
      <c r="N1805">
        <f>IF(OR($N$1="",对接源_02物料!$C605="",对接源_02物料!$C605&lt;&gt;$N$1,对接源_02物料!$B605=""),0,IF(OR(N(对接源_02物料!$B605)&lt;$N$2,N(对接源_02物料!$B605)&gt;$N$3),0,1))</f>
        <v>0</v>
      </c>
      <c r="P1805">
        <f>IF(AND($K1805=1,AND(对接源_02物料!$X605="公司筐",N(对接源_02物料!$T605)&lt;&gt;0)),1,0)</f>
        <v>0</v>
      </c>
      <c r="Q1805">
        <f>N(Q1804)+$P1805</f>
        <v>14</v>
      </c>
      <c r="R1805">
        <f>IF(AND($K1805=1,AND(对接源_02物料!$X605="公司筐",N(对接源_02物料!$U605)&lt;&gt;0)),1,0)</f>
        <v>0</v>
      </c>
      <c r="S1805">
        <f>N(S1804)+$R1805</f>
        <v>1</v>
      </c>
      <c r="T1805">
        <f>IF(AND($K1805=1,AND(对接源_02物料!$X605="公司筐",N(对接源_02物料!$V605)&lt;&gt;0)),1,0)</f>
        <v>0</v>
      </c>
      <c r="U1805">
        <f>N(U1804)+$T1805</f>
        <v>47</v>
      </c>
      <c r="V1805">
        <f>IF(AND($L1805=1,AND(对接源_02物料!$X605="自备筐",N(对接源_02物料!$V605)&lt;&gt;0)),1,0)</f>
        <v>0</v>
      </c>
      <c r="W1805">
        <f>N(W1804)+$V1805</f>
        <v>11</v>
      </c>
      <c r="X1805">
        <f>IF(AND($L1805=1,AND(对接源_02物料!$X605="自备筐",N(对接源_02物料!$T605)&lt;&gt;0)),1,0)</f>
        <v>0</v>
      </c>
      <c r="Y1805">
        <f>N(Y1804)+$X1805</f>
        <v>0</v>
      </c>
      <c r="Z1805">
        <f>IF(AND($M1805=1,对接源_02物料!$D605="原料入库"),1,0)</f>
        <v>0</v>
      </c>
      <c r="AA1805">
        <f>N(AA1804)+$Z1805</f>
        <v>24</v>
      </c>
      <c r="AB1805">
        <f>IF(AND($M1805=1,LEFT(对接源_02物料!$D605,4)="原料出库"),1,0)</f>
        <v>0</v>
      </c>
      <c r="AC1805">
        <f>N(AC1804)+$AB1805</f>
        <v>0</v>
      </c>
      <c r="AD1805">
        <f>IF(AND($M1805=1,LEFT(对接源_02物料!$D605,4)="成品出库"),1,0)</f>
        <v>0</v>
      </c>
      <c r="AE1805">
        <f>N(AE1804)+$AD1805</f>
        <v>0</v>
      </c>
      <c r="AF1805">
        <f>IF(AND($N1805=1,AND(LEFT(对接源_02物料!$D605,4)="包装物料",N(对接源_02物料!$K605)&lt;&gt;0)),1,0)</f>
        <v>0</v>
      </c>
      <c r="AG1805">
        <f>N(AG1804)+$AF1805</f>
        <v>10</v>
      </c>
      <c r="AH1805">
        <f>IF(AND($N1805=1,AND(对接源_02物料!$D605="周转筐－销售出库",N(对接源_02物料!$K605)&lt;&gt;0)),1,0)</f>
        <v>0</v>
      </c>
      <c r="AI1805">
        <f>N(AI1804)+$AH1805</f>
        <v>0</v>
      </c>
      <c r="AL1805" t="n">
        <v>0</v>
      </c>
      <c r="AM1805">
        <f>N(AM1804)+$AL1805</f>
        <v>2</v>
      </c>
      <c r="AN1805">
        <f>""</f>
      </c>
      <c r="AO1805" t="n">
        <v>0</v>
      </c>
      <c r="AP1805">
        <f>N(AP1804)+$AO1805</f>
        <v>13</v>
      </c>
      <c r="AR1805">
        <f>IF(OR($AF1805=1,$AH1805=1),1,0)</f>
        <v>0</v>
      </c>
      <c r="AS1805">
        <f>N(AS1804)+$AR1805</f>
        <v>10</v>
      </c>
    </row>
    <row r="1806" s="127">
      <c r="A1806">
        <f>IF(对接源_02物料!$C606="","",对接源_02物料!$C606)</f>
      </c>
      <c r="B1806">
        <f>IF(A1806="",0,IF(MATCH(A1806,$A$4:$A$2403,0)=ROW()-3,1,0))</f>
        <v>0</v>
      </c>
      <c r="C1806">
        <f>N(C1805)+B1806</f>
        <v>26</v>
      </c>
      <c r="K1806">
        <f>IF(OR($K$1="",对接源_02物料!$C606="",对接源_02物料!$C606&lt;&gt;$K$1,对接源_02物料!$B606=""),0,IF(OR(N(对接源_02物料!$B606)&lt;$K$2,N(对接源_02物料!$B606)&gt;$K$3),0,1))</f>
        <v>0</v>
      </c>
      <c r="L1806">
        <f>IF(OR($L$1="",对接源_02物料!$C606="",对接源_02物料!$C606&lt;&gt;$L$1,对接源_02物料!$B606=""),0,IF(OR(N(对接源_02物料!$B606)&lt;$L$2,N(对接源_02物料!$B606)&gt;$L$3),0,1))</f>
        <v>0</v>
      </c>
      <c r="M1806">
        <f>IF(OR($M$1="",对接源_02物料!$C606="",对接源_02物料!$C606&lt;&gt;$M$1,对接源_02物料!$B606=""),0,IF(OR(N(对接源_02物料!$B606)&lt;$M$2,N(对接源_02物料!$B606)&gt;$M$3),0,1))</f>
        <v>0</v>
      </c>
      <c r="N1806">
        <f>IF(OR($N$1="",对接源_02物料!$C606="",对接源_02物料!$C606&lt;&gt;$N$1,对接源_02物料!$B606=""),0,IF(OR(N(对接源_02物料!$B606)&lt;$N$2,N(对接源_02物料!$B606)&gt;$N$3),0,1))</f>
        <v>0</v>
      </c>
      <c r="P1806">
        <f>IF(AND($K1806=1,AND(对接源_02物料!$X606="公司筐",N(对接源_02物料!$T606)&lt;&gt;0)),1,0)</f>
        <v>0</v>
      </c>
      <c r="Q1806">
        <f>N(Q1805)+$P1806</f>
        <v>14</v>
      </c>
      <c r="R1806">
        <f>IF(AND($K1806=1,AND(对接源_02物料!$X606="公司筐",N(对接源_02物料!$U606)&lt;&gt;0)),1,0)</f>
        <v>0</v>
      </c>
      <c r="S1806">
        <f>N(S1805)+$R1806</f>
        <v>1</v>
      </c>
      <c r="T1806">
        <f>IF(AND($K1806=1,AND(对接源_02物料!$X606="公司筐",N(对接源_02物料!$V606)&lt;&gt;0)),1,0)</f>
        <v>0</v>
      </c>
      <c r="U1806">
        <f>N(U1805)+$T1806</f>
        <v>47</v>
      </c>
      <c r="V1806">
        <f>IF(AND($L1806=1,AND(对接源_02物料!$X606="自备筐",N(对接源_02物料!$V606)&lt;&gt;0)),1,0)</f>
        <v>0</v>
      </c>
      <c r="W1806">
        <f>N(W1805)+$V1806</f>
        <v>11</v>
      </c>
      <c r="X1806">
        <f>IF(AND($L1806=1,AND(对接源_02物料!$X606="自备筐",N(对接源_02物料!$T606)&lt;&gt;0)),1,0)</f>
        <v>0</v>
      </c>
      <c r="Y1806">
        <f>N(Y1805)+$X1806</f>
        <v>0</v>
      </c>
      <c r="Z1806">
        <f>IF(AND($M1806=1,对接源_02物料!$D606="原料入库"),1,0)</f>
        <v>0</v>
      </c>
      <c r="AA1806">
        <f>N(AA1805)+$Z1806</f>
        <v>24</v>
      </c>
      <c r="AB1806">
        <f>IF(AND($M1806=1,LEFT(对接源_02物料!$D606,4)="原料出库"),1,0)</f>
        <v>0</v>
      </c>
      <c r="AC1806">
        <f>N(AC1805)+$AB1806</f>
        <v>0</v>
      </c>
      <c r="AD1806">
        <f>IF(AND($M1806=1,LEFT(对接源_02物料!$D606,4)="成品出库"),1,0)</f>
        <v>0</v>
      </c>
      <c r="AE1806">
        <f>N(AE1805)+$AD1806</f>
        <v>0</v>
      </c>
      <c r="AF1806">
        <f>IF(AND($N1806=1,AND(LEFT(对接源_02物料!$D606,4)="包装物料",N(对接源_02物料!$K606)&lt;&gt;0)),1,0)</f>
        <v>0</v>
      </c>
      <c r="AG1806">
        <f>N(AG1805)+$AF1806</f>
        <v>10</v>
      </c>
      <c r="AH1806">
        <f>IF(AND($N1806=1,AND(对接源_02物料!$D606="周转筐－销售出库",N(对接源_02物料!$K606)&lt;&gt;0)),1,0)</f>
        <v>0</v>
      </c>
      <c r="AI1806">
        <f>N(AI1805)+$AH1806</f>
        <v>0</v>
      </c>
      <c r="AL1806" t="n">
        <v>0</v>
      </c>
      <c r="AM1806">
        <f>N(AM1805)+$AL1806</f>
        <v>2</v>
      </c>
      <c r="AN1806">
        <f>""</f>
      </c>
      <c r="AO1806" t="n">
        <v>0</v>
      </c>
      <c r="AP1806">
        <f>N(AP1805)+$AO1806</f>
        <v>13</v>
      </c>
      <c r="AR1806">
        <f>IF(OR($AF1806=1,$AH1806=1),1,0)</f>
        <v>0</v>
      </c>
      <c r="AS1806">
        <f>N(AS1805)+$AR1806</f>
        <v>10</v>
      </c>
    </row>
    <row r="1807" s="127">
      <c r="A1807">
        <f>IF(对接源_02物料!$C607="","",对接源_02物料!$C607)</f>
      </c>
      <c r="B1807">
        <f>IF(A1807="",0,IF(MATCH(A1807,$A$4:$A$2403,0)=ROW()-3,1,0))</f>
        <v>0</v>
      </c>
      <c r="C1807">
        <f>N(C1806)+B1807</f>
        <v>26</v>
      </c>
      <c r="K1807">
        <f>IF(OR($K$1="",对接源_02物料!$C607="",对接源_02物料!$C607&lt;&gt;$K$1,对接源_02物料!$B607=""),0,IF(OR(N(对接源_02物料!$B607)&lt;$K$2,N(对接源_02物料!$B607)&gt;$K$3),0,1))</f>
        <v>0</v>
      </c>
      <c r="L1807">
        <f>IF(OR($L$1="",对接源_02物料!$C607="",对接源_02物料!$C607&lt;&gt;$L$1,对接源_02物料!$B607=""),0,IF(OR(N(对接源_02物料!$B607)&lt;$L$2,N(对接源_02物料!$B607)&gt;$L$3),0,1))</f>
        <v>0</v>
      </c>
      <c r="M1807">
        <f>IF(OR($M$1="",对接源_02物料!$C607="",对接源_02物料!$C607&lt;&gt;$M$1,对接源_02物料!$B607=""),0,IF(OR(N(对接源_02物料!$B607)&lt;$M$2,N(对接源_02物料!$B607)&gt;$M$3),0,1))</f>
        <v>0</v>
      </c>
      <c r="N1807">
        <f>IF(OR($N$1="",对接源_02物料!$C607="",对接源_02物料!$C607&lt;&gt;$N$1,对接源_02物料!$B607=""),0,IF(OR(N(对接源_02物料!$B607)&lt;$N$2,N(对接源_02物料!$B607)&gt;$N$3),0,1))</f>
        <v>0</v>
      </c>
      <c r="P1807">
        <f>IF(AND($K1807=1,AND(对接源_02物料!$X607="公司筐",N(对接源_02物料!$T607)&lt;&gt;0)),1,0)</f>
        <v>0</v>
      </c>
      <c r="Q1807">
        <f>N(Q1806)+$P1807</f>
        <v>14</v>
      </c>
      <c r="R1807">
        <f>IF(AND($K1807=1,AND(对接源_02物料!$X607="公司筐",N(对接源_02物料!$U607)&lt;&gt;0)),1,0)</f>
        <v>0</v>
      </c>
      <c r="S1807">
        <f>N(S1806)+$R1807</f>
        <v>1</v>
      </c>
      <c r="T1807">
        <f>IF(AND($K1807=1,AND(对接源_02物料!$X607="公司筐",N(对接源_02物料!$V607)&lt;&gt;0)),1,0)</f>
        <v>0</v>
      </c>
      <c r="U1807">
        <f>N(U1806)+$T1807</f>
        <v>47</v>
      </c>
      <c r="V1807">
        <f>IF(AND($L1807=1,AND(对接源_02物料!$X607="自备筐",N(对接源_02物料!$V607)&lt;&gt;0)),1,0)</f>
        <v>0</v>
      </c>
      <c r="W1807">
        <f>N(W1806)+$V1807</f>
        <v>11</v>
      </c>
      <c r="X1807">
        <f>IF(AND($L1807=1,AND(对接源_02物料!$X607="自备筐",N(对接源_02物料!$T607)&lt;&gt;0)),1,0)</f>
        <v>0</v>
      </c>
      <c r="Y1807">
        <f>N(Y1806)+$X1807</f>
        <v>0</v>
      </c>
      <c r="Z1807">
        <f>IF(AND($M1807=1,对接源_02物料!$D607="原料入库"),1,0)</f>
        <v>0</v>
      </c>
      <c r="AA1807">
        <f>N(AA1806)+$Z1807</f>
        <v>24</v>
      </c>
      <c r="AB1807">
        <f>IF(AND($M1807=1,LEFT(对接源_02物料!$D607,4)="原料出库"),1,0)</f>
        <v>0</v>
      </c>
      <c r="AC1807">
        <f>N(AC1806)+$AB1807</f>
        <v>0</v>
      </c>
      <c r="AD1807">
        <f>IF(AND($M1807=1,LEFT(对接源_02物料!$D607,4)="成品出库"),1,0)</f>
        <v>0</v>
      </c>
      <c r="AE1807">
        <f>N(AE1806)+$AD1807</f>
        <v>0</v>
      </c>
      <c r="AF1807">
        <f>IF(AND($N1807=1,AND(LEFT(对接源_02物料!$D607,4)="包装物料",N(对接源_02物料!$K607)&lt;&gt;0)),1,0)</f>
        <v>0</v>
      </c>
      <c r="AG1807">
        <f>N(AG1806)+$AF1807</f>
        <v>10</v>
      </c>
      <c r="AH1807">
        <f>IF(AND($N1807=1,AND(对接源_02物料!$D607="周转筐－销售出库",N(对接源_02物料!$K607)&lt;&gt;0)),1,0)</f>
        <v>0</v>
      </c>
      <c r="AI1807">
        <f>N(AI1806)+$AH1807</f>
        <v>0</v>
      </c>
      <c r="AL1807" t="n">
        <v>0</v>
      </c>
      <c r="AM1807">
        <f>N(AM1806)+$AL1807</f>
        <v>2</v>
      </c>
      <c r="AN1807">
        <f>""</f>
      </c>
      <c r="AO1807" t="n">
        <v>0</v>
      </c>
      <c r="AP1807">
        <f>N(AP1806)+$AO1807</f>
        <v>13</v>
      </c>
      <c r="AR1807">
        <f>IF(OR($AF1807=1,$AH1807=1),1,0)</f>
        <v>0</v>
      </c>
      <c r="AS1807">
        <f>N(AS1806)+$AR1807</f>
        <v>10</v>
      </c>
    </row>
    <row r="1808" s="127">
      <c r="A1808">
        <f>IF(对接源_02物料!$C608="","",对接源_02物料!$C608)</f>
      </c>
      <c r="B1808">
        <f>IF(A1808="",0,IF(MATCH(A1808,$A$4:$A$2403,0)=ROW()-3,1,0))</f>
        <v>0</v>
      </c>
      <c r="C1808">
        <f>N(C1807)+B1808</f>
        <v>26</v>
      </c>
      <c r="K1808">
        <f>IF(OR($K$1="",对接源_02物料!$C608="",对接源_02物料!$C608&lt;&gt;$K$1,对接源_02物料!$B608=""),0,IF(OR(N(对接源_02物料!$B608)&lt;$K$2,N(对接源_02物料!$B608)&gt;$K$3),0,1))</f>
        <v>0</v>
      </c>
      <c r="L1808">
        <f>IF(OR($L$1="",对接源_02物料!$C608="",对接源_02物料!$C608&lt;&gt;$L$1,对接源_02物料!$B608=""),0,IF(OR(N(对接源_02物料!$B608)&lt;$L$2,N(对接源_02物料!$B608)&gt;$L$3),0,1))</f>
        <v>0</v>
      </c>
      <c r="M1808">
        <f>IF(OR($M$1="",对接源_02物料!$C608="",对接源_02物料!$C608&lt;&gt;$M$1,对接源_02物料!$B608=""),0,IF(OR(N(对接源_02物料!$B608)&lt;$M$2,N(对接源_02物料!$B608)&gt;$M$3),0,1))</f>
        <v>0</v>
      </c>
      <c r="N1808">
        <f>IF(OR($N$1="",对接源_02物料!$C608="",对接源_02物料!$C608&lt;&gt;$N$1,对接源_02物料!$B608=""),0,IF(OR(N(对接源_02物料!$B608)&lt;$N$2,N(对接源_02物料!$B608)&gt;$N$3),0,1))</f>
        <v>0</v>
      </c>
      <c r="P1808">
        <f>IF(AND($K1808=1,AND(对接源_02物料!$X608="公司筐",N(对接源_02物料!$T608)&lt;&gt;0)),1,0)</f>
        <v>0</v>
      </c>
      <c r="Q1808">
        <f>N(Q1807)+$P1808</f>
        <v>14</v>
      </c>
      <c r="R1808">
        <f>IF(AND($K1808=1,AND(对接源_02物料!$X608="公司筐",N(对接源_02物料!$U608)&lt;&gt;0)),1,0)</f>
        <v>0</v>
      </c>
      <c r="S1808">
        <f>N(S1807)+$R1808</f>
        <v>1</v>
      </c>
      <c r="T1808">
        <f>IF(AND($K1808=1,AND(对接源_02物料!$X608="公司筐",N(对接源_02物料!$V608)&lt;&gt;0)),1,0)</f>
        <v>0</v>
      </c>
      <c r="U1808">
        <f>N(U1807)+$T1808</f>
        <v>47</v>
      </c>
      <c r="V1808">
        <f>IF(AND($L1808=1,AND(对接源_02物料!$X608="自备筐",N(对接源_02物料!$V608)&lt;&gt;0)),1,0)</f>
        <v>0</v>
      </c>
      <c r="W1808">
        <f>N(W1807)+$V1808</f>
        <v>11</v>
      </c>
      <c r="X1808">
        <f>IF(AND($L1808=1,AND(对接源_02物料!$X608="自备筐",N(对接源_02物料!$T608)&lt;&gt;0)),1,0)</f>
        <v>0</v>
      </c>
      <c r="Y1808">
        <f>N(Y1807)+$X1808</f>
        <v>0</v>
      </c>
      <c r="Z1808">
        <f>IF(AND($M1808=1,对接源_02物料!$D608="原料入库"),1,0)</f>
        <v>0</v>
      </c>
      <c r="AA1808">
        <f>N(AA1807)+$Z1808</f>
        <v>24</v>
      </c>
      <c r="AB1808">
        <f>IF(AND($M1808=1,LEFT(对接源_02物料!$D608,4)="原料出库"),1,0)</f>
        <v>0</v>
      </c>
      <c r="AC1808">
        <f>N(AC1807)+$AB1808</f>
        <v>0</v>
      </c>
      <c r="AD1808">
        <f>IF(AND($M1808=1,LEFT(对接源_02物料!$D608,4)="成品出库"),1,0)</f>
        <v>0</v>
      </c>
      <c r="AE1808">
        <f>N(AE1807)+$AD1808</f>
        <v>0</v>
      </c>
      <c r="AF1808">
        <f>IF(AND($N1808=1,AND(LEFT(对接源_02物料!$D608,4)="包装物料",N(对接源_02物料!$K608)&lt;&gt;0)),1,0)</f>
        <v>0</v>
      </c>
      <c r="AG1808">
        <f>N(AG1807)+$AF1808</f>
        <v>10</v>
      </c>
      <c r="AH1808">
        <f>IF(AND($N1808=1,AND(对接源_02物料!$D608="周转筐－销售出库",N(对接源_02物料!$K608)&lt;&gt;0)),1,0)</f>
        <v>0</v>
      </c>
      <c r="AI1808">
        <f>N(AI1807)+$AH1808</f>
        <v>0</v>
      </c>
      <c r="AL1808" t="n">
        <v>0</v>
      </c>
      <c r="AM1808">
        <f>N(AM1807)+$AL1808</f>
        <v>2</v>
      </c>
      <c r="AN1808">
        <f>""</f>
      </c>
      <c r="AO1808" t="n">
        <v>0</v>
      </c>
      <c r="AP1808">
        <f>N(AP1807)+$AO1808</f>
        <v>13</v>
      </c>
      <c r="AR1808">
        <f>IF(OR($AF1808=1,$AH1808=1),1,0)</f>
        <v>0</v>
      </c>
      <c r="AS1808">
        <f>N(AS1807)+$AR1808</f>
        <v>10</v>
      </c>
    </row>
    <row r="1809" s="127">
      <c r="A1809">
        <f>IF(对接源_02物料!$C609="","",对接源_02物料!$C609)</f>
      </c>
      <c r="B1809">
        <f>IF(A1809="",0,IF(MATCH(A1809,$A$4:$A$2403,0)=ROW()-3,1,0))</f>
        <v>0</v>
      </c>
      <c r="C1809">
        <f>N(C1808)+B1809</f>
        <v>26</v>
      </c>
      <c r="K1809">
        <f>IF(OR($K$1="",对接源_02物料!$C609="",对接源_02物料!$C609&lt;&gt;$K$1,对接源_02物料!$B609=""),0,IF(OR(N(对接源_02物料!$B609)&lt;$K$2,N(对接源_02物料!$B609)&gt;$K$3),0,1))</f>
        <v>0</v>
      </c>
      <c r="L1809">
        <f>IF(OR($L$1="",对接源_02物料!$C609="",对接源_02物料!$C609&lt;&gt;$L$1,对接源_02物料!$B609=""),0,IF(OR(N(对接源_02物料!$B609)&lt;$L$2,N(对接源_02物料!$B609)&gt;$L$3),0,1))</f>
        <v>0</v>
      </c>
      <c r="M1809">
        <f>IF(OR($M$1="",对接源_02物料!$C609="",对接源_02物料!$C609&lt;&gt;$M$1,对接源_02物料!$B609=""),0,IF(OR(N(对接源_02物料!$B609)&lt;$M$2,N(对接源_02物料!$B609)&gt;$M$3),0,1))</f>
        <v>0</v>
      </c>
      <c r="N1809">
        <f>IF(OR($N$1="",对接源_02物料!$C609="",对接源_02物料!$C609&lt;&gt;$N$1,对接源_02物料!$B609=""),0,IF(OR(N(对接源_02物料!$B609)&lt;$N$2,N(对接源_02物料!$B609)&gt;$N$3),0,1))</f>
        <v>0</v>
      </c>
      <c r="P1809">
        <f>IF(AND($K1809=1,AND(对接源_02物料!$X609="公司筐",N(对接源_02物料!$T609)&lt;&gt;0)),1,0)</f>
        <v>0</v>
      </c>
      <c r="Q1809">
        <f>N(Q1808)+$P1809</f>
        <v>14</v>
      </c>
      <c r="R1809">
        <f>IF(AND($K1809=1,AND(对接源_02物料!$X609="公司筐",N(对接源_02物料!$U609)&lt;&gt;0)),1,0)</f>
        <v>0</v>
      </c>
      <c r="S1809">
        <f>N(S1808)+$R1809</f>
        <v>1</v>
      </c>
      <c r="T1809">
        <f>IF(AND($K1809=1,AND(对接源_02物料!$X609="公司筐",N(对接源_02物料!$V609)&lt;&gt;0)),1,0)</f>
        <v>0</v>
      </c>
      <c r="U1809">
        <f>N(U1808)+$T1809</f>
        <v>47</v>
      </c>
      <c r="V1809">
        <f>IF(AND($L1809=1,AND(对接源_02物料!$X609="自备筐",N(对接源_02物料!$V609)&lt;&gt;0)),1,0)</f>
        <v>0</v>
      </c>
      <c r="W1809">
        <f>N(W1808)+$V1809</f>
        <v>11</v>
      </c>
      <c r="X1809">
        <f>IF(AND($L1809=1,AND(对接源_02物料!$X609="自备筐",N(对接源_02物料!$T609)&lt;&gt;0)),1,0)</f>
        <v>0</v>
      </c>
      <c r="Y1809">
        <f>N(Y1808)+$X1809</f>
        <v>0</v>
      </c>
      <c r="Z1809">
        <f>IF(AND($M1809=1,对接源_02物料!$D609="原料入库"),1,0)</f>
        <v>0</v>
      </c>
      <c r="AA1809">
        <f>N(AA1808)+$Z1809</f>
        <v>24</v>
      </c>
      <c r="AB1809">
        <f>IF(AND($M1809=1,LEFT(对接源_02物料!$D609,4)="原料出库"),1,0)</f>
        <v>0</v>
      </c>
      <c r="AC1809">
        <f>N(AC1808)+$AB1809</f>
        <v>0</v>
      </c>
      <c r="AD1809">
        <f>IF(AND($M1809=1,LEFT(对接源_02物料!$D609,4)="成品出库"),1,0)</f>
        <v>0</v>
      </c>
      <c r="AE1809">
        <f>N(AE1808)+$AD1809</f>
        <v>0</v>
      </c>
      <c r="AF1809">
        <f>IF(AND($N1809=1,AND(LEFT(对接源_02物料!$D609,4)="包装物料",N(对接源_02物料!$K609)&lt;&gt;0)),1,0)</f>
        <v>0</v>
      </c>
      <c r="AG1809">
        <f>N(AG1808)+$AF1809</f>
        <v>10</v>
      </c>
      <c r="AH1809">
        <f>IF(AND($N1809=1,AND(对接源_02物料!$D609="周转筐－销售出库",N(对接源_02物料!$K609)&lt;&gt;0)),1,0)</f>
        <v>0</v>
      </c>
      <c r="AI1809">
        <f>N(AI1808)+$AH1809</f>
        <v>0</v>
      </c>
      <c r="AL1809" t="n">
        <v>0</v>
      </c>
      <c r="AM1809">
        <f>N(AM1808)+$AL1809</f>
        <v>2</v>
      </c>
      <c r="AN1809">
        <f>""</f>
      </c>
      <c r="AO1809" t="n">
        <v>0</v>
      </c>
      <c r="AP1809">
        <f>N(AP1808)+$AO1809</f>
        <v>13</v>
      </c>
      <c r="AR1809">
        <f>IF(OR($AF1809=1,$AH1809=1),1,0)</f>
        <v>0</v>
      </c>
      <c r="AS1809">
        <f>N(AS1808)+$AR1809</f>
        <v>10</v>
      </c>
    </row>
    <row r="1810" s="127">
      <c r="A1810">
        <f>IF(对接源_02物料!$C610="","",对接源_02物料!$C610)</f>
      </c>
      <c r="B1810">
        <f>IF(A1810="",0,IF(MATCH(A1810,$A$4:$A$2403,0)=ROW()-3,1,0))</f>
        <v>0</v>
      </c>
      <c r="C1810">
        <f>N(C1809)+B1810</f>
        <v>26</v>
      </c>
      <c r="K1810">
        <f>IF(OR($K$1="",对接源_02物料!$C610="",对接源_02物料!$C610&lt;&gt;$K$1,对接源_02物料!$B610=""),0,IF(OR(N(对接源_02物料!$B610)&lt;$K$2,N(对接源_02物料!$B610)&gt;$K$3),0,1))</f>
        <v>0</v>
      </c>
      <c r="L1810">
        <f>IF(OR($L$1="",对接源_02物料!$C610="",对接源_02物料!$C610&lt;&gt;$L$1,对接源_02物料!$B610=""),0,IF(OR(N(对接源_02物料!$B610)&lt;$L$2,N(对接源_02物料!$B610)&gt;$L$3),0,1))</f>
        <v>0</v>
      </c>
      <c r="M1810">
        <f>IF(OR($M$1="",对接源_02物料!$C610="",对接源_02物料!$C610&lt;&gt;$M$1,对接源_02物料!$B610=""),0,IF(OR(N(对接源_02物料!$B610)&lt;$M$2,N(对接源_02物料!$B610)&gt;$M$3),0,1))</f>
        <v>0</v>
      </c>
      <c r="N1810">
        <f>IF(OR($N$1="",对接源_02物料!$C610="",对接源_02物料!$C610&lt;&gt;$N$1,对接源_02物料!$B610=""),0,IF(OR(N(对接源_02物料!$B610)&lt;$N$2,N(对接源_02物料!$B610)&gt;$N$3),0,1))</f>
        <v>0</v>
      </c>
      <c r="P1810">
        <f>IF(AND($K1810=1,AND(对接源_02物料!$X610="公司筐",N(对接源_02物料!$T610)&lt;&gt;0)),1,0)</f>
        <v>0</v>
      </c>
      <c r="Q1810">
        <f>N(Q1809)+$P1810</f>
        <v>14</v>
      </c>
      <c r="R1810">
        <f>IF(AND($K1810=1,AND(对接源_02物料!$X610="公司筐",N(对接源_02物料!$U610)&lt;&gt;0)),1,0)</f>
        <v>0</v>
      </c>
      <c r="S1810">
        <f>N(S1809)+$R1810</f>
        <v>1</v>
      </c>
      <c r="T1810">
        <f>IF(AND($K1810=1,AND(对接源_02物料!$X610="公司筐",N(对接源_02物料!$V610)&lt;&gt;0)),1,0)</f>
        <v>0</v>
      </c>
      <c r="U1810">
        <f>N(U1809)+$T1810</f>
        <v>47</v>
      </c>
      <c r="V1810">
        <f>IF(AND($L1810=1,AND(对接源_02物料!$X610="自备筐",N(对接源_02物料!$V610)&lt;&gt;0)),1,0)</f>
        <v>0</v>
      </c>
      <c r="W1810">
        <f>N(W1809)+$V1810</f>
        <v>11</v>
      </c>
      <c r="X1810">
        <f>IF(AND($L1810=1,AND(对接源_02物料!$X610="自备筐",N(对接源_02物料!$T610)&lt;&gt;0)),1,0)</f>
        <v>0</v>
      </c>
      <c r="Y1810">
        <f>N(Y1809)+$X1810</f>
        <v>0</v>
      </c>
      <c r="Z1810">
        <f>IF(AND($M1810=1,对接源_02物料!$D610="原料入库"),1,0)</f>
        <v>0</v>
      </c>
      <c r="AA1810">
        <f>N(AA1809)+$Z1810</f>
        <v>24</v>
      </c>
      <c r="AB1810">
        <f>IF(AND($M1810=1,LEFT(对接源_02物料!$D610,4)="原料出库"),1,0)</f>
        <v>0</v>
      </c>
      <c r="AC1810">
        <f>N(AC1809)+$AB1810</f>
        <v>0</v>
      </c>
      <c r="AD1810">
        <f>IF(AND($M1810=1,LEFT(对接源_02物料!$D610,4)="成品出库"),1,0)</f>
        <v>0</v>
      </c>
      <c r="AE1810">
        <f>N(AE1809)+$AD1810</f>
        <v>0</v>
      </c>
      <c r="AF1810">
        <f>IF(AND($N1810=1,AND(LEFT(对接源_02物料!$D610,4)="包装物料",N(对接源_02物料!$K610)&lt;&gt;0)),1,0)</f>
        <v>0</v>
      </c>
      <c r="AG1810">
        <f>N(AG1809)+$AF1810</f>
        <v>10</v>
      </c>
      <c r="AH1810">
        <f>IF(AND($N1810=1,AND(对接源_02物料!$D610="周转筐－销售出库",N(对接源_02物料!$K610)&lt;&gt;0)),1,0)</f>
        <v>0</v>
      </c>
      <c r="AI1810">
        <f>N(AI1809)+$AH1810</f>
        <v>0</v>
      </c>
      <c r="AL1810" t="n">
        <v>0</v>
      </c>
      <c r="AM1810">
        <f>N(AM1809)+$AL1810</f>
        <v>2</v>
      </c>
      <c r="AN1810">
        <f>""</f>
      </c>
      <c r="AO1810" t="n">
        <v>0</v>
      </c>
      <c r="AP1810">
        <f>N(AP1809)+$AO1810</f>
        <v>13</v>
      </c>
      <c r="AR1810">
        <f>IF(OR($AF1810=1,$AH1810=1),1,0)</f>
        <v>0</v>
      </c>
      <c r="AS1810">
        <f>N(AS1809)+$AR1810</f>
        <v>10</v>
      </c>
    </row>
    <row r="1811" s="127">
      <c r="A1811">
        <f>IF(对接源_02物料!$C611="","",对接源_02物料!$C611)</f>
      </c>
      <c r="B1811">
        <f>IF(A1811="",0,IF(MATCH(A1811,$A$4:$A$2403,0)=ROW()-3,1,0))</f>
        <v>0</v>
      </c>
      <c r="C1811">
        <f>N(C1810)+B1811</f>
        <v>26</v>
      </c>
      <c r="K1811">
        <f>IF(OR($K$1="",对接源_02物料!$C611="",对接源_02物料!$C611&lt;&gt;$K$1,对接源_02物料!$B611=""),0,IF(OR(N(对接源_02物料!$B611)&lt;$K$2,N(对接源_02物料!$B611)&gt;$K$3),0,1))</f>
        <v>0</v>
      </c>
      <c r="L1811">
        <f>IF(OR($L$1="",对接源_02物料!$C611="",对接源_02物料!$C611&lt;&gt;$L$1,对接源_02物料!$B611=""),0,IF(OR(N(对接源_02物料!$B611)&lt;$L$2,N(对接源_02物料!$B611)&gt;$L$3),0,1))</f>
        <v>0</v>
      </c>
      <c r="M1811">
        <f>IF(OR($M$1="",对接源_02物料!$C611="",对接源_02物料!$C611&lt;&gt;$M$1,对接源_02物料!$B611=""),0,IF(OR(N(对接源_02物料!$B611)&lt;$M$2,N(对接源_02物料!$B611)&gt;$M$3),0,1))</f>
        <v>0</v>
      </c>
      <c r="N1811">
        <f>IF(OR($N$1="",对接源_02物料!$C611="",对接源_02物料!$C611&lt;&gt;$N$1,对接源_02物料!$B611=""),0,IF(OR(N(对接源_02物料!$B611)&lt;$N$2,N(对接源_02物料!$B611)&gt;$N$3),0,1))</f>
        <v>0</v>
      </c>
      <c r="P1811">
        <f>IF(AND($K1811=1,AND(对接源_02物料!$X611="公司筐",N(对接源_02物料!$T611)&lt;&gt;0)),1,0)</f>
        <v>0</v>
      </c>
      <c r="Q1811">
        <f>N(Q1810)+$P1811</f>
        <v>14</v>
      </c>
      <c r="R1811">
        <f>IF(AND($K1811=1,AND(对接源_02物料!$X611="公司筐",N(对接源_02物料!$U611)&lt;&gt;0)),1,0)</f>
        <v>0</v>
      </c>
      <c r="S1811">
        <f>N(S1810)+$R1811</f>
        <v>1</v>
      </c>
      <c r="T1811">
        <f>IF(AND($K1811=1,AND(对接源_02物料!$X611="公司筐",N(对接源_02物料!$V611)&lt;&gt;0)),1,0)</f>
        <v>0</v>
      </c>
      <c r="U1811">
        <f>N(U1810)+$T1811</f>
        <v>47</v>
      </c>
      <c r="V1811">
        <f>IF(AND($L1811=1,AND(对接源_02物料!$X611="自备筐",N(对接源_02物料!$V611)&lt;&gt;0)),1,0)</f>
        <v>0</v>
      </c>
      <c r="W1811">
        <f>N(W1810)+$V1811</f>
        <v>11</v>
      </c>
      <c r="X1811">
        <f>IF(AND($L1811=1,AND(对接源_02物料!$X611="自备筐",N(对接源_02物料!$T611)&lt;&gt;0)),1,0)</f>
        <v>0</v>
      </c>
      <c r="Y1811">
        <f>N(Y1810)+$X1811</f>
        <v>0</v>
      </c>
      <c r="Z1811">
        <f>IF(AND($M1811=1,对接源_02物料!$D611="原料入库"),1,0)</f>
        <v>0</v>
      </c>
      <c r="AA1811">
        <f>N(AA1810)+$Z1811</f>
        <v>24</v>
      </c>
      <c r="AB1811">
        <f>IF(AND($M1811=1,LEFT(对接源_02物料!$D611,4)="原料出库"),1,0)</f>
        <v>0</v>
      </c>
      <c r="AC1811">
        <f>N(AC1810)+$AB1811</f>
        <v>0</v>
      </c>
      <c r="AD1811">
        <f>IF(AND($M1811=1,LEFT(对接源_02物料!$D611,4)="成品出库"),1,0)</f>
        <v>0</v>
      </c>
      <c r="AE1811">
        <f>N(AE1810)+$AD1811</f>
        <v>0</v>
      </c>
      <c r="AF1811">
        <f>IF(AND($N1811=1,AND(LEFT(对接源_02物料!$D611,4)="包装物料",N(对接源_02物料!$K611)&lt;&gt;0)),1,0)</f>
        <v>0</v>
      </c>
      <c r="AG1811">
        <f>N(AG1810)+$AF1811</f>
        <v>10</v>
      </c>
      <c r="AH1811">
        <f>IF(AND($N1811=1,AND(对接源_02物料!$D611="周转筐－销售出库",N(对接源_02物料!$K611)&lt;&gt;0)),1,0)</f>
        <v>0</v>
      </c>
      <c r="AI1811">
        <f>N(AI1810)+$AH1811</f>
        <v>0</v>
      </c>
      <c r="AL1811" t="n">
        <v>0</v>
      </c>
      <c r="AM1811">
        <f>N(AM1810)+$AL1811</f>
        <v>2</v>
      </c>
      <c r="AN1811">
        <f>""</f>
      </c>
      <c r="AO1811" t="n">
        <v>0</v>
      </c>
      <c r="AP1811">
        <f>N(AP1810)+$AO1811</f>
        <v>13</v>
      </c>
      <c r="AR1811">
        <f>IF(OR($AF1811=1,$AH1811=1),1,0)</f>
        <v>0</v>
      </c>
      <c r="AS1811">
        <f>N(AS1810)+$AR1811</f>
        <v>10</v>
      </c>
    </row>
    <row r="1812" s="127">
      <c r="A1812">
        <f>IF(对接源_02物料!$C612="","",对接源_02物料!$C612)</f>
      </c>
      <c r="B1812">
        <f>IF(A1812="",0,IF(MATCH(A1812,$A$4:$A$2403,0)=ROW()-3,1,0))</f>
        <v>0</v>
      </c>
      <c r="C1812">
        <f>N(C1811)+B1812</f>
        <v>26</v>
      </c>
      <c r="K1812">
        <f>IF(OR($K$1="",对接源_02物料!$C612="",对接源_02物料!$C612&lt;&gt;$K$1,对接源_02物料!$B612=""),0,IF(OR(N(对接源_02物料!$B612)&lt;$K$2,N(对接源_02物料!$B612)&gt;$K$3),0,1))</f>
        <v>0</v>
      </c>
      <c r="L1812">
        <f>IF(OR($L$1="",对接源_02物料!$C612="",对接源_02物料!$C612&lt;&gt;$L$1,对接源_02物料!$B612=""),0,IF(OR(N(对接源_02物料!$B612)&lt;$L$2,N(对接源_02物料!$B612)&gt;$L$3),0,1))</f>
        <v>0</v>
      </c>
      <c r="M1812">
        <f>IF(OR($M$1="",对接源_02物料!$C612="",对接源_02物料!$C612&lt;&gt;$M$1,对接源_02物料!$B612=""),0,IF(OR(N(对接源_02物料!$B612)&lt;$M$2,N(对接源_02物料!$B612)&gt;$M$3),0,1))</f>
        <v>0</v>
      </c>
      <c r="N1812">
        <f>IF(OR($N$1="",对接源_02物料!$C612="",对接源_02物料!$C612&lt;&gt;$N$1,对接源_02物料!$B612=""),0,IF(OR(N(对接源_02物料!$B612)&lt;$N$2,N(对接源_02物料!$B612)&gt;$N$3),0,1))</f>
        <v>0</v>
      </c>
      <c r="P1812">
        <f>IF(AND($K1812=1,AND(对接源_02物料!$X612="公司筐",N(对接源_02物料!$T612)&lt;&gt;0)),1,0)</f>
        <v>0</v>
      </c>
      <c r="Q1812">
        <f>N(Q1811)+$P1812</f>
        <v>14</v>
      </c>
      <c r="R1812">
        <f>IF(AND($K1812=1,AND(对接源_02物料!$X612="公司筐",N(对接源_02物料!$U612)&lt;&gt;0)),1,0)</f>
        <v>0</v>
      </c>
      <c r="S1812">
        <f>N(S1811)+$R1812</f>
        <v>1</v>
      </c>
      <c r="T1812">
        <f>IF(AND($K1812=1,AND(对接源_02物料!$X612="公司筐",N(对接源_02物料!$V612)&lt;&gt;0)),1,0)</f>
        <v>0</v>
      </c>
      <c r="U1812">
        <f>N(U1811)+$T1812</f>
        <v>47</v>
      </c>
      <c r="V1812">
        <f>IF(AND($L1812=1,AND(对接源_02物料!$X612="自备筐",N(对接源_02物料!$V612)&lt;&gt;0)),1,0)</f>
        <v>0</v>
      </c>
      <c r="W1812">
        <f>N(W1811)+$V1812</f>
        <v>11</v>
      </c>
      <c r="X1812">
        <f>IF(AND($L1812=1,AND(对接源_02物料!$X612="自备筐",N(对接源_02物料!$T612)&lt;&gt;0)),1,0)</f>
        <v>0</v>
      </c>
      <c r="Y1812">
        <f>N(Y1811)+$X1812</f>
        <v>0</v>
      </c>
      <c r="Z1812">
        <f>IF(AND($M1812=1,对接源_02物料!$D612="原料入库"),1,0)</f>
        <v>0</v>
      </c>
      <c r="AA1812">
        <f>N(AA1811)+$Z1812</f>
        <v>24</v>
      </c>
      <c r="AB1812">
        <f>IF(AND($M1812=1,LEFT(对接源_02物料!$D612,4)="原料出库"),1,0)</f>
        <v>0</v>
      </c>
      <c r="AC1812">
        <f>N(AC1811)+$AB1812</f>
        <v>0</v>
      </c>
      <c r="AD1812">
        <f>IF(AND($M1812=1,LEFT(对接源_02物料!$D612,4)="成品出库"),1,0)</f>
        <v>0</v>
      </c>
      <c r="AE1812">
        <f>N(AE1811)+$AD1812</f>
        <v>0</v>
      </c>
      <c r="AF1812">
        <f>IF(AND($N1812=1,AND(LEFT(对接源_02物料!$D612,4)="包装物料",N(对接源_02物料!$K612)&lt;&gt;0)),1,0)</f>
        <v>0</v>
      </c>
      <c r="AG1812">
        <f>N(AG1811)+$AF1812</f>
        <v>10</v>
      </c>
      <c r="AH1812">
        <f>IF(AND($N1812=1,AND(对接源_02物料!$D612="周转筐－销售出库",N(对接源_02物料!$K612)&lt;&gt;0)),1,0)</f>
        <v>0</v>
      </c>
      <c r="AI1812">
        <f>N(AI1811)+$AH1812</f>
        <v>0</v>
      </c>
      <c r="AL1812" t="n">
        <v>0</v>
      </c>
      <c r="AM1812">
        <f>N(AM1811)+$AL1812</f>
        <v>2</v>
      </c>
      <c r="AN1812">
        <f>""</f>
      </c>
      <c r="AO1812" t="n">
        <v>0</v>
      </c>
      <c r="AP1812">
        <f>N(AP1811)+$AO1812</f>
        <v>13</v>
      </c>
      <c r="AR1812">
        <f>IF(OR($AF1812=1,$AH1812=1),1,0)</f>
        <v>0</v>
      </c>
      <c r="AS1812">
        <f>N(AS1811)+$AR1812</f>
        <v>10</v>
      </c>
    </row>
    <row r="1813" s="127">
      <c r="A1813">
        <f>IF(对接源_02物料!$C613="","",对接源_02物料!$C613)</f>
      </c>
      <c r="B1813">
        <f>IF(A1813="",0,IF(MATCH(A1813,$A$4:$A$2403,0)=ROW()-3,1,0))</f>
        <v>0</v>
      </c>
      <c r="C1813">
        <f>N(C1812)+B1813</f>
        <v>26</v>
      </c>
      <c r="K1813">
        <f>IF(OR($K$1="",对接源_02物料!$C613="",对接源_02物料!$C613&lt;&gt;$K$1,对接源_02物料!$B613=""),0,IF(OR(N(对接源_02物料!$B613)&lt;$K$2,N(对接源_02物料!$B613)&gt;$K$3),0,1))</f>
        <v>0</v>
      </c>
      <c r="L1813">
        <f>IF(OR($L$1="",对接源_02物料!$C613="",对接源_02物料!$C613&lt;&gt;$L$1,对接源_02物料!$B613=""),0,IF(OR(N(对接源_02物料!$B613)&lt;$L$2,N(对接源_02物料!$B613)&gt;$L$3),0,1))</f>
        <v>0</v>
      </c>
      <c r="M1813">
        <f>IF(OR($M$1="",对接源_02物料!$C613="",对接源_02物料!$C613&lt;&gt;$M$1,对接源_02物料!$B613=""),0,IF(OR(N(对接源_02物料!$B613)&lt;$M$2,N(对接源_02物料!$B613)&gt;$M$3),0,1))</f>
        <v>0</v>
      </c>
      <c r="N1813">
        <f>IF(OR($N$1="",对接源_02物料!$C613="",对接源_02物料!$C613&lt;&gt;$N$1,对接源_02物料!$B613=""),0,IF(OR(N(对接源_02物料!$B613)&lt;$N$2,N(对接源_02物料!$B613)&gt;$N$3),0,1))</f>
        <v>0</v>
      </c>
      <c r="P1813">
        <f>IF(AND($K1813=1,AND(对接源_02物料!$X613="公司筐",N(对接源_02物料!$T613)&lt;&gt;0)),1,0)</f>
        <v>0</v>
      </c>
      <c r="Q1813">
        <f>N(Q1812)+$P1813</f>
        <v>14</v>
      </c>
      <c r="R1813">
        <f>IF(AND($K1813=1,AND(对接源_02物料!$X613="公司筐",N(对接源_02物料!$U613)&lt;&gt;0)),1,0)</f>
        <v>0</v>
      </c>
      <c r="S1813">
        <f>N(S1812)+$R1813</f>
        <v>1</v>
      </c>
      <c r="T1813">
        <f>IF(AND($K1813=1,AND(对接源_02物料!$X613="公司筐",N(对接源_02物料!$V613)&lt;&gt;0)),1,0)</f>
        <v>0</v>
      </c>
      <c r="U1813">
        <f>N(U1812)+$T1813</f>
        <v>47</v>
      </c>
      <c r="V1813">
        <f>IF(AND($L1813=1,AND(对接源_02物料!$X613="自备筐",N(对接源_02物料!$V613)&lt;&gt;0)),1,0)</f>
        <v>0</v>
      </c>
      <c r="W1813">
        <f>N(W1812)+$V1813</f>
        <v>11</v>
      </c>
      <c r="X1813">
        <f>IF(AND($L1813=1,AND(对接源_02物料!$X613="自备筐",N(对接源_02物料!$T613)&lt;&gt;0)),1,0)</f>
        <v>0</v>
      </c>
      <c r="Y1813">
        <f>N(Y1812)+$X1813</f>
        <v>0</v>
      </c>
      <c r="Z1813">
        <f>IF(AND($M1813=1,对接源_02物料!$D613="原料入库"),1,0)</f>
        <v>0</v>
      </c>
      <c r="AA1813">
        <f>N(AA1812)+$Z1813</f>
        <v>24</v>
      </c>
      <c r="AB1813">
        <f>IF(AND($M1813=1,LEFT(对接源_02物料!$D613,4)="原料出库"),1,0)</f>
        <v>0</v>
      </c>
      <c r="AC1813">
        <f>N(AC1812)+$AB1813</f>
        <v>0</v>
      </c>
      <c r="AD1813">
        <f>IF(AND($M1813=1,LEFT(对接源_02物料!$D613,4)="成品出库"),1,0)</f>
        <v>0</v>
      </c>
      <c r="AE1813">
        <f>N(AE1812)+$AD1813</f>
        <v>0</v>
      </c>
      <c r="AF1813">
        <f>IF(AND($N1813=1,AND(LEFT(对接源_02物料!$D613,4)="包装物料",N(对接源_02物料!$K613)&lt;&gt;0)),1,0)</f>
        <v>0</v>
      </c>
      <c r="AG1813">
        <f>N(AG1812)+$AF1813</f>
        <v>10</v>
      </c>
      <c r="AH1813">
        <f>IF(AND($N1813=1,AND(对接源_02物料!$D613="周转筐－销售出库",N(对接源_02物料!$K613)&lt;&gt;0)),1,0)</f>
        <v>0</v>
      </c>
      <c r="AI1813">
        <f>N(AI1812)+$AH1813</f>
        <v>0</v>
      </c>
      <c r="AL1813" t="n">
        <v>0</v>
      </c>
      <c r="AM1813">
        <f>N(AM1812)+$AL1813</f>
        <v>2</v>
      </c>
      <c r="AN1813">
        <f>""</f>
      </c>
      <c r="AO1813" t="n">
        <v>0</v>
      </c>
      <c r="AP1813">
        <f>N(AP1812)+$AO1813</f>
        <v>13</v>
      </c>
      <c r="AR1813">
        <f>IF(OR($AF1813=1,$AH1813=1),1,0)</f>
        <v>0</v>
      </c>
      <c r="AS1813">
        <f>N(AS1812)+$AR1813</f>
        <v>10</v>
      </c>
    </row>
    <row r="1814" s="127">
      <c r="A1814">
        <f>IF(对接源_02物料!$C614="","",对接源_02物料!$C614)</f>
      </c>
      <c r="B1814">
        <f>IF(A1814="",0,IF(MATCH(A1814,$A$4:$A$2403,0)=ROW()-3,1,0))</f>
        <v>0</v>
      </c>
      <c r="C1814">
        <f>N(C1813)+B1814</f>
        <v>26</v>
      </c>
      <c r="K1814">
        <f>IF(OR($K$1="",对接源_02物料!$C614="",对接源_02物料!$C614&lt;&gt;$K$1,对接源_02物料!$B614=""),0,IF(OR(N(对接源_02物料!$B614)&lt;$K$2,N(对接源_02物料!$B614)&gt;$K$3),0,1))</f>
        <v>0</v>
      </c>
      <c r="L1814">
        <f>IF(OR($L$1="",对接源_02物料!$C614="",对接源_02物料!$C614&lt;&gt;$L$1,对接源_02物料!$B614=""),0,IF(OR(N(对接源_02物料!$B614)&lt;$L$2,N(对接源_02物料!$B614)&gt;$L$3),0,1))</f>
        <v>0</v>
      </c>
      <c r="M1814">
        <f>IF(OR($M$1="",对接源_02物料!$C614="",对接源_02物料!$C614&lt;&gt;$M$1,对接源_02物料!$B614=""),0,IF(OR(N(对接源_02物料!$B614)&lt;$M$2,N(对接源_02物料!$B614)&gt;$M$3),0,1))</f>
        <v>0</v>
      </c>
      <c r="N1814">
        <f>IF(OR($N$1="",对接源_02物料!$C614="",对接源_02物料!$C614&lt;&gt;$N$1,对接源_02物料!$B614=""),0,IF(OR(N(对接源_02物料!$B614)&lt;$N$2,N(对接源_02物料!$B614)&gt;$N$3),0,1))</f>
        <v>0</v>
      </c>
      <c r="P1814">
        <f>IF(AND($K1814=1,AND(对接源_02物料!$X614="公司筐",N(对接源_02物料!$T614)&lt;&gt;0)),1,0)</f>
        <v>0</v>
      </c>
      <c r="Q1814">
        <f>N(Q1813)+$P1814</f>
        <v>14</v>
      </c>
      <c r="R1814">
        <f>IF(AND($K1814=1,AND(对接源_02物料!$X614="公司筐",N(对接源_02物料!$U614)&lt;&gt;0)),1,0)</f>
        <v>0</v>
      </c>
      <c r="S1814">
        <f>N(S1813)+$R1814</f>
        <v>1</v>
      </c>
      <c r="T1814">
        <f>IF(AND($K1814=1,AND(对接源_02物料!$X614="公司筐",N(对接源_02物料!$V614)&lt;&gt;0)),1,0)</f>
        <v>0</v>
      </c>
      <c r="U1814">
        <f>N(U1813)+$T1814</f>
        <v>47</v>
      </c>
      <c r="V1814">
        <f>IF(AND($L1814=1,AND(对接源_02物料!$X614="自备筐",N(对接源_02物料!$V614)&lt;&gt;0)),1,0)</f>
        <v>0</v>
      </c>
      <c r="W1814">
        <f>N(W1813)+$V1814</f>
        <v>11</v>
      </c>
      <c r="X1814">
        <f>IF(AND($L1814=1,AND(对接源_02物料!$X614="自备筐",N(对接源_02物料!$T614)&lt;&gt;0)),1,0)</f>
        <v>0</v>
      </c>
      <c r="Y1814">
        <f>N(Y1813)+$X1814</f>
        <v>0</v>
      </c>
      <c r="Z1814">
        <f>IF(AND($M1814=1,对接源_02物料!$D614="原料入库"),1,0)</f>
        <v>0</v>
      </c>
      <c r="AA1814">
        <f>N(AA1813)+$Z1814</f>
        <v>24</v>
      </c>
      <c r="AB1814">
        <f>IF(AND($M1814=1,LEFT(对接源_02物料!$D614,4)="原料出库"),1,0)</f>
        <v>0</v>
      </c>
      <c r="AC1814">
        <f>N(AC1813)+$AB1814</f>
        <v>0</v>
      </c>
      <c r="AD1814">
        <f>IF(AND($M1814=1,LEFT(对接源_02物料!$D614,4)="成品出库"),1,0)</f>
        <v>0</v>
      </c>
      <c r="AE1814">
        <f>N(AE1813)+$AD1814</f>
        <v>0</v>
      </c>
      <c r="AF1814">
        <f>IF(AND($N1814=1,AND(LEFT(对接源_02物料!$D614,4)="包装物料",N(对接源_02物料!$K614)&lt;&gt;0)),1,0)</f>
        <v>0</v>
      </c>
      <c r="AG1814">
        <f>N(AG1813)+$AF1814</f>
        <v>10</v>
      </c>
      <c r="AH1814">
        <f>IF(AND($N1814=1,AND(对接源_02物料!$D614="周转筐－销售出库",N(对接源_02物料!$K614)&lt;&gt;0)),1,0)</f>
        <v>0</v>
      </c>
      <c r="AI1814">
        <f>N(AI1813)+$AH1814</f>
        <v>0</v>
      </c>
      <c r="AL1814" t="n">
        <v>0</v>
      </c>
      <c r="AM1814">
        <f>N(AM1813)+$AL1814</f>
        <v>2</v>
      </c>
      <c r="AN1814">
        <f>""</f>
      </c>
      <c r="AO1814" t="n">
        <v>0</v>
      </c>
      <c r="AP1814">
        <f>N(AP1813)+$AO1814</f>
        <v>13</v>
      </c>
      <c r="AR1814">
        <f>IF(OR($AF1814=1,$AH1814=1),1,0)</f>
        <v>0</v>
      </c>
      <c r="AS1814">
        <f>N(AS1813)+$AR1814</f>
        <v>10</v>
      </c>
    </row>
    <row r="1815" s="127">
      <c r="A1815">
        <f>IF(对接源_02物料!$C615="","",对接源_02物料!$C615)</f>
      </c>
      <c r="B1815">
        <f>IF(A1815="",0,IF(MATCH(A1815,$A$4:$A$2403,0)=ROW()-3,1,0))</f>
        <v>0</v>
      </c>
      <c r="C1815">
        <f>N(C1814)+B1815</f>
        <v>26</v>
      </c>
      <c r="K1815">
        <f>IF(OR($K$1="",对接源_02物料!$C615="",对接源_02物料!$C615&lt;&gt;$K$1,对接源_02物料!$B615=""),0,IF(OR(N(对接源_02物料!$B615)&lt;$K$2,N(对接源_02物料!$B615)&gt;$K$3),0,1))</f>
        <v>0</v>
      </c>
      <c r="L1815">
        <f>IF(OR($L$1="",对接源_02物料!$C615="",对接源_02物料!$C615&lt;&gt;$L$1,对接源_02物料!$B615=""),0,IF(OR(N(对接源_02物料!$B615)&lt;$L$2,N(对接源_02物料!$B615)&gt;$L$3),0,1))</f>
        <v>0</v>
      </c>
      <c r="M1815">
        <f>IF(OR($M$1="",对接源_02物料!$C615="",对接源_02物料!$C615&lt;&gt;$M$1,对接源_02物料!$B615=""),0,IF(OR(N(对接源_02物料!$B615)&lt;$M$2,N(对接源_02物料!$B615)&gt;$M$3),0,1))</f>
        <v>0</v>
      </c>
      <c r="N1815">
        <f>IF(OR($N$1="",对接源_02物料!$C615="",对接源_02物料!$C615&lt;&gt;$N$1,对接源_02物料!$B615=""),0,IF(OR(N(对接源_02物料!$B615)&lt;$N$2,N(对接源_02物料!$B615)&gt;$N$3),0,1))</f>
        <v>0</v>
      </c>
      <c r="P1815">
        <f>IF(AND($K1815=1,AND(对接源_02物料!$X615="公司筐",N(对接源_02物料!$T615)&lt;&gt;0)),1,0)</f>
        <v>0</v>
      </c>
      <c r="Q1815">
        <f>N(Q1814)+$P1815</f>
        <v>14</v>
      </c>
      <c r="R1815">
        <f>IF(AND($K1815=1,AND(对接源_02物料!$X615="公司筐",N(对接源_02物料!$U615)&lt;&gt;0)),1,0)</f>
        <v>0</v>
      </c>
      <c r="S1815">
        <f>N(S1814)+$R1815</f>
        <v>1</v>
      </c>
      <c r="T1815">
        <f>IF(AND($K1815=1,AND(对接源_02物料!$X615="公司筐",N(对接源_02物料!$V615)&lt;&gt;0)),1,0)</f>
        <v>0</v>
      </c>
      <c r="U1815">
        <f>N(U1814)+$T1815</f>
        <v>47</v>
      </c>
      <c r="V1815">
        <f>IF(AND($L1815=1,AND(对接源_02物料!$X615="自备筐",N(对接源_02物料!$V615)&lt;&gt;0)),1,0)</f>
        <v>0</v>
      </c>
      <c r="W1815">
        <f>N(W1814)+$V1815</f>
        <v>11</v>
      </c>
      <c r="X1815">
        <f>IF(AND($L1815=1,AND(对接源_02物料!$X615="自备筐",N(对接源_02物料!$T615)&lt;&gt;0)),1,0)</f>
        <v>0</v>
      </c>
      <c r="Y1815">
        <f>N(Y1814)+$X1815</f>
        <v>0</v>
      </c>
      <c r="Z1815">
        <f>IF(AND($M1815=1,对接源_02物料!$D615="原料入库"),1,0)</f>
        <v>0</v>
      </c>
      <c r="AA1815">
        <f>N(AA1814)+$Z1815</f>
        <v>24</v>
      </c>
      <c r="AB1815">
        <f>IF(AND($M1815=1,LEFT(对接源_02物料!$D615,4)="原料出库"),1,0)</f>
        <v>0</v>
      </c>
      <c r="AC1815">
        <f>N(AC1814)+$AB1815</f>
        <v>0</v>
      </c>
      <c r="AD1815">
        <f>IF(AND($M1815=1,LEFT(对接源_02物料!$D615,4)="成品出库"),1,0)</f>
        <v>0</v>
      </c>
      <c r="AE1815">
        <f>N(AE1814)+$AD1815</f>
        <v>0</v>
      </c>
      <c r="AF1815">
        <f>IF(AND($N1815=1,AND(LEFT(对接源_02物料!$D615,4)="包装物料",N(对接源_02物料!$K615)&lt;&gt;0)),1,0)</f>
        <v>0</v>
      </c>
      <c r="AG1815">
        <f>N(AG1814)+$AF1815</f>
        <v>10</v>
      </c>
      <c r="AH1815">
        <f>IF(AND($N1815=1,AND(对接源_02物料!$D615="周转筐－销售出库",N(对接源_02物料!$K615)&lt;&gt;0)),1,0)</f>
        <v>0</v>
      </c>
      <c r="AI1815">
        <f>N(AI1814)+$AH1815</f>
        <v>0</v>
      </c>
      <c r="AL1815" t="n">
        <v>0</v>
      </c>
      <c r="AM1815">
        <f>N(AM1814)+$AL1815</f>
        <v>2</v>
      </c>
      <c r="AN1815">
        <f>""</f>
      </c>
      <c r="AO1815" t="n">
        <v>0</v>
      </c>
      <c r="AP1815">
        <f>N(AP1814)+$AO1815</f>
        <v>13</v>
      </c>
      <c r="AR1815">
        <f>IF(OR($AF1815=1,$AH1815=1),1,0)</f>
        <v>0</v>
      </c>
      <c r="AS1815">
        <f>N(AS1814)+$AR1815</f>
        <v>10</v>
      </c>
    </row>
    <row r="1816" s="127">
      <c r="A1816">
        <f>IF(对接源_02物料!$C616="","",对接源_02物料!$C616)</f>
      </c>
      <c r="B1816">
        <f>IF(A1816="",0,IF(MATCH(A1816,$A$4:$A$2403,0)=ROW()-3,1,0))</f>
        <v>0</v>
      </c>
      <c r="C1816">
        <f>N(C1815)+B1816</f>
        <v>26</v>
      </c>
      <c r="K1816">
        <f>IF(OR($K$1="",对接源_02物料!$C616="",对接源_02物料!$C616&lt;&gt;$K$1,对接源_02物料!$B616=""),0,IF(OR(N(对接源_02物料!$B616)&lt;$K$2,N(对接源_02物料!$B616)&gt;$K$3),0,1))</f>
        <v>0</v>
      </c>
      <c r="L1816">
        <f>IF(OR($L$1="",对接源_02物料!$C616="",对接源_02物料!$C616&lt;&gt;$L$1,对接源_02物料!$B616=""),0,IF(OR(N(对接源_02物料!$B616)&lt;$L$2,N(对接源_02物料!$B616)&gt;$L$3),0,1))</f>
        <v>0</v>
      </c>
      <c r="M1816">
        <f>IF(OR($M$1="",对接源_02物料!$C616="",对接源_02物料!$C616&lt;&gt;$M$1,对接源_02物料!$B616=""),0,IF(OR(N(对接源_02物料!$B616)&lt;$M$2,N(对接源_02物料!$B616)&gt;$M$3),0,1))</f>
        <v>0</v>
      </c>
      <c r="N1816">
        <f>IF(OR($N$1="",对接源_02物料!$C616="",对接源_02物料!$C616&lt;&gt;$N$1,对接源_02物料!$B616=""),0,IF(OR(N(对接源_02物料!$B616)&lt;$N$2,N(对接源_02物料!$B616)&gt;$N$3),0,1))</f>
        <v>0</v>
      </c>
      <c r="P1816">
        <f>IF(AND($K1816=1,AND(对接源_02物料!$X616="公司筐",N(对接源_02物料!$T616)&lt;&gt;0)),1,0)</f>
        <v>0</v>
      </c>
      <c r="Q1816">
        <f>N(Q1815)+$P1816</f>
        <v>14</v>
      </c>
      <c r="R1816">
        <f>IF(AND($K1816=1,AND(对接源_02物料!$X616="公司筐",N(对接源_02物料!$U616)&lt;&gt;0)),1,0)</f>
        <v>0</v>
      </c>
      <c r="S1816">
        <f>N(S1815)+$R1816</f>
        <v>1</v>
      </c>
      <c r="T1816">
        <f>IF(AND($K1816=1,AND(对接源_02物料!$X616="公司筐",N(对接源_02物料!$V616)&lt;&gt;0)),1,0)</f>
        <v>0</v>
      </c>
      <c r="U1816">
        <f>N(U1815)+$T1816</f>
        <v>47</v>
      </c>
      <c r="V1816">
        <f>IF(AND($L1816=1,AND(对接源_02物料!$X616="自备筐",N(对接源_02物料!$V616)&lt;&gt;0)),1,0)</f>
        <v>0</v>
      </c>
      <c r="W1816">
        <f>N(W1815)+$V1816</f>
        <v>11</v>
      </c>
      <c r="X1816">
        <f>IF(AND($L1816=1,AND(对接源_02物料!$X616="自备筐",N(对接源_02物料!$T616)&lt;&gt;0)),1,0)</f>
        <v>0</v>
      </c>
      <c r="Y1816">
        <f>N(Y1815)+$X1816</f>
        <v>0</v>
      </c>
      <c r="Z1816">
        <f>IF(AND($M1816=1,对接源_02物料!$D616="原料入库"),1,0)</f>
        <v>0</v>
      </c>
      <c r="AA1816">
        <f>N(AA1815)+$Z1816</f>
        <v>24</v>
      </c>
      <c r="AB1816">
        <f>IF(AND($M1816=1,LEFT(对接源_02物料!$D616,4)="原料出库"),1,0)</f>
        <v>0</v>
      </c>
      <c r="AC1816">
        <f>N(AC1815)+$AB1816</f>
        <v>0</v>
      </c>
      <c r="AD1816">
        <f>IF(AND($M1816=1,LEFT(对接源_02物料!$D616,4)="成品出库"),1,0)</f>
        <v>0</v>
      </c>
      <c r="AE1816">
        <f>N(AE1815)+$AD1816</f>
        <v>0</v>
      </c>
      <c r="AF1816">
        <f>IF(AND($N1816=1,AND(LEFT(对接源_02物料!$D616,4)="包装物料",N(对接源_02物料!$K616)&lt;&gt;0)),1,0)</f>
        <v>0</v>
      </c>
      <c r="AG1816">
        <f>N(AG1815)+$AF1816</f>
        <v>10</v>
      </c>
      <c r="AH1816">
        <f>IF(AND($N1816=1,AND(对接源_02物料!$D616="周转筐－销售出库",N(对接源_02物料!$K616)&lt;&gt;0)),1,0)</f>
        <v>0</v>
      </c>
      <c r="AI1816">
        <f>N(AI1815)+$AH1816</f>
        <v>0</v>
      </c>
      <c r="AL1816" t="n">
        <v>0</v>
      </c>
      <c r="AM1816">
        <f>N(AM1815)+$AL1816</f>
        <v>2</v>
      </c>
      <c r="AN1816">
        <f>""</f>
      </c>
      <c r="AO1816" t="n">
        <v>0</v>
      </c>
      <c r="AP1816">
        <f>N(AP1815)+$AO1816</f>
        <v>13</v>
      </c>
      <c r="AR1816">
        <f>IF(OR($AF1816=1,$AH1816=1),1,0)</f>
        <v>0</v>
      </c>
      <c r="AS1816">
        <f>N(AS1815)+$AR1816</f>
        <v>10</v>
      </c>
    </row>
    <row r="1817" s="127">
      <c r="A1817">
        <f>IF(对接源_02物料!$C617="","",对接源_02物料!$C617)</f>
      </c>
      <c r="B1817">
        <f>IF(A1817="",0,IF(MATCH(A1817,$A$4:$A$2403,0)=ROW()-3,1,0))</f>
        <v>0</v>
      </c>
      <c r="C1817">
        <f>N(C1816)+B1817</f>
        <v>26</v>
      </c>
      <c r="K1817">
        <f>IF(OR($K$1="",对接源_02物料!$C617="",对接源_02物料!$C617&lt;&gt;$K$1,对接源_02物料!$B617=""),0,IF(OR(N(对接源_02物料!$B617)&lt;$K$2,N(对接源_02物料!$B617)&gt;$K$3),0,1))</f>
        <v>0</v>
      </c>
      <c r="L1817">
        <f>IF(OR($L$1="",对接源_02物料!$C617="",对接源_02物料!$C617&lt;&gt;$L$1,对接源_02物料!$B617=""),0,IF(OR(N(对接源_02物料!$B617)&lt;$L$2,N(对接源_02物料!$B617)&gt;$L$3),0,1))</f>
        <v>0</v>
      </c>
      <c r="M1817">
        <f>IF(OR($M$1="",对接源_02物料!$C617="",对接源_02物料!$C617&lt;&gt;$M$1,对接源_02物料!$B617=""),0,IF(OR(N(对接源_02物料!$B617)&lt;$M$2,N(对接源_02物料!$B617)&gt;$M$3),0,1))</f>
        <v>0</v>
      </c>
      <c r="N1817">
        <f>IF(OR($N$1="",对接源_02物料!$C617="",对接源_02物料!$C617&lt;&gt;$N$1,对接源_02物料!$B617=""),0,IF(OR(N(对接源_02物料!$B617)&lt;$N$2,N(对接源_02物料!$B617)&gt;$N$3),0,1))</f>
        <v>0</v>
      </c>
      <c r="P1817">
        <f>IF(AND($K1817=1,AND(对接源_02物料!$X617="公司筐",N(对接源_02物料!$T617)&lt;&gt;0)),1,0)</f>
        <v>0</v>
      </c>
      <c r="Q1817">
        <f>N(Q1816)+$P1817</f>
        <v>14</v>
      </c>
      <c r="R1817">
        <f>IF(AND($K1817=1,AND(对接源_02物料!$X617="公司筐",N(对接源_02物料!$U617)&lt;&gt;0)),1,0)</f>
        <v>0</v>
      </c>
      <c r="S1817">
        <f>N(S1816)+$R1817</f>
        <v>1</v>
      </c>
      <c r="T1817">
        <f>IF(AND($K1817=1,AND(对接源_02物料!$X617="公司筐",N(对接源_02物料!$V617)&lt;&gt;0)),1,0)</f>
        <v>0</v>
      </c>
      <c r="U1817">
        <f>N(U1816)+$T1817</f>
        <v>47</v>
      </c>
      <c r="V1817">
        <f>IF(AND($L1817=1,AND(对接源_02物料!$X617="自备筐",N(对接源_02物料!$V617)&lt;&gt;0)),1,0)</f>
        <v>0</v>
      </c>
      <c r="W1817">
        <f>N(W1816)+$V1817</f>
        <v>11</v>
      </c>
      <c r="X1817">
        <f>IF(AND($L1817=1,AND(对接源_02物料!$X617="自备筐",N(对接源_02物料!$T617)&lt;&gt;0)),1,0)</f>
        <v>0</v>
      </c>
      <c r="Y1817">
        <f>N(Y1816)+$X1817</f>
        <v>0</v>
      </c>
      <c r="Z1817">
        <f>IF(AND($M1817=1,对接源_02物料!$D617="原料入库"),1,0)</f>
        <v>0</v>
      </c>
      <c r="AA1817">
        <f>N(AA1816)+$Z1817</f>
        <v>24</v>
      </c>
      <c r="AB1817">
        <f>IF(AND($M1817=1,LEFT(对接源_02物料!$D617,4)="原料出库"),1,0)</f>
        <v>0</v>
      </c>
      <c r="AC1817">
        <f>N(AC1816)+$AB1817</f>
        <v>0</v>
      </c>
      <c r="AD1817">
        <f>IF(AND($M1817=1,LEFT(对接源_02物料!$D617,4)="成品出库"),1,0)</f>
        <v>0</v>
      </c>
      <c r="AE1817">
        <f>N(AE1816)+$AD1817</f>
        <v>0</v>
      </c>
      <c r="AF1817">
        <f>IF(AND($N1817=1,AND(LEFT(对接源_02物料!$D617,4)="包装物料",N(对接源_02物料!$K617)&lt;&gt;0)),1,0)</f>
        <v>0</v>
      </c>
      <c r="AG1817">
        <f>N(AG1816)+$AF1817</f>
        <v>10</v>
      </c>
      <c r="AH1817">
        <f>IF(AND($N1817=1,AND(对接源_02物料!$D617="周转筐－销售出库",N(对接源_02物料!$K617)&lt;&gt;0)),1,0)</f>
        <v>0</v>
      </c>
      <c r="AI1817">
        <f>N(AI1816)+$AH1817</f>
        <v>0</v>
      </c>
      <c r="AL1817" t="n">
        <v>0</v>
      </c>
      <c r="AM1817">
        <f>N(AM1816)+$AL1817</f>
        <v>2</v>
      </c>
      <c r="AN1817">
        <f>""</f>
      </c>
      <c r="AO1817" t="n">
        <v>0</v>
      </c>
      <c r="AP1817">
        <f>N(AP1816)+$AO1817</f>
        <v>13</v>
      </c>
      <c r="AR1817">
        <f>IF(OR($AF1817=1,$AH1817=1),1,0)</f>
        <v>0</v>
      </c>
      <c r="AS1817">
        <f>N(AS1816)+$AR1817</f>
        <v>10</v>
      </c>
    </row>
    <row r="1818" s="127">
      <c r="A1818">
        <f>IF(对接源_02物料!$C618="","",对接源_02物料!$C618)</f>
      </c>
      <c r="B1818">
        <f>IF(A1818="",0,IF(MATCH(A1818,$A$4:$A$2403,0)=ROW()-3,1,0))</f>
        <v>0</v>
      </c>
      <c r="C1818">
        <f>N(C1817)+B1818</f>
        <v>26</v>
      </c>
      <c r="K1818">
        <f>IF(OR($K$1="",对接源_02物料!$C618="",对接源_02物料!$C618&lt;&gt;$K$1,对接源_02物料!$B618=""),0,IF(OR(N(对接源_02物料!$B618)&lt;$K$2,N(对接源_02物料!$B618)&gt;$K$3),0,1))</f>
        <v>0</v>
      </c>
      <c r="L1818">
        <f>IF(OR($L$1="",对接源_02物料!$C618="",对接源_02物料!$C618&lt;&gt;$L$1,对接源_02物料!$B618=""),0,IF(OR(N(对接源_02物料!$B618)&lt;$L$2,N(对接源_02物料!$B618)&gt;$L$3),0,1))</f>
        <v>0</v>
      </c>
      <c r="M1818">
        <f>IF(OR($M$1="",对接源_02物料!$C618="",对接源_02物料!$C618&lt;&gt;$M$1,对接源_02物料!$B618=""),0,IF(OR(N(对接源_02物料!$B618)&lt;$M$2,N(对接源_02物料!$B618)&gt;$M$3),0,1))</f>
        <v>0</v>
      </c>
      <c r="N1818">
        <f>IF(OR($N$1="",对接源_02物料!$C618="",对接源_02物料!$C618&lt;&gt;$N$1,对接源_02物料!$B618=""),0,IF(OR(N(对接源_02物料!$B618)&lt;$N$2,N(对接源_02物料!$B618)&gt;$N$3),0,1))</f>
        <v>0</v>
      </c>
      <c r="P1818">
        <f>IF(AND($K1818=1,AND(对接源_02物料!$X618="公司筐",N(对接源_02物料!$T618)&lt;&gt;0)),1,0)</f>
        <v>0</v>
      </c>
      <c r="Q1818">
        <f>N(Q1817)+$P1818</f>
        <v>14</v>
      </c>
      <c r="R1818">
        <f>IF(AND($K1818=1,AND(对接源_02物料!$X618="公司筐",N(对接源_02物料!$U618)&lt;&gt;0)),1,0)</f>
        <v>0</v>
      </c>
      <c r="S1818">
        <f>N(S1817)+$R1818</f>
        <v>1</v>
      </c>
      <c r="T1818">
        <f>IF(AND($K1818=1,AND(对接源_02物料!$X618="公司筐",N(对接源_02物料!$V618)&lt;&gt;0)),1,0)</f>
        <v>0</v>
      </c>
      <c r="U1818">
        <f>N(U1817)+$T1818</f>
        <v>47</v>
      </c>
      <c r="V1818">
        <f>IF(AND($L1818=1,AND(对接源_02物料!$X618="自备筐",N(对接源_02物料!$V618)&lt;&gt;0)),1,0)</f>
        <v>0</v>
      </c>
      <c r="W1818">
        <f>N(W1817)+$V1818</f>
        <v>11</v>
      </c>
      <c r="X1818">
        <f>IF(AND($L1818=1,AND(对接源_02物料!$X618="自备筐",N(对接源_02物料!$T618)&lt;&gt;0)),1,0)</f>
        <v>0</v>
      </c>
      <c r="Y1818">
        <f>N(Y1817)+$X1818</f>
        <v>0</v>
      </c>
      <c r="Z1818">
        <f>IF(AND($M1818=1,对接源_02物料!$D618="原料入库"),1,0)</f>
        <v>0</v>
      </c>
      <c r="AA1818">
        <f>N(AA1817)+$Z1818</f>
        <v>24</v>
      </c>
      <c r="AB1818">
        <f>IF(AND($M1818=1,LEFT(对接源_02物料!$D618,4)="原料出库"),1,0)</f>
        <v>0</v>
      </c>
      <c r="AC1818">
        <f>N(AC1817)+$AB1818</f>
        <v>0</v>
      </c>
      <c r="AD1818">
        <f>IF(AND($M1818=1,LEFT(对接源_02物料!$D618,4)="成品出库"),1,0)</f>
        <v>0</v>
      </c>
      <c r="AE1818">
        <f>N(AE1817)+$AD1818</f>
        <v>0</v>
      </c>
      <c r="AF1818">
        <f>IF(AND($N1818=1,AND(LEFT(对接源_02物料!$D618,4)="包装物料",N(对接源_02物料!$K618)&lt;&gt;0)),1,0)</f>
        <v>0</v>
      </c>
      <c r="AG1818">
        <f>N(AG1817)+$AF1818</f>
        <v>10</v>
      </c>
      <c r="AH1818">
        <f>IF(AND($N1818=1,AND(对接源_02物料!$D618="周转筐－销售出库",N(对接源_02物料!$K618)&lt;&gt;0)),1,0)</f>
        <v>0</v>
      </c>
      <c r="AI1818">
        <f>N(AI1817)+$AH1818</f>
        <v>0</v>
      </c>
      <c r="AL1818" t="n">
        <v>0</v>
      </c>
      <c r="AM1818">
        <f>N(AM1817)+$AL1818</f>
        <v>2</v>
      </c>
      <c r="AN1818">
        <f>""</f>
      </c>
      <c r="AO1818" t="n">
        <v>0</v>
      </c>
      <c r="AP1818">
        <f>N(AP1817)+$AO1818</f>
        <v>13</v>
      </c>
      <c r="AR1818">
        <f>IF(OR($AF1818=1,$AH1818=1),1,0)</f>
        <v>0</v>
      </c>
      <c r="AS1818">
        <f>N(AS1817)+$AR1818</f>
        <v>10</v>
      </c>
    </row>
    <row r="1819" s="127">
      <c r="A1819">
        <f>IF(对接源_02物料!$C619="","",对接源_02物料!$C619)</f>
      </c>
      <c r="B1819">
        <f>IF(A1819="",0,IF(MATCH(A1819,$A$4:$A$2403,0)=ROW()-3,1,0))</f>
        <v>0</v>
      </c>
      <c r="C1819">
        <f>N(C1818)+B1819</f>
        <v>26</v>
      </c>
      <c r="K1819">
        <f>IF(OR($K$1="",对接源_02物料!$C619="",对接源_02物料!$C619&lt;&gt;$K$1,对接源_02物料!$B619=""),0,IF(OR(N(对接源_02物料!$B619)&lt;$K$2,N(对接源_02物料!$B619)&gt;$K$3),0,1))</f>
        <v>0</v>
      </c>
      <c r="L1819">
        <f>IF(OR($L$1="",对接源_02物料!$C619="",对接源_02物料!$C619&lt;&gt;$L$1,对接源_02物料!$B619=""),0,IF(OR(N(对接源_02物料!$B619)&lt;$L$2,N(对接源_02物料!$B619)&gt;$L$3),0,1))</f>
        <v>0</v>
      </c>
      <c r="M1819">
        <f>IF(OR($M$1="",对接源_02物料!$C619="",对接源_02物料!$C619&lt;&gt;$M$1,对接源_02物料!$B619=""),0,IF(OR(N(对接源_02物料!$B619)&lt;$M$2,N(对接源_02物料!$B619)&gt;$M$3),0,1))</f>
        <v>0</v>
      </c>
      <c r="N1819">
        <f>IF(OR($N$1="",对接源_02物料!$C619="",对接源_02物料!$C619&lt;&gt;$N$1,对接源_02物料!$B619=""),0,IF(OR(N(对接源_02物料!$B619)&lt;$N$2,N(对接源_02物料!$B619)&gt;$N$3),0,1))</f>
        <v>0</v>
      </c>
      <c r="P1819">
        <f>IF(AND($K1819=1,AND(对接源_02物料!$X619="公司筐",N(对接源_02物料!$T619)&lt;&gt;0)),1,0)</f>
        <v>0</v>
      </c>
      <c r="Q1819">
        <f>N(Q1818)+$P1819</f>
        <v>14</v>
      </c>
      <c r="R1819">
        <f>IF(AND($K1819=1,AND(对接源_02物料!$X619="公司筐",N(对接源_02物料!$U619)&lt;&gt;0)),1,0)</f>
        <v>0</v>
      </c>
      <c r="S1819">
        <f>N(S1818)+$R1819</f>
        <v>1</v>
      </c>
      <c r="T1819">
        <f>IF(AND($K1819=1,AND(对接源_02物料!$X619="公司筐",N(对接源_02物料!$V619)&lt;&gt;0)),1,0)</f>
        <v>0</v>
      </c>
      <c r="U1819">
        <f>N(U1818)+$T1819</f>
        <v>47</v>
      </c>
      <c r="V1819">
        <f>IF(AND($L1819=1,AND(对接源_02物料!$X619="自备筐",N(对接源_02物料!$V619)&lt;&gt;0)),1,0)</f>
        <v>0</v>
      </c>
      <c r="W1819">
        <f>N(W1818)+$V1819</f>
        <v>11</v>
      </c>
      <c r="X1819">
        <f>IF(AND($L1819=1,AND(对接源_02物料!$X619="自备筐",N(对接源_02物料!$T619)&lt;&gt;0)),1,0)</f>
        <v>0</v>
      </c>
      <c r="Y1819">
        <f>N(Y1818)+$X1819</f>
        <v>0</v>
      </c>
      <c r="Z1819">
        <f>IF(AND($M1819=1,对接源_02物料!$D619="原料入库"),1,0)</f>
        <v>0</v>
      </c>
      <c r="AA1819">
        <f>N(AA1818)+$Z1819</f>
        <v>24</v>
      </c>
      <c r="AB1819">
        <f>IF(AND($M1819=1,LEFT(对接源_02物料!$D619,4)="原料出库"),1,0)</f>
        <v>0</v>
      </c>
      <c r="AC1819">
        <f>N(AC1818)+$AB1819</f>
        <v>0</v>
      </c>
      <c r="AD1819">
        <f>IF(AND($M1819=1,LEFT(对接源_02物料!$D619,4)="成品出库"),1,0)</f>
        <v>0</v>
      </c>
      <c r="AE1819">
        <f>N(AE1818)+$AD1819</f>
        <v>0</v>
      </c>
      <c r="AF1819">
        <f>IF(AND($N1819=1,AND(LEFT(对接源_02物料!$D619,4)="包装物料",N(对接源_02物料!$K619)&lt;&gt;0)),1,0)</f>
        <v>0</v>
      </c>
      <c r="AG1819">
        <f>N(AG1818)+$AF1819</f>
        <v>10</v>
      </c>
      <c r="AH1819">
        <f>IF(AND($N1819=1,AND(对接源_02物料!$D619="周转筐－销售出库",N(对接源_02物料!$K619)&lt;&gt;0)),1,0)</f>
        <v>0</v>
      </c>
      <c r="AI1819">
        <f>N(AI1818)+$AH1819</f>
        <v>0</v>
      </c>
      <c r="AL1819" t="n">
        <v>0</v>
      </c>
      <c r="AM1819">
        <f>N(AM1818)+$AL1819</f>
        <v>2</v>
      </c>
      <c r="AN1819">
        <f>""</f>
      </c>
      <c r="AO1819" t="n">
        <v>0</v>
      </c>
      <c r="AP1819">
        <f>N(AP1818)+$AO1819</f>
        <v>13</v>
      </c>
      <c r="AR1819">
        <f>IF(OR($AF1819=1,$AH1819=1),1,0)</f>
        <v>0</v>
      </c>
      <c r="AS1819">
        <f>N(AS1818)+$AR1819</f>
        <v>10</v>
      </c>
    </row>
    <row r="1820" s="127">
      <c r="A1820">
        <f>IF(对接源_02物料!$C620="","",对接源_02物料!$C620)</f>
      </c>
      <c r="B1820">
        <f>IF(A1820="",0,IF(MATCH(A1820,$A$4:$A$2403,0)=ROW()-3,1,0))</f>
        <v>0</v>
      </c>
      <c r="C1820">
        <f>N(C1819)+B1820</f>
        <v>26</v>
      </c>
      <c r="K1820">
        <f>IF(OR($K$1="",对接源_02物料!$C620="",对接源_02物料!$C620&lt;&gt;$K$1,对接源_02物料!$B620=""),0,IF(OR(N(对接源_02物料!$B620)&lt;$K$2,N(对接源_02物料!$B620)&gt;$K$3),0,1))</f>
        <v>0</v>
      </c>
      <c r="L1820">
        <f>IF(OR($L$1="",对接源_02物料!$C620="",对接源_02物料!$C620&lt;&gt;$L$1,对接源_02物料!$B620=""),0,IF(OR(N(对接源_02物料!$B620)&lt;$L$2,N(对接源_02物料!$B620)&gt;$L$3),0,1))</f>
        <v>0</v>
      </c>
      <c r="M1820">
        <f>IF(OR($M$1="",对接源_02物料!$C620="",对接源_02物料!$C620&lt;&gt;$M$1,对接源_02物料!$B620=""),0,IF(OR(N(对接源_02物料!$B620)&lt;$M$2,N(对接源_02物料!$B620)&gt;$M$3),0,1))</f>
        <v>0</v>
      </c>
      <c r="N1820">
        <f>IF(OR($N$1="",对接源_02物料!$C620="",对接源_02物料!$C620&lt;&gt;$N$1,对接源_02物料!$B620=""),0,IF(OR(N(对接源_02物料!$B620)&lt;$N$2,N(对接源_02物料!$B620)&gt;$N$3),0,1))</f>
        <v>0</v>
      </c>
      <c r="P1820">
        <f>IF(AND($K1820=1,AND(对接源_02物料!$X620="公司筐",N(对接源_02物料!$T620)&lt;&gt;0)),1,0)</f>
        <v>0</v>
      </c>
      <c r="Q1820">
        <f>N(Q1819)+$P1820</f>
        <v>14</v>
      </c>
      <c r="R1820">
        <f>IF(AND($K1820=1,AND(对接源_02物料!$X620="公司筐",N(对接源_02物料!$U620)&lt;&gt;0)),1,0)</f>
        <v>0</v>
      </c>
      <c r="S1820">
        <f>N(S1819)+$R1820</f>
        <v>1</v>
      </c>
      <c r="T1820">
        <f>IF(AND($K1820=1,AND(对接源_02物料!$X620="公司筐",N(对接源_02物料!$V620)&lt;&gt;0)),1,0)</f>
        <v>0</v>
      </c>
      <c r="U1820">
        <f>N(U1819)+$T1820</f>
        <v>47</v>
      </c>
      <c r="V1820">
        <f>IF(AND($L1820=1,AND(对接源_02物料!$X620="自备筐",N(对接源_02物料!$V620)&lt;&gt;0)),1,0)</f>
        <v>0</v>
      </c>
      <c r="W1820">
        <f>N(W1819)+$V1820</f>
        <v>11</v>
      </c>
      <c r="X1820">
        <f>IF(AND($L1820=1,AND(对接源_02物料!$X620="自备筐",N(对接源_02物料!$T620)&lt;&gt;0)),1,0)</f>
        <v>0</v>
      </c>
      <c r="Y1820">
        <f>N(Y1819)+$X1820</f>
        <v>0</v>
      </c>
      <c r="Z1820">
        <f>IF(AND($M1820=1,对接源_02物料!$D620="原料入库"),1,0)</f>
        <v>0</v>
      </c>
      <c r="AA1820">
        <f>N(AA1819)+$Z1820</f>
        <v>24</v>
      </c>
      <c r="AB1820">
        <f>IF(AND($M1820=1,LEFT(对接源_02物料!$D620,4)="原料出库"),1,0)</f>
        <v>0</v>
      </c>
      <c r="AC1820">
        <f>N(AC1819)+$AB1820</f>
        <v>0</v>
      </c>
      <c r="AD1820">
        <f>IF(AND($M1820=1,LEFT(对接源_02物料!$D620,4)="成品出库"),1,0)</f>
        <v>0</v>
      </c>
      <c r="AE1820">
        <f>N(AE1819)+$AD1820</f>
        <v>0</v>
      </c>
      <c r="AF1820">
        <f>IF(AND($N1820=1,AND(LEFT(对接源_02物料!$D620,4)="包装物料",N(对接源_02物料!$K620)&lt;&gt;0)),1,0)</f>
        <v>0</v>
      </c>
      <c r="AG1820">
        <f>N(AG1819)+$AF1820</f>
        <v>10</v>
      </c>
      <c r="AH1820">
        <f>IF(AND($N1820=1,AND(对接源_02物料!$D620="周转筐－销售出库",N(对接源_02物料!$K620)&lt;&gt;0)),1,0)</f>
        <v>0</v>
      </c>
      <c r="AI1820">
        <f>N(AI1819)+$AH1820</f>
        <v>0</v>
      </c>
      <c r="AL1820" t="n">
        <v>0</v>
      </c>
      <c r="AM1820">
        <f>N(AM1819)+$AL1820</f>
        <v>2</v>
      </c>
      <c r="AN1820">
        <f>""</f>
      </c>
      <c r="AO1820" t="n">
        <v>0</v>
      </c>
      <c r="AP1820">
        <f>N(AP1819)+$AO1820</f>
        <v>13</v>
      </c>
      <c r="AR1820">
        <f>IF(OR($AF1820=1,$AH1820=1),1,0)</f>
        <v>0</v>
      </c>
      <c r="AS1820">
        <f>N(AS1819)+$AR1820</f>
        <v>10</v>
      </c>
    </row>
    <row r="1821" s="127">
      <c r="A1821">
        <f>IF(对接源_02物料!$C621="","",对接源_02物料!$C621)</f>
      </c>
      <c r="B1821">
        <f>IF(A1821="",0,IF(MATCH(A1821,$A$4:$A$2403,0)=ROW()-3,1,0))</f>
        <v>0</v>
      </c>
      <c r="C1821">
        <f>N(C1820)+B1821</f>
        <v>26</v>
      </c>
      <c r="K1821">
        <f>IF(OR($K$1="",对接源_02物料!$C621="",对接源_02物料!$C621&lt;&gt;$K$1,对接源_02物料!$B621=""),0,IF(OR(N(对接源_02物料!$B621)&lt;$K$2,N(对接源_02物料!$B621)&gt;$K$3),0,1))</f>
        <v>0</v>
      </c>
      <c r="L1821">
        <f>IF(OR($L$1="",对接源_02物料!$C621="",对接源_02物料!$C621&lt;&gt;$L$1,对接源_02物料!$B621=""),0,IF(OR(N(对接源_02物料!$B621)&lt;$L$2,N(对接源_02物料!$B621)&gt;$L$3),0,1))</f>
        <v>0</v>
      </c>
      <c r="M1821">
        <f>IF(OR($M$1="",对接源_02物料!$C621="",对接源_02物料!$C621&lt;&gt;$M$1,对接源_02物料!$B621=""),0,IF(OR(N(对接源_02物料!$B621)&lt;$M$2,N(对接源_02物料!$B621)&gt;$M$3),0,1))</f>
        <v>0</v>
      </c>
      <c r="N1821">
        <f>IF(OR($N$1="",对接源_02物料!$C621="",对接源_02物料!$C621&lt;&gt;$N$1,对接源_02物料!$B621=""),0,IF(OR(N(对接源_02物料!$B621)&lt;$N$2,N(对接源_02物料!$B621)&gt;$N$3),0,1))</f>
        <v>0</v>
      </c>
      <c r="P1821">
        <f>IF(AND($K1821=1,AND(对接源_02物料!$X621="公司筐",N(对接源_02物料!$T621)&lt;&gt;0)),1,0)</f>
        <v>0</v>
      </c>
      <c r="Q1821">
        <f>N(Q1820)+$P1821</f>
        <v>14</v>
      </c>
      <c r="R1821">
        <f>IF(AND($K1821=1,AND(对接源_02物料!$X621="公司筐",N(对接源_02物料!$U621)&lt;&gt;0)),1,0)</f>
        <v>0</v>
      </c>
      <c r="S1821">
        <f>N(S1820)+$R1821</f>
        <v>1</v>
      </c>
      <c r="T1821">
        <f>IF(AND($K1821=1,AND(对接源_02物料!$X621="公司筐",N(对接源_02物料!$V621)&lt;&gt;0)),1,0)</f>
        <v>0</v>
      </c>
      <c r="U1821">
        <f>N(U1820)+$T1821</f>
        <v>47</v>
      </c>
      <c r="V1821">
        <f>IF(AND($L1821=1,AND(对接源_02物料!$X621="自备筐",N(对接源_02物料!$V621)&lt;&gt;0)),1,0)</f>
        <v>0</v>
      </c>
      <c r="W1821">
        <f>N(W1820)+$V1821</f>
        <v>11</v>
      </c>
      <c r="X1821">
        <f>IF(AND($L1821=1,AND(对接源_02物料!$X621="自备筐",N(对接源_02物料!$T621)&lt;&gt;0)),1,0)</f>
        <v>0</v>
      </c>
      <c r="Y1821">
        <f>N(Y1820)+$X1821</f>
        <v>0</v>
      </c>
      <c r="Z1821">
        <f>IF(AND($M1821=1,对接源_02物料!$D621="原料入库"),1,0)</f>
        <v>0</v>
      </c>
      <c r="AA1821">
        <f>N(AA1820)+$Z1821</f>
        <v>24</v>
      </c>
      <c r="AB1821">
        <f>IF(AND($M1821=1,LEFT(对接源_02物料!$D621,4)="原料出库"),1,0)</f>
        <v>0</v>
      </c>
      <c r="AC1821">
        <f>N(AC1820)+$AB1821</f>
        <v>0</v>
      </c>
      <c r="AD1821">
        <f>IF(AND($M1821=1,LEFT(对接源_02物料!$D621,4)="成品出库"),1,0)</f>
        <v>0</v>
      </c>
      <c r="AE1821">
        <f>N(AE1820)+$AD1821</f>
        <v>0</v>
      </c>
      <c r="AF1821">
        <f>IF(AND($N1821=1,AND(LEFT(对接源_02物料!$D621,4)="包装物料",N(对接源_02物料!$K621)&lt;&gt;0)),1,0)</f>
        <v>0</v>
      </c>
      <c r="AG1821">
        <f>N(AG1820)+$AF1821</f>
        <v>10</v>
      </c>
      <c r="AH1821">
        <f>IF(AND($N1821=1,AND(对接源_02物料!$D621="周转筐－销售出库",N(对接源_02物料!$K621)&lt;&gt;0)),1,0)</f>
        <v>0</v>
      </c>
      <c r="AI1821">
        <f>N(AI1820)+$AH1821</f>
        <v>0</v>
      </c>
      <c r="AL1821" t="n">
        <v>0</v>
      </c>
      <c r="AM1821">
        <f>N(AM1820)+$AL1821</f>
        <v>2</v>
      </c>
      <c r="AN1821">
        <f>""</f>
      </c>
      <c r="AO1821" t="n">
        <v>0</v>
      </c>
      <c r="AP1821">
        <f>N(AP1820)+$AO1821</f>
        <v>13</v>
      </c>
      <c r="AR1821">
        <f>IF(OR($AF1821=1,$AH1821=1),1,0)</f>
        <v>0</v>
      </c>
      <c r="AS1821">
        <f>N(AS1820)+$AR1821</f>
        <v>10</v>
      </c>
    </row>
    <row r="1822" s="127">
      <c r="A1822">
        <f>IF(对接源_02物料!$C622="","",对接源_02物料!$C622)</f>
      </c>
      <c r="B1822">
        <f>IF(A1822="",0,IF(MATCH(A1822,$A$4:$A$2403,0)=ROW()-3,1,0))</f>
        <v>0</v>
      </c>
      <c r="C1822">
        <f>N(C1821)+B1822</f>
        <v>26</v>
      </c>
      <c r="K1822">
        <f>IF(OR($K$1="",对接源_02物料!$C622="",对接源_02物料!$C622&lt;&gt;$K$1,对接源_02物料!$B622=""),0,IF(OR(N(对接源_02物料!$B622)&lt;$K$2,N(对接源_02物料!$B622)&gt;$K$3),0,1))</f>
        <v>0</v>
      </c>
      <c r="L1822">
        <f>IF(OR($L$1="",对接源_02物料!$C622="",对接源_02物料!$C622&lt;&gt;$L$1,对接源_02物料!$B622=""),0,IF(OR(N(对接源_02物料!$B622)&lt;$L$2,N(对接源_02物料!$B622)&gt;$L$3),0,1))</f>
        <v>0</v>
      </c>
      <c r="M1822">
        <f>IF(OR($M$1="",对接源_02物料!$C622="",对接源_02物料!$C622&lt;&gt;$M$1,对接源_02物料!$B622=""),0,IF(OR(N(对接源_02物料!$B622)&lt;$M$2,N(对接源_02物料!$B622)&gt;$M$3),0,1))</f>
        <v>0</v>
      </c>
      <c r="N1822">
        <f>IF(OR($N$1="",对接源_02物料!$C622="",对接源_02物料!$C622&lt;&gt;$N$1,对接源_02物料!$B622=""),0,IF(OR(N(对接源_02物料!$B622)&lt;$N$2,N(对接源_02物料!$B622)&gt;$N$3),0,1))</f>
        <v>0</v>
      </c>
      <c r="P1822">
        <f>IF(AND($K1822=1,AND(对接源_02物料!$X622="公司筐",N(对接源_02物料!$T622)&lt;&gt;0)),1,0)</f>
        <v>0</v>
      </c>
      <c r="Q1822">
        <f>N(Q1821)+$P1822</f>
        <v>14</v>
      </c>
      <c r="R1822">
        <f>IF(AND($K1822=1,AND(对接源_02物料!$X622="公司筐",N(对接源_02物料!$U622)&lt;&gt;0)),1,0)</f>
        <v>0</v>
      </c>
      <c r="S1822">
        <f>N(S1821)+$R1822</f>
        <v>1</v>
      </c>
      <c r="T1822">
        <f>IF(AND($K1822=1,AND(对接源_02物料!$X622="公司筐",N(对接源_02物料!$V622)&lt;&gt;0)),1,0)</f>
        <v>0</v>
      </c>
      <c r="U1822">
        <f>N(U1821)+$T1822</f>
        <v>47</v>
      </c>
      <c r="V1822">
        <f>IF(AND($L1822=1,AND(对接源_02物料!$X622="自备筐",N(对接源_02物料!$V622)&lt;&gt;0)),1,0)</f>
        <v>0</v>
      </c>
      <c r="W1822">
        <f>N(W1821)+$V1822</f>
        <v>11</v>
      </c>
      <c r="X1822">
        <f>IF(AND($L1822=1,AND(对接源_02物料!$X622="自备筐",N(对接源_02物料!$T622)&lt;&gt;0)),1,0)</f>
        <v>0</v>
      </c>
      <c r="Y1822">
        <f>N(Y1821)+$X1822</f>
        <v>0</v>
      </c>
      <c r="Z1822">
        <f>IF(AND($M1822=1,对接源_02物料!$D622="原料入库"),1,0)</f>
        <v>0</v>
      </c>
      <c r="AA1822">
        <f>N(AA1821)+$Z1822</f>
        <v>24</v>
      </c>
      <c r="AB1822">
        <f>IF(AND($M1822=1,LEFT(对接源_02物料!$D622,4)="原料出库"),1,0)</f>
        <v>0</v>
      </c>
      <c r="AC1822">
        <f>N(AC1821)+$AB1822</f>
        <v>0</v>
      </c>
      <c r="AD1822">
        <f>IF(AND($M1822=1,LEFT(对接源_02物料!$D622,4)="成品出库"),1,0)</f>
        <v>0</v>
      </c>
      <c r="AE1822">
        <f>N(AE1821)+$AD1822</f>
        <v>0</v>
      </c>
      <c r="AF1822">
        <f>IF(AND($N1822=1,AND(LEFT(对接源_02物料!$D622,4)="包装物料",N(对接源_02物料!$K622)&lt;&gt;0)),1,0)</f>
        <v>0</v>
      </c>
      <c r="AG1822">
        <f>N(AG1821)+$AF1822</f>
        <v>10</v>
      </c>
      <c r="AH1822">
        <f>IF(AND($N1822=1,AND(对接源_02物料!$D622="周转筐－销售出库",N(对接源_02物料!$K622)&lt;&gt;0)),1,0)</f>
        <v>0</v>
      </c>
      <c r="AI1822">
        <f>N(AI1821)+$AH1822</f>
        <v>0</v>
      </c>
      <c r="AL1822" t="n">
        <v>0</v>
      </c>
      <c r="AM1822">
        <f>N(AM1821)+$AL1822</f>
        <v>2</v>
      </c>
      <c r="AN1822">
        <f>""</f>
      </c>
      <c r="AO1822" t="n">
        <v>0</v>
      </c>
      <c r="AP1822">
        <f>N(AP1821)+$AO1822</f>
        <v>13</v>
      </c>
      <c r="AR1822">
        <f>IF(OR($AF1822=1,$AH1822=1),1,0)</f>
        <v>0</v>
      </c>
      <c r="AS1822">
        <f>N(AS1821)+$AR1822</f>
        <v>10</v>
      </c>
    </row>
    <row r="1823" s="127">
      <c r="A1823">
        <f>IF(对接源_02物料!$C623="","",对接源_02物料!$C623)</f>
      </c>
      <c r="B1823">
        <f>IF(A1823="",0,IF(MATCH(A1823,$A$4:$A$2403,0)=ROW()-3,1,0))</f>
        <v>0</v>
      </c>
      <c r="C1823">
        <f>N(C1822)+B1823</f>
        <v>26</v>
      </c>
      <c r="K1823">
        <f>IF(OR($K$1="",对接源_02物料!$C623="",对接源_02物料!$C623&lt;&gt;$K$1,对接源_02物料!$B623=""),0,IF(OR(N(对接源_02物料!$B623)&lt;$K$2,N(对接源_02物料!$B623)&gt;$K$3),0,1))</f>
        <v>0</v>
      </c>
      <c r="L1823">
        <f>IF(OR($L$1="",对接源_02物料!$C623="",对接源_02物料!$C623&lt;&gt;$L$1,对接源_02物料!$B623=""),0,IF(OR(N(对接源_02物料!$B623)&lt;$L$2,N(对接源_02物料!$B623)&gt;$L$3),0,1))</f>
        <v>0</v>
      </c>
      <c r="M1823">
        <f>IF(OR($M$1="",对接源_02物料!$C623="",对接源_02物料!$C623&lt;&gt;$M$1,对接源_02物料!$B623=""),0,IF(OR(N(对接源_02物料!$B623)&lt;$M$2,N(对接源_02物料!$B623)&gt;$M$3),0,1))</f>
        <v>0</v>
      </c>
      <c r="N1823">
        <f>IF(OR($N$1="",对接源_02物料!$C623="",对接源_02物料!$C623&lt;&gt;$N$1,对接源_02物料!$B623=""),0,IF(OR(N(对接源_02物料!$B623)&lt;$N$2,N(对接源_02物料!$B623)&gt;$N$3),0,1))</f>
        <v>0</v>
      </c>
      <c r="P1823">
        <f>IF(AND($K1823=1,AND(对接源_02物料!$X623="公司筐",N(对接源_02物料!$T623)&lt;&gt;0)),1,0)</f>
        <v>0</v>
      </c>
      <c r="Q1823">
        <f>N(Q1822)+$P1823</f>
        <v>14</v>
      </c>
      <c r="R1823">
        <f>IF(AND($K1823=1,AND(对接源_02物料!$X623="公司筐",N(对接源_02物料!$U623)&lt;&gt;0)),1,0)</f>
        <v>0</v>
      </c>
      <c r="S1823">
        <f>N(S1822)+$R1823</f>
        <v>1</v>
      </c>
      <c r="T1823">
        <f>IF(AND($K1823=1,AND(对接源_02物料!$X623="公司筐",N(对接源_02物料!$V623)&lt;&gt;0)),1,0)</f>
        <v>0</v>
      </c>
      <c r="U1823">
        <f>N(U1822)+$T1823</f>
        <v>47</v>
      </c>
      <c r="V1823">
        <f>IF(AND($L1823=1,AND(对接源_02物料!$X623="自备筐",N(对接源_02物料!$V623)&lt;&gt;0)),1,0)</f>
        <v>0</v>
      </c>
      <c r="W1823">
        <f>N(W1822)+$V1823</f>
        <v>11</v>
      </c>
      <c r="X1823">
        <f>IF(AND($L1823=1,AND(对接源_02物料!$X623="自备筐",N(对接源_02物料!$T623)&lt;&gt;0)),1,0)</f>
        <v>0</v>
      </c>
      <c r="Y1823">
        <f>N(Y1822)+$X1823</f>
        <v>0</v>
      </c>
      <c r="Z1823">
        <f>IF(AND($M1823=1,对接源_02物料!$D623="原料入库"),1,0)</f>
        <v>0</v>
      </c>
      <c r="AA1823">
        <f>N(AA1822)+$Z1823</f>
        <v>24</v>
      </c>
      <c r="AB1823">
        <f>IF(AND($M1823=1,LEFT(对接源_02物料!$D623,4)="原料出库"),1,0)</f>
        <v>0</v>
      </c>
      <c r="AC1823">
        <f>N(AC1822)+$AB1823</f>
        <v>0</v>
      </c>
      <c r="AD1823">
        <f>IF(AND($M1823=1,LEFT(对接源_02物料!$D623,4)="成品出库"),1,0)</f>
        <v>0</v>
      </c>
      <c r="AE1823">
        <f>N(AE1822)+$AD1823</f>
        <v>0</v>
      </c>
      <c r="AF1823">
        <f>IF(AND($N1823=1,AND(LEFT(对接源_02物料!$D623,4)="包装物料",N(对接源_02物料!$K623)&lt;&gt;0)),1,0)</f>
        <v>0</v>
      </c>
      <c r="AG1823">
        <f>N(AG1822)+$AF1823</f>
        <v>10</v>
      </c>
      <c r="AH1823">
        <f>IF(AND($N1823=1,AND(对接源_02物料!$D623="周转筐－销售出库",N(对接源_02物料!$K623)&lt;&gt;0)),1,0)</f>
        <v>0</v>
      </c>
      <c r="AI1823">
        <f>N(AI1822)+$AH1823</f>
        <v>0</v>
      </c>
      <c r="AL1823" t="n">
        <v>0</v>
      </c>
      <c r="AM1823">
        <f>N(AM1822)+$AL1823</f>
        <v>2</v>
      </c>
      <c r="AN1823">
        <f>""</f>
      </c>
      <c r="AO1823" t="n">
        <v>0</v>
      </c>
      <c r="AP1823">
        <f>N(AP1822)+$AO1823</f>
        <v>13</v>
      </c>
      <c r="AR1823">
        <f>IF(OR($AF1823=1,$AH1823=1),1,0)</f>
        <v>0</v>
      </c>
      <c r="AS1823">
        <f>N(AS1822)+$AR1823</f>
        <v>10</v>
      </c>
    </row>
    <row r="1824" s="127">
      <c r="A1824">
        <f>IF(对接源_02物料!$C624="","",对接源_02物料!$C624)</f>
      </c>
      <c r="B1824">
        <f>IF(A1824="",0,IF(MATCH(A1824,$A$4:$A$2403,0)=ROW()-3,1,0))</f>
        <v>0</v>
      </c>
      <c r="C1824">
        <f>N(C1823)+B1824</f>
        <v>26</v>
      </c>
      <c r="K1824">
        <f>IF(OR($K$1="",对接源_02物料!$C624="",对接源_02物料!$C624&lt;&gt;$K$1,对接源_02物料!$B624=""),0,IF(OR(N(对接源_02物料!$B624)&lt;$K$2,N(对接源_02物料!$B624)&gt;$K$3),0,1))</f>
        <v>0</v>
      </c>
      <c r="L1824">
        <f>IF(OR($L$1="",对接源_02物料!$C624="",对接源_02物料!$C624&lt;&gt;$L$1,对接源_02物料!$B624=""),0,IF(OR(N(对接源_02物料!$B624)&lt;$L$2,N(对接源_02物料!$B624)&gt;$L$3),0,1))</f>
        <v>0</v>
      </c>
      <c r="M1824">
        <f>IF(OR($M$1="",对接源_02物料!$C624="",对接源_02物料!$C624&lt;&gt;$M$1,对接源_02物料!$B624=""),0,IF(OR(N(对接源_02物料!$B624)&lt;$M$2,N(对接源_02物料!$B624)&gt;$M$3),0,1))</f>
        <v>0</v>
      </c>
      <c r="N1824">
        <f>IF(OR($N$1="",对接源_02物料!$C624="",对接源_02物料!$C624&lt;&gt;$N$1,对接源_02物料!$B624=""),0,IF(OR(N(对接源_02物料!$B624)&lt;$N$2,N(对接源_02物料!$B624)&gt;$N$3),0,1))</f>
        <v>0</v>
      </c>
      <c r="P1824">
        <f>IF(AND($K1824=1,AND(对接源_02物料!$X624="公司筐",N(对接源_02物料!$T624)&lt;&gt;0)),1,0)</f>
        <v>0</v>
      </c>
      <c r="Q1824">
        <f>N(Q1823)+$P1824</f>
        <v>14</v>
      </c>
      <c r="R1824">
        <f>IF(AND($K1824=1,AND(对接源_02物料!$X624="公司筐",N(对接源_02物料!$U624)&lt;&gt;0)),1,0)</f>
        <v>0</v>
      </c>
      <c r="S1824">
        <f>N(S1823)+$R1824</f>
        <v>1</v>
      </c>
      <c r="T1824">
        <f>IF(AND($K1824=1,AND(对接源_02物料!$X624="公司筐",N(对接源_02物料!$V624)&lt;&gt;0)),1,0)</f>
        <v>0</v>
      </c>
      <c r="U1824">
        <f>N(U1823)+$T1824</f>
        <v>47</v>
      </c>
      <c r="V1824">
        <f>IF(AND($L1824=1,AND(对接源_02物料!$X624="自备筐",N(对接源_02物料!$V624)&lt;&gt;0)),1,0)</f>
        <v>0</v>
      </c>
      <c r="W1824">
        <f>N(W1823)+$V1824</f>
        <v>11</v>
      </c>
      <c r="X1824">
        <f>IF(AND($L1824=1,AND(对接源_02物料!$X624="自备筐",N(对接源_02物料!$T624)&lt;&gt;0)),1,0)</f>
        <v>0</v>
      </c>
      <c r="Y1824">
        <f>N(Y1823)+$X1824</f>
        <v>0</v>
      </c>
      <c r="Z1824">
        <f>IF(AND($M1824=1,对接源_02物料!$D624="原料入库"),1,0)</f>
        <v>0</v>
      </c>
      <c r="AA1824">
        <f>N(AA1823)+$Z1824</f>
        <v>24</v>
      </c>
      <c r="AB1824">
        <f>IF(AND($M1824=1,LEFT(对接源_02物料!$D624,4)="原料出库"),1,0)</f>
        <v>0</v>
      </c>
      <c r="AC1824">
        <f>N(AC1823)+$AB1824</f>
        <v>0</v>
      </c>
      <c r="AD1824">
        <f>IF(AND($M1824=1,LEFT(对接源_02物料!$D624,4)="成品出库"),1,0)</f>
        <v>0</v>
      </c>
      <c r="AE1824">
        <f>N(AE1823)+$AD1824</f>
        <v>0</v>
      </c>
      <c r="AF1824">
        <f>IF(AND($N1824=1,AND(LEFT(对接源_02物料!$D624,4)="包装物料",N(对接源_02物料!$K624)&lt;&gt;0)),1,0)</f>
        <v>0</v>
      </c>
      <c r="AG1824">
        <f>N(AG1823)+$AF1824</f>
        <v>10</v>
      </c>
      <c r="AH1824">
        <f>IF(AND($N1824=1,AND(对接源_02物料!$D624="周转筐－销售出库",N(对接源_02物料!$K624)&lt;&gt;0)),1,0)</f>
        <v>0</v>
      </c>
      <c r="AI1824">
        <f>N(AI1823)+$AH1824</f>
        <v>0</v>
      </c>
      <c r="AL1824" t="n">
        <v>0</v>
      </c>
      <c r="AM1824">
        <f>N(AM1823)+$AL1824</f>
        <v>2</v>
      </c>
      <c r="AN1824">
        <f>""</f>
      </c>
      <c r="AO1824" t="n">
        <v>0</v>
      </c>
      <c r="AP1824">
        <f>N(AP1823)+$AO1824</f>
        <v>13</v>
      </c>
      <c r="AR1824">
        <f>IF(OR($AF1824=1,$AH1824=1),1,0)</f>
        <v>0</v>
      </c>
      <c r="AS1824">
        <f>N(AS1823)+$AR1824</f>
        <v>10</v>
      </c>
    </row>
    <row r="1825" s="127">
      <c r="A1825">
        <f>IF(对接源_02物料!$C625="","",对接源_02物料!$C625)</f>
      </c>
      <c r="B1825">
        <f>IF(A1825="",0,IF(MATCH(A1825,$A$4:$A$2403,0)=ROW()-3,1,0))</f>
        <v>0</v>
      </c>
      <c r="C1825">
        <f>N(C1824)+B1825</f>
        <v>26</v>
      </c>
      <c r="K1825">
        <f>IF(OR($K$1="",对接源_02物料!$C625="",对接源_02物料!$C625&lt;&gt;$K$1,对接源_02物料!$B625=""),0,IF(OR(N(对接源_02物料!$B625)&lt;$K$2,N(对接源_02物料!$B625)&gt;$K$3),0,1))</f>
        <v>0</v>
      </c>
      <c r="L1825">
        <f>IF(OR($L$1="",对接源_02物料!$C625="",对接源_02物料!$C625&lt;&gt;$L$1,对接源_02物料!$B625=""),0,IF(OR(N(对接源_02物料!$B625)&lt;$L$2,N(对接源_02物料!$B625)&gt;$L$3),0,1))</f>
        <v>0</v>
      </c>
      <c r="M1825">
        <f>IF(OR($M$1="",对接源_02物料!$C625="",对接源_02物料!$C625&lt;&gt;$M$1,对接源_02物料!$B625=""),0,IF(OR(N(对接源_02物料!$B625)&lt;$M$2,N(对接源_02物料!$B625)&gt;$M$3),0,1))</f>
        <v>0</v>
      </c>
      <c r="N1825">
        <f>IF(OR($N$1="",对接源_02物料!$C625="",对接源_02物料!$C625&lt;&gt;$N$1,对接源_02物料!$B625=""),0,IF(OR(N(对接源_02物料!$B625)&lt;$N$2,N(对接源_02物料!$B625)&gt;$N$3),0,1))</f>
        <v>0</v>
      </c>
      <c r="P1825">
        <f>IF(AND($K1825=1,AND(对接源_02物料!$X625="公司筐",N(对接源_02物料!$T625)&lt;&gt;0)),1,0)</f>
        <v>0</v>
      </c>
      <c r="Q1825">
        <f>N(Q1824)+$P1825</f>
        <v>14</v>
      </c>
      <c r="R1825">
        <f>IF(AND($K1825=1,AND(对接源_02物料!$X625="公司筐",N(对接源_02物料!$U625)&lt;&gt;0)),1,0)</f>
        <v>0</v>
      </c>
      <c r="S1825">
        <f>N(S1824)+$R1825</f>
        <v>1</v>
      </c>
      <c r="T1825">
        <f>IF(AND($K1825=1,AND(对接源_02物料!$X625="公司筐",N(对接源_02物料!$V625)&lt;&gt;0)),1,0)</f>
        <v>0</v>
      </c>
      <c r="U1825">
        <f>N(U1824)+$T1825</f>
        <v>47</v>
      </c>
      <c r="V1825">
        <f>IF(AND($L1825=1,AND(对接源_02物料!$X625="自备筐",N(对接源_02物料!$V625)&lt;&gt;0)),1,0)</f>
        <v>0</v>
      </c>
      <c r="W1825">
        <f>N(W1824)+$V1825</f>
        <v>11</v>
      </c>
      <c r="X1825">
        <f>IF(AND($L1825=1,AND(对接源_02物料!$X625="自备筐",N(对接源_02物料!$T625)&lt;&gt;0)),1,0)</f>
        <v>0</v>
      </c>
      <c r="Y1825">
        <f>N(Y1824)+$X1825</f>
        <v>0</v>
      </c>
      <c r="Z1825">
        <f>IF(AND($M1825=1,对接源_02物料!$D625="原料入库"),1,0)</f>
        <v>0</v>
      </c>
      <c r="AA1825">
        <f>N(AA1824)+$Z1825</f>
        <v>24</v>
      </c>
      <c r="AB1825">
        <f>IF(AND($M1825=1,LEFT(对接源_02物料!$D625,4)="原料出库"),1,0)</f>
        <v>0</v>
      </c>
      <c r="AC1825">
        <f>N(AC1824)+$AB1825</f>
        <v>0</v>
      </c>
      <c r="AD1825">
        <f>IF(AND($M1825=1,LEFT(对接源_02物料!$D625,4)="成品出库"),1,0)</f>
        <v>0</v>
      </c>
      <c r="AE1825">
        <f>N(AE1824)+$AD1825</f>
        <v>0</v>
      </c>
      <c r="AF1825">
        <f>IF(AND($N1825=1,AND(LEFT(对接源_02物料!$D625,4)="包装物料",N(对接源_02物料!$K625)&lt;&gt;0)),1,0)</f>
        <v>0</v>
      </c>
      <c r="AG1825">
        <f>N(AG1824)+$AF1825</f>
        <v>10</v>
      </c>
      <c r="AH1825">
        <f>IF(AND($N1825=1,AND(对接源_02物料!$D625="周转筐－销售出库",N(对接源_02物料!$K625)&lt;&gt;0)),1,0)</f>
        <v>0</v>
      </c>
      <c r="AI1825">
        <f>N(AI1824)+$AH1825</f>
        <v>0</v>
      </c>
      <c r="AL1825" t="n">
        <v>0</v>
      </c>
      <c r="AM1825">
        <f>N(AM1824)+$AL1825</f>
        <v>2</v>
      </c>
      <c r="AN1825">
        <f>""</f>
      </c>
      <c r="AO1825" t="n">
        <v>0</v>
      </c>
      <c r="AP1825">
        <f>N(AP1824)+$AO1825</f>
        <v>13</v>
      </c>
      <c r="AR1825">
        <f>IF(OR($AF1825=1,$AH1825=1),1,0)</f>
        <v>0</v>
      </c>
      <c r="AS1825">
        <f>N(AS1824)+$AR1825</f>
        <v>10</v>
      </c>
    </row>
    <row r="1826" s="127">
      <c r="A1826">
        <f>IF(对接源_02物料!$C626="","",对接源_02物料!$C626)</f>
      </c>
      <c r="B1826">
        <f>IF(A1826="",0,IF(MATCH(A1826,$A$4:$A$2403,0)=ROW()-3,1,0))</f>
        <v>0</v>
      </c>
      <c r="C1826">
        <f>N(C1825)+B1826</f>
        <v>26</v>
      </c>
      <c r="K1826">
        <f>IF(OR($K$1="",对接源_02物料!$C626="",对接源_02物料!$C626&lt;&gt;$K$1,对接源_02物料!$B626=""),0,IF(OR(N(对接源_02物料!$B626)&lt;$K$2,N(对接源_02物料!$B626)&gt;$K$3),0,1))</f>
        <v>0</v>
      </c>
      <c r="L1826">
        <f>IF(OR($L$1="",对接源_02物料!$C626="",对接源_02物料!$C626&lt;&gt;$L$1,对接源_02物料!$B626=""),0,IF(OR(N(对接源_02物料!$B626)&lt;$L$2,N(对接源_02物料!$B626)&gt;$L$3),0,1))</f>
        <v>0</v>
      </c>
      <c r="M1826">
        <f>IF(OR($M$1="",对接源_02物料!$C626="",对接源_02物料!$C626&lt;&gt;$M$1,对接源_02物料!$B626=""),0,IF(OR(N(对接源_02物料!$B626)&lt;$M$2,N(对接源_02物料!$B626)&gt;$M$3),0,1))</f>
        <v>0</v>
      </c>
      <c r="N1826">
        <f>IF(OR($N$1="",对接源_02物料!$C626="",对接源_02物料!$C626&lt;&gt;$N$1,对接源_02物料!$B626=""),0,IF(OR(N(对接源_02物料!$B626)&lt;$N$2,N(对接源_02物料!$B626)&gt;$N$3),0,1))</f>
        <v>0</v>
      </c>
      <c r="P1826">
        <f>IF(AND($K1826=1,AND(对接源_02物料!$X626="公司筐",N(对接源_02物料!$T626)&lt;&gt;0)),1,0)</f>
        <v>0</v>
      </c>
      <c r="Q1826">
        <f>N(Q1825)+$P1826</f>
        <v>14</v>
      </c>
      <c r="R1826">
        <f>IF(AND($K1826=1,AND(对接源_02物料!$X626="公司筐",N(对接源_02物料!$U626)&lt;&gt;0)),1,0)</f>
        <v>0</v>
      </c>
      <c r="S1826">
        <f>N(S1825)+$R1826</f>
        <v>1</v>
      </c>
      <c r="T1826">
        <f>IF(AND($K1826=1,AND(对接源_02物料!$X626="公司筐",N(对接源_02物料!$V626)&lt;&gt;0)),1,0)</f>
        <v>0</v>
      </c>
      <c r="U1826">
        <f>N(U1825)+$T1826</f>
        <v>47</v>
      </c>
      <c r="V1826">
        <f>IF(AND($L1826=1,AND(对接源_02物料!$X626="自备筐",N(对接源_02物料!$V626)&lt;&gt;0)),1,0)</f>
        <v>0</v>
      </c>
      <c r="W1826">
        <f>N(W1825)+$V1826</f>
        <v>11</v>
      </c>
      <c r="X1826">
        <f>IF(AND($L1826=1,AND(对接源_02物料!$X626="自备筐",N(对接源_02物料!$T626)&lt;&gt;0)),1,0)</f>
        <v>0</v>
      </c>
      <c r="Y1826">
        <f>N(Y1825)+$X1826</f>
        <v>0</v>
      </c>
      <c r="Z1826">
        <f>IF(AND($M1826=1,对接源_02物料!$D626="原料入库"),1,0)</f>
        <v>0</v>
      </c>
      <c r="AA1826">
        <f>N(AA1825)+$Z1826</f>
        <v>24</v>
      </c>
      <c r="AB1826">
        <f>IF(AND($M1826=1,LEFT(对接源_02物料!$D626,4)="原料出库"),1,0)</f>
        <v>0</v>
      </c>
      <c r="AC1826">
        <f>N(AC1825)+$AB1826</f>
        <v>0</v>
      </c>
      <c r="AD1826">
        <f>IF(AND($M1826=1,LEFT(对接源_02物料!$D626,4)="成品出库"),1,0)</f>
        <v>0</v>
      </c>
      <c r="AE1826">
        <f>N(AE1825)+$AD1826</f>
        <v>0</v>
      </c>
      <c r="AF1826">
        <f>IF(AND($N1826=1,AND(LEFT(对接源_02物料!$D626,4)="包装物料",N(对接源_02物料!$K626)&lt;&gt;0)),1,0)</f>
        <v>0</v>
      </c>
      <c r="AG1826">
        <f>N(AG1825)+$AF1826</f>
        <v>10</v>
      </c>
      <c r="AH1826">
        <f>IF(AND($N1826=1,AND(对接源_02物料!$D626="周转筐－销售出库",N(对接源_02物料!$K626)&lt;&gt;0)),1,0)</f>
        <v>0</v>
      </c>
      <c r="AI1826">
        <f>N(AI1825)+$AH1826</f>
        <v>0</v>
      </c>
      <c r="AL1826" t="n">
        <v>0</v>
      </c>
      <c r="AM1826">
        <f>N(AM1825)+$AL1826</f>
        <v>2</v>
      </c>
      <c r="AN1826">
        <f>""</f>
      </c>
      <c r="AO1826" t="n">
        <v>0</v>
      </c>
      <c r="AP1826">
        <f>N(AP1825)+$AO1826</f>
        <v>13</v>
      </c>
      <c r="AR1826">
        <f>IF(OR($AF1826=1,$AH1826=1),1,0)</f>
        <v>0</v>
      </c>
      <c r="AS1826">
        <f>N(AS1825)+$AR1826</f>
        <v>10</v>
      </c>
    </row>
    <row r="1827" s="127">
      <c r="A1827">
        <f>IF(对接源_02物料!$C627="","",对接源_02物料!$C627)</f>
      </c>
      <c r="B1827">
        <f>IF(A1827="",0,IF(MATCH(A1827,$A$4:$A$2403,0)=ROW()-3,1,0))</f>
        <v>0</v>
      </c>
      <c r="C1827">
        <f>N(C1826)+B1827</f>
        <v>26</v>
      </c>
      <c r="K1827">
        <f>IF(OR($K$1="",对接源_02物料!$C627="",对接源_02物料!$C627&lt;&gt;$K$1,对接源_02物料!$B627=""),0,IF(OR(N(对接源_02物料!$B627)&lt;$K$2,N(对接源_02物料!$B627)&gt;$K$3),0,1))</f>
        <v>0</v>
      </c>
      <c r="L1827">
        <f>IF(OR($L$1="",对接源_02物料!$C627="",对接源_02物料!$C627&lt;&gt;$L$1,对接源_02物料!$B627=""),0,IF(OR(N(对接源_02物料!$B627)&lt;$L$2,N(对接源_02物料!$B627)&gt;$L$3),0,1))</f>
        <v>0</v>
      </c>
      <c r="M1827">
        <f>IF(OR($M$1="",对接源_02物料!$C627="",对接源_02物料!$C627&lt;&gt;$M$1,对接源_02物料!$B627=""),0,IF(OR(N(对接源_02物料!$B627)&lt;$M$2,N(对接源_02物料!$B627)&gt;$M$3),0,1))</f>
        <v>0</v>
      </c>
      <c r="N1827">
        <f>IF(OR($N$1="",对接源_02物料!$C627="",对接源_02物料!$C627&lt;&gt;$N$1,对接源_02物料!$B627=""),0,IF(OR(N(对接源_02物料!$B627)&lt;$N$2,N(对接源_02物料!$B627)&gt;$N$3),0,1))</f>
        <v>0</v>
      </c>
      <c r="P1827">
        <f>IF(AND($K1827=1,AND(对接源_02物料!$X627="公司筐",N(对接源_02物料!$T627)&lt;&gt;0)),1,0)</f>
        <v>0</v>
      </c>
      <c r="Q1827">
        <f>N(Q1826)+$P1827</f>
        <v>14</v>
      </c>
      <c r="R1827">
        <f>IF(AND($K1827=1,AND(对接源_02物料!$X627="公司筐",N(对接源_02物料!$U627)&lt;&gt;0)),1,0)</f>
        <v>0</v>
      </c>
      <c r="S1827">
        <f>N(S1826)+$R1827</f>
        <v>1</v>
      </c>
      <c r="T1827">
        <f>IF(AND($K1827=1,AND(对接源_02物料!$X627="公司筐",N(对接源_02物料!$V627)&lt;&gt;0)),1,0)</f>
        <v>0</v>
      </c>
      <c r="U1827">
        <f>N(U1826)+$T1827</f>
        <v>47</v>
      </c>
      <c r="V1827">
        <f>IF(AND($L1827=1,AND(对接源_02物料!$X627="自备筐",N(对接源_02物料!$V627)&lt;&gt;0)),1,0)</f>
        <v>0</v>
      </c>
      <c r="W1827">
        <f>N(W1826)+$V1827</f>
        <v>11</v>
      </c>
      <c r="X1827">
        <f>IF(AND($L1827=1,AND(对接源_02物料!$X627="自备筐",N(对接源_02物料!$T627)&lt;&gt;0)),1,0)</f>
        <v>0</v>
      </c>
      <c r="Y1827">
        <f>N(Y1826)+$X1827</f>
        <v>0</v>
      </c>
      <c r="Z1827">
        <f>IF(AND($M1827=1,对接源_02物料!$D627="原料入库"),1,0)</f>
        <v>0</v>
      </c>
      <c r="AA1827">
        <f>N(AA1826)+$Z1827</f>
        <v>24</v>
      </c>
      <c r="AB1827">
        <f>IF(AND($M1827=1,LEFT(对接源_02物料!$D627,4)="原料出库"),1,0)</f>
        <v>0</v>
      </c>
      <c r="AC1827">
        <f>N(AC1826)+$AB1827</f>
        <v>0</v>
      </c>
      <c r="AD1827">
        <f>IF(AND($M1827=1,LEFT(对接源_02物料!$D627,4)="成品出库"),1,0)</f>
        <v>0</v>
      </c>
      <c r="AE1827">
        <f>N(AE1826)+$AD1827</f>
        <v>0</v>
      </c>
      <c r="AF1827">
        <f>IF(AND($N1827=1,AND(LEFT(对接源_02物料!$D627,4)="包装物料",N(对接源_02物料!$K627)&lt;&gt;0)),1,0)</f>
        <v>0</v>
      </c>
      <c r="AG1827">
        <f>N(AG1826)+$AF1827</f>
        <v>10</v>
      </c>
      <c r="AH1827">
        <f>IF(AND($N1827=1,AND(对接源_02物料!$D627="周转筐－销售出库",N(对接源_02物料!$K627)&lt;&gt;0)),1,0)</f>
        <v>0</v>
      </c>
      <c r="AI1827">
        <f>N(AI1826)+$AH1827</f>
        <v>0</v>
      </c>
      <c r="AL1827" t="n">
        <v>0</v>
      </c>
      <c r="AM1827">
        <f>N(AM1826)+$AL1827</f>
        <v>2</v>
      </c>
      <c r="AN1827">
        <f>""</f>
      </c>
      <c r="AO1827" t="n">
        <v>0</v>
      </c>
      <c r="AP1827">
        <f>N(AP1826)+$AO1827</f>
        <v>13</v>
      </c>
      <c r="AR1827">
        <f>IF(OR($AF1827=1,$AH1827=1),1,0)</f>
        <v>0</v>
      </c>
      <c r="AS1827">
        <f>N(AS1826)+$AR1827</f>
        <v>10</v>
      </c>
    </row>
    <row r="1828" s="127">
      <c r="A1828">
        <f>IF(对接源_02物料!$C628="","",对接源_02物料!$C628)</f>
      </c>
      <c r="B1828">
        <f>IF(A1828="",0,IF(MATCH(A1828,$A$4:$A$2403,0)=ROW()-3,1,0))</f>
        <v>0</v>
      </c>
      <c r="C1828">
        <f>N(C1827)+B1828</f>
        <v>26</v>
      </c>
      <c r="K1828">
        <f>IF(OR($K$1="",对接源_02物料!$C628="",对接源_02物料!$C628&lt;&gt;$K$1,对接源_02物料!$B628=""),0,IF(OR(N(对接源_02物料!$B628)&lt;$K$2,N(对接源_02物料!$B628)&gt;$K$3),0,1))</f>
        <v>0</v>
      </c>
      <c r="L1828">
        <f>IF(OR($L$1="",对接源_02物料!$C628="",对接源_02物料!$C628&lt;&gt;$L$1,对接源_02物料!$B628=""),0,IF(OR(N(对接源_02物料!$B628)&lt;$L$2,N(对接源_02物料!$B628)&gt;$L$3),0,1))</f>
        <v>0</v>
      </c>
      <c r="M1828">
        <f>IF(OR($M$1="",对接源_02物料!$C628="",对接源_02物料!$C628&lt;&gt;$M$1,对接源_02物料!$B628=""),0,IF(OR(N(对接源_02物料!$B628)&lt;$M$2,N(对接源_02物料!$B628)&gt;$M$3),0,1))</f>
        <v>0</v>
      </c>
      <c r="N1828">
        <f>IF(OR($N$1="",对接源_02物料!$C628="",对接源_02物料!$C628&lt;&gt;$N$1,对接源_02物料!$B628=""),0,IF(OR(N(对接源_02物料!$B628)&lt;$N$2,N(对接源_02物料!$B628)&gt;$N$3),0,1))</f>
        <v>0</v>
      </c>
      <c r="P1828">
        <f>IF(AND($K1828=1,AND(对接源_02物料!$X628="公司筐",N(对接源_02物料!$T628)&lt;&gt;0)),1,0)</f>
        <v>0</v>
      </c>
      <c r="Q1828">
        <f>N(Q1827)+$P1828</f>
        <v>14</v>
      </c>
      <c r="R1828">
        <f>IF(AND($K1828=1,AND(对接源_02物料!$X628="公司筐",N(对接源_02物料!$U628)&lt;&gt;0)),1,0)</f>
        <v>0</v>
      </c>
      <c r="S1828">
        <f>N(S1827)+$R1828</f>
        <v>1</v>
      </c>
      <c r="T1828">
        <f>IF(AND($K1828=1,AND(对接源_02物料!$X628="公司筐",N(对接源_02物料!$V628)&lt;&gt;0)),1,0)</f>
        <v>0</v>
      </c>
      <c r="U1828">
        <f>N(U1827)+$T1828</f>
        <v>47</v>
      </c>
      <c r="V1828">
        <f>IF(AND($L1828=1,AND(对接源_02物料!$X628="自备筐",N(对接源_02物料!$V628)&lt;&gt;0)),1,0)</f>
        <v>0</v>
      </c>
      <c r="W1828">
        <f>N(W1827)+$V1828</f>
        <v>11</v>
      </c>
      <c r="X1828">
        <f>IF(AND($L1828=1,AND(对接源_02物料!$X628="自备筐",N(对接源_02物料!$T628)&lt;&gt;0)),1,0)</f>
        <v>0</v>
      </c>
      <c r="Y1828">
        <f>N(Y1827)+$X1828</f>
        <v>0</v>
      </c>
      <c r="Z1828">
        <f>IF(AND($M1828=1,对接源_02物料!$D628="原料入库"),1,0)</f>
        <v>0</v>
      </c>
      <c r="AA1828">
        <f>N(AA1827)+$Z1828</f>
        <v>24</v>
      </c>
      <c r="AB1828">
        <f>IF(AND($M1828=1,LEFT(对接源_02物料!$D628,4)="原料出库"),1,0)</f>
        <v>0</v>
      </c>
      <c r="AC1828">
        <f>N(AC1827)+$AB1828</f>
        <v>0</v>
      </c>
      <c r="AD1828">
        <f>IF(AND($M1828=1,LEFT(对接源_02物料!$D628,4)="成品出库"),1,0)</f>
        <v>0</v>
      </c>
      <c r="AE1828">
        <f>N(AE1827)+$AD1828</f>
        <v>0</v>
      </c>
      <c r="AF1828">
        <f>IF(AND($N1828=1,AND(LEFT(对接源_02物料!$D628,4)="包装物料",N(对接源_02物料!$K628)&lt;&gt;0)),1,0)</f>
        <v>0</v>
      </c>
      <c r="AG1828">
        <f>N(AG1827)+$AF1828</f>
        <v>10</v>
      </c>
      <c r="AH1828">
        <f>IF(AND($N1828=1,AND(对接源_02物料!$D628="周转筐－销售出库",N(对接源_02物料!$K628)&lt;&gt;0)),1,0)</f>
        <v>0</v>
      </c>
      <c r="AI1828">
        <f>N(AI1827)+$AH1828</f>
        <v>0</v>
      </c>
      <c r="AL1828" t="n">
        <v>0</v>
      </c>
      <c r="AM1828">
        <f>N(AM1827)+$AL1828</f>
        <v>2</v>
      </c>
      <c r="AN1828">
        <f>""</f>
      </c>
      <c r="AO1828" t="n">
        <v>0</v>
      </c>
      <c r="AP1828">
        <f>N(AP1827)+$AO1828</f>
        <v>13</v>
      </c>
      <c r="AR1828">
        <f>IF(OR($AF1828=1,$AH1828=1),1,0)</f>
        <v>0</v>
      </c>
      <c r="AS1828">
        <f>N(AS1827)+$AR1828</f>
        <v>10</v>
      </c>
    </row>
    <row r="1829" s="127">
      <c r="A1829">
        <f>IF(对接源_02物料!$C629="","",对接源_02物料!$C629)</f>
      </c>
      <c r="B1829">
        <f>IF(A1829="",0,IF(MATCH(A1829,$A$4:$A$2403,0)=ROW()-3,1,0))</f>
        <v>0</v>
      </c>
      <c r="C1829">
        <f>N(C1828)+B1829</f>
        <v>26</v>
      </c>
      <c r="K1829">
        <f>IF(OR($K$1="",对接源_02物料!$C629="",对接源_02物料!$C629&lt;&gt;$K$1,对接源_02物料!$B629=""),0,IF(OR(N(对接源_02物料!$B629)&lt;$K$2,N(对接源_02物料!$B629)&gt;$K$3),0,1))</f>
        <v>0</v>
      </c>
      <c r="L1829">
        <f>IF(OR($L$1="",对接源_02物料!$C629="",对接源_02物料!$C629&lt;&gt;$L$1,对接源_02物料!$B629=""),0,IF(OR(N(对接源_02物料!$B629)&lt;$L$2,N(对接源_02物料!$B629)&gt;$L$3),0,1))</f>
        <v>0</v>
      </c>
      <c r="M1829">
        <f>IF(OR($M$1="",对接源_02物料!$C629="",对接源_02物料!$C629&lt;&gt;$M$1,对接源_02物料!$B629=""),0,IF(OR(N(对接源_02物料!$B629)&lt;$M$2,N(对接源_02物料!$B629)&gt;$M$3),0,1))</f>
        <v>0</v>
      </c>
      <c r="N1829">
        <f>IF(OR($N$1="",对接源_02物料!$C629="",对接源_02物料!$C629&lt;&gt;$N$1,对接源_02物料!$B629=""),0,IF(OR(N(对接源_02物料!$B629)&lt;$N$2,N(对接源_02物料!$B629)&gt;$N$3),0,1))</f>
        <v>0</v>
      </c>
      <c r="P1829">
        <f>IF(AND($K1829=1,AND(对接源_02物料!$X629="公司筐",N(对接源_02物料!$T629)&lt;&gt;0)),1,0)</f>
        <v>0</v>
      </c>
      <c r="Q1829">
        <f>N(Q1828)+$P1829</f>
        <v>14</v>
      </c>
      <c r="R1829">
        <f>IF(AND($K1829=1,AND(对接源_02物料!$X629="公司筐",N(对接源_02物料!$U629)&lt;&gt;0)),1,0)</f>
        <v>0</v>
      </c>
      <c r="S1829">
        <f>N(S1828)+$R1829</f>
        <v>1</v>
      </c>
      <c r="T1829">
        <f>IF(AND($K1829=1,AND(对接源_02物料!$X629="公司筐",N(对接源_02物料!$V629)&lt;&gt;0)),1,0)</f>
        <v>0</v>
      </c>
      <c r="U1829">
        <f>N(U1828)+$T1829</f>
        <v>47</v>
      </c>
      <c r="V1829">
        <f>IF(AND($L1829=1,AND(对接源_02物料!$X629="自备筐",N(对接源_02物料!$V629)&lt;&gt;0)),1,0)</f>
        <v>0</v>
      </c>
      <c r="W1829">
        <f>N(W1828)+$V1829</f>
        <v>11</v>
      </c>
      <c r="X1829">
        <f>IF(AND($L1829=1,AND(对接源_02物料!$X629="自备筐",N(对接源_02物料!$T629)&lt;&gt;0)),1,0)</f>
        <v>0</v>
      </c>
      <c r="Y1829">
        <f>N(Y1828)+$X1829</f>
        <v>0</v>
      </c>
      <c r="Z1829">
        <f>IF(AND($M1829=1,对接源_02物料!$D629="原料入库"),1,0)</f>
        <v>0</v>
      </c>
      <c r="AA1829">
        <f>N(AA1828)+$Z1829</f>
        <v>24</v>
      </c>
      <c r="AB1829">
        <f>IF(AND($M1829=1,LEFT(对接源_02物料!$D629,4)="原料出库"),1,0)</f>
        <v>0</v>
      </c>
      <c r="AC1829">
        <f>N(AC1828)+$AB1829</f>
        <v>0</v>
      </c>
      <c r="AD1829">
        <f>IF(AND($M1829=1,LEFT(对接源_02物料!$D629,4)="成品出库"),1,0)</f>
        <v>0</v>
      </c>
      <c r="AE1829">
        <f>N(AE1828)+$AD1829</f>
        <v>0</v>
      </c>
      <c r="AF1829">
        <f>IF(AND($N1829=1,AND(LEFT(对接源_02物料!$D629,4)="包装物料",N(对接源_02物料!$K629)&lt;&gt;0)),1,0)</f>
        <v>0</v>
      </c>
      <c r="AG1829">
        <f>N(AG1828)+$AF1829</f>
        <v>10</v>
      </c>
      <c r="AH1829">
        <f>IF(AND($N1829=1,AND(对接源_02物料!$D629="周转筐－销售出库",N(对接源_02物料!$K629)&lt;&gt;0)),1,0)</f>
        <v>0</v>
      </c>
      <c r="AI1829">
        <f>N(AI1828)+$AH1829</f>
        <v>0</v>
      </c>
      <c r="AL1829" t="n">
        <v>0</v>
      </c>
      <c r="AM1829">
        <f>N(AM1828)+$AL1829</f>
        <v>2</v>
      </c>
      <c r="AN1829">
        <f>""</f>
      </c>
      <c r="AO1829" t="n">
        <v>0</v>
      </c>
      <c r="AP1829">
        <f>N(AP1828)+$AO1829</f>
        <v>13</v>
      </c>
      <c r="AR1829">
        <f>IF(OR($AF1829=1,$AH1829=1),1,0)</f>
        <v>0</v>
      </c>
      <c r="AS1829">
        <f>N(AS1828)+$AR1829</f>
        <v>10</v>
      </c>
    </row>
    <row r="1830" s="127">
      <c r="A1830">
        <f>IF(对接源_02物料!$C630="","",对接源_02物料!$C630)</f>
      </c>
      <c r="B1830">
        <f>IF(A1830="",0,IF(MATCH(A1830,$A$4:$A$2403,0)=ROW()-3,1,0))</f>
        <v>0</v>
      </c>
      <c r="C1830">
        <f>N(C1829)+B1830</f>
        <v>26</v>
      </c>
      <c r="K1830">
        <f>IF(OR($K$1="",对接源_02物料!$C630="",对接源_02物料!$C630&lt;&gt;$K$1,对接源_02物料!$B630=""),0,IF(OR(N(对接源_02物料!$B630)&lt;$K$2,N(对接源_02物料!$B630)&gt;$K$3),0,1))</f>
        <v>0</v>
      </c>
      <c r="L1830">
        <f>IF(OR($L$1="",对接源_02物料!$C630="",对接源_02物料!$C630&lt;&gt;$L$1,对接源_02物料!$B630=""),0,IF(OR(N(对接源_02物料!$B630)&lt;$L$2,N(对接源_02物料!$B630)&gt;$L$3),0,1))</f>
        <v>0</v>
      </c>
      <c r="M1830">
        <f>IF(OR($M$1="",对接源_02物料!$C630="",对接源_02物料!$C630&lt;&gt;$M$1,对接源_02物料!$B630=""),0,IF(OR(N(对接源_02物料!$B630)&lt;$M$2,N(对接源_02物料!$B630)&gt;$M$3),0,1))</f>
        <v>0</v>
      </c>
      <c r="N1830">
        <f>IF(OR($N$1="",对接源_02物料!$C630="",对接源_02物料!$C630&lt;&gt;$N$1,对接源_02物料!$B630=""),0,IF(OR(N(对接源_02物料!$B630)&lt;$N$2,N(对接源_02物料!$B630)&gt;$N$3),0,1))</f>
        <v>0</v>
      </c>
      <c r="P1830">
        <f>IF(AND($K1830=1,AND(对接源_02物料!$X630="公司筐",N(对接源_02物料!$T630)&lt;&gt;0)),1,0)</f>
        <v>0</v>
      </c>
      <c r="Q1830">
        <f>N(Q1829)+$P1830</f>
        <v>14</v>
      </c>
      <c r="R1830">
        <f>IF(AND($K1830=1,AND(对接源_02物料!$X630="公司筐",N(对接源_02物料!$U630)&lt;&gt;0)),1,0)</f>
        <v>0</v>
      </c>
      <c r="S1830">
        <f>N(S1829)+$R1830</f>
        <v>1</v>
      </c>
      <c r="T1830">
        <f>IF(AND($K1830=1,AND(对接源_02物料!$X630="公司筐",N(对接源_02物料!$V630)&lt;&gt;0)),1,0)</f>
        <v>0</v>
      </c>
      <c r="U1830">
        <f>N(U1829)+$T1830</f>
        <v>47</v>
      </c>
      <c r="V1830">
        <f>IF(AND($L1830=1,AND(对接源_02物料!$X630="自备筐",N(对接源_02物料!$V630)&lt;&gt;0)),1,0)</f>
        <v>0</v>
      </c>
      <c r="W1830">
        <f>N(W1829)+$V1830</f>
        <v>11</v>
      </c>
      <c r="X1830">
        <f>IF(AND($L1830=1,AND(对接源_02物料!$X630="自备筐",N(对接源_02物料!$T630)&lt;&gt;0)),1,0)</f>
        <v>0</v>
      </c>
      <c r="Y1830">
        <f>N(Y1829)+$X1830</f>
        <v>0</v>
      </c>
      <c r="Z1830">
        <f>IF(AND($M1830=1,对接源_02物料!$D630="原料入库"),1,0)</f>
        <v>0</v>
      </c>
      <c r="AA1830">
        <f>N(AA1829)+$Z1830</f>
        <v>24</v>
      </c>
      <c r="AB1830">
        <f>IF(AND($M1830=1,LEFT(对接源_02物料!$D630,4)="原料出库"),1,0)</f>
        <v>0</v>
      </c>
      <c r="AC1830">
        <f>N(AC1829)+$AB1830</f>
        <v>0</v>
      </c>
      <c r="AD1830">
        <f>IF(AND($M1830=1,LEFT(对接源_02物料!$D630,4)="成品出库"),1,0)</f>
        <v>0</v>
      </c>
      <c r="AE1830">
        <f>N(AE1829)+$AD1830</f>
        <v>0</v>
      </c>
      <c r="AF1830">
        <f>IF(AND($N1830=1,AND(LEFT(对接源_02物料!$D630,4)="包装物料",N(对接源_02物料!$K630)&lt;&gt;0)),1,0)</f>
        <v>0</v>
      </c>
      <c r="AG1830">
        <f>N(AG1829)+$AF1830</f>
        <v>10</v>
      </c>
      <c r="AH1830">
        <f>IF(AND($N1830=1,AND(对接源_02物料!$D630="周转筐－销售出库",N(对接源_02物料!$K630)&lt;&gt;0)),1,0)</f>
        <v>0</v>
      </c>
      <c r="AI1830">
        <f>N(AI1829)+$AH1830</f>
        <v>0</v>
      </c>
      <c r="AL1830" t="n">
        <v>0</v>
      </c>
      <c r="AM1830">
        <f>N(AM1829)+$AL1830</f>
        <v>2</v>
      </c>
      <c r="AN1830">
        <f>""</f>
      </c>
      <c r="AO1830" t="n">
        <v>0</v>
      </c>
      <c r="AP1830">
        <f>N(AP1829)+$AO1830</f>
        <v>13</v>
      </c>
      <c r="AR1830">
        <f>IF(OR($AF1830=1,$AH1830=1),1,0)</f>
        <v>0</v>
      </c>
      <c r="AS1830">
        <f>N(AS1829)+$AR1830</f>
        <v>10</v>
      </c>
    </row>
    <row r="1831" s="127">
      <c r="A1831">
        <f>IF(对接源_02物料!$C631="","",对接源_02物料!$C631)</f>
      </c>
      <c r="B1831">
        <f>IF(A1831="",0,IF(MATCH(A1831,$A$4:$A$2403,0)=ROW()-3,1,0))</f>
        <v>0</v>
      </c>
      <c r="C1831">
        <f>N(C1830)+B1831</f>
        <v>26</v>
      </c>
      <c r="K1831">
        <f>IF(OR($K$1="",对接源_02物料!$C631="",对接源_02物料!$C631&lt;&gt;$K$1,对接源_02物料!$B631=""),0,IF(OR(N(对接源_02物料!$B631)&lt;$K$2,N(对接源_02物料!$B631)&gt;$K$3),0,1))</f>
        <v>0</v>
      </c>
      <c r="L1831">
        <f>IF(OR($L$1="",对接源_02物料!$C631="",对接源_02物料!$C631&lt;&gt;$L$1,对接源_02物料!$B631=""),0,IF(OR(N(对接源_02物料!$B631)&lt;$L$2,N(对接源_02物料!$B631)&gt;$L$3),0,1))</f>
        <v>0</v>
      </c>
      <c r="M1831">
        <f>IF(OR($M$1="",对接源_02物料!$C631="",对接源_02物料!$C631&lt;&gt;$M$1,对接源_02物料!$B631=""),0,IF(OR(N(对接源_02物料!$B631)&lt;$M$2,N(对接源_02物料!$B631)&gt;$M$3),0,1))</f>
        <v>0</v>
      </c>
      <c r="N1831">
        <f>IF(OR($N$1="",对接源_02物料!$C631="",对接源_02物料!$C631&lt;&gt;$N$1,对接源_02物料!$B631=""),0,IF(OR(N(对接源_02物料!$B631)&lt;$N$2,N(对接源_02物料!$B631)&gt;$N$3),0,1))</f>
        <v>0</v>
      </c>
      <c r="P1831">
        <f>IF(AND($K1831=1,AND(对接源_02物料!$X631="公司筐",N(对接源_02物料!$T631)&lt;&gt;0)),1,0)</f>
        <v>0</v>
      </c>
      <c r="Q1831">
        <f>N(Q1830)+$P1831</f>
        <v>14</v>
      </c>
      <c r="R1831">
        <f>IF(AND($K1831=1,AND(对接源_02物料!$X631="公司筐",N(对接源_02物料!$U631)&lt;&gt;0)),1,0)</f>
        <v>0</v>
      </c>
      <c r="S1831">
        <f>N(S1830)+$R1831</f>
        <v>1</v>
      </c>
      <c r="T1831">
        <f>IF(AND($K1831=1,AND(对接源_02物料!$X631="公司筐",N(对接源_02物料!$V631)&lt;&gt;0)),1,0)</f>
        <v>0</v>
      </c>
      <c r="U1831">
        <f>N(U1830)+$T1831</f>
        <v>47</v>
      </c>
      <c r="V1831">
        <f>IF(AND($L1831=1,AND(对接源_02物料!$X631="自备筐",N(对接源_02物料!$V631)&lt;&gt;0)),1,0)</f>
        <v>0</v>
      </c>
      <c r="W1831">
        <f>N(W1830)+$V1831</f>
        <v>11</v>
      </c>
      <c r="X1831">
        <f>IF(AND($L1831=1,AND(对接源_02物料!$X631="自备筐",N(对接源_02物料!$T631)&lt;&gt;0)),1,0)</f>
        <v>0</v>
      </c>
      <c r="Y1831">
        <f>N(Y1830)+$X1831</f>
        <v>0</v>
      </c>
      <c r="Z1831">
        <f>IF(AND($M1831=1,对接源_02物料!$D631="原料入库"),1,0)</f>
        <v>0</v>
      </c>
      <c r="AA1831">
        <f>N(AA1830)+$Z1831</f>
        <v>24</v>
      </c>
      <c r="AB1831">
        <f>IF(AND($M1831=1,LEFT(对接源_02物料!$D631,4)="原料出库"),1,0)</f>
        <v>0</v>
      </c>
      <c r="AC1831">
        <f>N(AC1830)+$AB1831</f>
        <v>0</v>
      </c>
      <c r="AD1831">
        <f>IF(AND($M1831=1,LEFT(对接源_02物料!$D631,4)="成品出库"),1,0)</f>
        <v>0</v>
      </c>
      <c r="AE1831">
        <f>N(AE1830)+$AD1831</f>
        <v>0</v>
      </c>
      <c r="AF1831">
        <f>IF(AND($N1831=1,AND(LEFT(对接源_02物料!$D631,4)="包装物料",N(对接源_02物料!$K631)&lt;&gt;0)),1,0)</f>
        <v>0</v>
      </c>
      <c r="AG1831">
        <f>N(AG1830)+$AF1831</f>
        <v>10</v>
      </c>
      <c r="AH1831">
        <f>IF(AND($N1831=1,AND(对接源_02物料!$D631="周转筐－销售出库",N(对接源_02物料!$K631)&lt;&gt;0)),1,0)</f>
        <v>0</v>
      </c>
      <c r="AI1831">
        <f>N(AI1830)+$AH1831</f>
        <v>0</v>
      </c>
      <c r="AL1831" t="n">
        <v>0</v>
      </c>
      <c r="AM1831">
        <f>N(AM1830)+$AL1831</f>
        <v>2</v>
      </c>
      <c r="AN1831">
        <f>""</f>
      </c>
      <c r="AO1831" t="n">
        <v>0</v>
      </c>
      <c r="AP1831">
        <f>N(AP1830)+$AO1831</f>
        <v>13</v>
      </c>
      <c r="AR1831">
        <f>IF(OR($AF1831=1,$AH1831=1),1,0)</f>
        <v>0</v>
      </c>
      <c r="AS1831">
        <f>N(AS1830)+$AR1831</f>
        <v>10</v>
      </c>
    </row>
    <row r="1832" s="127">
      <c r="A1832">
        <f>IF(对接源_02物料!$C632="","",对接源_02物料!$C632)</f>
      </c>
      <c r="B1832">
        <f>IF(A1832="",0,IF(MATCH(A1832,$A$4:$A$2403,0)=ROW()-3,1,0))</f>
        <v>0</v>
      </c>
      <c r="C1832">
        <f>N(C1831)+B1832</f>
        <v>26</v>
      </c>
      <c r="K1832">
        <f>IF(OR($K$1="",对接源_02物料!$C632="",对接源_02物料!$C632&lt;&gt;$K$1,对接源_02物料!$B632=""),0,IF(OR(N(对接源_02物料!$B632)&lt;$K$2,N(对接源_02物料!$B632)&gt;$K$3),0,1))</f>
        <v>0</v>
      </c>
      <c r="L1832">
        <f>IF(OR($L$1="",对接源_02物料!$C632="",对接源_02物料!$C632&lt;&gt;$L$1,对接源_02物料!$B632=""),0,IF(OR(N(对接源_02物料!$B632)&lt;$L$2,N(对接源_02物料!$B632)&gt;$L$3),0,1))</f>
        <v>0</v>
      </c>
      <c r="M1832">
        <f>IF(OR($M$1="",对接源_02物料!$C632="",对接源_02物料!$C632&lt;&gt;$M$1,对接源_02物料!$B632=""),0,IF(OR(N(对接源_02物料!$B632)&lt;$M$2,N(对接源_02物料!$B632)&gt;$M$3),0,1))</f>
        <v>0</v>
      </c>
      <c r="N1832">
        <f>IF(OR($N$1="",对接源_02物料!$C632="",对接源_02物料!$C632&lt;&gt;$N$1,对接源_02物料!$B632=""),0,IF(OR(N(对接源_02物料!$B632)&lt;$N$2,N(对接源_02物料!$B632)&gt;$N$3),0,1))</f>
        <v>0</v>
      </c>
      <c r="P1832">
        <f>IF(AND($K1832=1,AND(对接源_02物料!$X632="公司筐",N(对接源_02物料!$T632)&lt;&gt;0)),1,0)</f>
        <v>0</v>
      </c>
      <c r="Q1832">
        <f>N(Q1831)+$P1832</f>
        <v>14</v>
      </c>
      <c r="R1832">
        <f>IF(AND($K1832=1,AND(对接源_02物料!$X632="公司筐",N(对接源_02物料!$U632)&lt;&gt;0)),1,0)</f>
        <v>0</v>
      </c>
      <c r="S1832">
        <f>N(S1831)+$R1832</f>
        <v>1</v>
      </c>
      <c r="T1832">
        <f>IF(AND($K1832=1,AND(对接源_02物料!$X632="公司筐",N(对接源_02物料!$V632)&lt;&gt;0)),1,0)</f>
        <v>0</v>
      </c>
      <c r="U1832">
        <f>N(U1831)+$T1832</f>
        <v>47</v>
      </c>
      <c r="V1832">
        <f>IF(AND($L1832=1,AND(对接源_02物料!$X632="自备筐",N(对接源_02物料!$V632)&lt;&gt;0)),1,0)</f>
        <v>0</v>
      </c>
      <c r="W1832">
        <f>N(W1831)+$V1832</f>
        <v>11</v>
      </c>
      <c r="X1832">
        <f>IF(AND($L1832=1,AND(对接源_02物料!$X632="自备筐",N(对接源_02物料!$T632)&lt;&gt;0)),1,0)</f>
        <v>0</v>
      </c>
      <c r="Y1832">
        <f>N(Y1831)+$X1832</f>
        <v>0</v>
      </c>
      <c r="Z1832">
        <f>IF(AND($M1832=1,对接源_02物料!$D632="原料入库"),1,0)</f>
        <v>0</v>
      </c>
      <c r="AA1832">
        <f>N(AA1831)+$Z1832</f>
        <v>24</v>
      </c>
      <c r="AB1832">
        <f>IF(AND($M1832=1,LEFT(对接源_02物料!$D632,4)="原料出库"),1,0)</f>
        <v>0</v>
      </c>
      <c r="AC1832">
        <f>N(AC1831)+$AB1832</f>
        <v>0</v>
      </c>
      <c r="AD1832">
        <f>IF(AND($M1832=1,LEFT(对接源_02物料!$D632,4)="成品出库"),1,0)</f>
        <v>0</v>
      </c>
      <c r="AE1832">
        <f>N(AE1831)+$AD1832</f>
        <v>0</v>
      </c>
      <c r="AF1832">
        <f>IF(AND($N1832=1,AND(LEFT(对接源_02物料!$D632,4)="包装物料",N(对接源_02物料!$K632)&lt;&gt;0)),1,0)</f>
        <v>0</v>
      </c>
      <c r="AG1832">
        <f>N(AG1831)+$AF1832</f>
        <v>10</v>
      </c>
      <c r="AH1832">
        <f>IF(AND($N1832=1,AND(对接源_02物料!$D632="周转筐－销售出库",N(对接源_02物料!$K632)&lt;&gt;0)),1,0)</f>
        <v>0</v>
      </c>
      <c r="AI1832">
        <f>N(AI1831)+$AH1832</f>
        <v>0</v>
      </c>
      <c r="AL1832" t="n">
        <v>0</v>
      </c>
      <c r="AM1832">
        <f>N(AM1831)+$AL1832</f>
        <v>2</v>
      </c>
      <c r="AN1832">
        <f>""</f>
      </c>
      <c r="AO1832" t="n">
        <v>0</v>
      </c>
      <c r="AP1832">
        <f>N(AP1831)+$AO1832</f>
        <v>13</v>
      </c>
      <c r="AR1832">
        <f>IF(OR($AF1832=1,$AH1832=1),1,0)</f>
        <v>0</v>
      </c>
      <c r="AS1832">
        <f>N(AS1831)+$AR1832</f>
        <v>10</v>
      </c>
    </row>
    <row r="1833" s="127">
      <c r="A1833">
        <f>IF(对接源_02物料!$C633="","",对接源_02物料!$C633)</f>
      </c>
      <c r="B1833">
        <f>IF(A1833="",0,IF(MATCH(A1833,$A$4:$A$2403,0)=ROW()-3,1,0))</f>
        <v>0</v>
      </c>
      <c r="C1833">
        <f>N(C1832)+B1833</f>
        <v>26</v>
      </c>
      <c r="K1833">
        <f>IF(OR($K$1="",对接源_02物料!$C633="",对接源_02物料!$C633&lt;&gt;$K$1,对接源_02物料!$B633=""),0,IF(OR(N(对接源_02物料!$B633)&lt;$K$2,N(对接源_02物料!$B633)&gt;$K$3),0,1))</f>
        <v>0</v>
      </c>
      <c r="L1833">
        <f>IF(OR($L$1="",对接源_02物料!$C633="",对接源_02物料!$C633&lt;&gt;$L$1,对接源_02物料!$B633=""),0,IF(OR(N(对接源_02物料!$B633)&lt;$L$2,N(对接源_02物料!$B633)&gt;$L$3),0,1))</f>
        <v>0</v>
      </c>
      <c r="M1833">
        <f>IF(OR($M$1="",对接源_02物料!$C633="",对接源_02物料!$C633&lt;&gt;$M$1,对接源_02物料!$B633=""),0,IF(OR(N(对接源_02物料!$B633)&lt;$M$2,N(对接源_02物料!$B633)&gt;$M$3),0,1))</f>
        <v>0</v>
      </c>
      <c r="N1833">
        <f>IF(OR($N$1="",对接源_02物料!$C633="",对接源_02物料!$C633&lt;&gt;$N$1,对接源_02物料!$B633=""),0,IF(OR(N(对接源_02物料!$B633)&lt;$N$2,N(对接源_02物料!$B633)&gt;$N$3),0,1))</f>
        <v>0</v>
      </c>
      <c r="P1833">
        <f>IF(AND($K1833=1,AND(对接源_02物料!$X633="公司筐",N(对接源_02物料!$T633)&lt;&gt;0)),1,0)</f>
        <v>0</v>
      </c>
      <c r="Q1833">
        <f>N(Q1832)+$P1833</f>
        <v>14</v>
      </c>
      <c r="R1833">
        <f>IF(AND($K1833=1,AND(对接源_02物料!$X633="公司筐",N(对接源_02物料!$U633)&lt;&gt;0)),1,0)</f>
        <v>0</v>
      </c>
      <c r="S1833">
        <f>N(S1832)+$R1833</f>
        <v>1</v>
      </c>
      <c r="T1833">
        <f>IF(AND($K1833=1,AND(对接源_02物料!$X633="公司筐",N(对接源_02物料!$V633)&lt;&gt;0)),1,0)</f>
        <v>0</v>
      </c>
      <c r="U1833">
        <f>N(U1832)+$T1833</f>
        <v>47</v>
      </c>
      <c r="V1833">
        <f>IF(AND($L1833=1,AND(对接源_02物料!$X633="自备筐",N(对接源_02物料!$V633)&lt;&gt;0)),1,0)</f>
        <v>0</v>
      </c>
      <c r="W1833">
        <f>N(W1832)+$V1833</f>
        <v>11</v>
      </c>
      <c r="X1833">
        <f>IF(AND($L1833=1,AND(对接源_02物料!$X633="自备筐",N(对接源_02物料!$T633)&lt;&gt;0)),1,0)</f>
        <v>0</v>
      </c>
      <c r="Y1833">
        <f>N(Y1832)+$X1833</f>
        <v>0</v>
      </c>
      <c r="Z1833">
        <f>IF(AND($M1833=1,对接源_02物料!$D633="原料入库"),1,0)</f>
        <v>0</v>
      </c>
      <c r="AA1833">
        <f>N(AA1832)+$Z1833</f>
        <v>24</v>
      </c>
      <c r="AB1833">
        <f>IF(AND($M1833=1,LEFT(对接源_02物料!$D633,4)="原料出库"),1,0)</f>
        <v>0</v>
      </c>
      <c r="AC1833">
        <f>N(AC1832)+$AB1833</f>
        <v>0</v>
      </c>
      <c r="AD1833">
        <f>IF(AND($M1833=1,LEFT(对接源_02物料!$D633,4)="成品出库"),1,0)</f>
        <v>0</v>
      </c>
      <c r="AE1833">
        <f>N(AE1832)+$AD1833</f>
        <v>0</v>
      </c>
      <c r="AF1833">
        <f>IF(AND($N1833=1,AND(LEFT(对接源_02物料!$D633,4)="包装物料",N(对接源_02物料!$K633)&lt;&gt;0)),1,0)</f>
        <v>0</v>
      </c>
      <c r="AG1833">
        <f>N(AG1832)+$AF1833</f>
        <v>10</v>
      </c>
      <c r="AH1833">
        <f>IF(AND($N1833=1,AND(对接源_02物料!$D633="周转筐－销售出库",N(对接源_02物料!$K633)&lt;&gt;0)),1,0)</f>
        <v>0</v>
      </c>
      <c r="AI1833">
        <f>N(AI1832)+$AH1833</f>
        <v>0</v>
      </c>
      <c r="AL1833" t="n">
        <v>0</v>
      </c>
      <c r="AM1833">
        <f>N(AM1832)+$AL1833</f>
        <v>2</v>
      </c>
      <c r="AN1833">
        <f>""</f>
      </c>
      <c r="AO1833" t="n">
        <v>0</v>
      </c>
      <c r="AP1833">
        <f>N(AP1832)+$AO1833</f>
        <v>13</v>
      </c>
      <c r="AR1833">
        <f>IF(OR($AF1833=1,$AH1833=1),1,0)</f>
        <v>0</v>
      </c>
      <c r="AS1833">
        <f>N(AS1832)+$AR1833</f>
        <v>10</v>
      </c>
    </row>
    <row r="1834" s="127">
      <c r="A1834">
        <f>IF(对接源_02物料!$C634="","",对接源_02物料!$C634)</f>
      </c>
      <c r="B1834">
        <f>IF(A1834="",0,IF(MATCH(A1834,$A$4:$A$2403,0)=ROW()-3,1,0))</f>
        <v>0</v>
      </c>
      <c r="C1834">
        <f>N(C1833)+B1834</f>
        <v>26</v>
      </c>
      <c r="K1834">
        <f>IF(OR($K$1="",对接源_02物料!$C634="",对接源_02物料!$C634&lt;&gt;$K$1,对接源_02物料!$B634=""),0,IF(OR(N(对接源_02物料!$B634)&lt;$K$2,N(对接源_02物料!$B634)&gt;$K$3),0,1))</f>
        <v>0</v>
      </c>
      <c r="L1834">
        <f>IF(OR($L$1="",对接源_02物料!$C634="",对接源_02物料!$C634&lt;&gt;$L$1,对接源_02物料!$B634=""),0,IF(OR(N(对接源_02物料!$B634)&lt;$L$2,N(对接源_02物料!$B634)&gt;$L$3),0,1))</f>
        <v>0</v>
      </c>
      <c r="M1834">
        <f>IF(OR($M$1="",对接源_02物料!$C634="",对接源_02物料!$C634&lt;&gt;$M$1,对接源_02物料!$B634=""),0,IF(OR(N(对接源_02物料!$B634)&lt;$M$2,N(对接源_02物料!$B634)&gt;$M$3),0,1))</f>
        <v>0</v>
      </c>
      <c r="N1834">
        <f>IF(OR($N$1="",对接源_02物料!$C634="",对接源_02物料!$C634&lt;&gt;$N$1,对接源_02物料!$B634=""),0,IF(OR(N(对接源_02物料!$B634)&lt;$N$2,N(对接源_02物料!$B634)&gt;$N$3),0,1))</f>
        <v>0</v>
      </c>
      <c r="P1834">
        <f>IF(AND($K1834=1,AND(对接源_02物料!$X634="公司筐",N(对接源_02物料!$T634)&lt;&gt;0)),1,0)</f>
        <v>0</v>
      </c>
      <c r="Q1834">
        <f>N(Q1833)+$P1834</f>
        <v>14</v>
      </c>
      <c r="R1834">
        <f>IF(AND($K1834=1,AND(对接源_02物料!$X634="公司筐",N(对接源_02物料!$U634)&lt;&gt;0)),1,0)</f>
        <v>0</v>
      </c>
      <c r="S1834">
        <f>N(S1833)+$R1834</f>
        <v>1</v>
      </c>
      <c r="T1834">
        <f>IF(AND($K1834=1,AND(对接源_02物料!$X634="公司筐",N(对接源_02物料!$V634)&lt;&gt;0)),1,0)</f>
        <v>0</v>
      </c>
      <c r="U1834">
        <f>N(U1833)+$T1834</f>
        <v>47</v>
      </c>
      <c r="V1834">
        <f>IF(AND($L1834=1,AND(对接源_02物料!$X634="自备筐",N(对接源_02物料!$V634)&lt;&gt;0)),1,0)</f>
        <v>0</v>
      </c>
      <c r="W1834">
        <f>N(W1833)+$V1834</f>
        <v>11</v>
      </c>
      <c r="X1834">
        <f>IF(AND($L1834=1,AND(对接源_02物料!$X634="自备筐",N(对接源_02物料!$T634)&lt;&gt;0)),1,0)</f>
        <v>0</v>
      </c>
      <c r="Y1834">
        <f>N(Y1833)+$X1834</f>
        <v>0</v>
      </c>
      <c r="Z1834">
        <f>IF(AND($M1834=1,对接源_02物料!$D634="原料入库"),1,0)</f>
        <v>0</v>
      </c>
      <c r="AA1834">
        <f>N(AA1833)+$Z1834</f>
        <v>24</v>
      </c>
      <c r="AB1834">
        <f>IF(AND($M1834=1,LEFT(对接源_02物料!$D634,4)="原料出库"),1,0)</f>
        <v>0</v>
      </c>
      <c r="AC1834">
        <f>N(AC1833)+$AB1834</f>
        <v>0</v>
      </c>
      <c r="AD1834">
        <f>IF(AND($M1834=1,LEFT(对接源_02物料!$D634,4)="成品出库"),1,0)</f>
        <v>0</v>
      </c>
      <c r="AE1834">
        <f>N(AE1833)+$AD1834</f>
        <v>0</v>
      </c>
      <c r="AF1834">
        <f>IF(AND($N1834=1,AND(LEFT(对接源_02物料!$D634,4)="包装物料",N(对接源_02物料!$K634)&lt;&gt;0)),1,0)</f>
        <v>0</v>
      </c>
      <c r="AG1834">
        <f>N(AG1833)+$AF1834</f>
        <v>10</v>
      </c>
      <c r="AH1834">
        <f>IF(AND($N1834=1,AND(对接源_02物料!$D634="周转筐－销售出库",N(对接源_02物料!$K634)&lt;&gt;0)),1,0)</f>
        <v>0</v>
      </c>
      <c r="AI1834">
        <f>N(AI1833)+$AH1834</f>
        <v>0</v>
      </c>
      <c r="AL1834" t="n">
        <v>0</v>
      </c>
      <c r="AM1834">
        <f>N(AM1833)+$AL1834</f>
        <v>2</v>
      </c>
      <c r="AN1834">
        <f>""</f>
      </c>
      <c r="AO1834" t="n">
        <v>0</v>
      </c>
      <c r="AP1834">
        <f>N(AP1833)+$AO1834</f>
        <v>13</v>
      </c>
      <c r="AR1834">
        <f>IF(OR($AF1834=1,$AH1834=1),1,0)</f>
        <v>0</v>
      </c>
      <c r="AS1834">
        <f>N(AS1833)+$AR1834</f>
        <v>10</v>
      </c>
    </row>
    <row r="1835" s="127">
      <c r="A1835">
        <f>IF(对接源_02物料!$C635="","",对接源_02物料!$C635)</f>
      </c>
      <c r="B1835">
        <f>IF(A1835="",0,IF(MATCH(A1835,$A$4:$A$2403,0)=ROW()-3,1,0))</f>
        <v>0</v>
      </c>
      <c r="C1835">
        <f>N(C1834)+B1835</f>
        <v>26</v>
      </c>
      <c r="K1835">
        <f>IF(OR($K$1="",对接源_02物料!$C635="",对接源_02物料!$C635&lt;&gt;$K$1,对接源_02物料!$B635=""),0,IF(OR(N(对接源_02物料!$B635)&lt;$K$2,N(对接源_02物料!$B635)&gt;$K$3),0,1))</f>
        <v>0</v>
      </c>
      <c r="L1835">
        <f>IF(OR($L$1="",对接源_02物料!$C635="",对接源_02物料!$C635&lt;&gt;$L$1,对接源_02物料!$B635=""),0,IF(OR(N(对接源_02物料!$B635)&lt;$L$2,N(对接源_02物料!$B635)&gt;$L$3),0,1))</f>
        <v>0</v>
      </c>
      <c r="M1835">
        <f>IF(OR($M$1="",对接源_02物料!$C635="",对接源_02物料!$C635&lt;&gt;$M$1,对接源_02物料!$B635=""),0,IF(OR(N(对接源_02物料!$B635)&lt;$M$2,N(对接源_02物料!$B635)&gt;$M$3),0,1))</f>
        <v>0</v>
      </c>
      <c r="N1835">
        <f>IF(OR($N$1="",对接源_02物料!$C635="",对接源_02物料!$C635&lt;&gt;$N$1,对接源_02物料!$B635=""),0,IF(OR(N(对接源_02物料!$B635)&lt;$N$2,N(对接源_02物料!$B635)&gt;$N$3),0,1))</f>
        <v>0</v>
      </c>
      <c r="P1835">
        <f>IF(AND($K1835=1,AND(对接源_02物料!$X635="公司筐",N(对接源_02物料!$T635)&lt;&gt;0)),1,0)</f>
        <v>0</v>
      </c>
      <c r="Q1835">
        <f>N(Q1834)+$P1835</f>
        <v>14</v>
      </c>
      <c r="R1835">
        <f>IF(AND($K1835=1,AND(对接源_02物料!$X635="公司筐",N(对接源_02物料!$U635)&lt;&gt;0)),1,0)</f>
        <v>0</v>
      </c>
      <c r="S1835">
        <f>N(S1834)+$R1835</f>
        <v>1</v>
      </c>
      <c r="T1835">
        <f>IF(AND($K1835=1,AND(对接源_02物料!$X635="公司筐",N(对接源_02物料!$V635)&lt;&gt;0)),1,0)</f>
        <v>0</v>
      </c>
      <c r="U1835">
        <f>N(U1834)+$T1835</f>
        <v>47</v>
      </c>
      <c r="V1835">
        <f>IF(AND($L1835=1,AND(对接源_02物料!$X635="自备筐",N(对接源_02物料!$V635)&lt;&gt;0)),1,0)</f>
        <v>0</v>
      </c>
      <c r="W1835">
        <f>N(W1834)+$V1835</f>
        <v>11</v>
      </c>
      <c r="X1835">
        <f>IF(AND($L1835=1,AND(对接源_02物料!$X635="自备筐",N(对接源_02物料!$T635)&lt;&gt;0)),1,0)</f>
        <v>0</v>
      </c>
      <c r="Y1835">
        <f>N(Y1834)+$X1835</f>
        <v>0</v>
      </c>
      <c r="Z1835">
        <f>IF(AND($M1835=1,对接源_02物料!$D635="原料入库"),1,0)</f>
        <v>0</v>
      </c>
      <c r="AA1835">
        <f>N(AA1834)+$Z1835</f>
        <v>24</v>
      </c>
      <c r="AB1835">
        <f>IF(AND($M1835=1,LEFT(对接源_02物料!$D635,4)="原料出库"),1,0)</f>
        <v>0</v>
      </c>
      <c r="AC1835">
        <f>N(AC1834)+$AB1835</f>
        <v>0</v>
      </c>
      <c r="AD1835">
        <f>IF(AND($M1835=1,LEFT(对接源_02物料!$D635,4)="成品出库"),1,0)</f>
        <v>0</v>
      </c>
      <c r="AE1835">
        <f>N(AE1834)+$AD1835</f>
        <v>0</v>
      </c>
      <c r="AF1835">
        <f>IF(AND($N1835=1,AND(LEFT(对接源_02物料!$D635,4)="包装物料",N(对接源_02物料!$K635)&lt;&gt;0)),1,0)</f>
        <v>0</v>
      </c>
      <c r="AG1835">
        <f>N(AG1834)+$AF1835</f>
        <v>10</v>
      </c>
      <c r="AH1835">
        <f>IF(AND($N1835=1,AND(对接源_02物料!$D635="周转筐－销售出库",N(对接源_02物料!$K635)&lt;&gt;0)),1,0)</f>
        <v>0</v>
      </c>
      <c r="AI1835">
        <f>N(AI1834)+$AH1835</f>
        <v>0</v>
      </c>
      <c r="AL1835" t="n">
        <v>0</v>
      </c>
      <c r="AM1835">
        <f>N(AM1834)+$AL1835</f>
        <v>2</v>
      </c>
      <c r="AN1835">
        <f>""</f>
      </c>
      <c r="AO1835" t="n">
        <v>0</v>
      </c>
      <c r="AP1835">
        <f>N(AP1834)+$AO1835</f>
        <v>13</v>
      </c>
      <c r="AR1835">
        <f>IF(OR($AF1835=1,$AH1835=1),1,0)</f>
        <v>0</v>
      </c>
      <c r="AS1835">
        <f>N(AS1834)+$AR1835</f>
        <v>10</v>
      </c>
    </row>
    <row r="1836" s="127">
      <c r="A1836">
        <f>IF(对接源_02物料!$C636="","",对接源_02物料!$C636)</f>
      </c>
      <c r="B1836">
        <f>IF(A1836="",0,IF(MATCH(A1836,$A$4:$A$2403,0)=ROW()-3,1,0))</f>
        <v>0</v>
      </c>
      <c r="C1836">
        <f>N(C1835)+B1836</f>
        <v>26</v>
      </c>
      <c r="K1836">
        <f>IF(OR($K$1="",对接源_02物料!$C636="",对接源_02物料!$C636&lt;&gt;$K$1,对接源_02物料!$B636=""),0,IF(OR(N(对接源_02物料!$B636)&lt;$K$2,N(对接源_02物料!$B636)&gt;$K$3),0,1))</f>
        <v>0</v>
      </c>
      <c r="L1836">
        <f>IF(OR($L$1="",对接源_02物料!$C636="",对接源_02物料!$C636&lt;&gt;$L$1,对接源_02物料!$B636=""),0,IF(OR(N(对接源_02物料!$B636)&lt;$L$2,N(对接源_02物料!$B636)&gt;$L$3),0,1))</f>
        <v>0</v>
      </c>
      <c r="M1836">
        <f>IF(OR($M$1="",对接源_02物料!$C636="",对接源_02物料!$C636&lt;&gt;$M$1,对接源_02物料!$B636=""),0,IF(OR(N(对接源_02物料!$B636)&lt;$M$2,N(对接源_02物料!$B636)&gt;$M$3),0,1))</f>
        <v>0</v>
      </c>
      <c r="N1836">
        <f>IF(OR($N$1="",对接源_02物料!$C636="",对接源_02物料!$C636&lt;&gt;$N$1,对接源_02物料!$B636=""),0,IF(OR(N(对接源_02物料!$B636)&lt;$N$2,N(对接源_02物料!$B636)&gt;$N$3),0,1))</f>
        <v>0</v>
      </c>
      <c r="P1836">
        <f>IF(AND($K1836=1,AND(对接源_02物料!$X636="公司筐",N(对接源_02物料!$T636)&lt;&gt;0)),1,0)</f>
        <v>0</v>
      </c>
      <c r="Q1836">
        <f>N(Q1835)+$P1836</f>
        <v>14</v>
      </c>
      <c r="R1836">
        <f>IF(AND($K1836=1,AND(对接源_02物料!$X636="公司筐",N(对接源_02物料!$U636)&lt;&gt;0)),1,0)</f>
        <v>0</v>
      </c>
      <c r="S1836">
        <f>N(S1835)+$R1836</f>
        <v>1</v>
      </c>
      <c r="T1836">
        <f>IF(AND($K1836=1,AND(对接源_02物料!$X636="公司筐",N(对接源_02物料!$V636)&lt;&gt;0)),1,0)</f>
        <v>0</v>
      </c>
      <c r="U1836">
        <f>N(U1835)+$T1836</f>
        <v>47</v>
      </c>
      <c r="V1836">
        <f>IF(AND($L1836=1,AND(对接源_02物料!$X636="自备筐",N(对接源_02物料!$V636)&lt;&gt;0)),1,0)</f>
        <v>0</v>
      </c>
      <c r="W1836">
        <f>N(W1835)+$V1836</f>
        <v>11</v>
      </c>
      <c r="X1836">
        <f>IF(AND($L1836=1,AND(对接源_02物料!$X636="自备筐",N(对接源_02物料!$T636)&lt;&gt;0)),1,0)</f>
        <v>0</v>
      </c>
      <c r="Y1836">
        <f>N(Y1835)+$X1836</f>
        <v>0</v>
      </c>
      <c r="Z1836">
        <f>IF(AND($M1836=1,对接源_02物料!$D636="原料入库"),1,0)</f>
        <v>0</v>
      </c>
      <c r="AA1836">
        <f>N(AA1835)+$Z1836</f>
        <v>24</v>
      </c>
      <c r="AB1836">
        <f>IF(AND($M1836=1,LEFT(对接源_02物料!$D636,4)="原料出库"),1,0)</f>
        <v>0</v>
      </c>
      <c r="AC1836">
        <f>N(AC1835)+$AB1836</f>
        <v>0</v>
      </c>
      <c r="AD1836">
        <f>IF(AND($M1836=1,LEFT(对接源_02物料!$D636,4)="成品出库"),1,0)</f>
        <v>0</v>
      </c>
      <c r="AE1836">
        <f>N(AE1835)+$AD1836</f>
        <v>0</v>
      </c>
      <c r="AF1836">
        <f>IF(AND($N1836=1,AND(LEFT(对接源_02物料!$D636,4)="包装物料",N(对接源_02物料!$K636)&lt;&gt;0)),1,0)</f>
        <v>0</v>
      </c>
      <c r="AG1836">
        <f>N(AG1835)+$AF1836</f>
        <v>10</v>
      </c>
      <c r="AH1836">
        <f>IF(AND($N1836=1,AND(对接源_02物料!$D636="周转筐－销售出库",N(对接源_02物料!$K636)&lt;&gt;0)),1,0)</f>
        <v>0</v>
      </c>
      <c r="AI1836">
        <f>N(AI1835)+$AH1836</f>
        <v>0</v>
      </c>
      <c r="AL1836" t="n">
        <v>0</v>
      </c>
      <c r="AM1836">
        <f>N(AM1835)+$AL1836</f>
        <v>2</v>
      </c>
      <c r="AN1836">
        <f>""</f>
      </c>
      <c r="AO1836" t="n">
        <v>0</v>
      </c>
      <c r="AP1836">
        <f>N(AP1835)+$AO1836</f>
        <v>13</v>
      </c>
      <c r="AR1836">
        <f>IF(OR($AF1836=1,$AH1836=1),1,0)</f>
        <v>0</v>
      </c>
      <c r="AS1836">
        <f>N(AS1835)+$AR1836</f>
        <v>10</v>
      </c>
    </row>
    <row r="1837" s="127">
      <c r="A1837">
        <f>IF(对接源_02物料!$C637="","",对接源_02物料!$C637)</f>
      </c>
      <c r="B1837">
        <f>IF(A1837="",0,IF(MATCH(A1837,$A$4:$A$2403,0)=ROW()-3,1,0))</f>
        <v>0</v>
      </c>
      <c r="C1837">
        <f>N(C1836)+B1837</f>
        <v>26</v>
      </c>
      <c r="K1837">
        <f>IF(OR($K$1="",对接源_02物料!$C637="",对接源_02物料!$C637&lt;&gt;$K$1,对接源_02物料!$B637=""),0,IF(OR(N(对接源_02物料!$B637)&lt;$K$2,N(对接源_02物料!$B637)&gt;$K$3),0,1))</f>
        <v>0</v>
      </c>
      <c r="L1837">
        <f>IF(OR($L$1="",对接源_02物料!$C637="",对接源_02物料!$C637&lt;&gt;$L$1,对接源_02物料!$B637=""),0,IF(OR(N(对接源_02物料!$B637)&lt;$L$2,N(对接源_02物料!$B637)&gt;$L$3),0,1))</f>
        <v>0</v>
      </c>
      <c r="M1837">
        <f>IF(OR($M$1="",对接源_02物料!$C637="",对接源_02物料!$C637&lt;&gt;$M$1,对接源_02物料!$B637=""),0,IF(OR(N(对接源_02物料!$B637)&lt;$M$2,N(对接源_02物料!$B637)&gt;$M$3),0,1))</f>
        <v>0</v>
      </c>
      <c r="N1837">
        <f>IF(OR($N$1="",对接源_02物料!$C637="",对接源_02物料!$C637&lt;&gt;$N$1,对接源_02物料!$B637=""),0,IF(OR(N(对接源_02物料!$B637)&lt;$N$2,N(对接源_02物料!$B637)&gt;$N$3),0,1))</f>
        <v>0</v>
      </c>
      <c r="P1837">
        <f>IF(AND($K1837=1,AND(对接源_02物料!$X637="公司筐",N(对接源_02物料!$T637)&lt;&gt;0)),1,0)</f>
        <v>0</v>
      </c>
      <c r="Q1837">
        <f>N(Q1836)+$P1837</f>
        <v>14</v>
      </c>
      <c r="R1837">
        <f>IF(AND($K1837=1,AND(对接源_02物料!$X637="公司筐",N(对接源_02物料!$U637)&lt;&gt;0)),1,0)</f>
        <v>0</v>
      </c>
      <c r="S1837">
        <f>N(S1836)+$R1837</f>
        <v>1</v>
      </c>
      <c r="T1837">
        <f>IF(AND($K1837=1,AND(对接源_02物料!$X637="公司筐",N(对接源_02物料!$V637)&lt;&gt;0)),1,0)</f>
        <v>0</v>
      </c>
      <c r="U1837">
        <f>N(U1836)+$T1837</f>
        <v>47</v>
      </c>
      <c r="V1837">
        <f>IF(AND($L1837=1,AND(对接源_02物料!$X637="自备筐",N(对接源_02物料!$V637)&lt;&gt;0)),1,0)</f>
        <v>0</v>
      </c>
      <c r="W1837">
        <f>N(W1836)+$V1837</f>
        <v>11</v>
      </c>
      <c r="X1837">
        <f>IF(AND($L1837=1,AND(对接源_02物料!$X637="自备筐",N(对接源_02物料!$T637)&lt;&gt;0)),1,0)</f>
        <v>0</v>
      </c>
      <c r="Y1837">
        <f>N(Y1836)+$X1837</f>
        <v>0</v>
      </c>
      <c r="Z1837">
        <f>IF(AND($M1837=1,对接源_02物料!$D637="原料入库"),1,0)</f>
        <v>0</v>
      </c>
      <c r="AA1837">
        <f>N(AA1836)+$Z1837</f>
        <v>24</v>
      </c>
      <c r="AB1837">
        <f>IF(AND($M1837=1,LEFT(对接源_02物料!$D637,4)="原料出库"),1,0)</f>
        <v>0</v>
      </c>
      <c r="AC1837">
        <f>N(AC1836)+$AB1837</f>
        <v>0</v>
      </c>
      <c r="AD1837">
        <f>IF(AND($M1837=1,LEFT(对接源_02物料!$D637,4)="成品出库"),1,0)</f>
        <v>0</v>
      </c>
      <c r="AE1837">
        <f>N(AE1836)+$AD1837</f>
        <v>0</v>
      </c>
      <c r="AF1837">
        <f>IF(AND($N1837=1,AND(LEFT(对接源_02物料!$D637,4)="包装物料",N(对接源_02物料!$K637)&lt;&gt;0)),1,0)</f>
        <v>0</v>
      </c>
      <c r="AG1837">
        <f>N(AG1836)+$AF1837</f>
        <v>10</v>
      </c>
      <c r="AH1837">
        <f>IF(AND($N1837=1,AND(对接源_02物料!$D637="周转筐－销售出库",N(对接源_02物料!$K637)&lt;&gt;0)),1,0)</f>
        <v>0</v>
      </c>
      <c r="AI1837">
        <f>N(AI1836)+$AH1837</f>
        <v>0</v>
      </c>
      <c r="AL1837" t="n">
        <v>0</v>
      </c>
      <c r="AM1837">
        <f>N(AM1836)+$AL1837</f>
        <v>2</v>
      </c>
      <c r="AN1837">
        <f>""</f>
      </c>
      <c r="AO1837" t="n">
        <v>0</v>
      </c>
      <c r="AP1837">
        <f>N(AP1836)+$AO1837</f>
        <v>13</v>
      </c>
      <c r="AR1837">
        <f>IF(OR($AF1837=1,$AH1837=1),1,0)</f>
        <v>0</v>
      </c>
      <c r="AS1837">
        <f>N(AS1836)+$AR1837</f>
        <v>10</v>
      </c>
    </row>
    <row r="1838" s="127">
      <c r="A1838">
        <f>IF(对接源_02物料!$C638="","",对接源_02物料!$C638)</f>
      </c>
      <c r="B1838">
        <f>IF(A1838="",0,IF(MATCH(A1838,$A$4:$A$2403,0)=ROW()-3,1,0))</f>
        <v>0</v>
      </c>
      <c r="C1838">
        <f>N(C1837)+B1838</f>
        <v>26</v>
      </c>
      <c r="K1838">
        <f>IF(OR($K$1="",对接源_02物料!$C638="",对接源_02物料!$C638&lt;&gt;$K$1,对接源_02物料!$B638=""),0,IF(OR(N(对接源_02物料!$B638)&lt;$K$2,N(对接源_02物料!$B638)&gt;$K$3),0,1))</f>
        <v>0</v>
      </c>
      <c r="L1838">
        <f>IF(OR($L$1="",对接源_02物料!$C638="",对接源_02物料!$C638&lt;&gt;$L$1,对接源_02物料!$B638=""),0,IF(OR(N(对接源_02物料!$B638)&lt;$L$2,N(对接源_02物料!$B638)&gt;$L$3),0,1))</f>
        <v>0</v>
      </c>
      <c r="M1838">
        <f>IF(OR($M$1="",对接源_02物料!$C638="",对接源_02物料!$C638&lt;&gt;$M$1,对接源_02物料!$B638=""),0,IF(OR(N(对接源_02物料!$B638)&lt;$M$2,N(对接源_02物料!$B638)&gt;$M$3),0,1))</f>
        <v>0</v>
      </c>
      <c r="N1838">
        <f>IF(OR($N$1="",对接源_02物料!$C638="",对接源_02物料!$C638&lt;&gt;$N$1,对接源_02物料!$B638=""),0,IF(OR(N(对接源_02物料!$B638)&lt;$N$2,N(对接源_02物料!$B638)&gt;$N$3),0,1))</f>
        <v>0</v>
      </c>
      <c r="P1838">
        <f>IF(AND($K1838=1,AND(对接源_02物料!$X638="公司筐",N(对接源_02物料!$T638)&lt;&gt;0)),1,0)</f>
        <v>0</v>
      </c>
      <c r="Q1838">
        <f>N(Q1837)+$P1838</f>
        <v>14</v>
      </c>
      <c r="R1838">
        <f>IF(AND($K1838=1,AND(对接源_02物料!$X638="公司筐",N(对接源_02物料!$U638)&lt;&gt;0)),1,0)</f>
        <v>0</v>
      </c>
      <c r="S1838">
        <f>N(S1837)+$R1838</f>
        <v>1</v>
      </c>
      <c r="T1838">
        <f>IF(AND($K1838=1,AND(对接源_02物料!$X638="公司筐",N(对接源_02物料!$V638)&lt;&gt;0)),1,0)</f>
        <v>0</v>
      </c>
      <c r="U1838">
        <f>N(U1837)+$T1838</f>
        <v>47</v>
      </c>
      <c r="V1838">
        <f>IF(AND($L1838=1,AND(对接源_02物料!$X638="自备筐",N(对接源_02物料!$V638)&lt;&gt;0)),1,0)</f>
        <v>0</v>
      </c>
      <c r="W1838">
        <f>N(W1837)+$V1838</f>
        <v>11</v>
      </c>
      <c r="X1838">
        <f>IF(AND($L1838=1,AND(对接源_02物料!$X638="自备筐",N(对接源_02物料!$T638)&lt;&gt;0)),1,0)</f>
        <v>0</v>
      </c>
      <c r="Y1838">
        <f>N(Y1837)+$X1838</f>
        <v>0</v>
      </c>
      <c r="Z1838">
        <f>IF(AND($M1838=1,对接源_02物料!$D638="原料入库"),1,0)</f>
        <v>0</v>
      </c>
      <c r="AA1838">
        <f>N(AA1837)+$Z1838</f>
        <v>24</v>
      </c>
      <c r="AB1838">
        <f>IF(AND($M1838=1,LEFT(对接源_02物料!$D638,4)="原料出库"),1,0)</f>
        <v>0</v>
      </c>
      <c r="AC1838">
        <f>N(AC1837)+$AB1838</f>
        <v>0</v>
      </c>
      <c r="AD1838">
        <f>IF(AND($M1838=1,LEFT(对接源_02物料!$D638,4)="成品出库"),1,0)</f>
        <v>0</v>
      </c>
      <c r="AE1838">
        <f>N(AE1837)+$AD1838</f>
        <v>0</v>
      </c>
      <c r="AF1838">
        <f>IF(AND($N1838=1,AND(LEFT(对接源_02物料!$D638,4)="包装物料",N(对接源_02物料!$K638)&lt;&gt;0)),1,0)</f>
        <v>0</v>
      </c>
      <c r="AG1838">
        <f>N(AG1837)+$AF1838</f>
        <v>10</v>
      </c>
      <c r="AH1838">
        <f>IF(AND($N1838=1,AND(对接源_02物料!$D638="周转筐－销售出库",N(对接源_02物料!$K638)&lt;&gt;0)),1,0)</f>
        <v>0</v>
      </c>
      <c r="AI1838">
        <f>N(AI1837)+$AH1838</f>
        <v>0</v>
      </c>
      <c r="AL1838" t="n">
        <v>0</v>
      </c>
      <c r="AM1838">
        <f>N(AM1837)+$AL1838</f>
        <v>2</v>
      </c>
      <c r="AN1838">
        <f>""</f>
      </c>
      <c r="AO1838" t="n">
        <v>0</v>
      </c>
      <c r="AP1838">
        <f>N(AP1837)+$AO1838</f>
        <v>13</v>
      </c>
      <c r="AR1838">
        <f>IF(OR($AF1838=1,$AH1838=1),1,0)</f>
        <v>0</v>
      </c>
      <c r="AS1838">
        <f>N(AS1837)+$AR1838</f>
        <v>10</v>
      </c>
    </row>
    <row r="1839" s="127">
      <c r="A1839">
        <f>IF(对接源_02物料!$C639="","",对接源_02物料!$C639)</f>
      </c>
      <c r="B1839">
        <f>IF(A1839="",0,IF(MATCH(A1839,$A$4:$A$2403,0)=ROW()-3,1,0))</f>
        <v>0</v>
      </c>
      <c r="C1839">
        <f>N(C1838)+B1839</f>
        <v>26</v>
      </c>
      <c r="K1839">
        <f>IF(OR($K$1="",对接源_02物料!$C639="",对接源_02物料!$C639&lt;&gt;$K$1,对接源_02物料!$B639=""),0,IF(OR(N(对接源_02物料!$B639)&lt;$K$2,N(对接源_02物料!$B639)&gt;$K$3),0,1))</f>
        <v>0</v>
      </c>
      <c r="L1839">
        <f>IF(OR($L$1="",对接源_02物料!$C639="",对接源_02物料!$C639&lt;&gt;$L$1,对接源_02物料!$B639=""),0,IF(OR(N(对接源_02物料!$B639)&lt;$L$2,N(对接源_02物料!$B639)&gt;$L$3),0,1))</f>
        <v>0</v>
      </c>
      <c r="M1839">
        <f>IF(OR($M$1="",对接源_02物料!$C639="",对接源_02物料!$C639&lt;&gt;$M$1,对接源_02物料!$B639=""),0,IF(OR(N(对接源_02物料!$B639)&lt;$M$2,N(对接源_02物料!$B639)&gt;$M$3),0,1))</f>
        <v>0</v>
      </c>
      <c r="N1839">
        <f>IF(OR($N$1="",对接源_02物料!$C639="",对接源_02物料!$C639&lt;&gt;$N$1,对接源_02物料!$B639=""),0,IF(OR(N(对接源_02物料!$B639)&lt;$N$2,N(对接源_02物料!$B639)&gt;$N$3),0,1))</f>
        <v>0</v>
      </c>
      <c r="P1839">
        <f>IF(AND($K1839=1,AND(对接源_02物料!$X639="公司筐",N(对接源_02物料!$T639)&lt;&gt;0)),1,0)</f>
        <v>0</v>
      </c>
      <c r="Q1839">
        <f>N(Q1838)+$P1839</f>
        <v>14</v>
      </c>
      <c r="R1839">
        <f>IF(AND($K1839=1,AND(对接源_02物料!$X639="公司筐",N(对接源_02物料!$U639)&lt;&gt;0)),1,0)</f>
        <v>0</v>
      </c>
      <c r="S1839">
        <f>N(S1838)+$R1839</f>
        <v>1</v>
      </c>
      <c r="T1839">
        <f>IF(AND($K1839=1,AND(对接源_02物料!$X639="公司筐",N(对接源_02物料!$V639)&lt;&gt;0)),1,0)</f>
        <v>0</v>
      </c>
      <c r="U1839">
        <f>N(U1838)+$T1839</f>
        <v>47</v>
      </c>
      <c r="V1839">
        <f>IF(AND($L1839=1,AND(对接源_02物料!$X639="自备筐",N(对接源_02物料!$V639)&lt;&gt;0)),1,0)</f>
        <v>0</v>
      </c>
      <c r="W1839">
        <f>N(W1838)+$V1839</f>
        <v>11</v>
      </c>
      <c r="X1839">
        <f>IF(AND($L1839=1,AND(对接源_02物料!$X639="自备筐",N(对接源_02物料!$T639)&lt;&gt;0)),1,0)</f>
        <v>0</v>
      </c>
      <c r="Y1839">
        <f>N(Y1838)+$X1839</f>
        <v>0</v>
      </c>
      <c r="Z1839">
        <f>IF(AND($M1839=1,对接源_02物料!$D639="原料入库"),1,0)</f>
        <v>0</v>
      </c>
      <c r="AA1839">
        <f>N(AA1838)+$Z1839</f>
        <v>24</v>
      </c>
      <c r="AB1839">
        <f>IF(AND($M1839=1,LEFT(对接源_02物料!$D639,4)="原料出库"),1,0)</f>
        <v>0</v>
      </c>
      <c r="AC1839">
        <f>N(AC1838)+$AB1839</f>
        <v>0</v>
      </c>
      <c r="AD1839">
        <f>IF(AND($M1839=1,LEFT(对接源_02物料!$D639,4)="成品出库"),1,0)</f>
        <v>0</v>
      </c>
      <c r="AE1839">
        <f>N(AE1838)+$AD1839</f>
        <v>0</v>
      </c>
      <c r="AF1839">
        <f>IF(AND($N1839=1,AND(LEFT(对接源_02物料!$D639,4)="包装物料",N(对接源_02物料!$K639)&lt;&gt;0)),1,0)</f>
        <v>0</v>
      </c>
      <c r="AG1839">
        <f>N(AG1838)+$AF1839</f>
        <v>10</v>
      </c>
      <c r="AH1839">
        <f>IF(AND($N1839=1,AND(对接源_02物料!$D639="周转筐－销售出库",N(对接源_02物料!$K639)&lt;&gt;0)),1,0)</f>
        <v>0</v>
      </c>
      <c r="AI1839">
        <f>N(AI1838)+$AH1839</f>
        <v>0</v>
      </c>
      <c r="AL1839" t="n">
        <v>0</v>
      </c>
      <c r="AM1839">
        <f>N(AM1838)+$AL1839</f>
        <v>2</v>
      </c>
      <c r="AN1839">
        <f>""</f>
      </c>
      <c r="AO1839" t="n">
        <v>0</v>
      </c>
      <c r="AP1839">
        <f>N(AP1838)+$AO1839</f>
        <v>13</v>
      </c>
      <c r="AR1839">
        <f>IF(OR($AF1839=1,$AH1839=1),1,0)</f>
        <v>0</v>
      </c>
      <c r="AS1839">
        <f>N(AS1838)+$AR1839</f>
        <v>10</v>
      </c>
    </row>
    <row r="1840" s="127">
      <c r="A1840">
        <f>IF(对接源_02物料!$C640="","",对接源_02物料!$C640)</f>
      </c>
      <c r="B1840">
        <f>IF(A1840="",0,IF(MATCH(A1840,$A$4:$A$2403,0)=ROW()-3,1,0))</f>
        <v>0</v>
      </c>
      <c r="C1840">
        <f>N(C1839)+B1840</f>
        <v>26</v>
      </c>
      <c r="K1840">
        <f>IF(OR($K$1="",对接源_02物料!$C640="",对接源_02物料!$C640&lt;&gt;$K$1,对接源_02物料!$B640=""),0,IF(OR(N(对接源_02物料!$B640)&lt;$K$2,N(对接源_02物料!$B640)&gt;$K$3),0,1))</f>
        <v>0</v>
      </c>
      <c r="L1840">
        <f>IF(OR($L$1="",对接源_02物料!$C640="",对接源_02物料!$C640&lt;&gt;$L$1,对接源_02物料!$B640=""),0,IF(OR(N(对接源_02物料!$B640)&lt;$L$2,N(对接源_02物料!$B640)&gt;$L$3),0,1))</f>
        <v>0</v>
      </c>
      <c r="M1840">
        <f>IF(OR($M$1="",对接源_02物料!$C640="",对接源_02物料!$C640&lt;&gt;$M$1,对接源_02物料!$B640=""),0,IF(OR(N(对接源_02物料!$B640)&lt;$M$2,N(对接源_02物料!$B640)&gt;$M$3),0,1))</f>
        <v>0</v>
      </c>
      <c r="N1840">
        <f>IF(OR($N$1="",对接源_02物料!$C640="",对接源_02物料!$C640&lt;&gt;$N$1,对接源_02物料!$B640=""),0,IF(OR(N(对接源_02物料!$B640)&lt;$N$2,N(对接源_02物料!$B640)&gt;$N$3),0,1))</f>
        <v>0</v>
      </c>
      <c r="P1840">
        <f>IF(AND($K1840=1,AND(对接源_02物料!$X640="公司筐",N(对接源_02物料!$T640)&lt;&gt;0)),1,0)</f>
        <v>0</v>
      </c>
      <c r="Q1840">
        <f>N(Q1839)+$P1840</f>
        <v>14</v>
      </c>
      <c r="R1840">
        <f>IF(AND($K1840=1,AND(对接源_02物料!$X640="公司筐",N(对接源_02物料!$U640)&lt;&gt;0)),1,0)</f>
        <v>0</v>
      </c>
      <c r="S1840">
        <f>N(S1839)+$R1840</f>
        <v>1</v>
      </c>
      <c r="T1840">
        <f>IF(AND($K1840=1,AND(对接源_02物料!$X640="公司筐",N(对接源_02物料!$V640)&lt;&gt;0)),1,0)</f>
        <v>0</v>
      </c>
      <c r="U1840">
        <f>N(U1839)+$T1840</f>
        <v>47</v>
      </c>
      <c r="V1840">
        <f>IF(AND($L1840=1,AND(对接源_02物料!$X640="自备筐",N(对接源_02物料!$V640)&lt;&gt;0)),1,0)</f>
        <v>0</v>
      </c>
      <c r="W1840">
        <f>N(W1839)+$V1840</f>
        <v>11</v>
      </c>
      <c r="X1840">
        <f>IF(AND($L1840=1,AND(对接源_02物料!$X640="自备筐",N(对接源_02物料!$T640)&lt;&gt;0)),1,0)</f>
        <v>0</v>
      </c>
      <c r="Y1840">
        <f>N(Y1839)+$X1840</f>
        <v>0</v>
      </c>
      <c r="Z1840">
        <f>IF(AND($M1840=1,对接源_02物料!$D640="原料入库"),1,0)</f>
        <v>0</v>
      </c>
      <c r="AA1840">
        <f>N(AA1839)+$Z1840</f>
        <v>24</v>
      </c>
      <c r="AB1840">
        <f>IF(AND($M1840=1,LEFT(对接源_02物料!$D640,4)="原料出库"),1,0)</f>
        <v>0</v>
      </c>
      <c r="AC1840">
        <f>N(AC1839)+$AB1840</f>
        <v>0</v>
      </c>
      <c r="AD1840">
        <f>IF(AND($M1840=1,LEFT(对接源_02物料!$D640,4)="成品出库"),1,0)</f>
        <v>0</v>
      </c>
      <c r="AE1840">
        <f>N(AE1839)+$AD1840</f>
        <v>0</v>
      </c>
      <c r="AF1840">
        <f>IF(AND($N1840=1,AND(LEFT(对接源_02物料!$D640,4)="包装物料",N(对接源_02物料!$K640)&lt;&gt;0)),1,0)</f>
        <v>0</v>
      </c>
      <c r="AG1840">
        <f>N(AG1839)+$AF1840</f>
        <v>10</v>
      </c>
      <c r="AH1840">
        <f>IF(AND($N1840=1,AND(对接源_02物料!$D640="周转筐－销售出库",N(对接源_02物料!$K640)&lt;&gt;0)),1,0)</f>
        <v>0</v>
      </c>
      <c r="AI1840">
        <f>N(AI1839)+$AH1840</f>
        <v>0</v>
      </c>
      <c r="AL1840" t="n">
        <v>0</v>
      </c>
      <c r="AM1840">
        <f>N(AM1839)+$AL1840</f>
        <v>2</v>
      </c>
      <c r="AN1840">
        <f>""</f>
      </c>
      <c r="AO1840" t="n">
        <v>0</v>
      </c>
      <c r="AP1840">
        <f>N(AP1839)+$AO1840</f>
        <v>13</v>
      </c>
      <c r="AR1840">
        <f>IF(OR($AF1840=1,$AH1840=1),1,0)</f>
        <v>0</v>
      </c>
      <c r="AS1840">
        <f>N(AS1839)+$AR1840</f>
        <v>10</v>
      </c>
    </row>
    <row r="1841" s="127">
      <c r="A1841">
        <f>IF(对接源_02物料!$C641="","",对接源_02物料!$C641)</f>
      </c>
      <c r="B1841">
        <f>IF(A1841="",0,IF(MATCH(A1841,$A$4:$A$2403,0)=ROW()-3,1,0))</f>
        <v>0</v>
      </c>
      <c r="C1841">
        <f>N(C1840)+B1841</f>
        <v>26</v>
      </c>
      <c r="K1841">
        <f>IF(OR($K$1="",对接源_02物料!$C641="",对接源_02物料!$C641&lt;&gt;$K$1,对接源_02物料!$B641=""),0,IF(OR(N(对接源_02物料!$B641)&lt;$K$2,N(对接源_02物料!$B641)&gt;$K$3),0,1))</f>
        <v>0</v>
      </c>
      <c r="L1841">
        <f>IF(OR($L$1="",对接源_02物料!$C641="",对接源_02物料!$C641&lt;&gt;$L$1,对接源_02物料!$B641=""),0,IF(OR(N(对接源_02物料!$B641)&lt;$L$2,N(对接源_02物料!$B641)&gt;$L$3),0,1))</f>
        <v>0</v>
      </c>
      <c r="M1841">
        <f>IF(OR($M$1="",对接源_02物料!$C641="",对接源_02物料!$C641&lt;&gt;$M$1,对接源_02物料!$B641=""),0,IF(OR(N(对接源_02物料!$B641)&lt;$M$2,N(对接源_02物料!$B641)&gt;$M$3),0,1))</f>
        <v>0</v>
      </c>
      <c r="N1841">
        <f>IF(OR($N$1="",对接源_02物料!$C641="",对接源_02物料!$C641&lt;&gt;$N$1,对接源_02物料!$B641=""),0,IF(OR(N(对接源_02物料!$B641)&lt;$N$2,N(对接源_02物料!$B641)&gt;$N$3),0,1))</f>
        <v>0</v>
      </c>
      <c r="P1841">
        <f>IF(AND($K1841=1,AND(对接源_02物料!$X641="公司筐",N(对接源_02物料!$T641)&lt;&gt;0)),1,0)</f>
        <v>0</v>
      </c>
      <c r="Q1841">
        <f>N(Q1840)+$P1841</f>
        <v>14</v>
      </c>
      <c r="R1841">
        <f>IF(AND($K1841=1,AND(对接源_02物料!$X641="公司筐",N(对接源_02物料!$U641)&lt;&gt;0)),1,0)</f>
        <v>0</v>
      </c>
      <c r="S1841">
        <f>N(S1840)+$R1841</f>
        <v>1</v>
      </c>
      <c r="T1841">
        <f>IF(AND($K1841=1,AND(对接源_02物料!$X641="公司筐",N(对接源_02物料!$V641)&lt;&gt;0)),1,0)</f>
        <v>0</v>
      </c>
      <c r="U1841">
        <f>N(U1840)+$T1841</f>
        <v>47</v>
      </c>
      <c r="V1841">
        <f>IF(AND($L1841=1,AND(对接源_02物料!$X641="自备筐",N(对接源_02物料!$V641)&lt;&gt;0)),1,0)</f>
        <v>0</v>
      </c>
      <c r="W1841">
        <f>N(W1840)+$V1841</f>
        <v>11</v>
      </c>
      <c r="X1841">
        <f>IF(AND($L1841=1,AND(对接源_02物料!$X641="自备筐",N(对接源_02物料!$T641)&lt;&gt;0)),1,0)</f>
        <v>0</v>
      </c>
      <c r="Y1841">
        <f>N(Y1840)+$X1841</f>
        <v>0</v>
      </c>
      <c r="Z1841">
        <f>IF(AND($M1841=1,对接源_02物料!$D641="原料入库"),1,0)</f>
        <v>0</v>
      </c>
      <c r="AA1841">
        <f>N(AA1840)+$Z1841</f>
        <v>24</v>
      </c>
      <c r="AB1841">
        <f>IF(AND($M1841=1,LEFT(对接源_02物料!$D641,4)="原料出库"),1,0)</f>
        <v>0</v>
      </c>
      <c r="AC1841">
        <f>N(AC1840)+$AB1841</f>
        <v>0</v>
      </c>
      <c r="AD1841">
        <f>IF(AND($M1841=1,LEFT(对接源_02物料!$D641,4)="成品出库"),1,0)</f>
        <v>0</v>
      </c>
      <c r="AE1841">
        <f>N(AE1840)+$AD1841</f>
        <v>0</v>
      </c>
      <c r="AF1841">
        <f>IF(AND($N1841=1,AND(LEFT(对接源_02物料!$D641,4)="包装物料",N(对接源_02物料!$K641)&lt;&gt;0)),1,0)</f>
        <v>0</v>
      </c>
      <c r="AG1841">
        <f>N(AG1840)+$AF1841</f>
        <v>10</v>
      </c>
      <c r="AH1841">
        <f>IF(AND($N1841=1,AND(对接源_02物料!$D641="周转筐－销售出库",N(对接源_02物料!$K641)&lt;&gt;0)),1,0)</f>
        <v>0</v>
      </c>
      <c r="AI1841">
        <f>N(AI1840)+$AH1841</f>
        <v>0</v>
      </c>
      <c r="AL1841" t="n">
        <v>0</v>
      </c>
      <c r="AM1841">
        <f>N(AM1840)+$AL1841</f>
        <v>2</v>
      </c>
      <c r="AN1841">
        <f>""</f>
      </c>
      <c r="AO1841" t="n">
        <v>0</v>
      </c>
      <c r="AP1841">
        <f>N(AP1840)+$AO1841</f>
        <v>13</v>
      </c>
      <c r="AR1841">
        <f>IF(OR($AF1841=1,$AH1841=1),1,0)</f>
        <v>0</v>
      </c>
      <c r="AS1841">
        <f>N(AS1840)+$AR1841</f>
        <v>10</v>
      </c>
    </row>
    <row r="1842" s="127">
      <c r="A1842">
        <f>IF(对接源_02物料!$C642="","",对接源_02物料!$C642)</f>
      </c>
      <c r="B1842">
        <f>IF(A1842="",0,IF(MATCH(A1842,$A$4:$A$2403,0)=ROW()-3,1,0))</f>
        <v>0</v>
      </c>
      <c r="C1842">
        <f>N(C1841)+B1842</f>
        <v>26</v>
      </c>
      <c r="K1842">
        <f>IF(OR($K$1="",对接源_02物料!$C642="",对接源_02物料!$C642&lt;&gt;$K$1,对接源_02物料!$B642=""),0,IF(OR(N(对接源_02物料!$B642)&lt;$K$2,N(对接源_02物料!$B642)&gt;$K$3),0,1))</f>
        <v>0</v>
      </c>
      <c r="L1842">
        <f>IF(OR($L$1="",对接源_02物料!$C642="",对接源_02物料!$C642&lt;&gt;$L$1,对接源_02物料!$B642=""),0,IF(OR(N(对接源_02物料!$B642)&lt;$L$2,N(对接源_02物料!$B642)&gt;$L$3),0,1))</f>
        <v>0</v>
      </c>
      <c r="M1842">
        <f>IF(OR($M$1="",对接源_02物料!$C642="",对接源_02物料!$C642&lt;&gt;$M$1,对接源_02物料!$B642=""),0,IF(OR(N(对接源_02物料!$B642)&lt;$M$2,N(对接源_02物料!$B642)&gt;$M$3),0,1))</f>
        <v>0</v>
      </c>
      <c r="N1842">
        <f>IF(OR($N$1="",对接源_02物料!$C642="",对接源_02物料!$C642&lt;&gt;$N$1,对接源_02物料!$B642=""),0,IF(OR(N(对接源_02物料!$B642)&lt;$N$2,N(对接源_02物料!$B642)&gt;$N$3),0,1))</f>
        <v>0</v>
      </c>
      <c r="P1842">
        <f>IF(AND($K1842=1,AND(对接源_02物料!$X642="公司筐",N(对接源_02物料!$T642)&lt;&gt;0)),1,0)</f>
        <v>0</v>
      </c>
      <c r="Q1842">
        <f>N(Q1841)+$P1842</f>
        <v>14</v>
      </c>
      <c r="R1842">
        <f>IF(AND($K1842=1,AND(对接源_02物料!$X642="公司筐",N(对接源_02物料!$U642)&lt;&gt;0)),1,0)</f>
        <v>0</v>
      </c>
      <c r="S1842">
        <f>N(S1841)+$R1842</f>
        <v>1</v>
      </c>
      <c r="T1842">
        <f>IF(AND($K1842=1,AND(对接源_02物料!$X642="公司筐",N(对接源_02物料!$V642)&lt;&gt;0)),1,0)</f>
        <v>0</v>
      </c>
      <c r="U1842">
        <f>N(U1841)+$T1842</f>
        <v>47</v>
      </c>
      <c r="V1842">
        <f>IF(AND($L1842=1,AND(对接源_02物料!$X642="自备筐",N(对接源_02物料!$V642)&lt;&gt;0)),1,0)</f>
        <v>0</v>
      </c>
      <c r="W1842">
        <f>N(W1841)+$V1842</f>
        <v>11</v>
      </c>
      <c r="X1842">
        <f>IF(AND($L1842=1,AND(对接源_02物料!$X642="自备筐",N(对接源_02物料!$T642)&lt;&gt;0)),1,0)</f>
        <v>0</v>
      </c>
      <c r="Y1842">
        <f>N(Y1841)+$X1842</f>
        <v>0</v>
      </c>
      <c r="Z1842">
        <f>IF(AND($M1842=1,对接源_02物料!$D642="原料入库"),1,0)</f>
        <v>0</v>
      </c>
      <c r="AA1842">
        <f>N(AA1841)+$Z1842</f>
        <v>24</v>
      </c>
      <c r="AB1842">
        <f>IF(AND($M1842=1,LEFT(对接源_02物料!$D642,4)="原料出库"),1,0)</f>
        <v>0</v>
      </c>
      <c r="AC1842">
        <f>N(AC1841)+$AB1842</f>
        <v>0</v>
      </c>
      <c r="AD1842">
        <f>IF(AND($M1842=1,LEFT(对接源_02物料!$D642,4)="成品出库"),1,0)</f>
        <v>0</v>
      </c>
      <c r="AE1842">
        <f>N(AE1841)+$AD1842</f>
        <v>0</v>
      </c>
      <c r="AF1842">
        <f>IF(AND($N1842=1,AND(LEFT(对接源_02物料!$D642,4)="包装物料",N(对接源_02物料!$K642)&lt;&gt;0)),1,0)</f>
        <v>0</v>
      </c>
      <c r="AG1842">
        <f>N(AG1841)+$AF1842</f>
        <v>10</v>
      </c>
      <c r="AH1842">
        <f>IF(AND($N1842=1,AND(对接源_02物料!$D642="周转筐－销售出库",N(对接源_02物料!$K642)&lt;&gt;0)),1,0)</f>
        <v>0</v>
      </c>
      <c r="AI1842">
        <f>N(AI1841)+$AH1842</f>
        <v>0</v>
      </c>
      <c r="AL1842" t="n">
        <v>0</v>
      </c>
      <c r="AM1842">
        <f>N(AM1841)+$AL1842</f>
        <v>2</v>
      </c>
      <c r="AN1842">
        <f>""</f>
      </c>
      <c r="AO1842" t="n">
        <v>0</v>
      </c>
      <c r="AP1842">
        <f>N(AP1841)+$AO1842</f>
        <v>13</v>
      </c>
      <c r="AR1842">
        <f>IF(OR($AF1842=1,$AH1842=1),1,0)</f>
        <v>0</v>
      </c>
      <c r="AS1842">
        <f>N(AS1841)+$AR1842</f>
        <v>10</v>
      </c>
    </row>
    <row r="1843" s="127">
      <c r="A1843">
        <f>IF(对接源_02物料!$C643="","",对接源_02物料!$C643)</f>
      </c>
      <c r="B1843">
        <f>IF(A1843="",0,IF(MATCH(A1843,$A$4:$A$2403,0)=ROW()-3,1,0))</f>
        <v>0</v>
      </c>
      <c r="C1843">
        <f>N(C1842)+B1843</f>
        <v>26</v>
      </c>
      <c r="K1843">
        <f>IF(OR($K$1="",对接源_02物料!$C643="",对接源_02物料!$C643&lt;&gt;$K$1,对接源_02物料!$B643=""),0,IF(OR(N(对接源_02物料!$B643)&lt;$K$2,N(对接源_02物料!$B643)&gt;$K$3),0,1))</f>
        <v>0</v>
      </c>
      <c r="L1843">
        <f>IF(OR($L$1="",对接源_02物料!$C643="",对接源_02物料!$C643&lt;&gt;$L$1,对接源_02物料!$B643=""),0,IF(OR(N(对接源_02物料!$B643)&lt;$L$2,N(对接源_02物料!$B643)&gt;$L$3),0,1))</f>
        <v>0</v>
      </c>
      <c r="M1843">
        <f>IF(OR($M$1="",对接源_02物料!$C643="",对接源_02物料!$C643&lt;&gt;$M$1,对接源_02物料!$B643=""),0,IF(OR(N(对接源_02物料!$B643)&lt;$M$2,N(对接源_02物料!$B643)&gt;$M$3),0,1))</f>
        <v>0</v>
      </c>
      <c r="N1843">
        <f>IF(OR($N$1="",对接源_02物料!$C643="",对接源_02物料!$C643&lt;&gt;$N$1,对接源_02物料!$B643=""),0,IF(OR(N(对接源_02物料!$B643)&lt;$N$2,N(对接源_02物料!$B643)&gt;$N$3),0,1))</f>
        <v>0</v>
      </c>
      <c r="P1843">
        <f>IF(AND($K1843=1,AND(对接源_02物料!$X643="公司筐",N(对接源_02物料!$T643)&lt;&gt;0)),1,0)</f>
        <v>0</v>
      </c>
      <c r="Q1843">
        <f>N(Q1842)+$P1843</f>
        <v>14</v>
      </c>
      <c r="R1843">
        <f>IF(AND($K1843=1,AND(对接源_02物料!$X643="公司筐",N(对接源_02物料!$U643)&lt;&gt;0)),1,0)</f>
        <v>0</v>
      </c>
      <c r="S1843">
        <f>N(S1842)+$R1843</f>
        <v>1</v>
      </c>
      <c r="T1843">
        <f>IF(AND($K1843=1,AND(对接源_02物料!$X643="公司筐",N(对接源_02物料!$V643)&lt;&gt;0)),1,0)</f>
        <v>0</v>
      </c>
      <c r="U1843">
        <f>N(U1842)+$T1843</f>
        <v>47</v>
      </c>
      <c r="V1843">
        <f>IF(AND($L1843=1,AND(对接源_02物料!$X643="自备筐",N(对接源_02物料!$V643)&lt;&gt;0)),1,0)</f>
        <v>0</v>
      </c>
      <c r="W1843">
        <f>N(W1842)+$V1843</f>
        <v>11</v>
      </c>
      <c r="X1843">
        <f>IF(AND($L1843=1,AND(对接源_02物料!$X643="自备筐",N(对接源_02物料!$T643)&lt;&gt;0)),1,0)</f>
        <v>0</v>
      </c>
      <c r="Y1843">
        <f>N(Y1842)+$X1843</f>
        <v>0</v>
      </c>
      <c r="Z1843">
        <f>IF(AND($M1843=1,对接源_02物料!$D643="原料入库"),1,0)</f>
        <v>0</v>
      </c>
      <c r="AA1843">
        <f>N(AA1842)+$Z1843</f>
        <v>24</v>
      </c>
      <c r="AB1843">
        <f>IF(AND($M1843=1,LEFT(对接源_02物料!$D643,4)="原料出库"),1,0)</f>
        <v>0</v>
      </c>
      <c r="AC1843">
        <f>N(AC1842)+$AB1843</f>
        <v>0</v>
      </c>
      <c r="AD1843">
        <f>IF(AND($M1843=1,LEFT(对接源_02物料!$D643,4)="成品出库"),1,0)</f>
        <v>0</v>
      </c>
      <c r="AE1843">
        <f>N(AE1842)+$AD1843</f>
        <v>0</v>
      </c>
      <c r="AF1843">
        <f>IF(AND($N1843=1,AND(LEFT(对接源_02物料!$D643,4)="包装物料",N(对接源_02物料!$K643)&lt;&gt;0)),1,0)</f>
        <v>0</v>
      </c>
      <c r="AG1843">
        <f>N(AG1842)+$AF1843</f>
        <v>10</v>
      </c>
      <c r="AH1843">
        <f>IF(AND($N1843=1,AND(对接源_02物料!$D643="周转筐－销售出库",N(对接源_02物料!$K643)&lt;&gt;0)),1,0)</f>
        <v>0</v>
      </c>
      <c r="AI1843">
        <f>N(AI1842)+$AH1843</f>
        <v>0</v>
      </c>
      <c r="AL1843" t="n">
        <v>0</v>
      </c>
      <c r="AM1843">
        <f>N(AM1842)+$AL1843</f>
        <v>2</v>
      </c>
      <c r="AN1843">
        <f>""</f>
      </c>
      <c r="AO1843" t="n">
        <v>0</v>
      </c>
      <c r="AP1843">
        <f>N(AP1842)+$AO1843</f>
        <v>13</v>
      </c>
      <c r="AR1843">
        <f>IF(OR($AF1843=1,$AH1843=1),1,0)</f>
        <v>0</v>
      </c>
      <c r="AS1843">
        <f>N(AS1842)+$AR1843</f>
        <v>10</v>
      </c>
    </row>
    <row r="1844" s="127">
      <c r="A1844">
        <f>IF(对接源_02物料!$C644="","",对接源_02物料!$C644)</f>
      </c>
      <c r="B1844">
        <f>IF(A1844="",0,IF(MATCH(A1844,$A$4:$A$2403,0)=ROW()-3,1,0))</f>
        <v>0</v>
      </c>
      <c r="C1844">
        <f>N(C1843)+B1844</f>
        <v>26</v>
      </c>
      <c r="K1844">
        <f>IF(OR($K$1="",对接源_02物料!$C644="",对接源_02物料!$C644&lt;&gt;$K$1,对接源_02物料!$B644=""),0,IF(OR(N(对接源_02物料!$B644)&lt;$K$2,N(对接源_02物料!$B644)&gt;$K$3),0,1))</f>
        <v>0</v>
      </c>
      <c r="L1844">
        <f>IF(OR($L$1="",对接源_02物料!$C644="",对接源_02物料!$C644&lt;&gt;$L$1,对接源_02物料!$B644=""),0,IF(OR(N(对接源_02物料!$B644)&lt;$L$2,N(对接源_02物料!$B644)&gt;$L$3),0,1))</f>
        <v>0</v>
      </c>
      <c r="M1844">
        <f>IF(OR($M$1="",对接源_02物料!$C644="",对接源_02物料!$C644&lt;&gt;$M$1,对接源_02物料!$B644=""),0,IF(OR(N(对接源_02物料!$B644)&lt;$M$2,N(对接源_02物料!$B644)&gt;$M$3),0,1))</f>
        <v>0</v>
      </c>
      <c r="N1844">
        <f>IF(OR($N$1="",对接源_02物料!$C644="",对接源_02物料!$C644&lt;&gt;$N$1,对接源_02物料!$B644=""),0,IF(OR(N(对接源_02物料!$B644)&lt;$N$2,N(对接源_02物料!$B644)&gt;$N$3),0,1))</f>
        <v>0</v>
      </c>
      <c r="P1844">
        <f>IF(AND($K1844=1,AND(对接源_02物料!$X644="公司筐",N(对接源_02物料!$T644)&lt;&gt;0)),1,0)</f>
        <v>0</v>
      </c>
      <c r="Q1844">
        <f>N(Q1843)+$P1844</f>
        <v>14</v>
      </c>
      <c r="R1844">
        <f>IF(AND($K1844=1,AND(对接源_02物料!$X644="公司筐",N(对接源_02物料!$U644)&lt;&gt;0)),1,0)</f>
        <v>0</v>
      </c>
      <c r="S1844">
        <f>N(S1843)+$R1844</f>
        <v>1</v>
      </c>
      <c r="T1844">
        <f>IF(AND($K1844=1,AND(对接源_02物料!$X644="公司筐",N(对接源_02物料!$V644)&lt;&gt;0)),1,0)</f>
        <v>0</v>
      </c>
      <c r="U1844">
        <f>N(U1843)+$T1844</f>
        <v>47</v>
      </c>
      <c r="V1844">
        <f>IF(AND($L1844=1,AND(对接源_02物料!$X644="自备筐",N(对接源_02物料!$V644)&lt;&gt;0)),1,0)</f>
        <v>0</v>
      </c>
      <c r="W1844">
        <f>N(W1843)+$V1844</f>
        <v>11</v>
      </c>
      <c r="X1844">
        <f>IF(AND($L1844=1,AND(对接源_02物料!$X644="自备筐",N(对接源_02物料!$T644)&lt;&gt;0)),1,0)</f>
        <v>0</v>
      </c>
      <c r="Y1844">
        <f>N(Y1843)+$X1844</f>
        <v>0</v>
      </c>
      <c r="Z1844">
        <f>IF(AND($M1844=1,对接源_02物料!$D644="原料入库"),1,0)</f>
        <v>0</v>
      </c>
      <c r="AA1844">
        <f>N(AA1843)+$Z1844</f>
        <v>24</v>
      </c>
      <c r="AB1844">
        <f>IF(AND($M1844=1,LEFT(对接源_02物料!$D644,4)="原料出库"),1,0)</f>
        <v>0</v>
      </c>
      <c r="AC1844">
        <f>N(AC1843)+$AB1844</f>
        <v>0</v>
      </c>
      <c r="AD1844">
        <f>IF(AND($M1844=1,LEFT(对接源_02物料!$D644,4)="成品出库"),1,0)</f>
        <v>0</v>
      </c>
      <c r="AE1844">
        <f>N(AE1843)+$AD1844</f>
        <v>0</v>
      </c>
      <c r="AF1844">
        <f>IF(AND($N1844=1,AND(LEFT(对接源_02物料!$D644,4)="包装物料",N(对接源_02物料!$K644)&lt;&gt;0)),1,0)</f>
        <v>0</v>
      </c>
      <c r="AG1844">
        <f>N(AG1843)+$AF1844</f>
        <v>10</v>
      </c>
      <c r="AH1844">
        <f>IF(AND($N1844=1,AND(对接源_02物料!$D644="周转筐－销售出库",N(对接源_02物料!$K644)&lt;&gt;0)),1,0)</f>
        <v>0</v>
      </c>
      <c r="AI1844">
        <f>N(AI1843)+$AH1844</f>
        <v>0</v>
      </c>
      <c r="AL1844" t="n">
        <v>0</v>
      </c>
      <c r="AM1844">
        <f>N(AM1843)+$AL1844</f>
        <v>2</v>
      </c>
      <c r="AN1844">
        <f>""</f>
      </c>
      <c r="AO1844" t="n">
        <v>0</v>
      </c>
      <c r="AP1844">
        <f>N(AP1843)+$AO1844</f>
        <v>13</v>
      </c>
      <c r="AR1844">
        <f>IF(OR($AF1844=1,$AH1844=1),1,0)</f>
        <v>0</v>
      </c>
      <c r="AS1844">
        <f>N(AS1843)+$AR1844</f>
        <v>10</v>
      </c>
    </row>
    <row r="1845" s="127">
      <c r="A1845">
        <f>IF(对接源_02物料!$C645="","",对接源_02物料!$C645)</f>
      </c>
      <c r="B1845">
        <f>IF(A1845="",0,IF(MATCH(A1845,$A$4:$A$2403,0)=ROW()-3,1,0))</f>
        <v>0</v>
      </c>
      <c r="C1845">
        <f>N(C1844)+B1845</f>
        <v>26</v>
      </c>
      <c r="K1845">
        <f>IF(OR($K$1="",对接源_02物料!$C645="",对接源_02物料!$C645&lt;&gt;$K$1,对接源_02物料!$B645=""),0,IF(OR(N(对接源_02物料!$B645)&lt;$K$2,N(对接源_02物料!$B645)&gt;$K$3),0,1))</f>
        <v>0</v>
      </c>
      <c r="L1845">
        <f>IF(OR($L$1="",对接源_02物料!$C645="",对接源_02物料!$C645&lt;&gt;$L$1,对接源_02物料!$B645=""),0,IF(OR(N(对接源_02物料!$B645)&lt;$L$2,N(对接源_02物料!$B645)&gt;$L$3),0,1))</f>
        <v>0</v>
      </c>
      <c r="M1845">
        <f>IF(OR($M$1="",对接源_02物料!$C645="",对接源_02物料!$C645&lt;&gt;$M$1,对接源_02物料!$B645=""),0,IF(OR(N(对接源_02物料!$B645)&lt;$M$2,N(对接源_02物料!$B645)&gt;$M$3),0,1))</f>
        <v>0</v>
      </c>
      <c r="N1845">
        <f>IF(OR($N$1="",对接源_02物料!$C645="",对接源_02物料!$C645&lt;&gt;$N$1,对接源_02物料!$B645=""),0,IF(OR(N(对接源_02物料!$B645)&lt;$N$2,N(对接源_02物料!$B645)&gt;$N$3),0,1))</f>
        <v>0</v>
      </c>
      <c r="P1845">
        <f>IF(AND($K1845=1,AND(对接源_02物料!$X645="公司筐",N(对接源_02物料!$T645)&lt;&gt;0)),1,0)</f>
        <v>0</v>
      </c>
      <c r="Q1845">
        <f>N(Q1844)+$P1845</f>
        <v>14</v>
      </c>
      <c r="R1845">
        <f>IF(AND($K1845=1,AND(对接源_02物料!$X645="公司筐",N(对接源_02物料!$U645)&lt;&gt;0)),1,0)</f>
        <v>0</v>
      </c>
      <c r="S1845">
        <f>N(S1844)+$R1845</f>
        <v>1</v>
      </c>
      <c r="T1845">
        <f>IF(AND($K1845=1,AND(对接源_02物料!$X645="公司筐",N(对接源_02物料!$V645)&lt;&gt;0)),1,0)</f>
        <v>0</v>
      </c>
      <c r="U1845">
        <f>N(U1844)+$T1845</f>
        <v>47</v>
      </c>
      <c r="V1845">
        <f>IF(AND($L1845=1,AND(对接源_02物料!$X645="自备筐",N(对接源_02物料!$V645)&lt;&gt;0)),1,0)</f>
        <v>0</v>
      </c>
      <c r="W1845">
        <f>N(W1844)+$V1845</f>
        <v>11</v>
      </c>
      <c r="X1845">
        <f>IF(AND($L1845=1,AND(对接源_02物料!$X645="自备筐",N(对接源_02物料!$T645)&lt;&gt;0)),1,0)</f>
        <v>0</v>
      </c>
      <c r="Y1845">
        <f>N(Y1844)+$X1845</f>
        <v>0</v>
      </c>
      <c r="Z1845">
        <f>IF(AND($M1845=1,对接源_02物料!$D645="原料入库"),1,0)</f>
        <v>0</v>
      </c>
      <c r="AA1845">
        <f>N(AA1844)+$Z1845</f>
        <v>24</v>
      </c>
      <c r="AB1845">
        <f>IF(AND($M1845=1,LEFT(对接源_02物料!$D645,4)="原料出库"),1,0)</f>
        <v>0</v>
      </c>
      <c r="AC1845">
        <f>N(AC1844)+$AB1845</f>
        <v>0</v>
      </c>
      <c r="AD1845">
        <f>IF(AND($M1845=1,LEFT(对接源_02物料!$D645,4)="成品出库"),1,0)</f>
        <v>0</v>
      </c>
      <c r="AE1845">
        <f>N(AE1844)+$AD1845</f>
        <v>0</v>
      </c>
      <c r="AF1845">
        <f>IF(AND($N1845=1,AND(LEFT(对接源_02物料!$D645,4)="包装物料",N(对接源_02物料!$K645)&lt;&gt;0)),1,0)</f>
        <v>0</v>
      </c>
      <c r="AG1845">
        <f>N(AG1844)+$AF1845</f>
        <v>10</v>
      </c>
      <c r="AH1845">
        <f>IF(AND($N1845=1,AND(对接源_02物料!$D645="周转筐－销售出库",N(对接源_02物料!$K645)&lt;&gt;0)),1,0)</f>
        <v>0</v>
      </c>
      <c r="AI1845">
        <f>N(AI1844)+$AH1845</f>
        <v>0</v>
      </c>
      <c r="AL1845" t="n">
        <v>0</v>
      </c>
      <c r="AM1845">
        <f>N(AM1844)+$AL1845</f>
        <v>2</v>
      </c>
      <c r="AN1845">
        <f>""</f>
      </c>
      <c r="AO1845" t="n">
        <v>0</v>
      </c>
      <c r="AP1845">
        <f>N(AP1844)+$AO1845</f>
        <v>13</v>
      </c>
      <c r="AR1845">
        <f>IF(OR($AF1845=1,$AH1845=1),1,0)</f>
        <v>0</v>
      </c>
      <c r="AS1845">
        <f>N(AS1844)+$AR1845</f>
        <v>10</v>
      </c>
    </row>
    <row r="1846" s="127">
      <c r="A1846">
        <f>IF(对接源_02物料!$C646="","",对接源_02物料!$C646)</f>
      </c>
      <c r="B1846">
        <f>IF(A1846="",0,IF(MATCH(A1846,$A$4:$A$2403,0)=ROW()-3,1,0))</f>
        <v>0</v>
      </c>
      <c r="C1846">
        <f>N(C1845)+B1846</f>
        <v>26</v>
      </c>
      <c r="K1846">
        <f>IF(OR($K$1="",对接源_02物料!$C646="",对接源_02物料!$C646&lt;&gt;$K$1,对接源_02物料!$B646=""),0,IF(OR(N(对接源_02物料!$B646)&lt;$K$2,N(对接源_02物料!$B646)&gt;$K$3),0,1))</f>
        <v>0</v>
      </c>
      <c r="L1846">
        <f>IF(OR($L$1="",对接源_02物料!$C646="",对接源_02物料!$C646&lt;&gt;$L$1,对接源_02物料!$B646=""),0,IF(OR(N(对接源_02物料!$B646)&lt;$L$2,N(对接源_02物料!$B646)&gt;$L$3),0,1))</f>
        <v>0</v>
      </c>
      <c r="M1846">
        <f>IF(OR($M$1="",对接源_02物料!$C646="",对接源_02物料!$C646&lt;&gt;$M$1,对接源_02物料!$B646=""),0,IF(OR(N(对接源_02物料!$B646)&lt;$M$2,N(对接源_02物料!$B646)&gt;$M$3),0,1))</f>
        <v>0</v>
      </c>
      <c r="N1846">
        <f>IF(OR($N$1="",对接源_02物料!$C646="",对接源_02物料!$C646&lt;&gt;$N$1,对接源_02物料!$B646=""),0,IF(OR(N(对接源_02物料!$B646)&lt;$N$2,N(对接源_02物料!$B646)&gt;$N$3),0,1))</f>
        <v>0</v>
      </c>
      <c r="P1846">
        <f>IF(AND($K1846=1,AND(对接源_02物料!$X646="公司筐",N(对接源_02物料!$T646)&lt;&gt;0)),1,0)</f>
        <v>0</v>
      </c>
      <c r="Q1846">
        <f>N(Q1845)+$P1846</f>
        <v>14</v>
      </c>
      <c r="R1846">
        <f>IF(AND($K1846=1,AND(对接源_02物料!$X646="公司筐",N(对接源_02物料!$U646)&lt;&gt;0)),1,0)</f>
        <v>0</v>
      </c>
      <c r="S1846">
        <f>N(S1845)+$R1846</f>
        <v>1</v>
      </c>
      <c r="T1846">
        <f>IF(AND($K1846=1,AND(对接源_02物料!$X646="公司筐",N(对接源_02物料!$V646)&lt;&gt;0)),1,0)</f>
        <v>0</v>
      </c>
      <c r="U1846">
        <f>N(U1845)+$T1846</f>
        <v>47</v>
      </c>
      <c r="V1846">
        <f>IF(AND($L1846=1,AND(对接源_02物料!$X646="自备筐",N(对接源_02物料!$V646)&lt;&gt;0)),1,0)</f>
        <v>0</v>
      </c>
      <c r="W1846">
        <f>N(W1845)+$V1846</f>
        <v>11</v>
      </c>
      <c r="X1846">
        <f>IF(AND($L1846=1,AND(对接源_02物料!$X646="自备筐",N(对接源_02物料!$T646)&lt;&gt;0)),1,0)</f>
        <v>0</v>
      </c>
      <c r="Y1846">
        <f>N(Y1845)+$X1846</f>
        <v>0</v>
      </c>
      <c r="Z1846">
        <f>IF(AND($M1846=1,对接源_02物料!$D646="原料入库"),1,0)</f>
        <v>0</v>
      </c>
      <c r="AA1846">
        <f>N(AA1845)+$Z1846</f>
        <v>24</v>
      </c>
      <c r="AB1846">
        <f>IF(AND($M1846=1,LEFT(对接源_02物料!$D646,4)="原料出库"),1,0)</f>
        <v>0</v>
      </c>
      <c r="AC1846">
        <f>N(AC1845)+$AB1846</f>
        <v>0</v>
      </c>
      <c r="AD1846">
        <f>IF(AND($M1846=1,LEFT(对接源_02物料!$D646,4)="成品出库"),1,0)</f>
        <v>0</v>
      </c>
      <c r="AE1846">
        <f>N(AE1845)+$AD1846</f>
        <v>0</v>
      </c>
      <c r="AF1846">
        <f>IF(AND($N1846=1,AND(LEFT(对接源_02物料!$D646,4)="包装物料",N(对接源_02物料!$K646)&lt;&gt;0)),1,0)</f>
        <v>0</v>
      </c>
      <c r="AG1846">
        <f>N(AG1845)+$AF1846</f>
        <v>10</v>
      </c>
      <c r="AH1846">
        <f>IF(AND($N1846=1,AND(对接源_02物料!$D646="周转筐－销售出库",N(对接源_02物料!$K646)&lt;&gt;0)),1,0)</f>
        <v>0</v>
      </c>
      <c r="AI1846">
        <f>N(AI1845)+$AH1846</f>
        <v>0</v>
      </c>
      <c r="AL1846" t="n">
        <v>0</v>
      </c>
      <c r="AM1846">
        <f>N(AM1845)+$AL1846</f>
        <v>2</v>
      </c>
      <c r="AN1846">
        <f>""</f>
      </c>
      <c r="AO1846" t="n">
        <v>0</v>
      </c>
      <c r="AP1846">
        <f>N(AP1845)+$AO1846</f>
        <v>13</v>
      </c>
      <c r="AR1846">
        <f>IF(OR($AF1846=1,$AH1846=1),1,0)</f>
        <v>0</v>
      </c>
      <c r="AS1846">
        <f>N(AS1845)+$AR1846</f>
        <v>10</v>
      </c>
    </row>
    <row r="1847" s="127">
      <c r="A1847">
        <f>IF(对接源_02物料!$C647="","",对接源_02物料!$C647)</f>
      </c>
      <c r="B1847">
        <f>IF(A1847="",0,IF(MATCH(A1847,$A$4:$A$2403,0)=ROW()-3,1,0))</f>
        <v>0</v>
      </c>
      <c r="C1847">
        <f>N(C1846)+B1847</f>
        <v>26</v>
      </c>
      <c r="K1847">
        <f>IF(OR($K$1="",对接源_02物料!$C647="",对接源_02物料!$C647&lt;&gt;$K$1,对接源_02物料!$B647=""),0,IF(OR(N(对接源_02物料!$B647)&lt;$K$2,N(对接源_02物料!$B647)&gt;$K$3),0,1))</f>
        <v>0</v>
      </c>
      <c r="L1847">
        <f>IF(OR($L$1="",对接源_02物料!$C647="",对接源_02物料!$C647&lt;&gt;$L$1,对接源_02物料!$B647=""),0,IF(OR(N(对接源_02物料!$B647)&lt;$L$2,N(对接源_02物料!$B647)&gt;$L$3),0,1))</f>
        <v>0</v>
      </c>
      <c r="M1847">
        <f>IF(OR($M$1="",对接源_02物料!$C647="",对接源_02物料!$C647&lt;&gt;$M$1,对接源_02物料!$B647=""),0,IF(OR(N(对接源_02物料!$B647)&lt;$M$2,N(对接源_02物料!$B647)&gt;$M$3),0,1))</f>
        <v>0</v>
      </c>
      <c r="N1847">
        <f>IF(OR($N$1="",对接源_02物料!$C647="",对接源_02物料!$C647&lt;&gt;$N$1,对接源_02物料!$B647=""),0,IF(OR(N(对接源_02物料!$B647)&lt;$N$2,N(对接源_02物料!$B647)&gt;$N$3),0,1))</f>
        <v>0</v>
      </c>
      <c r="P1847">
        <f>IF(AND($K1847=1,AND(对接源_02物料!$X647="公司筐",N(对接源_02物料!$T647)&lt;&gt;0)),1,0)</f>
        <v>0</v>
      </c>
      <c r="Q1847">
        <f>N(Q1846)+$P1847</f>
        <v>14</v>
      </c>
      <c r="R1847">
        <f>IF(AND($K1847=1,AND(对接源_02物料!$X647="公司筐",N(对接源_02物料!$U647)&lt;&gt;0)),1,0)</f>
        <v>0</v>
      </c>
      <c r="S1847">
        <f>N(S1846)+$R1847</f>
        <v>1</v>
      </c>
      <c r="T1847">
        <f>IF(AND($K1847=1,AND(对接源_02物料!$X647="公司筐",N(对接源_02物料!$V647)&lt;&gt;0)),1,0)</f>
        <v>0</v>
      </c>
      <c r="U1847">
        <f>N(U1846)+$T1847</f>
        <v>47</v>
      </c>
      <c r="V1847">
        <f>IF(AND($L1847=1,AND(对接源_02物料!$X647="自备筐",N(对接源_02物料!$V647)&lt;&gt;0)),1,0)</f>
        <v>0</v>
      </c>
      <c r="W1847">
        <f>N(W1846)+$V1847</f>
        <v>11</v>
      </c>
      <c r="X1847">
        <f>IF(AND($L1847=1,AND(对接源_02物料!$X647="自备筐",N(对接源_02物料!$T647)&lt;&gt;0)),1,0)</f>
        <v>0</v>
      </c>
      <c r="Y1847">
        <f>N(Y1846)+$X1847</f>
        <v>0</v>
      </c>
      <c r="Z1847">
        <f>IF(AND($M1847=1,对接源_02物料!$D647="原料入库"),1,0)</f>
        <v>0</v>
      </c>
      <c r="AA1847">
        <f>N(AA1846)+$Z1847</f>
        <v>24</v>
      </c>
      <c r="AB1847">
        <f>IF(AND($M1847=1,LEFT(对接源_02物料!$D647,4)="原料出库"),1,0)</f>
        <v>0</v>
      </c>
      <c r="AC1847">
        <f>N(AC1846)+$AB1847</f>
        <v>0</v>
      </c>
      <c r="AD1847">
        <f>IF(AND($M1847=1,LEFT(对接源_02物料!$D647,4)="成品出库"),1,0)</f>
        <v>0</v>
      </c>
      <c r="AE1847">
        <f>N(AE1846)+$AD1847</f>
        <v>0</v>
      </c>
      <c r="AF1847">
        <f>IF(AND($N1847=1,AND(LEFT(对接源_02物料!$D647,4)="包装物料",N(对接源_02物料!$K647)&lt;&gt;0)),1,0)</f>
        <v>0</v>
      </c>
      <c r="AG1847">
        <f>N(AG1846)+$AF1847</f>
        <v>10</v>
      </c>
      <c r="AH1847">
        <f>IF(AND($N1847=1,AND(对接源_02物料!$D647="周转筐－销售出库",N(对接源_02物料!$K647)&lt;&gt;0)),1,0)</f>
        <v>0</v>
      </c>
      <c r="AI1847">
        <f>N(AI1846)+$AH1847</f>
        <v>0</v>
      </c>
      <c r="AL1847" t="n">
        <v>0</v>
      </c>
      <c r="AM1847">
        <f>N(AM1846)+$AL1847</f>
        <v>2</v>
      </c>
      <c r="AN1847">
        <f>""</f>
      </c>
      <c r="AO1847" t="n">
        <v>0</v>
      </c>
      <c r="AP1847">
        <f>N(AP1846)+$AO1847</f>
        <v>13</v>
      </c>
      <c r="AR1847">
        <f>IF(OR($AF1847=1,$AH1847=1),1,0)</f>
        <v>0</v>
      </c>
      <c r="AS1847">
        <f>N(AS1846)+$AR1847</f>
        <v>10</v>
      </c>
    </row>
    <row r="1848" s="127">
      <c r="A1848">
        <f>IF(对接源_02物料!$C648="","",对接源_02物料!$C648)</f>
      </c>
      <c r="B1848">
        <f>IF(A1848="",0,IF(MATCH(A1848,$A$4:$A$2403,0)=ROW()-3,1,0))</f>
        <v>0</v>
      </c>
      <c r="C1848">
        <f>N(C1847)+B1848</f>
        <v>26</v>
      </c>
      <c r="K1848">
        <f>IF(OR($K$1="",对接源_02物料!$C648="",对接源_02物料!$C648&lt;&gt;$K$1,对接源_02物料!$B648=""),0,IF(OR(N(对接源_02物料!$B648)&lt;$K$2,N(对接源_02物料!$B648)&gt;$K$3),0,1))</f>
        <v>0</v>
      </c>
      <c r="L1848">
        <f>IF(OR($L$1="",对接源_02物料!$C648="",对接源_02物料!$C648&lt;&gt;$L$1,对接源_02物料!$B648=""),0,IF(OR(N(对接源_02物料!$B648)&lt;$L$2,N(对接源_02物料!$B648)&gt;$L$3),0,1))</f>
        <v>0</v>
      </c>
      <c r="M1848">
        <f>IF(OR($M$1="",对接源_02物料!$C648="",对接源_02物料!$C648&lt;&gt;$M$1,对接源_02物料!$B648=""),0,IF(OR(N(对接源_02物料!$B648)&lt;$M$2,N(对接源_02物料!$B648)&gt;$M$3),0,1))</f>
        <v>0</v>
      </c>
      <c r="N1848">
        <f>IF(OR($N$1="",对接源_02物料!$C648="",对接源_02物料!$C648&lt;&gt;$N$1,对接源_02物料!$B648=""),0,IF(OR(N(对接源_02物料!$B648)&lt;$N$2,N(对接源_02物料!$B648)&gt;$N$3),0,1))</f>
        <v>0</v>
      </c>
      <c r="P1848">
        <f>IF(AND($K1848=1,AND(对接源_02物料!$X648="公司筐",N(对接源_02物料!$T648)&lt;&gt;0)),1,0)</f>
        <v>0</v>
      </c>
      <c r="Q1848">
        <f>N(Q1847)+$P1848</f>
        <v>14</v>
      </c>
      <c r="R1848">
        <f>IF(AND($K1848=1,AND(对接源_02物料!$X648="公司筐",N(对接源_02物料!$U648)&lt;&gt;0)),1,0)</f>
        <v>0</v>
      </c>
      <c r="S1848">
        <f>N(S1847)+$R1848</f>
        <v>1</v>
      </c>
      <c r="T1848">
        <f>IF(AND($K1848=1,AND(对接源_02物料!$X648="公司筐",N(对接源_02物料!$V648)&lt;&gt;0)),1,0)</f>
        <v>0</v>
      </c>
      <c r="U1848">
        <f>N(U1847)+$T1848</f>
        <v>47</v>
      </c>
      <c r="V1848">
        <f>IF(AND($L1848=1,AND(对接源_02物料!$X648="自备筐",N(对接源_02物料!$V648)&lt;&gt;0)),1,0)</f>
        <v>0</v>
      </c>
      <c r="W1848">
        <f>N(W1847)+$V1848</f>
        <v>11</v>
      </c>
      <c r="X1848">
        <f>IF(AND($L1848=1,AND(对接源_02物料!$X648="自备筐",N(对接源_02物料!$T648)&lt;&gt;0)),1,0)</f>
        <v>0</v>
      </c>
      <c r="Y1848">
        <f>N(Y1847)+$X1848</f>
        <v>0</v>
      </c>
      <c r="Z1848">
        <f>IF(AND($M1848=1,对接源_02物料!$D648="原料入库"),1,0)</f>
        <v>0</v>
      </c>
      <c r="AA1848">
        <f>N(AA1847)+$Z1848</f>
        <v>24</v>
      </c>
      <c r="AB1848">
        <f>IF(AND($M1848=1,LEFT(对接源_02物料!$D648,4)="原料出库"),1,0)</f>
        <v>0</v>
      </c>
      <c r="AC1848">
        <f>N(AC1847)+$AB1848</f>
        <v>0</v>
      </c>
      <c r="AD1848">
        <f>IF(AND($M1848=1,LEFT(对接源_02物料!$D648,4)="成品出库"),1,0)</f>
        <v>0</v>
      </c>
      <c r="AE1848">
        <f>N(AE1847)+$AD1848</f>
        <v>0</v>
      </c>
      <c r="AF1848">
        <f>IF(AND($N1848=1,AND(LEFT(对接源_02物料!$D648,4)="包装物料",N(对接源_02物料!$K648)&lt;&gt;0)),1,0)</f>
        <v>0</v>
      </c>
      <c r="AG1848">
        <f>N(AG1847)+$AF1848</f>
        <v>10</v>
      </c>
      <c r="AH1848">
        <f>IF(AND($N1848=1,AND(对接源_02物料!$D648="周转筐－销售出库",N(对接源_02物料!$K648)&lt;&gt;0)),1,0)</f>
        <v>0</v>
      </c>
      <c r="AI1848">
        <f>N(AI1847)+$AH1848</f>
        <v>0</v>
      </c>
      <c r="AL1848" t="n">
        <v>0</v>
      </c>
      <c r="AM1848">
        <f>N(AM1847)+$AL1848</f>
        <v>2</v>
      </c>
      <c r="AN1848">
        <f>""</f>
      </c>
      <c r="AO1848" t="n">
        <v>0</v>
      </c>
      <c r="AP1848">
        <f>N(AP1847)+$AO1848</f>
        <v>13</v>
      </c>
      <c r="AR1848">
        <f>IF(OR($AF1848=1,$AH1848=1),1,0)</f>
        <v>0</v>
      </c>
      <c r="AS1848">
        <f>N(AS1847)+$AR1848</f>
        <v>10</v>
      </c>
    </row>
    <row r="1849" s="127">
      <c r="A1849">
        <f>IF(对接源_02物料!$C649="","",对接源_02物料!$C649)</f>
      </c>
      <c r="B1849">
        <f>IF(A1849="",0,IF(MATCH(A1849,$A$4:$A$2403,0)=ROW()-3,1,0))</f>
        <v>0</v>
      </c>
      <c r="C1849">
        <f>N(C1848)+B1849</f>
        <v>26</v>
      </c>
      <c r="K1849">
        <f>IF(OR($K$1="",对接源_02物料!$C649="",对接源_02物料!$C649&lt;&gt;$K$1,对接源_02物料!$B649=""),0,IF(OR(N(对接源_02物料!$B649)&lt;$K$2,N(对接源_02物料!$B649)&gt;$K$3),0,1))</f>
        <v>0</v>
      </c>
      <c r="L1849">
        <f>IF(OR($L$1="",对接源_02物料!$C649="",对接源_02物料!$C649&lt;&gt;$L$1,对接源_02物料!$B649=""),0,IF(OR(N(对接源_02物料!$B649)&lt;$L$2,N(对接源_02物料!$B649)&gt;$L$3),0,1))</f>
        <v>0</v>
      </c>
      <c r="M1849">
        <f>IF(OR($M$1="",对接源_02物料!$C649="",对接源_02物料!$C649&lt;&gt;$M$1,对接源_02物料!$B649=""),0,IF(OR(N(对接源_02物料!$B649)&lt;$M$2,N(对接源_02物料!$B649)&gt;$M$3),0,1))</f>
        <v>0</v>
      </c>
      <c r="N1849">
        <f>IF(OR($N$1="",对接源_02物料!$C649="",对接源_02物料!$C649&lt;&gt;$N$1,对接源_02物料!$B649=""),0,IF(OR(N(对接源_02物料!$B649)&lt;$N$2,N(对接源_02物料!$B649)&gt;$N$3),0,1))</f>
        <v>0</v>
      </c>
      <c r="P1849">
        <f>IF(AND($K1849=1,AND(对接源_02物料!$X649="公司筐",N(对接源_02物料!$T649)&lt;&gt;0)),1,0)</f>
        <v>0</v>
      </c>
      <c r="Q1849">
        <f>N(Q1848)+$P1849</f>
        <v>14</v>
      </c>
      <c r="R1849">
        <f>IF(AND($K1849=1,AND(对接源_02物料!$X649="公司筐",N(对接源_02物料!$U649)&lt;&gt;0)),1,0)</f>
        <v>0</v>
      </c>
      <c r="S1849">
        <f>N(S1848)+$R1849</f>
        <v>1</v>
      </c>
      <c r="T1849">
        <f>IF(AND($K1849=1,AND(对接源_02物料!$X649="公司筐",N(对接源_02物料!$V649)&lt;&gt;0)),1,0)</f>
        <v>0</v>
      </c>
      <c r="U1849">
        <f>N(U1848)+$T1849</f>
        <v>47</v>
      </c>
      <c r="V1849">
        <f>IF(AND($L1849=1,AND(对接源_02物料!$X649="自备筐",N(对接源_02物料!$V649)&lt;&gt;0)),1,0)</f>
        <v>0</v>
      </c>
      <c r="W1849">
        <f>N(W1848)+$V1849</f>
        <v>11</v>
      </c>
      <c r="X1849">
        <f>IF(AND($L1849=1,AND(对接源_02物料!$X649="自备筐",N(对接源_02物料!$T649)&lt;&gt;0)),1,0)</f>
        <v>0</v>
      </c>
      <c r="Y1849">
        <f>N(Y1848)+$X1849</f>
        <v>0</v>
      </c>
      <c r="Z1849">
        <f>IF(AND($M1849=1,对接源_02物料!$D649="原料入库"),1,0)</f>
        <v>0</v>
      </c>
      <c r="AA1849">
        <f>N(AA1848)+$Z1849</f>
        <v>24</v>
      </c>
      <c r="AB1849">
        <f>IF(AND($M1849=1,LEFT(对接源_02物料!$D649,4)="原料出库"),1,0)</f>
        <v>0</v>
      </c>
      <c r="AC1849">
        <f>N(AC1848)+$AB1849</f>
        <v>0</v>
      </c>
      <c r="AD1849">
        <f>IF(AND($M1849=1,LEFT(对接源_02物料!$D649,4)="成品出库"),1,0)</f>
        <v>0</v>
      </c>
      <c r="AE1849">
        <f>N(AE1848)+$AD1849</f>
        <v>0</v>
      </c>
      <c r="AF1849">
        <f>IF(AND($N1849=1,AND(LEFT(对接源_02物料!$D649,4)="包装物料",N(对接源_02物料!$K649)&lt;&gt;0)),1,0)</f>
        <v>0</v>
      </c>
      <c r="AG1849">
        <f>N(AG1848)+$AF1849</f>
        <v>10</v>
      </c>
      <c r="AH1849">
        <f>IF(AND($N1849=1,AND(对接源_02物料!$D649="周转筐－销售出库",N(对接源_02物料!$K649)&lt;&gt;0)),1,0)</f>
        <v>0</v>
      </c>
      <c r="AI1849">
        <f>N(AI1848)+$AH1849</f>
        <v>0</v>
      </c>
      <c r="AL1849" t="n">
        <v>0</v>
      </c>
      <c r="AM1849">
        <f>N(AM1848)+$AL1849</f>
        <v>2</v>
      </c>
      <c r="AN1849">
        <f>""</f>
      </c>
      <c r="AO1849" t="n">
        <v>0</v>
      </c>
      <c r="AP1849">
        <f>N(AP1848)+$AO1849</f>
        <v>13</v>
      </c>
      <c r="AR1849">
        <f>IF(OR($AF1849=1,$AH1849=1),1,0)</f>
        <v>0</v>
      </c>
      <c r="AS1849">
        <f>N(AS1848)+$AR1849</f>
        <v>10</v>
      </c>
    </row>
    <row r="1850" s="127">
      <c r="A1850">
        <f>IF(对接源_02物料!$C650="","",对接源_02物料!$C650)</f>
      </c>
      <c r="B1850">
        <f>IF(A1850="",0,IF(MATCH(A1850,$A$4:$A$2403,0)=ROW()-3,1,0))</f>
        <v>0</v>
      </c>
      <c r="C1850">
        <f>N(C1849)+B1850</f>
        <v>26</v>
      </c>
      <c r="K1850">
        <f>IF(OR($K$1="",对接源_02物料!$C650="",对接源_02物料!$C650&lt;&gt;$K$1,对接源_02物料!$B650=""),0,IF(OR(N(对接源_02物料!$B650)&lt;$K$2,N(对接源_02物料!$B650)&gt;$K$3),0,1))</f>
        <v>0</v>
      </c>
      <c r="L1850">
        <f>IF(OR($L$1="",对接源_02物料!$C650="",对接源_02物料!$C650&lt;&gt;$L$1,对接源_02物料!$B650=""),0,IF(OR(N(对接源_02物料!$B650)&lt;$L$2,N(对接源_02物料!$B650)&gt;$L$3),0,1))</f>
        <v>0</v>
      </c>
      <c r="M1850">
        <f>IF(OR($M$1="",对接源_02物料!$C650="",对接源_02物料!$C650&lt;&gt;$M$1,对接源_02物料!$B650=""),0,IF(OR(N(对接源_02物料!$B650)&lt;$M$2,N(对接源_02物料!$B650)&gt;$M$3),0,1))</f>
        <v>0</v>
      </c>
      <c r="N1850">
        <f>IF(OR($N$1="",对接源_02物料!$C650="",对接源_02物料!$C650&lt;&gt;$N$1,对接源_02物料!$B650=""),0,IF(OR(N(对接源_02物料!$B650)&lt;$N$2,N(对接源_02物料!$B650)&gt;$N$3),0,1))</f>
        <v>0</v>
      </c>
      <c r="P1850">
        <f>IF(AND($K1850=1,AND(对接源_02物料!$X650="公司筐",N(对接源_02物料!$T650)&lt;&gt;0)),1,0)</f>
        <v>0</v>
      </c>
      <c r="Q1850">
        <f>N(Q1849)+$P1850</f>
        <v>14</v>
      </c>
      <c r="R1850">
        <f>IF(AND($K1850=1,AND(对接源_02物料!$X650="公司筐",N(对接源_02物料!$U650)&lt;&gt;0)),1,0)</f>
        <v>0</v>
      </c>
      <c r="S1850">
        <f>N(S1849)+$R1850</f>
        <v>1</v>
      </c>
      <c r="T1850">
        <f>IF(AND($K1850=1,AND(对接源_02物料!$X650="公司筐",N(对接源_02物料!$V650)&lt;&gt;0)),1,0)</f>
        <v>0</v>
      </c>
      <c r="U1850">
        <f>N(U1849)+$T1850</f>
        <v>47</v>
      </c>
      <c r="V1850">
        <f>IF(AND($L1850=1,AND(对接源_02物料!$X650="自备筐",N(对接源_02物料!$V650)&lt;&gt;0)),1,0)</f>
        <v>0</v>
      </c>
      <c r="W1850">
        <f>N(W1849)+$V1850</f>
        <v>11</v>
      </c>
      <c r="X1850">
        <f>IF(AND($L1850=1,AND(对接源_02物料!$X650="自备筐",N(对接源_02物料!$T650)&lt;&gt;0)),1,0)</f>
        <v>0</v>
      </c>
      <c r="Y1850">
        <f>N(Y1849)+$X1850</f>
        <v>0</v>
      </c>
      <c r="Z1850">
        <f>IF(AND($M1850=1,对接源_02物料!$D650="原料入库"),1,0)</f>
        <v>0</v>
      </c>
      <c r="AA1850">
        <f>N(AA1849)+$Z1850</f>
        <v>24</v>
      </c>
      <c r="AB1850">
        <f>IF(AND($M1850=1,LEFT(对接源_02物料!$D650,4)="原料出库"),1,0)</f>
        <v>0</v>
      </c>
      <c r="AC1850">
        <f>N(AC1849)+$AB1850</f>
        <v>0</v>
      </c>
      <c r="AD1850">
        <f>IF(AND($M1850=1,LEFT(对接源_02物料!$D650,4)="成品出库"),1,0)</f>
        <v>0</v>
      </c>
      <c r="AE1850">
        <f>N(AE1849)+$AD1850</f>
        <v>0</v>
      </c>
      <c r="AF1850">
        <f>IF(AND($N1850=1,AND(LEFT(对接源_02物料!$D650,4)="包装物料",N(对接源_02物料!$K650)&lt;&gt;0)),1,0)</f>
        <v>0</v>
      </c>
      <c r="AG1850">
        <f>N(AG1849)+$AF1850</f>
        <v>10</v>
      </c>
      <c r="AH1850">
        <f>IF(AND($N1850=1,AND(对接源_02物料!$D650="周转筐－销售出库",N(对接源_02物料!$K650)&lt;&gt;0)),1,0)</f>
        <v>0</v>
      </c>
      <c r="AI1850">
        <f>N(AI1849)+$AH1850</f>
        <v>0</v>
      </c>
      <c r="AL1850" t="n">
        <v>0</v>
      </c>
      <c r="AM1850">
        <f>N(AM1849)+$AL1850</f>
        <v>2</v>
      </c>
      <c r="AN1850">
        <f>""</f>
      </c>
      <c r="AO1850" t="n">
        <v>0</v>
      </c>
      <c r="AP1850">
        <f>N(AP1849)+$AO1850</f>
        <v>13</v>
      </c>
      <c r="AR1850">
        <f>IF(OR($AF1850=1,$AH1850=1),1,0)</f>
        <v>0</v>
      </c>
      <c r="AS1850">
        <f>N(AS1849)+$AR1850</f>
        <v>10</v>
      </c>
    </row>
    <row r="1851" s="127">
      <c r="A1851">
        <f>IF(对接源_02物料!$C651="","",对接源_02物料!$C651)</f>
      </c>
      <c r="B1851">
        <f>IF(A1851="",0,IF(MATCH(A1851,$A$4:$A$2403,0)=ROW()-3,1,0))</f>
        <v>0</v>
      </c>
      <c r="C1851">
        <f>N(C1850)+B1851</f>
        <v>26</v>
      </c>
      <c r="K1851">
        <f>IF(OR($K$1="",对接源_02物料!$C651="",对接源_02物料!$C651&lt;&gt;$K$1,对接源_02物料!$B651=""),0,IF(OR(N(对接源_02物料!$B651)&lt;$K$2,N(对接源_02物料!$B651)&gt;$K$3),0,1))</f>
        <v>0</v>
      </c>
      <c r="L1851">
        <f>IF(OR($L$1="",对接源_02物料!$C651="",对接源_02物料!$C651&lt;&gt;$L$1,对接源_02物料!$B651=""),0,IF(OR(N(对接源_02物料!$B651)&lt;$L$2,N(对接源_02物料!$B651)&gt;$L$3),0,1))</f>
        <v>0</v>
      </c>
      <c r="M1851">
        <f>IF(OR($M$1="",对接源_02物料!$C651="",对接源_02物料!$C651&lt;&gt;$M$1,对接源_02物料!$B651=""),0,IF(OR(N(对接源_02物料!$B651)&lt;$M$2,N(对接源_02物料!$B651)&gt;$M$3),0,1))</f>
        <v>0</v>
      </c>
      <c r="N1851">
        <f>IF(OR($N$1="",对接源_02物料!$C651="",对接源_02物料!$C651&lt;&gt;$N$1,对接源_02物料!$B651=""),0,IF(OR(N(对接源_02物料!$B651)&lt;$N$2,N(对接源_02物料!$B651)&gt;$N$3),0,1))</f>
        <v>0</v>
      </c>
      <c r="P1851">
        <f>IF(AND($K1851=1,AND(对接源_02物料!$X651="公司筐",N(对接源_02物料!$T651)&lt;&gt;0)),1,0)</f>
        <v>0</v>
      </c>
      <c r="Q1851">
        <f>N(Q1850)+$P1851</f>
        <v>14</v>
      </c>
      <c r="R1851">
        <f>IF(AND($K1851=1,AND(对接源_02物料!$X651="公司筐",N(对接源_02物料!$U651)&lt;&gt;0)),1,0)</f>
        <v>0</v>
      </c>
      <c r="S1851">
        <f>N(S1850)+$R1851</f>
        <v>1</v>
      </c>
      <c r="T1851">
        <f>IF(AND($K1851=1,AND(对接源_02物料!$X651="公司筐",N(对接源_02物料!$V651)&lt;&gt;0)),1,0)</f>
        <v>0</v>
      </c>
      <c r="U1851">
        <f>N(U1850)+$T1851</f>
        <v>47</v>
      </c>
      <c r="V1851">
        <f>IF(AND($L1851=1,AND(对接源_02物料!$X651="自备筐",N(对接源_02物料!$V651)&lt;&gt;0)),1,0)</f>
        <v>0</v>
      </c>
      <c r="W1851">
        <f>N(W1850)+$V1851</f>
        <v>11</v>
      </c>
      <c r="X1851">
        <f>IF(AND($L1851=1,AND(对接源_02物料!$X651="自备筐",N(对接源_02物料!$T651)&lt;&gt;0)),1,0)</f>
        <v>0</v>
      </c>
      <c r="Y1851">
        <f>N(Y1850)+$X1851</f>
        <v>0</v>
      </c>
      <c r="Z1851">
        <f>IF(AND($M1851=1,对接源_02物料!$D651="原料入库"),1,0)</f>
        <v>0</v>
      </c>
      <c r="AA1851">
        <f>N(AA1850)+$Z1851</f>
        <v>24</v>
      </c>
      <c r="AB1851">
        <f>IF(AND($M1851=1,LEFT(对接源_02物料!$D651,4)="原料出库"),1,0)</f>
        <v>0</v>
      </c>
      <c r="AC1851">
        <f>N(AC1850)+$AB1851</f>
        <v>0</v>
      </c>
      <c r="AD1851">
        <f>IF(AND($M1851=1,LEFT(对接源_02物料!$D651,4)="成品出库"),1,0)</f>
        <v>0</v>
      </c>
      <c r="AE1851">
        <f>N(AE1850)+$AD1851</f>
        <v>0</v>
      </c>
      <c r="AF1851">
        <f>IF(AND($N1851=1,AND(LEFT(对接源_02物料!$D651,4)="包装物料",N(对接源_02物料!$K651)&lt;&gt;0)),1,0)</f>
        <v>0</v>
      </c>
      <c r="AG1851">
        <f>N(AG1850)+$AF1851</f>
        <v>10</v>
      </c>
      <c r="AH1851">
        <f>IF(AND($N1851=1,AND(对接源_02物料!$D651="周转筐－销售出库",N(对接源_02物料!$K651)&lt;&gt;0)),1,0)</f>
        <v>0</v>
      </c>
      <c r="AI1851">
        <f>N(AI1850)+$AH1851</f>
        <v>0</v>
      </c>
      <c r="AL1851" t="n">
        <v>0</v>
      </c>
      <c r="AM1851">
        <f>N(AM1850)+$AL1851</f>
        <v>2</v>
      </c>
      <c r="AN1851">
        <f>""</f>
      </c>
      <c r="AO1851" t="n">
        <v>0</v>
      </c>
      <c r="AP1851">
        <f>N(AP1850)+$AO1851</f>
        <v>13</v>
      </c>
      <c r="AR1851">
        <f>IF(OR($AF1851=1,$AH1851=1),1,0)</f>
        <v>0</v>
      </c>
      <c r="AS1851">
        <f>N(AS1850)+$AR1851</f>
        <v>10</v>
      </c>
    </row>
    <row r="1852" s="127">
      <c r="A1852">
        <f>IF(对接源_02物料!$C652="","",对接源_02物料!$C652)</f>
      </c>
      <c r="B1852">
        <f>IF(A1852="",0,IF(MATCH(A1852,$A$4:$A$2403,0)=ROW()-3,1,0))</f>
        <v>0</v>
      </c>
      <c r="C1852">
        <f>N(C1851)+B1852</f>
        <v>26</v>
      </c>
      <c r="K1852">
        <f>IF(OR($K$1="",对接源_02物料!$C652="",对接源_02物料!$C652&lt;&gt;$K$1,对接源_02物料!$B652=""),0,IF(OR(N(对接源_02物料!$B652)&lt;$K$2,N(对接源_02物料!$B652)&gt;$K$3),0,1))</f>
        <v>0</v>
      </c>
      <c r="L1852">
        <f>IF(OR($L$1="",对接源_02物料!$C652="",对接源_02物料!$C652&lt;&gt;$L$1,对接源_02物料!$B652=""),0,IF(OR(N(对接源_02物料!$B652)&lt;$L$2,N(对接源_02物料!$B652)&gt;$L$3),0,1))</f>
        <v>0</v>
      </c>
      <c r="M1852">
        <f>IF(OR($M$1="",对接源_02物料!$C652="",对接源_02物料!$C652&lt;&gt;$M$1,对接源_02物料!$B652=""),0,IF(OR(N(对接源_02物料!$B652)&lt;$M$2,N(对接源_02物料!$B652)&gt;$M$3),0,1))</f>
        <v>0</v>
      </c>
      <c r="N1852">
        <f>IF(OR($N$1="",对接源_02物料!$C652="",对接源_02物料!$C652&lt;&gt;$N$1,对接源_02物料!$B652=""),0,IF(OR(N(对接源_02物料!$B652)&lt;$N$2,N(对接源_02物料!$B652)&gt;$N$3),0,1))</f>
        <v>0</v>
      </c>
      <c r="P1852">
        <f>IF(AND($K1852=1,AND(对接源_02物料!$X652="公司筐",N(对接源_02物料!$T652)&lt;&gt;0)),1,0)</f>
        <v>0</v>
      </c>
      <c r="Q1852">
        <f>N(Q1851)+$P1852</f>
        <v>14</v>
      </c>
      <c r="R1852">
        <f>IF(AND($K1852=1,AND(对接源_02物料!$X652="公司筐",N(对接源_02物料!$U652)&lt;&gt;0)),1,0)</f>
        <v>0</v>
      </c>
      <c r="S1852">
        <f>N(S1851)+$R1852</f>
        <v>1</v>
      </c>
      <c r="T1852">
        <f>IF(AND($K1852=1,AND(对接源_02物料!$X652="公司筐",N(对接源_02物料!$V652)&lt;&gt;0)),1,0)</f>
        <v>0</v>
      </c>
      <c r="U1852">
        <f>N(U1851)+$T1852</f>
        <v>47</v>
      </c>
      <c r="V1852">
        <f>IF(AND($L1852=1,AND(对接源_02物料!$X652="自备筐",N(对接源_02物料!$V652)&lt;&gt;0)),1,0)</f>
        <v>0</v>
      </c>
      <c r="W1852">
        <f>N(W1851)+$V1852</f>
        <v>11</v>
      </c>
      <c r="X1852">
        <f>IF(AND($L1852=1,AND(对接源_02物料!$X652="自备筐",N(对接源_02物料!$T652)&lt;&gt;0)),1,0)</f>
        <v>0</v>
      </c>
      <c r="Y1852">
        <f>N(Y1851)+$X1852</f>
        <v>0</v>
      </c>
      <c r="Z1852">
        <f>IF(AND($M1852=1,对接源_02物料!$D652="原料入库"),1,0)</f>
        <v>0</v>
      </c>
      <c r="AA1852">
        <f>N(AA1851)+$Z1852</f>
        <v>24</v>
      </c>
      <c r="AB1852">
        <f>IF(AND($M1852=1,LEFT(对接源_02物料!$D652,4)="原料出库"),1,0)</f>
        <v>0</v>
      </c>
      <c r="AC1852">
        <f>N(AC1851)+$AB1852</f>
        <v>0</v>
      </c>
      <c r="AD1852">
        <f>IF(AND($M1852=1,LEFT(对接源_02物料!$D652,4)="成品出库"),1,0)</f>
        <v>0</v>
      </c>
      <c r="AE1852">
        <f>N(AE1851)+$AD1852</f>
        <v>0</v>
      </c>
      <c r="AF1852">
        <f>IF(AND($N1852=1,AND(LEFT(对接源_02物料!$D652,4)="包装物料",N(对接源_02物料!$K652)&lt;&gt;0)),1,0)</f>
        <v>0</v>
      </c>
      <c r="AG1852">
        <f>N(AG1851)+$AF1852</f>
        <v>10</v>
      </c>
      <c r="AH1852">
        <f>IF(AND($N1852=1,AND(对接源_02物料!$D652="周转筐－销售出库",N(对接源_02物料!$K652)&lt;&gt;0)),1,0)</f>
        <v>0</v>
      </c>
      <c r="AI1852">
        <f>N(AI1851)+$AH1852</f>
        <v>0</v>
      </c>
      <c r="AL1852" t="n">
        <v>0</v>
      </c>
      <c r="AM1852">
        <f>N(AM1851)+$AL1852</f>
        <v>2</v>
      </c>
      <c r="AN1852">
        <f>""</f>
      </c>
      <c r="AO1852" t="n">
        <v>0</v>
      </c>
      <c r="AP1852">
        <f>N(AP1851)+$AO1852</f>
        <v>13</v>
      </c>
      <c r="AR1852">
        <f>IF(OR($AF1852=1,$AH1852=1),1,0)</f>
        <v>0</v>
      </c>
      <c r="AS1852">
        <f>N(AS1851)+$AR1852</f>
        <v>10</v>
      </c>
    </row>
    <row r="1853" s="127">
      <c r="A1853">
        <f>IF(对接源_02物料!$C653="","",对接源_02物料!$C653)</f>
      </c>
      <c r="B1853">
        <f>IF(A1853="",0,IF(MATCH(A1853,$A$4:$A$2403,0)=ROW()-3,1,0))</f>
        <v>0</v>
      </c>
      <c r="C1853">
        <f>N(C1852)+B1853</f>
        <v>26</v>
      </c>
      <c r="K1853">
        <f>IF(OR($K$1="",对接源_02物料!$C653="",对接源_02物料!$C653&lt;&gt;$K$1,对接源_02物料!$B653=""),0,IF(OR(N(对接源_02物料!$B653)&lt;$K$2,N(对接源_02物料!$B653)&gt;$K$3),0,1))</f>
        <v>0</v>
      </c>
      <c r="L1853">
        <f>IF(OR($L$1="",对接源_02物料!$C653="",对接源_02物料!$C653&lt;&gt;$L$1,对接源_02物料!$B653=""),0,IF(OR(N(对接源_02物料!$B653)&lt;$L$2,N(对接源_02物料!$B653)&gt;$L$3),0,1))</f>
        <v>0</v>
      </c>
      <c r="M1853">
        <f>IF(OR($M$1="",对接源_02物料!$C653="",对接源_02物料!$C653&lt;&gt;$M$1,对接源_02物料!$B653=""),0,IF(OR(N(对接源_02物料!$B653)&lt;$M$2,N(对接源_02物料!$B653)&gt;$M$3),0,1))</f>
        <v>0</v>
      </c>
      <c r="N1853">
        <f>IF(OR($N$1="",对接源_02物料!$C653="",对接源_02物料!$C653&lt;&gt;$N$1,对接源_02物料!$B653=""),0,IF(OR(N(对接源_02物料!$B653)&lt;$N$2,N(对接源_02物料!$B653)&gt;$N$3),0,1))</f>
        <v>0</v>
      </c>
      <c r="P1853">
        <f>IF(AND($K1853=1,AND(对接源_02物料!$X653="公司筐",N(对接源_02物料!$T653)&lt;&gt;0)),1,0)</f>
        <v>0</v>
      </c>
      <c r="Q1853">
        <f>N(Q1852)+$P1853</f>
        <v>14</v>
      </c>
      <c r="R1853">
        <f>IF(AND($K1853=1,AND(对接源_02物料!$X653="公司筐",N(对接源_02物料!$U653)&lt;&gt;0)),1,0)</f>
        <v>0</v>
      </c>
      <c r="S1853">
        <f>N(S1852)+$R1853</f>
        <v>1</v>
      </c>
      <c r="T1853">
        <f>IF(AND($K1853=1,AND(对接源_02物料!$X653="公司筐",N(对接源_02物料!$V653)&lt;&gt;0)),1,0)</f>
        <v>0</v>
      </c>
      <c r="U1853">
        <f>N(U1852)+$T1853</f>
        <v>47</v>
      </c>
      <c r="V1853">
        <f>IF(AND($L1853=1,AND(对接源_02物料!$X653="自备筐",N(对接源_02物料!$V653)&lt;&gt;0)),1,0)</f>
        <v>0</v>
      </c>
      <c r="W1853">
        <f>N(W1852)+$V1853</f>
        <v>11</v>
      </c>
      <c r="X1853">
        <f>IF(AND($L1853=1,AND(对接源_02物料!$X653="自备筐",N(对接源_02物料!$T653)&lt;&gt;0)),1,0)</f>
        <v>0</v>
      </c>
      <c r="Y1853">
        <f>N(Y1852)+$X1853</f>
        <v>0</v>
      </c>
      <c r="Z1853">
        <f>IF(AND($M1853=1,对接源_02物料!$D653="原料入库"),1,0)</f>
        <v>0</v>
      </c>
      <c r="AA1853">
        <f>N(AA1852)+$Z1853</f>
        <v>24</v>
      </c>
      <c r="AB1853">
        <f>IF(AND($M1853=1,LEFT(对接源_02物料!$D653,4)="原料出库"),1,0)</f>
        <v>0</v>
      </c>
      <c r="AC1853">
        <f>N(AC1852)+$AB1853</f>
        <v>0</v>
      </c>
      <c r="AD1853">
        <f>IF(AND($M1853=1,LEFT(对接源_02物料!$D653,4)="成品出库"),1,0)</f>
        <v>0</v>
      </c>
      <c r="AE1853">
        <f>N(AE1852)+$AD1853</f>
        <v>0</v>
      </c>
      <c r="AF1853">
        <f>IF(AND($N1853=1,AND(LEFT(对接源_02物料!$D653,4)="包装物料",N(对接源_02物料!$K653)&lt;&gt;0)),1,0)</f>
        <v>0</v>
      </c>
      <c r="AG1853">
        <f>N(AG1852)+$AF1853</f>
        <v>10</v>
      </c>
      <c r="AH1853">
        <f>IF(AND($N1853=1,AND(对接源_02物料!$D653="周转筐－销售出库",N(对接源_02物料!$K653)&lt;&gt;0)),1,0)</f>
        <v>0</v>
      </c>
      <c r="AI1853">
        <f>N(AI1852)+$AH1853</f>
        <v>0</v>
      </c>
      <c r="AL1853" t="n">
        <v>0</v>
      </c>
      <c r="AM1853">
        <f>N(AM1852)+$AL1853</f>
        <v>2</v>
      </c>
      <c r="AN1853">
        <f>""</f>
      </c>
      <c r="AO1853" t="n">
        <v>0</v>
      </c>
      <c r="AP1853">
        <f>N(AP1852)+$AO1853</f>
        <v>13</v>
      </c>
      <c r="AR1853">
        <f>IF(OR($AF1853=1,$AH1853=1),1,0)</f>
        <v>0</v>
      </c>
      <c r="AS1853">
        <f>N(AS1852)+$AR1853</f>
        <v>10</v>
      </c>
    </row>
    <row r="1854" s="127">
      <c r="A1854">
        <f>IF(对接源_02物料!$C654="","",对接源_02物料!$C654)</f>
      </c>
      <c r="B1854">
        <f>IF(A1854="",0,IF(MATCH(A1854,$A$4:$A$2403,0)=ROW()-3,1,0))</f>
        <v>0</v>
      </c>
      <c r="C1854">
        <f>N(C1853)+B1854</f>
        <v>26</v>
      </c>
      <c r="K1854">
        <f>IF(OR($K$1="",对接源_02物料!$C654="",对接源_02物料!$C654&lt;&gt;$K$1,对接源_02物料!$B654=""),0,IF(OR(N(对接源_02物料!$B654)&lt;$K$2,N(对接源_02物料!$B654)&gt;$K$3),0,1))</f>
        <v>0</v>
      </c>
      <c r="L1854">
        <f>IF(OR($L$1="",对接源_02物料!$C654="",对接源_02物料!$C654&lt;&gt;$L$1,对接源_02物料!$B654=""),0,IF(OR(N(对接源_02物料!$B654)&lt;$L$2,N(对接源_02物料!$B654)&gt;$L$3),0,1))</f>
        <v>0</v>
      </c>
      <c r="M1854">
        <f>IF(OR($M$1="",对接源_02物料!$C654="",对接源_02物料!$C654&lt;&gt;$M$1,对接源_02物料!$B654=""),0,IF(OR(N(对接源_02物料!$B654)&lt;$M$2,N(对接源_02物料!$B654)&gt;$M$3),0,1))</f>
        <v>0</v>
      </c>
      <c r="N1854">
        <f>IF(OR($N$1="",对接源_02物料!$C654="",对接源_02物料!$C654&lt;&gt;$N$1,对接源_02物料!$B654=""),0,IF(OR(N(对接源_02物料!$B654)&lt;$N$2,N(对接源_02物料!$B654)&gt;$N$3),0,1))</f>
        <v>0</v>
      </c>
      <c r="P1854">
        <f>IF(AND($K1854=1,AND(对接源_02物料!$X654="公司筐",N(对接源_02物料!$T654)&lt;&gt;0)),1,0)</f>
        <v>0</v>
      </c>
      <c r="Q1854">
        <f>N(Q1853)+$P1854</f>
        <v>14</v>
      </c>
      <c r="R1854">
        <f>IF(AND($K1854=1,AND(对接源_02物料!$X654="公司筐",N(对接源_02物料!$U654)&lt;&gt;0)),1,0)</f>
        <v>0</v>
      </c>
      <c r="S1854">
        <f>N(S1853)+$R1854</f>
        <v>1</v>
      </c>
      <c r="T1854">
        <f>IF(AND($K1854=1,AND(对接源_02物料!$X654="公司筐",N(对接源_02物料!$V654)&lt;&gt;0)),1,0)</f>
        <v>0</v>
      </c>
      <c r="U1854">
        <f>N(U1853)+$T1854</f>
        <v>47</v>
      </c>
      <c r="V1854">
        <f>IF(AND($L1854=1,AND(对接源_02物料!$X654="自备筐",N(对接源_02物料!$V654)&lt;&gt;0)),1,0)</f>
        <v>0</v>
      </c>
      <c r="W1854">
        <f>N(W1853)+$V1854</f>
        <v>11</v>
      </c>
      <c r="X1854">
        <f>IF(AND($L1854=1,AND(对接源_02物料!$X654="自备筐",N(对接源_02物料!$T654)&lt;&gt;0)),1,0)</f>
        <v>0</v>
      </c>
      <c r="Y1854">
        <f>N(Y1853)+$X1854</f>
        <v>0</v>
      </c>
      <c r="Z1854">
        <f>IF(AND($M1854=1,对接源_02物料!$D654="原料入库"),1,0)</f>
        <v>0</v>
      </c>
      <c r="AA1854">
        <f>N(AA1853)+$Z1854</f>
        <v>24</v>
      </c>
      <c r="AB1854">
        <f>IF(AND($M1854=1,LEFT(对接源_02物料!$D654,4)="原料出库"),1,0)</f>
        <v>0</v>
      </c>
      <c r="AC1854">
        <f>N(AC1853)+$AB1854</f>
        <v>0</v>
      </c>
      <c r="AD1854">
        <f>IF(AND($M1854=1,LEFT(对接源_02物料!$D654,4)="成品出库"),1,0)</f>
        <v>0</v>
      </c>
      <c r="AE1854">
        <f>N(AE1853)+$AD1854</f>
        <v>0</v>
      </c>
      <c r="AF1854">
        <f>IF(AND($N1854=1,AND(LEFT(对接源_02物料!$D654,4)="包装物料",N(对接源_02物料!$K654)&lt;&gt;0)),1,0)</f>
        <v>0</v>
      </c>
      <c r="AG1854">
        <f>N(AG1853)+$AF1854</f>
        <v>10</v>
      </c>
      <c r="AH1854">
        <f>IF(AND($N1854=1,AND(对接源_02物料!$D654="周转筐－销售出库",N(对接源_02物料!$K654)&lt;&gt;0)),1,0)</f>
        <v>0</v>
      </c>
      <c r="AI1854">
        <f>N(AI1853)+$AH1854</f>
        <v>0</v>
      </c>
      <c r="AL1854" t="n">
        <v>0</v>
      </c>
      <c r="AM1854">
        <f>N(AM1853)+$AL1854</f>
        <v>2</v>
      </c>
      <c r="AN1854">
        <f>""</f>
      </c>
      <c r="AO1854" t="n">
        <v>0</v>
      </c>
      <c r="AP1854">
        <f>N(AP1853)+$AO1854</f>
        <v>13</v>
      </c>
      <c r="AR1854">
        <f>IF(OR($AF1854=1,$AH1854=1),1,0)</f>
        <v>0</v>
      </c>
      <c r="AS1854">
        <f>N(AS1853)+$AR1854</f>
        <v>10</v>
      </c>
    </row>
    <row r="1855" s="127">
      <c r="A1855">
        <f>IF(对接源_02物料!$C655="","",对接源_02物料!$C655)</f>
      </c>
      <c r="B1855">
        <f>IF(A1855="",0,IF(MATCH(A1855,$A$4:$A$2403,0)=ROW()-3,1,0))</f>
        <v>0</v>
      </c>
      <c r="C1855">
        <f>N(C1854)+B1855</f>
        <v>26</v>
      </c>
      <c r="K1855">
        <f>IF(OR($K$1="",对接源_02物料!$C655="",对接源_02物料!$C655&lt;&gt;$K$1,对接源_02物料!$B655=""),0,IF(OR(N(对接源_02物料!$B655)&lt;$K$2,N(对接源_02物料!$B655)&gt;$K$3),0,1))</f>
        <v>0</v>
      </c>
      <c r="L1855">
        <f>IF(OR($L$1="",对接源_02物料!$C655="",对接源_02物料!$C655&lt;&gt;$L$1,对接源_02物料!$B655=""),0,IF(OR(N(对接源_02物料!$B655)&lt;$L$2,N(对接源_02物料!$B655)&gt;$L$3),0,1))</f>
        <v>0</v>
      </c>
      <c r="M1855">
        <f>IF(OR($M$1="",对接源_02物料!$C655="",对接源_02物料!$C655&lt;&gt;$M$1,对接源_02物料!$B655=""),0,IF(OR(N(对接源_02物料!$B655)&lt;$M$2,N(对接源_02物料!$B655)&gt;$M$3),0,1))</f>
        <v>0</v>
      </c>
      <c r="N1855">
        <f>IF(OR($N$1="",对接源_02物料!$C655="",对接源_02物料!$C655&lt;&gt;$N$1,对接源_02物料!$B655=""),0,IF(OR(N(对接源_02物料!$B655)&lt;$N$2,N(对接源_02物料!$B655)&gt;$N$3),0,1))</f>
        <v>0</v>
      </c>
      <c r="P1855">
        <f>IF(AND($K1855=1,AND(对接源_02物料!$X655="公司筐",N(对接源_02物料!$T655)&lt;&gt;0)),1,0)</f>
        <v>0</v>
      </c>
      <c r="Q1855">
        <f>N(Q1854)+$P1855</f>
        <v>14</v>
      </c>
      <c r="R1855">
        <f>IF(AND($K1855=1,AND(对接源_02物料!$X655="公司筐",N(对接源_02物料!$U655)&lt;&gt;0)),1,0)</f>
        <v>0</v>
      </c>
      <c r="S1855">
        <f>N(S1854)+$R1855</f>
        <v>1</v>
      </c>
      <c r="T1855">
        <f>IF(AND($K1855=1,AND(对接源_02物料!$X655="公司筐",N(对接源_02物料!$V655)&lt;&gt;0)),1,0)</f>
        <v>0</v>
      </c>
      <c r="U1855">
        <f>N(U1854)+$T1855</f>
        <v>47</v>
      </c>
      <c r="V1855">
        <f>IF(AND($L1855=1,AND(对接源_02物料!$X655="自备筐",N(对接源_02物料!$V655)&lt;&gt;0)),1,0)</f>
        <v>0</v>
      </c>
      <c r="W1855">
        <f>N(W1854)+$V1855</f>
        <v>11</v>
      </c>
      <c r="X1855">
        <f>IF(AND($L1855=1,AND(对接源_02物料!$X655="自备筐",N(对接源_02物料!$T655)&lt;&gt;0)),1,0)</f>
        <v>0</v>
      </c>
      <c r="Y1855">
        <f>N(Y1854)+$X1855</f>
        <v>0</v>
      </c>
      <c r="Z1855">
        <f>IF(AND($M1855=1,对接源_02物料!$D655="原料入库"),1,0)</f>
        <v>0</v>
      </c>
      <c r="AA1855">
        <f>N(AA1854)+$Z1855</f>
        <v>24</v>
      </c>
      <c r="AB1855">
        <f>IF(AND($M1855=1,LEFT(对接源_02物料!$D655,4)="原料出库"),1,0)</f>
        <v>0</v>
      </c>
      <c r="AC1855">
        <f>N(AC1854)+$AB1855</f>
        <v>0</v>
      </c>
      <c r="AD1855">
        <f>IF(AND($M1855=1,LEFT(对接源_02物料!$D655,4)="成品出库"),1,0)</f>
        <v>0</v>
      </c>
      <c r="AE1855">
        <f>N(AE1854)+$AD1855</f>
        <v>0</v>
      </c>
      <c r="AF1855">
        <f>IF(AND($N1855=1,AND(LEFT(对接源_02物料!$D655,4)="包装物料",N(对接源_02物料!$K655)&lt;&gt;0)),1,0)</f>
        <v>0</v>
      </c>
      <c r="AG1855">
        <f>N(AG1854)+$AF1855</f>
        <v>10</v>
      </c>
      <c r="AH1855">
        <f>IF(AND($N1855=1,AND(对接源_02物料!$D655="周转筐－销售出库",N(对接源_02物料!$K655)&lt;&gt;0)),1,0)</f>
        <v>0</v>
      </c>
      <c r="AI1855">
        <f>N(AI1854)+$AH1855</f>
        <v>0</v>
      </c>
      <c r="AL1855" t="n">
        <v>0</v>
      </c>
      <c r="AM1855">
        <f>N(AM1854)+$AL1855</f>
        <v>2</v>
      </c>
      <c r="AN1855">
        <f>""</f>
      </c>
      <c r="AO1855" t="n">
        <v>0</v>
      </c>
      <c r="AP1855">
        <f>N(AP1854)+$AO1855</f>
        <v>13</v>
      </c>
      <c r="AR1855">
        <f>IF(OR($AF1855=1,$AH1855=1),1,0)</f>
        <v>0</v>
      </c>
      <c r="AS1855">
        <f>N(AS1854)+$AR1855</f>
        <v>10</v>
      </c>
    </row>
    <row r="1856" s="127">
      <c r="A1856">
        <f>IF(对接源_02物料!$C656="","",对接源_02物料!$C656)</f>
      </c>
      <c r="B1856">
        <f>IF(A1856="",0,IF(MATCH(A1856,$A$4:$A$2403,0)=ROW()-3,1,0))</f>
        <v>0</v>
      </c>
      <c r="C1856">
        <f>N(C1855)+B1856</f>
        <v>26</v>
      </c>
      <c r="K1856">
        <f>IF(OR($K$1="",对接源_02物料!$C656="",对接源_02物料!$C656&lt;&gt;$K$1,对接源_02物料!$B656=""),0,IF(OR(N(对接源_02物料!$B656)&lt;$K$2,N(对接源_02物料!$B656)&gt;$K$3),0,1))</f>
        <v>0</v>
      </c>
      <c r="L1856">
        <f>IF(OR($L$1="",对接源_02物料!$C656="",对接源_02物料!$C656&lt;&gt;$L$1,对接源_02物料!$B656=""),0,IF(OR(N(对接源_02物料!$B656)&lt;$L$2,N(对接源_02物料!$B656)&gt;$L$3),0,1))</f>
        <v>0</v>
      </c>
      <c r="M1856">
        <f>IF(OR($M$1="",对接源_02物料!$C656="",对接源_02物料!$C656&lt;&gt;$M$1,对接源_02物料!$B656=""),0,IF(OR(N(对接源_02物料!$B656)&lt;$M$2,N(对接源_02物料!$B656)&gt;$M$3),0,1))</f>
        <v>0</v>
      </c>
      <c r="N1856">
        <f>IF(OR($N$1="",对接源_02物料!$C656="",对接源_02物料!$C656&lt;&gt;$N$1,对接源_02物料!$B656=""),0,IF(OR(N(对接源_02物料!$B656)&lt;$N$2,N(对接源_02物料!$B656)&gt;$N$3),0,1))</f>
        <v>0</v>
      </c>
      <c r="P1856">
        <f>IF(AND($K1856=1,AND(对接源_02物料!$X656="公司筐",N(对接源_02物料!$T656)&lt;&gt;0)),1,0)</f>
        <v>0</v>
      </c>
      <c r="Q1856">
        <f>N(Q1855)+$P1856</f>
        <v>14</v>
      </c>
      <c r="R1856">
        <f>IF(AND($K1856=1,AND(对接源_02物料!$X656="公司筐",N(对接源_02物料!$U656)&lt;&gt;0)),1,0)</f>
        <v>0</v>
      </c>
      <c r="S1856">
        <f>N(S1855)+$R1856</f>
        <v>1</v>
      </c>
      <c r="T1856">
        <f>IF(AND($K1856=1,AND(对接源_02物料!$X656="公司筐",N(对接源_02物料!$V656)&lt;&gt;0)),1,0)</f>
        <v>0</v>
      </c>
      <c r="U1856">
        <f>N(U1855)+$T1856</f>
        <v>47</v>
      </c>
      <c r="V1856">
        <f>IF(AND($L1856=1,AND(对接源_02物料!$X656="自备筐",N(对接源_02物料!$V656)&lt;&gt;0)),1,0)</f>
        <v>0</v>
      </c>
      <c r="W1856">
        <f>N(W1855)+$V1856</f>
        <v>11</v>
      </c>
      <c r="X1856">
        <f>IF(AND($L1856=1,AND(对接源_02物料!$X656="自备筐",N(对接源_02物料!$T656)&lt;&gt;0)),1,0)</f>
        <v>0</v>
      </c>
      <c r="Y1856">
        <f>N(Y1855)+$X1856</f>
        <v>0</v>
      </c>
      <c r="Z1856">
        <f>IF(AND($M1856=1,对接源_02物料!$D656="原料入库"),1,0)</f>
        <v>0</v>
      </c>
      <c r="AA1856">
        <f>N(AA1855)+$Z1856</f>
        <v>24</v>
      </c>
      <c r="AB1856">
        <f>IF(AND($M1856=1,LEFT(对接源_02物料!$D656,4)="原料出库"),1,0)</f>
        <v>0</v>
      </c>
      <c r="AC1856">
        <f>N(AC1855)+$AB1856</f>
        <v>0</v>
      </c>
      <c r="AD1856">
        <f>IF(AND($M1856=1,LEFT(对接源_02物料!$D656,4)="成品出库"),1,0)</f>
        <v>0</v>
      </c>
      <c r="AE1856">
        <f>N(AE1855)+$AD1856</f>
        <v>0</v>
      </c>
      <c r="AF1856">
        <f>IF(AND($N1856=1,AND(LEFT(对接源_02物料!$D656,4)="包装物料",N(对接源_02物料!$K656)&lt;&gt;0)),1,0)</f>
        <v>0</v>
      </c>
      <c r="AG1856">
        <f>N(AG1855)+$AF1856</f>
        <v>10</v>
      </c>
      <c r="AH1856">
        <f>IF(AND($N1856=1,AND(对接源_02物料!$D656="周转筐－销售出库",N(对接源_02物料!$K656)&lt;&gt;0)),1,0)</f>
        <v>0</v>
      </c>
      <c r="AI1856">
        <f>N(AI1855)+$AH1856</f>
        <v>0</v>
      </c>
      <c r="AL1856" t="n">
        <v>0</v>
      </c>
      <c r="AM1856">
        <f>N(AM1855)+$AL1856</f>
        <v>2</v>
      </c>
      <c r="AN1856">
        <f>""</f>
      </c>
      <c r="AO1856" t="n">
        <v>0</v>
      </c>
      <c r="AP1856">
        <f>N(AP1855)+$AO1856</f>
        <v>13</v>
      </c>
      <c r="AR1856">
        <f>IF(OR($AF1856=1,$AH1856=1),1,0)</f>
        <v>0</v>
      </c>
      <c r="AS1856">
        <f>N(AS1855)+$AR1856</f>
        <v>10</v>
      </c>
    </row>
    <row r="1857" s="127">
      <c r="A1857">
        <f>IF(对接源_02物料!$C657="","",对接源_02物料!$C657)</f>
      </c>
      <c r="B1857">
        <f>IF(A1857="",0,IF(MATCH(A1857,$A$4:$A$2403,0)=ROW()-3,1,0))</f>
        <v>0</v>
      </c>
      <c r="C1857">
        <f>N(C1856)+B1857</f>
        <v>26</v>
      </c>
      <c r="K1857">
        <f>IF(OR($K$1="",对接源_02物料!$C657="",对接源_02物料!$C657&lt;&gt;$K$1,对接源_02物料!$B657=""),0,IF(OR(N(对接源_02物料!$B657)&lt;$K$2,N(对接源_02物料!$B657)&gt;$K$3),0,1))</f>
        <v>0</v>
      </c>
      <c r="L1857">
        <f>IF(OR($L$1="",对接源_02物料!$C657="",对接源_02物料!$C657&lt;&gt;$L$1,对接源_02物料!$B657=""),0,IF(OR(N(对接源_02物料!$B657)&lt;$L$2,N(对接源_02物料!$B657)&gt;$L$3),0,1))</f>
        <v>0</v>
      </c>
      <c r="M1857">
        <f>IF(OR($M$1="",对接源_02物料!$C657="",对接源_02物料!$C657&lt;&gt;$M$1,对接源_02物料!$B657=""),0,IF(OR(N(对接源_02物料!$B657)&lt;$M$2,N(对接源_02物料!$B657)&gt;$M$3),0,1))</f>
        <v>0</v>
      </c>
      <c r="N1857">
        <f>IF(OR($N$1="",对接源_02物料!$C657="",对接源_02物料!$C657&lt;&gt;$N$1,对接源_02物料!$B657=""),0,IF(OR(N(对接源_02物料!$B657)&lt;$N$2,N(对接源_02物料!$B657)&gt;$N$3),0,1))</f>
        <v>0</v>
      </c>
      <c r="P1857">
        <f>IF(AND($K1857=1,AND(对接源_02物料!$X657="公司筐",N(对接源_02物料!$T657)&lt;&gt;0)),1,0)</f>
        <v>0</v>
      </c>
      <c r="Q1857">
        <f>N(Q1856)+$P1857</f>
        <v>14</v>
      </c>
      <c r="R1857">
        <f>IF(AND($K1857=1,AND(对接源_02物料!$X657="公司筐",N(对接源_02物料!$U657)&lt;&gt;0)),1,0)</f>
        <v>0</v>
      </c>
      <c r="S1857">
        <f>N(S1856)+$R1857</f>
        <v>1</v>
      </c>
      <c r="T1857">
        <f>IF(AND($K1857=1,AND(对接源_02物料!$X657="公司筐",N(对接源_02物料!$V657)&lt;&gt;0)),1,0)</f>
        <v>0</v>
      </c>
      <c r="U1857">
        <f>N(U1856)+$T1857</f>
        <v>47</v>
      </c>
      <c r="V1857">
        <f>IF(AND($L1857=1,AND(对接源_02物料!$X657="自备筐",N(对接源_02物料!$V657)&lt;&gt;0)),1,0)</f>
        <v>0</v>
      </c>
      <c r="W1857">
        <f>N(W1856)+$V1857</f>
        <v>11</v>
      </c>
      <c r="X1857">
        <f>IF(AND($L1857=1,AND(对接源_02物料!$X657="自备筐",N(对接源_02物料!$T657)&lt;&gt;0)),1,0)</f>
        <v>0</v>
      </c>
      <c r="Y1857">
        <f>N(Y1856)+$X1857</f>
        <v>0</v>
      </c>
      <c r="Z1857">
        <f>IF(AND($M1857=1,对接源_02物料!$D657="原料入库"),1,0)</f>
        <v>0</v>
      </c>
      <c r="AA1857">
        <f>N(AA1856)+$Z1857</f>
        <v>24</v>
      </c>
      <c r="AB1857">
        <f>IF(AND($M1857=1,LEFT(对接源_02物料!$D657,4)="原料出库"),1,0)</f>
        <v>0</v>
      </c>
      <c r="AC1857">
        <f>N(AC1856)+$AB1857</f>
        <v>0</v>
      </c>
      <c r="AD1857">
        <f>IF(AND($M1857=1,LEFT(对接源_02物料!$D657,4)="成品出库"),1,0)</f>
        <v>0</v>
      </c>
      <c r="AE1857">
        <f>N(AE1856)+$AD1857</f>
        <v>0</v>
      </c>
      <c r="AF1857">
        <f>IF(AND($N1857=1,AND(LEFT(对接源_02物料!$D657,4)="包装物料",N(对接源_02物料!$K657)&lt;&gt;0)),1,0)</f>
        <v>0</v>
      </c>
      <c r="AG1857">
        <f>N(AG1856)+$AF1857</f>
        <v>10</v>
      </c>
      <c r="AH1857">
        <f>IF(AND($N1857=1,AND(对接源_02物料!$D657="周转筐－销售出库",N(对接源_02物料!$K657)&lt;&gt;0)),1,0)</f>
        <v>0</v>
      </c>
      <c r="AI1857">
        <f>N(AI1856)+$AH1857</f>
        <v>0</v>
      </c>
      <c r="AL1857" t="n">
        <v>0</v>
      </c>
      <c r="AM1857">
        <f>N(AM1856)+$AL1857</f>
        <v>2</v>
      </c>
      <c r="AN1857">
        <f>""</f>
      </c>
      <c r="AO1857" t="n">
        <v>0</v>
      </c>
      <c r="AP1857">
        <f>N(AP1856)+$AO1857</f>
        <v>13</v>
      </c>
      <c r="AR1857">
        <f>IF(OR($AF1857=1,$AH1857=1),1,0)</f>
        <v>0</v>
      </c>
      <c r="AS1857">
        <f>N(AS1856)+$AR1857</f>
        <v>10</v>
      </c>
    </row>
    <row r="1858" s="127">
      <c r="A1858">
        <f>IF(对接源_02物料!$C658="","",对接源_02物料!$C658)</f>
      </c>
      <c r="B1858">
        <f>IF(A1858="",0,IF(MATCH(A1858,$A$4:$A$2403,0)=ROW()-3,1,0))</f>
        <v>0</v>
      </c>
      <c r="C1858">
        <f>N(C1857)+B1858</f>
        <v>26</v>
      </c>
      <c r="K1858">
        <f>IF(OR($K$1="",对接源_02物料!$C658="",对接源_02物料!$C658&lt;&gt;$K$1,对接源_02物料!$B658=""),0,IF(OR(N(对接源_02物料!$B658)&lt;$K$2,N(对接源_02物料!$B658)&gt;$K$3),0,1))</f>
        <v>0</v>
      </c>
      <c r="L1858">
        <f>IF(OR($L$1="",对接源_02物料!$C658="",对接源_02物料!$C658&lt;&gt;$L$1,对接源_02物料!$B658=""),0,IF(OR(N(对接源_02物料!$B658)&lt;$L$2,N(对接源_02物料!$B658)&gt;$L$3),0,1))</f>
        <v>0</v>
      </c>
      <c r="M1858">
        <f>IF(OR($M$1="",对接源_02物料!$C658="",对接源_02物料!$C658&lt;&gt;$M$1,对接源_02物料!$B658=""),0,IF(OR(N(对接源_02物料!$B658)&lt;$M$2,N(对接源_02物料!$B658)&gt;$M$3),0,1))</f>
        <v>0</v>
      </c>
      <c r="N1858">
        <f>IF(OR($N$1="",对接源_02物料!$C658="",对接源_02物料!$C658&lt;&gt;$N$1,对接源_02物料!$B658=""),0,IF(OR(N(对接源_02物料!$B658)&lt;$N$2,N(对接源_02物料!$B658)&gt;$N$3),0,1))</f>
        <v>0</v>
      </c>
      <c r="P1858">
        <f>IF(AND($K1858=1,AND(对接源_02物料!$X658="公司筐",N(对接源_02物料!$T658)&lt;&gt;0)),1,0)</f>
        <v>0</v>
      </c>
      <c r="Q1858">
        <f>N(Q1857)+$P1858</f>
        <v>14</v>
      </c>
      <c r="R1858">
        <f>IF(AND($K1858=1,AND(对接源_02物料!$X658="公司筐",N(对接源_02物料!$U658)&lt;&gt;0)),1,0)</f>
        <v>0</v>
      </c>
      <c r="S1858">
        <f>N(S1857)+$R1858</f>
        <v>1</v>
      </c>
      <c r="T1858">
        <f>IF(AND($K1858=1,AND(对接源_02物料!$X658="公司筐",N(对接源_02物料!$V658)&lt;&gt;0)),1,0)</f>
        <v>0</v>
      </c>
      <c r="U1858">
        <f>N(U1857)+$T1858</f>
        <v>47</v>
      </c>
      <c r="V1858">
        <f>IF(AND($L1858=1,AND(对接源_02物料!$X658="自备筐",N(对接源_02物料!$V658)&lt;&gt;0)),1,0)</f>
        <v>0</v>
      </c>
      <c r="W1858">
        <f>N(W1857)+$V1858</f>
        <v>11</v>
      </c>
      <c r="X1858">
        <f>IF(AND($L1858=1,AND(对接源_02物料!$X658="自备筐",N(对接源_02物料!$T658)&lt;&gt;0)),1,0)</f>
        <v>0</v>
      </c>
      <c r="Y1858">
        <f>N(Y1857)+$X1858</f>
        <v>0</v>
      </c>
      <c r="Z1858">
        <f>IF(AND($M1858=1,对接源_02物料!$D658="原料入库"),1,0)</f>
        <v>0</v>
      </c>
      <c r="AA1858">
        <f>N(AA1857)+$Z1858</f>
        <v>24</v>
      </c>
      <c r="AB1858">
        <f>IF(AND($M1858=1,LEFT(对接源_02物料!$D658,4)="原料出库"),1,0)</f>
        <v>0</v>
      </c>
      <c r="AC1858">
        <f>N(AC1857)+$AB1858</f>
        <v>0</v>
      </c>
      <c r="AD1858">
        <f>IF(AND($M1858=1,LEFT(对接源_02物料!$D658,4)="成品出库"),1,0)</f>
        <v>0</v>
      </c>
      <c r="AE1858">
        <f>N(AE1857)+$AD1858</f>
        <v>0</v>
      </c>
      <c r="AF1858">
        <f>IF(AND($N1858=1,AND(LEFT(对接源_02物料!$D658,4)="包装物料",N(对接源_02物料!$K658)&lt;&gt;0)),1,0)</f>
        <v>0</v>
      </c>
      <c r="AG1858">
        <f>N(AG1857)+$AF1858</f>
        <v>10</v>
      </c>
      <c r="AH1858">
        <f>IF(AND($N1858=1,AND(对接源_02物料!$D658="周转筐－销售出库",N(对接源_02物料!$K658)&lt;&gt;0)),1,0)</f>
        <v>0</v>
      </c>
      <c r="AI1858">
        <f>N(AI1857)+$AH1858</f>
        <v>0</v>
      </c>
      <c r="AL1858" t="n">
        <v>0</v>
      </c>
      <c r="AM1858">
        <f>N(AM1857)+$AL1858</f>
        <v>2</v>
      </c>
      <c r="AN1858">
        <f>""</f>
      </c>
      <c r="AO1858" t="n">
        <v>0</v>
      </c>
      <c r="AP1858">
        <f>N(AP1857)+$AO1858</f>
        <v>13</v>
      </c>
      <c r="AR1858">
        <f>IF(OR($AF1858=1,$AH1858=1),1,0)</f>
        <v>0</v>
      </c>
      <c r="AS1858">
        <f>N(AS1857)+$AR1858</f>
        <v>10</v>
      </c>
    </row>
    <row r="1859" s="127">
      <c r="A1859">
        <f>IF(对接源_02物料!$C659="","",对接源_02物料!$C659)</f>
      </c>
      <c r="B1859">
        <f>IF(A1859="",0,IF(MATCH(A1859,$A$4:$A$2403,0)=ROW()-3,1,0))</f>
        <v>0</v>
      </c>
      <c r="C1859">
        <f>N(C1858)+B1859</f>
        <v>26</v>
      </c>
      <c r="K1859">
        <f>IF(OR($K$1="",对接源_02物料!$C659="",对接源_02物料!$C659&lt;&gt;$K$1,对接源_02物料!$B659=""),0,IF(OR(N(对接源_02物料!$B659)&lt;$K$2,N(对接源_02物料!$B659)&gt;$K$3),0,1))</f>
        <v>0</v>
      </c>
      <c r="L1859">
        <f>IF(OR($L$1="",对接源_02物料!$C659="",对接源_02物料!$C659&lt;&gt;$L$1,对接源_02物料!$B659=""),0,IF(OR(N(对接源_02物料!$B659)&lt;$L$2,N(对接源_02物料!$B659)&gt;$L$3),0,1))</f>
        <v>0</v>
      </c>
      <c r="M1859">
        <f>IF(OR($M$1="",对接源_02物料!$C659="",对接源_02物料!$C659&lt;&gt;$M$1,对接源_02物料!$B659=""),0,IF(OR(N(对接源_02物料!$B659)&lt;$M$2,N(对接源_02物料!$B659)&gt;$M$3),0,1))</f>
        <v>0</v>
      </c>
      <c r="N1859">
        <f>IF(OR($N$1="",对接源_02物料!$C659="",对接源_02物料!$C659&lt;&gt;$N$1,对接源_02物料!$B659=""),0,IF(OR(N(对接源_02物料!$B659)&lt;$N$2,N(对接源_02物料!$B659)&gt;$N$3),0,1))</f>
        <v>0</v>
      </c>
      <c r="P1859">
        <f>IF(AND($K1859=1,AND(对接源_02物料!$X659="公司筐",N(对接源_02物料!$T659)&lt;&gt;0)),1,0)</f>
        <v>0</v>
      </c>
      <c r="Q1859">
        <f>N(Q1858)+$P1859</f>
        <v>14</v>
      </c>
      <c r="R1859">
        <f>IF(AND($K1859=1,AND(对接源_02物料!$X659="公司筐",N(对接源_02物料!$U659)&lt;&gt;0)),1,0)</f>
        <v>0</v>
      </c>
      <c r="S1859">
        <f>N(S1858)+$R1859</f>
        <v>1</v>
      </c>
      <c r="T1859">
        <f>IF(AND($K1859=1,AND(对接源_02物料!$X659="公司筐",N(对接源_02物料!$V659)&lt;&gt;0)),1,0)</f>
        <v>0</v>
      </c>
      <c r="U1859">
        <f>N(U1858)+$T1859</f>
        <v>47</v>
      </c>
      <c r="V1859">
        <f>IF(AND($L1859=1,AND(对接源_02物料!$X659="自备筐",N(对接源_02物料!$V659)&lt;&gt;0)),1,0)</f>
        <v>0</v>
      </c>
      <c r="W1859">
        <f>N(W1858)+$V1859</f>
        <v>11</v>
      </c>
      <c r="X1859">
        <f>IF(AND($L1859=1,AND(对接源_02物料!$X659="自备筐",N(对接源_02物料!$T659)&lt;&gt;0)),1,0)</f>
        <v>0</v>
      </c>
      <c r="Y1859">
        <f>N(Y1858)+$X1859</f>
        <v>0</v>
      </c>
      <c r="Z1859">
        <f>IF(AND($M1859=1,对接源_02物料!$D659="原料入库"),1,0)</f>
        <v>0</v>
      </c>
      <c r="AA1859">
        <f>N(AA1858)+$Z1859</f>
        <v>24</v>
      </c>
      <c r="AB1859">
        <f>IF(AND($M1859=1,LEFT(对接源_02物料!$D659,4)="原料出库"),1,0)</f>
        <v>0</v>
      </c>
      <c r="AC1859">
        <f>N(AC1858)+$AB1859</f>
        <v>0</v>
      </c>
      <c r="AD1859">
        <f>IF(AND($M1859=1,LEFT(对接源_02物料!$D659,4)="成品出库"),1,0)</f>
        <v>0</v>
      </c>
      <c r="AE1859">
        <f>N(AE1858)+$AD1859</f>
        <v>0</v>
      </c>
      <c r="AF1859">
        <f>IF(AND($N1859=1,AND(LEFT(对接源_02物料!$D659,4)="包装物料",N(对接源_02物料!$K659)&lt;&gt;0)),1,0)</f>
        <v>0</v>
      </c>
      <c r="AG1859">
        <f>N(AG1858)+$AF1859</f>
        <v>10</v>
      </c>
      <c r="AH1859">
        <f>IF(AND($N1859=1,AND(对接源_02物料!$D659="周转筐－销售出库",N(对接源_02物料!$K659)&lt;&gt;0)),1,0)</f>
        <v>0</v>
      </c>
      <c r="AI1859">
        <f>N(AI1858)+$AH1859</f>
        <v>0</v>
      </c>
      <c r="AL1859" t="n">
        <v>0</v>
      </c>
      <c r="AM1859">
        <f>N(AM1858)+$AL1859</f>
        <v>2</v>
      </c>
      <c r="AN1859">
        <f>""</f>
      </c>
      <c r="AO1859" t="n">
        <v>0</v>
      </c>
      <c r="AP1859">
        <f>N(AP1858)+$AO1859</f>
        <v>13</v>
      </c>
      <c r="AR1859">
        <f>IF(OR($AF1859=1,$AH1859=1),1,0)</f>
        <v>0</v>
      </c>
      <c r="AS1859">
        <f>N(AS1858)+$AR1859</f>
        <v>10</v>
      </c>
    </row>
    <row r="1860" s="127">
      <c r="A1860">
        <f>IF(对接源_02物料!$C660="","",对接源_02物料!$C660)</f>
      </c>
      <c r="B1860">
        <f>IF(A1860="",0,IF(MATCH(A1860,$A$4:$A$2403,0)=ROW()-3,1,0))</f>
        <v>0</v>
      </c>
      <c r="C1860">
        <f>N(C1859)+B1860</f>
        <v>26</v>
      </c>
      <c r="K1860">
        <f>IF(OR($K$1="",对接源_02物料!$C660="",对接源_02物料!$C660&lt;&gt;$K$1,对接源_02物料!$B660=""),0,IF(OR(N(对接源_02物料!$B660)&lt;$K$2,N(对接源_02物料!$B660)&gt;$K$3),0,1))</f>
        <v>0</v>
      </c>
      <c r="L1860">
        <f>IF(OR($L$1="",对接源_02物料!$C660="",对接源_02物料!$C660&lt;&gt;$L$1,对接源_02物料!$B660=""),0,IF(OR(N(对接源_02物料!$B660)&lt;$L$2,N(对接源_02物料!$B660)&gt;$L$3),0,1))</f>
        <v>0</v>
      </c>
      <c r="M1860">
        <f>IF(OR($M$1="",对接源_02物料!$C660="",对接源_02物料!$C660&lt;&gt;$M$1,对接源_02物料!$B660=""),0,IF(OR(N(对接源_02物料!$B660)&lt;$M$2,N(对接源_02物料!$B660)&gt;$M$3),0,1))</f>
        <v>0</v>
      </c>
      <c r="N1860">
        <f>IF(OR($N$1="",对接源_02物料!$C660="",对接源_02物料!$C660&lt;&gt;$N$1,对接源_02物料!$B660=""),0,IF(OR(N(对接源_02物料!$B660)&lt;$N$2,N(对接源_02物料!$B660)&gt;$N$3),0,1))</f>
        <v>0</v>
      </c>
      <c r="P1860">
        <f>IF(AND($K1860=1,AND(对接源_02物料!$X660="公司筐",N(对接源_02物料!$T660)&lt;&gt;0)),1,0)</f>
        <v>0</v>
      </c>
      <c r="Q1860">
        <f>N(Q1859)+$P1860</f>
        <v>14</v>
      </c>
      <c r="R1860">
        <f>IF(AND($K1860=1,AND(对接源_02物料!$X660="公司筐",N(对接源_02物料!$U660)&lt;&gt;0)),1,0)</f>
        <v>0</v>
      </c>
      <c r="S1860">
        <f>N(S1859)+$R1860</f>
        <v>1</v>
      </c>
      <c r="T1860">
        <f>IF(AND($K1860=1,AND(对接源_02物料!$X660="公司筐",N(对接源_02物料!$V660)&lt;&gt;0)),1,0)</f>
        <v>0</v>
      </c>
      <c r="U1860">
        <f>N(U1859)+$T1860</f>
        <v>47</v>
      </c>
      <c r="V1860">
        <f>IF(AND($L1860=1,AND(对接源_02物料!$X660="自备筐",N(对接源_02物料!$V660)&lt;&gt;0)),1,0)</f>
        <v>0</v>
      </c>
      <c r="W1860">
        <f>N(W1859)+$V1860</f>
        <v>11</v>
      </c>
      <c r="X1860">
        <f>IF(AND($L1860=1,AND(对接源_02物料!$X660="自备筐",N(对接源_02物料!$T660)&lt;&gt;0)),1,0)</f>
        <v>0</v>
      </c>
      <c r="Y1860">
        <f>N(Y1859)+$X1860</f>
        <v>0</v>
      </c>
      <c r="Z1860">
        <f>IF(AND($M1860=1,对接源_02物料!$D660="原料入库"),1,0)</f>
        <v>0</v>
      </c>
      <c r="AA1860">
        <f>N(AA1859)+$Z1860</f>
        <v>24</v>
      </c>
      <c r="AB1860">
        <f>IF(AND($M1860=1,LEFT(对接源_02物料!$D660,4)="原料出库"),1,0)</f>
        <v>0</v>
      </c>
      <c r="AC1860">
        <f>N(AC1859)+$AB1860</f>
        <v>0</v>
      </c>
      <c r="AD1860">
        <f>IF(AND($M1860=1,LEFT(对接源_02物料!$D660,4)="成品出库"),1,0)</f>
        <v>0</v>
      </c>
      <c r="AE1860">
        <f>N(AE1859)+$AD1860</f>
        <v>0</v>
      </c>
      <c r="AF1860">
        <f>IF(AND($N1860=1,AND(LEFT(对接源_02物料!$D660,4)="包装物料",N(对接源_02物料!$K660)&lt;&gt;0)),1,0)</f>
        <v>0</v>
      </c>
      <c r="AG1860">
        <f>N(AG1859)+$AF1860</f>
        <v>10</v>
      </c>
      <c r="AH1860">
        <f>IF(AND($N1860=1,AND(对接源_02物料!$D660="周转筐－销售出库",N(对接源_02物料!$K660)&lt;&gt;0)),1,0)</f>
        <v>0</v>
      </c>
      <c r="AI1860">
        <f>N(AI1859)+$AH1860</f>
        <v>0</v>
      </c>
      <c r="AL1860" t="n">
        <v>0</v>
      </c>
      <c r="AM1860">
        <f>N(AM1859)+$AL1860</f>
        <v>2</v>
      </c>
      <c r="AN1860">
        <f>""</f>
      </c>
      <c r="AO1860" t="n">
        <v>0</v>
      </c>
      <c r="AP1860">
        <f>N(AP1859)+$AO1860</f>
        <v>13</v>
      </c>
      <c r="AR1860">
        <f>IF(OR($AF1860=1,$AH1860=1),1,0)</f>
        <v>0</v>
      </c>
      <c r="AS1860">
        <f>N(AS1859)+$AR1860</f>
        <v>10</v>
      </c>
    </row>
    <row r="1861" s="127">
      <c r="A1861">
        <f>IF(对接源_02物料!$C661="","",对接源_02物料!$C661)</f>
      </c>
      <c r="B1861">
        <f>IF(A1861="",0,IF(MATCH(A1861,$A$4:$A$2403,0)=ROW()-3,1,0))</f>
        <v>0</v>
      </c>
      <c r="C1861">
        <f>N(C1860)+B1861</f>
        <v>26</v>
      </c>
      <c r="K1861">
        <f>IF(OR($K$1="",对接源_02物料!$C661="",对接源_02物料!$C661&lt;&gt;$K$1,对接源_02物料!$B661=""),0,IF(OR(N(对接源_02物料!$B661)&lt;$K$2,N(对接源_02物料!$B661)&gt;$K$3),0,1))</f>
        <v>0</v>
      </c>
      <c r="L1861">
        <f>IF(OR($L$1="",对接源_02物料!$C661="",对接源_02物料!$C661&lt;&gt;$L$1,对接源_02物料!$B661=""),0,IF(OR(N(对接源_02物料!$B661)&lt;$L$2,N(对接源_02物料!$B661)&gt;$L$3),0,1))</f>
        <v>0</v>
      </c>
      <c r="M1861">
        <f>IF(OR($M$1="",对接源_02物料!$C661="",对接源_02物料!$C661&lt;&gt;$M$1,对接源_02物料!$B661=""),0,IF(OR(N(对接源_02物料!$B661)&lt;$M$2,N(对接源_02物料!$B661)&gt;$M$3),0,1))</f>
        <v>0</v>
      </c>
      <c r="N1861">
        <f>IF(OR($N$1="",对接源_02物料!$C661="",对接源_02物料!$C661&lt;&gt;$N$1,对接源_02物料!$B661=""),0,IF(OR(N(对接源_02物料!$B661)&lt;$N$2,N(对接源_02物料!$B661)&gt;$N$3),0,1))</f>
        <v>0</v>
      </c>
      <c r="P1861">
        <f>IF(AND($K1861=1,AND(对接源_02物料!$X661="公司筐",N(对接源_02物料!$T661)&lt;&gt;0)),1,0)</f>
        <v>0</v>
      </c>
      <c r="Q1861">
        <f>N(Q1860)+$P1861</f>
        <v>14</v>
      </c>
      <c r="R1861">
        <f>IF(AND($K1861=1,AND(对接源_02物料!$X661="公司筐",N(对接源_02物料!$U661)&lt;&gt;0)),1,0)</f>
        <v>0</v>
      </c>
      <c r="S1861">
        <f>N(S1860)+$R1861</f>
        <v>1</v>
      </c>
      <c r="T1861">
        <f>IF(AND($K1861=1,AND(对接源_02物料!$X661="公司筐",N(对接源_02物料!$V661)&lt;&gt;0)),1,0)</f>
        <v>0</v>
      </c>
      <c r="U1861">
        <f>N(U1860)+$T1861</f>
        <v>47</v>
      </c>
      <c r="V1861">
        <f>IF(AND($L1861=1,AND(对接源_02物料!$X661="自备筐",N(对接源_02物料!$V661)&lt;&gt;0)),1,0)</f>
        <v>0</v>
      </c>
      <c r="W1861">
        <f>N(W1860)+$V1861</f>
        <v>11</v>
      </c>
      <c r="X1861">
        <f>IF(AND($L1861=1,AND(对接源_02物料!$X661="自备筐",N(对接源_02物料!$T661)&lt;&gt;0)),1,0)</f>
        <v>0</v>
      </c>
      <c r="Y1861">
        <f>N(Y1860)+$X1861</f>
        <v>0</v>
      </c>
      <c r="Z1861">
        <f>IF(AND($M1861=1,对接源_02物料!$D661="原料入库"),1,0)</f>
        <v>0</v>
      </c>
      <c r="AA1861">
        <f>N(AA1860)+$Z1861</f>
        <v>24</v>
      </c>
      <c r="AB1861">
        <f>IF(AND($M1861=1,LEFT(对接源_02物料!$D661,4)="原料出库"),1,0)</f>
        <v>0</v>
      </c>
      <c r="AC1861">
        <f>N(AC1860)+$AB1861</f>
        <v>0</v>
      </c>
      <c r="AD1861">
        <f>IF(AND($M1861=1,LEFT(对接源_02物料!$D661,4)="成品出库"),1,0)</f>
        <v>0</v>
      </c>
      <c r="AE1861">
        <f>N(AE1860)+$AD1861</f>
        <v>0</v>
      </c>
      <c r="AF1861">
        <f>IF(AND($N1861=1,AND(LEFT(对接源_02物料!$D661,4)="包装物料",N(对接源_02物料!$K661)&lt;&gt;0)),1,0)</f>
        <v>0</v>
      </c>
      <c r="AG1861">
        <f>N(AG1860)+$AF1861</f>
        <v>10</v>
      </c>
      <c r="AH1861">
        <f>IF(AND($N1861=1,AND(对接源_02物料!$D661="周转筐－销售出库",N(对接源_02物料!$K661)&lt;&gt;0)),1,0)</f>
        <v>0</v>
      </c>
      <c r="AI1861">
        <f>N(AI1860)+$AH1861</f>
        <v>0</v>
      </c>
      <c r="AL1861" t="n">
        <v>0</v>
      </c>
      <c r="AM1861">
        <f>N(AM1860)+$AL1861</f>
        <v>2</v>
      </c>
      <c r="AN1861">
        <f>""</f>
      </c>
      <c r="AO1861" t="n">
        <v>0</v>
      </c>
      <c r="AP1861">
        <f>N(AP1860)+$AO1861</f>
        <v>13</v>
      </c>
      <c r="AR1861">
        <f>IF(OR($AF1861=1,$AH1861=1),1,0)</f>
        <v>0</v>
      </c>
      <c r="AS1861">
        <f>N(AS1860)+$AR1861</f>
        <v>10</v>
      </c>
    </row>
    <row r="1862" s="127">
      <c r="A1862">
        <f>IF(对接源_02物料!$C662="","",对接源_02物料!$C662)</f>
      </c>
      <c r="B1862">
        <f>IF(A1862="",0,IF(MATCH(A1862,$A$4:$A$2403,0)=ROW()-3,1,0))</f>
        <v>0</v>
      </c>
      <c r="C1862">
        <f>N(C1861)+B1862</f>
        <v>26</v>
      </c>
      <c r="K1862">
        <f>IF(OR($K$1="",对接源_02物料!$C662="",对接源_02物料!$C662&lt;&gt;$K$1,对接源_02物料!$B662=""),0,IF(OR(N(对接源_02物料!$B662)&lt;$K$2,N(对接源_02物料!$B662)&gt;$K$3),0,1))</f>
        <v>0</v>
      </c>
      <c r="L1862">
        <f>IF(OR($L$1="",对接源_02物料!$C662="",对接源_02物料!$C662&lt;&gt;$L$1,对接源_02物料!$B662=""),0,IF(OR(N(对接源_02物料!$B662)&lt;$L$2,N(对接源_02物料!$B662)&gt;$L$3),0,1))</f>
        <v>0</v>
      </c>
      <c r="M1862">
        <f>IF(OR($M$1="",对接源_02物料!$C662="",对接源_02物料!$C662&lt;&gt;$M$1,对接源_02物料!$B662=""),0,IF(OR(N(对接源_02物料!$B662)&lt;$M$2,N(对接源_02物料!$B662)&gt;$M$3),0,1))</f>
        <v>0</v>
      </c>
      <c r="N1862">
        <f>IF(OR($N$1="",对接源_02物料!$C662="",对接源_02物料!$C662&lt;&gt;$N$1,对接源_02物料!$B662=""),0,IF(OR(N(对接源_02物料!$B662)&lt;$N$2,N(对接源_02物料!$B662)&gt;$N$3),0,1))</f>
        <v>0</v>
      </c>
      <c r="P1862">
        <f>IF(AND($K1862=1,AND(对接源_02物料!$X662="公司筐",N(对接源_02物料!$T662)&lt;&gt;0)),1,0)</f>
        <v>0</v>
      </c>
      <c r="Q1862">
        <f>N(Q1861)+$P1862</f>
        <v>14</v>
      </c>
      <c r="R1862">
        <f>IF(AND($K1862=1,AND(对接源_02物料!$X662="公司筐",N(对接源_02物料!$U662)&lt;&gt;0)),1,0)</f>
        <v>0</v>
      </c>
      <c r="S1862">
        <f>N(S1861)+$R1862</f>
        <v>1</v>
      </c>
      <c r="T1862">
        <f>IF(AND($K1862=1,AND(对接源_02物料!$X662="公司筐",N(对接源_02物料!$V662)&lt;&gt;0)),1,0)</f>
        <v>0</v>
      </c>
      <c r="U1862">
        <f>N(U1861)+$T1862</f>
        <v>47</v>
      </c>
      <c r="V1862">
        <f>IF(AND($L1862=1,AND(对接源_02物料!$X662="自备筐",N(对接源_02物料!$V662)&lt;&gt;0)),1,0)</f>
        <v>0</v>
      </c>
      <c r="W1862">
        <f>N(W1861)+$V1862</f>
        <v>11</v>
      </c>
      <c r="X1862">
        <f>IF(AND($L1862=1,AND(对接源_02物料!$X662="自备筐",N(对接源_02物料!$T662)&lt;&gt;0)),1,0)</f>
        <v>0</v>
      </c>
      <c r="Y1862">
        <f>N(Y1861)+$X1862</f>
        <v>0</v>
      </c>
      <c r="Z1862">
        <f>IF(AND($M1862=1,对接源_02物料!$D662="原料入库"),1,0)</f>
        <v>0</v>
      </c>
      <c r="AA1862">
        <f>N(AA1861)+$Z1862</f>
        <v>24</v>
      </c>
      <c r="AB1862">
        <f>IF(AND($M1862=1,LEFT(对接源_02物料!$D662,4)="原料出库"),1,0)</f>
        <v>0</v>
      </c>
      <c r="AC1862">
        <f>N(AC1861)+$AB1862</f>
        <v>0</v>
      </c>
      <c r="AD1862">
        <f>IF(AND($M1862=1,LEFT(对接源_02物料!$D662,4)="成品出库"),1,0)</f>
        <v>0</v>
      </c>
      <c r="AE1862">
        <f>N(AE1861)+$AD1862</f>
        <v>0</v>
      </c>
      <c r="AF1862">
        <f>IF(AND($N1862=1,AND(LEFT(对接源_02物料!$D662,4)="包装物料",N(对接源_02物料!$K662)&lt;&gt;0)),1,0)</f>
        <v>0</v>
      </c>
      <c r="AG1862">
        <f>N(AG1861)+$AF1862</f>
        <v>10</v>
      </c>
      <c r="AH1862">
        <f>IF(AND($N1862=1,AND(对接源_02物料!$D662="周转筐－销售出库",N(对接源_02物料!$K662)&lt;&gt;0)),1,0)</f>
        <v>0</v>
      </c>
      <c r="AI1862">
        <f>N(AI1861)+$AH1862</f>
        <v>0</v>
      </c>
      <c r="AL1862" t="n">
        <v>0</v>
      </c>
      <c r="AM1862">
        <f>N(AM1861)+$AL1862</f>
        <v>2</v>
      </c>
      <c r="AN1862">
        <f>""</f>
      </c>
      <c r="AO1862" t="n">
        <v>0</v>
      </c>
      <c r="AP1862">
        <f>N(AP1861)+$AO1862</f>
        <v>13</v>
      </c>
      <c r="AR1862">
        <f>IF(OR($AF1862=1,$AH1862=1),1,0)</f>
        <v>0</v>
      </c>
      <c r="AS1862">
        <f>N(AS1861)+$AR1862</f>
        <v>10</v>
      </c>
    </row>
    <row r="1863" s="127">
      <c r="A1863">
        <f>IF(对接源_02物料!$C663="","",对接源_02物料!$C663)</f>
      </c>
      <c r="B1863">
        <f>IF(A1863="",0,IF(MATCH(A1863,$A$4:$A$2403,0)=ROW()-3,1,0))</f>
        <v>0</v>
      </c>
      <c r="C1863">
        <f>N(C1862)+B1863</f>
        <v>26</v>
      </c>
      <c r="K1863">
        <f>IF(OR($K$1="",对接源_02物料!$C663="",对接源_02物料!$C663&lt;&gt;$K$1,对接源_02物料!$B663=""),0,IF(OR(N(对接源_02物料!$B663)&lt;$K$2,N(对接源_02物料!$B663)&gt;$K$3),0,1))</f>
        <v>0</v>
      </c>
      <c r="L1863">
        <f>IF(OR($L$1="",对接源_02物料!$C663="",对接源_02物料!$C663&lt;&gt;$L$1,对接源_02物料!$B663=""),0,IF(OR(N(对接源_02物料!$B663)&lt;$L$2,N(对接源_02物料!$B663)&gt;$L$3),0,1))</f>
        <v>0</v>
      </c>
      <c r="M1863">
        <f>IF(OR($M$1="",对接源_02物料!$C663="",对接源_02物料!$C663&lt;&gt;$M$1,对接源_02物料!$B663=""),0,IF(OR(N(对接源_02物料!$B663)&lt;$M$2,N(对接源_02物料!$B663)&gt;$M$3),0,1))</f>
        <v>0</v>
      </c>
      <c r="N1863">
        <f>IF(OR($N$1="",对接源_02物料!$C663="",对接源_02物料!$C663&lt;&gt;$N$1,对接源_02物料!$B663=""),0,IF(OR(N(对接源_02物料!$B663)&lt;$N$2,N(对接源_02物料!$B663)&gt;$N$3),0,1))</f>
        <v>0</v>
      </c>
      <c r="P1863">
        <f>IF(AND($K1863=1,AND(对接源_02物料!$X663="公司筐",N(对接源_02物料!$T663)&lt;&gt;0)),1,0)</f>
        <v>0</v>
      </c>
      <c r="Q1863">
        <f>N(Q1862)+$P1863</f>
        <v>14</v>
      </c>
      <c r="R1863">
        <f>IF(AND($K1863=1,AND(对接源_02物料!$X663="公司筐",N(对接源_02物料!$U663)&lt;&gt;0)),1,0)</f>
        <v>0</v>
      </c>
      <c r="S1863">
        <f>N(S1862)+$R1863</f>
        <v>1</v>
      </c>
      <c r="T1863">
        <f>IF(AND($K1863=1,AND(对接源_02物料!$X663="公司筐",N(对接源_02物料!$V663)&lt;&gt;0)),1,0)</f>
        <v>0</v>
      </c>
      <c r="U1863">
        <f>N(U1862)+$T1863</f>
        <v>47</v>
      </c>
      <c r="V1863">
        <f>IF(AND($L1863=1,AND(对接源_02物料!$X663="自备筐",N(对接源_02物料!$V663)&lt;&gt;0)),1,0)</f>
        <v>0</v>
      </c>
      <c r="W1863">
        <f>N(W1862)+$V1863</f>
        <v>11</v>
      </c>
      <c r="X1863">
        <f>IF(AND($L1863=1,AND(对接源_02物料!$X663="自备筐",N(对接源_02物料!$T663)&lt;&gt;0)),1,0)</f>
        <v>0</v>
      </c>
      <c r="Y1863">
        <f>N(Y1862)+$X1863</f>
        <v>0</v>
      </c>
      <c r="Z1863">
        <f>IF(AND($M1863=1,对接源_02物料!$D663="原料入库"),1,0)</f>
        <v>0</v>
      </c>
      <c r="AA1863">
        <f>N(AA1862)+$Z1863</f>
        <v>24</v>
      </c>
      <c r="AB1863">
        <f>IF(AND($M1863=1,LEFT(对接源_02物料!$D663,4)="原料出库"),1,0)</f>
        <v>0</v>
      </c>
      <c r="AC1863">
        <f>N(AC1862)+$AB1863</f>
        <v>0</v>
      </c>
      <c r="AD1863">
        <f>IF(AND($M1863=1,LEFT(对接源_02物料!$D663,4)="成品出库"),1,0)</f>
        <v>0</v>
      </c>
      <c r="AE1863">
        <f>N(AE1862)+$AD1863</f>
        <v>0</v>
      </c>
      <c r="AF1863">
        <f>IF(AND($N1863=1,AND(LEFT(对接源_02物料!$D663,4)="包装物料",N(对接源_02物料!$K663)&lt;&gt;0)),1,0)</f>
        <v>0</v>
      </c>
      <c r="AG1863">
        <f>N(AG1862)+$AF1863</f>
        <v>10</v>
      </c>
      <c r="AH1863">
        <f>IF(AND($N1863=1,AND(对接源_02物料!$D663="周转筐－销售出库",N(对接源_02物料!$K663)&lt;&gt;0)),1,0)</f>
        <v>0</v>
      </c>
      <c r="AI1863">
        <f>N(AI1862)+$AH1863</f>
        <v>0</v>
      </c>
      <c r="AL1863" t="n">
        <v>0</v>
      </c>
      <c r="AM1863">
        <f>N(AM1862)+$AL1863</f>
        <v>2</v>
      </c>
      <c r="AN1863">
        <f>""</f>
      </c>
      <c r="AO1863" t="n">
        <v>0</v>
      </c>
      <c r="AP1863">
        <f>N(AP1862)+$AO1863</f>
        <v>13</v>
      </c>
      <c r="AR1863">
        <f>IF(OR($AF1863=1,$AH1863=1),1,0)</f>
        <v>0</v>
      </c>
      <c r="AS1863">
        <f>N(AS1862)+$AR1863</f>
        <v>10</v>
      </c>
    </row>
    <row r="1864" s="127">
      <c r="A1864">
        <f>IF(对接源_02物料!$C664="","",对接源_02物料!$C664)</f>
      </c>
      <c r="B1864">
        <f>IF(A1864="",0,IF(MATCH(A1864,$A$4:$A$2403,0)=ROW()-3,1,0))</f>
        <v>0</v>
      </c>
      <c r="C1864">
        <f>N(C1863)+B1864</f>
        <v>26</v>
      </c>
      <c r="K1864">
        <f>IF(OR($K$1="",对接源_02物料!$C664="",对接源_02物料!$C664&lt;&gt;$K$1,对接源_02物料!$B664=""),0,IF(OR(N(对接源_02物料!$B664)&lt;$K$2,N(对接源_02物料!$B664)&gt;$K$3),0,1))</f>
        <v>0</v>
      </c>
      <c r="L1864">
        <f>IF(OR($L$1="",对接源_02物料!$C664="",对接源_02物料!$C664&lt;&gt;$L$1,对接源_02物料!$B664=""),0,IF(OR(N(对接源_02物料!$B664)&lt;$L$2,N(对接源_02物料!$B664)&gt;$L$3),0,1))</f>
        <v>0</v>
      </c>
      <c r="M1864">
        <f>IF(OR($M$1="",对接源_02物料!$C664="",对接源_02物料!$C664&lt;&gt;$M$1,对接源_02物料!$B664=""),0,IF(OR(N(对接源_02物料!$B664)&lt;$M$2,N(对接源_02物料!$B664)&gt;$M$3),0,1))</f>
        <v>0</v>
      </c>
      <c r="N1864">
        <f>IF(OR($N$1="",对接源_02物料!$C664="",对接源_02物料!$C664&lt;&gt;$N$1,对接源_02物料!$B664=""),0,IF(OR(N(对接源_02物料!$B664)&lt;$N$2,N(对接源_02物料!$B664)&gt;$N$3),0,1))</f>
        <v>0</v>
      </c>
      <c r="P1864">
        <f>IF(AND($K1864=1,AND(对接源_02物料!$X664="公司筐",N(对接源_02物料!$T664)&lt;&gt;0)),1,0)</f>
        <v>0</v>
      </c>
      <c r="Q1864">
        <f>N(Q1863)+$P1864</f>
        <v>14</v>
      </c>
      <c r="R1864">
        <f>IF(AND($K1864=1,AND(对接源_02物料!$X664="公司筐",N(对接源_02物料!$U664)&lt;&gt;0)),1,0)</f>
        <v>0</v>
      </c>
      <c r="S1864">
        <f>N(S1863)+$R1864</f>
        <v>1</v>
      </c>
      <c r="T1864">
        <f>IF(AND($K1864=1,AND(对接源_02物料!$X664="公司筐",N(对接源_02物料!$V664)&lt;&gt;0)),1,0)</f>
        <v>0</v>
      </c>
      <c r="U1864">
        <f>N(U1863)+$T1864</f>
        <v>47</v>
      </c>
      <c r="V1864">
        <f>IF(AND($L1864=1,AND(对接源_02物料!$X664="自备筐",N(对接源_02物料!$V664)&lt;&gt;0)),1,0)</f>
        <v>0</v>
      </c>
      <c r="W1864">
        <f>N(W1863)+$V1864</f>
        <v>11</v>
      </c>
      <c r="X1864">
        <f>IF(AND($L1864=1,AND(对接源_02物料!$X664="自备筐",N(对接源_02物料!$T664)&lt;&gt;0)),1,0)</f>
        <v>0</v>
      </c>
      <c r="Y1864">
        <f>N(Y1863)+$X1864</f>
        <v>0</v>
      </c>
      <c r="Z1864">
        <f>IF(AND($M1864=1,对接源_02物料!$D664="原料入库"),1,0)</f>
        <v>0</v>
      </c>
      <c r="AA1864">
        <f>N(AA1863)+$Z1864</f>
        <v>24</v>
      </c>
      <c r="AB1864">
        <f>IF(AND($M1864=1,LEFT(对接源_02物料!$D664,4)="原料出库"),1,0)</f>
        <v>0</v>
      </c>
      <c r="AC1864">
        <f>N(AC1863)+$AB1864</f>
        <v>0</v>
      </c>
      <c r="AD1864">
        <f>IF(AND($M1864=1,LEFT(对接源_02物料!$D664,4)="成品出库"),1,0)</f>
        <v>0</v>
      </c>
      <c r="AE1864">
        <f>N(AE1863)+$AD1864</f>
        <v>0</v>
      </c>
      <c r="AF1864">
        <f>IF(AND($N1864=1,AND(LEFT(对接源_02物料!$D664,4)="包装物料",N(对接源_02物料!$K664)&lt;&gt;0)),1,0)</f>
        <v>0</v>
      </c>
      <c r="AG1864">
        <f>N(AG1863)+$AF1864</f>
        <v>10</v>
      </c>
      <c r="AH1864">
        <f>IF(AND($N1864=1,AND(对接源_02物料!$D664="周转筐－销售出库",N(对接源_02物料!$K664)&lt;&gt;0)),1,0)</f>
        <v>0</v>
      </c>
      <c r="AI1864">
        <f>N(AI1863)+$AH1864</f>
        <v>0</v>
      </c>
      <c r="AL1864" t="n">
        <v>0</v>
      </c>
      <c r="AM1864">
        <f>N(AM1863)+$AL1864</f>
        <v>2</v>
      </c>
      <c r="AN1864">
        <f>""</f>
      </c>
      <c r="AO1864" t="n">
        <v>0</v>
      </c>
      <c r="AP1864">
        <f>N(AP1863)+$AO1864</f>
        <v>13</v>
      </c>
      <c r="AR1864">
        <f>IF(OR($AF1864=1,$AH1864=1),1,0)</f>
        <v>0</v>
      </c>
      <c r="AS1864">
        <f>N(AS1863)+$AR1864</f>
        <v>10</v>
      </c>
    </row>
    <row r="1865" s="127">
      <c r="A1865">
        <f>IF(对接源_02物料!$C665="","",对接源_02物料!$C665)</f>
      </c>
      <c r="B1865">
        <f>IF(A1865="",0,IF(MATCH(A1865,$A$4:$A$2403,0)=ROW()-3,1,0))</f>
        <v>0</v>
      </c>
      <c r="C1865">
        <f>N(C1864)+B1865</f>
        <v>26</v>
      </c>
      <c r="K1865">
        <f>IF(OR($K$1="",对接源_02物料!$C665="",对接源_02物料!$C665&lt;&gt;$K$1,对接源_02物料!$B665=""),0,IF(OR(N(对接源_02物料!$B665)&lt;$K$2,N(对接源_02物料!$B665)&gt;$K$3),0,1))</f>
        <v>0</v>
      </c>
      <c r="L1865">
        <f>IF(OR($L$1="",对接源_02物料!$C665="",对接源_02物料!$C665&lt;&gt;$L$1,对接源_02物料!$B665=""),0,IF(OR(N(对接源_02物料!$B665)&lt;$L$2,N(对接源_02物料!$B665)&gt;$L$3),0,1))</f>
        <v>0</v>
      </c>
      <c r="M1865">
        <f>IF(OR($M$1="",对接源_02物料!$C665="",对接源_02物料!$C665&lt;&gt;$M$1,对接源_02物料!$B665=""),0,IF(OR(N(对接源_02物料!$B665)&lt;$M$2,N(对接源_02物料!$B665)&gt;$M$3),0,1))</f>
        <v>0</v>
      </c>
      <c r="N1865">
        <f>IF(OR($N$1="",对接源_02物料!$C665="",对接源_02物料!$C665&lt;&gt;$N$1,对接源_02物料!$B665=""),0,IF(OR(N(对接源_02物料!$B665)&lt;$N$2,N(对接源_02物料!$B665)&gt;$N$3),0,1))</f>
        <v>0</v>
      </c>
      <c r="P1865">
        <f>IF(AND($K1865=1,AND(对接源_02物料!$X665="公司筐",N(对接源_02物料!$T665)&lt;&gt;0)),1,0)</f>
        <v>0</v>
      </c>
      <c r="Q1865">
        <f>N(Q1864)+$P1865</f>
        <v>14</v>
      </c>
      <c r="R1865">
        <f>IF(AND($K1865=1,AND(对接源_02物料!$X665="公司筐",N(对接源_02物料!$U665)&lt;&gt;0)),1,0)</f>
        <v>0</v>
      </c>
      <c r="S1865">
        <f>N(S1864)+$R1865</f>
        <v>1</v>
      </c>
      <c r="T1865">
        <f>IF(AND($K1865=1,AND(对接源_02物料!$X665="公司筐",N(对接源_02物料!$V665)&lt;&gt;0)),1,0)</f>
        <v>0</v>
      </c>
      <c r="U1865">
        <f>N(U1864)+$T1865</f>
        <v>47</v>
      </c>
      <c r="V1865">
        <f>IF(AND($L1865=1,AND(对接源_02物料!$X665="自备筐",N(对接源_02物料!$V665)&lt;&gt;0)),1,0)</f>
        <v>0</v>
      </c>
      <c r="W1865">
        <f>N(W1864)+$V1865</f>
        <v>11</v>
      </c>
      <c r="X1865">
        <f>IF(AND($L1865=1,AND(对接源_02物料!$X665="自备筐",N(对接源_02物料!$T665)&lt;&gt;0)),1,0)</f>
        <v>0</v>
      </c>
      <c r="Y1865">
        <f>N(Y1864)+$X1865</f>
        <v>0</v>
      </c>
      <c r="Z1865">
        <f>IF(AND($M1865=1,对接源_02物料!$D665="原料入库"),1,0)</f>
        <v>0</v>
      </c>
      <c r="AA1865">
        <f>N(AA1864)+$Z1865</f>
        <v>24</v>
      </c>
      <c r="AB1865">
        <f>IF(AND($M1865=1,LEFT(对接源_02物料!$D665,4)="原料出库"),1,0)</f>
        <v>0</v>
      </c>
      <c r="AC1865">
        <f>N(AC1864)+$AB1865</f>
        <v>0</v>
      </c>
      <c r="AD1865">
        <f>IF(AND($M1865=1,LEFT(对接源_02物料!$D665,4)="成品出库"),1,0)</f>
        <v>0</v>
      </c>
      <c r="AE1865">
        <f>N(AE1864)+$AD1865</f>
        <v>0</v>
      </c>
      <c r="AF1865">
        <f>IF(AND($N1865=1,AND(LEFT(对接源_02物料!$D665,4)="包装物料",N(对接源_02物料!$K665)&lt;&gt;0)),1,0)</f>
        <v>0</v>
      </c>
      <c r="AG1865">
        <f>N(AG1864)+$AF1865</f>
        <v>10</v>
      </c>
      <c r="AH1865">
        <f>IF(AND($N1865=1,AND(对接源_02物料!$D665="周转筐－销售出库",N(对接源_02物料!$K665)&lt;&gt;0)),1,0)</f>
        <v>0</v>
      </c>
      <c r="AI1865">
        <f>N(AI1864)+$AH1865</f>
        <v>0</v>
      </c>
      <c r="AL1865" t="n">
        <v>0</v>
      </c>
      <c r="AM1865">
        <f>N(AM1864)+$AL1865</f>
        <v>2</v>
      </c>
      <c r="AN1865">
        <f>""</f>
      </c>
      <c r="AO1865" t="n">
        <v>0</v>
      </c>
      <c r="AP1865">
        <f>N(AP1864)+$AO1865</f>
        <v>13</v>
      </c>
      <c r="AR1865">
        <f>IF(OR($AF1865=1,$AH1865=1),1,0)</f>
        <v>0</v>
      </c>
      <c r="AS1865">
        <f>N(AS1864)+$AR1865</f>
        <v>10</v>
      </c>
    </row>
    <row r="1866" s="127">
      <c r="A1866">
        <f>IF(对接源_02物料!$C666="","",对接源_02物料!$C666)</f>
      </c>
      <c r="B1866">
        <f>IF(A1866="",0,IF(MATCH(A1866,$A$4:$A$2403,0)=ROW()-3,1,0))</f>
        <v>0</v>
      </c>
      <c r="C1866">
        <f>N(C1865)+B1866</f>
        <v>26</v>
      </c>
      <c r="K1866">
        <f>IF(OR($K$1="",对接源_02物料!$C666="",对接源_02物料!$C666&lt;&gt;$K$1,对接源_02物料!$B666=""),0,IF(OR(N(对接源_02物料!$B666)&lt;$K$2,N(对接源_02物料!$B666)&gt;$K$3),0,1))</f>
        <v>0</v>
      </c>
      <c r="L1866">
        <f>IF(OR($L$1="",对接源_02物料!$C666="",对接源_02物料!$C666&lt;&gt;$L$1,对接源_02物料!$B666=""),0,IF(OR(N(对接源_02物料!$B666)&lt;$L$2,N(对接源_02物料!$B666)&gt;$L$3),0,1))</f>
        <v>0</v>
      </c>
      <c r="M1866">
        <f>IF(OR($M$1="",对接源_02物料!$C666="",对接源_02物料!$C666&lt;&gt;$M$1,对接源_02物料!$B666=""),0,IF(OR(N(对接源_02物料!$B666)&lt;$M$2,N(对接源_02物料!$B666)&gt;$M$3),0,1))</f>
        <v>0</v>
      </c>
      <c r="N1866">
        <f>IF(OR($N$1="",对接源_02物料!$C666="",对接源_02物料!$C666&lt;&gt;$N$1,对接源_02物料!$B666=""),0,IF(OR(N(对接源_02物料!$B666)&lt;$N$2,N(对接源_02物料!$B666)&gt;$N$3),0,1))</f>
        <v>0</v>
      </c>
      <c r="P1866">
        <f>IF(AND($K1866=1,AND(对接源_02物料!$X666="公司筐",N(对接源_02物料!$T666)&lt;&gt;0)),1,0)</f>
        <v>0</v>
      </c>
      <c r="Q1866">
        <f>N(Q1865)+$P1866</f>
        <v>14</v>
      </c>
      <c r="R1866">
        <f>IF(AND($K1866=1,AND(对接源_02物料!$X666="公司筐",N(对接源_02物料!$U666)&lt;&gt;0)),1,0)</f>
        <v>0</v>
      </c>
      <c r="S1866">
        <f>N(S1865)+$R1866</f>
        <v>1</v>
      </c>
      <c r="T1866">
        <f>IF(AND($K1866=1,AND(对接源_02物料!$X666="公司筐",N(对接源_02物料!$V666)&lt;&gt;0)),1,0)</f>
        <v>0</v>
      </c>
      <c r="U1866">
        <f>N(U1865)+$T1866</f>
        <v>47</v>
      </c>
      <c r="V1866">
        <f>IF(AND($L1866=1,AND(对接源_02物料!$X666="自备筐",N(对接源_02物料!$V666)&lt;&gt;0)),1,0)</f>
        <v>0</v>
      </c>
      <c r="W1866">
        <f>N(W1865)+$V1866</f>
        <v>11</v>
      </c>
      <c r="X1866">
        <f>IF(AND($L1866=1,AND(对接源_02物料!$X666="自备筐",N(对接源_02物料!$T666)&lt;&gt;0)),1,0)</f>
        <v>0</v>
      </c>
      <c r="Y1866">
        <f>N(Y1865)+$X1866</f>
        <v>0</v>
      </c>
      <c r="Z1866">
        <f>IF(AND($M1866=1,对接源_02物料!$D666="原料入库"),1,0)</f>
        <v>0</v>
      </c>
      <c r="AA1866">
        <f>N(AA1865)+$Z1866</f>
        <v>24</v>
      </c>
      <c r="AB1866">
        <f>IF(AND($M1866=1,LEFT(对接源_02物料!$D666,4)="原料出库"),1,0)</f>
        <v>0</v>
      </c>
      <c r="AC1866">
        <f>N(AC1865)+$AB1866</f>
        <v>0</v>
      </c>
      <c r="AD1866">
        <f>IF(AND($M1866=1,LEFT(对接源_02物料!$D666,4)="成品出库"),1,0)</f>
        <v>0</v>
      </c>
      <c r="AE1866">
        <f>N(AE1865)+$AD1866</f>
        <v>0</v>
      </c>
      <c r="AF1866">
        <f>IF(AND($N1866=1,AND(LEFT(对接源_02物料!$D666,4)="包装物料",N(对接源_02物料!$K666)&lt;&gt;0)),1,0)</f>
        <v>0</v>
      </c>
      <c r="AG1866">
        <f>N(AG1865)+$AF1866</f>
        <v>10</v>
      </c>
      <c r="AH1866">
        <f>IF(AND($N1866=1,AND(对接源_02物料!$D666="周转筐－销售出库",N(对接源_02物料!$K666)&lt;&gt;0)),1,0)</f>
        <v>0</v>
      </c>
      <c r="AI1866">
        <f>N(AI1865)+$AH1866</f>
        <v>0</v>
      </c>
      <c r="AL1866" t="n">
        <v>0</v>
      </c>
      <c r="AM1866">
        <f>N(AM1865)+$AL1866</f>
        <v>2</v>
      </c>
      <c r="AN1866">
        <f>""</f>
      </c>
      <c r="AO1866" t="n">
        <v>0</v>
      </c>
      <c r="AP1866">
        <f>N(AP1865)+$AO1866</f>
        <v>13</v>
      </c>
      <c r="AR1866">
        <f>IF(OR($AF1866=1,$AH1866=1),1,0)</f>
        <v>0</v>
      </c>
      <c r="AS1866">
        <f>N(AS1865)+$AR1866</f>
        <v>10</v>
      </c>
    </row>
    <row r="1867" s="127">
      <c r="A1867">
        <f>IF(对接源_02物料!$C667="","",对接源_02物料!$C667)</f>
      </c>
      <c r="B1867">
        <f>IF(A1867="",0,IF(MATCH(A1867,$A$4:$A$2403,0)=ROW()-3,1,0))</f>
        <v>0</v>
      </c>
      <c r="C1867">
        <f>N(C1866)+B1867</f>
        <v>26</v>
      </c>
      <c r="K1867">
        <f>IF(OR($K$1="",对接源_02物料!$C667="",对接源_02物料!$C667&lt;&gt;$K$1,对接源_02物料!$B667=""),0,IF(OR(N(对接源_02物料!$B667)&lt;$K$2,N(对接源_02物料!$B667)&gt;$K$3),0,1))</f>
        <v>0</v>
      </c>
      <c r="L1867">
        <f>IF(OR($L$1="",对接源_02物料!$C667="",对接源_02物料!$C667&lt;&gt;$L$1,对接源_02物料!$B667=""),0,IF(OR(N(对接源_02物料!$B667)&lt;$L$2,N(对接源_02物料!$B667)&gt;$L$3),0,1))</f>
        <v>0</v>
      </c>
      <c r="M1867">
        <f>IF(OR($M$1="",对接源_02物料!$C667="",对接源_02物料!$C667&lt;&gt;$M$1,对接源_02物料!$B667=""),0,IF(OR(N(对接源_02物料!$B667)&lt;$M$2,N(对接源_02物料!$B667)&gt;$M$3),0,1))</f>
        <v>0</v>
      </c>
      <c r="N1867">
        <f>IF(OR($N$1="",对接源_02物料!$C667="",对接源_02物料!$C667&lt;&gt;$N$1,对接源_02物料!$B667=""),0,IF(OR(N(对接源_02物料!$B667)&lt;$N$2,N(对接源_02物料!$B667)&gt;$N$3),0,1))</f>
        <v>0</v>
      </c>
      <c r="P1867">
        <f>IF(AND($K1867=1,AND(对接源_02物料!$X667="公司筐",N(对接源_02物料!$T667)&lt;&gt;0)),1,0)</f>
        <v>0</v>
      </c>
      <c r="Q1867">
        <f>N(Q1866)+$P1867</f>
        <v>14</v>
      </c>
      <c r="R1867">
        <f>IF(AND($K1867=1,AND(对接源_02物料!$X667="公司筐",N(对接源_02物料!$U667)&lt;&gt;0)),1,0)</f>
        <v>0</v>
      </c>
      <c r="S1867">
        <f>N(S1866)+$R1867</f>
        <v>1</v>
      </c>
      <c r="T1867">
        <f>IF(AND($K1867=1,AND(对接源_02物料!$X667="公司筐",N(对接源_02物料!$V667)&lt;&gt;0)),1,0)</f>
        <v>0</v>
      </c>
      <c r="U1867">
        <f>N(U1866)+$T1867</f>
        <v>47</v>
      </c>
      <c r="V1867">
        <f>IF(AND($L1867=1,AND(对接源_02物料!$X667="自备筐",N(对接源_02物料!$V667)&lt;&gt;0)),1,0)</f>
        <v>0</v>
      </c>
      <c r="W1867">
        <f>N(W1866)+$V1867</f>
        <v>11</v>
      </c>
      <c r="X1867">
        <f>IF(AND($L1867=1,AND(对接源_02物料!$X667="自备筐",N(对接源_02物料!$T667)&lt;&gt;0)),1,0)</f>
        <v>0</v>
      </c>
      <c r="Y1867">
        <f>N(Y1866)+$X1867</f>
        <v>0</v>
      </c>
      <c r="Z1867">
        <f>IF(AND($M1867=1,对接源_02物料!$D667="原料入库"),1,0)</f>
        <v>0</v>
      </c>
      <c r="AA1867">
        <f>N(AA1866)+$Z1867</f>
        <v>24</v>
      </c>
      <c r="AB1867">
        <f>IF(AND($M1867=1,LEFT(对接源_02物料!$D667,4)="原料出库"),1,0)</f>
        <v>0</v>
      </c>
      <c r="AC1867">
        <f>N(AC1866)+$AB1867</f>
        <v>0</v>
      </c>
      <c r="AD1867">
        <f>IF(AND($M1867=1,LEFT(对接源_02物料!$D667,4)="成品出库"),1,0)</f>
        <v>0</v>
      </c>
      <c r="AE1867">
        <f>N(AE1866)+$AD1867</f>
        <v>0</v>
      </c>
      <c r="AF1867">
        <f>IF(AND($N1867=1,AND(LEFT(对接源_02物料!$D667,4)="包装物料",N(对接源_02物料!$K667)&lt;&gt;0)),1,0)</f>
        <v>0</v>
      </c>
      <c r="AG1867">
        <f>N(AG1866)+$AF1867</f>
        <v>10</v>
      </c>
      <c r="AH1867">
        <f>IF(AND($N1867=1,AND(对接源_02物料!$D667="周转筐－销售出库",N(对接源_02物料!$K667)&lt;&gt;0)),1,0)</f>
        <v>0</v>
      </c>
      <c r="AI1867">
        <f>N(AI1866)+$AH1867</f>
        <v>0</v>
      </c>
      <c r="AL1867" t="n">
        <v>0</v>
      </c>
      <c r="AM1867">
        <f>N(AM1866)+$AL1867</f>
        <v>2</v>
      </c>
      <c r="AN1867">
        <f>""</f>
      </c>
      <c r="AO1867" t="n">
        <v>0</v>
      </c>
      <c r="AP1867">
        <f>N(AP1866)+$AO1867</f>
        <v>13</v>
      </c>
      <c r="AR1867">
        <f>IF(OR($AF1867=1,$AH1867=1),1,0)</f>
        <v>0</v>
      </c>
      <c r="AS1867">
        <f>N(AS1866)+$AR1867</f>
        <v>10</v>
      </c>
    </row>
    <row r="1868" s="127">
      <c r="A1868">
        <f>IF(对接源_02物料!$C668="","",对接源_02物料!$C668)</f>
      </c>
      <c r="B1868">
        <f>IF(A1868="",0,IF(MATCH(A1868,$A$4:$A$2403,0)=ROW()-3,1,0))</f>
        <v>0</v>
      </c>
      <c r="C1868">
        <f>N(C1867)+B1868</f>
        <v>26</v>
      </c>
      <c r="K1868">
        <f>IF(OR($K$1="",对接源_02物料!$C668="",对接源_02物料!$C668&lt;&gt;$K$1,对接源_02物料!$B668=""),0,IF(OR(N(对接源_02物料!$B668)&lt;$K$2,N(对接源_02物料!$B668)&gt;$K$3),0,1))</f>
        <v>0</v>
      </c>
      <c r="L1868">
        <f>IF(OR($L$1="",对接源_02物料!$C668="",对接源_02物料!$C668&lt;&gt;$L$1,对接源_02物料!$B668=""),0,IF(OR(N(对接源_02物料!$B668)&lt;$L$2,N(对接源_02物料!$B668)&gt;$L$3),0,1))</f>
        <v>0</v>
      </c>
      <c r="M1868">
        <f>IF(OR($M$1="",对接源_02物料!$C668="",对接源_02物料!$C668&lt;&gt;$M$1,对接源_02物料!$B668=""),0,IF(OR(N(对接源_02物料!$B668)&lt;$M$2,N(对接源_02物料!$B668)&gt;$M$3),0,1))</f>
        <v>0</v>
      </c>
      <c r="N1868">
        <f>IF(OR($N$1="",对接源_02物料!$C668="",对接源_02物料!$C668&lt;&gt;$N$1,对接源_02物料!$B668=""),0,IF(OR(N(对接源_02物料!$B668)&lt;$N$2,N(对接源_02物料!$B668)&gt;$N$3),0,1))</f>
        <v>0</v>
      </c>
      <c r="P1868">
        <f>IF(AND($K1868=1,AND(对接源_02物料!$X668="公司筐",N(对接源_02物料!$T668)&lt;&gt;0)),1,0)</f>
        <v>0</v>
      </c>
      <c r="Q1868">
        <f>N(Q1867)+$P1868</f>
        <v>14</v>
      </c>
      <c r="R1868">
        <f>IF(AND($K1868=1,AND(对接源_02物料!$X668="公司筐",N(对接源_02物料!$U668)&lt;&gt;0)),1,0)</f>
        <v>0</v>
      </c>
      <c r="S1868">
        <f>N(S1867)+$R1868</f>
        <v>1</v>
      </c>
      <c r="T1868">
        <f>IF(AND($K1868=1,AND(对接源_02物料!$X668="公司筐",N(对接源_02物料!$V668)&lt;&gt;0)),1,0)</f>
        <v>0</v>
      </c>
      <c r="U1868">
        <f>N(U1867)+$T1868</f>
        <v>47</v>
      </c>
      <c r="V1868">
        <f>IF(AND($L1868=1,AND(对接源_02物料!$X668="自备筐",N(对接源_02物料!$V668)&lt;&gt;0)),1,0)</f>
        <v>0</v>
      </c>
      <c r="W1868">
        <f>N(W1867)+$V1868</f>
        <v>11</v>
      </c>
      <c r="X1868">
        <f>IF(AND($L1868=1,AND(对接源_02物料!$X668="自备筐",N(对接源_02物料!$T668)&lt;&gt;0)),1,0)</f>
        <v>0</v>
      </c>
      <c r="Y1868">
        <f>N(Y1867)+$X1868</f>
        <v>0</v>
      </c>
      <c r="Z1868">
        <f>IF(AND($M1868=1,对接源_02物料!$D668="原料入库"),1,0)</f>
        <v>0</v>
      </c>
      <c r="AA1868">
        <f>N(AA1867)+$Z1868</f>
        <v>24</v>
      </c>
      <c r="AB1868">
        <f>IF(AND($M1868=1,LEFT(对接源_02物料!$D668,4)="原料出库"),1,0)</f>
        <v>0</v>
      </c>
      <c r="AC1868">
        <f>N(AC1867)+$AB1868</f>
        <v>0</v>
      </c>
      <c r="AD1868">
        <f>IF(AND($M1868=1,LEFT(对接源_02物料!$D668,4)="成品出库"),1,0)</f>
        <v>0</v>
      </c>
      <c r="AE1868">
        <f>N(AE1867)+$AD1868</f>
        <v>0</v>
      </c>
      <c r="AF1868">
        <f>IF(AND($N1868=1,AND(LEFT(对接源_02物料!$D668,4)="包装物料",N(对接源_02物料!$K668)&lt;&gt;0)),1,0)</f>
        <v>0</v>
      </c>
      <c r="AG1868">
        <f>N(AG1867)+$AF1868</f>
        <v>10</v>
      </c>
      <c r="AH1868">
        <f>IF(AND($N1868=1,AND(对接源_02物料!$D668="周转筐－销售出库",N(对接源_02物料!$K668)&lt;&gt;0)),1,0)</f>
        <v>0</v>
      </c>
      <c r="AI1868">
        <f>N(AI1867)+$AH1868</f>
        <v>0</v>
      </c>
      <c r="AL1868" t="n">
        <v>0</v>
      </c>
      <c r="AM1868">
        <f>N(AM1867)+$AL1868</f>
        <v>2</v>
      </c>
      <c r="AN1868">
        <f>""</f>
      </c>
      <c r="AO1868" t="n">
        <v>0</v>
      </c>
      <c r="AP1868">
        <f>N(AP1867)+$AO1868</f>
        <v>13</v>
      </c>
      <c r="AR1868">
        <f>IF(OR($AF1868=1,$AH1868=1),1,0)</f>
        <v>0</v>
      </c>
      <c r="AS1868">
        <f>N(AS1867)+$AR1868</f>
        <v>10</v>
      </c>
    </row>
    <row r="1869" s="127">
      <c r="A1869">
        <f>IF(对接源_02物料!$C669="","",对接源_02物料!$C669)</f>
      </c>
      <c r="B1869">
        <f>IF(A1869="",0,IF(MATCH(A1869,$A$4:$A$2403,0)=ROW()-3,1,0))</f>
        <v>0</v>
      </c>
      <c r="C1869">
        <f>N(C1868)+B1869</f>
        <v>26</v>
      </c>
      <c r="K1869">
        <f>IF(OR($K$1="",对接源_02物料!$C669="",对接源_02物料!$C669&lt;&gt;$K$1,对接源_02物料!$B669=""),0,IF(OR(N(对接源_02物料!$B669)&lt;$K$2,N(对接源_02物料!$B669)&gt;$K$3),0,1))</f>
        <v>0</v>
      </c>
      <c r="L1869">
        <f>IF(OR($L$1="",对接源_02物料!$C669="",对接源_02物料!$C669&lt;&gt;$L$1,对接源_02物料!$B669=""),0,IF(OR(N(对接源_02物料!$B669)&lt;$L$2,N(对接源_02物料!$B669)&gt;$L$3),0,1))</f>
        <v>0</v>
      </c>
      <c r="M1869">
        <f>IF(OR($M$1="",对接源_02物料!$C669="",对接源_02物料!$C669&lt;&gt;$M$1,对接源_02物料!$B669=""),0,IF(OR(N(对接源_02物料!$B669)&lt;$M$2,N(对接源_02物料!$B669)&gt;$M$3),0,1))</f>
        <v>0</v>
      </c>
      <c r="N1869">
        <f>IF(OR($N$1="",对接源_02物料!$C669="",对接源_02物料!$C669&lt;&gt;$N$1,对接源_02物料!$B669=""),0,IF(OR(N(对接源_02物料!$B669)&lt;$N$2,N(对接源_02物料!$B669)&gt;$N$3),0,1))</f>
        <v>0</v>
      </c>
      <c r="P1869">
        <f>IF(AND($K1869=1,AND(对接源_02物料!$X669="公司筐",N(对接源_02物料!$T669)&lt;&gt;0)),1,0)</f>
        <v>0</v>
      </c>
      <c r="Q1869">
        <f>N(Q1868)+$P1869</f>
        <v>14</v>
      </c>
      <c r="R1869">
        <f>IF(AND($K1869=1,AND(对接源_02物料!$X669="公司筐",N(对接源_02物料!$U669)&lt;&gt;0)),1,0)</f>
        <v>0</v>
      </c>
      <c r="S1869">
        <f>N(S1868)+$R1869</f>
        <v>1</v>
      </c>
      <c r="T1869">
        <f>IF(AND($K1869=1,AND(对接源_02物料!$X669="公司筐",N(对接源_02物料!$V669)&lt;&gt;0)),1,0)</f>
        <v>0</v>
      </c>
      <c r="U1869">
        <f>N(U1868)+$T1869</f>
        <v>47</v>
      </c>
      <c r="V1869">
        <f>IF(AND($L1869=1,AND(对接源_02物料!$X669="自备筐",N(对接源_02物料!$V669)&lt;&gt;0)),1,0)</f>
        <v>0</v>
      </c>
      <c r="W1869">
        <f>N(W1868)+$V1869</f>
        <v>11</v>
      </c>
      <c r="X1869">
        <f>IF(AND($L1869=1,AND(对接源_02物料!$X669="自备筐",N(对接源_02物料!$T669)&lt;&gt;0)),1,0)</f>
        <v>0</v>
      </c>
      <c r="Y1869">
        <f>N(Y1868)+$X1869</f>
        <v>0</v>
      </c>
      <c r="Z1869">
        <f>IF(AND($M1869=1,对接源_02物料!$D669="原料入库"),1,0)</f>
        <v>0</v>
      </c>
      <c r="AA1869">
        <f>N(AA1868)+$Z1869</f>
        <v>24</v>
      </c>
      <c r="AB1869">
        <f>IF(AND($M1869=1,LEFT(对接源_02物料!$D669,4)="原料出库"),1,0)</f>
        <v>0</v>
      </c>
      <c r="AC1869">
        <f>N(AC1868)+$AB1869</f>
        <v>0</v>
      </c>
      <c r="AD1869">
        <f>IF(AND($M1869=1,LEFT(对接源_02物料!$D669,4)="成品出库"),1,0)</f>
        <v>0</v>
      </c>
      <c r="AE1869">
        <f>N(AE1868)+$AD1869</f>
        <v>0</v>
      </c>
      <c r="AF1869">
        <f>IF(AND($N1869=1,AND(LEFT(对接源_02物料!$D669,4)="包装物料",N(对接源_02物料!$K669)&lt;&gt;0)),1,0)</f>
        <v>0</v>
      </c>
      <c r="AG1869">
        <f>N(AG1868)+$AF1869</f>
        <v>10</v>
      </c>
      <c r="AH1869">
        <f>IF(AND($N1869=1,AND(对接源_02物料!$D669="周转筐－销售出库",N(对接源_02物料!$K669)&lt;&gt;0)),1,0)</f>
        <v>0</v>
      </c>
      <c r="AI1869">
        <f>N(AI1868)+$AH1869</f>
        <v>0</v>
      </c>
      <c r="AL1869" t="n">
        <v>0</v>
      </c>
      <c r="AM1869">
        <f>N(AM1868)+$AL1869</f>
        <v>2</v>
      </c>
      <c r="AN1869">
        <f>""</f>
      </c>
      <c r="AO1869" t="n">
        <v>0</v>
      </c>
      <c r="AP1869">
        <f>N(AP1868)+$AO1869</f>
        <v>13</v>
      </c>
      <c r="AR1869">
        <f>IF(OR($AF1869=1,$AH1869=1),1,0)</f>
        <v>0</v>
      </c>
      <c r="AS1869">
        <f>N(AS1868)+$AR1869</f>
        <v>10</v>
      </c>
    </row>
    <row r="1870" s="127">
      <c r="A1870">
        <f>IF(对接源_02物料!$C670="","",对接源_02物料!$C670)</f>
      </c>
      <c r="B1870">
        <f>IF(A1870="",0,IF(MATCH(A1870,$A$4:$A$2403,0)=ROW()-3,1,0))</f>
        <v>0</v>
      </c>
      <c r="C1870">
        <f>N(C1869)+B1870</f>
        <v>26</v>
      </c>
      <c r="K1870">
        <f>IF(OR($K$1="",对接源_02物料!$C670="",对接源_02物料!$C670&lt;&gt;$K$1,对接源_02物料!$B670=""),0,IF(OR(N(对接源_02物料!$B670)&lt;$K$2,N(对接源_02物料!$B670)&gt;$K$3),0,1))</f>
        <v>0</v>
      </c>
      <c r="L1870">
        <f>IF(OR($L$1="",对接源_02物料!$C670="",对接源_02物料!$C670&lt;&gt;$L$1,对接源_02物料!$B670=""),0,IF(OR(N(对接源_02物料!$B670)&lt;$L$2,N(对接源_02物料!$B670)&gt;$L$3),0,1))</f>
        <v>0</v>
      </c>
      <c r="M1870">
        <f>IF(OR($M$1="",对接源_02物料!$C670="",对接源_02物料!$C670&lt;&gt;$M$1,对接源_02物料!$B670=""),0,IF(OR(N(对接源_02物料!$B670)&lt;$M$2,N(对接源_02物料!$B670)&gt;$M$3),0,1))</f>
        <v>0</v>
      </c>
      <c r="N1870">
        <f>IF(OR($N$1="",对接源_02物料!$C670="",对接源_02物料!$C670&lt;&gt;$N$1,对接源_02物料!$B670=""),0,IF(OR(N(对接源_02物料!$B670)&lt;$N$2,N(对接源_02物料!$B670)&gt;$N$3),0,1))</f>
        <v>0</v>
      </c>
      <c r="P1870">
        <f>IF(AND($K1870=1,AND(对接源_02物料!$X670="公司筐",N(对接源_02物料!$T670)&lt;&gt;0)),1,0)</f>
        <v>0</v>
      </c>
      <c r="Q1870">
        <f>N(Q1869)+$P1870</f>
        <v>14</v>
      </c>
      <c r="R1870">
        <f>IF(AND($K1870=1,AND(对接源_02物料!$X670="公司筐",N(对接源_02物料!$U670)&lt;&gt;0)),1,0)</f>
        <v>0</v>
      </c>
      <c r="S1870">
        <f>N(S1869)+$R1870</f>
        <v>1</v>
      </c>
      <c r="T1870">
        <f>IF(AND($K1870=1,AND(对接源_02物料!$X670="公司筐",N(对接源_02物料!$V670)&lt;&gt;0)),1,0)</f>
        <v>0</v>
      </c>
      <c r="U1870">
        <f>N(U1869)+$T1870</f>
        <v>47</v>
      </c>
      <c r="V1870">
        <f>IF(AND($L1870=1,AND(对接源_02物料!$X670="自备筐",N(对接源_02物料!$V670)&lt;&gt;0)),1,0)</f>
        <v>0</v>
      </c>
      <c r="W1870">
        <f>N(W1869)+$V1870</f>
        <v>11</v>
      </c>
      <c r="X1870">
        <f>IF(AND($L1870=1,AND(对接源_02物料!$X670="自备筐",N(对接源_02物料!$T670)&lt;&gt;0)),1,0)</f>
        <v>0</v>
      </c>
      <c r="Y1870">
        <f>N(Y1869)+$X1870</f>
        <v>0</v>
      </c>
      <c r="Z1870">
        <f>IF(AND($M1870=1,对接源_02物料!$D670="原料入库"),1,0)</f>
        <v>0</v>
      </c>
      <c r="AA1870">
        <f>N(AA1869)+$Z1870</f>
        <v>24</v>
      </c>
      <c r="AB1870">
        <f>IF(AND($M1870=1,LEFT(对接源_02物料!$D670,4)="原料出库"),1,0)</f>
        <v>0</v>
      </c>
      <c r="AC1870">
        <f>N(AC1869)+$AB1870</f>
        <v>0</v>
      </c>
      <c r="AD1870">
        <f>IF(AND($M1870=1,LEFT(对接源_02物料!$D670,4)="成品出库"),1,0)</f>
        <v>0</v>
      </c>
      <c r="AE1870">
        <f>N(AE1869)+$AD1870</f>
        <v>0</v>
      </c>
      <c r="AF1870">
        <f>IF(AND($N1870=1,AND(LEFT(对接源_02物料!$D670,4)="包装物料",N(对接源_02物料!$K670)&lt;&gt;0)),1,0)</f>
        <v>0</v>
      </c>
      <c r="AG1870">
        <f>N(AG1869)+$AF1870</f>
        <v>10</v>
      </c>
      <c r="AH1870">
        <f>IF(AND($N1870=1,AND(对接源_02物料!$D670="周转筐－销售出库",N(对接源_02物料!$K670)&lt;&gt;0)),1,0)</f>
        <v>0</v>
      </c>
      <c r="AI1870">
        <f>N(AI1869)+$AH1870</f>
        <v>0</v>
      </c>
      <c r="AL1870" t="n">
        <v>0</v>
      </c>
      <c r="AM1870">
        <f>N(AM1869)+$AL1870</f>
        <v>2</v>
      </c>
      <c r="AN1870">
        <f>""</f>
      </c>
      <c r="AO1870" t="n">
        <v>0</v>
      </c>
      <c r="AP1870">
        <f>N(AP1869)+$AO1870</f>
        <v>13</v>
      </c>
      <c r="AR1870">
        <f>IF(OR($AF1870=1,$AH1870=1),1,0)</f>
        <v>0</v>
      </c>
      <c r="AS1870">
        <f>N(AS1869)+$AR1870</f>
        <v>10</v>
      </c>
    </row>
    <row r="1871" s="127">
      <c r="A1871">
        <f>IF(对接源_02物料!$C671="","",对接源_02物料!$C671)</f>
      </c>
      <c r="B1871">
        <f>IF(A1871="",0,IF(MATCH(A1871,$A$4:$A$2403,0)=ROW()-3,1,0))</f>
        <v>0</v>
      </c>
      <c r="C1871">
        <f>N(C1870)+B1871</f>
        <v>26</v>
      </c>
      <c r="K1871">
        <f>IF(OR($K$1="",对接源_02物料!$C671="",对接源_02物料!$C671&lt;&gt;$K$1,对接源_02物料!$B671=""),0,IF(OR(N(对接源_02物料!$B671)&lt;$K$2,N(对接源_02物料!$B671)&gt;$K$3),0,1))</f>
        <v>0</v>
      </c>
      <c r="L1871">
        <f>IF(OR($L$1="",对接源_02物料!$C671="",对接源_02物料!$C671&lt;&gt;$L$1,对接源_02物料!$B671=""),0,IF(OR(N(对接源_02物料!$B671)&lt;$L$2,N(对接源_02物料!$B671)&gt;$L$3),0,1))</f>
        <v>0</v>
      </c>
      <c r="M1871">
        <f>IF(OR($M$1="",对接源_02物料!$C671="",对接源_02物料!$C671&lt;&gt;$M$1,对接源_02物料!$B671=""),0,IF(OR(N(对接源_02物料!$B671)&lt;$M$2,N(对接源_02物料!$B671)&gt;$M$3),0,1))</f>
        <v>0</v>
      </c>
      <c r="N1871">
        <f>IF(OR($N$1="",对接源_02物料!$C671="",对接源_02物料!$C671&lt;&gt;$N$1,对接源_02物料!$B671=""),0,IF(OR(N(对接源_02物料!$B671)&lt;$N$2,N(对接源_02物料!$B671)&gt;$N$3),0,1))</f>
        <v>0</v>
      </c>
      <c r="P1871">
        <f>IF(AND($K1871=1,AND(对接源_02物料!$X671="公司筐",N(对接源_02物料!$T671)&lt;&gt;0)),1,0)</f>
        <v>0</v>
      </c>
      <c r="Q1871">
        <f>N(Q1870)+$P1871</f>
        <v>14</v>
      </c>
      <c r="R1871">
        <f>IF(AND($K1871=1,AND(对接源_02物料!$X671="公司筐",N(对接源_02物料!$U671)&lt;&gt;0)),1,0)</f>
        <v>0</v>
      </c>
      <c r="S1871">
        <f>N(S1870)+$R1871</f>
        <v>1</v>
      </c>
      <c r="T1871">
        <f>IF(AND($K1871=1,AND(对接源_02物料!$X671="公司筐",N(对接源_02物料!$V671)&lt;&gt;0)),1,0)</f>
        <v>0</v>
      </c>
      <c r="U1871">
        <f>N(U1870)+$T1871</f>
        <v>47</v>
      </c>
      <c r="V1871">
        <f>IF(AND($L1871=1,AND(对接源_02物料!$X671="自备筐",N(对接源_02物料!$V671)&lt;&gt;0)),1,0)</f>
        <v>0</v>
      </c>
      <c r="W1871">
        <f>N(W1870)+$V1871</f>
        <v>11</v>
      </c>
      <c r="X1871">
        <f>IF(AND($L1871=1,AND(对接源_02物料!$X671="自备筐",N(对接源_02物料!$T671)&lt;&gt;0)),1,0)</f>
        <v>0</v>
      </c>
      <c r="Y1871">
        <f>N(Y1870)+$X1871</f>
        <v>0</v>
      </c>
      <c r="Z1871">
        <f>IF(AND($M1871=1,对接源_02物料!$D671="原料入库"),1,0)</f>
        <v>0</v>
      </c>
      <c r="AA1871">
        <f>N(AA1870)+$Z1871</f>
        <v>24</v>
      </c>
      <c r="AB1871">
        <f>IF(AND($M1871=1,LEFT(对接源_02物料!$D671,4)="原料出库"),1,0)</f>
        <v>0</v>
      </c>
      <c r="AC1871">
        <f>N(AC1870)+$AB1871</f>
        <v>0</v>
      </c>
      <c r="AD1871">
        <f>IF(AND($M1871=1,LEFT(对接源_02物料!$D671,4)="成品出库"),1,0)</f>
        <v>0</v>
      </c>
      <c r="AE1871">
        <f>N(AE1870)+$AD1871</f>
        <v>0</v>
      </c>
      <c r="AF1871">
        <f>IF(AND($N1871=1,AND(LEFT(对接源_02物料!$D671,4)="包装物料",N(对接源_02物料!$K671)&lt;&gt;0)),1,0)</f>
        <v>0</v>
      </c>
      <c r="AG1871">
        <f>N(AG1870)+$AF1871</f>
        <v>10</v>
      </c>
      <c r="AH1871">
        <f>IF(AND($N1871=1,AND(对接源_02物料!$D671="周转筐－销售出库",N(对接源_02物料!$K671)&lt;&gt;0)),1,0)</f>
        <v>0</v>
      </c>
      <c r="AI1871">
        <f>N(AI1870)+$AH1871</f>
        <v>0</v>
      </c>
      <c r="AL1871" t="n">
        <v>0</v>
      </c>
      <c r="AM1871">
        <f>N(AM1870)+$AL1871</f>
        <v>2</v>
      </c>
      <c r="AN1871">
        <f>""</f>
      </c>
      <c r="AO1871" t="n">
        <v>0</v>
      </c>
      <c r="AP1871">
        <f>N(AP1870)+$AO1871</f>
        <v>13</v>
      </c>
      <c r="AR1871">
        <f>IF(OR($AF1871=1,$AH1871=1),1,0)</f>
        <v>0</v>
      </c>
      <c r="AS1871">
        <f>N(AS1870)+$AR1871</f>
        <v>10</v>
      </c>
    </row>
    <row r="1872" s="127">
      <c r="A1872">
        <f>IF(对接源_02物料!$C672="","",对接源_02物料!$C672)</f>
      </c>
      <c r="B1872">
        <f>IF(A1872="",0,IF(MATCH(A1872,$A$4:$A$2403,0)=ROW()-3,1,0))</f>
        <v>0</v>
      </c>
      <c r="C1872">
        <f>N(C1871)+B1872</f>
        <v>26</v>
      </c>
      <c r="K1872">
        <f>IF(OR($K$1="",对接源_02物料!$C672="",对接源_02物料!$C672&lt;&gt;$K$1,对接源_02物料!$B672=""),0,IF(OR(N(对接源_02物料!$B672)&lt;$K$2,N(对接源_02物料!$B672)&gt;$K$3),0,1))</f>
        <v>0</v>
      </c>
      <c r="L1872">
        <f>IF(OR($L$1="",对接源_02物料!$C672="",对接源_02物料!$C672&lt;&gt;$L$1,对接源_02物料!$B672=""),0,IF(OR(N(对接源_02物料!$B672)&lt;$L$2,N(对接源_02物料!$B672)&gt;$L$3),0,1))</f>
        <v>0</v>
      </c>
      <c r="M1872">
        <f>IF(OR($M$1="",对接源_02物料!$C672="",对接源_02物料!$C672&lt;&gt;$M$1,对接源_02物料!$B672=""),0,IF(OR(N(对接源_02物料!$B672)&lt;$M$2,N(对接源_02物料!$B672)&gt;$M$3),0,1))</f>
        <v>0</v>
      </c>
      <c r="N1872">
        <f>IF(OR($N$1="",对接源_02物料!$C672="",对接源_02物料!$C672&lt;&gt;$N$1,对接源_02物料!$B672=""),0,IF(OR(N(对接源_02物料!$B672)&lt;$N$2,N(对接源_02物料!$B672)&gt;$N$3),0,1))</f>
        <v>0</v>
      </c>
      <c r="P1872">
        <f>IF(AND($K1872=1,AND(对接源_02物料!$X672="公司筐",N(对接源_02物料!$T672)&lt;&gt;0)),1,0)</f>
        <v>0</v>
      </c>
      <c r="Q1872">
        <f>N(Q1871)+$P1872</f>
        <v>14</v>
      </c>
      <c r="R1872">
        <f>IF(AND($K1872=1,AND(对接源_02物料!$X672="公司筐",N(对接源_02物料!$U672)&lt;&gt;0)),1,0)</f>
        <v>0</v>
      </c>
      <c r="S1872">
        <f>N(S1871)+$R1872</f>
        <v>1</v>
      </c>
      <c r="T1872">
        <f>IF(AND($K1872=1,AND(对接源_02物料!$X672="公司筐",N(对接源_02物料!$V672)&lt;&gt;0)),1,0)</f>
        <v>0</v>
      </c>
      <c r="U1872">
        <f>N(U1871)+$T1872</f>
        <v>47</v>
      </c>
      <c r="V1872">
        <f>IF(AND($L1872=1,AND(对接源_02物料!$X672="自备筐",N(对接源_02物料!$V672)&lt;&gt;0)),1,0)</f>
        <v>0</v>
      </c>
      <c r="W1872">
        <f>N(W1871)+$V1872</f>
        <v>11</v>
      </c>
      <c r="X1872">
        <f>IF(AND($L1872=1,AND(对接源_02物料!$X672="自备筐",N(对接源_02物料!$T672)&lt;&gt;0)),1,0)</f>
        <v>0</v>
      </c>
      <c r="Y1872">
        <f>N(Y1871)+$X1872</f>
        <v>0</v>
      </c>
      <c r="Z1872">
        <f>IF(AND($M1872=1,对接源_02物料!$D672="原料入库"),1,0)</f>
        <v>0</v>
      </c>
      <c r="AA1872">
        <f>N(AA1871)+$Z1872</f>
        <v>24</v>
      </c>
      <c r="AB1872">
        <f>IF(AND($M1872=1,LEFT(对接源_02物料!$D672,4)="原料出库"),1,0)</f>
        <v>0</v>
      </c>
      <c r="AC1872">
        <f>N(AC1871)+$AB1872</f>
        <v>0</v>
      </c>
      <c r="AD1872">
        <f>IF(AND($M1872=1,LEFT(对接源_02物料!$D672,4)="成品出库"),1,0)</f>
        <v>0</v>
      </c>
      <c r="AE1872">
        <f>N(AE1871)+$AD1872</f>
        <v>0</v>
      </c>
      <c r="AF1872">
        <f>IF(AND($N1872=1,AND(LEFT(对接源_02物料!$D672,4)="包装物料",N(对接源_02物料!$K672)&lt;&gt;0)),1,0)</f>
        <v>0</v>
      </c>
      <c r="AG1872">
        <f>N(AG1871)+$AF1872</f>
        <v>10</v>
      </c>
      <c r="AH1872">
        <f>IF(AND($N1872=1,AND(对接源_02物料!$D672="周转筐－销售出库",N(对接源_02物料!$K672)&lt;&gt;0)),1,0)</f>
        <v>0</v>
      </c>
      <c r="AI1872">
        <f>N(AI1871)+$AH1872</f>
        <v>0</v>
      </c>
      <c r="AL1872" t="n">
        <v>0</v>
      </c>
      <c r="AM1872">
        <f>N(AM1871)+$AL1872</f>
        <v>2</v>
      </c>
      <c r="AN1872">
        <f>""</f>
      </c>
      <c r="AO1872" t="n">
        <v>0</v>
      </c>
      <c r="AP1872">
        <f>N(AP1871)+$AO1872</f>
        <v>13</v>
      </c>
      <c r="AR1872">
        <f>IF(OR($AF1872=1,$AH1872=1),1,0)</f>
        <v>0</v>
      </c>
      <c r="AS1872">
        <f>N(AS1871)+$AR1872</f>
        <v>10</v>
      </c>
    </row>
    <row r="1873" s="127">
      <c r="A1873">
        <f>IF(对接源_02物料!$C673="","",对接源_02物料!$C673)</f>
      </c>
      <c r="B1873">
        <f>IF(A1873="",0,IF(MATCH(A1873,$A$4:$A$2403,0)=ROW()-3,1,0))</f>
        <v>0</v>
      </c>
      <c r="C1873">
        <f>N(C1872)+B1873</f>
        <v>26</v>
      </c>
      <c r="K1873">
        <f>IF(OR($K$1="",对接源_02物料!$C673="",对接源_02物料!$C673&lt;&gt;$K$1,对接源_02物料!$B673=""),0,IF(OR(N(对接源_02物料!$B673)&lt;$K$2,N(对接源_02物料!$B673)&gt;$K$3),0,1))</f>
        <v>0</v>
      </c>
      <c r="L1873">
        <f>IF(OR($L$1="",对接源_02物料!$C673="",对接源_02物料!$C673&lt;&gt;$L$1,对接源_02物料!$B673=""),0,IF(OR(N(对接源_02物料!$B673)&lt;$L$2,N(对接源_02物料!$B673)&gt;$L$3),0,1))</f>
        <v>0</v>
      </c>
      <c r="M1873">
        <f>IF(OR($M$1="",对接源_02物料!$C673="",对接源_02物料!$C673&lt;&gt;$M$1,对接源_02物料!$B673=""),0,IF(OR(N(对接源_02物料!$B673)&lt;$M$2,N(对接源_02物料!$B673)&gt;$M$3),0,1))</f>
        <v>0</v>
      </c>
      <c r="N1873">
        <f>IF(OR($N$1="",对接源_02物料!$C673="",对接源_02物料!$C673&lt;&gt;$N$1,对接源_02物料!$B673=""),0,IF(OR(N(对接源_02物料!$B673)&lt;$N$2,N(对接源_02物料!$B673)&gt;$N$3),0,1))</f>
        <v>0</v>
      </c>
      <c r="P1873">
        <f>IF(AND($K1873=1,AND(对接源_02物料!$X673="公司筐",N(对接源_02物料!$T673)&lt;&gt;0)),1,0)</f>
        <v>0</v>
      </c>
      <c r="Q1873">
        <f>N(Q1872)+$P1873</f>
        <v>14</v>
      </c>
      <c r="R1873">
        <f>IF(AND($K1873=1,AND(对接源_02物料!$X673="公司筐",N(对接源_02物料!$U673)&lt;&gt;0)),1,0)</f>
        <v>0</v>
      </c>
      <c r="S1873">
        <f>N(S1872)+$R1873</f>
        <v>1</v>
      </c>
      <c r="T1873">
        <f>IF(AND($K1873=1,AND(对接源_02物料!$X673="公司筐",N(对接源_02物料!$V673)&lt;&gt;0)),1,0)</f>
        <v>0</v>
      </c>
      <c r="U1873">
        <f>N(U1872)+$T1873</f>
        <v>47</v>
      </c>
      <c r="V1873">
        <f>IF(AND($L1873=1,AND(对接源_02物料!$X673="自备筐",N(对接源_02物料!$V673)&lt;&gt;0)),1,0)</f>
        <v>0</v>
      </c>
      <c r="W1873">
        <f>N(W1872)+$V1873</f>
        <v>11</v>
      </c>
      <c r="X1873">
        <f>IF(AND($L1873=1,AND(对接源_02物料!$X673="自备筐",N(对接源_02物料!$T673)&lt;&gt;0)),1,0)</f>
        <v>0</v>
      </c>
      <c r="Y1873">
        <f>N(Y1872)+$X1873</f>
        <v>0</v>
      </c>
      <c r="Z1873">
        <f>IF(AND($M1873=1,对接源_02物料!$D673="原料入库"),1,0)</f>
        <v>0</v>
      </c>
      <c r="AA1873">
        <f>N(AA1872)+$Z1873</f>
        <v>24</v>
      </c>
      <c r="AB1873">
        <f>IF(AND($M1873=1,LEFT(对接源_02物料!$D673,4)="原料出库"),1,0)</f>
        <v>0</v>
      </c>
      <c r="AC1873">
        <f>N(AC1872)+$AB1873</f>
        <v>0</v>
      </c>
      <c r="AD1873">
        <f>IF(AND($M1873=1,LEFT(对接源_02物料!$D673,4)="成品出库"),1,0)</f>
        <v>0</v>
      </c>
      <c r="AE1873">
        <f>N(AE1872)+$AD1873</f>
        <v>0</v>
      </c>
      <c r="AF1873">
        <f>IF(AND($N1873=1,AND(LEFT(对接源_02物料!$D673,4)="包装物料",N(对接源_02物料!$K673)&lt;&gt;0)),1,0)</f>
        <v>0</v>
      </c>
      <c r="AG1873">
        <f>N(AG1872)+$AF1873</f>
        <v>10</v>
      </c>
      <c r="AH1873">
        <f>IF(AND($N1873=1,AND(对接源_02物料!$D673="周转筐－销售出库",N(对接源_02物料!$K673)&lt;&gt;0)),1,0)</f>
        <v>0</v>
      </c>
      <c r="AI1873">
        <f>N(AI1872)+$AH1873</f>
        <v>0</v>
      </c>
      <c r="AL1873" t="n">
        <v>0</v>
      </c>
      <c r="AM1873">
        <f>N(AM1872)+$AL1873</f>
        <v>2</v>
      </c>
      <c r="AN1873">
        <f>""</f>
      </c>
      <c r="AO1873" t="n">
        <v>0</v>
      </c>
      <c r="AP1873">
        <f>N(AP1872)+$AO1873</f>
        <v>13</v>
      </c>
      <c r="AR1873">
        <f>IF(OR($AF1873=1,$AH1873=1),1,0)</f>
        <v>0</v>
      </c>
      <c r="AS1873">
        <f>N(AS1872)+$AR1873</f>
        <v>10</v>
      </c>
    </row>
    <row r="1874" s="127">
      <c r="A1874">
        <f>IF(对接源_02物料!$C674="","",对接源_02物料!$C674)</f>
      </c>
      <c r="B1874">
        <f>IF(A1874="",0,IF(MATCH(A1874,$A$4:$A$2403,0)=ROW()-3,1,0))</f>
        <v>0</v>
      </c>
      <c r="C1874">
        <f>N(C1873)+B1874</f>
        <v>26</v>
      </c>
      <c r="K1874">
        <f>IF(OR($K$1="",对接源_02物料!$C674="",对接源_02物料!$C674&lt;&gt;$K$1,对接源_02物料!$B674=""),0,IF(OR(N(对接源_02物料!$B674)&lt;$K$2,N(对接源_02物料!$B674)&gt;$K$3),0,1))</f>
        <v>0</v>
      </c>
      <c r="L1874">
        <f>IF(OR($L$1="",对接源_02物料!$C674="",对接源_02物料!$C674&lt;&gt;$L$1,对接源_02物料!$B674=""),0,IF(OR(N(对接源_02物料!$B674)&lt;$L$2,N(对接源_02物料!$B674)&gt;$L$3),0,1))</f>
        <v>0</v>
      </c>
      <c r="M1874">
        <f>IF(OR($M$1="",对接源_02物料!$C674="",对接源_02物料!$C674&lt;&gt;$M$1,对接源_02物料!$B674=""),0,IF(OR(N(对接源_02物料!$B674)&lt;$M$2,N(对接源_02物料!$B674)&gt;$M$3),0,1))</f>
        <v>0</v>
      </c>
      <c r="N1874">
        <f>IF(OR($N$1="",对接源_02物料!$C674="",对接源_02物料!$C674&lt;&gt;$N$1,对接源_02物料!$B674=""),0,IF(OR(N(对接源_02物料!$B674)&lt;$N$2,N(对接源_02物料!$B674)&gt;$N$3),0,1))</f>
        <v>0</v>
      </c>
      <c r="P1874">
        <f>IF(AND($K1874=1,AND(对接源_02物料!$X674="公司筐",N(对接源_02物料!$T674)&lt;&gt;0)),1,0)</f>
        <v>0</v>
      </c>
      <c r="Q1874">
        <f>N(Q1873)+$P1874</f>
        <v>14</v>
      </c>
      <c r="R1874">
        <f>IF(AND($K1874=1,AND(对接源_02物料!$X674="公司筐",N(对接源_02物料!$U674)&lt;&gt;0)),1,0)</f>
        <v>0</v>
      </c>
      <c r="S1874">
        <f>N(S1873)+$R1874</f>
        <v>1</v>
      </c>
      <c r="T1874">
        <f>IF(AND($K1874=1,AND(对接源_02物料!$X674="公司筐",N(对接源_02物料!$V674)&lt;&gt;0)),1,0)</f>
        <v>0</v>
      </c>
      <c r="U1874">
        <f>N(U1873)+$T1874</f>
        <v>47</v>
      </c>
      <c r="V1874">
        <f>IF(AND($L1874=1,AND(对接源_02物料!$X674="自备筐",N(对接源_02物料!$V674)&lt;&gt;0)),1,0)</f>
        <v>0</v>
      </c>
      <c r="W1874">
        <f>N(W1873)+$V1874</f>
        <v>11</v>
      </c>
      <c r="X1874">
        <f>IF(AND($L1874=1,AND(对接源_02物料!$X674="自备筐",N(对接源_02物料!$T674)&lt;&gt;0)),1,0)</f>
        <v>0</v>
      </c>
      <c r="Y1874">
        <f>N(Y1873)+$X1874</f>
        <v>0</v>
      </c>
      <c r="Z1874">
        <f>IF(AND($M1874=1,对接源_02物料!$D674="原料入库"),1,0)</f>
        <v>0</v>
      </c>
      <c r="AA1874">
        <f>N(AA1873)+$Z1874</f>
        <v>24</v>
      </c>
      <c r="AB1874">
        <f>IF(AND($M1874=1,LEFT(对接源_02物料!$D674,4)="原料出库"),1,0)</f>
        <v>0</v>
      </c>
      <c r="AC1874">
        <f>N(AC1873)+$AB1874</f>
        <v>0</v>
      </c>
      <c r="AD1874">
        <f>IF(AND($M1874=1,LEFT(对接源_02物料!$D674,4)="成品出库"),1,0)</f>
        <v>0</v>
      </c>
      <c r="AE1874">
        <f>N(AE1873)+$AD1874</f>
        <v>0</v>
      </c>
      <c r="AF1874">
        <f>IF(AND($N1874=1,AND(LEFT(对接源_02物料!$D674,4)="包装物料",N(对接源_02物料!$K674)&lt;&gt;0)),1,0)</f>
        <v>0</v>
      </c>
      <c r="AG1874">
        <f>N(AG1873)+$AF1874</f>
        <v>10</v>
      </c>
      <c r="AH1874">
        <f>IF(AND($N1874=1,AND(对接源_02物料!$D674="周转筐－销售出库",N(对接源_02物料!$K674)&lt;&gt;0)),1,0)</f>
        <v>0</v>
      </c>
      <c r="AI1874">
        <f>N(AI1873)+$AH1874</f>
        <v>0</v>
      </c>
      <c r="AL1874" t="n">
        <v>0</v>
      </c>
      <c r="AM1874">
        <f>N(AM1873)+$AL1874</f>
        <v>2</v>
      </c>
      <c r="AN1874">
        <f>""</f>
      </c>
      <c r="AO1874" t="n">
        <v>0</v>
      </c>
      <c r="AP1874">
        <f>N(AP1873)+$AO1874</f>
        <v>13</v>
      </c>
      <c r="AR1874">
        <f>IF(OR($AF1874=1,$AH1874=1),1,0)</f>
        <v>0</v>
      </c>
      <c r="AS1874">
        <f>N(AS1873)+$AR1874</f>
        <v>10</v>
      </c>
    </row>
    <row r="1875" s="127">
      <c r="A1875">
        <f>IF(对接源_02物料!$C675="","",对接源_02物料!$C675)</f>
      </c>
      <c r="B1875">
        <f>IF(A1875="",0,IF(MATCH(A1875,$A$4:$A$2403,0)=ROW()-3,1,0))</f>
        <v>0</v>
      </c>
      <c r="C1875">
        <f>N(C1874)+B1875</f>
        <v>26</v>
      </c>
      <c r="K1875">
        <f>IF(OR($K$1="",对接源_02物料!$C675="",对接源_02物料!$C675&lt;&gt;$K$1,对接源_02物料!$B675=""),0,IF(OR(N(对接源_02物料!$B675)&lt;$K$2,N(对接源_02物料!$B675)&gt;$K$3),0,1))</f>
        <v>0</v>
      </c>
      <c r="L1875">
        <f>IF(OR($L$1="",对接源_02物料!$C675="",对接源_02物料!$C675&lt;&gt;$L$1,对接源_02物料!$B675=""),0,IF(OR(N(对接源_02物料!$B675)&lt;$L$2,N(对接源_02物料!$B675)&gt;$L$3),0,1))</f>
        <v>0</v>
      </c>
      <c r="M1875">
        <f>IF(OR($M$1="",对接源_02物料!$C675="",对接源_02物料!$C675&lt;&gt;$M$1,对接源_02物料!$B675=""),0,IF(OR(N(对接源_02物料!$B675)&lt;$M$2,N(对接源_02物料!$B675)&gt;$M$3),0,1))</f>
        <v>0</v>
      </c>
      <c r="N1875">
        <f>IF(OR($N$1="",对接源_02物料!$C675="",对接源_02物料!$C675&lt;&gt;$N$1,对接源_02物料!$B675=""),0,IF(OR(N(对接源_02物料!$B675)&lt;$N$2,N(对接源_02物料!$B675)&gt;$N$3),0,1))</f>
        <v>0</v>
      </c>
      <c r="P1875">
        <f>IF(AND($K1875=1,AND(对接源_02物料!$X675="公司筐",N(对接源_02物料!$T675)&lt;&gt;0)),1,0)</f>
        <v>0</v>
      </c>
      <c r="Q1875">
        <f>N(Q1874)+$P1875</f>
        <v>14</v>
      </c>
      <c r="R1875">
        <f>IF(AND($K1875=1,AND(对接源_02物料!$X675="公司筐",N(对接源_02物料!$U675)&lt;&gt;0)),1,0)</f>
        <v>0</v>
      </c>
      <c r="S1875">
        <f>N(S1874)+$R1875</f>
        <v>1</v>
      </c>
      <c r="T1875">
        <f>IF(AND($K1875=1,AND(对接源_02物料!$X675="公司筐",N(对接源_02物料!$V675)&lt;&gt;0)),1,0)</f>
        <v>0</v>
      </c>
      <c r="U1875">
        <f>N(U1874)+$T1875</f>
        <v>47</v>
      </c>
      <c r="V1875">
        <f>IF(AND($L1875=1,AND(对接源_02物料!$X675="自备筐",N(对接源_02物料!$V675)&lt;&gt;0)),1,0)</f>
        <v>0</v>
      </c>
      <c r="W1875">
        <f>N(W1874)+$V1875</f>
        <v>11</v>
      </c>
      <c r="X1875">
        <f>IF(AND($L1875=1,AND(对接源_02物料!$X675="自备筐",N(对接源_02物料!$T675)&lt;&gt;0)),1,0)</f>
        <v>0</v>
      </c>
      <c r="Y1875">
        <f>N(Y1874)+$X1875</f>
        <v>0</v>
      </c>
      <c r="Z1875">
        <f>IF(AND($M1875=1,对接源_02物料!$D675="原料入库"),1,0)</f>
        <v>0</v>
      </c>
      <c r="AA1875">
        <f>N(AA1874)+$Z1875</f>
        <v>24</v>
      </c>
      <c r="AB1875">
        <f>IF(AND($M1875=1,LEFT(对接源_02物料!$D675,4)="原料出库"),1,0)</f>
        <v>0</v>
      </c>
      <c r="AC1875">
        <f>N(AC1874)+$AB1875</f>
        <v>0</v>
      </c>
      <c r="AD1875">
        <f>IF(AND($M1875=1,LEFT(对接源_02物料!$D675,4)="成品出库"),1,0)</f>
        <v>0</v>
      </c>
      <c r="AE1875">
        <f>N(AE1874)+$AD1875</f>
        <v>0</v>
      </c>
      <c r="AF1875">
        <f>IF(AND($N1875=1,AND(LEFT(对接源_02物料!$D675,4)="包装物料",N(对接源_02物料!$K675)&lt;&gt;0)),1,0)</f>
        <v>0</v>
      </c>
      <c r="AG1875">
        <f>N(AG1874)+$AF1875</f>
        <v>10</v>
      </c>
      <c r="AH1875">
        <f>IF(AND($N1875=1,AND(对接源_02物料!$D675="周转筐－销售出库",N(对接源_02物料!$K675)&lt;&gt;0)),1,0)</f>
        <v>0</v>
      </c>
      <c r="AI1875">
        <f>N(AI1874)+$AH1875</f>
        <v>0</v>
      </c>
      <c r="AL1875" t="n">
        <v>0</v>
      </c>
      <c r="AM1875">
        <f>N(AM1874)+$AL1875</f>
        <v>2</v>
      </c>
      <c r="AN1875">
        <f>""</f>
      </c>
      <c r="AO1875" t="n">
        <v>0</v>
      </c>
      <c r="AP1875">
        <f>N(AP1874)+$AO1875</f>
        <v>13</v>
      </c>
      <c r="AR1875">
        <f>IF(OR($AF1875=1,$AH1875=1),1,0)</f>
        <v>0</v>
      </c>
      <c r="AS1875">
        <f>N(AS1874)+$AR1875</f>
        <v>10</v>
      </c>
    </row>
    <row r="1876" s="127">
      <c r="A1876">
        <f>IF(对接源_02物料!$C676="","",对接源_02物料!$C676)</f>
      </c>
      <c r="B1876">
        <f>IF(A1876="",0,IF(MATCH(A1876,$A$4:$A$2403,0)=ROW()-3,1,0))</f>
        <v>0</v>
      </c>
      <c r="C1876">
        <f>N(C1875)+B1876</f>
        <v>26</v>
      </c>
      <c r="K1876">
        <f>IF(OR($K$1="",对接源_02物料!$C676="",对接源_02物料!$C676&lt;&gt;$K$1,对接源_02物料!$B676=""),0,IF(OR(N(对接源_02物料!$B676)&lt;$K$2,N(对接源_02物料!$B676)&gt;$K$3),0,1))</f>
        <v>0</v>
      </c>
      <c r="L1876">
        <f>IF(OR($L$1="",对接源_02物料!$C676="",对接源_02物料!$C676&lt;&gt;$L$1,对接源_02物料!$B676=""),0,IF(OR(N(对接源_02物料!$B676)&lt;$L$2,N(对接源_02物料!$B676)&gt;$L$3),0,1))</f>
        <v>0</v>
      </c>
      <c r="M1876">
        <f>IF(OR($M$1="",对接源_02物料!$C676="",对接源_02物料!$C676&lt;&gt;$M$1,对接源_02物料!$B676=""),0,IF(OR(N(对接源_02物料!$B676)&lt;$M$2,N(对接源_02物料!$B676)&gt;$M$3),0,1))</f>
        <v>0</v>
      </c>
      <c r="N1876">
        <f>IF(OR($N$1="",对接源_02物料!$C676="",对接源_02物料!$C676&lt;&gt;$N$1,对接源_02物料!$B676=""),0,IF(OR(N(对接源_02物料!$B676)&lt;$N$2,N(对接源_02物料!$B676)&gt;$N$3),0,1))</f>
        <v>0</v>
      </c>
      <c r="P1876">
        <f>IF(AND($K1876=1,AND(对接源_02物料!$X676="公司筐",N(对接源_02物料!$T676)&lt;&gt;0)),1,0)</f>
        <v>0</v>
      </c>
      <c r="Q1876">
        <f>N(Q1875)+$P1876</f>
        <v>14</v>
      </c>
      <c r="R1876">
        <f>IF(AND($K1876=1,AND(对接源_02物料!$X676="公司筐",N(对接源_02物料!$U676)&lt;&gt;0)),1,0)</f>
        <v>0</v>
      </c>
      <c r="S1876">
        <f>N(S1875)+$R1876</f>
        <v>1</v>
      </c>
      <c r="T1876">
        <f>IF(AND($K1876=1,AND(对接源_02物料!$X676="公司筐",N(对接源_02物料!$V676)&lt;&gt;0)),1,0)</f>
        <v>0</v>
      </c>
      <c r="U1876">
        <f>N(U1875)+$T1876</f>
        <v>47</v>
      </c>
      <c r="V1876">
        <f>IF(AND($L1876=1,AND(对接源_02物料!$X676="自备筐",N(对接源_02物料!$V676)&lt;&gt;0)),1,0)</f>
        <v>0</v>
      </c>
      <c r="W1876">
        <f>N(W1875)+$V1876</f>
        <v>11</v>
      </c>
      <c r="X1876">
        <f>IF(AND($L1876=1,AND(对接源_02物料!$X676="自备筐",N(对接源_02物料!$T676)&lt;&gt;0)),1,0)</f>
        <v>0</v>
      </c>
      <c r="Y1876">
        <f>N(Y1875)+$X1876</f>
        <v>0</v>
      </c>
      <c r="Z1876">
        <f>IF(AND($M1876=1,对接源_02物料!$D676="原料入库"),1,0)</f>
        <v>0</v>
      </c>
      <c r="AA1876">
        <f>N(AA1875)+$Z1876</f>
        <v>24</v>
      </c>
      <c r="AB1876">
        <f>IF(AND($M1876=1,LEFT(对接源_02物料!$D676,4)="原料出库"),1,0)</f>
        <v>0</v>
      </c>
      <c r="AC1876">
        <f>N(AC1875)+$AB1876</f>
        <v>0</v>
      </c>
      <c r="AD1876">
        <f>IF(AND($M1876=1,LEFT(对接源_02物料!$D676,4)="成品出库"),1,0)</f>
        <v>0</v>
      </c>
      <c r="AE1876">
        <f>N(AE1875)+$AD1876</f>
        <v>0</v>
      </c>
      <c r="AF1876">
        <f>IF(AND($N1876=1,AND(LEFT(对接源_02物料!$D676,4)="包装物料",N(对接源_02物料!$K676)&lt;&gt;0)),1,0)</f>
        <v>0</v>
      </c>
      <c r="AG1876">
        <f>N(AG1875)+$AF1876</f>
        <v>10</v>
      </c>
      <c r="AH1876">
        <f>IF(AND($N1876=1,AND(对接源_02物料!$D676="周转筐－销售出库",N(对接源_02物料!$K676)&lt;&gt;0)),1,0)</f>
        <v>0</v>
      </c>
      <c r="AI1876">
        <f>N(AI1875)+$AH1876</f>
        <v>0</v>
      </c>
      <c r="AL1876" t="n">
        <v>0</v>
      </c>
      <c r="AM1876">
        <f>N(AM1875)+$AL1876</f>
        <v>2</v>
      </c>
      <c r="AN1876">
        <f>""</f>
      </c>
      <c r="AO1876" t="n">
        <v>0</v>
      </c>
      <c r="AP1876">
        <f>N(AP1875)+$AO1876</f>
        <v>13</v>
      </c>
      <c r="AR1876">
        <f>IF(OR($AF1876=1,$AH1876=1),1,0)</f>
        <v>0</v>
      </c>
      <c r="AS1876">
        <f>N(AS1875)+$AR1876</f>
        <v>10</v>
      </c>
    </row>
    <row r="1877" s="127">
      <c r="A1877">
        <f>IF(对接源_02物料!$C677="","",对接源_02物料!$C677)</f>
      </c>
      <c r="B1877">
        <f>IF(A1877="",0,IF(MATCH(A1877,$A$4:$A$2403,0)=ROW()-3,1,0))</f>
        <v>0</v>
      </c>
      <c r="C1877">
        <f>N(C1876)+B1877</f>
        <v>26</v>
      </c>
      <c r="K1877">
        <f>IF(OR($K$1="",对接源_02物料!$C677="",对接源_02物料!$C677&lt;&gt;$K$1,对接源_02物料!$B677=""),0,IF(OR(N(对接源_02物料!$B677)&lt;$K$2,N(对接源_02物料!$B677)&gt;$K$3),0,1))</f>
        <v>0</v>
      </c>
      <c r="L1877">
        <f>IF(OR($L$1="",对接源_02物料!$C677="",对接源_02物料!$C677&lt;&gt;$L$1,对接源_02物料!$B677=""),0,IF(OR(N(对接源_02物料!$B677)&lt;$L$2,N(对接源_02物料!$B677)&gt;$L$3),0,1))</f>
        <v>0</v>
      </c>
      <c r="M1877">
        <f>IF(OR($M$1="",对接源_02物料!$C677="",对接源_02物料!$C677&lt;&gt;$M$1,对接源_02物料!$B677=""),0,IF(OR(N(对接源_02物料!$B677)&lt;$M$2,N(对接源_02物料!$B677)&gt;$M$3),0,1))</f>
        <v>0</v>
      </c>
      <c r="N1877">
        <f>IF(OR($N$1="",对接源_02物料!$C677="",对接源_02物料!$C677&lt;&gt;$N$1,对接源_02物料!$B677=""),0,IF(OR(N(对接源_02物料!$B677)&lt;$N$2,N(对接源_02物料!$B677)&gt;$N$3),0,1))</f>
        <v>0</v>
      </c>
      <c r="P1877">
        <f>IF(AND($K1877=1,AND(对接源_02物料!$X677="公司筐",N(对接源_02物料!$T677)&lt;&gt;0)),1,0)</f>
        <v>0</v>
      </c>
      <c r="Q1877">
        <f>N(Q1876)+$P1877</f>
        <v>14</v>
      </c>
      <c r="R1877">
        <f>IF(AND($K1877=1,AND(对接源_02物料!$X677="公司筐",N(对接源_02物料!$U677)&lt;&gt;0)),1,0)</f>
        <v>0</v>
      </c>
      <c r="S1877">
        <f>N(S1876)+$R1877</f>
        <v>1</v>
      </c>
      <c r="T1877">
        <f>IF(AND($K1877=1,AND(对接源_02物料!$X677="公司筐",N(对接源_02物料!$V677)&lt;&gt;0)),1,0)</f>
        <v>0</v>
      </c>
      <c r="U1877">
        <f>N(U1876)+$T1877</f>
        <v>47</v>
      </c>
      <c r="V1877">
        <f>IF(AND($L1877=1,AND(对接源_02物料!$X677="自备筐",N(对接源_02物料!$V677)&lt;&gt;0)),1,0)</f>
        <v>0</v>
      </c>
      <c r="W1877">
        <f>N(W1876)+$V1877</f>
        <v>11</v>
      </c>
      <c r="X1877">
        <f>IF(AND($L1877=1,AND(对接源_02物料!$X677="自备筐",N(对接源_02物料!$T677)&lt;&gt;0)),1,0)</f>
        <v>0</v>
      </c>
      <c r="Y1877">
        <f>N(Y1876)+$X1877</f>
        <v>0</v>
      </c>
      <c r="Z1877">
        <f>IF(AND($M1877=1,对接源_02物料!$D677="原料入库"),1,0)</f>
        <v>0</v>
      </c>
      <c r="AA1877">
        <f>N(AA1876)+$Z1877</f>
        <v>24</v>
      </c>
      <c r="AB1877">
        <f>IF(AND($M1877=1,LEFT(对接源_02物料!$D677,4)="原料出库"),1,0)</f>
        <v>0</v>
      </c>
      <c r="AC1877">
        <f>N(AC1876)+$AB1877</f>
        <v>0</v>
      </c>
      <c r="AD1877">
        <f>IF(AND($M1877=1,LEFT(对接源_02物料!$D677,4)="成品出库"),1,0)</f>
        <v>0</v>
      </c>
      <c r="AE1877">
        <f>N(AE1876)+$AD1877</f>
        <v>0</v>
      </c>
      <c r="AF1877">
        <f>IF(AND($N1877=1,AND(LEFT(对接源_02物料!$D677,4)="包装物料",N(对接源_02物料!$K677)&lt;&gt;0)),1,0)</f>
        <v>0</v>
      </c>
      <c r="AG1877">
        <f>N(AG1876)+$AF1877</f>
        <v>10</v>
      </c>
      <c r="AH1877">
        <f>IF(AND($N1877=1,AND(对接源_02物料!$D677="周转筐－销售出库",N(对接源_02物料!$K677)&lt;&gt;0)),1,0)</f>
        <v>0</v>
      </c>
      <c r="AI1877">
        <f>N(AI1876)+$AH1877</f>
        <v>0</v>
      </c>
      <c r="AL1877" t="n">
        <v>0</v>
      </c>
      <c r="AM1877">
        <f>N(AM1876)+$AL1877</f>
        <v>2</v>
      </c>
      <c r="AN1877">
        <f>""</f>
      </c>
      <c r="AO1877" t="n">
        <v>0</v>
      </c>
      <c r="AP1877">
        <f>N(AP1876)+$AO1877</f>
        <v>13</v>
      </c>
      <c r="AR1877">
        <f>IF(OR($AF1877=1,$AH1877=1),1,0)</f>
        <v>0</v>
      </c>
      <c r="AS1877">
        <f>N(AS1876)+$AR1877</f>
        <v>10</v>
      </c>
    </row>
    <row r="1878" s="127">
      <c r="A1878">
        <f>IF(对接源_02物料!$C678="","",对接源_02物料!$C678)</f>
      </c>
      <c r="B1878">
        <f>IF(A1878="",0,IF(MATCH(A1878,$A$4:$A$2403,0)=ROW()-3,1,0))</f>
        <v>0</v>
      </c>
      <c r="C1878">
        <f>N(C1877)+B1878</f>
        <v>26</v>
      </c>
      <c r="K1878">
        <f>IF(OR($K$1="",对接源_02物料!$C678="",对接源_02物料!$C678&lt;&gt;$K$1,对接源_02物料!$B678=""),0,IF(OR(N(对接源_02物料!$B678)&lt;$K$2,N(对接源_02物料!$B678)&gt;$K$3),0,1))</f>
        <v>0</v>
      </c>
      <c r="L1878">
        <f>IF(OR($L$1="",对接源_02物料!$C678="",对接源_02物料!$C678&lt;&gt;$L$1,对接源_02物料!$B678=""),0,IF(OR(N(对接源_02物料!$B678)&lt;$L$2,N(对接源_02物料!$B678)&gt;$L$3),0,1))</f>
        <v>0</v>
      </c>
      <c r="M1878">
        <f>IF(OR($M$1="",对接源_02物料!$C678="",对接源_02物料!$C678&lt;&gt;$M$1,对接源_02物料!$B678=""),0,IF(OR(N(对接源_02物料!$B678)&lt;$M$2,N(对接源_02物料!$B678)&gt;$M$3),0,1))</f>
        <v>0</v>
      </c>
      <c r="N1878">
        <f>IF(OR($N$1="",对接源_02物料!$C678="",对接源_02物料!$C678&lt;&gt;$N$1,对接源_02物料!$B678=""),0,IF(OR(N(对接源_02物料!$B678)&lt;$N$2,N(对接源_02物料!$B678)&gt;$N$3),0,1))</f>
        <v>0</v>
      </c>
      <c r="P1878">
        <f>IF(AND($K1878=1,AND(对接源_02物料!$X678="公司筐",N(对接源_02物料!$T678)&lt;&gt;0)),1,0)</f>
        <v>0</v>
      </c>
      <c r="Q1878">
        <f>N(Q1877)+$P1878</f>
        <v>14</v>
      </c>
      <c r="R1878">
        <f>IF(AND($K1878=1,AND(对接源_02物料!$X678="公司筐",N(对接源_02物料!$U678)&lt;&gt;0)),1,0)</f>
        <v>0</v>
      </c>
      <c r="S1878">
        <f>N(S1877)+$R1878</f>
        <v>1</v>
      </c>
      <c r="T1878">
        <f>IF(AND($K1878=1,AND(对接源_02物料!$X678="公司筐",N(对接源_02物料!$V678)&lt;&gt;0)),1,0)</f>
        <v>0</v>
      </c>
      <c r="U1878">
        <f>N(U1877)+$T1878</f>
        <v>47</v>
      </c>
      <c r="V1878">
        <f>IF(AND($L1878=1,AND(对接源_02物料!$X678="自备筐",N(对接源_02物料!$V678)&lt;&gt;0)),1,0)</f>
        <v>0</v>
      </c>
      <c r="W1878">
        <f>N(W1877)+$V1878</f>
        <v>11</v>
      </c>
      <c r="X1878">
        <f>IF(AND($L1878=1,AND(对接源_02物料!$X678="自备筐",N(对接源_02物料!$T678)&lt;&gt;0)),1,0)</f>
        <v>0</v>
      </c>
      <c r="Y1878">
        <f>N(Y1877)+$X1878</f>
        <v>0</v>
      </c>
      <c r="Z1878">
        <f>IF(AND($M1878=1,对接源_02物料!$D678="原料入库"),1,0)</f>
        <v>0</v>
      </c>
      <c r="AA1878">
        <f>N(AA1877)+$Z1878</f>
        <v>24</v>
      </c>
      <c r="AB1878">
        <f>IF(AND($M1878=1,LEFT(对接源_02物料!$D678,4)="原料出库"),1,0)</f>
        <v>0</v>
      </c>
      <c r="AC1878">
        <f>N(AC1877)+$AB1878</f>
        <v>0</v>
      </c>
      <c r="AD1878">
        <f>IF(AND($M1878=1,LEFT(对接源_02物料!$D678,4)="成品出库"),1,0)</f>
        <v>0</v>
      </c>
      <c r="AE1878">
        <f>N(AE1877)+$AD1878</f>
        <v>0</v>
      </c>
      <c r="AF1878">
        <f>IF(AND($N1878=1,AND(LEFT(对接源_02物料!$D678,4)="包装物料",N(对接源_02物料!$K678)&lt;&gt;0)),1,0)</f>
        <v>0</v>
      </c>
      <c r="AG1878">
        <f>N(AG1877)+$AF1878</f>
        <v>10</v>
      </c>
      <c r="AH1878">
        <f>IF(AND($N1878=1,AND(对接源_02物料!$D678="周转筐－销售出库",N(对接源_02物料!$K678)&lt;&gt;0)),1,0)</f>
        <v>0</v>
      </c>
      <c r="AI1878">
        <f>N(AI1877)+$AH1878</f>
        <v>0</v>
      </c>
      <c r="AL1878" t="n">
        <v>0</v>
      </c>
      <c r="AM1878">
        <f>N(AM1877)+$AL1878</f>
        <v>2</v>
      </c>
      <c r="AN1878">
        <f>""</f>
      </c>
      <c r="AO1878" t="n">
        <v>0</v>
      </c>
      <c r="AP1878">
        <f>N(AP1877)+$AO1878</f>
        <v>13</v>
      </c>
      <c r="AR1878">
        <f>IF(OR($AF1878=1,$AH1878=1),1,0)</f>
        <v>0</v>
      </c>
      <c r="AS1878">
        <f>N(AS1877)+$AR1878</f>
        <v>10</v>
      </c>
    </row>
    <row r="1879" s="127">
      <c r="A1879">
        <f>IF(对接源_02物料!$C679="","",对接源_02物料!$C679)</f>
      </c>
      <c r="B1879">
        <f>IF(A1879="",0,IF(MATCH(A1879,$A$4:$A$2403,0)=ROW()-3,1,0))</f>
        <v>0</v>
      </c>
      <c r="C1879">
        <f>N(C1878)+B1879</f>
        <v>26</v>
      </c>
      <c r="K1879">
        <f>IF(OR($K$1="",对接源_02物料!$C679="",对接源_02物料!$C679&lt;&gt;$K$1,对接源_02物料!$B679=""),0,IF(OR(N(对接源_02物料!$B679)&lt;$K$2,N(对接源_02物料!$B679)&gt;$K$3),0,1))</f>
        <v>0</v>
      </c>
      <c r="L1879">
        <f>IF(OR($L$1="",对接源_02物料!$C679="",对接源_02物料!$C679&lt;&gt;$L$1,对接源_02物料!$B679=""),0,IF(OR(N(对接源_02物料!$B679)&lt;$L$2,N(对接源_02物料!$B679)&gt;$L$3),0,1))</f>
        <v>0</v>
      </c>
      <c r="M1879">
        <f>IF(OR($M$1="",对接源_02物料!$C679="",对接源_02物料!$C679&lt;&gt;$M$1,对接源_02物料!$B679=""),0,IF(OR(N(对接源_02物料!$B679)&lt;$M$2,N(对接源_02物料!$B679)&gt;$M$3),0,1))</f>
        <v>0</v>
      </c>
      <c r="N1879">
        <f>IF(OR($N$1="",对接源_02物料!$C679="",对接源_02物料!$C679&lt;&gt;$N$1,对接源_02物料!$B679=""),0,IF(OR(N(对接源_02物料!$B679)&lt;$N$2,N(对接源_02物料!$B679)&gt;$N$3),0,1))</f>
        <v>0</v>
      </c>
      <c r="P1879">
        <f>IF(AND($K1879=1,AND(对接源_02物料!$X679="公司筐",N(对接源_02物料!$T679)&lt;&gt;0)),1,0)</f>
        <v>0</v>
      </c>
      <c r="Q1879">
        <f>N(Q1878)+$P1879</f>
        <v>14</v>
      </c>
      <c r="R1879">
        <f>IF(AND($K1879=1,AND(对接源_02物料!$X679="公司筐",N(对接源_02物料!$U679)&lt;&gt;0)),1,0)</f>
        <v>0</v>
      </c>
      <c r="S1879">
        <f>N(S1878)+$R1879</f>
        <v>1</v>
      </c>
      <c r="T1879">
        <f>IF(AND($K1879=1,AND(对接源_02物料!$X679="公司筐",N(对接源_02物料!$V679)&lt;&gt;0)),1,0)</f>
        <v>0</v>
      </c>
      <c r="U1879">
        <f>N(U1878)+$T1879</f>
        <v>47</v>
      </c>
      <c r="V1879">
        <f>IF(AND($L1879=1,AND(对接源_02物料!$X679="自备筐",N(对接源_02物料!$V679)&lt;&gt;0)),1,0)</f>
        <v>0</v>
      </c>
      <c r="W1879">
        <f>N(W1878)+$V1879</f>
        <v>11</v>
      </c>
      <c r="X1879">
        <f>IF(AND($L1879=1,AND(对接源_02物料!$X679="自备筐",N(对接源_02物料!$T679)&lt;&gt;0)),1,0)</f>
        <v>0</v>
      </c>
      <c r="Y1879">
        <f>N(Y1878)+$X1879</f>
        <v>0</v>
      </c>
      <c r="Z1879">
        <f>IF(AND($M1879=1,对接源_02物料!$D679="原料入库"),1,0)</f>
        <v>0</v>
      </c>
      <c r="AA1879">
        <f>N(AA1878)+$Z1879</f>
        <v>24</v>
      </c>
      <c r="AB1879">
        <f>IF(AND($M1879=1,LEFT(对接源_02物料!$D679,4)="原料出库"),1,0)</f>
        <v>0</v>
      </c>
      <c r="AC1879">
        <f>N(AC1878)+$AB1879</f>
        <v>0</v>
      </c>
      <c r="AD1879">
        <f>IF(AND($M1879=1,LEFT(对接源_02物料!$D679,4)="成品出库"),1,0)</f>
        <v>0</v>
      </c>
      <c r="AE1879">
        <f>N(AE1878)+$AD1879</f>
        <v>0</v>
      </c>
      <c r="AF1879">
        <f>IF(AND($N1879=1,AND(LEFT(对接源_02物料!$D679,4)="包装物料",N(对接源_02物料!$K679)&lt;&gt;0)),1,0)</f>
        <v>0</v>
      </c>
      <c r="AG1879">
        <f>N(AG1878)+$AF1879</f>
        <v>10</v>
      </c>
      <c r="AH1879">
        <f>IF(AND($N1879=1,AND(对接源_02物料!$D679="周转筐－销售出库",N(对接源_02物料!$K679)&lt;&gt;0)),1,0)</f>
        <v>0</v>
      </c>
      <c r="AI1879">
        <f>N(AI1878)+$AH1879</f>
        <v>0</v>
      </c>
      <c r="AL1879" t="n">
        <v>0</v>
      </c>
      <c r="AM1879">
        <f>N(AM1878)+$AL1879</f>
        <v>2</v>
      </c>
      <c r="AN1879">
        <f>""</f>
      </c>
      <c r="AO1879" t="n">
        <v>0</v>
      </c>
      <c r="AP1879">
        <f>N(AP1878)+$AO1879</f>
        <v>13</v>
      </c>
      <c r="AR1879">
        <f>IF(OR($AF1879=1,$AH1879=1),1,0)</f>
        <v>0</v>
      </c>
      <c r="AS1879">
        <f>N(AS1878)+$AR1879</f>
        <v>10</v>
      </c>
    </row>
    <row r="1880" s="127">
      <c r="A1880">
        <f>IF(对接源_02物料!$C680="","",对接源_02物料!$C680)</f>
      </c>
      <c r="B1880">
        <f>IF(A1880="",0,IF(MATCH(A1880,$A$4:$A$2403,0)=ROW()-3,1,0))</f>
        <v>0</v>
      </c>
      <c r="C1880">
        <f>N(C1879)+B1880</f>
        <v>26</v>
      </c>
      <c r="K1880">
        <f>IF(OR($K$1="",对接源_02物料!$C680="",对接源_02物料!$C680&lt;&gt;$K$1,对接源_02物料!$B680=""),0,IF(OR(N(对接源_02物料!$B680)&lt;$K$2,N(对接源_02物料!$B680)&gt;$K$3),0,1))</f>
        <v>0</v>
      </c>
      <c r="L1880">
        <f>IF(OR($L$1="",对接源_02物料!$C680="",对接源_02物料!$C680&lt;&gt;$L$1,对接源_02物料!$B680=""),0,IF(OR(N(对接源_02物料!$B680)&lt;$L$2,N(对接源_02物料!$B680)&gt;$L$3),0,1))</f>
        <v>0</v>
      </c>
      <c r="M1880">
        <f>IF(OR($M$1="",对接源_02物料!$C680="",对接源_02物料!$C680&lt;&gt;$M$1,对接源_02物料!$B680=""),0,IF(OR(N(对接源_02物料!$B680)&lt;$M$2,N(对接源_02物料!$B680)&gt;$M$3),0,1))</f>
        <v>0</v>
      </c>
      <c r="N1880">
        <f>IF(OR($N$1="",对接源_02物料!$C680="",对接源_02物料!$C680&lt;&gt;$N$1,对接源_02物料!$B680=""),0,IF(OR(N(对接源_02物料!$B680)&lt;$N$2,N(对接源_02物料!$B680)&gt;$N$3),0,1))</f>
        <v>0</v>
      </c>
      <c r="P1880">
        <f>IF(AND($K1880=1,AND(对接源_02物料!$X680="公司筐",N(对接源_02物料!$T680)&lt;&gt;0)),1,0)</f>
        <v>0</v>
      </c>
      <c r="Q1880">
        <f>N(Q1879)+$P1880</f>
        <v>14</v>
      </c>
      <c r="R1880">
        <f>IF(AND($K1880=1,AND(对接源_02物料!$X680="公司筐",N(对接源_02物料!$U680)&lt;&gt;0)),1,0)</f>
        <v>0</v>
      </c>
      <c r="S1880">
        <f>N(S1879)+$R1880</f>
        <v>1</v>
      </c>
      <c r="T1880">
        <f>IF(AND($K1880=1,AND(对接源_02物料!$X680="公司筐",N(对接源_02物料!$V680)&lt;&gt;0)),1,0)</f>
        <v>0</v>
      </c>
      <c r="U1880">
        <f>N(U1879)+$T1880</f>
        <v>47</v>
      </c>
      <c r="V1880">
        <f>IF(AND($L1880=1,AND(对接源_02物料!$X680="自备筐",N(对接源_02物料!$V680)&lt;&gt;0)),1,0)</f>
        <v>0</v>
      </c>
      <c r="W1880">
        <f>N(W1879)+$V1880</f>
        <v>11</v>
      </c>
      <c r="X1880">
        <f>IF(AND($L1880=1,AND(对接源_02物料!$X680="自备筐",N(对接源_02物料!$T680)&lt;&gt;0)),1,0)</f>
        <v>0</v>
      </c>
      <c r="Y1880">
        <f>N(Y1879)+$X1880</f>
        <v>0</v>
      </c>
      <c r="Z1880">
        <f>IF(AND($M1880=1,对接源_02物料!$D680="原料入库"),1,0)</f>
        <v>0</v>
      </c>
      <c r="AA1880">
        <f>N(AA1879)+$Z1880</f>
        <v>24</v>
      </c>
      <c r="AB1880">
        <f>IF(AND($M1880=1,LEFT(对接源_02物料!$D680,4)="原料出库"),1,0)</f>
        <v>0</v>
      </c>
      <c r="AC1880">
        <f>N(AC1879)+$AB1880</f>
        <v>0</v>
      </c>
      <c r="AD1880">
        <f>IF(AND($M1880=1,LEFT(对接源_02物料!$D680,4)="成品出库"),1,0)</f>
        <v>0</v>
      </c>
      <c r="AE1880">
        <f>N(AE1879)+$AD1880</f>
        <v>0</v>
      </c>
      <c r="AF1880">
        <f>IF(AND($N1880=1,AND(LEFT(对接源_02物料!$D680,4)="包装物料",N(对接源_02物料!$K680)&lt;&gt;0)),1,0)</f>
        <v>0</v>
      </c>
      <c r="AG1880">
        <f>N(AG1879)+$AF1880</f>
        <v>10</v>
      </c>
      <c r="AH1880">
        <f>IF(AND($N1880=1,AND(对接源_02物料!$D680="周转筐－销售出库",N(对接源_02物料!$K680)&lt;&gt;0)),1,0)</f>
        <v>0</v>
      </c>
      <c r="AI1880">
        <f>N(AI1879)+$AH1880</f>
        <v>0</v>
      </c>
      <c r="AL1880" t="n">
        <v>0</v>
      </c>
      <c r="AM1880">
        <f>N(AM1879)+$AL1880</f>
        <v>2</v>
      </c>
      <c r="AN1880">
        <f>""</f>
      </c>
      <c r="AO1880" t="n">
        <v>0</v>
      </c>
      <c r="AP1880">
        <f>N(AP1879)+$AO1880</f>
        <v>13</v>
      </c>
      <c r="AR1880">
        <f>IF(OR($AF1880=1,$AH1880=1),1,0)</f>
        <v>0</v>
      </c>
      <c r="AS1880">
        <f>N(AS1879)+$AR1880</f>
        <v>10</v>
      </c>
    </row>
    <row r="1881" s="127">
      <c r="A1881">
        <f>IF(对接源_02物料!$C681="","",对接源_02物料!$C681)</f>
      </c>
      <c r="B1881">
        <f>IF(A1881="",0,IF(MATCH(A1881,$A$4:$A$2403,0)=ROW()-3,1,0))</f>
        <v>0</v>
      </c>
      <c r="C1881">
        <f>N(C1880)+B1881</f>
        <v>26</v>
      </c>
      <c r="K1881">
        <f>IF(OR($K$1="",对接源_02物料!$C681="",对接源_02物料!$C681&lt;&gt;$K$1,对接源_02物料!$B681=""),0,IF(OR(N(对接源_02物料!$B681)&lt;$K$2,N(对接源_02物料!$B681)&gt;$K$3),0,1))</f>
        <v>0</v>
      </c>
      <c r="L1881">
        <f>IF(OR($L$1="",对接源_02物料!$C681="",对接源_02物料!$C681&lt;&gt;$L$1,对接源_02物料!$B681=""),0,IF(OR(N(对接源_02物料!$B681)&lt;$L$2,N(对接源_02物料!$B681)&gt;$L$3),0,1))</f>
        <v>0</v>
      </c>
      <c r="M1881">
        <f>IF(OR($M$1="",对接源_02物料!$C681="",对接源_02物料!$C681&lt;&gt;$M$1,对接源_02物料!$B681=""),0,IF(OR(N(对接源_02物料!$B681)&lt;$M$2,N(对接源_02物料!$B681)&gt;$M$3),0,1))</f>
        <v>0</v>
      </c>
      <c r="N1881">
        <f>IF(OR($N$1="",对接源_02物料!$C681="",对接源_02物料!$C681&lt;&gt;$N$1,对接源_02物料!$B681=""),0,IF(OR(N(对接源_02物料!$B681)&lt;$N$2,N(对接源_02物料!$B681)&gt;$N$3),0,1))</f>
        <v>0</v>
      </c>
      <c r="P1881">
        <f>IF(AND($K1881=1,AND(对接源_02物料!$X681="公司筐",N(对接源_02物料!$T681)&lt;&gt;0)),1,0)</f>
        <v>0</v>
      </c>
      <c r="Q1881">
        <f>N(Q1880)+$P1881</f>
        <v>14</v>
      </c>
      <c r="R1881">
        <f>IF(AND($K1881=1,AND(对接源_02物料!$X681="公司筐",N(对接源_02物料!$U681)&lt;&gt;0)),1,0)</f>
        <v>0</v>
      </c>
      <c r="S1881">
        <f>N(S1880)+$R1881</f>
        <v>1</v>
      </c>
      <c r="T1881">
        <f>IF(AND($K1881=1,AND(对接源_02物料!$X681="公司筐",N(对接源_02物料!$V681)&lt;&gt;0)),1,0)</f>
        <v>0</v>
      </c>
      <c r="U1881">
        <f>N(U1880)+$T1881</f>
        <v>47</v>
      </c>
      <c r="V1881">
        <f>IF(AND($L1881=1,AND(对接源_02物料!$X681="自备筐",N(对接源_02物料!$V681)&lt;&gt;0)),1,0)</f>
        <v>0</v>
      </c>
      <c r="W1881">
        <f>N(W1880)+$V1881</f>
        <v>11</v>
      </c>
      <c r="X1881">
        <f>IF(AND($L1881=1,AND(对接源_02物料!$X681="自备筐",N(对接源_02物料!$T681)&lt;&gt;0)),1,0)</f>
        <v>0</v>
      </c>
      <c r="Y1881">
        <f>N(Y1880)+$X1881</f>
        <v>0</v>
      </c>
      <c r="Z1881">
        <f>IF(AND($M1881=1,对接源_02物料!$D681="原料入库"),1,0)</f>
        <v>0</v>
      </c>
      <c r="AA1881">
        <f>N(AA1880)+$Z1881</f>
        <v>24</v>
      </c>
      <c r="AB1881">
        <f>IF(AND($M1881=1,LEFT(对接源_02物料!$D681,4)="原料出库"),1,0)</f>
        <v>0</v>
      </c>
      <c r="AC1881">
        <f>N(AC1880)+$AB1881</f>
        <v>0</v>
      </c>
      <c r="AD1881">
        <f>IF(AND($M1881=1,LEFT(对接源_02物料!$D681,4)="成品出库"),1,0)</f>
        <v>0</v>
      </c>
      <c r="AE1881">
        <f>N(AE1880)+$AD1881</f>
        <v>0</v>
      </c>
      <c r="AF1881">
        <f>IF(AND($N1881=1,AND(LEFT(对接源_02物料!$D681,4)="包装物料",N(对接源_02物料!$K681)&lt;&gt;0)),1,0)</f>
        <v>0</v>
      </c>
      <c r="AG1881">
        <f>N(AG1880)+$AF1881</f>
        <v>10</v>
      </c>
      <c r="AH1881">
        <f>IF(AND($N1881=1,AND(对接源_02物料!$D681="周转筐－销售出库",N(对接源_02物料!$K681)&lt;&gt;0)),1,0)</f>
        <v>0</v>
      </c>
      <c r="AI1881">
        <f>N(AI1880)+$AH1881</f>
        <v>0</v>
      </c>
      <c r="AL1881" t="n">
        <v>0</v>
      </c>
      <c r="AM1881">
        <f>N(AM1880)+$AL1881</f>
        <v>2</v>
      </c>
      <c r="AN1881">
        <f>""</f>
      </c>
      <c r="AO1881" t="n">
        <v>0</v>
      </c>
      <c r="AP1881">
        <f>N(AP1880)+$AO1881</f>
        <v>13</v>
      </c>
      <c r="AR1881">
        <f>IF(OR($AF1881=1,$AH1881=1),1,0)</f>
        <v>0</v>
      </c>
      <c r="AS1881">
        <f>N(AS1880)+$AR1881</f>
        <v>10</v>
      </c>
    </row>
    <row r="1882" s="127">
      <c r="A1882">
        <f>IF(对接源_02物料!$C682="","",对接源_02物料!$C682)</f>
      </c>
      <c r="B1882">
        <f>IF(A1882="",0,IF(MATCH(A1882,$A$4:$A$2403,0)=ROW()-3,1,0))</f>
        <v>0</v>
      </c>
      <c r="C1882">
        <f>N(C1881)+B1882</f>
        <v>26</v>
      </c>
      <c r="K1882">
        <f>IF(OR($K$1="",对接源_02物料!$C682="",对接源_02物料!$C682&lt;&gt;$K$1,对接源_02物料!$B682=""),0,IF(OR(N(对接源_02物料!$B682)&lt;$K$2,N(对接源_02物料!$B682)&gt;$K$3),0,1))</f>
        <v>0</v>
      </c>
      <c r="L1882">
        <f>IF(OR($L$1="",对接源_02物料!$C682="",对接源_02物料!$C682&lt;&gt;$L$1,对接源_02物料!$B682=""),0,IF(OR(N(对接源_02物料!$B682)&lt;$L$2,N(对接源_02物料!$B682)&gt;$L$3),0,1))</f>
        <v>0</v>
      </c>
      <c r="M1882">
        <f>IF(OR($M$1="",对接源_02物料!$C682="",对接源_02物料!$C682&lt;&gt;$M$1,对接源_02物料!$B682=""),0,IF(OR(N(对接源_02物料!$B682)&lt;$M$2,N(对接源_02物料!$B682)&gt;$M$3),0,1))</f>
        <v>0</v>
      </c>
      <c r="N1882">
        <f>IF(OR($N$1="",对接源_02物料!$C682="",对接源_02物料!$C682&lt;&gt;$N$1,对接源_02物料!$B682=""),0,IF(OR(N(对接源_02物料!$B682)&lt;$N$2,N(对接源_02物料!$B682)&gt;$N$3),0,1))</f>
        <v>0</v>
      </c>
      <c r="P1882">
        <f>IF(AND($K1882=1,AND(对接源_02物料!$X682="公司筐",N(对接源_02物料!$T682)&lt;&gt;0)),1,0)</f>
        <v>0</v>
      </c>
      <c r="Q1882">
        <f>N(Q1881)+$P1882</f>
        <v>14</v>
      </c>
      <c r="R1882">
        <f>IF(AND($K1882=1,AND(对接源_02物料!$X682="公司筐",N(对接源_02物料!$U682)&lt;&gt;0)),1,0)</f>
        <v>0</v>
      </c>
      <c r="S1882">
        <f>N(S1881)+$R1882</f>
        <v>1</v>
      </c>
      <c r="T1882">
        <f>IF(AND($K1882=1,AND(对接源_02物料!$X682="公司筐",N(对接源_02物料!$V682)&lt;&gt;0)),1,0)</f>
        <v>0</v>
      </c>
      <c r="U1882">
        <f>N(U1881)+$T1882</f>
        <v>47</v>
      </c>
      <c r="V1882">
        <f>IF(AND($L1882=1,AND(对接源_02物料!$X682="自备筐",N(对接源_02物料!$V682)&lt;&gt;0)),1,0)</f>
        <v>0</v>
      </c>
      <c r="W1882">
        <f>N(W1881)+$V1882</f>
        <v>11</v>
      </c>
      <c r="X1882">
        <f>IF(AND($L1882=1,AND(对接源_02物料!$X682="自备筐",N(对接源_02物料!$T682)&lt;&gt;0)),1,0)</f>
        <v>0</v>
      </c>
      <c r="Y1882">
        <f>N(Y1881)+$X1882</f>
        <v>0</v>
      </c>
      <c r="Z1882">
        <f>IF(AND($M1882=1,对接源_02物料!$D682="原料入库"),1,0)</f>
        <v>0</v>
      </c>
      <c r="AA1882">
        <f>N(AA1881)+$Z1882</f>
        <v>24</v>
      </c>
      <c r="AB1882">
        <f>IF(AND($M1882=1,LEFT(对接源_02物料!$D682,4)="原料出库"),1,0)</f>
        <v>0</v>
      </c>
      <c r="AC1882">
        <f>N(AC1881)+$AB1882</f>
        <v>0</v>
      </c>
      <c r="AD1882">
        <f>IF(AND($M1882=1,LEFT(对接源_02物料!$D682,4)="成品出库"),1,0)</f>
        <v>0</v>
      </c>
      <c r="AE1882">
        <f>N(AE1881)+$AD1882</f>
        <v>0</v>
      </c>
      <c r="AF1882">
        <f>IF(AND($N1882=1,AND(LEFT(对接源_02物料!$D682,4)="包装物料",N(对接源_02物料!$K682)&lt;&gt;0)),1,0)</f>
        <v>0</v>
      </c>
      <c r="AG1882">
        <f>N(AG1881)+$AF1882</f>
        <v>10</v>
      </c>
      <c r="AH1882">
        <f>IF(AND($N1882=1,AND(对接源_02物料!$D682="周转筐－销售出库",N(对接源_02物料!$K682)&lt;&gt;0)),1,0)</f>
        <v>0</v>
      </c>
      <c r="AI1882">
        <f>N(AI1881)+$AH1882</f>
        <v>0</v>
      </c>
      <c r="AL1882" t="n">
        <v>0</v>
      </c>
      <c r="AM1882">
        <f>N(AM1881)+$AL1882</f>
        <v>2</v>
      </c>
      <c r="AN1882">
        <f>""</f>
      </c>
      <c r="AO1882" t="n">
        <v>0</v>
      </c>
      <c r="AP1882">
        <f>N(AP1881)+$AO1882</f>
        <v>13</v>
      </c>
      <c r="AR1882">
        <f>IF(OR($AF1882=1,$AH1882=1),1,0)</f>
        <v>0</v>
      </c>
      <c r="AS1882">
        <f>N(AS1881)+$AR1882</f>
        <v>10</v>
      </c>
    </row>
    <row r="1883" s="127">
      <c r="A1883">
        <f>IF(对接源_02物料!$C683="","",对接源_02物料!$C683)</f>
      </c>
      <c r="B1883">
        <f>IF(A1883="",0,IF(MATCH(A1883,$A$4:$A$2403,0)=ROW()-3,1,0))</f>
        <v>0</v>
      </c>
      <c r="C1883">
        <f>N(C1882)+B1883</f>
        <v>26</v>
      </c>
      <c r="K1883">
        <f>IF(OR($K$1="",对接源_02物料!$C683="",对接源_02物料!$C683&lt;&gt;$K$1,对接源_02物料!$B683=""),0,IF(OR(N(对接源_02物料!$B683)&lt;$K$2,N(对接源_02物料!$B683)&gt;$K$3),0,1))</f>
        <v>0</v>
      </c>
      <c r="L1883">
        <f>IF(OR($L$1="",对接源_02物料!$C683="",对接源_02物料!$C683&lt;&gt;$L$1,对接源_02物料!$B683=""),0,IF(OR(N(对接源_02物料!$B683)&lt;$L$2,N(对接源_02物料!$B683)&gt;$L$3),0,1))</f>
        <v>0</v>
      </c>
      <c r="M1883">
        <f>IF(OR($M$1="",对接源_02物料!$C683="",对接源_02物料!$C683&lt;&gt;$M$1,对接源_02物料!$B683=""),0,IF(OR(N(对接源_02物料!$B683)&lt;$M$2,N(对接源_02物料!$B683)&gt;$M$3),0,1))</f>
        <v>0</v>
      </c>
      <c r="N1883">
        <f>IF(OR($N$1="",对接源_02物料!$C683="",对接源_02物料!$C683&lt;&gt;$N$1,对接源_02物料!$B683=""),0,IF(OR(N(对接源_02物料!$B683)&lt;$N$2,N(对接源_02物料!$B683)&gt;$N$3),0,1))</f>
        <v>0</v>
      </c>
      <c r="P1883">
        <f>IF(AND($K1883=1,AND(对接源_02物料!$X683="公司筐",N(对接源_02物料!$T683)&lt;&gt;0)),1,0)</f>
        <v>0</v>
      </c>
      <c r="Q1883">
        <f>N(Q1882)+$P1883</f>
        <v>14</v>
      </c>
      <c r="R1883">
        <f>IF(AND($K1883=1,AND(对接源_02物料!$X683="公司筐",N(对接源_02物料!$U683)&lt;&gt;0)),1,0)</f>
        <v>0</v>
      </c>
      <c r="S1883">
        <f>N(S1882)+$R1883</f>
        <v>1</v>
      </c>
      <c r="T1883">
        <f>IF(AND($K1883=1,AND(对接源_02物料!$X683="公司筐",N(对接源_02物料!$V683)&lt;&gt;0)),1,0)</f>
        <v>0</v>
      </c>
      <c r="U1883">
        <f>N(U1882)+$T1883</f>
        <v>47</v>
      </c>
      <c r="V1883">
        <f>IF(AND($L1883=1,AND(对接源_02物料!$X683="自备筐",N(对接源_02物料!$V683)&lt;&gt;0)),1,0)</f>
        <v>0</v>
      </c>
      <c r="W1883">
        <f>N(W1882)+$V1883</f>
        <v>11</v>
      </c>
      <c r="X1883">
        <f>IF(AND($L1883=1,AND(对接源_02物料!$X683="自备筐",N(对接源_02物料!$T683)&lt;&gt;0)),1,0)</f>
        <v>0</v>
      </c>
      <c r="Y1883">
        <f>N(Y1882)+$X1883</f>
        <v>0</v>
      </c>
      <c r="Z1883">
        <f>IF(AND($M1883=1,对接源_02物料!$D683="原料入库"),1,0)</f>
        <v>0</v>
      </c>
      <c r="AA1883">
        <f>N(AA1882)+$Z1883</f>
        <v>24</v>
      </c>
      <c r="AB1883">
        <f>IF(AND($M1883=1,LEFT(对接源_02物料!$D683,4)="原料出库"),1,0)</f>
        <v>0</v>
      </c>
      <c r="AC1883">
        <f>N(AC1882)+$AB1883</f>
        <v>0</v>
      </c>
      <c r="AD1883">
        <f>IF(AND($M1883=1,LEFT(对接源_02物料!$D683,4)="成品出库"),1,0)</f>
        <v>0</v>
      </c>
      <c r="AE1883">
        <f>N(AE1882)+$AD1883</f>
        <v>0</v>
      </c>
      <c r="AF1883">
        <f>IF(AND($N1883=1,AND(LEFT(对接源_02物料!$D683,4)="包装物料",N(对接源_02物料!$K683)&lt;&gt;0)),1,0)</f>
        <v>0</v>
      </c>
      <c r="AG1883">
        <f>N(AG1882)+$AF1883</f>
        <v>10</v>
      </c>
      <c r="AH1883">
        <f>IF(AND($N1883=1,AND(对接源_02物料!$D683="周转筐－销售出库",N(对接源_02物料!$K683)&lt;&gt;0)),1,0)</f>
        <v>0</v>
      </c>
      <c r="AI1883">
        <f>N(AI1882)+$AH1883</f>
        <v>0</v>
      </c>
      <c r="AL1883" t="n">
        <v>0</v>
      </c>
      <c r="AM1883">
        <f>N(AM1882)+$AL1883</f>
        <v>2</v>
      </c>
      <c r="AN1883">
        <f>""</f>
      </c>
      <c r="AO1883" t="n">
        <v>0</v>
      </c>
      <c r="AP1883">
        <f>N(AP1882)+$AO1883</f>
        <v>13</v>
      </c>
      <c r="AR1883">
        <f>IF(OR($AF1883=1,$AH1883=1),1,0)</f>
        <v>0</v>
      </c>
      <c r="AS1883">
        <f>N(AS1882)+$AR1883</f>
        <v>10</v>
      </c>
    </row>
    <row r="1884" s="127">
      <c r="A1884">
        <f>IF(对接源_02物料!$C684="","",对接源_02物料!$C684)</f>
      </c>
      <c r="B1884">
        <f>IF(A1884="",0,IF(MATCH(A1884,$A$4:$A$2403,0)=ROW()-3,1,0))</f>
        <v>0</v>
      </c>
      <c r="C1884">
        <f>N(C1883)+B1884</f>
        <v>26</v>
      </c>
      <c r="K1884">
        <f>IF(OR($K$1="",对接源_02物料!$C684="",对接源_02物料!$C684&lt;&gt;$K$1,对接源_02物料!$B684=""),0,IF(OR(N(对接源_02物料!$B684)&lt;$K$2,N(对接源_02物料!$B684)&gt;$K$3),0,1))</f>
        <v>0</v>
      </c>
      <c r="L1884">
        <f>IF(OR($L$1="",对接源_02物料!$C684="",对接源_02物料!$C684&lt;&gt;$L$1,对接源_02物料!$B684=""),0,IF(OR(N(对接源_02物料!$B684)&lt;$L$2,N(对接源_02物料!$B684)&gt;$L$3),0,1))</f>
        <v>0</v>
      </c>
      <c r="M1884">
        <f>IF(OR($M$1="",对接源_02物料!$C684="",对接源_02物料!$C684&lt;&gt;$M$1,对接源_02物料!$B684=""),0,IF(OR(N(对接源_02物料!$B684)&lt;$M$2,N(对接源_02物料!$B684)&gt;$M$3),0,1))</f>
        <v>0</v>
      </c>
      <c r="N1884">
        <f>IF(OR($N$1="",对接源_02物料!$C684="",对接源_02物料!$C684&lt;&gt;$N$1,对接源_02物料!$B684=""),0,IF(OR(N(对接源_02物料!$B684)&lt;$N$2,N(对接源_02物料!$B684)&gt;$N$3),0,1))</f>
        <v>0</v>
      </c>
      <c r="P1884">
        <f>IF(AND($K1884=1,AND(对接源_02物料!$X684="公司筐",N(对接源_02物料!$T684)&lt;&gt;0)),1,0)</f>
        <v>0</v>
      </c>
      <c r="Q1884">
        <f>N(Q1883)+$P1884</f>
        <v>14</v>
      </c>
      <c r="R1884">
        <f>IF(AND($K1884=1,AND(对接源_02物料!$X684="公司筐",N(对接源_02物料!$U684)&lt;&gt;0)),1,0)</f>
        <v>0</v>
      </c>
      <c r="S1884">
        <f>N(S1883)+$R1884</f>
        <v>1</v>
      </c>
      <c r="T1884">
        <f>IF(AND($K1884=1,AND(对接源_02物料!$X684="公司筐",N(对接源_02物料!$V684)&lt;&gt;0)),1,0)</f>
        <v>0</v>
      </c>
      <c r="U1884">
        <f>N(U1883)+$T1884</f>
        <v>47</v>
      </c>
      <c r="V1884">
        <f>IF(AND($L1884=1,AND(对接源_02物料!$X684="自备筐",N(对接源_02物料!$V684)&lt;&gt;0)),1,0)</f>
        <v>0</v>
      </c>
      <c r="W1884">
        <f>N(W1883)+$V1884</f>
        <v>11</v>
      </c>
      <c r="X1884">
        <f>IF(AND($L1884=1,AND(对接源_02物料!$X684="自备筐",N(对接源_02物料!$T684)&lt;&gt;0)),1,0)</f>
        <v>0</v>
      </c>
      <c r="Y1884">
        <f>N(Y1883)+$X1884</f>
        <v>0</v>
      </c>
      <c r="Z1884">
        <f>IF(AND($M1884=1,对接源_02物料!$D684="原料入库"),1,0)</f>
        <v>0</v>
      </c>
      <c r="AA1884">
        <f>N(AA1883)+$Z1884</f>
        <v>24</v>
      </c>
      <c r="AB1884">
        <f>IF(AND($M1884=1,LEFT(对接源_02物料!$D684,4)="原料出库"),1,0)</f>
        <v>0</v>
      </c>
      <c r="AC1884">
        <f>N(AC1883)+$AB1884</f>
        <v>0</v>
      </c>
      <c r="AD1884">
        <f>IF(AND($M1884=1,LEFT(对接源_02物料!$D684,4)="成品出库"),1,0)</f>
        <v>0</v>
      </c>
      <c r="AE1884">
        <f>N(AE1883)+$AD1884</f>
        <v>0</v>
      </c>
      <c r="AF1884">
        <f>IF(AND($N1884=1,AND(LEFT(对接源_02物料!$D684,4)="包装物料",N(对接源_02物料!$K684)&lt;&gt;0)),1,0)</f>
        <v>0</v>
      </c>
      <c r="AG1884">
        <f>N(AG1883)+$AF1884</f>
        <v>10</v>
      </c>
      <c r="AH1884">
        <f>IF(AND($N1884=1,AND(对接源_02物料!$D684="周转筐－销售出库",N(对接源_02物料!$K684)&lt;&gt;0)),1,0)</f>
        <v>0</v>
      </c>
      <c r="AI1884">
        <f>N(AI1883)+$AH1884</f>
        <v>0</v>
      </c>
      <c r="AL1884" t="n">
        <v>0</v>
      </c>
      <c r="AM1884">
        <f>N(AM1883)+$AL1884</f>
        <v>2</v>
      </c>
      <c r="AN1884">
        <f>""</f>
      </c>
      <c r="AO1884" t="n">
        <v>0</v>
      </c>
      <c r="AP1884">
        <f>N(AP1883)+$AO1884</f>
        <v>13</v>
      </c>
      <c r="AR1884">
        <f>IF(OR($AF1884=1,$AH1884=1),1,0)</f>
        <v>0</v>
      </c>
      <c r="AS1884">
        <f>N(AS1883)+$AR1884</f>
        <v>10</v>
      </c>
    </row>
    <row r="1885" s="127">
      <c r="A1885">
        <f>IF(对接源_02物料!$C685="","",对接源_02物料!$C685)</f>
      </c>
      <c r="B1885">
        <f>IF(A1885="",0,IF(MATCH(A1885,$A$4:$A$2403,0)=ROW()-3,1,0))</f>
        <v>0</v>
      </c>
      <c r="C1885">
        <f>N(C1884)+B1885</f>
        <v>26</v>
      </c>
      <c r="K1885">
        <f>IF(OR($K$1="",对接源_02物料!$C685="",对接源_02物料!$C685&lt;&gt;$K$1,对接源_02物料!$B685=""),0,IF(OR(N(对接源_02物料!$B685)&lt;$K$2,N(对接源_02物料!$B685)&gt;$K$3),0,1))</f>
        <v>0</v>
      </c>
      <c r="L1885">
        <f>IF(OR($L$1="",对接源_02物料!$C685="",对接源_02物料!$C685&lt;&gt;$L$1,对接源_02物料!$B685=""),0,IF(OR(N(对接源_02物料!$B685)&lt;$L$2,N(对接源_02物料!$B685)&gt;$L$3),0,1))</f>
        <v>0</v>
      </c>
      <c r="M1885">
        <f>IF(OR($M$1="",对接源_02物料!$C685="",对接源_02物料!$C685&lt;&gt;$M$1,对接源_02物料!$B685=""),0,IF(OR(N(对接源_02物料!$B685)&lt;$M$2,N(对接源_02物料!$B685)&gt;$M$3),0,1))</f>
        <v>0</v>
      </c>
      <c r="N1885">
        <f>IF(OR($N$1="",对接源_02物料!$C685="",对接源_02物料!$C685&lt;&gt;$N$1,对接源_02物料!$B685=""),0,IF(OR(N(对接源_02物料!$B685)&lt;$N$2,N(对接源_02物料!$B685)&gt;$N$3),0,1))</f>
        <v>0</v>
      </c>
      <c r="P1885">
        <f>IF(AND($K1885=1,AND(对接源_02物料!$X685="公司筐",N(对接源_02物料!$T685)&lt;&gt;0)),1,0)</f>
        <v>0</v>
      </c>
      <c r="Q1885">
        <f>N(Q1884)+$P1885</f>
        <v>14</v>
      </c>
      <c r="R1885">
        <f>IF(AND($K1885=1,AND(对接源_02物料!$X685="公司筐",N(对接源_02物料!$U685)&lt;&gt;0)),1,0)</f>
        <v>0</v>
      </c>
      <c r="S1885">
        <f>N(S1884)+$R1885</f>
        <v>1</v>
      </c>
      <c r="T1885">
        <f>IF(AND($K1885=1,AND(对接源_02物料!$X685="公司筐",N(对接源_02物料!$V685)&lt;&gt;0)),1,0)</f>
        <v>0</v>
      </c>
      <c r="U1885">
        <f>N(U1884)+$T1885</f>
        <v>47</v>
      </c>
      <c r="V1885">
        <f>IF(AND($L1885=1,AND(对接源_02物料!$X685="自备筐",N(对接源_02物料!$V685)&lt;&gt;0)),1,0)</f>
        <v>0</v>
      </c>
      <c r="W1885">
        <f>N(W1884)+$V1885</f>
        <v>11</v>
      </c>
      <c r="X1885">
        <f>IF(AND($L1885=1,AND(对接源_02物料!$X685="自备筐",N(对接源_02物料!$T685)&lt;&gt;0)),1,0)</f>
        <v>0</v>
      </c>
      <c r="Y1885">
        <f>N(Y1884)+$X1885</f>
        <v>0</v>
      </c>
      <c r="Z1885">
        <f>IF(AND($M1885=1,对接源_02物料!$D685="原料入库"),1,0)</f>
        <v>0</v>
      </c>
      <c r="AA1885">
        <f>N(AA1884)+$Z1885</f>
        <v>24</v>
      </c>
      <c r="AB1885">
        <f>IF(AND($M1885=1,LEFT(对接源_02物料!$D685,4)="原料出库"),1,0)</f>
        <v>0</v>
      </c>
      <c r="AC1885">
        <f>N(AC1884)+$AB1885</f>
        <v>0</v>
      </c>
      <c r="AD1885">
        <f>IF(AND($M1885=1,LEFT(对接源_02物料!$D685,4)="成品出库"),1,0)</f>
        <v>0</v>
      </c>
      <c r="AE1885">
        <f>N(AE1884)+$AD1885</f>
        <v>0</v>
      </c>
      <c r="AF1885">
        <f>IF(AND($N1885=1,AND(LEFT(对接源_02物料!$D685,4)="包装物料",N(对接源_02物料!$K685)&lt;&gt;0)),1,0)</f>
        <v>0</v>
      </c>
      <c r="AG1885">
        <f>N(AG1884)+$AF1885</f>
        <v>10</v>
      </c>
      <c r="AH1885">
        <f>IF(AND($N1885=1,AND(对接源_02物料!$D685="周转筐－销售出库",N(对接源_02物料!$K685)&lt;&gt;0)),1,0)</f>
        <v>0</v>
      </c>
      <c r="AI1885">
        <f>N(AI1884)+$AH1885</f>
        <v>0</v>
      </c>
      <c r="AL1885" t="n">
        <v>0</v>
      </c>
      <c r="AM1885">
        <f>N(AM1884)+$AL1885</f>
        <v>2</v>
      </c>
      <c r="AN1885">
        <f>""</f>
      </c>
      <c r="AO1885" t="n">
        <v>0</v>
      </c>
      <c r="AP1885">
        <f>N(AP1884)+$AO1885</f>
        <v>13</v>
      </c>
      <c r="AR1885">
        <f>IF(OR($AF1885=1,$AH1885=1),1,0)</f>
        <v>0</v>
      </c>
      <c r="AS1885">
        <f>N(AS1884)+$AR1885</f>
        <v>10</v>
      </c>
    </row>
    <row r="1886" s="127">
      <c r="A1886">
        <f>IF(对接源_02物料!$C686="","",对接源_02物料!$C686)</f>
      </c>
      <c r="B1886">
        <f>IF(A1886="",0,IF(MATCH(A1886,$A$4:$A$2403,0)=ROW()-3,1,0))</f>
        <v>0</v>
      </c>
      <c r="C1886">
        <f>N(C1885)+B1886</f>
        <v>26</v>
      </c>
      <c r="K1886">
        <f>IF(OR($K$1="",对接源_02物料!$C686="",对接源_02物料!$C686&lt;&gt;$K$1,对接源_02物料!$B686=""),0,IF(OR(N(对接源_02物料!$B686)&lt;$K$2,N(对接源_02物料!$B686)&gt;$K$3),0,1))</f>
        <v>0</v>
      </c>
      <c r="L1886">
        <f>IF(OR($L$1="",对接源_02物料!$C686="",对接源_02物料!$C686&lt;&gt;$L$1,对接源_02物料!$B686=""),0,IF(OR(N(对接源_02物料!$B686)&lt;$L$2,N(对接源_02物料!$B686)&gt;$L$3),0,1))</f>
        <v>0</v>
      </c>
      <c r="M1886">
        <f>IF(OR($M$1="",对接源_02物料!$C686="",对接源_02物料!$C686&lt;&gt;$M$1,对接源_02物料!$B686=""),0,IF(OR(N(对接源_02物料!$B686)&lt;$M$2,N(对接源_02物料!$B686)&gt;$M$3),0,1))</f>
        <v>0</v>
      </c>
      <c r="N1886">
        <f>IF(OR($N$1="",对接源_02物料!$C686="",对接源_02物料!$C686&lt;&gt;$N$1,对接源_02物料!$B686=""),0,IF(OR(N(对接源_02物料!$B686)&lt;$N$2,N(对接源_02物料!$B686)&gt;$N$3),0,1))</f>
        <v>0</v>
      </c>
      <c r="P1886">
        <f>IF(AND($K1886=1,AND(对接源_02物料!$X686="公司筐",N(对接源_02物料!$T686)&lt;&gt;0)),1,0)</f>
        <v>0</v>
      </c>
      <c r="Q1886">
        <f>N(Q1885)+$P1886</f>
        <v>14</v>
      </c>
      <c r="R1886">
        <f>IF(AND($K1886=1,AND(对接源_02物料!$X686="公司筐",N(对接源_02物料!$U686)&lt;&gt;0)),1,0)</f>
        <v>0</v>
      </c>
      <c r="S1886">
        <f>N(S1885)+$R1886</f>
        <v>1</v>
      </c>
      <c r="T1886">
        <f>IF(AND($K1886=1,AND(对接源_02物料!$X686="公司筐",N(对接源_02物料!$V686)&lt;&gt;0)),1,0)</f>
        <v>0</v>
      </c>
      <c r="U1886">
        <f>N(U1885)+$T1886</f>
        <v>47</v>
      </c>
      <c r="V1886">
        <f>IF(AND($L1886=1,AND(对接源_02物料!$X686="自备筐",N(对接源_02物料!$V686)&lt;&gt;0)),1,0)</f>
        <v>0</v>
      </c>
      <c r="W1886">
        <f>N(W1885)+$V1886</f>
        <v>11</v>
      </c>
      <c r="X1886">
        <f>IF(AND($L1886=1,AND(对接源_02物料!$X686="自备筐",N(对接源_02物料!$T686)&lt;&gt;0)),1,0)</f>
        <v>0</v>
      </c>
      <c r="Y1886">
        <f>N(Y1885)+$X1886</f>
        <v>0</v>
      </c>
      <c r="Z1886">
        <f>IF(AND($M1886=1,对接源_02物料!$D686="原料入库"),1,0)</f>
        <v>0</v>
      </c>
      <c r="AA1886">
        <f>N(AA1885)+$Z1886</f>
        <v>24</v>
      </c>
      <c r="AB1886">
        <f>IF(AND($M1886=1,LEFT(对接源_02物料!$D686,4)="原料出库"),1,0)</f>
        <v>0</v>
      </c>
      <c r="AC1886">
        <f>N(AC1885)+$AB1886</f>
        <v>0</v>
      </c>
      <c r="AD1886">
        <f>IF(AND($M1886=1,LEFT(对接源_02物料!$D686,4)="成品出库"),1,0)</f>
        <v>0</v>
      </c>
      <c r="AE1886">
        <f>N(AE1885)+$AD1886</f>
        <v>0</v>
      </c>
      <c r="AF1886">
        <f>IF(AND($N1886=1,AND(LEFT(对接源_02物料!$D686,4)="包装物料",N(对接源_02物料!$K686)&lt;&gt;0)),1,0)</f>
        <v>0</v>
      </c>
      <c r="AG1886">
        <f>N(AG1885)+$AF1886</f>
        <v>10</v>
      </c>
      <c r="AH1886">
        <f>IF(AND($N1886=1,AND(对接源_02物料!$D686="周转筐－销售出库",N(对接源_02物料!$K686)&lt;&gt;0)),1,0)</f>
        <v>0</v>
      </c>
      <c r="AI1886">
        <f>N(AI1885)+$AH1886</f>
        <v>0</v>
      </c>
      <c r="AL1886" t="n">
        <v>0</v>
      </c>
      <c r="AM1886">
        <f>N(AM1885)+$AL1886</f>
        <v>2</v>
      </c>
      <c r="AN1886">
        <f>""</f>
      </c>
      <c r="AO1886" t="n">
        <v>0</v>
      </c>
      <c r="AP1886">
        <f>N(AP1885)+$AO1886</f>
        <v>13</v>
      </c>
      <c r="AR1886">
        <f>IF(OR($AF1886=1,$AH1886=1),1,0)</f>
        <v>0</v>
      </c>
      <c r="AS1886">
        <f>N(AS1885)+$AR1886</f>
        <v>10</v>
      </c>
    </row>
    <row r="1887" s="127">
      <c r="A1887">
        <f>IF(对接源_02物料!$C687="","",对接源_02物料!$C687)</f>
      </c>
      <c r="B1887">
        <f>IF(A1887="",0,IF(MATCH(A1887,$A$4:$A$2403,0)=ROW()-3,1,0))</f>
        <v>0</v>
      </c>
      <c r="C1887">
        <f>N(C1886)+B1887</f>
        <v>26</v>
      </c>
      <c r="K1887">
        <f>IF(OR($K$1="",对接源_02物料!$C687="",对接源_02物料!$C687&lt;&gt;$K$1,对接源_02物料!$B687=""),0,IF(OR(N(对接源_02物料!$B687)&lt;$K$2,N(对接源_02物料!$B687)&gt;$K$3),0,1))</f>
        <v>0</v>
      </c>
      <c r="L1887">
        <f>IF(OR($L$1="",对接源_02物料!$C687="",对接源_02物料!$C687&lt;&gt;$L$1,对接源_02物料!$B687=""),0,IF(OR(N(对接源_02物料!$B687)&lt;$L$2,N(对接源_02物料!$B687)&gt;$L$3),0,1))</f>
        <v>0</v>
      </c>
      <c r="M1887">
        <f>IF(OR($M$1="",对接源_02物料!$C687="",对接源_02物料!$C687&lt;&gt;$M$1,对接源_02物料!$B687=""),0,IF(OR(N(对接源_02物料!$B687)&lt;$M$2,N(对接源_02物料!$B687)&gt;$M$3),0,1))</f>
        <v>0</v>
      </c>
      <c r="N1887">
        <f>IF(OR($N$1="",对接源_02物料!$C687="",对接源_02物料!$C687&lt;&gt;$N$1,对接源_02物料!$B687=""),0,IF(OR(N(对接源_02物料!$B687)&lt;$N$2,N(对接源_02物料!$B687)&gt;$N$3),0,1))</f>
        <v>0</v>
      </c>
      <c r="P1887">
        <f>IF(AND($K1887=1,AND(对接源_02物料!$X687="公司筐",N(对接源_02物料!$T687)&lt;&gt;0)),1,0)</f>
        <v>0</v>
      </c>
      <c r="Q1887">
        <f>N(Q1886)+$P1887</f>
        <v>14</v>
      </c>
      <c r="R1887">
        <f>IF(AND($K1887=1,AND(对接源_02物料!$X687="公司筐",N(对接源_02物料!$U687)&lt;&gt;0)),1,0)</f>
        <v>0</v>
      </c>
      <c r="S1887">
        <f>N(S1886)+$R1887</f>
        <v>1</v>
      </c>
      <c r="T1887">
        <f>IF(AND($K1887=1,AND(对接源_02物料!$X687="公司筐",N(对接源_02物料!$V687)&lt;&gt;0)),1,0)</f>
        <v>0</v>
      </c>
      <c r="U1887">
        <f>N(U1886)+$T1887</f>
        <v>47</v>
      </c>
      <c r="V1887">
        <f>IF(AND($L1887=1,AND(对接源_02物料!$X687="自备筐",N(对接源_02物料!$V687)&lt;&gt;0)),1,0)</f>
        <v>0</v>
      </c>
      <c r="W1887">
        <f>N(W1886)+$V1887</f>
        <v>11</v>
      </c>
      <c r="X1887">
        <f>IF(AND($L1887=1,AND(对接源_02物料!$X687="自备筐",N(对接源_02物料!$T687)&lt;&gt;0)),1,0)</f>
        <v>0</v>
      </c>
      <c r="Y1887">
        <f>N(Y1886)+$X1887</f>
        <v>0</v>
      </c>
      <c r="Z1887">
        <f>IF(AND($M1887=1,对接源_02物料!$D687="原料入库"),1,0)</f>
        <v>0</v>
      </c>
      <c r="AA1887">
        <f>N(AA1886)+$Z1887</f>
        <v>24</v>
      </c>
      <c r="AB1887">
        <f>IF(AND($M1887=1,LEFT(对接源_02物料!$D687,4)="原料出库"),1,0)</f>
        <v>0</v>
      </c>
      <c r="AC1887">
        <f>N(AC1886)+$AB1887</f>
        <v>0</v>
      </c>
      <c r="AD1887">
        <f>IF(AND($M1887=1,LEFT(对接源_02物料!$D687,4)="成品出库"),1,0)</f>
        <v>0</v>
      </c>
      <c r="AE1887">
        <f>N(AE1886)+$AD1887</f>
        <v>0</v>
      </c>
      <c r="AF1887">
        <f>IF(AND($N1887=1,AND(LEFT(对接源_02物料!$D687,4)="包装物料",N(对接源_02物料!$K687)&lt;&gt;0)),1,0)</f>
        <v>0</v>
      </c>
      <c r="AG1887">
        <f>N(AG1886)+$AF1887</f>
        <v>10</v>
      </c>
      <c r="AH1887">
        <f>IF(AND($N1887=1,AND(对接源_02物料!$D687="周转筐－销售出库",N(对接源_02物料!$K687)&lt;&gt;0)),1,0)</f>
        <v>0</v>
      </c>
      <c r="AI1887">
        <f>N(AI1886)+$AH1887</f>
        <v>0</v>
      </c>
      <c r="AL1887" t="n">
        <v>0</v>
      </c>
      <c r="AM1887">
        <f>N(AM1886)+$AL1887</f>
        <v>2</v>
      </c>
      <c r="AN1887">
        <f>""</f>
      </c>
      <c r="AO1887" t="n">
        <v>0</v>
      </c>
      <c r="AP1887">
        <f>N(AP1886)+$AO1887</f>
        <v>13</v>
      </c>
      <c r="AR1887">
        <f>IF(OR($AF1887=1,$AH1887=1),1,0)</f>
        <v>0</v>
      </c>
      <c r="AS1887">
        <f>N(AS1886)+$AR1887</f>
        <v>10</v>
      </c>
    </row>
    <row r="1888" s="127">
      <c r="A1888">
        <f>IF(对接源_02物料!$C688="","",对接源_02物料!$C688)</f>
      </c>
      <c r="B1888">
        <f>IF(A1888="",0,IF(MATCH(A1888,$A$4:$A$2403,0)=ROW()-3,1,0))</f>
        <v>0</v>
      </c>
      <c r="C1888">
        <f>N(C1887)+B1888</f>
        <v>26</v>
      </c>
      <c r="K1888">
        <f>IF(OR($K$1="",对接源_02物料!$C688="",对接源_02物料!$C688&lt;&gt;$K$1,对接源_02物料!$B688=""),0,IF(OR(N(对接源_02物料!$B688)&lt;$K$2,N(对接源_02物料!$B688)&gt;$K$3),0,1))</f>
        <v>0</v>
      </c>
      <c r="L1888">
        <f>IF(OR($L$1="",对接源_02物料!$C688="",对接源_02物料!$C688&lt;&gt;$L$1,对接源_02物料!$B688=""),0,IF(OR(N(对接源_02物料!$B688)&lt;$L$2,N(对接源_02物料!$B688)&gt;$L$3),0,1))</f>
        <v>0</v>
      </c>
      <c r="M1888">
        <f>IF(OR($M$1="",对接源_02物料!$C688="",对接源_02物料!$C688&lt;&gt;$M$1,对接源_02物料!$B688=""),0,IF(OR(N(对接源_02物料!$B688)&lt;$M$2,N(对接源_02物料!$B688)&gt;$M$3),0,1))</f>
        <v>0</v>
      </c>
      <c r="N1888">
        <f>IF(OR($N$1="",对接源_02物料!$C688="",对接源_02物料!$C688&lt;&gt;$N$1,对接源_02物料!$B688=""),0,IF(OR(N(对接源_02物料!$B688)&lt;$N$2,N(对接源_02物料!$B688)&gt;$N$3),0,1))</f>
        <v>0</v>
      </c>
      <c r="P1888">
        <f>IF(AND($K1888=1,AND(对接源_02物料!$X688="公司筐",N(对接源_02物料!$T688)&lt;&gt;0)),1,0)</f>
        <v>0</v>
      </c>
      <c r="Q1888">
        <f>N(Q1887)+$P1888</f>
        <v>14</v>
      </c>
      <c r="R1888">
        <f>IF(AND($K1888=1,AND(对接源_02物料!$X688="公司筐",N(对接源_02物料!$U688)&lt;&gt;0)),1,0)</f>
        <v>0</v>
      </c>
      <c r="S1888">
        <f>N(S1887)+$R1888</f>
        <v>1</v>
      </c>
      <c r="T1888">
        <f>IF(AND($K1888=1,AND(对接源_02物料!$X688="公司筐",N(对接源_02物料!$V688)&lt;&gt;0)),1,0)</f>
        <v>0</v>
      </c>
      <c r="U1888">
        <f>N(U1887)+$T1888</f>
        <v>47</v>
      </c>
      <c r="V1888">
        <f>IF(AND($L1888=1,AND(对接源_02物料!$X688="自备筐",N(对接源_02物料!$V688)&lt;&gt;0)),1,0)</f>
        <v>0</v>
      </c>
      <c r="W1888">
        <f>N(W1887)+$V1888</f>
        <v>11</v>
      </c>
      <c r="X1888">
        <f>IF(AND($L1888=1,AND(对接源_02物料!$X688="自备筐",N(对接源_02物料!$T688)&lt;&gt;0)),1,0)</f>
        <v>0</v>
      </c>
      <c r="Y1888">
        <f>N(Y1887)+$X1888</f>
        <v>0</v>
      </c>
      <c r="Z1888">
        <f>IF(AND($M1888=1,对接源_02物料!$D688="原料入库"),1,0)</f>
        <v>0</v>
      </c>
      <c r="AA1888">
        <f>N(AA1887)+$Z1888</f>
        <v>24</v>
      </c>
      <c r="AB1888">
        <f>IF(AND($M1888=1,LEFT(对接源_02物料!$D688,4)="原料出库"),1,0)</f>
        <v>0</v>
      </c>
      <c r="AC1888">
        <f>N(AC1887)+$AB1888</f>
        <v>0</v>
      </c>
      <c r="AD1888">
        <f>IF(AND($M1888=1,LEFT(对接源_02物料!$D688,4)="成品出库"),1,0)</f>
        <v>0</v>
      </c>
      <c r="AE1888">
        <f>N(AE1887)+$AD1888</f>
        <v>0</v>
      </c>
      <c r="AF1888">
        <f>IF(AND($N1888=1,AND(LEFT(对接源_02物料!$D688,4)="包装物料",N(对接源_02物料!$K688)&lt;&gt;0)),1,0)</f>
        <v>0</v>
      </c>
      <c r="AG1888">
        <f>N(AG1887)+$AF1888</f>
        <v>10</v>
      </c>
      <c r="AH1888">
        <f>IF(AND($N1888=1,AND(对接源_02物料!$D688="周转筐－销售出库",N(对接源_02物料!$K688)&lt;&gt;0)),1,0)</f>
        <v>0</v>
      </c>
      <c r="AI1888">
        <f>N(AI1887)+$AH1888</f>
        <v>0</v>
      </c>
      <c r="AL1888" t="n">
        <v>0</v>
      </c>
      <c r="AM1888">
        <f>N(AM1887)+$AL1888</f>
        <v>2</v>
      </c>
      <c r="AN1888">
        <f>""</f>
      </c>
      <c r="AO1888" t="n">
        <v>0</v>
      </c>
      <c r="AP1888">
        <f>N(AP1887)+$AO1888</f>
        <v>13</v>
      </c>
      <c r="AR1888">
        <f>IF(OR($AF1888=1,$AH1888=1),1,0)</f>
        <v>0</v>
      </c>
      <c r="AS1888">
        <f>N(AS1887)+$AR1888</f>
        <v>10</v>
      </c>
    </row>
    <row r="1889" s="127">
      <c r="A1889">
        <f>IF(对接源_02物料!$C689="","",对接源_02物料!$C689)</f>
      </c>
      <c r="B1889">
        <f>IF(A1889="",0,IF(MATCH(A1889,$A$4:$A$2403,0)=ROW()-3,1,0))</f>
        <v>0</v>
      </c>
      <c r="C1889">
        <f>N(C1888)+B1889</f>
        <v>26</v>
      </c>
      <c r="K1889">
        <f>IF(OR($K$1="",对接源_02物料!$C689="",对接源_02物料!$C689&lt;&gt;$K$1,对接源_02物料!$B689=""),0,IF(OR(N(对接源_02物料!$B689)&lt;$K$2,N(对接源_02物料!$B689)&gt;$K$3),0,1))</f>
        <v>0</v>
      </c>
      <c r="L1889">
        <f>IF(OR($L$1="",对接源_02物料!$C689="",对接源_02物料!$C689&lt;&gt;$L$1,对接源_02物料!$B689=""),0,IF(OR(N(对接源_02物料!$B689)&lt;$L$2,N(对接源_02物料!$B689)&gt;$L$3),0,1))</f>
        <v>0</v>
      </c>
      <c r="M1889">
        <f>IF(OR($M$1="",对接源_02物料!$C689="",对接源_02物料!$C689&lt;&gt;$M$1,对接源_02物料!$B689=""),0,IF(OR(N(对接源_02物料!$B689)&lt;$M$2,N(对接源_02物料!$B689)&gt;$M$3),0,1))</f>
        <v>0</v>
      </c>
      <c r="N1889">
        <f>IF(OR($N$1="",对接源_02物料!$C689="",对接源_02物料!$C689&lt;&gt;$N$1,对接源_02物料!$B689=""),0,IF(OR(N(对接源_02物料!$B689)&lt;$N$2,N(对接源_02物料!$B689)&gt;$N$3),0,1))</f>
        <v>0</v>
      </c>
      <c r="P1889">
        <f>IF(AND($K1889=1,AND(对接源_02物料!$X689="公司筐",N(对接源_02物料!$T689)&lt;&gt;0)),1,0)</f>
        <v>0</v>
      </c>
      <c r="Q1889">
        <f>N(Q1888)+$P1889</f>
        <v>14</v>
      </c>
      <c r="R1889">
        <f>IF(AND($K1889=1,AND(对接源_02物料!$X689="公司筐",N(对接源_02物料!$U689)&lt;&gt;0)),1,0)</f>
        <v>0</v>
      </c>
      <c r="S1889">
        <f>N(S1888)+$R1889</f>
        <v>1</v>
      </c>
      <c r="T1889">
        <f>IF(AND($K1889=1,AND(对接源_02物料!$X689="公司筐",N(对接源_02物料!$V689)&lt;&gt;0)),1,0)</f>
        <v>0</v>
      </c>
      <c r="U1889">
        <f>N(U1888)+$T1889</f>
        <v>47</v>
      </c>
      <c r="V1889">
        <f>IF(AND($L1889=1,AND(对接源_02物料!$X689="自备筐",N(对接源_02物料!$V689)&lt;&gt;0)),1,0)</f>
        <v>0</v>
      </c>
      <c r="W1889">
        <f>N(W1888)+$V1889</f>
        <v>11</v>
      </c>
      <c r="X1889">
        <f>IF(AND($L1889=1,AND(对接源_02物料!$X689="自备筐",N(对接源_02物料!$T689)&lt;&gt;0)),1,0)</f>
        <v>0</v>
      </c>
      <c r="Y1889">
        <f>N(Y1888)+$X1889</f>
        <v>0</v>
      </c>
      <c r="Z1889">
        <f>IF(AND($M1889=1,对接源_02物料!$D689="原料入库"),1,0)</f>
        <v>0</v>
      </c>
      <c r="AA1889">
        <f>N(AA1888)+$Z1889</f>
        <v>24</v>
      </c>
      <c r="AB1889">
        <f>IF(AND($M1889=1,LEFT(对接源_02物料!$D689,4)="原料出库"),1,0)</f>
        <v>0</v>
      </c>
      <c r="AC1889">
        <f>N(AC1888)+$AB1889</f>
        <v>0</v>
      </c>
      <c r="AD1889">
        <f>IF(AND($M1889=1,LEFT(对接源_02物料!$D689,4)="成品出库"),1,0)</f>
        <v>0</v>
      </c>
      <c r="AE1889">
        <f>N(AE1888)+$AD1889</f>
        <v>0</v>
      </c>
      <c r="AF1889">
        <f>IF(AND($N1889=1,AND(LEFT(对接源_02物料!$D689,4)="包装物料",N(对接源_02物料!$K689)&lt;&gt;0)),1,0)</f>
        <v>0</v>
      </c>
      <c r="AG1889">
        <f>N(AG1888)+$AF1889</f>
        <v>10</v>
      </c>
      <c r="AH1889">
        <f>IF(AND($N1889=1,AND(对接源_02物料!$D689="周转筐－销售出库",N(对接源_02物料!$K689)&lt;&gt;0)),1,0)</f>
        <v>0</v>
      </c>
      <c r="AI1889">
        <f>N(AI1888)+$AH1889</f>
        <v>0</v>
      </c>
      <c r="AL1889" t="n">
        <v>0</v>
      </c>
      <c r="AM1889">
        <f>N(AM1888)+$AL1889</f>
        <v>2</v>
      </c>
      <c r="AN1889">
        <f>""</f>
      </c>
      <c r="AO1889" t="n">
        <v>0</v>
      </c>
      <c r="AP1889">
        <f>N(AP1888)+$AO1889</f>
        <v>13</v>
      </c>
      <c r="AR1889">
        <f>IF(OR($AF1889=1,$AH1889=1),1,0)</f>
        <v>0</v>
      </c>
      <c r="AS1889">
        <f>N(AS1888)+$AR1889</f>
        <v>10</v>
      </c>
    </row>
    <row r="1890" s="127">
      <c r="A1890">
        <f>IF(对接源_02物料!$C690="","",对接源_02物料!$C690)</f>
      </c>
      <c r="B1890">
        <f>IF(A1890="",0,IF(MATCH(A1890,$A$4:$A$2403,0)=ROW()-3,1,0))</f>
        <v>0</v>
      </c>
      <c r="C1890">
        <f>N(C1889)+B1890</f>
        <v>26</v>
      </c>
      <c r="K1890">
        <f>IF(OR($K$1="",对接源_02物料!$C690="",对接源_02物料!$C690&lt;&gt;$K$1,对接源_02物料!$B690=""),0,IF(OR(N(对接源_02物料!$B690)&lt;$K$2,N(对接源_02物料!$B690)&gt;$K$3),0,1))</f>
        <v>0</v>
      </c>
      <c r="L1890">
        <f>IF(OR($L$1="",对接源_02物料!$C690="",对接源_02物料!$C690&lt;&gt;$L$1,对接源_02物料!$B690=""),0,IF(OR(N(对接源_02物料!$B690)&lt;$L$2,N(对接源_02物料!$B690)&gt;$L$3),0,1))</f>
        <v>0</v>
      </c>
      <c r="M1890">
        <f>IF(OR($M$1="",对接源_02物料!$C690="",对接源_02物料!$C690&lt;&gt;$M$1,对接源_02物料!$B690=""),0,IF(OR(N(对接源_02物料!$B690)&lt;$M$2,N(对接源_02物料!$B690)&gt;$M$3),0,1))</f>
        <v>0</v>
      </c>
      <c r="N1890">
        <f>IF(OR($N$1="",对接源_02物料!$C690="",对接源_02物料!$C690&lt;&gt;$N$1,对接源_02物料!$B690=""),0,IF(OR(N(对接源_02物料!$B690)&lt;$N$2,N(对接源_02物料!$B690)&gt;$N$3),0,1))</f>
        <v>0</v>
      </c>
      <c r="P1890">
        <f>IF(AND($K1890=1,AND(对接源_02物料!$X690="公司筐",N(对接源_02物料!$T690)&lt;&gt;0)),1,0)</f>
        <v>0</v>
      </c>
      <c r="Q1890">
        <f>N(Q1889)+$P1890</f>
        <v>14</v>
      </c>
      <c r="R1890">
        <f>IF(AND($K1890=1,AND(对接源_02物料!$X690="公司筐",N(对接源_02物料!$U690)&lt;&gt;0)),1,0)</f>
        <v>0</v>
      </c>
      <c r="S1890">
        <f>N(S1889)+$R1890</f>
        <v>1</v>
      </c>
      <c r="T1890">
        <f>IF(AND($K1890=1,AND(对接源_02物料!$X690="公司筐",N(对接源_02物料!$V690)&lt;&gt;0)),1,0)</f>
        <v>0</v>
      </c>
      <c r="U1890">
        <f>N(U1889)+$T1890</f>
        <v>47</v>
      </c>
      <c r="V1890">
        <f>IF(AND($L1890=1,AND(对接源_02物料!$X690="自备筐",N(对接源_02物料!$V690)&lt;&gt;0)),1,0)</f>
        <v>0</v>
      </c>
      <c r="W1890">
        <f>N(W1889)+$V1890</f>
        <v>11</v>
      </c>
      <c r="X1890">
        <f>IF(AND($L1890=1,AND(对接源_02物料!$X690="自备筐",N(对接源_02物料!$T690)&lt;&gt;0)),1,0)</f>
        <v>0</v>
      </c>
      <c r="Y1890">
        <f>N(Y1889)+$X1890</f>
        <v>0</v>
      </c>
      <c r="Z1890">
        <f>IF(AND($M1890=1,对接源_02物料!$D690="原料入库"),1,0)</f>
        <v>0</v>
      </c>
      <c r="AA1890">
        <f>N(AA1889)+$Z1890</f>
        <v>24</v>
      </c>
      <c r="AB1890">
        <f>IF(AND($M1890=1,LEFT(对接源_02物料!$D690,4)="原料出库"),1,0)</f>
        <v>0</v>
      </c>
      <c r="AC1890">
        <f>N(AC1889)+$AB1890</f>
        <v>0</v>
      </c>
      <c r="AD1890">
        <f>IF(AND($M1890=1,LEFT(对接源_02物料!$D690,4)="成品出库"),1,0)</f>
        <v>0</v>
      </c>
      <c r="AE1890">
        <f>N(AE1889)+$AD1890</f>
        <v>0</v>
      </c>
      <c r="AF1890">
        <f>IF(AND($N1890=1,AND(LEFT(对接源_02物料!$D690,4)="包装物料",N(对接源_02物料!$K690)&lt;&gt;0)),1,0)</f>
        <v>0</v>
      </c>
      <c r="AG1890">
        <f>N(AG1889)+$AF1890</f>
        <v>10</v>
      </c>
      <c r="AH1890">
        <f>IF(AND($N1890=1,AND(对接源_02物料!$D690="周转筐－销售出库",N(对接源_02物料!$K690)&lt;&gt;0)),1,0)</f>
        <v>0</v>
      </c>
      <c r="AI1890">
        <f>N(AI1889)+$AH1890</f>
        <v>0</v>
      </c>
      <c r="AL1890" t="n">
        <v>0</v>
      </c>
      <c r="AM1890">
        <f>N(AM1889)+$AL1890</f>
        <v>2</v>
      </c>
      <c r="AN1890">
        <f>""</f>
      </c>
      <c r="AO1890" t="n">
        <v>0</v>
      </c>
      <c r="AP1890">
        <f>N(AP1889)+$AO1890</f>
        <v>13</v>
      </c>
      <c r="AR1890">
        <f>IF(OR($AF1890=1,$AH1890=1),1,0)</f>
        <v>0</v>
      </c>
      <c r="AS1890">
        <f>N(AS1889)+$AR1890</f>
        <v>10</v>
      </c>
    </row>
    <row r="1891" s="127">
      <c r="A1891">
        <f>IF(对接源_02物料!$C691="","",对接源_02物料!$C691)</f>
      </c>
      <c r="B1891">
        <f>IF(A1891="",0,IF(MATCH(A1891,$A$4:$A$2403,0)=ROW()-3,1,0))</f>
        <v>0</v>
      </c>
      <c r="C1891">
        <f>N(C1890)+B1891</f>
        <v>26</v>
      </c>
      <c r="K1891">
        <f>IF(OR($K$1="",对接源_02物料!$C691="",对接源_02物料!$C691&lt;&gt;$K$1,对接源_02物料!$B691=""),0,IF(OR(N(对接源_02物料!$B691)&lt;$K$2,N(对接源_02物料!$B691)&gt;$K$3),0,1))</f>
        <v>0</v>
      </c>
      <c r="L1891">
        <f>IF(OR($L$1="",对接源_02物料!$C691="",对接源_02物料!$C691&lt;&gt;$L$1,对接源_02物料!$B691=""),0,IF(OR(N(对接源_02物料!$B691)&lt;$L$2,N(对接源_02物料!$B691)&gt;$L$3),0,1))</f>
        <v>0</v>
      </c>
      <c r="M1891">
        <f>IF(OR($M$1="",对接源_02物料!$C691="",对接源_02物料!$C691&lt;&gt;$M$1,对接源_02物料!$B691=""),0,IF(OR(N(对接源_02物料!$B691)&lt;$M$2,N(对接源_02物料!$B691)&gt;$M$3),0,1))</f>
        <v>0</v>
      </c>
      <c r="N1891">
        <f>IF(OR($N$1="",对接源_02物料!$C691="",对接源_02物料!$C691&lt;&gt;$N$1,对接源_02物料!$B691=""),0,IF(OR(N(对接源_02物料!$B691)&lt;$N$2,N(对接源_02物料!$B691)&gt;$N$3),0,1))</f>
        <v>0</v>
      </c>
      <c r="P1891">
        <f>IF(AND($K1891=1,AND(对接源_02物料!$X691="公司筐",N(对接源_02物料!$T691)&lt;&gt;0)),1,0)</f>
        <v>0</v>
      </c>
      <c r="Q1891">
        <f>N(Q1890)+$P1891</f>
        <v>14</v>
      </c>
      <c r="R1891">
        <f>IF(AND($K1891=1,AND(对接源_02物料!$X691="公司筐",N(对接源_02物料!$U691)&lt;&gt;0)),1,0)</f>
        <v>0</v>
      </c>
      <c r="S1891">
        <f>N(S1890)+$R1891</f>
        <v>1</v>
      </c>
      <c r="T1891">
        <f>IF(AND($K1891=1,AND(对接源_02物料!$X691="公司筐",N(对接源_02物料!$V691)&lt;&gt;0)),1,0)</f>
        <v>0</v>
      </c>
      <c r="U1891">
        <f>N(U1890)+$T1891</f>
        <v>47</v>
      </c>
      <c r="V1891">
        <f>IF(AND($L1891=1,AND(对接源_02物料!$X691="自备筐",N(对接源_02物料!$V691)&lt;&gt;0)),1,0)</f>
        <v>0</v>
      </c>
      <c r="W1891">
        <f>N(W1890)+$V1891</f>
        <v>11</v>
      </c>
      <c r="X1891">
        <f>IF(AND($L1891=1,AND(对接源_02物料!$X691="自备筐",N(对接源_02物料!$T691)&lt;&gt;0)),1,0)</f>
        <v>0</v>
      </c>
      <c r="Y1891">
        <f>N(Y1890)+$X1891</f>
        <v>0</v>
      </c>
      <c r="Z1891">
        <f>IF(AND($M1891=1,对接源_02物料!$D691="原料入库"),1,0)</f>
        <v>0</v>
      </c>
      <c r="AA1891">
        <f>N(AA1890)+$Z1891</f>
        <v>24</v>
      </c>
      <c r="AB1891">
        <f>IF(AND($M1891=1,LEFT(对接源_02物料!$D691,4)="原料出库"),1,0)</f>
        <v>0</v>
      </c>
      <c r="AC1891">
        <f>N(AC1890)+$AB1891</f>
        <v>0</v>
      </c>
      <c r="AD1891">
        <f>IF(AND($M1891=1,LEFT(对接源_02物料!$D691,4)="成品出库"),1,0)</f>
        <v>0</v>
      </c>
      <c r="AE1891">
        <f>N(AE1890)+$AD1891</f>
        <v>0</v>
      </c>
      <c r="AF1891">
        <f>IF(AND($N1891=1,AND(LEFT(对接源_02物料!$D691,4)="包装物料",N(对接源_02物料!$K691)&lt;&gt;0)),1,0)</f>
        <v>0</v>
      </c>
      <c r="AG1891">
        <f>N(AG1890)+$AF1891</f>
        <v>10</v>
      </c>
      <c r="AH1891">
        <f>IF(AND($N1891=1,AND(对接源_02物料!$D691="周转筐－销售出库",N(对接源_02物料!$K691)&lt;&gt;0)),1,0)</f>
        <v>0</v>
      </c>
      <c r="AI1891">
        <f>N(AI1890)+$AH1891</f>
        <v>0</v>
      </c>
      <c r="AL1891" t="n">
        <v>0</v>
      </c>
      <c r="AM1891">
        <f>N(AM1890)+$AL1891</f>
        <v>2</v>
      </c>
      <c r="AN1891">
        <f>""</f>
      </c>
      <c r="AO1891" t="n">
        <v>0</v>
      </c>
      <c r="AP1891">
        <f>N(AP1890)+$AO1891</f>
        <v>13</v>
      </c>
      <c r="AR1891">
        <f>IF(OR($AF1891=1,$AH1891=1),1,0)</f>
        <v>0</v>
      </c>
      <c r="AS1891">
        <f>N(AS1890)+$AR1891</f>
        <v>10</v>
      </c>
    </row>
    <row r="1892" s="127">
      <c r="A1892">
        <f>IF(对接源_02物料!$C692="","",对接源_02物料!$C692)</f>
      </c>
      <c r="B1892">
        <f>IF(A1892="",0,IF(MATCH(A1892,$A$4:$A$2403,0)=ROW()-3,1,0))</f>
        <v>0</v>
      </c>
      <c r="C1892">
        <f>N(C1891)+B1892</f>
        <v>26</v>
      </c>
      <c r="K1892">
        <f>IF(OR($K$1="",对接源_02物料!$C692="",对接源_02物料!$C692&lt;&gt;$K$1,对接源_02物料!$B692=""),0,IF(OR(N(对接源_02物料!$B692)&lt;$K$2,N(对接源_02物料!$B692)&gt;$K$3),0,1))</f>
        <v>0</v>
      </c>
      <c r="L1892">
        <f>IF(OR($L$1="",对接源_02物料!$C692="",对接源_02物料!$C692&lt;&gt;$L$1,对接源_02物料!$B692=""),0,IF(OR(N(对接源_02物料!$B692)&lt;$L$2,N(对接源_02物料!$B692)&gt;$L$3),0,1))</f>
        <v>0</v>
      </c>
      <c r="M1892">
        <f>IF(OR($M$1="",对接源_02物料!$C692="",对接源_02物料!$C692&lt;&gt;$M$1,对接源_02物料!$B692=""),0,IF(OR(N(对接源_02物料!$B692)&lt;$M$2,N(对接源_02物料!$B692)&gt;$M$3),0,1))</f>
        <v>0</v>
      </c>
      <c r="N1892">
        <f>IF(OR($N$1="",对接源_02物料!$C692="",对接源_02物料!$C692&lt;&gt;$N$1,对接源_02物料!$B692=""),0,IF(OR(N(对接源_02物料!$B692)&lt;$N$2,N(对接源_02物料!$B692)&gt;$N$3),0,1))</f>
        <v>0</v>
      </c>
      <c r="P1892">
        <f>IF(AND($K1892=1,AND(对接源_02物料!$X692="公司筐",N(对接源_02物料!$T692)&lt;&gt;0)),1,0)</f>
        <v>0</v>
      </c>
      <c r="Q1892">
        <f>N(Q1891)+$P1892</f>
        <v>14</v>
      </c>
      <c r="R1892">
        <f>IF(AND($K1892=1,AND(对接源_02物料!$X692="公司筐",N(对接源_02物料!$U692)&lt;&gt;0)),1,0)</f>
        <v>0</v>
      </c>
      <c r="S1892">
        <f>N(S1891)+$R1892</f>
        <v>1</v>
      </c>
      <c r="T1892">
        <f>IF(AND($K1892=1,AND(对接源_02物料!$X692="公司筐",N(对接源_02物料!$V692)&lt;&gt;0)),1,0)</f>
        <v>0</v>
      </c>
      <c r="U1892">
        <f>N(U1891)+$T1892</f>
        <v>47</v>
      </c>
      <c r="V1892">
        <f>IF(AND($L1892=1,AND(对接源_02物料!$X692="自备筐",N(对接源_02物料!$V692)&lt;&gt;0)),1,0)</f>
        <v>0</v>
      </c>
      <c r="W1892">
        <f>N(W1891)+$V1892</f>
        <v>11</v>
      </c>
      <c r="X1892">
        <f>IF(AND($L1892=1,AND(对接源_02物料!$X692="自备筐",N(对接源_02物料!$T692)&lt;&gt;0)),1,0)</f>
        <v>0</v>
      </c>
      <c r="Y1892">
        <f>N(Y1891)+$X1892</f>
        <v>0</v>
      </c>
      <c r="Z1892">
        <f>IF(AND($M1892=1,对接源_02物料!$D692="原料入库"),1,0)</f>
        <v>0</v>
      </c>
      <c r="AA1892">
        <f>N(AA1891)+$Z1892</f>
        <v>24</v>
      </c>
      <c r="AB1892">
        <f>IF(AND($M1892=1,LEFT(对接源_02物料!$D692,4)="原料出库"),1,0)</f>
        <v>0</v>
      </c>
      <c r="AC1892">
        <f>N(AC1891)+$AB1892</f>
        <v>0</v>
      </c>
      <c r="AD1892">
        <f>IF(AND($M1892=1,LEFT(对接源_02物料!$D692,4)="成品出库"),1,0)</f>
        <v>0</v>
      </c>
      <c r="AE1892">
        <f>N(AE1891)+$AD1892</f>
        <v>0</v>
      </c>
      <c r="AF1892">
        <f>IF(AND($N1892=1,AND(LEFT(对接源_02物料!$D692,4)="包装物料",N(对接源_02物料!$K692)&lt;&gt;0)),1,0)</f>
        <v>0</v>
      </c>
      <c r="AG1892">
        <f>N(AG1891)+$AF1892</f>
        <v>10</v>
      </c>
      <c r="AH1892">
        <f>IF(AND($N1892=1,AND(对接源_02物料!$D692="周转筐－销售出库",N(对接源_02物料!$K692)&lt;&gt;0)),1,0)</f>
        <v>0</v>
      </c>
      <c r="AI1892">
        <f>N(AI1891)+$AH1892</f>
        <v>0</v>
      </c>
      <c r="AL1892" t="n">
        <v>0</v>
      </c>
      <c r="AM1892">
        <f>N(AM1891)+$AL1892</f>
        <v>2</v>
      </c>
      <c r="AN1892">
        <f>""</f>
      </c>
      <c r="AO1892" t="n">
        <v>0</v>
      </c>
      <c r="AP1892">
        <f>N(AP1891)+$AO1892</f>
        <v>13</v>
      </c>
      <c r="AR1892">
        <f>IF(OR($AF1892=1,$AH1892=1),1,0)</f>
        <v>0</v>
      </c>
      <c r="AS1892">
        <f>N(AS1891)+$AR1892</f>
        <v>10</v>
      </c>
    </row>
    <row r="1893" s="127">
      <c r="A1893">
        <f>IF(对接源_02物料!$C693="","",对接源_02物料!$C693)</f>
      </c>
      <c r="B1893">
        <f>IF(A1893="",0,IF(MATCH(A1893,$A$4:$A$2403,0)=ROW()-3,1,0))</f>
        <v>0</v>
      </c>
      <c r="C1893">
        <f>N(C1892)+B1893</f>
        <v>26</v>
      </c>
      <c r="K1893">
        <f>IF(OR($K$1="",对接源_02物料!$C693="",对接源_02物料!$C693&lt;&gt;$K$1,对接源_02物料!$B693=""),0,IF(OR(N(对接源_02物料!$B693)&lt;$K$2,N(对接源_02物料!$B693)&gt;$K$3),0,1))</f>
        <v>0</v>
      </c>
      <c r="L1893">
        <f>IF(OR($L$1="",对接源_02物料!$C693="",对接源_02物料!$C693&lt;&gt;$L$1,对接源_02物料!$B693=""),0,IF(OR(N(对接源_02物料!$B693)&lt;$L$2,N(对接源_02物料!$B693)&gt;$L$3),0,1))</f>
        <v>0</v>
      </c>
      <c r="M1893">
        <f>IF(OR($M$1="",对接源_02物料!$C693="",对接源_02物料!$C693&lt;&gt;$M$1,对接源_02物料!$B693=""),0,IF(OR(N(对接源_02物料!$B693)&lt;$M$2,N(对接源_02物料!$B693)&gt;$M$3),0,1))</f>
        <v>0</v>
      </c>
      <c r="N1893">
        <f>IF(OR($N$1="",对接源_02物料!$C693="",对接源_02物料!$C693&lt;&gt;$N$1,对接源_02物料!$B693=""),0,IF(OR(N(对接源_02物料!$B693)&lt;$N$2,N(对接源_02物料!$B693)&gt;$N$3),0,1))</f>
        <v>0</v>
      </c>
      <c r="P1893">
        <f>IF(AND($K1893=1,AND(对接源_02物料!$X693="公司筐",N(对接源_02物料!$T693)&lt;&gt;0)),1,0)</f>
        <v>0</v>
      </c>
      <c r="Q1893">
        <f>N(Q1892)+$P1893</f>
        <v>14</v>
      </c>
      <c r="R1893">
        <f>IF(AND($K1893=1,AND(对接源_02物料!$X693="公司筐",N(对接源_02物料!$U693)&lt;&gt;0)),1,0)</f>
        <v>0</v>
      </c>
      <c r="S1893">
        <f>N(S1892)+$R1893</f>
        <v>1</v>
      </c>
      <c r="T1893">
        <f>IF(AND($K1893=1,AND(对接源_02物料!$X693="公司筐",N(对接源_02物料!$V693)&lt;&gt;0)),1,0)</f>
        <v>0</v>
      </c>
      <c r="U1893">
        <f>N(U1892)+$T1893</f>
        <v>47</v>
      </c>
      <c r="V1893">
        <f>IF(AND($L1893=1,AND(对接源_02物料!$X693="自备筐",N(对接源_02物料!$V693)&lt;&gt;0)),1,0)</f>
        <v>0</v>
      </c>
      <c r="W1893">
        <f>N(W1892)+$V1893</f>
        <v>11</v>
      </c>
      <c r="X1893">
        <f>IF(AND($L1893=1,AND(对接源_02物料!$X693="自备筐",N(对接源_02物料!$T693)&lt;&gt;0)),1,0)</f>
        <v>0</v>
      </c>
      <c r="Y1893">
        <f>N(Y1892)+$X1893</f>
        <v>0</v>
      </c>
      <c r="Z1893">
        <f>IF(AND($M1893=1,对接源_02物料!$D693="原料入库"),1,0)</f>
        <v>0</v>
      </c>
      <c r="AA1893">
        <f>N(AA1892)+$Z1893</f>
        <v>24</v>
      </c>
      <c r="AB1893">
        <f>IF(AND($M1893=1,LEFT(对接源_02物料!$D693,4)="原料出库"),1,0)</f>
        <v>0</v>
      </c>
      <c r="AC1893">
        <f>N(AC1892)+$AB1893</f>
        <v>0</v>
      </c>
      <c r="AD1893">
        <f>IF(AND($M1893=1,LEFT(对接源_02物料!$D693,4)="成品出库"),1,0)</f>
        <v>0</v>
      </c>
      <c r="AE1893">
        <f>N(AE1892)+$AD1893</f>
        <v>0</v>
      </c>
      <c r="AF1893">
        <f>IF(AND($N1893=1,AND(LEFT(对接源_02物料!$D693,4)="包装物料",N(对接源_02物料!$K693)&lt;&gt;0)),1,0)</f>
        <v>0</v>
      </c>
      <c r="AG1893">
        <f>N(AG1892)+$AF1893</f>
        <v>10</v>
      </c>
      <c r="AH1893">
        <f>IF(AND($N1893=1,AND(对接源_02物料!$D693="周转筐－销售出库",N(对接源_02物料!$K693)&lt;&gt;0)),1,0)</f>
        <v>0</v>
      </c>
      <c r="AI1893">
        <f>N(AI1892)+$AH1893</f>
        <v>0</v>
      </c>
      <c r="AL1893" t="n">
        <v>0</v>
      </c>
      <c r="AM1893">
        <f>N(AM1892)+$AL1893</f>
        <v>2</v>
      </c>
      <c r="AN1893">
        <f>""</f>
      </c>
      <c r="AO1893" t="n">
        <v>0</v>
      </c>
      <c r="AP1893">
        <f>N(AP1892)+$AO1893</f>
        <v>13</v>
      </c>
      <c r="AR1893">
        <f>IF(OR($AF1893=1,$AH1893=1),1,0)</f>
        <v>0</v>
      </c>
      <c r="AS1893">
        <f>N(AS1892)+$AR1893</f>
        <v>10</v>
      </c>
    </row>
    <row r="1894" s="127">
      <c r="A1894">
        <f>IF(对接源_02物料!$C694="","",对接源_02物料!$C694)</f>
      </c>
      <c r="B1894">
        <f>IF(A1894="",0,IF(MATCH(A1894,$A$4:$A$2403,0)=ROW()-3,1,0))</f>
        <v>0</v>
      </c>
      <c r="C1894">
        <f>N(C1893)+B1894</f>
        <v>26</v>
      </c>
      <c r="K1894">
        <f>IF(OR($K$1="",对接源_02物料!$C694="",对接源_02物料!$C694&lt;&gt;$K$1,对接源_02物料!$B694=""),0,IF(OR(N(对接源_02物料!$B694)&lt;$K$2,N(对接源_02物料!$B694)&gt;$K$3),0,1))</f>
        <v>0</v>
      </c>
      <c r="L1894">
        <f>IF(OR($L$1="",对接源_02物料!$C694="",对接源_02物料!$C694&lt;&gt;$L$1,对接源_02物料!$B694=""),0,IF(OR(N(对接源_02物料!$B694)&lt;$L$2,N(对接源_02物料!$B694)&gt;$L$3),0,1))</f>
        <v>0</v>
      </c>
      <c r="M1894">
        <f>IF(OR($M$1="",对接源_02物料!$C694="",对接源_02物料!$C694&lt;&gt;$M$1,对接源_02物料!$B694=""),0,IF(OR(N(对接源_02物料!$B694)&lt;$M$2,N(对接源_02物料!$B694)&gt;$M$3),0,1))</f>
        <v>0</v>
      </c>
      <c r="N1894">
        <f>IF(OR($N$1="",对接源_02物料!$C694="",对接源_02物料!$C694&lt;&gt;$N$1,对接源_02物料!$B694=""),0,IF(OR(N(对接源_02物料!$B694)&lt;$N$2,N(对接源_02物料!$B694)&gt;$N$3),0,1))</f>
        <v>0</v>
      </c>
      <c r="P1894">
        <f>IF(AND($K1894=1,AND(对接源_02物料!$X694="公司筐",N(对接源_02物料!$T694)&lt;&gt;0)),1,0)</f>
        <v>0</v>
      </c>
      <c r="Q1894">
        <f>N(Q1893)+$P1894</f>
        <v>14</v>
      </c>
      <c r="R1894">
        <f>IF(AND($K1894=1,AND(对接源_02物料!$X694="公司筐",N(对接源_02物料!$U694)&lt;&gt;0)),1,0)</f>
        <v>0</v>
      </c>
      <c r="S1894">
        <f>N(S1893)+$R1894</f>
        <v>1</v>
      </c>
      <c r="T1894">
        <f>IF(AND($K1894=1,AND(对接源_02物料!$X694="公司筐",N(对接源_02物料!$V694)&lt;&gt;0)),1,0)</f>
        <v>0</v>
      </c>
      <c r="U1894">
        <f>N(U1893)+$T1894</f>
        <v>47</v>
      </c>
      <c r="V1894">
        <f>IF(AND($L1894=1,AND(对接源_02物料!$X694="自备筐",N(对接源_02物料!$V694)&lt;&gt;0)),1,0)</f>
        <v>0</v>
      </c>
      <c r="W1894">
        <f>N(W1893)+$V1894</f>
        <v>11</v>
      </c>
      <c r="X1894">
        <f>IF(AND($L1894=1,AND(对接源_02物料!$X694="自备筐",N(对接源_02物料!$T694)&lt;&gt;0)),1,0)</f>
        <v>0</v>
      </c>
      <c r="Y1894">
        <f>N(Y1893)+$X1894</f>
        <v>0</v>
      </c>
      <c r="Z1894">
        <f>IF(AND($M1894=1,对接源_02物料!$D694="原料入库"),1,0)</f>
        <v>0</v>
      </c>
      <c r="AA1894">
        <f>N(AA1893)+$Z1894</f>
        <v>24</v>
      </c>
      <c r="AB1894">
        <f>IF(AND($M1894=1,LEFT(对接源_02物料!$D694,4)="原料出库"),1,0)</f>
        <v>0</v>
      </c>
      <c r="AC1894">
        <f>N(AC1893)+$AB1894</f>
        <v>0</v>
      </c>
      <c r="AD1894">
        <f>IF(AND($M1894=1,LEFT(对接源_02物料!$D694,4)="成品出库"),1,0)</f>
        <v>0</v>
      </c>
      <c r="AE1894">
        <f>N(AE1893)+$AD1894</f>
        <v>0</v>
      </c>
      <c r="AF1894">
        <f>IF(AND($N1894=1,AND(LEFT(对接源_02物料!$D694,4)="包装物料",N(对接源_02物料!$K694)&lt;&gt;0)),1,0)</f>
        <v>0</v>
      </c>
      <c r="AG1894">
        <f>N(AG1893)+$AF1894</f>
        <v>10</v>
      </c>
      <c r="AH1894">
        <f>IF(AND($N1894=1,AND(对接源_02物料!$D694="周转筐－销售出库",N(对接源_02物料!$K694)&lt;&gt;0)),1,0)</f>
        <v>0</v>
      </c>
      <c r="AI1894">
        <f>N(AI1893)+$AH1894</f>
        <v>0</v>
      </c>
      <c r="AL1894" t="n">
        <v>0</v>
      </c>
      <c r="AM1894">
        <f>N(AM1893)+$AL1894</f>
        <v>2</v>
      </c>
      <c r="AN1894">
        <f>""</f>
      </c>
      <c r="AO1894" t="n">
        <v>0</v>
      </c>
      <c r="AP1894">
        <f>N(AP1893)+$AO1894</f>
        <v>13</v>
      </c>
      <c r="AR1894">
        <f>IF(OR($AF1894=1,$AH1894=1),1,0)</f>
        <v>0</v>
      </c>
      <c r="AS1894">
        <f>N(AS1893)+$AR1894</f>
        <v>10</v>
      </c>
    </row>
    <row r="1895" s="127">
      <c r="A1895">
        <f>IF(对接源_02物料!$C695="","",对接源_02物料!$C695)</f>
      </c>
      <c r="B1895">
        <f>IF(A1895="",0,IF(MATCH(A1895,$A$4:$A$2403,0)=ROW()-3,1,0))</f>
        <v>0</v>
      </c>
      <c r="C1895">
        <f>N(C1894)+B1895</f>
        <v>26</v>
      </c>
      <c r="K1895">
        <f>IF(OR($K$1="",对接源_02物料!$C695="",对接源_02物料!$C695&lt;&gt;$K$1,对接源_02物料!$B695=""),0,IF(OR(N(对接源_02物料!$B695)&lt;$K$2,N(对接源_02物料!$B695)&gt;$K$3),0,1))</f>
        <v>0</v>
      </c>
      <c r="L1895">
        <f>IF(OR($L$1="",对接源_02物料!$C695="",对接源_02物料!$C695&lt;&gt;$L$1,对接源_02物料!$B695=""),0,IF(OR(N(对接源_02物料!$B695)&lt;$L$2,N(对接源_02物料!$B695)&gt;$L$3),0,1))</f>
        <v>0</v>
      </c>
      <c r="M1895">
        <f>IF(OR($M$1="",对接源_02物料!$C695="",对接源_02物料!$C695&lt;&gt;$M$1,对接源_02物料!$B695=""),0,IF(OR(N(对接源_02物料!$B695)&lt;$M$2,N(对接源_02物料!$B695)&gt;$M$3),0,1))</f>
        <v>0</v>
      </c>
      <c r="N1895">
        <f>IF(OR($N$1="",对接源_02物料!$C695="",对接源_02物料!$C695&lt;&gt;$N$1,对接源_02物料!$B695=""),0,IF(OR(N(对接源_02物料!$B695)&lt;$N$2,N(对接源_02物料!$B695)&gt;$N$3),0,1))</f>
        <v>0</v>
      </c>
      <c r="P1895">
        <f>IF(AND($K1895=1,AND(对接源_02物料!$X695="公司筐",N(对接源_02物料!$T695)&lt;&gt;0)),1,0)</f>
        <v>0</v>
      </c>
      <c r="Q1895">
        <f>N(Q1894)+$P1895</f>
        <v>14</v>
      </c>
      <c r="R1895">
        <f>IF(AND($K1895=1,AND(对接源_02物料!$X695="公司筐",N(对接源_02物料!$U695)&lt;&gt;0)),1,0)</f>
        <v>0</v>
      </c>
      <c r="S1895">
        <f>N(S1894)+$R1895</f>
        <v>1</v>
      </c>
      <c r="T1895">
        <f>IF(AND($K1895=1,AND(对接源_02物料!$X695="公司筐",N(对接源_02物料!$V695)&lt;&gt;0)),1,0)</f>
        <v>0</v>
      </c>
      <c r="U1895">
        <f>N(U1894)+$T1895</f>
        <v>47</v>
      </c>
      <c r="V1895">
        <f>IF(AND($L1895=1,AND(对接源_02物料!$X695="自备筐",N(对接源_02物料!$V695)&lt;&gt;0)),1,0)</f>
        <v>0</v>
      </c>
      <c r="W1895">
        <f>N(W1894)+$V1895</f>
        <v>11</v>
      </c>
      <c r="X1895">
        <f>IF(AND($L1895=1,AND(对接源_02物料!$X695="自备筐",N(对接源_02物料!$T695)&lt;&gt;0)),1,0)</f>
        <v>0</v>
      </c>
      <c r="Y1895">
        <f>N(Y1894)+$X1895</f>
        <v>0</v>
      </c>
      <c r="Z1895">
        <f>IF(AND($M1895=1,对接源_02物料!$D695="原料入库"),1,0)</f>
        <v>0</v>
      </c>
      <c r="AA1895">
        <f>N(AA1894)+$Z1895</f>
        <v>24</v>
      </c>
      <c r="AB1895">
        <f>IF(AND($M1895=1,LEFT(对接源_02物料!$D695,4)="原料出库"),1,0)</f>
        <v>0</v>
      </c>
      <c r="AC1895">
        <f>N(AC1894)+$AB1895</f>
        <v>0</v>
      </c>
      <c r="AD1895">
        <f>IF(AND($M1895=1,LEFT(对接源_02物料!$D695,4)="成品出库"),1,0)</f>
        <v>0</v>
      </c>
      <c r="AE1895">
        <f>N(AE1894)+$AD1895</f>
        <v>0</v>
      </c>
      <c r="AF1895">
        <f>IF(AND($N1895=1,AND(LEFT(对接源_02物料!$D695,4)="包装物料",N(对接源_02物料!$K695)&lt;&gt;0)),1,0)</f>
        <v>0</v>
      </c>
      <c r="AG1895">
        <f>N(AG1894)+$AF1895</f>
        <v>10</v>
      </c>
      <c r="AH1895">
        <f>IF(AND($N1895=1,AND(对接源_02物料!$D695="周转筐－销售出库",N(对接源_02物料!$K695)&lt;&gt;0)),1,0)</f>
        <v>0</v>
      </c>
      <c r="AI1895">
        <f>N(AI1894)+$AH1895</f>
        <v>0</v>
      </c>
      <c r="AL1895" t="n">
        <v>0</v>
      </c>
      <c r="AM1895">
        <f>N(AM1894)+$AL1895</f>
        <v>2</v>
      </c>
      <c r="AN1895">
        <f>""</f>
      </c>
      <c r="AO1895" t="n">
        <v>0</v>
      </c>
      <c r="AP1895">
        <f>N(AP1894)+$AO1895</f>
        <v>13</v>
      </c>
      <c r="AR1895">
        <f>IF(OR($AF1895=1,$AH1895=1),1,0)</f>
        <v>0</v>
      </c>
      <c r="AS1895">
        <f>N(AS1894)+$AR1895</f>
        <v>10</v>
      </c>
    </row>
    <row r="1896" s="127">
      <c r="A1896">
        <f>IF(对接源_02物料!$C696="","",对接源_02物料!$C696)</f>
      </c>
      <c r="B1896">
        <f>IF(A1896="",0,IF(MATCH(A1896,$A$4:$A$2403,0)=ROW()-3,1,0))</f>
        <v>0</v>
      </c>
      <c r="C1896">
        <f>N(C1895)+B1896</f>
        <v>26</v>
      </c>
      <c r="K1896">
        <f>IF(OR($K$1="",对接源_02物料!$C696="",对接源_02物料!$C696&lt;&gt;$K$1,对接源_02物料!$B696=""),0,IF(OR(N(对接源_02物料!$B696)&lt;$K$2,N(对接源_02物料!$B696)&gt;$K$3),0,1))</f>
        <v>0</v>
      </c>
      <c r="L1896">
        <f>IF(OR($L$1="",对接源_02物料!$C696="",对接源_02物料!$C696&lt;&gt;$L$1,对接源_02物料!$B696=""),0,IF(OR(N(对接源_02物料!$B696)&lt;$L$2,N(对接源_02物料!$B696)&gt;$L$3),0,1))</f>
        <v>0</v>
      </c>
      <c r="M1896">
        <f>IF(OR($M$1="",对接源_02物料!$C696="",对接源_02物料!$C696&lt;&gt;$M$1,对接源_02物料!$B696=""),0,IF(OR(N(对接源_02物料!$B696)&lt;$M$2,N(对接源_02物料!$B696)&gt;$M$3),0,1))</f>
        <v>0</v>
      </c>
      <c r="N1896">
        <f>IF(OR($N$1="",对接源_02物料!$C696="",对接源_02物料!$C696&lt;&gt;$N$1,对接源_02物料!$B696=""),0,IF(OR(N(对接源_02物料!$B696)&lt;$N$2,N(对接源_02物料!$B696)&gt;$N$3),0,1))</f>
        <v>0</v>
      </c>
      <c r="P1896">
        <f>IF(AND($K1896=1,AND(对接源_02物料!$X696="公司筐",N(对接源_02物料!$T696)&lt;&gt;0)),1,0)</f>
        <v>0</v>
      </c>
      <c r="Q1896">
        <f>N(Q1895)+$P1896</f>
        <v>14</v>
      </c>
      <c r="R1896">
        <f>IF(AND($K1896=1,AND(对接源_02物料!$X696="公司筐",N(对接源_02物料!$U696)&lt;&gt;0)),1,0)</f>
        <v>0</v>
      </c>
      <c r="S1896">
        <f>N(S1895)+$R1896</f>
        <v>1</v>
      </c>
      <c r="T1896">
        <f>IF(AND($K1896=1,AND(对接源_02物料!$X696="公司筐",N(对接源_02物料!$V696)&lt;&gt;0)),1,0)</f>
        <v>0</v>
      </c>
      <c r="U1896">
        <f>N(U1895)+$T1896</f>
        <v>47</v>
      </c>
      <c r="V1896">
        <f>IF(AND($L1896=1,AND(对接源_02物料!$X696="自备筐",N(对接源_02物料!$V696)&lt;&gt;0)),1,0)</f>
        <v>0</v>
      </c>
      <c r="W1896">
        <f>N(W1895)+$V1896</f>
        <v>11</v>
      </c>
      <c r="X1896">
        <f>IF(AND($L1896=1,AND(对接源_02物料!$X696="自备筐",N(对接源_02物料!$T696)&lt;&gt;0)),1,0)</f>
        <v>0</v>
      </c>
      <c r="Y1896">
        <f>N(Y1895)+$X1896</f>
        <v>0</v>
      </c>
      <c r="Z1896">
        <f>IF(AND($M1896=1,对接源_02物料!$D696="原料入库"),1,0)</f>
        <v>0</v>
      </c>
      <c r="AA1896">
        <f>N(AA1895)+$Z1896</f>
        <v>24</v>
      </c>
      <c r="AB1896">
        <f>IF(AND($M1896=1,LEFT(对接源_02物料!$D696,4)="原料出库"),1,0)</f>
        <v>0</v>
      </c>
      <c r="AC1896">
        <f>N(AC1895)+$AB1896</f>
        <v>0</v>
      </c>
      <c r="AD1896">
        <f>IF(AND($M1896=1,LEFT(对接源_02物料!$D696,4)="成品出库"),1,0)</f>
        <v>0</v>
      </c>
      <c r="AE1896">
        <f>N(AE1895)+$AD1896</f>
        <v>0</v>
      </c>
      <c r="AF1896">
        <f>IF(AND($N1896=1,AND(LEFT(对接源_02物料!$D696,4)="包装物料",N(对接源_02物料!$K696)&lt;&gt;0)),1,0)</f>
        <v>0</v>
      </c>
      <c r="AG1896">
        <f>N(AG1895)+$AF1896</f>
        <v>10</v>
      </c>
      <c r="AH1896">
        <f>IF(AND($N1896=1,AND(对接源_02物料!$D696="周转筐－销售出库",N(对接源_02物料!$K696)&lt;&gt;0)),1,0)</f>
        <v>0</v>
      </c>
      <c r="AI1896">
        <f>N(AI1895)+$AH1896</f>
        <v>0</v>
      </c>
      <c r="AL1896" t="n">
        <v>0</v>
      </c>
      <c r="AM1896">
        <f>N(AM1895)+$AL1896</f>
        <v>2</v>
      </c>
      <c r="AN1896">
        <f>""</f>
      </c>
      <c r="AO1896" t="n">
        <v>0</v>
      </c>
      <c r="AP1896">
        <f>N(AP1895)+$AO1896</f>
        <v>13</v>
      </c>
      <c r="AR1896">
        <f>IF(OR($AF1896=1,$AH1896=1),1,0)</f>
        <v>0</v>
      </c>
      <c r="AS1896">
        <f>N(AS1895)+$AR1896</f>
        <v>10</v>
      </c>
    </row>
    <row r="1897" s="127">
      <c r="A1897">
        <f>IF(对接源_02物料!$C697="","",对接源_02物料!$C697)</f>
      </c>
      <c r="B1897">
        <f>IF(A1897="",0,IF(MATCH(A1897,$A$4:$A$2403,0)=ROW()-3,1,0))</f>
        <v>0</v>
      </c>
      <c r="C1897">
        <f>N(C1896)+B1897</f>
        <v>26</v>
      </c>
      <c r="K1897">
        <f>IF(OR($K$1="",对接源_02物料!$C697="",对接源_02物料!$C697&lt;&gt;$K$1,对接源_02物料!$B697=""),0,IF(OR(N(对接源_02物料!$B697)&lt;$K$2,N(对接源_02物料!$B697)&gt;$K$3),0,1))</f>
        <v>0</v>
      </c>
      <c r="L1897">
        <f>IF(OR($L$1="",对接源_02物料!$C697="",对接源_02物料!$C697&lt;&gt;$L$1,对接源_02物料!$B697=""),0,IF(OR(N(对接源_02物料!$B697)&lt;$L$2,N(对接源_02物料!$B697)&gt;$L$3),0,1))</f>
        <v>0</v>
      </c>
      <c r="M1897">
        <f>IF(OR($M$1="",对接源_02物料!$C697="",对接源_02物料!$C697&lt;&gt;$M$1,对接源_02物料!$B697=""),0,IF(OR(N(对接源_02物料!$B697)&lt;$M$2,N(对接源_02物料!$B697)&gt;$M$3),0,1))</f>
        <v>0</v>
      </c>
      <c r="N1897">
        <f>IF(OR($N$1="",对接源_02物料!$C697="",对接源_02物料!$C697&lt;&gt;$N$1,对接源_02物料!$B697=""),0,IF(OR(N(对接源_02物料!$B697)&lt;$N$2,N(对接源_02物料!$B697)&gt;$N$3),0,1))</f>
        <v>0</v>
      </c>
      <c r="P1897">
        <f>IF(AND($K1897=1,AND(对接源_02物料!$X697="公司筐",N(对接源_02物料!$T697)&lt;&gt;0)),1,0)</f>
        <v>0</v>
      </c>
      <c r="Q1897">
        <f>N(Q1896)+$P1897</f>
        <v>14</v>
      </c>
      <c r="R1897">
        <f>IF(AND($K1897=1,AND(对接源_02物料!$X697="公司筐",N(对接源_02物料!$U697)&lt;&gt;0)),1,0)</f>
        <v>0</v>
      </c>
      <c r="S1897">
        <f>N(S1896)+$R1897</f>
        <v>1</v>
      </c>
      <c r="T1897">
        <f>IF(AND($K1897=1,AND(对接源_02物料!$X697="公司筐",N(对接源_02物料!$V697)&lt;&gt;0)),1,0)</f>
        <v>0</v>
      </c>
      <c r="U1897">
        <f>N(U1896)+$T1897</f>
        <v>47</v>
      </c>
      <c r="V1897">
        <f>IF(AND($L1897=1,AND(对接源_02物料!$X697="自备筐",N(对接源_02物料!$V697)&lt;&gt;0)),1,0)</f>
        <v>0</v>
      </c>
      <c r="W1897">
        <f>N(W1896)+$V1897</f>
        <v>11</v>
      </c>
      <c r="X1897">
        <f>IF(AND($L1897=1,AND(对接源_02物料!$X697="自备筐",N(对接源_02物料!$T697)&lt;&gt;0)),1,0)</f>
        <v>0</v>
      </c>
      <c r="Y1897">
        <f>N(Y1896)+$X1897</f>
        <v>0</v>
      </c>
      <c r="Z1897">
        <f>IF(AND($M1897=1,对接源_02物料!$D697="原料入库"),1,0)</f>
        <v>0</v>
      </c>
      <c r="AA1897">
        <f>N(AA1896)+$Z1897</f>
        <v>24</v>
      </c>
      <c r="AB1897">
        <f>IF(AND($M1897=1,LEFT(对接源_02物料!$D697,4)="原料出库"),1,0)</f>
        <v>0</v>
      </c>
      <c r="AC1897">
        <f>N(AC1896)+$AB1897</f>
        <v>0</v>
      </c>
      <c r="AD1897">
        <f>IF(AND($M1897=1,LEFT(对接源_02物料!$D697,4)="成品出库"),1,0)</f>
        <v>0</v>
      </c>
      <c r="AE1897">
        <f>N(AE1896)+$AD1897</f>
        <v>0</v>
      </c>
      <c r="AF1897">
        <f>IF(AND($N1897=1,AND(LEFT(对接源_02物料!$D697,4)="包装物料",N(对接源_02物料!$K697)&lt;&gt;0)),1,0)</f>
        <v>0</v>
      </c>
      <c r="AG1897">
        <f>N(AG1896)+$AF1897</f>
        <v>10</v>
      </c>
      <c r="AH1897">
        <f>IF(AND($N1897=1,AND(对接源_02物料!$D697="周转筐－销售出库",N(对接源_02物料!$K697)&lt;&gt;0)),1,0)</f>
        <v>0</v>
      </c>
      <c r="AI1897">
        <f>N(AI1896)+$AH1897</f>
        <v>0</v>
      </c>
      <c r="AL1897" t="n">
        <v>0</v>
      </c>
      <c r="AM1897">
        <f>N(AM1896)+$AL1897</f>
        <v>2</v>
      </c>
      <c r="AN1897">
        <f>""</f>
      </c>
      <c r="AO1897" t="n">
        <v>0</v>
      </c>
      <c r="AP1897">
        <f>N(AP1896)+$AO1897</f>
        <v>13</v>
      </c>
      <c r="AR1897">
        <f>IF(OR($AF1897=1,$AH1897=1),1,0)</f>
        <v>0</v>
      </c>
      <c r="AS1897">
        <f>N(AS1896)+$AR1897</f>
        <v>10</v>
      </c>
    </row>
    <row r="1898" s="127">
      <c r="A1898">
        <f>IF(对接源_02物料!$C698="","",对接源_02物料!$C698)</f>
      </c>
      <c r="B1898">
        <f>IF(A1898="",0,IF(MATCH(A1898,$A$4:$A$2403,0)=ROW()-3,1,0))</f>
        <v>0</v>
      </c>
      <c r="C1898">
        <f>N(C1897)+B1898</f>
        <v>26</v>
      </c>
      <c r="K1898">
        <f>IF(OR($K$1="",对接源_02物料!$C698="",对接源_02物料!$C698&lt;&gt;$K$1,对接源_02物料!$B698=""),0,IF(OR(N(对接源_02物料!$B698)&lt;$K$2,N(对接源_02物料!$B698)&gt;$K$3),0,1))</f>
        <v>0</v>
      </c>
      <c r="L1898">
        <f>IF(OR($L$1="",对接源_02物料!$C698="",对接源_02物料!$C698&lt;&gt;$L$1,对接源_02物料!$B698=""),0,IF(OR(N(对接源_02物料!$B698)&lt;$L$2,N(对接源_02物料!$B698)&gt;$L$3),0,1))</f>
        <v>0</v>
      </c>
      <c r="M1898">
        <f>IF(OR($M$1="",对接源_02物料!$C698="",对接源_02物料!$C698&lt;&gt;$M$1,对接源_02物料!$B698=""),0,IF(OR(N(对接源_02物料!$B698)&lt;$M$2,N(对接源_02物料!$B698)&gt;$M$3),0,1))</f>
        <v>0</v>
      </c>
      <c r="N1898">
        <f>IF(OR($N$1="",对接源_02物料!$C698="",对接源_02物料!$C698&lt;&gt;$N$1,对接源_02物料!$B698=""),0,IF(OR(N(对接源_02物料!$B698)&lt;$N$2,N(对接源_02物料!$B698)&gt;$N$3),0,1))</f>
        <v>0</v>
      </c>
      <c r="P1898">
        <f>IF(AND($K1898=1,AND(对接源_02物料!$X698="公司筐",N(对接源_02物料!$T698)&lt;&gt;0)),1,0)</f>
        <v>0</v>
      </c>
      <c r="Q1898">
        <f>N(Q1897)+$P1898</f>
        <v>14</v>
      </c>
      <c r="R1898">
        <f>IF(AND($K1898=1,AND(对接源_02物料!$X698="公司筐",N(对接源_02物料!$U698)&lt;&gt;0)),1,0)</f>
        <v>0</v>
      </c>
      <c r="S1898">
        <f>N(S1897)+$R1898</f>
        <v>1</v>
      </c>
      <c r="T1898">
        <f>IF(AND($K1898=1,AND(对接源_02物料!$X698="公司筐",N(对接源_02物料!$V698)&lt;&gt;0)),1,0)</f>
        <v>0</v>
      </c>
      <c r="U1898">
        <f>N(U1897)+$T1898</f>
        <v>47</v>
      </c>
      <c r="V1898">
        <f>IF(AND($L1898=1,AND(对接源_02物料!$X698="自备筐",N(对接源_02物料!$V698)&lt;&gt;0)),1,0)</f>
        <v>0</v>
      </c>
      <c r="W1898">
        <f>N(W1897)+$V1898</f>
        <v>11</v>
      </c>
      <c r="X1898">
        <f>IF(AND($L1898=1,AND(对接源_02物料!$X698="自备筐",N(对接源_02物料!$T698)&lt;&gt;0)),1,0)</f>
        <v>0</v>
      </c>
      <c r="Y1898">
        <f>N(Y1897)+$X1898</f>
        <v>0</v>
      </c>
      <c r="Z1898">
        <f>IF(AND($M1898=1,对接源_02物料!$D698="原料入库"),1,0)</f>
        <v>0</v>
      </c>
      <c r="AA1898">
        <f>N(AA1897)+$Z1898</f>
        <v>24</v>
      </c>
      <c r="AB1898">
        <f>IF(AND($M1898=1,LEFT(对接源_02物料!$D698,4)="原料出库"),1,0)</f>
        <v>0</v>
      </c>
      <c r="AC1898">
        <f>N(AC1897)+$AB1898</f>
        <v>0</v>
      </c>
      <c r="AD1898">
        <f>IF(AND($M1898=1,LEFT(对接源_02物料!$D698,4)="成品出库"),1,0)</f>
        <v>0</v>
      </c>
      <c r="AE1898">
        <f>N(AE1897)+$AD1898</f>
        <v>0</v>
      </c>
      <c r="AF1898">
        <f>IF(AND($N1898=1,AND(LEFT(对接源_02物料!$D698,4)="包装物料",N(对接源_02物料!$K698)&lt;&gt;0)),1,0)</f>
        <v>0</v>
      </c>
      <c r="AG1898">
        <f>N(AG1897)+$AF1898</f>
        <v>10</v>
      </c>
      <c r="AH1898">
        <f>IF(AND($N1898=1,AND(对接源_02物料!$D698="周转筐－销售出库",N(对接源_02物料!$K698)&lt;&gt;0)),1,0)</f>
        <v>0</v>
      </c>
      <c r="AI1898">
        <f>N(AI1897)+$AH1898</f>
        <v>0</v>
      </c>
      <c r="AL1898" t="n">
        <v>0</v>
      </c>
      <c r="AM1898">
        <f>N(AM1897)+$AL1898</f>
        <v>2</v>
      </c>
      <c r="AN1898">
        <f>""</f>
      </c>
      <c r="AO1898" t="n">
        <v>0</v>
      </c>
      <c r="AP1898">
        <f>N(AP1897)+$AO1898</f>
        <v>13</v>
      </c>
      <c r="AR1898">
        <f>IF(OR($AF1898=1,$AH1898=1),1,0)</f>
        <v>0</v>
      </c>
      <c r="AS1898">
        <f>N(AS1897)+$AR1898</f>
        <v>10</v>
      </c>
    </row>
    <row r="1899" s="127">
      <c r="A1899">
        <f>IF(对接源_02物料!$C699="","",对接源_02物料!$C699)</f>
      </c>
      <c r="B1899">
        <f>IF(A1899="",0,IF(MATCH(A1899,$A$4:$A$2403,0)=ROW()-3,1,0))</f>
        <v>0</v>
      </c>
      <c r="C1899">
        <f>N(C1898)+B1899</f>
        <v>26</v>
      </c>
      <c r="K1899">
        <f>IF(OR($K$1="",对接源_02物料!$C699="",对接源_02物料!$C699&lt;&gt;$K$1,对接源_02物料!$B699=""),0,IF(OR(N(对接源_02物料!$B699)&lt;$K$2,N(对接源_02物料!$B699)&gt;$K$3),0,1))</f>
        <v>0</v>
      </c>
      <c r="L1899">
        <f>IF(OR($L$1="",对接源_02物料!$C699="",对接源_02物料!$C699&lt;&gt;$L$1,对接源_02物料!$B699=""),0,IF(OR(N(对接源_02物料!$B699)&lt;$L$2,N(对接源_02物料!$B699)&gt;$L$3),0,1))</f>
        <v>0</v>
      </c>
      <c r="M1899">
        <f>IF(OR($M$1="",对接源_02物料!$C699="",对接源_02物料!$C699&lt;&gt;$M$1,对接源_02物料!$B699=""),0,IF(OR(N(对接源_02物料!$B699)&lt;$M$2,N(对接源_02物料!$B699)&gt;$M$3),0,1))</f>
        <v>0</v>
      </c>
      <c r="N1899">
        <f>IF(OR($N$1="",对接源_02物料!$C699="",对接源_02物料!$C699&lt;&gt;$N$1,对接源_02物料!$B699=""),0,IF(OR(N(对接源_02物料!$B699)&lt;$N$2,N(对接源_02物料!$B699)&gt;$N$3),0,1))</f>
        <v>0</v>
      </c>
      <c r="P1899">
        <f>IF(AND($K1899=1,AND(对接源_02物料!$X699="公司筐",N(对接源_02物料!$T699)&lt;&gt;0)),1,0)</f>
        <v>0</v>
      </c>
      <c r="Q1899">
        <f>N(Q1898)+$P1899</f>
        <v>14</v>
      </c>
      <c r="R1899">
        <f>IF(AND($K1899=1,AND(对接源_02物料!$X699="公司筐",N(对接源_02物料!$U699)&lt;&gt;0)),1,0)</f>
        <v>0</v>
      </c>
      <c r="S1899">
        <f>N(S1898)+$R1899</f>
        <v>1</v>
      </c>
      <c r="T1899">
        <f>IF(AND($K1899=1,AND(对接源_02物料!$X699="公司筐",N(对接源_02物料!$V699)&lt;&gt;0)),1,0)</f>
        <v>0</v>
      </c>
      <c r="U1899">
        <f>N(U1898)+$T1899</f>
        <v>47</v>
      </c>
      <c r="V1899">
        <f>IF(AND($L1899=1,AND(对接源_02物料!$X699="自备筐",N(对接源_02物料!$V699)&lt;&gt;0)),1,0)</f>
        <v>0</v>
      </c>
      <c r="W1899">
        <f>N(W1898)+$V1899</f>
        <v>11</v>
      </c>
      <c r="X1899">
        <f>IF(AND($L1899=1,AND(对接源_02物料!$X699="自备筐",N(对接源_02物料!$T699)&lt;&gt;0)),1,0)</f>
        <v>0</v>
      </c>
      <c r="Y1899">
        <f>N(Y1898)+$X1899</f>
        <v>0</v>
      </c>
      <c r="Z1899">
        <f>IF(AND($M1899=1,对接源_02物料!$D699="原料入库"),1,0)</f>
        <v>0</v>
      </c>
      <c r="AA1899">
        <f>N(AA1898)+$Z1899</f>
        <v>24</v>
      </c>
      <c r="AB1899">
        <f>IF(AND($M1899=1,LEFT(对接源_02物料!$D699,4)="原料出库"),1,0)</f>
        <v>0</v>
      </c>
      <c r="AC1899">
        <f>N(AC1898)+$AB1899</f>
        <v>0</v>
      </c>
      <c r="AD1899">
        <f>IF(AND($M1899=1,LEFT(对接源_02物料!$D699,4)="成品出库"),1,0)</f>
        <v>0</v>
      </c>
      <c r="AE1899">
        <f>N(AE1898)+$AD1899</f>
        <v>0</v>
      </c>
      <c r="AF1899">
        <f>IF(AND($N1899=1,AND(LEFT(对接源_02物料!$D699,4)="包装物料",N(对接源_02物料!$K699)&lt;&gt;0)),1,0)</f>
        <v>0</v>
      </c>
      <c r="AG1899">
        <f>N(AG1898)+$AF1899</f>
        <v>10</v>
      </c>
      <c r="AH1899">
        <f>IF(AND($N1899=1,AND(对接源_02物料!$D699="周转筐－销售出库",N(对接源_02物料!$K699)&lt;&gt;0)),1,0)</f>
        <v>0</v>
      </c>
      <c r="AI1899">
        <f>N(AI1898)+$AH1899</f>
        <v>0</v>
      </c>
      <c r="AL1899" t="n">
        <v>0</v>
      </c>
      <c r="AM1899">
        <f>N(AM1898)+$AL1899</f>
        <v>2</v>
      </c>
      <c r="AN1899">
        <f>""</f>
      </c>
      <c r="AO1899" t="n">
        <v>0</v>
      </c>
      <c r="AP1899">
        <f>N(AP1898)+$AO1899</f>
        <v>13</v>
      </c>
      <c r="AR1899">
        <f>IF(OR($AF1899=1,$AH1899=1),1,0)</f>
        <v>0</v>
      </c>
      <c r="AS1899">
        <f>N(AS1898)+$AR1899</f>
        <v>10</v>
      </c>
    </row>
    <row r="1900" s="127">
      <c r="A1900">
        <f>IF(对接源_02物料!$C700="","",对接源_02物料!$C700)</f>
      </c>
      <c r="B1900">
        <f>IF(A1900="",0,IF(MATCH(A1900,$A$4:$A$2403,0)=ROW()-3,1,0))</f>
        <v>0</v>
      </c>
      <c r="C1900">
        <f>N(C1899)+B1900</f>
        <v>26</v>
      </c>
      <c r="K1900">
        <f>IF(OR($K$1="",对接源_02物料!$C700="",对接源_02物料!$C700&lt;&gt;$K$1,对接源_02物料!$B700=""),0,IF(OR(N(对接源_02物料!$B700)&lt;$K$2,N(对接源_02物料!$B700)&gt;$K$3),0,1))</f>
        <v>0</v>
      </c>
      <c r="L1900">
        <f>IF(OR($L$1="",对接源_02物料!$C700="",对接源_02物料!$C700&lt;&gt;$L$1,对接源_02物料!$B700=""),0,IF(OR(N(对接源_02物料!$B700)&lt;$L$2,N(对接源_02物料!$B700)&gt;$L$3),0,1))</f>
        <v>0</v>
      </c>
      <c r="M1900">
        <f>IF(OR($M$1="",对接源_02物料!$C700="",对接源_02物料!$C700&lt;&gt;$M$1,对接源_02物料!$B700=""),0,IF(OR(N(对接源_02物料!$B700)&lt;$M$2,N(对接源_02物料!$B700)&gt;$M$3),0,1))</f>
        <v>0</v>
      </c>
      <c r="N1900">
        <f>IF(OR($N$1="",对接源_02物料!$C700="",对接源_02物料!$C700&lt;&gt;$N$1,对接源_02物料!$B700=""),0,IF(OR(N(对接源_02物料!$B700)&lt;$N$2,N(对接源_02物料!$B700)&gt;$N$3),0,1))</f>
        <v>0</v>
      </c>
      <c r="P1900">
        <f>IF(AND($K1900=1,AND(对接源_02物料!$X700="公司筐",N(对接源_02物料!$T700)&lt;&gt;0)),1,0)</f>
        <v>0</v>
      </c>
      <c r="Q1900">
        <f>N(Q1899)+$P1900</f>
        <v>14</v>
      </c>
      <c r="R1900">
        <f>IF(AND($K1900=1,AND(对接源_02物料!$X700="公司筐",N(对接源_02物料!$U700)&lt;&gt;0)),1,0)</f>
        <v>0</v>
      </c>
      <c r="S1900">
        <f>N(S1899)+$R1900</f>
        <v>1</v>
      </c>
      <c r="T1900">
        <f>IF(AND($K1900=1,AND(对接源_02物料!$X700="公司筐",N(对接源_02物料!$V700)&lt;&gt;0)),1,0)</f>
        <v>0</v>
      </c>
      <c r="U1900">
        <f>N(U1899)+$T1900</f>
        <v>47</v>
      </c>
      <c r="V1900">
        <f>IF(AND($L1900=1,AND(对接源_02物料!$X700="自备筐",N(对接源_02物料!$V700)&lt;&gt;0)),1,0)</f>
        <v>0</v>
      </c>
      <c r="W1900">
        <f>N(W1899)+$V1900</f>
        <v>11</v>
      </c>
      <c r="X1900">
        <f>IF(AND($L1900=1,AND(对接源_02物料!$X700="自备筐",N(对接源_02物料!$T700)&lt;&gt;0)),1,0)</f>
        <v>0</v>
      </c>
      <c r="Y1900">
        <f>N(Y1899)+$X1900</f>
        <v>0</v>
      </c>
      <c r="Z1900">
        <f>IF(AND($M1900=1,对接源_02物料!$D700="原料入库"),1,0)</f>
        <v>0</v>
      </c>
      <c r="AA1900">
        <f>N(AA1899)+$Z1900</f>
        <v>24</v>
      </c>
      <c r="AB1900">
        <f>IF(AND($M1900=1,LEFT(对接源_02物料!$D700,4)="原料出库"),1,0)</f>
        <v>0</v>
      </c>
      <c r="AC1900">
        <f>N(AC1899)+$AB1900</f>
        <v>0</v>
      </c>
      <c r="AD1900">
        <f>IF(AND($M1900=1,LEFT(对接源_02物料!$D700,4)="成品出库"),1,0)</f>
        <v>0</v>
      </c>
      <c r="AE1900">
        <f>N(AE1899)+$AD1900</f>
        <v>0</v>
      </c>
      <c r="AF1900">
        <f>IF(AND($N1900=1,AND(LEFT(对接源_02物料!$D700,4)="包装物料",N(对接源_02物料!$K700)&lt;&gt;0)),1,0)</f>
        <v>0</v>
      </c>
      <c r="AG1900">
        <f>N(AG1899)+$AF1900</f>
        <v>10</v>
      </c>
      <c r="AH1900">
        <f>IF(AND($N1900=1,AND(对接源_02物料!$D700="周转筐－销售出库",N(对接源_02物料!$K700)&lt;&gt;0)),1,0)</f>
        <v>0</v>
      </c>
      <c r="AI1900">
        <f>N(AI1899)+$AH1900</f>
        <v>0</v>
      </c>
      <c r="AL1900" t="n">
        <v>0</v>
      </c>
      <c r="AM1900">
        <f>N(AM1899)+$AL1900</f>
        <v>2</v>
      </c>
      <c r="AN1900">
        <f>""</f>
      </c>
      <c r="AO1900" t="n">
        <v>0</v>
      </c>
      <c r="AP1900">
        <f>N(AP1899)+$AO1900</f>
        <v>13</v>
      </c>
      <c r="AR1900">
        <f>IF(OR($AF1900=1,$AH1900=1),1,0)</f>
        <v>0</v>
      </c>
      <c r="AS1900">
        <f>N(AS1899)+$AR1900</f>
        <v>10</v>
      </c>
    </row>
    <row r="1901" s="127">
      <c r="A1901">
        <f>IF(对接源_02物料!$C701="","",对接源_02物料!$C701)</f>
      </c>
      <c r="B1901">
        <f>IF(A1901="",0,IF(MATCH(A1901,$A$4:$A$2403,0)=ROW()-3,1,0))</f>
        <v>0</v>
      </c>
      <c r="C1901">
        <f>N(C1900)+B1901</f>
        <v>26</v>
      </c>
      <c r="K1901">
        <f>IF(OR($K$1="",对接源_02物料!$C701="",对接源_02物料!$C701&lt;&gt;$K$1,对接源_02物料!$B701=""),0,IF(OR(N(对接源_02物料!$B701)&lt;$K$2,N(对接源_02物料!$B701)&gt;$K$3),0,1))</f>
        <v>0</v>
      </c>
      <c r="L1901">
        <f>IF(OR($L$1="",对接源_02物料!$C701="",对接源_02物料!$C701&lt;&gt;$L$1,对接源_02物料!$B701=""),0,IF(OR(N(对接源_02物料!$B701)&lt;$L$2,N(对接源_02物料!$B701)&gt;$L$3),0,1))</f>
        <v>0</v>
      </c>
      <c r="M1901">
        <f>IF(OR($M$1="",对接源_02物料!$C701="",对接源_02物料!$C701&lt;&gt;$M$1,对接源_02物料!$B701=""),0,IF(OR(N(对接源_02物料!$B701)&lt;$M$2,N(对接源_02物料!$B701)&gt;$M$3),0,1))</f>
        <v>0</v>
      </c>
      <c r="N1901">
        <f>IF(OR($N$1="",对接源_02物料!$C701="",对接源_02物料!$C701&lt;&gt;$N$1,对接源_02物料!$B701=""),0,IF(OR(N(对接源_02物料!$B701)&lt;$N$2,N(对接源_02物料!$B701)&gt;$N$3),0,1))</f>
        <v>0</v>
      </c>
      <c r="P1901">
        <f>IF(AND($K1901=1,AND(对接源_02物料!$X701="公司筐",N(对接源_02物料!$T701)&lt;&gt;0)),1,0)</f>
        <v>0</v>
      </c>
      <c r="Q1901">
        <f>N(Q1900)+$P1901</f>
        <v>14</v>
      </c>
      <c r="R1901">
        <f>IF(AND($K1901=1,AND(对接源_02物料!$X701="公司筐",N(对接源_02物料!$U701)&lt;&gt;0)),1,0)</f>
        <v>0</v>
      </c>
      <c r="S1901">
        <f>N(S1900)+$R1901</f>
        <v>1</v>
      </c>
      <c r="T1901">
        <f>IF(AND($K1901=1,AND(对接源_02物料!$X701="公司筐",N(对接源_02物料!$V701)&lt;&gt;0)),1,0)</f>
        <v>0</v>
      </c>
      <c r="U1901">
        <f>N(U1900)+$T1901</f>
        <v>47</v>
      </c>
      <c r="V1901">
        <f>IF(AND($L1901=1,AND(对接源_02物料!$X701="自备筐",N(对接源_02物料!$V701)&lt;&gt;0)),1,0)</f>
        <v>0</v>
      </c>
      <c r="W1901">
        <f>N(W1900)+$V1901</f>
        <v>11</v>
      </c>
      <c r="X1901">
        <f>IF(AND($L1901=1,AND(对接源_02物料!$X701="自备筐",N(对接源_02物料!$T701)&lt;&gt;0)),1,0)</f>
        <v>0</v>
      </c>
      <c r="Y1901">
        <f>N(Y1900)+$X1901</f>
        <v>0</v>
      </c>
      <c r="Z1901">
        <f>IF(AND($M1901=1,对接源_02物料!$D701="原料入库"),1,0)</f>
        <v>0</v>
      </c>
      <c r="AA1901">
        <f>N(AA1900)+$Z1901</f>
        <v>24</v>
      </c>
      <c r="AB1901">
        <f>IF(AND($M1901=1,LEFT(对接源_02物料!$D701,4)="原料出库"),1,0)</f>
        <v>0</v>
      </c>
      <c r="AC1901">
        <f>N(AC1900)+$AB1901</f>
        <v>0</v>
      </c>
      <c r="AD1901">
        <f>IF(AND($M1901=1,LEFT(对接源_02物料!$D701,4)="成品出库"),1,0)</f>
        <v>0</v>
      </c>
      <c r="AE1901">
        <f>N(AE1900)+$AD1901</f>
        <v>0</v>
      </c>
      <c r="AF1901">
        <f>IF(AND($N1901=1,AND(LEFT(对接源_02物料!$D701,4)="包装物料",N(对接源_02物料!$K701)&lt;&gt;0)),1,0)</f>
        <v>0</v>
      </c>
      <c r="AG1901">
        <f>N(AG1900)+$AF1901</f>
        <v>10</v>
      </c>
      <c r="AH1901">
        <f>IF(AND($N1901=1,AND(对接源_02物料!$D701="周转筐－销售出库",N(对接源_02物料!$K701)&lt;&gt;0)),1,0)</f>
        <v>0</v>
      </c>
      <c r="AI1901">
        <f>N(AI1900)+$AH1901</f>
        <v>0</v>
      </c>
      <c r="AL1901" t="n">
        <v>0</v>
      </c>
      <c r="AM1901">
        <f>N(AM1900)+$AL1901</f>
        <v>2</v>
      </c>
      <c r="AN1901">
        <f>""</f>
      </c>
      <c r="AO1901" t="n">
        <v>0</v>
      </c>
      <c r="AP1901">
        <f>N(AP1900)+$AO1901</f>
        <v>13</v>
      </c>
      <c r="AR1901">
        <f>IF(OR($AF1901=1,$AH1901=1),1,0)</f>
        <v>0</v>
      </c>
      <c r="AS1901">
        <f>N(AS1900)+$AR1901</f>
        <v>10</v>
      </c>
    </row>
    <row r="1902" s="127">
      <c r="A1902">
        <f>IF(对接源_02物料!$C702="","",对接源_02物料!$C702)</f>
      </c>
      <c r="B1902">
        <f>IF(A1902="",0,IF(MATCH(A1902,$A$4:$A$2403,0)=ROW()-3,1,0))</f>
        <v>0</v>
      </c>
      <c r="C1902">
        <f>N(C1901)+B1902</f>
        <v>26</v>
      </c>
      <c r="K1902">
        <f>IF(OR($K$1="",对接源_02物料!$C702="",对接源_02物料!$C702&lt;&gt;$K$1,对接源_02物料!$B702=""),0,IF(OR(N(对接源_02物料!$B702)&lt;$K$2,N(对接源_02物料!$B702)&gt;$K$3),0,1))</f>
        <v>0</v>
      </c>
      <c r="L1902">
        <f>IF(OR($L$1="",对接源_02物料!$C702="",对接源_02物料!$C702&lt;&gt;$L$1,对接源_02物料!$B702=""),0,IF(OR(N(对接源_02物料!$B702)&lt;$L$2,N(对接源_02物料!$B702)&gt;$L$3),0,1))</f>
        <v>0</v>
      </c>
      <c r="M1902">
        <f>IF(OR($M$1="",对接源_02物料!$C702="",对接源_02物料!$C702&lt;&gt;$M$1,对接源_02物料!$B702=""),0,IF(OR(N(对接源_02物料!$B702)&lt;$M$2,N(对接源_02物料!$B702)&gt;$M$3),0,1))</f>
        <v>0</v>
      </c>
      <c r="N1902">
        <f>IF(OR($N$1="",对接源_02物料!$C702="",对接源_02物料!$C702&lt;&gt;$N$1,对接源_02物料!$B702=""),0,IF(OR(N(对接源_02物料!$B702)&lt;$N$2,N(对接源_02物料!$B702)&gt;$N$3),0,1))</f>
        <v>0</v>
      </c>
      <c r="P1902">
        <f>IF(AND($K1902=1,AND(对接源_02物料!$X702="公司筐",N(对接源_02物料!$T702)&lt;&gt;0)),1,0)</f>
        <v>0</v>
      </c>
      <c r="Q1902">
        <f>N(Q1901)+$P1902</f>
        <v>14</v>
      </c>
      <c r="R1902">
        <f>IF(AND($K1902=1,AND(对接源_02物料!$X702="公司筐",N(对接源_02物料!$U702)&lt;&gt;0)),1,0)</f>
        <v>0</v>
      </c>
      <c r="S1902">
        <f>N(S1901)+$R1902</f>
        <v>1</v>
      </c>
      <c r="T1902">
        <f>IF(AND($K1902=1,AND(对接源_02物料!$X702="公司筐",N(对接源_02物料!$V702)&lt;&gt;0)),1,0)</f>
        <v>0</v>
      </c>
      <c r="U1902">
        <f>N(U1901)+$T1902</f>
        <v>47</v>
      </c>
      <c r="V1902">
        <f>IF(AND($L1902=1,AND(对接源_02物料!$X702="自备筐",N(对接源_02物料!$V702)&lt;&gt;0)),1,0)</f>
        <v>0</v>
      </c>
      <c r="W1902">
        <f>N(W1901)+$V1902</f>
        <v>11</v>
      </c>
      <c r="X1902">
        <f>IF(AND($L1902=1,AND(对接源_02物料!$X702="自备筐",N(对接源_02物料!$T702)&lt;&gt;0)),1,0)</f>
        <v>0</v>
      </c>
      <c r="Y1902">
        <f>N(Y1901)+$X1902</f>
        <v>0</v>
      </c>
      <c r="Z1902">
        <f>IF(AND($M1902=1,对接源_02物料!$D702="原料入库"),1,0)</f>
        <v>0</v>
      </c>
      <c r="AA1902">
        <f>N(AA1901)+$Z1902</f>
        <v>24</v>
      </c>
      <c r="AB1902">
        <f>IF(AND($M1902=1,LEFT(对接源_02物料!$D702,4)="原料出库"),1,0)</f>
        <v>0</v>
      </c>
      <c r="AC1902">
        <f>N(AC1901)+$AB1902</f>
        <v>0</v>
      </c>
      <c r="AD1902">
        <f>IF(AND($M1902=1,LEFT(对接源_02物料!$D702,4)="成品出库"),1,0)</f>
        <v>0</v>
      </c>
      <c r="AE1902">
        <f>N(AE1901)+$AD1902</f>
        <v>0</v>
      </c>
      <c r="AF1902">
        <f>IF(AND($N1902=1,AND(LEFT(对接源_02物料!$D702,4)="包装物料",N(对接源_02物料!$K702)&lt;&gt;0)),1,0)</f>
        <v>0</v>
      </c>
      <c r="AG1902">
        <f>N(AG1901)+$AF1902</f>
        <v>10</v>
      </c>
      <c r="AH1902">
        <f>IF(AND($N1902=1,AND(对接源_02物料!$D702="周转筐－销售出库",N(对接源_02物料!$K702)&lt;&gt;0)),1,0)</f>
        <v>0</v>
      </c>
      <c r="AI1902">
        <f>N(AI1901)+$AH1902</f>
        <v>0</v>
      </c>
      <c r="AL1902" t="n">
        <v>0</v>
      </c>
      <c r="AM1902">
        <f>N(AM1901)+$AL1902</f>
        <v>2</v>
      </c>
      <c r="AN1902">
        <f>""</f>
      </c>
      <c r="AO1902" t="n">
        <v>0</v>
      </c>
      <c r="AP1902">
        <f>N(AP1901)+$AO1902</f>
        <v>13</v>
      </c>
      <c r="AR1902">
        <f>IF(OR($AF1902=1,$AH1902=1),1,0)</f>
        <v>0</v>
      </c>
      <c r="AS1902">
        <f>N(AS1901)+$AR1902</f>
        <v>10</v>
      </c>
    </row>
    <row r="1903" s="127">
      <c r="A1903">
        <f>IF(对接源_02物料!$C703="","",对接源_02物料!$C703)</f>
      </c>
      <c r="B1903">
        <f>IF(A1903="",0,IF(MATCH(A1903,$A$4:$A$2403,0)=ROW()-3,1,0))</f>
        <v>0</v>
      </c>
      <c r="C1903">
        <f>N(C1902)+B1903</f>
        <v>26</v>
      </c>
      <c r="K1903">
        <f>IF(OR($K$1="",对接源_02物料!$C703="",对接源_02物料!$C703&lt;&gt;$K$1,对接源_02物料!$B703=""),0,IF(OR(N(对接源_02物料!$B703)&lt;$K$2,N(对接源_02物料!$B703)&gt;$K$3),0,1))</f>
        <v>0</v>
      </c>
      <c r="L1903">
        <f>IF(OR($L$1="",对接源_02物料!$C703="",对接源_02物料!$C703&lt;&gt;$L$1,对接源_02物料!$B703=""),0,IF(OR(N(对接源_02物料!$B703)&lt;$L$2,N(对接源_02物料!$B703)&gt;$L$3),0,1))</f>
        <v>0</v>
      </c>
      <c r="M1903">
        <f>IF(OR($M$1="",对接源_02物料!$C703="",对接源_02物料!$C703&lt;&gt;$M$1,对接源_02物料!$B703=""),0,IF(OR(N(对接源_02物料!$B703)&lt;$M$2,N(对接源_02物料!$B703)&gt;$M$3),0,1))</f>
        <v>0</v>
      </c>
      <c r="N1903">
        <f>IF(OR($N$1="",对接源_02物料!$C703="",对接源_02物料!$C703&lt;&gt;$N$1,对接源_02物料!$B703=""),0,IF(OR(N(对接源_02物料!$B703)&lt;$N$2,N(对接源_02物料!$B703)&gt;$N$3),0,1))</f>
        <v>0</v>
      </c>
      <c r="P1903">
        <f>IF(AND($K1903=1,AND(对接源_02物料!$X703="公司筐",N(对接源_02物料!$T703)&lt;&gt;0)),1,0)</f>
        <v>0</v>
      </c>
      <c r="Q1903">
        <f>N(Q1902)+$P1903</f>
        <v>14</v>
      </c>
      <c r="R1903">
        <f>IF(AND($K1903=1,AND(对接源_02物料!$X703="公司筐",N(对接源_02物料!$U703)&lt;&gt;0)),1,0)</f>
        <v>0</v>
      </c>
      <c r="S1903">
        <f>N(S1902)+$R1903</f>
        <v>1</v>
      </c>
      <c r="T1903">
        <f>IF(AND($K1903=1,AND(对接源_02物料!$X703="公司筐",N(对接源_02物料!$V703)&lt;&gt;0)),1,0)</f>
        <v>0</v>
      </c>
      <c r="U1903">
        <f>N(U1902)+$T1903</f>
        <v>47</v>
      </c>
      <c r="V1903">
        <f>IF(AND($L1903=1,AND(对接源_02物料!$X703="自备筐",N(对接源_02物料!$V703)&lt;&gt;0)),1,0)</f>
        <v>0</v>
      </c>
      <c r="W1903">
        <f>N(W1902)+$V1903</f>
        <v>11</v>
      </c>
      <c r="X1903">
        <f>IF(AND($L1903=1,AND(对接源_02物料!$X703="自备筐",N(对接源_02物料!$T703)&lt;&gt;0)),1,0)</f>
        <v>0</v>
      </c>
      <c r="Y1903">
        <f>N(Y1902)+$X1903</f>
        <v>0</v>
      </c>
      <c r="Z1903">
        <f>IF(AND($M1903=1,对接源_02物料!$D703="原料入库"),1,0)</f>
        <v>0</v>
      </c>
      <c r="AA1903">
        <f>N(AA1902)+$Z1903</f>
        <v>24</v>
      </c>
      <c r="AB1903">
        <f>IF(AND($M1903=1,LEFT(对接源_02物料!$D703,4)="原料出库"),1,0)</f>
        <v>0</v>
      </c>
      <c r="AC1903">
        <f>N(AC1902)+$AB1903</f>
        <v>0</v>
      </c>
      <c r="AD1903">
        <f>IF(AND($M1903=1,LEFT(对接源_02物料!$D703,4)="成品出库"),1,0)</f>
        <v>0</v>
      </c>
      <c r="AE1903">
        <f>N(AE1902)+$AD1903</f>
        <v>0</v>
      </c>
      <c r="AF1903">
        <f>IF(AND($N1903=1,AND(LEFT(对接源_02物料!$D703,4)="包装物料",N(对接源_02物料!$K703)&lt;&gt;0)),1,0)</f>
        <v>0</v>
      </c>
      <c r="AG1903">
        <f>N(AG1902)+$AF1903</f>
        <v>10</v>
      </c>
      <c r="AH1903">
        <f>IF(AND($N1903=1,AND(对接源_02物料!$D703="周转筐－销售出库",N(对接源_02物料!$K703)&lt;&gt;0)),1,0)</f>
        <v>0</v>
      </c>
      <c r="AI1903">
        <f>N(AI1902)+$AH1903</f>
        <v>0</v>
      </c>
      <c r="AL1903" t="n">
        <v>0</v>
      </c>
      <c r="AM1903">
        <f>N(AM1902)+$AL1903</f>
        <v>2</v>
      </c>
      <c r="AN1903">
        <f>""</f>
      </c>
      <c r="AO1903" t="n">
        <v>0</v>
      </c>
      <c r="AP1903">
        <f>N(AP1902)+$AO1903</f>
        <v>13</v>
      </c>
      <c r="AR1903">
        <f>IF(OR($AF1903=1,$AH1903=1),1,0)</f>
        <v>0</v>
      </c>
      <c r="AS1903">
        <f>N(AS1902)+$AR1903</f>
        <v>10</v>
      </c>
    </row>
    <row r="1904" s="127">
      <c r="A1904">
        <f>IF(对接源_02物料!$C704="","",对接源_02物料!$C704)</f>
      </c>
      <c r="B1904">
        <f>IF(A1904="",0,IF(MATCH(A1904,$A$4:$A$2403,0)=ROW()-3,1,0))</f>
        <v>0</v>
      </c>
      <c r="C1904">
        <f>N(C1903)+B1904</f>
        <v>26</v>
      </c>
      <c r="K1904">
        <f>IF(OR($K$1="",对接源_02物料!$C704="",对接源_02物料!$C704&lt;&gt;$K$1,对接源_02物料!$B704=""),0,IF(OR(N(对接源_02物料!$B704)&lt;$K$2,N(对接源_02物料!$B704)&gt;$K$3),0,1))</f>
        <v>0</v>
      </c>
      <c r="L1904">
        <f>IF(OR($L$1="",对接源_02物料!$C704="",对接源_02物料!$C704&lt;&gt;$L$1,对接源_02物料!$B704=""),0,IF(OR(N(对接源_02物料!$B704)&lt;$L$2,N(对接源_02物料!$B704)&gt;$L$3),0,1))</f>
        <v>0</v>
      </c>
      <c r="M1904">
        <f>IF(OR($M$1="",对接源_02物料!$C704="",对接源_02物料!$C704&lt;&gt;$M$1,对接源_02物料!$B704=""),0,IF(OR(N(对接源_02物料!$B704)&lt;$M$2,N(对接源_02物料!$B704)&gt;$M$3),0,1))</f>
        <v>0</v>
      </c>
      <c r="N1904">
        <f>IF(OR($N$1="",对接源_02物料!$C704="",对接源_02物料!$C704&lt;&gt;$N$1,对接源_02物料!$B704=""),0,IF(OR(N(对接源_02物料!$B704)&lt;$N$2,N(对接源_02物料!$B704)&gt;$N$3),0,1))</f>
        <v>0</v>
      </c>
      <c r="P1904">
        <f>IF(AND($K1904=1,AND(对接源_02物料!$X704="公司筐",N(对接源_02物料!$T704)&lt;&gt;0)),1,0)</f>
        <v>0</v>
      </c>
      <c r="Q1904">
        <f>N(Q1903)+$P1904</f>
        <v>14</v>
      </c>
      <c r="R1904">
        <f>IF(AND($K1904=1,AND(对接源_02物料!$X704="公司筐",N(对接源_02物料!$U704)&lt;&gt;0)),1,0)</f>
        <v>0</v>
      </c>
      <c r="S1904">
        <f>N(S1903)+$R1904</f>
        <v>1</v>
      </c>
      <c r="T1904">
        <f>IF(AND($K1904=1,AND(对接源_02物料!$X704="公司筐",N(对接源_02物料!$V704)&lt;&gt;0)),1,0)</f>
        <v>0</v>
      </c>
      <c r="U1904">
        <f>N(U1903)+$T1904</f>
        <v>47</v>
      </c>
      <c r="V1904">
        <f>IF(AND($L1904=1,AND(对接源_02物料!$X704="自备筐",N(对接源_02物料!$V704)&lt;&gt;0)),1,0)</f>
        <v>0</v>
      </c>
      <c r="W1904">
        <f>N(W1903)+$V1904</f>
        <v>11</v>
      </c>
      <c r="X1904">
        <f>IF(AND($L1904=1,AND(对接源_02物料!$X704="自备筐",N(对接源_02物料!$T704)&lt;&gt;0)),1,0)</f>
        <v>0</v>
      </c>
      <c r="Y1904">
        <f>N(Y1903)+$X1904</f>
        <v>0</v>
      </c>
      <c r="Z1904">
        <f>IF(AND($M1904=1,对接源_02物料!$D704="原料入库"),1,0)</f>
        <v>0</v>
      </c>
      <c r="AA1904">
        <f>N(AA1903)+$Z1904</f>
        <v>24</v>
      </c>
      <c r="AB1904">
        <f>IF(AND($M1904=1,LEFT(对接源_02物料!$D704,4)="原料出库"),1,0)</f>
        <v>0</v>
      </c>
      <c r="AC1904">
        <f>N(AC1903)+$AB1904</f>
        <v>0</v>
      </c>
      <c r="AD1904">
        <f>IF(AND($M1904=1,LEFT(对接源_02物料!$D704,4)="成品出库"),1,0)</f>
        <v>0</v>
      </c>
      <c r="AE1904">
        <f>N(AE1903)+$AD1904</f>
        <v>0</v>
      </c>
      <c r="AF1904">
        <f>IF(AND($N1904=1,AND(LEFT(对接源_02物料!$D704,4)="包装物料",N(对接源_02物料!$K704)&lt;&gt;0)),1,0)</f>
        <v>0</v>
      </c>
      <c r="AG1904">
        <f>N(AG1903)+$AF1904</f>
        <v>10</v>
      </c>
      <c r="AH1904">
        <f>IF(AND($N1904=1,AND(对接源_02物料!$D704="周转筐－销售出库",N(对接源_02物料!$K704)&lt;&gt;0)),1,0)</f>
        <v>0</v>
      </c>
      <c r="AI1904">
        <f>N(AI1903)+$AH1904</f>
        <v>0</v>
      </c>
      <c r="AL1904" t="n">
        <v>0</v>
      </c>
      <c r="AM1904">
        <f>N(AM1903)+$AL1904</f>
        <v>2</v>
      </c>
      <c r="AN1904">
        <f>""</f>
      </c>
      <c r="AO1904" t="n">
        <v>0</v>
      </c>
      <c r="AP1904">
        <f>N(AP1903)+$AO1904</f>
        <v>13</v>
      </c>
      <c r="AR1904">
        <f>IF(OR($AF1904=1,$AH1904=1),1,0)</f>
        <v>0</v>
      </c>
      <c r="AS1904">
        <f>N(AS1903)+$AR1904</f>
        <v>10</v>
      </c>
    </row>
    <row r="1905" s="127">
      <c r="A1905">
        <f>IF(对接源_02物料!$C705="","",对接源_02物料!$C705)</f>
      </c>
      <c r="B1905">
        <f>IF(A1905="",0,IF(MATCH(A1905,$A$4:$A$2403,0)=ROW()-3,1,0))</f>
        <v>0</v>
      </c>
      <c r="C1905">
        <f>N(C1904)+B1905</f>
        <v>26</v>
      </c>
      <c r="K1905">
        <f>IF(OR($K$1="",对接源_02物料!$C705="",对接源_02物料!$C705&lt;&gt;$K$1,对接源_02物料!$B705=""),0,IF(OR(N(对接源_02物料!$B705)&lt;$K$2,N(对接源_02物料!$B705)&gt;$K$3),0,1))</f>
        <v>0</v>
      </c>
      <c r="L1905">
        <f>IF(OR($L$1="",对接源_02物料!$C705="",对接源_02物料!$C705&lt;&gt;$L$1,对接源_02物料!$B705=""),0,IF(OR(N(对接源_02物料!$B705)&lt;$L$2,N(对接源_02物料!$B705)&gt;$L$3),0,1))</f>
        <v>0</v>
      </c>
      <c r="M1905">
        <f>IF(OR($M$1="",对接源_02物料!$C705="",对接源_02物料!$C705&lt;&gt;$M$1,对接源_02物料!$B705=""),0,IF(OR(N(对接源_02物料!$B705)&lt;$M$2,N(对接源_02物料!$B705)&gt;$M$3),0,1))</f>
        <v>0</v>
      </c>
      <c r="N1905">
        <f>IF(OR($N$1="",对接源_02物料!$C705="",对接源_02物料!$C705&lt;&gt;$N$1,对接源_02物料!$B705=""),0,IF(OR(N(对接源_02物料!$B705)&lt;$N$2,N(对接源_02物料!$B705)&gt;$N$3),0,1))</f>
        <v>0</v>
      </c>
      <c r="P1905">
        <f>IF(AND($K1905=1,AND(对接源_02物料!$X705="公司筐",N(对接源_02物料!$T705)&lt;&gt;0)),1,0)</f>
        <v>0</v>
      </c>
      <c r="Q1905">
        <f>N(Q1904)+$P1905</f>
        <v>14</v>
      </c>
      <c r="R1905">
        <f>IF(AND($K1905=1,AND(对接源_02物料!$X705="公司筐",N(对接源_02物料!$U705)&lt;&gt;0)),1,0)</f>
        <v>0</v>
      </c>
      <c r="S1905">
        <f>N(S1904)+$R1905</f>
        <v>1</v>
      </c>
      <c r="T1905">
        <f>IF(AND($K1905=1,AND(对接源_02物料!$X705="公司筐",N(对接源_02物料!$V705)&lt;&gt;0)),1,0)</f>
        <v>0</v>
      </c>
      <c r="U1905">
        <f>N(U1904)+$T1905</f>
        <v>47</v>
      </c>
      <c r="V1905">
        <f>IF(AND($L1905=1,AND(对接源_02物料!$X705="自备筐",N(对接源_02物料!$V705)&lt;&gt;0)),1,0)</f>
        <v>0</v>
      </c>
      <c r="W1905">
        <f>N(W1904)+$V1905</f>
        <v>11</v>
      </c>
      <c r="X1905">
        <f>IF(AND($L1905=1,AND(对接源_02物料!$X705="自备筐",N(对接源_02物料!$T705)&lt;&gt;0)),1,0)</f>
        <v>0</v>
      </c>
      <c r="Y1905">
        <f>N(Y1904)+$X1905</f>
        <v>0</v>
      </c>
      <c r="Z1905">
        <f>IF(AND($M1905=1,对接源_02物料!$D705="原料入库"),1,0)</f>
        <v>0</v>
      </c>
      <c r="AA1905">
        <f>N(AA1904)+$Z1905</f>
        <v>24</v>
      </c>
      <c r="AB1905">
        <f>IF(AND($M1905=1,LEFT(对接源_02物料!$D705,4)="原料出库"),1,0)</f>
        <v>0</v>
      </c>
      <c r="AC1905">
        <f>N(AC1904)+$AB1905</f>
        <v>0</v>
      </c>
      <c r="AD1905">
        <f>IF(AND($M1905=1,LEFT(对接源_02物料!$D705,4)="成品出库"),1,0)</f>
        <v>0</v>
      </c>
      <c r="AE1905">
        <f>N(AE1904)+$AD1905</f>
        <v>0</v>
      </c>
      <c r="AF1905">
        <f>IF(AND($N1905=1,AND(LEFT(对接源_02物料!$D705,4)="包装物料",N(对接源_02物料!$K705)&lt;&gt;0)),1,0)</f>
        <v>0</v>
      </c>
      <c r="AG1905">
        <f>N(AG1904)+$AF1905</f>
        <v>10</v>
      </c>
      <c r="AH1905">
        <f>IF(AND($N1905=1,AND(对接源_02物料!$D705="周转筐－销售出库",N(对接源_02物料!$K705)&lt;&gt;0)),1,0)</f>
        <v>0</v>
      </c>
      <c r="AI1905">
        <f>N(AI1904)+$AH1905</f>
        <v>0</v>
      </c>
      <c r="AL1905" t="n">
        <v>0</v>
      </c>
      <c r="AM1905">
        <f>N(AM1904)+$AL1905</f>
        <v>2</v>
      </c>
      <c r="AN1905">
        <f>""</f>
      </c>
      <c r="AO1905" t="n">
        <v>0</v>
      </c>
      <c r="AP1905">
        <f>N(AP1904)+$AO1905</f>
        <v>13</v>
      </c>
      <c r="AR1905">
        <f>IF(OR($AF1905=1,$AH1905=1),1,0)</f>
        <v>0</v>
      </c>
      <c r="AS1905">
        <f>N(AS1904)+$AR1905</f>
        <v>10</v>
      </c>
    </row>
    <row r="1906" s="127">
      <c r="A1906">
        <f>IF(对接源_02物料!$C706="","",对接源_02物料!$C706)</f>
      </c>
      <c r="B1906">
        <f>IF(A1906="",0,IF(MATCH(A1906,$A$4:$A$2403,0)=ROW()-3,1,0))</f>
        <v>0</v>
      </c>
      <c r="C1906">
        <f>N(C1905)+B1906</f>
        <v>26</v>
      </c>
      <c r="K1906">
        <f>IF(OR($K$1="",对接源_02物料!$C706="",对接源_02物料!$C706&lt;&gt;$K$1,对接源_02物料!$B706=""),0,IF(OR(N(对接源_02物料!$B706)&lt;$K$2,N(对接源_02物料!$B706)&gt;$K$3),0,1))</f>
        <v>0</v>
      </c>
      <c r="L1906">
        <f>IF(OR($L$1="",对接源_02物料!$C706="",对接源_02物料!$C706&lt;&gt;$L$1,对接源_02物料!$B706=""),0,IF(OR(N(对接源_02物料!$B706)&lt;$L$2,N(对接源_02物料!$B706)&gt;$L$3),0,1))</f>
        <v>0</v>
      </c>
      <c r="M1906">
        <f>IF(OR($M$1="",对接源_02物料!$C706="",对接源_02物料!$C706&lt;&gt;$M$1,对接源_02物料!$B706=""),0,IF(OR(N(对接源_02物料!$B706)&lt;$M$2,N(对接源_02物料!$B706)&gt;$M$3),0,1))</f>
        <v>0</v>
      </c>
      <c r="N1906">
        <f>IF(OR($N$1="",对接源_02物料!$C706="",对接源_02物料!$C706&lt;&gt;$N$1,对接源_02物料!$B706=""),0,IF(OR(N(对接源_02物料!$B706)&lt;$N$2,N(对接源_02物料!$B706)&gt;$N$3),0,1))</f>
        <v>0</v>
      </c>
      <c r="P1906">
        <f>IF(AND($K1906=1,AND(对接源_02物料!$X706="公司筐",N(对接源_02物料!$T706)&lt;&gt;0)),1,0)</f>
        <v>0</v>
      </c>
      <c r="Q1906">
        <f>N(Q1905)+$P1906</f>
        <v>14</v>
      </c>
      <c r="R1906">
        <f>IF(AND($K1906=1,AND(对接源_02物料!$X706="公司筐",N(对接源_02物料!$U706)&lt;&gt;0)),1,0)</f>
        <v>0</v>
      </c>
      <c r="S1906">
        <f>N(S1905)+$R1906</f>
        <v>1</v>
      </c>
      <c r="T1906">
        <f>IF(AND($K1906=1,AND(对接源_02物料!$X706="公司筐",N(对接源_02物料!$V706)&lt;&gt;0)),1,0)</f>
        <v>0</v>
      </c>
      <c r="U1906">
        <f>N(U1905)+$T1906</f>
        <v>47</v>
      </c>
      <c r="V1906">
        <f>IF(AND($L1906=1,AND(对接源_02物料!$X706="自备筐",N(对接源_02物料!$V706)&lt;&gt;0)),1,0)</f>
        <v>0</v>
      </c>
      <c r="W1906">
        <f>N(W1905)+$V1906</f>
        <v>11</v>
      </c>
      <c r="X1906">
        <f>IF(AND($L1906=1,AND(对接源_02物料!$X706="自备筐",N(对接源_02物料!$T706)&lt;&gt;0)),1,0)</f>
        <v>0</v>
      </c>
      <c r="Y1906">
        <f>N(Y1905)+$X1906</f>
        <v>0</v>
      </c>
      <c r="Z1906">
        <f>IF(AND($M1906=1,对接源_02物料!$D706="原料入库"),1,0)</f>
        <v>0</v>
      </c>
      <c r="AA1906">
        <f>N(AA1905)+$Z1906</f>
        <v>24</v>
      </c>
      <c r="AB1906">
        <f>IF(AND($M1906=1,LEFT(对接源_02物料!$D706,4)="原料出库"),1,0)</f>
        <v>0</v>
      </c>
      <c r="AC1906">
        <f>N(AC1905)+$AB1906</f>
        <v>0</v>
      </c>
      <c r="AD1906">
        <f>IF(AND($M1906=1,LEFT(对接源_02物料!$D706,4)="成品出库"),1,0)</f>
        <v>0</v>
      </c>
      <c r="AE1906">
        <f>N(AE1905)+$AD1906</f>
        <v>0</v>
      </c>
      <c r="AF1906">
        <f>IF(AND($N1906=1,AND(LEFT(对接源_02物料!$D706,4)="包装物料",N(对接源_02物料!$K706)&lt;&gt;0)),1,0)</f>
        <v>0</v>
      </c>
      <c r="AG1906">
        <f>N(AG1905)+$AF1906</f>
        <v>10</v>
      </c>
      <c r="AH1906">
        <f>IF(AND($N1906=1,AND(对接源_02物料!$D706="周转筐－销售出库",N(对接源_02物料!$K706)&lt;&gt;0)),1,0)</f>
        <v>0</v>
      </c>
      <c r="AI1906">
        <f>N(AI1905)+$AH1906</f>
        <v>0</v>
      </c>
      <c r="AL1906" t="n">
        <v>0</v>
      </c>
      <c r="AM1906">
        <f>N(AM1905)+$AL1906</f>
        <v>2</v>
      </c>
      <c r="AN1906">
        <f>""</f>
      </c>
      <c r="AO1906" t="n">
        <v>0</v>
      </c>
      <c r="AP1906">
        <f>N(AP1905)+$AO1906</f>
        <v>13</v>
      </c>
      <c r="AR1906">
        <f>IF(OR($AF1906=1,$AH1906=1),1,0)</f>
        <v>0</v>
      </c>
      <c r="AS1906">
        <f>N(AS1905)+$AR1906</f>
        <v>10</v>
      </c>
    </row>
    <row r="1907" s="127">
      <c r="A1907">
        <f>IF(对接源_02物料!$C707="","",对接源_02物料!$C707)</f>
      </c>
      <c r="B1907">
        <f>IF(A1907="",0,IF(MATCH(A1907,$A$4:$A$2403,0)=ROW()-3,1,0))</f>
        <v>0</v>
      </c>
      <c r="C1907">
        <f>N(C1906)+B1907</f>
        <v>26</v>
      </c>
      <c r="K1907">
        <f>IF(OR($K$1="",对接源_02物料!$C707="",对接源_02物料!$C707&lt;&gt;$K$1,对接源_02物料!$B707=""),0,IF(OR(N(对接源_02物料!$B707)&lt;$K$2,N(对接源_02物料!$B707)&gt;$K$3),0,1))</f>
        <v>0</v>
      </c>
      <c r="L1907">
        <f>IF(OR($L$1="",对接源_02物料!$C707="",对接源_02物料!$C707&lt;&gt;$L$1,对接源_02物料!$B707=""),0,IF(OR(N(对接源_02物料!$B707)&lt;$L$2,N(对接源_02物料!$B707)&gt;$L$3),0,1))</f>
        <v>0</v>
      </c>
      <c r="M1907">
        <f>IF(OR($M$1="",对接源_02物料!$C707="",对接源_02物料!$C707&lt;&gt;$M$1,对接源_02物料!$B707=""),0,IF(OR(N(对接源_02物料!$B707)&lt;$M$2,N(对接源_02物料!$B707)&gt;$M$3),0,1))</f>
        <v>0</v>
      </c>
      <c r="N1907">
        <f>IF(OR($N$1="",对接源_02物料!$C707="",对接源_02物料!$C707&lt;&gt;$N$1,对接源_02物料!$B707=""),0,IF(OR(N(对接源_02物料!$B707)&lt;$N$2,N(对接源_02物料!$B707)&gt;$N$3),0,1))</f>
        <v>0</v>
      </c>
      <c r="P1907">
        <f>IF(AND($K1907=1,AND(对接源_02物料!$X707="公司筐",N(对接源_02物料!$T707)&lt;&gt;0)),1,0)</f>
        <v>0</v>
      </c>
      <c r="Q1907">
        <f>N(Q1906)+$P1907</f>
        <v>14</v>
      </c>
      <c r="R1907">
        <f>IF(AND($K1907=1,AND(对接源_02物料!$X707="公司筐",N(对接源_02物料!$U707)&lt;&gt;0)),1,0)</f>
        <v>0</v>
      </c>
      <c r="S1907">
        <f>N(S1906)+$R1907</f>
        <v>1</v>
      </c>
      <c r="T1907">
        <f>IF(AND($K1907=1,AND(对接源_02物料!$X707="公司筐",N(对接源_02物料!$V707)&lt;&gt;0)),1,0)</f>
        <v>0</v>
      </c>
      <c r="U1907">
        <f>N(U1906)+$T1907</f>
        <v>47</v>
      </c>
      <c r="V1907">
        <f>IF(AND($L1907=1,AND(对接源_02物料!$X707="自备筐",N(对接源_02物料!$V707)&lt;&gt;0)),1,0)</f>
        <v>0</v>
      </c>
      <c r="W1907">
        <f>N(W1906)+$V1907</f>
        <v>11</v>
      </c>
      <c r="X1907">
        <f>IF(AND($L1907=1,AND(对接源_02物料!$X707="自备筐",N(对接源_02物料!$T707)&lt;&gt;0)),1,0)</f>
        <v>0</v>
      </c>
      <c r="Y1907">
        <f>N(Y1906)+$X1907</f>
        <v>0</v>
      </c>
      <c r="Z1907">
        <f>IF(AND($M1907=1,对接源_02物料!$D707="原料入库"),1,0)</f>
        <v>0</v>
      </c>
      <c r="AA1907">
        <f>N(AA1906)+$Z1907</f>
        <v>24</v>
      </c>
      <c r="AB1907">
        <f>IF(AND($M1907=1,LEFT(对接源_02物料!$D707,4)="原料出库"),1,0)</f>
        <v>0</v>
      </c>
      <c r="AC1907">
        <f>N(AC1906)+$AB1907</f>
        <v>0</v>
      </c>
      <c r="AD1907">
        <f>IF(AND($M1907=1,LEFT(对接源_02物料!$D707,4)="成品出库"),1,0)</f>
        <v>0</v>
      </c>
      <c r="AE1907">
        <f>N(AE1906)+$AD1907</f>
        <v>0</v>
      </c>
      <c r="AF1907">
        <f>IF(AND($N1907=1,AND(LEFT(对接源_02物料!$D707,4)="包装物料",N(对接源_02物料!$K707)&lt;&gt;0)),1,0)</f>
        <v>0</v>
      </c>
      <c r="AG1907">
        <f>N(AG1906)+$AF1907</f>
        <v>10</v>
      </c>
      <c r="AH1907">
        <f>IF(AND($N1907=1,AND(对接源_02物料!$D707="周转筐－销售出库",N(对接源_02物料!$K707)&lt;&gt;0)),1,0)</f>
        <v>0</v>
      </c>
      <c r="AI1907">
        <f>N(AI1906)+$AH1907</f>
        <v>0</v>
      </c>
      <c r="AL1907" t="n">
        <v>0</v>
      </c>
      <c r="AM1907">
        <f>N(AM1906)+$AL1907</f>
        <v>2</v>
      </c>
      <c r="AN1907">
        <f>""</f>
      </c>
      <c r="AO1907" t="n">
        <v>0</v>
      </c>
      <c r="AP1907">
        <f>N(AP1906)+$AO1907</f>
        <v>13</v>
      </c>
      <c r="AR1907">
        <f>IF(OR($AF1907=1,$AH1907=1),1,0)</f>
        <v>0</v>
      </c>
      <c r="AS1907">
        <f>N(AS1906)+$AR1907</f>
        <v>10</v>
      </c>
    </row>
    <row r="1908" s="127">
      <c r="A1908">
        <f>IF(对接源_02物料!$C708="","",对接源_02物料!$C708)</f>
      </c>
      <c r="B1908">
        <f>IF(A1908="",0,IF(MATCH(A1908,$A$4:$A$2403,0)=ROW()-3,1,0))</f>
        <v>0</v>
      </c>
      <c r="C1908">
        <f>N(C1907)+B1908</f>
        <v>26</v>
      </c>
      <c r="K1908">
        <f>IF(OR($K$1="",对接源_02物料!$C708="",对接源_02物料!$C708&lt;&gt;$K$1,对接源_02物料!$B708=""),0,IF(OR(N(对接源_02物料!$B708)&lt;$K$2,N(对接源_02物料!$B708)&gt;$K$3),0,1))</f>
        <v>0</v>
      </c>
      <c r="L1908">
        <f>IF(OR($L$1="",对接源_02物料!$C708="",对接源_02物料!$C708&lt;&gt;$L$1,对接源_02物料!$B708=""),0,IF(OR(N(对接源_02物料!$B708)&lt;$L$2,N(对接源_02物料!$B708)&gt;$L$3),0,1))</f>
        <v>0</v>
      </c>
      <c r="M1908">
        <f>IF(OR($M$1="",对接源_02物料!$C708="",对接源_02物料!$C708&lt;&gt;$M$1,对接源_02物料!$B708=""),0,IF(OR(N(对接源_02物料!$B708)&lt;$M$2,N(对接源_02物料!$B708)&gt;$M$3),0,1))</f>
        <v>0</v>
      </c>
      <c r="N1908">
        <f>IF(OR($N$1="",对接源_02物料!$C708="",对接源_02物料!$C708&lt;&gt;$N$1,对接源_02物料!$B708=""),0,IF(OR(N(对接源_02物料!$B708)&lt;$N$2,N(对接源_02物料!$B708)&gt;$N$3),0,1))</f>
        <v>0</v>
      </c>
      <c r="P1908">
        <f>IF(AND($K1908=1,AND(对接源_02物料!$X708="公司筐",N(对接源_02物料!$T708)&lt;&gt;0)),1,0)</f>
        <v>0</v>
      </c>
      <c r="Q1908">
        <f>N(Q1907)+$P1908</f>
        <v>14</v>
      </c>
      <c r="R1908">
        <f>IF(AND($K1908=1,AND(对接源_02物料!$X708="公司筐",N(对接源_02物料!$U708)&lt;&gt;0)),1,0)</f>
        <v>0</v>
      </c>
      <c r="S1908">
        <f>N(S1907)+$R1908</f>
        <v>1</v>
      </c>
      <c r="T1908">
        <f>IF(AND($K1908=1,AND(对接源_02物料!$X708="公司筐",N(对接源_02物料!$V708)&lt;&gt;0)),1,0)</f>
        <v>0</v>
      </c>
      <c r="U1908">
        <f>N(U1907)+$T1908</f>
        <v>47</v>
      </c>
      <c r="V1908">
        <f>IF(AND($L1908=1,AND(对接源_02物料!$X708="自备筐",N(对接源_02物料!$V708)&lt;&gt;0)),1,0)</f>
        <v>0</v>
      </c>
      <c r="W1908">
        <f>N(W1907)+$V1908</f>
        <v>11</v>
      </c>
      <c r="X1908">
        <f>IF(AND($L1908=1,AND(对接源_02物料!$X708="自备筐",N(对接源_02物料!$T708)&lt;&gt;0)),1,0)</f>
        <v>0</v>
      </c>
      <c r="Y1908">
        <f>N(Y1907)+$X1908</f>
        <v>0</v>
      </c>
      <c r="Z1908">
        <f>IF(AND($M1908=1,对接源_02物料!$D708="原料入库"),1,0)</f>
        <v>0</v>
      </c>
      <c r="AA1908">
        <f>N(AA1907)+$Z1908</f>
        <v>24</v>
      </c>
      <c r="AB1908">
        <f>IF(AND($M1908=1,LEFT(对接源_02物料!$D708,4)="原料出库"),1,0)</f>
        <v>0</v>
      </c>
      <c r="AC1908">
        <f>N(AC1907)+$AB1908</f>
        <v>0</v>
      </c>
      <c r="AD1908">
        <f>IF(AND($M1908=1,LEFT(对接源_02物料!$D708,4)="成品出库"),1,0)</f>
        <v>0</v>
      </c>
      <c r="AE1908">
        <f>N(AE1907)+$AD1908</f>
        <v>0</v>
      </c>
      <c r="AF1908">
        <f>IF(AND($N1908=1,AND(LEFT(对接源_02物料!$D708,4)="包装物料",N(对接源_02物料!$K708)&lt;&gt;0)),1,0)</f>
        <v>0</v>
      </c>
      <c r="AG1908">
        <f>N(AG1907)+$AF1908</f>
        <v>10</v>
      </c>
      <c r="AH1908">
        <f>IF(AND($N1908=1,AND(对接源_02物料!$D708="周转筐－销售出库",N(对接源_02物料!$K708)&lt;&gt;0)),1,0)</f>
        <v>0</v>
      </c>
      <c r="AI1908">
        <f>N(AI1907)+$AH1908</f>
        <v>0</v>
      </c>
      <c r="AL1908" t="n">
        <v>0</v>
      </c>
      <c r="AM1908">
        <f>N(AM1907)+$AL1908</f>
        <v>2</v>
      </c>
      <c r="AN1908">
        <f>""</f>
      </c>
      <c r="AO1908" t="n">
        <v>0</v>
      </c>
      <c r="AP1908">
        <f>N(AP1907)+$AO1908</f>
        <v>13</v>
      </c>
      <c r="AR1908">
        <f>IF(OR($AF1908=1,$AH1908=1),1,0)</f>
        <v>0</v>
      </c>
      <c r="AS1908">
        <f>N(AS1907)+$AR1908</f>
        <v>10</v>
      </c>
    </row>
    <row r="1909" s="127">
      <c r="A1909">
        <f>IF(对接源_02物料!$C709="","",对接源_02物料!$C709)</f>
      </c>
      <c r="B1909">
        <f>IF(A1909="",0,IF(MATCH(A1909,$A$4:$A$2403,0)=ROW()-3,1,0))</f>
        <v>0</v>
      </c>
      <c r="C1909">
        <f>N(C1908)+B1909</f>
        <v>26</v>
      </c>
      <c r="K1909">
        <f>IF(OR($K$1="",对接源_02物料!$C709="",对接源_02物料!$C709&lt;&gt;$K$1,对接源_02物料!$B709=""),0,IF(OR(N(对接源_02物料!$B709)&lt;$K$2,N(对接源_02物料!$B709)&gt;$K$3),0,1))</f>
        <v>0</v>
      </c>
      <c r="L1909">
        <f>IF(OR($L$1="",对接源_02物料!$C709="",对接源_02物料!$C709&lt;&gt;$L$1,对接源_02物料!$B709=""),0,IF(OR(N(对接源_02物料!$B709)&lt;$L$2,N(对接源_02物料!$B709)&gt;$L$3),0,1))</f>
        <v>0</v>
      </c>
      <c r="M1909">
        <f>IF(OR($M$1="",对接源_02物料!$C709="",对接源_02物料!$C709&lt;&gt;$M$1,对接源_02物料!$B709=""),0,IF(OR(N(对接源_02物料!$B709)&lt;$M$2,N(对接源_02物料!$B709)&gt;$M$3),0,1))</f>
        <v>0</v>
      </c>
      <c r="N1909">
        <f>IF(OR($N$1="",对接源_02物料!$C709="",对接源_02物料!$C709&lt;&gt;$N$1,对接源_02物料!$B709=""),0,IF(OR(N(对接源_02物料!$B709)&lt;$N$2,N(对接源_02物料!$B709)&gt;$N$3),0,1))</f>
        <v>0</v>
      </c>
      <c r="P1909">
        <f>IF(AND($K1909=1,AND(对接源_02物料!$X709="公司筐",N(对接源_02物料!$T709)&lt;&gt;0)),1,0)</f>
        <v>0</v>
      </c>
      <c r="Q1909">
        <f>N(Q1908)+$P1909</f>
        <v>14</v>
      </c>
      <c r="R1909">
        <f>IF(AND($K1909=1,AND(对接源_02物料!$X709="公司筐",N(对接源_02物料!$U709)&lt;&gt;0)),1,0)</f>
        <v>0</v>
      </c>
      <c r="S1909">
        <f>N(S1908)+$R1909</f>
        <v>1</v>
      </c>
      <c r="T1909">
        <f>IF(AND($K1909=1,AND(对接源_02物料!$X709="公司筐",N(对接源_02物料!$V709)&lt;&gt;0)),1,0)</f>
        <v>0</v>
      </c>
      <c r="U1909">
        <f>N(U1908)+$T1909</f>
        <v>47</v>
      </c>
      <c r="V1909">
        <f>IF(AND($L1909=1,AND(对接源_02物料!$X709="自备筐",N(对接源_02物料!$V709)&lt;&gt;0)),1,0)</f>
        <v>0</v>
      </c>
      <c r="W1909">
        <f>N(W1908)+$V1909</f>
        <v>11</v>
      </c>
      <c r="X1909">
        <f>IF(AND($L1909=1,AND(对接源_02物料!$X709="自备筐",N(对接源_02物料!$T709)&lt;&gt;0)),1,0)</f>
        <v>0</v>
      </c>
      <c r="Y1909">
        <f>N(Y1908)+$X1909</f>
        <v>0</v>
      </c>
      <c r="Z1909">
        <f>IF(AND($M1909=1,对接源_02物料!$D709="原料入库"),1,0)</f>
        <v>0</v>
      </c>
      <c r="AA1909">
        <f>N(AA1908)+$Z1909</f>
        <v>24</v>
      </c>
      <c r="AB1909">
        <f>IF(AND($M1909=1,LEFT(对接源_02物料!$D709,4)="原料出库"),1,0)</f>
        <v>0</v>
      </c>
      <c r="AC1909">
        <f>N(AC1908)+$AB1909</f>
        <v>0</v>
      </c>
      <c r="AD1909">
        <f>IF(AND($M1909=1,LEFT(对接源_02物料!$D709,4)="成品出库"),1,0)</f>
        <v>0</v>
      </c>
      <c r="AE1909">
        <f>N(AE1908)+$AD1909</f>
        <v>0</v>
      </c>
      <c r="AF1909">
        <f>IF(AND($N1909=1,AND(LEFT(对接源_02物料!$D709,4)="包装物料",N(对接源_02物料!$K709)&lt;&gt;0)),1,0)</f>
        <v>0</v>
      </c>
      <c r="AG1909">
        <f>N(AG1908)+$AF1909</f>
        <v>10</v>
      </c>
      <c r="AH1909">
        <f>IF(AND($N1909=1,AND(对接源_02物料!$D709="周转筐－销售出库",N(对接源_02物料!$K709)&lt;&gt;0)),1,0)</f>
        <v>0</v>
      </c>
      <c r="AI1909">
        <f>N(AI1908)+$AH1909</f>
        <v>0</v>
      </c>
      <c r="AL1909" t="n">
        <v>0</v>
      </c>
      <c r="AM1909">
        <f>N(AM1908)+$AL1909</f>
        <v>2</v>
      </c>
      <c r="AN1909">
        <f>""</f>
      </c>
      <c r="AO1909" t="n">
        <v>0</v>
      </c>
      <c r="AP1909">
        <f>N(AP1908)+$AO1909</f>
        <v>13</v>
      </c>
      <c r="AR1909">
        <f>IF(OR($AF1909=1,$AH1909=1),1,0)</f>
        <v>0</v>
      </c>
      <c r="AS1909">
        <f>N(AS1908)+$AR1909</f>
        <v>10</v>
      </c>
    </row>
    <row r="1910" s="127">
      <c r="A1910">
        <f>IF(对接源_02物料!$C710="","",对接源_02物料!$C710)</f>
      </c>
      <c r="B1910">
        <f>IF(A1910="",0,IF(MATCH(A1910,$A$4:$A$2403,0)=ROW()-3,1,0))</f>
        <v>0</v>
      </c>
      <c r="C1910">
        <f>N(C1909)+B1910</f>
        <v>26</v>
      </c>
      <c r="K1910">
        <f>IF(OR($K$1="",对接源_02物料!$C710="",对接源_02物料!$C710&lt;&gt;$K$1,对接源_02物料!$B710=""),0,IF(OR(N(对接源_02物料!$B710)&lt;$K$2,N(对接源_02物料!$B710)&gt;$K$3),0,1))</f>
        <v>0</v>
      </c>
      <c r="L1910">
        <f>IF(OR($L$1="",对接源_02物料!$C710="",对接源_02物料!$C710&lt;&gt;$L$1,对接源_02物料!$B710=""),0,IF(OR(N(对接源_02物料!$B710)&lt;$L$2,N(对接源_02物料!$B710)&gt;$L$3),0,1))</f>
        <v>0</v>
      </c>
      <c r="M1910">
        <f>IF(OR($M$1="",对接源_02物料!$C710="",对接源_02物料!$C710&lt;&gt;$M$1,对接源_02物料!$B710=""),0,IF(OR(N(对接源_02物料!$B710)&lt;$M$2,N(对接源_02物料!$B710)&gt;$M$3),0,1))</f>
        <v>0</v>
      </c>
      <c r="N1910">
        <f>IF(OR($N$1="",对接源_02物料!$C710="",对接源_02物料!$C710&lt;&gt;$N$1,对接源_02物料!$B710=""),0,IF(OR(N(对接源_02物料!$B710)&lt;$N$2,N(对接源_02物料!$B710)&gt;$N$3),0,1))</f>
        <v>0</v>
      </c>
      <c r="P1910">
        <f>IF(AND($K1910=1,AND(对接源_02物料!$X710="公司筐",N(对接源_02物料!$T710)&lt;&gt;0)),1,0)</f>
        <v>0</v>
      </c>
      <c r="Q1910">
        <f>N(Q1909)+$P1910</f>
        <v>14</v>
      </c>
      <c r="R1910">
        <f>IF(AND($K1910=1,AND(对接源_02物料!$X710="公司筐",N(对接源_02物料!$U710)&lt;&gt;0)),1,0)</f>
        <v>0</v>
      </c>
      <c r="S1910">
        <f>N(S1909)+$R1910</f>
        <v>1</v>
      </c>
      <c r="T1910">
        <f>IF(AND($K1910=1,AND(对接源_02物料!$X710="公司筐",N(对接源_02物料!$V710)&lt;&gt;0)),1,0)</f>
        <v>0</v>
      </c>
      <c r="U1910">
        <f>N(U1909)+$T1910</f>
        <v>47</v>
      </c>
      <c r="V1910">
        <f>IF(AND($L1910=1,AND(对接源_02物料!$X710="自备筐",N(对接源_02物料!$V710)&lt;&gt;0)),1,0)</f>
        <v>0</v>
      </c>
      <c r="W1910">
        <f>N(W1909)+$V1910</f>
        <v>11</v>
      </c>
      <c r="X1910">
        <f>IF(AND($L1910=1,AND(对接源_02物料!$X710="自备筐",N(对接源_02物料!$T710)&lt;&gt;0)),1,0)</f>
        <v>0</v>
      </c>
      <c r="Y1910">
        <f>N(Y1909)+$X1910</f>
        <v>0</v>
      </c>
      <c r="Z1910">
        <f>IF(AND($M1910=1,对接源_02物料!$D710="原料入库"),1,0)</f>
        <v>0</v>
      </c>
      <c r="AA1910">
        <f>N(AA1909)+$Z1910</f>
        <v>24</v>
      </c>
      <c r="AB1910">
        <f>IF(AND($M1910=1,LEFT(对接源_02物料!$D710,4)="原料出库"),1,0)</f>
        <v>0</v>
      </c>
      <c r="AC1910">
        <f>N(AC1909)+$AB1910</f>
        <v>0</v>
      </c>
      <c r="AD1910">
        <f>IF(AND($M1910=1,LEFT(对接源_02物料!$D710,4)="成品出库"),1,0)</f>
        <v>0</v>
      </c>
      <c r="AE1910">
        <f>N(AE1909)+$AD1910</f>
        <v>0</v>
      </c>
      <c r="AF1910">
        <f>IF(AND($N1910=1,AND(LEFT(对接源_02物料!$D710,4)="包装物料",N(对接源_02物料!$K710)&lt;&gt;0)),1,0)</f>
        <v>0</v>
      </c>
      <c r="AG1910">
        <f>N(AG1909)+$AF1910</f>
        <v>10</v>
      </c>
      <c r="AH1910">
        <f>IF(AND($N1910=1,AND(对接源_02物料!$D710="周转筐－销售出库",N(对接源_02物料!$K710)&lt;&gt;0)),1,0)</f>
        <v>0</v>
      </c>
      <c r="AI1910">
        <f>N(AI1909)+$AH1910</f>
        <v>0</v>
      </c>
      <c r="AL1910" t="n">
        <v>0</v>
      </c>
      <c r="AM1910">
        <f>N(AM1909)+$AL1910</f>
        <v>2</v>
      </c>
      <c r="AN1910">
        <f>""</f>
      </c>
      <c r="AO1910" t="n">
        <v>0</v>
      </c>
      <c r="AP1910">
        <f>N(AP1909)+$AO1910</f>
        <v>13</v>
      </c>
      <c r="AR1910">
        <f>IF(OR($AF1910=1,$AH1910=1),1,0)</f>
        <v>0</v>
      </c>
      <c r="AS1910">
        <f>N(AS1909)+$AR1910</f>
        <v>10</v>
      </c>
    </row>
    <row r="1911" s="127">
      <c r="A1911">
        <f>IF(对接源_02物料!$C711="","",对接源_02物料!$C711)</f>
      </c>
      <c r="B1911">
        <f>IF(A1911="",0,IF(MATCH(A1911,$A$4:$A$2403,0)=ROW()-3,1,0))</f>
        <v>0</v>
      </c>
      <c r="C1911">
        <f>N(C1910)+B1911</f>
        <v>26</v>
      </c>
      <c r="K1911">
        <f>IF(OR($K$1="",对接源_02物料!$C711="",对接源_02物料!$C711&lt;&gt;$K$1,对接源_02物料!$B711=""),0,IF(OR(N(对接源_02物料!$B711)&lt;$K$2,N(对接源_02物料!$B711)&gt;$K$3),0,1))</f>
        <v>0</v>
      </c>
      <c r="L1911">
        <f>IF(OR($L$1="",对接源_02物料!$C711="",对接源_02物料!$C711&lt;&gt;$L$1,对接源_02物料!$B711=""),0,IF(OR(N(对接源_02物料!$B711)&lt;$L$2,N(对接源_02物料!$B711)&gt;$L$3),0,1))</f>
        <v>0</v>
      </c>
      <c r="M1911">
        <f>IF(OR($M$1="",对接源_02物料!$C711="",对接源_02物料!$C711&lt;&gt;$M$1,对接源_02物料!$B711=""),0,IF(OR(N(对接源_02物料!$B711)&lt;$M$2,N(对接源_02物料!$B711)&gt;$M$3),0,1))</f>
        <v>0</v>
      </c>
      <c r="N1911">
        <f>IF(OR($N$1="",对接源_02物料!$C711="",对接源_02物料!$C711&lt;&gt;$N$1,对接源_02物料!$B711=""),0,IF(OR(N(对接源_02物料!$B711)&lt;$N$2,N(对接源_02物料!$B711)&gt;$N$3),0,1))</f>
        <v>0</v>
      </c>
      <c r="P1911">
        <f>IF(AND($K1911=1,AND(对接源_02物料!$X711="公司筐",N(对接源_02物料!$T711)&lt;&gt;0)),1,0)</f>
        <v>0</v>
      </c>
      <c r="Q1911">
        <f>N(Q1910)+$P1911</f>
        <v>14</v>
      </c>
      <c r="R1911">
        <f>IF(AND($K1911=1,AND(对接源_02物料!$X711="公司筐",N(对接源_02物料!$U711)&lt;&gt;0)),1,0)</f>
        <v>0</v>
      </c>
      <c r="S1911">
        <f>N(S1910)+$R1911</f>
        <v>1</v>
      </c>
      <c r="T1911">
        <f>IF(AND($K1911=1,AND(对接源_02物料!$X711="公司筐",N(对接源_02物料!$V711)&lt;&gt;0)),1,0)</f>
        <v>0</v>
      </c>
      <c r="U1911">
        <f>N(U1910)+$T1911</f>
        <v>47</v>
      </c>
      <c r="V1911">
        <f>IF(AND($L1911=1,AND(对接源_02物料!$X711="自备筐",N(对接源_02物料!$V711)&lt;&gt;0)),1,0)</f>
        <v>0</v>
      </c>
      <c r="W1911">
        <f>N(W1910)+$V1911</f>
        <v>11</v>
      </c>
      <c r="X1911">
        <f>IF(AND($L1911=1,AND(对接源_02物料!$X711="自备筐",N(对接源_02物料!$T711)&lt;&gt;0)),1,0)</f>
        <v>0</v>
      </c>
      <c r="Y1911">
        <f>N(Y1910)+$X1911</f>
        <v>0</v>
      </c>
      <c r="Z1911">
        <f>IF(AND($M1911=1,对接源_02物料!$D711="原料入库"),1,0)</f>
        <v>0</v>
      </c>
      <c r="AA1911">
        <f>N(AA1910)+$Z1911</f>
        <v>24</v>
      </c>
      <c r="AB1911">
        <f>IF(AND($M1911=1,LEFT(对接源_02物料!$D711,4)="原料出库"),1,0)</f>
        <v>0</v>
      </c>
      <c r="AC1911">
        <f>N(AC1910)+$AB1911</f>
        <v>0</v>
      </c>
      <c r="AD1911">
        <f>IF(AND($M1911=1,LEFT(对接源_02物料!$D711,4)="成品出库"),1,0)</f>
        <v>0</v>
      </c>
      <c r="AE1911">
        <f>N(AE1910)+$AD1911</f>
        <v>0</v>
      </c>
      <c r="AF1911">
        <f>IF(AND($N1911=1,AND(LEFT(对接源_02物料!$D711,4)="包装物料",N(对接源_02物料!$K711)&lt;&gt;0)),1,0)</f>
        <v>0</v>
      </c>
      <c r="AG1911">
        <f>N(AG1910)+$AF1911</f>
        <v>10</v>
      </c>
      <c r="AH1911">
        <f>IF(AND($N1911=1,AND(对接源_02物料!$D711="周转筐－销售出库",N(对接源_02物料!$K711)&lt;&gt;0)),1,0)</f>
        <v>0</v>
      </c>
      <c r="AI1911">
        <f>N(AI1910)+$AH1911</f>
        <v>0</v>
      </c>
      <c r="AL1911" t="n">
        <v>0</v>
      </c>
      <c r="AM1911">
        <f>N(AM1910)+$AL1911</f>
        <v>2</v>
      </c>
      <c r="AN1911">
        <f>""</f>
      </c>
      <c r="AO1911" t="n">
        <v>0</v>
      </c>
      <c r="AP1911">
        <f>N(AP1910)+$AO1911</f>
        <v>13</v>
      </c>
      <c r="AR1911">
        <f>IF(OR($AF1911=1,$AH1911=1),1,0)</f>
        <v>0</v>
      </c>
      <c r="AS1911">
        <f>N(AS1910)+$AR1911</f>
        <v>10</v>
      </c>
    </row>
    <row r="1912" s="127">
      <c r="A1912">
        <f>IF(对接源_02物料!$C712="","",对接源_02物料!$C712)</f>
      </c>
      <c r="B1912">
        <f>IF(A1912="",0,IF(MATCH(A1912,$A$4:$A$2403,0)=ROW()-3,1,0))</f>
        <v>0</v>
      </c>
      <c r="C1912">
        <f>N(C1911)+B1912</f>
        <v>26</v>
      </c>
      <c r="K1912">
        <f>IF(OR($K$1="",对接源_02物料!$C712="",对接源_02物料!$C712&lt;&gt;$K$1,对接源_02物料!$B712=""),0,IF(OR(N(对接源_02物料!$B712)&lt;$K$2,N(对接源_02物料!$B712)&gt;$K$3),0,1))</f>
        <v>0</v>
      </c>
      <c r="L1912">
        <f>IF(OR($L$1="",对接源_02物料!$C712="",对接源_02物料!$C712&lt;&gt;$L$1,对接源_02物料!$B712=""),0,IF(OR(N(对接源_02物料!$B712)&lt;$L$2,N(对接源_02物料!$B712)&gt;$L$3),0,1))</f>
        <v>0</v>
      </c>
      <c r="M1912">
        <f>IF(OR($M$1="",对接源_02物料!$C712="",对接源_02物料!$C712&lt;&gt;$M$1,对接源_02物料!$B712=""),0,IF(OR(N(对接源_02物料!$B712)&lt;$M$2,N(对接源_02物料!$B712)&gt;$M$3),0,1))</f>
        <v>0</v>
      </c>
      <c r="N1912">
        <f>IF(OR($N$1="",对接源_02物料!$C712="",对接源_02物料!$C712&lt;&gt;$N$1,对接源_02物料!$B712=""),0,IF(OR(N(对接源_02物料!$B712)&lt;$N$2,N(对接源_02物料!$B712)&gt;$N$3),0,1))</f>
        <v>0</v>
      </c>
      <c r="P1912">
        <f>IF(AND($K1912=1,AND(对接源_02物料!$X712="公司筐",N(对接源_02物料!$T712)&lt;&gt;0)),1,0)</f>
        <v>0</v>
      </c>
      <c r="Q1912">
        <f>N(Q1911)+$P1912</f>
        <v>14</v>
      </c>
      <c r="R1912">
        <f>IF(AND($K1912=1,AND(对接源_02物料!$X712="公司筐",N(对接源_02物料!$U712)&lt;&gt;0)),1,0)</f>
        <v>0</v>
      </c>
      <c r="S1912">
        <f>N(S1911)+$R1912</f>
        <v>1</v>
      </c>
      <c r="T1912">
        <f>IF(AND($K1912=1,AND(对接源_02物料!$X712="公司筐",N(对接源_02物料!$V712)&lt;&gt;0)),1,0)</f>
        <v>0</v>
      </c>
      <c r="U1912">
        <f>N(U1911)+$T1912</f>
        <v>47</v>
      </c>
      <c r="V1912">
        <f>IF(AND($L1912=1,AND(对接源_02物料!$X712="自备筐",N(对接源_02物料!$V712)&lt;&gt;0)),1,0)</f>
        <v>0</v>
      </c>
      <c r="W1912">
        <f>N(W1911)+$V1912</f>
        <v>11</v>
      </c>
      <c r="X1912">
        <f>IF(AND($L1912=1,AND(对接源_02物料!$X712="自备筐",N(对接源_02物料!$T712)&lt;&gt;0)),1,0)</f>
        <v>0</v>
      </c>
      <c r="Y1912">
        <f>N(Y1911)+$X1912</f>
        <v>0</v>
      </c>
      <c r="Z1912">
        <f>IF(AND($M1912=1,对接源_02物料!$D712="原料入库"),1,0)</f>
        <v>0</v>
      </c>
      <c r="AA1912">
        <f>N(AA1911)+$Z1912</f>
        <v>24</v>
      </c>
      <c r="AB1912">
        <f>IF(AND($M1912=1,LEFT(对接源_02物料!$D712,4)="原料出库"),1,0)</f>
        <v>0</v>
      </c>
      <c r="AC1912">
        <f>N(AC1911)+$AB1912</f>
        <v>0</v>
      </c>
      <c r="AD1912">
        <f>IF(AND($M1912=1,LEFT(对接源_02物料!$D712,4)="成品出库"),1,0)</f>
        <v>0</v>
      </c>
      <c r="AE1912">
        <f>N(AE1911)+$AD1912</f>
        <v>0</v>
      </c>
      <c r="AF1912">
        <f>IF(AND($N1912=1,AND(LEFT(对接源_02物料!$D712,4)="包装物料",N(对接源_02物料!$K712)&lt;&gt;0)),1,0)</f>
        <v>0</v>
      </c>
      <c r="AG1912">
        <f>N(AG1911)+$AF1912</f>
        <v>10</v>
      </c>
      <c r="AH1912">
        <f>IF(AND($N1912=1,AND(对接源_02物料!$D712="周转筐－销售出库",N(对接源_02物料!$K712)&lt;&gt;0)),1,0)</f>
        <v>0</v>
      </c>
      <c r="AI1912">
        <f>N(AI1911)+$AH1912</f>
        <v>0</v>
      </c>
      <c r="AL1912" t="n">
        <v>0</v>
      </c>
      <c r="AM1912">
        <f>N(AM1911)+$AL1912</f>
        <v>2</v>
      </c>
      <c r="AN1912">
        <f>""</f>
      </c>
      <c r="AO1912" t="n">
        <v>0</v>
      </c>
      <c r="AP1912">
        <f>N(AP1911)+$AO1912</f>
        <v>13</v>
      </c>
      <c r="AR1912">
        <f>IF(OR($AF1912=1,$AH1912=1),1,0)</f>
        <v>0</v>
      </c>
      <c r="AS1912">
        <f>N(AS1911)+$AR1912</f>
        <v>10</v>
      </c>
    </row>
    <row r="1913" s="127">
      <c r="A1913">
        <f>IF(对接源_02物料!$C713="","",对接源_02物料!$C713)</f>
      </c>
      <c r="B1913">
        <f>IF(A1913="",0,IF(MATCH(A1913,$A$4:$A$2403,0)=ROW()-3,1,0))</f>
        <v>0</v>
      </c>
      <c r="C1913">
        <f>N(C1912)+B1913</f>
        <v>26</v>
      </c>
      <c r="K1913">
        <f>IF(OR($K$1="",对接源_02物料!$C713="",对接源_02物料!$C713&lt;&gt;$K$1,对接源_02物料!$B713=""),0,IF(OR(N(对接源_02物料!$B713)&lt;$K$2,N(对接源_02物料!$B713)&gt;$K$3),0,1))</f>
        <v>0</v>
      </c>
      <c r="L1913">
        <f>IF(OR($L$1="",对接源_02物料!$C713="",对接源_02物料!$C713&lt;&gt;$L$1,对接源_02物料!$B713=""),0,IF(OR(N(对接源_02物料!$B713)&lt;$L$2,N(对接源_02物料!$B713)&gt;$L$3),0,1))</f>
        <v>0</v>
      </c>
      <c r="M1913">
        <f>IF(OR($M$1="",对接源_02物料!$C713="",对接源_02物料!$C713&lt;&gt;$M$1,对接源_02物料!$B713=""),0,IF(OR(N(对接源_02物料!$B713)&lt;$M$2,N(对接源_02物料!$B713)&gt;$M$3),0,1))</f>
        <v>0</v>
      </c>
      <c r="N1913">
        <f>IF(OR($N$1="",对接源_02物料!$C713="",对接源_02物料!$C713&lt;&gt;$N$1,对接源_02物料!$B713=""),0,IF(OR(N(对接源_02物料!$B713)&lt;$N$2,N(对接源_02物料!$B713)&gt;$N$3),0,1))</f>
        <v>0</v>
      </c>
      <c r="P1913">
        <f>IF(AND($K1913=1,AND(对接源_02物料!$X713="公司筐",N(对接源_02物料!$T713)&lt;&gt;0)),1,0)</f>
        <v>0</v>
      </c>
      <c r="Q1913">
        <f>N(Q1912)+$P1913</f>
        <v>14</v>
      </c>
      <c r="R1913">
        <f>IF(AND($K1913=1,AND(对接源_02物料!$X713="公司筐",N(对接源_02物料!$U713)&lt;&gt;0)),1,0)</f>
        <v>0</v>
      </c>
      <c r="S1913">
        <f>N(S1912)+$R1913</f>
        <v>1</v>
      </c>
      <c r="T1913">
        <f>IF(AND($K1913=1,AND(对接源_02物料!$X713="公司筐",N(对接源_02物料!$V713)&lt;&gt;0)),1,0)</f>
        <v>0</v>
      </c>
      <c r="U1913">
        <f>N(U1912)+$T1913</f>
        <v>47</v>
      </c>
      <c r="V1913">
        <f>IF(AND($L1913=1,AND(对接源_02物料!$X713="自备筐",N(对接源_02物料!$V713)&lt;&gt;0)),1,0)</f>
        <v>0</v>
      </c>
      <c r="W1913">
        <f>N(W1912)+$V1913</f>
        <v>11</v>
      </c>
      <c r="X1913">
        <f>IF(AND($L1913=1,AND(对接源_02物料!$X713="自备筐",N(对接源_02物料!$T713)&lt;&gt;0)),1,0)</f>
        <v>0</v>
      </c>
      <c r="Y1913">
        <f>N(Y1912)+$X1913</f>
        <v>0</v>
      </c>
      <c r="Z1913">
        <f>IF(AND($M1913=1,对接源_02物料!$D713="原料入库"),1,0)</f>
        <v>0</v>
      </c>
      <c r="AA1913">
        <f>N(AA1912)+$Z1913</f>
        <v>24</v>
      </c>
      <c r="AB1913">
        <f>IF(AND($M1913=1,LEFT(对接源_02物料!$D713,4)="原料出库"),1,0)</f>
        <v>0</v>
      </c>
      <c r="AC1913">
        <f>N(AC1912)+$AB1913</f>
        <v>0</v>
      </c>
      <c r="AD1913">
        <f>IF(AND($M1913=1,LEFT(对接源_02物料!$D713,4)="成品出库"),1,0)</f>
        <v>0</v>
      </c>
      <c r="AE1913">
        <f>N(AE1912)+$AD1913</f>
        <v>0</v>
      </c>
      <c r="AF1913">
        <f>IF(AND($N1913=1,AND(LEFT(对接源_02物料!$D713,4)="包装物料",N(对接源_02物料!$K713)&lt;&gt;0)),1,0)</f>
        <v>0</v>
      </c>
      <c r="AG1913">
        <f>N(AG1912)+$AF1913</f>
        <v>10</v>
      </c>
      <c r="AH1913">
        <f>IF(AND($N1913=1,AND(对接源_02物料!$D713="周转筐－销售出库",N(对接源_02物料!$K713)&lt;&gt;0)),1,0)</f>
        <v>0</v>
      </c>
      <c r="AI1913">
        <f>N(AI1912)+$AH1913</f>
        <v>0</v>
      </c>
      <c r="AL1913" t="n">
        <v>0</v>
      </c>
      <c r="AM1913">
        <f>N(AM1912)+$AL1913</f>
        <v>2</v>
      </c>
      <c r="AN1913">
        <f>""</f>
      </c>
      <c r="AO1913" t="n">
        <v>0</v>
      </c>
      <c r="AP1913">
        <f>N(AP1912)+$AO1913</f>
        <v>13</v>
      </c>
      <c r="AR1913">
        <f>IF(OR($AF1913=1,$AH1913=1),1,0)</f>
        <v>0</v>
      </c>
      <c r="AS1913">
        <f>N(AS1912)+$AR1913</f>
        <v>10</v>
      </c>
    </row>
    <row r="1914" s="127">
      <c r="A1914">
        <f>IF(对接源_02物料!$C714="","",对接源_02物料!$C714)</f>
      </c>
      <c r="B1914">
        <f>IF(A1914="",0,IF(MATCH(A1914,$A$4:$A$2403,0)=ROW()-3,1,0))</f>
        <v>0</v>
      </c>
      <c r="C1914">
        <f>N(C1913)+B1914</f>
        <v>26</v>
      </c>
      <c r="K1914">
        <f>IF(OR($K$1="",对接源_02物料!$C714="",对接源_02物料!$C714&lt;&gt;$K$1,对接源_02物料!$B714=""),0,IF(OR(N(对接源_02物料!$B714)&lt;$K$2,N(对接源_02物料!$B714)&gt;$K$3),0,1))</f>
        <v>0</v>
      </c>
      <c r="L1914">
        <f>IF(OR($L$1="",对接源_02物料!$C714="",对接源_02物料!$C714&lt;&gt;$L$1,对接源_02物料!$B714=""),0,IF(OR(N(对接源_02物料!$B714)&lt;$L$2,N(对接源_02物料!$B714)&gt;$L$3),0,1))</f>
        <v>0</v>
      </c>
      <c r="M1914">
        <f>IF(OR($M$1="",对接源_02物料!$C714="",对接源_02物料!$C714&lt;&gt;$M$1,对接源_02物料!$B714=""),0,IF(OR(N(对接源_02物料!$B714)&lt;$M$2,N(对接源_02物料!$B714)&gt;$M$3),0,1))</f>
        <v>0</v>
      </c>
      <c r="N1914">
        <f>IF(OR($N$1="",对接源_02物料!$C714="",对接源_02物料!$C714&lt;&gt;$N$1,对接源_02物料!$B714=""),0,IF(OR(N(对接源_02物料!$B714)&lt;$N$2,N(对接源_02物料!$B714)&gt;$N$3),0,1))</f>
        <v>0</v>
      </c>
      <c r="P1914">
        <f>IF(AND($K1914=1,AND(对接源_02物料!$X714="公司筐",N(对接源_02物料!$T714)&lt;&gt;0)),1,0)</f>
        <v>0</v>
      </c>
      <c r="Q1914">
        <f>N(Q1913)+$P1914</f>
        <v>14</v>
      </c>
      <c r="R1914">
        <f>IF(AND($K1914=1,AND(对接源_02物料!$X714="公司筐",N(对接源_02物料!$U714)&lt;&gt;0)),1,0)</f>
        <v>0</v>
      </c>
      <c r="S1914">
        <f>N(S1913)+$R1914</f>
        <v>1</v>
      </c>
      <c r="T1914">
        <f>IF(AND($K1914=1,AND(对接源_02物料!$X714="公司筐",N(对接源_02物料!$V714)&lt;&gt;0)),1,0)</f>
        <v>0</v>
      </c>
      <c r="U1914">
        <f>N(U1913)+$T1914</f>
        <v>47</v>
      </c>
      <c r="V1914">
        <f>IF(AND($L1914=1,AND(对接源_02物料!$X714="自备筐",N(对接源_02物料!$V714)&lt;&gt;0)),1,0)</f>
        <v>0</v>
      </c>
      <c r="W1914">
        <f>N(W1913)+$V1914</f>
        <v>11</v>
      </c>
      <c r="X1914">
        <f>IF(AND($L1914=1,AND(对接源_02物料!$X714="自备筐",N(对接源_02物料!$T714)&lt;&gt;0)),1,0)</f>
        <v>0</v>
      </c>
      <c r="Y1914">
        <f>N(Y1913)+$X1914</f>
        <v>0</v>
      </c>
      <c r="Z1914">
        <f>IF(AND($M1914=1,对接源_02物料!$D714="原料入库"),1,0)</f>
        <v>0</v>
      </c>
      <c r="AA1914">
        <f>N(AA1913)+$Z1914</f>
        <v>24</v>
      </c>
      <c r="AB1914">
        <f>IF(AND($M1914=1,LEFT(对接源_02物料!$D714,4)="原料出库"),1,0)</f>
        <v>0</v>
      </c>
      <c r="AC1914">
        <f>N(AC1913)+$AB1914</f>
        <v>0</v>
      </c>
      <c r="AD1914">
        <f>IF(AND($M1914=1,LEFT(对接源_02物料!$D714,4)="成品出库"),1,0)</f>
        <v>0</v>
      </c>
      <c r="AE1914">
        <f>N(AE1913)+$AD1914</f>
        <v>0</v>
      </c>
      <c r="AF1914">
        <f>IF(AND($N1914=1,AND(LEFT(对接源_02物料!$D714,4)="包装物料",N(对接源_02物料!$K714)&lt;&gt;0)),1,0)</f>
        <v>0</v>
      </c>
      <c r="AG1914">
        <f>N(AG1913)+$AF1914</f>
        <v>10</v>
      </c>
      <c r="AH1914">
        <f>IF(AND($N1914=1,AND(对接源_02物料!$D714="周转筐－销售出库",N(对接源_02物料!$K714)&lt;&gt;0)),1,0)</f>
        <v>0</v>
      </c>
      <c r="AI1914">
        <f>N(AI1913)+$AH1914</f>
        <v>0</v>
      </c>
      <c r="AL1914" t="n">
        <v>0</v>
      </c>
      <c r="AM1914">
        <f>N(AM1913)+$AL1914</f>
        <v>2</v>
      </c>
      <c r="AN1914">
        <f>""</f>
      </c>
      <c r="AO1914" t="n">
        <v>0</v>
      </c>
      <c r="AP1914">
        <f>N(AP1913)+$AO1914</f>
        <v>13</v>
      </c>
      <c r="AR1914">
        <f>IF(OR($AF1914=1,$AH1914=1),1,0)</f>
        <v>0</v>
      </c>
      <c r="AS1914">
        <f>N(AS1913)+$AR1914</f>
        <v>10</v>
      </c>
    </row>
    <row r="1915" s="127">
      <c r="A1915">
        <f>IF(对接源_02物料!$C715="","",对接源_02物料!$C715)</f>
      </c>
      <c r="B1915">
        <f>IF(A1915="",0,IF(MATCH(A1915,$A$4:$A$2403,0)=ROW()-3,1,0))</f>
        <v>0</v>
      </c>
      <c r="C1915">
        <f>N(C1914)+B1915</f>
        <v>26</v>
      </c>
      <c r="K1915">
        <f>IF(OR($K$1="",对接源_02物料!$C715="",对接源_02物料!$C715&lt;&gt;$K$1,对接源_02物料!$B715=""),0,IF(OR(N(对接源_02物料!$B715)&lt;$K$2,N(对接源_02物料!$B715)&gt;$K$3),0,1))</f>
        <v>0</v>
      </c>
      <c r="L1915">
        <f>IF(OR($L$1="",对接源_02物料!$C715="",对接源_02物料!$C715&lt;&gt;$L$1,对接源_02物料!$B715=""),0,IF(OR(N(对接源_02物料!$B715)&lt;$L$2,N(对接源_02物料!$B715)&gt;$L$3),0,1))</f>
        <v>0</v>
      </c>
      <c r="M1915">
        <f>IF(OR($M$1="",对接源_02物料!$C715="",对接源_02物料!$C715&lt;&gt;$M$1,对接源_02物料!$B715=""),0,IF(OR(N(对接源_02物料!$B715)&lt;$M$2,N(对接源_02物料!$B715)&gt;$M$3),0,1))</f>
        <v>0</v>
      </c>
      <c r="N1915">
        <f>IF(OR($N$1="",对接源_02物料!$C715="",对接源_02物料!$C715&lt;&gt;$N$1,对接源_02物料!$B715=""),0,IF(OR(N(对接源_02物料!$B715)&lt;$N$2,N(对接源_02物料!$B715)&gt;$N$3),0,1))</f>
        <v>0</v>
      </c>
      <c r="P1915">
        <f>IF(AND($K1915=1,AND(对接源_02物料!$X715="公司筐",N(对接源_02物料!$T715)&lt;&gt;0)),1,0)</f>
        <v>0</v>
      </c>
      <c r="Q1915">
        <f>N(Q1914)+$P1915</f>
        <v>14</v>
      </c>
      <c r="R1915">
        <f>IF(AND($K1915=1,AND(对接源_02物料!$X715="公司筐",N(对接源_02物料!$U715)&lt;&gt;0)),1,0)</f>
        <v>0</v>
      </c>
      <c r="S1915">
        <f>N(S1914)+$R1915</f>
        <v>1</v>
      </c>
      <c r="T1915">
        <f>IF(AND($K1915=1,AND(对接源_02物料!$X715="公司筐",N(对接源_02物料!$V715)&lt;&gt;0)),1,0)</f>
        <v>0</v>
      </c>
      <c r="U1915">
        <f>N(U1914)+$T1915</f>
        <v>47</v>
      </c>
      <c r="V1915">
        <f>IF(AND($L1915=1,AND(对接源_02物料!$X715="自备筐",N(对接源_02物料!$V715)&lt;&gt;0)),1,0)</f>
        <v>0</v>
      </c>
      <c r="W1915">
        <f>N(W1914)+$V1915</f>
        <v>11</v>
      </c>
      <c r="X1915">
        <f>IF(AND($L1915=1,AND(对接源_02物料!$X715="自备筐",N(对接源_02物料!$T715)&lt;&gt;0)),1,0)</f>
        <v>0</v>
      </c>
      <c r="Y1915">
        <f>N(Y1914)+$X1915</f>
        <v>0</v>
      </c>
      <c r="Z1915">
        <f>IF(AND($M1915=1,对接源_02物料!$D715="原料入库"),1,0)</f>
        <v>0</v>
      </c>
      <c r="AA1915">
        <f>N(AA1914)+$Z1915</f>
        <v>24</v>
      </c>
      <c r="AB1915">
        <f>IF(AND($M1915=1,LEFT(对接源_02物料!$D715,4)="原料出库"),1,0)</f>
        <v>0</v>
      </c>
      <c r="AC1915">
        <f>N(AC1914)+$AB1915</f>
        <v>0</v>
      </c>
      <c r="AD1915">
        <f>IF(AND($M1915=1,LEFT(对接源_02物料!$D715,4)="成品出库"),1,0)</f>
        <v>0</v>
      </c>
      <c r="AE1915">
        <f>N(AE1914)+$AD1915</f>
        <v>0</v>
      </c>
      <c r="AF1915">
        <f>IF(AND($N1915=1,AND(LEFT(对接源_02物料!$D715,4)="包装物料",N(对接源_02物料!$K715)&lt;&gt;0)),1,0)</f>
        <v>0</v>
      </c>
      <c r="AG1915">
        <f>N(AG1914)+$AF1915</f>
        <v>10</v>
      </c>
      <c r="AH1915">
        <f>IF(AND($N1915=1,AND(对接源_02物料!$D715="周转筐－销售出库",N(对接源_02物料!$K715)&lt;&gt;0)),1,0)</f>
        <v>0</v>
      </c>
      <c r="AI1915">
        <f>N(AI1914)+$AH1915</f>
        <v>0</v>
      </c>
      <c r="AL1915" t="n">
        <v>0</v>
      </c>
      <c r="AM1915">
        <f>N(AM1914)+$AL1915</f>
        <v>2</v>
      </c>
      <c r="AN1915">
        <f>""</f>
      </c>
      <c r="AO1915" t="n">
        <v>0</v>
      </c>
      <c r="AP1915">
        <f>N(AP1914)+$AO1915</f>
        <v>13</v>
      </c>
      <c r="AR1915">
        <f>IF(OR($AF1915=1,$AH1915=1),1,0)</f>
        <v>0</v>
      </c>
      <c r="AS1915">
        <f>N(AS1914)+$AR1915</f>
        <v>10</v>
      </c>
    </row>
    <row r="1916" s="127">
      <c r="A1916">
        <f>IF(对接源_02物料!$C716="","",对接源_02物料!$C716)</f>
      </c>
      <c r="B1916">
        <f>IF(A1916="",0,IF(MATCH(A1916,$A$4:$A$2403,0)=ROW()-3,1,0))</f>
        <v>0</v>
      </c>
      <c r="C1916">
        <f>N(C1915)+B1916</f>
        <v>26</v>
      </c>
      <c r="K1916">
        <f>IF(OR($K$1="",对接源_02物料!$C716="",对接源_02物料!$C716&lt;&gt;$K$1,对接源_02物料!$B716=""),0,IF(OR(N(对接源_02物料!$B716)&lt;$K$2,N(对接源_02物料!$B716)&gt;$K$3),0,1))</f>
        <v>0</v>
      </c>
      <c r="L1916">
        <f>IF(OR($L$1="",对接源_02物料!$C716="",对接源_02物料!$C716&lt;&gt;$L$1,对接源_02物料!$B716=""),0,IF(OR(N(对接源_02物料!$B716)&lt;$L$2,N(对接源_02物料!$B716)&gt;$L$3),0,1))</f>
        <v>0</v>
      </c>
      <c r="M1916">
        <f>IF(OR($M$1="",对接源_02物料!$C716="",对接源_02物料!$C716&lt;&gt;$M$1,对接源_02物料!$B716=""),0,IF(OR(N(对接源_02物料!$B716)&lt;$M$2,N(对接源_02物料!$B716)&gt;$M$3),0,1))</f>
        <v>0</v>
      </c>
      <c r="N1916">
        <f>IF(OR($N$1="",对接源_02物料!$C716="",对接源_02物料!$C716&lt;&gt;$N$1,对接源_02物料!$B716=""),0,IF(OR(N(对接源_02物料!$B716)&lt;$N$2,N(对接源_02物料!$B716)&gt;$N$3),0,1))</f>
        <v>0</v>
      </c>
      <c r="P1916">
        <f>IF(AND($K1916=1,AND(对接源_02物料!$X716="公司筐",N(对接源_02物料!$T716)&lt;&gt;0)),1,0)</f>
        <v>0</v>
      </c>
      <c r="Q1916">
        <f>N(Q1915)+$P1916</f>
        <v>14</v>
      </c>
      <c r="R1916">
        <f>IF(AND($K1916=1,AND(对接源_02物料!$X716="公司筐",N(对接源_02物料!$U716)&lt;&gt;0)),1,0)</f>
        <v>0</v>
      </c>
      <c r="S1916">
        <f>N(S1915)+$R1916</f>
        <v>1</v>
      </c>
      <c r="T1916">
        <f>IF(AND($K1916=1,AND(对接源_02物料!$X716="公司筐",N(对接源_02物料!$V716)&lt;&gt;0)),1,0)</f>
        <v>0</v>
      </c>
      <c r="U1916">
        <f>N(U1915)+$T1916</f>
        <v>47</v>
      </c>
      <c r="V1916">
        <f>IF(AND($L1916=1,AND(对接源_02物料!$X716="自备筐",N(对接源_02物料!$V716)&lt;&gt;0)),1,0)</f>
        <v>0</v>
      </c>
      <c r="W1916">
        <f>N(W1915)+$V1916</f>
        <v>11</v>
      </c>
      <c r="X1916">
        <f>IF(AND($L1916=1,AND(对接源_02物料!$X716="自备筐",N(对接源_02物料!$T716)&lt;&gt;0)),1,0)</f>
        <v>0</v>
      </c>
      <c r="Y1916">
        <f>N(Y1915)+$X1916</f>
        <v>0</v>
      </c>
      <c r="Z1916">
        <f>IF(AND($M1916=1,对接源_02物料!$D716="原料入库"),1,0)</f>
        <v>0</v>
      </c>
      <c r="AA1916">
        <f>N(AA1915)+$Z1916</f>
        <v>24</v>
      </c>
      <c r="AB1916">
        <f>IF(AND($M1916=1,LEFT(对接源_02物料!$D716,4)="原料出库"),1,0)</f>
        <v>0</v>
      </c>
      <c r="AC1916">
        <f>N(AC1915)+$AB1916</f>
        <v>0</v>
      </c>
      <c r="AD1916">
        <f>IF(AND($M1916=1,LEFT(对接源_02物料!$D716,4)="成品出库"),1,0)</f>
        <v>0</v>
      </c>
      <c r="AE1916">
        <f>N(AE1915)+$AD1916</f>
        <v>0</v>
      </c>
      <c r="AF1916">
        <f>IF(AND($N1916=1,AND(LEFT(对接源_02物料!$D716,4)="包装物料",N(对接源_02物料!$K716)&lt;&gt;0)),1,0)</f>
        <v>0</v>
      </c>
      <c r="AG1916">
        <f>N(AG1915)+$AF1916</f>
        <v>10</v>
      </c>
      <c r="AH1916">
        <f>IF(AND($N1916=1,AND(对接源_02物料!$D716="周转筐－销售出库",N(对接源_02物料!$K716)&lt;&gt;0)),1,0)</f>
        <v>0</v>
      </c>
      <c r="AI1916">
        <f>N(AI1915)+$AH1916</f>
        <v>0</v>
      </c>
      <c r="AL1916" t="n">
        <v>0</v>
      </c>
      <c r="AM1916">
        <f>N(AM1915)+$AL1916</f>
        <v>2</v>
      </c>
      <c r="AN1916">
        <f>""</f>
      </c>
      <c r="AO1916" t="n">
        <v>0</v>
      </c>
      <c r="AP1916">
        <f>N(AP1915)+$AO1916</f>
        <v>13</v>
      </c>
      <c r="AR1916">
        <f>IF(OR($AF1916=1,$AH1916=1),1,0)</f>
        <v>0</v>
      </c>
      <c r="AS1916">
        <f>N(AS1915)+$AR1916</f>
        <v>10</v>
      </c>
    </row>
    <row r="1917" s="127">
      <c r="A1917">
        <f>IF(对接源_02物料!$C717="","",对接源_02物料!$C717)</f>
      </c>
      <c r="B1917">
        <f>IF(A1917="",0,IF(MATCH(A1917,$A$4:$A$2403,0)=ROW()-3,1,0))</f>
        <v>0</v>
      </c>
      <c r="C1917">
        <f>N(C1916)+B1917</f>
        <v>26</v>
      </c>
      <c r="K1917">
        <f>IF(OR($K$1="",对接源_02物料!$C717="",对接源_02物料!$C717&lt;&gt;$K$1,对接源_02物料!$B717=""),0,IF(OR(N(对接源_02物料!$B717)&lt;$K$2,N(对接源_02物料!$B717)&gt;$K$3),0,1))</f>
        <v>0</v>
      </c>
      <c r="L1917">
        <f>IF(OR($L$1="",对接源_02物料!$C717="",对接源_02物料!$C717&lt;&gt;$L$1,对接源_02物料!$B717=""),0,IF(OR(N(对接源_02物料!$B717)&lt;$L$2,N(对接源_02物料!$B717)&gt;$L$3),0,1))</f>
        <v>0</v>
      </c>
      <c r="M1917">
        <f>IF(OR($M$1="",对接源_02物料!$C717="",对接源_02物料!$C717&lt;&gt;$M$1,对接源_02物料!$B717=""),0,IF(OR(N(对接源_02物料!$B717)&lt;$M$2,N(对接源_02物料!$B717)&gt;$M$3),0,1))</f>
        <v>0</v>
      </c>
      <c r="N1917">
        <f>IF(OR($N$1="",对接源_02物料!$C717="",对接源_02物料!$C717&lt;&gt;$N$1,对接源_02物料!$B717=""),0,IF(OR(N(对接源_02物料!$B717)&lt;$N$2,N(对接源_02物料!$B717)&gt;$N$3),0,1))</f>
        <v>0</v>
      </c>
      <c r="P1917">
        <f>IF(AND($K1917=1,AND(对接源_02物料!$X717="公司筐",N(对接源_02物料!$T717)&lt;&gt;0)),1,0)</f>
        <v>0</v>
      </c>
      <c r="Q1917">
        <f>N(Q1916)+$P1917</f>
        <v>14</v>
      </c>
      <c r="R1917">
        <f>IF(AND($K1917=1,AND(对接源_02物料!$X717="公司筐",N(对接源_02物料!$U717)&lt;&gt;0)),1,0)</f>
        <v>0</v>
      </c>
      <c r="S1917">
        <f>N(S1916)+$R1917</f>
        <v>1</v>
      </c>
      <c r="T1917">
        <f>IF(AND($K1917=1,AND(对接源_02物料!$X717="公司筐",N(对接源_02物料!$V717)&lt;&gt;0)),1,0)</f>
        <v>0</v>
      </c>
      <c r="U1917">
        <f>N(U1916)+$T1917</f>
        <v>47</v>
      </c>
      <c r="V1917">
        <f>IF(AND($L1917=1,AND(对接源_02物料!$X717="自备筐",N(对接源_02物料!$V717)&lt;&gt;0)),1,0)</f>
        <v>0</v>
      </c>
      <c r="W1917">
        <f>N(W1916)+$V1917</f>
        <v>11</v>
      </c>
      <c r="X1917">
        <f>IF(AND($L1917=1,AND(对接源_02物料!$X717="自备筐",N(对接源_02物料!$T717)&lt;&gt;0)),1,0)</f>
        <v>0</v>
      </c>
      <c r="Y1917">
        <f>N(Y1916)+$X1917</f>
        <v>0</v>
      </c>
      <c r="Z1917">
        <f>IF(AND($M1917=1,对接源_02物料!$D717="原料入库"),1,0)</f>
        <v>0</v>
      </c>
      <c r="AA1917">
        <f>N(AA1916)+$Z1917</f>
        <v>24</v>
      </c>
      <c r="AB1917">
        <f>IF(AND($M1917=1,LEFT(对接源_02物料!$D717,4)="原料出库"),1,0)</f>
        <v>0</v>
      </c>
      <c r="AC1917">
        <f>N(AC1916)+$AB1917</f>
        <v>0</v>
      </c>
      <c r="AD1917">
        <f>IF(AND($M1917=1,LEFT(对接源_02物料!$D717,4)="成品出库"),1,0)</f>
        <v>0</v>
      </c>
      <c r="AE1917">
        <f>N(AE1916)+$AD1917</f>
        <v>0</v>
      </c>
      <c r="AF1917">
        <f>IF(AND($N1917=1,AND(LEFT(对接源_02物料!$D717,4)="包装物料",N(对接源_02物料!$K717)&lt;&gt;0)),1,0)</f>
        <v>0</v>
      </c>
      <c r="AG1917">
        <f>N(AG1916)+$AF1917</f>
        <v>10</v>
      </c>
      <c r="AH1917">
        <f>IF(AND($N1917=1,AND(对接源_02物料!$D717="周转筐－销售出库",N(对接源_02物料!$K717)&lt;&gt;0)),1,0)</f>
        <v>0</v>
      </c>
      <c r="AI1917">
        <f>N(AI1916)+$AH1917</f>
        <v>0</v>
      </c>
      <c r="AL1917" t="n">
        <v>0</v>
      </c>
      <c r="AM1917">
        <f>N(AM1916)+$AL1917</f>
        <v>2</v>
      </c>
      <c r="AN1917">
        <f>""</f>
      </c>
      <c r="AO1917" t="n">
        <v>0</v>
      </c>
      <c r="AP1917">
        <f>N(AP1916)+$AO1917</f>
        <v>13</v>
      </c>
      <c r="AR1917">
        <f>IF(OR($AF1917=1,$AH1917=1),1,0)</f>
        <v>0</v>
      </c>
      <c r="AS1917">
        <f>N(AS1916)+$AR1917</f>
        <v>10</v>
      </c>
    </row>
    <row r="1918" s="127">
      <c r="A1918">
        <f>IF(对接源_02物料!$C718="","",对接源_02物料!$C718)</f>
      </c>
      <c r="B1918">
        <f>IF(A1918="",0,IF(MATCH(A1918,$A$4:$A$2403,0)=ROW()-3,1,0))</f>
        <v>0</v>
      </c>
      <c r="C1918">
        <f>N(C1917)+B1918</f>
        <v>26</v>
      </c>
      <c r="K1918">
        <f>IF(OR($K$1="",对接源_02物料!$C718="",对接源_02物料!$C718&lt;&gt;$K$1,对接源_02物料!$B718=""),0,IF(OR(N(对接源_02物料!$B718)&lt;$K$2,N(对接源_02物料!$B718)&gt;$K$3),0,1))</f>
        <v>0</v>
      </c>
      <c r="L1918">
        <f>IF(OR($L$1="",对接源_02物料!$C718="",对接源_02物料!$C718&lt;&gt;$L$1,对接源_02物料!$B718=""),0,IF(OR(N(对接源_02物料!$B718)&lt;$L$2,N(对接源_02物料!$B718)&gt;$L$3),0,1))</f>
        <v>0</v>
      </c>
      <c r="M1918">
        <f>IF(OR($M$1="",对接源_02物料!$C718="",对接源_02物料!$C718&lt;&gt;$M$1,对接源_02物料!$B718=""),0,IF(OR(N(对接源_02物料!$B718)&lt;$M$2,N(对接源_02物料!$B718)&gt;$M$3),0,1))</f>
        <v>0</v>
      </c>
      <c r="N1918">
        <f>IF(OR($N$1="",对接源_02物料!$C718="",对接源_02物料!$C718&lt;&gt;$N$1,对接源_02物料!$B718=""),0,IF(OR(N(对接源_02物料!$B718)&lt;$N$2,N(对接源_02物料!$B718)&gt;$N$3),0,1))</f>
        <v>0</v>
      </c>
      <c r="P1918">
        <f>IF(AND($K1918=1,AND(对接源_02物料!$X718="公司筐",N(对接源_02物料!$T718)&lt;&gt;0)),1,0)</f>
        <v>0</v>
      </c>
      <c r="Q1918">
        <f>N(Q1917)+$P1918</f>
        <v>14</v>
      </c>
      <c r="R1918">
        <f>IF(AND($K1918=1,AND(对接源_02物料!$X718="公司筐",N(对接源_02物料!$U718)&lt;&gt;0)),1,0)</f>
        <v>0</v>
      </c>
      <c r="S1918">
        <f>N(S1917)+$R1918</f>
        <v>1</v>
      </c>
      <c r="T1918">
        <f>IF(AND($K1918=1,AND(对接源_02物料!$X718="公司筐",N(对接源_02物料!$V718)&lt;&gt;0)),1,0)</f>
        <v>0</v>
      </c>
      <c r="U1918">
        <f>N(U1917)+$T1918</f>
        <v>47</v>
      </c>
      <c r="V1918">
        <f>IF(AND($L1918=1,AND(对接源_02物料!$X718="自备筐",N(对接源_02物料!$V718)&lt;&gt;0)),1,0)</f>
        <v>0</v>
      </c>
      <c r="W1918">
        <f>N(W1917)+$V1918</f>
        <v>11</v>
      </c>
      <c r="X1918">
        <f>IF(AND($L1918=1,AND(对接源_02物料!$X718="自备筐",N(对接源_02物料!$T718)&lt;&gt;0)),1,0)</f>
        <v>0</v>
      </c>
      <c r="Y1918">
        <f>N(Y1917)+$X1918</f>
        <v>0</v>
      </c>
      <c r="Z1918">
        <f>IF(AND($M1918=1,对接源_02物料!$D718="原料入库"),1,0)</f>
        <v>0</v>
      </c>
      <c r="AA1918">
        <f>N(AA1917)+$Z1918</f>
        <v>24</v>
      </c>
      <c r="AB1918">
        <f>IF(AND($M1918=1,LEFT(对接源_02物料!$D718,4)="原料出库"),1,0)</f>
        <v>0</v>
      </c>
      <c r="AC1918">
        <f>N(AC1917)+$AB1918</f>
        <v>0</v>
      </c>
      <c r="AD1918">
        <f>IF(AND($M1918=1,LEFT(对接源_02物料!$D718,4)="成品出库"),1,0)</f>
        <v>0</v>
      </c>
      <c r="AE1918">
        <f>N(AE1917)+$AD1918</f>
        <v>0</v>
      </c>
      <c r="AF1918">
        <f>IF(AND($N1918=1,AND(LEFT(对接源_02物料!$D718,4)="包装物料",N(对接源_02物料!$K718)&lt;&gt;0)),1,0)</f>
        <v>0</v>
      </c>
      <c r="AG1918">
        <f>N(AG1917)+$AF1918</f>
        <v>10</v>
      </c>
      <c r="AH1918">
        <f>IF(AND($N1918=1,AND(对接源_02物料!$D718="周转筐－销售出库",N(对接源_02物料!$K718)&lt;&gt;0)),1,0)</f>
        <v>0</v>
      </c>
      <c r="AI1918">
        <f>N(AI1917)+$AH1918</f>
        <v>0</v>
      </c>
      <c r="AL1918" t="n">
        <v>0</v>
      </c>
      <c r="AM1918">
        <f>N(AM1917)+$AL1918</f>
        <v>2</v>
      </c>
      <c r="AN1918">
        <f>""</f>
      </c>
      <c r="AO1918" t="n">
        <v>0</v>
      </c>
      <c r="AP1918">
        <f>N(AP1917)+$AO1918</f>
        <v>13</v>
      </c>
      <c r="AR1918">
        <f>IF(OR($AF1918=1,$AH1918=1),1,0)</f>
        <v>0</v>
      </c>
      <c r="AS1918">
        <f>N(AS1917)+$AR1918</f>
        <v>10</v>
      </c>
    </row>
    <row r="1919" s="127">
      <c r="A1919">
        <f>IF(对接源_02物料!$C719="","",对接源_02物料!$C719)</f>
      </c>
      <c r="B1919">
        <f>IF(A1919="",0,IF(MATCH(A1919,$A$4:$A$2403,0)=ROW()-3,1,0))</f>
        <v>0</v>
      </c>
      <c r="C1919">
        <f>N(C1918)+B1919</f>
        <v>26</v>
      </c>
      <c r="K1919">
        <f>IF(OR($K$1="",对接源_02物料!$C719="",对接源_02物料!$C719&lt;&gt;$K$1,对接源_02物料!$B719=""),0,IF(OR(N(对接源_02物料!$B719)&lt;$K$2,N(对接源_02物料!$B719)&gt;$K$3),0,1))</f>
        <v>0</v>
      </c>
      <c r="L1919">
        <f>IF(OR($L$1="",对接源_02物料!$C719="",对接源_02物料!$C719&lt;&gt;$L$1,对接源_02物料!$B719=""),0,IF(OR(N(对接源_02物料!$B719)&lt;$L$2,N(对接源_02物料!$B719)&gt;$L$3),0,1))</f>
        <v>0</v>
      </c>
      <c r="M1919">
        <f>IF(OR($M$1="",对接源_02物料!$C719="",对接源_02物料!$C719&lt;&gt;$M$1,对接源_02物料!$B719=""),0,IF(OR(N(对接源_02物料!$B719)&lt;$M$2,N(对接源_02物料!$B719)&gt;$M$3),0,1))</f>
        <v>0</v>
      </c>
      <c r="N1919">
        <f>IF(OR($N$1="",对接源_02物料!$C719="",对接源_02物料!$C719&lt;&gt;$N$1,对接源_02物料!$B719=""),0,IF(OR(N(对接源_02物料!$B719)&lt;$N$2,N(对接源_02物料!$B719)&gt;$N$3),0,1))</f>
        <v>0</v>
      </c>
      <c r="P1919">
        <f>IF(AND($K1919=1,AND(对接源_02物料!$X719="公司筐",N(对接源_02物料!$T719)&lt;&gt;0)),1,0)</f>
        <v>0</v>
      </c>
      <c r="Q1919">
        <f>N(Q1918)+$P1919</f>
        <v>14</v>
      </c>
      <c r="R1919">
        <f>IF(AND($K1919=1,AND(对接源_02物料!$X719="公司筐",N(对接源_02物料!$U719)&lt;&gt;0)),1,0)</f>
        <v>0</v>
      </c>
      <c r="S1919">
        <f>N(S1918)+$R1919</f>
        <v>1</v>
      </c>
      <c r="T1919">
        <f>IF(AND($K1919=1,AND(对接源_02物料!$X719="公司筐",N(对接源_02物料!$V719)&lt;&gt;0)),1,0)</f>
        <v>0</v>
      </c>
      <c r="U1919">
        <f>N(U1918)+$T1919</f>
        <v>47</v>
      </c>
      <c r="V1919">
        <f>IF(AND($L1919=1,AND(对接源_02物料!$X719="自备筐",N(对接源_02物料!$V719)&lt;&gt;0)),1,0)</f>
        <v>0</v>
      </c>
      <c r="W1919">
        <f>N(W1918)+$V1919</f>
        <v>11</v>
      </c>
      <c r="X1919">
        <f>IF(AND($L1919=1,AND(对接源_02物料!$X719="自备筐",N(对接源_02物料!$T719)&lt;&gt;0)),1,0)</f>
        <v>0</v>
      </c>
      <c r="Y1919">
        <f>N(Y1918)+$X1919</f>
        <v>0</v>
      </c>
      <c r="Z1919">
        <f>IF(AND($M1919=1,对接源_02物料!$D719="原料入库"),1,0)</f>
        <v>0</v>
      </c>
      <c r="AA1919">
        <f>N(AA1918)+$Z1919</f>
        <v>24</v>
      </c>
      <c r="AB1919">
        <f>IF(AND($M1919=1,LEFT(对接源_02物料!$D719,4)="原料出库"),1,0)</f>
        <v>0</v>
      </c>
      <c r="AC1919">
        <f>N(AC1918)+$AB1919</f>
        <v>0</v>
      </c>
      <c r="AD1919">
        <f>IF(AND($M1919=1,LEFT(对接源_02物料!$D719,4)="成品出库"),1,0)</f>
        <v>0</v>
      </c>
      <c r="AE1919">
        <f>N(AE1918)+$AD1919</f>
        <v>0</v>
      </c>
      <c r="AF1919">
        <f>IF(AND($N1919=1,AND(LEFT(对接源_02物料!$D719,4)="包装物料",N(对接源_02物料!$K719)&lt;&gt;0)),1,0)</f>
        <v>0</v>
      </c>
      <c r="AG1919">
        <f>N(AG1918)+$AF1919</f>
        <v>10</v>
      </c>
      <c r="AH1919">
        <f>IF(AND($N1919=1,AND(对接源_02物料!$D719="周转筐－销售出库",N(对接源_02物料!$K719)&lt;&gt;0)),1,0)</f>
        <v>0</v>
      </c>
      <c r="AI1919">
        <f>N(AI1918)+$AH1919</f>
        <v>0</v>
      </c>
      <c r="AL1919" t="n">
        <v>0</v>
      </c>
      <c r="AM1919">
        <f>N(AM1918)+$AL1919</f>
        <v>2</v>
      </c>
      <c r="AN1919">
        <f>""</f>
      </c>
      <c r="AO1919" t="n">
        <v>0</v>
      </c>
      <c r="AP1919">
        <f>N(AP1918)+$AO1919</f>
        <v>13</v>
      </c>
      <c r="AR1919">
        <f>IF(OR($AF1919=1,$AH1919=1),1,0)</f>
        <v>0</v>
      </c>
      <c r="AS1919">
        <f>N(AS1918)+$AR1919</f>
        <v>10</v>
      </c>
    </row>
    <row r="1920" s="127">
      <c r="A1920">
        <f>IF(对接源_02物料!$C720="","",对接源_02物料!$C720)</f>
      </c>
      <c r="B1920">
        <f>IF(A1920="",0,IF(MATCH(A1920,$A$4:$A$2403,0)=ROW()-3,1,0))</f>
        <v>0</v>
      </c>
      <c r="C1920">
        <f>N(C1919)+B1920</f>
        <v>26</v>
      </c>
      <c r="K1920">
        <f>IF(OR($K$1="",对接源_02物料!$C720="",对接源_02物料!$C720&lt;&gt;$K$1,对接源_02物料!$B720=""),0,IF(OR(N(对接源_02物料!$B720)&lt;$K$2,N(对接源_02物料!$B720)&gt;$K$3),0,1))</f>
        <v>0</v>
      </c>
      <c r="L1920">
        <f>IF(OR($L$1="",对接源_02物料!$C720="",对接源_02物料!$C720&lt;&gt;$L$1,对接源_02物料!$B720=""),0,IF(OR(N(对接源_02物料!$B720)&lt;$L$2,N(对接源_02物料!$B720)&gt;$L$3),0,1))</f>
        <v>0</v>
      </c>
      <c r="M1920">
        <f>IF(OR($M$1="",对接源_02物料!$C720="",对接源_02物料!$C720&lt;&gt;$M$1,对接源_02物料!$B720=""),0,IF(OR(N(对接源_02物料!$B720)&lt;$M$2,N(对接源_02物料!$B720)&gt;$M$3),0,1))</f>
        <v>0</v>
      </c>
      <c r="N1920">
        <f>IF(OR($N$1="",对接源_02物料!$C720="",对接源_02物料!$C720&lt;&gt;$N$1,对接源_02物料!$B720=""),0,IF(OR(N(对接源_02物料!$B720)&lt;$N$2,N(对接源_02物料!$B720)&gt;$N$3),0,1))</f>
        <v>0</v>
      </c>
      <c r="P1920">
        <f>IF(AND($K1920=1,AND(对接源_02物料!$X720="公司筐",N(对接源_02物料!$T720)&lt;&gt;0)),1,0)</f>
        <v>0</v>
      </c>
      <c r="Q1920">
        <f>N(Q1919)+$P1920</f>
        <v>14</v>
      </c>
      <c r="R1920">
        <f>IF(AND($K1920=1,AND(对接源_02物料!$X720="公司筐",N(对接源_02物料!$U720)&lt;&gt;0)),1,0)</f>
        <v>0</v>
      </c>
      <c r="S1920">
        <f>N(S1919)+$R1920</f>
        <v>1</v>
      </c>
      <c r="T1920">
        <f>IF(AND($K1920=1,AND(对接源_02物料!$X720="公司筐",N(对接源_02物料!$V720)&lt;&gt;0)),1,0)</f>
        <v>0</v>
      </c>
      <c r="U1920">
        <f>N(U1919)+$T1920</f>
        <v>47</v>
      </c>
      <c r="V1920">
        <f>IF(AND($L1920=1,AND(对接源_02物料!$X720="自备筐",N(对接源_02物料!$V720)&lt;&gt;0)),1,0)</f>
        <v>0</v>
      </c>
      <c r="W1920">
        <f>N(W1919)+$V1920</f>
        <v>11</v>
      </c>
      <c r="X1920">
        <f>IF(AND($L1920=1,AND(对接源_02物料!$X720="自备筐",N(对接源_02物料!$T720)&lt;&gt;0)),1,0)</f>
        <v>0</v>
      </c>
      <c r="Y1920">
        <f>N(Y1919)+$X1920</f>
        <v>0</v>
      </c>
      <c r="Z1920">
        <f>IF(AND($M1920=1,对接源_02物料!$D720="原料入库"),1,0)</f>
        <v>0</v>
      </c>
      <c r="AA1920">
        <f>N(AA1919)+$Z1920</f>
        <v>24</v>
      </c>
      <c r="AB1920">
        <f>IF(AND($M1920=1,LEFT(对接源_02物料!$D720,4)="原料出库"),1,0)</f>
        <v>0</v>
      </c>
      <c r="AC1920">
        <f>N(AC1919)+$AB1920</f>
        <v>0</v>
      </c>
      <c r="AD1920">
        <f>IF(AND($M1920=1,LEFT(对接源_02物料!$D720,4)="成品出库"),1,0)</f>
        <v>0</v>
      </c>
      <c r="AE1920">
        <f>N(AE1919)+$AD1920</f>
        <v>0</v>
      </c>
      <c r="AF1920">
        <f>IF(AND($N1920=1,AND(LEFT(对接源_02物料!$D720,4)="包装物料",N(对接源_02物料!$K720)&lt;&gt;0)),1,0)</f>
        <v>0</v>
      </c>
      <c r="AG1920">
        <f>N(AG1919)+$AF1920</f>
        <v>10</v>
      </c>
      <c r="AH1920">
        <f>IF(AND($N1920=1,AND(对接源_02物料!$D720="周转筐－销售出库",N(对接源_02物料!$K720)&lt;&gt;0)),1,0)</f>
        <v>0</v>
      </c>
      <c r="AI1920">
        <f>N(AI1919)+$AH1920</f>
        <v>0</v>
      </c>
      <c r="AL1920" t="n">
        <v>0</v>
      </c>
      <c r="AM1920">
        <f>N(AM1919)+$AL1920</f>
        <v>2</v>
      </c>
      <c r="AN1920">
        <f>""</f>
      </c>
      <c r="AO1920" t="n">
        <v>0</v>
      </c>
      <c r="AP1920">
        <f>N(AP1919)+$AO1920</f>
        <v>13</v>
      </c>
      <c r="AR1920">
        <f>IF(OR($AF1920=1,$AH1920=1),1,0)</f>
        <v>0</v>
      </c>
      <c r="AS1920">
        <f>N(AS1919)+$AR1920</f>
        <v>10</v>
      </c>
    </row>
    <row r="1921" s="127">
      <c r="A1921">
        <f>IF(对接源_02物料!$C721="","",对接源_02物料!$C721)</f>
      </c>
      <c r="B1921">
        <f>IF(A1921="",0,IF(MATCH(A1921,$A$4:$A$2403,0)=ROW()-3,1,0))</f>
        <v>0</v>
      </c>
      <c r="C1921">
        <f>N(C1920)+B1921</f>
        <v>26</v>
      </c>
      <c r="K1921">
        <f>IF(OR($K$1="",对接源_02物料!$C721="",对接源_02物料!$C721&lt;&gt;$K$1,对接源_02物料!$B721=""),0,IF(OR(N(对接源_02物料!$B721)&lt;$K$2,N(对接源_02物料!$B721)&gt;$K$3),0,1))</f>
        <v>0</v>
      </c>
      <c r="L1921">
        <f>IF(OR($L$1="",对接源_02物料!$C721="",对接源_02物料!$C721&lt;&gt;$L$1,对接源_02物料!$B721=""),0,IF(OR(N(对接源_02物料!$B721)&lt;$L$2,N(对接源_02物料!$B721)&gt;$L$3),0,1))</f>
        <v>0</v>
      </c>
      <c r="M1921">
        <f>IF(OR($M$1="",对接源_02物料!$C721="",对接源_02物料!$C721&lt;&gt;$M$1,对接源_02物料!$B721=""),0,IF(OR(N(对接源_02物料!$B721)&lt;$M$2,N(对接源_02物料!$B721)&gt;$M$3),0,1))</f>
        <v>0</v>
      </c>
      <c r="N1921">
        <f>IF(OR($N$1="",对接源_02物料!$C721="",对接源_02物料!$C721&lt;&gt;$N$1,对接源_02物料!$B721=""),0,IF(OR(N(对接源_02物料!$B721)&lt;$N$2,N(对接源_02物料!$B721)&gt;$N$3),0,1))</f>
        <v>0</v>
      </c>
      <c r="P1921">
        <f>IF(AND($K1921=1,AND(对接源_02物料!$X721="公司筐",N(对接源_02物料!$T721)&lt;&gt;0)),1,0)</f>
        <v>0</v>
      </c>
      <c r="Q1921">
        <f>N(Q1920)+$P1921</f>
        <v>14</v>
      </c>
      <c r="R1921">
        <f>IF(AND($K1921=1,AND(对接源_02物料!$X721="公司筐",N(对接源_02物料!$U721)&lt;&gt;0)),1,0)</f>
        <v>0</v>
      </c>
      <c r="S1921">
        <f>N(S1920)+$R1921</f>
        <v>1</v>
      </c>
      <c r="T1921">
        <f>IF(AND($K1921=1,AND(对接源_02物料!$X721="公司筐",N(对接源_02物料!$V721)&lt;&gt;0)),1,0)</f>
        <v>0</v>
      </c>
      <c r="U1921">
        <f>N(U1920)+$T1921</f>
        <v>47</v>
      </c>
      <c r="V1921">
        <f>IF(AND($L1921=1,AND(对接源_02物料!$X721="自备筐",N(对接源_02物料!$V721)&lt;&gt;0)),1,0)</f>
        <v>0</v>
      </c>
      <c r="W1921">
        <f>N(W1920)+$V1921</f>
        <v>11</v>
      </c>
      <c r="X1921">
        <f>IF(AND($L1921=1,AND(对接源_02物料!$X721="自备筐",N(对接源_02物料!$T721)&lt;&gt;0)),1,0)</f>
        <v>0</v>
      </c>
      <c r="Y1921">
        <f>N(Y1920)+$X1921</f>
        <v>0</v>
      </c>
      <c r="Z1921">
        <f>IF(AND($M1921=1,对接源_02物料!$D721="原料入库"),1,0)</f>
        <v>0</v>
      </c>
      <c r="AA1921">
        <f>N(AA1920)+$Z1921</f>
        <v>24</v>
      </c>
      <c r="AB1921">
        <f>IF(AND($M1921=1,LEFT(对接源_02物料!$D721,4)="原料出库"),1,0)</f>
        <v>0</v>
      </c>
      <c r="AC1921">
        <f>N(AC1920)+$AB1921</f>
        <v>0</v>
      </c>
      <c r="AD1921">
        <f>IF(AND($M1921=1,LEFT(对接源_02物料!$D721,4)="成品出库"),1,0)</f>
        <v>0</v>
      </c>
      <c r="AE1921">
        <f>N(AE1920)+$AD1921</f>
        <v>0</v>
      </c>
      <c r="AF1921">
        <f>IF(AND($N1921=1,AND(LEFT(对接源_02物料!$D721,4)="包装物料",N(对接源_02物料!$K721)&lt;&gt;0)),1,0)</f>
        <v>0</v>
      </c>
      <c r="AG1921">
        <f>N(AG1920)+$AF1921</f>
        <v>10</v>
      </c>
      <c r="AH1921">
        <f>IF(AND($N1921=1,AND(对接源_02物料!$D721="周转筐－销售出库",N(对接源_02物料!$K721)&lt;&gt;0)),1,0)</f>
        <v>0</v>
      </c>
      <c r="AI1921">
        <f>N(AI1920)+$AH1921</f>
        <v>0</v>
      </c>
      <c r="AL1921" t="n">
        <v>0</v>
      </c>
      <c r="AM1921">
        <f>N(AM1920)+$AL1921</f>
        <v>2</v>
      </c>
      <c r="AN1921">
        <f>""</f>
      </c>
      <c r="AO1921" t="n">
        <v>0</v>
      </c>
      <c r="AP1921">
        <f>N(AP1920)+$AO1921</f>
        <v>13</v>
      </c>
      <c r="AR1921">
        <f>IF(OR($AF1921=1,$AH1921=1),1,0)</f>
        <v>0</v>
      </c>
      <c r="AS1921">
        <f>N(AS1920)+$AR1921</f>
        <v>10</v>
      </c>
    </row>
    <row r="1922" s="127">
      <c r="A1922">
        <f>IF(对接源_02物料!$C722="","",对接源_02物料!$C722)</f>
      </c>
      <c r="B1922">
        <f>IF(A1922="",0,IF(MATCH(A1922,$A$4:$A$2403,0)=ROW()-3,1,0))</f>
        <v>0</v>
      </c>
      <c r="C1922">
        <f>N(C1921)+B1922</f>
        <v>26</v>
      </c>
      <c r="K1922">
        <f>IF(OR($K$1="",对接源_02物料!$C722="",对接源_02物料!$C722&lt;&gt;$K$1,对接源_02物料!$B722=""),0,IF(OR(N(对接源_02物料!$B722)&lt;$K$2,N(对接源_02物料!$B722)&gt;$K$3),0,1))</f>
        <v>0</v>
      </c>
      <c r="L1922">
        <f>IF(OR($L$1="",对接源_02物料!$C722="",对接源_02物料!$C722&lt;&gt;$L$1,对接源_02物料!$B722=""),0,IF(OR(N(对接源_02物料!$B722)&lt;$L$2,N(对接源_02物料!$B722)&gt;$L$3),0,1))</f>
        <v>0</v>
      </c>
      <c r="M1922">
        <f>IF(OR($M$1="",对接源_02物料!$C722="",对接源_02物料!$C722&lt;&gt;$M$1,对接源_02物料!$B722=""),0,IF(OR(N(对接源_02物料!$B722)&lt;$M$2,N(对接源_02物料!$B722)&gt;$M$3),0,1))</f>
        <v>0</v>
      </c>
      <c r="N1922">
        <f>IF(OR($N$1="",对接源_02物料!$C722="",对接源_02物料!$C722&lt;&gt;$N$1,对接源_02物料!$B722=""),0,IF(OR(N(对接源_02物料!$B722)&lt;$N$2,N(对接源_02物料!$B722)&gt;$N$3),0,1))</f>
        <v>0</v>
      </c>
      <c r="P1922">
        <f>IF(AND($K1922=1,AND(对接源_02物料!$X722="公司筐",N(对接源_02物料!$T722)&lt;&gt;0)),1,0)</f>
        <v>0</v>
      </c>
      <c r="Q1922">
        <f>N(Q1921)+$P1922</f>
        <v>14</v>
      </c>
      <c r="R1922">
        <f>IF(AND($K1922=1,AND(对接源_02物料!$X722="公司筐",N(对接源_02物料!$U722)&lt;&gt;0)),1,0)</f>
        <v>0</v>
      </c>
      <c r="S1922">
        <f>N(S1921)+$R1922</f>
        <v>1</v>
      </c>
      <c r="T1922">
        <f>IF(AND($K1922=1,AND(对接源_02物料!$X722="公司筐",N(对接源_02物料!$V722)&lt;&gt;0)),1,0)</f>
        <v>0</v>
      </c>
      <c r="U1922">
        <f>N(U1921)+$T1922</f>
        <v>47</v>
      </c>
      <c r="V1922">
        <f>IF(AND($L1922=1,AND(对接源_02物料!$X722="自备筐",N(对接源_02物料!$V722)&lt;&gt;0)),1,0)</f>
        <v>0</v>
      </c>
      <c r="W1922">
        <f>N(W1921)+$V1922</f>
        <v>11</v>
      </c>
      <c r="X1922">
        <f>IF(AND($L1922=1,AND(对接源_02物料!$X722="自备筐",N(对接源_02物料!$T722)&lt;&gt;0)),1,0)</f>
        <v>0</v>
      </c>
      <c r="Y1922">
        <f>N(Y1921)+$X1922</f>
        <v>0</v>
      </c>
      <c r="Z1922">
        <f>IF(AND($M1922=1,对接源_02物料!$D722="原料入库"),1,0)</f>
        <v>0</v>
      </c>
      <c r="AA1922">
        <f>N(AA1921)+$Z1922</f>
        <v>24</v>
      </c>
      <c r="AB1922">
        <f>IF(AND($M1922=1,LEFT(对接源_02物料!$D722,4)="原料出库"),1,0)</f>
        <v>0</v>
      </c>
      <c r="AC1922">
        <f>N(AC1921)+$AB1922</f>
        <v>0</v>
      </c>
      <c r="AD1922">
        <f>IF(AND($M1922=1,LEFT(对接源_02物料!$D722,4)="成品出库"),1,0)</f>
        <v>0</v>
      </c>
      <c r="AE1922">
        <f>N(AE1921)+$AD1922</f>
        <v>0</v>
      </c>
      <c r="AF1922">
        <f>IF(AND($N1922=1,AND(LEFT(对接源_02物料!$D722,4)="包装物料",N(对接源_02物料!$K722)&lt;&gt;0)),1,0)</f>
        <v>0</v>
      </c>
      <c r="AG1922">
        <f>N(AG1921)+$AF1922</f>
        <v>10</v>
      </c>
      <c r="AH1922">
        <f>IF(AND($N1922=1,AND(对接源_02物料!$D722="周转筐－销售出库",N(对接源_02物料!$K722)&lt;&gt;0)),1,0)</f>
        <v>0</v>
      </c>
      <c r="AI1922">
        <f>N(AI1921)+$AH1922</f>
        <v>0</v>
      </c>
      <c r="AL1922" t="n">
        <v>0</v>
      </c>
      <c r="AM1922">
        <f>N(AM1921)+$AL1922</f>
        <v>2</v>
      </c>
      <c r="AN1922">
        <f>""</f>
      </c>
      <c r="AO1922" t="n">
        <v>0</v>
      </c>
      <c r="AP1922">
        <f>N(AP1921)+$AO1922</f>
        <v>13</v>
      </c>
      <c r="AR1922">
        <f>IF(OR($AF1922=1,$AH1922=1),1,0)</f>
        <v>0</v>
      </c>
      <c r="AS1922">
        <f>N(AS1921)+$AR1922</f>
        <v>10</v>
      </c>
    </row>
    <row r="1923" s="127">
      <c r="A1923">
        <f>IF(对接源_02物料!$C723="","",对接源_02物料!$C723)</f>
      </c>
      <c r="B1923">
        <f>IF(A1923="",0,IF(MATCH(A1923,$A$4:$A$2403,0)=ROW()-3,1,0))</f>
        <v>0</v>
      </c>
      <c r="C1923">
        <f>N(C1922)+B1923</f>
        <v>26</v>
      </c>
      <c r="K1923">
        <f>IF(OR($K$1="",对接源_02物料!$C723="",对接源_02物料!$C723&lt;&gt;$K$1,对接源_02物料!$B723=""),0,IF(OR(N(对接源_02物料!$B723)&lt;$K$2,N(对接源_02物料!$B723)&gt;$K$3),0,1))</f>
        <v>0</v>
      </c>
      <c r="L1923">
        <f>IF(OR($L$1="",对接源_02物料!$C723="",对接源_02物料!$C723&lt;&gt;$L$1,对接源_02物料!$B723=""),0,IF(OR(N(对接源_02物料!$B723)&lt;$L$2,N(对接源_02物料!$B723)&gt;$L$3),0,1))</f>
        <v>0</v>
      </c>
      <c r="M1923">
        <f>IF(OR($M$1="",对接源_02物料!$C723="",对接源_02物料!$C723&lt;&gt;$M$1,对接源_02物料!$B723=""),0,IF(OR(N(对接源_02物料!$B723)&lt;$M$2,N(对接源_02物料!$B723)&gt;$M$3),0,1))</f>
        <v>0</v>
      </c>
      <c r="N1923">
        <f>IF(OR($N$1="",对接源_02物料!$C723="",对接源_02物料!$C723&lt;&gt;$N$1,对接源_02物料!$B723=""),0,IF(OR(N(对接源_02物料!$B723)&lt;$N$2,N(对接源_02物料!$B723)&gt;$N$3),0,1))</f>
        <v>0</v>
      </c>
      <c r="P1923">
        <f>IF(AND($K1923=1,AND(对接源_02物料!$X723="公司筐",N(对接源_02物料!$T723)&lt;&gt;0)),1,0)</f>
        <v>0</v>
      </c>
      <c r="Q1923">
        <f>N(Q1922)+$P1923</f>
        <v>14</v>
      </c>
      <c r="R1923">
        <f>IF(AND($K1923=1,AND(对接源_02物料!$X723="公司筐",N(对接源_02物料!$U723)&lt;&gt;0)),1,0)</f>
        <v>0</v>
      </c>
      <c r="S1923">
        <f>N(S1922)+$R1923</f>
        <v>1</v>
      </c>
      <c r="T1923">
        <f>IF(AND($K1923=1,AND(对接源_02物料!$X723="公司筐",N(对接源_02物料!$V723)&lt;&gt;0)),1,0)</f>
        <v>0</v>
      </c>
      <c r="U1923">
        <f>N(U1922)+$T1923</f>
        <v>47</v>
      </c>
      <c r="V1923">
        <f>IF(AND($L1923=1,AND(对接源_02物料!$X723="自备筐",N(对接源_02物料!$V723)&lt;&gt;0)),1,0)</f>
        <v>0</v>
      </c>
      <c r="W1923">
        <f>N(W1922)+$V1923</f>
        <v>11</v>
      </c>
      <c r="X1923">
        <f>IF(AND($L1923=1,AND(对接源_02物料!$X723="自备筐",N(对接源_02物料!$T723)&lt;&gt;0)),1,0)</f>
        <v>0</v>
      </c>
      <c r="Y1923">
        <f>N(Y1922)+$X1923</f>
        <v>0</v>
      </c>
      <c r="Z1923">
        <f>IF(AND($M1923=1,对接源_02物料!$D723="原料入库"),1,0)</f>
        <v>0</v>
      </c>
      <c r="AA1923">
        <f>N(AA1922)+$Z1923</f>
        <v>24</v>
      </c>
      <c r="AB1923">
        <f>IF(AND($M1923=1,LEFT(对接源_02物料!$D723,4)="原料出库"),1,0)</f>
        <v>0</v>
      </c>
      <c r="AC1923">
        <f>N(AC1922)+$AB1923</f>
        <v>0</v>
      </c>
      <c r="AD1923">
        <f>IF(AND($M1923=1,LEFT(对接源_02物料!$D723,4)="成品出库"),1,0)</f>
        <v>0</v>
      </c>
      <c r="AE1923">
        <f>N(AE1922)+$AD1923</f>
        <v>0</v>
      </c>
      <c r="AF1923">
        <f>IF(AND($N1923=1,AND(LEFT(对接源_02物料!$D723,4)="包装物料",N(对接源_02物料!$K723)&lt;&gt;0)),1,0)</f>
        <v>0</v>
      </c>
      <c r="AG1923">
        <f>N(AG1922)+$AF1923</f>
        <v>10</v>
      </c>
      <c r="AH1923">
        <f>IF(AND($N1923=1,AND(对接源_02物料!$D723="周转筐－销售出库",N(对接源_02物料!$K723)&lt;&gt;0)),1,0)</f>
        <v>0</v>
      </c>
      <c r="AI1923">
        <f>N(AI1922)+$AH1923</f>
        <v>0</v>
      </c>
      <c r="AL1923" t="n">
        <v>0</v>
      </c>
      <c r="AM1923">
        <f>N(AM1922)+$AL1923</f>
        <v>2</v>
      </c>
      <c r="AN1923">
        <f>""</f>
      </c>
      <c r="AO1923" t="n">
        <v>0</v>
      </c>
      <c r="AP1923">
        <f>N(AP1922)+$AO1923</f>
        <v>13</v>
      </c>
      <c r="AR1923">
        <f>IF(OR($AF1923=1,$AH1923=1),1,0)</f>
        <v>0</v>
      </c>
      <c r="AS1923">
        <f>N(AS1922)+$AR1923</f>
        <v>10</v>
      </c>
    </row>
    <row r="1924" s="127">
      <c r="A1924">
        <f>IF(对接源_02物料!$C724="","",对接源_02物料!$C724)</f>
      </c>
      <c r="B1924">
        <f>IF(A1924="",0,IF(MATCH(A1924,$A$4:$A$2403,0)=ROW()-3,1,0))</f>
        <v>0</v>
      </c>
      <c r="C1924">
        <f>N(C1923)+B1924</f>
        <v>26</v>
      </c>
      <c r="K1924">
        <f>IF(OR($K$1="",对接源_02物料!$C724="",对接源_02物料!$C724&lt;&gt;$K$1,对接源_02物料!$B724=""),0,IF(OR(N(对接源_02物料!$B724)&lt;$K$2,N(对接源_02物料!$B724)&gt;$K$3),0,1))</f>
        <v>0</v>
      </c>
      <c r="L1924">
        <f>IF(OR($L$1="",对接源_02物料!$C724="",对接源_02物料!$C724&lt;&gt;$L$1,对接源_02物料!$B724=""),0,IF(OR(N(对接源_02物料!$B724)&lt;$L$2,N(对接源_02物料!$B724)&gt;$L$3),0,1))</f>
        <v>0</v>
      </c>
      <c r="M1924">
        <f>IF(OR($M$1="",对接源_02物料!$C724="",对接源_02物料!$C724&lt;&gt;$M$1,对接源_02物料!$B724=""),0,IF(OR(N(对接源_02物料!$B724)&lt;$M$2,N(对接源_02物料!$B724)&gt;$M$3),0,1))</f>
        <v>0</v>
      </c>
      <c r="N1924">
        <f>IF(OR($N$1="",对接源_02物料!$C724="",对接源_02物料!$C724&lt;&gt;$N$1,对接源_02物料!$B724=""),0,IF(OR(N(对接源_02物料!$B724)&lt;$N$2,N(对接源_02物料!$B724)&gt;$N$3),0,1))</f>
        <v>0</v>
      </c>
      <c r="P1924">
        <f>IF(AND($K1924=1,AND(对接源_02物料!$X724="公司筐",N(对接源_02物料!$T724)&lt;&gt;0)),1,0)</f>
        <v>0</v>
      </c>
      <c r="Q1924">
        <f>N(Q1923)+$P1924</f>
        <v>14</v>
      </c>
      <c r="R1924">
        <f>IF(AND($K1924=1,AND(对接源_02物料!$X724="公司筐",N(对接源_02物料!$U724)&lt;&gt;0)),1,0)</f>
        <v>0</v>
      </c>
      <c r="S1924">
        <f>N(S1923)+$R1924</f>
        <v>1</v>
      </c>
      <c r="T1924">
        <f>IF(AND($K1924=1,AND(对接源_02物料!$X724="公司筐",N(对接源_02物料!$V724)&lt;&gt;0)),1,0)</f>
        <v>0</v>
      </c>
      <c r="U1924">
        <f>N(U1923)+$T1924</f>
        <v>47</v>
      </c>
      <c r="V1924">
        <f>IF(AND($L1924=1,AND(对接源_02物料!$X724="自备筐",N(对接源_02物料!$V724)&lt;&gt;0)),1,0)</f>
        <v>0</v>
      </c>
      <c r="W1924">
        <f>N(W1923)+$V1924</f>
        <v>11</v>
      </c>
      <c r="X1924">
        <f>IF(AND($L1924=1,AND(对接源_02物料!$X724="自备筐",N(对接源_02物料!$T724)&lt;&gt;0)),1,0)</f>
        <v>0</v>
      </c>
      <c r="Y1924">
        <f>N(Y1923)+$X1924</f>
        <v>0</v>
      </c>
      <c r="Z1924">
        <f>IF(AND($M1924=1,对接源_02物料!$D724="原料入库"),1,0)</f>
        <v>0</v>
      </c>
      <c r="AA1924">
        <f>N(AA1923)+$Z1924</f>
        <v>24</v>
      </c>
      <c r="AB1924">
        <f>IF(AND($M1924=1,LEFT(对接源_02物料!$D724,4)="原料出库"),1,0)</f>
        <v>0</v>
      </c>
      <c r="AC1924">
        <f>N(AC1923)+$AB1924</f>
        <v>0</v>
      </c>
      <c r="AD1924">
        <f>IF(AND($M1924=1,LEFT(对接源_02物料!$D724,4)="成品出库"),1,0)</f>
        <v>0</v>
      </c>
      <c r="AE1924">
        <f>N(AE1923)+$AD1924</f>
        <v>0</v>
      </c>
      <c r="AF1924">
        <f>IF(AND($N1924=1,AND(LEFT(对接源_02物料!$D724,4)="包装物料",N(对接源_02物料!$K724)&lt;&gt;0)),1,0)</f>
        <v>0</v>
      </c>
      <c r="AG1924">
        <f>N(AG1923)+$AF1924</f>
        <v>10</v>
      </c>
      <c r="AH1924">
        <f>IF(AND($N1924=1,AND(对接源_02物料!$D724="周转筐－销售出库",N(对接源_02物料!$K724)&lt;&gt;0)),1,0)</f>
        <v>0</v>
      </c>
      <c r="AI1924">
        <f>N(AI1923)+$AH1924</f>
        <v>0</v>
      </c>
      <c r="AL1924" t="n">
        <v>0</v>
      </c>
      <c r="AM1924">
        <f>N(AM1923)+$AL1924</f>
        <v>2</v>
      </c>
      <c r="AN1924">
        <f>""</f>
      </c>
      <c r="AO1924" t="n">
        <v>0</v>
      </c>
      <c r="AP1924">
        <f>N(AP1923)+$AO1924</f>
        <v>13</v>
      </c>
      <c r="AR1924">
        <f>IF(OR($AF1924=1,$AH1924=1),1,0)</f>
        <v>0</v>
      </c>
      <c r="AS1924">
        <f>N(AS1923)+$AR1924</f>
        <v>10</v>
      </c>
    </row>
    <row r="1925" s="127">
      <c r="A1925">
        <f>IF(对接源_02物料!$C725="","",对接源_02物料!$C725)</f>
      </c>
      <c r="B1925">
        <f>IF(A1925="",0,IF(MATCH(A1925,$A$4:$A$2403,0)=ROW()-3,1,0))</f>
        <v>0</v>
      </c>
      <c r="C1925">
        <f>N(C1924)+B1925</f>
        <v>26</v>
      </c>
      <c r="K1925">
        <f>IF(OR($K$1="",对接源_02物料!$C725="",对接源_02物料!$C725&lt;&gt;$K$1,对接源_02物料!$B725=""),0,IF(OR(N(对接源_02物料!$B725)&lt;$K$2,N(对接源_02物料!$B725)&gt;$K$3),0,1))</f>
        <v>0</v>
      </c>
      <c r="L1925">
        <f>IF(OR($L$1="",对接源_02物料!$C725="",对接源_02物料!$C725&lt;&gt;$L$1,对接源_02物料!$B725=""),0,IF(OR(N(对接源_02物料!$B725)&lt;$L$2,N(对接源_02物料!$B725)&gt;$L$3),0,1))</f>
        <v>0</v>
      </c>
      <c r="M1925">
        <f>IF(OR($M$1="",对接源_02物料!$C725="",对接源_02物料!$C725&lt;&gt;$M$1,对接源_02物料!$B725=""),0,IF(OR(N(对接源_02物料!$B725)&lt;$M$2,N(对接源_02物料!$B725)&gt;$M$3),0,1))</f>
        <v>0</v>
      </c>
      <c r="N1925">
        <f>IF(OR($N$1="",对接源_02物料!$C725="",对接源_02物料!$C725&lt;&gt;$N$1,对接源_02物料!$B725=""),0,IF(OR(N(对接源_02物料!$B725)&lt;$N$2,N(对接源_02物料!$B725)&gt;$N$3),0,1))</f>
        <v>0</v>
      </c>
      <c r="P1925">
        <f>IF(AND($K1925=1,AND(对接源_02物料!$X725="公司筐",N(对接源_02物料!$T725)&lt;&gt;0)),1,0)</f>
        <v>0</v>
      </c>
      <c r="Q1925">
        <f>N(Q1924)+$P1925</f>
        <v>14</v>
      </c>
      <c r="R1925">
        <f>IF(AND($K1925=1,AND(对接源_02物料!$X725="公司筐",N(对接源_02物料!$U725)&lt;&gt;0)),1,0)</f>
        <v>0</v>
      </c>
      <c r="S1925">
        <f>N(S1924)+$R1925</f>
        <v>1</v>
      </c>
      <c r="T1925">
        <f>IF(AND($K1925=1,AND(对接源_02物料!$X725="公司筐",N(对接源_02物料!$V725)&lt;&gt;0)),1,0)</f>
        <v>0</v>
      </c>
      <c r="U1925">
        <f>N(U1924)+$T1925</f>
        <v>47</v>
      </c>
      <c r="V1925">
        <f>IF(AND($L1925=1,AND(对接源_02物料!$X725="自备筐",N(对接源_02物料!$V725)&lt;&gt;0)),1,0)</f>
        <v>0</v>
      </c>
      <c r="W1925">
        <f>N(W1924)+$V1925</f>
        <v>11</v>
      </c>
      <c r="X1925">
        <f>IF(AND($L1925=1,AND(对接源_02物料!$X725="自备筐",N(对接源_02物料!$T725)&lt;&gt;0)),1,0)</f>
        <v>0</v>
      </c>
      <c r="Y1925">
        <f>N(Y1924)+$X1925</f>
        <v>0</v>
      </c>
      <c r="Z1925">
        <f>IF(AND($M1925=1,对接源_02物料!$D725="原料入库"),1,0)</f>
        <v>0</v>
      </c>
      <c r="AA1925">
        <f>N(AA1924)+$Z1925</f>
        <v>24</v>
      </c>
      <c r="AB1925">
        <f>IF(AND($M1925=1,LEFT(对接源_02物料!$D725,4)="原料出库"),1,0)</f>
        <v>0</v>
      </c>
      <c r="AC1925">
        <f>N(AC1924)+$AB1925</f>
        <v>0</v>
      </c>
      <c r="AD1925">
        <f>IF(AND($M1925=1,LEFT(对接源_02物料!$D725,4)="成品出库"),1,0)</f>
        <v>0</v>
      </c>
      <c r="AE1925">
        <f>N(AE1924)+$AD1925</f>
        <v>0</v>
      </c>
      <c r="AF1925">
        <f>IF(AND($N1925=1,AND(LEFT(对接源_02物料!$D725,4)="包装物料",N(对接源_02物料!$K725)&lt;&gt;0)),1,0)</f>
        <v>0</v>
      </c>
      <c r="AG1925">
        <f>N(AG1924)+$AF1925</f>
        <v>10</v>
      </c>
      <c r="AH1925">
        <f>IF(AND($N1925=1,AND(对接源_02物料!$D725="周转筐－销售出库",N(对接源_02物料!$K725)&lt;&gt;0)),1,0)</f>
        <v>0</v>
      </c>
      <c r="AI1925">
        <f>N(AI1924)+$AH1925</f>
        <v>0</v>
      </c>
      <c r="AL1925" t="n">
        <v>0</v>
      </c>
      <c r="AM1925">
        <f>N(AM1924)+$AL1925</f>
        <v>2</v>
      </c>
      <c r="AN1925">
        <f>""</f>
      </c>
      <c r="AO1925" t="n">
        <v>0</v>
      </c>
      <c r="AP1925">
        <f>N(AP1924)+$AO1925</f>
        <v>13</v>
      </c>
      <c r="AR1925">
        <f>IF(OR($AF1925=1,$AH1925=1),1,0)</f>
        <v>0</v>
      </c>
      <c r="AS1925">
        <f>N(AS1924)+$AR1925</f>
        <v>10</v>
      </c>
    </row>
    <row r="1926" s="127">
      <c r="A1926">
        <f>IF(对接源_02物料!$C726="","",对接源_02物料!$C726)</f>
      </c>
      <c r="B1926">
        <f>IF(A1926="",0,IF(MATCH(A1926,$A$4:$A$2403,0)=ROW()-3,1,0))</f>
        <v>0</v>
      </c>
      <c r="C1926">
        <f>N(C1925)+B1926</f>
        <v>26</v>
      </c>
      <c r="K1926">
        <f>IF(OR($K$1="",对接源_02物料!$C726="",对接源_02物料!$C726&lt;&gt;$K$1,对接源_02物料!$B726=""),0,IF(OR(N(对接源_02物料!$B726)&lt;$K$2,N(对接源_02物料!$B726)&gt;$K$3),0,1))</f>
        <v>0</v>
      </c>
      <c r="L1926">
        <f>IF(OR($L$1="",对接源_02物料!$C726="",对接源_02物料!$C726&lt;&gt;$L$1,对接源_02物料!$B726=""),0,IF(OR(N(对接源_02物料!$B726)&lt;$L$2,N(对接源_02物料!$B726)&gt;$L$3),0,1))</f>
        <v>0</v>
      </c>
      <c r="M1926">
        <f>IF(OR($M$1="",对接源_02物料!$C726="",对接源_02物料!$C726&lt;&gt;$M$1,对接源_02物料!$B726=""),0,IF(OR(N(对接源_02物料!$B726)&lt;$M$2,N(对接源_02物料!$B726)&gt;$M$3),0,1))</f>
        <v>0</v>
      </c>
      <c r="N1926">
        <f>IF(OR($N$1="",对接源_02物料!$C726="",对接源_02物料!$C726&lt;&gt;$N$1,对接源_02物料!$B726=""),0,IF(OR(N(对接源_02物料!$B726)&lt;$N$2,N(对接源_02物料!$B726)&gt;$N$3),0,1))</f>
        <v>0</v>
      </c>
      <c r="P1926">
        <f>IF(AND($K1926=1,AND(对接源_02物料!$X726="公司筐",N(对接源_02物料!$T726)&lt;&gt;0)),1,0)</f>
        <v>0</v>
      </c>
      <c r="Q1926">
        <f>N(Q1925)+$P1926</f>
        <v>14</v>
      </c>
      <c r="R1926">
        <f>IF(AND($K1926=1,AND(对接源_02物料!$X726="公司筐",N(对接源_02物料!$U726)&lt;&gt;0)),1,0)</f>
        <v>0</v>
      </c>
      <c r="S1926">
        <f>N(S1925)+$R1926</f>
        <v>1</v>
      </c>
      <c r="T1926">
        <f>IF(AND($K1926=1,AND(对接源_02物料!$X726="公司筐",N(对接源_02物料!$V726)&lt;&gt;0)),1,0)</f>
        <v>0</v>
      </c>
      <c r="U1926">
        <f>N(U1925)+$T1926</f>
        <v>47</v>
      </c>
      <c r="V1926">
        <f>IF(AND($L1926=1,AND(对接源_02物料!$X726="自备筐",N(对接源_02物料!$V726)&lt;&gt;0)),1,0)</f>
        <v>0</v>
      </c>
      <c r="W1926">
        <f>N(W1925)+$V1926</f>
        <v>11</v>
      </c>
      <c r="X1926">
        <f>IF(AND($L1926=1,AND(对接源_02物料!$X726="自备筐",N(对接源_02物料!$T726)&lt;&gt;0)),1,0)</f>
        <v>0</v>
      </c>
      <c r="Y1926">
        <f>N(Y1925)+$X1926</f>
        <v>0</v>
      </c>
      <c r="Z1926">
        <f>IF(AND($M1926=1,对接源_02物料!$D726="原料入库"),1,0)</f>
        <v>0</v>
      </c>
      <c r="AA1926">
        <f>N(AA1925)+$Z1926</f>
        <v>24</v>
      </c>
      <c r="AB1926">
        <f>IF(AND($M1926=1,LEFT(对接源_02物料!$D726,4)="原料出库"),1,0)</f>
        <v>0</v>
      </c>
      <c r="AC1926">
        <f>N(AC1925)+$AB1926</f>
        <v>0</v>
      </c>
      <c r="AD1926">
        <f>IF(AND($M1926=1,LEFT(对接源_02物料!$D726,4)="成品出库"),1,0)</f>
        <v>0</v>
      </c>
      <c r="AE1926">
        <f>N(AE1925)+$AD1926</f>
        <v>0</v>
      </c>
      <c r="AF1926">
        <f>IF(AND($N1926=1,AND(LEFT(对接源_02物料!$D726,4)="包装物料",N(对接源_02物料!$K726)&lt;&gt;0)),1,0)</f>
        <v>0</v>
      </c>
      <c r="AG1926">
        <f>N(AG1925)+$AF1926</f>
        <v>10</v>
      </c>
      <c r="AH1926">
        <f>IF(AND($N1926=1,AND(对接源_02物料!$D726="周转筐－销售出库",N(对接源_02物料!$K726)&lt;&gt;0)),1,0)</f>
        <v>0</v>
      </c>
      <c r="AI1926">
        <f>N(AI1925)+$AH1926</f>
        <v>0</v>
      </c>
      <c r="AL1926" t="n">
        <v>0</v>
      </c>
      <c r="AM1926">
        <f>N(AM1925)+$AL1926</f>
        <v>2</v>
      </c>
      <c r="AN1926">
        <f>""</f>
      </c>
      <c r="AO1926" t="n">
        <v>0</v>
      </c>
      <c r="AP1926">
        <f>N(AP1925)+$AO1926</f>
        <v>13</v>
      </c>
      <c r="AR1926">
        <f>IF(OR($AF1926=1,$AH1926=1),1,0)</f>
        <v>0</v>
      </c>
      <c r="AS1926">
        <f>N(AS1925)+$AR1926</f>
        <v>10</v>
      </c>
    </row>
    <row r="1927" s="127">
      <c r="A1927">
        <f>IF(对接源_02物料!$C727="","",对接源_02物料!$C727)</f>
      </c>
      <c r="B1927">
        <f>IF(A1927="",0,IF(MATCH(A1927,$A$4:$A$2403,0)=ROW()-3,1,0))</f>
        <v>0</v>
      </c>
      <c r="C1927">
        <f>N(C1926)+B1927</f>
        <v>26</v>
      </c>
      <c r="K1927">
        <f>IF(OR($K$1="",对接源_02物料!$C727="",对接源_02物料!$C727&lt;&gt;$K$1,对接源_02物料!$B727=""),0,IF(OR(N(对接源_02物料!$B727)&lt;$K$2,N(对接源_02物料!$B727)&gt;$K$3),0,1))</f>
        <v>0</v>
      </c>
      <c r="L1927">
        <f>IF(OR($L$1="",对接源_02物料!$C727="",对接源_02物料!$C727&lt;&gt;$L$1,对接源_02物料!$B727=""),0,IF(OR(N(对接源_02物料!$B727)&lt;$L$2,N(对接源_02物料!$B727)&gt;$L$3),0,1))</f>
        <v>0</v>
      </c>
      <c r="M1927">
        <f>IF(OR($M$1="",对接源_02物料!$C727="",对接源_02物料!$C727&lt;&gt;$M$1,对接源_02物料!$B727=""),0,IF(OR(N(对接源_02物料!$B727)&lt;$M$2,N(对接源_02物料!$B727)&gt;$M$3),0,1))</f>
        <v>0</v>
      </c>
      <c r="N1927">
        <f>IF(OR($N$1="",对接源_02物料!$C727="",对接源_02物料!$C727&lt;&gt;$N$1,对接源_02物料!$B727=""),0,IF(OR(N(对接源_02物料!$B727)&lt;$N$2,N(对接源_02物料!$B727)&gt;$N$3),0,1))</f>
        <v>0</v>
      </c>
      <c r="P1927">
        <f>IF(AND($K1927=1,AND(对接源_02物料!$X727="公司筐",N(对接源_02物料!$T727)&lt;&gt;0)),1,0)</f>
        <v>0</v>
      </c>
      <c r="Q1927">
        <f>N(Q1926)+$P1927</f>
        <v>14</v>
      </c>
      <c r="R1927">
        <f>IF(AND($K1927=1,AND(对接源_02物料!$X727="公司筐",N(对接源_02物料!$U727)&lt;&gt;0)),1,0)</f>
        <v>0</v>
      </c>
      <c r="S1927">
        <f>N(S1926)+$R1927</f>
        <v>1</v>
      </c>
      <c r="T1927">
        <f>IF(AND($K1927=1,AND(对接源_02物料!$X727="公司筐",N(对接源_02物料!$V727)&lt;&gt;0)),1,0)</f>
        <v>0</v>
      </c>
      <c r="U1927">
        <f>N(U1926)+$T1927</f>
        <v>47</v>
      </c>
      <c r="V1927">
        <f>IF(AND($L1927=1,AND(对接源_02物料!$X727="自备筐",N(对接源_02物料!$V727)&lt;&gt;0)),1,0)</f>
        <v>0</v>
      </c>
      <c r="W1927">
        <f>N(W1926)+$V1927</f>
        <v>11</v>
      </c>
      <c r="X1927">
        <f>IF(AND($L1927=1,AND(对接源_02物料!$X727="自备筐",N(对接源_02物料!$T727)&lt;&gt;0)),1,0)</f>
        <v>0</v>
      </c>
      <c r="Y1927">
        <f>N(Y1926)+$X1927</f>
        <v>0</v>
      </c>
      <c r="Z1927">
        <f>IF(AND($M1927=1,对接源_02物料!$D727="原料入库"),1,0)</f>
        <v>0</v>
      </c>
      <c r="AA1927">
        <f>N(AA1926)+$Z1927</f>
        <v>24</v>
      </c>
      <c r="AB1927">
        <f>IF(AND($M1927=1,LEFT(对接源_02物料!$D727,4)="原料出库"),1,0)</f>
        <v>0</v>
      </c>
      <c r="AC1927">
        <f>N(AC1926)+$AB1927</f>
        <v>0</v>
      </c>
      <c r="AD1927">
        <f>IF(AND($M1927=1,LEFT(对接源_02物料!$D727,4)="成品出库"),1,0)</f>
        <v>0</v>
      </c>
      <c r="AE1927">
        <f>N(AE1926)+$AD1927</f>
        <v>0</v>
      </c>
      <c r="AF1927">
        <f>IF(AND($N1927=1,AND(LEFT(对接源_02物料!$D727,4)="包装物料",N(对接源_02物料!$K727)&lt;&gt;0)),1,0)</f>
        <v>0</v>
      </c>
      <c r="AG1927">
        <f>N(AG1926)+$AF1927</f>
        <v>10</v>
      </c>
      <c r="AH1927">
        <f>IF(AND($N1927=1,AND(对接源_02物料!$D727="周转筐－销售出库",N(对接源_02物料!$K727)&lt;&gt;0)),1,0)</f>
        <v>0</v>
      </c>
      <c r="AI1927">
        <f>N(AI1926)+$AH1927</f>
        <v>0</v>
      </c>
      <c r="AL1927" t="n">
        <v>0</v>
      </c>
      <c r="AM1927">
        <f>N(AM1926)+$AL1927</f>
        <v>2</v>
      </c>
      <c r="AN1927">
        <f>""</f>
      </c>
      <c r="AO1927" t="n">
        <v>0</v>
      </c>
      <c r="AP1927">
        <f>N(AP1926)+$AO1927</f>
        <v>13</v>
      </c>
      <c r="AR1927">
        <f>IF(OR($AF1927=1,$AH1927=1),1,0)</f>
        <v>0</v>
      </c>
      <c r="AS1927">
        <f>N(AS1926)+$AR1927</f>
        <v>10</v>
      </c>
    </row>
    <row r="1928" s="127">
      <c r="A1928">
        <f>IF(对接源_02物料!$C728="","",对接源_02物料!$C728)</f>
      </c>
      <c r="B1928">
        <f>IF(A1928="",0,IF(MATCH(A1928,$A$4:$A$2403,0)=ROW()-3,1,0))</f>
        <v>0</v>
      </c>
      <c r="C1928">
        <f>N(C1927)+B1928</f>
        <v>26</v>
      </c>
      <c r="K1928">
        <f>IF(OR($K$1="",对接源_02物料!$C728="",对接源_02物料!$C728&lt;&gt;$K$1,对接源_02物料!$B728=""),0,IF(OR(N(对接源_02物料!$B728)&lt;$K$2,N(对接源_02物料!$B728)&gt;$K$3),0,1))</f>
        <v>0</v>
      </c>
      <c r="L1928">
        <f>IF(OR($L$1="",对接源_02物料!$C728="",对接源_02物料!$C728&lt;&gt;$L$1,对接源_02物料!$B728=""),0,IF(OR(N(对接源_02物料!$B728)&lt;$L$2,N(对接源_02物料!$B728)&gt;$L$3),0,1))</f>
        <v>0</v>
      </c>
      <c r="M1928">
        <f>IF(OR($M$1="",对接源_02物料!$C728="",对接源_02物料!$C728&lt;&gt;$M$1,对接源_02物料!$B728=""),0,IF(OR(N(对接源_02物料!$B728)&lt;$M$2,N(对接源_02物料!$B728)&gt;$M$3),0,1))</f>
        <v>0</v>
      </c>
      <c r="N1928">
        <f>IF(OR($N$1="",对接源_02物料!$C728="",对接源_02物料!$C728&lt;&gt;$N$1,对接源_02物料!$B728=""),0,IF(OR(N(对接源_02物料!$B728)&lt;$N$2,N(对接源_02物料!$B728)&gt;$N$3),0,1))</f>
        <v>0</v>
      </c>
      <c r="P1928">
        <f>IF(AND($K1928=1,AND(对接源_02物料!$X728="公司筐",N(对接源_02物料!$T728)&lt;&gt;0)),1,0)</f>
        <v>0</v>
      </c>
      <c r="Q1928">
        <f>N(Q1927)+$P1928</f>
        <v>14</v>
      </c>
      <c r="R1928">
        <f>IF(AND($K1928=1,AND(对接源_02物料!$X728="公司筐",N(对接源_02物料!$U728)&lt;&gt;0)),1,0)</f>
        <v>0</v>
      </c>
      <c r="S1928">
        <f>N(S1927)+$R1928</f>
        <v>1</v>
      </c>
      <c r="T1928">
        <f>IF(AND($K1928=1,AND(对接源_02物料!$X728="公司筐",N(对接源_02物料!$V728)&lt;&gt;0)),1,0)</f>
        <v>0</v>
      </c>
      <c r="U1928">
        <f>N(U1927)+$T1928</f>
        <v>47</v>
      </c>
      <c r="V1928">
        <f>IF(AND($L1928=1,AND(对接源_02物料!$X728="自备筐",N(对接源_02物料!$V728)&lt;&gt;0)),1,0)</f>
        <v>0</v>
      </c>
      <c r="W1928">
        <f>N(W1927)+$V1928</f>
        <v>11</v>
      </c>
      <c r="X1928">
        <f>IF(AND($L1928=1,AND(对接源_02物料!$X728="自备筐",N(对接源_02物料!$T728)&lt;&gt;0)),1,0)</f>
        <v>0</v>
      </c>
      <c r="Y1928">
        <f>N(Y1927)+$X1928</f>
        <v>0</v>
      </c>
      <c r="Z1928">
        <f>IF(AND($M1928=1,对接源_02物料!$D728="原料入库"),1,0)</f>
        <v>0</v>
      </c>
      <c r="AA1928">
        <f>N(AA1927)+$Z1928</f>
        <v>24</v>
      </c>
      <c r="AB1928">
        <f>IF(AND($M1928=1,LEFT(对接源_02物料!$D728,4)="原料出库"),1,0)</f>
        <v>0</v>
      </c>
      <c r="AC1928">
        <f>N(AC1927)+$AB1928</f>
        <v>0</v>
      </c>
      <c r="AD1928">
        <f>IF(AND($M1928=1,LEFT(对接源_02物料!$D728,4)="成品出库"),1,0)</f>
        <v>0</v>
      </c>
      <c r="AE1928">
        <f>N(AE1927)+$AD1928</f>
        <v>0</v>
      </c>
      <c r="AF1928">
        <f>IF(AND($N1928=1,AND(LEFT(对接源_02物料!$D728,4)="包装物料",N(对接源_02物料!$K728)&lt;&gt;0)),1,0)</f>
        <v>0</v>
      </c>
      <c r="AG1928">
        <f>N(AG1927)+$AF1928</f>
        <v>10</v>
      </c>
      <c r="AH1928">
        <f>IF(AND($N1928=1,AND(对接源_02物料!$D728="周转筐－销售出库",N(对接源_02物料!$K728)&lt;&gt;0)),1,0)</f>
        <v>0</v>
      </c>
      <c r="AI1928">
        <f>N(AI1927)+$AH1928</f>
        <v>0</v>
      </c>
      <c r="AL1928" t="n">
        <v>0</v>
      </c>
      <c r="AM1928">
        <f>N(AM1927)+$AL1928</f>
        <v>2</v>
      </c>
      <c r="AN1928">
        <f>""</f>
      </c>
      <c r="AO1928" t="n">
        <v>0</v>
      </c>
      <c r="AP1928">
        <f>N(AP1927)+$AO1928</f>
        <v>13</v>
      </c>
      <c r="AR1928">
        <f>IF(OR($AF1928=1,$AH1928=1),1,0)</f>
        <v>0</v>
      </c>
      <c r="AS1928">
        <f>N(AS1927)+$AR1928</f>
        <v>10</v>
      </c>
    </row>
    <row r="1929" s="127">
      <c r="A1929">
        <f>IF(对接源_02物料!$C729="","",对接源_02物料!$C729)</f>
      </c>
      <c r="B1929">
        <f>IF(A1929="",0,IF(MATCH(A1929,$A$4:$A$2403,0)=ROW()-3,1,0))</f>
        <v>0</v>
      </c>
      <c r="C1929">
        <f>N(C1928)+B1929</f>
        <v>26</v>
      </c>
      <c r="K1929">
        <f>IF(OR($K$1="",对接源_02物料!$C729="",对接源_02物料!$C729&lt;&gt;$K$1,对接源_02物料!$B729=""),0,IF(OR(N(对接源_02物料!$B729)&lt;$K$2,N(对接源_02物料!$B729)&gt;$K$3),0,1))</f>
        <v>0</v>
      </c>
      <c r="L1929">
        <f>IF(OR($L$1="",对接源_02物料!$C729="",对接源_02物料!$C729&lt;&gt;$L$1,对接源_02物料!$B729=""),0,IF(OR(N(对接源_02物料!$B729)&lt;$L$2,N(对接源_02物料!$B729)&gt;$L$3),0,1))</f>
        <v>0</v>
      </c>
      <c r="M1929">
        <f>IF(OR($M$1="",对接源_02物料!$C729="",对接源_02物料!$C729&lt;&gt;$M$1,对接源_02物料!$B729=""),0,IF(OR(N(对接源_02物料!$B729)&lt;$M$2,N(对接源_02物料!$B729)&gt;$M$3),0,1))</f>
        <v>0</v>
      </c>
      <c r="N1929">
        <f>IF(OR($N$1="",对接源_02物料!$C729="",对接源_02物料!$C729&lt;&gt;$N$1,对接源_02物料!$B729=""),0,IF(OR(N(对接源_02物料!$B729)&lt;$N$2,N(对接源_02物料!$B729)&gt;$N$3),0,1))</f>
        <v>0</v>
      </c>
      <c r="P1929">
        <f>IF(AND($K1929=1,AND(对接源_02物料!$X729="公司筐",N(对接源_02物料!$T729)&lt;&gt;0)),1,0)</f>
        <v>0</v>
      </c>
      <c r="Q1929">
        <f>N(Q1928)+$P1929</f>
        <v>14</v>
      </c>
      <c r="R1929">
        <f>IF(AND($K1929=1,AND(对接源_02物料!$X729="公司筐",N(对接源_02物料!$U729)&lt;&gt;0)),1,0)</f>
        <v>0</v>
      </c>
      <c r="S1929">
        <f>N(S1928)+$R1929</f>
        <v>1</v>
      </c>
      <c r="T1929">
        <f>IF(AND($K1929=1,AND(对接源_02物料!$X729="公司筐",N(对接源_02物料!$V729)&lt;&gt;0)),1,0)</f>
        <v>0</v>
      </c>
      <c r="U1929">
        <f>N(U1928)+$T1929</f>
        <v>47</v>
      </c>
      <c r="V1929">
        <f>IF(AND($L1929=1,AND(对接源_02物料!$X729="自备筐",N(对接源_02物料!$V729)&lt;&gt;0)),1,0)</f>
        <v>0</v>
      </c>
      <c r="W1929">
        <f>N(W1928)+$V1929</f>
        <v>11</v>
      </c>
      <c r="X1929">
        <f>IF(AND($L1929=1,AND(对接源_02物料!$X729="自备筐",N(对接源_02物料!$T729)&lt;&gt;0)),1,0)</f>
        <v>0</v>
      </c>
      <c r="Y1929">
        <f>N(Y1928)+$X1929</f>
        <v>0</v>
      </c>
      <c r="Z1929">
        <f>IF(AND($M1929=1,对接源_02物料!$D729="原料入库"),1,0)</f>
        <v>0</v>
      </c>
      <c r="AA1929">
        <f>N(AA1928)+$Z1929</f>
        <v>24</v>
      </c>
      <c r="AB1929">
        <f>IF(AND($M1929=1,LEFT(对接源_02物料!$D729,4)="原料出库"),1,0)</f>
        <v>0</v>
      </c>
      <c r="AC1929">
        <f>N(AC1928)+$AB1929</f>
        <v>0</v>
      </c>
      <c r="AD1929">
        <f>IF(AND($M1929=1,LEFT(对接源_02物料!$D729,4)="成品出库"),1,0)</f>
        <v>0</v>
      </c>
      <c r="AE1929">
        <f>N(AE1928)+$AD1929</f>
        <v>0</v>
      </c>
      <c r="AF1929">
        <f>IF(AND($N1929=1,AND(LEFT(对接源_02物料!$D729,4)="包装物料",N(对接源_02物料!$K729)&lt;&gt;0)),1,0)</f>
        <v>0</v>
      </c>
      <c r="AG1929">
        <f>N(AG1928)+$AF1929</f>
        <v>10</v>
      </c>
      <c r="AH1929">
        <f>IF(AND($N1929=1,AND(对接源_02物料!$D729="周转筐－销售出库",N(对接源_02物料!$K729)&lt;&gt;0)),1,0)</f>
        <v>0</v>
      </c>
      <c r="AI1929">
        <f>N(AI1928)+$AH1929</f>
        <v>0</v>
      </c>
      <c r="AL1929" t="n">
        <v>0</v>
      </c>
      <c r="AM1929">
        <f>N(AM1928)+$AL1929</f>
        <v>2</v>
      </c>
      <c r="AN1929">
        <f>""</f>
      </c>
      <c r="AO1929" t="n">
        <v>0</v>
      </c>
      <c r="AP1929">
        <f>N(AP1928)+$AO1929</f>
        <v>13</v>
      </c>
      <c r="AR1929">
        <f>IF(OR($AF1929=1,$AH1929=1),1,0)</f>
        <v>0</v>
      </c>
      <c r="AS1929">
        <f>N(AS1928)+$AR1929</f>
        <v>10</v>
      </c>
    </row>
    <row r="1930" s="127">
      <c r="A1930">
        <f>IF(对接源_02物料!$C730="","",对接源_02物料!$C730)</f>
      </c>
      <c r="B1930">
        <f>IF(A1930="",0,IF(MATCH(A1930,$A$4:$A$2403,0)=ROW()-3,1,0))</f>
        <v>0</v>
      </c>
      <c r="C1930">
        <f>N(C1929)+B1930</f>
        <v>26</v>
      </c>
      <c r="K1930">
        <f>IF(OR($K$1="",对接源_02物料!$C730="",对接源_02物料!$C730&lt;&gt;$K$1,对接源_02物料!$B730=""),0,IF(OR(N(对接源_02物料!$B730)&lt;$K$2,N(对接源_02物料!$B730)&gt;$K$3),0,1))</f>
        <v>0</v>
      </c>
      <c r="L1930">
        <f>IF(OR($L$1="",对接源_02物料!$C730="",对接源_02物料!$C730&lt;&gt;$L$1,对接源_02物料!$B730=""),0,IF(OR(N(对接源_02物料!$B730)&lt;$L$2,N(对接源_02物料!$B730)&gt;$L$3),0,1))</f>
        <v>0</v>
      </c>
      <c r="M1930">
        <f>IF(OR($M$1="",对接源_02物料!$C730="",对接源_02物料!$C730&lt;&gt;$M$1,对接源_02物料!$B730=""),0,IF(OR(N(对接源_02物料!$B730)&lt;$M$2,N(对接源_02物料!$B730)&gt;$M$3),0,1))</f>
        <v>0</v>
      </c>
      <c r="N1930">
        <f>IF(OR($N$1="",对接源_02物料!$C730="",对接源_02物料!$C730&lt;&gt;$N$1,对接源_02物料!$B730=""),0,IF(OR(N(对接源_02物料!$B730)&lt;$N$2,N(对接源_02物料!$B730)&gt;$N$3),0,1))</f>
        <v>0</v>
      </c>
      <c r="P1930">
        <f>IF(AND($K1930=1,AND(对接源_02物料!$X730="公司筐",N(对接源_02物料!$T730)&lt;&gt;0)),1,0)</f>
        <v>0</v>
      </c>
      <c r="Q1930">
        <f>N(Q1929)+$P1930</f>
        <v>14</v>
      </c>
      <c r="R1930">
        <f>IF(AND($K1930=1,AND(对接源_02物料!$X730="公司筐",N(对接源_02物料!$U730)&lt;&gt;0)),1,0)</f>
        <v>0</v>
      </c>
      <c r="S1930">
        <f>N(S1929)+$R1930</f>
        <v>1</v>
      </c>
      <c r="T1930">
        <f>IF(AND($K1930=1,AND(对接源_02物料!$X730="公司筐",N(对接源_02物料!$V730)&lt;&gt;0)),1,0)</f>
        <v>0</v>
      </c>
      <c r="U1930">
        <f>N(U1929)+$T1930</f>
        <v>47</v>
      </c>
      <c r="V1930">
        <f>IF(AND($L1930=1,AND(对接源_02物料!$X730="自备筐",N(对接源_02物料!$V730)&lt;&gt;0)),1,0)</f>
        <v>0</v>
      </c>
      <c r="W1930">
        <f>N(W1929)+$V1930</f>
        <v>11</v>
      </c>
      <c r="X1930">
        <f>IF(AND($L1930=1,AND(对接源_02物料!$X730="自备筐",N(对接源_02物料!$T730)&lt;&gt;0)),1,0)</f>
        <v>0</v>
      </c>
      <c r="Y1930">
        <f>N(Y1929)+$X1930</f>
        <v>0</v>
      </c>
      <c r="Z1930">
        <f>IF(AND($M1930=1,对接源_02物料!$D730="原料入库"),1,0)</f>
        <v>0</v>
      </c>
      <c r="AA1930">
        <f>N(AA1929)+$Z1930</f>
        <v>24</v>
      </c>
      <c r="AB1930">
        <f>IF(AND($M1930=1,LEFT(对接源_02物料!$D730,4)="原料出库"),1,0)</f>
        <v>0</v>
      </c>
      <c r="AC1930">
        <f>N(AC1929)+$AB1930</f>
        <v>0</v>
      </c>
      <c r="AD1930">
        <f>IF(AND($M1930=1,LEFT(对接源_02物料!$D730,4)="成品出库"),1,0)</f>
        <v>0</v>
      </c>
      <c r="AE1930">
        <f>N(AE1929)+$AD1930</f>
        <v>0</v>
      </c>
      <c r="AF1930">
        <f>IF(AND($N1930=1,AND(LEFT(对接源_02物料!$D730,4)="包装物料",N(对接源_02物料!$K730)&lt;&gt;0)),1,0)</f>
        <v>0</v>
      </c>
      <c r="AG1930">
        <f>N(AG1929)+$AF1930</f>
        <v>10</v>
      </c>
      <c r="AH1930">
        <f>IF(AND($N1930=1,AND(对接源_02物料!$D730="周转筐－销售出库",N(对接源_02物料!$K730)&lt;&gt;0)),1,0)</f>
        <v>0</v>
      </c>
      <c r="AI1930">
        <f>N(AI1929)+$AH1930</f>
        <v>0</v>
      </c>
      <c r="AL1930" t="n">
        <v>0</v>
      </c>
      <c r="AM1930">
        <f>N(AM1929)+$AL1930</f>
        <v>2</v>
      </c>
      <c r="AN1930">
        <f>""</f>
      </c>
      <c r="AO1930" t="n">
        <v>0</v>
      </c>
      <c r="AP1930">
        <f>N(AP1929)+$AO1930</f>
        <v>13</v>
      </c>
      <c r="AR1930">
        <f>IF(OR($AF1930=1,$AH1930=1),1,0)</f>
        <v>0</v>
      </c>
      <c r="AS1930">
        <f>N(AS1929)+$AR1930</f>
        <v>10</v>
      </c>
    </row>
    <row r="1931" s="127">
      <c r="A1931">
        <f>IF(对接源_02物料!$C731="","",对接源_02物料!$C731)</f>
      </c>
      <c r="B1931">
        <f>IF(A1931="",0,IF(MATCH(A1931,$A$4:$A$2403,0)=ROW()-3,1,0))</f>
        <v>0</v>
      </c>
      <c r="C1931">
        <f>N(C1930)+B1931</f>
        <v>26</v>
      </c>
      <c r="K1931">
        <f>IF(OR($K$1="",对接源_02物料!$C731="",对接源_02物料!$C731&lt;&gt;$K$1,对接源_02物料!$B731=""),0,IF(OR(N(对接源_02物料!$B731)&lt;$K$2,N(对接源_02物料!$B731)&gt;$K$3),0,1))</f>
        <v>0</v>
      </c>
      <c r="L1931">
        <f>IF(OR($L$1="",对接源_02物料!$C731="",对接源_02物料!$C731&lt;&gt;$L$1,对接源_02物料!$B731=""),0,IF(OR(N(对接源_02物料!$B731)&lt;$L$2,N(对接源_02物料!$B731)&gt;$L$3),0,1))</f>
        <v>0</v>
      </c>
      <c r="M1931">
        <f>IF(OR($M$1="",对接源_02物料!$C731="",对接源_02物料!$C731&lt;&gt;$M$1,对接源_02物料!$B731=""),0,IF(OR(N(对接源_02物料!$B731)&lt;$M$2,N(对接源_02物料!$B731)&gt;$M$3),0,1))</f>
        <v>0</v>
      </c>
      <c r="N1931">
        <f>IF(OR($N$1="",对接源_02物料!$C731="",对接源_02物料!$C731&lt;&gt;$N$1,对接源_02物料!$B731=""),0,IF(OR(N(对接源_02物料!$B731)&lt;$N$2,N(对接源_02物料!$B731)&gt;$N$3),0,1))</f>
        <v>0</v>
      </c>
      <c r="P1931">
        <f>IF(AND($K1931=1,AND(对接源_02物料!$X731="公司筐",N(对接源_02物料!$T731)&lt;&gt;0)),1,0)</f>
        <v>0</v>
      </c>
      <c r="Q1931">
        <f>N(Q1930)+$P1931</f>
        <v>14</v>
      </c>
      <c r="R1931">
        <f>IF(AND($K1931=1,AND(对接源_02物料!$X731="公司筐",N(对接源_02物料!$U731)&lt;&gt;0)),1,0)</f>
        <v>0</v>
      </c>
      <c r="S1931">
        <f>N(S1930)+$R1931</f>
        <v>1</v>
      </c>
      <c r="T1931">
        <f>IF(AND($K1931=1,AND(对接源_02物料!$X731="公司筐",N(对接源_02物料!$V731)&lt;&gt;0)),1,0)</f>
        <v>0</v>
      </c>
      <c r="U1931">
        <f>N(U1930)+$T1931</f>
        <v>47</v>
      </c>
      <c r="V1931">
        <f>IF(AND($L1931=1,AND(对接源_02物料!$X731="自备筐",N(对接源_02物料!$V731)&lt;&gt;0)),1,0)</f>
        <v>0</v>
      </c>
      <c r="W1931">
        <f>N(W1930)+$V1931</f>
        <v>11</v>
      </c>
      <c r="X1931">
        <f>IF(AND($L1931=1,AND(对接源_02物料!$X731="自备筐",N(对接源_02物料!$T731)&lt;&gt;0)),1,0)</f>
        <v>0</v>
      </c>
      <c r="Y1931">
        <f>N(Y1930)+$X1931</f>
        <v>0</v>
      </c>
      <c r="Z1931">
        <f>IF(AND($M1931=1,对接源_02物料!$D731="原料入库"),1,0)</f>
        <v>0</v>
      </c>
      <c r="AA1931">
        <f>N(AA1930)+$Z1931</f>
        <v>24</v>
      </c>
      <c r="AB1931">
        <f>IF(AND($M1931=1,LEFT(对接源_02物料!$D731,4)="原料出库"),1,0)</f>
        <v>0</v>
      </c>
      <c r="AC1931">
        <f>N(AC1930)+$AB1931</f>
        <v>0</v>
      </c>
      <c r="AD1931">
        <f>IF(AND($M1931=1,LEFT(对接源_02物料!$D731,4)="成品出库"),1,0)</f>
        <v>0</v>
      </c>
      <c r="AE1931">
        <f>N(AE1930)+$AD1931</f>
        <v>0</v>
      </c>
      <c r="AF1931">
        <f>IF(AND($N1931=1,AND(LEFT(对接源_02物料!$D731,4)="包装物料",N(对接源_02物料!$K731)&lt;&gt;0)),1,0)</f>
        <v>0</v>
      </c>
      <c r="AG1931">
        <f>N(AG1930)+$AF1931</f>
        <v>10</v>
      </c>
      <c r="AH1931">
        <f>IF(AND($N1931=1,AND(对接源_02物料!$D731="周转筐－销售出库",N(对接源_02物料!$K731)&lt;&gt;0)),1,0)</f>
        <v>0</v>
      </c>
      <c r="AI1931">
        <f>N(AI1930)+$AH1931</f>
        <v>0</v>
      </c>
      <c r="AL1931" t="n">
        <v>0</v>
      </c>
      <c r="AM1931">
        <f>N(AM1930)+$AL1931</f>
        <v>2</v>
      </c>
      <c r="AN1931">
        <f>""</f>
      </c>
      <c r="AO1931" t="n">
        <v>0</v>
      </c>
      <c r="AP1931">
        <f>N(AP1930)+$AO1931</f>
        <v>13</v>
      </c>
      <c r="AR1931">
        <f>IF(OR($AF1931=1,$AH1931=1),1,0)</f>
        <v>0</v>
      </c>
      <c r="AS1931">
        <f>N(AS1930)+$AR1931</f>
        <v>10</v>
      </c>
    </row>
    <row r="1932" s="127">
      <c r="A1932">
        <f>IF(对接源_02物料!$C732="","",对接源_02物料!$C732)</f>
      </c>
      <c r="B1932">
        <f>IF(A1932="",0,IF(MATCH(A1932,$A$4:$A$2403,0)=ROW()-3,1,0))</f>
        <v>0</v>
      </c>
      <c r="C1932">
        <f>N(C1931)+B1932</f>
        <v>26</v>
      </c>
      <c r="K1932">
        <f>IF(OR($K$1="",对接源_02物料!$C732="",对接源_02物料!$C732&lt;&gt;$K$1,对接源_02物料!$B732=""),0,IF(OR(N(对接源_02物料!$B732)&lt;$K$2,N(对接源_02物料!$B732)&gt;$K$3),0,1))</f>
        <v>0</v>
      </c>
      <c r="L1932">
        <f>IF(OR($L$1="",对接源_02物料!$C732="",对接源_02物料!$C732&lt;&gt;$L$1,对接源_02物料!$B732=""),0,IF(OR(N(对接源_02物料!$B732)&lt;$L$2,N(对接源_02物料!$B732)&gt;$L$3),0,1))</f>
        <v>0</v>
      </c>
      <c r="M1932">
        <f>IF(OR($M$1="",对接源_02物料!$C732="",对接源_02物料!$C732&lt;&gt;$M$1,对接源_02物料!$B732=""),0,IF(OR(N(对接源_02物料!$B732)&lt;$M$2,N(对接源_02物料!$B732)&gt;$M$3),0,1))</f>
        <v>0</v>
      </c>
      <c r="N1932">
        <f>IF(OR($N$1="",对接源_02物料!$C732="",对接源_02物料!$C732&lt;&gt;$N$1,对接源_02物料!$B732=""),0,IF(OR(N(对接源_02物料!$B732)&lt;$N$2,N(对接源_02物料!$B732)&gt;$N$3),0,1))</f>
        <v>0</v>
      </c>
      <c r="P1932">
        <f>IF(AND($K1932=1,AND(对接源_02物料!$X732="公司筐",N(对接源_02物料!$T732)&lt;&gt;0)),1,0)</f>
        <v>0</v>
      </c>
      <c r="Q1932">
        <f>N(Q1931)+$P1932</f>
        <v>14</v>
      </c>
      <c r="R1932">
        <f>IF(AND($K1932=1,AND(对接源_02物料!$X732="公司筐",N(对接源_02物料!$U732)&lt;&gt;0)),1,0)</f>
        <v>0</v>
      </c>
      <c r="S1932">
        <f>N(S1931)+$R1932</f>
        <v>1</v>
      </c>
      <c r="T1932">
        <f>IF(AND($K1932=1,AND(对接源_02物料!$X732="公司筐",N(对接源_02物料!$V732)&lt;&gt;0)),1,0)</f>
        <v>0</v>
      </c>
      <c r="U1932">
        <f>N(U1931)+$T1932</f>
        <v>47</v>
      </c>
      <c r="V1932">
        <f>IF(AND($L1932=1,AND(对接源_02物料!$X732="自备筐",N(对接源_02物料!$V732)&lt;&gt;0)),1,0)</f>
        <v>0</v>
      </c>
      <c r="W1932">
        <f>N(W1931)+$V1932</f>
        <v>11</v>
      </c>
      <c r="X1932">
        <f>IF(AND($L1932=1,AND(对接源_02物料!$X732="自备筐",N(对接源_02物料!$T732)&lt;&gt;0)),1,0)</f>
        <v>0</v>
      </c>
      <c r="Y1932">
        <f>N(Y1931)+$X1932</f>
        <v>0</v>
      </c>
      <c r="Z1932">
        <f>IF(AND($M1932=1,对接源_02物料!$D732="原料入库"),1,0)</f>
        <v>0</v>
      </c>
      <c r="AA1932">
        <f>N(AA1931)+$Z1932</f>
        <v>24</v>
      </c>
      <c r="AB1932">
        <f>IF(AND($M1932=1,LEFT(对接源_02物料!$D732,4)="原料出库"),1,0)</f>
        <v>0</v>
      </c>
      <c r="AC1932">
        <f>N(AC1931)+$AB1932</f>
        <v>0</v>
      </c>
      <c r="AD1932">
        <f>IF(AND($M1932=1,LEFT(对接源_02物料!$D732,4)="成品出库"),1,0)</f>
        <v>0</v>
      </c>
      <c r="AE1932">
        <f>N(AE1931)+$AD1932</f>
        <v>0</v>
      </c>
      <c r="AF1932">
        <f>IF(AND($N1932=1,AND(LEFT(对接源_02物料!$D732,4)="包装物料",N(对接源_02物料!$K732)&lt;&gt;0)),1,0)</f>
        <v>0</v>
      </c>
      <c r="AG1932">
        <f>N(AG1931)+$AF1932</f>
        <v>10</v>
      </c>
      <c r="AH1932">
        <f>IF(AND($N1932=1,AND(对接源_02物料!$D732="周转筐－销售出库",N(对接源_02物料!$K732)&lt;&gt;0)),1,0)</f>
        <v>0</v>
      </c>
      <c r="AI1932">
        <f>N(AI1931)+$AH1932</f>
        <v>0</v>
      </c>
      <c r="AL1932" t="n">
        <v>0</v>
      </c>
      <c r="AM1932">
        <f>N(AM1931)+$AL1932</f>
        <v>2</v>
      </c>
      <c r="AN1932">
        <f>""</f>
      </c>
      <c r="AO1932" t="n">
        <v>0</v>
      </c>
      <c r="AP1932">
        <f>N(AP1931)+$AO1932</f>
        <v>13</v>
      </c>
      <c r="AR1932">
        <f>IF(OR($AF1932=1,$AH1932=1),1,0)</f>
        <v>0</v>
      </c>
      <c r="AS1932">
        <f>N(AS1931)+$AR1932</f>
        <v>10</v>
      </c>
    </row>
    <row r="1933" s="127">
      <c r="A1933">
        <f>IF(对接源_02物料!$C733="","",对接源_02物料!$C733)</f>
      </c>
      <c r="B1933">
        <f>IF(A1933="",0,IF(MATCH(A1933,$A$4:$A$2403,0)=ROW()-3,1,0))</f>
        <v>0</v>
      </c>
      <c r="C1933">
        <f>N(C1932)+B1933</f>
        <v>26</v>
      </c>
      <c r="K1933">
        <f>IF(OR($K$1="",对接源_02物料!$C733="",对接源_02物料!$C733&lt;&gt;$K$1,对接源_02物料!$B733=""),0,IF(OR(N(对接源_02物料!$B733)&lt;$K$2,N(对接源_02物料!$B733)&gt;$K$3),0,1))</f>
        <v>0</v>
      </c>
      <c r="L1933">
        <f>IF(OR($L$1="",对接源_02物料!$C733="",对接源_02物料!$C733&lt;&gt;$L$1,对接源_02物料!$B733=""),0,IF(OR(N(对接源_02物料!$B733)&lt;$L$2,N(对接源_02物料!$B733)&gt;$L$3),0,1))</f>
        <v>0</v>
      </c>
      <c r="M1933">
        <f>IF(OR($M$1="",对接源_02物料!$C733="",对接源_02物料!$C733&lt;&gt;$M$1,对接源_02物料!$B733=""),0,IF(OR(N(对接源_02物料!$B733)&lt;$M$2,N(对接源_02物料!$B733)&gt;$M$3),0,1))</f>
        <v>0</v>
      </c>
      <c r="N1933">
        <f>IF(OR($N$1="",对接源_02物料!$C733="",对接源_02物料!$C733&lt;&gt;$N$1,对接源_02物料!$B733=""),0,IF(OR(N(对接源_02物料!$B733)&lt;$N$2,N(对接源_02物料!$B733)&gt;$N$3),0,1))</f>
        <v>0</v>
      </c>
      <c r="P1933">
        <f>IF(AND($K1933=1,AND(对接源_02物料!$X733="公司筐",N(对接源_02物料!$T733)&lt;&gt;0)),1,0)</f>
        <v>0</v>
      </c>
      <c r="Q1933">
        <f>N(Q1932)+$P1933</f>
        <v>14</v>
      </c>
      <c r="R1933">
        <f>IF(AND($K1933=1,AND(对接源_02物料!$X733="公司筐",N(对接源_02物料!$U733)&lt;&gt;0)),1,0)</f>
        <v>0</v>
      </c>
      <c r="S1933">
        <f>N(S1932)+$R1933</f>
        <v>1</v>
      </c>
      <c r="T1933">
        <f>IF(AND($K1933=1,AND(对接源_02物料!$X733="公司筐",N(对接源_02物料!$V733)&lt;&gt;0)),1,0)</f>
        <v>0</v>
      </c>
      <c r="U1933">
        <f>N(U1932)+$T1933</f>
        <v>47</v>
      </c>
      <c r="V1933">
        <f>IF(AND($L1933=1,AND(对接源_02物料!$X733="自备筐",N(对接源_02物料!$V733)&lt;&gt;0)),1,0)</f>
        <v>0</v>
      </c>
      <c r="W1933">
        <f>N(W1932)+$V1933</f>
        <v>11</v>
      </c>
      <c r="X1933">
        <f>IF(AND($L1933=1,AND(对接源_02物料!$X733="自备筐",N(对接源_02物料!$T733)&lt;&gt;0)),1,0)</f>
        <v>0</v>
      </c>
      <c r="Y1933">
        <f>N(Y1932)+$X1933</f>
        <v>0</v>
      </c>
      <c r="Z1933">
        <f>IF(AND($M1933=1,对接源_02物料!$D733="原料入库"),1,0)</f>
        <v>0</v>
      </c>
      <c r="AA1933">
        <f>N(AA1932)+$Z1933</f>
        <v>24</v>
      </c>
      <c r="AB1933">
        <f>IF(AND($M1933=1,LEFT(对接源_02物料!$D733,4)="原料出库"),1,0)</f>
        <v>0</v>
      </c>
      <c r="AC1933">
        <f>N(AC1932)+$AB1933</f>
        <v>0</v>
      </c>
      <c r="AD1933">
        <f>IF(AND($M1933=1,LEFT(对接源_02物料!$D733,4)="成品出库"),1,0)</f>
        <v>0</v>
      </c>
      <c r="AE1933">
        <f>N(AE1932)+$AD1933</f>
        <v>0</v>
      </c>
      <c r="AF1933">
        <f>IF(AND($N1933=1,AND(LEFT(对接源_02物料!$D733,4)="包装物料",N(对接源_02物料!$K733)&lt;&gt;0)),1,0)</f>
        <v>0</v>
      </c>
      <c r="AG1933">
        <f>N(AG1932)+$AF1933</f>
        <v>10</v>
      </c>
      <c r="AH1933">
        <f>IF(AND($N1933=1,AND(对接源_02物料!$D733="周转筐－销售出库",N(对接源_02物料!$K733)&lt;&gt;0)),1,0)</f>
        <v>0</v>
      </c>
      <c r="AI1933">
        <f>N(AI1932)+$AH1933</f>
        <v>0</v>
      </c>
      <c r="AL1933" t="n">
        <v>0</v>
      </c>
      <c r="AM1933">
        <f>N(AM1932)+$AL1933</f>
        <v>2</v>
      </c>
      <c r="AN1933">
        <f>""</f>
      </c>
      <c r="AO1933" t="n">
        <v>0</v>
      </c>
      <c r="AP1933">
        <f>N(AP1932)+$AO1933</f>
        <v>13</v>
      </c>
      <c r="AR1933">
        <f>IF(OR($AF1933=1,$AH1933=1),1,0)</f>
        <v>0</v>
      </c>
      <c r="AS1933">
        <f>N(AS1932)+$AR1933</f>
        <v>10</v>
      </c>
    </row>
    <row r="1934" s="127">
      <c r="A1934">
        <f>IF(对接源_02物料!$C734="","",对接源_02物料!$C734)</f>
      </c>
      <c r="B1934">
        <f>IF(A1934="",0,IF(MATCH(A1934,$A$4:$A$2403,0)=ROW()-3,1,0))</f>
        <v>0</v>
      </c>
      <c r="C1934">
        <f>N(C1933)+B1934</f>
        <v>26</v>
      </c>
      <c r="K1934">
        <f>IF(OR($K$1="",对接源_02物料!$C734="",对接源_02物料!$C734&lt;&gt;$K$1,对接源_02物料!$B734=""),0,IF(OR(N(对接源_02物料!$B734)&lt;$K$2,N(对接源_02物料!$B734)&gt;$K$3),0,1))</f>
        <v>0</v>
      </c>
      <c r="L1934">
        <f>IF(OR($L$1="",对接源_02物料!$C734="",对接源_02物料!$C734&lt;&gt;$L$1,对接源_02物料!$B734=""),0,IF(OR(N(对接源_02物料!$B734)&lt;$L$2,N(对接源_02物料!$B734)&gt;$L$3),0,1))</f>
        <v>0</v>
      </c>
      <c r="M1934">
        <f>IF(OR($M$1="",对接源_02物料!$C734="",对接源_02物料!$C734&lt;&gt;$M$1,对接源_02物料!$B734=""),0,IF(OR(N(对接源_02物料!$B734)&lt;$M$2,N(对接源_02物料!$B734)&gt;$M$3),0,1))</f>
        <v>0</v>
      </c>
      <c r="N1934">
        <f>IF(OR($N$1="",对接源_02物料!$C734="",对接源_02物料!$C734&lt;&gt;$N$1,对接源_02物料!$B734=""),0,IF(OR(N(对接源_02物料!$B734)&lt;$N$2,N(对接源_02物料!$B734)&gt;$N$3),0,1))</f>
        <v>0</v>
      </c>
      <c r="P1934">
        <f>IF(AND($K1934=1,AND(对接源_02物料!$X734="公司筐",N(对接源_02物料!$T734)&lt;&gt;0)),1,0)</f>
        <v>0</v>
      </c>
      <c r="Q1934">
        <f>N(Q1933)+$P1934</f>
        <v>14</v>
      </c>
      <c r="R1934">
        <f>IF(AND($K1934=1,AND(对接源_02物料!$X734="公司筐",N(对接源_02物料!$U734)&lt;&gt;0)),1,0)</f>
        <v>0</v>
      </c>
      <c r="S1934">
        <f>N(S1933)+$R1934</f>
        <v>1</v>
      </c>
      <c r="T1934">
        <f>IF(AND($K1934=1,AND(对接源_02物料!$X734="公司筐",N(对接源_02物料!$V734)&lt;&gt;0)),1,0)</f>
        <v>0</v>
      </c>
      <c r="U1934">
        <f>N(U1933)+$T1934</f>
        <v>47</v>
      </c>
      <c r="V1934">
        <f>IF(AND($L1934=1,AND(对接源_02物料!$X734="自备筐",N(对接源_02物料!$V734)&lt;&gt;0)),1,0)</f>
        <v>0</v>
      </c>
      <c r="W1934">
        <f>N(W1933)+$V1934</f>
        <v>11</v>
      </c>
      <c r="X1934">
        <f>IF(AND($L1934=1,AND(对接源_02物料!$X734="自备筐",N(对接源_02物料!$T734)&lt;&gt;0)),1,0)</f>
        <v>0</v>
      </c>
      <c r="Y1934">
        <f>N(Y1933)+$X1934</f>
        <v>0</v>
      </c>
      <c r="Z1934">
        <f>IF(AND($M1934=1,对接源_02物料!$D734="原料入库"),1,0)</f>
        <v>0</v>
      </c>
      <c r="AA1934">
        <f>N(AA1933)+$Z1934</f>
        <v>24</v>
      </c>
      <c r="AB1934">
        <f>IF(AND($M1934=1,LEFT(对接源_02物料!$D734,4)="原料出库"),1,0)</f>
        <v>0</v>
      </c>
      <c r="AC1934">
        <f>N(AC1933)+$AB1934</f>
        <v>0</v>
      </c>
      <c r="AD1934">
        <f>IF(AND($M1934=1,LEFT(对接源_02物料!$D734,4)="成品出库"),1,0)</f>
        <v>0</v>
      </c>
      <c r="AE1934">
        <f>N(AE1933)+$AD1934</f>
        <v>0</v>
      </c>
      <c r="AF1934">
        <f>IF(AND($N1934=1,AND(LEFT(对接源_02物料!$D734,4)="包装物料",N(对接源_02物料!$K734)&lt;&gt;0)),1,0)</f>
        <v>0</v>
      </c>
      <c r="AG1934">
        <f>N(AG1933)+$AF1934</f>
        <v>10</v>
      </c>
      <c r="AH1934">
        <f>IF(AND($N1934=1,AND(对接源_02物料!$D734="周转筐－销售出库",N(对接源_02物料!$K734)&lt;&gt;0)),1,0)</f>
        <v>0</v>
      </c>
      <c r="AI1934">
        <f>N(AI1933)+$AH1934</f>
        <v>0</v>
      </c>
      <c r="AL1934" t="n">
        <v>0</v>
      </c>
      <c r="AM1934">
        <f>N(AM1933)+$AL1934</f>
        <v>2</v>
      </c>
      <c r="AN1934">
        <f>""</f>
      </c>
      <c r="AO1934" t="n">
        <v>0</v>
      </c>
      <c r="AP1934">
        <f>N(AP1933)+$AO1934</f>
        <v>13</v>
      </c>
      <c r="AR1934">
        <f>IF(OR($AF1934=1,$AH1934=1),1,0)</f>
        <v>0</v>
      </c>
      <c r="AS1934">
        <f>N(AS1933)+$AR1934</f>
        <v>10</v>
      </c>
    </row>
    <row r="1935" s="127">
      <c r="A1935">
        <f>IF(对接源_02物料!$C735="","",对接源_02物料!$C735)</f>
      </c>
      <c r="B1935">
        <f>IF(A1935="",0,IF(MATCH(A1935,$A$4:$A$2403,0)=ROW()-3,1,0))</f>
        <v>0</v>
      </c>
      <c r="C1935">
        <f>N(C1934)+B1935</f>
        <v>26</v>
      </c>
      <c r="K1935">
        <f>IF(OR($K$1="",对接源_02物料!$C735="",对接源_02物料!$C735&lt;&gt;$K$1,对接源_02物料!$B735=""),0,IF(OR(N(对接源_02物料!$B735)&lt;$K$2,N(对接源_02物料!$B735)&gt;$K$3),0,1))</f>
        <v>0</v>
      </c>
      <c r="L1935">
        <f>IF(OR($L$1="",对接源_02物料!$C735="",对接源_02物料!$C735&lt;&gt;$L$1,对接源_02物料!$B735=""),0,IF(OR(N(对接源_02物料!$B735)&lt;$L$2,N(对接源_02物料!$B735)&gt;$L$3),0,1))</f>
        <v>0</v>
      </c>
      <c r="M1935">
        <f>IF(OR($M$1="",对接源_02物料!$C735="",对接源_02物料!$C735&lt;&gt;$M$1,对接源_02物料!$B735=""),0,IF(OR(N(对接源_02物料!$B735)&lt;$M$2,N(对接源_02物料!$B735)&gt;$M$3),0,1))</f>
        <v>0</v>
      </c>
      <c r="N1935">
        <f>IF(OR($N$1="",对接源_02物料!$C735="",对接源_02物料!$C735&lt;&gt;$N$1,对接源_02物料!$B735=""),0,IF(OR(N(对接源_02物料!$B735)&lt;$N$2,N(对接源_02物料!$B735)&gt;$N$3),0,1))</f>
        <v>0</v>
      </c>
      <c r="P1935">
        <f>IF(AND($K1935=1,AND(对接源_02物料!$X735="公司筐",N(对接源_02物料!$T735)&lt;&gt;0)),1,0)</f>
        <v>0</v>
      </c>
      <c r="Q1935">
        <f>N(Q1934)+$P1935</f>
        <v>14</v>
      </c>
      <c r="R1935">
        <f>IF(AND($K1935=1,AND(对接源_02物料!$X735="公司筐",N(对接源_02物料!$U735)&lt;&gt;0)),1,0)</f>
        <v>0</v>
      </c>
      <c r="S1935">
        <f>N(S1934)+$R1935</f>
        <v>1</v>
      </c>
      <c r="T1935">
        <f>IF(AND($K1935=1,AND(对接源_02物料!$X735="公司筐",N(对接源_02物料!$V735)&lt;&gt;0)),1,0)</f>
        <v>0</v>
      </c>
      <c r="U1935">
        <f>N(U1934)+$T1935</f>
        <v>47</v>
      </c>
      <c r="V1935">
        <f>IF(AND($L1935=1,AND(对接源_02物料!$X735="自备筐",N(对接源_02物料!$V735)&lt;&gt;0)),1,0)</f>
        <v>0</v>
      </c>
      <c r="W1935">
        <f>N(W1934)+$V1935</f>
        <v>11</v>
      </c>
      <c r="X1935">
        <f>IF(AND($L1935=1,AND(对接源_02物料!$X735="自备筐",N(对接源_02物料!$T735)&lt;&gt;0)),1,0)</f>
        <v>0</v>
      </c>
      <c r="Y1935">
        <f>N(Y1934)+$X1935</f>
        <v>0</v>
      </c>
      <c r="Z1935">
        <f>IF(AND($M1935=1,对接源_02物料!$D735="原料入库"),1,0)</f>
        <v>0</v>
      </c>
      <c r="AA1935">
        <f>N(AA1934)+$Z1935</f>
        <v>24</v>
      </c>
      <c r="AB1935">
        <f>IF(AND($M1935=1,LEFT(对接源_02物料!$D735,4)="原料出库"),1,0)</f>
        <v>0</v>
      </c>
      <c r="AC1935">
        <f>N(AC1934)+$AB1935</f>
        <v>0</v>
      </c>
      <c r="AD1935">
        <f>IF(AND($M1935=1,LEFT(对接源_02物料!$D735,4)="成品出库"),1,0)</f>
        <v>0</v>
      </c>
      <c r="AE1935">
        <f>N(AE1934)+$AD1935</f>
        <v>0</v>
      </c>
      <c r="AF1935">
        <f>IF(AND($N1935=1,AND(LEFT(对接源_02物料!$D735,4)="包装物料",N(对接源_02物料!$K735)&lt;&gt;0)),1,0)</f>
        <v>0</v>
      </c>
      <c r="AG1935">
        <f>N(AG1934)+$AF1935</f>
        <v>10</v>
      </c>
      <c r="AH1935">
        <f>IF(AND($N1935=1,AND(对接源_02物料!$D735="周转筐－销售出库",N(对接源_02物料!$K735)&lt;&gt;0)),1,0)</f>
        <v>0</v>
      </c>
      <c r="AI1935">
        <f>N(AI1934)+$AH1935</f>
        <v>0</v>
      </c>
      <c r="AL1935" t="n">
        <v>0</v>
      </c>
      <c r="AM1935">
        <f>N(AM1934)+$AL1935</f>
        <v>2</v>
      </c>
      <c r="AN1935">
        <f>""</f>
      </c>
      <c r="AO1935" t="n">
        <v>0</v>
      </c>
      <c r="AP1935">
        <f>N(AP1934)+$AO1935</f>
        <v>13</v>
      </c>
      <c r="AR1935">
        <f>IF(OR($AF1935=1,$AH1935=1),1,0)</f>
        <v>0</v>
      </c>
      <c r="AS1935">
        <f>N(AS1934)+$AR1935</f>
        <v>10</v>
      </c>
    </row>
    <row r="1936" s="127">
      <c r="A1936">
        <f>IF(对接源_02物料!$C736="","",对接源_02物料!$C736)</f>
      </c>
      <c r="B1936">
        <f>IF(A1936="",0,IF(MATCH(A1936,$A$4:$A$2403,0)=ROW()-3,1,0))</f>
        <v>0</v>
      </c>
      <c r="C1936">
        <f>N(C1935)+B1936</f>
        <v>26</v>
      </c>
      <c r="K1936">
        <f>IF(OR($K$1="",对接源_02物料!$C736="",对接源_02物料!$C736&lt;&gt;$K$1,对接源_02物料!$B736=""),0,IF(OR(N(对接源_02物料!$B736)&lt;$K$2,N(对接源_02物料!$B736)&gt;$K$3),0,1))</f>
        <v>0</v>
      </c>
      <c r="L1936">
        <f>IF(OR($L$1="",对接源_02物料!$C736="",对接源_02物料!$C736&lt;&gt;$L$1,对接源_02物料!$B736=""),0,IF(OR(N(对接源_02物料!$B736)&lt;$L$2,N(对接源_02物料!$B736)&gt;$L$3),0,1))</f>
        <v>0</v>
      </c>
      <c r="M1936">
        <f>IF(OR($M$1="",对接源_02物料!$C736="",对接源_02物料!$C736&lt;&gt;$M$1,对接源_02物料!$B736=""),0,IF(OR(N(对接源_02物料!$B736)&lt;$M$2,N(对接源_02物料!$B736)&gt;$M$3),0,1))</f>
        <v>0</v>
      </c>
      <c r="N1936">
        <f>IF(OR($N$1="",对接源_02物料!$C736="",对接源_02物料!$C736&lt;&gt;$N$1,对接源_02物料!$B736=""),0,IF(OR(N(对接源_02物料!$B736)&lt;$N$2,N(对接源_02物料!$B736)&gt;$N$3),0,1))</f>
        <v>0</v>
      </c>
      <c r="P1936">
        <f>IF(AND($K1936=1,AND(对接源_02物料!$X736="公司筐",N(对接源_02物料!$T736)&lt;&gt;0)),1,0)</f>
        <v>0</v>
      </c>
      <c r="Q1936">
        <f>N(Q1935)+$P1936</f>
        <v>14</v>
      </c>
      <c r="R1936">
        <f>IF(AND($K1936=1,AND(对接源_02物料!$X736="公司筐",N(对接源_02物料!$U736)&lt;&gt;0)),1,0)</f>
        <v>0</v>
      </c>
      <c r="S1936">
        <f>N(S1935)+$R1936</f>
        <v>1</v>
      </c>
      <c r="T1936">
        <f>IF(AND($K1936=1,AND(对接源_02物料!$X736="公司筐",N(对接源_02物料!$V736)&lt;&gt;0)),1,0)</f>
        <v>0</v>
      </c>
      <c r="U1936">
        <f>N(U1935)+$T1936</f>
        <v>47</v>
      </c>
      <c r="V1936">
        <f>IF(AND($L1936=1,AND(对接源_02物料!$X736="自备筐",N(对接源_02物料!$V736)&lt;&gt;0)),1,0)</f>
        <v>0</v>
      </c>
      <c r="W1936">
        <f>N(W1935)+$V1936</f>
        <v>11</v>
      </c>
      <c r="X1936">
        <f>IF(AND($L1936=1,AND(对接源_02物料!$X736="自备筐",N(对接源_02物料!$T736)&lt;&gt;0)),1,0)</f>
        <v>0</v>
      </c>
      <c r="Y1936">
        <f>N(Y1935)+$X1936</f>
        <v>0</v>
      </c>
      <c r="Z1936">
        <f>IF(AND($M1936=1,对接源_02物料!$D736="原料入库"),1,0)</f>
        <v>0</v>
      </c>
      <c r="AA1936">
        <f>N(AA1935)+$Z1936</f>
        <v>24</v>
      </c>
      <c r="AB1936">
        <f>IF(AND($M1936=1,LEFT(对接源_02物料!$D736,4)="原料出库"),1,0)</f>
        <v>0</v>
      </c>
      <c r="AC1936">
        <f>N(AC1935)+$AB1936</f>
        <v>0</v>
      </c>
      <c r="AD1936">
        <f>IF(AND($M1936=1,LEFT(对接源_02物料!$D736,4)="成品出库"),1,0)</f>
        <v>0</v>
      </c>
      <c r="AE1936">
        <f>N(AE1935)+$AD1936</f>
        <v>0</v>
      </c>
      <c r="AF1936">
        <f>IF(AND($N1936=1,AND(LEFT(对接源_02物料!$D736,4)="包装物料",N(对接源_02物料!$K736)&lt;&gt;0)),1,0)</f>
        <v>0</v>
      </c>
      <c r="AG1936">
        <f>N(AG1935)+$AF1936</f>
        <v>10</v>
      </c>
      <c r="AH1936">
        <f>IF(AND($N1936=1,AND(对接源_02物料!$D736="周转筐－销售出库",N(对接源_02物料!$K736)&lt;&gt;0)),1,0)</f>
        <v>0</v>
      </c>
      <c r="AI1936">
        <f>N(AI1935)+$AH1936</f>
        <v>0</v>
      </c>
      <c r="AL1936" t="n">
        <v>0</v>
      </c>
      <c r="AM1936">
        <f>N(AM1935)+$AL1936</f>
        <v>2</v>
      </c>
      <c r="AN1936">
        <f>""</f>
      </c>
      <c r="AO1936" t="n">
        <v>0</v>
      </c>
      <c r="AP1936">
        <f>N(AP1935)+$AO1936</f>
        <v>13</v>
      </c>
      <c r="AR1936">
        <f>IF(OR($AF1936=1,$AH1936=1),1,0)</f>
        <v>0</v>
      </c>
      <c r="AS1936">
        <f>N(AS1935)+$AR1936</f>
        <v>10</v>
      </c>
    </row>
    <row r="1937" s="127">
      <c r="A1937">
        <f>IF(对接源_02物料!$C737="","",对接源_02物料!$C737)</f>
      </c>
      <c r="B1937">
        <f>IF(A1937="",0,IF(MATCH(A1937,$A$4:$A$2403,0)=ROW()-3,1,0))</f>
        <v>0</v>
      </c>
      <c r="C1937">
        <f>N(C1936)+B1937</f>
        <v>26</v>
      </c>
      <c r="K1937">
        <f>IF(OR($K$1="",对接源_02物料!$C737="",对接源_02物料!$C737&lt;&gt;$K$1,对接源_02物料!$B737=""),0,IF(OR(N(对接源_02物料!$B737)&lt;$K$2,N(对接源_02物料!$B737)&gt;$K$3),0,1))</f>
        <v>0</v>
      </c>
      <c r="L1937">
        <f>IF(OR($L$1="",对接源_02物料!$C737="",对接源_02物料!$C737&lt;&gt;$L$1,对接源_02物料!$B737=""),0,IF(OR(N(对接源_02物料!$B737)&lt;$L$2,N(对接源_02物料!$B737)&gt;$L$3),0,1))</f>
        <v>0</v>
      </c>
      <c r="M1937">
        <f>IF(OR($M$1="",对接源_02物料!$C737="",对接源_02物料!$C737&lt;&gt;$M$1,对接源_02物料!$B737=""),0,IF(OR(N(对接源_02物料!$B737)&lt;$M$2,N(对接源_02物料!$B737)&gt;$M$3),0,1))</f>
        <v>0</v>
      </c>
      <c r="N1937">
        <f>IF(OR($N$1="",对接源_02物料!$C737="",对接源_02物料!$C737&lt;&gt;$N$1,对接源_02物料!$B737=""),0,IF(OR(N(对接源_02物料!$B737)&lt;$N$2,N(对接源_02物料!$B737)&gt;$N$3),0,1))</f>
        <v>0</v>
      </c>
      <c r="P1937">
        <f>IF(AND($K1937=1,AND(对接源_02物料!$X737="公司筐",N(对接源_02物料!$T737)&lt;&gt;0)),1,0)</f>
        <v>0</v>
      </c>
      <c r="Q1937">
        <f>N(Q1936)+$P1937</f>
        <v>14</v>
      </c>
      <c r="R1937">
        <f>IF(AND($K1937=1,AND(对接源_02物料!$X737="公司筐",N(对接源_02物料!$U737)&lt;&gt;0)),1,0)</f>
        <v>0</v>
      </c>
      <c r="S1937">
        <f>N(S1936)+$R1937</f>
        <v>1</v>
      </c>
      <c r="T1937">
        <f>IF(AND($K1937=1,AND(对接源_02物料!$X737="公司筐",N(对接源_02物料!$V737)&lt;&gt;0)),1,0)</f>
        <v>0</v>
      </c>
      <c r="U1937">
        <f>N(U1936)+$T1937</f>
        <v>47</v>
      </c>
      <c r="V1937">
        <f>IF(AND($L1937=1,AND(对接源_02物料!$X737="自备筐",N(对接源_02物料!$V737)&lt;&gt;0)),1,0)</f>
        <v>0</v>
      </c>
      <c r="W1937">
        <f>N(W1936)+$V1937</f>
        <v>11</v>
      </c>
      <c r="X1937">
        <f>IF(AND($L1937=1,AND(对接源_02物料!$X737="自备筐",N(对接源_02物料!$T737)&lt;&gt;0)),1,0)</f>
        <v>0</v>
      </c>
      <c r="Y1937">
        <f>N(Y1936)+$X1937</f>
        <v>0</v>
      </c>
      <c r="Z1937">
        <f>IF(AND($M1937=1,对接源_02物料!$D737="原料入库"),1,0)</f>
        <v>0</v>
      </c>
      <c r="AA1937">
        <f>N(AA1936)+$Z1937</f>
        <v>24</v>
      </c>
      <c r="AB1937">
        <f>IF(AND($M1937=1,LEFT(对接源_02物料!$D737,4)="原料出库"),1,0)</f>
        <v>0</v>
      </c>
      <c r="AC1937">
        <f>N(AC1936)+$AB1937</f>
        <v>0</v>
      </c>
      <c r="AD1937">
        <f>IF(AND($M1937=1,LEFT(对接源_02物料!$D737,4)="成品出库"),1,0)</f>
        <v>0</v>
      </c>
      <c r="AE1937">
        <f>N(AE1936)+$AD1937</f>
        <v>0</v>
      </c>
      <c r="AF1937">
        <f>IF(AND($N1937=1,AND(LEFT(对接源_02物料!$D737,4)="包装物料",N(对接源_02物料!$K737)&lt;&gt;0)),1,0)</f>
        <v>0</v>
      </c>
      <c r="AG1937">
        <f>N(AG1936)+$AF1937</f>
        <v>10</v>
      </c>
      <c r="AH1937">
        <f>IF(AND($N1937=1,AND(对接源_02物料!$D737="周转筐－销售出库",N(对接源_02物料!$K737)&lt;&gt;0)),1,0)</f>
        <v>0</v>
      </c>
      <c r="AI1937">
        <f>N(AI1936)+$AH1937</f>
        <v>0</v>
      </c>
      <c r="AL1937" t="n">
        <v>0</v>
      </c>
      <c r="AM1937">
        <f>N(AM1936)+$AL1937</f>
        <v>2</v>
      </c>
      <c r="AN1937">
        <f>""</f>
      </c>
      <c r="AO1937" t="n">
        <v>0</v>
      </c>
      <c r="AP1937">
        <f>N(AP1936)+$AO1937</f>
        <v>13</v>
      </c>
      <c r="AR1937">
        <f>IF(OR($AF1937=1,$AH1937=1),1,0)</f>
        <v>0</v>
      </c>
      <c r="AS1937">
        <f>N(AS1936)+$AR1937</f>
        <v>10</v>
      </c>
    </row>
    <row r="1938" s="127">
      <c r="A1938">
        <f>IF(对接源_02物料!$C738="","",对接源_02物料!$C738)</f>
      </c>
      <c r="B1938">
        <f>IF(A1938="",0,IF(MATCH(A1938,$A$4:$A$2403,0)=ROW()-3,1,0))</f>
        <v>0</v>
      </c>
      <c r="C1938">
        <f>N(C1937)+B1938</f>
        <v>26</v>
      </c>
      <c r="K1938">
        <f>IF(OR($K$1="",对接源_02物料!$C738="",对接源_02物料!$C738&lt;&gt;$K$1,对接源_02物料!$B738=""),0,IF(OR(N(对接源_02物料!$B738)&lt;$K$2,N(对接源_02物料!$B738)&gt;$K$3),0,1))</f>
        <v>0</v>
      </c>
      <c r="L1938">
        <f>IF(OR($L$1="",对接源_02物料!$C738="",对接源_02物料!$C738&lt;&gt;$L$1,对接源_02物料!$B738=""),0,IF(OR(N(对接源_02物料!$B738)&lt;$L$2,N(对接源_02物料!$B738)&gt;$L$3),0,1))</f>
        <v>0</v>
      </c>
      <c r="M1938">
        <f>IF(OR($M$1="",对接源_02物料!$C738="",对接源_02物料!$C738&lt;&gt;$M$1,对接源_02物料!$B738=""),0,IF(OR(N(对接源_02物料!$B738)&lt;$M$2,N(对接源_02物料!$B738)&gt;$M$3),0,1))</f>
        <v>0</v>
      </c>
      <c r="N1938">
        <f>IF(OR($N$1="",对接源_02物料!$C738="",对接源_02物料!$C738&lt;&gt;$N$1,对接源_02物料!$B738=""),0,IF(OR(N(对接源_02物料!$B738)&lt;$N$2,N(对接源_02物料!$B738)&gt;$N$3),0,1))</f>
        <v>0</v>
      </c>
      <c r="P1938">
        <f>IF(AND($K1938=1,AND(对接源_02物料!$X738="公司筐",N(对接源_02物料!$T738)&lt;&gt;0)),1,0)</f>
        <v>0</v>
      </c>
      <c r="Q1938">
        <f>N(Q1937)+$P1938</f>
        <v>14</v>
      </c>
      <c r="R1938">
        <f>IF(AND($K1938=1,AND(对接源_02物料!$X738="公司筐",N(对接源_02物料!$U738)&lt;&gt;0)),1,0)</f>
        <v>0</v>
      </c>
      <c r="S1938">
        <f>N(S1937)+$R1938</f>
        <v>1</v>
      </c>
      <c r="T1938">
        <f>IF(AND($K1938=1,AND(对接源_02物料!$X738="公司筐",N(对接源_02物料!$V738)&lt;&gt;0)),1,0)</f>
        <v>0</v>
      </c>
      <c r="U1938">
        <f>N(U1937)+$T1938</f>
        <v>47</v>
      </c>
      <c r="V1938">
        <f>IF(AND($L1938=1,AND(对接源_02物料!$X738="自备筐",N(对接源_02物料!$V738)&lt;&gt;0)),1,0)</f>
        <v>0</v>
      </c>
      <c r="W1938">
        <f>N(W1937)+$V1938</f>
        <v>11</v>
      </c>
      <c r="X1938">
        <f>IF(AND($L1938=1,AND(对接源_02物料!$X738="自备筐",N(对接源_02物料!$T738)&lt;&gt;0)),1,0)</f>
        <v>0</v>
      </c>
      <c r="Y1938">
        <f>N(Y1937)+$X1938</f>
        <v>0</v>
      </c>
      <c r="Z1938">
        <f>IF(AND($M1938=1,对接源_02物料!$D738="原料入库"),1,0)</f>
        <v>0</v>
      </c>
      <c r="AA1938">
        <f>N(AA1937)+$Z1938</f>
        <v>24</v>
      </c>
      <c r="AB1938">
        <f>IF(AND($M1938=1,LEFT(对接源_02物料!$D738,4)="原料出库"),1,0)</f>
        <v>0</v>
      </c>
      <c r="AC1938">
        <f>N(AC1937)+$AB1938</f>
        <v>0</v>
      </c>
      <c r="AD1938">
        <f>IF(AND($M1938=1,LEFT(对接源_02物料!$D738,4)="成品出库"),1,0)</f>
        <v>0</v>
      </c>
      <c r="AE1938">
        <f>N(AE1937)+$AD1938</f>
        <v>0</v>
      </c>
      <c r="AF1938">
        <f>IF(AND($N1938=1,AND(LEFT(对接源_02物料!$D738,4)="包装物料",N(对接源_02物料!$K738)&lt;&gt;0)),1,0)</f>
        <v>0</v>
      </c>
      <c r="AG1938">
        <f>N(AG1937)+$AF1938</f>
        <v>10</v>
      </c>
      <c r="AH1938">
        <f>IF(AND($N1938=1,AND(对接源_02物料!$D738="周转筐－销售出库",N(对接源_02物料!$K738)&lt;&gt;0)),1,0)</f>
        <v>0</v>
      </c>
      <c r="AI1938">
        <f>N(AI1937)+$AH1938</f>
        <v>0</v>
      </c>
      <c r="AL1938" t="n">
        <v>0</v>
      </c>
      <c r="AM1938">
        <f>N(AM1937)+$AL1938</f>
        <v>2</v>
      </c>
      <c r="AN1938">
        <f>""</f>
      </c>
      <c r="AO1938" t="n">
        <v>0</v>
      </c>
      <c r="AP1938">
        <f>N(AP1937)+$AO1938</f>
        <v>13</v>
      </c>
      <c r="AR1938">
        <f>IF(OR($AF1938=1,$AH1938=1),1,0)</f>
        <v>0</v>
      </c>
      <c r="AS1938">
        <f>N(AS1937)+$AR1938</f>
        <v>10</v>
      </c>
    </row>
    <row r="1939" s="127">
      <c r="A1939">
        <f>IF(对接源_02物料!$C739="","",对接源_02物料!$C739)</f>
      </c>
      <c r="B1939">
        <f>IF(A1939="",0,IF(MATCH(A1939,$A$4:$A$2403,0)=ROW()-3,1,0))</f>
        <v>0</v>
      </c>
      <c r="C1939">
        <f>N(C1938)+B1939</f>
        <v>26</v>
      </c>
      <c r="K1939">
        <f>IF(OR($K$1="",对接源_02物料!$C739="",对接源_02物料!$C739&lt;&gt;$K$1,对接源_02物料!$B739=""),0,IF(OR(N(对接源_02物料!$B739)&lt;$K$2,N(对接源_02物料!$B739)&gt;$K$3),0,1))</f>
        <v>0</v>
      </c>
      <c r="L1939">
        <f>IF(OR($L$1="",对接源_02物料!$C739="",对接源_02物料!$C739&lt;&gt;$L$1,对接源_02物料!$B739=""),0,IF(OR(N(对接源_02物料!$B739)&lt;$L$2,N(对接源_02物料!$B739)&gt;$L$3),0,1))</f>
        <v>0</v>
      </c>
      <c r="M1939">
        <f>IF(OR($M$1="",对接源_02物料!$C739="",对接源_02物料!$C739&lt;&gt;$M$1,对接源_02物料!$B739=""),0,IF(OR(N(对接源_02物料!$B739)&lt;$M$2,N(对接源_02物料!$B739)&gt;$M$3),0,1))</f>
        <v>0</v>
      </c>
      <c r="N1939">
        <f>IF(OR($N$1="",对接源_02物料!$C739="",对接源_02物料!$C739&lt;&gt;$N$1,对接源_02物料!$B739=""),0,IF(OR(N(对接源_02物料!$B739)&lt;$N$2,N(对接源_02物料!$B739)&gt;$N$3),0,1))</f>
        <v>0</v>
      </c>
      <c r="P1939">
        <f>IF(AND($K1939=1,AND(对接源_02物料!$X739="公司筐",N(对接源_02物料!$T739)&lt;&gt;0)),1,0)</f>
        <v>0</v>
      </c>
      <c r="Q1939">
        <f>N(Q1938)+$P1939</f>
        <v>14</v>
      </c>
      <c r="R1939">
        <f>IF(AND($K1939=1,AND(对接源_02物料!$X739="公司筐",N(对接源_02物料!$U739)&lt;&gt;0)),1,0)</f>
        <v>0</v>
      </c>
      <c r="S1939">
        <f>N(S1938)+$R1939</f>
        <v>1</v>
      </c>
      <c r="T1939">
        <f>IF(AND($K1939=1,AND(对接源_02物料!$X739="公司筐",N(对接源_02物料!$V739)&lt;&gt;0)),1,0)</f>
        <v>0</v>
      </c>
      <c r="U1939">
        <f>N(U1938)+$T1939</f>
        <v>47</v>
      </c>
      <c r="V1939">
        <f>IF(AND($L1939=1,AND(对接源_02物料!$X739="自备筐",N(对接源_02物料!$V739)&lt;&gt;0)),1,0)</f>
        <v>0</v>
      </c>
      <c r="W1939">
        <f>N(W1938)+$V1939</f>
        <v>11</v>
      </c>
      <c r="X1939">
        <f>IF(AND($L1939=1,AND(对接源_02物料!$X739="自备筐",N(对接源_02物料!$T739)&lt;&gt;0)),1,0)</f>
        <v>0</v>
      </c>
      <c r="Y1939">
        <f>N(Y1938)+$X1939</f>
        <v>0</v>
      </c>
      <c r="Z1939">
        <f>IF(AND($M1939=1,对接源_02物料!$D739="原料入库"),1,0)</f>
        <v>0</v>
      </c>
      <c r="AA1939">
        <f>N(AA1938)+$Z1939</f>
        <v>24</v>
      </c>
      <c r="AB1939">
        <f>IF(AND($M1939=1,LEFT(对接源_02物料!$D739,4)="原料出库"),1,0)</f>
        <v>0</v>
      </c>
      <c r="AC1939">
        <f>N(AC1938)+$AB1939</f>
        <v>0</v>
      </c>
      <c r="AD1939">
        <f>IF(AND($M1939=1,LEFT(对接源_02物料!$D739,4)="成品出库"),1,0)</f>
        <v>0</v>
      </c>
      <c r="AE1939">
        <f>N(AE1938)+$AD1939</f>
        <v>0</v>
      </c>
      <c r="AF1939">
        <f>IF(AND($N1939=1,AND(LEFT(对接源_02物料!$D739,4)="包装物料",N(对接源_02物料!$K739)&lt;&gt;0)),1,0)</f>
        <v>0</v>
      </c>
      <c r="AG1939">
        <f>N(AG1938)+$AF1939</f>
        <v>10</v>
      </c>
      <c r="AH1939">
        <f>IF(AND($N1939=1,AND(对接源_02物料!$D739="周转筐－销售出库",N(对接源_02物料!$K739)&lt;&gt;0)),1,0)</f>
        <v>0</v>
      </c>
      <c r="AI1939">
        <f>N(AI1938)+$AH1939</f>
        <v>0</v>
      </c>
      <c r="AL1939" t="n">
        <v>0</v>
      </c>
      <c r="AM1939">
        <f>N(AM1938)+$AL1939</f>
        <v>2</v>
      </c>
      <c r="AN1939">
        <f>""</f>
      </c>
      <c r="AO1939" t="n">
        <v>0</v>
      </c>
      <c r="AP1939">
        <f>N(AP1938)+$AO1939</f>
        <v>13</v>
      </c>
      <c r="AR1939">
        <f>IF(OR($AF1939=1,$AH1939=1),1,0)</f>
        <v>0</v>
      </c>
      <c r="AS1939">
        <f>N(AS1938)+$AR1939</f>
        <v>10</v>
      </c>
    </row>
    <row r="1940" s="127">
      <c r="A1940">
        <f>IF(对接源_02物料!$C740="","",对接源_02物料!$C740)</f>
      </c>
      <c r="B1940">
        <f>IF(A1940="",0,IF(MATCH(A1940,$A$4:$A$2403,0)=ROW()-3,1,0))</f>
        <v>0</v>
      </c>
      <c r="C1940">
        <f>N(C1939)+B1940</f>
        <v>26</v>
      </c>
      <c r="K1940">
        <f>IF(OR($K$1="",对接源_02物料!$C740="",对接源_02物料!$C740&lt;&gt;$K$1,对接源_02物料!$B740=""),0,IF(OR(N(对接源_02物料!$B740)&lt;$K$2,N(对接源_02物料!$B740)&gt;$K$3),0,1))</f>
        <v>0</v>
      </c>
      <c r="L1940">
        <f>IF(OR($L$1="",对接源_02物料!$C740="",对接源_02物料!$C740&lt;&gt;$L$1,对接源_02物料!$B740=""),0,IF(OR(N(对接源_02物料!$B740)&lt;$L$2,N(对接源_02物料!$B740)&gt;$L$3),0,1))</f>
        <v>0</v>
      </c>
      <c r="M1940">
        <f>IF(OR($M$1="",对接源_02物料!$C740="",对接源_02物料!$C740&lt;&gt;$M$1,对接源_02物料!$B740=""),0,IF(OR(N(对接源_02物料!$B740)&lt;$M$2,N(对接源_02物料!$B740)&gt;$M$3),0,1))</f>
        <v>0</v>
      </c>
      <c r="N1940">
        <f>IF(OR($N$1="",对接源_02物料!$C740="",对接源_02物料!$C740&lt;&gt;$N$1,对接源_02物料!$B740=""),0,IF(OR(N(对接源_02物料!$B740)&lt;$N$2,N(对接源_02物料!$B740)&gt;$N$3),0,1))</f>
        <v>0</v>
      </c>
      <c r="P1940">
        <f>IF(AND($K1940=1,AND(对接源_02物料!$X740="公司筐",N(对接源_02物料!$T740)&lt;&gt;0)),1,0)</f>
        <v>0</v>
      </c>
      <c r="Q1940">
        <f>N(Q1939)+$P1940</f>
        <v>14</v>
      </c>
      <c r="R1940">
        <f>IF(AND($K1940=1,AND(对接源_02物料!$X740="公司筐",N(对接源_02物料!$U740)&lt;&gt;0)),1,0)</f>
        <v>0</v>
      </c>
      <c r="S1940">
        <f>N(S1939)+$R1940</f>
        <v>1</v>
      </c>
      <c r="T1940">
        <f>IF(AND($K1940=1,AND(对接源_02物料!$X740="公司筐",N(对接源_02物料!$V740)&lt;&gt;0)),1,0)</f>
        <v>0</v>
      </c>
      <c r="U1940">
        <f>N(U1939)+$T1940</f>
        <v>47</v>
      </c>
      <c r="V1940">
        <f>IF(AND($L1940=1,AND(对接源_02物料!$X740="自备筐",N(对接源_02物料!$V740)&lt;&gt;0)),1,0)</f>
        <v>0</v>
      </c>
      <c r="W1940">
        <f>N(W1939)+$V1940</f>
        <v>11</v>
      </c>
      <c r="X1940">
        <f>IF(AND($L1940=1,AND(对接源_02物料!$X740="自备筐",N(对接源_02物料!$T740)&lt;&gt;0)),1,0)</f>
        <v>0</v>
      </c>
      <c r="Y1940">
        <f>N(Y1939)+$X1940</f>
        <v>0</v>
      </c>
      <c r="Z1940">
        <f>IF(AND($M1940=1,对接源_02物料!$D740="原料入库"),1,0)</f>
        <v>0</v>
      </c>
      <c r="AA1940">
        <f>N(AA1939)+$Z1940</f>
        <v>24</v>
      </c>
      <c r="AB1940">
        <f>IF(AND($M1940=1,LEFT(对接源_02物料!$D740,4)="原料出库"),1,0)</f>
        <v>0</v>
      </c>
      <c r="AC1940">
        <f>N(AC1939)+$AB1940</f>
        <v>0</v>
      </c>
      <c r="AD1940">
        <f>IF(AND($M1940=1,LEFT(对接源_02物料!$D740,4)="成品出库"),1,0)</f>
        <v>0</v>
      </c>
      <c r="AE1940">
        <f>N(AE1939)+$AD1940</f>
        <v>0</v>
      </c>
      <c r="AF1940">
        <f>IF(AND($N1940=1,AND(LEFT(对接源_02物料!$D740,4)="包装物料",N(对接源_02物料!$K740)&lt;&gt;0)),1,0)</f>
        <v>0</v>
      </c>
      <c r="AG1940">
        <f>N(AG1939)+$AF1940</f>
        <v>10</v>
      </c>
      <c r="AH1940">
        <f>IF(AND($N1940=1,AND(对接源_02物料!$D740="周转筐－销售出库",N(对接源_02物料!$K740)&lt;&gt;0)),1,0)</f>
        <v>0</v>
      </c>
      <c r="AI1940">
        <f>N(AI1939)+$AH1940</f>
        <v>0</v>
      </c>
      <c r="AL1940" t="n">
        <v>0</v>
      </c>
      <c r="AM1940">
        <f>N(AM1939)+$AL1940</f>
        <v>2</v>
      </c>
      <c r="AN1940">
        <f>""</f>
      </c>
      <c r="AO1940" t="n">
        <v>0</v>
      </c>
      <c r="AP1940">
        <f>N(AP1939)+$AO1940</f>
        <v>13</v>
      </c>
      <c r="AR1940">
        <f>IF(OR($AF1940=1,$AH1940=1),1,0)</f>
        <v>0</v>
      </c>
      <c r="AS1940">
        <f>N(AS1939)+$AR1940</f>
        <v>10</v>
      </c>
    </row>
    <row r="1941" s="127">
      <c r="A1941">
        <f>IF(对接源_02物料!$C741="","",对接源_02物料!$C741)</f>
      </c>
      <c r="B1941">
        <f>IF(A1941="",0,IF(MATCH(A1941,$A$4:$A$2403,0)=ROW()-3,1,0))</f>
        <v>0</v>
      </c>
      <c r="C1941">
        <f>N(C1940)+B1941</f>
        <v>26</v>
      </c>
      <c r="K1941">
        <f>IF(OR($K$1="",对接源_02物料!$C741="",对接源_02物料!$C741&lt;&gt;$K$1,对接源_02物料!$B741=""),0,IF(OR(N(对接源_02物料!$B741)&lt;$K$2,N(对接源_02物料!$B741)&gt;$K$3),0,1))</f>
        <v>0</v>
      </c>
      <c r="L1941">
        <f>IF(OR($L$1="",对接源_02物料!$C741="",对接源_02物料!$C741&lt;&gt;$L$1,对接源_02物料!$B741=""),0,IF(OR(N(对接源_02物料!$B741)&lt;$L$2,N(对接源_02物料!$B741)&gt;$L$3),0,1))</f>
        <v>0</v>
      </c>
      <c r="M1941">
        <f>IF(OR($M$1="",对接源_02物料!$C741="",对接源_02物料!$C741&lt;&gt;$M$1,对接源_02物料!$B741=""),0,IF(OR(N(对接源_02物料!$B741)&lt;$M$2,N(对接源_02物料!$B741)&gt;$M$3),0,1))</f>
        <v>0</v>
      </c>
      <c r="N1941">
        <f>IF(OR($N$1="",对接源_02物料!$C741="",对接源_02物料!$C741&lt;&gt;$N$1,对接源_02物料!$B741=""),0,IF(OR(N(对接源_02物料!$B741)&lt;$N$2,N(对接源_02物料!$B741)&gt;$N$3),0,1))</f>
        <v>0</v>
      </c>
      <c r="P1941">
        <f>IF(AND($K1941=1,AND(对接源_02物料!$X741="公司筐",N(对接源_02物料!$T741)&lt;&gt;0)),1,0)</f>
        <v>0</v>
      </c>
      <c r="Q1941">
        <f>N(Q1940)+$P1941</f>
        <v>14</v>
      </c>
      <c r="R1941">
        <f>IF(AND($K1941=1,AND(对接源_02物料!$X741="公司筐",N(对接源_02物料!$U741)&lt;&gt;0)),1,0)</f>
        <v>0</v>
      </c>
      <c r="S1941">
        <f>N(S1940)+$R1941</f>
        <v>1</v>
      </c>
      <c r="T1941">
        <f>IF(AND($K1941=1,AND(对接源_02物料!$X741="公司筐",N(对接源_02物料!$V741)&lt;&gt;0)),1,0)</f>
        <v>0</v>
      </c>
      <c r="U1941">
        <f>N(U1940)+$T1941</f>
        <v>47</v>
      </c>
      <c r="V1941">
        <f>IF(AND($L1941=1,AND(对接源_02物料!$X741="自备筐",N(对接源_02物料!$V741)&lt;&gt;0)),1,0)</f>
        <v>0</v>
      </c>
      <c r="W1941">
        <f>N(W1940)+$V1941</f>
        <v>11</v>
      </c>
      <c r="X1941">
        <f>IF(AND($L1941=1,AND(对接源_02物料!$X741="自备筐",N(对接源_02物料!$T741)&lt;&gt;0)),1,0)</f>
        <v>0</v>
      </c>
      <c r="Y1941">
        <f>N(Y1940)+$X1941</f>
        <v>0</v>
      </c>
      <c r="Z1941">
        <f>IF(AND($M1941=1,对接源_02物料!$D741="原料入库"),1,0)</f>
        <v>0</v>
      </c>
      <c r="AA1941">
        <f>N(AA1940)+$Z1941</f>
        <v>24</v>
      </c>
      <c r="AB1941">
        <f>IF(AND($M1941=1,LEFT(对接源_02物料!$D741,4)="原料出库"),1,0)</f>
        <v>0</v>
      </c>
      <c r="AC1941">
        <f>N(AC1940)+$AB1941</f>
        <v>0</v>
      </c>
      <c r="AD1941">
        <f>IF(AND($M1941=1,LEFT(对接源_02物料!$D741,4)="成品出库"),1,0)</f>
        <v>0</v>
      </c>
      <c r="AE1941">
        <f>N(AE1940)+$AD1941</f>
        <v>0</v>
      </c>
      <c r="AF1941">
        <f>IF(AND($N1941=1,AND(LEFT(对接源_02物料!$D741,4)="包装物料",N(对接源_02物料!$K741)&lt;&gt;0)),1,0)</f>
        <v>0</v>
      </c>
      <c r="AG1941">
        <f>N(AG1940)+$AF1941</f>
        <v>10</v>
      </c>
      <c r="AH1941">
        <f>IF(AND($N1941=1,AND(对接源_02物料!$D741="周转筐－销售出库",N(对接源_02物料!$K741)&lt;&gt;0)),1,0)</f>
        <v>0</v>
      </c>
      <c r="AI1941">
        <f>N(AI1940)+$AH1941</f>
        <v>0</v>
      </c>
      <c r="AL1941" t="n">
        <v>0</v>
      </c>
      <c r="AM1941">
        <f>N(AM1940)+$AL1941</f>
        <v>2</v>
      </c>
      <c r="AN1941">
        <f>""</f>
      </c>
      <c r="AO1941" t="n">
        <v>0</v>
      </c>
      <c r="AP1941">
        <f>N(AP1940)+$AO1941</f>
        <v>13</v>
      </c>
      <c r="AR1941">
        <f>IF(OR($AF1941=1,$AH1941=1),1,0)</f>
        <v>0</v>
      </c>
      <c r="AS1941">
        <f>N(AS1940)+$AR1941</f>
        <v>10</v>
      </c>
    </row>
    <row r="1942" s="127">
      <c r="A1942">
        <f>IF(对接源_02物料!$C742="","",对接源_02物料!$C742)</f>
      </c>
      <c r="B1942">
        <f>IF(A1942="",0,IF(MATCH(A1942,$A$4:$A$2403,0)=ROW()-3,1,0))</f>
        <v>0</v>
      </c>
      <c r="C1942">
        <f>N(C1941)+B1942</f>
        <v>26</v>
      </c>
      <c r="K1942">
        <f>IF(OR($K$1="",对接源_02物料!$C742="",对接源_02物料!$C742&lt;&gt;$K$1,对接源_02物料!$B742=""),0,IF(OR(N(对接源_02物料!$B742)&lt;$K$2,N(对接源_02物料!$B742)&gt;$K$3),0,1))</f>
        <v>0</v>
      </c>
      <c r="L1942">
        <f>IF(OR($L$1="",对接源_02物料!$C742="",对接源_02物料!$C742&lt;&gt;$L$1,对接源_02物料!$B742=""),0,IF(OR(N(对接源_02物料!$B742)&lt;$L$2,N(对接源_02物料!$B742)&gt;$L$3),0,1))</f>
        <v>0</v>
      </c>
      <c r="M1942">
        <f>IF(OR($M$1="",对接源_02物料!$C742="",对接源_02物料!$C742&lt;&gt;$M$1,对接源_02物料!$B742=""),0,IF(OR(N(对接源_02物料!$B742)&lt;$M$2,N(对接源_02物料!$B742)&gt;$M$3),0,1))</f>
        <v>0</v>
      </c>
      <c r="N1942">
        <f>IF(OR($N$1="",对接源_02物料!$C742="",对接源_02物料!$C742&lt;&gt;$N$1,对接源_02物料!$B742=""),0,IF(OR(N(对接源_02物料!$B742)&lt;$N$2,N(对接源_02物料!$B742)&gt;$N$3),0,1))</f>
        <v>0</v>
      </c>
      <c r="P1942">
        <f>IF(AND($K1942=1,AND(对接源_02物料!$X742="公司筐",N(对接源_02物料!$T742)&lt;&gt;0)),1,0)</f>
        <v>0</v>
      </c>
      <c r="Q1942">
        <f>N(Q1941)+$P1942</f>
        <v>14</v>
      </c>
      <c r="R1942">
        <f>IF(AND($K1942=1,AND(对接源_02物料!$X742="公司筐",N(对接源_02物料!$U742)&lt;&gt;0)),1,0)</f>
        <v>0</v>
      </c>
      <c r="S1942">
        <f>N(S1941)+$R1942</f>
        <v>1</v>
      </c>
      <c r="T1942">
        <f>IF(AND($K1942=1,AND(对接源_02物料!$X742="公司筐",N(对接源_02物料!$V742)&lt;&gt;0)),1,0)</f>
        <v>0</v>
      </c>
      <c r="U1942">
        <f>N(U1941)+$T1942</f>
        <v>47</v>
      </c>
      <c r="V1942">
        <f>IF(AND($L1942=1,AND(对接源_02物料!$X742="自备筐",N(对接源_02物料!$V742)&lt;&gt;0)),1,0)</f>
        <v>0</v>
      </c>
      <c r="W1942">
        <f>N(W1941)+$V1942</f>
        <v>11</v>
      </c>
      <c r="X1942">
        <f>IF(AND($L1942=1,AND(对接源_02物料!$X742="自备筐",N(对接源_02物料!$T742)&lt;&gt;0)),1,0)</f>
        <v>0</v>
      </c>
      <c r="Y1942">
        <f>N(Y1941)+$X1942</f>
        <v>0</v>
      </c>
      <c r="Z1942">
        <f>IF(AND($M1942=1,对接源_02物料!$D742="原料入库"),1,0)</f>
        <v>0</v>
      </c>
      <c r="AA1942">
        <f>N(AA1941)+$Z1942</f>
        <v>24</v>
      </c>
      <c r="AB1942">
        <f>IF(AND($M1942=1,LEFT(对接源_02物料!$D742,4)="原料出库"),1,0)</f>
        <v>0</v>
      </c>
      <c r="AC1942">
        <f>N(AC1941)+$AB1942</f>
        <v>0</v>
      </c>
      <c r="AD1942">
        <f>IF(AND($M1942=1,LEFT(对接源_02物料!$D742,4)="成品出库"),1,0)</f>
        <v>0</v>
      </c>
      <c r="AE1942">
        <f>N(AE1941)+$AD1942</f>
        <v>0</v>
      </c>
      <c r="AF1942">
        <f>IF(AND($N1942=1,AND(LEFT(对接源_02物料!$D742,4)="包装物料",N(对接源_02物料!$K742)&lt;&gt;0)),1,0)</f>
        <v>0</v>
      </c>
      <c r="AG1942">
        <f>N(AG1941)+$AF1942</f>
        <v>10</v>
      </c>
      <c r="AH1942">
        <f>IF(AND($N1942=1,AND(对接源_02物料!$D742="周转筐－销售出库",N(对接源_02物料!$K742)&lt;&gt;0)),1,0)</f>
        <v>0</v>
      </c>
      <c r="AI1942">
        <f>N(AI1941)+$AH1942</f>
        <v>0</v>
      </c>
      <c r="AL1942" t="n">
        <v>0</v>
      </c>
      <c r="AM1942">
        <f>N(AM1941)+$AL1942</f>
        <v>2</v>
      </c>
      <c r="AN1942">
        <f>""</f>
      </c>
      <c r="AO1942" t="n">
        <v>0</v>
      </c>
      <c r="AP1942">
        <f>N(AP1941)+$AO1942</f>
        <v>13</v>
      </c>
      <c r="AR1942">
        <f>IF(OR($AF1942=1,$AH1942=1),1,0)</f>
        <v>0</v>
      </c>
      <c r="AS1942">
        <f>N(AS1941)+$AR1942</f>
        <v>10</v>
      </c>
    </row>
    <row r="1943" s="127">
      <c r="A1943">
        <f>IF(对接源_02物料!$C743="","",对接源_02物料!$C743)</f>
      </c>
      <c r="B1943">
        <f>IF(A1943="",0,IF(MATCH(A1943,$A$4:$A$2403,0)=ROW()-3,1,0))</f>
        <v>0</v>
      </c>
      <c r="C1943">
        <f>N(C1942)+B1943</f>
        <v>26</v>
      </c>
      <c r="K1943">
        <f>IF(OR($K$1="",对接源_02物料!$C743="",对接源_02物料!$C743&lt;&gt;$K$1,对接源_02物料!$B743=""),0,IF(OR(N(对接源_02物料!$B743)&lt;$K$2,N(对接源_02物料!$B743)&gt;$K$3),0,1))</f>
        <v>0</v>
      </c>
      <c r="L1943">
        <f>IF(OR($L$1="",对接源_02物料!$C743="",对接源_02物料!$C743&lt;&gt;$L$1,对接源_02物料!$B743=""),0,IF(OR(N(对接源_02物料!$B743)&lt;$L$2,N(对接源_02物料!$B743)&gt;$L$3),0,1))</f>
        <v>0</v>
      </c>
      <c r="M1943">
        <f>IF(OR($M$1="",对接源_02物料!$C743="",对接源_02物料!$C743&lt;&gt;$M$1,对接源_02物料!$B743=""),0,IF(OR(N(对接源_02物料!$B743)&lt;$M$2,N(对接源_02物料!$B743)&gt;$M$3),0,1))</f>
        <v>0</v>
      </c>
      <c r="N1943">
        <f>IF(OR($N$1="",对接源_02物料!$C743="",对接源_02物料!$C743&lt;&gt;$N$1,对接源_02物料!$B743=""),0,IF(OR(N(对接源_02物料!$B743)&lt;$N$2,N(对接源_02物料!$B743)&gt;$N$3),0,1))</f>
        <v>0</v>
      </c>
      <c r="P1943">
        <f>IF(AND($K1943=1,AND(对接源_02物料!$X743="公司筐",N(对接源_02物料!$T743)&lt;&gt;0)),1,0)</f>
        <v>0</v>
      </c>
      <c r="Q1943">
        <f>N(Q1942)+$P1943</f>
        <v>14</v>
      </c>
      <c r="R1943">
        <f>IF(AND($K1943=1,AND(对接源_02物料!$X743="公司筐",N(对接源_02物料!$U743)&lt;&gt;0)),1,0)</f>
        <v>0</v>
      </c>
      <c r="S1943">
        <f>N(S1942)+$R1943</f>
        <v>1</v>
      </c>
      <c r="T1943">
        <f>IF(AND($K1943=1,AND(对接源_02物料!$X743="公司筐",N(对接源_02物料!$V743)&lt;&gt;0)),1,0)</f>
        <v>0</v>
      </c>
      <c r="U1943">
        <f>N(U1942)+$T1943</f>
        <v>47</v>
      </c>
      <c r="V1943">
        <f>IF(AND($L1943=1,AND(对接源_02物料!$X743="自备筐",N(对接源_02物料!$V743)&lt;&gt;0)),1,0)</f>
        <v>0</v>
      </c>
      <c r="W1943">
        <f>N(W1942)+$V1943</f>
        <v>11</v>
      </c>
      <c r="X1943">
        <f>IF(AND($L1943=1,AND(对接源_02物料!$X743="自备筐",N(对接源_02物料!$T743)&lt;&gt;0)),1,0)</f>
        <v>0</v>
      </c>
      <c r="Y1943">
        <f>N(Y1942)+$X1943</f>
        <v>0</v>
      </c>
      <c r="Z1943">
        <f>IF(AND($M1943=1,对接源_02物料!$D743="原料入库"),1,0)</f>
        <v>0</v>
      </c>
      <c r="AA1943">
        <f>N(AA1942)+$Z1943</f>
        <v>24</v>
      </c>
      <c r="AB1943">
        <f>IF(AND($M1943=1,LEFT(对接源_02物料!$D743,4)="原料出库"),1,0)</f>
        <v>0</v>
      </c>
      <c r="AC1943">
        <f>N(AC1942)+$AB1943</f>
        <v>0</v>
      </c>
      <c r="AD1943">
        <f>IF(AND($M1943=1,LEFT(对接源_02物料!$D743,4)="成品出库"),1,0)</f>
        <v>0</v>
      </c>
      <c r="AE1943">
        <f>N(AE1942)+$AD1943</f>
        <v>0</v>
      </c>
      <c r="AF1943">
        <f>IF(AND($N1943=1,AND(LEFT(对接源_02物料!$D743,4)="包装物料",N(对接源_02物料!$K743)&lt;&gt;0)),1,0)</f>
        <v>0</v>
      </c>
      <c r="AG1943">
        <f>N(AG1942)+$AF1943</f>
        <v>10</v>
      </c>
      <c r="AH1943">
        <f>IF(AND($N1943=1,AND(对接源_02物料!$D743="周转筐－销售出库",N(对接源_02物料!$K743)&lt;&gt;0)),1,0)</f>
        <v>0</v>
      </c>
      <c r="AI1943">
        <f>N(AI1942)+$AH1943</f>
        <v>0</v>
      </c>
      <c r="AL1943" t="n">
        <v>0</v>
      </c>
      <c r="AM1943">
        <f>N(AM1942)+$AL1943</f>
        <v>2</v>
      </c>
      <c r="AN1943">
        <f>""</f>
      </c>
      <c r="AO1943" t="n">
        <v>0</v>
      </c>
      <c r="AP1943">
        <f>N(AP1942)+$AO1943</f>
        <v>13</v>
      </c>
      <c r="AR1943">
        <f>IF(OR($AF1943=1,$AH1943=1),1,0)</f>
        <v>0</v>
      </c>
      <c r="AS1943">
        <f>N(AS1942)+$AR1943</f>
        <v>10</v>
      </c>
    </row>
    <row r="1944" s="127">
      <c r="A1944">
        <f>IF(对接源_02物料!$C744="","",对接源_02物料!$C744)</f>
      </c>
      <c r="B1944">
        <f>IF(A1944="",0,IF(MATCH(A1944,$A$4:$A$2403,0)=ROW()-3,1,0))</f>
        <v>0</v>
      </c>
      <c r="C1944">
        <f>N(C1943)+B1944</f>
        <v>26</v>
      </c>
      <c r="K1944">
        <f>IF(OR($K$1="",对接源_02物料!$C744="",对接源_02物料!$C744&lt;&gt;$K$1,对接源_02物料!$B744=""),0,IF(OR(N(对接源_02物料!$B744)&lt;$K$2,N(对接源_02物料!$B744)&gt;$K$3),0,1))</f>
        <v>0</v>
      </c>
      <c r="L1944">
        <f>IF(OR($L$1="",对接源_02物料!$C744="",对接源_02物料!$C744&lt;&gt;$L$1,对接源_02物料!$B744=""),0,IF(OR(N(对接源_02物料!$B744)&lt;$L$2,N(对接源_02物料!$B744)&gt;$L$3),0,1))</f>
        <v>0</v>
      </c>
      <c r="M1944">
        <f>IF(OR($M$1="",对接源_02物料!$C744="",对接源_02物料!$C744&lt;&gt;$M$1,对接源_02物料!$B744=""),0,IF(OR(N(对接源_02物料!$B744)&lt;$M$2,N(对接源_02物料!$B744)&gt;$M$3),0,1))</f>
        <v>0</v>
      </c>
      <c r="N1944">
        <f>IF(OR($N$1="",对接源_02物料!$C744="",对接源_02物料!$C744&lt;&gt;$N$1,对接源_02物料!$B744=""),0,IF(OR(N(对接源_02物料!$B744)&lt;$N$2,N(对接源_02物料!$B744)&gt;$N$3),0,1))</f>
        <v>0</v>
      </c>
      <c r="P1944">
        <f>IF(AND($K1944=1,AND(对接源_02物料!$X744="公司筐",N(对接源_02物料!$T744)&lt;&gt;0)),1,0)</f>
        <v>0</v>
      </c>
      <c r="Q1944">
        <f>N(Q1943)+$P1944</f>
        <v>14</v>
      </c>
      <c r="R1944">
        <f>IF(AND($K1944=1,AND(对接源_02物料!$X744="公司筐",N(对接源_02物料!$U744)&lt;&gt;0)),1,0)</f>
        <v>0</v>
      </c>
      <c r="S1944">
        <f>N(S1943)+$R1944</f>
        <v>1</v>
      </c>
      <c r="T1944">
        <f>IF(AND($K1944=1,AND(对接源_02物料!$X744="公司筐",N(对接源_02物料!$V744)&lt;&gt;0)),1,0)</f>
        <v>0</v>
      </c>
      <c r="U1944">
        <f>N(U1943)+$T1944</f>
        <v>47</v>
      </c>
      <c r="V1944">
        <f>IF(AND($L1944=1,AND(对接源_02物料!$X744="自备筐",N(对接源_02物料!$V744)&lt;&gt;0)),1,0)</f>
        <v>0</v>
      </c>
      <c r="W1944">
        <f>N(W1943)+$V1944</f>
        <v>11</v>
      </c>
      <c r="X1944">
        <f>IF(AND($L1944=1,AND(对接源_02物料!$X744="自备筐",N(对接源_02物料!$T744)&lt;&gt;0)),1,0)</f>
        <v>0</v>
      </c>
      <c r="Y1944">
        <f>N(Y1943)+$X1944</f>
        <v>0</v>
      </c>
      <c r="Z1944">
        <f>IF(AND($M1944=1,对接源_02物料!$D744="原料入库"),1,0)</f>
        <v>0</v>
      </c>
      <c r="AA1944">
        <f>N(AA1943)+$Z1944</f>
        <v>24</v>
      </c>
      <c r="AB1944">
        <f>IF(AND($M1944=1,LEFT(对接源_02物料!$D744,4)="原料出库"),1,0)</f>
        <v>0</v>
      </c>
      <c r="AC1944">
        <f>N(AC1943)+$AB1944</f>
        <v>0</v>
      </c>
      <c r="AD1944">
        <f>IF(AND($M1944=1,LEFT(对接源_02物料!$D744,4)="成品出库"),1,0)</f>
        <v>0</v>
      </c>
      <c r="AE1944">
        <f>N(AE1943)+$AD1944</f>
        <v>0</v>
      </c>
      <c r="AF1944">
        <f>IF(AND($N1944=1,AND(LEFT(对接源_02物料!$D744,4)="包装物料",N(对接源_02物料!$K744)&lt;&gt;0)),1,0)</f>
        <v>0</v>
      </c>
      <c r="AG1944">
        <f>N(AG1943)+$AF1944</f>
        <v>10</v>
      </c>
      <c r="AH1944">
        <f>IF(AND($N1944=1,AND(对接源_02物料!$D744="周转筐－销售出库",N(对接源_02物料!$K744)&lt;&gt;0)),1,0)</f>
        <v>0</v>
      </c>
      <c r="AI1944">
        <f>N(AI1943)+$AH1944</f>
        <v>0</v>
      </c>
      <c r="AL1944" t="n">
        <v>0</v>
      </c>
      <c r="AM1944">
        <f>N(AM1943)+$AL1944</f>
        <v>2</v>
      </c>
      <c r="AN1944">
        <f>""</f>
      </c>
      <c r="AO1944" t="n">
        <v>0</v>
      </c>
      <c r="AP1944">
        <f>N(AP1943)+$AO1944</f>
        <v>13</v>
      </c>
      <c r="AR1944">
        <f>IF(OR($AF1944=1,$AH1944=1),1,0)</f>
        <v>0</v>
      </c>
      <c r="AS1944">
        <f>N(AS1943)+$AR1944</f>
        <v>10</v>
      </c>
    </row>
    <row r="1945" s="127">
      <c r="A1945">
        <f>IF(对接源_02物料!$C745="","",对接源_02物料!$C745)</f>
      </c>
      <c r="B1945">
        <f>IF(A1945="",0,IF(MATCH(A1945,$A$4:$A$2403,0)=ROW()-3,1,0))</f>
        <v>0</v>
      </c>
      <c r="C1945">
        <f>N(C1944)+B1945</f>
        <v>26</v>
      </c>
      <c r="K1945">
        <f>IF(OR($K$1="",对接源_02物料!$C745="",对接源_02物料!$C745&lt;&gt;$K$1,对接源_02物料!$B745=""),0,IF(OR(N(对接源_02物料!$B745)&lt;$K$2,N(对接源_02物料!$B745)&gt;$K$3),0,1))</f>
        <v>0</v>
      </c>
      <c r="L1945">
        <f>IF(OR($L$1="",对接源_02物料!$C745="",对接源_02物料!$C745&lt;&gt;$L$1,对接源_02物料!$B745=""),0,IF(OR(N(对接源_02物料!$B745)&lt;$L$2,N(对接源_02物料!$B745)&gt;$L$3),0,1))</f>
        <v>0</v>
      </c>
      <c r="M1945">
        <f>IF(OR($M$1="",对接源_02物料!$C745="",对接源_02物料!$C745&lt;&gt;$M$1,对接源_02物料!$B745=""),0,IF(OR(N(对接源_02物料!$B745)&lt;$M$2,N(对接源_02物料!$B745)&gt;$M$3),0,1))</f>
        <v>0</v>
      </c>
      <c r="N1945">
        <f>IF(OR($N$1="",对接源_02物料!$C745="",对接源_02物料!$C745&lt;&gt;$N$1,对接源_02物料!$B745=""),0,IF(OR(N(对接源_02物料!$B745)&lt;$N$2,N(对接源_02物料!$B745)&gt;$N$3),0,1))</f>
        <v>0</v>
      </c>
      <c r="P1945">
        <f>IF(AND($K1945=1,AND(对接源_02物料!$X745="公司筐",N(对接源_02物料!$T745)&lt;&gt;0)),1,0)</f>
        <v>0</v>
      </c>
      <c r="Q1945">
        <f>N(Q1944)+$P1945</f>
        <v>14</v>
      </c>
      <c r="R1945">
        <f>IF(AND($K1945=1,AND(对接源_02物料!$X745="公司筐",N(对接源_02物料!$U745)&lt;&gt;0)),1,0)</f>
        <v>0</v>
      </c>
      <c r="S1945">
        <f>N(S1944)+$R1945</f>
        <v>1</v>
      </c>
      <c r="T1945">
        <f>IF(AND($K1945=1,AND(对接源_02物料!$X745="公司筐",N(对接源_02物料!$V745)&lt;&gt;0)),1,0)</f>
        <v>0</v>
      </c>
      <c r="U1945">
        <f>N(U1944)+$T1945</f>
        <v>47</v>
      </c>
      <c r="V1945">
        <f>IF(AND($L1945=1,AND(对接源_02物料!$X745="自备筐",N(对接源_02物料!$V745)&lt;&gt;0)),1,0)</f>
        <v>0</v>
      </c>
      <c r="W1945">
        <f>N(W1944)+$V1945</f>
        <v>11</v>
      </c>
      <c r="X1945">
        <f>IF(AND($L1945=1,AND(对接源_02物料!$X745="自备筐",N(对接源_02物料!$T745)&lt;&gt;0)),1,0)</f>
        <v>0</v>
      </c>
      <c r="Y1945">
        <f>N(Y1944)+$X1945</f>
        <v>0</v>
      </c>
      <c r="Z1945">
        <f>IF(AND($M1945=1,对接源_02物料!$D745="原料入库"),1,0)</f>
        <v>0</v>
      </c>
      <c r="AA1945">
        <f>N(AA1944)+$Z1945</f>
        <v>24</v>
      </c>
      <c r="AB1945">
        <f>IF(AND($M1945=1,LEFT(对接源_02物料!$D745,4)="原料出库"),1,0)</f>
        <v>0</v>
      </c>
      <c r="AC1945">
        <f>N(AC1944)+$AB1945</f>
        <v>0</v>
      </c>
      <c r="AD1945">
        <f>IF(AND($M1945=1,LEFT(对接源_02物料!$D745,4)="成品出库"),1,0)</f>
        <v>0</v>
      </c>
      <c r="AE1945">
        <f>N(AE1944)+$AD1945</f>
        <v>0</v>
      </c>
      <c r="AF1945">
        <f>IF(AND($N1945=1,AND(LEFT(对接源_02物料!$D745,4)="包装物料",N(对接源_02物料!$K745)&lt;&gt;0)),1,0)</f>
        <v>0</v>
      </c>
      <c r="AG1945">
        <f>N(AG1944)+$AF1945</f>
        <v>10</v>
      </c>
      <c r="AH1945">
        <f>IF(AND($N1945=1,AND(对接源_02物料!$D745="周转筐－销售出库",N(对接源_02物料!$K745)&lt;&gt;0)),1,0)</f>
        <v>0</v>
      </c>
      <c r="AI1945">
        <f>N(AI1944)+$AH1945</f>
        <v>0</v>
      </c>
      <c r="AL1945" t="n">
        <v>0</v>
      </c>
      <c r="AM1945">
        <f>N(AM1944)+$AL1945</f>
        <v>2</v>
      </c>
      <c r="AN1945">
        <f>""</f>
      </c>
      <c r="AO1945" t="n">
        <v>0</v>
      </c>
      <c r="AP1945">
        <f>N(AP1944)+$AO1945</f>
        <v>13</v>
      </c>
      <c r="AR1945">
        <f>IF(OR($AF1945=1,$AH1945=1),1,0)</f>
        <v>0</v>
      </c>
      <c r="AS1945">
        <f>N(AS1944)+$AR1945</f>
        <v>10</v>
      </c>
    </row>
    <row r="1946" s="127">
      <c r="A1946">
        <f>IF(对接源_02物料!$C746="","",对接源_02物料!$C746)</f>
      </c>
      <c r="B1946">
        <f>IF(A1946="",0,IF(MATCH(A1946,$A$4:$A$2403,0)=ROW()-3,1,0))</f>
        <v>0</v>
      </c>
      <c r="C1946">
        <f>N(C1945)+B1946</f>
        <v>26</v>
      </c>
      <c r="K1946">
        <f>IF(OR($K$1="",对接源_02物料!$C746="",对接源_02物料!$C746&lt;&gt;$K$1,对接源_02物料!$B746=""),0,IF(OR(N(对接源_02物料!$B746)&lt;$K$2,N(对接源_02物料!$B746)&gt;$K$3),0,1))</f>
        <v>0</v>
      </c>
      <c r="L1946">
        <f>IF(OR($L$1="",对接源_02物料!$C746="",对接源_02物料!$C746&lt;&gt;$L$1,对接源_02物料!$B746=""),0,IF(OR(N(对接源_02物料!$B746)&lt;$L$2,N(对接源_02物料!$B746)&gt;$L$3),0,1))</f>
        <v>0</v>
      </c>
      <c r="M1946">
        <f>IF(OR($M$1="",对接源_02物料!$C746="",对接源_02物料!$C746&lt;&gt;$M$1,对接源_02物料!$B746=""),0,IF(OR(N(对接源_02物料!$B746)&lt;$M$2,N(对接源_02物料!$B746)&gt;$M$3),0,1))</f>
        <v>0</v>
      </c>
      <c r="N1946">
        <f>IF(OR($N$1="",对接源_02物料!$C746="",对接源_02物料!$C746&lt;&gt;$N$1,对接源_02物料!$B746=""),0,IF(OR(N(对接源_02物料!$B746)&lt;$N$2,N(对接源_02物料!$B746)&gt;$N$3),0,1))</f>
        <v>0</v>
      </c>
      <c r="P1946">
        <f>IF(AND($K1946=1,AND(对接源_02物料!$X746="公司筐",N(对接源_02物料!$T746)&lt;&gt;0)),1,0)</f>
        <v>0</v>
      </c>
      <c r="Q1946">
        <f>N(Q1945)+$P1946</f>
        <v>14</v>
      </c>
      <c r="R1946">
        <f>IF(AND($K1946=1,AND(对接源_02物料!$X746="公司筐",N(对接源_02物料!$U746)&lt;&gt;0)),1,0)</f>
        <v>0</v>
      </c>
      <c r="S1946">
        <f>N(S1945)+$R1946</f>
        <v>1</v>
      </c>
      <c r="T1946">
        <f>IF(AND($K1946=1,AND(对接源_02物料!$X746="公司筐",N(对接源_02物料!$V746)&lt;&gt;0)),1,0)</f>
        <v>0</v>
      </c>
      <c r="U1946">
        <f>N(U1945)+$T1946</f>
        <v>47</v>
      </c>
      <c r="V1946">
        <f>IF(AND($L1946=1,AND(对接源_02物料!$X746="自备筐",N(对接源_02物料!$V746)&lt;&gt;0)),1,0)</f>
        <v>0</v>
      </c>
      <c r="W1946">
        <f>N(W1945)+$V1946</f>
        <v>11</v>
      </c>
      <c r="X1946">
        <f>IF(AND($L1946=1,AND(对接源_02物料!$X746="自备筐",N(对接源_02物料!$T746)&lt;&gt;0)),1,0)</f>
        <v>0</v>
      </c>
      <c r="Y1946">
        <f>N(Y1945)+$X1946</f>
        <v>0</v>
      </c>
      <c r="Z1946">
        <f>IF(AND($M1946=1,对接源_02物料!$D746="原料入库"),1,0)</f>
        <v>0</v>
      </c>
      <c r="AA1946">
        <f>N(AA1945)+$Z1946</f>
        <v>24</v>
      </c>
      <c r="AB1946">
        <f>IF(AND($M1946=1,LEFT(对接源_02物料!$D746,4)="原料出库"),1,0)</f>
        <v>0</v>
      </c>
      <c r="AC1946">
        <f>N(AC1945)+$AB1946</f>
        <v>0</v>
      </c>
      <c r="AD1946">
        <f>IF(AND($M1946=1,LEFT(对接源_02物料!$D746,4)="成品出库"),1,0)</f>
        <v>0</v>
      </c>
      <c r="AE1946">
        <f>N(AE1945)+$AD1946</f>
        <v>0</v>
      </c>
      <c r="AF1946">
        <f>IF(AND($N1946=1,AND(LEFT(对接源_02物料!$D746,4)="包装物料",N(对接源_02物料!$K746)&lt;&gt;0)),1,0)</f>
        <v>0</v>
      </c>
      <c r="AG1946">
        <f>N(AG1945)+$AF1946</f>
        <v>10</v>
      </c>
      <c r="AH1946">
        <f>IF(AND($N1946=1,AND(对接源_02物料!$D746="周转筐－销售出库",N(对接源_02物料!$K746)&lt;&gt;0)),1,0)</f>
        <v>0</v>
      </c>
      <c r="AI1946">
        <f>N(AI1945)+$AH1946</f>
        <v>0</v>
      </c>
      <c r="AL1946" t="n">
        <v>0</v>
      </c>
      <c r="AM1946">
        <f>N(AM1945)+$AL1946</f>
        <v>2</v>
      </c>
      <c r="AN1946">
        <f>""</f>
      </c>
      <c r="AO1946" t="n">
        <v>0</v>
      </c>
      <c r="AP1946">
        <f>N(AP1945)+$AO1946</f>
        <v>13</v>
      </c>
      <c r="AR1946">
        <f>IF(OR($AF1946=1,$AH1946=1),1,0)</f>
        <v>0</v>
      </c>
      <c r="AS1946">
        <f>N(AS1945)+$AR1946</f>
        <v>10</v>
      </c>
    </row>
    <row r="1947" s="127">
      <c r="A1947">
        <f>IF(对接源_02物料!$C747="","",对接源_02物料!$C747)</f>
      </c>
      <c r="B1947">
        <f>IF(A1947="",0,IF(MATCH(A1947,$A$4:$A$2403,0)=ROW()-3,1,0))</f>
        <v>0</v>
      </c>
      <c r="C1947">
        <f>N(C1946)+B1947</f>
        <v>26</v>
      </c>
      <c r="K1947">
        <f>IF(OR($K$1="",对接源_02物料!$C747="",对接源_02物料!$C747&lt;&gt;$K$1,对接源_02物料!$B747=""),0,IF(OR(N(对接源_02物料!$B747)&lt;$K$2,N(对接源_02物料!$B747)&gt;$K$3),0,1))</f>
        <v>0</v>
      </c>
      <c r="L1947">
        <f>IF(OR($L$1="",对接源_02物料!$C747="",对接源_02物料!$C747&lt;&gt;$L$1,对接源_02物料!$B747=""),0,IF(OR(N(对接源_02物料!$B747)&lt;$L$2,N(对接源_02物料!$B747)&gt;$L$3),0,1))</f>
        <v>0</v>
      </c>
      <c r="M1947">
        <f>IF(OR($M$1="",对接源_02物料!$C747="",对接源_02物料!$C747&lt;&gt;$M$1,对接源_02物料!$B747=""),0,IF(OR(N(对接源_02物料!$B747)&lt;$M$2,N(对接源_02物料!$B747)&gt;$M$3),0,1))</f>
        <v>0</v>
      </c>
      <c r="N1947">
        <f>IF(OR($N$1="",对接源_02物料!$C747="",对接源_02物料!$C747&lt;&gt;$N$1,对接源_02物料!$B747=""),0,IF(OR(N(对接源_02物料!$B747)&lt;$N$2,N(对接源_02物料!$B747)&gt;$N$3),0,1))</f>
        <v>0</v>
      </c>
      <c r="P1947">
        <f>IF(AND($K1947=1,AND(对接源_02物料!$X747="公司筐",N(对接源_02物料!$T747)&lt;&gt;0)),1,0)</f>
        <v>0</v>
      </c>
      <c r="Q1947">
        <f>N(Q1946)+$P1947</f>
        <v>14</v>
      </c>
      <c r="R1947">
        <f>IF(AND($K1947=1,AND(对接源_02物料!$X747="公司筐",N(对接源_02物料!$U747)&lt;&gt;0)),1,0)</f>
        <v>0</v>
      </c>
      <c r="S1947">
        <f>N(S1946)+$R1947</f>
        <v>1</v>
      </c>
      <c r="T1947">
        <f>IF(AND($K1947=1,AND(对接源_02物料!$X747="公司筐",N(对接源_02物料!$V747)&lt;&gt;0)),1,0)</f>
        <v>0</v>
      </c>
      <c r="U1947">
        <f>N(U1946)+$T1947</f>
        <v>47</v>
      </c>
      <c r="V1947">
        <f>IF(AND($L1947=1,AND(对接源_02物料!$X747="自备筐",N(对接源_02物料!$V747)&lt;&gt;0)),1,0)</f>
        <v>0</v>
      </c>
      <c r="W1947">
        <f>N(W1946)+$V1947</f>
        <v>11</v>
      </c>
      <c r="X1947">
        <f>IF(AND($L1947=1,AND(对接源_02物料!$X747="自备筐",N(对接源_02物料!$T747)&lt;&gt;0)),1,0)</f>
        <v>0</v>
      </c>
      <c r="Y1947">
        <f>N(Y1946)+$X1947</f>
        <v>0</v>
      </c>
      <c r="Z1947">
        <f>IF(AND($M1947=1,对接源_02物料!$D747="原料入库"),1,0)</f>
        <v>0</v>
      </c>
      <c r="AA1947">
        <f>N(AA1946)+$Z1947</f>
        <v>24</v>
      </c>
      <c r="AB1947">
        <f>IF(AND($M1947=1,LEFT(对接源_02物料!$D747,4)="原料出库"),1,0)</f>
        <v>0</v>
      </c>
      <c r="AC1947">
        <f>N(AC1946)+$AB1947</f>
        <v>0</v>
      </c>
      <c r="AD1947">
        <f>IF(AND($M1947=1,LEFT(对接源_02物料!$D747,4)="成品出库"),1,0)</f>
        <v>0</v>
      </c>
      <c r="AE1947">
        <f>N(AE1946)+$AD1947</f>
        <v>0</v>
      </c>
      <c r="AF1947">
        <f>IF(AND($N1947=1,AND(LEFT(对接源_02物料!$D747,4)="包装物料",N(对接源_02物料!$K747)&lt;&gt;0)),1,0)</f>
        <v>0</v>
      </c>
      <c r="AG1947">
        <f>N(AG1946)+$AF1947</f>
        <v>10</v>
      </c>
      <c r="AH1947">
        <f>IF(AND($N1947=1,AND(对接源_02物料!$D747="周转筐－销售出库",N(对接源_02物料!$K747)&lt;&gt;0)),1,0)</f>
        <v>0</v>
      </c>
      <c r="AI1947">
        <f>N(AI1946)+$AH1947</f>
        <v>0</v>
      </c>
      <c r="AL1947" t="n">
        <v>0</v>
      </c>
      <c r="AM1947">
        <f>N(AM1946)+$AL1947</f>
        <v>2</v>
      </c>
      <c r="AN1947">
        <f>""</f>
      </c>
      <c r="AO1947" t="n">
        <v>0</v>
      </c>
      <c r="AP1947">
        <f>N(AP1946)+$AO1947</f>
        <v>13</v>
      </c>
      <c r="AR1947">
        <f>IF(OR($AF1947=1,$AH1947=1),1,0)</f>
        <v>0</v>
      </c>
      <c r="AS1947">
        <f>N(AS1946)+$AR1947</f>
        <v>10</v>
      </c>
    </row>
    <row r="1948" s="127">
      <c r="A1948">
        <f>IF(对接源_02物料!$C748="","",对接源_02物料!$C748)</f>
      </c>
      <c r="B1948">
        <f>IF(A1948="",0,IF(MATCH(A1948,$A$4:$A$2403,0)=ROW()-3,1,0))</f>
        <v>0</v>
      </c>
      <c r="C1948">
        <f>N(C1947)+B1948</f>
        <v>26</v>
      </c>
      <c r="K1948">
        <f>IF(OR($K$1="",对接源_02物料!$C748="",对接源_02物料!$C748&lt;&gt;$K$1,对接源_02物料!$B748=""),0,IF(OR(N(对接源_02物料!$B748)&lt;$K$2,N(对接源_02物料!$B748)&gt;$K$3),0,1))</f>
        <v>0</v>
      </c>
      <c r="L1948">
        <f>IF(OR($L$1="",对接源_02物料!$C748="",对接源_02物料!$C748&lt;&gt;$L$1,对接源_02物料!$B748=""),0,IF(OR(N(对接源_02物料!$B748)&lt;$L$2,N(对接源_02物料!$B748)&gt;$L$3),0,1))</f>
        <v>0</v>
      </c>
      <c r="M1948">
        <f>IF(OR($M$1="",对接源_02物料!$C748="",对接源_02物料!$C748&lt;&gt;$M$1,对接源_02物料!$B748=""),0,IF(OR(N(对接源_02物料!$B748)&lt;$M$2,N(对接源_02物料!$B748)&gt;$M$3),0,1))</f>
        <v>0</v>
      </c>
      <c r="N1948">
        <f>IF(OR($N$1="",对接源_02物料!$C748="",对接源_02物料!$C748&lt;&gt;$N$1,对接源_02物料!$B748=""),0,IF(OR(N(对接源_02物料!$B748)&lt;$N$2,N(对接源_02物料!$B748)&gt;$N$3),0,1))</f>
        <v>0</v>
      </c>
      <c r="P1948">
        <f>IF(AND($K1948=1,AND(对接源_02物料!$X748="公司筐",N(对接源_02物料!$T748)&lt;&gt;0)),1,0)</f>
        <v>0</v>
      </c>
      <c r="Q1948">
        <f>N(Q1947)+$P1948</f>
        <v>14</v>
      </c>
      <c r="R1948">
        <f>IF(AND($K1948=1,AND(对接源_02物料!$X748="公司筐",N(对接源_02物料!$U748)&lt;&gt;0)),1,0)</f>
        <v>0</v>
      </c>
      <c r="S1948">
        <f>N(S1947)+$R1948</f>
        <v>1</v>
      </c>
      <c r="T1948">
        <f>IF(AND($K1948=1,AND(对接源_02物料!$X748="公司筐",N(对接源_02物料!$V748)&lt;&gt;0)),1,0)</f>
        <v>0</v>
      </c>
      <c r="U1948">
        <f>N(U1947)+$T1948</f>
        <v>47</v>
      </c>
      <c r="V1948">
        <f>IF(AND($L1948=1,AND(对接源_02物料!$X748="自备筐",N(对接源_02物料!$V748)&lt;&gt;0)),1,0)</f>
        <v>0</v>
      </c>
      <c r="W1948">
        <f>N(W1947)+$V1948</f>
        <v>11</v>
      </c>
      <c r="X1948">
        <f>IF(AND($L1948=1,AND(对接源_02物料!$X748="自备筐",N(对接源_02物料!$T748)&lt;&gt;0)),1,0)</f>
        <v>0</v>
      </c>
      <c r="Y1948">
        <f>N(Y1947)+$X1948</f>
        <v>0</v>
      </c>
      <c r="Z1948">
        <f>IF(AND($M1948=1,对接源_02物料!$D748="原料入库"),1,0)</f>
        <v>0</v>
      </c>
      <c r="AA1948">
        <f>N(AA1947)+$Z1948</f>
        <v>24</v>
      </c>
      <c r="AB1948">
        <f>IF(AND($M1948=1,LEFT(对接源_02物料!$D748,4)="原料出库"),1,0)</f>
        <v>0</v>
      </c>
      <c r="AC1948">
        <f>N(AC1947)+$AB1948</f>
        <v>0</v>
      </c>
      <c r="AD1948">
        <f>IF(AND($M1948=1,LEFT(对接源_02物料!$D748,4)="成品出库"),1,0)</f>
        <v>0</v>
      </c>
      <c r="AE1948">
        <f>N(AE1947)+$AD1948</f>
        <v>0</v>
      </c>
      <c r="AF1948">
        <f>IF(AND($N1948=1,AND(LEFT(对接源_02物料!$D748,4)="包装物料",N(对接源_02物料!$K748)&lt;&gt;0)),1,0)</f>
        <v>0</v>
      </c>
      <c r="AG1948">
        <f>N(AG1947)+$AF1948</f>
        <v>10</v>
      </c>
      <c r="AH1948">
        <f>IF(AND($N1948=1,AND(对接源_02物料!$D748="周转筐－销售出库",N(对接源_02物料!$K748)&lt;&gt;0)),1,0)</f>
        <v>0</v>
      </c>
      <c r="AI1948">
        <f>N(AI1947)+$AH1948</f>
        <v>0</v>
      </c>
      <c r="AL1948" t="n">
        <v>0</v>
      </c>
      <c r="AM1948">
        <f>N(AM1947)+$AL1948</f>
        <v>2</v>
      </c>
      <c r="AN1948">
        <f>""</f>
      </c>
      <c r="AO1948" t="n">
        <v>0</v>
      </c>
      <c r="AP1948">
        <f>N(AP1947)+$AO1948</f>
        <v>13</v>
      </c>
      <c r="AR1948">
        <f>IF(OR($AF1948=1,$AH1948=1),1,0)</f>
        <v>0</v>
      </c>
      <c r="AS1948">
        <f>N(AS1947)+$AR1948</f>
        <v>10</v>
      </c>
    </row>
    <row r="1949" s="127">
      <c r="A1949">
        <f>IF(对接源_02物料!$C749="","",对接源_02物料!$C749)</f>
      </c>
      <c r="B1949">
        <f>IF(A1949="",0,IF(MATCH(A1949,$A$4:$A$2403,0)=ROW()-3,1,0))</f>
        <v>0</v>
      </c>
      <c r="C1949">
        <f>N(C1948)+B1949</f>
        <v>26</v>
      </c>
      <c r="K1949">
        <f>IF(OR($K$1="",对接源_02物料!$C749="",对接源_02物料!$C749&lt;&gt;$K$1,对接源_02物料!$B749=""),0,IF(OR(N(对接源_02物料!$B749)&lt;$K$2,N(对接源_02物料!$B749)&gt;$K$3),0,1))</f>
        <v>0</v>
      </c>
      <c r="L1949">
        <f>IF(OR($L$1="",对接源_02物料!$C749="",对接源_02物料!$C749&lt;&gt;$L$1,对接源_02物料!$B749=""),0,IF(OR(N(对接源_02物料!$B749)&lt;$L$2,N(对接源_02物料!$B749)&gt;$L$3),0,1))</f>
        <v>0</v>
      </c>
      <c r="M1949">
        <f>IF(OR($M$1="",对接源_02物料!$C749="",对接源_02物料!$C749&lt;&gt;$M$1,对接源_02物料!$B749=""),0,IF(OR(N(对接源_02物料!$B749)&lt;$M$2,N(对接源_02物料!$B749)&gt;$M$3),0,1))</f>
        <v>0</v>
      </c>
      <c r="N1949">
        <f>IF(OR($N$1="",对接源_02物料!$C749="",对接源_02物料!$C749&lt;&gt;$N$1,对接源_02物料!$B749=""),0,IF(OR(N(对接源_02物料!$B749)&lt;$N$2,N(对接源_02物料!$B749)&gt;$N$3),0,1))</f>
        <v>0</v>
      </c>
      <c r="P1949">
        <f>IF(AND($K1949=1,AND(对接源_02物料!$X749="公司筐",N(对接源_02物料!$T749)&lt;&gt;0)),1,0)</f>
        <v>0</v>
      </c>
      <c r="Q1949">
        <f>N(Q1948)+$P1949</f>
        <v>14</v>
      </c>
      <c r="R1949">
        <f>IF(AND($K1949=1,AND(对接源_02物料!$X749="公司筐",N(对接源_02物料!$U749)&lt;&gt;0)),1,0)</f>
        <v>0</v>
      </c>
      <c r="S1949">
        <f>N(S1948)+$R1949</f>
        <v>1</v>
      </c>
      <c r="T1949">
        <f>IF(AND($K1949=1,AND(对接源_02物料!$X749="公司筐",N(对接源_02物料!$V749)&lt;&gt;0)),1,0)</f>
        <v>0</v>
      </c>
      <c r="U1949">
        <f>N(U1948)+$T1949</f>
        <v>47</v>
      </c>
      <c r="V1949">
        <f>IF(AND($L1949=1,AND(对接源_02物料!$X749="自备筐",N(对接源_02物料!$V749)&lt;&gt;0)),1,0)</f>
        <v>0</v>
      </c>
      <c r="W1949">
        <f>N(W1948)+$V1949</f>
        <v>11</v>
      </c>
      <c r="X1949">
        <f>IF(AND($L1949=1,AND(对接源_02物料!$X749="自备筐",N(对接源_02物料!$T749)&lt;&gt;0)),1,0)</f>
        <v>0</v>
      </c>
      <c r="Y1949">
        <f>N(Y1948)+$X1949</f>
        <v>0</v>
      </c>
      <c r="Z1949">
        <f>IF(AND($M1949=1,对接源_02物料!$D749="原料入库"),1,0)</f>
        <v>0</v>
      </c>
      <c r="AA1949">
        <f>N(AA1948)+$Z1949</f>
        <v>24</v>
      </c>
      <c r="AB1949">
        <f>IF(AND($M1949=1,LEFT(对接源_02物料!$D749,4)="原料出库"),1,0)</f>
        <v>0</v>
      </c>
      <c r="AC1949">
        <f>N(AC1948)+$AB1949</f>
        <v>0</v>
      </c>
      <c r="AD1949">
        <f>IF(AND($M1949=1,LEFT(对接源_02物料!$D749,4)="成品出库"),1,0)</f>
        <v>0</v>
      </c>
      <c r="AE1949">
        <f>N(AE1948)+$AD1949</f>
        <v>0</v>
      </c>
      <c r="AF1949">
        <f>IF(AND($N1949=1,AND(LEFT(对接源_02物料!$D749,4)="包装物料",N(对接源_02物料!$K749)&lt;&gt;0)),1,0)</f>
        <v>0</v>
      </c>
      <c r="AG1949">
        <f>N(AG1948)+$AF1949</f>
        <v>10</v>
      </c>
      <c r="AH1949">
        <f>IF(AND($N1949=1,AND(对接源_02物料!$D749="周转筐－销售出库",N(对接源_02物料!$K749)&lt;&gt;0)),1,0)</f>
        <v>0</v>
      </c>
      <c r="AI1949">
        <f>N(AI1948)+$AH1949</f>
        <v>0</v>
      </c>
      <c r="AL1949" t="n">
        <v>0</v>
      </c>
      <c r="AM1949">
        <f>N(AM1948)+$AL1949</f>
        <v>2</v>
      </c>
      <c r="AN1949">
        <f>""</f>
      </c>
      <c r="AO1949" t="n">
        <v>0</v>
      </c>
      <c r="AP1949">
        <f>N(AP1948)+$AO1949</f>
        <v>13</v>
      </c>
      <c r="AR1949">
        <f>IF(OR($AF1949=1,$AH1949=1),1,0)</f>
        <v>0</v>
      </c>
      <c r="AS1949">
        <f>N(AS1948)+$AR1949</f>
        <v>10</v>
      </c>
    </row>
    <row r="1950" s="127">
      <c r="A1950">
        <f>IF(对接源_02物料!$C750="","",对接源_02物料!$C750)</f>
      </c>
      <c r="B1950">
        <f>IF(A1950="",0,IF(MATCH(A1950,$A$4:$A$2403,0)=ROW()-3,1,0))</f>
        <v>0</v>
      </c>
      <c r="C1950">
        <f>N(C1949)+B1950</f>
        <v>26</v>
      </c>
      <c r="K1950">
        <f>IF(OR($K$1="",对接源_02物料!$C750="",对接源_02物料!$C750&lt;&gt;$K$1,对接源_02物料!$B750=""),0,IF(OR(N(对接源_02物料!$B750)&lt;$K$2,N(对接源_02物料!$B750)&gt;$K$3),0,1))</f>
        <v>0</v>
      </c>
      <c r="L1950">
        <f>IF(OR($L$1="",对接源_02物料!$C750="",对接源_02物料!$C750&lt;&gt;$L$1,对接源_02物料!$B750=""),0,IF(OR(N(对接源_02物料!$B750)&lt;$L$2,N(对接源_02物料!$B750)&gt;$L$3),0,1))</f>
        <v>0</v>
      </c>
      <c r="M1950">
        <f>IF(OR($M$1="",对接源_02物料!$C750="",对接源_02物料!$C750&lt;&gt;$M$1,对接源_02物料!$B750=""),0,IF(OR(N(对接源_02物料!$B750)&lt;$M$2,N(对接源_02物料!$B750)&gt;$M$3),0,1))</f>
        <v>0</v>
      </c>
      <c r="N1950">
        <f>IF(OR($N$1="",对接源_02物料!$C750="",对接源_02物料!$C750&lt;&gt;$N$1,对接源_02物料!$B750=""),0,IF(OR(N(对接源_02物料!$B750)&lt;$N$2,N(对接源_02物料!$B750)&gt;$N$3),0,1))</f>
        <v>0</v>
      </c>
      <c r="P1950">
        <f>IF(AND($K1950=1,AND(对接源_02物料!$X750="公司筐",N(对接源_02物料!$T750)&lt;&gt;0)),1,0)</f>
        <v>0</v>
      </c>
      <c r="Q1950">
        <f>N(Q1949)+$P1950</f>
        <v>14</v>
      </c>
      <c r="R1950">
        <f>IF(AND($K1950=1,AND(对接源_02物料!$X750="公司筐",N(对接源_02物料!$U750)&lt;&gt;0)),1,0)</f>
        <v>0</v>
      </c>
      <c r="S1950">
        <f>N(S1949)+$R1950</f>
        <v>1</v>
      </c>
      <c r="T1950">
        <f>IF(AND($K1950=1,AND(对接源_02物料!$X750="公司筐",N(对接源_02物料!$V750)&lt;&gt;0)),1,0)</f>
        <v>0</v>
      </c>
      <c r="U1950">
        <f>N(U1949)+$T1950</f>
        <v>47</v>
      </c>
      <c r="V1950">
        <f>IF(AND($L1950=1,AND(对接源_02物料!$X750="自备筐",N(对接源_02物料!$V750)&lt;&gt;0)),1,0)</f>
        <v>0</v>
      </c>
      <c r="W1950">
        <f>N(W1949)+$V1950</f>
        <v>11</v>
      </c>
      <c r="X1950">
        <f>IF(AND($L1950=1,AND(对接源_02物料!$X750="自备筐",N(对接源_02物料!$T750)&lt;&gt;0)),1,0)</f>
        <v>0</v>
      </c>
      <c r="Y1950">
        <f>N(Y1949)+$X1950</f>
        <v>0</v>
      </c>
      <c r="Z1950">
        <f>IF(AND($M1950=1,对接源_02物料!$D750="原料入库"),1,0)</f>
        <v>0</v>
      </c>
      <c r="AA1950">
        <f>N(AA1949)+$Z1950</f>
        <v>24</v>
      </c>
      <c r="AB1950">
        <f>IF(AND($M1950=1,LEFT(对接源_02物料!$D750,4)="原料出库"),1,0)</f>
        <v>0</v>
      </c>
      <c r="AC1950">
        <f>N(AC1949)+$AB1950</f>
        <v>0</v>
      </c>
      <c r="AD1950">
        <f>IF(AND($M1950=1,LEFT(对接源_02物料!$D750,4)="成品出库"),1,0)</f>
        <v>0</v>
      </c>
      <c r="AE1950">
        <f>N(AE1949)+$AD1950</f>
        <v>0</v>
      </c>
      <c r="AF1950">
        <f>IF(AND($N1950=1,AND(LEFT(对接源_02物料!$D750,4)="包装物料",N(对接源_02物料!$K750)&lt;&gt;0)),1,0)</f>
        <v>0</v>
      </c>
      <c r="AG1950">
        <f>N(AG1949)+$AF1950</f>
        <v>10</v>
      </c>
      <c r="AH1950">
        <f>IF(AND($N1950=1,AND(对接源_02物料!$D750="周转筐－销售出库",N(对接源_02物料!$K750)&lt;&gt;0)),1,0)</f>
        <v>0</v>
      </c>
      <c r="AI1950">
        <f>N(AI1949)+$AH1950</f>
        <v>0</v>
      </c>
      <c r="AL1950" t="n">
        <v>0</v>
      </c>
      <c r="AM1950">
        <f>N(AM1949)+$AL1950</f>
        <v>2</v>
      </c>
      <c r="AN1950">
        <f>""</f>
      </c>
      <c r="AO1950" t="n">
        <v>0</v>
      </c>
      <c r="AP1950">
        <f>N(AP1949)+$AO1950</f>
        <v>13</v>
      </c>
      <c r="AR1950">
        <f>IF(OR($AF1950=1,$AH1950=1),1,0)</f>
        <v>0</v>
      </c>
      <c r="AS1950">
        <f>N(AS1949)+$AR1950</f>
        <v>10</v>
      </c>
    </row>
    <row r="1951" s="127">
      <c r="A1951">
        <f>IF(对接源_02物料!$C751="","",对接源_02物料!$C751)</f>
      </c>
      <c r="B1951">
        <f>IF(A1951="",0,IF(MATCH(A1951,$A$4:$A$2403,0)=ROW()-3,1,0))</f>
        <v>0</v>
      </c>
      <c r="C1951">
        <f>N(C1950)+B1951</f>
        <v>26</v>
      </c>
      <c r="K1951">
        <f>IF(OR($K$1="",对接源_02物料!$C751="",对接源_02物料!$C751&lt;&gt;$K$1,对接源_02物料!$B751=""),0,IF(OR(N(对接源_02物料!$B751)&lt;$K$2,N(对接源_02物料!$B751)&gt;$K$3),0,1))</f>
        <v>0</v>
      </c>
      <c r="L1951">
        <f>IF(OR($L$1="",对接源_02物料!$C751="",对接源_02物料!$C751&lt;&gt;$L$1,对接源_02物料!$B751=""),0,IF(OR(N(对接源_02物料!$B751)&lt;$L$2,N(对接源_02物料!$B751)&gt;$L$3),0,1))</f>
        <v>0</v>
      </c>
      <c r="M1951">
        <f>IF(OR($M$1="",对接源_02物料!$C751="",对接源_02物料!$C751&lt;&gt;$M$1,对接源_02物料!$B751=""),0,IF(OR(N(对接源_02物料!$B751)&lt;$M$2,N(对接源_02物料!$B751)&gt;$M$3),0,1))</f>
        <v>0</v>
      </c>
      <c r="N1951">
        <f>IF(OR($N$1="",对接源_02物料!$C751="",对接源_02物料!$C751&lt;&gt;$N$1,对接源_02物料!$B751=""),0,IF(OR(N(对接源_02物料!$B751)&lt;$N$2,N(对接源_02物料!$B751)&gt;$N$3),0,1))</f>
        <v>0</v>
      </c>
      <c r="P1951">
        <f>IF(AND($K1951=1,AND(对接源_02物料!$X751="公司筐",N(对接源_02物料!$T751)&lt;&gt;0)),1,0)</f>
        <v>0</v>
      </c>
      <c r="Q1951">
        <f>N(Q1950)+$P1951</f>
        <v>14</v>
      </c>
      <c r="R1951">
        <f>IF(AND($K1951=1,AND(对接源_02物料!$X751="公司筐",N(对接源_02物料!$U751)&lt;&gt;0)),1,0)</f>
        <v>0</v>
      </c>
      <c r="S1951">
        <f>N(S1950)+$R1951</f>
        <v>1</v>
      </c>
      <c r="T1951">
        <f>IF(AND($K1951=1,AND(对接源_02物料!$X751="公司筐",N(对接源_02物料!$V751)&lt;&gt;0)),1,0)</f>
        <v>0</v>
      </c>
      <c r="U1951">
        <f>N(U1950)+$T1951</f>
        <v>47</v>
      </c>
      <c r="V1951">
        <f>IF(AND($L1951=1,AND(对接源_02物料!$X751="自备筐",N(对接源_02物料!$V751)&lt;&gt;0)),1,0)</f>
        <v>0</v>
      </c>
      <c r="W1951">
        <f>N(W1950)+$V1951</f>
        <v>11</v>
      </c>
      <c r="X1951">
        <f>IF(AND($L1951=1,AND(对接源_02物料!$X751="自备筐",N(对接源_02物料!$T751)&lt;&gt;0)),1,0)</f>
        <v>0</v>
      </c>
      <c r="Y1951">
        <f>N(Y1950)+$X1951</f>
        <v>0</v>
      </c>
      <c r="Z1951">
        <f>IF(AND($M1951=1,对接源_02物料!$D751="原料入库"),1,0)</f>
        <v>0</v>
      </c>
      <c r="AA1951">
        <f>N(AA1950)+$Z1951</f>
        <v>24</v>
      </c>
      <c r="AB1951">
        <f>IF(AND($M1951=1,LEFT(对接源_02物料!$D751,4)="原料出库"),1,0)</f>
        <v>0</v>
      </c>
      <c r="AC1951">
        <f>N(AC1950)+$AB1951</f>
        <v>0</v>
      </c>
      <c r="AD1951">
        <f>IF(AND($M1951=1,LEFT(对接源_02物料!$D751,4)="成品出库"),1,0)</f>
        <v>0</v>
      </c>
      <c r="AE1951">
        <f>N(AE1950)+$AD1951</f>
        <v>0</v>
      </c>
      <c r="AF1951">
        <f>IF(AND($N1951=1,AND(LEFT(对接源_02物料!$D751,4)="包装物料",N(对接源_02物料!$K751)&lt;&gt;0)),1,0)</f>
        <v>0</v>
      </c>
      <c r="AG1951">
        <f>N(AG1950)+$AF1951</f>
        <v>10</v>
      </c>
      <c r="AH1951">
        <f>IF(AND($N1951=1,AND(对接源_02物料!$D751="周转筐－销售出库",N(对接源_02物料!$K751)&lt;&gt;0)),1,0)</f>
        <v>0</v>
      </c>
      <c r="AI1951">
        <f>N(AI1950)+$AH1951</f>
        <v>0</v>
      </c>
      <c r="AL1951" t="n">
        <v>0</v>
      </c>
      <c r="AM1951">
        <f>N(AM1950)+$AL1951</f>
        <v>2</v>
      </c>
      <c r="AN1951">
        <f>""</f>
      </c>
      <c r="AO1951" t="n">
        <v>0</v>
      </c>
      <c r="AP1951">
        <f>N(AP1950)+$AO1951</f>
        <v>13</v>
      </c>
      <c r="AR1951">
        <f>IF(OR($AF1951=1,$AH1951=1),1,0)</f>
        <v>0</v>
      </c>
      <c r="AS1951">
        <f>N(AS1950)+$AR1951</f>
        <v>10</v>
      </c>
    </row>
    <row r="1952" s="127">
      <c r="A1952">
        <f>IF(对接源_02物料!$C752="","",对接源_02物料!$C752)</f>
      </c>
      <c r="B1952">
        <f>IF(A1952="",0,IF(MATCH(A1952,$A$4:$A$2403,0)=ROW()-3,1,0))</f>
        <v>0</v>
      </c>
      <c r="C1952">
        <f>N(C1951)+B1952</f>
        <v>26</v>
      </c>
      <c r="K1952">
        <f>IF(OR($K$1="",对接源_02物料!$C752="",对接源_02物料!$C752&lt;&gt;$K$1,对接源_02物料!$B752=""),0,IF(OR(N(对接源_02物料!$B752)&lt;$K$2,N(对接源_02物料!$B752)&gt;$K$3),0,1))</f>
        <v>0</v>
      </c>
      <c r="L1952">
        <f>IF(OR($L$1="",对接源_02物料!$C752="",对接源_02物料!$C752&lt;&gt;$L$1,对接源_02物料!$B752=""),0,IF(OR(N(对接源_02物料!$B752)&lt;$L$2,N(对接源_02物料!$B752)&gt;$L$3),0,1))</f>
        <v>0</v>
      </c>
      <c r="M1952">
        <f>IF(OR($M$1="",对接源_02物料!$C752="",对接源_02物料!$C752&lt;&gt;$M$1,对接源_02物料!$B752=""),0,IF(OR(N(对接源_02物料!$B752)&lt;$M$2,N(对接源_02物料!$B752)&gt;$M$3),0,1))</f>
        <v>0</v>
      </c>
      <c r="N1952">
        <f>IF(OR($N$1="",对接源_02物料!$C752="",对接源_02物料!$C752&lt;&gt;$N$1,对接源_02物料!$B752=""),0,IF(OR(N(对接源_02物料!$B752)&lt;$N$2,N(对接源_02物料!$B752)&gt;$N$3),0,1))</f>
        <v>0</v>
      </c>
      <c r="P1952">
        <f>IF(AND($K1952=1,AND(对接源_02物料!$X752="公司筐",N(对接源_02物料!$T752)&lt;&gt;0)),1,0)</f>
        <v>0</v>
      </c>
      <c r="Q1952">
        <f>N(Q1951)+$P1952</f>
        <v>14</v>
      </c>
      <c r="R1952">
        <f>IF(AND($K1952=1,AND(对接源_02物料!$X752="公司筐",N(对接源_02物料!$U752)&lt;&gt;0)),1,0)</f>
        <v>0</v>
      </c>
      <c r="S1952">
        <f>N(S1951)+$R1952</f>
        <v>1</v>
      </c>
      <c r="T1952">
        <f>IF(AND($K1952=1,AND(对接源_02物料!$X752="公司筐",N(对接源_02物料!$V752)&lt;&gt;0)),1,0)</f>
        <v>0</v>
      </c>
      <c r="U1952">
        <f>N(U1951)+$T1952</f>
        <v>47</v>
      </c>
      <c r="V1952">
        <f>IF(AND($L1952=1,AND(对接源_02物料!$X752="自备筐",N(对接源_02物料!$V752)&lt;&gt;0)),1,0)</f>
        <v>0</v>
      </c>
      <c r="W1952">
        <f>N(W1951)+$V1952</f>
        <v>11</v>
      </c>
      <c r="X1952">
        <f>IF(AND($L1952=1,AND(对接源_02物料!$X752="自备筐",N(对接源_02物料!$T752)&lt;&gt;0)),1,0)</f>
        <v>0</v>
      </c>
      <c r="Y1952">
        <f>N(Y1951)+$X1952</f>
        <v>0</v>
      </c>
      <c r="Z1952">
        <f>IF(AND($M1952=1,对接源_02物料!$D752="原料入库"),1,0)</f>
        <v>0</v>
      </c>
      <c r="AA1952">
        <f>N(AA1951)+$Z1952</f>
        <v>24</v>
      </c>
      <c r="AB1952">
        <f>IF(AND($M1952=1,LEFT(对接源_02物料!$D752,4)="原料出库"),1,0)</f>
        <v>0</v>
      </c>
      <c r="AC1952">
        <f>N(AC1951)+$AB1952</f>
        <v>0</v>
      </c>
      <c r="AD1952">
        <f>IF(AND($M1952=1,LEFT(对接源_02物料!$D752,4)="成品出库"),1,0)</f>
        <v>0</v>
      </c>
      <c r="AE1952">
        <f>N(AE1951)+$AD1952</f>
        <v>0</v>
      </c>
      <c r="AF1952">
        <f>IF(AND($N1952=1,AND(LEFT(对接源_02物料!$D752,4)="包装物料",N(对接源_02物料!$K752)&lt;&gt;0)),1,0)</f>
        <v>0</v>
      </c>
      <c r="AG1952">
        <f>N(AG1951)+$AF1952</f>
        <v>10</v>
      </c>
      <c r="AH1952">
        <f>IF(AND($N1952=1,AND(对接源_02物料!$D752="周转筐－销售出库",N(对接源_02物料!$K752)&lt;&gt;0)),1,0)</f>
        <v>0</v>
      </c>
      <c r="AI1952">
        <f>N(AI1951)+$AH1952</f>
        <v>0</v>
      </c>
      <c r="AL1952" t="n">
        <v>0</v>
      </c>
      <c r="AM1952">
        <f>N(AM1951)+$AL1952</f>
        <v>2</v>
      </c>
      <c r="AN1952">
        <f>""</f>
      </c>
      <c r="AO1952" t="n">
        <v>0</v>
      </c>
      <c r="AP1952">
        <f>N(AP1951)+$AO1952</f>
        <v>13</v>
      </c>
      <c r="AR1952">
        <f>IF(OR($AF1952=1,$AH1952=1),1,0)</f>
        <v>0</v>
      </c>
      <c r="AS1952">
        <f>N(AS1951)+$AR1952</f>
        <v>10</v>
      </c>
    </row>
    <row r="1953" s="127">
      <c r="A1953">
        <f>IF(对接源_02物料!$C753="","",对接源_02物料!$C753)</f>
      </c>
      <c r="B1953">
        <f>IF(A1953="",0,IF(MATCH(A1953,$A$4:$A$2403,0)=ROW()-3,1,0))</f>
        <v>0</v>
      </c>
      <c r="C1953">
        <f>N(C1952)+B1953</f>
        <v>26</v>
      </c>
      <c r="K1953">
        <f>IF(OR($K$1="",对接源_02物料!$C753="",对接源_02物料!$C753&lt;&gt;$K$1,对接源_02物料!$B753=""),0,IF(OR(N(对接源_02物料!$B753)&lt;$K$2,N(对接源_02物料!$B753)&gt;$K$3),0,1))</f>
        <v>0</v>
      </c>
      <c r="L1953">
        <f>IF(OR($L$1="",对接源_02物料!$C753="",对接源_02物料!$C753&lt;&gt;$L$1,对接源_02物料!$B753=""),0,IF(OR(N(对接源_02物料!$B753)&lt;$L$2,N(对接源_02物料!$B753)&gt;$L$3),0,1))</f>
        <v>0</v>
      </c>
      <c r="M1953">
        <f>IF(OR($M$1="",对接源_02物料!$C753="",对接源_02物料!$C753&lt;&gt;$M$1,对接源_02物料!$B753=""),0,IF(OR(N(对接源_02物料!$B753)&lt;$M$2,N(对接源_02物料!$B753)&gt;$M$3),0,1))</f>
        <v>0</v>
      </c>
      <c r="N1953">
        <f>IF(OR($N$1="",对接源_02物料!$C753="",对接源_02物料!$C753&lt;&gt;$N$1,对接源_02物料!$B753=""),0,IF(OR(N(对接源_02物料!$B753)&lt;$N$2,N(对接源_02物料!$B753)&gt;$N$3),0,1))</f>
        <v>0</v>
      </c>
      <c r="P1953">
        <f>IF(AND($K1953=1,AND(对接源_02物料!$X753="公司筐",N(对接源_02物料!$T753)&lt;&gt;0)),1,0)</f>
        <v>0</v>
      </c>
      <c r="Q1953">
        <f>N(Q1952)+$P1953</f>
        <v>14</v>
      </c>
      <c r="R1953">
        <f>IF(AND($K1953=1,AND(对接源_02物料!$X753="公司筐",N(对接源_02物料!$U753)&lt;&gt;0)),1,0)</f>
        <v>0</v>
      </c>
      <c r="S1953">
        <f>N(S1952)+$R1953</f>
        <v>1</v>
      </c>
      <c r="T1953">
        <f>IF(AND($K1953=1,AND(对接源_02物料!$X753="公司筐",N(对接源_02物料!$V753)&lt;&gt;0)),1,0)</f>
        <v>0</v>
      </c>
      <c r="U1953">
        <f>N(U1952)+$T1953</f>
        <v>47</v>
      </c>
      <c r="V1953">
        <f>IF(AND($L1953=1,AND(对接源_02物料!$X753="自备筐",N(对接源_02物料!$V753)&lt;&gt;0)),1,0)</f>
        <v>0</v>
      </c>
      <c r="W1953">
        <f>N(W1952)+$V1953</f>
        <v>11</v>
      </c>
      <c r="X1953">
        <f>IF(AND($L1953=1,AND(对接源_02物料!$X753="自备筐",N(对接源_02物料!$T753)&lt;&gt;0)),1,0)</f>
        <v>0</v>
      </c>
      <c r="Y1953">
        <f>N(Y1952)+$X1953</f>
        <v>0</v>
      </c>
      <c r="Z1953">
        <f>IF(AND($M1953=1,对接源_02物料!$D753="原料入库"),1,0)</f>
        <v>0</v>
      </c>
      <c r="AA1953">
        <f>N(AA1952)+$Z1953</f>
        <v>24</v>
      </c>
      <c r="AB1953">
        <f>IF(AND($M1953=1,LEFT(对接源_02物料!$D753,4)="原料出库"),1,0)</f>
        <v>0</v>
      </c>
      <c r="AC1953">
        <f>N(AC1952)+$AB1953</f>
        <v>0</v>
      </c>
      <c r="AD1953">
        <f>IF(AND($M1953=1,LEFT(对接源_02物料!$D753,4)="成品出库"),1,0)</f>
        <v>0</v>
      </c>
      <c r="AE1953">
        <f>N(AE1952)+$AD1953</f>
        <v>0</v>
      </c>
      <c r="AF1953">
        <f>IF(AND($N1953=1,AND(LEFT(对接源_02物料!$D753,4)="包装物料",N(对接源_02物料!$K753)&lt;&gt;0)),1,0)</f>
        <v>0</v>
      </c>
      <c r="AG1953">
        <f>N(AG1952)+$AF1953</f>
        <v>10</v>
      </c>
      <c r="AH1953">
        <f>IF(AND($N1953=1,AND(对接源_02物料!$D753="周转筐－销售出库",N(对接源_02物料!$K753)&lt;&gt;0)),1,0)</f>
        <v>0</v>
      </c>
      <c r="AI1953">
        <f>N(AI1952)+$AH1953</f>
        <v>0</v>
      </c>
      <c r="AL1953" t="n">
        <v>0</v>
      </c>
      <c r="AM1953">
        <f>N(AM1952)+$AL1953</f>
        <v>2</v>
      </c>
      <c r="AN1953">
        <f>""</f>
      </c>
      <c r="AO1953" t="n">
        <v>0</v>
      </c>
      <c r="AP1953">
        <f>N(AP1952)+$AO1953</f>
        <v>13</v>
      </c>
      <c r="AR1953">
        <f>IF(OR($AF1953=1,$AH1953=1),1,0)</f>
        <v>0</v>
      </c>
      <c r="AS1953">
        <f>N(AS1952)+$AR1953</f>
        <v>10</v>
      </c>
    </row>
    <row r="1954" s="127">
      <c r="A1954">
        <f>IF(对接源_02物料!$C754="","",对接源_02物料!$C754)</f>
      </c>
      <c r="B1954">
        <f>IF(A1954="",0,IF(MATCH(A1954,$A$4:$A$2403,0)=ROW()-3,1,0))</f>
        <v>0</v>
      </c>
      <c r="C1954">
        <f>N(C1953)+B1954</f>
        <v>26</v>
      </c>
      <c r="K1954">
        <f>IF(OR($K$1="",对接源_02物料!$C754="",对接源_02物料!$C754&lt;&gt;$K$1,对接源_02物料!$B754=""),0,IF(OR(N(对接源_02物料!$B754)&lt;$K$2,N(对接源_02物料!$B754)&gt;$K$3),0,1))</f>
        <v>0</v>
      </c>
      <c r="L1954">
        <f>IF(OR($L$1="",对接源_02物料!$C754="",对接源_02物料!$C754&lt;&gt;$L$1,对接源_02物料!$B754=""),0,IF(OR(N(对接源_02物料!$B754)&lt;$L$2,N(对接源_02物料!$B754)&gt;$L$3),0,1))</f>
        <v>0</v>
      </c>
      <c r="M1954">
        <f>IF(OR($M$1="",对接源_02物料!$C754="",对接源_02物料!$C754&lt;&gt;$M$1,对接源_02物料!$B754=""),0,IF(OR(N(对接源_02物料!$B754)&lt;$M$2,N(对接源_02物料!$B754)&gt;$M$3),0,1))</f>
        <v>0</v>
      </c>
      <c r="N1954">
        <f>IF(OR($N$1="",对接源_02物料!$C754="",对接源_02物料!$C754&lt;&gt;$N$1,对接源_02物料!$B754=""),0,IF(OR(N(对接源_02物料!$B754)&lt;$N$2,N(对接源_02物料!$B754)&gt;$N$3),0,1))</f>
        <v>0</v>
      </c>
      <c r="P1954">
        <f>IF(AND($K1954=1,AND(对接源_02物料!$X754="公司筐",N(对接源_02物料!$T754)&lt;&gt;0)),1,0)</f>
        <v>0</v>
      </c>
      <c r="Q1954">
        <f>N(Q1953)+$P1954</f>
        <v>14</v>
      </c>
      <c r="R1954">
        <f>IF(AND($K1954=1,AND(对接源_02物料!$X754="公司筐",N(对接源_02物料!$U754)&lt;&gt;0)),1,0)</f>
        <v>0</v>
      </c>
      <c r="S1954">
        <f>N(S1953)+$R1954</f>
        <v>1</v>
      </c>
      <c r="T1954">
        <f>IF(AND($K1954=1,AND(对接源_02物料!$X754="公司筐",N(对接源_02物料!$V754)&lt;&gt;0)),1,0)</f>
        <v>0</v>
      </c>
      <c r="U1954">
        <f>N(U1953)+$T1954</f>
        <v>47</v>
      </c>
      <c r="V1954">
        <f>IF(AND($L1954=1,AND(对接源_02物料!$X754="自备筐",N(对接源_02物料!$V754)&lt;&gt;0)),1,0)</f>
        <v>0</v>
      </c>
      <c r="W1954">
        <f>N(W1953)+$V1954</f>
        <v>11</v>
      </c>
      <c r="X1954">
        <f>IF(AND($L1954=1,AND(对接源_02物料!$X754="自备筐",N(对接源_02物料!$T754)&lt;&gt;0)),1,0)</f>
        <v>0</v>
      </c>
      <c r="Y1954">
        <f>N(Y1953)+$X1954</f>
        <v>0</v>
      </c>
      <c r="Z1954">
        <f>IF(AND($M1954=1,对接源_02物料!$D754="原料入库"),1,0)</f>
        <v>0</v>
      </c>
      <c r="AA1954">
        <f>N(AA1953)+$Z1954</f>
        <v>24</v>
      </c>
      <c r="AB1954">
        <f>IF(AND($M1954=1,LEFT(对接源_02物料!$D754,4)="原料出库"),1,0)</f>
        <v>0</v>
      </c>
      <c r="AC1954">
        <f>N(AC1953)+$AB1954</f>
        <v>0</v>
      </c>
      <c r="AD1954">
        <f>IF(AND($M1954=1,LEFT(对接源_02物料!$D754,4)="成品出库"),1,0)</f>
        <v>0</v>
      </c>
      <c r="AE1954">
        <f>N(AE1953)+$AD1954</f>
        <v>0</v>
      </c>
      <c r="AF1954">
        <f>IF(AND($N1954=1,AND(LEFT(对接源_02物料!$D754,4)="包装物料",N(对接源_02物料!$K754)&lt;&gt;0)),1,0)</f>
        <v>0</v>
      </c>
      <c r="AG1954">
        <f>N(AG1953)+$AF1954</f>
        <v>10</v>
      </c>
      <c r="AH1954">
        <f>IF(AND($N1954=1,AND(对接源_02物料!$D754="周转筐－销售出库",N(对接源_02物料!$K754)&lt;&gt;0)),1,0)</f>
        <v>0</v>
      </c>
      <c r="AI1954">
        <f>N(AI1953)+$AH1954</f>
        <v>0</v>
      </c>
      <c r="AL1954" t="n">
        <v>0</v>
      </c>
      <c r="AM1954">
        <f>N(AM1953)+$AL1954</f>
        <v>2</v>
      </c>
      <c r="AN1954">
        <f>""</f>
      </c>
      <c r="AO1954" t="n">
        <v>0</v>
      </c>
      <c r="AP1954">
        <f>N(AP1953)+$AO1954</f>
        <v>13</v>
      </c>
      <c r="AR1954">
        <f>IF(OR($AF1954=1,$AH1954=1),1,0)</f>
        <v>0</v>
      </c>
      <c r="AS1954">
        <f>N(AS1953)+$AR1954</f>
        <v>10</v>
      </c>
    </row>
    <row r="1955" s="127">
      <c r="A1955">
        <f>IF(对接源_02物料!$C755="","",对接源_02物料!$C755)</f>
      </c>
      <c r="B1955">
        <f>IF(A1955="",0,IF(MATCH(A1955,$A$4:$A$2403,0)=ROW()-3,1,0))</f>
        <v>0</v>
      </c>
      <c r="C1955">
        <f>N(C1954)+B1955</f>
        <v>26</v>
      </c>
      <c r="K1955">
        <f>IF(OR($K$1="",对接源_02物料!$C755="",对接源_02物料!$C755&lt;&gt;$K$1,对接源_02物料!$B755=""),0,IF(OR(N(对接源_02物料!$B755)&lt;$K$2,N(对接源_02物料!$B755)&gt;$K$3),0,1))</f>
        <v>0</v>
      </c>
      <c r="L1955">
        <f>IF(OR($L$1="",对接源_02物料!$C755="",对接源_02物料!$C755&lt;&gt;$L$1,对接源_02物料!$B755=""),0,IF(OR(N(对接源_02物料!$B755)&lt;$L$2,N(对接源_02物料!$B755)&gt;$L$3),0,1))</f>
        <v>0</v>
      </c>
      <c r="M1955">
        <f>IF(OR($M$1="",对接源_02物料!$C755="",对接源_02物料!$C755&lt;&gt;$M$1,对接源_02物料!$B755=""),0,IF(OR(N(对接源_02物料!$B755)&lt;$M$2,N(对接源_02物料!$B755)&gt;$M$3),0,1))</f>
        <v>0</v>
      </c>
      <c r="N1955">
        <f>IF(OR($N$1="",对接源_02物料!$C755="",对接源_02物料!$C755&lt;&gt;$N$1,对接源_02物料!$B755=""),0,IF(OR(N(对接源_02物料!$B755)&lt;$N$2,N(对接源_02物料!$B755)&gt;$N$3),0,1))</f>
        <v>0</v>
      </c>
      <c r="P1955">
        <f>IF(AND($K1955=1,AND(对接源_02物料!$X755="公司筐",N(对接源_02物料!$T755)&lt;&gt;0)),1,0)</f>
        <v>0</v>
      </c>
      <c r="Q1955">
        <f>N(Q1954)+$P1955</f>
        <v>14</v>
      </c>
      <c r="R1955">
        <f>IF(AND($K1955=1,AND(对接源_02物料!$X755="公司筐",N(对接源_02物料!$U755)&lt;&gt;0)),1,0)</f>
        <v>0</v>
      </c>
      <c r="S1955">
        <f>N(S1954)+$R1955</f>
        <v>1</v>
      </c>
      <c r="T1955">
        <f>IF(AND($K1955=1,AND(对接源_02物料!$X755="公司筐",N(对接源_02物料!$V755)&lt;&gt;0)),1,0)</f>
        <v>0</v>
      </c>
      <c r="U1955">
        <f>N(U1954)+$T1955</f>
        <v>47</v>
      </c>
      <c r="V1955">
        <f>IF(AND($L1955=1,AND(对接源_02物料!$X755="自备筐",N(对接源_02物料!$V755)&lt;&gt;0)),1,0)</f>
        <v>0</v>
      </c>
      <c r="W1955">
        <f>N(W1954)+$V1955</f>
        <v>11</v>
      </c>
      <c r="X1955">
        <f>IF(AND($L1955=1,AND(对接源_02物料!$X755="自备筐",N(对接源_02物料!$T755)&lt;&gt;0)),1,0)</f>
        <v>0</v>
      </c>
      <c r="Y1955">
        <f>N(Y1954)+$X1955</f>
        <v>0</v>
      </c>
      <c r="Z1955">
        <f>IF(AND($M1955=1,对接源_02物料!$D755="原料入库"),1,0)</f>
        <v>0</v>
      </c>
      <c r="AA1955">
        <f>N(AA1954)+$Z1955</f>
        <v>24</v>
      </c>
      <c r="AB1955">
        <f>IF(AND($M1955=1,LEFT(对接源_02物料!$D755,4)="原料出库"),1,0)</f>
        <v>0</v>
      </c>
      <c r="AC1955">
        <f>N(AC1954)+$AB1955</f>
        <v>0</v>
      </c>
      <c r="AD1955">
        <f>IF(AND($M1955=1,LEFT(对接源_02物料!$D755,4)="成品出库"),1,0)</f>
        <v>0</v>
      </c>
      <c r="AE1955">
        <f>N(AE1954)+$AD1955</f>
        <v>0</v>
      </c>
      <c r="AF1955">
        <f>IF(AND($N1955=1,AND(LEFT(对接源_02物料!$D755,4)="包装物料",N(对接源_02物料!$K755)&lt;&gt;0)),1,0)</f>
        <v>0</v>
      </c>
      <c r="AG1955">
        <f>N(AG1954)+$AF1955</f>
        <v>10</v>
      </c>
      <c r="AH1955">
        <f>IF(AND($N1955=1,AND(对接源_02物料!$D755="周转筐－销售出库",N(对接源_02物料!$K755)&lt;&gt;0)),1,0)</f>
        <v>0</v>
      </c>
      <c r="AI1955">
        <f>N(AI1954)+$AH1955</f>
        <v>0</v>
      </c>
      <c r="AL1955" t="n">
        <v>0</v>
      </c>
      <c r="AM1955">
        <f>N(AM1954)+$AL1955</f>
        <v>2</v>
      </c>
      <c r="AN1955">
        <f>""</f>
      </c>
      <c r="AO1955" t="n">
        <v>0</v>
      </c>
      <c r="AP1955">
        <f>N(AP1954)+$AO1955</f>
        <v>13</v>
      </c>
      <c r="AR1955">
        <f>IF(OR($AF1955=1,$AH1955=1),1,0)</f>
        <v>0</v>
      </c>
      <c r="AS1955">
        <f>N(AS1954)+$AR1955</f>
        <v>10</v>
      </c>
    </row>
    <row r="1956" s="127">
      <c r="A1956">
        <f>IF(对接源_02物料!$C756="","",对接源_02物料!$C756)</f>
      </c>
      <c r="B1956">
        <f>IF(A1956="",0,IF(MATCH(A1956,$A$4:$A$2403,0)=ROW()-3,1,0))</f>
        <v>0</v>
      </c>
      <c r="C1956">
        <f>N(C1955)+B1956</f>
        <v>26</v>
      </c>
      <c r="K1956">
        <f>IF(OR($K$1="",对接源_02物料!$C756="",对接源_02物料!$C756&lt;&gt;$K$1,对接源_02物料!$B756=""),0,IF(OR(N(对接源_02物料!$B756)&lt;$K$2,N(对接源_02物料!$B756)&gt;$K$3),0,1))</f>
        <v>0</v>
      </c>
      <c r="L1956">
        <f>IF(OR($L$1="",对接源_02物料!$C756="",对接源_02物料!$C756&lt;&gt;$L$1,对接源_02物料!$B756=""),0,IF(OR(N(对接源_02物料!$B756)&lt;$L$2,N(对接源_02物料!$B756)&gt;$L$3),0,1))</f>
        <v>0</v>
      </c>
      <c r="M1956">
        <f>IF(OR($M$1="",对接源_02物料!$C756="",对接源_02物料!$C756&lt;&gt;$M$1,对接源_02物料!$B756=""),0,IF(OR(N(对接源_02物料!$B756)&lt;$M$2,N(对接源_02物料!$B756)&gt;$M$3),0,1))</f>
        <v>0</v>
      </c>
      <c r="N1956">
        <f>IF(OR($N$1="",对接源_02物料!$C756="",对接源_02物料!$C756&lt;&gt;$N$1,对接源_02物料!$B756=""),0,IF(OR(N(对接源_02物料!$B756)&lt;$N$2,N(对接源_02物料!$B756)&gt;$N$3),0,1))</f>
        <v>0</v>
      </c>
      <c r="P1956">
        <f>IF(AND($K1956=1,AND(对接源_02物料!$X756="公司筐",N(对接源_02物料!$T756)&lt;&gt;0)),1,0)</f>
        <v>0</v>
      </c>
      <c r="Q1956">
        <f>N(Q1955)+$P1956</f>
        <v>14</v>
      </c>
      <c r="R1956">
        <f>IF(AND($K1956=1,AND(对接源_02物料!$X756="公司筐",N(对接源_02物料!$U756)&lt;&gt;0)),1,0)</f>
        <v>0</v>
      </c>
      <c r="S1956">
        <f>N(S1955)+$R1956</f>
        <v>1</v>
      </c>
      <c r="T1956">
        <f>IF(AND($K1956=1,AND(对接源_02物料!$X756="公司筐",N(对接源_02物料!$V756)&lt;&gt;0)),1,0)</f>
        <v>0</v>
      </c>
      <c r="U1956">
        <f>N(U1955)+$T1956</f>
        <v>47</v>
      </c>
      <c r="V1956">
        <f>IF(AND($L1956=1,AND(对接源_02物料!$X756="自备筐",N(对接源_02物料!$V756)&lt;&gt;0)),1,0)</f>
        <v>0</v>
      </c>
      <c r="W1956">
        <f>N(W1955)+$V1956</f>
        <v>11</v>
      </c>
      <c r="X1956">
        <f>IF(AND($L1956=1,AND(对接源_02物料!$X756="自备筐",N(对接源_02物料!$T756)&lt;&gt;0)),1,0)</f>
        <v>0</v>
      </c>
      <c r="Y1956">
        <f>N(Y1955)+$X1956</f>
        <v>0</v>
      </c>
      <c r="Z1956">
        <f>IF(AND($M1956=1,对接源_02物料!$D756="原料入库"),1,0)</f>
        <v>0</v>
      </c>
      <c r="AA1956">
        <f>N(AA1955)+$Z1956</f>
        <v>24</v>
      </c>
      <c r="AB1956">
        <f>IF(AND($M1956=1,LEFT(对接源_02物料!$D756,4)="原料出库"),1,0)</f>
        <v>0</v>
      </c>
      <c r="AC1956">
        <f>N(AC1955)+$AB1956</f>
        <v>0</v>
      </c>
      <c r="AD1956">
        <f>IF(AND($M1956=1,LEFT(对接源_02物料!$D756,4)="成品出库"),1,0)</f>
        <v>0</v>
      </c>
      <c r="AE1956">
        <f>N(AE1955)+$AD1956</f>
        <v>0</v>
      </c>
      <c r="AF1956">
        <f>IF(AND($N1956=1,AND(LEFT(对接源_02物料!$D756,4)="包装物料",N(对接源_02物料!$K756)&lt;&gt;0)),1,0)</f>
        <v>0</v>
      </c>
      <c r="AG1956">
        <f>N(AG1955)+$AF1956</f>
        <v>10</v>
      </c>
      <c r="AH1956">
        <f>IF(AND($N1956=1,AND(对接源_02物料!$D756="周转筐－销售出库",N(对接源_02物料!$K756)&lt;&gt;0)),1,0)</f>
        <v>0</v>
      </c>
      <c r="AI1956">
        <f>N(AI1955)+$AH1956</f>
        <v>0</v>
      </c>
      <c r="AL1956" t="n">
        <v>0</v>
      </c>
      <c r="AM1956">
        <f>N(AM1955)+$AL1956</f>
        <v>2</v>
      </c>
      <c r="AN1956">
        <f>""</f>
      </c>
      <c r="AO1956" t="n">
        <v>0</v>
      </c>
      <c r="AP1956">
        <f>N(AP1955)+$AO1956</f>
        <v>13</v>
      </c>
      <c r="AR1956">
        <f>IF(OR($AF1956=1,$AH1956=1),1,0)</f>
        <v>0</v>
      </c>
      <c r="AS1956">
        <f>N(AS1955)+$AR1956</f>
        <v>10</v>
      </c>
    </row>
    <row r="1957" s="127">
      <c r="A1957">
        <f>IF(对接源_02物料!$C757="","",对接源_02物料!$C757)</f>
      </c>
      <c r="B1957">
        <f>IF(A1957="",0,IF(MATCH(A1957,$A$4:$A$2403,0)=ROW()-3,1,0))</f>
        <v>0</v>
      </c>
      <c r="C1957">
        <f>N(C1956)+B1957</f>
        <v>26</v>
      </c>
      <c r="K1957">
        <f>IF(OR($K$1="",对接源_02物料!$C757="",对接源_02物料!$C757&lt;&gt;$K$1,对接源_02物料!$B757=""),0,IF(OR(N(对接源_02物料!$B757)&lt;$K$2,N(对接源_02物料!$B757)&gt;$K$3),0,1))</f>
        <v>0</v>
      </c>
      <c r="L1957">
        <f>IF(OR($L$1="",对接源_02物料!$C757="",对接源_02物料!$C757&lt;&gt;$L$1,对接源_02物料!$B757=""),0,IF(OR(N(对接源_02物料!$B757)&lt;$L$2,N(对接源_02物料!$B757)&gt;$L$3),0,1))</f>
        <v>0</v>
      </c>
      <c r="M1957">
        <f>IF(OR($M$1="",对接源_02物料!$C757="",对接源_02物料!$C757&lt;&gt;$M$1,对接源_02物料!$B757=""),0,IF(OR(N(对接源_02物料!$B757)&lt;$M$2,N(对接源_02物料!$B757)&gt;$M$3),0,1))</f>
        <v>0</v>
      </c>
      <c r="N1957">
        <f>IF(OR($N$1="",对接源_02物料!$C757="",对接源_02物料!$C757&lt;&gt;$N$1,对接源_02物料!$B757=""),0,IF(OR(N(对接源_02物料!$B757)&lt;$N$2,N(对接源_02物料!$B757)&gt;$N$3),0,1))</f>
        <v>0</v>
      </c>
      <c r="P1957">
        <f>IF(AND($K1957=1,AND(对接源_02物料!$X757="公司筐",N(对接源_02物料!$T757)&lt;&gt;0)),1,0)</f>
        <v>0</v>
      </c>
      <c r="Q1957">
        <f>N(Q1956)+$P1957</f>
        <v>14</v>
      </c>
      <c r="R1957">
        <f>IF(AND($K1957=1,AND(对接源_02物料!$X757="公司筐",N(对接源_02物料!$U757)&lt;&gt;0)),1,0)</f>
        <v>0</v>
      </c>
      <c r="S1957">
        <f>N(S1956)+$R1957</f>
        <v>1</v>
      </c>
      <c r="T1957">
        <f>IF(AND($K1957=1,AND(对接源_02物料!$X757="公司筐",N(对接源_02物料!$V757)&lt;&gt;0)),1,0)</f>
        <v>0</v>
      </c>
      <c r="U1957">
        <f>N(U1956)+$T1957</f>
        <v>47</v>
      </c>
      <c r="V1957">
        <f>IF(AND($L1957=1,AND(对接源_02物料!$X757="自备筐",N(对接源_02物料!$V757)&lt;&gt;0)),1,0)</f>
        <v>0</v>
      </c>
      <c r="W1957">
        <f>N(W1956)+$V1957</f>
        <v>11</v>
      </c>
      <c r="X1957">
        <f>IF(AND($L1957=1,AND(对接源_02物料!$X757="自备筐",N(对接源_02物料!$T757)&lt;&gt;0)),1,0)</f>
        <v>0</v>
      </c>
      <c r="Y1957">
        <f>N(Y1956)+$X1957</f>
        <v>0</v>
      </c>
      <c r="Z1957">
        <f>IF(AND($M1957=1,对接源_02物料!$D757="原料入库"),1,0)</f>
        <v>0</v>
      </c>
      <c r="AA1957">
        <f>N(AA1956)+$Z1957</f>
        <v>24</v>
      </c>
      <c r="AB1957">
        <f>IF(AND($M1957=1,LEFT(对接源_02物料!$D757,4)="原料出库"),1,0)</f>
        <v>0</v>
      </c>
      <c r="AC1957">
        <f>N(AC1956)+$AB1957</f>
        <v>0</v>
      </c>
      <c r="AD1957">
        <f>IF(AND($M1957=1,LEFT(对接源_02物料!$D757,4)="成品出库"),1,0)</f>
        <v>0</v>
      </c>
      <c r="AE1957">
        <f>N(AE1956)+$AD1957</f>
        <v>0</v>
      </c>
      <c r="AF1957">
        <f>IF(AND($N1957=1,AND(LEFT(对接源_02物料!$D757,4)="包装物料",N(对接源_02物料!$K757)&lt;&gt;0)),1,0)</f>
        <v>0</v>
      </c>
      <c r="AG1957">
        <f>N(AG1956)+$AF1957</f>
        <v>10</v>
      </c>
      <c r="AH1957">
        <f>IF(AND($N1957=1,AND(对接源_02物料!$D757="周转筐－销售出库",N(对接源_02物料!$K757)&lt;&gt;0)),1,0)</f>
        <v>0</v>
      </c>
      <c r="AI1957">
        <f>N(AI1956)+$AH1957</f>
        <v>0</v>
      </c>
      <c r="AL1957" t="n">
        <v>0</v>
      </c>
      <c r="AM1957">
        <f>N(AM1956)+$AL1957</f>
        <v>2</v>
      </c>
      <c r="AN1957">
        <f>""</f>
      </c>
      <c r="AO1957" t="n">
        <v>0</v>
      </c>
      <c r="AP1957">
        <f>N(AP1956)+$AO1957</f>
        <v>13</v>
      </c>
      <c r="AR1957">
        <f>IF(OR($AF1957=1,$AH1957=1),1,0)</f>
        <v>0</v>
      </c>
      <c r="AS1957">
        <f>N(AS1956)+$AR1957</f>
        <v>10</v>
      </c>
    </row>
    <row r="1958" s="127">
      <c r="A1958">
        <f>IF(对接源_02物料!$C758="","",对接源_02物料!$C758)</f>
      </c>
      <c r="B1958">
        <f>IF(A1958="",0,IF(MATCH(A1958,$A$4:$A$2403,0)=ROW()-3,1,0))</f>
        <v>0</v>
      </c>
      <c r="C1958">
        <f>N(C1957)+B1958</f>
        <v>26</v>
      </c>
      <c r="K1958">
        <f>IF(OR($K$1="",对接源_02物料!$C758="",对接源_02物料!$C758&lt;&gt;$K$1,对接源_02物料!$B758=""),0,IF(OR(N(对接源_02物料!$B758)&lt;$K$2,N(对接源_02物料!$B758)&gt;$K$3),0,1))</f>
        <v>0</v>
      </c>
      <c r="L1958">
        <f>IF(OR($L$1="",对接源_02物料!$C758="",对接源_02物料!$C758&lt;&gt;$L$1,对接源_02物料!$B758=""),0,IF(OR(N(对接源_02物料!$B758)&lt;$L$2,N(对接源_02物料!$B758)&gt;$L$3),0,1))</f>
        <v>0</v>
      </c>
      <c r="M1958">
        <f>IF(OR($M$1="",对接源_02物料!$C758="",对接源_02物料!$C758&lt;&gt;$M$1,对接源_02物料!$B758=""),0,IF(OR(N(对接源_02物料!$B758)&lt;$M$2,N(对接源_02物料!$B758)&gt;$M$3),0,1))</f>
        <v>0</v>
      </c>
      <c r="N1958">
        <f>IF(OR($N$1="",对接源_02物料!$C758="",对接源_02物料!$C758&lt;&gt;$N$1,对接源_02物料!$B758=""),0,IF(OR(N(对接源_02物料!$B758)&lt;$N$2,N(对接源_02物料!$B758)&gt;$N$3),0,1))</f>
        <v>0</v>
      </c>
      <c r="P1958">
        <f>IF(AND($K1958=1,AND(对接源_02物料!$X758="公司筐",N(对接源_02物料!$T758)&lt;&gt;0)),1,0)</f>
        <v>0</v>
      </c>
      <c r="Q1958">
        <f>N(Q1957)+$P1958</f>
        <v>14</v>
      </c>
      <c r="R1958">
        <f>IF(AND($K1958=1,AND(对接源_02物料!$X758="公司筐",N(对接源_02物料!$U758)&lt;&gt;0)),1,0)</f>
        <v>0</v>
      </c>
      <c r="S1958">
        <f>N(S1957)+$R1958</f>
        <v>1</v>
      </c>
      <c r="T1958">
        <f>IF(AND($K1958=1,AND(对接源_02物料!$X758="公司筐",N(对接源_02物料!$V758)&lt;&gt;0)),1,0)</f>
        <v>0</v>
      </c>
      <c r="U1958">
        <f>N(U1957)+$T1958</f>
        <v>47</v>
      </c>
      <c r="V1958">
        <f>IF(AND($L1958=1,AND(对接源_02物料!$X758="自备筐",N(对接源_02物料!$V758)&lt;&gt;0)),1,0)</f>
        <v>0</v>
      </c>
      <c r="W1958">
        <f>N(W1957)+$V1958</f>
        <v>11</v>
      </c>
      <c r="X1958">
        <f>IF(AND($L1958=1,AND(对接源_02物料!$X758="自备筐",N(对接源_02物料!$T758)&lt;&gt;0)),1,0)</f>
        <v>0</v>
      </c>
      <c r="Y1958">
        <f>N(Y1957)+$X1958</f>
        <v>0</v>
      </c>
      <c r="Z1958">
        <f>IF(AND($M1958=1,对接源_02物料!$D758="原料入库"),1,0)</f>
        <v>0</v>
      </c>
      <c r="AA1958">
        <f>N(AA1957)+$Z1958</f>
        <v>24</v>
      </c>
      <c r="AB1958">
        <f>IF(AND($M1958=1,LEFT(对接源_02物料!$D758,4)="原料出库"),1,0)</f>
        <v>0</v>
      </c>
      <c r="AC1958">
        <f>N(AC1957)+$AB1958</f>
        <v>0</v>
      </c>
      <c r="AD1958">
        <f>IF(AND($M1958=1,LEFT(对接源_02物料!$D758,4)="成品出库"),1,0)</f>
        <v>0</v>
      </c>
      <c r="AE1958">
        <f>N(AE1957)+$AD1958</f>
        <v>0</v>
      </c>
      <c r="AF1958">
        <f>IF(AND($N1958=1,AND(LEFT(对接源_02物料!$D758,4)="包装物料",N(对接源_02物料!$K758)&lt;&gt;0)),1,0)</f>
        <v>0</v>
      </c>
      <c r="AG1958">
        <f>N(AG1957)+$AF1958</f>
        <v>10</v>
      </c>
      <c r="AH1958">
        <f>IF(AND($N1958=1,AND(对接源_02物料!$D758="周转筐－销售出库",N(对接源_02物料!$K758)&lt;&gt;0)),1,0)</f>
        <v>0</v>
      </c>
      <c r="AI1958">
        <f>N(AI1957)+$AH1958</f>
        <v>0</v>
      </c>
      <c r="AL1958" t="n">
        <v>0</v>
      </c>
      <c r="AM1958">
        <f>N(AM1957)+$AL1958</f>
        <v>2</v>
      </c>
      <c r="AN1958">
        <f>""</f>
      </c>
      <c r="AO1958" t="n">
        <v>0</v>
      </c>
      <c r="AP1958">
        <f>N(AP1957)+$AO1958</f>
        <v>13</v>
      </c>
      <c r="AR1958">
        <f>IF(OR($AF1958=1,$AH1958=1),1,0)</f>
        <v>0</v>
      </c>
      <c r="AS1958">
        <f>N(AS1957)+$AR1958</f>
        <v>10</v>
      </c>
    </row>
    <row r="1959" s="127">
      <c r="A1959">
        <f>IF(对接源_02物料!$C759="","",对接源_02物料!$C759)</f>
      </c>
      <c r="B1959">
        <f>IF(A1959="",0,IF(MATCH(A1959,$A$4:$A$2403,0)=ROW()-3,1,0))</f>
        <v>0</v>
      </c>
      <c r="C1959">
        <f>N(C1958)+B1959</f>
        <v>26</v>
      </c>
      <c r="K1959">
        <f>IF(OR($K$1="",对接源_02物料!$C759="",对接源_02物料!$C759&lt;&gt;$K$1,对接源_02物料!$B759=""),0,IF(OR(N(对接源_02物料!$B759)&lt;$K$2,N(对接源_02物料!$B759)&gt;$K$3),0,1))</f>
        <v>0</v>
      </c>
      <c r="L1959">
        <f>IF(OR($L$1="",对接源_02物料!$C759="",对接源_02物料!$C759&lt;&gt;$L$1,对接源_02物料!$B759=""),0,IF(OR(N(对接源_02物料!$B759)&lt;$L$2,N(对接源_02物料!$B759)&gt;$L$3),0,1))</f>
        <v>0</v>
      </c>
      <c r="M1959">
        <f>IF(OR($M$1="",对接源_02物料!$C759="",对接源_02物料!$C759&lt;&gt;$M$1,对接源_02物料!$B759=""),0,IF(OR(N(对接源_02物料!$B759)&lt;$M$2,N(对接源_02物料!$B759)&gt;$M$3),0,1))</f>
        <v>0</v>
      </c>
      <c r="N1959">
        <f>IF(OR($N$1="",对接源_02物料!$C759="",对接源_02物料!$C759&lt;&gt;$N$1,对接源_02物料!$B759=""),0,IF(OR(N(对接源_02物料!$B759)&lt;$N$2,N(对接源_02物料!$B759)&gt;$N$3),0,1))</f>
        <v>0</v>
      </c>
      <c r="P1959">
        <f>IF(AND($K1959=1,AND(对接源_02物料!$X759="公司筐",N(对接源_02物料!$T759)&lt;&gt;0)),1,0)</f>
        <v>0</v>
      </c>
      <c r="Q1959">
        <f>N(Q1958)+$P1959</f>
        <v>14</v>
      </c>
      <c r="R1959">
        <f>IF(AND($K1959=1,AND(对接源_02物料!$X759="公司筐",N(对接源_02物料!$U759)&lt;&gt;0)),1,0)</f>
        <v>0</v>
      </c>
      <c r="S1959">
        <f>N(S1958)+$R1959</f>
        <v>1</v>
      </c>
      <c r="T1959">
        <f>IF(AND($K1959=1,AND(对接源_02物料!$X759="公司筐",N(对接源_02物料!$V759)&lt;&gt;0)),1,0)</f>
        <v>0</v>
      </c>
      <c r="U1959">
        <f>N(U1958)+$T1959</f>
        <v>47</v>
      </c>
      <c r="V1959">
        <f>IF(AND($L1959=1,AND(对接源_02物料!$X759="自备筐",N(对接源_02物料!$V759)&lt;&gt;0)),1,0)</f>
        <v>0</v>
      </c>
      <c r="W1959">
        <f>N(W1958)+$V1959</f>
        <v>11</v>
      </c>
      <c r="X1959">
        <f>IF(AND($L1959=1,AND(对接源_02物料!$X759="自备筐",N(对接源_02物料!$T759)&lt;&gt;0)),1,0)</f>
        <v>0</v>
      </c>
      <c r="Y1959">
        <f>N(Y1958)+$X1959</f>
        <v>0</v>
      </c>
      <c r="Z1959">
        <f>IF(AND($M1959=1,对接源_02物料!$D759="原料入库"),1,0)</f>
        <v>0</v>
      </c>
      <c r="AA1959">
        <f>N(AA1958)+$Z1959</f>
        <v>24</v>
      </c>
      <c r="AB1959">
        <f>IF(AND($M1959=1,LEFT(对接源_02物料!$D759,4)="原料出库"),1,0)</f>
        <v>0</v>
      </c>
      <c r="AC1959">
        <f>N(AC1958)+$AB1959</f>
        <v>0</v>
      </c>
      <c r="AD1959">
        <f>IF(AND($M1959=1,LEFT(对接源_02物料!$D759,4)="成品出库"),1,0)</f>
        <v>0</v>
      </c>
      <c r="AE1959">
        <f>N(AE1958)+$AD1959</f>
        <v>0</v>
      </c>
      <c r="AF1959">
        <f>IF(AND($N1959=1,AND(LEFT(对接源_02物料!$D759,4)="包装物料",N(对接源_02物料!$K759)&lt;&gt;0)),1,0)</f>
        <v>0</v>
      </c>
      <c r="AG1959">
        <f>N(AG1958)+$AF1959</f>
        <v>10</v>
      </c>
      <c r="AH1959">
        <f>IF(AND($N1959=1,AND(对接源_02物料!$D759="周转筐－销售出库",N(对接源_02物料!$K759)&lt;&gt;0)),1,0)</f>
        <v>0</v>
      </c>
      <c r="AI1959">
        <f>N(AI1958)+$AH1959</f>
        <v>0</v>
      </c>
      <c r="AL1959" t="n">
        <v>0</v>
      </c>
      <c r="AM1959">
        <f>N(AM1958)+$AL1959</f>
        <v>2</v>
      </c>
      <c r="AN1959">
        <f>""</f>
      </c>
      <c r="AO1959" t="n">
        <v>0</v>
      </c>
      <c r="AP1959">
        <f>N(AP1958)+$AO1959</f>
        <v>13</v>
      </c>
      <c r="AR1959">
        <f>IF(OR($AF1959=1,$AH1959=1),1,0)</f>
        <v>0</v>
      </c>
      <c r="AS1959">
        <f>N(AS1958)+$AR1959</f>
        <v>10</v>
      </c>
    </row>
    <row r="1960" s="127">
      <c r="A1960">
        <f>IF(对接源_02物料!$C760="","",对接源_02物料!$C760)</f>
      </c>
      <c r="B1960">
        <f>IF(A1960="",0,IF(MATCH(A1960,$A$4:$A$2403,0)=ROW()-3,1,0))</f>
        <v>0</v>
      </c>
      <c r="C1960">
        <f>N(C1959)+B1960</f>
        <v>26</v>
      </c>
      <c r="K1960">
        <f>IF(OR($K$1="",对接源_02物料!$C760="",对接源_02物料!$C760&lt;&gt;$K$1,对接源_02物料!$B760=""),0,IF(OR(N(对接源_02物料!$B760)&lt;$K$2,N(对接源_02物料!$B760)&gt;$K$3),0,1))</f>
        <v>0</v>
      </c>
      <c r="L1960">
        <f>IF(OR($L$1="",对接源_02物料!$C760="",对接源_02物料!$C760&lt;&gt;$L$1,对接源_02物料!$B760=""),0,IF(OR(N(对接源_02物料!$B760)&lt;$L$2,N(对接源_02物料!$B760)&gt;$L$3),0,1))</f>
        <v>0</v>
      </c>
      <c r="M1960">
        <f>IF(OR($M$1="",对接源_02物料!$C760="",对接源_02物料!$C760&lt;&gt;$M$1,对接源_02物料!$B760=""),0,IF(OR(N(对接源_02物料!$B760)&lt;$M$2,N(对接源_02物料!$B760)&gt;$M$3),0,1))</f>
        <v>0</v>
      </c>
      <c r="N1960">
        <f>IF(OR($N$1="",对接源_02物料!$C760="",对接源_02物料!$C760&lt;&gt;$N$1,对接源_02物料!$B760=""),0,IF(OR(N(对接源_02物料!$B760)&lt;$N$2,N(对接源_02物料!$B760)&gt;$N$3),0,1))</f>
        <v>0</v>
      </c>
      <c r="P1960">
        <f>IF(AND($K1960=1,AND(对接源_02物料!$X760="公司筐",N(对接源_02物料!$T760)&lt;&gt;0)),1,0)</f>
        <v>0</v>
      </c>
      <c r="Q1960">
        <f>N(Q1959)+$P1960</f>
        <v>14</v>
      </c>
      <c r="R1960">
        <f>IF(AND($K1960=1,AND(对接源_02物料!$X760="公司筐",N(对接源_02物料!$U760)&lt;&gt;0)),1,0)</f>
        <v>0</v>
      </c>
      <c r="S1960">
        <f>N(S1959)+$R1960</f>
        <v>1</v>
      </c>
      <c r="T1960">
        <f>IF(AND($K1960=1,AND(对接源_02物料!$X760="公司筐",N(对接源_02物料!$V760)&lt;&gt;0)),1,0)</f>
        <v>0</v>
      </c>
      <c r="U1960">
        <f>N(U1959)+$T1960</f>
        <v>47</v>
      </c>
      <c r="V1960">
        <f>IF(AND($L1960=1,AND(对接源_02物料!$X760="自备筐",N(对接源_02物料!$V760)&lt;&gt;0)),1,0)</f>
        <v>0</v>
      </c>
      <c r="W1960">
        <f>N(W1959)+$V1960</f>
        <v>11</v>
      </c>
      <c r="X1960">
        <f>IF(AND($L1960=1,AND(对接源_02物料!$X760="自备筐",N(对接源_02物料!$T760)&lt;&gt;0)),1,0)</f>
        <v>0</v>
      </c>
      <c r="Y1960">
        <f>N(Y1959)+$X1960</f>
        <v>0</v>
      </c>
      <c r="Z1960">
        <f>IF(AND($M1960=1,对接源_02物料!$D760="原料入库"),1,0)</f>
        <v>0</v>
      </c>
      <c r="AA1960">
        <f>N(AA1959)+$Z1960</f>
        <v>24</v>
      </c>
      <c r="AB1960">
        <f>IF(AND($M1960=1,LEFT(对接源_02物料!$D760,4)="原料出库"),1,0)</f>
        <v>0</v>
      </c>
      <c r="AC1960">
        <f>N(AC1959)+$AB1960</f>
        <v>0</v>
      </c>
      <c r="AD1960">
        <f>IF(AND($M1960=1,LEFT(对接源_02物料!$D760,4)="成品出库"),1,0)</f>
        <v>0</v>
      </c>
      <c r="AE1960">
        <f>N(AE1959)+$AD1960</f>
        <v>0</v>
      </c>
      <c r="AF1960">
        <f>IF(AND($N1960=1,AND(LEFT(对接源_02物料!$D760,4)="包装物料",N(对接源_02物料!$K760)&lt;&gt;0)),1,0)</f>
        <v>0</v>
      </c>
      <c r="AG1960">
        <f>N(AG1959)+$AF1960</f>
        <v>10</v>
      </c>
      <c r="AH1960">
        <f>IF(AND($N1960=1,AND(对接源_02物料!$D760="周转筐－销售出库",N(对接源_02物料!$K760)&lt;&gt;0)),1,0)</f>
        <v>0</v>
      </c>
      <c r="AI1960">
        <f>N(AI1959)+$AH1960</f>
        <v>0</v>
      </c>
      <c r="AL1960" t="n">
        <v>0</v>
      </c>
      <c r="AM1960">
        <f>N(AM1959)+$AL1960</f>
        <v>2</v>
      </c>
      <c r="AN1960">
        <f>""</f>
      </c>
      <c r="AO1960" t="n">
        <v>0</v>
      </c>
      <c r="AP1960">
        <f>N(AP1959)+$AO1960</f>
        <v>13</v>
      </c>
      <c r="AR1960">
        <f>IF(OR($AF1960=1,$AH1960=1),1,0)</f>
        <v>0</v>
      </c>
      <c r="AS1960">
        <f>N(AS1959)+$AR1960</f>
        <v>10</v>
      </c>
    </row>
    <row r="1961" s="127">
      <c r="A1961">
        <f>IF(对接源_02物料!$C761="","",对接源_02物料!$C761)</f>
      </c>
      <c r="B1961">
        <f>IF(A1961="",0,IF(MATCH(A1961,$A$4:$A$2403,0)=ROW()-3,1,0))</f>
        <v>0</v>
      </c>
      <c r="C1961">
        <f>N(C1960)+B1961</f>
        <v>26</v>
      </c>
      <c r="K1961">
        <f>IF(OR($K$1="",对接源_02物料!$C761="",对接源_02物料!$C761&lt;&gt;$K$1,对接源_02物料!$B761=""),0,IF(OR(N(对接源_02物料!$B761)&lt;$K$2,N(对接源_02物料!$B761)&gt;$K$3),0,1))</f>
        <v>0</v>
      </c>
      <c r="L1961">
        <f>IF(OR($L$1="",对接源_02物料!$C761="",对接源_02物料!$C761&lt;&gt;$L$1,对接源_02物料!$B761=""),0,IF(OR(N(对接源_02物料!$B761)&lt;$L$2,N(对接源_02物料!$B761)&gt;$L$3),0,1))</f>
        <v>0</v>
      </c>
      <c r="M1961">
        <f>IF(OR($M$1="",对接源_02物料!$C761="",对接源_02物料!$C761&lt;&gt;$M$1,对接源_02物料!$B761=""),0,IF(OR(N(对接源_02物料!$B761)&lt;$M$2,N(对接源_02物料!$B761)&gt;$M$3),0,1))</f>
        <v>0</v>
      </c>
      <c r="N1961">
        <f>IF(OR($N$1="",对接源_02物料!$C761="",对接源_02物料!$C761&lt;&gt;$N$1,对接源_02物料!$B761=""),0,IF(OR(N(对接源_02物料!$B761)&lt;$N$2,N(对接源_02物料!$B761)&gt;$N$3),0,1))</f>
        <v>0</v>
      </c>
      <c r="P1961">
        <f>IF(AND($K1961=1,AND(对接源_02物料!$X761="公司筐",N(对接源_02物料!$T761)&lt;&gt;0)),1,0)</f>
        <v>0</v>
      </c>
      <c r="Q1961">
        <f>N(Q1960)+$P1961</f>
        <v>14</v>
      </c>
      <c r="R1961">
        <f>IF(AND($K1961=1,AND(对接源_02物料!$X761="公司筐",N(对接源_02物料!$U761)&lt;&gt;0)),1,0)</f>
        <v>0</v>
      </c>
      <c r="S1961">
        <f>N(S1960)+$R1961</f>
        <v>1</v>
      </c>
      <c r="T1961">
        <f>IF(AND($K1961=1,AND(对接源_02物料!$X761="公司筐",N(对接源_02物料!$V761)&lt;&gt;0)),1,0)</f>
        <v>0</v>
      </c>
      <c r="U1961">
        <f>N(U1960)+$T1961</f>
        <v>47</v>
      </c>
      <c r="V1961">
        <f>IF(AND($L1961=1,AND(对接源_02物料!$X761="自备筐",N(对接源_02物料!$V761)&lt;&gt;0)),1,0)</f>
        <v>0</v>
      </c>
      <c r="W1961">
        <f>N(W1960)+$V1961</f>
        <v>11</v>
      </c>
      <c r="X1961">
        <f>IF(AND($L1961=1,AND(对接源_02物料!$X761="自备筐",N(对接源_02物料!$T761)&lt;&gt;0)),1,0)</f>
        <v>0</v>
      </c>
      <c r="Y1961">
        <f>N(Y1960)+$X1961</f>
        <v>0</v>
      </c>
      <c r="Z1961">
        <f>IF(AND($M1961=1,对接源_02物料!$D761="原料入库"),1,0)</f>
        <v>0</v>
      </c>
      <c r="AA1961">
        <f>N(AA1960)+$Z1961</f>
        <v>24</v>
      </c>
      <c r="AB1961">
        <f>IF(AND($M1961=1,LEFT(对接源_02物料!$D761,4)="原料出库"),1,0)</f>
        <v>0</v>
      </c>
      <c r="AC1961">
        <f>N(AC1960)+$AB1961</f>
        <v>0</v>
      </c>
      <c r="AD1961">
        <f>IF(AND($M1961=1,LEFT(对接源_02物料!$D761,4)="成品出库"),1,0)</f>
        <v>0</v>
      </c>
      <c r="AE1961">
        <f>N(AE1960)+$AD1961</f>
        <v>0</v>
      </c>
      <c r="AF1961">
        <f>IF(AND($N1961=1,AND(LEFT(对接源_02物料!$D761,4)="包装物料",N(对接源_02物料!$K761)&lt;&gt;0)),1,0)</f>
        <v>0</v>
      </c>
      <c r="AG1961">
        <f>N(AG1960)+$AF1961</f>
        <v>10</v>
      </c>
      <c r="AH1961">
        <f>IF(AND($N1961=1,AND(对接源_02物料!$D761="周转筐－销售出库",N(对接源_02物料!$K761)&lt;&gt;0)),1,0)</f>
        <v>0</v>
      </c>
      <c r="AI1961">
        <f>N(AI1960)+$AH1961</f>
        <v>0</v>
      </c>
      <c r="AL1961" t="n">
        <v>0</v>
      </c>
      <c r="AM1961">
        <f>N(AM1960)+$AL1961</f>
        <v>2</v>
      </c>
      <c r="AN1961">
        <f>""</f>
      </c>
      <c r="AO1961" t="n">
        <v>0</v>
      </c>
      <c r="AP1961">
        <f>N(AP1960)+$AO1961</f>
        <v>13</v>
      </c>
      <c r="AR1961">
        <f>IF(OR($AF1961=1,$AH1961=1),1,0)</f>
        <v>0</v>
      </c>
      <c r="AS1961">
        <f>N(AS1960)+$AR1961</f>
        <v>10</v>
      </c>
    </row>
    <row r="1962" s="127">
      <c r="A1962">
        <f>IF(对接源_02物料!$C762="","",对接源_02物料!$C762)</f>
      </c>
      <c r="B1962">
        <f>IF(A1962="",0,IF(MATCH(A1962,$A$4:$A$2403,0)=ROW()-3,1,0))</f>
        <v>0</v>
      </c>
      <c r="C1962">
        <f>N(C1961)+B1962</f>
        <v>26</v>
      </c>
      <c r="K1962">
        <f>IF(OR($K$1="",对接源_02物料!$C762="",对接源_02物料!$C762&lt;&gt;$K$1,对接源_02物料!$B762=""),0,IF(OR(N(对接源_02物料!$B762)&lt;$K$2,N(对接源_02物料!$B762)&gt;$K$3),0,1))</f>
        <v>0</v>
      </c>
      <c r="L1962">
        <f>IF(OR($L$1="",对接源_02物料!$C762="",对接源_02物料!$C762&lt;&gt;$L$1,对接源_02物料!$B762=""),0,IF(OR(N(对接源_02物料!$B762)&lt;$L$2,N(对接源_02物料!$B762)&gt;$L$3),0,1))</f>
        <v>0</v>
      </c>
      <c r="M1962">
        <f>IF(OR($M$1="",对接源_02物料!$C762="",对接源_02物料!$C762&lt;&gt;$M$1,对接源_02物料!$B762=""),0,IF(OR(N(对接源_02物料!$B762)&lt;$M$2,N(对接源_02物料!$B762)&gt;$M$3),0,1))</f>
        <v>0</v>
      </c>
      <c r="N1962">
        <f>IF(OR($N$1="",对接源_02物料!$C762="",对接源_02物料!$C762&lt;&gt;$N$1,对接源_02物料!$B762=""),0,IF(OR(N(对接源_02物料!$B762)&lt;$N$2,N(对接源_02物料!$B762)&gt;$N$3),0,1))</f>
        <v>0</v>
      </c>
      <c r="P1962">
        <f>IF(AND($K1962=1,AND(对接源_02物料!$X762="公司筐",N(对接源_02物料!$T762)&lt;&gt;0)),1,0)</f>
        <v>0</v>
      </c>
      <c r="Q1962">
        <f>N(Q1961)+$P1962</f>
        <v>14</v>
      </c>
      <c r="R1962">
        <f>IF(AND($K1962=1,AND(对接源_02物料!$X762="公司筐",N(对接源_02物料!$U762)&lt;&gt;0)),1,0)</f>
        <v>0</v>
      </c>
      <c r="S1962">
        <f>N(S1961)+$R1962</f>
        <v>1</v>
      </c>
      <c r="T1962">
        <f>IF(AND($K1962=1,AND(对接源_02物料!$X762="公司筐",N(对接源_02物料!$V762)&lt;&gt;0)),1,0)</f>
        <v>0</v>
      </c>
      <c r="U1962">
        <f>N(U1961)+$T1962</f>
        <v>47</v>
      </c>
      <c r="V1962">
        <f>IF(AND($L1962=1,AND(对接源_02物料!$X762="自备筐",N(对接源_02物料!$V762)&lt;&gt;0)),1,0)</f>
        <v>0</v>
      </c>
      <c r="W1962">
        <f>N(W1961)+$V1962</f>
        <v>11</v>
      </c>
      <c r="X1962">
        <f>IF(AND($L1962=1,AND(对接源_02物料!$X762="自备筐",N(对接源_02物料!$T762)&lt;&gt;0)),1,0)</f>
        <v>0</v>
      </c>
      <c r="Y1962">
        <f>N(Y1961)+$X1962</f>
        <v>0</v>
      </c>
      <c r="Z1962">
        <f>IF(AND($M1962=1,对接源_02物料!$D762="原料入库"),1,0)</f>
        <v>0</v>
      </c>
      <c r="AA1962">
        <f>N(AA1961)+$Z1962</f>
        <v>24</v>
      </c>
      <c r="AB1962">
        <f>IF(AND($M1962=1,LEFT(对接源_02物料!$D762,4)="原料出库"),1,0)</f>
        <v>0</v>
      </c>
      <c r="AC1962">
        <f>N(AC1961)+$AB1962</f>
        <v>0</v>
      </c>
      <c r="AD1962">
        <f>IF(AND($M1962=1,LEFT(对接源_02物料!$D762,4)="成品出库"),1,0)</f>
        <v>0</v>
      </c>
      <c r="AE1962">
        <f>N(AE1961)+$AD1962</f>
        <v>0</v>
      </c>
      <c r="AF1962">
        <f>IF(AND($N1962=1,AND(LEFT(对接源_02物料!$D762,4)="包装物料",N(对接源_02物料!$K762)&lt;&gt;0)),1,0)</f>
        <v>0</v>
      </c>
      <c r="AG1962">
        <f>N(AG1961)+$AF1962</f>
        <v>10</v>
      </c>
      <c r="AH1962">
        <f>IF(AND($N1962=1,AND(对接源_02物料!$D762="周转筐－销售出库",N(对接源_02物料!$K762)&lt;&gt;0)),1,0)</f>
        <v>0</v>
      </c>
      <c r="AI1962">
        <f>N(AI1961)+$AH1962</f>
        <v>0</v>
      </c>
      <c r="AL1962" t="n">
        <v>0</v>
      </c>
      <c r="AM1962">
        <f>N(AM1961)+$AL1962</f>
        <v>2</v>
      </c>
      <c r="AN1962">
        <f>""</f>
      </c>
      <c r="AO1962" t="n">
        <v>0</v>
      </c>
      <c r="AP1962">
        <f>N(AP1961)+$AO1962</f>
        <v>13</v>
      </c>
      <c r="AR1962">
        <f>IF(OR($AF1962=1,$AH1962=1),1,0)</f>
        <v>0</v>
      </c>
      <c r="AS1962">
        <f>N(AS1961)+$AR1962</f>
        <v>10</v>
      </c>
    </row>
    <row r="1963" s="127">
      <c r="A1963">
        <f>IF(对接源_02物料!$C763="","",对接源_02物料!$C763)</f>
      </c>
      <c r="B1963">
        <f>IF(A1963="",0,IF(MATCH(A1963,$A$4:$A$2403,0)=ROW()-3,1,0))</f>
        <v>0</v>
      </c>
      <c r="C1963">
        <f>N(C1962)+B1963</f>
        <v>26</v>
      </c>
      <c r="K1963">
        <f>IF(OR($K$1="",对接源_02物料!$C763="",对接源_02物料!$C763&lt;&gt;$K$1,对接源_02物料!$B763=""),0,IF(OR(N(对接源_02物料!$B763)&lt;$K$2,N(对接源_02物料!$B763)&gt;$K$3),0,1))</f>
        <v>0</v>
      </c>
      <c r="L1963">
        <f>IF(OR($L$1="",对接源_02物料!$C763="",对接源_02物料!$C763&lt;&gt;$L$1,对接源_02物料!$B763=""),0,IF(OR(N(对接源_02物料!$B763)&lt;$L$2,N(对接源_02物料!$B763)&gt;$L$3),0,1))</f>
        <v>0</v>
      </c>
      <c r="M1963">
        <f>IF(OR($M$1="",对接源_02物料!$C763="",对接源_02物料!$C763&lt;&gt;$M$1,对接源_02物料!$B763=""),0,IF(OR(N(对接源_02物料!$B763)&lt;$M$2,N(对接源_02物料!$B763)&gt;$M$3),0,1))</f>
        <v>0</v>
      </c>
      <c r="N1963">
        <f>IF(OR($N$1="",对接源_02物料!$C763="",对接源_02物料!$C763&lt;&gt;$N$1,对接源_02物料!$B763=""),0,IF(OR(N(对接源_02物料!$B763)&lt;$N$2,N(对接源_02物料!$B763)&gt;$N$3),0,1))</f>
        <v>0</v>
      </c>
      <c r="P1963">
        <f>IF(AND($K1963=1,AND(对接源_02物料!$X763="公司筐",N(对接源_02物料!$T763)&lt;&gt;0)),1,0)</f>
        <v>0</v>
      </c>
      <c r="Q1963">
        <f>N(Q1962)+$P1963</f>
        <v>14</v>
      </c>
      <c r="R1963">
        <f>IF(AND($K1963=1,AND(对接源_02物料!$X763="公司筐",N(对接源_02物料!$U763)&lt;&gt;0)),1,0)</f>
        <v>0</v>
      </c>
      <c r="S1963">
        <f>N(S1962)+$R1963</f>
        <v>1</v>
      </c>
      <c r="T1963">
        <f>IF(AND($K1963=1,AND(对接源_02物料!$X763="公司筐",N(对接源_02物料!$V763)&lt;&gt;0)),1,0)</f>
        <v>0</v>
      </c>
      <c r="U1963">
        <f>N(U1962)+$T1963</f>
        <v>47</v>
      </c>
      <c r="V1963">
        <f>IF(AND($L1963=1,AND(对接源_02物料!$X763="自备筐",N(对接源_02物料!$V763)&lt;&gt;0)),1,0)</f>
        <v>0</v>
      </c>
      <c r="W1963">
        <f>N(W1962)+$V1963</f>
        <v>11</v>
      </c>
      <c r="X1963">
        <f>IF(AND($L1963=1,AND(对接源_02物料!$X763="自备筐",N(对接源_02物料!$T763)&lt;&gt;0)),1,0)</f>
        <v>0</v>
      </c>
      <c r="Y1963">
        <f>N(Y1962)+$X1963</f>
        <v>0</v>
      </c>
      <c r="Z1963">
        <f>IF(AND($M1963=1,对接源_02物料!$D763="原料入库"),1,0)</f>
        <v>0</v>
      </c>
      <c r="AA1963">
        <f>N(AA1962)+$Z1963</f>
        <v>24</v>
      </c>
      <c r="AB1963">
        <f>IF(AND($M1963=1,LEFT(对接源_02物料!$D763,4)="原料出库"),1,0)</f>
        <v>0</v>
      </c>
      <c r="AC1963">
        <f>N(AC1962)+$AB1963</f>
        <v>0</v>
      </c>
      <c r="AD1963">
        <f>IF(AND($M1963=1,LEFT(对接源_02物料!$D763,4)="成品出库"),1,0)</f>
        <v>0</v>
      </c>
      <c r="AE1963">
        <f>N(AE1962)+$AD1963</f>
        <v>0</v>
      </c>
      <c r="AF1963">
        <f>IF(AND($N1963=1,AND(LEFT(对接源_02物料!$D763,4)="包装物料",N(对接源_02物料!$K763)&lt;&gt;0)),1,0)</f>
        <v>0</v>
      </c>
      <c r="AG1963">
        <f>N(AG1962)+$AF1963</f>
        <v>10</v>
      </c>
      <c r="AH1963">
        <f>IF(AND($N1963=1,AND(对接源_02物料!$D763="周转筐－销售出库",N(对接源_02物料!$K763)&lt;&gt;0)),1,0)</f>
        <v>0</v>
      </c>
      <c r="AI1963">
        <f>N(AI1962)+$AH1963</f>
        <v>0</v>
      </c>
      <c r="AL1963" t="n">
        <v>0</v>
      </c>
      <c r="AM1963">
        <f>N(AM1962)+$AL1963</f>
        <v>2</v>
      </c>
      <c r="AN1963">
        <f>""</f>
      </c>
      <c r="AO1963" t="n">
        <v>0</v>
      </c>
      <c r="AP1963">
        <f>N(AP1962)+$AO1963</f>
        <v>13</v>
      </c>
      <c r="AR1963">
        <f>IF(OR($AF1963=1,$AH1963=1),1,0)</f>
        <v>0</v>
      </c>
      <c r="AS1963">
        <f>N(AS1962)+$AR1963</f>
        <v>10</v>
      </c>
    </row>
    <row r="1964" s="127">
      <c r="A1964">
        <f>IF(对接源_02物料!$C764="","",对接源_02物料!$C764)</f>
      </c>
      <c r="B1964">
        <f>IF(A1964="",0,IF(MATCH(A1964,$A$4:$A$2403,0)=ROW()-3,1,0))</f>
        <v>0</v>
      </c>
      <c r="C1964">
        <f>N(C1963)+B1964</f>
        <v>26</v>
      </c>
      <c r="K1964">
        <f>IF(OR($K$1="",对接源_02物料!$C764="",对接源_02物料!$C764&lt;&gt;$K$1,对接源_02物料!$B764=""),0,IF(OR(N(对接源_02物料!$B764)&lt;$K$2,N(对接源_02物料!$B764)&gt;$K$3),0,1))</f>
        <v>0</v>
      </c>
      <c r="L1964">
        <f>IF(OR($L$1="",对接源_02物料!$C764="",对接源_02物料!$C764&lt;&gt;$L$1,对接源_02物料!$B764=""),0,IF(OR(N(对接源_02物料!$B764)&lt;$L$2,N(对接源_02物料!$B764)&gt;$L$3),0,1))</f>
        <v>0</v>
      </c>
      <c r="M1964">
        <f>IF(OR($M$1="",对接源_02物料!$C764="",对接源_02物料!$C764&lt;&gt;$M$1,对接源_02物料!$B764=""),0,IF(OR(N(对接源_02物料!$B764)&lt;$M$2,N(对接源_02物料!$B764)&gt;$M$3),0,1))</f>
        <v>0</v>
      </c>
      <c r="N1964">
        <f>IF(OR($N$1="",对接源_02物料!$C764="",对接源_02物料!$C764&lt;&gt;$N$1,对接源_02物料!$B764=""),0,IF(OR(N(对接源_02物料!$B764)&lt;$N$2,N(对接源_02物料!$B764)&gt;$N$3),0,1))</f>
        <v>0</v>
      </c>
      <c r="P1964">
        <f>IF(AND($K1964=1,AND(对接源_02物料!$X764="公司筐",N(对接源_02物料!$T764)&lt;&gt;0)),1,0)</f>
        <v>0</v>
      </c>
      <c r="Q1964">
        <f>N(Q1963)+$P1964</f>
        <v>14</v>
      </c>
      <c r="R1964">
        <f>IF(AND($K1964=1,AND(对接源_02物料!$X764="公司筐",N(对接源_02物料!$U764)&lt;&gt;0)),1,0)</f>
        <v>0</v>
      </c>
      <c r="S1964">
        <f>N(S1963)+$R1964</f>
        <v>1</v>
      </c>
      <c r="T1964">
        <f>IF(AND($K1964=1,AND(对接源_02物料!$X764="公司筐",N(对接源_02物料!$V764)&lt;&gt;0)),1,0)</f>
        <v>0</v>
      </c>
      <c r="U1964">
        <f>N(U1963)+$T1964</f>
        <v>47</v>
      </c>
      <c r="V1964">
        <f>IF(AND($L1964=1,AND(对接源_02物料!$X764="自备筐",N(对接源_02物料!$V764)&lt;&gt;0)),1,0)</f>
        <v>0</v>
      </c>
      <c r="W1964">
        <f>N(W1963)+$V1964</f>
        <v>11</v>
      </c>
      <c r="X1964">
        <f>IF(AND($L1964=1,AND(对接源_02物料!$X764="自备筐",N(对接源_02物料!$T764)&lt;&gt;0)),1,0)</f>
        <v>0</v>
      </c>
      <c r="Y1964">
        <f>N(Y1963)+$X1964</f>
        <v>0</v>
      </c>
      <c r="Z1964">
        <f>IF(AND($M1964=1,对接源_02物料!$D764="原料入库"),1,0)</f>
        <v>0</v>
      </c>
      <c r="AA1964">
        <f>N(AA1963)+$Z1964</f>
        <v>24</v>
      </c>
      <c r="AB1964">
        <f>IF(AND($M1964=1,LEFT(对接源_02物料!$D764,4)="原料出库"),1,0)</f>
        <v>0</v>
      </c>
      <c r="AC1964">
        <f>N(AC1963)+$AB1964</f>
        <v>0</v>
      </c>
      <c r="AD1964">
        <f>IF(AND($M1964=1,LEFT(对接源_02物料!$D764,4)="成品出库"),1,0)</f>
        <v>0</v>
      </c>
      <c r="AE1964">
        <f>N(AE1963)+$AD1964</f>
        <v>0</v>
      </c>
      <c r="AF1964">
        <f>IF(AND($N1964=1,AND(LEFT(对接源_02物料!$D764,4)="包装物料",N(对接源_02物料!$K764)&lt;&gt;0)),1,0)</f>
        <v>0</v>
      </c>
      <c r="AG1964">
        <f>N(AG1963)+$AF1964</f>
        <v>10</v>
      </c>
      <c r="AH1964">
        <f>IF(AND($N1964=1,AND(对接源_02物料!$D764="周转筐－销售出库",N(对接源_02物料!$K764)&lt;&gt;0)),1,0)</f>
        <v>0</v>
      </c>
      <c r="AI1964">
        <f>N(AI1963)+$AH1964</f>
        <v>0</v>
      </c>
      <c r="AL1964" t="n">
        <v>0</v>
      </c>
      <c r="AM1964">
        <f>N(AM1963)+$AL1964</f>
        <v>2</v>
      </c>
      <c r="AN1964">
        <f>""</f>
      </c>
      <c r="AO1964" t="n">
        <v>0</v>
      </c>
      <c r="AP1964">
        <f>N(AP1963)+$AO1964</f>
        <v>13</v>
      </c>
      <c r="AR1964">
        <f>IF(OR($AF1964=1,$AH1964=1),1,0)</f>
        <v>0</v>
      </c>
      <c r="AS1964">
        <f>N(AS1963)+$AR1964</f>
        <v>10</v>
      </c>
    </row>
    <row r="1965" s="127">
      <c r="A1965">
        <f>IF(对接源_02物料!$C765="","",对接源_02物料!$C765)</f>
      </c>
      <c r="B1965">
        <f>IF(A1965="",0,IF(MATCH(A1965,$A$4:$A$2403,0)=ROW()-3,1,0))</f>
        <v>0</v>
      </c>
      <c r="C1965">
        <f>N(C1964)+B1965</f>
        <v>26</v>
      </c>
      <c r="K1965">
        <f>IF(OR($K$1="",对接源_02物料!$C765="",对接源_02物料!$C765&lt;&gt;$K$1,对接源_02物料!$B765=""),0,IF(OR(N(对接源_02物料!$B765)&lt;$K$2,N(对接源_02物料!$B765)&gt;$K$3),0,1))</f>
        <v>0</v>
      </c>
      <c r="L1965">
        <f>IF(OR($L$1="",对接源_02物料!$C765="",对接源_02物料!$C765&lt;&gt;$L$1,对接源_02物料!$B765=""),0,IF(OR(N(对接源_02物料!$B765)&lt;$L$2,N(对接源_02物料!$B765)&gt;$L$3),0,1))</f>
        <v>0</v>
      </c>
      <c r="M1965">
        <f>IF(OR($M$1="",对接源_02物料!$C765="",对接源_02物料!$C765&lt;&gt;$M$1,对接源_02物料!$B765=""),0,IF(OR(N(对接源_02物料!$B765)&lt;$M$2,N(对接源_02物料!$B765)&gt;$M$3),0,1))</f>
        <v>0</v>
      </c>
      <c r="N1965">
        <f>IF(OR($N$1="",对接源_02物料!$C765="",对接源_02物料!$C765&lt;&gt;$N$1,对接源_02物料!$B765=""),0,IF(OR(N(对接源_02物料!$B765)&lt;$N$2,N(对接源_02物料!$B765)&gt;$N$3),0,1))</f>
        <v>0</v>
      </c>
      <c r="P1965">
        <f>IF(AND($K1965=1,AND(对接源_02物料!$X765="公司筐",N(对接源_02物料!$T765)&lt;&gt;0)),1,0)</f>
        <v>0</v>
      </c>
      <c r="Q1965">
        <f>N(Q1964)+$P1965</f>
        <v>14</v>
      </c>
      <c r="R1965">
        <f>IF(AND($K1965=1,AND(对接源_02物料!$X765="公司筐",N(对接源_02物料!$U765)&lt;&gt;0)),1,0)</f>
        <v>0</v>
      </c>
      <c r="S1965">
        <f>N(S1964)+$R1965</f>
        <v>1</v>
      </c>
      <c r="T1965">
        <f>IF(AND($K1965=1,AND(对接源_02物料!$X765="公司筐",N(对接源_02物料!$V765)&lt;&gt;0)),1,0)</f>
        <v>0</v>
      </c>
      <c r="U1965">
        <f>N(U1964)+$T1965</f>
        <v>47</v>
      </c>
      <c r="V1965">
        <f>IF(AND($L1965=1,AND(对接源_02物料!$X765="自备筐",N(对接源_02物料!$V765)&lt;&gt;0)),1,0)</f>
        <v>0</v>
      </c>
      <c r="W1965">
        <f>N(W1964)+$V1965</f>
        <v>11</v>
      </c>
      <c r="X1965">
        <f>IF(AND($L1965=1,AND(对接源_02物料!$X765="自备筐",N(对接源_02物料!$T765)&lt;&gt;0)),1,0)</f>
        <v>0</v>
      </c>
      <c r="Y1965">
        <f>N(Y1964)+$X1965</f>
        <v>0</v>
      </c>
      <c r="Z1965">
        <f>IF(AND($M1965=1,对接源_02物料!$D765="原料入库"),1,0)</f>
        <v>0</v>
      </c>
      <c r="AA1965">
        <f>N(AA1964)+$Z1965</f>
        <v>24</v>
      </c>
      <c r="AB1965">
        <f>IF(AND($M1965=1,LEFT(对接源_02物料!$D765,4)="原料出库"),1,0)</f>
        <v>0</v>
      </c>
      <c r="AC1965">
        <f>N(AC1964)+$AB1965</f>
        <v>0</v>
      </c>
      <c r="AD1965">
        <f>IF(AND($M1965=1,LEFT(对接源_02物料!$D765,4)="成品出库"),1,0)</f>
        <v>0</v>
      </c>
      <c r="AE1965">
        <f>N(AE1964)+$AD1965</f>
        <v>0</v>
      </c>
      <c r="AF1965">
        <f>IF(AND($N1965=1,AND(LEFT(对接源_02物料!$D765,4)="包装物料",N(对接源_02物料!$K765)&lt;&gt;0)),1,0)</f>
        <v>0</v>
      </c>
      <c r="AG1965">
        <f>N(AG1964)+$AF1965</f>
        <v>10</v>
      </c>
      <c r="AH1965">
        <f>IF(AND($N1965=1,AND(对接源_02物料!$D765="周转筐－销售出库",N(对接源_02物料!$K765)&lt;&gt;0)),1,0)</f>
        <v>0</v>
      </c>
      <c r="AI1965">
        <f>N(AI1964)+$AH1965</f>
        <v>0</v>
      </c>
      <c r="AL1965" t="n">
        <v>0</v>
      </c>
      <c r="AM1965">
        <f>N(AM1964)+$AL1965</f>
        <v>2</v>
      </c>
      <c r="AN1965">
        <f>""</f>
      </c>
      <c r="AO1965" t="n">
        <v>0</v>
      </c>
      <c r="AP1965">
        <f>N(AP1964)+$AO1965</f>
        <v>13</v>
      </c>
      <c r="AR1965">
        <f>IF(OR($AF1965=1,$AH1965=1),1,0)</f>
        <v>0</v>
      </c>
      <c r="AS1965">
        <f>N(AS1964)+$AR1965</f>
        <v>10</v>
      </c>
    </row>
    <row r="1966" s="127">
      <c r="A1966">
        <f>IF(对接源_02物料!$C766="","",对接源_02物料!$C766)</f>
      </c>
      <c r="B1966">
        <f>IF(A1966="",0,IF(MATCH(A1966,$A$4:$A$2403,0)=ROW()-3,1,0))</f>
        <v>0</v>
      </c>
      <c r="C1966">
        <f>N(C1965)+B1966</f>
        <v>26</v>
      </c>
      <c r="K1966">
        <f>IF(OR($K$1="",对接源_02物料!$C766="",对接源_02物料!$C766&lt;&gt;$K$1,对接源_02物料!$B766=""),0,IF(OR(N(对接源_02物料!$B766)&lt;$K$2,N(对接源_02物料!$B766)&gt;$K$3),0,1))</f>
        <v>0</v>
      </c>
      <c r="L1966">
        <f>IF(OR($L$1="",对接源_02物料!$C766="",对接源_02物料!$C766&lt;&gt;$L$1,对接源_02物料!$B766=""),0,IF(OR(N(对接源_02物料!$B766)&lt;$L$2,N(对接源_02物料!$B766)&gt;$L$3),0,1))</f>
        <v>0</v>
      </c>
      <c r="M1966">
        <f>IF(OR($M$1="",对接源_02物料!$C766="",对接源_02物料!$C766&lt;&gt;$M$1,对接源_02物料!$B766=""),0,IF(OR(N(对接源_02物料!$B766)&lt;$M$2,N(对接源_02物料!$B766)&gt;$M$3),0,1))</f>
        <v>0</v>
      </c>
      <c r="N1966">
        <f>IF(OR($N$1="",对接源_02物料!$C766="",对接源_02物料!$C766&lt;&gt;$N$1,对接源_02物料!$B766=""),0,IF(OR(N(对接源_02物料!$B766)&lt;$N$2,N(对接源_02物料!$B766)&gt;$N$3),0,1))</f>
        <v>0</v>
      </c>
      <c r="P1966">
        <f>IF(AND($K1966=1,AND(对接源_02物料!$X766="公司筐",N(对接源_02物料!$T766)&lt;&gt;0)),1,0)</f>
        <v>0</v>
      </c>
      <c r="Q1966">
        <f>N(Q1965)+$P1966</f>
        <v>14</v>
      </c>
      <c r="R1966">
        <f>IF(AND($K1966=1,AND(对接源_02物料!$X766="公司筐",N(对接源_02物料!$U766)&lt;&gt;0)),1,0)</f>
        <v>0</v>
      </c>
      <c r="S1966">
        <f>N(S1965)+$R1966</f>
        <v>1</v>
      </c>
      <c r="T1966">
        <f>IF(AND($K1966=1,AND(对接源_02物料!$X766="公司筐",N(对接源_02物料!$V766)&lt;&gt;0)),1,0)</f>
        <v>0</v>
      </c>
      <c r="U1966">
        <f>N(U1965)+$T1966</f>
        <v>47</v>
      </c>
      <c r="V1966">
        <f>IF(AND($L1966=1,AND(对接源_02物料!$X766="自备筐",N(对接源_02物料!$V766)&lt;&gt;0)),1,0)</f>
        <v>0</v>
      </c>
      <c r="W1966">
        <f>N(W1965)+$V1966</f>
        <v>11</v>
      </c>
      <c r="X1966">
        <f>IF(AND($L1966=1,AND(对接源_02物料!$X766="自备筐",N(对接源_02物料!$T766)&lt;&gt;0)),1,0)</f>
        <v>0</v>
      </c>
      <c r="Y1966">
        <f>N(Y1965)+$X1966</f>
        <v>0</v>
      </c>
      <c r="Z1966">
        <f>IF(AND($M1966=1,对接源_02物料!$D766="原料入库"),1,0)</f>
        <v>0</v>
      </c>
      <c r="AA1966">
        <f>N(AA1965)+$Z1966</f>
        <v>24</v>
      </c>
      <c r="AB1966">
        <f>IF(AND($M1966=1,LEFT(对接源_02物料!$D766,4)="原料出库"),1,0)</f>
        <v>0</v>
      </c>
      <c r="AC1966">
        <f>N(AC1965)+$AB1966</f>
        <v>0</v>
      </c>
      <c r="AD1966">
        <f>IF(AND($M1966=1,LEFT(对接源_02物料!$D766,4)="成品出库"),1,0)</f>
        <v>0</v>
      </c>
      <c r="AE1966">
        <f>N(AE1965)+$AD1966</f>
        <v>0</v>
      </c>
      <c r="AF1966">
        <f>IF(AND($N1966=1,AND(LEFT(对接源_02物料!$D766,4)="包装物料",N(对接源_02物料!$K766)&lt;&gt;0)),1,0)</f>
        <v>0</v>
      </c>
      <c r="AG1966">
        <f>N(AG1965)+$AF1966</f>
        <v>10</v>
      </c>
      <c r="AH1966">
        <f>IF(AND($N1966=1,AND(对接源_02物料!$D766="周转筐－销售出库",N(对接源_02物料!$K766)&lt;&gt;0)),1,0)</f>
        <v>0</v>
      </c>
      <c r="AI1966">
        <f>N(AI1965)+$AH1966</f>
        <v>0</v>
      </c>
      <c r="AL1966" t="n">
        <v>0</v>
      </c>
      <c r="AM1966">
        <f>N(AM1965)+$AL1966</f>
        <v>2</v>
      </c>
      <c r="AN1966">
        <f>""</f>
      </c>
      <c r="AO1966" t="n">
        <v>0</v>
      </c>
      <c r="AP1966">
        <f>N(AP1965)+$AO1966</f>
        <v>13</v>
      </c>
      <c r="AR1966">
        <f>IF(OR($AF1966=1,$AH1966=1),1,0)</f>
        <v>0</v>
      </c>
      <c r="AS1966">
        <f>N(AS1965)+$AR1966</f>
        <v>10</v>
      </c>
    </row>
    <row r="1967" s="127">
      <c r="A1967">
        <f>IF(对接源_02物料!$C767="","",对接源_02物料!$C767)</f>
      </c>
      <c r="B1967">
        <f>IF(A1967="",0,IF(MATCH(A1967,$A$4:$A$2403,0)=ROW()-3,1,0))</f>
        <v>0</v>
      </c>
      <c r="C1967">
        <f>N(C1966)+B1967</f>
        <v>26</v>
      </c>
      <c r="K1967">
        <f>IF(OR($K$1="",对接源_02物料!$C767="",对接源_02物料!$C767&lt;&gt;$K$1,对接源_02物料!$B767=""),0,IF(OR(N(对接源_02物料!$B767)&lt;$K$2,N(对接源_02物料!$B767)&gt;$K$3),0,1))</f>
        <v>0</v>
      </c>
      <c r="L1967">
        <f>IF(OR($L$1="",对接源_02物料!$C767="",对接源_02物料!$C767&lt;&gt;$L$1,对接源_02物料!$B767=""),0,IF(OR(N(对接源_02物料!$B767)&lt;$L$2,N(对接源_02物料!$B767)&gt;$L$3),0,1))</f>
        <v>0</v>
      </c>
      <c r="M1967">
        <f>IF(OR($M$1="",对接源_02物料!$C767="",对接源_02物料!$C767&lt;&gt;$M$1,对接源_02物料!$B767=""),0,IF(OR(N(对接源_02物料!$B767)&lt;$M$2,N(对接源_02物料!$B767)&gt;$M$3),0,1))</f>
        <v>0</v>
      </c>
      <c r="N1967">
        <f>IF(OR($N$1="",对接源_02物料!$C767="",对接源_02物料!$C767&lt;&gt;$N$1,对接源_02物料!$B767=""),0,IF(OR(N(对接源_02物料!$B767)&lt;$N$2,N(对接源_02物料!$B767)&gt;$N$3),0,1))</f>
        <v>0</v>
      </c>
      <c r="P1967">
        <f>IF(AND($K1967=1,AND(对接源_02物料!$X767="公司筐",N(对接源_02物料!$T767)&lt;&gt;0)),1,0)</f>
        <v>0</v>
      </c>
      <c r="Q1967">
        <f>N(Q1966)+$P1967</f>
        <v>14</v>
      </c>
      <c r="R1967">
        <f>IF(AND($K1967=1,AND(对接源_02物料!$X767="公司筐",N(对接源_02物料!$U767)&lt;&gt;0)),1,0)</f>
        <v>0</v>
      </c>
      <c r="S1967">
        <f>N(S1966)+$R1967</f>
        <v>1</v>
      </c>
      <c r="T1967">
        <f>IF(AND($K1967=1,AND(对接源_02物料!$X767="公司筐",N(对接源_02物料!$V767)&lt;&gt;0)),1,0)</f>
        <v>0</v>
      </c>
      <c r="U1967">
        <f>N(U1966)+$T1967</f>
        <v>47</v>
      </c>
      <c r="V1967">
        <f>IF(AND($L1967=1,AND(对接源_02物料!$X767="自备筐",N(对接源_02物料!$V767)&lt;&gt;0)),1,0)</f>
        <v>0</v>
      </c>
      <c r="W1967">
        <f>N(W1966)+$V1967</f>
        <v>11</v>
      </c>
      <c r="X1967">
        <f>IF(AND($L1967=1,AND(对接源_02物料!$X767="自备筐",N(对接源_02物料!$T767)&lt;&gt;0)),1,0)</f>
        <v>0</v>
      </c>
      <c r="Y1967">
        <f>N(Y1966)+$X1967</f>
        <v>0</v>
      </c>
      <c r="Z1967">
        <f>IF(AND($M1967=1,对接源_02物料!$D767="原料入库"),1,0)</f>
        <v>0</v>
      </c>
      <c r="AA1967">
        <f>N(AA1966)+$Z1967</f>
        <v>24</v>
      </c>
      <c r="AB1967">
        <f>IF(AND($M1967=1,LEFT(对接源_02物料!$D767,4)="原料出库"),1,0)</f>
        <v>0</v>
      </c>
      <c r="AC1967">
        <f>N(AC1966)+$AB1967</f>
        <v>0</v>
      </c>
      <c r="AD1967">
        <f>IF(AND($M1967=1,LEFT(对接源_02物料!$D767,4)="成品出库"),1,0)</f>
        <v>0</v>
      </c>
      <c r="AE1967">
        <f>N(AE1966)+$AD1967</f>
        <v>0</v>
      </c>
      <c r="AF1967">
        <f>IF(AND($N1967=1,AND(LEFT(对接源_02物料!$D767,4)="包装物料",N(对接源_02物料!$K767)&lt;&gt;0)),1,0)</f>
        <v>0</v>
      </c>
      <c r="AG1967">
        <f>N(AG1966)+$AF1967</f>
        <v>10</v>
      </c>
      <c r="AH1967">
        <f>IF(AND($N1967=1,AND(对接源_02物料!$D767="周转筐－销售出库",N(对接源_02物料!$K767)&lt;&gt;0)),1,0)</f>
        <v>0</v>
      </c>
      <c r="AI1967">
        <f>N(AI1966)+$AH1967</f>
        <v>0</v>
      </c>
      <c r="AL1967" t="n">
        <v>0</v>
      </c>
      <c r="AM1967">
        <f>N(AM1966)+$AL1967</f>
        <v>2</v>
      </c>
      <c r="AN1967">
        <f>""</f>
      </c>
      <c r="AO1967" t="n">
        <v>0</v>
      </c>
      <c r="AP1967">
        <f>N(AP1966)+$AO1967</f>
        <v>13</v>
      </c>
      <c r="AR1967">
        <f>IF(OR($AF1967=1,$AH1967=1),1,0)</f>
        <v>0</v>
      </c>
      <c r="AS1967">
        <f>N(AS1966)+$AR1967</f>
        <v>10</v>
      </c>
    </row>
    <row r="1968" s="127">
      <c r="A1968">
        <f>IF(对接源_02物料!$C768="","",对接源_02物料!$C768)</f>
      </c>
      <c r="B1968">
        <f>IF(A1968="",0,IF(MATCH(A1968,$A$4:$A$2403,0)=ROW()-3,1,0))</f>
        <v>0</v>
      </c>
      <c r="C1968">
        <f>N(C1967)+B1968</f>
        <v>26</v>
      </c>
      <c r="K1968">
        <f>IF(OR($K$1="",对接源_02物料!$C768="",对接源_02物料!$C768&lt;&gt;$K$1,对接源_02物料!$B768=""),0,IF(OR(N(对接源_02物料!$B768)&lt;$K$2,N(对接源_02物料!$B768)&gt;$K$3),0,1))</f>
        <v>0</v>
      </c>
      <c r="L1968">
        <f>IF(OR($L$1="",对接源_02物料!$C768="",对接源_02物料!$C768&lt;&gt;$L$1,对接源_02物料!$B768=""),0,IF(OR(N(对接源_02物料!$B768)&lt;$L$2,N(对接源_02物料!$B768)&gt;$L$3),0,1))</f>
        <v>0</v>
      </c>
      <c r="M1968">
        <f>IF(OR($M$1="",对接源_02物料!$C768="",对接源_02物料!$C768&lt;&gt;$M$1,对接源_02物料!$B768=""),0,IF(OR(N(对接源_02物料!$B768)&lt;$M$2,N(对接源_02物料!$B768)&gt;$M$3),0,1))</f>
        <v>0</v>
      </c>
      <c r="N1968">
        <f>IF(OR($N$1="",对接源_02物料!$C768="",对接源_02物料!$C768&lt;&gt;$N$1,对接源_02物料!$B768=""),0,IF(OR(N(对接源_02物料!$B768)&lt;$N$2,N(对接源_02物料!$B768)&gt;$N$3),0,1))</f>
        <v>0</v>
      </c>
      <c r="P1968">
        <f>IF(AND($K1968=1,AND(对接源_02物料!$X768="公司筐",N(对接源_02物料!$T768)&lt;&gt;0)),1,0)</f>
        <v>0</v>
      </c>
      <c r="Q1968">
        <f>N(Q1967)+$P1968</f>
        <v>14</v>
      </c>
      <c r="R1968">
        <f>IF(AND($K1968=1,AND(对接源_02物料!$X768="公司筐",N(对接源_02物料!$U768)&lt;&gt;0)),1,0)</f>
        <v>0</v>
      </c>
      <c r="S1968">
        <f>N(S1967)+$R1968</f>
        <v>1</v>
      </c>
      <c r="T1968">
        <f>IF(AND($K1968=1,AND(对接源_02物料!$X768="公司筐",N(对接源_02物料!$V768)&lt;&gt;0)),1,0)</f>
        <v>0</v>
      </c>
      <c r="U1968">
        <f>N(U1967)+$T1968</f>
        <v>47</v>
      </c>
      <c r="V1968">
        <f>IF(AND($L1968=1,AND(对接源_02物料!$X768="自备筐",N(对接源_02物料!$V768)&lt;&gt;0)),1,0)</f>
        <v>0</v>
      </c>
      <c r="W1968">
        <f>N(W1967)+$V1968</f>
        <v>11</v>
      </c>
      <c r="X1968">
        <f>IF(AND($L1968=1,AND(对接源_02物料!$X768="自备筐",N(对接源_02物料!$T768)&lt;&gt;0)),1,0)</f>
        <v>0</v>
      </c>
      <c r="Y1968">
        <f>N(Y1967)+$X1968</f>
        <v>0</v>
      </c>
      <c r="Z1968">
        <f>IF(AND($M1968=1,对接源_02物料!$D768="原料入库"),1,0)</f>
        <v>0</v>
      </c>
      <c r="AA1968">
        <f>N(AA1967)+$Z1968</f>
        <v>24</v>
      </c>
      <c r="AB1968">
        <f>IF(AND($M1968=1,LEFT(对接源_02物料!$D768,4)="原料出库"),1,0)</f>
        <v>0</v>
      </c>
      <c r="AC1968">
        <f>N(AC1967)+$AB1968</f>
        <v>0</v>
      </c>
      <c r="AD1968">
        <f>IF(AND($M1968=1,LEFT(对接源_02物料!$D768,4)="成品出库"),1,0)</f>
        <v>0</v>
      </c>
      <c r="AE1968">
        <f>N(AE1967)+$AD1968</f>
        <v>0</v>
      </c>
      <c r="AF1968">
        <f>IF(AND($N1968=1,AND(LEFT(对接源_02物料!$D768,4)="包装物料",N(对接源_02物料!$K768)&lt;&gt;0)),1,0)</f>
        <v>0</v>
      </c>
      <c r="AG1968">
        <f>N(AG1967)+$AF1968</f>
        <v>10</v>
      </c>
      <c r="AH1968">
        <f>IF(AND($N1968=1,AND(对接源_02物料!$D768="周转筐－销售出库",N(对接源_02物料!$K768)&lt;&gt;0)),1,0)</f>
        <v>0</v>
      </c>
      <c r="AI1968">
        <f>N(AI1967)+$AH1968</f>
        <v>0</v>
      </c>
      <c r="AL1968" t="n">
        <v>0</v>
      </c>
      <c r="AM1968">
        <f>N(AM1967)+$AL1968</f>
        <v>2</v>
      </c>
      <c r="AN1968">
        <f>""</f>
      </c>
      <c r="AO1968" t="n">
        <v>0</v>
      </c>
      <c r="AP1968">
        <f>N(AP1967)+$AO1968</f>
        <v>13</v>
      </c>
      <c r="AR1968">
        <f>IF(OR($AF1968=1,$AH1968=1),1,0)</f>
        <v>0</v>
      </c>
      <c r="AS1968">
        <f>N(AS1967)+$AR1968</f>
        <v>10</v>
      </c>
    </row>
    <row r="1969" s="127">
      <c r="A1969">
        <f>IF(对接源_02物料!$C769="","",对接源_02物料!$C769)</f>
      </c>
      <c r="B1969">
        <f>IF(A1969="",0,IF(MATCH(A1969,$A$4:$A$2403,0)=ROW()-3,1,0))</f>
        <v>0</v>
      </c>
      <c r="C1969">
        <f>N(C1968)+B1969</f>
        <v>26</v>
      </c>
      <c r="K1969">
        <f>IF(OR($K$1="",对接源_02物料!$C769="",对接源_02物料!$C769&lt;&gt;$K$1,对接源_02物料!$B769=""),0,IF(OR(N(对接源_02物料!$B769)&lt;$K$2,N(对接源_02物料!$B769)&gt;$K$3),0,1))</f>
        <v>0</v>
      </c>
      <c r="L1969">
        <f>IF(OR($L$1="",对接源_02物料!$C769="",对接源_02物料!$C769&lt;&gt;$L$1,对接源_02物料!$B769=""),0,IF(OR(N(对接源_02物料!$B769)&lt;$L$2,N(对接源_02物料!$B769)&gt;$L$3),0,1))</f>
        <v>0</v>
      </c>
      <c r="M1969">
        <f>IF(OR($M$1="",对接源_02物料!$C769="",对接源_02物料!$C769&lt;&gt;$M$1,对接源_02物料!$B769=""),0,IF(OR(N(对接源_02物料!$B769)&lt;$M$2,N(对接源_02物料!$B769)&gt;$M$3),0,1))</f>
        <v>0</v>
      </c>
      <c r="N1969">
        <f>IF(OR($N$1="",对接源_02物料!$C769="",对接源_02物料!$C769&lt;&gt;$N$1,对接源_02物料!$B769=""),0,IF(OR(N(对接源_02物料!$B769)&lt;$N$2,N(对接源_02物料!$B769)&gt;$N$3),0,1))</f>
        <v>0</v>
      </c>
      <c r="P1969">
        <f>IF(AND($K1969=1,AND(对接源_02物料!$X769="公司筐",N(对接源_02物料!$T769)&lt;&gt;0)),1,0)</f>
        <v>0</v>
      </c>
      <c r="Q1969">
        <f>N(Q1968)+$P1969</f>
        <v>14</v>
      </c>
      <c r="R1969">
        <f>IF(AND($K1969=1,AND(对接源_02物料!$X769="公司筐",N(对接源_02物料!$U769)&lt;&gt;0)),1,0)</f>
        <v>0</v>
      </c>
      <c r="S1969">
        <f>N(S1968)+$R1969</f>
        <v>1</v>
      </c>
      <c r="T1969">
        <f>IF(AND($K1969=1,AND(对接源_02物料!$X769="公司筐",N(对接源_02物料!$V769)&lt;&gt;0)),1,0)</f>
        <v>0</v>
      </c>
      <c r="U1969">
        <f>N(U1968)+$T1969</f>
        <v>47</v>
      </c>
      <c r="V1969">
        <f>IF(AND($L1969=1,AND(对接源_02物料!$X769="自备筐",N(对接源_02物料!$V769)&lt;&gt;0)),1,0)</f>
        <v>0</v>
      </c>
      <c r="W1969">
        <f>N(W1968)+$V1969</f>
        <v>11</v>
      </c>
      <c r="X1969">
        <f>IF(AND($L1969=1,AND(对接源_02物料!$X769="自备筐",N(对接源_02物料!$T769)&lt;&gt;0)),1,0)</f>
        <v>0</v>
      </c>
      <c r="Y1969">
        <f>N(Y1968)+$X1969</f>
        <v>0</v>
      </c>
      <c r="Z1969">
        <f>IF(AND($M1969=1,对接源_02物料!$D769="原料入库"),1,0)</f>
        <v>0</v>
      </c>
      <c r="AA1969">
        <f>N(AA1968)+$Z1969</f>
        <v>24</v>
      </c>
      <c r="AB1969">
        <f>IF(AND($M1969=1,LEFT(对接源_02物料!$D769,4)="原料出库"),1,0)</f>
        <v>0</v>
      </c>
      <c r="AC1969">
        <f>N(AC1968)+$AB1969</f>
        <v>0</v>
      </c>
      <c r="AD1969">
        <f>IF(AND($M1969=1,LEFT(对接源_02物料!$D769,4)="成品出库"),1,0)</f>
        <v>0</v>
      </c>
      <c r="AE1969">
        <f>N(AE1968)+$AD1969</f>
        <v>0</v>
      </c>
      <c r="AF1969">
        <f>IF(AND($N1969=1,AND(LEFT(对接源_02物料!$D769,4)="包装物料",N(对接源_02物料!$K769)&lt;&gt;0)),1,0)</f>
        <v>0</v>
      </c>
      <c r="AG1969">
        <f>N(AG1968)+$AF1969</f>
        <v>10</v>
      </c>
      <c r="AH1969">
        <f>IF(AND($N1969=1,AND(对接源_02物料!$D769="周转筐－销售出库",N(对接源_02物料!$K769)&lt;&gt;0)),1,0)</f>
        <v>0</v>
      </c>
      <c r="AI1969">
        <f>N(AI1968)+$AH1969</f>
        <v>0</v>
      </c>
      <c r="AL1969" t="n">
        <v>0</v>
      </c>
      <c r="AM1969">
        <f>N(AM1968)+$AL1969</f>
        <v>2</v>
      </c>
      <c r="AN1969">
        <f>""</f>
      </c>
      <c r="AO1969" t="n">
        <v>0</v>
      </c>
      <c r="AP1969">
        <f>N(AP1968)+$AO1969</f>
        <v>13</v>
      </c>
      <c r="AR1969">
        <f>IF(OR($AF1969=1,$AH1969=1),1,0)</f>
        <v>0</v>
      </c>
      <c r="AS1969">
        <f>N(AS1968)+$AR1969</f>
        <v>10</v>
      </c>
    </row>
    <row r="1970" s="127">
      <c r="A1970">
        <f>IF(对接源_02物料!$C770="","",对接源_02物料!$C770)</f>
      </c>
      <c r="B1970">
        <f>IF(A1970="",0,IF(MATCH(A1970,$A$4:$A$2403,0)=ROW()-3,1,0))</f>
        <v>0</v>
      </c>
      <c r="C1970">
        <f>N(C1969)+B1970</f>
        <v>26</v>
      </c>
      <c r="K1970">
        <f>IF(OR($K$1="",对接源_02物料!$C770="",对接源_02物料!$C770&lt;&gt;$K$1,对接源_02物料!$B770=""),0,IF(OR(N(对接源_02物料!$B770)&lt;$K$2,N(对接源_02物料!$B770)&gt;$K$3),0,1))</f>
        <v>0</v>
      </c>
      <c r="L1970">
        <f>IF(OR($L$1="",对接源_02物料!$C770="",对接源_02物料!$C770&lt;&gt;$L$1,对接源_02物料!$B770=""),0,IF(OR(N(对接源_02物料!$B770)&lt;$L$2,N(对接源_02物料!$B770)&gt;$L$3),0,1))</f>
        <v>0</v>
      </c>
      <c r="M1970">
        <f>IF(OR($M$1="",对接源_02物料!$C770="",对接源_02物料!$C770&lt;&gt;$M$1,对接源_02物料!$B770=""),0,IF(OR(N(对接源_02物料!$B770)&lt;$M$2,N(对接源_02物料!$B770)&gt;$M$3),0,1))</f>
        <v>0</v>
      </c>
      <c r="N1970">
        <f>IF(OR($N$1="",对接源_02物料!$C770="",对接源_02物料!$C770&lt;&gt;$N$1,对接源_02物料!$B770=""),0,IF(OR(N(对接源_02物料!$B770)&lt;$N$2,N(对接源_02物料!$B770)&gt;$N$3),0,1))</f>
        <v>0</v>
      </c>
      <c r="P1970">
        <f>IF(AND($K1970=1,AND(对接源_02物料!$X770="公司筐",N(对接源_02物料!$T770)&lt;&gt;0)),1,0)</f>
        <v>0</v>
      </c>
      <c r="Q1970">
        <f>N(Q1969)+$P1970</f>
        <v>14</v>
      </c>
      <c r="R1970">
        <f>IF(AND($K1970=1,AND(对接源_02物料!$X770="公司筐",N(对接源_02物料!$U770)&lt;&gt;0)),1,0)</f>
        <v>0</v>
      </c>
      <c r="S1970">
        <f>N(S1969)+$R1970</f>
        <v>1</v>
      </c>
      <c r="T1970">
        <f>IF(AND($K1970=1,AND(对接源_02物料!$X770="公司筐",N(对接源_02物料!$V770)&lt;&gt;0)),1,0)</f>
        <v>0</v>
      </c>
      <c r="U1970">
        <f>N(U1969)+$T1970</f>
        <v>47</v>
      </c>
      <c r="V1970">
        <f>IF(AND($L1970=1,AND(对接源_02物料!$X770="自备筐",N(对接源_02物料!$V770)&lt;&gt;0)),1,0)</f>
        <v>0</v>
      </c>
      <c r="W1970">
        <f>N(W1969)+$V1970</f>
        <v>11</v>
      </c>
      <c r="X1970">
        <f>IF(AND($L1970=1,AND(对接源_02物料!$X770="自备筐",N(对接源_02物料!$T770)&lt;&gt;0)),1,0)</f>
        <v>0</v>
      </c>
      <c r="Y1970">
        <f>N(Y1969)+$X1970</f>
        <v>0</v>
      </c>
      <c r="Z1970">
        <f>IF(AND($M1970=1,对接源_02物料!$D770="原料入库"),1,0)</f>
        <v>0</v>
      </c>
      <c r="AA1970">
        <f>N(AA1969)+$Z1970</f>
        <v>24</v>
      </c>
      <c r="AB1970">
        <f>IF(AND($M1970=1,LEFT(对接源_02物料!$D770,4)="原料出库"),1,0)</f>
        <v>0</v>
      </c>
      <c r="AC1970">
        <f>N(AC1969)+$AB1970</f>
        <v>0</v>
      </c>
      <c r="AD1970">
        <f>IF(AND($M1970=1,LEFT(对接源_02物料!$D770,4)="成品出库"),1,0)</f>
        <v>0</v>
      </c>
      <c r="AE1970">
        <f>N(AE1969)+$AD1970</f>
        <v>0</v>
      </c>
      <c r="AF1970">
        <f>IF(AND($N1970=1,AND(LEFT(对接源_02物料!$D770,4)="包装物料",N(对接源_02物料!$K770)&lt;&gt;0)),1,0)</f>
        <v>0</v>
      </c>
      <c r="AG1970">
        <f>N(AG1969)+$AF1970</f>
        <v>10</v>
      </c>
      <c r="AH1970">
        <f>IF(AND($N1970=1,AND(对接源_02物料!$D770="周转筐－销售出库",N(对接源_02物料!$K770)&lt;&gt;0)),1,0)</f>
        <v>0</v>
      </c>
      <c r="AI1970">
        <f>N(AI1969)+$AH1970</f>
        <v>0</v>
      </c>
      <c r="AL1970" t="n">
        <v>0</v>
      </c>
      <c r="AM1970">
        <f>N(AM1969)+$AL1970</f>
        <v>2</v>
      </c>
      <c r="AN1970">
        <f>""</f>
      </c>
      <c r="AO1970" t="n">
        <v>0</v>
      </c>
      <c r="AP1970">
        <f>N(AP1969)+$AO1970</f>
        <v>13</v>
      </c>
      <c r="AR1970">
        <f>IF(OR($AF1970=1,$AH1970=1),1,0)</f>
        <v>0</v>
      </c>
      <c r="AS1970">
        <f>N(AS1969)+$AR1970</f>
        <v>10</v>
      </c>
    </row>
    <row r="1971" s="127">
      <c r="A1971">
        <f>IF(对接源_02物料!$C771="","",对接源_02物料!$C771)</f>
      </c>
      <c r="B1971">
        <f>IF(A1971="",0,IF(MATCH(A1971,$A$4:$A$2403,0)=ROW()-3,1,0))</f>
        <v>0</v>
      </c>
      <c r="C1971">
        <f>N(C1970)+B1971</f>
        <v>26</v>
      </c>
      <c r="K1971">
        <f>IF(OR($K$1="",对接源_02物料!$C771="",对接源_02物料!$C771&lt;&gt;$K$1,对接源_02物料!$B771=""),0,IF(OR(N(对接源_02物料!$B771)&lt;$K$2,N(对接源_02物料!$B771)&gt;$K$3),0,1))</f>
        <v>0</v>
      </c>
      <c r="L1971">
        <f>IF(OR($L$1="",对接源_02物料!$C771="",对接源_02物料!$C771&lt;&gt;$L$1,对接源_02物料!$B771=""),0,IF(OR(N(对接源_02物料!$B771)&lt;$L$2,N(对接源_02物料!$B771)&gt;$L$3),0,1))</f>
        <v>0</v>
      </c>
      <c r="M1971">
        <f>IF(OR($M$1="",对接源_02物料!$C771="",对接源_02物料!$C771&lt;&gt;$M$1,对接源_02物料!$B771=""),0,IF(OR(N(对接源_02物料!$B771)&lt;$M$2,N(对接源_02物料!$B771)&gt;$M$3),0,1))</f>
        <v>0</v>
      </c>
      <c r="N1971">
        <f>IF(OR($N$1="",对接源_02物料!$C771="",对接源_02物料!$C771&lt;&gt;$N$1,对接源_02物料!$B771=""),0,IF(OR(N(对接源_02物料!$B771)&lt;$N$2,N(对接源_02物料!$B771)&gt;$N$3),0,1))</f>
        <v>0</v>
      </c>
      <c r="P1971">
        <f>IF(AND($K1971=1,AND(对接源_02物料!$X771="公司筐",N(对接源_02物料!$T771)&lt;&gt;0)),1,0)</f>
        <v>0</v>
      </c>
      <c r="Q1971">
        <f>N(Q1970)+$P1971</f>
        <v>14</v>
      </c>
      <c r="R1971">
        <f>IF(AND($K1971=1,AND(对接源_02物料!$X771="公司筐",N(对接源_02物料!$U771)&lt;&gt;0)),1,0)</f>
        <v>0</v>
      </c>
      <c r="S1971">
        <f>N(S1970)+$R1971</f>
        <v>1</v>
      </c>
      <c r="T1971">
        <f>IF(AND($K1971=1,AND(对接源_02物料!$X771="公司筐",N(对接源_02物料!$V771)&lt;&gt;0)),1,0)</f>
        <v>0</v>
      </c>
      <c r="U1971">
        <f>N(U1970)+$T1971</f>
        <v>47</v>
      </c>
      <c r="V1971">
        <f>IF(AND($L1971=1,AND(对接源_02物料!$X771="自备筐",N(对接源_02物料!$V771)&lt;&gt;0)),1,0)</f>
        <v>0</v>
      </c>
      <c r="W1971">
        <f>N(W1970)+$V1971</f>
        <v>11</v>
      </c>
      <c r="X1971">
        <f>IF(AND($L1971=1,AND(对接源_02物料!$X771="自备筐",N(对接源_02物料!$T771)&lt;&gt;0)),1,0)</f>
        <v>0</v>
      </c>
      <c r="Y1971">
        <f>N(Y1970)+$X1971</f>
        <v>0</v>
      </c>
      <c r="Z1971">
        <f>IF(AND($M1971=1,对接源_02物料!$D771="原料入库"),1,0)</f>
        <v>0</v>
      </c>
      <c r="AA1971">
        <f>N(AA1970)+$Z1971</f>
        <v>24</v>
      </c>
      <c r="AB1971">
        <f>IF(AND($M1971=1,LEFT(对接源_02物料!$D771,4)="原料出库"),1,0)</f>
        <v>0</v>
      </c>
      <c r="AC1971">
        <f>N(AC1970)+$AB1971</f>
        <v>0</v>
      </c>
      <c r="AD1971">
        <f>IF(AND($M1971=1,LEFT(对接源_02物料!$D771,4)="成品出库"),1,0)</f>
        <v>0</v>
      </c>
      <c r="AE1971">
        <f>N(AE1970)+$AD1971</f>
        <v>0</v>
      </c>
      <c r="AF1971">
        <f>IF(AND($N1971=1,AND(LEFT(对接源_02物料!$D771,4)="包装物料",N(对接源_02物料!$K771)&lt;&gt;0)),1,0)</f>
        <v>0</v>
      </c>
      <c r="AG1971">
        <f>N(AG1970)+$AF1971</f>
        <v>10</v>
      </c>
      <c r="AH1971">
        <f>IF(AND($N1971=1,AND(对接源_02物料!$D771="周转筐－销售出库",N(对接源_02物料!$K771)&lt;&gt;0)),1,0)</f>
        <v>0</v>
      </c>
      <c r="AI1971">
        <f>N(AI1970)+$AH1971</f>
        <v>0</v>
      </c>
      <c r="AL1971" t="n">
        <v>0</v>
      </c>
      <c r="AM1971">
        <f>N(AM1970)+$AL1971</f>
        <v>2</v>
      </c>
      <c r="AN1971">
        <f>""</f>
      </c>
      <c r="AO1971" t="n">
        <v>0</v>
      </c>
      <c r="AP1971">
        <f>N(AP1970)+$AO1971</f>
        <v>13</v>
      </c>
      <c r="AR1971">
        <f>IF(OR($AF1971=1,$AH1971=1),1,0)</f>
        <v>0</v>
      </c>
      <c r="AS1971">
        <f>N(AS1970)+$AR1971</f>
        <v>10</v>
      </c>
    </row>
    <row r="1972" s="127">
      <c r="A1972">
        <f>IF(对接源_02物料!$C772="","",对接源_02物料!$C772)</f>
      </c>
      <c r="B1972">
        <f>IF(A1972="",0,IF(MATCH(A1972,$A$4:$A$2403,0)=ROW()-3,1,0))</f>
        <v>0</v>
      </c>
      <c r="C1972">
        <f>N(C1971)+B1972</f>
        <v>26</v>
      </c>
      <c r="K1972">
        <f>IF(OR($K$1="",对接源_02物料!$C772="",对接源_02物料!$C772&lt;&gt;$K$1,对接源_02物料!$B772=""),0,IF(OR(N(对接源_02物料!$B772)&lt;$K$2,N(对接源_02物料!$B772)&gt;$K$3),0,1))</f>
        <v>0</v>
      </c>
      <c r="L1972">
        <f>IF(OR($L$1="",对接源_02物料!$C772="",对接源_02物料!$C772&lt;&gt;$L$1,对接源_02物料!$B772=""),0,IF(OR(N(对接源_02物料!$B772)&lt;$L$2,N(对接源_02物料!$B772)&gt;$L$3),0,1))</f>
        <v>0</v>
      </c>
      <c r="M1972">
        <f>IF(OR($M$1="",对接源_02物料!$C772="",对接源_02物料!$C772&lt;&gt;$M$1,对接源_02物料!$B772=""),0,IF(OR(N(对接源_02物料!$B772)&lt;$M$2,N(对接源_02物料!$B772)&gt;$M$3),0,1))</f>
        <v>0</v>
      </c>
      <c r="N1972">
        <f>IF(OR($N$1="",对接源_02物料!$C772="",对接源_02物料!$C772&lt;&gt;$N$1,对接源_02物料!$B772=""),0,IF(OR(N(对接源_02物料!$B772)&lt;$N$2,N(对接源_02物料!$B772)&gt;$N$3),0,1))</f>
        <v>0</v>
      </c>
      <c r="P1972">
        <f>IF(AND($K1972=1,AND(对接源_02物料!$X772="公司筐",N(对接源_02物料!$T772)&lt;&gt;0)),1,0)</f>
        <v>0</v>
      </c>
      <c r="Q1972">
        <f>N(Q1971)+$P1972</f>
        <v>14</v>
      </c>
      <c r="R1972">
        <f>IF(AND($K1972=1,AND(对接源_02物料!$X772="公司筐",N(对接源_02物料!$U772)&lt;&gt;0)),1,0)</f>
        <v>0</v>
      </c>
      <c r="S1972">
        <f>N(S1971)+$R1972</f>
        <v>1</v>
      </c>
      <c r="T1972">
        <f>IF(AND($K1972=1,AND(对接源_02物料!$X772="公司筐",N(对接源_02物料!$V772)&lt;&gt;0)),1,0)</f>
        <v>0</v>
      </c>
      <c r="U1972">
        <f>N(U1971)+$T1972</f>
        <v>47</v>
      </c>
      <c r="V1972">
        <f>IF(AND($L1972=1,AND(对接源_02物料!$X772="自备筐",N(对接源_02物料!$V772)&lt;&gt;0)),1,0)</f>
        <v>0</v>
      </c>
      <c r="W1972">
        <f>N(W1971)+$V1972</f>
        <v>11</v>
      </c>
      <c r="X1972">
        <f>IF(AND($L1972=1,AND(对接源_02物料!$X772="自备筐",N(对接源_02物料!$T772)&lt;&gt;0)),1,0)</f>
        <v>0</v>
      </c>
      <c r="Y1972">
        <f>N(Y1971)+$X1972</f>
        <v>0</v>
      </c>
      <c r="Z1972">
        <f>IF(AND($M1972=1,对接源_02物料!$D772="原料入库"),1,0)</f>
        <v>0</v>
      </c>
      <c r="AA1972">
        <f>N(AA1971)+$Z1972</f>
        <v>24</v>
      </c>
      <c r="AB1972">
        <f>IF(AND($M1972=1,LEFT(对接源_02物料!$D772,4)="原料出库"),1,0)</f>
        <v>0</v>
      </c>
      <c r="AC1972">
        <f>N(AC1971)+$AB1972</f>
        <v>0</v>
      </c>
      <c r="AD1972">
        <f>IF(AND($M1972=1,LEFT(对接源_02物料!$D772,4)="成品出库"),1,0)</f>
        <v>0</v>
      </c>
      <c r="AE1972">
        <f>N(AE1971)+$AD1972</f>
        <v>0</v>
      </c>
      <c r="AF1972">
        <f>IF(AND($N1972=1,AND(LEFT(对接源_02物料!$D772,4)="包装物料",N(对接源_02物料!$K772)&lt;&gt;0)),1,0)</f>
        <v>0</v>
      </c>
      <c r="AG1972">
        <f>N(AG1971)+$AF1972</f>
        <v>10</v>
      </c>
      <c r="AH1972">
        <f>IF(AND($N1972=1,AND(对接源_02物料!$D772="周转筐－销售出库",N(对接源_02物料!$K772)&lt;&gt;0)),1,0)</f>
        <v>0</v>
      </c>
      <c r="AI1972">
        <f>N(AI1971)+$AH1972</f>
        <v>0</v>
      </c>
      <c r="AL1972" t="n">
        <v>0</v>
      </c>
      <c r="AM1972">
        <f>N(AM1971)+$AL1972</f>
        <v>2</v>
      </c>
      <c r="AN1972">
        <f>""</f>
      </c>
      <c r="AO1972" t="n">
        <v>0</v>
      </c>
      <c r="AP1972">
        <f>N(AP1971)+$AO1972</f>
        <v>13</v>
      </c>
      <c r="AR1972">
        <f>IF(OR($AF1972=1,$AH1972=1),1,0)</f>
        <v>0</v>
      </c>
      <c r="AS1972">
        <f>N(AS1971)+$AR1972</f>
        <v>10</v>
      </c>
    </row>
    <row r="1973" s="127">
      <c r="A1973">
        <f>IF(对接源_02物料!$C773="","",对接源_02物料!$C773)</f>
      </c>
      <c r="B1973">
        <f>IF(A1973="",0,IF(MATCH(A1973,$A$4:$A$2403,0)=ROW()-3,1,0))</f>
        <v>0</v>
      </c>
      <c r="C1973">
        <f>N(C1972)+B1973</f>
        <v>26</v>
      </c>
      <c r="K1973">
        <f>IF(OR($K$1="",对接源_02物料!$C773="",对接源_02物料!$C773&lt;&gt;$K$1,对接源_02物料!$B773=""),0,IF(OR(N(对接源_02物料!$B773)&lt;$K$2,N(对接源_02物料!$B773)&gt;$K$3),0,1))</f>
        <v>0</v>
      </c>
      <c r="L1973">
        <f>IF(OR($L$1="",对接源_02物料!$C773="",对接源_02物料!$C773&lt;&gt;$L$1,对接源_02物料!$B773=""),0,IF(OR(N(对接源_02物料!$B773)&lt;$L$2,N(对接源_02物料!$B773)&gt;$L$3),0,1))</f>
        <v>0</v>
      </c>
      <c r="M1973">
        <f>IF(OR($M$1="",对接源_02物料!$C773="",对接源_02物料!$C773&lt;&gt;$M$1,对接源_02物料!$B773=""),0,IF(OR(N(对接源_02物料!$B773)&lt;$M$2,N(对接源_02物料!$B773)&gt;$M$3),0,1))</f>
        <v>0</v>
      </c>
      <c r="N1973">
        <f>IF(OR($N$1="",对接源_02物料!$C773="",对接源_02物料!$C773&lt;&gt;$N$1,对接源_02物料!$B773=""),0,IF(OR(N(对接源_02物料!$B773)&lt;$N$2,N(对接源_02物料!$B773)&gt;$N$3),0,1))</f>
        <v>0</v>
      </c>
      <c r="P1973">
        <f>IF(AND($K1973=1,AND(对接源_02物料!$X773="公司筐",N(对接源_02物料!$T773)&lt;&gt;0)),1,0)</f>
        <v>0</v>
      </c>
      <c r="Q1973">
        <f>N(Q1972)+$P1973</f>
        <v>14</v>
      </c>
      <c r="R1973">
        <f>IF(AND($K1973=1,AND(对接源_02物料!$X773="公司筐",N(对接源_02物料!$U773)&lt;&gt;0)),1,0)</f>
        <v>0</v>
      </c>
      <c r="S1973">
        <f>N(S1972)+$R1973</f>
        <v>1</v>
      </c>
      <c r="T1973">
        <f>IF(AND($K1973=1,AND(对接源_02物料!$X773="公司筐",N(对接源_02物料!$V773)&lt;&gt;0)),1,0)</f>
        <v>0</v>
      </c>
      <c r="U1973">
        <f>N(U1972)+$T1973</f>
        <v>47</v>
      </c>
      <c r="V1973">
        <f>IF(AND($L1973=1,AND(对接源_02物料!$X773="自备筐",N(对接源_02物料!$V773)&lt;&gt;0)),1,0)</f>
        <v>0</v>
      </c>
      <c r="W1973">
        <f>N(W1972)+$V1973</f>
        <v>11</v>
      </c>
      <c r="X1973">
        <f>IF(AND($L1973=1,AND(对接源_02物料!$X773="自备筐",N(对接源_02物料!$T773)&lt;&gt;0)),1,0)</f>
        <v>0</v>
      </c>
      <c r="Y1973">
        <f>N(Y1972)+$X1973</f>
        <v>0</v>
      </c>
      <c r="Z1973">
        <f>IF(AND($M1973=1,对接源_02物料!$D773="原料入库"),1,0)</f>
        <v>0</v>
      </c>
      <c r="AA1973">
        <f>N(AA1972)+$Z1973</f>
        <v>24</v>
      </c>
      <c r="AB1973">
        <f>IF(AND($M1973=1,LEFT(对接源_02物料!$D773,4)="原料出库"),1,0)</f>
        <v>0</v>
      </c>
      <c r="AC1973">
        <f>N(AC1972)+$AB1973</f>
        <v>0</v>
      </c>
      <c r="AD1973">
        <f>IF(AND($M1973=1,LEFT(对接源_02物料!$D773,4)="成品出库"),1,0)</f>
        <v>0</v>
      </c>
      <c r="AE1973">
        <f>N(AE1972)+$AD1973</f>
        <v>0</v>
      </c>
      <c r="AF1973">
        <f>IF(AND($N1973=1,AND(LEFT(对接源_02物料!$D773,4)="包装物料",N(对接源_02物料!$K773)&lt;&gt;0)),1,0)</f>
        <v>0</v>
      </c>
      <c r="AG1973">
        <f>N(AG1972)+$AF1973</f>
        <v>10</v>
      </c>
      <c r="AH1973">
        <f>IF(AND($N1973=1,AND(对接源_02物料!$D773="周转筐－销售出库",N(对接源_02物料!$K773)&lt;&gt;0)),1,0)</f>
        <v>0</v>
      </c>
      <c r="AI1973">
        <f>N(AI1972)+$AH1973</f>
        <v>0</v>
      </c>
      <c r="AL1973" t="n">
        <v>0</v>
      </c>
      <c r="AM1973">
        <f>N(AM1972)+$AL1973</f>
        <v>2</v>
      </c>
      <c r="AN1973">
        <f>""</f>
      </c>
      <c r="AO1973" t="n">
        <v>0</v>
      </c>
      <c r="AP1973">
        <f>N(AP1972)+$AO1973</f>
        <v>13</v>
      </c>
      <c r="AR1973">
        <f>IF(OR($AF1973=1,$AH1973=1),1,0)</f>
        <v>0</v>
      </c>
      <c r="AS1973">
        <f>N(AS1972)+$AR1973</f>
        <v>10</v>
      </c>
    </row>
    <row r="1974" s="127">
      <c r="A1974">
        <f>IF(对接源_02物料!$C774="","",对接源_02物料!$C774)</f>
      </c>
      <c r="B1974">
        <f>IF(A1974="",0,IF(MATCH(A1974,$A$4:$A$2403,0)=ROW()-3,1,0))</f>
        <v>0</v>
      </c>
      <c r="C1974">
        <f>N(C1973)+B1974</f>
        <v>26</v>
      </c>
      <c r="K1974">
        <f>IF(OR($K$1="",对接源_02物料!$C774="",对接源_02物料!$C774&lt;&gt;$K$1,对接源_02物料!$B774=""),0,IF(OR(N(对接源_02物料!$B774)&lt;$K$2,N(对接源_02物料!$B774)&gt;$K$3),0,1))</f>
        <v>0</v>
      </c>
      <c r="L1974">
        <f>IF(OR($L$1="",对接源_02物料!$C774="",对接源_02物料!$C774&lt;&gt;$L$1,对接源_02物料!$B774=""),0,IF(OR(N(对接源_02物料!$B774)&lt;$L$2,N(对接源_02物料!$B774)&gt;$L$3),0,1))</f>
        <v>0</v>
      </c>
      <c r="M1974">
        <f>IF(OR($M$1="",对接源_02物料!$C774="",对接源_02物料!$C774&lt;&gt;$M$1,对接源_02物料!$B774=""),0,IF(OR(N(对接源_02物料!$B774)&lt;$M$2,N(对接源_02物料!$B774)&gt;$M$3),0,1))</f>
        <v>0</v>
      </c>
      <c r="N1974">
        <f>IF(OR($N$1="",对接源_02物料!$C774="",对接源_02物料!$C774&lt;&gt;$N$1,对接源_02物料!$B774=""),0,IF(OR(N(对接源_02物料!$B774)&lt;$N$2,N(对接源_02物料!$B774)&gt;$N$3),0,1))</f>
        <v>0</v>
      </c>
      <c r="P1974">
        <f>IF(AND($K1974=1,AND(对接源_02物料!$X774="公司筐",N(对接源_02物料!$T774)&lt;&gt;0)),1,0)</f>
        <v>0</v>
      </c>
      <c r="Q1974">
        <f>N(Q1973)+$P1974</f>
        <v>14</v>
      </c>
      <c r="R1974">
        <f>IF(AND($K1974=1,AND(对接源_02物料!$X774="公司筐",N(对接源_02物料!$U774)&lt;&gt;0)),1,0)</f>
        <v>0</v>
      </c>
      <c r="S1974">
        <f>N(S1973)+$R1974</f>
        <v>1</v>
      </c>
      <c r="T1974">
        <f>IF(AND($K1974=1,AND(对接源_02物料!$X774="公司筐",N(对接源_02物料!$V774)&lt;&gt;0)),1,0)</f>
        <v>0</v>
      </c>
      <c r="U1974">
        <f>N(U1973)+$T1974</f>
        <v>47</v>
      </c>
      <c r="V1974">
        <f>IF(AND($L1974=1,AND(对接源_02物料!$X774="自备筐",N(对接源_02物料!$V774)&lt;&gt;0)),1,0)</f>
        <v>0</v>
      </c>
      <c r="W1974">
        <f>N(W1973)+$V1974</f>
        <v>11</v>
      </c>
      <c r="X1974">
        <f>IF(AND($L1974=1,AND(对接源_02物料!$X774="自备筐",N(对接源_02物料!$T774)&lt;&gt;0)),1,0)</f>
        <v>0</v>
      </c>
      <c r="Y1974">
        <f>N(Y1973)+$X1974</f>
        <v>0</v>
      </c>
      <c r="Z1974">
        <f>IF(AND($M1974=1,对接源_02物料!$D774="原料入库"),1,0)</f>
        <v>0</v>
      </c>
      <c r="AA1974">
        <f>N(AA1973)+$Z1974</f>
        <v>24</v>
      </c>
      <c r="AB1974">
        <f>IF(AND($M1974=1,LEFT(对接源_02物料!$D774,4)="原料出库"),1,0)</f>
        <v>0</v>
      </c>
      <c r="AC1974">
        <f>N(AC1973)+$AB1974</f>
        <v>0</v>
      </c>
      <c r="AD1974">
        <f>IF(AND($M1974=1,LEFT(对接源_02物料!$D774,4)="成品出库"),1,0)</f>
        <v>0</v>
      </c>
      <c r="AE1974">
        <f>N(AE1973)+$AD1974</f>
        <v>0</v>
      </c>
      <c r="AF1974">
        <f>IF(AND($N1974=1,AND(LEFT(对接源_02物料!$D774,4)="包装物料",N(对接源_02物料!$K774)&lt;&gt;0)),1,0)</f>
        <v>0</v>
      </c>
      <c r="AG1974">
        <f>N(AG1973)+$AF1974</f>
        <v>10</v>
      </c>
      <c r="AH1974">
        <f>IF(AND($N1974=1,AND(对接源_02物料!$D774="周转筐－销售出库",N(对接源_02物料!$K774)&lt;&gt;0)),1,0)</f>
        <v>0</v>
      </c>
      <c r="AI1974">
        <f>N(AI1973)+$AH1974</f>
        <v>0</v>
      </c>
      <c r="AL1974" t="n">
        <v>0</v>
      </c>
      <c r="AM1974">
        <f>N(AM1973)+$AL1974</f>
        <v>2</v>
      </c>
      <c r="AN1974">
        <f>""</f>
      </c>
      <c r="AO1974" t="n">
        <v>0</v>
      </c>
      <c r="AP1974">
        <f>N(AP1973)+$AO1974</f>
        <v>13</v>
      </c>
      <c r="AR1974">
        <f>IF(OR($AF1974=1,$AH1974=1),1,0)</f>
        <v>0</v>
      </c>
      <c r="AS1974">
        <f>N(AS1973)+$AR1974</f>
        <v>10</v>
      </c>
    </row>
    <row r="1975" s="127">
      <c r="A1975">
        <f>IF(对接源_02物料!$C775="","",对接源_02物料!$C775)</f>
      </c>
      <c r="B1975">
        <f>IF(A1975="",0,IF(MATCH(A1975,$A$4:$A$2403,0)=ROW()-3,1,0))</f>
        <v>0</v>
      </c>
      <c r="C1975">
        <f>N(C1974)+B1975</f>
        <v>26</v>
      </c>
      <c r="K1975">
        <f>IF(OR($K$1="",对接源_02物料!$C775="",对接源_02物料!$C775&lt;&gt;$K$1,对接源_02物料!$B775=""),0,IF(OR(N(对接源_02物料!$B775)&lt;$K$2,N(对接源_02物料!$B775)&gt;$K$3),0,1))</f>
        <v>0</v>
      </c>
      <c r="L1975">
        <f>IF(OR($L$1="",对接源_02物料!$C775="",对接源_02物料!$C775&lt;&gt;$L$1,对接源_02物料!$B775=""),0,IF(OR(N(对接源_02物料!$B775)&lt;$L$2,N(对接源_02物料!$B775)&gt;$L$3),0,1))</f>
        <v>0</v>
      </c>
      <c r="M1975">
        <f>IF(OR($M$1="",对接源_02物料!$C775="",对接源_02物料!$C775&lt;&gt;$M$1,对接源_02物料!$B775=""),0,IF(OR(N(对接源_02物料!$B775)&lt;$M$2,N(对接源_02物料!$B775)&gt;$M$3),0,1))</f>
        <v>0</v>
      </c>
      <c r="N1975">
        <f>IF(OR($N$1="",对接源_02物料!$C775="",对接源_02物料!$C775&lt;&gt;$N$1,对接源_02物料!$B775=""),0,IF(OR(N(对接源_02物料!$B775)&lt;$N$2,N(对接源_02物料!$B775)&gt;$N$3),0,1))</f>
        <v>0</v>
      </c>
      <c r="P1975">
        <f>IF(AND($K1975=1,AND(对接源_02物料!$X775="公司筐",N(对接源_02物料!$T775)&lt;&gt;0)),1,0)</f>
        <v>0</v>
      </c>
      <c r="Q1975">
        <f>N(Q1974)+$P1975</f>
        <v>14</v>
      </c>
      <c r="R1975">
        <f>IF(AND($K1975=1,AND(对接源_02物料!$X775="公司筐",N(对接源_02物料!$U775)&lt;&gt;0)),1,0)</f>
        <v>0</v>
      </c>
      <c r="S1975">
        <f>N(S1974)+$R1975</f>
        <v>1</v>
      </c>
      <c r="T1975">
        <f>IF(AND($K1975=1,AND(对接源_02物料!$X775="公司筐",N(对接源_02物料!$V775)&lt;&gt;0)),1,0)</f>
        <v>0</v>
      </c>
      <c r="U1975">
        <f>N(U1974)+$T1975</f>
        <v>47</v>
      </c>
      <c r="V1975">
        <f>IF(AND($L1975=1,AND(对接源_02物料!$X775="自备筐",N(对接源_02物料!$V775)&lt;&gt;0)),1,0)</f>
        <v>0</v>
      </c>
      <c r="W1975">
        <f>N(W1974)+$V1975</f>
        <v>11</v>
      </c>
      <c r="X1975">
        <f>IF(AND($L1975=1,AND(对接源_02物料!$X775="自备筐",N(对接源_02物料!$T775)&lt;&gt;0)),1,0)</f>
        <v>0</v>
      </c>
      <c r="Y1975">
        <f>N(Y1974)+$X1975</f>
        <v>0</v>
      </c>
      <c r="Z1975">
        <f>IF(AND($M1975=1,对接源_02物料!$D775="原料入库"),1,0)</f>
        <v>0</v>
      </c>
      <c r="AA1975">
        <f>N(AA1974)+$Z1975</f>
        <v>24</v>
      </c>
      <c r="AB1975">
        <f>IF(AND($M1975=1,LEFT(对接源_02物料!$D775,4)="原料出库"),1,0)</f>
        <v>0</v>
      </c>
      <c r="AC1975">
        <f>N(AC1974)+$AB1975</f>
        <v>0</v>
      </c>
      <c r="AD1975">
        <f>IF(AND($M1975=1,LEFT(对接源_02物料!$D775,4)="成品出库"),1,0)</f>
        <v>0</v>
      </c>
      <c r="AE1975">
        <f>N(AE1974)+$AD1975</f>
        <v>0</v>
      </c>
      <c r="AF1975">
        <f>IF(AND($N1975=1,AND(LEFT(对接源_02物料!$D775,4)="包装物料",N(对接源_02物料!$K775)&lt;&gt;0)),1,0)</f>
        <v>0</v>
      </c>
      <c r="AG1975">
        <f>N(AG1974)+$AF1975</f>
        <v>10</v>
      </c>
      <c r="AH1975">
        <f>IF(AND($N1975=1,AND(对接源_02物料!$D775="周转筐－销售出库",N(对接源_02物料!$K775)&lt;&gt;0)),1,0)</f>
        <v>0</v>
      </c>
      <c r="AI1975">
        <f>N(AI1974)+$AH1975</f>
        <v>0</v>
      </c>
      <c r="AL1975" t="n">
        <v>0</v>
      </c>
      <c r="AM1975">
        <f>N(AM1974)+$AL1975</f>
        <v>2</v>
      </c>
      <c r="AN1975">
        <f>""</f>
      </c>
      <c r="AO1975" t="n">
        <v>0</v>
      </c>
      <c r="AP1975">
        <f>N(AP1974)+$AO1975</f>
        <v>13</v>
      </c>
      <c r="AR1975">
        <f>IF(OR($AF1975=1,$AH1975=1),1,0)</f>
        <v>0</v>
      </c>
      <c r="AS1975">
        <f>N(AS1974)+$AR1975</f>
        <v>10</v>
      </c>
    </row>
    <row r="1976" s="127">
      <c r="A1976">
        <f>IF(对接源_02物料!$C776="","",对接源_02物料!$C776)</f>
      </c>
      <c r="B1976">
        <f>IF(A1976="",0,IF(MATCH(A1976,$A$4:$A$2403,0)=ROW()-3,1,0))</f>
        <v>0</v>
      </c>
      <c r="C1976">
        <f>N(C1975)+B1976</f>
        <v>26</v>
      </c>
      <c r="K1976">
        <f>IF(OR($K$1="",对接源_02物料!$C776="",对接源_02物料!$C776&lt;&gt;$K$1,对接源_02物料!$B776=""),0,IF(OR(N(对接源_02物料!$B776)&lt;$K$2,N(对接源_02物料!$B776)&gt;$K$3),0,1))</f>
        <v>0</v>
      </c>
      <c r="L1976">
        <f>IF(OR($L$1="",对接源_02物料!$C776="",对接源_02物料!$C776&lt;&gt;$L$1,对接源_02物料!$B776=""),0,IF(OR(N(对接源_02物料!$B776)&lt;$L$2,N(对接源_02物料!$B776)&gt;$L$3),0,1))</f>
        <v>0</v>
      </c>
      <c r="M1976">
        <f>IF(OR($M$1="",对接源_02物料!$C776="",对接源_02物料!$C776&lt;&gt;$M$1,对接源_02物料!$B776=""),0,IF(OR(N(对接源_02物料!$B776)&lt;$M$2,N(对接源_02物料!$B776)&gt;$M$3),0,1))</f>
        <v>0</v>
      </c>
      <c r="N1976">
        <f>IF(OR($N$1="",对接源_02物料!$C776="",对接源_02物料!$C776&lt;&gt;$N$1,对接源_02物料!$B776=""),0,IF(OR(N(对接源_02物料!$B776)&lt;$N$2,N(对接源_02物料!$B776)&gt;$N$3),0,1))</f>
        <v>0</v>
      </c>
      <c r="P1976">
        <f>IF(AND($K1976=1,AND(对接源_02物料!$X776="公司筐",N(对接源_02物料!$T776)&lt;&gt;0)),1,0)</f>
        <v>0</v>
      </c>
      <c r="Q1976">
        <f>N(Q1975)+$P1976</f>
        <v>14</v>
      </c>
      <c r="R1976">
        <f>IF(AND($K1976=1,AND(对接源_02物料!$X776="公司筐",N(对接源_02物料!$U776)&lt;&gt;0)),1,0)</f>
        <v>0</v>
      </c>
      <c r="S1976">
        <f>N(S1975)+$R1976</f>
        <v>1</v>
      </c>
      <c r="T1976">
        <f>IF(AND($K1976=1,AND(对接源_02物料!$X776="公司筐",N(对接源_02物料!$V776)&lt;&gt;0)),1,0)</f>
        <v>0</v>
      </c>
      <c r="U1976">
        <f>N(U1975)+$T1976</f>
        <v>47</v>
      </c>
      <c r="V1976">
        <f>IF(AND($L1976=1,AND(对接源_02物料!$X776="自备筐",N(对接源_02物料!$V776)&lt;&gt;0)),1,0)</f>
        <v>0</v>
      </c>
      <c r="W1976">
        <f>N(W1975)+$V1976</f>
        <v>11</v>
      </c>
      <c r="X1976">
        <f>IF(AND($L1976=1,AND(对接源_02物料!$X776="自备筐",N(对接源_02物料!$T776)&lt;&gt;0)),1,0)</f>
        <v>0</v>
      </c>
      <c r="Y1976">
        <f>N(Y1975)+$X1976</f>
        <v>0</v>
      </c>
      <c r="Z1976">
        <f>IF(AND($M1976=1,对接源_02物料!$D776="原料入库"),1,0)</f>
        <v>0</v>
      </c>
      <c r="AA1976">
        <f>N(AA1975)+$Z1976</f>
        <v>24</v>
      </c>
      <c r="AB1976">
        <f>IF(AND($M1976=1,LEFT(对接源_02物料!$D776,4)="原料出库"),1,0)</f>
        <v>0</v>
      </c>
      <c r="AC1976">
        <f>N(AC1975)+$AB1976</f>
        <v>0</v>
      </c>
      <c r="AD1976">
        <f>IF(AND($M1976=1,LEFT(对接源_02物料!$D776,4)="成品出库"),1,0)</f>
        <v>0</v>
      </c>
      <c r="AE1976">
        <f>N(AE1975)+$AD1976</f>
        <v>0</v>
      </c>
      <c r="AF1976">
        <f>IF(AND($N1976=1,AND(LEFT(对接源_02物料!$D776,4)="包装物料",N(对接源_02物料!$K776)&lt;&gt;0)),1,0)</f>
        <v>0</v>
      </c>
      <c r="AG1976">
        <f>N(AG1975)+$AF1976</f>
        <v>10</v>
      </c>
      <c r="AH1976">
        <f>IF(AND($N1976=1,AND(对接源_02物料!$D776="周转筐－销售出库",N(对接源_02物料!$K776)&lt;&gt;0)),1,0)</f>
        <v>0</v>
      </c>
      <c r="AI1976">
        <f>N(AI1975)+$AH1976</f>
        <v>0</v>
      </c>
      <c r="AL1976" t="n">
        <v>0</v>
      </c>
      <c r="AM1976">
        <f>N(AM1975)+$AL1976</f>
        <v>2</v>
      </c>
      <c r="AN1976">
        <f>""</f>
      </c>
      <c r="AO1976" t="n">
        <v>0</v>
      </c>
      <c r="AP1976">
        <f>N(AP1975)+$AO1976</f>
        <v>13</v>
      </c>
      <c r="AR1976">
        <f>IF(OR($AF1976=1,$AH1976=1),1,0)</f>
        <v>0</v>
      </c>
      <c r="AS1976">
        <f>N(AS1975)+$AR1976</f>
        <v>10</v>
      </c>
    </row>
    <row r="1977" s="127">
      <c r="A1977">
        <f>IF(对接源_02物料!$C777="","",对接源_02物料!$C777)</f>
      </c>
      <c r="B1977">
        <f>IF(A1977="",0,IF(MATCH(A1977,$A$4:$A$2403,0)=ROW()-3,1,0))</f>
        <v>0</v>
      </c>
      <c r="C1977">
        <f>N(C1976)+B1977</f>
        <v>26</v>
      </c>
      <c r="K1977">
        <f>IF(OR($K$1="",对接源_02物料!$C777="",对接源_02物料!$C777&lt;&gt;$K$1,对接源_02物料!$B777=""),0,IF(OR(N(对接源_02物料!$B777)&lt;$K$2,N(对接源_02物料!$B777)&gt;$K$3),0,1))</f>
        <v>0</v>
      </c>
      <c r="L1977">
        <f>IF(OR($L$1="",对接源_02物料!$C777="",对接源_02物料!$C777&lt;&gt;$L$1,对接源_02物料!$B777=""),0,IF(OR(N(对接源_02物料!$B777)&lt;$L$2,N(对接源_02物料!$B777)&gt;$L$3),0,1))</f>
        <v>0</v>
      </c>
      <c r="M1977">
        <f>IF(OR($M$1="",对接源_02物料!$C777="",对接源_02物料!$C777&lt;&gt;$M$1,对接源_02物料!$B777=""),0,IF(OR(N(对接源_02物料!$B777)&lt;$M$2,N(对接源_02物料!$B777)&gt;$M$3),0,1))</f>
        <v>0</v>
      </c>
      <c r="N1977">
        <f>IF(OR($N$1="",对接源_02物料!$C777="",对接源_02物料!$C777&lt;&gt;$N$1,对接源_02物料!$B777=""),0,IF(OR(N(对接源_02物料!$B777)&lt;$N$2,N(对接源_02物料!$B777)&gt;$N$3),0,1))</f>
        <v>0</v>
      </c>
      <c r="P1977">
        <f>IF(AND($K1977=1,AND(对接源_02物料!$X777="公司筐",N(对接源_02物料!$T777)&lt;&gt;0)),1,0)</f>
        <v>0</v>
      </c>
      <c r="Q1977">
        <f>N(Q1976)+$P1977</f>
        <v>14</v>
      </c>
      <c r="R1977">
        <f>IF(AND($K1977=1,AND(对接源_02物料!$X777="公司筐",N(对接源_02物料!$U777)&lt;&gt;0)),1,0)</f>
        <v>0</v>
      </c>
      <c r="S1977">
        <f>N(S1976)+$R1977</f>
        <v>1</v>
      </c>
      <c r="T1977">
        <f>IF(AND($K1977=1,AND(对接源_02物料!$X777="公司筐",N(对接源_02物料!$V777)&lt;&gt;0)),1,0)</f>
        <v>0</v>
      </c>
      <c r="U1977">
        <f>N(U1976)+$T1977</f>
        <v>47</v>
      </c>
      <c r="V1977">
        <f>IF(AND($L1977=1,AND(对接源_02物料!$X777="自备筐",N(对接源_02物料!$V777)&lt;&gt;0)),1,0)</f>
        <v>0</v>
      </c>
      <c r="W1977">
        <f>N(W1976)+$V1977</f>
        <v>11</v>
      </c>
      <c r="X1977">
        <f>IF(AND($L1977=1,AND(对接源_02物料!$X777="自备筐",N(对接源_02物料!$T777)&lt;&gt;0)),1,0)</f>
        <v>0</v>
      </c>
      <c r="Y1977">
        <f>N(Y1976)+$X1977</f>
        <v>0</v>
      </c>
      <c r="Z1977">
        <f>IF(AND($M1977=1,对接源_02物料!$D777="原料入库"),1,0)</f>
        <v>0</v>
      </c>
      <c r="AA1977">
        <f>N(AA1976)+$Z1977</f>
        <v>24</v>
      </c>
      <c r="AB1977">
        <f>IF(AND($M1977=1,LEFT(对接源_02物料!$D777,4)="原料出库"),1,0)</f>
        <v>0</v>
      </c>
      <c r="AC1977">
        <f>N(AC1976)+$AB1977</f>
        <v>0</v>
      </c>
      <c r="AD1977">
        <f>IF(AND($M1977=1,LEFT(对接源_02物料!$D777,4)="成品出库"),1,0)</f>
        <v>0</v>
      </c>
      <c r="AE1977">
        <f>N(AE1976)+$AD1977</f>
        <v>0</v>
      </c>
      <c r="AF1977">
        <f>IF(AND($N1977=1,AND(LEFT(对接源_02物料!$D777,4)="包装物料",N(对接源_02物料!$K777)&lt;&gt;0)),1,0)</f>
        <v>0</v>
      </c>
      <c r="AG1977">
        <f>N(AG1976)+$AF1977</f>
        <v>10</v>
      </c>
      <c r="AH1977">
        <f>IF(AND($N1977=1,AND(对接源_02物料!$D777="周转筐－销售出库",N(对接源_02物料!$K777)&lt;&gt;0)),1,0)</f>
        <v>0</v>
      </c>
      <c r="AI1977">
        <f>N(AI1976)+$AH1977</f>
        <v>0</v>
      </c>
      <c r="AL1977" t="n">
        <v>0</v>
      </c>
      <c r="AM1977">
        <f>N(AM1976)+$AL1977</f>
        <v>2</v>
      </c>
      <c r="AN1977">
        <f>""</f>
      </c>
      <c r="AO1977" t="n">
        <v>0</v>
      </c>
      <c r="AP1977">
        <f>N(AP1976)+$AO1977</f>
        <v>13</v>
      </c>
      <c r="AR1977">
        <f>IF(OR($AF1977=1,$AH1977=1),1,0)</f>
        <v>0</v>
      </c>
      <c r="AS1977">
        <f>N(AS1976)+$AR1977</f>
        <v>10</v>
      </c>
    </row>
    <row r="1978" s="127">
      <c r="A1978">
        <f>IF(对接源_02物料!$C778="","",对接源_02物料!$C778)</f>
      </c>
      <c r="B1978">
        <f>IF(A1978="",0,IF(MATCH(A1978,$A$4:$A$2403,0)=ROW()-3,1,0))</f>
        <v>0</v>
      </c>
      <c r="C1978">
        <f>N(C1977)+B1978</f>
        <v>26</v>
      </c>
      <c r="K1978">
        <f>IF(OR($K$1="",对接源_02物料!$C778="",对接源_02物料!$C778&lt;&gt;$K$1,对接源_02物料!$B778=""),0,IF(OR(N(对接源_02物料!$B778)&lt;$K$2,N(对接源_02物料!$B778)&gt;$K$3),0,1))</f>
        <v>0</v>
      </c>
      <c r="L1978">
        <f>IF(OR($L$1="",对接源_02物料!$C778="",对接源_02物料!$C778&lt;&gt;$L$1,对接源_02物料!$B778=""),0,IF(OR(N(对接源_02物料!$B778)&lt;$L$2,N(对接源_02物料!$B778)&gt;$L$3),0,1))</f>
        <v>0</v>
      </c>
      <c r="M1978">
        <f>IF(OR($M$1="",对接源_02物料!$C778="",对接源_02物料!$C778&lt;&gt;$M$1,对接源_02物料!$B778=""),0,IF(OR(N(对接源_02物料!$B778)&lt;$M$2,N(对接源_02物料!$B778)&gt;$M$3),0,1))</f>
        <v>0</v>
      </c>
      <c r="N1978">
        <f>IF(OR($N$1="",对接源_02物料!$C778="",对接源_02物料!$C778&lt;&gt;$N$1,对接源_02物料!$B778=""),0,IF(OR(N(对接源_02物料!$B778)&lt;$N$2,N(对接源_02物料!$B778)&gt;$N$3),0,1))</f>
        <v>0</v>
      </c>
      <c r="P1978">
        <f>IF(AND($K1978=1,AND(对接源_02物料!$X778="公司筐",N(对接源_02物料!$T778)&lt;&gt;0)),1,0)</f>
        <v>0</v>
      </c>
      <c r="Q1978">
        <f>N(Q1977)+$P1978</f>
        <v>14</v>
      </c>
      <c r="R1978">
        <f>IF(AND($K1978=1,AND(对接源_02物料!$X778="公司筐",N(对接源_02物料!$U778)&lt;&gt;0)),1,0)</f>
        <v>0</v>
      </c>
      <c r="S1978">
        <f>N(S1977)+$R1978</f>
        <v>1</v>
      </c>
      <c r="T1978">
        <f>IF(AND($K1978=1,AND(对接源_02物料!$X778="公司筐",N(对接源_02物料!$V778)&lt;&gt;0)),1,0)</f>
        <v>0</v>
      </c>
      <c r="U1978">
        <f>N(U1977)+$T1978</f>
        <v>47</v>
      </c>
      <c r="V1978">
        <f>IF(AND($L1978=1,AND(对接源_02物料!$X778="自备筐",N(对接源_02物料!$V778)&lt;&gt;0)),1,0)</f>
        <v>0</v>
      </c>
      <c r="W1978">
        <f>N(W1977)+$V1978</f>
        <v>11</v>
      </c>
      <c r="X1978">
        <f>IF(AND($L1978=1,AND(对接源_02物料!$X778="自备筐",N(对接源_02物料!$T778)&lt;&gt;0)),1,0)</f>
        <v>0</v>
      </c>
      <c r="Y1978">
        <f>N(Y1977)+$X1978</f>
        <v>0</v>
      </c>
      <c r="Z1978">
        <f>IF(AND($M1978=1,对接源_02物料!$D778="原料入库"),1,0)</f>
        <v>0</v>
      </c>
      <c r="AA1978">
        <f>N(AA1977)+$Z1978</f>
        <v>24</v>
      </c>
      <c r="AB1978">
        <f>IF(AND($M1978=1,LEFT(对接源_02物料!$D778,4)="原料出库"),1,0)</f>
        <v>0</v>
      </c>
      <c r="AC1978">
        <f>N(AC1977)+$AB1978</f>
        <v>0</v>
      </c>
      <c r="AD1978">
        <f>IF(AND($M1978=1,LEFT(对接源_02物料!$D778,4)="成品出库"),1,0)</f>
        <v>0</v>
      </c>
      <c r="AE1978">
        <f>N(AE1977)+$AD1978</f>
        <v>0</v>
      </c>
      <c r="AF1978">
        <f>IF(AND($N1978=1,AND(LEFT(对接源_02物料!$D778,4)="包装物料",N(对接源_02物料!$K778)&lt;&gt;0)),1,0)</f>
        <v>0</v>
      </c>
      <c r="AG1978">
        <f>N(AG1977)+$AF1978</f>
        <v>10</v>
      </c>
      <c r="AH1978">
        <f>IF(AND($N1978=1,AND(对接源_02物料!$D778="周转筐－销售出库",N(对接源_02物料!$K778)&lt;&gt;0)),1,0)</f>
        <v>0</v>
      </c>
      <c r="AI1978">
        <f>N(AI1977)+$AH1978</f>
        <v>0</v>
      </c>
      <c r="AL1978" t="n">
        <v>0</v>
      </c>
      <c r="AM1978">
        <f>N(AM1977)+$AL1978</f>
        <v>2</v>
      </c>
      <c r="AN1978">
        <f>""</f>
      </c>
      <c r="AO1978" t="n">
        <v>0</v>
      </c>
      <c r="AP1978">
        <f>N(AP1977)+$AO1978</f>
        <v>13</v>
      </c>
      <c r="AR1978">
        <f>IF(OR($AF1978=1,$AH1978=1),1,0)</f>
        <v>0</v>
      </c>
      <c r="AS1978">
        <f>N(AS1977)+$AR1978</f>
        <v>10</v>
      </c>
    </row>
    <row r="1979" s="127">
      <c r="A1979">
        <f>IF(对接源_02物料!$C779="","",对接源_02物料!$C779)</f>
      </c>
      <c r="B1979">
        <f>IF(A1979="",0,IF(MATCH(A1979,$A$4:$A$2403,0)=ROW()-3,1,0))</f>
        <v>0</v>
      </c>
      <c r="C1979">
        <f>N(C1978)+B1979</f>
        <v>26</v>
      </c>
      <c r="K1979">
        <f>IF(OR($K$1="",对接源_02物料!$C779="",对接源_02物料!$C779&lt;&gt;$K$1,对接源_02物料!$B779=""),0,IF(OR(N(对接源_02物料!$B779)&lt;$K$2,N(对接源_02物料!$B779)&gt;$K$3),0,1))</f>
        <v>0</v>
      </c>
      <c r="L1979">
        <f>IF(OR($L$1="",对接源_02物料!$C779="",对接源_02物料!$C779&lt;&gt;$L$1,对接源_02物料!$B779=""),0,IF(OR(N(对接源_02物料!$B779)&lt;$L$2,N(对接源_02物料!$B779)&gt;$L$3),0,1))</f>
        <v>0</v>
      </c>
      <c r="M1979">
        <f>IF(OR($M$1="",对接源_02物料!$C779="",对接源_02物料!$C779&lt;&gt;$M$1,对接源_02物料!$B779=""),0,IF(OR(N(对接源_02物料!$B779)&lt;$M$2,N(对接源_02物料!$B779)&gt;$M$3),0,1))</f>
        <v>0</v>
      </c>
      <c r="N1979">
        <f>IF(OR($N$1="",对接源_02物料!$C779="",对接源_02物料!$C779&lt;&gt;$N$1,对接源_02物料!$B779=""),0,IF(OR(N(对接源_02物料!$B779)&lt;$N$2,N(对接源_02物料!$B779)&gt;$N$3),0,1))</f>
        <v>0</v>
      </c>
      <c r="P1979">
        <f>IF(AND($K1979=1,AND(对接源_02物料!$X779="公司筐",N(对接源_02物料!$T779)&lt;&gt;0)),1,0)</f>
        <v>0</v>
      </c>
      <c r="Q1979">
        <f>N(Q1978)+$P1979</f>
        <v>14</v>
      </c>
      <c r="R1979">
        <f>IF(AND($K1979=1,AND(对接源_02物料!$X779="公司筐",N(对接源_02物料!$U779)&lt;&gt;0)),1,0)</f>
        <v>0</v>
      </c>
      <c r="S1979">
        <f>N(S1978)+$R1979</f>
        <v>1</v>
      </c>
      <c r="T1979">
        <f>IF(AND($K1979=1,AND(对接源_02物料!$X779="公司筐",N(对接源_02物料!$V779)&lt;&gt;0)),1,0)</f>
        <v>0</v>
      </c>
      <c r="U1979">
        <f>N(U1978)+$T1979</f>
        <v>47</v>
      </c>
      <c r="V1979">
        <f>IF(AND($L1979=1,AND(对接源_02物料!$X779="自备筐",N(对接源_02物料!$V779)&lt;&gt;0)),1,0)</f>
        <v>0</v>
      </c>
      <c r="W1979">
        <f>N(W1978)+$V1979</f>
        <v>11</v>
      </c>
      <c r="X1979">
        <f>IF(AND($L1979=1,AND(对接源_02物料!$X779="自备筐",N(对接源_02物料!$T779)&lt;&gt;0)),1,0)</f>
        <v>0</v>
      </c>
      <c r="Y1979">
        <f>N(Y1978)+$X1979</f>
        <v>0</v>
      </c>
      <c r="Z1979">
        <f>IF(AND($M1979=1,对接源_02物料!$D779="原料入库"),1,0)</f>
        <v>0</v>
      </c>
      <c r="AA1979">
        <f>N(AA1978)+$Z1979</f>
        <v>24</v>
      </c>
      <c r="AB1979">
        <f>IF(AND($M1979=1,LEFT(对接源_02物料!$D779,4)="原料出库"),1,0)</f>
        <v>0</v>
      </c>
      <c r="AC1979">
        <f>N(AC1978)+$AB1979</f>
        <v>0</v>
      </c>
      <c r="AD1979">
        <f>IF(AND($M1979=1,LEFT(对接源_02物料!$D779,4)="成品出库"),1,0)</f>
        <v>0</v>
      </c>
      <c r="AE1979">
        <f>N(AE1978)+$AD1979</f>
        <v>0</v>
      </c>
      <c r="AF1979">
        <f>IF(AND($N1979=1,AND(LEFT(对接源_02物料!$D779,4)="包装物料",N(对接源_02物料!$K779)&lt;&gt;0)),1,0)</f>
        <v>0</v>
      </c>
      <c r="AG1979">
        <f>N(AG1978)+$AF1979</f>
        <v>10</v>
      </c>
      <c r="AH1979">
        <f>IF(AND($N1979=1,AND(对接源_02物料!$D779="周转筐－销售出库",N(对接源_02物料!$K779)&lt;&gt;0)),1,0)</f>
        <v>0</v>
      </c>
      <c r="AI1979">
        <f>N(AI1978)+$AH1979</f>
        <v>0</v>
      </c>
      <c r="AL1979" t="n">
        <v>0</v>
      </c>
      <c r="AM1979">
        <f>N(AM1978)+$AL1979</f>
        <v>2</v>
      </c>
      <c r="AN1979">
        <f>""</f>
      </c>
      <c r="AO1979" t="n">
        <v>0</v>
      </c>
      <c r="AP1979">
        <f>N(AP1978)+$AO1979</f>
        <v>13</v>
      </c>
      <c r="AR1979">
        <f>IF(OR($AF1979=1,$AH1979=1),1,0)</f>
        <v>0</v>
      </c>
      <c r="AS1979">
        <f>N(AS1978)+$AR1979</f>
        <v>10</v>
      </c>
    </row>
    <row r="1980" s="127">
      <c r="A1980">
        <f>IF(对接源_02物料!$C780="","",对接源_02物料!$C780)</f>
      </c>
      <c r="B1980">
        <f>IF(A1980="",0,IF(MATCH(A1980,$A$4:$A$2403,0)=ROW()-3,1,0))</f>
        <v>0</v>
      </c>
      <c r="C1980">
        <f>N(C1979)+B1980</f>
        <v>26</v>
      </c>
      <c r="K1980">
        <f>IF(OR($K$1="",对接源_02物料!$C780="",对接源_02物料!$C780&lt;&gt;$K$1,对接源_02物料!$B780=""),0,IF(OR(N(对接源_02物料!$B780)&lt;$K$2,N(对接源_02物料!$B780)&gt;$K$3),0,1))</f>
        <v>0</v>
      </c>
      <c r="L1980">
        <f>IF(OR($L$1="",对接源_02物料!$C780="",对接源_02物料!$C780&lt;&gt;$L$1,对接源_02物料!$B780=""),0,IF(OR(N(对接源_02物料!$B780)&lt;$L$2,N(对接源_02物料!$B780)&gt;$L$3),0,1))</f>
        <v>0</v>
      </c>
      <c r="M1980">
        <f>IF(OR($M$1="",对接源_02物料!$C780="",对接源_02物料!$C780&lt;&gt;$M$1,对接源_02物料!$B780=""),0,IF(OR(N(对接源_02物料!$B780)&lt;$M$2,N(对接源_02物料!$B780)&gt;$M$3),0,1))</f>
        <v>0</v>
      </c>
      <c r="N1980">
        <f>IF(OR($N$1="",对接源_02物料!$C780="",对接源_02物料!$C780&lt;&gt;$N$1,对接源_02物料!$B780=""),0,IF(OR(N(对接源_02物料!$B780)&lt;$N$2,N(对接源_02物料!$B780)&gt;$N$3),0,1))</f>
        <v>0</v>
      </c>
      <c r="P1980">
        <f>IF(AND($K1980=1,AND(对接源_02物料!$X780="公司筐",N(对接源_02物料!$T780)&lt;&gt;0)),1,0)</f>
        <v>0</v>
      </c>
      <c r="Q1980">
        <f>N(Q1979)+$P1980</f>
        <v>14</v>
      </c>
      <c r="R1980">
        <f>IF(AND($K1980=1,AND(对接源_02物料!$X780="公司筐",N(对接源_02物料!$U780)&lt;&gt;0)),1,0)</f>
        <v>0</v>
      </c>
      <c r="S1980">
        <f>N(S1979)+$R1980</f>
        <v>1</v>
      </c>
      <c r="T1980">
        <f>IF(AND($K1980=1,AND(对接源_02物料!$X780="公司筐",N(对接源_02物料!$V780)&lt;&gt;0)),1,0)</f>
        <v>0</v>
      </c>
      <c r="U1980">
        <f>N(U1979)+$T1980</f>
        <v>47</v>
      </c>
      <c r="V1980">
        <f>IF(AND($L1980=1,AND(对接源_02物料!$X780="自备筐",N(对接源_02物料!$V780)&lt;&gt;0)),1,0)</f>
        <v>0</v>
      </c>
      <c r="W1980">
        <f>N(W1979)+$V1980</f>
        <v>11</v>
      </c>
      <c r="X1980">
        <f>IF(AND($L1980=1,AND(对接源_02物料!$X780="自备筐",N(对接源_02物料!$T780)&lt;&gt;0)),1,0)</f>
        <v>0</v>
      </c>
      <c r="Y1980">
        <f>N(Y1979)+$X1980</f>
        <v>0</v>
      </c>
      <c r="Z1980">
        <f>IF(AND($M1980=1,对接源_02物料!$D780="原料入库"),1,0)</f>
        <v>0</v>
      </c>
      <c r="AA1980">
        <f>N(AA1979)+$Z1980</f>
        <v>24</v>
      </c>
      <c r="AB1980">
        <f>IF(AND($M1980=1,LEFT(对接源_02物料!$D780,4)="原料出库"),1,0)</f>
        <v>0</v>
      </c>
      <c r="AC1980">
        <f>N(AC1979)+$AB1980</f>
        <v>0</v>
      </c>
      <c r="AD1980">
        <f>IF(AND($M1980=1,LEFT(对接源_02物料!$D780,4)="成品出库"),1,0)</f>
        <v>0</v>
      </c>
      <c r="AE1980">
        <f>N(AE1979)+$AD1980</f>
        <v>0</v>
      </c>
      <c r="AF1980">
        <f>IF(AND($N1980=1,AND(LEFT(对接源_02物料!$D780,4)="包装物料",N(对接源_02物料!$K780)&lt;&gt;0)),1,0)</f>
        <v>0</v>
      </c>
      <c r="AG1980">
        <f>N(AG1979)+$AF1980</f>
        <v>10</v>
      </c>
      <c r="AH1980">
        <f>IF(AND($N1980=1,AND(对接源_02物料!$D780="周转筐－销售出库",N(对接源_02物料!$K780)&lt;&gt;0)),1,0)</f>
        <v>0</v>
      </c>
      <c r="AI1980">
        <f>N(AI1979)+$AH1980</f>
        <v>0</v>
      </c>
      <c r="AL1980" t="n">
        <v>0</v>
      </c>
      <c r="AM1980">
        <f>N(AM1979)+$AL1980</f>
        <v>2</v>
      </c>
      <c r="AN1980">
        <f>""</f>
      </c>
      <c r="AO1980" t="n">
        <v>0</v>
      </c>
      <c r="AP1980">
        <f>N(AP1979)+$AO1980</f>
        <v>13</v>
      </c>
      <c r="AR1980">
        <f>IF(OR($AF1980=1,$AH1980=1),1,0)</f>
        <v>0</v>
      </c>
      <c r="AS1980">
        <f>N(AS1979)+$AR1980</f>
        <v>10</v>
      </c>
    </row>
    <row r="1981" s="127">
      <c r="A1981">
        <f>IF(对接源_02物料!$C781="","",对接源_02物料!$C781)</f>
      </c>
      <c r="B1981">
        <f>IF(A1981="",0,IF(MATCH(A1981,$A$4:$A$2403,0)=ROW()-3,1,0))</f>
        <v>0</v>
      </c>
      <c r="C1981">
        <f>N(C1980)+B1981</f>
        <v>26</v>
      </c>
      <c r="K1981">
        <f>IF(OR($K$1="",对接源_02物料!$C781="",对接源_02物料!$C781&lt;&gt;$K$1,对接源_02物料!$B781=""),0,IF(OR(N(对接源_02物料!$B781)&lt;$K$2,N(对接源_02物料!$B781)&gt;$K$3),0,1))</f>
        <v>0</v>
      </c>
      <c r="L1981">
        <f>IF(OR($L$1="",对接源_02物料!$C781="",对接源_02物料!$C781&lt;&gt;$L$1,对接源_02物料!$B781=""),0,IF(OR(N(对接源_02物料!$B781)&lt;$L$2,N(对接源_02物料!$B781)&gt;$L$3),0,1))</f>
        <v>0</v>
      </c>
      <c r="M1981">
        <f>IF(OR($M$1="",对接源_02物料!$C781="",对接源_02物料!$C781&lt;&gt;$M$1,对接源_02物料!$B781=""),0,IF(OR(N(对接源_02物料!$B781)&lt;$M$2,N(对接源_02物料!$B781)&gt;$M$3),0,1))</f>
        <v>0</v>
      </c>
      <c r="N1981">
        <f>IF(OR($N$1="",对接源_02物料!$C781="",对接源_02物料!$C781&lt;&gt;$N$1,对接源_02物料!$B781=""),0,IF(OR(N(对接源_02物料!$B781)&lt;$N$2,N(对接源_02物料!$B781)&gt;$N$3),0,1))</f>
        <v>0</v>
      </c>
      <c r="P1981">
        <f>IF(AND($K1981=1,AND(对接源_02物料!$X781="公司筐",N(对接源_02物料!$T781)&lt;&gt;0)),1,0)</f>
        <v>0</v>
      </c>
      <c r="Q1981">
        <f>N(Q1980)+$P1981</f>
        <v>14</v>
      </c>
      <c r="R1981">
        <f>IF(AND($K1981=1,AND(对接源_02物料!$X781="公司筐",N(对接源_02物料!$U781)&lt;&gt;0)),1,0)</f>
        <v>0</v>
      </c>
      <c r="S1981">
        <f>N(S1980)+$R1981</f>
        <v>1</v>
      </c>
      <c r="T1981">
        <f>IF(AND($K1981=1,AND(对接源_02物料!$X781="公司筐",N(对接源_02物料!$V781)&lt;&gt;0)),1,0)</f>
        <v>0</v>
      </c>
      <c r="U1981">
        <f>N(U1980)+$T1981</f>
        <v>47</v>
      </c>
      <c r="V1981">
        <f>IF(AND($L1981=1,AND(对接源_02物料!$X781="自备筐",N(对接源_02物料!$V781)&lt;&gt;0)),1,0)</f>
        <v>0</v>
      </c>
      <c r="W1981">
        <f>N(W1980)+$V1981</f>
        <v>11</v>
      </c>
      <c r="X1981">
        <f>IF(AND($L1981=1,AND(对接源_02物料!$X781="自备筐",N(对接源_02物料!$T781)&lt;&gt;0)),1,0)</f>
        <v>0</v>
      </c>
      <c r="Y1981">
        <f>N(Y1980)+$X1981</f>
        <v>0</v>
      </c>
      <c r="Z1981">
        <f>IF(AND($M1981=1,对接源_02物料!$D781="原料入库"),1,0)</f>
        <v>0</v>
      </c>
      <c r="AA1981">
        <f>N(AA1980)+$Z1981</f>
        <v>24</v>
      </c>
      <c r="AB1981">
        <f>IF(AND($M1981=1,LEFT(对接源_02物料!$D781,4)="原料出库"),1,0)</f>
        <v>0</v>
      </c>
      <c r="AC1981">
        <f>N(AC1980)+$AB1981</f>
        <v>0</v>
      </c>
      <c r="AD1981">
        <f>IF(AND($M1981=1,LEFT(对接源_02物料!$D781,4)="成品出库"),1,0)</f>
        <v>0</v>
      </c>
      <c r="AE1981">
        <f>N(AE1980)+$AD1981</f>
        <v>0</v>
      </c>
      <c r="AF1981">
        <f>IF(AND($N1981=1,AND(LEFT(对接源_02物料!$D781,4)="包装物料",N(对接源_02物料!$K781)&lt;&gt;0)),1,0)</f>
        <v>0</v>
      </c>
      <c r="AG1981">
        <f>N(AG1980)+$AF1981</f>
        <v>10</v>
      </c>
      <c r="AH1981">
        <f>IF(AND($N1981=1,AND(对接源_02物料!$D781="周转筐－销售出库",N(对接源_02物料!$K781)&lt;&gt;0)),1,0)</f>
        <v>0</v>
      </c>
      <c r="AI1981">
        <f>N(AI1980)+$AH1981</f>
        <v>0</v>
      </c>
      <c r="AL1981" t="n">
        <v>0</v>
      </c>
      <c r="AM1981">
        <f>N(AM1980)+$AL1981</f>
        <v>2</v>
      </c>
      <c r="AN1981">
        <f>""</f>
      </c>
      <c r="AO1981" t="n">
        <v>0</v>
      </c>
      <c r="AP1981">
        <f>N(AP1980)+$AO1981</f>
        <v>13</v>
      </c>
      <c r="AR1981">
        <f>IF(OR($AF1981=1,$AH1981=1),1,0)</f>
        <v>0</v>
      </c>
      <c r="AS1981">
        <f>N(AS1980)+$AR1981</f>
        <v>10</v>
      </c>
    </row>
    <row r="1982" s="127">
      <c r="A1982">
        <f>IF(对接源_02物料!$C782="","",对接源_02物料!$C782)</f>
      </c>
      <c r="B1982">
        <f>IF(A1982="",0,IF(MATCH(A1982,$A$4:$A$2403,0)=ROW()-3,1,0))</f>
        <v>0</v>
      </c>
      <c r="C1982">
        <f>N(C1981)+B1982</f>
        <v>26</v>
      </c>
      <c r="K1982">
        <f>IF(OR($K$1="",对接源_02物料!$C782="",对接源_02物料!$C782&lt;&gt;$K$1,对接源_02物料!$B782=""),0,IF(OR(N(对接源_02物料!$B782)&lt;$K$2,N(对接源_02物料!$B782)&gt;$K$3),0,1))</f>
        <v>0</v>
      </c>
      <c r="L1982">
        <f>IF(OR($L$1="",对接源_02物料!$C782="",对接源_02物料!$C782&lt;&gt;$L$1,对接源_02物料!$B782=""),0,IF(OR(N(对接源_02物料!$B782)&lt;$L$2,N(对接源_02物料!$B782)&gt;$L$3),0,1))</f>
        <v>0</v>
      </c>
      <c r="M1982">
        <f>IF(OR($M$1="",对接源_02物料!$C782="",对接源_02物料!$C782&lt;&gt;$M$1,对接源_02物料!$B782=""),0,IF(OR(N(对接源_02物料!$B782)&lt;$M$2,N(对接源_02物料!$B782)&gt;$M$3),0,1))</f>
        <v>0</v>
      </c>
      <c r="N1982">
        <f>IF(OR($N$1="",对接源_02物料!$C782="",对接源_02物料!$C782&lt;&gt;$N$1,对接源_02物料!$B782=""),0,IF(OR(N(对接源_02物料!$B782)&lt;$N$2,N(对接源_02物料!$B782)&gt;$N$3),0,1))</f>
        <v>0</v>
      </c>
      <c r="P1982">
        <f>IF(AND($K1982=1,AND(对接源_02物料!$X782="公司筐",N(对接源_02物料!$T782)&lt;&gt;0)),1,0)</f>
        <v>0</v>
      </c>
      <c r="Q1982">
        <f>N(Q1981)+$P1982</f>
        <v>14</v>
      </c>
      <c r="R1982">
        <f>IF(AND($K1982=1,AND(对接源_02物料!$X782="公司筐",N(对接源_02物料!$U782)&lt;&gt;0)),1,0)</f>
        <v>0</v>
      </c>
      <c r="S1982">
        <f>N(S1981)+$R1982</f>
        <v>1</v>
      </c>
      <c r="T1982">
        <f>IF(AND($K1982=1,AND(对接源_02物料!$X782="公司筐",N(对接源_02物料!$V782)&lt;&gt;0)),1,0)</f>
        <v>0</v>
      </c>
      <c r="U1982">
        <f>N(U1981)+$T1982</f>
        <v>47</v>
      </c>
      <c r="V1982">
        <f>IF(AND($L1982=1,AND(对接源_02物料!$X782="自备筐",N(对接源_02物料!$V782)&lt;&gt;0)),1,0)</f>
        <v>0</v>
      </c>
      <c r="W1982">
        <f>N(W1981)+$V1982</f>
        <v>11</v>
      </c>
      <c r="X1982">
        <f>IF(AND($L1982=1,AND(对接源_02物料!$X782="自备筐",N(对接源_02物料!$T782)&lt;&gt;0)),1,0)</f>
        <v>0</v>
      </c>
      <c r="Y1982">
        <f>N(Y1981)+$X1982</f>
        <v>0</v>
      </c>
      <c r="Z1982">
        <f>IF(AND($M1982=1,对接源_02物料!$D782="原料入库"),1,0)</f>
        <v>0</v>
      </c>
      <c r="AA1982">
        <f>N(AA1981)+$Z1982</f>
        <v>24</v>
      </c>
      <c r="AB1982">
        <f>IF(AND($M1982=1,LEFT(对接源_02物料!$D782,4)="原料出库"),1,0)</f>
        <v>0</v>
      </c>
      <c r="AC1982">
        <f>N(AC1981)+$AB1982</f>
        <v>0</v>
      </c>
      <c r="AD1982">
        <f>IF(AND($M1982=1,LEFT(对接源_02物料!$D782,4)="成品出库"),1,0)</f>
        <v>0</v>
      </c>
      <c r="AE1982">
        <f>N(AE1981)+$AD1982</f>
        <v>0</v>
      </c>
      <c r="AF1982">
        <f>IF(AND($N1982=1,AND(LEFT(对接源_02物料!$D782,4)="包装物料",N(对接源_02物料!$K782)&lt;&gt;0)),1,0)</f>
        <v>0</v>
      </c>
      <c r="AG1982">
        <f>N(AG1981)+$AF1982</f>
        <v>10</v>
      </c>
      <c r="AH1982">
        <f>IF(AND($N1982=1,AND(对接源_02物料!$D782="周转筐－销售出库",N(对接源_02物料!$K782)&lt;&gt;0)),1,0)</f>
        <v>0</v>
      </c>
      <c r="AI1982">
        <f>N(AI1981)+$AH1982</f>
        <v>0</v>
      </c>
      <c r="AL1982" t="n">
        <v>0</v>
      </c>
      <c r="AM1982">
        <f>N(AM1981)+$AL1982</f>
        <v>2</v>
      </c>
      <c r="AN1982">
        <f>""</f>
      </c>
      <c r="AO1982" t="n">
        <v>0</v>
      </c>
      <c r="AP1982">
        <f>N(AP1981)+$AO1982</f>
        <v>13</v>
      </c>
      <c r="AR1982">
        <f>IF(OR($AF1982=1,$AH1982=1),1,0)</f>
        <v>0</v>
      </c>
      <c r="AS1982">
        <f>N(AS1981)+$AR1982</f>
        <v>10</v>
      </c>
    </row>
    <row r="1983" s="127">
      <c r="A1983">
        <f>IF(对接源_02物料!$C783="","",对接源_02物料!$C783)</f>
      </c>
      <c r="B1983">
        <f>IF(A1983="",0,IF(MATCH(A1983,$A$4:$A$2403,0)=ROW()-3,1,0))</f>
        <v>0</v>
      </c>
      <c r="C1983">
        <f>N(C1982)+B1983</f>
        <v>26</v>
      </c>
      <c r="K1983">
        <f>IF(OR($K$1="",对接源_02物料!$C783="",对接源_02物料!$C783&lt;&gt;$K$1,对接源_02物料!$B783=""),0,IF(OR(N(对接源_02物料!$B783)&lt;$K$2,N(对接源_02物料!$B783)&gt;$K$3),0,1))</f>
        <v>0</v>
      </c>
      <c r="L1983">
        <f>IF(OR($L$1="",对接源_02物料!$C783="",对接源_02物料!$C783&lt;&gt;$L$1,对接源_02物料!$B783=""),0,IF(OR(N(对接源_02物料!$B783)&lt;$L$2,N(对接源_02物料!$B783)&gt;$L$3),0,1))</f>
        <v>0</v>
      </c>
      <c r="M1983">
        <f>IF(OR($M$1="",对接源_02物料!$C783="",对接源_02物料!$C783&lt;&gt;$M$1,对接源_02物料!$B783=""),0,IF(OR(N(对接源_02物料!$B783)&lt;$M$2,N(对接源_02物料!$B783)&gt;$M$3),0,1))</f>
        <v>0</v>
      </c>
      <c r="N1983">
        <f>IF(OR($N$1="",对接源_02物料!$C783="",对接源_02物料!$C783&lt;&gt;$N$1,对接源_02物料!$B783=""),0,IF(OR(N(对接源_02物料!$B783)&lt;$N$2,N(对接源_02物料!$B783)&gt;$N$3),0,1))</f>
        <v>0</v>
      </c>
      <c r="P1983">
        <f>IF(AND($K1983=1,AND(对接源_02物料!$X783="公司筐",N(对接源_02物料!$T783)&lt;&gt;0)),1,0)</f>
        <v>0</v>
      </c>
      <c r="Q1983">
        <f>N(Q1982)+$P1983</f>
        <v>14</v>
      </c>
      <c r="R1983">
        <f>IF(AND($K1983=1,AND(对接源_02物料!$X783="公司筐",N(对接源_02物料!$U783)&lt;&gt;0)),1,0)</f>
        <v>0</v>
      </c>
      <c r="S1983">
        <f>N(S1982)+$R1983</f>
        <v>1</v>
      </c>
      <c r="T1983">
        <f>IF(AND($K1983=1,AND(对接源_02物料!$X783="公司筐",N(对接源_02物料!$V783)&lt;&gt;0)),1,0)</f>
        <v>0</v>
      </c>
      <c r="U1983">
        <f>N(U1982)+$T1983</f>
        <v>47</v>
      </c>
      <c r="V1983">
        <f>IF(AND($L1983=1,AND(对接源_02物料!$X783="自备筐",N(对接源_02物料!$V783)&lt;&gt;0)),1,0)</f>
        <v>0</v>
      </c>
      <c r="W1983">
        <f>N(W1982)+$V1983</f>
        <v>11</v>
      </c>
      <c r="X1983">
        <f>IF(AND($L1983=1,AND(对接源_02物料!$X783="自备筐",N(对接源_02物料!$T783)&lt;&gt;0)),1,0)</f>
        <v>0</v>
      </c>
      <c r="Y1983">
        <f>N(Y1982)+$X1983</f>
        <v>0</v>
      </c>
      <c r="Z1983">
        <f>IF(AND($M1983=1,对接源_02物料!$D783="原料入库"),1,0)</f>
        <v>0</v>
      </c>
      <c r="AA1983">
        <f>N(AA1982)+$Z1983</f>
        <v>24</v>
      </c>
      <c r="AB1983">
        <f>IF(AND($M1983=1,LEFT(对接源_02物料!$D783,4)="原料出库"),1,0)</f>
        <v>0</v>
      </c>
      <c r="AC1983">
        <f>N(AC1982)+$AB1983</f>
        <v>0</v>
      </c>
      <c r="AD1983">
        <f>IF(AND($M1983=1,LEFT(对接源_02物料!$D783,4)="成品出库"),1,0)</f>
        <v>0</v>
      </c>
      <c r="AE1983">
        <f>N(AE1982)+$AD1983</f>
        <v>0</v>
      </c>
      <c r="AF1983">
        <f>IF(AND($N1983=1,AND(LEFT(对接源_02物料!$D783,4)="包装物料",N(对接源_02物料!$K783)&lt;&gt;0)),1,0)</f>
        <v>0</v>
      </c>
      <c r="AG1983">
        <f>N(AG1982)+$AF1983</f>
        <v>10</v>
      </c>
      <c r="AH1983">
        <f>IF(AND($N1983=1,AND(对接源_02物料!$D783="周转筐－销售出库",N(对接源_02物料!$K783)&lt;&gt;0)),1,0)</f>
        <v>0</v>
      </c>
      <c r="AI1983">
        <f>N(AI1982)+$AH1983</f>
        <v>0</v>
      </c>
      <c r="AL1983" t="n">
        <v>0</v>
      </c>
      <c r="AM1983">
        <f>N(AM1982)+$AL1983</f>
        <v>2</v>
      </c>
      <c r="AN1983">
        <f>""</f>
      </c>
      <c r="AO1983" t="n">
        <v>0</v>
      </c>
      <c r="AP1983">
        <f>N(AP1982)+$AO1983</f>
        <v>13</v>
      </c>
      <c r="AR1983">
        <f>IF(OR($AF1983=1,$AH1983=1),1,0)</f>
        <v>0</v>
      </c>
      <c r="AS1983">
        <f>N(AS1982)+$AR1983</f>
        <v>10</v>
      </c>
    </row>
    <row r="1984" s="127">
      <c r="A1984">
        <f>IF(对接源_02物料!$C784="","",对接源_02物料!$C784)</f>
      </c>
      <c r="B1984">
        <f>IF(A1984="",0,IF(MATCH(A1984,$A$4:$A$2403,0)=ROW()-3,1,0))</f>
        <v>0</v>
      </c>
      <c r="C1984">
        <f>N(C1983)+B1984</f>
        <v>26</v>
      </c>
      <c r="K1984">
        <f>IF(OR($K$1="",对接源_02物料!$C784="",对接源_02物料!$C784&lt;&gt;$K$1,对接源_02物料!$B784=""),0,IF(OR(N(对接源_02物料!$B784)&lt;$K$2,N(对接源_02物料!$B784)&gt;$K$3),0,1))</f>
        <v>0</v>
      </c>
      <c r="L1984">
        <f>IF(OR($L$1="",对接源_02物料!$C784="",对接源_02物料!$C784&lt;&gt;$L$1,对接源_02物料!$B784=""),0,IF(OR(N(对接源_02物料!$B784)&lt;$L$2,N(对接源_02物料!$B784)&gt;$L$3),0,1))</f>
        <v>0</v>
      </c>
      <c r="M1984">
        <f>IF(OR($M$1="",对接源_02物料!$C784="",对接源_02物料!$C784&lt;&gt;$M$1,对接源_02物料!$B784=""),0,IF(OR(N(对接源_02物料!$B784)&lt;$M$2,N(对接源_02物料!$B784)&gt;$M$3),0,1))</f>
        <v>0</v>
      </c>
      <c r="N1984">
        <f>IF(OR($N$1="",对接源_02物料!$C784="",对接源_02物料!$C784&lt;&gt;$N$1,对接源_02物料!$B784=""),0,IF(OR(N(对接源_02物料!$B784)&lt;$N$2,N(对接源_02物料!$B784)&gt;$N$3),0,1))</f>
        <v>0</v>
      </c>
      <c r="P1984">
        <f>IF(AND($K1984=1,AND(对接源_02物料!$X784="公司筐",N(对接源_02物料!$T784)&lt;&gt;0)),1,0)</f>
        <v>0</v>
      </c>
      <c r="Q1984">
        <f>N(Q1983)+$P1984</f>
        <v>14</v>
      </c>
      <c r="R1984">
        <f>IF(AND($K1984=1,AND(对接源_02物料!$X784="公司筐",N(对接源_02物料!$U784)&lt;&gt;0)),1,0)</f>
        <v>0</v>
      </c>
      <c r="S1984">
        <f>N(S1983)+$R1984</f>
        <v>1</v>
      </c>
      <c r="T1984">
        <f>IF(AND($K1984=1,AND(对接源_02物料!$X784="公司筐",N(对接源_02物料!$V784)&lt;&gt;0)),1,0)</f>
        <v>0</v>
      </c>
      <c r="U1984">
        <f>N(U1983)+$T1984</f>
        <v>47</v>
      </c>
      <c r="V1984">
        <f>IF(AND($L1984=1,AND(对接源_02物料!$X784="自备筐",N(对接源_02物料!$V784)&lt;&gt;0)),1,0)</f>
        <v>0</v>
      </c>
      <c r="W1984">
        <f>N(W1983)+$V1984</f>
        <v>11</v>
      </c>
      <c r="X1984">
        <f>IF(AND($L1984=1,AND(对接源_02物料!$X784="自备筐",N(对接源_02物料!$T784)&lt;&gt;0)),1,0)</f>
        <v>0</v>
      </c>
      <c r="Y1984">
        <f>N(Y1983)+$X1984</f>
        <v>0</v>
      </c>
      <c r="Z1984">
        <f>IF(AND($M1984=1,对接源_02物料!$D784="原料入库"),1,0)</f>
        <v>0</v>
      </c>
      <c r="AA1984">
        <f>N(AA1983)+$Z1984</f>
        <v>24</v>
      </c>
      <c r="AB1984">
        <f>IF(AND($M1984=1,LEFT(对接源_02物料!$D784,4)="原料出库"),1,0)</f>
        <v>0</v>
      </c>
      <c r="AC1984">
        <f>N(AC1983)+$AB1984</f>
        <v>0</v>
      </c>
      <c r="AD1984">
        <f>IF(AND($M1984=1,LEFT(对接源_02物料!$D784,4)="成品出库"),1,0)</f>
        <v>0</v>
      </c>
      <c r="AE1984">
        <f>N(AE1983)+$AD1984</f>
        <v>0</v>
      </c>
      <c r="AF1984">
        <f>IF(AND($N1984=1,AND(LEFT(对接源_02物料!$D784,4)="包装物料",N(对接源_02物料!$K784)&lt;&gt;0)),1,0)</f>
        <v>0</v>
      </c>
      <c r="AG1984">
        <f>N(AG1983)+$AF1984</f>
        <v>10</v>
      </c>
      <c r="AH1984">
        <f>IF(AND($N1984=1,AND(对接源_02物料!$D784="周转筐－销售出库",N(对接源_02物料!$K784)&lt;&gt;0)),1,0)</f>
        <v>0</v>
      </c>
      <c r="AI1984">
        <f>N(AI1983)+$AH1984</f>
        <v>0</v>
      </c>
      <c r="AL1984" t="n">
        <v>0</v>
      </c>
      <c r="AM1984">
        <f>N(AM1983)+$AL1984</f>
        <v>2</v>
      </c>
      <c r="AN1984">
        <f>""</f>
      </c>
      <c r="AO1984" t="n">
        <v>0</v>
      </c>
      <c r="AP1984">
        <f>N(AP1983)+$AO1984</f>
        <v>13</v>
      </c>
      <c r="AR1984">
        <f>IF(OR($AF1984=1,$AH1984=1),1,0)</f>
        <v>0</v>
      </c>
      <c r="AS1984">
        <f>N(AS1983)+$AR1984</f>
        <v>10</v>
      </c>
    </row>
    <row r="1985" s="127">
      <c r="A1985">
        <f>IF(对接源_02物料!$C785="","",对接源_02物料!$C785)</f>
      </c>
      <c r="B1985">
        <f>IF(A1985="",0,IF(MATCH(A1985,$A$4:$A$2403,0)=ROW()-3,1,0))</f>
        <v>0</v>
      </c>
      <c r="C1985">
        <f>N(C1984)+B1985</f>
        <v>26</v>
      </c>
      <c r="K1985">
        <f>IF(OR($K$1="",对接源_02物料!$C785="",对接源_02物料!$C785&lt;&gt;$K$1,对接源_02物料!$B785=""),0,IF(OR(N(对接源_02物料!$B785)&lt;$K$2,N(对接源_02物料!$B785)&gt;$K$3),0,1))</f>
        <v>0</v>
      </c>
      <c r="L1985">
        <f>IF(OR($L$1="",对接源_02物料!$C785="",对接源_02物料!$C785&lt;&gt;$L$1,对接源_02物料!$B785=""),0,IF(OR(N(对接源_02物料!$B785)&lt;$L$2,N(对接源_02物料!$B785)&gt;$L$3),0,1))</f>
        <v>0</v>
      </c>
      <c r="M1985">
        <f>IF(OR($M$1="",对接源_02物料!$C785="",对接源_02物料!$C785&lt;&gt;$M$1,对接源_02物料!$B785=""),0,IF(OR(N(对接源_02物料!$B785)&lt;$M$2,N(对接源_02物料!$B785)&gt;$M$3),0,1))</f>
        <v>0</v>
      </c>
      <c r="N1985">
        <f>IF(OR($N$1="",对接源_02物料!$C785="",对接源_02物料!$C785&lt;&gt;$N$1,对接源_02物料!$B785=""),0,IF(OR(N(对接源_02物料!$B785)&lt;$N$2,N(对接源_02物料!$B785)&gt;$N$3),0,1))</f>
        <v>0</v>
      </c>
      <c r="P1985">
        <f>IF(AND($K1985=1,AND(对接源_02物料!$X785="公司筐",N(对接源_02物料!$T785)&lt;&gt;0)),1,0)</f>
        <v>0</v>
      </c>
      <c r="Q1985">
        <f>N(Q1984)+$P1985</f>
        <v>14</v>
      </c>
      <c r="R1985">
        <f>IF(AND($K1985=1,AND(对接源_02物料!$X785="公司筐",N(对接源_02物料!$U785)&lt;&gt;0)),1,0)</f>
        <v>0</v>
      </c>
      <c r="S1985">
        <f>N(S1984)+$R1985</f>
        <v>1</v>
      </c>
      <c r="T1985">
        <f>IF(AND($K1985=1,AND(对接源_02物料!$X785="公司筐",N(对接源_02物料!$V785)&lt;&gt;0)),1,0)</f>
        <v>0</v>
      </c>
      <c r="U1985">
        <f>N(U1984)+$T1985</f>
        <v>47</v>
      </c>
      <c r="V1985">
        <f>IF(AND($L1985=1,AND(对接源_02物料!$X785="自备筐",N(对接源_02物料!$V785)&lt;&gt;0)),1,0)</f>
        <v>0</v>
      </c>
      <c r="W1985">
        <f>N(W1984)+$V1985</f>
        <v>11</v>
      </c>
      <c r="X1985">
        <f>IF(AND($L1985=1,AND(对接源_02物料!$X785="自备筐",N(对接源_02物料!$T785)&lt;&gt;0)),1,0)</f>
        <v>0</v>
      </c>
      <c r="Y1985">
        <f>N(Y1984)+$X1985</f>
        <v>0</v>
      </c>
      <c r="Z1985">
        <f>IF(AND($M1985=1,对接源_02物料!$D785="原料入库"),1,0)</f>
        <v>0</v>
      </c>
      <c r="AA1985">
        <f>N(AA1984)+$Z1985</f>
        <v>24</v>
      </c>
      <c r="AB1985">
        <f>IF(AND($M1985=1,LEFT(对接源_02物料!$D785,4)="原料出库"),1,0)</f>
        <v>0</v>
      </c>
      <c r="AC1985">
        <f>N(AC1984)+$AB1985</f>
        <v>0</v>
      </c>
      <c r="AD1985">
        <f>IF(AND($M1985=1,LEFT(对接源_02物料!$D785,4)="成品出库"),1,0)</f>
        <v>0</v>
      </c>
      <c r="AE1985">
        <f>N(AE1984)+$AD1985</f>
        <v>0</v>
      </c>
      <c r="AF1985">
        <f>IF(AND($N1985=1,AND(LEFT(对接源_02物料!$D785,4)="包装物料",N(对接源_02物料!$K785)&lt;&gt;0)),1,0)</f>
        <v>0</v>
      </c>
      <c r="AG1985">
        <f>N(AG1984)+$AF1985</f>
        <v>10</v>
      </c>
      <c r="AH1985">
        <f>IF(AND($N1985=1,AND(对接源_02物料!$D785="周转筐－销售出库",N(对接源_02物料!$K785)&lt;&gt;0)),1,0)</f>
        <v>0</v>
      </c>
      <c r="AI1985">
        <f>N(AI1984)+$AH1985</f>
        <v>0</v>
      </c>
      <c r="AL1985" t="n">
        <v>0</v>
      </c>
      <c r="AM1985">
        <f>N(AM1984)+$AL1985</f>
        <v>2</v>
      </c>
      <c r="AN1985">
        <f>""</f>
      </c>
      <c r="AO1985" t="n">
        <v>0</v>
      </c>
      <c r="AP1985">
        <f>N(AP1984)+$AO1985</f>
        <v>13</v>
      </c>
      <c r="AR1985">
        <f>IF(OR($AF1985=1,$AH1985=1),1,0)</f>
        <v>0</v>
      </c>
      <c r="AS1985">
        <f>N(AS1984)+$AR1985</f>
        <v>10</v>
      </c>
    </row>
    <row r="1986" s="127">
      <c r="A1986">
        <f>IF(对接源_02物料!$C786="","",对接源_02物料!$C786)</f>
      </c>
      <c r="B1986">
        <f>IF(A1986="",0,IF(MATCH(A1986,$A$4:$A$2403,0)=ROW()-3,1,0))</f>
        <v>0</v>
      </c>
      <c r="C1986">
        <f>N(C1985)+B1986</f>
        <v>26</v>
      </c>
      <c r="K1986">
        <f>IF(OR($K$1="",对接源_02物料!$C786="",对接源_02物料!$C786&lt;&gt;$K$1,对接源_02物料!$B786=""),0,IF(OR(N(对接源_02物料!$B786)&lt;$K$2,N(对接源_02物料!$B786)&gt;$K$3),0,1))</f>
        <v>0</v>
      </c>
      <c r="L1986">
        <f>IF(OR($L$1="",对接源_02物料!$C786="",对接源_02物料!$C786&lt;&gt;$L$1,对接源_02物料!$B786=""),0,IF(OR(N(对接源_02物料!$B786)&lt;$L$2,N(对接源_02物料!$B786)&gt;$L$3),0,1))</f>
        <v>0</v>
      </c>
      <c r="M1986">
        <f>IF(OR($M$1="",对接源_02物料!$C786="",对接源_02物料!$C786&lt;&gt;$M$1,对接源_02物料!$B786=""),0,IF(OR(N(对接源_02物料!$B786)&lt;$M$2,N(对接源_02物料!$B786)&gt;$M$3),0,1))</f>
        <v>0</v>
      </c>
      <c r="N1986">
        <f>IF(OR($N$1="",对接源_02物料!$C786="",对接源_02物料!$C786&lt;&gt;$N$1,对接源_02物料!$B786=""),0,IF(OR(N(对接源_02物料!$B786)&lt;$N$2,N(对接源_02物料!$B786)&gt;$N$3),0,1))</f>
        <v>0</v>
      </c>
      <c r="P1986">
        <f>IF(AND($K1986=1,AND(对接源_02物料!$X786="公司筐",N(对接源_02物料!$T786)&lt;&gt;0)),1,0)</f>
        <v>0</v>
      </c>
      <c r="Q1986">
        <f>N(Q1985)+$P1986</f>
        <v>14</v>
      </c>
      <c r="R1986">
        <f>IF(AND($K1986=1,AND(对接源_02物料!$X786="公司筐",N(对接源_02物料!$U786)&lt;&gt;0)),1,0)</f>
        <v>0</v>
      </c>
      <c r="S1986">
        <f>N(S1985)+$R1986</f>
        <v>1</v>
      </c>
      <c r="T1986">
        <f>IF(AND($K1986=1,AND(对接源_02物料!$X786="公司筐",N(对接源_02物料!$V786)&lt;&gt;0)),1,0)</f>
        <v>0</v>
      </c>
      <c r="U1986">
        <f>N(U1985)+$T1986</f>
        <v>47</v>
      </c>
      <c r="V1986">
        <f>IF(AND($L1986=1,AND(对接源_02物料!$X786="自备筐",N(对接源_02物料!$V786)&lt;&gt;0)),1,0)</f>
        <v>0</v>
      </c>
      <c r="W1986">
        <f>N(W1985)+$V1986</f>
        <v>11</v>
      </c>
      <c r="X1986">
        <f>IF(AND($L1986=1,AND(对接源_02物料!$X786="自备筐",N(对接源_02物料!$T786)&lt;&gt;0)),1,0)</f>
        <v>0</v>
      </c>
      <c r="Y1986">
        <f>N(Y1985)+$X1986</f>
        <v>0</v>
      </c>
      <c r="Z1986">
        <f>IF(AND($M1986=1,对接源_02物料!$D786="原料入库"),1,0)</f>
        <v>0</v>
      </c>
      <c r="AA1986">
        <f>N(AA1985)+$Z1986</f>
        <v>24</v>
      </c>
      <c r="AB1986">
        <f>IF(AND($M1986=1,LEFT(对接源_02物料!$D786,4)="原料出库"),1,0)</f>
        <v>0</v>
      </c>
      <c r="AC1986">
        <f>N(AC1985)+$AB1986</f>
        <v>0</v>
      </c>
      <c r="AD1986">
        <f>IF(AND($M1986=1,LEFT(对接源_02物料!$D786,4)="成品出库"),1,0)</f>
        <v>0</v>
      </c>
      <c r="AE1986">
        <f>N(AE1985)+$AD1986</f>
        <v>0</v>
      </c>
      <c r="AF1986">
        <f>IF(AND($N1986=1,AND(LEFT(对接源_02物料!$D786,4)="包装物料",N(对接源_02物料!$K786)&lt;&gt;0)),1,0)</f>
        <v>0</v>
      </c>
      <c r="AG1986">
        <f>N(AG1985)+$AF1986</f>
        <v>10</v>
      </c>
      <c r="AH1986">
        <f>IF(AND($N1986=1,AND(对接源_02物料!$D786="周转筐－销售出库",N(对接源_02物料!$K786)&lt;&gt;0)),1,0)</f>
        <v>0</v>
      </c>
      <c r="AI1986">
        <f>N(AI1985)+$AH1986</f>
        <v>0</v>
      </c>
      <c r="AL1986" t="n">
        <v>0</v>
      </c>
      <c r="AM1986">
        <f>N(AM1985)+$AL1986</f>
        <v>2</v>
      </c>
      <c r="AN1986">
        <f>""</f>
      </c>
      <c r="AO1986" t="n">
        <v>0</v>
      </c>
      <c r="AP1986">
        <f>N(AP1985)+$AO1986</f>
        <v>13</v>
      </c>
      <c r="AR1986">
        <f>IF(OR($AF1986=1,$AH1986=1),1,0)</f>
        <v>0</v>
      </c>
      <c r="AS1986">
        <f>N(AS1985)+$AR1986</f>
        <v>10</v>
      </c>
    </row>
    <row r="1987" s="127">
      <c r="A1987">
        <f>IF(对接源_02物料!$C787="","",对接源_02物料!$C787)</f>
      </c>
      <c r="B1987">
        <f>IF(A1987="",0,IF(MATCH(A1987,$A$4:$A$2403,0)=ROW()-3,1,0))</f>
        <v>0</v>
      </c>
      <c r="C1987">
        <f>N(C1986)+B1987</f>
        <v>26</v>
      </c>
      <c r="K1987">
        <f>IF(OR($K$1="",对接源_02物料!$C787="",对接源_02物料!$C787&lt;&gt;$K$1,对接源_02物料!$B787=""),0,IF(OR(N(对接源_02物料!$B787)&lt;$K$2,N(对接源_02物料!$B787)&gt;$K$3),0,1))</f>
        <v>0</v>
      </c>
      <c r="L1987">
        <f>IF(OR($L$1="",对接源_02物料!$C787="",对接源_02物料!$C787&lt;&gt;$L$1,对接源_02物料!$B787=""),0,IF(OR(N(对接源_02物料!$B787)&lt;$L$2,N(对接源_02物料!$B787)&gt;$L$3),0,1))</f>
        <v>0</v>
      </c>
      <c r="M1987">
        <f>IF(OR($M$1="",对接源_02物料!$C787="",对接源_02物料!$C787&lt;&gt;$M$1,对接源_02物料!$B787=""),0,IF(OR(N(对接源_02物料!$B787)&lt;$M$2,N(对接源_02物料!$B787)&gt;$M$3),0,1))</f>
        <v>0</v>
      </c>
      <c r="N1987">
        <f>IF(OR($N$1="",对接源_02物料!$C787="",对接源_02物料!$C787&lt;&gt;$N$1,对接源_02物料!$B787=""),0,IF(OR(N(对接源_02物料!$B787)&lt;$N$2,N(对接源_02物料!$B787)&gt;$N$3),0,1))</f>
        <v>0</v>
      </c>
      <c r="P1987">
        <f>IF(AND($K1987=1,AND(对接源_02物料!$X787="公司筐",N(对接源_02物料!$T787)&lt;&gt;0)),1,0)</f>
        <v>0</v>
      </c>
      <c r="Q1987">
        <f>N(Q1986)+$P1987</f>
        <v>14</v>
      </c>
      <c r="R1987">
        <f>IF(AND($K1987=1,AND(对接源_02物料!$X787="公司筐",N(对接源_02物料!$U787)&lt;&gt;0)),1,0)</f>
        <v>0</v>
      </c>
      <c r="S1987">
        <f>N(S1986)+$R1987</f>
        <v>1</v>
      </c>
      <c r="T1987">
        <f>IF(AND($K1987=1,AND(对接源_02物料!$X787="公司筐",N(对接源_02物料!$V787)&lt;&gt;0)),1,0)</f>
        <v>0</v>
      </c>
      <c r="U1987">
        <f>N(U1986)+$T1987</f>
        <v>47</v>
      </c>
      <c r="V1987">
        <f>IF(AND($L1987=1,AND(对接源_02物料!$X787="自备筐",N(对接源_02物料!$V787)&lt;&gt;0)),1,0)</f>
        <v>0</v>
      </c>
      <c r="W1987">
        <f>N(W1986)+$V1987</f>
        <v>11</v>
      </c>
      <c r="X1987">
        <f>IF(AND($L1987=1,AND(对接源_02物料!$X787="自备筐",N(对接源_02物料!$T787)&lt;&gt;0)),1,0)</f>
        <v>0</v>
      </c>
      <c r="Y1987">
        <f>N(Y1986)+$X1987</f>
        <v>0</v>
      </c>
      <c r="Z1987">
        <f>IF(AND($M1987=1,对接源_02物料!$D787="原料入库"),1,0)</f>
        <v>0</v>
      </c>
      <c r="AA1987">
        <f>N(AA1986)+$Z1987</f>
        <v>24</v>
      </c>
      <c r="AB1987">
        <f>IF(AND($M1987=1,LEFT(对接源_02物料!$D787,4)="原料出库"),1,0)</f>
        <v>0</v>
      </c>
      <c r="AC1987">
        <f>N(AC1986)+$AB1987</f>
        <v>0</v>
      </c>
      <c r="AD1987">
        <f>IF(AND($M1987=1,LEFT(对接源_02物料!$D787,4)="成品出库"),1,0)</f>
        <v>0</v>
      </c>
      <c r="AE1987">
        <f>N(AE1986)+$AD1987</f>
        <v>0</v>
      </c>
      <c r="AF1987">
        <f>IF(AND($N1987=1,AND(LEFT(对接源_02物料!$D787,4)="包装物料",N(对接源_02物料!$K787)&lt;&gt;0)),1,0)</f>
        <v>0</v>
      </c>
      <c r="AG1987">
        <f>N(AG1986)+$AF1987</f>
        <v>10</v>
      </c>
      <c r="AH1987">
        <f>IF(AND($N1987=1,AND(对接源_02物料!$D787="周转筐－销售出库",N(对接源_02物料!$K787)&lt;&gt;0)),1,0)</f>
        <v>0</v>
      </c>
      <c r="AI1987">
        <f>N(AI1986)+$AH1987</f>
        <v>0</v>
      </c>
      <c r="AL1987" t="n">
        <v>0</v>
      </c>
      <c r="AM1987">
        <f>N(AM1986)+$AL1987</f>
        <v>2</v>
      </c>
      <c r="AN1987">
        <f>""</f>
      </c>
      <c r="AO1987" t="n">
        <v>0</v>
      </c>
      <c r="AP1987">
        <f>N(AP1986)+$AO1987</f>
        <v>13</v>
      </c>
      <c r="AR1987">
        <f>IF(OR($AF1987=1,$AH1987=1),1,0)</f>
        <v>0</v>
      </c>
      <c r="AS1987">
        <f>N(AS1986)+$AR1987</f>
        <v>10</v>
      </c>
    </row>
    <row r="1988" s="127">
      <c r="A1988">
        <f>IF(对接源_02物料!$C788="","",对接源_02物料!$C788)</f>
      </c>
      <c r="B1988">
        <f>IF(A1988="",0,IF(MATCH(A1988,$A$4:$A$2403,0)=ROW()-3,1,0))</f>
        <v>0</v>
      </c>
      <c r="C1988">
        <f>N(C1987)+B1988</f>
        <v>26</v>
      </c>
      <c r="K1988">
        <f>IF(OR($K$1="",对接源_02物料!$C788="",对接源_02物料!$C788&lt;&gt;$K$1,对接源_02物料!$B788=""),0,IF(OR(N(对接源_02物料!$B788)&lt;$K$2,N(对接源_02物料!$B788)&gt;$K$3),0,1))</f>
        <v>0</v>
      </c>
      <c r="L1988">
        <f>IF(OR($L$1="",对接源_02物料!$C788="",对接源_02物料!$C788&lt;&gt;$L$1,对接源_02物料!$B788=""),0,IF(OR(N(对接源_02物料!$B788)&lt;$L$2,N(对接源_02物料!$B788)&gt;$L$3),0,1))</f>
        <v>0</v>
      </c>
      <c r="M1988">
        <f>IF(OR($M$1="",对接源_02物料!$C788="",对接源_02物料!$C788&lt;&gt;$M$1,对接源_02物料!$B788=""),0,IF(OR(N(对接源_02物料!$B788)&lt;$M$2,N(对接源_02物料!$B788)&gt;$M$3),0,1))</f>
        <v>0</v>
      </c>
      <c r="N1988">
        <f>IF(OR($N$1="",对接源_02物料!$C788="",对接源_02物料!$C788&lt;&gt;$N$1,对接源_02物料!$B788=""),0,IF(OR(N(对接源_02物料!$B788)&lt;$N$2,N(对接源_02物料!$B788)&gt;$N$3),0,1))</f>
        <v>0</v>
      </c>
      <c r="P1988">
        <f>IF(AND($K1988=1,AND(对接源_02物料!$X788="公司筐",N(对接源_02物料!$T788)&lt;&gt;0)),1,0)</f>
        <v>0</v>
      </c>
      <c r="Q1988">
        <f>N(Q1987)+$P1988</f>
        <v>14</v>
      </c>
      <c r="R1988">
        <f>IF(AND($K1988=1,AND(对接源_02物料!$X788="公司筐",N(对接源_02物料!$U788)&lt;&gt;0)),1,0)</f>
        <v>0</v>
      </c>
      <c r="S1988">
        <f>N(S1987)+$R1988</f>
        <v>1</v>
      </c>
      <c r="T1988">
        <f>IF(AND($K1988=1,AND(对接源_02物料!$X788="公司筐",N(对接源_02物料!$V788)&lt;&gt;0)),1,0)</f>
        <v>0</v>
      </c>
      <c r="U1988">
        <f>N(U1987)+$T1988</f>
        <v>47</v>
      </c>
      <c r="V1988">
        <f>IF(AND($L1988=1,AND(对接源_02物料!$X788="自备筐",N(对接源_02物料!$V788)&lt;&gt;0)),1,0)</f>
        <v>0</v>
      </c>
      <c r="W1988">
        <f>N(W1987)+$V1988</f>
        <v>11</v>
      </c>
      <c r="X1988">
        <f>IF(AND($L1988=1,AND(对接源_02物料!$X788="自备筐",N(对接源_02物料!$T788)&lt;&gt;0)),1,0)</f>
        <v>0</v>
      </c>
      <c r="Y1988">
        <f>N(Y1987)+$X1988</f>
        <v>0</v>
      </c>
      <c r="Z1988">
        <f>IF(AND($M1988=1,对接源_02物料!$D788="原料入库"),1,0)</f>
        <v>0</v>
      </c>
      <c r="AA1988">
        <f>N(AA1987)+$Z1988</f>
        <v>24</v>
      </c>
      <c r="AB1988">
        <f>IF(AND($M1988=1,LEFT(对接源_02物料!$D788,4)="原料出库"),1,0)</f>
        <v>0</v>
      </c>
      <c r="AC1988">
        <f>N(AC1987)+$AB1988</f>
        <v>0</v>
      </c>
      <c r="AD1988">
        <f>IF(AND($M1988=1,LEFT(对接源_02物料!$D788,4)="成品出库"),1,0)</f>
        <v>0</v>
      </c>
      <c r="AE1988">
        <f>N(AE1987)+$AD1988</f>
        <v>0</v>
      </c>
      <c r="AF1988">
        <f>IF(AND($N1988=1,AND(LEFT(对接源_02物料!$D788,4)="包装物料",N(对接源_02物料!$K788)&lt;&gt;0)),1,0)</f>
        <v>0</v>
      </c>
      <c r="AG1988">
        <f>N(AG1987)+$AF1988</f>
        <v>10</v>
      </c>
      <c r="AH1988">
        <f>IF(AND($N1988=1,AND(对接源_02物料!$D788="周转筐－销售出库",N(对接源_02物料!$K788)&lt;&gt;0)),1,0)</f>
        <v>0</v>
      </c>
      <c r="AI1988">
        <f>N(AI1987)+$AH1988</f>
        <v>0</v>
      </c>
      <c r="AL1988" t="n">
        <v>0</v>
      </c>
      <c r="AM1988">
        <f>N(AM1987)+$AL1988</f>
        <v>2</v>
      </c>
      <c r="AN1988">
        <f>""</f>
      </c>
      <c r="AO1988" t="n">
        <v>0</v>
      </c>
      <c r="AP1988">
        <f>N(AP1987)+$AO1988</f>
        <v>13</v>
      </c>
      <c r="AR1988">
        <f>IF(OR($AF1988=1,$AH1988=1),1,0)</f>
        <v>0</v>
      </c>
      <c r="AS1988">
        <f>N(AS1987)+$AR1988</f>
        <v>10</v>
      </c>
    </row>
    <row r="1989" s="127">
      <c r="A1989">
        <f>IF(对接源_02物料!$C789="","",对接源_02物料!$C789)</f>
      </c>
      <c r="B1989">
        <f>IF(A1989="",0,IF(MATCH(A1989,$A$4:$A$2403,0)=ROW()-3,1,0))</f>
        <v>0</v>
      </c>
      <c r="C1989">
        <f>N(C1988)+B1989</f>
        <v>26</v>
      </c>
      <c r="K1989">
        <f>IF(OR($K$1="",对接源_02物料!$C789="",对接源_02物料!$C789&lt;&gt;$K$1,对接源_02物料!$B789=""),0,IF(OR(N(对接源_02物料!$B789)&lt;$K$2,N(对接源_02物料!$B789)&gt;$K$3),0,1))</f>
        <v>0</v>
      </c>
      <c r="L1989">
        <f>IF(OR($L$1="",对接源_02物料!$C789="",对接源_02物料!$C789&lt;&gt;$L$1,对接源_02物料!$B789=""),0,IF(OR(N(对接源_02物料!$B789)&lt;$L$2,N(对接源_02物料!$B789)&gt;$L$3),0,1))</f>
        <v>0</v>
      </c>
      <c r="M1989">
        <f>IF(OR($M$1="",对接源_02物料!$C789="",对接源_02物料!$C789&lt;&gt;$M$1,对接源_02物料!$B789=""),0,IF(OR(N(对接源_02物料!$B789)&lt;$M$2,N(对接源_02物料!$B789)&gt;$M$3),0,1))</f>
        <v>0</v>
      </c>
      <c r="N1989">
        <f>IF(OR($N$1="",对接源_02物料!$C789="",对接源_02物料!$C789&lt;&gt;$N$1,对接源_02物料!$B789=""),0,IF(OR(N(对接源_02物料!$B789)&lt;$N$2,N(对接源_02物料!$B789)&gt;$N$3),0,1))</f>
        <v>0</v>
      </c>
      <c r="P1989">
        <f>IF(AND($K1989=1,AND(对接源_02物料!$X789="公司筐",N(对接源_02物料!$T789)&lt;&gt;0)),1,0)</f>
        <v>0</v>
      </c>
      <c r="Q1989">
        <f>N(Q1988)+$P1989</f>
        <v>14</v>
      </c>
      <c r="R1989">
        <f>IF(AND($K1989=1,AND(对接源_02物料!$X789="公司筐",N(对接源_02物料!$U789)&lt;&gt;0)),1,0)</f>
        <v>0</v>
      </c>
      <c r="S1989">
        <f>N(S1988)+$R1989</f>
        <v>1</v>
      </c>
      <c r="T1989">
        <f>IF(AND($K1989=1,AND(对接源_02物料!$X789="公司筐",N(对接源_02物料!$V789)&lt;&gt;0)),1,0)</f>
        <v>0</v>
      </c>
      <c r="U1989">
        <f>N(U1988)+$T1989</f>
        <v>47</v>
      </c>
      <c r="V1989">
        <f>IF(AND($L1989=1,AND(对接源_02物料!$X789="自备筐",N(对接源_02物料!$V789)&lt;&gt;0)),1,0)</f>
        <v>0</v>
      </c>
      <c r="W1989">
        <f>N(W1988)+$V1989</f>
        <v>11</v>
      </c>
      <c r="X1989">
        <f>IF(AND($L1989=1,AND(对接源_02物料!$X789="自备筐",N(对接源_02物料!$T789)&lt;&gt;0)),1,0)</f>
        <v>0</v>
      </c>
      <c r="Y1989">
        <f>N(Y1988)+$X1989</f>
        <v>0</v>
      </c>
      <c r="Z1989">
        <f>IF(AND($M1989=1,对接源_02物料!$D789="原料入库"),1,0)</f>
        <v>0</v>
      </c>
      <c r="AA1989">
        <f>N(AA1988)+$Z1989</f>
        <v>24</v>
      </c>
      <c r="AB1989">
        <f>IF(AND($M1989=1,LEFT(对接源_02物料!$D789,4)="原料出库"),1,0)</f>
        <v>0</v>
      </c>
      <c r="AC1989">
        <f>N(AC1988)+$AB1989</f>
        <v>0</v>
      </c>
      <c r="AD1989">
        <f>IF(AND($M1989=1,LEFT(对接源_02物料!$D789,4)="成品出库"),1,0)</f>
        <v>0</v>
      </c>
      <c r="AE1989">
        <f>N(AE1988)+$AD1989</f>
        <v>0</v>
      </c>
      <c r="AF1989">
        <f>IF(AND($N1989=1,AND(LEFT(对接源_02物料!$D789,4)="包装物料",N(对接源_02物料!$K789)&lt;&gt;0)),1,0)</f>
        <v>0</v>
      </c>
      <c r="AG1989">
        <f>N(AG1988)+$AF1989</f>
        <v>10</v>
      </c>
      <c r="AH1989">
        <f>IF(AND($N1989=1,AND(对接源_02物料!$D789="周转筐－销售出库",N(对接源_02物料!$K789)&lt;&gt;0)),1,0)</f>
        <v>0</v>
      </c>
      <c r="AI1989">
        <f>N(AI1988)+$AH1989</f>
        <v>0</v>
      </c>
      <c r="AL1989" t="n">
        <v>0</v>
      </c>
      <c r="AM1989">
        <f>N(AM1988)+$AL1989</f>
        <v>2</v>
      </c>
      <c r="AN1989">
        <f>""</f>
      </c>
      <c r="AO1989" t="n">
        <v>0</v>
      </c>
      <c r="AP1989">
        <f>N(AP1988)+$AO1989</f>
        <v>13</v>
      </c>
      <c r="AR1989">
        <f>IF(OR($AF1989=1,$AH1989=1),1,0)</f>
        <v>0</v>
      </c>
      <c r="AS1989">
        <f>N(AS1988)+$AR1989</f>
        <v>10</v>
      </c>
    </row>
    <row r="1990" s="127">
      <c r="A1990">
        <f>IF(对接源_02物料!$C790="","",对接源_02物料!$C790)</f>
      </c>
      <c r="B1990">
        <f>IF(A1990="",0,IF(MATCH(A1990,$A$4:$A$2403,0)=ROW()-3,1,0))</f>
        <v>0</v>
      </c>
      <c r="C1990">
        <f>N(C1989)+B1990</f>
        <v>26</v>
      </c>
      <c r="K1990">
        <f>IF(OR($K$1="",对接源_02物料!$C790="",对接源_02物料!$C790&lt;&gt;$K$1,对接源_02物料!$B790=""),0,IF(OR(N(对接源_02物料!$B790)&lt;$K$2,N(对接源_02物料!$B790)&gt;$K$3),0,1))</f>
        <v>0</v>
      </c>
      <c r="L1990">
        <f>IF(OR($L$1="",对接源_02物料!$C790="",对接源_02物料!$C790&lt;&gt;$L$1,对接源_02物料!$B790=""),0,IF(OR(N(对接源_02物料!$B790)&lt;$L$2,N(对接源_02物料!$B790)&gt;$L$3),0,1))</f>
        <v>0</v>
      </c>
      <c r="M1990">
        <f>IF(OR($M$1="",对接源_02物料!$C790="",对接源_02物料!$C790&lt;&gt;$M$1,对接源_02物料!$B790=""),0,IF(OR(N(对接源_02物料!$B790)&lt;$M$2,N(对接源_02物料!$B790)&gt;$M$3),0,1))</f>
        <v>0</v>
      </c>
      <c r="N1990">
        <f>IF(OR($N$1="",对接源_02物料!$C790="",对接源_02物料!$C790&lt;&gt;$N$1,对接源_02物料!$B790=""),0,IF(OR(N(对接源_02物料!$B790)&lt;$N$2,N(对接源_02物料!$B790)&gt;$N$3),0,1))</f>
        <v>0</v>
      </c>
      <c r="P1990">
        <f>IF(AND($K1990=1,AND(对接源_02物料!$X790="公司筐",N(对接源_02物料!$T790)&lt;&gt;0)),1,0)</f>
        <v>0</v>
      </c>
      <c r="Q1990">
        <f>N(Q1989)+$P1990</f>
        <v>14</v>
      </c>
      <c r="R1990">
        <f>IF(AND($K1990=1,AND(对接源_02物料!$X790="公司筐",N(对接源_02物料!$U790)&lt;&gt;0)),1,0)</f>
        <v>0</v>
      </c>
      <c r="S1990">
        <f>N(S1989)+$R1990</f>
        <v>1</v>
      </c>
      <c r="T1990">
        <f>IF(AND($K1990=1,AND(对接源_02物料!$X790="公司筐",N(对接源_02物料!$V790)&lt;&gt;0)),1,0)</f>
        <v>0</v>
      </c>
      <c r="U1990">
        <f>N(U1989)+$T1990</f>
        <v>47</v>
      </c>
      <c r="V1990">
        <f>IF(AND($L1990=1,AND(对接源_02物料!$X790="自备筐",N(对接源_02物料!$V790)&lt;&gt;0)),1,0)</f>
        <v>0</v>
      </c>
      <c r="W1990">
        <f>N(W1989)+$V1990</f>
        <v>11</v>
      </c>
      <c r="X1990">
        <f>IF(AND($L1990=1,AND(对接源_02物料!$X790="自备筐",N(对接源_02物料!$T790)&lt;&gt;0)),1,0)</f>
        <v>0</v>
      </c>
      <c r="Y1990">
        <f>N(Y1989)+$X1990</f>
        <v>0</v>
      </c>
      <c r="Z1990">
        <f>IF(AND($M1990=1,对接源_02物料!$D790="原料入库"),1,0)</f>
        <v>0</v>
      </c>
      <c r="AA1990">
        <f>N(AA1989)+$Z1990</f>
        <v>24</v>
      </c>
      <c r="AB1990">
        <f>IF(AND($M1990=1,LEFT(对接源_02物料!$D790,4)="原料出库"),1,0)</f>
        <v>0</v>
      </c>
      <c r="AC1990">
        <f>N(AC1989)+$AB1990</f>
        <v>0</v>
      </c>
      <c r="AD1990">
        <f>IF(AND($M1990=1,LEFT(对接源_02物料!$D790,4)="成品出库"),1,0)</f>
        <v>0</v>
      </c>
      <c r="AE1990">
        <f>N(AE1989)+$AD1990</f>
        <v>0</v>
      </c>
      <c r="AF1990">
        <f>IF(AND($N1990=1,AND(LEFT(对接源_02物料!$D790,4)="包装物料",N(对接源_02物料!$K790)&lt;&gt;0)),1,0)</f>
        <v>0</v>
      </c>
      <c r="AG1990">
        <f>N(AG1989)+$AF1990</f>
        <v>10</v>
      </c>
      <c r="AH1990">
        <f>IF(AND($N1990=1,AND(对接源_02物料!$D790="周转筐－销售出库",N(对接源_02物料!$K790)&lt;&gt;0)),1,0)</f>
        <v>0</v>
      </c>
      <c r="AI1990">
        <f>N(AI1989)+$AH1990</f>
        <v>0</v>
      </c>
      <c r="AL1990" t="n">
        <v>0</v>
      </c>
      <c r="AM1990">
        <f>N(AM1989)+$AL1990</f>
        <v>2</v>
      </c>
      <c r="AN1990">
        <f>""</f>
      </c>
      <c r="AO1990" t="n">
        <v>0</v>
      </c>
      <c r="AP1990">
        <f>N(AP1989)+$AO1990</f>
        <v>13</v>
      </c>
      <c r="AR1990">
        <f>IF(OR($AF1990=1,$AH1990=1),1,0)</f>
        <v>0</v>
      </c>
      <c r="AS1990">
        <f>N(AS1989)+$AR1990</f>
        <v>10</v>
      </c>
    </row>
    <row r="1991" s="127">
      <c r="A1991">
        <f>IF(对接源_02物料!$C791="","",对接源_02物料!$C791)</f>
      </c>
      <c r="B1991">
        <f>IF(A1991="",0,IF(MATCH(A1991,$A$4:$A$2403,0)=ROW()-3,1,0))</f>
        <v>0</v>
      </c>
      <c r="C1991">
        <f>N(C1990)+B1991</f>
        <v>26</v>
      </c>
      <c r="K1991">
        <f>IF(OR($K$1="",对接源_02物料!$C791="",对接源_02物料!$C791&lt;&gt;$K$1,对接源_02物料!$B791=""),0,IF(OR(N(对接源_02物料!$B791)&lt;$K$2,N(对接源_02物料!$B791)&gt;$K$3),0,1))</f>
        <v>0</v>
      </c>
      <c r="L1991">
        <f>IF(OR($L$1="",对接源_02物料!$C791="",对接源_02物料!$C791&lt;&gt;$L$1,对接源_02物料!$B791=""),0,IF(OR(N(对接源_02物料!$B791)&lt;$L$2,N(对接源_02物料!$B791)&gt;$L$3),0,1))</f>
        <v>0</v>
      </c>
      <c r="M1991">
        <f>IF(OR($M$1="",对接源_02物料!$C791="",对接源_02物料!$C791&lt;&gt;$M$1,对接源_02物料!$B791=""),0,IF(OR(N(对接源_02物料!$B791)&lt;$M$2,N(对接源_02物料!$B791)&gt;$M$3),0,1))</f>
        <v>0</v>
      </c>
      <c r="N1991">
        <f>IF(OR($N$1="",对接源_02物料!$C791="",对接源_02物料!$C791&lt;&gt;$N$1,对接源_02物料!$B791=""),0,IF(OR(N(对接源_02物料!$B791)&lt;$N$2,N(对接源_02物料!$B791)&gt;$N$3),0,1))</f>
        <v>0</v>
      </c>
      <c r="P1991">
        <f>IF(AND($K1991=1,AND(对接源_02物料!$X791="公司筐",N(对接源_02物料!$T791)&lt;&gt;0)),1,0)</f>
        <v>0</v>
      </c>
      <c r="Q1991">
        <f>N(Q1990)+$P1991</f>
        <v>14</v>
      </c>
      <c r="R1991">
        <f>IF(AND($K1991=1,AND(对接源_02物料!$X791="公司筐",N(对接源_02物料!$U791)&lt;&gt;0)),1,0)</f>
        <v>0</v>
      </c>
      <c r="S1991">
        <f>N(S1990)+$R1991</f>
        <v>1</v>
      </c>
      <c r="T1991">
        <f>IF(AND($K1991=1,AND(对接源_02物料!$X791="公司筐",N(对接源_02物料!$V791)&lt;&gt;0)),1,0)</f>
        <v>0</v>
      </c>
      <c r="U1991">
        <f>N(U1990)+$T1991</f>
        <v>47</v>
      </c>
      <c r="V1991">
        <f>IF(AND($L1991=1,AND(对接源_02物料!$X791="自备筐",N(对接源_02物料!$V791)&lt;&gt;0)),1,0)</f>
        <v>0</v>
      </c>
      <c r="W1991">
        <f>N(W1990)+$V1991</f>
        <v>11</v>
      </c>
      <c r="X1991">
        <f>IF(AND($L1991=1,AND(对接源_02物料!$X791="自备筐",N(对接源_02物料!$T791)&lt;&gt;0)),1,0)</f>
        <v>0</v>
      </c>
      <c r="Y1991">
        <f>N(Y1990)+$X1991</f>
        <v>0</v>
      </c>
      <c r="Z1991">
        <f>IF(AND($M1991=1,对接源_02物料!$D791="原料入库"),1,0)</f>
        <v>0</v>
      </c>
      <c r="AA1991">
        <f>N(AA1990)+$Z1991</f>
        <v>24</v>
      </c>
      <c r="AB1991">
        <f>IF(AND($M1991=1,LEFT(对接源_02物料!$D791,4)="原料出库"),1,0)</f>
        <v>0</v>
      </c>
      <c r="AC1991">
        <f>N(AC1990)+$AB1991</f>
        <v>0</v>
      </c>
      <c r="AD1991">
        <f>IF(AND($M1991=1,LEFT(对接源_02物料!$D791,4)="成品出库"),1,0)</f>
        <v>0</v>
      </c>
      <c r="AE1991">
        <f>N(AE1990)+$AD1991</f>
        <v>0</v>
      </c>
      <c r="AF1991">
        <f>IF(AND($N1991=1,AND(LEFT(对接源_02物料!$D791,4)="包装物料",N(对接源_02物料!$K791)&lt;&gt;0)),1,0)</f>
        <v>0</v>
      </c>
      <c r="AG1991">
        <f>N(AG1990)+$AF1991</f>
        <v>10</v>
      </c>
      <c r="AH1991">
        <f>IF(AND($N1991=1,AND(对接源_02物料!$D791="周转筐－销售出库",N(对接源_02物料!$K791)&lt;&gt;0)),1,0)</f>
        <v>0</v>
      </c>
      <c r="AI1991">
        <f>N(AI1990)+$AH1991</f>
        <v>0</v>
      </c>
      <c r="AL1991" t="n">
        <v>0</v>
      </c>
      <c r="AM1991">
        <f>N(AM1990)+$AL1991</f>
        <v>2</v>
      </c>
      <c r="AN1991">
        <f>""</f>
      </c>
      <c r="AO1991" t="n">
        <v>0</v>
      </c>
      <c r="AP1991">
        <f>N(AP1990)+$AO1991</f>
        <v>13</v>
      </c>
      <c r="AR1991">
        <f>IF(OR($AF1991=1,$AH1991=1),1,0)</f>
        <v>0</v>
      </c>
      <c r="AS1991">
        <f>N(AS1990)+$AR1991</f>
        <v>10</v>
      </c>
    </row>
    <row r="1992" s="127">
      <c r="A1992">
        <f>IF(对接源_02物料!$C792="","",对接源_02物料!$C792)</f>
      </c>
      <c r="B1992">
        <f>IF(A1992="",0,IF(MATCH(A1992,$A$4:$A$2403,0)=ROW()-3,1,0))</f>
        <v>0</v>
      </c>
      <c r="C1992">
        <f>N(C1991)+B1992</f>
        <v>26</v>
      </c>
      <c r="K1992">
        <f>IF(OR($K$1="",对接源_02物料!$C792="",对接源_02物料!$C792&lt;&gt;$K$1,对接源_02物料!$B792=""),0,IF(OR(N(对接源_02物料!$B792)&lt;$K$2,N(对接源_02物料!$B792)&gt;$K$3),0,1))</f>
        <v>0</v>
      </c>
      <c r="L1992">
        <f>IF(OR($L$1="",对接源_02物料!$C792="",对接源_02物料!$C792&lt;&gt;$L$1,对接源_02物料!$B792=""),0,IF(OR(N(对接源_02物料!$B792)&lt;$L$2,N(对接源_02物料!$B792)&gt;$L$3),0,1))</f>
        <v>0</v>
      </c>
      <c r="M1992">
        <f>IF(OR($M$1="",对接源_02物料!$C792="",对接源_02物料!$C792&lt;&gt;$M$1,对接源_02物料!$B792=""),0,IF(OR(N(对接源_02物料!$B792)&lt;$M$2,N(对接源_02物料!$B792)&gt;$M$3),0,1))</f>
        <v>0</v>
      </c>
      <c r="N1992">
        <f>IF(OR($N$1="",对接源_02物料!$C792="",对接源_02物料!$C792&lt;&gt;$N$1,对接源_02物料!$B792=""),0,IF(OR(N(对接源_02物料!$B792)&lt;$N$2,N(对接源_02物料!$B792)&gt;$N$3),0,1))</f>
        <v>0</v>
      </c>
      <c r="P1992">
        <f>IF(AND($K1992=1,AND(对接源_02物料!$X792="公司筐",N(对接源_02物料!$T792)&lt;&gt;0)),1,0)</f>
        <v>0</v>
      </c>
      <c r="Q1992">
        <f>N(Q1991)+$P1992</f>
        <v>14</v>
      </c>
      <c r="R1992">
        <f>IF(AND($K1992=1,AND(对接源_02物料!$X792="公司筐",N(对接源_02物料!$U792)&lt;&gt;0)),1,0)</f>
        <v>0</v>
      </c>
      <c r="S1992">
        <f>N(S1991)+$R1992</f>
        <v>1</v>
      </c>
      <c r="T1992">
        <f>IF(AND($K1992=1,AND(对接源_02物料!$X792="公司筐",N(对接源_02物料!$V792)&lt;&gt;0)),1,0)</f>
        <v>0</v>
      </c>
      <c r="U1992">
        <f>N(U1991)+$T1992</f>
        <v>47</v>
      </c>
      <c r="V1992">
        <f>IF(AND($L1992=1,AND(对接源_02物料!$X792="自备筐",N(对接源_02物料!$V792)&lt;&gt;0)),1,0)</f>
        <v>0</v>
      </c>
      <c r="W1992">
        <f>N(W1991)+$V1992</f>
        <v>11</v>
      </c>
      <c r="X1992">
        <f>IF(AND($L1992=1,AND(对接源_02物料!$X792="自备筐",N(对接源_02物料!$T792)&lt;&gt;0)),1,0)</f>
        <v>0</v>
      </c>
      <c r="Y1992">
        <f>N(Y1991)+$X1992</f>
        <v>0</v>
      </c>
      <c r="Z1992">
        <f>IF(AND($M1992=1,对接源_02物料!$D792="原料入库"),1,0)</f>
        <v>0</v>
      </c>
      <c r="AA1992">
        <f>N(AA1991)+$Z1992</f>
        <v>24</v>
      </c>
      <c r="AB1992">
        <f>IF(AND($M1992=1,LEFT(对接源_02物料!$D792,4)="原料出库"),1,0)</f>
        <v>0</v>
      </c>
      <c r="AC1992">
        <f>N(AC1991)+$AB1992</f>
        <v>0</v>
      </c>
      <c r="AD1992">
        <f>IF(AND($M1992=1,LEFT(对接源_02物料!$D792,4)="成品出库"),1,0)</f>
        <v>0</v>
      </c>
      <c r="AE1992">
        <f>N(AE1991)+$AD1992</f>
        <v>0</v>
      </c>
      <c r="AF1992">
        <f>IF(AND($N1992=1,AND(LEFT(对接源_02物料!$D792,4)="包装物料",N(对接源_02物料!$K792)&lt;&gt;0)),1,0)</f>
        <v>0</v>
      </c>
      <c r="AG1992">
        <f>N(AG1991)+$AF1992</f>
        <v>10</v>
      </c>
      <c r="AH1992">
        <f>IF(AND($N1992=1,AND(对接源_02物料!$D792="周转筐－销售出库",N(对接源_02物料!$K792)&lt;&gt;0)),1,0)</f>
        <v>0</v>
      </c>
      <c r="AI1992">
        <f>N(AI1991)+$AH1992</f>
        <v>0</v>
      </c>
      <c r="AL1992" t="n">
        <v>0</v>
      </c>
      <c r="AM1992">
        <f>N(AM1991)+$AL1992</f>
        <v>2</v>
      </c>
      <c r="AN1992">
        <f>""</f>
      </c>
      <c r="AO1992" t="n">
        <v>0</v>
      </c>
      <c r="AP1992">
        <f>N(AP1991)+$AO1992</f>
        <v>13</v>
      </c>
      <c r="AR1992">
        <f>IF(OR($AF1992=1,$AH1992=1),1,0)</f>
        <v>0</v>
      </c>
      <c r="AS1992">
        <f>N(AS1991)+$AR1992</f>
        <v>10</v>
      </c>
    </row>
    <row r="1993" s="127">
      <c r="A1993">
        <f>IF(对接源_02物料!$C793="","",对接源_02物料!$C793)</f>
      </c>
      <c r="B1993">
        <f>IF(A1993="",0,IF(MATCH(A1993,$A$4:$A$2403,0)=ROW()-3,1,0))</f>
        <v>0</v>
      </c>
      <c r="C1993">
        <f>N(C1992)+B1993</f>
        <v>26</v>
      </c>
      <c r="K1993">
        <f>IF(OR($K$1="",对接源_02物料!$C793="",对接源_02物料!$C793&lt;&gt;$K$1,对接源_02物料!$B793=""),0,IF(OR(N(对接源_02物料!$B793)&lt;$K$2,N(对接源_02物料!$B793)&gt;$K$3),0,1))</f>
        <v>0</v>
      </c>
      <c r="L1993">
        <f>IF(OR($L$1="",对接源_02物料!$C793="",对接源_02物料!$C793&lt;&gt;$L$1,对接源_02物料!$B793=""),0,IF(OR(N(对接源_02物料!$B793)&lt;$L$2,N(对接源_02物料!$B793)&gt;$L$3),0,1))</f>
        <v>0</v>
      </c>
      <c r="M1993">
        <f>IF(OR($M$1="",对接源_02物料!$C793="",对接源_02物料!$C793&lt;&gt;$M$1,对接源_02物料!$B793=""),0,IF(OR(N(对接源_02物料!$B793)&lt;$M$2,N(对接源_02物料!$B793)&gt;$M$3),0,1))</f>
        <v>0</v>
      </c>
      <c r="N1993">
        <f>IF(OR($N$1="",对接源_02物料!$C793="",对接源_02物料!$C793&lt;&gt;$N$1,对接源_02物料!$B793=""),0,IF(OR(N(对接源_02物料!$B793)&lt;$N$2,N(对接源_02物料!$B793)&gt;$N$3),0,1))</f>
        <v>0</v>
      </c>
      <c r="P1993">
        <f>IF(AND($K1993=1,AND(对接源_02物料!$X793="公司筐",N(对接源_02物料!$T793)&lt;&gt;0)),1,0)</f>
        <v>0</v>
      </c>
      <c r="Q1993">
        <f>N(Q1992)+$P1993</f>
        <v>14</v>
      </c>
      <c r="R1993">
        <f>IF(AND($K1993=1,AND(对接源_02物料!$X793="公司筐",N(对接源_02物料!$U793)&lt;&gt;0)),1,0)</f>
        <v>0</v>
      </c>
      <c r="S1993">
        <f>N(S1992)+$R1993</f>
        <v>1</v>
      </c>
      <c r="T1993">
        <f>IF(AND($K1993=1,AND(对接源_02物料!$X793="公司筐",N(对接源_02物料!$V793)&lt;&gt;0)),1,0)</f>
        <v>0</v>
      </c>
      <c r="U1993">
        <f>N(U1992)+$T1993</f>
        <v>47</v>
      </c>
      <c r="V1993">
        <f>IF(AND($L1993=1,AND(对接源_02物料!$X793="自备筐",N(对接源_02物料!$V793)&lt;&gt;0)),1,0)</f>
        <v>0</v>
      </c>
      <c r="W1993">
        <f>N(W1992)+$V1993</f>
        <v>11</v>
      </c>
      <c r="X1993">
        <f>IF(AND($L1993=1,AND(对接源_02物料!$X793="自备筐",N(对接源_02物料!$T793)&lt;&gt;0)),1,0)</f>
        <v>0</v>
      </c>
      <c r="Y1993">
        <f>N(Y1992)+$X1993</f>
        <v>0</v>
      </c>
      <c r="Z1993">
        <f>IF(AND($M1993=1,对接源_02物料!$D793="原料入库"),1,0)</f>
        <v>0</v>
      </c>
      <c r="AA1993">
        <f>N(AA1992)+$Z1993</f>
        <v>24</v>
      </c>
      <c r="AB1993">
        <f>IF(AND($M1993=1,LEFT(对接源_02物料!$D793,4)="原料出库"),1,0)</f>
        <v>0</v>
      </c>
      <c r="AC1993">
        <f>N(AC1992)+$AB1993</f>
        <v>0</v>
      </c>
      <c r="AD1993">
        <f>IF(AND($M1993=1,LEFT(对接源_02物料!$D793,4)="成品出库"),1,0)</f>
        <v>0</v>
      </c>
      <c r="AE1993">
        <f>N(AE1992)+$AD1993</f>
        <v>0</v>
      </c>
      <c r="AF1993">
        <f>IF(AND($N1993=1,AND(LEFT(对接源_02物料!$D793,4)="包装物料",N(对接源_02物料!$K793)&lt;&gt;0)),1,0)</f>
        <v>0</v>
      </c>
      <c r="AG1993">
        <f>N(AG1992)+$AF1993</f>
        <v>10</v>
      </c>
      <c r="AH1993">
        <f>IF(AND($N1993=1,AND(对接源_02物料!$D793="周转筐－销售出库",N(对接源_02物料!$K793)&lt;&gt;0)),1,0)</f>
        <v>0</v>
      </c>
      <c r="AI1993">
        <f>N(AI1992)+$AH1993</f>
        <v>0</v>
      </c>
      <c r="AL1993" t="n">
        <v>0</v>
      </c>
      <c r="AM1993">
        <f>N(AM1992)+$AL1993</f>
        <v>2</v>
      </c>
      <c r="AN1993">
        <f>""</f>
      </c>
      <c r="AO1993" t="n">
        <v>0</v>
      </c>
      <c r="AP1993">
        <f>N(AP1992)+$AO1993</f>
        <v>13</v>
      </c>
      <c r="AR1993">
        <f>IF(OR($AF1993=1,$AH1993=1),1,0)</f>
        <v>0</v>
      </c>
      <c r="AS1993">
        <f>N(AS1992)+$AR1993</f>
        <v>10</v>
      </c>
    </row>
    <row r="1994" s="127">
      <c r="A1994">
        <f>IF(对接源_02物料!$C794="","",对接源_02物料!$C794)</f>
      </c>
      <c r="B1994">
        <f>IF(A1994="",0,IF(MATCH(A1994,$A$4:$A$2403,0)=ROW()-3,1,0))</f>
        <v>0</v>
      </c>
      <c r="C1994">
        <f>N(C1993)+B1994</f>
        <v>26</v>
      </c>
      <c r="K1994">
        <f>IF(OR($K$1="",对接源_02物料!$C794="",对接源_02物料!$C794&lt;&gt;$K$1,对接源_02物料!$B794=""),0,IF(OR(N(对接源_02物料!$B794)&lt;$K$2,N(对接源_02物料!$B794)&gt;$K$3),0,1))</f>
        <v>0</v>
      </c>
      <c r="L1994">
        <f>IF(OR($L$1="",对接源_02物料!$C794="",对接源_02物料!$C794&lt;&gt;$L$1,对接源_02物料!$B794=""),0,IF(OR(N(对接源_02物料!$B794)&lt;$L$2,N(对接源_02物料!$B794)&gt;$L$3),0,1))</f>
        <v>0</v>
      </c>
      <c r="M1994">
        <f>IF(OR($M$1="",对接源_02物料!$C794="",对接源_02物料!$C794&lt;&gt;$M$1,对接源_02物料!$B794=""),0,IF(OR(N(对接源_02物料!$B794)&lt;$M$2,N(对接源_02物料!$B794)&gt;$M$3),0,1))</f>
        <v>0</v>
      </c>
      <c r="N1994">
        <f>IF(OR($N$1="",对接源_02物料!$C794="",对接源_02物料!$C794&lt;&gt;$N$1,对接源_02物料!$B794=""),0,IF(OR(N(对接源_02物料!$B794)&lt;$N$2,N(对接源_02物料!$B794)&gt;$N$3),0,1))</f>
        <v>0</v>
      </c>
      <c r="P1994">
        <f>IF(AND($K1994=1,AND(对接源_02物料!$X794="公司筐",N(对接源_02物料!$T794)&lt;&gt;0)),1,0)</f>
        <v>0</v>
      </c>
      <c r="Q1994">
        <f>N(Q1993)+$P1994</f>
        <v>14</v>
      </c>
      <c r="R1994">
        <f>IF(AND($K1994=1,AND(对接源_02物料!$X794="公司筐",N(对接源_02物料!$U794)&lt;&gt;0)),1,0)</f>
        <v>0</v>
      </c>
      <c r="S1994">
        <f>N(S1993)+$R1994</f>
        <v>1</v>
      </c>
      <c r="T1994">
        <f>IF(AND($K1994=1,AND(对接源_02物料!$X794="公司筐",N(对接源_02物料!$V794)&lt;&gt;0)),1,0)</f>
        <v>0</v>
      </c>
      <c r="U1994">
        <f>N(U1993)+$T1994</f>
        <v>47</v>
      </c>
      <c r="V1994">
        <f>IF(AND($L1994=1,AND(对接源_02物料!$X794="自备筐",N(对接源_02物料!$V794)&lt;&gt;0)),1,0)</f>
        <v>0</v>
      </c>
      <c r="W1994">
        <f>N(W1993)+$V1994</f>
        <v>11</v>
      </c>
      <c r="X1994">
        <f>IF(AND($L1994=1,AND(对接源_02物料!$X794="自备筐",N(对接源_02物料!$T794)&lt;&gt;0)),1,0)</f>
        <v>0</v>
      </c>
      <c r="Y1994">
        <f>N(Y1993)+$X1994</f>
        <v>0</v>
      </c>
      <c r="Z1994">
        <f>IF(AND($M1994=1,对接源_02物料!$D794="原料入库"),1,0)</f>
        <v>0</v>
      </c>
      <c r="AA1994">
        <f>N(AA1993)+$Z1994</f>
        <v>24</v>
      </c>
      <c r="AB1994">
        <f>IF(AND($M1994=1,LEFT(对接源_02物料!$D794,4)="原料出库"),1,0)</f>
        <v>0</v>
      </c>
      <c r="AC1994">
        <f>N(AC1993)+$AB1994</f>
        <v>0</v>
      </c>
      <c r="AD1994">
        <f>IF(AND($M1994=1,LEFT(对接源_02物料!$D794,4)="成品出库"),1,0)</f>
        <v>0</v>
      </c>
      <c r="AE1994">
        <f>N(AE1993)+$AD1994</f>
        <v>0</v>
      </c>
      <c r="AF1994">
        <f>IF(AND($N1994=1,AND(LEFT(对接源_02物料!$D794,4)="包装物料",N(对接源_02物料!$K794)&lt;&gt;0)),1,0)</f>
        <v>0</v>
      </c>
      <c r="AG1994">
        <f>N(AG1993)+$AF1994</f>
        <v>10</v>
      </c>
      <c r="AH1994">
        <f>IF(AND($N1994=1,AND(对接源_02物料!$D794="周转筐－销售出库",N(对接源_02物料!$K794)&lt;&gt;0)),1,0)</f>
        <v>0</v>
      </c>
      <c r="AI1994">
        <f>N(AI1993)+$AH1994</f>
        <v>0</v>
      </c>
      <c r="AL1994" t="n">
        <v>0</v>
      </c>
      <c r="AM1994">
        <f>N(AM1993)+$AL1994</f>
        <v>2</v>
      </c>
      <c r="AN1994">
        <f>""</f>
      </c>
      <c r="AO1994" t="n">
        <v>0</v>
      </c>
      <c r="AP1994">
        <f>N(AP1993)+$AO1994</f>
        <v>13</v>
      </c>
      <c r="AR1994">
        <f>IF(OR($AF1994=1,$AH1994=1),1,0)</f>
        <v>0</v>
      </c>
      <c r="AS1994">
        <f>N(AS1993)+$AR1994</f>
        <v>10</v>
      </c>
    </row>
    <row r="1995" s="127">
      <c r="A1995">
        <f>IF(对接源_02物料!$C795="","",对接源_02物料!$C795)</f>
      </c>
      <c r="B1995">
        <f>IF(A1995="",0,IF(MATCH(A1995,$A$4:$A$2403,0)=ROW()-3,1,0))</f>
        <v>0</v>
      </c>
      <c r="C1995">
        <f>N(C1994)+B1995</f>
        <v>26</v>
      </c>
      <c r="K1995">
        <f>IF(OR($K$1="",对接源_02物料!$C795="",对接源_02物料!$C795&lt;&gt;$K$1,对接源_02物料!$B795=""),0,IF(OR(N(对接源_02物料!$B795)&lt;$K$2,N(对接源_02物料!$B795)&gt;$K$3),0,1))</f>
        <v>0</v>
      </c>
      <c r="L1995">
        <f>IF(OR($L$1="",对接源_02物料!$C795="",对接源_02物料!$C795&lt;&gt;$L$1,对接源_02物料!$B795=""),0,IF(OR(N(对接源_02物料!$B795)&lt;$L$2,N(对接源_02物料!$B795)&gt;$L$3),0,1))</f>
        <v>0</v>
      </c>
      <c r="M1995">
        <f>IF(OR($M$1="",对接源_02物料!$C795="",对接源_02物料!$C795&lt;&gt;$M$1,对接源_02物料!$B795=""),0,IF(OR(N(对接源_02物料!$B795)&lt;$M$2,N(对接源_02物料!$B795)&gt;$M$3),0,1))</f>
        <v>0</v>
      </c>
      <c r="N1995">
        <f>IF(OR($N$1="",对接源_02物料!$C795="",对接源_02物料!$C795&lt;&gt;$N$1,对接源_02物料!$B795=""),0,IF(OR(N(对接源_02物料!$B795)&lt;$N$2,N(对接源_02物料!$B795)&gt;$N$3),0,1))</f>
        <v>0</v>
      </c>
      <c r="P1995">
        <f>IF(AND($K1995=1,AND(对接源_02物料!$X795="公司筐",N(对接源_02物料!$T795)&lt;&gt;0)),1,0)</f>
        <v>0</v>
      </c>
      <c r="Q1995">
        <f>N(Q1994)+$P1995</f>
        <v>14</v>
      </c>
      <c r="R1995">
        <f>IF(AND($K1995=1,AND(对接源_02物料!$X795="公司筐",N(对接源_02物料!$U795)&lt;&gt;0)),1,0)</f>
        <v>0</v>
      </c>
      <c r="S1995">
        <f>N(S1994)+$R1995</f>
        <v>1</v>
      </c>
      <c r="T1995">
        <f>IF(AND($K1995=1,AND(对接源_02物料!$X795="公司筐",N(对接源_02物料!$V795)&lt;&gt;0)),1,0)</f>
        <v>0</v>
      </c>
      <c r="U1995">
        <f>N(U1994)+$T1995</f>
        <v>47</v>
      </c>
      <c r="V1995">
        <f>IF(AND($L1995=1,AND(对接源_02物料!$X795="自备筐",N(对接源_02物料!$V795)&lt;&gt;0)),1,0)</f>
        <v>0</v>
      </c>
      <c r="W1995">
        <f>N(W1994)+$V1995</f>
        <v>11</v>
      </c>
      <c r="X1995">
        <f>IF(AND($L1995=1,AND(对接源_02物料!$X795="自备筐",N(对接源_02物料!$T795)&lt;&gt;0)),1,0)</f>
        <v>0</v>
      </c>
      <c r="Y1995">
        <f>N(Y1994)+$X1995</f>
        <v>0</v>
      </c>
      <c r="Z1995">
        <f>IF(AND($M1995=1,对接源_02物料!$D795="原料入库"),1,0)</f>
        <v>0</v>
      </c>
      <c r="AA1995">
        <f>N(AA1994)+$Z1995</f>
        <v>24</v>
      </c>
      <c r="AB1995">
        <f>IF(AND($M1995=1,LEFT(对接源_02物料!$D795,4)="原料出库"),1,0)</f>
        <v>0</v>
      </c>
      <c r="AC1995">
        <f>N(AC1994)+$AB1995</f>
        <v>0</v>
      </c>
      <c r="AD1995">
        <f>IF(AND($M1995=1,LEFT(对接源_02物料!$D795,4)="成品出库"),1,0)</f>
        <v>0</v>
      </c>
      <c r="AE1995">
        <f>N(AE1994)+$AD1995</f>
        <v>0</v>
      </c>
      <c r="AF1995">
        <f>IF(AND($N1995=1,AND(LEFT(对接源_02物料!$D795,4)="包装物料",N(对接源_02物料!$K795)&lt;&gt;0)),1,0)</f>
        <v>0</v>
      </c>
      <c r="AG1995">
        <f>N(AG1994)+$AF1995</f>
        <v>10</v>
      </c>
      <c r="AH1995">
        <f>IF(AND($N1995=1,AND(对接源_02物料!$D795="周转筐－销售出库",N(对接源_02物料!$K795)&lt;&gt;0)),1,0)</f>
        <v>0</v>
      </c>
      <c r="AI1995">
        <f>N(AI1994)+$AH1995</f>
        <v>0</v>
      </c>
      <c r="AL1995" t="n">
        <v>0</v>
      </c>
      <c r="AM1995">
        <f>N(AM1994)+$AL1995</f>
        <v>2</v>
      </c>
      <c r="AN1995">
        <f>""</f>
      </c>
      <c r="AO1995" t="n">
        <v>0</v>
      </c>
      <c r="AP1995">
        <f>N(AP1994)+$AO1995</f>
        <v>13</v>
      </c>
      <c r="AR1995">
        <f>IF(OR($AF1995=1,$AH1995=1),1,0)</f>
        <v>0</v>
      </c>
      <c r="AS1995">
        <f>N(AS1994)+$AR1995</f>
        <v>10</v>
      </c>
    </row>
    <row r="1996" s="127">
      <c r="A1996">
        <f>IF(对接源_02物料!$C796="","",对接源_02物料!$C796)</f>
      </c>
      <c r="B1996">
        <f>IF(A1996="",0,IF(MATCH(A1996,$A$4:$A$2403,0)=ROW()-3,1,0))</f>
        <v>0</v>
      </c>
      <c r="C1996">
        <f>N(C1995)+B1996</f>
        <v>26</v>
      </c>
      <c r="K1996">
        <f>IF(OR($K$1="",对接源_02物料!$C796="",对接源_02物料!$C796&lt;&gt;$K$1,对接源_02物料!$B796=""),0,IF(OR(N(对接源_02物料!$B796)&lt;$K$2,N(对接源_02物料!$B796)&gt;$K$3),0,1))</f>
        <v>0</v>
      </c>
      <c r="L1996">
        <f>IF(OR($L$1="",对接源_02物料!$C796="",对接源_02物料!$C796&lt;&gt;$L$1,对接源_02物料!$B796=""),0,IF(OR(N(对接源_02物料!$B796)&lt;$L$2,N(对接源_02物料!$B796)&gt;$L$3),0,1))</f>
        <v>0</v>
      </c>
      <c r="M1996">
        <f>IF(OR($M$1="",对接源_02物料!$C796="",对接源_02物料!$C796&lt;&gt;$M$1,对接源_02物料!$B796=""),0,IF(OR(N(对接源_02物料!$B796)&lt;$M$2,N(对接源_02物料!$B796)&gt;$M$3),0,1))</f>
        <v>0</v>
      </c>
      <c r="N1996">
        <f>IF(OR($N$1="",对接源_02物料!$C796="",对接源_02物料!$C796&lt;&gt;$N$1,对接源_02物料!$B796=""),0,IF(OR(N(对接源_02物料!$B796)&lt;$N$2,N(对接源_02物料!$B796)&gt;$N$3),0,1))</f>
        <v>0</v>
      </c>
      <c r="P1996">
        <f>IF(AND($K1996=1,AND(对接源_02物料!$X796="公司筐",N(对接源_02物料!$T796)&lt;&gt;0)),1,0)</f>
        <v>0</v>
      </c>
      <c r="Q1996">
        <f>N(Q1995)+$P1996</f>
        <v>14</v>
      </c>
      <c r="R1996">
        <f>IF(AND($K1996=1,AND(对接源_02物料!$X796="公司筐",N(对接源_02物料!$U796)&lt;&gt;0)),1,0)</f>
        <v>0</v>
      </c>
      <c r="S1996">
        <f>N(S1995)+$R1996</f>
        <v>1</v>
      </c>
      <c r="T1996">
        <f>IF(AND($K1996=1,AND(对接源_02物料!$X796="公司筐",N(对接源_02物料!$V796)&lt;&gt;0)),1,0)</f>
        <v>0</v>
      </c>
      <c r="U1996">
        <f>N(U1995)+$T1996</f>
        <v>47</v>
      </c>
      <c r="V1996">
        <f>IF(AND($L1996=1,AND(对接源_02物料!$X796="自备筐",N(对接源_02物料!$V796)&lt;&gt;0)),1,0)</f>
        <v>0</v>
      </c>
      <c r="W1996">
        <f>N(W1995)+$V1996</f>
        <v>11</v>
      </c>
      <c r="X1996">
        <f>IF(AND($L1996=1,AND(对接源_02物料!$X796="自备筐",N(对接源_02物料!$T796)&lt;&gt;0)),1,0)</f>
        <v>0</v>
      </c>
      <c r="Y1996">
        <f>N(Y1995)+$X1996</f>
        <v>0</v>
      </c>
      <c r="Z1996">
        <f>IF(AND($M1996=1,对接源_02物料!$D796="原料入库"),1,0)</f>
        <v>0</v>
      </c>
      <c r="AA1996">
        <f>N(AA1995)+$Z1996</f>
        <v>24</v>
      </c>
      <c r="AB1996">
        <f>IF(AND($M1996=1,LEFT(对接源_02物料!$D796,4)="原料出库"),1,0)</f>
        <v>0</v>
      </c>
      <c r="AC1996">
        <f>N(AC1995)+$AB1996</f>
        <v>0</v>
      </c>
      <c r="AD1996">
        <f>IF(AND($M1996=1,LEFT(对接源_02物料!$D796,4)="成品出库"),1,0)</f>
        <v>0</v>
      </c>
      <c r="AE1996">
        <f>N(AE1995)+$AD1996</f>
        <v>0</v>
      </c>
      <c r="AF1996">
        <f>IF(AND($N1996=1,AND(LEFT(对接源_02物料!$D796,4)="包装物料",N(对接源_02物料!$K796)&lt;&gt;0)),1,0)</f>
        <v>0</v>
      </c>
      <c r="AG1996">
        <f>N(AG1995)+$AF1996</f>
        <v>10</v>
      </c>
      <c r="AH1996">
        <f>IF(AND($N1996=1,AND(对接源_02物料!$D796="周转筐－销售出库",N(对接源_02物料!$K796)&lt;&gt;0)),1,0)</f>
        <v>0</v>
      </c>
      <c r="AI1996">
        <f>N(AI1995)+$AH1996</f>
        <v>0</v>
      </c>
      <c r="AL1996" t="n">
        <v>0</v>
      </c>
      <c r="AM1996">
        <f>N(AM1995)+$AL1996</f>
        <v>2</v>
      </c>
      <c r="AN1996">
        <f>""</f>
      </c>
      <c r="AO1996" t="n">
        <v>0</v>
      </c>
      <c r="AP1996">
        <f>N(AP1995)+$AO1996</f>
        <v>13</v>
      </c>
      <c r="AR1996">
        <f>IF(OR($AF1996=1,$AH1996=1),1,0)</f>
        <v>0</v>
      </c>
      <c r="AS1996">
        <f>N(AS1995)+$AR1996</f>
        <v>10</v>
      </c>
    </row>
    <row r="1997" s="127">
      <c r="A1997">
        <f>IF(对接源_02物料!$C797="","",对接源_02物料!$C797)</f>
      </c>
      <c r="B1997">
        <f>IF(A1997="",0,IF(MATCH(A1997,$A$4:$A$2403,0)=ROW()-3,1,0))</f>
        <v>0</v>
      </c>
      <c r="C1997">
        <f>N(C1996)+B1997</f>
        <v>26</v>
      </c>
      <c r="K1997">
        <f>IF(OR($K$1="",对接源_02物料!$C797="",对接源_02物料!$C797&lt;&gt;$K$1,对接源_02物料!$B797=""),0,IF(OR(N(对接源_02物料!$B797)&lt;$K$2,N(对接源_02物料!$B797)&gt;$K$3),0,1))</f>
        <v>0</v>
      </c>
      <c r="L1997">
        <f>IF(OR($L$1="",对接源_02物料!$C797="",对接源_02物料!$C797&lt;&gt;$L$1,对接源_02物料!$B797=""),0,IF(OR(N(对接源_02物料!$B797)&lt;$L$2,N(对接源_02物料!$B797)&gt;$L$3),0,1))</f>
        <v>0</v>
      </c>
      <c r="M1997">
        <f>IF(OR($M$1="",对接源_02物料!$C797="",对接源_02物料!$C797&lt;&gt;$M$1,对接源_02物料!$B797=""),0,IF(OR(N(对接源_02物料!$B797)&lt;$M$2,N(对接源_02物料!$B797)&gt;$M$3),0,1))</f>
        <v>0</v>
      </c>
      <c r="N1997">
        <f>IF(OR($N$1="",对接源_02物料!$C797="",对接源_02物料!$C797&lt;&gt;$N$1,对接源_02物料!$B797=""),0,IF(OR(N(对接源_02物料!$B797)&lt;$N$2,N(对接源_02物料!$B797)&gt;$N$3),0,1))</f>
        <v>0</v>
      </c>
      <c r="P1997">
        <f>IF(AND($K1997=1,AND(对接源_02物料!$X797="公司筐",N(对接源_02物料!$T797)&lt;&gt;0)),1,0)</f>
        <v>0</v>
      </c>
      <c r="Q1997">
        <f>N(Q1996)+$P1997</f>
        <v>14</v>
      </c>
      <c r="R1997">
        <f>IF(AND($K1997=1,AND(对接源_02物料!$X797="公司筐",N(对接源_02物料!$U797)&lt;&gt;0)),1,0)</f>
        <v>0</v>
      </c>
      <c r="S1997">
        <f>N(S1996)+$R1997</f>
        <v>1</v>
      </c>
      <c r="T1997">
        <f>IF(AND($K1997=1,AND(对接源_02物料!$X797="公司筐",N(对接源_02物料!$V797)&lt;&gt;0)),1,0)</f>
        <v>0</v>
      </c>
      <c r="U1997">
        <f>N(U1996)+$T1997</f>
        <v>47</v>
      </c>
      <c r="V1997">
        <f>IF(AND($L1997=1,AND(对接源_02物料!$X797="自备筐",N(对接源_02物料!$V797)&lt;&gt;0)),1,0)</f>
        <v>0</v>
      </c>
      <c r="W1997">
        <f>N(W1996)+$V1997</f>
        <v>11</v>
      </c>
      <c r="X1997">
        <f>IF(AND($L1997=1,AND(对接源_02物料!$X797="自备筐",N(对接源_02物料!$T797)&lt;&gt;0)),1,0)</f>
        <v>0</v>
      </c>
      <c r="Y1997">
        <f>N(Y1996)+$X1997</f>
        <v>0</v>
      </c>
      <c r="Z1997">
        <f>IF(AND($M1997=1,对接源_02物料!$D797="原料入库"),1,0)</f>
        <v>0</v>
      </c>
      <c r="AA1997">
        <f>N(AA1996)+$Z1997</f>
        <v>24</v>
      </c>
      <c r="AB1997">
        <f>IF(AND($M1997=1,LEFT(对接源_02物料!$D797,4)="原料出库"),1,0)</f>
        <v>0</v>
      </c>
      <c r="AC1997">
        <f>N(AC1996)+$AB1997</f>
        <v>0</v>
      </c>
      <c r="AD1997">
        <f>IF(AND($M1997=1,LEFT(对接源_02物料!$D797,4)="成品出库"),1,0)</f>
        <v>0</v>
      </c>
      <c r="AE1997">
        <f>N(AE1996)+$AD1997</f>
        <v>0</v>
      </c>
      <c r="AF1997">
        <f>IF(AND($N1997=1,AND(LEFT(对接源_02物料!$D797,4)="包装物料",N(对接源_02物料!$K797)&lt;&gt;0)),1,0)</f>
        <v>0</v>
      </c>
      <c r="AG1997">
        <f>N(AG1996)+$AF1997</f>
        <v>10</v>
      </c>
      <c r="AH1997">
        <f>IF(AND($N1997=1,AND(对接源_02物料!$D797="周转筐－销售出库",N(对接源_02物料!$K797)&lt;&gt;0)),1,0)</f>
        <v>0</v>
      </c>
      <c r="AI1997">
        <f>N(AI1996)+$AH1997</f>
        <v>0</v>
      </c>
      <c r="AL1997" t="n">
        <v>0</v>
      </c>
      <c r="AM1997">
        <f>N(AM1996)+$AL1997</f>
        <v>2</v>
      </c>
      <c r="AN1997">
        <f>""</f>
      </c>
      <c r="AO1997" t="n">
        <v>0</v>
      </c>
      <c r="AP1997">
        <f>N(AP1996)+$AO1997</f>
        <v>13</v>
      </c>
      <c r="AR1997">
        <f>IF(OR($AF1997=1,$AH1997=1),1,0)</f>
        <v>0</v>
      </c>
      <c r="AS1997">
        <f>N(AS1996)+$AR1997</f>
        <v>10</v>
      </c>
    </row>
    <row r="1998" s="127">
      <c r="A1998">
        <f>IF(对接源_02物料!$C798="","",对接源_02物料!$C798)</f>
      </c>
      <c r="B1998">
        <f>IF(A1998="",0,IF(MATCH(A1998,$A$4:$A$2403,0)=ROW()-3,1,0))</f>
        <v>0</v>
      </c>
      <c r="C1998">
        <f>N(C1997)+B1998</f>
        <v>26</v>
      </c>
      <c r="K1998">
        <f>IF(OR($K$1="",对接源_02物料!$C798="",对接源_02物料!$C798&lt;&gt;$K$1,对接源_02物料!$B798=""),0,IF(OR(N(对接源_02物料!$B798)&lt;$K$2,N(对接源_02物料!$B798)&gt;$K$3),0,1))</f>
        <v>0</v>
      </c>
      <c r="L1998">
        <f>IF(OR($L$1="",对接源_02物料!$C798="",对接源_02物料!$C798&lt;&gt;$L$1,对接源_02物料!$B798=""),0,IF(OR(N(对接源_02物料!$B798)&lt;$L$2,N(对接源_02物料!$B798)&gt;$L$3),0,1))</f>
        <v>0</v>
      </c>
      <c r="M1998">
        <f>IF(OR($M$1="",对接源_02物料!$C798="",对接源_02物料!$C798&lt;&gt;$M$1,对接源_02物料!$B798=""),0,IF(OR(N(对接源_02物料!$B798)&lt;$M$2,N(对接源_02物料!$B798)&gt;$M$3),0,1))</f>
        <v>0</v>
      </c>
      <c r="N1998">
        <f>IF(OR($N$1="",对接源_02物料!$C798="",对接源_02物料!$C798&lt;&gt;$N$1,对接源_02物料!$B798=""),0,IF(OR(N(对接源_02物料!$B798)&lt;$N$2,N(对接源_02物料!$B798)&gt;$N$3),0,1))</f>
        <v>0</v>
      </c>
      <c r="P1998">
        <f>IF(AND($K1998=1,AND(对接源_02物料!$X798="公司筐",N(对接源_02物料!$T798)&lt;&gt;0)),1,0)</f>
        <v>0</v>
      </c>
      <c r="Q1998">
        <f>N(Q1997)+$P1998</f>
        <v>14</v>
      </c>
      <c r="R1998">
        <f>IF(AND($K1998=1,AND(对接源_02物料!$X798="公司筐",N(对接源_02物料!$U798)&lt;&gt;0)),1,0)</f>
        <v>0</v>
      </c>
      <c r="S1998">
        <f>N(S1997)+$R1998</f>
        <v>1</v>
      </c>
      <c r="T1998">
        <f>IF(AND($K1998=1,AND(对接源_02物料!$X798="公司筐",N(对接源_02物料!$V798)&lt;&gt;0)),1,0)</f>
        <v>0</v>
      </c>
      <c r="U1998">
        <f>N(U1997)+$T1998</f>
        <v>47</v>
      </c>
      <c r="V1998">
        <f>IF(AND($L1998=1,AND(对接源_02物料!$X798="自备筐",N(对接源_02物料!$V798)&lt;&gt;0)),1,0)</f>
        <v>0</v>
      </c>
      <c r="W1998">
        <f>N(W1997)+$V1998</f>
        <v>11</v>
      </c>
      <c r="X1998">
        <f>IF(AND($L1998=1,AND(对接源_02物料!$X798="自备筐",N(对接源_02物料!$T798)&lt;&gt;0)),1,0)</f>
        <v>0</v>
      </c>
      <c r="Y1998">
        <f>N(Y1997)+$X1998</f>
        <v>0</v>
      </c>
      <c r="Z1998">
        <f>IF(AND($M1998=1,对接源_02物料!$D798="原料入库"),1,0)</f>
        <v>0</v>
      </c>
      <c r="AA1998">
        <f>N(AA1997)+$Z1998</f>
        <v>24</v>
      </c>
      <c r="AB1998">
        <f>IF(AND($M1998=1,LEFT(对接源_02物料!$D798,4)="原料出库"),1,0)</f>
        <v>0</v>
      </c>
      <c r="AC1998">
        <f>N(AC1997)+$AB1998</f>
        <v>0</v>
      </c>
      <c r="AD1998">
        <f>IF(AND($M1998=1,LEFT(对接源_02物料!$D798,4)="成品出库"),1,0)</f>
        <v>0</v>
      </c>
      <c r="AE1998">
        <f>N(AE1997)+$AD1998</f>
        <v>0</v>
      </c>
      <c r="AF1998">
        <f>IF(AND($N1998=1,AND(LEFT(对接源_02物料!$D798,4)="包装物料",N(对接源_02物料!$K798)&lt;&gt;0)),1,0)</f>
        <v>0</v>
      </c>
      <c r="AG1998">
        <f>N(AG1997)+$AF1998</f>
        <v>10</v>
      </c>
      <c r="AH1998">
        <f>IF(AND($N1998=1,AND(对接源_02物料!$D798="周转筐－销售出库",N(对接源_02物料!$K798)&lt;&gt;0)),1,0)</f>
        <v>0</v>
      </c>
      <c r="AI1998">
        <f>N(AI1997)+$AH1998</f>
        <v>0</v>
      </c>
      <c r="AL1998" t="n">
        <v>0</v>
      </c>
      <c r="AM1998">
        <f>N(AM1997)+$AL1998</f>
        <v>2</v>
      </c>
      <c r="AN1998">
        <f>""</f>
      </c>
      <c r="AO1998" t="n">
        <v>0</v>
      </c>
      <c r="AP1998">
        <f>N(AP1997)+$AO1998</f>
        <v>13</v>
      </c>
      <c r="AR1998">
        <f>IF(OR($AF1998=1,$AH1998=1),1,0)</f>
        <v>0</v>
      </c>
      <c r="AS1998">
        <f>N(AS1997)+$AR1998</f>
        <v>10</v>
      </c>
    </row>
    <row r="1999" s="127">
      <c r="A1999">
        <f>IF(对接源_02物料!$C799="","",对接源_02物料!$C799)</f>
      </c>
      <c r="B1999">
        <f>IF(A1999="",0,IF(MATCH(A1999,$A$4:$A$2403,0)=ROW()-3,1,0))</f>
        <v>0</v>
      </c>
      <c r="C1999">
        <f>N(C1998)+B1999</f>
        <v>26</v>
      </c>
      <c r="K1999">
        <f>IF(OR($K$1="",对接源_02物料!$C799="",对接源_02物料!$C799&lt;&gt;$K$1,对接源_02物料!$B799=""),0,IF(OR(N(对接源_02物料!$B799)&lt;$K$2,N(对接源_02物料!$B799)&gt;$K$3),0,1))</f>
        <v>0</v>
      </c>
      <c r="L1999">
        <f>IF(OR($L$1="",对接源_02物料!$C799="",对接源_02物料!$C799&lt;&gt;$L$1,对接源_02物料!$B799=""),0,IF(OR(N(对接源_02物料!$B799)&lt;$L$2,N(对接源_02物料!$B799)&gt;$L$3),0,1))</f>
        <v>0</v>
      </c>
      <c r="M1999">
        <f>IF(OR($M$1="",对接源_02物料!$C799="",对接源_02物料!$C799&lt;&gt;$M$1,对接源_02物料!$B799=""),0,IF(OR(N(对接源_02物料!$B799)&lt;$M$2,N(对接源_02物料!$B799)&gt;$M$3),0,1))</f>
        <v>0</v>
      </c>
      <c r="N1999">
        <f>IF(OR($N$1="",对接源_02物料!$C799="",对接源_02物料!$C799&lt;&gt;$N$1,对接源_02物料!$B799=""),0,IF(OR(N(对接源_02物料!$B799)&lt;$N$2,N(对接源_02物料!$B799)&gt;$N$3),0,1))</f>
        <v>0</v>
      </c>
      <c r="P1999">
        <f>IF(AND($K1999=1,AND(对接源_02物料!$X799="公司筐",N(对接源_02物料!$T799)&lt;&gt;0)),1,0)</f>
        <v>0</v>
      </c>
      <c r="Q1999">
        <f>N(Q1998)+$P1999</f>
        <v>14</v>
      </c>
      <c r="R1999">
        <f>IF(AND($K1999=1,AND(对接源_02物料!$X799="公司筐",N(对接源_02物料!$U799)&lt;&gt;0)),1,0)</f>
        <v>0</v>
      </c>
      <c r="S1999">
        <f>N(S1998)+$R1999</f>
        <v>1</v>
      </c>
      <c r="T1999">
        <f>IF(AND($K1999=1,AND(对接源_02物料!$X799="公司筐",N(对接源_02物料!$V799)&lt;&gt;0)),1,0)</f>
        <v>0</v>
      </c>
      <c r="U1999">
        <f>N(U1998)+$T1999</f>
        <v>47</v>
      </c>
      <c r="V1999">
        <f>IF(AND($L1999=1,AND(对接源_02物料!$X799="自备筐",N(对接源_02物料!$V799)&lt;&gt;0)),1,0)</f>
        <v>0</v>
      </c>
      <c r="W1999">
        <f>N(W1998)+$V1999</f>
        <v>11</v>
      </c>
      <c r="X1999">
        <f>IF(AND($L1999=1,AND(对接源_02物料!$X799="自备筐",N(对接源_02物料!$T799)&lt;&gt;0)),1,0)</f>
        <v>0</v>
      </c>
      <c r="Y1999">
        <f>N(Y1998)+$X1999</f>
        <v>0</v>
      </c>
      <c r="Z1999">
        <f>IF(AND($M1999=1,对接源_02物料!$D799="原料入库"),1,0)</f>
        <v>0</v>
      </c>
      <c r="AA1999">
        <f>N(AA1998)+$Z1999</f>
        <v>24</v>
      </c>
      <c r="AB1999">
        <f>IF(AND($M1999=1,LEFT(对接源_02物料!$D799,4)="原料出库"),1,0)</f>
        <v>0</v>
      </c>
      <c r="AC1999">
        <f>N(AC1998)+$AB1999</f>
        <v>0</v>
      </c>
      <c r="AD1999">
        <f>IF(AND($M1999=1,LEFT(对接源_02物料!$D799,4)="成品出库"),1,0)</f>
        <v>0</v>
      </c>
      <c r="AE1999">
        <f>N(AE1998)+$AD1999</f>
        <v>0</v>
      </c>
      <c r="AF1999">
        <f>IF(AND($N1999=1,AND(LEFT(对接源_02物料!$D799,4)="包装物料",N(对接源_02物料!$K799)&lt;&gt;0)),1,0)</f>
        <v>0</v>
      </c>
      <c r="AG1999">
        <f>N(AG1998)+$AF1999</f>
        <v>10</v>
      </c>
      <c r="AH1999">
        <f>IF(AND($N1999=1,AND(对接源_02物料!$D799="周转筐－销售出库",N(对接源_02物料!$K799)&lt;&gt;0)),1,0)</f>
        <v>0</v>
      </c>
      <c r="AI1999">
        <f>N(AI1998)+$AH1999</f>
        <v>0</v>
      </c>
      <c r="AL1999" t="n">
        <v>0</v>
      </c>
      <c r="AM1999">
        <f>N(AM1998)+$AL1999</f>
        <v>2</v>
      </c>
      <c r="AN1999">
        <f>""</f>
      </c>
      <c r="AO1999" t="n">
        <v>0</v>
      </c>
      <c r="AP1999">
        <f>N(AP1998)+$AO1999</f>
        <v>13</v>
      </c>
      <c r="AR1999">
        <f>IF(OR($AF1999=1,$AH1999=1),1,0)</f>
        <v>0</v>
      </c>
      <c r="AS1999">
        <f>N(AS1998)+$AR1999</f>
        <v>10</v>
      </c>
    </row>
    <row r="2000" s="127">
      <c r="A2000">
        <f>IF(对接源_02物料!$C800="","",对接源_02物料!$C800)</f>
      </c>
      <c r="B2000">
        <f>IF(A2000="",0,IF(MATCH(A2000,$A$4:$A$2403,0)=ROW()-3,1,0))</f>
        <v>0</v>
      </c>
      <c r="C2000">
        <f>N(C1999)+B2000</f>
        <v>26</v>
      </c>
      <c r="K2000">
        <f>IF(OR($K$1="",对接源_02物料!$C800="",对接源_02物料!$C800&lt;&gt;$K$1,对接源_02物料!$B800=""),0,IF(OR(N(对接源_02物料!$B800)&lt;$K$2,N(对接源_02物料!$B800)&gt;$K$3),0,1))</f>
        <v>0</v>
      </c>
      <c r="L2000">
        <f>IF(OR($L$1="",对接源_02物料!$C800="",对接源_02物料!$C800&lt;&gt;$L$1,对接源_02物料!$B800=""),0,IF(OR(N(对接源_02物料!$B800)&lt;$L$2,N(对接源_02物料!$B800)&gt;$L$3),0,1))</f>
        <v>0</v>
      </c>
      <c r="M2000">
        <f>IF(OR($M$1="",对接源_02物料!$C800="",对接源_02物料!$C800&lt;&gt;$M$1,对接源_02物料!$B800=""),0,IF(OR(N(对接源_02物料!$B800)&lt;$M$2,N(对接源_02物料!$B800)&gt;$M$3),0,1))</f>
        <v>0</v>
      </c>
      <c r="N2000">
        <f>IF(OR($N$1="",对接源_02物料!$C800="",对接源_02物料!$C800&lt;&gt;$N$1,对接源_02物料!$B800=""),0,IF(OR(N(对接源_02物料!$B800)&lt;$N$2,N(对接源_02物料!$B800)&gt;$N$3),0,1))</f>
        <v>0</v>
      </c>
      <c r="P2000">
        <f>IF(AND($K2000=1,AND(对接源_02物料!$X800="公司筐",N(对接源_02物料!$T800)&lt;&gt;0)),1,0)</f>
        <v>0</v>
      </c>
      <c r="Q2000">
        <f>N(Q1999)+$P2000</f>
        <v>14</v>
      </c>
      <c r="R2000">
        <f>IF(AND($K2000=1,AND(对接源_02物料!$X800="公司筐",N(对接源_02物料!$U800)&lt;&gt;0)),1,0)</f>
        <v>0</v>
      </c>
      <c r="S2000">
        <f>N(S1999)+$R2000</f>
        <v>1</v>
      </c>
      <c r="T2000">
        <f>IF(AND($K2000=1,AND(对接源_02物料!$X800="公司筐",N(对接源_02物料!$V800)&lt;&gt;0)),1,0)</f>
        <v>0</v>
      </c>
      <c r="U2000">
        <f>N(U1999)+$T2000</f>
        <v>47</v>
      </c>
      <c r="V2000">
        <f>IF(AND($L2000=1,AND(对接源_02物料!$X800="自备筐",N(对接源_02物料!$V800)&lt;&gt;0)),1,0)</f>
        <v>0</v>
      </c>
      <c r="W2000">
        <f>N(W1999)+$V2000</f>
        <v>11</v>
      </c>
      <c r="X2000">
        <f>IF(AND($L2000=1,AND(对接源_02物料!$X800="自备筐",N(对接源_02物料!$T800)&lt;&gt;0)),1,0)</f>
        <v>0</v>
      </c>
      <c r="Y2000">
        <f>N(Y1999)+$X2000</f>
        <v>0</v>
      </c>
      <c r="Z2000">
        <f>IF(AND($M2000=1,对接源_02物料!$D800="原料入库"),1,0)</f>
        <v>0</v>
      </c>
      <c r="AA2000">
        <f>N(AA1999)+$Z2000</f>
        <v>24</v>
      </c>
      <c r="AB2000">
        <f>IF(AND($M2000=1,LEFT(对接源_02物料!$D800,4)="原料出库"),1,0)</f>
        <v>0</v>
      </c>
      <c r="AC2000">
        <f>N(AC1999)+$AB2000</f>
        <v>0</v>
      </c>
      <c r="AD2000">
        <f>IF(AND($M2000=1,LEFT(对接源_02物料!$D800,4)="成品出库"),1,0)</f>
        <v>0</v>
      </c>
      <c r="AE2000">
        <f>N(AE1999)+$AD2000</f>
        <v>0</v>
      </c>
      <c r="AF2000">
        <f>IF(AND($N2000=1,AND(LEFT(对接源_02物料!$D800,4)="包装物料",N(对接源_02物料!$K800)&lt;&gt;0)),1,0)</f>
        <v>0</v>
      </c>
      <c r="AG2000">
        <f>N(AG1999)+$AF2000</f>
        <v>10</v>
      </c>
      <c r="AH2000">
        <f>IF(AND($N2000=1,AND(对接源_02物料!$D800="周转筐－销售出库",N(对接源_02物料!$K800)&lt;&gt;0)),1,0)</f>
        <v>0</v>
      </c>
      <c r="AI2000">
        <f>N(AI1999)+$AH2000</f>
        <v>0</v>
      </c>
      <c r="AL2000" t="n">
        <v>0</v>
      </c>
      <c r="AM2000">
        <f>N(AM1999)+$AL2000</f>
        <v>2</v>
      </c>
      <c r="AN2000">
        <f>""</f>
      </c>
      <c r="AO2000" t="n">
        <v>0</v>
      </c>
      <c r="AP2000">
        <f>N(AP1999)+$AO2000</f>
        <v>13</v>
      </c>
      <c r="AR2000">
        <f>IF(OR($AF2000=1,$AH2000=1),1,0)</f>
        <v>0</v>
      </c>
      <c r="AS2000">
        <f>N(AS1999)+$AR2000</f>
        <v>10</v>
      </c>
    </row>
    <row r="2001" s="127">
      <c r="A2001">
        <f>IF(对接源_02物料!$C801="","",对接源_02物料!$C801)</f>
      </c>
      <c r="B2001">
        <f>IF(A2001="",0,IF(MATCH(A2001,$A$4:$A$2403,0)=ROW()-3,1,0))</f>
        <v>0</v>
      </c>
      <c r="C2001">
        <f>N(C2000)+B2001</f>
        <v>26</v>
      </c>
      <c r="K2001">
        <f>IF(OR($K$1="",对接源_02物料!$C801="",对接源_02物料!$C801&lt;&gt;$K$1,对接源_02物料!$B801=""),0,IF(OR(N(对接源_02物料!$B801)&lt;$K$2,N(对接源_02物料!$B801)&gt;$K$3),0,1))</f>
        <v>0</v>
      </c>
      <c r="L2001">
        <f>IF(OR($L$1="",对接源_02物料!$C801="",对接源_02物料!$C801&lt;&gt;$L$1,对接源_02物料!$B801=""),0,IF(OR(N(对接源_02物料!$B801)&lt;$L$2,N(对接源_02物料!$B801)&gt;$L$3),0,1))</f>
        <v>0</v>
      </c>
      <c r="M2001">
        <f>IF(OR($M$1="",对接源_02物料!$C801="",对接源_02物料!$C801&lt;&gt;$M$1,对接源_02物料!$B801=""),0,IF(OR(N(对接源_02物料!$B801)&lt;$M$2,N(对接源_02物料!$B801)&gt;$M$3),0,1))</f>
        <v>0</v>
      </c>
      <c r="N2001">
        <f>IF(OR($N$1="",对接源_02物料!$C801="",对接源_02物料!$C801&lt;&gt;$N$1,对接源_02物料!$B801=""),0,IF(OR(N(对接源_02物料!$B801)&lt;$N$2,N(对接源_02物料!$B801)&gt;$N$3),0,1))</f>
        <v>0</v>
      </c>
      <c r="P2001">
        <f>IF(AND($K2001=1,AND(对接源_02物料!$X801="公司筐",N(对接源_02物料!$T801)&lt;&gt;0)),1,0)</f>
        <v>0</v>
      </c>
      <c r="Q2001">
        <f>N(Q2000)+$P2001</f>
        <v>14</v>
      </c>
      <c r="R2001">
        <f>IF(AND($K2001=1,AND(对接源_02物料!$X801="公司筐",N(对接源_02物料!$U801)&lt;&gt;0)),1,0)</f>
        <v>0</v>
      </c>
      <c r="S2001">
        <f>N(S2000)+$R2001</f>
        <v>1</v>
      </c>
      <c r="T2001">
        <f>IF(AND($K2001=1,AND(对接源_02物料!$X801="公司筐",N(对接源_02物料!$V801)&lt;&gt;0)),1,0)</f>
        <v>0</v>
      </c>
      <c r="U2001">
        <f>N(U2000)+$T2001</f>
        <v>47</v>
      </c>
      <c r="V2001">
        <f>IF(AND($L2001=1,AND(对接源_02物料!$X801="自备筐",N(对接源_02物料!$V801)&lt;&gt;0)),1,0)</f>
        <v>0</v>
      </c>
      <c r="W2001">
        <f>N(W2000)+$V2001</f>
        <v>11</v>
      </c>
      <c r="X2001">
        <f>IF(AND($L2001=1,AND(对接源_02物料!$X801="自备筐",N(对接源_02物料!$T801)&lt;&gt;0)),1,0)</f>
        <v>0</v>
      </c>
      <c r="Y2001">
        <f>N(Y2000)+$X2001</f>
        <v>0</v>
      </c>
      <c r="Z2001">
        <f>IF(AND($M2001=1,对接源_02物料!$D801="原料入库"),1,0)</f>
        <v>0</v>
      </c>
      <c r="AA2001">
        <f>N(AA2000)+$Z2001</f>
        <v>24</v>
      </c>
      <c r="AB2001">
        <f>IF(AND($M2001=1,LEFT(对接源_02物料!$D801,4)="原料出库"),1,0)</f>
        <v>0</v>
      </c>
      <c r="AC2001">
        <f>N(AC2000)+$AB2001</f>
        <v>0</v>
      </c>
      <c r="AD2001">
        <f>IF(AND($M2001=1,LEFT(对接源_02物料!$D801,4)="成品出库"),1,0)</f>
        <v>0</v>
      </c>
      <c r="AE2001">
        <f>N(AE2000)+$AD2001</f>
        <v>0</v>
      </c>
      <c r="AF2001">
        <f>IF(AND($N2001=1,AND(LEFT(对接源_02物料!$D801,4)="包装物料",N(对接源_02物料!$K801)&lt;&gt;0)),1,0)</f>
        <v>0</v>
      </c>
      <c r="AG2001">
        <f>N(AG2000)+$AF2001</f>
        <v>10</v>
      </c>
      <c r="AH2001">
        <f>IF(AND($N2001=1,AND(对接源_02物料!$D801="周转筐－销售出库",N(对接源_02物料!$K801)&lt;&gt;0)),1,0)</f>
        <v>0</v>
      </c>
      <c r="AI2001">
        <f>N(AI2000)+$AH2001</f>
        <v>0</v>
      </c>
      <c r="AL2001" t="n">
        <v>0</v>
      </c>
      <c r="AM2001">
        <f>N(AM2000)+$AL2001</f>
        <v>2</v>
      </c>
      <c r="AN2001">
        <f>""</f>
      </c>
      <c r="AO2001" t="n">
        <v>0</v>
      </c>
      <c r="AP2001">
        <f>N(AP2000)+$AO2001</f>
        <v>13</v>
      </c>
      <c r="AR2001">
        <f>IF(OR($AF2001=1,$AH2001=1),1,0)</f>
        <v>0</v>
      </c>
      <c r="AS2001">
        <f>N(AS2000)+$AR2001</f>
        <v>10</v>
      </c>
    </row>
    <row r="2002" s="127">
      <c r="A2002">
        <f>IF(对接源_02物料!$C802="","",对接源_02物料!$C802)</f>
      </c>
      <c r="B2002">
        <f>IF(A2002="",0,IF(MATCH(A2002,$A$4:$A$2403,0)=ROW()-3,1,0))</f>
        <v>0</v>
      </c>
      <c r="C2002">
        <f>N(C2001)+B2002</f>
        <v>26</v>
      </c>
      <c r="K2002">
        <f>IF(OR($K$1="",对接源_02物料!$C802="",对接源_02物料!$C802&lt;&gt;$K$1,对接源_02物料!$B802=""),0,IF(OR(N(对接源_02物料!$B802)&lt;$K$2,N(对接源_02物料!$B802)&gt;$K$3),0,1))</f>
        <v>0</v>
      </c>
      <c r="L2002">
        <f>IF(OR($L$1="",对接源_02物料!$C802="",对接源_02物料!$C802&lt;&gt;$L$1,对接源_02物料!$B802=""),0,IF(OR(N(对接源_02物料!$B802)&lt;$L$2,N(对接源_02物料!$B802)&gt;$L$3),0,1))</f>
        <v>0</v>
      </c>
      <c r="M2002">
        <f>IF(OR($M$1="",对接源_02物料!$C802="",对接源_02物料!$C802&lt;&gt;$M$1,对接源_02物料!$B802=""),0,IF(OR(N(对接源_02物料!$B802)&lt;$M$2,N(对接源_02物料!$B802)&gt;$M$3),0,1))</f>
        <v>0</v>
      </c>
      <c r="N2002">
        <f>IF(OR($N$1="",对接源_02物料!$C802="",对接源_02物料!$C802&lt;&gt;$N$1,对接源_02物料!$B802=""),0,IF(OR(N(对接源_02物料!$B802)&lt;$N$2,N(对接源_02物料!$B802)&gt;$N$3),0,1))</f>
        <v>0</v>
      </c>
      <c r="P2002">
        <f>IF(AND($K2002=1,AND(对接源_02物料!$X802="公司筐",N(对接源_02物料!$T802)&lt;&gt;0)),1,0)</f>
        <v>0</v>
      </c>
      <c r="Q2002">
        <f>N(Q2001)+$P2002</f>
        <v>14</v>
      </c>
      <c r="R2002">
        <f>IF(AND($K2002=1,AND(对接源_02物料!$X802="公司筐",N(对接源_02物料!$U802)&lt;&gt;0)),1,0)</f>
        <v>0</v>
      </c>
      <c r="S2002">
        <f>N(S2001)+$R2002</f>
        <v>1</v>
      </c>
      <c r="T2002">
        <f>IF(AND($K2002=1,AND(对接源_02物料!$X802="公司筐",N(对接源_02物料!$V802)&lt;&gt;0)),1,0)</f>
        <v>0</v>
      </c>
      <c r="U2002">
        <f>N(U2001)+$T2002</f>
        <v>47</v>
      </c>
      <c r="V2002">
        <f>IF(AND($L2002=1,AND(对接源_02物料!$X802="自备筐",N(对接源_02物料!$V802)&lt;&gt;0)),1,0)</f>
        <v>0</v>
      </c>
      <c r="W2002">
        <f>N(W2001)+$V2002</f>
        <v>11</v>
      </c>
      <c r="X2002">
        <f>IF(AND($L2002=1,AND(对接源_02物料!$X802="自备筐",N(对接源_02物料!$T802)&lt;&gt;0)),1,0)</f>
        <v>0</v>
      </c>
      <c r="Y2002">
        <f>N(Y2001)+$X2002</f>
        <v>0</v>
      </c>
      <c r="Z2002">
        <f>IF(AND($M2002=1,对接源_02物料!$D802="原料入库"),1,0)</f>
        <v>0</v>
      </c>
      <c r="AA2002">
        <f>N(AA2001)+$Z2002</f>
        <v>24</v>
      </c>
      <c r="AB2002">
        <f>IF(AND($M2002=1,LEFT(对接源_02物料!$D802,4)="原料出库"),1,0)</f>
        <v>0</v>
      </c>
      <c r="AC2002">
        <f>N(AC2001)+$AB2002</f>
        <v>0</v>
      </c>
      <c r="AD2002">
        <f>IF(AND($M2002=1,LEFT(对接源_02物料!$D802,4)="成品出库"),1,0)</f>
        <v>0</v>
      </c>
      <c r="AE2002">
        <f>N(AE2001)+$AD2002</f>
        <v>0</v>
      </c>
      <c r="AF2002">
        <f>IF(AND($N2002=1,AND(LEFT(对接源_02物料!$D802,4)="包装物料",N(对接源_02物料!$K802)&lt;&gt;0)),1,0)</f>
        <v>0</v>
      </c>
      <c r="AG2002">
        <f>N(AG2001)+$AF2002</f>
        <v>10</v>
      </c>
      <c r="AH2002">
        <f>IF(AND($N2002=1,AND(对接源_02物料!$D802="周转筐－销售出库",N(对接源_02物料!$K802)&lt;&gt;0)),1,0)</f>
        <v>0</v>
      </c>
      <c r="AI2002">
        <f>N(AI2001)+$AH2002</f>
        <v>0</v>
      </c>
      <c r="AL2002" t="n">
        <v>0</v>
      </c>
      <c r="AM2002">
        <f>N(AM2001)+$AL2002</f>
        <v>2</v>
      </c>
      <c r="AN2002">
        <f>""</f>
      </c>
      <c r="AO2002" t="n">
        <v>0</v>
      </c>
      <c r="AP2002">
        <f>N(AP2001)+$AO2002</f>
        <v>13</v>
      </c>
      <c r="AR2002">
        <f>IF(OR($AF2002=1,$AH2002=1),1,0)</f>
        <v>0</v>
      </c>
      <c r="AS2002">
        <f>N(AS2001)+$AR2002</f>
        <v>10</v>
      </c>
    </row>
    <row r="2003" s="127">
      <c r="A2003">
        <f>IF(对接源_02物料!$C803="","",对接源_02物料!$C803)</f>
      </c>
      <c r="B2003">
        <f>IF(A2003="",0,IF(MATCH(A2003,$A$4:$A$2403,0)=ROW()-3,1,0))</f>
        <v>0</v>
      </c>
      <c r="C2003">
        <f>N(C2002)+B2003</f>
        <v>26</v>
      </c>
      <c r="K2003">
        <f>IF(OR($K$1="",对接源_02物料!$C803="",对接源_02物料!$C803&lt;&gt;$K$1,对接源_02物料!$B803=""),0,IF(OR(N(对接源_02物料!$B803)&lt;$K$2,N(对接源_02物料!$B803)&gt;$K$3),0,1))</f>
        <v>0</v>
      </c>
      <c r="L2003">
        <f>IF(OR($L$1="",对接源_02物料!$C803="",对接源_02物料!$C803&lt;&gt;$L$1,对接源_02物料!$B803=""),0,IF(OR(N(对接源_02物料!$B803)&lt;$L$2,N(对接源_02物料!$B803)&gt;$L$3),0,1))</f>
        <v>0</v>
      </c>
      <c r="M2003">
        <f>IF(OR($M$1="",对接源_02物料!$C803="",对接源_02物料!$C803&lt;&gt;$M$1,对接源_02物料!$B803=""),0,IF(OR(N(对接源_02物料!$B803)&lt;$M$2,N(对接源_02物料!$B803)&gt;$M$3),0,1))</f>
        <v>0</v>
      </c>
      <c r="N2003">
        <f>IF(OR($N$1="",对接源_02物料!$C803="",对接源_02物料!$C803&lt;&gt;$N$1,对接源_02物料!$B803=""),0,IF(OR(N(对接源_02物料!$B803)&lt;$N$2,N(对接源_02物料!$B803)&gt;$N$3),0,1))</f>
        <v>0</v>
      </c>
      <c r="P2003">
        <f>IF(AND($K2003=1,AND(对接源_02物料!$X803="公司筐",N(对接源_02物料!$T803)&lt;&gt;0)),1,0)</f>
        <v>0</v>
      </c>
      <c r="Q2003">
        <f>N(Q2002)+$P2003</f>
        <v>14</v>
      </c>
      <c r="R2003">
        <f>IF(AND($K2003=1,AND(对接源_02物料!$X803="公司筐",N(对接源_02物料!$U803)&lt;&gt;0)),1,0)</f>
        <v>0</v>
      </c>
      <c r="S2003">
        <f>N(S2002)+$R2003</f>
        <v>1</v>
      </c>
      <c r="T2003">
        <f>IF(AND($K2003=1,AND(对接源_02物料!$X803="公司筐",N(对接源_02物料!$V803)&lt;&gt;0)),1,0)</f>
        <v>0</v>
      </c>
      <c r="U2003">
        <f>N(U2002)+$T2003</f>
        <v>47</v>
      </c>
      <c r="V2003">
        <f>IF(AND($L2003=1,AND(对接源_02物料!$X803="自备筐",N(对接源_02物料!$V803)&lt;&gt;0)),1,0)</f>
        <v>0</v>
      </c>
      <c r="W2003">
        <f>N(W2002)+$V2003</f>
        <v>11</v>
      </c>
      <c r="X2003">
        <f>IF(AND($L2003=1,AND(对接源_02物料!$X803="自备筐",N(对接源_02物料!$T803)&lt;&gt;0)),1,0)</f>
        <v>0</v>
      </c>
      <c r="Y2003">
        <f>N(Y2002)+$X2003</f>
        <v>0</v>
      </c>
      <c r="Z2003">
        <f>IF(AND($M2003=1,对接源_02物料!$D803="原料入库"),1,0)</f>
        <v>0</v>
      </c>
      <c r="AA2003">
        <f>N(AA2002)+$Z2003</f>
        <v>24</v>
      </c>
      <c r="AB2003">
        <f>IF(AND($M2003=1,LEFT(对接源_02物料!$D803,4)="原料出库"),1,0)</f>
        <v>0</v>
      </c>
      <c r="AC2003">
        <f>N(AC2002)+$AB2003</f>
        <v>0</v>
      </c>
      <c r="AD2003">
        <f>IF(AND($M2003=1,LEFT(对接源_02物料!$D803,4)="成品出库"),1,0)</f>
        <v>0</v>
      </c>
      <c r="AE2003">
        <f>N(AE2002)+$AD2003</f>
        <v>0</v>
      </c>
      <c r="AF2003">
        <f>IF(AND($N2003=1,AND(LEFT(对接源_02物料!$D803,4)="包装物料",N(对接源_02物料!$K803)&lt;&gt;0)),1,0)</f>
        <v>0</v>
      </c>
      <c r="AG2003">
        <f>N(AG2002)+$AF2003</f>
        <v>10</v>
      </c>
      <c r="AH2003">
        <f>IF(AND($N2003=1,AND(对接源_02物料!$D803="周转筐－销售出库",N(对接源_02物料!$K803)&lt;&gt;0)),1,0)</f>
        <v>0</v>
      </c>
      <c r="AI2003">
        <f>N(AI2002)+$AH2003</f>
        <v>0</v>
      </c>
      <c r="AL2003" t="n">
        <v>0</v>
      </c>
      <c r="AM2003">
        <f>N(AM2002)+$AL2003</f>
        <v>2</v>
      </c>
      <c r="AN2003">
        <f>""</f>
      </c>
      <c r="AO2003" t="n">
        <v>0</v>
      </c>
      <c r="AP2003">
        <f>N(AP2002)+$AO2003</f>
        <v>13</v>
      </c>
      <c r="AR2003">
        <f>IF(OR($AF2003=1,$AH2003=1),1,0)</f>
        <v>0</v>
      </c>
      <c r="AS2003">
        <f>N(AS2002)+$AR2003</f>
        <v>10</v>
      </c>
    </row>
    <row r="2004" s="127">
      <c r="A2004">
        <f>IF(对接源_02物料!$C804="","",对接源_02物料!$C804)</f>
      </c>
      <c r="B2004">
        <f>IF(A2004="",0,IF(MATCH(A2004,$A$4:$A$2403,0)=ROW()-3,1,0))</f>
        <v>0</v>
      </c>
      <c r="C2004">
        <f>N(C2003)+B2004</f>
        <v>26</v>
      </c>
      <c r="K2004">
        <f>IF(OR($K$1="",对接源_02物料!$C804="",对接源_02物料!$C804&lt;&gt;$K$1,对接源_02物料!$B804=""),0,IF(OR(N(对接源_02物料!$B804)&lt;$K$2,N(对接源_02物料!$B804)&gt;$K$3),0,1))</f>
        <v>0</v>
      </c>
      <c r="L2004">
        <f>IF(OR($L$1="",对接源_02物料!$C804="",对接源_02物料!$C804&lt;&gt;$L$1,对接源_02物料!$B804=""),0,IF(OR(N(对接源_02物料!$B804)&lt;$L$2,N(对接源_02物料!$B804)&gt;$L$3),0,1))</f>
        <v>0</v>
      </c>
      <c r="M2004">
        <f>IF(OR($M$1="",对接源_02物料!$C804="",对接源_02物料!$C804&lt;&gt;$M$1,对接源_02物料!$B804=""),0,IF(OR(N(对接源_02物料!$B804)&lt;$M$2,N(对接源_02物料!$B804)&gt;$M$3),0,1))</f>
        <v>0</v>
      </c>
      <c r="N2004">
        <f>IF(OR($N$1="",对接源_02物料!$C804="",对接源_02物料!$C804&lt;&gt;$N$1,对接源_02物料!$B804=""),0,IF(OR(N(对接源_02物料!$B804)&lt;$N$2,N(对接源_02物料!$B804)&gt;$N$3),0,1))</f>
        <v>0</v>
      </c>
      <c r="P2004">
        <f>IF(AND($K2004=1,AND(对接源_02物料!$X804="公司筐",N(对接源_02物料!$T804)&lt;&gt;0)),1,0)</f>
        <v>0</v>
      </c>
      <c r="Q2004">
        <f>N(Q2003)+$P2004</f>
        <v>14</v>
      </c>
      <c r="R2004">
        <f>IF(AND($K2004=1,AND(对接源_02物料!$X804="公司筐",N(对接源_02物料!$U804)&lt;&gt;0)),1,0)</f>
        <v>0</v>
      </c>
      <c r="S2004">
        <f>N(S2003)+$R2004</f>
        <v>1</v>
      </c>
      <c r="T2004">
        <f>IF(AND($K2004=1,AND(对接源_02物料!$X804="公司筐",N(对接源_02物料!$V804)&lt;&gt;0)),1,0)</f>
        <v>0</v>
      </c>
      <c r="U2004">
        <f>N(U2003)+$T2004</f>
        <v>47</v>
      </c>
      <c r="V2004">
        <f>IF(AND($L2004=1,AND(对接源_02物料!$X804="自备筐",N(对接源_02物料!$V804)&lt;&gt;0)),1,0)</f>
        <v>0</v>
      </c>
      <c r="W2004">
        <f>N(W2003)+$V2004</f>
        <v>11</v>
      </c>
      <c r="X2004">
        <f>IF(AND($L2004=1,AND(对接源_02物料!$X804="自备筐",N(对接源_02物料!$T804)&lt;&gt;0)),1,0)</f>
        <v>0</v>
      </c>
      <c r="Y2004">
        <f>N(Y2003)+$X2004</f>
        <v>0</v>
      </c>
      <c r="Z2004">
        <f>IF(AND($M2004=1,对接源_02物料!$D804="原料入库"),1,0)</f>
        <v>0</v>
      </c>
      <c r="AA2004">
        <f>N(AA2003)+$Z2004</f>
        <v>24</v>
      </c>
      <c r="AB2004">
        <f>IF(AND($M2004=1,LEFT(对接源_02物料!$D804,4)="原料出库"),1,0)</f>
        <v>0</v>
      </c>
      <c r="AC2004">
        <f>N(AC2003)+$AB2004</f>
        <v>0</v>
      </c>
      <c r="AD2004">
        <f>IF(AND($M2004=1,LEFT(对接源_02物料!$D804,4)="成品出库"),1,0)</f>
        <v>0</v>
      </c>
      <c r="AE2004">
        <f>N(AE2003)+$AD2004</f>
        <v>0</v>
      </c>
      <c r="AF2004">
        <f>IF(AND($N2004=1,AND(LEFT(对接源_02物料!$D804,4)="包装物料",N(对接源_02物料!$K804)&lt;&gt;0)),1,0)</f>
        <v>0</v>
      </c>
      <c r="AG2004">
        <f>N(AG2003)+$AF2004</f>
        <v>10</v>
      </c>
      <c r="AH2004">
        <f>IF(AND($N2004=1,AND(对接源_02物料!$D804="周转筐－销售出库",N(对接源_02物料!$K804)&lt;&gt;0)),1,0)</f>
        <v>0</v>
      </c>
      <c r="AI2004">
        <f>N(AI2003)+$AH2004</f>
        <v>0</v>
      </c>
      <c r="AL2004" t="n">
        <v>0</v>
      </c>
      <c r="AM2004">
        <f>N(AM2003)+$AL2004</f>
        <v>2</v>
      </c>
      <c r="AN2004">
        <f>""</f>
      </c>
      <c r="AO2004" t="n">
        <v>0</v>
      </c>
      <c r="AP2004">
        <f>N(AP2003)+$AO2004</f>
        <v>13</v>
      </c>
      <c r="AR2004">
        <f>IF(OR($AF2004=1,$AH2004=1),1,0)</f>
        <v>0</v>
      </c>
      <c r="AS2004">
        <f>N(AS2003)+$AR2004</f>
        <v>10</v>
      </c>
    </row>
    <row r="2005" s="127">
      <c r="A2005">
        <f>IF(对接源_02物料!$C805="","",对接源_02物料!$C805)</f>
      </c>
      <c r="B2005">
        <f>IF(A2005="",0,IF(MATCH(A2005,$A$4:$A$2403,0)=ROW()-3,1,0))</f>
        <v>0</v>
      </c>
      <c r="C2005">
        <f>N(C2004)+B2005</f>
        <v>26</v>
      </c>
      <c r="K2005">
        <f>IF(OR($K$1="",对接源_02物料!$C805="",对接源_02物料!$C805&lt;&gt;$K$1,对接源_02物料!$B805=""),0,IF(OR(N(对接源_02物料!$B805)&lt;$K$2,N(对接源_02物料!$B805)&gt;$K$3),0,1))</f>
        <v>0</v>
      </c>
      <c r="L2005">
        <f>IF(OR($L$1="",对接源_02物料!$C805="",对接源_02物料!$C805&lt;&gt;$L$1,对接源_02物料!$B805=""),0,IF(OR(N(对接源_02物料!$B805)&lt;$L$2,N(对接源_02物料!$B805)&gt;$L$3),0,1))</f>
        <v>0</v>
      </c>
      <c r="M2005">
        <f>IF(OR($M$1="",对接源_02物料!$C805="",对接源_02物料!$C805&lt;&gt;$M$1,对接源_02物料!$B805=""),0,IF(OR(N(对接源_02物料!$B805)&lt;$M$2,N(对接源_02物料!$B805)&gt;$M$3),0,1))</f>
        <v>0</v>
      </c>
      <c r="N2005">
        <f>IF(OR($N$1="",对接源_02物料!$C805="",对接源_02物料!$C805&lt;&gt;$N$1,对接源_02物料!$B805=""),0,IF(OR(N(对接源_02物料!$B805)&lt;$N$2,N(对接源_02物料!$B805)&gt;$N$3),0,1))</f>
        <v>0</v>
      </c>
      <c r="P2005">
        <f>IF(AND($K2005=1,AND(对接源_02物料!$X805="公司筐",N(对接源_02物料!$T805)&lt;&gt;0)),1,0)</f>
        <v>0</v>
      </c>
      <c r="Q2005">
        <f>N(Q2004)+$P2005</f>
        <v>14</v>
      </c>
      <c r="R2005">
        <f>IF(AND($K2005=1,AND(对接源_02物料!$X805="公司筐",N(对接源_02物料!$U805)&lt;&gt;0)),1,0)</f>
        <v>0</v>
      </c>
      <c r="S2005">
        <f>N(S2004)+$R2005</f>
        <v>1</v>
      </c>
      <c r="T2005">
        <f>IF(AND($K2005=1,AND(对接源_02物料!$X805="公司筐",N(对接源_02物料!$V805)&lt;&gt;0)),1,0)</f>
        <v>0</v>
      </c>
      <c r="U2005">
        <f>N(U2004)+$T2005</f>
        <v>47</v>
      </c>
      <c r="V2005">
        <f>IF(AND($L2005=1,AND(对接源_02物料!$X805="自备筐",N(对接源_02物料!$V805)&lt;&gt;0)),1,0)</f>
        <v>0</v>
      </c>
      <c r="W2005">
        <f>N(W2004)+$V2005</f>
        <v>11</v>
      </c>
      <c r="X2005">
        <f>IF(AND($L2005=1,AND(对接源_02物料!$X805="自备筐",N(对接源_02物料!$T805)&lt;&gt;0)),1,0)</f>
        <v>0</v>
      </c>
      <c r="Y2005">
        <f>N(Y2004)+$X2005</f>
        <v>0</v>
      </c>
      <c r="Z2005">
        <f>IF(AND($M2005=1,对接源_02物料!$D805="原料入库"),1,0)</f>
        <v>0</v>
      </c>
      <c r="AA2005">
        <f>N(AA2004)+$Z2005</f>
        <v>24</v>
      </c>
      <c r="AB2005">
        <f>IF(AND($M2005=1,LEFT(对接源_02物料!$D805,4)="原料出库"),1,0)</f>
        <v>0</v>
      </c>
      <c r="AC2005">
        <f>N(AC2004)+$AB2005</f>
        <v>0</v>
      </c>
      <c r="AD2005">
        <f>IF(AND($M2005=1,LEFT(对接源_02物料!$D805,4)="成品出库"),1,0)</f>
        <v>0</v>
      </c>
      <c r="AE2005">
        <f>N(AE2004)+$AD2005</f>
        <v>0</v>
      </c>
      <c r="AF2005">
        <f>IF(AND($N2005=1,AND(LEFT(对接源_02物料!$D805,4)="包装物料",N(对接源_02物料!$K805)&lt;&gt;0)),1,0)</f>
        <v>0</v>
      </c>
      <c r="AG2005">
        <f>N(AG2004)+$AF2005</f>
        <v>10</v>
      </c>
      <c r="AH2005">
        <f>IF(AND($N2005=1,AND(对接源_02物料!$D805="周转筐－销售出库",N(对接源_02物料!$K805)&lt;&gt;0)),1,0)</f>
        <v>0</v>
      </c>
      <c r="AI2005">
        <f>N(AI2004)+$AH2005</f>
        <v>0</v>
      </c>
      <c r="AL2005" t="n">
        <v>0</v>
      </c>
      <c r="AM2005">
        <f>N(AM2004)+$AL2005</f>
        <v>2</v>
      </c>
      <c r="AN2005">
        <f>""</f>
      </c>
      <c r="AO2005" t="n">
        <v>0</v>
      </c>
      <c r="AP2005">
        <f>N(AP2004)+$AO2005</f>
        <v>13</v>
      </c>
      <c r="AR2005">
        <f>IF(OR($AF2005=1,$AH2005=1),1,0)</f>
        <v>0</v>
      </c>
      <c r="AS2005">
        <f>N(AS2004)+$AR2005</f>
        <v>10</v>
      </c>
    </row>
    <row r="2006" s="127">
      <c r="A2006">
        <f>IF(对接源_02物料!$C806="","",对接源_02物料!$C806)</f>
      </c>
      <c r="B2006">
        <f>IF(A2006="",0,IF(MATCH(A2006,$A$4:$A$2403,0)=ROW()-3,1,0))</f>
        <v>0</v>
      </c>
      <c r="C2006">
        <f>N(C2005)+B2006</f>
        <v>26</v>
      </c>
      <c r="K2006">
        <f>IF(OR($K$1="",对接源_02物料!$C806="",对接源_02物料!$C806&lt;&gt;$K$1,对接源_02物料!$B806=""),0,IF(OR(N(对接源_02物料!$B806)&lt;$K$2,N(对接源_02物料!$B806)&gt;$K$3),0,1))</f>
        <v>0</v>
      </c>
      <c r="L2006">
        <f>IF(OR($L$1="",对接源_02物料!$C806="",对接源_02物料!$C806&lt;&gt;$L$1,对接源_02物料!$B806=""),0,IF(OR(N(对接源_02物料!$B806)&lt;$L$2,N(对接源_02物料!$B806)&gt;$L$3),0,1))</f>
        <v>0</v>
      </c>
      <c r="M2006">
        <f>IF(OR($M$1="",对接源_02物料!$C806="",对接源_02物料!$C806&lt;&gt;$M$1,对接源_02物料!$B806=""),0,IF(OR(N(对接源_02物料!$B806)&lt;$M$2,N(对接源_02物料!$B806)&gt;$M$3),0,1))</f>
        <v>0</v>
      </c>
      <c r="N2006">
        <f>IF(OR($N$1="",对接源_02物料!$C806="",对接源_02物料!$C806&lt;&gt;$N$1,对接源_02物料!$B806=""),0,IF(OR(N(对接源_02物料!$B806)&lt;$N$2,N(对接源_02物料!$B806)&gt;$N$3),0,1))</f>
        <v>0</v>
      </c>
      <c r="P2006">
        <f>IF(AND($K2006=1,AND(对接源_02物料!$X806="公司筐",N(对接源_02物料!$T806)&lt;&gt;0)),1,0)</f>
        <v>0</v>
      </c>
      <c r="Q2006">
        <f>N(Q2005)+$P2006</f>
        <v>14</v>
      </c>
      <c r="R2006">
        <f>IF(AND($K2006=1,AND(对接源_02物料!$X806="公司筐",N(对接源_02物料!$U806)&lt;&gt;0)),1,0)</f>
        <v>0</v>
      </c>
      <c r="S2006">
        <f>N(S2005)+$R2006</f>
        <v>1</v>
      </c>
      <c r="T2006">
        <f>IF(AND($K2006=1,AND(对接源_02物料!$X806="公司筐",N(对接源_02物料!$V806)&lt;&gt;0)),1,0)</f>
        <v>0</v>
      </c>
      <c r="U2006">
        <f>N(U2005)+$T2006</f>
        <v>47</v>
      </c>
      <c r="V2006">
        <f>IF(AND($L2006=1,AND(对接源_02物料!$X806="自备筐",N(对接源_02物料!$V806)&lt;&gt;0)),1,0)</f>
        <v>0</v>
      </c>
      <c r="W2006">
        <f>N(W2005)+$V2006</f>
        <v>11</v>
      </c>
      <c r="X2006">
        <f>IF(AND($L2006=1,AND(对接源_02物料!$X806="自备筐",N(对接源_02物料!$T806)&lt;&gt;0)),1,0)</f>
        <v>0</v>
      </c>
      <c r="Y2006">
        <f>N(Y2005)+$X2006</f>
        <v>0</v>
      </c>
      <c r="Z2006">
        <f>IF(AND($M2006=1,对接源_02物料!$D806="原料入库"),1,0)</f>
        <v>0</v>
      </c>
      <c r="AA2006">
        <f>N(AA2005)+$Z2006</f>
        <v>24</v>
      </c>
      <c r="AB2006">
        <f>IF(AND($M2006=1,LEFT(对接源_02物料!$D806,4)="原料出库"),1,0)</f>
        <v>0</v>
      </c>
      <c r="AC2006">
        <f>N(AC2005)+$AB2006</f>
        <v>0</v>
      </c>
      <c r="AD2006">
        <f>IF(AND($M2006=1,LEFT(对接源_02物料!$D806,4)="成品出库"),1,0)</f>
        <v>0</v>
      </c>
      <c r="AE2006">
        <f>N(AE2005)+$AD2006</f>
        <v>0</v>
      </c>
      <c r="AF2006">
        <f>IF(AND($N2006=1,AND(LEFT(对接源_02物料!$D806,4)="包装物料",N(对接源_02物料!$K806)&lt;&gt;0)),1,0)</f>
        <v>0</v>
      </c>
      <c r="AG2006">
        <f>N(AG2005)+$AF2006</f>
        <v>10</v>
      </c>
      <c r="AH2006">
        <f>IF(AND($N2006=1,AND(对接源_02物料!$D806="周转筐－销售出库",N(对接源_02物料!$K806)&lt;&gt;0)),1,0)</f>
        <v>0</v>
      </c>
      <c r="AI2006">
        <f>N(AI2005)+$AH2006</f>
        <v>0</v>
      </c>
      <c r="AL2006" t="n">
        <v>0</v>
      </c>
      <c r="AM2006">
        <f>N(AM2005)+$AL2006</f>
        <v>2</v>
      </c>
      <c r="AN2006">
        <f>""</f>
      </c>
      <c r="AO2006" t="n">
        <v>0</v>
      </c>
      <c r="AP2006">
        <f>N(AP2005)+$AO2006</f>
        <v>13</v>
      </c>
      <c r="AR2006">
        <f>IF(OR($AF2006=1,$AH2006=1),1,0)</f>
        <v>0</v>
      </c>
      <c r="AS2006">
        <f>N(AS2005)+$AR2006</f>
        <v>10</v>
      </c>
    </row>
    <row r="2007" s="127">
      <c r="A2007">
        <f>IF(对接源_02物料!$C807="","",对接源_02物料!$C807)</f>
      </c>
      <c r="B2007">
        <f>IF(A2007="",0,IF(MATCH(A2007,$A$4:$A$2403,0)=ROW()-3,1,0))</f>
        <v>0</v>
      </c>
      <c r="C2007">
        <f>N(C2006)+B2007</f>
        <v>26</v>
      </c>
      <c r="K2007">
        <f>IF(OR($K$1="",对接源_02物料!$C807="",对接源_02物料!$C807&lt;&gt;$K$1,对接源_02物料!$B807=""),0,IF(OR(N(对接源_02物料!$B807)&lt;$K$2,N(对接源_02物料!$B807)&gt;$K$3),0,1))</f>
        <v>0</v>
      </c>
      <c r="L2007">
        <f>IF(OR($L$1="",对接源_02物料!$C807="",对接源_02物料!$C807&lt;&gt;$L$1,对接源_02物料!$B807=""),0,IF(OR(N(对接源_02物料!$B807)&lt;$L$2,N(对接源_02物料!$B807)&gt;$L$3),0,1))</f>
        <v>0</v>
      </c>
      <c r="M2007">
        <f>IF(OR($M$1="",对接源_02物料!$C807="",对接源_02物料!$C807&lt;&gt;$M$1,对接源_02物料!$B807=""),0,IF(OR(N(对接源_02物料!$B807)&lt;$M$2,N(对接源_02物料!$B807)&gt;$M$3),0,1))</f>
        <v>0</v>
      </c>
      <c r="N2007">
        <f>IF(OR($N$1="",对接源_02物料!$C807="",对接源_02物料!$C807&lt;&gt;$N$1,对接源_02物料!$B807=""),0,IF(OR(N(对接源_02物料!$B807)&lt;$N$2,N(对接源_02物料!$B807)&gt;$N$3),0,1))</f>
        <v>0</v>
      </c>
      <c r="P2007">
        <f>IF(AND($K2007=1,AND(对接源_02物料!$X807="公司筐",N(对接源_02物料!$T807)&lt;&gt;0)),1,0)</f>
        <v>0</v>
      </c>
      <c r="Q2007">
        <f>N(Q2006)+$P2007</f>
        <v>14</v>
      </c>
      <c r="R2007">
        <f>IF(AND($K2007=1,AND(对接源_02物料!$X807="公司筐",N(对接源_02物料!$U807)&lt;&gt;0)),1,0)</f>
        <v>0</v>
      </c>
      <c r="S2007">
        <f>N(S2006)+$R2007</f>
        <v>1</v>
      </c>
      <c r="T2007">
        <f>IF(AND($K2007=1,AND(对接源_02物料!$X807="公司筐",N(对接源_02物料!$V807)&lt;&gt;0)),1,0)</f>
        <v>0</v>
      </c>
      <c r="U2007">
        <f>N(U2006)+$T2007</f>
        <v>47</v>
      </c>
      <c r="V2007">
        <f>IF(AND($L2007=1,AND(对接源_02物料!$X807="自备筐",N(对接源_02物料!$V807)&lt;&gt;0)),1,0)</f>
        <v>0</v>
      </c>
      <c r="W2007">
        <f>N(W2006)+$V2007</f>
        <v>11</v>
      </c>
      <c r="X2007">
        <f>IF(AND($L2007=1,AND(对接源_02物料!$X807="自备筐",N(对接源_02物料!$T807)&lt;&gt;0)),1,0)</f>
        <v>0</v>
      </c>
      <c r="Y2007">
        <f>N(Y2006)+$X2007</f>
        <v>0</v>
      </c>
      <c r="Z2007">
        <f>IF(AND($M2007=1,对接源_02物料!$D807="原料入库"),1,0)</f>
        <v>0</v>
      </c>
      <c r="AA2007">
        <f>N(AA2006)+$Z2007</f>
        <v>24</v>
      </c>
      <c r="AB2007">
        <f>IF(AND($M2007=1,LEFT(对接源_02物料!$D807,4)="原料出库"),1,0)</f>
        <v>0</v>
      </c>
      <c r="AC2007">
        <f>N(AC2006)+$AB2007</f>
        <v>0</v>
      </c>
      <c r="AD2007">
        <f>IF(AND($M2007=1,LEFT(对接源_02物料!$D807,4)="成品出库"),1,0)</f>
        <v>0</v>
      </c>
      <c r="AE2007">
        <f>N(AE2006)+$AD2007</f>
        <v>0</v>
      </c>
      <c r="AF2007">
        <f>IF(AND($N2007=1,AND(LEFT(对接源_02物料!$D807,4)="包装物料",N(对接源_02物料!$K807)&lt;&gt;0)),1,0)</f>
        <v>0</v>
      </c>
      <c r="AG2007">
        <f>N(AG2006)+$AF2007</f>
        <v>10</v>
      </c>
      <c r="AH2007">
        <f>IF(AND($N2007=1,AND(对接源_02物料!$D807="周转筐－销售出库",N(对接源_02物料!$K807)&lt;&gt;0)),1,0)</f>
        <v>0</v>
      </c>
      <c r="AI2007">
        <f>N(AI2006)+$AH2007</f>
        <v>0</v>
      </c>
      <c r="AL2007" t="n">
        <v>0</v>
      </c>
      <c r="AM2007">
        <f>N(AM2006)+$AL2007</f>
        <v>2</v>
      </c>
      <c r="AN2007">
        <f>""</f>
      </c>
      <c r="AO2007" t="n">
        <v>0</v>
      </c>
      <c r="AP2007">
        <f>N(AP2006)+$AO2007</f>
        <v>13</v>
      </c>
      <c r="AR2007">
        <f>IF(OR($AF2007=1,$AH2007=1),1,0)</f>
        <v>0</v>
      </c>
      <c r="AS2007">
        <f>N(AS2006)+$AR2007</f>
        <v>10</v>
      </c>
    </row>
    <row r="2008" s="127">
      <c r="A2008">
        <f>IF(对接源_02物料!$C808="","",对接源_02物料!$C808)</f>
      </c>
      <c r="B2008">
        <f>IF(A2008="",0,IF(MATCH(A2008,$A$4:$A$2403,0)=ROW()-3,1,0))</f>
        <v>0</v>
      </c>
      <c r="C2008">
        <f>N(C2007)+B2008</f>
        <v>26</v>
      </c>
      <c r="K2008">
        <f>IF(OR($K$1="",对接源_02物料!$C808="",对接源_02物料!$C808&lt;&gt;$K$1,对接源_02物料!$B808=""),0,IF(OR(N(对接源_02物料!$B808)&lt;$K$2,N(对接源_02物料!$B808)&gt;$K$3),0,1))</f>
        <v>0</v>
      </c>
      <c r="L2008">
        <f>IF(OR($L$1="",对接源_02物料!$C808="",对接源_02物料!$C808&lt;&gt;$L$1,对接源_02物料!$B808=""),0,IF(OR(N(对接源_02物料!$B808)&lt;$L$2,N(对接源_02物料!$B808)&gt;$L$3),0,1))</f>
        <v>0</v>
      </c>
      <c r="M2008">
        <f>IF(OR($M$1="",对接源_02物料!$C808="",对接源_02物料!$C808&lt;&gt;$M$1,对接源_02物料!$B808=""),0,IF(OR(N(对接源_02物料!$B808)&lt;$M$2,N(对接源_02物料!$B808)&gt;$M$3),0,1))</f>
        <v>0</v>
      </c>
      <c r="N2008">
        <f>IF(OR($N$1="",对接源_02物料!$C808="",对接源_02物料!$C808&lt;&gt;$N$1,对接源_02物料!$B808=""),0,IF(OR(N(对接源_02物料!$B808)&lt;$N$2,N(对接源_02物料!$B808)&gt;$N$3),0,1))</f>
        <v>0</v>
      </c>
      <c r="P2008">
        <f>IF(AND($K2008=1,AND(对接源_02物料!$X808="公司筐",N(对接源_02物料!$T808)&lt;&gt;0)),1,0)</f>
        <v>0</v>
      </c>
      <c r="Q2008">
        <f>N(Q2007)+$P2008</f>
        <v>14</v>
      </c>
      <c r="R2008">
        <f>IF(AND($K2008=1,AND(对接源_02物料!$X808="公司筐",N(对接源_02物料!$U808)&lt;&gt;0)),1,0)</f>
        <v>0</v>
      </c>
      <c r="S2008">
        <f>N(S2007)+$R2008</f>
        <v>1</v>
      </c>
      <c r="T2008">
        <f>IF(AND($K2008=1,AND(对接源_02物料!$X808="公司筐",N(对接源_02物料!$V808)&lt;&gt;0)),1,0)</f>
        <v>0</v>
      </c>
      <c r="U2008">
        <f>N(U2007)+$T2008</f>
        <v>47</v>
      </c>
      <c r="V2008">
        <f>IF(AND($L2008=1,AND(对接源_02物料!$X808="自备筐",N(对接源_02物料!$V808)&lt;&gt;0)),1,0)</f>
        <v>0</v>
      </c>
      <c r="W2008">
        <f>N(W2007)+$V2008</f>
        <v>11</v>
      </c>
      <c r="X2008">
        <f>IF(AND($L2008=1,AND(对接源_02物料!$X808="自备筐",N(对接源_02物料!$T808)&lt;&gt;0)),1,0)</f>
        <v>0</v>
      </c>
      <c r="Y2008">
        <f>N(Y2007)+$X2008</f>
        <v>0</v>
      </c>
      <c r="Z2008">
        <f>IF(AND($M2008=1,对接源_02物料!$D808="原料入库"),1,0)</f>
        <v>0</v>
      </c>
      <c r="AA2008">
        <f>N(AA2007)+$Z2008</f>
        <v>24</v>
      </c>
      <c r="AB2008">
        <f>IF(AND($M2008=1,LEFT(对接源_02物料!$D808,4)="原料出库"),1,0)</f>
        <v>0</v>
      </c>
      <c r="AC2008">
        <f>N(AC2007)+$AB2008</f>
        <v>0</v>
      </c>
      <c r="AD2008">
        <f>IF(AND($M2008=1,LEFT(对接源_02物料!$D808,4)="成品出库"),1,0)</f>
        <v>0</v>
      </c>
      <c r="AE2008">
        <f>N(AE2007)+$AD2008</f>
        <v>0</v>
      </c>
      <c r="AF2008">
        <f>IF(AND($N2008=1,AND(LEFT(对接源_02物料!$D808,4)="包装物料",N(对接源_02物料!$K808)&lt;&gt;0)),1,0)</f>
        <v>0</v>
      </c>
      <c r="AG2008">
        <f>N(AG2007)+$AF2008</f>
        <v>10</v>
      </c>
      <c r="AH2008">
        <f>IF(AND($N2008=1,AND(对接源_02物料!$D808="周转筐－销售出库",N(对接源_02物料!$K808)&lt;&gt;0)),1,0)</f>
        <v>0</v>
      </c>
      <c r="AI2008">
        <f>N(AI2007)+$AH2008</f>
        <v>0</v>
      </c>
      <c r="AL2008" t="n">
        <v>0</v>
      </c>
      <c r="AM2008">
        <f>N(AM2007)+$AL2008</f>
        <v>2</v>
      </c>
      <c r="AN2008">
        <f>""</f>
      </c>
      <c r="AO2008" t="n">
        <v>0</v>
      </c>
      <c r="AP2008">
        <f>N(AP2007)+$AO2008</f>
        <v>13</v>
      </c>
      <c r="AR2008">
        <f>IF(OR($AF2008=1,$AH2008=1),1,0)</f>
        <v>0</v>
      </c>
      <c r="AS2008">
        <f>N(AS2007)+$AR2008</f>
        <v>10</v>
      </c>
    </row>
    <row r="2009" s="127">
      <c r="A2009">
        <f>IF(对接源_02物料!$C809="","",对接源_02物料!$C809)</f>
      </c>
      <c r="B2009">
        <f>IF(A2009="",0,IF(MATCH(A2009,$A$4:$A$2403,0)=ROW()-3,1,0))</f>
        <v>0</v>
      </c>
      <c r="C2009">
        <f>N(C2008)+B2009</f>
        <v>26</v>
      </c>
      <c r="K2009">
        <f>IF(OR($K$1="",对接源_02物料!$C809="",对接源_02物料!$C809&lt;&gt;$K$1,对接源_02物料!$B809=""),0,IF(OR(N(对接源_02物料!$B809)&lt;$K$2,N(对接源_02物料!$B809)&gt;$K$3),0,1))</f>
        <v>0</v>
      </c>
      <c r="L2009">
        <f>IF(OR($L$1="",对接源_02物料!$C809="",对接源_02物料!$C809&lt;&gt;$L$1,对接源_02物料!$B809=""),0,IF(OR(N(对接源_02物料!$B809)&lt;$L$2,N(对接源_02物料!$B809)&gt;$L$3),0,1))</f>
        <v>0</v>
      </c>
      <c r="M2009">
        <f>IF(OR($M$1="",对接源_02物料!$C809="",对接源_02物料!$C809&lt;&gt;$M$1,对接源_02物料!$B809=""),0,IF(OR(N(对接源_02物料!$B809)&lt;$M$2,N(对接源_02物料!$B809)&gt;$M$3),0,1))</f>
        <v>0</v>
      </c>
      <c r="N2009">
        <f>IF(OR($N$1="",对接源_02物料!$C809="",对接源_02物料!$C809&lt;&gt;$N$1,对接源_02物料!$B809=""),0,IF(OR(N(对接源_02物料!$B809)&lt;$N$2,N(对接源_02物料!$B809)&gt;$N$3),0,1))</f>
        <v>0</v>
      </c>
      <c r="P2009">
        <f>IF(AND($K2009=1,AND(对接源_02物料!$X809="公司筐",N(对接源_02物料!$T809)&lt;&gt;0)),1,0)</f>
        <v>0</v>
      </c>
      <c r="Q2009">
        <f>N(Q2008)+$P2009</f>
        <v>14</v>
      </c>
      <c r="R2009">
        <f>IF(AND($K2009=1,AND(对接源_02物料!$X809="公司筐",N(对接源_02物料!$U809)&lt;&gt;0)),1,0)</f>
        <v>0</v>
      </c>
      <c r="S2009">
        <f>N(S2008)+$R2009</f>
        <v>1</v>
      </c>
      <c r="T2009">
        <f>IF(AND($K2009=1,AND(对接源_02物料!$X809="公司筐",N(对接源_02物料!$V809)&lt;&gt;0)),1,0)</f>
        <v>0</v>
      </c>
      <c r="U2009">
        <f>N(U2008)+$T2009</f>
        <v>47</v>
      </c>
      <c r="V2009">
        <f>IF(AND($L2009=1,AND(对接源_02物料!$X809="自备筐",N(对接源_02物料!$V809)&lt;&gt;0)),1,0)</f>
        <v>0</v>
      </c>
      <c r="W2009">
        <f>N(W2008)+$V2009</f>
        <v>11</v>
      </c>
      <c r="X2009">
        <f>IF(AND($L2009=1,AND(对接源_02物料!$X809="自备筐",N(对接源_02物料!$T809)&lt;&gt;0)),1,0)</f>
        <v>0</v>
      </c>
      <c r="Y2009">
        <f>N(Y2008)+$X2009</f>
        <v>0</v>
      </c>
      <c r="Z2009">
        <f>IF(AND($M2009=1,对接源_02物料!$D809="原料入库"),1,0)</f>
        <v>0</v>
      </c>
      <c r="AA2009">
        <f>N(AA2008)+$Z2009</f>
        <v>24</v>
      </c>
      <c r="AB2009">
        <f>IF(AND($M2009=1,LEFT(对接源_02物料!$D809,4)="原料出库"),1,0)</f>
        <v>0</v>
      </c>
      <c r="AC2009">
        <f>N(AC2008)+$AB2009</f>
        <v>0</v>
      </c>
      <c r="AD2009">
        <f>IF(AND($M2009=1,LEFT(对接源_02物料!$D809,4)="成品出库"),1,0)</f>
        <v>0</v>
      </c>
      <c r="AE2009">
        <f>N(AE2008)+$AD2009</f>
        <v>0</v>
      </c>
      <c r="AF2009">
        <f>IF(AND($N2009=1,AND(LEFT(对接源_02物料!$D809,4)="包装物料",N(对接源_02物料!$K809)&lt;&gt;0)),1,0)</f>
        <v>0</v>
      </c>
      <c r="AG2009">
        <f>N(AG2008)+$AF2009</f>
        <v>10</v>
      </c>
      <c r="AH2009">
        <f>IF(AND($N2009=1,AND(对接源_02物料!$D809="周转筐－销售出库",N(对接源_02物料!$K809)&lt;&gt;0)),1,0)</f>
        <v>0</v>
      </c>
      <c r="AI2009">
        <f>N(AI2008)+$AH2009</f>
        <v>0</v>
      </c>
      <c r="AL2009" t="n">
        <v>0</v>
      </c>
      <c r="AM2009">
        <f>N(AM2008)+$AL2009</f>
        <v>2</v>
      </c>
      <c r="AN2009">
        <f>""</f>
      </c>
      <c r="AO2009" t="n">
        <v>0</v>
      </c>
      <c r="AP2009">
        <f>N(AP2008)+$AO2009</f>
        <v>13</v>
      </c>
      <c r="AR2009">
        <f>IF(OR($AF2009=1,$AH2009=1),1,0)</f>
        <v>0</v>
      </c>
      <c r="AS2009">
        <f>N(AS2008)+$AR2009</f>
        <v>10</v>
      </c>
    </row>
    <row r="2010" s="127">
      <c r="A2010">
        <f>IF(对接源_02物料!$C810="","",对接源_02物料!$C810)</f>
      </c>
      <c r="B2010">
        <f>IF(A2010="",0,IF(MATCH(A2010,$A$4:$A$2403,0)=ROW()-3,1,0))</f>
        <v>0</v>
      </c>
      <c r="C2010">
        <f>N(C2009)+B2010</f>
        <v>26</v>
      </c>
      <c r="K2010">
        <f>IF(OR($K$1="",对接源_02物料!$C810="",对接源_02物料!$C810&lt;&gt;$K$1,对接源_02物料!$B810=""),0,IF(OR(N(对接源_02物料!$B810)&lt;$K$2,N(对接源_02物料!$B810)&gt;$K$3),0,1))</f>
        <v>0</v>
      </c>
      <c r="L2010">
        <f>IF(OR($L$1="",对接源_02物料!$C810="",对接源_02物料!$C810&lt;&gt;$L$1,对接源_02物料!$B810=""),0,IF(OR(N(对接源_02物料!$B810)&lt;$L$2,N(对接源_02物料!$B810)&gt;$L$3),0,1))</f>
        <v>0</v>
      </c>
      <c r="M2010">
        <f>IF(OR($M$1="",对接源_02物料!$C810="",对接源_02物料!$C810&lt;&gt;$M$1,对接源_02物料!$B810=""),0,IF(OR(N(对接源_02物料!$B810)&lt;$M$2,N(对接源_02物料!$B810)&gt;$M$3),0,1))</f>
        <v>0</v>
      </c>
      <c r="N2010">
        <f>IF(OR($N$1="",对接源_02物料!$C810="",对接源_02物料!$C810&lt;&gt;$N$1,对接源_02物料!$B810=""),0,IF(OR(N(对接源_02物料!$B810)&lt;$N$2,N(对接源_02物料!$B810)&gt;$N$3),0,1))</f>
        <v>0</v>
      </c>
      <c r="P2010">
        <f>IF(AND($K2010=1,AND(对接源_02物料!$X810="公司筐",N(对接源_02物料!$T810)&lt;&gt;0)),1,0)</f>
        <v>0</v>
      </c>
      <c r="Q2010">
        <f>N(Q2009)+$P2010</f>
        <v>14</v>
      </c>
      <c r="R2010">
        <f>IF(AND($K2010=1,AND(对接源_02物料!$X810="公司筐",N(对接源_02物料!$U810)&lt;&gt;0)),1,0)</f>
        <v>0</v>
      </c>
      <c r="S2010">
        <f>N(S2009)+$R2010</f>
        <v>1</v>
      </c>
      <c r="T2010">
        <f>IF(AND($K2010=1,AND(对接源_02物料!$X810="公司筐",N(对接源_02物料!$V810)&lt;&gt;0)),1,0)</f>
        <v>0</v>
      </c>
      <c r="U2010">
        <f>N(U2009)+$T2010</f>
        <v>47</v>
      </c>
      <c r="V2010">
        <f>IF(AND($L2010=1,AND(对接源_02物料!$X810="自备筐",N(对接源_02物料!$V810)&lt;&gt;0)),1,0)</f>
        <v>0</v>
      </c>
      <c r="W2010">
        <f>N(W2009)+$V2010</f>
        <v>11</v>
      </c>
      <c r="X2010">
        <f>IF(AND($L2010=1,AND(对接源_02物料!$X810="自备筐",N(对接源_02物料!$T810)&lt;&gt;0)),1,0)</f>
        <v>0</v>
      </c>
      <c r="Y2010">
        <f>N(Y2009)+$X2010</f>
        <v>0</v>
      </c>
      <c r="Z2010">
        <f>IF(AND($M2010=1,对接源_02物料!$D810="原料入库"),1,0)</f>
        <v>0</v>
      </c>
      <c r="AA2010">
        <f>N(AA2009)+$Z2010</f>
        <v>24</v>
      </c>
      <c r="AB2010">
        <f>IF(AND($M2010=1,LEFT(对接源_02物料!$D810,4)="原料出库"),1,0)</f>
        <v>0</v>
      </c>
      <c r="AC2010">
        <f>N(AC2009)+$AB2010</f>
        <v>0</v>
      </c>
      <c r="AD2010">
        <f>IF(AND($M2010=1,LEFT(对接源_02物料!$D810,4)="成品出库"),1,0)</f>
        <v>0</v>
      </c>
      <c r="AE2010">
        <f>N(AE2009)+$AD2010</f>
        <v>0</v>
      </c>
      <c r="AF2010">
        <f>IF(AND($N2010=1,AND(LEFT(对接源_02物料!$D810,4)="包装物料",N(对接源_02物料!$K810)&lt;&gt;0)),1,0)</f>
        <v>0</v>
      </c>
      <c r="AG2010">
        <f>N(AG2009)+$AF2010</f>
        <v>10</v>
      </c>
      <c r="AH2010">
        <f>IF(AND($N2010=1,AND(对接源_02物料!$D810="周转筐－销售出库",N(对接源_02物料!$K810)&lt;&gt;0)),1,0)</f>
        <v>0</v>
      </c>
      <c r="AI2010">
        <f>N(AI2009)+$AH2010</f>
        <v>0</v>
      </c>
      <c r="AL2010" t="n">
        <v>0</v>
      </c>
      <c r="AM2010">
        <f>N(AM2009)+$AL2010</f>
        <v>2</v>
      </c>
      <c r="AN2010">
        <f>""</f>
      </c>
      <c r="AO2010" t="n">
        <v>0</v>
      </c>
      <c r="AP2010">
        <f>N(AP2009)+$AO2010</f>
        <v>13</v>
      </c>
      <c r="AR2010">
        <f>IF(OR($AF2010=1,$AH2010=1),1,0)</f>
        <v>0</v>
      </c>
      <c r="AS2010">
        <f>N(AS2009)+$AR2010</f>
        <v>10</v>
      </c>
    </row>
    <row r="2011" s="127">
      <c r="A2011">
        <f>IF(对接源_02物料!$C811="","",对接源_02物料!$C811)</f>
      </c>
      <c r="B2011">
        <f>IF(A2011="",0,IF(MATCH(A2011,$A$4:$A$2403,0)=ROW()-3,1,0))</f>
        <v>0</v>
      </c>
      <c r="C2011">
        <f>N(C2010)+B2011</f>
        <v>26</v>
      </c>
      <c r="K2011">
        <f>IF(OR($K$1="",对接源_02物料!$C811="",对接源_02物料!$C811&lt;&gt;$K$1,对接源_02物料!$B811=""),0,IF(OR(N(对接源_02物料!$B811)&lt;$K$2,N(对接源_02物料!$B811)&gt;$K$3),0,1))</f>
        <v>0</v>
      </c>
      <c r="L2011">
        <f>IF(OR($L$1="",对接源_02物料!$C811="",对接源_02物料!$C811&lt;&gt;$L$1,对接源_02物料!$B811=""),0,IF(OR(N(对接源_02物料!$B811)&lt;$L$2,N(对接源_02物料!$B811)&gt;$L$3),0,1))</f>
        <v>0</v>
      </c>
      <c r="M2011">
        <f>IF(OR($M$1="",对接源_02物料!$C811="",对接源_02物料!$C811&lt;&gt;$M$1,对接源_02物料!$B811=""),0,IF(OR(N(对接源_02物料!$B811)&lt;$M$2,N(对接源_02物料!$B811)&gt;$M$3),0,1))</f>
        <v>0</v>
      </c>
      <c r="N2011">
        <f>IF(OR($N$1="",对接源_02物料!$C811="",对接源_02物料!$C811&lt;&gt;$N$1,对接源_02物料!$B811=""),0,IF(OR(N(对接源_02物料!$B811)&lt;$N$2,N(对接源_02物料!$B811)&gt;$N$3),0,1))</f>
        <v>0</v>
      </c>
      <c r="P2011">
        <f>IF(AND($K2011=1,AND(对接源_02物料!$X811="公司筐",N(对接源_02物料!$T811)&lt;&gt;0)),1,0)</f>
        <v>0</v>
      </c>
      <c r="Q2011">
        <f>N(Q2010)+$P2011</f>
        <v>14</v>
      </c>
      <c r="R2011">
        <f>IF(AND($K2011=1,AND(对接源_02物料!$X811="公司筐",N(对接源_02物料!$U811)&lt;&gt;0)),1,0)</f>
        <v>0</v>
      </c>
      <c r="S2011">
        <f>N(S2010)+$R2011</f>
        <v>1</v>
      </c>
      <c r="T2011">
        <f>IF(AND($K2011=1,AND(对接源_02物料!$X811="公司筐",N(对接源_02物料!$V811)&lt;&gt;0)),1,0)</f>
        <v>0</v>
      </c>
      <c r="U2011">
        <f>N(U2010)+$T2011</f>
        <v>47</v>
      </c>
      <c r="V2011">
        <f>IF(AND($L2011=1,AND(对接源_02物料!$X811="自备筐",N(对接源_02物料!$V811)&lt;&gt;0)),1,0)</f>
        <v>0</v>
      </c>
      <c r="W2011">
        <f>N(W2010)+$V2011</f>
        <v>11</v>
      </c>
      <c r="X2011">
        <f>IF(AND($L2011=1,AND(对接源_02物料!$X811="自备筐",N(对接源_02物料!$T811)&lt;&gt;0)),1,0)</f>
        <v>0</v>
      </c>
      <c r="Y2011">
        <f>N(Y2010)+$X2011</f>
        <v>0</v>
      </c>
      <c r="Z2011">
        <f>IF(AND($M2011=1,对接源_02物料!$D811="原料入库"),1,0)</f>
        <v>0</v>
      </c>
      <c r="AA2011">
        <f>N(AA2010)+$Z2011</f>
        <v>24</v>
      </c>
      <c r="AB2011">
        <f>IF(AND($M2011=1,LEFT(对接源_02物料!$D811,4)="原料出库"),1,0)</f>
        <v>0</v>
      </c>
      <c r="AC2011">
        <f>N(AC2010)+$AB2011</f>
        <v>0</v>
      </c>
      <c r="AD2011">
        <f>IF(AND($M2011=1,LEFT(对接源_02物料!$D811,4)="成品出库"),1,0)</f>
        <v>0</v>
      </c>
      <c r="AE2011">
        <f>N(AE2010)+$AD2011</f>
        <v>0</v>
      </c>
      <c r="AF2011">
        <f>IF(AND($N2011=1,AND(LEFT(对接源_02物料!$D811,4)="包装物料",N(对接源_02物料!$K811)&lt;&gt;0)),1,0)</f>
        <v>0</v>
      </c>
      <c r="AG2011">
        <f>N(AG2010)+$AF2011</f>
        <v>10</v>
      </c>
      <c r="AH2011">
        <f>IF(AND($N2011=1,AND(对接源_02物料!$D811="周转筐－销售出库",N(对接源_02物料!$K811)&lt;&gt;0)),1,0)</f>
        <v>0</v>
      </c>
      <c r="AI2011">
        <f>N(AI2010)+$AH2011</f>
        <v>0</v>
      </c>
      <c r="AL2011" t="n">
        <v>0</v>
      </c>
      <c r="AM2011">
        <f>N(AM2010)+$AL2011</f>
        <v>2</v>
      </c>
      <c r="AN2011">
        <f>""</f>
      </c>
      <c r="AO2011" t="n">
        <v>0</v>
      </c>
      <c r="AP2011">
        <f>N(AP2010)+$AO2011</f>
        <v>13</v>
      </c>
      <c r="AR2011">
        <f>IF(OR($AF2011=1,$AH2011=1),1,0)</f>
        <v>0</v>
      </c>
      <c r="AS2011">
        <f>N(AS2010)+$AR2011</f>
        <v>10</v>
      </c>
    </row>
    <row r="2012" s="127">
      <c r="A2012">
        <f>IF(对接源_02物料!$C812="","",对接源_02物料!$C812)</f>
      </c>
      <c r="B2012">
        <f>IF(A2012="",0,IF(MATCH(A2012,$A$4:$A$2403,0)=ROW()-3,1,0))</f>
        <v>0</v>
      </c>
      <c r="C2012">
        <f>N(C2011)+B2012</f>
        <v>26</v>
      </c>
      <c r="K2012">
        <f>IF(OR($K$1="",对接源_02物料!$C812="",对接源_02物料!$C812&lt;&gt;$K$1,对接源_02物料!$B812=""),0,IF(OR(N(对接源_02物料!$B812)&lt;$K$2,N(对接源_02物料!$B812)&gt;$K$3),0,1))</f>
        <v>0</v>
      </c>
      <c r="L2012">
        <f>IF(OR($L$1="",对接源_02物料!$C812="",对接源_02物料!$C812&lt;&gt;$L$1,对接源_02物料!$B812=""),0,IF(OR(N(对接源_02物料!$B812)&lt;$L$2,N(对接源_02物料!$B812)&gt;$L$3),0,1))</f>
        <v>0</v>
      </c>
      <c r="M2012">
        <f>IF(OR($M$1="",对接源_02物料!$C812="",对接源_02物料!$C812&lt;&gt;$M$1,对接源_02物料!$B812=""),0,IF(OR(N(对接源_02物料!$B812)&lt;$M$2,N(对接源_02物料!$B812)&gt;$M$3),0,1))</f>
        <v>0</v>
      </c>
      <c r="N2012">
        <f>IF(OR($N$1="",对接源_02物料!$C812="",对接源_02物料!$C812&lt;&gt;$N$1,对接源_02物料!$B812=""),0,IF(OR(N(对接源_02物料!$B812)&lt;$N$2,N(对接源_02物料!$B812)&gt;$N$3),0,1))</f>
        <v>0</v>
      </c>
      <c r="P2012">
        <f>IF(AND($K2012=1,AND(对接源_02物料!$X812="公司筐",N(对接源_02物料!$T812)&lt;&gt;0)),1,0)</f>
        <v>0</v>
      </c>
      <c r="Q2012">
        <f>N(Q2011)+$P2012</f>
        <v>14</v>
      </c>
      <c r="R2012">
        <f>IF(AND($K2012=1,AND(对接源_02物料!$X812="公司筐",N(对接源_02物料!$U812)&lt;&gt;0)),1,0)</f>
        <v>0</v>
      </c>
      <c r="S2012">
        <f>N(S2011)+$R2012</f>
        <v>1</v>
      </c>
      <c r="T2012">
        <f>IF(AND($K2012=1,AND(对接源_02物料!$X812="公司筐",N(对接源_02物料!$V812)&lt;&gt;0)),1,0)</f>
        <v>0</v>
      </c>
      <c r="U2012">
        <f>N(U2011)+$T2012</f>
        <v>47</v>
      </c>
      <c r="V2012">
        <f>IF(AND($L2012=1,AND(对接源_02物料!$X812="自备筐",N(对接源_02物料!$V812)&lt;&gt;0)),1,0)</f>
        <v>0</v>
      </c>
      <c r="W2012">
        <f>N(W2011)+$V2012</f>
        <v>11</v>
      </c>
      <c r="X2012">
        <f>IF(AND($L2012=1,AND(对接源_02物料!$X812="自备筐",N(对接源_02物料!$T812)&lt;&gt;0)),1,0)</f>
        <v>0</v>
      </c>
      <c r="Y2012">
        <f>N(Y2011)+$X2012</f>
        <v>0</v>
      </c>
      <c r="Z2012">
        <f>IF(AND($M2012=1,对接源_02物料!$D812="原料入库"),1,0)</f>
        <v>0</v>
      </c>
      <c r="AA2012">
        <f>N(AA2011)+$Z2012</f>
        <v>24</v>
      </c>
      <c r="AB2012">
        <f>IF(AND($M2012=1,LEFT(对接源_02物料!$D812,4)="原料出库"),1,0)</f>
        <v>0</v>
      </c>
      <c r="AC2012">
        <f>N(AC2011)+$AB2012</f>
        <v>0</v>
      </c>
      <c r="AD2012">
        <f>IF(AND($M2012=1,LEFT(对接源_02物料!$D812,4)="成品出库"),1,0)</f>
        <v>0</v>
      </c>
      <c r="AE2012">
        <f>N(AE2011)+$AD2012</f>
        <v>0</v>
      </c>
      <c r="AF2012">
        <f>IF(AND($N2012=1,AND(LEFT(对接源_02物料!$D812,4)="包装物料",N(对接源_02物料!$K812)&lt;&gt;0)),1,0)</f>
        <v>0</v>
      </c>
      <c r="AG2012">
        <f>N(AG2011)+$AF2012</f>
        <v>10</v>
      </c>
      <c r="AH2012">
        <f>IF(AND($N2012=1,AND(对接源_02物料!$D812="周转筐－销售出库",N(对接源_02物料!$K812)&lt;&gt;0)),1,0)</f>
        <v>0</v>
      </c>
      <c r="AI2012">
        <f>N(AI2011)+$AH2012</f>
        <v>0</v>
      </c>
      <c r="AL2012" t="n">
        <v>0</v>
      </c>
      <c r="AM2012">
        <f>N(AM2011)+$AL2012</f>
        <v>2</v>
      </c>
      <c r="AN2012">
        <f>""</f>
      </c>
      <c r="AO2012" t="n">
        <v>0</v>
      </c>
      <c r="AP2012">
        <f>N(AP2011)+$AO2012</f>
        <v>13</v>
      </c>
      <c r="AR2012">
        <f>IF(OR($AF2012=1,$AH2012=1),1,0)</f>
        <v>0</v>
      </c>
      <c r="AS2012">
        <f>N(AS2011)+$AR2012</f>
        <v>10</v>
      </c>
    </row>
    <row r="2013" s="127">
      <c r="A2013">
        <f>IF(对接源_02物料!$C813="","",对接源_02物料!$C813)</f>
      </c>
      <c r="B2013">
        <f>IF(A2013="",0,IF(MATCH(A2013,$A$4:$A$2403,0)=ROW()-3,1,0))</f>
        <v>0</v>
      </c>
      <c r="C2013">
        <f>N(C2012)+B2013</f>
        <v>26</v>
      </c>
      <c r="K2013">
        <f>IF(OR($K$1="",对接源_02物料!$C813="",对接源_02物料!$C813&lt;&gt;$K$1,对接源_02物料!$B813=""),0,IF(OR(N(对接源_02物料!$B813)&lt;$K$2,N(对接源_02物料!$B813)&gt;$K$3),0,1))</f>
        <v>0</v>
      </c>
      <c r="L2013">
        <f>IF(OR($L$1="",对接源_02物料!$C813="",对接源_02物料!$C813&lt;&gt;$L$1,对接源_02物料!$B813=""),0,IF(OR(N(对接源_02物料!$B813)&lt;$L$2,N(对接源_02物料!$B813)&gt;$L$3),0,1))</f>
        <v>0</v>
      </c>
      <c r="M2013">
        <f>IF(OR($M$1="",对接源_02物料!$C813="",对接源_02物料!$C813&lt;&gt;$M$1,对接源_02物料!$B813=""),0,IF(OR(N(对接源_02物料!$B813)&lt;$M$2,N(对接源_02物料!$B813)&gt;$M$3),0,1))</f>
        <v>0</v>
      </c>
      <c r="N2013">
        <f>IF(OR($N$1="",对接源_02物料!$C813="",对接源_02物料!$C813&lt;&gt;$N$1,对接源_02物料!$B813=""),0,IF(OR(N(对接源_02物料!$B813)&lt;$N$2,N(对接源_02物料!$B813)&gt;$N$3),0,1))</f>
        <v>0</v>
      </c>
      <c r="P2013">
        <f>IF(AND($K2013=1,AND(对接源_02物料!$X813="公司筐",N(对接源_02物料!$T813)&lt;&gt;0)),1,0)</f>
        <v>0</v>
      </c>
      <c r="Q2013">
        <f>N(Q2012)+$P2013</f>
        <v>14</v>
      </c>
      <c r="R2013">
        <f>IF(AND($K2013=1,AND(对接源_02物料!$X813="公司筐",N(对接源_02物料!$U813)&lt;&gt;0)),1,0)</f>
        <v>0</v>
      </c>
      <c r="S2013">
        <f>N(S2012)+$R2013</f>
        <v>1</v>
      </c>
      <c r="T2013">
        <f>IF(AND($K2013=1,AND(对接源_02物料!$X813="公司筐",N(对接源_02物料!$V813)&lt;&gt;0)),1,0)</f>
        <v>0</v>
      </c>
      <c r="U2013">
        <f>N(U2012)+$T2013</f>
        <v>47</v>
      </c>
      <c r="V2013">
        <f>IF(AND($L2013=1,AND(对接源_02物料!$X813="自备筐",N(对接源_02物料!$V813)&lt;&gt;0)),1,0)</f>
        <v>0</v>
      </c>
      <c r="W2013">
        <f>N(W2012)+$V2013</f>
        <v>11</v>
      </c>
      <c r="X2013">
        <f>IF(AND($L2013=1,AND(对接源_02物料!$X813="自备筐",N(对接源_02物料!$T813)&lt;&gt;0)),1,0)</f>
        <v>0</v>
      </c>
      <c r="Y2013">
        <f>N(Y2012)+$X2013</f>
        <v>0</v>
      </c>
      <c r="Z2013">
        <f>IF(AND($M2013=1,对接源_02物料!$D813="原料入库"),1,0)</f>
        <v>0</v>
      </c>
      <c r="AA2013">
        <f>N(AA2012)+$Z2013</f>
        <v>24</v>
      </c>
      <c r="AB2013">
        <f>IF(AND($M2013=1,LEFT(对接源_02物料!$D813,4)="原料出库"),1,0)</f>
        <v>0</v>
      </c>
      <c r="AC2013">
        <f>N(AC2012)+$AB2013</f>
        <v>0</v>
      </c>
      <c r="AD2013">
        <f>IF(AND($M2013=1,LEFT(对接源_02物料!$D813,4)="成品出库"),1,0)</f>
        <v>0</v>
      </c>
      <c r="AE2013">
        <f>N(AE2012)+$AD2013</f>
        <v>0</v>
      </c>
      <c r="AF2013">
        <f>IF(AND($N2013=1,AND(LEFT(对接源_02物料!$D813,4)="包装物料",N(对接源_02物料!$K813)&lt;&gt;0)),1,0)</f>
        <v>0</v>
      </c>
      <c r="AG2013">
        <f>N(AG2012)+$AF2013</f>
        <v>10</v>
      </c>
      <c r="AH2013">
        <f>IF(AND($N2013=1,AND(对接源_02物料!$D813="周转筐－销售出库",N(对接源_02物料!$K813)&lt;&gt;0)),1,0)</f>
        <v>0</v>
      </c>
      <c r="AI2013">
        <f>N(AI2012)+$AH2013</f>
        <v>0</v>
      </c>
      <c r="AL2013" t="n">
        <v>0</v>
      </c>
      <c r="AM2013">
        <f>N(AM2012)+$AL2013</f>
        <v>2</v>
      </c>
      <c r="AN2013">
        <f>""</f>
      </c>
      <c r="AO2013" t="n">
        <v>0</v>
      </c>
      <c r="AP2013">
        <f>N(AP2012)+$AO2013</f>
        <v>13</v>
      </c>
      <c r="AR2013">
        <f>IF(OR($AF2013=1,$AH2013=1),1,0)</f>
        <v>0</v>
      </c>
      <c r="AS2013">
        <f>N(AS2012)+$AR2013</f>
        <v>10</v>
      </c>
    </row>
    <row r="2014" s="127">
      <c r="A2014">
        <f>IF(对接源_02物料!$C814="","",对接源_02物料!$C814)</f>
      </c>
      <c r="B2014">
        <f>IF(A2014="",0,IF(MATCH(A2014,$A$4:$A$2403,0)=ROW()-3,1,0))</f>
        <v>0</v>
      </c>
      <c r="C2014">
        <f>N(C2013)+B2014</f>
        <v>26</v>
      </c>
      <c r="K2014">
        <f>IF(OR($K$1="",对接源_02物料!$C814="",对接源_02物料!$C814&lt;&gt;$K$1,对接源_02物料!$B814=""),0,IF(OR(N(对接源_02物料!$B814)&lt;$K$2,N(对接源_02物料!$B814)&gt;$K$3),0,1))</f>
        <v>0</v>
      </c>
      <c r="L2014">
        <f>IF(OR($L$1="",对接源_02物料!$C814="",对接源_02物料!$C814&lt;&gt;$L$1,对接源_02物料!$B814=""),0,IF(OR(N(对接源_02物料!$B814)&lt;$L$2,N(对接源_02物料!$B814)&gt;$L$3),0,1))</f>
        <v>0</v>
      </c>
      <c r="M2014">
        <f>IF(OR($M$1="",对接源_02物料!$C814="",对接源_02物料!$C814&lt;&gt;$M$1,对接源_02物料!$B814=""),0,IF(OR(N(对接源_02物料!$B814)&lt;$M$2,N(对接源_02物料!$B814)&gt;$M$3),0,1))</f>
        <v>0</v>
      </c>
      <c r="N2014">
        <f>IF(OR($N$1="",对接源_02物料!$C814="",对接源_02物料!$C814&lt;&gt;$N$1,对接源_02物料!$B814=""),0,IF(OR(N(对接源_02物料!$B814)&lt;$N$2,N(对接源_02物料!$B814)&gt;$N$3),0,1))</f>
        <v>0</v>
      </c>
      <c r="P2014">
        <f>IF(AND($K2014=1,AND(对接源_02物料!$X814="公司筐",N(对接源_02物料!$T814)&lt;&gt;0)),1,0)</f>
        <v>0</v>
      </c>
      <c r="Q2014">
        <f>N(Q2013)+$P2014</f>
        <v>14</v>
      </c>
      <c r="R2014">
        <f>IF(AND($K2014=1,AND(对接源_02物料!$X814="公司筐",N(对接源_02物料!$U814)&lt;&gt;0)),1,0)</f>
        <v>0</v>
      </c>
      <c r="S2014">
        <f>N(S2013)+$R2014</f>
        <v>1</v>
      </c>
      <c r="T2014">
        <f>IF(AND($K2014=1,AND(对接源_02物料!$X814="公司筐",N(对接源_02物料!$V814)&lt;&gt;0)),1,0)</f>
        <v>0</v>
      </c>
      <c r="U2014">
        <f>N(U2013)+$T2014</f>
        <v>47</v>
      </c>
      <c r="V2014">
        <f>IF(AND($L2014=1,AND(对接源_02物料!$X814="自备筐",N(对接源_02物料!$V814)&lt;&gt;0)),1,0)</f>
        <v>0</v>
      </c>
      <c r="W2014">
        <f>N(W2013)+$V2014</f>
        <v>11</v>
      </c>
      <c r="X2014">
        <f>IF(AND($L2014=1,AND(对接源_02物料!$X814="自备筐",N(对接源_02物料!$T814)&lt;&gt;0)),1,0)</f>
        <v>0</v>
      </c>
      <c r="Y2014">
        <f>N(Y2013)+$X2014</f>
        <v>0</v>
      </c>
      <c r="Z2014">
        <f>IF(AND($M2014=1,对接源_02物料!$D814="原料入库"),1,0)</f>
        <v>0</v>
      </c>
      <c r="AA2014">
        <f>N(AA2013)+$Z2014</f>
        <v>24</v>
      </c>
      <c r="AB2014">
        <f>IF(AND($M2014=1,LEFT(对接源_02物料!$D814,4)="原料出库"),1,0)</f>
        <v>0</v>
      </c>
      <c r="AC2014">
        <f>N(AC2013)+$AB2014</f>
        <v>0</v>
      </c>
      <c r="AD2014">
        <f>IF(AND($M2014=1,LEFT(对接源_02物料!$D814,4)="成品出库"),1,0)</f>
        <v>0</v>
      </c>
      <c r="AE2014">
        <f>N(AE2013)+$AD2014</f>
        <v>0</v>
      </c>
      <c r="AF2014">
        <f>IF(AND($N2014=1,AND(LEFT(对接源_02物料!$D814,4)="包装物料",N(对接源_02物料!$K814)&lt;&gt;0)),1,0)</f>
        <v>0</v>
      </c>
      <c r="AG2014">
        <f>N(AG2013)+$AF2014</f>
        <v>10</v>
      </c>
      <c r="AH2014">
        <f>IF(AND($N2014=1,AND(对接源_02物料!$D814="周转筐－销售出库",N(对接源_02物料!$K814)&lt;&gt;0)),1,0)</f>
        <v>0</v>
      </c>
      <c r="AI2014">
        <f>N(AI2013)+$AH2014</f>
        <v>0</v>
      </c>
      <c r="AL2014" t="n">
        <v>0</v>
      </c>
      <c r="AM2014">
        <f>N(AM2013)+$AL2014</f>
        <v>2</v>
      </c>
      <c r="AN2014">
        <f>""</f>
      </c>
      <c r="AO2014" t="n">
        <v>0</v>
      </c>
      <c r="AP2014">
        <f>N(AP2013)+$AO2014</f>
        <v>13</v>
      </c>
      <c r="AR2014">
        <f>IF(OR($AF2014=1,$AH2014=1),1,0)</f>
        <v>0</v>
      </c>
      <c r="AS2014">
        <f>N(AS2013)+$AR2014</f>
        <v>10</v>
      </c>
    </row>
    <row r="2015" s="127">
      <c r="A2015">
        <f>IF(对接源_02物料!$C815="","",对接源_02物料!$C815)</f>
      </c>
      <c r="B2015">
        <f>IF(A2015="",0,IF(MATCH(A2015,$A$4:$A$2403,0)=ROW()-3,1,0))</f>
        <v>0</v>
      </c>
      <c r="C2015">
        <f>N(C2014)+B2015</f>
        <v>26</v>
      </c>
      <c r="K2015">
        <f>IF(OR($K$1="",对接源_02物料!$C815="",对接源_02物料!$C815&lt;&gt;$K$1,对接源_02物料!$B815=""),0,IF(OR(N(对接源_02物料!$B815)&lt;$K$2,N(对接源_02物料!$B815)&gt;$K$3),0,1))</f>
        <v>0</v>
      </c>
      <c r="L2015">
        <f>IF(OR($L$1="",对接源_02物料!$C815="",对接源_02物料!$C815&lt;&gt;$L$1,对接源_02物料!$B815=""),0,IF(OR(N(对接源_02物料!$B815)&lt;$L$2,N(对接源_02物料!$B815)&gt;$L$3),0,1))</f>
        <v>0</v>
      </c>
      <c r="M2015">
        <f>IF(OR($M$1="",对接源_02物料!$C815="",对接源_02物料!$C815&lt;&gt;$M$1,对接源_02物料!$B815=""),0,IF(OR(N(对接源_02物料!$B815)&lt;$M$2,N(对接源_02物料!$B815)&gt;$M$3),0,1))</f>
        <v>0</v>
      </c>
      <c r="N2015">
        <f>IF(OR($N$1="",对接源_02物料!$C815="",对接源_02物料!$C815&lt;&gt;$N$1,对接源_02物料!$B815=""),0,IF(OR(N(对接源_02物料!$B815)&lt;$N$2,N(对接源_02物料!$B815)&gt;$N$3),0,1))</f>
        <v>0</v>
      </c>
      <c r="P2015">
        <f>IF(AND($K2015=1,AND(对接源_02物料!$X815="公司筐",N(对接源_02物料!$T815)&lt;&gt;0)),1,0)</f>
        <v>0</v>
      </c>
      <c r="Q2015">
        <f>N(Q2014)+$P2015</f>
        <v>14</v>
      </c>
      <c r="R2015">
        <f>IF(AND($K2015=1,AND(对接源_02物料!$X815="公司筐",N(对接源_02物料!$U815)&lt;&gt;0)),1,0)</f>
        <v>0</v>
      </c>
      <c r="S2015">
        <f>N(S2014)+$R2015</f>
        <v>1</v>
      </c>
      <c r="T2015">
        <f>IF(AND($K2015=1,AND(对接源_02物料!$X815="公司筐",N(对接源_02物料!$V815)&lt;&gt;0)),1,0)</f>
        <v>0</v>
      </c>
      <c r="U2015">
        <f>N(U2014)+$T2015</f>
        <v>47</v>
      </c>
      <c r="V2015">
        <f>IF(AND($L2015=1,AND(对接源_02物料!$X815="自备筐",N(对接源_02物料!$V815)&lt;&gt;0)),1,0)</f>
        <v>0</v>
      </c>
      <c r="W2015">
        <f>N(W2014)+$V2015</f>
        <v>11</v>
      </c>
      <c r="X2015">
        <f>IF(AND($L2015=1,AND(对接源_02物料!$X815="自备筐",N(对接源_02物料!$T815)&lt;&gt;0)),1,0)</f>
        <v>0</v>
      </c>
      <c r="Y2015">
        <f>N(Y2014)+$X2015</f>
        <v>0</v>
      </c>
      <c r="Z2015">
        <f>IF(AND($M2015=1,对接源_02物料!$D815="原料入库"),1,0)</f>
        <v>0</v>
      </c>
      <c r="AA2015">
        <f>N(AA2014)+$Z2015</f>
        <v>24</v>
      </c>
      <c r="AB2015">
        <f>IF(AND($M2015=1,LEFT(对接源_02物料!$D815,4)="原料出库"),1,0)</f>
        <v>0</v>
      </c>
      <c r="AC2015">
        <f>N(AC2014)+$AB2015</f>
        <v>0</v>
      </c>
      <c r="AD2015">
        <f>IF(AND($M2015=1,LEFT(对接源_02物料!$D815,4)="成品出库"),1,0)</f>
        <v>0</v>
      </c>
      <c r="AE2015">
        <f>N(AE2014)+$AD2015</f>
        <v>0</v>
      </c>
      <c r="AF2015">
        <f>IF(AND($N2015=1,AND(LEFT(对接源_02物料!$D815,4)="包装物料",N(对接源_02物料!$K815)&lt;&gt;0)),1,0)</f>
        <v>0</v>
      </c>
      <c r="AG2015">
        <f>N(AG2014)+$AF2015</f>
        <v>10</v>
      </c>
      <c r="AH2015">
        <f>IF(AND($N2015=1,AND(对接源_02物料!$D815="周转筐－销售出库",N(对接源_02物料!$K815)&lt;&gt;0)),1,0)</f>
        <v>0</v>
      </c>
      <c r="AI2015">
        <f>N(AI2014)+$AH2015</f>
        <v>0</v>
      </c>
      <c r="AL2015" t="n">
        <v>0</v>
      </c>
      <c r="AM2015">
        <f>N(AM2014)+$AL2015</f>
        <v>2</v>
      </c>
      <c r="AN2015">
        <f>""</f>
      </c>
      <c r="AO2015" t="n">
        <v>0</v>
      </c>
      <c r="AP2015">
        <f>N(AP2014)+$AO2015</f>
        <v>13</v>
      </c>
      <c r="AR2015">
        <f>IF(OR($AF2015=1,$AH2015=1),1,0)</f>
        <v>0</v>
      </c>
      <c r="AS2015">
        <f>N(AS2014)+$AR2015</f>
        <v>10</v>
      </c>
    </row>
    <row r="2016" s="127">
      <c r="A2016">
        <f>IF(对接源_02物料!$C816="","",对接源_02物料!$C816)</f>
      </c>
      <c r="B2016">
        <f>IF(A2016="",0,IF(MATCH(A2016,$A$4:$A$2403,0)=ROW()-3,1,0))</f>
        <v>0</v>
      </c>
      <c r="C2016">
        <f>N(C2015)+B2016</f>
        <v>26</v>
      </c>
      <c r="K2016">
        <f>IF(OR($K$1="",对接源_02物料!$C816="",对接源_02物料!$C816&lt;&gt;$K$1,对接源_02物料!$B816=""),0,IF(OR(N(对接源_02物料!$B816)&lt;$K$2,N(对接源_02物料!$B816)&gt;$K$3),0,1))</f>
        <v>0</v>
      </c>
      <c r="L2016">
        <f>IF(OR($L$1="",对接源_02物料!$C816="",对接源_02物料!$C816&lt;&gt;$L$1,对接源_02物料!$B816=""),0,IF(OR(N(对接源_02物料!$B816)&lt;$L$2,N(对接源_02物料!$B816)&gt;$L$3),0,1))</f>
        <v>0</v>
      </c>
      <c r="M2016">
        <f>IF(OR($M$1="",对接源_02物料!$C816="",对接源_02物料!$C816&lt;&gt;$M$1,对接源_02物料!$B816=""),0,IF(OR(N(对接源_02物料!$B816)&lt;$M$2,N(对接源_02物料!$B816)&gt;$M$3),0,1))</f>
        <v>0</v>
      </c>
      <c r="N2016">
        <f>IF(OR($N$1="",对接源_02物料!$C816="",对接源_02物料!$C816&lt;&gt;$N$1,对接源_02物料!$B816=""),0,IF(OR(N(对接源_02物料!$B816)&lt;$N$2,N(对接源_02物料!$B816)&gt;$N$3),0,1))</f>
        <v>0</v>
      </c>
      <c r="P2016">
        <f>IF(AND($K2016=1,AND(对接源_02物料!$X816="公司筐",N(对接源_02物料!$T816)&lt;&gt;0)),1,0)</f>
        <v>0</v>
      </c>
      <c r="Q2016">
        <f>N(Q2015)+$P2016</f>
        <v>14</v>
      </c>
      <c r="R2016">
        <f>IF(AND($K2016=1,AND(对接源_02物料!$X816="公司筐",N(对接源_02物料!$U816)&lt;&gt;0)),1,0)</f>
        <v>0</v>
      </c>
      <c r="S2016">
        <f>N(S2015)+$R2016</f>
        <v>1</v>
      </c>
      <c r="T2016">
        <f>IF(AND($K2016=1,AND(对接源_02物料!$X816="公司筐",N(对接源_02物料!$V816)&lt;&gt;0)),1,0)</f>
        <v>0</v>
      </c>
      <c r="U2016">
        <f>N(U2015)+$T2016</f>
        <v>47</v>
      </c>
      <c r="V2016">
        <f>IF(AND($L2016=1,AND(对接源_02物料!$X816="自备筐",N(对接源_02物料!$V816)&lt;&gt;0)),1,0)</f>
        <v>0</v>
      </c>
      <c r="W2016">
        <f>N(W2015)+$V2016</f>
        <v>11</v>
      </c>
      <c r="X2016">
        <f>IF(AND($L2016=1,AND(对接源_02物料!$X816="自备筐",N(对接源_02物料!$T816)&lt;&gt;0)),1,0)</f>
        <v>0</v>
      </c>
      <c r="Y2016">
        <f>N(Y2015)+$X2016</f>
        <v>0</v>
      </c>
      <c r="Z2016">
        <f>IF(AND($M2016=1,对接源_02物料!$D816="原料入库"),1,0)</f>
        <v>0</v>
      </c>
      <c r="AA2016">
        <f>N(AA2015)+$Z2016</f>
        <v>24</v>
      </c>
      <c r="AB2016">
        <f>IF(AND($M2016=1,LEFT(对接源_02物料!$D816,4)="原料出库"),1,0)</f>
        <v>0</v>
      </c>
      <c r="AC2016">
        <f>N(AC2015)+$AB2016</f>
        <v>0</v>
      </c>
      <c r="AD2016">
        <f>IF(AND($M2016=1,LEFT(对接源_02物料!$D816,4)="成品出库"),1,0)</f>
        <v>0</v>
      </c>
      <c r="AE2016">
        <f>N(AE2015)+$AD2016</f>
        <v>0</v>
      </c>
      <c r="AF2016">
        <f>IF(AND($N2016=1,AND(LEFT(对接源_02物料!$D816,4)="包装物料",N(对接源_02物料!$K816)&lt;&gt;0)),1,0)</f>
        <v>0</v>
      </c>
      <c r="AG2016">
        <f>N(AG2015)+$AF2016</f>
        <v>10</v>
      </c>
      <c r="AH2016">
        <f>IF(AND($N2016=1,AND(对接源_02物料!$D816="周转筐－销售出库",N(对接源_02物料!$K816)&lt;&gt;0)),1,0)</f>
        <v>0</v>
      </c>
      <c r="AI2016">
        <f>N(AI2015)+$AH2016</f>
        <v>0</v>
      </c>
      <c r="AL2016" t="n">
        <v>0</v>
      </c>
      <c r="AM2016">
        <f>N(AM2015)+$AL2016</f>
        <v>2</v>
      </c>
      <c r="AN2016">
        <f>""</f>
      </c>
      <c r="AO2016" t="n">
        <v>0</v>
      </c>
      <c r="AP2016">
        <f>N(AP2015)+$AO2016</f>
        <v>13</v>
      </c>
      <c r="AR2016">
        <f>IF(OR($AF2016=1,$AH2016=1),1,0)</f>
        <v>0</v>
      </c>
      <c r="AS2016">
        <f>N(AS2015)+$AR2016</f>
        <v>10</v>
      </c>
    </row>
    <row r="2017" s="127">
      <c r="A2017">
        <f>IF(对接源_02物料!$C817="","",对接源_02物料!$C817)</f>
      </c>
      <c r="B2017">
        <f>IF(A2017="",0,IF(MATCH(A2017,$A$4:$A$2403,0)=ROW()-3,1,0))</f>
        <v>0</v>
      </c>
      <c r="C2017">
        <f>N(C2016)+B2017</f>
        <v>26</v>
      </c>
      <c r="K2017">
        <f>IF(OR($K$1="",对接源_02物料!$C817="",对接源_02物料!$C817&lt;&gt;$K$1,对接源_02物料!$B817=""),0,IF(OR(N(对接源_02物料!$B817)&lt;$K$2,N(对接源_02物料!$B817)&gt;$K$3),0,1))</f>
        <v>0</v>
      </c>
      <c r="L2017">
        <f>IF(OR($L$1="",对接源_02物料!$C817="",对接源_02物料!$C817&lt;&gt;$L$1,对接源_02物料!$B817=""),0,IF(OR(N(对接源_02物料!$B817)&lt;$L$2,N(对接源_02物料!$B817)&gt;$L$3),0,1))</f>
        <v>0</v>
      </c>
      <c r="M2017">
        <f>IF(OR($M$1="",对接源_02物料!$C817="",对接源_02物料!$C817&lt;&gt;$M$1,对接源_02物料!$B817=""),0,IF(OR(N(对接源_02物料!$B817)&lt;$M$2,N(对接源_02物料!$B817)&gt;$M$3),0,1))</f>
        <v>0</v>
      </c>
      <c r="N2017">
        <f>IF(OR($N$1="",对接源_02物料!$C817="",对接源_02物料!$C817&lt;&gt;$N$1,对接源_02物料!$B817=""),0,IF(OR(N(对接源_02物料!$B817)&lt;$N$2,N(对接源_02物料!$B817)&gt;$N$3),0,1))</f>
        <v>0</v>
      </c>
      <c r="P2017">
        <f>IF(AND($K2017=1,AND(对接源_02物料!$X817="公司筐",N(对接源_02物料!$T817)&lt;&gt;0)),1,0)</f>
        <v>0</v>
      </c>
      <c r="Q2017">
        <f>N(Q2016)+$P2017</f>
        <v>14</v>
      </c>
      <c r="R2017">
        <f>IF(AND($K2017=1,AND(对接源_02物料!$X817="公司筐",N(对接源_02物料!$U817)&lt;&gt;0)),1,0)</f>
        <v>0</v>
      </c>
      <c r="S2017">
        <f>N(S2016)+$R2017</f>
        <v>1</v>
      </c>
      <c r="T2017">
        <f>IF(AND($K2017=1,AND(对接源_02物料!$X817="公司筐",N(对接源_02物料!$V817)&lt;&gt;0)),1,0)</f>
        <v>0</v>
      </c>
      <c r="U2017">
        <f>N(U2016)+$T2017</f>
        <v>47</v>
      </c>
      <c r="V2017">
        <f>IF(AND($L2017=1,AND(对接源_02物料!$X817="自备筐",N(对接源_02物料!$V817)&lt;&gt;0)),1,0)</f>
        <v>0</v>
      </c>
      <c r="W2017">
        <f>N(W2016)+$V2017</f>
        <v>11</v>
      </c>
      <c r="X2017">
        <f>IF(AND($L2017=1,AND(对接源_02物料!$X817="自备筐",N(对接源_02物料!$T817)&lt;&gt;0)),1,0)</f>
        <v>0</v>
      </c>
      <c r="Y2017">
        <f>N(Y2016)+$X2017</f>
        <v>0</v>
      </c>
      <c r="Z2017">
        <f>IF(AND($M2017=1,对接源_02物料!$D817="原料入库"),1,0)</f>
        <v>0</v>
      </c>
      <c r="AA2017">
        <f>N(AA2016)+$Z2017</f>
        <v>24</v>
      </c>
      <c r="AB2017">
        <f>IF(AND($M2017=1,LEFT(对接源_02物料!$D817,4)="原料出库"),1,0)</f>
        <v>0</v>
      </c>
      <c r="AC2017">
        <f>N(AC2016)+$AB2017</f>
        <v>0</v>
      </c>
      <c r="AD2017">
        <f>IF(AND($M2017=1,LEFT(对接源_02物料!$D817,4)="成品出库"),1,0)</f>
        <v>0</v>
      </c>
      <c r="AE2017">
        <f>N(AE2016)+$AD2017</f>
        <v>0</v>
      </c>
      <c r="AF2017">
        <f>IF(AND($N2017=1,AND(LEFT(对接源_02物料!$D817,4)="包装物料",N(对接源_02物料!$K817)&lt;&gt;0)),1,0)</f>
        <v>0</v>
      </c>
      <c r="AG2017">
        <f>N(AG2016)+$AF2017</f>
        <v>10</v>
      </c>
      <c r="AH2017">
        <f>IF(AND($N2017=1,AND(对接源_02物料!$D817="周转筐－销售出库",N(对接源_02物料!$K817)&lt;&gt;0)),1,0)</f>
        <v>0</v>
      </c>
      <c r="AI2017">
        <f>N(AI2016)+$AH2017</f>
        <v>0</v>
      </c>
      <c r="AL2017" t="n">
        <v>0</v>
      </c>
      <c r="AM2017">
        <f>N(AM2016)+$AL2017</f>
        <v>2</v>
      </c>
      <c r="AN2017">
        <f>""</f>
      </c>
      <c r="AO2017" t="n">
        <v>0</v>
      </c>
      <c r="AP2017">
        <f>N(AP2016)+$AO2017</f>
        <v>13</v>
      </c>
      <c r="AR2017">
        <f>IF(OR($AF2017=1,$AH2017=1),1,0)</f>
        <v>0</v>
      </c>
      <c r="AS2017">
        <f>N(AS2016)+$AR2017</f>
        <v>10</v>
      </c>
    </row>
    <row r="2018" s="127">
      <c r="A2018">
        <f>IF(对接源_02物料!$C818="","",对接源_02物料!$C818)</f>
      </c>
      <c r="B2018">
        <f>IF(A2018="",0,IF(MATCH(A2018,$A$4:$A$2403,0)=ROW()-3,1,0))</f>
        <v>0</v>
      </c>
      <c r="C2018">
        <f>N(C2017)+B2018</f>
        <v>26</v>
      </c>
      <c r="K2018">
        <f>IF(OR($K$1="",对接源_02物料!$C818="",对接源_02物料!$C818&lt;&gt;$K$1,对接源_02物料!$B818=""),0,IF(OR(N(对接源_02物料!$B818)&lt;$K$2,N(对接源_02物料!$B818)&gt;$K$3),0,1))</f>
        <v>0</v>
      </c>
      <c r="L2018">
        <f>IF(OR($L$1="",对接源_02物料!$C818="",对接源_02物料!$C818&lt;&gt;$L$1,对接源_02物料!$B818=""),0,IF(OR(N(对接源_02物料!$B818)&lt;$L$2,N(对接源_02物料!$B818)&gt;$L$3),0,1))</f>
        <v>0</v>
      </c>
      <c r="M2018">
        <f>IF(OR($M$1="",对接源_02物料!$C818="",对接源_02物料!$C818&lt;&gt;$M$1,对接源_02物料!$B818=""),0,IF(OR(N(对接源_02物料!$B818)&lt;$M$2,N(对接源_02物料!$B818)&gt;$M$3),0,1))</f>
        <v>0</v>
      </c>
      <c r="N2018">
        <f>IF(OR($N$1="",对接源_02物料!$C818="",对接源_02物料!$C818&lt;&gt;$N$1,对接源_02物料!$B818=""),0,IF(OR(N(对接源_02物料!$B818)&lt;$N$2,N(对接源_02物料!$B818)&gt;$N$3),0,1))</f>
        <v>0</v>
      </c>
      <c r="P2018">
        <f>IF(AND($K2018=1,AND(对接源_02物料!$X818="公司筐",N(对接源_02物料!$T818)&lt;&gt;0)),1,0)</f>
        <v>0</v>
      </c>
      <c r="Q2018">
        <f>N(Q2017)+$P2018</f>
        <v>14</v>
      </c>
      <c r="R2018">
        <f>IF(AND($K2018=1,AND(对接源_02物料!$X818="公司筐",N(对接源_02物料!$U818)&lt;&gt;0)),1,0)</f>
        <v>0</v>
      </c>
      <c r="S2018">
        <f>N(S2017)+$R2018</f>
        <v>1</v>
      </c>
      <c r="T2018">
        <f>IF(AND($K2018=1,AND(对接源_02物料!$X818="公司筐",N(对接源_02物料!$V818)&lt;&gt;0)),1,0)</f>
        <v>0</v>
      </c>
      <c r="U2018">
        <f>N(U2017)+$T2018</f>
        <v>47</v>
      </c>
      <c r="V2018">
        <f>IF(AND($L2018=1,AND(对接源_02物料!$X818="自备筐",N(对接源_02物料!$V818)&lt;&gt;0)),1,0)</f>
        <v>0</v>
      </c>
      <c r="W2018">
        <f>N(W2017)+$V2018</f>
        <v>11</v>
      </c>
      <c r="X2018">
        <f>IF(AND($L2018=1,AND(对接源_02物料!$X818="自备筐",N(对接源_02物料!$T818)&lt;&gt;0)),1,0)</f>
        <v>0</v>
      </c>
      <c r="Y2018">
        <f>N(Y2017)+$X2018</f>
        <v>0</v>
      </c>
      <c r="Z2018">
        <f>IF(AND($M2018=1,对接源_02物料!$D818="原料入库"),1,0)</f>
        <v>0</v>
      </c>
      <c r="AA2018">
        <f>N(AA2017)+$Z2018</f>
        <v>24</v>
      </c>
      <c r="AB2018">
        <f>IF(AND($M2018=1,LEFT(对接源_02物料!$D818,4)="原料出库"),1,0)</f>
        <v>0</v>
      </c>
      <c r="AC2018">
        <f>N(AC2017)+$AB2018</f>
        <v>0</v>
      </c>
      <c r="AD2018">
        <f>IF(AND($M2018=1,LEFT(对接源_02物料!$D818,4)="成品出库"),1,0)</f>
        <v>0</v>
      </c>
      <c r="AE2018">
        <f>N(AE2017)+$AD2018</f>
        <v>0</v>
      </c>
      <c r="AF2018">
        <f>IF(AND($N2018=1,AND(LEFT(对接源_02物料!$D818,4)="包装物料",N(对接源_02物料!$K818)&lt;&gt;0)),1,0)</f>
        <v>0</v>
      </c>
      <c r="AG2018">
        <f>N(AG2017)+$AF2018</f>
        <v>10</v>
      </c>
      <c r="AH2018">
        <f>IF(AND($N2018=1,AND(对接源_02物料!$D818="周转筐－销售出库",N(对接源_02物料!$K818)&lt;&gt;0)),1,0)</f>
        <v>0</v>
      </c>
      <c r="AI2018">
        <f>N(AI2017)+$AH2018</f>
        <v>0</v>
      </c>
      <c r="AL2018" t="n">
        <v>0</v>
      </c>
      <c r="AM2018">
        <f>N(AM2017)+$AL2018</f>
        <v>2</v>
      </c>
      <c r="AN2018">
        <f>""</f>
      </c>
      <c r="AO2018" t="n">
        <v>0</v>
      </c>
      <c r="AP2018">
        <f>N(AP2017)+$AO2018</f>
        <v>13</v>
      </c>
      <c r="AR2018">
        <f>IF(OR($AF2018=1,$AH2018=1),1,0)</f>
        <v>0</v>
      </c>
      <c r="AS2018">
        <f>N(AS2017)+$AR2018</f>
        <v>10</v>
      </c>
    </row>
    <row r="2019" s="127">
      <c r="A2019">
        <f>IF(对接源_02物料!$C819="","",对接源_02物料!$C819)</f>
      </c>
      <c r="B2019">
        <f>IF(A2019="",0,IF(MATCH(A2019,$A$4:$A$2403,0)=ROW()-3,1,0))</f>
        <v>0</v>
      </c>
      <c r="C2019">
        <f>N(C2018)+B2019</f>
        <v>26</v>
      </c>
      <c r="K2019">
        <f>IF(OR($K$1="",对接源_02物料!$C819="",对接源_02物料!$C819&lt;&gt;$K$1,对接源_02物料!$B819=""),0,IF(OR(N(对接源_02物料!$B819)&lt;$K$2,N(对接源_02物料!$B819)&gt;$K$3),0,1))</f>
        <v>0</v>
      </c>
      <c r="L2019">
        <f>IF(OR($L$1="",对接源_02物料!$C819="",对接源_02物料!$C819&lt;&gt;$L$1,对接源_02物料!$B819=""),0,IF(OR(N(对接源_02物料!$B819)&lt;$L$2,N(对接源_02物料!$B819)&gt;$L$3),0,1))</f>
        <v>0</v>
      </c>
      <c r="M2019">
        <f>IF(OR($M$1="",对接源_02物料!$C819="",对接源_02物料!$C819&lt;&gt;$M$1,对接源_02物料!$B819=""),0,IF(OR(N(对接源_02物料!$B819)&lt;$M$2,N(对接源_02物料!$B819)&gt;$M$3),0,1))</f>
        <v>0</v>
      </c>
      <c r="N2019">
        <f>IF(OR($N$1="",对接源_02物料!$C819="",对接源_02物料!$C819&lt;&gt;$N$1,对接源_02物料!$B819=""),0,IF(OR(N(对接源_02物料!$B819)&lt;$N$2,N(对接源_02物料!$B819)&gt;$N$3),0,1))</f>
        <v>0</v>
      </c>
      <c r="P2019">
        <f>IF(AND($K2019=1,AND(对接源_02物料!$X819="公司筐",N(对接源_02物料!$T819)&lt;&gt;0)),1,0)</f>
        <v>0</v>
      </c>
      <c r="Q2019">
        <f>N(Q2018)+$P2019</f>
        <v>14</v>
      </c>
      <c r="R2019">
        <f>IF(AND($K2019=1,AND(对接源_02物料!$X819="公司筐",N(对接源_02物料!$U819)&lt;&gt;0)),1,0)</f>
        <v>0</v>
      </c>
      <c r="S2019">
        <f>N(S2018)+$R2019</f>
        <v>1</v>
      </c>
      <c r="T2019">
        <f>IF(AND($K2019=1,AND(对接源_02物料!$X819="公司筐",N(对接源_02物料!$V819)&lt;&gt;0)),1,0)</f>
        <v>0</v>
      </c>
      <c r="U2019">
        <f>N(U2018)+$T2019</f>
        <v>47</v>
      </c>
      <c r="V2019">
        <f>IF(AND($L2019=1,AND(对接源_02物料!$X819="自备筐",N(对接源_02物料!$V819)&lt;&gt;0)),1,0)</f>
        <v>0</v>
      </c>
      <c r="W2019">
        <f>N(W2018)+$V2019</f>
        <v>11</v>
      </c>
      <c r="X2019">
        <f>IF(AND($L2019=1,AND(对接源_02物料!$X819="自备筐",N(对接源_02物料!$T819)&lt;&gt;0)),1,0)</f>
        <v>0</v>
      </c>
      <c r="Y2019">
        <f>N(Y2018)+$X2019</f>
        <v>0</v>
      </c>
      <c r="Z2019">
        <f>IF(AND($M2019=1,对接源_02物料!$D819="原料入库"),1,0)</f>
        <v>0</v>
      </c>
      <c r="AA2019">
        <f>N(AA2018)+$Z2019</f>
        <v>24</v>
      </c>
      <c r="AB2019">
        <f>IF(AND($M2019=1,LEFT(对接源_02物料!$D819,4)="原料出库"),1,0)</f>
        <v>0</v>
      </c>
      <c r="AC2019">
        <f>N(AC2018)+$AB2019</f>
        <v>0</v>
      </c>
      <c r="AD2019">
        <f>IF(AND($M2019=1,LEFT(对接源_02物料!$D819,4)="成品出库"),1,0)</f>
        <v>0</v>
      </c>
      <c r="AE2019">
        <f>N(AE2018)+$AD2019</f>
        <v>0</v>
      </c>
      <c r="AF2019">
        <f>IF(AND($N2019=1,AND(LEFT(对接源_02物料!$D819,4)="包装物料",N(对接源_02物料!$K819)&lt;&gt;0)),1,0)</f>
        <v>0</v>
      </c>
      <c r="AG2019">
        <f>N(AG2018)+$AF2019</f>
        <v>10</v>
      </c>
      <c r="AH2019">
        <f>IF(AND($N2019=1,AND(对接源_02物料!$D819="周转筐－销售出库",N(对接源_02物料!$K819)&lt;&gt;0)),1,0)</f>
        <v>0</v>
      </c>
      <c r="AI2019">
        <f>N(AI2018)+$AH2019</f>
        <v>0</v>
      </c>
      <c r="AL2019" t="n">
        <v>0</v>
      </c>
      <c r="AM2019">
        <f>N(AM2018)+$AL2019</f>
        <v>2</v>
      </c>
      <c r="AN2019">
        <f>""</f>
      </c>
      <c r="AO2019" t="n">
        <v>0</v>
      </c>
      <c r="AP2019">
        <f>N(AP2018)+$AO2019</f>
        <v>13</v>
      </c>
      <c r="AR2019">
        <f>IF(OR($AF2019=1,$AH2019=1),1,0)</f>
        <v>0</v>
      </c>
      <c r="AS2019">
        <f>N(AS2018)+$AR2019</f>
        <v>10</v>
      </c>
    </row>
    <row r="2020" s="127">
      <c r="A2020">
        <f>IF(对接源_02物料!$C820="","",对接源_02物料!$C820)</f>
      </c>
      <c r="B2020">
        <f>IF(A2020="",0,IF(MATCH(A2020,$A$4:$A$2403,0)=ROW()-3,1,0))</f>
        <v>0</v>
      </c>
      <c r="C2020">
        <f>N(C2019)+B2020</f>
        <v>26</v>
      </c>
      <c r="K2020">
        <f>IF(OR($K$1="",对接源_02物料!$C820="",对接源_02物料!$C820&lt;&gt;$K$1,对接源_02物料!$B820=""),0,IF(OR(N(对接源_02物料!$B820)&lt;$K$2,N(对接源_02物料!$B820)&gt;$K$3),0,1))</f>
        <v>0</v>
      </c>
      <c r="L2020">
        <f>IF(OR($L$1="",对接源_02物料!$C820="",对接源_02物料!$C820&lt;&gt;$L$1,对接源_02物料!$B820=""),0,IF(OR(N(对接源_02物料!$B820)&lt;$L$2,N(对接源_02物料!$B820)&gt;$L$3),0,1))</f>
        <v>0</v>
      </c>
      <c r="M2020">
        <f>IF(OR($M$1="",对接源_02物料!$C820="",对接源_02物料!$C820&lt;&gt;$M$1,对接源_02物料!$B820=""),0,IF(OR(N(对接源_02物料!$B820)&lt;$M$2,N(对接源_02物料!$B820)&gt;$M$3),0,1))</f>
        <v>0</v>
      </c>
      <c r="N2020">
        <f>IF(OR($N$1="",对接源_02物料!$C820="",对接源_02物料!$C820&lt;&gt;$N$1,对接源_02物料!$B820=""),0,IF(OR(N(对接源_02物料!$B820)&lt;$N$2,N(对接源_02物料!$B820)&gt;$N$3),0,1))</f>
        <v>0</v>
      </c>
      <c r="P2020">
        <f>IF(AND($K2020=1,AND(对接源_02物料!$X820="公司筐",N(对接源_02物料!$T820)&lt;&gt;0)),1,0)</f>
        <v>0</v>
      </c>
      <c r="Q2020">
        <f>N(Q2019)+$P2020</f>
        <v>14</v>
      </c>
      <c r="R2020">
        <f>IF(AND($K2020=1,AND(对接源_02物料!$X820="公司筐",N(对接源_02物料!$U820)&lt;&gt;0)),1,0)</f>
        <v>0</v>
      </c>
      <c r="S2020">
        <f>N(S2019)+$R2020</f>
        <v>1</v>
      </c>
      <c r="T2020">
        <f>IF(AND($K2020=1,AND(对接源_02物料!$X820="公司筐",N(对接源_02物料!$V820)&lt;&gt;0)),1,0)</f>
        <v>0</v>
      </c>
      <c r="U2020">
        <f>N(U2019)+$T2020</f>
        <v>47</v>
      </c>
      <c r="V2020">
        <f>IF(AND($L2020=1,AND(对接源_02物料!$X820="自备筐",N(对接源_02物料!$V820)&lt;&gt;0)),1,0)</f>
        <v>0</v>
      </c>
      <c r="W2020">
        <f>N(W2019)+$V2020</f>
        <v>11</v>
      </c>
      <c r="X2020">
        <f>IF(AND($L2020=1,AND(对接源_02物料!$X820="自备筐",N(对接源_02物料!$T820)&lt;&gt;0)),1,0)</f>
        <v>0</v>
      </c>
      <c r="Y2020">
        <f>N(Y2019)+$X2020</f>
        <v>0</v>
      </c>
      <c r="Z2020">
        <f>IF(AND($M2020=1,对接源_02物料!$D820="原料入库"),1,0)</f>
        <v>0</v>
      </c>
      <c r="AA2020">
        <f>N(AA2019)+$Z2020</f>
        <v>24</v>
      </c>
      <c r="AB2020">
        <f>IF(AND($M2020=1,LEFT(对接源_02物料!$D820,4)="原料出库"),1,0)</f>
        <v>0</v>
      </c>
      <c r="AC2020">
        <f>N(AC2019)+$AB2020</f>
        <v>0</v>
      </c>
      <c r="AD2020">
        <f>IF(AND($M2020=1,LEFT(对接源_02物料!$D820,4)="成品出库"),1,0)</f>
        <v>0</v>
      </c>
      <c r="AE2020">
        <f>N(AE2019)+$AD2020</f>
        <v>0</v>
      </c>
      <c r="AF2020">
        <f>IF(AND($N2020=1,AND(LEFT(对接源_02物料!$D820,4)="包装物料",N(对接源_02物料!$K820)&lt;&gt;0)),1,0)</f>
        <v>0</v>
      </c>
      <c r="AG2020">
        <f>N(AG2019)+$AF2020</f>
        <v>10</v>
      </c>
      <c r="AH2020">
        <f>IF(AND($N2020=1,AND(对接源_02物料!$D820="周转筐－销售出库",N(对接源_02物料!$K820)&lt;&gt;0)),1,0)</f>
        <v>0</v>
      </c>
      <c r="AI2020">
        <f>N(AI2019)+$AH2020</f>
        <v>0</v>
      </c>
      <c r="AL2020" t="n">
        <v>0</v>
      </c>
      <c r="AM2020">
        <f>N(AM2019)+$AL2020</f>
        <v>2</v>
      </c>
      <c r="AN2020">
        <f>""</f>
      </c>
      <c r="AO2020" t="n">
        <v>0</v>
      </c>
      <c r="AP2020">
        <f>N(AP2019)+$AO2020</f>
        <v>13</v>
      </c>
      <c r="AR2020">
        <f>IF(OR($AF2020=1,$AH2020=1),1,0)</f>
        <v>0</v>
      </c>
      <c r="AS2020">
        <f>N(AS2019)+$AR2020</f>
        <v>10</v>
      </c>
    </row>
    <row r="2021" s="127">
      <c r="A2021">
        <f>IF(对接源_02物料!$C821="","",对接源_02物料!$C821)</f>
      </c>
      <c r="B2021">
        <f>IF(A2021="",0,IF(MATCH(A2021,$A$4:$A$2403,0)=ROW()-3,1,0))</f>
        <v>0</v>
      </c>
      <c r="C2021">
        <f>N(C2020)+B2021</f>
        <v>26</v>
      </c>
      <c r="K2021">
        <f>IF(OR($K$1="",对接源_02物料!$C821="",对接源_02物料!$C821&lt;&gt;$K$1,对接源_02物料!$B821=""),0,IF(OR(N(对接源_02物料!$B821)&lt;$K$2,N(对接源_02物料!$B821)&gt;$K$3),0,1))</f>
        <v>0</v>
      </c>
      <c r="L2021">
        <f>IF(OR($L$1="",对接源_02物料!$C821="",对接源_02物料!$C821&lt;&gt;$L$1,对接源_02物料!$B821=""),0,IF(OR(N(对接源_02物料!$B821)&lt;$L$2,N(对接源_02物料!$B821)&gt;$L$3),0,1))</f>
        <v>0</v>
      </c>
      <c r="M2021">
        <f>IF(OR($M$1="",对接源_02物料!$C821="",对接源_02物料!$C821&lt;&gt;$M$1,对接源_02物料!$B821=""),0,IF(OR(N(对接源_02物料!$B821)&lt;$M$2,N(对接源_02物料!$B821)&gt;$M$3),0,1))</f>
        <v>0</v>
      </c>
      <c r="N2021">
        <f>IF(OR($N$1="",对接源_02物料!$C821="",对接源_02物料!$C821&lt;&gt;$N$1,对接源_02物料!$B821=""),0,IF(OR(N(对接源_02物料!$B821)&lt;$N$2,N(对接源_02物料!$B821)&gt;$N$3),0,1))</f>
        <v>0</v>
      </c>
      <c r="P2021">
        <f>IF(AND($K2021=1,AND(对接源_02物料!$X821="公司筐",N(对接源_02物料!$T821)&lt;&gt;0)),1,0)</f>
        <v>0</v>
      </c>
      <c r="Q2021">
        <f>N(Q2020)+$P2021</f>
        <v>14</v>
      </c>
      <c r="R2021">
        <f>IF(AND($K2021=1,AND(对接源_02物料!$X821="公司筐",N(对接源_02物料!$U821)&lt;&gt;0)),1,0)</f>
        <v>0</v>
      </c>
      <c r="S2021">
        <f>N(S2020)+$R2021</f>
        <v>1</v>
      </c>
      <c r="T2021">
        <f>IF(AND($K2021=1,AND(对接源_02物料!$X821="公司筐",N(对接源_02物料!$V821)&lt;&gt;0)),1,0)</f>
        <v>0</v>
      </c>
      <c r="U2021">
        <f>N(U2020)+$T2021</f>
        <v>47</v>
      </c>
      <c r="V2021">
        <f>IF(AND($L2021=1,AND(对接源_02物料!$X821="自备筐",N(对接源_02物料!$V821)&lt;&gt;0)),1,0)</f>
        <v>0</v>
      </c>
      <c r="W2021">
        <f>N(W2020)+$V2021</f>
        <v>11</v>
      </c>
      <c r="X2021">
        <f>IF(AND($L2021=1,AND(对接源_02物料!$X821="自备筐",N(对接源_02物料!$T821)&lt;&gt;0)),1,0)</f>
        <v>0</v>
      </c>
      <c r="Y2021">
        <f>N(Y2020)+$X2021</f>
        <v>0</v>
      </c>
      <c r="Z2021">
        <f>IF(AND($M2021=1,对接源_02物料!$D821="原料入库"),1,0)</f>
        <v>0</v>
      </c>
      <c r="AA2021">
        <f>N(AA2020)+$Z2021</f>
        <v>24</v>
      </c>
      <c r="AB2021">
        <f>IF(AND($M2021=1,LEFT(对接源_02物料!$D821,4)="原料出库"),1,0)</f>
        <v>0</v>
      </c>
      <c r="AC2021">
        <f>N(AC2020)+$AB2021</f>
        <v>0</v>
      </c>
      <c r="AD2021">
        <f>IF(AND($M2021=1,LEFT(对接源_02物料!$D821,4)="成品出库"),1,0)</f>
        <v>0</v>
      </c>
      <c r="AE2021">
        <f>N(AE2020)+$AD2021</f>
        <v>0</v>
      </c>
      <c r="AF2021">
        <f>IF(AND($N2021=1,AND(LEFT(对接源_02物料!$D821,4)="包装物料",N(对接源_02物料!$K821)&lt;&gt;0)),1,0)</f>
        <v>0</v>
      </c>
      <c r="AG2021">
        <f>N(AG2020)+$AF2021</f>
        <v>10</v>
      </c>
      <c r="AH2021">
        <f>IF(AND($N2021=1,AND(对接源_02物料!$D821="周转筐－销售出库",N(对接源_02物料!$K821)&lt;&gt;0)),1,0)</f>
        <v>0</v>
      </c>
      <c r="AI2021">
        <f>N(AI2020)+$AH2021</f>
        <v>0</v>
      </c>
      <c r="AL2021" t="n">
        <v>0</v>
      </c>
      <c r="AM2021">
        <f>N(AM2020)+$AL2021</f>
        <v>2</v>
      </c>
      <c r="AN2021">
        <f>""</f>
      </c>
      <c r="AO2021" t="n">
        <v>0</v>
      </c>
      <c r="AP2021">
        <f>N(AP2020)+$AO2021</f>
        <v>13</v>
      </c>
      <c r="AR2021">
        <f>IF(OR($AF2021=1,$AH2021=1),1,0)</f>
        <v>0</v>
      </c>
      <c r="AS2021">
        <f>N(AS2020)+$AR2021</f>
        <v>10</v>
      </c>
    </row>
    <row r="2022" s="127">
      <c r="A2022">
        <f>IF(对接源_02物料!$C822="","",对接源_02物料!$C822)</f>
      </c>
      <c r="B2022">
        <f>IF(A2022="",0,IF(MATCH(A2022,$A$4:$A$2403,0)=ROW()-3,1,0))</f>
        <v>0</v>
      </c>
      <c r="C2022">
        <f>N(C2021)+B2022</f>
        <v>26</v>
      </c>
      <c r="K2022">
        <f>IF(OR($K$1="",对接源_02物料!$C822="",对接源_02物料!$C822&lt;&gt;$K$1,对接源_02物料!$B822=""),0,IF(OR(N(对接源_02物料!$B822)&lt;$K$2,N(对接源_02物料!$B822)&gt;$K$3),0,1))</f>
        <v>0</v>
      </c>
      <c r="L2022">
        <f>IF(OR($L$1="",对接源_02物料!$C822="",对接源_02物料!$C822&lt;&gt;$L$1,对接源_02物料!$B822=""),0,IF(OR(N(对接源_02物料!$B822)&lt;$L$2,N(对接源_02物料!$B822)&gt;$L$3),0,1))</f>
        <v>0</v>
      </c>
      <c r="M2022">
        <f>IF(OR($M$1="",对接源_02物料!$C822="",对接源_02物料!$C822&lt;&gt;$M$1,对接源_02物料!$B822=""),0,IF(OR(N(对接源_02物料!$B822)&lt;$M$2,N(对接源_02物料!$B822)&gt;$M$3),0,1))</f>
        <v>0</v>
      </c>
      <c r="N2022">
        <f>IF(OR($N$1="",对接源_02物料!$C822="",对接源_02物料!$C822&lt;&gt;$N$1,对接源_02物料!$B822=""),0,IF(OR(N(对接源_02物料!$B822)&lt;$N$2,N(对接源_02物料!$B822)&gt;$N$3),0,1))</f>
        <v>0</v>
      </c>
      <c r="P2022">
        <f>IF(AND($K2022=1,AND(对接源_02物料!$X822="公司筐",N(对接源_02物料!$T822)&lt;&gt;0)),1,0)</f>
        <v>0</v>
      </c>
      <c r="Q2022">
        <f>N(Q2021)+$P2022</f>
        <v>14</v>
      </c>
      <c r="R2022">
        <f>IF(AND($K2022=1,AND(对接源_02物料!$X822="公司筐",N(对接源_02物料!$U822)&lt;&gt;0)),1,0)</f>
        <v>0</v>
      </c>
      <c r="S2022">
        <f>N(S2021)+$R2022</f>
        <v>1</v>
      </c>
      <c r="T2022">
        <f>IF(AND($K2022=1,AND(对接源_02物料!$X822="公司筐",N(对接源_02物料!$V822)&lt;&gt;0)),1,0)</f>
        <v>0</v>
      </c>
      <c r="U2022">
        <f>N(U2021)+$T2022</f>
        <v>47</v>
      </c>
      <c r="V2022">
        <f>IF(AND($L2022=1,AND(对接源_02物料!$X822="自备筐",N(对接源_02物料!$V822)&lt;&gt;0)),1,0)</f>
        <v>0</v>
      </c>
      <c r="W2022">
        <f>N(W2021)+$V2022</f>
        <v>11</v>
      </c>
      <c r="X2022">
        <f>IF(AND($L2022=1,AND(对接源_02物料!$X822="自备筐",N(对接源_02物料!$T822)&lt;&gt;0)),1,0)</f>
        <v>0</v>
      </c>
      <c r="Y2022">
        <f>N(Y2021)+$X2022</f>
        <v>0</v>
      </c>
      <c r="Z2022">
        <f>IF(AND($M2022=1,对接源_02物料!$D822="原料入库"),1,0)</f>
        <v>0</v>
      </c>
      <c r="AA2022">
        <f>N(AA2021)+$Z2022</f>
        <v>24</v>
      </c>
      <c r="AB2022">
        <f>IF(AND($M2022=1,LEFT(对接源_02物料!$D822,4)="原料出库"),1,0)</f>
        <v>0</v>
      </c>
      <c r="AC2022">
        <f>N(AC2021)+$AB2022</f>
        <v>0</v>
      </c>
      <c r="AD2022">
        <f>IF(AND($M2022=1,LEFT(对接源_02物料!$D822,4)="成品出库"),1,0)</f>
        <v>0</v>
      </c>
      <c r="AE2022">
        <f>N(AE2021)+$AD2022</f>
        <v>0</v>
      </c>
      <c r="AF2022">
        <f>IF(AND($N2022=1,AND(LEFT(对接源_02物料!$D822,4)="包装物料",N(对接源_02物料!$K822)&lt;&gt;0)),1,0)</f>
        <v>0</v>
      </c>
      <c r="AG2022">
        <f>N(AG2021)+$AF2022</f>
        <v>10</v>
      </c>
      <c r="AH2022">
        <f>IF(AND($N2022=1,AND(对接源_02物料!$D822="周转筐－销售出库",N(对接源_02物料!$K822)&lt;&gt;0)),1,0)</f>
        <v>0</v>
      </c>
      <c r="AI2022">
        <f>N(AI2021)+$AH2022</f>
        <v>0</v>
      </c>
      <c r="AL2022" t="n">
        <v>0</v>
      </c>
      <c r="AM2022">
        <f>N(AM2021)+$AL2022</f>
        <v>2</v>
      </c>
      <c r="AN2022">
        <f>""</f>
      </c>
      <c r="AO2022" t="n">
        <v>0</v>
      </c>
      <c r="AP2022">
        <f>N(AP2021)+$AO2022</f>
        <v>13</v>
      </c>
      <c r="AR2022">
        <f>IF(OR($AF2022=1,$AH2022=1),1,0)</f>
        <v>0</v>
      </c>
      <c r="AS2022">
        <f>N(AS2021)+$AR2022</f>
        <v>10</v>
      </c>
    </row>
    <row r="2023" s="127">
      <c r="A2023">
        <f>IF(对接源_02物料!$C823="","",对接源_02物料!$C823)</f>
      </c>
      <c r="B2023">
        <f>IF(A2023="",0,IF(MATCH(A2023,$A$4:$A$2403,0)=ROW()-3,1,0))</f>
        <v>0</v>
      </c>
      <c r="C2023">
        <f>N(C2022)+B2023</f>
        <v>26</v>
      </c>
      <c r="K2023">
        <f>IF(OR($K$1="",对接源_02物料!$C823="",对接源_02物料!$C823&lt;&gt;$K$1,对接源_02物料!$B823=""),0,IF(OR(N(对接源_02物料!$B823)&lt;$K$2,N(对接源_02物料!$B823)&gt;$K$3),0,1))</f>
        <v>0</v>
      </c>
      <c r="L2023">
        <f>IF(OR($L$1="",对接源_02物料!$C823="",对接源_02物料!$C823&lt;&gt;$L$1,对接源_02物料!$B823=""),0,IF(OR(N(对接源_02物料!$B823)&lt;$L$2,N(对接源_02物料!$B823)&gt;$L$3),0,1))</f>
        <v>0</v>
      </c>
      <c r="M2023">
        <f>IF(OR($M$1="",对接源_02物料!$C823="",对接源_02物料!$C823&lt;&gt;$M$1,对接源_02物料!$B823=""),0,IF(OR(N(对接源_02物料!$B823)&lt;$M$2,N(对接源_02物料!$B823)&gt;$M$3),0,1))</f>
        <v>0</v>
      </c>
      <c r="N2023">
        <f>IF(OR($N$1="",对接源_02物料!$C823="",对接源_02物料!$C823&lt;&gt;$N$1,对接源_02物料!$B823=""),0,IF(OR(N(对接源_02物料!$B823)&lt;$N$2,N(对接源_02物料!$B823)&gt;$N$3),0,1))</f>
        <v>0</v>
      </c>
      <c r="P2023">
        <f>IF(AND($K2023=1,AND(对接源_02物料!$X823="公司筐",N(对接源_02物料!$T823)&lt;&gt;0)),1,0)</f>
        <v>0</v>
      </c>
      <c r="Q2023">
        <f>N(Q2022)+$P2023</f>
        <v>14</v>
      </c>
      <c r="R2023">
        <f>IF(AND($K2023=1,AND(对接源_02物料!$X823="公司筐",N(对接源_02物料!$U823)&lt;&gt;0)),1,0)</f>
        <v>0</v>
      </c>
      <c r="S2023">
        <f>N(S2022)+$R2023</f>
        <v>1</v>
      </c>
      <c r="T2023">
        <f>IF(AND($K2023=1,AND(对接源_02物料!$X823="公司筐",N(对接源_02物料!$V823)&lt;&gt;0)),1,0)</f>
        <v>0</v>
      </c>
      <c r="U2023">
        <f>N(U2022)+$T2023</f>
        <v>47</v>
      </c>
      <c r="V2023">
        <f>IF(AND($L2023=1,AND(对接源_02物料!$X823="自备筐",N(对接源_02物料!$V823)&lt;&gt;0)),1,0)</f>
        <v>0</v>
      </c>
      <c r="W2023">
        <f>N(W2022)+$V2023</f>
        <v>11</v>
      </c>
      <c r="X2023">
        <f>IF(AND($L2023=1,AND(对接源_02物料!$X823="自备筐",N(对接源_02物料!$T823)&lt;&gt;0)),1,0)</f>
        <v>0</v>
      </c>
      <c r="Y2023">
        <f>N(Y2022)+$X2023</f>
        <v>0</v>
      </c>
      <c r="Z2023">
        <f>IF(AND($M2023=1,对接源_02物料!$D823="原料入库"),1,0)</f>
        <v>0</v>
      </c>
      <c r="AA2023">
        <f>N(AA2022)+$Z2023</f>
        <v>24</v>
      </c>
      <c r="AB2023">
        <f>IF(AND($M2023=1,LEFT(对接源_02物料!$D823,4)="原料出库"),1,0)</f>
        <v>0</v>
      </c>
      <c r="AC2023">
        <f>N(AC2022)+$AB2023</f>
        <v>0</v>
      </c>
      <c r="AD2023">
        <f>IF(AND($M2023=1,LEFT(对接源_02物料!$D823,4)="成品出库"),1,0)</f>
        <v>0</v>
      </c>
      <c r="AE2023">
        <f>N(AE2022)+$AD2023</f>
        <v>0</v>
      </c>
      <c r="AF2023">
        <f>IF(AND($N2023=1,AND(LEFT(对接源_02物料!$D823,4)="包装物料",N(对接源_02物料!$K823)&lt;&gt;0)),1,0)</f>
        <v>0</v>
      </c>
      <c r="AG2023">
        <f>N(AG2022)+$AF2023</f>
        <v>10</v>
      </c>
      <c r="AH2023">
        <f>IF(AND($N2023=1,AND(对接源_02物料!$D823="周转筐－销售出库",N(对接源_02物料!$K823)&lt;&gt;0)),1,0)</f>
        <v>0</v>
      </c>
      <c r="AI2023">
        <f>N(AI2022)+$AH2023</f>
        <v>0</v>
      </c>
      <c r="AL2023" t="n">
        <v>0</v>
      </c>
      <c r="AM2023">
        <f>N(AM2022)+$AL2023</f>
        <v>2</v>
      </c>
      <c r="AN2023">
        <f>""</f>
      </c>
      <c r="AO2023" t="n">
        <v>0</v>
      </c>
      <c r="AP2023">
        <f>N(AP2022)+$AO2023</f>
        <v>13</v>
      </c>
      <c r="AR2023">
        <f>IF(OR($AF2023=1,$AH2023=1),1,0)</f>
        <v>0</v>
      </c>
      <c r="AS2023">
        <f>N(AS2022)+$AR2023</f>
        <v>10</v>
      </c>
    </row>
    <row r="2024" s="127">
      <c r="A2024">
        <f>IF(对接源_02物料!$C824="","",对接源_02物料!$C824)</f>
      </c>
      <c r="B2024">
        <f>IF(A2024="",0,IF(MATCH(A2024,$A$4:$A$2403,0)=ROW()-3,1,0))</f>
        <v>0</v>
      </c>
      <c r="C2024">
        <f>N(C2023)+B2024</f>
        <v>26</v>
      </c>
      <c r="K2024">
        <f>IF(OR($K$1="",对接源_02物料!$C824="",对接源_02物料!$C824&lt;&gt;$K$1,对接源_02物料!$B824=""),0,IF(OR(N(对接源_02物料!$B824)&lt;$K$2,N(对接源_02物料!$B824)&gt;$K$3),0,1))</f>
        <v>0</v>
      </c>
      <c r="L2024">
        <f>IF(OR($L$1="",对接源_02物料!$C824="",对接源_02物料!$C824&lt;&gt;$L$1,对接源_02物料!$B824=""),0,IF(OR(N(对接源_02物料!$B824)&lt;$L$2,N(对接源_02物料!$B824)&gt;$L$3),0,1))</f>
        <v>0</v>
      </c>
      <c r="M2024">
        <f>IF(OR($M$1="",对接源_02物料!$C824="",对接源_02物料!$C824&lt;&gt;$M$1,对接源_02物料!$B824=""),0,IF(OR(N(对接源_02物料!$B824)&lt;$M$2,N(对接源_02物料!$B824)&gt;$M$3),0,1))</f>
        <v>0</v>
      </c>
      <c r="N2024">
        <f>IF(OR($N$1="",对接源_02物料!$C824="",对接源_02物料!$C824&lt;&gt;$N$1,对接源_02物料!$B824=""),0,IF(OR(N(对接源_02物料!$B824)&lt;$N$2,N(对接源_02物料!$B824)&gt;$N$3),0,1))</f>
        <v>0</v>
      </c>
      <c r="P2024">
        <f>IF(AND($K2024=1,AND(对接源_02物料!$X824="公司筐",N(对接源_02物料!$T824)&lt;&gt;0)),1,0)</f>
        <v>0</v>
      </c>
      <c r="Q2024">
        <f>N(Q2023)+$P2024</f>
        <v>14</v>
      </c>
      <c r="R2024">
        <f>IF(AND($K2024=1,AND(对接源_02物料!$X824="公司筐",N(对接源_02物料!$U824)&lt;&gt;0)),1,0)</f>
        <v>0</v>
      </c>
      <c r="S2024">
        <f>N(S2023)+$R2024</f>
        <v>1</v>
      </c>
      <c r="T2024">
        <f>IF(AND($K2024=1,AND(对接源_02物料!$X824="公司筐",N(对接源_02物料!$V824)&lt;&gt;0)),1,0)</f>
        <v>0</v>
      </c>
      <c r="U2024">
        <f>N(U2023)+$T2024</f>
        <v>47</v>
      </c>
      <c r="V2024">
        <f>IF(AND($L2024=1,AND(对接源_02物料!$X824="自备筐",N(对接源_02物料!$V824)&lt;&gt;0)),1,0)</f>
        <v>0</v>
      </c>
      <c r="W2024">
        <f>N(W2023)+$V2024</f>
        <v>11</v>
      </c>
      <c r="X2024">
        <f>IF(AND($L2024=1,AND(对接源_02物料!$X824="自备筐",N(对接源_02物料!$T824)&lt;&gt;0)),1,0)</f>
        <v>0</v>
      </c>
      <c r="Y2024">
        <f>N(Y2023)+$X2024</f>
        <v>0</v>
      </c>
      <c r="Z2024">
        <f>IF(AND($M2024=1,对接源_02物料!$D824="原料入库"),1,0)</f>
        <v>0</v>
      </c>
      <c r="AA2024">
        <f>N(AA2023)+$Z2024</f>
        <v>24</v>
      </c>
      <c r="AB2024">
        <f>IF(AND($M2024=1,LEFT(对接源_02物料!$D824,4)="原料出库"),1,0)</f>
        <v>0</v>
      </c>
      <c r="AC2024">
        <f>N(AC2023)+$AB2024</f>
        <v>0</v>
      </c>
      <c r="AD2024">
        <f>IF(AND($M2024=1,LEFT(对接源_02物料!$D824,4)="成品出库"),1,0)</f>
        <v>0</v>
      </c>
      <c r="AE2024">
        <f>N(AE2023)+$AD2024</f>
        <v>0</v>
      </c>
      <c r="AF2024">
        <f>IF(AND($N2024=1,AND(LEFT(对接源_02物料!$D824,4)="包装物料",N(对接源_02物料!$K824)&lt;&gt;0)),1,0)</f>
        <v>0</v>
      </c>
      <c r="AG2024">
        <f>N(AG2023)+$AF2024</f>
        <v>10</v>
      </c>
      <c r="AH2024">
        <f>IF(AND($N2024=1,AND(对接源_02物料!$D824="周转筐－销售出库",N(对接源_02物料!$K824)&lt;&gt;0)),1,0)</f>
        <v>0</v>
      </c>
      <c r="AI2024">
        <f>N(AI2023)+$AH2024</f>
        <v>0</v>
      </c>
      <c r="AL2024" t="n">
        <v>0</v>
      </c>
      <c r="AM2024">
        <f>N(AM2023)+$AL2024</f>
        <v>2</v>
      </c>
      <c r="AN2024">
        <f>""</f>
      </c>
      <c r="AO2024" t="n">
        <v>0</v>
      </c>
      <c r="AP2024">
        <f>N(AP2023)+$AO2024</f>
        <v>13</v>
      </c>
      <c r="AR2024">
        <f>IF(OR($AF2024=1,$AH2024=1),1,0)</f>
        <v>0</v>
      </c>
      <c r="AS2024">
        <f>N(AS2023)+$AR2024</f>
        <v>10</v>
      </c>
    </row>
    <row r="2025" s="127">
      <c r="A2025">
        <f>IF(对接源_02物料!$C825="","",对接源_02物料!$C825)</f>
      </c>
      <c r="B2025">
        <f>IF(A2025="",0,IF(MATCH(A2025,$A$4:$A$2403,0)=ROW()-3,1,0))</f>
        <v>0</v>
      </c>
      <c r="C2025">
        <f>N(C2024)+B2025</f>
        <v>26</v>
      </c>
      <c r="K2025">
        <f>IF(OR($K$1="",对接源_02物料!$C825="",对接源_02物料!$C825&lt;&gt;$K$1,对接源_02物料!$B825=""),0,IF(OR(N(对接源_02物料!$B825)&lt;$K$2,N(对接源_02物料!$B825)&gt;$K$3),0,1))</f>
        <v>0</v>
      </c>
      <c r="L2025">
        <f>IF(OR($L$1="",对接源_02物料!$C825="",对接源_02物料!$C825&lt;&gt;$L$1,对接源_02物料!$B825=""),0,IF(OR(N(对接源_02物料!$B825)&lt;$L$2,N(对接源_02物料!$B825)&gt;$L$3),0,1))</f>
        <v>0</v>
      </c>
      <c r="M2025">
        <f>IF(OR($M$1="",对接源_02物料!$C825="",对接源_02物料!$C825&lt;&gt;$M$1,对接源_02物料!$B825=""),0,IF(OR(N(对接源_02物料!$B825)&lt;$M$2,N(对接源_02物料!$B825)&gt;$M$3),0,1))</f>
        <v>0</v>
      </c>
      <c r="N2025">
        <f>IF(OR($N$1="",对接源_02物料!$C825="",对接源_02物料!$C825&lt;&gt;$N$1,对接源_02物料!$B825=""),0,IF(OR(N(对接源_02物料!$B825)&lt;$N$2,N(对接源_02物料!$B825)&gt;$N$3),0,1))</f>
        <v>0</v>
      </c>
      <c r="P2025">
        <f>IF(AND($K2025=1,AND(对接源_02物料!$X825="公司筐",N(对接源_02物料!$T825)&lt;&gt;0)),1,0)</f>
        <v>0</v>
      </c>
      <c r="Q2025">
        <f>N(Q2024)+$P2025</f>
        <v>14</v>
      </c>
      <c r="R2025">
        <f>IF(AND($K2025=1,AND(对接源_02物料!$X825="公司筐",N(对接源_02物料!$U825)&lt;&gt;0)),1,0)</f>
        <v>0</v>
      </c>
      <c r="S2025">
        <f>N(S2024)+$R2025</f>
        <v>1</v>
      </c>
      <c r="T2025">
        <f>IF(AND($K2025=1,AND(对接源_02物料!$X825="公司筐",N(对接源_02物料!$V825)&lt;&gt;0)),1,0)</f>
        <v>0</v>
      </c>
      <c r="U2025">
        <f>N(U2024)+$T2025</f>
        <v>47</v>
      </c>
      <c r="V2025">
        <f>IF(AND($L2025=1,AND(对接源_02物料!$X825="自备筐",N(对接源_02物料!$V825)&lt;&gt;0)),1,0)</f>
        <v>0</v>
      </c>
      <c r="W2025">
        <f>N(W2024)+$V2025</f>
        <v>11</v>
      </c>
      <c r="X2025">
        <f>IF(AND($L2025=1,AND(对接源_02物料!$X825="自备筐",N(对接源_02物料!$T825)&lt;&gt;0)),1,0)</f>
        <v>0</v>
      </c>
      <c r="Y2025">
        <f>N(Y2024)+$X2025</f>
        <v>0</v>
      </c>
      <c r="Z2025">
        <f>IF(AND($M2025=1,对接源_02物料!$D825="原料入库"),1,0)</f>
        <v>0</v>
      </c>
      <c r="AA2025">
        <f>N(AA2024)+$Z2025</f>
        <v>24</v>
      </c>
      <c r="AB2025">
        <f>IF(AND($M2025=1,LEFT(对接源_02物料!$D825,4)="原料出库"),1,0)</f>
        <v>0</v>
      </c>
      <c r="AC2025">
        <f>N(AC2024)+$AB2025</f>
        <v>0</v>
      </c>
      <c r="AD2025">
        <f>IF(AND($M2025=1,LEFT(对接源_02物料!$D825,4)="成品出库"),1,0)</f>
        <v>0</v>
      </c>
      <c r="AE2025">
        <f>N(AE2024)+$AD2025</f>
        <v>0</v>
      </c>
      <c r="AF2025">
        <f>IF(AND($N2025=1,AND(LEFT(对接源_02物料!$D825,4)="包装物料",N(对接源_02物料!$K825)&lt;&gt;0)),1,0)</f>
        <v>0</v>
      </c>
      <c r="AG2025">
        <f>N(AG2024)+$AF2025</f>
        <v>10</v>
      </c>
      <c r="AH2025">
        <f>IF(AND($N2025=1,AND(对接源_02物料!$D825="周转筐－销售出库",N(对接源_02物料!$K825)&lt;&gt;0)),1,0)</f>
        <v>0</v>
      </c>
      <c r="AI2025">
        <f>N(AI2024)+$AH2025</f>
        <v>0</v>
      </c>
      <c r="AL2025" t="n">
        <v>0</v>
      </c>
      <c r="AM2025">
        <f>N(AM2024)+$AL2025</f>
        <v>2</v>
      </c>
      <c r="AN2025">
        <f>""</f>
      </c>
      <c r="AO2025" t="n">
        <v>0</v>
      </c>
      <c r="AP2025">
        <f>N(AP2024)+$AO2025</f>
        <v>13</v>
      </c>
      <c r="AR2025">
        <f>IF(OR($AF2025=1,$AH2025=1),1,0)</f>
        <v>0</v>
      </c>
      <c r="AS2025">
        <f>N(AS2024)+$AR2025</f>
        <v>10</v>
      </c>
    </row>
    <row r="2026" s="127">
      <c r="A2026">
        <f>IF(对接源_02物料!$C826="","",对接源_02物料!$C826)</f>
      </c>
      <c r="B2026">
        <f>IF(A2026="",0,IF(MATCH(A2026,$A$4:$A$2403,0)=ROW()-3,1,0))</f>
        <v>0</v>
      </c>
      <c r="C2026">
        <f>N(C2025)+B2026</f>
        <v>26</v>
      </c>
      <c r="K2026">
        <f>IF(OR($K$1="",对接源_02物料!$C826="",对接源_02物料!$C826&lt;&gt;$K$1,对接源_02物料!$B826=""),0,IF(OR(N(对接源_02物料!$B826)&lt;$K$2,N(对接源_02物料!$B826)&gt;$K$3),0,1))</f>
        <v>0</v>
      </c>
      <c r="L2026">
        <f>IF(OR($L$1="",对接源_02物料!$C826="",对接源_02物料!$C826&lt;&gt;$L$1,对接源_02物料!$B826=""),0,IF(OR(N(对接源_02物料!$B826)&lt;$L$2,N(对接源_02物料!$B826)&gt;$L$3),0,1))</f>
        <v>0</v>
      </c>
      <c r="M2026">
        <f>IF(OR($M$1="",对接源_02物料!$C826="",对接源_02物料!$C826&lt;&gt;$M$1,对接源_02物料!$B826=""),0,IF(OR(N(对接源_02物料!$B826)&lt;$M$2,N(对接源_02物料!$B826)&gt;$M$3),0,1))</f>
        <v>0</v>
      </c>
      <c r="N2026">
        <f>IF(OR($N$1="",对接源_02物料!$C826="",对接源_02物料!$C826&lt;&gt;$N$1,对接源_02物料!$B826=""),0,IF(OR(N(对接源_02物料!$B826)&lt;$N$2,N(对接源_02物料!$B826)&gt;$N$3),0,1))</f>
        <v>0</v>
      </c>
      <c r="P2026">
        <f>IF(AND($K2026=1,AND(对接源_02物料!$X826="公司筐",N(对接源_02物料!$T826)&lt;&gt;0)),1,0)</f>
        <v>0</v>
      </c>
      <c r="Q2026">
        <f>N(Q2025)+$P2026</f>
        <v>14</v>
      </c>
      <c r="R2026">
        <f>IF(AND($K2026=1,AND(对接源_02物料!$X826="公司筐",N(对接源_02物料!$U826)&lt;&gt;0)),1,0)</f>
        <v>0</v>
      </c>
      <c r="S2026">
        <f>N(S2025)+$R2026</f>
        <v>1</v>
      </c>
      <c r="T2026">
        <f>IF(AND($K2026=1,AND(对接源_02物料!$X826="公司筐",N(对接源_02物料!$V826)&lt;&gt;0)),1,0)</f>
        <v>0</v>
      </c>
      <c r="U2026">
        <f>N(U2025)+$T2026</f>
        <v>47</v>
      </c>
      <c r="V2026">
        <f>IF(AND($L2026=1,AND(对接源_02物料!$X826="自备筐",N(对接源_02物料!$V826)&lt;&gt;0)),1,0)</f>
        <v>0</v>
      </c>
      <c r="W2026">
        <f>N(W2025)+$V2026</f>
        <v>11</v>
      </c>
      <c r="X2026">
        <f>IF(AND($L2026=1,AND(对接源_02物料!$X826="自备筐",N(对接源_02物料!$T826)&lt;&gt;0)),1,0)</f>
        <v>0</v>
      </c>
      <c r="Y2026">
        <f>N(Y2025)+$X2026</f>
        <v>0</v>
      </c>
      <c r="Z2026">
        <f>IF(AND($M2026=1,对接源_02物料!$D826="原料入库"),1,0)</f>
        <v>0</v>
      </c>
      <c r="AA2026">
        <f>N(AA2025)+$Z2026</f>
        <v>24</v>
      </c>
      <c r="AB2026">
        <f>IF(AND($M2026=1,LEFT(对接源_02物料!$D826,4)="原料出库"),1,0)</f>
        <v>0</v>
      </c>
      <c r="AC2026">
        <f>N(AC2025)+$AB2026</f>
        <v>0</v>
      </c>
      <c r="AD2026">
        <f>IF(AND($M2026=1,LEFT(对接源_02物料!$D826,4)="成品出库"),1,0)</f>
        <v>0</v>
      </c>
      <c r="AE2026">
        <f>N(AE2025)+$AD2026</f>
        <v>0</v>
      </c>
      <c r="AF2026">
        <f>IF(AND($N2026=1,AND(LEFT(对接源_02物料!$D826,4)="包装物料",N(对接源_02物料!$K826)&lt;&gt;0)),1,0)</f>
        <v>0</v>
      </c>
      <c r="AG2026">
        <f>N(AG2025)+$AF2026</f>
        <v>10</v>
      </c>
      <c r="AH2026">
        <f>IF(AND($N2026=1,AND(对接源_02物料!$D826="周转筐－销售出库",N(对接源_02物料!$K826)&lt;&gt;0)),1,0)</f>
        <v>0</v>
      </c>
      <c r="AI2026">
        <f>N(AI2025)+$AH2026</f>
        <v>0</v>
      </c>
      <c r="AL2026" t="n">
        <v>0</v>
      </c>
      <c r="AM2026">
        <f>N(AM2025)+$AL2026</f>
        <v>2</v>
      </c>
      <c r="AN2026">
        <f>""</f>
      </c>
      <c r="AO2026" t="n">
        <v>0</v>
      </c>
      <c r="AP2026">
        <f>N(AP2025)+$AO2026</f>
        <v>13</v>
      </c>
      <c r="AR2026">
        <f>IF(OR($AF2026=1,$AH2026=1),1,0)</f>
        <v>0</v>
      </c>
      <c r="AS2026">
        <f>N(AS2025)+$AR2026</f>
        <v>10</v>
      </c>
    </row>
    <row r="2027" s="127">
      <c r="A2027">
        <f>IF(对接源_02物料!$C827="","",对接源_02物料!$C827)</f>
      </c>
      <c r="B2027">
        <f>IF(A2027="",0,IF(MATCH(A2027,$A$4:$A$2403,0)=ROW()-3,1,0))</f>
        <v>0</v>
      </c>
      <c r="C2027">
        <f>N(C2026)+B2027</f>
        <v>26</v>
      </c>
      <c r="K2027">
        <f>IF(OR($K$1="",对接源_02物料!$C827="",对接源_02物料!$C827&lt;&gt;$K$1,对接源_02物料!$B827=""),0,IF(OR(N(对接源_02物料!$B827)&lt;$K$2,N(对接源_02物料!$B827)&gt;$K$3),0,1))</f>
        <v>0</v>
      </c>
      <c r="L2027">
        <f>IF(OR($L$1="",对接源_02物料!$C827="",对接源_02物料!$C827&lt;&gt;$L$1,对接源_02物料!$B827=""),0,IF(OR(N(对接源_02物料!$B827)&lt;$L$2,N(对接源_02物料!$B827)&gt;$L$3),0,1))</f>
        <v>0</v>
      </c>
      <c r="M2027">
        <f>IF(OR($M$1="",对接源_02物料!$C827="",对接源_02物料!$C827&lt;&gt;$M$1,对接源_02物料!$B827=""),0,IF(OR(N(对接源_02物料!$B827)&lt;$M$2,N(对接源_02物料!$B827)&gt;$M$3),0,1))</f>
        <v>0</v>
      </c>
      <c r="N2027">
        <f>IF(OR($N$1="",对接源_02物料!$C827="",对接源_02物料!$C827&lt;&gt;$N$1,对接源_02物料!$B827=""),0,IF(OR(N(对接源_02物料!$B827)&lt;$N$2,N(对接源_02物料!$B827)&gt;$N$3),0,1))</f>
        <v>0</v>
      </c>
      <c r="P2027">
        <f>IF(AND($K2027=1,AND(对接源_02物料!$X827="公司筐",N(对接源_02物料!$T827)&lt;&gt;0)),1,0)</f>
        <v>0</v>
      </c>
      <c r="Q2027">
        <f>N(Q2026)+$P2027</f>
        <v>14</v>
      </c>
      <c r="R2027">
        <f>IF(AND($K2027=1,AND(对接源_02物料!$X827="公司筐",N(对接源_02物料!$U827)&lt;&gt;0)),1,0)</f>
        <v>0</v>
      </c>
      <c r="S2027">
        <f>N(S2026)+$R2027</f>
        <v>1</v>
      </c>
      <c r="T2027">
        <f>IF(AND($K2027=1,AND(对接源_02物料!$X827="公司筐",N(对接源_02物料!$V827)&lt;&gt;0)),1,0)</f>
        <v>0</v>
      </c>
      <c r="U2027">
        <f>N(U2026)+$T2027</f>
        <v>47</v>
      </c>
      <c r="V2027">
        <f>IF(AND($L2027=1,AND(对接源_02物料!$X827="自备筐",N(对接源_02物料!$V827)&lt;&gt;0)),1,0)</f>
        <v>0</v>
      </c>
      <c r="W2027">
        <f>N(W2026)+$V2027</f>
        <v>11</v>
      </c>
      <c r="X2027">
        <f>IF(AND($L2027=1,AND(对接源_02物料!$X827="自备筐",N(对接源_02物料!$T827)&lt;&gt;0)),1,0)</f>
        <v>0</v>
      </c>
      <c r="Y2027">
        <f>N(Y2026)+$X2027</f>
        <v>0</v>
      </c>
      <c r="Z2027">
        <f>IF(AND($M2027=1,对接源_02物料!$D827="原料入库"),1,0)</f>
        <v>0</v>
      </c>
      <c r="AA2027">
        <f>N(AA2026)+$Z2027</f>
        <v>24</v>
      </c>
      <c r="AB2027">
        <f>IF(AND($M2027=1,LEFT(对接源_02物料!$D827,4)="原料出库"),1,0)</f>
        <v>0</v>
      </c>
      <c r="AC2027">
        <f>N(AC2026)+$AB2027</f>
        <v>0</v>
      </c>
      <c r="AD2027">
        <f>IF(AND($M2027=1,LEFT(对接源_02物料!$D827,4)="成品出库"),1,0)</f>
        <v>0</v>
      </c>
      <c r="AE2027">
        <f>N(AE2026)+$AD2027</f>
        <v>0</v>
      </c>
      <c r="AF2027">
        <f>IF(AND($N2027=1,AND(LEFT(对接源_02物料!$D827,4)="包装物料",N(对接源_02物料!$K827)&lt;&gt;0)),1,0)</f>
        <v>0</v>
      </c>
      <c r="AG2027">
        <f>N(AG2026)+$AF2027</f>
        <v>10</v>
      </c>
      <c r="AH2027">
        <f>IF(AND($N2027=1,AND(对接源_02物料!$D827="周转筐－销售出库",N(对接源_02物料!$K827)&lt;&gt;0)),1,0)</f>
        <v>0</v>
      </c>
      <c r="AI2027">
        <f>N(AI2026)+$AH2027</f>
        <v>0</v>
      </c>
      <c r="AL2027" t="n">
        <v>0</v>
      </c>
      <c r="AM2027">
        <f>N(AM2026)+$AL2027</f>
        <v>2</v>
      </c>
      <c r="AN2027">
        <f>""</f>
      </c>
      <c r="AO2027" t="n">
        <v>0</v>
      </c>
      <c r="AP2027">
        <f>N(AP2026)+$AO2027</f>
        <v>13</v>
      </c>
      <c r="AR2027">
        <f>IF(OR($AF2027=1,$AH2027=1),1,0)</f>
        <v>0</v>
      </c>
      <c r="AS2027">
        <f>N(AS2026)+$AR2027</f>
        <v>10</v>
      </c>
    </row>
    <row r="2028" s="127">
      <c r="A2028">
        <f>IF(对接源_02物料!$C828="","",对接源_02物料!$C828)</f>
      </c>
      <c r="B2028">
        <f>IF(A2028="",0,IF(MATCH(A2028,$A$4:$A$2403,0)=ROW()-3,1,0))</f>
        <v>0</v>
      </c>
      <c r="C2028">
        <f>N(C2027)+B2028</f>
        <v>26</v>
      </c>
      <c r="K2028">
        <f>IF(OR($K$1="",对接源_02物料!$C828="",对接源_02物料!$C828&lt;&gt;$K$1,对接源_02物料!$B828=""),0,IF(OR(N(对接源_02物料!$B828)&lt;$K$2,N(对接源_02物料!$B828)&gt;$K$3),0,1))</f>
        <v>0</v>
      </c>
      <c r="L2028">
        <f>IF(OR($L$1="",对接源_02物料!$C828="",对接源_02物料!$C828&lt;&gt;$L$1,对接源_02物料!$B828=""),0,IF(OR(N(对接源_02物料!$B828)&lt;$L$2,N(对接源_02物料!$B828)&gt;$L$3),0,1))</f>
        <v>0</v>
      </c>
      <c r="M2028">
        <f>IF(OR($M$1="",对接源_02物料!$C828="",对接源_02物料!$C828&lt;&gt;$M$1,对接源_02物料!$B828=""),0,IF(OR(N(对接源_02物料!$B828)&lt;$M$2,N(对接源_02物料!$B828)&gt;$M$3),0,1))</f>
        <v>0</v>
      </c>
      <c r="N2028">
        <f>IF(OR($N$1="",对接源_02物料!$C828="",对接源_02物料!$C828&lt;&gt;$N$1,对接源_02物料!$B828=""),0,IF(OR(N(对接源_02物料!$B828)&lt;$N$2,N(对接源_02物料!$B828)&gt;$N$3),0,1))</f>
        <v>0</v>
      </c>
      <c r="P2028">
        <f>IF(AND($K2028=1,AND(对接源_02物料!$X828="公司筐",N(对接源_02物料!$T828)&lt;&gt;0)),1,0)</f>
        <v>0</v>
      </c>
      <c r="Q2028">
        <f>N(Q2027)+$P2028</f>
        <v>14</v>
      </c>
      <c r="R2028">
        <f>IF(AND($K2028=1,AND(对接源_02物料!$X828="公司筐",N(对接源_02物料!$U828)&lt;&gt;0)),1,0)</f>
        <v>0</v>
      </c>
      <c r="S2028">
        <f>N(S2027)+$R2028</f>
        <v>1</v>
      </c>
      <c r="T2028">
        <f>IF(AND($K2028=1,AND(对接源_02物料!$X828="公司筐",N(对接源_02物料!$V828)&lt;&gt;0)),1,0)</f>
        <v>0</v>
      </c>
      <c r="U2028">
        <f>N(U2027)+$T2028</f>
        <v>47</v>
      </c>
      <c r="V2028">
        <f>IF(AND($L2028=1,AND(对接源_02物料!$X828="自备筐",N(对接源_02物料!$V828)&lt;&gt;0)),1,0)</f>
        <v>0</v>
      </c>
      <c r="W2028">
        <f>N(W2027)+$V2028</f>
        <v>11</v>
      </c>
      <c r="X2028">
        <f>IF(AND($L2028=1,AND(对接源_02物料!$X828="自备筐",N(对接源_02物料!$T828)&lt;&gt;0)),1,0)</f>
        <v>0</v>
      </c>
      <c r="Y2028">
        <f>N(Y2027)+$X2028</f>
        <v>0</v>
      </c>
      <c r="Z2028">
        <f>IF(AND($M2028=1,对接源_02物料!$D828="原料入库"),1,0)</f>
        <v>0</v>
      </c>
      <c r="AA2028">
        <f>N(AA2027)+$Z2028</f>
        <v>24</v>
      </c>
      <c r="AB2028">
        <f>IF(AND($M2028=1,LEFT(对接源_02物料!$D828,4)="原料出库"),1,0)</f>
        <v>0</v>
      </c>
      <c r="AC2028">
        <f>N(AC2027)+$AB2028</f>
        <v>0</v>
      </c>
      <c r="AD2028">
        <f>IF(AND($M2028=1,LEFT(对接源_02物料!$D828,4)="成品出库"),1,0)</f>
        <v>0</v>
      </c>
      <c r="AE2028">
        <f>N(AE2027)+$AD2028</f>
        <v>0</v>
      </c>
      <c r="AF2028">
        <f>IF(AND($N2028=1,AND(LEFT(对接源_02物料!$D828,4)="包装物料",N(对接源_02物料!$K828)&lt;&gt;0)),1,0)</f>
        <v>0</v>
      </c>
      <c r="AG2028">
        <f>N(AG2027)+$AF2028</f>
        <v>10</v>
      </c>
      <c r="AH2028">
        <f>IF(AND($N2028=1,AND(对接源_02物料!$D828="周转筐－销售出库",N(对接源_02物料!$K828)&lt;&gt;0)),1,0)</f>
        <v>0</v>
      </c>
      <c r="AI2028">
        <f>N(AI2027)+$AH2028</f>
        <v>0</v>
      </c>
      <c r="AL2028" t="n">
        <v>0</v>
      </c>
      <c r="AM2028">
        <f>N(AM2027)+$AL2028</f>
        <v>2</v>
      </c>
      <c r="AN2028">
        <f>""</f>
      </c>
      <c r="AO2028" t="n">
        <v>0</v>
      </c>
      <c r="AP2028">
        <f>N(AP2027)+$AO2028</f>
        <v>13</v>
      </c>
      <c r="AR2028">
        <f>IF(OR($AF2028=1,$AH2028=1),1,0)</f>
        <v>0</v>
      </c>
      <c r="AS2028">
        <f>N(AS2027)+$AR2028</f>
        <v>10</v>
      </c>
    </row>
    <row r="2029" s="127">
      <c r="A2029">
        <f>IF(对接源_02物料!$C829="","",对接源_02物料!$C829)</f>
      </c>
      <c r="B2029">
        <f>IF(A2029="",0,IF(MATCH(A2029,$A$4:$A$2403,0)=ROW()-3,1,0))</f>
        <v>0</v>
      </c>
      <c r="C2029">
        <f>N(C2028)+B2029</f>
        <v>26</v>
      </c>
      <c r="K2029">
        <f>IF(OR($K$1="",对接源_02物料!$C829="",对接源_02物料!$C829&lt;&gt;$K$1,对接源_02物料!$B829=""),0,IF(OR(N(对接源_02物料!$B829)&lt;$K$2,N(对接源_02物料!$B829)&gt;$K$3),0,1))</f>
        <v>0</v>
      </c>
      <c r="L2029">
        <f>IF(OR($L$1="",对接源_02物料!$C829="",对接源_02物料!$C829&lt;&gt;$L$1,对接源_02物料!$B829=""),0,IF(OR(N(对接源_02物料!$B829)&lt;$L$2,N(对接源_02物料!$B829)&gt;$L$3),0,1))</f>
        <v>0</v>
      </c>
      <c r="M2029">
        <f>IF(OR($M$1="",对接源_02物料!$C829="",对接源_02物料!$C829&lt;&gt;$M$1,对接源_02物料!$B829=""),0,IF(OR(N(对接源_02物料!$B829)&lt;$M$2,N(对接源_02物料!$B829)&gt;$M$3),0,1))</f>
        <v>0</v>
      </c>
      <c r="N2029">
        <f>IF(OR($N$1="",对接源_02物料!$C829="",对接源_02物料!$C829&lt;&gt;$N$1,对接源_02物料!$B829=""),0,IF(OR(N(对接源_02物料!$B829)&lt;$N$2,N(对接源_02物料!$B829)&gt;$N$3),0,1))</f>
        <v>0</v>
      </c>
      <c r="P2029">
        <f>IF(AND($K2029=1,AND(对接源_02物料!$X829="公司筐",N(对接源_02物料!$T829)&lt;&gt;0)),1,0)</f>
        <v>0</v>
      </c>
      <c r="Q2029">
        <f>N(Q2028)+$P2029</f>
        <v>14</v>
      </c>
      <c r="R2029">
        <f>IF(AND($K2029=1,AND(对接源_02物料!$X829="公司筐",N(对接源_02物料!$U829)&lt;&gt;0)),1,0)</f>
        <v>0</v>
      </c>
      <c r="S2029">
        <f>N(S2028)+$R2029</f>
        <v>1</v>
      </c>
      <c r="T2029">
        <f>IF(AND($K2029=1,AND(对接源_02物料!$X829="公司筐",N(对接源_02物料!$V829)&lt;&gt;0)),1,0)</f>
        <v>0</v>
      </c>
      <c r="U2029">
        <f>N(U2028)+$T2029</f>
        <v>47</v>
      </c>
      <c r="V2029">
        <f>IF(AND($L2029=1,AND(对接源_02物料!$X829="自备筐",N(对接源_02物料!$V829)&lt;&gt;0)),1,0)</f>
        <v>0</v>
      </c>
      <c r="W2029">
        <f>N(W2028)+$V2029</f>
        <v>11</v>
      </c>
      <c r="X2029">
        <f>IF(AND($L2029=1,AND(对接源_02物料!$X829="自备筐",N(对接源_02物料!$T829)&lt;&gt;0)),1,0)</f>
        <v>0</v>
      </c>
      <c r="Y2029">
        <f>N(Y2028)+$X2029</f>
        <v>0</v>
      </c>
      <c r="Z2029">
        <f>IF(AND($M2029=1,对接源_02物料!$D829="原料入库"),1,0)</f>
        <v>0</v>
      </c>
      <c r="AA2029">
        <f>N(AA2028)+$Z2029</f>
        <v>24</v>
      </c>
      <c r="AB2029">
        <f>IF(AND($M2029=1,LEFT(对接源_02物料!$D829,4)="原料出库"),1,0)</f>
        <v>0</v>
      </c>
      <c r="AC2029">
        <f>N(AC2028)+$AB2029</f>
        <v>0</v>
      </c>
      <c r="AD2029">
        <f>IF(AND($M2029=1,LEFT(对接源_02物料!$D829,4)="成品出库"),1,0)</f>
        <v>0</v>
      </c>
      <c r="AE2029">
        <f>N(AE2028)+$AD2029</f>
        <v>0</v>
      </c>
      <c r="AF2029">
        <f>IF(AND($N2029=1,AND(LEFT(对接源_02物料!$D829,4)="包装物料",N(对接源_02物料!$K829)&lt;&gt;0)),1,0)</f>
        <v>0</v>
      </c>
      <c r="AG2029">
        <f>N(AG2028)+$AF2029</f>
        <v>10</v>
      </c>
      <c r="AH2029">
        <f>IF(AND($N2029=1,AND(对接源_02物料!$D829="周转筐－销售出库",N(对接源_02物料!$K829)&lt;&gt;0)),1,0)</f>
        <v>0</v>
      </c>
      <c r="AI2029">
        <f>N(AI2028)+$AH2029</f>
        <v>0</v>
      </c>
      <c r="AL2029" t="n">
        <v>0</v>
      </c>
      <c r="AM2029">
        <f>N(AM2028)+$AL2029</f>
        <v>2</v>
      </c>
      <c r="AN2029">
        <f>""</f>
      </c>
      <c r="AO2029" t="n">
        <v>0</v>
      </c>
      <c r="AP2029">
        <f>N(AP2028)+$AO2029</f>
        <v>13</v>
      </c>
      <c r="AR2029">
        <f>IF(OR($AF2029=1,$AH2029=1),1,0)</f>
        <v>0</v>
      </c>
      <c r="AS2029">
        <f>N(AS2028)+$AR2029</f>
        <v>10</v>
      </c>
    </row>
    <row r="2030" s="127">
      <c r="A2030">
        <f>IF(对接源_02物料!$C830="","",对接源_02物料!$C830)</f>
      </c>
      <c r="B2030">
        <f>IF(A2030="",0,IF(MATCH(A2030,$A$4:$A$2403,0)=ROW()-3,1,0))</f>
        <v>0</v>
      </c>
      <c r="C2030">
        <f>N(C2029)+B2030</f>
        <v>26</v>
      </c>
      <c r="K2030">
        <f>IF(OR($K$1="",对接源_02物料!$C830="",对接源_02物料!$C830&lt;&gt;$K$1,对接源_02物料!$B830=""),0,IF(OR(N(对接源_02物料!$B830)&lt;$K$2,N(对接源_02物料!$B830)&gt;$K$3),0,1))</f>
        <v>0</v>
      </c>
      <c r="L2030">
        <f>IF(OR($L$1="",对接源_02物料!$C830="",对接源_02物料!$C830&lt;&gt;$L$1,对接源_02物料!$B830=""),0,IF(OR(N(对接源_02物料!$B830)&lt;$L$2,N(对接源_02物料!$B830)&gt;$L$3),0,1))</f>
        <v>0</v>
      </c>
      <c r="M2030">
        <f>IF(OR($M$1="",对接源_02物料!$C830="",对接源_02物料!$C830&lt;&gt;$M$1,对接源_02物料!$B830=""),0,IF(OR(N(对接源_02物料!$B830)&lt;$M$2,N(对接源_02物料!$B830)&gt;$M$3),0,1))</f>
        <v>0</v>
      </c>
      <c r="N2030">
        <f>IF(OR($N$1="",对接源_02物料!$C830="",对接源_02物料!$C830&lt;&gt;$N$1,对接源_02物料!$B830=""),0,IF(OR(N(对接源_02物料!$B830)&lt;$N$2,N(对接源_02物料!$B830)&gt;$N$3),0,1))</f>
        <v>0</v>
      </c>
      <c r="P2030">
        <f>IF(AND($K2030=1,AND(对接源_02物料!$X830="公司筐",N(对接源_02物料!$T830)&lt;&gt;0)),1,0)</f>
        <v>0</v>
      </c>
      <c r="Q2030">
        <f>N(Q2029)+$P2030</f>
        <v>14</v>
      </c>
      <c r="R2030">
        <f>IF(AND($K2030=1,AND(对接源_02物料!$X830="公司筐",N(对接源_02物料!$U830)&lt;&gt;0)),1,0)</f>
        <v>0</v>
      </c>
      <c r="S2030">
        <f>N(S2029)+$R2030</f>
        <v>1</v>
      </c>
      <c r="T2030">
        <f>IF(AND($K2030=1,AND(对接源_02物料!$X830="公司筐",N(对接源_02物料!$V830)&lt;&gt;0)),1,0)</f>
        <v>0</v>
      </c>
      <c r="U2030">
        <f>N(U2029)+$T2030</f>
        <v>47</v>
      </c>
      <c r="V2030">
        <f>IF(AND($L2030=1,AND(对接源_02物料!$X830="自备筐",N(对接源_02物料!$V830)&lt;&gt;0)),1,0)</f>
        <v>0</v>
      </c>
      <c r="W2030">
        <f>N(W2029)+$V2030</f>
        <v>11</v>
      </c>
      <c r="X2030">
        <f>IF(AND($L2030=1,AND(对接源_02物料!$X830="自备筐",N(对接源_02物料!$T830)&lt;&gt;0)),1,0)</f>
        <v>0</v>
      </c>
      <c r="Y2030">
        <f>N(Y2029)+$X2030</f>
        <v>0</v>
      </c>
      <c r="Z2030">
        <f>IF(AND($M2030=1,对接源_02物料!$D830="原料入库"),1,0)</f>
        <v>0</v>
      </c>
      <c r="AA2030">
        <f>N(AA2029)+$Z2030</f>
        <v>24</v>
      </c>
      <c r="AB2030">
        <f>IF(AND($M2030=1,LEFT(对接源_02物料!$D830,4)="原料出库"),1,0)</f>
        <v>0</v>
      </c>
      <c r="AC2030">
        <f>N(AC2029)+$AB2030</f>
        <v>0</v>
      </c>
      <c r="AD2030">
        <f>IF(AND($M2030=1,LEFT(对接源_02物料!$D830,4)="成品出库"),1,0)</f>
        <v>0</v>
      </c>
      <c r="AE2030">
        <f>N(AE2029)+$AD2030</f>
        <v>0</v>
      </c>
      <c r="AF2030">
        <f>IF(AND($N2030=1,AND(LEFT(对接源_02物料!$D830,4)="包装物料",N(对接源_02物料!$K830)&lt;&gt;0)),1,0)</f>
        <v>0</v>
      </c>
      <c r="AG2030">
        <f>N(AG2029)+$AF2030</f>
        <v>10</v>
      </c>
      <c r="AH2030">
        <f>IF(AND($N2030=1,AND(对接源_02物料!$D830="周转筐－销售出库",N(对接源_02物料!$K830)&lt;&gt;0)),1,0)</f>
        <v>0</v>
      </c>
      <c r="AI2030">
        <f>N(AI2029)+$AH2030</f>
        <v>0</v>
      </c>
      <c r="AL2030" t="n">
        <v>0</v>
      </c>
      <c r="AM2030">
        <f>N(AM2029)+$AL2030</f>
        <v>2</v>
      </c>
      <c r="AN2030">
        <f>""</f>
      </c>
      <c r="AO2030" t="n">
        <v>0</v>
      </c>
      <c r="AP2030">
        <f>N(AP2029)+$AO2030</f>
        <v>13</v>
      </c>
      <c r="AR2030">
        <f>IF(OR($AF2030=1,$AH2030=1),1,0)</f>
        <v>0</v>
      </c>
      <c r="AS2030">
        <f>N(AS2029)+$AR2030</f>
        <v>10</v>
      </c>
    </row>
    <row r="2031" s="127">
      <c r="A2031">
        <f>IF(对接源_02物料!$C831="","",对接源_02物料!$C831)</f>
      </c>
      <c r="B2031">
        <f>IF(A2031="",0,IF(MATCH(A2031,$A$4:$A$2403,0)=ROW()-3,1,0))</f>
        <v>0</v>
      </c>
      <c r="C2031">
        <f>N(C2030)+B2031</f>
        <v>26</v>
      </c>
      <c r="K2031">
        <f>IF(OR($K$1="",对接源_02物料!$C831="",对接源_02物料!$C831&lt;&gt;$K$1,对接源_02物料!$B831=""),0,IF(OR(N(对接源_02物料!$B831)&lt;$K$2,N(对接源_02物料!$B831)&gt;$K$3),0,1))</f>
        <v>0</v>
      </c>
      <c r="L2031">
        <f>IF(OR($L$1="",对接源_02物料!$C831="",对接源_02物料!$C831&lt;&gt;$L$1,对接源_02物料!$B831=""),0,IF(OR(N(对接源_02物料!$B831)&lt;$L$2,N(对接源_02物料!$B831)&gt;$L$3),0,1))</f>
        <v>0</v>
      </c>
      <c r="M2031">
        <f>IF(OR($M$1="",对接源_02物料!$C831="",对接源_02物料!$C831&lt;&gt;$M$1,对接源_02物料!$B831=""),0,IF(OR(N(对接源_02物料!$B831)&lt;$M$2,N(对接源_02物料!$B831)&gt;$M$3),0,1))</f>
        <v>0</v>
      </c>
      <c r="N2031">
        <f>IF(OR($N$1="",对接源_02物料!$C831="",对接源_02物料!$C831&lt;&gt;$N$1,对接源_02物料!$B831=""),0,IF(OR(N(对接源_02物料!$B831)&lt;$N$2,N(对接源_02物料!$B831)&gt;$N$3),0,1))</f>
        <v>0</v>
      </c>
      <c r="P2031">
        <f>IF(AND($K2031=1,AND(对接源_02物料!$X831="公司筐",N(对接源_02物料!$T831)&lt;&gt;0)),1,0)</f>
        <v>0</v>
      </c>
      <c r="Q2031">
        <f>N(Q2030)+$P2031</f>
        <v>14</v>
      </c>
      <c r="R2031">
        <f>IF(AND($K2031=1,AND(对接源_02物料!$X831="公司筐",N(对接源_02物料!$U831)&lt;&gt;0)),1,0)</f>
        <v>0</v>
      </c>
      <c r="S2031">
        <f>N(S2030)+$R2031</f>
        <v>1</v>
      </c>
      <c r="T2031">
        <f>IF(AND($K2031=1,AND(对接源_02物料!$X831="公司筐",N(对接源_02物料!$V831)&lt;&gt;0)),1,0)</f>
        <v>0</v>
      </c>
      <c r="U2031">
        <f>N(U2030)+$T2031</f>
        <v>47</v>
      </c>
      <c r="V2031">
        <f>IF(AND($L2031=1,AND(对接源_02物料!$X831="自备筐",N(对接源_02物料!$V831)&lt;&gt;0)),1,0)</f>
        <v>0</v>
      </c>
      <c r="W2031">
        <f>N(W2030)+$V2031</f>
        <v>11</v>
      </c>
      <c r="X2031">
        <f>IF(AND($L2031=1,AND(对接源_02物料!$X831="自备筐",N(对接源_02物料!$T831)&lt;&gt;0)),1,0)</f>
        <v>0</v>
      </c>
      <c r="Y2031">
        <f>N(Y2030)+$X2031</f>
        <v>0</v>
      </c>
      <c r="Z2031">
        <f>IF(AND($M2031=1,对接源_02物料!$D831="原料入库"),1,0)</f>
        <v>0</v>
      </c>
      <c r="AA2031">
        <f>N(AA2030)+$Z2031</f>
        <v>24</v>
      </c>
      <c r="AB2031">
        <f>IF(AND($M2031=1,LEFT(对接源_02物料!$D831,4)="原料出库"),1,0)</f>
        <v>0</v>
      </c>
      <c r="AC2031">
        <f>N(AC2030)+$AB2031</f>
        <v>0</v>
      </c>
      <c r="AD2031">
        <f>IF(AND($M2031=1,LEFT(对接源_02物料!$D831,4)="成品出库"),1,0)</f>
        <v>0</v>
      </c>
      <c r="AE2031">
        <f>N(AE2030)+$AD2031</f>
        <v>0</v>
      </c>
      <c r="AF2031">
        <f>IF(AND($N2031=1,AND(LEFT(对接源_02物料!$D831,4)="包装物料",N(对接源_02物料!$K831)&lt;&gt;0)),1,0)</f>
        <v>0</v>
      </c>
      <c r="AG2031">
        <f>N(AG2030)+$AF2031</f>
        <v>10</v>
      </c>
      <c r="AH2031">
        <f>IF(AND($N2031=1,AND(对接源_02物料!$D831="周转筐－销售出库",N(对接源_02物料!$K831)&lt;&gt;0)),1,0)</f>
        <v>0</v>
      </c>
      <c r="AI2031">
        <f>N(AI2030)+$AH2031</f>
        <v>0</v>
      </c>
      <c r="AL2031" t="n">
        <v>0</v>
      </c>
      <c r="AM2031">
        <f>N(AM2030)+$AL2031</f>
        <v>2</v>
      </c>
      <c r="AN2031">
        <f>""</f>
      </c>
      <c r="AO2031" t="n">
        <v>0</v>
      </c>
      <c r="AP2031">
        <f>N(AP2030)+$AO2031</f>
        <v>13</v>
      </c>
      <c r="AR2031">
        <f>IF(OR($AF2031=1,$AH2031=1),1,0)</f>
        <v>0</v>
      </c>
      <c r="AS2031">
        <f>N(AS2030)+$AR2031</f>
        <v>10</v>
      </c>
    </row>
    <row r="2032" s="127">
      <c r="A2032">
        <f>IF(对接源_02物料!$C832="","",对接源_02物料!$C832)</f>
      </c>
      <c r="B2032">
        <f>IF(A2032="",0,IF(MATCH(A2032,$A$4:$A$2403,0)=ROW()-3,1,0))</f>
        <v>0</v>
      </c>
      <c r="C2032">
        <f>N(C2031)+B2032</f>
        <v>26</v>
      </c>
      <c r="K2032">
        <f>IF(OR($K$1="",对接源_02物料!$C832="",对接源_02物料!$C832&lt;&gt;$K$1,对接源_02物料!$B832=""),0,IF(OR(N(对接源_02物料!$B832)&lt;$K$2,N(对接源_02物料!$B832)&gt;$K$3),0,1))</f>
        <v>0</v>
      </c>
      <c r="L2032">
        <f>IF(OR($L$1="",对接源_02物料!$C832="",对接源_02物料!$C832&lt;&gt;$L$1,对接源_02物料!$B832=""),0,IF(OR(N(对接源_02物料!$B832)&lt;$L$2,N(对接源_02物料!$B832)&gt;$L$3),0,1))</f>
        <v>0</v>
      </c>
      <c r="M2032">
        <f>IF(OR($M$1="",对接源_02物料!$C832="",对接源_02物料!$C832&lt;&gt;$M$1,对接源_02物料!$B832=""),0,IF(OR(N(对接源_02物料!$B832)&lt;$M$2,N(对接源_02物料!$B832)&gt;$M$3),0,1))</f>
        <v>0</v>
      </c>
      <c r="N2032">
        <f>IF(OR($N$1="",对接源_02物料!$C832="",对接源_02物料!$C832&lt;&gt;$N$1,对接源_02物料!$B832=""),0,IF(OR(N(对接源_02物料!$B832)&lt;$N$2,N(对接源_02物料!$B832)&gt;$N$3),0,1))</f>
        <v>0</v>
      </c>
      <c r="P2032">
        <f>IF(AND($K2032=1,AND(对接源_02物料!$X832="公司筐",N(对接源_02物料!$T832)&lt;&gt;0)),1,0)</f>
        <v>0</v>
      </c>
      <c r="Q2032">
        <f>N(Q2031)+$P2032</f>
        <v>14</v>
      </c>
      <c r="R2032">
        <f>IF(AND($K2032=1,AND(对接源_02物料!$X832="公司筐",N(对接源_02物料!$U832)&lt;&gt;0)),1,0)</f>
        <v>0</v>
      </c>
      <c r="S2032">
        <f>N(S2031)+$R2032</f>
        <v>1</v>
      </c>
      <c r="T2032">
        <f>IF(AND($K2032=1,AND(对接源_02物料!$X832="公司筐",N(对接源_02物料!$V832)&lt;&gt;0)),1,0)</f>
        <v>0</v>
      </c>
      <c r="U2032">
        <f>N(U2031)+$T2032</f>
        <v>47</v>
      </c>
      <c r="V2032">
        <f>IF(AND($L2032=1,AND(对接源_02物料!$X832="自备筐",N(对接源_02物料!$V832)&lt;&gt;0)),1,0)</f>
        <v>0</v>
      </c>
      <c r="W2032">
        <f>N(W2031)+$V2032</f>
        <v>11</v>
      </c>
      <c r="X2032">
        <f>IF(AND($L2032=1,AND(对接源_02物料!$X832="自备筐",N(对接源_02物料!$T832)&lt;&gt;0)),1,0)</f>
        <v>0</v>
      </c>
      <c r="Y2032">
        <f>N(Y2031)+$X2032</f>
        <v>0</v>
      </c>
      <c r="Z2032">
        <f>IF(AND($M2032=1,对接源_02物料!$D832="原料入库"),1,0)</f>
        <v>0</v>
      </c>
      <c r="AA2032">
        <f>N(AA2031)+$Z2032</f>
        <v>24</v>
      </c>
      <c r="AB2032">
        <f>IF(AND($M2032=1,LEFT(对接源_02物料!$D832,4)="原料出库"),1,0)</f>
        <v>0</v>
      </c>
      <c r="AC2032">
        <f>N(AC2031)+$AB2032</f>
        <v>0</v>
      </c>
      <c r="AD2032">
        <f>IF(AND($M2032=1,LEFT(对接源_02物料!$D832,4)="成品出库"),1,0)</f>
        <v>0</v>
      </c>
      <c r="AE2032">
        <f>N(AE2031)+$AD2032</f>
        <v>0</v>
      </c>
      <c r="AF2032">
        <f>IF(AND($N2032=1,AND(LEFT(对接源_02物料!$D832,4)="包装物料",N(对接源_02物料!$K832)&lt;&gt;0)),1,0)</f>
        <v>0</v>
      </c>
      <c r="AG2032">
        <f>N(AG2031)+$AF2032</f>
        <v>10</v>
      </c>
      <c r="AH2032">
        <f>IF(AND($N2032=1,AND(对接源_02物料!$D832="周转筐－销售出库",N(对接源_02物料!$K832)&lt;&gt;0)),1,0)</f>
        <v>0</v>
      </c>
      <c r="AI2032">
        <f>N(AI2031)+$AH2032</f>
        <v>0</v>
      </c>
      <c r="AL2032" t="n">
        <v>0</v>
      </c>
      <c r="AM2032">
        <f>N(AM2031)+$AL2032</f>
        <v>2</v>
      </c>
      <c r="AN2032">
        <f>""</f>
      </c>
      <c r="AO2032" t="n">
        <v>0</v>
      </c>
      <c r="AP2032">
        <f>N(AP2031)+$AO2032</f>
        <v>13</v>
      </c>
      <c r="AR2032">
        <f>IF(OR($AF2032=1,$AH2032=1),1,0)</f>
        <v>0</v>
      </c>
      <c r="AS2032">
        <f>N(AS2031)+$AR2032</f>
        <v>10</v>
      </c>
    </row>
    <row r="2033" s="127">
      <c r="A2033">
        <f>IF(对接源_02物料!$C833="","",对接源_02物料!$C833)</f>
      </c>
      <c r="B2033">
        <f>IF(A2033="",0,IF(MATCH(A2033,$A$4:$A$2403,0)=ROW()-3,1,0))</f>
        <v>0</v>
      </c>
      <c r="C2033">
        <f>N(C2032)+B2033</f>
        <v>26</v>
      </c>
      <c r="K2033">
        <f>IF(OR($K$1="",对接源_02物料!$C833="",对接源_02物料!$C833&lt;&gt;$K$1,对接源_02物料!$B833=""),0,IF(OR(N(对接源_02物料!$B833)&lt;$K$2,N(对接源_02物料!$B833)&gt;$K$3),0,1))</f>
        <v>0</v>
      </c>
      <c r="L2033">
        <f>IF(OR($L$1="",对接源_02物料!$C833="",对接源_02物料!$C833&lt;&gt;$L$1,对接源_02物料!$B833=""),0,IF(OR(N(对接源_02物料!$B833)&lt;$L$2,N(对接源_02物料!$B833)&gt;$L$3),0,1))</f>
        <v>0</v>
      </c>
      <c r="M2033">
        <f>IF(OR($M$1="",对接源_02物料!$C833="",对接源_02物料!$C833&lt;&gt;$M$1,对接源_02物料!$B833=""),0,IF(OR(N(对接源_02物料!$B833)&lt;$M$2,N(对接源_02物料!$B833)&gt;$M$3),0,1))</f>
        <v>0</v>
      </c>
      <c r="N2033">
        <f>IF(OR($N$1="",对接源_02物料!$C833="",对接源_02物料!$C833&lt;&gt;$N$1,对接源_02物料!$B833=""),0,IF(OR(N(对接源_02物料!$B833)&lt;$N$2,N(对接源_02物料!$B833)&gt;$N$3),0,1))</f>
        <v>0</v>
      </c>
      <c r="P2033">
        <f>IF(AND($K2033=1,AND(对接源_02物料!$X833="公司筐",N(对接源_02物料!$T833)&lt;&gt;0)),1,0)</f>
        <v>0</v>
      </c>
      <c r="Q2033">
        <f>N(Q2032)+$P2033</f>
        <v>14</v>
      </c>
      <c r="R2033">
        <f>IF(AND($K2033=1,AND(对接源_02物料!$X833="公司筐",N(对接源_02物料!$U833)&lt;&gt;0)),1,0)</f>
        <v>0</v>
      </c>
      <c r="S2033">
        <f>N(S2032)+$R2033</f>
        <v>1</v>
      </c>
      <c r="T2033">
        <f>IF(AND($K2033=1,AND(对接源_02物料!$X833="公司筐",N(对接源_02物料!$V833)&lt;&gt;0)),1,0)</f>
        <v>0</v>
      </c>
      <c r="U2033">
        <f>N(U2032)+$T2033</f>
        <v>47</v>
      </c>
      <c r="V2033">
        <f>IF(AND($L2033=1,AND(对接源_02物料!$X833="自备筐",N(对接源_02物料!$V833)&lt;&gt;0)),1,0)</f>
        <v>0</v>
      </c>
      <c r="W2033">
        <f>N(W2032)+$V2033</f>
        <v>11</v>
      </c>
      <c r="X2033">
        <f>IF(AND($L2033=1,AND(对接源_02物料!$X833="自备筐",N(对接源_02物料!$T833)&lt;&gt;0)),1,0)</f>
        <v>0</v>
      </c>
      <c r="Y2033">
        <f>N(Y2032)+$X2033</f>
        <v>0</v>
      </c>
      <c r="Z2033">
        <f>IF(AND($M2033=1,对接源_02物料!$D833="原料入库"),1,0)</f>
        <v>0</v>
      </c>
      <c r="AA2033">
        <f>N(AA2032)+$Z2033</f>
        <v>24</v>
      </c>
      <c r="AB2033">
        <f>IF(AND($M2033=1,LEFT(对接源_02物料!$D833,4)="原料出库"),1,0)</f>
        <v>0</v>
      </c>
      <c r="AC2033">
        <f>N(AC2032)+$AB2033</f>
        <v>0</v>
      </c>
      <c r="AD2033">
        <f>IF(AND($M2033=1,LEFT(对接源_02物料!$D833,4)="成品出库"),1,0)</f>
        <v>0</v>
      </c>
      <c r="AE2033">
        <f>N(AE2032)+$AD2033</f>
        <v>0</v>
      </c>
      <c r="AF2033">
        <f>IF(AND($N2033=1,AND(LEFT(对接源_02物料!$D833,4)="包装物料",N(对接源_02物料!$K833)&lt;&gt;0)),1,0)</f>
        <v>0</v>
      </c>
      <c r="AG2033">
        <f>N(AG2032)+$AF2033</f>
        <v>10</v>
      </c>
      <c r="AH2033">
        <f>IF(AND($N2033=1,AND(对接源_02物料!$D833="周转筐－销售出库",N(对接源_02物料!$K833)&lt;&gt;0)),1,0)</f>
        <v>0</v>
      </c>
      <c r="AI2033">
        <f>N(AI2032)+$AH2033</f>
        <v>0</v>
      </c>
      <c r="AL2033" t="n">
        <v>0</v>
      </c>
      <c r="AM2033">
        <f>N(AM2032)+$AL2033</f>
        <v>2</v>
      </c>
      <c r="AN2033">
        <f>""</f>
      </c>
      <c r="AO2033" t="n">
        <v>0</v>
      </c>
      <c r="AP2033">
        <f>N(AP2032)+$AO2033</f>
        <v>13</v>
      </c>
      <c r="AR2033">
        <f>IF(OR($AF2033=1,$AH2033=1),1,0)</f>
        <v>0</v>
      </c>
      <c r="AS2033">
        <f>N(AS2032)+$AR2033</f>
        <v>10</v>
      </c>
    </row>
    <row r="2034" s="127">
      <c r="A2034">
        <f>IF(对接源_02物料!$C834="","",对接源_02物料!$C834)</f>
      </c>
      <c r="B2034">
        <f>IF(A2034="",0,IF(MATCH(A2034,$A$4:$A$2403,0)=ROW()-3,1,0))</f>
        <v>0</v>
      </c>
      <c r="C2034">
        <f>N(C2033)+B2034</f>
        <v>26</v>
      </c>
      <c r="K2034">
        <f>IF(OR($K$1="",对接源_02物料!$C834="",对接源_02物料!$C834&lt;&gt;$K$1,对接源_02物料!$B834=""),0,IF(OR(N(对接源_02物料!$B834)&lt;$K$2,N(对接源_02物料!$B834)&gt;$K$3),0,1))</f>
        <v>0</v>
      </c>
      <c r="L2034">
        <f>IF(OR($L$1="",对接源_02物料!$C834="",对接源_02物料!$C834&lt;&gt;$L$1,对接源_02物料!$B834=""),0,IF(OR(N(对接源_02物料!$B834)&lt;$L$2,N(对接源_02物料!$B834)&gt;$L$3),0,1))</f>
        <v>0</v>
      </c>
      <c r="M2034">
        <f>IF(OR($M$1="",对接源_02物料!$C834="",对接源_02物料!$C834&lt;&gt;$M$1,对接源_02物料!$B834=""),0,IF(OR(N(对接源_02物料!$B834)&lt;$M$2,N(对接源_02物料!$B834)&gt;$M$3),0,1))</f>
        <v>0</v>
      </c>
      <c r="N2034">
        <f>IF(OR($N$1="",对接源_02物料!$C834="",对接源_02物料!$C834&lt;&gt;$N$1,对接源_02物料!$B834=""),0,IF(OR(N(对接源_02物料!$B834)&lt;$N$2,N(对接源_02物料!$B834)&gt;$N$3),0,1))</f>
        <v>0</v>
      </c>
      <c r="P2034">
        <f>IF(AND($K2034=1,AND(对接源_02物料!$X834="公司筐",N(对接源_02物料!$T834)&lt;&gt;0)),1,0)</f>
        <v>0</v>
      </c>
      <c r="Q2034">
        <f>N(Q2033)+$P2034</f>
        <v>14</v>
      </c>
      <c r="R2034">
        <f>IF(AND($K2034=1,AND(对接源_02物料!$X834="公司筐",N(对接源_02物料!$U834)&lt;&gt;0)),1,0)</f>
        <v>0</v>
      </c>
      <c r="S2034">
        <f>N(S2033)+$R2034</f>
        <v>1</v>
      </c>
      <c r="T2034">
        <f>IF(AND($K2034=1,AND(对接源_02物料!$X834="公司筐",N(对接源_02物料!$V834)&lt;&gt;0)),1,0)</f>
        <v>0</v>
      </c>
      <c r="U2034">
        <f>N(U2033)+$T2034</f>
        <v>47</v>
      </c>
      <c r="V2034">
        <f>IF(AND($L2034=1,AND(对接源_02物料!$X834="自备筐",N(对接源_02物料!$V834)&lt;&gt;0)),1,0)</f>
        <v>0</v>
      </c>
      <c r="W2034">
        <f>N(W2033)+$V2034</f>
        <v>11</v>
      </c>
      <c r="X2034">
        <f>IF(AND($L2034=1,AND(对接源_02物料!$X834="自备筐",N(对接源_02物料!$T834)&lt;&gt;0)),1,0)</f>
        <v>0</v>
      </c>
      <c r="Y2034">
        <f>N(Y2033)+$X2034</f>
        <v>0</v>
      </c>
      <c r="Z2034">
        <f>IF(AND($M2034=1,对接源_02物料!$D834="原料入库"),1,0)</f>
        <v>0</v>
      </c>
      <c r="AA2034">
        <f>N(AA2033)+$Z2034</f>
        <v>24</v>
      </c>
      <c r="AB2034">
        <f>IF(AND($M2034=1,LEFT(对接源_02物料!$D834,4)="原料出库"),1,0)</f>
        <v>0</v>
      </c>
      <c r="AC2034">
        <f>N(AC2033)+$AB2034</f>
        <v>0</v>
      </c>
      <c r="AD2034">
        <f>IF(AND($M2034=1,LEFT(对接源_02物料!$D834,4)="成品出库"),1,0)</f>
        <v>0</v>
      </c>
      <c r="AE2034">
        <f>N(AE2033)+$AD2034</f>
        <v>0</v>
      </c>
      <c r="AF2034">
        <f>IF(AND($N2034=1,AND(LEFT(对接源_02物料!$D834,4)="包装物料",N(对接源_02物料!$K834)&lt;&gt;0)),1,0)</f>
        <v>0</v>
      </c>
      <c r="AG2034">
        <f>N(AG2033)+$AF2034</f>
        <v>10</v>
      </c>
      <c r="AH2034">
        <f>IF(AND($N2034=1,AND(对接源_02物料!$D834="周转筐－销售出库",N(对接源_02物料!$K834)&lt;&gt;0)),1,0)</f>
        <v>0</v>
      </c>
      <c r="AI2034">
        <f>N(AI2033)+$AH2034</f>
        <v>0</v>
      </c>
      <c r="AL2034" t="n">
        <v>0</v>
      </c>
      <c r="AM2034">
        <f>N(AM2033)+$AL2034</f>
        <v>2</v>
      </c>
      <c r="AN2034">
        <f>""</f>
      </c>
      <c r="AO2034" t="n">
        <v>0</v>
      </c>
      <c r="AP2034">
        <f>N(AP2033)+$AO2034</f>
        <v>13</v>
      </c>
      <c r="AR2034">
        <f>IF(OR($AF2034=1,$AH2034=1),1,0)</f>
        <v>0</v>
      </c>
      <c r="AS2034">
        <f>N(AS2033)+$AR2034</f>
        <v>10</v>
      </c>
    </row>
    <row r="2035" s="127">
      <c r="A2035">
        <f>IF(对接源_02物料!$C835="","",对接源_02物料!$C835)</f>
      </c>
      <c r="B2035">
        <f>IF(A2035="",0,IF(MATCH(A2035,$A$4:$A$2403,0)=ROW()-3,1,0))</f>
        <v>0</v>
      </c>
      <c r="C2035">
        <f>N(C2034)+B2035</f>
        <v>26</v>
      </c>
      <c r="K2035">
        <f>IF(OR($K$1="",对接源_02物料!$C835="",对接源_02物料!$C835&lt;&gt;$K$1,对接源_02物料!$B835=""),0,IF(OR(N(对接源_02物料!$B835)&lt;$K$2,N(对接源_02物料!$B835)&gt;$K$3),0,1))</f>
        <v>0</v>
      </c>
      <c r="L2035">
        <f>IF(OR($L$1="",对接源_02物料!$C835="",对接源_02物料!$C835&lt;&gt;$L$1,对接源_02物料!$B835=""),0,IF(OR(N(对接源_02物料!$B835)&lt;$L$2,N(对接源_02物料!$B835)&gt;$L$3),0,1))</f>
        <v>0</v>
      </c>
      <c r="M2035">
        <f>IF(OR($M$1="",对接源_02物料!$C835="",对接源_02物料!$C835&lt;&gt;$M$1,对接源_02物料!$B835=""),0,IF(OR(N(对接源_02物料!$B835)&lt;$M$2,N(对接源_02物料!$B835)&gt;$M$3),0,1))</f>
        <v>0</v>
      </c>
      <c r="N2035">
        <f>IF(OR($N$1="",对接源_02物料!$C835="",对接源_02物料!$C835&lt;&gt;$N$1,对接源_02物料!$B835=""),0,IF(OR(N(对接源_02物料!$B835)&lt;$N$2,N(对接源_02物料!$B835)&gt;$N$3),0,1))</f>
        <v>0</v>
      </c>
      <c r="P2035">
        <f>IF(AND($K2035=1,AND(对接源_02物料!$X835="公司筐",N(对接源_02物料!$T835)&lt;&gt;0)),1,0)</f>
        <v>0</v>
      </c>
      <c r="Q2035">
        <f>N(Q2034)+$P2035</f>
        <v>14</v>
      </c>
      <c r="R2035">
        <f>IF(AND($K2035=1,AND(对接源_02物料!$X835="公司筐",N(对接源_02物料!$U835)&lt;&gt;0)),1,0)</f>
        <v>0</v>
      </c>
      <c r="S2035">
        <f>N(S2034)+$R2035</f>
        <v>1</v>
      </c>
      <c r="T2035">
        <f>IF(AND($K2035=1,AND(对接源_02物料!$X835="公司筐",N(对接源_02物料!$V835)&lt;&gt;0)),1,0)</f>
        <v>0</v>
      </c>
      <c r="U2035">
        <f>N(U2034)+$T2035</f>
        <v>47</v>
      </c>
      <c r="V2035">
        <f>IF(AND($L2035=1,AND(对接源_02物料!$X835="自备筐",N(对接源_02物料!$V835)&lt;&gt;0)),1,0)</f>
        <v>0</v>
      </c>
      <c r="W2035">
        <f>N(W2034)+$V2035</f>
        <v>11</v>
      </c>
      <c r="X2035">
        <f>IF(AND($L2035=1,AND(对接源_02物料!$X835="自备筐",N(对接源_02物料!$T835)&lt;&gt;0)),1,0)</f>
        <v>0</v>
      </c>
      <c r="Y2035">
        <f>N(Y2034)+$X2035</f>
        <v>0</v>
      </c>
      <c r="Z2035">
        <f>IF(AND($M2035=1,对接源_02物料!$D835="原料入库"),1,0)</f>
        <v>0</v>
      </c>
      <c r="AA2035">
        <f>N(AA2034)+$Z2035</f>
        <v>24</v>
      </c>
      <c r="AB2035">
        <f>IF(AND($M2035=1,LEFT(对接源_02物料!$D835,4)="原料出库"),1,0)</f>
        <v>0</v>
      </c>
      <c r="AC2035">
        <f>N(AC2034)+$AB2035</f>
        <v>0</v>
      </c>
      <c r="AD2035">
        <f>IF(AND($M2035=1,LEFT(对接源_02物料!$D835,4)="成品出库"),1,0)</f>
        <v>0</v>
      </c>
      <c r="AE2035">
        <f>N(AE2034)+$AD2035</f>
        <v>0</v>
      </c>
      <c r="AF2035">
        <f>IF(AND($N2035=1,AND(LEFT(对接源_02物料!$D835,4)="包装物料",N(对接源_02物料!$K835)&lt;&gt;0)),1,0)</f>
        <v>0</v>
      </c>
      <c r="AG2035">
        <f>N(AG2034)+$AF2035</f>
        <v>10</v>
      </c>
      <c r="AH2035">
        <f>IF(AND($N2035=1,AND(对接源_02物料!$D835="周转筐－销售出库",N(对接源_02物料!$K835)&lt;&gt;0)),1,0)</f>
        <v>0</v>
      </c>
      <c r="AI2035">
        <f>N(AI2034)+$AH2035</f>
        <v>0</v>
      </c>
      <c r="AL2035" t="n">
        <v>0</v>
      </c>
      <c r="AM2035">
        <f>N(AM2034)+$AL2035</f>
        <v>2</v>
      </c>
      <c r="AN2035">
        <f>""</f>
      </c>
      <c r="AO2035" t="n">
        <v>0</v>
      </c>
      <c r="AP2035">
        <f>N(AP2034)+$AO2035</f>
        <v>13</v>
      </c>
      <c r="AR2035">
        <f>IF(OR($AF2035=1,$AH2035=1),1,0)</f>
        <v>0</v>
      </c>
      <c r="AS2035">
        <f>N(AS2034)+$AR2035</f>
        <v>10</v>
      </c>
    </row>
    <row r="2036" s="127">
      <c r="A2036">
        <f>IF(对接源_02物料!$C836="","",对接源_02物料!$C836)</f>
      </c>
      <c r="B2036">
        <f>IF(A2036="",0,IF(MATCH(A2036,$A$4:$A$2403,0)=ROW()-3,1,0))</f>
        <v>0</v>
      </c>
      <c r="C2036">
        <f>N(C2035)+B2036</f>
        <v>26</v>
      </c>
      <c r="K2036">
        <f>IF(OR($K$1="",对接源_02物料!$C836="",对接源_02物料!$C836&lt;&gt;$K$1,对接源_02物料!$B836=""),0,IF(OR(N(对接源_02物料!$B836)&lt;$K$2,N(对接源_02物料!$B836)&gt;$K$3),0,1))</f>
        <v>0</v>
      </c>
      <c r="L2036">
        <f>IF(OR($L$1="",对接源_02物料!$C836="",对接源_02物料!$C836&lt;&gt;$L$1,对接源_02物料!$B836=""),0,IF(OR(N(对接源_02物料!$B836)&lt;$L$2,N(对接源_02物料!$B836)&gt;$L$3),0,1))</f>
        <v>0</v>
      </c>
      <c r="M2036">
        <f>IF(OR($M$1="",对接源_02物料!$C836="",对接源_02物料!$C836&lt;&gt;$M$1,对接源_02物料!$B836=""),0,IF(OR(N(对接源_02物料!$B836)&lt;$M$2,N(对接源_02物料!$B836)&gt;$M$3),0,1))</f>
        <v>0</v>
      </c>
      <c r="N2036">
        <f>IF(OR($N$1="",对接源_02物料!$C836="",对接源_02物料!$C836&lt;&gt;$N$1,对接源_02物料!$B836=""),0,IF(OR(N(对接源_02物料!$B836)&lt;$N$2,N(对接源_02物料!$B836)&gt;$N$3),0,1))</f>
        <v>0</v>
      </c>
      <c r="P2036">
        <f>IF(AND($K2036=1,AND(对接源_02物料!$X836="公司筐",N(对接源_02物料!$T836)&lt;&gt;0)),1,0)</f>
        <v>0</v>
      </c>
      <c r="Q2036">
        <f>N(Q2035)+$P2036</f>
        <v>14</v>
      </c>
      <c r="R2036">
        <f>IF(AND($K2036=1,AND(对接源_02物料!$X836="公司筐",N(对接源_02物料!$U836)&lt;&gt;0)),1,0)</f>
        <v>0</v>
      </c>
      <c r="S2036">
        <f>N(S2035)+$R2036</f>
        <v>1</v>
      </c>
      <c r="T2036">
        <f>IF(AND($K2036=1,AND(对接源_02物料!$X836="公司筐",N(对接源_02物料!$V836)&lt;&gt;0)),1,0)</f>
        <v>0</v>
      </c>
      <c r="U2036">
        <f>N(U2035)+$T2036</f>
        <v>47</v>
      </c>
      <c r="V2036">
        <f>IF(AND($L2036=1,AND(对接源_02物料!$X836="自备筐",N(对接源_02物料!$V836)&lt;&gt;0)),1,0)</f>
        <v>0</v>
      </c>
      <c r="W2036">
        <f>N(W2035)+$V2036</f>
        <v>11</v>
      </c>
      <c r="X2036">
        <f>IF(AND($L2036=1,AND(对接源_02物料!$X836="自备筐",N(对接源_02物料!$T836)&lt;&gt;0)),1,0)</f>
        <v>0</v>
      </c>
      <c r="Y2036">
        <f>N(Y2035)+$X2036</f>
        <v>0</v>
      </c>
      <c r="Z2036">
        <f>IF(AND($M2036=1,对接源_02物料!$D836="原料入库"),1,0)</f>
        <v>0</v>
      </c>
      <c r="AA2036">
        <f>N(AA2035)+$Z2036</f>
        <v>24</v>
      </c>
      <c r="AB2036">
        <f>IF(AND($M2036=1,LEFT(对接源_02物料!$D836,4)="原料出库"),1,0)</f>
        <v>0</v>
      </c>
      <c r="AC2036">
        <f>N(AC2035)+$AB2036</f>
        <v>0</v>
      </c>
      <c r="AD2036">
        <f>IF(AND($M2036=1,LEFT(对接源_02物料!$D836,4)="成品出库"),1,0)</f>
        <v>0</v>
      </c>
      <c r="AE2036">
        <f>N(AE2035)+$AD2036</f>
        <v>0</v>
      </c>
      <c r="AF2036">
        <f>IF(AND($N2036=1,AND(LEFT(对接源_02物料!$D836,4)="包装物料",N(对接源_02物料!$K836)&lt;&gt;0)),1,0)</f>
        <v>0</v>
      </c>
      <c r="AG2036">
        <f>N(AG2035)+$AF2036</f>
        <v>10</v>
      </c>
      <c r="AH2036">
        <f>IF(AND($N2036=1,AND(对接源_02物料!$D836="周转筐－销售出库",N(对接源_02物料!$K836)&lt;&gt;0)),1,0)</f>
        <v>0</v>
      </c>
      <c r="AI2036">
        <f>N(AI2035)+$AH2036</f>
        <v>0</v>
      </c>
      <c r="AL2036" t="n">
        <v>0</v>
      </c>
      <c r="AM2036">
        <f>N(AM2035)+$AL2036</f>
        <v>2</v>
      </c>
      <c r="AN2036">
        <f>""</f>
      </c>
      <c r="AO2036" t="n">
        <v>0</v>
      </c>
      <c r="AP2036">
        <f>N(AP2035)+$AO2036</f>
        <v>13</v>
      </c>
      <c r="AR2036">
        <f>IF(OR($AF2036=1,$AH2036=1),1,0)</f>
        <v>0</v>
      </c>
      <c r="AS2036">
        <f>N(AS2035)+$AR2036</f>
        <v>10</v>
      </c>
    </row>
    <row r="2037" s="127">
      <c r="A2037">
        <f>IF(对接源_02物料!$C837="","",对接源_02物料!$C837)</f>
      </c>
      <c r="B2037">
        <f>IF(A2037="",0,IF(MATCH(A2037,$A$4:$A$2403,0)=ROW()-3,1,0))</f>
        <v>0</v>
      </c>
      <c r="C2037">
        <f>N(C2036)+B2037</f>
        <v>26</v>
      </c>
      <c r="K2037">
        <f>IF(OR($K$1="",对接源_02物料!$C837="",对接源_02物料!$C837&lt;&gt;$K$1,对接源_02物料!$B837=""),0,IF(OR(N(对接源_02物料!$B837)&lt;$K$2,N(对接源_02物料!$B837)&gt;$K$3),0,1))</f>
        <v>0</v>
      </c>
      <c r="L2037">
        <f>IF(OR($L$1="",对接源_02物料!$C837="",对接源_02物料!$C837&lt;&gt;$L$1,对接源_02物料!$B837=""),0,IF(OR(N(对接源_02物料!$B837)&lt;$L$2,N(对接源_02物料!$B837)&gt;$L$3),0,1))</f>
        <v>0</v>
      </c>
      <c r="M2037">
        <f>IF(OR($M$1="",对接源_02物料!$C837="",对接源_02物料!$C837&lt;&gt;$M$1,对接源_02物料!$B837=""),0,IF(OR(N(对接源_02物料!$B837)&lt;$M$2,N(对接源_02物料!$B837)&gt;$M$3),0,1))</f>
        <v>0</v>
      </c>
      <c r="N2037">
        <f>IF(OR($N$1="",对接源_02物料!$C837="",对接源_02物料!$C837&lt;&gt;$N$1,对接源_02物料!$B837=""),0,IF(OR(N(对接源_02物料!$B837)&lt;$N$2,N(对接源_02物料!$B837)&gt;$N$3),0,1))</f>
        <v>0</v>
      </c>
      <c r="P2037">
        <f>IF(AND($K2037=1,AND(对接源_02物料!$X837="公司筐",N(对接源_02物料!$T837)&lt;&gt;0)),1,0)</f>
        <v>0</v>
      </c>
      <c r="Q2037">
        <f>N(Q2036)+$P2037</f>
        <v>14</v>
      </c>
      <c r="R2037">
        <f>IF(AND($K2037=1,AND(对接源_02物料!$X837="公司筐",N(对接源_02物料!$U837)&lt;&gt;0)),1,0)</f>
        <v>0</v>
      </c>
      <c r="S2037">
        <f>N(S2036)+$R2037</f>
        <v>1</v>
      </c>
      <c r="T2037">
        <f>IF(AND($K2037=1,AND(对接源_02物料!$X837="公司筐",N(对接源_02物料!$V837)&lt;&gt;0)),1,0)</f>
        <v>0</v>
      </c>
      <c r="U2037">
        <f>N(U2036)+$T2037</f>
        <v>47</v>
      </c>
      <c r="V2037">
        <f>IF(AND($L2037=1,AND(对接源_02物料!$X837="自备筐",N(对接源_02物料!$V837)&lt;&gt;0)),1,0)</f>
        <v>0</v>
      </c>
      <c r="W2037">
        <f>N(W2036)+$V2037</f>
        <v>11</v>
      </c>
      <c r="X2037">
        <f>IF(AND($L2037=1,AND(对接源_02物料!$X837="自备筐",N(对接源_02物料!$T837)&lt;&gt;0)),1,0)</f>
        <v>0</v>
      </c>
      <c r="Y2037">
        <f>N(Y2036)+$X2037</f>
        <v>0</v>
      </c>
      <c r="Z2037">
        <f>IF(AND($M2037=1,对接源_02物料!$D837="原料入库"),1,0)</f>
        <v>0</v>
      </c>
      <c r="AA2037">
        <f>N(AA2036)+$Z2037</f>
        <v>24</v>
      </c>
      <c r="AB2037">
        <f>IF(AND($M2037=1,LEFT(对接源_02物料!$D837,4)="原料出库"),1,0)</f>
        <v>0</v>
      </c>
      <c r="AC2037">
        <f>N(AC2036)+$AB2037</f>
        <v>0</v>
      </c>
      <c r="AD2037">
        <f>IF(AND($M2037=1,LEFT(对接源_02物料!$D837,4)="成品出库"),1,0)</f>
        <v>0</v>
      </c>
      <c r="AE2037">
        <f>N(AE2036)+$AD2037</f>
        <v>0</v>
      </c>
      <c r="AF2037">
        <f>IF(AND($N2037=1,AND(LEFT(对接源_02物料!$D837,4)="包装物料",N(对接源_02物料!$K837)&lt;&gt;0)),1,0)</f>
        <v>0</v>
      </c>
      <c r="AG2037">
        <f>N(AG2036)+$AF2037</f>
        <v>10</v>
      </c>
      <c r="AH2037">
        <f>IF(AND($N2037=1,AND(对接源_02物料!$D837="周转筐－销售出库",N(对接源_02物料!$K837)&lt;&gt;0)),1,0)</f>
        <v>0</v>
      </c>
      <c r="AI2037">
        <f>N(AI2036)+$AH2037</f>
        <v>0</v>
      </c>
      <c r="AL2037" t="n">
        <v>0</v>
      </c>
      <c r="AM2037">
        <f>N(AM2036)+$AL2037</f>
        <v>2</v>
      </c>
      <c r="AN2037">
        <f>""</f>
      </c>
      <c r="AO2037" t="n">
        <v>0</v>
      </c>
      <c r="AP2037">
        <f>N(AP2036)+$AO2037</f>
        <v>13</v>
      </c>
      <c r="AR2037">
        <f>IF(OR($AF2037=1,$AH2037=1),1,0)</f>
        <v>0</v>
      </c>
      <c r="AS2037">
        <f>N(AS2036)+$AR2037</f>
        <v>10</v>
      </c>
    </row>
    <row r="2038" s="127">
      <c r="A2038">
        <f>IF(对接源_02物料!$C838="","",对接源_02物料!$C838)</f>
      </c>
      <c r="B2038">
        <f>IF(A2038="",0,IF(MATCH(A2038,$A$4:$A$2403,0)=ROW()-3,1,0))</f>
        <v>0</v>
      </c>
      <c r="C2038">
        <f>N(C2037)+B2038</f>
        <v>26</v>
      </c>
      <c r="K2038">
        <f>IF(OR($K$1="",对接源_02物料!$C838="",对接源_02物料!$C838&lt;&gt;$K$1,对接源_02物料!$B838=""),0,IF(OR(N(对接源_02物料!$B838)&lt;$K$2,N(对接源_02物料!$B838)&gt;$K$3),0,1))</f>
        <v>0</v>
      </c>
      <c r="L2038">
        <f>IF(OR($L$1="",对接源_02物料!$C838="",对接源_02物料!$C838&lt;&gt;$L$1,对接源_02物料!$B838=""),0,IF(OR(N(对接源_02物料!$B838)&lt;$L$2,N(对接源_02物料!$B838)&gt;$L$3),0,1))</f>
        <v>0</v>
      </c>
      <c r="M2038">
        <f>IF(OR($M$1="",对接源_02物料!$C838="",对接源_02物料!$C838&lt;&gt;$M$1,对接源_02物料!$B838=""),0,IF(OR(N(对接源_02物料!$B838)&lt;$M$2,N(对接源_02物料!$B838)&gt;$M$3),0,1))</f>
        <v>0</v>
      </c>
      <c r="N2038">
        <f>IF(OR($N$1="",对接源_02物料!$C838="",对接源_02物料!$C838&lt;&gt;$N$1,对接源_02物料!$B838=""),0,IF(OR(N(对接源_02物料!$B838)&lt;$N$2,N(对接源_02物料!$B838)&gt;$N$3),0,1))</f>
        <v>0</v>
      </c>
      <c r="P2038">
        <f>IF(AND($K2038=1,AND(对接源_02物料!$X838="公司筐",N(对接源_02物料!$T838)&lt;&gt;0)),1,0)</f>
        <v>0</v>
      </c>
      <c r="Q2038">
        <f>N(Q2037)+$P2038</f>
        <v>14</v>
      </c>
      <c r="R2038">
        <f>IF(AND($K2038=1,AND(对接源_02物料!$X838="公司筐",N(对接源_02物料!$U838)&lt;&gt;0)),1,0)</f>
        <v>0</v>
      </c>
      <c r="S2038">
        <f>N(S2037)+$R2038</f>
        <v>1</v>
      </c>
      <c r="T2038">
        <f>IF(AND($K2038=1,AND(对接源_02物料!$X838="公司筐",N(对接源_02物料!$V838)&lt;&gt;0)),1,0)</f>
        <v>0</v>
      </c>
      <c r="U2038">
        <f>N(U2037)+$T2038</f>
        <v>47</v>
      </c>
      <c r="V2038">
        <f>IF(AND($L2038=1,AND(对接源_02物料!$X838="自备筐",N(对接源_02物料!$V838)&lt;&gt;0)),1,0)</f>
        <v>0</v>
      </c>
      <c r="W2038">
        <f>N(W2037)+$V2038</f>
        <v>11</v>
      </c>
      <c r="X2038">
        <f>IF(AND($L2038=1,AND(对接源_02物料!$X838="自备筐",N(对接源_02物料!$T838)&lt;&gt;0)),1,0)</f>
        <v>0</v>
      </c>
      <c r="Y2038">
        <f>N(Y2037)+$X2038</f>
        <v>0</v>
      </c>
      <c r="Z2038">
        <f>IF(AND($M2038=1,对接源_02物料!$D838="原料入库"),1,0)</f>
        <v>0</v>
      </c>
      <c r="AA2038">
        <f>N(AA2037)+$Z2038</f>
        <v>24</v>
      </c>
      <c r="AB2038">
        <f>IF(AND($M2038=1,LEFT(对接源_02物料!$D838,4)="原料出库"),1,0)</f>
        <v>0</v>
      </c>
      <c r="AC2038">
        <f>N(AC2037)+$AB2038</f>
        <v>0</v>
      </c>
      <c r="AD2038">
        <f>IF(AND($M2038=1,LEFT(对接源_02物料!$D838,4)="成品出库"),1,0)</f>
        <v>0</v>
      </c>
      <c r="AE2038">
        <f>N(AE2037)+$AD2038</f>
        <v>0</v>
      </c>
      <c r="AF2038">
        <f>IF(AND($N2038=1,AND(LEFT(对接源_02物料!$D838,4)="包装物料",N(对接源_02物料!$K838)&lt;&gt;0)),1,0)</f>
        <v>0</v>
      </c>
      <c r="AG2038">
        <f>N(AG2037)+$AF2038</f>
        <v>10</v>
      </c>
      <c r="AH2038">
        <f>IF(AND($N2038=1,AND(对接源_02物料!$D838="周转筐－销售出库",N(对接源_02物料!$K838)&lt;&gt;0)),1,0)</f>
        <v>0</v>
      </c>
      <c r="AI2038">
        <f>N(AI2037)+$AH2038</f>
        <v>0</v>
      </c>
      <c r="AL2038" t="n">
        <v>0</v>
      </c>
      <c r="AM2038">
        <f>N(AM2037)+$AL2038</f>
        <v>2</v>
      </c>
      <c r="AN2038">
        <f>""</f>
      </c>
      <c r="AO2038" t="n">
        <v>0</v>
      </c>
      <c r="AP2038">
        <f>N(AP2037)+$AO2038</f>
        <v>13</v>
      </c>
      <c r="AR2038">
        <f>IF(OR($AF2038=1,$AH2038=1),1,0)</f>
        <v>0</v>
      </c>
      <c r="AS2038">
        <f>N(AS2037)+$AR2038</f>
        <v>10</v>
      </c>
    </row>
    <row r="2039" s="127">
      <c r="A2039">
        <f>IF(对接源_02物料!$C839="","",对接源_02物料!$C839)</f>
      </c>
      <c r="B2039">
        <f>IF(A2039="",0,IF(MATCH(A2039,$A$4:$A$2403,0)=ROW()-3,1,0))</f>
        <v>0</v>
      </c>
      <c r="C2039">
        <f>N(C2038)+B2039</f>
        <v>26</v>
      </c>
      <c r="K2039">
        <f>IF(OR($K$1="",对接源_02物料!$C839="",对接源_02物料!$C839&lt;&gt;$K$1,对接源_02物料!$B839=""),0,IF(OR(N(对接源_02物料!$B839)&lt;$K$2,N(对接源_02物料!$B839)&gt;$K$3),0,1))</f>
        <v>0</v>
      </c>
      <c r="L2039">
        <f>IF(OR($L$1="",对接源_02物料!$C839="",对接源_02物料!$C839&lt;&gt;$L$1,对接源_02物料!$B839=""),0,IF(OR(N(对接源_02物料!$B839)&lt;$L$2,N(对接源_02物料!$B839)&gt;$L$3),0,1))</f>
        <v>0</v>
      </c>
      <c r="M2039">
        <f>IF(OR($M$1="",对接源_02物料!$C839="",对接源_02物料!$C839&lt;&gt;$M$1,对接源_02物料!$B839=""),0,IF(OR(N(对接源_02物料!$B839)&lt;$M$2,N(对接源_02物料!$B839)&gt;$M$3),0,1))</f>
        <v>0</v>
      </c>
      <c r="N2039">
        <f>IF(OR($N$1="",对接源_02物料!$C839="",对接源_02物料!$C839&lt;&gt;$N$1,对接源_02物料!$B839=""),0,IF(OR(N(对接源_02物料!$B839)&lt;$N$2,N(对接源_02物料!$B839)&gt;$N$3),0,1))</f>
        <v>0</v>
      </c>
      <c r="P2039">
        <f>IF(AND($K2039=1,AND(对接源_02物料!$X839="公司筐",N(对接源_02物料!$T839)&lt;&gt;0)),1,0)</f>
        <v>0</v>
      </c>
      <c r="Q2039">
        <f>N(Q2038)+$P2039</f>
        <v>14</v>
      </c>
      <c r="R2039">
        <f>IF(AND($K2039=1,AND(对接源_02物料!$X839="公司筐",N(对接源_02物料!$U839)&lt;&gt;0)),1,0)</f>
        <v>0</v>
      </c>
      <c r="S2039">
        <f>N(S2038)+$R2039</f>
        <v>1</v>
      </c>
      <c r="T2039">
        <f>IF(AND($K2039=1,AND(对接源_02物料!$X839="公司筐",N(对接源_02物料!$V839)&lt;&gt;0)),1,0)</f>
        <v>0</v>
      </c>
      <c r="U2039">
        <f>N(U2038)+$T2039</f>
        <v>47</v>
      </c>
      <c r="V2039">
        <f>IF(AND($L2039=1,AND(对接源_02物料!$X839="自备筐",N(对接源_02物料!$V839)&lt;&gt;0)),1,0)</f>
        <v>0</v>
      </c>
      <c r="W2039">
        <f>N(W2038)+$V2039</f>
        <v>11</v>
      </c>
      <c r="X2039">
        <f>IF(AND($L2039=1,AND(对接源_02物料!$X839="自备筐",N(对接源_02物料!$T839)&lt;&gt;0)),1,0)</f>
        <v>0</v>
      </c>
      <c r="Y2039">
        <f>N(Y2038)+$X2039</f>
        <v>0</v>
      </c>
      <c r="Z2039">
        <f>IF(AND($M2039=1,对接源_02物料!$D839="原料入库"),1,0)</f>
        <v>0</v>
      </c>
      <c r="AA2039">
        <f>N(AA2038)+$Z2039</f>
        <v>24</v>
      </c>
      <c r="AB2039">
        <f>IF(AND($M2039=1,LEFT(对接源_02物料!$D839,4)="原料出库"),1,0)</f>
        <v>0</v>
      </c>
      <c r="AC2039">
        <f>N(AC2038)+$AB2039</f>
        <v>0</v>
      </c>
      <c r="AD2039">
        <f>IF(AND($M2039=1,LEFT(对接源_02物料!$D839,4)="成品出库"),1,0)</f>
        <v>0</v>
      </c>
      <c r="AE2039">
        <f>N(AE2038)+$AD2039</f>
        <v>0</v>
      </c>
      <c r="AF2039">
        <f>IF(AND($N2039=1,AND(LEFT(对接源_02物料!$D839,4)="包装物料",N(对接源_02物料!$K839)&lt;&gt;0)),1,0)</f>
        <v>0</v>
      </c>
      <c r="AG2039">
        <f>N(AG2038)+$AF2039</f>
        <v>10</v>
      </c>
      <c r="AH2039">
        <f>IF(AND($N2039=1,AND(对接源_02物料!$D839="周转筐－销售出库",N(对接源_02物料!$K839)&lt;&gt;0)),1,0)</f>
        <v>0</v>
      </c>
      <c r="AI2039">
        <f>N(AI2038)+$AH2039</f>
        <v>0</v>
      </c>
      <c r="AL2039" t="n">
        <v>0</v>
      </c>
      <c r="AM2039">
        <f>N(AM2038)+$AL2039</f>
        <v>2</v>
      </c>
      <c r="AN2039">
        <f>""</f>
      </c>
      <c r="AO2039" t="n">
        <v>0</v>
      </c>
      <c r="AP2039">
        <f>N(AP2038)+$AO2039</f>
        <v>13</v>
      </c>
      <c r="AR2039">
        <f>IF(OR($AF2039=1,$AH2039=1),1,0)</f>
        <v>0</v>
      </c>
      <c r="AS2039">
        <f>N(AS2038)+$AR2039</f>
        <v>10</v>
      </c>
    </row>
    <row r="2040" s="127">
      <c r="A2040">
        <f>IF(对接源_02物料!$C840="","",对接源_02物料!$C840)</f>
      </c>
      <c r="B2040">
        <f>IF(A2040="",0,IF(MATCH(A2040,$A$4:$A$2403,0)=ROW()-3,1,0))</f>
        <v>0</v>
      </c>
      <c r="C2040">
        <f>N(C2039)+B2040</f>
        <v>26</v>
      </c>
      <c r="K2040">
        <f>IF(OR($K$1="",对接源_02物料!$C840="",对接源_02物料!$C840&lt;&gt;$K$1,对接源_02物料!$B840=""),0,IF(OR(N(对接源_02物料!$B840)&lt;$K$2,N(对接源_02物料!$B840)&gt;$K$3),0,1))</f>
        <v>0</v>
      </c>
      <c r="L2040">
        <f>IF(OR($L$1="",对接源_02物料!$C840="",对接源_02物料!$C840&lt;&gt;$L$1,对接源_02物料!$B840=""),0,IF(OR(N(对接源_02物料!$B840)&lt;$L$2,N(对接源_02物料!$B840)&gt;$L$3),0,1))</f>
        <v>0</v>
      </c>
      <c r="M2040">
        <f>IF(OR($M$1="",对接源_02物料!$C840="",对接源_02物料!$C840&lt;&gt;$M$1,对接源_02物料!$B840=""),0,IF(OR(N(对接源_02物料!$B840)&lt;$M$2,N(对接源_02物料!$B840)&gt;$M$3),0,1))</f>
        <v>0</v>
      </c>
      <c r="N2040">
        <f>IF(OR($N$1="",对接源_02物料!$C840="",对接源_02物料!$C840&lt;&gt;$N$1,对接源_02物料!$B840=""),0,IF(OR(N(对接源_02物料!$B840)&lt;$N$2,N(对接源_02物料!$B840)&gt;$N$3),0,1))</f>
        <v>0</v>
      </c>
      <c r="P2040">
        <f>IF(AND($K2040=1,AND(对接源_02物料!$X840="公司筐",N(对接源_02物料!$T840)&lt;&gt;0)),1,0)</f>
        <v>0</v>
      </c>
      <c r="Q2040">
        <f>N(Q2039)+$P2040</f>
        <v>14</v>
      </c>
      <c r="R2040">
        <f>IF(AND($K2040=1,AND(对接源_02物料!$X840="公司筐",N(对接源_02物料!$U840)&lt;&gt;0)),1,0)</f>
        <v>0</v>
      </c>
      <c r="S2040">
        <f>N(S2039)+$R2040</f>
        <v>1</v>
      </c>
      <c r="T2040">
        <f>IF(AND($K2040=1,AND(对接源_02物料!$X840="公司筐",N(对接源_02物料!$V840)&lt;&gt;0)),1,0)</f>
        <v>0</v>
      </c>
      <c r="U2040">
        <f>N(U2039)+$T2040</f>
        <v>47</v>
      </c>
      <c r="V2040">
        <f>IF(AND($L2040=1,AND(对接源_02物料!$X840="自备筐",N(对接源_02物料!$V840)&lt;&gt;0)),1,0)</f>
        <v>0</v>
      </c>
      <c r="W2040">
        <f>N(W2039)+$V2040</f>
        <v>11</v>
      </c>
      <c r="X2040">
        <f>IF(AND($L2040=1,AND(对接源_02物料!$X840="自备筐",N(对接源_02物料!$T840)&lt;&gt;0)),1,0)</f>
        <v>0</v>
      </c>
      <c r="Y2040">
        <f>N(Y2039)+$X2040</f>
        <v>0</v>
      </c>
      <c r="Z2040">
        <f>IF(AND($M2040=1,对接源_02物料!$D840="原料入库"),1,0)</f>
        <v>0</v>
      </c>
      <c r="AA2040">
        <f>N(AA2039)+$Z2040</f>
        <v>24</v>
      </c>
      <c r="AB2040">
        <f>IF(AND($M2040=1,LEFT(对接源_02物料!$D840,4)="原料出库"),1,0)</f>
        <v>0</v>
      </c>
      <c r="AC2040">
        <f>N(AC2039)+$AB2040</f>
        <v>0</v>
      </c>
      <c r="AD2040">
        <f>IF(AND($M2040=1,LEFT(对接源_02物料!$D840,4)="成品出库"),1,0)</f>
        <v>0</v>
      </c>
      <c r="AE2040">
        <f>N(AE2039)+$AD2040</f>
        <v>0</v>
      </c>
      <c r="AF2040">
        <f>IF(AND($N2040=1,AND(LEFT(对接源_02物料!$D840,4)="包装物料",N(对接源_02物料!$K840)&lt;&gt;0)),1,0)</f>
        <v>0</v>
      </c>
      <c r="AG2040">
        <f>N(AG2039)+$AF2040</f>
        <v>10</v>
      </c>
      <c r="AH2040">
        <f>IF(AND($N2040=1,AND(对接源_02物料!$D840="周转筐－销售出库",N(对接源_02物料!$K840)&lt;&gt;0)),1,0)</f>
        <v>0</v>
      </c>
      <c r="AI2040">
        <f>N(AI2039)+$AH2040</f>
        <v>0</v>
      </c>
      <c r="AL2040" t="n">
        <v>0</v>
      </c>
      <c r="AM2040">
        <f>N(AM2039)+$AL2040</f>
        <v>2</v>
      </c>
      <c r="AN2040">
        <f>""</f>
      </c>
      <c r="AO2040" t="n">
        <v>0</v>
      </c>
      <c r="AP2040">
        <f>N(AP2039)+$AO2040</f>
        <v>13</v>
      </c>
      <c r="AR2040">
        <f>IF(OR($AF2040=1,$AH2040=1),1,0)</f>
        <v>0</v>
      </c>
      <c r="AS2040">
        <f>N(AS2039)+$AR2040</f>
        <v>10</v>
      </c>
    </row>
    <row r="2041" s="127">
      <c r="A2041">
        <f>IF(对接源_02物料!$C841="","",对接源_02物料!$C841)</f>
      </c>
      <c r="B2041">
        <f>IF(A2041="",0,IF(MATCH(A2041,$A$4:$A$2403,0)=ROW()-3,1,0))</f>
        <v>0</v>
      </c>
      <c r="C2041">
        <f>N(C2040)+B2041</f>
        <v>26</v>
      </c>
      <c r="K2041">
        <f>IF(OR($K$1="",对接源_02物料!$C841="",对接源_02物料!$C841&lt;&gt;$K$1,对接源_02物料!$B841=""),0,IF(OR(N(对接源_02物料!$B841)&lt;$K$2,N(对接源_02物料!$B841)&gt;$K$3),0,1))</f>
        <v>0</v>
      </c>
      <c r="L2041">
        <f>IF(OR($L$1="",对接源_02物料!$C841="",对接源_02物料!$C841&lt;&gt;$L$1,对接源_02物料!$B841=""),0,IF(OR(N(对接源_02物料!$B841)&lt;$L$2,N(对接源_02物料!$B841)&gt;$L$3),0,1))</f>
        <v>0</v>
      </c>
      <c r="M2041">
        <f>IF(OR($M$1="",对接源_02物料!$C841="",对接源_02物料!$C841&lt;&gt;$M$1,对接源_02物料!$B841=""),0,IF(OR(N(对接源_02物料!$B841)&lt;$M$2,N(对接源_02物料!$B841)&gt;$M$3),0,1))</f>
        <v>0</v>
      </c>
      <c r="N2041">
        <f>IF(OR($N$1="",对接源_02物料!$C841="",对接源_02物料!$C841&lt;&gt;$N$1,对接源_02物料!$B841=""),0,IF(OR(N(对接源_02物料!$B841)&lt;$N$2,N(对接源_02物料!$B841)&gt;$N$3),0,1))</f>
        <v>0</v>
      </c>
      <c r="P2041">
        <f>IF(AND($K2041=1,AND(对接源_02物料!$X841="公司筐",N(对接源_02物料!$T841)&lt;&gt;0)),1,0)</f>
        <v>0</v>
      </c>
      <c r="Q2041">
        <f>N(Q2040)+$P2041</f>
        <v>14</v>
      </c>
      <c r="R2041">
        <f>IF(AND($K2041=1,AND(对接源_02物料!$X841="公司筐",N(对接源_02物料!$U841)&lt;&gt;0)),1,0)</f>
        <v>0</v>
      </c>
      <c r="S2041">
        <f>N(S2040)+$R2041</f>
        <v>1</v>
      </c>
      <c r="T2041">
        <f>IF(AND($K2041=1,AND(对接源_02物料!$X841="公司筐",N(对接源_02物料!$V841)&lt;&gt;0)),1,0)</f>
        <v>0</v>
      </c>
      <c r="U2041">
        <f>N(U2040)+$T2041</f>
        <v>47</v>
      </c>
      <c r="V2041">
        <f>IF(AND($L2041=1,AND(对接源_02物料!$X841="自备筐",N(对接源_02物料!$V841)&lt;&gt;0)),1,0)</f>
        <v>0</v>
      </c>
      <c r="W2041">
        <f>N(W2040)+$V2041</f>
        <v>11</v>
      </c>
      <c r="X2041">
        <f>IF(AND($L2041=1,AND(对接源_02物料!$X841="自备筐",N(对接源_02物料!$T841)&lt;&gt;0)),1,0)</f>
        <v>0</v>
      </c>
      <c r="Y2041">
        <f>N(Y2040)+$X2041</f>
        <v>0</v>
      </c>
      <c r="Z2041">
        <f>IF(AND($M2041=1,对接源_02物料!$D841="原料入库"),1,0)</f>
        <v>0</v>
      </c>
      <c r="AA2041">
        <f>N(AA2040)+$Z2041</f>
        <v>24</v>
      </c>
      <c r="AB2041">
        <f>IF(AND($M2041=1,LEFT(对接源_02物料!$D841,4)="原料出库"),1,0)</f>
        <v>0</v>
      </c>
      <c r="AC2041">
        <f>N(AC2040)+$AB2041</f>
        <v>0</v>
      </c>
      <c r="AD2041">
        <f>IF(AND($M2041=1,LEFT(对接源_02物料!$D841,4)="成品出库"),1,0)</f>
        <v>0</v>
      </c>
      <c r="AE2041">
        <f>N(AE2040)+$AD2041</f>
        <v>0</v>
      </c>
      <c r="AF2041">
        <f>IF(AND($N2041=1,AND(LEFT(对接源_02物料!$D841,4)="包装物料",N(对接源_02物料!$K841)&lt;&gt;0)),1,0)</f>
        <v>0</v>
      </c>
      <c r="AG2041">
        <f>N(AG2040)+$AF2041</f>
        <v>10</v>
      </c>
      <c r="AH2041">
        <f>IF(AND($N2041=1,AND(对接源_02物料!$D841="周转筐－销售出库",N(对接源_02物料!$K841)&lt;&gt;0)),1,0)</f>
        <v>0</v>
      </c>
      <c r="AI2041">
        <f>N(AI2040)+$AH2041</f>
        <v>0</v>
      </c>
      <c r="AL2041" t="n">
        <v>0</v>
      </c>
      <c r="AM2041">
        <f>N(AM2040)+$AL2041</f>
        <v>2</v>
      </c>
      <c r="AN2041">
        <f>""</f>
      </c>
      <c r="AO2041" t="n">
        <v>0</v>
      </c>
      <c r="AP2041">
        <f>N(AP2040)+$AO2041</f>
        <v>13</v>
      </c>
      <c r="AR2041">
        <f>IF(OR($AF2041=1,$AH2041=1),1,0)</f>
        <v>0</v>
      </c>
      <c r="AS2041">
        <f>N(AS2040)+$AR2041</f>
        <v>10</v>
      </c>
    </row>
    <row r="2042" s="127">
      <c r="A2042">
        <f>IF(对接源_02物料!$C842="","",对接源_02物料!$C842)</f>
      </c>
      <c r="B2042">
        <f>IF(A2042="",0,IF(MATCH(A2042,$A$4:$A$2403,0)=ROW()-3,1,0))</f>
        <v>0</v>
      </c>
      <c r="C2042">
        <f>N(C2041)+B2042</f>
        <v>26</v>
      </c>
      <c r="K2042">
        <f>IF(OR($K$1="",对接源_02物料!$C842="",对接源_02物料!$C842&lt;&gt;$K$1,对接源_02物料!$B842=""),0,IF(OR(N(对接源_02物料!$B842)&lt;$K$2,N(对接源_02物料!$B842)&gt;$K$3),0,1))</f>
        <v>0</v>
      </c>
      <c r="L2042">
        <f>IF(OR($L$1="",对接源_02物料!$C842="",对接源_02物料!$C842&lt;&gt;$L$1,对接源_02物料!$B842=""),0,IF(OR(N(对接源_02物料!$B842)&lt;$L$2,N(对接源_02物料!$B842)&gt;$L$3),0,1))</f>
        <v>0</v>
      </c>
      <c r="M2042">
        <f>IF(OR($M$1="",对接源_02物料!$C842="",对接源_02物料!$C842&lt;&gt;$M$1,对接源_02物料!$B842=""),0,IF(OR(N(对接源_02物料!$B842)&lt;$M$2,N(对接源_02物料!$B842)&gt;$M$3),0,1))</f>
        <v>0</v>
      </c>
      <c r="N2042">
        <f>IF(OR($N$1="",对接源_02物料!$C842="",对接源_02物料!$C842&lt;&gt;$N$1,对接源_02物料!$B842=""),0,IF(OR(N(对接源_02物料!$B842)&lt;$N$2,N(对接源_02物料!$B842)&gt;$N$3),0,1))</f>
        <v>0</v>
      </c>
      <c r="P2042">
        <f>IF(AND($K2042=1,AND(对接源_02物料!$X842="公司筐",N(对接源_02物料!$T842)&lt;&gt;0)),1,0)</f>
        <v>0</v>
      </c>
      <c r="Q2042">
        <f>N(Q2041)+$P2042</f>
        <v>14</v>
      </c>
      <c r="R2042">
        <f>IF(AND($K2042=1,AND(对接源_02物料!$X842="公司筐",N(对接源_02物料!$U842)&lt;&gt;0)),1,0)</f>
        <v>0</v>
      </c>
      <c r="S2042">
        <f>N(S2041)+$R2042</f>
        <v>1</v>
      </c>
      <c r="T2042">
        <f>IF(AND($K2042=1,AND(对接源_02物料!$X842="公司筐",N(对接源_02物料!$V842)&lt;&gt;0)),1,0)</f>
        <v>0</v>
      </c>
      <c r="U2042">
        <f>N(U2041)+$T2042</f>
        <v>47</v>
      </c>
      <c r="V2042">
        <f>IF(AND($L2042=1,AND(对接源_02物料!$X842="自备筐",N(对接源_02物料!$V842)&lt;&gt;0)),1,0)</f>
        <v>0</v>
      </c>
      <c r="W2042">
        <f>N(W2041)+$V2042</f>
        <v>11</v>
      </c>
      <c r="X2042">
        <f>IF(AND($L2042=1,AND(对接源_02物料!$X842="自备筐",N(对接源_02物料!$T842)&lt;&gt;0)),1,0)</f>
        <v>0</v>
      </c>
      <c r="Y2042">
        <f>N(Y2041)+$X2042</f>
        <v>0</v>
      </c>
      <c r="Z2042">
        <f>IF(AND($M2042=1,对接源_02物料!$D842="原料入库"),1,0)</f>
        <v>0</v>
      </c>
      <c r="AA2042">
        <f>N(AA2041)+$Z2042</f>
        <v>24</v>
      </c>
      <c r="AB2042">
        <f>IF(AND($M2042=1,LEFT(对接源_02物料!$D842,4)="原料出库"),1,0)</f>
        <v>0</v>
      </c>
      <c r="AC2042">
        <f>N(AC2041)+$AB2042</f>
        <v>0</v>
      </c>
      <c r="AD2042">
        <f>IF(AND($M2042=1,LEFT(对接源_02物料!$D842,4)="成品出库"),1,0)</f>
        <v>0</v>
      </c>
      <c r="AE2042">
        <f>N(AE2041)+$AD2042</f>
        <v>0</v>
      </c>
      <c r="AF2042">
        <f>IF(AND($N2042=1,AND(LEFT(对接源_02物料!$D842,4)="包装物料",N(对接源_02物料!$K842)&lt;&gt;0)),1,0)</f>
        <v>0</v>
      </c>
      <c r="AG2042">
        <f>N(AG2041)+$AF2042</f>
        <v>10</v>
      </c>
      <c r="AH2042">
        <f>IF(AND($N2042=1,AND(对接源_02物料!$D842="周转筐－销售出库",N(对接源_02物料!$K842)&lt;&gt;0)),1,0)</f>
        <v>0</v>
      </c>
      <c r="AI2042">
        <f>N(AI2041)+$AH2042</f>
        <v>0</v>
      </c>
      <c r="AL2042" t="n">
        <v>0</v>
      </c>
      <c r="AM2042">
        <f>N(AM2041)+$AL2042</f>
        <v>2</v>
      </c>
      <c r="AN2042">
        <f>""</f>
      </c>
      <c r="AO2042" t="n">
        <v>0</v>
      </c>
      <c r="AP2042">
        <f>N(AP2041)+$AO2042</f>
        <v>13</v>
      </c>
      <c r="AR2042">
        <f>IF(OR($AF2042=1,$AH2042=1),1,0)</f>
        <v>0</v>
      </c>
      <c r="AS2042">
        <f>N(AS2041)+$AR2042</f>
        <v>10</v>
      </c>
    </row>
    <row r="2043" s="127">
      <c r="A2043">
        <f>IF(对接源_02物料!$C843="","",对接源_02物料!$C843)</f>
      </c>
      <c r="B2043">
        <f>IF(A2043="",0,IF(MATCH(A2043,$A$4:$A$2403,0)=ROW()-3,1,0))</f>
        <v>0</v>
      </c>
      <c r="C2043">
        <f>N(C2042)+B2043</f>
        <v>26</v>
      </c>
      <c r="K2043">
        <f>IF(OR($K$1="",对接源_02物料!$C843="",对接源_02物料!$C843&lt;&gt;$K$1,对接源_02物料!$B843=""),0,IF(OR(N(对接源_02物料!$B843)&lt;$K$2,N(对接源_02物料!$B843)&gt;$K$3),0,1))</f>
        <v>0</v>
      </c>
      <c r="L2043">
        <f>IF(OR($L$1="",对接源_02物料!$C843="",对接源_02物料!$C843&lt;&gt;$L$1,对接源_02物料!$B843=""),0,IF(OR(N(对接源_02物料!$B843)&lt;$L$2,N(对接源_02物料!$B843)&gt;$L$3),0,1))</f>
        <v>0</v>
      </c>
      <c r="M2043">
        <f>IF(OR($M$1="",对接源_02物料!$C843="",对接源_02物料!$C843&lt;&gt;$M$1,对接源_02物料!$B843=""),0,IF(OR(N(对接源_02物料!$B843)&lt;$M$2,N(对接源_02物料!$B843)&gt;$M$3),0,1))</f>
        <v>0</v>
      </c>
      <c r="N2043">
        <f>IF(OR($N$1="",对接源_02物料!$C843="",对接源_02物料!$C843&lt;&gt;$N$1,对接源_02物料!$B843=""),0,IF(OR(N(对接源_02物料!$B843)&lt;$N$2,N(对接源_02物料!$B843)&gt;$N$3),0,1))</f>
        <v>0</v>
      </c>
      <c r="P2043">
        <f>IF(AND($K2043=1,AND(对接源_02物料!$X843="公司筐",N(对接源_02物料!$T843)&lt;&gt;0)),1,0)</f>
        <v>0</v>
      </c>
      <c r="Q2043">
        <f>N(Q2042)+$P2043</f>
        <v>14</v>
      </c>
      <c r="R2043">
        <f>IF(AND($K2043=1,AND(对接源_02物料!$X843="公司筐",N(对接源_02物料!$U843)&lt;&gt;0)),1,0)</f>
        <v>0</v>
      </c>
      <c r="S2043">
        <f>N(S2042)+$R2043</f>
        <v>1</v>
      </c>
      <c r="T2043">
        <f>IF(AND($K2043=1,AND(对接源_02物料!$X843="公司筐",N(对接源_02物料!$V843)&lt;&gt;0)),1,0)</f>
        <v>0</v>
      </c>
      <c r="U2043">
        <f>N(U2042)+$T2043</f>
        <v>47</v>
      </c>
      <c r="V2043">
        <f>IF(AND($L2043=1,AND(对接源_02物料!$X843="自备筐",N(对接源_02物料!$V843)&lt;&gt;0)),1,0)</f>
        <v>0</v>
      </c>
      <c r="W2043">
        <f>N(W2042)+$V2043</f>
        <v>11</v>
      </c>
      <c r="X2043">
        <f>IF(AND($L2043=1,AND(对接源_02物料!$X843="自备筐",N(对接源_02物料!$T843)&lt;&gt;0)),1,0)</f>
        <v>0</v>
      </c>
      <c r="Y2043">
        <f>N(Y2042)+$X2043</f>
        <v>0</v>
      </c>
      <c r="Z2043">
        <f>IF(AND($M2043=1,对接源_02物料!$D843="原料入库"),1,0)</f>
        <v>0</v>
      </c>
      <c r="AA2043">
        <f>N(AA2042)+$Z2043</f>
        <v>24</v>
      </c>
      <c r="AB2043">
        <f>IF(AND($M2043=1,LEFT(对接源_02物料!$D843,4)="原料出库"),1,0)</f>
        <v>0</v>
      </c>
      <c r="AC2043">
        <f>N(AC2042)+$AB2043</f>
        <v>0</v>
      </c>
      <c r="AD2043">
        <f>IF(AND($M2043=1,LEFT(对接源_02物料!$D843,4)="成品出库"),1,0)</f>
        <v>0</v>
      </c>
      <c r="AE2043">
        <f>N(AE2042)+$AD2043</f>
        <v>0</v>
      </c>
      <c r="AF2043">
        <f>IF(AND($N2043=1,AND(LEFT(对接源_02物料!$D843,4)="包装物料",N(对接源_02物料!$K843)&lt;&gt;0)),1,0)</f>
        <v>0</v>
      </c>
      <c r="AG2043">
        <f>N(AG2042)+$AF2043</f>
        <v>10</v>
      </c>
      <c r="AH2043">
        <f>IF(AND($N2043=1,AND(对接源_02物料!$D843="周转筐－销售出库",N(对接源_02物料!$K843)&lt;&gt;0)),1,0)</f>
        <v>0</v>
      </c>
      <c r="AI2043">
        <f>N(AI2042)+$AH2043</f>
        <v>0</v>
      </c>
      <c r="AL2043" t="n">
        <v>0</v>
      </c>
      <c r="AM2043">
        <f>N(AM2042)+$AL2043</f>
        <v>2</v>
      </c>
      <c r="AN2043">
        <f>""</f>
      </c>
      <c r="AO2043" t="n">
        <v>0</v>
      </c>
      <c r="AP2043">
        <f>N(AP2042)+$AO2043</f>
        <v>13</v>
      </c>
      <c r="AR2043">
        <f>IF(OR($AF2043=1,$AH2043=1),1,0)</f>
        <v>0</v>
      </c>
      <c r="AS2043">
        <f>N(AS2042)+$AR2043</f>
        <v>10</v>
      </c>
    </row>
    <row r="2044" s="127">
      <c r="A2044">
        <f>IF(对接源_02物料!$C844="","",对接源_02物料!$C844)</f>
      </c>
      <c r="B2044">
        <f>IF(A2044="",0,IF(MATCH(A2044,$A$4:$A$2403,0)=ROW()-3,1,0))</f>
        <v>0</v>
      </c>
      <c r="C2044">
        <f>N(C2043)+B2044</f>
        <v>26</v>
      </c>
      <c r="K2044">
        <f>IF(OR($K$1="",对接源_02物料!$C844="",对接源_02物料!$C844&lt;&gt;$K$1,对接源_02物料!$B844=""),0,IF(OR(N(对接源_02物料!$B844)&lt;$K$2,N(对接源_02物料!$B844)&gt;$K$3),0,1))</f>
        <v>0</v>
      </c>
      <c r="L2044">
        <f>IF(OR($L$1="",对接源_02物料!$C844="",对接源_02物料!$C844&lt;&gt;$L$1,对接源_02物料!$B844=""),0,IF(OR(N(对接源_02物料!$B844)&lt;$L$2,N(对接源_02物料!$B844)&gt;$L$3),0,1))</f>
        <v>0</v>
      </c>
      <c r="M2044">
        <f>IF(OR($M$1="",对接源_02物料!$C844="",对接源_02物料!$C844&lt;&gt;$M$1,对接源_02物料!$B844=""),0,IF(OR(N(对接源_02物料!$B844)&lt;$M$2,N(对接源_02物料!$B844)&gt;$M$3),0,1))</f>
        <v>0</v>
      </c>
      <c r="N2044">
        <f>IF(OR($N$1="",对接源_02物料!$C844="",对接源_02物料!$C844&lt;&gt;$N$1,对接源_02物料!$B844=""),0,IF(OR(N(对接源_02物料!$B844)&lt;$N$2,N(对接源_02物料!$B844)&gt;$N$3),0,1))</f>
        <v>0</v>
      </c>
      <c r="P2044">
        <f>IF(AND($K2044=1,AND(对接源_02物料!$X844="公司筐",N(对接源_02物料!$T844)&lt;&gt;0)),1,0)</f>
        <v>0</v>
      </c>
      <c r="Q2044">
        <f>N(Q2043)+$P2044</f>
        <v>14</v>
      </c>
      <c r="R2044">
        <f>IF(AND($K2044=1,AND(对接源_02物料!$X844="公司筐",N(对接源_02物料!$U844)&lt;&gt;0)),1,0)</f>
        <v>0</v>
      </c>
      <c r="S2044">
        <f>N(S2043)+$R2044</f>
        <v>1</v>
      </c>
      <c r="T2044">
        <f>IF(AND($K2044=1,AND(对接源_02物料!$X844="公司筐",N(对接源_02物料!$V844)&lt;&gt;0)),1,0)</f>
        <v>0</v>
      </c>
      <c r="U2044">
        <f>N(U2043)+$T2044</f>
        <v>47</v>
      </c>
      <c r="V2044">
        <f>IF(AND($L2044=1,AND(对接源_02物料!$X844="自备筐",N(对接源_02物料!$V844)&lt;&gt;0)),1,0)</f>
        <v>0</v>
      </c>
      <c r="W2044">
        <f>N(W2043)+$V2044</f>
        <v>11</v>
      </c>
      <c r="X2044">
        <f>IF(AND($L2044=1,AND(对接源_02物料!$X844="自备筐",N(对接源_02物料!$T844)&lt;&gt;0)),1,0)</f>
        <v>0</v>
      </c>
      <c r="Y2044">
        <f>N(Y2043)+$X2044</f>
        <v>0</v>
      </c>
      <c r="Z2044">
        <f>IF(AND($M2044=1,对接源_02物料!$D844="原料入库"),1,0)</f>
        <v>0</v>
      </c>
      <c r="AA2044">
        <f>N(AA2043)+$Z2044</f>
        <v>24</v>
      </c>
      <c r="AB2044">
        <f>IF(AND($M2044=1,LEFT(对接源_02物料!$D844,4)="原料出库"),1,0)</f>
        <v>0</v>
      </c>
      <c r="AC2044">
        <f>N(AC2043)+$AB2044</f>
        <v>0</v>
      </c>
      <c r="AD2044">
        <f>IF(AND($M2044=1,LEFT(对接源_02物料!$D844,4)="成品出库"),1,0)</f>
        <v>0</v>
      </c>
      <c r="AE2044">
        <f>N(AE2043)+$AD2044</f>
        <v>0</v>
      </c>
      <c r="AF2044">
        <f>IF(AND($N2044=1,AND(LEFT(对接源_02物料!$D844,4)="包装物料",N(对接源_02物料!$K844)&lt;&gt;0)),1,0)</f>
        <v>0</v>
      </c>
      <c r="AG2044">
        <f>N(AG2043)+$AF2044</f>
        <v>10</v>
      </c>
      <c r="AH2044">
        <f>IF(AND($N2044=1,AND(对接源_02物料!$D844="周转筐－销售出库",N(对接源_02物料!$K844)&lt;&gt;0)),1,0)</f>
        <v>0</v>
      </c>
      <c r="AI2044">
        <f>N(AI2043)+$AH2044</f>
        <v>0</v>
      </c>
      <c r="AL2044" t="n">
        <v>0</v>
      </c>
      <c r="AM2044">
        <f>N(AM2043)+$AL2044</f>
        <v>2</v>
      </c>
      <c r="AN2044">
        <f>""</f>
      </c>
      <c r="AO2044" t="n">
        <v>0</v>
      </c>
      <c r="AP2044">
        <f>N(AP2043)+$AO2044</f>
        <v>13</v>
      </c>
      <c r="AR2044">
        <f>IF(OR($AF2044=1,$AH2044=1),1,0)</f>
        <v>0</v>
      </c>
      <c r="AS2044">
        <f>N(AS2043)+$AR2044</f>
        <v>10</v>
      </c>
    </row>
    <row r="2045" s="127">
      <c r="A2045">
        <f>IF(对接源_02物料!$C845="","",对接源_02物料!$C845)</f>
      </c>
      <c r="B2045">
        <f>IF(A2045="",0,IF(MATCH(A2045,$A$4:$A$2403,0)=ROW()-3,1,0))</f>
        <v>0</v>
      </c>
      <c r="C2045">
        <f>N(C2044)+B2045</f>
        <v>26</v>
      </c>
      <c r="K2045">
        <f>IF(OR($K$1="",对接源_02物料!$C845="",对接源_02物料!$C845&lt;&gt;$K$1,对接源_02物料!$B845=""),0,IF(OR(N(对接源_02物料!$B845)&lt;$K$2,N(对接源_02物料!$B845)&gt;$K$3),0,1))</f>
        <v>0</v>
      </c>
      <c r="L2045">
        <f>IF(OR($L$1="",对接源_02物料!$C845="",对接源_02物料!$C845&lt;&gt;$L$1,对接源_02物料!$B845=""),0,IF(OR(N(对接源_02物料!$B845)&lt;$L$2,N(对接源_02物料!$B845)&gt;$L$3),0,1))</f>
        <v>0</v>
      </c>
      <c r="M2045">
        <f>IF(OR($M$1="",对接源_02物料!$C845="",对接源_02物料!$C845&lt;&gt;$M$1,对接源_02物料!$B845=""),0,IF(OR(N(对接源_02物料!$B845)&lt;$M$2,N(对接源_02物料!$B845)&gt;$M$3),0,1))</f>
        <v>0</v>
      </c>
      <c r="N2045">
        <f>IF(OR($N$1="",对接源_02物料!$C845="",对接源_02物料!$C845&lt;&gt;$N$1,对接源_02物料!$B845=""),0,IF(OR(N(对接源_02物料!$B845)&lt;$N$2,N(对接源_02物料!$B845)&gt;$N$3),0,1))</f>
        <v>0</v>
      </c>
      <c r="P2045">
        <f>IF(AND($K2045=1,AND(对接源_02物料!$X845="公司筐",N(对接源_02物料!$T845)&lt;&gt;0)),1,0)</f>
        <v>0</v>
      </c>
      <c r="Q2045">
        <f>N(Q2044)+$P2045</f>
        <v>14</v>
      </c>
      <c r="R2045">
        <f>IF(AND($K2045=1,AND(对接源_02物料!$X845="公司筐",N(对接源_02物料!$U845)&lt;&gt;0)),1,0)</f>
        <v>0</v>
      </c>
      <c r="S2045">
        <f>N(S2044)+$R2045</f>
        <v>1</v>
      </c>
      <c r="T2045">
        <f>IF(AND($K2045=1,AND(对接源_02物料!$X845="公司筐",N(对接源_02物料!$V845)&lt;&gt;0)),1,0)</f>
        <v>0</v>
      </c>
      <c r="U2045">
        <f>N(U2044)+$T2045</f>
        <v>47</v>
      </c>
      <c r="V2045">
        <f>IF(AND($L2045=1,AND(对接源_02物料!$X845="自备筐",N(对接源_02物料!$V845)&lt;&gt;0)),1,0)</f>
        <v>0</v>
      </c>
      <c r="W2045">
        <f>N(W2044)+$V2045</f>
        <v>11</v>
      </c>
      <c r="X2045">
        <f>IF(AND($L2045=1,AND(对接源_02物料!$X845="自备筐",N(对接源_02物料!$T845)&lt;&gt;0)),1,0)</f>
        <v>0</v>
      </c>
      <c r="Y2045">
        <f>N(Y2044)+$X2045</f>
        <v>0</v>
      </c>
      <c r="Z2045">
        <f>IF(AND($M2045=1,对接源_02物料!$D845="原料入库"),1,0)</f>
        <v>0</v>
      </c>
      <c r="AA2045">
        <f>N(AA2044)+$Z2045</f>
        <v>24</v>
      </c>
      <c r="AB2045">
        <f>IF(AND($M2045=1,LEFT(对接源_02物料!$D845,4)="原料出库"),1,0)</f>
        <v>0</v>
      </c>
      <c r="AC2045">
        <f>N(AC2044)+$AB2045</f>
        <v>0</v>
      </c>
      <c r="AD2045">
        <f>IF(AND($M2045=1,LEFT(对接源_02物料!$D845,4)="成品出库"),1,0)</f>
        <v>0</v>
      </c>
      <c r="AE2045">
        <f>N(AE2044)+$AD2045</f>
        <v>0</v>
      </c>
      <c r="AF2045">
        <f>IF(AND($N2045=1,AND(LEFT(对接源_02物料!$D845,4)="包装物料",N(对接源_02物料!$K845)&lt;&gt;0)),1,0)</f>
        <v>0</v>
      </c>
      <c r="AG2045">
        <f>N(AG2044)+$AF2045</f>
        <v>10</v>
      </c>
      <c r="AH2045">
        <f>IF(AND($N2045=1,AND(对接源_02物料!$D845="周转筐－销售出库",N(对接源_02物料!$K845)&lt;&gt;0)),1,0)</f>
        <v>0</v>
      </c>
      <c r="AI2045">
        <f>N(AI2044)+$AH2045</f>
        <v>0</v>
      </c>
      <c r="AL2045" t="n">
        <v>0</v>
      </c>
      <c r="AM2045">
        <f>N(AM2044)+$AL2045</f>
        <v>2</v>
      </c>
      <c r="AN2045">
        <f>""</f>
      </c>
      <c r="AO2045" t="n">
        <v>0</v>
      </c>
      <c r="AP2045">
        <f>N(AP2044)+$AO2045</f>
        <v>13</v>
      </c>
      <c r="AR2045">
        <f>IF(OR($AF2045=1,$AH2045=1),1,0)</f>
        <v>0</v>
      </c>
      <c r="AS2045">
        <f>N(AS2044)+$AR2045</f>
        <v>10</v>
      </c>
    </row>
    <row r="2046" s="127">
      <c r="A2046">
        <f>IF(对接源_02物料!$C846="","",对接源_02物料!$C846)</f>
      </c>
      <c r="B2046">
        <f>IF(A2046="",0,IF(MATCH(A2046,$A$4:$A$2403,0)=ROW()-3,1,0))</f>
        <v>0</v>
      </c>
      <c r="C2046">
        <f>N(C2045)+B2046</f>
        <v>26</v>
      </c>
      <c r="K2046">
        <f>IF(OR($K$1="",对接源_02物料!$C846="",对接源_02物料!$C846&lt;&gt;$K$1,对接源_02物料!$B846=""),0,IF(OR(N(对接源_02物料!$B846)&lt;$K$2,N(对接源_02物料!$B846)&gt;$K$3),0,1))</f>
        <v>0</v>
      </c>
      <c r="L2046">
        <f>IF(OR($L$1="",对接源_02物料!$C846="",对接源_02物料!$C846&lt;&gt;$L$1,对接源_02物料!$B846=""),0,IF(OR(N(对接源_02物料!$B846)&lt;$L$2,N(对接源_02物料!$B846)&gt;$L$3),0,1))</f>
        <v>0</v>
      </c>
      <c r="M2046">
        <f>IF(OR($M$1="",对接源_02物料!$C846="",对接源_02物料!$C846&lt;&gt;$M$1,对接源_02物料!$B846=""),0,IF(OR(N(对接源_02物料!$B846)&lt;$M$2,N(对接源_02物料!$B846)&gt;$M$3),0,1))</f>
        <v>0</v>
      </c>
      <c r="N2046">
        <f>IF(OR($N$1="",对接源_02物料!$C846="",对接源_02物料!$C846&lt;&gt;$N$1,对接源_02物料!$B846=""),0,IF(OR(N(对接源_02物料!$B846)&lt;$N$2,N(对接源_02物料!$B846)&gt;$N$3),0,1))</f>
        <v>0</v>
      </c>
      <c r="P2046">
        <f>IF(AND($K2046=1,AND(对接源_02物料!$X846="公司筐",N(对接源_02物料!$T846)&lt;&gt;0)),1,0)</f>
        <v>0</v>
      </c>
      <c r="Q2046">
        <f>N(Q2045)+$P2046</f>
        <v>14</v>
      </c>
      <c r="R2046">
        <f>IF(AND($K2046=1,AND(对接源_02物料!$X846="公司筐",N(对接源_02物料!$U846)&lt;&gt;0)),1,0)</f>
        <v>0</v>
      </c>
      <c r="S2046">
        <f>N(S2045)+$R2046</f>
        <v>1</v>
      </c>
      <c r="T2046">
        <f>IF(AND($K2046=1,AND(对接源_02物料!$X846="公司筐",N(对接源_02物料!$V846)&lt;&gt;0)),1,0)</f>
        <v>0</v>
      </c>
      <c r="U2046">
        <f>N(U2045)+$T2046</f>
        <v>47</v>
      </c>
      <c r="V2046">
        <f>IF(AND($L2046=1,AND(对接源_02物料!$X846="自备筐",N(对接源_02物料!$V846)&lt;&gt;0)),1,0)</f>
        <v>0</v>
      </c>
      <c r="W2046">
        <f>N(W2045)+$V2046</f>
        <v>11</v>
      </c>
      <c r="X2046">
        <f>IF(AND($L2046=1,AND(对接源_02物料!$X846="自备筐",N(对接源_02物料!$T846)&lt;&gt;0)),1,0)</f>
        <v>0</v>
      </c>
      <c r="Y2046">
        <f>N(Y2045)+$X2046</f>
        <v>0</v>
      </c>
      <c r="Z2046">
        <f>IF(AND($M2046=1,对接源_02物料!$D846="原料入库"),1,0)</f>
        <v>0</v>
      </c>
      <c r="AA2046">
        <f>N(AA2045)+$Z2046</f>
        <v>24</v>
      </c>
      <c r="AB2046">
        <f>IF(AND($M2046=1,LEFT(对接源_02物料!$D846,4)="原料出库"),1,0)</f>
        <v>0</v>
      </c>
      <c r="AC2046">
        <f>N(AC2045)+$AB2046</f>
        <v>0</v>
      </c>
      <c r="AD2046">
        <f>IF(AND($M2046=1,LEFT(对接源_02物料!$D846,4)="成品出库"),1,0)</f>
        <v>0</v>
      </c>
      <c r="AE2046">
        <f>N(AE2045)+$AD2046</f>
        <v>0</v>
      </c>
      <c r="AF2046">
        <f>IF(AND($N2046=1,AND(LEFT(对接源_02物料!$D846,4)="包装物料",N(对接源_02物料!$K846)&lt;&gt;0)),1,0)</f>
        <v>0</v>
      </c>
      <c r="AG2046">
        <f>N(AG2045)+$AF2046</f>
        <v>10</v>
      </c>
      <c r="AH2046">
        <f>IF(AND($N2046=1,AND(对接源_02物料!$D846="周转筐－销售出库",N(对接源_02物料!$K846)&lt;&gt;0)),1,0)</f>
        <v>0</v>
      </c>
      <c r="AI2046">
        <f>N(AI2045)+$AH2046</f>
        <v>0</v>
      </c>
      <c r="AL2046" t="n">
        <v>0</v>
      </c>
      <c r="AM2046">
        <f>N(AM2045)+$AL2046</f>
        <v>2</v>
      </c>
      <c r="AN2046">
        <f>""</f>
      </c>
      <c r="AO2046" t="n">
        <v>0</v>
      </c>
      <c r="AP2046">
        <f>N(AP2045)+$AO2046</f>
        <v>13</v>
      </c>
      <c r="AR2046">
        <f>IF(OR($AF2046=1,$AH2046=1),1,0)</f>
        <v>0</v>
      </c>
      <c r="AS2046">
        <f>N(AS2045)+$AR2046</f>
        <v>10</v>
      </c>
    </row>
    <row r="2047" s="127">
      <c r="A2047">
        <f>IF(对接源_02物料!$C847="","",对接源_02物料!$C847)</f>
      </c>
      <c r="B2047">
        <f>IF(A2047="",0,IF(MATCH(A2047,$A$4:$A$2403,0)=ROW()-3,1,0))</f>
        <v>0</v>
      </c>
      <c r="C2047">
        <f>N(C2046)+B2047</f>
        <v>26</v>
      </c>
      <c r="K2047">
        <f>IF(OR($K$1="",对接源_02物料!$C847="",对接源_02物料!$C847&lt;&gt;$K$1,对接源_02物料!$B847=""),0,IF(OR(N(对接源_02物料!$B847)&lt;$K$2,N(对接源_02物料!$B847)&gt;$K$3),0,1))</f>
        <v>0</v>
      </c>
      <c r="L2047">
        <f>IF(OR($L$1="",对接源_02物料!$C847="",对接源_02物料!$C847&lt;&gt;$L$1,对接源_02物料!$B847=""),0,IF(OR(N(对接源_02物料!$B847)&lt;$L$2,N(对接源_02物料!$B847)&gt;$L$3),0,1))</f>
        <v>0</v>
      </c>
      <c r="M2047">
        <f>IF(OR($M$1="",对接源_02物料!$C847="",对接源_02物料!$C847&lt;&gt;$M$1,对接源_02物料!$B847=""),0,IF(OR(N(对接源_02物料!$B847)&lt;$M$2,N(对接源_02物料!$B847)&gt;$M$3),0,1))</f>
        <v>0</v>
      </c>
      <c r="N2047">
        <f>IF(OR($N$1="",对接源_02物料!$C847="",对接源_02物料!$C847&lt;&gt;$N$1,对接源_02物料!$B847=""),0,IF(OR(N(对接源_02物料!$B847)&lt;$N$2,N(对接源_02物料!$B847)&gt;$N$3),0,1))</f>
        <v>0</v>
      </c>
      <c r="P2047">
        <f>IF(AND($K2047=1,AND(对接源_02物料!$X847="公司筐",N(对接源_02物料!$T847)&lt;&gt;0)),1,0)</f>
        <v>0</v>
      </c>
      <c r="Q2047">
        <f>N(Q2046)+$P2047</f>
        <v>14</v>
      </c>
      <c r="R2047">
        <f>IF(AND($K2047=1,AND(对接源_02物料!$X847="公司筐",N(对接源_02物料!$U847)&lt;&gt;0)),1,0)</f>
        <v>0</v>
      </c>
      <c r="S2047">
        <f>N(S2046)+$R2047</f>
        <v>1</v>
      </c>
      <c r="T2047">
        <f>IF(AND($K2047=1,AND(对接源_02物料!$X847="公司筐",N(对接源_02物料!$V847)&lt;&gt;0)),1,0)</f>
        <v>0</v>
      </c>
      <c r="U2047">
        <f>N(U2046)+$T2047</f>
        <v>47</v>
      </c>
      <c r="V2047">
        <f>IF(AND($L2047=1,AND(对接源_02物料!$X847="自备筐",N(对接源_02物料!$V847)&lt;&gt;0)),1,0)</f>
        <v>0</v>
      </c>
      <c r="W2047">
        <f>N(W2046)+$V2047</f>
        <v>11</v>
      </c>
      <c r="X2047">
        <f>IF(AND($L2047=1,AND(对接源_02物料!$X847="自备筐",N(对接源_02物料!$T847)&lt;&gt;0)),1,0)</f>
        <v>0</v>
      </c>
      <c r="Y2047">
        <f>N(Y2046)+$X2047</f>
        <v>0</v>
      </c>
      <c r="Z2047">
        <f>IF(AND($M2047=1,对接源_02物料!$D847="原料入库"),1,0)</f>
        <v>0</v>
      </c>
      <c r="AA2047">
        <f>N(AA2046)+$Z2047</f>
        <v>24</v>
      </c>
      <c r="AB2047">
        <f>IF(AND($M2047=1,LEFT(对接源_02物料!$D847,4)="原料出库"),1,0)</f>
        <v>0</v>
      </c>
      <c r="AC2047">
        <f>N(AC2046)+$AB2047</f>
        <v>0</v>
      </c>
      <c r="AD2047">
        <f>IF(AND($M2047=1,LEFT(对接源_02物料!$D847,4)="成品出库"),1,0)</f>
        <v>0</v>
      </c>
      <c r="AE2047">
        <f>N(AE2046)+$AD2047</f>
        <v>0</v>
      </c>
      <c r="AF2047">
        <f>IF(AND($N2047=1,AND(LEFT(对接源_02物料!$D847,4)="包装物料",N(对接源_02物料!$K847)&lt;&gt;0)),1,0)</f>
        <v>0</v>
      </c>
      <c r="AG2047">
        <f>N(AG2046)+$AF2047</f>
        <v>10</v>
      </c>
      <c r="AH2047">
        <f>IF(AND($N2047=1,AND(对接源_02物料!$D847="周转筐－销售出库",N(对接源_02物料!$K847)&lt;&gt;0)),1,0)</f>
        <v>0</v>
      </c>
      <c r="AI2047">
        <f>N(AI2046)+$AH2047</f>
        <v>0</v>
      </c>
      <c r="AL2047" t="n">
        <v>0</v>
      </c>
      <c r="AM2047">
        <f>N(AM2046)+$AL2047</f>
        <v>2</v>
      </c>
      <c r="AN2047">
        <f>""</f>
      </c>
      <c r="AO2047" t="n">
        <v>0</v>
      </c>
      <c r="AP2047">
        <f>N(AP2046)+$AO2047</f>
        <v>13</v>
      </c>
      <c r="AR2047">
        <f>IF(OR($AF2047=1,$AH2047=1),1,0)</f>
        <v>0</v>
      </c>
      <c r="AS2047">
        <f>N(AS2046)+$AR2047</f>
        <v>10</v>
      </c>
    </row>
    <row r="2048" s="127">
      <c r="A2048">
        <f>IF(对接源_02物料!$C848="","",对接源_02物料!$C848)</f>
      </c>
      <c r="B2048">
        <f>IF(A2048="",0,IF(MATCH(A2048,$A$4:$A$2403,0)=ROW()-3,1,0))</f>
        <v>0</v>
      </c>
      <c r="C2048">
        <f>N(C2047)+B2048</f>
        <v>26</v>
      </c>
      <c r="K2048">
        <f>IF(OR($K$1="",对接源_02物料!$C848="",对接源_02物料!$C848&lt;&gt;$K$1,对接源_02物料!$B848=""),0,IF(OR(N(对接源_02物料!$B848)&lt;$K$2,N(对接源_02物料!$B848)&gt;$K$3),0,1))</f>
        <v>0</v>
      </c>
      <c r="L2048">
        <f>IF(OR($L$1="",对接源_02物料!$C848="",对接源_02物料!$C848&lt;&gt;$L$1,对接源_02物料!$B848=""),0,IF(OR(N(对接源_02物料!$B848)&lt;$L$2,N(对接源_02物料!$B848)&gt;$L$3),0,1))</f>
        <v>0</v>
      </c>
      <c r="M2048">
        <f>IF(OR($M$1="",对接源_02物料!$C848="",对接源_02物料!$C848&lt;&gt;$M$1,对接源_02物料!$B848=""),0,IF(OR(N(对接源_02物料!$B848)&lt;$M$2,N(对接源_02物料!$B848)&gt;$M$3),0,1))</f>
        <v>0</v>
      </c>
      <c r="N2048">
        <f>IF(OR($N$1="",对接源_02物料!$C848="",对接源_02物料!$C848&lt;&gt;$N$1,对接源_02物料!$B848=""),0,IF(OR(N(对接源_02物料!$B848)&lt;$N$2,N(对接源_02物料!$B848)&gt;$N$3),0,1))</f>
        <v>0</v>
      </c>
      <c r="P2048">
        <f>IF(AND($K2048=1,AND(对接源_02物料!$X848="公司筐",N(对接源_02物料!$T848)&lt;&gt;0)),1,0)</f>
        <v>0</v>
      </c>
      <c r="Q2048">
        <f>N(Q2047)+$P2048</f>
        <v>14</v>
      </c>
      <c r="R2048">
        <f>IF(AND($K2048=1,AND(对接源_02物料!$X848="公司筐",N(对接源_02物料!$U848)&lt;&gt;0)),1,0)</f>
        <v>0</v>
      </c>
      <c r="S2048">
        <f>N(S2047)+$R2048</f>
        <v>1</v>
      </c>
      <c r="T2048">
        <f>IF(AND($K2048=1,AND(对接源_02物料!$X848="公司筐",N(对接源_02物料!$V848)&lt;&gt;0)),1,0)</f>
        <v>0</v>
      </c>
      <c r="U2048">
        <f>N(U2047)+$T2048</f>
        <v>47</v>
      </c>
      <c r="V2048">
        <f>IF(AND($L2048=1,AND(对接源_02物料!$X848="自备筐",N(对接源_02物料!$V848)&lt;&gt;0)),1,0)</f>
        <v>0</v>
      </c>
      <c r="W2048">
        <f>N(W2047)+$V2048</f>
        <v>11</v>
      </c>
      <c r="X2048">
        <f>IF(AND($L2048=1,AND(对接源_02物料!$X848="自备筐",N(对接源_02物料!$T848)&lt;&gt;0)),1,0)</f>
        <v>0</v>
      </c>
      <c r="Y2048">
        <f>N(Y2047)+$X2048</f>
        <v>0</v>
      </c>
      <c r="Z2048">
        <f>IF(AND($M2048=1,对接源_02物料!$D848="原料入库"),1,0)</f>
        <v>0</v>
      </c>
      <c r="AA2048">
        <f>N(AA2047)+$Z2048</f>
        <v>24</v>
      </c>
      <c r="AB2048">
        <f>IF(AND($M2048=1,LEFT(对接源_02物料!$D848,4)="原料出库"),1,0)</f>
        <v>0</v>
      </c>
      <c r="AC2048">
        <f>N(AC2047)+$AB2048</f>
        <v>0</v>
      </c>
      <c r="AD2048">
        <f>IF(AND($M2048=1,LEFT(对接源_02物料!$D848,4)="成品出库"),1,0)</f>
        <v>0</v>
      </c>
      <c r="AE2048">
        <f>N(AE2047)+$AD2048</f>
        <v>0</v>
      </c>
      <c r="AF2048">
        <f>IF(AND($N2048=1,AND(LEFT(对接源_02物料!$D848,4)="包装物料",N(对接源_02物料!$K848)&lt;&gt;0)),1,0)</f>
        <v>0</v>
      </c>
      <c r="AG2048">
        <f>N(AG2047)+$AF2048</f>
        <v>10</v>
      </c>
      <c r="AH2048">
        <f>IF(AND($N2048=1,AND(对接源_02物料!$D848="周转筐－销售出库",N(对接源_02物料!$K848)&lt;&gt;0)),1,0)</f>
        <v>0</v>
      </c>
      <c r="AI2048">
        <f>N(AI2047)+$AH2048</f>
        <v>0</v>
      </c>
      <c r="AL2048" t="n">
        <v>0</v>
      </c>
      <c r="AM2048">
        <f>N(AM2047)+$AL2048</f>
        <v>2</v>
      </c>
      <c r="AN2048">
        <f>""</f>
      </c>
      <c r="AO2048" t="n">
        <v>0</v>
      </c>
      <c r="AP2048">
        <f>N(AP2047)+$AO2048</f>
        <v>13</v>
      </c>
      <c r="AR2048">
        <f>IF(OR($AF2048=1,$AH2048=1),1,0)</f>
        <v>0</v>
      </c>
      <c r="AS2048">
        <f>N(AS2047)+$AR2048</f>
        <v>10</v>
      </c>
    </row>
    <row r="2049" s="127">
      <c r="A2049">
        <f>IF(对接源_02物料!$C849="","",对接源_02物料!$C849)</f>
      </c>
      <c r="B2049">
        <f>IF(A2049="",0,IF(MATCH(A2049,$A$4:$A$2403,0)=ROW()-3,1,0))</f>
        <v>0</v>
      </c>
      <c r="C2049">
        <f>N(C2048)+B2049</f>
        <v>26</v>
      </c>
      <c r="K2049">
        <f>IF(OR($K$1="",对接源_02物料!$C849="",对接源_02物料!$C849&lt;&gt;$K$1,对接源_02物料!$B849=""),0,IF(OR(N(对接源_02物料!$B849)&lt;$K$2,N(对接源_02物料!$B849)&gt;$K$3),0,1))</f>
        <v>0</v>
      </c>
      <c r="L2049">
        <f>IF(OR($L$1="",对接源_02物料!$C849="",对接源_02物料!$C849&lt;&gt;$L$1,对接源_02物料!$B849=""),0,IF(OR(N(对接源_02物料!$B849)&lt;$L$2,N(对接源_02物料!$B849)&gt;$L$3),0,1))</f>
        <v>0</v>
      </c>
      <c r="M2049">
        <f>IF(OR($M$1="",对接源_02物料!$C849="",对接源_02物料!$C849&lt;&gt;$M$1,对接源_02物料!$B849=""),0,IF(OR(N(对接源_02物料!$B849)&lt;$M$2,N(对接源_02物料!$B849)&gt;$M$3),0,1))</f>
        <v>0</v>
      </c>
      <c r="N2049">
        <f>IF(OR($N$1="",对接源_02物料!$C849="",对接源_02物料!$C849&lt;&gt;$N$1,对接源_02物料!$B849=""),0,IF(OR(N(对接源_02物料!$B849)&lt;$N$2,N(对接源_02物料!$B849)&gt;$N$3),0,1))</f>
        <v>0</v>
      </c>
      <c r="P2049">
        <f>IF(AND($K2049=1,AND(对接源_02物料!$X849="公司筐",N(对接源_02物料!$T849)&lt;&gt;0)),1,0)</f>
        <v>0</v>
      </c>
      <c r="Q2049">
        <f>N(Q2048)+$P2049</f>
        <v>14</v>
      </c>
      <c r="R2049">
        <f>IF(AND($K2049=1,AND(对接源_02物料!$X849="公司筐",N(对接源_02物料!$U849)&lt;&gt;0)),1,0)</f>
        <v>0</v>
      </c>
      <c r="S2049">
        <f>N(S2048)+$R2049</f>
        <v>1</v>
      </c>
      <c r="T2049">
        <f>IF(AND($K2049=1,AND(对接源_02物料!$X849="公司筐",N(对接源_02物料!$V849)&lt;&gt;0)),1,0)</f>
        <v>0</v>
      </c>
      <c r="U2049">
        <f>N(U2048)+$T2049</f>
        <v>47</v>
      </c>
      <c r="V2049">
        <f>IF(AND($L2049=1,AND(对接源_02物料!$X849="自备筐",N(对接源_02物料!$V849)&lt;&gt;0)),1,0)</f>
        <v>0</v>
      </c>
      <c r="W2049">
        <f>N(W2048)+$V2049</f>
        <v>11</v>
      </c>
      <c r="X2049">
        <f>IF(AND($L2049=1,AND(对接源_02物料!$X849="自备筐",N(对接源_02物料!$T849)&lt;&gt;0)),1,0)</f>
        <v>0</v>
      </c>
      <c r="Y2049">
        <f>N(Y2048)+$X2049</f>
        <v>0</v>
      </c>
      <c r="Z2049">
        <f>IF(AND($M2049=1,对接源_02物料!$D849="原料入库"),1,0)</f>
        <v>0</v>
      </c>
      <c r="AA2049">
        <f>N(AA2048)+$Z2049</f>
        <v>24</v>
      </c>
      <c r="AB2049">
        <f>IF(AND($M2049=1,LEFT(对接源_02物料!$D849,4)="原料出库"),1,0)</f>
        <v>0</v>
      </c>
      <c r="AC2049">
        <f>N(AC2048)+$AB2049</f>
        <v>0</v>
      </c>
      <c r="AD2049">
        <f>IF(AND($M2049=1,LEFT(对接源_02物料!$D849,4)="成品出库"),1,0)</f>
        <v>0</v>
      </c>
      <c r="AE2049">
        <f>N(AE2048)+$AD2049</f>
        <v>0</v>
      </c>
      <c r="AF2049">
        <f>IF(AND($N2049=1,AND(LEFT(对接源_02物料!$D849,4)="包装物料",N(对接源_02物料!$K849)&lt;&gt;0)),1,0)</f>
        <v>0</v>
      </c>
      <c r="AG2049">
        <f>N(AG2048)+$AF2049</f>
        <v>10</v>
      </c>
      <c r="AH2049">
        <f>IF(AND($N2049=1,AND(对接源_02物料!$D849="周转筐－销售出库",N(对接源_02物料!$K849)&lt;&gt;0)),1,0)</f>
        <v>0</v>
      </c>
      <c r="AI2049">
        <f>N(AI2048)+$AH2049</f>
        <v>0</v>
      </c>
      <c r="AL2049" t="n">
        <v>0</v>
      </c>
      <c r="AM2049">
        <f>N(AM2048)+$AL2049</f>
        <v>2</v>
      </c>
      <c r="AN2049">
        <f>""</f>
      </c>
      <c r="AO2049" t="n">
        <v>0</v>
      </c>
      <c r="AP2049">
        <f>N(AP2048)+$AO2049</f>
        <v>13</v>
      </c>
      <c r="AR2049">
        <f>IF(OR($AF2049=1,$AH2049=1),1,0)</f>
        <v>0</v>
      </c>
      <c r="AS2049">
        <f>N(AS2048)+$AR2049</f>
        <v>10</v>
      </c>
    </row>
    <row r="2050" s="127">
      <c r="A2050">
        <f>IF(对接源_02物料!$C850="","",对接源_02物料!$C850)</f>
      </c>
      <c r="B2050">
        <f>IF(A2050="",0,IF(MATCH(A2050,$A$4:$A$2403,0)=ROW()-3,1,0))</f>
        <v>0</v>
      </c>
      <c r="C2050">
        <f>N(C2049)+B2050</f>
        <v>26</v>
      </c>
      <c r="K2050">
        <f>IF(OR($K$1="",对接源_02物料!$C850="",对接源_02物料!$C850&lt;&gt;$K$1,对接源_02物料!$B850=""),0,IF(OR(N(对接源_02物料!$B850)&lt;$K$2,N(对接源_02物料!$B850)&gt;$K$3),0,1))</f>
        <v>0</v>
      </c>
      <c r="L2050">
        <f>IF(OR($L$1="",对接源_02物料!$C850="",对接源_02物料!$C850&lt;&gt;$L$1,对接源_02物料!$B850=""),0,IF(OR(N(对接源_02物料!$B850)&lt;$L$2,N(对接源_02物料!$B850)&gt;$L$3),0,1))</f>
        <v>0</v>
      </c>
      <c r="M2050">
        <f>IF(OR($M$1="",对接源_02物料!$C850="",对接源_02物料!$C850&lt;&gt;$M$1,对接源_02物料!$B850=""),0,IF(OR(N(对接源_02物料!$B850)&lt;$M$2,N(对接源_02物料!$B850)&gt;$M$3),0,1))</f>
        <v>0</v>
      </c>
      <c r="N2050">
        <f>IF(OR($N$1="",对接源_02物料!$C850="",对接源_02物料!$C850&lt;&gt;$N$1,对接源_02物料!$B850=""),0,IF(OR(N(对接源_02物料!$B850)&lt;$N$2,N(对接源_02物料!$B850)&gt;$N$3),0,1))</f>
        <v>0</v>
      </c>
      <c r="P2050">
        <f>IF(AND($K2050=1,AND(对接源_02物料!$X850="公司筐",N(对接源_02物料!$T850)&lt;&gt;0)),1,0)</f>
        <v>0</v>
      </c>
      <c r="Q2050">
        <f>N(Q2049)+$P2050</f>
        <v>14</v>
      </c>
      <c r="R2050">
        <f>IF(AND($K2050=1,AND(对接源_02物料!$X850="公司筐",N(对接源_02物料!$U850)&lt;&gt;0)),1,0)</f>
        <v>0</v>
      </c>
      <c r="S2050">
        <f>N(S2049)+$R2050</f>
        <v>1</v>
      </c>
      <c r="T2050">
        <f>IF(AND($K2050=1,AND(对接源_02物料!$X850="公司筐",N(对接源_02物料!$V850)&lt;&gt;0)),1,0)</f>
        <v>0</v>
      </c>
      <c r="U2050">
        <f>N(U2049)+$T2050</f>
        <v>47</v>
      </c>
      <c r="V2050">
        <f>IF(AND($L2050=1,AND(对接源_02物料!$X850="自备筐",N(对接源_02物料!$V850)&lt;&gt;0)),1,0)</f>
        <v>0</v>
      </c>
      <c r="W2050">
        <f>N(W2049)+$V2050</f>
        <v>11</v>
      </c>
      <c r="X2050">
        <f>IF(AND($L2050=1,AND(对接源_02物料!$X850="自备筐",N(对接源_02物料!$T850)&lt;&gt;0)),1,0)</f>
        <v>0</v>
      </c>
      <c r="Y2050">
        <f>N(Y2049)+$X2050</f>
        <v>0</v>
      </c>
      <c r="Z2050">
        <f>IF(AND($M2050=1,对接源_02物料!$D850="原料入库"),1,0)</f>
        <v>0</v>
      </c>
      <c r="AA2050">
        <f>N(AA2049)+$Z2050</f>
        <v>24</v>
      </c>
      <c r="AB2050">
        <f>IF(AND($M2050=1,LEFT(对接源_02物料!$D850,4)="原料出库"),1,0)</f>
        <v>0</v>
      </c>
      <c r="AC2050">
        <f>N(AC2049)+$AB2050</f>
        <v>0</v>
      </c>
      <c r="AD2050">
        <f>IF(AND($M2050=1,LEFT(对接源_02物料!$D850,4)="成品出库"),1,0)</f>
        <v>0</v>
      </c>
      <c r="AE2050">
        <f>N(AE2049)+$AD2050</f>
        <v>0</v>
      </c>
      <c r="AF2050">
        <f>IF(AND($N2050=1,AND(LEFT(对接源_02物料!$D850,4)="包装物料",N(对接源_02物料!$K850)&lt;&gt;0)),1,0)</f>
        <v>0</v>
      </c>
      <c r="AG2050">
        <f>N(AG2049)+$AF2050</f>
        <v>10</v>
      </c>
      <c r="AH2050">
        <f>IF(AND($N2050=1,AND(对接源_02物料!$D850="周转筐－销售出库",N(对接源_02物料!$K850)&lt;&gt;0)),1,0)</f>
        <v>0</v>
      </c>
      <c r="AI2050">
        <f>N(AI2049)+$AH2050</f>
        <v>0</v>
      </c>
      <c r="AL2050" t="n">
        <v>0</v>
      </c>
      <c r="AM2050">
        <f>N(AM2049)+$AL2050</f>
        <v>2</v>
      </c>
      <c r="AN2050">
        <f>""</f>
      </c>
      <c r="AO2050" t="n">
        <v>0</v>
      </c>
      <c r="AP2050">
        <f>N(AP2049)+$AO2050</f>
        <v>13</v>
      </c>
      <c r="AR2050">
        <f>IF(OR($AF2050=1,$AH2050=1),1,0)</f>
        <v>0</v>
      </c>
      <c r="AS2050">
        <f>N(AS2049)+$AR2050</f>
        <v>10</v>
      </c>
    </row>
    <row r="2051" s="127">
      <c r="A2051">
        <f>IF(对接源_02物料!$C851="","",对接源_02物料!$C851)</f>
      </c>
      <c r="B2051">
        <f>IF(A2051="",0,IF(MATCH(A2051,$A$4:$A$2403,0)=ROW()-3,1,0))</f>
        <v>0</v>
      </c>
      <c r="C2051">
        <f>N(C2050)+B2051</f>
        <v>26</v>
      </c>
      <c r="K2051">
        <f>IF(OR($K$1="",对接源_02物料!$C851="",对接源_02物料!$C851&lt;&gt;$K$1,对接源_02物料!$B851=""),0,IF(OR(N(对接源_02物料!$B851)&lt;$K$2,N(对接源_02物料!$B851)&gt;$K$3),0,1))</f>
        <v>0</v>
      </c>
      <c r="L2051">
        <f>IF(OR($L$1="",对接源_02物料!$C851="",对接源_02物料!$C851&lt;&gt;$L$1,对接源_02物料!$B851=""),0,IF(OR(N(对接源_02物料!$B851)&lt;$L$2,N(对接源_02物料!$B851)&gt;$L$3),0,1))</f>
        <v>0</v>
      </c>
      <c r="M2051">
        <f>IF(OR($M$1="",对接源_02物料!$C851="",对接源_02物料!$C851&lt;&gt;$M$1,对接源_02物料!$B851=""),0,IF(OR(N(对接源_02物料!$B851)&lt;$M$2,N(对接源_02物料!$B851)&gt;$M$3),0,1))</f>
        <v>0</v>
      </c>
      <c r="N2051">
        <f>IF(OR($N$1="",对接源_02物料!$C851="",对接源_02物料!$C851&lt;&gt;$N$1,对接源_02物料!$B851=""),0,IF(OR(N(对接源_02物料!$B851)&lt;$N$2,N(对接源_02物料!$B851)&gt;$N$3),0,1))</f>
        <v>0</v>
      </c>
      <c r="P2051">
        <f>IF(AND($K2051=1,AND(对接源_02物料!$X851="公司筐",N(对接源_02物料!$T851)&lt;&gt;0)),1,0)</f>
        <v>0</v>
      </c>
      <c r="Q2051">
        <f>N(Q2050)+$P2051</f>
        <v>14</v>
      </c>
      <c r="R2051">
        <f>IF(AND($K2051=1,AND(对接源_02物料!$X851="公司筐",N(对接源_02物料!$U851)&lt;&gt;0)),1,0)</f>
        <v>0</v>
      </c>
      <c r="S2051">
        <f>N(S2050)+$R2051</f>
        <v>1</v>
      </c>
      <c r="T2051">
        <f>IF(AND($K2051=1,AND(对接源_02物料!$X851="公司筐",N(对接源_02物料!$V851)&lt;&gt;0)),1,0)</f>
        <v>0</v>
      </c>
      <c r="U2051">
        <f>N(U2050)+$T2051</f>
        <v>47</v>
      </c>
      <c r="V2051">
        <f>IF(AND($L2051=1,AND(对接源_02物料!$X851="自备筐",N(对接源_02物料!$V851)&lt;&gt;0)),1,0)</f>
        <v>0</v>
      </c>
      <c r="W2051">
        <f>N(W2050)+$V2051</f>
        <v>11</v>
      </c>
      <c r="X2051">
        <f>IF(AND($L2051=1,AND(对接源_02物料!$X851="自备筐",N(对接源_02物料!$T851)&lt;&gt;0)),1,0)</f>
        <v>0</v>
      </c>
      <c r="Y2051">
        <f>N(Y2050)+$X2051</f>
        <v>0</v>
      </c>
      <c r="Z2051">
        <f>IF(AND($M2051=1,对接源_02物料!$D851="原料入库"),1,0)</f>
        <v>0</v>
      </c>
      <c r="AA2051">
        <f>N(AA2050)+$Z2051</f>
        <v>24</v>
      </c>
      <c r="AB2051">
        <f>IF(AND($M2051=1,LEFT(对接源_02物料!$D851,4)="原料出库"),1,0)</f>
        <v>0</v>
      </c>
      <c r="AC2051">
        <f>N(AC2050)+$AB2051</f>
        <v>0</v>
      </c>
      <c r="AD2051">
        <f>IF(AND($M2051=1,LEFT(对接源_02物料!$D851,4)="成品出库"),1,0)</f>
        <v>0</v>
      </c>
      <c r="AE2051">
        <f>N(AE2050)+$AD2051</f>
        <v>0</v>
      </c>
      <c r="AF2051">
        <f>IF(AND($N2051=1,AND(LEFT(对接源_02物料!$D851,4)="包装物料",N(对接源_02物料!$K851)&lt;&gt;0)),1,0)</f>
        <v>0</v>
      </c>
      <c r="AG2051">
        <f>N(AG2050)+$AF2051</f>
        <v>10</v>
      </c>
      <c r="AH2051">
        <f>IF(AND($N2051=1,AND(对接源_02物料!$D851="周转筐－销售出库",N(对接源_02物料!$K851)&lt;&gt;0)),1,0)</f>
        <v>0</v>
      </c>
      <c r="AI2051">
        <f>N(AI2050)+$AH2051</f>
        <v>0</v>
      </c>
      <c r="AL2051" t="n">
        <v>0</v>
      </c>
      <c r="AM2051">
        <f>N(AM2050)+$AL2051</f>
        <v>2</v>
      </c>
      <c r="AN2051">
        <f>""</f>
      </c>
      <c r="AO2051" t="n">
        <v>0</v>
      </c>
      <c r="AP2051">
        <f>N(AP2050)+$AO2051</f>
        <v>13</v>
      </c>
      <c r="AR2051">
        <f>IF(OR($AF2051=1,$AH2051=1),1,0)</f>
        <v>0</v>
      </c>
      <c r="AS2051">
        <f>N(AS2050)+$AR2051</f>
        <v>10</v>
      </c>
    </row>
    <row r="2052" s="127">
      <c r="A2052">
        <f>IF(对接源_02物料!$C852="","",对接源_02物料!$C852)</f>
      </c>
      <c r="B2052">
        <f>IF(A2052="",0,IF(MATCH(A2052,$A$4:$A$2403,0)=ROW()-3,1,0))</f>
        <v>0</v>
      </c>
      <c r="C2052">
        <f>N(C2051)+B2052</f>
        <v>26</v>
      </c>
      <c r="K2052">
        <f>IF(OR($K$1="",对接源_02物料!$C852="",对接源_02物料!$C852&lt;&gt;$K$1,对接源_02物料!$B852=""),0,IF(OR(N(对接源_02物料!$B852)&lt;$K$2,N(对接源_02物料!$B852)&gt;$K$3),0,1))</f>
        <v>0</v>
      </c>
      <c r="L2052">
        <f>IF(OR($L$1="",对接源_02物料!$C852="",对接源_02物料!$C852&lt;&gt;$L$1,对接源_02物料!$B852=""),0,IF(OR(N(对接源_02物料!$B852)&lt;$L$2,N(对接源_02物料!$B852)&gt;$L$3),0,1))</f>
        <v>0</v>
      </c>
      <c r="M2052">
        <f>IF(OR($M$1="",对接源_02物料!$C852="",对接源_02物料!$C852&lt;&gt;$M$1,对接源_02物料!$B852=""),0,IF(OR(N(对接源_02物料!$B852)&lt;$M$2,N(对接源_02物料!$B852)&gt;$M$3),0,1))</f>
        <v>0</v>
      </c>
      <c r="N2052">
        <f>IF(OR($N$1="",对接源_02物料!$C852="",对接源_02物料!$C852&lt;&gt;$N$1,对接源_02物料!$B852=""),0,IF(OR(N(对接源_02物料!$B852)&lt;$N$2,N(对接源_02物料!$B852)&gt;$N$3),0,1))</f>
        <v>0</v>
      </c>
      <c r="P2052">
        <f>IF(AND($K2052=1,AND(对接源_02物料!$X852="公司筐",N(对接源_02物料!$T852)&lt;&gt;0)),1,0)</f>
        <v>0</v>
      </c>
      <c r="Q2052">
        <f>N(Q2051)+$P2052</f>
        <v>14</v>
      </c>
      <c r="R2052">
        <f>IF(AND($K2052=1,AND(对接源_02物料!$X852="公司筐",N(对接源_02物料!$U852)&lt;&gt;0)),1,0)</f>
        <v>0</v>
      </c>
      <c r="S2052">
        <f>N(S2051)+$R2052</f>
        <v>1</v>
      </c>
      <c r="T2052">
        <f>IF(AND($K2052=1,AND(对接源_02物料!$X852="公司筐",N(对接源_02物料!$V852)&lt;&gt;0)),1,0)</f>
        <v>0</v>
      </c>
      <c r="U2052">
        <f>N(U2051)+$T2052</f>
        <v>47</v>
      </c>
      <c r="V2052">
        <f>IF(AND($L2052=1,AND(对接源_02物料!$X852="自备筐",N(对接源_02物料!$V852)&lt;&gt;0)),1,0)</f>
        <v>0</v>
      </c>
      <c r="W2052">
        <f>N(W2051)+$V2052</f>
        <v>11</v>
      </c>
      <c r="X2052">
        <f>IF(AND($L2052=1,AND(对接源_02物料!$X852="自备筐",N(对接源_02物料!$T852)&lt;&gt;0)),1,0)</f>
        <v>0</v>
      </c>
      <c r="Y2052">
        <f>N(Y2051)+$X2052</f>
        <v>0</v>
      </c>
      <c r="Z2052">
        <f>IF(AND($M2052=1,对接源_02物料!$D852="原料入库"),1,0)</f>
        <v>0</v>
      </c>
      <c r="AA2052">
        <f>N(AA2051)+$Z2052</f>
        <v>24</v>
      </c>
      <c r="AB2052">
        <f>IF(AND($M2052=1,LEFT(对接源_02物料!$D852,4)="原料出库"),1,0)</f>
        <v>0</v>
      </c>
      <c r="AC2052">
        <f>N(AC2051)+$AB2052</f>
        <v>0</v>
      </c>
      <c r="AD2052">
        <f>IF(AND($M2052=1,LEFT(对接源_02物料!$D852,4)="成品出库"),1,0)</f>
        <v>0</v>
      </c>
      <c r="AE2052">
        <f>N(AE2051)+$AD2052</f>
        <v>0</v>
      </c>
      <c r="AF2052">
        <f>IF(AND($N2052=1,AND(LEFT(对接源_02物料!$D852,4)="包装物料",N(对接源_02物料!$K852)&lt;&gt;0)),1,0)</f>
        <v>0</v>
      </c>
      <c r="AG2052">
        <f>N(AG2051)+$AF2052</f>
        <v>10</v>
      </c>
      <c r="AH2052">
        <f>IF(AND($N2052=1,AND(对接源_02物料!$D852="周转筐－销售出库",N(对接源_02物料!$K852)&lt;&gt;0)),1,0)</f>
        <v>0</v>
      </c>
      <c r="AI2052">
        <f>N(AI2051)+$AH2052</f>
        <v>0</v>
      </c>
      <c r="AL2052" t="n">
        <v>0</v>
      </c>
      <c r="AM2052">
        <f>N(AM2051)+$AL2052</f>
        <v>2</v>
      </c>
      <c r="AN2052">
        <f>""</f>
      </c>
      <c r="AO2052" t="n">
        <v>0</v>
      </c>
      <c r="AP2052">
        <f>N(AP2051)+$AO2052</f>
        <v>13</v>
      </c>
      <c r="AR2052">
        <f>IF(OR($AF2052=1,$AH2052=1),1,0)</f>
        <v>0</v>
      </c>
      <c r="AS2052">
        <f>N(AS2051)+$AR2052</f>
        <v>10</v>
      </c>
    </row>
    <row r="2053" s="127">
      <c r="A2053">
        <f>IF(对接源_02物料!$C853="","",对接源_02物料!$C853)</f>
      </c>
      <c r="B2053">
        <f>IF(A2053="",0,IF(MATCH(A2053,$A$4:$A$2403,0)=ROW()-3,1,0))</f>
        <v>0</v>
      </c>
      <c r="C2053">
        <f>N(C2052)+B2053</f>
        <v>26</v>
      </c>
      <c r="K2053">
        <f>IF(OR($K$1="",对接源_02物料!$C853="",对接源_02物料!$C853&lt;&gt;$K$1,对接源_02物料!$B853=""),0,IF(OR(N(对接源_02物料!$B853)&lt;$K$2,N(对接源_02物料!$B853)&gt;$K$3),0,1))</f>
        <v>0</v>
      </c>
      <c r="L2053">
        <f>IF(OR($L$1="",对接源_02物料!$C853="",对接源_02物料!$C853&lt;&gt;$L$1,对接源_02物料!$B853=""),0,IF(OR(N(对接源_02物料!$B853)&lt;$L$2,N(对接源_02物料!$B853)&gt;$L$3),0,1))</f>
        <v>0</v>
      </c>
      <c r="M2053">
        <f>IF(OR($M$1="",对接源_02物料!$C853="",对接源_02物料!$C853&lt;&gt;$M$1,对接源_02物料!$B853=""),0,IF(OR(N(对接源_02物料!$B853)&lt;$M$2,N(对接源_02物料!$B853)&gt;$M$3),0,1))</f>
        <v>0</v>
      </c>
      <c r="N2053">
        <f>IF(OR($N$1="",对接源_02物料!$C853="",对接源_02物料!$C853&lt;&gt;$N$1,对接源_02物料!$B853=""),0,IF(OR(N(对接源_02物料!$B853)&lt;$N$2,N(对接源_02物料!$B853)&gt;$N$3),0,1))</f>
        <v>0</v>
      </c>
      <c r="P2053">
        <f>IF(AND($K2053=1,AND(对接源_02物料!$X853="公司筐",N(对接源_02物料!$T853)&lt;&gt;0)),1,0)</f>
        <v>0</v>
      </c>
      <c r="Q2053">
        <f>N(Q2052)+$P2053</f>
        <v>14</v>
      </c>
      <c r="R2053">
        <f>IF(AND($K2053=1,AND(对接源_02物料!$X853="公司筐",N(对接源_02物料!$U853)&lt;&gt;0)),1,0)</f>
        <v>0</v>
      </c>
      <c r="S2053">
        <f>N(S2052)+$R2053</f>
        <v>1</v>
      </c>
      <c r="T2053">
        <f>IF(AND($K2053=1,AND(对接源_02物料!$X853="公司筐",N(对接源_02物料!$V853)&lt;&gt;0)),1,0)</f>
        <v>0</v>
      </c>
      <c r="U2053">
        <f>N(U2052)+$T2053</f>
        <v>47</v>
      </c>
      <c r="V2053">
        <f>IF(AND($L2053=1,AND(对接源_02物料!$X853="自备筐",N(对接源_02物料!$V853)&lt;&gt;0)),1,0)</f>
        <v>0</v>
      </c>
      <c r="W2053">
        <f>N(W2052)+$V2053</f>
        <v>11</v>
      </c>
      <c r="X2053">
        <f>IF(AND($L2053=1,AND(对接源_02物料!$X853="自备筐",N(对接源_02物料!$T853)&lt;&gt;0)),1,0)</f>
        <v>0</v>
      </c>
      <c r="Y2053">
        <f>N(Y2052)+$X2053</f>
        <v>0</v>
      </c>
      <c r="Z2053">
        <f>IF(AND($M2053=1,对接源_02物料!$D853="原料入库"),1,0)</f>
        <v>0</v>
      </c>
      <c r="AA2053">
        <f>N(AA2052)+$Z2053</f>
        <v>24</v>
      </c>
      <c r="AB2053">
        <f>IF(AND($M2053=1,LEFT(对接源_02物料!$D853,4)="原料出库"),1,0)</f>
        <v>0</v>
      </c>
      <c r="AC2053">
        <f>N(AC2052)+$AB2053</f>
        <v>0</v>
      </c>
      <c r="AD2053">
        <f>IF(AND($M2053=1,LEFT(对接源_02物料!$D853,4)="成品出库"),1,0)</f>
        <v>0</v>
      </c>
      <c r="AE2053">
        <f>N(AE2052)+$AD2053</f>
        <v>0</v>
      </c>
      <c r="AF2053">
        <f>IF(AND($N2053=1,AND(LEFT(对接源_02物料!$D853,4)="包装物料",N(对接源_02物料!$K853)&lt;&gt;0)),1,0)</f>
        <v>0</v>
      </c>
      <c r="AG2053">
        <f>N(AG2052)+$AF2053</f>
        <v>10</v>
      </c>
      <c r="AH2053">
        <f>IF(AND($N2053=1,AND(对接源_02物料!$D853="周转筐－销售出库",N(对接源_02物料!$K853)&lt;&gt;0)),1,0)</f>
        <v>0</v>
      </c>
      <c r="AI2053">
        <f>N(AI2052)+$AH2053</f>
        <v>0</v>
      </c>
      <c r="AL2053" t="n">
        <v>0</v>
      </c>
      <c r="AM2053">
        <f>N(AM2052)+$AL2053</f>
        <v>2</v>
      </c>
      <c r="AN2053">
        <f>""</f>
      </c>
      <c r="AO2053" t="n">
        <v>0</v>
      </c>
      <c r="AP2053">
        <f>N(AP2052)+$AO2053</f>
        <v>13</v>
      </c>
      <c r="AR2053">
        <f>IF(OR($AF2053=1,$AH2053=1),1,0)</f>
        <v>0</v>
      </c>
      <c r="AS2053">
        <f>N(AS2052)+$AR2053</f>
        <v>10</v>
      </c>
    </row>
    <row r="2054" s="127">
      <c r="A2054">
        <f>IF(对接源_02物料!$C854="","",对接源_02物料!$C854)</f>
      </c>
      <c r="B2054">
        <f>IF(A2054="",0,IF(MATCH(A2054,$A$4:$A$2403,0)=ROW()-3,1,0))</f>
        <v>0</v>
      </c>
      <c r="C2054">
        <f>N(C2053)+B2054</f>
        <v>26</v>
      </c>
      <c r="K2054">
        <f>IF(OR($K$1="",对接源_02物料!$C854="",对接源_02物料!$C854&lt;&gt;$K$1,对接源_02物料!$B854=""),0,IF(OR(N(对接源_02物料!$B854)&lt;$K$2,N(对接源_02物料!$B854)&gt;$K$3),0,1))</f>
        <v>0</v>
      </c>
      <c r="L2054">
        <f>IF(OR($L$1="",对接源_02物料!$C854="",对接源_02物料!$C854&lt;&gt;$L$1,对接源_02物料!$B854=""),0,IF(OR(N(对接源_02物料!$B854)&lt;$L$2,N(对接源_02物料!$B854)&gt;$L$3),0,1))</f>
        <v>0</v>
      </c>
      <c r="M2054">
        <f>IF(OR($M$1="",对接源_02物料!$C854="",对接源_02物料!$C854&lt;&gt;$M$1,对接源_02物料!$B854=""),0,IF(OR(N(对接源_02物料!$B854)&lt;$M$2,N(对接源_02物料!$B854)&gt;$M$3),0,1))</f>
        <v>0</v>
      </c>
      <c r="N2054">
        <f>IF(OR($N$1="",对接源_02物料!$C854="",对接源_02物料!$C854&lt;&gt;$N$1,对接源_02物料!$B854=""),0,IF(OR(N(对接源_02物料!$B854)&lt;$N$2,N(对接源_02物料!$B854)&gt;$N$3),0,1))</f>
        <v>0</v>
      </c>
      <c r="P2054">
        <f>IF(AND($K2054=1,AND(对接源_02物料!$X854="公司筐",N(对接源_02物料!$T854)&lt;&gt;0)),1,0)</f>
        <v>0</v>
      </c>
      <c r="Q2054">
        <f>N(Q2053)+$P2054</f>
        <v>14</v>
      </c>
      <c r="R2054">
        <f>IF(AND($K2054=1,AND(对接源_02物料!$X854="公司筐",N(对接源_02物料!$U854)&lt;&gt;0)),1,0)</f>
        <v>0</v>
      </c>
      <c r="S2054">
        <f>N(S2053)+$R2054</f>
        <v>1</v>
      </c>
      <c r="T2054">
        <f>IF(AND($K2054=1,AND(对接源_02物料!$X854="公司筐",N(对接源_02物料!$V854)&lt;&gt;0)),1,0)</f>
        <v>0</v>
      </c>
      <c r="U2054">
        <f>N(U2053)+$T2054</f>
        <v>47</v>
      </c>
      <c r="V2054">
        <f>IF(AND($L2054=1,AND(对接源_02物料!$X854="自备筐",N(对接源_02物料!$V854)&lt;&gt;0)),1,0)</f>
        <v>0</v>
      </c>
      <c r="W2054">
        <f>N(W2053)+$V2054</f>
        <v>11</v>
      </c>
      <c r="X2054">
        <f>IF(AND($L2054=1,AND(对接源_02物料!$X854="自备筐",N(对接源_02物料!$T854)&lt;&gt;0)),1,0)</f>
        <v>0</v>
      </c>
      <c r="Y2054">
        <f>N(Y2053)+$X2054</f>
        <v>0</v>
      </c>
      <c r="Z2054">
        <f>IF(AND($M2054=1,对接源_02物料!$D854="原料入库"),1,0)</f>
        <v>0</v>
      </c>
      <c r="AA2054">
        <f>N(AA2053)+$Z2054</f>
        <v>24</v>
      </c>
      <c r="AB2054">
        <f>IF(AND($M2054=1,LEFT(对接源_02物料!$D854,4)="原料出库"),1,0)</f>
        <v>0</v>
      </c>
      <c r="AC2054">
        <f>N(AC2053)+$AB2054</f>
        <v>0</v>
      </c>
      <c r="AD2054">
        <f>IF(AND($M2054=1,LEFT(对接源_02物料!$D854,4)="成品出库"),1,0)</f>
        <v>0</v>
      </c>
      <c r="AE2054">
        <f>N(AE2053)+$AD2054</f>
        <v>0</v>
      </c>
      <c r="AF2054">
        <f>IF(AND($N2054=1,AND(LEFT(对接源_02物料!$D854,4)="包装物料",N(对接源_02物料!$K854)&lt;&gt;0)),1,0)</f>
        <v>0</v>
      </c>
      <c r="AG2054">
        <f>N(AG2053)+$AF2054</f>
        <v>10</v>
      </c>
      <c r="AH2054">
        <f>IF(AND($N2054=1,AND(对接源_02物料!$D854="周转筐－销售出库",N(对接源_02物料!$K854)&lt;&gt;0)),1,0)</f>
        <v>0</v>
      </c>
      <c r="AI2054">
        <f>N(AI2053)+$AH2054</f>
        <v>0</v>
      </c>
      <c r="AL2054" t="n">
        <v>0</v>
      </c>
      <c r="AM2054">
        <f>N(AM2053)+$AL2054</f>
        <v>2</v>
      </c>
      <c r="AN2054">
        <f>""</f>
      </c>
      <c r="AO2054" t="n">
        <v>0</v>
      </c>
      <c r="AP2054">
        <f>N(AP2053)+$AO2054</f>
        <v>13</v>
      </c>
      <c r="AR2054">
        <f>IF(OR($AF2054=1,$AH2054=1),1,0)</f>
        <v>0</v>
      </c>
      <c r="AS2054">
        <f>N(AS2053)+$AR2054</f>
        <v>10</v>
      </c>
    </row>
    <row r="2055" s="127">
      <c r="A2055">
        <f>IF(对接源_02物料!$C855="","",对接源_02物料!$C855)</f>
      </c>
      <c r="B2055">
        <f>IF(A2055="",0,IF(MATCH(A2055,$A$4:$A$2403,0)=ROW()-3,1,0))</f>
        <v>0</v>
      </c>
      <c r="C2055">
        <f>N(C2054)+B2055</f>
        <v>26</v>
      </c>
      <c r="K2055">
        <f>IF(OR($K$1="",对接源_02物料!$C855="",对接源_02物料!$C855&lt;&gt;$K$1,对接源_02物料!$B855=""),0,IF(OR(N(对接源_02物料!$B855)&lt;$K$2,N(对接源_02物料!$B855)&gt;$K$3),0,1))</f>
        <v>0</v>
      </c>
      <c r="L2055">
        <f>IF(OR($L$1="",对接源_02物料!$C855="",对接源_02物料!$C855&lt;&gt;$L$1,对接源_02物料!$B855=""),0,IF(OR(N(对接源_02物料!$B855)&lt;$L$2,N(对接源_02物料!$B855)&gt;$L$3),0,1))</f>
        <v>0</v>
      </c>
      <c r="M2055">
        <f>IF(OR($M$1="",对接源_02物料!$C855="",对接源_02物料!$C855&lt;&gt;$M$1,对接源_02物料!$B855=""),0,IF(OR(N(对接源_02物料!$B855)&lt;$M$2,N(对接源_02物料!$B855)&gt;$M$3),0,1))</f>
        <v>0</v>
      </c>
      <c r="N2055">
        <f>IF(OR($N$1="",对接源_02物料!$C855="",对接源_02物料!$C855&lt;&gt;$N$1,对接源_02物料!$B855=""),0,IF(OR(N(对接源_02物料!$B855)&lt;$N$2,N(对接源_02物料!$B855)&gt;$N$3),0,1))</f>
        <v>0</v>
      </c>
      <c r="P2055">
        <f>IF(AND($K2055=1,AND(对接源_02物料!$X855="公司筐",N(对接源_02物料!$T855)&lt;&gt;0)),1,0)</f>
        <v>0</v>
      </c>
      <c r="Q2055">
        <f>N(Q2054)+$P2055</f>
        <v>14</v>
      </c>
      <c r="R2055">
        <f>IF(AND($K2055=1,AND(对接源_02物料!$X855="公司筐",N(对接源_02物料!$U855)&lt;&gt;0)),1,0)</f>
        <v>0</v>
      </c>
      <c r="S2055">
        <f>N(S2054)+$R2055</f>
        <v>1</v>
      </c>
      <c r="T2055">
        <f>IF(AND($K2055=1,AND(对接源_02物料!$X855="公司筐",N(对接源_02物料!$V855)&lt;&gt;0)),1,0)</f>
        <v>0</v>
      </c>
      <c r="U2055">
        <f>N(U2054)+$T2055</f>
        <v>47</v>
      </c>
      <c r="V2055">
        <f>IF(AND($L2055=1,AND(对接源_02物料!$X855="自备筐",N(对接源_02物料!$V855)&lt;&gt;0)),1,0)</f>
        <v>0</v>
      </c>
      <c r="W2055">
        <f>N(W2054)+$V2055</f>
        <v>11</v>
      </c>
      <c r="X2055">
        <f>IF(AND($L2055=1,AND(对接源_02物料!$X855="自备筐",N(对接源_02物料!$T855)&lt;&gt;0)),1,0)</f>
        <v>0</v>
      </c>
      <c r="Y2055">
        <f>N(Y2054)+$X2055</f>
        <v>0</v>
      </c>
      <c r="Z2055">
        <f>IF(AND($M2055=1,对接源_02物料!$D855="原料入库"),1,0)</f>
        <v>0</v>
      </c>
      <c r="AA2055">
        <f>N(AA2054)+$Z2055</f>
        <v>24</v>
      </c>
      <c r="AB2055">
        <f>IF(AND($M2055=1,LEFT(对接源_02物料!$D855,4)="原料出库"),1,0)</f>
        <v>0</v>
      </c>
      <c r="AC2055">
        <f>N(AC2054)+$AB2055</f>
        <v>0</v>
      </c>
      <c r="AD2055">
        <f>IF(AND($M2055=1,LEFT(对接源_02物料!$D855,4)="成品出库"),1,0)</f>
        <v>0</v>
      </c>
      <c r="AE2055">
        <f>N(AE2054)+$AD2055</f>
        <v>0</v>
      </c>
      <c r="AF2055">
        <f>IF(AND($N2055=1,AND(LEFT(对接源_02物料!$D855,4)="包装物料",N(对接源_02物料!$K855)&lt;&gt;0)),1,0)</f>
        <v>0</v>
      </c>
      <c r="AG2055">
        <f>N(AG2054)+$AF2055</f>
        <v>10</v>
      </c>
      <c r="AH2055">
        <f>IF(AND($N2055=1,AND(对接源_02物料!$D855="周转筐－销售出库",N(对接源_02物料!$K855)&lt;&gt;0)),1,0)</f>
        <v>0</v>
      </c>
      <c r="AI2055">
        <f>N(AI2054)+$AH2055</f>
        <v>0</v>
      </c>
      <c r="AL2055" t="n">
        <v>0</v>
      </c>
      <c r="AM2055">
        <f>N(AM2054)+$AL2055</f>
        <v>2</v>
      </c>
      <c r="AN2055">
        <f>""</f>
      </c>
      <c r="AO2055" t="n">
        <v>0</v>
      </c>
      <c r="AP2055">
        <f>N(AP2054)+$AO2055</f>
        <v>13</v>
      </c>
      <c r="AR2055">
        <f>IF(OR($AF2055=1,$AH2055=1),1,0)</f>
        <v>0</v>
      </c>
      <c r="AS2055">
        <f>N(AS2054)+$AR2055</f>
        <v>10</v>
      </c>
    </row>
    <row r="2056" s="127">
      <c r="A2056">
        <f>IF(对接源_02物料!$C856="","",对接源_02物料!$C856)</f>
      </c>
      <c r="B2056">
        <f>IF(A2056="",0,IF(MATCH(A2056,$A$4:$A$2403,0)=ROW()-3,1,0))</f>
        <v>0</v>
      </c>
      <c r="C2056">
        <f>N(C2055)+B2056</f>
        <v>26</v>
      </c>
      <c r="K2056">
        <f>IF(OR($K$1="",对接源_02物料!$C856="",对接源_02物料!$C856&lt;&gt;$K$1,对接源_02物料!$B856=""),0,IF(OR(N(对接源_02物料!$B856)&lt;$K$2,N(对接源_02物料!$B856)&gt;$K$3),0,1))</f>
        <v>0</v>
      </c>
      <c r="L2056">
        <f>IF(OR($L$1="",对接源_02物料!$C856="",对接源_02物料!$C856&lt;&gt;$L$1,对接源_02物料!$B856=""),0,IF(OR(N(对接源_02物料!$B856)&lt;$L$2,N(对接源_02物料!$B856)&gt;$L$3),0,1))</f>
        <v>0</v>
      </c>
      <c r="M2056">
        <f>IF(OR($M$1="",对接源_02物料!$C856="",对接源_02物料!$C856&lt;&gt;$M$1,对接源_02物料!$B856=""),0,IF(OR(N(对接源_02物料!$B856)&lt;$M$2,N(对接源_02物料!$B856)&gt;$M$3),0,1))</f>
        <v>0</v>
      </c>
      <c r="N2056">
        <f>IF(OR($N$1="",对接源_02物料!$C856="",对接源_02物料!$C856&lt;&gt;$N$1,对接源_02物料!$B856=""),0,IF(OR(N(对接源_02物料!$B856)&lt;$N$2,N(对接源_02物料!$B856)&gt;$N$3),0,1))</f>
        <v>0</v>
      </c>
      <c r="P2056">
        <f>IF(AND($K2056=1,AND(对接源_02物料!$X856="公司筐",N(对接源_02物料!$T856)&lt;&gt;0)),1,0)</f>
        <v>0</v>
      </c>
      <c r="Q2056">
        <f>N(Q2055)+$P2056</f>
        <v>14</v>
      </c>
      <c r="R2056">
        <f>IF(AND($K2056=1,AND(对接源_02物料!$X856="公司筐",N(对接源_02物料!$U856)&lt;&gt;0)),1,0)</f>
        <v>0</v>
      </c>
      <c r="S2056">
        <f>N(S2055)+$R2056</f>
        <v>1</v>
      </c>
      <c r="T2056">
        <f>IF(AND($K2056=1,AND(对接源_02物料!$X856="公司筐",N(对接源_02物料!$V856)&lt;&gt;0)),1,0)</f>
        <v>0</v>
      </c>
      <c r="U2056">
        <f>N(U2055)+$T2056</f>
        <v>47</v>
      </c>
      <c r="V2056">
        <f>IF(AND($L2056=1,AND(对接源_02物料!$X856="自备筐",N(对接源_02物料!$V856)&lt;&gt;0)),1,0)</f>
        <v>0</v>
      </c>
      <c r="W2056">
        <f>N(W2055)+$V2056</f>
        <v>11</v>
      </c>
      <c r="X2056">
        <f>IF(AND($L2056=1,AND(对接源_02物料!$X856="自备筐",N(对接源_02物料!$T856)&lt;&gt;0)),1,0)</f>
        <v>0</v>
      </c>
      <c r="Y2056">
        <f>N(Y2055)+$X2056</f>
        <v>0</v>
      </c>
      <c r="Z2056">
        <f>IF(AND($M2056=1,对接源_02物料!$D856="原料入库"),1,0)</f>
        <v>0</v>
      </c>
      <c r="AA2056">
        <f>N(AA2055)+$Z2056</f>
        <v>24</v>
      </c>
      <c r="AB2056">
        <f>IF(AND($M2056=1,LEFT(对接源_02物料!$D856,4)="原料出库"),1,0)</f>
        <v>0</v>
      </c>
      <c r="AC2056">
        <f>N(AC2055)+$AB2056</f>
        <v>0</v>
      </c>
      <c r="AD2056">
        <f>IF(AND($M2056=1,LEFT(对接源_02物料!$D856,4)="成品出库"),1,0)</f>
        <v>0</v>
      </c>
      <c r="AE2056">
        <f>N(AE2055)+$AD2056</f>
        <v>0</v>
      </c>
      <c r="AF2056">
        <f>IF(AND($N2056=1,AND(LEFT(对接源_02物料!$D856,4)="包装物料",N(对接源_02物料!$K856)&lt;&gt;0)),1,0)</f>
        <v>0</v>
      </c>
      <c r="AG2056">
        <f>N(AG2055)+$AF2056</f>
        <v>10</v>
      </c>
      <c r="AH2056">
        <f>IF(AND($N2056=1,AND(对接源_02物料!$D856="周转筐－销售出库",N(对接源_02物料!$K856)&lt;&gt;0)),1,0)</f>
        <v>0</v>
      </c>
      <c r="AI2056">
        <f>N(AI2055)+$AH2056</f>
        <v>0</v>
      </c>
      <c r="AL2056" t="n">
        <v>0</v>
      </c>
      <c r="AM2056">
        <f>N(AM2055)+$AL2056</f>
        <v>2</v>
      </c>
      <c r="AN2056">
        <f>""</f>
      </c>
      <c r="AO2056" t="n">
        <v>0</v>
      </c>
      <c r="AP2056">
        <f>N(AP2055)+$AO2056</f>
        <v>13</v>
      </c>
      <c r="AR2056">
        <f>IF(OR($AF2056=1,$AH2056=1),1,0)</f>
        <v>0</v>
      </c>
      <c r="AS2056">
        <f>N(AS2055)+$AR2056</f>
        <v>10</v>
      </c>
    </row>
    <row r="2057" s="127">
      <c r="A2057">
        <f>IF(对接源_02物料!$C857="","",对接源_02物料!$C857)</f>
      </c>
      <c r="B2057">
        <f>IF(A2057="",0,IF(MATCH(A2057,$A$4:$A$2403,0)=ROW()-3,1,0))</f>
        <v>0</v>
      </c>
      <c r="C2057">
        <f>N(C2056)+B2057</f>
        <v>26</v>
      </c>
      <c r="K2057">
        <f>IF(OR($K$1="",对接源_02物料!$C857="",对接源_02物料!$C857&lt;&gt;$K$1,对接源_02物料!$B857=""),0,IF(OR(N(对接源_02物料!$B857)&lt;$K$2,N(对接源_02物料!$B857)&gt;$K$3),0,1))</f>
        <v>0</v>
      </c>
      <c r="L2057">
        <f>IF(OR($L$1="",对接源_02物料!$C857="",对接源_02物料!$C857&lt;&gt;$L$1,对接源_02物料!$B857=""),0,IF(OR(N(对接源_02物料!$B857)&lt;$L$2,N(对接源_02物料!$B857)&gt;$L$3),0,1))</f>
        <v>0</v>
      </c>
      <c r="M2057">
        <f>IF(OR($M$1="",对接源_02物料!$C857="",对接源_02物料!$C857&lt;&gt;$M$1,对接源_02物料!$B857=""),0,IF(OR(N(对接源_02物料!$B857)&lt;$M$2,N(对接源_02物料!$B857)&gt;$M$3),0,1))</f>
        <v>0</v>
      </c>
      <c r="N2057">
        <f>IF(OR($N$1="",对接源_02物料!$C857="",对接源_02物料!$C857&lt;&gt;$N$1,对接源_02物料!$B857=""),0,IF(OR(N(对接源_02物料!$B857)&lt;$N$2,N(对接源_02物料!$B857)&gt;$N$3),0,1))</f>
        <v>0</v>
      </c>
      <c r="P2057">
        <f>IF(AND($K2057=1,AND(对接源_02物料!$X857="公司筐",N(对接源_02物料!$T857)&lt;&gt;0)),1,0)</f>
        <v>0</v>
      </c>
      <c r="Q2057">
        <f>N(Q2056)+$P2057</f>
        <v>14</v>
      </c>
      <c r="R2057">
        <f>IF(AND($K2057=1,AND(对接源_02物料!$X857="公司筐",N(对接源_02物料!$U857)&lt;&gt;0)),1,0)</f>
        <v>0</v>
      </c>
      <c r="S2057">
        <f>N(S2056)+$R2057</f>
        <v>1</v>
      </c>
      <c r="T2057">
        <f>IF(AND($K2057=1,AND(对接源_02物料!$X857="公司筐",N(对接源_02物料!$V857)&lt;&gt;0)),1,0)</f>
        <v>0</v>
      </c>
      <c r="U2057">
        <f>N(U2056)+$T2057</f>
        <v>47</v>
      </c>
      <c r="V2057">
        <f>IF(AND($L2057=1,AND(对接源_02物料!$X857="自备筐",N(对接源_02物料!$V857)&lt;&gt;0)),1,0)</f>
        <v>0</v>
      </c>
      <c r="W2057">
        <f>N(W2056)+$V2057</f>
        <v>11</v>
      </c>
      <c r="X2057">
        <f>IF(AND($L2057=1,AND(对接源_02物料!$X857="自备筐",N(对接源_02物料!$T857)&lt;&gt;0)),1,0)</f>
        <v>0</v>
      </c>
      <c r="Y2057">
        <f>N(Y2056)+$X2057</f>
        <v>0</v>
      </c>
      <c r="Z2057">
        <f>IF(AND($M2057=1,对接源_02物料!$D857="原料入库"),1,0)</f>
        <v>0</v>
      </c>
      <c r="AA2057">
        <f>N(AA2056)+$Z2057</f>
        <v>24</v>
      </c>
      <c r="AB2057">
        <f>IF(AND($M2057=1,LEFT(对接源_02物料!$D857,4)="原料出库"),1,0)</f>
        <v>0</v>
      </c>
      <c r="AC2057">
        <f>N(AC2056)+$AB2057</f>
        <v>0</v>
      </c>
      <c r="AD2057">
        <f>IF(AND($M2057=1,LEFT(对接源_02物料!$D857,4)="成品出库"),1,0)</f>
        <v>0</v>
      </c>
      <c r="AE2057">
        <f>N(AE2056)+$AD2057</f>
        <v>0</v>
      </c>
      <c r="AF2057">
        <f>IF(AND($N2057=1,AND(LEFT(对接源_02物料!$D857,4)="包装物料",N(对接源_02物料!$K857)&lt;&gt;0)),1,0)</f>
        <v>0</v>
      </c>
      <c r="AG2057">
        <f>N(AG2056)+$AF2057</f>
        <v>10</v>
      </c>
      <c r="AH2057">
        <f>IF(AND($N2057=1,AND(对接源_02物料!$D857="周转筐－销售出库",N(对接源_02物料!$K857)&lt;&gt;0)),1,0)</f>
        <v>0</v>
      </c>
      <c r="AI2057">
        <f>N(AI2056)+$AH2057</f>
        <v>0</v>
      </c>
      <c r="AL2057" t="n">
        <v>0</v>
      </c>
      <c r="AM2057">
        <f>N(AM2056)+$AL2057</f>
        <v>2</v>
      </c>
      <c r="AN2057">
        <f>""</f>
      </c>
      <c r="AO2057" t="n">
        <v>0</v>
      </c>
      <c r="AP2057">
        <f>N(AP2056)+$AO2057</f>
        <v>13</v>
      </c>
      <c r="AR2057">
        <f>IF(OR($AF2057=1,$AH2057=1),1,0)</f>
        <v>0</v>
      </c>
      <c r="AS2057">
        <f>N(AS2056)+$AR2057</f>
        <v>10</v>
      </c>
    </row>
    <row r="2058" s="127">
      <c r="A2058">
        <f>IF(对接源_02物料!$C858="","",对接源_02物料!$C858)</f>
      </c>
      <c r="B2058">
        <f>IF(A2058="",0,IF(MATCH(A2058,$A$4:$A$2403,0)=ROW()-3,1,0))</f>
        <v>0</v>
      </c>
      <c r="C2058">
        <f>N(C2057)+B2058</f>
        <v>26</v>
      </c>
      <c r="K2058">
        <f>IF(OR($K$1="",对接源_02物料!$C858="",对接源_02物料!$C858&lt;&gt;$K$1,对接源_02物料!$B858=""),0,IF(OR(N(对接源_02物料!$B858)&lt;$K$2,N(对接源_02物料!$B858)&gt;$K$3),0,1))</f>
        <v>0</v>
      </c>
      <c r="L2058">
        <f>IF(OR($L$1="",对接源_02物料!$C858="",对接源_02物料!$C858&lt;&gt;$L$1,对接源_02物料!$B858=""),0,IF(OR(N(对接源_02物料!$B858)&lt;$L$2,N(对接源_02物料!$B858)&gt;$L$3),0,1))</f>
        <v>0</v>
      </c>
      <c r="M2058">
        <f>IF(OR($M$1="",对接源_02物料!$C858="",对接源_02物料!$C858&lt;&gt;$M$1,对接源_02物料!$B858=""),0,IF(OR(N(对接源_02物料!$B858)&lt;$M$2,N(对接源_02物料!$B858)&gt;$M$3),0,1))</f>
        <v>0</v>
      </c>
      <c r="N2058">
        <f>IF(OR($N$1="",对接源_02物料!$C858="",对接源_02物料!$C858&lt;&gt;$N$1,对接源_02物料!$B858=""),0,IF(OR(N(对接源_02物料!$B858)&lt;$N$2,N(对接源_02物料!$B858)&gt;$N$3),0,1))</f>
        <v>0</v>
      </c>
      <c r="P2058">
        <f>IF(AND($K2058=1,AND(对接源_02物料!$X858="公司筐",N(对接源_02物料!$T858)&lt;&gt;0)),1,0)</f>
        <v>0</v>
      </c>
      <c r="Q2058">
        <f>N(Q2057)+$P2058</f>
        <v>14</v>
      </c>
      <c r="R2058">
        <f>IF(AND($K2058=1,AND(对接源_02物料!$X858="公司筐",N(对接源_02物料!$U858)&lt;&gt;0)),1,0)</f>
        <v>0</v>
      </c>
      <c r="S2058">
        <f>N(S2057)+$R2058</f>
        <v>1</v>
      </c>
      <c r="T2058">
        <f>IF(AND($K2058=1,AND(对接源_02物料!$X858="公司筐",N(对接源_02物料!$V858)&lt;&gt;0)),1,0)</f>
        <v>0</v>
      </c>
      <c r="U2058">
        <f>N(U2057)+$T2058</f>
        <v>47</v>
      </c>
      <c r="V2058">
        <f>IF(AND($L2058=1,AND(对接源_02物料!$X858="自备筐",N(对接源_02物料!$V858)&lt;&gt;0)),1,0)</f>
        <v>0</v>
      </c>
      <c r="W2058">
        <f>N(W2057)+$V2058</f>
        <v>11</v>
      </c>
      <c r="X2058">
        <f>IF(AND($L2058=1,AND(对接源_02物料!$X858="自备筐",N(对接源_02物料!$T858)&lt;&gt;0)),1,0)</f>
        <v>0</v>
      </c>
      <c r="Y2058">
        <f>N(Y2057)+$X2058</f>
        <v>0</v>
      </c>
      <c r="Z2058">
        <f>IF(AND($M2058=1,对接源_02物料!$D858="原料入库"),1,0)</f>
        <v>0</v>
      </c>
      <c r="AA2058">
        <f>N(AA2057)+$Z2058</f>
        <v>24</v>
      </c>
      <c r="AB2058">
        <f>IF(AND($M2058=1,LEFT(对接源_02物料!$D858,4)="原料出库"),1,0)</f>
        <v>0</v>
      </c>
      <c r="AC2058">
        <f>N(AC2057)+$AB2058</f>
        <v>0</v>
      </c>
      <c r="AD2058">
        <f>IF(AND($M2058=1,LEFT(对接源_02物料!$D858,4)="成品出库"),1,0)</f>
        <v>0</v>
      </c>
      <c r="AE2058">
        <f>N(AE2057)+$AD2058</f>
        <v>0</v>
      </c>
      <c r="AF2058">
        <f>IF(AND($N2058=1,AND(LEFT(对接源_02物料!$D858,4)="包装物料",N(对接源_02物料!$K858)&lt;&gt;0)),1,0)</f>
        <v>0</v>
      </c>
      <c r="AG2058">
        <f>N(AG2057)+$AF2058</f>
        <v>10</v>
      </c>
      <c r="AH2058">
        <f>IF(AND($N2058=1,AND(对接源_02物料!$D858="周转筐－销售出库",N(对接源_02物料!$K858)&lt;&gt;0)),1,0)</f>
        <v>0</v>
      </c>
      <c r="AI2058">
        <f>N(AI2057)+$AH2058</f>
        <v>0</v>
      </c>
      <c r="AL2058" t="n">
        <v>0</v>
      </c>
      <c r="AM2058">
        <f>N(AM2057)+$AL2058</f>
        <v>2</v>
      </c>
      <c r="AN2058">
        <f>""</f>
      </c>
      <c r="AO2058" t="n">
        <v>0</v>
      </c>
      <c r="AP2058">
        <f>N(AP2057)+$AO2058</f>
        <v>13</v>
      </c>
      <c r="AR2058">
        <f>IF(OR($AF2058=1,$AH2058=1),1,0)</f>
        <v>0</v>
      </c>
      <c r="AS2058">
        <f>N(AS2057)+$AR2058</f>
        <v>10</v>
      </c>
    </row>
    <row r="2059" s="127">
      <c r="A2059">
        <f>IF(对接源_02物料!$C859="","",对接源_02物料!$C859)</f>
      </c>
      <c r="B2059">
        <f>IF(A2059="",0,IF(MATCH(A2059,$A$4:$A$2403,0)=ROW()-3,1,0))</f>
        <v>0</v>
      </c>
      <c r="C2059">
        <f>N(C2058)+B2059</f>
        <v>26</v>
      </c>
      <c r="K2059">
        <f>IF(OR($K$1="",对接源_02物料!$C859="",对接源_02物料!$C859&lt;&gt;$K$1,对接源_02物料!$B859=""),0,IF(OR(N(对接源_02物料!$B859)&lt;$K$2,N(对接源_02物料!$B859)&gt;$K$3),0,1))</f>
        <v>0</v>
      </c>
      <c r="L2059">
        <f>IF(OR($L$1="",对接源_02物料!$C859="",对接源_02物料!$C859&lt;&gt;$L$1,对接源_02物料!$B859=""),0,IF(OR(N(对接源_02物料!$B859)&lt;$L$2,N(对接源_02物料!$B859)&gt;$L$3),0,1))</f>
        <v>0</v>
      </c>
      <c r="M2059">
        <f>IF(OR($M$1="",对接源_02物料!$C859="",对接源_02物料!$C859&lt;&gt;$M$1,对接源_02物料!$B859=""),0,IF(OR(N(对接源_02物料!$B859)&lt;$M$2,N(对接源_02物料!$B859)&gt;$M$3),0,1))</f>
        <v>0</v>
      </c>
      <c r="N2059">
        <f>IF(OR($N$1="",对接源_02物料!$C859="",对接源_02物料!$C859&lt;&gt;$N$1,对接源_02物料!$B859=""),0,IF(OR(N(对接源_02物料!$B859)&lt;$N$2,N(对接源_02物料!$B859)&gt;$N$3),0,1))</f>
        <v>0</v>
      </c>
      <c r="P2059">
        <f>IF(AND($K2059=1,AND(对接源_02物料!$X859="公司筐",N(对接源_02物料!$T859)&lt;&gt;0)),1,0)</f>
        <v>0</v>
      </c>
      <c r="Q2059">
        <f>N(Q2058)+$P2059</f>
        <v>14</v>
      </c>
      <c r="R2059">
        <f>IF(AND($K2059=1,AND(对接源_02物料!$X859="公司筐",N(对接源_02物料!$U859)&lt;&gt;0)),1,0)</f>
        <v>0</v>
      </c>
      <c r="S2059">
        <f>N(S2058)+$R2059</f>
        <v>1</v>
      </c>
      <c r="T2059">
        <f>IF(AND($K2059=1,AND(对接源_02物料!$X859="公司筐",N(对接源_02物料!$V859)&lt;&gt;0)),1,0)</f>
        <v>0</v>
      </c>
      <c r="U2059">
        <f>N(U2058)+$T2059</f>
        <v>47</v>
      </c>
      <c r="V2059">
        <f>IF(AND($L2059=1,AND(对接源_02物料!$X859="自备筐",N(对接源_02物料!$V859)&lt;&gt;0)),1,0)</f>
        <v>0</v>
      </c>
      <c r="W2059">
        <f>N(W2058)+$V2059</f>
        <v>11</v>
      </c>
      <c r="X2059">
        <f>IF(AND($L2059=1,AND(对接源_02物料!$X859="自备筐",N(对接源_02物料!$T859)&lt;&gt;0)),1,0)</f>
        <v>0</v>
      </c>
      <c r="Y2059">
        <f>N(Y2058)+$X2059</f>
        <v>0</v>
      </c>
      <c r="Z2059">
        <f>IF(AND($M2059=1,对接源_02物料!$D859="原料入库"),1,0)</f>
        <v>0</v>
      </c>
      <c r="AA2059">
        <f>N(AA2058)+$Z2059</f>
        <v>24</v>
      </c>
      <c r="AB2059">
        <f>IF(AND($M2059=1,LEFT(对接源_02物料!$D859,4)="原料出库"),1,0)</f>
        <v>0</v>
      </c>
      <c r="AC2059">
        <f>N(AC2058)+$AB2059</f>
        <v>0</v>
      </c>
      <c r="AD2059">
        <f>IF(AND($M2059=1,LEFT(对接源_02物料!$D859,4)="成品出库"),1,0)</f>
        <v>0</v>
      </c>
      <c r="AE2059">
        <f>N(AE2058)+$AD2059</f>
        <v>0</v>
      </c>
      <c r="AF2059">
        <f>IF(AND($N2059=1,AND(LEFT(对接源_02物料!$D859,4)="包装物料",N(对接源_02物料!$K859)&lt;&gt;0)),1,0)</f>
        <v>0</v>
      </c>
      <c r="AG2059">
        <f>N(AG2058)+$AF2059</f>
        <v>10</v>
      </c>
      <c r="AH2059">
        <f>IF(AND($N2059=1,AND(对接源_02物料!$D859="周转筐－销售出库",N(对接源_02物料!$K859)&lt;&gt;0)),1,0)</f>
        <v>0</v>
      </c>
      <c r="AI2059">
        <f>N(AI2058)+$AH2059</f>
        <v>0</v>
      </c>
      <c r="AL2059" t="n">
        <v>0</v>
      </c>
      <c r="AM2059">
        <f>N(AM2058)+$AL2059</f>
        <v>2</v>
      </c>
      <c r="AN2059">
        <f>""</f>
      </c>
      <c r="AO2059" t="n">
        <v>0</v>
      </c>
      <c r="AP2059">
        <f>N(AP2058)+$AO2059</f>
        <v>13</v>
      </c>
      <c r="AR2059">
        <f>IF(OR($AF2059=1,$AH2059=1),1,0)</f>
        <v>0</v>
      </c>
      <c r="AS2059">
        <f>N(AS2058)+$AR2059</f>
        <v>10</v>
      </c>
    </row>
    <row r="2060" s="127">
      <c r="A2060">
        <f>IF(对接源_02物料!$C860="","",对接源_02物料!$C860)</f>
      </c>
      <c r="B2060">
        <f>IF(A2060="",0,IF(MATCH(A2060,$A$4:$A$2403,0)=ROW()-3,1,0))</f>
        <v>0</v>
      </c>
      <c r="C2060">
        <f>N(C2059)+B2060</f>
        <v>26</v>
      </c>
      <c r="K2060">
        <f>IF(OR($K$1="",对接源_02物料!$C860="",对接源_02物料!$C860&lt;&gt;$K$1,对接源_02物料!$B860=""),0,IF(OR(N(对接源_02物料!$B860)&lt;$K$2,N(对接源_02物料!$B860)&gt;$K$3),0,1))</f>
        <v>0</v>
      </c>
      <c r="L2060">
        <f>IF(OR($L$1="",对接源_02物料!$C860="",对接源_02物料!$C860&lt;&gt;$L$1,对接源_02物料!$B860=""),0,IF(OR(N(对接源_02物料!$B860)&lt;$L$2,N(对接源_02物料!$B860)&gt;$L$3),0,1))</f>
        <v>0</v>
      </c>
      <c r="M2060">
        <f>IF(OR($M$1="",对接源_02物料!$C860="",对接源_02物料!$C860&lt;&gt;$M$1,对接源_02物料!$B860=""),0,IF(OR(N(对接源_02物料!$B860)&lt;$M$2,N(对接源_02物料!$B860)&gt;$M$3),0,1))</f>
        <v>0</v>
      </c>
      <c r="N2060">
        <f>IF(OR($N$1="",对接源_02物料!$C860="",对接源_02物料!$C860&lt;&gt;$N$1,对接源_02物料!$B860=""),0,IF(OR(N(对接源_02物料!$B860)&lt;$N$2,N(对接源_02物料!$B860)&gt;$N$3),0,1))</f>
        <v>0</v>
      </c>
      <c r="P2060">
        <f>IF(AND($K2060=1,AND(对接源_02物料!$X860="公司筐",N(对接源_02物料!$T860)&lt;&gt;0)),1,0)</f>
        <v>0</v>
      </c>
      <c r="Q2060">
        <f>N(Q2059)+$P2060</f>
        <v>14</v>
      </c>
      <c r="R2060">
        <f>IF(AND($K2060=1,AND(对接源_02物料!$X860="公司筐",N(对接源_02物料!$U860)&lt;&gt;0)),1,0)</f>
        <v>0</v>
      </c>
      <c r="S2060">
        <f>N(S2059)+$R2060</f>
        <v>1</v>
      </c>
      <c r="T2060">
        <f>IF(AND($K2060=1,AND(对接源_02物料!$X860="公司筐",N(对接源_02物料!$V860)&lt;&gt;0)),1,0)</f>
        <v>0</v>
      </c>
      <c r="U2060">
        <f>N(U2059)+$T2060</f>
        <v>47</v>
      </c>
      <c r="V2060">
        <f>IF(AND($L2060=1,AND(对接源_02物料!$X860="自备筐",N(对接源_02物料!$V860)&lt;&gt;0)),1,0)</f>
        <v>0</v>
      </c>
      <c r="W2060">
        <f>N(W2059)+$V2060</f>
        <v>11</v>
      </c>
      <c r="X2060">
        <f>IF(AND($L2060=1,AND(对接源_02物料!$X860="自备筐",N(对接源_02物料!$T860)&lt;&gt;0)),1,0)</f>
        <v>0</v>
      </c>
      <c r="Y2060">
        <f>N(Y2059)+$X2060</f>
        <v>0</v>
      </c>
      <c r="Z2060">
        <f>IF(AND($M2060=1,对接源_02物料!$D860="原料入库"),1,0)</f>
        <v>0</v>
      </c>
      <c r="AA2060">
        <f>N(AA2059)+$Z2060</f>
        <v>24</v>
      </c>
      <c r="AB2060">
        <f>IF(AND($M2060=1,LEFT(对接源_02物料!$D860,4)="原料出库"),1,0)</f>
        <v>0</v>
      </c>
      <c r="AC2060">
        <f>N(AC2059)+$AB2060</f>
        <v>0</v>
      </c>
      <c r="AD2060">
        <f>IF(AND($M2060=1,LEFT(对接源_02物料!$D860,4)="成品出库"),1,0)</f>
        <v>0</v>
      </c>
      <c r="AE2060">
        <f>N(AE2059)+$AD2060</f>
        <v>0</v>
      </c>
      <c r="AF2060">
        <f>IF(AND($N2060=1,AND(LEFT(对接源_02物料!$D860,4)="包装物料",N(对接源_02物料!$K860)&lt;&gt;0)),1,0)</f>
        <v>0</v>
      </c>
      <c r="AG2060">
        <f>N(AG2059)+$AF2060</f>
        <v>10</v>
      </c>
      <c r="AH2060">
        <f>IF(AND($N2060=1,AND(对接源_02物料!$D860="周转筐－销售出库",N(对接源_02物料!$K860)&lt;&gt;0)),1,0)</f>
        <v>0</v>
      </c>
      <c r="AI2060">
        <f>N(AI2059)+$AH2060</f>
        <v>0</v>
      </c>
      <c r="AL2060" t="n">
        <v>0</v>
      </c>
      <c r="AM2060">
        <f>N(AM2059)+$AL2060</f>
        <v>2</v>
      </c>
      <c r="AN2060">
        <f>""</f>
      </c>
      <c r="AO2060" t="n">
        <v>0</v>
      </c>
      <c r="AP2060">
        <f>N(AP2059)+$AO2060</f>
        <v>13</v>
      </c>
      <c r="AR2060">
        <f>IF(OR($AF2060=1,$AH2060=1),1,0)</f>
        <v>0</v>
      </c>
      <c r="AS2060">
        <f>N(AS2059)+$AR2060</f>
        <v>10</v>
      </c>
    </row>
    <row r="2061" s="127">
      <c r="A2061">
        <f>IF(对接源_02物料!$C861="","",对接源_02物料!$C861)</f>
      </c>
      <c r="B2061">
        <f>IF(A2061="",0,IF(MATCH(A2061,$A$4:$A$2403,0)=ROW()-3,1,0))</f>
        <v>0</v>
      </c>
      <c r="C2061">
        <f>N(C2060)+B2061</f>
        <v>26</v>
      </c>
      <c r="K2061">
        <f>IF(OR($K$1="",对接源_02物料!$C861="",对接源_02物料!$C861&lt;&gt;$K$1,对接源_02物料!$B861=""),0,IF(OR(N(对接源_02物料!$B861)&lt;$K$2,N(对接源_02物料!$B861)&gt;$K$3),0,1))</f>
        <v>0</v>
      </c>
      <c r="L2061">
        <f>IF(OR($L$1="",对接源_02物料!$C861="",对接源_02物料!$C861&lt;&gt;$L$1,对接源_02物料!$B861=""),0,IF(OR(N(对接源_02物料!$B861)&lt;$L$2,N(对接源_02物料!$B861)&gt;$L$3),0,1))</f>
        <v>0</v>
      </c>
      <c r="M2061">
        <f>IF(OR($M$1="",对接源_02物料!$C861="",对接源_02物料!$C861&lt;&gt;$M$1,对接源_02物料!$B861=""),0,IF(OR(N(对接源_02物料!$B861)&lt;$M$2,N(对接源_02物料!$B861)&gt;$M$3),0,1))</f>
        <v>0</v>
      </c>
      <c r="N2061">
        <f>IF(OR($N$1="",对接源_02物料!$C861="",对接源_02物料!$C861&lt;&gt;$N$1,对接源_02物料!$B861=""),0,IF(OR(N(对接源_02物料!$B861)&lt;$N$2,N(对接源_02物料!$B861)&gt;$N$3),0,1))</f>
        <v>0</v>
      </c>
      <c r="P2061">
        <f>IF(AND($K2061=1,AND(对接源_02物料!$X861="公司筐",N(对接源_02物料!$T861)&lt;&gt;0)),1,0)</f>
        <v>0</v>
      </c>
      <c r="Q2061">
        <f>N(Q2060)+$P2061</f>
        <v>14</v>
      </c>
      <c r="R2061">
        <f>IF(AND($K2061=1,AND(对接源_02物料!$X861="公司筐",N(对接源_02物料!$U861)&lt;&gt;0)),1,0)</f>
        <v>0</v>
      </c>
      <c r="S2061">
        <f>N(S2060)+$R2061</f>
        <v>1</v>
      </c>
      <c r="T2061">
        <f>IF(AND($K2061=1,AND(对接源_02物料!$X861="公司筐",N(对接源_02物料!$V861)&lt;&gt;0)),1,0)</f>
        <v>0</v>
      </c>
      <c r="U2061">
        <f>N(U2060)+$T2061</f>
        <v>47</v>
      </c>
      <c r="V2061">
        <f>IF(AND($L2061=1,AND(对接源_02物料!$X861="自备筐",N(对接源_02物料!$V861)&lt;&gt;0)),1,0)</f>
        <v>0</v>
      </c>
      <c r="W2061">
        <f>N(W2060)+$V2061</f>
        <v>11</v>
      </c>
      <c r="X2061">
        <f>IF(AND($L2061=1,AND(对接源_02物料!$X861="自备筐",N(对接源_02物料!$T861)&lt;&gt;0)),1,0)</f>
        <v>0</v>
      </c>
      <c r="Y2061">
        <f>N(Y2060)+$X2061</f>
        <v>0</v>
      </c>
      <c r="Z2061">
        <f>IF(AND($M2061=1,对接源_02物料!$D861="原料入库"),1,0)</f>
        <v>0</v>
      </c>
      <c r="AA2061">
        <f>N(AA2060)+$Z2061</f>
        <v>24</v>
      </c>
      <c r="AB2061">
        <f>IF(AND($M2061=1,LEFT(对接源_02物料!$D861,4)="原料出库"),1,0)</f>
        <v>0</v>
      </c>
      <c r="AC2061">
        <f>N(AC2060)+$AB2061</f>
        <v>0</v>
      </c>
      <c r="AD2061">
        <f>IF(AND($M2061=1,LEFT(对接源_02物料!$D861,4)="成品出库"),1,0)</f>
        <v>0</v>
      </c>
      <c r="AE2061">
        <f>N(AE2060)+$AD2061</f>
        <v>0</v>
      </c>
      <c r="AF2061">
        <f>IF(AND($N2061=1,AND(LEFT(对接源_02物料!$D861,4)="包装物料",N(对接源_02物料!$K861)&lt;&gt;0)),1,0)</f>
        <v>0</v>
      </c>
      <c r="AG2061">
        <f>N(AG2060)+$AF2061</f>
        <v>10</v>
      </c>
      <c r="AH2061">
        <f>IF(AND($N2061=1,AND(对接源_02物料!$D861="周转筐－销售出库",N(对接源_02物料!$K861)&lt;&gt;0)),1,0)</f>
        <v>0</v>
      </c>
      <c r="AI2061">
        <f>N(AI2060)+$AH2061</f>
        <v>0</v>
      </c>
      <c r="AL2061" t="n">
        <v>0</v>
      </c>
      <c r="AM2061">
        <f>N(AM2060)+$AL2061</f>
        <v>2</v>
      </c>
      <c r="AN2061">
        <f>""</f>
      </c>
      <c r="AO2061" t="n">
        <v>0</v>
      </c>
      <c r="AP2061">
        <f>N(AP2060)+$AO2061</f>
        <v>13</v>
      </c>
      <c r="AR2061">
        <f>IF(OR($AF2061=1,$AH2061=1),1,0)</f>
        <v>0</v>
      </c>
      <c r="AS2061">
        <f>N(AS2060)+$AR2061</f>
        <v>10</v>
      </c>
    </row>
    <row r="2062" s="127">
      <c r="A2062">
        <f>IF(对接源_02物料!$C862="","",对接源_02物料!$C862)</f>
      </c>
      <c r="B2062">
        <f>IF(A2062="",0,IF(MATCH(A2062,$A$4:$A$2403,0)=ROW()-3,1,0))</f>
        <v>0</v>
      </c>
      <c r="C2062">
        <f>N(C2061)+B2062</f>
        <v>26</v>
      </c>
      <c r="K2062">
        <f>IF(OR($K$1="",对接源_02物料!$C862="",对接源_02物料!$C862&lt;&gt;$K$1,对接源_02物料!$B862=""),0,IF(OR(N(对接源_02物料!$B862)&lt;$K$2,N(对接源_02物料!$B862)&gt;$K$3),0,1))</f>
        <v>0</v>
      </c>
      <c r="L2062">
        <f>IF(OR($L$1="",对接源_02物料!$C862="",对接源_02物料!$C862&lt;&gt;$L$1,对接源_02物料!$B862=""),0,IF(OR(N(对接源_02物料!$B862)&lt;$L$2,N(对接源_02物料!$B862)&gt;$L$3),0,1))</f>
        <v>0</v>
      </c>
      <c r="M2062">
        <f>IF(OR($M$1="",对接源_02物料!$C862="",对接源_02物料!$C862&lt;&gt;$M$1,对接源_02物料!$B862=""),0,IF(OR(N(对接源_02物料!$B862)&lt;$M$2,N(对接源_02物料!$B862)&gt;$M$3),0,1))</f>
        <v>0</v>
      </c>
      <c r="N2062">
        <f>IF(OR($N$1="",对接源_02物料!$C862="",对接源_02物料!$C862&lt;&gt;$N$1,对接源_02物料!$B862=""),0,IF(OR(N(对接源_02物料!$B862)&lt;$N$2,N(对接源_02物料!$B862)&gt;$N$3),0,1))</f>
        <v>0</v>
      </c>
      <c r="P2062">
        <f>IF(AND($K2062=1,AND(对接源_02物料!$X862="公司筐",N(对接源_02物料!$T862)&lt;&gt;0)),1,0)</f>
        <v>0</v>
      </c>
      <c r="Q2062">
        <f>N(Q2061)+$P2062</f>
        <v>14</v>
      </c>
      <c r="R2062">
        <f>IF(AND($K2062=1,AND(对接源_02物料!$X862="公司筐",N(对接源_02物料!$U862)&lt;&gt;0)),1,0)</f>
        <v>0</v>
      </c>
      <c r="S2062">
        <f>N(S2061)+$R2062</f>
        <v>1</v>
      </c>
      <c r="T2062">
        <f>IF(AND($K2062=1,AND(对接源_02物料!$X862="公司筐",N(对接源_02物料!$V862)&lt;&gt;0)),1,0)</f>
        <v>0</v>
      </c>
      <c r="U2062">
        <f>N(U2061)+$T2062</f>
        <v>47</v>
      </c>
      <c r="V2062">
        <f>IF(AND($L2062=1,AND(对接源_02物料!$X862="自备筐",N(对接源_02物料!$V862)&lt;&gt;0)),1,0)</f>
        <v>0</v>
      </c>
      <c r="W2062">
        <f>N(W2061)+$V2062</f>
        <v>11</v>
      </c>
      <c r="X2062">
        <f>IF(AND($L2062=1,AND(对接源_02物料!$X862="自备筐",N(对接源_02物料!$T862)&lt;&gt;0)),1,0)</f>
        <v>0</v>
      </c>
      <c r="Y2062">
        <f>N(Y2061)+$X2062</f>
        <v>0</v>
      </c>
      <c r="Z2062">
        <f>IF(AND($M2062=1,对接源_02物料!$D862="原料入库"),1,0)</f>
        <v>0</v>
      </c>
      <c r="AA2062">
        <f>N(AA2061)+$Z2062</f>
        <v>24</v>
      </c>
      <c r="AB2062">
        <f>IF(AND($M2062=1,LEFT(对接源_02物料!$D862,4)="原料出库"),1,0)</f>
        <v>0</v>
      </c>
      <c r="AC2062">
        <f>N(AC2061)+$AB2062</f>
        <v>0</v>
      </c>
      <c r="AD2062">
        <f>IF(AND($M2062=1,LEFT(对接源_02物料!$D862,4)="成品出库"),1,0)</f>
        <v>0</v>
      </c>
      <c r="AE2062">
        <f>N(AE2061)+$AD2062</f>
        <v>0</v>
      </c>
      <c r="AF2062">
        <f>IF(AND($N2062=1,AND(LEFT(对接源_02物料!$D862,4)="包装物料",N(对接源_02物料!$K862)&lt;&gt;0)),1,0)</f>
        <v>0</v>
      </c>
      <c r="AG2062">
        <f>N(AG2061)+$AF2062</f>
        <v>10</v>
      </c>
      <c r="AH2062">
        <f>IF(AND($N2062=1,AND(对接源_02物料!$D862="周转筐－销售出库",N(对接源_02物料!$K862)&lt;&gt;0)),1,0)</f>
        <v>0</v>
      </c>
      <c r="AI2062">
        <f>N(AI2061)+$AH2062</f>
        <v>0</v>
      </c>
      <c r="AL2062" t="n">
        <v>0</v>
      </c>
      <c r="AM2062">
        <f>N(AM2061)+$AL2062</f>
        <v>2</v>
      </c>
      <c r="AN2062">
        <f>""</f>
      </c>
      <c r="AO2062" t="n">
        <v>0</v>
      </c>
      <c r="AP2062">
        <f>N(AP2061)+$AO2062</f>
        <v>13</v>
      </c>
      <c r="AR2062">
        <f>IF(OR($AF2062=1,$AH2062=1),1,0)</f>
        <v>0</v>
      </c>
      <c r="AS2062">
        <f>N(AS2061)+$AR2062</f>
        <v>10</v>
      </c>
    </row>
    <row r="2063" s="127">
      <c r="A2063">
        <f>IF(对接源_02物料!$C863="","",对接源_02物料!$C863)</f>
      </c>
      <c r="B2063">
        <f>IF(A2063="",0,IF(MATCH(A2063,$A$4:$A$2403,0)=ROW()-3,1,0))</f>
        <v>0</v>
      </c>
      <c r="C2063">
        <f>N(C2062)+B2063</f>
        <v>26</v>
      </c>
      <c r="K2063">
        <f>IF(OR($K$1="",对接源_02物料!$C863="",对接源_02物料!$C863&lt;&gt;$K$1,对接源_02物料!$B863=""),0,IF(OR(N(对接源_02物料!$B863)&lt;$K$2,N(对接源_02物料!$B863)&gt;$K$3),0,1))</f>
        <v>0</v>
      </c>
      <c r="L2063">
        <f>IF(OR($L$1="",对接源_02物料!$C863="",对接源_02物料!$C863&lt;&gt;$L$1,对接源_02物料!$B863=""),0,IF(OR(N(对接源_02物料!$B863)&lt;$L$2,N(对接源_02物料!$B863)&gt;$L$3),0,1))</f>
        <v>0</v>
      </c>
      <c r="M2063">
        <f>IF(OR($M$1="",对接源_02物料!$C863="",对接源_02物料!$C863&lt;&gt;$M$1,对接源_02物料!$B863=""),0,IF(OR(N(对接源_02物料!$B863)&lt;$M$2,N(对接源_02物料!$B863)&gt;$M$3),0,1))</f>
        <v>0</v>
      </c>
      <c r="N2063">
        <f>IF(OR($N$1="",对接源_02物料!$C863="",对接源_02物料!$C863&lt;&gt;$N$1,对接源_02物料!$B863=""),0,IF(OR(N(对接源_02物料!$B863)&lt;$N$2,N(对接源_02物料!$B863)&gt;$N$3),0,1))</f>
        <v>0</v>
      </c>
      <c r="P2063">
        <f>IF(AND($K2063=1,AND(对接源_02物料!$X863="公司筐",N(对接源_02物料!$T863)&lt;&gt;0)),1,0)</f>
        <v>0</v>
      </c>
      <c r="Q2063">
        <f>N(Q2062)+$P2063</f>
        <v>14</v>
      </c>
      <c r="R2063">
        <f>IF(AND($K2063=1,AND(对接源_02物料!$X863="公司筐",N(对接源_02物料!$U863)&lt;&gt;0)),1,0)</f>
        <v>0</v>
      </c>
      <c r="S2063">
        <f>N(S2062)+$R2063</f>
        <v>1</v>
      </c>
      <c r="T2063">
        <f>IF(AND($K2063=1,AND(对接源_02物料!$X863="公司筐",N(对接源_02物料!$V863)&lt;&gt;0)),1,0)</f>
        <v>0</v>
      </c>
      <c r="U2063">
        <f>N(U2062)+$T2063</f>
        <v>47</v>
      </c>
      <c r="V2063">
        <f>IF(AND($L2063=1,AND(对接源_02物料!$X863="自备筐",N(对接源_02物料!$V863)&lt;&gt;0)),1,0)</f>
        <v>0</v>
      </c>
      <c r="W2063">
        <f>N(W2062)+$V2063</f>
        <v>11</v>
      </c>
      <c r="X2063">
        <f>IF(AND($L2063=1,AND(对接源_02物料!$X863="自备筐",N(对接源_02物料!$T863)&lt;&gt;0)),1,0)</f>
        <v>0</v>
      </c>
      <c r="Y2063">
        <f>N(Y2062)+$X2063</f>
        <v>0</v>
      </c>
      <c r="Z2063">
        <f>IF(AND($M2063=1,对接源_02物料!$D863="原料入库"),1,0)</f>
        <v>0</v>
      </c>
      <c r="AA2063">
        <f>N(AA2062)+$Z2063</f>
        <v>24</v>
      </c>
      <c r="AB2063">
        <f>IF(AND($M2063=1,LEFT(对接源_02物料!$D863,4)="原料出库"),1,0)</f>
        <v>0</v>
      </c>
      <c r="AC2063">
        <f>N(AC2062)+$AB2063</f>
        <v>0</v>
      </c>
      <c r="AD2063">
        <f>IF(AND($M2063=1,LEFT(对接源_02物料!$D863,4)="成品出库"),1,0)</f>
        <v>0</v>
      </c>
      <c r="AE2063">
        <f>N(AE2062)+$AD2063</f>
        <v>0</v>
      </c>
      <c r="AF2063">
        <f>IF(AND($N2063=1,AND(LEFT(对接源_02物料!$D863,4)="包装物料",N(对接源_02物料!$K863)&lt;&gt;0)),1,0)</f>
        <v>0</v>
      </c>
      <c r="AG2063">
        <f>N(AG2062)+$AF2063</f>
        <v>10</v>
      </c>
      <c r="AH2063">
        <f>IF(AND($N2063=1,AND(对接源_02物料!$D863="周转筐－销售出库",N(对接源_02物料!$K863)&lt;&gt;0)),1,0)</f>
        <v>0</v>
      </c>
      <c r="AI2063">
        <f>N(AI2062)+$AH2063</f>
        <v>0</v>
      </c>
      <c r="AL2063" t="n">
        <v>0</v>
      </c>
      <c r="AM2063">
        <f>N(AM2062)+$AL2063</f>
        <v>2</v>
      </c>
      <c r="AN2063">
        <f>""</f>
      </c>
      <c r="AO2063" t="n">
        <v>0</v>
      </c>
      <c r="AP2063">
        <f>N(AP2062)+$AO2063</f>
        <v>13</v>
      </c>
      <c r="AR2063">
        <f>IF(OR($AF2063=1,$AH2063=1),1,0)</f>
        <v>0</v>
      </c>
      <c r="AS2063">
        <f>N(AS2062)+$AR2063</f>
        <v>10</v>
      </c>
    </row>
    <row r="2064" s="127">
      <c r="A2064">
        <f>IF(对接源_02物料!$C864="","",对接源_02物料!$C864)</f>
      </c>
      <c r="B2064">
        <f>IF(A2064="",0,IF(MATCH(A2064,$A$4:$A$2403,0)=ROW()-3,1,0))</f>
        <v>0</v>
      </c>
      <c r="C2064">
        <f>N(C2063)+B2064</f>
        <v>26</v>
      </c>
      <c r="K2064">
        <f>IF(OR($K$1="",对接源_02物料!$C864="",对接源_02物料!$C864&lt;&gt;$K$1,对接源_02物料!$B864=""),0,IF(OR(N(对接源_02物料!$B864)&lt;$K$2,N(对接源_02物料!$B864)&gt;$K$3),0,1))</f>
        <v>0</v>
      </c>
      <c r="L2064">
        <f>IF(OR($L$1="",对接源_02物料!$C864="",对接源_02物料!$C864&lt;&gt;$L$1,对接源_02物料!$B864=""),0,IF(OR(N(对接源_02物料!$B864)&lt;$L$2,N(对接源_02物料!$B864)&gt;$L$3),0,1))</f>
        <v>0</v>
      </c>
      <c r="M2064">
        <f>IF(OR($M$1="",对接源_02物料!$C864="",对接源_02物料!$C864&lt;&gt;$M$1,对接源_02物料!$B864=""),0,IF(OR(N(对接源_02物料!$B864)&lt;$M$2,N(对接源_02物料!$B864)&gt;$M$3),0,1))</f>
        <v>0</v>
      </c>
      <c r="N2064">
        <f>IF(OR($N$1="",对接源_02物料!$C864="",对接源_02物料!$C864&lt;&gt;$N$1,对接源_02物料!$B864=""),0,IF(OR(N(对接源_02物料!$B864)&lt;$N$2,N(对接源_02物料!$B864)&gt;$N$3),0,1))</f>
        <v>0</v>
      </c>
      <c r="P2064">
        <f>IF(AND($K2064=1,AND(对接源_02物料!$X864="公司筐",N(对接源_02物料!$T864)&lt;&gt;0)),1,0)</f>
        <v>0</v>
      </c>
      <c r="Q2064">
        <f>N(Q2063)+$P2064</f>
        <v>14</v>
      </c>
      <c r="R2064">
        <f>IF(AND($K2064=1,AND(对接源_02物料!$X864="公司筐",N(对接源_02物料!$U864)&lt;&gt;0)),1,0)</f>
        <v>0</v>
      </c>
      <c r="S2064">
        <f>N(S2063)+$R2064</f>
        <v>1</v>
      </c>
      <c r="T2064">
        <f>IF(AND($K2064=1,AND(对接源_02物料!$X864="公司筐",N(对接源_02物料!$V864)&lt;&gt;0)),1,0)</f>
        <v>0</v>
      </c>
      <c r="U2064">
        <f>N(U2063)+$T2064</f>
        <v>47</v>
      </c>
      <c r="V2064">
        <f>IF(AND($L2064=1,AND(对接源_02物料!$X864="自备筐",N(对接源_02物料!$V864)&lt;&gt;0)),1,0)</f>
        <v>0</v>
      </c>
      <c r="W2064">
        <f>N(W2063)+$V2064</f>
        <v>11</v>
      </c>
      <c r="X2064">
        <f>IF(AND($L2064=1,AND(对接源_02物料!$X864="自备筐",N(对接源_02物料!$T864)&lt;&gt;0)),1,0)</f>
        <v>0</v>
      </c>
      <c r="Y2064">
        <f>N(Y2063)+$X2064</f>
        <v>0</v>
      </c>
      <c r="Z2064">
        <f>IF(AND($M2064=1,对接源_02物料!$D864="原料入库"),1,0)</f>
        <v>0</v>
      </c>
      <c r="AA2064">
        <f>N(AA2063)+$Z2064</f>
        <v>24</v>
      </c>
      <c r="AB2064">
        <f>IF(AND($M2064=1,LEFT(对接源_02物料!$D864,4)="原料出库"),1,0)</f>
        <v>0</v>
      </c>
      <c r="AC2064">
        <f>N(AC2063)+$AB2064</f>
        <v>0</v>
      </c>
      <c r="AD2064">
        <f>IF(AND($M2064=1,LEFT(对接源_02物料!$D864,4)="成品出库"),1,0)</f>
        <v>0</v>
      </c>
      <c r="AE2064">
        <f>N(AE2063)+$AD2064</f>
        <v>0</v>
      </c>
      <c r="AF2064">
        <f>IF(AND($N2064=1,AND(LEFT(对接源_02物料!$D864,4)="包装物料",N(对接源_02物料!$K864)&lt;&gt;0)),1,0)</f>
        <v>0</v>
      </c>
      <c r="AG2064">
        <f>N(AG2063)+$AF2064</f>
        <v>10</v>
      </c>
      <c r="AH2064">
        <f>IF(AND($N2064=1,AND(对接源_02物料!$D864="周转筐－销售出库",N(对接源_02物料!$K864)&lt;&gt;0)),1,0)</f>
        <v>0</v>
      </c>
      <c r="AI2064">
        <f>N(AI2063)+$AH2064</f>
        <v>0</v>
      </c>
      <c r="AL2064" t="n">
        <v>0</v>
      </c>
      <c r="AM2064">
        <f>N(AM2063)+$AL2064</f>
        <v>2</v>
      </c>
      <c r="AN2064">
        <f>""</f>
      </c>
      <c r="AO2064" t="n">
        <v>0</v>
      </c>
      <c r="AP2064">
        <f>N(AP2063)+$AO2064</f>
        <v>13</v>
      </c>
      <c r="AR2064">
        <f>IF(OR($AF2064=1,$AH2064=1),1,0)</f>
        <v>0</v>
      </c>
      <c r="AS2064">
        <f>N(AS2063)+$AR2064</f>
        <v>10</v>
      </c>
    </row>
    <row r="2065" s="127">
      <c r="A2065">
        <f>IF(对接源_02物料!$C865="","",对接源_02物料!$C865)</f>
      </c>
      <c r="B2065">
        <f>IF(A2065="",0,IF(MATCH(A2065,$A$4:$A$2403,0)=ROW()-3,1,0))</f>
        <v>0</v>
      </c>
      <c r="C2065">
        <f>N(C2064)+B2065</f>
        <v>26</v>
      </c>
      <c r="K2065">
        <f>IF(OR($K$1="",对接源_02物料!$C865="",对接源_02物料!$C865&lt;&gt;$K$1,对接源_02物料!$B865=""),0,IF(OR(N(对接源_02物料!$B865)&lt;$K$2,N(对接源_02物料!$B865)&gt;$K$3),0,1))</f>
        <v>0</v>
      </c>
      <c r="L2065">
        <f>IF(OR($L$1="",对接源_02物料!$C865="",对接源_02物料!$C865&lt;&gt;$L$1,对接源_02物料!$B865=""),0,IF(OR(N(对接源_02物料!$B865)&lt;$L$2,N(对接源_02物料!$B865)&gt;$L$3),0,1))</f>
        <v>0</v>
      </c>
      <c r="M2065">
        <f>IF(OR($M$1="",对接源_02物料!$C865="",对接源_02物料!$C865&lt;&gt;$M$1,对接源_02物料!$B865=""),0,IF(OR(N(对接源_02物料!$B865)&lt;$M$2,N(对接源_02物料!$B865)&gt;$M$3),0,1))</f>
        <v>0</v>
      </c>
      <c r="N2065">
        <f>IF(OR($N$1="",对接源_02物料!$C865="",对接源_02物料!$C865&lt;&gt;$N$1,对接源_02物料!$B865=""),0,IF(OR(N(对接源_02物料!$B865)&lt;$N$2,N(对接源_02物料!$B865)&gt;$N$3),0,1))</f>
        <v>0</v>
      </c>
      <c r="P2065">
        <f>IF(AND($K2065=1,AND(对接源_02物料!$X865="公司筐",N(对接源_02物料!$T865)&lt;&gt;0)),1,0)</f>
        <v>0</v>
      </c>
      <c r="Q2065">
        <f>N(Q2064)+$P2065</f>
        <v>14</v>
      </c>
      <c r="R2065">
        <f>IF(AND($K2065=1,AND(对接源_02物料!$X865="公司筐",N(对接源_02物料!$U865)&lt;&gt;0)),1,0)</f>
        <v>0</v>
      </c>
      <c r="S2065">
        <f>N(S2064)+$R2065</f>
        <v>1</v>
      </c>
      <c r="T2065">
        <f>IF(AND($K2065=1,AND(对接源_02物料!$X865="公司筐",N(对接源_02物料!$V865)&lt;&gt;0)),1,0)</f>
        <v>0</v>
      </c>
      <c r="U2065">
        <f>N(U2064)+$T2065</f>
        <v>47</v>
      </c>
      <c r="V2065">
        <f>IF(AND($L2065=1,AND(对接源_02物料!$X865="自备筐",N(对接源_02物料!$V865)&lt;&gt;0)),1,0)</f>
        <v>0</v>
      </c>
      <c r="W2065">
        <f>N(W2064)+$V2065</f>
        <v>11</v>
      </c>
      <c r="X2065">
        <f>IF(AND($L2065=1,AND(对接源_02物料!$X865="自备筐",N(对接源_02物料!$T865)&lt;&gt;0)),1,0)</f>
        <v>0</v>
      </c>
      <c r="Y2065">
        <f>N(Y2064)+$X2065</f>
        <v>0</v>
      </c>
      <c r="Z2065">
        <f>IF(AND($M2065=1,对接源_02物料!$D865="原料入库"),1,0)</f>
        <v>0</v>
      </c>
      <c r="AA2065">
        <f>N(AA2064)+$Z2065</f>
        <v>24</v>
      </c>
      <c r="AB2065">
        <f>IF(AND($M2065=1,LEFT(对接源_02物料!$D865,4)="原料出库"),1,0)</f>
        <v>0</v>
      </c>
      <c r="AC2065">
        <f>N(AC2064)+$AB2065</f>
        <v>0</v>
      </c>
      <c r="AD2065">
        <f>IF(AND($M2065=1,LEFT(对接源_02物料!$D865,4)="成品出库"),1,0)</f>
        <v>0</v>
      </c>
      <c r="AE2065">
        <f>N(AE2064)+$AD2065</f>
        <v>0</v>
      </c>
      <c r="AF2065">
        <f>IF(AND($N2065=1,AND(LEFT(对接源_02物料!$D865,4)="包装物料",N(对接源_02物料!$K865)&lt;&gt;0)),1,0)</f>
        <v>0</v>
      </c>
      <c r="AG2065">
        <f>N(AG2064)+$AF2065</f>
        <v>10</v>
      </c>
      <c r="AH2065">
        <f>IF(AND($N2065=1,AND(对接源_02物料!$D865="周转筐－销售出库",N(对接源_02物料!$K865)&lt;&gt;0)),1,0)</f>
        <v>0</v>
      </c>
      <c r="AI2065">
        <f>N(AI2064)+$AH2065</f>
        <v>0</v>
      </c>
      <c r="AL2065" t="n">
        <v>0</v>
      </c>
      <c r="AM2065">
        <f>N(AM2064)+$AL2065</f>
        <v>2</v>
      </c>
      <c r="AN2065">
        <f>""</f>
      </c>
      <c r="AO2065" t="n">
        <v>0</v>
      </c>
      <c r="AP2065">
        <f>N(AP2064)+$AO2065</f>
        <v>13</v>
      </c>
      <c r="AR2065">
        <f>IF(OR($AF2065=1,$AH2065=1),1,0)</f>
        <v>0</v>
      </c>
      <c r="AS2065">
        <f>N(AS2064)+$AR2065</f>
        <v>10</v>
      </c>
    </row>
    <row r="2066" s="127">
      <c r="A2066">
        <f>IF(对接源_02物料!$C866="","",对接源_02物料!$C866)</f>
      </c>
      <c r="B2066">
        <f>IF(A2066="",0,IF(MATCH(A2066,$A$4:$A$2403,0)=ROW()-3,1,0))</f>
        <v>0</v>
      </c>
      <c r="C2066">
        <f>N(C2065)+B2066</f>
        <v>26</v>
      </c>
      <c r="K2066">
        <f>IF(OR($K$1="",对接源_02物料!$C866="",对接源_02物料!$C866&lt;&gt;$K$1,对接源_02物料!$B866=""),0,IF(OR(N(对接源_02物料!$B866)&lt;$K$2,N(对接源_02物料!$B866)&gt;$K$3),0,1))</f>
        <v>0</v>
      </c>
      <c r="L2066">
        <f>IF(OR($L$1="",对接源_02物料!$C866="",对接源_02物料!$C866&lt;&gt;$L$1,对接源_02物料!$B866=""),0,IF(OR(N(对接源_02物料!$B866)&lt;$L$2,N(对接源_02物料!$B866)&gt;$L$3),0,1))</f>
        <v>0</v>
      </c>
      <c r="M2066">
        <f>IF(OR($M$1="",对接源_02物料!$C866="",对接源_02物料!$C866&lt;&gt;$M$1,对接源_02物料!$B866=""),0,IF(OR(N(对接源_02物料!$B866)&lt;$M$2,N(对接源_02物料!$B866)&gt;$M$3),0,1))</f>
        <v>0</v>
      </c>
      <c r="N2066">
        <f>IF(OR($N$1="",对接源_02物料!$C866="",对接源_02物料!$C866&lt;&gt;$N$1,对接源_02物料!$B866=""),0,IF(OR(N(对接源_02物料!$B866)&lt;$N$2,N(对接源_02物料!$B866)&gt;$N$3),0,1))</f>
        <v>0</v>
      </c>
      <c r="P2066">
        <f>IF(AND($K2066=1,AND(对接源_02物料!$X866="公司筐",N(对接源_02物料!$T866)&lt;&gt;0)),1,0)</f>
        <v>0</v>
      </c>
      <c r="Q2066">
        <f>N(Q2065)+$P2066</f>
        <v>14</v>
      </c>
      <c r="R2066">
        <f>IF(AND($K2066=1,AND(对接源_02物料!$X866="公司筐",N(对接源_02物料!$U866)&lt;&gt;0)),1,0)</f>
        <v>0</v>
      </c>
      <c r="S2066">
        <f>N(S2065)+$R2066</f>
        <v>1</v>
      </c>
      <c r="T2066">
        <f>IF(AND($K2066=1,AND(对接源_02物料!$X866="公司筐",N(对接源_02物料!$V866)&lt;&gt;0)),1,0)</f>
        <v>0</v>
      </c>
      <c r="U2066">
        <f>N(U2065)+$T2066</f>
        <v>47</v>
      </c>
      <c r="V2066">
        <f>IF(AND($L2066=1,AND(对接源_02物料!$X866="自备筐",N(对接源_02物料!$V866)&lt;&gt;0)),1,0)</f>
        <v>0</v>
      </c>
      <c r="W2066">
        <f>N(W2065)+$V2066</f>
        <v>11</v>
      </c>
      <c r="X2066">
        <f>IF(AND($L2066=1,AND(对接源_02物料!$X866="自备筐",N(对接源_02物料!$T866)&lt;&gt;0)),1,0)</f>
        <v>0</v>
      </c>
      <c r="Y2066">
        <f>N(Y2065)+$X2066</f>
        <v>0</v>
      </c>
      <c r="Z2066">
        <f>IF(AND($M2066=1,对接源_02物料!$D866="原料入库"),1,0)</f>
        <v>0</v>
      </c>
      <c r="AA2066">
        <f>N(AA2065)+$Z2066</f>
        <v>24</v>
      </c>
      <c r="AB2066">
        <f>IF(AND($M2066=1,LEFT(对接源_02物料!$D866,4)="原料出库"),1,0)</f>
        <v>0</v>
      </c>
      <c r="AC2066">
        <f>N(AC2065)+$AB2066</f>
        <v>0</v>
      </c>
      <c r="AD2066">
        <f>IF(AND($M2066=1,LEFT(对接源_02物料!$D866,4)="成品出库"),1,0)</f>
        <v>0</v>
      </c>
      <c r="AE2066">
        <f>N(AE2065)+$AD2066</f>
        <v>0</v>
      </c>
      <c r="AF2066">
        <f>IF(AND($N2066=1,AND(LEFT(对接源_02物料!$D866,4)="包装物料",N(对接源_02物料!$K866)&lt;&gt;0)),1,0)</f>
        <v>0</v>
      </c>
      <c r="AG2066">
        <f>N(AG2065)+$AF2066</f>
        <v>10</v>
      </c>
      <c r="AH2066">
        <f>IF(AND($N2066=1,AND(对接源_02物料!$D866="周转筐－销售出库",N(对接源_02物料!$K866)&lt;&gt;0)),1,0)</f>
        <v>0</v>
      </c>
      <c r="AI2066">
        <f>N(AI2065)+$AH2066</f>
        <v>0</v>
      </c>
      <c r="AL2066" t="n">
        <v>0</v>
      </c>
      <c r="AM2066">
        <f>N(AM2065)+$AL2066</f>
        <v>2</v>
      </c>
      <c r="AN2066">
        <f>""</f>
      </c>
      <c r="AO2066" t="n">
        <v>0</v>
      </c>
      <c r="AP2066">
        <f>N(AP2065)+$AO2066</f>
        <v>13</v>
      </c>
      <c r="AR2066">
        <f>IF(OR($AF2066=1,$AH2066=1),1,0)</f>
        <v>0</v>
      </c>
      <c r="AS2066">
        <f>N(AS2065)+$AR2066</f>
        <v>10</v>
      </c>
    </row>
    <row r="2067" s="127">
      <c r="A2067">
        <f>IF(对接源_02物料!$C867="","",对接源_02物料!$C867)</f>
      </c>
      <c r="B2067">
        <f>IF(A2067="",0,IF(MATCH(A2067,$A$4:$A$2403,0)=ROW()-3,1,0))</f>
        <v>0</v>
      </c>
      <c r="C2067">
        <f>N(C2066)+B2067</f>
        <v>26</v>
      </c>
      <c r="K2067">
        <f>IF(OR($K$1="",对接源_02物料!$C867="",对接源_02物料!$C867&lt;&gt;$K$1,对接源_02物料!$B867=""),0,IF(OR(N(对接源_02物料!$B867)&lt;$K$2,N(对接源_02物料!$B867)&gt;$K$3),0,1))</f>
        <v>0</v>
      </c>
      <c r="L2067">
        <f>IF(OR($L$1="",对接源_02物料!$C867="",对接源_02物料!$C867&lt;&gt;$L$1,对接源_02物料!$B867=""),0,IF(OR(N(对接源_02物料!$B867)&lt;$L$2,N(对接源_02物料!$B867)&gt;$L$3),0,1))</f>
        <v>0</v>
      </c>
      <c r="M2067">
        <f>IF(OR($M$1="",对接源_02物料!$C867="",对接源_02物料!$C867&lt;&gt;$M$1,对接源_02物料!$B867=""),0,IF(OR(N(对接源_02物料!$B867)&lt;$M$2,N(对接源_02物料!$B867)&gt;$M$3),0,1))</f>
        <v>0</v>
      </c>
      <c r="N2067">
        <f>IF(OR($N$1="",对接源_02物料!$C867="",对接源_02物料!$C867&lt;&gt;$N$1,对接源_02物料!$B867=""),0,IF(OR(N(对接源_02物料!$B867)&lt;$N$2,N(对接源_02物料!$B867)&gt;$N$3),0,1))</f>
        <v>0</v>
      </c>
      <c r="P2067">
        <f>IF(AND($K2067=1,AND(对接源_02物料!$X867="公司筐",N(对接源_02物料!$T867)&lt;&gt;0)),1,0)</f>
        <v>0</v>
      </c>
      <c r="Q2067">
        <f>N(Q2066)+$P2067</f>
        <v>14</v>
      </c>
      <c r="R2067">
        <f>IF(AND($K2067=1,AND(对接源_02物料!$X867="公司筐",N(对接源_02物料!$U867)&lt;&gt;0)),1,0)</f>
        <v>0</v>
      </c>
      <c r="S2067">
        <f>N(S2066)+$R2067</f>
        <v>1</v>
      </c>
      <c r="T2067">
        <f>IF(AND($K2067=1,AND(对接源_02物料!$X867="公司筐",N(对接源_02物料!$V867)&lt;&gt;0)),1,0)</f>
        <v>0</v>
      </c>
      <c r="U2067">
        <f>N(U2066)+$T2067</f>
        <v>47</v>
      </c>
      <c r="V2067">
        <f>IF(AND($L2067=1,AND(对接源_02物料!$X867="自备筐",N(对接源_02物料!$V867)&lt;&gt;0)),1,0)</f>
        <v>0</v>
      </c>
      <c r="W2067">
        <f>N(W2066)+$V2067</f>
        <v>11</v>
      </c>
      <c r="X2067">
        <f>IF(AND($L2067=1,AND(对接源_02物料!$X867="自备筐",N(对接源_02物料!$T867)&lt;&gt;0)),1,0)</f>
        <v>0</v>
      </c>
      <c r="Y2067">
        <f>N(Y2066)+$X2067</f>
        <v>0</v>
      </c>
      <c r="Z2067">
        <f>IF(AND($M2067=1,对接源_02物料!$D867="原料入库"),1,0)</f>
        <v>0</v>
      </c>
      <c r="AA2067">
        <f>N(AA2066)+$Z2067</f>
        <v>24</v>
      </c>
      <c r="AB2067">
        <f>IF(AND($M2067=1,LEFT(对接源_02物料!$D867,4)="原料出库"),1,0)</f>
        <v>0</v>
      </c>
      <c r="AC2067">
        <f>N(AC2066)+$AB2067</f>
        <v>0</v>
      </c>
      <c r="AD2067">
        <f>IF(AND($M2067=1,LEFT(对接源_02物料!$D867,4)="成品出库"),1,0)</f>
        <v>0</v>
      </c>
      <c r="AE2067">
        <f>N(AE2066)+$AD2067</f>
        <v>0</v>
      </c>
      <c r="AF2067">
        <f>IF(AND($N2067=1,AND(LEFT(对接源_02物料!$D867,4)="包装物料",N(对接源_02物料!$K867)&lt;&gt;0)),1,0)</f>
        <v>0</v>
      </c>
      <c r="AG2067">
        <f>N(AG2066)+$AF2067</f>
        <v>10</v>
      </c>
      <c r="AH2067">
        <f>IF(AND($N2067=1,AND(对接源_02物料!$D867="周转筐－销售出库",N(对接源_02物料!$K867)&lt;&gt;0)),1,0)</f>
        <v>0</v>
      </c>
      <c r="AI2067">
        <f>N(AI2066)+$AH2067</f>
        <v>0</v>
      </c>
      <c r="AL2067" t="n">
        <v>0</v>
      </c>
      <c r="AM2067">
        <f>N(AM2066)+$AL2067</f>
        <v>2</v>
      </c>
      <c r="AN2067">
        <f>""</f>
      </c>
      <c r="AO2067" t="n">
        <v>0</v>
      </c>
      <c r="AP2067">
        <f>N(AP2066)+$AO2067</f>
        <v>13</v>
      </c>
      <c r="AR2067">
        <f>IF(OR($AF2067=1,$AH2067=1),1,0)</f>
        <v>0</v>
      </c>
      <c r="AS2067">
        <f>N(AS2066)+$AR2067</f>
        <v>10</v>
      </c>
    </row>
    <row r="2068" s="127">
      <c r="A2068">
        <f>IF(对接源_02物料!$C868="","",对接源_02物料!$C868)</f>
      </c>
      <c r="B2068">
        <f>IF(A2068="",0,IF(MATCH(A2068,$A$4:$A$2403,0)=ROW()-3,1,0))</f>
        <v>0</v>
      </c>
      <c r="C2068">
        <f>N(C2067)+B2068</f>
        <v>26</v>
      </c>
      <c r="K2068">
        <f>IF(OR($K$1="",对接源_02物料!$C868="",对接源_02物料!$C868&lt;&gt;$K$1,对接源_02物料!$B868=""),0,IF(OR(N(对接源_02物料!$B868)&lt;$K$2,N(对接源_02物料!$B868)&gt;$K$3),0,1))</f>
        <v>0</v>
      </c>
      <c r="L2068">
        <f>IF(OR($L$1="",对接源_02物料!$C868="",对接源_02物料!$C868&lt;&gt;$L$1,对接源_02物料!$B868=""),0,IF(OR(N(对接源_02物料!$B868)&lt;$L$2,N(对接源_02物料!$B868)&gt;$L$3),0,1))</f>
        <v>0</v>
      </c>
      <c r="M2068">
        <f>IF(OR($M$1="",对接源_02物料!$C868="",对接源_02物料!$C868&lt;&gt;$M$1,对接源_02物料!$B868=""),0,IF(OR(N(对接源_02物料!$B868)&lt;$M$2,N(对接源_02物料!$B868)&gt;$M$3),0,1))</f>
        <v>0</v>
      </c>
      <c r="N2068">
        <f>IF(OR($N$1="",对接源_02物料!$C868="",对接源_02物料!$C868&lt;&gt;$N$1,对接源_02物料!$B868=""),0,IF(OR(N(对接源_02物料!$B868)&lt;$N$2,N(对接源_02物料!$B868)&gt;$N$3),0,1))</f>
        <v>0</v>
      </c>
      <c r="P2068">
        <f>IF(AND($K2068=1,AND(对接源_02物料!$X868="公司筐",N(对接源_02物料!$T868)&lt;&gt;0)),1,0)</f>
        <v>0</v>
      </c>
      <c r="Q2068">
        <f>N(Q2067)+$P2068</f>
        <v>14</v>
      </c>
      <c r="R2068">
        <f>IF(AND($K2068=1,AND(对接源_02物料!$X868="公司筐",N(对接源_02物料!$U868)&lt;&gt;0)),1,0)</f>
        <v>0</v>
      </c>
      <c r="S2068">
        <f>N(S2067)+$R2068</f>
        <v>1</v>
      </c>
      <c r="T2068">
        <f>IF(AND($K2068=1,AND(对接源_02物料!$X868="公司筐",N(对接源_02物料!$V868)&lt;&gt;0)),1,0)</f>
        <v>0</v>
      </c>
      <c r="U2068">
        <f>N(U2067)+$T2068</f>
        <v>47</v>
      </c>
      <c r="V2068">
        <f>IF(AND($L2068=1,AND(对接源_02物料!$X868="自备筐",N(对接源_02物料!$V868)&lt;&gt;0)),1,0)</f>
        <v>0</v>
      </c>
      <c r="W2068">
        <f>N(W2067)+$V2068</f>
        <v>11</v>
      </c>
      <c r="X2068">
        <f>IF(AND($L2068=1,AND(对接源_02物料!$X868="自备筐",N(对接源_02物料!$T868)&lt;&gt;0)),1,0)</f>
        <v>0</v>
      </c>
      <c r="Y2068">
        <f>N(Y2067)+$X2068</f>
        <v>0</v>
      </c>
      <c r="Z2068">
        <f>IF(AND($M2068=1,对接源_02物料!$D868="原料入库"),1,0)</f>
        <v>0</v>
      </c>
      <c r="AA2068">
        <f>N(AA2067)+$Z2068</f>
        <v>24</v>
      </c>
      <c r="AB2068">
        <f>IF(AND($M2068=1,LEFT(对接源_02物料!$D868,4)="原料出库"),1,0)</f>
        <v>0</v>
      </c>
      <c r="AC2068">
        <f>N(AC2067)+$AB2068</f>
        <v>0</v>
      </c>
      <c r="AD2068">
        <f>IF(AND($M2068=1,LEFT(对接源_02物料!$D868,4)="成品出库"),1,0)</f>
        <v>0</v>
      </c>
      <c r="AE2068">
        <f>N(AE2067)+$AD2068</f>
        <v>0</v>
      </c>
      <c r="AF2068">
        <f>IF(AND($N2068=1,AND(LEFT(对接源_02物料!$D868,4)="包装物料",N(对接源_02物料!$K868)&lt;&gt;0)),1,0)</f>
        <v>0</v>
      </c>
      <c r="AG2068">
        <f>N(AG2067)+$AF2068</f>
        <v>10</v>
      </c>
      <c r="AH2068">
        <f>IF(AND($N2068=1,AND(对接源_02物料!$D868="周转筐－销售出库",N(对接源_02物料!$K868)&lt;&gt;0)),1,0)</f>
        <v>0</v>
      </c>
      <c r="AI2068">
        <f>N(AI2067)+$AH2068</f>
        <v>0</v>
      </c>
      <c r="AL2068" t="n">
        <v>0</v>
      </c>
      <c r="AM2068">
        <f>N(AM2067)+$AL2068</f>
        <v>2</v>
      </c>
      <c r="AN2068">
        <f>""</f>
      </c>
      <c r="AO2068" t="n">
        <v>0</v>
      </c>
      <c r="AP2068">
        <f>N(AP2067)+$AO2068</f>
        <v>13</v>
      </c>
      <c r="AR2068">
        <f>IF(OR($AF2068=1,$AH2068=1),1,0)</f>
        <v>0</v>
      </c>
      <c r="AS2068">
        <f>N(AS2067)+$AR2068</f>
        <v>10</v>
      </c>
    </row>
    <row r="2069" s="127">
      <c r="A2069">
        <f>IF(对接源_02物料!$C869="","",对接源_02物料!$C869)</f>
      </c>
      <c r="B2069">
        <f>IF(A2069="",0,IF(MATCH(A2069,$A$4:$A$2403,0)=ROW()-3,1,0))</f>
        <v>0</v>
      </c>
      <c r="C2069">
        <f>N(C2068)+B2069</f>
        <v>26</v>
      </c>
      <c r="K2069">
        <f>IF(OR($K$1="",对接源_02物料!$C869="",对接源_02物料!$C869&lt;&gt;$K$1,对接源_02物料!$B869=""),0,IF(OR(N(对接源_02物料!$B869)&lt;$K$2,N(对接源_02物料!$B869)&gt;$K$3),0,1))</f>
        <v>0</v>
      </c>
      <c r="L2069">
        <f>IF(OR($L$1="",对接源_02物料!$C869="",对接源_02物料!$C869&lt;&gt;$L$1,对接源_02物料!$B869=""),0,IF(OR(N(对接源_02物料!$B869)&lt;$L$2,N(对接源_02物料!$B869)&gt;$L$3),0,1))</f>
        <v>0</v>
      </c>
      <c r="M2069">
        <f>IF(OR($M$1="",对接源_02物料!$C869="",对接源_02物料!$C869&lt;&gt;$M$1,对接源_02物料!$B869=""),0,IF(OR(N(对接源_02物料!$B869)&lt;$M$2,N(对接源_02物料!$B869)&gt;$M$3),0,1))</f>
        <v>0</v>
      </c>
      <c r="N2069">
        <f>IF(OR($N$1="",对接源_02物料!$C869="",对接源_02物料!$C869&lt;&gt;$N$1,对接源_02物料!$B869=""),0,IF(OR(N(对接源_02物料!$B869)&lt;$N$2,N(对接源_02物料!$B869)&gt;$N$3),0,1))</f>
        <v>0</v>
      </c>
      <c r="P2069">
        <f>IF(AND($K2069=1,AND(对接源_02物料!$X869="公司筐",N(对接源_02物料!$T869)&lt;&gt;0)),1,0)</f>
        <v>0</v>
      </c>
      <c r="Q2069">
        <f>N(Q2068)+$P2069</f>
        <v>14</v>
      </c>
      <c r="R2069">
        <f>IF(AND($K2069=1,AND(对接源_02物料!$X869="公司筐",N(对接源_02物料!$U869)&lt;&gt;0)),1,0)</f>
        <v>0</v>
      </c>
      <c r="S2069">
        <f>N(S2068)+$R2069</f>
        <v>1</v>
      </c>
      <c r="T2069">
        <f>IF(AND($K2069=1,AND(对接源_02物料!$X869="公司筐",N(对接源_02物料!$V869)&lt;&gt;0)),1,0)</f>
        <v>0</v>
      </c>
      <c r="U2069">
        <f>N(U2068)+$T2069</f>
        <v>47</v>
      </c>
      <c r="V2069">
        <f>IF(AND($L2069=1,AND(对接源_02物料!$X869="自备筐",N(对接源_02物料!$V869)&lt;&gt;0)),1,0)</f>
        <v>0</v>
      </c>
      <c r="W2069">
        <f>N(W2068)+$V2069</f>
        <v>11</v>
      </c>
      <c r="X2069">
        <f>IF(AND($L2069=1,AND(对接源_02物料!$X869="自备筐",N(对接源_02物料!$T869)&lt;&gt;0)),1,0)</f>
        <v>0</v>
      </c>
      <c r="Y2069">
        <f>N(Y2068)+$X2069</f>
        <v>0</v>
      </c>
      <c r="Z2069">
        <f>IF(AND($M2069=1,对接源_02物料!$D869="原料入库"),1,0)</f>
        <v>0</v>
      </c>
      <c r="AA2069">
        <f>N(AA2068)+$Z2069</f>
        <v>24</v>
      </c>
      <c r="AB2069">
        <f>IF(AND($M2069=1,LEFT(对接源_02物料!$D869,4)="原料出库"),1,0)</f>
        <v>0</v>
      </c>
      <c r="AC2069">
        <f>N(AC2068)+$AB2069</f>
        <v>0</v>
      </c>
      <c r="AD2069">
        <f>IF(AND($M2069=1,LEFT(对接源_02物料!$D869,4)="成品出库"),1,0)</f>
        <v>0</v>
      </c>
      <c r="AE2069">
        <f>N(AE2068)+$AD2069</f>
        <v>0</v>
      </c>
      <c r="AF2069">
        <f>IF(AND($N2069=1,AND(LEFT(对接源_02物料!$D869,4)="包装物料",N(对接源_02物料!$K869)&lt;&gt;0)),1,0)</f>
        <v>0</v>
      </c>
      <c r="AG2069">
        <f>N(AG2068)+$AF2069</f>
        <v>10</v>
      </c>
      <c r="AH2069">
        <f>IF(AND($N2069=1,AND(对接源_02物料!$D869="周转筐－销售出库",N(对接源_02物料!$K869)&lt;&gt;0)),1,0)</f>
        <v>0</v>
      </c>
      <c r="AI2069">
        <f>N(AI2068)+$AH2069</f>
        <v>0</v>
      </c>
      <c r="AL2069" t="n">
        <v>0</v>
      </c>
      <c r="AM2069">
        <f>N(AM2068)+$AL2069</f>
        <v>2</v>
      </c>
      <c r="AN2069">
        <f>""</f>
      </c>
      <c r="AO2069" t="n">
        <v>0</v>
      </c>
      <c r="AP2069">
        <f>N(AP2068)+$AO2069</f>
        <v>13</v>
      </c>
      <c r="AR2069">
        <f>IF(OR($AF2069=1,$AH2069=1),1,0)</f>
        <v>0</v>
      </c>
      <c r="AS2069">
        <f>N(AS2068)+$AR2069</f>
        <v>10</v>
      </c>
    </row>
    <row r="2070" s="127">
      <c r="A2070">
        <f>IF(对接源_02物料!$C870="","",对接源_02物料!$C870)</f>
      </c>
      <c r="B2070">
        <f>IF(A2070="",0,IF(MATCH(A2070,$A$4:$A$2403,0)=ROW()-3,1,0))</f>
        <v>0</v>
      </c>
      <c r="C2070">
        <f>N(C2069)+B2070</f>
        <v>26</v>
      </c>
      <c r="K2070">
        <f>IF(OR($K$1="",对接源_02物料!$C870="",对接源_02物料!$C870&lt;&gt;$K$1,对接源_02物料!$B870=""),0,IF(OR(N(对接源_02物料!$B870)&lt;$K$2,N(对接源_02物料!$B870)&gt;$K$3),0,1))</f>
        <v>0</v>
      </c>
      <c r="L2070">
        <f>IF(OR($L$1="",对接源_02物料!$C870="",对接源_02物料!$C870&lt;&gt;$L$1,对接源_02物料!$B870=""),0,IF(OR(N(对接源_02物料!$B870)&lt;$L$2,N(对接源_02物料!$B870)&gt;$L$3),0,1))</f>
        <v>0</v>
      </c>
      <c r="M2070">
        <f>IF(OR($M$1="",对接源_02物料!$C870="",对接源_02物料!$C870&lt;&gt;$M$1,对接源_02物料!$B870=""),0,IF(OR(N(对接源_02物料!$B870)&lt;$M$2,N(对接源_02物料!$B870)&gt;$M$3),0,1))</f>
        <v>0</v>
      </c>
      <c r="N2070">
        <f>IF(OR($N$1="",对接源_02物料!$C870="",对接源_02物料!$C870&lt;&gt;$N$1,对接源_02物料!$B870=""),0,IF(OR(N(对接源_02物料!$B870)&lt;$N$2,N(对接源_02物料!$B870)&gt;$N$3),0,1))</f>
        <v>0</v>
      </c>
      <c r="P2070">
        <f>IF(AND($K2070=1,AND(对接源_02物料!$X870="公司筐",N(对接源_02物料!$T870)&lt;&gt;0)),1,0)</f>
        <v>0</v>
      </c>
      <c r="Q2070">
        <f>N(Q2069)+$P2070</f>
        <v>14</v>
      </c>
      <c r="R2070">
        <f>IF(AND($K2070=1,AND(对接源_02物料!$X870="公司筐",N(对接源_02物料!$U870)&lt;&gt;0)),1,0)</f>
        <v>0</v>
      </c>
      <c r="S2070">
        <f>N(S2069)+$R2070</f>
        <v>1</v>
      </c>
      <c r="T2070">
        <f>IF(AND($K2070=1,AND(对接源_02物料!$X870="公司筐",N(对接源_02物料!$V870)&lt;&gt;0)),1,0)</f>
        <v>0</v>
      </c>
      <c r="U2070">
        <f>N(U2069)+$T2070</f>
        <v>47</v>
      </c>
      <c r="V2070">
        <f>IF(AND($L2070=1,AND(对接源_02物料!$X870="自备筐",N(对接源_02物料!$V870)&lt;&gt;0)),1,0)</f>
        <v>0</v>
      </c>
      <c r="W2070">
        <f>N(W2069)+$V2070</f>
        <v>11</v>
      </c>
      <c r="X2070">
        <f>IF(AND($L2070=1,AND(对接源_02物料!$X870="自备筐",N(对接源_02物料!$T870)&lt;&gt;0)),1,0)</f>
        <v>0</v>
      </c>
      <c r="Y2070">
        <f>N(Y2069)+$X2070</f>
        <v>0</v>
      </c>
      <c r="Z2070">
        <f>IF(AND($M2070=1,对接源_02物料!$D870="原料入库"),1,0)</f>
        <v>0</v>
      </c>
      <c r="AA2070">
        <f>N(AA2069)+$Z2070</f>
        <v>24</v>
      </c>
      <c r="AB2070">
        <f>IF(AND($M2070=1,LEFT(对接源_02物料!$D870,4)="原料出库"),1,0)</f>
        <v>0</v>
      </c>
      <c r="AC2070">
        <f>N(AC2069)+$AB2070</f>
        <v>0</v>
      </c>
      <c r="AD2070">
        <f>IF(AND($M2070=1,LEFT(对接源_02物料!$D870,4)="成品出库"),1,0)</f>
        <v>0</v>
      </c>
      <c r="AE2070">
        <f>N(AE2069)+$AD2070</f>
        <v>0</v>
      </c>
      <c r="AF2070">
        <f>IF(AND($N2070=1,AND(LEFT(对接源_02物料!$D870,4)="包装物料",N(对接源_02物料!$K870)&lt;&gt;0)),1,0)</f>
        <v>0</v>
      </c>
      <c r="AG2070">
        <f>N(AG2069)+$AF2070</f>
        <v>10</v>
      </c>
      <c r="AH2070">
        <f>IF(AND($N2070=1,AND(对接源_02物料!$D870="周转筐－销售出库",N(对接源_02物料!$K870)&lt;&gt;0)),1,0)</f>
        <v>0</v>
      </c>
      <c r="AI2070">
        <f>N(AI2069)+$AH2070</f>
        <v>0</v>
      </c>
      <c r="AL2070" t="n">
        <v>0</v>
      </c>
      <c r="AM2070">
        <f>N(AM2069)+$AL2070</f>
        <v>2</v>
      </c>
      <c r="AN2070">
        <f>""</f>
      </c>
      <c r="AO2070" t="n">
        <v>0</v>
      </c>
      <c r="AP2070">
        <f>N(AP2069)+$AO2070</f>
        <v>13</v>
      </c>
      <c r="AR2070">
        <f>IF(OR($AF2070=1,$AH2070=1),1,0)</f>
        <v>0</v>
      </c>
      <c r="AS2070">
        <f>N(AS2069)+$AR2070</f>
        <v>10</v>
      </c>
    </row>
    <row r="2071" s="127">
      <c r="A2071">
        <f>IF(对接源_02物料!$C871="","",对接源_02物料!$C871)</f>
      </c>
      <c r="B2071">
        <f>IF(A2071="",0,IF(MATCH(A2071,$A$4:$A$2403,0)=ROW()-3,1,0))</f>
        <v>0</v>
      </c>
      <c r="C2071">
        <f>N(C2070)+B2071</f>
        <v>26</v>
      </c>
      <c r="K2071">
        <f>IF(OR($K$1="",对接源_02物料!$C871="",对接源_02物料!$C871&lt;&gt;$K$1,对接源_02物料!$B871=""),0,IF(OR(N(对接源_02物料!$B871)&lt;$K$2,N(对接源_02物料!$B871)&gt;$K$3),0,1))</f>
        <v>0</v>
      </c>
      <c r="L2071">
        <f>IF(OR($L$1="",对接源_02物料!$C871="",对接源_02物料!$C871&lt;&gt;$L$1,对接源_02物料!$B871=""),0,IF(OR(N(对接源_02物料!$B871)&lt;$L$2,N(对接源_02物料!$B871)&gt;$L$3),0,1))</f>
        <v>0</v>
      </c>
      <c r="M2071">
        <f>IF(OR($M$1="",对接源_02物料!$C871="",对接源_02物料!$C871&lt;&gt;$M$1,对接源_02物料!$B871=""),0,IF(OR(N(对接源_02物料!$B871)&lt;$M$2,N(对接源_02物料!$B871)&gt;$M$3),0,1))</f>
        <v>0</v>
      </c>
      <c r="N2071">
        <f>IF(OR($N$1="",对接源_02物料!$C871="",对接源_02物料!$C871&lt;&gt;$N$1,对接源_02物料!$B871=""),0,IF(OR(N(对接源_02物料!$B871)&lt;$N$2,N(对接源_02物料!$B871)&gt;$N$3),0,1))</f>
        <v>0</v>
      </c>
      <c r="P2071">
        <f>IF(AND($K2071=1,AND(对接源_02物料!$X871="公司筐",N(对接源_02物料!$T871)&lt;&gt;0)),1,0)</f>
        <v>0</v>
      </c>
      <c r="Q2071">
        <f>N(Q2070)+$P2071</f>
        <v>14</v>
      </c>
      <c r="R2071">
        <f>IF(AND($K2071=1,AND(对接源_02物料!$X871="公司筐",N(对接源_02物料!$U871)&lt;&gt;0)),1,0)</f>
        <v>0</v>
      </c>
      <c r="S2071">
        <f>N(S2070)+$R2071</f>
        <v>1</v>
      </c>
      <c r="T2071">
        <f>IF(AND($K2071=1,AND(对接源_02物料!$X871="公司筐",N(对接源_02物料!$V871)&lt;&gt;0)),1,0)</f>
        <v>0</v>
      </c>
      <c r="U2071">
        <f>N(U2070)+$T2071</f>
        <v>47</v>
      </c>
      <c r="V2071">
        <f>IF(AND($L2071=1,AND(对接源_02物料!$X871="自备筐",N(对接源_02物料!$V871)&lt;&gt;0)),1,0)</f>
        <v>0</v>
      </c>
      <c r="W2071">
        <f>N(W2070)+$V2071</f>
        <v>11</v>
      </c>
      <c r="X2071">
        <f>IF(AND($L2071=1,AND(对接源_02物料!$X871="自备筐",N(对接源_02物料!$T871)&lt;&gt;0)),1,0)</f>
        <v>0</v>
      </c>
      <c r="Y2071">
        <f>N(Y2070)+$X2071</f>
        <v>0</v>
      </c>
      <c r="Z2071">
        <f>IF(AND($M2071=1,对接源_02物料!$D871="原料入库"),1,0)</f>
        <v>0</v>
      </c>
      <c r="AA2071">
        <f>N(AA2070)+$Z2071</f>
        <v>24</v>
      </c>
      <c r="AB2071">
        <f>IF(AND($M2071=1,LEFT(对接源_02物料!$D871,4)="原料出库"),1,0)</f>
        <v>0</v>
      </c>
      <c r="AC2071">
        <f>N(AC2070)+$AB2071</f>
        <v>0</v>
      </c>
      <c r="AD2071">
        <f>IF(AND($M2071=1,LEFT(对接源_02物料!$D871,4)="成品出库"),1,0)</f>
        <v>0</v>
      </c>
      <c r="AE2071">
        <f>N(AE2070)+$AD2071</f>
        <v>0</v>
      </c>
      <c r="AF2071">
        <f>IF(AND($N2071=1,AND(LEFT(对接源_02物料!$D871,4)="包装物料",N(对接源_02物料!$K871)&lt;&gt;0)),1,0)</f>
        <v>0</v>
      </c>
      <c r="AG2071">
        <f>N(AG2070)+$AF2071</f>
        <v>10</v>
      </c>
      <c r="AH2071">
        <f>IF(AND($N2071=1,AND(对接源_02物料!$D871="周转筐－销售出库",N(对接源_02物料!$K871)&lt;&gt;0)),1,0)</f>
        <v>0</v>
      </c>
      <c r="AI2071">
        <f>N(AI2070)+$AH2071</f>
        <v>0</v>
      </c>
      <c r="AL2071" t="n">
        <v>0</v>
      </c>
      <c r="AM2071">
        <f>N(AM2070)+$AL2071</f>
        <v>2</v>
      </c>
      <c r="AN2071">
        <f>""</f>
      </c>
      <c r="AO2071" t="n">
        <v>0</v>
      </c>
      <c r="AP2071">
        <f>N(AP2070)+$AO2071</f>
        <v>13</v>
      </c>
      <c r="AR2071">
        <f>IF(OR($AF2071=1,$AH2071=1),1,0)</f>
        <v>0</v>
      </c>
      <c r="AS2071">
        <f>N(AS2070)+$AR2071</f>
        <v>10</v>
      </c>
    </row>
    <row r="2072" s="127">
      <c r="A2072">
        <f>IF(对接源_02物料!$C872="","",对接源_02物料!$C872)</f>
      </c>
      <c r="B2072">
        <f>IF(A2072="",0,IF(MATCH(A2072,$A$4:$A$2403,0)=ROW()-3,1,0))</f>
        <v>0</v>
      </c>
      <c r="C2072">
        <f>N(C2071)+B2072</f>
        <v>26</v>
      </c>
      <c r="K2072">
        <f>IF(OR($K$1="",对接源_02物料!$C872="",对接源_02物料!$C872&lt;&gt;$K$1,对接源_02物料!$B872=""),0,IF(OR(N(对接源_02物料!$B872)&lt;$K$2,N(对接源_02物料!$B872)&gt;$K$3),0,1))</f>
        <v>0</v>
      </c>
      <c r="L2072">
        <f>IF(OR($L$1="",对接源_02物料!$C872="",对接源_02物料!$C872&lt;&gt;$L$1,对接源_02物料!$B872=""),0,IF(OR(N(对接源_02物料!$B872)&lt;$L$2,N(对接源_02物料!$B872)&gt;$L$3),0,1))</f>
        <v>0</v>
      </c>
      <c r="M2072">
        <f>IF(OR($M$1="",对接源_02物料!$C872="",对接源_02物料!$C872&lt;&gt;$M$1,对接源_02物料!$B872=""),0,IF(OR(N(对接源_02物料!$B872)&lt;$M$2,N(对接源_02物料!$B872)&gt;$M$3),0,1))</f>
        <v>0</v>
      </c>
      <c r="N2072">
        <f>IF(OR($N$1="",对接源_02物料!$C872="",对接源_02物料!$C872&lt;&gt;$N$1,对接源_02物料!$B872=""),0,IF(OR(N(对接源_02物料!$B872)&lt;$N$2,N(对接源_02物料!$B872)&gt;$N$3),0,1))</f>
        <v>0</v>
      </c>
      <c r="P2072">
        <f>IF(AND($K2072=1,AND(对接源_02物料!$X872="公司筐",N(对接源_02物料!$T872)&lt;&gt;0)),1,0)</f>
        <v>0</v>
      </c>
      <c r="Q2072">
        <f>N(Q2071)+$P2072</f>
        <v>14</v>
      </c>
      <c r="R2072">
        <f>IF(AND($K2072=1,AND(对接源_02物料!$X872="公司筐",N(对接源_02物料!$U872)&lt;&gt;0)),1,0)</f>
        <v>0</v>
      </c>
      <c r="S2072">
        <f>N(S2071)+$R2072</f>
        <v>1</v>
      </c>
      <c r="T2072">
        <f>IF(AND($K2072=1,AND(对接源_02物料!$X872="公司筐",N(对接源_02物料!$V872)&lt;&gt;0)),1,0)</f>
        <v>0</v>
      </c>
      <c r="U2072">
        <f>N(U2071)+$T2072</f>
        <v>47</v>
      </c>
      <c r="V2072">
        <f>IF(AND($L2072=1,AND(对接源_02物料!$X872="自备筐",N(对接源_02物料!$V872)&lt;&gt;0)),1,0)</f>
        <v>0</v>
      </c>
      <c r="W2072">
        <f>N(W2071)+$V2072</f>
        <v>11</v>
      </c>
      <c r="X2072">
        <f>IF(AND($L2072=1,AND(对接源_02物料!$X872="自备筐",N(对接源_02物料!$T872)&lt;&gt;0)),1,0)</f>
        <v>0</v>
      </c>
      <c r="Y2072">
        <f>N(Y2071)+$X2072</f>
        <v>0</v>
      </c>
      <c r="Z2072">
        <f>IF(AND($M2072=1,对接源_02物料!$D872="原料入库"),1,0)</f>
        <v>0</v>
      </c>
      <c r="AA2072">
        <f>N(AA2071)+$Z2072</f>
        <v>24</v>
      </c>
      <c r="AB2072">
        <f>IF(AND($M2072=1,LEFT(对接源_02物料!$D872,4)="原料出库"),1,0)</f>
        <v>0</v>
      </c>
      <c r="AC2072">
        <f>N(AC2071)+$AB2072</f>
        <v>0</v>
      </c>
      <c r="AD2072">
        <f>IF(AND($M2072=1,LEFT(对接源_02物料!$D872,4)="成品出库"),1,0)</f>
        <v>0</v>
      </c>
      <c r="AE2072">
        <f>N(AE2071)+$AD2072</f>
        <v>0</v>
      </c>
      <c r="AF2072">
        <f>IF(AND($N2072=1,AND(LEFT(对接源_02物料!$D872,4)="包装物料",N(对接源_02物料!$K872)&lt;&gt;0)),1,0)</f>
        <v>0</v>
      </c>
      <c r="AG2072">
        <f>N(AG2071)+$AF2072</f>
        <v>10</v>
      </c>
      <c r="AH2072">
        <f>IF(AND($N2072=1,AND(对接源_02物料!$D872="周转筐－销售出库",N(对接源_02物料!$K872)&lt;&gt;0)),1,0)</f>
        <v>0</v>
      </c>
      <c r="AI2072">
        <f>N(AI2071)+$AH2072</f>
        <v>0</v>
      </c>
      <c r="AL2072" t="n">
        <v>0</v>
      </c>
      <c r="AM2072">
        <f>N(AM2071)+$AL2072</f>
        <v>2</v>
      </c>
      <c r="AN2072">
        <f>""</f>
      </c>
      <c r="AO2072" t="n">
        <v>0</v>
      </c>
      <c r="AP2072">
        <f>N(AP2071)+$AO2072</f>
        <v>13</v>
      </c>
      <c r="AR2072">
        <f>IF(OR($AF2072=1,$AH2072=1),1,0)</f>
        <v>0</v>
      </c>
      <c r="AS2072">
        <f>N(AS2071)+$AR2072</f>
        <v>10</v>
      </c>
    </row>
    <row r="2073" s="127">
      <c r="A2073">
        <f>IF(对接源_02物料!$C873="","",对接源_02物料!$C873)</f>
      </c>
      <c r="B2073">
        <f>IF(A2073="",0,IF(MATCH(A2073,$A$4:$A$2403,0)=ROW()-3,1,0))</f>
        <v>0</v>
      </c>
      <c r="C2073">
        <f>N(C2072)+B2073</f>
        <v>26</v>
      </c>
      <c r="K2073">
        <f>IF(OR($K$1="",对接源_02物料!$C873="",对接源_02物料!$C873&lt;&gt;$K$1,对接源_02物料!$B873=""),0,IF(OR(N(对接源_02物料!$B873)&lt;$K$2,N(对接源_02物料!$B873)&gt;$K$3),0,1))</f>
        <v>0</v>
      </c>
      <c r="L2073">
        <f>IF(OR($L$1="",对接源_02物料!$C873="",对接源_02物料!$C873&lt;&gt;$L$1,对接源_02物料!$B873=""),0,IF(OR(N(对接源_02物料!$B873)&lt;$L$2,N(对接源_02物料!$B873)&gt;$L$3),0,1))</f>
        <v>0</v>
      </c>
      <c r="M2073">
        <f>IF(OR($M$1="",对接源_02物料!$C873="",对接源_02物料!$C873&lt;&gt;$M$1,对接源_02物料!$B873=""),0,IF(OR(N(对接源_02物料!$B873)&lt;$M$2,N(对接源_02物料!$B873)&gt;$M$3),0,1))</f>
        <v>0</v>
      </c>
      <c r="N2073">
        <f>IF(OR($N$1="",对接源_02物料!$C873="",对接源_02物料!$C873&lt;&gt;$N$1,对接源_02物料!$B873=""),0,IF(OR(N(对接源_02物料!$B873)&lt;$N$2,N(对接源_02物料!$B873)&gt;$N$3),0,1))</f>
        <v>0</v>
      </c>
      <c r="P2073">
        <f>IF(AND($K2073=1,AND(对接源_02物料!$X873="公司筐",N(对接源_02物料!$T873)&lt;&gt;0)),1,0)</f>
        <v>0</v>
      </c>
      <c r="Q2073">
        <f>N(Q2072)+$P2073</f>
        <v>14</v>
      </c>
      <c r="R2073">
        <f>IF(AND($K2073=1,AND(对接源_02物料!$X873="公司筐",N(对接源_02物料!$U873)&lt;&gt;0)),1,0)</f>
        <v>0</v>
      </c>
      <c r="S2073">
        <f>N(S2072)+$R2073</f>
        <v>1</v>
      </c>
      <c r="T2073">
        <f>IF(AND($K2073=1,AND(对接源_02物料!$X873="公司筐",N(对接源_02物料!$V873)&lt;&gt;0)),1,0)</f>
        <v>0</v>
      </c>
      <c r="U2073">
        <f>N(U2072)+$T2073</f>
        <v>47</v>
      </c>
      <c r="V2073">
        <f>IF(AND($L2073=1,AND(对接源_02物料!$X873="自备筐",N(对接源_02物料!$V873)&lt;&gt;0)),1,0)</f>
        <v>0</v>
      </c>
      <c r="W2073">
        <f>N(W2072)+$V2073</f>
        <v>11</v>
      </c>
      <c r="X2073">
        <f>IF(AND($L2073=1,AND(对接源_02物料!$X873="自备筐",N(对接源_02物料!$T873)&lt;&gt;0)),1,0)</f>
        <v>0</v>
      </c>
      <c r="Y2073">
        <f>N(Y2072)+$X2073</f>
        <v>0</v>
      </c>
      <c r="Z2073">
        <f>IF(AND($M2073=1,对接源_02物料!$D873="原料入库"),1,0)</f>
        <v>0</v>
      </c>
      <c r="AA2073">
        <f>N(AA2072)+$Z2073</f>
        <v>24</v>
      </c>
      <c r="AB2073">
        <f>IF(AND($M2073=1,LEFT(对接源_02物料!$D873,4)="原料出库"),1,0)</f>
        <v>0</v>
      </c>
      <c r="AC2073">
        <f>N(AC2072)+$AB2073</f>
        <v>0</v>
      </c>
      <c r="AD2073">
        <f>IF(AND($M2073=1,LEFT(对接源_02物料!$D873,4)="成品出库"),1,0)</f>
        <v>0</v>
      </c>
      <c r="AE2073">
        <f>N(AE2072)+$AD2073</f>
        <v>0</v>
      </c>
      <c r="AF2073">
        <f>IF(AND($N2073=1,AND(LEFT(对接源_02物料!$D873,4)="包装物料",N(对接源_02物料!$K873)&lt;&gt;0)),1,0)</f>
        <v>0</v>
      </c>
      <c r="AG2073">
        <f>N(AG2072)+$AF2073</f>
        <v>10</v>
      </c>
      <c r="AH2073">
        <f>IF(AND($N2073=1,AND(对接源_02物料!$D873="周转筐－销售出库",N(对接源_02物料!$K873)&lt;&gt;0)),1,0)</f>
        <v>0</v>
      </c>
      <c r="AI2073">
        <f>N(AI2072)+$AH2073</f>
        <v>0</v>
      </c>
      <c r="AL2073" t="n">
        <v>0</v>
      </c>
      <c r="AM2073">
        <f>N(AM2072)+$AL2073</f>
        <v>2</v>
      </c>
      <c r="AN2073">
        <f>""</f>
      </c>
      <c r="AO2073" t="n">
        <v>0</v>
      </c>
      <c r="AP2073">
        <f>N(AP2072)+$AO2073</f>
        <v>13</v>
      </c>
      <c r="AR2073">
        <f>IF(OR($AF2073=1,$AH2073=1),1,0)</f>
        <v>0</v>
      </c>
      <c r="AS2073">
        <f>N(AS2072)+$AR2073</f>
        <v>10</v>
      </c>
    </row>
    <row r="2074" s="127">
      <c r="A2074">
        <f>IF(对接源_02物料!$C874="","",对接源_02物料!$C874)</f>
      </c>
      <c r="B2074">
        <f>IF(A2074="",0,IF(MATCH(A2074,$A$4:$A$2403,0)=ROW()-3,1,0))</f>
        <v>0</v>
      </c>
      <c r="C2074">
        <f>N(C2073)+B2074</f>
        <v>26</v>
      </c>
      <c r="K2074">
        <f>IF(OR($K$1="",对接源_02物料!$C874="",对接源_02物料!$C874&lt;&gt;$K$1,对接源_02物料!$B874=""),0,IF(OR(N(对接源_02物料!$B874)&lt;$K$2,N(对接源_02物料!$B874)&gt;$K$3),0,1))</f>
        <v>0</v>
      </c>
      <c r="L2074">
        <f>IF(OR($L$1="",对接源_02物料!$C874="",对接源_02物料!$C874&lt;&gt;$L$1,对接源_02物料!$B874=""),0,IF(OR(N(对接源_02物料!$B874)&lt;$L$2,N(对接源_02物料!$B874)&gt;$L$3),0,1))</f>
        <v>0</v>
      </c>
      <c r="M2074">
        <f>IF(OR($M$1="",对接源_02物料!$C874="",对接源_02物料!$C874&lt;&gt;$M$1,对接源_02物料!$B874=""),0,IF(OR(N(对接源_02物料!$B874)&lt;$M$2,N(对接源_02物料!$B874)&gt;$M$3),0,1))</f>
        <v>0</v>
      </c>
      <c r="N2074">
        <f>IF(OR($N$1="",对接源_02物料!$C874="",对接源_02物料!$C874&lt;&gt;$N$1,对接源_02物料!$B874=""),0,IF(OR(N(对接源_02物料!$B874)&lt;$N$2,N(对接源_02物料!$B874)&gt;$N$3),0,1))</f>
        <v>0</v>
      </c>
      <c r="P2074">
        <f>IF(AND($K2074=1,AND(对接源_02物料!$X874="公司筐",N(对接源_02物料!$T874)&lt;&gt;0)),1,0)</f>
        <v>0</v>
      </c>
      <c r="Q2074">
        <f>N(Q2073)+$P2074</f>
        <v>14</v>
      </c>
      <c r="R2074">
        <f>IF(AND($K2074=1,AND(对接源_02物料!$X874="公司筐",N(对接源_02物料!$U874)&lt;&gt;0)),1,0)</f>
        <v>0</v>
      </c>
      <c r="S2074">
        <f>N(S2073)+$R2074</f>
        <v>1</v>
      </c>
      <c r="T2074">
        <f>IF(AND($K2074=1,AND(对接源_02物料!$X874="公司筐",N(对接源_02物料!$V874)&lt;&gt;0)),1,0)</f>
        <v>0</v>
      </c>
      <c r="U2074">
        <f>N(U2073)+$T2074</f>
        <v>47</v>
      </c>
      <c r="V2074">
        <f>IF(AND($L2074=1,AND(对接源_02物料!$X874="自备筐",N(对接源_02物料!$V874)&lt;&gt;0)),1,0)</f>
        <v>0</v>
      </c>
      <c r="W2074">
        <f>N(W2073)+$V2074</f>
        <v>11</v>
      </c>
      <c r="X2074">
        <f>IF(AND($L2074=1,AND(对接源_02物料!$X874="自备筐",N(对接源_02物料!$T874)&lt;&gt;0)),1,0)</f>
        <v>0</v>
      </c>
      <c r="Y2074">
        <f>N(Y2073)+$X2074</f>
        <v>0</v>
      </c>
      <c r="Z2074">
        <f>IF(AND($M2074=1,对接源_02物料!$D874="原料入库"),1,0)</f>
        <v>0</v>
      </c>
      <c r="AA2074">
        <f>N(AA2073)+$Z2074</f>
        <v>24</v>
      </c>
      <c r="AB2074">
        <f>IF(AND($M2074=1,LEFT(对接源_02物料!$D874,4)="原料出库"),1,0)</f>
        <v>0</v>
      </c>
      <c r="AC2074">
        <f>N(AC2073)+$AB2074</f>
        <v>0</v>
      </c>
      <c r="AD2074">
        <f>IF(AND($M2074=1,LEFT(对接源_02物料!$D874,4)="成品出库"),1,0)</f>
        <v>0</v>
      </c>
      <c r="AE2074">
        <f>N(AE2073)+$AD2074</f>
        <v>0</v>
      </c>
      <c r="AF2074">
        <f>IF(AND($N2074=1,AND(LEFT(对接源_02物料!$D874,4)="包装物料",N(对接源_02物料!$K874)&lt;&gt;0)),1,0)</f>
        <v>0</v>
      </c>
      <c r="AG2074">
        <f>N(AG2073)+$AF2074</f>
        <v>10</v>
      </c>
      <c r="AH2074">
        <f>IF(AND($N2074=1,AND(对接源_02物料!$D874="周转筐－销售出库",N(对接源_02物料!$K874)&lt;&gt;0)),1,0)</f>
        <v>0</v>
      </c>
      <c r="AI2074">
        <f>N(AI2073)+$AH2074</f>
        <v>0</v>
      </c>
      <c r="AL2074" t="n">
        <v>0</v>
      </c>
      <c r="AM2074">
        <f>N(AM2073)+$AL2074</f>
        <v>2</v>
      </c>
      <c r="AN2074">
        <f>""</f>
      </c>
      <c r="AO2074" t="n">
        <v>0</v>
      </c>
      <c r="AP2074">
        <f>N(AP2073)+$AO2074</f>
        <v>13</v>
      </c>
      <c r="AR2074">
        <f>IF(OR($AF2074=1,$AH2074=1),1,0)</f>
        <v>0</v>
      </c>
      <c r="AS2074">
        <f>N(AS2073)+$AR2074</f>
        <v>10</v>
      </c>
    </row>
    <row r="2075" s="127">
      <c r="A2075">
        <f>IF(对接源_02物料!$C875="","",对接源_02物料!$C875)</f>
      </c>
      <c r="B2075">
        <f>IF(A2075="",0,IF(MATCH(A2075,$A$4:$A$2403,0)=ROW()-3,1,0))</f>
        <v>0</v>
      </c>
      <c r="C2075">
        <f>N(C2074)+B2075</f>
        <v>26</v>
      </c>
      <c r="K2075">
        <f>IF(OR($K$1="",对接源_02物料!$C875="",对接源_02物料!$C875&lt;&gt;$K$1,对接源_02物料!$B875=""),0,IF(OR(N(对接源_02物料!$B875)&lt;$K$2,N(对接源_02物料!$B875)&gt;$K$3),0,1))</f>
        <v>0</v>
      </c>
      <c r="L2075">
        <f>IF(OR($L$1="",对接源_02物料!$C875="",对接源_02物料!$C875&lt;&gt;$L$1,对接源_02物料!$B875=""),0,IF(OR(N(对接源_02物料!$B875)&lt;$L$2,N(对接源_02物料!$B875)&gt;$L$3),0,1))</f>
        <v>0</v>
      </c>
      <c r="M2075">
        <f>IF(OR($M$1="",对接源_02物料!$C875="",对接源_02物料!$C875&lt;&gt;$M$1,对接源_02物料!$B875=""),0,IF(OR(N(对接源_02物料!$B875)&lt;$M$2,N(对接源_02物料!$B875)&gt;$M$3),0,1))</f>
        <v>0</v>
      </c>
      <c r="N2075">
        <f>IF(OR($N$1="",对接源_02物料!$C875="",对接源_02物料!$C875&lt;&gt;$N$1,对接源_02物料!$B875=""),0,IF(OR(N(对接源_02物料!$B875)&lt;$N$2,N(对接源_02物料!$B875)&gt;$N$3),0,1))</f>
        <v>0</v>
      </c>
      <c r="P2075">
        <f>IF(AND($K2075=1,AND(对接源_02物料!$X875="公司筐",N(对接源_02物料!$T875)&lt;&gt;0)),1,0)</f>
        <v>0</v>
      </c>
      <c r="Q2075">
        <f>N(Q2074)+$P2075</f>
        <v>14</v>
      </c>
      <c r="R2075">
        <f>IF(AND($K2075=1,AND(对接源_02物料!$X875="公司筐",N(对接源_02物料!$U875)&lt;&gt;0)),1,0)</f>
        <v>0</v>
      </c>
      <c r="S2075">
        <f>N(S2074)+$R2075</f>
        <v>1</v>
      </c>
      <c r="T2075">
        <f>IF(AND($K2075=1,AND(对接源_02物料!$X875="公司筐",N(对接源_02物料!$V875)&lt;&gt;0)),1,0)</f>
        <v>0</v>
      </c>
      <c r="U2075">
        <f>N(U2074)+$T2075</f>
        <v>47</v>
      </c>
      <c r="V2075">
        <f>IF(AND($L2075=1,AND(对接源_02物料!$X875="自备筐",N(对接源_02物料!$V875)&lt;&gt;0)),1,0)</f>
        <v>0</v>
      </c>
      <c r="W2075">
        <f>N(W2074)+$V2075</f>
        <v>11</v>
      </c>
      <c r="X2075">
        <f>IF(AND($L2075=1,AND(对接源_02物料!$X875="自备筐",N(对接源_02物料!$T875)&lt;&gt;0)),1,0)</f>
        <v>0</v>
      </c>
      <c r="Y2075">
        <f>N(Y2074)+$X2075</f>
        <v>0</v>
      </c>
      <c r="Z2075">
        <f>IF(AND($M2075=1,对接源_02物料!$D875="原料入库"),1,0)</f>
        <v>0</v>
      </c>
      <c r="AA2075">
        <f>N(AA2074)+$Z2075</f>
        <v>24</v>
      </c>
      <c r="AB2075">
        <f>IF(AND($M2075=1,LEFT(对接源_02物料!$D875,4)="原料出库"),1,0)</f>
        <v>0</v>
      </c>
      <c r="AC2075">
        <f>N(AC2074)+$AB2075</f>
        <v>0</v>
      </c>
      <c r="AD2075">
        <f>IF(AND($M2075=1,LEFT(对接源_02物料!$D875,4)="成品出库"),1,0)</f>
        <v>0</v>
      </c>
      <c r="AE2075">
        <f>N(AE2074)+$AD2075</f>
        <v>0</v>
      </c>
      <c r="AF2075">
        <f>IF(AND($N2075=1,AND(LEFT(对接源_02物料!$D875,4)="包装物料",N(对接源_02物料!$K875)&lt;&gt;0)),1,0)</f>
        <v>0</v>
      </c>
      <c r="AG2075">
        <f>N(AG2074)+$AF2075</f>
        <v>10</v>
      </c>
      <c r="AH2075">
        <f>IF(AND($N2075=1,AND(对接源_02物料!$D875="周转筐－销售出库",N(对接源_02物料!$K875)&lt;&gt;0)),1,0)</f>
        <v>0</v>
      </c>
      <c r="AI2075">
        <f>N(AI2074)+$AH2075</f>
        <v>0</v>
      </c>
      <c r="AL2075" t="n">
        <v>0</v>
      </c>
      <c r="AM2075">
        <f>N(AM2074)+$AL2075</f>
        <v>2</v>
      </c>
      <c r="AN2075">
        <f>""</f>
      </c>
      <c r="AO2075" t="n">
        <v>0</v>
      </c>
      <c r="AP2075">
        <f>N(AP2074)+$AO2075</f>
        <v>13</v>
      </c>
      <c r="AR2075">
        <f>IF(OR($AF2075=1,$AH2075=1),1,0)</f>
        <v>0</v>
      </c>
      <c r="AS2075">
        <f>N(AS2074)+$AR2075</f>
        <v>10</v>
      </c>
    </row>
    <row r="2076" s="127">
      <c r="A2076">
        <f>IF(对接源_02物料!$C876="","",对接源_02物料!$C876)</f>
      </c>
      <c r="B2076">
        <f>IF(A2076="",0,IF(MATCH(A2076,$A$4:$A$2403,0)=ROW()-3,1,0))</f>
        <v>0</v>
      </c>
      <c r="C2076">
        <f>N(C2075)+B2076</f>
        <v>26</v>
      </c>
      <c r="K2076">
        <f>IF(OR($K$1="",对接源_02物料!$C876="",对接源_02物料!$C876&lt;&gt;$K$1,对接源_02物料!$B876=""),0,IF(OR(N(对接源_02物料!$B876)&lt;$K$2,N(对接源_02物料!$B876)&gt;$K$3),0,1))</f>
        <v>0</v>
      </c>
      <c r="L2076">
        <f>IF(OR($L$1="",对接源_02物料!$C876="",对接源_02物料!$C876&lt;&gt;$L$1,对接源_02物料!$B876=""),0,IF(OR(N(对接源_02物料!$B876)&lt;$L$2,N(对接源_02物料!$B876)&gt;$L$3),0,1))</f>
        <v>0</v>
      </c>
      <c r="M2076">
        <f>IF(OR($M$1="",对接源_02物料!$C876="",对接源_02物料!$C876&lt;&gt;$M$1,对接源_02物料!$B876=""),0,IF(OR(N(对接源_02物料!$B876)&lt;$M$2,N(对接源_02物料!$B876)&gt;$M$3),0,1))</f>
        <v>0</v>
      </c>
      <c r="N2076">
        <f>IF(OR($N$1="",对接源_02物料!$C876="",对接源_02物料!$C876&lt;&gt;$N$1,对接源_02物料!$B876=""),0,IF(OR(N(对接源_02物料!$B876)&lt;$N$2,N(对接源_02物料!$B876)&gt;$N$3),0,1))</f>
        <v>0</v>
      </c>
      <c r="P2076">
        <f>IF(AND($K2076=1,AND(对接源_02物料!$X876="公司筐",N(对接源_02物料!$T876)&lt;&gt;0)),1,0)</f>
        <v>0</v>
      </c>
      <c r="Q2076">
        <f>N(Q2075)+$P2076</f>
        <v>14</v>
      </c>
      <c r="R2076">
        <f>IF(AND($K2076=1,AND(对接源_02物料!$X876="公司筐",N(对接源_02物料!$U876)&lt;&gt;0)),1,0)</f>
        <v>0</v>
      </c>
      <c r="S2076">
        <f>N(S2075)+$R2076</f>
        <v>1</v>
      </c>
      <c r="T2076">
        <f>IF(AND($K2076=1,AND(对接源_02物料!$X876="公司筐",N(对接源_02物料!$V876)&lt;&gt;0)),1,0)</f>
        <v>0</v>
      </c>
      <c r="U2076">
        <f>N(U2075)+$T2076</f>
        <v>47</v>
      </c>
      <c r="V2076">
        <f>IF(AND($L2076=1,AND(对接源_02物料!$X876="自备筐",N(对接源_02物料!$V876)&lt;&gt;0)),1,0)</f>
        <v>0</v>
      </c>
      <c r="W2076">
        <f>N(W2075)+$V2076</f>
        <v>11</v>
      </c>
      <c r="X2076">
        <f>IF(AND($L2076=1,AND(对接源_02物料!$X876="自备筐",N(对接源_02物料!$T876)&lt;&gt;0)),1,0)</f>
        <v>0</v>
      </c>
      <c r="Y2076">
        <f>N(Y2075)+$X2076</f>
        <v>0</v>
      </c>
      <c r="Z2076">
        <f>IF(AND($M2076=1,对接源_02物料!$D876="原料入库"),1,0)</f>
        <v>0</v>
      </c>
      <c r="AA2076">
        <f>N(AA2075)+$Z2076</f>
        <v>24</v>
      </c>
      <c r="AB2076">
        <f>IF(AND($M2076=1,LEFT(对接源_02物料!$D876,4)="原料出库"),1,0)</f>
        <v>0</v>
      </c>
      <c r="AC2076">
        <f>N(AC2075)+$AB2076</f>
        <v>0</v>
      </c>
      <c r="AD2076">
        <f>IF(AND($M2076=1,LEFT(对接源_02物料!$D876,4)="成品出库"),1,0)</f>
        <v>0</v>
      </c>
      <c r="AE2076">
        <f>N(AE2075)+$AD2076</f>
        <v>0</v>
      </c>
      <c r="AF2076">
        <f>IF(AND($N2076=1,AND(LEFT(对接源_02物料!$D876,4)="包装物料",N(对接源_02物料!$K876)&lt;&gt;0)),1,0)</f>
        <v>0</v>
      </c>
      <c r="AG2076">
        <f>N(AG2075)+$AF2076</f>
        <v>10</v>
      </c>
      <c r="AH2076">
        <f>IF(AND($N2076=1,AND(对接源_02物料!$D876="周转筐－销售出库",N(对接源_02物料!$K876)&lt;&gt;0)),1,0)</f>
        <v>0</v>
      </c>
      <c r="AI2076">
        <f>N(AI2075)+$AH2076</f>
        <v>0</v>
      </c>
      <c r="AL2076" t="n">
        <v>0</v>
      </c>
      <c r="AM2076">
        <f>N(AM2075)+$AL2076</f>
        <v>2</v>
      </c>
      <c r="AN2076">
        <f>""</f>
      </c>
      <c r="AO2076" t="n">
        <v>0</v>
      </c>
      <c r="AP2076">
        <f>N(AP2075)+$AO2076</f>
        <v>13</v>
      </c>
      <c r="AR2076">
        <f>IF(OR($AF2076=1,$AH2076=1),1,0)</f>
        <v>0</v>
      </c>
      <c r="AS2076">
        <f>N(AS2075)+$AR2076</f>
        <v>10</v>
      </c>
    </row>
    <row r="2077" s="127">
      <c r="A2077">
        <f>IF(对接源_02物料!$C877="","",对接源_02物料!$C877)</f>
      </c>
      <c r="B2077">
        <f>IF(A2077="",0,IF(MATCH(A2077,$A$4:$A$2403,0)=ROW()-3,1,0))</f>
        <v>0</v>
      </c>
      <c r="C2077">
        <f>N(C2076)+B2077</f>
        <v>26</v>
      </c>
      <c r="K2077">
        <f>IF(OR($K$1="",对接源_02物料!$C877="",对接源_02物料!$C877&lt;&gt;$K$1,对接源_02物料!$B877=""),0,IF(OR(N(对接源_02物料!$B877)&lt;$K$2,N(对接源_02物料!$B877)&gt;$K$3),0,1))</f>
        <v>0</v>
      </c>
      <c r="L2077">
        <f>IF(OR($L$1="",对接源_02物料!$C877="",对接源_02物料!$C877&lt;&gt;$L$1,对接源_02物料!$B877=""),0,IF(OR(N(对接源_02物料!$B877)&lt;$L$2,N(对接源_02物料!$B877)&gt;$L$3),0,1))</f>
        <v>0</v>
      </c>
      <c r="M2077">
        <f>IF(OR($M$1="",对接源_02物料!$C877="",对接源_02物料!$C877&lt;&gt;$M$1,对接源_02物料!$B877=""),0,IF(OR(N(对接源_02物料!$B877)&lt;$M$2,N(对接源_02物料!$B877)&gt;$M$3),0,1))</f>
        <v>0</v>
      </c>
      <c r="N2077">
        <f>IF(OR($N$1="",对接源_02物料!$C877="",对接源_02物料!$C877&lt;&gt;$N$1,对接源_02物料!$B877=""),0,IF(OR(N(对接源_02物料!$B877)&lt;$N$2,N(对接源_02物料!$B877)&gt;$N$3),0,1))</f>
        <v>0</v>
      </c>
      <c r="P2077">
        <f>IF(AND($K2077=1,AND(对接源_02物料!$X877="公司筐",N(对接源_02物料!$T877)&lt;&gt;0)),1,0)</f>
        <v>0</v>
      </c>
      <c r="Q2077">
        <f>N(Q2076)+$P2077</f>
        <v>14</v>
      </c>
      <c r="R2077">
        <f>IF(AND($K2077=1,AND(对接源_02物料!$X877="公司筐",N(对接源_02物料!$U877)&lt;&gt;0)),1,0)</f>
        <v>0</v>
      </c>
      <c r="S2077">
        <f>N(S2076)+$R2077</f>
        <v>1</v>
      </c>
      <c r="T2077">
        <f>IF(AND($K2077=1,AND(对接源_02物料!$X877="公司筐",N(对接源_02物料!$V877)&lt;&gt;0)),1,0)</f>
        <v>0</v>
      </c>
      <c r="U2077">
        <f>N(U2076)+$T2077</f>
        <v>47</v>
      </c>
      <c r="V2077">
        <f>IF(AND($L2077=1,AND(对接源_02物料!$X877="自备筐",N(对接源_02物料!$V877)&lt;&gt;0)),1,0)</f>
        <v>0</v>
      </c>
      <c r="W2077">
        <f>N(W2076)+$V2077</f>
        <v>11</v>
      </c>
      <c r="X2077">
        <f>IF(AND($L2077=1,AND(对接源_02物料!$X877="自备筐",N(对接源_02物料!$T877)&lt;&gt;0)),1,0)</f>
        <v>0</v>
      </c>
      <c r="Y2077">
        <f>N(Y2076)+$X2077</f>
        <v>0</v>
      </c>
      <c r="Z2077">
        <f>IF(AND($M2077=1,对接源_02物料!$D877="原料入库"),1,0)</f>
        <v>0</v>
      </c>
      <c r="AA2077">
        <f>N(AA2076)+$Z2077</f>
        <v>24</v>
      </c>
      <c r="AB2077">
        <f>IF(AND($M2077=1,LEFT(对接源_02物料!$D877,4)="原料出库"),1,0)</f>
        <v>0</v>
      </c>
      <c r="AC2077">
        <f>N(AC2076)+$AB2077</f>
        <v>0</v>
      </c>
      <c r="AD2077">
        <f>IF(AND($M2077=1,LEFT(对接源_02物料!$D877,4)="成品出库"),1,0)</f>
        <v>0</v>
      </c>
      <c r="AE2077">
        <f>N(AE2076)+$AD2077</f>
        <v>0</v>
      </c>
      <c r="AF2077">
        <f>IF(AND($N2077=1,AND(LEFT(对接源_02物料!$D877,4)="包装物料",N(对接源_02物料!$K877)&lt;&gt;0)),1,0)</f>
        <v>0</v>
      </c>
      <c r="AG2077">
        <f>N(AG2076)+$AF2077</f>
        <v>10</v>
      </c>
      <c r="AH2077">
        <f>IF(AND($N2077=1,AND(对接源_02物料!$D877="周转筐－销售出库",N(对接源_02物料!$K877)&lt;&gt;0)),1,0)</f>
        <v>0</v>
      </c>
      <c r="AI2077">
        <f>N(AI2076)+$AH2077</f>
        <v>0</v>
      </c>
      <c r="AL2077" t="n">
        <v>0</v>
      </c>
      <c r="AM2077">
        <f>N(AM2076)+$AL2077</f>
        <v>2</v>
      </c>
      <c r="AN2077">
        <f>""</f>
      </c>
      <c r="AO2077" t="n">
        <v>0</v>
      </c>
      <c r="AP2077">
        <f>N(AP2076)+$AO2077</f>
        <v>13</v>
      </c>
      <c r="AR2077">
        <f>IF(OR($AF2077=1,$AH2077=1),1,0)</f>
        <v>0</v>
      </c>
      <c r="AS2077">
        <f>N(AS2076)+$AR2077</f>
        <v>10</v>
      </c>
    </row>
    <row r="2078" s="127">
      <c r="A2078">
        <f>IF(对接源_02物料!$C878="","",对接源_02物料!$C878)</f>
      </c>
      <c r="B2078">
        <f>IF(A2078="",0,IF(MATCH(A2078,$A$4:$A$2403,0)=ROW()-3,1,0))</f>
        <v>0</v>
      </c>
      <c r="C2078">
        <f>N(C2077)+B2078</f>
        <v>26</v>
      </c>
      <c r="K2078">
        <f>IF(OR($K$1="",对接源_02物料!$C878="",对接源_02物料!$C878&lt;&gt;$K$1,对接源_02物料!$B878=""),0,IF(OR(N(对接源_02物料!$B878)&lt;$K$2,N(对接源_02物料!$B878)&gt;$K$3),0,1))</f>
        <v>0</v>
      </c>
      <c r="L2078">
        <f>IF(OR($L$1="",对接源_02物料!$C878="",对接源_02物料!$C878&lt;&gt;$L$1,对接源_02物料!$B878=""),0,IF(OR(N(对接源_02物料!$B878)&lt;$L$2,N(对接源_02物料!$B878)&gt;$L$3),0,1))</f>
        <v>0</v>
      </c>
      <c r="M2078">
        <f>IF(OR($M$1="",对接源_02物料!$C878="",对接源_02物料!$C878&lt;&gt;$M$1,对接源_02物料!$B878=""),0,IF(OR(N(对接源_02物料!$B878)&lt;$M$2,N(对接源_02物料!$B878)&gt;$M$3),0,1))</f>
        <v>0</v>
      </c>
      <c r="N2078">
        <f>IF(OR($N$1="",对接源_02物料!$C878="",对接源_02物料!$C878&lt;&gt;$N$1,对接源_02物料!$B878=""),0,IF(OR(N(对接源_02物料!$B878)&lt;$N$2,N(对接源_02物料!$B878)&gt;$N$3),0,1))</f>
        <v>0</v>
      </c>
      <c r="P2078">
        <f>IF(AND($K2078=1,AND(对接源_02物料!$X878="公司筐",N(对接源_02物料!$T878)&lt;&gt;0)),1,0)</f>
        <v>0</v>
      </c>
      <c r="Q2078">
        <f>N(Q2077)+$P2078</f>
        <v>14</v>
      </c>
      <c r="R2078">
        <f>IF(AND($K2078=1,AND(对接源_02物料!$X878="公司筐",N(对接源_02物料!$U878)&lt;&gt;0)),1,0)</f>
        <v>0</v>
      </c>
      <c r="S2078">
        <f>N(S2077)+$R2078</f>
        <v>1</v>
      </c>
      <c r="T2078">
        <f>IF(AND($K2078=1,AND(对接源_02物料!$X878="公司筐",N(对接源_02物料!$V878)&lt;&gt;0)),1,0)</f>
        <v>0</v>
      </c>
      <c r="U2078">
        <f>N(U2077)+$T2078</f>
        <v>47</v>
      </c>
      <c r="V2078">
        <f>IF(AND($L2078=1,AND(对接源_02物料!$X878="自备筐",N(对接源_02物料!$V878)&lt;&gt;0)),1,0)</f>
        <v>0</v>
      </c>
      <c r="W2078">
        <f>N(W2077)+$V2078</f>
        <v>11</v>
      </c>
      <c r="X2078">
        <f>IF(AND($L2078=1,AND(对接源_02物料!$X878="自备筐",N(对接源_02物料!$T878)&lt;&gt;0)),1,0)</f>
        <v>0</v>
      </c>
      <c r="Y2078">
        <f>N(Y2077)+$X2078</f>
        <v>0</v>
      </c>
      <c r="Z2078">
        <f>IF(AND($M2078=1,对接源_02物料!$D878="原料入库"),1,0)</f>
        <v>0</v>
      </c>
      <c r="AA2078">
        <f>N(AA2077)+$Z2078</f>
        <v>24</v>
      </c>
      <c r="AB2078">
        <f>IF(AND($M2078=1,LEFT(对接源_02物料!$D878,4)="原料出库"),1,0)</f>
        <v>0</v>
      </c>
      <c r="AC2078">
        <f>N(AC2077)+$AB2078</f>
        <v>0</v>
      </c>
      <c r="AD2078">
        <f>IF(AND($M2078=1,LEFT(对接源_02物料!$D878,4)="成品出库"),1,0)</f>
        <v>0</v>
      </c>
      <c r="AE2078">
        <f>N(AE2077)+$AD2078</f>
        <v>0</v>
      </c>
      <c r="AF2078">
        <f>IF(AND($N2078=1,AND(LEFT(对接源_02物料!$D878,4)="包装物料",N(对接源_02物料!$K878)&lt;&gt;0)),1,0)</f>
        <v>0</v>
      </c>
      <c r="AG2078">
        <f>N(AG2077)+$AF2078</f>
        <v>10</v>
      </c>
      <c r="AH2078">
        <f>IF(AND($N2078=1,AND(对接源_02物料!$D878="周转筐－销售出库",N(对接源_02物料!$K878)&lt;&gt;0)),1,0)</f>
        <v>0</v>
      </c>
      <c r="AI2078">
        <f>N(AI2077)+$AH2078</f>
        <v>0</v>
      </c>
      <c r="AL2078" t="n">
        <v>0</v>
      </c>
      <c r="AM2078">
        <f>N(AM2077)+$AL2078</f>
        <v>2</v>
      </c>
      <c r="AN2078">
        <f>""</f>
      </c>
      <c r="AO2078" t="n">
        <v>0</v>
      </c>
      <c r="AP2078">
        <f>N(AP2077)+$AO2078</f>
        <v>13</v>
      </c>
      <c r="AR2078">
        <f>IF(OR($AF2078=1,$AH2078=1),1,0)</f>
        <v>0</v>
      </c>
      <c r="AS2078">
        <f>N(AS2077)+$AR2078</f>
        <v>10</v>
      </c>
    </row>
    <row r="2079" s="127">
      <c r="A2079">
        <f>IF(对接源_02物料!$C879="","",对接源_02物料!$C879)</f>
      </c>
      <c r="B2079">
        <f>IF(A2079="",0,IF(MATCH(A2079,$A$4:$A$2403,0)=ROW()-3,1,0))</f>
        <v>0</v>
      </c>
      <c r="C2079">
        <f>N(C2078)+B2079</f>
        <v>26</v>
      </c>
      <c r="K2079">
        <f>IF(OR($K$1="",对接源_02物料!$C879="",对接源_02物料!$C879&lt;&gt;$K$1,对接源_02物料!$B879=""),0,IF(OR(N(对接源_02物料!$B879)&lt;$K$2,N(对接源_02物料!$B879)&gt;$K$3),0,1))</f>
        <v>0</v>
      </c>
      <c r="L2079">
        <f>IF(OR($L$1="",对接源_02物料!$C879="",对接源_02物料!$C879&lt;&gt;$L$1,对接源_02物料!$B879=""),0,IF(OR(N(对接源_02物料!$B879)&lt;$L$2,N(对接源_02物料!$B879)&gt;$L$3),0,1))</f>
        <v>0</v>
      </c>
      <c r="M2079">
        <f>IF(OR($M$1="",对接源_02物料!$C879="",对接源_02物料!$C879&lt;&gt;$M$1,对接源_02物料!$B879=""),0,IF(OR(N(对接源_02物料!$B879)&lt;$M$2,N(对接源_02物料!$B879)&gt;$M$3),0,1))</f>
        <v>0</v>
      </c>
      <c r="N2079">
        <f>IF(OR($N$1="",对接源_02物料!$C879="",对接源_02物料!$C879&lt;&gt;$N$1,对接源_02物料!$B879=""),0,IF(OR(N(对接源_02物料!$B879)&lt;$N$2,N(对接源_02物料!$B879)&gt;$N$3),0,1))</f>
        <v>0</v>
      </c>
      <c r="P2079">
        <f>IF(AND($K2079=1,AND(对接源_02物料!$X879="公司筐",N(对接源_02物料!$T879)&lt;&gt;0)),1,0)</f>
        <v>0</v>
      </c>
      <c r="Q2079">
        <f>N(Q2078)+$P2079</f>
        <v>14</v>
      </c>
      <c r="R2079">
        <f>IF(AND($K2079=1,AND(对接源_02物料!$X879="公司筐",N(对接源_02物料!$U879)&lt;&gt;0)),1,0)</f>
        <v>0</v>
      </c>
      <c r="S2079">
        <f>N(S2078)+$R2079</f>
        <v>1</v>
      </c>
      <c r="T2079">
        <f>IF(AND($K2079=1,AND(对接源_02物料!$X879="公司筐",N(对接源_02物料!$V879)&lt;&gt;0)),1,0)</f>
        <v>0</v>
      </c>
      <c r="U2079">
        <f>N(U2078)+$T2079</f>
        <v>47</v>
      </c>
      <c r="V2079">
        <f>IF(AND($L2079=1,AND(对接源_02物料!$X879="自备筐",N(对接源_02物料!$V879)&lt;&gt;0)),1,0)</f>
        <v>0</v>
      </c>
      <c r="W2079">
        <f>N(W2078)+$V2079</f>
        <v>11</v>
      </c>
      <c r="X2079">
        <f>IF(AND($L2079=1,AND(对接源_02物料!$X879="自备筐",N(对接源_02物料!$T879)&lt;&gt;0)),1,0)</f>
        <v>0</v>
      </c>
      <c r="Y2079">
        <f>N(Y2078)+$X2079</f>
        <v>0</v>
      </c>
      <c r="Z2079">
        <f>IF(AND($M2079=1,对接源_02物料!$D879="原料入库"),1,0)</f>
        <v>0</v>
      </c>
      <c r="AA2079">
        <f>N(AA2078)+$Z2079</f>
        <v>24</v>
      </c>
      <c r="AB2079">
        <f>IF(AND($M2079=1,LEFT(对接源_02物料!$D879,4)="原料出库"),1,0)</f>
        <v>0</v>
      </c>
      <c r="AC2079">
        <f>N(AC2078)+$AB2079</f>
        <v>0</v>
      </c>
      <c r="AD2079">
        <f>IF(AND($M2079=1,LEFT(对接源_02物料!$D879,4)="成品出库"),1,0)</f>
        <v>0</v>
      </c>
      <c r="AE2079">
        <f>N(AE2078)+$AD2079</f>
        <v>0</v>
      </c>
      <c r="AF2079">
        <f>IF(AND($N2079=1,AND(LEFT(对接源_02物料!$D879,4)="包装物料",N(对接源_02物料!$K879)&lt;&gt;0)),1,0)</f>
        <v>0</v>
      </c>
      <c r="AG2079">
        <f>N(AG2078)+$AF2079</f>
        <v>10</v>
      </c>
      <c r="AH2079">
        <f>IF(AND($N2079=1,AND(对接源_02物料!$D879="周转筐－销售出库",N(对接源_02物料!$K879)&lt;&gt;0)),1,0)</f>
        <v>0</v>
      </c>
      <c r="AI2079">
        <f>N(AI2078)+$AH2079</f>
        <v>0</v>
      </c>
      <c r="AL2079" t="n">
        <v>0</v>
      </c>
      <c r="AM2079">
        <f>N(AM2078)+$AL2079</f>
        <v>2</v>
      </c>
      <c r="AN2079">
        <f>""</f>
      </c>
      <c r="AO2079" t="n">
        <v>0</v>
      </c>
      <c r="AP2079">
        <f>N(AP2078)+$AO2079</f>
        <v>13</v>
      </c>
      <c r="AR2079">
        <f>IF(OR($AF2079=1,$AH2079=1),1,0)</f>
        <v>0</v>
      </c>
      <c r="AS2079">
        <f>N(AS2078)+$AR2079</f>
        <v>10</v>
      </c>
    </row>
    <row r="2080" s="127">
      <c r="A2080">
        <f>IF(对接源_02物料!$C880="","",对接源_02物料!$C880)</f>
      </c>
      <c r="B2080">
        <f>IF(A2080="",0,IF(MATCH(A2080,$A$4:$A$2403,0)=ROW()-3,1,0))</f>
        <v>0</v>
      </c>
      <c r="C2080">
        <f>N(C2079)+B2080</f>
        <v>26</v>
      </c>
      <c r="K2080">
        <f>IF(OR($K$1="",对接源_02物料!$C880="",对接源_02物料!$C880&lt;&gt;$K$1,对接源_02物料!$B880=""),0,IF(OR(N(对接源_02物料!$B880)&lt;$K$2,N(对接源_02物料!$B880)&gt;$K$3),0,1))</f>
        <v>0</v>
      </c>
      <c r="L2080">
        <f>IF(OR($L$1="",对接源_02物料!$C880="",对接源_02物料!$C880&lt;&gt;$L$1,对接源_02物料!$B880=""),0,IF(OR(N(对接源_02物料!$B880)&lt;$L$2,N(对接源_02物料!$B880)&gt;$L$3),0,1))</f>
        <v>0</v>
      </c>
      <c r="M2080">
        <f>IF(OR($M$1="",对接源_02物料!$C880="",对接源_02物料!$C880&lt;&gt;$M$1,对接源_02物料!$B880=""),0,IF(OR(N(对接源_02物料!$B880)&lt;$M$2,N(对接源_02物料!$B880)&gt;$M$3),0,1))</f>
        <v>0</v>
      </c>
      <c r="N2080">
        <f>IF(OR($N$1="",对接源_02物料!$C880="",对接源_02物料!$C880&lt;&gt;$N$1,对接源_02物料!$B880=""),0,IF(OR(N(对接源_02物料!$B880)&lt;$N$2,N(对接源_02物料!$B880)&gt;$N$3),0,1))</f>
        <v>0</v>
      </c>
      <c r="P2080">
        <f>IF(AND($K2080=1,AND(对接源_02物料!$X880="公司筐",N(对接源_02物料!$T880)&lt;&gt;0)),1,0)</f>
        <v>0</v>
      </c>
      <c r="Q2080">
        <f>N(Q2079)+$P2080</f>
        <v>14</v>
      </c>
      <c r="R2080">
        <f>IF(AND($K2080=1,AND(对接源_02物料!$X880="公司筐",N(对接源_02物料!$U880)&lt;&gt;0)),1,0)</f>
        <v>0</v>
      </c>
      <c r="S2080">
        <f>N(S2079)+$R2080</f>
        <v>1</v>
      </c>
      <c r="T2080">
        <f>IF(AND($K2080=1,AND(对接源_02物料!$X880="公司筐",N(对接源_02物料!$V880)&lt;&gt;0)),1,0)</f>
        <v>0</v>
      </c>
      <c r="U2080">
        <f>N(U2079)+$T2080</f>
        <v>47</v>
      </c>
      <c r="V2080">
        <f>IF(AND($L2080=1,AND(对接源_02物料!$X880="自备筐",N(对接源_02物料!$V880)&lt;&gt;0)),1,0)</f>
        <v>0</v>
      </c>
      <c r="W2080">
        <f>N(W2079)+$V2080</f>
        <v>11</v>
      </c>
      <c r="X2080">
        <f>IF(AND($L2080=1,AND(对接源_02物料!$X880="自备筐",N(对接源_02物料!$T880)&lt;&gt;0)),1,0)</f>
        <v>0</v>
      </c>
      <c r="Y2080">
        <f>N(Y2079)+$X2080</f>
        <v>0</v>
      </c>
      <c r="Z2080">
        <f>IF(AND($M2080=1,对接源_02物料!$D880="原料入库"),1,0)</f>
        <v>0</v>
      </c>
      <c r="AA2080">
        <f>N(AA2079)+$Z2080</f>
        <v>24</v>
      </c>
      <c r="AB2080">
        <f>IF(AND($M2080=1,LEFT(对接源_02物料!$D880,4)="原料出库"),1,0)</f>
        <v>0</v>
      </c>
      <c r="AC2080">
        <f>N(AC2079)+$AB2080</f>
        <v>0</v>
      </c>
      <c r="AD2080">
        <f>IF(AND($M2080=1,LEFT(对接源_02物料!$D880,4)="成品出库"),1,0)</f>
        <v>0</v>
      </c>
      <c r="AE2080">
        <f>N(AE2079)+$AD2080</f>
        <v>0</v>
      </c>
      <c r="AF2080">
        <f>IF(AND($N2080=1,AND(LEFT(对接源_02物料!$D880,4)="包装物料",N(对接源_02物料!$K880)&lt;&gt;0)),1,0)</f>
        <v>0</v>
      </c>
      <c r="AG2080">
        <f>N(AG2079)+$AF2080</f>
        <v>10</v>
      </c>
      <c r="AH2080">
        <f>IF(AND($N2080=1,AND(对接源_02物料!$D880="周转筐－销售出库",N(对接源_02物料!$K880)&lt;&gt;0)),1,0)</f>
        <v>0</v>
      </c>
      <c r="AI2080">
        <f>N(AI2079)+$AH2080</f>
        <v>0</v>
      </c>
      <c r="AL2080" t="n">
        <v>0</v>
      </c>
      <c r="AM2080">
        <f>N(AM2079)+$AL2080</f>
        <v>2</v>
      </c>
      <c r="AN2080">
        <f>""</f>
      </c>
      <c r="AO2080" t="n">
        <v>0</v>
      </c>
      <c r="AP2080">
        <f>N(AP2079)+$AO2080</f>
        <v>13</v>
      </c>
      <c r="AR2080">
        <f>IF(OR($AF2080=1,$AH2080=1),1,0)</f>
        <v>0</v>
      </c>
      <c r="AS2080">
        <f>N(AS2079)+$AR2080</f>
        <v>10</v>
      </c>
    </row>
    <row r="2081" s="127">
      <c r="A2081">
        <f>IF(对接源_02物料!$C881="","",对接源_02物料!$C881)</f>
      </c>
      <c r="B2081">
        <f>IF(A2081="",0,IF(MATCH(A2081,$A$4:$A$2403,0)=ROW()-3,1,0))</f>
        <v>0</v>
      </c>
      <c r="C2081">
        <f>N(C2080)+B2081</f>
        <v>26</v>
      </c>
      <c r="K2081">
        <f>IF(OR($K$1="",对接源_02物料!$C881="",对接源_02物料!$C881&lt;&gt;$K$1,对接源_02物料!$B881=""),0,IF(OR(N(对接源_02物料!$B881)&lt;$K$2,N(对接源_02物料!$B881)&gt;$K$3),0,1))</f>
        <v>0</v>
      </c>
      <c r="L2081">
        <f>IF(OR($L$1="",对接源_02物料!$C881="",对接源_02物料!$C881&lt;&gt;$L$1,对接源_02物料!$B881=""),0,IF(OR(N(对接源_02物料!$B881)&lt;$L$2,N(对接源_02物料!$B881)&gt;$L$3),0,1))</f>
        <v>0</v>
      </c>
      <c r="M2081">
        <f>IF(OR($M$1="",对接源_02物料!$C881="",对接源_02物料!$C881&lt;&gt;$M$1,对接源_02物料!$B881=""),0,IF(OR(N(对接源_02物料!$B881)&lt;$M$2,N(对接源_02物料!$B881)&gt;$M$3),0,1))</f>
        <v>0</v>
      </c>
      <c r="N2081">
        <f>IF(OR($N$1="",对接源_02物料!$C881="",对接源_02物料!$C881&lt;&gt;$N$1,对接源_02物料!$B881=""),0,IF(OR(N(对接源_02物料!$B881)&lt;$N$2,N(对接源_02物料!$B881)&gt;$N$3),0,1))</f>
        <v>0</v>
      </c>
      <c r="P2081">
        <f>IF(AND($K2081=1,AND(对接源_02物料!$X881="公司筐",N(对接源_02物料!$T881)&lt;&gt;0)),1,0)</f>
        <v>0</v>
      </c>
      <c r="Q2081">
        <f>N(Q2080)+$P2081</f>
        <v>14</v>
      </c>
      <c r="R2081">
        <f>IF(AND($K2081=1,AND(对接源_02物料!$X881="公司筐",N(对接源_02物料!$U881)&lt;&gt;0)),1,0)</f>
        <v>0</v>
      </c>
      <c r="S2081">
        <f>N(S2080)+$R2081</f>
        <v>1</v>
      </c>
      <c r="T2081">
        <f>IF(AND($K2081=1,AND(对接源_02物料!$X881="公司筐",N(对接源_02物料!$V881)&lt;&gt;0)),1,0)</f>
        <v>0</v>
      </c>
      <c r="U2081">
        <f>N(U2080)+$T2081</f>
        <v>47</v>
      </c>
      <c r="V2081">
        <f>IF(AND($L2081=1,AND(对接源_02物料!$X881="自备筐",N(对接源_02物料!$V881)&lt;&gt;0)),1,0)</f>
        <v>0</v>
      </c>
      <c r="W2081">
        <f>N(W2080)+$V2081</f>
        <v>11</v>
      </c>
      <c r="X2081">
        <f>IF(AND($L2081=1,AND(对接源_02物料!$X881="自备筐",N(对接源_02物料!$T881)&lt;&gt;0)),1,0)</f>
        <v>0</v>
      </c>
      <c r="Y2081">
        <f>N(Y2080)+$X2081</f>
        <v>0</v>
      </c>
      <c r="Z2081">
        <f>IF(AND($M2081=1,对接源_02物料!$D881="原料入库"),1,0)</f>
        <v>0</v>
      </c>
      <c r="AA2081">
        <f>N(AA2080)+$Z2081</f>
        <v>24</v>
      </c>
      <c r="AB2081">
        <f>IF(AND($M2081=1,LEFT(对接源_02物料!$D881,4)="原料出库"),1,0)</f>
        <v>0</v>
      </c>
      <c r="AC2081">
        <f>N(AC2080)+$AB2081</f>
        <v>0</v>
      </c>
      <c r="AD2081">
        <f>IF(AND($M2081=1,LEFT(对接源_02物料!$D881,4)="成品出库"),1,0)</f>
        <v>0</v>
      </c>
      <c r="AE2081">
        <f>N(AE2080)+$AD2081</f>
        <v>0</v>
      </c>
      <c r="AF2081">
        <f>IF(AND($N2081=1,AND(LEFT(对接源_02物料!$D881,4)="包装物料",N(对接源_02物料!$K881)&lt;&gt;0)),1,0)</f>
        <v>0</v>
      </c>
      <c r="AG2081">
        <f>N(AG2080)+$AF2081</f>
        <v>10</v>
      </c>
      <c r="AH2081">
        <f>IF(AND($N2081=1,AND(对接源_02物料!$D881="周转筐－销售出库",N(对接源_02物料!$K881)&lt;&gt;0)),1,0)</f>
        <v>0</v>
      </c>
      <c r="AI2081">
        <f>N(AI2080)+$AH2081</f>
        <v>0</v>
      </c>
      <c r="AL2081" t="n">
        <v>0</v>
      </c>
      <c r="AM2081">
        <f>N(AM2080)+$AL2081</f>
        <v>2</v>
      </c>
      <c r="AN2081">
        <f>""</f>
      </c>
      <c r="AO2081" t="n">
        <v>0</v>
      </c>
      <c r="AP2081">
        <f>N(AP2080)+$AO2081</f>
        <v>13</v>
      </c>
      <c r="AR2081">
        <f>IF(OR($AF2081=1,$AH2081=1),1,0)</f>
        <v>0</v>
      </c>
      <c r="AS2081">
        <f>N(AS2080)+$AR2081</f>
        <v>10</v>
      </c>
    </row>
    <row r="2082" s="127">
      <c r="A2082">
        <f>IF(对接源_02物料!$C882="","",对接源_02物料!$C882)</f>
      </c>
      <c r="B2082">
        <f>IF(A2082="",0,IF(MATCH(A2082,$A$4:$A$2403,0)=ROW()-3,1,0))</f>
        <v>0</v>
      </c>
      <c r="C2082">
        <f>N(C2081)+B2082</f>
        <v>26</v>
      </c>
      <c r="K2082">
        <f>IF(OR($K$1="",对接源_02物料!$C882="",对接源_02物料!$C882&lt;&gt;$K$1,对接源_02物料!$B882=""),0,IF(OR(N(对接源_02物料!$B882)&lt;$K$2,N(对接源_02物料!$B882)&gt;$K$3),0,1))</f>
        <v>0</v>
      </c>
      <c r="L2082">
        <f>IF(OR($L$1="",对接源_02物料!$C882="",对接源_02物料!$C882&lt;&gt;$L$1,对接源_02物料!$B882=""),0,IF(OR(N(对接源_02物料!$B882)&lt;$L$2,N(对接源_02物料!$B882)&gt;$L$3),0,1))</f>
        <v>0</v>
      </c>
      <c r="M2082">
        <f>IF(OR($M$1="",对接源_02物料!$C882="",对接源_02物料!$C882&lt;&gt;$M$1,对接源_02物料!$B882=""),0,IF(OR(N(对接源_02物料!$B882)&lt;$M$2,N(对接源_02物料!$B882)&gt;$M$3),0,1))</f>
        <v>0</v>
      </c>
      <c r="N2082">
        <f>IF(OR($N$1="",对接源_02物料!$C882="",对接源_02物料!$C882&lt;&gt;$N$1,对接源_02物料!$B882=""),0,IF(OR(N(对接源_02物料!$B882)&lt;$N$2,N(对接源_02物料!$B882)&gt;$N$3),0,1))</f>
        <v>0</v>
      </c>
      <c r="P2082">
        <f>IF(AND($K2082=1,AND(对接源_02物料!$X882="公司筐",N(对接源_02物料!$T882)&lt;&gt;0)),1,0)</f>
        <v>0</v>
      </c>
      <c r="Q2082">
        <f>N(Q2081)+$P2082</f>
        <v>14</v>
      </c>
      <c r="R2082">
        <f>IF(AND($K2082=1,AND(对接源_02物料!$X882="公司筐",N(对接源_02物料!$U882)&lt;&gt;0)),1,0)</f>
        <v>0</v>
      </c>
      <c r="S2082">
        <f>N(S2081)+$R2082</f>
        <v>1</v>
      </c>
      <c r="T2082">
        <f>IF(AND($K2082=1,AND(对接源_02物料!$X882="公司筐",N(对接源_02物料!$V882)&lt;&gt;0)),1,0)</f>
        <v>0</v>
      </c>
      <c r="U2082">
        <f>N(U2081)+$T2082</f>
        <v>47</v>
      </c>
      <c r="V2082">
        <f>IF(AND($L2082=1,AND(对接源_02物料!$X882="自备筐",N(对接源_02物料!$V882)&lt;&gt;0)),1,0)</f>
        <v>0</v>
      </c>
      <c r="W2082">
        <f>N(W2081)+$V2082</f>
        <v>11</v>
      </c>
      <c r="X2082">
        <f>IF(AND($L2082=1,AND(对接源_02物料!$X882="自备筐",N(对接源_02物料!$T882)&lt;&gt;0)),1,0)</f>
        <v>0</v>
      </c>
      <c r="Y2082">
        <f>N(Y2081)+$X2082</f>
        <v>0</v>
      </c>
      <c r="Z2082">
        <f>IF(AND($M2082=1,对接源_02物料!$D882="原料入库"),1,0)</f>
        <v>0</v>
      </c>
      <c r="AA2082">
        <f>N(AA2081)+$Z2082</f>
        <v>24</v>
      </c>
      <c r="AB2082">
        <f>IF(AND($M2082=1,LEFT(对接源_02物料!$D882,4)="原料出库"),1,0)</f>
        <v>0</v>
      </c>
      <c r="AC2082">
        <f>N(AC2081)+$AB2082</f>
        <v>0</v>
      </c>
      <c r="AD2082">
        <f>IF(AND($M2082=1,LEFT(对接源_02物料!$D882,4)="成品出库"),1,0)</f>
        <v>0</v>
      </c>
      <c r="AE2082">
        <f>N(AE2081)+$AD2082</f>
        <v>0</v>
      </c>
      <c r="AF2082">
        <f>IF(AND($N2082=1,AND(LEFT(对接源_02物料!$D882,4)="包装物料",N(对接源_02物料!$K882)&lt;&gt;0)),1,0)</f>
        <v>0</v>
      </c>
      <c r="AG2082">
        <f>N(AG2081)+$AF2082</f>
        <v>10</v>
      </c>
      <c r="AH2082">
        <f>IF(AND($N2082=1,AND(对接源_02物料!$D882="周转筐－销售出库",N(对接源_02物料!$K882)&lt;&gt;0)),1,0)</f>
        <v>0</v>
      </c>
      <c r="AI2082">
        <f>N(AI2081)+$AH2082</f>
        <v>0</v>
      </c>
      <c r="AL2082" t="n">
        <v>0</v>
      </c>
      <c r="AM2082">
        <f>N(AM2081)+$AL2082</f>
        <v>2</v>
      </c>
      <c r="AN2082">
        <f>""</f>
      </c>
      <c r="AO2082" t="n">
        <v>0</v>
      </c>
      <c r="AP2082">
        <f>N(AP2081)+$AO2082</f>
        <v>13</v>
      </c>
      <c r="AR2082">
        <f>IF(OR($AF2082=1,$AH2082=1),1,0)</f>
        <v>0</v>
      </c>
      <c r="AS2082">
        <f>N(AS2081)+$AR2082</f>
        <v>10</v>
      </c>
    </row>
    <row r="2083" s="127">
      <c r="A2083">
        <f>IF(对接源_02物料!$C883="","",对接源_02物料!$C883)</f>
      </c>
      <c r="B2083">
        <f>IF(A2083="",0,IF(MATCH(A2083,$A$4:$A$2403,0)=ROW()-3,1,0))</f>
        <v>0</v>
      </c>
      <c r="C2083">
        <f>N(C2082)+B2083</f>
        <v>26</v>
      </c>
      <c r="K2083">
        <f>IF(OR($K$1="",对接源_02物料!$C883="",对接源_02物料!$C883&lt;&gt;$K$1,对接源_02物料!$B883=""),0,IF(OR(N(对接源_02物料!$B883)&lt;$K$2,N(对接源_02物料!$B883)&gt;$K$3),0,1))</f>
        <v>0</v>
      </c>
      <c r="L2083">
        <f>IF(OR($L$1="",对接源_02物料!$C883="",对接源_02物料!$C883&lt;&gt;$L$1,对接源_02物料!$B883=""),0,IF(OR(N(对接源_02物料!$B883)&lt;$L$2,N(对接源_02物料!$B883)&gt;$L$3),0,1))</f>
        <v>0</v>
      </c>
      <c r="M2083">
        <f>IF(OR($M$1="",对接源_02物料!$C883="",对接源_02物料!$C883&lt;&gt;$M$1,对接源_02物料!$B883=""),0,IF(OR(N(对接源_02物料!$B883)&lt;$M$2,N(对接源_02物料!$B883)&gt;$M$3),0,1))</f>
        <v>0</v>
      </c>
      <c r="N2083">
        <f>IF(OR($N$1="",对接源_02物料!$C883="",对接源_02物料!$C883&lt;&gt;$N$1,对接源_02物料!$B883=""),0,IF(OR(N(对接源_02物料!$B883)&lt;$N$2,N(对接源_02物料!$B883)&gt;$N$3),0,1))</f>
        <v>0</v>
      </c>
      <c r="P2083">
        <f>IF(AND($K2083=1,AND(对接源_02物料!$X883="公司筐",N(对接源_02物料!$T883)&lt;&gt;0)),1,0)</f>
        <v>0</v>
      </c>
      <c r="Q2083">
        <f>N(Q2082)+$P2083</f>
        <v>14</v>
      </c>
      <c r="R2083">
        <f>IF(AND($K2083=1,AND(对接源_02物料!$X883="公司筐",N(对接源_02物料!$U883)&lt;&gt;0)),1,0)</f>
        <v>0</v>
      </c>
      <c r="S2083">
        <f>N(S2082)+$R2083</f>
        <v>1</v>
      </c>
      <c r="T2083">
        <f>IF(AND($K2083=1,AND(对接源_02物料!$X883="公司筐",N(对接源_02物料!$V883)&lt;&gt;0)),1,0)</f>
        <v>0</v>
      </c>
      <c r="U2083">
        <f>N(U2082)+$T2083</f>
        <v>47</v>
      </c>
      <c r="V2083">
        <f>IF(AND($L2083=1,AND(对接源_02物料!$X883="自备筐",N(对接源_02物料!$V883)&lt;&gt;0)),1,0)</f>
        <v>0</v>
      </c>
      <c r="W2083">
        <f>N(W2082)+$V2083</f>
        <v>11</v>
      </c>
      <c r="X2083">
        <f>IF(AND($L2083=1,AND(对接源_02物料!$X883="自备筐",N(对接源_02物料!$T883)&lt;&gt;0)),1,0)</f>
        <v>0</v>
      </c>
      <c r="Y2083">
        <f>N(Y2082)+$X2083</f>
        <v>0</v>
      </c>
      <c r="Z2083">
        <f>IF(AND($M2083=1,对接源_02物料!$D883="原料入库"),1,0)</f>
        <v>0</v>
      </c>
      <c r="AA2083">
        <f>N(AA2082)+$Z2083</f>
        <v>24</v>
      </c>
      <c r="AB2083">
        <f>IF(AND($M2083=1,LEFT(对接源_02物料!$D883,4)="原料出库"),1,0)</f>
        <v>0</v>
      </c>
      <c r="AC2083">
        <f>N(AC2082)+$AB2083</f>
        <v>0</v>
      </c>
      <c r="AD2083">
        <f>IF(AND($M2083=1,LEFT(对接源_02物料!$D883,4)="成品出库"),1,0)</f>
        <v>0</v>
      </c>
      <c r="AE2083">
        <f>N(AE2082)+$AD2083</f>
        <v>0</v>
      </c>
      <c r="AF2083">
        <f>IF(AND($N2083=1,AND(LEFT(对接源_02物料!$D883,4)="包装物料",N(对接源_02物料!$K883)&lt;&gt;0)),1,0)</f>
        <v>0</v>
      </c>
      <c r="AG2083">
        <f>N(AG2082)+$AF2083</f>
        <v>10</v>
      </c>
      <c r="AH2083">
        <f>IF(AND($N2083=1,AND(对接源_02物料!$D883="周转筐－销售出库",N(对接源_02物料!$K883)&lt;&gt;0)),1,0)</f>
        <v>0</v>
      </c>
      <c r="AI2083">
        <f>N(AI2082)+$AH2083</f>
        <v>0</v>
      </c>
      <c r="AL2083" t="n">
        <v>0</v>
      </c>
      <c r="AM2083">
        <f>N(AM2082)+$AL2083</f>
        <v>2</v>
      </c>
      <c r="AN2083">
        <f>""</f>
      </c>
      <c r="AO2083" t="n">
        <v>0</v>
      </c>
      <c r="AP2083">
        <f>N(AP2082)+$AO2083</f>
        <v>13</v>
      </c>
      <c r="AR2083">
        <f>IF(OR($AF2083=1,$AH2083=1),1,0)</f>
        <v>0</v>
      </c>
      <c r="AS2083">
        <f>N(AS2082)+$AR2083</f>
        <v>10</v>
      </c>
    </row>
    <row r="2084" s="127">
      <c r="A2084">
        <f>IF(对接源_02物料!$C884="","",对接源_02物料!$C884)</f>
      </c>
      <c r="B2084">
        <f>IF(A2084="",0,IF(MATCH(A2084,$A$4:$A$2403,0)=ROW()-3,1,0))</f>
        <v>0</v>
      </c>
      <c r="C2084">
        <f>N(C2083)+B2084</f>
        <v>26</v>
      </c>
      <c r="K2084">
        <f>IF(OR($K$1="",对接源_02物料!$C884="",对接源_02物料!$C884&lt;&gt;$K$1,对接源_02物料!$B884=""),0,IF(OR(N(对接源_02物料!$B884)&lt;$K$2,N(对接源_02物料!$B884)&gt;$K$3),0,1))</f>
        <v>0</v>
      </c>
      <c r="L2084">
        <f>IF(OR($L$1="",对接源_02物料!$C884="",对接源_02物料!$C884&lt;&gt;$L$1,对接源_02物料!$B884=""),0,IF(OR(N(对接源_02物料!$B884)&lt;$L$2,N(对接源_02物料!$B884)&gt;$L$3),0,1))</f>
        <v>0</v>
      </c>
      <c r="M2084">
        <f>IF(OR($M$1="",对接源_02物料!$C884="",对接源_02物料!$C884&lt;&gt;$M$1,对接源_02物料!$B884=""),0,IF(OR(N(对接源_02物料!$B884)&lt;$M$2,N(对接源_02物料!$B884)&gt;$M$3),0,1))</f>
        <v>0</v>
      </c>
      <c r="N2084">
        <f>IF(OR($N$1="",对接源_02物料!$C884="",对接源_02物料!$C884&lt;&gt;$N$1,对接源_02物料!$B884=""),0,IF(OR(N(对接源_02物料!$B884)&lt;$N$2,N(对接源_02物料!$B884)&gt;$N$3),0,1))</f>
        <v>0</v>
      </c>
      <c r="P2084">
        <f>IF(AND($K2084=1,AND(对接源_02物料!$X884="公司筐",N(对接源_02物料!$T884)&lt;&gt;0)),1,0)</f>
        <v>0</v>
      </c>
      <c r="Q2084">
        <f>N(Q2083)+$P2084</f>
        <v>14</v>
      </c>
      <c r="R2084">
        <f>IF(AND($K2084=1,AND(对接源_02物料!$X884="公司筐",N(对接源_02物料!$U884)&lt;&gt;0)),1,0)</f>
        <v>0</v>
      </c>
      <c r="S2084">
        <f>N(S2083)+$R2084</f>
        <v>1</v>
      </c>
      <c r="T2084">
        <f>IF(AND($K2084=1,AND(对接源_02物料!$X884="公司筐",N(对接源_02物料!$V884)&lt;&gt;0)),1,0)</f>
        <v>0</v>
      </c>
      <c r="U2084">
        <f>N(U2083)+$T2084</f>
        <v>47</v>
      </c>
      <c r="V2084">
        <f>IF(AND($L2084=1,AND(对接源_02物料!$X884="自备筐",N(对接源_02物料!$V884)&lt;&gt;0)),1,0)</f>
        <v>0</v>
      </c>
      <c r="W2084">
        <f>N(W2083)+$V2084</f>
        <v>11</v>
      </c>
      <c r="X2084">
        <f>IF(AND($L2084=1,AND(对接源_02物料!$X884="自备筐",N(对接源_02物料!$T884)&lt;&gt;0)),1,0)</f>
        <v>0</v>
      </c>
      <c r="Y2084">
        <f>N(Y2083)+$X2084</f>
        <v>0</v>
      </c>
      <c r="Z2084">
        <f>IF(AND($M2084=1,对接源_02物料!$D884="原料入库"),1,0)</f>
        <v>0</v>
      </c>
      <c r="AA2084">
        <f>N(AA2083)+$Z2084</f>
        <v>24</v>
      </c>
      <c r="AB2084">
        <f>IF(AND($M2084=1,LEFT(对接源_02物料!$D884,4)="原料出库"),1,0)</f>
        <v>0</v>
      </c>
      <c r="AC2084">
        <f>N(AC2083)+$AB2084</f>
        <v>0</v>
      </c>
      <c r="AD2084">
        <f>IF(AND($M2084=1,LEFT(对接源_02物料!$D884,4)="成品出库"),1,0)</f>
        <v>0</v>
      </c>
      <c r="AE2084">
        <f>N(AE2083)+$AD2084</f>
        <v>0</v>
      </c>
      <c r="AF2084">
        <f>IF(AND($N2084=1,AND(LEFT(对接源_02物料!$D884,4)="包装物料",N(对接源_02物料!$K884)&lt;&gt;0)),1,0)</f>
        <v>0</v>
      </c>
      <c r="AG2084">
        <f>N(AG2083)+$AF2084</f>
        <v>10</v>
      </c>
      <c r="AH2084">
        <f>IF(AND($N2084=1,AND(对接源_02物料!$D884="周转筐－销售出库",N(对接源_02物料!$K884)&lt;&gt;0)),1,0)</f>
        <v>0</v>
      </c>
      <c r="AI2084">
        <f>N(AI2083)+$AH2084</f>
        <v>0</v>
      </c>
      <c r="AL2084" t="n">
        <v>0</v>
      </c>
      <c r="AM2084">
        <f>N(AM2083)+$AL2084</f>
        <v>2</v>
      </c>
      <c r="AN2084">
        <f>""</f>
      </c>
      <c r="AO2084" t="n">
        <v>0</v>
      </c>
      <c r="AP2084">
        <f>N(AP2083)+$AO2084</f>
        <v>13</v>
      </c>
      <c r="AR2084">
        <f>IF(OR($AF2084=1,$AH2084=1),1,0)</f>
        <v>0</v>
      </c>
      <c r="AS2084">
        <f>N(AS2083)+$AR2084</f>
        <v>10</v>
      </c>
    </row>
    <row r="2085" s="127">
      <c r="A2085">
        <f>IF(对接源_02物料!$C885="","",对接源_02物料!$C885)</f>
      </c>
      <c r="B2085">
        <f>IF(A2085="",0,IF(MATCH(A2085,$A$4:$A$2403,0)=ROW()-3,1,0))</f>
        <v>0</v>
      </c>
      <c r="C2085">
        <f>N(C2084)+B2085</f>
        <v>26</v>
      </c>
      <c r="K2085">
        <f>IF(OR($K$1="",对接源_02物料!$C885="",对接源_02物料!$C885&lt;&gt;$K$1,对接源_02物料!$B885=""),0,IF(OR(N(对接源_02物料!$B885)&lt;$K$2,N(对接源_02物料!$B885)&gt;$K$3),0,1))</f>
        <v>0</v>
      </c>
      <c r="L2085">
        <f>IF(OR($L$1="",对接源_02物料!$C885="",对接源_02物料!$C885&lt;&gt;$L$1,对接源_02物料!$B885=""),0,IF(OR(N(对接源_02物料!$B885)&lt;$L$2,N(对接源_02物料!$B885)&gt;$L$3),0,1))</f>
        <v>0</v>
      </c>
      <c r="M2085">
        <f>IF(OR($M$1="",对接源_02物料!$C885="",对接源_02物料!$C885&lt;&gt;$M$1,对接源_02物料!$B885=""),0,IF(OR(N(对接源_02物料!$B885)&lt;$M$2,N(对接源_02物料!$B885)&gt;$M$3),0,1))</f>
        <v>0</v>
      </c>
      <c r="N2085">
        <f>IF(OR($N$1="",对接源_02物料!$C885="",对接源_02物料!$C885&lt;&gt;$N$1,对接源_02物料!$B885=""),0,IF(OR(N(对接源_02物料!$B885)&lt;$N$2,N(对接源_02物料!$B885)&gt;$N$3),0,1))</f>
        <v>0</v>
      </c>
      <c r="P2085">
        <f>IF(AND($K2085=1,AND(对接源_02物料!$X885="公司筐",N(对接源_02物料!$T885)&lt;&gt;0)),1,0)</f>
        <v>0</v>
      </c>
      <c r="Q2085">
        <f>N(Q2084)+$P2085</f>
        <v>14</v>
      </c>
      <c r="R2085">
        <f>IF(AND($K2085=1,AND(对接源_02物料!$X885="公司筐",N(对接源_02物料!$U885)&lt;&gt;0)),1,0)</f>
        <v>0</v>
      </c>
      <c r="S2085">
        <f>N(S2084)+$R2085</f>
        <v>1</v>
      </c>
      <c r="T2085">
        <f>IF(AND($K2085=1,AND(对接源_02物料!$X885="公司筐",N(对接源_02物料!$V885)&lt;&gt;0)),1,0)</f>
        <v>0</v>
      </c>
      <c r="U2085">
        <f>N(U2084)+$T2085</f>
        <v>47</v>
      </c>
      <c r="V2085">
        <f>IF(AND($L2085=1,AND(对接源_02物料!$X885="自备筐",N(对接源_02物料!$V885)&lt;&gt;0)),1,0)</f>
        <v>0</v>
      </c>
      <c r="W2085">
        <f>N(W2084)+$V2085</f>
        <v>11</v>
      </c>
      <c r="X2085">
        <f>IF(AND($L2085=1,AND(对接源_02物料!$X885="自备筐",N(对接源_02物料!$T885)&lt;&gt;0)),1,0)</f>
        <v>0</v>
      </c>
      <c r="Y2085">
        <f>N(Y2084)+$X2085</f>
        <v>0</v>
      </c>
      <c r="Z2085">
        <f>IF(AND($M2085=1,对接源_02物料!$D885="原料入库"),1,0)</f>
        <v>0</v>
      </c>
      <c r="AA2085">
        <f>N(AA2084)+$Z2085</f>
        <v>24</v>
      </c>
      <c r="AB2085">
        <f>IF(AND($M2085=1,LEFT(对接源_02物料!$D885,4)="原料出库"),1,0)</f>
        <v>0</v>
      </c>
      <c r="AC2085">
        <f>N(AC2084)+$AB2085</f>
        <v>0</v>
      </c>
      <c r="AD2085">
        <f>IF(AND($M2085=1,LEFT(对接源_02物料!$D885,4)="成品出库"),1,0)</f>
        <v>0</v>
      </c>
      <c r="AE2085">
        <f>N(AE2084)+$AD2085</f>
        <v>0</v>
      </c>
      <c r="AF2085">
        <f>IF(AND($N2085=1,AND(LEFT(对接源_02物料!$D885,4)="包装物料",N(对接源_02物料!$K885)&lt;&gt;0)),1,0)</f>
        <v>0</v>
      </c>
      <c r="AG2085">
        <f>N(AG2084)+$AF2085</f>
        <v>10</v>
      </c>
      <c r="AH2085">
        <f>IF(AND($N2085=1,AND(对接源_02物料!$D885="周转筐－销售出库",N(对接源_02物料!$K885)&lt;&gt;0)),1,0)</f>
        <v>0</v>
      </c>
      <c r="AI2085">
        <f>N(AI2084)+$AH2085</f>
        <v>0</v>
      </c>
      <c r="AL2085" t="n">
        <v>0</v>
      </c>
      <c r="AM2085">
        <f>N(AM2084)+$AL2085</f>
        <v>2</v>
      </c>
      <c r="AN2085">
        <f>""</f>
      </c>
      <c r="AO2085" t="n">
        <v>0</v>
      </c>
      <c r="AP2085">
        <f>N(AP2084)+$AO2085</f>
        <v>13</v>
      </c>
      <c r="AR2085">
        <f>IF(OR($AF2085=1,$AH2085=1),1,0)</f>
        <v>0</v>
      </c>
      <c r="AS2085">
        <f>N(AS2084)+$AR2085</f>
        <v>10</v>
      </c>
    </row>
    <row r="2086" s="127">
      <c r="A2086">
        <f>IF(对接源_02物料!$C886="","",对接源_02物料!$C886)</f>
      </c>
      <c r="B2086">
        <f>IF(A2086="",0,IF(MATCH(A2086,$A$4:$A$2403,0)=ROW()-3,1,0))</f>
        <v>0</v>
      </c>
      <c r="C2086">
        <f>N(C2085)+B2086</f>
        <v>26</v>
      </c>
      <c r="K2086">
        <f>IF(OR($K$1="",对接源_02物料!$C886="",对接源_02物料!$C886&lt;&gt;$K$1,对接源_02物料!$B886=""),0,IF(OR(N(对接源_02物料!$B886)&lt;$K$2,N(对接源_02物料!$B886)&gt;$K$3),0,1))</f>
        <v>0</v>
      </c>
      <c r="L2086">
        <f>IF(OR($L$1="",对接源_02物料!$C886="",对接源_02物料!$C886&lt;&gt;$L$1,对接源_02物料!$B886=""),0,IF(OR(N(对接源_02物料!$B886)&lt;$L$2,N(对接源_02物料!$B886)&gt;$L$3),0,1))</f>
        <v>0</v>
      </c>
      <c r="M2086">
        <f>IF(OR($M$1="",对接源_02物料!$C886="",对接源_02物料!$C886&lt;&gt;$M$1,对接源_02物料!$B886=""),0,IF(OR(N(对接源_02物料!$B886)&lt;$M$2,N(对接源_02物料!$B886)&gt;$M$3),0,1))</f>
        <v>0</v>
      </c>
      <c r="N2086">
        <f>IF(OR($N$1="",对接源_02物料!$C886="",对接源_02物料!$C886&lt;&gt;$N$1,对接源_02物料!$B886=""),0,IF(OR(N(对接源_02物料!$B886)&lt;$N$2,N(对接源_02物料!$B886)&gt;$N$3),0,1))</f>
        <v>0</v>
      </c>
      <c r="P2086">
        <f>IF(AND($K2086=1,AND(对接源_02物料!$X886="公司筐",N(对接源_02物料!$T886)&lt;&gt;0)),1,0)</f>
        <v>0</v>
      </c>
      <c r="Q2086">
        <f>N(Q2085)+$P2086</f>
        <v>14</v>
      </c>
      <c r="R2086">
        <f>IF(AND($K2086=1,AND(对接源_02物料!$X886="公司筐",N(对接源_02物料!$U886)&lt;&gt;0)),1,0)</f>
        <v>0</v>
      </c>
      <c r="S2086">
        <f>N(S2085)+$R2086</f>
        <v>1</v>
      </c>
      <c r="T2086">
        <f>IF(AND($K2086=1,AND(对接源_02物料!$X886="公司筐",N(对接源_02物料!$V886)&lt;&gt;0)),1,0)</f>
        <v>0</v>
      </c>
      <c r="U2086">
        <f>N(U2085)+$T2086</f>
        <v>47</v>
      </c>
      <c r="V2086">
        <f>IF(AND($L2086=1,AND(对接源_02物料!$X886="自备筐",N(对接源_02物料!$V886)&lt;&gt;0)),1,0)</f>
        <v>0</v>
      </c>
      <c r="W2086">
        <f>N(W2085)+$V2086</f>
        <v>11</v>
      </c>
      <c r="X2086">
        <f>IF(AND($L2086=1,AND(对接源_02物料!$X886="自备筐",N(对接源_02物料!$T886)&lt;&gt;0)),1,0)</f>
        <v>0</v>
      </c>
      <c r="Y2086">
        <f>N(Y2085)+$X2086</f>
        <v>0</v>
      </c>
      <c r="Z2086">
        <f>IF(AND($M2086=1,对接源_02物料!$D886="原料入库"),1,0)</f>
        <v>0</v>
      </c>
      <c r="AA2086">
        <f>N(AA2085)+$Z2086</f>
        <v>24</v>
      </c>
      <c r="AB2086">
        <f>IF(AND($M2086=1,LEFT(对接源_02物料!$D886,4)="原料出库"),1,0)</f>
        <v>0</v>
      </c>
      <c r="AC2086">
        <f>N(AC2085)+$AB2086</f>
        <v>0</v>
      </c>
      <c r="AD2086">
        <f>IF(AND($M2086=1,LEFT(对接源_02物料!$D886,4)="成品出库"),1,0)</f>
        <v>0</v>
      </c>
      <c r="AE2086">
        <f>N(AE2085)+$AD2086</f>
        <v>0</v>
      </c>
      <c r="AF2086">
        <f>IF(AND($N2086=1,AND(LEFT(对接源_02物料!$D886,4)="包装物料",N(对接源_02物料!$K886)&lt;&gt;0)),1,0)</f>
        <v>0</v>
      </c>
      <c r="AG2086">
        <f>N(AG2085)+$AF2086</f>
        <v>10</v>
      </c>
      <c r="AH2086">
        <f>IF(AND($N2086=1,AND(对接源_02物料!$D886="周转筐－销售出库",N(对接源_02物料!$K886)&lt;&gt;0)),1,0)</f>
        <v>0</v>
      </c>
      <c r="AI2086">
        <f>N(AI2085)+$AH2086</f>
        <v>0</v>
      </c>
      <c r="AL2086" t="n">
        <v>0</v>
      </c>
      <c r="AM2086">
        <f>N(AM2085)+$AL2086</f>
        <v>2</v>
      </c>
      <c r="AN2086">
        <f>""</f>
      </c>
      <c r="AO2086" t="n">
        <v>0</v>
      </c>
      <c r="AP2086">
        <f>N(AP2085)+$AO2086</f>
        <v>13</v>
      </c>
      <c r="AR2086">
        <f>IF(OR($AF2086=1,$AH2086=1),1,0)</f>
        <v>0</v>
      </c>
      <c r="AS2086">
        <f>N(AS2085)+$AR2086</f>
        <v>10</v>
      </c>
    </row>
    <row r="2087" s="127">
      <c r="A2087">
        <f>IF(对接源_02物料!$C887="","",对接源_02物料!$C887)</f>
      </c>
      <c r="B2087">
        <f>IF(A2087="",0,IF(MATCH(A2087,$A$4:$A$2403,0)=ROW()-3,1,0))</f>
        <v>0</v>
      </c>
      <c r="C2087">
        <f>N(C2086)+B2087</f>
        <v>26</v>
      </c>
      <c r="K2087">
        <f>IF(OR($K$1="",对接源_02物料!$C887="",对接源_02物料!$C887&lt;&gt;$K$1,对接源_02物料!$B887=""),0,IF(OR(N(对接源_02物料!$B887)&lt;$K$2,N(对接源_02物料!$B887)&gt;$K$3),0,1))</f>
        <v>0</v>
      </c>
      <c r="L2087">
        <f>IF(OR($L$1="",对接源_02物料!$C887="",对接源_02物料!$C887&lt;&gt;$L$1,对接源_02物料!$B887=""),0,IF(OR(N(对接源_02物料!$B887)&lt;$L$2,N(对接源_02物料!$B887)&gt;$L$3),0,1))</f>
        <v>0</v>
      </c>
      <c r="M2087">
        <f>IF(OR($M$1="",对接源_02物料!$C887="",对接源_02物料!$C887&lt;&gt;$M$1,对接源_02物料!$B887=""),0,IF(OR(N(对接源_02物料!$B887)&lt;$M$2,N(对接源_02物料!$B887)&gt;$M$3),0,1))</f>
        <v>0</v>
      </c>
      <c r="N2087">
        <f>IF(OR($N$1="",对接源_02物料!$C887="",对接源_02物料!$C887&lt;&gt;$N$1,对接源_02物料!$B887=""),0,IF(OR(N(对接源_02物料!$B887)&lt;$N$2,N(对接源_02物料!$B887)&gt;$N$3),0,1))</f>
        <v>0</v>
      </c>
      <c r="P2087">
        <f>IF(AND($K2087=1,AND(对接源_02物料!$X887="公司筐",N(对接源_02物料!$T887)&lt;&gt;0)),1,0)</f>
        <v>0</v>
      </c>
      <c r="Q2087">
        <f>N(Q2086)+$P2087</f>
        <v>14</v>
      </c>
      <c r="R2087">
        <f>IF(AND($K2087=1,AND(对接源_02物料!$X887="公司筐",N(对接源_02物料!$U887)&lt;&gt;0)),1,0)</f>
        <v>0</v>
      </c>
      <c r="S2087">
        <f>N(S2086)+$R2087</f>
        <v>1</v>
      </c>
      <c r="T2087">
        <f>IF(AND($K2087=1,AND(对接源_02物料!$X887="公司筐",N(对接源_02物料!$V887)&lt;&gt;0)),1,0)</f>
        <v>0</v>
      </c>
      <c r="U2087">
        <f>N(U2086)+$T2087</f>
        <v>47</v>
      </c>
      <c r="V2087">
        <f>IF(AND($L2087=1,AND(对接源_02物料!$X887="自备筐",N(对接源_02物料!$V887)&lt;&gt;0)),1,0)</f>
        <v>0</v>
      </c>
      <c r="W2087">
        <f>N(W2086)+$V2087</f>
        <v>11</v>
      </c>
      <c r="X2087">
        <f>IF(AND($L2087=1,AND(对接源_02物料!$X887="自备筐",N(对接源_02物料!$T887)&lt;&gt;0)),1,0)</f>
        <v>0</v>
      </c>
      <c r="Y2087">
        <f>N(Y2086)+$X2087</f>
        <v>0</v>
      </c>
      <c r="Z2087">
        <f>IF(AND($M2087=1,对接源_02物料!$D887="原料入库"),1,0)</f>
        <v>0</v>
      </c>
      <c r="AA2087">
        <f>N(AA2086)+$Z2087</f>
        <v>24</v>
      </c>
      <c r="AB2087">
        <f>IF(AND($M2087=1,LEFT(对接源_02物料!$D887,4)="原料出库"),1,0)</f>
        <v>0</v>
      </c>
      <c r="AC2087">
        <f>N(AC2086)+$AB2087</f>
        <v>0</v>
      </c>
      <c r="AD2087">
        <f>IF(AND($M2087=1,LEFT(对接源_02物料!$D887,4)="成品出库"),1,0)</f>
        <v>0</v>
      </c>
      <c r="AE2087">
        <f>N(AE2086)+$AD2087</f>
        <v>0</v>
      </c>
      <c r="AF2087">
        <f>IF(AND($N2087=1,AND(LEFT(对接源_02物料!$D887,4)="包装物料",N(对接源_02物料!$K887)&lt;&gt;0)),1,0)</f>
        <v>0</v>
      </c>
      <c r="AG2087">
        <f>N(AG2086)+$AF2087</f>
        <v>10</v>
      </c>
      <c r="AH2087">
        <f>IF(AND($N2087=1,AND(对接源_02物料!$D887="周转筐－销售出库",N(对接源_02物料!$K887)&lt;&gt;0)),1,0)</f>
        <v>0</v>
      </c>
      <c r="AI2087">
        <f>N(AI2086)+$AH2087</f>
        <v>0</v>
      </c>
      <c r="AL2087" t="n">
        <v>0</v>
      </c>
      <c r="AM2087">
        <f>N(AM2086)+$AL2087</f>
        <v>2</v>
      </c>
      <c r="AN2087">
        <f>""</f>
      </c>
      <c r="AO2087" t="n">
        <v>0</v>
      </c>
      <c r="AP2087">
        <f>N(AP2086)+$AO2087</f>
        <v>13</v>
      </c>
      <c r="AR2087">
        <f>IF(OR($AF2087=1,$AH2087=1),1,0)</f>
        <v>0</v>
      </c>
      <c r="AS2087">
        <f>N(AS2086)+$AR2087</f>
        <v>10</v>
      </c>
    </row>
    <row r="2088" s="127">
      <c r="A2088">
        <f>IF(对接源_02物料!$C888="","",对接源_02物料!$C888)</f>
      </c>
      <c r="B2088">
        <f>IF(A2088="",0,IF(MATCH(A2088,$A$4:$A$2403,0)=ROW()-3,1,0))</f>
        <v>0</v>
      </c>
      <c r="C2088">
        <f>N(C2087)+B2088</f>
        <v>26</v>
      </c>
      <c r="K2088">
        <f>IF(OR($K$1="",对接源_02物料!$C888="",对接源_02物料!$C888&lt;&gt;$K$1,对接源_02物料!$B888=""),0,IF(OR(N(对接源_02物料!$B888)&lt;$K$2,N(对接源_02物料!$B888)&gt;$K$3),0,1))</f>
        <v>0</v>
      </c>
      <c r="L2088">
        <f>IF(OR($L$1="",对接源_02物料!$C888="",对接源_02物料!$C888&lt;&gt;$L$1,对接源_02物料!$B888=""),0,IF(OR(N(对接源_02物料!$B888)&lt;$L$2,N(对接源_02物料!$B888)&gt;$L$3),0,1))</f>
        <v>0</v>
      </c>
      <c r="M2088">
        <f>IF(OR($M$1="",对接源_02物料!$C888="",对接源_02物料!$C888&lt;&gt;$M$1,对接源_02物料!$B888=""),0,IF(OR(N(对接源_02物料!$B888)&lt;$M$2,N(对接源_02物料!$B888)&gt;$M$3),0,1))</f>
        <v>0</v>
      </c>
      <c r="N2088">
        <f>IF(OR($N$1="",对接源_02物料!$C888="",对接源_02物料!$C888&lt;&gt;$N$1,对接源_02物料!$B888=""),0,IF(OR(N(对接源_02物料!$B888)&lt;$N$2,N(对接源_02物料!$B888)&gt;$N$3),0,1))</f>
        <v>0</v>
      </c>
      <c r="P2088">
        <f>IF(AND($K2088=1,AND(对接源_02物料!$X888="公司筐",N(对接源_02物料!$T888)&lt;&gt;0)),1,0)</f>
        <v>0</v>
      </c>
      <c r="Q2088">
        <f>N(Q2087)+$P2088</f>
        <v>14</v>
      </c>
      <c r="R2088">
        <f>IF(AND($K2088=1,AND(对接源_02物料!$X888="公司筐",N(对接源_02物料!$U888)&lt;&gt;0)),1,0)</f>
        <v>0</v>
      </c>
      <c r="S2088">
        <f>N(S2087)+$R2088</f>
        <v>1</v>
      </c>
      <c r="T2088">
        <f>IF(AND($K2088=1,AND(对接源_02物料!$X888="公司筐",N(对接源_02物料!$V888)&lt;&gt;0)),1,0)</f>
        <v>0</v>
      </c>
      <c r="U2088">
        <f>N(U2087)+$T2088</f>
        <v>47</v>
      </c>
      <c r="V2088">
        <f>IF(AND($L2088=1,AND(对接源_02物料!$X888="自备筐",N(对接源_02物料!$V888)&lt;&gt;0)),1,0)</f>
        <v>0</v>
      </c>
      <c r="W2088">
        <f>N(W2087)+$V2088</f>
        <v>11</v>
      </c>
      <c r="X2088">
        <f>IF(AND($L2088=1,AND(对接源_02物料!$X888="自备筐",N(对接源_02物料!$T888)&lt;&gt;0)),1,0)</f>
        <v>0</v>
      </c>
      <c r="Y2088">
        <f>N(Y2087)+$X2088</f>
        <v>0</v>
      </c>
      <c r="Z2088">
        <f>IF(AND($M2088=1,对接源_02物料!$D888="原料入库"),1,0)</f>
        <v>0</v>
      </c>
      <c r="AA2088">
        <f>N(AA2087)+$Z2088</f>
        <v>24</v>
      </c>
      <c r="AB2088">
        <f>IF(AND($M2088=1,LEFT(对接源_02物料!$D888,4)="原料出库"),1,0)</f>
        <v>0</v>
      </c>
      <c r="AC2088">
        <f>N(AC2087)+$AB2088</f>
        <v>0</v>
      </c>
      <c r="AD2088">
        <f>IF(AND($M2088=1,LEFT(对接源_02物料!$D888,4)="成品出库"),1,0)</f>
        <v>0</v>
      </c>
      <c r="AE2088">
        <f>N(AE2087)+$AD2088</f>
        <v>0</v>
      </c>
      <c r="AF2088">
        <f>IF(AND($N2088=1,AND(LEFT(对接源_02物料!$D888,4)="包装物料",N(对接源_02物料!$K888)&lt;&gt;0)),1,0)</f>
        <v>0</v>
      </c>
      <c r="AG2088">
        <f>N(AG2087)+$AF2088</f>
        <v>10</v>
      </c>
      <c r="AH2088">
        <f>IF(AND($N2088=1,AND(对接源_02物料!$D888="周转筐－销售出库",N(对接源_02物料!$K888)&lt;&gt;0)),1,0)</f>
        <v>0</v>
      </c>
      <c r="AI2088">
        <f>N(AI2087)+$AH2088</f>
        <v>0</v>
      </c>
      <c r="AL2088" t="n">
        <v>0</v>
      </c>
      <c r="AM2088">
        <f>N(AM2087)+$AL2088</f>
        <v>2</v>
      </c>
      <c r="AN2088">
        <f>""</f>
      </c>
      <c r="AO2088" t="n">
        <v>0</v>
      </c>
      <c r="AP2088">
        <f>N(AP2087)+$AO2088</f>
        <v>13</v>
      </c>
      <c r="AR2088">
        <f>IF(OR($AF2088=1,$AH2088=1),1,0)</f>
        <v>0</v>
      </c>
      <c r="AS2088">
        <f>N(AS2087)+$AR2088</f>
        <v>10</v>
      </c>
    </row>
    <row r="2089" s="127">
      <c r="A2089">
        <f>IF(对接源_02物料!$C889="","",对接源_02物料!$C889)</f>
      </c>
      <c r="B2089">
        <f>IF(A2089="",0,IF(MATCH(A2089,$A$4:$A$2403,0)=ROW()-3,1,0))</f>
        <v>0</v>
      </c>
      <c r="C2089">
        <f>N(C2088)+B2089</f>
        <v>26</v>
      </c>
      <c r="K2089">
        <f>IF(OR($K$1="",对接源_02物料!$C889="",对接源_02物料!$C889&lt;&gt;$K$1,对接源_02物料!$B889=""),0,IF(OR(N(对接源_02物料!$B889)&lt;$K$2,N(对接源_02物料!$B889)&gt;$K$3),0,1))</f>
        <v>0</v>
      </c>
      <c r="L2089">
        <f>IF(OR($L$1="",对接源_02物料!$C889="",对接源_02物料!$C889&lt;&gt;$L$1,对接源_02物料!$B889=""),0,IF(OR(N(对接源_02物料!$B889)&lt;$L$2,N(对接源_02物料!$B889)&gt;$L$3),0,1))</f>
        <v>0</v>
      </c>
      <c r="M2089">
        <f>IF(OR($M$1="",对接源_02物料!$C889="",对接源_02物料!$C889&lt;&gt;$M$1,对接源_02物料!$B889=""),0,IF(OR(N(对接源_02物料!$B889)&lt;$M$2,N(对接源_02物料!$B889)&gt;$M$3),0,1))</f>
        <v>0</v>
      </c>
      <c r="N2089">
        <f>IF(OR($N$1="",对接源_02物料!$C889="",对接源_02物料!$C889&lt;&gt;$N$1,对接源_02物料!$B889=""),0,IF(OR(N(对接源_02物料!$B889)&lt;$N$2,N(对接源_02物料!$B889)&gt;$N$3),0,1))</f>
        <v>0</v>
      </c>
      <c r="P2089">
        <f>IF(AND($K2089=1,AND(对接源_02物料!$X889="公司筐",N(对接源_02物料!$T889)&lt;&gt;0)),1,0)</f>
        <v>0</v>
      </c>
      <c r="Q2089">
        <f>N(Q2088)+$P2089</f>
        <v>14</v>
      </c>
      <c r="R2089">
        <f>IF(AND($K2089=1,AND(对接源_02物料!$X889="公司筐",N(对接源_02物料!$U889)&lt;&gt;0)),1,0)</f>
        <v>0</v>
      </c>
      <c r="S2089">
        <f>N(S2088)+$R2089</f>
        <v>1</v>
      </c>
      <c r="T2089">
        <f>IF(AND($K2089=1,AND(对接源_02物料!$X889="公司筐",N(对接源_02物料!$V889)&lt;&gt;0)),1,0)</f>
        <v>0</v>
      </c>
      <c r="U2089">
        <f>N(U2088)+$T2089</f>
        <v>47</v>
      </c>
      <c r="V2089">
        <f>IF(AND($L2089=1,AND(对接源_02物料!$X889="自备筐",N(对接源_02物料!$V889)&lt;&gt;0)),1,0)</f>
        <v>0</v>
      </c>
      <c r="W2089">
        <f>N(W2088)+$V2089</f>
        <v>11</v>
      </c>
      <c r="X2089">
        <f>IF(AND($L2089=1,AND(对接源_02物料!$X889="自备筐",N(对接源_02物料!$T889)&lt;&gt;0)),1,0)</f>
        <v>0</v>
      </c>
      <c r="Y2089">
        <f>N(Y2088)+$X2089</f>
        <v>0</v>
      </c>
      <c r="Z2089">
        <f>IF(AND($M2089=1,对接源_02物料!$D889="原料入库"),1,0)</f>
        <v>0</v>
      </c>
      <c r="AA2089">
        <f>N(AA2088)+$Z2089</f>
        <v>24</v>
      </c>
      <c r="AB2089">
        <f>IF(AND($M2089=1,LEFT(对接源_02物料!$D889,4)="原料出库"),1,0)</f>
        <v>0</v>
      </c>
      <c r="AC2089">
        <f>N(AC2088)+$AB2089</f>
        <v>0</v>
      </c>
      <c r="AD2089">
        <f>IF(AND($M2089=1,LEFT(对接源_02物料!$D889,4)="成品出库"),1,0)</f>
        <v>0</v>
      </c>
      <c r="AE2089">
        <f>N(AE2088)+$AD2089</f>
        <v>0</v>
      </c>
      <c r="AF2089">
        <f>IF(AND($N2089=1,AND(LEFT(对接源_02物料!$D889,4)="包装物料",N(对接源_02物料!$K889)&lt;&gt;0)),1,0)</f>
        <v>0</v>
      </c>
      <c r="AG2089">
        <f>N(AG2088)+$AF2089</f>
        <v>10</v>
      </c>
      <c r="AH2089">
        <f>IF(AND($N2089=1,AND(对接源_02物料!$D889="周转筐－销售出库",N(对接源_02物料!$K889)&lt;&gt;0)),1,0)</f>
        <v>0</v>
      </c>
      <c r="AI2089">
        <f>N(AI2088)+$AH2089</f>
        <v>0</v>
      </c>
      <c r="AL2089" t="n">
        <v>0</v>
      </c>
      <c r="AM2089">
        <f>N(AM2088)+$AL2089</f>
        <v>2</v>
      </c>
      <c r="AN2089">
        <f>""</f>
      </c>
      <c r="AO2089" t="n">
        <v>0</v>
      </c>
      <c r="AP2089">
        <f>N(AP2088)+$AO2089</f>
        <v>13</v>
      </c>
      <c r="AR2089">
        <f>IF(OR($AF2089=1,$AH2089=1),1,0)</f>
        <v>0</v>
      </c>
      <c r="AS2089">
        <f>N(AS2088)+$AR2089</f>
        <v>10</v>
      </c>
    </row>
    <row r="2090" s="127">
      <c r="A2090">
        <f>IF(对接源_02物料!$C890="","",对接源_02物料!$C890)</f>
      </c>
      <c r="B2090">
        <f>IF(A2090="",0,IF(MATCH(A2090,$A$4:$A$2403,0)=ROW()-3,1,0))</f>
        <v>0</v>
      </c>
      <c r="C2090">
        <f>N(C2089)+B2090</f>
        <v>26</v>
      </c>
      <c r="K2090">
        <f>IF(OR($K$1="",对接源_02物料!$C890="",对接源_02物料!$C890&lt;&gt;$K$1,对接源_02物料!$B890=""),0,IF(OR(N(对接源_02物料!$B890)&lt;$K$2,N(对接源_02物料!$B890)&gt;$K$3),0,1))</f>
        <v>0</v>
      </c>
      <c r="L2090">
        <f>IF(OR($L$1="",对接源_02物料!$C890="",对接源_02物料!$C890&lt;&gt;$L$1,对接源_02物料!$B890=""),0,IF(OR(N(对接源_02物料!$B890)&lt;$L$2,N(对接源_02物料!$B890)&gt;$L$3),0,1))</f>
        <v>0</v>
      </c>
      <c r="M2090">
        <f>IF(OR($M$1="",对接源_02物料!$C890="",对接源_02物料!$C890&lt;&gt;$M$1,对接源_02物料!$B890=""),0,IF(OR(N(对接源_02物料!$B890)&lt;$M$2,N(对接源_02物料!$B890)&gt;$M$3),0,1))</f>
        <v>0</v>
      </c>
      <c r="N2090">
        <f>IF(OR($N$1="",对接源_02物料!$C890="",对接源_02物料!$C890&lt;&gt;$N$1,对接源_02物料!$B890=""),0,IF(OR(N(对接源_02物料!$B890)&lt;$N$2,N(对接源_02物料!$B890)&gt;$N$3),0,1))</f>
        <v>0</v>
      </c>
      <c r="P2090">
        <f>IF(AND($K2090=1,AND(对接源_02物料!$X890="公司筐",N(对接源_02物料!$T890)&lt;&gt;0)),1,0)</f>
        <v>0</v>
      </c>
      <c r="Q2090">
        <f>N(Q2089)+$P2090</f>
        <v>14</v>
      </c>
      <c r="R2090">
        <f>IF(AND($K2090=1,AND(对接源_02物料!$X890="公司筐",N(对接源_02物料!$U890)&lt;&gt;0)),1,0)</f>
        <v>0</v>
      </c>
      <c r="S2090">
        <f>N(S2089)+$R2090</f>
        <v>1</v>
      </c>
      <c r="T2090">
        <f>IF(AND($K2090=1,AND(对接源_02物料!$X890="公司筐",N(对接源_02物料!$V890)&lt;&gt;0)),1,0)</f>
        <v>0</v>
      </c>
      <c r="U2090">
        <f>N(U2089)+$T2090</f>
        <v>47</v>
      </c>
      <c r="V2090">
        <f>IF(AND($L2090=1,AND(对接源_02物料!$X890="自备筐",N(对接源_02物料!$V890)&lt;&gt;0)),1,0)</f>
        <v>0</v>
      </c>
      <c r="W2090">
        <f>N(W2089)+$V2090</f>
        <v>11</v>
      </c>
      <c r="X2090">
        <f>IF(AND($L2090=1,AND(对接源_02物料!$X890="自备筐",N(对接源_02物料!$T890)&lt;&gt;0)),1,0)</f>
        <v>0</v>
      </c>
      <c r="Y2090">
        <f>N(Y2089)+$X2090</f>
        <v>0</v>
      </c>
      <c r="Z2090">
        <f>IF(AND($M2090=1,对接源_02物料!$D890="原料入库"),1,0)</f>
        <v>0</v>
      </c>
      <c r="AA2090">
        <f>N(AA2089)+$Z2090</f>
        <v>24</v>
      </c>
      <c r="AB2090">
        <f>IF(AND($M2090=1,LEFT(对接源_02物料!$D890,4)="原料出库"),1,0)</f>
        <v>0</v>
      </c>
      <c r="AC2090">
        <f>N(AC2089)+$AB2090</f>
        <v>0</v>
      </c>
      <c r="AD2090">
        <f>IF(AND($M2090=1,LEFT(对接源_02物料!$D890,4)="成品出库"),1,0)</f>
        <v>0</v>
      </c>
      <c r="AE2090">
        <f>N(AE2089)+$AD2090</f>
        <v>0</v>
      </c>
      <c r="AF2090">
        <f>IF(AND($N2090=1,AND(LEFT(对接源_02物料!$D890,4)="包装物料",N(对接源_02物料!$K890)&lt;&gt;0)),1,0)</f>
        <v>0</v>
      </c>
      <c r="AG2090">
        <f>N(AG2089)+$AF2090</f>
        <v>10</v>
      </c>
      <c r="AH2090">
        <f>IF(AND($N2090=1,AND(对接源_02物料!$D890="周转筐－销售出库",N(对接源_02物料!$K890)&lt;&gt;0)),1,0)</f>
        <v>0</v>
      </c>
      <c r="AI2090">
        <f>N(AI2089)+$AH2090</f>
        <v>0</v>
      </c>
      <c r="AL2090" t="n">
        <v>0</v>
      </c>
      <c r="AM2090">
        <f>N(AM2089)+$AL2090</f>
        <v>2</v>
      </c>
      <c r="AN2090">
        <f>""</f>
      </c>
      <c r="AO2090" t="n">
        <v>0</v>
      </c>
      <c r="AP2090">
        <f>N(AP2089)+$AO2090</f>
        <v>13</v>
      </c>
      <c r="AR2090">
        <f>IF(OR($AF2090=1,$AH2090=1),1,0)</f>
        <v>0</v>
      </c>
      <c r="AS2090">
        <f>N(AS2089)+$AR2090</f>
        <v>10</v>
      </c>
    </row>
    <row r="2091" s="127">
      <c r="A2091">
        <f>IF(对接源_02物料!$C891="","",对接源_02物料!$C891)</f>
      </c>
      <c r="B2091">
        <f>IF(A2091="",0,IF(MATCH(A2091,$A$4:$A$2403,0)=ROW()-3,1,0))</f>
        <v>0</v>
      </c>
      <c r="C2091">
        <f>N(C2090)+B2091</f>
        <v>26</v>
      </c>
      <c r="K2091">
        <f>IF(OR($K$1="",对接源_02物料!$C891="",对接源_02物料!$C891&lt;&gt;$K$1,对接源_02物料!$B891=""),0,IF(OR(N(对接源_02物料!$B891)&lt;$K$2,N(对接源_02物料!$B891)&gt;$K$3),0,1))</f>
        <v>0</v>
      </c>
      <c r="L2091">
        <f>IF(OR($L$1="",对接源_02物料!$C891="",对接源_02物料!$C891&lt;&gt;$L$1,对接源_02物料!$B891=""),0,IF(OR(N(对接源_02物料!$B891)&lt;$L$2,N(对接源_02物料!$B891)&gt;$L$3),0,1))</f>
        <v>0</v>
      </c>
      <c r="M2091">
        <f>IF(OR($M$1="",对接源_02物料!$C891="",对接源_02物料!$C891&lt;&gt;$M$1,对接源_02物料!$B891=""),0,IF(OR(N(对接源_02物料!$B891)&lt;$M$2,N(对接源_02物料!$B891)&gt;$M$3),0,1))</f>
        <v>0</v>
      </c>
      <c r="N2091">
        <f>IF(OR($N$1="",对接源_02物料!$C891="",对接源_02物料!$C891&lt;&gt;$N$1,对接源_02物料!$B891=""),0,IF(OR(N(对接源_02物料!$B891)&lt;$N$2,N(对接源_02物料!$B891)&gt;$N$3),0,1))</f>
        <v>0</v>
      </c>
      <c r="P2091">
        <f>IF(AND($K2091=1,AND(对接源_02物料!$X891="公司筐",N(对接源_02物料!$T891)&lt;&gt;0)),1,0)</f>
        <v>0</v>
      </c>
      <c r="Q2091">
        <f>N(Q2090)+$P2091</f>
        <v>14</v>
      </c>
      <c r="R2091">
        <f>IF(AND($K2091=1,AND(对接源_02物料!$X891="公司筐",N(对接源_02物料!$U891)&lt;&gt;0)),1,0)</f>
        <v>0</v>
      </c>
      <c r="S2091">
        <f>N(S2090)+$R2091</f>
        <v>1</v>
      </c>
      <c r="T2091">
        <f>IF(AND($K2091=1,AND(对接源_02物料!$X891="公司筐",N(对接源_02物料!$V891)&lt;&gt;0)),1,0)</f>
        <v>0</v>
      </c>
      <c r="U2091">
        <f>N(U2090)+$T2091</f>
        <v>47</v>
      </c>
      <c r="V2091">
        <f>IF(AND($L2091=1,AND(对接源_02物料!$X891="自备筐",N(对接源_02物料!$V891)&lt;&gt;0)),1,0)</f>
        <v>0</v>
      </c>
      <c r="W2091">
        <f>N(W2090)+$V2091</f>
        <v>11</v>
      </c>
      <c r="X2091">
        <f>IF(AND($L2091=1,AND(对接源_02物料!$X891="自备筐",N(对接源_02物料!$T891)&lt;&gt;0)),1,0)</f>
        <v>0</v>
      </c>
      <c r="Y2091">
        <f>N(Y2090)+$X2091</f>
        <v>0</v>
      </c>
      <c r="Z2091">
        <f>IF(AND($M2091=1,对接源_02物料!$D891="原料入库"),1,0)</f>
        <v>0</v>
      </c>
      <c r="AA2091">
        <f>N(AA2090)+$Z2091</f>
        <v>24</v>
      </c>
      <c r="AB2091">
        <f>IF(AND($M2091=1,LEFT(对接源_02物料!$D891,4)="原料出库"),1,0)</f>
        <v>0</v>
      </c>
      <c r="AC2091">
        <f>N(AC2090)+$AB2091</f>
        <v>0</v>
      </c>
      <c r="AD2091">
        <f>IF(AND($M2091=1,LEFT(对接源_02物料!$D891,4)="成品出库"),1,0)</f>
        <v>0</v>
      </c>
      <c r="AE2091">
        <f>N(AE2090)+$AD2091</f>
        <v>0</v>
      </c>
      <c r="AF2091">
        <f>IF(AND($N2091=1,AND(LEFT(对接源_02物料!$D891,4)="包装物料",N(对接源_02物料!$K891)&lt;&gt;0)),1,0)</f>
        <v>0</v>
      </c>
      <c r="AG2091">
        <f>N(AG2090)+$AF2091</f>
        <v>10</v>
      </c>
      <c r="AH2091">
        <f>IF(AND($N2091=1,AND(对接源_02物料!$D891="周转筐－销售出库",N(对接源_02物料!$K891)&lt;&gt;0)),1,0)</f>
        <v>0</v>
      </c>
      <c r="AI2091">
        <f>N(AI2090)+$AH2091</f>
        <v>0</v>
      </c>
      <c r="AL2091" t="n">
        <v>0</v>
      </c>
      <c r="AM2091">
        <f>N(AM2090)+$AL2091</f>
        <v>2</v>
      </c>
      <c r="AN2091">
        <f>""</f>
      </c>
      <c r="AO2091" t="n">
        <v>0</v>
      </c>
      <c r="AP2091">
        <f>N(AP2090)+$AO2091</f>
        <v>13</v>
      </c>
      <c r="AR2091">
        <f>IF(OR($AF2091=1,$AH2091=1),1,0)</f>
        <v>0</v>
      </c>
      <c r="AS2091">
        <f>N(AS2090)+$AR2091</f>
        <v>10</v>
      </c>
    </row>
    <row r="2092" s="127">
      <c r="A2092">
        <f>IF(对接源_02物料!$C892="","",对接源_02物料!$C892)</f>
      </c>
      <c r="B2092">
        <f>IF(A2092="",0,IF(MATCH(A2092,$A$4:$A$2403,0)=ROW()-3,1,0))</f>
        <v>0</v>
      </c>
      <c r="C2092">
        <f>N(C2091)+B2092</f>
        <v>26</v>
      </c>
      <c r="K2092">
        <f>IF(OR($K$1="",对接源_02物料!$C892="",对接源_02物料!$C892&lt;&gt;$K$1,对接源_02物料!$B892=""),0,IF(OR(N(对接源_02物料!$B892)&lt;$K$2,N(对接源_02物料!$B892)&gt;$K$3),0,1))</f>
        <v>0</v>
      </c>
      <c r="L2092">
        <f>IF(OR($L$1="",对接源_02物料!$C892="",对接源_02物料!$C892&lt;&gt;$L$1,对接源_02物料!$B892=""),0,IF(OR(N(对接源_02物料!$B892)&lt;$L$2,N(对接源_02物料!$B892)&gt;$L$3),0,1))</f>
        <v>0</v>
      </c>
      <c r="M2092">
        <f>IF(OR($M$1="",对接源_02物料!$C892="",对接源_02物料!$C892&lt;&gt;$M$1,对接源_02物料!$B892=""),0,IF(OR(N(对接源_02物料!$B892)&lt;$M$2,N(对接源_02物料!$B892)&gt;$M$3),0,1))</f>
        <v>0</v>
      </c>
      <c r="N2092">
        <f>IF(OR($N$1="",对接源_02物料!$C892="",对接源_02物料!$C892&lt;&gt;$N$1,对接源_02物料!$B892=""),0,IF(OR(N(对接源_02物料!$B892)&lt;$N$2,N(对接源_02物料!$B892)&gt;$N$3),0,1))</f>
        <v>0</v>
      </c>
      <c r="P2092">
        <f>IF(AND($K2092=1,AND(对接源_02物料!$X892="公司筐",N(对接源_02物料!$T892)&lt;&gt;0)),1,0)</f>
        <v>0</v>
      </c>
      <c r="Q2092">
        <f>N(Q2091)+$P2092</f>
        <v>14</v>
      </c>
      <c r="R2092">
        <f>IF(AND($K2092=1,AND(对接源_02物料!$X892="公司筐",N(对接源_02物料!$U892)&lt;&gt;0)),1,0)</f>
        <v>0</v>
      </c>
      <c r="S2092">
        <f>N(S2091)+$R2092</f>
        <v>1</v>
      </c>
      <c r="T2092">
        <f>IF(AND($K2092=1,AND(对接源_02物料!$X892="公司筐",N(对接源_02物料!$V892)&lt;&gt;0)),1,0)</f>
        <v>0</v>
      </c>
      <c r="U2092">
        <f>N(U2091)+$T2092</f>
        <v>47</v>
      </c>
      <c r="V2092">
        <f>IF(AND($L2092=1,AND(对接源_02物料!$X892="自备筐",N(对接源_02物料!$V892)&lt;&gt;0)),1,0)</f>
        <v>0</v>
      </c>
      <c r="W2092">
        <f>N(W2091)+$V2092</f>
        <v>11</v>
      </c>
      <c r="X2092">
        <f>IF(AND($L2092=1,AND(对接源_02物料!$X892="自备筐",N(对接源_02物料!$T892)&lt;&gt;0)),1,0)</f>
        <v>0</v>
      </c>
      <c r="Y2092">
        <f>N(Y2091)+$X2092</f>
        <v>0</v>
      </c>
      <c r="Z2092">
        <f>IF(AND($M2092=1,对接源_02物料!$D892="原料入库"),1,0)</f>
        <v>0</v>
      </c>
      <c r="AA2092">
        <f>N(AA2091)+$Z2092</f>
        <v>24</v>
      </c>
      <c r="AB2092">
        <f>IF(AND($M2092=1,LEFT(对接源_02物料!$D892,4)="原料出库"),1,0)</f>
        <v>0</v>
      </c>
      <c r="AC2092">
        <f>N(AC2091)+$AB2092</f>
        <v>0</v>
      </c>
      <c r="AD2092">
        <f>IF(AND($M2092=1,LEFT(对接源_02物料!$D892,4)="成品出库"),1,0)</f>
        <v>0</v>
      </c>
      <c r="AE2092">
        <f>N(AE2091)+$AD2092</f>
        <v>0</v>
      </c>
      <c r="AF2092">
        <f>IF(AND($N2092=1,AND(LEFT(对接源_02物料!$D892,4)="包装物料",N(对接源_02物料!$K892)&lt;&gt;0)),1,0)</f>
        <v>0</v>
      </c>
      <c r="AG2092">
        <f>N(AG2091)+$AF2092</f>
        <v>10</v>
      </c>
      <c r="AH2092">
        <f>IF(AND($N2092=1,AND(对接源_02物料!$D892="周转筐－销售出库",N(对接源_02物料!$K892)&lt;&gt;0)),1,0)</f>
        <v>0</v>
      </c>
      <c r="AI2092">
        <f>N(AI2091)+$AH2092</f>
        <v>0</v>
      </c>
      <c r="AL2092" t="n">
        <v>0</v>
      </c>
      <c r="AM2092">
        <f>N(AM2091)+$AL2092</f>
        <v>2</v>
      </c>
      <c r="AN2092">
        <f>""</f>
      </c>
      <c r="AO2092" t="n">
        <v>0</v>
      </c>
      <c r="AP2092">
        <f>N(AP2091)+$AO2092</f>
        <v>13</v>
      </c>
      <c r="AR2092">
        <f>IF(OR($AF2092=1,$AH2092=1),1,0)</f>
        <v>0</v>
      </c>
      <c r="AS2092">
        <f>N(AS2091)+$AR2092</f>
        <v>10</v>
      </c>
    </row>
    <row r="2093" s="127">
      <c r="A2093">
        <f>IF(对接源_02物料!$C893="","",对接源_02物料!$C893)</f>
      </c>
      <c r="B2093">
        <f>IF(A2093="",0,IF(MATCH(A2093,$A$4:$A$2403,0)=ROW()-3,1,0))</f>
        <v>0</v>
      </c>
      <c r="C2093">
        <f>N(C2092)+B2093</f>
        <v>26</v>
      </c>
      <c r="K2093">
        <f>IF(OR($K$1="",对接源_02物料!$C893="",对接源_02物料!$C893&lt;&gt;$K$1,对接源_02物料!$B893=""),0,IF(OR(N(对接源_02物料!$B893)&lt;$K$2,N(对接源_02物料!$B893)&gt;$K$3),0,1))</f>
        <v>0</v>
      </c>
      <c r="L2093">
        <f>IF(OR($L$1="",对接源_02物料!$C893="",对接源_02物料!$C893&lt;&gt;$L$1,对接源_02物料!$B893=""),0,IF(OR(N(对接源_02物料!$B893)&lt;$L$2,N(对接源_02物料!$B893)&gt;$L$3),0,1))</f>
        <v>0</v>
      </c>
      <c r="M2093">
        <f>IF(OR($M$1="",对接源_02物料!$C893="",对接源_02物料!$C893&lt;&gt;$M$1,对接源_02物料!$B893=""),0,IF(OR(N(对接源_02物料!$B893)&lt;$M$2,N(对接源_02物料!$B893)&gt;$M$3),0,1))</f>
        <v>0</v>
      </c>
      <c r="N2093">
        <f>IF(OR($N$1="",对接源_02物料!$C893="",对接源_02物料!$C893&lt;&gt;$N$1,对接源_02物料!$B893=""),0,IF(OR(N(对接源_02物料!$B893)&lt;$N$2,N(对接源_02物料!$B893)&gt;$N$3),0,1))</f>
        <v>0</v>
      </c>
      <c r="P2093">
        <f>IF(AND($K2093=1,AND(对接源_02物料!$X893="公司筐",N(对接源_02物料!$T893)&lt;&gt;0)),1,0)</f>
        <v>0</v>
      </c>
      <c r="Q2093">
        <f>N(Q2092)+$P2093</f>
        <v>14</v>
      </c>
      <c r="R2093">
        <f>IF(AND($K2093=1,AND(对接源_02物料!$X893="公司筐",N(对接源_02物料!$U893)&lt;&gt;0)),1,0)</f>
        <v>0</v>
      </c>
      <c r="S2093">
        <f>N(S2092)+$R2093</f>
        <v>1</v>
      </c>
      <c r="T2093">
        <f>IF(AND($K2093=1,AND(对接源_02物料!$X893="公司筐",N(对接源_02物料!$V893)&lt;&gt;0)),1,0)</f>
        <v>0</v>
      </c>
      <c r="U2093">
        <f>N(U2092)+$T2093</f>
        <v>47</v>
      </c>
      <c r="V2093">
        <f>IF(AND($L2093=1,AND(对接源_02物料!$X893="自备筐",N(对接源_02物料!$V893)&lt;&gt;0)),1,0)</f>
        <v>0</v>
      </c>
      <c r="W2093">
        <f>N(W2092)+$V2093</f>
        <v>11</v>
      </c>
      <c r="X2093">
        <f>IF(AND($L2093=1,AND(对接源_02物料!$X893="自备筐",N(对接源_02物料!$T893)&lt;&gt;0)),1,0)</f>
        <v>0</v>
      </c>
      <c r="Y2093">
        <f>N(Y2092)+$X2093</f>
        <v>0</v>
      </c>
      <c r="Z2093">
        <f>IF(AND($M2093=1,对接源_02物料!$D893="原料入库"),1,0)</f>
        <v>0</v>
      </c>
      <c r="AA2093">
        <f>N(AA2092)+$Z2093</f>
        <v>24</v>
      </c>
      <c r="AB2093">
        <f>IF(AND($M2093=1,LEFT(对接源_02物料!$D893,4)="原料出库"),1,0)</f>
        <v>0</v>
      </c>
      <c r="AC2093">
        <f>N(AC2092)+$AB2093</f>
        <v>0</v>
      </c>
      <c r="AD2093">
        <f>IF(AND($M2093=1,LEFT(对接源_02物料!$D893,4)="成品出库"),1,0)</f>
        <v>0</v>
      </c>
      <c r="AE2093">
        <f>N(AE2092)+$AD2093</f>
        <v>0</v>
      </c>
      <c r="AF2093">
        <f>IF(AND($N2093=1,AND(LEFT(对接源_02物料!$D893,4)="包装物料",N(对接源_02物料!$K893)&lt;&gt;0)),1,0)</f>
        <v>0</v>
      </c>
      <c r="AG2093">
        <f>N(AG2092)+$AF2093</f>
        <v>10</v>
      </c>
      <c r="AH2093">
        <f>IF(AND($N2093=1,AND(对接源_02物料!$D893="周转筐－销售出库",N(对接源_02物料!$K893)&lt;&gt;0)),1,0)</f>
        <v>0</v>
      </c>
      <c r="AI2093">
        <f>N(AI2092)+$AH2093</f>
        <v>0</v>
      </c>
      <c r="AL2093" t="n">
        <v>0</v>
      </c>
      <c r="AM2093">
        <f>N(AM2092)+$AL2093</f>
        <v>2</v>
      </c>
      <c r="AN2093">
        <f>""</f>
      </c>
      <c r="AO2093" t="n">
        <v>0</v>
      </c>
      <c r="AP2093">
        <f>N(AP2092)+$AO2093</f>
        <v>13</v>
      </c>
      <c r="AR2093">
        <f>IF(OR($AF2093=1,$AH2093=1),1,0)</f>
        <v>0</v>
      </c>
      <c r="AS2093">
        <f>N(AS2092)+$AR2093</f>
        <v>10</v>
      </c>
    </row>
    <row r="2094" s="127">
      <c r="A2094">
        <f>IF(对接源_02物料!$C894="","",对接源_02物料!$C894)</f>
      </c>
      <c r="B2094">
        <f>IF(A2094="",0,IF(MATCH(A2094,$A$4:$A$2403,0)=ROW()-3,1,0))</f>
        <v>0</v>
      </c>
      <c r="C2094">
        <f>N(C2093)+B2094</f>
        <v>26</v>
      </c>
      <c r="K2094">
        <f>IF(OR($K$1="",对接源_02物料!$C894="",对接源_02物料!$C894&lt;&gt;$K$1,对接源_02物料!$B894=""),0,IF(OR(N(对接源_02物料!$B894)&lt;$K$2,N(对接源_02物料!$B894)&gt;$K$3),0,1))</f>
        <v>0</v>
      </c>
      <c r="L2094">
        <f>IF(OR($L$1="",对接源_02物料!$C894="",对接源_02物料!$C894&lt;&gt;$L$1,对接源_02物料!$B894=""),0,IF(OR(N(对接源_02物料!$B894)&lt;$L$2,N(对接源_02物料!$B894)&gt;$L$3),0,1))</f>
        <v>0</v>
      </c>
      <c r="M2094">
        <f>IF(OR($M$1="",对接源_02物料!$C894="",对接源_02物料!$C894&lt;&gt;$M$1,对接源_02物料!$B894=""),0,IF(OR(N(对接源_02物料!$B894)&lt;$M$2,N(对接源_02物料!$B894)&gt;$M$3),0,1))</f>
        <v>0</v>
      </c>
      <c r="N2094">
        <f>IF(OR($N$1="",对接源_02物料!$C894="",对接源_02物料!$C894&lt;&gt;$N$1,对接源_02物料!$B894=""),0,IF(OR(N(对接源_02物料!$B894)&lt;$N$2,N(对接源_02物料!$B894)&gt;$N$3),0,1))</f>
        <v>0</v>
      </c>
      <c r="P2094">
        <f>IF(AND($K2094=1,AND(对接源_02物料!$X894="公司筐",N(对接源_02物料!$T894)&lt;&gt;0)),1,0)</f>
        <v>0</v>
      </c>
      <c r="Q2094">
        <f>N(Q2093)+$P2094</f>
        <v>14</v>
      </c>
      <c r="R2094">
        <f>IF(AND($K2094=1,AND(对接源_02物料!$X894="公司筐",N(对接源_02物料!$U894)&lt;&gt;0)),1,0)</f>
        <v>0</v>
      </c>
      <c r="S2094">
        <f>N(S2093)+$R2094</f>
        <v>1</v>
      </c>
      <c r="T2094">
        <f>IF(AND($K2094=1,AND(对接源_02物料!$X894="公司筐",N(对接源_02物料!$V894)&lt;&gt;0)),1,0)</f>
        <v>0</v>
      </c>
      <c r="U2094">
        <f>N(U2093)+$T2094</f>
        <v>47</v>
      </c>
      <c r="V2094">
        <f>IF(AND($L2094=1,AND(对接源_02物料!$X894="自备筐",N(对接源_02物料!$V894)&lt;&gt;0)),1,0)</f>
        <v>0</v>
      </c>
      <c r="W2094">
        <f>N(W2093)+$V2094</f>
        <v>11</v>
      </c>
      <c r="X2094">
        <f>IF(AND($L2094=1,AND(对接源_02物料!$X894="自备筐",N(对接源_02物料!$T894)&lt;&gt;0)),1,0)</f>
        <v>0</v>
      </c>
      <c r="Y2094">
        <f>N(Y2093)+$X2094</f>
        <v>0</v>
      </c>
      <c r="Z2094">
        <f>IF(AND($M2094=1,对接源_02物料!$D894="原料入库"),1,0)</f>
        <v>0</v>
      </c>
      <c r="AA2094">
        <f>N(AA2093)+$Z2094</f>
        <v>24</v>
      </c>
      <c r="AB2094">
        <f>IF(AND($M2094=1,LEFT(对接源_02物料!$D894,4)="原料出库"),1,0)</f>
        <v>0</v>
      </c>
      <c r="AC2094">
        <f>N(AC2093)+$AB2094</f>
        <v>0</v>
      </c>
      <c r="AD2094">
        <f>IF(AND($M2094=1,LEFT(对接源_02物料!$D894,4)="成品出库"),1,0)</f>
        <v>0</v>
      </c>
      <c r="AE2094">
        <f>N(AE2093)+$AD2094</f>
        <v>0</v>
      </c>
      <c r="AF2094">
        <f>IF(AND($N2094=1,AND(LEFT(对接源_02物料!$D894,4)="包装物料",N(对接源_02物料!$K894)&lt;&gt;0)),1,0)</f>
        <v>0</v>
      </c>
      <c r="AG2094">
        <f>N(AG2093)+$AF2094</f>
        <v>10</v>
      </c>
      <c r="AH2094">
        <f>IF(AND($N2094=1,AND(对接源_02物料!$D894="周转筐－销售出库",N(对接源_02物料!$K894)&lt;&gt;0)),1,0)</f>
        <v>0</v>
      </c>
      <c r="AI2094">
        <f>N(AI2093)+$AH2094</f>
        <v>0</v>
      </c>
      <c r="AL2094" t="n">
        <v>0</v>
      </c>
      <c r="AM2094">
        <f>N(AM2093)+$AL2094</f>
        <v>2</v>
      </c>
      <c r="AN2094">
        <f>""</f>
      </c>
      <c r="AO2094" t="n">
        <v>0</v>
      </c>
      <c r="AP2094">
        <f>N(AP2093)+$AO2094</f>
        <v>13</v>
      </c>
      <c r="AR2094">
        <f>IF(OR($AF2094=1,$AH2094=1),1,0)</f>
        <v>0</v>
      </c>
      <c r="AS2094">
        <f>N(AS2093)+$AR2094</f>
        <v>10</v>
      </c>
    </row>
    <row r="2095" s="127">
      <c r="A2095">
        <f>IF(对接源_02物料!$C895="","",对接源_02物料!$C895)</f>
      </c>
      <c r="B2095">
        <f>IF(A2095="",0,IF(MATCH(A2095,$A$4:$A$2403,0)=ROW()-3,1,0))</f>
        <v>0</v>
      </c>
      <c r="C2095">
        <f>N(C2094)+B2095</f>
        <v>26</v>
      </c>
      <c r="K2095">
        <f>IF(OR($K$1="",对接源_02物料!$C895="",对接源_02物料!$C895&lt;&gt;$K$1,对接源_02物料!$B895=""),0,IF(OR(N(对接源_02物料!$B895)&lt;$K$2,N(对接源_02物料!$B895)&gt;$K$3),0,1))</f>
        <v>0</v>
      </c>
      <c r="L2095">
        <f>IF(OR($L$1="",对接源_02物料!$C895="",对接源_02物料!$C895&lt;&gt;$L$1,对接源_02物料!$B895=""),0,IF(OR(N(对接源_02物料!$B895)&lt;$L$2,N(对接源_02物料!$B895)&gt;$L$3),0,1))</f>
        <v>0</v>
      </c>
      <c r="M2095">
        <f>IF(OR($M$1="",对接源_02物料!$C895="",对接源_02物料!$C895&lt;&gt;$M$1,对接源_02物料!$B895=""),0,IF(OR(N(对接源_02物料!$B895)&lt;$M$2,N(对接源_02物料!$B895)&gt;$M$3),0,1))</f>
        <v>0</v>
      </c>
      <c r="N2095">
        <f>IF(OR($N$1="",对接源_02物料!$C895="",对接源_02物料!$C895&lt;&gt;$N$1,对接源_02物料!$B895=""),0,IF(OR(N(对接源_02物料!$B895)&lt;$N$2,N(对接源_02物料!$B895)&gt;$N$3),0,1))</f>
        <v>0</v>
      </c>
      <c r="P2095">
        <f>IF(AND($K2095=1,AND(对接源_02物料!$X895="公司筐",N(对接源_02物料!$T895)&lt;&gt;0)),1,0)</f>
        <v>0</v>
      </c>
      <c r="Q2095">
        <f>N(Q2094)+$P2095</f>
        <v>14</v>
      </c>
      <c r="R2095">
        <f>IF(AND($K2095=1,AND(对接源_02物料!$X895="公司筐",N(对接源_02物料!$U895)&lt;&gt;0)),1,0)</f>
        <v>0</v>
      </c>
      <c r="S2095">
        <f>N(S2094)+$R2095</f>
        <v>1</v>
      </c>
      <c r="T2095">
        <f>IF(AND($K2095=1,AND(对接源_02物料!$X895="公司筐",N(对接源_02物料!$V895)&lt;&gt;0)),1,0)</f>
        <v>0</v>
      </c>
      <c r="U2095">
        <f>N(U2094)+$T2095</f>
        <v>47</v>
      </c>
      <c r="V2095">
        <f>IF(AND($L2095=1,AND(对接源_02物料!$X895="自备筐",N(对接源_02物料!$V895)&lt;&gt;0)),1,0)</f>
        <v>0</v>
      </c>
      <c r="W2095">
        <f>N(W2094)+$V2095</f>
        <v>11</v>
      </c>
      <c r="X2095">
        <f>IF(AND($L2095=1,AND(对接源_02物料!$X895="自备筐",N(对接源_02物料!$T895)&lt;&gt;0)),1,0)</f>
        <v>0</v>
      </c>
      <c r="Y2095">
        <f>N(Y2094)+$X2095</f>
        <v>0</v>
      </c>
      <c r="Z2095">
        <f>IF(AND($M2095=1,对接源_02物料!$D895="原料入库"),1,0)</f>
        <v>0</v>
      </c>
      <c r="AA2095">
        <f>N(AA2094)+$Z2095</f>
        <v>24</v>
      </c>
      <c r="AB2095">
        <f>IF(AND($M2095=1,LEFT(对接源_02物料!$D895,4)="原料出库"),1,0)</f>
        <v>0</v>
      </c>
      <c r="AC2095">
        <f>N(AC2094)+$AB2095</f>
        <v>0</v>
      </c>
      <c r="AD2095">
        <f>IF(AND($M2095=1,LEFT(对接源_02物料!$D895,4)="成品出库"),1,0)</f>
        <v>0</v>
      </c>
      <c r="AE2095">
        <f>N(AE2094)+$AD2095</f>
        <v>0</v>
      </c>
      <c r="AF2095">
        <f>IF(AND($N2095=1,AND(LEFT(对接源_02物料!$D895,4)="包装物料",N(对接源_02物料!$K895)&lt;&gt;0)),1,0)</f>
        <v>0</v>
      </c>
      <c r="AG2095">
        <f>N(AG2094)+$AF2095</f>
        <v>10</v>
      </c>
      <c r="AH2095">
        <f>IF(AND($N2095=1,AND(对接源_02物料!$D895="周转筐－销售出库",N(对接源_02物料!$K895)&lt;&gt;0)),1,0)</f>
        <v>0</v>
      </c>
      <c r="AI2095">
        <f>N(AI2094)+$AH2095</f>
        <v>0</v>
      </c>
      <c r="AL2095" t="n">
        <v>0</v>
      </c>
      <c r="AM2095">
        <f>N(AM2094)+$AL2095</f>
        <v>2</v>
      </c>
      <c r="AN2095">
        <f>""</f>
      </c>
      <c r="AO2095" t="n">
        <v>0</v>
      </c>
      <c r="AP2095">
        <f>N(AP2094)+$AO2095</f>
        <v>13</v>
      </c>
      <c r="AR2095">
        <f>IF(OR($AF2095=1,$AH2095=1),1,0)</f>
        <v>0</v>
      </c>
      <c r="AS2095">
        <f>N(AS2094)+$AR2095</f>
        <v>10</v>
      </c>
    </row>
    <row r="2096" s="127">
      <c r="A2096">
        <f>IF(对接源_02物料!$C896="","",对接源_02物料!$C896)</f>
      </c>
      <c r="B2096">
        <f>IF(A2096="",0,IF(MATCH(A2096,$A$4:$A$2403,0)=ROW()-3,1,0))</f>
        <v>0</v>
      </c>
      <c r="C2096">
        <f>N(C2095)+B2096</f>
        <v>26</v>
      </c>
      <c r="K2096">
        <f>IF(OR($K$1="",对接源_02物料!$C896="",对接源_02物料!$C896&lt;&gt;$K$1,对接源_02物料!$B896=""),0,IF(OR(N(对接源_02物料!$B896)&lt;$K$2,N(对接源_02物料!$B896)&gt;$K$3),0,1))</f>
        <v>0</v>
      </c>
      <c r="L2096">
        <f>IF(OR($L$1="",对接源_02物料!$C896="",对接源_02物料!$C896&lt;&gt;$L$1,对接源_02物料!$B896=""),0,IF(OR(N(对接源_02物料!$B896)&lt;$L$2,N(对接源_02物料!$B896)&gt;$L$3),0,1))</f>
        <v>0</v>
      </c>
      <c r="M2096">
        <f>IF(OR($M$1="",对接源_02物料!$C896="",对接源_02物料!$C896&lt;&gt;$M$1,对接源_02物料!$B896=""),0,IF(OR(N(对接源_02物料!$B896)&lt;$M$2,N(对接源_02物料!$B896)&gt;$M$3),0,1))</f>
        <v>0</v>
      </c>
      <c r="N2096">
        <f>IF(OR($N$1="",对接源_02物料!$C896="",对接源_02物料!$C896&lt;&gt;$N$1,对接源_02物料!$B896=""),0,IF(OR(N(对接源_02物料!$B896)&lt;$N$2,N(对接源_02物料!$B896)&gt;$N$3),0,1))</f>
        <v>0</v>
      </c>
      <c r="P2096">
        <f>IF(AND($K2096=1,AND(对接源_02物料!$X896="公司筐",N(对接源_02物料!$T896)&lt;&gt;0)),1,0)</f>
        <v>0</v>
      </c>
      <c r="Q2096">
        <f>N(Q2095)+$P2096</f>
        <v>14</v>
      </c>
      <c r="R2096">
        <f>IF(AND($K2096=1,AND(对接源_02物料!$X896="公司筐",N(对接源_02物料!$U896)&lt;&gt;0)),1,0)</f>
        <v>0</v>
      </c>
      <c r="S2096">
        <f>N(S2095)+$R2096</f>
        <v>1</v>
      </c>
      <c r="T2096">
        <f>IF(AND($K2096=1,AND(对接源_02物料!$X896="公司筐",N(对接源_02物料!$V896)&lt;&gt;0)),1,0)</f>
        <v>0</v>
      </c>
      <c r="U2096">
        <f>N(U2095)+$T2096</f>
        <v>47</v>
      </c>
      <c r="V2096">
        <f>IF(AND($L2096=1,AND(对接源_02物料!$X896="自备筐",N(对接源_02物料!$V896)&lt;&gt;0)),1,0)</f>
        <v>0</v>
      </c>
      <c r="W2096">
        <f>N(W2095)+$V2096</f>
        <v>11</v>
      </c>
      <c r="X2096">
        <f>IF(AND($L2096=1,AND(对接源_02物料!$X896="自备筐",N(对接源_02物料!$T896)&lt;&gt;0)),1,0)</f>
        <v>0</v>
      </c>
      <c r="Y2096">
        <f>N(Y2095)+$X2096</f>
        <v>0</v>
      </c>
      <c r="Z2096">
        <f>IF(AND($M2096=1,对接源_02物料!$D896="原料入库"),1,0)</f>
        <v>0</v>
      </c>
      <c r="AA2096">
        <f>N(AA2095)+$Z2096</f>
        <v>24</v>
      </c>
      <c r="AB2096">
        <f>IF(AND($M2096=1,LEFT(对接源_02物料!$D896,4)="原料出库"),1,0)</f>
        <v>0</v>
      </c>
      <c r="AC2096">
        <f>N(AC2095)+$AB2096</f>
        <v>0</v>
      </c>
      <c r="AD2096">
        <f>IF(AND($M2096=1,LEFT(对接源_02物料!$D896,4)="成品出库"),1,0)</f>
        <v>0</v>
      </c>
      <c r="AE2096">
        <f>N(AE2095)+$AD2096</f>
        <v>0</v>
      </c>
      <c r="AF2096">
        <f>IF(AND($N2096=1,AND(LEFT(对接源_02物料!$D896,4)="包装物料",N(对接源_02物料!$K896)&lt;&gt;0)),1,0)</f>
        <v>0</v>
      </c>
      <c r="AG2096">
        <f>N(AG2095)+$AF2096</f>
        <v>10</v>
      </c>
      <c r="AH2096">
        <f>IF(AND($N2096=1,AND(对接源_02物料!$D896="周转筐－销售出库",N(对接源_02物料!$K896)&lt;&gt;0)),1,0)</f>
        <v>0</v>
      </c>
      <c r="AI2096">
        <f>N(AI2095)+$AH2096</f>
        <v>0</v>
      </c>
      <c r="AL2096" t="n">
        <v>0</v>
      </c>
      <c r="AM2096">
        <f>N(AM2095)+$AL2096</f>
        <v>2</v>
      </c>
      <c r="AN2096">
        <f>""</f>
      </c>
      <c r="AO2096" t="n">
        <v>0</v>
      </c>
      <c r="AP2096">
        <f>N(AP2095)+$AO2096</f>
        <v>13</v>
      </c>
      <c r="AR2096">
        <f>IF(OR($AF2096=1,$AH2096=1),1,0)</f>
        <v>0</v>
      </c>
      <c r="AS2096">
        <f>N(AS2095)+$AR2096</f>
        <v>10</v>
      </c>
    </row>
    <row r="2097" s="127">
      <c r="A2097">
        <f>IF(对接源_02物料!$C897="","",对接源_02物料!$C897)</f>
      </c>
      <c r="B2097">
        <f>IF(A2097="",0,IF(MATCH(A2097,$A$4:$A$2403,0)=ROW()-3,1,0))</f>
        <v>0</v>
      </c>
      <c r="C2097">
        <f>N(C2096)+B2097</f>
        <v>26</v>
      </c>
      <c r="K2097">
        <f>IF(OR($K$1="",对接源_02物料!$C897="",对接源_02物料!$C897&lt;&gt;$K$1,对接源_02物料!$B897=""),0,IF(OR(N(对接源_02物料!$B897)&lt;$K$2,N(对接源_02物料!$B897)&gt;$K$3),0,1))</f>
        <v>0</v>
      </c>
      <c r="L2097">
        <f>IF(OR($L$1="",对接源_02物料!$C897="",对接源_02物料!$C897&lt;&gt;$L$1,对接源_02物料!$B897=""),0,IF(OR(N(对接源_02物料!$B897)&lt;$L$2,N(对接源_02物料!$B897)&gt;$L$3),0,1))</f>
        <v>0</v>
      </c>
      <c r="M2097">
        <f>IF(OR($M$1="",对接源_02物料!$C897="",对接源_02物料!$C897&lt;&gt;$M$1,对接源_02物料!$B897=""),0,IF(OR(N(对接源_02物料!$B897)&lt;$M$2,N(对接源_02物料!$B897)&gt;$M$3),0,1))</f>
        <v>0</v>
      </c>
      <c r="N2097">
        <f>IF(OR($N$1="",对接源_02物料!$C897="",对接源_02物料!$C897&lt;&gt;$N$1,对接源_02物料!$B897=""),0,IF(OR(N(对接源_02物料!$B897)&lt;$N$2,N(对接源_02物料!$B897)&gt;$N$3),0,1))</f>
        <v>0</v>
      </c>
      <c r="P2097">
        <f>IF(AND($K2097=1,AND(对接源_02物料!$X897="公司筐",N(对接源_02物料!$T897)&lt;&gt;0)),1,0)</f>
        <v>0</v>
      </c>
      <c r="Q2097">
        <f>N(Q2096)+$P2097</f>
        <v>14</v>
      </c>
      <c r="R2097">
        <f>IF(AND($K2097=1,AND(对接源_02物料!$X897="公司筐",N(对接源_02物料!$U897)&lt;&gt;0)),1,0)</f>
        <v>0</v>
      </c>
      <c r="S2097">
        <f>N(S2096)+$R2097</f>
        <v>1</v>
      </c>
      <c r="T2097">
        <f>IF(AND($K2097=1,AND(对接源_02物料!$X897="公司筐",N(对接源_02物料!$V897)&lt;&gt;0)),1,0)</f>
        <v>0</v>
      </c>
      <c r="U2097">
        <f>N(U2096)+$T2097</f>
        <v>47</v>
      </c>
      <c r="V2097">
        <f>IF(AND($L2097=1,AND(对接源_02物料!$X897="自备筐",N(对接源_02物料!$V897)&lt;&gt;0)),1,0)</f>
        <v>0</v>
      </c>
      <c r="W2097">
        <f>N(W2096)+$V2097</f>
        <v>11</v>
      </c>
      <c r="X2097">
        <f>IF(AND($L2097=1,AND(对接源_02物料!$X897="自备筐",N(对接源_02物料!$T897)&lt;&gt;0)),1,0)</f>
        <v>0</v>
      </c>
      <c r="Y2097">
        <f>N(Y2096)+$X2097</f>
        <v>0</v>
      </c>
      <c r="Z2097">
        <f>IF(AND($M2097=1,对接源_02物料!$D897="原料入库"),1,0)</f>
        <v>0</v>
      </c>
      <c r="AA2097">
        <f>N(AA2096)+$Z2097</f>
        <v>24</v>
      </c>
      <c r="AB2097">
        <f>IF(AND($M2097=1,LEFT(对接源_02物料!$D897,4)="原料出库"),1,0)</f>
        <v>0</v>
      </c>
      <c r="AC2097">
        <f>N(AC2096)+$AB2097</f>
        <v>0</v>
      </c>
      <c r="AD2097">
        <f>IF(AND($M2097=1,LEFT(对接源_02物料!$D897,4)="成品出库"),1,0)</f>
        <v>0</v>
      </c>
      <c r="AE2097">
        <f>N(AE2096)+$AD2097</f>
        <v>0</v>
      </c>
      <c r="AF2097">
        <f>IF(AND($N2097=1,AND(LEFT(对接源_02物料!$D897,4)="包装物料",N(对接源_02物料!$K897)&lt;&gt;0)),1,0)</f>
        <v>0</v>
      </c>
      <c r="AG2097">
        <f>N(AG2096)+$AF2097</f>
        <v>10</v>
      </c>
      <c r="AH2097">
        <f>IF(AND($N2097=1,AND(对接源_02物料!$D897="周转筐－销售出库",N(对接源_02物料!$K897)&lt;&gt;0)),1,0)</f>
        <v>0</v>
      </c>
      <c r="AI2097">
        <f>N(AI2096)+$AH2097</f>
        <v>0</v>
      </c>
      <c r="AL2097" t="n">
        <v>0</v>
      </c>
      <c r="AM2097">
        <f>N(AM2096)+$AL2097</f>
        <v>2</v>
      </c>
      <c r="AN2097">
        <f>""</f>
      </c>
      <c r="AO2097" t="n">
        <v>0</v>
      </c>
      <c r="AP2097">
        <f>N(AP2096)+$AO2097</f>
        <v>13</v>
      </c>
      <c r="AR2097">
        <f>IF(OR($AF2097=1,$AH2097=1),1,0)</f>
        <v>0</v>
      </c>
      <c r="AS2097">
        <f>N(AS2096)+$AR2097</f>
        <v>10</v>
      </c>
    </row>
    <row r="2098" s="127">
      <c r="A2098">
        <f>IF(对接源_02物料!$C898="","",对接源_02物料!$C898)</f>
      </c>
      <c r="B2098">
        <f>IF(A2098="",0,IF(MATCH(A2098,$A$4:$A$2403,0)=ROW()-3,1,0))</f>
        <v>0</v>
      </c>
      <c r="C2098">
        <f>N(C2097)+B2098</f>
        <v>26</v>
      </c>
      <c r="K2098">
        <f>IF(OR($K$1="",对接源_02物料!$C898="",对接源_02物料!$C898&lt;&gt;$K$1,对接源_02物料!$B898=""),0,IF(OR(N(对接源_02物料!$B898)&lt;$K$2,N(对接源_02物料!$B898)&gt;$K$3),0,1))</f>
        <v>0</v>
      </c>
      <c r="L2098">
        <f>IF(OR($L$1="",对接源_02物料!$C898="",对接源_02物料!$C898&lt;&gt;$L$1,对接源_02物料!$B898=""),0,IF(OR(N(对接源_02物料!$B898)&lt;$L$2,N(对接源_02物料!$B898)&gt;$L$3),0,1))</f>
        <v>0</v>
      </c>
      <c r="M2098">
        <f>IF(OR($M$1="",对接源_02物料!$C898="",对接源_02物料!$C898&lt;&gt;$M$1,对接源_02物料!$B898=""),0,IF(OR(N(对接源_02物料!$B898)&lt;$M$2,N(对接源_02物料!$B898)&gt;$M$3),0,1))</f>
        <v>0</v>
      </c>
      <c r="N2098">
        <f>IF(OR($N$1="",对接源_02物料!$C898="",对接源_02物料!$C898&lt;&gt;$N$1,对接源_02物料!$B898=""),0,IF(OR(N(对接源_02物料!$B898)&lt;$N$2,N(对接源_02物料!$B898)&gt;$N$3),0,1))</f>
        <v>0</v>
      </c>
      <c r="P2098">
        <f>IF(AND($K2098=1,AND(对接源_02物料!$X898="公司筐",N(对接源_02物料!$T898)&lt;&gt;0)),1,0)</f>
        <v>0</v>
      </c>
      <c r="Q2098">
        <f>N(Q2097)+$P2098</f>
        <v>14</v>
      </c>
      <c r="R2098">
        <f>IF(AND($K2098=1,AND(对接源_02物料!$X898="公司筐",N(对接源_02物料!$U898)&lt;&gt;0)),1,0)</f>
        <v>0</v>
      </c>
      <c r="S2098">
        <f>N(S2097)+$R2098</f>
        <v>1</v>
      </c>
      <c r="T2098">
        <f>IF(AND($K2098=1,AND(对接源_02物料!$X898="公司筐",N(对接源_02物料!$V898)&lt;&gt;0)),1,0)</f>
        <v>0</v>
      </c>
      <c r="U2098">
        <f>N(U2097)+$T2098</f>
        <v>47</v>
      </c>
      <c r="V2098">
        <f>IF(AND($L2098=1,AND(对接源_02物料!$X898="自备筐",N(对接源_02物料!$V898)&lt;&gt;0)),1,0)</f>
        <v>0</v>
      </c>
      <c r="W2098">
        <f>N(W2097)+$V2098</f>
        <v>11</v>
      </c>
      <c r="X2098">
        <f>IF(AND($L2098=1,AND(对接源_02物料!$X898="自备筐",N(对接源_02物料!$T898)&lt;&gt;0)),1,0)</f>
        <v>0</v>
      </c>
      <c r="Y2098">
        <f>N(Y2097)+$X2098</f>
        <v>0</v>
      </c>
      <c r="Z2098">
        <f>IF(AND($M2098=1,对接源_02物料!$D898="原料入库"),1,0)</f>
        <v>0</v>
      </c>
      <c r="AA2098">
        <f>N(AA2097)+$Z2098</f>
        <v>24</v>
      </c>
      <c r="AB2098">
        <f>IF(AND($M2098=1,LEFT(对接源_02物料!$D898,4)="原料出库"),1,0)</f>
        <v>0</v>
      </c>
      <c r="AC2098">
        <f>N(AC2097)+$AB2098</f>
        <v>0</v>
      </c>
      <c r="AD2098">
        <f>IF(AND($M2098=1,LEFT(对接源_02物料!$D898,4)="成品出库"),1,0)</f>
        <v>0</v>
      </c>
      <c r="AE2098">
        <f>N(AE2097)+$AD2098</f>
        <v>0</v>
      </c>
      <c r="AF2098">
        <f>IF(AND($N2098=1,AND(LEFT(对接源_02物料!$D898,4)="包装物料",N(对接源_02物料!$K898)&lt;&gt;0)),1,0)</f>
        <v>0</v>
      </c>
      <c r="AG2098">
        <f>N(AG2097)+$AF2098</f>
        <v>10</v>
      </c>
      <c r="AH2098">
        <f>IF(AND($N2098=1,AND(对接源_02物料!$D898="周转筐－销售出库",N(对接源_02物料!$K898)&lt;&gt;0)),1,0)</f>
        <v>0</v>
      </c>
      <c r="AI2098">
        <f>N(AI2097)+$AH2098</f>
        <v>0</v>
      </c>
      <c r="AL2098" t="n">
        <v>0</v>
      </c>
      <c r="AM2098">
        <f>N(AM2097)+$AL2098</f>
        <v>2</v>
      </c>
      <c r="AN2098">
        <f>""</f>
      </c>
      <c r="AO2098" t="n">
        <v>0</v>
      </c>
      <c r="AP2098">
        <f>N(AP2097)+$AO2098</f>
        <v>13</v>
      </c>
      <c r="AR2098">
        <f>IF(OR($AF2098=1,$AH2098=1),1,0)</f>
        <v>0</v>
      </c>
      <c r="AS2098">
        <f>N(AS2097)+$AR2098</f>
        <v>10</v>
      </c>
    </row>
    <row r="2099" s="127">
      <c r="A2099">
        <f>IF(对接源_02物料!$C899="","",对接源_02物料!$C899)</f>
      </c>
      <c r="B2099">
        <f>IF(A2099="",0,IF(MATCH(A2099,$A$4:$A$2403,0)=ROW()-3,1,0))</f>
        <v>0</v>
      </c>
      <c r="C2099">
        <f>N(C2098)+B2099</f>
        <v>26</v>
      </c>
      <c r="K2099">
        <f>IF(OR($K$1="",对接源_02物料!$C899="",对接源_02物料!$C899&lt;&gt;$K$1,对接源_02物料!$B899=""),0,IF(OR(N(对接源_02物料!$B899)&lt;$K$2,N(对接源_02物料!$B899)&gt;$K$3),0,1))</f>
        <v>0</v>
      </c>
      <c r="L2099">
        <f>IF(OR($L$1="",对接源_02物料!$C899="",对接源_02物料!$C899&lt;&gt;$L$1,对接源_02物料!$B899=""),0,IF(OR(N(对接源_02物料!$B899)&lt;$L$2,N(对接源_02物料!$B899)&gt;$L$3),0,1))</f>
        <v>0</v>
      </c>
      <c r="M2099">
        <f>IF(OR($M$1="",对接源_02物料!$C899="",对接源_02物料!$C899&lt;&gt;$M$1,对接源_02物料!$B899=""),0,IF(OR(N(对接源_02物料!$B899)&lt;$M$2,N(对接源_02物料!$B899)&gt;$M$3),0,1))</f>
        <v>0</v>
      </c>
      <c r="N2099">
        <f>IF(OR($N$1="",对接源_02物料!$C899="",对接源_02物料!$C899&lt;&gt;$N$1,对接源_02物料!$B899=""),0,IF(OR(N(对接源_02物料!$B899)&lt;$N$2,N(对接源_02物料!$B899)&gt;$N$3),0,1))</f>
        <v>0</v>
      </c>
      <c r="P2099">
        <f>IF(AND($K2099=1,AND(对接源_02物料!$X899="公司筐",N(对接源_02物料!$T899)&lt;&gt;0)),1,0)</f>
        <v>0</v>
      </c>
      <c r="Q2099">
        <f>N(Q2098)+$P2099</f>
        <v>14</v>
      </c>
      <c r="R2099">
        <f>IF(AND($K2099=1,AND(对接源_02物料!$X899="公司筐",N(对接源_02物料!$U899)&lt;&gt;0)),1,0)</f>
        <v>0</v>
      </c>
      <c r="S2099">
        <f>N(S2098)+$R2099</f>
        <v>1</v>
      </c>
      <c r="T2099">
        <f>IF(AND($K2099=1,AND(对接源_02物料!$X899="公司筐",N(对接源_02物料!$V899)&lt;&gt;0)),1,0)</f>
        <v>0</v>
      </c>
      <c r="U2099">
        <f>N(U2098)+$T2099</f>
        <v>47</v>
      </c>
      <c r="V2099">
        <f>IF(AND($L2099=1,AND(对接源_02物料!$X899="自备筐",N(对接源_02物料!$V899)&lt;&gt;0)),1,0)</f>
        <v>0</v>
      </c>
      <c r="W2099">
        <f>N(W2098)+$V2099</f>
        <v>11</v>
      </c>
      <c r="X2099">
        <f>IF(AND($L2099=1,AND(对接源_02物料!$X899="自备筐",N(对接源_02物料!$T899)&lt;&gt;0)),1,0)</f>
        <v>0</v>
      </c>
      <c r="Y2099">
        <f>N(Y2098)+$X2099</f>
        <v>0</v>
      </c>
      <c r="Z2099">
        <f>IF(AND($M2099=1,对接源_02物料!$D899="原料入库"),1,0)</f>
        <v>0</v>
      </c>
      <c r="AA2099">
        <f>N(AA2098)+$Z2099</f>
        <v>24</v>
      </c>
      <c r="AB2099">
        <f>IF(AND($M2099=1,LEFT(对接源_02物料!$D899,4)="原料出库"),1,0)</f>
        <v>0</v>
      </c>
      <c r="AC2099">
        <f>N(AC2098)+$AB2099</f>
        <v>0</v>
      </c>
      <c r="AD2099">
        <f>IF(AND($M2099=1,LEFT(对接源_02物料!$D899,4)="成品出库"),1,0)</f>
        <v>0</v>
      </c>
      <c r="AE2099">
        <f>N(AE2098)+$AD2099</f>
        <v>0</v>
      </c>
      <c r="AF2099">
        <f>IF(AND($N2099=1,AND(LEFT(对接源_02物料!$D899,4)="包装物料",N(对接源_02物料!$K899)&lt;&gt;0)),1,0)</f>
        <v>0</v>
      </c>
      <c r="AG2099">
        <f>N(AG2098)+$AF2099</f>
        <v>10</v>
      </c>
      <c r="AH2099">
        <f>IF(AND($N2099=1,AND(对接源_02物料!$D899="周转筐－销售出库",N(对接源_02物料!$K899)&lt;&gt;0)),1,0)</f>
        <v>0</v>
      </c>
      <c r="AI2099">
        <f>N(AI2098)+$AH2099</f>
        <v>0</v>
      </c>
      <c r="AL2099" t="n">
        <v>0</v>
      </c>
      <c r="AM2099">
        <f>N(AM2098)+$AL2099</f>
        <v>2</v>
      </c>
      <c r="AN2099">
        <f>""</f>
      </c>
      <c r="AO2099" t="n">
        <v>0</v>
      </c>
      <c r="AP2099">
        <f>N(AP2098)+$AO2099</f>
        <v>13</v>
      </c>
      <c r="AR2099">
        <f>IF(OR($AF2099=1,$AH2099=1),1,0)</f>
        <v>0</v>
      </c>
      <c r="AS2099">
        <f>N(AS2098)+$AR2099</f>
        <v>10</v>
      </c>
    </row>
    <row r="2100" s="127">
      <c r="A2100">
        <f>IF(对接源_02物料!$C900="","",对接源_02物料!$C900)</f>
      </c>
      <c r="B2100">
        <f>IF(A2100="",0,IF(MATCH(A2100,$A$4:$A$2403,0)=ROW()-3,1,0))</f>
        <v>0</v>
      </c>
      <c r="C2100">
        <f>N(C2099)+B2100</f>
        <v>26</v>
      </c>
      <c r="K2100">
        <f>IF(OR($K$1="",对接源_02物料!$C900="",对接源_02物料!$C900&lt;&gt;$K$1,对接源_02物料!$B900=""),0,IF(OR(N(对接源_02物料!$B900)&lt;$K$2,N(对接源_02物料!$B900)&gt;$K$3),0,1))</f>
        <v>0</v>
      </c>
      <c r="L2100">
        <f>IF(OR($L$1="",对接源_02物料!$C900="",对接源_02物料!$C900&lt;&gt;$L$1,对接源_02物料!$B900=""),0,IF(OR(N(对接源_02物料!$B900)&lt;$L$2,N(对接源_02物料!$B900)&gt;$L$3),0,1))</f>
        <v>0</v>
      </c>
      <c r="M2100">
        <f>IF(OR($M$1="",对接源_02物料!$C900="",对接源_02物料!$C900&lt;&gt;$M$1,对接源_02物料!$B900=""),0,IF(OR(N(对接源_02物料!$B900)&lt;$M$2,N(对接源_02物料!$B900)&gt;$M$3),0,1))</f>
        <v>0</v>
      </c>
      <c r="N2100">
        <f>IF(OR($N$1="",对接源_02物料!$C900="",对接源_02物料!$C900&lt;&gt;$N$1,对接源_02物料!$B900=""),0,IF(OR(N(对接源_02物料!$B900)&lt;$N$2,N(对接源_02物料!$B900)&gt;$N$3),0,1))</f>
        <v>0</v>
      </c>
      <c r="P2100">
        <f>IF(AND($K2100=1,AND(对接源_02物料!$X900="公司筐",N(对接源_02物料!$T900)&lt;&gt;0)),1,0)</f>
        <v>0</v>
      </c>
      <c r="Q2100">
        <f>N(Q2099)+$P2100</f>
        <v>14</v>
      </c>
      <c r="R2100">
        <f>IF(AND($K2100=1,AND(对接源_02物料!$X900="公司筐",N(对接源_02物料!$U900)&lt;&gt;0)),1,0)</f>
        <v>0</v>
      </c>
      <c r="S2100">
        <f>N(S2099)+$R2100</f>
        <v>1</v>
      </c>
      <c r="T2100">
        <f>IF(AND($K2100=1,AND(对接源_02物料!$X900="公司筐",N(对接源_02物料!$V900)&lt;&gt;0)),1,0)</f>
        <v>0</v>
      </c>
      <c r="U2100">
        <f>N(U2099)+$T2100</f>
        <v>47</v>
      </c>
      <c r="V2100">
        <f>IF(AND($L2100=1,AND(对接源_02物料!$X900="自备筐",N(对接源_02物料!$V900)&lt;&gt;0)),1,0)</f>
        <v>0</v>
      </c>
      <c r="W2100">
        <f>N(W2099)+$V2100</f>
        <v>11</v>
      </c>
      <c r="X2100">
        <f>IF(AND($L2100=1,AND(对接源_02物料!$X900="自备筐",N(对接源_02物料!$T900)&lt;&gt;0)),1,0)</f>
        <v>0</v>
      </c>
      <c r="Y2100">
        <f>N(Y2099)+$X2100</f>
        <v>0</v>
      </c>
      <c r="Z2100">
        <f>IF(AND($M2100=1,对接源_02物料!$D900="原料入库"),1,0)</f>
        <v>0</v>
      </c>
      <c r="AA2100">
        <f>N(AA2099)+$Z2100</f>
        <v>24</v>
      </c>
      <c r="AB2100">
        <f>IF(AND($M2100=1,LEFT(对接源_02物料!$D900,4)="原料出库"),1,0)</f>
        <v>0</v>
      </c>
      <c r="AC2100">
        <f>N(AC2099)+$AB2100</f>
        <v>0</v>
      </c>
      <c r="AD2100">
        <f>IF(AND($M2100=1,LEFT(对接源_02物料!$D900,4)="成品出库"),1,0)</f>
        <v>0</v>
      </c>
      <c r="AE2100">
        <f>N(AE2099)+$AD2100</f>
        <v>0</v>
      </c>
      <c r="AF2100">
        <f>IF(AND($N2100=1,AND(LEFT(对接源_02物料!$D900,4)="包装物料",N(对接源_02物料!$K900)&lt;&gt;0)),1,0)</f>
        <v>0</v>
      </c>
      <c r="AG2100">
        <f>N(AG2099)+$AF2100</f>
        <v>10</v>
      </c>
      <c r="AH2100">
        <f>IF(AND($N2100=1,AND(对接源_02物料!$D900="周转筐－销售出库",N(对接源_02物料!$K900)&lt;&gt;0)),1,0)</f>
        <v>0</v>
      </c>
      <c r="AI2100">
        <f>N(AI2099)+$AH2100</f>
        <v>0</v>
      </c>
      <c r="AL2100" t="n">
        <v>0</v>
      </c>
      <c r="AM2100">
        <f>N(AM2099)+$AL2100</f>
        <v>2</v>
      </c>
      <c r="AN2100">
        <f>""</f>
      </c>
      <c r="AO2100" t="n">
        <v>0</v>
      </c>
      <c r="AP2100">
        <f>N(AP2099)+$AO2100</f>
        <v>13</v>
      </c>
      <c r="AR2100">
        <f>IF(OR($AF2100=1,$AH2100=1),1,0)</f>
        <v>0</v>
      </c>
      <c r="AS2100">
        <f>N(AS2099)+$AR2100</f>
        <v>10</v>
      </c>
    </row>
    <row r="2101" s="127">
      <c r="A2101">
        <f>IF(对接源_02物料!$C901="","",对接源_02物料!$C901)</f>
      </c>
      <c r="B2101">
        <f>IF(A2101="",0,IF(MATCH(A2101,$A$4:$A$2403,0)=ROW()-3,1,0))</f>
        <v>0</v>
      </c>
      <c r="C2101">
        <f>N(C2100)+B2101</f>
        <v>26</v>
      </c>
      <c r="K2101">
        <f>IF(OR($K$1="",对接源_02物料!$C901="",对接源_02物料!$C901&lt;&gt;$K$1,对接源_02物料!$B901=""),0,IF(OR(N(对接源_02物料!$B901)&lt;$K$2,N(对接源_02物料!$B901)&gt;$K$3),0,1))</f>
        <v>0</v>
      </c>
      <c r="L2101">
        <f>IF(OR($L$1="",对接源_02物料!$C901="",对接源_02物料!$C901&lt;&gt;$L$1,对接源_02物料!$B901=""),0,IF(OR(N(对接源_02物料!$B901)&lt;$L$2,N(对接源_02物料!$B901)&gt;$L$3),0,1))</f>
        <v>0</v>
      </c>
      <c r="M2101">
        <f>IF(OR($M$1="",对接源_02物料!$C901="",对接源_02物料!$C901&lt;&gt;$M$1,对接源_02物料!$B901=""),0,IF(OR(N(对接源_02物料!$B901)&lt;$M$2,N(对接源_02物料!$B901)&gt;$M$3),0,1))</f>
        <v>0</v>
      </c>
      <c r="N2101">
        <f>IF(OR($N$1="",对接源_02物料!$C901="",对接源_02物料!$C901&lt;&gt;$N$1,对接源_02物料!$B901=""),0,IF(OR(N(对接源_02物料!$B901)&lt;$N$2,N(对接源_02物料!$B901)&gt;$N$3),0,1))</f>
        <v>0</v>
      </c>
      <c r="P2101">
        <f>IF(AND($K2101=1,AND(对接源_02物料!$X901="公司筐",N(对接源_02物料!$T901)&lt;&gt;0)),1,0)</f>
        <v>0</v>
      </c>
      <c r="Q2101">
        <f>N(Q2100)+$P2101</f>
        <v>14</v>
      </c>
      <c r="R2101">
        <f>IF(AND($K2101=1,AND(对接源_02物料!$X901="公司筐",N(对接源_02物料!$U901)&lt;&gt;0)),1,0)</f>
        <v>0</v>
      </c>
      <c r="S2101">
        <f>N(S2100)+$R2101</f>
        <v>1</v>
      </c>
      <c r="T2101">
        <f>IF(AND($K2101=1,AND(对接源_02物料!$X901="公司筐",N(对接源_02物料!$V901)&lt;&gt;0)),1,0)</f>
        <v>0</v>
      </c>
      <c r="U2101">
        <f>N(U2100)+$T2101</f>
        <v>47</v>
      </c>
      <c r="V2101">
        <f>IF(AND($L2101=1,AND(对接源_02物料!$X901="自备筐",N(对接源_02物料!$V901)&lt;&gt;0)),1,0)</f>
        <v>0</v>
      </c>
      <c r="W2101">
        <f>N(W2100)+$V2101</f>
        <v>11</v>
      </c>
      <c r="X2101">
        <f>IF(AND($L2101=1,AND(对接源_02物料!$X901="自备筐",N(对接源_02物料!$T901)&lt;&gt;0)),1,0)</f>
        <v>0</v>
      </c>
      <c r="Y2101">
        <f>N(Y2100)+$X2101</f>
        <v>0</v>
      </c>
      <c r="Z2101">
        <f>IF(AND($M2101=1,对接源_02物料!$D901="原料入库"),1,0)</f>
        <v>0</v>
      </c>
      <c r="AA2101">
        <f>N(AA2100)+$Z2101</f>
        <v>24</v>
      </c>
      <c r="AB2101">
        <f>IF(AND($M2101=1,LEFT(对接源_02物料!$D901,4)="原料出库"),1,0)</f>
        <v>0</v>
      </c>
      <c r="AC2101">
        <f>N(AC2100)+$AB2101</f>
        <v>0</v>
      </c>
      <c r="AD2101">
        <f>IF(AND($M2101=1,LEFT(对接源_02物料!$D901,4)="成品出库"),1,0)</f>
        <v>0</v>
      </c>
      <c r="AE2101">
        <f>N(AE2100)+$AD2101</f>
        <v>0</v>
      </c>
      <c r="AF2101">
        <f>IF(AND($N2101=1,AND(LEFT(对接源_02物料!$D901,4)="包装物料",N(对接源_02物料!$K901)&lt;&gt;0)),1,0)</f>
        <v>0</v>
      </c>
      <c r="AG2101">
        <f>N(AG2100)+$AF2101</f>
        <v>10</v>
      </c>
      <c r="AH2101">
        <f>IF(AND($N2101=1,AND(对接源_02物料!$D901="周转筐－销售出库",N(对接源_02物料!$K901)&lt;&gt;0)),1,0)</f>
        <v>0</v>
      </c>
      <c r="AI2101">
        <f>N(AI2100)+$AH2101</f>
        <v>0</v>
      </c>
      <c r="AL2101" t="n">
        <v>0</v>
      </c>
      <c r="AM2101">
        <f>N(AM2100)+$AL2101</f>
        <v>2</v>
      </c>
      <c r="AN2101">
        <f>""</f>
      </c>
      <c r="AO2101" t="n">
        <v>0</v>
      </c>
      <c r="AP2101">
        <f>N(AP2100)+$AO2101</f>
        <v>13</v>
      </c>
      <c r="AR2101">
        <f>IF(OR($AF2101=1,$AH2101=1),1,0)</f>
        <v>0</v>
      </c>
      <c r="AS2101">
        <f>N(AS2100)+$AR2101</f>
        <v>10</v>
      </c>
    </row>
    <row r="2102" s="127">
      <c r="A2102">
        <f>IF(对接源_02物料!$C902="","",对接源_02物料!$C902)</f>
      </c>
      <c r="B2102">
        <f>IF(A2102="",0,IF(MATCH(A2102,$A$4:$A$2403,0)=ROW()-3,1,0))</f>
        <v>0</v>
      </c>
      <c r="C2102">
        <f>N(C2101)+B2102</f>
        <v>26</v>
      </c>
      <c r="K2102">
        <f>IF(OR($K$1="",对接源_02物料!$C902="",对接源_02物料!$C902&lt;&gt;$K$1,对接源_02物料!$B902=""),0,IF(OR(N(对接源_02物料!$B902)&lt;$K$2,N(对接源_02物料!$B902)&gt;$K$3),0,1))</f>
        <v>0</v>
      </c>
      <c r="L2102">
        <f>IF(OR($L$1="",对接源_02物料!$C902="",对接源_02物料!$C902&lt;&gt;$L$1,对接源_02物料!$B902=""),0,IF(OR(N(对接源_02物料!$B902)&lt;$L$2,N(对接源_02物料!$B902)&gt;$L$3),0,1))</f>
        <v>0</v>
      </c>
      <c r="M2102">
        <f>IF(OR($M$1="",对接源_02物料!$C902="",对接源_02物料!$C902&lt;&gt;$M$1,对接源_02物料!$B902=""),0,IF(OR(N(对接源_02物料!$B902)&lt;$M$2,N(对接源_02物料!$B902)&gt;$M$3),0,1))</f>
        <v>0</v>
      </c>
      <c r="N2102">
        <f>IF(OR($N$1="",对接源_02物料!$C902="",对接源_02物料!$C902&lt;&gt;$N$1,对接源_02物料!$B902=""),0,IF(OR(N(对接源_02物料!$B902)&lt;$N$2,N(对接源_02物料!$B902)&gt;$N$3),0,1))</f>
        <v>0</v>
      </c>
      <c r="P2102">
        <f>IF(AND($K2102=1,AND(对接源_02物料!$X902="公司筐",N(对接源_02物料!$T902)&lt;&gt;0)),1,0)</f>
        <v>0</v>
      </c>
      <c r="Q2102">
        <f>N(Q2101)+$P2102</f>
        <v>14</v>
      </c>
      <c r="R2102">
        <f>IF(AND($K2102=1,AND(对接源_02物料!$X902="公司筐",N(对接源_02物料!$U902)&lt;&gt;0)),1,0)</f>
        <v>0</v>
      </c>
      <c r="S2102">
        <f>N(S2101)+$R2102</f>
        <v>1</v>
      </c>
      <c r="T2102">
        <f>IF(AND($K2102=1,AND(对接源_02物料!$X902="公司筐",N(对接源_02物料!$V902)&lt;&gt;0)),1,0)</f>
        <v>0</v>
      </c>
      <c r="U2102">
        <f>N(U2101)+$T2102</f>
        <v>47</v>
      </c>
      <c r="V2102">
        <f>IF(AND($L2102=1,AND(对接源_02物料!$X902="自备筐",N(对接源_02物料!$V902)&lt;&gt;0)),1,0)</f>
        <v>0</v>
      </c>
      <c r="W2102">
        <f>N(W2101)+$V2102</f>
        <v>11</v>
      </c>
      <c r="X2102">
        <f>IF(AND($L2102=1,AND(对接源_02物料!$X902="自备筐",N(对接源_02物料!$T902)&lt;&gt;0)),1,0)</f>
        <v>0</v>
      </c>
      <c r="Y2102">
        <f>N(Y2101)+$X2102</f>
        <v>0</v>
      </c>
      <c r="Z2102">
        <f>IF(AND($M2102=1,对接源_02物料!$D902="原料入库"),1,0)</f>
        <v>0</v>
      </c>
      <c r="AA2102">
        <f>N(AA2101)+$Z2102</f>
        <v>24</v>
      </c>
      <c r="AB2102">
        <f>IF(AND($M2102=1,LEFT(对接源_02物料!$D902,4)="原料出库"),1,0)</f>
        <v>0</v>
      </c>
      <c r="AC2102">
        <f>N(AC2101)+$AB2102</f>
        <v>0</v>
      </c>
      <c r="AD2102">
        <f>IF(AND($M2102=1,LEFT(对接源_02物料!$D902,4)="成品出库"),1,0)</f>
        <v>0</v>
      </c>
      <c r="AE2102">
        <f>N(AE2101)+$AD2102</f>
        <v>0</v>
      </c>
      <c r="AF2102">
        <f>IF(AND($N2102=1,AND(LEFT(对接源_02物料!$D902,4)="包装物料",N(对接源_02物料!$K902)&lt;&gt;0)),1,0)</f>
        <v>0</v>
      </c>
      <c r="AG2102">
        <f>N(AG2101)+$AF2102</f>
        <v>10</v>
      </c>
      <c r="AH2102">
        <f>IF(AND($N2102=1,AND(对接源_02物料!$D902="周转筐－销售出库",N(对接源_02物料!$K902)&lt;&gt;0)),1,0)</f>
        <v>0</v>
      </c>
      <c r="AI2102">
        <f>N(AI2101)+$AH2102</f>
        <v>0</v>
      </c>
      <c r="AL2102" t="n">
        <v>0</v>
      </c>
      <c r="AM2102">
        <f>N(AM2101)+$AL2102</f>
        <v>2</v>
      </c>
      <c r="AN2102">
        <f>""</f>
      </c>
      <c r="AO2102" t="n">
        <v>0</v>
      </c>
      <c r="AP2102">
        <f>N(AP2101)+$AO2102</f>
        <v>13</v>
      </c>
      <c r="AR2102">
        <f>IF(OR($AF2102=1,$AH2102=1),1,0)</f>
        <v>0</v>
      </c>
      <c r="AS2102">
        <f>N(AS2101)+$AR2102</f>
        <v>10</v>
      </c>
    </row>
    <row r="2103" s="127">
      <c r="A2103">
        <f>IF(对接源_02物料!$C903="","",对接源_02物料!$C903)</f>
      </c>
      <c r="B2103">
        <f>IF(A2103="",0,IF(MATCH(A2103,$A$4:$A$2403,0)=ROW()-3,1,0))</f>
        <v>0</v>
      </c>
      <c r="C2103">
        <f>N(C2102)+B2103</f>
        <v>26</v>
      </c>
      <c r="K2103">
        <f>IF(OR($K$1="",对接源_02物料!$C903="",对接源_02物料!$C903&lt;&gt;$K$1,对接源_02物料!$B903=""),0,IF(OR(N(对接源_02物料!$B903)&lt;$K$2,N(对接源_02物料!$B903)&gt;$K$3),0,1))</f>
        <v>0</v>
      </c>
      <c r="L2103">
        <f>IF(OR($L$1="",对接源_02物料!$C903="",对接源_02物料!$C903&lt;&gt;$L$1,对接源_02物料!$B903=""),0,IF(OR(N(对接源_02物料!$B903)&lt;$L$2,N(对接源_02物料!$B903)&gt;$L$3),0,1))</f>
        <v>0</v>
      </c>
      <c r="M2103">
        <f>IF(OR($M$1="",对接源_02物料!$C903="",对接源_02物料!$C903&lt;&gt;$M$1,对接源_02物料!$B903=""),0,IF(OR(N(对接源_02物料!$B903)&lt;$M$2,N(对接源_02物料!$B903)&gt;$M$3),0,1))</f>
        <v>0</v>
      </c>
      <c r="N2103">
        <f>IF(OR($N$1="",对接源_02物料!$C903="",对接源_02物料!$C903&lt;&gt;$N$1,对接源_02物料!$B903=""),0,IF(OR(N(对接源_02物料!$B903)&lt;$N$2,N(对接源_02物料!$B903)&gt;$N$3),0,1))</f>
        <v>0</v>
      </c>
      <c r="P2103">
        <f>IF(AND($K2103=1,AND(对接源_02物料!$X903="公司筐",N(对接源_02物料!$T903)&lt;&gt;0)),1,0)</f>
        <v>0</v>
      </c>
      <c r="Q2103">
        <f>N(Q2102)+$P2103</f>
        <v>14</v>
      </c>
      <c r="R2103">
        <f>IF(AND($K2103=1,AND(对接源_02物料!$X903="公司筐",N(对接源_02物料!$U903)&lt;&gt;0)),1,0)</f>
        <v>0</v>
      </c>
      <c r="S2103">
        <f>N(S2102)+$R2103</f>
        <v>1</v>
      </c>
      <c r="T2103">
        <f>IF(AND($K2103=1,AND(对接源_02物料!$X903="公司筐",N(对接源_02物料!$V903)&lt;&gt;0)),1,0)</f>
        <v>0</v>
      </c>
      <c r="U2103">
        <f>N(U2102)+$T2103</f>
        <v>47</v>
      </c>
      <c r="V2103">
        <f>IF(AND($L2103=1,AND(对接源_02物料!$X903="自备筐",N(对接源_02物料!$V903)&lt;&gt;0)),1,0)</f>
        <v>0</v>
      </c>
      <c r="W2103">
        <f>N(W2102)+$V2103</f>
        <v>11</v>
      </c>
      <c r="X2103">
        <f>IF(AND($L2103=1,AND(对接源_02物料!$X903="自备筐",N(对接源_02物料!$T903)&lt;&gt;0)),1,0)</f>
        <v>0</v>
      </c>
      <c r="Y2103">
        <f>N(Y2102)+$X2103</f>
        <v>0</v>
      </c>
      <c r="Z2103">
        <f>IF(AND($M2103=1,对接源_02物料!$D903="原料入库"),1,0)</f>
        <v>0</v>
      </c>
      <c r="AA2103">
        <f>N(AA2102)+$Z2103</f>
        <v>24</v>
      </c>
      <c r="AB2103">
        <f>IF(AND($M2103=1,LEFT(对接源_02物料!$D903,4)="原料出库"),1,0)</f>
        <v>0</v>
      </c>
      <c r="AC2103">
        <f>N(AC2102)+$AB2103</f>
        <v>0</v>
      </c>
      <c r="AD2103">
        <f>IF(AND($M2103=1,LEFT(对接源_02物料!$D903,4)="成品出库"),1,0)</f>
        <v>0</v>
      </c>
      <c r="AE2103">
        <f>N(AE2102)+$AD2103</f>
        <v>0</v>
      </c>
      <c r="AF2103">
        <f>IF(AND($N2103=1,AND(LEFT(对接源_02物料!$D903,4)="包装物料",N(对接源_02物料!$K903)&lt;&gt;0)),1,0)</f>
        <v>0</v>
      </c>
      <c r="AG2103">
        <f>N(AG2102)+$AF2103</f>
        <v>10</v>
      </c>
      <c r="AH2103">
        <f>IF(AND($N2103=1,AND(对接源_02物料!$D903="周转筐－销售出库",N(对接源_02物料!$K903)&lt;&gt;0)),1,0)</f>
        <v>0</v>
      </c>
      <c r="AI2103">
        <f>N(AI2102)+$AH2103</f>
        <v>0</v>
      </c>
      <c r="AL2103" t="n">
        <v>0</v>
      </c>
      <c r="AM2103">
        <f>N(AM2102)+$AL2103</f>
        <v>2</v>
      </c>
      <c r="AN2103">
        <f>""</f>
      </c>
      <c r="AO2103" t="n">
        <v>0</v>
      </c>
      <c r="AP2103">
        <f>N(AP2102)+$AO2103</f>
        <v>13</v>
      </c>
      <c r="AR2103">
        <f>IF(OR($AF2103=1,$AH2103=1),1,0)</f>
        <v>0</v>
      </c>
      <c r="AS2103">
        <f>N(AS2102)+$AR2103</f>
        <v>10</v>
      </c>
    </row>
    <row r="2104" s="127">
      <c r="A2104">
        <f>IF(对接源_02物料!$C904="","",对接源_02物料!$C904)</f>
      </c>
      <c r="B2104">
        <f>IF(A2104="",0,IF(MATCH(A2104,$A$4:$A$2403,0)=ROW()-3,1,0))</f>
        <v>0</v>
      </c>
      <c r="C2104">
        <f>N(C2103)+B2104</f>
        <v>26</v>
      </c>
      <c r="K2104">
        <f>IF(OR($K$1="",对接源_02物料!$C904="",对接源_02物料!$C904&lt;&gt;$K$1,对接源_02物料!$B904=""),0,IF(OR(N(对接源_02物料!$B904)&lt;$K$2,N(对接源_02物料!$B904)&gt;$K$3),0,1))</f>
        <v>0</v>
      </c>
      <c r="L2104">
        <f>IF(OR($L$1="",对接源_02物料!$C904="",对接源_02物料!$C904&lt;&gt;$L$1,对接源_02物料!$B904=""),0,IF(OR(N(对接源_02物料!$B904)&lt;$L$2,N(对接源_02物料!$B904)&gt;$L$3),0,1))</f>
        <v>0</v>
      </c>
      <c r="M2104">
        <f>IF(OR($M$1="",对接源_02物料!$C904="",对接源_02物料!$C904&lt;&gt;$M$1,对接源_02物料!$B904=""),0,IF(OR(N(对接源_02物料!$B904)&lt;$M$2,N(对接源_02物料!$B904)&gt;$M$3),0,1))</f>
        <v>0</v>
      </c>
      <c r="N2104">
        <f>IF(OR($N$1="",对接源_02物料!$C904="",对接源_02物料!$C904&lt;&gt;$N$1,对接源_02物料!$B904=""),0,IF(OR(N(对接源_02物料!$B904)&lt;$N$2,N(对接源_02物料!$B904)&gt;$N$3),0,1))</f>
        <v>0</v>
      </c>
      <c r="P2104">
        <f>IF(AND($K2104=1,AND(对接源_02物料!$X904="公司筐",N(对接源_02物料!$T904)&lt;&gt;0)),1,0)</f>
        <v>0</v>
      </c>
      <c r="Q2104">
        <f>N(Q2103)+$P2104</f>
        <v>14</v>
      </c>
      <c r="R2104">
        <f>IF(AND($K2104=1,AND(对接源_02物料!$X904="公司筐",N(对接源_02物料!$U904)&lt;&gt;0)),1,0)</f>
        <v>0</v>
      </c>
      <c r="S2104">
        <f>N(S2103)+$R2104</f>
        <v>1</v>
      </c>
      <c r="T2104">
        <f>IF(AND($K2104=1,AND(对接源_02物料!$X904="公司筐",N(对接源_02物料!$V904)&lt;&gt;0)),1,0)</f>
        <v>0</v>
      </c>
      <c r="U2104">
        <f>N(U2103)+$T2104</f>
        <v>47</v>
      </c>
      <c r="V2104">
        <f>IF(AND($L2104=1,AND(对接源_02物料!$X904="自备筐",N(对接源_02物料!$V904)&lt;&gt;0)),1,0)</f>
        <v>0</v>
      </c>
      <c r="W2104">
        <f>N(W2103)+$V2104</f>
        <v>11</v>
      </c>
      <c r="X2104">
        <f>IF(AND($L2104=1,AND(对接源_02物料!$X904="自备筐",N(对接源_02物料!$T904)&lt;&gt;0)),1,0)</f>
        <v>0</v>
      </c>
      <c r="Y2104">
        <f>N(Y2103)+$X2104</f>
        <v>0</v>
      </c>
      <c r="Z2104">
        <f>IF(AND($M2104=1,对接源_02物料!$D904="原料入库"),1,0)</f>
        <v>0</v>
      </c>
      <c r="AA2104">
        <f>N(AA2103)+$Z2104</f>
        <v>24</v>
      </c>
      <c r="AB2104">
        <f>IF(AND($M2104=1,LEFT(对接源_02物料!$D904,4)="原料出库"),1,0)</f>
        <v>0</v>
      </c>
      <c r="AC2104">
        <f>N(AC2103)+$AB2104</f>
        <v>0</v>
      </c>
      <c r="AD2104">
        <f>IF(AND($M2104=1,LEFT(对接源_02物料!$D904,4)="成品出库"),1,0)</f>
        <v>0</v>
      </c>
      <c r="AE2104">
        <f>N(AE2103)+$AD2104</f>
        <v>0</v>
      </c>
      <c r="AF2104">
        <f>IF(AND($N2104=1,AND(LEFT(对接源_02物料!$D904,4)="包装物料",N(对接源_02物料!$K904)&lt;&gt;0)),1,0)</f>
        <v>0</v>
      </c>
      <c r="AG2104">
        <f>N(AG2103)+$AF2104</f>
        <v>10</v>
      </c>
      <c r="AH2104">
        <f>IF(AND($N2104=1,AND(对接源_02物料!$D904="周转筐－销售出库",N(对接源_02物料!$K904)&lt;&gt;0)),1,0)</f>
        <v>0</v>
      </c>
      <c r="AI2104">
        <f>N(AI2103)+$AH2104</f>
        <v>0</v>
      </c>
      <c r="AL2104" t="n">
        <v>0</v>
      </c>
      <c r="AM2104">
        <f>N(AM2103)+$AL2104</f>
        <v>2</v>
      </c>
      <c r="AN2104">
        <f>""</f>
      </c>
      <c r="AO2104" t="n">
        <v>0</v>
      </c>
      <c r="AP2104">
        <f>N(AP2103)+$AO2104</f>
        <v>13</v>
      </c>
      <c r="AR2104">
        <f>IF(OR($AF2104=1,$AH2104=1),1,0)</f>
        <v>0</v>
      </c>
      <c r="AS2104">
        <f>N(AS2103)+$AR2104</f>
        <v>10</v>
      </c>
    </row>
    <row r="2105" s="127">
      <c r="A2105">
        <f>IF(对接源_02物料!$C905="","",对接源_02物料!$C905)</f>
      </c>
      <c r="B2105">
        <f>IF(A2105="",0,IF(MATCH(A2105,$A$4:$A$2403,0)=ROW()-3,1,0))</f>
        <v>0</v>
      </c>
      <c r="C2105">
        <f>N(C2104)+B2105</f>
        <v>26</v>
      </c>
      <c r="K2105">
        <f>IF(OR($K$1="",对接源_02物料!$C905="",对接源_02物料!$C905&lt;&gt;$K$1,对接源_02物料!$B905=""),0,IF(OR(N(对接源_02物料!$B905)&lt;$K$2,N(对接源_02物料!$B905)&gt;$K$3),0,1))</f>
        <v>0</v>
      </c>
      <c r="L2105">
        <f>IF(OR($L$1="",对接源_02物料!$C905="",对接源_02物料!$C905&lt;&gt;$L$1,对接源_02物料!$B905=""),0,IF(OR(N(对接源_02物料!$B905)&lt;$L$2,N(对接源_02物料!$B905)&gt;$L$3),0,1))</f>
        <v>0</v>
      </c>
      <c r="M2105">
        <f>IF(OR($M$1="",对接源_02物料!$C905="",对接源_02物料!$C905&lt;&gt;$M$1,对接源_02物料!$B905=""),0,IF(OR(N(对接源_02物料!$B905)&lt;$M$2,N(对接源_02物料!$B905)&gt;$M$3),0,1))</f>
        <v>0</v>
      </c>
      <c r="N2105">
        <f>IF(OR($N$1="",对接源_02物料!$C905="",对接源_02物料!$C905&lt;&gt;$N$1,对接源_02物料!$B905=""),0,IF(OR(N(对接源_02物料!$B905)&lt;$N$2,N(对接源_02物料!$B905)&gt;$N$3),0,1))</f>
        <v>0</v>
      </c>
      <c r="P2105">
        <f>IF(AND($K2105=1,AND(对接源_02物料!$X905="公司筐",N(对接源_02物料!$T905)&lt;&gt;0)),1,0)</f>
        <v>0</v>
      </c>
      <c r="Q2105">
        <f>N(Q2104)+$P2105</f>
        <v>14</v>
      </c>
      <c r="R2105">
        <f>IF(AND($K2105=1,AND(对接源_02物料!$X905="公司筐",N(对接源_02物料!$U905)&lt;&gt;0)),1,0)</f>
        <v>0</v>
      </c>
      <c r="S2105">
        <f>N(S2104)+$R2105</f>
        <v>1</v>
      </c>
      <c r="T2105">
        <f>IF(AND($K2105=1,AND(对接源_02物料!$X905="公司筐",N(对接源_02物料!$V905)&lt;&gt;0)),1,0)</f>
        <v>0</v>
      </c>
      <c r="U2105">
        <f>N(U2104)+$T2105</f>
        <v>47</v>
      </c>
      <c r="V2105">
        <f>IF(AND($L2105=1,AND(对接源_02物料!$X905="自备筐",N(对接源_02物料!$V905)&lt;&gt;0)),1,0)</f>
        <v>0</v>
      </c>
      <c r="W2105">
        <f>N(W2104)+$V2105</f>
        <v>11</v>
      </c>
      <c r="X2105">
        <f>IF(AND($L2105=1,AND(对接源_02物料!$X905="自备筐",N(对接源_02物料!$T905)&lt;&gt;0)),1,0)</f>
        <v>0</v>
      </c>
      <c r="Y2105">
        <f>N(Y2104)+$X2105</f>
        <v>0</v>
      </c>
      <c r="Z2105">
        <f>IF(AND($M2105=1,对接源_02物料!$D905="原料入库"),1,0)</f>
        <v>0</v>
      </c>
      <c r="AA2105">
        <f>N(AA2104)+$Z2105</f>
        <v>24</v>
      </c>
      <c r="AB2105">
        <f>IF(AND($M2105=1,LEFT(对接源_02物料!$D905,4)="原料出库"),1,0)</f>
        <v>0</v>
      </c>
      <c r="AC2105">
        <f>N(AC2104)+$AB2105</f>
        <v>0</v>
      </c>
      <c r="AD2105">
        <f>IF(AND($M2105=1,LEFT(对接源_02物料!$D905,4)="成品出库"),1,0)</f>
        <v>0</v>
      </c>
      <c r="AE2105">
        <f>N(AE2104)+$AD2105</f>
        <v>0</v>
      </c>
      <c r="AF2105">
        <f>IF(AND($N2105=1,AND(LEFT(对接源_02物料!$D905,4)="包装物料",N(对接源_02物料!$K905)&lt;&gt;0)),1,0)</f>
        <v>0</v>
      </c>
      <c r="AG2105">
        <f>N(AG2104)+$AF2105</f>
        <v>10</v>
      </c>
      <c r="AH2105">
        <f>IF(AND($N2105=1,AND(对接源_02物料!$D905="周转筐－销售出库",N(对接源_02物料!$K905)&lt;&gt;0)),1,0)</f>
        <v>0</v>
      </c>
      <c r="AI2105">
        <f>N(AI2104)+$AH2105</f>
        <v>0</v>
      </c>
      <c r="AL2105" t="n">
        <v>0</v>
      </c>
      <c r="AM2105">
        <f>N(AM2104)+$AL2105</f>
        <v>2</v>
      </c>
      <c r="AN2105">
        <f>""</f>
      </c>
      <c r="AO2105" t="n">
        <v>0</v>
      </c>
      <c r="AP2105">
        <f>N(AP2104)+$AO2105</f>
        <v>13</v>
      </c>
      <c r="AR2105">
        <f>IF(OR($AF2105=1,$AH2105=1),1,0)</f>
        <v>0</v>
      </c>
      <c r="AS2105">
        <f>N(AS2104)+$AR2105</f>
        <v>10</v>
      </c>
    </row>
    <row r="2106" s="127">
      <c r="A2106">
        <f>IF(对接源_02物料!$C906="","",对接源_02物料!$C906)</f>
      </c>
      <c r="B2106">
        <f>IF(A2106="",0,IF(MATCH(A2106,$A$4:$A$2403,0)=ROW()-3,1,0))</f>
        <v>0</v>
      </c>
      <c r="C2106">
        <f>N(C2105)+B2106</f>
        <v>26</v>
      </c>
      <c r="K2106">
        <f>IF(OR($K$1="",对接源_02物料!$C906="",对接源_02物料!$C906&lt;&gt;$K$1,对接源_02物料!$B906=""),0,IF(OR(N(对接源_02物料!$B906)&lt;$K$2,N(对接源_02物料!$B906)&gt;$K$3),0,1))</f>
        <v>0</v>
      </c>
      <c r="L2106">
        <f>IF(OR($L$1="",对接源_02物料!$C906="",对接源_02物料!$C906&lt;&gt;$L$1,对接源_02物料!$B906=""),0,IF(OR(N(对接源_02物料!$B906)&lt;$L$2,N(对接源_02物料!$B906)&gt;$L$3),0,1))</f>
        <v>0</v>
      </c>
      <c r="M2106">
        <f>IF(OR($M$1="",对接源_02物料!$C906="",对接源_02物料!$C906&lt;&gt;$M$1,对接源_02物料!$B906=""),0,IF(OR(N(对接源_02物料!$B906)&lt;$M$2,N(对接源_02物料!$B906)&gt;$M$3),0,1))</f>
        <v>0</v>
      </c>
      <c r="N2106">
        <f>IF(OR($N$1="",对接源_02物料!$C906="",对接源_02物料!$C906&lt;&gt;$N$1,对接源_02物料!$B906=""),0,IF(OR(N(对接源_02物料!$B906)&lt;$N$2,N(对接源_02物料!$B906)&gt;$N$3),0,1))</f>
        <v>0</v>
      </c>
      <c r="P2106">
        <f>IF(AND($K2106=1,AND(对接源_02物料!$X906="公司筐",N(对接源_02物料!$T906)&lt;&gt;0)),1,0)</f>
        <v>0</v>
      </c>
      <c r="Q2106">
        <f>N(Q2105)+$P2106</f>
        <v>14</v>
      </c>
      <c r="R2106">
        <f>IF(AND($K2106=1,AND(对接源_02物料!$X906="公司筐",N(对接源_02物料!$U906)&lt;&gt;0)),1,0)</f>
        <v>0</v>
      </c>
      <c r="S2106">
        <f>N(S2105)+$R2106</f>
        <v>1</v>
      </c>
      <c r="T2106">
        <f>IF(AND($K2106=1,AND(对接源_02物料!$X906="公司筐",N(对接源_02物料!$V906)&lt;&gt;0)),1,0)</f>
        <v>0</v>
      </c>
      <c r="U2106">
        <f>N(U2105)+$T2106</f>
        <v>47</v>
      </c>
      <c r="V2106">
        <f>IF(AND($L2106=1,AND(对接源_02物料!$X906="自备筐",N(对接源_02物料!$V906)&lt;&gt;0)),1,0)</f>
        <v>0</v>
      </c>
      <c r="W2106">
        <f>N(W2105)+$V2106</f>
        <v>11</v>
      </c>
      <c r="X2106">
        <f>IF(AND($L2106=1,AND(对接源_02物料!$X906="自备筐",N(对接源_02物料!$T906)&lt;&gt;0)),1,0)</f>
        <v>0</v>
      </c>
      <c r="Y2106">
        <f>N(Y2105)+$X2106</f>
        <v>0</v>
      </c>
      <c r="Z2106">
        <f>IF(AND($M2106=1,对接源_02物料!$D906="原料入库"),1,0)</f>
        <v>0</v>
      </c>
      <c r="AA2106">
        <f>N(AA2105)+$Z2106</f>
        <v>24</v>
      </c>
      <c r="AB2106">
        <f>IF(AND($M2106=1,LEFT(对接源_02物料!$D906,4)="原料出库"),1,0)</f>
        <v>0</v>
      </c>
      <c r="AC2106">
        <f>N(AC2105)+$AB2106</f>
        <v>0</v>
      </c>
      <c r="AD2106">
        <f>IF(AND($M2106=1,LEFT(对接源_02物料!$D906,4)="成品出库"),1,0)</f>
        <v>0</v>
      </c>
      <c r="AE2106">
        <f>N(AE2105)+$AD2106</f>
        <v>0</v>
      </c>
      <c r="AF2106">
        <f>IF(AND($N2106=1,AND(LEFT(对接源_02物料!$D906,4)="包装物料",N(对接源_02物料!$K906)&lt;&gt;0)),1,0)</f>
        <v>0</v>
      </c>
      <c r="AG2106">
        <f>N(AG2105)+$AF2106</f>
        <v>10</v>
      </c>
      <c r="AH2106">
        <f>IF(AND($N2106=1,AND(对接源_02物料!$D906="周转筐－销售出库",N(对接源_02物料!$K906)&lt;&gt;0)),1,0)</f>
        <v>0</v>
      </c>
      <c r="AI2106">
        <f>N(AI2105)+$AH2106</f>
        <v>0</v>
      </c>
      <c r="AL2106" t="n">
        <v>0</v>
      </c>
      <c r="AM2106">
        <f>N(AM2105)+$AL2106</f>
        <v>2</v>
      </c>
      <c r="AN2106">
        <f>""</f>
      </c>
      <c r="AO2106" t="n">
        <v>0</v>
      </c>
      <c r="AP2106">
        <f>N(AP2105)+$AO2106</f>
        <v>13</v>
      </c>
      <c r="AR2106">
        <f>IF(OR($AF2106=1,$AH2106=1),1,0)</f>
        <v>0</v>
      </c>
      <c r="AS2106">
        <f>N(AS2105)+$AR2106</f>
        <v>10</v>
      </c>
    </row>
    <row r="2107" s="127">
      <c r="A2107">
        <f>IF(对接源_02物料!$C907="","",对接源_02物料!$C907)</f>
      </c>
      <c r="B2107">
        <f>IF(A2107="",0,IF(MATCH(A2107,$A$4:$A$2403,0)=ROW()-3,1,0))</f>
        <v>0</v>
      </c>
      <c r="C2107">
        <f>N(C2106)+B2107</f>
        <v>26</v>
      </c>
      <c r="K2107">
        <f>IF(OR($K$1="",对接源_02物料!$C907="",对接源_02物料!$C907&lt;&gt;$K$1,对接源_02物料!$B907=""),0,IF(OR(N(对接源_02物料!$B907)&lt;$K$2,N(对接源_02物料!$B907)&gt;$K$3),0,1))</f>
        <v>0</v>
      </c>
      <c r="L2107">
        <f>IF(OR($L$1="",对接源_02物料!$C907="",对接源_02物料!$C907&lt;&gt;$L$1,对接源_02物料!$B907=""),0,IF(OR(N(对接源_02物料!$B907)&lt;$L$2,N(对接源_02物料!$B907)&gt;$L$3),0,1))</f>
        <v>0</v>
      </c>
      <c r="M2107">
        <f>IF(OR($M$1="",对接源_02物料!$C907="",对接源_02物料!$C907&lt;&gt;$M$1,对接源_02物料!$B907=""),0,IF(OR(N(对接源_02物料!$B907)&lt;$M$2,N(对接源_02物料!$B907)&gt;$M$3),0,1))</f>
        <v>0</v>
      </c>
      <c r="N2107">
        <f>IF(OR($N$1="",对接源_02物料!$C907="",对接源_02物料!$C907&lt;&gt;$N$1,对接源_02物料!$B907=""),0,IF(OR(N(对接源_02物料!$B907)&lt;$N$2,N(对接源_02物料!$B907)&gt;$N$3),0,1))</f>
        <v>0</v>
      </c>
      <c r="P2107">
        <f>IF(AND($K2107=1,AND(对接源_02物料!$X907="公司筐",N(对接源_02物料!$T907)&lt;&gt;0)),1,0)</f>
        <v>0</v>
      </c>
      <c r="Q2107">
        <f>N(Q2106)+$P2107</f>
        <v>14</v>
      </c>
      <c r="R2107">
        <f>IF(AND($K2107=1,AND(对接源_02物料!$X907="公司筐",N(对接源_02物料!$U907)&lt;&gt;0)),1,0)</f>
        <v>0</v>
      </c>
      <c r="S2107">
        <f>N(S2106)+$R2107</f>
        <v>1</v>
      </c>
      <c r="T2107">
        <f>IF(AND($K2107=1,AND(对接源_02物料!$X907="公司筐",N(对接源_02物料!$V907)&lt;&gt;0)),1,0)</f>
        <v>0</v>
      </c>
      <c r="U2107">
        <f>N(U2106)+$T2107</f>
        <v>47</v>
      </c>
      <c r="V2107">
        <f>IF(AND($L2107=1,AND(对接源_02物料!$X907="自备筐",N(对接源_02物料!$V907)&lt;&gt;0)),1,0)</f>
        <v>0</v>
      </c>
      <c r="W2107">
        <f>N(W2106)+$V2107</f>
        <v>11</v>
      </c>
      <c r="X2107">
        <f>IF(AND($L2107=1,AND(对接源_02物料!$X907="自备筐",N(对接源_02物料!$T907)&lt;&gt;0)),1,0)</f>
        <v>0</v>
      </c>
      <c r="Y2107">
        <f>N(Y2106)+$X2107</f>
        <v>0</v>
      </c>
      <c r="Z2107">
        <f>IF(AND($M2107=1,对接源_02物料!$D907="原料入库"),1,0)</f>
        <v>0</v>
      </c>
      <c r="AA2107">
        <f>N(AA2106)+$Z2107</f>
        <v>24</v>
      </c>
      <c r="AB2107">
        <f>IF(AND($M2107=1,LEFT(对接源_02物料!$D907,4)="原料出库"),1,0)</f>
        <v>0</v>
      </c>
      <c r="AC2107">
        <f>N(AC2106)+$AB2107</f>
        <v>0</v>
      </c>
      <c r="AD2107">
        <f>IF(AND($M2107=1,LEFT(对接源_02物料!$D907,4)="成品出库"),1,0)</f>
        <v>0</v>
      </c>
      <c r="AE2107">
        <f>N(AE2106)+$AD2107</f>
        <v>0</v>
      </c>
      <c r="AF2107">
        <f>IF(AND($N2107=1,AND(LEFT(对接源_02物料!$D907,4)="包装物料",N(对接源_02物料!$K907)&lt;&gt;0)),1,0)</f>
        <v>0</v>
      </c>
      <c r="AG2107">
        <f>N(AG2106)+$AF2107</f>
        <v>10</v>
      </c>
      <c r="AH2107">
        <f>IF(AND($N2107=1,AND(对接源_02物料!$D907="周转筐－销售出库",N(对接源_02物料!$K907)&lt;&gt;0)),1,0)</f>
        <v>0</v>
      </c>
      <c r="AI2107">
        <f>N(AI2106)+$AH2107</f>
        <v>0</v>
      </c>
      <c r="AL2107" t="n">
        <v>0</v>
      </c>
      <c r="AM2107">
        <f>N(AM2106)+$AL2107</f>
        <v>2</v>
      </c>
      <c r="AN2107">
        <f>""</f>
      </c>
      <c r="AO2107" t="n">
        <v>0</v>
      </c>
      <c r="AP2107">
        <f>N(AP2106)+$AO2107</f>
        <v>13</v>
      </c>
      <c r="AR2107">
        <f>IF(OR($AF2107=1,$AH2107=1),1,0)</f>
        <v>0</v>
      </c>
      <c r="AS2107">
        <f>N(AS2106)+$AR2107</f>
        <v>10</v>
      </c>
    </row>
    <row r="2108" s="127">
      <c r="A2108">
        <f>IF(对接源_02物料!$C908="","",对接源_02物料!$C908)</f>
      </c>
      <c r="B2108">
        <f>IF(A2108="",0,IF(MATCH(A2108,$A$4:$A$2403,0)=ROW()-3,1,0))</f>
        <v>0</v>
      </c>
      <c r="C2108">
        <f>N(C2107)+B2108</f>
        <v>26</v>
      </c>
      <c r="K2108">
        <f>IF(OR($K$1="",对接源_02物料!$C908="",对接源_02物料!$C908&lt;&gt;$K$1,对接源_02物料!$B908=""),0,IF(OR(N(对接源_02物料!$B908)&lt;$K$2,N(对接源_02物料!$B908)&gt;$K$3),0,1))</f>
        <v>0</v>
      </c>
      <c r="L2108">
        <f>IF(OR($L$1="",对接源_02物料!$C908="",对接源_02物料!$C908&lt;&gt;$L$1,对接源_02物料!$B908=""),0,IF(OR(N(对接源_02物料!$B908)&lt;$L$2,N(对接源_02物料!$B908)&gt;$L$3),0,1))</f>
        <v>0</v>
      </c>
      <c r="M2108">
        <f>IF(OR($M$1="",对接源_02物料!$C908="",对接源_02物料!$C908&lt;&gt;$M$1,对接源_02物料!$B908=""),0,IF(OR(N(对接源_02物料!$B908)&lt;$M$2,N(对接源_02物料!$B908)&gt;$M$3),0,1))</f>
        <v>0</v>
      </c>
      <c r="N2108">
        <f>IF(OR($N$1="",对接源_02物料!$C908="",对接源_02物料!$C908&lt;&gt;$N$1,对接源_02物料!$B908=""),0,IF(OR(N(对接源_02物料!$B908)&lt;$N$2,N(对接源_02物料!$B908)&gt;$N$3),0,1))</f>
        <v>0</v>
      </c>
      <c r="P2108">
        <f>IF(AND($K2108=1,AND(对接源_02物料!$X908="公司筐",N(对接源_02物料!$T908)&lt;&gt;0)),1,0)</f>
        <v>0</v>
      </c>
      <c r="Q2108">
        <f>N(Q2107)+$P2108</f>
        <v>14</v>
      </c>
      <c r="R2108">
        <f>IF(AND($K2108=1,AND(对接源_02物料!$X908="公司筐",N(对接源_02物料!$U908)&lt;&gt;0)),1,0)</f>
        <v>0</v>
      </c>
      <c r="S2108">
        <f>N(S2107)+$R2108</f>
        <v>1</v>
      </c>
      <c r="T2108">
        <f>IF(AND($K2108=1,AND(对接源_02物料!$X908="公司筐",N(对接源_02物料!$V908)&lt;&gt;0)),1,0)</f>
        <v>0</v>
      </c>
      <c r="U2108">
        <f>N(U2107)+$T2108</f>
        <v>47</v>
      </c>
      <c r="V2108">
        <f>IF(AND($L2108=1,AND(对接源_02物料!$X908="自备筐",N(对接源_02物料!$V908)&lt;&gt;0)),1,0)</f>
        <v>0</v>
      </c>
      <c r="W2108">
        <f>N(W2107)+$V2108</f>
        <v>11</v>
      </c>
      <c r="X2108">
        <f>IF(AND($L2108=1,AND(对接源_02物料!$X908="自备筐",N(对接源_02物料!$T908)&lt;&gt;0)),1,0)</f>
        <v>0</v>
      </c>
      <c r="Y2108">
        <f>N(Y2107)+$X2108</f>
        <v>0</v>
      </c>
      <c r="Z2108">
        <f>IF(AND($M2108=1,对接源_02物料!$D908="原料入库"),1,0)</f>
        <v>0</v>
      </c>
      <c r="AA2108">
        <f>N(AA2107)+$Z2108</f>
        <v>24</v>
      </c>
      <c r="AB2108">
        <f>IF(AND($M2108=1,LEFT(对接源_02物料!$D908,4)="原料出库"),1,0)</f>
        <v>0</v>
      </c>
      <c r="AC2108">
        <f>N(AC2107)+$AB2108</f>
        <v>0</v>
      </c>
      <c r="AD2108">
        <f>IF(AND($M2108=1,LEFT(对接源_02物料!$D908,4)="成品出库"),1,0)</f>
        <v>0</v>
      </c>
      <c r="AE2108">
        <f>N(AE2107)+$AD2108</f>
        <v>0</v>
      </c>
      <c r="AF2108">
        <f>IF(AND($N2108=1,AND(LEFT(对接源_02物料!$D908,4)="包装物料",N(对接源_02物料!$K908)&lt;&gt;0)),1,0)</f>
        <v>0</v>
      </c>
      <c r="AG2108">
        <f>N(AG2107)+$AF2108</f>
        <v>10</v>
      </c>
      <c r="AH2108">
        <f>IF(AND($N2108=1,AND(对接源_02物料!$D908="周转筐－销售出库",N(对接源_02物料!$K908)&lt;&gt;0)),1,0)</f>
        <v>0</v>
      </c>
      <c r="AI2108">
        <f>N(AI2107)+$AH2108</f>
        <v>0</v>
      </c>
      <c r="AL2108" t="n">
        <v>0</v>
      </c>
      <c r="AM2108">
        <f>N(AM2107)+$AL2108</f>
        <v>2</v>
      </c>
      <c r="AN2108">
        <f>""</f>
      </c>
      <c r="AO2108" t="n">
        <v>0</v>
      </c>
      <c r="AP2108">
        <f>N(AP2107)+$AO2108</f>
        <v>13</v>
      </c>
      <c r="AR2108">
        <f>IF(OR($AF2108=1,$AH2108=1),1,0)</f>
        <v>0</v>
      </c>
      <c r="AS2108">
        <f>N(AS2107)+$AR2108</f>
        <v>10</v>
      </c>
    </row>
    <row r="2109" s="127">
      <c r="A2109">
        <f>IF(对接源_02物料!$C909="","",对接源_02物料!$C909)</f>
      </c>
      <c r="B2109">
        <f>IF(A2109="",0,IF(MATCH(A2109,$A$4:$A$2403,0)=ROW()-3,1,0))</f>
        <v>0</v>
      </c>
      <c r="C2109">
        <f>N(C2108)+B2109</f>
        <v>26</v>
      </c>
      <c r="K2109">
        <f>IF(OR($K$1="",对接源_02物料!$C909="",对接源_02物料!$C909&lt;&gt;$K$1,对接源_02物料!$B909=""),0,IF(OR(N(对接源_02物料!$B909)&lt;$K$2,N(对接源_02物料!$B909)&gt;$K$3),0,1))</f>
        <v>0</v>
      </c>
      <c r="L2109">
        <f>IF(OR($L$1="",对接源_02物料!$C909="",对接源_02物料!$C909&lt;&gt;$L$1,对接源_02物料!$B909=""),0,IF(OR(N(对接源_02物料!$B909)&lt;$L$2,N(对接源_02物料!$B909)&gt;$L$3),0,1))</f>
        <v>0</v>
      </c>
      <c r="M2109">
        <f>IF(OR($M$1="",对接源_02物料!$C909="",对接源_02物料!$C909&lt;&gt;$M$1,对接源_02物料!$B909=""),0,IF(OR(N(对接源_02物料!$B909)&lt;$M$2,N(对接源_02物料!$B909)&gt;$M$3),0,1))</f>
        <v>0</v>
      </c>
      <c r="N2109">
        <f>IF(OR($N$1="",对接源_02物料!$C909="",对接源_02物料!$C909&lt;&gt;$N$1,对接源_02物料!$B909=""),0,IF(OR(N(对接源_02物料!$B909)&lt;$N$2,N(对接源_02物料!$B909)&gt;$N$3),0,1))</f>
        <v>0</v>
      </c>
      <c r="P2109">
        <f>IF(AND($K2109=1,AND(对接源_02物料!$X909="公司筐",N(对接源_02物料!$T909)&lt;&gt;0)),1,0)</f>
        <v>0</v>
      </c>
      <c r="Q2109">
        <f>N(Q2108)+$P2109</f>
        <v>14</v>
      </c>
      <c r="R2109">
        <f>IF(AND($K2109=1,AND(对接源_02物料!$X909="公司筐",N(对接源_02物料!$U909)&lt;&gt;0)),1,0)</f>
        <v>0</v>
      </c>
      <c r="S2109">
        <f>N(S2108)+$R2109</f>
        <v>1</v>
      </c>
      <c r="T2109">
        <f>IF(AND($K2109=1,AND(对接源_02物料!$X909="公司筐",N(对接源_02物料!$V909)&lt;&gt;0)),1,0)</f>
        <v>0</v>
      </c>
      <c r="U2109">
        <f>N(U2108)+$T2109</f>
        <v>47</v>
      </c>
      <c r="V2109">
        <f>IF(AND($L2109=1,AND(对接源_02物料!$X909="自备筐",N(对接源_02物料!$V909)&lt;&gt;0)),1,0)</f>
        <v>0</v>
      </c>
      <c r="W2109">
        <f>N(W2108)+$V2109</f>
        <v>11</v>
      </c>
      <c r="X2109">
        <f>IF(AND($L2109=1,AND(对接源_02物料!$X909="自备筐",N(对接源_02物料!$T909)&lt;&gt;0)),1,0)</f>
        <v>0</v>
      </c>
      <c r="Y2109">
        <f>N(Y2108)+$X2109</f>
        <v>0</v>
      </c>
      <c r="Z2109">
        <f>IF(AND($M2109=1,对接源_02物料!$D909="原料入库"),1,0)</f>
        <v>0</v>
      </c>
      <c r="AA2109">
        <f>N(AA2108)+$Z2109</f>
        <v>24</v>
      </c>
      <c r="AB2109">
        <f>IF(AND($M2109=1,LEFT(对接源_02物料!$D909,4)="原料出库"),1,0)</f>
        <v>0</v>
      </c>
      <c r="AC2109">
        <f>N(AC2108)+$AB2109</f>
        <v>0</v>
      </c>
      <c r="AD2109">
        <f>IF(AND($M2109=1,LEFT(对接源_02物料!$D909,4)="成品出库"),1,0)</f>
        <v>0</v>
      </c>
      <c r="AE2109">
        <f>N(AE2108)+$AD2109</f>
        <v>0</v>
      </c>
      <c r="AF2109">
        <f>IF(AND($N2109=1,AND(LEFT(对接源_02物料!$D909,4)="包装物料",N(对接源_02物料!$K909)&lt;&gt;0)),1,0)</f>
        <v>0</v>
      </c>
      <c r="AG2109">
        <f>N(AG2108)+$AF2109</f>
        <v>10</v>
      </c>
      <c r="AH2109">
        <f>IF(AND($N2109=1,AND(对接源_02物料!$D909="周转筐－销售出库",N(对接源_02物料!$K909)&lt;&gt;0)),1,0)</f>
        <v>0</v>
      </c>
      <c r="AI2109">
        <f>N(AI2108)+$AH2109</f>
        <v>0</v>
      </c>
      <c r="AL2109" t="n">
        <v>0</v>
      </c>
      <c r="AM2109">
        <f>N(AM2108)+$AL2109</f>
        <v>2</v>
      </c>
      <c r="AN2109">
        <f>""</f>
      </c>
      <c r="AO2109" t="n">
        <v>0</v>
      </c>
      <c r="AP2109">
        <f>N(AP2108)+$AO2109</f>
        <v>13</v>
      </c>
      <c r="AR2109">
        <f>IF(OR($AF2109=1,$AH2109=1),1,0)</f>
        <v>0</v>
      </c>
      <c r="AS2109">
        <f>N(AS2108)+$AR2109</f>
        <v>10</v>
      </c>
    </row>
    <row r="2110" s="127">
      <c r="A2110">
        <f>IF(对接源_02物料!$C910="","",对接源_02物料!$C910)</f>
      </c>
      <c r="B2110">
        <f>IF(A2110="",0,IF(MATCH(A2110,$A$4:$A$2403,0)=ROW()-3,1,0))</f>
        <v>0</v>
      </c>
      <c r="C2110">
        <f>N(C2109)+B2110</f>
        <v>26</v>
      </c>
      <c r="K2110">
        <f>IF(OR($K$1="",对接源_02物料!$C910="",对接源_02物料!$C910&lt;&gt;$K$1,对接源_02物料!$B910=""),0,IF(OR(N(对接源_02物料!$B910)&lt;$K$2,N(对接源_02物料!$B910)&gt;$K$3),0,1))</f>
        <v>0</v>
      </c>
      <c r="L2110">
        <f>IF(OR($L$1="",对接源_02物料!$C910="",对接源_02物料!$C910&lt;&gt;$L$1,对接源_02物料!$B910=""),0,IF(OR(N(对接源_02物料!$B910)&lt;$L$2,N(对接源_02物料!$B910)&gt;$L$3),0,1))</f>
        <v>0</v>
      </c>
      <c r="M2110">
        <f>IF(OR($M$1="",对接源_02物料!$C910="",对接源_02物料!$C910&lt;&gt;$M$1,对接源_02物料!$B910=""),0,IF(OR(N(对接源_02物料!$B910)&lt;$M$2,N(对接源_02物料!$B910)&gt;$M$3),0,1))</f>
        <v>0</v>
      </c>
      <c r="N2110">
        <f>IF(OR($N$1="",对接源_02物料!$C910="",对接源_02物料!$C910&lt;&gt;$N$1,对接源_02物料!$B910=""),0,IF(OR(N(对接源_02物料!$B910)&lt;$N$2,N(对接源_02物料!$B910)&gt;$N$3),0,1))</f>
        <v>0</v>
      </c>
      <c r="P2110">
        <f>IF(AND($K2110=1,AND(对接源_02物料!$X910="公司筐",N(对接源_02物料!$T910)&lt;&gt;0)),1,0)</f>
        <v>0</v>
      </c>
      <c r="Q2110">
        <f>N(Q2109)+$P2110</f>
        <v>14</v>
      </c>
      <c r="R2110">
        <f>IF(AND($K2110=1,AND(对接源_02物料!$X910="公司筐",N(对接源_02物料!$U910)&lt;&gt;0)),1,0)</f>
        <v>0</v>
      </c>
      <c r="S2110">
        <f>N(S2109)+$R2110</f>
        <v>1</v>
      </c>
      <c r="T2110">
        <f>IF(AND($K2110=1,AND(对接源_02物料!$X910="公司筐",N(对接源_02物料!$V910)&lt;&gt;0)),1,0)</f>
        <v>0</v>
      </c>
      <c r="U2110">
        <f>N(U2109)+$T2110</f>
        <v>47</v>
      </c>
      <c r="V2110">
        <f>IF(AND($L2110=1,AND(对接源_02物料!$X910="自备筐",N(对接源_02物料!$V910)&lt;&gt;0)),1,0)</f>
        <v>0</v>
      </c>
      <c r="W2110">
        <f>N(W2109)+$V2110</f>
        <v>11</v>
      </c>
      <c r="X2110">
        <f>IF(AND($L2110=1,AND(对接源_02物料!$X910="自备筐",N(对接源_02物料!$T910)&lt;&gt;0)),1,0)</f>
        <v>0</v>
      </c>
      <c r="Y2110">
        <f>N(Y2109)+$X2110</f>
        <v>0</v>
      </c>
      <c r="Z2110">
        <f>IF(AND($M2110=1,对接源_02物料!$D910="原料入库"),1,0)</f>
        <v>0</v>
      </c>
      <c r="AA2110">
        <f>N(AA2109)+$Z2110</f>
        <v>24</v>
      </c>
      <c r="AB2110">
        <f>IF(AND($M2110=1,LEFT(对接源_02物料!$D910,4)="原料出库"),1,0)</f>
        <v>0</v>
      </c>
      <c r="AC2110">
        <f>N(AC2109)+$AB2110</f>
        <v>0</v>
      </c>
      <c r="AD2110">
        <f>IF(AND($M2110=1,LEFT(对接源_02物料!$D910,4)="成品出库"),1,0)</f>
        <v>0</v>
      </c>
      <c r="AE2110">
        <f>N(AE2109)+$AD2110</f>
        <v>0</v>
      </c>
      <c r="AF2110">
        <f>IF(AND($N2110=1,AND(LEFT(对接源_02物料!$D910,4)="包装物料",N(对接源_02物料!$K910)&lt;&gt;0)),1,0)</f>
        <v>0</v>
      </c>
      <c r="AG2110">
        <f>N(AG2109)+$AF2110</f>
        <v>10</v>
      </c>
      <c r="AH2110">
        <f>IF(AND($N2110=1,AND(对接源_02物料!$D910="周转筐－销售出库",N(对接源_02物料!$K910)&lt;&gt;0)),1,0)</f>
        <v>0</v>
      </c>
      <c r="AI2110">
        <f>N(AI2109)+$AH2110</f>
        <v>0</v>
      </c>
      <c r="AL2110" t="n">
        <v>0</v>
      </c>
      <c r="AM2110">
        <f>N(AM2109)+$AL2110</f>
        <v>2</v>
      </c>
      <c r="AN2110">
        <f>""</f>
      </c>
      <c r="AO2110" t="n">
        <v>0</v>
      </c>
      <c r="AP2110">
        <f>N(AP2109)+$AO2110</f>
        <v>13</v>
      </c>
      <c r="AR2110">
        <f>IF(OR($AF2110=1,$AH2110=1),1,0)</f>
        <v>0</v>
      </c>
      <c r="AS2110">
        <f>N(AS2109)+$AR2110</f>
        <v>10</v>
      </c>
    </row>
    <row r="2111" s="127">
      <c r="A2111">
        <f>IF(对接源_02物料!$C911="","",对接源_02物料!$C911)</f>
      </c>
      <c r="B2111">
        <f>IF(A2111="",0,IF(MATCH(A2111,$A$4:$A$2403,0)=ROW()-3,1,0))</f>
        <v>0</v>
      </c>
      <c r="C2111">
        <f>N(C2110)+B2111</f>
        <v>26</v>
      </c>
      <c r="K2111">
        <f>IF(OR($K$1="",对接源_02物料!$C911="",对接源_02物料!$C911&lt;&gt;$K$1,对接源_02物料!$B911=""),0,IF(OR(N(对接源_02物料!$B911)&lt;$K$2,N(对接源_02物料!$B911)&gt;$K$3),0,1))</f>
        <v>0</v>
      </c>
      <c r="L2111">
        <f>IF(OR($L$1="",对接源_02物料!$C911="",对接源_02物料!$C911&lt;&gt;$L$1,对接源_02物料!$B911=""),0,IF(OR(N(对接源_02物料!$B911)&lt;$L$2,N(对接源_02物料!$B911)&gt;$L$3),0,1))</f>
        <v>0</v>
      </c>
      <c r="M2111">
        <f>IF(OR($M$1="",对接源_02物料!$C911="",对接源_02物料!$C911&lt;&gt;$M$1,对接源_02物料!$B911=""),0,IF(OR(N(对接源_02物料!$B911)&lt;$M$2,N(对接源_02物料!$B911)&gt;$M$3),0,1))</f>
        <v>0</v>
      </c>
      <c r="N2111">
        <f>IF(OR($N$1="",对接源_02物料!$C911="",对接源_02物料!$C911&lt;&gt;$N$1,对接源_02物料!$B911=""),0,IF(OR(N(对接源_02物料!$B911)&lt;$N$2,N(对接源_02物料!$B911)&gt;$N$3),0,1))</f>
        <v>0</v>
      </c>
      <c r="P2111">
        <f>IF(AND($K2111=1,AND(对接源_02物料!$X911="公司筐",N(对接源_02物料!$T911)&lt;&gt;0)),1,0)</f>
        <v>0</v>
      </c>
      <c r="Q2111">
        <f>N(Q2110)+$P2111</f>
        <v>14</v>
      </c>
      <c r="R2111">
        <f>IF(AND($K2111=1,AND(对接源_02物料!$X911="公司筐",N(对接源_02物料!$U911)&lt;&gt;0)),1,0)</f>
        <v>0</v>
      </c>
      <c r="S2111">
        <f>N(S2110)+$R2111</f>
        <v>1</v>
      </c>
      <c r="T2111">
        <f>IF(AND($K2111=1,AND(对接源_02物料!$X911="公司筐",N(对接源_02物料!$V911)&lt;&gt;0)),1,0)</f>
        <v>0</v>
      </c>
      <c r="U2111">
        <f>N(U2110)+$T2111</f>
        <v>47</v>
      </c>
      <c r="V2111">
        <f>IF(AND($L2111=1,AND(对接源_02物料!$X911="自备筐",N(对接源_02物料!$V911)&lt;&gt;0)),1,0)</f>
        <v>0</v>
      </c>
      <c r="W2111">
        <f>N(W2110)+$V2111</f>
        <v>11</v>
      </c>
      <c r="X2111">
        <f>IF(AND($L2111=1,AND(对接源_02物料!$X911="自备筐",N(对接源_02物料!$T911)&lt;&gt;0)),1,0)</f>
        <v>0</v>
      </c>
      <c r="Y2111">
        <f>N(Y2110)+$X2111</f>
        <v>0</v>
      </c>
      <c r="Z2111">
        <f>IF(AND($M2111=1,对接源_02物料!$D911="原料入库"),1,0)</f>
        <v>0</v>
      </c>
      <c r="AA2111">
        <f>N(AA2110)+$Z2111</f>
        <v>24</v>
      </c>
      <c r="AB2111">
        <f>IF(AND($M2111=1,LEFT(对接源_02物料!$D911,4)="原料出库"),1,0)</f>
        <v>0</v>
      </c>
      <c r="AC2111">
        <f>N(AC2110)+$AB2111</f>
        <v>0</v>
      </c>
      <c r="AD2111">
        <f>IF(AND($M2111=1,LEFT(对接源_02物料!$D911,4)="成品出库"),1,0)</f>
        <v>0</v>
      </c>
      <c r="AE2111">
        <f>N(AE2110)+$AD2111</f>
        <v>0</v>
      </c>
      <c r="AF2111">
        <f>IF(AND($N2111=1,AND(LEFT(对接源_02物料!$D911,4)="包装物料",N(对接源_02物料!$K911)&lt;&gt;0)),1,0)</f>
        <v>0</v>
      </c>
      <c r="AG2111">
        <f>N(AG2110)+$AF2111</f>
        <v>10</v>
      </c>
      <c r="AH2111">
        <f>IF(AND($N2111=1,AND(对接源_02物料!$D911="周转筐－销售出库",N(对接源_02物料!$K911)&lt;&gt;0)),1,0)</f>
        <v>0</v>
      </c>
      <c r="AI2111">
        <f>N(AI2110)+$AH2111</f>
        <v>0</v>
      </c>
      <c r="AL2111" t="n">
        <v>0</v>
      </c>
      <c r="AM2111">
        <f>N(AM2110)+$AL2111</f>
        <v>2</v>
      </c>
      <c r="AN2111">
        <f>""</f>
      </c>
      <c r="AO2111" t="n">
        <v>0</v>
      </c>
      <c r="AP2111">
        <f>N(AP2110)+$AO2111</f>
        <v>13</v>
      </c>
      <c r="AR2111">
        <f>IF(OR($AF2111=1,$AH2111=1),1,0)</f>
        <v>0</v>
      </c>
      <c r="AS2111">
        <f>N(AS2110)+$AR2111</f>
        <v>10</v>
      </c>
    </row>
    <row r="2112" s="127">
      <c r="A2112">
        <f>IF(对接源_02物料!$C912="","",对接源_02物料!$C912)</f>
      </c>
      <c r="B2112">
        <f>IF(A2112="",0,IF(MATCH(A2112,$A$4:$A$2403,0)=ROW()-3,1,0))</f>
        <v>0</v>
      </c>
      <c r="C2112">
        <f>N(C2111)+B2112</f>
        <v>26</v>
      </c>
      <c r="K2112">
        <f>IF(OR($K$1="",对接源_02物料!$C912="",对接源_02物料!$C912&lt;&gt;$K$1,对接源_02物料!$B912=""),0,IF(OR(N(对接源_02物料!$B912)&lt;$K$2,N(对接源_02物料!$B912)&gt;$K$3),0,1))</f>
        <v>0</v>
      </c>
      <c r="L2112">
        <f>IF(OR($L$1="",对接源_02物料!$C912="",对接源_02物料!$C912&lt;&gt;$L$1,对接源_02物料!$B912=""),0,IF(OR(N(对接源_02物料!$B912)&lt;$L$2,N(对接源_02物料!$B912)&gt;$L$3),0,1))</f>
        <v>0</v>
      </c>
      <c r="M2112">
        <f>IF(OR($M$1="",对接源_02物料!$C912="",对接源_02物料!$C912&lt;&gt;$M$1,对接源_02物料!$B912=""),0,IF(OR(N(对接源_02物料!$B912)&lt;$M$2,N(对接源_02物料!$B912)&gt;$M$3),0,1))</f>
        <v>0</v>
      </c>
      <c r="N2112">
        <f>IF(OR($N$1="",对接源_02物料!$C912="",对接源_02物料!$C912&lt;&gt;$N$1,对接源_02物料!$B912=""),0,IF(OR(N(对接源_02物料!$B912)&lt;$N$2,N(对接源_02物料!$B912)&gt;$N$3),0,1))</f>
        <v>0</v>
      </c>
      <c r="P2112">
        <f>IF(AND($K2112=1,AND(对接源_02物料!$X912="公司筐",N(对接源_02物料!$T912)&lt;&gt;0)),1,0)</f>
        <v>0</v>
      </c>
      <c r="Q2112">
        <f>N(Q2111)+$P2112</f>
        <v>14</v>
      </c>
      <c r="R2112">
        <f>IF(AND($K2112=1,AND(对接源_02物料!$X912="公司筐",N(对接源_02物料!$U912)&lt;&gt;0)),1,0)</f>
        <v>0</v>
      </c>
      <c r="S2112">
        <f>N(S2111)+$R2112</f>
        <v>1</v>
      </c>
      <c r="T2112">
        <f>IF(AND($K2112=1,AND(对接源_02物料!$X912="公司筐",N(对接源_02物料!$V912)&lt;&gt;0)),1,0)</f>
        <v>0</v>
      </c>
      <c r="U2112">
        <f>N(U2111)+$T2112</f>
        <v>47</v>
      </c>
      <c r="V2112">
        <f>IF(AND($L2112=1,AND(对接源_02物料!$X912="自备筐",N(对接源_02物料!$V912)&lt;&gt;0)),1,0)</f>
        <v>0</v>
      </c>
      <c r="W2112">
        <f>N(W2111)+$V2112</f>
        <v>11</v>
      </c>
      <c r="X2112">
        <f>IF(AND($L2112=1,AND(对接源_02物料!$X912="自备筐",N(对接源_02物料!$T912)&lt;&gt;0)),1,0)</f>
        <v>0</v>
      </c>
      <c r="Y2112">
        <f>N(Y2111)+$X2112</f>
        <v>0</v>
      </c>
      <c r="Z2112">
        <f>IF(AND($M2112=1,对接源_02物料!$D912="原料入库"),1,0)</f>
        <v>0</v>
      </c>
      <c r="AA2112">
        <f>N(AA2111)+$Z2112</f>
        <v>24</v>
      </c>
      <c r="AB2112">
        <f>IF(AND($M2112=1,LEFT(对接源_02物料!$D912,4)="原料出库"),1,0)</f>
        <v>0</v>
      </c>
      <c r="AC2112">
        <f>N(AC2111)+$AB2112</f>
        <v>0</v>
      </c>
      <c r="AD2112">
        <f>IF(AND($M2112=1,LEFT(对接源_02物料!$D912,4)="成品出库"),1,0)</f>
        <v>0</v>
      </c>
      <c r="AE2112">
        <f>N(AE2111)+$AD2112</f>
        <v>0</v>
      </c>
      <c r="AF2112">
        <f>IF(AND($N2112=1,AND(LEFT(对接源_02物料!$D912,4)="包装物料",N(对接源_02物料!$K912)&lt;&gt;0)),1,0)</f>
        <v>0</v>
      </c>
      <c r="AG2112">
        <f>N(AG2111)+$AF2112</f>
        <v>10</v>
      </c>
      <c r="AH2112">
        <f>IF(AND($N2112=1,AND(对接源_02物料!$D912="周转筐－销售出库",N(对接源_02物料!$K912)&lt;&gt;0)),1,0)</f>
        <v>0</v>
      </c>
      <c r="AI2112">
        <f>N(AI2111)+$AH2112</f>
        <v>0</v>
      </c>
      <c r="AL2112" t="n">
        <v>0</v>
      </c>
      <c r="AM2112">
        <f>N(AM2111)+$AL2112</f>
        <v>2</v>
      </c>
      <c r="AN2112">
        <f>""</f>
      </c>
      <c r="AO2112" t="n">
        <v>0</v>
      </c>
      <c r="AP2112">
        <f>N(AP2111)+$AO2112</f>
        <v>13</v>
      </c>
      <c r="AR2112">
        <f>IF(OR($AF2112=1,$AH2112=1),1,0)</f>
        <v>0</v>
      </c>
      <c r="AS2112">
        <f>N(AS2111)+$AR2112</f>
        <v>10</v>
      </c>
    </row>
    <row r="2113" s="127">
      <c r="A2113">
        <f>IF(对接源_02物料!$C913="","",对接源_02物料!$C913)</f>
      </c>
      <c r="B2113">
        <f>IF(A2113="",0,IF(MATCH(A2113,$A$4:$A$2403,0)=ROW()-3,1,0))</f>
        <v>0</v>
      </c>
      <c r="C2113">
        <f>N(C2112)+B2113</f>
        <v>26</v>
      </c>
      <c r="K2113">
        <f>IF(OR($K$1="",对接源_02物料!$C913="",对接源_02物料!$C913&lt;&gt;$K$1,对接源_02物料!$B913=""),0,IF(OR(N(对接源_02物料!$B913)&lt;$K$2,N(对接源_02物料!$B913)&gt;$K$3),0,1))</f>
        <v>0</v>
      </c>
      <c r="L2113">
        <f>IF(OR($L$1="",对接源_02物料!$C913="",对接源_02物料!$C913&lt;&gt;$L$1,对接源_02物料!$B913=""),0,IF(OR(N(对接源_02物料!$B913)&lt;$L$2,N(对接源_02物料!$B913)&gt;$L$3),0,1))</f>
        <v>0</v>
      </c>
      <c r="M2113">
        <f>IF(OR($M$1="",对接源_02物料!$C913="",对接源_02物料!$C913&lt;&gt;$M$1,对接源_02物料!$B913=""),0,IF(OR(N(对接源_02物料!$B913)&lt;$M$2,N(对接源_02物料!$B913)&gt;$M$3),0,1))</f>
        <v>0</v>
      </c>
      <c r="N2113">
        <f>IF(OR($N$1="",对接源_02物料!$C913="",对接源_02物料!$C913&lt;&gt;$N$1,对接源_02物料!$B913=""),0,IF(OR(N(对接源_02物料!$B913)&lt;$N$2,N(对接源_02物料!$B913)&gt;$N$3),0,1))</f>
        <v>0</v>
      </c>
      <c r="P2113">
        <f>IF(AND($K2113=1,AND(对接源_02物料!$X913="公司筐",N(对接源_02物料!$T913)&lt;&gt;0)),1,0)</f>
        <v>0</v>
      </c>
      <c r="Q2113">
        <f>N(Q2112)+$P2113</f>
        <v>14</v>
      </c>
      <c r="R2113">
        <f>IF(AND($K2113=1,AND(对接源_02物料!$X913="公司筐",N(对接源_02物料!$U913)&lt;&gt;0)),1,0)</f>
        <v>0</v>
      </c>
      <c r="S2113">
        <f>N(S2112)+$R2113</f>
        <v>1</v>
      </c>
      <c r="T2113">
        <f>IF(AND($K2113=1,AND(对接源_02物料!$X913="公司筐",N(对接源_02物料!$V913)&lt;&gt;0)),1,0)</f>
        <v>0</v>
      </c>
      <c r="U2113">
        <f>N(U2112)+$T2113</f>
        <v>47</v>
      </c>
      <c r="V2113">
        <f>IF(AND($L2113=1,AND(对接源_02物料!$X913="自备筐",N(对接源_02物料!$V913)&lt;&gt;0)),1,0)</f>
        <v>0</v>
      </c>
      <c r="W2113">
        <f>N(W2112)+$V2113</f>
        <v>11</v>
      </c>
      <c r="X2113">
        <f>IF(AND($L2113=1,AND(对接源_02物料!$X913="自备筐",N(对接源_02物料!$T913)&lt;&gt;0)),1,0)</f>
        <v>0</v>
      </c>
      <c r="Y2113">
        <f>N(Y2112)+$X2113</f>
        <v>0</v>
      </c>
      <c r="Z2113">
        <f>IF(AND($M2113=1,对接源_02物料!$D913="原料入库"),1,0)</f>
        <v>0</v>
      </c>
      <c r="AA2113">
        <f>N(AA2112)+$Z2113</f>
        <v>24</v>
      </c>
      <c r="AB2113">
        <f>IF(AND($M2113=1,LEFT(对接源_02物料!$D913,4)="原料出库"),1,0)</f>
        <v>0</v>
      </c>
      <c r="AC2113">
        <f>N(AC2112)+$AB2113</f>
        <v>0</v>
      </c>
      <c r="AD2113">
        <f>IF(AND($M2113=1,LEFT(对接源_02物料!$D913,4)="成品出库"),1,0)</f>
        <v>0</v>
      </c>
      <c r="AE2113">
        <f>N(AE2112)+$AD2113</f>
        <v>0</v>
      </c>
      <c r="AF2113">
        <f>IF(AND($N2113=1,AND(LEFT(对接源_02物料!$D913,4)="包装物料",N(对接源_02物料!$K913)&lt;&gt;0)),1,0)</f>
        <v>0</v>
      </c>
      <c r="AG2113">
        <f>N(AG2112)+$AF2113</f>
        <v>10</v>
      </c>
      <c r="AH2113">
        <f>IF(AND($N2113=1,AND(对接源_02物料!$D913="周转筐－销售出库",N(对接源_02物料!$K913)&lt;&gt;0)),1,0)</f>
        <v>0</v>
      </c>
      <c r="AI2113">
        <f>N(AI2112)+$AH2113</f>
        <v>0</v>
      </c>
      <c r="AL2113" t="n">
        <v>0</v>
      </c>
      <c r="AM2113">
        <f>N(AM2112)+$AL2113</f>
        <v>2</v>
      </c>
      <c r="AN2113">
        <f>""</f>
      </c>
      <c r="AO2113" t="n">
        <v>0</v>
      </c>
      <c r="AP2113">
        <f>N(AP2112)+$AO2113</f>
        <v>13</v>
      </c>
      <c r="AR2113">
        <f>IF(OR($AF2113=1,$AH2113=1),1,0)</f>
        <v>0</v>
      </c>
      <c r="AS2113">
        <f>N(AS2112)+$AR2113</f>
        <v>10</v>
      </c>
    </row>
    <row r="2114" s="127">
      <c r="A2114">
        <f>IF(对接源_02物料!$C914="","",对接源_02物料!$C914)</f>
      </c>
      <c r="B2114">
        <f>IF(A2114="",0,IF(MATCH(A2114,$A$4:$A$2403,0)=ROW()-3,1,0))</f>
        <v>0</v>
      </c>
      <c r="C2114">
        <f>N(C2113)+B2114</f>
        <v>26</v>
      </c>
      <c r="K2114">
        <f>IF(OR($K$1="",对接源_02物料!$C914="",对接源_02物料!$C914&lt;&gt;$K$1,对接源_02物料!$B914=""),0,IF(OR(N(对接源_02物料!$B914)&lt;$K$2,N(对接源_02物料!$B914)&gt;$K$3),0,1))</f>
        <v>0</v>
      </c>
      <c r="L2114">
        <f>IF(OR($L$1="",对接源_02物料!$C914="",对接源_02物料!$C914&lt;&gt;$L$1,对接源_02物料!$B914=""),0,IF(OR(N(对接源_02物料!$B914)&lt;$L$2,N(对接源_02物料!$B914)&gt;$L$3),0,1))</f>
        <v>0</v>
      </c>
      <c r="M2114">
        <f>IF(OR($M$1="",对接源_02物料!$C914="",对接源_02物料!$C914&lt;&gt;$M$1,对接源_02物料!$B914=""),0,IF(OR(N(对接源_02物料!$B914)&lt;$M$2,N(对接源_02物料!$B914)&gt;$M$3),0,1))</f>
        <v>0</v>
      </c>
      <c r="N2114">
        <f>IF(OR($N$1="",对接源_02物料!$C914="",对接源_02物料!$C914&lt;&gt;$N$1,对接源_02物料!$B914=""),0,IF(OR(N(对接源_02物料!$B914)&lt;$N$2,N(对接源_02物料!$B914)&gt;$N$3),0,1))</f>
        <v>0</v>
      </c>
      <c r="P2114">
        <f>IF(AND($K2114=1,AND(对接源_02物料!$X914="公司筐",N(对接源_02物料!$T914)&lt;&gt;0)),1,0)</f>
        <v>0</v>
      </c>
      <c r="Q2114">
        <f>N(Q2113)+$P2114</f>
        <v>14</v>
      </c>
      <c r="R2114">
        <f>IF(AND($K2114=1,AND(对接源_02物料!$X914="公司筐",N(对接源_02物料!$U914)&lt;&gt;0)),1,0)</f>
        <v>0</v>
      </c>
      <c r="S2114">
        <f>N(S2113)+$R2114</f>
        <v>1</v>
      </c>
      <c r="T2114">
        <f>IF(AND($K2114=1,AND(对接源_02物料!$X914="公司筐",N(对接源_02物料!$V914)&lt;&gt;0)),1,0)</f>
        <v>0</v>
      </c>
      <c r="U2114">
        <f>N(U2113)+$T2114</f>
        <v>47</v>
      </c>
      <c r="V2114">
        <f>IF(AND($L2114=1,AND(对接源_02物料!$X914="自备筐",N(对接源_02物料!$V914)&lt;&gt;0)),1,0)</f>
        <v>0</v>
      </c>
      <c r="W2114">
        <f>N(W2113)+$V2114</f>
        <v>11</v>
      </c>
      <c r="X2114">
        <f>IF(AND($L2114=1,AND(对接源_02物料!$X914="自备筐",N(对接源_02物料!$T914)&lt;&gt;0)),1,0)</f>
        <v>0</v>
      </c>
      <c r="Y2114">
        <f>N(Y2113)+$X2114</f>
        <v>0</v>
      </c>
      <c r="Z2114">
        <f>IF(AND($M2114=1,对接源_02物料!$D914="原料入库"),1,0)</f>
        <v>0</v>
      </c>
      <c r="AA2114">
        <f>N(AA2113)+$Z2114</f>
        <v>24</v>
      </c>
      <c r="AB2114">
        <f>IF(AND($M2114=1,LEFT(对接源_02物料!$D914,4)="原料出库"),1,0)</f>
        <v>0</v>
      </c>
      <c r="AC2114">
        <f>N(AC2113)+$AB2114</f>
        <v>0</v>
      </c>
      <c r="AD2114">
        <f>IF(AND($M2114=1,LEFT(对接源_02物料!$D914,4)="成品出库"),1,0)</f>
        <v>0</v>
      </c>
      <c r="AE2114">
        <f>N(AE2113)+$AD2114</f>
        <v>0</v>
      </c>
      <c r="AF2114">
        <f>IF(AND($N2114=1,AND(LEFT(对接源_02物料!$D914,4)="包装物料",N(对接源_02物料!$K914)&lt;&gt;0)),1,0)</f>
        <v>0</v>
      </c>
      <c r="AG2114">
        <f>N(AG2113)+$AF2114</f>
        <v>10</v>
      </c>
      <c r="AH2114">
        <f>IF(AND($N2114=1,AND(对接源_02物料!$D914="周转筐－销售出库",N(对接源_02物料!$K914)&lt;&gt;0)),1,0)</f>
        <v>0</v>
      </c>
      <c r="AI2114">
        <f>N(AI2113)+$AH2114</f>
        <v>0</v>
      </c>
      <c r="AL2114" t="n">
        <v>0</v>
      </c>
      <c r="AM2114">
        <f>N(AM2113)+$AL2114</f>
        <v>2</v>
      </c>
      <c r="AN2114">
        <f>""</f>
      </c>
      <c r="AO2114" t="n">
        <v>0</v>
      </c>
      <c r="AP2114">
        <f>N(AP2113)+$AO2114</f>
        <v>13</v>
      </c>
      <c r="AR2114">
        <f>IF(OR($AF2114=1,$AH2114=1),1,0)</f>
        <v>0</v>
      </c>
      <c r="AS2114">
        <f>N(AS2113)+$AR2114</f>
        <v>10</v>
      </c>
    </row>
    <row r="2115" s="127">
      <c r="A2115">
        <f>IF(对接源_02物料!$C915="","",对接源_02物料!$C915)</f>
      </c>
      <c r="B2115">
        <f>IF(A2115="",0,IF(MATCH(A2115,$A$4:$A$2403,0)=ROW()-3,1,0))</f>
        <v>0</v>
      </c>
      <c r="C2115">
        <f>N(C2114)+B2115</f>
        <v>26</v>
      </c>
      <c r="K2115">
        <f>IF(OR($K$1="",对接源_02物料!$C915="",对接源_02物料!$C915&lt;&gt;$K$1,对接源_02物料!$B915=""),0,IF(OR(N(对接源_02物料!$B915)&lt;$K$2,N(对接源_02物料!$B915)&gt;$K$3),0,1))</f>
        <v>0</v>
      </c>
      <c r="L2115">
        <f>IF(OR($L$1="",对接源_02物料!$C915="",对接源_02物料!$C915&lt;&gt;$L$1,对接源_02物料!$B915=""),0,IF(OR(N(对接源_02物料!$B915)&lt;$L$2,N(对接源_02物料!$B915)&gt;$L$3),0,1))</f>
        <v>0</v>
      </c>
      <c r="M2115">
        <f>IF(OR($M$1="",对接源_02物料!$C915="",对接源_02物料!$C915&lt;&gt;$M$1,对接源_02物料!$B915=""),0,IF(OR(N(对接源_02物料!$B915)&lt;$M$2,N(对接源_02物料!$B915)&gt;$M$3),0,1))</f>
        <v>0</v>
      </c>
      <c r="N2115">
        <f>IF(OR($N$1="",对接源_02物料!$C915="",对接源_02物料!$C915&lt;&gt;$N$1,对接源_02物料!$B915=""),0,IF(OR(N(对接源_02物料!$B915)&lt;$N$2,N(对接源_02物料!$B915)&gt;$N$3),0,1))</f>
        <v>0</v>
      </c>
      <c r="P2115">
        <f>IF(AND($K2115=1,AND(对接源_02物料!$X915="公司筐",N(对接源_02物料!$T915)&lt;&gt;0)),1,0)</f>
        <v>0</v>
      </c>
      <c r="Q2115">
        <f>N(Q2114)+$P2115</f>
        <v>14</v>
      </c>
      <c r="R2115">
        <f>IF(AND($K2115=1,AND(对接源_02物料!$X915="公司筐",N(对接源_02物料!$U915)&lt;&gt;0)),1,0)</f>
        <v>0</v>
      </c>
      <c r="S2115">
        <f>N(S2114)+$R2115</f>
        <v>1</v>
      </c>
      <c r="T2115">
        <f>IF(AND($K2115=1,AND(对接源_02物料!$X915="公司筐",N(对接源_02物料!$V915)&lt;&gt;0)),1,0)</f>
        <v>0</v>
      </c>
      <c r="U2115">
        <f>N(U2114)+$T2115</f>
        <v>47</v>
      </c>
      <c r="V2115">
        <f>IF(AND($L2115=1,AND(对接源_02物料!$X915="自备筐",N(对接源_02物料!$V915)&lt;&gt;0)),1,0)</f>
        <v>0</v>
      </c>
      <c r="W2115">
        <f>N(W2114)+$V2115</f>
        <v>11</v>
      </c>
      <c r="X2115">
        <f>IF(AND($L2115=1,AND(对接源_02物料!$X915="自备筐",N(对接源_02物料!$T915)&lt;&gt;0)),1,0)</f>
        <v>0</v>
      </c>
      <c r="Y2115">
        <f>N(Y2114)+$X2115</f>
        <v>0</v>
      </c>
      <c r="Z2115">
        <f>IF(AND($M2115=1,对接源_02物料!$D915="原料入库"),1,0)</f>
        <v>0</v>
      </c>
      <c r="AA2115">
        <f>N(AA2114)+$Z2115</f>
        <v>24</v>
      </c>
      <c r="AB2115">
        <f>IF(AND($M2115=1,LEFT(对接源_02物料!$D915,4)="原料出库"),1,0)</f>
        <v>0</v>
      </c>
      <c r="AC2115">
        <f>N(AC2114)+$AB2115</f>
        <v>0</v>
      </c>
      <c r="AD2115">
        <f>IF(AND($M2115=1,LEFT(对接源_02物料!$D915,4)="成品出库"),1,0)</f>
        <v>0</v>
      </c>
      <c r="AE2115">
        <f>N(AE2114)+$AD2115</f>
        <v>0</v>
      </c>
      <c r="AF2115">
        <f>IF(AND($N2115=1,AND(LEFT(对接源_02物料!$D915,4)="包装物料",N(对接源_02物料!$K915)&lt;&gt;0)),1,0)</f>
        <v>0</v>
      </c>
      <c r="AG2115">
        <f>N(AG2114)+$AF2115</f>
        <v>10</v>
      </c>
      <c r="AH2115">
        <f>IF(AND($N2115=1,AND(对接源_02物料!$D915="周转筐－销售出库",N(对接源_02物料!$K915)&lt;&gt;0)),1,0)</f>
        <v>0</v>
      </c>
      <c r="AI2115">
        <f>N(AI2114)+$AH2115</f>
        <v>0</v>
      </c>
      <c r="AL2115" t="n">
        <v>0</v>
      </c>
      <c r="AM2115">
        <f>N(AM2114)+$AL2115</f>
        <v>2</v>
      </c>
      <c r="AN2115">
        <f>""</f>
      </c>
      <c r="AO2115" t="n">
        <v>0</v>
      </c>
      <c r="AP2115">
        <f>N(AP2114)+$AO2115</f>
        <v>13</v>
      </c>
      <c r="AR2115">
        <f>IF(OR($AF2115=1,$AH2115=1),1,0)</f>
        <v>0</v>
      </c>
      <c r="AS2115">
        <f>N(AS2114)+$AR2115</f>
        <v>10</v>
      </c>
    </row>
    <row r="2116" s="127">
      <c r="A2116">
        <f>IF(对接源_02物料!$C916="","",对接源_02物料!$C916)</f>
      </c>
      <c r="B2116">
        <f>IF(A2116="",0,IF(MATCH(A2116,$A$4:$A$2403,0)=ROW()-3,1,0))</f>
        <v>0</v>
      </c>
      <c r="C2116">
        <f>N(C2115)+B2116</f>
        <v>26</v>
      </c>
      <c r="K2116">
        <f>IF(OR($K$1="",对接源_02物料!$C916="",对接源_02物料!$C916&lt;&gt;$K$1,对接源_02物料!$B916=""),0,IF(OR(N(对接源_02物料!$B916)&lt;$K$2,N(对接源_02物料!$B916)&gt;$K$3),0,1))</f>
        <v>0</v>
      </c>
      <c r="L2116">
        <f>IF(OR($L$1="",对接源_02物料!$C916="",对接源_02物料!$C916&lt;&gt;$L$1,对接源_02物料!$B916=""),0,IF(OR(N(对接源_02物料!$B916)&lt;$L$2,N(对接源_02物料!$B916)&gt;$L$3),0,1))</f>
        <v>0</v>
      </c>
      <c r="M2116">
        <f>IF(OR($M$1="",对接源_02物料!$C916="",对接源_02物料!$C916&lt;&gt;$M$1,对接源_02物料!$B916=""),0,IF(OR(N(对接源_02物料!$B916)&lt;$M$2,N(对接源_02物料!$B916)&gt;$M$3),0,1))</f>
        <v>0</v>
      </c>
      <c r="N2116">
        <f>IF(OR($N$1="",对接源_02物料!$C916="",对接源_02物料!$C916&lt;&gt;$N$1,对接源_02物料!$B916=""),0,IF(OR(N(对接源_02物料!$B916)&lt;$N$2,N(对接源_02物料!$B916)&gt;$N$3),0,1))</f>
        <v>0</v>
      </c>
      <c r="P2116">
        <f>IF(AND($K2116=1,AND(对接源_02物料!$X916="公司筐",N(对接源_02物料!$T916)&lt;&gt;0)),1,0)</f>
        <v>0</v>
      </c>
      <c r="Q2116">
        <f>N(Q2115)+$P2116</f>
        <v>14</v>
      </c>
      <c r="R2116">
        <f>IF(AND($K2116=1,AND(对接源_02物料!$X916="公司筐",N(对接源_02物料!$U916)&lt;&gt;0)),1,0)</f>
        <v>0</v>
      </c>
      <c r="S2116">
        <f>N(S2115)+$R2116</f>
        <v>1</v>
      </c>
      <c r="T2116">
        <f>IF(AND($K2116=1,AND(对接源_02物料!$X916="公司筐",N(对接源_02物料!$V916)&lt;&gt;0)),1,0)</f>
        <v>0</v>
      </c>
      <c r="U2116">
        <f>N(U2115)+$T2116</f>
        <v>47</v>
      </c>
      <c r="V2116">
        <f>IF(AND($L2116=1,AND(对接源_02物料!$X916="自备筐",N(对接源_02物料!$V916)&lt;&gt;0)),1,0)</f>
        <v>0</v>
      </c>
      <c r="W2116">
        <f>N(W2115)+$V2116</f>
        <v>11</v>
      </c>
      <c r="X2116">
        <f>IF(AND($L2116=1,AND(对接源_02物料!$X916="自备筐",N(对接源_02物料!$T916)&lt;&gt;0)),1,0)</f>
        <v>0</v>
      </c>
      <c r="Y2116">
        <f>N(Y2115)+$X2116</f>
        <v>0</v>
      </c>
      <c r="Z2116">
        <f>IF(AND($M2116=1,对接源_02物料!$D916="原料入库"),1,0)</f>
        <v>0</v>
      </c>
      <c r="AA2116">
        <f>N(AA2115)+$Z2116</f>
        <v>24</v>
      </c>
      <c r="AB2116">
        <f>IF(AND($M2116=1,LEFT(对接源_02物料!$D916,4)="原料出库"),1,0)</f>
        <v>0</v>
      </c>
      <c r="AC2116">
        <f>N(AC2115)+$AB2116</f>
        <v>0</v>
      </c>
      <c r="AD2116">
        <f>IF(AND($M2116=1,LEFT(对接源_02物料!$D916,4)="成品出库"),1,0)</f>
        <v>0</v>
      </c>
      <c r="AE2116">
        <f>N(AE2115)+$AD2116</f>
        <v>0</v>
      </c>
      <c r="AF2116">
        <f>IF(AND($N2116=1,AND(LEFT(对接源_02物料!$D916,4)="包装物料",N(对接源_02物料!$K916)&lt;&gt;0)),1,0)</f>
        <v>0</v>
      </c>
      <c r="AG2116">
        <f>N(AG2115)+$AF2116</f>
        <v>10</v>
      </c>
      <c r="AH2116">
        <f>IF(AND($N2116=1,AND(对接源_02物料!$D916="周转筐－销售出库",N(对接源_02物料!$K916)&lt;&gt;0)),1,0)</f>
        <v>0</v>
      </c>
      <c r="AI2116">
        <f>N(AI2115)+$AH2116</f>
        <v>0</v>
      </c>
      <c r="AL2116" t="n">
        <v>0</v>
      </c>
      <c r="AM2116">
        <f>N(AM2115)+$AL2116</f>
        <v>2</v>
      </c>
      <c r="AN2116">
        <f>""</f>
      </c>
      <c r="AO2116" t="n">
        <v>0</v>
      </c>
      <c r="AP2116">
        <f>N(AP2115)+$AO2116</f>
        <v>13</v>
      </c>
      <c r="AR2116">
        <f>IF(OR($AF2116=1,$AH2116=1),1,0)</f>
        <v>0</v>
      </c>
      <c r="AS2116">
        <f>N(AS2115)+$AR2116</f>
        <v>10</v>
      </c>
    </row>
    <row r="2117" s="127">
      <c r="A2117">
        <f>IF(对接源_02物料!$C917="","",对接源_02物料!$C917)</f>
      </c>
      <c r="B2117">
        <f>IF(A2117="",0,IF(MATCH(A2117,$A$4:$A$2403,0)=ROW()-3,1,0))</f>
        <v>0</v>
      </c>
      <c r="C2117">
        <f>N(C2116)+B2117</f>
        <v>26</v>
      </c>
      <c r="K2117">
        <f>IF(OR($K$1="",对接源_02物料!$C917="",对接源_02物料!$C917&lt;&gt;$K$1,对接源_02物料!$B917=""),0,IF(OR(N(对接源_02物料!$B917)&lt;$K$2,N(对接源_02物料!$B917)&gt;$K$3),0,1))</f>
        <v>0</v>
      </c>
      <c r="L2117">
        <f>IF(OR($L$1="",对接源_02物料!$C917="",对接源_02物料!$C917&lt;&gt;$L$1,对接源_02物料!$B917=""),0,IF(OR(N(对接源_02物料!$B917)&lt;$L$2,N(对接源_02物料!$B917)&gt;$L$3),0,1))</f>
        <v>0</v>
      </c>
      <c r="M2117">
        <f>IF(OR($M$1="",对接源_02物料!$C917="",对接源_02物料!$C917&lt;&gt;$M$1,对接源_02物料!$B917=""),0,IF(OR(N(对接源_02物料!$B917)&lt;$M$2,N(对接源_02物料!$B917)&gt;$M$3),0,1))</f>
        <v>0</v>
      </c>
      <c r="N2117">
        <f>IF(OR($N$1="",对接源_02物料!$C917="",对接源_02物料!$C917&lt;&gt;$N$1,对接源_02物料!$B917=""),0,IF(OR(N(对接源_02物料!$B917)&lt;$N$2,N(对接源_02物料!$B917)&gt;$N$3),0,1))</f>
        <v>0</v>
      </c>
      <c r="P2117">
        <f>IF(AND($K2117=1,AND(对接源_02物料!$X917="公司筐",N(对接源_02物料!$T917)&lt;&gt;0)),1,0)</f>
        <v>0</v>
      </c>
      <c r="Q2117">
        <f>N(Q2116)+$P2117</f>
        <v>14</v>
      </c>
      <c r="R2117">
        <f>IF(AND($K2117=1,AND(对接源_02物料!$X917="公司筐",N(对接源_02物料!$U917)&lt;&gt;0)),1,0)</f>
        <v>0</v>
      </c>
      <c r="S2117">
        <f>N(S2116)+$R2117</f>
        <v>1</v>
      </c>
      <c r="T2117">
        <f>IF(AND($K2117=1,AND(对接源_02物料!$X917="公司筐",N(对接源_02物料!$V917)&lt;&gt;0)),1,0)</f>
        <v>0</v>
      </c>
      <c r="U2117">
        <f>N(U2116)+$T2117</f>
        <v>47</v>
      </c>
      <c r="V2117">
        <f>IF(AND($L2117=1,AND(对接源_02物料!$X917="自备筐",N(对接源_02物料!$V917)&lt;&gt;0)),1,0)</f>
        <v>0</v>
      </c>
      <c r="W2117">
        <f>N(W2116)+$V2117</f>
        <v>11</v>
      </c>
      <c r="X2117">
        <f>IF(AND($L2117=1,AND(对接源_02物料!$X917="自备筐",N(对接源_02物料!$T917)&lt;&gt;0)),1,0)</f>
        <v>0</v>
      </c>
      <c r="Y2117">
        <f>N(Y2116)+$X2117</f>
        <v>0</v>
      </c>
      <c r="Z2117">
        <f>IF(AND($M2117=1,对接源_02物料!$D917="原料入库"),1,0)</f>
        <v>0</v>
      </c>
      <c r="AA2117">
        <f>N(AA2116)+$Z2117</f>
        <v>24</v>
      </c>
      <c r="AB2117">
        <f>IF(AND($M2117=1,LEFT(对接源_02物料!$D917,4)="原料出库"),1,0)</f>
        <v>0</v>
      </c>
      <c r="AC2117">
        <f>N(AC2116)+$AB2117</f>
        <v>0</v>
      </c>
      <c r="AD2117">
        <f>IF(AND($M2117=1,LEFT(对接源_02物料!$D917,4)="成品出库"),1,0)</f>
        <v>0</v>
      </c>
      <c r="AE2117">
        <f>N(AE2116)+$AD2117</f>
        <v>0</v>
      </c>
      <c r="AF2117">
        <f>IF(AND($N2117=1,AND(LEFT(对接源_02物料!$D917,4)="包装物料",N(对接源_02物料!$K917)&lt;&gt;0)),1,0)</f>
        <v>0</v>
      </c>
      <c r="AG2117">
        <f>N(AG2116)+$AF2117</f>
        <v>10</v>
      </c>
      <c r="AH2117">
        <f>IF(AND($N2117=1,AND(对接源_02物料!$D917="周转筐－销售出库",N(对接源_02物料!$K917)&lt;&gt;0)),1,0)</f>
        <v>0</v>
      </c>
      <c r="AI2117">
        <f>N(AI2116)+$AH2117</f>
        <v>0</v>
      </c>
      <c r="AL2117" t="n">
        <v>0</v>
      </c>
      <c r="AM2117">
        <f>N(AM2116)+$AL2117</f>
        <v>2</v>
      </c>
      <c r="AN2117">
        <f>""</f>
      </c>
      <c r="AO2117" t="n">
        <v>0</v>
      </c>
      <c r="AP2117">
        <f>N(AP2116)+$AO2117</f>
        <v>13</v>
      </c>
      <c r="AR2117">
        <f>IF(OR($AF2117=1,$AH2117=1),1,0)</f>
        <v>0</v>
      </c>
      <c r="AS2117">
        <f>N(AS2116)+$AR2117</f>
        <v>10</v>
      </c>
    </row>
    <row r="2118" s="127">
      <c r="A2118">
        <f>IF(对接源_02物料!$C918="","",对接源_02物料!$C918)</f>
      </c>
      <c r="B2118">
        <f>IF(A2118="",0,IF(MATCH(A2118,$A$4:$A$2403,0)=ROW()-3,1,0))</f>
        <v>0</v>
      </c>
      <c r="C2118">
        <f>N(C2117)+B2118</f>
        <v>26</v>
      </c>
      <c r="K2118">
        <f>IF(OR($K$1="",对接源_02物料!$C918="",对接源_02物料!$C918&lt;&gt;$K$1,对接源_02物料!$B918=""),0,IF(OR(N(对接源_02物料!$B918)&lt;$K$2,N(对接源_02物料!$B918)&gt;$K$3),0,1))</f>
        <v>0</v>
      </c>
      <c r="L2118">
        <f>IF(OR($L$1="",对接源_02物料!$C918="",对接源_02物料!$C918&lt;&gt;$L$1,对接源_02物料!$B918=""),0,IF(OR(N(对接源_02物料!$B918)&lt;$L$2,N(对接源_02物料!$B918)&gt;$L$3),0,1))</f>
        <v>0</v>
      </c>
      <c r="M2118">
        <f>IF(OR($M$1="",对接源_02物料!$C918="",对接源_02物料!$C918&lt;&gt;$M$1,对接源_02物料!$B918=""),0,IF(OR(N(对接源_02物料!$B918)&lt;$M$2,N(对接源_02物料!$B918)&gt;$M$3),0,1))</f>
        <v>0</v>
      </c>
      <c r="N2118">
        <f>IF(OR($N$1="",对接源_02物料!$C918="",对接源_02物料!$C918&lt;&gt;$N$1,对接源_02物料!$B918=""),0,IF(OR(N(对接源_02物料!$B918)&lt;$N$2,N(对接源_02物料!$B918)&gt;$N$3),0,1))</f>
        <v>0</v>
      </c>
      <c r="P2118">
        <f>IF(AND($K2118=1,AND(对接源_02物料!$X918="公司筐",N(对接源_02物料!$T918)&lt;&gt;0)),1,0)</f>
        <v>0</v>
      </c>
      <c r="Q2118">
        <f>N(Q2117)+$P2118</f>
        <v>14</v>
      </c>
      <c r="R2118">
        <f>IF(AND($K2118=1,AND(对接源_02物料!$X918="公司筐",N(对接源_02物料!$U918)&lt;&gt;0)),1,0)</f>
        <v>0</v>
      </c>
      <c r="S2118">
        <f>N(S2117)+$R2118</f>
        <v>1</v>
      </c>
      <c r="T2118">
        <f>IF(AND($K2118=1,AND(对接源_02物料!$X918="公司筐",N(对接源_02物料!$V918)&lt;&gt;0)),1,0)</f>
        <v>0</v>
      </c>
      <c r="U2118">
        <f>N(U2117)+$T2118</f>
        <v>47</v>
      </c>
      <c r="V2118">
        <f>IF(AND($L2118=1,AND(对接源_02物料!$X918="自备筐",N(对接源_02物料!$V918)&lt;&gt;0)),1,0)</f>
        <v>0</v>
      </c>
      <c r="W2118">
        <f>N(W2117)+$V2118</f>
        <v>11</v>
      </c>
      <c r="X2118">
        <f>IF(AND($L2118=1,AND(对接源_02物料!$X918="自备筐",N(对接源_02物料!$T918)&lt;&gt;0)),1,0)</f>
        <v>0</v>
      </c>
      <c r="Y2118">
        <f>N(Y2117)+$X2118</f>
        <v>0</v>
      </c>
      <c r="Z2118">
        <f>IF(AND($M2118=1,对接源_02物料!$D918="原料入库"),1,0)</f>
        <v>0</v>
      </c>
      <c r="AA2118">
        <f>N(AA2117)+$Z2118</f>
        <v>24</v>
      </c>
      <c r="AB2118">
        <f>IF(AND($M2118=1,LEFT(对接源_02物料!$D918,4)="原料出库"),1,0)</f>
        <v>0</v>
      </c>
      <c r="AC2118">
        <f>N(AC2117)+$AB2118</f>
        <v>0</v>
      </c>
      <c r="AD2118">
        <f>IF(AND($M2118=1,LEFT(对接源_02物料!$D918,4)="成品出库"),1,0)</f>
        <v>0</v>
      </c>
      <c r="AE2118">
        <f>N(AE2117)+$AD2118</f>
        <v>0</v>
      </c>
      <c r="AF2118">
        <f>IF(AND($N2118=1,AND(LEFT(对接源_02物料!$D918,4)="包装物料",N(对接源_02物料!$K918)&lt;&gt;0)),1,0)</f>
        <v>0</v>
      </c>
      <c r="AG2118">
        <f>N(AG2117)+$AF2118</f>
        <v>10</v>
      </c>
      <c r="AH2118">
        <f>IF(AND($N2118=1,AND(对接源_02物料!$D918="周转筐－销售出库",N(对接源_02物料!$K918)&lt;&gt;0)),1,0)</f>
        <v>0</v>
      </c>
      <c r="AI2118">
        <f>N(AI2117)+$AH2118</f>
        <v>0</v>
      </c>
      <c r="AL2118" t="n">
        <v>0</v>
      </c>
      <c r="AM2118">
        <f>N(AM2117)+$AL2118</f>
        <v>2</v>
      </c>
      <c r="AN2118">
        <f>""</f>
      </c>
      <c r="AO2118" t="n">
        <v>0</v>
      </c>
      <c r="AP2118">
        <f>N(AP2117)+$AO2118</f>
        <v>13</v>
      </c>
      <c r="AR2118">
        <f>IF(OR($AF2118=1,$AH2118=1),1,0)</f>
        <v>0</v>
      </c>
      <c r="AS2118">
        <f>N(AS2117)+$AR2118</f>
        <v>10</v>
      </c>
    </row>
    <row r="2119" s="127">
      <c r="A2119">
        <f>IF(对接源_02物料!$C919="","",对接源_02物料!$C919)</f>
      </c>
      <c r="B2119">
        <f>IF(A2119="",0,IF(MATCH(A2119,$A$4:$A$2403,0)=ROW()-3,1,0))</f>
        <v>0</v>
      </c>
      <c r="C2119">
        <f>N(C2118)+B2119</f>
        <v>26</v>
      </c>
      <c r="K2119">
        <f>IF(OR($K$1="",对接源_02物料!$C919="",对接源_02物料!$C919&lt;&gt;$K$1,对接源_02物料!$B919=""),0,IF(OR(N(对接源_02物料!$B919)&lt;$K$2,N(对接源_02物料!$B919)&gt;$K$3),0,1))</f>
        <v>0</v>
      </c>
      <c r="L2119">
        <f>IF(OR($L$1="",对接源_02物料!$C919="",对接源_02物料!$C919&lt;&gt;$L$1,对接源_02物料!$B919=""),0,IF(OR(N(对接源_02物料!$B919)&lt;$L$2,N(对接源_02物料!$B919)&gt;$L$3),0,1))</f>
        <v>0</v>
      </c>
      <c r="M2119">
        <f>IF(OR($M$1="",对接源_02物料!$C919="",对接源_02物料!$C919&lt;&gt;$M$1,对接源_02物料!$B919=""),0,IF(OR(N(对接源_02物料!$B919)&lt;$M$2,N(对接源_02物料!$B919)&gt;$M$3),0,1))</f>
        <v>0</v>
      </c>
      <c r="N2119">
        <f>IF(OR($N$1="",对接源_02物料!$C919="",对接源_02物料!$C919&lt;&gt;$N$1,对接源_02物料!$B919=""),0,IF(OR(N(对接源_02物料!$B919)&lt;$N$2,N(对接源_02物料!$B919)&gt;$N$3),0,1))</f>
        <v>0</v>
      </c>
      <c r="P2119">
        <f>IF(AND($K2119=1,AND(对接源_02物料!$X919="公司筐",N(对接源_02物料!$T919)&lt;&gt;0)),1,0)</f>
        <v>0</v>
      </c>
      <c r="Q2119">
        <f>N(Q2118)+$P2119</f>
        <v>14</v>
      </c>
      <c r="R2119">
        <f>IF(AND($K2119=1,AND(对接源_02物料!$X919="公司筐",N(对接源_02物料!$U919)&lt;&gt;0)),1,0)</f>
        <v>0</v>
      </c>
      <c r="S2119">
        <f>N(S2118)+$R2119</f>
        <v>1</v>
      </c>
      <c r="T2119">
        <f>IF(AND($K2119=1,AND(对接源_02物料!$X919="公司筐",N(对接源_02物料!$V919)&lt;&gt;0)),1,0)</f>
        <v>0</v>
      </c>
      <c r="U2119">
        <f>N(U2118)+$T2119</f>
        <v>47</v>
      </c>
      <c r="V2119">
        <f>IF(AND($L2119=1,AND(对接源_02物料!$X919="自备筐",N(对接源_02物料!$V919)&lt;&gt;0)),1,0)</f>
        <v>0</v>
      </c>
      <c r="W2119">
        <f>N(W2118)+$V2119</f>
        <v>11</v>
      </c>
      <c r="X2119">
        <f>IF(AND($L2119=1,AND(对接源_02物料!$X919="自备筐",N(对接源_02物料!$T919)&lt;&gt;0)),1,0)</f>
        <v>0</v>
      </c>
      <c r="Y2119">
        <f>N(Y2118)+$X2119</f>
        <v>0</v>
      </c>
      <c r="Z2119">
        <f>IF(AND($M2119=1,对接源_02物料!$D919="原料入库"),1,0)</f>
        <v>0</v>
      </c>
      <c r="AA2119">
        <f>N(AA2118)+$Z2119</f>
        <v>24</v>
      </c>
      <c r="AB2119">
        <f>IF(AND($M2119=1,LEFT(对接源_02物料!$D919,4)="原料出库"),1,0)</f>
        <v>0</v>
      </c>
      <c r="AC2119">
        <f>N(AC2118)+$AB2119</f>
        <v>0</v>
      </c>
      <c r="AD2119">
        <f>IF(AND($M2119=1,LEFT(对接源_02物料!$D919,4)="成品出库"),1,0)</f>
        <v>0</v>
      </c>
      <c r="AE2119">
        <f>N(AE2118)+$AD2119</f>
        <v>0</v>
      </c>
      <c r="AF2119">
        <f>IF(AND($N2119=1,AND(LEFT(对接源_02物料!$D919,4)="包装物料",N(对接源_02物料!$K919)&lt;&gt;0)),1,0)</f>
        <v>0</v>
      </c>
      <c r="AG2119">
        <f>N(AG2118)+$AF2119</f>
        <v>10</v>
      </c>
      <c r="AH2119">
        <f>IF(AND($N2119=1,AND(对接源_02物料!$D919="周转筐－销售出库",N(对接源_02物料!$K919)&lt;&gt;0)),1,0)</f>
        <v>0</v>
      </c>
      <c r="AI2119">
        <f>N(AI2118)+$AH2119</f>
        <v>0</v>
      </c>
      <c r="AL2119" t="n">
        <v>0</v>
      </c>
      <c r="AM2119">
        <f>N(AM2118)+$AL2119</f>
        <v>2</v>
      </c>
      <c r="AN2119">
        <f>""</f>
      </c>
      <c r="AO2119" t="n">
        <v>0</v>
      </c>
      <c r="AP2119">
        <f>N(AP2118)+$AO2119</f>
        <v>13</v>
      </c>
      <c r="AR2119">
        <f>IF(OR($AF2119=1,$AH2119=1),1,0)</f>
        <v>0</v>
      </c>
      <c r="AS2119">
        <f>N(AS2118)+$AR2119</f>
        <v>10</v>
      </c>
    </row>
    <row r="2120" s="127">
      <c r="A2120">
        <f>IF(对接源_02物料!$C920="","",对接源_02物料!$C920)</f>
      </c>
      <c r="B2120">
        <f>IF(A2120="",0,IF(MATCH(A2120,$A$4:$A$2403,0)=ROW()-3,1,0))</f>
        <v>0</v>
      </c>
      <c r="C2120">
        <f>N(C2119)+B2120</f>
        <v>26</v>
      </c>
      <c r="K2120">
        <f>IF(OR($K$1="",对接源_02物料!$C920="",对接源_02物料!$C920&lt;&gt;$K$1,对接源_02物料!$B920=""),0,IF(OR(N(对接源_02物料!$B920)&lt;$K$2,N(对接源_02物料!$B920)&gt;$K$3),0,1))</f>
        <v>0</v>
      </c>
      <c r="L2120">
        <f>IF(OR($L$1="",对接源_02物料!$C920="",对接源_02物料!$C920&lt;&gt;$L$1,对接源_02物料!$B920=""),0,IF(OR(N(对接源_02物料!$B920)&lt;$L$2,N(对接源_02物料!$B920)&gt;$L$3),0,1))</f>
        <v>0</v>
      </c>
      <c r="M2120">
        <f>IF(OR($M$1="",对接源_02物料!$C920="",对接源_02物料!$C920&lt;&gt;$M$1,对接源_02物料!$B920=""),0,IF(OR(N(对接源_02物料!$B920)&lt;$M$2,N(对接源_02物料!$B920)&gt;$M$3),0,1))</f>
        <v>0</v>
      </c>
      <c r="N2120">
        <f>IF(OR($N$1="",对接源_02物料!$C920="",对接源_02物料!$C920&lt;&gt;$N$1,对接源_02物料!$B920=""),0,IF(OR(N(对接源_02物料!$B920)&lt;$N$2,N(对接源_02物料!$B920)&gt;$N$3),0,1))</f>
        <v>0</v>
      </c>
      <c r="P2120">
        <f>IF(AND($K2120=1,AND(对接源_02物料!$X920="公司筐",N(对接源_02物料!$T920)&lt;&gt;0)),1,0)</f>
        <v>0</v>
      </c>
      <c r="Q2120">
        <f>N(Q2119)+$P2120</f>
        <v>14</v>
      </c>
      <c r="R2120">
        <f>IF(AND($K2120=1,AND(对接源_02物料!$X920="公司筐",N(对接源_02物料!$U920)&lt;&gt;0)),1,0)</f>
        <v>0</v>
      </c>
      <c r="S2120">
        <f>N(S2119)+$R2120</f>
        <v>1</v>
      </c>
      <c r="T2120">
        <f>IF(AND($K2120=1,AND(对接源_02物料!$X920="公司筐",N(对接源_02物料!$V920)&lt;&gt;0)),1,0)</f>
        <v>0</v>
      </c>
      <c r="U2120">
        <f>N(U2119)+$T2120</f>
        <v>47</v>
      </c>
      <c r="V2120">
        <f>IF(AND($L2120=1,AND(对接源_02物料!$X920="自备筐",N(对接源_02物料!$V920)&lt;&gt;0)),1,0)</f>
        <v>0</v>
      </c>
      <c r="W2120">
        <f>N(W2119)+$V2120</f>
        <v>11</v>
      </c>
      <c r="X2120">
        <f>IF(AND($L2120=1,AND(对接源_02物料!$X920="自备筐",N(对接源_02物料!$T920)&lt;&gt;0)),1,0)</f>
        <v>0</v>
      </c>
      <c r="Y2120">
        <f>N(Y2119)+$X2120</f>
        <v>0</v>
      </c>
      <c r="Z2120">
        <f>IF(AND($M2120=1,对接源_02物料!$D920="原料入库"),1,0)</f>
        <v>0</v>
      </c>
      <c r="AA2120">
        <f>N(AA2119)+$Z2120</f>
        <v>24</v>
      </c>
      <c r="AB2120">
        <f>IF(AND($M2120=1,LEFT(对接源_02物料!$D920,4)="原料出库"),1,0)</f>
        <v>0</v>
      </c>
      <c r="AC2120">
        <f>N(AC2119)+$AB2120</f>
        <v>0</v>
      </c>
      <c r="AD2120">
        <f>IF(AND($M2120=1,LEFT(对接源_02物料!$D920,4)="成品出库"),1,0)</f>
        <v>0</v>
      </c>
      <c r="AE2120">
        <f>N(AE2119)+$AD2120</f>
        <v>0</v>
      </c>
      <c r="AF2120">
        <f>IF(AND($N2120=1,AND(LEFT(对接源_02物料!$D920,4)="包装物料",N(对接源_02物料!$K920)&lt;&gt;0)),1,0)</f>
        <v>0</v>
      </c>
      <c r="AG2120">
        <f>N(AG2119)+$AF2120</f>
        <v>10</v>
      </c>
      <c r="AH2120">
        <f>IF(AND($N2120=1,AND(对接源_02物料!$D920="周转筐－销售出库",N(对接源_02物料!$K920)&lt;&gt;0)),1,0)</f>
        <v>0</v>
      </c>
      <c r="AI2120">
        <f>N(AI2119)+$AH2120</f>
        <v>0</v>
      </c>
      <c r="AL2120" t="n">
        <v>0</v>
      </c>
      <c r="AM2120">
        <f>N(AM2119)+$AL2120</f>
        <v>2</v>
      </c>
      <c r="AN2120">
        <f>""</f>
      </c>
      <c r="AO2120" t="n">
        <v>0</v>
      </c>
      <c r="AP2120">
        <f>N(AP2119)+$AO2120</f>
        <v>13</v>
      </c>
      <c r="AR2120">
        <f>IF(OR($AF2120=1,$AH2120=1),1,0)</f>
        <v>0</v>
      </c>
      <c r="AS2120">
        <f>N(AS2119)+$AR2120</f>
        <v>10</v>
      </c>
    </row>
    <row r="2121" s="127">
      <c r="A2121">
        <f>IF(对接源_02物料!$C921="","",对接源_02物料!$C921)</f>
      </c>
      <c r="B2121">
        <f>IF(A2121="",0,IF(MATCH(A2121,$A$4:$A$2403,0)=ROW()-3,1,0))</f>
        <v>0</v>
      </c>
      <c r="C2121">
        <f>N(C2120)+B2121</f>
        <v>26</v>
      </c>
      <c r="K2121">
        <f>IF(OR($K$1="",对接源_02物料!$C921="",对接源_02物料!$C921&lt;&gt;$K$1,对接源_02物料!$B921=""),0,IF(OR(N(对接源_02物料!$B921)&lt;$K$2,N(对接源_02物料!$B921)&gt;$K$3),0,1))</f>
        <v>0</v>
      </c>
      <c r="L2121">
        <f>IF(OR($L$1="",对接源_02物料!$C921="",对接源_02物料!$C921&lt;&gt;$L$1,对接源_02物料!$B921=""),0,IF(OR(N(对接源_02物料!$B921)&lt;$L$2,N(对接源_02物料!$B921)&gt;$L$3),0,1))</f>
        <v>0</v>
      </c>
      <c r="M2121">
        <f>IF(OR($M$1="",对接源_02物料!$C921="",对接源_02物料!$C921&lt;&gt;$M$1,对接源_02物料!$B921=""),0,IF(OR(N(对接源_02物料!$B921)&lt;$M$2,N(对接源_02物料!$B921)&gt;$M$3),0,1))</f>
        <v>0</v>
      </c>
      <c r="N2121">
        <f>IF(OR($N$1="",对接源_02物料!$C921="",对接源_02物料!$C921&lt;&gt;$N$1,对接源_02物料!$B921=""),0,IF(OR(N(对接源_02物料!$B921)&lt;$N$2,N(对接源_02物料!$B921)&gt;$N$3),0,1))</f>
        <v>0</v>
      </c>
      <c r="P2121">
        <f>IF(AND($K2121=1,AND(对接源_02物料!$X921="公司筐",N(对接源_02物料!$T921)&lt;&gt;0)),1,0)</f>
        <v>0</v>
      </c>
      <c r="Q2121">
        <f>N(Q2120)+$P2121</f>
        <v>14</v>
      </c>
      <c r="R2121">
        <f>IF(AND($K2121=1,AND(对接源_02物料!$X921="公司筐",N(对接源_02物料!$U921)&lt;&gt;0)),1,0)</f>
        <v>0</v>
      </c>
      <c r="S2121">
        <f>N(S2120)+$R2121</f>
        <v>1</v>
      </c>
      <c r="T2121">
        <f>IF(AND($K2121=1,AND(对接源_02物料!$X921="公司筐",N(对接源_02物料!$V921)&lt;&gt;0)),1,0)</f>
        <v>0</v>
      </c>
      <c r="U2121">
        <f>N(U2120)+$T2121</f>
        <v>47</v>
      </c>
      <c r="V2121">
        <f>IF(AND($L2121=1,AND(对接源_02物料!$X921="自备筐",N(对接源_02物料!$V921)&lt;&gt;0)),1,0)</f>
        <v>0</v>
      </c>
      <c r="W2121">
        <f>N(W2120)+$V2121</f>
        <v>11</v>
      </c>
      <c r="X2121">
        <f>IF(AND($L2121=1,AND(对接源_02物料!$X921="自备筐",N(对接源_02物料!$T921)&lt;&gt;0)),1,0)</f>
        <v>0</v>
      </c>
      <c r="Y2121">
        <f>N(Y2120)+$X2121</f>
        <v>0</v>
      </c>
      <c r="Z2121">
        <f>IF(AND($M2121=1,对接源_02物料!$D921="原料入库"),1,0)</f>
        <v>0</v>
      </c>
      <c r="AA2121">
        <f>N(AA2120)+$Z2121</f>
        <v>24</v>
      </c>
      <c r="AB2121">
        <f>IF(AND($M2121=1,LEFT(对接源_02物料!$D921,4)="原料出库"),1,0)</f>
        <v>0</v>
      </c>
      <c r="AC2121">
        <f>N(AC2120)+$AB2121</f>
        <v>0</v>
      </c>
      <c r="AD2121">
        <f>IF(AND($M2121=1,LEFT(对接源_02物料!$D921,4)="成品出库"),1,0)</f>
        <v>0</v>
      </c>
      <c r="AE2121">
        <f>N(AE2120)+$AD2121</f>
        <v>0</v>
      </c>
      <c r="AF2121">
        <f>IF(AND($N2121=1,AND(LEFT(对接源_02物料!$D921,4)="包装物料",N(对接源_02物料!$K921)&lt;&gt;0)),1,0)</f>
        <v>0</v>
      </c>
      <c r="AG2121">
        <f>N(AG2120)+$AF2121</f>
        <v>10</v>
      </c>
      <c r="AH2121">
        <f>IF(AND($N2121=1,AND(对接源_02物料!$D921="周转筐－销售出库",N(对接源_02物料!$K921)&lt;&gt;0)),1,0)</f>
        <v>0</v>
      </c>
      <c r="AI2121">
        <f>N(AI2120)+$AH2121</f>
        <v>0</v>
      </c>
      <c r="AL2121" t="n">
        <v>0</v>
      </c>
      <c r="AM2121">
        <f>N(AM2120)+$AL2121</f>
        <v>2</v>
      </c>
      <c r="AN2121">
        <f>""</f>
      </c>
      <c r="AO2121" t="n">
        <v>0</v>
      </c>
      <c r="AP2121">
        <f>N(AP2120)+$AO2121</f>
        <v>13</v>
      </c>
      <c r="AR2121">
        <f>IF(OR($AF2121=1,$AH2121=1),1,0)</f>
        <v>0</v>
      </c>
      <c r="AS2121">
        <f>N(AS2120)+$AR2121</f>
        <v>10</v>
      </c>
    </row>
    <row r="2122" s="127">
      <c r="A2122">
        <f>IF(对接源_02物料!$C922="","",对接源_02物料!$C922)</f>
      </c>
      <c r="B2122">
        <f>IF(A2122="",0,IF(MATCH(A2122,$A$4:$A$2403,0)=ROW()-3,1,0))</f>
        <v>0</v>
      </c>
      <c r="C2122">
        <f>N(C2121)+B2122</f>
        <v>26</v>
      </c>
      <c r="K2122">
        <f>IF(OR($K$1="",对接源_02物料!$C922="",对接源_02物料!$C922&lt;&gt;$K$1,对接源_02物料!$B922=""),0,IF(OR(N(对接源_02物料!$B922)&lt;$K$2,N(对接源_02物料!$B922)&gt;$K$3),0,1))</f>
        <v>0</v>
      </c>
      <c r="L2122">
        <f>IF(OR($L$1="",对接源_02物料!$C922="",对接源_02物料!$C922&lt;&gt;$L$1,对接源_02物料!$B922=""),0,IF(OR(N(对接源_02物料!$B922)&lt;$L$2,N(对接源_02物料!$B922)&gt;$L$3),0,1))</f>
        <v>0</v>
      </c>
      <c r="M2122">
        <f>IF(OR($M$1="",对接源_02物料!$C922="",对接源_02物料!$C922&lt;&gt;$M$1,对接源_02物料!$B922=""),0,IF(OR(N(对接源_02物料!$B922)&lt;$M$2,N(对接源_02物料!$B922)&gt;$M$3),0,1))</f>
        <v>0</v>
      </c>
      <c r="N2122">
        <f>IF(OR($N$1="",对接源_02物料!$C922="",对接源_02物料!$C922&lt;&gt;$N$1,对接源_02物料!$B922=""),0,IF(OR(N(对接源_02物料!$B922)&lt;$N$2,N(对接源_02物料!$B922)&gt;$N$3),0,1))</f>
        <v>0</v>
      </c>
      <c r="P2122">
        <f>IF(AND($K2122=1,AND(对接源_02物料!$X922="公司筐",N(对接源_02物料!$T922)&lt;&gt;0)),1,0)</f>
        <v>0</v>
      </c>
      <c r="Q2122">
        <f>N(Q2121)+$P2122</f>
        <v>14</v>
      </c>
      <c r="R2122">
        <f>IF(AND($K2122=1,AND(对接源_02物料!$X922="公司筐",N(对接源_02物料!$U922)&lt;&gt;0)),1,0)</f>
        <v>0</v>
      </c>
      <c r="S2122">
        <f>N(S2121)+$R2122</f>
        <v>1</v>
      </c>
      <c r="T2122">
        <f>IF(AND($K2122=1,AND(对接源_02物料!$X922="公司筐",N(对接源_02物料!$V922)&lt;&gt;0)),1,0)</f>
        <v>0</v>
      </c>
      <c r="U2122">
        <f>N(U2121)+$T2122</f>
        <v>47</v>
      </c>
      <c r="V2122">
        <f>IF(AND($L2122=1,AND(对接源_02物料!$X922="自备筐",N(对接源_02物料!$V922)&lt;&gt;0)),1,0)</f>
        <v>0</v>
      </c>
      <c r="W2122">
        <f>N(W2121)+$V2122</f>
        <v>11</v>
      </c>
      <c r="X2122">
        <f>IF(AND($L2122=1,AND(对接源_02物料!$X922="自备筐",N(对接源_02物料!$T922)&lt;&gt;0)),1,0)</f>
        <v>0</v>
      </c>
      <c r="Y2122">
        <f>N(Y2121)+$X2122</f>
        <v>0</v>
      </c>
      <c r="Z2122">
        <f>IF(AND($M2122=1,对接源_02物料!$D922="原料入库"),1,0)</f>
        <v>0</v>
      </c>
      <c r="AA2122">
        <f>N(AA2121)+$Z2122</f>
        <v>24</v>
      </c>
      <c r="AB2122">
        <f>IF(AND($M2122=1,LEFT(对接源_02物料!$D922,4)="原料出库"),1,0)</f>
        <v>0</v>
      </c>
      <c r="AC2122">
        <f>N(AC2121)+$AB2122</f>
        <v>0</v>
      </c>
      <c r="AD2122">
        <f>IF(AND($M2122=1,LEFT(对接源_02物料!$D922,4)="成品出库"),1,0)</f>
        <v>0</v>
      </c>
      <c r="AE2122">
        <f>N(AE2121)+$AD2122</f>
        <v>0</v>
      </c>
      <c r="AF2122">
        <f>IF(AND($N2122=1,AND(LEFT(对接源_02物料!$D922,4)="包装物料",N(对接源_02物料!$K922)&lt;&gt;0)),1,0)</f>
        <v>0</v>
      </c>
      <c r="AG2122">
        <f>N(AG2121)+$AF2122</f>
        <v>10</v>
      </c>
      <c r="AH2122">
        <f>IF(AND($N2122=1,AND(对接源_02物料!$D922="周转筐－销售出库",N(对接源_02物料!$K922)&lt;&gt;0)),1,0)</f>
        <v>0</v>
      </c>
      <c r="AI2122">
        <f>N(AI2121)+$AH2122</f>
        <v>0</v>
      </c>
      <c r="AL2122" t="n">
        <v>0</v>
      </c>
      <c r="AM2122">
        <f>N(AM2121)+$AL2122</f>
        <v>2</v>
      </c>
      <c r="AN2122">
        <f>""</f>
      </c>
      <c r="AO2122" t="n">
        <v>0</v>
      </c>
      <c r="AP2122">
        <f>N(AP2121)+$AO2122</f>
        <v>13</v>
      </c>
      <c r="AR2122">
        <f>IF(OR($AF2122=1,$AH2122=1),1,0)</f>
        <v>0</v>
      </c>
      <c r="AS2122">
        <f>N(AS2121)+$AR2122</f>
        <v>10</v>
      </c>
    </row>
    <row r="2123" s="127">
      <c r="A2123">
        <f>IF(对接源_02物料!$C923="","",对接源_02物料!$C923)</f>
      </c>
      <c r="B2123">
        <f>IF(A2123="",0,IF(MATCH(A2123,$A$4:$A$2403,0)=ROW()-3,1,0))</f>
        <v>0</v>
      </c>
      <c r="C2123">
        <f>N(C2122)+B2123</f>
        <v>26</v>
      </c>
      <c r="K2123">
        <f>IF(OR($K$1="",对接源_02物料!$C923="",对接源_02物料!$C923&lt;&gt;$K$1,对接源_02物料!$B923=""),0,IF(OR(N(对接源_02物料!$B923)&lt;$K$2,N(对接源_02物料!$B923)&gt;$K$3),0,1))</f>
        <v>0</v>
      </c>
      <c r="L2123">
        <f>IF(OR($L$1="",对接源_02物料!$C923="",对接源_02物料!$C923&lt;&gt;$L$1,对接源_02物料!$B923=""),0,IF(OR(N(对接源_02物料!$B923)&lt;$L$2,N(对接源_02物料!$B923)&gt;$L$3),0,1))</f>
        <v>0</v>
      </c>
      <c r="M2123">
        <f>IF(OR($M$1="",对接源_02物料!$C923="",对接源_02物料!$C923&lt;&gt;$M$1,对接源_02物料!$B923=""),0,IF(OR(N(对接源_02物料!$B923)&lt;$M$2,N(对接源_02物料!$B923)&gt;$M$3),0,1))</f>
        <v>0</v>
      </c>
      <c r="N2123">
        <f>IF(OR($N$1="",对接源_02物料!$C923="",对接源_02物料!$C923&lt;&gt;$N$1,对接源_02物料!$B923=""),0,IF(OR(N(对接源_02物料!$B923)&lt;$N$2,N(对接源_02物料!$B923)&gt;$N$3),0,1))</f>
        <v>0</v>
      </c>
      <c r="P2123">
        <f>IF(AND($K2123=1,AND(对接源_02物料!$X923="公司筐",N(对接源_02物料!$T923)&lt;&gt;0)),1,0)</f>
        <v>0</v>
      </c>
      <c r="Q2123">
        <f>N(Q2122)+$P2123</f>
        <v>14</v>
      </c>
      <c r="R2123">
        <f>IF(AND($K2123=1,AND(对接源_02物料!$X923="公司筐",N(对接源_02物料!$U923)&lt;&gt;0)),1,0)</f>
        <v>0</v>
      </c>
      <c r="S2123">
        <f>N(S2122)+$R2123</f>
        <v>1</v>
      </c>
      <c r="T2123">
        <f>IF(AND($K2123=1,AND(对接源_02物料!$X923="公司筐",N(对接源_02物料!$V923)&lt;&gt;0)),1,0)</f>
        <v>0</v>
      </c>
      <c r="U2123">
        <f>N(U2122)+$T2123</f>
        <v>47</v>
      </c>
      <c r="V2123">
        <f>IF(AND($L2123=1,AND(对接源_02物料!$X923="自备筐",N(对接源_02物料!$V923)&lt;&gt;0)),1,0)</f>
        <v>0</v>
      </c>
      <c r="W2123">
        <f>N(W2122)+$V2123</f>
        <v>11</v>
      </c>
      <c r="X2123">
        <f>IF(AND($L2123=1,AND(对接源_02物料!$X923="自备筐",N(对接源_02物料!$T923)&lt;&gt;0)),1,0)</f>
        <v>0</v>
      </c>
      <c r="Y2123">
        <f>N(Y2122)+$X2123</f>
        <v>0</v>
      </c>
      <c r="Z2123">
        <f>IF(AND($M2123=1,对接源_02物料!$D923="原料入库"),1,0)</f>
        <v>0</v>
      </c>
      <c r="AA2123">
        <f>N(AA2122)+$Z2123</f>
        <v>24</v>
      </c>
      <c r="AB2123">
        <f>IF(AND($M2123=1,LEFT(对接源_02物料!$D923,4)="原料出库"),1,0)</f>
        <v>0</v>
      </c>
      <c r="AC2123">
        <f>N(AC2122)+$AB2123</f>
        <v>0</v>
      </c>
      <c r="AD2123">
        <f>IF(AND($M2123=1,LEFT(对接源_02物料!$D923,4)="成品出库"),1,0)</f>
        <v>0</v>
      </c>
      <c r="AE2123">
        <f>N(AE2122)+$AD2123</f>
        <v>0</v>
      </c>
      <c r="AF2123">
        <f>IF(AND($N2123=1,AND(LEFT(对接源_02物料!$D923,4)="包装物料",N(对接源_02物料!$K923)&lt;&gt;0)),1,0)</f>
        <v>0</v>
      </c>
      <c r="AG2123">
        <f>N(AG2122)+$AF2123</f>
        <v>10</v>
      </c>
      <c r="AH2123">
        <f>IF(AND($N2123=1,AND(对接源_02物料!$D923="周转筐－销售出库",N(对接源_02物料!$K923)&lt;&gt;0)),1,0)</f>
        <v>0</v>
      </c>
      <c r="AI2123">
        <f>N(AI2122)+$AH2123</f>
        <v>0</v>
      </c>
      <c r="AL2123" t="n">
        <v>0</v>
      </c>
      <c r="AM2123">
        <f>N(AM2122)+$AL2123</f>
        <v>2</v>
      </c>
      <c r="AN2123">
        <f>""</f>
      </c>
      <c r="AO2123" t="n">
        <v>0</v>
      </c>
      <c r="AP2123">
        <f>N(AP2122)+$AO2123</f>
        <v>13</v>
      </c>
      <c r="AR2123">
        <f>IF(OR($AF2123=1,$AH2123=1),1,0)</f>
        <v>0</v>
      </c>
      <c r="AS2123">
        <f>N(AS2122)+$AR2123</f>
        <v>10</v>
      </c>
    </row>
    <row r="2124" s="127">
      <c r="A2124">
        <f>IF(对接源_02物料!$C924="","",对接源_02物料!$C924)</f>
      </c>
      <c r="B2124">
        <f>IF(A2124="",0,IF(MATCH(A2124,$A$4:$A$2403,0)=ROW()-3,1,0))</f>
        <v>0</v>
      </c>
      <c r="C2124">
        <f>N(C2123)+B2124</f>
        <v>26</v>
      </c>
      <c r="K2124">
        <f>IF(OR($K$1="",对接源_02物料!$C924="",对接源_02物料!$C924&lt;&gt;$K$1,对接源_02物料!$B924=""),0,IF(OR(N(对接源_02物料!$B924)&lt;$K$2,N(对接源_02物料!$B924)&gt;$K$3),0,1))</f>
        <v>0</v>
      </c>
      <c r="L2124">
        <f>IF(OR($L$1="",对接源_02物料!$C924="",对接源_02物料!$C924&lt;&gt;$L$1,对接源_02物料!$B924=""),0,IF(OR(N(对接源_02物料!$B924)&lt;$L$2,N(对接源_02物料!$B924)&gt;$L$3),0,1))</f>
        <v>0</v>
      </c>
      <c r="M2124">
        <f>IF(OR($M$1="",对接源_02物料!$C924="",对接源_02物料!$C924&lt;&gt;$M$1,对接源_02物料!$B924=""),0,IF(OR(N(对接源_02物料!$B924)&lt;$M$2,N(对接源_02物料!$B924)&gt;$M$3),0,1))</f>
        <v>0</v>
      </c>
      <c r="N2124">
        <f>IF(OR($N$1="",对接源_02物料!$C924="",对接源_02物料!$C924&lt;&gt;$N$1,对接源_02物料!$B924=""),0,IF(OR(N(对接源_02物料!$B924)&lt;$N$2,N(对接源_02物料!$B924)&gt;$N$3),0,1))</f>
        <v>0</v>
      </c>
      <c r="P2124">
        <f>IF(AND($K2124=1,AND(对接源_02物料!$X924="公司筐",N(对接源_02物料!$T924)&lt;&gt;0)),1,0)</f>
        <v>0</v>
      </c>
      <c r="Q2124">
        <f>N(Q2123)+$P2124</f>
        <v>14</v>
      </c>
      <c r="R2124">
        <f>IF(AND($K2124=1,AND(对接源_02物料!$X924="公司筐",N(对接源_02物料!$U924)&lt;&gt;0)),1,0)</f>
        <v>0</v>
      </c>
      <c r="S2124">
        <f>N(S2123)+$R2124</f>
        <v>1</v>
      </c>
      <c r="T2124">
        <f>IF(AND($K2124=1,AND(对接源_02物料!$X924="公司筐",N(对接源_02物料!$V924)&lt;&gt;0)),1,0)</f>
        <v>0</v>
      </c>
      <c r="U2124">
        <f>N(U2123)+$T2124</f>
        <v>47</v>
      </c>
      <c r="V2124">
        <f>IF(AND($L2124=1,AND(对接源_02物料!$X924="自备筐",N(对接源_02物料!$V924)&lt;&gt;0)),1,0)</f>
        <v>0</v>
      </c>
      <c r="W2124">
        <f>N(W2123)+$V2124</f>
        <v>11</v>
      </c>
      <c r="X2124">
        <f>IF(AND($L2124=1,AND(对接源_02物料!$X924="自备筐",N(对接源_02物料!$T924)&lt;&gt;0)),1,0)</f>
        <v>0</v>
      </c>
      <c r="Y2124">
        <f>N(Y2123)+$X2124</f>
        <v>0</v>
      </c>
      <c r="Z2124">
        <f>IF(AND($M2124=1,对接源_02物料!$D924="原料入库"),1,0)</f>
        <v>0</v>
      </c>
      <c r="AA2124">
        <f>N(AA2123)+$Z2124</f>
        <v>24</v>
      </c>
      <c r="AB2124">
        <f>IF(AND($M2124=1,LEFT(对接源_02物料!$D924,4)="原料出库"),1,0)</f>
        <v>0</v>
      </c>
      <c r="AC2124">
        <f>N(AC2123)+$AB2124</f>
        <v>0</v>
      </c>
      <c r="AD2124">
        <f>IF(AND($M2124=1,LEFT(对接源_02物料!$D924,4)="成品出库"),1,0)</f>
        <v>0</v>
      </c>
      <c r="AE2124">
        <f>N(AE2123)+$AD2124</f>
        <v>0</v>
      </c>
      <c r="AF2124">
        <f>IF(AND($N2124=1,AND(LEFT(对接源_02物料!$D924,4)="包装物料",N(对接源_02物料!$K924)&lt;&gt;0)),1,0)</f>
        <v>0</v>
      </c>
      <c r="AG2124">
        <f>N(AG2123)+$AF2124</f>
        <v>10</v>
      </c>
      <c r="AH2124">
        <f>IF(AND($N2124=1,AND(对接源_02物料!$D924="周转筐－销售出库",N(对接源_02物料!$K924)&lt;&gt;0)),1,0)</f>
        <v>0</v>
      </c>
      <c r="AI2124">
        <f>N(AI2123)+$AH2124</f>
        <v>0</v>
      </c>
      <c r="AL2124" t="n">
        <v>0</v>
      </c>
      <c r="AM2124">
        <f>N(AM2123)+$AL2124</f>
        <v>2</v>
      </c>
      <c r="AN2124">
        <f>""</f>
      </c>
      <c r="AO2124" t="n">
        <v>0</v>
      </c>
      <c r="AP2124">
        <f>N(AP2123)+$AO2124</f>
        <v>13</v>
      </c>
      <c r="AR2124">
        <f>IF(OR($AF2124=1,$AH2124=1),1,0)</f>
        <v>0</v>
      </c>
      <c r="AS2124">
        <f>N(AS2123)+$AR2124</f>
        <v>10</v>
      </c>
    </row>
    <row r="2125" s="127">
      <c r="A2125">
        <f>IF(对接源_02物料!$C925="","",对接源_02物料!$C925)</f>
      </c>
      <c r="B2125">
        <f>IF(A2125="",0,IF(MATCH(A2125,$A$4:$A$2403,0)=ROW()-3,1,0))</f>
        <v>0</v>
      </c>
      <c r="C2125">
        <f>N(C2124)+B2125</f>
        <v>26</v>
      </c>
      <c r="K2125">
        <f>IF(OR($K$1="",对接源_02物料!$C925="",对接源_02物料!$C925&lt;&gt;$K$1,对接源_02物料!$B925=""),0,IF(OR(N(对接源_02物料!$B925)&lt;$K$2,N(对接源_02物料!$B925)&gt;$K$3),0,1))</f>
        <v>0</v>
      </c>
      <c r="L2125">
        <f>IF(OR($L$1="",对接源_02物料!$C925="",对接源_02物料!$C925&lt;&gt;$L$1,对接源_02物料!$B925=""),0,IF(OR(N(对接源_02物料!$B925)&lt;$L$2,N(对接源_02物料!$B925)&gt;$L$3),0,1))</f>
        <v>0</v>
      </c>
      <c r="M2125">
        <f>IF(OR($M$1="",对接源_02物料!$C925="",对接源_02物料!$C925&lt;&gt;$M$1,对接源_02物料!$B925=""),0,IF(OR(N(对接源_02物料!$B925)&lt;$M$2,N(对接源_02物料!$B925)&gt;$M$3),0,1))</f>
        <v>0</v>
      </c>
      <c r="N2125">
        <f>IF(OR($N$1="",对接源_02物料!$C925="",对接源_02物料!$C925&lt;&gt;$N$1,对接源_02物料!$B925=""),0,IF(OR(N(对接源_02物料!$B925)&lt;$N$2,N(对接源_02物料!$B925)&gt;$N$3),0,1))</f>
        <v>0</v>
      </c>
      <c r="P2125">
        <f>IF(AND($K2125=1,AND(对接源_02物料!$X925="公司筐",N(对接源_02物料!$T925)&lt;&gt;0)),1,0)</f>
        <v>0</v>
      </c>
      <c r="Q2125">
        <f>N(Q2124)+$P2125</f>
        <v>14</v>
      </c>
      <c r="R2125">
        <f>IF(AND($K2125=1,AND(对接源_02物料!$X925="公司筐",N(对接源_02物料!$U925)&lt;&gt;0)),1,0)</f>
        <v>0</v>
      </c>
      <c r="S2125">
        <f>N(S2124)+$R2125</f>
        <v>1</v>
      </c>
      <c r="T2125">
        <f>IF(AND($K2125=1,AND(对接源_02物料!$X925="公司筐",N(对接源_02物料!$V925)&lt;&gt;0)),1,0)</f>
        <v>0</v>
      </c>
      <c r="U2125">
        <f>N(U2124)+$T2125</f>
        <v>47</v>
      </c>
      <c r="V2125">
        <f>IF(AND($L2125=1,AND(对接源_02物料!$X925="自备筐",N(对接源_02物料!$V925)&lt;&gt;0)),1,0)</f>
        <v>0</v>
      </c>
      <c r="W2125">
        <f>N(W2124)+$V2125</f>
        <v>11</v>
      </c>
      <c r="X2125">
        <f>IF(AND($L2125=1,AND(对接源_02物料!$X925="自备筐",N(对接源_02物料!$T925)&lt;&gt;0)),1,0)</f>
        <v>0</v>
      </c>
      <c r="Y2125">
        <f>N(Y2124)+$X2125</f>
        <v>0</v>
      </c>
      <c r="Z2125">
        <f>IF(AND($M2125=1,对接源_02物料!$D925="原料入库"),1,0)</f>
        <v>0</v>
      </c>
      <c r="AA2125">
        <f>N(AA2124)+$Z2125</f>
        <v>24</v>
      </c>
      <c r="AB2125">
        <f>IF(AND($M2125=1,LEFT(对接源_02物料!$D925,4)="原料出库"),1,0)</f>
        <v>0</v>
      </c>
      <c r="AC2125">
        <f>N(AC2124)+$AB2125</f>
        <v>0</v>
      </c>
      <c r="AD2125">
        <f>IF(AND($M2125=1,LEFT(对接源_02物料!$D925,4)="成品出库"),1,0)</f>
        <v>0</v>
      </c>
      <c r="AE2125">
        <f>N(AE2124)+$AD2125</f>
        <v>0</v>
      </c>
      <c r="AF2125">
        <f>IF(AND($N2125=1,AND(LEFT(对接源_02物料!$D925,4)="包装物料",N(对接源_02物料!$K925)&lt;&gt;0)),1,0)</f>
        <v>0</v>
      </c>
      <c r="AG2125">
        <f>N(AG2124)+$AF2125</f>
        <v>10</v>
      </c>
      <c r="AH2125">
        <f>IF(AND($N2125=1,AND(对接源_02物料!$D925="周转筐－销售出库",N(对接源_02物料!$K925)&lt;&gt;0)),1,0)</f>
        <v>0</v>
      </c>
      <c r="AI2125">
        <f>N(AI2124)+$AH2125</f>
        <v>0</v>
      </c>
      <c r="AL2125" t="n">
        <v>0</v>
      </c>
      <c r="AM2125">
        <f>N(AM2124)+$AL2125</f>
        <v>2</v>
      </c>
      <c r="AN2125">
        <f>""</f>
      </c>
      <c r="AO2125" t="n">
        <v>0</v>
      </c>
      <c r="AP2125">
        <f>N(AP2124)+$AO2125</f>
        <v>13</v>
      </c>
      <c r="AR2125">
        <f>IF(OR($AF2125=1,$AH2125=1),1,0)</f>
        <v>0</v>
      </c>
      <c r="AS2125">
        <f>N(AS2124)+$AR2125</f>
        <v>10</v>
      </c>
    </row>
    <row r="2126" s="127">
      <c r="A2126">
        <f>IF(对接源_02物料!$C926="","",对接源_02物料!$C926)</f>
      </c>
      <c r="B2126">
        <f>IF(A2126="",0,IF(MATCH(A2126,$A$4:$A$2403,0)=ROW()-3,1,0))</f>
        <v>0</v>
      </c>
      <c r="C2126">
        <f>N(C2125)+B2126</f>
        <v>26</v>
      </c>
      <c r="K2126">
        <f>IF(OR($K$1="",对接源_02物料!$C926="",对接源_02物料!$C926&lt;&gt;$K$1,对接源_02物料!$B926=""),0,IF(OR(N(对接源_02物料!$B926)&lt;$K$2,N(对接源_02物料!$B926)&gt;$K$3),0,1))</f>
        <v>0</v>
      </c>
      <c r="L2126">
        <f>IF(OR($L$1="",对接源_02物料!$C926="",对接源_02物料!$C926&lt;&gt;$L$1,对接源_02物料!$B926=""),0,IF(OR(N(对接源_02物料!$B926)&lt;$L$2,N(对接源_02物料!$B926)&gt;$L$3),0,1))</f>
        <v>0</v>
      </c>
      <c r="M2126">
        <f>IF(OR($M$1="",对接源_02物料!$C926="",对接源_02物料!$C926&lt;&gt;$M$1,对接源_02物料!$B926=""),0,IF(OR(N(对接源_02物料!$B926)&lt;$M$2,N(对接源_02物料!$B926)&gt;$M$3),0,1))</f>
        <v>0</v>
      </c>
      <c r="N2126">
        <f>IF(OR($N$1="",对接源_02物料!$C926="",对接源_02物料!$C926&lt;&gt;$N$1,对接源_02物料!$B926=""),0,IF(OR(N(对接源_02物料!$B926)&lt;$N$2,N(对接源_02物料!$B926)&gt;$N$3),0,1))</f>
        <v>0</v>
      </c>
      <c r="P2126">
        <f>IF(AND($K2126=1,AND(对接源_02物料!$X926="公司筐",N(对接源_02物料!$T926)&lt;&gt;0)),1,0)</f>
        <v>0</v>
      </c>
      <c r="Q2126">
        <f>N(Q2125)+$P2126</f>
        <v>14</v>
      </c>
      <c r="R2126">
        <f>IF(AND($K2126=1,AND(对接源_02物料!$X926="公司筐",N(对接源_02物料!$U926)&lt;&gt;0)),1,0)</f>
        <v>0</v>
      </c>
      <c r="S2126">
        <f>N(S2125)+$R2126</f>
        <v>1</v>
      </c>
      <c r="T2126">
        <f>IF(AND($K2126=1,AND(对接源_02物料!$X926="公司筐",N(对接源_02物料!$V926)&lt;&gt;0)),1,0)</f>
        <v>0</v>
      </c>
      <c r="U2126">
        <f>N(U2125)+$T2126</f>
        <v>47</v>
      </c>
      <c r="V2126">
        <f>IF(AND($L2126=1,AND(对接源_02物料!$X926="自备筐",N(对接源_02物料!$V926)&lt;&gt;0)),1,0)</f>
        <v>0</v>
      </c>
      <c r="W2126">
        <f>N(W2125)+$V2126</f>
        <v>11</v>
      </c>
      <c r="X2126">
        <f>IF(AND($L2126=1,AND(对接源_02物料!$X926="自备筐",N(对接源_02物料!$T926)&lt;&gt;0)),1,0)</f>
        <v>0</v>
      </c>
      <c r="Y2126">
        <f>N(Y2125)+$X2126</f>
        <v>0</v>
      </c>
      <c r="Z2126">
        <f>IF(AND($M2126=1,对接源_02物料!$D926="原料入库"),1,0)</f>
        <v>0</v>
      </c>
      <c r="AA2126">
        <f>N(AA2125)+$Z2126</f>
        <v>24</v>
      </c>
      <c r="AB2126">
        <f>IF(AND($M2126=1,LEFT(对接源_02物料!$D926,4)="原料出库"),1,0)</f>
        <v>0</v>
      </c>
      <c r="AC2126">
        <f>N(AC2125)+$AB2126</f>
        <v>0</v>
      </c>
      <c r="AD2126">
        <f>IF(AND($M2126=1,LEFT(对接源_02物料!$D926,4)="成品出库"),1,0)</f>
        <v>0</v>
      </c>
      <c r="AE2126">
        <f>N(AE2125)+$AD2126</f>
        <v>0</v>
      </c>
      <c r="AF2126">
        <f>IF(AND($N2126=1,AND(LEFT(对接源_02物料!$D926,4)="包装物料",N(对接源_02物料!$K926)&lt;&gt;0)),1,0)</f>
        <v>0</v>
      </c>
      <c r="AG2126">
        <f>N(AG2125)+$AF2126</f>
        <v>10</v>
      </c>
      <c r="AH2126">
        <f>IF(AND($N2126=1,AND(对接源_02物料!$D926="周转筐－销售出库",N(对接源_02物料!$K926)&lt;&gt;0)),1,0)</f>
        <v>0</v>
      </c>
      <c r="AI2126">
        <f>N(AI2125)+$AH2126</f>
        <v>0</v>
      </c>
      <c r="AL2126" t="n">
        <v>0</v>
      </c>
      <c r="AM2126">
        <f>N(AM2125)+$AL2126</f>
        <v>2</v>
      </c>
      <c r="AN2126">
        <f>""</f>
      </c>
      <c r="AO2126" t="n">
        <v>0</v>
      </c>
      <c r="AP2126">
        <f>N(AP2125)+$AO2126</f>
        <v>13</v>
      </c>
      <c r="AR2126">
        <f>IF(OR($AF2126=1,$AH2126=1),1,0)</f>
        <v>0</v>
      </c>
      <c r="AS2126">
        <f>N(AS2125)+$AR2126</f>
        <v>10</v>
      </c>
    </row>
    <row r="2127" s="127">
      <c r="A2127">
        <f>IF(对接源_02物料!$C927="","",对接源_02物料!$C927)</f>
      </c>
      <c r="B2127">
        <f>IF(A2127="",0,IF(MATCH(A2127,$A$4:$A$2403,0)=ROW()-3,1,0))</f>
        <v>0</v>
      </c>
      <c r="C2127">
        <f>N(C2126)+B2127</f>
        <v>26</v>
      </c>
      <c r="K2127">
        <f>IF(OR($K$1="",对接源_02物料!$C927="",对接源_02物料!$C927&lt;&gt;$K$1,对接源_02物料!$B927=""),0,IF(OR(N(对接源_02物料!$B927)&lt;$K$2,N(对接源_02物料!$B927)&gt;$K$3),0,1))</f>
        <v>0</v>
      </c>
      <c r="L2127">
        <f>IF(OR($L$1="",对接源_02物料!$C927="",对接源_02物料!$C927&lt;&gt;$L$1,对接源_02物料!$B927=""),0,IF(OR(N(对接源_02物料!$B927)&lt;$L$2,N(对接源_02物料!$B927)&gt;$L$3),0,1))</f>
        <v>0</v>
      </c>
      <c r="M2127">
        <f>IF(OR($M$1="",对接源_02物料!$C927="",对接源_02物料!$C927&lt;&gt;$M$1,对接源_02物料!$B927=""),0,IF(OR(N(对接源_02物料!$B927)&lt;$M$2,N(对接源_02物料!$B927)&gt;$M$3),0,1))</f>
        <v>0</v>
      </c>
      <c r="N2127">
        <f>IF(OR($N$1="",对接源_02物料!$C927="",对接源_02物料!$C927&lt;&gt;$N$1,对接源_02物料!$B927=""),0,IF(OR(N(对接源_02物料!$B927)&lt;$N$2,N(对接源_02物料!$B927)&gt;$N$3),0,1))</f>
        <v>0</v>
      </c>
      <c r="P2127">
        <f>IF(AND($K2127=1,AND(对接源_02物料!$X927="公司筐",N(对接源_02物料!$T927)&lt;&gt;0)),1,0)</f>
        <v>0</v>
      </c>
      <c r="Q2127">
        <f>N(Q2126)+$P2127</f>
        <v>14</v>
      </c>
      <c r="R2127">
        <f>IF(AND($K2127=1,AND(对接源_02物料!$X927="公司筐",N(对接源_02物料!$U927)&lt;&gt;0)),1,0)</f>
        <v>0</v>
      </c>
      <c r="S2127">
        <f>N(S2126)+$R2127</f>
        <v>1</v>
      </c>
      <c r="T2127">
        <f>IF(AND($K2127=1,AND(对接源_02物料!$X927="公司筐",N(对接源_02物料!$V927)&lt;&gt;0)),1,0)</f>
        <v>0</v>
      </c>
      <c r="U2127">
        <f>N(U2126)+$T2127</f>
        <v>47</v>
      </c>
      <c r="V2127">
        <f>IF(AND($L2127=1,AND(对接源_02物料!$X927="自备筐",N(对接源_02物料!$V927)&lt;&gt;0)),1,0)</f>
        <v>0</v>
      </c>
      <c r="W2127">
        <f>N(W2126)+$V2127</f>
        <v>11</v>
      </c>
      <c r="X2127">
        <f>IF(AND($L2127=1,AND(对接源_02物料!$X927="自备筐",N(对接源_02物料!$T927)&lt;&gt;0)),1,0)</f>
        <v>0</v>
      </c>
      <c r="Y2127">
        <f>N(Y2126)+$X2127</f>
        <v>0</v>
      </c>
      <c r="Z2127">
        <f>IF(AND($M2127=1,对接源_02物料!$D927="原料入库"),1,0)</f>
        <v>0</v>
      </c>
      <c r="AA2127">
        <f>N(AA2126)+$Z2127</f>
        <v>24</v>
      </c>
      <c r="AB2127">
        <f>IF(AND($M2127=1,LEFT(对接源_02物料!$D927,4)="原料出库"),1,0)</f>
        <v>0</v>
      </c>
      <c r="AC2127">
        <f>N(AC2126)+$AB2127</f>
        <v>0</v>
      </c>
      <c r="AD2127">
        <f>IF(AND($M2127=1,LEFT(对接源_02物料!$D927,4)="成品出库"),1,0)</f>
        <v>0</v>
      </c>
      <c r="AE2127">
        <f>N(AE2126)+$AD2127</f>
        <v>0</v>
      </c>
      <c r="AF2127">
        <f>IF(AND($N2127=1,AND(LEFT(对接源_02物料!$D927,4)="包装物料",N(对接源_02物料!$K927)&lt;&gt;0)),1,0)</f>
        <v>0</v>
      </c>
      <c r="AG2127">
        <f>N(AG2126)+$AF2127</f>
        <v>10</v>
      </c>
      <c r="AH2127">
        <f>IF(AND($N2127=1,AND(对接源_02物料!$D927="周转筐－销售出库",N(对接源_02物料!$K927)&lt;&gt;0)),1,0)</f>
        <v>0</v>
      </c>
      <c r="AI2127">
        <f>N(AI2126)+$AH2127</f>
        <v>0</v>
      </c>
      <c r="AL2127" t="n">
        <v>0</v>
      </c>
      <c r="AM2127">
        <f>N(AM2126)+$AL2127</f>
        <v>2</v>
      </c>
      <c r="AN2127">
        <f>""</f>
      </c>
      <c r="AO2127" t="n">
        <v>0</v>
      </c>
      <c r="AP2127">
        <f>N(AP2126)+$AO2127</f>
        <v>13</v>
      </c>
      <c r="AR2127">
        <f>IF(OR($AF2127=1,$AH2127=1),1,0)</f>
        <v>0</v>
      </c>
      <c r="AS2127">
        <f>N(AS2126)+$AR2127</f>
        <v>10</v>
      </c>
    </row>
    <row r="2128" s="127">
      <c r="A2128">
        <f>IF(对接源_02物料!$C928="","",对接源_02物料!$C928)</f>
      </c>
      <c r="B2128">
        <f>IF(A2128="",0,IF(MATCH(A2128,$A$4:$A$2403,0)=ROW()-3,1,0))</f>
        <v>0</v>
      </c>
      <c r="C2128">
        <f>N(C2127)+B2128</f>
        <v>26</v>
      </c>
      <c r="K2128">
        <f>IF(OR($K$1="",对接源_02物料!$C928="",对接源_02物料!$C928&lt;&gt;$K$1,对接源_02物料!$B928=""),0,IF(OR(N(对接源_02物料!$B928)&lt;$K$2,N(对接源_02物料!$B928)&gt;$K$3),0,1))</f>
        <v>0</v>
      </c>
      <c r="L2128">
        <f>IF(OR($L$1="",对接源_02物料!$C928="",对接源_02物料!$C928&lt;&gt;$L$1,对接源_02物料!$B928=""),0,IF(OR(N(对接源_02物料!$B928)&lt;$L$2,N(对接源_02物料!$B928)&gt;$L$3),0,1))</f>
        <v>0</v>
      </c>
      <c r="M2128">
        <f>IF(OR($M$1="",对接源_02物料!$C928="",对接源_02物料!$C928&lt;&gt;$M$1,对接源_02物料!$B928=""),0,IF(OR(N(对接源_02物料!$B928)&lt;$M$2,N(对接源_02物料!$B928)&gt;$M$3),0,1))</f>
        <v>0</v>
      </c>
      <c r="N2128">
        <f>IF(OR($N$1="",对接源_02物料!$C928="",对接源_02物料!$C928&lt;&gt;$N$1,对接源_02物料!$B928=""),0,IF(OR(N(对接源_02物料!$B928)&lt;$N$2,N(对接源_02物料!$B928)&gt;$N$3),0,1))</f>
        <v>0</v>
      </c>
      <c r="P2128">
        <f>IF(AND($K2128=1,AND(对接源_02物料!$X928="公司筐",N(对接源_02物料!$T928)&lt;&gt;0)),1,0)</f>
        <v>0</v>
      </c>
      <c r="Q2128">
        <f>N(Q2127)+$P2128</f>
        <v>14</v>
      </c>
      <c r="R2128">
        <f>IF(AND($K2128=1,AND(对接源_02物料!$X928="公司筐",N(对接源_02物料!$U928)&lt;&gt;0)),1,0)</f>
        <v>0</v>
      </c>
      <c r="S2128">
        <f>N(S2127)+$R2128</f>
        <v>1</v>
      </c>
      <c r="T2128">
        <f>IF(AND($K2128=1,AND(对接源_02物料!$X928="公司筐",N(对接源_02物料!$V928)&lt;&gt;0)),1,0)</f>
        <v>0</v>
      </c>
      <c r="U2128">
        <f>N(U2127)+$T2128</f>
        <v>47</v>
      </c>
      <c r="V2128">
        <f>IF(AND($L2128=1,AND(对接源_02物料!$X928="自备筐",N(对接源_02物料!$V928)&lt;&gt;0)),1,0)</f>
        <v>0</v>
      </c>
      <c r="W2128">
        <f>N(W2127)+$V2128</f>
        <v>11</v>
      </c>
      <c r="X2128">
        <f>IF(AND($L2128=1,AND(对接源_02物料!$X928="自备筐",N(对接源_02物料!$T928)&lt;&gt;0)),1,0)</f>
        <v>0</v>
      </c>
      <c r="Y2128">
        <f>N(Y2127)+$X2128</f>
        <v>0</v>
      </c>
      <c r="Z2128">
        <f>IF(AND($M2128=1,对接源_02物料!$D928="原料入库"),1,0)</f>
        <v>0</v>
      </c>
      <c r="AA2128">
        <f>N(AA2127)+$Z2128</f>
        <v>24</v>
      </c>
      <c r="AB2128">
        <f>IF(AND($M2128=1,LEFT(对接源_02物料!$D928,4)="原料出库"),1,0)</f>
        <v>0</v>
      </c>
      <c r="AC2128">
        <f>N(AC2127)+$AB2128</f>
        <v>0</v>
      </c>
      <c r="AD2128">
        <f>IF(AND($M2128=1,LEFT(对接源_02物料!$D928,4)="成品出库"),1,0)</f>
        <v>0</v>
      </c>
      <c r="AE2128">
        <f>N(AE2127)+$AD2128</f>
        <v>0</v>
      </c>
      <c r="AF2128">
        <f>IF(AND($N2128=1,AND(LEFT(对接源_02物料!$D928,4)="包装物料",N(对接源_02物料!$K928)&lt;&gt;0)),1,0)</f>
        <v>0</v>
      </c>
      <c r="AG2128">
        <f>N(AG2127)+$AF2128</f>
        <v>10</v>
      </c>
      <c r="AH2128">
        <f>IF(AND($N2128=1,AND(对接源_02物料!$D928="周转筐－销售出库",N(对接源_02物料!$K928)&lt;&gt;0)),1,0)</f>
        <v>0</v>
      </c>
      <c r="AI2128">
        <f>N(AI2127)+$AH2128</f>
        <v>0</v>
      </c>
      <c r="AL2128" t="n">
        <v>0</v>
      </c>
      <c r="AM2128">
        <f>N(AM2127)+$AL2128</f>
        <v>2</v>
      </c>
      <c r="AN2128">
        <f>""</f>
      </c>
      <c r="AO2128" t="n">
        <v>0</v>
      </c>
      <c r="AP2128">
        <f>N(AP2127)+$AO2128</f>
        <v>13</v>
      </c>
      <c r="AR2128">
        <f>IF(OR($AF2128=1,$AH2128=1),1,0)</f>
        <v>0</v>
      </c>
      <c r="AS2128">
        <f>N(AS2127)+$AR2128</f>
        <v>10</v>
      </c>
    </row>
    <row r="2129" s="127">
      <c r="A2129">
        <f>IF(对接源_02物料!$C929="","",对接源_02物料!$C929)</f>
      </c>
      <c r="B2129">
        <f>IF(A2129="",0,IF(MATCH(A2129,$A$4:$A$2403,0)=ROW()-3,1,0))</f>
        <v>0</v>
      </c>
      <c r="C2129">
        <f>N(C2128)+B2129</f>
        <v>26</v>
      </c>
      <c r="K2129">
        <f>IF(OR($K$1="",对接源_02物料!$C929="",对接源_02物料!$C929&lt;&gt;$K$1,对接源_02物料!$B929=""),0,IF(OR(N(对接源_02物料!$B929)&lt;$K$2,N(对接源_02物料!$B929)&gt;$K$3),0,1))</f>
        <v>0</v>
      </c>
      <c r="L2129">
        <f>IF(OR($L$1="",对接源_02物料!$C929="",对接源_02物料!$C929&lt;&gt;$L$1,对接源_02物料!$B929=""),0,IF(OR(N(对接源_02物料!$B929)&lt;$L$2,N(对接源_02物料!$B929)&gt;$L$3),0,1))</f>
        <v>0</v>
      </c>
      <c r="M2129">
        <f>IF(OR($M$1="",对接源_02物料!$C929="",对接源_02物料!$C929&lt;&gt;$M$1,对接源_02物料!$B929=""),0,IF(OR(N(对接源_02物料!$B929)&lt;$M$2,N(对接源_02物料!$B929)&gt;$M$3),0,1))</f>
        <v>0</v>
      </c>
      <c r="N2129">
        <f>IF(OR($N$1="",对接源_02物料!$C929="",对接源_02物料!$C929&lt;&gt;$N$1,对接源_02物料!$B929=""),0,IF(OR(N(对接源_02物料!$B929)&lt;$N$2,N(对接源_02物料!$B929)&gt;$N$3),0,1))</f>
        <v>0</v>
      </c>
      <c r="P2129">
        <f>IF(AND($K2129=1,AND(对接源_02物料!$X929="公司筐",N(对接源_02物料!$T929)&lt;&gt;0)),1,0)</f>
        <v>0</v>
      </c>
      <c r="Q2129">
        <f>N(Q2128)+$P2129</f>
        <v>14</v>
      </c>
      <c r="R2129">
        <f>IF(AND($K2129=1,AND(对接源_02物料!$X929="公司筐",N(对接源_02物料!$U929)&lt;&gt;0)),1,0)</f>
        <v>0</v>
      </c>
      <c r="S2129">
        <f>N(S2128)+$R2129</f>
        <v>1</v>
      </c>
      <c r="T2129">
        <f>IF(AND($K2129=1,AND(对接源_02物料!$X929="公司筐",N(对接源_02物料!$V929)&lt;&gt;0)),1,0)</f>
        <v>0</v>
      </c>
      <c r="U2129">
        <f>N(U2128)+$T2129</f>
        <v>47</v>
      </c>
      <c r="V2129">
        <f>IF(AND($L2129=1,AND(对接源_02物料!$X929="自备筐",N(对接源_02物料!$V929)&lt;&gt;0)),1,0)</f>
        <v>0</v>
      </c>
      <c r="W2129">
        <f>N(W2128)+$V2129</f>
        <v>11</v>
      </c>
      <c r="X2129">
        <f>IF(AND($L2129=1,AND(对接源_02物料!$X929="自备筐",N(对接源_02物料!$T929)&lt;&gt;0)),1,0)</f>
        <v>0</v>
      </c>
      <c r="Y2129">
        <f>N(Y2128)+$X2129</f>
        <v>0</v>
      </c>
      <c r="Z2129">
        <f>IF(AND($M2129=1,对接源_02物料!$D929="原料入库"),1,0)</f>
        <v>0</v>
      </c>
      <c r="AA2129">
        <f>N(AA2128)+$Z2129</f>
        <v>24</v>
      </c>
      <c r="AB2129">
        <f>IF(AND($M2129=1,LEFT(对接源_02物料!$D929,4)="原料出库"),1,0)</f>
        <v>0</v>
      </c>
      <c r="AC2129">
        <f>N(AC2128)+$AB2129</f>
        <v>0</v>
      </c>
      <c r="AD2129">
        <f>IF(AND($M2129=1,LEFT(对接源_02物料!$D929,4)="成品出库"),1,0)</f>
        <v>0</v>
      </c>
      <c r="AE2129">
        <f>N(AE2128)+$AD2129</f>
        <v>0</v>
      </c>
      <c r="AF2129">
        <f>IF(AND($N2129=1,AND(LEFT(对接源_02物料!$D929,4)="包装物料",N(对接源_02物料!$K929)&lt;&gt;0)),1,0)</f>
        <v>0</v>
      </c>
      <c r="AG2129">
        <f>N(AG2128)+$AF2129</f>
        <v>10</v>
      </c>
      <c r="AH2129">
        <f>IF(AND($N2129=1,AND(对接源_02物料!$D929="周转筐－销售出库",N(对接源_02物料!$K929)&lt;&gt;0)),1,0)</f>
        <v>0</v>
      </c>
      <c r="AI2129">
        <f>N(AI2128)+$AH2129</f>
        <v>0</v>
      </c>
      <c r="AL2129" t="n">
        <v>0</v>
      </c>
      <c r="AM2129">
        <f>N(AM2128)+$AL2129</f>
        <v>2</v>
      </c>
      <c r="AN2129">
        <f>""</f>
      </c>
      <c r="AO2129" t="n">
        <v>0</v>
      </c>
      <c r="AP2129">
        <f>N(AP2128)+$AO2129</f>
        <v>13</v>
      </c>
      <c r="AR2129">
        <f>IF(OR($AF2129=1,$AH2129=1),1,0)</f>
        <v>0</v>
      </c>
      <c r="AS2129">
        <f>N(AS2128)+$AR2129</f>
        <v>10</v>
      </c>
    </row>
    <row r="2130" s="127">
      <c r="A2130">
        <f>IF(对接源_02物料!$C930="","",对接源_02物料!$C930)</f>
      </c>
      <c r="B2130">
        <f>IF(A2130="",0,IF(MATCH(A2130,$A$4:$A$2403,0)=ROW()-3,1,0))</f>
        <v>0</v>
      </c>
      <c r="C2130">
        <f>N(C2129)+B2130</f>
        <v>26</v>
      </c>
      <c r="K2130">
        <f>IF(OR($K$1="",对接源_02物料!$C930="",对接源_02物料!$C930&lt;&gt;$K$1,对接源_02物料!$B930=""),0,IF(OR(N(对接源_02物料!$B930)&lt;$K$2,N(对接源_02物料!$B930)&gt;$K$3),0,1))</f>
        <v>0</v>
      </c>
      <c r="L2130">
        <f>IF(OR($L$1="",对接源_02物料!$C930="",对接源_02物料!$C930&lt;&gt;$L$1,对接源_02物料!$B930=""),0,IF(OR(N(对接源_02物料!$B930)&lt;$L$2,N(对接源_02物料!$B930)&gt;$L$3),0,1))</f>
        <v>0</v>
      </c>
      <c r="M2130">
        <f>IF(OR($M$1="",对接源_02物料!$C930="",对接源_02物料!$C930&lt;&gt;$M$1,对接源_02物料!$B930=""),0,IF(OR(N(对接源_02物料!$B930)&lt;$M$2,N(对接源_02物料!$B930)&gt;$M$3),0,1))</f>
        <v>0</v>
      </c>
      <c r="N2130">
        <f>IF(OR($N$1="",对接源_02物料!$C930="",对接源_02物料!$C930&lt;&gt;$N$1,对接源_02物料!$B930=""),0,IF(OR(N(对接源_02物料!$B930)&lt;$N$2,N(对接源_02物料!$B930)&gt;$N$3),0,1))</f>
        <v>0</v>
      </c>
      <c r="P2130">
        <f>IF(AND($K2130=1,AND(对接源_02物料!$X930="公司筐",N(对接源_02物料!$T930)&lt;&gt;0)),1,0)</f>
        <v>0</v>
      </c>
      <c r="Q2130">
        <f>N(Q2129)+$P2130</f>
        <v>14</v>
      </c>
      <c r="R2130">
        <f>IF(AND($K2130=1,AND(对接源_02物料!$X930="公司筐",N(对接源_02物料!$U930)&lt;&gt;0)),1,0)</f>
        <v>0</v>
      </c>
      <c r="S2130">
        <f>N(S2129)+$R2130</f>
        <v>1</v>
      </c>
      <c r="T2130">
        <f>IF(AND($K2130=1,AND(对接源_02物料!$X930="公司筐",N(对接源_02物料!$V930)&lt;&gt;0)),1,0)</f>
        <v>0</v>
      </c>
      <c r="U2130">
        <f>N(U2129)+$T2130</f>
        <v>47</v>
      </c>
      <c r="V2130">
        <f>IF(AND($L2130=1,AND(对接源_02物料!$X930="自备筐",N(对接源_02物料!$V930)&lt;&gt;0)),1,0)</f>
        <v>0</v>
      </c>
      <c r="W2130">
        <f>N(W2129)+$V2130</f>
        <v>11</v>
      </c>
      <c r="X2130">
        <f>IF(AND($L2130=1,AND(对接源_02物料!$X930="自备筐",N(对接源_02物料!$T930)&lt;&gt;0)),1,0)</f>
        <v>0</v>
      </c>
      <c r="Y2130">
        <f>N(Y2129)+$X2130</f>
        <v>0</v>
      </c>
      <c r="Z2130">
        <f>IF(AND($M2130=1,对接源_02物料!$D930="原料入库"),1,0)</f>
        <v>0</v>
      </c>
      <c r="AA2130">
        <f>N(AA2129)+$Z2130</f>
        <v>24</v>
      </c>
      <c r="AB2130">
        <f>IF(AND($M2130=1,LEFT(对接源_02物料!$D930,4)="原料出库"),1,0)</f>
        <v>0</v>
      </c>
      <c r="AC2130">
        <f>N(AC2129)+$AB2130</f>
        <v>0</v>
      </c>
      <c r="AD2130">
        <f>IF(AND($M2130=1,LEFT(对接源_02物料!$D930,4)="成品出库"),1,0)</f>
        <v>0</v>
      </c>
      <c r="AE2130">
        <f>N(AE2129)+$AD2130</f>
        <v>0</v>
      </c>
      <c r="AF2130">
        <f>IF(AND($N2130=1,AND(LEFT(对接源_02物料!$D930,4)="包装物料",N(对接源_02物料!$K930)&lt;&gt;0)),1,0)</f>
        <v>0</v>
      </c>
      <c r="AG2130">
        <f>N(AG2129)+$AF2130</f>
        <v>10</v>
      </c>
      <c r="AH2130">
        <f>IF(AND($N2130=1,AND(对接源_02物料!$D930="周转筐－销售出库",N(对接源_02物料!$K930)&lt;&gt;0)),1,0)</f>
        <v>0</v>
      </c>
      <c r="AI2130">
        <f>N(AI2129)+$AH2130</f>
        <v>0</v>
      </c>
      <c r="AL2130" t="n">
        <v>0</v>
      </c>
      <c r="AM2130">
        <f>N(AM2129)+$AL2130</f>
        <v>2</v>
      </c>
      <c r="AN2130">
        <f>""</f>
      </c>
      <c r="AO2130" t="n">
        <v>0</v>
      </c>
      <c r="AP2130">
        <f>N(AP2129)+$AO2130</f>
        <v>13</v>
      </c>
      <c r="AR2130">
        <f>IF(OR($AF2130=1,$AH2130=1),1,0)</f>
        <v>0</v>
      </c>
      <c r="AS2130">
        <f>N(AS2129)+$AR2130</f>
        <v>10</v>
      </c>
    </row>
    <row r="2131" s="127">
      <c r="A2131">
        <f>IF(对接源_02物料!$C931="","",对接源_02物料!$C931)</f>
      </c>
      <c r="B2131">
        <f>IF(A2131="",0,IF(MATCH(A2131,$A$4:$A$2403,0)=ROW()-3,1,0))</f>
        <v>0</v>
      </c>
      <c r="C2131">
        <f>N(C2130)+B2131</f>
        <v>26</v>
      </c>
      <c r="K2131">
        <f>IF(OR($K$1="",对接源_02物料!$C931="",对接源_02物料!$C931&lt;&gt;$K$1,对接源_02物料!$B931=""),0,IF(OR(N(对接源_02物料!$B931)&lt;$K$2,N(对接源_02物料!$B931)&gt;$K$3),0,1))</f>
        <v>0</v>
      </c>
      <c r="L2131">
        <f>IF(OR($L$1="",对接源_02物料!$C931="",对接源_02物料!$C931&lt;&gt;$L$1,对接源_02物料!$B931=""),0,IF(OR(N(对接源_02物料!$B931)&lt;$L$2,N(对接源_02物料!$B931)&gt;$L$3),0,1))</f>
        <v>0</v>
      </c>
      <c r="M2131">
        <f>IF(OR($M$1="",对接源_02物料!$C931="",对接源_02物料!$C931&lt;&gt;$M$1,对接源_02物料!$B931=""),0,IF(OR(N(对接源_02物料!$B931)&lt;$M$2,N(对接源_02物料!$B931)&gt;$M$3),0,1))</f>
        <v>0</v>
      </c>
      <c r="N2131">
        <f>IF(OR($N$1="",对接源_02物料!$C931="",对接源_02物料!$C931&lt;&gt;$N$1,对接源_02物料!$B931=""),0,IF(OR(N(对接源_02物料!$B931)&lt;$N$2,N(对接源_02物料!$B931)&gt;$N$3),0,1))</f>
        <v>0</v>
      </c>
      <c r="P2131">
        <f>IF(AND($K2131=1,AND(对接源_02物料!$X931="公司筐",N(对接源_02物料!$T931)&lt;&gt;0)),1,0)</f>
        <v>0</v>
      </c>
      <c r="Q2131">
        <f>N(Q2130)+$P2131</f>
        <v>14</v>
      </c>
      <c r="R2131">
        <f>IF(AND($K2131=1,AND(对接源_02物料!$X931="公司筐",N(对接源_02物料!$U931)&lt;&gt;0)),1,0)</f>
        <v>0</v>
      </c>
      <c r="S2131">
        <f>N(S2130)+$R2131</f>
        <v>1</v>
      </c>
      <c r="T2131">
        <f>IF(AND($K2131=1,AND(对接源_02物料!$X931="公司筐",N(对接源_02物料!$V931)&lt;&gt;0)),1,0)</f>
        <v>0</v>
      </c>
      <c r="U2131">
        <f>N(U2130)+$T2131</f>
        <v>47</v>
      </c>
      <c r="V2131">
        <f>IF(AND($L2131=1,AND(对接源_02物料!$X931="自备筐",N(对接源_02物料!$V931)&lt;&gt;0)),1,0)</f>
        <v>0</v>
      </c>
      <c r="W2131">
        <f>N(W2130)+$V2131</f>
        <v>11</v>
      </c>
      <c r="X2131">
        <f>IF(AND($L2131=1,AND(对接源_02物料!$X931="自备筐",N(对接源_02物料!$T931)&lt;&gt;0)),1,0)</f>
        <v>0</v>
      </c>
      <c r="Y2131">
        <f>N(Y2130)+$X2131</f>
        <v>0</v>
      </c>
      <c r="Z2131">
        <f>IF(AND($M2131=1,对接源_02物料!$D931="原料入库"),1,0)</f>
        <v>0</v>
      </c>
      <c r="AA2131">
        <f>N(AA2130)+$Z2131</f>
        <v>24</v>
      </c>
      <c r="AB2131">
        <f>IF(AND($M2131=1,LEFT(对接源_02物料!$D931,4)="原料出库"),1,0)</f>
        <v>0</v>
      </c>
      <c r="AC2131">
        <f>N(AC2130)+$AB2131</f>
        <v>0</v>
      </c>
      <c r="AD2131">
        <f>IF(AND($M2131=1,LEFT(对接源_02物料!$D931,4)="成品出库"),1,0)</f>
        <v>0</v>
      </c>
      <c r="AE2131">
        <f>N(AE2130)+$AD2131</f>
        <v>0</v>
      </c>
      <c r="AF2131">
        <f>IF(AND($N2131=1,AND(LEFT(对接源_02物料!$D931,4)="包装物料",N(对接源_02物料!$K931)&lt;&gt;0)),1,0)</f>
        <v>0</v>
      </c>
      <c r="AG2131">
        <f>N(AG2130)+$AF2131</f>
        <v>10</v>
      </c>
      <c r="AH2131">
        <f>IF(AND($N2131=1,AND(对接源_02物料!$D931="周转筐－销售出库",N(对接源_02物料!$K931)&lt;&gt;0)),1,0)</f>
        <v>0</v>
      </c>
      <c r="AI2131">
        <f>N(AI2130)+$AH2131</f>
        <v>0</v>
      </c>
      <c r="AL2131" t="n">
        <v>0</v>
      </c>
      <c r="AM2131">
        <f>N(AM2130)+$AL2131</f>
        <v>2</v>
      </c>
      <c r="AN2131">
        <f>""</f>
      </c>
      <c r="AO2131" t="n">
        <v>0</v>
      </c>
      <c r="AP2131">
        <f>N(AP2130)+$AO2131</f>
        <v>13</v>
      </c>
      <c r="AR2131">
        <f>IF(OR($AF2131=1,$AH2131=1),1,0)</f>
        <v>0</v>
      </c>
      <c r="AS2131">
        <f>N(AS2130)+$AR2131</f>
        <v>10</v>
      </c>
    </row>
    <row r="2132" s="127">
      <c r="A2132">
        <f>IF(对接源_02物料!$C932="","",对接源_02物料!$C932)</f>
      </c>
      <c r="B2132">
        <f>IF(A2132="",0,IF(MATCH(A2132,$A$4:$A$2403,0)=ROW()-3,1,0))</f>
        <v>0</v>
      </c>
      <c r="C2132">
        <f>N(C2131)+B2132</f>
        <v>26</v>
      </c>
      <c r="K2132">
        <f>IF(OR($K$1="",对接源_02物料!$C932="",对接源_02物料!$C932&lt;&gt;$K$1,对接源_02物料!$B932=""),0,IF(OR(N(对接源_02物料!$B932)&lt;$K$2,N(对接源_02物料!$B932)&gt;$K$3),0,1))</f>
        <v>0</v>
      </c>
      <c r="L2132">
        <f>IF(OR($L$1="",对接源_02物料!$C932="",对接源_02物料!$C932&lt;&gt;$L$1,对接源_02物料!$B932=""),0,IF(OR(N(对接源_02物料!$B932)&lt;$L$2,N(对接源_02物料!$B932)&gt;$L$3),0,1))</f>
        <v>0</v>
      </c>
      <c r="M2132">
        <f>IF(OR($M$1="",对接源_02物料!$C932="",对接源_02物料!$C932&lt;&gt;$M$1,对接源_02物料!$B932=""),0,IF(OR(N(对接源_02物料!$B932)&lt;$M$2,N(对接源_02物料!$B932)&gt;$M$3),0,1))</f>
        <v>0</v>
      </c>
      <c r="N2132">
        <f>IF(OR($N$1="",对接源_02物料!$C932="",对接源_02物料!$C932&lt;&gt;$N$1,对接源_02物料!$B932=""),0,IF(OR(N(对接源_02物料!$B932)&lt;$N$2,N(对接源_02物料!$B932)&gt;$N$3),0,1))</f>
        <v>0</v>
      </c>
      <c r="P2132">
        <f>IF(AND($K2132=1,AND(对接源_02物料!$X932="公司筐",N(对接源_02物料!$T932)&lt;&gt;0)),1,0)</f>
        <v>0</v>
      </c>
      <c r="Q2132">
        <f>N(Q2131)+$P2132</f>
        <v>14</v>
      </c>
      <c r="R2132">
        <f>IF(AND($K2132=1,AND(对接源_02物料!$X932="公司筐",N(对接源_02物料!$U932)&lt;&gt;0)),1,0)</f>
        <v>0</v>
      </c>
      <c r="S2132">
        <f>N(S2131)+$R2132</f>
        <v>1</v>
      </c>
      <c r="T2132">
        <f>IF(AND($K2132=1,AND(对接源_02物料!$X932="公司筐",N(对接源_02物料!$V932)&lt;&gt;0)),1,0)</f>
        <v>0</v>
      </c>
      <c r="U2132">
        <f>N(U2131)+$T2132</f>
        <v>47</v>
      </c>
      <c r="V2132">
        <f>IF(AND($L2132=1,AND(对接源_02物料!$X932="自备筐",N(对接源_02物料!$V932)&lt;&gt;0)),1,0)</f>
        <v>0</v>
      </c>
      <c r="W2132">
        <f>N(W2131)+$V2132</f>
        <v>11</v>
      </c>
      <c r="X2132">
        <f>IF(AND($L2132=1,AND(对接源_02物料!$X932="自备筐",N(对接源_02物料!$T932)&lt;&gt;0)),1,0)</f>
        <v>0</v>
      </c>
      <c r="Y2132">
        <f>N(Y2131)+$X2132</f>
        <v>0</v>
      </c>
      <c r="Z2132">
        <f>IF(AND($M2132=1,对接源_02物料!$D932="原料入库"),1,0)</f>
        <v>0</v>
      </c>
      <c r="AA2132">
        <f>N(AA2131)+$Z2132</f>
        <v>24</v>
      </c>
      <c r="AB2132">
        <f>IF(AND($M2132=1,LEFT(对接源_02物料!$D932,4)="原料出库"),1,0)</f>
        <v>0</v>
      </c>
      <c r="AC2132">
        <f>N(AC2131)+$AB2132</f>
        <v>0</v>
      </c>
      <c r="AD2132">
        <f>IF(AND($M2132=1,LEFT(对接源_02物料!$D932,4)="成品出库"),1,0)</f>
        <v>0</v>
      </c>
      <c r="AE2132">
        <f>N(AE2131)+$AD2132</f>
        <v>0</v>
      </c>
      <c r="AF2132">
        <f>IF(AND($N2132=1,AND(LEFT(对接源_02物料!$D932,4)="包装物料",N(对接源_02物料!$K932)&lt;&gt;0)),1,0)</f>
        <v>0</v>
      </c>
      <c r="AG2132">
        <f>N(AG2131)+$AF2132</f>
        <v>10</v>
      </c>
      <c r="AH2132">
        <f>IF(AND($N2132=1,AND(对接源_02物料!$D932="周转筐－销售出库",N(对接源_02物料!$K932)&lt;&gt;0)),1,0)</f>
        <v>0</v>
      </c>
      <c r="AI2132">
        <f>N(AI2131)+$AH2132</f>
        <v>0</v>
      </c>
      <c r="AL2132" t="n">
        <v>0</v>
      </c>
      <c r="AM2132">
        <f>N(AM2131)+$AL2132</f>
        <v>2</v>
      </c>
      <c r="AN2132">
        <f>""</f>
      </c>
      <c r="AO2132" t="n">
        <v>0</v>
      </c>
      <c r="AP2132">
        <f>N(AP2131)+$AO2132</f>
        <v>13</v>
      </c>
      <c r="AR2132">
        <f>IF(OR($AF2132=1,$AH2132=1),1,0)</f>
        <v>0</v>
      </c>
      <c r="AS2132">
        <f>N(AS2131)+$AR2132</f>
        <v>10</v>
      </c>
    </row>
    <row r="2133" s="127">
      <c r="A2133">
        <f>IF(对接源_02物料!$C933="","",对接源_02物料!$C933)</f>
      </c>
      <c r="B2133">
        <f>IF(A2133="",0,IF(MATCH(A2133,$A$4:$A$2403,0)=ROW()-3,1,0))</f>
        <v>0</v>
      </c>
      <c r="C2133">
        <f>N(C2132)+B2133</f>
        <v>26</v>
      </c>
      <c r="K2133">
        <f>IF(OR($K$1="",对接源_02物料!$C933="",对接源_02物料!$C933&lt;&gt;$K$1,对接源_02物料!$B933=""),0,IF(OR(N(对接源_02物料!$B933)&lt;$K$2,N(对接源_02物料!$B933)&gt;$K$3),0,1))</f>
        <v>0</v>
      </c>
      <c r="L2133">
        <f>IF(OR($L$1="",对接源_02物料!$C933="",对接源_02物料!$C933&lt;&gt;$L$1,对接源_02物料!$B933=""),0,IF(OR(N(对接源_02物料!$B933)&lt;$L$2,N(对接源_02物料!$B933)&gt;$L$3),0,1))</f>
        <v>0</v>
      </c>
      <c r="M2133">
        <f>IF(OR($M$1="",对接源_02物料!$C933="",对接源_02物料!$C933&lt;&gt;$M$1,对接源_02物料!$B933=""),0,IF(OR(N(对接源_02物料!$B933)&lt;$M$2,N(对接源_02物料!$B933)&gt;$M$3),0,1))</f>
        <v>0</v>
      </c>
      <c r="N2133">
        <f>IF(OR($N$1="",对接源_02物料!$C933="",对接源_02物料!$C933&lt;&gt;$N$1,对接源_02物料!$B933=""),0,IF(OR(N(对接源_02物料!$B933)&lt;$N$2,N(对接源_02物料!$B933)&gt;$N$3),0,1))</f>
        <v>0</v>
      </c>
      <c r="P2133">
        <f>IF(AND($K2133=1,AND(对接源_02物料!$X933="公司筐",N(对接源_02物料!$T933)&lt;&gt;0)),1,0)</f>
        <v>0</v>
      </c>
      <c r="Q2133">
        <f>N(Q2132)+$P2133</f>
        <v>14</v>
      </c>
      <c r="R2133">
        <f>IF(AND($K2133=1,AND(对接源_02物料!$X933="公司筐",N(对接源_02物料!$U933)&lt;&gt;0)),1,0)</f>
        <v>0</v>
      </c>
      <c r="S2133">
        <f>N(S2132)+$R2133</f>
        <v>1</v>
      </c>
      <c r="T2133">
        <f>IF(AND($K2133=1,AND(对接源_02物料!$X933="公司筐",N(对接源_02物料!$V933)&lt;&gt;0)),1,0)</f>
        <v>0</v>
      </c>
      <c r="U2133">
        <f>N(U2132)+$T2133</f>
        <v>47</v>
      </c>
      <c r="V2133">
        <f>IF(AND($L2133=1,AND(对接源_02物料!$X933="自备筐",N(对接源_02物料!$V933)&lt;&gt;0)),1,0)</f>
        <v>0</v>
      </c>
      <c r="W2133">
        <f>N(W2132)+$V2133</f>
        <v>11</v>
      </c>
      <c r="X2133">
        <f>IF(AND($L2133=1,AND(对接源_02物料!$X933="自备筐",N(对接源_02物料!$T933)&lt;&gt;0)),1,0)</f>
        <v>0</v>
      </c>
      <c r="Y2133">
        <f>N(Y2132)+$X2133</f>
        <v>0</v>
      </c>
      <c r="Z2133">
        <f>IF(AND($M2133=1,对接源_02物料!$D933="原料入库"),1,0)</f>
        <v>0</v>
      </c>
      <c r="AA2133">
        <f>N(AA2132)+$Z2133</f>
        <v>24</v>
      </c>
      <c r="AB2133">
        <f>IF(AND($M2133=1,LEFT(对接源_02物料!$D933,4)="原料出库"),1,0)</f>
        <v>0</v>
      </c>
      <c r="AC2133">
        <f>N(AC2132)+$AB2133</f>
        <v>0</v>
      </c>
      <c r="AD2133">
        <f>IF(AND($M2133=1,LEFT(对接源_02物料!$D933,4)="成品出库"),1,0)</f>
        <v>0</v>
      </c>
      <c r="AE2133">
        <f>N(AE2132)+$AD2133</f>
        <v>0</v>
      </c>
      <c r="AF2133">
        <f>IF(AND($N2133=1,AND(LEFT(对接源_02物料!$D933,4)="包装物料",N(对接源_02物料!$K933)&lt;&gt;0)),1,0)</f>
        <v>0</v>
      </c>
      <c r="AG2133">
        <f>N(AG2132)+$AF2133</f>
        <v>10</v>
      </c>
      <c r="AH2133">
        <f>IF(AND($N2133=1,AND(对接源_02物料!$D933="周转筐－销售出库",N(对接源_02物料!$K933)&lt;&gt;0)),1,0)</f>
        <v>0</v>
      </c>
      <c r="AI2133">
        <f>N(AI2132)+$AH2133</f>
        <v>0</v>
      </c>
      <c r="AL2133" t="n">
        <v>0</v>
      </c>
      <c r="AM2133">
        <f>N(AM2132)+$AL2133</f>
        <v>2</v>
      </c>
      <c r="AN2133">
        <f>""</f>
      </c>
      <c r="AO2133" t="n">
        <v>0</v>
      </c>
      <c r="AP2133">
        <f>N(AP2132)+$AO2133</f>
        <v>13</v>
      </c>
      <c r="AR2133">
        <f>IF(OR($AF2133=1,$AH2133=1),1,0)</f>
        <v>0</v>
      </c>
      <c r="AS2133">
        <f>N(AS2132)+$AR2133</f>
        <v>10</v>
      </c>
    </row>
    <row r="2134" s="127">
      <c r="A2134">
        <f>IF(对接源_02物料!$C934="","",对接源_02物料!$C934)</f>
      </c>
      <c r="B2134">
        <f>IF(A2134="",0,IF(MATCH(A2134,$A$4:$A$2403,0)=ROW()-3,1,0))</f>
        <v>0</v>
      </c>
      <c r="C2134">
        <f>N(C2133)+B2134</f>
        <v>26</v>
      </c>
      <c r="K2134">
        <f>IF(OR($K$1="",对接源_02物料!$C934="",对接源_02物料!$C934&lt;&gt;$K$1,对接源_02物料!$B934=""),0,IF(OR(N(对接源_02物料!$B934)&lt;$K$2,N(对接源_02物料!$B934)&gt;$K$3),0,1))</f>
        <v>0</v>
      </c>
      <c r="L2134">
        <f>IF(OR($L$1="",对接源_02物料!$C934="",对接源_02物料!$C934&lt;&gt;$L$1,对接源_02物料!$B934=""),0,IF(OR(N(对接源_02物料!$B934)&lt;$L$2,N(对接源_02物料!$B934)&gt;$L$3),0,1))</f>
        <v>0</v>
      </c>
      <c r="M2134">
        <f>IF(OR($M$1="",对接源_02物料!$C934="",对接源_02物料!$C934&lt;&gt;$M$1,对接源_02物料!$B934=""),0,IF(OR(N(对接源_02物料!$B934)&lt;$M$2,N(对接源_02物料!$B934)&gt;$M$3),0,1))</f>
        <v>0</v>
      </c>
      <c r="N2134">
        <f>IF(OR($N$1="",对接源_02物料!$C934="",对接源_02物料!$C934&lt;&gt;$N$1,对接源_02物料!$B934=""),0,IF(OR(N(对接源_02物料!$B934)&lt;$N$2,N(对接源_02物料!$B934)&gt;$N$3),0,1))</f>
        <v>0</v>
      </c>
      <c r="P2134">
        <f>IF(AND($K2134=1,AND(对接源_02物料!$X934="公司筐",N(对接源_02物料!$T934)&lt;&gt;0)),1,0)</f>
        <v>0</v>
      </c>
      <c r="Q2134">
        <f>N(Q2133)+$P2134</f>
        <v>14</v>
      </c>
      <c r="R2134">
        <f>IF(AND($K2134=1,AND(对接源_02物料!$X934="公司筐",N(对接源_02物料!$U934)&lt;&gt;0)),1,0)</f>
        <v>0</v>
      </c>
      <c r="S2134">
        <f>N(S2133)+$R2134</f>
        <v>1</v>
      </c>
      <c r="T2134">
        <f>IF(AND($K2134=1,AND(对接源_02物料!$X934="公司筐",N(对接源_02物料!$V934)&lt;&gt;0)),1,0)</f>
        <v>0</v>
      </c>
      <c r="U2134">
        <f>N(U2133)+$T2134</f>
        <v>47</v>
      </c>
      <c r="V2134">
        <f>IF(AND($L2134=1,AND(对接源_02物料!$X934="自备筐",N(对接源_02物料!$V934)&lt;&gt;0)),1,0)</f>
        <v>0</v>
      </c>
      <c r="W2134">
        <f>N(W2133)+$V2134</f>
        <v>11</v>
      </c>
      <c r="X2134">
        <f>IF(AND($L2134=1,AND(对接源_02物料!$X934="自备筐",N(对接源_02物料!$T934)&lt;&gt;0)),1,0)</f>
        <v>0</v>
      </c>
      <c r="Y2134">
        <f>N(Y2133)+$X2134</f>
        <v>0</v>
      </c>
      <c r="Z2134">
        <f>IF(AND($M2134=1,对接源_02物料!$D934="原料入库"),1,0)</f>
        <v>0</v>
      </c>
      <c r="AA2134">
        <f>N(AA2133)+$Z2134</f>
        <v>24</v>
      </c>
      <c r="AB2134">
        <f>IF(AND($M2134=1,LEFT(对接源_02物料!$D934,4)="原料出库"),1,0)</f>
        <v>0</v>
      </c>
      <c r="AC2134">
        <f>N(AC2133)+$AB2134</f>
        <v>0</v>
      </c>
      <c r="AD2134">
        <f>IF(AND($M2134=1,LEFT(对接源_02物料!$D934,4)="成品出库"),1,0)</f>
        <v>0</v>
      </c>
      <c r="AE2134">
        <f>N(AE2133)+$AD2134</f>
        <v>0</v>
      </c>
      <c r="AF2134">
        <f>IF(AND($N2134=1,AND(LEFT(对接源_02物料!$D934,4)="包装物料",N(对接源_02物料!$K934)&lt;&gt;0)),1,0)</f>
        <v>0</v>
      </c>
      <c r="AG2134">
        <f>N(AG2133)+$AF2134</f>
        <v>10</v>
      </c>
      <c r="AH2134">
        <f>IF(AND($N2134=1,AND(对接源_02物料!$D934="周转筐－销售出库",N(对接源_02物料!$K934)&lt;&gt;0)),1,0)</f>
        <v>0</v>
      </c>
      <c r="AI2134">
        <f>N(AI2133)+$AH2134</f>
        <v>0</v>
      </c>
      <c r="AL2134" t="n">
        <v>0</v>
      </c>
      <c r="AM2134">
        <f>N(AM2133)+$AL2134</f>
        <v>2</v>
      </c>
      <c r="AN2134">
        <f>""</f>
      </c>
      <c r="AO2134" t="n">
        <v>0</v>
      </c>
      <c r="AP2134">
        <f>N(AP2133)+$AO2134</f>
        <v>13</v>
      </c>
      <c r="AR2134">
        <f>IF(OR($AF2134=1,$AH2134=1),1,0)</f>
        <v>0</v>
      </c>
      <c r="AS2134">
        <f>N(AS2133)+$AR2134</f>
        <v>10</v>
      </c>
    </row>
    <row r="2135" s="127">
      <c r="A2135">
        <f>IF(对接源_02物料!$C935="","",对接源_02物料!$C935)</f>
      </c>
      <c r="B2135">
        <f>IF(A2135="",0,IF(MATCH(A2135,$A$4:$A$2403,0)=ROW()-3,1,0))</f>
        <v>0</v>
      </c>
      <c r="C2135">
        <f>N(C2134)+B2135</f>
        <v>26</v>
      </c>
      <c r="K2135">
        <f>IF(OR($K$1="",对接源_02物料!$C935="",对接源_02物料!$C935&lt;&gt;$K$1,对接源_02物料!$B935=""),0,IF(OR(N(对接源_02物料!$B935)&lt;$K$2,N(对接源_02物料!$B935)&gt;$K$3),0,1))</f>
        <v>0</v>
      </c>
      <c r="L2135">
        <f>IF(OR($L$1="",对接源_02物料!$C935="",对接源_02物料!$C935&lt;&gt;$L$1,对接源_02物料!$B935=""),0,IF(OR(N(对接源_02物料!$B935)&lt;$L$2,N(对接源_02物料!$B935)&gt;$L$3),0,1))</f>
        <v>0</v>
      </c>
      <c r="M2135">
        <f>IF(OR($M$1="",对接源_02物料!$C935="",对接源_02物料!$C935&lt;&gt;$M$1,对接源_02物料!$B935=""),0,IF(OR(N(对接源_02物料!$B935)&lt;$M$2,N(对接源_02物料!$B935)&gt;$M$3),0,1))</f>
        <v>0</v>
      </c>
      <c r="N2135">
        <f>IF(OR($N$1="",对接源_02物料!$C935="",对接源_02物料!$C935&lt;&gt;$N$1,对接源_02物料!$B935=""),0,IF(OR(N(对接源_02物料!$B935)&lt;$N$2,N(对接源_02物料!$B935)&gt;$N$3),0,1))</f>
        <v>0</v>
      </c>
      <c r="P2135">
        <f>IF(AND($K2135=1,AND(对接源_02物料!$X935="公司筐",N(对接源_02物料!$T935)&lt;&gt;0)),1,0)</f>
        <v>0</v>
      </c>
      <c r="Q2135">
        <f>N(Q2134)+$P2135</f>
        <v>14</v>
      </c>
      <c r="R2135">
        <f>IF(AND($K2135=1,AND(对接源_02物料!$X935="公司筐",N(对接源_02物料!$U935)&lt;&gt;0)),1,0)</f>
        <v>0</v>
      </c>
      <c r="S2135">
        <f>N(S2134)+$R2135</f>
        <v>1</v>
      </c>
      <c r="T2135">
        <f>IF(AND($K2135=1,AND(对接源_02物料!$X935="公司筐",N(对接源_02物料!$V935)&lt;&gt;0)),1,0)</f>
        <v>0</v>
      </c>
      <c r="U2135">
        <f>N(U2134)+$T2135</f>
        <v>47</v>
      </c>
      <c r="V2135">
        <f>IF(AND($L2135=1,AND(对接源_02物料!$X935="自备筐",N(对接源_02物料!$V935)&lt;&gt;0)),1,0)</f>
        <v>0</v>
      </c>
      <c r="W2135">
        <f>N(W2134)+$V2135</f>
        <v>11</v>
      </c>
      <c r="X2135">
        <f>IF(AND($L2135=1,AND(对接源_02物料!$X935="自备筐",N(对接源_02物料!$T935)&lt;&gt;0)),1,0)</f>
        <v>0</v>
      </c>
      <c r="Y2135">
        <f>N(Y2134)+$X2135</f>
        <v>0</v>
      </c>
      <c r="Z2135">
        <f>IF(AND($M2135=1,对接源_02物料!$D935="原料入库"),1,0)</f>
        <v>0</v>
      </c>
      <c r="AA2135">
        <f>N(AA2134)+$Z2135</f>
        <v>24</v>
      </c>
      <c r="AB2135">
        <f>IF(AND($M2135=1,LEFT(对接源_02物料!$D935,4)="原料出库"),1,0)</f>
        <v>0</v>
      </c>
      <c r="AC2135">
        <f>N(AC2134)+$AB2135</f>
        <v>0</v>
      </c>
      <c r="AD2135">
        <f>IF(AND($M2135=1,LEFT(对接源_02物料!$D935,4)="成品出库"),1,0)</f>
        <v>0</v>
      </c>
      <c r="AE2135">
        <f>N(AE2134)+$AD2135</f>
        <v>0</v>
      </c>
      <c r="AF2135">
        <f>IF(AND($N2135=1,AND(LEFT(对接源_02物料!$D935,4)="包装物料",N(对接源_02物料!$K935)&lt;&gt;0)),1,0)</f>
        <v>0</v>
      </c>
      <c r="AG2135">
        <f>N(AG2134)+$AF2135</f>
        <v>10</v>
      </c>
      <c r="AH2135">
        <f>IF(AND($N2135=1,AND(对接源_02物料!$D935="周转筐－销售出库",N(对接源_02物料!$K935)&lt;&gt;0)),1,0)</f>
        <v>0</v>
      </c>
      <c r="AI2135">
        <f>N(AI2134)+$AH2135</f>
        <v>0</v>
      </c>
      <c r="AL2135" t="n">
        <v>0</v>
      </c>
      <c r="AM2135">
        <f>N(AM2134)+$AL2135</f>
        <v>2</v>
      </c>
      <c r="AN2135">
        <f>""</f>
      </c>
      <c r="AO2135" t="n">
        <v>0</v>
      </c>
      <c r="AP2135">
        <f>N(AP2134)+$AO2135</f>
        <v>13</v>
      </c>
      <c r="AR2135">
        <f>IF(OR($AF2135=1,$AH2135=1),1,0)</f>
        <v>0</v>
      </c>
      <c r="AS2135">
        <f>N(AS2134)+$AR2135</f>
        <v>10</v>
      </c>
    </row>
    <row r="2136" s="127">
      <c r="A2136">
        <f>IF(对接源_02物料!$C936="","",对接源_02物料!$C936)</f>
      </c>
      <c r="B2136">
        <f>IF(A2136="",0,IF(MATCH(A2136,$A$4:$A$2403,0)=ROW()-3,1,0))</f>
        <v>0</v>
      </c>
      <c r="C2136">
        <f>N(C2135)+B2136</f>
        <v>26</v>
      </c>
      <c r="K2136">
        <f>IF(OR($K$1="",对接源_02物料!$C936="",对接源_02物料!$C936&lt;&gt;$K$1,对接源_02物料!$B936=""),0,IF(OR(N(对接源_02物料!$B936)&lt;$K$2,N(对接源_02物料!$B936)&gt;$K$3),0,1))</f>
        <v>0</v>
      </c>
      <c r="L2136">
        <f>IF(OR($L$1="",对接源_02物料!$C936="",对接源_02物料!$C936&lt;&gt;$L$1,对接源_02物料!$B936=""),0,IF(OR(N(对接源_02物料!$B936)&lt;$L$2,N(对接源_02物料!$B936)&gt;$L$3),0,1))</f>
        <v>0</v>
      </c>
      <c r="M2136">
        <f>IF(OR($M$1="",对接源_02物料!$C936="",对接源_02物料!$C936&lt;&gt;$M$1,对接源_02物料!$B936=""),0,IF(OR(N(对接源_02物料!$B936)&lt;$M$2,N(对接源_02物料!$B936)&gt;$M$3),0,1))</f>
        <v>0</v>
      </c>
      <c r="N2136">
        <f>IF(OR($N$1="",对接源_02物料!$C936="",对接源_02物料!$C936&lt;&gt;$N$1,对接源_02物料!$B936=""),0,IF(OR(N(对接源_02物料!$B936)&lt;$N$2,N(对接源_02物料!$B936)&gt;$N$3),0,1))</f>
        <v>0</v>
      </c>
      <c r="P2136">
        <f>IF(AND($K2136=1,AND(对接源_02物料!$X936="公司筐",N(对接源_02物料!$T936)&lt;&gt;0)),1,0)</f>
        <v>0</v>
      </c>
      <c r="Q2136">
        <f>N(Q2135)+$P2136</f>
        <v>14</v>
      </c>
      <c r="R2136">
        <f>IF(AND($K2136=1,AND(对接源_02物料!$X936="公司筐",N(对接源_02物料!$U936)&lt;&gt;0)),1,0)</f>
        <v>0</v>
      </c>
      <c r="S2136">
        <f>N(S2135)+$R2136</f>
        <v>1</v>
      </c>
      <c r="T2136">
        <f>IF(AND($K2136=1,AND(对接源_02物料!$X936="公司筐",N(对接源_02物料!$V936)&lt;&gt;0)),1,0)</f>
        <v>0</v>
      </c>
      <c r="U2136">
        <f>N(U2135)+$T2136</f>
        <v>47</v>
      </c>
      <c r="V2136">
        <f>IF(AND($L2136=1,AND(对接源_02物料!$X936="自备筐",N(对接源_02物料!$V936)&lt;&gt;0)),1,0)</f>
        <v>0</v>
      </c>
      <c r="W2136">
        <f>N(W2135)+$V2136</f>
        <v>11</v>
      </c>
      <c r="X2136">
        <f>IF(AND($L2136=1,AND(对接源_02物料!$X936="自备筐",N(对接源_02物料!$T936)&lt;&gt;0)),1,0)</f>
        <v>0</v>
      </c>
      <c r="Y2136">
        <f>N(Y2135)+$X2136</f>
        <v>0</v>
      </c>
      <c r="Z2136">
        <f>IF(AND($M2136=1,对接源_02物料!$D936="原料入库"),1,0)</f>
        <v>0</v>
      </c>
      <c r="AA2136">
        <f>N(AA2135)+$Z2136</f>
        <v>24</v>
      </c>
      <c r="AB2136">
        <f>IF(AND($M2136=1,LEFT(对接源_02物料!$D936,4)="原料出库"),1,0)</f>
        <v>0</v>
      </c>
      <c r="AC2136">
        <f>N(AC2135)+$AB2136</f>
        <v>0</v>
      </c>
      <c r="AD2136">
        <f>IF(AND($M2136=1,LEFT(对接源_02物料!$D936,4)="成品出库"),1,0)</f>
        <v>0</v>
      </c>
      <c r="AE2136">
        <f>N(AE2135)+$AD2136</f>
        <v>0</v>
      </c>
      <c r="AF2136">
        <f>IF(AND($N2136=1,AND(LEFT(对接源_02物料!$D936,4)="包装物料",N(对接源_02物料!$K936)&lt;&gt;0)),1,0)</f>
        <v>0</v>
      </c>
      <c r="AG2136">
        <f>N(AG2135)+$AF2136</f>
        <v>10</v>
      </c>
      <c r="AH2136">
        <f>IF(AND($N2136=1,AND(对接源_02物料!$D936="周转筐－销售出库",N(对接源_02物料!$K936)&lt;&gt;0)),1,0)</f>
        <v>0</v>
      </c>
      <c r="AI2136">
        <f>N(AI2135)+$AH2136</f>
        <v>0</v>
      </c>
      <c r="AL2136" t="n">
        <v>0</v>
      </c>
      <c r="AM2136">
        <f>N(AM2135)+$AL2136</f>
        <v>2</v>
      </c>
      <c r="AN2136">
        <f>""</f>
      </c>
      <c r="AO2136" t="n">
        <v>0</v>
      </c>
      <c r="AP2136">
        <f>N(AP2135)+$AO2136</f>
        <v>13</v>
      </c>
      <c r="AR2136">
        <f>IF(OR($AF2136=1,$AH2136=1),1,0)</f>
        <v>0</v>
      </c>
      <c r="AS2136">
        <f>N(AS2135)+$AR2136</f>
        <v>10</v>
      </c>
    </row>
    <row r="2137" s="127">
      <c r="A2137">
        <f>IF(对接源_02物料!$C937="","",对接源_02物料!$C937)</f>
      </c>
      <c r="B2137">
        <f>IF(A2137="",0,IF(MATCH(A2137,$A$4:$A$2403,0)=ROW()-3,1,0))</f>
        <v>0</v>
      </c>
      <c r="C2137">
        <f>N(C2136)+B2137</f>
        <v>26</v>
      </c>
      <c r="K2137">
        <f>IF(OR($K$1="",对接源_02物料!$C937="",对接源_02物料!$C937&lt;&gt;$K$1,对接源_02物料!$B937=""),0,IF(OR(N(对接源_02物料!$B937)&lt;$K$2,N(对接源_02物料!$B937)&gt;$K$3),0,1))</f>
        <v>0</v>
      </c>
      <c r="L2137">
        <f>IF(OR($L$1="",对接源_02物料!$C937="",对接源_02物料!$C937&lt;&gt;$L$1,对接源_02物料!$B937=""),0,IF(OR(N(对接源_02物料!$B937)&lt;$L$2,N(对接源_02物料!$B937)&gt;$L$3),0,1))</f>
        <v>0</v>
      </c>
      <c r="M2137">
        <f>IF(OR($M$1="",对接源_02物料!$C937="",对接源_02物料!$C937&lt;&gt;$M$1,对接源_02物料!$B937=""),0,IF(OR(N(对接源_02物料!$B937)&lt;$M$2,N(对接源_02物料!$B937)&gt;$M$3),0,1))</f>
        <v>0</v>
      </c>
      <c r="N2137">
        <f>IF(OR($N$1="",对接源_02物料!$C937="",对接源_02物料!$C937&lt;&gt;$N$1,对接源_02物料!$B937=""),0,IF(OR(N(对接源_02物料!$B937)&lt;$N$2,N(对接源_02物料!$B937)&gt;$N$3),0,1))</f>
        <v>0</v>
      </c>
      <c r="P2137">
        <f>IF(AND($K2137=1,AND(对接源_02物料!$X937="公司筐",N(对接源_02物料!$T937)&lt;&gt;0)),1,0)</f>
        <v>0</v>
      </c>
      <c r="Q2137">
        <f>N(Q2136)+$P2137</f>
        <v>14</v>
      </c>
      <c r="R2137">
        <f>IF(AND($K2137=1,AND(对接源_02物料!$X937="公司筐",N(对接源_02物料!$U937)&lt;&gt;0)),1,0)</f>
        <v>0</v>
      </c>
      <c r="S2137">
        <f>N(S2136)+$R2137</f>
        <v>1</v>
      </c>
      <c r="T2137">
        <f>IF(AND($K2137=1,AND(对接源_02物料!$X937="公司筐",N(对接源_02物料!$V937)&lt;&gt;0)),1,0)</f>
        <v>0</v>
      </c>
      <c r="U2137">
        <f>N(U2136)+$T2137</f>
        <v>47</v>
      </c>
      <c r="V2137">
        <f>IF(AND($L2137=1,AND(对接源_02物料!$X937="自备筐",N(对接源_02物料!$V937)&lt;&gt;0)),1,0)</f>
        <v>0</v>
      </c>
      <c r="W2137">
        <f>N(W2136)+$V2137</f>
        <v>11</v>
      </c>
      <c r="X2137">
        <f>IF(AND($L2137=1,AND(对接源_02物料!$X937="自备筐",N(对接源_02物料!$T937)&lt;&gt;0)),1,0)</f>
        <v>0</v>
      </c>
      <c r="Y2137">
        <f>N(Y2136)+$X2137</f>
        <v>0</v>
      </c>
      <c r="Z2137">
        <f>IF(AND($M2137=1,对接源_02物料!$D937="原料入库"),1,0)</f>
        <v>0</v>
      </c>
      <c r="AA2137">
        <f>N(AA2136)+$Z2137</f>
        <v>24</v>
      </c>
      <c r="AB2137">
        <f>IF(AND($M2137=1,LEFT(对接源_02物料!$D937,4)="原料出库"),1,0)</f>
        <v>0</v>
      </c>
      <c r="AC2137">
        <f>N(AC2136)+$AB2137</f>
        <v>0</v>
      </c>
      <c r="AD2137">
        <f>IF(AND($M2137=1,LEFT(对接源_02物料!$D937,4)="成品出库"),1,0)</f>
        <v>0</v>
      </c>
      <c r="AE2137">
        <f>N(AE2136)+$AD2137</f>
        <v>0</v>
      </c>
      <c r="AF2137">
        <f>IF(AND($N2137=1,AND(LEFT(对接源_02物料!$D937,4)="包装物料",N(对接源_02物料!$K937)&lt;&gt;0)),1,0)</f>
        <v>0</v>
      </c>
      <c r="AG2137">
        <f>N(AG2136)+$AF2137</f>
        <v>10</v>
      </c>
      <c r="AH2137">
        <f>IF(AND($N2137=1,AND(对接源_02物料!$D937="周转筐－销售出库",N(对接源_02物料!$K937)&lt;&gt;0)),1,0)</f>
        <v>0</v>
      </c>
      <c r="AI2137">
        <f>N(AI2136)+$AH2137</f>
        <v>0</v>
      </c>
      <c r="AL2137" t="n">
        <v>0</v>
      </c>
      <c r="AM2137">
        <f>N(AM2136)+$AL2137</f>
        <v>2</v>
      </c>
      <c r="AN2137">
        <f>""</f>
      </c>
      <c r="AO2137" t="n">
        <v>0</v>
      </c>
      <c r="AP2137">
        <f>N(AP2136)+$AO2137</f>
        <v>13</v>
      </c>
      <c r="AR2137">
        <f>IF(OR($AF2137=1,$AH2137=1),1,0)</f>
        <v>0</v>
      </c>
      <c r="AS2137">
        <f>N(AS2136)+$AR2137</f>
        <v>10</v>
      </c>
    </row>
    <row r="2138" s="127">
      <c r="A2138">
        <f>IF(对接源_02物料!$C938="","",对接源_02物料!$C938)</f>
      </c>
      <c r="B2138">
        <f>IF(A2138="",0,IF(MATCH(A2138,$A$4:$A$2403,0)=ROW()-3,1,0))</f>
        <v>0</v>
      </c>
      <c r="C2138">
        <f>N(C2137)+B2138</f>
        <v>26</v>
      </c>
      <c r="K2138">
        <f>IF(OR($K$1="",对接源_02物料!$C938="",对接源_02物料!$C938&lt;&gt;$K$1,对接源_02物料!$B938=""),0,IF(OR(N(对接源_02物料!$B938)&lt;$K$2,N(对接源_02物料!$B938)&gt;$K$3),0,1))</f>
        <v>0</v>
      </c>
      <c r="L2138">
        <f>IF(OR($L$1="",对接源_02物料!$C938="",对接源_02物料!$C938&lt;&gt;$L$1,对接源_02物料!$B938=""),0,IF(OR(N(对接源_02物料!$B938)&lt;$L$2,N(对接源_02物料!$B938)&gt;$L$3),0,1))</f>
        <v>0</v>
      </c>
      <c r="M2138">
        <f>IF(OR($M$1="",对接源_02物料!$C938="",对接源_02物料!$C938&lt;&gt;$M$1,对接源_02物料!$B938=""),0,IF(OR(N(对接源_02物料!$B938)&lt;$M$2,N(对接源_02物料!$B938)&gt;$M$3),0,1))</f>
        <v>0</v>
      </c>
      <c r="N2138">
        <f>IF(OR($N$1="",对接源_02物料!$C938="",对接源_02物料!$C938&lt;&gt;$N$1,对接源_02物料!$B938=""),0,IF(OR(N(对接源_02物料!$B938)&lt;$N$2,N(对接源_02物料!$B938)&gt;$N$3),0,1))</f>
        <v>0</v>
      </c>
      <c r="P2138">
        <f>IF(AND($K2138=1,AND(对接源_02物料!$X938="公司筐",N(对接源_02物料!$T938)&lt;&gt;0)),1,0)</f>
        <v>0</v>
      </c>
      <c r="Q2138">
        <f>N(Q2137)+$P2138</f>
        <v>14</v>
      </c>
      <c r="R2138">
        <f>IF(AND($K2138=1,AND(对接源_02物料!$X938="公司筐",N(对接源_02物料!$U938)&lt;&gt;0)),1,0)</f>
        <v>0</v>
      </c>
      <c r="S2138">
        <f>N(S2137)+$R2138</f>
        <v>1</v>
      </c>
      <c r="T2138">
        <f>IF(AND($K2138=1,AND(对接源_02物料!$X938="公司筐",N(对接源_02物料!$V938)&lt;&gt;0)),1,0)</f>
        <v>0</v>
      </c>
      <c r="U2138">
        <f>N(U2137)+$T2138</f>
        <v>47</v>
      </c>
      <c r="V2138">
        <f>IF(AND($L2138=1,AND(对接源_02物料!$X938="自备筐",N(对接源_02物料!$V938)&lt;&gt;0)),1,0)</f>
        <v>0</v>
      </c>
      <c r="W2138">
        <f>N(W2137)+$V2138</f>
        <v>11</v>
      </c>
      <c r="X2138">
        <f>IF(AND($L2138=1,AND(对接源_02物料!$X938="自备筐",N(对接源_02物料!$T938)&lt;&gt;0)),1,0)</f>
        <v>0</v>
      </c>
      <c r="Y2138">
        <f>N(Y2137)+$X2138</f>
        <v>0</v>
      </c>
      <c r="Z2138">
        <f>IF(AND($M2138=1,对接源_02物料!$D938="原料入库"),1,0)</f>
        <v>0</v>
      </c>
      <c r="AA2138">
        <f>N(AA2137)+$Z2138</f>
        <v>24</v>
      </c>
      <c r="AB2138">
        <f>IF(AND($M2138=1,LEFT(对接源_02物料!$D938,4)="原料出库"),1,0)</f>
        <v>0</v>
      </c>
      <c r="AC2138">
        <f>N(AC2137)+$AB2138</f>
        <v>0</v>
      </c>
      <c r="AD2138">
        <f>IF(AND($M2138=1,LEFT(对接源_02物料!$D938,4)="成品出库"),1,0)</f>
        <v>0</v>
      </c>
      <c r="AE2138">
        <f>N(AE2137)+$AD2138</f>
        <v>0</v>
      </c>
      <c r="AF2138">
        <f>IF(AND($N2138=1,AND(LEFT(对接源_02物料!$D938,4)="包装物料",N(对接源_02物料!$K938)&lt;&gt;0)),1,0)</f>
        <v>0</v>
      </c>
      <c r="AG2138">
        <f>N(AG2137)+$AF2138</f>
        <v>10</v>
      </c>
      <c r="AH2138">
        <f>IF(AND($N2138=1,AND(对接源_02物料!$D938="周转筐－销售出库",N(对接源_02物料!$K938)&lt;&gt;0)),1,0)</f>
        <v>0</v>
      </c>
      <c r="AI2138">
        <f>N(AI2137)+$AH2138</f>
        <v>0</v>
      </c>
      <c r="AL2138" t="n">
        <v>0</v>
      </c>
      <c r="AM2138">
        <f>N(AM2137)+$AL2138</f>
        <v>2</v>
      </c>
      <c r="AN2138">
        <f>""</f>
      </c>
      <c r="AO2138" t="n">
        <v>0</v>
      </c>
      <c r="AP2138">
        <f>N(AP2137)+$AO2138</f>
        <v>13</v>
      </c>
      <c r="AR2138">
        <f>IF(OR($AF2138=1,$AH2138=1),1,0)</f>
        <v>0</v>
      </c>
      <c r="AS2138">
        <f>N(AS2137)+$AR2138</f>
        <v>10</v>
      </c>
    </row>
    <row r="2139" s="127">
      <c r="A2139">
        <f>IF(对接源_02物料!$C939="","",对接源_02物料!$C939)</f>
      </c>
      <c r="B2139">
        <f>IF(A2139="",0,IF(MATCH(A2139,$A$4:$A$2403,0)=ROW()-3,1,0))</f>
        <v>0</v>
      </c>
      <c r="C2139">
        <f>N(C2138)+B2139</f>
        <v>26</v>
      </c>
      <c r="K2139">
        <f>IF(OR($K$1="",对接源_02物料!$C939="",对接源_02物料!$C939&lt;&gt;$K$1,对接源_02物料!$B939=""),0,IF(OR(N(对接源_02物料!$B939)&lt;$K$2,N(对接源_02物料!$B939)&gt;$K$3),0,1))</f>
        <v>0</v>
      </c>
      <c r="L2139">
        <f>IF(OR($L$1="",对接源_02物料!$C939="",对接源_02物料!$C939&lt;&gt;$L$1,对接源_02物料!$B939=""),0,IF(OR(N(对接源_02物料!$B939)&lt;$L$2,N(对接源_02物料!$B939)&gt;$L$3),0,1))</f>
        <v>0</v>
      </c>
      <c r="M2139">
        <f>IF(OR($M$1="",对接源_02物料!$C939="",对接源_02物料!$C939&lt;&gt;$M$1,对接源_02物料!$B939=""),0,IF(OR(N(对接源_02物料!$B939)&lt;$M$2,N(对接源_02物料!$B939)&gt;$M$3),0,1))</f>
        <v>0</v>
      </c>
      <c r="N2139">
        <f>IF(OR($N$1="",对接源_02物料!$C939="",对接源_02物料!$C939&lt;&gt;$N$1,对接源_02物料!$B939=""),0,IF(OR(N(对接源_02物料!$B939)&lt;$N$2,N(对接源_02物料!$B939)&gt;$N$3),0,1))</f>
        <v>0</v>
      </c>
      <c r="P2139">
        <f>IF(AND($K2139=1,AND(对接源_02物料!$X939="公司筐",N(对接源_02物料!$T939)&lt;&gt;0)),1,0)</f>
        <v>0</v>
      </c>
      <c r="Q2139">
        <f>N(Q2138)+$P2139</f>
        <v>14</v>
      </c>
      <c r="R2139">
        <f>IF(AND($K2139=1,AND(对接源_02物料!$X939="公司筐",N(对接源_02物料!$U939)&lt;&gt;0)),1,0)</f>
        <v>0</v>
      </c>
      <c r="S2139">
        <f>N(S2138)+$R2139</f>
        <v>1</v>
      </c>
      <c r="T2139">
        <f>IF(AND($K2139=1,AND(对接源_02物料!$X939="公司筐",N(对接源_02物料!$V939)&lt;&gt;0)),1,0)</f>
        <v>0</v>
      </c>
      <c r="U2139">
        <f>N(U2138)+$T2139</f>
        <v>47</v>
      </c>
      <c r="V2139">
        <f>IF(AND($L2139=1,AND(对接源_02物料!$X939="自备筐",N(对接源_02物料!$V939)&lt;&gt;0)),1,0)</f>
        <v>0</v>
      </c>
      <c r="W2139">
        <f>N(W2138)+$V2139</f>
        <v>11</v>
      </c>
      <c r="X2139">
        <f>IF(AND($L2139=1,AND(对接源_02物料!$X939="自备筐",N(对接源_02物料!$T939)&lt;&gt;0)),1,0)</f>
        <v>0</v>
      </c>
      <c r="Y2139">
        <f>N(Y2138)+$X2139</f>
        <v>0</v>
      </c>
      <c r="Z2139">
        <f>IF(AND($M2139=1,对接源_02物料!$D939="原料入库"),1,0)</f>
        <v>0</v>
      </c>
      <c r="AA2139">
        <f>N(AA2138)+$Z2139</f>
        <v>24</v>
      </c>
      <c r="AB2139">
        <f>IF(AND($M2139=1,LEFT(对接源_02物料!$D939,4)="原料出库"),1,0)</f>
        <v>0</v>
      </c>
      <c r="AC2139">
        <f>N(AC2138)+$AB2139</f>
        <v>0</v>
      </c>
      <c r="AD2139">
        <f>IF(AND($M2139=1,LEFT(对接源_02物料!$D939,4)="成品出库"),1,0)</f>
        <v>0</v>
      </c>
      <c r="AE2139">
        <f>N(AE2138)+$AD2139</f>
        <v>0</v>
      </c>
      <c r="AF2139">
        <f>IF(AND($N2139=1,AND(LEFT(对接源_02物料!$D939,4)="包装物料",N(对接源_02物料!$K939)&lt;&gt;0)),1,0)</f>
        <v>0</v>
      </c>
      <c r="AG2139">
        <f>N(AG2138)+$AF2139</f>
        <v>10</v>
      </c>
      <c r="AH2139">
        <f>IF(AND($N2139=1,AND(对接源_02物料!$D939="周转筐－销售出库",N(对接源_02物料!$K939)&lt;&gt;0)),1,0)</f>
        <v>0</v>
      </c>
      <c r="AI2139">
        <f>N(AI2138)+$AH2139</f>
        <v>0</v>
      </c>
      <c r="AL2139" t="n">
        <v>0</v>
      </c>
      <c r="AM2139">
        <f>N(AM2138)+$AL2139</f>
        <v>2</v>
      </c>
      <c r="AN2139">
        <f>""</f>
      </c>
      <c r="AO2139" t="n">
        <v>0</v>
      </c>
      <c r="AP2139">
        <f>N(AP2138)+$AO2139</f>
        <v>13</v>
      </c>
      <c r="AR2139">
        <f>IF(OR($AF2139=1,$AH2139=1),1,0)</f>
        <v>0</v>
      </c>
      <c r="AS2139">
        <f>N(AS2138)+$AR2139</f>
        <v>10</v>
      </c>
    </row>
    <row r="2140" s="127">
      <c r="A2140">
        <f>IF(对接源_02物料!$C940="","",对接源_02物料!$C940)</f>
      </c>
      <c r="B2140">
        <f>IF(A2140="",0,IF(MATCH(A2140,$A$4:$A$2403,0)=ROW()-3,1,0))</f>
        <v>0</v>
      </c>
      <c r="C2140">
        <f>N(C2139)+B2140</f>
        <v>26</v>
      </c>
      <c r="K2140">
        <f>IF(OR($K$1="",对接源_02物料!$C940="",对接源_02物料!$C940&lt;&gt;$K$1,对接源_02物料!$B940=""),0,IF(OR(N(对接源_02物料!$B940)&lt;$K$2,N(对接源_02物料!$B940)&gt;$K$3),0,1))</f>
        <v>0</v>
      </c>
      <c r="L2140">
        <f>IF(OR($L$1="",对接源_02物料!$C940="",对接源_02物料!$C940&lt;&gt;$L$1,对接源_02物料!$B940=""),0,IF(OR(N(对接源_02物料!$B940)&lt;$L$2,N(对接源_02物料!$B940)&gt;$L$3),0,1))</f>
        <v>0</v>
      </c>
      <c r="M2140">
        <f>IF(OR($M$1="",对接源_02物料!$C940="",对接源_02物料!$C940&lt;&gt;$M$1,对接源_02物料!$B940=""),0,IF(OR(N(对接源_02物料!$B940)&lt;$M$2,N(对接源_02物料!$B940)&gt;$M$3),0,1))</f>
        <v>0</v>
      </c>
      <c r="N2140">
        <f>IF(OR($N$1="",对接源_02物料!$C940="",对接源_02物料!$C940&lt;&gt;$N$1,对接源_02物料!$B940=""),0,IF(OR(N(对接源_02物料!$B940)&lt;$N$2,N(对接源_02物料!$B940)&gt;$N$3),0,1))</f>
        <v>0</v>
      </c>
      <c r="P2140">
        <f>IF(AND($K2140=1,AND(对接源_02物料!$X940="公司筐",N(对接源_02物料!$T940)&lt;&gt;0)),1,0)</f>
        <v>0</v>
      </c>
      <c r="Q2140">
        <f>N(Q2139)+$P2140</f>
        <v>14</v>
      </c>
      <c r="R2140">
        <f>IF(AND($K2140=1,AND(对接源_02物料!$X940="公司筐",N(对接源_02物料!$U940)&lt;&gt;0)),1,0)</f>
        <v>0</v>
      </c>
      <c r="S2140">
        <f>N(S2139)+$R2140</f>
        <v>1</v>
      </c>
      <c r="T2140">
        <f>IF(AND($K2140=1,AND(对接源_02物料!$X940="公司筐",N(对接源_02物料!$V940)&lt;&gt;0)),1,0)</f>
        <v>0</v>
      </c>
      <c r="U2140">
        <f>N(U2139)+$T2140</f>
        <v>47</v>
      </c>
      <c r="V2140">
        <f>IF(AND($L2140=1,AND(对接源_02物料!$X940="自备筐",N(对接源_02物料!$V940)&lt;&gt;0)),1,0)</f>
        <v>0</v>
      </c>
      <c r="W2140">
        <f>N(W2139)+$V2140</f>
        <v>11</v>
      </c>
      <c r="X2140">
        <f>IF(AND($L2140=1,AND(对接源_02物料!$X940="自备筐",N(对接源_02物料!$T940)&lt;&gt;0)),1,0)</f>
        <v>0</v>
      </c>
      <c r="Y2140">
        <f>N(Y2139)+$X2140</f>
        <v>0</v>
      </c>
      <c r="Z2140">
        <f>IF(AND($M2140=1,对接源_02物料!$D940="原料入库"),1,0)</f>
        <v>0</v>
      </c>
      <c r="AA2140">
        <f>N(AA2139)+$Z2140</f>
        <v>24</v>
      </c>
      <c r="AB2140">
        <f>IF(AND($M2140=1,LEFT(对接源_02物料!$D940,4)="原料出库"),1,0)</f>
        <v>0</v>
      </c>
      <c r="AC2140">
        <f>N(AC2139)+$AB2140</f>
        <v>0</v>
      </c>
      <c r="AD2140">
        <f>IF(AND($M2140=1,LEFT(对接源_02物料!$D940,4)="成品出库"),1,0)</f>
        <v>0</v>
      </c>
      <c r="AE2140">
        <f>N(AE2139)+$AD2140</f>
        <v>0</v>
      </c>
      <c r="AF2140">
        <f>IF(AND($N2140=1,AND(LEFT(对接源_02物料!$D940,4)="包装物料",N(对接源_02物料!$K940)&lt;&gt;0)),1,0)</f>
        <v>0</v>
      </c>
      <c r="AG2140">
        <f>N(AG2139)+$AF2140</f>
        <v>10</v>
      </c>
      <c r="AH2140">
        <f>IF(AND($N2140=1,AND(对接源_02物料!$D940="周转筐－销售出库",N(对接源_02物料!$K940)&lt;&gt;0)),1,0)</f>
        <v>0</v>
      </c>
      <c r="AI2140">
        <f>N(AI2139)+$AH2140</f>
        <v>0</v>
      </c>
      <c r="AL2140" t="n">
        <v>0</v>
      </c>
      <c r="AM2140">
        <f>N(AM2139)+$AL2140</f>
        <v>2</v>
      </c>
      <c r="AN2140">
        <f>""</f>
      </c>
      <c r="AO2140" t="n">
        <v>0</v>
      </c>
      <c r="AP2140">
        <f>N(AP2139)+$AO2140</f>
        <v>13</v>
      </c>
      <c r="AR2140">
        <f>IF(OR($AF2140=1,$AH2140=1),1,0)</f>
        <v>0</v>
      </c>
      <c r="AS2140">
        <f>N(AS2139)+$AR2140</f>
        <v>10</v>
      </c>
    </row>
    <row r="2141" s="127">
      <c r="A2141">
        <f>IF(对接源_02物料!$C941="","",对接源_02物料!$C941)</f>
      </c>
      <c r="B2141">
        <f>IF(A2141="",0,IF(MATCH(A2141,$A$4:$A$2403,0)=ROW()-3,1,0))</f>
        <v>0</v>
      </c>
      <c r="C2141">
        <f>N(C2140)+B2141</f>
        <v>26</v>
      </c>
      <c r="K2141">
        <f>IF(OR($K$1="",对接源_02物料!$C941="",对接源_02物料!$C941&lt;&gt;$K$1,对接源_02物料!$B941=""),0,IF(OR(N(对接源_02物料!$B941)&lt;$K$2,N(对接源_02物料!$B941)&gt;$K$3),0,1))</f>
        <v>0</v>
      </c>
      <c r="L2141">
        <f>IF(OR($L$1="",对接源_02物料!$C941="",对接源_02物料!$C941&lt;&gt;$L$1,对接源_02物料!$B941=""),0,IF(OR(N(对接源_02物料!$B941)&lt;$L$2,N(对接源_02物料!$B941)&gt;$L$3),0,1))</f>
        <v>0</v>
      </c>
      <c r="M2141">
        <f>IF(OR($M$1="",对接源_02物料!$C941="",对接源_02物料!$C941&lt;&gt;$M$1,对接源_02物料!$B941=""),0,IF(OR(N(对接源_02物料!$B941)&lt;$M$2,N(对接源_02物料!$B941)&gt;$M$3),0,1))</f>
        <v>0</v>
      </c>
      <c r="N2141">
        <f>IF(OR($N$1="",对接源_02物料!$C941="",对接源_02物料!$C941&lt;&gt;$N$1,对接源_02物料!$B941=""),0,IF(OR(N(对接源_02物料!$B941)&lt;$N$2,N(对接源_02物料!$B941)&gt;$N$3),0,1))</f>
        <v>0</v>
      </c>
      <c r="P2141">
        <f>IF(AND($K2141=1,AND(对接源_02物料!$X941="公司筐",N(对接源_02物料!$T941)&lt;&gt;0)),1,0)</f>
        <v>0</v>
      </c>
      <c r="Q2141">
        <f>N(Q2140)+$P2141</f>
        <v>14</v>
      </c>
      <c r="R2141">
        <f>IF(AND($K2141=1,AND(对接源_02物料!$X941="公司筐",N(对接源_02物料!$U941)&lt;&gt;0)),1,0)</f>
        <v>0</v>
      </c>
      <c r="S2141">
        <f>N(S2140)+$R2141</f>
        <v>1</v>
      </c>
      <c r="T2141">
        <f>IF(AND($K2141=1,AND(对接源_02物料!$X941="公司筐",N(对接源_02物料!$V941)&lt;&gt;0)),1,0)</f>
        <v>0</v>
      </c>
      <c r="U2141">
        <f>N(U2140)+$T2141</f>
        <v>47</v>
      </c>
      <c r="V2141">
        <f>IF(AND($L2141=1,AND(对接源_02物料!$X941="自备筐",N(对接源_02物料!$V941)&lt;&gt;0)),1,0)</f>
        <v>0</v>
      </c>
      <c r="W2141">
        <f>N(W2140)+$V2141</f>
        <v>11</v>
      </c>
      <c r="X2141">
        <f>IF(AND($L2141=1,AND(对接源_02物料!$X941="自备筐",N(对接源_02物料!$T941)&lt;&gt;0)),1,0)</f>
        <v>0</v>
      </c>
      <c r="Y2141">
        <f>N(Y2140)+$X2141</f>
        <v>0</v>
      </c>
      <c r="Z2141">
        <f>IF(AND($M2141=1,对接源_02物料!$D941="原料入库"),1,0)</f>
        <v>0</v>
      </c>
      <c r="AA2141">
        <f>N(AA2140)+$Z2141</f>
        <v>24</v>
      </c>
      <c r="AB2141">
        <f>IF(AND($M2141=1,LEFT(对接源_02物料!$D941,4)="原料出库"),1,0)</f>
        <v>0</v>
      </c>
      <c r="AC2141">
        <f>N(AC2140)+$AB2141</f>
        <v>0</v>
      </c>
      <c r="AD2141">
        <f>IF(AND($M2141=1,LEFT(对接源_02物料!$D941,4)="成品出库"),1,0)</f>
        <v>0</v>
      </c>
      <c r="AE2141">
        <f>N(AE2140)+$AD2141</f>
        <v>0</v>
      </c>
      <c r="AF2141">
        <f>IF(AND($N2141=1,AND(LEFT(对接源_02物料!$D941,4)="包装物料",N(对接源_02物料!$K941)&lt;&gt;0)),1,0)</f>
        <v>0</v>
      </c>
      <c r="AG2141">
        <f>N(AG2140)+$AF2141</f>
        <v>10</v>
      </c>
      <c r="AH2141">
        <f>IF(AND($N2141=1,AND(对接源_02物料!$D941="周转筐－销售出库",N(对接源_02物料!$K941)&lt;&gt;0)),1,0)</f>
        <v>0</v>
      </c>
      <c r="AI2141">
        <f>N(AI2140)+$AH2141</f>
        <v>0</v>
      </c>
      <c r="AL2141" t="n">
        <v>0</v>
      </c>
      <c r="AM2141">
        <f>N(AM2140)+$AL2141</f>
        <v>2</v>
      </c>
      <c r="AN2141">
        <f>""</f>
      </c>
      <c r="AO2141" t="n">
        <v>0</v>
      </c>
      <c r="AP2141">
        <f>N(AP2140)+$AO2141</f>
        <v>13</v>
      </c>
      <c r="AR2141">
        <f>IF(OR($AF2141=1,$AH2141=1),1,0)</f>
        <v>0</v>
      </c>
      <c r="AS2141">
        <f>N(AS2140)+$AR2141</f>
        <v>10</v>
      </c>
    </row>
    <row r="2142" s="127">
      <c r="A2142">
        <f>IF(对接源_02物料!$C942="","",对接源_02物料!$C942)</f>
      </c>
      <c r="B2142">
        <f>IF(A2142="",0,IF(MATCH(A2142,$A$4:$A$2403,0)=ROW()-3,1,0))</f>
        <v>0</v>
      </c>
      <c r="C2142">
        <f>N(C2141)+B2142</f>
        <v>26</v>
      </c>
      <c r="K2142">
        <f>IF(OR($K$1="",对接源_02物料!$C942="",对接源_02物料!$C942&lt;&gt;$K$1,对接源_02物料!$B942=""),0,IF(OR(N(对接源_02物料!$B942)&lt;$K$2,N(对接源_02物料!$B942)&gt;$K$3),0,1))</f>
        <v>0</v>
      </c>
      <c r="L2142">
        <f>IF(OR($L$1="",对接源_02物料!$C942="",对接源_02物料!$C942&lt;&gt;$L$1,对接源_02物料!$B942=""),0,IF(OR(N(对接源_02物料!$B942)&lt;$L$2,N(对接源_02物料!$B942)&gt;$L$3),0,1))</f>
        <v>0</v>
      </c>
      <c r="M2142">
        <f>IF(OR($M$1="",对接源_02物料!$C942="",对接源_02物料!$C942&lt;&gt;$M$1,对接源_02物料!$B942=""),0,IF(OR(N(对接源_02物料!$B942)&lt;$M$2,N(对接源_02物料!$B942)&gt;$M$3),0,1))</f>
        <v>0</v>
      </c>
      <c r="N2142">
        <f>IF(OR($N$1="",对接源_02物料!$C942="",对接源_02物料!$C942&lt;&gt;$N$1,对接源_02物料!$B942=""),0,IF(OR(N(对接源_02物料!$B942)&lt;$N$2,N(对接源_02物料!$B942)&gt;$N$3),0,1))</f>
        <v>0</v>
      </c>
      <c r="P2142">
        <f>IF(AND($K2142=1,AND(对接源_02物料!$X942="公司筐",N(对接源_02物料!$T942)&lt;&gt;0)),1,0)</f>
        <v>0</v>
      </c>
      <c r="Q2142">
        <f>N(Q2141)+$P2142</f>
        <v>14</v>
      </c>
      <c r="R2142">
        <f>IF(AND($K2142=1,AND(对接源_02物料!$X942="公司筐",N(对接源_02物料!$U942)&lt;&gt;0)),1,0)</f>
        <v>0</v>
      </c>
      <c r="S2142">
        <f>N(S2141)+$R2142</f>
        <v>1</v>
      </c>
      <c r="T2142">
        <f>IF(AND($K2142=1,AND(对接源_02物料!$X942="公司筐",N(对接源_02物料!$V942)&lt;&gt;0)),1,0)</f>
        <v>0</v>
      </c>
      <c r="U2142">
        <f>N(U2141)+$T2142</f>
        <v>47</v>
      </c>
      <c r="V2142">
        <f>IF(AND($L2142=1,AND(对接源_02物料!$X942="自备筐",N(对接源_02物料!$V942)&lt;&gt;0)),1,0)</f>
        <v>0</v>
      </c>
      <c r="W2142">
        <f>N(W2141)+$V2142</f>
        <v>11</v>
      </c>
      <c r="X2142">
        <f>IF(AND($L2142=1,AND(对接源_02物料!$X942="自备筐",N(对接源_02物料!$T942)&lt;&gt;0)),1,0)</f>
        <v>0</v>
      </c>
      <c r="Y2142">
        <f>N(Y2141)+$X2142</f>
        <v>0</v>
      </c>
      <c r="Z2142">
        <f>IF(AND($M2142=1,对接源_02物料!$D942="原料入库"),1,0)</f>
        <v>0</v>
      </c>
      <c r="AA2142">
        <f>N(AA2141)+$Z2142</f>
        <v>24</v>
      </c>
      <c r="AB2142">
        <f>IF(AND($M2142=1,LEFT(对接源_02物料!$D942,4)="原料出库"),1,0)</f>
        <v>0</v>
      </c>
      <c r="AC2142">
        <f>N(AC2141)+$AB2142</f>
        <v>0</v>
      </c>
      <c r="AD2142">
        <f>IF(AND($M2142=1,LEFT(对接源_02物料!$D942,4)="成品出库"),1,0)</f>
        <v>0</v>
      </c>
      <c r="AE2142">
        <f>N(AE2141)+$AD2142</f>
        <v>0</v>
      </c>
      <c r="AF2142">
        <f>IF(AND($N2142=1,AND(LEFT(对接源_02物料!$D942,4)="包装物料",N(对接源_02物料!$K942)&lt;&gt;0)),1,0)</f>
        <v>0</v>
      </c>
      <c r="AG2142">
        <f>N(AG2141)+$AF2142</f>
        <v>10</v>
      </c>
      <c r="AH2142">
        <f>IF(AND($N2142=1,AND(对接源_02物料!$D942="周转筐－销售出库",N(对接源_02物料!$K942)&lt;&gt;0)),1,0)</f>
        <v>0</v>
      </c>
      <c r="AI2142">
        <f>N(AI2141)+$AH2142</f>
        <v>0</v>
      </c>
      <c r="AL2142" t="n">
        <v>0</v>
      </c>
      <c r="AM2142">
        <f>N(AM2141)+$AL2142</f>
        <v>2</v>
      </c>
      <c r="AN2142">
        <f>""</f>
      </c>
      <c r="AO2142" t="n">
        <v>0</v>
      </c>
      <c r="AP2142">
        <f>N(AP2141)+$AO2142</f>
        <v>13</v>
      </c>
      <c r="AR2142">
        <f>IF(OR($AF2142=1,$AH2142=1),1,0)</f>
        <v>0</v>
      </c>
      <c r="AS2142">
        <f>N(AS2141)+$AR2142</f>
        <v>10</v>
      </c>
    </row>
    <row r="2143" s="127">
      <c r="A2143">
        <f>IF(对接源_02物料!$C943="","",对接源_02物料!$C943)</f>
      </c>
      <c r="B2143">
        <f>IF(A2143="",0,IF(MATCH(A2143,$A$4:$A$2403,0)=ROW()-3,1,0))</f>
        <v>0</v>
      </c>
      <c r="C2143">
        <f>N(C2142)+B2143</f>
        <v>26</v>
      </c>
      <c r="K2143">
        <f>IF(OR($K$1="",对接源_02物料!$C943="",对接源_02物料!$C943&lt;&gt;$K$1,对接源_02物料!$B943=""),0,IF(OR(N(对接源_02物料!$B943)&lt;$K$2,N(对接源_02物料!$B943)&gt;$K$3),0,1))</f>
        <v>0</v>
      </c>
      <c r="L2143">
        <f>IF(OR($L$1="",对接源_02物料!$C943="",对接源_02物料!$C943&lt;&gt;$L$1,对接源_02物料!$B943=""),0,IF(OR(N(对接源_02物料!$B943)&lt;$L$2,N(对接源_02物料!$B943)&gt;$L$3),0,1))</f>
        <v>0</v>
      </c>
      <c r="M2143">
        <f>IF(OR($M$1="",对接源_02物料!$C943="",对接源_02物料!$C943&lt;&gt;$M$1,对接源_02物料!$B943=""),0,IF(OR(N(对接源_02物料!$B943)&lt;$M$2,N(对接源_02物料!$B943)&gt;$M$3),0,1))</f>
        <v>0</v>
      </c>
      <c r="N2143">
        <f>IF(OR($N$1="",对接源_02物料!$C943="",对接源_02物料!$C943&lt;&gt;$N$1,对接源_02物料!$B943=""),0,IF(OR(N(对接源_02物料!$B943)&lt;$N$2,N(对接源_02物料!$B943)&gt;$N$3),0,1))</f>
        <v>0</v>
      </c>
      <c r="P2143">
        <f>IF(AND($K2143=1,AND(对接源_02物料!$X943="公司筐",N(对接源_02物料!$T943)&lt;&gt;0)),1,0)</f>
        <v>0</v>
      </c>
      <c r="Q2143">
        <f>N(Q2142)+$P2143</f>
        <v>14</v>
      </c>
      <c r="R2143">
        <f>IF(AND($K2143=1,AND(对接源_02物料!$X943="公司筐",N(对接源_02物料!$U943)&lt;&gt;0)),1,0)</f>
        <v>0</v>
      </c>
      <c r="S2143">
        <f>N(S2142)+$R2143</f>
        <v>1</v>
      </c>
      <c r="T2143">
        <f>IF(AND($K2143=1,AND(对接源_02物料!$X943="公司筐",N(对接源_02物料!$V943)&lt;&gt;0)),1,0)</f>
        <v>0</v>
      </c>
      <c r="U2143">
        <f>N(U2142)+$T2143</f>
        <v>47</v>
      </c>
      <c r="V2143">
        <f>IF(AND($L2143=1,AND(对接源_02物料!$X943="自备筐",N(对接源_02物料!$V943)&lt;&gt;0)),1,0)</f>
        <v>0</v>
      </c>
      <c r="W2143">
        <f>N(W2142)+$V2143</f>
        <v>11</v>
      </c>
      <c r="X2143">
        <f>IF(AND($L2143=1,AND(对接源_02物料!$X943="自备筐",N(对接源_02物料!$T943)&lt;&gt;0)),1,0)</f>
        <v>0</v>
      </c>
      <c r="Y2143">
        <f>N(Y2142)+$X2143</f>
        <v>0</v>
      </c>
      <c r="Z2143">
        <f>IF(AND($M2143=1,对接源_02物料!$D943="原料入库"),1,0)</f>
        <v>0</v>
      </c>
      <c r="AA2143">
        <f>N(AA2142)+$Z2143</f>
        <v>24</v>
      </c>
      <c r="AB2143">
        <f>IF(AND($M2143=1,LEFT(对接源_02物料!$D943,4)="原料出库"),1,0)</f>
        <v>0</v>
      </c>
      <c r="AC2143">
        <f>N(AC2142)+$AB2143</f>
        <v>0</v>
      </c>
      <c r="AD2143">
        <f>IF(AND($M2143=1,LEFT(对接源_02物料!$D943,4)="成品出库"),1,0)</f>
        <v>0</v>
      </c>
      <c r="AE2143">
        <f>N(AE2142)+$AD2143</f>
        <v>0</v>
      </c>
      <c r="AF2143">
        <f>IF(AND($N2143=1,AND(LEFT(对接源_02物料!$D943,4)="包装物料",N(对接源_02物料!$K943)&lt;&gt;0)),1,0)</f>
        <v>0</v>
      </c>
      <c r="AG2143">
        <f>N(AG2142)+$AF2143</f>
        <v>10</v>
      </c>
      <c r="AH2143">
        <f>IF(AND($N2143=1,AND(对接源_02物料!$D943="周转筐－销售出库",N(对接源_02物料!$K943)&lt;&gt;0)),1,0)</f>
        <v>0</v>
      </c>
      <c r="AI2143">
        <f>N(AI2142)+$AH2143</f>
        <v>0</v>
      </c>
      <c r="AL2143" t="n">
        <v>0</v>
      </c>
      <c r="AM2143">
        <f>N(AM2142)+$AL2143</f>
        <v>2</v>
      </c>
      <c r="AN2143">
        <f>""</f>
      </c>
      <c r="AO2143" t="n">
        <v>0</v>
      </c>
      <c r="AP2143">
        <f>N(AP2142)+$AO2143</f>
        <v>13</v>
      </c>
      <c r="AR2143">
        <f>IF(OR($AF2143=1,$AH2143=1),1,0)</f>
        <v>0</v>
      </c>
      <c r="AS2143">
        <f>N(AS2142)+$AR2143</f>
        <v>10</v>
      </c>
    </row>
    <row r="2144" s="127">
      <c r="A2144">
        <f>IF(对接源_02物料!$C944="","",对接源_02物料!$C944)</f>
      </c>
      <c r="B2144">
        <f>IF(A2144="",0,IF(MATCH(A2144,$A$4:$A$2403,0)=ROW()-3,1,0))</f>
        <v>0</v>
      </c>
      <c r="C2144">
        <f>N(C2143)+B2144</f>
        <v>26</v>
      </c>
      <c r="K2144">
        <f>IF(OR($K$1="",对接源_02物料!$C944="",对接源_02物料!$C944&lt;&gt;$K$1,对接源_02物料!$B944=""),0,IF(OR(N(对接源_02物料!$B944)&lt;$K$2,N(对接源_02物料!$B944)&gt;$K$3),0,1))</f>
        <v>0</v>
      </c>
      <c r="L2144">
        <f>IF(OR($L$1="",对接源_02物料!$C944="",对接源_02物料!$C944&lt;&gt;$L$1,对接源_02物料!$B944=""),0,IF(OR(N(对接源_02物料!$B944)&lt;$L$2,N(对接源_02物料!$B944)&gt;$L$3),0,1))</f>
        <v>0</v>
      </c>
      <c r="M2144">
        <f>IF(OR($M$1="",对接源_02物料!$C944="",对接源_02物料!$C944&lt;&gt;$M$1,对接源_02物料!$B944=""),0,IF(OR(N(对接源_02物料!$B944)&lt;$M$2,N(对接源_02物料!$B944)&gt;$M$3),0,1))</f>
        <v>0</v>
      </c>
      <c r="N2144">
        <f>IF(OR($N$1="",对接源_02物料!$C944="",对接源_02物料!$C944&lt;&gt;$N$1,对接源_02物料!$B944=""),0,IF(OR(N(对接源_02物料!$B944)&lt;$N$2,N(对接源_02物料!$B944)&gt;$N$3),0,1))</f>
        <v>0</v>
      </c>
      <c r="P2144">
        <f>IF(AND($K2144=1,AND(对接源_02物料!$X944="公司筐",N(对接源_02物料!$T944)&lt;&gt;0)),1,0)</f>
        <v>0</v>
      </c>
      <c r="Q2144">
        <f>N(Q2143)+$P2144</f>
        <v>14</v>
      </c>
      <c r="R2144">
        <f>IF(AND($K2144=1,AND(对接源_02物料!$X944="公司筐",N(对接源_02物料!$U944)&lt;&gt;0)),1,0)</f>
        <v>0</v>
      </c>
      <c r="S2144">
        <f>N(S2143)+$R2144</f>
        <v>1</v>
      </c>
      <c r="T2144">
        <f>IF(AND($K2144=1,AND(对接源_02物料!$X944="公司筐",N(对接源_02物料!$V944)&lt;&gt;0)),1,0)</f>
        <v>0</v>
      </c>
      <c r="U2144">
        <f>N(U2143)+$T2144</f>
        <v>47</v>
      </c>
      <c r="V2144">
        <f>IF(AND($L2144=1,AND(对接源_02物料!$X944="自备筐",N(对接源_02物料!$V944)&lt;&gt;0)),1,0)</f>
        <v>0</v>
      </c>
      <c r="W2144">
        <f>N(W2143)+$V2144</f>
        <v>11</v>
      </c>
      <c r="X2144">
        <f>IF(AND($L2144=1,AND(对接源_02物料!$X944="自备筐",N(对接源_02物料!$T944)&lt;&gt;0)),1,0)</f>
        <v>0</v>
      </c>
      <c r="Y2144">
        <f>N(Y2143)+$X2144</f>
        <v>0</v>
      </c>
      <c r="Z2144">
        <f>IF(AND($M2144=1,对接源_02物料!$D944="原料入库"),1,0)</f>
        <v>0</v>
      </c>
      <c r="AA2144">
        <f>N(AA2143)+$Z2144</f>
        <v>24</v>
      </c>
      <c r="AB2144">
        <f>IF(AND($M2144=1,LEFT(对接源_02物料!$D944,4)="原料出库"),1,0)</f>
        <v>0</v>
      </c>
      <c r="AC2144">
        <f>N(AC2143)+$AB2144</f>
        <v>0</v>
      </c>
      <c r="AD2144">
        <f>IF(AND($M2144=1,LEFT(对接源_02物料!$D944,4)="成品出库"),1,0)</f>
        <v>0</v>
      </c>
      <c r="AE2144">
        <f>N(AE2143)+$AD2144</f>
        <v>0</v>
      </c>
      <c r="AF2144">
        <f>IF(AND($N2144=1,AND(LEFT(对接源_02物料!$D944,4)="包装物料",N(对接源_02物料!$K944)&lt;&gt;0)),1,0)</f>
        <v>0</v>
      </c>
      <c r="AG2144">
        <f>N(AG2143)+$AF2144</f>
        <v>10</v>
      </c>
      <c r="AH2144">
        <f>IF(AND($N2144=1,AND(对接源_02物料!$D944="周转筐－销售出库",N(对接源_02物料!$K944)&lt;&gt;0)),1,0)</f>
        <v>0</v>
      </c>
      <c r="AI2144">
        <f>N(AI2143)+$AH2144</f>
        <v>0</v>
      </c>
      <c r="AL2144" t="n">
        <v>0</v>
      </c>
      <c r="AM2144">
        <f>N(AM2143)+$AL2144</f>
        <v>2</v>
      </c>
      <c r="AN2144">
        <f>""</f>
      </c>
      <c r="AO2144" t="n">
        <v>0</v>
      </c>
      <c r="AP2144">
        <f>N(AP2143)+$AO2144</f>
        <v>13</v>
      </c>
      <c r="AR2144">
        <f>IF(OR($AF2144=1,$AH2144=1),1,0)</f>
        <v>0</v>
      </c>
      <c r="AS2144">
        <f>N(AS2143)+$AR2144</f>
        <v>10</v>
      </c>
    </row>
    <row r="2145" s="127">
      <c r="A2145">
        <f>IF(对接源_02物料!$C945="","",对接源_02物料!$C945)</f>
      </c>
      <c r="B2145">
        <f>IF(A2145="",0,IF(MATCH(A2145,$A$4:$A$2403,0)=ROW()-3,1,0))</f>
        <v>0</v>
      </c>
      <c r="C2145">
        <f>N(C2144)+B2145</f>
        <v>26</v>
      </c>
      <c r="K2145">
        <f>IF(OR($K$1="",对接源_02物料!$C945="",对接源_02物料!$C945&lt;&gt;$K$1,对接源_02物料!$B945=""),0,IF(OR(N(对接源_02物料!$B945)&lt;$K$2,N(对接源_02物料!$B945)&gt;$K$3),0,1))</f>
        <v>0</v>
      </c>
      <c r="L2145">
        <f>IF(OR($L$1="",对接源_02物料!$C945="",对接源_02物料!$C945&lt;&gt;$L$1,对接源_02物料!$B945=""),0,IF(OR(N(对接源_02物料!$B945)&lt;$L$2,N(对接源_02物料!$B945)&gt;$L$3),0,1))</f>
        <v>0</v>
      </c>
      <c r="M2145">
        <f>IF(OR($M$1="",对接源_02物料!$C945="",对接源_02物料!$C945&lt;&gt;$M$1,对接源_02物料!$B945=""),0,IF(OR(N(对接源_02物料!$B945)&lt;$M$2,N(对接源_02物料!$B945)&gt;$M$3),0,1))</f>
        <v>0</v>
      </c>
      <c r="N2145">
        <f>IF(OR($N$1="",对接源_02物料!$C945="",对接源_02物料!$C945&lt;&gt;$N$1,对接源_02物料!$B945=""),0,IF(OR(N(对接源_02物料!$B945)&lt;$N$2,N(对接源_02物料!$B945)&gt;$N$3),0,1))</f>
        <v>0</v>
      </c>
      <c r="P2145">
        <f>IF(AND($K2145=1,AND(对接源_02物料!$X945="公司筐",N(对接源_02物料!$T945)&lt;&gt;0)),1,0)</f>
        <v>0</v>
      </c>
      <c r="Q2145">
        <f>N(Q2144)+$P2145</f>
        <v>14</v>
      </c>
      <c r="R2145">
        <f>IF(AND($K2145=1,AND(对接源_02物料!$X945="公司筐",N(对接源_02物料!$U945)&lt;&gt;0)),1,0)</f>
        <v>0</v>
      </c>
      <c r="S2145">
        <f>N(S2144)+$R2145</f>
        <v>1</v>
      </c>
      <c r="T2145">
        <f>IF(AND($K2145=1,AND(对接源_02物料!$X945="公司筐",N(对接源_02物料!$V945)&lt;&gt;0)),1,0)</f>
        <v>0</v>
      </c>
      <c r="U2145">
        <f>N(U2144)+$T2145</f>
        <v>47</v>
      </c>
      <c r="V2145">
        <f>IF(AND($L2145=1,AND(对接源_02物料!$X945="自备筐",N(对接源_02物料!$V945)&lt;&gt;0)),1,0)</f>
        <v>0</v>
      </c>
      <c r="W2145">
        <f>N(W2144)+$V2145</f>
        <v>11</v>
      </c>
      <c r="X2145">
        <f>IF(AND($L2145=1,AND(对接源_02物料!$X945="自备筐",N(对接源_02物料!$T945)&lt;&gt;0)),1,0)</f>
        <v>0</v>
      </c>
      <c r="Y2145">
        <f>N(Y2144)+$X2145</f>
        <v>0</v>
      </c>
      <c r="Z2145">
        <f>IF(AND($M2145=1,对接源_02物料!$D945="原料入库"),1,0)</f>
        <v>0</v>
      </c>
      <c r="AA2145">
        <f>N(AA2144)+$Z2145</f>
        <v>24</v>
      </c>
      <c r="AB2145">
        <f>IF(AND($M2145=1,LEFT(对接源_02物料!$D945,4)="原料出库"),1,0)</f>
        <v>0</v>
      </c>
      <c r="AC2145">
        <f>N(AC2144)+$AB2145</f>
        <v>0</v>
      </c>
      <c r="AD2145">
        <f>IF(AND($M2145=1,LEFT(对接源_02物料!$D945,4)="成品出库"),1,0)</f>
        <v>0</v>
      </c>
      <c r="AE2145">
        <f>N(AE2144)+$AD2145</f>
        <v>0</v>
      </c>
      <c r="AF2145">
        <f>IF(AND($N2145=1,AND(LEFT(对接源_02物料!$D945,4)="包装物料",N(对接源_02物料!$K945)&lt;&gt;0)),1,0)</f>
        <v>0</v>
      </c>
      <c r="AG2145">
        <f>N(AG2144)+$AF2145</f>
        <v>10</v>
      </c>
      <c r="AH2145">
        <f>IF(AND($N2145=1,AND(对接源_02物料!$D945="周转筐－销售出库",N(对接源_02物料!$K945)&lt;&gt;0)),1,0)</f>
        <v>0</v>
      </c>
      <c r="AI2145">
        <f>N(AI2144)+$AH2145</f>
        <v>0</v>
      </c>
      <c r="AL2145" t="n">
        <v>0</v>
      </c>
      <c r="AM2145">
        <f>N(AM2144)+$AL2145</f>
        <v>2</v>
      </c>
      <c r="AN2145">
        <f>""</f>
      </c>
      <c r="AO2145" t="n">
        <v>0</v>
      </c>
      <c r="AP2145">
        <f>N(AP2144)+$AO2145</f>
        <v>13</v>
      </c>
      <c r="AR2145">
        <f>IF(OR($AF2145=1,$AH2145=1),1,0)</f>
        <v>0</v>
      </c>
      <c r="AS2145">
        <f>N(AS2144)+$AR2145</f>
        <v>10</v>
      </c>
    </row>
    <row r="2146" s="127">
      <c r="A2146">
        <f>IF(对接源_02物料!$C946="","",对接源_02物料!$C946)</f>
      </c>
      <c r="B2146">
        <f>IF(A2146="",0,IF(MATCH(A2146,$A$4:$A$2403,0)=ROW()-3,1,0))</f>
        <v>0</v>
      </c>
      <c r="C2146">
        <f>N(C2145)+B2146</f>
        <v>26</v>
      </c>
      <c r="K2146">
        <f>IF(OR($K$1="",对接源_02物料!$C946="",对接源_02物料!$C946&lt;&gt;$K$1,对接源_02物料!$B946=""),0,IF(OR(N(对接源_02物料!$B946)&lt;$K$2,N(对接源_02物料!$B946)&gt;$K$3),0,1))</f>
        <v>0</v>
      </c>
      <c r="L2146">
        <f>IF(OR($L$1="",对接源_02物料!$C946="",对接源_02物料!$C946&lt;&gt;$L$1,对接源_02物料!$B946=""),0,IF(OR(N(对接源_02物料!$B946)&lt;$L$2,N(对接源_02物料!$B946)&gt;$L$3),0,1))</f>
        <v>0</v>
      </c>
      <c r="M2146">
        <f>IF(OR($M$1="",对接源_02物料!$C946="",对接源_02物料!$C946&lt;&gt;$M$1,对接源_02物料!$B946=""),0,IF(OR(N(对接源_02物料!$B946)&lt;$M$2,N(对接源_02物料!$B946)&gt;$M$3),0,1))</f>
        <v>0</v>
      </c>
      <c r="N2146">
        <f>IF(OR($N$1="",对接源_02物料!$C946="",对接源_02物料!$C946&lt;&gt;$N$1,对接源_02物料!$B946=""),0,IF(OR(N(对接源_02物料!$B946)&lt;$N$2,N(对接源_02物料!$B946)&gt;$N$3),0,1))</f>
        <v>0</v>
      </c>
      <c r="P2146">
        <f>IF(AND($K2146=1,AND(对接源_02物料!$X946="公司筐",N(对接源_02物料!$T946)&lt;&gt;0)),1,0)</f>
        <v>0</v>
      </c>
      <c r="Q2146">
        <f>N(Q2145)+$P2146</f>
        <v>14</v>
      </c>
      <c r="R2146">
        <f>IF(AND($K2146=1,AND(对接源_02物料!$X946="公司筐",N(对接源_02物料!$U946)&lt;&gt;0)),1,0)</f>
        <v>0</v>
      </c>
      <c r="S2146">
        <f>N(S2145)+$R2146</f>
        <v>1</v>
      </c>
      <c r="T2146">
        <f>IF(AND($K2146=1,AND(对接源_02物料!$X946="公司筐",N(对接源_02物料!$V946)&lt;&gt;0)),1,0)</f>
        <v>0</v>
      </c>
      <c r="U2146">
        <f>N(U2145)+$T2146</f>
        <v>47</v>
      </c>
      <c r="V2146">
        <f>IF(AND($L2146=1,AND(对接源_02物料!$X946="自备筐",N(对接源_02物料!$V946)&lt;&gt;0)),1,0)</f>
        <v>0</v>
      </c>
      <c r="W2146">
        <f>N(W2145)+$V2146</f>
        <v>11</v>
      </c>
      <c r="X2146">
        <f>IF(AND($L2146=1,AND(对接源_02物料!$X946="自备筐",N(对接源_02物料!$T946)&lt;&gt;0)),1,0)</f>
        <v>0</v>
      </c>
      <c r="Y2146">
        <f>N(Y2145)+$X2146</f>
        <v>0</v>
      </c>
      <c r="Z2146">
        <f>IF(AND($M2146=1,对接源_02物料!$D946="原料入库"),1,0)</f>
        <v>0</v>
      </c>
      <c r="AA2146">
        <f>N(AA2145)+$Z2146</f>
        <v>24</v>
      </c>
      <c r="AB2146">
        <f>IF(AND($M2146=1,LEFT(对接源_02物料!$D946,4)="原料出库"),1,0)</f>
        <v>0</v>
      </c>
      <c r="AC2146">
        <f>N(AC2145)+$AB2146</f>
        <v>0</v>
      </c>
      <c r="AD2146">
        <f>IF(AND($M2146=1,LEFT(对接源_02物料!$D946,4)="成品出库"),1,0)</f>
        <v>0</v>
      </c>
      <c r="AE2146">
        <f>N(AE2145)+$AD2146</f>
        <v>0</v>
      </c>
      <c r="AF2146">
        <f>IF(AND($N2146=1,AND(LEFT(对接源_02物料!$D946,4)="包装物料",N(对接源_02物料!$K946)&lt;&gt;0)),1,0)</f>
        <v>0</v>
      </c>
      <c r="AG2146">
        <f>N(AG2145)+$AF2146</f>
        <v>10</v>
      </c>
      <c r="AH2146">
        <f>IF(AND($N2146=1,AND(对接源_02物料!$D946="周转筐－销售出库",N(对接源_02物料!$K946)&lt;&gt;0)),1,0)</f>
        <v>0</v>
      </c>
      <c r="AI2146">
        <f>N(AI2145)+$AH2146</f>
        <v>0</v>
      </c>
      <c r="AL2146" t="n">
        <v>0</v>
      </c>
      <c r="AM2146">
        <f>N(AM2145)+$AL2146</f>
        <v>2</v>
      </c>
      <c r="AN2146">
        <f>""</f>
      </c>
      <c r="AO2146" t="n">
        <v>0</v>
      </c>
      <c r="AP2146">
        <f>N(AP2145)+$AO2146</f>
        <v>13</v>
      </c>
      <c r="AR2146">
        <f>IF(OR($AF2146=1,$AH2146=1),1,0)</f>
        <v>0</v>
      </c>
      <c r="AS2146">
        <f>N(AS2145)+$AR2146</f>
        <v>10</v>
      </c>
    </row>
    <row r="2147" s="127">
      <c r="A2147">
        <f>IF(对接源_02物料!$C947="","",对接源_02物料!$C947)</f>
      </c>
      <c r="B2147">
        <f>IF(A2147="",0,IF(MATCH(A2147,$A$4:$A$2403,0)=ROW()-3,1,0))</f>
        <v>0</v>
      </c>
      <c r="C2147">
        <f>N(C2146)+B2147</f>
        <v>26</v>
      </c>
      <c r="K2147">
        <f>IF(OR($K$1="",对接源_02物料!$C947="",对接源_02物料!$C947&lt;&gt;$K$1,对接源_02物料!$B947=""),0,IF(OR(N(对接源_02物料!$B947)&lt;$K$2,N(对接源_02物料!$B947)&gt;$K$3),0,1))</f>
        <v>0</v>
      </c>
      <c r="L2147">
        <f>IF(OR($L$1="",对接源_02物料!$C947="",对接源_02物料!$C947&lt;&gt;$L$1,对接源_02物料!$B947=""),0,IF(OR(N(对接源_02物料!$B947)&lt;$L$2,N(对接源_02物料!$B947)&gt;$L$3),0,1))</f>
        <v>0</v>
      </c>
      <c r="M2147">
        <f>IF(OR($M$1="",对接源_02物料!$C947="",对接源_02物料!$C947&lt;&gt;$M$1,对接源_02物料!$B947=""),0,IF(OR(N(对接源_02物料!$B947)&lt;$M$2,N(对接源_02物料!$B947)&gt;$M$3),0,1))</f>
        <v>0</v>
      </c>
      <c r="N2147">
        <f>IF(OR($N$1="",对接源_02物料!$C947="",对接源_02物料!$C947&lt;&gt;$N$1,对接源_02物料!$B947=""),0,IF(OR(N(对接源_02物料!$B947)&lt;$N$2,N(对接源_02物料!$B947)&gt;$N$3),0,1))</f>
        <v>0</v>
      </c>
      <c r="P2147">
        <f>IF(AND($K2147=1,AND(对接源_02物料!$X947="公司筐",N(对接源_02物料!$T947)&lt;&gt;0)),1,0)</f>
        <v>0</v>
      </c>
      <c r="Q2147">
        <f>N(Q2146)+$P2147</f>
        <v>14</v>
      </c>
      <c r="R2147">
        <f>IF(AND($K2147=1,AND(对接源_02物料!$X947="公司筐",N(对接源_02物料!$U947)&lt;&gt;0)),1,0)</f>
        <v>0</v>
      </c>
      <c r="S2147">
        <f>N(S2146)+$R2147</f>
        <v>1</v>
      </c>
      <c r="T2147">
        <f>IF(AND($K2147=1,AND(对接源_02物料!$X947="公司筐",N(对接源_02物料!$V947)&lt;&gt;0)),1,0)</f>
        <v>0</v>
      </c>
      <c r="U2147">
        <f>N(U2146)+$T2147</f>
        <v>47</v>
      </c>
      <c r="V2147">
        <f>IF(AND($L2147=1,AND(对接源_02物料!$X947="自备筐",N(对接源_02物料!$V947)&lt;&gt;0)),1,0)</f>
        <v>0</v>
      </c>
      <c r="W2147">
        <f>N(W2146)+$V2147</f>
        <v>11</v>
      </c>
      <c r="X2147">
        <f>IF(AND($L2147=1,AND(对接源_02物料!$X947="自备筐",N(对接源_02物料!$T947)&lt;&gt;0)),1,0)</f>
        <v>0</v>
      </c>
      <c r="Y2147">
        <f>N(Y2146)+$X2147</f>
        <v>0</v>
      </c>
      <c r="Z2147">
        <f>IF(AND($M2147=1,对接源_02物料!$D947="原料入库"),1,0)</f>
        <v>0</v>
      </c>
      <c r="AA2147">
        <f>N(AA2146)+$Z2147</f>
        <v>24</v>
      </c>
      <c r="AB2147">
        <f>IF(AND($M2147=1,LEFT(对接源_02物料!$D947,4)="原料出库"),1,0)</f>
        <v>0</v>
      </c>
      <c r="AC2147">
        <f>N(AC2146)+$AB2147</f>
        <v>0</v>
      </c>
      <c r="AD2147">
        <f>IF(AND($M2147=1,LEFT(对接源_02物料!$D947,4)="成品出库"),1,0)</f>
        <v>0</v>
      </c>
      <c r="AE2147">
        <f>N(AE2146)+$AD2147</f>
        <v>0</v>
      </c>
      <c r="AF2147">
        <f>IF(AND($N2147=1,AND(LEFT(对接源_02物料!$D947,4)="包装物料",N(对接源_02物料!$K947)&lt;&gt;0)),1,0)</f>
        <v>0</v>
      </c>
      <c r="AG2147">
        <f>N(AG2146)+$AF2147</f>
        <v>10</v>
      </c>
      <c r="AH2147">
        <f>IF(AND($N2147=1,AND(对接源_02物料!$D947="周转筐－销售出库",N(对接源_02物料!$K947)&lt;&gt;0)),1,0)</f>
        <v>0</v>
      </c>
      <c r="AI2147">
        <f>N(AI2146)+$AH2147</f>
        <v>0</v>
      </c>
      <c r="AL2147" t="n">
        <v>0</v>
      </c>
      <c r="AM2147">
        <f>N(AM2146)+$AL2147</f>
        <v>2</v>
      </c>
      <c r="AN2147">
        <f>""</f>
      </c>
      <c r="AO2147" t="n">
        <v>0</v>
      </c>
      <c r="AP2147">
        <f>N(AP2146)+$AO2147</f>
        <v>13</v>
      </c>
      <c r="AR2147">
        <f>IF(OR($AF2147=1,$AH2147=1),1,0)</f>
        <v>0</v>
      </c>
      <c r="AS2147">
        <f>N(AS2146)+$AR2147</f>
        <v>10</v>
      </c>
    </row>
    <row r="2148" s="127">
      <c r="A2148">
        <f>IF(对接源_02物料!$C948="","",对接源_02物料!$C948)</f>
      </c>
      <c r="B2148">
        <f>IF(A2148="",0,IF(MATCH(A2148,$A$4:$A$2403,0)=ROW()-3,1,0))</f>
        <v>0</v>
      </c>
      <c r="C2148">
        <f>N(C2147)+B2148</f>
        <v>26</v>
      </c>
      <c r="K2148">
        <f>IF(OR($K$1="",对接源_02物料!$C948="",对接源_02物料!$C948&lt;&gt;$K$1,对接源_02物料!$B948=""),0,IF(OR(N(对接源_02物料!$B948)&lt;$K$2,N(对接源_02物料!$B948)&gt;$K$3),0,1))</f>
        <v>0</v>
      </c>
      <c r="L2148">
        <f>IF(OR($L$1="",对接源_02物料!$C948="",对接源_02物料!$C948&lt;&gt;$L$1,对接源_02物料!$B948=""),0,IF(OR(N(对接源_02物料!$B948)&lt;$L$2,N(对接源_02物料!$B948)&gt;$L$3),0,1))</f>
        <v>0</v>
      </c>
      <c r="M2148">
        <f>IF(OR($M$1="",对接源_02物料!$C948="",对接源_02物料!$C948&lt;&gt;$M$1,对接源_02物料!$B948=""),0,IF(OR(N(对接源_02物料!$B948)&lt;$M$2,N(对接源_02物料!$B948)&gt;$M$3),0,1))</f>
        <v>0</v>
      </c>
      <c r="N2148">
        <f>IF(OR($N$1="",对接源_02物料!$C948="",对接源_02物料!$C948&lt;&gt;$N$1,对接源_02物料!$B948=""),0,IF(OR(N(对接源_02物料!$B948)&lt;$N$2,N(对接源_02物料!$B948)&gt;$N$3),0,1))</f>
        <v>0</v>
      </c>
      <c r="P2148">
        <f>IF(AND($K2148=1,AND(对接源_02物料!$X948="公司筐",N(对接源_02物料!$T948)&lt;&gt;0)),1,0)</f>
        <v>0</v>
      </c>
      <c r="Q2148">
        <f>N(Q2147)+$P2148</f>
        <v>14</v>
      </c>
      <c r="R2148">
        <f>IF(AND($K2148=1,AND(对接源_02物料!$X948="公司筐",N(对接源_02物料!$U948)&lt;&gt;0)),1,0)</f>
        <v>0</v>
      </c>
      <c r="S2148">
        <f>N(S2147)+$R2148</f>
        <v>1</v>
      </c>
      <c r="T2148">
        <f>IF(AND($K2148=1,AND(对接源_02物料!$X948="公司筐",N(对接源_02物料!$V948)&lt;&gt;0)),1,0)</f>
        <v>0</v>
      </c>
      <c r="U2148">
        <f>N(U2147)+$T2148</f>
        <v>47</v>
      </c>
      <c r="V2148">
        <f>IF(AND($L2148=1,AND(对接源_02物料!$X948="自备筐",N(对接源_02物料!$V948)&lt;&gt;0)),1,0)</f>
        <v>0</v>
      </c>
      <c r="W2148">
        <f>N(W2147)+$V2148</f>
        <v>11</v>
      </c>
      <c r="X2148">
        <f>IF(AND($L2148=1,AND(对接源_02物料!$X948="自备筐",N(对接源_02物料!$T948)&lt;&gt;0)),1,0)</f>
        <v>0</v>
      </c>
      <c r="Y2148">
        <f>N(Y2147)+$X2148</f>
        <v>0</v>
      </c>
      <c r="Z2148">
        <f>IF(AND($M2148=1,对接源_02物料!$D948="原料入库"),1,0)</f>
        <v>0</v>
      </c>
      <c r="AA2148">
        <f>N(AA2147)+$Z2148</f>
        <v>24</v>
      </c>
      <c r="AB2148">
        <f>IF(AND($M2148=1,LEFT(对接源_02物料!$D948,4)="原料出库"),1,0)</f>
        <v>0</v>
      </c>
      <c r="AC2148">
        <f>N(AC2147)+$AB2148</f>
        <v>0</v>
      </c>
      <c r="AD2148">
        <f>IF(AND($M2148=1,LEFT(对接源_02物料!$D948,4)="成品出库"),1,0)</f>
        <v>0</v>
      </c>
      <c r="AE2148">
        <f>N(AE2147)+$AD2148</f>
        <v>0</v>
      </c>
      <c r="AF2148">
        <f>IF(AND($N2148=1,AND(LEFT(对接源_02物料!$D948,4)="包装物料",N(对接源_02物料!$K948)&lt;&gt;0)),1,0)</f>
        <v>0</v>
      </c>
      <c r="AG2148">
        <f>N(AG2147)+$AF2148</f>
        <v>10</v>
      </c>
      <c r="AH2148">
        <f>IF(AND($N2148=1,AND(对接源_02物料!$D948="周转筐－销售出库",N(对接源_02物料!$K948)&lt;&gt;0)),1,0)</f>
        <v>0</v>
      </c>
      <c r="AI2148">
        <f>N(AI2147)+$AH2148</f>
        <v>0</v>
      </c>
      <c r="AL2148" t="n">
        <v>0</v>
      </c>
      <c r="AM2148">
        <f>N(AM2147)+$AL2148</f>
        <v>2</v>
      </c>
      <c r="AN2148">
        <f>""</f>
      </c>
      <c r="AO2148" t="n">
        <v>0</v>
      </c>
      <c r="AP2148">
        <f>N(AP2147)+$AO2148</f>
        <v>13</v>
      </c>
      <c r="AR2148">
        <f>IF(OR($AF2148=1,$AH2148=1),1,0)</f>
        <v>0</v>
      </c>
      <c r="AS2148">
        <f>N(AS2147)+$AR2148</f>
        <v>10</v>
      </c>
    </row>
    <row r="2149" s="127">
      <c r="A2149">
        <f>IF(对接源_02物料!$C949="","",对接源_02物料!$C949)</f>
      </c>
      <c r="B2149">
        <f>IF(A2149="",0,IF(MATCH(A2149,$A$4:$A$2403,0)=ROW()-3,1,0))</f>
        <v>0</v>
      </c>
      <c r="C2149">
        <f>N(C2148)+B2149</f>
        <v>26</v>
      </c>
      <c r="K2149">
        <f>IF(OR($K$1="",对接源_02物料!$C949="",对接源_02物料!$C949&lt;&gt;$K$1,对接源_02物料!$B949=""),0,IF(OR(N(对接源_02物料!$B949)&lt;$K$2,N(对接源_02物料!$B949)&gt;$K$3),0,1))</f>
        <v>0</v>
      </c>
      <c r="L2149">
        <f>IF(OR($L$1="",对接源_02物料!$C949="",对接源_02物料!$C949&lt;&gt;$L$1,对接源_02物料!$B949=""),0,IF(OR(N(对接源_02物料!$B949)&lt;$L$2,N(对接源_02物料!$B949)&gt;$L$3),0,1))</f>
        <v>0</v>
      </c>
      <c r="M2149">
        <f>IF(OR($M$1="",对接源_02物料!$C949="",对接源_02物料!$C949&lt;&gt;$M$1,对接源_02物料!$B949=""),0,IF(OR(N(对接源_02物料!$B949)&lt;$M$2,N(对接源_02物料!$B949)&gt;$M$3),0,1))</f>
        <v>0</v>
      </c>
      <c r="N2149">
        <f>IF(OR($N$1="",对接源_02物料!$C949="",对接源_02物料!$C949&lt;&gt;$N$1,对接源_02物料!$B949=""),0,IF(OR(N(对接源_02物料!$B949)&lt;$N$2,N(对接源_02物料!$B949)&gt;$N$3),0,1))</f>
        <v>0</v>
      </c>
      <c r="P2149">
        <f>IF(AND($K2149=1,AND(对接源_02物料!$X949="公司筐",N(对接源_02物料!$T949)&lt;&gt;0)),1,0)</f>
        <v>0</v>
      </c>
      <c r="Q2149">
        <f>N(Q2148)+$P2149</f>
        <v>14</v>
      </c>
      <c r="R2149">
        <f>IF(AND($K2149=1,AND(对接源_02物料!$X949="公司筐",N(对接源_02物料!$U949)&lt;&gt;0)),1,0)</f>
        <v>0</v>
      </c>
      <c r="S2149">
        <f>N(S2148)+$R2149</f>
        <v>1</v>
      </c>
      <c r="T2149">
        <f>IF(AND($K2149=1,AND(对接源_02物料!$X949="公司筐",N(对接源_02物料!$V949)&lt;&gt;0)),1,0)</f>
        <v>0</v>
      </c>
      <c r="U2149">
        <f>N(U2148)+$T2149</f>
        <v>47</v>
      </c>
      <c r="V2149">
        <f>IF(AND($L2149=1,AND(对接源_02物料!$X949="自备筐",N(对接源_02物料!$V949)&lt;&gt;0)),1,0)</f>
        <v>0</v>
      </c>
      <c r="W2149">
        <f>N(W2148)+$V2149</f>
        <v>11</v>
      </c>
      <c r="X2149">
        <f>IF(AND($L2149=1,AND(对接源_02物料!$X949="自备筐",N(对接源_02物料!$T949)&lt;&gt;0)),1,0)</f>
        <v>0</v>
      </c>
      <c r="Y2149">
        <f>N(Y2148)+$X2149</f>
        <v>0</v>
      </c>
      <c r="Z2149">
        <f>IF(AND($M2149=1,对接源_02物料!$D949="原料入库"),1,0)</f>
        <v>0</v>
      </c>
      <c r="AA2149">
        <f>N(AA2148)+$Z2149</f>
        <v>24</v>
      </c>
      <c r="AB2149">
        <f>IF(AND($M2149=1,LEFT(对接源_02物料!$D949,4)="原料出库"),1,0)</f>
        <v>0</v>
      </c>
      <c r="AC2149">
        <f>N(AC2148)+$AB2149</f>
        <v>0</v>
      </c>
      <c r="AD2149">
        <f>IF(AND($M2149=1,LEFT(对接源_02物料!$D949,4)="成品出库"),1,0)</f>
        <v>0</v>
      </c>
      <c r="AE2149">
        <f>N(AE2148)+$AD2149</f>
        <v>0</v>
      </c>
      <c r="AF2149">
        <f>IF(AND($N2149=1,AND(LEFT(对接源_02物料!$D949,4)="包装物料",N(对接源_02物料!$K949)&lt;&gt;0)),1,0)</f>
        <v>0</v>
      </c>
      <c r="AG2149">
        <f>N(AG2148)+$AF2149</f>
        <v>10</v>
      </c>
      <c r="AH2149">
        <f>IF(AND($N2149=1,AND(对接源_02物料!$D949="周转筐－销售出库",N(对接源_02物料!$K949)&lt;&gt;0)),1,0)</f>
        <v>0</v>
      </c>
      <c r="AI2149">
        <f>N(AI2148)+$AH2149</f>
        <v>0</v>
      </c>
      <c r="AL2149" t="n">
        <v>0</v>
      </c>
      <c r="AM2149">
        <f>N(AM2148)+$AL2149</f>
        <v>2</v>
      </c>
      <c r="AN2149">
        <f>""</f>
      </c>
      <c r="AO2149" t="n">
        <v>0</v>
      </c>
      <c r="AP2149">
        <f>N(AP2148)+$AO2149</f>
        <v>13</v>
      </c>
      <c r="AR2149">
        <f>IF(OR($AF2149=1,$AH2149=1),1,0)</f>
        <v>0</v>
      </c>
      <c r="AS2149">
        <f>N(AS2148)+$AR2149</f>
        <v>10</v>
      </c>
    </row>
    <row r="2150" s="127">
      <c r="A2150">
        <f>IF(对接源_02物料!$C950="","",对接源_02物料!$C950)</f>
      </c>
      <c r="B2150">
        <f>IF(A2150="",0,IF(MATCH(A2150,$A$4:$A$2403,0)=ROW()-3,1,0))</f>
        <v>0</v>
      </c>
      <c r="C2150">
        <f>N(C2149)+B2150</f>
        <v>26</v>
      </c>
      <c r="K2150">
        <f>IF(OR($K$1="",对接源_02物料!$C950="",对接源_02物料!$C950&lt;&gt;$K$1,对接源_02物料!$B950=""),0,IF(OR(N(对接源_02物料!$B950)&lt;$K$2,N(对接源_02物料!$B950)&gt;$K$3),0,1))</f>
        <v>0</v>
      </c>
      <c r="L2150">
        <f>IF(OR($L$1="",对接源_02物料!$C950="",对接源_02物料!$C950&lt;&gt;$L$1,对接源_02物料!$B950=""),0,IF(OR(N(对接源_02物料!$B950)&lt;$L$2,N(对接源_02物料!$B950)&gt;$L$3),0,1))</f>
        <v>0</v>
      </c>
      <c r="M2150">
        <f>IF(OR($M$1="",对接源_02物料!$C950="",对接源_02物料!$C950&lt;&gt;$M$1,对接源_02物料!$B950=""),0,IF(OR(N(对接源_02物料!$B950)&lt;$M$2,N(对接源_02物料!$B950)&gt;$M$3),0,1))</f>
        <v>0</v>
      </c>
      <c r="N2150">
        <f>IF(OR($N$1="",对接源_02物料!$C950="",对接源_02物料!$C950&lt;&gt;$N$1,对接源_02物料!$B950=""),0,IF(OR(N(对接源_02物料!$B950)&lt;$N$2,N(对接源_02物料!$B950)&gt;$N$3),0,1))</f>
        <v>0</v>
      </c>
      <c r="P2150">
        <f>IF(AND($K2150=1,AND(对接源_02物料!$X950="公司筐",N(对接源_02物料!$T950)&lt;&gt;0)),1,0)</f>
        <v>0</v>
      </c>
      <c r="Q2150">
        <f>N(Q2149)+$P2150</f>
        <v>14</v>
      </c>
      <c r="R2150">
        <f>IF(AND($K2150=1,AND(对接源_02物料!$X950="公司筐",N(对接源_02物料!$U950)&lt;&gt;0)),1,0)</f>
        <v>0</v>
      </c>
      <c r="S2150">
        <f>N(S2149)+$R2150</f>
        <v>1</v>
      </c>
      <c r="T2150">
        <f>IF(AND($K2150=1,AND(对接源_02物料!$X950="公司筐",N(对接源_02物料!$V950)&lt;&gt;0)),1,0)</f>
        <v>0</v>
      </c>
      <c r="U2150">
        <f>N(U2149)+$T2150</f>
        <v>47</v>
      </c>
      <c r="V2150">
        <f>IF(AND($L2150=1,AND(对接源_02物料!$X950="自备筐",N(对接源_02物料!$V950)&lt;&gt;0)),1,0)</f>
        <v>0</v>
      </c>
      <c r="W2150">
        <f>N(W2149)+$V2150</f>
        <v>11</v>
      </c>
      <c r="X2150">
        <f>IF(AND($L2150=1,AND(对接源_02物料!$X950="自备筐",N(对接源_02物料!$T950)&lt;&gt;0)),1,0)</f>
        <v>0</v>
      </c>
      <c r="Y2150">
        <f>N(Y2149)+$X2150</f>
        <v>0</v>
      </c>
      <c r="Z2150">
        <f>IF(AND($M2150=1,对接源_02物料!$D950="原料入库"),1,0)</f>
        <v>0</v>
      </c>
      <c r="AA2150">
        <f>N(AA2149)+$Z2150</f>
        <v>24</v>
      </c>
      <c r="AB2150">
        <f>IF(AND($M2150=1,LEFT(对接源_02物料!$D950,4)="原料出库"),1,0)</f>
        <v>0</v>
      </c>
      <c r="AC2150">
        <f>N(AC2149)+$AB2150</f>
        <v>0</v>
      </c>
      <c r="AD2150">
        <f>IF(AND($M2150=1,LEFT(对接源_02物料!$D950,4)="成品出库"),1,0)</f>
        <v>0</v>
      </c>
      <c r="AE2150">
        <f>N(AE2149)+$AD2150</f>
        <v>0</v>
      </c>
      <c r="AF2150">
        <f>IF(AND($N2150=1,AND(LEFT(对接源_02物料!$D950,4)="包装物料",N(对接源_02物料!$K950)&lt;&gt;0)),1,0)</f>
        <v>0</v>
      </c>
      <c r="AG2150">
        <f>N(AG2149)+$AF2150</f>
        <v>10</v>
      </c>
      <c r="AH2150">
        <f>IF(AND($N2150=1,AND(对接源_02物料!$D950="周转筐－销售出库",N(对接源_02物料!$K950)&lt;&gt;0)),1,0)</f>
        <v>0</v>
      </c>
      <c r="AI2150">
        <f>N(AI2149)+$AH2150</f>
        <v>0</v>
      </c>
      <c r="AL2150" t="n">
        <v>0</v>
      </c>
      <c r="AM2150">
        <f>N(AM2149)+$AL2150</f>
        <v>2</v>
      </c>
      <c r="AN2150">
        <f>""</f>
      </c>
      <c r="AO2150" t="n">
        <v>0</v>
      </c>
      <c r="AP2150">
        <f>N(AP2149)+$AO2150</f>
        <v>13</v>
      </c>
      <c r="AR2150">
        <f>IF(OR($AF2150=1,$AH2150=1),1,0)</f>
        <v>0</v>
      </c>
      <c r="AS2150">
        <f>N(AS2149)+$AR2150</f>
        <v>10</v>
      </c>
    </row>
    <row r="2151" s="127">
      <c r="A2151">
        <f>IF(对接源_02物料!$C951="","",对接源_02物料!$C951)</f>
      </c>
      <c r="B2151">
        <f>IF(A2151="",0,IF(MATCH(A2151,$A$4:$A$2403,0)=ROW()-3,1,0))</f>
        <v>0</v>
      </c>
      <c r="C2151">
        <f>N(C2150)+B2151</f>
        <v>26</v>
      </c>
      <c r="K2151">
        <f>IF(OR($K$1="",对接源_02物料!$C951="",对接源_02物料!$C951&lt;&gt;$K$1,对接源_02物料!$B951=""),0,IF(OR(N(对接源_02物料!$B951)&lt;$K$2,N(对接源_02物料!$B951)&gt;$K$3),0,1))</f>
        <v>0</v>
      </c>
      <c r="L2151">
        <f>IF(OR($L$1="",对接源_02物料!$C951="",对接源_02物料!$C951&lt;&gt;$L$1,对接源_02物料!$B951=""),0,IF(OR(N(对接源_02物料!$B951)&lt;$L$2,N(对接源_02物料!$B951)&gt;$L$3),0,1))</f>
        <v>0</v>
      </c>
      <c r="M2151">
        <f>IF(OR($M$1="",对接源_02物料!$C951="",对接源_02物料!$C951&lt;&gt;$M$1,对接源_02物料!$B951=""),0,IF(OR(N(对接源_02物料!$B951)&lt;$M$2,N(对接源_02物料!$B951)&gt;$M$3),0,1))</f>
        <v>0</v>
      </c>
      <c r="N2151">
        <f>IF(OR($N$1="",对接源_02物料!$C951="",对接源_02物料!$C951&lt;&gt;$N$1,对接源_02物料!$B951=""),0,IF(OR(N(对接源_02物料!$B951)&lt;$N$2,N(对接源_02物料!$B951)&gt;$N$3),0,1))</f>
        <v>0</v>
      </c>
      <c r="P2151">
        <f>IF(AND($K2151=1,AND(对接源_02物料!$X951="公司筐",N(对接源_02物料!$T951)&lt;&gt;0)),1,0)</f>
        <v>0</v>
      </c>
      <c r="Q2151">
        <f>N(Q2150)+$P2151</f>
        <v>14</v>
      </c>
      <c r="R2151">
        <f>IF(AND($K2151=1,AND(对接源_02物料!$X951="公司筐",N(对接源_02物料!$U951)&lt;&gt;0)),1,0)</f>
        <v>0</v>
      </c>
      <c r="S2151">
        <f>N(S2150)+$R2151</f>
        <v>1</v>
      </c>
      <c r="T2151">
        <f>IF(AND($K2151=1,AND(对接源_02物料!$X951="公司筐",N(对接源_02物料!$V951)&lt;&gt;0)),1,0)</f>
        <v>0</v>
      </c>
      <c r="U2151">
        <f>N(U2150)+$T2151</f>
        <v>47</v>
      </c>
      <c r="V2151">
        <f>IF(AND($L2151=1,AND(对接源_02物料!$X951="自备筐",N(对接源_02物料!$V951)&lt;&gt;0)),1,0)</f>
        <v>0</v>
      </c>
      <c r="W2151">
        <f>N(W2150)+$V2151</f>
        <v>11</v>
      </c>
      <c r="X2151">
        <f>IF(AND($L2151=1,AND(对接源_02物料!$X951="自备筐",N(对接源_02物料!$T951)&lt;&gt;0)),1,0)</f>
        <v>0</v>
      </c>
      <c r="Y2151">
        <f>N(Y2150)+$X2151</f>
        <v>0</v>
      </c>
      <c r="Z2151">
        <f>IF(AND($M2151=1,对接源_02物料!$D951="原料入库"),1,0)</f>
        <v>0</v>
      </c>
      <c r="AA2151">
        <f>N(AA2150)+$Z2151</f>
        <v>24</v>
      </c>
      <c r="AB2151">
        <f>IF(AND($M2151=1,LEFT(对接源_02物料!$D951,4)="原料出库"),1,0)</f>
        <v>0</v>
      </c>
      <c r="AC2151">
        <f>N(AC2150)+$AB2151</f>
        <v>0</v>
      </c>
      <c r="AD2151">
        <f>IF(AND($M2151=1,LEFT(对接源_02物料!$D951,4)="成品出库"),1,0)</f>
        <v>0</v>
      </c>
      <c r="AE2151">
        <f>N(AE2150)+$AD2151</f>
        <v>0</v>
      </c>
      <c r="AF2151">
        <f>IF(AND($N2151=1,AND(LEFT(对接源_02物料!$D951,4)="包装物料",N(对接源_02物料!$K951)&lt;&gt;0)),1,0)</f>
        <v>0</v>
      </c>
      <c r="AG2151">
        <f>N(AG2150)+$AF2151</f>
        <v>10</v>
      </c>
      <c r="AH2151">
        <f>IF(AND($N2151=1,AND(对接源_02物料!$D951="周转筐－销售出库",N(对接源_02物料!$K951)&lt;&gt;0)),1,0)</f>
        <v>0</v>
      </c>
      <c r="AI2151">
        <f>N(AI2150)+$AH2151</f>
        <v>0</v>
      </c>
      <c r="AL2151" t="n">
        <v>0</v>
      </c>
      <c r="AM2151">
        <f>N(AM2150)+$AL2151</f>
        <v>2</v>
      </c>
      <c r="AN2151">
        <f>""</f>
      </c>
      <c r="AO2151" t="n">
        <v>0</v>
      </c>
      <c r="AP2151">
        <f>N(AP2150)+$AO2151</f>
        <v>13</v>
      </c>
      <c r="AR2151">
        <f>IF(OR($AF2151=1,$AH2151=1),1,0)</f>
        <v>0</v>
      </c>
      <c r="AS2151">
        <f>N(AS2150)+$AR2151</f>
        <v>10</v>
      </c>
    </row>
    <row r="2152" s="127">
      <c r="A2152">
        <f>IF(对接源_02物料!$C952="","",对接源_02物料!$C952)</f>
      </c>
      <c r="B2152">
        <f>IF(A2152="",0,IF(MATCH(A2152,$A$4:$A$2403,0)=ROW()-3,1,0))</f>
        <v>0</v>
      </c>
      <c r="C2152">
        <f>N(C2151)+B2152</f>
        <v>26</v>
      </c>
      <c r="K2152">
        <f>IF(OR($K$1="",对接源_02物料!$C952="",对接源_02物料!$C952&lt;&gt;$K$1,对接源_02物料!$B952=""),0,IF(OR(N(对接源_02物料!$B952)&lt;$K$2,N(对接源_02物料!$B952)&gt;$K$3),0,1))</f>
        <v>0</v>
      </c>
      <c r="L2152">
        <f>IF(OR($L$1="",对接源_02物料!$C952="",对接源_02物料!$C952&lt;&gt;$L$1,对接源_02物料!$B952=""),0,IF(OR(N(对接源_02物料!$B952)&lt;$L$2,N(对接源_02物料!$B952)&gt;$L$3),0,1))</f>
        <v>0</v>
      </c>
      <c r="M2152">
        <f>IF(OR($M$1="",对接源_02物料!$C952="",对接源_02物料!$C952&lt;&gt;$M$1,对接源_02物料!$B952=""),0,IF(OR(N(对接源_02物料!$B952)&lt;$M$2,N(对接源_02物料!$B952)&gt;$M$3),0,1))</f>
        <v>0</v>
      </c>
      <c r="N2152">
        <f>IF(OR($N$1="",对接源_02物料!$C952="",对接源_02物料!$C952&lt;&gt;$N$1,对接源_02物料!$B952=""),0,IF(OR(N(对接源_02物料!$B952)&lt;$N$2,N(对接源_02物料!$B952)&gt;$N$3),0,1))</f>
        <v>0</v>
      </c>
      <c r="P2152">
        <f>IF(AND($K2152=1,AND(对接源_02物料!$X952="公司筐",N(对接源_02物料!$T952)&lt;&gt;0)),1,0)</f>
        <v>0</v>
      </c>
      <c r="Q2152">
        <f>N(Q2151)+$P2152</f>
        <v>14</v>
      </c>
      <c r="R2152">
        <f>IF(AND($K2152=1,AND(对接源_02物料!$X952="公司筐",N(对接源_02物料!$U952)&lt;&gt;0)),1,0)</f>
        <v>0</v>
      </c>
      <c r="S2152">
        <f>N(S2151)+$R2152</f>
        <v>1</v>
      </c>
      <c r="T2152">
        <f>IF(AND($K2152=1,AND(对接源_02物料!$X952="公司筐",N(对接源_02物料!$V952)&lt;&gt;0)),1,0)</f>
        <v>0</v>
      </c>
      <c r="U2152">
        <f>N(U2151)+$T2152</f>
        <v>47</v>
      </c>
      <c r="V2152">
        <f>IF(AND($L2152=1,AND(对接源_02物料!$X952="自备筐",N(对接源_02物料!$V952)&lt;&gt;0)),1,0)</f>
        <v>0</v>
      </c>
      <c r="W2152">
        <f>N(W2151)+$V2152</f>
        <v>11</v>
      </c>
      <c r="X2152">
        <f>IF(AND($L2152=1,AND(对接源_02物料!$X952="自备筐",N(对接源_02物料!$T952)&lt;&gt;0)),1,0)</f>
        <v>0</v>
      </c>
      <c r="Y2152">
        <f>N(Y2151)+$X2152</f>
        <v>0</v>
      </c>
      <c r="Z2152">
        <f>IF(AND($M2152=1,对接源_02物料!$D952="原料入库"),1,0)</f>
        <v>0</v>
      </c>
      <c r="AA2152">
        <f>N(AA2151)+$Z2152</f>
        <v>24</v>
      </c>
      <c r="AB2152">
        <f>IF(AND($M2152=1,LEFT(对接源_02物料!$D952,4)="原料出库"),1,0)</f>
        <v>0</v>
      </c>
      <c r="AC2152">
        <f>N(AC2151)+$AB2152</f>
        <v>0</v>
      </c>
      <c r="AD2152">
        <f>IF(AND($M2152=1,LEFT(对接源_02物料!$D952,4)="成品出库"),1,0)</f>
        <v>0</v>
      </c>
      <c r="AE2152">
        <f>N(AE2151)+$AD2152</f>
        <v>0</v>
      </c>
      <c r="AF2152">
        <f>IF(AND($N2152=1,AND(LEFT(对接源_02物料!$D952,4)="包装物料",N(对接源_02物料!$K952)&lt;&gt;0)),1,0)</f>
        <v>0</v>
      </c>
      <c r="AG2152">
        <f>N(AG2151)+$AF2152</f>
        <v>10</v>
      </c>
      <c r="AH2152">
        <f>IF(AND($N2152=1,AND(对接源_02物料!$D952="周转筐－销售出库",N(对接源_02物料!$K952)&lt;&gt;0)),1,0)</f>
        <v>0</v>
      </c>
      <c r="AI2152">
        <f>N(AI2151)+$AH2152</f>
        <v>0</v>
      </c>
      <c r="AL2152" t="n">
        <v>0</v>
      </c>
      <c r="AM2152">
        <f>N(AM2151)+$AL2152</f>
        <v>2</v>
      </c>
      <c r="AN2152">
        <f>""</f>
      </c>
      <c r="AO2152" t="n">
        <v>0</v>
      </c>
      <c r="AP2152">
        <f>N(AP2151)+$AO2152</f>
        <v>13</v>
      </c>
      <c r="AR2152">
        <f>IF(OR($AF2152=1,$AH2152=1),1,0)</f>
        <v>0</v>
      </c>
      <c r="AS2152">
        <f>N(AS2151)+$AR2152</f>
        <v>10</v>
      </c>
    </row>
    <row r="2153" s="127">
      <c r="A2153">
        <f>IF(对接源_02物料!$C953="","",对接源_02物料!$C953)</f>
      </c>
      <c r="B2153">
        <f>IF(A2153="",0,IF(MATCH(A2153,$A$4:$A$2403,0)=ROW()-3,1,0))</f>
        <v>0</v>
      </c>
      <c r="C2153">
        <f>N(C2152)+B2153</f>
        <v>26</v>
      </c>
      <c r="K2153">
        <f>IF(OR($K$1="",对接源_02物料!$C953="",对接源_02物料!$C953&lt;&gt;$K$1,对接源_02物料!$B953=""),0,IF(OR(N(对接源_02物料!$B953)&lt;$K$2,N(对接源_02物料!$B953)&gt;$K$3),0,1))</f>
        <v>0</v>
      </c>
      <c r="L2153">
        <f>IF(OR($L$1="",对接源_02物料!$C953="",对接源_02物料!$C953&lt;&gt;$L$1,对接源_02物料!$B953=""),0,IF(OR(N(对接源_02物料!$B953)&lt;$L$2,N(对接源_02物料!$B953)&gt;$L$3),0,1))</f>
        <v>0</v>
      </c>
      <c r="M2153">
        <f>IF(OR($M$1="",对接源_02物料!$C953="",对接源_02物料!$C953&lt;&gt;$M$1,对接源_02物料!$B953=""),0,IF(OR(N(对接源_02物料!$B953)&lt;$M$2,N(对接源_02物料!$B953)&gt;$M$3),0,1))</f>
        <v>0</v>
      </c>
      <c r="N2153">
        <f>IF(OR($N$1="",对接源_02物料!$C953="",对接源_02物料!$C953&lt;&gt;$N$1,对接源_02物料!$B953=""),0,IF(OR(N(对接源_02物料!$B953)&lt;$N$2,N(对接源_02物料!$B953)&gt;$N$3),0,1))</f>
        <v>0</v>
      </c>
      <c r="P2153">
        <f>IF(AND($K2153=1,AND(对接源_02物料!$X953="公司筐",N(对接源_02物料!$T953)&lt;&gt;0)),1,0)</f>
        <v>0</v>
      </c>
      <c r="Q2153">
        <f>N(Q2152)+$P2153</f>
        <v>14</v>
      </c>
      <c r="R2153">
        <f>IF(AND($K2153=1,AND(对接源_02物料!$X953="公司筐",N(对接源_02物料!$U953)&lt;&gt;0)),1,0)</f>
        <v>0</v>
      </c>
      <c r="S2153">
        <f>N(S2152)+$R2153</f>
        <v>1</v>
      </c>
      <c r="T2153">
        <f>IF(AND($K2153=1,AND(对接源_02物料!$X953="公司筐",N(对接源_02物料!$V953)&lt;&gt;0)),1,0)</f>
        <v>0</v>
      </c>
      <c r="U2153">
        <f>N(U2152)+$T2153</f>
        <v>47</v>
      </c>
      <c r="V2153">
        <f>IF(AND($L2153=1,AND(对接源_02物料!$X953="自备筐",N(对接源_02物料!$V953)&lt;&gt;0)),1,0)</f>
        <v>0</v>
      </c>
      <c r="W2153">
        <f>N(W2152)+$V2153</f>
        <v>11</v>
      </c>
      <c r="X2153">
        <f>IF(AND($L2153=1,AND(对接源_02物料!$X953="自备筐",N(对接源_02物料!$T953)&lt;&gt;0)),1,0)</f>
        <v>0</v>
      </c>
      <c r="Y2153">
        <f>N(Y2152)+$X2153</f>
        <v>0</v>
      </c>
      <c r="Z2153">
        <f>IF(AND($M2153=1,对接源_02物料!$D953="原料入库"),1,0)</f>
        <v>0</v>
      </c>
      <c r="AA2153">
        <f>N(AA2152)+$Z2153</f>
        <v>24</v>
      </c>
      <c r="AB2153">
        <f>IF(AND($M2153=1,LEFT(对接源_02物料!$D953,4)="原料出库"),1,0)</f>
        <v>0</v>
      </c>
      <c r="AC2153">
        <f>N(AC2152)+$AB2153</f>
        <v>0</v>
      </c>
      <c r="AD2153">
        <f>IF(AND($M2153=1,LEFT(对接源_02物料!$D953,4)="成品出库"),1,0)</f>
        <v>0</v>
      </c>
      <c r="AE2153">
        <f>N(AE2152)+$AD2153</f>
        <v>0</v>
      </c>
      <c r="AF2153">
        <f>IF(AND($N2153=1,AND(LEFT(对接源_02物料!$D953,4)="包装物料",N(对接源_02物料!$K953)&lt;&gt;0)),1,0)</f>
        <v>0</v>
      </c>
      <c r="AG2153">
        <f>N(AG2152)+$AF2153</f>
        <v>10</v>
      </c>
      <c r="AH2153">
        <f>IF(AND($N2153=1,AND(对接源_02物料!$D953="周转筐－销售出库",N(对接源_02物料!$K953)&lt;&gt;0)),1,0)</f>
        <v>0</v>
      </c>
      <c r="AI2153">
        <f>N(AI2152)+$AH2153</f>
        <v>0</v>
      </c>
      <c r="AL2153" t="n">
        <v>0</v>
      </c>
      <c r="AM2153">
        <f>N(AM2152)+$AL2153</f>
        <v>2</v>
      </c>
      <c r="AN2153">
        <f>""</f>
      </c>
      <c r="AO2153" t="n">
        <v>0</v>
      </c>
      <c r="AP2153">
        <f>N(AP2152)+$AO2153</f>
        <v>13</v>
      </c>
      <c r="AR2153">
        <f>IF(OR($AF2153=1,$AH2153=1),1,0)</f>
        <v>0</v>
      </c>
      <c r="AS2153">
        <f>N(AS2152)+$AR2153</f>
        <v>10</v>
      </c>
    </row>
    <row r="2154" s="127">
      <c r="A2154">
        <f>IF(对接源_02物料!$C954="","",对接源_02物料!$C954)</f>
      </c>
      <c r="B2154">
        <f>IF(A2154="",0,IF(MATCH(A2154,$A$4:$A$2403,0)=ROW()-3,1,0))</f>
        <v>0</v>
      </c>
      <c r="C2154">
        <f>N(C2153)+B2154</f>
        <v>26</v>
      </c>
      <c r="K2154">
        <f>IF(OR($K$1="",对接源_02物料!$C954="",对接源_02物料!$C954&lt;&gt;$K$1,对接源_02物料!$B954=""),0,IF(OR(N(对接源_02物料!$B954)&lt;$K$2,N(对接源_02物料!$B954)&gt;$K$3),0,1))</f>
        <v>0</v>
      </c>
      <c r="L2154">
        <f>IF(OR($L$1="",对接源_02物料!$C954="",对接源_02物料!$C954&lt;&gt;$L$1,对接源_02物料!$B954=""),0,IF(OR(N(对接源_02物料!$B954)&lt;$L$2,N(对接源_02物料!$B954)&gt;$L$3),0,1))</f>
        <v>0</v>
      </c>
      <c r="M2154">
        <f>IF(OR($M$1="",对接源_02物料!$C954="",对接源_02物料!$C954&lt;&gt;$M$1,对接源_02物料!$B954=""),0,IF(OR(N(对接源_02物料!$B954)&lt;$M$2,N(对接源_02物料!$B954)&gt;$M$3),0,1))</f>
        <v>0</v>
      </c>
      <c r="N2154">
        <f>IF(OR($N$1="",对接源_02物料!$C954="",对接源_02物料!$C954&lt;&gt;$N$1,对接源_02物料!$B954=""),0,IF(OR(N(对接源_02物料!$B954)&lt;$N$2,N(对接源_02物料!$B954)&gt;$N$3),0,1))</f>
        <v>0</v>
      </c>
      <c r="P2154">
        <f>IF(AND($K2154=1,AND(对接源_02物料!$X954="公司筐",N(对接源_02物料!$T954)&lt;&gt;0)),1,0)</f>
        <v>0</v>
      </c>
      <c r="Q2154">
        <f>N(Q2153)+$P2154</f>
        <v>14</v>
      </c>
      <c r="R2154">
        <f>IF(AND($K2154=1,AND(对接源_02物料!$X954="公司筐",N(对接源_02物料!$U954)&lt;&gt;0)),1,0)</f>
        <v>0</v>
      </c>
      <c r="S2154">
        <f>N(S2153)+$R2154</f>
        <v>1</v>
      </c>
      <c r="T2154">
        <f>IF(AND($K2154=1,AND(对接源_02物料!$X954="公司筐",N(对接源_02物料!$V954)&lt;&gt;0)),1,0)</f>
        <v>0</v>
      </c>
      <c r="U2154">
        <f>N(U2153)+$T2154</f>
        <v>47</v>
      </c>
      <c r="V2154">
        <f>IF(AND($L2154=1,AND(对接源_02物料!$X954="自备筐",N(对接源_02物料!$V954)&lt;&gt;0)),1,0)</f>
        <v>0</v>
      </c>
      <c r="W2154">
        <f>N(W2153)+$V2154</f>
        <v>11</v>
      </c>
      <c r="X2154">
        <f>IF(AND($L2154=1,AND(对接源_02物料!$X954="自备筐",N(对接源_02物料!$T954)&lt;&gt;0)),1,0)</f>
        <v>0</v>
      </c>
      <c r="Y2154">
        <f>N(Y2153)+$X2154</f>
        <v>0</v>
      </c>
      <c r="Z2154">
        <f>IF(AND($M2154=1,对接源_02物料!$D954="原料入库"),1,0)</f>
        <v>0</v>
      </c>
      <c r="AA2154">
        <f>N(AA2153)+$Z2154</f>
        <v>24</v>
      </c>
      <c r="AB2154">
        <f>IF(AND($M2154=1,LEFT(对接源_02物料!$D954,4)="原料出库"),1,0)</f>
        <v>0</v>
      </c>
      <c r="AC2154">
        <f>N(AC2153)+$AB2154</f>
        <v>0</v>
      </c>
      <c r="AD2154">
        <f>IF(AND($M2154=1,LEFT(对接源_02物料!$D954,4)="成品出库"),1,0)</f>
        <v>0</v>
      </c>
      <c r="AE2154">
        <f>N(AE2153)+$AD2154</f>
        <v>0</v>
      </c>
      <c r="AF2154">
        <f>IF(AND($N2154=1,AND(LEFT(对接源_02物料!$D954,4)="包装物料",N(对接源_02物料!$K954)&lt;&gt;0)),1,0)</f>
        <v>0</v>
      </c>
      <c r="AG2154">
        <f>N(AG2153)+$AF2154</f>
        <v>10</v>
      </c>
      <c r="AH2154">
        <f>IF(AND($N2154=1,AND(对接源_02物料!$D954="周转筐－销售出库",N(对接源_02物料!$K954)&lt;&gt;0)),1,0)</f>
        <v>0</v>
      </c>
      <c r="AI2154">
        <f>N(AI2153)+$AH2154</f>
        <v>0</v>
      </c>
      <c r="AL2154" t="n">
        <v>0</v>
      </c>
      <c r="AM2154">
        <f>N(AM2153)+$AL2154</f>
        <v>2</v>
      </c>
      <c r="AN2154">
        <f>""</f>
      </c>
      <c r="AO2154" t="n">
        <v>0</v>
      </c>
      <c r="AP2154">
        <f>N(AP2153)+$AO2154</f>
        <v>13</v>
      </c>
      <c r="AR2154">
        <f>IF(OR($AF2154=1,$AH2154=1),1,0)</f>
        <v>0</v>
      </c>
      <c r="AS2154">
        <f>N(AS2153)+$AR2154</f>
        <v>10</v>
      </c>
    </row>
    <row r="2155" s="127">
      <c r="A2155">
        <f>IF(对接源_02物料!$C955="","",对接源_02物料!$C955)</f>
      </c>
      <c r="B2155">
        <f>IF(A2155="",0,IF(MATCH(A2155,$A$4:$A$2403,0)=ROW()-3,1,0))</f>
        <v>0</v>
      </c>
      <c r="C2155">
        <f>N(C2154)+B2155</f>
        <v>26</v>
      </c>
      <c r="K2155">
        <f>IF(OR($K$1="",对接源_02物料!$C955="",对接源_02物料!$C955&lt;&gt;$K$1,对接源_02物料!$B955=""),0,IF(OR(N(对接源_02物料!$B955)&lt;$K$2,N(对接源_02物料!$B955)&gt;$K$3),0,1))</f>
        <v>0</v>
      </c>
      <c r="L2155">
        <f>IF(OR($L$1="",对接源_02物料!$C955="",对接源_02物料!$C955&lt;&gt;$L$1,对接源_02物料!$B955=""),0,IF(OR(N(对接源_02物料!$B955)&lt;$L$2,N(对接源_02物料!$B955)&gt;$L$3),0,1))</f>
        <v>0</v>
      </c>
      <c r="M2155">
        <f>IF(OR($M$1="",对接源_02物料!$C955="",对接源_02物料!$C955&lt;&gt;$M$1,对接源_02物料!$B955=""),0,IF(OR(N(对接源_02物料!$B955)&lt;$M$2,N(对接源_02物料!$B955)&gt;$M$3),0,1))</f>
        <v>0</v>
      </c>
      <c r="N2155">
        <f>IF(OR($N$1="",对接源_02物料!$C955="",对接源_02物料!$C955&lt;&gt;$N$1,对接源_02物料!$B955=""),0,IF(OR(N(对接源_02物料!$B955)&lt;$N$2,N(对接源_02物料!$B955)&gt;$N$3),0,1))</f>
        <v>0</v>
      </c>
      <c r="P2155">
        <f>IF(AND($K2155=1,AND(对接源_02物料!$X955="公司筐",N(对接源_02物料!$T955)&lt;&gt;0)),1,0)</f>
        <v>0</v>
      </c>
      <c r="Q2155">
        <f>N(Q2154)+$P2155</f>
        <v>14</v>
      </c>
      <c r="R2155">
        <f>IF(AND($K2155=1,AND(对接源_02物料!$X955="公司筐",N(对接源_02物料!$U955)&lt;&gt;0)),1,0)</f>
        <v>0</v>
      </c>
      <c r="S2155">
        <f>N(S2154)+$R2155</f>
        <v>1</v>
      </c>
      <c r="T2155">
        <f>IF(AND($K2155=1,AND(对接源_02物料!$X955="公司筐",N(对接源_02物料!$V955)&lt;&gt;0)),1,0)</f>
        <v>0</v>
      </c>
      <c r="U2155">
        <f>N(U2154)+$T2155</f>
        <v>47</v>
      </c>
      <c r="V2155">
        <f>IF(AND($L2155=1,AND(对接源_02物料!$X955="自备筐",N(对接源_02物料!$V955)&lt;&gt;0)),1,0)</f>
        <v>0</v>
      </c>
      <c r="W2155">
        <f>N(W2154)+$V2155</f>
        <v>11</v>
      </c>
      <c r="X2155">
        <f>IF(AND($L2155=1,AND(对接源_02物料!$X955="自备筐",N(对接源_02物料!$T955)&lt;&gt;0)),1,0)</f>
        <v>0</v>
      </c>
      <c r="Y2155">
        <f>N(Y2154)+$X2155</f>
        <v>0</v>
      </c>
      <c r="Z2155">
        <f>IF(AND($M2155=1,对接源_02物料!$D955="原料入库"),1,0)</f>
        <v>0</v>
      </c>
      <c r="AA2155">
        <f>N(AA2154)+$Z2155</f>
        <v>24</v>
      </c>
      <c r="AB2155">
        <f>IF(AND($M2155=1,LEFT(对接源_02物料!$D955,4)="原料出库"),1,0)</f>
        <v>0</v>
      </c>
      <c r="AC2155">
        <f>N(AC2154)+$AB2155</f>
        <v>0</v>
      </c>
      <c r="AD2155">
        <f>IF(AND($M2155=1,LEFT(对接源_02物料!$D955,4)="成品出库"),1,0)</f>
        <v>0</v>
      </c>
      <c r="AE2155">
        <f>N(AE2154)+$AD2155</f>
        <v>0</v>
      </c>
      <c r="AF2155">
        <f>IF(AND($N2155=1,AND(LEFT(对接源_02物料!$D955,4)="包装物料",N(对接源_02物料!$K955)&lt;&gt;0)),1,0)</f>
        <v>0</v>
      </c>
      <c r="AG2155">
        <f>N(AG2154)+$AF2155</f>
        <v>10</v>
      </c>
      <c r="AH2155">
        <f>IF(AND($N2155=1,AND(对接源_02物料!$D955="周转筐－销售出库",N(对接源_02物料!$K955)&lt;&gt;0)),1,0)</f>
        <v>0</v>
      </c>
      <c r="AI2155">
        <f>N(AI2154)+$AH2155</f>
        <v>0</v>
      </c>
      <c r="AL2155" t="n">
        <v>0</v>
      </c>
      <c r="AM2155">
        <f>N(AM2154)+$AL2155</f>
        <v>2</v>
      </c>
      <c r="AN2155">
        <f>""</f>
      </c>
      <c r="AO2155" t="n">
        <v>0</v>
      </c>
      <c r="AP2155">
        <f>N(AP2154)+$AO2155</f>
        <v>13</v>
      </c>
      <c r="AR2155">
        <f>IF(OR($AF2155=1,$AH2155=1),1,0)</f>
        <v>0</v>
      </c>
      <c r="AS2155">
        <f>N(AS2154)+$AR2155</f>
        <v>10</v>
      </c>
    </row>
    <row r="2156" s="127">
      <c r="A2156">
        <f>IF(对接源_02物料!$C956="","",对接源_02物料!$C956)</f>
      </c>
      <c r="B2156">
        <f>IF(A2156="",0,IF(MATCH(A2156,$A$4:$A$2403,0)=ROW()-3,1,0))</f>
        <v>0</v>
      </c>
      <c r="C2156">
        <f>N(C2155)+B2156</f>
        <v>26</v>
      </c>
      <c r="K2156">
        <f>IF(OR($K$1="",对接源_02物料!$C956="",对接源_02物料!$C956&lt;&gt;$K$1,对接源_02物料!$B956=""),0,IF(OR(N(对接源_02物料!$B956)&lt;$K$2,N(对接源_02物料!$B956)&gt;$K$3),0,1))</f>
        <v>0</v>
      </c>
      <c r="L2156">
        <f>IF(OR($L$1="",对接源_02物料!$C956="",对接源_02物料!$C956&lt;&gt;$L$1,对接源_02物料!$B956=""),0,IF(OR(N(对接源_02物料!$B956)&lt;$L$2,N(对接源_02物料!$B956)&gt;$L$3),0,1))</f>
        <v>0</v>
      </c>
      <c r="M2156">
        <f>IF(OR($M$1="",对接源_02物料!$C956="",对接源_02物料!$C956&lt;&gt;$M$1,对接源_02物料!$B956=""),0,IF(OR(N(对接源_02物料!$B956)&lt;$M$2,N(对接源_02物料!$B956)&gt;$M$3),0,1))</f>
        <v>0</v>
      </c>
      <c r="N2156">
        <f>IF(OR($N$1="",对接源_02物料!$C956="",对接源_02物料!$C956&lt;&gt;$N$1,对接源_02物料!$B956=""),0,IF(OR(N(对接源_02物料!$B956)&lt;$N$2,N(对接源_02物料!$B956)&gt;$N$3),0,1))</f>
        <v>0</v>
      </c>
      <c r="P2156">
        <f>IF(AND($K2156=1,AND(对接源_02物料!$X956="公司筐",N(对接源_02物料!$T956)&lt;&gt;0)),1,0)</f>
        <v>0</v>
      </c>
      <c r="Q2156">
        <f>N(Q2155)+$P2156</f>
        <v>14</v>
      </c>
      <c r="R2156">
        <f>IF(AND($K2156=1,AND(对接源_02物料!$X956="公司筐",N(对接源_02物料!$U956)&lt;&gt;0)),1,0)</f>
        <v>0</v>
      </c>
      <c r="S2156">
        <f>N(S2155)+$R2156</f>
        <v>1</v>
      </c>
      <c r="T2156">
        <f>IF(AND($K2156=1,AND(对接源_02物料!$X956="公司筐",N(对接源_02物料!$V956)&lt;&gt;0)),1,0)</f>
        <v>0</v>
      </c>
      <c r="U2156">
        <f>N(U2155)+$T2156</f>
        <v>47</v>
      </c>
      <c r="V2156">
        <f>IF(AND($L2156=1,AND(对接源_02物料!$X956="自备筐",N(对接源_02物料!$V956)&lt;&gt;0)),1,0)</f>
        <v>0</v>
      </c>
      <c r="W2156">
        <f>N(W2155)+$V2156</f>
        <v>11</v>
      </c>
      <c r="X2156">
        <f>IF(AND($L2156=1,AND(对接源_02物料!$X956="自备筐",N(对接源_02物料!$T956)&lt;&gt;0)),1,0)</f>
        <v>0</v>
      </c>
      <c r="Y2156">
        <f>N(Y2155)+$X2156</f>
        <v>0</v>
      </c>
      <c r="Z2156">
        <f>IF(AND($M2156=1,对接源_02物料!$D956="原料入库"),1,0)</f>
        <v>0</v>
      </c>
      <c r="AA2156">
        <f>N(AA2155)+$Z2156</f>
        <v>24</v>
      </c>
      <c r="AB2156">
        <f>IF(AND($M2156=1,LEFT(对接源_02物料!$D956,4)="原料出库"),1,0)</f>
        <v>0</v>
      </c>
      <c r="AC2156">
        <f>N(AC2155)+$AB2156</f>
        <v>0</v>
      </c>
      <c r="AD2156">
        <f>IF(AND($M2156=1,LEFT(对接源_02物料!$D956,4)="成品出库"),1,0)</f>
        <v>0</v>
      </c>
      <c r="AE2156">
        <f>N(AE2155)+$AD2156</f>
        <v>0</v>
      </c>
      <c r="AF2156">
        <f>IF(AND($N2156=1,AND(LEFT(对接源_02物料!$D956,4)="包装物料",N(对接源_02物料!$K956)&lt;&gt;0)),1,0)</f>
        <v>0</v>
      </c>
      <c r="AG2156">
        <f>N(AG2155)+$AF2156</f>
        <v>10</v>
      </c>
      <c r="AH2156">
        <f>IF(AND($N2156=1,AND(对接源_02物料!$D956="周转筐－销售出库",N(对接源_02物料!$K956)&lt;&gt;0)),1,0)</f>
        <v>0</v>
      </c>
      <c r="AI2156">
        <f>N(AI2155)+$AH2156</f>
        <v>0</v>
      </c>
      <c r="AL2156" t="n">
        <v>0</v>
      </c>
      <c r="AM2156">
        <f>N(AM2155)+$AL2156</f>
        <v>2</v>
      </c>
      <c r="AN2156">
        <f>""</f>
      </c>
      <c r="AO2156" t="n">
        <v>0</v>
      </c>
      <c r="AP2156">
        <f>N(AP2155)+$AO2156</f>
        <v>13</v>
      </c>
      <c r="AR2156">
        <f>IF(OR($AF2156=1,$AH2156=1),1,0)</f>
        <v>0</v>
      </c>
      <c r="AS2156">
        <f>N(AS2155)+$AR2156</f>
        <v>10</v>
      </c>
    </row>
    <row r="2157" s="127">
      <c r="A2157">
        <f>IF(对接源_02物料!$C957="","",对接源_02物料!$C957)</f>
      </c>
      <c r="B2157">
        <f>IF(A2157="",0,IF(MATCH(A2157,$A$4:$A$2403,0)=ROW()-3,1,0))</f>
        <v>0</v>
      </c>
      <c r="C2157">
        <f>N(C2156)+B2157</f>
        <v>26</v>
      </c>
      <c r="K2157">
        <f>IF(OR($K$1="",对接源_02物料!$C957="",对接源_02物料!$C957&lt;&gt;$K$1,对接源_02物料!$B957=""),0,IF(OR(N(对接源_02物料!$B957)&lt;$K$2,N(对接源_02物料!$B957)&gt;$K$3),0,1))</f>
        <v>0</v>
      </c>
      <c r="L2157">
        <f>IF(OR($L$1="",对接源_02物料!$C957="",对接源_02物料!$C957&lt;&gt;$L$1,对接源_02物料!$B957=""),0,IF(OR(N(对接源_02物料!$B957)&lt;$L$2,N(对接源_02物料!$B957)&gt;$L$3),0,1))</f>
        <v>0</v>
      </c>
      <c r="M2157">
        <f>IF(OR($M$1="",对接源_02物料!$C957="",对接源_02物料!$C957&lt;&gt;$M$1,对接源_02物料!$B957=""),0,IF(OR(N(对接源_02物料!$B957)&lt;$M$2,N(对接源_02物料!$B957)&gt;$M$3),0,1))</f>
        <v>0</v>
      </c>
      <c r="N2157">
        <f>IF(OR($N$1="",对接源_02物料!$C957="",对接源_02物料!$C957&lt;&gt;$N$1,对接源_02物料!$B957=""),0,IF(OR(N(对接源_02物料!$B957)&lt;$N$2,N(对接源_02物料!$B957)&gt;$N$3),0,1))</f>
        <v>0</v>
      </c>
      <c r="P2157">
        <f>IF(AND($K2157=1,AND(对接源_02物料!$X957="公司筐",N(对接源_02物料!$T957)&lt;&gt;0)),1,0)</f>
        <v>0</v>
      </c>
      <c r="Q2157">
        <f>N(Q2156)+$P2157</f>
        <v>14</v>
      </c>
      <c r="R2157">
        <f>IF(AND($K2157=1,AND(对接源_02物料!$X957="公司筐",N(对接源_02物料!$U957)&lt;&gt;0)),1,0)</f>
        <v>0</v>
      </c>
      <c r="S2157">
        <f>N(S2156)+$R2157</f>
        <v>1</v>
      </c>
      <c r="T2157">
        <f>IF(AND($K2157=1,AND(对接源_02物料!$X957="公司筐",N(对接源_02物料!$V957)&lt;&gt;0)),1,0)</f>
        <v>0</v>
      </c>
      <c r="U2157">
        <f>N(U2156)+$T2157</f>
        <v>47</v>
      </c>
      <c r="V2157">
        <f>IF(AND($L2157=1,AND(对接源_02物料!$X957="自备筐",N(对接源_02物料!$V957)&lt;&gt;0)),1,0)</f>
        <v>0</v>
      </c>
      <c r="W2157">
        <f>N(W2156)+$V2157</f>
        <v>11</v>
      </c>
      <c r="X2157">
        <f>IF(AND($L2157=1,AND(对接源_02物料!$X957="自备筐",N(对接源_02物料!$T957)&lt;&gt;0)),1,0)</f>
        <v>0</v>
      </c>
      <c r="Y2157">
        <f>N(Y2156)+$X2157</f>
        <v>0</v>
      </c>
      <c r="Z2157">
        <f>IF(AND($M2157=1,对接源_02物料!$D957="原料入库"),1,0)</f>
        <v>0</v>
      </c>
      <c r="AA2157">
        <f>N(AA2156)+$Z2157</f>
        <v>24</v>
      </c>
      <c r="AB2157">
        <f>IF(AND($M2157=1,LEFT(对接源_02物料!$D957,4)="原料出库"),1,0)</f>
        <v>0</v>
      </c>
      <c r="AC2157">
        <f>N(AC2156)+$AB2157</f>
        <v>0</v>
      </c>
      <c r="AD2157">
        <f>IF(AND($M2157=1,LEFT(对接源_02物料!$D957,4)="成品出库"),1,0)</f>
        <v>0</v>
      </c>
      <c r="AE2157">
        <f>N(AE2156)+$AD2157</f>
        <v>0</v>
      </c>
      <c r="AF2157">
        <f>IF(AND($N2157=1,AND(LEFT(对接源_02物料!$D957,4)="包装物料",N(对接源_02物料!$K957)&lt;&gt;0)),1,0)</f>
        <v>0</v>
      </c>
      <c r="AG2157">
        <f>N(AG2156)+$AF2157</f>
        <v>10</v>
      </c>
      <c r="AH2157">
        <f>IF(AND($N2157=1,AND(对接源_02物料!$D957="周转筐－销售出库",N(对接源_02物料!$K957)&lt;&gt;0)),1,0)</f>
        <v>0</v>
      </c>
      <c r="AI2157">
        <f>N(AI2156)+$AH2157</f>
        <v>0</v>
      </c>
      <c r="AL2157" t="n">
        <v>0</v>
      </c>
      <c r="AM2157">
        <f>N(AM2156)+$AL2157</f>
        <v>2</v>
      </c>
      <c r="AN2157">
        <f>""</f>
      </c>
      <c r="AO2157" t="n">
        <v>0</v>
      </c>
      <c r="AP2157">
        <f>N(AP2156)+$AO2157</f>
        <v>13</v>
      </c>
      <c r="AR2157">
        <f>IF(OR($AF2157=1,$AH2157=1),1,0)</f>
        <v>0</v>
      </c>
      <c r="AS2157">
        <f>N(AS2156)+$AR2157</f>
        <v>10</v>
      </c>
    </row>
    <row r="2158" s="127">
      <c r="A2158">
        <f>IF(对接源_02物料!$C958="","",对接源_02物料!$C958)</f>
      </c>
      <c r="B2158">
        <f>IF(A2158="",0,IF(MATCH(A2158,$A$4:$A$2403,0)=ROW()-3,1,0))</f>
        <v>0</v>
      </c>
      <c r="C2158">
        <f>N(C2157)+B2158</f>
        <v>26</v>
      </c>
      <c r="K2158">
        <f>IF(OR($K$1="",对接源_02物料!$C958="",对接源_02物料!$C958&lt;&gt;$K$1,对接源_02物料!$B958=""),0,IF(OR(N(对接源_02物料!$B958)&lt;$K$2,N(对接源_02物料!$B958)&gt;$K$3),0,1))</f>
        <v>0</v>
      </c>
      <c r="L2158">
        <f>IF(OR($L$1="",对接源_02物料!$C958="",对接源_02物料!$C958&lt;&gt;$L$1,对接源_02物料!$B958=""),0,IF(OR(N(对接源_02物料!$B958)&lt;$L$2,N(对接源_02物料!$B958)&gt;$L$3),0,1))</f>
        <v>0</v>
      </c>
      <c r="M2158">
        <f>IF(OR($M$1="",对接源_02物料!$C958="",对接源_02物料!$C958&lt;&gt;$M$1,对接源_02物料!$B958=""),0,IF(OR(N(对接源_02物料!$B958)&lt;$M$2,N(对接源_02物料!$B958)&gt;$M$3),0,1))</f>
        <v>0</v>
      </c>
      <c r="N2158">
        <f>IF(OR($N$1="",对接源_02物料!$C958="",对接源_02物料!$C958&lt;&gt;$N$1,对接源_02物料!$B958=""),0,IF(OR(N(对接源_02物料!$B958)&lt;$N$2,N(对接源_02物料!$B958)&gt;$N$3),0,1))</f>
        <v>0</v>
      </c>
      <c r="P2158">
        <f>IF(AND($K2158=1,AND(对接源_02物料!$X958="公司筐",N(对接源_02物料!$T958)&lt;&gt;0)),1,0)</f>
        <v>0</v>
      </c>
      <c r="Q2158">
        <f>N(Q2157)+$P2158</f>
        <v>14</v>
      </c>
      <c r="R2158">
        <f>IF(AND($K2158=1,AND(对接源_02物料!$X958="公司筐",N(对接源_02物料!$U958)&lt;&gt;0)),1,0)</f>
        <v>0</v>
      </c>
      <c r="S2158">
        <f>N(S2157)+$R2158</f>
        <v>1</v>
      </c>
      <c r="T2158">
        <f>IF(AND($K2158=1,AND(对接源_02物料!$X958="公司筐",N(对接源_02物料!$V958)&lt;&gt;0)),1,0)</f>
        <v>0</v>
      </c>
      <c r="U2158">
        <f>N(U2157)+$T2158</f>
        <v>47</v>
      </c>
      <c r="V2158">
        <f>IF(AND($L2158=1,AND(对接源_02物料!$X958="自备筐",N(对接源_02物料!$V958)&lt;&gt;0)),1,0)</f>
        <v>0</v>
      </c>
      <c r="W2158">
        <f>N(W2157)+$V2158</f>
        <v>11</v>
      </c>
      <c r="X2158">
        <f>IF(AND($L2158=1,AND(对接源_02物料!$X958="自备筐",N(对接源_02物料!$T958)&lt;&gt;0)),1,0)</f>
        <v>0</v>
      </c>
      <c r="Y2158">
        <f>N(Y2157)+$X2158</f>
        <v>0</v>
      </c>
      <c r="Z2158">
        <f>IF(AND($M2158=1,对接源_02物料!$D958="原料入库"),1,0)</f>
        <v>0</v>
      </c>
      <c r="AA2158">
        <f>N(AA2157)+$Z2158</f>
        <v>24</v>
      </c>
      <c r="AB2158">
        <f>IF(AND($M2158=1,LEFT(对接源_02物料!$D958,4)="原料出库"),1,0)</f>
        <v>0</v>
      </c>
      <c r="AC2158">
        <f>N(AC2157)+$AB2158</f>
        <v>0</v>
      </c>
      <c r="AD2158">
        <f>IF(AND($M2158=1,LEFT(对接源_02物料!$D958,4)="成品出库"),1,0)</f>
        <v>0</v>
      </c>
      <c r="AE2158">
        <f>N(AE2157)+$AD2158</f>
        <v>0</v>
      </c>
      <c r="AF2158">
        <f>IF(AND($N2158=1,AND(LEFT(对接源_02物料!$D958,4)="包装物料",N(对接源_02物料!$K958)&lt;&gt;0)),1,0)</f>
        <v>0</v>
      </c>
      <c r="AG2158">
        <f>N(AG2157)+$AF2158</f>
        <v>10</v>
      </c>
      <c r="AH2158">
        <f>IF(AND($N2158=1,AND(对接源_02物料!$D958="周转筐－销售出库",N(对接源_02物料!$K958)&lt;&gt;0)),1,0)</f>
        <v>0</v>
      </c>
      <c r="AI2158">
        <f>N(AI2157)+$AH2158</f>
        <v>0</v>
      </c>
      <c r="AL2158" t="n">
        <v>0</v>
      </c>
      <c r="AM2158">
        <f>N(AM2157)+$AL2158</f>
        <v>2</v>
      </c>
      <c r="AN2158">
        <f>""</f>
      </c>
      <c r="AO2158" t="n">
        <v>0</v>
      </c>
      <c r="AP2158">
        <f>N(AP2157)+$AO2158</f>
        <v>13</v>
      </c>
      <c r="AR2158">
        <f>IF(OR($AF2158=1,$AH2158=1),1,0)</f>
        <v>0</v>
      </c>
      <c r="AS2158">
        <f>N(AS2157)+$AR2158</f>
        <v>10</v>
      </c>
    </row>
    <row r="2159" s="127">
      <c r="A2159">
        <f>IF(对接源_02物料!$C959="","",对接源_02物料!$C959)</f>
      </c>
      <c r="B2159">
        <f>IF(A2159="",0,IF(MATCH(A2159,$A$4:$A$2403,0)=ROW()-3,1,0))</f>
        <v>0</v>
      </c>
      <c r="C2159">
        <f>N(C2158)+B2159</f>
        <v>26</v>
      </c>
      <c r="K2159">
        <f>IF(OR($K$1="",对接源_02物料!$C959="",对接源_02物料!$C959&lt;&gt;$K$1,对接源_02物料!$B959=""),0,IF(OR(N(对接源_02物料!$B959)&lt;$K$2,N(对接源_02物料!$B959)&gt;$K$3),0,1))</f>
        <v>0</v>
      </c>
      <c r="L2159">
        <f>IF(OR($L$1="",对接源_02物料!$C959="",对接源_02物料!$C959&lt;&gt;$L$1,对接源_02物料!$B959=""),0,IF(OR(N(对接源_02物料!$B959)&lt;$L$2,N(对接源_02物料!$B959)&gt;$L$3),0,1))</f>
        <v>0</v>
      </c>
      <c r="M2159">
        <f>IF(OR($M$1="",对接源_02物料!$C959="",对接源_02物料!$C959&lt;&gt;$M$1,对接源_02物料!$B959=""),0,IF(OR(N(对接源_02物料!$B959)&lt;$M$2,N(对接源_02物料!$B959)&gt;$M$3),0,1))</f>
        <v>0</v>
      </c>
      <c r="N2159">
        <f>IF(OR($N$1="",对接源_02物料!$C959="",对接源_02物料!$C959&lt;&gt;$N$1,对接源_02物料!$B959=""),0,IF(OR(N(对接源_02物料!$B959)&lt;$N$2,N(对接源_02物料!$B959)&gt;$N$3),0,1))</f>
        <v>0</v>
      </c>
      <c r="P2159">
        <f>IF(AND($K2159=1,AND(对接源_02物料!$X959="公司筐",N(对接源_02物料!$T959)&lt;&gt;0)),1,0)</f>
        <v>0</v>
      </c>
      <c r="Q2159">
        <f>N(Q2158)+$P2159</f>
        <v>14</v>
      </c>
      <c r="R2159">
        <f>IF(AND($K2159=1,AND(对接源_02物料!$X959="公司筐",N(对接源_02物料!$U959)&lt;&gt;0)),1,0)</f>
        <v>0</v>
      </c>
      <c r="S2159">
        <f>N(S2158)+$R2159</f>
        <v>1</v>
      </c>
      <c r="T2159">
        <f>IF(AND($K2159=1,AND(对接源_02物料!$X959="公司筐",N(对接源_02物料!$V959)&lt;&gt;0)),1,0)</f>
        <v>0</v>
      </c>
      <c r="U2159">
        <f>N(U2158)+$T2159</f>
        <v>47</v>
      </c>
      <c r="V2159">
        <f>IF(AND($L2159=1,AND(对接源_02物料!$X959="自备筐",N(对接源_02物料!$V959)&lt;&gt;0)),1,0)</f>
        <v>0</v>
      </c>
      <c r="W2159">
        <f>N(W2158)+$V2159</f>
        <v>11</v>
      </c>
      <c r="X2159">
        <f>IF(AND($L2159=1,AND(对接源_02物料!$X959="自备筐",N(对接源_02物料!$T959)&lt;&gt;0)),1,0)</f>
        <v>0</v>
      </c>
      <c r="Y2159">
        <f>N(Y2158)+$X2159</f>
        <v>0</v>
      </c>
      <c r="Z2159">
        <f>IF(AND($M2159=1,对接源_02物料!$D959="原料入库"),1,0)</f>
        <v>0</v>
      </c>
      <c r="AA2159">
        <f>N(AA2158)+$Z2159</f>
        <v>24</v>
      </c>
      <c r="AB2159">
        <f>IF(AND($M2159=1,LEFT(对接源_02物料!$D959,4)="原料出库"),1,0)</f>
        <v>0</v>
      </c>
      <c r="AC2159">
        <f>N(AC2158)+$AB2159</f>
        <v>0</v>
      </c>
      <c r="AD2159">
        <f>IF(AND($M2159=1,LEFT(对接源_02物料!$D959,4)="成品出库"),1,0)</f>
        <v>0</v>
      </c>
      <c r="AE2159">
        <f>N(AE2158)+$AD2159</f>
        <v>0</v>
      </c>
      <c r="AF2159">
        <f>IF(AND($N2159=1,AND(LEFT(对接源_02物料!$D959,4)="包装物料",N(对接源_02物料!$K959)&lt;&gt;0)),1,0)</f>
        <v>0</v>
      </c>
      <c r="AG2159">
        <f>N(AG2158)+$AF2159</f>
        <v>10</v>
      </c>
      <c r="AH2159">
        <f>IF(AND($N2159=1,AND(对接源_02物料!$D959="周转筐－销售出库",N(对接源_02物料!$K959)&lt;&gt;0)),1,0)</f>
        <v>0</v>
      </c>
      <c r="AI2159">
        <f>N(AI2158)+$AH2159</f>
        <v>0</v>
      </c>
      <c r="AL2159" t="n">
        <v>0</v>
      </c>
      <c r="AM2159">
        <f>N(AM2158)+$AL2159</f>
        <v>2</v>
      </c>
      <c r="AN2159">
        <f>""</f>
      </c>
      <c r="AO2159" t="n">
        <v>0</v>
      </c>
      <c r="AP2159">
        <f>N(AP2158)+$AO2159</f>
        <v>13</v>
      </c>
      <c r="AR2159">
        <f>IF(OR($AF2159=1,$AH2159=1),1,0)</f>
        <v>0</v>
      </c>
      <c r="AS2159">
        <f>N(AS2158)+$AR2159</f>
        <v>10</v>
      </c>
    </row>
    <row r="2160" s="127">
      <c r="A2160">
        <f>IF(对接源_02物料!$C960="","",对接源_02物料!$C960)</f>
      </c>
      <c r="B2160">
        <f>IF(A2160="",0,IF(MATCH(A2160,$A$4:$A$2403,0)=ROW()-3,1,0))</f>
        <v>0</v>
      </c>
      <c r="C2160">
        <f>N(C2159)+B2160</f>
        <v>26</v>
      </c>
      <c r="K2160">
        <f>IF(OR($K$1="",对接源_02物料!$C960="",对接源_02物料!$C960&lt;&gt;$K$1,对接源_02物料!$B960=""),0,IF(OR(N(对接源_02物料!$B960)&lt;$K$2,N(对接源_02物料!$B960)&gt;$K$3),0,1))</f>
        <v>0</v>
      </c>
      <c r="L2160">
        <f>IF(OR($L$1="",对接源_02物料!$C960="",对接源_02物料!$C960&lt;&gt;$L$1,对接源_02物料!$B960=""),0,IF(OR(N(对接源_02物料!$B960)&lt;$L$2,N(对接源_02物料!$B960)&gt;$L$3),0,1))</f>
        <v>0</v>
      </c>
      <c r="M2160">
        <f>IF(OR($M$1="",对接源_02物料!$C960="",对接源_02物料!$C960&lt;&gt;$M$1,对接源_02物料!$B960=""),0,IF(OR(N(对接源_02物料!$B960)&lt;$M$2,N(对接源_02物料!$B960)&gt;$M$3),0,1))</f>
        <v>0</v>
      </c>
      <c r="N2160">
        <f>IF(OR($N$1="",对接源_02物料!$C960="",对接源_02物料!$C960&lt;&gt;$N$1,对接源_02物料!$B960=""),0,IF(OR(N(对接源_02物料!$B960)&lt;$N$2,N(对接源_02物料!$B960)&gt;$N$3),0,1))</f>
        <v>0</v>
      </c>
      <c r="P2160">
        <f>IF(AND($K2160=1,AND(对接源_02物料!$X960="公司筐",N(对接源_02物料!$T960)&lt;&gt;0)),1,0)</f>
        <v>0</v>
      </c>
      <c r="Q2160">
        <f>N(Q2159)+$P2160</f>
        <v>14</v>
      </c>
      <c r="R2160">
        <f>IF(AND($K2160=1,AND(对接源_02物料!$X960="公司筐",N(对接源_02物料!$U960)&lt;&gt;0)),1,0)</f>
        <v>0</v>
      </c>
      <c r="S2160">
        <f>N(S2159)+$R2160</f>
        <v>1</v>
      </c>
      <c r="T2160">
        <f>IF(AND($K2160=1,AND(对接源_02物料!$X960="公司筐",N(对接源_02物料!$V960)&lt;&gt;0)),1,0)</f>
        <v>0</v>
      </c>
      <c r="U2160">
        <f>N(U2159)+$T2160</f>
        <v>47</v>
      </c>
      <c r="V2160">
        <f>IF(AND($L2160=1,AND(对接源_02物料!$X960="自备筐",N(对接源_02物料!$V960)&lt;&gt;0)),1,0)</f>
        <v>0</v>
      </c>
      <c r="W2160">
        <f>N(W2159)+$V2160</f>
        <v>11</v>
      </c>
      <c r="X2160">
        <f>IF(AND($L2160=1,AND(对接源_02物料!$X960="自备筐",N(对接源_02物料!$T960)&lt;&gt;0)),1,0)</f>
        <v>0</v>
      </c>
      <c r="Y2160">
        <f>N(Y2159)+$X2160</f>
        <v>0</v>
      </c>
      <c r="Z2160">
        <f>IF(AND($M2160=1,对接源_02物料!$D960="原料入库"),1,0)</f>
        <v>0</v>
      </c>
      <c r="AA2160">
        <f>N(AA2159)+$Z2160</f>
        <v>24</v>
      </c>
      <c r="AB2160">
        <f>IF(AND($M2160=1,LEFT(对接源_02物料!$D960,4)="原料出库"),1,0)</f>
        <v>0</v>
      </c>
      <c r="AC2160">
        <f>N(AC2159)+$AB2160</f>
        <v>0</v>
      </c>
      <c r="AD2160">
        <f>IF(AND($M2160=1,LEFT(对接源_02物料!$D960,4)="成品出库"),1,0)</f>
        <v>0</v>
      </c>
      <c r="AE2160">
        <f>N(AE2159)+$AD2160</f>
        <v>0</v>
      </c>
      <c r="AF2160">
        <f>IF(AND($N2160=1,AND(LEFT(对接源_02物料!$D960,4)="包装物料",N(对接源_02物料!$K960)&lt;&gt;0)),1,0)</f>
        <v>0</v>
      </c>
      <c r="AG2160">
        <f>N(AG2159)+$AF2160</f>
        <v>10</v>
      </c>
      <c r="AH2160">
        <f>IF(AND($N2160=1,AND(对接源_02物料!$D960="周转筐－销售出库",N(对接源_02物料!$K960)&lt;&gt;0)),1,0)</f>
        <v>0</v>
      </c>
      <c r="AI2160">
        <f>N(AI2159)+$AH2160</f>
        <v>0</v>
      </c>
      <c r="AL2160" t="n">
        <v>0</v>
      </c>
      <c r="AM2160">
        <f>N(AM2159)+$AL2160</f>
        <v>2</v>
      </c>
      <c r="AN2160">
        <f>""</f>
      </c>
      <c r="AO2160" t="n">
        <v>0</v>
      </c>
      <c r="AP2160">
        <f>N(AP2159)+$AO2160</f>
        <v>13</v>
      </c>
      <c r="AR2160">
        <f>IF(OR($AF2160=1,$AH2160=1),1,0)</f>
        <v>0</v>
      </c>
      <c r="AS2160">
        <f>N(AS2159)+$AR2160</f>
        <v>10</v>
      </c>
    </row>
    <row r="2161" s="127">
      <c r="A2161">
        <f>IF(对接源_02物料!$C961="","",对接源_02物料!$C961)</f>
      </c>
      <c r="B2161">
        <f>IF(A2161="",0,IF(MATCH(A2161,$A$4:$A$2403,0)=ROW()-3,1,0))</f>
        <v>0</v>
      </c>
      <c r="C2161">
        <f>N(C2160)+B2161</f>
        <v>26</v>
      </c>
      <c r="K2161">
        <f>IF(OR($K$1="",对接源_02物料!$C961="",对接源_02物料!$C961&lt;&gt;$K$1,对接源_02物料!$B961=""),0,IF(OR(N(对接源_02物料!$B961)&lt;$K$2,N(对接源_02物料!$B961)&gt;$K$3),0,1))</f>
        <v>0</v>
      </c>
      <c r="L2161">
        <f>IF(OR($L$1="",对接源_02物料!$C961="",对接源_02物料!$C961&lt;&gt;$L$1,对接源_02物料!$B961=""),0,IF(OR(N(对接源_02物料!$B961)&lt;$L$2,N(对接源_02物料!$B961)&gt;$L$3),0,1))</f>
        <v>0</v>
      </c>
      <c r="M2161">
        <f>IF(OR($M$1="",对接源_02物料!$C961="",对接源_02物料!$C961&lt;&gt;$M$1,对接源_02物料!$B961=""),0,IF(OR(N(对接源_02物料!$B961)&lt;$M$2,N(对接源_02物料!$B961)&gt;$M$3),0,1))</f>
        <v>0</v>
      </c>
      <c r="N2161">
        <f>IF(OR($N$1="",对接源_02物料!$C961="",对接源_02物料!$C961&lt;&gt;$N$1,对接源_02物料!$B961=""),0,IF(OR(N(对接源_02物料!$B961)&lt;$N$2,N(对接源_02物料!$B961)&gt;$N$3),0,1))</f>
        <v>0</v>
      </c>
      <c r="P2161">
        <f>IF(AND($K2161=1,AND(对接源_02物料!$X961="公司筐",N(对接源_02物料!$T961)&lt;&gt;0)),1,0)</f>
        <v>0</v>
      </c>
      <c r="Q2161">
        <f>N(Q2160)+$P2161</f>
        <v>14</v>
      </c>
      <c r="R2161">
        <f>IF(AND($K2161=1,AND(对接源_02物料!$X961="公司筐",N(对接源_02物料!$U961)&lt;&gt;0)),1,0)</f>
        <v>0</v>
      </c>
      <c r="S2161">
        <f>N(S2160)+$R2161</f>
        <v>1</v>
      </c>
      <c r="T2161">
        <f>IF(AND($K2161=1,AND(对接源_02物料!$X961="公司筐",N(对接源_02物料!$V961)&lt;&gt;0)),1,0)</f>
        <v>0</v>
      </c>
      <c r="U2161">
        <f>N(U2160)+$T2161</f>
        <v>47</v>
      </c>
      <c r="V2161">
        <f>IF(AND($L2161=1,AND(对接源_02物料!$X961="自备筐",N(对接源_02物料!$V961)&lt;&gt;0)),1,0)</f>
        <v>0</v>
      </c>
      <c r="W2161">
        <f>N(W2160)+$V2161</f>
        <v>11</v>
      </c>
      <c r="X2161">
        <f>IF(AND($L2161=1,AND(对接源_02物料!$X961="自备筐",N(对接源_02物料!$T961)&lt;&gt;0)),1,0)</f>
        <v>0</v>
      </c>
      <c r="Y2161">
        <f>N(Y2160)+$X2161</f>
        <v>0</v>
      </c>
      <c r="Z2161">
        <f>IF(AND($M2161=1,对接源_02物料!$D961="原料入库"),1,0)</f>
        <v>0</v>
      </c>
      <c r="AA2161">
        <f>N(AA2160)+$Z2161</f>
        <v>24</v>
      </c>
      <c r="AB2161">
        <f>IF(AND($M2161=1,LEFT(对接源_02物料!$D961,4)="原料出库"),1,0)</f>
        <v>0</v>
      </c>
      <c r="AC2161">
        <f>N(AC2160)+$AB2161</f>
        <v>0</v>
      </c>
      <c r="AD2161">
        <f>IF(AND($M2161=1,LEFT(对接源_02物料!$D961,4)="成品出库"),1,0)</f>
        <v>0</v>
      </c>
      <c r="AE2161">
        <f>N(AE2160)+$AD2161</f>
        <v>0</v>
      </c>
      <c r="AF2161">
        <f>IF(AND($N2161=1,AND(LEFT(对接源_02物料!$D961,4)="包装物料",N(对接源_02物料!$K961)&lt;&gt;0)),1,0)</f>
        <v>0</v>
      </c>
      <c r="AG2161">
        <f>N(AG2160)+$AF2161</f>
        <v>10</v>
      </c>
      <c r="AH2161">
        <f>IF(AND($N2161=1,AND(对接源_02物料!$D961="周转筐－销售出库",N(对接源_02物料!$K961)&lt;&gt;0)),1,0)</f>
        <v>0</v>
      </c>
      <c r="AI2161">
        <f>N(AI2160)+$AH2161</f>
        <v>0</v>
      </c>
      <c r="AL2161" t="n">
        <v>0</v>
      </c>
      <c r="AM2161">
        <f>N(AM2160)+$AL2161</f>
        <v>2</v>
      </c>
      <c r="AN2161">
        <f>""</f>
      </c>
      <c r="AO2161" t="n">
        <v>0</v>
      </c>
      <c r="AP2161">
        <f>N(AP2160)+$AO2161</f>
        <v>13</v>
      </c>
      <c r="AR2161">
        <f>IF(OR($AF2161=1,$AH2161=1),1,0)</f>
        <v>0</v>
      </c>
      <c r="AS2161">
        <f>N(AS2160)+$AR2161</f>
        <v>10</v>
      </c>
    </row>
    <row r="2162" s="127">
      <c r="A2162">
        <f>IF(对接源_02物料!$C962="","",对接源_02物料!$C962)</f>
      </c>
      <c r="B2162">
        <f>IF(A2162="",0,IF(MATCH(A2162,$A$4:$A$2403,0)=ROW()-3,1,0))</f>
        <v>0</v>
      </c>
      <c r="C2162">
        <f>N(C2161)+B2162</f>
        <v>26</v>
      </c>
      <c r="K2162">
        <f>IF(OR($K$1="",对接源_02物料!$C962="",对接源_02物料!$C962&lt;&gt;$K$1,对接源_02物料!$B962=""),0,IF(OR(N(对接源_02物料!$B962)&lt;$K$2,N(对接源_02物料!$B962)&gt;$K$3),0,1))</f>
        <v>0</v>
      </c>
      <c r="L2162">
        <f>IF(OR($L$1="",对接源_02物料!$C962="",对接源_02物料!$C962&lt;&gt;$L$1,对接源_02物料!$B962=""),0,IF(OR(N(对接源_02物料!$B962)&lt;$L$2,N(对接源_02物料!$B962)&gt;$L$3),0,1))</f>
        <v>0</v>
      </c>
      <c r="M2162">
        <f>IF(OR($M$1="",对接源_02物料!$C962="",对接源_02物料!$C962&lt;&gt;$M$1,对接源_02物料!$B962=""),0,IF(OR(N(对接源_02物料!$B962)&lt;$M$2,N(对接源_02物料!$B962)&gt;$M$3),0,1))</f>
        <v>0</v>
      </c>
      <c r="N2162">
        <f>IF(OR($N$1="",对接源_02物料!$C962="",对接源_02物料!$C962&lt;&gt;$N$1,对接源_02物料!$B962=""),0,IF(OR(N(对接源_02物料!$B962)&lt;$N$2,N(对接源_02物料!$B962)&gt;$N$3),0,1))</f>
        <v>0</v>
      </c>
      <c r="P2162">
        <f>IF(AND($K2162=1,AND(对接源_02物料!$X962="公司筐",N(对接源_02物料!$T962)&lt;&gt;0)),1,0)</f>
        <v>0</v>
      </c>
      <c r="Q2162">
        <f>N(Q2161)+$P2162</f>
        <v>14</v>
      </c>
      <c r="R2162">
        <f>IF(AND($K2162=1,AND(对接源_02物料!$X962="公司筐",N(对接源_02物料!$U962)&lt;&gt;0)),1,0)</f>
        <v>0</v>
      </c>
      <c r="S2162">
        <f>N(S2161)+$R2162</f>
        <v>1</v>
      </c>
      <c r="T2162">
        <f>IF(AND($K2162=1,AND(对接源_02物料!$X962="公司筐",N(对接源_02物料!$V962)&lt;&gt;0)),1,0)</f>
        <v>0</v>
      </c>
      <c r="U2162">
        <f>N(U2161)+$T2162</f>
        <v>47</v>
      </c>
      <c r="V2162">
        <f>IF(AND($L2162=1,AND(对接源_02物料!$X962="自备筐",N(对接源_02物料!$V962)&lt;&gt;0)),1,0)</f>
        <v>0</v>
      </c>
      <c r="W2162">
        <f>N(W2161)+$V2162</f>
        <v>11</v>
      </c>
      <c r="X2162">
        <f>IF(AND($L2162=1,AND(对接源_02物料!$X962="自备筐",N(对接源_02物料!$T962)&lt;&gt;0)),1,0)</f>
        <v>0</v>
      </c>
      <c r="Y2162">
        <f>N(Y2161)+$X2162</f>
        <v>0</v>
      </c>
      <c r="Z2162">
        <f>IF(AND($M2162=1,对接源_02物料!$D962="原料入库"),1,0)</f>
        <v>0</v>
      </c>
      <c r="AA2162">
        <f>N(AA2161)+$Z2162</f>
        <v>24</v>
      </c>
      <c r="AB2162">
        <f>IF(AND($M2162=1,LEFT(对接源_02物料!$D962,4)="原料出库"),1,0)</f>
        <v>0</v>
      </c>
      <c r="AC2162">
        <f>N(AC2161)+$AB2162</f>
        <v>0</v>
      </c>
      <c r="AD2162">
        <f>IF(AND($M2162=1,LEFT(对接源_02物料!$D962,4)="成品出库"),1,0)</f>
        <v>0</v>
      </c>
      <c r="AE2162">
        <f>N(AE2161)+$AD2162</f>
        <v>0</v>
      </c>
      <c r="AF2162">
        <f>IF(AND($N2162=1,AND(LEFT(对接源_02物料!$D962,4)="包装物料",N(对接源_02物料!$K962)&lt;&gt;0)),1,0)</f>
        <v>0</v>
      </c>
      <c r="AG2162">
        <f>N(AG2161)+$AF2162</f>
        <v>10</v>
      </c>
      <c r="AH2162">
        <f>IF(AND($N2162=1,AND(对接源_02物料!$D962="周转筐－销售出库",N(对接源_02物料!$K962)&lt;&gt;0)),1,0)</f>
        <v>0</v>
      </c>
      <c r="AI2162">
        <f>N(AI2161)+$AH2162</f>
        <v>0</v>
      </c>
      <c r="AL2162" t="n">
        <v>0</v>
      </c>
      <c r="AM2162">
        <f>N(AM2161)+$AL2162</f>
        <v>2</v>
      </c>
      <c r="AN2162">
        <f>""</f>
      </c>
      <c r="AO2162" t="n">
        <v>0</v>
      </c>
      <c r="AP2162">
        <f>N(AP2161)+$AO2162</f>
        <v>13</v>
      </c>
      <c r="AR2162">
        <f>IF(OR($AF2162=1,$AH2162=1),1,0)</f>
        <v>0</v>
      </c>
      <c r="AS2162">
        <f>N(AS2161)+$AR2162</f>
        <v>10</v>
      </c>
    </row>
    <row r="2163" s="127">
      <c r="A2163">
        <f>IF(对接源_02物料!$C963="","",对接源_02物料!$C963)</f>
      </c>
      <c r="B2163">
        <f>IF(A2163="",0,IF(MATCH(A2163,$A$4:$A$2403,0)=ROW()-3,1,0))</f>
        <v>0</v>
      </c>
      <c r="C2163">
        <f>N(C2162)+B2163</f>
        <v>26</v>
      </c>
      <c r="K2163">
        <f>IF(OR($K$1="",对接源_02物料!$C963="",对接源_02物料!$C963&lt;&gt;$K$1,对接源_02物料!$B963=""),0,IF(OR(N(对接源_02物料!$B963)&lt;$K$2,N(对接源_02物料!$B963)&gt;$K$3),0,1))</f>
        <v>0</v>
      </c>
      <c r="L2163">
        <f>IF(OR($L$1="",对接源_02物料!$C963="",对接源_02物料!$C963&lt;&gt;$L$1,对接源_02物料!$B963=""),0,IF(OR(N(对接源_02物料!$B963)&lt;$L$2,N(对接源_02物料!$B963)&gt;$L$3),0,1))</f>
        <v>0</v>
      </c>
      <c r="M2163">
        <f>IF(OR($M$1="",对接源_02物料!$C963="",对接源_02物料!$C963&lt;&gt;$M$1,对接源_02物料!$B963=""),0,IF(OR(N(对接源_02物料!$B963)&lt;$M$2,N(对接源_02物料!$B963)&gt;$M$3),0,1))</f>
        <v>0</v>
      </c>
      <c r="N2163">
        <f>IF(OR($N$1="",对接源_02物料!$C963="",对接源_02物料!$C963&lt;&gt;$N$1,对接源_02物料!$B963=""),0,IF(OR(N(对接源_02物料!$B963)&lt;$N$2,N(对接源_02物料!$B963)&gt;$N$3),0,1))</f>
        <v>0</v>
      </c>
      <c r="P2163">
        <f>IF(AND($K2163=1,AND(对接源_02物料!$X963="公司筐",N(对接源_02物料!$T963)&lt;&gt;0)),1,0)</f>
        <v>0</v>
      </c>
      <c r="Q2163">
        <f>N(Q2162)+$P2163</f>
        <v>14</v>
      </c>
      <c r="R2163">
        <f>IF(AND($K2163=1,AND(对接源_02物料!$X963="公司筐",N(对接源_02物料!$U963)&lt;&gt;0)),1,0)</f>
        <v>0</v>
      </c>
      <c r="S2163">
        <f>N(S2162)+$R2163</f>
        <v>1</v>
      </c>
      <c r="T2163">
        <f>IF(AND($K2163=1,AND(对接源_02物料!$X963="公司筐",N(对接源_02物料!$V963)&lt;&gt;0)),1,0)</f>
        <v>0</v>
      </c>
      <c r="U2163">
        <f>N(U2162)+$T2163</f>
        <v>47</v>
      </c>
      <c r="V2163">
        <f>IF(AND($L2163=1,AND(对接源_02物料!$X963="自备筐",N(对接源_02物料!$V963)&lt;&gt;0)),1,0)</f>
        <v>0</v>
      </c>
      <c r="W2163">
        <f>N(W2162)+$V2163</f>
        <v>11</v>
      </c>
      <c r="X2163">
        <f>IF(AND($L2163=1,AND(对接源_02物料!$X963="自备筐",N(对接源_02物料!$T963)&lt;&gt;0)),1,0)</f>
        <v>0</v>
      </c>
      <c r="Y2163">
        <f>N(Y2162)+$X2163</f>
        <v>0</v>
      </c>
      <c r="Z2163">
        <f>IF(AND($M2163=1,对接源_02物料!$D963="原料入库"),1,0)</f>
        <v>0</v>
      </c>
      <c r="AA2163">
        <f>N(AA2162)+$Z2163</f>
        <v>24</v>
      </c>
      <c r="AB2163">
        <f>IF(AND($M2163=1,LEFT(对接源_02物料!$D963,4)="原料出库"),1,0)</f>
        <v>0</v>
      </c>
      <c r="AC2163">
        <f>N(AC2162)+$AB2163</f>
        <v>0</v>
      </c>
      <c r="AD2163">
        <f>IF(AND($M2163=1,LEFT(对接源_02物料!$D963,4)="成品出库"),1,0)</f>
        <v>0</v>
      </c>
      <c r="AE2163">
        <f>N(AE2162)+$AD2163</f>
        <v>0</v>
      </c>
      <c r="AF2163">
        <f>IF(AND($N2163=1,AND(LEFT(对接源_02物料!$D963,4)="包装物料",N(对接源_02物料!$K963)&lt;&gt;0)),1,0)</f>
        <v>0</v>
      </c>
      <c r="AG2163">
        <f>N(AG2162)+$AF2163</f>
        <v>10</v>
      </c>
      <c r="AH2163">
        <f>IF(AND($N2163=1,AND(对接源_02物料!$D963="周转筐－销售出库",N(对接源_02物料!$K963)&lt;&gt;0)),1,0)</f>
        <v>0</v>
      </c>
      <c r="AI2163">
        <f>N(AI2162)+$AH2163</f>
        <v>0</v>
      </c>
      <c r="AL2163" t="n">
        <v>0</v>
      </c>
      <c r="AM2163">
        <f>N(AM2162)+$AL2163</f>
        <v>2</v>
      </c>
      <c r="AN2163">
        <f>""</f>
      </c>
      <c r="AO2163" t="n">
        <v>0</v>
      </c>
      <c r="AP2163">
        <f>N(AP2162)+$AO2163</f>
        <v>13</v>
      </c>
      <c r="AR2163">
        <f>IF(OR($AF2163=1,$AH2163=1),1,0)</f>
        <v>0</v>
      </c>
      <c r="AS2163">
        <f>N(AS2162)+$AR2163</f>
        <v>10</v>
      </c>
    </row>
    <row r="2164" s="127">
      <c r="A2164">
        <f>IF(对接源_02物料!$C964="","",对接源_02物料!$C964)</f>
      </c>
      <c r="B2164">
        <f>IF(A2164="",0,IF(MATCH(A2164,$A$4:$A$2403,0)=ROW()-3,1,0))</f>
        <v>0</v>
      </c>
      <c r="C2164">
        <f>N(C2163)+B2164</f>
        <v>26</v>
      </c>
      <c r="K2164">
        <f>IF(OR($K$1="",对接源_02物料!$C964="",对接源_02物料!$C964&lt;&gt;$K$1,对接源_02物料!$B964=""),0,IF(OR(N(对接源_02物料!$B964)&lt;$K$2,N(对接源_02物料!$B964)&gt;$K$3),0,1))</f>
        <v>0</v>
      </c>
      <c r="L2164">
        <f>IF(OR($L$1="",对接源_02物料!$C964="",对接源_02物料!$C964&lt;&gt;$L$1,对接源_02物料!$B964=""),0,IF(OR(N(对接源_02物料!$B964)&lt;$L$2,N(对接源_02物料!$B964)&gt;$L$3),0,1))</f>
        <v>0</v>
      </c>
      <c r="M2164">
        <f>IF(OR($M$1="",对接源_02物料!$C964="",对接源_02物料!$C964&lt;&gt;$M$1,对接源_02物料!$B964=""),0,IF(OR(N(对接源_02物料!$B964)&lt;$M$2,N(对接源_02物料!$B964)&gt;$M$3),0,1))</f>
        <v>0</v>
      </c>
      <c r="N2164">
        <f>IF(OR($N$1="",对接源_02物料!$C964="",对接源_02物料!$C964&lt;&gt;$N$1,对接源_02物料!$B964=""),0,IF(OR(N(对接源_02物料!$B964)&lt;$N$2,N(对接源_02物料!$B964)&gt;$N$3),0,1))</f>
        <v>0</v>
      </c>
      <c r="P2164">
        <f>IF(AND($K2164=1,AND(对接源_02物料!$X964="公司筐",N(对接源_02物料!$T964)&lt;&gt;0)),1,0)</f>
        <v>0</v>
      </c>
      <c r="Q2164">
        <f>N(Q2163)+$P2164</f>
        <v>14</v>
      </c>
      <c r="R2164">
        <f>IF(AND($K2164=1,AND(对接源_02物料!$X964="公司筐",N(对接源_02物料!$U964)&lt;&gt;0)),1,0)</f>
        <v>0</v>
      </c>
      <c r="S2164">
        <f>N(S2163)+$R2164</f>
        <v>1</v>
      </c>
      <c r="T2164">
        <f>IF(AND($K2164=1,AND(对接源_02物料!$X964="公司筐",N(对接源_02物料!$V964)&lt;&gt;0)),1,0)</f>
        <v>0</v>
      </c>
      <c r="U2164">
        <f>N(U2163)+$T2164</f>
        <v>47</v>
      </c>
      <c r="V2164">
        <f>IF(AND($L2164=1,AND(对接源_02物料!$X964="自备筐",N(对接源_02物料!$V964)&lt;&gt;0)),1,0)</f>
        <v>0</v>
      </c>
      <c r="W2164">
        <f>N(W2163)+$V2164</f>
        <v>11</v>
      </c>
      <c r="X2164">
        <f>IF(AND($L2164=1,AND(对接源_02物料!$X964="自备筐",N(对接源_02物料!$T964)&lt;&gt;0)),1,0)</f>
        <v>0</v>
      </c>
      <c r="Y2164">
        <f>N(Y2163)+$X2164</f>
        <v>0</v>
      </c>
      <c r="Z2164">
        <f>IF(AND($M2164=1,对接源_02物料!$D964="原料入库"),1,0)</f>
        <v>0</v>
      </c>
      <c r="AA2164">
        <f>N(AA2163)+$Z2164</f>
        <v>24</v>
      </c>
      <c r="AB2164">
        <f>IF(AND($M2164=1,LEFT(对接源_02物料!$D964,4)="原料出库"),1,0)</f>
        <v>0</v>
      </c>
      <c r="AC2164">
        <f>N(AC2163)+$AB2164</f>
        <v>0</v>
      </c>
      <c r="AD2164">
        <f>IF(AND($M2164=1,LEFT(对接源_02物料!$D964,4)="成品出库"),1,0)</f>
        <v>0</v>
      </c>
      <c r="AE2164">
        <f>N(AE2163)+$AD2164</f>
        <v>0</v>
      </c>
      <c r="AF2164">
        <f>IF(AND($N2164=1,AND(LEFT(对接源_02物料!$D964,4)="包装物料",N(对接源_02物料!$K964)&lt;&gt;0)),1,0)</f>
        <v>0</v>
      </c>
      <c r="AG2164">
        <f>N(AG2163)+$AF2164</f>
        <v>10</v>
      </c>
      <c r="AH2164">
        <f>IF(AND($N2164=1,AND(对接源_02物料!$D964="周转筐－销售出库",N(对接源_02物料!$K964)&lt;&gt;0)),1,0)</f>
        <v>0</v>
      </c>
      <c r="AI2164">
        <f>N(AI2163)+$AH2164</f>
        <v>0</v>
      </c>
      <c r="AL2164" t="n">
        <v>0</v>
      </c>
      <c r="AM2164">
        <f>N(AM2163)+$AL2164</f>
        <v>2</v>
      </c>
      <c r="AN2164">
        <f>""</f>
      </c>
      <c r="AO2164" t="n">
        <v>0</v>
      </c>
      <c r="AP2164">
        <f>N(AP2163)+$AO2164</f>
        <v>13</v>
      </c>
      <c r="AR2164">
        <f>IF(OR($AF2164=1,$AH2164=1),1,0)</f>
        <v>0</v>
      </c>
      <c r="AS2164">
        <f>N(AS2163)+$AR2164</f>
        <v>10</v>
      </c>
    </row>
    <row r="2165" s="127">
      <c r="A2165">
        <f>IF(对接源_02物料!$C965="","",对接源_02物料!$C965)</f>
      </c>
      <c r="B2165">
        <f>IF(A2165="",0,IF(MATCH(A2165,$A$4:$A$2403,0)=ROW()-3,1,0))</f>
        <v>0</v>
      </c>
      <c r="C2165">
        <f>N(C2164)+B2165</f>
        <v>26</v>
      </c>
      <c r="K2165">
        <f>IF(OR($K$1="",对接源_02物料!$C965="",对接源_02物料!$C965&lt;&gt;$K$1,对接源_02物料!$B965=""),0,IF(OR(N(对接源_02物料!$B965)&lt;$K$2,N(对接源_02物料!$B965)&gt;$K$3),0,1))</f>
        <v>0</v>
      </c>
      <c r="L2165">
        <f>IF(OR($L$1="",对接源_02物料!$C965="",对接源_02物料!$C965&lt;&gt;$L$1,对接源_02物料!$B965=""),0,IF(OR(N(对接源_02物料!$B965)&lt;$L$2,N(对接源_02物料!$B965)&gt;$L$3),0,1))</f>
        <v>0</v>
      </c>
      <c r="M2165">
        <f>IF(OR($M$1="",对接源_02物料!$C965="",对接源_02物料!$C965&lt;&gt;$M$1,对接源_02物料!$B965=""),0,IF(OR(N(对接源_02物料!$B965)&lt;$M$2,N(对接源_02物料!$B965)&gt;$M$3),0,1))</f>
        <v>0</v>
      </c>
      <c r="N2165">
        <f>IF(OR($N$1="",对接源_02物料!$C965="",对接源_02物料!$C965&lt;&gt;$N$1,对接源_02物料!$B965=""),0,IF(OR(N(对接源_02物料!$B965)&lt;$N$2,N(对接源_02物料!$B965)&gt;$N$3),0,1))</f>
        <v>0</v>
      </c>
      <c r="P2165">
        <f>IF(AND($K2165=1,AND(对接源_02物料!$X965="公司筐",N(对接源_02物料!$T965)&lt;&gt;0)),1,0)</f>
        <v>0</v>
      </c>
      <c r="Q2165">
        <f>N(Q2164)+$P2165</f>
        <v>14</v>
      </c>
      <c r="R2165">
        <f>IF(AND($K2165=1,AND(对接源_02物料!$X965="公司筐",N(对接源_02物料!$U965)&lt;&gt;0)),1,0)</f>
        <v>0</v>
      </c>
      <c r="S2165">
        <f>N(S2164)+$R2165</f>
        <v>1</v>
      </c>
      <c r="T2165">
        <f>IF(AND($K2165=1,AND(对接源_02物料!$X965="公司筐",N(对接源_02物料!$V965)&lt;&gt;0)),1,0)</f>
        <v>0</v>
      </c>
      <c r="U2165">
        <f>N(U2164)+$T2165</f>
        <v>47</v>
      </c>
      <c r="V2165">
        <f>IF(AND($L2165=1,AND(对接源_02物料!$X965="自备筐",N(对接源_02物料!$V965)&lt;&gt;0)),1,0)</f>
        <v>0</v>
      </c>
      <c r="W2165">
        <f>N(W2164)+$V2165</f>
        <v>11</v>
      </c>
      <c r="X2165">
        <f>IF(AND($L2165=1,AND(对接源_02物料!$X965="自备筐",N(对接源_02物料!$T965)&lt;&gt;0)),1,0)</f>
        <v>0</v>
      </c>
      <c r="Y2165">
        <f>N(Y2164)+$X2165</f>
        <v>0</v>
      </c>
      <c r="Z2165">
        <f>IF(AND($M2165=1,对接源_02物料!$D965="原料入库"),1,0)</f>
        <v>0</v>
      </c>
      <c r="AA2165">
        <f>N(AA2164)+$Z2165</f>
        <v>24</v>
      </c>
      <c r="AB2165">
        <f>IF(AND($M2165=1,LEFT(对接源_02物料!$D965,4)="原料出库"),1,0)</f>
        <v>0</v>
      </c>
      <c r="AC2165">
        <f>N(AC2164)+$AB2165</f>
        <v>0</v>
      </c>
      <c r="AD2165">
        <f>IF(AND($M2165=1,LEFT(对接源_02物料!$D965,4)="成品出库"),1,0)</f>
        <v>0</v>
      </c>
      <c r="AE2165">
        <f>N(AE2164)+$AD2165</f>
        <v>0</v>
      </c>
      <c r="AF2165">
        <f>IF(AND($N2165=1,AND(LEFT(对接源_02物料!$D965,4)="包装物料",N(对接源_02物料!$K965)&lt;&gt;0)),1,0)</f>
        <v>0</v>
      </c>
      <c r="AG2165">
        <f>N(AG2164)+$AF2165</f>
        <v>10</v>
      </c>
      <c r="AH2165">
        <f>IF(AND($N2165=1,AND(对接源_02物料!$D965="周转筐－销售出库",N(对接源_02物料!$K965)&lt;&gt;0)),1,0)</f>
        <v>0</v>
      </c>
      <c r="AI2165">
        <f>N(AI2164)+$AH2165</f>
        <v>0</v>
      </c>
      <c r="AL2165" t="n">
        <v>0</v>
      </c>
      <c r="AM2165">
        <f>N(AM2164)+$AL2165</f>
        <v>2</v>
      </c>
      <c r="AN2165">
        <f>""</f>
      </c>
      <c r="AO2165" t="n">
        <v>0</v>
      </c>
      <c r="AP2165">
        <f>N(AP2164)+$AO2165</f>
        <v>13</v>
      </c>
      <c r="AR2165">
        <f>IF(OR($AF2165=1,$AH2165=1),1,0)</f>
        <v>0</v>
      </c>
      <c r="AS2165">
        <f>N(AS2164)+$AR2165</f>
        <v>10</v>
      </c>
    </row>
    <row r="2166" s="127">
      <c r="A2166">
        <f>IF(对接源_02物料!$C966="","",对接源_02物料!$C966)</f>
      </c>
      <c r="B2166">
        <f>IF(A2166="",0,IF(MATCH(A2166,$A$4:$A$2403,0)=ROW()-3,1,0))</f>
        <v>0</v>
      </c>
      <c r="C2166">
        <f>N(C2165)+B2166</f>
        <v>26</v>
      </c>
      <c r="K2166">
        <f>IF(OR($K$1="",对接源_02物料!$C966="",对接源_02物料!$C966&lt;&gt;$K$1,对接源_02物料!$B966=""),0,IF(OR(N(对接源_02物料!$B966)&lt;$K$2,N(对接源_02物料!$B966)&gt;$K$3),0,1))</f>
        <v>0</v>
      </c>
      <c r="L2166">
        <f>IF(OR($L$1="",对接源_02物料!$C966="",对接源_02物料!$C966&lt;&gt;$L$1,对接源_02物料!$B966=""),0,IF(OR(N(对接源_02物料!$B966)&lt;$L$2,N(对接源_02物料!$B966)&gt;$L$3),0,1))</f>
        <v>0</v>
      </c>
      <c r="M2166">
        <f>IF(OR($M$1="",对接源_02物料!$C966="",对接源_02物料!$C966&lt;&gt;$M$1,对接源_02物料!$B966=""),0,IF(OR(N(对接源_02物料!$B966)&lt;$M$2,N(对接源_02物料!$B966)&gt;$M$3),0,1))</f>
        <v>0</v>
      </c>
      <c r="N2166">
        <f>IF(OR($N$1="",对接源_02物料!$C966="",对接源_02物料!$C966&lt;&gt;$N$1,对接源_02物料!$B966=""),0,IF(OR(N(对接源_02物料!$B966)&lt;$N$2,N(对接源_02物料!$B966)&gt;$N$3),0,1))</f>
        <v>0</v>
      </c>
      <c r="P2166">
        <f>IF(AND($K2166=1,AND(对接源_02物料!$X966="公司筐",N(对接源_02物料!$T966)&lt;&gt;0)),1,0)</f>
        <v>0</v>
      </c>
      <c r="Q2166">
        <f>N(Q2165)+$P2166</f>
        <v>14</v>
      </c>
      <c r="R2166">
        <f>IF(AND($K2166=1,AND(对接源_02物料!$X966="公司筐",N(对接源_02物料!$U966)&lt;&gt;0)),1,0)</f>
        <v>0</v>
      </c>
      <c r="S2166">
        <f>N(S2165)+$R2166</f>
        <v>1</v>
      </c>
      <c r="T2166">
        <f>IF(AND($K2166=1,AND(对接源_02物料!$X966="公司筐",N(对接源_02物料!$V966)&lt;&gt;0)),1,0)</f>
        <v>0</v>
      </c>
      <c r="U2166">
        <f>N(U2165)+$T2166</f>
        <v>47</v>
      </c>
      <c r="V2166">
        <f>IF(AND($L2166=1,AND(对接源_02物料!$X966="自备筐",N(对接源_02物料!$V966)&lt;&gt;0)),1,0)</f>
        <v>0</v>
      </c>
      <c r="W2166">
        <f>N(W2165)+$V2166</f>
        <v>11</v>
      </c>
      <c r="X2166">
        <f>IF(AND($L2166=1,AND(对接源_02物料!$X966="自备筐",N(对接源_02物料!$T966)&lt;&gt;0)),1,0)</f>
        <v>0</v>
      </c>
      <c r="Y2166">
        <f>N(Y2165)+$X2166</f>
        <v>0</v>
      </c>
      <c r="Z2166">
        <f>IF(AND($M2166=1,对接源_02物料!$D966="原料入库"),1,0)</f>
        <v>0</v>
      </c>
      <c r="AA2166">
        <f>N(AA2165)+$Z2166</f>
        <v>24</v>
      </c>
      <c r="AB2166">
        <f>IF(AND($M2166=1,LEFT(对接源_02物料!$D966,4)="原料出库"),1,0)</f>
        <v>0</v>
      </c>
      <c r="AC2166">
        <f>N(AC2165)+$AB2166</f>
        <v>0</v>
      </c>
      <c r="AD2166">
        <f>IF(AND($M2166=1,LEFT(对接源_02物料!$D966,4)="成品出库"),1,0)</f>
        <v>0</v>
      </c>
      <c r="AE2166">
        <f>N(AE2165)+$AD2166</f>
        <v>0</v>
      </c>
      <c r="AF2166">
        <f>IF(AND($N2166=1,AND(LEFT(对接源_02物料!$D966,4)="包装物料",N(对接源_02物料!$K966)&lt;&gt;0)),1,0)</f>
        <v>0</v>
      </c>
      <c r="AG2166">
        <f>N(AG2165)+$AF2166</f>
        <v>10</v>
      </c>
      <c r="AH2166">
        <f>IF(AND($N2166=1,AND(对接源_02物料!$D966="周转筐－销售出库",N(对接源_02物料!$K966)&lt;&gt;0)),1,0)</f>
        <v>0</v>
      </c>
      <c r="AI2166">
        <f>N(AI2165)+$AH2166</f>
        <v>0</v>
      </c>
      <c r="AL2166" t="n">
        <v>0</v>
      </c>
      <c r="AM2166">
        <f>N(AM2165)+$AL2166</f>
        <v>2</v>
      </c>
      <c r="AN2166">
        <f>""</f>
      </c>
      <c r="AO2166" t="n">
        <v>0</v>
      </c>
      <c r="AP2166">
        <f>N(AP2165)+$AO2166</f>
        <v>13</v>
      </c>
      <c r="AR2166">
        <f>IF(OR($AF2166=1,$AH2166=1),1,0)</f>
        <v>0</v>
      </c>
      <c r="AS2166">
        <f>N(AS2165)+$AR2166</f>
        <v>10</v>
      </c>
    </row>
    <row r="2167" s="127">
      <c r="A2167">
        <f>IF(对接源_02物料!$C967="","",对接源_02物料!$C967)</f>
      </c>
      <c r="B2167">
        <f>IF(A2167="",0,IF(MATCH(A2167,$A$4:$A$2403,0)=ROW()-3,1,0))</f>
        <v>0</v>
      </c>
      <c r="C2167">
        <f>N(C2166)+B2167</f>
        <v>26</v>
      </c>
      <c r="K2167">
        <f>IF(OR($K$1="",对接源_02物料!$C967="",对接源_02物料!$C967&lt;&gt;$K$1,对接源_02物料!$B967=""),0,IF(OR(N(对接源_02物料!$B967)&lt;$K$2,N(对接源_02物料!$B967)&gt;$K$3),0,1))</f>
        <v>0</v>
      </c>
      <c r="L2167">
        <f>IF(OR($L$1="",对接源_02物料!$C967="",对接源_02物料!$C967&lt;&gt;$L$1,对接源_02物料!$B967=""),0,IF(OR(N(对接源_02物料!$B967)&lt;$L$2,N(对接源_02物料!$B967)&gt;$L$3),0,1))</f>
        <v>0</v>
      </c>
      <c r="M2167">
        <f>IF(OR($M$1="",对接源_02物料!$C967="",对接源_02物料!$C967&lt;&gt;$M$1,对接源_02物料!$B967=""),0,IF(OR(N(对接源_02物料!$B967)&lt;$M$2,N(对接源_02物料!$B967)&gt;$M$3),0,1))</f>
        <v>0</v>
      </c>
      <c r="N2167">
        <f>IF(OR($N$1="",对接源_02物料!$C967="",对接源_02物料!$C967&lt;&gt;$N$1,对接源_02物料!$B967=""),0,IF(OR(N(对接源_02物料!$B967)&lt;$N$2,N(对接源_02物料!$B967)&gt;$N$3),0,1))</f>
        <v>0</v>
      </c>
      <c r="P2167">
        <f>IF(AND($K2167=1,AND(对接源_02物料!$X967="公司筐",N(对接源_02物料!$T967)&lt;&gt;0)),1,0)</f>
        <v>0</v>
      </c>
      <c r="Q2167">
        <f>N(Q2166)+$P2167</f>
        <v>14</v>
      </c>
      <c r="R2167">
        <f>IF(AND($K2167=1,AND(对接源_02物料!$X967="公司筐",N(对接源_02物料!$U967)&lt;&gt;0)),1,0)</f>
        <v>0</v>
      </c>
      <c r="S2167">
        <f>N(S2166)+$R2167</f>
        <v>1</v>
      </c>
      <c r="T2167">
        <f>IF(AND($K2167=1,AND(对接源_02物料!$X967="公司筐",N(对接源_02物料!$V967)&lt;&gt;0)),1,0)</f>
        <v>0</v>
      </c>
      <c r="U2167">
        <f>N(U2166)+$T2167</f>
        <v>47</v>
      </c>
      <c r="V2167">
        <f>IF(AND($L2167=1,AND(对接源_02物料!$X967="自备筐",N(对接源_02物料!$V967)&lt;&gt;0)),1,0)</f>
        <v>0</v>
      </c>
      <c r="W2167">
        <f>N(W2166)+$V2167</f>
        <v>11</v>
      </c>
      <c r="X2167">
        <f>IF(AND($L2167=1,AND(对接源_02物料!$X967="自备筐",N(对接源_02物料!$T967)&lt;&gt;0)),1,0)</f>
        <v>0</v>
      </c>
      <c r="Y2167">
        <f>N(Y2166)+$X2167</f>
        <v>0</v>
      </c>
      <c r="Z2167">
        <f>IF(AND($M2167=1,对接源_02物料!$D967="原料入库"),1,0)</f>
        <v>0</v>
      </c>
      <c r="AA2167">
        <f>N(AA2166)+$Z2167</f>
        <v>24</v>
      </c>
      <c r="AB2167">
        <f>IF(AND($M2167=1,LEFT(对接源_02物料!$D967,4)="原料出库"),1,0)</f>
        <v>0</v>
      </c>
      <c r="AC2167">
        <f>N(AC2166)+$AB2167</f>
        <v>0</v>
      </c>
      <c r="AD2167">
        <f>IF(AND($M2167=1,LEFT(对接源_02物料!$D967,4)="成品出库"),1,0)</f>
        <v>0</v>
      </c>
      <c r="AE2167">
        <f>N(AE2166)+$AD2167</f>
        <v>0</v>
      </c>
      <c r="AF2167">
        <f>IF(AND($N2167=1,AND(LEFT(对接源_02物料!$D967,4)="包装物料",N(对接源_02物料!$K967)&lt;&gt;0)),1,0)</f>
        <v>0</v>
      </c>
      <c r="AG2167">
        <f>N(AG2166)+$AF2167</f>
        <v>10</v>
      </c>
      <c r="AH2167">
        <f>IF(AND($N2167=1,AND(对接源_02物料!$D967="周转筐－销售出库",N(对接源_02物料!$K967)&lt;&gt;0)),1,0)</f>
        <v>0</v>
      </c>
      <c r="AI2167">
        <f>N(AI2166)+$AH2167</f>
        <v>0</v>
      </c>
      <c r="AL2167" t="n">
        <v>0</v>
      </c>
      <c r="AM2167">
        <f>N(AM2166)+$AL2167</f>
        <v>2</v>
      </c>
      <c r="AN2167">
        <f>""</f>
      </c>
      <c r="AO2167" t="n">
        <v>0</v>
      </c>
      <c r="AP2167">
        <f>N(AP2166)+$AO2167</f>
        <v>13</v>
      </c>
      <c r="AR2167">
        <f>IF(OR($AF2167=1,$AH2167=1),1,0)</f>
        <v>0</v>
      </c>
      <c r="AS2167">
        <f>N(AS2166)+$AR2167</f>
        <v>10</v>
      </c>
    </row>
    <row r="2168" s="127">
      <c r="A2168">
        <f>IF(对接源_02物料!$C968="","",对接源_02物料!$C968)</f>
      </c>
      <c r="B2168">
        <f>IF(A2168="",0,IF(MATCH(A2168,$A$4:$A$2403,0)=ROW()-3,1,0))</f>
        <v>0</v>
      </c>
      <c r="C2168">
        <f>N(C2167)+B2168</f>
        <v>26</v>
      </c>
      <c r="K2168">
        <f>IF(OR($K$1="",对接源_02物料!$C968="",对接源_02物料!$C968&lt;&gt;$K$1,对接源_02物料!$B968=""),0,IF(OR(N(对接源_02物料!$B968)&lt;$K$2,N(对接源_02物料!$B968)&gt;$K$3),0,1))</f>
        <v>0</v>
      </c>
      <c r="L2168">
        <f>IF(OR($L$1="",对接源_02物料!$C968="",对接源_02物料!$C968&lt;&gt;$L$1,对接源_02物料!$B968=""),0,IF(OR(N(对接源_02物料!$B968)&lt;$L$2,N(对接源_02物料!$B968)&gt;$L$3),0,1))</f>
        <v>0</v>
      </c>
      <c r="M2168">
        <f>IF(OR($M$1="",对接源_02物料!$C968="",对接源_02物料!$C968&lt;&gt;$M$1,对接源_02物料!$B968=""),0,IF(OR(N(对接源_02物料!$B968)&lt;$M$2,N(对接源_02物料!$B968)&gt;$M$3),0,1))</f>
        <v>0</v>
      </c>
      <c r="N2168">
        <f>IF(OR($N$1="",对接源_02物料!$C968="",对接源_02物料!$C968&lt;&gt;$N$1,对接源_02物料!$B968=""),0,IF(OR(N(对接源_02物料!$B968)&lt;$N$2,N(对接源_02物料!$B968)&gt;$N$3),0,1))</f>
        <v>0</v>
      </c>
      <c r="P2168">
        <f>IF(AND($K2168=1,AND(对接源_02物料!$X968="公司筐",N(对接源_02物料!$T968)&lt;&gt;0)),1,0)</f>
        <v>0</v>
      </c>
      <c r="Q2168">
        <f>N(Q2167)+$P2168</f>
        <v>14</v>
      </c>
      <c r="R2168">
        <f>IF(AND($K2168=1,AND(对接源_02物料!$X968="公司筐",N(对接源_02物料!$U968)&lt;&gt;0)),1,0)</f>
        <v>0</v>
      </c>
      <c r="S2168">
        <f>N(S2167)+$R2168</f>
        <v>1</v>
      </c>
      <c r="T2168">
        <f>IF(AND($K2168=1,AND(对接源_02物料!$X968="公司筐",N(对接源_02物料!$V968)&lt;&gt;0)),1,0)</f>
        <v>0</v>
      </c>
      <c r="U2168">
        <f>N(U2167)+$T2168</f>
        <v>47</v>
      </c>
      <c r="V2168">
        <f>IF(AND($L2168=1,AND(对接源_02物料!$X968="自备筐",N(对接源_02物料!$V968)&lt;&gt;0)),1,0)</f>
        <v>0</v>
      </c>
      <c r="W2168">
        <f>N(W2167)+$V2168</f>
        <v>11</v>
      </c>
      <c r="X2168">
        <f>IF(AND($L2168=1,AND(对接源_02物料!$X968="自备筐",N(对接源_02物料!$T968)&lt;&gt;0)),1,0)</f>
        <v>0</v>
      </c>
      <c r="Y2168">
        <f>N(Y2167)+$X2168</f>
        <v>0</v>
      </c>
      <c r="Z2168">
        <f>IF(AND($M2168=1,对接源_02物料!$D968="原料入库"),1,0)</f>
        <v>0</v>
      </c>
      <c r="AA2168">
        <f>N(AA2167)+$Z2168</f>
        <v>24</v>
      </c>
      <c r="AB2168">
        <f>IF(AND($M2168=1,LEFT(对接源_02物料!$D968,4)="原料出库"),1,0)</f>
        <v>0</v>
      </c>
      <c r="AC2168">
        <f>N(AC2167)+$AB2168</f>
        <v>0</v>
      </c>
      <c r="AD2168">
        <f>IF(AND($M2168=1,LEFT(对接源_02物料!$D968,4)="成品出库"),1,0)</f>
        <v>0</v>
      </c>
      <c r="AE2168">
        <f>N(AE2167)+$AD2168</f>
        <v>0</v>
      </c>
      <c r="AF2168">
        <f>IF(AND($N2168=1,AND(LEFT(对接源_02物料!$D968,4)="包装物料",N(对接源_02物料!$K968)&lt;&gt;0)),1,0)</f>
        <v>0</v>
      </c>
      <c r="AG2168">
        <f>N(AG2167)+$AF2168</f>
        <v>10</v>
      </c>
      <c r="AH2168">
        <f>IF(AND($N2168=1,AND(对接源_02物料!$D968="周转筐－销售出库",N(对接源_02物料!$K968)&lt;&gt;0)),1,0)</f>
        <v>0</v>
      </c>
      <c r="AI2168">
        <f>N(AI2167)+$AH2168</f>
        <v>0</v>
      </c>
      <c r="AL2168" t="n">
        <v>0</v>
      </c>
      <c r="AM2168">
        <f>N(AM2167)+$AL2168</f>
        <v>2</v>
      </c>
      <c r="AN2168">
        <f>""</f>
      </c>
      <c r="AO2168" t="n">
        <v>0</v>
      </c>
      <c r="AP2168">
        <f>N(AP2167)+$AO2168</f>
        <v>13</v>
      </c>
      <c r="AR2168">
        <f>IF(OR($AF2168=1,$AH2168=1),1,0)</f>
        <v>0</v>
      </c>
      <c r="AS2168">
        <f>N(AS2167)+$AR2168</f>
        <v>10</v>
      </c>
    </row>
    <row r="2169" s="127">
      <c r="A2169">
        <f>IF(对接源_02物料!$C969="","",对接源_02物料!$C969)</f>
      </c>
      <c r="B2169">
        <f>IF(A2169="",0,IF(MATCH(A2169,$A$4:$A$2403,0)=ROW()-3,1,0))</f>
        <v>0</v>
      </c>
      <c r="C2169">
        <f>N(C2168)+B2169</f>
        <v>26</v>
      </c>
      <c r="K2169">
        <f>IF(OR($K$1="",对接源_02物料!$C969="",对接源_02物料!$C969&lt;&gt;$K$1,对接源_02物料!$B969=""),0,IF(OR(N(对接源_02物料!$B969)&lt;$K$2,N(对接源_02物料!$B969)&gt;$K$3),0,1))</f>
        <v>0</v>
      </c>
      <c r="L2169">
        <f>IF(OR($L$1="",对接源_02物料!$C969="",对接源_02物料!$C969&lt;&gt;$L$1,对接源_02物料!$B969=""),0,IF(OR(N(对接源_02物料!$B969)&lt;$L$2,N(对接源_02物料!$B969)&gt;$L$3),0,1))</f>
        <v>0</v>
      </c>
      <c r="M2169">
        <f>IF(OR($M$1="",对接源_02物料!$C969="",对接源_02物料!$C969&lt;&gt;$M$1,对接源_02物料!$B969=""),0,IF(OR(N(对接源_02物料!$B969)&lt;$M$2,N(对接源_02物料!$B969)&gt;$M$3),0,1))</f>
        <v>0</v>
      </c>
      <c r="N2169">
        <f>IF(OR($N$1="",对接源_02物料!$C969="",对接源_02物料!$C969&lt;&gt;$N$1,对接源_02物料!$B969=""),0,IF(OR(N(对接源_02物料!$B969)&lt;$N$2,N(对接源_02物料!$B969)&gt;$N$3),0,1))</f>
        <v>0</v>
      </c>
      <c r="P2169">
        <f>IF(AND($K2169=1,AND(对接源_02物料!$X969="公司筐",N(对接源_02物料!$T969)&lt;&gt;0)),1,0)</f>
        <v>0</v>
      </c>
      <c r="Q2169">
        <f>N(Q2168)+$P2169</f>
        <v>14</v>
      </c>
      <c r="R2169">
        <f>IF(AND($K2169=1,AND(对接源_02物料!$X969="公司筐",N(对接源_02物料!$U969)&lt;&gt;0)),1,0)</f>
        <v>0</v>
      </c>
      <c r="S2169">
        <f>N(S2168)+$R2169</f>
        <v>1</v>
      </c>
      <c r="T2169">
        <f>IF(AND($K2169=1,AND(对接源_02物料!$X969="公司筐",N(对接源_02物料!$V969)&lt;&gt;0)),1,0)</f>
        <v>0</v>
      </c>
      <c r="U2169">
        <f>N(U2168)+$T2169</f>
        <v>47</v>
      </c>
      <c r="V2169">
        <f>IF(AND($L2169=1,AND(对接源_02物料!$X969="自备筐",N(对接源_02物料!$V969)&lt;&gt;0)),1,0)</f>
        <v>0</v>
      </c>
      <c r="W2169">
        <f>N(W2168)+$V2169</f>
        <v>11</v>
      </c>
      <c r="X2169">
        <f>IF(AND($L2169=1,AND(对接源_02物料!$X969="自备筐",N(对接源_02物料!$T969)&lt;&gt;0)),1,0)</f>
        <v>0</v>
      </c>
      <c r="Y2169">
        <f>N(Y2168)+$X2169</f>
        <v>0</v>
      </c>
      <c r="Z2169">
        <f>IF(AND($M2169=1,对接源_02物料!$D969="原料入库"),1,0)</f>
        <v>0</v>
      </c>
      <c r="AA2169">
        <f>N(AA2168)+$Z2169</f>
        <v>24</v>
      </c>
      <c r="AB2169">
        <f>IF(AND($M2169=1,LEFT(对接源_02物料!$D969,4)="原料出库"),1,0)</f>
        <v>0</v>
      </c>
      <c r="AC2169">
        <f>N(AC2168)+$AB2169</f>
        <v>0</v>
      </c>
      <c r="AD2169">
        <f>IF(AND($M2169=1,LEFT(对接源_02物料!$D969,4)="成品出库"),1,0)</f>
        <v>0</v>
      </c>
      <c r="AE2169">
        <f>N(AE2168)+$AD2169</f>
        <v>0</v>
      </c>
      <c r="AF2169">
        <f>IF(AND($N2169=1,AND(LEFT(对接源_02物料!$D969,4)="包装物料",N(对接源_02物料!$K969)&lt;&gt;0)),1,0)</f>
        <v>0</v>
      </c>
      <c r="AG2169">
        <f>N(AG2168)+$AF2169</f>
        <v>10</v>
      </c>
      <c r="AH2169">
        <f>IF(AND($N2169=1,AND(对接源_02物料!$D969="周转筐－销售出库",N(对接源_02物料!$K969)&lt;&gt;0)),1,0)</f>
        <v>0</v>
      </c>
      <c r="AI2169">
        <f>N(AI2168)+$AH2169</f>
        <v>0</v>
      </c>
      <c r="AL2169" t="n">
        <v>0</v>
      </c>
      <c r="AM2169">
        <f>N(AM2168)+$AL2169</f>
        <v>2</v>
      </c>
      <c r="AN2169">
        <f>""</f>
      </c>
      <c r="AO2169" t="n">
        <v>0</v>
      </c>
      <c r="AP2169">
        <f>N(AP2168)+$AO2169</f>
        <v>13</v>
      </c>
      <c r="AR2169">
        <f>IF(OR($AF2169=1,$AH2169=1),1,0)</f>
        <v>0</v>
      </c>
      <c r="AS2169">
        <f>N(AS2168)+$AR2169</f>
        <v>10</v>
      </c>
    </row>
    <row r="2170" s="127">
      <c r="A2170">
        <f>IF(对接源_02物料!$C970="","",对接源_02物料!$C970)</f>
      </c>
      <c r="B2170">
        <f>IF(A2170="",0,IF(MATCH(A2170,$A$4:$A$2403,0)=ROW()-3,1,0))</f>
        <v>0</v>
      </c>
      <c r="C2170">
        <f>N(C2169)+B2170</f>
        <v>26</v>
      </c>
      <c r="K2170">
        <f>IF(OR($K$1="",对接源_02物料!$C970="",对接源_02物料!$C970&lt;&gt;$K$1,对接源_02物料!$B970=""),0,IF(OR(N(对接源_02物料!$B970)&lt;$K$2,N(对接源_02物料!$B970)&gt;$K$3),0,1))</f>
        <v>0</v>
      </c>
      <c r="L2170">
        <f>IF(OR($L$1="",对接源_02物料!$C970="",对接源_02物料!$C970&lt;&gt;$L$1,对接源_02物料!$B970=""),0,IF(OR(N(对接源_02物料!$B970)&lt;$L$2,N(对接源_02物料!$B970)&gt;$L$3),0,1))</f>
        <v>0</v>
      </c>
      <c r="M2170">
        <f>IF(OR($M$1="",对接源_02物料!$C970="",对接源_02物料!$C970&lt;&gt;$M$1,对接源_02物料!$B970=""),0,IF(OR(N(对接源_02物料!$B970)&lt;$M$2,N(对接源_02物料!$B970)&gt;$M$3),0,1))</f>
        <v>0</v>
      </c>
      <c r="N2170">
        <f>IF(OR($N$1="",对接源_02物料!$C970="",对接源_02物料!$C970&lt;&gt;$N$1,对接源_02物料!$B970=""),0,IF(OR(N(对接源_02物料!$B970)&lt;$N$2,N(对接源_02物料!$B970)&gt;$N$3),0,1))</f>
        <v>0</v>
      </c>
      <c r="P2170">
        <f>IF(AND($K2170=1,AND(对接源_02物料!$X970="公司筐",N(对接源_02物料!$T970)&lt;&gt;0)),1,0)</f>
        <v>0</v>
      </c>
      <c r="Q2170">
        <f>N(Q2169)+$P2170</f>
        <v>14</v>
      </c>
      <c r="R2170">
        <f>IF(AND($K2170=1,AND(对接源_02物料!$X970="公司筐",N(对接源_02物料!$U970)&lt;&gt;0)),1,0)</f>
        <v>0</v>
      </c>
      <c r="S2170">
        <f>N(S2169)+$R2170</f>
        <v>1</v>
      </c>
      <c r="T2170">
        <f>IF(AND($K2170=1,AND(对接源_02物料!$X970="公司筐",N(对接源_02物料!$V970)&lt;&gt;0)),1,0)</f>
        <v>0</v>
      </c>
      <c r="U2170">
        <f>N(U2169)+$T2170</f>
        <v>47</v>
      </c>
      <c r="V2170">
        <f>IF(AND($L2170=1,AND(对接源_02物料!$X970="自备筐",N(对接源_02物料!$V970)&lt;&gt;0)),1,0)</f>
        <v>0</v>
      </c>
      <c r="W2170">
        <f>N(W2169)+$V2170</f>
        <v>11</v>
      </c>
      <c r="X2170">
        <f>IF(AND($L2170=1,AND(对接源_02物料!$X970="自备筐",N(对接源_02物料!$T970)&lt;&gt;0)),1,0)</f>
        <v>0</v>
      </c>
      <c r="Y2170">
        <f>N(Y2169)+$X2170</f>
        <v>0</v>
      </c>
      <c r="Z2170">
        <f>IF(AND($M2170=1,对接源_02物料!$D970="原料入库"),1,0)</f>
        <v>0</v>
      </c>
      <c r="AA2170">
        <f>N(AA2169)+$Z2170</f>
        <v>24</v>
      </c>
      <c r="AB2170">
        <f>IF(AND($M2170=1,LEFT(对接源_02物料!$D970,4)="原料出库"),1,0)</f>
        <v>0</v>
      </c>
      <c r="AC2170">
        <f>N(AC2169)+$AB2170</f>
        <v>0</v>
      </c>
      <c r="AD2170">
        <f>IF(AND($M2170=1,LEFT(对接源_02物料!$D970,4)="成品出库"),1,0)</f>
        <v>0</v>
      </c>
      <c r="AE2170">
        <f>N(AE2169)+$AD2170</f>
        <v>0</v>
      </c>
      <c r="AF2170">
        <f>IF(AND($N2170=1,AND(LEFT(对接源_02物料!$D970,4)="包装物料",N(对接源_02物料!$K970)&lt;&gt;0)),1,0)</f>
        <v>0</v>
      </c>
      <c r="AG2170">
        <f>N(AG2169)+$AF2170</f>
        <v>10</v>
      </c>
      <c r="AH2170">
        <f>IF(AND($N2170=1,AND(对接源_02物料!$D970="周转筐－销售出库",N(对接源_02物料!$K970)&lt;&gt;0)),1,0)</f>
        <v>0</v>
      </c>
      <c r="AI2170">
        <f>N(AI2169)+$AH2170</f>
        <v>0</v>
      </c>
      <c r="AL2170" t="n">
        <v>0</v>
      </c>
      <c r="AM2170">
        <f>N(AM2169)+$AL2170</f>
        <v>2</v>
      </c>
      <c r="AN2170">
        <f>""</f>
      </c>
      <c r="AO2170" t="n">
        <v>0</v>
      </c>
      <c r="AP2170">
        <f>N(AP2169)+$AO2170</f>
        <v>13</v>
      </c>
      <c r="AR2170">
        <f>IF(OR($AF2170=1,$AH2170=1),1,0)</f>
        <v>0</v>
      </c>
      <c r="AS2170">
        <f>N(AS2169)+$AR2170</f>
        <v>10</v>
      </c>
    </row>
    <row r="2171" s="127">
      <c r="A2171">
        <f>IF(对接源_02物料!$C971="","",对接源_02物料!$C971)</f>
      </c>
      <c r="B2171">
        <f>IF(A2171="",0,IF(MATCH(A2171,$A$4:$A$2403,0)=ROW()-3,1,0))</f>
        <v>0</v>
      </c>
      <c r="C2171">
        <f>N(C2170)+B2171</f>
        <v>26</v>
      </c>
      <c r="K2171">
        <f>IF(OR($K$1="",对接源_02物料!$C971="",对接源_02物料!$C971&lt;&gt;$K$1,对接源_02物料!$B971=""),0,IF(OR(N(对接源_02物料!$B971)&lt;$K$2,N(对接源_02物料!$B971)&gt;$K$3),0,1))</f>
        <v>0</v>
      </c>
      <c r="L2171">
        <f>IF(OR($L$1="",对接源_02物料!$C971="",对接源_02物料!$C971&lt;&gt;$L$1,对接源_02物料!$B971=""),0,IF(OR(N(对接源_02物料!$B971)&lt;$L$2,N(对接源_02物料!$B971)&gt;$L$3),0,1))</f>
        <v>0</v>
      </c>
      <c r="M2171">
        <f>IF(OR($M$1="",对接源_02物料!$C971="",对接源_02物料!$C971&lt;&gt;$M$1,对接源_02物料!$B971=""),0,IF(OR(N(对接源_02物料!$B971)&lt;$M$2,N(对接源_02物料!$B971)&gt;$M$3),0,1))</f>
        <v>0</v>
      </c>
      <c r="N2171">
        <f>IF(OR($N$1="",对接源_02物料!$C971="",对接源_02物料!$C971&lt;&gt;$N$1,对接源_02物料!$B971=""),0,IF(OR(N(对接源_02物料!$B971)&lt;$N$2,N(对接源_02物料!$B971)&gt;$N$3),0,1))</f>
        <v>0</v>
      </c>
      <c r="P2171">
        <f>IF(AND($K2171=1,AND(对接源_02物料!$X971="公司筐",N(对接源_02物料!$T971)&lt;&gt;0)),1,0)</f>
        <v>0</v>
      </c>
      <c r="Q2171">
        <f>N(Q2170)+$P2171</f>
        <v>14</v>
      </c>
      <c r="R2171">
        <f>IF(AND($K2171=1,AND(对接源_02物料!$X971="公司筐",N(对接源_02物料!$U971)&lt;&gt;0)),1,0)</f>
        <v>0</v>
      </c>
      <c r="S2171">
        <f>N(S2170)+$R2171</f>
        <v>1</v>
      </c>
      <c r="T2171">
        <f>IF(AND($K2171=1,AND(对接源_02物料!$X971="公司筐",N(对接源_02物料!$V971)&lt;&gt;0)),1,0)</f>
        <v>0</v>
      </c>
      <c r="U2171">
        <f>N(U2170)+$T2171</f>
        <v>47</v>
      </c>
      <c r="V2171">
        <f>IF(AND($L2171=1,AND(对接源_02物料!$X971="自备筐",N(对接源_02物料!$V971)&lt;&gt;0)),1,0)</f>
        <v>0</v>
      </c>
      <c r="W2171">
        <f>N(W2170)+$V2171</f>
        <v>11</v>
      </c>
      <c r="X2171">
        <f>IF(AND($L2171=1,AND(对接源_02物料!$X971="自备筐",N(对接源_02物料!$T971)&lt;&gt;0)),1,0)</f>
        <v>0</v>
      </c>
      <c r="Y2171">
        <f>N(Y2170)+$X2171</f>
        <v>0</v>
      </c>
      <c r="Z2171">
        <f>IF(AND($M2171=1,对接源_02物料!$D971="原料入库"),1,0)</f>
        <v>0</v>
      </c>
      <c r="AA2171">
        <f>N(AA2170)+$Z2171</f>
        <v>24</v>
      </c>
      <c r="AB2171">
        <f>IF(AND($M2171=1,LEFT(对接源_02物料!$D971,4)="原料出库"),1,0)</f>
        <v>0</v>
      </c>
      <c r="AC2171">
        <f>N(AC2170)+$AB2171</f>
        <v>0</v>
      </c>
      <c r="AD2171">
        <f>IF(AND($M2171=1,LEFT(对接源_02物料!$D971,4)="成品出库"),1,0)</f>
        <v>0</v>
      </c>
      <c r="AE2171">
        <f>N(AE2170)+$AD2171</f>
        <v>0</v>
      </c>
      <c r="AF2171">
        <f>IF(AND($N2171=1,AND(LEFT(对接源_02物料!$D971,4)="包装物料",N(对接源_02物料!$K971)&lt;&gt;0)),1,0)</f>
        <v>0</v>
      </c>
      <c r="AG2171">
        <f>N(AG2170)+$AF2171</f>
        <v>10</v>
      </c>
      <c r="AH2171">
        <f>IF(AND($N2171=1,AND(对接源_02物料!$D971="周转筐－销售出库",N(对接源_02物料!$K971)&lt;&gt;0)),1,0)</f>
        <v>0</v>
      </c>
      <c r="AI2171">
        <f>N(AI2170)+$AH2171</f>
        <v>0</v>
      </c>
      <c r="AL2171" t="n">
        <v>0</v>
      </c>
      <c r="AM2171">
        <f>N(AM2170)+$AL2171</f>
        <v>2</v>
      </c>
      <c r="AN2171">
        <f>""</f>
      </c>
      <c r="AO2171" t="n">
        <v>0</v>
      </c>
      <c r="AP2171">
        <f>N(AP2170)+$AO2171</f>
        <v>13</v>
      </c>
      <c r="AR2171">
        <f>IF(OR($AF2171=1,$AH2171=1),1,0)</f>
        <v>0</v>
      </c>
      <c r="AS2171">
        <f>N(AS2170)+$AR2171</f>
        <v>10</v>
      </c>
    </row>
    <row r="2172" s="127">
      <c r="A2172">
        <f>IF(对接源_02物料!$C972="","",对接源_02物料!$C972)</f>
      </c>
      <c r="B2172">
        <f>IF(A2172="",0,IF(MATCH(A2172,$A$4:$A$2403,0)=ROW()-3,1,0))</f>
        <v>0</v>
      </c>
      <c r="C2172">
        <f>N(C2171)+B2172</f>
        <v>26</v>
      </c>
      <c r="K2172">
        <f>IF(OR($K$1="",对接源_02物料!$C972="",对接源_02物料!$C972&lt;&gt;$K$1,对接源_02物料!$B972=""),0,IF(OR(N(对接源_02物料!$B972)&lt;$K$2,N(对接源_02物料!$B972)&gt;$K$3),0,1))</f>
        <v>0</v>
      </c>
      <c r="L2172">
        <f>IF(OR($L$1="",对接源_02物料!$C972="",对接源_02物料!$C972&lt;&gt;$L$1,对接源_02物料!$B972=""),0,IF(OR(N(对接源_02物料!$B972)&lt;$L$2,N(对接源_02物料!$B972)&gt;$L$3),0,1))</f>
        <v>0</v>
      </c>
      <c r="M2172">
        <f>IF(OR($M$1="",对接源_02物料!$C972="",对接源_02物料!$C972&lt;&gt;$M$1,对接源_02物料!$B972=""),0,IF(OR(N(对接源_02物料!$B972)&lt;$M$2,N(对接源_02物料!$B972)&gt;$M$3),0,1))</f>
        <v>0</v>
      </c>
      <c r="N2172">
        <f>IF(OR($N$1="",对接源_02物料!$C972="",对接源_02物料!$C972&lt;&gt;$N$1,对接源_02物料!$B972=""),0,IF(OR(N(对接源_02物料!$B972)&lt;$N$2,N(对接源_02物料!$B972)&gt;$N$3),0,1))</f>
        <v>0</v>
      </c>
      <c r="P2172">
        <f>IF(AND($K2172=1,AND(对接源_02物料!$X972="公司筐",N(对接源_02物料!$T972)&lt;&gt;0)),1,0)</f>
        <v>0</v>
      </c>
      <c r="Q2172">
        <f>N(Q2171)+$P2172</f>
        <v>14</v>
      </c>
      <c r="R2172">
        <f>IF(AND($K2172=1,AND(对接源_02物料!$X972="公司筐",N(对接源_02物料!$U972)&lt;&gt;0)),1,0)</f>
        <v>0</v>
      </c>
      <c r="S2172">
        <f>N(S2171)+$R2172</f>
        <v>1</v>
      </c>
      <c r="T2172">
        <f>IF(AND($K2172=1,AND(对接源_02物料!$X972="公司筐",N(对接源_02物料!$V972)&lt;&gt;0)),1,0)</f>
        <v>0</v>
      </c>
      <c r="U2172">
        <f>N(U2171)+$T2172</f>
        <v>47</v>
      </c>
      <c r="V2172">
        <f>IF(AND($L2172=1,AND(对接源_02物料!$X972="自备筐",N(对接源_02物料!$V972)&lt;&gt;0)),1,0)</f>
        <v>0</v>
      </c>
      <c r="W2172">
        <f>N(W2171)+$V2172</f>
        <v>11</v>
      </c>
      <c r="X2172">
        <f>IF(AND($L2172=1,AND(对接源_02物料!$X972="自备筐",N(对接源_02物料!$T972)&lt;&gt;0)),1,0)</f>
        <v>0</v>
      </c>
      <c r="Y2172">
        <f>N(Y2171)+$X2172</f>
        <v>0</v>
      </c>
      <c r="Z2172">
        <f>IF(AND($M2172=1,对接源_02物料!$D972="原料入库"),1,0)</f>
        <v>0</v>
      </c>
      <c r="AA2172">
        <f>N(AA2171)+$Z2172</f>
        <v>24</v>
      </c>
      <c r="AB2172">
        <f>IF(AND($M2172=1,LEFT(对接源_02物料!$D972,4)="原料出库"),1,0)</f>
        <v>0</v>
      </c>
      <c r="AC2172">
        <f>N(AC2171)+$AB2172</f>
        <v>0</v>
      </c>
      <c r="AD2172">
        <f>IF(AND($M2172=1,LEFT(对接源_02物料!$D972,4)="成品出库"),1,0)</f>
        <v>0</v>
      </c>
      <c r="AE2172">
        <f>N(AE2171)+$AD2172</f>
        <v>0</v>
      </c>
      <c r="AF2172">
        <f>IF(AND($N2172=1,AND(LEFT(对接源_02物料!$D972,4)="包装物料",N(对接源_02物料!$K972)&lt;&gt;0)),1,0)</f>
        <v>0</v>
      </c>
      <c r="AG2172">
        <f>N(AG2171)+$AF2172</f>
        <v>10</v>
      </c>
      <c r="AH2172">
        <f>IF(AND($N2172=1,AND(对接源_02物料!$D972="周转筐－销售出库",N(对接源_02物料!$K972)&lt;&gt;0)),1,0)</f>
        <v>0</v>
      </c>
      <c r="AI2172">
        <f>N(AI2171)+$AH2172</f>
        <v>0</v>
      </c>
      <c r="AL2172" t="n">
        <v>0</v>
      </c>
      <c r="AM2172">
        <f>N(AM2171)+$AL2172</f>
        <v>2</v>
      </c>
      <c r="AN2172">
        <f>""</f>
      </c>
      <c r="AO2172" t="n">
        <v>0</v>
      </c>
      <c r="AP2172">
        <f>N(AP2171)+$AO2172</f>
        <v>13</v>
      </c>
      <c r="AR2172">
        <f>IF(OR($AF2172=1,$AH2172=1),1,0)</f>
        <v>0</v>
      </c>
      <c r="AS2172">
        <f>N(AS2171)+$AR2172</f>
        <v>10</v>
      </c>
    </row>
    <row r="2173" s="127">
      <c r="A2173">
        <f>IF(对接源_02物料!$C973="","",对接源_02物料!$C973)</f>
      </c>
      <c r="B2173">
        <f>IF(A2173="",0,IF(MATCH(A2173,$A$4:$A$2403,0)=ROW()-3,1,0))</f>
        <v>0</v>
      </c>
      <c r="C2173">
        <f>N(C2172)+B2173</f>
        <v>26</v>
      </c>
      <c r="K2173">
        <f>IF(OR($K$1="",对接源_02物料!$C973="",对接源_02物料!$C973&lt;&gt;$K$1,对接源_02物料!$B973=""),0,IF(OR(N(对接源_02物料!$B973)&lt;$K$2,N(对接源_02物料!$B973)&gt;$K$3),0,1))</f>
        <v>0</v>
      </c>
      <c r="L2173">
        <f>IF(OR($L$1="",对接源_02物料!$C973="",对接源_02物料!$C973&lt;&gt;$L$1,对接源_02物料!$B973=""),0,IF(OR(N(对接源_02物料!$B973)&lt;$L$2,N(对接源_02物料!$B973)&gt;$L$3),0,1))</f>
        <v>0</v>
      </c>
      <c r="M2173">
        <f>IF(OR($M$1="",对接源_02物料!$C973="",对接源_02物料!$C973&lt;&gt;$M$1,对接源_02物料!$B973=""),0,IF(OR(N(对接源_02物料!$B973)&lt;$M$2,N(对接源_02物料!$B973)&gt;$M$3),0,1))</f>
        <v>0</v>
      </c>
      <c r="N2173">
        <f>IF(OR($N$1="",对接源_02物料!$C973="",对接源_02物料!$C973&lt;&gt;$N$1,对接源_02物料!$B973=""),0,IF(OR(N(对接源_02物料!$B973)&lt;$N$2,N(对接源_02物料!$B973)&gt;$N$3),0,1))</f>
        <v>0</v>
      </c>
      <c r="P2173">
        <f>IF(AND($K2173=1,AND(对接源_02物料!$X973="公司筐",N(对接源_02物料!$T973)&lt;&gt;0)),1,0)</f>
        <v>0</v>
      </c>
      <c r="Q2173">
        <f>N(Q2172)+$P2173</f>
        <v>14</v>
      </c>
      <c r="R2173">
        <f>IF(AND($K2173=1,AND(对接源_02物料!$X973="公司筐",N(对接源_02物料!$U973)&lt;&gt;0)),1,0)</f>
        <v>0</v>
      </c>
      <c r="S2173">
        <f>N(S2172)+$R2173</f>
        <v>1</v>
      </c>
      <c r="T2173">
        <f>IF(AND($K2173=1,AND(对接源_02物料!$X973="公司筐",N(对接源_02物料!$V973)&lt;&gt;0)),1,0)</f>
        <v>0</v>
      </c>
      <c r="U2173">
        <f>N(U2172)+$T2173</f>
        <v>47</v>
      </c>
      <c r="V2173">
        <f>IF(AND($L2173=1,AND(对接源_02物料!$X973="自备筐",N(对接源_02物料!$V973)&lt;&gt;0)),1,0)</f>
        <v>0</v>
      </c>
      <c r="W2173">
        <f>N(W2172)+$V2173</f>
        <v>11</v>
      </c>
      <c r="X2173">
        <f>IF(AND($L2173=1,AND(对接源_02物料!$X973="自备筐",N(对接源_02物料!$T973)&lt;&gt;0)),1,0)</f>
        <v>0</v>
      </c>
      <c r="Y2173">
        <f>N(Y2172)+$X2173</f>
        <v>0</v>
      </c>
      <c r="Z2173">
        <f>IF(AND($M2173=1,对接源_02物料!$D973="原料入库"),1,0)</f>
        <v>0</v>
      </c>
      <c r="AA2173">
        <f>N(AA2172)+$Z2173</f>
        <v>24</v>
      </c>
      <c r="AB2173">
        <f>IF(AND($M2173=1,LEFT(对接源_02物料!$D973,4)="原料出库"),1,0)</f>
        <v>0</v>
      </c>
      <c r="AC2173">
        <f>N(AC2172)+$AB2173</f>
        <v>0</v>
      </c>
      <c r="AD2173">
        <f>IF(AND($M2173=1,LEFT(对接源_02物料!$D973,4)="成品出库"),1,0)</f>
        <v>0</v>
      </c>
      <c r="AE2173">
        <f>N(AE2172)+$AD2173</f>
        <v>0</v>
      </c>
      <c r="AF2173">
        <f>IF(AND($N2173=1,AND(LEFT(对接源_02物料!$D973,4)="包装物料",N(对接源_02物料!$K973)&lt;&gt;0)),1,0)</f>
        <v>0</v>
      </c>
      <c r="AG2173">
        <f>N(AG2172)+$AF2173</f>
        <v>10</v>
      </c>
      <c r="AH2173">
        <f>IF(AND($N2173=1,AND(对接源_02物料!$D973="周转筐－销售出库",N(对接源_02物料!$K973)&lt;&gt;0)),1,0)</f>
        <v>0</v>
      </c>
      <c r="AI2173">
        <f>N(AI2172)+$AH2173</f>
        <v>0</v>
      </c>
      <c r="AL2173" t="n">
        <v>0</v>
      </c>
      <c r="AM2173">
        <f>N(AM2172)+$AL2173</f>
        <v>2</v>
      </c>
      <c r="AN2173">
        <f>""</f>
      </c>
      <c r="AO2173" t="n">
        <v>0</v>
      </c>
      <c r="AP2173">
        <f>N(AP2172)+$AO2173</f>
        <v>13</v>
      </c>
      <c r="AR2173">
        <f>IF(OR($AF2173=1,$AH2173=1),1,0)</f>
        <v>0</v>
      </c>
      <c r="AS2173">
        <f>N(AS2172)+$AR2173</f>
        <v>10</v>
      </c>
    </row>
    <row r="2174" s="127">
      <c r="A2174">
        <f>IF(对接源_02物料!$C974="","",对接源_02物料!$C974)</f>
      </c>
      <c r="B2174">
        <f>IF(A2174="",0,IF(MATCH(A2174,$A$4:$A$2403,0)=ROW()-3,1,0))</f>
        <v>0</v>
      </c>
      <c r="C2174">
        <f>N(C2173)+B2174</f>
        <v>26</v>
      </c>
      <c r="K2174">
        <f>IF(OR($K$1="",对接源_02物料!$C974="",对接源_02物料!$C974&lt;&gt;$K$1,对接源_02物料!$B974=""),0,IF(OR(N(对接源_02物料!$B974)&lt;$K$2,N(对接源_02物料!$B974)&gt;$K$3),0,1))</f>
        <v>0</v>
      </c>
      <c r="L2174">
        <f>IF(OR($L$1="",对接源_02物料!$C974="",对接源_02物料!$C974&lt;&gt;$L$1,对接源_02物料!$B974=""),0,IF(OR(N(对接源_02物料!$B974)&lt;$L$2,N(对接源_02物料!$B974)&gt;$L$3),0,1))</f>
        <v>0</v>
      </c>
      <c r="M2174">
        <f>IF(OR($M$1="",对接源_02物料!$C974="",对接源_02物料!$C974&lt;&gt;$M$1,对接源_02物料!$B974=""),0,IF(OR(N(对接源_02物料!$B974)&lt;$M$2,N(对接源_02物料!$B974)&gt;$M$3),0,1))</f>
        <v>0</v>
      </c>
      <c r="N2174">
        <f>IF(OR($N$1="",对接源_02物料!$C974="",对接源_02物料!$C974&lt;&gt;$N$1,对接源_02物料!$B974=""),0,IF(OR(N(对接源_02物料!$B974)&lt;$N$2,N(对接源_02物料!$B974)&gt;$N$3),0,1))</f>
        <v>0</v>
      </c>
      <c r="P2174">
        <f>IF(AND($K2174=1,AND(对接源_02物料!$X974="公司筐",N(对接源_02物料!$T974)&lt;&gt;0)),1,0)</f>
        <v>0</v>
      </c>
      <c r="Q2174">
        <f>N(Q2173)+$P2174</f>
        <v>14</v>
      </c>
      <c r="R2174">
        <f>IF(AND($K2174=1,AND(对接源_02物料!$X974="公司筐",N(对接源_02物料!$U974)&lt;&gt;0)),1,0)</f>
        <v>0</v>
      </c>
      <c r="S2174">
        <f>N(S2173)+$R2174</f>
        <v>1</v>
      </c>
      <c r="T2174">
        <f>IF(AND($K2174=1,AND(对接源_02物料!$X974="公司筐",N(对接源_02物料!$V974)&lt;&gt;0)),1,0)</f>
        <v>0</v>
      </c>
      <c r="U2174">
        <f>N(U2173)+$T2174</f>
        <v>47</v>
      </c>
      <c r="V2174">
        <f>IF(AND($L2174=1,AND(对接源_02物料!$X974="自备筐",N(对接源_02物料!$V974)&lt;&gt;0)),1,0)</f>
        <v>0</v>
      </c>
      <c r="W2174">
        <f>N(W2173)+$V2174</f>
        <v>11</v>
      </c>
      <c r="X2174">
        <f>IF(AND($L2174=1,AND(对接源_02物料!$X974="自备筐",N(对接源_02物料!$T974)&lt;&gt;0)),1,0)</f>
        <v>0</v>
      </c>
      <c r="Y2174">
        <f>N(Y2173)+$X2174</f>
        <v>0</v>
      </c>
      <c r="Z2174">
        <f>IF(AND($M2174=1,对接源_02物料!$D974="原料入库"),1,0)</f>
        <v>0</v>
      </c>
      <c r="AA2174">
        <f>N(AA2173)+$Z2174</f>
        <v>24</v>
      </c>
      <c r="AB2174">
        <f>IF(AND($M2174=1,LEFT(对接源_02物料!$D974,4)="原料出库"),1,0)</f>
        <v>0</v>
      </c>
      <c r="AC2174">
        <f>N(AC2173)+$AB2174</f>
        <v>0</v>
      </c>
      <c r="AD2174">
        <f>IF(AND($M2174=1,LEFT(对接源_02物料!$D974,4)="成品出库"),1,0)</f>
        <v>0</v>
      </c>
      <c r="AE2174">
        <f>N(AE2173)+$AD2174</f>
        <v>0</v>
      </c>
      <c r="AF2174">
        <f>IF(AND($N2174=1,AND(LEFT(对接源_02物料!$D974,4)="包装物料",N(对接源_02物料!$K974)&lt;&gt;0)),1,0)</f>
        <v>0</v>
      </c>
      <c r="AG2174">
        <f>N(AG2173)+$AF2174</f>
        <v>10</v>
      </c>
      <c r="AH2174">
        <f>IF(AND($N2174=1,AND(对接源_02物料!$D974="周转筐－销售出库",N(对接源_02物料!$K974)&lt;&gt;0)),1,0)</f>
        <v>0</v>
      </c>
      <c r="AI2174">
        <f>N(AI2173)+$AH2174</f>
        <v>0</v>
      </c>
      <c r="AL2174" t="n">
        <v>0</v>
      </c>
      <c r="AM2174">
        <f>N(AM2173)+$AL2174</f>
        <v>2</v>
      </c>
      <c r="AN2174">
        <f>""</f>
      </c>
      <c r="AO2174" t="n">
        <v>0</v>
      </c>
      <c r="AP2174">
        <f>N(AP2173)+$AO2174</f>
        <v>13</v>
      </c>
      <c r="AR2174">
        <f>IF(OR($AF2174=1,$AH2174=1),1,0)</f>
        <v>0</v>
      </c>
      <c r="AS2174">
        <f>N(AS2173)+$AR2174</f>
        <v>10</v>
      </c>
    </row>
    <row r="2175" s="127">
      <c r="A2175">
        <f>IF(对接源_02物料!$C975="","",对接源_02物料!$C975)</f>
      </c>
      <c r="B2175">
        <f>IF(A2175="",0,IF(MATCH(A2175,$A$4:$A$2403,0)=ROW()-3,1,0))</f>
        <v>0</v>
      </c>
      <c r="C2175">
        <f>N(C2174)+B2175</f>
        <v>26</v>
      </c>
      <c r="K2175">
        <f>IF(OR($K$1="",对接源_02物料!$C975="",对接源_02物料!$C975&lt;&gt;$K$1,对接源_02物料!$B975=""),0,IF(OR(N(对接源_02物料!$B975)&lt;$K$2,N(对接源_02物料!$B975)&gt;$K$3),0,1))</f>
        <v>0</v>
      </c>
      <c r="L2175">
        <f>IF(OR($L$1="",对接源_02物料!$C975="",对接源_02物料!$C975&lt;&gt;$L$1,对接源_02物料!$B975=""),0,IF(OR(N(对接源_02物料!$B975)&lt;$L$2,N(对接源_02物料!$B975)&gt;$L$3),0,1))</f>
        <v>0</v>
      </c>
      <c r="M2175">
        <f>IF(OR($M$1="",对接源_02物料!$C975="",对接源_02物料!$C975&lt;&gt;$M$1,对接源_02物料!$B975=""),0,IF(OR(N(对接源_02物料!$B975)&lt;$M$2,N(对接源_02物料!$B975)&gt;$M$3),0,1))</f>
        <v>0</v>
      </c>
      <c r="N2175">
        <f>IF(OR($N$1="",对接源_02物料!$C975="",对接源_02物料!$C975&lt;&gt;$N$1,对接源_02物料!$B975=""),0,IF(OR(N(对接源_02物料!$B975)&lt;$N$2,N(对接源_02物料!$B975)&gt;$N$3),0,1))</f>
        <v>0</v>
      </c>
      <c r="P2175">
        <f>IF(AND($K2175=1,AND(对接源_02物料!$X975="公司筐",N(对接源_02物料!$T975)&lt;&gt;0)),1,0)</f>
        <v>0</v>
      </c>
      <c r="Q2175">
        <f>N(Q2174)+$P2175</f>
        <v>14</v>
      </c>
      <c r="R2175">
        <f>IF(AND($K2175=1,AND(对接源_02物料!$X975="公司筐",N(对接源_02物料!$U975)&lt;&gt;0)),1,0)</f>
        <v>0</v>
      </c>
      <c r="S2175">
        <f>N(S2174)+$R2175</f>
        <v>1</v>
      </c>
      <c r="T2175">
        <f>IF(AND($K2175=1,AND(对接源_02物料!$X975="公司筐",N(对接源_02物料!$V975)&lt;&gt;0)),1,0)</f>
        <v>0</v>
      </c>
      <c r="U2175">
        <f>N(U2174)+$T2175</f>
        <v>47</v>
      </c>
      <c r="V2175">
        <f>IF(AND($L2175=1,AND(对接源_02物料!$X975="自备筐",N(对接源_02物料!$V975)&lt;&gt;0)),1,0)</f>
        <v>0</v>
      </c>
      <c r="W2175">
        <f>N(W2174)+$V2175</f>
        <v>11</v>
      </c>
      <c r="X2175">
        <f>IF(AND($L2175=1,AND(对接源_02物料!$X975="自备筐",N(对接源_02物料!$T975)&lt;&gt;0)),1,0)</f>
        <v>0</v>
      </c>
      <c r="Y2175">
        <f>N(Y2174)+$X2175</f>
        <v>0</v>
      </c>
      <c r="Z2175">
        <f>IF(AND($M2175=1,对接源_02物料!$D975="原料入库"),1,0)</f>
        <v>0</v>
      </c>
      <c r="AA2175">
        <f>N(AA2174)+$Z2175</f>
        <v>24</v>
      </c>
      <c r="AB2175">
        <f>IF(AND($M2175=1,LEFT(对接源_02物料!$D975,4)="原料出库"),1,0)</f>
        <v>0</v>
      </c>
      <c r="AC2175">
        <f>N(AC2174)+$AB2175</f>
        <v>0</v>
      </c>
      <c r="AD2175">
        <f>IF(AND($M2175=1,LEFT(对接源_02物料!$D975,4)="成品出库"),1,0)</f>
        <v>0</v>
      </c>
      <c r="AE2175">
        <f>N(AE2174)+$AD2175</f>
        <v>0</v>
      </c>
      <c r="AF2175">
        <f>IF(AND($N2175=1,AND(LEFT(对接源_02物料!$D975,4)="包装物料",N(对接源_02物料!$K975)&lt;&gt;0)),1,0)</f>
        <v>0</v>
      </c>
      <c r="AG2175">
        <f>N(AG2174)+$AF2175</f>
        <v>10</v>
      </c>
      <c r="AH2175">
        <f>IF(AND($N2175=1,AND(对接源_02物料!$D975="周转筐－销售出库",N(对接源_02物料!$K975)&lt;&gt;0)),1,0)</f>
        <v>0</v>
      </c>
      <c r="AI2175">
        <f>N(AI2174)+$AH2175</f>
        <v>0</v>
      </c>
      <c r="AL2175" t="n">
        <v>0</v>
      </c>
      <c r="AM2175">
        <f>N(AM2174)+$AL2175</f>
        <v>2</v>
      </c>
      <c r="AN2175">
        <f>""</f>
      </c>
      <c r="AO2175" t="n">
        <v>0</v>
      </c>
      <c r="AP2175">
        <f>N(AP2174)+$AO2175</f>
        <v>13</v>
      </c>
      <c r="AR2175">
        <f>IF(OR($AF2175=1,$AH2175=1),1,0)</f>
        <v>0</v>
      </c>
      <c r="AS2175">
        <f>N(AS2174)+$AR2175</f>
        <v>10</v>
      </c>
    </row>
    <row r="2176" s="127">
      <c r="A2176">
        <f>IF(对接源_02物料!$C976="","",对接源_02物料!$C976)</f>
      </c>
      <c r="B2176">
        <f>IF(A2176="",0,IF(MATCH(A2176,$A$4:$A$2403,0)=ROW()-3,1,0))</f>
        <v>0</v>
      </c>
      <c r="C2176">
        <f>N(C2175)+B2176</f>
        <v>26</v>
      </c>
      <c r="K2176">
        <f>IF(OR($K$1="",对接源_02物料!$C976="",对接源_02物料!$C976&lt;&gt;$K$1,对接源_02物料!$B976=""),0,IF(OR(N(对接源_02物料!$B976)&lt;$K$2,N(对接源_02物料!$B976)&gt;$K$3),0,1))</f>
        <v>0</v>
      </c>
      <c r="L2176">
        <f>IF(OR($L$1="",对接源_02物料!$C976="",对接源_02物料!$C976&lt;&gt;$L$1,对接源_02物料!$B976=""),0,IF(OR(N(对接源_02物料!$B976)&lt;$L$2,N(对接源_02物料!$B976)&gt;$L$3),0,1))</f>
        <v>0</v>
      </c>
      <c r="M2176">
        <f>IF(OR($M$1="",对接源_02物料!$C976="",对接源_02物料!$C976&lt;&gt;$M$1,对接源_02物料!$B976=""),0,IF(OR(N(对接源_02物料!$B976)&lt;$M$2,N(对接源_02物料!$B976)&gt;$M$3),0,1))</f>
        <v>0</v>
      </c>
      <c r="N2176">
        <f>IF(OR($N$1="",对接源_02物料!$C976="",对接源_02物料!$C976&lt;&gt;$N$1,对接源_02物料!$B976=""),0,IF(OR(N(对接源_02物料!$B976)&lt;$N$2,N(对接源_02物料!$B976)&gt;$N$3),0,1))</f>
        <v>0</v>
      </c>
      <c r="P2176">
        <f>IF(AND($K2176=1,AND(对接源_02物料!$X976="公司筐",N(对接源_02物料!$T976)&lt;&gt;0)),1,0)</f>
        <v>0</v>
      </c>
      <c r="Q2176">
        <f>N(Q2175)+$P2176</f>
        <v>14</v>
      </c>
      <c r="R2176">
        <f>IF(AND($K2176=1,AND(对接源_02物料!$X976="公司筐",N(对接源_02物料!$U976)&lt;&gt;0)),1,0)</f>
        <v>0</v>
      </c>
      <c r="S2176">
        <f>N(S2175)+$R2176</f>
        <v>1</v>
      </c>
      <c r="T2176">
        <f>IF(AND($K2176=1,AND(对接源_02物料!$X976="公司筐",N(对接源_02物料!$V976)&lt;&gt;0)),1,0)</f>
        <v>0</v>
      </c>
      <c r="U2176">
        <f>N(U2175)+$T2176</f>
        <v>47</v>
      </c>
      <c r="V2176">
        <f>IF(AND($L2176=1,AND(对接源_02物料!$X976="自备筐",N(对接源_02物料!$V976)&lt;&gt;0)),1,0)</f>
        <v>0</v>
      </c>
      <c r="W2176">
        <f>N(W2175)+$V2176</f>
        <v>11</v>
      </c>
      <c r="X2176">
        <f>IF(AND($L2176=1,AND(对接源_02物料!$X976="自备筐",N(对接源_02物料!$T976)&lt;&gt;0)),1,0)</f>
        <v>0</v>
      </c>
      <c r="Y2176">
        <f>N(Y2175)+$X2176</f>
        <v>0</v>
      </c>
      <c r="Z2176">
        <f>IF(AND($M2176=1,对接源_02物料!$D976="原料入库"),1,0)</f>
        <v>0</v>
      </c>
      <c r="AA2176">
        <f>N(AA2175)+$Z2176</f>
        <v>24</v>
      </c>
      <c r="AB2176">
        <f>IF(AND($M2176=1,LEFT(对接源_02物料!$D976,4)="原料出库"),1,0)</f>
        <v>0</v>
      </c>
      <c r="AC2176">
        <f>N(AC2175)+$AB2176</f>
        <v>0</v>
      </c>
      <c r="AD2176">
        <f>IF(AND($M2176=1,LEFT(对接源_02物料!$D976,4)="成品出库"),1,0)</f>
        <v>0</v>
      </c>
      <c r="AE2176">
        <f>N(AE2175)+$AD2176</f>
        <v>0</v>
      </c>
      <c r="AF2176">
        <f>IF(AND($N2176=1,AND(LEFT(对接源_02物料!$D976,4)="包装物料",N(对接源_02物料!$K976)&lt;&gt;0)),1,0)</f>
        <v>0</v>
      </c>
      <c r="AG2176">
        <f>N(AG2175)+$AF2176</f>
        <v>10</v>
      </c>
      <c r="AH2176">
        <f>IF(AND($N2176=1,AND(对接源_02物料!$D976="周转筐－销售出库",N(对接源_02物料!$K976)&lt;&gt;0)),1,0)</f>
        <v>0</v>
      </c>
      <c r="AI2176">
        <f>N(AI2175)+$AH2176</f>
        <v>0</v>
      </c>
      <c r="AL2176" t="n">
        <v>0</v>
      </c>
      <c r="AM2176">
        <f>N(AM2175)+$AL2176</f>
        <v>2</v>
      </c>
      <c r="AN2176">
        <f>""</f>
      </c>
      <c r="AO2176" t="n">
        <v>0</v>
      </c>
      <c r="AP2176">
        <f>N(AP2175)+$AO2176</f>
        <v>13</v>
      </c>
      <c r="AR2176">
        <f>IF(OR($AF2176=1,$AH2176=1),1,0)</f>
        <v>0</v>
      </c>
      <c r="AS2176">
        <f>N(AS2175)+$AR2176</f>
        <v>10</v>
      </c>
    </row>
    <row r="2177" s="127">
      <c r="A2177">
        <f>IF(对接源_02物料!$C977="","",对接源_02物料!$C977)</f>
      </c>
      <c r="B2177">
        <f>IF(A2177="",0,IF(MATCH(A2177,$A$4:$A$2403,0)=ROW()-3,1,0))</f>
        <v>0</v>
      </c>
      <c r="C2177">
        <f>N(C2176)+B2177</f>
        <v>26</v>
      </c>
      <c r="K2177">
        <f>IF(OR($K$1="",对接源_02物料!$C977="",对接源_02物料!$C977&lt;&gt;$K$1,对接源_02物料!$B977=""),0,IF(OR(N(对接源_02物料!$B977)&lt;$K$2,N(对接源_02物料!$B977)&gt;$K$3),0,1))</f>
        <v>0</v>
      </c>
      <c r="L2177">
        <f>IF(OR($L$1="",对接源_02物料!$C977="",对接源_02物料!$C977&lt;&gt;$L$1,对接源_02物料!$B977=""),0,IF(OR(N(对接源_02物料!$B977)&lt;$L$2,N(对接源_02物料!$B977)&gt;$L$3),0,1))</f>
        <v>0</v>
      </c>
      <c r="M2177">
        <f>IF(OR($M$1="",对接源_02物料!$C977="",对接源_02物料!$C977&lt;&gt;$M$1,对接源_02物料!$B977=""),0,IF(OR(N(对接源_02物料!$B977)&lt;$M$2,N(对接源_02物料!$B977)&gt;$M$3),0,1))</f>
        <v>0</v>
      </c>
      <c r="N2177">
        <f>IF(OR($N$1="",对接源_02物料!$C977="",对接源_02物料!$C977&lt;&gt;$N$1,对接源_02物料!$B977=""),0,IF(OR(N(对接源_02物料!$B977)&lt;$N$2,N(对接源_02物料!$B977)&gt;$N$3),0,1))</f>
        <v>0</v>
      </c>
      <c r="P2177">
        <f>IF(AND($K2177=1,AND(对接源_02物料!$X977="公司筐",N(对接源_02物料!$T977)&lt;&gt;0)),1,0)</f>
        <v>0</v>
      </c>
      <c r="Q2177">
        <f>N(Q2176)+$P2177</f>
        <v>14</v>
      </c>
      <c r="R2177">
        <f>IF(AND($K2177=1,AND(对接源_02物料!$X977="公司筐",N(对接源_02物料!$U977)&lt;&gt;0)),1,0)</f>
        <v>0</v>
      </c>
      <c r="S2177">
        <f>N(S2176)+$R2177</f>
        <v>1</v>
      </c>
      <c r="T2177">
        <f>IF(AND($K2177=1,AND(对接源_02物料!$X977="公司筐",N(对接源_02物料!$V977)&lt;&gt;0)),1,0)</f>
        <v>0</v>
      </c>
      <c r="U2177">
        <f>N(U2176)+$T2177</f>
        <v>47</v>
      </c>
      <c r="V2177">
        <f>IF(AND($L2177=1,AND(对接源_02物料!$X977="自备筐",N(对接源_02物料!$V977)&lt;&gt;0)),1,0)</f>
        <v>0</v>
      </c>
      <c r="W2177">
        <f>N(W2176)+$V2177</f>
        <v>11</v>
      </c>
      <c r="X2177">
        <f>IF(AND($L2177=1,AND(对接源_02物料!$X977="自备筐",N(对接源_02物料!$T977)&lt;&gt;0)),1,0)</f>
        <v>0</v>
      </c>
      <c r="Y2177">
        <f>N(Y2176)+$X2177</f>
        <v>0</v>
      </c>
      <c r="Z2177">
        <f>IF(AND($M2177=1,对接源_02物料!$D977="原料入库"),1,0)</f>
        <v>0</v>
      </c>
      <c r="AA2177">
        <f>N(AA2176)+$Z2177</f>
        <v>24</v>
      </c>
      <c r="AB2177">
        <f>IF(AND($M2177=1,LEFT(对接源_02物料!$D977,4)="原料出库"),1,0)</f>
        <v>0</v>
      </c>
      <c r="AC2177">
        <f>N(AC2176)+$AB2177</f>
        <v>0</v>
      </c>
      <c r="AD2177">
        <f>IF(AND($M2177=1,LEFT(对接源_02物料!$D977,4)="成品出库"),1,0)</f>
        <v>0</v>
      </c>
      <c r="AE2177">
        <f>N(AE2176)+$AD2177</f>
        <v>0</v>
      </c>
      <c r="AF2177">
        <f>IF(AND($N2177=1,AND(LEFT(对接源_02物料!$D977,4)="包装物料",N(对接源_02物料!$K977)&lt;&gt;0)),1,0)</f>
        <v>0</v>
      </c>
      <c r="AG2177">
        <f>N(AG2176)+$AF2177</f>
        <v>10</v>
      </c>
      <c r="AH2177">
        <f>IF(AND($N2177=1,AND(对接源_02物料!$D977="周转筐－销售出库",N(对接源_02物料!$K977)&lt;&gt;0)),1,0)</f>
        <v>0</v>
      </c>
      <c r="AI2177">
        <f>N(AI2176)+$AH2177</f>
        <v>0</v>
      </c>
      <c r="AL2177" t="n">
        <v>0</v>
      </c>
      <c r="AM2177">
        <f>N(AM2176)+$AL2177</f>
        <v>2</v>
      </c>
      <c r="AN2177">
        <f>""</f>
      </c>
      <c r="AO2177" t="n">
        <v>0</v>
      </c>
      <c r="AP2177">
        <f>N(AP2176)+$AO2177</f>
        <v>13</v>
      </c>
      <c r="AR2177">
        <f>IF(OR($AF2177=1,$AH2177=1),1,0)</f>
        <v>0</v>
      </c>
      <c r="AS2177">
        <f>N(AS2176)+$AR2177</f>
        <v>10</v>
      </c>
    </row>
    <row r="2178" s="127">
      <c r="A2178">
        <f>IF(对接源_02物料!$C978="","",对接源_02物料!$C978)</f>
      </c>
      <c r="B2178">
        <f>IF(A2178="",0,IF(MATCH(A2178,$A$4:$A$2403,0)=ROW()-3,1,0))</f>
        <v>0</v>
      </c>
      <c r="C2178">
        <f>N(C2177)+B2178</f>
        <v>26</v>
      </c>
      <c r="K2178">
        <f>IF(OR($K$1="",对接源_02物料!$C978="",对接源_02物料!$C978&lt;&gt;$K$1,对接源_02物料!$B978=""),0,IF(OR(N(对接源_02物料!$B978)&lt;$K$2,N(对接源_02物料!$B978)&gt;$K$3),0,1))</f>
        <v>0</v>
      </c>
      <c r="L2178">
        <f>IF(OR($L$1="",对接源_02物料!$C978="",对接源_02物料!$C978&lt;&gt;$L$1,对接源_02物料!$B978=""),0,IF(OR(N(对接源_02物料!$B978)&lt;$L$2,N(对接源_02物料!$B978)&gt;$L$3),0,1))</f>
        <v>0</v>
      </c>
      <c r="M2178">
        <f>IF(OR($M$1="",对接源_02物料!$C978="",对接源_02物料!$C978&lt;&gt;$M$1,对接源_02物料!$B978=""),0,IF(OR(N(对接源_02物料!$B978)&lt;$M$2,N(对接源_02物料!$B978)&gt;$M$3),0,1))</f>
        <v>0</v>
      </c>
      <c r="N2178">
        <f>IF(OR($N$1="",对接源_02物料!$C978="",对接源_02物料!$C978&lt;&gt;$N$1,对接源_02物料!$B978=""),0,IF(OR(N(对接源_02物料!$B978)&lt;$N$2,N(对接源_02物料!$B978)&gt;$N$3),0,1))</f>
        <v>0</v>
      </c>
      <c r="P2178">
        <f>IF(AND($K2178=1,AND(对接源_02物料!$X978="公司筐",N(对接源_02物料!$T978)&lt;&gt;0)),1,0)</f>
        <v>0</v>
      </c>
      <c r="Q2178">
        <f>N(Q2177)+$P2178</f>
        <v>14</v>
      </c>
      <c r="R2178">
        <f>IF(AND($K2178=1,AND(对接源_02物料!$X978="公司筐",N(对接源_02物料!$U978)&lt;&gt;0)),1,0)</f>
        <v>0</v>
      </c>
      <c r="S2178">
        <f>N(S2177)+$R2178</f>
        <v>1</v>
      </c>
      <c r="T2178">
        <f>IF(AND($K2178=1,AND(对接源_02物料!$X978="公司筐",N(对接源_02物料!$V978)&lt;&gt;0)),1,0)</f>
        <v>0</v>
      </c>
      <c r="U2178">
        <f>N(U2177)+$T2178</f>
        <v>47</v>
      </c>
      <c r="V2178">
        <f>IF(AND($L2178=1,AND(对接源_02物料!$X978="自备筐",N(对接源_02物料!$V978)&lt;&gt;0)),1,0)</f>
        <v>0</v>
      </c>
      <c r="W2178">
        <f>N(W2177)+$V2178</f>
        <v>11</v>
      </c>
      <c r="X2178">
        <f>IF(AND($L2178=1,AND(对接源_02物料!$X978="自备筐",N(对接源_02物料!$T978)&lt;&gt;0)),1,0)</f>
        <v>0</v>
      </c>
      <c r="Y2178">
        <f>N(Y2177)+$X2178</f>
        <v>0</v>
      </c>
      <c r="Z2178">
        <f>IF(AND($M2178=1,对接源_02物料!$D978="原料入库"),1,0)</f>
        <v>0</v>
      </c>
      <c r="AA2178">
        <f>N(AA2177)+$Z2178</f>
        <v>24</v>
      </c>
      <c r="AB2178">
        <f>IF(AND($M2178=1,LEFT(对接源_02物料!$D978,4)="原料出库"),1,0)</f>
        <v>0</v>
      </c>
      <c r="AC2178">
        <f>N(AC2177)+$AB2178</f>
        <v>0</v>
      </c>
      <c r="AD2178">
        <f>IF(AND($M2178=1,LEFT(对接源_02物料!$D978,4)="成品出库"),1,0)</f>
        <v>0</v>
      </c>
      <c r="AE2178">
        <f>N(AE2177)+$AD2178</f>
        <v>0</v>
      </c>
      <c r="AF2178">
        <f>IF(AND($N2178=1,AND(LEFT(对接源_02物料!$D978,4)="包装物料",N(对接源_02物料!$K978)&lt;&gt;0)),1,0)</f>
        <v>0</v>
      </c>
      <c r="AG2178">
        <f>N(AG2177)+$AF2178</f>
        <v>10</v>
      </c>
      <c r="AH2178">
        <f>IF(AND($N2178=1,AND(对接源_02物料!$D978="周转筐－销售出库",N(对接源_02物料!$K978)&lt;&gt;0)),1,0)</f>
        <v>0</v>
      </c>
      <c r="AI2178">
        <f>N(AI2177)+$AH2178</f>
        <v>0</v>
      </c>
      <c r="AL2178" t="n">
        <v>0</v>
      </c>
      <c r="AM2178">
        <f>N(AM2177)+$AL2178</f>
        <v>2</v>
      </c>
      <c r="AN2178">
        <f>""</f>
      </c>
      <c r="AO2178" t="n">
        <v>0</v>
      </c>
      <c r="AP2178">
        <f>N(AP2177)+$AO2178</f>
        <v>13</v>
      </c>
      <c r="AR2178">
        <f>IF(OR($AF2178=1,$AH2178=1),1,0)</f>
        <v>0</v>
      </c>
      <c r="AS2178">
        <f>N(AS2177)+$AR2178</f>
        <v>10</v>
      </c>
    </row>
    <row r="2179" s="127">
      <c r="A2179">
        <f>IF(对接源_02物料!$C979="","",对接源_02物料!$C979)</f>
      </c>
      <c r="B2179">
        <f>IF(A2179="",0,IF(MATCH(A2179,$A$4:$A$2403,0)=ROW()-3,1,0))</f>
        <v>0</v>
      </c>
      <c r="C2179">
        <f>N(C2178)+B2179</f>
        <v>26</v>
      </c>
      <c r="K2179">
        <f>IF(OR($K$1="",对接源_02物料!$C979="",对接源_02物料!$C979&lt;&gt;$K$1,对接源_02物料!$B979=""),0,IF(OR(N(对接源_02物料!$B979)&lt;$K$2,N(对接源_02物料!$B979)&gt;$K$3),0,1))</f>
        <v>0</v>
      </c>
      <c r="L2179">
        <f>IF(OR($L$1="",对接源_02物料!$C979="",对接源_02物料!$C979&lt;&gt;$L$1,对接源_02物料!$B979=""),0,IF(OR(N(对接源_02物料!$B979)&lt;$L$2,N(对接源_02物料!$B979)&gt;$L$3),0,1))</f>
        <v>0</v>
      </c>
      <c r="M2179">
        <f>IF(OR($M$1="",对接源_02物料!$C979="",对接源_02物料!$C979&lt;&gt;$M$1,对接源_02物料!$B979=""),0,IF(OR(N(对接源_02物料!$B979)&lt;$M$2,N(对接源_02物料!$B979)&gt;$M$3),0,1))</f>
        <v>0</v>
      </c>
      <c r="N2179">
        <f>IF(OR($N$1="",对接源_02物料!$C979="",对接源_02物料!$C979&lt;&gt;$N$1,对接源_02物料!$B979=""),0,IF(OR(N(对接源_02物料!$B979)&lt;$N$2,N(对接源_02物料!$B979)&gt;$N$3),0,1))</f>
        <v>0</v>
      </c>
      <c r="P2179">
        <f>IF(AND($K2179=1,AND(对接源_02物料!$X979="公司筐",N(对接源_02物料!$T979)&lt;&gt;0)),1,0)</f>
        <v>0</v>
      </c>
      <c r="Q2179">
        <f>N(Q2178)+$P2179</f>
        <v>14</v>
      </c>
      <c r="R2179">
        <f>IF(AND($K2179=1,AND(对接源_02物料!$X979="公司筐",N(对接源_02物料!$U979)&lt;&gt;0)),1,0)</f>
        <v>0</v>
      </c>
      <c r="S2179">
        <f>N(S2178)+$R2179</f>
        <v>1</v>
      </c>
      <c r="T2179">
        <f>IF(AND($K2179=1,AND(对接源_02物料!$X979="公司筐",N(对接源_02物料!$V979)&lt;&gt;0)),1,0)</f>
        <v>0</v>
      </c>
      <c r="U2179">
        <f>N(U2178)+$T2179</f>
        <v>47</v>
      </c>
      <c r="V2179">
        <f>IF(AND($L2179=1,AND(对接源_02物料!$X979="自备筐",N(对接源_02物料!$V979)&lt;&gt;0)),1,0)</f>
        <v>0</v>
      </c>
      <c r="W2179">
        <f>N(W2178)+$V2179</f>
        <v>11</v>
      </c>
      <c r="X2179">
        <f>IF(AND($L2179=1,AND(对接源_02物料!$X979="自备筐",N(对接源_02物料!$T979)&lt;&gt;0)),1,0)</f>
        <v>0</v>
      </c>
      <c r="Y2179">
        <f>N(Y2178)+$X2179</f>
        <v>0</v>
      </c>
      <c r="Z2179">
        <f>IF(AND($M2179=1,对接源_02物料!$D979="原料入库"),1,0)</f>
        <v>0</v>
      </c>
      <c r="AA2179">
        <f>N(AA2178)+$Z2179</f>
        <v>24</v>
      </c>
      <c r="AB2179">
        <f>IF(AND($M2179=1,LEFT(对接源_02物料!$D979,4)="原料出库"),1,0)</f>
        <v>0</v>
      </c>
      <c r="AC2179">
        <f>N(AC2178)+$AB2179</f>
        <v>0</v>
      </c>
      <c r="AD2179">
        <f>IF(AND($M2179=1,LEFT(对接源_02物料!$D979,4)="成品出库"),1,0)</f>
        <v>0</v>
      </c>
      <c r="AE2179">
        <f>N(AE2178)+$AD2179</f>
        <v>0</v>
      </c>
      <c r="AF2179">
        <f>IF(AND($N2179=1,AND(LEFT(对接源_02物料!$D979,4)="包装物料",N(对接源_02物料!$K979)&lt;&gt;0)),1,0)</f>
        <v>0</v>
      </c>
      <c r="AG2179">
        <f>N(AG2178)+$AF2179</f>
        <v>10</v>
      </c>
      <c r="AH2179">
        <f>IF(AND($N2179=1,AND(对接源_02物料!$D979="周转筐－销售出库",N(对接源_02物料!$K979)&lt;&gt;0)),1,0)</f>
        <v>0</v>
      </c>
      <c r="AI2179">
        <f>N(AI2178)+$AH2179</f>
        <v>0</v>
      </c>
      <c r="AL2179" t="n">
        <v>0</v>
      </c>
      <c r="AM2179">
        <f>N(AM2178)+$AL2179</f>
        <v>2</v>
      </c>
      <c r="AN2179">
        <f>""</f>
      </c>
      <c r="AO2179" t="n">
        <v>0</v>
      </c>
      <c r="AP2179">
        <f>N(AP2178)+$AO2179</f>
        <v>13</v>
      </c>
      <c r="AR2179">
        <f>IF(OR($AF2179=1,$AH2179=1),1,0)</f>
        <v>0</v>
      </c>
      <c r="AS2179">
        <f>N(AS2178)+$AR2179</f>
        <v>10</v>
      </c>
    </row>
    <row r="2180" s="127">
      <c r="A2180">
        <f>IF(对接源_02物料!$C980="","",对接源_02物料!$C980)</f>
      </c>
      <c r="B2180">
        <f>IF(A2180="",0,IF(MATCH(A2180,$A$4:$A$2403,0)=ROW()-3,1,0))</f>
        <v>0</v>
      </c>
      <c r="C2180">
        <f>N(C2179)+B2180</f>
        <v>26</v>
      </c>
      <c r="K2180">
        <f>IF(OR($K$1="",对接源_02物料!$C980="",对接源_02物料!$C980&lt;&gt;$K$1,对接源_02物料!$B980=""),0,IF(OR(N(对接源_02物料!$B980)&lt;$K$2,N(对接源_02物料!$B980)&gt;$K$3),0,1))</f>
        <v>0</v>
      </c>
      <c r="L2180">
        <f>IF(OR($L$1="",对接源_02物料!$C980="",对接源_02物料!$C980&lt;&gt;$L$1,对接源_02物料!$B980=""),0,IF(OR(N(对接源_02物料!$B980)&lt;$L$2,N(对接源_02物料!$B980)&gt;$L$3),0,1))</f>
        <v>0</v>
      </c>
      <c r="M2180">
        <f>IF(OR($M$1="",对接源_02物料!$C980="",对接源_02物料!$C980&lt;&gt;$M$1,对接源_02物料!$B980=""),0,IF(OR(N(对接源_02物料!$B980)&lt;$M$2,N(对接源_02物料!$B980)&gt;$M$3),0,1))</f>
        <v>0</v>
      </c>
      <c r="N2180">
        <f>IF(OR($N$1="",对接源_02物料!$C980="",对接源_02物料!$C980&lt;&gt;$N$1,对接源_02物料!$B980=""),0,IF(OR(N(对接源_02物料!$B980)&lt;$N$2,N(对接源_02物料!$B980)&gt;$N$3),0,1))</f>
        <v>0</v>
      </c>
      <c r="P2180">
        <f>IF(AND($K2180=1,AND(对接源_02物料!$X980="公司筐",N(对接源_02物料!$T980)&lt;&gt;0)),1,0)</f>
        <v>0</v>
      </c>
      <c r="Q2180">
        <f>N(Q2179)+$P2180</f>
        <v>14</v>
      </c>
      <c r="R2180">
        <f>IF(AND($K2180=1,AND(对接源_02物料!$X980="公司筐",N(对接源_02物料!$U980)&lt;&gt;0)),1,0)</f>
        <v>0</v>
      </c>
      <c r="S2180">
        <f>N(S2179)+$R2180</f>
        <v>1</v>
      </c>
      <c r="T2180">
        <f>IF(AND($K2180=1,AND(对接源_02物料!$X980="公司筐",N(对接源_02物料!$V980)&lt;&gt;0)),1,0)</f>
        <v>0</v>
      </c>
      <c r="U2180">
        <f>N(U2179)+$T2180</f>
        <v>47</v>
      </c>
      <c r="V2180">
        <f>IF(AND($L2180=1,AND(对接源_02物料!$X980="自备筐",N(对接源_02物料!$V980)&lt;&gt;0)),1,0)</f>
        <v>0</v>
      </c>
      <c r="W2180">
        <f>N(W2179)+$V2180</f>
        <v>11</v>
      </c>
      <c r="X2180">
        <f>IF(AND($L2180=1,AND(对接源_02物料!$X980="自备筐",N(对接源_02物料!$T980)&lt;&gt;0)),1,0)</f>
        <v>0</v>
      </c>
      <c r="Y2180">
        <f>N(Y2179)+$X2180</f>
        <v>0</v>
      </c>
      <c r="Z2180">
        <f>IF(AND($M2180=1,对接源_02物料!$D980="原料入库"),1,0)</f>
        <v>0</v>
      </c>
      <c r="AA2180">
        <f>N(AA2179)+$Z2180</f>
        <v>24</v>
      </c>
      <c r="AB2180">
        <f>IF(AND($M2180=1,LEFT(对接源_02物料!$D980,4)="原料出库"),1,0)</f>
        <v>0</v>
      </c>
      <c r="AC2180">
        <f>N(AC2179)+$AB2180</f>
        <v>0</v>
      </c>
      <c r="AD2180">
        <f>IF(AND($M2180=1,LEFT(对接源_02物料!$D980,4)="成品出库"),1,0)</f>
        <v>0</v>
      </c>
      <c r="AE2180">
        <f>N(AE2179)+$AD2180</f>
        <v>0</v>
      </c>
      <c r="AF2180">
        <f>IF(AND($N2180=1,AND(LEFT(对接源_02物料!$D980,4)="包装物料",N(对接源_02物料!$K980)&lt;&gt;0)),1,0)</f>
        <v>0</v>
      </c>
      <c r="AG2180">
        <f>N(AG2179)+$AF2180</f>
        <v>10</v>
      </c>
      <c r="AH2180">
        <f>IF(AND($N2180=1,AND(对接源_02物料!$D980="周转筐－销售出库",N(对接源_02物料!$K980)&lt;&gt;0)),1,0)</f>
        <v>0</v>
      </c>
      <c r="AI2180">
        <f>N(AI2179)+$AH2180</f>
        <v>0</v>
      </c>
      <c r="AL2180" t="n">
        <v>0</v>
      </c>
      <c r="AM2180">
        <f>N(AM2179)+$AL2180</f>
        <v>2</v>
      </c>
      <c r="AN2180">
        <f>""</f>
      </c>
      <c r="AO2180" t="n">
        <v>0</v>
      </c>
      <c r="AP2180">
        <f>N(AP2179)+$AO2180</f>
        <v>13</v>
      </c>
      <c r="AR2180">
        <f>IF(OR($AF2180=1,$AH2180=1),1,0)</f>
        <v>0</v>
      </c>
      <c r="AS2180">
        <f>N(AS2179)+$AR2180</f>
        <v>10</v>
      </c>
    </row>
    <row r="2181" s="127">
      <c r="A2181">
        <f>IF(对接源_02物料!$C981="","",对接源_02物料!$C981)</f>
      </c>
      <c r="B2181">
        <f>IF(A2181="",0,IF(MATCH(A2181,$A$4:$A$2403,0)=ROW()-3,1,0))</f>
        <v>0</v>
      </c>
      <c r="C2181">
        <f>N(C2180)+B2181</f>
        <v>26</v>
      </c>
      <c r="K2181">
        <f>IF(OR($K$1="",对接源_02物料!$C981="",对接源_02物料!$C981&lt;&gt;$K$1,对接源_02物料!$B981=""),0,IF(OR(N(对接源_02物料!$B981)&lt;$K$2,N(对接源_02物料!$B981)&gt;$K$3),0,1))</f>
        <v>0</v>
      </c>
      <c r="L2181">
        <f>IF(OR($L$1="",对接源_02物料!$C981="",对接源_02物料!$C981&lt;&gt;$L$1,对接源_02物料!$B981=""),0,IF(OR(N(对接源_02物料!$B981)&lt;$L$2,N(对接源_02物料!$B981)&gt;$L$3),0,1))</f>
        <v>0</v>
      </c>
      <c r="M2181">
        <f>IF(OR($M$1="",对接源_02物料!$C981="",对接源_02物料!$C981&lt;&gt;$M$1,对接源_02物料!$B981=""),0,IF(OR(N(对接源_02物料!$B981)&lt;$M$2,N(对接源_02物料!$B981)&gt;$M$3),0,1))</f>
        <v>0</v>
      </c>
      <c r="N2181">
        <f>IF(OR($N$1="",对接源_02物料!$C981="",对接源_02物料!$C981&lt;&gt;$N$1,对接源_02物料!$B981=""),0,IF(OR(N(对接源_02物料!$B981)&lt;$N$2,N(对接源_02物料!$B981)&gt;$N$3),0,1))</f>
        <v>0</v>
      </c>
      <c r="P2181">
        <f>IF(AND($K2181=1,AND(对接源_02物料!$X981="公司筐",N(对接源_02物料!$T981)&lt;&gt;0)),1,0)</f>
        <v>0</v>
      </c>
      <c r="Q2181">
        <f>N(Q2180)+$P2181</f>
        <v>14</v>
      </c>
      <c r="R2181">
        <f>IF(AND($K2181=1,AND(对接源_02物料!$X981="公司筐",N(对接源_02物料!$U981)&lt;&gt;0)),1,0)</f>
        <v>0</v>
      </c>
      <c r="S2181">
        <f>N(S2180)+$R2181</f>
        <v>1</v>
      </c>
      <c r="T2181">
        <f>IF(AND($K2181=1,AND(对接源_02物料!$X981="公司筐",N(对接源_02物料!$V981)&lt;&gt;0)),1,0)</f>
        <v>0</v>
      </c>
      <c r="U2181">
        <f>N(U2180)+$T2181</f>
        <v>47</v>
      </c>
      <c r="V2181">
        <f>IF(AND($L2181=1,AND(对接源_02物料!$X981="自备筐",N(对接源_02物料!$V981)&lt;&gt;0)),1,0)</f>
        <v>0</v>
      </c>
      <c r="W2181">
        <f>N(W2180)+$V2181</f>
        <v>11</v>
      </c>
      <c r="X2181">
        <f>IF(AND($L2181=1,AND(对接源_02物料!$X981="自备筐",N(对接源_02物料!$T981)&lt;&gt;0)),1,0)</f>
        <v>0</v>
      </c>
      <c r="Y2181">
        <f>N(Y2180)+$X2181</f>
        <v>0</v>
      </c>
      <c r="Z2181">
        <f>IF(AND($M2181=1,对接源_02物料!$D981="原料入库"),1,0)</f>
        <v>0</v>
      </c>
      <c r="AA2181">
        <f>N(AA2180)+$Z2181</f>
        <v>24</v>
      </c>
      <c r="AB2181">
        <f>IF(AND($M2181=1,LEFT(对接源_02物料!$D981,4)="原料出库"),1,0)</f>
        <v>0</v>
      </c>
      <c r="AC2181">
        <f>N(AC2180)+$AB2181</f>
        <v>0</v>
      </c>
      <c r="AD2181">
        <f>IF(AND($M2181=1,LEFT(对接源_02物料!$D981,4)="成品出库"),1,0)</f>
        <v>0</v>
      </c>
      <c r="AE2181">
        <f>N(AE2180)+$AD2181</f>
        <v>0</v>
      </c>
      <c r="AF2181">
        <f>IF(AND($N2181=1,AND(LEFT(对接源_02物料!$D981,4)="包装物料",N(对接源_02物料!$K981)&lt;&gt;0)),1,0)</f>
        <v>0</v>
      </c>
      <c r="AG2181">
        <f>N(AG2180)+$AF2181</f>
        <v>10</v>
      </c>
      <c r="AH2181">
        <f>IF(AND($N2181=1,AND(对接源_02物料!$D981="周转筐－销售出库",N(对接源_02物料!$K981)&lt;&gt;0)),1,0)</f>
        <v>0</v>
      </c>
      <c r="AI2181">
        <f>N(AI2180)+$AH2181</f>
        <v>0</v>
      </c>
      <c r="AL2181" t="n">
        <v>0</v>
      </c>
      <c r="AM2181">
        <f>N(AM2180)+$AL2181</f>
        <v>2</v>
      </c>
      <c r="AN2181">
        <f>""</f>
      </c>
      <c r="AO2181" t="n">
        <v>0</v>
      </c>
      <c r="AP2181">
        <f>N(AP2180)+$AO2181</f>
        <v>13</v>
      </c>
      <c r="AR2181">
        <f>IF(OR($AF2181=1,$AH2181=1),1,0)</f>
        <v>0</v>
      </c>
      <c r="AS2181">
        <f>N(AS2180)+$AR2181</f>
        <v>10</v>
      </c>
    </row>
    <row r="2182" s="127">
      <c r="A2182">
        <f>IF(对接源_02物料!$C982="","",对接源_02物料!$C982)</f>
      </c>
      <c r="B2182">
        <f>IF(A2182="",0,IF(MATCH(A2182,$A$4:$A$2403,0)=ROW()-3,1,0))</f>
        <v>0</v>
      </c>
      <c r="C2182">
        <f>N(C2181)+B2182</f>
        <v>26</v>
      </c>
      <c r="K2182">
        <f>IF(OR($K$1="",对接源_02物料!$C982="",对接源_02物料!$C982&lt;&gt;$K$1,对接源_02物料!$B982=""),0,IF(OR(N(对接源_02物料!$B982)&lt;$K$2,N(对接源_02物料!$B982)&gt;$K$3),0,1))</f>
        <v>0</v>
      </c>
      <c r="L2182">
        <f>IF(OR($L$1="",对接源_02物料!$C982="",对接源_02物料!$C982&lt;&gt;$L$1,对接源_02物料!$B982=""),0,IF(OR(N(对接源_02物料!$B982)&lt;$L$2,N(对接源_02物料!$B982)&gt;$L$3),0,1))</f>
        <v>0</v>
      </c>
      <c r="M2182">
        <f>IF(OR($M$1="",对接源_02物料!$C982="",对接源_02物料!$C982&lt;&gt;$M$1,对接源_02物料!$B982=""),0,IF(OR(N(对接源_02物料!$B982)&lt;$M$2,N(对接源_02物料!$B982)&gt;$M$3),0,1))</f>
        <v>0</v>
      </c>
      <c r="N2182">
        <f>IF(OR($N$1="",对接源_02物料!$C982="",对接源_02物料!$C982&lt;&gt;$N$1,对接源_02物料!$B982=""),0,IF(OR(N(对接源_02物料!$B982)&lt;$N$2,N(对接源_02物料!$B982)&gt;$N$3),0,1))</f>
        <v>0</v>
      </c>
      <c r="P2182">
        <f>IF(AND($K2182=1,AND(对接源_02物料!$X982="公司筐",N(对接源_02物料!$T982)&lt;&gt;0)),1,0)</f>
        <v>0</v>
      </c>
      <c r="Q2182">
        <f>N(Q2181)+$P2182</f>
        <v>14</v>
      </c>
      <c r="R2182">
        <f>IF(AND($K2182=1,AND(对接源_02物料!$X982="公司筐",N(对接源_02物料!$U982)&lt;&gt;0)),1,0)</f>
        <v>0</v>
      </c>
      <c r="S2182">
        <f>N(S2181)+$R2182</f>
        <v>1</v>
      </c>
      <c r="T2182">
        <f>IF(AND($K2182=1,AND(对接源_02物料!$X982="公司筐",N(对接源_02物料!$V982)&lt;&gt;0)),1,0)</f>
        <v>0</v>
      </c>
      <c r="U2182">
        <f>N(U2181)+$T2182</f>
        <v>47</v>
      </c>
      <c r="V2182">
        <f>IF(AND($L2182=1,AND(对接源_02物料!$X982="自备筐",N(对接源_02物料!$V982)&lt;&gt;0)),1,0)</f>
        <v>0</v>
      </c>
      <c r="W2182">
        <f>N(W2181)+$V2182</f>
        <v>11</v>
      </c>
      <c r="X2182">
        <f>IF(AND($L2182=1,AND(对接源_02物料!$X982="自备筐",N(对接源_02物料!$T982)&lt;&gt;0)),1,0)</f>
        <v>0</v>
      </c>
      <c r="Y2182">
        <f>N(Y2181)+$X2182</f>
        <v>0</v>
      </c>
      <c r="Z2182">
        <f>IF(AND($M2182=1,对接源_02物料!$D982="原料入库"),1,0)</f>
        <v>0</v>
      </c>
      <c r="AA2182">
        <f>N(AA2181)+$Z2182</f>
        <v>24</v>
      </c>
      <c r="AB2182">
        <f>IF(AND($M2182=1,LEFT(对接源_02物料!$D982,4)="原料出库"),1,0)</f>
        <v>0</v>
      </c>
      <c r="AC2182">
        <f>N(AC2181)+$AB2182</f>
        <v>0</v>
      </c>
      <c r="AD2182">
        <f>IF(AND($M2182=1,LEFT(对接源_02物料!$D982,4)="成品出库"),1,0)</f>
        <v>0</v>
      </c>
      <c r="AE2182">
        <f>N(AE2181)+$AD2182</f>
        <v>0</v>
      </c>
      <c r="AF2182">
        <f>IF(AND($N2182=1,AND(LEFT(对接源_02物料!$D982,4)="包装物料",N(对接源_02物料!$K982)&lt;&gt;0)),1,0)</f>
        <v>0</v>
      </c>
      <c r="AG2182">
        <f>N(AG2181)+$AF2182</f>
        <v>10</v>
      </c>
      <c r="AH2182">
        <f>IF(AND($N2182=1,AND(对接源_02物料!$D982="周转筐－销售出库",N(对接源_02物料!$K982)&lt;&gt;0)),1,0)</f>
        <v>0</v>
      </c>
      <c r="AI2182">
        <f>N(AI2181)+$AH2182</f>
        <v>0</v>
      </c>
      <c r="AL2182" t="n">
        <v>0</v>
      </c>
      <c r="AM2182">
        <f>N(AM2181)+$AL2182</f>
        <v>2</v>
      </c>
      <c r="AN2182">
        <f>""</f>
      </c>
      <c r="AO2182" t="n">
        <v>0</v>
      </c>
      <c r="AP2182">
        <f>N(AP2181)+$AO2182</f>
        <v>13</v>
      </c>
      <c r="AR2182">
        <f>IF(OR($AF2182=1,$AH2182=1),1,0)</f>
        <v>0</v>
      </c>
      <c r="AS2182">
        <f>N(AS2181)+$AR2182</f>
        <v>10</v>
      </c>
    </row>
    <row r="2183" s="127">
      <c r="A2183">
        <f>IF(对接源_02物料!$C983="","",对接源_02物料!$C983)</f>
      </c>
      <c r="B2183">
        <f>IF(A2183="",0,IF(MATCH(A2183,$A$4:$A$2403,0)=ROW()-3,1,0))</f>
        <v>0</v>
      </c>
      <c r="C2183">
        <f>N(C2182)+B2183</f>
        <v>26</v>
      </c>
      <c r="K2183">
        <f>IF(OR($K$1="",对接源_02物料!$C983="",对接源_02物料!$C983&lt;&gt;$K$1,对接源_02物料!$B983=""),0,IF(OR(N(对接源_02物料!$B983)&lt;$K$2,N(对接源_02物料!$B983)&gt;$K$3),0,1))</f>
        <v>0</v>
      </c>
      <c r="L2183">
        <f>IF(OR($L$1="",对接源_02物料!$C983="",对接源_02物料!$C983&lt;&gt;$L$1,对接源_02物料!$B983=""),0,IF(OR(N(对接源_02物料!$B983)&lt;$L$2,N(对接源_02物料!$B983)&gt;$L$3),0,1))</f>
        <v>0</v>
      </c>
      <c r="M2183">
        <f>IF(OR($M$1="",对接源_02物料!$C983="",对接源_02物料!$C983&lt;&gt;$M$1,对接源_02物料!$B983=""),0,IF(OR(N(对接源_02物料!$B983)&lt;$M$2,N(对接源_02物料!$B983)&gt;$M$3),0,1))</f>
        <v>0</v>
      </c>
      <c r="N2183">
        <f>IF(OR($N$1="",对接源_02物料!$C983="",对接源_02物料!$C983&lt;&gt;$N$1,对接源_02物料!$B983=""),0,IF(OR(N(对接源_02物料!$B983)&lt;$N$2,N(对接源_02物料!$B983)&gt;$N$3),0,1))</f>
        <v>0</v>
      </c>
      <c r="P2183">
        <f>IF(AND($K2183=1,AND(对接源_02物料!$X983="公司筐",N(对接源_02物料!$T983)&lt;&gt;0)),1,0)</f>
        <v>0</v>
      </c>
      <c r="Q2183">
        <f>N(Q2182)+$P2183</f>
        <v>14</v>
      </c>
      <c r="R2183">
        <f>IF(AND($K2183=1,AND(对接源_02物料!$X983="公司筐",N(对接源_02物料!$U983)&lt;&gt;0)),1,0)</f>
        <v>0</v>
      </c>
      <c r="S2183">
        <f>N(S2182)+$R2183</f>
        <v>1</v>
      </c>
      <c r="T2183">
        <f>IF(AND($K2183=1,AND(对接源_02物料!$X983="公司筐",N(对接源_02物料!$V983)&lt;&gt;0)),1,0)</f>
        <v>0</v>
      </c>
      <c r="U2183">
        <f>N(U2182)+$T2183</f>
        <v>47</v>
      </c>
      <c r="V2183">
        <f>IF(AND($L2183=1,AND(对接源_02物料!$X983="自备筐",N(对接源_02物料!$V983)&lt;&gt;0)),1,0)</f>
        <v>0</v>
      </c>
      <c r="W2183">
        <f>N(W2182)+$V2183</f>
        <v>11</v>
      </c>
      <c r="X2183">
        <f>IF(AND($L2183=1,AND(对接源_02物料!$X983="自备筐",N(对接源_02物料!$T983)&lt;&gt;0)),1,0)</f>
        <v>0</v>
      </c>
      <c r="Y2183">
        <f>N(Y2182)+$X2183</f>
        <v>0</v>
      </c>
      <c r="Z2183">
        <f>IF(AND($M2183=1,对接源_02物料!$D983="原料入库"),1,0)</f>
        <v>0</v>
      </c>
      <c r="AA2183">
        <f>N(AA2182)+$Z2183</f>
        <v>24</v>
      </c>
      <c r="AB2183">
        <f>IF(AND($M2183=1,LEFT(对接源_02物料!$D983,4)="原料出库"),1,0)</f>
        <v>0</v>
      </c>
      <c r="AC2183">
        <f>N(AC2182)+$AB2183</f>
        <v>0</v>
      </c>
      <c r="AD2183">
        <f>IF(AND($M2183=1,LEFT(对接源_02物料!$D983,4)="成品出库"),1,0)</f>
        <v>0</v>
      </c>
      <c r="AE2183">
        <f>N(AE2182)+$AD2183</f>
        <v>0</v>
      </c>
      <c r="AF2183">
        <f>IF(AND($N2183=1,AND(LEFT(对接源_02物料!$D983,4)="包装物料",N(对接源_02物料!$K983)&lt;&gt;0)),1,0)</f>
        <v>0</v>
      </c>
      <c r="AG2183">
        <f>N(AG2182)+$AF2183</f>
        <v>10</v>
      </c>
      <c r="AH2183">
        <f>IF(AND($N2183=1,AND(对接源_02物料!$D983="周转筐－销售出库",N(对接源_02物料!$K983)&lt;&gt;0)),1,0)</f>
        <v>0</v>
      </c>
      <c r="AI2183">
        <f>N(AI2182)+$AH2183</f>
        <v>0</v>
      </c>
      <c r="AL2183" t="n">
        <v>0</v>
      </c>
      <c r="AM2183">
        <f>N(AM2182)+$AL2183</f>
        <v>2</v>
      </c>
      <c r="AN2183">
        <f>""</f>
      </c>
      <c r="AO2183" t="n">
        <v>0</v>
      </c>
      <c r="AP2183">
        <f>N(AP2182)+$AO2183</f>
        <v>13</v>
      </c>
      <c r="AR2183">
        <f>IF(OR($AF2183=1,$AH2183=1),1,0)</f>
        <v>0</v>
      </c>
      <c r="AS2183">
        <f>N(AS2182)+$AR2183</f>
        <v>10</v>
      </c>
    </row>
    <row r="2184" s="127">
      <c r="A2184">
        <f>IF(对接源_02物料!$C984="","",对接源_02物料!$C984)</f>
      </c>
      <c r="B2184">
        <f>IF(A2184="",0,IF(MATCH(A2184,$A$4:$A$2403,0)=ROW()-3,1,0))</f>
        <v>0</v>
      </c>
      <c r="C2184">
        <f>N(C2183)+B2184</f>
        <v>26</v>
      </c>
      <c r="K2184">
        <f>IF(OR($K$1="",对接源_02物料!$C984="",对接源_02物料!$C984&lt;&gt;$K$1,对接源_02物料!$B984=""),0,IF(OR(N(对接源_02物料!$B984)&lt;$K$2,N(对接源_02物料!$B984)&gt;$K$3),0,1))</f>
        <v>0</v>
      </c>
      <c r="L2184">
        <f>IF(OR($L$1="",对接源_02物料!$C984="",对接源_02物料!$C984&lt;&gt;$L$1,对接源_02物料!$B984=""),0,IF(OR(N(对接源_02物料!$B984)&lt;$L$2,N(对接源_02物料!$B984)&gt;$L$3),0,1))</f>
        <v>0</v>
      </c>
      <c r="M2184">
        <f>IF(OR($M$1="",对接源_02物料!$C984="",对接源_02物料!$C984&lt;&gt;$M$1,对接源_02物料!$B984=""),0,IF(OR(N(对接源_02物料!$B984)&lt;$M$2,N(对接源_02物料!$B984)&gt;$M$3),0,1))</f>
        <v>0</v>
      </c>
      <c r="N2184">
        <f>IF(OR($N$1="",对接源_02物料!$C984="",对接源_02物料!$C984&lt;&gt;$N$1,对接源_02物料!$B984=""),0,IF(OR(N(对接源_02物料!$B984)&lt;$N$2,N(对接源_02物料!$B984)&gt;$N$3),0,1))</f>
        <v>0</v>
      </c>
      <c r="P2184">
        <f>IF(AND($K2184=1,AND(对接源_02物料!$X984="公司筐",N(对接源_02物料!$T984)&lt;&gt;0)),1,0)</f>
        <v>0</v>
      </c>
      <c r="Q2184">
        <f>N(Q2183)+$P2184</f>
        <v>14</v>
      </c>
      <c r="R2184">
        <f>IF(AND($K2184=1,AND(对接源_02物料!$X984="公司筐",N(对接源_02物料!$U984)&lt;&gt;0)),1,0)</f>
        <v>0</v>
      </c>
      <c r="S2184">
        <f>N(S2183)+$R2184</f>
        <v>1</v>
      </c>
      <c r="T2184">
        <f>IF(AND($K2184=1,AND(对接源_02物料!$X984="公司筐",N(对接源_02物料!$V984)&lt;&gt;0)),1,0)</f>
        <v>0</v>
      </c>
      <c r="U2184">
        <f>N(U2183)+$T2184</f>
        <v>47</v>
      </c>
      <c r="V2184">
        <f>IF(AND($L2184=1,AND(对接源_02物料!$X984="自备筐",N(对接源_02物料!$V984)&lt;&gt;0)),1,0)</f>
        <v>0</v>
      </c>
      <c r="W2184">
        <f>N(W2183)+$V2184</f>
        <v>11</v>
      </c>
      <c r="X2184">
        <f>IF(AND($L2184=1,AND(对接源_02物料!$X984="自备筐",N(对接源_02物料!$T984)&lt;&gt;0)),1,0)</f>
        <v>0</v>
      </c>
      <c r="Y2184">
        <f>N(Y2183)+$X2184</f>
        <v>0</v>
      </c>
      <c r="Z2184">
        <f>IF(AND($M2184=1,对接源_02物料!$D984="原料入库"),1,0)</f>
        <v>0</v>
      </c>
      <c r="AA2184">
        <f>N(AA2183)+$Z2184</f>
        <v>24</v>
      </c>
      <c r="AB2184">
        <f>IF(AND($M2184=1,LEFT(对接源_02物料!$D984,4)="原料出库"),1,0)</f>
        <v>0</v>
      </c>
      <c r="AC2184">
        <f>N(AC2183)+$AB2184</f>
        <v>0</v>
      </c>
      <c r="AD2184">
        <f>IF(AND($M2184=1,LEFT(对接源_02物料!$D984,4)="成品出库"),1,0)</f>
        <v>0</v>
      </c>
      <c r="AE2184">
        <f>N(AE2183)+$AD2184</f>
        <v>0</v>
      </c>
      <c r="AF2184">
        <f>IF(AND($N2184=1,AND(LEFT(对接源_02物料!$D984,4)="包装物料",N(对接源_02物料!$K984)&lt;&gt;0)),1,0)</f>
        <v>0</v>
      </c>
      <c r="AG2184">
        <f>N(AG2183)+$AF2184</f>
        <v>10</v>
      </c>
      <c r="AH2184">
        <f>IF(AND($N2184=1,AND(对接源_02物料!$D984="周转筐－销售出库",N(对接源_02物料!$K984)&lt;&gt;0)),1,0)</f>
        <v>0</v>
      </c>
      <c r="AI2184">
        <f>N(AI2183)+$AH2184</f>
        <v>0</v>
      </c>
      <c r="AL2184" t="n">
        <v>0</v>
      </c>
      <c r="AM2184">
        <f>N(AM2183)+$AL2184</f>
        <v>2</v>
      </c>
      <c r="AN2184">
        <f>""</f>
      </c>
      <c r="AO2184" t="n">
        <v>0</v>
      </c>
      <c r="AP2184">
        <f>N(AP2183)+$AO2184</f>
        <v>13</v>
      </c>
      <c r="AR2184">
        <f>IF(OR($AF2184=1,$AH2184=1),1,0)</f>
        <v>0</v>
      </c>
      <c r="AS2184">
        <f>N(AS2183)+$AR2184</f>
        <v>10</v>
      </c>
    </row>
    <row r="2185" s="127">
      <c r="A2185">
        <f>IF(对接源_02物料!$C985="","",对接源_02物料!$C985)</f>
      </c>
      <c r="B2185">
        <f>IF(A2185="",0,IF(MATCH(A2185,$A$4:$A$2403,0)=ROW()-3,1,0))</f>
        <v>0</v>
      </c>
      <c r="C2185">
        <f>N(C2184)+B2185</f>
        <v>26</v>
      </c>
      <c r="K2185">
        <f>IF(OR($K$1="",对接源_02物料!$C985="",对接源_02物料!$C985&lt;&gt;$K$1,对接源_02物料!$B985=""),0,IF(OR(N(对接源_02物料!$B985)&lt;$K$2,N(对接源_02物料!$B985)&gt;$K$3),0,1))</f>
        <v>0</v>
      </c>
      <c r="L2185">
        <f>IF(OR($L$1="",对接源_02物料!$C985="",对接源_02物料!$C985&lt;&gt;$L$1,对接源_02物料!$B985=""),0,IF(OR(N(对接源_02物料!$B985)&lt;$L$2,N(对接源_02物料!$B985)&gt;$L$3),0,1))</f>
        <v>0</v>
      </c>
      <c r="M2185">
        <f>IF(OR($M$1="",对接源_02物料!$C985="",对接源_02物料!$C985&lt;&gt;$M$1,对接源_02物料!$B985=""),0,IF(OR(N(对接源_02物料!$B985)&lt;$M$2,N(对接源_02物料!$B985)&gt;$M$3),0,1))</f>
        <v>0</v>
      </c>
      <c r="N2185">
        <f>IF(OR($N$1="",对接源_02物料!$C985="",对接源_02物料!$C985&lt;&gt;$N$1,对接源_02物料!$B985=""),0,IF(OR(N(对接源_02物料!$B985)&lt;$N$2,N(对接源_02物料!$B985)&gt;$N$3),0,1))</f>
        <v>0</v>
      </c>
      <c r="P2185">
        <f>IF(AND($K2185=1,AND(对接源_02物料!$X985="公司筐",N(对接源_02物料!$T985)&lt;&gt;0)),1,0)</f>
        <v>0</v>
      </c>
      <c r="Q2185">
        <f>N(Q2184)+$P2185</f>
        <v>14</v>
      </c>
      <c r="R2185">
        <f>IF(AND($K2185=1,AND(对接源_02物料!$X985="公司筐",N(对接源_02物料!$U985)&lt;&gt;0)),1,0)</f>
        <v>0</v>
      </c>
      <c r="S2185">
        <f>N(S2184)+$R2185</f>
        <v>1</v>
      </c>
      <c r="T2185">
        <f>IF(AND($K2185=1,AND(对接源_02物料!$X985="公司筐",N(对接源_02物料!$V985)&lt;&gt;0)),1,0)</f>
        <v>0</v>
      </c>
      <c r="U2185">
        <f>N(U2184)+$T2185</f>
        <v>47</v>
      </c>
      <c r="V2185">
        <f>IF(AND($L2185=1,AND(对接源_02物料!$X985="自备筐",N(对接源_02物料!$V985)&lt;&gt;0)),1,0)</f>
        <v>0</v>
      </c>
      <c r="W2185">
        <f>N(W2184)+$V2185</f>
        <v>11</v>
      </c>
      <c r="X2185">
        <f>IF(AND($L2185=1,AND(对接源_02物料!$X985="自备筐",N(对接源_02物料!$T985)&lt;&gt;0)),1,0)</f>
        <v>0</v>
      </c>
      <c r="Y2185">
        <f>N(Y2184)+$X2185</f>
        <v>0</v>
      </c>
      <c r="Z2185">
        <f>IF(AND($M2185=1,对接源_02物料!$D985="原料入库"),1,0)</f>
        <v>0</v>
      </c>
      <c r="AA2185">
        <f>N(AA2184)+$Z2185</f>
        <v>24</v>
      </c>
      <c r="AB2185">
        <f>IF(AND($M2185=1,LEFT(对接源_02物料!$D985,4)="原料出库"),1,0)</f>
        <v>0</v>
      </c>
      <c r="AC2185">
        <f>N(AC2184)+$AB2185</f>
        <v>0</v>
      </c>
      <c r="AD2185">
        <f>IF(AND($M2185=1,LEFT(对接源_02物料!$D985,4)="成品出库"),1,0)</f>
        <v>0</v>
      </c>
      <c r="AE2185">
        <f>N(AE2184)+$AD2185</f>
        <v>0</v>
      </c>
      <c r="AF2185">
        <f>IF(AND($N2185=1,AND(LEFT(对接源_02物料!$D985,4)="包装物料",N(对接源_02物料!$K985)&lt;&gt;0)),1,0)</f>
        <v>0</v>
      </c>
      <c r="AG2185">
        <f>N(AG2184)+$AF2185</f>
        <v>10</v>
      </c>
      <c r="AH2185">
        <f>IF(AND($N2185=1,AND(对接源_02物料!$D985="周转筐－销售出库",N(对接源_02物料!$K985)&lt;&gt;0)),1,0)</f>
        <v>0</v>
      </c>
      <c r="AI2185">
        <f>N(AI2184)+$AH2185</f>
        <v>0</v>
      </c>
      <c r="AL2185" t="n">
        <v>0</v>
      </c>
      <c r="AM2185">
        <f>N(AM2184)+$AL2185</f>
        <v>2</v>
      </c>
      <c r="AN2185">
        <f>""</f>
      </c>
      <c r="AO2185" t="n">
        <v>0</v>
      </c>
      <c r="AP2185">
        <f>N(AP2184)+$AO2185</f>
        <v>13</v>
      </c>
      <c r="AR2185">
        <f>IF(OR($AF2185=1,$AH2185=1),1,0)</f>
        <v>0</v>
      </c>
      <c r="AS2185">
        <f>N(AS2184)+$AR2185</f>
        <v>10</v>
      </c>
    </row>
    <row r="2186" s="127">
      <c r="A2186">
        <f>IF(对接源_02物料!$C986="","",对接源_02物料!$C986)</f>
      </c>
      <c r="B2186">
        <f>IF(A2186="",0,IF(MATCH(A2186,$A$4:$A$2403,0)=ROW()-3,1,0))</f>
        <v>0</v>
      </c>
      <c r="C2186">
        <f>N(C2185)+B2186</f>
        <v>26</v>
      </c>
      <c r="K2186">
        <f>IF(OR($K$1="",对接源_02物料!$C986="",对接源_02物料!$C986&lt;&gt;$K$1,对接源_02物料!$B986=""),0,IF(OR(N(对接源_02物料!$B986)&lt;$K$2,N(对接源_02物料!$B986)&gt;$K$3),0,1))</f>
        <v>0</v>
      </c>
      <c r="L2186">
        <f>IF(OR($L$1="",对接源_02物料!$C986="",对接源_02物料!$C986&lt;&gt;$L$1,对接源_02物料!$B986=""),0,IF(OR(N(对接源_02物料!$B986)&lt;$L$2,N(对接源_02物料!$B986)&gt;$L$3),0,1))</f>
        <v>0</v>
      </c>
      <c r="M2186">
        <f>IF(OR($M$1="",对接源_02物料!$C986="",对接源_02物料!$C986&lt;&gt;$M$1,对接源_02物料!$B986=""),0,IF(OR(N(对接源_02物料!$B986)&lt;$M$2,N(对接源_02物料!$B986)&gt;$M$3),0,1))</f>
        <v>0</v>
      </c>
      <c r="N2186">
        <f>IF(OR($N$1="",对接源_02物料!$C986="",对接源_02物料!$C986&lt;&gt;$N$1,对接源_02物料!$B986=""),0,IF(OR(N(对接源_02物料!$B986)&lt;$N$2,N(对接源_02物料!$B986)&gt;$N$3),0,1))</f>
        <v>0</v>
      </c>
      <c r="P2186">
        <f>IF(AND($K2186=1,AND(对接源_02物料!$X986="公司筐",N(对接源_02物料!$T986)&lt;&gt;0)),1,0)</f>
        <v>0</v>
      </c>
      <c r="Q2186">
        <f>N(Q2185)+$P2186</f>
        <v>14</v>
      </c>
      <c r="R2186">
        <f>IF(AND($K2186=1,AND(对接源_02物料!$X986="公司筐",N(对接源_02物料!$U986)&lt;&gt;0)),1,0)</f>
        <v>0</v>
      </c>
      <c r="S2186">
        <f>N(S2185)+$R2186</f>
        <v>1</v>
      </c>
      <c r="T2186">
        <f>IF(AND($K2186=1,AND(对接源_02物料!$X986="公司筐",N(对接源_02物料!$V986)&lt;&gt;0)),1,0)</f>
        <v>0</v>
      </c>
      <c r="U2186">
        <f>N(U2185)+$T2186</f>
        <v>47</v>
      </c>
      <c r="V2186">
        <f>IF(AND($L2186=1,AND(对接源_02物料!$X986="自备筐",N(对接源_02物料!$V986)&lt;&gt;0)),1,0)</f>
        <v>0</v>
      </c>
      <c r="W2186">
        <f>N(W2185)+$V2186</f>
        <v>11</v>
      </c>
      <c r="X2186">
        <f>IF(AND($L2186=1,AND(对接源_02物料!$X986="自备筐",N(对接源_02物料!$T986)&lt;&gt;0)),1,0)</f>
        <v>0</v>
      </c>
      <c r="Y2186">
        <f>N(Y2185)+$X2186</f>
        <v>0</v>
      </c>
      <c r="Z2186">
        <f>IF(AND($M2186=1,对接源_02物料!$D986="原料入库"),1,0)</f>
        <v>0</v>
      </c>
      <c r="AA2186">
        <f>N(AA2185)+$Z2186</f>
        <v>24</v>
      </c>
      <c r="AB2186">
        <f>IF(AND($M2186=1,LEFT(对接源_02物料!$D986,4)="原料出库"),1,0)</f>
        <v>0</v>
      </c>
      <c r="AC2186">
        <f>N(AC2185)+$AB2186</f>
        <v>0</v>
      </c>
      <c r="AD2186">
        <f>IF(AND($M2186=1,LEFT(对接源_02物料!$D986,4)="成品出库"),1,0)</f>
        <v>0</v>
      </c>
      <c r="AE2186">
        <f>N(AE2185)+$AD2186</f>
        <v>0</v>
      </c>
      <c r="AF2186">
        <f>IF(AND($N2186=1,AND(LEFT(对接源_02物料!$D986,4)="包装物料",N(对接源_02物料!$K986)&lt;&gt;0)),1,0)</f>
        <v>0</v>
      </c>
      <c r="AG2186">
        <f>N(AG2185)+$AF2186</f>
        <v>10</v>
      </c>
      <c r="AH2186">
        <f>IF(AND($N2186=1,AND(对接源_02物料!$D986="周转筐－销售出库",N(对接源_02物料!$K986)&lt;&gt;0)),1,0)</f>
        <v>0</v>
      </c>
      <c r="AI2186">
        <f>N(AI2185)+$AH2186</f>
        <v>0</v>
      </c>
      <c r="AL2186" t="n">
        <v>0</v>
      </c>
      <c r="AM2186">
        <f>N(AM2185)+$AL2186</f>
        <v>2</v>
      </c>
      <c r="AN2186">
        <f>""</f>
      </c>
      <c r="AO2186" t="n">
        <v>0</v>
      </c>
      <c r="AP2186">
        <f>N(AP2185)+$AO2186</f>
        <v>13</v>
      </c>
      <c r="AR2186">
        <f>IF(OR($AF2186=1,$AH2186=1),1,0)</f>
        <v>0</v>
      </c>
      <c r="AS2186">
        <f>N(AS2185)+$AR2186</f>
        <v>10</v>
      </c>
    </row>
    <row r="2187" s="127">
      <c r="A2187">
        <f>IF(对接源_02物料!$C987="","",对接源_02物料!$C987)</f>
      </c>
      <c r="B2187">
        <f>IF(A2187="",0,IF(MATCH(A2187,$A$4:$A$2403,0)=ROW()-3,1,0))</f>
        <v>0</v>
      </c>
      <c r="C2187">
        <f>N(C2186)+B2187</f>
        <v>26</v>
      </c>
      <c r="K2187">
        <f>IF(OR($K$1="",对接源_02物料!$C987="",对接源_02物料!$C987&lt;&gt;$K$1,对接源_02物料!$B987=""),0,IF(OR(N(对接源_02物料!$B987)&lt;$K$2,N(对接源_02物料!$B987)&gt;$K$3),0,1))</f>
        <v>0</v>
      </c>
      <c r="L2187">
        <f>IF(OR($L$1="",对接源_02物料!$C987="",对接源_02物料!$C987&lt;&gt;$L$1,对接源_02物料!$B987=""),0,IF(OR(N(对接源_02物料!$B987)&lt;$L$2,N(对接源_02物料!$B987)&gt;$L$3),0,1))</f>
        <v>0</v>
      </c>
      <c r="M2187">
        <f>IF(OR($M$1="",对接源_02物料!$C987="",对接源_02物料!$C987&lt;&gt;$M$1,对接源_02物料!$B987=""),0,IF(OR(N(对接源_02物料!$B987)&lt;$M$2,N(对接源_02物料!$B987)&gt;$M$3),0,1))</f>
        <v>0</v>
      </c>
      <c r="N2187">
        <f>IF(OR($N$1="",对接源_02物料!$C987="",对接源_02物料!$C987&lt;&gt;$N$1,对接源_02物料!$B987=""),0,IF(OR(N(对接源_02物料!$B987)&lt;$N$2,N(对接源_02物料!$B987)&gt;$N$3),0,1))</f>
        <v>0</v>
      </c>
      <c r="P2187">
        <f>IF(AND($K2187=1,AND(对接源_02物料!$X987="公司筐",N(对接源_02物料!$T987)&lt;&gt;0)),1,0)</f>
        <v>0</v>
      </c>
      <c r="Q2187">
        <f>N(Q2186)+$P2187</f>
        <v>14</v>
      </c>
      <c r="R2187">
        <f>IF(AND($K2187=1,AND(对接源_02物料!$X987="公司筐",N(对接源_02物料!$U987)&lt;&gt;0)),1,0)</f>
        <v>0</v>
      </c>
      <c r="S2187">
        <f>N(S2186)+$R2187</f>
        <v>1</v>
      </c>
      <c r="T2187">
        <f>IF(AND($K2187=1,AND(对接源_02物料!$X987="公司筐",N(对接源_02物料!$V987)&lt;&gt;0)),1,0)</f>
        <v>0</v>
      </c>
      <c r="U2187">
        <f>N(U2186)+$T2187</f>
        <v>47</v>
      </c>
      <c r="V2187">
        <f>IF(AND($L2187=1,AND(对接源_02物料!$X987="自备筐",N(对接源_02物料!$V987)&lt;&gt;0)),1,0)</f>
        <v>0</v>
      </c>
      <c r="W2187">
        <f>N(W2186)+$V2187</f>
        <v>11</v>
      </c>
      <c r="X2187">
        <f>IF(AND($L2187=1,AND(对接源_02物料!$X987="自备筐",N(对接源_02物料!$T987)&lt;&gt;0)),1,0)</f>
        <v>0</v>
      </c>
      <c r="Y2187">
        <f>N(Y2186)+$X2187</f>
        <v>0</v>
      </c>
      <c r="Z2187">
        <f>IF(AND($M2187=1,对接源_02物料!$D987="原料入库"),1,0)</f>
        <v>0</v>
      </c>
      <c r="AA2187">
        <f>N(AA2186)+$Z2187</f>
        <v>24</v>
      </c>
      <c r="AB2187">
        <f>IF(AND($M2187=1,LEFT(对接源_02物料!$D987,4)="原料出库"),1,0)</f>
        <v>0</v>
      </c>
      <c r="AC2187">
        <f>N(AC2186)+$AB2187</f>
        <v>0</v>
      </c>
      <c r="AD2187">
        <f>IF(AND($M2187=1,LEFT(对接源_02物料!$D987,4)="成品出库"),1,0)</f>
        <v>0</v>
      </c>
      <c r="AE2187">
        <f>N(AE2186)+$AD2187</f>
        <v>0</v>
      </c>
      <c r="AF2187">
        <f>IF(AND($N2187=1,AND(LEFT(对接源_02物料!$D987,4)="包装物料",N(对接源_02物料!$K987)&lt;&gt;0)),1,0)</f>
        <v>0</v>
      </c>
      <c r="AG2187">
        <f>N(AG2186)+$AF2187</f>
        <v>10</v>
      </c>
      <c r="AH2187">
        <f>IF(AND($N2187=1,AND(对接源_02物料!$D987="周转筐－销售出库",N(对接源_02物料!$K987)&lt;&gt;0)),1,0)</f>
        <v>0</v>
      </c>
      <c r="AI2187">
        <f>N(AI2186)+$AH2187</f>
        <v>0</v>
      </c>
      <c r="AL2187" t="n">
        <v>0</v>
      </c>
      <c r="AM2187">
        <f>N(AM2186)+$AL2187</f>
        <v>2</v>
      </c>
      <c r="AN2187">
        <f>""</f>
      </c>
      <c r="AO2187" t="n">
        <v>0</v>
      </c>
      <c r="AP2187">
        <f>N(AP2186)+$AO2187</f>
        <v>13</v>
      </c>
      <c r="AR2187">
        <f>IF(OR($AF2187=1,$AH2187=1),1,0)</f>
        <v>0</v>
      </c>
      <c r="AS2187">
        <f>N(AS2186)+$AR2187</f>
        <v>10</v>
      </c>
    </row>
    <row r="2188" s="127">
      <c r="A2188">
        <f>IF(对接源_02物料!$C988="","",对接源_02物料!$C988)</f>
      </c>
      <c r="B2188">
        <f>IF(A2188="",0,IF(MATCH(A2188,$A$4:$A$2403,0)=ROW()-3,1,0))</f>
        <v>0</v>
      </c>
      <c r="C2188">
        <f>N(C2187)+B2188</f>
        <v>26</v>
      </c>
      <c r="K2188">
        <f>IF(OR($K$1="",对接源_02物料!$C988="",对接源_02物料!$C988&lt;&gt;$K$1,对接源_02物料!$B988=""),0,IF(OR(N(对接源_02物料!$B988)&lt;$K$2,N(对接源_02物料!$B988)&gt;$K$3),0,1))</f>
        <v>0</v>
      </c>
      <c r="L2188">
        <f>IF(OR($L$1="",对接源_02物料!$C988="",对接源_02物料!$C988&lt;&gt;$L$1,对接源_02物料!$B988=""),0,IF(OR(N(对接源_02物料!$B988)&lt;$L$2,N(对接源_02物料!$B988)&gt;$L$3),0,1))</f>
        <v>0</v>
      </c>
      <c r="M2188">
        <f>IF(OR($M$1="",对接源_02物料!$C988="",对接源_02物料!$C988&lt;&gt;$M$1,对接源_02物料!$B988=""),0,IF(OR(N(对接源_02物料!$B988)&lt;$M$2,N(对接源_02物料!$B988)&gt;$M$3),0,1))</f>
        <v>0</v>
      </c>
      <c r="N2188">
        <f>IF(OR($N$1="",对接源_02物料!$C988="",对接源_02物料!$C988&lt;&gt;$N$1,对接源_02物料!$B988=""),0,IF(OR(N(对接源_02物料!$B988)&lt;$N$2,N(对接源_02物料!$B988)&gt;$N$3),0,1))</f>
        <v>0</v>
      </c>
      <c r="P2188">
        <f>IF(AND($K2188=1,AND(对接源_02物料!$X988="公司筐",N(对接源_02物料!$T988)&lt;&gt;0)),1,0)</f>
        <v>0</v>
      </c>
      <c r="Q2188">
        <f>N(Q2187)+$P2188</f>
        <v>14</v>
      </c>
      <c r="R2188">
        <f>IF(AND($K2188=1,AND(对接源_02物料!$X988="公司筐",N(对接源_02物料!$U988)&lt;&gt;0)),1,0)</f>
        <v>0</v>
      </c>
      <c r="S2188">
        <f>N(S2187)+$R2188</f>
        <v>1</v>
      </c>
      <c r="T2188">
        <f>IF(AND($K2188=1,AND(对接源_02物料!$X988="公司筐",N(对接源_02物料!$V988)&lt;&gt;0)),1,0)</f>
        <v>0</v>
      </c>
      <c r="U2188">
        <f>N(U2187)+$T2188</f>
        <v>47</v>
      </c>
      <c r="V2188">
        <f>IF(AND($L2188=1,AND(对接源_02物料!$X988="自备筐",N(对接源_02物料!$V988)&lt;&gt;0)),1,0)</f>
        <v>0</v>
      </c>
      <c r="W2188">
        <f>N(W2187)+$V2188</f>
        <v>11</v>
      </c>
      <c r="X2188">
        <f>IF(AND($L2188=1,AND(对接源_02物料!$X988="自备筐",N(对接源_02物料!$T988)&lt;&gt;0)),1,0)</f>
        <v>0</v>
      </c>
      <c r="Y2188">
        <f>N(Y2187)+$X2188</f>
        <v>0</v>
      </c>
      <c r="Z2188">
        <f>IF(AND($M2188=1,对接源_02物料!$D988="原料入库"),1,0)</f>
        <v>0</v>
      </c>
      <c r="AA2188">
        <f>N(AA2187)+$Z2188</f>
        <v>24</v>
      </c>
      <c r="AB2188">
        <f>IF(AND($M2188=1,LEFT(对接源_02物料!$D988,4)="原料出库"),1,0)</f>
        <v>0</v>
      </c>
      <c r="AC2188">
        <f>N(AC2187)+$AB2188</f>
        <v>0</v>
      </c>
      <c r="AD2188">
        <f>IF(AND($M2188=1,LEFT(对接源_02物料!$D988,4)="成品出库"),1,0)</f>
        <v>0</v>
      </c>
      <c r="AE2188">
        <f>N(AE2187)+$AD2188</f>
        <v>0</v>
      </c>
      <c r="AF2188">
        <f>IF(AND($N2188=1,AND(LEFT(对接源_02物料!$D988,4)="包装物料",N(对接源_02物料!$K988)&lt;&gt;0)),1,0)</f>
        <v>0</v>
      </c>
      <c r="AG2188">
        <f>N(AG2187)+$AF2188</f>
        <v>10</v>
      </c>
      <c r="AH2188">
        <f>IF(AND($N2188=1,AND(对接源_02物料!$D988="周转筐－销售出库",N(对接源_02物料!$K988)&lt;&gt;0)),1,0)</f>
        <v>0</v>
      </c>
      <c r="AI2188">
        <f>N(AI2187)+$AH2188</f>
        <v>0</v>
      </c>
      <c r="AL2188" t="n">
        <v>0</v>
      </c>
      <c r="AM2188">
        <f>N(AM2187)+$AL2188</f>
        <v>2</v>
      </c>
      <c r="AN2188">
        <f>""</f>
      </c>
      <c r="AO2188" t="n">
        <v>0</v>
      </c>
      <c r="AP2188">
        <f>N(AP2187)+$AO2188</f>
        <v>13</v>
      </c>
      <c r="AR2188">
        <f>IF(OR($AF2188=1,$AH2188=1),1,0)</f>
        <v>0</v>
      </c>
      <c r="AS2188">
        <f>N(AS2187)+$AR2188</f>
        <v>10</v>
      </c>
    </row>
    <row r="2189" s="127">
      <c r="A2189">
        <f>IF(对接源_02物料!$C989="","",对接源_02物料!$C989)</f>
      </c>
      <c r="B2189">
        <f>IF(A2189="",0,IF(MATCH(A2189,$A$4:$A$2403,0)=ROW()-3,1,0))</f>
        <v>0</v>
      </c>
      <c r="C2189">
        <f>N(C2188)+B2189</f>
        <v>26</v>
      </c>
      <c r="K2189">
        <f>IF(OR($K$1="",对接源_02物料!$C989="",对接源_02物料!$C989&lt;&gt;$K$1,对接源_02物料!$B989=""),0,IF(OR(N(对接源_02物料!$B989)&lt;$K$2,N(对接源_02物料!$B989)&gt;$K$3),0,1))</f>
        <v>0</v>
      </c>
      <c r="L2189">
        <f>IF(OR($L$1="",对接源_02物料!$C989="",对接源_02物料!$C989&lt;&gt;$L$1,对接源_02物料!$B989=""),0,IF(OR(N(对接源_02物料!$B989)&lt;$L$2,N(对接源_02物料!$B989)&gt;$L$3),0,1))</f>
        <v>0</v>
      </c>
      <c r="M2189">
        <f>IF(OR($M$1="",对接源_02物料!$C989="",对接源_02物料!$C989&lt;&gt;$M$1,对接源_02物料!$B989=""),0,IF(OR(N(对接源_02物料!$B989)&lt;$M$2,N(对接源_02物料!$B989)&gt;$M$3),0,1))</f>
        <v>0</v>
      </c>
      <c r="N2189">
        <f>IF(OR($N$1="",对接源_02物料!$C989="",对接源_02物料!$C989&lt;&gt;$N$1,对接源_02物料!$B989=""),0,IF(OR(N(对接源_02物料!$B989)&lt;$N$2,N(对接源_02物料!$B989)&gt;$N$3),0,1))</f>
        <v>0</v>
      </c>
      <c r="P2189">
        <f>IF(AND($K2189=1,AND(对接源_02物料!$X989="公司筐",N(对接源_02物料!$T989)&lt;&gt;0)),1,0)</f>
        <v>0</v>
      </c>
      <c r="Q2189">
        <f>N(Q2188)+$P2189</f>
        <v>14</v>
      </c>
      <c r="R2189">
        <f>IF(AND($K2189=1,AND(对接源_02物料!$X989="公司筐",N(对接源_02物料!$U989)&lt;&gt;0)),1,0)</f>
        <v>0</v>
      </c>
      <c r="S2189">
        <f>N(S2188)+$R2189</f>
        <v>1</v>
      </c>
      <c r="T2189">
        <f>IF(AND($K2189=1,AND(对接源_02物料!$X989="公司筐",N(对接源_02物料!$V989)&lt;&gt;0)),1,0)</f>
        <v>0</v>
      </c>
      <c r="U2189">
        <f>N(U2188)+$T2189</f>
        <v>47</v>
      </c>
      <c r="V2189">
        <f>IF(AND($L2189=1,AND(对接源_02物料!$X989="自备筐",N(对接源_02物料!$V989)&lt;&gt;0)),1,0)</f>
        <v>0</v>
      </c>
      <c r="W2189">
        <f>N(W2188)+$V2189</f>
        <v>11</v>
      </c>
      <c r="X2189">
        <f>IF(AND($L2189=1,AND(对接源_02物料!$X989="自备筐",N(对接源_02物料!$T989)&lt;&gt;0)),1,0)</f>
        <v>0</v>
      </c>
      <c r="Y2189">
        <f>N(Y2188)+$X2189</f>
        <v>0</v>
      </c>
      <c r="Z2189">
        <f>IF(AND($M2189=1,对接源_02物料!$D989="原料入库"),1,0)</f>
        <v>0</v>
      </c>
      <c r="AA2189">
        <f>N(AA2188)+$Z2189</f>
        <v>24</v>
      </c>
      <c r="AB2189">
        <f>IF(AND($M2189=1,LEFT(对接源_02物料!$D989,4)="原料出库"),1,0)</f>
        <v>0</v>
      </c>
      <c r="AC2189">
        <f>N(AC2188)+$AB2189</f>
        <v>0</v>
      </c>
      <c r="AD2189">
        <f>IF(AND($M2189=1,LEFT(对接源_02物料!$D989,4)="成品出库"),1,0)</f>
        <v>0</v>
      </c>
      <c r="AE2189">
        <f>N(AE2188)+$AD2189</f>
        <v>0</v>
      </c>
      <c r="AF2189">
        <f>IF(AND($N2189=1,AND(LEFT(对接源_02物料!$D989,4)="包装物料",N(对接源_02物料!$K989)&lt;&gt;0)),1,0)</f>
        <v>0</v>
      </c>
      <c r="AG2189">
        <f>N(AG2188)+$AF2189</f>
        <v>10</v>
      </c>
      <c r="AH2189">
        <f>IF(AND($N2189=1,AND(对接源_02物料!$D989="周转筐－销售出库",N(对接源_02物料!$K989)&lt;&gt;0)),1,0)</f>
        <v>0</v>
      </c>
      <c r="AI2189">
        <f>N(AI2188)+$AH2189</f>
        <v>0</v>
      </c>
      <c r="AL2189" t="n">
        <v>0</v>
      </c>
      <c r="AM2189">
        <f>N(AM2188)+$AL2189</f>
        <v>2</v>
      </c>
      <c r="AN2189">
        <f>""</f>
      </c>
      <c r="AO2189" t="n">
        <v>0</v>
      </c>
      <c r="AP2189">
        <f>N(AP2188)+$AO2189</f>
        <v>13</v>
      </c>
      <c r="AR2189">
        <f>IF(OR($AF2189=1,$AH2189=1),1,0)</f>
        <v>0</v>
      </c>
      <c r="AS2189">
        <f>N(AS2188)+$AR2189</f>
        <v>10</v>
      </c>
    </row>
    <row r="2190" s="127">
      <c r="A2190">
        <f>IF(对接源_02物料!$C990="","",对接源_02物料!$C990)</f>
      </c>
      <c r="B2190">
        <f>IF(A2190="",0,IF(MATCH(A2190,$A$4:$A$2403,0)=ROW()-3,1,0))</f>
        <v>0</v>
      </c>
      <c r="C2190">
        <f>N(C2189)+B2190</f>
        <v>26</v>
      </c>
      <c r="K2190">
        <f>IF(OR($K$1="",对接源_02物料!$C990="",对接源_02物料!$C990&lt;&gt;$K$1,对接源_02物料!$B990=""),0,IF(OR(N(对接源_02物料!$B990)&lt;$K$2,N(对接源_02物料!$B990)&gt;$K$3),0,1))</f>
        <v>0</v>
      </c>
      <c r="L2190">
        <f>IF(OR($L$1="",对接源_02物料!$C990="",对接源_02物料!$C990&lt;&gt;$L$1,对接源_02物料!$B990=""),0,IF(OR(N(对接源_02物料!$B990)&lt;$L$2,N(对接源_02物料!$B990)&gt;$L$3),0,1))</f>
        <v>0</v>
      </c>
      <c r="M2190">
        <f>IF(OR($M$1="",对接源_02物料!$C990="",对接源_02物料!$C990&lt;&gt;$M$1,对接源_02物料!$B990=""),0,IF(OR(N(对接源_02物料!$B990)&lt;$M$2,N(对接源_02物料!$B990)&gt;$M$3),0,1))</f>
        <v>0</v>
      </c>
      <c r="N2190">
        <f>IF(OR($N$1="",对接源_02物料!$C990="",对接源_02物料!$C990&lt;&gt;$N$1,对接源_02物料!$B990=""),0,IF(OR(N(对接源_02物料!$B990)&lt;$N$2,N(对接源_02物料!$B990)&gt;$N$3),0,1))</f>
        <v>0</v>
      </c>
      <c r="P2190">
        <f>IF(AND($K2190=1,AND(对接源_02物料!$X990="公司筐",N(对接源_02物料!$T990)&lt;&gt;0)),1,0)</f>
        <v>0</v>
      </c>
      <c r="Q2190">
        <f>N(Q2189)+$P2190</f>
        <v>14</v>
      </c>
      <c r="R2190">
        <f>IF(AND($K2190=1,AND(对接源_02物料!$X990="公司筐",N(对接源_02物料!$U990)&lt;&gt;0)),1,0)</f>
        <v>0</v>
      </c>
      <c r="S2190">
        <f>N(S2189)+$R2190</f>
        <v>1</v>
      </c>
      <c r="T2190">
        <f>IF(AND($K2190=1,AND(对接源_02物料!$X990="公司筐",N(对接源_02物料!$V990)&lt;&gt;0)),1,0)</f>
        <v>0</v>
      </c>
      <c r="U2190">
        <f>N(U2189)+$T2190</f>
        <v>47</v>
      </c>
      <c r="V2190">
        <f>IF(AND($L2190=1,AND(对接源_02物料!$X990="自备筐",N(对接源_02物料!$V990)&lt;&gt;0)),1,0)</f>
        <v>0</v>
      </c>
      <c r="W2190">
        <f>N(W2189)+$V2190</f>
        <v>11</v>
      </c>
      <c r="X2190">
        <f>IF(AND($L2190=1,AND(对接源_02物料!$X990="自备筐",N(对接源_02物料!$T990)&lt;&gt;0)),1,0)</f>
        <v>0</v>
      </c>
      <c r="Y2190">
        <f>N(Y2189)+$X2190</f>
        <v>0</v>
      </c>
      <c r="Z2190">
        <f>IF(AND($M2190=1,对接源_02物料!$D990="原料入库"),1,0)</f>
        <v>0</v>
      </c>
      <c r="AA2190">
        <f>N(AA2189)+$Z2190</f>
        <v>24</v>
      </c>
      <c r="AB2190">
        <f>IF(AND($M2190=1,LEFT(对接源_02物料!$D990,4)="原料出库"),1,0)</f>
        <v>0</v>
      </c>
      <c r="AC2190">
        <f>N(AC2189)+$AB2190</f>
        <v>0</v>
      </c>
      <c r="AD2190">
        <f>IF(AND($M2190=1,LEFT(对接源_02物料!$D990,4)="成品出库"),1,0)</f>
        <v>0</v>
      </c>
      <c r="AE2190">
        <f>N(AE2189)+$AD2190</f>
        <v>0</v>
      </c>
      <c r="AF2190">
        <f>IF(AND($N2190=1,AND(LEFT(对接源_02物料!$D990,4)="包装物料",N(对接源_02物料!$K990)&lt;&gt;0)),1,0)</f>
        <v>0</v>
      </c>
      <c r="AG2190">
        <f>N(AG2189)+$AF2190</f>
        <v>10</v>
      </c>
      <c r="AH2190">
        <f>IF(AND($N2190=1,AND(对接源_02物料!$D990="周转筐－销售出库",N(对接源_02物料!$K990)&lt;&gt;0)),1,0)</f>
        <v>0</v>
      </c>
      <c r="AI2190">
        <f>N(AI2189)+$AH2190</f>
        <v>0</v>
      </c>
      <c r="AL2190" t="n">
        <v>0</v>
      </c>
      <c r="AM2190">
        <f>N(AM2189)+$AL2190</f>
        <v>2</v>
      </c>
      <c r="AN2190">
        <f>""</f>
      </c>
      <c r="AO2190" t="n">
        <v>0</v>
      </c>
      <c r="AP2190">
        <f>N(AP2189)+$AO2190</f>
        <v>13</v>
      </c>
      <c r="AR2190">
        <f>IF(OR($AF2190=1,$AH2190=1),1,0)</f>
        <v>0</v>
      </c>
      <c r="AS2190">
        <f>N(AS2189)+$AR2190</f>
        <v>10</v>
      </c>
    </row>
    <row r="2191" s="127">
      <c r="A2191">
        <f>IF(对接源_02物料!$C991="","",对接源_02物料!$C991)</f>
      </c>
      <c r="B2191">
        <f>IF(A2191="",0,IF(MATCH(A2191,$A$4:$A$2403,0)=ROW()-3,1,0))</f>
        <v>0</v>
      </c>
      <c r="C2191">
        <f>N(C2190)+B2191</f>
        <v>26</v>
      </c>
      <c r="K2191">
        <f>IF(OR($K$1="",对接源_02物料!$C991="",对接源_02物料!$C991&lt;&gt;$K$1,对接源_02物料!$B991=""),0,IF(OR(N(对接源_02物料!$B991)&lt;$K$2,N(对接源_02物料!$B991)&gt;$K$3),0,1))</f>
        <v>0</v>
      </c>
      <c r="L2191">
        <f>IF(OR($L$1="",对接源_02物料!$C991="",对接源_02物料!$C991&lt;&gt;$L$1,对接源_02物料!$B991=""),0,IF(OR(N(对接源_02物料!$B991)&lt;$L$2,N(对接源_02物料!$B991)&gt;$L$3),0,1))</f>
        <v>0</v>
      </c>
      <c r="M2191">
        <f>IF(OR($M$1="",对接源_02物料!$C991="",对接源_02物料!$C991&lt;&gt;$M$1,对接源_02物料!$B991=""),0,IF(OR(N(对接源_02物料!$B991)&lt;$M$2,N(对接源_02物料!$B991)&gt;$M$3),0,1))</f>
        <v>0</v>
      </c>
      <c r="N2191">
        <f>IF(OR($N$1="",对接源_02物料!$C991="",对接源_02物料!$C991&lt;&gt;$N$1,对接源_02物料!$B991=""),0,IF(OR(N(对接源_02物料!$B991)&lt;$N$2,N(对接源_02物料!$B991)&gt;$N$3),0,1))</f>
        <v>0</v>
      </c>
      <c r="P2191">
        <f>IF(AND($K2191=1,AND(对接源_02物料!$X991="公司筐",N(对接源_02物料!$T991)&lt;&gt;0)),1,0)</f>
        <v>0</v>
      </c>
      <c r="Q2191">
        <f>N(Q2190)+$P2191</f>
        <v>14</v>
      </c>
      <c r="R2191">
        <f>IF(AND($K2191=1,AND(对接源_02物料!$X991="公司筐",N(对接源_02物料!$U991)&lt;&gt;0)),1,0)</f>
        <v>0</v>
      </c>
      <c r="S2191">
        <f>N(S2190)+$R2191</f>
        <v>1</v>
      </c>
      <c r="T2191">
        <f>IF(AND($K2191=1,AND(对接源_02物料!$X991="公司筐",N(对接源_02物料!$V991)&lt;&gt;0)),1,0)</f>
        <v>0</v>
      </c>
      <c r="U2191">
        <f>N(U2190)+$T2191</f>
        <v>47</v>
      </c>
      <c r="V2191">
        <f>IF(AND($L2191=1,AND(对接源_02物料!$X991="自备筐",N(对接源_02物料!$V991)&lt;&gt;0)),1,0)</f>
        <v>0</v>
      </c>
      <c r="W2191">
        <f>N(W2190)+$V2191</f>
        <v>11</v>
      </c>
      <c r="X2191">
        <f>IF(AND($L2191=1,AND(对接源_02物料!$X991="自备筐",N(对接源_02物料!$T991)&lt;&gt;0)),1,0)</f>
        <v>0</v>
      </c>
      <c r="Y2191">
        <f>N(Y2190)+$X2191</f>
        <v>0</v>
      </c>
      <c r="Z2191">
        <f>IF(AND($M2191=1,对接源_02物料!$D991="原料入库"),1,0)</f>
        <v>0</v>
      </c>
      <c r="AA2191">
        <f>N(AA2190)+$Z2191</f>
        <v>24</v>
      </c>
      <c r="AB2191">
        <f>IF(AND($M2191=1,LEFT(对接源_02物料!$D991,4)="原料出库"),1,0)</f>
        <v>0</v>
      </c>
      <c r="AC2191">
        <f>N(AC2190)+$AB2191</f>
        <v>0</v>
      </c>
      <c r="AD2191">
        <f>IF(AND($M2191=1,LEFT(对接源_02物料!$D991,4)="成品出库"),1,0)</f>
        <v>0</v>
      </c>
      <c r="AE2191">
        <f>N(AE2190)+$AD2191</f>
        <v>0</v>
      </c>
      <c r="AF2191">
        <f>IF(AND($N2191=1,AND(LEFT(对接源_02物料!$D991,4)="包装物料",N(对接源_02物料!$K991)&lt;&gt;0)),1,0)</f>
        <v>0</v>
      </c>
      <c r="AG2191">
        <f>N(AG2190)+$AF2191</f>
        <v>10</v>
      </c>
      <c r="AH2191">
        <f>IF(AND($N2191=1,AND(对接源_02物料!$D991="周转筐－销售出库",N(对接源_02物料!$K991)&lt;&gt;0)),1,0)</f>
        <v>0</v>
      </c>
      <c r="AI2191">
        <f>N(AI2190)+$AH2191</f>
        <v>0</v>
      </c>
      <c r="AL2191" t="n">
        <v>0</v>
      </c>
      <c r="AM2191">
        <f>N(AM2190)+$AL2191</f>
        <v>2</v>
      </c>
      <c r="AN2191">
        <f>""</f>
      </c>
      <c r="AO2191" t="n">
        <v>0</v>
      </c>
      <c r="AP2191">
        <f>N(AP2190)+$AO2191</f>
        <v>13</v>
      </c>
      <c r="AR2191">
        <f>IF(OR($AF2191=1,$AH2191=1),1,0)</f>
        <v>0</v>
      </c>
      <c r="AS2191">
        <f>N(AS2190)+$AR2191</f>
        <v>10</v>
      </c>
    </row>
    <row r="2192" s="127">
      <c r="A2192">
        <f>IF(对接源_02物料!$C992="","",对接源_02物料!$C992)</f>
      </c>
      <c r="B2192">
        <f>IF(A2192="",0,IF(MATCH(A2192,$A$4:$A$2403,0)=ROW()-3,1,0))</f>
        <v>0</v>
      </c>
      <c r="C2192">
        <f>N(C2191)+B2192</f>
        <v>26</v>
      </c>
      <c r="K2192">
        <f>IF(OR($K$1="",对接源_02物料!$C992="",对接源_02物料!$C992&lt;&gt;$K$1,对接源_02物料!$B992=""),0,IF(OR(N(对接源_02物料!$B992)&lt;$K$2,N(对接源_02物料!$B992)&gt;$K$3),0,1))</f>
        <v>0</v>
      </c>
      <c r="L2192">
        <f>IF(OR($L$1="",对接源_02物料!$C992="",对接源_02物料!$C992&lt;&gt;$L$1,对接源_02物料!$B992=""),0,IF(OR(N(对接源_02物料!$B992)&lt;$L$2,N(对接源_02物料!$B992)&gt;$L$3),0,1))</f>
        <v>0</v>
      </c>
      <c r="M2192">
        <f>IF(OR($M$1="",对接源_02物料!$C992="",对接源_02物料!$C992&lt;&gt;$M$1,对接源_02物料!$B992=""),0,IF(OR(N(对接源_02物料!$B992)&lt;$M$2,N(对接源_02物料!$B992)&gt;$M$3),0,1))</f>
        <v>0</v>
      </c>
      <c r="N2192">
        <f>IF(OR($N$1="",对接源_02物料!$C992="",对接源_02物料!$C992&lt;&gt;$N$1,对接源_02物料!$B992=""),0,IF(OR(N(对接源_02物料!$B992)&lt;$N$2,N(对接源_02物料!$B992)&gt;$N$3),0,1))</f>
        <v>0</v>
      </c>
      <c r="P2192">
        <f>IF(AND($K2192=1,AND(对接源_02物料!$X992="公司筐",N(对接源_02物料!$T992)&lt;&gt;0)),1,0)</f>
        <v>0</v>
      </c>
      <c r="Q2192">
        <f>N(Q2191)+$P2192</f>
        <v>14</v>
      </c>
      <c r="R2192">
        <f>IF(AND($K2192=1,AND(对接源_02物料!$X992="公司筐",N(对接源_02物料!$U992)&lt;&gt;0)),1,0)</f>
        <v>0</v>
      </c>
      <c r="S2192">
        <f>N(S2191)+$R2192</f>
        <v>1</v>
      </c>
      <c r="T2192">
        <f>IF(AND($K2192=1,AND(对接源_02物料!$X992="公司筐",N(对接源_02物料!$V992)&lt;&gt;0)),1,0)</f>
        <v>0</v>
      </c>
      <c r="U2192">
        <f>N(U2191)+$T2192</f>
        <v>47</v>
      </c>
      <c r="V2192">
        <f>IF(AND($L2192=1,AND(对接源_02物料!$X992="自备筐",N(对接源_02物料!$V992)&lt;&gt;0)),1,0)</f>
        <v>0</v>
      </c>
      <c r="W2192">
        <f>N(W2191)+$V2192</f>
        <v>11</v>
      </c>
      <c r="X2192">
        <f>IF(AND($L2192=1,AND(对接源_02物料!$X992="自备筐",N(对接源_02物料!$T992)&lt;&gt;0)),1,0)</f>
        <v>0</v>
      </c>
      <c r="Y2192">
        <f>N(Y2191)+$X2192</f>
        <v>0</v>
      </c>
      <c r="Z2192">
        <f>IF(AND($M2192=1,对接源_02物料!$D992="原料入库"),1,0)</f>
        <v>0</v>
      </c>
      <c r="AA2192">
        <f>N(AA2191)+$Z2192</f>
        <v>24</v>
      </c>
      <c r="AB2192">
        <f>IF(AND($M2192=1,LEFT(对接源_02物料!$D992,4)="原料出库"),1,0)</f>
        <v>0</v>
      </c>
      <c r="AC2192">
        <f>N(AC2191)+$AB2192</f>
        <v>0</v>
      </c>
      <c r="AD2192">
        <f>IF(AND($M2192=1,LEFT(对接源_02物料!$D992,4)="成品出库"),1,0)</f>
        <v>0</v>
      </c>
      <c r="AE2192">
        <f>N(AE2191)+$AD2192</f>
        <v>0</v>
      </c>
      <c r="AF2192">
        <f>IF(AND($N2192=1,AND(LEFT(对接源_02物料!$D992,4)="包装物料",N(对接源_02物料!$K992)&lt;&gt;0)),1,0)</f>
        <v>0</v>
      </c>
      <c r="AG2192">
        <f>N(AG2191)+$AF2192</f>
        <v>10</v>
      </c>
      <c r="AH2192">
        <f>IF(AND($N2192=1,AND(对接源_02物料!$D992="周转筐－销售出库",N(对接源_02物料!$K992)&lt;&gt;0)),1,0)</f>
        <v>0</v>
      </c>
      <c r="AI2192">
        <f>N(AI2191)+$AH2192</f>
        <v>0</v>
      </c>
      <c r="AL2192" t="n">
        <v>0</v>
      </c>
      <c r="AM2192">
        <f>N(AM2191)+$AL2192</f>
        <v>2</v>
      </c>
      <c r="AN2192">
        <f>""</f>
      </c>
      <c r="AO2192" t="n">
        <v>0</v>
      </c>
      <c r="AP2192">
        <f>N(AP2191)+$AO2192</f>
        <v>13</v>
      </c>
      <c r="AR2192">
        <f>IF(OR($AF2192=1,$AH2192=1),1,0)</f>
        <v>0</v>
      </c>
      <c r="AS2192">
        <f>N(AS2191)+$AR2192</f>
        <v>10</v>
      </c>
    </row>
    <row r="2193" s="127">
      <c r="A2193">
        <f>IF(对接源_02物料!$C993="","",对接源_02物料!$C993)</f>
      </c>
      <c r="B2193">
        <f>IF(A2193="",0,IF(MATCH(A2193,$A$4:$A$2403,0)=ROW()-3,1,0))</f>
        <v>0</v>
      </c>
      <c r="C2193">
        <f>N(C2192)+B2193</f>
        <v>26</v>
      </c>
      <c r="K2193">
        <f>IF(OR($K$1="",对接源_02物料!$C993="",对接源_02物料!$C993&lt;&gt;$K$1,对接源_02物料!$B993=""),0,IF(OR(N(对接源_02物料!$B993)&lt;$K$2,N(对接源_02物料!$B993)&gt;$K$3),0,1))</f>
        <v>0</v>
      </c>
      <c r="L2193">
        <f>IF(OR($L$1="",对接源_02物料!$C993="",对接源_02物料!$C993&lt;&gt;$L$1,对接源_02物料!$B993=""),0,IF(OR(N(对接源_02物料!$B993)&lt;$L$2,N(对接源_02物料!$B993)&gt;$L$3),0,1))</f>
        <v>0</v>
      </c>
      <c r="M2193">
        <f>IF(OR($M$1="",对接源_02物料!$C993="",对接源_02物料!$C993&lt;&gt;$M$1,对接源_02物料!$B993=""),0,IF(OR(N(对接源_02物料!$B993)&lt;$M$2,N(对接源_02物料!$B993)&gt;$M$3),0,1))</f>
        <v>0</v>
      </c>
      <c r="N2193">
        <f>IF(OR($N$1="",对接源_02物料!$C993="",对接源_02物料!$C993&lt;&gt;$N$1,对接源_02物料!$B993=""),0,IF(OR(N(对接源_02物料!$B993)&lt;$N$2,N(对接源_02物料!$B993)&gt;$N$3),0,1))</f>
        <v>0</v>
      </c>
      <c r="P2193">
        <f>IF(AND($K2193=1,AND(对接源_02物料!$X993="公司筐",N(对接源_02物料!$T993)&lt;&gt;0)),1,0)</f>
        <v>0</v>
      </c>
      <c r="Q2193">
        <f>N(Q2192)+$P2193</f>
        <v>14</v>
      </c>
      <c r="R2193">
        <f>IF(AND($K2193=1,AND(对接源_02物料!$X993="公司筐",N(对接源_02物料!$U993)&lt;&gt;0)),1,0)</f>
        <v>0</v>
      </c>
      <c r="S2193">
        <f>N(S2192)+$R2193</f>
        <v>1</v>
      </c>
      <c r="T2193">
        <f>IF(AND($K2193=1,AND(对接源_02物料!$X993="公司筐",N(对接源_02物料!$V993)&lt;&gt;0)),1,0)</f>
        <v>0</v>
      </c>
      <c r="U2193">
        <f>N(U2192)+$T2193</f>
        <v>47</v>
      </c>
      <c r="V2193">
        <f>IF(AND($L2193=1,AND(对接源_02物料!$X993="自备筐",N(对接源_02物料!$V993)&lt;&gt;0)),1,0)</f>
        <v>0</v>
      </c>
      <c r="W2193">
        <f>N(W2192)+$V2193</f>
        <v>11</v>
      </c>
      <c r="X2193">
        <f>IF(AND($L2193=1,AND(对接源_02物料!$X993="自备筐",N(对接源_02物料!$T993)&lt;&gt;0)),1,0)</f>
        <v>0</v>
      </c>
      <c r="Y2193">
        <f>N(Y2192)+$X2193</f>
        <v>0</v>
      </c>
      <c r="Z2193">
        <f>IF(AND($M2193=1,对接源_02物料!$D993="原料入库"),1,0)</f>
        <v>0</v>
      </c>
      <c r="AA2193">
        <f>N(AA2192)+$Z2193</f>
        <v>24</v>
      </c>
      <c r="AB2193">
        <f>IF(AND($M2193=1,LEFT(对接源_02物料!$D993,4)="原料出库"),1,0)</f>
        <v>0</v>
      </c>
      <c r="AC2193">
        <f>N(AC2192)+$AB2193</f>
        <v>0</v>
      </c>
      <c r="AD2193">
        <f>IF(AND($M2193=1,LEFT(对接源_02物料!$D993,4)="成品出库"),1,0)</f>
        <v>0</v>
      </c>
      <c r="AE2193">
        <f>N(AE2192)+$AD2193</f>
        <v>0</v>
      </c>
      <c r="AF2193">
        <f>IF(AND($N2193=1,AND(LEFT(对接源_02物料!$D993,4)="包装物料",N(对接源_02物料!$K993)&lt;&gt;0)),1,0)</f>
        <v>0</v>
      </c>
      <c r="AG2193">
        <f>N(AG2192)+$AF2193</f>
        <v>10</v>
      </c>
      <c r="AH2193">
        <f>IF(AND($N2193=1,AND(对接源_02物料!$D993="周转筐－销售出库",N(对接源_02物料!$K993)&lt;&gt;0)),1,0)</f>
        <v>0</v>
      </c>
      <c r="AI2193">
        <f>N(AI2192)+$AH2193</f>
        <v>0</v>
      </c>
      <c r="AL2193" t="n">
        <v>0</v>
      </c>
      <c r="AM2193">
        <f>N(AM2192)+$AL2193</f>
        <v>2</v>
      </c>
      <c r="AN2193">
        <f>""</f>
      </c>
      <c r="AO2193" t="n">
        <v>0</v>
      </c>
      <c r="AP2193">
        <f>N(AP2192)+$AO2193</f>
        <v>13</v>
      </c>
      <c r="AR2193">
        <f>IF(OR($AF2193=1,$AH2193=1),1,0)</f>
        <v>0</v>
      </c>
      <c r="AS2193">
        <f>N(AS2192)+$AR2193</f>
        <v>10</v>
      </c>
    </row>
    <row r="2194" s="127">
      <c r="A2194">
        <f>IF(对接源_02物料!$C994="","",对接源_02物料!$C994)</f>
      </c>
      <c r="B2194">
        <f>IF(A2194="",0,IF(MATCH(A2194,$A$4:$A$2403,0)=ROW()-3,1,0))</f>
        <v>0</v>
      </c>
      <c r="C2194">
        <f>N(C2193)+B2194</f>
        <v>26</v>
      </c>
      <c r="K2194">
        <f>IF(OR($K$1="",对接源_02物料!$C994="",对接源_02物料!$C994&lt;&gt;$K$1,对接源_02物料!$B994=""),0,IF(OR(N(对接源_02物料!$B994)&lt;$K$2,N(对接源_02物料!$B994)&gt;$K$3),0,1))</f>
        <v>0</v>
      </c>
      <c r="L2194">
        <f>IF(OR($L$1="",对接源_02物料!$C994="",对接源_02物料!$C994&lt;&gt;$L$1,对接源_02物料!$B994=""),0,IF(OR(N(对接源_02物料!$B994)&lt;$L$2,N(对接源_02物料!$B994)&gt;$L$3),0,1))</f>
        <v>0</v>
      </c>
      <c r="M2194">
        <f>IF(OR($M$1="",对接源_02物料!$C994="",对接源_02物料!$C994&lt;&gt;$M$1,对接源_02物料!$B994=""),0,IF(OR(N(对接源_02物料!$B994)&lt;$M$2,N(对接源_02物料!$B994)&gt;$M$3),0,1))</f>
        <v>0</v>
      </c>
      <c r="N2194">
        <f>IF(OR($N$1="",对接源_02物料!$C994="",对接源_02物料!$C994&lt;&gt;$N$1,对接源_02物料!$B994=""),0,IF(OR(N(对接源_02物料!$B994)&lt;$N$2,N(对接源_02物料!$B994)&gt;$N$3),0,1))</f>
        <v>0</v>
      </c>
      <c r="P2194">
        <f>IF(AND($K2194=1,AND(对接源_02物料!$X994="公司筐",N(对接源_02物料!$T994)&lt;&gt;0)),1,0)</f>
        <v>0</v>
      </c>
      <c r="Q2194">
        <f>N(Q2193)+$P2194</f>
        <v>14</v>
      </c>
      <c r="R2194">
        <f>IF(AND($K2194=1,AND(对接源_02物料!$X994="公司筐",N(对接源_02物料!$U994)&lt;&gt;0)),1,0)</f>
        <v>0</v>
      </c>
      <c r="S2194">
        <f>N(S2193)+$R2194</f>
        <v>1</v>
      </c>
      <c r="T2194">
        <f>IF(AND($K2194=1,AND(对接源_02物料!$X994="公司筐",N(对接源_02物料!$V994)&lt;&gt;0)),1,0)</f>
        <v>0</v>
      </c>
      <c r="U2194">
        <f>N(U2193)+$T2194</f>
        <v>47</v>
      </c>
      <c r="V2194">
        <f>IF(AND($L2194=1,AND(对接源_02物料!$X994="自备筐",N(对接源_02物料!$V994)&lt;&gt;0)),1,0)</f>
        <v>0</v>
      </c>
      <c r="W2194">
        <f>N(W2193)+$V2194</f>
        <v>11</v>
      </c>
      <c r="X2194">
        <f>IF(AND($L2194=1,AND(对接源_02物料!$X994="自备筐",N(对接源_02物料!$T994)&lt;&gt;0)),1,0)</f>
        <v>0</v>
      </c>
      <c r="Y2194">
        <f>N(Y2193)+$X2194</f>
        <v>0</v>
      </c>
      <c r="Z2194">
        <f>IF(AND($M2194=1,对接源_02物料!$D994="原料入库"),1,0)</f>
        <v>0</v>
      </c>
      <c r="AA2194">
        <f>N(AA2193)+$Z2194</f>
        <v>24</v>
      </c>
      <c r="AB2194">
        <f>IF(AND($M2194=1,LEFT(对接源_02物料!$D994,4)="原料出库"),1,0)</f>
        <v>0</v>
      </c>
      <c r="AC2194">
        <f>N(AC2193)+$AB2194</f>
        <v>0</v>
      </c>
      <c r="AD2194">
        <f>IF(AND($M2194=1,LEFT(对接源_02物料!$D994,4)="成品出库"),1,0)</f>
        <v>0</v>
      </c>
      <c r="AE2194">
        <f>N(AE2193)+$AD2194</f>
        <v>0</v>
      </c>
      <c r="AF2194">
        <f>IF(AND($N2194=1,AND(LEFT(对接源_02物料!$D994,4)="包装物料",N(对接源_02物料!$K994)&lt;&gt;0)),1,0)</f>
        <v>0</v>
      </c>
      <c r="AG2194">
        <f>N(AG2193)+$AF2194</f>
        <v>10</v>
      </c>
      <c r="AH2194">
        <f>IF(AND($N2194=1,AND(对接源_02物料!$D994="周转筐－销售出库",N(对接源_02物料!$K994)&lt;&gt;0)),1,0)</f>
        <v>0</v>
      </c>
      <c r="AI2194">
        <f>N(AI2193)+$AH2194</f>
        <v>0</v>
      </c>
      <c r="AL2194" t="n">
        <v>0</v>
      </c>
      <c r="AM2194">
        <f>N(AM2193)+$AL2194</f>
        <v>2</v>
      </c>
      <c r="AN2194">
        <f>""</f>
      </c>
      <c r="AO2194" t="n">
        <v>0</v>
      </c>
      <c r="AP2194">
        <f>N(AP2193)+$AO2194</f>
        <v>13</v>
      </c>
      <c r="AR2194">
        <f>IF(OR($AF2194=1,$AH2194=1),1,0)</f>
        <v>0</v>
      </c>
      <c r="AS2194">
        <f>N(AS2193)+$AR2194</f>
        <v>10</v>
      </c>
    </row>
    <row r="2195" s="127">
      <c r="A2195">
        <f>IF(对接源_02物料!$C995="","",对接源_02物料!$C995)</f>
      </c>
      <c r="B2195">
        <f>IF(A2195="",0,IF(MATCH(A2195,$A$4:$A$2403,0)=ROW()-3,1,0))</f>
        <v>0</v>
      </c>
      <c r="C2195">
        <f>N(C2194)+B2195</f>
        <v>26</v>
      </c>
      <c r="K2195">
        <f>IF(OR($K$1="",对接源_02物料!$C995="",对接源_02物料!$C995&lt;&gt;$K$1,对接源_02物料!$B995=""),0,IF(OR(N(对接源_02物料!$B995)&lt;$K$2,N(对接源_02物料!$B995)&gt;$K$3),0,1))</f>
        <v>0</v>
      </c>
      <c r="L2195">
        <f>IF(OR($L$1="",对接源_02物料!$C995="",对接源_02物料!$C995&lt;&gt;$L$1,对接源_02物料!$B995=""),0,IF(OR(N(对接源_02物料!$B995)&lt;$L$2,N(对接源_02物料!$B995)&gt;$L$3),0,1))</f>
        <v>0</v>
      </c>
      <c r="M2195">
        <f>IF(OR($M$1="",对接源_02物料!$C995="",对接源_02物料!$C995&lt;&gt;$M$1,对接源_02物料!$B995=""),0,IF(OR(N(对接源_02物料!$B995)&lt;$M$2,N(对接源_02物料!$B995)&gt;$M$3),0,1))</f>
        <v>0</v>
      </c>
      <c r="N2195">
        <f>IF(OR($N$1="",对接源_02物料!$C995="",对接源_02物料!$C995&lt;&gt;$N$1,对接源_02物料!$B995=""),0,IF(OR(N(对接源_02物料!$B995)&lt;$N$2,N(对接源_02物料!$B995)&gt;$N$3),0,1))</f>
        <v>0</v>
      </c>
      <c r="P2195">
        <f>IF(AND($K2195=1,AND(对接源_02物料!$X995="公司筐",N(对接源_02物料!$T995)&lt;&gt;0)),1,0)</f>
        <v>0</v>
      </c>
      <c r="Q2195">
        <f>N(Q2194)+$P2195</f>
        <v>14</v>
      </c>
      <c r="R2195">
        <f>IF(AND($K2195=1,AND(对接源_02物料!$X995="公司筐",N(对接源_02物料!$U995)&lt;&gt;0)),1,0)</f>
        <v>0</v>
      </c>
      <c r="S2195">
        <f>N(S2194)+$R2195</f>
        <v>1</v>
      </c>
      <c r="T2195">
        <f>IF(AND($K2195=1,AND(对接源_02物料!$X995="公司筐",N(对接源_02物料!$V995)&lt;&gt;0)),1,0)</f>
        <v>0</v>
      </c>
      <c r="U2195">
        <f>N(U2194)+$T2195</f>
        <v>47</v>
      </c>
      <c r="V2195">
        <f>IF(AND($L2195=1,AND(对接源_02物料!$X995="自备筐",N(对接源_02物料!$V995)&lt;&gt;0)),1,0)</f>
        <v>0</v>
      </c>
      <c r="W2195">
        <f>N(W2194)+$V2195</f>
        <v>11</v>
      </c>
      <c r="X2195">
        <f>IF(AND($L2195=1,AND(对接源_02物料!$X995="自备筐",N(对接源_02物料!$T995)&lt;&gt;0)),1,0)</f>
        <v>0</v>
      </c>
      <c r="Y2195">
        <f>N(Y2194)+$X2195</f>
        <v>0</v>
      </c>
      <c r="Z2195">
        <f>IF(AND($M2195=1,对接源_02物料!$D995="原料入库"),1,0)</f>
        <v>0</v>
      </c>
      <c r="AA2195">
        <f>N(AA2194)+$Z2195</f>
        <v>24</v>
      </c>
      <c r="AB2195">
        <f>IF(AND($M2195=1,LEFT(对接源_02物料!$D995,4)="原料出库"),1,0)</f>
        <v>0</v>
      </c>
      <c r="AC2195">
        <f>N(AC2194)+$AB2195</f>
        <v>0</v>
      </c>
      <c r="AD2195">
        <f>IF(AND($M2195=1,LEFT(对接源_02物料!$D995,4)="成品出库"),1,0)</f>
        <v>0</v>
      </c>
      <c r="AE2195">
        <f>N(AE2194)+$AD2195</f>
        <v>0</v>
      </c>
      <c r="AF2195">
        <f>IF(AND($N2195=1,AND(LEFT(对接源_02物料!$D995,4)="包装物料",N(对接源_02物料!$K995)&lt;&gt;0)),1,0)</f>
        <v>0</v>
      </c>
      <c r="AG2195">
        <f>N(AG2194)+$AF2195</f>
        <v>10</v>
      </c>
      <c r="AH2195">
        <f>IF(AND($N2195=1,AND(对接源_02物料!$D995="周转筐－销售出库",N(对接源_02物料!$K995)&lt;&gt;0)),1,0)</f>
        <v>0</v>
      </c>
      <c r="AI2195">
        <f>N(AI2194)+$AH2195</f>
        <v>0</v>
      </c>
      <c r="AL2195" t="n">
        <v>0</v>
      </c>
      <c r="AM2195">
        <f>N(AM2194)+$AL2195</f>
        <v>2</v>
      </c>
      <c r="AN2195">
        <f>""</f>
      </c>
      <c r="AO2195" t="n">
        <v>0</v>
      </c>
      <c r="AP2195">
        <f>N(AP2194)+$AO2195</f>
        <v>13</v>
      </c>
      <c r="AR2195">
        <f>IF(OR($AF2195=1,$AH2195=1),1,0)</f>
        <v>0</v>
      </c>
      <c r="AS2195">
        <f>N(AS2194)+$AR2195</f>
        <v>10</v>
      </c>
    </row>
    <row r="2196" s="127">
      <c r="A2196">
        <f>IF(对接源_02物料!$C996="","",对接源_02物料!$C996)</f>
      </c>
      <c r="B2196">
        <f>IF(A2196="",0,IF(MATCH(A2196,$A$4:$A$2403,0)=ROW()-3,1,0))</f>
        <v>0</v>
      </c>
      <c r="C2196">
        <f>N(C2195)+B2196</f>
        <v>26</v>
      </c>
      <c r="K2196">
        <f>IF(OR($K$1="",对接源_02物料!$C996="",对接源_02物料!$C996&lt;&gt;$K$1,对接源_02物料!$B996=""),0,IF(OR(N(对接源_02物料!$B996)&lt;$K$2,N(对接源_02物料!$B996)&gt;$K$3),0,1))</f>
        <v>0</v>
      </c>
      <c r="L2196">
        <f>IF(OR($L$1="",对接源_02物料!$C996="",对接源_02物料!$C996&lt;&gt;$L$1,对接源_02物料!$B996=""),0,IF(OR(N(对接源_02物料!$B996)&lt;$L$2,N(对接源_02物料!$B996)&gt;$L$3),0,1))</f>
        <v>0</v>
      </c>
      <c r="M2196">
        <f>IF(OR($M$1="",对接源_02物料!$C996="",对接源_02物料!$C996&lt;&gt;$M$1,对接源_02物料!$B996=""),0,IF(OR(N(对接源_02物料!$B996)&lt;$M$2,N(对接源_02物料!$B996)&gt;$M$3),0,1))</f>
        <v>0</v>
      </c>
      <c r="N2196">
        <f>IF(OR($N$1="",对接源_02物料!$C996="",对接源_02物料!$C996&lt;&gt;$N$1,对接源_02物料!$B996=""),0,IF(OR(N(对接源_02物料!$B996)&lt;$N$2,N(对接源_02物料!$B996)&gt;$N$3),0,1))</f>
        <v>0</v>
      </c>
      <c r="P2196">
        <f>IF(AND($K2196=1,AND(对接源_02物料!$X996="公司筐",N(对接源_02物料!$T996)&lt;&gt;0)),1,0)</f>
        <v>0</v>
      </c>
      <c r="Q2196">
        <f>N(Q2195)+$P2196</f>
        <v>14</v>
      </c>
      <c r="R2196">
        <f>IF(AND($K2196=1,AND(对接源_02物料!$X996="公司筐",N(对接源_02物料!$U996)&lt;&gt;0)),1,0)</f>
        <v>0</v>
      </c>
      <c r="S2196">
        <f>N(S2195)+$R2196</f>
        <v>1</v>
      </c>
      <c r="T2196">
        <f>IF(AND($K2196=1,AND(对接源_02物料!$X996="公司筐",N(对接源_02物料!$V996)&lt;&gt;0)),1,0)</f>
        <v>0</v>
      </c>
      <c r="U2196">
        <f>N(U2195)+$T2196</f>
        <v>47</v>
      </c>
      <c r="V2196">
        <f>IF(AND($L2196=1,AND(对接源_02物料!$X996="自备筐",N(对接源_02物料!$V996)&lt;&gt;0)),1,0)</f>
        <v>0</v>
      </c>
      <c r="W2196">
        <f>N(W2195)+$V2196</f>
        <v>11</v>
      </c>
      <c r="X2196">
        <f>IF(AND($L2196=1,AND(对接源_02物料!$X996="自备筐",N(对接源_02物料!$T996)&lt;&gt;0)),1,0)</f>
        <v>0</v>
      </c>
      <c r="Y2196">
        <f>N(Y2195)+$X2196</f>
        <v>0</v>
      </c>
      <c r="Z2196">
        <f>IF(AND($M2196=1,对接源_02物料!$D996="原料入库"),1,0)</f>
        <v>0</v>
      </c>
      <c r="AA2196">
        <f>N(AA2195)+$Z2196</f>
        <v>24</v>
      </c>
      <c r="AB2196">
        <f>IF(AND($M2196=1,LEFT(对接源_02物料!$D996,4)="原料出库"),1,0)</f>
        <v>0</v>
      </c>
      <c r="AC2196">
        <f>N(AC2195)+$AB2196</f>
        <v>0</v>
      </c>
      <c r="AD2196">
        <f>IF(AND($M2196=1,LEFT(对接源_02物料!$D996,4)="成品出库"),1,0)</f>
        <v>0</v>
      </c>
      <c r="AE2196">
        <f>N(AE2195)+$AD2196</f>
        <v>0</v>
      </c>
      <c r="AF2196">
        <f>IF(AND($N2196=1,AND(LEFT(对接源_02物料!$D996,4)="包装物料",N(对接源_02物料!$K996)&lt;&gt;0)),1,0)</f>
        <v>0</v>
      </c>
      <c r="AG2196">
        <f>N(AG2195)+$AF2196</f>
        <v>10</v>
      </c>
      <c r="AH2196">
        <f>IF(AND($N2196=1,AND(对接源_02物料!$D996="周转筐－销售出库",N(对接源_02物料!$K996)&lt;&gt;0)),1,0)</f>
        <v>0</v>
      </c>
      <c r="AI2196">
        <f>N(AI2195)+$AH2196</f>
        <v>0</v>
      </c>
      <c r="AL2196" t="n">
        <v>0</v>
      </c>
      <c r="AM2196">
        <f>N(AM2195)+$AL2196</f>
        <v>2</v>
      </c>
      <c r="AN2196">
        <f>""</f>
      </c>
      <c r="AO2196" t="n">
        <v>0</v>
      </c>
      <c r="AP2196">
        <f>N(AP2195)+$AO2196</f>
        <v>13</v>
      </c>
      <c r="AR2196">
        <f>IF(OR($AF2196=1,$AH2196=1),1,0)</f>
        <v>0</v>
      </c>
      <c r="AS2196">
        <f>N(AS2195)+$AR2196</f>
        <v>10</v>
      </c>
    </row>
    <row r="2197" s="127">
      <c r="A2197">
        <f>IF(对接源_02物料!$C997="","",对接源_02物料!$C997)</f>
      </c>
      <c r="B2197">
        <f>IF(A2197="",0,IF(MATCH(A2197,$A$4:$A$2403,0)=ROW()-3,1,0))</f>
        <v>0</v>
      </c>
      <c r="C2197">
        <f>N(C2196)+B2197</f>
        <v>26</v>
      </c>
      <c r="K2197">
        <f>IF(OR($K$1="",对接源_02物料!$C997="",对接源_02物料!$C997&lt;&gt;$K$1,对接源_02物料!$B997=""),0,IF(OR(N(对接源_02物料!$B997)&lt;$K$2,N(对接源_02物料!$B997)&gt;$K$3),0,1))</f>
        <v>0</v>
      </c>
      <c r="L2197">
        <f>IF(OR($L$1="",对接源_02物料!$C997="",对接源_02物料!$C997&lt;&gt;$L$1,对接源_02物料!$B997=""),0,IF(OR(N(对接源_02物料!$B997)&lt;$L$2,N(对接源_02物料!$B997)&gt;$L$3),0,1))</f>
        <v>0</v>
      </c>
      <c r="M2197">
        <f>IF(OR($M$1="",对接源_02物料!$C997="",对接源_02物料!$C997&lt;&gt;$M$1,对接源_02物料!$B997=""),0,IF(OR(N(对接源_02物料!$B997)&lt;$M$2,N(对接源_02物料!$B997)&gt;$M$3),0,1))</f>
        <v>0</v>
      </c>
      <c r="N2197">
        <f>IF(OR($N$1="",对接源_02物料!$C997="",对接源_02物料!$C997&lt;&gt;$N$1,对接源_02物料!$B997=""),0,IF(OR(N(对接源_02物料!$B997)&lt;$N$2,N(对接源_02物料!$B997)&gt;$N$3),0,1))</f>
        <v>0</v>
      </c>
      <c r="P2197">
        <f>IF(AND($K2197=1,AND(对接源_02物料!$X997="公司筐",N(对接源_02物料!$T997)&lt;&gt;0)),1,0)</f>
        <v>0</v>
      </c>
      <c r="Q2197">
        <f>N(Q2196)+$P2197</f>
        <v>14</v>
      </c>
      <c r="R2197">
        <f>IF(AND($K2197=1,AND(对接源_02物料!$X997="公司筐",N(对接源_02物料!$U997)&lt;&gt;0)),1,0)</f>
        <v>0</v>
      </c>
      <c r="S2197">
        <f>N(S2196)+$R2197</f>
        <v>1</v>
      </c>
      <c r="T2197">
        <f>IF(AND($K2197=1,AND(对接源_02物料!$X997="公司筐",N(对接源_02物料!$V997)&lt;&gt;0)),1,0)</f>
        <v>0</v>
      </c>
      <c r="U2197">
        <f>N(U2196)+$T2197</f>
        <v>47</v>
      </c>
      <c r="V2197">
        <f>IF(AND($L2197=1,AND(对接源_02物料!$X997="自备筐",N(对接源_02物料!$V997)&lt;&gt;0)),1,0)</f>
        <v>0</v>
      </c>
      <c r="W2197">
        <f>N(W2196)+$V2197</f>
        <v>11</v>
      </c>
      <c r="X2197">
        <f>IF(AND($L2197=1,AND(对接源_02物料!$X997="自备筐",N(对接源_02物料!$T997)&lt;&gt;0)),1,0)</f>
        <v>0</v>
      </c>
      <c r="Y2197">
        <f>N(Y2196)+$X2197</f>
        <v>0</v>
      </c>
      <c r="Z2197">
        <f>IF(AND($M2197=1,对接源_02物料!$D997="原料入库"),1,0)</f>
        <v>0</v>
      </c>
      <c r="AA2197">
        <f>N(AA2196)+$Z2197</f>
        <v>24</v>
      </c>
      <c r="AB2197">
        <f>IF(AND($M2197=1,LEFT(对接源_02物料!$D997,4)="原料出库"),1,0)</f>
        <v>0</v>
      </c>
      <c r="AC2197">
        <f>N(AC2196)+$AB2197</f>
        <v>0</v>
      </c>
      <c r="AD2197">
        <f>IF(AND($M2197=1,LEFT(对接源_02物料!$D997,4)="成品出库"),1,0)</f>
        <v>0</v>
      </c>
      <c r="AE2197">
        <f>N(AE2196)+$AD2197</f>
        <v>0</v>
      </c>
      <c r="AF2197">
        <f>IF(AND($N2197=1,AND(LEFT(对接源_02物料!$D997,4)="包装物料",N(对接源_02物料!$K997)&lt;&gt;0)),1,0)</f>
        <v>0</v>
      </c>
      <c r="AG2197">
        <f>N(AG2196)+$AF2197</f>
        <v>10</v>
      </c>
      <c r="AH2197">
        <f>IF(AND($N2197=1,AND(对接源_02物料!$D997="周转筐－销售出库",N(对接源_02物料!$K997)&lt;&gt;0)),1,0)</f>
        <v>0</v>
      </c>
      <c r="AI2197">
        <f>N(AI2196)+$AH2197</f>
        <v>0</v>
      </c>
      <c r="AL2197" t="n">
        <v>0</v>
      </c>
      <c r="AM2197">
        <f>N(AM2196)+$AL2197</f>
        <v>2</v>
      </c>
      <c r="AN2197">
        <f>""</f>
      </c>
      <c r="AO2197" t="n">
        <v>0</v>
      </c>
      <c r="AP2197">
        <f>N(AP2196)+$AO2197</f>
        <v>13</v>
      </c>
      <c r="AR2197">
        <f>IF(OR($AF2197=1,$AH2197=1),1,0)</f>
        <v>0</v>
      </c>
      <c r="AS2197">
        <f>N(AS2196)+$AR2197</f>
        <v>10</v>
      </c>
    </row>
    <row r="2198" s="127">
      <c r="A2198">
        <f>IF(对接源_02物料!$C998="","",对接源_02物料!$C998)</f>
      </c>
      <c r="B2198">
        <f>IF(A2198="",0,IF(MATCH(A2198,$A$4:$A$2403,0)=ROW()-3,1,0))</f>
        <v>0</v>
      </c>
      <c r="C2198">
        <f>N(C2197)+B2198</f>
        <v>26</v>
      </c>
      <c r="K2198">
        <f>IF(OR($K$1="",对接源_02物料!$C998="",对接源_02物料!$C998&lt;&gt;$K$1,对接源_02物料!$B998=""),0,IF(OR(N(对接源_02物料!$B998)&lt;$K$2,N(对接源_02物料!$B998)&gt;$K$3),0,1))</f>
        <v>0</v>
      </c>
      <c r="L2198">
        <f>IF(OR($L$1="",对接源_02物料!$C998="",对接源_02物料!$C998&lt;&gt;$L$1,对接源_02物料!$B998=""),0,IF(OR(N(对接源_02物料!$B998)&lt;$L$2,N(对接源_02物料!$B998)&gt;$L$3),0,1))</f>
        <v>0</v>
      </c>
      <c r="M2198">
        <f>IF(OR($M$1="",对接源_02物料!$C998="",对接源_02物料!$C998&lt;&gt;$M$1,对接源_02物料!$B998=""),0,IF(OR(N(对接源_02物料!$B998)&lt;$M$2,N(对接源_02物料!$B998)&gt;$M$3),0,1))</f>
        <v>0</v>
      </c>
      <c r="N2198">
        <f>IF(OR($N$1="",对接源_02物料!$C998="",对接源_02物料!$C998&lt;&gt;$N$1,对接源_02物料!$B998=""),0,IF(OR(N(对接源_02物料!$B998)&lt;$N$2,N(对接源_02物料!$B998)&gt;$N$3),0,1))</f>
        <v>0</v>
      </c>
      <c r="P2198">
        <f>IF(AND($K2198=1,AND(对接源_02物料!$X998="公司筐",N(对接源_02物料!$T998)&lt;&gt;0)),1,0)</f>
        <v>0</v>
      </c>
      <c r="Q2198">
        <f>N(Q2197)+$P2198</f>
        <v>14</v>
      </c>
      <c r="R2198">
        <f>IF(AND($K2198=1,AND(对接源_02物料!$X998="公司筐",N(对接源_02物料!$U998)&lt;&gt;0)),1,0)</f>
        <v>0</v>
      </c>
      <c r="S2198">
        <f>N(S2197)+$R2198</f>
        <v>1</v>
      </c>
      <c r="T2198">
        <f>IF(AND($K2198=1,AND(对接源_02物料!$X998="公司筐",N(对接源_02物料!$V998)&lt;&gt;0)),1,0)</f>
        <v>0</v>
      </c>
      <c r="U2198">
        <f>N(U2197)+$T2198</f>
        <v>47</v>
      </c>
      <c r="V2198">
        <f>IF(AND($L2198=1,AND(对接源_02物料!$X998="自备筐",N(对接源_02物料!$V998)&lt;&gt;0)),1,0)</f>
        <v>0</v>
      </c>
      <c r="W2198">
        <f>N(W2197)+$V2198</f>
        <v>11</v>
      </c>
      <c r="X2198">
        <f>IF(AND($L2198=1,AND(对接源_02物料!$X998="自备筐",N(对接源_02物料!$T998)&lt;&gt;0)),1,0)</f>
        <v>0</v>
      </c>
      <c r="Y2198">
        <f>N(Y2197)+$X2198</f>
        <v>0</v>
      </c>
      <c r="Z2198">
        <f>IF(AND($M2198=1,对接源_02物料!$D998="原料入库"),1,0)</f>
        <v>0</v>
      </c>
      <c r="AA2198">
        <f>N(AA2197)+$Z2198</f>
        <v>24</v>
      </c>
      <c r="AB2198">
        <f>IF(AND($M2198=1,LEFT(对接源_02物料!$D998,4)="原料出库"),1,0)</f>
        <v>0</v>
      </c>
      <c r="AC2198">
        <f>N(AC2197)+$AB2198</f>
        <v>0</v>
      </c>
      <c r="AD2198">
        <f>IF(AND($M2198=1,LEFT(对接源_02物料!$D998,4)="成品出库"),1,0)</f>
        <v>0</v>
      </c>
      <c r="AE2198">
        <f>N(AE2197)+$AD2198</f>
        <v>0</v>
      </c>
      <c r="AF2198">
        <f>IF(AND($N2198=1,AND(LEFT(对接源_02物料!$D998,4)="包装物料",N(对接源_02物料!$K998)&lt;&gt;0)),1,0)</f>
        <v>0</v>
      </c>
      <c r="AG2198">
        <f>N(AG2197)+$AF2198</f>
        <v>10</v>
      </c>
      <c r="AH2198">
        <f>IF(AND($N2198=1,AND(对接源_02物料!$D998="周转筐－销售出库",N(对接源_02物料!$K998)&lt;&gt;0)),1,0)</f>
        <v>0</v>
      </c>
      <c r="AI2198">
        <f>N(AI2197)+$AH2198</f>
        <v>0</v>
      </c>
      <c r="AL2198" t="n">
        <v>0</v>
      </c>
      <c r="AM2198">
        <f>N(AM2197)+$AL2198</f>
        <v>2</v>
      </c>
      <c r="AN2198">
        <f>""</f>
      </c>
      <c r="AO2198" t="n">
        <v>0</v>
      </c>
      <c r="AP2198">
        <f>N(AP2197)+$AO2198</f>
        <v>13</v>
      </c>
      <c r="AR2198">
        <f>IF(OR($AF2198=1,$AH2198=1),1,0)</f>
        <v>0</v>
      </c>
      <c r="AS2198">
        <f>N(AS2197)+$AR2198</f>
        <v>10</v>
      </c>
    </row>
    <row r="2199" s="127">
      <c r="A2199">
        <f>IF(对接源_02物料!$C999="","",对接源_02物料!$C999)</f>
      </c>
      <c r="B2199">
        <f>IF(A2199="",0,IF(MATCH(A2199,$A$4:$A$2403,0)=ROW()-3,1,0))</f>
        <v>0</v>
      </c>
      <c r="C2199">
        <f>N(C2198)+B2199</f>
        <v>26</v>
      </c>
      <c r="K2199">
        <f>IF(OR($K$1="",对接源_02物料!$C999="",对接源_02物料!$C999&lt;&gt;$K$1,对接源_02物料!$B999=""),0,IF(OR(N(对接源_02物料!$B999)&lt;$K$2,N(对接源_02物料!$B999)&gt;$K$3),0,1))</f>
        <v>0</v>
      </c>
      <c r="L2199">
        <f>IF(OR($L$1="",对接源_02物料!$C999="",对接源_02物料!$C999&lt;&gt;$L$1,对接源_02物料!$B999=""),0,IF(OR(N(对接源_02物料!$B999)&lt;$L$2,N(对接源_02物料!$B999)&gt;$L$3),0,1))</f>
        <v>0</v>
      </c>
      <c r="M2199">
        <f>IF(OR($M$1="",对接源_02物料!$C999="",对接源_02物料!$C999&lt;&gt;$M$1,对接源_02物料!$B999=""),0,IF(OR(N(对接源_02物料!$B999)&lt;$M$2,N(对接源_02物料!$B999)&gt;$M$3),0,1))</f>
        <v>0</v>
      </c>
      <c r="N2199">
        <f>IF(OR($N$1="",对接源_02物料!$C999="",对接源_02物料!$C999&lt;&gt;$N$1,对接源_02物料!$B999=""),0,IF(OR(N(对接源_02物料!$B999)&lt;$N$2,N(对接源_02物料!$B999)&gt;$N$3),0,1))</f>
        <v>0</v>
      </c>
      <c r="P2199">
        <f>IF(AND($K2199=1,AND(对接源_02物料!$X999="公司筐",N(对接源_02物料!$T999)&lt;&gt;0)),1,0)</f>
        <v>0</v>
      </c>
      <c r="Q2199">
        <f>N(Q2198)+$P2199</f>
        <v>14</v>
      </c>
      <c r="R2199">
        <f>IF(AND($K2199=1,AND(对接源_02物料!$X999="公司筐",N(对接源_02物料!$U999)&lt;&gt;0)),1,0)</f>
        <v>0</v>
      </c>
      <c r="S2199">
        <f>N(S2198)+$R2199</f>
        <v>1</v>
      </c>
      <c r="T2199">
        <f>IF(AND($K2199=1,AND(对接源_02物料!$X999="公司筐",N(对接源_02物料!$V999)&lt;&gt;0)),1,0)</f>
        <v>0</v>
      </c>
      <c r="U2199">
        <f>N(U2198)+$T2199</f>
        <v>47</v>
      </c>
      <c r="V2199">
        <f>IF(AND($L2199=1,AND(对接源_02物料!$X999="自备筐",N(对接源_02物料!$V999)&lt;&gt;0)),1,0)</f>
        <v>0</v>
      </c>
      <c r="W2199">
        <f>N(W2198)+$V2199</f>
        <v>11</v>
      </c>
      <c r="X2199">
        <f>IF(AND($L2199=1,AND(对接源_02物料!$X999="自备筐",N(对接源_02物料!$T999)&lt;&gt;0)),1,0)</f>
        <v>0</v>
      </c>
      <c r="Y2199">
        <f>N(Y2198)+$X2199</f>
        <v>0</v>
      </c>
      <c r="Z2199">
        <f>IF(AND($M2199=1,对接源_02物料!$D999="原料入库"),1,0)</f>
        <v>0</v>
      </c>
      <c r="AA2199">
        <f>N(AA2198)+$Z2199</f>
        <v>24</v>
      </c>
      <c r="AB2199">
        <f>IF(AND($M2199=1,LEFT(对接源_02物料!$D999,4)="原料出库"),1,0)</f>
        <v>0</v>
      </c>
      <c r="AC2199">
        <f>N(AC2198)+$AB2199</f>
        <v>0</v>
      </c>
      <c r="AD2199">
        <f>IF(AND($M2199=1,LEFT(对接源_02物料!$D999,4)="成品出库"),1,0)</f>
        <v>0</v>
      </c>
      <c r="AE2199">
        <f>N(AE2198)+$AD2199</f>
        <v>0</v>
      </c>
      <c r="AF2199">
        <f>IF(AND($N2199=1,AND(LEFT(对接源_02物料!$D999,4)="包装物料",N(对接源_02物料!$K999)&lt;&gt;0)),1,0)</f>
        <v>0</v>
      </c>
      <c r="AG2199">
        <f>N(AG2198)+$AF2199</f>
        <v>10</v>
      </c>
      <c r="AH2199">
        <f>IF(AND($N2199=1,AND(对接源_02物料!$D999="周转筐－销售出库",N(对接源_02物料!$K999)&lt;&gt;0)),1,0)</f>
        <v>0</v>
      </c>
      <c r="AI2199">
        <f>N(AI2198)+$AH2199</f>
        <v>0</v>
      </c>
      <c r="AL2199" t="n">
        <v>0</v>
      </c>
      <c r="AM2199">
        <f>N(AM2198)+$AL2199</f>
        <v>2</v>
      </c>
      <c r="AN2199">
        <f>""</f>
      </c>
      <c r="AO2199" t="n">
        <v>0</v>
      </c>
      <c r="AP2199">
        <f>N(AP2198)+$AO2199</f>
        <v>13</v>
      </c>
      <c r="AR2199">
        <f>IF(OR($AF2199=1,$AH2199=1),1,0)</f>
        <v>0</v>
      </c>
      <c r="AS2199">
        <f>N(AS2198)+$AR2199</f>
        <v>10</v>
      </c>
    </row>
    <row r="2200" s="127">
      <c r="A2200">
        <f>IF(对接源_02物料!$C1000="","",对接源_02物料!$C1000)</f>
      </c>
      <c r="B2200">
        <f>IF(A2200="",0,IF(MATCH(A2200,$A$4:$A$2403,0)=ROW()-3,1,0))</f>
        <v>0</v>
      </c>
      <c r="C2200">
        <f>N(C2199)+B2200</f>
        <v>26</v>
      </c>
      <c r="K2200">
        <f>IF(OR($K$1="",对接源_02物料!$C1000="",对接源_02物料!$C1000&lt;&gt;$K$1,对接源_02物料!$B1000=""),0,IF(OR(N(对接源_02物料!$B1000)&lt;$K$2,N(对接源_02物料!$B1000)&gt;$K$3),0,1))</f>
        <v>0</v>
      </c>
      <c r="L2200">
        <f>IF(OR($L$1="",对接源_02物料!$C1000="",对接源_02物料!$C1000&lt;&gt;$L$1,对接源_02物料!$B1000=""),0,IF(OR(N(对接源_02物料!$B1000)&lt;$L$2,N(对接源_02物料!$B1000)&gt;$L$3),0,1))</f>
        <v>0</v>
      </c>
      <c r="M2200">
        <f>IF(OR($M$1="",对接源_02物料!$C1000="",对接源_02物料!$C1000&lt;&gt;$M$1,对接源_02物料!$B1000=""),0,IF(OR(N(对接源_02物料!$B1000)&lt;$M$2,N(对接源_02物料!$B1000)&gt;$M$3),0,1))</f>
        <v>0</v>
      </c>
      <c r="N2200">
        <f>IF(OR($N$1="",对接源_02物料!$C1000="",对接源_02物料!$C1000&lt;&gt;$N$1,对接源_02物料!$B1000=""),0,IF(OR(N(对接源_02物料!$B1000)&lt;$N$2,N(对接源_02物料!$B1000)&gt;$N$3),0,1))</f>
        <v>0</v>
      </c>
      <c r="P2200">
        <f>IF(AND($K2200=1,AND(对接源_02物料!$X1000="公司筐",N(对接源_02物料!$T1000)&lt;&gt;0)),1,0)</f>
        <v>0</v>
      </c>
      <c r="Q2200">
        <f>N(Q2199)+$P2200</f>
        <v>14</v>
      </c>
      <c r="R2200">
        <f>IF(AND($K2200=1,AND(对接源_02物料!$X1000="公司筐",N(对接源_02物料!$U1000)&lt;&gt;0)),1,0)</f>
        <v>0</v>
      </c>
      <c r="S2200">
        <f>N(S2199)+$R2200</f>
        <v>1</v>
      </c>
      <c r="T2200">
        <f>IF(AND($K2200=1,AND(对接源_02物料!$X1000="公司筐",N(对接源_02物料!$V1000)&lt;&gt;0)),1,0)</f>
        <v>0</v>
      </c>
      <c r="U2200">
        <f>N(U2199)+$T2200</f>
        <v>47</v>
      </c>
      <c r="V2200">
        <f>IF(AND($L2200=1,AND(对接源_02物料!$X1000="自备筐",N(对接源_02物料!$V1000)&lt;&gt;0)),1,0)</f>
        <v>0</v>
      </c>
      <c r="W2200">
        <f>N(W2199)+$V2200</f>
        <v>11</v>
      </c>
      <c r="X2200">
        <f>IF(AND($L2200=1,AND(对接源_02物料!$X1000="自备筐",N(对接源_02物料!$T1000)&lt;&gt;0)),1,0)</f>
        <v>0</v>
      </c>
      <c r="Y2200">
        <f>N(Y2199)+$X2200</f>
        <v>0</v>
      </c>
      <c r="Z2200">
        <f>IF(AND($M2200=1,对接源_02物料!$D1000="原料入库"),1,0)</f>
        <v>0</v>
      </c>
      <c r="AA2200">
        <f>N(AA2199)+$Z2200</f>
        <v>24</v>
      </c>
      <c r="AB2200">
        <f>IF(AND($M2200=1,LEFT(对接源_02物料!$D1000,4)="原料出库"),1,0)</f>
        <v>0</v>
      </c>
      <c r="AC2200">
        <f>N(AC2199)+$AB2200</f>
        <v>0</v>
      </c>
      <c r="AD2200">
        <f>IF(AND($M2200=1,LEFT(对接源_02物料!$D1000,4)="成品出库"),1,0)</f>
        <v>0</v>
      </c>
      <c r="AE2200">
        <f>N(AE2199)+$AD2200</f>
        <v>0</v>
      </c>
      <c r="AF2200">
        <f>IF(AND($N2200=1,AND(LEFT(对接源_02物料!$D1000,4)="包装物料",N(对接源_02物料!$K1000)&lt;&gt;0)),1,0)</f>
        <v>0</v>
      </c>
      <c r="AG2200">
        <f>N(AG2199)+$AF2200</f>
        <v>10</v>
      </c>
      <c r="AH2200">
        <f>IF(AND($N2200=1,AND(对接源_02物料!$D1000="周转筐－销售出库",N(对接源_02物料!$K1000)&lt;&gt;0)),1,0)</f>
        <v>0</v>
      </c>
      <c r="AI2200">
        <f>N(AI2199)+$AH2200</f>
        <v>0</v>
      </c>
      <c r="AL2200" t="n">
        <v>0</v>
      </c>
      <c r="AM2200">
        <f>N(AM2199)+$AL2200</f>
        <v>2</v>
      </c>
      <c r="AN2200">
        <f>""</f>
      </c>
      <c r="AO2200" t="n">
        <v>0</v>
      </c>
      <c r="AP2200">
        <f>N(AP2199)+$AO2200</f>
        <v>13</v>
      </c>
      <c r="AR2200">
        <f>IF(OR($AF2200=1,$AH2200=1),1,0)</f>
        <v>0</v>
      </c>
      <c r="AS2200">
        <f>N(AS2199)+$AR2200</f>
        <v>10</v>
      </c>
    </row>
    <row r="2201" s="127">
      <c r="A2201">
        <f>IF(对接源_02物料!$C1001="","",对接源_02物料!$C1001)</f>
      </c>
      <c r="B2201">
        <f>IF(A2201="",0,IF(MATCH(A2201,$A$4:$A$2403,0)=ROW()-3,1,0))</f>
        <v>0</v>
      </c>
      <c r="C2201">
        <f>N(C2200)+B2201</f>
        <v>26</v>
      </c>
      <c r="K2201">
        <f>IF(OR($K$1="",对接源_02物料!$C1001="",对接源_02物料!$C1001&lt;&gt;$K$1,对接源_02物料!$B1001=""),0,IF(OR(N(对接源_02物料!$B1001)&lt;$K$2,N(对接源_02物料!$B1001)&gt;$K$3),0,1))</f>
        <v>0</v>
      </c>
      <c r="L2201">
        <f>IF(OR($L$1="",对接源_02物料!$C1001="",对接源_02物料!$C1001&lt;&gt;$L$1,对接源_02物料!$B1001=""),0,IF(OR(N(对接源_02物料!$B1001)&lt;$L$2,N(对接源_02物料!$B1001)&gt;$L$3),0,1))</f>
        <v>0</v>
      </c>
      <c r="M2201">
        <f>IF(OR($M$1="",对接源_02物料!$C1001="",对接源_02物料!$C1001&lt;&gt;$M$1,对接源_02物料!$B1001=""),0,IF(OR(N(对接源_02物料!$B1001)&lt;$M$2,N(对接源_02物料!$B1001)&gt;$M$3),0,1))</f>
        <v>0</v>
      </c>
      <c r="N2201">
        <f>IF(OR($N$1="",对接源_02物料!$C1001="",对接源_02物料!$C1001&lt;&gt;$N$1,对接源_02物料!$B1001=""),0,IF(OR(N(对接源_02物料!$B1001)&lt;$N$2,N(对接源_02物料!$B1001)&gt;$N$3),0,1))</f>
        <v>0</v>
      </c>
      <c r="P2201">
        <f>IF(AND($K2201=1,AND(对接源_02物料!$X1001="公司筐",N(对接源_02物料!$T1001)&lt;&gt;0)),1,0)</f>
        <v>0</v>
      </c>
      <c r="Q2201">
        <f>N(Q2200)+$P2201</f>
        <v>14</v>
      </c>
      <c r="R2201">
        <f>IF(AND($K2201=1,AND(对接源_02物料!$X1001="公司筐",N(对接源_02物料!$U1001)&lt;&gt;0)),1,0)</f>
        <v>0</v>
      </c>
      <c r="S2201">
        <f>N(S2200)+$R2201</f>
        <v>1</v>
      </c>
      <c r="T2201">
        <f>IF(AND($K2201=1,AND(对接源_02物料!$X1001="公司筐",N(对接源_02物料!$V1001)&lt;&gt;0)),1,0)</f>
        <v>0</v>
      </c>
      <c r="U2201">
        <f>N(U2200)+$T2201</f>
        <v>47</v>
      </c>
      <c r="V2201">
        <f>IF(AND($L2201=1,AND(对接源_02物料!$X1001="自备筐",N(对接源_02物料!$V1001)&lt;&gt;0)),1,0)</f>
        <v>0</v>
      </c>
      <c r="W2201">
        <f>N(W2200)+$V2201</f>
        <v>11</v>
      </c>
      <c r="X2201">
        <f>IF(AND($L2201=1,AND(对接源_02物料!$X1001="自备筐",N(对接源_02物料!$T1001)&lt;&gt;0)),1,0)</f>
        <v>0</v>
      </c>
      <c r="Y2201">
        <f>N(Y2200)+$X2201</f>
        <v>0</v>
      </c>
      <c r="Z2201">
        <f>IF(AND($M2201=1,对接源_02物料!$D1001="原料入库"),1,0)</f>
        <v>0</v>
      </c>
      <c r="AA2201">
        <f>N(AA2200)+$Z2201</f>
        <v>24</v>
      </c>
      <c r="AB2201">
        <f>IF(AND($M2201=1,LEFT(对接源_02物料!$D1001,4)="原料出库"),1,0)</f>
        <v>0</v>
      </c>
      <c r="AC2201">
        <f>N(AC2200)+$AB2201</f>
        <v>0</v>
      </c>
      <c r="AD2201">
        <f>IF(AND($M2201=1,LEFT(对接源_02物料!$D1001,4)="成品出库"),1,0)</f>
        <v>0</v>
      </c>
      <c r="AE2201">
        <f>N(AE2200)+$AD2201</f>
        <v>0</v>
      </c>
      <c r="AF2201">
        <f>IF(AND($N2201=1,AND(LEFT(对接源_02物料!$D1001,4)="包装物料",N(对接源_02物料!$K1001)&lt;&gt;0)),1,0)</f>
        <v>0</v>
      </c>
      <c r="AG2201">
        <f>N(AG2200)+$AF2201</f>
        <v>10</v>
      </c>
      <c r="AH2201">
        <f>IF(AND($N2201=1,AND(对接源_02物料!$D1001="周转筐－销售出库",N(对接源_02物料!$K1001)&lt;&gt;0)),1,0)</f>
        <v>0</v>
      </c>
      <c r="AI2201">
        <f>N(AI2200)+$AH2201</f>
        <v>0</v>
      </c>
      <c r="AL2201" t="n">
        <v>0</v>
      </c>
      <c r="AM2201">
        <f>N(AM2200)+$AL2201</f>
        <v>2</v>
      </c>
      <c r="AN2201">
        <f>""</f>
      </c>
      <c r="AO2201" t="n">
        <v>0</v>
      </c>
      <c r="AP2201">
        <f>N(AP2200)+$AO2201</f>
        <v>13</v>
      </c>
      <c r="AR2201">
        <f>IF(OR($AF2201=1,$AH2201=1),1,0)</f>
        <v>0</v>
      </c>
      <c r="AS2201">
        <f>N(AS2200)+$AR2201</f>
        <v>10</v>
      </c>
    </row>
    <row r="2202" s="127">
      <c r="A2202">
        <f>IF(对接源_02物料!$C1002="","",对接源_02物料!$C1002)</f>
      </c>
      <c r="B2202">
        <f>IF(A2202="",0,IF(MATCH(A2202,$A$4:$A$2403,0)=ROW()-3,1,0))</f>
        <v>0</v>
      </c>
      <c r="C2202">
        <f>N(C2201)+B2202</f>
        <v>26</v>
      </c>
      <c r="K2202">
        <f>IF(OR($K$1="",对接源_02物料!$C1002="",对接源_02物料!$C1002&lt;&gt;$K$1,对接源_02物料!$B1002=""),0,IF(OR(N(对接源_02物料!$B1002)&lt;$K$2,N(对接源_02物料!$B1002)&gt;$K$3),0,1))</f>
        <v>0</v>
      </c>
      <c r="L2202">
        <f>IF(OR($L$1="",对接源_02物料!$C1002="",对接源_02物料!$C1002&lt;&gt;$L$1,对接源_02物料!$B1002=""),0,IF(OR(N(对接源_02物料!$B1002)&lt;$L$2,N(对接源_02物料!$B1002)&gt;$L$3),0,1))</f>
        <v>0</v>
      </c>
      <c r="M2202">
        <f>IF(OR($M$1="",对接源_02物料!$C1002="",对接源_02物料!$C1002&lt;&gt;$M$1,对接源_02物料!$B1002=""),0,IF(OR(N(对接源_02物料!$B1002)&lt;$M$2,N(对接源_02物料!$B1002)&gt;$M$3),0,1))</f>
        <v>0</v>
      </c>
      <c r="N2202">
        <f>IF(OR($N$1="",对接源_02物料!$C1002="",对接源_02物料!$C1002&lt;&gt;$N$1,对接源_02物料!$B1002=""),0,IF(OR(N(对接源_02物料!$B1002)&lt;$N$2,N(对接源_02物料!$B1002)&gt;$N$3),0,1))</f>
        <v>0</v>
      </c>
      <c r="P2202">
        <f>IF(AND($K2202=1,AND(对接源_02物料!$X1002="公司筐",N(对接源_02物料!$T1002)&lt;&gt;0)),1,0)</f>
        <v>0</v>
      </c>
      <c r="Q2202">
        <f>N(Q2201)+$P2202</f>
        <v>14</v>
      </c>
      <c r="R2202">
        <f>IF(AND($K2202=1,AND(对接源_02物料!$X1002="公司筐",N(对接源_02物料!$U1002)&lt;&gt;0)),1,0)</f>
        <v>0</v>
      </c>
      <c r="S2202">
        <f>N(S2201)+$R2202</f>
        <v>1</v>
      </c>
      <c r="T2202">
        <f>IF(AND($K2202=1,AND(对接源_02物料!$X1002="公司筐",N(对接源_02物料!$V1002)&lt;&gt;0)),1,0)</f>
        <v>0</v>
      </c>
      <c r="U2202">
        <f>N(U2201)+$T2202</f>
        <v>47</v>
      </c>
      <c r="V2202">
        <f>IF(AND($L2202=1,AND(对接源_02物料!$X1002="自备筐",N(对接源_02物料!$V1002)&lt;&gt;0)),1,0)</f>
        <v>0</v>
      </c>
      <c r="W2202">
        <f>N(W2201)+$V2202</f>
        <v>11</v>
      </c>
      <c r="X2202">
        <f>IF(AND($L2202=1,AND(对接源_02物料!$X1002="自备筐",N(对接源_02物料!$T1002)&lt;&gt;0)),1,0)</f>
        <v>0</v>
      </c>
      <c r="Y2202">
        <f>N(Y2201)+$X2202</f>
        <v>0</v>
      </c>
      <c r="Z2202">
        <f>IF(AND($M2202=1,对接源_02物料!$D1002="原料入库"),1,0)</f>
        <v>0</v>
      </c>
      <c r="AA2202">
        <f>N(AA2201)+$Z2202</f>
        <v>24</v>
      </c>
      <c r="AB2202">
        <f>IF(AND($M2202=1,LEFT(对接源_02物料!$D1002,4)="原料出库"),1,0)</f>
        <v>0</v>
      </c>
      <c r="AC2202">
        <f>N(AC2201)+$AB2202</f>
        <v>0</v>
      </c>
      <c r="AD2202">
        <f>IF(AND($M2202=1,LEFT(对接源_02物料!$D1002,4)="成品出库"),1,0)</f>
        <v>0</v>
      </c>
      <c r="AE2202">
        <f>N(AE2201)+$AD2202</f>
        <v>0</v>
      </c>
      <c r="AF2202">
        <f>IF(AND($N2202=1,AND(LEFT(对接源_02物料!$D1002,4)="包装物料",N(对接源_02物料!$K1002)&lt;&gt;0)),1,0)</f>
        <v>0</v>
      </c>
      <c r="AG2202">
        <f>N(AG2201)+$AF2202</f>
        <v>10</v>
      </c>
      <c r="AH2202">
        <f>IF(AND($N2202=1,AND(对接源_02物料!$D1002="周转筐－销售出库",N(对接源_02物料!$K1002)&lt;&gt;0)),1,0)</f>
        <v>0</v>
      </c>
      <c r="AI2202">
        <f>N(AI2201)+$AH2202</f>
        <v>0</v>
      </c>
      <c r="AL2202" t="n">
        <v>0</v>
      </c>
      <c r="AM2202">
        <f>N(AM2201)+$AL2202</f>
        <v>2</v>
      </c>
      <c r="AN2202">
        <f>""</f>
      </c>
      <c r="AO2202" t="n">
        <v>0</v>
      </c>
      <c r="AP2202">
        <f>N(AP2201)+$AO2202</f>
        <v>13</v>
      </c>
      <c r="AR2202">
        <f>IF(OR($AF2202=1,$AH2202=1),1,0)</f>
        <v>0</v>
      </c>
      <c r="AS2202">
        <f>N(AS2201)+$AR2202</f>
        <v>10</v>
      </c>
    </row>
    <row r="2203" s="127">
      <c r="A2203">
        <f>IF(对接源_02物料!$C1003="","",对接源_02物料!$C1003)</f>
      </c>
      <c r="B2203">
        <f>IF(A2203="",0,IF(MATCH(A2203,$A$4:$A$2403,0)=ROW()-3,1,0))</f>
        <v>0</v>
      </c>
      <c r="C2203">
        <f>N(C2202)+B2203</f>
        <v>26</v>
      </c>
      <c r="K2203">
        <f>IF(OR($K$1="",对接源_02物料!$C1003="",对接源_02物料!$C1003&lt;&gt;$K$1,对接源_02物料!$B1003=""),0,IF(OR(N(对接源_02物料!$B1003)&lt;$K$2,N(对接源_02物料!$B1003)&gt;$K$3),0,1))</f>
        <v>0</v>
      </c>
      <c r="L2203">
        <f>IF(OR($L$1="",对接源_02物料!$C1003="",对接源_02物料!$C1003&lt;&gt;$L$1,对接源_02物料!$B1003=""),0,IF(OR(N(对接源_02物料!$B1003)&lt;$L$2,N(对接源_02物料!$B1003)&gt;$L$3),0,1))</f>
        <v>0</v>
      </c>
      <c r="M2203">
        <f>IF(OR($M$1="",对接源_02物料!$C1003="",对接源_02物料!$C1003&lt;&gt;$M$1,对接源_02物料!$B1003=""),0,IF(OR(N(对接源_02物料!$B1003)&lt;$M$2,N(对接源_02物料!$B1003)&gt;$M$3),0,1))</f>
        <v>0</v>
      </c>
      <c r="N2203">
        <f>IF(OR($N$1="",对接源_02物料!$C1003="",对接源_02物料!$C1003&lt;&gt;$N$1,对接源_02物料!$B1003=""),0,IF(OR(N(对接源_02物料!$B1003)&lt;$N$2,N(对接源_02物料!$B1003)&gt;$N$3),0,1))</f>
        <v>0</v>
      </c>
      <c r="P2203">
        <f>IF(AND($K2203=1,AND(对接源_02物料!$X1003="公司筐",N(对接源_02物料!$T1003)&lt;&gt;0)),1,0)</f>
        <v>0</v>
      </c>
      <c r="Q2203">
        <f>N(Q2202)+$P2203</f>
        <v>14</v>
      </c>
      <c r="R2203">
        <f>IF(AND($K2203=1,AND(对接源_02物料!$X1003="公司筐",N(对接源_02物料!$U1003)&lt;&gt;0)),1,0)</f>
        <v>0</v>
      </c>
      <c r="S2203">
        <f>N(S2202)+$R2203</f>
        <v>1</v>
      </c>
      <c r="T2203">
        <f>IF(AND($K2203=1,AND(对接源_02物料!$X1003="公司筐",N(对接源_02物料!$V1003)&lt;&gt;0)),1,0)</f>
        <v>0</v>
      </c>
      <c r="U2203">
        <f>N(U2202)+$T2203</f>
        <v>47</v>
      </c>
      <c r="V2203">
        <f>IF(AND($L2203=1,AND(对接源_02物料!$X1003="自备筐",N(对接源_02物料!$V1003)&lt;&gt;0)),1,0)</f>
        <v>0</v>
      </c>
      <c r="W2203">
        <f>N(W2202)+$V2203</f>
        <v>11</v>
      </c>
      <c r="X2203">
        <f>IF(AND($L2203=1,AND(对接源_02物料!$X1003="自备筐",N(对接源_02物料!$T1003)&lt;&gt;0)),1,0)</f>
        <v>0</v>
      </c>
      <c r="Y2203">
        <f>N(Y2202)+$X2203</f>
        <v>0</v>
      </c>
      <c r="Z2203">
        <f>IF(AND($M2203=1,对接源_02物料!$D1003="原料入库"),1,0)</f>
        <v>0</v>
      </c>
      <c r="AA2203">
        <f>N(AA2202)+$Z2203</f>
        <v>24</v>
      </c>
      <c r="AB2203">
        <f>IF(AND($M2203=1,LEFT(对接源_02物料!$D1003,4)="原料出库"),1,0)</f>
        <v>0</v>
      </c>
      <c r="AC2203">
        <f>N(AC2202)+$AB2203</f>
        <v>0</v>
      </c>
      <c r="AD2203">
        <f>IF(AND($M2203=1,LEFT(对接源_02物料!$D1003,4)="成品出库"),1,0)</f>
        <v>0</v>
      </c>
      <c r="AE2203">
        <f>N(AE2202)+$AD2203</f>
        <v>0</v>
      </c>
      <c r="AF2203">
        <f>IF(AND($N2203=1,AND(LEFT(对接源_02物料!$D1003,4)="包装物料",N(对接源_02物料!$K1003)&lt;&gt;0)),1,0)</f>
        <v>0</v>
      </c>
      <c r="AG2203">
        <f>N(AG2202)+$AF2203</f>
        <v>10</v>
      </c>
      <c r="AH2203">
        <f>IF(AND($N2203=1,AND(对接源_02物料!$D1003="周转筐－销售出库",N(对接源_02物料!$K1003)&lt;&gt;0)),1,0)</f>
        <v>0</v>
      </c>
      <c r="AI2203">
        <f>N(AI2202)+$AH2203</f>
        <v>0</v>
      </c>
      <c r="AL2203" t="n">
        <v>0</v>
      </c>
      <c r="AM2203">
        <f>N(AM2202)+$AL2203</f>
        <v>2</v>
      </c>
      <c r="AN2203">
        <f>""</f>
      </c>
      <c r="AO2203" t="n">
        <v>0</v>
      </c>
      <c r="AP2203">
        <f>N(AP2202)+$AO2203</f>
        <v>13</v>
      </c>
      <c r="AR2203">
        <f>IF(OR($AF2203=1,$AH2203=1),1,0)</f>
        <v>0</v>
      </c>
      <c r="AS2203">
        <f>N(AS2202)+$AR2203</f>
        <v>10</v>
      </c>
    </row>
    <row r="2204" s="127">
      <c r="A2204">
        <f>IF(对接源_02物料!$C1004="","",对接源_02物料!$C1004)</f>
      </c>
      <c r="B2204">
        <f>IF(A2204="",0,IF(MATCH(A2204,$A$4:$A$2403,0)=ROW()-3,1,0))</f>
        <v>0</v>
      </c>
      <c r="C2204">
        <f>N(C2203)+B2204</f>
        <v>26</v>
      </c>
      <c r="K2204">
        <f>IF(OR($K$1="",对接源_02物料!$C1004="",对接源_02物料!$C1004&lt;&gt;$K$1,对接源_02物料!$B1004=""),0,IF(OR(N(对接源_02物料!$B1004)&lt;$K$2,N(对接源_02物料!$B1004)&gt;$K$3),0,1))</f>
        <v>0</v>
      </c>
      <c r="L2204">
        <f>IF(OR($L$1="",对接源_02物料!$C1004="",对接源_02物料!$C1004&lt;&gt;$L$1,对接源_02物料!$B1004=""),0,IF(OR(N(对接源_02物料!$B1004)&lt;$L$2,N(对接源_02物料!$B1004)&gt;$L$3),0,1))</f>
        <v>0</v>
      </c>
      <c r="M2204">
        <f>IF(OR($M$1="",对接源_02物料!$C1004="",对接源_02物料!$C1004&lt;&gt;$M$1,对接源_02物料!$B1004=""),0,IF(OR(N(对接源_02物料!$B1004)&lt;$M$2,N(对接源_02物料!$B1004)&gt;$M$3),0,1))</f>
        <v>0</v>
      </c>
      <c r="N2204">
        <f>IF(OR($N$1="",对接源_02物料!$C1004="",对接源_02物料!$C1004&lt;&gt;$N$1,对接源_02物料!$B1004=""),0,IF(OR(N(对接源_02物料!$B1004)&lt;$N$2,N(对接源_02物料!$B1004)&gt;$N$3),0,1))</f>
        <v>0</v>
      </c>
      <c r="P2204">
        <f>IF(AND($K2204=1,AND(对接源_02物料!$X1004="公司筐",N(对接源_02物料!$T1004)&lt;&gt;0)),1,0)</f>
        <v>0</v>
      </c>
      <c r="Q2204">
        <f>N(Q2203)+$P2204</f>
        <v>14</v>
      </c>
      <c r="R2204">
        <f>IF(AND($K2204=1,AND(对接源_02物料!$X1004="公司筐",N(对接源_02物料!$U1004)&lt;&gt;0)),1,0)</f>
        <v>0</v>
      </c>
      <c r="S2204">
        <f>N(S2203)+$R2204</f>
        <v>1</v>
      </c>
      <c r="T2204">
        <f>IF(AND($K2204=1,AND(对接源_02物料!$X1004="公司筐",N(对接源_02物料!$V1004)&lt;&gt;0)),1,0)</f>
        <v>0</v>
      </c>
      <c r="U2204">
        <f>N(U2203)+$T2204</f>
        <v>47</v>
      </c>
      <c r="V2204">
        <f>IF(AND($L2204=1,AND(对接源_02物料!$X1004="自备筐",N(对接源_02物料!$V1004)&lt;&gt;0)),1,0)</f>
        <v>0</v>
      </c>
      <c r="W2204">
        <f>N(W2203)+$V2204</f>
        <v>11</v>
      </c>
      <c r="X2204">
        <f>IF(AND($L2204=1,AND(对接源_02物料!$X1004="自备筐",N(对接源_02物料!$T1004)&lt;&gt;0)),1,0)</f>
        <v>0</v>
      </c>
      <c r="Y2204">
        <f>N(Y2203)+$X2204</f>
        <v>0</v>
      </c>
      <c r="Z2204">
        <f>IF(AND($M2204=1,对接源_02物料!$D1004="原料入库"),1,0)</f>
        <v>0</v>
      </c>
      <c r="AA2204">
        <f>N(AA2203)+$Z2204</f>
        <v>24</v>
      </c>
      <c r="AB2204">
        <f>IF(AND($M2204=1,LEFT(对接源_02物料!$D1004,4)="原料出库"),1,0)</f>
        <v>0</v>
      </c>
      <c r="AC2204">
        <f>N(AC2203)+$AB2204</f>
        <v>0</v>
      </c>
      <c r="AD2204">
        <f>IF(AND($M2204=1,LEFT(对接源_02物料!$D1004,4)="成品出库"),1,0)</f>
        <v>0</v>
      </c>
      <c r="AE2204">
        <f>N(AE2203)+$AD2204</f>
        <v>0</v>
      </c>
      <c r="AF2204">
        <f>IF(AND($N2204=1,AND(LEFT(对接源_02物料!$D1004,4)="包装物料",N(对接源_02物料!$K1004)&lt;&gt;0)),1,0)</f>
        <v>0</v>
      </c>
      <c r="AG2204">
        <f>N(AG2203)+$AF2204</f>
        <v>10</v>
      </c>
      <c r="AH2204">
        <f>IF(AND($N2204=1,AND(对接源_02物料!$D1004="周转筐－销售出库",N(对接源_02物料!$K1004)&lt;&gt;0)),1,0)</f>
        <v>0</v>
      </c>
      <c r="AI2204">
        <f>N(AI2203)+$AH2204</f>
        <v>0</v>
      </c>
      <c r="AL2204" t="n">
        <v>0</v>
      </c>
      <c r="AM2204">
        <f>N(AM2203)+$AL2204</f>
        <v>2</v>
      </c>
      <c r="AN2204">
        <f>""</f>
      </c>
      <c r="AO2204" t="n">
        <v>0</v>
      </c>
      <c r="AP2204">
        <f>N(AP2203)+$AO2204</f>
        <v>13</v>
      </c>
      <c r="AR2204">
        <f>IF(OR($AF2204=1,$AH2204=1),1,0)</f>
        <v>0</v>
      </c>
      <c r="AS2204">
        <f>N(AS2203)+$AR2204</f>
        <v>10</v>
      </c>
    </row>
    <row r="2205" s="127">
      <c r="A2205">
        <f>IF(对接源_02物料!$C1005="","",对接源_02物料!$C1005)</f>
      </c>
      <c r="B2205">
        <f>IF(A2205="",0,IF(MATCH(A2205,$A$4:$A$2403,0)=ROW()-3,1,0))</f>
        <v>0</v>
      </c>
      <c r="C2205">
        <f>N(C2204)+B2205</f>
        <v>26</v>
      </c>
      <c r="K2205">
        <f>IF(OR($K$1="",对接源_02物料!$C1005="",对接源_02物料!$C1005&lt;&gt;$K$1,对接源_02物料!$B1005=""),0,IF(OR(N(对接源_02物料!$B1005)&lt;$K$2,N(对接源_02物料!$B1005)&gt;$K$3),0,1))</f>
        <v>0</v>
      </c>
      <c r="L2205">
        <f>IF(OR($L$1="",对接源_02物料!$C1005="",对接源_02物料!$C1005&lt;&gt;$L$1,对接源_02物料!$B1005=""),0,IF(OR(N(对接源_02物料!$B1005)&lt;$L$2,N(对接源_02物料!$B1005)&gt;$L$3),0,1))</f>
        <v>0</v>
      </c>
      <c r="M2205">
        <f>IF(OR($M$1="",对接源_02物料!$C1005="",对接源_02物料!$C1005&lt;&gt;$M$1,对接源_02物料!$B1005=""),0,IF(OR(N(对接源_02物料!$B1005)&lt;$M$2,N(对接源_02物料!$B1005)&gt;$M$3),0,1))</f>
        <v>0</v>
      </c>
      <c r="N2205">
        <f>IF(OR($N$1="",对接源_02物料!$C1005="",对接源_02物料!$C1005&lt;&gt;$N$1,对接源_02物料!$B1005=""),0,IF(OR(N(对接源_02物料!$B1005)&lt;$N$2,N(对接源_02物料!$B1005)&gt;$N$3),0,1))</f>
        <v>0</v>
      </c>
      <c r="P2205">
        <f>IF(AND($K2205=1,AND(对接源_02物料!$X1005="公司筐",N(对接源_02物料!$T1005)&lt;&gt;0)),1,0)</f>
        <v>0</v>
      </c>
      <c r="Q2205">
        <f>N(Q2204)+$P2205</f>
        <v>14</v>
      </c>
      <c r="R2205">
        <f>IF(AND($K2205=1,AND(对接源_02物料!$X1005="公司筐",N(对接源_02物料!$U1005)&lt;&gt;0)),1,0)</f>
        <v>0</v>
      </c>
      <c r="S2205">
        <f>N(S2204)+$R2205</f>
        <v>1</v>
      </c>
      <c r="T2205">
        <f>IF(AND($K2205=1,AND(对接源_02物料!$X1005="公司筐",N(对接源_02物料!$V1005)&lt;&gt;0)),1,0)</f>
        <v>0</v>
      </c>
      <c r="U2205">
        <f>N(U2204)+$T2205</f>
        <v>47</v>
      </c>
      <c r="V2205">
        <f>IF(AND($L2205=1,AND(对接源_02物料!$X1005="自备筐",N(对接源_02物料!$V1005)&lt;&gt;0)),1,0)</f>
        <v>0</v>
      </c>
      <c r="W2205">
        <f>N(W2204)+$V2205</f>
        <v>11</v>
      </c>
      <c r="X2205">
        <f>IF(AND($L2205=1,AND(对接源_02物料!$X1005="自备筐",N(对接源_02物料!$T1005)&lt;&gt;0)),1,0)</f>
        <v>0</v>
      </c>
      <c r="Y2205">
        <f>N(Y2204)+$X2205</f>
        <v>0</v>
      </c>
      <c r="Z2205">
        <f>IF(AND($M2205=1,对接源_02物料!$D1005="原料入库"),1,0)</f>
        <v>0</v>
      </c>
      <c r="AA2205">
        <f>N(AA2204)+$Z2205</f>
        <v>24</v>
      </c>
      <c r="AB2205">
        <f>IF(AND($M2205=1,LEFT(对接源_02物料!$D1005,4)="原料出库"),1,0)</f>
        <v>0</v>
      </c>
      <c r="AC2205">
        <f>N(AC2204)+$AB2205</f>
        <v>0</v>
      </c>
      <c r="AD2205">
        <f>IF(AND($M2205=1,LEFT(对接源_02物料!$D1005,4)="成品出库"),1,0)</f>
        <v>0</v>
      </c>
      <c r="AE2205">
        <f>N(AE2204)+$AD2205</f>
        <v>0</v>
      </c>
      <c r="AF2205">
        <f>IF(AND($N2205=1,AND(LEFT(对接源_02物料!$D1005,4)="包装物料",N(对接源_02物料!$K1005)&lt;&gt;0)),1,0)</f>
        <v>0</v>
      </c>
      <c r="AG2205">
        <f>N(AG2204)+$AF2205</f>
        <v>10</v>
      </c>
      <c r="AH2205">
        <f>IF(AND($N2205=1,AND(对接源_02物料!$D1005="周转筐－销售出库",N(对接源_02物料!$K1005)&lt;&gt;0)),1,0)</f>
        <v>0</v>
      </c>
      <c r="AI2205">
        <f>N(AI2204)+$AH2205</f>
        <v>0</v>
      </c>
      <c r="AL2205" t="n">
        <v>0</v>
      </c>
      <c r="AM2205">
        <f>N(AM2204)+$AL2205</f>
        <v>2</v>
      </c>
      <c r="AN2205">
        <f>""</f>
      </c>
      <c r="AO2205" t="n">
        <v>0</v>
      </c>
      <c r="AP2205">
        <f>N(AP2204)+$AO2205</f>
        <v>13</v>
      </c>
      <c r="AR2205">
        <f>IF(OR($AF2205=1,$AH2205=1),1,0)</f>
        <v>0</v>
      </c>
      <c r="AS2205">
        <f>N(AS2204)+$AR2205</f>
        <v>10</v>
      </c>
    </row>
    <row r="2206" s="127">
      <c r="A2206">
        <f>IF(对接源_02物料!$C1006="","",对接源_02物料!$C1006)</f>
      </c>
      <c r="B2206">
        <f>IF(A2206="",0,IF(MATCH(A2206,$A$4:$A$2403,0)=ROW()-3,1,0))</f>
        <v>0</v>
      </c>
      <c r="C2206">
        <f>N(C2205)+B2206</f>
        <v>26</v>
      </c>
      <c r="K2206">
        <f>IF(OR($K$1="",对接源_02物料!$C1006="",对接源_02物料!$C1006&lt;&gt;$K$1,对接源_02物料!$B1006=""),0,IF(OR(N(对接源_02物料!$B1006)&lt;$K$2,N(对接源_02物料!$B1006)&gt;$K$3),0,1))</f>
        <v>0</v>
      </c>
      <c r="L2206">
        <f>IF(OR($L$1="",对接源_02物料!$C1006="",对接源_02物料!$C1006&lt;&gt;$L$1,对接源_02物料!$B1006=""),0,IF(OR(N(对接源_02物料!$B1006)&lt;$L$2,N(对接源_02物料!$B1006)&gt;$L$3),0,1))</f>
        <v>0</v>
      </c>
      <c r="M2206">
        <f>IF(OR($M$1="",对接源_02物料!$C1006="",对接源_02物料!$C1006&lt;&gt;$M$1,对接源_02物料!$B1006=""),0,IF(OR(N(对接源_02物料!$B1006)&lt;$M$2,N(对接源_02物料!$B1006)&gt;$M$3),0,1))</f>
        <v>0</v>
      </c>
      <c r="N2206">
        <f>IF(OR($N$1="",对接源_02物料!$C1006="",对接源_02物料!$C1006&lt;&gt;$N$1,对接源_02物料!$B1006=""),0,IF(OR(N(对接源_02物料!$B1006)&lt;$N$2,N(对接源_02物料!$B1006)&gt;$N$3),0,1))</f>
        <v>0</v>
      </c>
      <c r="P2206">
        <f>IF(AND($K2206=1,AND(对接源_02物料!$X1006="公司筐",N(对接源_02物料!$T1006)&lt;&gt;0)),1,0)</f>
        <v>0</v>
      </c>
      <c r="Q2206">
        <f>N(Q2205)+$P2206</f>
        <v>14</v>
      </c>
      <c r="R2206">
        <f>IF(AND($K2206=1,AND(对接源_02物料!$X1006="公司筐",N(对接源_02物料!$U1006)&lt;&gt;0)),1,0)</f>
        <v>0</v>
      </c>
      <c r="S2206">
        <f>N(S2205)+$R2206</f>
        <v>1</v>
      </c>
      <c r="T2206">
        <f>IF(AND($K2206=1,AND(对接源_02物料!$X1006="公司筐",N(对接源_02物料!$V1006)&lt;&gt;0)),1,0)</f>
        <v>0</v>
      </c>
      <c r="U2206">
        <f>N(U2205)+$T2206</f>
        <v>47</v>
      </c>
      <c r="V2206">
        <f>IF(AND($L2206=1,AND(对接源_02物料!$X1006="自备筐",N(对接源_02物料!$V1006)&lt;&gt;0)),1,0)</f>
        <v>0</v>
      </c>
      <c r="W2206">
        <f>N(W2205)+$V2206</f>
        <v>11</v>
      </c>
      <c r="X2206">
        <f>IF(AND($L2206=1,AND(对接源_02物料!$X1006="自备筐",N(对接源_02物料!$T1006)&lt;&gt;0)),1,0)</f>
        <v>0</v>
      </c>
      <c r="Y2206">
        <f>N(Y2205)+$X2206</f>
        <v>0</v>
      </c>
      <c r="Z2206">
        <f>IF(AND($M2206=1,对接源_02物料!$D1006="原料入库"),1,0)</f>
        <v>0</v>
      </c>
      <c r="AA2206">
        <f>N(AA2205)+$Z2206</f>
        <v>24</v>
      </c>
      <c r="AB2206">
        <f>IF(AND($M2206=1,LEFT(对接源_02物料!$D1006,4)="原料出库"),1,0)</f>
        <v>0</v>
      </c>
      <c r="AC2206">
        <f>N(AC2205)+$AB2206</f>
        <v>0</v>
      </c>
      <c r="AD2206">
        <f>IF(AND($M2206=1,LEFT(对接源_02物料!$D1006,4)="成品出库"),1,0)</f>
        <v>0</v>
      </c>
      <c r="AE2206">
        <f>N(AE2205)+$AD2206</f>
        <v>0</v>
      </c>
      <c r="AF2206">
        <f>IF(AND($N2206=1,AND(LEFT(对接源_02物料!$D1006,4)="包装物料",N(对接源_02物料!$K1006)&lt;&gt;0)),1,0)</f>
        <v>0</v>
      </c>
      <c r="AG2206">
        <f>N(AG2205)+$AF2206</f>
        <v>10</v>
      </c>
      <c r="AH2206">
        <f>IF(AND($N2206=1,AND(对接源_02物料!$D1006="周转筐－销售出库",N(对接源_02物料!$K1006)&lt;&gt;0)),1,0)</f>
        <v>0</v>
      </c>
      <c r="AI2206">
        <f>N(AI2205)+$AH2206</f>
        <v>0</v>
      </c>
      <c r="AL2206" t="n">
        <v>0</v>
      </c>
      <c r="AM2206">
        <f>N(AM2205)+$AL2206</f>
        <v>2</v>
      </c>
      <c r="AN2206">
        <f>""</f>
      </c>
      <c r="AO2206" t="n">
        <v>0</v>
      </c>
      <c r="AP2206">
        <f>N(AP2205)+$AO2206</f>
        <v>13</v>
      </c>
      <c r="AR2206">
        <f>IF(OR($AF2206=1,$AH2206=1),1,0)</f>
        <v>0</v>
      </c>
      <c r="AS2206">
        <f>N(AS2205)+$AR2206</f>
        <v>10</v>
      </c>
    </row>
    <row r="2207" s="127">
      <c r="A2207">
        <f>IF(对接源_02物料!$C1007="","",对接源_02物料!$C1007)</f>
      </c>
      <c r="B2207">
        <f>IF(A2207="",0,IF(MATCH(A2207,$A$4:$A$2403,0)=ROW()-3,1,0))</f>
        <v>0</v>
      </c>
      <c r="C2207">
        <f>N(C2206)+B2207</f>
        <v>26</v>
      </c>
      <c r="K2207">
        <f>IF(OR($K$1="",对接源_02物料!$C1007="",对接源_02物料!$C1007&lt;&gt;$K$1,对接源_02物料!$B1007=""),0,IF(OR(N(对接源_02物料!$B1007)&lt;$K$2,N(对接源_02物料!$B1007)&gt;$K$3),0,1))</f>
        <v>0</v>
      </c>
      <c r="L2207">
        <f>IF(OR($L$1="",对接源_02物料!$C1007="",对接源_02物料!$C1007&lt;&gt;$L$1,对接源_02物料!$B1007=""),0,IF(OR(N(对接源_02物料!$B1007)&lt;$L$2,N(对接源_02物料!$B1007)&gt;$L$3),0,1))</f>
        <v>0</v>
      </c>
      <c r="M2207">
        <f>IF(OR($M$1="",对接源_02物料!$C1007="",对接源_02物料!$C1007&lt;&gt;$M$1,对接源_02物料!$B1007=""),0,IF(OR(N(对接源_02物料!$B1007)&lt;$M$2,N(对接源_02物料!$B1007)&gt;$M$3),0,1))</f>
        <v>0</v>
      </c>
      <c r="N2207">
        <f>IF(OR($N$1="",对接源_02物料!$C1007="",对接源_02物料!$C1007&lt;&gt;$N$1,对接源_02物料!$B1007=""),0,IF(OR(N(对接源_02物料!$B1007)&lt;$N$2,N(对接源_02物料!$B1007)&gt;$N$3),0,1))</f>
        <v>0</v>
      </c>
      <c r="P2207">
        <f>IF(AND($K2207=1,AND(对接源_02物料!$X1007="公司筐",N(对接源_02物料!$T1007)&lt;&gt;0)),1,0)</f>
        <v>0</v>
      </c>
      <c r="Q2207">
        <f>N(Q2206)+$P2207</f>
        <v>14</v>
      </c>
      <c r="R2207">
        <f>IF(AND($K2207=1,AND(对接源_02物料!$X1007="公司筐",N(对接源_02物料!$U1007)&lt;&gt;0)),1,0)</f>
        <v>0</v>
      </c>
      <c r="S2207">
        <f>N(S2206)+$R2207</f>
        <v>1</v>
      </c>
      <c r="T2207">
        <f>IF(AND($K2207=1,AND(对接源_02物料!$X1007="公司筐",N(对接源_02物料!$V1007)&lt;&gt;0)),1,0)</f>
        <v>0</v>
      </c>
      <c r="U2207">
        <f>N(U2206)+$T2207</f>
        <v>47</v>
      </c>
      <c r="V2207">
        <f>IF(AND($L2207=1,AND(对接源_02物料!$X1007="自备筐",N(对接源_02物料!$V1007)&lt;&gt;0)),1,0)</f>
        <v>0</v>
      </c>
      <c r="W2207">
        <f>N(W2206)+$V2207</f>
        <v>11</v>
      </c>
      <c r="X2207">
        <f>IF(AND($L2207=1,AND(对接源_02物料!$X1007="自备筐",N(对接源_02物料!$T1007)&lt;&gt;0)),1,0)</f>
        <v>0</v>
      </c>
      <c r="Y2207">
        <f>N(Y2206)+$X2207</f>
        <v>0</v>
      </c>
      <c r="Z2207">
        <f>IF(AND($M2207=1,对接源_02物料!$D1007="原料入库"),1,0)</f>
        <v>0</v>
      </c>
      <c r="AA2207">
        <f>N(AA2206)+$Z2207</f>
        <v>24</v>
      </c>
      <c r="AB2207">
        <f>IF(AND($M2207=1,LEFT(对接源_02物料!$D1007,4)="原料出库"),1,0)</f>
        <v>0</v>
      </c>
      <c r="AC2207">
        <f>N(AC2206)+$AB2207</f>
        <v>0</v>
      </c>
      <c r="AD2207">
        <f>IF(AND($M2207=1,LEFT(对接源_02物料!$D1007,4)="成品出库"),1,0)</f>
        <v>0</v>
      </c>
      <c r="AE2207">
        <f>N(AE2206)+$AD2207</f>
        <v>0</v>
      </c>
      <c r="AF2207">
        <f>IF(AND($N2207=1,AND(LEFT(对接源_02物料!$D1007,4)="包装物料",N(对接源_02物料!$K1007)&lt;&gt;0)),1,0)</f>
        <v>0</v>
      </c>
      <c r="AG2207">
        <f>N(AG2206)+$AF2207</f>
        <v>10</v>
      </c>
      <c r="AH2207">
        <f>IF(AND($N2207=1,AND(对接源_02物料!$D1007="周转筐－销售出库",N(对接源_02物料!$K1007)&lt;&gt;0)),1,0)</f>
        <v>0</v>
      </c>
      <c r="AI2207">
        <f>N(AI2206)+$AH2207</f>
        <v>0</v>
      </c>
      <c r="AL2207" t="n">
        <v>0</v>
      </c>
      <c r="AM2207">
        <f>N(AM2206)+$AL2207</f>
        <v>2</v>
      </c>
      <c r="AN2207">
        <f>""</f>
      </c>
      <c r="AO2207" t="n">
        <v>0</v>
      </c>
      <c r="AP2207">
        <f>N(AP2206)+$AO2207</f>
        <v>13</v>
      </c>
      <c r="AR2207">
        <f>IF(OR($AF2207=1,$AH2207=1),1,0)</f>
        <v>0</v>
      </c>
      <c r="AS2207">
        <f>N(AS2206)+$AR2207</f>
        <v>10</v>
      </c>
    </row>
    <row r="2208" s="127">
      <c r="A2208">
        <f>IF(对接源_02物料!$C1008="","",对接源_02物料!$C1008)</f>
      </c>
      <c r="B2208">
        <f>IF(A2208="",0,IF(MATCH(A2208,$A$4:$A$2403,0)=ROW()-3,1,0))</f>
        <v>0</v>
      </c>
      <c r="C2208">
        <f>N(C2207)+B2208</f>
        <v>26</v>
      </c>
      <c r="K2208">
        <f>IF(OR($K$1="",对接源_02物料!$C1008="",对接源_02物料!$C1008&lt;&gt;$K$1,对接源_02物料!$B1008=""),0,IF(OR(N(对接源_02物料!$B1008)&lt;$K$2,N(对接源_02物料!$B1008)&gt;$K$3),0,1))</f>
        <v>0</v>
      </c>
      <c r="L2208">
        <f>IF(OR($L$1="",对接源_02物料!$C1008="",对接源_02物料!$C1008&lt;&gt;$L$1,对接源_02物料!$B1008=""),0,IF(OR(N(对接源_02物料!$B1008)&lt;$L$2,N(对接源_02物料!$B1008)&gt;$L$3),0,1))</f>
        <v>0</v>
      </c>
      <c r="M2208">
        <f>IF(OR($M$1="",对接源_02物料!$C1008="",对接源_02物料!$C1008&lt;&gt;$M$1,对接源_02物料!$B1008=""),0,IF(OR(N(对接源_02物料!$B1008)&lt;$M$2,N(对接源_02物料!$B1008)&gt;$M$3),0,1))</f>
        <v>0</v>
      </c>
      <c r="N2208">
        <f>IF(OR($N$1="",对接源_02物料!$C1008="",对接源_02物料!$C1008&lt;&gt;$N$1,对接源_02物料!$B1008=""),0,IF(OR(N(对接源_02物料!$B1008)&lt;$N$2,N(对接源_02物料!$B1008)&gt;$N$3),0,1))</f>
        <v>0</v>
      </c>
      <c r="P2208">
        <f>IF(AND($K2208=1,AND(对接源_02物料!$X1008="公司筐",N(对接源_02物料!$T1008)&lt;&gt;0)),1,0)</f>
        <v>0</v>
      </c>
      <c r="Q2208">
        <f>N(Q2207)+$P2208</f>
        <v>14</v>
      </c>
      <c r="R2208">
        <f>IF(AND($K2208=1,AND(对接源_02物料!$X1008="公司筐",N(对接源_02物料!$U1008)&lt;&gt;0)),1,0)</f>
        <v>0</v>
      </c>
      <c r="S2208">
        <f>N(S2207)+$R2208</f>
        <v>1</v>
      </c>
      <c r="T2208">
        <f>IF(AND($K2208=1,AND(对接源_02物料!$X1008="公司筐",N(对接源_02物料!$V1008)&lt;&gt;0)),1,0)</f>
        <v>0</v>
      </c>
      <c r="U2208">
        <f>N(U2207)+$T2208</f>
        <v>47</v>
      </c>
      <c r="V2208">
        <f>IF(AND($L2208=1,AND(对接源_02物料!$X1008="自备筐",N(对接源_02物料!$V1008)&lt;&gt;0)),1,0)</f>
        <v>0</v>
      </c>
      <c r="W2208">
        <f>N(W2207)+$V2208</f>
        <v>11</v>
      </c>
      <c r="X2208">
        <f>IF(AND($L2208=1,AND(对接源_02物料!$X1008="自备筐",N(对接源_02物料!$T1008)&lt;&gt;0)),1,0)</f>
        <v>0</v>
      </c>
      <c r="Y2208">
        <f>N(Y2207)+$X2208</f>
        <v>0</v>
      </c>
      <c r="Z2208">
        <f>IF(AND($M2208=1,对接源_02物料!$D1008="原料入库"),1,0)</f>
        <v>0</v>
      </c>
      <c r="AA2208">
        <f>N(AA2207)+$Z2208</f>
        <v>24</v>
      </c>
      <c r="AB2208">
        <f>IF(AND($M2208=1,LEFT(对接源_02物料!$D1008,4)="原料出库"),1,0)</f>
        <v>0</v>
      </c>
      <c r="AC2208">
        <f>N(AC2207)+$AB2208</f>
        <v>0</v>
      </c>
      <c r="AD2208">
        <f>IF(AND($M2208=1,LEFT(对接源_02物料!$D1008,4)="成品出库"),1,0)</f>
        <v>0</v>
      </c>
      <c r="AE2208">
        <f>N(AE2207)+$AD2208</f>
        <v>0</v>
      </c>
      <c r="AF2208">
        <f>IF(AND($N2208=1,AND(LEFT(对接源_02物料!$D1008,4)="包装物料",N(对接源_02物料!$K1008)&lt;&gt;0)),1,0)</f>
        <v>0</v>
      </c>
      <c r="AG2208">
        <f>N(AG2207)+$AF2208</f>
        <v>10</v>
      </c>
      <c r="AH2208">
        <f>IF(AND($N2208=1,AND(对接源_02物料!$D1008="周转筐－销售出库",N(对接源_02物料!$K1008)&lt;&gt;0)),1,0)</f>
        <v>0</v>
      </c>
      <c r="AI2208">
        <f>N(AI2207)+$AH2208</f>
        <v>0</v>
      </c>
      <c r="AL2208" t="n">
        <v>0</v>
      </c>
      <c r="AM2208">
        <f>N(AM2207)+$AL2208</f>
        <v>2</v>
      </c>
      <c r="AN2208">
        <f>""</f>
      </c>
      <c r="AO2208" t="n">
        <v>0</v>
      </c>
      <c r="AP2208">
        <f>N(AP2207)+$AO2208</f>
        <v>13</v>
      </c>
      <c r="AR2208">
        <f>IF(OR($AF2208=1,$AH2208=1),1,0)</f>
        <v>0</v>
      </c>
      <c r="AS2208">
        <f>N(AS2207)+$AR2208</f>
        <v>10</v>
      </c>
    </row>
    <row r="2209" s="127">
      <c r="A2209">
        <f>IF(对接源_02物料!$C1009="","",对接源_02物料!$C1009)</f>
      </c>
      <c r="B2209">
        <f>IF(A2209="",0,IF(MATCH(A2209,$A$4:$A$2403,0)=ROW()-3,1,0))</f>
        <v>0</v>
      </c>
      <c r="C2209">
        <f>N(C2208)+B2209</f>
        <v>26</v>
      </c>
      <c r="K2209">
        <f>IF(OR($K$1="",对接源_02物料!$C1009="",对接源_02物料!$C1009&lt;&gt;$K$1,对接源_02物料!$B1009=""),0,IF(OR(N(对接源_02物料!$B1009)&lt;$K$2,N(对接源_02物料!$B1009)&gt;$K$3),0,1))</f>
        <v>0</v>
      </c>
      <c r="L2209">
        <f>IF(OR($L$1="",对接源_02物料!$C1009="",对接源_02物料!$C1009&lt;&gt;$L$1,对接源_02物料!$B1009=""),0,IF(OR(N(对接源_02物料!$B1009)&lt;$L$2,N(对接源_02物料!$B1009)&gt;$L$3),0,1))</f>
        <v>0</v>
      </c>
      <c r="M2209">
        <f>IF(OR($M$1="",对接源_02物料!$C1009="",对接源_02物料!$C1009&lt;&gt;$M$1,对接源_02物料!$B1009=""),0,IF(OR(N(对接源_02物料!$B1009)&lt;$M$2,N(对接源_02物料!$B1009)&gt;$M$3),0,1))</f>
        <v>0</v>
      </c>
      <c r="N2209">
        <f>IF(OR($N$1="",对接源_02物料!$C1009="",对接源_02物料!$C1009&lt;&gt;$N$1,对接源_02物料!$B1009=""),0,IF(OR(N(对接源_02物料!$B1009)&lt;$N$2,N(对接源_02物料!$B1009)&gt;$N$3),0,1))</f>
        <v>0</v>
      </c>
      <c r="P2209">
        <f>IF(AND($K2209=1,AND(对接源_02物料!$X1009="公司筐",N(对接源_02物料!$T1009)&lt;&gt;0)),1,0)</f>
        <v>0</v>
      </c>
      <c r="Q2209">
        <f>N(Q2208)+$P2209</f>
        <v>14</v>
      </c>
      <c r="R2209">
        <f>IF(AND($K2209=1,AND(对接源_02物料!$X1009="公司筐",N(对接源_02物料!$U1009)&lt;&gt;0)),1,0)</f>
        <v>0</v>
      </c>
      <c r="S2209">
        <f>N(S2208)+$R2209</f>
        <v>1</v>
      </c>
      <c r="T2209">
        <f>IF(AND($K2209=1,AND(对接源_02物料!$X1009="公司筐",N(对接源_02物料!$V1009)&lt;&gt;0)),1,0)</f>
        <v>0</v>
      </c>
      <c r="U2209">
        <f>N(U2208)+$T2209</f>
        <v>47</v>
      </c>
      <c r="V2209">
        <f>IF(AND($L2209=1,AND(对接源_02物料!$X1009="自备筐",N(对接源_02物料!$V1009)&lt;&gt;0)),1,0)</f>
        <v>0</v>
      </c>
      <c r="W2209">
        <f>N(W2208)+$V2209</f>
        <v>11</v>
      </c>
      <c r="X2209">
        <f>IF(AND($L2209=1,AND(对接源_02物料!$X1009="自备筐",N(对接源_02物料!$T1009)&lt;&gt;0)),1,0)</f>
        <v>0</v>
      </c>
      <c r="Y2209">
        <f>N(Y2208)+$X2209</f>
        <v>0</v>
      </c>
      <c r="Z2209">
        <f>IF(AND($M2209=1,对接源_02物料!$D1009="原料入库"),1,0)</f>
        <v>0</v>
      </c>
      <c r="AA2209">
        <f>N(AA2208)+$Z2209</f>
        <v>24</v>
      </c>
      <c r="AB2209">
        <f>IF(AND($M2209=1,LEFT(对接源_02物料!$D1009,4)="原料出库"),1,0)</f>
        <v>0</v>
      </c>
      <c r="AC2209">
        <f>N(AC2208)+$AB2209</f>
        <v>0</v>
      </c>
      <c r="AD2209">
        <f>IF(AND($M2209=1,LEFT(对接源_02物料!$D1009,4)="成品出库"),1,0)</f>
        <v>0</v>
      </c>
      <c r="AE2209">
        <f>N(AE2208)+$AD2209</f>
        <v>0</v>
      </c>
      <c r="AF2209">
        <f>IF(AND($N2209=1,AND(LEFT(对接源_02物料!$D1009,4)="包装物料",N(对接源_02物料!$K1009)&lt;&gt;0)),1,0)</f>
        <v>0</v>
      </c>
      <c r="AG2209">
        <f>N(AG2208)+$AF2209</f>
        <v>10</v>
      </c>
      <c r="AH2209">
        <f>IF(AND($N2209=1,AND(对接源_02物料!$D1009="周转筐－销售出库",N(对接源_02物料!$K1009)&lt;&gt;0)),1,0)</f>
        <v>0</v>
      </c>
      <c r="AI2209">
        <f>N(AI2208)+$AH2209</f>
        <v>0</v>
      </c>
      <c r="AL2209" t="n">
        <v>0</v>
      </c>
      <c r="AM2209">
        <f>N(AM2208)+$AL2209</f>
        <v>2</v>
      </c>
      <c r="AN2209">
        <f>""</f>
      </c>
      <c r="AO2209" t="n">
        <v>0</v>
      </c>
      <c r="AP2209">
        <f>N(AP2208)+$AO2209</f>
        <v>13</v>
      </c>
      <c r="AR2209">
        <f>IF(OR($AF2209=1,$AH2209=1),1,0)</f>
        <v>0</v>
      </c>
      <c r="AS2209">
        <f>N(AS2208)+$AR2209</f>
        <v>10</v>
      </c>
    </row>
    <row r="2210" s="127">
      <c r="A2210">
        <f>IF(对接源_02物料!$C1010="","",对接源_02物料!$C1010)</f>
      </c>
      <c r="B2210">
        <f>IF(A2210="",0,IF(MATCH(A2210,$A$4:$A$2403,0)=ROW()-3,1,0))</f>
        <v>0</v>
      </c>
      <c r="C2210">
        <f>N(C2209)+B2210</f>
        <v>26</v>
      </c>
      <c r="K2210">
        <f>IF(OR($K$1="",对接源_02物料!$C1010="",对接源_02物料!$C1010&lt;&gt;$K$1,对接源_02物料!$B1010=""),0,IF(OR(N(对接源_02物料!$B1010)&lt;$K$2,N(对接源_02物料!$B1010)&gt;$K$3),0,1))</f>
        <v>0</v>
      </c>
      <c r="L2210">
        <f>IF(OR($L$1="",对接源_02物料!$C1010="",对接源_02物料!$C1010&lt;&gt;$L$1,对接源_02物料!$B1010=""),0,IF(OR(N(对接源_02物料!$B1010)&lt;$L$2,N(对接源_02物料!$B1010)&gt;$L$3),0,1))</f>
        <v>0</v>
      </c>
      <c r="M2210">
        <f>IF(OR($M$1="",对接源_02物料!$C1010="",对接源_02物料!$C1010&lt;&gt;$M$1,对接源_02物料!$B1010=""),0,IF(OR(N(对接源_02物料!$B1010)&lt;$M$2,N(对接源_02物料!$B1010)&gt;$M$3),0,1))</f>
        <v>0</v>
      </c>
      <c r="N2210">
        <f>IF(OR($N$1="",对接源_02物料!$C1010="",对接源_02物料!$C1010&lt;&gt;$N$1,对接源_02物料!$B1010=""),0,IF(OR(N(对接源_02物料!$B1010)&lt;$N$2,N(对接源_02物料!$B1010)&gt;$N$3),0,1))</f>
        <v>0</v>
      </c>
      <c r="P2210">
        <f>IF(AND($K2210=1,AND(对接源_02物料!$X1010="公司筐",N(对接源_02物料!$T1010)&lt;&gt;0)),1,0)</f>
        <v>0</v>
      </c>
      <c r="Q2210">
        <f>N(Q2209)+$P2210</f>
        <v>14</v>
      </c>
      <c r="R2210">
        <f>IF(AND($K2210=1,AND(对接源_02物料!$X1010="公司筐",N(对接源_02物料!$U1010)&lt;&gt;0)),1,0)</f>
        <v>0</v>
      </c>
      <c r="S2210">
        <f>N(S2209)+$R2210</f>
        <v>1</v>
      </c>
      <c r="T2210">
        <f>IF(AND($K2210=1,AND(对接源_02物料!$X1010="公司筐",N(对接源_02物料!$V1010)&lt;&gt;0)),1,0)</f>
        <v>0</v>
      </c>
      <c r="U2210">
        <f>N(U2209)+$T2210</f>
        <v>47</v>
      </c>
      <c r="V2210">
        <f>IF(AND($L2210=1,AND(对接源_02物料!$X1010="自备筐",N(对接源_02物料!$V1010)&lt;&gt;0)),1,0)</f>
        <v>0</v>
      </c>
      <c r="W2210">
        <f>N(W2209)+$V2210</f>
        <v>11</v>
      </c>
      <c r="X2210">
        <f>IF(AND($L2210=1,AND(对接源_02物料!$X1010="自备筐",N(对接源_02物料!$T1010)&lt;&gt;0)),1,0)</f>
        <v>0</v>
      </c>
      <c r="Y2210">
        <f>N(Y2209)+$X2210</f>
        <v>0</v>
      </c>
      <c r="Z2210">
        <f>IF(AND($M2210=1,对接源_02物料!$D1010="原料入库"),1,0)</f>
        <v>0</v>
      </c>
      <c r="AA2210">
        <f>N(AA2209)+$Z2210</f>
        <v>24</v>
      </c>
      <c r="AB2210">
        <f>IF(AND($M2210=1,LEFT(对接源_02物料!$D1010,4)="原料出库"),1,0)</f>
        <v>0</v>
      </c>
      <c r="AC2210">
        <f>N(AC2209)+$AB2210</f>
        <v>0</v>
      </c>
      <c r="AD2210">
        <f>IF(AND($M2210=1,LEFT(对接源_02物料!$D1010,4)="成品出库"),1,0)</f>
        <v>0</v>
      </c>
      <c r="AE2210">
        <f>N(AE2209)+$AD2210</f>
        <v>0</v>
      </c>
      <c r="AF2210">
        <f>IF(AND($N2210=1,AND(LEFT(对接源_02物料!$D1010,4)="包装物料",N(对接源_02物料!$K1010)&lt;&gt;0)),1,0)</f>
        <v>0</v>
      </c>
      <c r="AG2210">
        <f>N(AG2209)+$AF2210</f>
        <v>10</v>
      </c>
      <c r="AH2210">
        <f>IF(AND($N2210=1,AND(对接源_02物料!$D1010="周转筐－销售出库",N(对接源_02物料!$K1010)&lt;&gt;0)),1,0)</f>
        <v>0</v>
      </c>
      <c r="AI2210">
        <f>N(AI2209)+$AH2210</f>
        <v>0</v>
      </c>
      <c r="AL2210" t="n">
        <v>0</v>
      </c>
      <c r="AM2210">
        <f>N(AM2209)+$AL2210</f>
        <v>2</v>
      </c>
      <c r="AN2210">
        <f>""</f>
      </c>
      <c r="AO2210" t="n">
        <v>0</v>
      </c>
      <c r="AP2210">
        <f>N(AP2209)+$AO2210</f>
        <v>13</v>
      </c>
      <c r="AR2210">
        <f>IF(OR($AF2210=1,$AH2210=1),1,0)</f>
        <v>0</v>
      </c>
      <c r="AS2210">
        <f>N(AS2209)+$AR2210</f>
        <v>10</v>
      </c>
    </row>
    <row r="2211" s="127">
      <c r="A2211">
        <f>IF(对接源_02物料!$C1011="","",对接源_02物料!$C1011)</f>
      </c>
      <c r="B2211">
        <f>IF(A2211="",0,IF(MATCH(A2211,$A$4:$A$2403,0)=ROW()-3,1,0))</f>
        <v>0</v>
      </c>
      <c r="C2211">
        <f>N(C2210)+B2211</f>
        <v>26</v>
      </c>
      <c r="K2211">
        <f>IF(OR($K$1="",对接源_02物料!$C1011="",对接源_02物料!$C1011&lt;&gt;$K$1,对接源_02物料!$B1011=""),0,IF(OR(N(对接源_02物料!$B1011)&lt;$K$2,N(对接源_02物料!$B1011)&gt;$K$3),0,1))</f>
        <v>0</v>
      </c>
      <c r="L2211">
        <f>IF(OR($L$1="",对接源_02物料!$C1011="",对接源_02物料!$C1011&lt;&gt;$L$1,对接源_02物料!$B1011=""),0,IF(OR(N(对接源_02物料!$B1011)&lt;$L$2,N(对接源_02物料!$B1011)&gt;$L$3),0,1))</f>
        <v>0</v>
      </c>
      <c r="M2211">
        <f>IF(OR($M$1="",对接源_02物料!$C1011="",对接源_02物料!$C1011&lt;&gt;$M$1,对接源_02物料!$B1011=""),0,IF(OR(N(对接源_02物料!$B1011)&lt;$M$2,N(对接源_02物料!$B1011)&gt;$M$3),0,1))</f>
        <v>0</v>
      </c>
      <c r="N2211">
        <f>IF(OR($N$1="",对接源_02物料!$C1011="",对接源_02物料!$C1011&lt;&gt;$N$1,对接源_02物料!$B1011=""),0,IF(OR(N(对接源_02物料!$B1011)&lt;$N$2,N(对接源_02物料!$B1011)&gt;$N$3),0,1))</f>
        <v>0</v>
      </c>
      <c r="P2211">
        <f>IF(AND($K2211=1,AND(对接源_02物料!$X1011="公司筐",N(对接源_02物料!$T1011)&lt;&gt;0)),1,0)</f>
        <v>0</v>
      </c>
      <c r="Q2211">
        <f>N(Q2210)+$P2211</f>
        <v>14</v>
      </c>
      <c r="R2211">
        <f>IF(AND($K2211=1,AND(对接源_02物料!$X1011="公司筐",N(对接源_02物料!$U1011)&lt;&gt;0)),1,0)</f>
        <v>0</v>
      </c>
      <c r="S2211">
        <f>N(S2210)+$R2211</f>
        <v>1</v>
      </c>
      <c r="T2211">
        <f>IF(AND($K2211=1,AND(对接源_02物料!$X1011="公司筐",N(对接源_02物料!$V1011)&lt;&gt;0)),1,0)</f>
        <v>0</v>
      </c>
      <c r="U2211">
        <f>N(U2210)+$T2211</f>
        <v>47</v>
      </c>
      <c r="V2211">
        <f>IF(AND($L2211=1,AND(对接源_02物料!$X1011="自备筐",N(对接源_02物料!$V1011)&lt;&gt;0)),1,0)</f>
        <v>0</v>
      </c>
      <c r="W2211">
        <f>N(W2210)+$V2211</f>
        <v>11</v>
      </c>
      <c r="X2211">
        <f>IF(AND($L2211=1,AND(对接源_02物料!$X1011="自备筐",N(对接源_02物料!$T1011)&lt;&gt;0)),1,0)</f>
        <v>0</v>
      </c>
      <c r="Y2211">
        <f>N(Y2210)+$X2211</f>
        <v>0</v>
      </c>
      <c r="Z2211">
        <f>IF(AND($M2211=1,对接源_02物料!$D1011="原料入库"),1,0)</f>
        <v>0</v>
      </c>
      <c r="AA2211">
        <f>N(AA2210)+$Z2211</f>
        <v>24</v>
      </c>
      <c r="AB2211">
        <f>IF(AND($M2211=1,LEFT(对接源_02物料!$D1011,4)="原料出库"),1,0)</f>
        <v>0</v>
      </c>
      <c r="AC2211">
        <f>N(AC2210)+$AB2211</f>
        <v>0</v>
      </c>
      <c r="AD2211">
        <f>IF(AND($M2211=1,LEFT(对接源_02物料!$D1011,4)="成品出库"),1,0)</f>
        <v>0</v>
      </c>
      <c r="AE2211">
        <f>N(AE2210)+$AD2211</f>
        <v>0</v>
      </c>
      <c r="AF2211">
        <f>IF(AND($N2211=1,AND(LEFT(对接源_02物料!$D1011,4)="包装物料",N(对接源_02物料!$K1011)&lt;&gt;0)),1,0)</f>
        <v>0</v>
      </c>
      <c r="AG2211">
        <f>N(AG2210)+$AF2211</f>
        <v>10</v>
      </c>
      <c r="AH2211">
        <f>IF(AND($N2211=1,AND(对接源_02物料!$D1011="周转筐－销售出库",N(对接源_02物料!$K1011)&lt;&gt;0)),1,0)</f>
        <v>0</v>
      </c>
      <c r="AI2211">
        <f>N(AI2210)+$AH2211</f>
        <v>0</v>
      </c>
      <c r="AL2211" t="n">
        <v>0</v>
      </c>
      <c r="AM2211">
        <f>N(AM2210)+$AL2211</f>
        <v>2</v>
      </c>
      <c r="AN2211">
        <f>""</f>
      </c>
      <c r="AO2211" t="n">
        <v>0</v>
      </c>
      <c r="AP2211">
        <f>N(AP2210)+$AO2211</f>
        <v>13</v>
      </c>
      <c r="AR2211">
        <f>IF(OR($AF2211=1,$AH2211=1),1,0)</f>
        <v>0</v>
      </c>
      <c r="AS2211">
        <f>N(AS2210)+$AR2211</f>
        <v>10</v>
      </c>
    </row>
    <row r="2212" s="127">
      <c r="A2212">
        <f>IF(对接源_02物料!$C1012="","",对接源_02物料!$C1012)</f>
      </c>
      <c r="B2212">
        <f>IF(A2212="",0,IF(MATCH(A2212,$A$4:$A$2403,0)=ROW()-3,1,0))</f>
        <v>0</v>
      </c>
      <c r="C2212">
        <f>N(C2211)+B2212</f>
        <v>26</v>
      </c>
      <c r="K2212">
        <f>IF(OR($K$1="",对接源_02物料!$C1012="",对接源_02物料!$C1012&lt;&gt;$K$1,对接源_02物料!$B1012=""),0,IF(OR(N(对接源_02物料!$B1012)&lt;$K$2,N(对接源_02物料!$B1012)&gt;$K$3),0,1))</f>
        <v>0</v>
      </c>
      <c r="L2212">
        <f>IF(OR($L$1="",对接源_02物料!$C1012="",对接源_02物料!$C1012&lt;&gt;$L$1,对接源_02物料!$B1012=""),0,IF(OR(N(对接源_02物料!$B1012)&lt;$L$2,N(对接源_02物料!$B1012)&gt;$L$3),0,1))</f>
        <v>0</v>
      </c>
      <c r="M2212">
        <f>IF(OR($M$1="",对接源_02物料!$C1012="",对接源_02物料!$C1012&lt;&gt;$M$1,对接源_02物料!$B1012=""),0,IF(OR(N(对接源_02物料!$B1012)&lt;$M$2,N(对接源_02物料!$B1012)&gt;$M$3),0,1))</f>
        <v>0</v>
      </c>
      <c r="N2212">
        <f>IF(OR($N$1="",对接源_02物料!$C1012="",对接源_02物料!$C1012&lt;&gt;$N$1,对接源_02物料!$B1012=""),0,IF(OR(N(对接源_02物料!$B1012)&lt;$N$2,N(对接源_02物料!$B1012)&gt;$N$3),0,1))</f>
        <v>0</v>
      </c>
      <c r="P2212">
        <f>IF(AND($K2212=1,AND(对接源_02物料!$X1012="公司筐",N(对接源_02物料!$T1012)&lt;&gt;0)),1,0)</f>
        <v>0</v>
      </c>
      <c r="Q2212">
        <f>N(Q2211)+$P2212</f>
        <v>14</v>
      </c>
      <c r="R2212">
        <f>IF(AND($K2212=1,AND(对接源_02物料!$X1012="公司筐",N(对接源_02物料!$U1012)&lt;&gt;0)),1,0)</f>
        <v>0</v>
      </c>
      <c r="S2212">
        <f>N(S2211)+$R2212</f>
        <v>1</v>
      </c>
      <c r="T2212">
        <f>IF(AND($K2212=1,AND(对接源_02物料!$X1012="公司筐",N(对接源_02物料!$V1012)&lt;&gt;0)),1,0)</f>
        <v>0</v>
      </c>
      <c r="U2212">
        <f>N(U2211)+$T2212</f>
        <v>47</v>
      </c>
      <c r="V2212">
        <f>IF(AND($L2212=1,AND(对接源_02物料!$X1012="自备筐",N(对接源_02物料!$V1012)&lt;&gt;0)),1,0)</f>
        <v>0</v>
      </c>
      <c r="W2212">
        <f>N(W2211)+$V2212</f>
        <v>11</v>
      </c>
      <c r="X2212">
        <f>IF(AND($L2212=1,AND(对接源_02物料!$X1012="自备筐",N(对接源_02物料!$T1012)&lt;&gt;0)),1,0)</f>
        <v>0</v>
      </c>
      <c r="Y2212">
        <f>N(Y2211)+$X2212</f>
        <v>0</v>
      </c>
      <c r="Z2212">
        <f>IF(AND($M2212=1,对接源_02物料!$D1012="原料入库"),1,0)</f>
        <v>0</v>
      </c>
      <c r="AA2212">
        <f>N(AA2211)+$Z2212</f>
        <v>24</v>
      </c>
      <c r="AB2212">
        <f>IF(AND($M2212=1,LEFT(对接源_02物料!$D1012,4)="原料出库"),1,0)</f>
        <v>0</v>
      </c>
      <c r="AC2212">
        <f>N(AC2211)+$AB2212</f>
        <v>0</v>
      </c>
      <c r="AD2212">
        <f>IF(AND($M2212=1,LEFT(对接源_02物料!$D1012,4)="成品出库"),1,0)</f>
        <v>0</v>
      </c>
      <c r="AE2212">
        <f>N(AE2211)+$AD2212</f>
        <v>0</v>
      </c>
      <c r="AF2212">
        <f>IF(AND($N2212=1,AND(LEFT(对接源_02物料!$D1012,4)="包装物料",N(对接源_02物料!$K1012)&lt;&gt;0)),1,0)</f>
        <v>0</v>
      </c>
      <c r="AG2212">
        <f>N(AG2211)+$AF2212</f>
        <v>10</v>
      </c>
      <c r="AH2212">
        <f>IF(AND($N2212=1,AND(对接源_02物料!$D1012="周转筐－销售出库",N(对接源_02物料!$K1012)&lt;&gt;0)),1,0)</f>
        <v>0</v>
      </c>
      <c r="AI2212">
        <f>N(AI2211)+$AH2212</f>
        <v>0</v>
      </c>
      <c r="AL2212" t="n">
        <v>0</v>
      </c>
      <c r="AM2212">
        <f>N(AM2211)+$AL2212</f>
        <v>2</v>
      </c>
      <c r="AN2212">
        <f>""</f>
      </c>
      <c r="AO2212" t="n">
        <v>0</v>
      </c>
      <c r="AP2212">
        <f>N(AP2211)+$AO2212</f>
        <v>13</v>
      </c>
      <c r="AR2212">
        <f>IF(OR($AF2212=1,$AH2212=1),1,0)</f>
        <v>0</v>
      </c>
      <c r="AS2212">
        <f>N(AS2211)+$AR2212</f>
        <v>10</v>
      </c>
    </row>
    <row r="2213" s="127">
      <c r="A2213">
        <f>IF(对接源_02物料!$C1013="","",对接源_02物料!$C1013)</f>
      </c>
      <c r="B2213">
        <f>IF(A2213="",0,IF(MATCH(A2213,$A$4:$A$2403,0)=ROW()-3,1,0))</f>
        <v>0</v>
      </c>
      <c r="C2213">
        <f>N(C2212)+B2213</f>
        <v>26</v>
      </c>
      <c r="K2213">
        <f>IF(OR($K$1="",对接源_02物料!$C1013="",对接源_02物料!$C1013&lt;&gt;$K$1,对接源_02物料!$B1013=""),0,IF(OR(N(对接源_02物料!$B1013)&lt;$K$2,N(对接源_02物料!$B1013)&gt;$K$3),0,1))</f>
        <v>0</v>
      </c>
      <c r="L2213">
        <f>IF(OR($L$1="",对接源_02物料!$C1013="",对接源_02物料!$C1013&lt;&gt;$L$1,对接源_02物料!$B1013=""),0,IF(OR(N(对接源_02物料!$B1013)&lt;$L$2,N(对接源_02物料!$B1013)&gt;$L$3),0,1))</f>
        <v>0</v>
      </c>
      <c r="M2213">
        <f>IF(OR($M$1="",对接源_02物料!$C1013="",对接源_02物料!$C1013&lt;&gt;$M$1,对接源_02物料!$B1013=""),0,IF(OR(N(对接源_02物料!$B1013)&lt;$M$2,N(对接源_02物料!$B1013)&gt;$M$3),0,1))</f>
        <v>0</v>
      </c>
      <c r="N2213">
        <f>IF(OR($N$1="",对接源_02物料!$C1013="",对接源_02物料!$C1013&lt;&gt;$N$1,对接源_02物料!$B1013=""),0,IF(OR(N(对接源_02物料!$B1013)&lt;$N$2,N(对接源_02物料!$B1013)&gt;$N$3),0,1))</f>
        <v>0</v>
      </c>
      <c r="P2213">
        <f>IF(AND($K2213=1,AND(对接源_02物料!$X1013="公司筐",N(对接源_02物料!$T1013)&lt;&gt;0)),1,0)</f>
        <v>0</v>
      </c>
      <c r="Q2213">
        <f>N(Q2212)+$P2213</f>
        <v>14</v>
      </c>
      <c r="R2213">
        <f>IF(AND($K2213=1,AND(对接源_02物料!$X1013="公司筐",N(对接源_02物料!$U1013)&lt;&gt;0)),1,0)</f>
        <v>0</v>
      </c>
      <c r="S2213">
        <f>N(S2212)+$R2213</f>
        <v>1</v>
      </c>
      <c r="T2213">
        <f>IF(AND($K2213=1,AND(对接源_02物料!$X1013="公司筐",N(对接源_02物料!$V1013)&lt;&gt;0)),1,0)</f>
        <v>0</v>
      </c>
      <c r="U2213">
        <f>N(U2212)+$T2213</f>
        <v>47</v>
      </c>
      <c r="V2213">
        <f>IF(AND($L2213=1,AND(对接源_02物料!$X1013="自备筐",N(对接源_02物料!$V1013)&lt;&gt;0)),1,0)</f>
        <v>0</v>
      </c>
      <c r="W2213">
        <f>N(W2212)+$V2213</f>
        <v>11</v>
      </c>
      <c r="X2213">
        <f>IF(AND($L2213=1,AND(对接源_02物料!$X1013="自备筐",N(对接源_02物料!$T1013)&lt;&gt;0)),1,0)</f>
        <v>0</v>
      </c>
      <c r="Y2213">
        <f>N(Y2212)+$X2213</f>
        <v>0</v>
      </c>
      <c r="Z2213">
        <f>IF(AND($M2213=1,对接源_02物料!$D1013="原料入库"),1,0)</f>
        <v>0</v>
      </c>
      <c r="AA2213">
        <f>N(AA2212)+$Z2213</f>
        <v>24</v>
      </c>
      <c r="AB2213">
        <f>IF(AND($M2213=1,LEFT(对接源_02物料!$D1013,4)="原料出库"),1,0)</f>
        <v>0</v>
      </c>
      <c r="AC2213">
        <f>N(AC2212)+$AB2213</f>
        <v>0</v>
      </c>
      <c r="AD2213">
        <f>IF(AND($M2213=1,LEFT(对接源_02物料!$D1013,4)="成品出库"),1,0)</f>
        <v>0</v>
      </c>
      <c r="AE2213">
        <f>N(AE2212)+$AD2213</f>
        <v>0</v>
      </c>
      <c r="AF2213">
        <f>IF(AND($N2213=1,AND(LEFT(对接源_02物料!$D1013,4)="包装物料",N(对接源_02物料!$K1013)&lt;&gt;0)),1,0)</f>
        <v>0</v>
      </c>
      <c r="AG2213">
        <f>N(AG2212)+$AF2213</f>
        <v>10</v>
      </c>
      <c r="AH2213">
        <f>IF(AND($N2213=1,AND(对接源_02物料!$D1013="周转筐－销售出库",N(对接源_02物料!$K1013)&lt;&gt;0)),1,0)</f>
        <v>0</v>
      </c>
      <c r="AI2213">
        <f>N(AI2212)+$AH2213</f>
        <v>0</v>
      </c>
      <c r="AL2213" t="n">
        <v>0</v>
      </c>
      <c r="AM2213">
        <f>N(AM2212)+$AL2213</f>
        <v>2</v>
      </c>
      <c r="AN2213">
        <f>""</f>
      </c>
      <c r="AO2213" t="n">
        <v>0</v>
      </c>
      <c r="AP2213">
        <f>N(AP2212)+$AO2213</f>
        <v>13</v>
      </c>
      <c r="AR2213">
        <f>IF(OR($AF2213=1,$AH2213=1),1,0)</f>
        <v>0</v>
      </c>
      <c r="AS2213">
        <f>N(AS2212)+$AR2213</f>
        <v>10</v>
      </c>
    </row>
    <row r="2214" s="127">
      <c r="A2214">
        <f>IF(对接源_02物料!$C1014="","",对接源_02物料!$C1014)</f>
      </c>
      <c r="B2214">
        <f>IF(A2214="",0,IF(MATCH(A2214,$A$4:$A$2403,0)=ROW()-3,1,0))</f>
        <v>0</v>
      </c>
      <c r="C2214">
        <f>N(C2213)+B2214</f>
        <v>26</v>
      </c>
      <c r="K2214">
        <f>IF(OR($K$1="",对接源_02物料!$C1014="",对接源_02物料!$C1014&lt;&gt;$K$1,对接源_02物料!$B1014=""),0,IF(OR(N(对接源_02物料!$B1014)&lt;$K$2,N(对接源_02物料!$B1014)&gt;$K$3),0,1))</f>
        <v>0</v>
      </c>
      <c r="L2214">
        <f>IF(OR($L$1="",对接源_02物料!$C1014="",对接源_02物料!$C1014&lt;&gt;$L$1,对接源_02物料!$B1014=""),0,IF(OR(N(对接源_02物料!$B1014)&lt;$L$2,N(对接源_02物料!$B1014)&gt;$L$3),0,1))</f>
        <v>0</v>
      </c>
      <c r="M2214">
        <f>IF(OR($M$1="",对接源_02物料!$C1014="",对接源_02物料!$C1014&lt;&gt;$M$1,对接源_02物料!$B1014=""),0,IF(OR(N(对接源_02物料!$B1014)&lt;$M$2,N(对接源_02物料!$B1014)&gt;$M$3),0,1))</f>
        <v>0</v>
      </c>
      <c r="N2214">
        <f>IF(OR($N$1="",对接源_02物料!$C1014="",对接源_02物料!$C1014&lt;&gt;$N$1,对接源_02物料!$B1014=""),0,IF(OR(N(对接源_02物料!$B1014)&lt;$N$2,N(对接源_02物料!$B1014)&gt;$N$3),0,1))</f>
        <v>0</v>
      </c>
      <c r="P2214">
        <f>IF(AND($K2214=1,AND(对接源_02物料!$X1014="公司筐",N(对接源_02物料!$T1014)&lt;&gt;0)),1,0)</f>
        <v>0</v>
      </c>
      <c r="Q2214">
        <f>N(Q2213)+$P2214</f>
        <v>14</v>
      </c>
      <c r="R2214">
        <f>IF(AND($K2214=1,AND(对接源_02物料!$X1014="公司筐",N(对接源_02物料!$U1014)&lt;&gt;0)),1,0)</f>
        <v>0</v>
      </c>
      <c r="S2214">
        <f>N(S2213)+$R2214</f>
        <v>1</v>
      </c>
      <c r="T2214">
        <f>IF(AND($K2214=1,AND(对接源_02物料!$X1014="公司筐",N(对接源_02物料!$V1014)&lt;&gt;0)),1,0)</f>
        <v>0</v>
      </c>
      <c r="U2214">
        <f>N(U2213)+$T2214</f>
        <v>47</v>
      </c>
      <c r="V2214">
        <f>IF(AND($L2214=1,AND(对接源_02物料!$X1014="自备筐",N(对接源_02物料!$V1014)&lt;&gt;0)),1,0)</f>
        <v>0</v>
      </c>
      <c r="W2214">
        <f>N(W2213)+$V2214</f>
        <v>11</v>
      </c>
      <c r="X2214">
        <f>IF(AND($L2214=1,AND(对接源_02物料!$X1014="自备筐",N(对接源_02物料!$T1014)&lt;&gt;0)),1,0)</f>
        <v>0</v>
      </c>
      <c r="Y2214">
        <f>N(Y2213)+$X2214</f>
        <v>0</v>
      </c>
      <c r="Z2214">
        <f>IF(AND($M2214=1,对接源_02物料!$D1014="原料入库"),1,0)</f>
        <v>0</v>
      </c>
      <c r="AA2214">
        <f>N(AA2213)+$Z2214</f>
        <v>24</v>
      </c>
      <c r="AB2214">
        <f>IF(AND($M2214=1,LEFT(对接源_02物料!$D1014,4)="原料出库"),1,0)</f>
        <v>0</v>
      </c>
      <c r="AC2214">
        <f>N(AC2213)+$AB2214</f>
        <v>0</v>
      </c>
      <c r="AD2214">
        <f>IF(AND($M2214=1,LEFT(对接源_02物料!$D1014,4)="成品出库"),1,0)</f>
        <v>0</v>
      </c>
      <c r="AE2214">
        <f>N(AE2213)+$AD2214</f>
        <v>0</v>
      </c>
      <c r="AF2214">
        <f>IF(AND($N2214=1,AND(LEFT(对接源_02物料!$D1014,4)="包装物料",N(对接源_02物料!$K1014)&lt;&gt;0)),1,0)</f>
        <v>0</v>
      </c>
      <c r="AG2214">
        <f>N(AG2213)+$AF2214</f>
        <v>10</v>
      </c>
      <c r="AH2214">
        <f>IF(AND($N2214=1,AND(对接源_02物料!$D1014="周转筐－销售出库",N(对接源_02物料!$K1014)&lt;&gt;0)),1,0)</f>
        <v>0</v>
      </c>
      <c r="AI2214">
        <f>N(AI2213)+$AH2214</f>
        <v>0</v>
      </c>
      <c r="AL2214" t="n">
        <v>0</v>
      </c>
      <c r="AM2214">
        <f>N(AM2213)+$AL2214</f>
        <v>2</v>
      </c>
      <c r="AN2214">
        <f>""</f>
      </c>
      <c r="AO2214" t="n">
        <v>0</v>
      </c>
      <c r="AP2214">
        <f>N(AP2213)+$AO2214</f>
        <v>13</v>
      </c>
      <c r="AR2214">
        <f>IF(OR($AF2214=1,$AH2214=1),1,0)</f>
        <v>0</v>
      </c>
      <c r="AS2214">
        <f>N(AS2213)+$AR2214</f>
        <v>10</v>
      </c>
    </row>
    <row r="2215" s="127">
      <c r="A2215">
        <f>IF(对接源_02物料!$C1015="","",对接源_02物料!$C1015)</f>
      </c>
      <c r="B2215">
        <f>IF(A2215="",0,IF(MATCH(A2215,$A$4:$A$2403,0)=ROW()-3,1,0))</f>
        <v>0</v>
      </c>
      <c r="C2215">
        <f>N(C2214)+B2215</f>
        <v>26</v>
      </c>
      <c r="K2215">
        <f>IF(OR($K$1="",对接源_02物料!$C1015="",对接源_02物料!$C1015&lt;&gt;$K$1,对接源_02物料!$B1015=""),0,IF(OR(N(对接源_02物料!$B1015)&lt;$K$2,N(对接源_02物料!$B1015)&gt;$K$3),0,1))</f>
        <v>0</v>
      </c>
      <c r="L2215">
        <f>IF(OR($L$1="",对接源_02物料!$C1015="",对接源_02物料!$C1015&lt;&gt;$L$1,对接源_02物料!$B1015=""),0,IF(OR(N(对接源_02物料!$B1015)&lt;$L$2,N(对接源_02物料!$B1015)&gt;$L$3),0,1))</f>
        <v>0</v>
      </c>
      <c r="M2215">
        <f>IF(OR($M$1="",对接源_02物料!$C1015="",对接源_02物料!$C1015&lt;&gt;$M$1,对接源_02物料!$B1015=""),0,IF(OR(N(对接源_02物料!$B1015)&lt;$M$2,N(对接源_02物料!$B1015)&gt;$M$3),0,1))</f>
        <v>0</v>
      </c>
      <c r="N2215">
        <f>IF(OR($N$1="",对接源_02物料!$C1015="",对接源_02物料!$C1015&lt;&gt;$N$1,对接源_02物料!$B1015=""),0,IF(OR(N(对接源_02物料!$B1015)&lt;$N$2,N(对接源_02物料!$B1015)&gt;$N$3),0,1))</f>
        <v>0</v>
      </c>
      <c r="P2215">
        <f>IF(AND($K2215=1,AND(对接源_02物料!$X1015="公司筐",N(对接源_02物料!$T1015)&lt;&gt;0)),1,0)</f>
        <v>0</v>
      </c>
      <c r="Q2215">
        <f>N(Q2214)+$P2215</f>
        <v>14</v>
      </c>
      <c r="R2215">
        <f>IF(AND($K2215=1,AND(对接源_02物料!$X1015="公司筐",N(对接源_02物料!$U1015)&lt;&gt;0)),1,0)</f>
        <v>0</v>
      </c>
      <c r="S2215">
        <f>N(S2214)+$R2215</f>
        <v>1</v>
      </c>
      <c r="T2215">
        <f>IF(AND($K2215=1,AND(对接源_02物料!$X1015="公司筐",N(对接源_02物料!$V1015)&lt;&gt;0)),1,0)</f>
        <v>0</v>
      </c>
      <c r="U2215">
        <f>N(U2214)+$T2215</f>
        <v>47</v>
      </c>
      <c r="V2215">
        <f>IF(AND($L2215=1,AND(对接源_02物料!$X1015="自备筐",N(对接源_02物料!$V1015)&lt;&gt;0)),1,0)</f>
        <v>0</v>
      </c>
      <c r="W2215">
        <f>N(W2214)+$V2215</f>
        <v>11</v>
      </c>
      <c r="X2215">
        <f>IF(AND($L2215=1,AND(对接源_02物料!$X1015="自备筐",N(对接源_02物料!$T1015)&lt;&gt;0)),1,0)</f>
        <v>0</v>
      </c>
      <c r="Y2215">
        <f>N(Y2214)+$X2215</f>
        <v>0</v>
      </c>
      <c r="Z2215">
        <f>IF(AND($M2215=1,对接源_02物料!$D1015="原料入库"),1,0)</f>
        <v>0</v>
      </c>
      <c r="AA2215">
        <f>N(AA2214)+$Z2215</f>
        <v>24</v>
      </c>
      <c r="AB2215">
        <f>IF(AND($M2215=1,LEFT(对接源_02物料!$D1015,4)="原料出库"),1,0)</f>
        <v>0</v>
      </c>
      <c r="AC2215">
        <f>N(AC2214)+$AB2215</f>
        <v>0</v>
      </c>
      <c r="AD2215">
        <f>IF(AND($M2215=1,LEFT(对接源_02物料!$D1015,4)="成品出库"),1,0)</f>
        <v>0</v>
      </c>
      <c r="AE2215">
        <f>N(AE2214)+$AD2215</f>
        <v>0</v>
      </c>
      <c r="AF2215">
        <f>IF(AND($N2215=1,AND(LEFT(对接源_02物料!$D1015,4)="包装物料",N(对接源_02物料!$K1015)&lt;&gt;0)),1,0)</f>
        <v>0</v>
      </c>
      <c r="AG2215">
        <f>N(AG2214)+$AF2215</f>
        <v>10</v>
      </c>
      <c r="AH2215">
        <f>IF(AND($N2215=1,AND(对接源_02物料!$D1015="周转筐－销售出库",N(对接源_02物料!$K1015)&lt;&gt;0)),1,0)</f>
        <v>0</v>
      </c>
      <c r="AI2215">
        <f>N(AI2214)+$AH2215</f>
        <v>0</v>
      </c>
      <c r="AL2215" t="n">
        <v>0</v>
      </c>
      <c r="AM2215">
        <f>N(AM2214)+$AL2215</f>
        <v>2</v>
      </c>
      <c r="AN2215">
        <f>""</f>
      </c>
      <c r="AO2215" t="n">
        <v>0</v>
      </c>
      <c r="AP2215">
        <f>N(AP2214)+$AO2215</f>
        <v>13</v>
      </c>
      <c r="AR2215">
        <f>IF(OR($AF2215=1,$AH2215=1),1,0)</f>
        <v>0</v>
      </c>
      <c r="AS2215">
        <f>N(AS2214)+$AR2215</f>
        <v>10</v>
      </c>
    </row>
    <row r="2216" s="127">
      <c r="A2216">
        <f>IF(对接源_02物料!$C1016="","",对接源_02物料!$C1016)</f>
      </c>
      <c r="B2216">
        <f>IF(A2216="",0,IF(MATCH(A2216,$A$4:$A$2403,0)=ROW()-3,1,0))</f>
        <v>0</v>
      </c>
      <c r="C2216">
        <f>N(C2215)+B2216</f>
        <v>26</v>
      </c>
      <c r="K2216">
        <f>IF(OR($K$1="",对接源_02物料!$C1016="",对接源_02物料!$C1016&lt;&gt;$K$1,对接源_02物料!$B1016=""),0,IF(OR(N(对接源_02物料!$B1016)&lt;$K$2,N(对接源_02物料!$B1016)&gt;$K$3),0,1))</f>
        <v>0</v>
      </c>
      <c r="L2216">
        <f>IF(OR($L$1="",对接源_02物料!$C1016="",对接源_02物料!$C1016&lt;&gt;$L$1,对接源_02物料!$B1016=""),0,IF(OR(N(对接源_02物料!$B1016)&lt;$L$2,N(对接源_02物料!$B1016)&gt;$L$3),0,1))</f>
        <v>0</v>
      </c>
      <c r="M2216">
        <f>IF(OR($M$1="",对接源_02物料!$C1016="",对接源_02物料!$C1016&lt;&gt;$M$1,对接源_02物料!$B1016=""),0,IF(OR(N(对接源_02物料!$B1016)&lt;$M$2,N(对接源_02物料!$B1016)&gt;$M$3),0,1))</f>
        <v>0</v>
      </c>
      <c r="N2216">
        <f>IF(OR($N$1="",对接源_02物料!$C1016="",对接源_02物料!$C1016&lt;&gt;$N$1,对接源_02物料!$B1016=""),0,IF(OR(N(对接源_02物料!$B1016)&lt;$N$2,N(对接源_02物料!$B1016)&gt;$N$3),0,1))</f>
        <v>0</v>
      </c>
      <c r="P2216">
        <f>IF(AND($K2216=1,AND(对接源_02物料!$X1016="公司筐",N(对接源_02物料!$T1016)&lt;&gt;0)),1,0)</f>
        <v>0</v>
      </c>
      <c r="Q2216">
        <f>N(Q2215)+$P2216</f>
        <v>14</v>
      </c>
      <c r="R2216">
        <f>IF(AND($K2216=1,AND(对接源_02物料!$X1016="公司筐",N(对接源_02物料!$U1016)&lt;&gt;0)),1,0)</f>
        <v>0</v>
      </c>
      <c r="S2216">
        <f>N(S2215)+$R2216</f>
        <v>1</v>
      </c>
      <c r="T2216">
        <f>IF(AND($K2216=1,AND(对接源_02物料!$X1016="公司筐",N(对接源_02物料!$V1016)&lt;&gt;0)),1,0)</f>
        <v>0</v>
      </c>
      <c r="U2216">
        <f>N(U2215)+$T2216</f>
        <v>47</v>
      </c>
      <c r="V2216">
        <f>IF(AND($L2216=1,AND(对接源_02物料!$X1016="自备筐",N(对接源_02物料!$V1016)&lt;&gt;0)),1,0)</f>
        <v>0</v>
      </c>
      <c r="W2216">
        <f>N(W2215)+$V2216</f>
        <v>11</v>
      </c>
      <c r="X2216">
        <f>IF(AND($L2216=1,AND(对接源_02物料!$X1016="自备筐",N(对接源_02物料!$T1016)&lt;&gt;0)),1,0)</f>
        <v>0</v>
      </c>
      <c r="Y2216">
        <f>N(Y2215)+$X2216</f>
        <v>0</v>
      </c>
      <c r="Z2216">
        <f>IF(AND($M2216=1,对接源_02物料!$D1016="原料入库"),1,0)</f>
        <v>0</v>
      </c>
      <c r="AA2216">
        <f>N(AA2215)+$Z2216</f>
        <v>24</v>
      </c>
      <c r="AB2216">
        <f>IF(AND($M2216=1,LEFT(对接源_02物料!$D1016,4)="原料出库"),1,0)</f>
        <v>0</v>
      </c>
      <c r="AC2216">
        <f>N(AC2215)+$AB2216</f>
        <v>0</v>
      </c>
      <c r="AD2216">
        <f>IF(AND($M2216=1,LEFT(对接源_02物料!$D1016,4)="成品出库"),1,0)</f>
        <v>0</v>
      </c>
      <c r="AE2216">
        <f>N(AE2215)+$AD2216</f>
        <v>0</v>
      </c>
      <c r="AF2216">
        <f>IF(AND($N2216=1,AND(LEFT(对接源_02物料!$D1016,4)="包装物料",N(对接源_02物料!$K1016)&lt;&gt;0)),1,0)</f>
        <v>0</v>
      </c>
      <c r="AG2216">
        <f>N(AG2215)+$AF2216</f>
        <v>10</v>
      </c>
      <c r="AH2216">
        <f>IF(AND($N2216=1,AND(对接源_02物料!$D1016="周转筐－销售出库",N(对接源_02物料!$K1016)&lt;&gt;0)),1,0)</f>
        <v>0</v>
      </c>
      <c r="AI2216">
        <f>N(AI2215)+$AH2216</f>
        <v>0</v>
      </c>
      <c r="AL2216" t="n">
        <v>0</v>
      </c>
      <c r="AM2216">
        <f>N(AM2215)+$AL2216</f>
        <v>2</v>
      </c>
      <c r="AN2216">
        <f>""</f>
      </c>
      <c r="AO2216" t="n">
        <v>0</v>
      </c>
      <c r="AP2216">
        <f>N(AP2215)+$AO2216</f>
        <v>13</v>
      </c>
      <c r="AR2216">
        <f>IF(OR($AF2216=1,$AH2216=1),1,0)</f>
        <v>0</v>
      </c>
      <c r="AS2216">
        <f>N(AS2215)+$AR2216</f>
        <v>10</v>
      </c>
    </row>
    <row r="2217" s="127">
      <c r="A2217">
        <f>IF(对接源_02物料!$C1017="","",对接源_02物料!$C1017)</f>
      </c>
      <c r="B2217">
        <f>IF(A2217="",0,IF(MATCH(A2217,$A$4:$A$2403,0)=ROW()-3,1,0))</f>
        <v>0</v>
      </c>
      <c r="C2217">
        <f>N(C2216)+B2217</f>
        <v>26</v>
      </c>
      <c r="K2217">
        <f>IF(OR($K$1="",对接源_02物料!$C1017="",对接源_02物料!$C1017&lt;&gt;$K$1,对接源_02物料!$B1017=""),0,IF(OR(N(对接源_02物料!$B1017)&lt;$K$2,N(对接源_02物料!$B1017)&gt;$K$3),0,1))</f>
        <v>0</v>
      </c>
      <c r="L2217">
        <f>IF(OR($L$1="",对接源_02物料!$C1017="",对接源_02物料!$C1017&lt;&gt;$L$1,对接源_02物料!$B1017=""),0,IF(OR(N(对接源_02物料!$B1017)&lt;$L$2,N(对接源_02物料!$B1017)&gt;$L$3),0,1))</f>
        <v>0</v>
      </c>
      <c r="M2217">
        <f>IF(OR($M$1="",对接源_02物料!$C1017="",对接源_02物料!$C1017&lt;&gt;$M$1,对接源_02物料!$B1017=""),0,IF(OR(N(对接源_02物料!$B1017)&lt;$M$2,N(对接源_02物料!$B1017)&gt;$M$3),0,1))</f>
        <v>0</v>
      </c>
      <c r="N2217">
        <f>IF(OR($N$1="",对接源_02物料!$C1017="",对接源_02物料!$C1017&lt;&gt;$N$1,对接源_02物料!$B1017=""),0,IF(OR(N(对接源_02物料!$B1017)&lt;$N$2,N(对接源_02物料!$B1017)&gt;$N$3),0,1))</f>
        <v>0</v>
      </c>
      <c r="P2217">
        <f>IF(AND($K2217=1,AND(对接源_02物料!$X1017="公司筐",N(对接源_02物料!$T1017)&lt;&gt;0)),1,0)</f>
        <v>0</v>
      </c>
      <c r="Q2217">
        <f>N(Q2216)+$P2217</f>
        <v>14</v>
      </c>
      <c r="R2217">
        <f>IF(AND($K2217=1,AND(对接源_02物料!$X1017="公司筐",N(对接源_02物料!$U1017)&lt;&gt;0)),1,0)</f>
        <v>0</v>
      </c>
      <c r="S2217">
        <f>N(S2216)+$R2217</f>
        <v>1</v>
      </c>
      <c r="T2217">
        <f>IF(AND($K2217=1,AND(对接源_02物料!$X1017="公司筐",N(对接源_02物料!$V1017)&lt;&gt;0)),1,0)</f>
        <v>0</v>
      </c>
      <c r="U2217">
        <f>N(U2216)+$T2217</f>
        <v>47</v>
      </c>
      <c r="V2217">
        <f>IF(AND($L2217=1,AND(对接源_02物料!$X1017="自备筐",N(对接源_02物料!$V1017)&lt;&gt;0)),1,0)</f>
        <v>0</v>
      </c>
      <c r="W2217">
        <f>N(W2216)+$V2217</f>
        <v>11</v>
      </c>
      <c r="X2217">
        <f>IF(AND($L2217=1,AND(对接源_02物料!$X1017="自备筐",N(对接源_02物料!$T1017)&lt;&gt;0)),1,0)</f>
        <v>0</v>
      </c>
      <c r="Y2217">
        <f>N(Y2216)+$X2217</f>
        <v>0</v>
      </c>
      <c r="Z2217">
        <f>IF(AND($M2217=1,对接源_02物料!$D1017="原料入库"),1,0)</f>
        <v>0</v>
      </c>
      <c r="AA2217">
        <f>N(AA2216)+$Z2217</f>
        <v>24</v>
      </c>
      <c r="AB2217">
        <f>IF(AND($M2217=1,LEFT(对接源_02物料!$D1017,4)="原料出库"),1,0)</f>
        <v>0</v>
      </c>
      <c r="AC2217">
        <f>N(AC2216)+$AB2217</f>
        <v>0</v>
      </c>
      <c r="AD2217">
        <f>IF(AND($M2217=1,LEFT(对接源_02物料!$D1017,4)="成品出库"),1,0)</f>
        <v>0</v>
      </c>
      <c r="AE2217">
        <f>N(AE2216)+$AD2217</f>
        <v>0</v>
      </c>
      <c r="AF2217">
        <f>IF(AND($N2217=1,AND(LEFT(对接源_02物料!$D1017,4)="包装物料",N(对接源_02物料!$K1017)&lt;&gt;0)),1,0)</f>
        <v>0</v>
      </c>
      <c r="AG2217">
        <f>N(AG2216)+$AF2217</f>
        <v>10</v>
      </c>
      <c r="AH2217">
        <f>IF(AND($N2217=1,AND(对接源_02物料!$D1017="周转筐－销售出库",N(对接源_02物料!$K1017)&lt;&gt;0)),1,0)</f>
        <v>0</v>
      </c>
      <c r="AI2217">
        <f>N(AI2216)+$AH2217</f>
        <v>0</v>
      </c>
      <c r="AL2217" t="n">
        <v>0</v>
      </c>
      <c r="AM2217">
        <f>N(AM2216)+$AL2217</f>
        <v>2</v>
      </c>
      <c r="AN2217">
        <f>""</f>
      </c>
      <c r="AO2217" t="n">
        <v>0</v>
      </c>
      <c r="AP2217">
        <f>N(AP2216)+$AO2217</f>
        <v>13</v>
      </c>
      <c r="AR2217">
        <f>IF(OR($AF2217=1,$AH2217=1),1,0)</f>
        <v>0</v>
      </c>
      <c r="AS2217">
        <f>N(AS2216)+$AR2217</f>
        <v>10</v>
      </c>
    </row>
    <row r="2218" s="127">
      <c r="A2218">
        <f>IF(对接源_02物料!$C1018="","",对接源_02物料!$C1018)</f>
      </c>
      <c r="B2218">
        <f>IF(A2218="",0,IF(MATCH(A2218,$A$4:$A$2403,0)=ROW()-3,1,0))</f>
        <v>0</v>
      </c>
      <c r="C2218">
        <f>N(C2217)+B2218</f>
        <v>26</v>
      </c>
      <c r="K2218">
        <f>IF(OR($K$1="",对接源_02物料!$C1018="",对接源_02物料!$C1018&lt;&gt;$K$1,对接源_02物料!$B1018=""),0,IF(OR(N(对接源_02物料!$B1018)&lt;$K$2,N(对接源_02物料!$B1018)&gt;$K$3),0,1))</f>
        <v>0</v>
      </c>
      <c r="L2218">
        <f>IF(OR($L$1="",对接源_02物料!$C1018="",对接源_02物料!$C1018&lt;&gt;$L$1,对接源_02物料!$B1018=""),0,IF(OR(N(对接源_02物料!$B1018)&lt;$L$2,N(对接源_02物料!$B1018)&gt;$L$3),0,1))</f>
        <v>0</v>
      </c>
      <c r="M2218">
        <f>IF(OR($M$1="",对接源_02物料!$C1018="",对接源_02物料!$C1018&lt;&gt;$M$1,对接源_02物料!$B1018=""),0,IF(OR(N(对接源_02物料!$B1018)&lt;$M$2,N(对接源_02物料!$B1018)&gt;$M$3),0,1))</f>
        <v>0</v>
      </c>
      <c r="N2218">
        <f>IF(OR($N$1="",对接源_02物料!$C1018="",对接源_02物料!$C1018&lt;&gt;$N$1,对接源_02物料!$B1018=""),0,IF(OR(N(对接源_02物料!$B1018)&lt;$N$2,N(对接源_02物料!$B1018)&gt;$N$3),0,1))</f>
        <v>0</v>
      </c>
      <c r="P2218">
        <f>IF(AND($K2218=1,AND(对接源_02物料!$X1018="公司筐",N(对接源_02物料!$T1018)&lt;&gt;0)),1,0)</f>
        <v>0</v>
      </c>
      <c r="Q2218">
        <f>N(Q2217)+$P2218</f>
        <v>14</v>
      </c>
      <c r="R2218">
        <f>IF(AND($K2218=1,AND(对接源_02物料!$X1018="公司筐",N(对接源_02物料!$U1018)&lt;&gt;0)),1,0)</f>
        <v>0</v>
      </c>
      <c r="S2218">
        <f>N(S2217)+$R2218</f>
        <v>1</v>
      </c>
      <c r="T2218">
        <f>IF(AND($K2218=1,AND(对接源_02物料!$X1018="公司筐",N(对接源_02物料!$V1018)&lt;&gt;0)),1,0)</f>
        <v>0</v>
      </c>
      <c r="U2218">
        <f>N(U2217)+$T2218</f>
        <v>47</v>
      </c>
      <c r="V2218">
        <f>IF(AND($L2218=1,AND(对接源_02物料!$X1018="自备筐",N(对接源_02物料!$V1018)&lt;&gt;0)),1,0)</f>
        <v>0</v>
      </c>
      <c r="W2218">
        <f>N(W2217)+$V2218</f>
        <v>11</v>
      </c>
      <c r="X2218">
        <f>IF(AND($L2218=1,AND(对接源_02物料!$X1018="自备筐",N(对接源_02物料!$T1018)&lt;&gt;0)),1,0)</f>
        <v>0</v>
      </c>
      <c r="Y2218">
        <f>N(Y2217)+$X2218</f>
        <v>0</v>
      </c>
      <c r="Z2218">
        <f>IF(AND($M2218=1,对接源_02物料!$D1018="原料入库"),1,0)</f>
        <v>0</v>
      </c>
      <c r="AA2218">
        <f>N(AA2217)+$Z2218</f>
        <v>24</v>
      </c>
      <c r="AB2218">
        <f>IF(AND($M2218=1,LEFT(对接源_02物料!$D1018,4)="原料出库"),1,0)</f>
        <v>0</v>
      </c>
      <c r="AC2218">
        <f>N(AC2217)+$AB2218</f>
        <v>0</v>
      </c>
      <c r="AD2218">
        <f>IF(AND($M2218=1,LEFT(对接源_02物料!$D1018,4)="成品出库"),1,0)</f>
        <v>0</v>
      </c>
      <c r="AE2218">
        <f>N(AE2217)+$AD2218</f>
        <v>0</v>
      </c>
      <c r="AF2218">
        <f>IF(AND($N2218=1,AND(LEFT(对接源_02物料!$D1018,4)="包装物料",N(对接源_02物料!$K1018)&lt;&gt;0)),1,0)</f>
        <v>0</v>
      </c>
      <c r="AG2218">
        <f>N(AG2217)+$AF2218</f>
        <v>10</v>
      </c>
      <c r="AH2218">
        <f>IF(AND($N2218=1,AND(对接源_02物料!$D1018="周转筐－销售出库",N(对接源_02物料!$K1018)&lt;&gt;0)),1,0)</f>
        <v>0</v>
      </c>
      <c r="AI2218">
        <f>N(AI2217)+$AH2218</f>
        <v>0</v>
      </c>
      <c r="AL2218" t="n">
        <v>0</v>
      </c>
      <c r="AM2218">
        <f>N(AM2217)+$AL2218</f>
        <v>2</v>
      </c>
      <c r="AN2218">
        <f>""</f>
      </c>
      <c r="AO2218" t="n">
        <v>0</v>
      </c>
      <c r="AP2218">
        <f>N(AP2217)+$AO2218</f>
        <v>13</v>
      </c>
      <c r="AR2218">
        <f>IF(OR($AF2218=1,$AH2218=1),1,0)</f>
        <v>0</v>
      </c>
      <c r="AS2218">
        <f>N(AS2217)+$AR2218</f>
        <v>10</v>
      </c>
    </row>
    <row r="2219" s="127">
      <c r="A2219">
        <f>IF(对接源_02物料!$C1019="","",对接源_02物料!$C1019)</f>
      </c>
      <c r="B2219">
        <f>IF(A2219="",0,IF(MATCH(A2219,$A$4:$A$2403,0)=ROW()-3,1,0))</f>
        <v>0</v>
      </c>
      <c r="C2219">
        <f>N(C2218)+B2219</f>
        <v>26</v>
      </c>
      <c r="K2219">
        <f>IF(OR($K$1="",对接源_02物料!$C1019="",对接源_02物料!$C1019&lt;&gt;$K$1,对接源_02物料!$B1019=""),0,IF(OR(N(对接源_02物料!$B1019)&lt;$K$2,N(对接源_02物料!$B1019)&gt;$K$3),0,1))</f>
        <v>0</v>
      </c>
      <c r="L2219">
        <f>IF(OR($L$1="",对接源_02物料!$C1019="",对接源_02物料!$C1019&lt;&gt;$L$1,对接源_02物料!$B1019=""),0,IF(OR(N(对接源_02物料!$B1019)&lt;$L$2,N(对接源_02物料!$B1019)&gt;$L$3),0,1))</f>
        <v>0</v>
      </c>
      <c r="M2219">
        <f>IF(OR($M$1="",对接源_02物料!$C1019="",对接源_02物料!$C1019&lt;&gt;$M$1,对接源_02物料!$B1019=""),0,IF(OR(N(对接源_02物料!$B1019)&lt;$M$2,N(对接源_02物料!$B1019)&gt;$M$3),0,1))</f>
        <v>0</v>
      </c>
      <c r="N2219">
        <f>IF(OR($N$1="",对接源_02物料!$C1019="",对接源_02物料!$C1019&lt;&gt;$N$1,对接源_02物料!$B1019=""),0,IF(OR(N(对接源_02物料!$B1019)&lt;$N$2,N(对接源_02物料!$B1019)&gt;$N$3),0,1))</f>
        <v>0</v>
      </c>
      <c r="P2219">
        <f>IF(AND($K2219=1,AND(对接源_02物料!$X1019="公司筐",N(对接源_02物料!$T1019)&lt;&gt;0)),1,0)</f>
        <v>0</v>
      </c>
      <c r="Q2219">
        <f>N(Q2218)+$P2219</f>
        <v>14</v>
      </c>
      <c r="R2219">
        <f>IF(AND($K2219=1,AND(对接源_02物料!$X1019="公司筐",N(对接源_02物料!$U1019)&lt;&gt;0)),1,0)</f>
        <v>0</v>
      </c>
      <c r="S2219">
        <f>N(S2218)+$R2219</f>
        <v>1</v>
      </c>
      <c r="T2219">
        <f>IF(AND($K2219=1,AND(对接源_02物料!$X1019="公司筐",N(对接源_02物料!$V1019)&lt;&gt;0)),1,0)</f>
        <v>0</v>
      </c>
      <c r="U2219">
        <f>N(U2218)+$T2219</f>
        <v>47</v>
      </c>
      <c r="V2219">
        <f>IF(AND($L2219=1,AND(对接源_02物料!$X1019="自备筐",N(对接源_02物料!$V1019)&lt;&gt;0)),1,0)</f>
        <v>0</v>
      </c>
      <c r="W2219">
        <f>N(W2218)+$V2219</f>
        <v>11</v>
      </c>
      <c r="X2219">
        <f>IF(AND($L2219=1,AND(对接源_02物料!$X1019="自备筐",N(对接源_02物料!$T1019)&lt;&gt;0)),1,0)</f>
        <v>0</v>
      </c>
      <c r="Y2219">
        <f>N(Y2218)+$X2219</f>
        <v>0</v>
      </c>
      <c r="Z2219">
        <f>IF(AND($M2219=1,对接源_02物料!$D1019="原料入库"),1,0)</f>
        <v>0</v>
      </c>
      <c r="AA2219">
        <f>N(AA2218)+$Z2219</f>
        <v>24</v>
      </c>
      <c r="AB2219">
        <f>IF(AND($M2219=1,LEFT(对接源_02物料!$D1019,4)="原料出库"),1,0)</f>
        <v>0</v>
      </c>
      <c r="AC2219">
        <f>N(AC2218)+$AB2219</f>
        <v>0</v>
      </c>
      <c r="AD2219">
        <f>IF(AND($M2219=1,LEFT(对接源_02物料!$D1019,4)="成品出库"),1,0)</f>
        <v>0</v>
      </c>
      <c r="AE2219">
        <f>N(AE2218)+$AD2219</f>
        <v>0</v>
      </c>
      <c r="AF2219">
        <f>IF(AND($N2219=1,AND(LEFT(对接源_02物料!$D1019,4)="包装物料",N(对接源_02物料!$K1019)&lt;&gt;0)),1,0)</f>
        <v>0</v>
      </c>
      <c r="AG2219">
        <f>N(AG2218)+$AF2219</f>
        <v>10</v>
      </c>
      <c r="AH2219">
        <f>IF(AND($N2219=1,AND(对接源_02物料!$D1019="周转筐－销售出库",N(对接源_02物料!$K1019)&lt;&gt;0)),1,0)</f>
        <v>0</v>
      </c>
      <c r="AI2219">
        <f>N(AI2218)+$AH2219</f>
        <v>0</v>
      </c>
      <c r="AL2219" t="n">
        <v>0</v>
      </c>
      <c r="AM2219">
        <f>N(AM2218)+$AL2219</f>
        <v>2</v>
      </c>
      <c r="AN2219">
        <f>""</f>
      </c>
      <c r="AO2219" t="n">
        <v>0</v>
      </c>
      <c r="AP2219">
        <f>N(AP2218)+$AO2219</f>
        <v>13</v>
      </c>
      <c r="AR2219">
        <f>IF(OR($AF2219=1,$AH2219=1),1,0)</f>
        <v>0</v>
      </c>
      <c r="AS2219">
        <f>N(AS2218)+$AR2219</f>
        <v>10</v>
      </c>
    </row>
    <row r="2220" s="127">
      <c r="A2220">
        <f>IF(对接源_02物料!$C1020="","",对接源_02物料!$C1020)</f>
      </c>
      <c r="B2220">
        <f>IF(A2220="",0,IF(MATCH(A2220,$A$4:$A$2403,0)=ROW()-3,1,0))</f>
        <v>0</v>
      </c>
      <c r="C2220">
        <f>N(C2219)+B2220</f>
        <v>26</v>
      </c>
      <c r="K2220">
        <f>IF(OR($K$1="",对接源_02物料!$C1020="",对接源_02物料!$C1020&lt;&gt;$K$1,对接源_02物料!$B1020=""),0,IF(OR(N(对接源_02物料!$B1020)&lt;$K$2,N(对接源_02物料!$B1020)&gt;$K$3),0,1))</f>
        <v>0</v>
      </c>
      <c r="L2220">
        <f>IF(OR($L$1="",对接源_02物料!$C1020="",对接源_02物料!$C1020&lt;&gt;$L$1,对接源_02物料!$B1020=""),0,IF(OR(N(对接源_02物料!$B1020)&lt;$L$2,N(对接源_02物料!$B1020)&gt;$L$3),0,1))</f>
        <v>0</v>
      </c>
      <c r="M2220">
        <f>IF(OR($M$1="",对接源_02物料!$C1020="",对接源_02物料!$C1020&lt;&gt;$M$1,对接源_02物料!$B1020=""),0,IF(OR(N(对接源_02物料!$B1020)&lt;$M$2,N(对接源_02物料!$B1020)&gt;$M$3),0,1))</f>
        <v>0</v>
      </c>
      <c r="N2220">
        <f>IF(OR($N$1="",对接源_02物料!$C1020="",对接源_02物料!$C1020&lt;&gt;$N$1,对接源_02物料!$B1020=""),0,IF(OR(N(对接源_02物料!$B1020)&lt;$N$2,N(对接源_02物料!$B1020)&gt;$N$3),0,1))</f>
        <v>0</v>
      </c>
      <c r="P2220">
        <f>IF(AND($K2220=1,AND(对接源_02物料!$X1020="公司筐",N(对接源_02物料!$T1020)&lt;&gt;0)),1,0)</f>
        <v>0</v>
      </c>
      <c r="Q2220">
        <f>N(Q2219)+$P2220</f>
        <v>14</v>
      </c>
      <c r="R2220">
        <f>IF(AND($K2220=1,AND(对接源_02物料!$X1020="公司筐",N(对接源_02物料!$U1020)&lt;&gt;0)),1,0)</f>
        <v>0</v>
      </c>
      <c r="S2220">
        <f>N(S2219)+$R2220</f>
        <v>1</v>
      </c>
      <c r="T2220">
        <f>IF(AND($K2220=1,AND(对接源_02物料!$X1020="公司筐",N(对接源_02物料!$V1020)&lt;&gt;0)),1,0)</f>
        <v>0</v>
      </c>
      <c r="U2220">
        <f>N(U2219)+$T2220</f>
        <v>47</v>
      </c>
      <c r="V2220">
        <f>IF(AND($L2220=1,AND(对接源_02物料!$X1020="自备筐",N(对接源_02物料!$V1020)&lt;&gt;0)),1,0)</f>
        <v>0</v>
      </c>
      <c r="W2220">
        <f>N(W2219)+$V2220</f>
        <v>11</v>
      </c>
      <c r="X2220">
        <f>IF(AND($L2220=1,AND(对接源_02物料!$X1020="自备筐",N(对接源_02物料!$T1020)&lt;&gt;0)),1,0)</f>
        <v>0</v>
      </c>
      <c r="Y2220">
        <f>N(Y2219)+$X2220</f>
        <v>0</v>
      </c>
      <c r="Z2220">
        <f>IF(AND($M2220=1,对接源_02物料!$D1020="原料入库"),1,0)</f>
        <v>0</v>
      </c>
      <c r="AA2220">
        <f>N(AA2219)+$Z2220</f>
        <v>24</v>
      </c>
      <c r="AB2220">
        <f>IF(AND($M2220=1,LEFT(对接源_02物料!$D1020,4)="原料出库"),1,0)</f>
        <v>0</v>
      </c>
      <c r="AC2220">
        <f>N(AC2219)+$AB2220</f>
        <v>0</v>
      </c>
      <c r="AD2220">
        <f>IF(AND($M2220=1,LEFT(对接源_02物料!$D1020,4)="成品出库"),1,0)</f>
        <v>0</v>
      </c>
      <c r="AE2220">
        <f>N(AE2219)+$AD2220</f>
        <v>0</v>
      </c>
      <c r="AF2220">
        <f>IF(AND($N2220=1,AND(LEFT(对接源_02物料!$D1020,4)="包装物料",N(对接源_02物料!$K1020)&lt;&gt;0)),1,0)</f>
        <v>0</v>
      </c>
      <c r="AG2220">
        <f>N(AG2219)+$AF2220</f>
        <v>10</v>
      </c>
      <c r="AH2220">
        <f>IF(AND($N2220=1,AND(对接源_02物料!$D1020="周转筐－销售出库",N(对接源_02物料!$K1020)&lt;&gt;0)),1,0)</f>
        <v>0</v>
      </c>
      <c r="AI2220">
        <f>N(AI2219)+$AH2220</f>
        <v>0</v>
      </c>
      <c r="AL2220" t="n">
        <v>0</v>
      </c>
      <c r="AM2220">
        <f>N(AM2219)+$AL2220</f>
        <v>2</v>
      </c>
      <c r="AN2220">
        <f>""</f>
      </c>
      <c r="AO2220" t="n">
        <v>0</v>
      </c>
      <c r="AP2220">
        <f>N(AP2219)+$AO2220</f>
        <v>13</v>
      </c>
      <c r="AR2220">
        <f>IF(OR($AF2220=1,$AH2220=1),1,0)</f>
        <v>0</v>
      </c>
      <c r="AS2220">
        <f>N(AS2219)+$AR2220</f>
        <v>10</v>
      </c>
    </row>
    <row r="2221" s="127">
      <c r="A2221">
        <f>IF(对接源_02物料!$C1021="","",对接源_02物料!$C1021)</f>
      </c>
      <c r="B2221">
        <f>IF(A2221="",0,IF(MATCH(A2221,$A$4:$A$2403,0)=ROW()-3,1,0))</f>
        <v>0</v>
      </c>
      <c r="C2221">
        <f>N(C2220)+B2221</f>
        <v>26</v>
      </c>
      <c r="K2221">
        <f>IF(OR($K$1="",对接源_02物料!$C1021="",对接源_02物料!$C1021&lt;&gt;$K$1,对接源_02物料!$B1021=""),0,IF(OR(N(对接源_02物料!$B1021)&lt;$K$2,N(对接源_02物料!$B1021)&gt;$K$3),0,1))</f>
        <v>0</v>
      </c>
      <c r="L2221">
        <f>IF(OR($L$1="",对接源_02物料!$C1021="",对接源_02物料!$C1021&lt;&gt;$L$1,对接源_02物料!$B1021=""),0,IF(OR(N(对接源_02物料!$B1021)&lt;$L$2,N(对接源_02物料!$B1021)&gt;$L$3),0,1))</f>
        <v>0</v>
      </c>
      <c r="M2221">
        <f>IF(OR($M$1="",对接源_02物料!$C1021="",对接源_02物料!$C1021&lt;&gt;$M$1,对接源_02物料!$B1021=""),0,IF(OR(N(对接源_02物料!$B1021)&lt;$M$2,N(对接源_02物料!$B1021)&gt;$M$3),0,1))</f>
        <v>0</v>
      </c>
      <c r="N2221">
        <f>IF(OR($N$1="",对接源_02物料!$C1021="",对接源_02物料!$C1021&lt;&gt;$N$1,对接源_02物料!$B1021=""),0,IF(OR(N(对接源_02物料!$B1021)&lt;$N$2,N(对接源_02物料!$B1021)&gt;$N$3),0,1))</f>
        <v>0</v>
      </c>
      <c r="P2221">
        <f>IF(AND($K2221=1,AND(对接源_02物料!$X1021="公司筐",N(对接源_02物料!$T1021)&lt;&gt;0)),1,0)</f>
        <v>0</v>
      </c>
      <c r="Q2221">
        <f>N(Q2220)+$P2221</f>
        <v>14</v>
      </c>
      <c r="R2221">
        <f>IF(AND($K2221=1,AND(对接源_02物料!$X1021="公司筐",N(对接源_02物料!$U1021)&lt;&gt;0)),1,0)</f>
        <v>0</v>
      </c>
      <c r="S2221">
        <f>N(S2220)+$R2221</f>
        <v>1</v>
      </c>
      <c r="T2221">
        <f>IF(AND($K2221=1,AND(对接源_02物料!$X1021="公司筐",N(对接源_02物料!$V1021)&lt;&gt;0)),1,0)</f>
        <v>0</v>
      </c>
      <c r="U2221">
        <f>N(U2220)+$T2221</f>
        <v>47</v>
      </c>
      <c r="V2221">
        <f>IF(AND($L2221=1,AND(对接源_02物料!$X1021="自备筐",N(对接源_02物料!$V1021)&lt;&gt;0)),1,0)</f>
        <v>0</v>
      </c>
      <c r="W2221">
        <f>N(W2220)+$V2221</f>
        <v>11</v>
      </c>
      <c r="X2221">
        <f>IF(AND($L2221=1,AND(对接源_02物料!$X1021="自备筐",N(对接源_02物料!$T1021)&lt;&gt;0)),1,0)</f>
        <v>0</v>
      </c>
      <c r="Y2221">
        <f>N(Y2220)+$X2221</f>
        <v>0</v>
      </c>
      <c r="Z2221">
        <f>IF(AND($M2221=1,对接源_02物料!$D1021="原料入库"),1,0)</f>
        <v>0</v>
      </c>
      <c r="AA2221">
        <f>N(AA2220)+$Z2221</f>
        <v>24</v>
      </c>
      <c r="AB2221">
        <f>IF(AND($M2221=1,LEFT(对接源_02物料!$D1021,4)="原料出库"),1,0)</f>
        <v>0</v>
      </c>
      <c r="AC2221">
        <f>N(AC2220)+$AB2221</f>
        <v>0</v>
      </c>
      <c r="AD2221">
        <f>IF(AND($M2221=1,LEFT(对接源_02物料!$D1021,4)="成品出库"),1,0)</f>
        <v>0</v>
      </c>
      <c r="AE2221">
        <f>N(AE2220)+$AD2221</f>
        <v>0</v>
      </c>
      <c r="AF2221">
        <f>IF(AND($N2221=1,AND(LEFT(对接源_02物料!$D1021,4)="包装物料",N(对接源_02物料!$K1021)&lt;&gt;0)),1,0)</f>
        <v>0</v>
      </c>
      <c r="AG2221">
        <f>N(AG2220)+$AF2221</f>
        <v>10</v>
      </c>
      <c r="AH2221">
        <f>IF(AND($N2221=1,AND(对接源_02物料!$D1021="周转筐－销售出库",N(对接源_02物料!$K1021)&lt;&gt;0)),1,0)</f>
        <v>0</v>
      </c>
      <c r="AI2221">
        <f>N(AI2220)+$AH2221</f>
        <v>0</v>
      </c>
      <c r="AL2221" t="n">
        <v>0</v>
      </c>
      <c r="AM2221">
        <f>N(AM2220)+$AL2221</f>
        <v>2</v>
      </c>
      <c r="AN2221">
        <f>""</f>
      </c>
      <c r="AO2221" t="n">
        <v>0</v>
      </c>
      <c r="AP2221">
        <f>N(AP2220)+$AO2221</f>
        <v>13</v>
      </c>
      <c r="AR2221">
        <f>IF(OR($AF2221=1,$AH2221=1),1,0)</f>
        <v>0</v>
      </c>
      <c r="AS2221">
        <f>N(AS2220)+$AR2221</f>
        <v>10</v>
      </c>
    </row>
    <row r="2222" s="127">
      <c r="A2222">
        <f>IF(对接源_02物料!$C1022="","",对接源_02物料!$C1022)</f>
      </c>
      <c r="B2222">
        <f>IF(A2222="",0,IF(MATCH(A2222,$A$4:$A$2403,0)=ROW()-3,1,0))</f>
        <v>0</v>
      </c>
      <c r="C2222">
        <f>N(C2221)+B2222</f>
        <v>26</v>
      </c>
      <c r="K2222">
        <f>IF(OR($K$1="",对接源_02物料!$C1022="",对接源_02物料!$C1022&lt;&gt;$K$1,对接源_02物料!$B1022=""),0,IF(OR(N(对接源_02物料!$B1022)&lt;$K$2,N(对接源_02物料!$B1022)&gt;$K$3),0,1))</f>
        <v>0</v>
      </c>
      <c r="L2222">
        <f>IF(OR($L$1="",对接源_02物料!$C1022="",对接源_02物料!$C1022&lt;&gt;$L$1,对接源_02物料!$B1022=""),0,IF(OR(N(对接源_02物料!$B1022)&lt;$L$2,N(对接源_02物料!$B1022)&gt;$L$3),0,1))</f>
        <v>0</v>
      </c>
      <c r="M2222">
        <f>IF(OR($M$1="",对接源_02物料!$C1022="",对接源_02物料!$C1022&lt;&gt;$M$1,对接源_02物料!$B1022=""),0,IF(OR(N(对接源_02物料!$B1022)&lt;$M$2,N(对接源_02物料!$B1022)&gt;$M$3),0,1))</f>
        <v>0</v>
      </c>
      <c r="N2222">
        <f>IF(OR($N$1="",对接源_02物料!$C1022="",对接源_02物料!$C1022&lt;&gt;$N$1,对接源_02物料!$B1022=""),0,IF(OR(N(对接源_02物料!$B1022)&lt;$N$2,N(对接源_02物料!$B1022)&gt;$N$3),0,1))</f>
        <v>0</v>
      </c>
      <c r="P2222">
        <f>IF(AND($K2222=1,AND(对接源_02物料!$X1022="公司筐",N(对接源_02物料!$T1022)&lt;&gt;0)),1,0)</f>
        <v>0</v>
      </c>
      <c r="Q2222">
        <f>N(Q2221)+$P2222</f>
        <v>14</v>
      </c>
      <c r="R2222">
        <f>IF(AND($K2222=1,AND(对接源_02物料!$X1022="公司筐",N(对接源_02物料!$U1022)&lt;&gt;0)),1,0)</f>
        <v>0</v>
      </c>
      <c r="S2222">
        <f>N(S2221)+$R2222</f>
        <v>1</v>
      </c>
      <c r="T2222">
        <f>IF(AND($K2222=1,AND(对接源_02物料!$X1022="公司筐",N(对接源_02物料!$V1022)&lt;&gt;0)),1,0)</f>
        <v>0</v>
      </c>
      <c r="U2222">
        <f>N(U2221)+$T2222</f>
        <v>47</v>
      </c>
      <c r="V2222">
        <f>IF(AND($L2222=1,AND(对接源_02物料!$X1022="自备筐",N(对接源_02物料!$V1022)&lt;&gt;0)),1,0)</f>
        <v>0</v>
      </c>
      <c r="W2222">
        <f>N(W2221)+$V2222</f>
        <v>11</v>
      </c>
      <c r="X2222">
        <f>IF(AND($L2222=1,AND(对接源_02物料!$X1022="自备筐",N(对接源_02物料!$T1022)&lt;&gt;0)),1,0)</f>
        <v>0</v>
      </c>
      <c r="Y2222">
        <f>N(Y2221)+$X2222</f>
        <v>0</v>
      </c>
      <c r="Z2222">
        <f>IF(AND($M2222=1,对接源_02物料!$D1022="原料入库"),1,0)</f>
        <v>0</v>
      </c>
      <c r="AA2222">
        <f>N(AA2221)+$Z2222</f>
        <v>24</v>
      </c>
      <c r="AB2222">
        <f>IF(AND($M2222=1,LEFT(对接源_02物料!$D1022,4)="原料出库"),1,0)</f>
        <v>0</v>
      </c>
      <c r="AC2222">
        <f>N(AC2221)+$AB2222</f>
        <v>0</v>
      </c>
      <c r="AD2222">
        <f>IF(AND($M2222=1,LEFT(对接源_02物料!$D1022,4)="成品出库"),1,0)</f>
        <v>0</v>
      </c>
      <c r="AE2222">
        <f>N(AE2221)+$AD2222</f>
        <v>0</v>
      </c>
      <c r="AF2222">
        <f>IF(AND($N2222=1,AND(LEFT(对接源_02物料!$D1022,4)="包装物料",N(对接源_02物料!$K1022)&lt;&gt;0)),1,0)</f>
        <v>0</v>
      </c>
      <c r="AG2222">
        <f>N(AG2221)+$AF2222</f>
        <v>10</v>
      </c>
      <c r="AH2222">
        <f>IF(AND($N2222=1,AND(对接源_02物料!$D1022="周转筐－销售出库",N(对接源_02物料!$K1022)&lt;&gt;0)),1,0)</f>
        <v>0</v>
      </c>
      <c r="AI2222">
        <f>N(AI2221)+$AH2222</f>
        <v>0</v>
      </c>
      <c r="AL2222" t="n">
        <v>0</v>
      </c>
      <c r="AM2222">
        <f>N(AM2221)+$AL2222</f>
        <v>2</v>
      </c>
      <c r="AN2222">
        <f>""</f>
      </c>
      <c r="AO2222" t="n">
        <v>0</v>
      </c>
      <c r="AP2222">
        <f>N(AP2221)+$AO2222</f>
        <v>13</v>
      </c>
      <c r="AR2222">
        <f>IF(OR($AF2222=1,$AH2222=1),1,0)</f>
        <v>0</v>
      </c>
      <c r="AS2222">
        <f>N(AS2221)+$AR2222</f>
        <v>10</v>
      </c>
    </row>
    <row r="2223" s="127">
      <c r="A2223">
        <f>IF(对接源_02物料!$C1023="","",对接源_02物料!$C1023)</f>
      </c>
      <c r="B2223">
        <f>IF(A2223="",0,IF(MATCH(A2223,$A$4:$A$2403,0)=ROW()-3,1,0))</f>
        <v>0</v>
      </c>
      <c r="C2223">
        <f>N(C2222)+B2223</f>
        <v>26</v>
      </c>
      <c r="K2223">
        <f>IF(OR($K$1="",对接源_02物料!$C1023="",对接源_02物料!$C1023&lt;&gt;$K$1,对接源_02物料!$B1023=""),0,IF(OR(N(对接源_02物料!$B1023)&lt;$K$2,N(对接源_02物料!$B1023)&gt;$K$3),0,1))</f>
        <v>0</v>
      </c>
      <c r="L2223">
        <f>IF(OR($L$1="",对接源_02物料!$C1023="",对接源_02物料!$C1023&lt;&gt;$L$1,对接源_02物料!$B1023=""),0,IF(OR(N(对接源_02物料!$B1023)&lt;$L$2,N(对接源_02物料!$B1023)&gt;$L$3),0,1))</f>
        <v>0</v>
      </c>
      <c r="M2223">
        <f>IF(OR($M$1="",对接源_02物料!$C1023="",对接源_02物料!$C1023&lt;&gt;$M$1,对接源_02物料!$B1023=""),0,IF(OR(N(对接源_02物料!$B1023)&lt;$M$2,N(对接源_02物料!$B1023)&gt;$M$3),0,1))</f>
        <v>0</v>
      </c>
      <c r="N2223">
        <f>IF(OR($N$1="",对接源_02物料!$C1023="",对接源_02物料!$C1023&lt;&gt;$N$1,对接源_02物料!$B1023=""),0,IF(OR(N(对接源_02物料!$B1023)&lt;$N$2,N(对接源_02物料!$B1023)&gt;$N$3),0,1))</f>
        <v>0</v>
      </c>
      <c r="P2223">
        <f>IF(AND($K2223=1,AND(对接源_02物料!$X1023="公司筐",N(对接源_02物料!$T1023)&lt;&gt;0)),1,0)</f>
        <v>0</v>
      </c>
      <c r="Q2223">
        <f>N(Q2222)+$P2223</f>
        <v>14</v>
      </c>
      <c r="R2223">
        <f>IF(AND($K2223=1,AND(对接源_02物料!$X1023="公司筐",N(对接源_02物料!$U1023)&lt;&gt;0)),1,0)</f>
        <v>0</v>
      </c>
      <c r="S2223">
        <f>N(S2222)+$R2223</f>
        <v>1</v>
      </c>
      <c r="T2223">
        <f>IF(AND($K2223=1,AND(对接源_02物料!$X1023="公司筐",N(对接源_02物料!$V1023)&lt;&gt;0)),1,0)</f>
        <v>0</v>
      </c>
      <c r="U2223">
        <f>N(U2222)+$T2223</f>
        <v>47</v>
      </c>
      <c r="V2223">
        <f>IF(AND($L2223=1,AND(对接源_02物料!$X1023="自备筐",N(对接源_02物料!$V1023)&lt;&gt;0)),1,0)</f>
        <v>0</v>
      </c>
      <c r="W2223">
        <f>N(W2222)+$V2223</f>
        <v>11</v>
      </c>
      <c r="X2223">
        <f>IF(AND($L2223=1,AND(对接源_02物料!$X1023="自备筐",N(对接源_02物料!$T1023)&lt;&gt;0)),1,0)</f>
        <v>0</v>
      </c>
      <c r="Y2223">
        <f>N(Y2222)+$X2223</f>
        <v>0</v>
      </c>
      <c r="Z2223">
        <f>IF(AND($M2223=1,对接源_02物料!$D1023="原料入库"),1,0)</f>
        <v>0</v>
      </c>
      <c r="AA2223">
        <f>N(AA2222)+$Z2223</f>
        <v>24</v>
      </c>
      <c r="AB2223">
        <f>IF(AND($M2223=1,LEFT(对接源_02物料!$D1023,4)="原料出库"),1,0)</f>
        <v>0</v>
      </c>
      <c r="AC2223">
        <f>N(AC2222)+$AB2223</f>
        <v>0</v>
      </c>
      <c r="AD2223">
        <f>IF(AND($M2223=1,LEFT(对接源_02物料!$D1023,4)="成品出库"),1,0)</f>
        <v>0</v>
      </c>
      <c r="AE2223">
        <f>N(AE2222)+$AD2223</f>
        <v>0</v>
      </c>
      <c r="AF2223">
        <f>IF(AND($N2223=1,AND(LEFT(对接源_02物料!$D1023,4)="包装物料",N(对接源_02物料!$K1023)&lt;&gt;0)),1,0)</f>
        <v>0</v>
      </c>
      <c r="AG2223">
        <f>N(AG2222)+$AF2223</f>
        <v>10</v>
      </c>
      <c r="AH2223">
        <f>IF(AND($N2223=1,AND(对接源_02物料!$D1023="周转筐－销售出库",N(对接源_02物料!$K1023)&lt;&gt;0)),1,0)</f>
        <v>0</v>
      </c>
      <c r="AI2223">
        <f>N(AI2222)+$AH2223</f>
        <v>0</v>
      </c>
      <c r="AL2223" t="n">
        <v>0</v>
      </c>
      <c r="AM2223">
        <f>N(AM2222)+$AL2223</f>
        <v>2</v>
      </c>
      <c r="AN2223">
        <f>""</f>
      </c>
      <c r="AO2223" t="n">
        <v>0</v>
      </c>
      <c r="AP2223">
        <f>N(AP2222)+$AO2223</f>
        <v>13</v>
      </c>
      <c r="AR2223">
        <f>IF(OR($AF2223=1,$AH2223=1),1,0)</f>
        <v>0</v>
      </c>
      <c r="AS2223">
        <f>N(AS2222)+$AR2223</f>
        <v>10</v>
      </c>
    </row>
    <row r="2224" s="127">
      <c r="A2224">
        <f>IF(对接源_02物料!$C1024="","",对接源_02物料!$C1024)</f>
      </c>
      <c r="B2224">
        <f>IF(A2224="",0,IF(MATCH(A2224,$A$4:$A$2403,0)=ROW()-3,1,0))</f>
        <v>0</v>
      </c>
      <c r="C2224">
        <f>N(C2223)+B2224</f>
        <v>26</v>
      </c>
      <c r="K2224">
        <f>IF(OR($K$1="",对接源_02物料!$C1024="",对接源_02物料!$C1024&lt;&gt;$K$1,对接源_02物料!$B1024=""),0,IF(OR(N(对接源_02物料!$B1024)&lt;$K$2,N(对接源_02物料!$B1024)&gt;$K$3),0,1))</f>
        <v>0</v>
      </c>
      <c r="L2224">
        <f>IF(OR($L$1="",对接源_02物料!$C1024="",对接源_02物料!$C1024&lt;&gt;$L$1,对接源_02物料!$B1024=""),0,IF(OR(N(对接源_02物料!$B1024)&lt;$L$2,N(对接源_02物料!$B1024)&gt;$L$3),0,1))</f>
        <v>0</v>
      </c>
      <c r="M2224">
        <f>IF(OR($M$1="",对接源_02物料!$C1024="",对接源_02物料!$C1024&lt;&gt;$M$1,对接源_02物料!$B1024=""),0,IF(OR(N(对接源_02物料!$B1024)&lt;$M$2,N(对接源_02物料!$B1024)&gt;$M$3),0,1))</f>
        <v>0</v>
      </c>
      <c r="N2224">
        <f>IF(OR($N$1="",对接源_02物料!$C1024="",对接源_02物料!$C1024&lt;&gt;$N$1,对接源_02物料!$B1024=""),0,IF(OR(N(对接源_02物料!$B1024)&lt;$N$2,N(对接源_02物料!$B1024)&gt;$N$3),0,1))</f>
        <v>0</v>
      </c>
      <c r="P2224">
        <f>IF(AND($K2224=1,AND(对接源_02物料!$X1024="公司筐",N(对接源_02物料!$T1024)&lt;&gt;0)),1,0)</f>
        <v>0</v>
      </c>
      <c r="Q2224">
        <f>N(Q2223)+$P2224</f>
        <v>14</v>
      </c>
      <c r="R2224">
        <f>IF(AND($K2224=1,AND(对接源_02物料!$X1024="公司筐",N(对接源_02物料!$U1024)&lt;&gt;0)),1,0)</f>
        <v>0</v>
      </c>
      <c r="S2224">
        <f>N(S2223)+$R2224</f>
        <v>1</v>
      </c>
      <c r="T2224">
        <f>IF(AND($K2224=1,AND(对接源_02物料!$X1024="公司筐",N(对接源_02物料!$V1024)&lt;&gt;0)),1,0)</f>
        <v>0</v>
      </c>
      <c r="U2224">
        <f>N(U2223)+$T2224</f>
        <v>47</v>
      </c>
      <c r="V2224">
        <f>IF(AND($L2224=1,AND(对接源_02物料!$X1024="自备筐",N(对接源_02物料!$V1024)&lt;&gt;0)),1,0)</f>
        <v>0</v>
      </c>
      <c r="W2224">
        <f>N(W2223)+$V2224</f>
        <v>11</v>
      </c>
      <c r="X2224">
        <f>IF(AND($L2224=1,AND(对接源_02物料!$X1024="自备筐",N(对接源_02物料!$T1024)&lt;&gt;0)),1,0)</f>
        <v>0</v>
      </c>
      <c r="Y2224">
        <f>N(Y2223)+$X2224</f>
        <v>0</v>
      </c>
      <c r="Z2224">
        <f>IF(AND($M2224=1,对接源_02物料!$D1024="原料入库"),1,0)</f>
        <v>0</v>
      </c>
      <c r="AA2224">
        <f>N(AA2223)+$Z2224</f>
        <v>24</v>
      </c>
      <c r="AB2224">
        <f>IF(AND($M2224=1,LEFT(对接源_02物料!$D1024,4)="原料出库"),1,0)</f>
        <v>0</v>
      </c>
      <c r="AC2224">
        <f>N(AC2223)+$AB2224</f>
        <v>0</v>
      </c>
      <c r="AD2224">
        <f>IF(AND($M2224=1,LEFT(对接源_02物料!$D1024,4)="成品出库"),1,0)</f>
        <v>0</v>
      </c>
      <c r="AE2224">
        <f>N(AE2223)+$AD2224</f>
        <v>0</v>
      </c>
      <c r="AF2224">
        <f>IF(AND($N2224=1,AND(LEFT(对接源_02物料!$D1024,4)="包装物料",N(对接源_02物料!$K1024)&lt;&gt;0)),1,0)</f>
        <v>0</v>
      </c>
      <c r="AG2224">
        <f>N(AG2223)+$AF2224</f>
        <v>10</v>
      </c>
      <c r="AH2224">
        <f>IF(AND($N2224=1,AND(对接源_02物料!$D1024="周转筐－销售出库",N(对接源_02物料!$K1024)&lt;&gt;0)),1,0)</f>
        <v>0</v>
      </c>
      <c r="AI2224">
        <f>N(AI2223)+$AH2224</f>
        <v>0</v>
      </c>
      <c r="AL2224" t="n">
        <v>0</v>
      </c>
      <c r="AM2224">
        <f>N(AM2223)+$AL2224</f>
        <v>2</v>
      </c>
      <c r="AN2224">
        <f>""</f>
      </c>
      <c r="AO2224" t="n">
        <v>0</v>
      </c>
      <c r="AP2224">
        <f>N(AP2223)+$AO2224</f>
        <v>13</v>
      </c>
      <c r="AR2224">
        <f>IF(OR($AF2224=1,$AH2224=1),1,0)</f>
        <v>0</v>
      </c>
      <c r="AS2224">
        <f>N(AS2223)+$AR2224</f>
        <v>10</v>
      </c>
    </row>
    <row r="2225" s="127">
      <c r="A2225">
        <f>IF(对接源_02物料!$C1025="","",对接源_02物料!$C1025)</f>
      </c>
      <c r="B2225">
        <f>IF(A2225="",0,IF(MATCH(A2225,$A$4:$A$2403,0)=ROW()-3,1,0))</f>
        <v>0</v>
      </c>
      <c r="C2225">
        <f>N(C2224)+B2225</f>
        <v>26</v>
      </c>
      <c r="K2225">
        <f>IF(OR($K$1="",对接源_02物料!$C1025="",对接源_02物料!$C1025&lt;&gt;$K$1,对接源_02物料!$B1025=""),0,IF(OR(N(对接源_02物料!$B1025)&lt;$K$2,N(对接源_02物料!$B1025)&gt;$K$3),0,1))</f>
        <v>0</v>
      </c>
      <c r="L2225">
        <f>IF(OR($L$1="",对接源_02物料!$C1025="",对接源_02物料!$C1025&lt;&gt;$L$1,对接源_02物料!$B1025=""),0,IF(OR(N(对接源_02物料!$B1025)&lt;$L$2,N(对接源_02物料!$B1025)&gt;$L$3),0,1))</f>
        <v>0</v>
      </c>
      <c r="M2225">
        <f>IF(OR($M$1="",对接源_02物料!$C1025="",对接源_02物料!$C1025&lt;&gt;$M$1,对接源_02物料!$B1025=""),0,IF(OR(N(对接源_02物料!$B1025)&lt;$M$2,N(对接源_02物料!$B1025)&gt;$M$3),0,1))</f>
        <v>0</v>
      </c>
      <c r="N2225">
        <f>IF(OR($N$1="",对接源_02物料!$C1025="",对接源_02物料!$C1025&lt;&gt;$N$1,对接源_02物料!$B1025=""),0,IF(OR(N(对接源_02物料!$B1025)&lt;$N$2,N(对接源_02物料!$B1025)&gt;$N$3),0,1))</f>
        <v>0</v>
      </c>
      <c r="P2225">
        <f>IF(AND($K2225=1,AND(对接源_02物料!$X1025="公司筐",N(对接源_02物料!$T1025)&lt;&gt;0)),1,0)</f>
        <v>0</v>
      </c>
      <c r="Q2225">
        <f>N(Q2224)+$P2225</f>
        <v>14</v>
      </c>
      <c r="R2225">
        <f>IF(AND($K2225=1,AND(对接源_02物料!$X1025="公司筐",N(对接源_02物料!$U1025)&lt;&gt;0)),1,0)</f>
        <v>0</v>
      </c>
      <c r="S2225">
        <f>N(S2224)+$R2225</f>
        <v>1</v>
      </c>
      <c r="T2225">
        <f>IF(AND($K2225=1,AND(对接源_02物料!$X1025="公司筐",N(对接源_02物料!$V1025)&lt;&gt;0)),1,0)</f>
        <v>0</v>
      </c>
      <c r="U2225">
        <f>N(U2224)+$T2225</f>
        <v>47</v>
      </c>
      <c r="V2225">
        <f>IF(AND($L2225=1,AND(对接源_02物料!$X1025="自备筐",N(对接源_02物料!$V1025)&lt;&gt;0)),1,0)</f>
        <v>0</v>
      </c>
      <c r="W2225">
        <f>N(W2224)+$V2225</f>
        <v>11</v>
      </c>
      <c r="X2225">
        <f>IF(AND($L2225=1,AND(对接源_02物料!$X1025="自备筐",N(对接源_02物料!$T1025)&lt;&gt;0)),1,0)</f>
        <v>0</v>
      </c>
      <c r="Y2225">
        <f>N(Y2224)+$X2225</f>
        <v>0</v>
      </c>
      <c r="Z2225">
        <f>IF(AND($M2225=1,对接源_02物料!$D1025="原料入库"),1,0)</f>
        <v>0</v>
      </c>
      <c r="AA2225">
        <f>N(AA2224)+$Z2225</f>
        <v>24</v>
      </c>
      <c r="AB2225">
        <f>IF(AND($M2225=1,LEFT(对接源_02物料!$D1025,4)="原料出库"),1,0)</f>
        <v>0</v>
      </c>
      <c r="AC2225">
        <f>N(AC2224)+$AB2225</f>
        <v>0</v>
      </c>
      <c r="AD2225">
        <f>IF(AND($M2225=1,LEFT(对接源_02物料!$D1025,4)="成品出库"),1,0)</f>
        <v>0</v>
      </c>
      <c r="AE2225">
        <f>N(AE2224)+$AD2225</f>
        <v>0</v>
      </c>
      <c r="AF2225">
        <f>IF(AND($N2225=1,AND(LEFT(对接源_02物料!$D1025,4)="包装物料",N(对接源_02物料!$K1025)&lt;&gt;0)),1,0)</f>
        <v>0</v>
      </c>
      <c r="AG2225">
        <f>N(AG2224)+$AF2225</f>
        <v>10</v>
      </c>
      <c r="AH2225">
        <f>IF(AND($N2225=1,AND(对接源_02物料!$D1025="周转筐－销售出库",N(对接源_02物料!$K1025)&lt;&gt;0)),1,0)</f>
        <v>0</v>
      </c>
      <c r="AI2225">
        <f>N(AI2224)+$AH2225</f>
        <v>0</v>
      </c>
      <c r="AL2225" t="n">
        <v>0</v>
      </c>
      <c r="AM2225">
        <f>N(AM2224)+$AL2225</f>
        <v>2</v>
      </c>
      <c r="AN2225">
        <f>""</f>
      </c>
      <c r="AO2225" t="n">
        <v>0</v>
      </c>
      <c r="AP2225">
        <f>N(AP2224)+$AO2225</f>
        <v>13</v>
      </c>
      <c r="AR2225">
        <f>IF(OR($AF2225=1,$AH2225=1),1,0)</f>
        <v>0</v>
      </c>
      <c r="AS2225">
        <f>N(AS2224)+$AR2225</f>
        <v>10</v>
      </c>
    </row>
    <row r="2226" s="127">
      <c r="A2226">
        <f>IF(对接源_02物料!$C1026="","",对接源_02物料!$C1026)</f>
      </c>
      <c r="B2226">
        <f>IF(A2226="",0,IF(MATCH(A2226,$A$4:$A$2403,0)=ROW()-3,1,0))</f>
        <v>0</v>
      </c>
      <c r="C2226">
        <f>N(C2225)+B2226</f>
        <v>26</v>
      </c>
      <c r="K2226">
        <f>IF(OR($K$1="",对接源_02物料!$C1026="",对接源_02物料!$C1026&lt;&gt;$K$1,对接源_02物料!$B1026=""),0,IF(OR(N(对接源_02物料!$B1026)&lt;$K$2,N(对接源_02物料!$B1026)&gt;$K$3),0,1))</f>
        <v>0</v>
      </c>
      <c r="L2226">
        <f>IF(OR($L$1="",对接源_02物料!$C1026="",对接源_02物料!$C1026&lt;&gt;$L$1,对接源_02物料!$B1026=""),0,IF(OR(N(对接源_02物料!$B1026)&lt;$L$2,N(对接源_02物料!$B1026)&gt;$L$3),0,1))</f>
        <v>0</v>
      </c>
      <c r="M2226">
        <f>IF(OR($M$1="",对接源_02物料!$C1026="",对接源_02物料!$C1026&lt;&gt;$M$1,对接源_02物料!$B1026=""),0,IF(OR(N(对接源_02物料!$B1026)&lt;$M$2,N(对接源_02物料!$B1026)&gt;$M$3),0,1))</f>
        <v>0</v>
      </c>
      <c r="N2226">
        <f>IF(OR($N$1="",对接源_02物料!$C1026="",对接源_02物料!$C1026&lt;&gt;$N$1,对接源_02物料!$B1026=""),0,IF(OR(N(对接源_02物料!$B1026)&lt;$N$2,N(对接源_02物料!$B1026)&gt;$N$3),0,1))</f>
        <v>0</v>
      </c>
      <c r="P2226">
        <f>IF(AND($K2226=1,AND(对接源_02物料!$X1026="公司筐",N(对接源_02物料!$T1026)&lt;&gt;0)),1,0)</f>
        <v>0</v>
      </c>
      <c r="Q2226">
        <f>N(Q2225)+$P2226</f>
        <v>14</v>
      </c>
      <c r="R2226">
        <f>IF(AND($K2226=1,AND(对接源_02物料!$X1026="公司筐",N(对接源_02物料!$U1026)&lt;&gt;0)),1,0)</f>
        <v>0</v>
      </c>
      <c r="S2226">
        <f>N(S2225)+$R2226</f>
        <v>1</v>
      </c>
      <c r="T2226">
        <f>IF(AND($K2226=1,AND(对接源_02物料!$X1026="公司筐",N(对接源_02物料!$V1026)&lt;&gt;0)),1,0)</f>
        <v>0</v>
      </c>
      <c r="U2226">
        <f>N(U2225)+$T2226</f>
        <v>47</v>
      </c>
      <c r="V2226">
        <f>IF(AND($L2226=1,AND(对接源_02物料!$X1026="自备筐",N(对接源_02物料!$V1026)&lt;&gt;0)),1,0)</f>
        <v>0</v>
      </c>
      <c r="W2226">
        <f>N(W2225)+$V2226</f>
        <v>11</v>
      </c>
      <c r="X2226">
        <f>IF(AND($L2226=1,AND(对接源_02物料!$X1026="自备筐",N(对接源_02物料!$T1026)&lt;&gt;0)),1,0)</f>
        <v>0</v>
      </c>
      <c r="Y2226">
        <f>N(Y2225)+$X2226</f>
        <v>0</v>
      </c>
      <c r="Z2226">
        <f>IF(AND($M2226=1,对接源_02物料!$D1026="原料入库"),1,0)</f>
        <v>0</v>
      </c>
      <c r="AA2226">
        <f>N(AA2225)+$Z2226</f>
        <v>24</v>
      </c>
      <c r="AB2226">
        <f>IF(AND($M2226=1,LEFT(对接源_02物料!$D1026,4)="原料出库"),1,0)</f>
        <v>0</v>
      </c>
      <c r="AC2226">
        <f>N(AC2225)+$AB2226</f>
        <v>0</v>
      </c>
      <c r="AD2226">
        <f>IF(AND($M2226=1,LEFT(对接源_02物料!$D1026,4)="成品出库"),1,0)</f>
        <v>0</v>
      </c>
      <c r="AE2226">
        <f>N(AE2225)+$AD2226</f>
        <v>0</v>
      </c>
      <c r="AF2226">
        <f>IF(AND($N2226=1,AND(LEFT(对接源_02物料!$D1026,4)="包装物料",N(对接源_02物料!$K1026)&lt;&gt;0)),1,0)</f>
        <v>0</v>
      </c>
      <c r="AG2226">
        <f>N(AG2225)+$AF2226</f>
        <v>10</v>
      </c>
      <c r="AH2226">
        <f>IF(AND($N2226=1,AND(对接源_02物料!$D1026="周转筐－销售出库",N(对接源_02物料!$K1026)&lt;&gt;0)),1,0)</f>
        <v>0</v>
      </c>
      <c r="AI2226">
        <f>N(AI2225)+$AH2226</f>
        <v>0</v>
      </c>
      <c r="AL2226" t="n">
        <v>0</v>
      </c>
      <c r="AM2226">
        <f>N(AM2225)+$AL2226</f>
        <v>2</v>
      </c>
      <c r="AN2226">
        <f>""</f>
      </c>
      <c r="AO2226" t="n">
        <v>0</v>
      </c>
      <c r="AP2226">
        <f>N(AP2225)+$AO2226</f>
        <v>13</v>
      </c>
      <c r="AR2226">
        <f>IF(OR($AF2226=1,$AH2226=1),1,0)</f>
        <v>0</v>
      </c>
      <c r="AS2226">
        <f>N(AS2225)+$AR2226</f>
        <v>10</v>
      </c>
    </row>
    <row r="2227" s="127">
      <c r="A2227">
        <f>IF(对接源_02物料!$C1027="","",对接源_02物料!$C1027)</f>
      </c>
      <c r="B2227">
        <f>IF(A2227="",0,IF(MATCH(A2227,$A$4:$A$2403,0)=ROW()-3,1,0))</f>
        <v>0</v>
      </c>
      <c r="C2227">
        <f>N(C2226)+B2227</f>
        <v>26</v>
      </c>
      <c r="K2227">
        <f>IF(OR($K$1="",对接源_02物料!$C1027="",对接源_02物料!$C1027&lt;&gt;$K$1,对接源_02物料!$B1027=""),0,IF(OR(N(对接源_02物料!$B1027)&lt;$K$2,N(对接源_02物料!$B1027)&gt;$K$3),0,1))</f>
        <v>0</v>
      </c>
      <c r="L2227">
        <f>IF(OR($L$1="",对接源_02物料!$C1027="",对接源_02物料!$C1027&lt;&gt;$L$1,对接源_02物料!$B1027=""),0,IF(OR(N(对接源_02物料!$B1027)&lt;$L$2,N(对接源_02物料!$B1027)&gt;$L$3),0,1))</f>
        <v>0</v>
      </c>
      <c r="M2227">
        <f>IF(OR($M$1="",对接源_02物料!$C1027="",对接源_02物料!$C1027&lt;&gt;$M$1,对接源_02物料!$B1027=""),0,IF(OR(N(对接源_02物料!$B1027)&lt;$M$2,N(对接源_02物料!$B1027)&gt;$M$3),0,1))</f>
        <v>0</v>
      </c>
      <c r="N2227">
        <f>IF(OR($N$1="",对接源_02物料!$C1027="",对接源_02物料!$C1027&lt;&gt;$N$1,对接源_02物料!$B1027=""),0,IF(OR(N(对接源_02物料!$B1027)&lt;$N$2,N(对接源_02物料!$B1027)&gt;$N$3),0,1))</f>
        <v>0</v>
      </c>
      <c r="P2227">
        <f>IF(AND($K2227=1,AND(对接源_02物料!$X1027="公司筐",N(对接源_02物料!$T1027)&lt;&gt;0)),1,0)</f>
        <v>0</v>
      </c>
      <c r="Q2227">
        <f>N(Q2226)+$P2227</f>
        <v>14</v>
      </c>
      <c r="R2227">
        <f>IF(AND($K2227=1,AND(对接源_02物料!$X1027="公司筐",N(对接源_02物料!$U1027)&lt;&gt;0)),1,0)</f>
        <v>0</v>
      </c>
      <c r="S2227">
        <f>N(S2226)+$R2227</f>
        <v>1</v>
      </c>
      <c r="T2227">
        <f>IF(AND($K2227=1,AND(对接源_02物料!$X1027="公司筐",N(对接源_02物料!$V1027)&lt;&gt;0)),1,0)</f>
        <v>0</v>
      </c>
      <c r="U2227">
        <f>N(U2226)+$T2227</f>
        <v>47</v>
      </c>
      <c r="V2227">
        <f>IF(AND($L2227=1,AND(对接源_02物料!$X1027="自备筐",N(对接源_02物料!$V1027)&lt;&gt;0)),1,0)</f>
        <v>0</v>
      </c>
      <c r="W2227">
        <f>N(W2226)+$V2227</f>
        <v>11</v>
      </c>
      <c r="X2227">
        <f>IF(AND($L2227=1,AND(对接源_02物料!$X1027="自备筐",N(对接源_02物料!$T1027)&lt;&gt;0)),1,0)</f>
        <v>0</v>
      </c>
      <c r="Y2227">
        <f>N(Y2226)+$X2227</f>
        <v>0</v>
      </c>
      <c r="Z2227">
        <f>IF(AND($M2227=1,对接源_02物料!$D1027="原料入库"),1,0)</f>
        <v>0</v>
      </c>
      <c r="AA2227">
        <f>N(AA2226)+$Z2227</f>
        <v>24</v>
      </c>
      <c r="AB2227">
        <f>IF(AND($M2227=1,LEFT(对接源_02物料!$D1027,4)="原料出库"),1,0)</f>
        <v>0</v>
      </c>
      <c r="AC2227">
        <f>N(AC2226)+$AB2227</f>
        <v>0</v>
      </c>
      <c r="AD2227">
        <f>IF(AND($M2227=1,LEFT(对接源_02物料!$D1027,4)="成品出库"),1,0)</f>
        <v>0</v>
      </c>
      <c r="AE2227">
        <f>N(AE2226)+$AD2227</f>
        <v>0</v>
      </c>
      <c r="AF2227">
        <f>IF(AND($N2227=1,AND(LEFT(对接源_02物料!$D1027,4)="包装物料",N(对接源_02物料!$K1027)&lt;&gt;0)),1,0)</f>
        <v>0</v>
      </c>
      <c r="AG2227">
        <f>N(AG2226)+$AF2227</f>
        <v>10</v>
      </c>
      <c r="AH2227">
        <f>IF(AND($N2227=1,AND(对接源_02物料!$D1027="周转筐－销售出库",N(对接源_02物料!$K1027)&lt;&gt;0)),1,0)</f>
        <v>0</v>
      </c>
      <c r="AI2227">
        <f>N(AI2226)+$AH2227</f>
        <v>0</v>
      </c>
      <c r="AL2227" t="n">
        <v>0</v>
      </c>
      <c r="AM2227">
        <f>N(AM2226)+$AL2227</f>
        <v>2</v>
      </c>
      <c r="AN2227">
        <f>""</f>
      </c>
      <c r="AO2227" t="n">
        <v>0</v>
      </c>
      <c r="AP2227">
        <f>N(AP2226)+$AO2227</f>
        <v>13</v>
      </c>
      <c r="AR2227">
        <f>IF(OR($AF2227=1,$AH2227=1),1,0)</f>
        <v>0</v>
      </c>
      <c r="AS2227">
        <f>N(AS2226)+$AR2227</f>
        <v>10</v>
      </c>
    </row>
    <row r="2228" s="127">
      <c r="A2228">
        <f>IF(对接源_02物料!$C1028="","",对接源_02物料!$C1028)</f>
      </c>
      <c r="B2228">
        <f>IF(A2228="",0,IF(MATCH(A2228,$A$4:$A$2403,0)=ROW()-3,1,0))</f>
        <v>0</v>
      </c>
      <c r="C2228">
        <f>N(C2227)+B2228</f>
        <v>26</v>
      </c>
      <c r="K2228">
        <f>IF(OR($K$1="",对接源_02物料!$C1028="",对接源_02物料!$C1028&lt;&gt;$K$1,对接源_02物料!$B1028=""),0,IF(OR(N(对接源_02物料!$B1028)&lt;$K$2,N(对接源_02物料!$B1028)&gt;$K$3),0,1))</f>
        <v>0</v>
      </c>
      <c r="L2228">
        <f>IF(OR($L$1="",对接源_02物料!$C1028="",对接源_02物料!$C1028&lt;&gt;$L$1,对接源_02物料!$B1028=""),0,IF(OR(N(对接源_02物料!$B1028)&lt;$L$2,N(对接源_02物料!$B1028)&gt;$L$3),0,1))</f>
        <v>0</v>
      </c>
      <c r="M2228">
        <f>IF(OR($M$1="",对接源_02物料!$C1028="",对接源_02物料!$C1028&lt;&gt;$M$1,对接源_02物料!$B1028=""),0,IF(OR(N(对接源_02物料!$B1028)&lt;$M$2,N(对接源_02物料!$B1028)&gt;$M$3),0,1))</f>
        <v>0</v>
      </c>
      <c r="N2228">
        <f>IF(OR($N$1="",对接源_02物料!$C1028="",对接源_02物料!$C1028&lt;&gt;$N$1,对接源_02物料!$B1028=""),0,IF(OR(N(对接源_02物料!$B1028)&lt;$N$2,N(对接源_02物料!$B1028)&gt;$N$3),0,1))</f>
        <v>0</v>
      </c>
      <c r="P2228">
        <f>IF(AND($K2228=1,AND(对接源_02物料!$X1028="公司筐",N(对接源_02物料!$T1028)&lt;&gt;0)),1,0)</f>
        <v>0</v>
      </c>
      <c r="Q2228">
        <f>N(Q2227)+$P2228</f>
        <v>14</v>
      </c>
      <c r="R2228">
        <f>IF(AND($K2228=1,AND(对接源_02物料!$X1028="公司筐",N(对接源_02物料!$U1028)&lt;&gt;0)),1,0)</f>
        <v>0</v>
      </c>
      <c r="S2228">
        <f>N(S2227)+$R2228</f>
        <v>1</v>
      </c>
      <c r="T2228">
        <f>IF(AND($K2228=1,AND(对接源_02物料!$X1028="公司筐",N(对接源_02物料!$V1028)&lt;&gt;0)),1,0)</f>
        <v>0</v>
      </c>
      <c r="U2228">
        <f>N(U2227)+$T2228</f>
        <v>47</v>
      </c>
      <c r="V2228">
        <f>IF(AND($L2228=1,AND(对接源_02物料!$X1028="自备筐",N(对接源_02物料!$V1028)&lt;&gt;0)),1,0)</f>
        <v>0</v>
      </c>
      <c r="W2228">
        <f>N(W2227)+$V2228</f>
        <v>11</v>
      </c>
      <c r="X2228">
        <f>IF(AND($L2228=1,AND(对接源_02物料!$X1028="自备筐",N(对接源_02物料!$T1028)&lt;&gt;0)),1,0)</f>
        <v>0</v>
      </c>
      <c r="Y2228">
        <f>N(Y2227)+$X2228</f>
        <v>0</v>
      </c>
      <c r="Z2228">
        <f>IF(AND($M2228=1,对接源_02物料!$D1028="原料入库"),1,0)</f>
        <v>0</v>
      </c>
      <c r="AA2228">
        <f>N(AA2227)+$Z2228</f>
        <v>24</v>
      </c>
      <c r="AB2228">
        <f>IF(AND($M2228=1,LEFT(对接源_02物料!$D1028,4)="原料出库"),1,0)</f>
        <v>0</v>
      </c>
      <c r="AC2228">
        <f>N(AC2227)+$AB2228</f>
        <v>0</v>
      </c>
      <c r="AD2228">
        <f>IF(AND($M2228=1,LEFT(对接源_02物料!$D1028,4)="成品出库"),1,0)</f>
        <v>0</v>
      </c>
      <c r="AE2228">
        <f>N(AE2227)+$AD2228</f>
        <v>0</v>
      </c>
      <c r="AF2228">
        <f>IF(AND($N2228=1,AND(LEFT(对接源_02物料!$D1028,4)="包装物料",N(对接源_02物料!$K1028)&lt;&gt;0)),1,0)</f>
        <v>0</v>
      </c>
      <c r="AG2228">
        <f>N(AG2227)+$AF2228</f>
        <v>10</v>
      </c>
      <c r="AH2228">
        <f>IF(AND($N2228=1,AND(对接源_02物料!$D1028="周转筐－销售出库",N(对接源_02物料!$K1028)&lt;&gt;0)),1,0)</f>
        <v>0</v>
      </c>
      <c r="AI2228">
        <f>N(AI2227)+$AH2228</f>
        <v>0</v>
      </c>
      <c r="AL2228" t="n">
        <v>0</v>
      </c>
      <c r="AM2228">
        <f>N(AM2227)+$AL2228</f>
        <v>2</v>
      </c>
      <c r="AN2228">
        <f>""</f>
      </c>
      <c r="AO2228" t="n">
        <v>0</v>
      </c>
      <c r="AP2228">
        <f>N(AP2227)+$AO2228</f>
        <v>13</v>
      </c>
      <c r="AR2228">
        <f>IF(OR($AF2228=1,$AH2228=1),1,0)</f>
        <v>0</v>
      </c>
      <c r="AS2228">
        <f>N(AS2227)+$AR2228</f>
        <v>10</v>
      </c>
    </row>
    <row r="2229" s="127">
      <c r="A2229">
        <f>IF(对接源_02物料!$C1029="","",对接源_02物料!$C1029)</f>
      </c>
      <c r="B2229">
        <f>IF(A2229="",0,IF(MATCH(A2229,$A$4:$A$2403,0)=ROW()-3,1,0))</f>
        <v>0</v>
      </c>
      <c r="C2229">
        <f>N(C2228)+B2229</f>
        <v>26</v>
      </c>
      <c r="K2229">
        <f>IF(OR($K$1="",对接源_02物料!$C1029="",对接源_02物料!$C1029&lt;&gt;$K$1,对接源_02物料!$B1029=""),0,IF(OR(N(对接源_02物料!$B1029)&lt;$K$2,N(对接源_02物料!$B1029)&gt;$K$3),0,1))</f>
        <v>0</v>
      </c>
      <c r="L2229">
        <f>IF(OR($L$1="",对接源_02物料!$C1029="",对接源_02物料!$C1029&lt;&gt;$L$1,对接源_02物料!$B1029=""),0,IF(OR(N(对接源_02物料!$B1029)&lt;$L$2,N(对接源_02物料!$B1029)&gt;$L$3),0,1))</f>
        <v>0</v>
      </c>
      <c r="M2229">
        <f>IF(OR($M$1="",对接源_02物料!$C1029="",对接源_02物料!$C1029&lt;&gt;$M$1,对接源_02物料!$B1029=""),0,IF(OR(N(对接源_02物料!$B1029)&lt;$M$2,N(对接源_02物料!$B1029)&gt;$M$3),0,1))</f>
        <v>0</v>
      </c>
      <c r="N2229">
        <f>IF(OR($N$1="",对接源_02物料!$C1029="",对接源_02物料!$C1029&lt;&gt;$N$1,对接源_02物料!$B1029=""),0,IF(OR(N(对接源_02物料!$B1029)&lt;$N$2,N(对接源_02物料!$B1029)&gt;$N$3),0,1))</f>
        <v>0</v>
      </c>
      <c r="P2229">
        <f>IF(AND($K2229=1,AND(对接源_02物料!$X1029="公司筐",N(对接源_02物料!$T1029)&lt;&gt;0)),1,0)</f>
        <v>0</v>
      </c>
      <c r="Q2229">
        <f>N(Q2228)+$P2229</f>
        <v>14</v>
      </c>
      <c r="R2229">
        <f>IF(AND($K2229=1,AND(对接源_02物料!$X1029="公司筐",N(对接源_02物料!$U1029)&lt;&gt;0)),1,0)</f>
        <v>0</v>
      </c>
      <c r="S2229">
        <f>N(S2228)+$R2229</f>
        <v>1</v>
      </c>
      <c r="T2229">
        <f>IF(AND($K2229=1,AND(对接源_02物料!$X1029="公司筐",N(对接源_02物料!$V1029)&lt;&gt;0)),1,0)</f>
        <v>0</v>
      </c>
      <c r="U2229">
        <f>N(U2228)+$T2229</f>
        <v>47</v>
      </c>
      <c r="V2229">
        <f>IF(AND($L2229=1,AND(对接源_02物料!$X1029="自备筐",N(对接源_02物料!$V1029)&lt;&gt;0)),1,0)</f>
        <v>0</v>
      </c>
      <c r="W2229">
        <f>N(W2228)+$V2229</f>
        <v>11</v>
      </c>
      <c r="X2229">
        <f>IF(AND($L2229=1,AND(对接源_02物料!$X1029="自备筐",N(对接源_02物料!$T1029)&lt;&gt;0)),1,0)</f>
        <v>0</v>
      </c>
      <c r="Y2229">
        <f>N(Y2228)+$X2229</f>
        <v>0</v>
      </c>
      <c r="Z2229">
        <f>IF(AND($M2229=1,对接源_02物料!$D1029="原料入库"),1,0)</f>
        <v>0</v>
      </c>
      <c r="AA2229">
        <f>N(AA2228)+$Z2229</f>
        <v>24</v>
      </c>
      <c r="AB2229">
        <f>IF(AND($M2229=1,LEFT(对接源_02物料!$D1029,4)="原料出库"),1,0)</f>
        <v>0</v>
      </c>
      <c r="AC2229">
        <f>N(AC2228)+$AB2229</f>
        <v>0</v>
      </c>
      <c r="AD2229">
        <f>IF(AND($M2229=1,LEFT(对接源_02物料!$D1029,4)="成品出库"),1,0)</f>
        <v>0</v>
      </c>
      <c r="AE2229">
        <f>N(AE2228)+$AD2229</f>
        <v>0</v>
      </c>
      <c r="AF2229">
        <f>IF(AND($N2229=1,AND(LEFT(对接源_02物料!$D1029,4)="包装物料",N(对接源_02物料!$K1029)&lt;&gt;0)),1,0)</f>
        <v>0</v>
      </c>
      <c r="AG2229">
        <f>N(AG2228)+$AF2229</f>
        <v>10</v>
      </c>
      <c r="AH2229">
        <f>IF(AND($N2229=1,AND(对接源_02物料!$D1029="周转筐－销售出库",N(对接源_02物料!$K1029)&lt;&gt;0)),1,0)</f>
        <v>0</v>
      </c>
      <c r="AI2229">
        <f>N(AI2228)+$AH2229</f>
        <v>0</v>
      </c>
      <c r="AL2229" t="n">
        <v>0</v>
      </c>
      <c r="AM2229">
        <f>N(AM2228)+$AL2229</f>
        <v>2</v>
      </c>
      <c r="AN2229">
        <f>""</f>
      </c>
      <c r="AO2229" t="n">
        <v>0</v>
      </c>
      <c r="AP2229">
        <f>N(AP2228)+$AO2229</f>
        <v>13</v>
      </c>
      <c r="AR2229">
        <f>IF(OR($AF2229=1,$AH2229=1),1,0)</f>
        <v>0</v>
      </c>
      <c r="AS2229">
        <f>N(AS2228)+$AR2229</f>
        <v>10</v>
      </c>
    </row>
    <row r="2230" s="127">
      <c r="A2230">
        <f>IF(对接源_02物料!$C1030="","",对接源_02物料!$C1030)</f>
      </c>
      <c r="B2230">
        <f>IF(A2230="",0,IF(MATCH(A2230,$A$4:$A$2403,0)=ROW()-3,1,0))</f>
        <v>0</v>
      </c>
      <c r="C2230">
        <f>N(C2229)+B2230</f>
        <v>26</v>
      </c>
      <c r="K2230">
        <f>IF(OR($K$1="",对接源_02物料!$C1030="",对接源_02物料!$C1030&lt;&gt;$K$1,对接源_02物料!$B1030=""),0,IF(OR(N(对接源_02物料!$B1030)&lt;$K$2,N(对接源_02物料!$B1030)&gt;$K$3),0,1))</f>
        <v>0</v>
      </c>
      <c r="L2230">
        <f>IF(OR($L$1="",对接源_02物料!$C1030="",对接源_02物料!$C1030&lt;&gt;$L$1,对接源_02物料!$B1030=""),0,IF(OR(N(对接源_02物料!$B1030)&lt;$L$2,N(对接源_02物料!$B1030)&gt;$L$3),0,1))</f>
        <v>0</v>
      </c>
      <c r="M2230">
        <f>IF(OR($M$1="",对接源_02物料!$C1030="",对接源_02物料!$C1030&lt;&gt;$M$1,对接源_02物料!$B1030=""),0,IF(OR(N(对接源_02物料!$B1030)&lt;$M$2,N(对接源_02物料!$B1030)&gt;$M$3),0,1))</f>
        <v>0</v>
      </c>
      <c r="N2230">
        <f>IF(OR($N$1="",对接源_02物料!$C1030="",对接源_02物料!$C1030&lt;&gt;$N$1,对接源_02物料!$B1030=""),0,IF(OR(N(对接源_02物料!$B1030)&lt;$N$2,N(对接源_02物料!$B1030)&gt;$N$3),0,1))</f>
        <v>0</v>
      </c>
      <c r="P2230">
        <f>IF(AND($K2230=1,AND(对接源_02物料!$X1030="公司筐",N(对接源_02物料!$T1030)&lt;&gt;0)),1,0)</f>
        <v>0</v>
      </c>
      <c r="Q2230">
        <f>N(Q2229)+$P2230</f>
        <v>14</v>
      </c>
      <c r="R2230">
        <f>IF(AND($K2230=1,AND(对接源_02物料!$X1030="公司筐",N(对接源_02物料!$U1030)&lt;&gt;0)),1,0)</f>
        <v>0</v>
      </c>
      <c r="S2230">
        <f>N(S2229)+$R2230</f>
        <v>1</v>
      </c>
      <c r="T2230">
        <f>IF(AND($K2230=1,AND(对接源_02物料!$X1030="公司筐",N(对接源_02物料!$V1030)&lt;&gt;0)),1,0)</f>
        <v>0</v>
      </c>
      <c r="U2230">
        <f>N(U2229)+$T2230</f>
        <v>47</v>
      </c>
      <c r="V2230">
        <f>IF(AND($L2230=1,AND(对接源_02物料!$X1030="自备筐",N(对接源_02物料!$V1030)&lt;&gt;0)),1,0)</f>
        <v>0</v>
      </c>
      <c r="W2230">
        <f>N(W2229)+$V2230</f>
        <v>11</v>
      </c>
      <c r="X2230">
        <f>IF(AND($L2230=1,AND(对接源_02物料!$X1030="自备筐",N(对接源_02物料!$T1030)&lt;&gt;0)),1,0)</f>
        <v>0</v>
      </c>
      <c r="Y2230">
        <f>N(Y2229)+$X2230</f>
        <v>0</v>
      </c>
      <c r="Z2230">
        <f>IF(AND($M2230=1,对接源_02物料!$D1030="原料入库"),1,0)</f>
        <v>0</v>
      </c>
      <c r="AA2230">
        <f>N(AA2229)+$Z2230</f>
        <v>24</v>
      </c>
      <c r="AB2230">
        <f>IF(AND($M2230=1,LEFT(对接源_02物料!$D1030,4)="原料出库"),1,0)</f>
        <v>0</v>
      </c>
      <c r="AC2230">
        <f>N(AC2229)+$AB2230</f>
        <v>0</v>
      </c>
      <c r="AD2230">
        <f>IF(AND($M2230=1,LEFT(对接源_02物料!$D1030,4)="成品出库"),1,0)</f>
        <v>0</v>
      </c>
      <c r="AE2230">
        <f>N(AE2229)+$AD2230</f>
        <v>0</v>
      </c>
      <c r="AF2230">
        <f>IF(AND($N2230=1,AND(LEFT(对接源_02物料!$D1030,4)="包装物料",N(对接源_02物料!$K1030)&lt;&gt;0)),1,0)</f>
        <v>0</v>
      </c>
      <c r="AG2230">
        <f>N(AG2229)+$AF2230</f>
        <v>10</v>
      </c>
      <c r="AH2230">
        <f>IF(AND($N2230=1,AND(对接源_02物料!$D1030="周转筐－销售出库",N(对接源_02物料!$K1030)&lt;&gt;0)),1,0)</f>
        <v>0</v>
      </c>
      <c r="AI2230">
        <f>N(AI2229)+$AH2230</f>
        <v>0</v>
      </c>
      <c r="AL2230" t="n">
        <v>0</v>
      </c>
      <c r="AM2230">
        <f>N(AM2229)+$AL2230</f>
        <v>2</v>
      </c>
      <c r="AN2230">
        <f>""</f>
      </c>
      <c r="AO2230" t="n">
        <v>0</v>
      </c>
      <c r="AP2230">
        <f>N(AP2229)+$AO2230</f>
        <v>13</v>
      </c>
      <c r="AR2230">
        <f>IF(OR($AF2230=1,$AH2230=1),1,0)</f>
        <v>0</v>
      </c>
      <c r="AS2230">
        <f>N(AS2229)+$AR2230</f>
        <v>10</v>
      </c>
    </row>
    <row r="2231" s="127">
      <c r="A2231">
        <f>IF(对接源_02物料!$C1031="","",对接源_02物料!$C1031)</f>
      </c>
      <c r="B2231">
        <f>IF(A2231="",0,IF(MATCH(A2231,$A$4:$A$2403,0)=ROW()-3,1,0))</f>
        <v>0</v>
      </c>
      <c r="C2231">
        <f>N(C2230)+B2231</f>
        <v>26</v>
      </c>
      <c r="K2231">
        <f>IF(OR($K$1="",对接源_02物料!$C1031="",对接源_02物料!$C1031&lt;&gt;$K$1,对接源_02物料!$B1031=""),0,IF(OR(N(对接源_02物料!$B1031)&lt;$K$2,N(对接源_02物料!$B1031)&gt;$K$3),0,1))</f>
        <v>0</v>
      </c>
      <c r="L2231">
        <f>IF(OR($L$1="",对接源_02物料!$C1031="",对接源_02物料!$C1031&lt;&gt;$L$1,对接源_02物料!$B1031=""),0,IF(OR(N(对接源_02物料!$B1031)&lt;$L$2,N(对接源_02物料!$B1031)&gt;$L$3),0,1))</f>
        <v>0</v>
      </c>
      <c r="M2231">
        <f>IF(OR($M$1="",对接源_02物料!$C1031="",对接源_02物料!$C1031&lt;&gt;$M$1,对接源_02物料!$B1031=""),0,IF(OR(N(对接源_02物料!$B1031)&lt;$M$2,N(对接源_02物料!$B1031)&gt;$M$3),0,1))</f>
        <v>0</v>
      </c>
      <c r="N2231">
        <f>IF(OR($N$1="",对接源_02物料!$C1031="",对接源_02物料!$C1031&lt;&gt;$N$1,对接源_02物料!$B1031=""),0,IF(OR(N(对接源_02物料!$B1031)&lt;$N$2,N(对接源_02物料!$B1031)&gt;$N$3),0,1))</f>
        <v>0</v>
      </c>
      <c r="P2231">
        <f>IF(AND($K2231=1,AND(对接源_02物料!$X1031="公司筐",N(对接源_02物料!$T1031)&lt;&gt;0)),1,0)</f>
        <v>0</v>
      </c>
      <c r="Q2231">
        <f>N(Q2230)+$P2231</f>
        <v>14</v>
      </c>
      <c r="R2231">
        <f>IF(AND($K2231=1,AND(对接源_02物料!$X1031="公司筐",N(对接源_02物料!$U1031)&lt;&gt;0)),1,0)</f>
        <v>0</v>
      </c>
      <c r="S2231">
        <f>N(S2230)+$R2231</f>
        <v>1</v>
      </c>
      <c r="T2231">
        <f>IF(AND($K2231=1,AND(对接源_02物料!$X1031="公司筐",N(对接源_02物料!$V1031)&lt;&gt;0)),1,0)</f>
        <v>0</v>
      </c>
      <c r="U2231">
        <f>N(U2230)+$T2231</f>
        <v>47</v>
      </c>
      <c r="V2231">
        <f>IF(AND($L2231=1,AND(对接源_02物料!$X1031="自备筐",N(对接源_02物料!$V1031)&lt;&gt;0)),1,0)</f>
        <v>0</v>
      </c>
      <c r="W2231">
        <f>N(W2230)+$V2231</f>
        <v>11</v>
      </c>
      <c r="X2231">
        <f>IF(AND($L2231=1,AND(对接源_02物料!$X1031="自备筐",N(对接源_02物料!$T1031)&lt;&gt;0)),1,0)</f>
        <v>0</v>
      </c>
      <c r="Y2231">
        <f>N(Y2230)+$X2231</f>
        <v>0</v>
      </c>
      <c r="Z2231">
        <f>IF(AND($M2231=1,对接源_02物料!$D1031="原料入库"),1,0)</f>
        <v>0</v>
      </c>
      <c r="AA2231">
        <f>N(AA2230)+$Z2231</f>
        <v>24</v>
      </c>
      <c r="AB2231">
        <f>IF(AND($M2231=1,LEFT(对接源_02物料!$D1031,4)="原料出库"),1,0)</f>
        <v>0</v>
      </c>
      <c r="AC2231">
        <f>N(AC2230)+$AB2231</f>
        <v>0</v>
      </c>
      <c r="AD2231">
        <f>IF(AND($M2231=1,LEFT(对接源_02物料!$D1031,4)="成品出库"),1,0)</f>
        <v>0</v>
      </c>
      <c r="AE2231">
        <f>N(AE2230)+$AD2231</f>
        <v>0</v>
      </c>
      <c r="AF2231">
        <f>IF(AND($N2231=1,AND(LEFT(对接源_02物料!$D1031,4)="包装物料",N(对接源_02物料!$K1031)&lt;&gt;0)),1,0)</f>
        <v>0</v>
      </c>
      <c r="AG2231">
        <f>N(AG2230)+$AF2231</f>
        <v>10</v>
      </c>
      <c r="AH2231">
        <f>IF(AND($N2231=1,AND(对接源_02物料!$D1031="周转筐－销售出库",N(对接源_02物料!$K1031)&lt;&gt;0)),1,0)</f>
        <v>0</v>
      </c>
      <c r="AI2231">
        <f>N(AI2230)+$AH2231</f>
        <v>0</v>
      </c>
      <c r="AL2231" t="n">
        <v>0</v>
      </c>
      <c r="AM2231">
        <f>N(AM2230)+$AL2231</f>
        <v>2</v>
      </c>
      <c r="AN2231">
        <f>""</f>
      </c>
      <c r="AO2231" t="n">
        <v>0</v>
      </c>
      <c r="AP2231">
        <f>N(AP2230)+$AO2231</f>
        <v>13</v>
      </c>
      <c r="AR2231">
        <f>IF(OR($AF2231=1,$AH2231=1),1,0)</f>
        <v>0</v>
      </c>
      <c r="AS2231">
        <f>N(AS2230)+$AR2231</f>
        <v>10</v>
      </c>
    </row>
    <row r="2232" s="127">
      <c r="A2232">
        <f>IF(对接源_02物料!$C1032="","",对接源_02物料!$C1032)</f>
      </c>
      <c r="B2232">
        <f>IF(A2232="",0,IF(MATCH(A2232,$A$4:$A$2403,0)=ROW()-3,1,0))</f>
        <v>0</v>
      </c>
      <c r="C2232">
        <f>N(C2231)+B2232</f>
        <v>26</v>
      </c>
      <c r="K2232">
        <f>IF(OR($K$1="",对接源_02物料!$C1032="",对接源_02物料!$C1032&lt;&gt;$K$1,对接源_02物料!$B1032=""),0,IF(OR(N(对接源_02物料!$B1032)&lt;$K$2,N(对接源_02物料!$B1032)&gt;$K$3),0,1))</f>
        <v>0</v>
      </c>
      <c r="L2232">
        <f>IF(OR($L$1="",对接源_02物料!$C1032="",对接源_02物料!$C1032&lt;&gt;$L$1,对接源_02物料!$B1032=""),0,IF(OR(N(对接源_02物料!$B1032)&lt;$L$2,N(对接源_02物料!$B1032)&gt;$L$3),0,1))</f>
        <v>0</v>
      </c>
      <c r="M2232">
        <f>IF(OR($M$1="",对接源_02物料!$C1032="",对接源_02物料!$C1032&lt;&gt;$M$1,对接源_02物料!$B1032=""),0,IF(OR(N(对接源_02物料!$B1032)&lt;$M$2,N(对接源_02物料!$B1032)&gt;$M$3),0,1))</f>
        <v>0</v>
      </c>
      <c r="N2232">
        <f>IF(OR($N$1="",对接源_02物料!$C1032="",对接源_02物料!$C1032&lt;&gt;$N$1,对接源_02物料!$B1032=""),0,IF(OR(N(对接源_02物料!$B1032)&lt;$N$2,N(对接源_02物料!$B1032)&gt;$N$3),0,1))</f>
        <v>0</v>
      </c>
      <c r="P2232">
        <f>IF(AND($K2232=1,AND(对接源_02物料!$X1032="公司筐",N(对接源_02物料!$T1032)&lt;&gt;0)),1,0)</f>
        <v>0</v>
      </c>
      <c r="Q2232">
        <f>N(Q2231)+$P2232</f>
        <v>14</v>
      </c>
      <c r="R2232">
        <f>IF(AND($K2232=1,AND(对接源_02物料!$X1032="公司筐",N(对接源_02物料!$U1032)&lt;&gt;0)),1,0)</f>
        <v>0</v>
      </c>
      <c r="S2232">
        <f>N(S2231)+$R2232</f>
        <v>1</v>
      </c>
      <c r="T2232">
        <f>IF(AND($K2232=1,AND(对接源_02物料!$X1032="公司筐",N(对接源_02物料!$V1032)&lt;&gt;0)),1,0)</f>
        <v>0</v>
      </c>
      <c r="U2232">
        <f>N(U2231)+$T2232</f>
        <v>47</v>
      </c>
      <c r="V2232">
        <f>IF(AND($L2232=1,AND(对接源_02物料!$X1032="自备筐",N(对接源_02物料!$V1032)&lt;&gt;0)),1,0)</f>
        <v>0</v>
      </c>
      <c r="W2232">
        <f>N(W2231)+$V2232</f>
        <v>11</v>
      </c>
      <c r="X2232">
        <f>IF(AND($L2232=1,AND(对接源_02物料!$X1032="自备筐",N(对接源_02物料!$T1032)&lt;&gt;0)),1,0)</f>
        <v>0</v>
      </c>
      <c r="Y2232">
        <f>N(Y2231)+$X2232</f>
        <v>0</v>
      </c>
      <c r="Z2232">
        <f>IF(AND($M2232=1,对接源_02物料!$D1032="原料入库"),1,0)</f>
        <v>0</v>
      </c>
      <c r="AA2232">
        <f>N(AA2231)+$Z2232</f>
        <v>24</v>
      </c>
      <c r="AB2232">
        <f>IF(AND($M2232=1,LEFT(对接源_02物料!$D1032,4)="原料出库"),1,0)</f>
        <v>0</v>
      </c>
      <c r="AC2232">
        <f>N(AC2231)+$AB2232</f>
        <v>0</v>
      </c>
      <c r="AD2232">
        <f>IF(AND($M2232=1,LEFT(对接源_02物料!$D1032,4)="成品出库"),1,0)</f>
        <v>0</v>
      </c>
      <c r="AE2232">
        <f>N(AE2231)+$AD2232</f>
        <v>0</v>
      </c>
      <c r="AF2232">
        <f>IF(AND($N2232=1,AND(LEFT(对接源_02物料!$D1032,4)="包装物料",N(对接源_02物料!$K1032)&lt;&gt;0)),1,0)</f>
        <v>0</v>
      </c>
      <c r="AG2232">
        <f>N(AG2231)+$AF2232</f>
        <v>10</v>
      </c>
      <c r="AH2232">
        <f>IF(AND($N2232=1,AND(对接源_02物料!$D1032="周转筐－销售出库",N(对接源_02物料!$K1032)&lt;&gt;0)),1,0)</f>
        <v>0</v>
      </c>
      <c r="AI2232">
        <f>N(AI2231)+$AH2232</f>
        <v>0</v>
      </c>
      <c r="AL2232" t="n">
        <v>0</v>
      </c>
      <c r="AM2232">
        <f>N(AM2231)+$AL2232</f>
        <v>2</v>
      </c>
      <c r="AN2232">
        <f>""</f>
      </c>
      <c r="AO2232" t="n">
        <v>0</v>
      </c>
      <c r="AP2232">
        <f>N(AP2231)+$AO2232</f>
        <v>13</v>
      </c>
      <c r="AR2232">
        <f>IF(OR($AF2232=1,$AH2232=1),1,0)</f>
        <v>0</v>
      </c>
      <c r="AS2232">
        <f>N(AS2231)+$AR2232</f>
        <v>10</v>
      </c>
    </row>
    <row r="2233" s="127">
      <c r="A2233">
        <f>IF(对接源_02物料!$C1033="","",对接源_02物料!$C1033)</f>
      </c>
      <c r="B2233">
        <f>IF(A2233="",0,IF(MATCH(A2233,$A$4:$A$2403,0)=ROW()-3,1,0))</f>
        <v>0</v>
      </c>
      <c r="C2233">
        <f>N(C2232)+B2233</f>
        <v>26</v>
      </c>
      <c r="K2233">
        <f>IF(OR($K$1="",对接源_02物料!$C1033="",对接源_02物料!$C1033&lt;&gt;$K$1,对接源_02物料!$B1033=""),0,IF(OR(N(对接源_02物料!$B1033)&lt;$K$2,N(对接源_02物料!$B1033)&gt;$K$3),0,1))</f>
        <v>0</v>
      </c>
      <c r="L2233">
        <f>IF(OR($L$1="",对接源_02物料!$C1033="",对接源_02物料!$C1033&lt;&gt;$L$1,对接源_02物料!$B1033=""),0,IF(OR(N(对接源_02物料!$B1033)&lt;$L$2,N(对接源_02物料!$B1033)&gt;$L$3),0,1))</f>
        <v>0</v>
      </c>
      <c r="M2233">
        <f>IF(OR($M$1="",对接源_02物料!$C1033="",对接源_02物料!$C1033&lt;&gt;$M$1,对接源_02物料!$B1033=""),0,IF(OR(N(对接源_02物料!$B1033)&lt;$M$2,N(对接源_02物料!$B1033)&gt;$M$3),0,1))</f>
        <v>0</v>
      </c>
      <c r="N2233">
        <f>IF(OR($N$1="",对接源_02物料!$C1033="",对接源_02物料!$C1033&lt;&gt;$N$1,对接源_02物料!$B1033=""),0,IF(OR(N(对接源_02物料!$B1033)&lt;$N$2,N(对接源_02物料!$B1033)&gt;$N$3),0,1))</f>
        <v>0</v>
      </c>
      <c r="P2233">
        <f>IF(AND($K2233=1,AND(对接源_02物料!$X1033="公司筐",N(对接源_02物料!$T1033)&lt;&gt;0)),1,0)</f>
        <v>0</v>
      </c>
      <c r="Q2233">
        <f>N(Q2232)+$P2233</f>
        <v>14</v>
      </c>
      <c r="R2233">
        <f>IF(AND($K2233=1,AND(对接源_02物料!$X1033="公司筐",N(对接源_02物料!$U1033)&lt;&gt;0)),1,0)</f>
        <v>0</v>
      </c>
      <c r="S2233">
        <f>N(S2232)+$R2233</f>
        <v>1</v>
      </c>
      <c r="T2233">
        <f>IF(AND($K2233=1,AND(对接源_02物料!$X1033="公司筐",N(对接源_02物料!$V1033)&lt;&gt;0)),1,0)</f>
        <v>0</v>
      </c>
      <c r="U2233">
        <f>N(U2232)+$T2233</f>
        <v>47</v>
      </c>
      <c r="V2233">
        <f>IF(AND($L2233=1,AND(对接源_02物料!$X1033="自备筐",N(对接源_02物料!$V1033)&lt;&gt;0)),1,0)</f>
        <v>0</v>
      </c>
      <c r="W2233">
        <f>N(W2232)+$V2233</f>
        <v>11</v>
      </c>
      <c r="X2233">
        <f>IF(AND($L2233=1,AND(对接源_02物料!$X1033="自备筐",N(对接源_02物料!$T1033)&lt;&gt;0)),1,0)</f>
        <v>0</v>
      </c>
      <c r="Y2233">
        <f>N(Y2232)+$X2233</f>
        <v>0</v>
      </c>
      <c r="Z2233">
        <f>IF(AND($M2233=1,对接源_02物料!$D1033="原料入库"),1,0)</f>
        <v>0</v>
      </c>
      <c r="AA2233">
        <f>N(AA2232)+$Z2233</f>
        <v>24</v>
      </c>
      <c r="AB2233">
        <f>IF(AND($M2233=1,LEFT(对接源_02物料!$D1033,4)="原料出库"),1,0)</f>
        <v>0</v>
      </c>
      <c r="AC2233">
        <f>N(AC2232)+$AB2233</f>
        <v>0</v>
      </c>
      <c r="AD2233">
        <f>IF(AND($M2233=1,LEFT(对接源_02物料!$D1033,4)="成品出库"),1,0)</f>
        <v>0</v>
      </c>
      <c r="AE2233">
        <f>N(AE2232)+$AD2233</f>
        <v>0</v>
      </c>
      <c r="AF2233">
        <f>IF(AND($N2233=1,AND(LEFT(对接源_02物料!$D1033,4)="包装物料",N(对接源_02物料!$K1033)&lt;&gt;0)),1,0)</f>
        <v>0</v>
      </c>
      <c r="AG2233">
        <f>N(AG2232)+$AF2233</f>
        <v>10</v>
      </c>
      <c r="AH2233">
        <f>IF(AND($N2233=1,AND(对接源_02物料!$D1033="周转筐－销售出库",N(对接源_02物料!$K1033)&lt;&gt;0)),1,0)</f>
        <v>0</v>
      </c>
      <c r="AI2233">
        <f>N(AI2232)+$AH2233</f>
        <v>0</v>
      </c>
      <c r="AL2233" t="n">
        <v>0</v>
      </c>
      <c r="AM2233">
        <f>N(AM2232)+$AL2233</f>
        <v>2</v>
      </c>
      <c r="AN2233">
        <f>""</f>
      </c>
      <c r="AO2233" t="n">
        <v>0</v>
      </c>
      <c r="AP2233">
        <f>N(AP2232)+$AO2233</f>
        <v>13</v>
      </c>
      <c r="AR2233">
        <f>IF(OR($AF2233=1,$AH2233=1),1,0)</f>
        <v>0</v>
      </c>
      <c r="AS2233">
        <f>N(AS2232)+$AR2233</f>
        <v>10</v>
      </c>
    </row>
    <row r="2234" s="127">
      <c r="A2234">
        <f>IF(对接源_02物料!$C1034="","",对接源_02物料!$C1034)</f>
      </c>
      <c r="B2234">
        <f>IF(A2234="",0,IF(MATCH(A2234,$A$4:$A$2403,0)=ROW()-3,1,0))</f>
        <v>0</v>
      </c>
      <c r="C2234">
        <f>N(C2233)+B2234</f>
        <v>26</v>
      </c>
      <c r="K2234">
        <f>IF(OR($K$1="",对接源_02物料!$C1034="",对接源_02物料!$C1034&lt;&gt;$K$1,对接源_02物料!$B1034=""),0,IF(OR(N(对接源_02物料!$B1034)&lt;$K$2,N(对接源_02物料!$B1034)&gt;$K$3),0,1))</f>
        <v>0</v>
      </c>
      <c r="L2234">
        <f>IF(OR($L$1="",对接源_02物料!$C1034="",对接源_02物料!$C1034&lt;&gt;$L$1,对接源_02物料!$B1034=""),0,IF(OR(N(对接源_02物料!$B1034)&lt;$L$2,N(对接源_02物料!$B1034)&gt;$L$3),0,1))</f>
        <v>0</v>
      </c>
      <c r="M2234">
        <f>IF(OR($M$1="",对接源_02物料!$C1034="",对接源_02物料!$C1034&lt;&gt;$M$1,对接源_02物料!$B1034=""),0,IF(OR(N(对接源_02物料!$B1034)&lt;$M$2,N(对接源_02物料!$B1034)&gt;$M$3),0,1))</f>
        <v>0</v>
      </c>
      <c r="N2234">
        <f>IF(OR($N$1="",对接源_02物料!$C1034="",对接源_02物料!$C1034&lt;&gt;$N$1,对接源_02物料!$B1034=""),0,IF(OR(N(对接源_02物料!$B1034)&lt;$N$2,N(对接源_02物料!$B1034)&gt;$N$3),0,1))</f>
        <v>0</v>
      </c>
      <c r="P2234">
        <f>IF(AND($K2234=1,AND(对接源_02物料!$X1034="公司筐",N(对接源_02物料!$T1034)&lt;&gt;0)),1,0)</f>
        <v>0</v>
      </c>
      <c r="Q2234">
        <f>N(Q2233)+$P2234</f>
        <v>14</v>
      </c>
      <c r="R2234">
        <f>IF(AND($K2234=1,AND(对接源_02物料!$X1034="公司筐",N(对接源_02物料!$U1034)&lt;&gt;0)),1,0)</f>
        <v>0</v>
      </c>
      <c r="S2234">
        <f>N(S2233)+$R2234</f>
        <v>1</v>
      </c>
      <c r="T2234">
        <f>IF(AND($K2234=1,AND(对接源_02物料!$X1034="公司筐",N(对接源_02物料!$V1034)&lt;&gt;0)),1,0)</f>
        <v>0</v>
      </c>
      <c r="U2234">
        <f>N(U2233)+$T2234</f>
        <v>47</v>
      </c>
      <c r="V2234">
        <f>IF(AND($L2234=1,AND(对接源_02物料!$X1034="自备筐",N(对接源_02物料!$V1034)&lt;&gt;0)),1,0)</f>
        <v>0</v>
      </c>
      <c r="W2234">
        <f>N(W2233)+$V2234</f>
        <v>11</v>
      </c>
      <c r="X2234">
        <f>IF(AND($L2234=1,AND(对接源_02物料!$X1034="自备筐",N(对接源_02物料!$T1034)&lt;&gt;0)),1,0)</f>
        <v>0</v>
      </c>
      <c r="Y2234">
        <f>N(Y2233)+$X2234</f>
        <v>0</v>
      </c>
      <c r="Z2234">
        <f>IF(AND($M2234=1,对接源_02物料!$D1034="原料入库"),1,0)</f>
        <v>0</v>
      </c>
      <c r="AA2234">
        <f>N(AA2233)+$Z2234</f>
        <v>24</v>
      </c>
      <c r="AB2234">
        <f>IF(AND($M2234=1,LEFT(对接源_02物料!$D1034,4)="原料出库"),1,0)</f>
        <v>0</v>
      </c>
      <c r="AC2234">
        <f>N(AC2233)+$AB2234</f>
        <v>0</v>
      </c>
      <c r="AD2234">
        <f>IF(AND($M2234=1,LEFT(对接源_02物料!$D1034,4)="成品出库"),1,0)</f>
        <v>0</v>
      </c>
      <c r="AE2234">
        <f>N(AE2233)+$AD2234</f>
        <v>0</v>
      </c>
      <c r="AF2234">
        <f>IF(AND($N2234=1,AND(LEFT(对接源_02物料!$D1034,4)="包装物料",N(对接源_02物料!$K1034)&lt;&gt;0)),1,0)</f>
        <v>0</v>
      </c>
      <c r="AG2234">
        <f>N(AG2233)+$AF2234</f>
        <v>10</v>
      </c>
      <c r="AH2234">
        <f>IF(AND($N2234=1,AND(对接源_02物料!$D1034="周转筐－销售出库",N(对接源_02物料!$K1034)&lt;&gt;0)),1,0)</f>
        <v>0</v>
      </c>
      <c r="AI2234">
        <f>N(AI2233)+$AH2234</f>
        <v>0</v>
      </c>
      <c r="AL2234" t="n">
        <v>0</v>
      </c>
      <c r="AM2234">
        <f>N(AM2233)+$AL2234</f>
        <v>2</v>
      </c>
      <c r="AN2234">
        <f>""</f>
      </c>
      <c r="AO2234" t="n">
        <v>0</v>
      </c>
      <c r="AP2234">
        <f>N(AP2233)+$AO2234</f>
        <v>13</v>
      </c>
      <c r="AR2234">
        <f>IF(OR($AF2234=1,$AH2234=1),1,0)</f>
        <v>0</v>
      </c>
      <c r="AS2234">
        <f>N(AS2233)+$AR2234</f>
        <v>10</v>
      </c>
    </row>
    <row r="2235" s="127">
      <c r="A2235">
        <f>IF(对接源_02物料!$C1035="","",对接源_02物料!$C1035)</f>
      </c>
      <c r="B2235">
        <f>IF(A2235="",0,IF(MATCH(A2235,$A$4:$A$2403,0)=ROW()-3,1,0))</f>
        <v>0</v>
      </c>
      <c r="C2235">
        <f>N(C2234)+B2235</f>
        <v>26</v>
      </c>
      <c r="K2235">
        <f>IF(OR($K$1="",对接源_02物料!$C1035="",对接源_02物料!$C1035&lt;&gt;$K$1,对接源_02物料!$B1035=""),0,IF(OR(N(对接源_02物料!$B1035)&lt;$K$2,N(对接源_02物料!$B1035)&gt;$K$3),0,1))</f>
        <v>0</v>
      </c>
      <c r="L2235">
        <f>IF(OR($L$1="",对接源_02物料!$C1035="",对接源_02物料!$C1035&lt;&gt;$L$1,对接源_02物料!$B1035=""),0,IF(OR(N(对接源_02物料!$B1035)&lt;$L$2,N(对接源_02物料!$B1035)&gt;$L$3),0,1))</f>
        <v>0</v>
      </c>
      <c r="M2235">
        <f>IF(OR($M$1="",对接源_02物料!$C1035="",对接源_02物料!$C1035&lt;&gt;$M$1,对接源_02物料!$B1035=""),0,IF(OR(N(对接源_02物料!$B1035)&lt;$M$2,N(对接源_02物料!$B1035)&gt;$M$3),0,1))</f>
        <v>0</v>
      </c>
      <c r="N2235">
        <f>IF(OR($N$1="",对接源_02物料!$C1035="",对接源_02物料!$C1035&lt;&gt;$N$1,对接源_02物料!$B1035=""),0,IF(OR(N(对接源_02物料!$B1035)&lt;$N$2,N(对接源_02物料!$B1035)&gt;$N$3),0,1))</f>
        <v>0</v>
      </c>
      <c r="P2235">
        <f>IF(AND($K2235=1,AND(对接源_02物料!$X1035="公司筐",N(对接源_02物料!$T1035)&lt;&gt;0)),1,0)</f>
        <v>0</v>
      </c>
      <c r="Q2235">
        <f>N(Q2234)+$P2235</f>
        <v>14</v>
      </c>
      <c r="R2235">
        <f>IF(AND($K2235=1,AND(对接源_02物料!$X1035="公司筐",N(对接源_02物料!$U1035)&lt;&gt;0)),1,0)</f>
        <v>0</v>
      </c>
      <c r="S2235">
        <f>N(S2234)+$R2235</f>
        <v>1</v>
      </c>
      <c r="T2235">
        <f>IF(AND($K2235=1,AND(对接源_02物料!$X1035="公司筐",N(对接源_02物料!$V1035)&lt;&gt;0)),1,0)</f>
        <v>0</v>
      </c>
      <c r="U2235">
        <f>N(U2234)+$T2235</f>
        <v>47</v>
      </c>
      <c r="V2235">
        <f>IF(AND($L2235=1,AND(对接源_02物料!$X1035="自备筐",N(对接源_02物料!$V1035)&lt;&gt;0)),1,0)</f>
        <v>0</v>
      </c>
      <c r="W2235">
        <f>N(W2234)+$V2235</f>
        <v>11</v>
      </c>
      <c r="X2235">
        <f>IF(AND($L2235=1,AND(对接源_02物料!$X1035="自备筐",N(对接源_02物料!$T1035)&lt;&gt;0)),1,0)</f>
        <v>0</v>
      </c>
      <c r="Y2235">
        <f>N(Y2234)+$X2235</f>
        <v>0</v>
      </c>
      <c r="Z2235">
        <f>IF(AND($M2235=1,对接源_02物料!$D1035="原料入库"),1,0)</f>
        <v>0</v>
      </c>
      <c r="AA2235">
        <f>N(AA2234)+$Z2235</f>
        <v>24</v>
      </c>
      <c r="AB2235">
        <f>IF(AND($M2235=1,LEFT(对接源_02物料!$D1035,4)="原料出库"),1,0)</f>
        <v>0</v>
      </c>
      <c r="AC2235">
        <f>N(AC2234)+$AB2235</f>
        <v>0</v>
      </c>
      <c r="AD2235">
        <f>IF(AND($M2235=1,LEFT(对接源_02物料!$D1035,4)="成品出库"),1,0)</f>
        <v>0</v>
      </c>
      <c r="AE2235">
        <f>N(AE2234)+$AD2235</f>
        <v>0</v>
      </c>
      <c r="AF2235">
        <f>IF(AND($N2235=1,AND(LEFT(对接源_02物料!$D1035,4)="包装物料",N(对接源_02物料!$K1035)&lt;&gt;0)),1,0)</f>
        <v>0</v>
      </c>
      <c r="AG2235">
        <f>N(AG2234)+$AF2235</f>
        <v>10</v>
      </c>
      <c r="AH2235">
        <f>IF(AND($N2235=1,AND(对接源_02物料!$D1035="周转筐－销售出库",N(对接源_02物料!$K1035)&lt;&gt;0)),1,0)</f>
        <v>0</v>
      </c>
      <c r="AI2235">
        <f>N(AI2234)+$AH2235</f>
        <v>0</v>
      </c>
      <c r="AL2235" t="n">
        <v>0</v>
      </c>
      <c r="AM2235">
        <f>N(AM2234)+$AL2235</f>
        <v>2</v>
      </c>
      <c r="AN2235">
        <f>""</f>
      </c>
      <c r="AO2235" t="n">
        <v>0</v>
      </c>
      <c r="AP2235">
        <f>N(AP2234)+$AO2235</f>
        <v>13</v>
      </c>
      <c r="AR2235">
        <f>IF(OR($AF2235=1,$AH2235=1),1,0)</f>
        <v>0</v>
      </c>
      <c r="AS2235">
        <f>N(AS2234)+$AR2235</f>
        <v>10</v>
      </c>
    </row>
    <row r="2236" s="127">
      <c r="A2236">
        <f>IF(对接源_02物料!$C1036="","",对接源_02物料!$C1036)</f>
      </c>
      <c r="B2236">
        <f>IF(A2236="",0,IF(MATCH(A2236,$A$4:$A$2403,0)=ROW()-3,1,0))</f>
        <v>0</v>
      </c>
      <c r="C2236">
        <f>N(C2235)+B2236</f>
        <v>26</v>
      </c>
      <c r="K2236">
        <f>IF(OR($K$1="",对接源_02物料!$C1036="",对接源_02物料!$C1036&lt;&gt;$K$1,对接源_02物料!$B1036=""),0,IF(OR(N(对接源_02物料!$B1036)&lt;$K$2,N(对接源_02物料!$B1036)&gt;$K$3),0,1))</f>
        <v>0</v>
      </c>
      <c r="L2236">
        <f>IF(OR($L$1="",对接源_02物料!$C1036="",对接源_02物料!$C1036&lt;&gt;$L$1,对接源_02物料!$B1036=""),0,IF(OR(N(对接源_02物料!$B1036)&lt;$L$2,N(对接源_02物料!$B1036)&gt;$L$3),0,1))</f>
        <v>0</v>
      </c>
      <c r="M2236">
        <f>IF(OR($M$1="",对接源_02物料!$C1036="",对接源_02物料!$C1036&lt;&gt;$M$1,对接源_02物料!$B1036=""),0,IF(OR(N(对接源_02物料!$B1036)&lt;$M$2,N(对接源_02物料!$B1036)&gt;$M$3),0,1))</f>
        <v>0</v>
      </c>
      <c r="N2236">
        <f>IF(OR($N$1="",对接源_02物料!$C1036="",对接源_02物料!$C1036&lt;&gt;$N$1,对接源_02物料!$B1036=""),0,IF(OR(N(对接源_02物料!$B1036)&lt;$N$2,N(对接源_02物料!$B1036)&gt;$N$3),0,1))</f>
        <v>0</v>
      </c>
      <c r="P2236">
        <f>IF(AND($K2236=1,AND(对接源_02物料!$X1036="公司筐",N(对接源_02物料!$T1036)&lt;&gt;0)),1,0)</f>
        <v>0</v>
      </c>
      <c r="Q2236">
        <f>N(Q2235)+$P2236</f>
        <v>14</v>
      </c>
      <c r="R2236">
        <f>IF(AND($K2236=1,AND(对接源_02物料!$X1036="公司筐",N(对接源_02物料!$U1036)&lt;&gt;0)),1,0)</f>
        <v>0</v>
      </c>
      <c r="S2236">
        <f>N(S2235)+$R2236</f>
        <v>1</v>
      </c>
      <c r="T2236">
        <f>IF(AND($K2236=1,AND(对接源_02物料!$X1036="公司筐",N(对接源_02物料!$V1036)&lt;&gt;0)),1,0)</f>
        <v>0</v>
      </c>
      <c r="U2236">
        <f>N(U2235)+$T2236</f>
        <v>47</v>
      </c>
      <c r="V2236">
        <f>IF(AND($L2236=1,AND(对接源_02物料!$X1036="自备筐",N(对接源_02物料!$V1036)&lt;&gt;0)),1,0)</f>
        <v>0</v>
      </c>
      <c r="W2236">
        <f>N(W2235)+$V2236</f>
        <v>11</v>
      </c>
      <c r="X2236">
        <f>IF(AND($L2236=1,AND(对接源_02物料!$X1036="自备筐",N(对接源_02物料!$T1036)&lt;&gt;0)),1,0)</f>
        <v>0</v>
      </c>
      <c r="Y2236">
        <f>N(Y2235)+$X2236</f>
        <v>0</v>
      </c>
      <c r="Z2236">
        <f>IF(AND($M2236=1,对接源_02物料!$D1036="原料入库"),1,0)</f>
        <v>0</v>
      </c>
      <c r="AA2236">
        <f>N(AA2235)+$Z2236</f>
        <v>24</v>
      </c>
      <c r="AB2236">
        <f>IF(AND($M2236=1,LEFT(对接源_02物料!$D1036,4)="原料出库"),1,0)</f>
        <v>0</v>
      </c>
      <c r="AC2236">
        <f>N(AC2235)+$AB2236</f>
        <v>0</v>
      </c>
      <c r="AD2236">
        <f>IF(AND($M2236=1,LEFT(对接源_02物料!$D1036,4)="成品出库"),1,0)</f>
        <v>0</v>
      </c>
      <c r="AE2236">
        <f>N(AE2235)+$AD2236</f>
        <v>0</v>
      </c>
      <c r="AF2236">
        <f>IF(AND($N2236=1,AND(LEFT(对接源_02物料!$D1036,4)="包装物料",N(对接源_02物料!$K1036)&lt;&gt;0)),1,0)</f>
        <v>0</v>
      </c>
      <c r="AG2236">
        <f>N(AG2235)+$AF2236</f>
        <v>10</v>
      </c>
      <c r="AH2236">
        <f>IF(AND($N2236=1,AND(对接源_02物料!$D1036="周转筐－销售出库",N(对接源_02物料!$K1036)&lt;&gt;0)),1,0)</f>
        <v>0</v>
      </c>
      <c r="AI2236">
        <f>N(AI2235)+$AH2236</f>
        <v>0</v>
      </c>
      <c r="AL2236" t="n">
        <v>0</v>
      </c>
      <c r="AM2236">
        <f>N(AM2235)+$AL2236</f>
        <v>2</v>
      </c>
      <c r="AN2236">
        <f>""</f>
      </c>
      <c r="AO2236" t="n">
        <v>0</v>
      </c>
      <c r="AP2236">
        <f>N(AP2235)+$AO2236</f>
        <v>13</v>
      </c>
      <c r="AR2236">
        <f>IF(OR($AF2236=1,$AH2236=1),1,0)</f>
        <v>0</v>
      </c>
      <c r="AS2236">
        <f>N(AS2235)+$AR2236</f>
        <v>10</v>
      </c>
    </row>
    <row r="2237" s="127">
      <c r="A2237">
        <f>IF(对接源_02物料!$C1037="","",对接源_02物料!$C1037)</f>
      </c>
      <c r="B2237">
        <f>IF(A2237="",0,IF(MATCH(A2237,$A$4:$A$2403,0)=ROW()-3,1,0))</f>
        <v>0</v>
      </c>
      <c r="C2237">
        <f>N(C2236)+B2237</f>
        <v>26</v>
      </c>
      <c r="K2237">
        <f>IF(OR($K$1="",对接源_02物料!$C1037="",对接源_02物料!$C1037&lt;&gt;$K$1,对接源_02物料!$B1037=""),0,IF(OR(N(对接源_02物料!$B1037)&lt;$K$2,N(对接源_02物料!$B1037)&gt;$K$3),0,1))</f>
        <v>0</v>
      </c>
      <c r="L2237">
        <f>IF(OR($L$1="",对接源_02物料!$C1037="",对接源_02物料!$C1037&lt;&gt;$L$1,对接源_02物料!$B1037=""),0,IF(OR(N(对接源_02物料!$B1037)&lt;$L$2,N(对接源_02物料!$B1037)&gt;$L$3),0,1))</f>
        <v>0</v>
      </c>
      <c r="M2237">
        <f>IF(OR($M$1="",对接源_02物料!$C1037="",对接源_02物料!$C1037&lt;&gt;$M$1,对接源_02物料!$B1037=""),0,IF(OR(N(对接源_02物料!$B1037)&lt;$M$2,N(对接源_02物料!$B1037)&gt;$M$3),0,1))</f>
        <v>0</v>
      </c>
      <c r="N2237">
        <f>IF(OR($N$1="",对接源_02物料!$C1037="",对接源_02物料!$C1037&lt;&gt;$N$1,对接源_02物料!$B1037=""),0,IF(OR(N(对接源_02物料!$B1037)&lt;$N$2,N(对接源_02物料!$B1037)&gt;$N$3),0,1))</f>
        <v>0</v>
      </c>
      <c r="P2237">
        <f>IF(AND($K2237=1,AND(对接源_02物料!$X1037="公司筐",N(对接源_02物料!$T1037)&lt;&gt;0)),1,0)</f>
        <v>0</v>
      </c>
      <c r="Q2237">
        <f>N(Q2236)+$P2237</f>
        <v>14</v>
      </c>
      <c r="R2237">
        <f>IF(AND($K2237=1,AND(对接源_02物料!$X1037="公司筐",N(对接源_02物料!$U1037)&lt;&gt;0)),1,0)</f>
        <v>0</v>
      </c>
      <c r="S2237">
        <f>N(S2236)+$R2237</f>
        <v>1</v>
      </c>
      <c r="T2237">
        <f>IF(AND($K2237=1,AND(对接源_02物料!$X1037="公司筐",N(对接源_02物料!$V1037)&lt;&gt;0)),1,0)</f>
        <v>0</v>
      </c>
      <c r="U2237">
        <f>N(U2236)+$T2237</f>
        <v>47</v>
      </c>
      <c r="V2237">
        <f>IF(AND($L2237=1,AND(对接源_02物料!$X1037="自备筐",N(对接源_02物料!$V1037)&lt;&gt;0)),1,0)</f>
        <v>0</v>
      </c>
      <c r="W2237">
        <f>N(W2236)+$V2237</f>
        <v>11</v>
      </c>
      <c r="X2237">
        <f>IF(AND($L2237=1,AND(对接源_02物料!$X1037="自备筐",N(对接源_02物料!$T1037)&lt;&gt;0)),1,0)</f>
        <v>0</v>
      </c>
      <c r="Y2237">
        <f>N(Y2236)+$X2237</f>
        <v>0</v>
      </c>
      <c r="Z2237">
        <f>IF(AND($M2237=1,对接源_02物料!$D1037="原料入库"),1,0)</f>
        <v>0</v>
      </c>
      <c r="AA2237">
        <f>N(AA2236)+$Z2237</f>
        <v>24</v>
      </c>
      <c r="AB2237">
        <f>IF(AND($M2237=1,LEFT(对接源_02物料!$D1037,4)="原料出库"),1,0)</f>
        <v>0</v>
      </c>
      <c r="AC2237">
        <f>N(AC2236)+$AB2237</f>
        <v>0</v>
      </c>
      <c r="AD2237">
        <f>IF(AND($M2237=1,LEFT(对接源_02物料!$D1037,4)="成品出库"),1,0)</f>
        <v>0</v>
      </c>
      <c r="AE2237">
        <f>N(AE2236)+$AD2237</f>
        <v>0</v>
      </c>
      <c r="AF2237">
        <f>IF(AND($N2237=1,AND(LEFT(对接源_02物料!$D1037,4)="包装物料",N(对接源_02物料!$K1037)&lt;&gt;0)),1,0)</f>
        <v>0</v>
      </c>
      <c r="AG2237">
        <f>N(AG2236)+$AF2237</f>
        <v>10</v>
      </c>
      <c r="AH2237">
        <f>IF(AND($N2237=1,AND(对接源_02物料!$D1037="周转筐－销售出库",N(对接源_02物料!$K1037)&lt;&gt;0)),1,0)</f>
        <v>0</v>
      </c>
      <c r="AI2237">
        <f>N(AI2236)+$AH2237</f>
        <v>0</v>
      </c>
      <c r="AL2237" t="n">
        <v>0</v>
      </c>
      <c r="AM2237">
        <f>N(AM2236)+$AL2237</f>
        <v>2</v>
      </c>
      <c r="AN2237">
        <f>""</f>
      </c>
      <c r="AO2237" t="n">
        <v>0</v>
      </c>
      <c r="AP2237">
        <f>N(AP2236)+$AO2237</f>
        <v>13</v>
      </c>
      <c r="AR2237">
        <f>IF(OR($AF2237=1,$AH2237=1),1,0)</f>
        <v>0</v>
      </c>
      <c r="AS2237">
        <f>N(AS2236)+$AR2237</f>
        <v>10</v>
      </c>
    </row>
    <row r="2238" s="127">
      <c r="A2238">
        <f>IF(对接源_02物料!$C1038="","",对接源_02物料!$C1038)</f>
      </c>
      <c r="B2238">
        <f>IF(A2238="",0,IF(MATCH(A2238,$A$4:$A$2403,0)=ROW()-3,1,0))</f>
        <v>0</v>
      </c>
      <c r="C2238">
        <f>N(C2237)+B2238</f>
        <v>26</v>
      </c>
      <c r="K2238">
        <f>IF(OR($K$1="",对接源_02物料!$C1038="",对接源_02物料!$C1038&lt;&gt;$K$1,对接源_02物料!$B1038=""),0,IF(OR(N(对接源_02物料!$B1038)&lt;$K$2,N(对接源_02物料!$B1038)&gt;$K$3),0,1))</f>
        <v>0</v>
      </c>
      <c r="L2238">
        <f>IF(OR($L$1="",对接源_02物料!$C1038="",对接源_02物料!$C1038&lt;&gt;$L$1,对接源_02物料!$B1038=""),0,IF(OR(N(对接源_02物料!$B1038)&lt;$L$2,N(对接源_02物料!$B1038)&gt;$L$3),0,1))</f>
        <v>0</v>
      </c>
      <c r="M2238">
        <f>IF(OR($M$1="",对接源_02物料!$C1038="",对接源_02物料!$C1038&lt;&gt;$M$1,对接源_02物料!$B1038=""),0,IF(OR(N(对接源_02物料!$B1038)&lt;$M$2,N(对接源_02物料!$B1038)&gt;$M$3),0,1))</f>
        <v>0</v>
      </c>
      <c r="N2238">
        <f>IF(OR($N$1="",对接源_02物料!$C1038="",对接源_02物料!$C1038&lt;&gt;$N$1,对接源_02物料!$B1038=""),0,IF(OR(N(对接源_02物料!$B1038)&lt;$N$2,N(对接源_02物料!$B1038)&gt;$N$3),0,1))</f>
        <v>0</v>
      </c>
      <c r="P2238">
        <f>IF(AND($K2238=1,AND(对接源_02物料!$X1038="公司筐",N(对接源_02物料!$T1038)&lt;&gt;0)),1,0)</f>
        <v>0</v>
      </c>
      <c r="Q2238">
        <f>N(Q2237)+$P2238</f>
        <v>14</v>
      </c>
      <c r="R2238">
        <f>IF(AND($K2238=1,AND(对接源_02物料!$X1038="公司筐",N(对接源_02物料!$U1038)&lt;&gt;0)),1,0)</f>
        <v>0</v>
      </c>
      <c r="S2238">
        <f>N(S2237)+$R2238</f>
        <v>1</v>
      </c>
      <c r="T2238">
        <f>IF(AND($K2238=1,AND(对接源_02物料!$X1038="公司筐",N(对接源_02物料!$V1038)&lt;&gt;0)),1,0)</f>
        <v>0</v>
      </c>
      <c r="U2238">
        <f>N(U2237)+$T2238</f>
        <v>47</v>
      </c>
      <c r="V2238">
        <f>IF(AND($L2238=1,AND(对接源_02物料!$X1038="自备筐",N(对接源_02物料!$V1038)&lt;&gt;0)),1,0)</f>
        <v>0</v>
      </c>
      <c r="W2238">
        <f>N(W2237)+$V2238</f>
        <v>11</v>
      </c>
      <c r="X2238">
        <f>IF(AND($L2238=1,AND(对接源_02物料!$X1038="自备筐",N(对接源_02物料!$T1038)&lt;&gt;0)),1,0)</f>
        <v>0</v>
      </c>
      <c r="Y2238">
        <f>N(Y2237)+$X2238</f>
        <v>0</v>
      </c>
      <c r="Z2238">
        <f>IF(AND($M2238=1,对接源_02物料!$D1038="原料入库"),1,0)</f>
        <v>0</v>
      </c>
      <c r="AA2238">
        <f>N(AA2237)+$Z2238</f>
        <v>24</v>
      </c>
      <c r="AB2238">
        <f>IF(AND($M2238=1,LEFT(对接源_02物料!$D1038,4)="原料出库"),1,0)</f>
        <v>0</v>
      </c>
      <c r="AC2238">
        <f>N(AC2237)+$AB2238</f>
        <v>0</v>
      </c>
      <c r="AD2238">
        <f>IF(AND($M2238=1,LEFT(对接源_02物料!$D1038,4)="成品出库"),1,0)</f>
        <v>0</v>
      </c>
      <c r="AE2238">
        <f>N(AE2237)+$AD2238</f>
        <v>0</v>
      </c>
      <c r="AF2238">
        <f>IF(AND($N2238=1,AND(LEFT(对接源_02物料!$D1038,4)="包装物料",N(对接源_02物料!$K1038)&lt;&gt;0)),1,0)</f>
        <v>0</v>
      </c>
      <c r="AG2238">
        <f>N(AG2237)+$AF2238</f>
        <v>10</v>
      </c>
      <c r="AH2238">
        <f>IF(AND($N2238=1,AND(对接源_02物料!$D1038="周转筐－销售出库",N(对接源_02物料!$K1038)&lt;&gt;0)),1,0)</f>
        <v>0</v>
      </c>
      <c r="AI2238">
        <f>N(AI2237)+$AH2238</f>
        <v>0</v>
      </c>
      <c r="AL2238" t="n">
        <v>0</v>
      </c>
      <c r="AM2238">
        <f>N(AM2237)+$AL2238</f>
        <v>2</v>
      </c>
      <c r="AN2238">
        <f>""</f>
      </c>
      <c r="AO2238" t="n">
        <v>0</v>
      </c>
      <c r="AP2238">
        <f>N(AP2237)+$AO2238</f>
        <v>13</v>
      </c>
      <c r="AR2238">
        <f>IF(OR($AF2238=1,$AH2238=1),1,0)</f>
        <v>0</v>
      </c>
      <c r="AS2238">
        <f>N(AS2237)+$AR2238</f>
        <v>10</v>
      </c>
    </row>
    <row r="2239" s="127">
      <c r="A2239">
        <f>IF(对接源_02物料!$C1039="","",对接源_02物料!$C1039)</f>
      </c>
      <c r="B2239">
        <f>IF(A2239="",0,IF(MATCH(A2239,$A$4:$A$2403,0)=ROW()-3,1,0))</f>
        <v>0</v>
      </c>
      <c r="C2239">
        <f>N(C2238)+B2239</f>
        <v>26</v>
      </c>
      <c r="K2239">
        <f>IF(OR($K$1="",对接源_02物料!$C1039="",对接源_02物料!$C1039&lt;&gt;$K$1,对接源_02物料!$B1039=""),0,IF(OR(N(对接源_02物料!$B1039)&lt;$K$2,N(对接源_02物料!$B1039)&gt;$K$3),0,1))</f>
        <v>0</v>
      </c>
      <c r="L2239">
        <f>IF(OR($L$1="",对接源_02物料!$C1039="",对接源_02物料!$C1039&lt;&gt;$L$1,对接源_02物料!$B1039=""),0,IF(OR(N(对接源_02物料!$B1039)&lt;$L$2,N(对接源_02物料!$B1039)&gt;$L$3),0,1))</f>
        <v>0</v>
      </c>
      <c r="M2239">
        <f>IF(OR($M$1="",对接源_02物料!$C1039="",对接源_02物料!$C1039&lt;&gt;$M$1,对接源_02物料!$B1039=""),0,IF(OR(N(对接源_02物料!$B1039)&lt;$M$2,N(对接源_02物料!$B1039)&gt;$M$3),0,1))</f>
        <v>0</v>
      </c>
      <c r="N2239">
        <f>IF(OR($N$1="",对接源_02物料!$C1039="",对接源_02物料!$C1039&lt;&gt;$N$1,对接源_02物料!$B1039=""),0,IF(OR(N(对接源_02物料!$B1039)&lt;$N$2,N(对接源_02物料!$B1039)&gt;$N$3),0,1))</f>
        <v>0</v>
      </c>
      <c r="P2239">
        <f>IF(AND($K2239=1,AND(对接源_02物料!$X1039="公司筐",N(对接源_02物料!$T1039)&lt;&gt;0)),1,0)</f>
        <v>0</v>
      </c>
      <c r="Q2239">
        <f>N(Q2238)+$P2239</f>
        <v>14</v>
      </c>
      <c r="R2239">
        <f>IF(AND($K2239=1,AND(对接源_02物料!$X1039="公司筐",N(对接源_02物料!$U1039)&lt;&gt;0)),1,0)</f>
        <v>0</v>
      </c>
      <c r="S2239">
        <f>N(S2238)+$R2239</f>
        <v>1</v>
      </c>
      <c r="T2239">
        <f>IF(AND($K2239=1,AND(对接源_02物料!$X1039="公司筐",N(对接源_02物料!$V1039)&lt;&gt;0)),1,0)</f>
        <v>0</v>
      </c>
      <c r="U2239">
        <f>N(U2238)+$T2239</f>
        <v>47</v>
      </c>
      <c r="V2239">
        <f>IF(AND($L2239=1,AND(对接源_02物料!$X1039="自备筐",N(对接源_02物料!$V1039)&lt;&gt;0)),1,0)</f>
        <v>0</v>
      </c>
      <c r="W2239">
        <f>N(W2238)+$V2239</f>
        <v>11</v>
      </c>
      <c r="X2239">
        <f>IF(AND($L2239=1,AND(对接源_02物料!$X1039="自备筐",N(对接源_02物料!$T1039)&lt;&gt;0)),1,0)</f>
        <v>0</v>
      </c>
      <c r="Y2239">
        <f>N(Y2238)+$X2239</f>
        <v>0</v>
      </c>
      <c r="Z2239">
        <f>IF(AND($M2239=1,对接源_02物料!$D1039="原料入库"),1,0)</f>
        <v>0</v>
      </c>
      <c r="AA2239">
        <f>N(AA2238)+$Z2239</f>
        <v>24</v>
      </c>
      <c r="AB2239">
        <f>IF(AND($M2239=1,LEFT(对接源_02物料!$D1039,4)="原料出库"),1,0)</f>
        <v>0</v>
      </c>
      <c r="AC2239">
        <f>N(AC2238)+$AB2239</f>
        <v>0</v>
      </c>
      <c r="AD2239">
        <f>IF(AND($M2239=1,LEFT(对接源_02物料!$D1039,4)="成品出库"),1,0)</f>
        <v>0</v>
      </c>
      <c r="AE2239">
        <f>N(AE2238)+$AD2239</f>
        <v>0</v>
      </c>
      <c r="AF2239">
        <f>IF(AND($N2239=1,AND(LEFT(对接源_02物料!$D1039,4)="包装物料",N(对接源_02物料!$K1039)&lt;&gt;0)),1,0)</f>
        <v>0</v>
      </c>
      <c r="AG2239">
        <f>N(AG2238)+$AF2239</f>
        <v>10</v>
      </c>
      <c r="AH2239">
        <f>IF(AND($N2239=1,AND(对接源_02物料!$D1039="周转筐－销售出库",N(对接源_02物料!$K1039)&lt;&gt;0)),1,0)</f>
        <v>0</v>
      </c>
      <c r="AI2239">
        <f>N(AI2238)+$AH2239</f>
        <v>0</v>
      </c>
      <c r="AL2239" t="n">
        <v>0</v>
      </c>
      <c r="AM2239">
        <f>N(AM2238)+$AL2239</f>
        <v>2</v>
      </c>
      <c r="AN2239">
        <f>""</f>
      </c>
      <c r="AO2239" t="n">
        <v>0</v>
      </c>
      <c r="AP2239">
        <f>N(AP2238)+$AO2239</f>
        <v>13</v>
      </c>
      <c r="AR2239">
        <f>IF(OR($AF2239=1,$AH2239=1),1,0)</f>
        <v>0</v>
      </c>
      <c r="AS2239">
        <f>N(AS2238)+$AR2239</f>
        <v>10</v>
      </c>
    </row>
    <row r="2240" s="127">
      <c r="A2240">
        <f>IF(对接源_02物料!$C1040="","",对接源_02物料!$C1040)</f>
      </c>
      <c r="B2240">
        <f>IF(A2240="",0,IF(MATCH(A2240,$A$4:$A$2403,0)=ROW()-3,1,0))</f>
        <v>0</v>
      </c>
      <c r="C2240">
        <f>N(C2239)+B2240</f>
        <v>26</v>
      </c>
      <c r="K2240">
        <f>IF(OR($K$1="",对接源_02物料!$C1040="",对接源_02物料!$C1040&lt;&gt;$K$1,对接源_02物料!$B1040=""),0,IF(OR(N(对接源_02物料!$B1040)&lt;$K$2,N(对接源_02物料!$B1040)&gt;$K$3),0,1))</f>
        <v>0</v>
      </c>
      <c r="L2240">
        <f>IF(OR($L$1="",对接源_02物料!$C1040="",对接源_02物料!$C1040&lt;&gt;$L$1,对接源_02物料!$B1040=""),0,IF(OR(N(对接源_02物料!$B1040)&lt;$L$2,N(对接源_02物料!$B1040)&gt;$L$3),0,1))</f>
        <v>0</v>
      </c>
      <c r="M2240">
        <f>IF(OR($M$1="",对接源_02物料!$C1040="",对接源_02物料!$C1040&lt;&gt;$M$1,对接源_02物料!$B1040=""),0,IF(OR(N(对接源_02物料!$B1040)&lt;$M$2,N(对接源_02物料!$B1040)&gt;$M$3),0,1))</f>
        <v>0</v>
      </c>
      <c r="N2240">
        <f>IF(OR($N$1="",对接源_02物料!$C1040="",对接源_02物料!$C1040&lt;&gt;$N$1,对接源_02物料!$B1040=""),0,IF(OR(N(对接源_02物料!$B1040)&lt;$N$2,N(对接源_02物料!$B1040)&gt;$N$3),0,1))</f>
        <v>0</v>
      </c>
      <c r="P2240">
        <f>IF(AND($K2240=1,AND(对接源_02物料!$X1040="公司筐",N(对接源_02物料!$T1040)&lt;&gt;0)),1,0)</f>
        <v>0</v>
      </c>
      <c r="Q2240">
        <f>N(Q2239)+$P2240</f>
        <v>14</v>
      </c>
      <c r="R2240">
        <f>IF(AND($K2240=1,AND(对接源_02物料!$X1040="公司筐",N(对接源_02物料!$U1040)&lt;&gt;0)),1,0)</f>
        <v>0</v>
      </c>
      <c r="S2240">
        <f>N(S2239)+$R2240</f>
        <v>1</v>
      </c>
      <c r="T2240">
        <f>IF(AND($K2240=1,AND(对接源_02物料!$X1040="公司筐",N(对接源_02物料!$V1040)&lt;&gt;0)),1,0)</f>
        <v>0</v>
      </c>
      <c r="U2240">
        <f>N(U2239)+$T2240</f>
        <v>47</v>
      </c>
      <c r="V2240">
        <f>IF(AND($L2240=1,AND(对接源_02物料!$X1040="自备筐",N(对接源_02物料!$V1040)&lt;&gt;0)),1,0)</f>
        <v>0</v>
      </c>
      <c r="W2240">
        <f>N(W2239)+$V2240</f>
        <v>11</v>
      </c>
      <c r="X2240">
        <f>IF(AND($L2240=1,AND(对接源_02物料!$X1040="自备筐",N(对接源_02物料!$T1040)&lt;&gt;0)),1,0)</f>
        <v>0</v>
      </c>
      <c r="Y2240">
        <f>N(Y2239)+$X2240</f>
        <v>0</v>
      </c>
      <c r="Z2240">
        <f>IF(AND($M2240=1,对接源_02物料!$D1040="原料入库"),1,0)</f>
        <v>0</v>
      </c>
      <c r="AA2240">
        <f>N(AA2239)+$Z2240</f>
        <v>24</v>
      </c>
      <c r="AB2240">
        <f>IF(AND($M2240=1,LEFT(对接源_02物料!$D1040,4)="原料出库"),1,0)</f>
        <v>0</v>
      </c>
      <c r="AC2240">
        <f>N(AC2239)+$AB2240</f>
        <v>0</v>
      </c>
      <c r="AD2240">
        <f>IF(AND($M2240=1,LEFT(对接源_02物料!$D1040,4)="成品出库"),1,0)</f>
        <v>0</v>
      </c>
      <c r="AE2240">
        <f>N(AE2239)+$AD2240</f>
        <v>0</v>
      </c>
      <c r="AF2240">
        <f>IF(AND($N2240=1,AND(LEFT(对接源_02物料!$D1040,4)="包装物料",N(对接源_02物料!$K1040)&lt;&gt;0)),1,0)</f>
        <v>0</v>
      </c>
      <c r="AG2240">
        <f>N(AG2239)+$AF2240</f>
        <v>10</v>
      </c>
      <c r="AH2240">
        <f>IF(AND($N2240=1,AND(对接源_02物料!$D1040="周转筐－销售出库",N(对接源_02物料!$K1040)&lt;&gt;0)),1,0)</f>
        <v>0</v>
      </c>
      <c r="AI2240">
        <f>N(AI2239)+$AH2240</f>
        <v>0</v>
      </c>
      <c r="AL2240" t="n">
        <v>0</v>
      </c>
      <c r="AM2240">
        <f>N(AM2239)+$AL2240</f>
        <v>2</v>
      </c>
      <c r="AN2240">
        <f>""</f>
      </c>
      <c r="AO2240" t="n">
        <v>0</v>
      </c>
      <c r="AP2240">
        <f>N(AP2239)+$AO2240</f>
        <v>13</v>
      </c>
      <c r="AR2240">
        <f>IF(OR($AF2240=1,$AH2240=1),1,0)</f>
        <v>0</v>
      </c>
      <c r="AS2240">
        <f>N(AS2239)+$AR2240</f>
        <v>10</v>
      </c>
    </row>
    <row r="2241" s="127">
      <c r="A2241">
        <f>IF(对接源_02物料!$C1041="","",对接源_02物料!$C1041)</f>
      </c>
      <c r="B2241">
        <f>IF(A2241="",0,IF(MATCH(A2241,$A$4:$A$2403,0)=ROW()-3,1,0))</f>
        <v>0</v>
      </c>
      <c r="C2241">
        <f>N(C2240)+B2241</f>
        <v>26</v>
      </c>
      <c r="K2241">
        <f>IF(OR($K$1="",对接源_02物料!$C1041="",对接源_02物料!$C1041&lt;&gt;$K$1,对接源_02物料!$B1041=""),0,IF(OR(N(对接源_02物料!$B1041)&lt;$K$2,N(对接源_02物料!$B1041)&gt;$K$3),0,1))</f>
        <v>0</v>
      </c>
      <c r="L2241">
        <f>IF(OR($L$1="",对接源_02物料!$C1041="",对接源_02物料!$C1041&lt;&gt;$L$1,对接源_02物料!$B1041=""),0,IF(OR(N(对接源_02物料!$B1041)&lt;$L$2,N(对接源_02物料!$B1041)&gt;$L$3),0,1))</f>
        <v>0</v>
      </c>
      <c r="M2241">
        <f>IF(OR($M$1="",对接源_02物料!$C1041="",对接源_02物料!$C1041&lt;&gt;$M$1,对接源_02物料!$B1041=""),0,IF(OR(N(对接源_02物料!$B1041)&lt;$M$2,N(对接源_02物料!$B1041)&gt;$M$3),0,1))</f>
        <v>0</v>
      </c>
      <c r="N2241">
        <f>IF(OR($N$1="",对接源_02物料!$C1041="",对接源_02物料!$C1041&lt;&gt;$N$1,对接源_02物料!$B1041=""),0,IF(OR(N(对接源_02物料!$B1041)&lt;$N$2,N(对接源_02物料!$B1041)&gt;$N$3),0,1))</f>
        <v>0</v>
      </c>
      <c r="P2241">
        <f>IF(AND($K2241=1,AND(对接源_02物料!$X1041="公司筐",N(对接源_02物料!$T1041)&lt;&gt;0)),1,0)</f>
        <v>0</v>
      </c>
      <c r="Q2241">
        <f>N(Q2240)+$P2241</f>
        <v>14</v>
      </c>
      <c r="R2241">
        <f>IF(AND($K2241=1,AND(对接源_02物料!$X1041="公司筐",N(对接源_02物料!$U1041)&lt;&gt;0)),1,0)</f>
        <v>0</v>
      </c>
      <c r="S2241">
        <f>N(S2240)+$R2241</f>
        <v>1</v>
      </c>
      <c r="T2241">
        <f>IF(AND($K2241=1,AND(对接源_02物料!$X1041="公司筐",N(对接源_02物料!$V1041)&lt;&gt;0)),1,0)</f>
        <v>0</v>
      </c>
      <c r="U2241">
        <f>N(U2240)+$T2241</f>
        <v>47</v>
      </c>
      <c r="V2241">
        <f>IF(AND($L2241=1,AND(对接源_02物料!$X1041="自备筐",N(对接源_02物料!$V1041)&lt;&gt;0)),1,0)</f>
        <v>0</v>
      </c>
      <c r="W2241">
        <f>N(W2240)+$V2241</f>
        <v>11</v>
      </c>
      <c r="X2241">
        <f>IF(AND($L2241=1,AND(对接源_02物料!$X1041="自备筐",N(对接源_02物料!$T1041)&lt;&gt;0)),1,0)</f>
        <v>0</v>
      </c>
      <c r="Y2241">
        <f>N(Y2240)+$X2241</f>
        <v>0</v>
      </c>
      <c r="Z2241">
        <f>IF(AND($M2241=1,对接源_02物料!$D1041="原料入库"),1,0)</f>
        <v>0</v>
      </c>
      <c r="AA2241">
        <f>N(AA2240)+$Z2241</f>
        <v>24</v>
      </c>
      <c r="AB2241">
        <f>IF(AND($M2241=1,LEFT(对接源_02物料!$D1041,4)="原料出库"),1,0)</f>
        <v>0</v>
      </c>
      <c r="AC2241">
        <f>N(AC2240)+$AB2241</f>
        <v>0</v>
      </c>
      <c r="AD2241">
        <f>IF(AND($M2241=1,LEFT(对接源_02物料!$D1041,4)="成品出库"),1,0)</f>
        <v>0</v>
      </c>
      <c r="AE2241">
        <f>N(AE2240)+$AD2241</f>
        <v>0</v>
      </c>
      <c r="AF2241">
        <f>IF(AND($N2241=1,AND(LEFT(对接源_02物料!$D1041,4)="包装物料",N(对接源_02物料!$K1041)&lt;&gt;0)),1,0)</f>
        <v>0</v>
      </c>
      <c r="AG2241">
        <f>N(AG2240)+$AF2241</f>
        <v>10</v>
      </c>
      <c r="AH2241">
        <f>IF(AND($N2241=1,AND(对接源_02物料!$D1041="周转筐－销售出库",N(对接源_02物料!$K1041)&lt;&gt;0)),1,0)</f>
        <v>0</v>
      </c>
      <c r="AI2241">
        <f>N(AI2240)+$AH2241</f>
        <v>0</v>
      </c>
      <c r="AL2241" t="n">
        <v>0</v>
      </c>
      <c r="AM2241">
        <f>N(AM2240)+$AL2241</f>
        <v>2</v>
      </c>
      <c r="AN2241">
        <f>""</f>
      </c>
      <c r="AO2241" t="n">
        <v>0</v>
      </c>
      <c r="AP2241">
        <f>N(AP2240)+$AO2241</f>
        <v>13</v>
      </c>
      <c r="AR2241">
        <f>IF(OR($AF2241=1,$AH2241=1),1,0)</f>
        <v>0</v>
      </c>
      <c r="AS2241">
        <f>N(AS2240)+$AR2241</f>
        <v>10</v>
      </c>
    </row>
    <row r="2242" s="127">
      <c r="A2242">
        <f>IF(对接源_02物料!$C1042="","",对接源_02物料!$C1042)</f>
      </c>
      <c r="B2242">
        <f>IF(A2242="",0,IF(MATCH(A2242,$A$4:$A$2403,0)=ROW()-3,1,0))</f>
        <v>0</v>
      </c>
      <c r="C2242">
        <f>N(C2241)+B2242</f>
        <v>26</v>
      </c>
      <c r="K2242">
        <f>IF(OR($K$1="",对接源_02物料!$C1042="",对接源_02物料!$C1042&lt;&gt;$K$1,对接源_02物料!$B1042=""),0,IF(OR(N(对接源_02物料!$B1042)&lt;$K$2,N(对接源_02物料!$B1042)&gt;$K$3),0,1))</f>
        <v>0</v>
      </c>
      <c r="L2242">
        <f>IF(OR($L$1="",对接源_02物料!$C1042="",对接源_02物料!$C1042&lt;&gt;$L$1,对接源_02物料!$B1042=""),0,IF(OR(N(对接源_02物料!$B1042)&lt;$L$2,N(对接源_02物料!$B1042)&gt;$L$3),0,1))</f>
        <v>0</v>
      </c>
      <c r="M2242">
        <f>IF(OR($M$1="",对接源_02物料!$C1042="",对接源_02物料!$C1042&lt;&gt;$M$1,对接源_02物料!$B1042=""),0,IF(OR(N(对接源_02物料!$B1042)&lt;$M$2,N(对接源_02物料!$B1042)&gt;$M$3),0,1))</f>
        <v>0</v>
      </c>
      <c r="N2242">
        <f>IF(OR($N$1="",对接源_02物料!$C1042="",对接源_02物料!$C1042&lt;&gt;$N$1,对接源_02物料!$B1042=""),0,IF(OR(N(对接源_02物料!$B1042)&lt;$N$2,N(对接源_02物料!$B1042)&gt;$N$3),0,1))</f>
        <v>0</v>
      </c>
      <c r="P2242">
        <f>IF(AND($K2242=1,AND(对接源_02物料!$X1042="公司筐",N(对接源_02物料!$T1042)&lt;&gt;0)),1,0)</f>
        <v>0</v>
      </c>
      <c r="Q2242">
        <f>N(Q2241)+$P2242</f>
        <v>14</v>
      </c>
      <c r="R2242">
        <f>IF(AND($K2242=1,AND(对接源_02物料!$X1042="公司筐",N(对接源_02物料!$U1042)&lt;&gt;0)),1,0)</f>
        <v>0</v>
      </c>
      <c r="S2242">
        <f>N(S2241)+$R2242</f>
        <v>1</v>
      </c>
      <c r="T2242">
        <f>IF(AND($K2242=1,AND(对接源_02物料!$X1042="公司筐",N(对接源_02物料!$V1042)&lt;&gt;0)),1,0)</f>
        <v>0</v>
      </c>
      <c r="U2242">
        <f>N(U2241)+$T2242</f>
        <v>47</v>
      </c>
      <c r="V2242">
        <f>IF(AND($L2242=1,AND(对接源_02物料!$X1042="自备筐",N(对接源_02物料!$V1042)&lt;&gt;0)),1,0)</f>
        <v>0</v>
      </c>
      <c r="W2242">
        <f>N(W2241)+$V2242</f>
        <v>11</v>
      </c>
      <c r="X2242">
        <f>IF(AND($L2242=1,AND(对接源_02物料!$X1042="自备筐",N(对接源_02物料!$T1042)&lt;&gt;0)),1,0)</f>
        <v>0</v>
      </c>
      <c r="Y2242">
        <f>N(Y2241)+$X2242</f>
        <v>0</v>
      </c>
      <c r="Z2242">
        <f>IF(AND($M2242=1,对接源_02物料!$D1042="原料入库"),1,0)</f>
        <v>0</v>
      </c>
      <c r="AA2242">
        <f>N(AA2241)+$Z2242</f>
        <v>24</v>
      </c>
      <c r="AB2242">
        <f>IF(AND($M2242=1,LEFT(对接源_02物料!$D1042,4)="原料出库"),1,0)</f>
        <v>0</v>
      </c>
      <c r="AC2242">
        <f>N(AC2241)+$AB2242</f>
        <v>0</v>
      </c>
      <c r="AD2242">
        <f>IF(AND($M2242=1,LEFT(对接源_02物料!$D1042,4)="成品出库"),1,0)</f>
        <v>0</v>
      </c>
      <c r="AE2242">
        <f>N(AE2241)+$AD2242</f>
        <v>0</v>
      </c>
      <c r="AF2242">
        <f>IF(AND($N2242=1,AND(LEFT(对接源_02物料!$D1042,4)="包装物料",N(对接源_02物料!$K1042)&lt;&gt;0)),1,0)</f>
        <v>0</v>
      </c>
      <c r="AG2242">
        <f>N(AG2241)+$AF2242</f>
        <v>10</v>
      </c>
      <c r="AH2242">
        <f>IF(AND($N2242=1,AND(对接源_02物料!$D1042="周转筐－销售出库",N(对接源_02物料!$K1042)&lt;&gt;0)),1,0)</f>
        <v>0</v>
      </c>
      <c r="AI2242">
        <f>N(AI2241)+$AH2242</f>
        <v>0</v>
      </c>
      <c r="AL2242" t="n">
        <v>0</v>
      </c>
      <c r="AM2242">
        <f>N(AM2241)+$AL2242</f>
        <v>2</v>
      </c>
      <c r="AN2242">
        <f>""</f>
      </c>
      <c r="AO2242" t="n">
        <v>0</v>
      </c>
      <c r="AP2242">
        <f>N(AP2241)+$AO2242</f>
        <v>13</v>
      </c>
      <c r="AR2242">
        <f>IF(OR($AF2242=1,$AH2242=1),1,0)</f>
        <v>0</v>
      </c>
      <c r="AS2242">
        <f>N(AS2241)+$AR2242</f>
        <v>10</v>
      </c>
    </row>
    <row r="2243" s="127">
      <c r="A2243">
        <f>IF(对接源_02物料!$C1043="","",对接源_02物料!$C1043)</f>
      </c>
      <c r="B2243">
        <f>IF(A2243="",0,IF(MATCH(A2243,$A$4:$A$2403,0)=ROW()-3,1,0))</f>
        <v>0</v>
      </c>
      <c r="C2243">
        <f>N(C2242)+B2243</f>
        <v>26</v>
      </c>
      <c r="K2243">
        <f>IF(OR($K$1="",对接源_02物料!$C1043="",对接源_02物料!$C1043&lt;&gt;$K$1,对接源_02物料!$B1043=""),0,IF(OR(N(对接源_02物料!$B1043)&lt;$K$2,N(对接源_02物料!$B1043)&gt;$K$3),0,1))</f>
        <v>0</v>
      </c>
      <c r="L2243">
        <f>IF(OR($L$1="",对接源_02物料!$C1043="",对接源_02物料!$C1043&lt;&gt;$L$1,对接源_02物料!$B1043=""),0,IF(OR(N(对接源_02物料!$B1043)&lt;$L$2,N(对接源_02物料!$B1043)&gt;$L$3),0,1))</f>
        <v>0</v>
      </c>
      <c r="M2243">
        <f>IF(OR($M$1="",对接源_02物料!$C1043="",对接源_02物料!$C1043&lt;&gt;$M$1,对接源_02物料!$B1043=""),0,IF(OR(N(对接源_02物料!$B1043)&lt;$M$2,N(对接源_02物料!$B1043)&gt;$M$3),0,1))</f>
        <v>0</v>
      </c>
      <c r="N2243">
        <f>IF(OR($N$1="",对接源_02物料!$C1043="",对接源_02物料!$C1043&lt;&gt;$N$1,对接源_02物料!$B1043=""),0,IF(OR(N(对接源_02物料!$B1043)&lt;$N$2,N(对接源_02物料!$B1043)&gt;$N$3),0,1))</f>
        <v>0</v>
      </c>
      <c r="P2243">
        <f>IF(AND($K2243=1,AND(对接源_02物料!$X1043="公司筐",N(对接源_02物料!$T1043)&lt;&gt;0)),1,0)</f>
        <v>0</v>
      </c>
      <c r="Q2243">
        <f>N(Q2242)+$P2243</f>
        <v>14</v>
      </c>
      <c r="R2243">
        <f>IF(AND($K2243=1,AND(对接源_02物料!$X1043="公司筐",N(对接源_02物料!$U1043)&lt;&gt;0)),1,0)</f>
        <v>0</v>
      </c>
      <c r="S2243">
        <f>N(S2242)+$R2243</f>
        <v>1</v>
      </c>
      <c r="T2243">
        <f>IF(AND($K2243=1,AND(对接源_02物料!$X1043="公司筐",N(对接源_02物料!$V1043)&lt;&gt;0)),1,0)</f>
        <v>0</v>
      </c>
      <c r="U2243">
        <f>N(U2242)+$T2243</f>
        <v>47</v>
      </c>
      <c r="V2243">
        <f>IF(AND($L2243=1,AND(对接源_02物料!$X1043="自备筐",N(对接源_02物料!$V1043)&lt;&gt;0)),1,0)</f>
        <v>0</v>
      </c>
      <c r="W2243">
        <f>N(W2242)+$V2243</f>
        <v>11</v>
      </c>
      <c r="X2243">
        <f>IF(AND($L2243=1,AND(对接源_02物料!$X1043="自备筐",N(对接源_02物料!$T1043)&lt;&gt;0)),1,0)</f>
        <v>0</v>
      </c>
      <c r="Y2243">
        <f>N(Y2242)+$X2243</f>
        <v>0</v>
      </c>
      <c r="Z2243">
        <f>IF(AND($M2243=1,对接源_02物料!$D1043="原料入库"),1,0)</f>
        <v>0</v>
      </c>
      <c r="AA2243">
        <f>N(AA2242)+$Z2243</f>
        <v>24</v>
      </c>
      <c r="AB2243">
        <f>IF(AND($M2243=1,LEFT(对接源_02物料!$D1043,4)="原料出库"),1,0)</f>
        <v>0</v>
      </c>
      <c r="AC2243">
        <f>N(AC2242)+$AB2243</f>
        <v>0</v>
      </c>
      <c r="AD2243">
        <f>IF(AND($M2243=1,LEFT(对接源_02物料!$D1043,4)="成品出库"),1,0)</f>
        <v>0</v>
      </c>
      <c r="AE2243">
        <f>N(AE2242)+$AD2243</f>
        <v>0</v>
      </c>
      <c r="AF2243">
        <f>IF(AND($N2243=1,AND(LEFT(对接源_02物料!$D1043,4)="包装物料",N(对接源_02物料!$K1043)&lt;&gt;0)),1,0)</f>
        <v>0</v>
      </c>
      <c r="AG2243">
        <f>N(AG2242)+$AF2243</f>
        <v>10</v>
      </c>
      <c r="AH2243">
        <f>IF(AND($N2243=1,AND(对接源_02物料!$D1043="周转筐－销售出库",N(对接源_02物料!$K1043)&lt;&gt;0)),1,0)</f>
        <v>0</v>
      </c>
      <c r="AI2243">
        <f>N(AI2242)+$AH2243</f>
        <v>0</v>
      </c>
      <c r="AL2243" t="n">
        <v>0</v>
      </c>
      <c r="AM2243">
        <f>N(AM2242)+$AL2243</f>
        <v>2</v>
      </c>
      <c r="AN2243">
        <f>""</f>
      </c>
      <c r="AO2243" t="n">
        <v>0</v>
      </c>
      <c r="AP2243">
        <f>N(AP2242)+$AO2243</f>
        <v>13</v>
      </c>
      <c r="AR2243">
        <f>IF(OR($AF2243=1,$AH2243=1),1,0)</f>
        <v>0</v>
      </c>
      <c r="AS2243">
        <f>N(AS2242)+$AR2243</f>
        <v>10</v>
      </c>
    </row>
    <row r="2244" s="127">
      <c r="A2244">
        <f>IF(对接源_02物料!$C1044="","",对接源_02物料!$C1044)</f>
      </c>
      <c r="B2244">
        <f>IF(A2244="",0,IF(MATCH(A2244,$A$4:$A$2403,0)=ROW()-3,1,0))</f>
        <v>0</v>
      </c>
      <c r="C2244">
        <f>N(C2243)+B2244</f>
        <v>26</v>
      </c>
      <c r="K2244">
        <f>IF(OR($K$1="",对接源_02物料!$C1044="",对接源_02物料!$C1044&lt;&gt;$K$1,对接源_02物料!$B1044=""),0,IF(OR(N(对接源_02物料!$B1044)&lt;$K$2,N(对接源_02物料!$B1044)&gt;$K$3),0,1))</f>
        <v>0</v>
      </c>
      <c r="L2244">
        <f>IF(OR($L$1="",对接源_02物料!$C1044="",对接源_02物料!$C1044&lt;&gt;$L$1,对接源_02物料!$B1044=""),0,IF(OR(N(对接源_02物料!$B1044)&lt;$L$2,N(对接源_02物料!$B1044)&gt;$L$3),0,1))</f>
        <v>0</v>
      </c>
      <c r="M2244">
        <f>IF(OR($M$1="",对接源_02物料!$C1044="",对接源_02物料!$C1044&lt;&gt;$M$1,对接源_02物料!$B1044=""),0,IF(OR(N(对接源_02物料!$B1044)&lt;$M$2,N(对接源_02物料!$B1044)&gt;$M$3),0,1))</f>
        <v>0</v>
      </c>
      <c r="N2244">
        <f>IF(OR($N$1="",对接源_02物料!$C1044="",对接源_02物料!$C1044&lt;&gt;$N$1,对接源_02物料!$B1044=""),0,IF(OR(N(对接源_02物料!$B1044)&lt;$N$2,N(对接源_02物料!$B1044)&gt;$N$3),0,1))</f>
        <v>0</v>
      </c>
      <c r="P2244">
        <f>IF(AND($K2244=1,AND(对接源_02物料!$X1044="公司筐",N(对接源_02物料!$T1044)&lt;&gt;0)),1,0)</f>
        <v>0</v>
      </c>
      <c r="Q2244">
        <f>N(Q2243)+$P2244</f>
        <v>14</v>
      </c>
      <c r="R2244">
        <f>IF(AND($K2244=1,AND(对接源_02物料!$X1044="公司筐",N(对接源_02物料!$U1044)&lt;&gt;0)),1,0)</f>
        <v>0</v>
      </c>
      <c r="S2244">
        <f>N(S2243)+$R2244</f>
        <v>1</v>
      </c>
      <c r="T2244">
        <f>IF(AND($K2244=1,AND(对接源_02物料!$X1044="公司筐",N(对接源_02物料!$V1044)&lt;&gt;0)),1,0)</f>
        <v>0</v>
      </c>
      <c r="U2244">
        <f>N(U2243)+$T2244</f>
        <v>47</v>
      </c>
      <c r="V2244">
        <f>IF(AND($L2244=1,AND(对接源_02物料!$X1044="自备筐",N(对接源_02物料!$V1044)&lt;&gt;0)),1,0)</f>
        <v>0</v>
      </c>
      <c r="W2244">
        <f>N(W2243)+$V2244</f>
        <v>11</v>
      </c>
      <c r="X2244">
        <f>IF(AND($L2244=1,AND(对接源_02物料!$X1044="自备筐",N(对接源_02物料!$T1044)&lt;&gt;0)),1,0)</f>
        <v>0</v>
      </c>
      <c r="Y2244">
        <f>N(Y2243)+$X2244</f>
        <v>0</v>
      </c>
      <c r="Z2244">
        <f>IF(AND($M2244=1,对接源_02物料!$D1044="原料入库"),1,0)</f>
        <v>0</v>
      </c>
      <c r="AA2244">
        <f>N(AA2243)+$Z2244</f>
        <v>24</v>
      </c>
      <c r="AB2244">
        <f>IF(AND($M2244=1,LEFT(对接源_02物料!$D1044,4)="原料出库"),1,0)</f>
        <v>0</v>
      </c>
      <c r="AC2244">
        <f>N(AC2243)+$AB2244</f>
        <v>0</v>
      </c>
      <c r="AD2244">
        <f>IF(AND($M2244=1,LEFT(对接源_02物料!$D1044,4)="成品出库"),1,0)</f>
        <v>0</v>
      </c>
      <c r="AE2244">
        <f>N(AE2243)+$AD2244</f>
        <v>0</v>
      </c>
      <c r="AF2244">
        <f>IF(AND($N2244=1,AND(LEFT(对接源_02物料!$D1044,4)="包装物料",N(对接源_02物料!$K1044)&lt;&gt;0)),1,0)</f>
        <v>0</v>
      </c>
      <c r="AG2244">
        <f>N(AG2243)+$AF2244</f>
        <v>10</v>
      </c>
      <c r="AH2244">
        <f>IF(AND($N2244=1,AND(对接源_02物料!$D1044="周转筐－销售出库",N(对接源_02物料!$K1044)&lt;&gt;0)),1,0)</f>
        <v>0</v>
      </c>
      <c r="AI2244">
        <f>N(AI2243)+$AH2244</f>
        <v>0</v>
      </c>
      <c r="AL2244" t="n">
        <v>0</v>
      </c>
      <c r="AM2244">
        <f>N(AM2243)+$AL2244</f>
        <v>2</v>
      </c>
      <c r="AN2244">
        <f>""</f>
      </c>
      <c r="AO2244" t="n">
        <v>0</v>
      </c>
      <c r="AP2244">
        <f>N(AP2243)+$AO2244</f>
        <v>13</v>
      </c>
      <c r="AR2244">
        <f>IF(OR($AF2244=1,$AH2244=1),1,0)</f>
        <v>0</v>
      </c>
      <c r="AS2244">
        <f>N(AS2243)+$AR2244</f>
        <v>10</v>
      </c>
    </row>
    <row r="2245" s="127">
      <c r="A2245">
        <f>IF(对接源_02物料!$C1045="","",对接源_02物料!$C1045)</f>
      </c>
      <c r="B2245">
        <f>IF(A2245="",0,IF(MATCH(A2245,$A$4:$A$2403,0)=ROW()-3,1,0))</f>
        <v>0</v>
      </c>
      <c r="C2245">
        <f>N(C2244)+B2245</f>
        <v>26</v>
      </c>
      <c r="K2245">
        <f>IF(OR($K$1="",对接源_02物料!$C1045="",对接源_02物料!$C1045&lt;&gt;$K$1,对接源_02物料!$B1045=""),0,IF(OR(N(对接源_02物料!$B1045)&lt;$K$2,N(对接源_02物料!$B1045)&gt;$K$3),0,1))</f>
        <v>0</v>
      </c>
      <c r="L2245">
        <f>IF(OR($L$1="",对接源_02物料!$C1045="",对接源_02物料!$C1045&lt;&gt;$L$1,对接源_02物料!$B1045=""),0,IF(OR(N(对接源_02物料!$B1045)&lt;$L$2,N(对接源_02物料!$B1045)&gt;$L$3),0,1))</f>
        <v>0</v>
      </c>
      <c r="M2245">
        <f>IF(OR($M$1="",对接源_02物料!$C1045="",对接源_02物料!$C1045&lt;&gt;$M$1,对接源_02物料!$B1045=""),0,IF(OR(N(对接源_02物料!$B1045)&lt;$M$2,N(对接源_02物料!$B1045)&gt;$M$3),0,1))</f>
        <v>0</v>
      </c>
      <c r="N2245">
        <f>IF(OR($N$1="",对接源_02物料!$C1045="",对接源_02物料!$C1045&lt;&gt;$N$1,对接源_02物料!$B1045=""),0,IF(OR(N(对接源_02物料!$B1045)&lt;$N$2,N(对接源_02物料!$B1045)&gt;$N$3),0,1))</f>
        <v>0</v>
      </c>
      <c r="P2245">
        <f>IF(AND($K2245=1,AND(对接源_02物料!$X1045="公司筐",N(对接源_02物料!$T1045)&lt;&gt;0)),1,0)</f>
        <v>0</v>
      </c>
      <c r="Q2245">
        <f>N(Q2244)+$P2245</f>
        <v>14</v>
      </c>
      <c r="R2245">
        <f>IF(AND($K2245=1,AND(对接源_02物料!$X1045="公司筐",N(对接源_02物料!$U1045)&lt;&gt;0)),1,0)</f>
        <v>0</v>
      </c>
      <c r="S2245">
        <f>N(S2244)+$R2245</f>
        <v>1</v>
      </c>
      <c r="T2245">
        <f>IF(AND($K2245=1,AND(对接源_02物料!$X1045="公司筐",N(对接源_02物料!$V1045)&lt;&gt;0)),1,0)</f>
        <v>0</v>
      </c>
      <c r="U2245">
        <f>N(U2244)+$T2245</f>
        <v>47</v>
      </c>
      <c r="V2245">
        <f>IF(AND($L2245=1,AND(对接源_02物料!$X1045="自备筐",N(对接源_02物料!$V1045)&lt;&gt;0)),1,0)</f>
        <v>0</v>
      </c>
      <c r="W2245">
        <f>N(W2244)+$V2245</f>
        <v>11</v>
      </c>
      <c r="X2245">
        <f>IF(AND($L2245=1,AND(对接源_02物料!$X1045="自备筐",N(对接源_02物料!$T1045)&lt;&gt;0)),1,0)</f>
        <v>0</v>
      </c>
      <c r="Y2245">
        <f>N(Y2244)+$X2245</f>
        <v>0</v>
      </c>
      <c r="Z2245">
        <f>IF(AND($M2245=1,对接源_02物料!$D1045="原料入库"),1,0)</f>
        <v>0</v>
      </c>
      <c r="AA2245">
        <f>N(AA2244)+$Z2245</f>
        <v>24</v>
      </c>
      <c r="AB2245">
        <f>IF(AND($M2245=1,LEFT(对接源_02物料!$D1045,4)="原料出库"),1,0)</f>
        <v>0</v>
      </c>
      <c r="AC2245">
        <f>N(AC2244)+$AB2245</f>
        <v>0</v>
      </c>
      <c r="AD2245">
        <f>IF(AND($M2245=1,LEFT(对接源_02物料!$D1045,4)="成品出库"),1,0)</f>
        <v>0</v>
      </c>
      <c r="AE2245">
        <f>N(AE2244)+$AD2245</f>
        <v>0</v>
      </c>
      <c r="AF2245">
        <f>IF(AND($N2245=1,AND(LEFT(对接源_02物料!$D1045,4)="包装物料",N(对接源_02物料!$K1045)&lt;&gt;0)),1,0)</f>
        <v>0</v>
      </c>
      <c r="AG2245">
        <f>N(AG2244)+$AF2245</f>
        <v>10</v>
      </c>
      <c r="AH2245">
        <f>IF(AND($N2245=1,AND(对接源_02物料!$D1045="周转筐－销售出库",N(对接源_02物料!$K1045)&lt;&gt;0)),1,0)</f>
        <v>0</v>
      </c>
      <c r="AI2245">
        <f>N(AI2244)+$AH2245</f>
        <v>0</v>
      </c>
      <c r="AL2245" t="n">
        <v>0</v>
      </c>
      <c r="AM2245">
        <f>N(AM2244)+$AL2245</f>
        <v>2</v>
      </c>
      <c r="AN2245">
        <f>""</f>
      </c>
      <c r="AO2245" t="n">
        <v>0</v>
      </c>
      <c r="AP2245">
        <f>N(AP2244)+$AO2245</f>
        <v>13</v>
      </c>
      <c r="AR2245">
        <f>IF(OR($AF2245=1,$AH2245=1),1,0)</f>
        <v>0</v>
      </c>
      <c r="AS2245">
        <f>N(AS2244)+$AR2245</f>
        <v>10</v>
      </c>
    </row>
    <row r="2246" s="127">
      <c r="A2246">
        <f>IF(对接源_02物料!$C1046="","",对接源_02物料!$C1046)</f>
      </c>
      <c r="B2246">
        <f>IF(A2246="",0,IF(MATCH(A2246,$A$4:$A$2403,0)=ROW()-3,1,0))</f>
        <v>0</v>
      </c>
      <c r="C2246">
        <f>N(C2245)+B2246</f>
        <v>26</v>
      </c>
      <c r="K2246">
        <f>IF(OR($K$1="",对接源_02物料!$C1046="",对接源_02物料!$C1046&lt;&gt;$K$1,对接源_02物料!$B1046=""),0,IF(OR(N(对接源_02物料!$B1046)&lt;$K$2,N(对接源_02物料!$B1046)&gt;$K$3),0,1))</f>
        <v>0</v>
      </c>
      <c r="L2246">
        <f>IF(OR($L$1="",对接源_02物料!$C1046="",对接源_02物料!$C1046&lt;&gt;$L$1,对接源_02物料!$B1046=""),0,IF(OR(N(对接源_02物料!$B1046)&lt;$L$2,N(对接源_02物料!$B1046)&gt;$L$3),0,1))</f>
        <v>0</v>
      </c>
      <c r="M2246">
        <f>IF(OR($M$1="",对接源_02物料!$C1046="",对接源_02物料!$C1046&lt;&gt;$M$1,对接源_02物料!$B1046=""),0,IF(OR(N(对接源_02物料!$B1046)&lt;$M$2,N(对接源_02物料!$B1046)&gt;$M$3),0,1))</f>
        <v>0</v>
      </c>
      <c r="N2246">
        <f>IF(OR($N$1="",对接源_02物料!$C1046="",对接源_02物料!$C1046&lt;&gt;$N$1,对接源_02物料!$B1046=""),0,IF(OR(N(对接源_02物料!$B1046)&lt;$N$2,N(对接源_02物料!$B1046)&gt;$N$3),0,1))</f>
        <v>0</v>
      </c>
      <c r="P2246">
        <f>IF(AND($K2246=1,AND(对接源_02物料!$X1046="公司筐",N(对接源_02物料!$T1046)&lt;&gt;0)),1,0)</f>
        <v>0</v>
      </c>
      <c r="Q2246">
        <f>N(Q2245)+$P2246</f>
        <v>14</v>
      </c>
      <c r="R2246">
        <f>IF(AND($K2246=1,AND(对接源_02物料!$X1046="公司筐",N(对接源_02物料!$U1046)&lt;&gt;0)),1,0)</f>
        <v>0</v>
      </c>
      <c r="S2246">
        <f>N(S2245)+$R2246</f>
        <v>1</v>
      </c>
      <c r="T2246">
        <f>IF(AND($K2246=1,AND(对接源_02物料!$X1046="公司筐",N(对接源_02物料!$V1046)&lt;&gt;0)),1,0)</f>
        <v>0</v>
      </c>
      <c r="U2246">
        <f>N(U2245)+$T2246</f>
        <v>47</v>
      </c>
      <c r="V2246">
        <f>IF(AND($L2246=1,AND(对接源_02物料!$X1046="自备筐",N(对接源_02物料!$V1046)&lt;&gt;0)),1,0)</f>
        <v>0</v>
      </c>
      <c r="W2246">
        <f>N(W2245)+$V2246</f>
        <v>11</v>
      </c>
      <c r="X2246">
        <f>IF(AND($L2246=1,AND(对接源_02物料!$X1046="自备筐",N(对接源_02物料!$T1046)&lt;&gt;0)),1,0)</f>
        <v>0</v>
      </c>
      <c r="Y2246">
        <f>N(Y2245)+$X2246</f>
        <v>0</v>
      </c>
      <c r="Z2246">
        <f>IF(AND($M2246=1,对接源_02物料!$D1046="原料入库"),1,0)</f>
        <v>0</v>
      </c>
      <c r="AA2246">
        <f>N(AA2245)+$Z2246</f>
        <v>24</v>
      </c>
      <c r="AB2246">
        <f>IF(AND($M2246=1,LEFT(对接源_02物料!$D1046,4)="原料出库"),1,0)</f>
        <v>0</v>
      </c>
      <c r="AC2246">
        <f>N(AC2245)+$AB2246</f>
        <v>0</v>
      </c>
      <c r="AD2246">
        <f>IF(AND($M2246=1,LEFT(对接源_02物料!$D1046,4)="成品出库"),1,0)</f>
        <v>0</v>
      </c>
      <c r="AE2246">
        <f>N(AE2245)+$AD2246</f>
        <v>0</v>
      </c>
      <c r="AF2246">
        <f>IF(AND($N2246=1,AND(LEFT(对接源_02物料!$D1046,4)="包装物料",N(对接源_02物料!$K1046)&lt;&gt;0)),1,0)</f>
        <v>0</v>
      </c>
      <c r="AG2246">
        <f>N(AG2245)+$AF2246</f>
        <v>10</v>
      </c>
      <c r="AH2246">
        <f>IF(AND($N2246=1,AND(对接源_02物料!$D1046="周转筐－销售出库",N(对接源_02物料!$K1046)&lt;&gt;0)),1,0)</f>
        <v>0</v>
      </c>
      <c r="AI2246">
        <f>N(AI2245)+$AH2246</f>
        <v>0</v>
      </c>
      <c r="AL2246" t="n">
        <v>0</v>
      </c>
      <c r="AM2246">
        <f>N(AM2245)+$AL2246</f>
        <v>2</v>
      </c>
      <c r="AN2246">
        <f>""</f>
      </c>
      <c r="AO2246" t="n">
        <v>0</v>
      </c>
      <c r="AP2246">
        <f>N(AP2245)+$AO2246</f>
        <v>13</v>
      </c>
      <c r="AR2246">
        <f>IF(OR($AF2246=1,$AH2246=1),1,0)</f>
        <v>0</v>
      </c>
      <c r="AS2246">
        <f>N(AS2245)+$AR2246</f>
        <v>10</v>
      </c>
    </row>
    <row r="2247" s="127">
      <c r="A2247">
        <f>IF(对接源_02物料!$C1047="","",对接源_02物料!$C1047)</f>
      </c>
      <c r="B2247">
        <f>IF(A2247="",0,IF(MATCH(A2247,$A$4:$A$2403,0)=ROW()-3,1,0))</f>
        <v>0</v>
      </c>
      <c r="C2247">
        <f>N(C2246)+B2247</f>
        <v>26</v>
      </c>
      <c r="K2247">
        <f>IF(OR($K$1="",对接源_02物料!$C1047="",对接源_02物料!$C1047&lt;&gt;$K$1,对接源_02物料!$B1047=""),0,IF(OR(N(对接源_02物料!$B1047)&lt;$K$2,N(对接源_02物料!$B1047)&gt;$K$3),0,1))</f>
        <v>0</v>
      </c>
      <c r="L2247">
        <f>IF(OR($L$1="",对接源_02物料!$C1047="",对接源_02物料!$C1047&lt;&gt;$L$1,对接源_02物料!$B1047=""),0,IF(OR(N(对接源_02物料!$B1047)&lt;$L$2,N(对接源_02物料!$B1047)&gt;$L$3),0,1))</f>
        <v>0</v>
      </c>
      <c r="M2247">
        <f>IF(OR($M$1="",对接源_02物料!$C1047="",对接源_02物料!$C1047&lt;&gt;$M$1,对接源_02物料!$B1047=""),0,IF(OR(N(对接源_02物料!$B1047)&lt;$M$2,N(对接源_02物料!$B1047)&gt;$M$3),0,1))</f>
        <v>0</v>
      </c>
      <c r="N2247">
        <f>IF(OR($N$1="",对接源_02物料!$C1047="",对接源_02物料!$C1047&lt;&gt;$N$1,对接源_02物料!$B1047=""),0,IF(OR(N(对接源_02物料!$B1047)&lt;$N$2,N(对接源_02物料!$B1047)&gt;$N$3),0,1))</f>
        <v>0</v>
      </c>
      <c r="P2247">
        <f>IF(AND($K2247=1,AND(对接源_02物料!$X1047="公司筐",N(对接源_02物料!$T1047)&lt;&gt;0)),1,0)</f>
        <v>0</v>
      </c>
      <c r="Q2247">
        <f>N(Q2246)+$P2247</f>
        <v>14</v>
      </c>
      <c r="R2247">
        <f>IF(AND($K2247=1,AND(对接源_02物料!$X1047="公司筐",N(对接源_02物料!$U1047)&lt;&gt;0)),1,0)</f>
        <v>0</v>
      </c>
      <c r="S2247">
        <f>N(S2246)+$R2247</f>
        <v>1</v>
      </c>
      <c r="T2247">
        <f>IF(AND($K2247=1,AND(对接源_02物料!$X1047="公司筐",N(对接源_02物料!$V1047)&lt;&gt;0)),1,0)</f>
        <v>0</v>
      </c>
      <c r="U2247">
        <f>N(U2246)+$T2247</f>
        <v>47</v>
      </c>
      <c r="V2247">
        <f>IF(AND($L2247=1,AND(对接源_02物料!$X1047="自备筐",N(对接源_02物料!$V1047)&lt;&gt;0)),1,0)</f>
        <v>0</v>
      </c>
      <c r="W2247">
        <f>N(W2246)+$V2247</f>
        <v>11</v>
      </c>
      <c r="X2247">
        <f>IF(AND($L2247=1,AND(对接源_02物料!$X1047="自备筐",N(对接源_02物料!$T1047)&lt;&gt;0)),1,0)</f>
        <v>0</v>
      </c>
      <c r="Y2247">
        <f>N(Y2246)+$X2247</f>
        <v>0</v>
      </c>
      <c r="Z2247">
        <f>IF(AND($M2247=1,对接源_02物料!$D1047="原料入库"),1,0)</f>
        <v>0</v>
      </c>
      <c r="AA2247">
        <f>N(AA2246)+$Z2247</f>
        <v>24</v>
      </c>
      <c r="AB2247">
        <f>IF(AND($M2247=1,LEFT(对接源_02物料!$D1047,4)="原料出库"),1,0)</f>
        <v>0</v>
      </c>
      <c r="AC2247">
        <f>N(AC2246)+$AB2247</f>
        <v>0</v>
      </c>
      <c r="AD2247">
        <f>IF(AND($M2247=1,LEFT(对接源_02物料!$D1047,4)="成品出库"),1,0)</f>
        <v>0</v>
      </c>
      <c r="AE2247">
        <f>N(AE2246)+$AD2247</f>
        <v>0</v>
      </c>
      <c r="AF2247">
        <f>IF(AND($N2247=1,AND(LEFT(对接源_02物料!$D1047,4)="包装物料",N(对接源_02物料!$K1047)&lt;&gt;0)),1,0)</f>
        <v>0</v>
      </c>
      <c r="AG2247">
        <f>N(AG2246)+$AF2247</f>
        <v>10</v>
      </c>
      <c r="AH2247">
        <f>IF(AND($N2247=1,AND(对接源_02物料!$D1047="周转筐－销售出库",N(对接源_02物料!$K1047)&lt;&gt;0)),1,0)</f>
        <v>0</v>
      </c>
      <c r="AI2247">
        <f>N(AI2246)+$AH2247</f>
        <v>0</v>
      </c>
      <c r="AL2247" t="n">
        <v>0</v>
      </c>
      <c r="AM2247">
        <f>N(AM2246)+$AL2247</f>
        <v>2</v>
      </c>
      <c r="AN2247">
        <f>""</f>
      </c>
      <c r="AO2247" t="n">
        <v>0</v>
      </c>
      <c r="AP2247">
        <f>N(AP2246)+$AO2247</f>
        <v>13</v>
      </c>
      <c r="AR2247">
        <f>IF(OR($AF2247=1,$AH2247=1),1,0)</f>
        <v>0</v>
      </c>
      <c r="AS2247">
        <f>N(AS2246)+$AR2247</f>
        <v>10</v>
      </c>
    </row>
    <row r="2248" s="127">
      <c r="A2248">
        <f>IF(对接源_02物料!$C1048="","",对接源_02物料!$C1048)</f>
      </c>
      <c r="B2248">
        <f>IF(A2248="",0,IF(MATCH(A2248,$A$4:$A$2403,0)=ROW()-3,1,0))</f>
        <v>0</v>
      </c>
      <c r="C2248">
        <f>N(C2247)+B2248</f>
        <v>26</v>
      </c>
      <c r="K2248">
        <f>IF(OR($K$1="",对接源_02物料!$C1048="",对接源_02物料!$C1048&lt;&gt;$K$1,对接源_02物料!$B1048=""),0,IF(OR(N(对接源_02物料!$B1048)&lt;$K$2,N(对接源_02物料!$B1048)&gt;$K$3),0,1))</f>
        <v>0</v>
      </c>
      <c r="L2248">
        <f>IF(OR($L$1="",对接源_02物料!$C1048="",对接源_02物料!$C1048&lt;&gt;$L$1,对接源_02物料!$B1048=""),0,IF(OR(N(对接源_02物料!$B1048)&lt;$L$2,N(对接源_02物料!$B1048)&gt;$L$3),0,1))</f>
        <v>0</v>
      </c>
      <c r="M2248">
        <f>IF(OR($M$1="",对接源_02物料!$C1048="",对接源_02物料!$C1048&lt;&gt;$M$1,对接源_02物料!$B1048=""),0,IF(OR(N(对接源_02物料!$B1048)&lt;$M$2,N(对接源_02物料!$B1048)&gt;$M$3),0,1))</f>
        <v>0</v>
      </c>
      <c r="N2248">
        <f>IF(OR($N$1="",对接源_02物料!$C1048="",对接源_02物料!$C1048&lt;&gt;$N$1,对接源_02物料!$B1048=""),0,IF(OR(N(对接源_02物料!$B1048)&lt;$N$2,N(对接源_02物料!$B1048)&gt;$N$3),0,1))</f>
        <v>0</v>
      </c>
      <c r="P2248">
        <f>IF(AND($K2248=1,AND(对接源_02物料!$X1048="公司筐",N(对接源_02物料!$T1048)&lt;&gt;0)),1,0)</f>
        <v>0</v>
      </c>
      <c r="Q2248">
        <f>N(Q2247)+$P2248</f>
        <v>14</v>
      </c>
      <c r="R2248">
        <f>IF(AND($K2248=1,AND(对接源_02物料!$X1048="公司筐",N(对接源_02物料!$U1048)&lt;&gt;0)),1,0)</f>
        <v>0</v>
      </c>
      <c r="S2248">
        <f>N(S2247)+$R2248</f>
        <v>1</v>
      </c>
      <c r="T2248">
        <f>IF(AND($K2248=1,AND(对接源_02物料!$X1048="公司筐",N(对接源_02物料!$V1048)&lt;&gt;0)),1,0)</f>
        <v>0</v>
      </c>
      <c r="U2248">
        <f>N(U2247)+$T2248</f>
        <v>47</v>
      </c>
      <c r="V2248">
        <f>IF(AND($L2248=1,AND(对接源_02物料!$X1048="自备筐",N(对接源_02物料!$V1048)&lt;&gt;0)),1,0)</f>
        <v>0</v>
      </c>
      <c r="W2248">
        <f>N(W2247)+$V2248</f>
        <v>11</v>
      </c>
      <c r="X2248">
        <f>IF(AND($L2248=1,AND(对接源_02物料!$X1048="自备筐",N(对接源_02物料!$T1048)&lt;&gt;0)),1,0)</f>
        <v>0</v>
      </c>
      <c r="Y2248">
        <f>N(Y2247)+$X2248</f>
        <v>0</v>
      </c>
      <c r="Z2248">
        <f>IF(AND($M2248=1,对接源_02物料!$D1048="原料入库"),1,0)</f>
        <v>0</v>
      </c>
      <c r="AA2248">
        <f>N(AA2247)+$Z2248</f>
        <v>24</v>
      </c>
      <c r="AB2248">
        <f>IF(AND($M2248=1,LEFT(对接源_02物料!$D1048,4)="原料出库"),1,0)</f>
        <v>0</v>
      </c>
      <c r="AC2248">
        <f>N(AC2247)+$AB2248</f>
        <v>0</v>
      </c>
      <c r="AD2248">
        <f>IF(AND($M2248=1,LEFT(对接源_02物料!$D1048,4)="成品出库"),1,0)</f>
        <v>0</v>
      </c>
      <c r="AE2248">
        <f>N(AE2247)+$AD2248</f>
        <v>0</v>
      </c>
      <c r="AF2248">
        <f>IF(AND($N2248=1,AND(LEFT(对接源_02物料!$D1048,4)="包装物料",N(对接源_02物料!$K1048)&lt;&gt;0)),1,0)</f>
        <v>0</v>
      </c>
      <c r="AG2248">
        <f>N(AG2247)+$AF2248</f>
        <v>10</v>
      </c>
      <c r="AH2248">
        <f>IF(AND($N2248=1,AND(对接源_02物料!$D1048="周转筐－销售出库",N(对接源_02物料!$K1048)&lt;&gt;0)),1,0)</f>
        <v>0</v>
      </c>
      <c r="AI2248">
        <f>N(AI2247)+$AH2248</f>
        <v>0</v>
      </c>
      <c r="AL2248" t="n">
        <v>0</v>
      </c>
      <c r="AM2248">
        <f>N(AM2247)+$AL2248</f>
        <v>2</v>
      </c>
      <c r="AN2248">
        <f>""</f>
      </c>
      <c r="AO2248" t="n">
        <v>0</v>
      </c>
      <c r="AP2248">
        <f>N(AP2247)+$AO2248</f>
        <v>13</v>
      </c>
      <c r="AR2248">
        <f>IF(OR($AF2248=1,$AH2248=1),1,0)</f>
        <v>0</v>
      </c>
      <c r="AS2248">
        <f>N(AS2247)+$AR2248</f>
        <v>10</v>
      </c>
    </row>
    <row r="2249" s="127">
      <c r="A2249">
        <f>IF(对接源_02物料!$C1049="","",对接源_02物料!$C1049)</f>
      </c>
      <c r="B2249">
        <f>IF(A2249="",0,IF(MATCH(A2249,$A$4:$A$2403,0)=ROW()-3,1,0))</f>
        <v>0</v>
      </c>
      <c r="C2249">
        <f>N(C2248)+B2249</f>
        <v>26</v>
      </c>
      <c r="K2249">
        <f>IF(OR($K$1="",对接源_02物料!$C1049="",对接源_02物料!$C1049&lt;&gt;$K$1,对接源_02物料!$B1049=""),0,IF(OR(N(对接源_02物料!$B1049)&lt;$K$2,N(对接源_02物料!$B1049)&gt;$K$3),0,1))</f>
        <v>0</v>
      </c>
      <c r="L2249">
        <f>IF(OR($L$1="",对接源_02物料!$C1049="",对接源_02物料!$C1049&lt;&gt;$L$1,对接源_02物料!$B1049=""),0,IF(OR(N(对接源_02物料!$B1049)&lt;$L$2,N(对接源_02物料!$B1049)&gt;$L$3),0,1))</f>
        <v>0</v>
      </c>
      <c r="M2249">
        <f>IF(OR($M$1="",对接源_02物料!$C1049="",对接源_02物料!$C1049&lt;&gt;$M$1,对接源_02物料!$B1049=""),0,IF(OR(N(对接源_02物料!$B1049)&lt;$M$2,N(对接源_02物料!$B1049)&gt;$M$3),0,1))</f>
        <v>0</v>
      </c>
      <c r="N2249">
        <f>IF(OR($N$1="",对接源_02物料!$C1049="",对接源_02物料!$C1049&lt;&gt;$N$1,对接源_02物料!$B1049=""),0,IF(OR(N(对接源_02物料!$B1049)&lt;$N$2,N(对接源_02物料!$B1049)&gt;$N$3),0,1))</f>
        <v>0</v>
      </c>
      <c r="P2249">
        <f>IF(AND($K2249=1,AND(对接源_02物料!$X1049="公司筐",N(对接源_02物料!$T1049)&lt;&gt;0)),1,0)</f>
        <v>0</v>
      </c>
      <c r="Q2249">
        <f>N(Q2248)+$P2249</f>
        <v>14</v>
      </c>
      <c r="R2249">
        <f>IF(AND($K2249=1,AND(对接源_02物料!$X1049="公司筐",N(对接源_02物料!$U1049)&lt;&gt;0)),1,0)</f>
        <v>0</v>
      </c>
      <c r="S2249">
        <f>N(S2248)+$R2249</f>
        <v>1</v>
      </c>
      <c r="T2249">
        <f>IF(AND($K2249=1,AND(对接源_02物料!$X1049="公司筐",N(对接源_02物料!$V1049)&lt;&gt;0)),1,0)</f>
        <v>0</v>
      </c>
      <c r="U2249">
        <f>N(U2248)+$T2249</f>
        <v>47</v>
      </c>
      <c r="V2249">
        <f>IF(AND($L2249=1,AND(对接源_02物料!$X1049="自备筐",N(对接源_02物料!$V1049)&lt;&gt;0)),1,0)</f>
        <v>0</v>
      </c>
      <c r="W2249">
        <f>N(W2248)+$V2249</f>
        <v>11</v>
      </c>
      <c r="X2249">
        <f>IF(AND($L2249=1,AND(对接源_02物料!$X1049="自备筐",N(对接源_02物料!$T1049)&lt;&gt;0)),1,0)</f>
        <v>0</v>
      </c>
      <c r="Y2249">
        <f>N(Y2248)+$X2249</f>
        <v>0</v>
      </c>
      <c r="Z2249">
        <f>IF(AND($M2249=1,对接源_02物料!$D1049="原料入库"),1,0)</f>
        <v>0</v>
      </c>
      <c r="AA2249">
        <f>N(AA2248)+$Z2249</f>
        <v>24</v>
      </c>
      <c r="AB2249">
        <f>IF(AND($M2249=1,LEFT(对接源_02物料!$D1049,4)="原料出库"),1,0)</f>
        <v>0</v>
      </c>
      <c r="AC2249">
        <f>N(AC2248)+$AB2249</f>
        <v>0</v>
      </c>
      <c r="AD2249">
        <f>IF(AND($M2249=1,LEFT(对接源_02物料!$D1049,4)="成品出库"),1,0)</f>
        <v>0</v>
      </c>
      <c r="AE2249">
        <f>N(AE2248)+$AD2249</f>
        <v>0</v>
      </c>
      <c r="AF2249">
        <f>IF(AND($N2249=1,AND(LEFT(对接源_02物料!$D1049,4)="包装物料",N(对接源_02物料!$K1049)&lt;&gt;0)),1,0)</f>
        <v>0</v>
      </c>
      <c r="AG2249">
        <f>N(AG2248)+$AF2249</f>
        <v>10</v>
      </c>
      <c r="AH2249">
        <f>IF(AND($N2249=1,AND(对接源_02物料!$D1049="周转筐－销售出库",N(对接源_02物料!$K1049)&lt;&gt;0)),1,0)</f>
        <v>0</v>
      </c>
      <c r="AI2249">
        <f>N(AI2248)+$AH2249</f>
        <v>0</v>
      </c>
      <c r="AL2249" t="n">
        <v>0</v>
      </c>
      <c r="AM2249">
        <f>N(AM2248)+$AL2249</f>
        <v>2</v>
      </c>
      <c r="AN2249">
        <f>""</f>
      </c>
      <c r="AO2249" t="n">
        <v>0</v>
      </c>
      <c r="AP2249">
        <f>N(AP2248)+$AO2249</f>
        <v>13</v>
      </c>
      <c r="AR2249">
        <f>IF(OR($AF2249=1,$AH2249=1),1,0)</f>
        <v>0</v>
      </c>
      <c r="AS2249">
        <f>N(AS2248)+$AR2249</f>
        <v>10</v>
      </c>
    </row>
    <row r="2250" s="127">
      <c r="A2250">
        <f>IF(对接源_02物料!$C1050="","",对接源_02物料!$C1050)</f>
      </c>
      <c r="B2250">
        <f>IF(A2250="",0,IF(MATCH(A2250,$A$4:$A$2403,0)=ROW()-3,1,0))</f>
        <v>0</v>
      </c>
      <c r="C2250">
        <f>N(C2249)+B2250</f>
        <v>26</v>
      </c>
      <c r="K2250">
        <f>IF(OR($K$1="",对接源_02物料!$C1050="",对接源_02物料!$C1050&lt;&gt;$K$1,对接源_02物料!$B1050=""),0,IF(OR(N(对接源_02物料!$B1050)&lt;$K$2,N(对接源_02物料!$B1050)&gt;$K$3),0,1))</f>
        <v>0</v>
      </c>
      <c r="L2250">
        <f>IF(OR($L$1="",对接源_02物料!$C1050="",对接源_02物料!$C1050&lt;&gt;$L$1,对接源_02物料!$B1050=""),0,IF(OR(N(对接源_02物料!$B1050)&lt;$L$2,N(对接源_02物料!$B1050)&gt;$L$3),0,1))</f>
        <v>0</v>
      </c>
      <c r="M2250">
        <f>IF(OR($M$1="",对接源_02物料!$C1050="",对接源_02物料!$C1050&lt;&gt;$M$1,对接源_02物料!$B1050=""),0,IF(OR(N(对接源_02物料!$B1050)&lt;$M$2,N(对接源_02物料!$B1050)&gt;$M$3),0,1))</f>
        <v>0</v>
      </c>
      <c r="N2250">
        <f>IF(OR($N$1="",对接源_02物料!$C1050="",对接源_02物料!$C1050&lt;&gt;$N$1,对接源_02物料!$B1050=""),0,IF(OR(N(对接源_02物料!$B1050)&lt;$N$2,N(对接源_02物料!$B1050)&gt;$N$3),0,1))</f>
        <v>0</v>
      </c>
      <c r="P2250">
        <f>IF(AND($K2250=1,AND(对接源_02物料!$X1050="公司筐",N(对接源_02物料!$T1050)&lt;&gt;0)),1,0)</f>
        <v>0</v>
      </c>
      <c r="Q2250">
        <f>N(Q2249)+$P2250</f>
        <v>14</v>
      </c>
      <c r="R2250">
        <f>IF(AND($K2250=1,AND(对接源_02物料!$X1050="公司筐",N(对接源_02物料!$U1050)&lt;&gt;0)),1,0)</f>
        <v>0</v>
      </c>
      <c r="S2250">
        <f>N(S2249)+$R2250</f>
        <v>1</v>
      </c>
      <c r="T2250">
        <f>IF(AND($K2250=1,AND(对接源_02物料!$X1050="公司筐",N(对接源_02物料!$V1050)&lt;&gt;0)),1,0)</f>
        <v>0</v>
      </c>
      <c r="U2250">
        <f>N(U2249)+$T2250</f>
        <v>47</v>
      </c>
      <c r="V2250">
        <f>IF(AND($L2250=1,AND(对接源_02物料!$X1050="自备筐",N(对接源_02物料!$V1050)&lt;&gt;0)),1,0)</f>
        <v>0</v>
      </c>
      <c r="W2250">
        <f>N(W2249)+$V2250</f>
        <v>11</v>
      </c>
      <c r="X2250">
        <f>IF(AND($L2250=1,AND(对接源_02物料!$X1050="自备筐",N(对接源_02物料!$T1050)&lt;&gt;0)),1,0)</f>
        <v>0</v>
      </c>
      <c r="Y2250">
        <f>N(Y2249)+$X2250</f>
        <v>0</v>
      </c>
      <c r="Z2250">
        <f>IF(AND($M2250=1,对接源_02物料!$D1050="原料入库"),1,0)</f>
        <v>0</v>
      </c>
      <c r="AA2250">
        <f>N(AA2249)+$Z2250</f>
        <v>24</v>
      </c>
      <c r="AB2250">
        <f>IF(AND($M2250=1,LEFT(对接源_02物料!$D1050,4)="原料出库"),1,0)</f>
        <v>0</v>
      </c>
      <c r="AC2250">
        <f>N(AC2249)+$AB2250</f>
        <v>0</v>
      </c>
      <c r="AD2250">
        <f>IF(AND($M2250=1,LEFT(对接源_02物料!$D1050,4)="成品出库"),1,0)</f>
        <v>0</v>
      </c>
      <c r="AE2250">
        <f>N(AE2249)+$AD2250</f>
        <v>0</v>
      </c>
      <c r="AF2250">
        <f>IF(AND($N2250=1,AND(LEFT(对接源_02物料!$D1050,4)="包装物料",N(对接源_02物料!$K1050)&lt;&gt;0)),1,0)</f>
        <v>0</v>
      </c>
      <c r="AG2250">
        <f>N(AG2249)+$AF2250</f>
        <v>10</v>
      </c>
      <c r="AH2250">
        <f>IF(AND($N2250=1,AND(对接源_02物料!$D1050="周转筐－销售出库",N(对接源_02物料!$K1050)&lt;&gt;0)),1,0)</f>
        <v>0</v>
      </c>
      <c r="AI2250">
        <f>N(AI2249)+$AH2250</f>
        <v>0</v>
      </c>
      <c r="AL2250" t="n">
        <v>0</v>
      </c>
      <c r="AM2250">
        <f>N(AM2249)+$AL2250</f>
        <v>2</v>
      </c>
      <c r="AN2250">
        <f>""</f>
      </c>
      <c r="AO2250" t="n">
        <v>0</v>
      </c>
      <c r="AP2250">
        <f>N(AP2249)+$AO2250</f>
        <v>13</v>
      </c>
      <c r="AR2250">
        <f>IF(OR($AF2250=1,$AH2250=1),1,0)</f>
        <v>0</v>
      </c>
      <c r="AS2250">
        <f>N(AS2249)+$AR2250</f>
        <v>10</v>
      </c>
    </row>
    <row r="2251" s="127">
      <c r="A2251">
        <f>IF(对接源_02物料!$C1051="","",对接源_02物料!$C1051)</f>
      </c>
      <c r="B2251">
        <f>IF(A2251="",0,IF(MATCH(A2251,$A$4:$A$2403,0)=ROW()-3,1,0))</f>
        <v>0</v>
      </c>
      <c r="C2251">
        <f>N(C2250)+B2251</f>
        <v>26</v>
      </c>
      <c r="K2251">
        <f>IF(OR($K$1="",对接源_02物料!$C1051="",对接源_02物料!$C1051&lt;&gt;$K$1,对接源_02物料!$B1051=""),0,IF(OR(N(对接源_02物料!$B1051)&lt;$K$2,N(对接源_02物料!$B1051)&gt;$K$3),0,1))</f>
        <v>0</v>
      </c>
      <c r="L2251">
        <f>IF(OR($L$1="",对接源_02物料!$C1051="",对接源_02物料!$C1051&lt;&gt;$L$1,对接源_02物料!$B1051=""),0,IF(OR(N(对接源_02物料!$B1051)&lt;$L$2,N(对接源_02物料!$B1051)&gt;$L$3),0,1))</f>
        <v>0</v>
      </c>
      <c r="M2251">
        <f>IF(OR($M$1="",对接源_02物料!$C1051="",对接源_02物料!$C1051&lt;&gt;$M$1,对接源_02物料!$B1051=""),0,IF(OR(N(对接源_02物料!$B1051)&lt;$M$2,N(对接源_02物料!$B1051)&gt;$M$3),0,1))</f>
        <v>0</v>
      </c>
      <c r="N2251">
        <f>IF(OR($N$1="",对接源_02物料!$C1051="",对接源_02物料!$C1051&lt;&gt;$N$1,对接源_02物料!$B1051=""),0,IF(OR(N(对接源_02物料!$B1051)&lt;$N$2,N(对接源_02物料!$B1051)&gt;$N$3),0,1))</f>
        <v>0</v>
      </c>
      <c r="P2251">
        <f>IF(AND($K2251=1,AND(对接源_02物料!$X1051="公司筐",N(对接源_02物料!$T1051)&lt;&gt;0)),1,0)</f>
        <v>0</v>
      </c>
      <c r="Q2251">
        <f>N(Q2250)+$P2251</f>
        <v>14</v>
      </c>
      <c r="R2251">
        <f>IF(AND($K2251=1,AND(对接源_02物料!$X1051="公司筐",N(对接源_02物料!$U1051)&lt;&gt;0)),1,0)</f>
        <v>0</v>
      </c>
      <c r="S2251">
        <f>N(S2250)+$R2251</f>
        <v>1</v>
      </c>
      <c r="T2251">
        <f>IF(AND($K2251=1,AND(对接源_02物料!$X1051="公司筐",N(对接源_02物料!$V1051)&lt;&gt;0)),1,0)</f>
        <v>0</v>
      </c>
      <c r="U2251">
        <f>N(U2250)+$T2251</f>
        <v>47</v>
      </c>
      <c r="V2251">
        <f>IF(AND($L2251=1,AND(对接源_02物料!$X1051="自备筐",N(对接源_02物料!$V1051)&lt;&gt;0)),1,0)</f>
        <v>0</v>
      </c>
      <c r="W2251">
        <f>N(W2250)+$V2251</f>
        <v>11</v>
      </c>
      <c r="X2251">
        <f>IF(AND($L2251=1,AND(对接源_02物料!$X1051="自备筐",N(对接源_02物料!$T1051)&lt;&gt;0)),1,0)</f>
        <v>0</v>
      </c>
      <c r="Y2251">
        <f>N(Y2250)+$X2251</f>
        <v>0</v>
      </c>
      <c r="Z2251">
        <f>IF(AND($M2251=1,对接源_02物料!$D1051="原料入库"),1,0)</f>
        <v>0</v>
      </c>
      <c r="AA2251">
        <f>N(AA2250)+$Z2251</f>
        <v>24</v>
      </c>
      <c r="AB2251">
        <f>IF(AND($M2251=1,LEFT(对接源_02物料!$D1051,4)="原料出库"),1,0)</f>
        <v>0</v>
      </c>
      <c r="AC2251">
        <f>N(AC2250)+$AB2251</f>
        <v>0</v>
      </c>
      <c r="AD2251">
        <f>IF(AND($M2251=1,LEFT(对接源_02物料!$D1051,4)="成品出库"),1,0)</f>
        <v>0</v>
      </c>
      <c r="AE2251">
        <f>N(AE2250)+$AD2251</f>
        <v>0</v>
      </c>
      <c r="AF2251">
        <f>IF(AND($N2251=1,AND(LEFT(对接源_02物料!$D1051,4)="包装物料",N(对接源_02物料!$K1051)&lt;&gt;0)),1,0)</f>
        <v>0</v>
      </c>
      <c r="AG2251">
        <f>N(AG2250)+$AF2251</f>
        <v>10</v>
      </c>
      <c r="AH2251">
        <f>IF(AND($N2251=1,AND(对接源_02物料!$D1051="周转筐－销售出库",N(对接源_02物料!$K1051)&lt;&gt;0)),1,0)</f>
        <v>0</v>
      </c>
      <c r="AI2251">
        <f>N(AI2250)+$AH2251</f>
        <v>0</v>
      </c>
      <c r="AL2251" t="n">
        <v>0</v>
      </c>
      <c r="AM2251">
        <f>N(AM2250)+$AL2251</f>
        <v>2</v>
      </c>
      <c r="AN2251">
        <f>""</f>
      </c>
      <c r="AO2251" t="n">
        <v>0</v>
      </c>
      <c r="AP2251">
        <f>N(AP2250)+$AO2251</f>
        <v>13</v>
      </c>
      <c r="AR2251">
        <f>IF(OR($AF2251=1,$AH2251=1),1,0)</f>
        <v>0</v>
      </c>
      <c r="AS2251">
        <f>N(AS2250)+$AR2251</f>
        <v>10</v>
      </c>
    </row>
    <row r="2252" s="127">
      <c r="A2252">
        <f>IF(对接源_02物料!$C1052="","",对接源_02物料!$C1052)</f>
      </c>
      <c r="B2252">
        <f>IF(A2252="",0,IF(MATCH(A2252,$A$4:$A$2403,0)=ROW()-3,1,0))</f>
        <v>0</v>
      </c>
      <c r="C2252">
        <f>N(C2251)+B2252</f>
        <v>26</v>
      </c>
      <c r="K2252">
        <f>IF(OR($K$1="",对接源_02物料!$C1052="",对接源_02物料!$C1052&lt;&gt;$K$1,对接源_02物料!$B1052=""),0,IF(OR(N(对接源_02物料!$B1052)&lt;$K$2,N(对接源_02物料!$B1052)&gt;$K$3),0,1))</f>
        <v>0</v>
      </c>
      <c r="L2252">
        <f>IF(OR($L$1="",对接源_02物料!$C1052="",对接源_02物料!$C1052&lt;&gt;$L$1,对接源_02物料!$B1052=""),0,IF(OR(N(对接源_02物料!$B1052)&lt;$L$2,N(对接源_02物料!$B1052)&gt;$L$3),0,1))</f>
        <v>0</v>
      </c>
      <c r="M2252">
        <f>IF(OR($M$1="",对接源_02物料!$C1052="",对接源_02物料!$C1052&lt;&gt;$M$1,对接源_02物料!$B1052=""),0,IF(OR(N(对接源_02物料!$B1052)&lt;$M$2,N(对接源_02物料!$B1052)&gt;$M$3),0,1))</f>
        <v>0</v>
      </c>
      <c r="N2252">
        <f>IF(OR($N$1="",对接源_02物料!$C1052="",对接源_02物料!$C1052&lt;&gt;$N$1,对接源_02物料!$B1052=""),0,IF(OR(N(对接源_02物料!$B1052)&lt;$N$2,N(对接源_02物料!$B1052)&gt;$N$3),0,1))</f>
        <v>0</v>
      </c>
      <c r="P2252">
        <f>IF(AND($K2252=1,AND(对接源_02物料!$X1052="公司筐",N(对接源_02物料!$T1052)&lt;&gt;0)),1,0)</f>
        <v>0</v>
      </c>
      <c r="Q2252">
        <f>N(Q2251)+$P2252</f>
        <v>14</v>
      </c>
      <c r="R2252">
        <f>IF(AND($K2252=1,AND(对接源_02物料!$X1052="公司筐",N(对接源_02物料!$U1052)&lt;&gt;0)),1,0)</f>
        <v>0</v>
      </c>
      <c r="S2252">
        <f>N(S2251)+$R2252</f>
        <v>1</v>
      </c>
      <c r="T2252">
        <f>IF(AND($K2252=1,AND(对接源_02物料!$X1052="公司筐",N(对接源_02物料!$V1052)&lt;&gt;0)),1,0)</f>
        <v>0</v>
      </c>
      <c r="U2252">
        <f>N(U2251)+$T2252</f>
        <v>47</v>
      </c>
      <c r="V2252">
        <f>IF(AND($L2252=1,AND(对接源_02物料!$X1052="自备筐",N(对接源_02物料!$V1052)&lt;&gt;0)),1,0)</f>
        <v>0</v>
      </c>
      <c r="W2252">
        <f>N(W2251)+$V2252</f>
        <v>11</v>
      </c>
      <c r="X2252">
        <f>IF(AND($L2252=1,AND(对接源_02物料!$X1052="自备筐",N(对接源_02物料!$T1052)&lt;&gt;0)),1,0)</f>
        <v>0</v>
      </c>
      <c r="Y2252">
        <f>N(Y2251)+$X2252</f>
        <v>0</v>
      </c>
      <c r="Z2252">
        <f>IF(AND($M2252=1,对接源_02物料!$D1052="原料入库"),1,0)</f>
        <v>0</v>
      </c>
      <c r="AA2252">
        <f>N(AA2251)+$Z2252</f>
        <v>24</v>
      </c>
      <c r="AB2252">
        <f>IF(AND($M2252=1,LEFT(对接源_02物料!$D1052,4)="原料出库"),1,0)</f>
        <v>0</v>
      </c>
      <c r="AC2252">
        <f>N(AC2251)+$AB2252</f>
        <v>0</v>
      </c>
      <c r="AD2252">
        <f>IF(AND($M2252=1,LEFT(对接源_02物料!$D1052,4)="成品出库"),1,0)</f>
        <v>0</v>
      </c>
      <c r="AE2252">
        <f>N(AE2251)+$AD2252</f>
        <v>0</v>
      </c>
      <c r="AF2252">
        <f>IF(AND($N2252=1,AND(LEFT(对接源_02物料!$D1052,4)="包装物料",N(对接源_02物料!$K1052)&lt;&gt;0)),1,0)</f>
        <v>0</v>
      </c>
      <c r="AG2252">
        <f>N(AG2251)+$AF2252</f>
        <v>10</v>
      </c>
      <c r="AH2252">
        <f>IF(AND($N2252=1,AND(对接源_02物料!$D1052="周转筐－销售出库",N(对接源_02物料!$K1052)&lt;&gt;0)),1,0)</f>
        <v>0</v>
      </c>
      <c r="AI2252">
        <f>N(AI2251)+$AH2252</f>
        <v>0</v>
      </c>
      <c r="AL2252" t="n">
        <v>0</v>
      </c>
      <c r="AM2252">
        <f>N(AM2251)+$AL2252</f>
        <v>2</v>
      </c>
      <c r="AN2252">
        <f>""</f>
      </c>
      <c r="AO2252" t="n">
        <v>0</v>
      </c>
      <c r="AP2252">
        <f>N(AP2251)+$AO2252</f>
        <v>13</v>
      </c>
      <c r="AR2252">
        <f>IF(OR($AF2252=1,$AH2252=1),1,0)</f>
        <v>0</v>
      </c>
      <c r="AS2252">
        <f>N(AS2251)+$AR2252</f>
        <v>10</v>
      </c>
    </row>
    <row r="2253" s="127">
      <c r="A2253">
        <f>IF(对接源_02物料!$C1053="","",对接源_02物料!$C1053)</f>
      </c>
      <c r="B2253">
        <f>IF(A2253="",0,IF(MATCH(A2253,$A$4:$A$2403,0)=ROW()-3,1,0))</f>
        <v>0</v>
      </c>
      <c r="C2253">
        <f>N(C2252)+B2253</f>
        <v>26</v>
      </c>
      <c r="K2253">
        <f>IF(OR($K$1="",对接源_02物料!$C1053="",对接源_02物料!$C1053&lt;&gt;$K$1,对接源_02物料!$B1053=""),0,IF(OR(N(对接源_02物料!$B1053)&lt;$K$2,N(对接源_02物料!$B1053)&gt;$K$3),0,1))</f>
        <v>0</v>
      </c>
      <c r="L2253">
        <f>IF(OR($L$1="",对接源_02物料!$C1053="",对接源_02物料!$C1053&lt;&gt;$L$1,对接源_02物料!$B1053=""),0,IF(OR(N(对接源_02物料!$B1053)&lt;$L$2,N(对接源_02物料!$B1053)&gt;$L$3),0,1))</f>
        <v>0</v>
      </c>
      <c r="M2253">
        <f>IF(OR($M$1="",对接源_02物料!$C1053="",对接源_02物料!$C1053&lt;&gt;$M$1,对接源_02物料!$B1053=""),0,IF(OR(N(对接源_02物料!$B1053)&lt;$M$2,N(对接源_02物料!$B1053)&gt;$M$3),0,1))</f>
        <v>0</v>
      </c>
      <c r="N2253">
        <f>IF(OR($N$1="",对接源_02物料!$C1053="",对接源_02物料!$C1053&lt;&gt;$N$1,对接源_02物料!$B1053=""),0,IF(OR(N(对接源_02物料!$B1053)&lt;$N$2,N(对接源_02物料!$B1053)&gt;$N$3),0,1))</f>
        <v>0</v>
      </c>
      <c r="P2253">
        <f>IF(AND($K2253=1,AND(对接源_02物料!$X1053="公司筐",N(对接源_02物料!$T1053)&lt;&gt;0)),1,0)</f>
        <v>0</v>
      </c>
      <c r="Q2253">
        <f>N(Q2252)+$P2253</f>
        <v>14</v>
      </c>
      <c r="R2253">
        <f>IF(AND($K2253=1,AND(对接源_02物料!$X1053="公司筐",N(对接源_02物料!$U1053)&lt;&gt;0)),1,0)</f>
        <v>0</v>
      </c>
      <c r="S2253">
        <f>N(S2252)+$R2253</f>
        <v>1</v>
      </c>
      <c r="T2253">
        <f>IF(AND($K2253=1,AND(对接源_02物料!$X1053="公司筐",N(对接源_02物料!$V1053)&lt;&gt;0)),1,0)</f>
        <v>0</v>
      </c>
      <c r="U2253">
        <f>N(U2252)+$T2253</f>
        <v>47</v>
      </c>
      <c r="V2253">
        <f>IF(AND($L2253=1,AND(对接源_02物料!$X1053="自备筐",N(对接源_02物料!$V1053)&lt;&gt;0)),1,0)</f>
        <v>0</v>
      </c>
      <c r="W2253">
        <f>N(W2252)+$V2253</f>
        <v>11</v>
      </c>
      <c r="X2253">
        <f>IF(AND($L2253=1,AND(对接源_02物料!$X1053="自备筐",N(对接源_02物料!$T1053)&lt;&gt;0)),1,0)</f>
        <v>0</v>
      </c>
      <c r="Y2253">
        <f>N(Y2252)+$X2253</f>
        <v>0</v>
      </c>
      <c r="Z2253">
        <f>IF(AND($M2253=1,对接源_02物料!$D1053="原料入库"),1,0)</f>
        <v>0</v>
      </c>
      <c r="AA2253">
        <f>N(AA2252)+$Z2253</f>
        <v>24</v>
      </c>
      <c r="AB2253">
        <f>IF(AND($M2253=1,LEFT(对接源_02物料!$D1053,4)="原料出库"),1,0)</f>
        <v>0</v>
      </c>
      <c r="AC2253">
        <f>N(AC2252)+$AB2253</f>
        <v>0</v>
      </c>
      <c r="AD2253">
        <f>IF(AND($M2253=1,LEFT(对接源_02物料!$D1053,4)="成品出库"),1,0)</f>
        <v>0</v>
      </c>
      <c r="AE2253">
        <f>N(AE2252)+$AD2253</f>
        <v>0</v>
      </c>
      <c r="AF2253">
        <f>IF(AND($N2253=1,AND(LEFT(对接源_02物料!$D1053,4)="包装物料",N(对接源_02物料!$K1053)&lt;&gt;0)),1,0)</f>
        <v>0</v>
      </c>
      <c r="AG2253">
        <f>N(AG2252)+$AF2253</f>
        <v>10</v>
      </c>
      <c r="AH2253">
        <f>IF(AND($N2253=1,AND(对接源_02物料!$D1053="周转筐－销售出库",N(对接源_02物料!$K1053)&lt;&gt;0)),1,0)</f>
        <v>0</v>
      </c>
      <c r="AI2253">
        <f>N(AI2252)+$AH2253</f>
        <v>0</v>
      </c>
      <c r="AL2253" t="n">
        <v>0</v>
      </c>
      <c r="AM2253">
        <f>N(AM2252)+$AL2253</f>
        <v>2</v>
      </c>
      <c r="AN2253">
        <f>""</f>
      </c>
      <c r="AO2253" t="n">
        <v>0</v>
      </c>
      <c r="AP2253">
        <f>N(AP2252)+$AO2253</f>
        <v>13</v>
      </c>
      <c r="AR2253">
        <f>IF(OR($AF2253=1,$AH2253=1),1,0)</f>
        <v>0</v>
      </c>
      <c r="AS2253">
        <f>N(AS2252)+$AR2253</f>
        <v>10</v>
      </c>
    </row>
    <row r="2254" s="127">
      <c r="A2254">
        <f>IF(对接源_02物料!$C1054="","",对接源_02物料!$C1054)</f>
      </c>
      <c r="B2254">
        <f>IF(A2254="",0,IF(MATCH(A2254,$A$4:$A$2403,0)=ROW()-3,1,0))</f>
        <v>0</v>
      </c>
      <c r="C2254">
        <f>N(C2253)+B2254</f>
        <v>26</v>
      </c>
      <c r="K2254">
        <f>IF(OR($K$1="",对接源_02物料!$C1054="",对接源_02物料!$C1054&lt;&gt;$K$1,对接源_02物料!$B1054=""),0,IF(OR(N(对接源_02物料!$B1054)&lt;$K$2,N(对接源_02物料!$B1054)&gt;$K$3),0,1))</f>
        <v>0</v>
      </c>
      <c r="L2254">
        <f>IF(OR($L$1="",对接源_02物料!$C1054="",对接源_02物料!$C1054&lt;&gt;$L$1,对接源_02物料!$B1054=""),0,IF(OR(N(对接源_02物料!$B1054)&lt;$L$2,N(对接源_02物料!$B1054)&gt;$L$3),0,1))</f>
        <v>0</v>
      </c>
      <c r="M2254">
        <f>IF(OR($M$1="",对接源_02物料!$C1054="",对接源_02物料!$C1054&lt;&gt;$M$1,对接源_02物料!$B1054=""),0,IF(OR(N(对接源_02物料!$B1054)&lt;$M$2,N(对接源_02物料!$B1054)&gt;$M$3),0,1))</f>
        <v>0</v>
      </c>
      <c r="N2254">
        <f>IF(OR($N$1="",对接源_02物料!$C1054="",对接源_02物料!$C1054&lt;&gt;$N$1,对接源_02物料!$B1054=""),0,IF(OR(N(对接源_02物料!$B1054)&lt;$N$2,N(对接源_02物料!$B1054)&gt;$N$3),0,1))</f>
        <v>0</v>
      </c>
      <c r="P2254">
        <f>IF(AND($K2254=1,AND(对接源_02物料!$X1054="公司筐",N(对接源_02物料!$T1054)&lt;&gt;0)),1,0)</f>
        <v>0</v>
      </c>
      <c r="Q2254">
        <f>N(Q2253)+$P2254</f>
        <v>14</v>
      </c>
      <c r="R2254">
        <f>IF(AND($K2254=1,AND(对接源_02物料!$X1054="公司筐",N(对接源_02物料!$U1054)&lt;&gt;0)),1,0)</f>
        <v>0</v>
      </c>
      <c r="S2254">
        <f>N(S2253)+$R2254</f>
        <v>1</v>
      </c>
      <c r="T2254">
        <f>IF(AND($K2254=1,AND(对接源_02物料!$X1054="公司筐",N(对接源_02物料!$V1054)&lt;&gt;0)),1,0)</f>
        <v>0</v>
      </c>
      <c r="U2254">
        <f>N(U2253)+$T2254</f>
        <v>47</v>
      </c>
      <c r="V2254">
        <f>IF(AND($L2254=1,AND(对接源_02物料!$X1054="自备筐",N(对接源_02物料!$V1054)&lt;&gt;0)),1,0)</f>
        <v>0</v>
      </c>
      <c r="W2254">
        <f>N(W2253)+$V2254</f>
        <v>11</v>
      </c>
      <c r="X2254">
        <f>IF(AND($L2254=1,AND(对接源_02物料!$X1054="自备筐",N(对接源_02物料!$T1054)&lt;&gt;0)),1,0)</f>
        <v>0</v>
      </c>
      <c r="Y2254">
        <f>N(Y2253)+$X2254</f>
        <v>0</v>
      </c>
      <c r="Z2254">
        <f>IF(AND($M2254=1,对接源_02物料!$D1054="原料入库"),1,0)</f>
        <v>0</v>
      </c>
      <c r="AA2254">
        <f>N(AA2253)+$Z2254</f>
        <v>24</v>
      </c>
      <c r="AB2254">
        <f>IF(AND($M2254=1,LEFT(对接源_02物料!$D1054,4)="原料出库"),1,0)</f>
        <v>0</v>
      </c>
      <c r="AC2254">
        <f>N(AC2253)+$AB2254</f>
        <v>0</v>
      </c>
      <c r="AD2254">
        <f>IF(AND($M2254=1,LEFT(对接源_02物料!$D1054,4)="成品出库"),1,0)</f>
        <v>0</v>
      </c>
      <c r="AE2254">
        <f>N(AE2253)+$AD2254</f>
        <v>0</v>
      </c>
      <c r="AF2254">
        <f>IF(AND($N2254=1,AND(LEFT(对接源_02物料!$D1054,4)="包装物料",N(对接源_02物料!$K1054)&lt;&gt;0)),1,0)</f>
        <v>0</v>
      </c>
      <c r="AG2254">
        <f>N(AG2253)+$AF2254</f>
        <v>10</v>
      </c>
      <c r="AH2254">
        <f>IF(AND($N2254=1,AND(对接源_02物料!$D1054="周转筐－销售出库",N(对接源_02物料!$K1054)&lt;&gt;0)),1,0)</f>
        <v>0</v>
      </c>
      <c r="AI2254">
        <f>N(AI2253)+$AH2254</f>
        <v>0</v>
      </c>
      <c r="AL2254" t="n">
        <v>0</v>
      </c>
      <c r="AM2254">
        <f>N(AM2253)+$AL2254</f>
        <v>2</v>
      </c>
      <c r="AN2254">
        <f>""</f>
      </c>
      <c r="AO2254" t="n">
        <v>0</v>
      </c>
      <c r="AP2254">
        <f>N(AP2253)+$AO2254</f>
        <v>13</v>
      </c>
      <c r="AR2254">
        <f>IF(OR($AF2254=1,$AH2254=1),1,0)</f>
        <v>0</v>
      </c>
      <c r="AS2254">
        <f>N(AS2253)+$AR2254</f>
        <v>10</v>
      </c>
    </row>
    <row r="2255" s="127">
      <c r="A2255">
        <f>IF(对接源_02物料!$C1055="","",对接源_02物料!$C1055)</f>
      </c>
      <c r="B2255">
        <f>IF(A2255="",0,IF(MATCH(A2255,$A$4:$A$2403,0)=ROW()-3,1,0))</f>
        <v>0</v>
      </c>
      <c r="C2255">
        <f>N(C2254)+B2255</f>
        <v>26</v>
      </c>
      <c r="K2255">
        <f>IF(OR($K$1="",对接源_02物料!$C1055="",对接源_02物料!$C1055&lt;&gt;$K$1,对接源_02物料!$B1055=""),0,IF(OR(N(对接源_02物料!$B1055)&lt;$K$2,N(对接源_02物料!$B1055)&gt;$K$3),0,1))</f>
        <v>0</v>
      </c>
      <c r="L2255">
        <f>IF(OR($L$1="",对接源_02物料!$C1055="",对接源_02物料!$C1055&lt;&gt;$L$1,对接源_02物料!$B1055=""),0,IF(OR(N(对接源_02物料!$B1055)&lt;$L$2,N(对接源_02物料!$B1055)&gt;$L$3),0,1))</f>
        <v>0</v>
      </c>
      <c r="M2255">
        <f>IF(OR($M$1="",对接源_02物料!$C1055="",对接源_02物料!$C1055&lt;&gt;$M$1,对接源_02物料!$B1055=""),0,IF(OR(N(对接源_02物料!$B1055)&lt;$M$2,N(对接源_02物料!$B1055)&gt;$M$3),0,1))</f>
        <v>0</v>
      </c>
      <c r="N2255">
        <f>IF(OR($N$1="",对接源_02物料!$C1055="",对接源_02物料!$C1055&lt;&gt;$N$1,对接源_02物料!$B1055=""),0,IF(OR(N(对接源_02物料!$B1055)&lt;$N$2,N(对接源_02物料!$B1055)&gt;$N$3),0,1))</f>
        <v>0</v>
      </c>
      <c r="P2255">
        <f>IF(AND($K2255=1,AND(对接源_02物料!$X1055="公司筐",N(对接源_02物料!$T1055)&lt;&gt;0)),1,0)</f>
        <v>0</v>
      </c>
      <c r="Q2255">
        <f>N(Q2254)+$P2255</f>
        <v>14</v>
      </c>
      <c r="R2255">
        <f>IF(AND($K2255=1,AND(对接源_02物料!$X1055="公司筐",N(对接源_02物料!$U1055)&lt;&gt;0)),1,0)</f>
        <v>0</v>
      </c>
      <c r="S2255">
        <f>N(S2254)+$R2255</f>
        <v>1</v>
      </c>
      <c r="T2255">
        <f>IF(AND($K2255=1,AND(对接源_02物料!$X1055="公司筐",N(对接源_02物料!$V1055)&lt;&gt;0)),1,0)</f>
        <v>0</v>
      </c>
      <c r="U2255">
        <f>N(U2254)+$T2255</f>
        <v>47</v>
      </c>
      <c r="V2255">
        <f>IF(AND($L2255=1,AND(对接源_02物料!$X1055="自备筐",N(对接源_02物料!$V1055)&lt;&gt;0)),1,0)</f>
        <v>0</v>
      </c>
      <c r="W2255">
        <f>N(W2254)+$V2255</f>
        <v>11</v>
      </c>
      <c r="X2255">
        <f>IF(AND($L2255=1,AND(对接源_02物料!$X1055="自备筐",N(对接源_02物料!$T1055)&lt;&gt;0)),1,0)</f>
        <v>0</v>
      </c>
      <c r="Y2255">
        <f>N(Y2254)+$X2255</f>
        <v>0</v>
      </c>
      <c r="Z2255">
        <f>IF(AND($M2255=1,对接源_02物料!$D1055="原料入库"),1,0)</f>
        <v>0</v>
      </c>
      <c r="AA2255">
        <f>N(AA2254)+$Z2255</f>
        <v>24</v>
      </c>
      <c r="AB2255">
        <f>IF(AND($M2255=1,LEFT(对接源_02物料!$D1055,4)="原料出库"),1,0)</f>
        <v>0</v>
      </c>
      <c r="AC2255">
        <f>N(AC2254)+$AB2255</f>
        <v>0</v>
      </c>
      <c r="AD2255">
        <f>IF(AND($M2255=1,LEFT(对接源_02物料!$D1055,4)="成品出库"),1,0)</f>
        <v>0</v>
      </c>
      <c r="AE2255">
        <f>N(AE2254)+$AD2255</f>
        <v>0</v>
      </c>
      <c r="AF2255">
        <f>IF(AND($N2255=1,AND(LEFT(对接源_02物料!$D1055,4)="包装物料",N(对接源_02物料!$K1055)&lt;&gt;0)),1,0)</f>
        <v>0</v>
      </c>
      <c r="AG2255">
        <f>N(AG2254)+$AF2255</f>
        <v>10</v>
      </c>
      <c r="AH2255">
        <f>IF(AND($N2255=1,AND(对接源_02物料!$D1055="周转筐－销售出库",N(对接源_02物料!$K1055)&lt;&gt;0)),1,0)</f>
        <v>0</v>
      </c>
      <c r="AI2255">
        <f>N(AI2254)+$AH2255</f>
        <v>0</v>
      </c>
      <c r="AL2255" t="n">
        <v>0</v>
      </c>
      <c r="AM2255">
        <f>N(AM2254)+$AL2255</f>
        <v>2</v>
      </c>
      <c r="AN2255">
        <f>""</f>
      </c>
      <c r="AO2255" t="n">
        <v>0</v>
      </c>
      <c r="AP2255">
        <f>N(AP2254)+$AO2255</f>
        <v>13</v>
      </c>
      <c r="AR2255">
        <f>IF(OR($AF2255=1,$AH2255=1),1,0)</f>
        <v>0</v>
      </c>
      <c r="AS2255">
        <f>N(AS2254)+$AR2255</f>
        <v>10</v>
      </c>
    </row>
    <row r="2256" s="127">
      <c r="A2256">
        <f>IF(对接源_02物料!$C1056="","",对接源_02物料!$C1056)</f>
      </c>
      <c r="B2256">
        <f>IF(A2256="",0,IF(MATCH(A2256,$A$4:$A$2403,0)=ROW()-3,1,0))</f>
        <v>0</v>
      </c>
      <c r="C2256">
        <f>N(C2255)+B2256</f>
        <v>26</v>
      </c>
      <c r="K2256">
        <f>IF(OR($K$1="",对接源_02物料!$C1056="",对接源_02物料!$C1056&lt;&gt;$K$1,对接源_02物料!$B1056=""),0,IF(OR(N(对接源_02物料!$B1056)&lt;$K$2,N(对接源_02物料!$B1056)&gt;$K$3),0,1))</f>
        <v>0</v>
      </c>
      <c r="L2256">
        <f>IF(OR($L$1="",对接源_02物料!$C1056="",对接源_02物料!$C1056&lt;&gt;$L$1,对接源_02物料!$B1056=""),0,IF(OR(N(对接源_02物料!$B1056)&lt;$L$2,N(对接源_02物料!$B1056)&gt;$L$3),0,1))</f>
        <v>0</v>
      </c>
      <c r="M2256">
        <f>IF(OR($M$1="",对接源_02物料!$C1056="",对接源_02物料!$C1056&lt;&gt;$M$1,对接源_02物料!$B1056=""),0,IF(OR(N(对接源_02物料!$B1056)&lt;$M$2,N(对接源_02物料!$B1056)&gt;$M$3),0,1))</f>
        <v>0</v>
      </c>
      <c r="N2256">
        <f>IF(OR($N$1="",对接源_02物料!$C1056="",对接源_02物料!$C1056&lt;&gt;$N$1,对接源_02物料!$B1056=""),0,IF(OR(N(对接源_02物料!$B1056)&lt;$N$2,N(对接源_02物料!$B1056)&gt;$N$3),0,1))</f>
        <v>0</v>
      </c>
      <c r="P2256">
        <f>IF(AND($K2256=1,AND(对接源_02物料!$X1056="公司筐",N(对接源_02物料!$T1056)&lt;&gt;0)),1,0)</f>
        <v>0</v>
      </c>
      <c r="Q2256">
        <f>N(Q2255)+$P2256</f>
        <v>14</v>
      </c>
      <c r="R2256">
        <f>IF(AND($K2256=1,AND(对接源_02物料!$X1056="公司筐",N(对接源_02物料!$U1056)&lt;&gt;0)),1,0)</f>
        <v>0</v>
      </c>
      <c r="S2256">
        <f>N(S2255)+$R2256</f>
        <v>1</v>
      </c>
      <c r="T2256">
        <f>IF(AND($K2256=1,AND(对接源_02物料!$X1056="公司筐",N(对接源_02物料!$V1056)&lt;&gt;0)),1,0)</f>
        <v>0</v>
      </c>
      <c r="U2256">
        <f>N(U2255)+$T2256</f>
        <v>47</v>
      </c>
      <c r="V2256">
        <f>IF(AND($L2256=1,AND(对接源_02物料!$X1056="自备筐",N(对接源_02物料!$V1056)&lt;&gt;0)),1,0)</f>
        <v>0</v>
      </c>
      <c r="W2256">
        <f>N(W2255)+$V2256</f>
        <v>11</v>
      </c>
      <c r="X2256">
        <f>IF(AND($L2256=1,AND(对接源_02物料!$X1056="自备筐",N(对接源_02物料!$T1056)&lt;&gt;0)),1,0)</f>
        <v>0</v>
      </c>
      <c r="Y2256">
        <f>N(Y2255)+$X2256</f>
        <v>0</v>
      </c>
      <c r="Z2256">
        <f>IF(AND($M2256=1,对接源_02物料!$D1056="原料入库"),1,0)</f>
        <v>0</v>
      </c>
      <c r="AA2256">
        <f>N(AA2255)+$Z2256</f>
        <v>24</v>
      </c>
      <c r="AB2256">
        <f>IF(AND($M2256=1,LEFT(对接源_02物料!$D1056,4)="原料出库"),1,0)</f>
        <v>0</v>
      </c>
      <c r="AC2256">
        <f>N(AC2255)+$AB2256</f>
        <v>0</v>
      </c>
      <c r="AD2256">
        <f>IF(AND($M2256=1,LEFT(对接源_02物料!$D1056,4)="成品出库"),1,0)</f>
        <v>0</v>
      </c>
      <c r="AE2256">
        <f>N(AE2255)+$AD2256</f>
        <v>0</v>
      </c>
      <c r="AF2256">
        <f>IF(AND($N2256=1,AND(LEFT(对接源_02物料!$D1056,4)="包装物料",N(对接源_02物料!$K1056)&lt;&gt;0)),1,0)</f>
        <v>0</v>
      </c>
      <c r="AG2256">
        <f>N(AG2255)+$AF2256</f>
        <v>10</v>
      </c>
      <c r="AH2256">
        <f>IF(AND($N2256=1,AND(对接源_02物料!$D1056="周转筐－销售出库",N(对接源_02物料!$K1056)&lt;&gt;0)),1,0)</f>
        <v>0</v>
      </c>
      <c r="AI2256">
        <f>N(AI2255)+$AH2256</f>
        <v>0</v>
      </c>
      <c r="AL2256" t="n">
        <v>0</v>
      </c>
      <c r="AM2256">
        <f>N(AM2255)+$AL2256</f>
        <v>2</v>
      </c>
      <c r="AN2256">
        <f>""</f>
      </c>
      <c r="AO2256" t="n">
        <v>0</v>
      </c>
      <c r="AP2256">
        <f>N(AP2255)+$AO2256</f>
        <v>13</v>
      </c>
      <c r="AR2256">
        <f>IF(OR($AF2256=1,$AH2256=1),1,0)</f>
        <v>0</v>
      </c>
      <c r="AS2256">
        <f>N(AS2255)+$AR2256</f>
        <v>10</v>
      </c>
    </row>
    <row r="2257" s="127">
      <c r="A2257">
        <f>IF(对接源_02物料!$C1057="","",对接源_02物料!$C1057)</f>
      </c>
      <c r="B2257">
        <f>IF(A2257="",0,IF(MATCH(A2257,$A$4:$A$2403,0)=ROW()-3,1,0))</f>
        <v>0</v>
      </c>
      <c r="C2257">
        <f>N(C2256)+B2257</f>
        <v>26</v>
      </c>
      <c r="K2257">
        <f>IF(OR($K$1="",对接源_02物料!$C1057="",对接源_02物料!$C1057&lt;&gt;$K$1,对接源_02物料!$B1057=""),0,IF(OR(N(对接源_02物料!$B1057)&lt;$K$2,N(对接源_02物料!$B1057)&gt;$K$3),0,1))</f>
        <v>0</v>
      </c>
      <c r="L2257">
        <f>IF(OR($L$1="",对接源_02物料!$C1057="",对接源_02物料!$C1057&lt;&gt;$L$1,对接源_02物料!$B1057=""),0,IF(OR(N(对接源_02物料!$B1057)&lt;$L$2,N(对接源_02物料!$B1057)&gt;$L$3),0,1))</f>
        <v>0</v>
      </c>
      <c r="M2257">
        <f>IF(OR($M$1="",对接源_02物料!$C1057="",对接源_02物料!$C1057&lt;&gt;$M$1,对接源_02物料!$B1057=""),0,IF(OR(N(对接源_02物料!$B1057)&lt;$M$2,N(对接源_02物料!$B1057)&gt;$M$3),0,1))</f>
        <v>0</v>
      </c>
      <c r="N2257">
        <f>IF(OR($N$1="",对接源_02物料!$C1057="",对接源_02物料!$C1057&lt;&gt;$N$1,对接源_02物料!$B1057=""),0,IF(OR(N(对接源_02物料!$B1057)&lt;$N$2,N(对接源_02物料!$B1057)&gt;$N$3),0,1))</f>
        <v>0</v>
      </c>
      <c r="P2257">
        <f>IF(AND($K2257=1,AND(对接源_02物料!$X1057="公司筐",N(对接源_02物料!$T1057)&lt;&gt;0)),1,0)</f>
        <v>0</v>
      </c>
      <c r="Q2257">
        <f>N(Q2256)+$P2257</f>
        <v>14</v>
      </c>
      <c r="R2257">
        <f>IF(AND($K2257=1,AND(对接源_02物料!$X1057="公司筐",N(对接源_02物料!$U1057)&lt;&gt;0)),1,0)</f>
        <v>0</v>
      </c>
      <c r="S2257">
        <f>N(S2256)+$R2257</f>
        <v>1</v>
      </c>
      <c r="T2257">
        <f>IF(AND($K2257=1,AND(对接源_02物料!$X1057="公司筐",N(对接源_02物料!$V1057)&lt;&gt;0)),1,0)</f>
        <v>0</v>
      </c>
      <c r="U2257">
        <f>N(U2256)+$T2257</f>
        <v>47</v>
      </c>
      <c r="V2257">
        <f>IF(AND($L2257=1,AND(对接源_02物料!$X1057="自备筐",N(对接源_02物料!$V1057)&lt;&gt;0)),1,0)</f>
        <v>0</v>
      </c>
      <c r="W2257">
        <f>N(W2256)+$V2257</f>
        <v>11</v>
      </c>
      <c r="X2257">
        <f>IF(AND($L2257=1,AND(对接源_02物料!$X1057="自备筐",N(对接源_02物料!$T1057)&lt;&gt;0)),1,0)</f>
        <v>0</v>
      </c>
      <c r="Y2257">
        <f>N(Y2256)+$X2257</f>
        <v>0</v>
      </c>
      <c r="Z2257">
        <f>IF(AND($M2257=1,对接源_02物料!$D1057="原料入库"),1,0)</f>
        <v>0</v>
      </c>
      <c r="AA2257">
        <f>N(AA2256)+$Z2257</f>
        <v>24</v>
      </c>
      <c r="AB2257">
        <f>IF(AND($M2257=1,LEFT(对接源_02物料!$D1057,4)="原料出库"),1,0)</f>
        <v>0</v>
      </c>
      <c r="AC2257">
        <f>N(AC2256)+$AB2257</f>
        <v>0</v>
      </c>
      <c r="AD2257">
        <f>IF(AND($M2257=1,LEFT(对接源_02物料!$D1057,4)="成品出库"),1,0)</f>
        <v>0</v>
      </c>
      <c r="AE2257">
        <f>N(AE2256)+$AD2257</f>
        <v>0</v>
      </c>
      <c r="AF2257">
        <f>IF(AND($N2257=1,AND(LEFT(对接源_02物料!$D1057,4)="包装物料",N(对接源_02物料!$K1057)&lt;&gt;0)),1,0)</f>
        <v>0</v>
      </c>
      <c r="AG2257">
        <f>N(AG2256)+$AF2257</f>
        <v>10</v>
      </c>
      <c r="AH2257">
        <f>IF(AND($N2257=1,AND(对接源_02物料!$D1057="周转筐－销售出库",N(对接源_02物料!$K1057)&lt;&gt;0)),1,0)</f>
        <v>0</v>
      </c>
      <c r="AI2257">
        <f>N(AI2256)+$AH2257</f>
        <v>0</v>
      </c>
      <c r="AL2257" t="n">
        <v>0</v>
      </c>
      <c r="AM2257">
        <f>N(AM2256)+$AL2257</f>
        <v>2</v>
      </c>
      <c r="AN2257">
        <f>""</f>
      </c>
      <c r="AO2257" t="n">
        <v>0</v>
      </c>
      <c r="AP2257">
        <f>N(AP2256)+$AO2257</f>
        <v>13</v>
      </c>
      <c r="AR2257">
        <f>IF(OR($AF2257=1,$AH2257=1),1,0)</f>
        <v>0</v>
      </c>
      <c r="AS2257">
        <f>N(AS2256)+$AR2257</f>
        <v>10</v>
      </c>
    </row>
    <row r="2258" s="127">
      <c r="A2258">
        <f>IF(对接源_02物料!$C1058="","",对接源_02物料!$C1058)</f>
      </c>
      <c r="B2258">
        <f>IF(A2258="",0,IF(MATCH(A2258,$A$4:$A$2403,0)=ROW()-3,1,0))</f>
        <v>0</v>
      </c>
      <c r="C2258">
        <f>N(C2257)+B2258</f>
        <v>26</v>
      </c>
      <c r="K2258">
        <f>IF(OR($K$1="",对接源_02物料!$C1058="",对接源_02物料!$C1058&lt;&gt;$K$1,对接源_02物料!$B1058=""),0,IF(OR(N(对接源_02物料!$B1058)&lt;$K$2,N(对接源_02物料!$B1058)&gt;$K$3),0,1))</f>
        <v>0</v>
      </c>
      <c r="L2258">
        <f>IF(OR($L$1="",对接源_02物料!$C1058="",对接源_02物料!$C1058&lt;&gt;$L$1,对接源_02物料!$B1058=""),0,IF(OR(N(对接源_02物料!$B1058)&lt;$L$2,N(对接源_02物料!$B1058)&gt;$L$3),0,1))</f>
        <v>0</v>
      </c>
      <c r="M2258">
        <f>IF(OR($M$1="",对接源_02物料!$C1058="",对接源_02物料!$C1058&lt;&gt;$M$1,对接源_02物料!$B1058=""),0,IF(OR(N(对接源_02物料!$B1058)&lt;$M$2,N(对接源_02物料!$B1058)&gt;$M$3),0,1))</f>
        <v>0</v>
      </c>
      <c r="N2258">
        <f>IF(OR($N$1="",对接源_02物料!$C1058="",对接源_02物料!$C1058&lt;&gt;$N$1,对接源_02物料!$B1058=""),0,IF(OR(N(对接源_02物料!$B1058)&lt;$N$2,N(对接源_02物料!$B1058)&gt;$N$3),0,1))</f>
        <v>0</v>
      </c>
      <c r="P2258">
        <f>IF(AND($K2258=1,AND(对接源_02物料!$X1058="公司筐",N(对接源_02物料!$T1058)&lt;&gt;0)),1,0)</f>
        <v>0</v>
      </c>
      <c r="Q2258">
        <f>N(Q2257)+$P2258</f>
        <v>14</v>
      </c>
      <c r="R2258">
        <f>IF(AND($K2258=1,AND(对接源_02物料!$X1058="公司筐",N(对接源_02物料!$U1058)&lt;&gt;0)),1,0)</f>
        <v>0</v>
      </c>
      <c r="S2258">
        <f>N(S2257)+$R2258</f>
        <v>1</v>
      </c>
      <c r="T2258">
        <f>IF(AND($K2258=1,AND(对接源_02物料!$X1058="公司筐",N(对接源_02物料!$V1058)&lt;&gt;0)),1,0)</f>
        <v>0</v>
      </c>
      <c r="U2258">
        <f>N(U2257)+$T2258</f>
        <v>47</v>
      </c>
      <c r="V2258">
        <f>IF(AND($L2258=1,AND(对接源_02物料!$X1058="自备筐",N(对接源_02物料!$V1058)&lt;&gt;0)),1,0)</f>
        <v>0</v>
      </c>
      <c r="W2258">
        <f>N(W2257)+$V2258</f>
        <v>11</v>
      </c>
      <c r="X2258">
        <f>IF(AND($L2258=1,AND(对接源_02物料!$X1058="自备筐",N(对接源_02物料!$T1058)&lt;&gt;0)),1,0)</f>
        <v>0</v>
      </c>
      <c r="Y2258">
        <f>N(Y2257)+$X2258</f>
        <v>0</v>
      </c>
      <c r="Z2258">
        <f>IF(AND($M2258=1,对接源_02物料!$D1058="原料入库"),1,0)</f>
        <v>0</v>
      </c>
      <c r="AA2258">
        <f>N(AA2257)+$Z2258</f>
        <v>24</v>
      </c>
      <c r="AB2258">
        <f>IF(AND($M2258=1,LEFT(对接源_02物料!$D1058,4)="原料出库"),1,0)</f>
        <v>0</v>
      </c>
      <c r="AC2258">
        <f>N(AC2257)+$AB2258</f>
        <v>0</v>
      </c>
      <c r="AD2258">
        <f>IF(AND($M2258=1,LEFT(对接源_02物料!$D1058,4)="成品出库"),1,0)</f>
        <v>0</v>
      </c>
      <c r="AE2258">
        <f>N(AE2257)+$AD2258</f>
        <v>0</v>
      </c>
      <c r="AF2258">
        <f>IF(AND($N2258=1,AND(LEFT(对接源_02物料!$D1058,4)="包装物料",N(对接源_02物料!$K1058)&lt;&gt;0)),1,0)</f>
        <v>0</v>
      </c>
      <c r="AG2258">
        <f>N(AG2257)+$AF2258</f>
        <v>10</v>
      </c>
      <c r="AH2258">
        <f>IF(AND($N2258=1,AND(对接源_02物料!$D1058="周转筐－销售出库",N(对接源_02物料!$K1058)&lt;&gt;0)),1,0)</f>
        <v>0</v>
      </c>
      <c r="AI2258">
        <f>N(AI2257)+$AH2258</f>
        <v>0</v>
      </c>
      <c r="AL2258" t="n">
        <v>0</v>
      </c>
      <c r="AM2258">
        <f>N(AM2257)+$AL2258</f>
        <v>2</v>
      </c>
      <c r="AN2258">
        <f>""</f>
      </c>
      <c r="AO2258" t="n">
        <v>0</v>
      </c>
      <c r="AP2258">
        <f>N(AP2257)+$AO2258</f>
        <v>13</v>
      </c>
      <c r="AR2258">
        <f>IF(OR($AF2258=1,$AH2258=1),1,0)</f>
        <v>0</v>
      </c>
      <c r="AS2258">
        <f>N(AS2257)+$AR2258</f>
        <v>10</v>
      </c>
    </row>
    <row r="2259" s="127">
      <c r="A2259">
        <f>IF(对接源_02物料!$C1059="","",对接源_02物料!$C1059)</f>
      </c>
      <c r="B2259">
        <f>IF(A2259="",0,IF(MATCH(A2259,$A$4:$A$2403,0)=ROW()-3,1,0))</f>
        <v>0</v>
      </c>
      <c r="C2259">
        <f>N(C2258)+B2259</f>
        <v>26</v>
      </c>
      <c r="K2259">
        <f>IF(OR($K$1="",对接源_02物料!$C1059="",对接源_02物料!$C1059&lt;&gt;$K$1,对接源_02物料!$B1059=""),0,IF(OR(N(对接源_02物料!$B1059)&lt;$K$2,N(对接源_02物料!$B1059)&gt;$K$3),0,1))</f>
        <v>0</v>
      </c>
      <c r="L2259">
        <f>IF(OR($L$1="",对接源_02物料!$C1059="",对接源_02物料!$C1059&lt;&gt;$L$1,对接源_02物料!$B1059=""),0,IF(OR(N(对接源_02物料!$B1059)&lt;$L$2,N(对接源_02物料!$B1059)&gt;$L$3),0,1))</f>
        <v>0</v>
      </c>
      <c r="M2259">
        <f>IF(OR($M$1="",对接源_02物料!$C1059="",对接源_02物料!$C1059&lt;&gt;$M$1,对接源_02物料!$B1059=""),0,IF(OR(N(对接源_02物料!$B1059)&lt;$M$2,N(对接源_02物料!$B1059)&gt;$M$3),0,1))</f>
        <v>0</v>
      </c>
      <c r="N2259">
        <f>IF(OR($N$1="",对接源_02物料!$C1059="",对接源_02物料!$C1059&lt;&gt;$N$1,对接源_02物料!$B1059=""),0,IF(OR(N(对接源_02物料!$B1059)&lt;$N$2,N(对接源_02物料!$B1059)&gt;$N$3),0,1))</f>
        <v>0</v>
      </c>
      <c r="P2259">
        <f>IF(AND($K2259=1,AND(对接源_02物料!$X1059="公司筐",N(对接源_02物料!$T1059)&lt;&gt;0)),1,0)</f>
        <v>0</v>
      </c>
      <c r="Q2259">
        <f>N(Q2258)+$P2259</f>
        <v>14</v>
      </c>
      <c r="R2259">
        <f>IF(AND($K2259=1,AND(对接源_02物料!$X1059="公司筐",N(对接源_02物料!$U1059)&lt;&gt;0)),1,0)</f>
        <v>0</v>
      </c>
      <c r="S2259">
        <f>N(S2258)+$R2259</f>
        <v>1</v>
      </c>
      <c r="T2259">
        <f>IF(AND($K2259=1,AND(对接源_02物料!$X1059="公司筐",N(对接源_02物料!$V1059)&lt;&gt;0)),1,0)</f>
        <v>0</v>
      </c>
      <c r="U2259">
        <f>N(U2258)+$T2259</f>
        <v>47</v>
      </c>
      <c r="V2259">
        <f>IF(AND($L2259=1,AND(对接源_02物料!$X1059="自备筐",N(对接源_02物料!$V1059)&lt;&gt;0)),1,0)</f>
        <v>0</v>
      </c>
      <c r="W2259">
        <f>N(W2258)+$V2259</f>
        <v>11</v>
      </c>
      <c r="X2259">
        <f>IF(AND($L2259=1,AND(对接源_02物料!$X1059="自备筐",N(对接源_02物料!$T1059)&lt;&gt;0)),1,0)</f>
        <v>0</v>
      </c>
      <c r="Y2259">
        <f>N(Y2258)+$X2259</f>
        <v>0</v>
      </c>
      <c r="Z2259">
        <f>IF(AND($M2259=1,对接源_02物料!$D1059="原料入库"),1,0)</f>
        <v>0</v>
      </c>
      <c r="AA2259">
        <f>N(AA2258)+$Z2259</f>
        <v>24</v>
      </c>
      <c r="AB2259">
        <f>IF(AND($M2259=1,LEFT(对接源_02物料!$D1059,4)="原料出库"),1,0)</f>
        <v>0</v>
      </c>
      <c r="AC2259">
        <f>N(AC2258)+$AB2259</f>
        <v>0</v>
      </c>
      <c r="AD2259">
        <f>IF(AND($M2259=1,LEFT(对接源_02物料!$D1059,4)="成品出库"),1,0)</f>
        <v>0</v>
      </c>
      <c r="AE2259">
        <f>N(AE2258)+$AD2259</f>
        <v>0</v>
      </c>
      <c r="AF2259">
        <f>IF(AND($N2259=1,AND(LEFT(对接源_02物料!$D1059,4)="包装物料",N(对接源_02物料!$K1059)&lt;&gt;0)),1,0)</f>
        <v>0</v>
      </c>
      <c r="AG2259">
        <f>N(AG2258)+$AF2259</f>
        <v>10</v>
      </c>
      <c r="AH2259">
        <f>IF(AND($N2259=1,AND(对接源_02物料!$D1059="周转筐－销售出库",N(对接源_02物料!$K1059)&lt;&gt;0)),1,0)</f>
        <v>0</v>
      </c>
      <c r="AI2259">
        <f>N(AI2258)+$AH2259</f>
        <v>0</v>
      </c>
      <c r="AL2259" t="n">
        <v>0</v>
      </c>
      <c r="AM2259">
        <f>N(AM2258)+$AL2259</f>
        <v>2</v>
      </c>
      <c r="AN2259">
        <f>""</f>
      </c>
      <c r="AO2259" t="n">
        <v>0</v>
      </c>
      <c r="AP2259">
        <f>N(AP2258)+$AO2259</f>
        <v>13</v>
      </c>
      <c r="AR2259">
        <f>IF(OR($AF2259=1,$AH2259=1),1,0)</f>
        <v>0</v>
      </c>
      <c r="AS2259">
        <f>N(AS2258)+$AR2259</f>
        <v>10</v>
      </c>
    </row>
    <row r="2260" s="127">
      <c r="A2260">
        <f>IF(对接源_02物料!$C1060="","",对接源_02物料!$C1060)</f>
      </c>
      <c r="B2260">
        <f>IF(A2260="",0,IF(MATCH(A2260,$A$4:$A$2403,0)=ROW()-3,1,0))</f>
        <v>0</v>
      </c>
      <c r="C2260">
        <f>N(C2259)+B2260</f>
        <v>26</v>
      </c>
      <c r="K2260">
        <f>IF(OR($K$1="",对接源_02物料!$C1060="",对接源_02物料!$C1060&lt;&gt;$K$1,对接源_02物料!$B1060=""),0,IF(OR(N(对接源_02物料!$B1060)&lt;$K$2,N(对接源_02物料!$B1060)&gt;$K$3),0,1))</f>
        <v>0</v>
      </c>
      <c r="L2260">
        <f>IF(OR($L$1="",对接源_02物料!$C1060="",对接源_02物料!$C1060&lt;&gt;$L$1,对接源_02物料!$B1060=""),0,IF(OR(N(对接源_02物料!$B1060)&lt;$L$2,N(对接源_02物料!$B1060)&gt;$L$3),0,1))</f>
        <v>0</v>
      </c>
      <c r="M2260">
        <f>IF(OR($M$1="",对接源_02物料!$C1060="",对接源_02物料!$C1060&lt;&gt;$M$1,对接源_02物料!$B1060=""),0,IF(OR(N(对接源_02物料!$B1060)&lt;$M$2,N(对接源_02物料!$B1060)&gt;$M$3),0,1))</f>
        <v>0</v>
      </c>
      <c r="N2260">
        <f>IF(OR($N$1="",对接源_02物料!$C1060="",对接源_02物料!$C1060&lt;&gt;$N$1,对接源_02物料!$B1060=""),0,IF(OR(N(对接源_02物料!$B1060)&lt;$N$2,N(对接源_02物料!$B1060)&gt;$N$3),0,1))</f>
        <v>0</v>
      </c>
      <c r="P2260">
        <f>IF(AND($K2260=1,AND(对接源_02物料!$X1060="公司筐",N(对接源_02物料!$T1060)&lt;&gt;0)),1,0)</f>
        <v>0</v>
      </c>
      <c r="Q2260">
        <f>N(Q2259)+$P2260</f>
        <v>14</v>
      </c>
      <c r="R2260">
        <f>IF(AND($K2260=1,AND(对接源_02物料!$X1060="公司筐",N(对接源_02物料!$U1060)&lt;&gt;0)),1,0)</f>
        <v>0</v>
      </c>
      <c r="S2260">
        <f>N(S2259)+$R2260</f>
        <v>1</v>
      </c>
      <c r="T2260">
        <f>IF(AND($K2260=1,AND(对接源_02物料!$X1060="公司筐",N(对接源_02物料!$V1060)&lt;&gt;0)),1,0)</f>
        <v>0</v>
      </c>
      <c r="U2260">
        <f>N(U2259)+$T2260</f>
        <v>47</v>
      </c>
      <c r="V2260">
        <f>IF(AND($L2260=1,AND(对接源_02物料!$X1060="自备筐",N(对接源_02物料!$V1060)&lt;&gt;0)),1,0)</f>
        <v>0</v>
      </c>
      <c r="W2260">
        <f>N(W2259)+$V2260</f>
        <v>11</v>
      </c>
      <c r="X2260">
        <f>IF(AND($L2260=1,AND(对接源_02物料!$X1060="自备筐",N(对接源_02物料!$T1060)&lt;&gt;0)),1,0)</f>
        <v>0</v>
      </c>
      <c r="Y2260">
        <f>N(Y2259)+$X2260</f>
        <v>0</v>
      </c>
      <c r="Z2260">
        <f>IF(AND($M2260=1,对接源_02物料!$D1060="原料入库"),1,0)</f>
        <v>0</v>
      </c>
      <c r="AA2260">
        <f>N(AA2259)+$Z2260</f>
        <v>24</v>
      </c>
      <c r="AB2260">
        <f>IF(AND($M2260=1,LEFT(对接源_02物料!$D1060,4)="原料出库"),1,0)</f>
        <v>0</v>
      </c>
      <c r="AC2260">
        <f>N(AC2259)+$AB2260</f>
        <v>0</v>
      </c>
      <c r="AD2260">
        <f>IF(AND($M2260=1,LEFT(对接源_02物料!$D1060,4)="成品出库"),1,0)</f>
        <v>0</v>
      </c>
      <c r="AE2260">
        <f>N(AE2259)+$AD2260</f>
        <v>0</v>
      </c>
      <c r="AF2260">
        <f>IF(AND($N2260=1,AND(LEFT(对接源_02物料!$D1060,4)="包装物料",N(对接源_02物料!$K1060)&lt;&gt;0)),1,0)</f>
        <v>0</v>
      </c>
      <c r="AG2260">
        <f>N(AG2259)+$AF2260</f>
        <v>10</v>
      </c>
      <c r="AH2260">
        <f>IF(AND($N2260=1,AND(对接源_02物料!$D1060="周转筐－销售出库",N(对接源_02物料!$K1060)&lt;&gt;0)),1,0)</f>
        <v>0</v>
      </c>
      <c r="AI2260">
        <f>N(AI2259)+$AH2260</f>
        <v>0</v>
      </c>
      <c r="AL2260" t="n">
        <v>0</v>
      </c>
      <c r="AM2260">
        <f>N(AM2259)+$AL2260</f>
        <v>2</v>
      </c>
      <c r="AN2260">
        <f>""</f>
      </c>
      <c r="AO2260" t="n">
        <v>0</v>
      </c>
      <c r="AP2260">
        <f>N(AP2259)+$AO2260</f>
        <v>13</v>
      </c>
      <c r="AR2260">
        <f>IF(OR($AF2260=1,$AH2260=1),1,0)</f>
        <v>0</v>
      </c>
      <c r="AS2260">
        <f>N(AS2259)+$AR2260</f>
        <v>10</v>
      </c>
    </row>
    <row r="2261" s="127">
      <c r="A2261">
        <f>IF(对接源_02物料!$C1061="","",对接源_02物料!$C1061)</f>
      </c>
      <c r="B2261">
        <f>IF(A2261="",0,IF(MATCH(A2261,$A$4:$A$2403,0)=ROW()-3,1,0))</f>
        <v>0</v>
      </c>
      <c r="C2261">
        <f>N(C2260)+B2261</f>
        <v>26</v>
      </c>
      <c r="K2261">
        <f>IF(OR($K$1="",对接源_02物料!$C1061="",对接源_02物料!$C1061&lt;&gt;$K$1,对接源_02物料!$B1061=""),0,IF(OR(N(对接源_02物料!$B1061)&lt;$K$2,N(对接源_02物料!$B1061)&gt;$K$3),0,1))</f>
        <v>0</v>
      </c>
      <c r="L2261">
        <f>IF(OR($L$1="",对接源_02物料!$C1061="",对接源_02物料!$C1061&lt;&gt;$L$1,对接源_02物料!$B1061=""),0,IF(OR(N(对接源_02物料!$B1061)&lt;$L$2,N(对接源_02物料!$B1061)&gt;$L$3),0,1))</f>
        <v>0</v>
      </c>
      <c r="M2261">
        <f>IF(OR($M$1="",对接源_02物料!$C1061="",对接源_02物料!$C1061&lt;&gt;$M$1,对接源_02物料!$B1061=""),0,IF(OR(N(对接源_02物料!$B1061)&lt;$M$2,N(对接源_02物料!$B1061)&gt;$M$3),0,1))</f>
        <v>0</v>
      </c>
      <c r="N2261">
        <f>IF(OR($N$1="",对接源_02物料!$C1061="",对接源_02物料!$C1061&lt;&gt;$N$1,对接源_02物料!$B1061=""),0,IF(OR(N(对接源_02物料!$B1061)&lt;$N$2,N(对接源_02物料!$B1061)&gt;$N$3),0,1))</f>
        <v>0</v>
      </c>
      <c r="P2261">
        <f>IF(AND($K2261=1,AND(对接源_02物料!$X1061="公司筐",N(对接源_02物料!$T1061)&lt;&gt;0)),1,0)</f>
        <v>0</v>
      </c>
      <c r="Q2261">
        <f>N(Q2260)+$P2261</f>
        <v>14</v>
      </c>
      <c r="R2261">
        <f>IF(AND($K2261=1,AND(对接源_02物料!$X1061="公司筐",N(对接源_02物料!$U1061)&lt;&gt;0)),1,0)</f>
        <v>0</v>
      </c>
      <c r="S2261">
        <f>N(S2260)+$R2261</f>
        <v>1</v>
      </c>
      <c r="T2261">
        <f>IF(AND($K2261=1,AND(对接源_02物料!$X1061="公司筐",N(对接源_02物料!$V1061)&lt;&gt;0)),1,0)</f>
        <v>0</v>
      </c>
      <c r="U2261">
        <f>N(U2260)+$T2261</f>
        <v>47</v>
      </c>
      <c r="V2261">
        <f>IF(AND($L2261=1,AND(对接源_02物料!$X1061="自备筐",N(对接源_02物料!$V1061)&lt;&gt;0)),1,0)</f>
        <v>0</v>
      </c>
      <c r="W2261">
        <f>N(W2260)+$V2261</f>
        <v>11</v>
      </c>
      <c r="X2261">
        <f>IF(AND($L2261=1,AND(对接源_02物料!$X1061="自备筐",N(对接源_02物料!$T1061)&lt;&gt;0)),1,0)</f>
        <v>0</v>
      </c>
      <c r="Y2261">
        <f>N(Y2260)+$X2261</f>
        <v>0</v>
      </c>
      <c r="Z2261">
        <f>IF(AND($M2261=1,对接源_02物料!$D1061="原料入库"),1,0)</f>
        <v>0</v>
      </c>
      <c r="AA2261">
        <f>N(AA2260)+$Z2261</f>
        <v>24</v>
      </c>
      <c r="AB2261">
        <f>IF(AND($M2261=1,LEFT(对接源_02物料!$D1061,4)="原料出库"),1,0)</f>
        <v>0</v>
      </c>
      <c r="AC2261">
        <f>N(AC2260)+$AB2261</f>
        <v>0</v>
      </c>
      <c r="AD2261">
        <f>IF(AND($M2261=1,LEFT(对接源_02物料!$D1061,4)="成品出库"),1,0)</f>
        <v>0</v>
      </c>
      <c r="AE2261">
        <f>N(AE2260)+$AD2261</f>
        <v>0</v>
      </c>
      <c r="AF2261">
        <f>IF(AND($N2261=1,AND(LEFT(对接源_02物料!$D1061,4)="包装物料",N(对接源_02物料!$K1061)&lt;&gt;0)),1,0)</f>
        <v>0</v>
      </c>
      <c r="AG2261">
        <f>N(AG2260)+$AF2261</f>
        <v>10</v>
      </c>
      <c r="AH2261">
        <f>IF(AND($N2261=1,AND(对接源_02物料!$D1061="周转筐－销售出库",N(对接源_02物料!$K1061)&lt;&gt;0)),1,0)</f>
        <v>0</v>
      </c>
      <c r="AI2261">
        <f>N(AI2260)+$AH2261</f>
        <v>0</v>
      </c>
      <c r="AL2261" t="n">
        <v>0</v>
      </c>
      <c r="AM2261">
        <f>N(AM2260)+$AL2261</f>
        <v>2</v>
      </c>
      <c r="AN2261">
        <f>""</f>
      </c>
      <c r="AO2261" t="n">
        <v>0</v>
      </c>
      <c r="AP2261">
        <f>N(AP2260)+$AO2261</f>
        <v>13</v>
      </c>
      <c r="AR2261">
        <f>IF(OR($AF2261=1,$AH2261=1),1,0)</f>
        <v>0</v>
      </c>
      <c r="AS2261">
        <f>N(AS2260)+$AR2261</f>
        <v>10</v>
      </c>
    </row>
    <row r="2262" s="127">
      <c r="A2262">
        <f>IF(对接源_02物料!$C1062="","",对接源_02物料!$C1062)</f>
      </c>
      <c r="B2262">
        <f>IF(A2262="",0,IF(MATCH(A2262,$A$4:$A$2403,0)=ROW()-3,1,0))</f>
        <v>0</v>
      </c>
      <c r="C2262">
        <f>N(C2261)+B2262</f>
        <v>26</v>
      </c>
      <c r="K2262">
        <f>IF(OR($K$1="",对接源_02物料!$C1062="",对接源_02物料!$C1062&lt;&gt;$K$1,对接源_02物料!$B1062=""),0,IF(OR(N(对接源_02物料!$B1062)&lt;$K$2,N(对接源_02物料!$B1062)&gt;$K$3),0,1))</f>
        <v>0</v>
      </c>
      <c r="L2262">
        <f>IF(OR($L$1="",对接源_02物料!$C1062="",对接源_02物料!$C1062&lt;&gt;$L$1,对接源_02物料!$B1062=""),0,IF(OR(N(对接源_02物料!$B1062)&lt;$L$2,N(对接源_02物料!$B1062)&gt;$L$3),0,1))</f>
        <v>0</v>
      </c>
      <c r="M2262">
        <f>IF(OR($M$1="",对接源_02物料!$C1062="",对接源_02物料!$C1062&lt;&gt;$M$1,对接源_02物料!$B1062=""),0,IF(OR(N(对接源_02物料!$B1062)&lt;$M$2,N(对接源_02物料!$B1062)&gt;$M$3),0,1))</f>
        <v>0</v>
      </c>
      <c r="N2262">
        <f>IF(OR($N$1="",对接源_02物料!$C1062="",对接源_02物料!$C1062&lt;&gt;$N$1,对接源_02物料!$B1062=""),0,IF(OR(N(对接源_02物料!$B1062)&lt;$N$2,N(对接源_02物料!$B1062)&gt;$N$3),0,1))</f>
        <v>0</v>
      </c>
      <c r="P2262">
        <f>IF(AND($K2262=1,AND(对接源_02物料!$X1062="公司筐",N(对接源_02物料!$T1062)&lt;&gt;0)),1,0)</f>
        <v>0</v>
      </c>
      <c r="Q2262">
        <f>N(Q2261)+$P2262</f>
        <v>14</v>
      </c>
      <c r="R2262">
        <f>IF(AND($K2262=1,AND(对接源_02物料!$X1062="公司筐",N(对接源_02物料!$U1062)&lt;&gt;0)),1,0)</f>
        <v>0</v>
      </c>
      <c r="S2262">
        <f>N(S2261)+$R2262</f>
        <v>1</v>
      </c>
      <c r="T2262">
        <f>IF(AND($K2262=1,AND(对接源_02物料!$X1062="公司筐",N(对接源_02物料!$V1062)&lt;&gt;0)),1,0)</f>
        <v>0</v>
      </c>
      <c r="U2262">
        <f>N(U2261)+$T2262</f>
        <v>47</v>
      </c>
      <c r="V2262">
        <f>IF(AND($L2262=1,AND(对接源_02物料!$X1062="自备筐",N(对接源_02物料!$V1062)&lt;&gt;0)),1,0)</f>
        <v>0</v>
      </c>
      <c r="W2262">
        <f>N(W2261)+$V2262</f>
        <v>11</v>
      </c>
      <c r="X2262">
        <f>IF(AND($L2262=1,AND(对接源_02物料!$X1062="自备筐",N(对接源_02物料!$T1062)&lt;&gt;0)),1,0)</f>
        <v>0</v>
      </c>
      <c r="Y2262">
        <f>N(Y2261)+$X2262</f>
        <v>0</v>
      </c>
      <c r="Z2262">
        <f>IF(AND($M2262=1,对接源_02物料!$D1062="原料入库"),1,0)</f>
        <v>0</v>
      </c>
      <c r="AA2262">
        <f>N(AA2261)+$Z2262</f>
        <v>24</v>
      </c>
      <c r="AB2262">
        <f>IF(AND($M2262=1,LEFT(对接源_02物料!$D1062,4)="原料出库"),1,0)</f>
        <v>0</v>
      </c>
      <c r="AC2262">
        <f>N(AC2261)+$AB2262</f>
        <v>0</v>
      </c>
      <c r="AD2262">
        <f>IF(AND($M2262=1,LEFT(对接源_02物料!$D1062,4)="成品出库"),1,0)</f>
        <v>0</v>
      </c>
      <c r="AE2262">
        <f>N(AE2261)+$AD2262</f>
        <v>0</v>
      </c>
      <c r="AF2262">
        <f>IF(AND($N2262=1,AND(LEFT(对接源_02物料!$D1062,4)="包装物料",N(对接源_02物料!$K1062)&lt;&gt;0)),1,0)</f>
        <v>0</v>
      </c>
      <c r="AG2262">
        <f>N(AG2261)+$AF2262</f>
        <v>10</v>
      </c>
      <c r="AH2262">
        <f>IF(AND($N2262=1,AND(对接源_02物料!$D1062="周转筐－销售出库",N(对接源_02物料!$K1062)&lt;&gt;0)),1,0)</f>
        <v>0</v>
      </c>
      <c r="AI2262">
        <f>N(AI2261)+$AH2262</f>
        <v>0</v>
      </c>
      <c r="AL2262" t="n">
        <v>0</v>
      </c>
      <c r="AM2262">
        <f>N(AM2261)+$AL2262</f>
        <v>2</v>
      </c>
      <c r="AN2262">
        <f>""</f>
      </c>
      <c r="AO2262" t="n">
        <v>0</v>
      </c>
      <c r="AP2262">
        <f>N(AP2261)+$AO2262</f>
        <v>13</v>
      </c>
      <c r="AR2262">
        <f>IF(OR($AF2262=1,$AH2262=1),1,0)</f>
        <v>0</v>
      </c>
      <c r="AS2262">
        <f>N(AS2261)+$AR2262</f>
        <v>10</v>
      </c>
    </row>
    <row r="2263" s="127">
      <c r="A2263">
        <f>IF(对接源_02物料!$C1063="","",对接源_02物料!$C1063)</f>
      </c>
      <c r="B2263">
        <f>IF(A2263="",0,IF(MATCH(A2263,$A$4:$A$2403,0)=ROW()-3,1,0))</f>
        <v>0</v>
      </c>
      <c r="C2263">
        <f>N(C2262)+B2263</f>
        <v>26</v>
      </c>
      <c r="K2263">
        <f>IF(OR($K$1="",对接源_02物料!$C1063="",对接源_02物料!$C1063&lt;&gt;$K$1,对接源_02物料!$B1063=""),0,IF(OR(N(对接源_02物料!$B1063)&lt;$K$2,N(对接源_02物料!$B1063)&gt;$K$3),0,1))</f>
        <v>0</v>
      </c>
      <c r="L2263">
        <f>IF(OR($L$1="",对接源_02物料!$C1063="",对接源_02物料!$C1063&lt;&gt;$L$1,对接源_02物料!$B1063=""),0,IF(OR(N(对接源_02物料!$B1063)&lt;$L$2,N(对接源_02物料!$B1063)&gt;$L$3),0,1))</f>
        <v>0</v>
      </c>
      <c r="M2263">
        <f>IF(OR($M$1="",对接源_02物料!$C1063="",对接源_02物料!$C1063&lt;&gt;$M$1,对接源_02物料!$B1063=""),0,IF(OR(N(对接源_02物料!$B1063)&lt;$M$2,N(对接源_02物料!$B1063)&gt;$M$3),0,1))</f>
        <v>0</v>
      </c>
      <c r="N2263">
        <f>IF(OR($N$1="",对接源_02物料!$C1063="",对接源_02物料!$C1063&lt;&gt;$N$1,对接源_02物料!$B1063=""),0,IF(OR(N(对接源_02物料!$B1063)&lt;$N$2,N(对接源_02物料!$B1063)&gt;$N$3),0,1))</f>
        <v>0</v>
      </c>
      <c r="P2263">
        <f>IF(AND($K2263=1,AND(对接源_02物料!$X1063="公司筐",N(对接源_02物料!$T1063)&lt;&gt;0)),1,0)</f>
        <v>0</v>
      </c>
      <c r="Q2263">
        <f>N(Q2262)+$P2263</f>
        <v>14</v>
      </c>
      <c r="R2263">
        <f>IF(AND($K2263=1,AND(对接源_02物料!$X1063="公司筐",N(对接源_02物料!$U1063)&lt;&gt;0)),1,0)</f>
        <v>0</v>
      </c>
      <c r="S2263">
        <f>N(S2262)+$R2263</f>
        <v>1</v>
      </c>
      <c r="T2263">
        <f>IF(AND($K2263=1,AND(对接源_02物料!$X1063="公司筐",N(对接源_02物料!$V1063)&lt;&gt;0)),1,0)</f>
        <v>0</v>
      </c>
      <c r="U2263">
        <f>N(U2262)+$T2263</f>
        <v>47</v>
      </c>
      <c r="V2263">
        <f>IF(AND($L2263=1,AND(对接源_02物料!$X1063="自备筐",N(对接源_02物料!$V1063)&lt;&gt;0)),1,0)</f>
        <v>0</v>
      </c>
      <c r="W2263">
        <f>N(W2262)+$V2263</f>
        <v>11</v>
      </c>
      <c r="X2263">
        <f>IF(AND($L2263=1,AND(对接源_02物料!$X1063="自备筐",N(对接源_02物料!$T1063)&lt;&gt;0)),1,0)</f>
        <v>0</v>
      </c>
      <c r="Y2263">
        <f>N(Y2262)+$X2263</f>
        <v>0</v>
      </c>
      <c r="Z2263">
        <f>IF(AND($M2263=1,对接源_02物料!$D1063="原料入库"),1,0)</f>
        <v>0</v>
      </c>
      <c r="AA2263">
        <f>N(AA2262)+$Z2263</f>
        <v>24</v>
      </c>
      <c r="AB2263">
        <f>IF(AND($M2263=1,LEFT(对接源_02物料!$D1063,4)="原料出库"),1,0)</f>
        <v>0</v>
      </c>
      <c r="AC2263">
        <f>N(AC2262)+$AB2263</f>
        <v>0</v>
      </c>
      <c r="AD2263">
        <f>IF(AND($M2263=1,LEFT(对接源_02物料!$D1063,4)="成品出库"),1,0)</f>
        <v>0</v>
      </c>
      <c r="AE2263">
        <f>N(AE2262)+$AD2263</f>
        <v>0</v>
      </c>
      <c r="AF2263">
        <f>IF(AND($N2263=1,AND(LEFT(对接源_02物料!$D1063,4)="包装物料",N(对接源_02物料!$K1063)&lt;&gt;0)),1,0)</f>
        <v>0</v>
      </c>
      <c r="AG2263">
        <f>N(AG2262)+$AF2263</f>
        <v>10</v>
      </c>
      <c r="AH2263">
        <f>IF(AND($N2263=1,AND(对接源_02物料!$D1063="周转筐－销售出库",N(对接源_02物料!$K1063)&lt;&gt;0)),1,0)</f>
        <v>0</v>
      </c>
      <c r="AI2263">
        <f>N(AI2262)+$AH2263</f>
        <v>0</v>
      </c>
      <c r="AL2263" t="n">
        <v>0</v>
      </c>
      <c r="AM2263">
        <f>N(AM2262)+$AL2263</f>
        <v>2</v>
      </c>
      <c r="AN2263">
        <f>""</f>
      </c>
      <c r="AO2263" t="n">
        <v>0</v>
      </c>
      <c r="AP2263">
        <f>N(AP2262)+$AO2263</f>
        <v>13</v>
      </c>
      <c r="AR2263">
        <f>IF(OR($AF2263=1,$AH2263=1),1,0)</f>
        <v>0</v>
      </c>
      <c r="AS2263">
        <f>N(AS2262)+$AR2263</f>
        <v>10</v>
      </c>
    </row>
    <row r="2264" s="127">
      <c r="A2264">
        <f>IF(对接源_02物料!$C1064="","",对接源_02物料!$C1064)</f>
      </c>
      <c r="B2264">
        <f>IF(A2264="",0,IF(MATCH(A2264,$A$4:$A$2403,0)=ROW()-3,1,0))</f>
        <v>0</v>
      </c>
      <c r="C2264">
        <f>N(C2263)+B2264</f>
        <v>26</v>
      </c>
      <c r="K2264">
        <f>IF(OR($K$1="",对接源_02物料!$C1064="",对接源_02物料!$C1064&lt;&gt;$K$1,对接源_02物料!$B1064=""),0,IF(OR(N(对接源_02物料!$B1064)&lt;$K$2,N(对接源_02物料!$B1064)&gt;$K$3),0,1))</f>
        <v>0</v>
      </c>
      <c r="L2264">
        <f>IF(OR($L$1="",对接源_02物料!$C1064="",对接源_02物料!$C1064&lt;&gt;$L$1,对接源_02物料!$B1064=""),0,IF(OR(N(对接源_02物料!$B1064)&lt;$L$2,N(对接源_02物料!$B1064)&gt;$L$3),0,1))</f>
        <v>0</v>
      </c>
      <c r="M2264">
        <f>IF(OR($M$1="",对接源_02物料!$C1064="",对接源_02物料!$C1064&lt;&gt;$M$1,对接源_02物料!$B1064=""),0,IF(OR(N(对接源_02物料!$B1064)&lt;$M$2,N(对接源_02物料!$B1064)&gt;$M$3),0,1))</f>
        <v>0</v>
      </c>
      <c r="N2264">
        <f>IF(OR($N$1="",对接源_02物料!$C1064="",对接源_02物料!$C1064&lt;&gt;$N$1,对接源_02物料!$B1064=""),0,IF(OR(N(对接源_02物料!$B1064)&lt;$N$2,N(对接源_02物料!$B1064)&gt;$N$3),0,1))</f>
        <v>0</v>
      </c>
      <c r="P2264">
        <f>IF(AND($K2264=1,AND(对接源_02物料!$X1064="公司筐",N(对接源_02物料!$T1064)&lt;&gt;0)),1,0)</f>
        <v>0</v>
      </c>
      <c r="Q2264">
        <f>N(Q2263)+$P2264</f>
        <v>14</v>
      </c>
      <c r="R2264">
        <f>IF(AND($K2264=1,AND(对接源_02物料!$X1064="公司筐",N(对接源_02物料!$U1064)&lt;&gt;0)),1,0)</f>
        <v>0</v>
      </c>
      <c r="S2264">
        <f>N(S2263)+$R2264</f>
        <v>1</v>
      </c>
      <c r="T2264">
        <f>IF(AND($K2264=1,AND(对接源_02物料!$X1064="公司筐",N(对接源_02物料!$V1064)&lt;&gt;0)),1,0)</f>
        <v>0</v>
      </c>
      <c r="U2264">
        <f>N(U2263)+$T2264</f>
        <v>47</v>
      </c>
      <c r="V2264">
        <f>IF(AND($L2264=1,AND(对接源_02物料!$X1064="自备筐",N(对接源_02物料!$V1064)&lt;&gt;0)),1,0)</f>
        <v>0</v>
      </c>
      <c r="W2264">
        <f>N(W2263)+$V2264</f>
        <v>11</v>
      </c>
      <c r="X2264">
        <f>IF(AND($L2264=1,AND(对接源_02物料!$X1064="自备筐",N(对接源_02物料!$T1064)&lt;&gt;0)),1,0)</f>
        <v>0</v>
      </c>
      <c r="Y2264">
        <f>N(Y2263)+$X2264</f>
        <v>0</v>
      </c>
      <c r="Z2264">
        <f>IF(AND($M2264=1,对接源_02物料!$D1064="原料入库"),1,0)</f>
        <v>0</v>
      </c>
      <c r="AA2264">
        <f>N(AA2263)+$Z2264</f>
        <v>24</v>
      </c>
      <c r="AB2264">
        <f>IF(AND($M2264=1,LEFT(对接源_02物料!$D1064,4)="原料出库"),1,0)</f>
        <v>0</v>
      </c>
      <c r="AC2264">
        <f>N(AC2263)+$AB2264</f>
        <v>0</v>
      </c>
      <c r="AD2264">
        <f>IF(AND($M2264=1,LEFT(对接源_02物料!$D1064,4)="成品出库"),1,0)</f>
        <v>0</v>
      </c>
      <c r="AE2264">
        <f>N(AE2263)+$AD2264</f>
        <v>0</v>
      </c>
      <c r="AF2264">
        <f>IF(AND($N2264=1,AND(LEFT(对接源_02物料!$D1064,4)="包装物料",N(对接源_02物料!$K1064)&lt;&gt;0)),1,0)</f>
        <v>0</v>
      </c>
      <c r="AG2264">
        <f>N(AG2263)+$AF2264</f>
        <v>10</v>
      </c>
      <c r="AH2264">
        <f>IF(AND($N2264=1,AND(对接源_02物料!$D1064="周转筐－销售出库",N(对接源_02物料!$K1064)&lt;&gt;0)),1,0)</f>
        <v>0</v>
      </c>
      <c r="AI2264">
        <f>N(AI2263)+$AH2264</f>
        <v>0</v>
      </c>
      <c r="AL2264" t="n">
        <v>0</v>
      </c>
      <c r="AM2264">
        <f>N(AM2263)+$AL2264</f>
        <v>2</v>
      </c>
      <c r="AN2264">
        <f>""</f>
      </c>
      <c r="AO2264" t="n">
        <v>0</v>
      </c>
      <c r="AP2264">
        <f>N(AP2263)+$AO2264</f>
        <v>13</v>
      </c>
      <c r="AR2264">
        <f>IF(OR($AF2264=1,$AH2264=1),1,0)</f>
        <v>0</v>
      </c>
      <c r="AS2264">
        <f>N(AS2263)+$AR2264</f>
        <v>10</v>
      </c>
    </row>
    <row r="2265" s="127">
      <c r="A2265">
        <f>IF(对接源_02物料!$C1065="","",对接源_02物料!$C1065)</f>
      </c>
      <c r="B2265">
        <f>IF(A2265="",0,IF(MATCH(A2265,$A$4:$A$2403,0)=ROW()-3,1,0))</f>
        <v>0</v>
      </c>
      <c r="C2265">
        <f>N(C2264)+B2265</f>
        <v>26</v>
      </c>
      <c r="K2265">
        <f>IF(OR($K$1="",对接源_02物料!$C1065="",对接源_02物料!$C1065&lt;&gt;$K$1,对接源_02物料!$B1065=""),0,IF(OR(N(对接源_02物料!$B1065)&lt;$K$2,N(对接源_02物料!$B1065)&gt;$K$3),0,1))</f>
        <v>0</v>
      </c>
      <c r="L2265">
        <f>IF(OR($L$1="",对接源_02物料!$C1065="",对接源_02物料!$C1065&lt;&gt;$L$1,对接源_02物料!$B1065=""),0,IF(OR(N(对接源_02物料!$B1065)&lt;$L$2,N(对接源_02物料!$B1065)&gt;$L$3),0,1))</f>
        <v>0</v>
      </c>
      <c r="M2265">
        <f>IF(OR($M$1="",对接源_02物料!$C1065="",对接源_02物料!$C1065&lt;&gt;$M$1,对接源_02物料!$B1065=""),0,IF(OR(N(对接源_02物料!$B1065)&lt;$M$2,N(对接源_02物料!$B1065)&gt;$M$3),0,1))</f>
        <v>0</v>
      </c>
      <c r="N2265">
        <f>IF(OR($N$1="",对接源_02物料!$C1065="",对接源_02物料!$C1065&lt;&gt;$N$1,对接源_02物料!$B1065=""),0,IF(OR(N(对接源_02物料!$B1065)&lt;$N$2,N(对接源_02物料!$B1065)&gt;$N$3),0,1))</f>
        <v>0</v>
      </c>
      <c r="P2265">
        <f>IF(AND($K2265=1,AND(对接源_02物料!$X1065="公司筐",N(对接源_02物料!$T1065)&lt;&gt;0)),1,0)</f>
        <v>0</v>
      </c>
      <c r="Q2265">
        <f>N(Q2264)+$P2265</f>
        <v>14</v>
      </c>
      <c r="R2265">
        <f>IF(AND($K2265=1,AND(对接源_02物料!$X1065="公司筐",N(对接源_02物料!$U1065)&lt;&gt;0)),1,0)</f>
        <v>0</v>
      </c>
      <c r="S2265">
        <f>N(S2264)+$R2265</f>
        <v>1</v>
      </c>
      <c r="T2265">
        <f>IF(AND($K2265=1,AND(对接源_02物料!$X1065="公司筐",N(对接源_02物料!$V1065)&lt;&gt;0)),1,0)</f>
        <v>0</v>
      </c>
      <c r="U2265">
        <f>N(U2264)+$T2265</f>
        <v>47</v>
      </c>
      <c r="V2265">
        <f>IF(AND($L2265=1,AND(对接源_02物料!$X1065="自备筐",N(对接源_02物料!$V1065)&lt;&gt;0)),1,0)</f>
        <v>0</v>
      </c>
      <c r="W2265">
        <f>N(W2264)+$V2265</f>
        <v>11</v>
      </c>
      <c r="X2265">
        <f>IF(AND($L2265=1,AND(对接源_02物料!$X1065="自备筐",N(对接源_02物料!$T1065)&lt;&gt;0)),1,0)</f>
        <v>0</v>
      </c>
      <c r="Y2265">
        <f>N(Y2264)+$X2265</f>
        <v>0</v>
      </c>
      <c r="Z2265">
        <f>IF(AND($M2265=1,对接源_02物料!$D1065="原料入库"),1,0)</f>
        <v>0</v>
      </c>
      <c r="AA2265">
        <f>N(AA2264)+$Z2265</f>
        <v>24</v>
      </c>
      <c r="AB2265">
        <f>IF(AND($M2265=1,LEFT(对接源_02物料!$D1065,4)="原料出库"),1,0)</f>
        <v>0</v>
      </c>
      <c r="AC2265">
        <f>N(AC2264)+$AB2265</f>
        <v>0</v>
      </c>
      <c r="AD2265">
        <f>IF(AND($M2265=1,LEFT(对接源_02物料!$D1065,4)="成品出库"),1,0)</f>
        <v>0</v>
      </c>
      <c r="AE2265">
        <f>N(AE2264)+$AD2265</f>
        <v>0</v>
      </c>
      <c r="AF2265">
        <f>IF(AND($N2265=1,AND(LEFT(对接源_02物料!$D1065,4)="包装物料",N(对接源_02物料!$K1065)&lt;&gt;0)),1,0)</f>
        <v>0</v>
      </c>
      <c r="AG2265">
        <f>N(AG2264)+$AF2265</f>
        <v>10</v>
      </c>
      <c r="AH2265">
        <f>IF(AND($N2265=1,AND(对接源_02物料!$D1065="周转筐－销售出库",N(对接源_02物料!$K1065)&lt;&gt;0)),1,0)</f>
        <v>0</v>
      </c>
      <c r="AI2265">
        <f>N(AI2264)+$AH2265</f>
        <v>0</v>
      </c>
      <c r="AL2265" t="n">
        <v>0</v>
      </c>
      <c r="AM2265">
        <f>N(AM2264)+$AL2265</f>
        <v>2</v>
      </c>
      <c r="AN2265">
        <f>""</f>
      </c>
      <c r="AO2265" t="n">
        <v>0</v>
      </c>
      <c r="AP2265">
        <f>N(AP2264)+$AO2265</f>
        <v>13</v>
      </c>
      <c r="AR2265">
        <f>IF(OR($AF2265=1,$AH2265=1),1,0)</f>
        <v>0</v>
      </c>
      <c r="AS2265">
        <f>N(AS2264)+$AR2265</f>
        <v>10</v>
      </c>
    </row>
    <row r="2266" s="127">
      <c r="A2266">
        <f>IF(对接源_02物料!$C1066="","",对接源_02物料!$C1066)</f>
      </c>
      <c r="B2266">
        <f>IF(A2266="",0,IF(MATCH(A2266,$A$4:$A$2403,0)=ROW()-3,1,0))</f>
        <v>0</v>
      </c>
      <c r="C2266">
        <f>N(C2265)+B2266</f>
        <v>26</v>
      </c>
      <c r="K2266">
        <f>IF(OR($K$1="",对接源_02物料!$C1066="",对接源_02物料!$C1066&lt;&gt;$K$1,对接源_02物料!$B1066=""),0,IF(OR(N(对接源_02物料!$B1066)&lt;$K$2,N(对接源_02物料!$B1066)&gt;$K$3),0,1))</f>
        <v>0</v>
      </c>
      <c r="L2266">
        <f>IF(OR($L$1="",对接源_02物料!$C1066="",对接源_02物料!$C1066&lt;&gt;$L$1,对接源_02物料!$B1066=""),0,IF(OR(N(对接源_02物料!$B1066)&lt;$L$2,N(对接源_02物料!$B1066)&gt;$L$3),0,1))</f>
        <v>0</v>
      </c>
      <c r="M2266">
        <f>IF(OR($M$1="",对接源_02物料!$C1066="",对接源_02物料!$C1066&lt;&gt;$M$1,对接源_02物料!$B1066=""),0,IF(OR(N(对接源_02物料!$B1066)&lt;$M$2,N(对接源_02物料!$B1066)&gt;$M$3),0,1))</f>
        <v>0</v>
      </c>
      <c r="N2266">
        <f>IF(OR($N$1="",对接源_02物料!$C1066="",对接源_02物料!$C1066&lt;&gt;$N$1,对接源_02物料!$B1066=""),0,IF(OR(N(对接源_02物料!$B1066)&lt;$N$2,N(对接源_02物料!$B1066)&gt;$N$3),0,1))</f>
        <v>0</v>
      </c>
      <c r="P2266">
        <f>IF(AND($K2266=1,AND(对接源_02物料!$X1066="公司筐",N(对接源_02物料!$T1066)&lt;&gt;0)),1,0)</f>
        <v>0</v>
      </c>
      <c r="Q2266">
        <f>N(Q2265)+$P2266</f>
        <v>14</v>
      </c>
      <c r="R2266">
        <f>IF(AND($K2266=1,AND(对接源_02物料!$X1066="公司筐",N(对接源_02物料!$U1066)&lt;&gt;0)),1,0)</f>
        <v>0</v>
      </c>
      <c r="S2266">
        <f>N(S2265)+$R2266</f>
        <v>1</v>
      </c>
      <c r="T2266">
        <f>IF(AND($K2266=1,AND(对接源_02物料!$X1066="公司筐",N(对接源_02物料!$V1066)&lt;&gt;0)),1,0)</f>
        <v>0</v>
      </c>
      <c r="U2266">
        <f>N(U2265)+$T2266</f>
        <v>47</v>
      </c>
      <c r="V2266">
        <f>IF(AND($L2266=1,AND(对接源_02物料!$X1066="自备筐",N(对接源_02物料!$V1066)&lt;&gt;0)),1,0)</f>
        <v>0</v>
      </c>
      <c r="W2266">
        <f>N(W2265)+$V2266</f>
        <v>11</v>
      </c>
      <c r="X2266">
        <f>IF(AND($L2266=1,AND(对接源_02物料!$X1066="自备筐",N(对接源_02物料!$T1066)&lt;&gt;0)),1,0)</f>
        <v>0</v>
      </c>
      <c r="Y2266">
        <f>N(Y2265)+$X2266</f>
        <v>0</v>
      </c>
      <c r="Z2266">
        <f>IF(AND($M2266=1,对接源_02物料!$D1066="原料入库"),1,0)</f>
        <v>0</v>
      </c>
      <c r="AA2266">
        <f>N(AA2265)+$Z2266</f>
        <v>24</v>
      </c>
      <c r="AB2266">
        <f>IF(AND($M2266=1,LEFT(对接源_02物料!$D1066,4)="原料出库"),1,0)</f>
        <v>0</v>
      </c>
      <c r="AC2266">
        <f>N(AC2265)+$AB2266</f>
        <v>0</v>
      </c>
      <c r="AD2266">
        <f>IF(AND($M2266=1,LEFT(对接源_02物料!$D1066,4)="成品出库"),1,0)</f>
        <v>0</v>
      </c>
      <c r="AE2266">
        <f>N(AE2265)+$AD2266</f>
        <v>0</v>
      </c>
      <c r="AF2266">
        <f>IF(AND($N2266=1,AND(LEFT(对接源_02物料!$D1066,4)="包装物料",N(对接源_02物料!$K1066)&lt;&gt;0)),1,0)</f>
        <v>0</v>
      </c>
      <c r="AG2266">
        <f>N(AG2265)+$AF2266</f>
        <v>10</v>
      </c>
      <c r="AH2266">
        <f>IF(AND($N2266=1,AND(对接源_02物料!$D1066="周转筐－销售出库",N(对接源_02物料!$K1066)&lt;&gt;0)),1,0)</f>
        <v>0</v>
      </c>
      <c r="AI2266">
        <f>N(AI2265)+$AH2266</f>
        <v>0</v>
      </c>
      <c r="AL2266" t="n">
        <v>0</v>
      </c>
      <c r="AM2266">
        <f>N(AM2265)+$AL2266</f>
        <v>2</v>
      </c>
      <c r="AN2266">
        <f>""</f>
      </c>
      <c r="AO2266" t="n">
        <v>0</v>
      </c>
      <c r="AP2266">
        <f>N(AP2265)+$AO2266</f>
        <v>13</v>
      </c>
      <c r="AR2266">
        <f>IF(OR($AF2266=1,$AH2266=1),1,0)</f>
        <v>0</v>
      </c>
      <c r="AS2266">
        <f>N(AS2265)+$AR2266</f>
        <v>10</v>
      </c>
    </row>
    <row r="2267" s="127">
      <c r="A2267">
        <f>IF(对接源_02物料!$C1067="","",对接源_02物料!$C1067)</f>
      </c>
      <c r="B2267">
        <f>IF(A2267="",0,IF(MATCH(A2267,$A$4:$A$2403,0)=ROW()-3,1,0))</f>
        <v>0</v>
      </c>
      <c r="C2267">
        <f>N(C2266)+B2267</f>
        <v>26</v>
      </c>
      <c r="K2267">
        <f>IF(OR($K$1="",对接源_02物料!$C1067="",对接源_02物料!$C1067&lt;&gt;$K$1,对接源_02物料!$B1067=""),0,IF(OR(N(对接源_02物料!$B1067)&lt;$K$2,N(对接源_02物料!$B1067)&gt;$K$3),0,1))</f>
        <v>0</v>
      </c>
      <c r="L2267">
        <f>IF(OR($L$1="",对接源_02物料!$C1067="",对接源_02物料!$C1067&lt;&gt;$L$1,对接源_02物料!$B1067=""),0,IF(OR(N(对接源_02物料!$B1067)&lt;$L$2,N(对接源_02物料!$B1067)&gt;$L$3),0,1))</f>
        <v>0</v>
      </c>
      <c r="M2267">
        <f>IF(OR($M$1="",对接源_02物料!$C1067="",对接源_02物料!$C1067&lt;&gt;$M$1,对接源_02物料!$B1067=""),0,IF(OR(N(对接源_02物料!$B1067)&lt;$M$2,N(对接源_02物料!$B1067)&gt;$M$3),0,1))</f>
        <v>0</v>
      </c>
      <c r="N2267">
        <f>IF(OR($N$1="",对接源_02物料!$C1067="",对接源_02物料!$C1067&lt;&gt;$N$1,对接源_02物料!$B1067=""),0,IF(OR(N(对接源_02物料!$B1067)&lt;$N$2,N(对接源_02物料!$B1067)&gt;$N$3),0,1))</f>
        <v>0</v>
      </c>
      <c r="P2267">
        <f>IF(AND($K2267=1,AND(对接源_02物料!$X1067="公司筐",N(对接源_02物料!$T1067)&lt;&gt;0)),1,0)</f>
        <v>0</v>
      </c>
      <c r="Q2267">
        <f>N(Q2266)+$P2267</f>
        <v>14</v>
      </c>
      <c r="R2267">
        <f>IF(AND($K2267=1,AND(对接源_02物料!$X1067="公司筐",N(对接源_02物料!$U1067)&lt;&gt;0)),1,0)</f>
        <v>0</v>
      </c>
      <c r="S2267">
        <f>N(S2266)+$R2267</f>
        <v>1</v>
      </c>
      <c r="T2267">
        <f>IF(AND($K2267=1,AND(对接源_02物料!$X1067="公司筐",N(对接源_02物料!$V1067)&lt;&gt;0)),1,0)</f>
        <v>0</v>
      </c>
      <c r="U2267">
        <f>N(U2266)+$T2267</f>
        <v>47</v>
      </c>
      <c r="V2267">
        <f>IF(AND($L2267=1,AND(对接源_02物料!$X1067="自备筐",N(对接源_02物料!$V1067)&lt;&gt;0)),1,0)</f>
        <v>0</v>
      </c>
      <c r="W2267">
        <f>N(W2266)+$V2267</f>
        <v>11</v>
      </c>
      <c r="X2267">
        <f>IF(AND($L2267=1,AND(对接源_02物料!$X1067="自备筐",N(对接源_02物料!$T1067)&lt;&gt;0)),1,0)</f>
        <v>0</v>
      </c>
      <c r="Y2267">
        <f>N(Y2266)+$X2267</f>
        <v>0</v>
      </c>
      <c r="Z2267">
        <f>IF(AND($M2267=1,对接源_02物料!$D1067="原料入库"),1,0)</f>
        <v>0</v>
      </c>
      <c r="AA2267">
        <f>N(AA2266)+$Z2267</f>
        <v>24</v>
      </c>
      <c r="AB2267">
        <f>IF(AND($M2267=1,LEFT(对接源_02物料!$D1067,4)="原料出库"),1,0)</f>
        <v>0</v>
      </c>
      <c r="AC2267">
        <f>N(AC2266)+$AB2267</f>
        <v>0</v>
      </c>
      <c r="AD2267">
        <f>IF(AND($M2267=1,LEFT(对接源_02物料!$D1067,4)="成品出库"),1,0)</f>
        <v>0</v>
      </c>
      <c r="AE2267">
        <f>N(AE2266)+$AD2267</f>
        <v>0</v>
      </c>
      <c r="AF2267">
        <f>IF(AND($N2267=1,AND(LEFT(对接源_02物料!$D1067,4)="包装物料",N(对接源_02物料!$K1067)&lt;&gt;0)),1,0)</f>
        <v>0</v>
      </c>
      <c r="AG2267">
        <f>N(AG2266)+$AF2267</f>
        <v>10</v>
      </c>
      <c r="AH2267">
        <f>IF(AND($N2267=1,AND(对接源_02物料!$D1067="周转筐－销售出库",N(对接源_02物料!$K1067)&lt;&gt;0)),1,0)</f>
        <v>0</v>
      </c>
      <c r="AI2267">
        <f>N(AI2266)+$AH2267</f>
        <v>0</v>
      </c>
      <c r="AL2267" t="n">
        <v>0</v>
      </c>
      <c r="AM2267">
        <f>N(AM2266)+$AL2267</f>
        <v>2</v>
      </c>
      <c r="AN2267">
        <f>""</f>
      </c>
      <c r="AO2267" t="n">
        <v>0</v>
      </c>
      <c r="AP2267">
        <f>N(AP2266)+$AO2267</f>
        <v>13</v>
      </c>
      <c r="AR2267">
        <f>IF(OR($AF2267=1,$AH2267=1),1,0)</f>
        <v>0</v>
      </c>
      <c r="AS2267">
        <f>N(AS2266)+$AR2267</f>
        <v>10</v>
      </c>
    </row>
    <row r="2268" s="127">
      <c r="A2268">
        <f>IF(对接源_02物料!$C1068="","",对接源_02物料!$C1068)</f>
      </c>
      <c r="B2268">
        <f>IF(A2268="",0,IF(MATCH(A2268,$A$4:$A$2403,0)=ROW()-3,1,0))</f>
        <v>0</v>
      </c>
      <c r="C2268">
        <f>N(C2267)+B2268</f>
        <v>26</v>
      </c>
      <c r="K2268">
        <f>IF(OR($K$1="",对接源_02物料!$C1068="",对接源_02物料!$C1068&lt;&gt;$K$1,对接源_02物料!$B1068=""),0,IF(OR(N(对接源_02物料!$B1068)&lt;$K$2,N(对接源_02物料!$B1068)&gt;$K$3),0,1))</f>
        <v>0</v>
      </c>
      <c r="L2268">
        <f>IF(OR($L$1="",对接源_02物料!$C1068="",对接源_02物料!$C1068&lt;&gt;$L$1,对接源_02物料!$B1068=""),0,IF(OR(N(对接源_02物料!$B1068)&lt;$L$2,N(对接源_02物料!$B1068)&gt;$L$3),0,1))</f>
        <v>0</v>
      </c>
      <c r="M2268">
        <f>IF(OR($M$1="",对接源_02物料!$C1068="",对接源_02物料!$C1068&lt;&gt;$M$1,对接源_02物料!$B1068=""),0,IF(OR(N(对接源_02物料!$B1068)&lt;$M$2,N(对接源_02物料!$B1068)&gt;$M$3),0,1))</f>
        <v>0</v>
      </c>
      <c r="N2268">
        <f>IF(OR($N$1="",对接源_02物料!$C1068="",对接源_02物料!$C1068&lt;&gt;$N$1,对接源_02物料!$B1068=""),0,IF(OR(N(对接源_02物料!$B1068)&lt;$N$2,N(对接源_02物料!$B1068)&gt;$N$3),0,1))</f>
        <v>0</v>
      </c>
      <c r="P2268">
        <f>IF(AND($K2268=1,AND(对接源_02物料!$X1068="公司筐",N(对接源_02物料!$T1068)&lt;&gt;0)),1,0)</f>
        <v>0</v>
      </c>
      <c r="Q2268">
        <f>N(Q2267)+$P2268</f>
        <v>14</v>
      </c>
      <c r="R2268">
        <f>IF(AND($K2268=1,AND(对接源_02物料!$X1068="公司筐",N(对接源_02物料!$U1068)&lt;&gt;0)),1,0)</f>
        <v>0</v>
      </c>
      <c r="S2268">
        <f>N(S2267)+$R2268</f>
        <v>1</v>
      </c>
      <c r="T2268">
        <f>IF(AND($K2268=1,AND(对接源_02物料!$X1068="公司筐",N(对接源_02物料!$V1068)&lt;&gt;0)),1,0)</f>
        <v>0</v>
      </c>
      <c r="U2268">
        <f>N(U2267)+$T2268</f>
        <v>47</v>
      </c>
      <c r="V2268">
        <f>IF(AND($L2268=1,AND(对接源_02物料!$X1068="自备筐",N(对接源_02物料!$V1068)&lt;&gt;0)),1,0)</f>
        <v>0</v>
      </c>
      <c r="W2268">
        <f>N(W2267)+$V2268</f>
        <v>11</v>
      </c>
      <c r="X2268">
        <f>IF(AND($L2268=1,AND(对接源_02物料!$X1068="自备筐",N(对接源_02物料!$T1068)&lt;&gt;0)),1,0)</f>
        <v>0</v>
      </c>
      <c r="Y2268">
        <f>N(Y2267)+$X2268</f>
        <v>0</v>
      </c>
      <c r="Z2268">
        <f>IF(AND($M2268=1,对接源_02物料!$D1068="原料入库"),1,0)</f>
        <v>0</v>
      </c>
      <c r="AA2268">
        <f>N(AA2267)+$Z2268</f>
        <v>24</v>
      </c>
      <c r="AB2268">
        <f>IF(AND($M2268=1,LEFT(对接源_02物料!$D1068,4)="原料出库"),1,0)</f>
        <v>0</v>
      </c>
      <c r="AC2268">
        <f>N(AC2267)+$AB2268</f>
        <v>0</v>
      </c>
      <c r="AD2268">
        <f>IF(AND($M2268=1,LEFT(对接源_02物料!$D1068,4)="成品出库"),1,0)</f>
        <v>0</v>
      </c>
      <c r="AE2268">
        <f>N(AE2267)+$AD2268</f>
        <v>0</v>
      </c>
      <c r="AF2268">
        <f>IF(AND($N2268=1,AND(LEFT(对接源_02物料!$D1068,4)="包装物料",N(对接源_02物料!$K1068)&lt;&gt;0)),1,0)</f>
        <v>0</v>
      </c>
      <c r="AG2268">
        <f>N(AG2267)+$AF2268</f>
        <v>10</v>
      </c>
      <c r="AH2268">
        <f>IF(AND($N2268=1,AND(对接源_02物料!$D1068="周转筐－销售出库",N(对接源_02物料!$K1068)&lt;&gt;0)),1,0)</f>
        <v>0</v>
      </c>
      <c r="AI2268">
        <f>N(AI2267)+$AH2268</f>
        <v>0</v>
      </c>
      <c r="AL2268" t="n">
        <v>0</v>
      </c>
      <c r="AM2268">
        <f>N(AM2267)+$AL2268</f>
        <v>2</v>
      </c>
      <c r="AN2268">
        <f>""</f>
      </c>
      <c r="AO2268" t="n">
        <v>0</v>
      </c>
      <c r="AP2268">
        <f>N(AP2267)+$AO2268</f>
        <v>13</v>
      </c>
      <c r="AR2268">
        <f>IF(OR($AF2268=1,$AH2268=1),1,0)</f>
        <v>0</v>
      </c>
      <c r="AS2268">
        <f>N(AS2267)+$AR2268</f>
        <v>10</v>
      </c>
    </row>
    <row r="2269" s="127">
      <c r="A2269">
        <f>IF(对接源_02物料!$C1069="","",对接源_02物料!$C1069)</f>
      </c>
      <c r="B2269">
        <f>IF(A2269="",0,IF(MATCH(A2269,$A$4:$A$2403,0)=ROW()-3,1,0))</f>
        <v>0</v>
      </c>
      <c r="C2269">
        <f>N(C2268)+B2269</f>
        <v>26</v>
      </c>
      <c r="K2269">
        <f>IF(OR($K$1="",对接源_02物料!$C1069="",对接源_02物料!$C1069&lt;&gt;$K$1,对接源_02物料!$B1069=""),0,IF(OR(N(对接源_02物料!$B1069)&lt;$K$2,N(对接源_02物料!$B1069)&gt;$K$3),0,1))</f>
        <v>0</v>
      </c>
      <c r="L2269">
        <f>IF(OR($L$1="",对接源_02物料!$C1069="",对接源_02物料!$C1069&lt;&gt;$L$1,对接源_02物料!$B1069=""),0,IF(OR(N(对接源_02物料!$B1069)&lt;$L$2,N(对接源_02物料!$B1069)&gt;$L$3),0,1))</f>
        <v>0</v>
      </c>
      <c r="M2269">
        <f>IF(OR($M$1="",对接源_02物料!$C1069="",对接源_02物料!$C1069&lt;&gt;$M$1,对接源_02物料!$B1069=""),0,IF(OR(N(对接源_02物料!$B1069)&lt;$M$2,N(对接源_02物料!$B1069)&gt;$M$3),0,1))</f>
        <v>0</v>
      </c>
      <c r="N2269">
        <f>IF(OR($N$1="",对接源_02物料!$C1069="",对接源_02物料!$C1069&lt;&gt;$N$1,对接源_02物料!$B1069=""),0,IF(OR(N(对接源_02物料!$B1069)&lt;$N$2,N(对接源_02物料!$B1069)&gt;$N$3),0,1))</f>
        <v>0</v>
      </c>
      <c r="P2269">
        <f>IF(AND($K2269=1,AND(对接源_02物料!$X1069="公司筐",N(对接源_02物料!$T1069)&lt;&gt;0)),1,0)</f>
        <v>0</v>
      </c>
      <c r="Q2269">
        <f>N(Q2268)+$P2269</f>
        <v>14</v>
      </c>
      <c r="R2269">
        <f>IF(AND($K2269=1,AND(对接源_02物料!$X1069="公司筐",N(对接源_02物料!$U1069)&lt;&gt;0)),1,0)</f>
        <v>0</v>
      </c>
      <c r="S2269">
        <f>N(S2268)+$R2269</f>
        <v>1</v>
      </c>
      <c r="T2269">
        <f>IF(AND($K2269=1,AND(对接源_02物料!$X1069="公司筐",N(对接源_02物料!$V1069)&lt;&gt;0)),1,0)</f>
        <v>0</v>
      </c>
      <c r="U2269">
        <f>N(U2268)+$T2269</f>
        <v>47</v>
      </c>
      <c r="V2269">
        <f>IF(AND($L2269=1,AND(对接源_02物料!$X1069="自备筐",N(对接源_02物料!$V1069)&lt;&gt;0)),1,0)</f>
        <v>0</v>
      </c>
      <c r="W2269">
        <f>N(W2268)+$V2269</f>
        <v>11</v>
      </c>
      <c r="X2269">
        <f>IF(AND($L2269=1,AND(对接源_02物料!$X1069="自备筐",N(对接源_02物料!$T1069)&lt;&gt;0)),1,0)</f>
        <v>0</v>
      </c>
      <c r="Y2269">
        <f>N(Y2268)+$X2269</f>
        <v>0</v>
      </c>
      <c r="Z2269">
        <f>IF(AND($M2269=1,对接源_02物料!$D1069="原料入库"),1,0)</f>
        <v>0</v>
      </c>
      <c r="AA2269">
        <f>N(AA2268)+$Z2269</f>
        <v>24</v>
      </c>
      <c r="AB2269">
        <f>IF(AND($M2269=1,LEFT(对接源_02物料!$D1069,4)="原料出库"),1,0)</f>
        <v>0</v>
      </c>
      <c r="AC2269">
        <f>N(AC2268)+$AB2269</f>
        <v>0</v>
      </c>
      <c r="AD2269">
        <f>IF(AND($M2269=1,LEFT(对接源_02物料!$D1069,4)="成品出库"),1,0)</f>
        <v>0</v>
      </c>
      <c r="AE2269">
        <f>N(AE2268)+$AD2269</f>
        <v>0</v>
      </c>
      <c r="AF2269">
        <f>IF(AND($N2269=1,AND(LEFT(对接源_02物料!$D1069,4)="包装物料",N(对接源_02物料!$K1069)&lt;&gt;0)),1,0)</f>
        <v>0</v>
      </c>
      <c r="AG2269">
        <f>N(AG2268)+$AF2269</f>
        <v>10</v>
      </c>
      <c r="AH2269">
        <f>IF(AND($N2269=1,AND(对接源_02物料!$D1069="周转筐－销售出库",N(对接源_02物料!$K1069)&lt;&gt;0)),1,0)</f>
        <v>0</v>
      </c>
      <c r="AI2269">
        <f>N(AI2268)+$AH2269</f>
        <v>0</v>
      </c>
      <c r="AL2269" t="n">
        <v>0</v>
      </c>
      <c r="AM2269">
        <f>N(AM2268)+$AL2269</f>
        <v>2</v>
      </c>
      <c r="AN2269">
        <f>""</f>
      </c>
      <c r="AO2269" t="n">
        <v>0</v>
      </c>
      <c r="AP2269">
        <f>N(AP2268)+$AO2269</f>
        <v>13</v>
      </c>
      <c r="AR2269">
        <f>IF(OR($AF2269=1,$AH2269=1),1,0)</f>
        <v>0</v>
      </c>
      <c r="AS2269">
        <f>N(AS2268)+$AR2269</f>
        <v>10</v>
      </c>
    </row>
    <row r="2270" s="127">
      <c r="A2270">
        <f>IF(对接源_02物料!$C1070="","",对接源_02物料!$C1070)</f>
      </c>
      <c r="B2270">
        <f>IF(A2270="",0,IF(MATCH(A2270,$A$4:$A$2403,0)=ROW()-3,1,0))</f>
        <v>0</v>
      </c>
      <c r="C2270">
        <f>N(C2269)+B2270</f>
        <v>26</v>
      </c>
      <c r="K2270">
        <f>IF(OR($K$1="",对接源_02物料!$C1070="",对接源_02物料!$C1070&lt;&gt;$K$1,对接源_02物料!$B1070=""),0,IF(OR(N(对接源_02物料!$B1070)&lt;$K$2,N(对接源_02物料!$B1070)&gt;$K$3),0,1))</f>
        <v>0</v>
      </c>
      <c r="L2270">
        <f>IF(OR($L$1="",对接源_02物料!$C1070="",对接源_02物料!$C1070&lt;&gt;$L$1,对接源_02物料!$B1070=""),0,IF(OR(N(对接源_02物料!$B1070)&lt;$L$2,N(对接源_02物料!$B1070)&gt;$L$3),0,1))</f>
        <v>0</v>
      </c>
      <c r="M2270">
        <f>IF(OR($M$1="",对接源_02物料!$C1070="",对接源_02物料!$C1070&lt;&gt;$M$1,对接源_02物料!$B1070=""),0,IF(OR(N(对接源_02物料!$B1070)&lt;$M$2,N(对接源_02物料!$B1070)&gt;$M$3),0,1))</f>
        <v>0</v>
      </c>
      <c r="N2270">
        <f>IF(OR($N$1="",对接源_02物料!$C1070="",对接源_02物料!$C1070&lt;&gt;$N$1,对接源_02物料!$B1070=""),0,IF(OR(N(对接源_02物料!$B1070)&lt;$N$2,N(对接源_02物料!$B1070)&gt;$N$3),0,1))</f>
        <v>0</v>
      </c>
      <c r="P2270">
        <f>IF(AND($K2270=1,AND(对接源_02物料!$X1070="公司筐",N(对接源_02物料!$T1070)&lt;&gt;0)),1,0)</f>
        <v>0</v>
      </c>
      <c r="Q2270">
        <f>N(Q2269)+$P2270</f>
        <v>14</v>
      </c>
      <c r="R2270">
        <f>IF(AND($K2270=1,AND(对接源_02物料!$X1070="公司筐",N(对接源_02物料!$U1070)&lt;&gt;0)),1,0)</f>
        <v>0</v>
      </c>
      <c r="S2270">
        <f>N(S2269)+$R2270</f>
        <v>1</v>
      </c>
      <c r="T2270">
        <f>IF(AND($K2270=1,AND(对接源_02物料!$X1070="公司筐",N(对接源_02物料!$V1070)&lt;&gt;0)),1,0)</f>
        <v>0</v>
      </c>
      <c r="U2270">
        <f>N(U2269)+$T2270</f>
        <v>47</v>
      </c>
      <c r="V2270">
        <f>IF(AND($L2270=1,AND(对接源_02物料!$X1070="自备筐",N(对接源_02物料!$V1070)&lt;&gt;0)),1,0)</f>
        <v>0</v>
      </c>
      <c r="W2270">
        <f>N(W2269)+$V2270</f>
        <v>11</v>
      </c>
      <c r="X2270">
        <f>IF(AND($L2270=1,AND(对接源_02物料!$X1070="自备筐",N(对接源_02物料!$T1070)&lt;&gt;0)),1,0)</f>
        <v>0</v>
      </c>
      <c r="Y2270">
        <f>N(Y2269)+$X2270</f>
        <v>0</v>
      </c>
      <c r="Z2270">
        <f>IF(AND($M2270=1,对接源_02物料!$D1070="原料入库"),1,0)</f>
        <v>0</v>
      </c>
      <c r="AA2270">
        <f>N(AA2269)+$Z2270</f>
        <v>24</v>
      </c>
      <c r="AB2270">
        <f>IF(AND($M2270=1,LEFT(对接源_02物料!$D1070,4)="原料出库"),1,0)</f>
        <v>0</v>
      </c>
      <c r="AC2270">
        <f>N(AC2269)+$AB2270</f>
        <v>0</v>
      </c>
      <c r="AD2270">
        <f>IF(AND($M2270=1,LEFT(对接源_02物料!$D1070,4)="成品出库"),1,0)</f>
        <v>0</v>
      </c>
      <c r="AE2270">
        <f>N(AE2269)+$AD2270</f>
        <v>0</v>
      </c>
      <c r="AF2270">
        <f>IF(AND($N2270=1,AND(LEFT(对接源_02物料!$D1070,4)="包装物料",N(对接源_02物料!$K1070)&lt;&gt;0)),1,0)</f>
        <v>0</v>
      </c>
      <c r="AG2270">
        <f>N(AG2269)+$AF2270</f>
        <v>10</v>
      </c>
      <c r="AH2270">
        <f>IF(AND($N2270=1,AND(对接源_02物料!$D1070="周转筐－销售出库",N(对接源_02物料!$K1070)&lt;&gt;0)),1,0)</f>
        <v>0</v>
      </c>
      <c r="AI2270">
        <f>N(AI2269)+$AH2270</f>
        <v>0</v>
      </c>
      <c r="AL2270" t="n">
        <v>0</v>
      </c>
      <c r="AM2270">
        <f>N(AM2269)+$AL2270</f>
        <v>2</v>
      </c>
      <c r="AN2270">
        <f>""</f>
      </c>
      <c r="AO2270" t="n">
        <v>0</v>
      </c>
      <c r="AP2270">
        <f>N(AP2269)+$AO2270</f>
        <v>13</v>
      </c>
      <c r="AR2270">
        <f>IF(OR($AF2270=1,$AH2270=1),1,0)</f>
        <v>0</v>
      </c>
      <c r="AS2270">
        <f>N(AS2269)+$AR2270</f>
        <v>10</v>
      </c>
    </row>
    <row r="2271" s="127">
      <c r="A2271">
        <f>IF(对接源_02物料!$C1071="","",对接源_02物料!$C1071)</f>
      </c>
      <c r="B2271">
        <f>IF(A2271="",0,IF(MATCH(A2271,$A$4:$A$2403,0)=ROW()-3,1,0))</f>
        <v>0</v>
      </c>
      <c r="C2271">
        <f>N(C2270)+B2271</f>
        <v>26</v>
      </c>
      <c r="K2271">
        <f>IF(OR($K$1="",对接源_02物料!$C1071="",对接源_02物料!$C1071&lt;&gt;$K$1,对接源_02物料!$B1071=""),0,IF(OR(N(对接源_02物料!$B1071)&lt;$K$2,N(对接源_02物料!$B1071)&gt;$K$3),0,1))</f>
        <v>0</v>
      </c>
      <c r="L2271">
        <f>IF(OR($L$1="",对接源_02物料!$C1071="",对接源_02物料!$C1071&lt;&gt;$L$1,对接源_02物料!$B1071=""),0,IF(OR(N(对接源_02物料!$B1071)&lt;$L$2,N(对接源_02物料!$B1071)&gt;$L$3),0,1))</f>
        <v>0</v>
      </c>
      <c r="M2271">
        <f>IF(OR($M$1="",对接源_02物料!$C1071="",对接源_02物料!$C1071&lt;&gt;$M$1,对接源_02物料!$B1071=""),0,IF(OR(N(对接源_02物料!$B1071)&lt;$M$2,N(对接源_02物料!$B1071)&gt;$M$3),0,1))</f>
        <v>0</v>
      </c>
      <c r="N2271">
        <f>IF(OR($N$1="",对接源_02物料!$C1071="",对接源_02物料!$C1071&lt;&gt;$N$1,对接源_02物料!$B1071=""),0,IF(OR(N(对接源_02物料!$B1071)&lt;$N$2,N(对接源_02物料!$B1071)&gt;$N$3),0,1))</f>
        <v>0</v>
      </c>
      <c r="P2271">
        <f>IF(AND($K2271=1,AND(对接源_02物料!$X1071="公司筐",N(对接源_02物料!$T1071)&lt;&gt;0)),1,0)</f>
        <v>0</v>
      </c>
      <c r="Q2271">
        <f>N(Q2270)+$P2271</f>
        <v>14</v>
      </c>
      <c r="R2271">
        <f>IF(AND($K2271=1,AND(对接源_02物料!$X1071="公司筐",N(对接源_02物料!$U1071)&lt;&gt;0)),1,0)</f>
        <v>0</v>
      </c>
      <c r="S2271">
        <f>N(S2270)+$R2271</f>
        <v>1</v>
      </c>
      <c r="T2271">
        <f>IF(AND($K2271=1,AND(对接源_02物料!$X1071="公司筐",N(对接源_02物料!$V1071)&lt;&gt;0)),1,0)</f>
        <v>0</v>
      </c>
      <c r="U2271">
        <f>N(U2270)+$T2271</f>
        <v>47</v>
      </c>
      <c r="V2271">
        <f>IF(AND($L2271=1,AND(对接源_02物料!$X1071="自备筐",N(对接源_02物料!$V1071)&lt;&gt;0)),1,0)</f>
        <v>0</v>
      </c>
      <c r="W2271">
        <f>N(W2270)+$V2271</f>
        <v>11</v>
      </c>
      <c r="X2271">
        <f>IF(AND($L2271=1,AND(对接源_02物料!$X1071="自备筐",N(对接源_02物料!$T1071)&lt;&gt;0)),1,0)</f>
        <v>0</v>
      </c>
      <c r="Y2271">
        <f>N(Y2270)+$X2271</f>
        <v>0</v>
      </c>
      <c r="Z2271">
        <f>IF(AND($M2271=1,对接源_02物料!$D1071="原料入库"),1,0)</f>
        <v>0</v>
      </c>
      <c r="AA2271">
        <f>N(AA2270)+$Z2271</f>
        <v>24</v>
      </c>
      <c r="AB2271">
        <f>IF(AND($M2271=1,LEFT(对接源_02物料!$D1071,4)="原料出库"),1,0)</f>
        <v>0</v>
      </c>
      <c r="AC2271">
        <f>N(AC2270)+$AB2271</f>
        <v>0</v>
      </c>
      <c r="AD2271">
        <f>IF(AND($M2271=1,LEFT(对接源_02物料!$D1071,4)="成品出库"),1,0)</f>
        <v>0</v>
      </c>
      <c r="AE2271">
        <f>N(AE2270)+$AD2271</f>
        <v>0</v>
      </c>
      <c r="AF2271">
        <f>IF(AND($N2271=1,AND(LEFT(对接源_02物料!$D1071,4)="包装物料",N(对接源_02物料!$K1071)&lt;&gt;0)),1,0)</f>
        <v>0</v>
      </c>
      <c r="AG2271">
        <f>N(AG2270)+$AF2271</f>
        <v>10</v>
      </c>
      <c r="AH2271">
        <f>IF(AND($N2271=1,AND(对接源_02物料!$D1071="周转筐－销售出库",N(对接源_02物料!$K1071)&lt;&gt;0)),1,0)</f>
        <v>0</v>
      </c>
      <c r="AI2271">
        <f>N(AI2270)+$AH2271</f>
        <v>0</v>
      </c>
      <c r="AL2271" t="n">
        <v>0</v>
      </c>
      <c r="AM2271">
        <f>N(AM2270)+$AL2271</f>
        <v>2</v>
      </c>
      <c r="AN2271">
        <f>""</f>
      </c>
      <c r="AO2271" t="n">
        <v>0</v>
      </c>
      <c r="AP2271">
        <f>N(AP2270)+$AO2271</f>
        <v>13</v>
      </c>
      <c r="AR2271">
        <f>IF(OR($AF2271=1,$AH2271=1),1,0)</f>
        <v>0</v>
      </c>
      <c r="AS2271">
        <f>N(AS2270)+$AR2271</f>
        <v>10</v>
      </c>
    </row>
    <row r="2272" s="127">
      <c r="A2272">
        <f>IF(对接源_02物料!$C1072="","",对接源_02物料!$C1072)</f>
      </c>
      <c r="B2272">
        <f>IF(A2272="",0,IF(MATCH(A2272,$A$4:$A$2403,0)=ROW()-3,1,0))</f>
        <v>0</v>
      </c>
      <c r="C2272">
        <f>N(C2271)+B2272</f>
        <v>26</v>
      </c>
      <c r="K2272">
        <f>IF(OR($K$1="",对接源_02物料!$C1072="",对接源_02物料!$C1072&lt;&gt;$K$1,对接源_02物料!$B1072=""),0,IF(OR(N(对接源_02物料!$B1072)&lt;$K$2,N(对接源_02物料!$B1072)&gt;$K$3),0,1))</f>
        <v>0</v>
      </c>
      <c r="L2272">
        <f>IF(OR($L$1="",对接源_02物料!$C1072="",对接源_02物料!$C1072&lt;&gt;$L$1,对接源_02物料!$B1072=""),0,IF(OR(N(对接源_02物料!$B1072)&lt;$L$2,N(对接源_02物料!$B1072)&gt;$L$3),0,1))</f>
        <v>0</v>
      </c>
      <c r="M2272">
        <f>IF(OR($M$1="",对接源_02物料!$C1072="",对接源_02物料!$C1072&lt;&gt;$M$1,对接源_02物料!$B1072=""),0,IF(OR(N(对接源_02物料!$B1072)&lt;$M$2,N(对接源_02物料!$B1072)&gt;$M$3),0,1))</f>
        <v>0</v>
      </c>
      <c r="N2272">
        <f>IF(OR($N$1="",对接源_02物料!$C1072="",对接源_02物料!$C1072&lt;&gt;$N$1,对接源_02物料!$B1072=""),0,IF(OR(N(对接源_02物料!$B1072)&lt;$N$2,N(对接源_02物料!$B1072)&gt;$N$3),0,1))</f>
        <v>0</v>
      </c>
      <c r="P2272">
        <f>IF(AND($K2272=1,AND(对接源_02物料!$X1072="公司筐",N(对接源_02物料!$T1072)&lt;&gt;0)),1,0)</f>
        <v>0</v>
      </c>
      <c r="Q2272">
        <f>N(Q2271)+$P2272</f>
        <v>14</v>
      </c>
      <c r="R2272">
        <f>IF(AND($K2272=1,AND(对接源_02物料!$X1072="公司筐",N(对接源_02物料!$U1072)&lt;&gt;0)),1,0)</f>
        <v>0</v>
      </c>
      <c r="S2272">
        <f>N(S2271)+$R2272</f>
        <v>1</v>
      </c>
      <c r="T2272">
        <f>IF(AND($K2272=1,AND(对接源_02物料!$X1072="公司筐",N(对接源_02物料!$V1072)&lt;&gt;0)),1,0)</f>
        <v>0</v>
      </c>
      <c r="U2272">
        <f>N(U2271)+$T2272</f>
        <v>47</v>
      </c>
      <c r="V2272">
        <f>IF(AND($L2272=1,AND(对接源_02物料!$X1072="自备筐",N(对接源_02物料!$V1072)&lt;&gt;0)),1,0)</f>
        <v>0</v>
      </c>
      <c r="W2272">
        <f>N(W2271)+$V2272</f>
        <v>11</v>
      </c>
      <c r="X2272">
        <f>IF(AND($L2272=1,AND(对接源_02物料!$X1072="自备筐",N(对接源_02物料!$T1072)&lt;&gt;0)),1,0)</f>
        <v>0</v>
      </c>
      <c r="Y2272">
        <f>N(Y2271)+$X2272</f>
        <v>0</v>
      </c>
      <c r="Z2272">
        <f>IF(AND($M2272=1,对接源_02物料!$D1072="原料入库"),1,0)</f>
        <v>0</v>
      </c>
      <c r="AA2272">
        <f>N(AA2271)+$Z2272</f>
        <v>24</v>
      </c>
      <c r="AB2272">
        <f>IF(AND($M2272=1,LEFT(对接源_02物料!$D1072,4)="原料出库"),1,0)</f>
        <v>0</v>
      </c>
      <c r="AC2272">
        <f>N(AC2271)+$AB2272</f>
        <v>0</v>
      </c>
      <c r="AD2272">
        <f>IF(AND($M2272=1,LEFT(对接源_02物料!$D1072,4)="成品出库"),1,0)</f>
        <v>0</v>
      </c>
      <c r="AE2272">
        <f>N(AE2271)+$AD2272</f>
        <v>0</v>
      </c>
      <c r="AF2272">
        <f>IF(AND($N2272=1,AND(LEFT(对接源_02物料!$D1072,4)="包装物料",N(对接源_02物料!$K1072)&lt;&gt;0)),1,0)</f>
        <v>0</v>
      </c>
      <c r="AG2272">
        <f>N(AG2271)+$AF2272</f>
        <v>10</v>
      </c>
      <c r="AH2272">
        <f>IF(AND($N2272=1,AND(对接源_02物料!$D1072="周转筐－销售出库",N(对接源_02物料!$K1072)&lt;&gt;0)),1,0)</f>
        <v>0</v>
      </c>
      <c r="AI2272">
        <f>N(AI2271)+$AH2272</f>
        <v>0</v>
      </c>
      <c r="AL2272" t="n">
        <v>0</v>
      </c>
      <c r="AM2272">
        <f>N(AM2271)+$AL2272</f>
        <v>2</v>
      </c>
      <c r="AN2272">
        <f>""</f>
      </c>
      <c r="AO2272" t="n">
        <v>0</v>
      </c>
      <c r="AP2272">
        <f>N(AP2271)+$AO2272</f>
        <v>13</v>
      </c>
      <c r="AR2272">
        <f>IF(OR($AF2272=1,$AH2272=1),1,0)</f>
        <v>0</v>
      </c>
      <c r="AS2272">
        <f>N(AS2271)+$AR2272</f>
        <v>10</v>
      </c>
    </row>
    <row r="2273" s="127">
      <c r="A2273">
        <f>IF(对接源_02物料!$C1073="","",对接源_02物料!$C1073)</f>
      </c>
      <c r="B2273">
        <f>IF(A2273="",0,IF(MATCH(A2273,$A$4:$A$2403,0)=ROW()-3,1,0))</f>
        <v>0</v>
      </c>
      <c r="C2273">
        <f>N(C2272)+B2273</f>
        <v>26</v>
      </c>
      <c r="K2273">
        <f>IF(OR($K$1="",对接源_02物料!$C1073="",对接源_02物料!$C1073&lt;&gt;$K$1,对接源_02物料!$B1073=""),0,IF(OR(N(对接源_02物料!$B1073)&lt;$K$2,N(对接源_02物料!$B1073)&gt;$K$3),0,1))</f>
        <v>0</v>
      </c>
      <c r="L2273">
        <f>IF(OR($L$1="",对接源_02物料!$C1073="",对接源_02物料!$C1073&lt;&gt;$L$1,对接源_02物料!$B1073=""),0,IF(OR(N(对接源_02物料!$B1073)&lt;$L$2,N(对接源_02物料!$B1073)&gt;$L$3),0,1))</f>
        <v>0</v>
      </c>
      <c r="M2273">
        <f>IF(OR($M$1="",对接源_02物料!$C1073="",对接源_02物料!$C1073&lt;&gt;$M$1,对接源_02物料!$B1073=""),0,IF(OR(N(对接源_02物料!$B1073)&lt;$M$2,N(对接源_02物料!$B1073)&gt;$M$3),0,1))</f>
        <v>0</v>
      </c>
      <c r="N2273">
        <f>IF(OR($N$1="",对接源_02物料!$C1073="",对接源_02物料!$C1073&lt;&gt;$N$1,对接源_02物料!$B1073=""),0,IF(OR(N(对接源_02物料!$B1073)&lt;$N$2,N(对接源_02物料!$B1073)&gt;$N$3),0,1))</f>
        <v>0</v>
      </c>
      <c r="P2273">
        <f>IF(AND($K2273=1,AND(对接源_02物料!$X1073="公司筐",N(对接源_02物料!$T1073)&lt;&gt;0)),1,0)</f>
        <v>0</v>
      </c>
      <c r="Q2273">
        <f>N(Q2272)+$P2273</f>
        <v>14</v>
      </c>
      <c r="R2273">
        <f>IF(AND($K2273=1,AND(对接源_02物料!$X1073="公司筐",N(对接源_02物料!$U1073)&lt;&gt;0)),1,0)</f>
        <v>0</v>
      </c>
      <c r="S2273">
        <f>N(S2272)+$R2273</f>
        <v>1</v>
      </c>
      <c r="T2273">
        <f>IF(AND($K2273=1,AND(对接源_02物料!$X1073="公司筐",N(对接源_02物料!$V1073)&lt;&gt;0)),1,0)</f>
        <v>0</v>
      </c>
      <c r="U2273">
        <f>N(U2272)+$T2273</f>
        <v>47</v>
      </c>
      <c r="V2273">
        <f>IF(AND($L2273=1,AND(对接源_02物料!$X1073="自备筐",N(对接源_02物料!$V1073)&lt;&gt;0)),1,0)</f>
        <v>0</v>
      </c>
      <c r="W2273">
        <f>N(W2272)+$V2273</f>
        <v>11</v>
      </c>
      <c r="X2273">
        <f>IF(AND($L2273=1,AND(对接源_02物料!$X1073="自备筐",N(对接源_02物料!$T1073)&lt;&gt;0)),1,0)</f>
        <v>0</v>
      </c>
      <c r="Y2273">
        <f>N(Y2272)+$X2273</f>
        <v>0</v>
      </c>
      <c r="Z2273">
        <f>IF(AND($M2273=1,对接源_02物料!$D1073="原料入库"),1,0)</f>
        <v>0</v>
      </c>
      <c r="AA2273">
        <f>N(AA2272)+$Z2273</f>
        <v>24</v>
      </c>
      <c r="AB2273">
        <f>IF(AND($M2273=1,LEFT(对接源_02物料!$D1073,4)="原料出库"),1,0)</f>
        <v>0</v>
      </c>
      <c r="AC2273">
        <f>N(AC2272)+$AB2273</f>
        <v>0</v>
      </c>
      <c r="AD2273">
        <f>IF(AND($M2273=1,LEFT(对接源_02物料!$D1073,4)="成品出库"),1,0)</f>
        <v>0</v>
      </c>
      <c r="AE2273">
        <f>N(AE2272)+$AD2273</f>
        <v>0</v>
      </c>
      <c r="AF2273">
        <f>IF(AND($N2273=1,AND(LEFT(对接源_02物料!$D1073,4)="包装物料",N(对接源_02物料!$K1073)&lt;&gt;0)),1,0)</f>
        <v>0</v>
      </c>
      <c r="AG2273">
        <f>N(AG2272)+$AF2273</f>
        <v>10</v>
      </c>
      <c r="AH2273">
        <f>IF(AND($N2273=1,AND(对接源_02物料!$D1073="周转筐－销售出库",N(对接源_02物料!$K1073)&lt;&gt;0)),1,0)</f>
        <v>0</v>
      </c>
      <c r="AI2273">
        <f>N(AI2272)+$AH2273</f>
        <v>0</v>
      </c>
      <c r="AL2273" t="n">
        <v>0</v>
      </c>
      <c r="AM2273">
        <f>N(AM2272)+$AL2273</f>
        <v>2</v>
      </c>
      <c r="AN2273">
        <f>""</f>
      </c>
      <c r="AO2273" t="n">
        <v>0</v>
      </c>
      <c r="AP2273">
        <f>N(AP2272)+$AO2273</f>
        <v>13</v>
      </c>
      <c r="AR2273">
        <f>IF(OR($AF2273=1,$AH2273=1),1,0)</f>
        <v>0</v>
      </c>
      <c r="AS2273">
        <f>N(AS2272)+$AR2273</f>
        <v>10</v>
      </c>
    </row>
    <row r="2274" s="127">
      <c r="A2274">
        <f>IF(对接源_02物料!$C1074="","",对接源_02物料!$C1074)</f>
      </c>
      <c r="B2274">
        <f>IF(A2274="",0,IF(MATCH(A2274,$A$4:$A$2403,0)=ROW()-3,1,0))</f>
        <v>0</v>
      </c>
      <c r="C2274">
        <f>N(C2273)+B2274</f>
        <v>26</v>
      </c>
      <c r="K2274">
        <f>IF(OR($K$1="",对接源_02物料!$C1074="",对接源_02物料!$C1074&lt;&gt;$K$1,对接源_02物料!$B1074=""),0,IF(OR(N(对接源_02物料!$B1074)&lt;$K$2,N(对接源_02物料!$B1074)&gt;$K$3),0,1))</f>
        <v>0</v>
      </c>
      <c r="L2274">
        <f>IF(OR($L$1="",对接源_02物料!$C1074="",对接源_02物料!$C1074&lt;&gt;$L$1,对接源_02物料!$B1074=""),0,IF(OR(N(对接源_02物料!$B1074)&lt;$L$2,N(对接源_02物料!$B1074)&gt;$L$3),0,1))</f>
        <v>0</v>
      </c>
      <c r="M2274">
        <f>IF(OR($M$1="",对接源_02物料!$C1074="",对接源_02物料!$C1074&lt;&gt;$M$1,对接源_02物料!$B1074=""),0,IF(OR(N(对接源_02物料!$B1074)&lt;$M$2,N(对接源_02物料!$B1074)&gt;$M$3),0,1))</f>
        <v>0</v>
      </c>
      <c r="N2274">
        <f>IF(OR($N$1="",对接源_02物料!$C1074="",对接源_02物料!$C1074&lt;&gt;$N$1,对接源_02物料!$B1074=""),0,IF(OR(N(对接源_02物料!$B1074)&lt;$N$2,N(对接源_02物料!$B1074)&gt;$N$3),0,1))</f>
        <v>0</v>
      </c>
      <c r="P2274">
        <f>IF(AND($K2274=1,AND(对接源_02物料!$X1074="公司筐",N(对接源_02物料!$T1074)&lt;&gt;0)),1,0)</f>
        <v>0</v>
      </c>
      <c r="Q2274">
        <f>N(Q2273)+$P2274</f>
        <v>14</v>
      </c>
      <c r="R2274">
        <f>IF(AND($K2274=1,AND(对接源_02物料!$X1074="公司筐",N(对接源_02物料!$U1074)&lt;&gt;0)),1,0)</f>
        <v>0</v>
      </c>
      <c r="S2274">
        <f>N(S2273)+$R2274</f>
        <v>1</v>
      </c>
      <c r="T2274">
        <f>IF(AND($K2274=1,AND(对接源_02物料!$X1074="公司筐",N(对接源_02物料!$V1074)&lt;&gt;0)),1,0)</f>
        <v>0</v>
      </c>
      <c r="U2274">
        <f>N(U2273)+$T2274</f>
        <v>47</v>
      </c>
      <c r="V2274">
        <f>IF(AND($L2274=1,AND(对接源_02物料!$X1074="自备筐",N(对接源_02物料!$V1074)&lt;&gt;0)),1,0)</f>
        <v>0</v>
      </c>
      <c r="W2274">
        <f>N(W2273)+$V2274</f>
        <v>11</v>
      </c>
      <c r="X2274">
        <f>IF(AND($L2274=1,AND(对接源_02物料!$X1074="自备筐",N(对接源_02物料!$T1074)&lt;&gt;0)),1,0)</f>
        <v>0</v>
      </c>
      <c r="Y2274">
        <f>N(Y2273)+$X2274</f>
        <v>0</v>
      </c>
      <c r="Z2274">
        <f>IF(AND($M2274=1,对接源_02物料!$D1074="原料入库"),1,0)</f>
        <v>0</v>
      </c>
      <c r="AA2274">
        <f>N(AA2273)+$Z2274</f>
        <v>24</v>
      </c>
      <c r="AB2274">
        <f>IF(AND($M2274=1,LEFT(对接源_02物料!$D1074,4)="原料出库"),1,0)</f>
        <v>0</v>
      </c>
      <c r="AC2274">
        <f>N(AC2273)+$AB2274</f>
        <v>0</v>
      </c>
      <c r="AD2274">
        <f>IF(AND($M2274=1,LEFT(对接源_02物料!$D1074,4)="成品出库"),1,0)</f>
        <v>0</v>
      </c>
      <c r="AE2274">
        <f>N(AE2273)+$AD2274</f>
        <v>0</v>
      </c>
      <c r="AF2274">
        <f>IF(AND($N2274=1,AND(LEFT(对接源_02物料!$D1074,4)="包装物料",N(对接源_02物料!$K1074)&lt;&gt;0)),1,0)</f>
        <v>0</v>
      </c>
      <c r="AG2274">
        <f>N(AG2273)+$AF2274</f>
        <v>10</v>
      </c>
      <c r="AH2274">
        <f>IF(AND($N2274=1,AND(对接源_02物料!$D1074="周转筐－销售出库",N(对接源_02物料!$K1074)&lt;&gt;0)),1,0)</f>
        <v>0</v>
      </c>
      <c r="AI2274">
        <f>N(AI2273)+$AH2274</f>
        <v>0</v>
      </c>
      <c r="AL2274" t="n">
        <v>0</v>
      </c>
      <c r="AM2274">
        <f>N(AM2273)+$AL2274</f>
        <v>2</v>
      </c>
      <c r="AN2274">
        <f>""</f>
      </c>
      <c r="AO2274" t="n">
        <v>0</v>
      </c>
      <c r="AP2274">
        <f>N(AP2273)+$AO2274</f>
        <v>13</v>
      </c>
      <c r="AR2274">
        <f>IF(OR($AF2274=1,$AH2274=1),1,0)</f>
        <v>0</v>
      </c>
      <c r="AS2274">
        <f>N(AS2273)+$AR2274</f>
        <v>10</v>
      </c>
    </row>
    <row r="2275" s="127">
      <c r="A2275">
        <f>IF(对接源_02物料!$C1075="","",对接源_02物料!$C1075)</f>
      </c>
      <c r="B2275">
        <f>IF(A2275="",0,IF(MATCH(A2275,$A$4:$A$2403,0)=ROW()-3,1,0))</f>
        <v>0</v>
      </c>
      <c r="C2275">
        <f>N(C2274)+B2275</f>
        <v>26</v>
      </c>
      <c r="K2275">
        <f>IF(OR($K$1="",对接源_02物料!$C1075="",对接源_02物料!$C1075&lt;&gt;$K$1,对接源_02物料!$B1075=""),0,IF(OR(N(对接源_02物料!$B1075)&lt;$K$2,N(对接源_02物料!$B1075)&gt;$K$3),0,1))</f>
        <v>0</v>
      </c>
      <c r="L2275">
        <f>IF(OR($L$1="",对接源_02物料!$C1075="",对接源_02物料!$C1075&lt;&gt;$L$1,对接源_02物料!$B1075=""),0,IF(OR(N(对接源_02物料!$B1075)&lt;$L$2,N(对接源_02物料!$B1075)&gt;$L$3),0,1))</f>
        <v>0</v>
      </c>
      <c r="M2275">
        <f>IF(OR($M$1="",对接源_02物料!$C1075="",对接源_02物料!$C1075&lt;&gt;$M$1,对接源_02物料!$B1075=""),0,IF(OR(N(对接源_02物料!$B1075)&lt;$M$2,N(对接源_02物料!$B1075)&gt;$M$3),0,1))</f>
        <v>0</v>
      </c>
      <c r="N2275">
        <f>IF(OR($N$1="",对接源_02物料!$C1075="",对接源_02物料!$C1075&lt;&gt;$N$1,对接源_02物料!$B1075=""),0,IF(OR(N(对接源_02物料!$B1075)&lt;$N$2,N(对接源_02物料!$B1075)&gt;$N$3),0,1))</f>
        <v>0</v>
      </c>
      <c r="P2275">
        <f>IF(AND($K2275=1,AND(对接源_02物料!$X1075="公司筐",N(对接源_02物料!$T1075)&lt;&gt;0)),1,0)</f>
        <v>0</v>
      </c>
      <c r="Q2275">
        <f>N(Q2274)+$P2275</f>
        <v>14</v>
      </c>
      <c r="R2275">
        <f>IF(AND($K2275=1,AND(对接源_02物料!$X1075="公司筐",N(对接源_02物料!$U1075)&lt;&gt;0)),1,0)</f>
        <v>0</v>
      </c>
      <c r="S2275">
        <f>N(S2274)+$R2275</f>
        <v>1</v>
      </c>
      <c r="T2275">
        <f>IF(AND($K2275=1,AND(对接源_02物料!$X1075="公司筐",N(对接源_02物料!$V1075)&lt;&gt;0)),1,0)</f>
        <v>0</v>
      </c>
      <c r="U2275">
        <f>N(U2274)+$T2275</f>
        <v>47</v>
      </c>
      <c r="V2275">
        <f>IF(AND($L2275=1,AND(对接源_02物料!$X1075="自备筐",N(对接源_02物料!$V1075)&lt;&gt;0)),1,0)</f>
        <v>0</v>
      </c>
      <c r="W2275">
        <f>N(W2274)+$V2275</f>
        <v>11</v>
      </c>
      <c r="X2275">
        <f>IF(AND($L2275=1,AND(对接源_02物料!$X1075="自备筐",N(对接源_02物料!$T1075)&lt;&gt;0)),1,0)</f>
        <v>0</v>
      </c>
      <c r="Y2275">
        <f>N(Y2274)+$X2275</f>
        <v>0</v>
      </c>
      <c r="Z2275">
        <f>IF(AND($M2275=1,对接源_02物料!$D1075="原料入库"),1,0)</f>
        <v>0</v>
      </c>
      <c r="AA2275">
        <f>N(AA2274)+$Z2275</f>
        <v>24</v>
      </c>
      <c r="AB2275">
        <f>IF(AND($M2275=1,LEFT(对接源_02物料!$D1075,4)="原料出库"),1,0)</f>
        <v>0</v>
      </c>
      <c r="AC2275">
        <f>N(AC2274)+$AB2275</f>
        <v>0</v>
      </c>
      <c r="AD2275">
        <f>IF(AND($M2275=1,LEFT(对接源_02物料!$D1075,4)="成品出库"),1,0)</f>
        <v>0</v>
      </c>
      <c r="AE2275">
        <f>N(AE2274)+$AD2275</f>
        <v>0</v>
      </c>
      <c r="AF2275">
        <f>IF(AND($N2275=1,AND(LEFT(对接源_02物料!$D1075,4)="包装物料",N(对接源_02物料!$K1075)&lt;&gt;0)),1,0)</f>
        <v>0</v>
      </c>
      <c r="AG2275">
        <f>N(AG2274)+$AF2275</f>
        <v>10</v>
      </c>
      <c r="AH2275">
        <f>IF(AND($N2275=1,AND(对接源_02物料!$D1075="周转筐－销售出库",N(对接源_02物料!$K1075)&lt;&gt;0)),1,0)</f>
        <v>0</v>
      </c>
      <c r="AI2275">
        <f>N(AI2274)+$AH2275</f>
        <v>0</v>
      </c>
      <c r="AL2275" t="n">
        <v>0</v>
      </c>
      <c r="AM2275">
        <f>N(AM2274)+$AL2275</f>
        <v>2</v>
      </c>
      <c r="AN2275">
        <f>""</f>
      </c>
      <c r="AO2275" t="n">
        <v>0</v>
      </c>
      <c r="AP2275">
        <f>N(AP2274)+$AO2275</f>
        <v>13</v>
      </c>
      <c r="AR2275">
        <f>IF(OR($AF2275=1,$AH2275=1),1,0)</f>
        <v>0</v>
      </c>
      <c r="AS2275">
        <f>N(AS2274)+$AR2275</f>
        <v>10</v>
      </c>
    </row>
    <row r="2276" s="127">
      <c r="A2276">
        <f>IF(对接源_02物料!$C1076="","",对接源_02物料!$C1076)</f>
      </c>
      <c r="B2276">
        <f>IF(A2276="",0,IF(MATCH(A2276,$A$4:$A$2403,0)=ROW()-3,1,0))</f>
        <v>0</v>
      </c>
      <c r="C2276">
        <f>N(C2275)+B2276</f>
        <v>26</v>
      </c>
      <c r="K2276">
        <f>IF(OR($K$1="",对接源_02物料!$C1076="",对接源_02物料!$C1076&lt;&gt;$K$1,对接源_02物料!$B1076=""),0,IF(OR(N(对接源_02物料!$B1076)&lt;$K$2,N(对接源_02物料!$B1076)&gt;$K$3),0,1))</f>
        <v>0</v>
      </c>
      <c r="L2276">
        <f>IF(OR($L$1="",对接源_02物料!$C1076="",对接源_02物料!$C1076&lt;&gt;$L$1,对接源_02物料!$B1076=""),0,IF(OR(N(对接源_02物料!$B1076)&lt;$L$2,N(对接源_02物料!$B1076)&gt;$L$3),0,1))</f>
        <v>0</v>
      </c>
      <c r="M2276">
        <f>IF(OR($M$1="",对接源_02物料!$C1076="",对接源_02物料!$C1076&lt;&gt;$M$1,对接源_02物料!$B1076=""),0,IF(OR(N(对接源_02物料!$B1076)&lt;$M$2,N(对接源_02物料!$B1076)&gt;$M$3),0,1))</f>
        <v>0</v>
      </c>
      <c r="N2276">
        <f>IF(OR($N$1="",对接源_02物料!$C1076="",对接源_02物料!$C1076&lt;&gt;$N$1,对接源_02物料!$B1076=""),0,IF(OR(N(对接源_02物料!$B1076)&lt;$N$2,N(对接源_02物料!$B1076)&gt;$N$3),0,1))</f>
        <v>0</v>
      </c>
      <c r="P2276">
        <f>IF(AND($K2276=1,AND(对接源_02物料!$X1076="公司筐",N(对接源_02物料!$T1076)&lt;&gt;0)),1,0)</f>
        <v>0</v>
      </c>
      <c r="Q2276">
        <f>N(Q2275)+$P2276</f>
        <v>14</v>
      </c>
      <c r="R2276">
        <f>IF(AND($K2276=1,AND(对接源_02物料!$X1076="公司筐",N(对接源_02物料!$U1076)&lt;&gt;0)),1,0)</f>
        <v>0</v>
      </c>
      <c r="S2276">
        <f>N(S2275)+$R2276</f>
        <v>1</v>
      </c>
      <c r="T2276">
        <f>IF(AND($K2276=1,AND(对接源_02物料!$X1076="公司筐",N(对接源_02物料!$V1076)&lt;&gt;0)),1,0)</f>
        <v>0</v>
      </c>
      <c r="U2276">
        <f>N(U2275)+$T2276</f>
        <v>47</v>
      </c>
      <c r="V2276">
        <f>IF(AND($L2276=1,AND(对接源_02物料!$X1076="自备筐",N(对接源_02物料!$V1076)&lt;&gt;0)),1,0)</f>
        <v>0</v>
      </c>
      <c r="W2276">
        <f>N(W2275)+$V2276</f>
        <v>11</v>
      </c>
      <c r="X2276">
        <f>IF(AND($L2276=1,AND(对接源_02物料!$X1076="自备筐",N(对接源_02物料!$T1076)&lt;&gt;0)),1,0)</f>
        <v>0</v>
      </c>
      <c r="Y2276">
        <f>N(Y2275)+$X2276</f>
        <v>0</v>
      </c>
      <c r="Z2276">
        <f>IF(AND($M2276=1,对接源_02物料!$D1076="原料入库"),1,0)</f>
        <v>0</v>
      </c>
      <c r="AA2276">
        <f>N(AA2275)+$Z2276</f>
        <v>24</v>
      </c>
      <c r="AB2276">
        <f>IF(AND($M2276=1,LEFT(对接源_02物料!$D1076,4)="原料出库"),1,0)</f>
        <v>0</v>
      </c>
      <c r="AC2276">
        <f>N(AC2275)+$AB2276</f>
        <v>0</v>
      </c>
      <c r="AD2276">
        <f>IF(AND($M2276=1,LEFT(对接源_02物料!$D1076,4)="成品出库"),1,0)</f>
        <v>0</v>
      </c>
      <c r="AE2276">
        <f>N(AE2275)+$AD2276</f>
        <v>0</v>
      </c>
      <c r="AF2276">
        <f>IF(AND($N2276=1,AND(LEFT(对接源_02物料!$D1076,4)="包装物料",N(对接源_02物料!$K1076)&lt;&gt;0)),1,0)</f>
        <v>0</v>
      </c>
      <c r="AG2276">
        <f>N(AG2275)+$AF2276</f>
        <v>10</v>
      </c>
      <c r="AH2276">
        <f>IF(AND($N2276=1,AND(对接源_02物料!$D1076="周转筐－销售出库",N(对接源_02物料!$K1076)&lt;&gt;0)),1,0)</f>
        <v>0</v>
      </c>
      <c r="AI2276">
        <f>N(AI2275)+$AH2276</f>
        <v>0</v>
      </c>
      <c r="AL2276" t="n">
        <v>0</v>
      </c>
      <c r="AM2276">
        <f>N(AM2275)+$AL2276</f>
        <v>2</v>
      </c>
      <c r="AN2276">
        <f>""</f>
      </c>
      <c r="AO2276" t="n">
        <v>0</v>
      </c>
      <c r="AP2276">
        <f>N(AP2275)+$AO2276</f>
        <v>13</v>
      </c>
      <c r="AR2276">
        <f>IF(OR($AF2276=1,$AH2276=1),1,0)</f>
        <v>0</v>
      </c>
      <c r="AS2276">
        <f>N(AS2275)+$AR2276</f>
        <v>10</v>
      </c>
    </row>
    <row r="2277" s="127">
      <c r="A2277">
        <f>IF(对接源_02物料!$C1077="","",对接源_02物料!$C1077)</f>
      </c>
      <c r="B2277">
        <f>IF(A2277="",0,IF(MATCH(A2277,$A$4:$A$2403,0)=ROW()-3,1,0))</f>
        <v>0</v>
      </c>
      <c r="C2277">
        <f>N(C2276)+B2277</f>
        <v>26</v>
      </c>
      <c r="K2277">
        <f>IF(OR($K$1="",对接源_02物料!$C1077="",对接源_02物料!$C1077&lt;&gt;$K$1,对接源_02物料!$B1077=""),0,IF(OR(N(对接源_02物料!$B1077)&lt;$K$2,N(对接源_02物料!$B1077)&gt;$K$3),0,1))</f>
        <v>0</v>
      </c>
      <c r="L2277">
        <f>IF(OR($L$1="",对接源_02物料!$C1077="",对接源_02物料!$C1077&lt;&gt;$L$1,对接源_02物料!$B1077=""),0,IF(OR(N(对接源_02物料!$B1077)&lt;$L$2,N(对接源_02物料!$B1077)&gt;$L$3),0,1))</f>
        <v>0</v>
      </c>
      <c r="M2277">
        <f>IF(OR($M$1="",对接源_02物料!$C1077="",对接源_02物料!$C1077&lt;&gt;$M$1,对接源_02物料!$B1077=""),0,IF(OR(N(对接源_02物料!$B1077)&lt;$M$2,N(对接源_02物料!$B1077)&gt;$M$3),0,1))</f>
        <v>0</v>
      </c>
      <c r="N2277">
        <f>IF(OR($N$1="",对接源_02物料!$C1077="",对接源_02物料!$C1077&lt;&gt;$N$1,对接源_02物料!$B1077=""),0,IF(OR(N(对接源_02物料!$B1077)&lt;$N$2,N(对接源_02物料!$B1077)&gt;$N$3),0,1))</f>
        <v>0</v>
      </c>
      <c r="P2277">
        <f>IF(AND($K2277=1,AND(对接源_02物料!$X1077="公司筐",N(对接源_02物料!$T1077)&lt;&gt;0)),1,0)</f>
        <v>0</v>
      </c>
      <c r="Q2277">
        <f>N(Q2276)+$P2277</f>
        <v>14</v>
      </c>
      <c r="R2277">
        <f>IF(AND($K2277=1,AND(对接源_02物料!$X1077="公司筐",N(对接源_02物料!$U1077)&lt;&gt;0)),1,0)</f>
        <v>0</v>
      </c>
      <c r="S2277">
        <f>N(S2276)+$R2277</f>
        <v>1</v>
      </c>
      <c r="T2277">
        <f>IF(AND($K2277=1,AND(对接源_02物料!$X1077="公司筐",N(对接源_02物料!$V1077)&lt;&gt;0)),1,0)</f>
        <v>0</v>
      </c>
      <c r="U2277">
        <f>N(U2276)+$T2277</f>
        <v>47</v>
      </c>
      <c r="V2277">
        <f>IF(AND($L2277=1,AND(对接源_02物料!$X1077="自备筐",N(对接源_02物料!$V1077)&lt;&gt;0)),1,0)</f>
        <v>0</v>
      </c>
      <c r="W2277">
        <f>N(W2276)+$V2277</f>
        <v>11</v>
      </c>
      <c r="X2277">
        <f>IF(AND($L2277=1,AND(对接源_02物料!$X1077="自备筐",N(对接源_02物料!$T1077)&lt;&gt;0)),1,0)</f>
        <v>0</v>
      </c>
      <c r="Y2277">
        <f>N(Y2276)+$X2277</f>
        <v>0</v>
      </c>
      <c r="Z2277">
        <f>IF(AND($M2277=1,对接源_02物料!$D1077="原料入库"),1,0)</f>
        <v>0</v>
      </c>
      <c r="AA2277">
        <f>N(AA2276)+$Z2277</f>
        <v>24</v>
      </c>
      <c r="AB2277">
        <f>IF(AND($M2277=1,LEFT(对接源_02物料!$D1077,4)="原料出库"),1,0)</f>
        <v>0</v>
      </c>
      <c r="AC2277">
        <f>N(AC2276)+$AB2277</f>
        <v>0</v>
      </c>
      <c r="AD2277">
        <f>IF(AND($M2277=1,LEFT(对接源_02物料!$D1077,4)="成品出库"),1,0)</f>
        <v>0</v>
      </c>
      <c r="AE2277">
        <f>N(AE2276)+$AD2277</f>
        <v>0</v>
      </c>
      <c r="AF2277">
        <f>IF(AND($N2277=1,AND(LEFT(对接源_02物料!$D1077,4)="包装物料",N(对接源_02物料!$K1077)&lt;&gt;0)),1,0)</f>
        <v>0</v>
      </c>
      <c r="AG2277">
        <f>N(AG2276)+$AF2277</f>
        <v>10</v>
      </c>
      <c r="AH2277">
        <f>IF(AND($N2277=1,AND(对接源_02物料!$D1077="周转筐－销售出库",N(对接源_02物料!$K1077)&lt;&gt;0)),1,0)</f>
        <v>0</v>
      </c>
      <c r="AI2277">
        <f>N(AI2276)+$AH2277</f>
        <v>0</v>
      </c>
      <c r="AL2277" t="n">
        <v>0</v>
      </c>
      <c r="AM2277">
        <f>N(AM2276)+$AL2277</f>
        <v>2</v>
      </c>
      <c r="AN2277">
        <f>""</f>
      </c>
      <c r="AO2277" t="n">
        <v>0</v>
      </c>
      <c r="AP2277">
        <f>N(AP2276)+$AO2277</f>
        <v>13</v>
      </c>
      <c r="AR2277">
        <f>IF(OR($AF2277=1,$AH2277=1),1,0)</f>
        <v>0</v>
      </c>
      <c r="AS2277">
        <f>N(AS2276)+$AR2277</f>
        <v>10</v>
      </c>
    </row>
    <row r="2278" s="127">
      <c r="A2278">
        <f>IF(对接源_02物料!$C1078="","",对接源_02物料!$C1078)</f>
      </c>
      <c r="B2278">
        <f>IF(A2278="",0,IF(MATCH(A2278,$A$4:$A$2403,0)=ROW()-3,1,0))</f>
        <v>0</v>
      </c>
      <c r="C2278">
        <f>N(C2277)+B2278</f>
        <v>26</v>
      </c>
      <c r="K2278">
        <f>IF(OR($K$1="",对接源_02物料!$C1078="",对接源_02物料!$C1078&lt;&gt;$K$1,对接源_02物料!$B1078=""),0,IF(OR(N(对接源_02物料!$B1078)&lt;$K$2,N(对接源_02物料!$B1078)&gt;$K$3),0,1))</f>
        <v>0</v>
      </c>
      <c r="L2278">
        <f>IF(OR($L$1="",对接源_02物料!$C1078="",对接源_02物料!$C1078&lt;&gt;$L$1,对接源_02物料!$B1078=""),0,IF(OR(N(对接源_02物料!$B1078)&lt;$L$2,N(对接源_02物料!$B1078)&gt;$L$3),0,1))</f>
        <v>0</v>
      </c>
      <c r="M2278">
        <f>IF(OR($M$1="",对接源_02物料!$C1078="",对接源_02物料!$C1078&lt;&gt;$M$1,对接源_02物料!$B1078=""),0,IF(OR(N(对接源_02物料!$B1078)&lt;$M$2,N(对接源_02物料!$B1078)&gt;$M$3),0,1))</f>
        <v>0</v>
      </c>
      <c r="N2278">
        <f>IF(OR($N$1="",对接源_02物料!$C1078="",对接源_02物料!$C1078&lt;&gt;$N$1,对接源_02物料!$B1078=""),0,IF(OR(N(对接源_02物料!$B1078)&lt;$N$2,N(对接源_02物料!$B1078)&gt;$N$3),0,1))</f>
        <v>0</v>
      </c>
      <c r="P2278">
        <f>IF(AND($K2278=1,AND(对接源_02物料!$X1078="公司筐",N(对接源_02物料!$T1078)&lt;&gt;0)),1,0)</f>
        <v>0</v>
      </c>
      <c r="Q2278">
        <f>N(Q2277)+$P2278</f>
        <v>14</v>
      </c>
      <c r="R2278">
        <f>IF(AND($K2278=1,AND(对接源_02物料!$X1078="公司筐",N(对接源_02物料!$U1078)&lt;&gt;0)),1,0)</f>
        <v>0</v>
      </c>
      <c r="S2278">
        <f>N(S2277)+$R2278</f>
        <v>1</v>
      </c>
      <c r="T2278">
        <f>IF(AND($K2278=1,AND(对接源_02物料!$X1078="公司筐",N(对接源_02物料!$V1078)&lt;&gt;0)),1,0)</f>
        <v>0</v>
      </c>
      <c r="U2278">
        <f>N(U2277)+$T2278</f>
        <v>47</v>
      </c>
      <c r="V2278">
        <f>IF(AND($L2278=1,AND(对接源_02物料!$X1078="自备筐",N(对接源_02物料!$V1078)&lt;&gt;0)),1,0)</f>
        <v>0</v>
      </c>
      <c r="W2278">
        <f>N(W2277)+$V2278</f>
        <v>11</v>
      </c>
      <c r="X2278">
        <f>IF(AND($L2278=1,AND(对接源_02物料!$X1078="自备筐",N(对接源_02物料!$T1078)&lt;&gt;0)),1,0)</f>
        <v>0</v>
      </c>
      <c r="Y2278">
        <f>N(Y2277)+$X2278</f>
        <v>0</v>
      </c>
      <c r="Z2278">
        <f>IF(AND($M2278=1,对接源_02物料!$D1078="原料入库"),1,0)</f>
        <v>0</v>
      </c>
      <c r="AA2278">
        <f>N(AA2277)+$Z2278</f>
        <v>24</v>
      </c>
      <c r="AB2278">
        <f>IF(AND($M2278=1,LEFT(对接源_02物料!$D1078,4)="原料出库"),1,0)</f>
        <v>0</v>
      </c>
      <c r="AC2278">
        <f>N(AC2277)+$AB2278</f>
        <v>0</v>
      </c>
      <c r="AD2278">
        <f>IF(AND($M2278=1,LEFT(对接源_02物料!$D1078,4)="成品出库"),1,0)</f>
        <v>0</v>
      </c>
      <c r="AE2278">
        <f>N(AE2277)+$AD2278</f>
        <v>0</v>
      </c>
      <c r="AF2278">
        <f>IF(AND($N2278=1,AND(LEFT(对接源_02物料!$D1078,4)="包装物料",N(对接源_02物料!$K1078)&lt;&gt;0)),1,0)</f>
        <v>0</v>
      </c>
      <c r="AG2278">
        <f>N(AG2277)+$AF2278</f>
        <v>10</v>
      </c>
      <c r="AH2278">
        <f>IF(AND($N2278=1,AND(对接源_02物料!$D1078="周转筐－销售出库",N(对接源_02物料!$K1078)&lt;&gt;0)),1,0)</f>
        <v>0</v>
      </c>
      <c r="AI2278">
        <f>N(AI2277)+$AH2278</f>
        <v>0</v>
      </c>
      <c r="AL2278" t="n">
        <v>0</v>
      </c>
      <c r="AM2278">
        <f>N(AM2277)+$AL2278</f>
        <v>2</v>
      </c>
      <c r="AN2278">
        <f>""</f>
      </c>
      <c r="AO2278" t="n">
        <v>0</v>
      </c>
      <c r="AP2278">
        <f>N(AP2277)+$AO2278</f>
        <v>13</v>
      </c>
      <c r="AR2278">
        <f>IF(OR($AF2278=1,$AH2278=1),1,0)</f>
        <v>0</v>
      </c>
      <c r="AS2278">
        <f>N(AS2277)+$AR2278</f>
        <v>10</v>
      </c>
    </row>
    <row r="2279" s="127">
      <c r="A2279">
        <f>IF(对接源_02物料!$C1079="","",对接源_02物料!$C1079)</f>
      </c>
      <c r="B2279">
        <f>IF(A2279="",0,IF(MATCH(A2279,$A$4:$A$2403,0)=ROW()-3,1,0))</f>
        <v>0</v>
      </c>
      <c r="C2279">
        <f>N(C2278)+B2279</f>
        <v>26</v>
      </c>
      <c r="K2279">
        <f>IF(OR($K$1="",对接源_02物料!$C1079="",对接源_02物料!$C1079&lt;&gt;$K$1,对接源_02物料!$B1079=""),0,IF(OR(N(对接源_02物料!$B1079)&lt;$K$2,N(对接源_02物料!$B1079)&gt;$K$3),0,1))</f>
        <v>0</v>
      </c>
      <c r="L2279">
        <f>IF(OR($L$1="",对接源_02物料!$C1079="",对接源_02物料!$C1079&lt;&gt;$L$1,对接源_02物料!$B1079=""),0,IF(OR(N(对接源_02物料!$B1079)&lt;$L$2,N(对接源_02物料!$B1079)&gt;$L$3),0,1))</f>
        <v>0</v>
      </c>
      <c r="M2279">
        <f>IF(OR($M$1="",对接源_02物料!$C1079="",对接源_02物料!$C1079&lt;&gt;$M$1,对接源_02物料!$B1079=""),0,IF(OR(N(对接源_02物料!$B1079)&lt;$M$2,N(对接源_02物料!$B1079)&gt;$M$3),0,1))</f>
        <v>0</v>
      </c>
      <c r="N2279">
        <f>IF(OR($N$1="",对接源_02物料!$C1079="",对接源_02物料!$C1079&lt;&gt;$N$1,对接源_02物料!$B1079=""),0,IF(OR(N(对接源_02物料!$B1079)&lt;$N$2,N(对接源_02物料!$B1079)&gt;$N$3),0,1))</f>
        <v>0</v>
      </c>
      <c r="P2279">
        <f>IF(AND($K2279=1,AND(对接源_02物料!$X1079="公司筐",N(对接源_02物料!$T1079)&lt;&gt;0)),1,0)</f>
        <v>0</v>
      </c>
      <c r="Q2279">
        <f>N(Q2278)+$P2279</f>
        <v>14</v>
      </c>
      <c r="R2279">
        <f>IF(AND($K2279=1,AND(对接源_02物料!$X1079="公司筐",N(对接源_02物料!$U1079)&lt;&gt;0)),1,0)</f>
        <v>0</v>
      </c>
      <c r="S2279">
        <f>N(S2278)+$R2279</f>
        <v>1</v>
      </c>
      <c r="T2279">
        <f>IF(AND($K2279=1,AND(对接源_02物料!$X1079="公司筐",N(对接源_02物料!$V1079)&lt;&gt;0)),1,0)</f>
        <v>0</v>
      </c>
      <c r="U2279">
        <f>N(U2278)+$T2279</f>
        <v>47</v>
      </c>
      <c r="V2279">
        <f>IF(AND($L2279=1,AND(对接源_02物料!$X1079="自备筐",N(对接源_02物料!$V1079)&lt;&gt;0)),1,0)</f>
        <v>0</v>
      </c>
      <c r="W2279">
        <f>N(W2278)+$V2279</f>
        <v>11</v>
      </c>
      <c r="X2279">
        <f>IF(AND($L2279=1,AND(对接源_02物料!$X1079="自备筐",N(对接源_02物料!$T1079)&lt;&gt;0)),1,0)</f>
        <v>0</v>
      </c>
      <c r="Y2279">
        <f>N(Y2278)+$X2279</f>
        <v>0</v>
      </c>
      <c r="Z2279">
        <f>IF(AND($M2279=1,对接源_02物料!$D1079="原料入库"),1,0)</f>
        <v>0</v>
      </c>
      <c r="AA2279">
        <f>N(AA2278)+$Z2279</f>
        <v>24</v>
      </c>
      <c r="AB2279">
        <f>IF(AND($M2279=1,LEFT(对接源_02物料!$D1079,4)="原料出库"),1,0)</f>
        <v>0</v>
      </c>
      <c r="AC2279">
        <f>N(AC2278)+$AB2279</f>
        <v>0</v>
      </c>
      <c r="AD2279">
        <f>IF(AND($M2279=1,LEFT(对接源_02物料!$D1079,4)="成品出库"),1,0)</f>
        <v>0</v>
      </c>
      <c r="AE2279">
        <f>N(AE2278)+$AD2279</f>
        <v>0</v>
      </c>
      <c r="AF2279">
        <f>IF(AND($N2279=1,AND(LEFT(对接源_02物料!$D1079,4)="包装物料",N(对接源_02物料!$K1079)&lt;&gt;0)),1,0)</f>
        <v>0</v>
      </c>
      <c r="AG2279">
        <f>N(AG2278)+$AF2279</f>
        <v>10</v>
      </c>
      <c r="AH2279">
        <f>IF(AND($N2279=1,AND(对接源_02物料!$D1079="周转筐－销售出库",N(对接源_02物料!$K1079)&lt;&gt;0)),1,0)</f>
        <v>0</v>
      </c>
      <c r="AI2279">
        <f>N(AI2278)+$AH2279</f>
        <v>0</v>
      </c>
      <c r="AL2279" t="n">
        <v>0</v>
      </c>
      <c r="AM2279">
        <f>N(AM2278)+$AL2279</f>
        <v>2</v>
      </c>
      <c r="AN2279">
        <f>""</f>
      </c>
      <c r="AO2279" t="n">
        <v>0</v>
      </c>
      <c r="AP2279">
        <f>N(AP2278)+$AO2279</f>
        <v>13</v>
      </c>
      <c r="AR2279">
        <f>IF(OR($AF2279=1,$AH2279=1),1,0)</f>
        <v>0</v>
      </c>
      <c r="AS2279">
        <f>N(AS2278)+$AR2279</f>
        <v>10</v>
      </c>
    </row>
    <row r="2280" s="127">
      <c r="A2280">
        <f>IF(对接源_02物料!$C1080="","",对接源_02物料!$C1080)</f>
      </c>
      <c r="B2280">
        <f>IF(A2280="",0,IF(MATCH(A2280,$A$4:$A$2403,0)=ROW()-3,1,0))</f>
        <v>0</v>
      </c>
      <c r="C2280">
        <f>N(C2279)+B2280</f>
        <v>26</v>
      </c>
      <c r="K2280">
        <f>IF(OR($K$1="",对接源_02物料!$C1080="",对接源_02物料!$C1080&lt;&gt;$K$1,对接源_02物料!$B1080=""),0,IF(OR(N(对接源_02物料!$B1080)&lt;$K$2,N(对接源_02物料!$B1080)&gt;$K$3),0,1))</f>
        <v>0</v>
      </c>
      <c r="L2280">
        <f>IF(OR($L$1="",对接源_02物料!$C1080="",对接源_02物料!$C1080&lt;&gt;$L$1,对接源_02物料!$B1080=""),0,IF(OR(N(对接源_02物料!$B1080)&lt;$L$2,N(对接源_02物料!$B1080)&gt;$L$3),0,1))</f>
        <v>0</v>
      </c>
      <c r="M2280">
        <f>IF(OR($M$1="",对接源_02物料!$C1080="",对接源_02物料!$C1080&lt;&gt;$M$1,对接源_02物料!$B1080=""),0,IF(OR(N(对接源_02物料!$B1080)&lt;$M$2,N(对接源_02物料!$B1080)&gt;$M$3),0,1))</f>
        <v>0</v>
      </c>
      <c r="N2280">
        <f>IF(OR($N$1="",对接源_02物料!$C1080="",对接源_02物料!$C1080&lt;&gt;$N$1,对接源_02物料!$B1080=""),0,IF(OR(N(对接源_02物料!$B1080)&lt;$N$2,N(对接源_02物料!$B1080)&gt;$N$3),0,1))</f>
        <v>0</v>
      </c>
      <c r="P2280">
        <f>IF(AND($K2280=1,AND(对接源_02物料!$X1080="公司筐",N(对接源_02物料!$T1080)&lt;&gt;0)),1,0)</f>
        <v>0</v>
      </c>
      <c r="Q2280">
        <f>N(Q2279)+$P2280</f>
        <v>14</v>
      </c>
      <c r="R2280">
        <f>IF(AND($K2280=1,AND(对接源_02物料!$X1080="公司筐",N(对接源_02物料!$U1080)&lt;&gt;0)),1,0)</f>
        <v>0</v>
      </c>
      <c r="S2280">
        <f>N(S2279)+$R2280</f>
        <v>1</v>
      </c>
      <c r="T2280">
        <f>IF(AND($K2280=1,AND(对接源_02物料!$X1080="公司筐",N(对接源_02物料!$V1080)&lt;&gt;0)),1,0)</f>
        <v>0</v>
      </c>
      <c r="U2280">
        <f>N(U2279)+$T2280</f>
        <v>47</v>
      </c>
      <c r="V2280">
        <f>IF(AND($L2280=1,AND(对接源_02物料!$X1080="自备筐",N(对接源_02物料!$V1080)&lt;&gt;0)),1,0)</f>
        <v>0</v>
      </c>
      <c r="W2280">
        <f>N(W2279)+$V2280</f>
        <v>11</v>
      </c>
      <c r="X2280">
        <f>IF(AND($L2280=1,AND(对接源_02物料!$X1080="自备筐",N(对接源_02物料!$T1080)&lt;&gt;0)),1,0)</f>
        <v>0</v>
      </c>
      <c r="Y2280">
        <f>N(Y2279)+$X2280</f>
        <v>0</v>
      </c>
      <c r="Z2280">
        <f>IF(AND($M2280=1,对接源_02物料!$D1080="原料入库"),1,0)</f>
        <v>0</v>
      </c>
      <c r="AA2280">
        <f>N(AA2279)+$Z2280</f>
        <v>24</v>
      </c>
      <c r="AB2280">
        <f>IF(AND($M2280=1,LEFT(对接源_02物料!$D1080,4)="原料出库"),1,0)</f>
        <v>0</v>
      </c>
      <c r="AC2280">
        <f>N(AC2279)+$AB2280</f>
        <v>0</v>
      </c>
      <c r="AD2280">
        <f>IF(AND($M2280=1,LEFT(对接源_02物料!$D1080,4)="成品出库"),1,0)</f>
        <v>0</v>
      </c>
      <c r="AE2280">
        <f>N(AE2279)+$AD2280</f>
        <v>0</v>
      </c>
      <c r="AF2280">
        <f>IF(AND($N2280=1,AND(LEFT(对接源_02物料!$D1080,4)="包装物料",N(对接源_02物料!$K1080)&lt;&gt;0)),1,0)</f>
        <v>0</v>
      </c>
      <c r="AG2280">
        <f>N(AG2279)+$AF2280</f>
        <v>10</v>
      </c>
      <c r="AH2280">
        <f>IF(AND($N2280=1,AND(对接源_02物料!$D1080="周转筐－销售出库",N(对接源_02物料!$K1080)&lt;&gt;0)),1,0)</f>
        <v>0</v>
      </c>
      <c r="AI2280">
        <f>N(AI2279)+$AH2280</f>
        <v>0</v>
      </c>
      <c r="AL2280" t="n">
        <v>0</v>
      </c>
      <c r="AM2280">
        <f>N(AM2279)+$AL2280</f>
        <v>2</v>
      </c>
      <c r="AN2280">
        <f>""</f>
      </c>
      <c r="AO2280" t="n">
        <v>0</v>
      </c>
      <c r="AP2280">
        <f>N(AP2279)+$AO2280</f>
        <v>13</v>
      </c>
      <c r="AR2280">
        <f>IF(OR($AF2280=1,$AH2280=1),1,0)</f>
        <v>0</v>
      </c>
      <c r="AS2280">
        <f>N(AS2279)+$AR2280</f>
        <v>10</v>
      </c>
    </row>
    <row r="2281" s="127">
      <c r="A2281">
        <f>IF(对接源_02物料!$C1081="","",对接源_02物料!$C1081)</f>
      </c>
      <c r="B2281">
        <f>IF(A2281="",0,IF(MATCH(A2281,$A$4:$A$2403,0)=ROW()-3,1,0))</f>
        <v>0</v>
      </c>
      <c r="C2281">
        <f>N(C2280)+B2281</f>
        <v>26</v>
      </c>
      <c r="K2281">
        <f>IF(OR($K$1="",对接源_02物料!$C1081="",对接源_02物料!$C1081&lt;&gt;$K$1,对接源_02物料!$B1081=""),0,IF(OR(N(对接源_02物料!$B1081)&lt;$K$2,N(对接源_02物料!$B1081)&gt;$K$3),0,1))</f>
        <v>0</v>
      </c>
      <c r="L2281">
        <f>IF(OR($L$1="",对接源_02物料!$C1081="",对接源_02物料!$C1081&lt;&gt;$L$1,对接源_02物料!$B1081=""),0,IF(OR(N(对接源_02物料!$B1081)&lt;$L$2,N(对接源_02物料!$B1081)&gt;$L$3),0,1))</f>
        <v>0</v>
      </c>
      <c r="M2281">
        <f>IF(OR($M$1="",对接源_02物料!$C1081="",对接源_02物料!$C1081&lt;&gt;$M$1,对接源_02物料!$B1081=""),0,IF(OR(N(对接源_02物料!$B1081)&lt;$M$2,N(对接源_02物料!$B1081)&gt;$M$3),0,1))</f>
        <v>0</v>
      </c>
      <c r="N2281">
        <f>IF(OR($N$1="",对接源_02物料!$C1081="",对接源_02物料!$C1081&lt;&gt;$N$1,对接源_02物料!$B1081=""),0,IF(OR(N(对接源_02物料!$B1081)&lt;$N$2,N(对接源_02物料!$B1081)&gt;$N$3),0,1))</f>
        <v>0</v>
      </c>
      <c r="P2281">
        <f>IF(AND($K2281=1,AND(对接源_02物料!$X1081="公司筐",N(对接源_02物料!$T1081)&lt;&gt;0)),1,0)</f>
        <v>0</v>
      </c>
      <c r="Q2281">
        <f>N(Q2280)+$P2281</f>
        <v>14</v>
      </c>
      <c r="R2281">
        <f>IF(AND($K2281=1,AND(对接源_02物料!$X1081="公司筐",N(对接源_02物料!$U1081)&lt;&gt;0)),1,0)</f>
        <v>0</v>
      </c>
      <c r="S2281">
        <f>N(S2280)+$R2281</f>
        <v>1</v>
      </c>
      <c r="T2281">
        <f>IF(AND($K2281=1,AND(对接源_02物料!$X1081="公司筐",N(对接源_02物料!$V1081)&lt;&gt;0)),1,0)</f>
        <v>0</v>
      </c>
      <c r="U2281">
        <f>N(U2280)+$T2281</f>
        <v>47</v>
      </c>
      <c r="V2281">
        <f>IF(AND($L2281=1,AND(对接源_02物料!$X1081="自备筐",N(对接源_02物料!$V1081)&lt;&gt;0)),1,0)</f>
        <v>0</v>
      </c>
      <c r="W2281">
        <f>N(W2280)+$V2281</f>
        <v>11</v>
      </c>
      <c r="X2281">
        <f>IF(AND($L2281=1,AND(对接源_02物料!$X1081="自备筐",N(对接源_02物料!$T1081)&lt;&gt;0)),1,0)</f>
        <v>0</v>
      </c>
      <c r="Y2281">
        <f>N(Y2280)+$X2281</f>
        <v>0</v>
      </c>
      <c r="Z2281">
        <f>IF(AND($M2281=1,对接源_02物料!$D1081="原料入库"),1,0)</f>
        <v>0</v>
      </c>
      <c r="AA2281">
        <f>N(AA2280)+$Z2281</f>
        <v>24</v>
      </c>
      <c r="AB2281">
        <f>IF(AND($M2281=1,LEFT(对接源_02物料!$D1081,4)="原料出库"),1,0)</f>
        <v>0</v>
      </c>
      <c r="AC2281">
        <f>N(AC2280)+$AB2281</f>
        <v>0</v>
      </c>
      <c r="AD2281">
        <f>IF(AND($M2281=1,LEFT(对接源_02物料!$D1081,4)="成品出库"),1,0)</f>
        <v>0</v>
      </c>
      <c r="AE2281">
        <f>N(AE2280)+$AD2281</f>
        <v>0</v>
      </c>
      <c r="AF2281">
        <f>IF(AND($N2281=1,AND(LEFT(对接源_02物料!$D1081,4)="包装物料",N(对接源_02物料!$K1081)&lt;&gt;0)),1,0)</f>
        <v>0</v>
      </c>
      <c r="AG2281">
        <f>N(AG2280)+$AF2281</f>
        <v>10</v>
      </c>
      <c r="AH2281">
        <f>IF(AND($N2281=1,AND(对接源_02物料!$D1081="周转筐－销售出库",N(对接源_02物料!$K1081)&lt;&gt;0)),1,0)</f>
        <v>0</v>
      </c>
      <c r="AI2281">
        <f>N(AI2280)+$AH2281</f>
        <v>0</v>
      </c>
      <c r="AL2281" t="n">
        <v>0</v>
      </c>
      <c r="AM2281">
        <f>N(AM2280)+$AL2281</f>
        <v>2</v>
      </c>
      <c r="AN2281">
        <f>""</f>
      </c>
      <c r="AO2281" t="n">
        <v>0</v>
      </c>
      <c r="AP2281">
        <f>N(AP2280)+$AO2281</f>
        <v>13</v>
      </c>
      <c r="AR2281">
        <f>IF(OR($AF2281=1,$AH2281=1),1,0)</f>
        <v>0</v>
      </c>
      <c r="AS2281">
        <f>N(AS2280)+$AR2281</f>
        <v>10</v>
      </c>
    </row>
    <row r="2282" s="127">
      <c r="A2282">
        <f>IF(对接源_02物料!$C1082="","",对接源_02物料!$C1082)</f>
      </c>
      <c r="B2282">
        <f>IF(A2282="",0,IF(MATCH(A2282,$A$4:$A$2403,0)=ROW()-3,1,0))</f>
        <v>0</v>
      </c>
      <c r="C2282">
        <f>N(C2281)+B2282</f>
        <v>26</v>
      </c>
      <c r="K2282">
        <f>IF(OR($K$1="",对接源_02物料!$C1082="",对接源_02物料!$C1082&lt;&gt;$K$1,对接源_02物料!$B1082=""),0,IF(OR(N(对接源_02物料!$B1082)&lt;$K$2,N(对接源_02物料!$B1082)&gt;$K$3),0,1))</f>
        <v>0</v>
      </c>
      <c r="L2282">
        <f>IF(OR($L$1="",对接源_02物料!$C1082="",对接源_02物料!$C1082&lt;&gt;$L$1,对接源_02物料!$B1082=""),0,IF(OR(N(对接源_02物料!$B1082)&lt;$L$2,N(对接源_02物料!$B1082)&gt;$L$3),0,1))</f>
        <v>0</v>
      </c>
      <c r="M2282">
        <f>IF(OR($M$1="",对接源_02物料!$C1082="",对接源_02物料!$C1082&lt;&gt;$M$1,对接源_02物料!$B1082=""),0,IF(OR(N(对接源_02物料!$B1082)&lt;$M$2,N(对接源_02物料!$B1082)&gt;$M$3),0,1))</f>
        <v>0</v>
      </c>
      <c r="N2282">
        <f>IF(OR($N$1="",对接源_02物料!$C1082="",对接源_02物料!$C1082&lt;&gt;$N$1,对接源_02物料!$B1082=""),0,IF(OR(N(对接源_02物料!$B1082)&lt;$N$2,N(对接源_02物料!$B1082)&gt;$N$3),0,1))</f>
        <v>0</v>
      </c>
      <c r="P2282">
        <f>IF(AND($K2282=1,AND(对接源_02物料!$X1082="公司筐",N(对接源_02物料!$T1082)&lt;&gt;0)),1,0)</f>
        <v>0</v>
      </c>
      <c r="Q2282">
        <f>N(Q2281)+$P2282</f>
        <v>14</v>
      </c>
      <c r="R2282">
        <f>IF(AND($K2282=1,AND(对接源_02物料!$X1082="公司筐",N(对接源_02物料!$U1082)&lt;&gt;0)),1,0)</f>
        <v>0</v>
      </c>
      <c r="S2282">
        <f>N(S2281)+$R2282</f>
        <v>1</v>
      </c>
      <c r="T2282">
        <f>IF(AND($K2282=1,AND(对接源_02物料!$X1082="公司筐",N(对接源_02物料!$V1082)&lt;&gt;0)),1,0)</f>
        <v>0</v>
      </c>
      <c r="U2282">
        <f>N(U2281)+$T2282</f>
        <v>47</v>
      </c>
      <c r="V2282">
        <f>IF(AND($L2282=1,AND(对接源_02物料!$X1082="自备筐",N(对接源_02物料!$V1082)&lt;&gt;0)),1,0)</f>
        <v>0</v>
      </c>
      <c r="W2282">
        <f>N(W2281)+$V2282</f>
        <v>11</v>
      </c>
      <c r="X2282">
        <f>IF(AND($L2282=1,AND(对接源_02物料!$X1082="自备筐",N(对接源_02物料!$T1082)&lt;&gt;0)),1,0)</f>
        <v>0</v>
      </c>
      <c r="Y2282">
        <f>N(Y2281)+$X2282</f>
        <v>0</v>
      </c>
      <c r="Z2282">
        <f>IF(AND($M2282=1,对接源_02物料!$D1082="原料入库"),1,0)</f>
        <v>0</v>
      </c>
      <c r="AA2282">
        <f>N(AA2281)+$Z2282</f>
        <v>24</v>
      </c>
      <c r="AB2282">
        <f>IF(AND($M2282=1,LEFT(对接源_02物料!$D1082,4)="原料出库"),1,0)</f>
        <v>0</v>
      </c>
      <c r="AC2282">
        <f>N(AC2281)+$AB2282</f>
        <v>0</v>
      </c>
      <c r="AD2282">
        <f>IF(AND($M2282=1,LEFT(对接源_02物料!$D1082,4)="成品出库"),1,0)</f>
        <v>0</v>
      </c>
      <c r="AE2282">
        <f>N(AE2281)+$AD2282</f>
        <v>0</v>
      </c>
      <c r="AF2282">
        <f>IF(AND($N2282=1,AND(LEFT(对接源_02物料!$D1082,4)="包装物料",N(对接源_02物料!$K1082)&lt;&gt;0)),1,0)</f>
        <v>0</v>
      </c>
      <c r="AG2282">
        <f>N(AG2281)+$AF2282</f>
        <v>10</v>
      </c>
      <c r="AH2282">
        <f>IF(AND($N2282=1,AND(对接源_02物料!$D1082="周转筐－销售出库",N(对接源_02物料!$K1082)&lt;&gt;0)),1,0)</f>
        <v>0</v>
      </c>
      <c r="AI2282">
        <f>N(AI2281)+$AH2282</f>
        <v>0</v>
      </c>
      <c r="AL2282" t="n">
        <v>0</v>
      </c>
      <c r="AM2282">
        <f>N(AM2281)+$AL2282</f>
        <v>2</v>
      </c>
      <c r="AN2282">
        <f>""</f>
      </c>
      <c r="AO2282" t="n">
        <v>0</v>
      </c>
      <c r="AP2282">
        <f>N(AP2281)+$AO2282</f>
        <v>13</v>
      </c>
      <c r="AR2282">
        <f>IF(OR($AF2282=1,$AH2282=1),1,0)</f>
        <v>0</v>
      </c>
      <c r="AS2282">
        <f>N(AS2281)+$AR2282</f>
        <v>10</v>
      </c>
    </row>
    <row r="2283" s="127">
      <c r="A2283">
        <f>IF(对接源_02物料!$C1083="","",对接源_02物料!$C1083)</f>
      </c>
      <c r="B2283">
        <f>IF(A2283="",0,IF(MATCH(A2283,$A$4:$A$2403,0)=ROW()-3,1,0))</f>
        <v>0</v>
      </c>
      <c r="C2283">
        <f>N(C2282)+B2283</f>
        <v>26</v>
      </c>
      <c r="K2283">
        <f>IF(OR($K$1="",对接源_02物料!$C1083="",对接源_02物料!$C1083&lt;&gt;$K$1,对接源_02物料!$B1083=""),0,IF(OR(N(对接源_02物料!$B1083)&lt;$K$2,N(对接源_02物料!$B1083)&gt;$K$3),0,1))</f>
        <v>0</v>
      </c>
      <c r="L2283">
        <f>IF(OR($L$1="",对接源_02物料!$C1083="",对接源_02物料!$C1083&lt;&gt;$L$1,对接源_02物料!$B1083=""),0,IF(OR(N(对接源_02物料!$B1083)&lt;$L$2,N(对接源_02物料!$B1083)&gt;$L$3),0,1))</f>
        <v>0</v>
      </c>
      <c r="M2283">
        <f>IF(OR($M$1="",对接源_02物料!$C1083="",对接源_02物料!$C1083&lt;&gt;$M$1,对接源_02物料!$B1083=""),0,IF(OR(N(对接源_02物料!$B1083)&lt;$M$2,N(对接源_02物料!$B1083)&gt;$M$3),0,1))</f>
        <v>0</v>
      </c>
      <c r="N2283">
        <f>IF(OR($N$1="",对接源_02物料!$C1083="",对接源_02物料!$C1083&lt;&gt;$N$1,对接源_02物料!$B1083=""),0,IF(OR(N(对接源_02物料!$B1083)&lt;$N$2,N(对接源_02物料!$B1083)&gt;$N$3),0,1))</f>
        <v>0</v>
      </c>
      <c r="P2283">
        <f>IF(AND($K2283=1,AND(对接源_02物料!$X1083="公司筐",N(对接源_02物料!$T1083)&lt;&gt;0)),1,0)</f>
        <v>0</v>
      </c>
      <c r="Q2283">
        <f>N(Q2282)+$P2283</f>
        <v>14</v>
      </c>
      <c r="R2283">
        <f>IF(AND($K2283=1,AND(对接源_02物料!$X1083="公司筐",N(对接源_02物料!$U1083)&lt;&gt;0)),1,0)</f>
        <v>0</v>
      </c>
      <c r="S2283">
        <f>N(S2282)+$R2283</f>
        <v>1</v>
      </c>
      <c r="T2283">
        <f>IF(AND($K2283=1,AND(对接源_02物料!$X1083="公司筐",N(对接源_02物料!$V1083)&lt;&gt;0)),1,0)</f>
        <v>0</v>
      </c>
      <c r="U2283">
        <f>N(U2282)+$T2283</f>
        <v>47</v>
      </c>
      <c r="V2283">
        <f>IF(AND($L2283=1,AND(对接源_02物料!$X1083="自备筐",N(对接源_02物料!$V1083)&lt;&gt;0)),1,0)</f>
        <v>0</v>
      </c>
      <c r="W2283">
        <f>N(W2282)+$V2283</f>
        <v>11</v>
      </c>
      <c r="X2283">
        <f>IF(AND($L2283=1,AND(对接源_02物料!$X1083="自备筐",N(对接源_02物料!$T1083)&lt;&gt;0)),1,0)</f>
        <v>0</v>
      </c>
      <c r="Y2283">
        <f>N(Y2282)+$X2283</f>
        <v>0</v>
      </c>
      <c r="Z2283">
        <f>IF(AND($M2283=1,对接源_02物料!$D1083="原料入库"),1,0)</f>
        <v>0</v>
      </c>
      <c r="AA2283">
        <f>N(AA2282)+$Z2283</f>
        <v>24</v>
      </c>
      <c r="AB2283">
        <f>IF(AND($M2283=1,LEFT(对接源_02物料!$D1083,4)="原料出库"),1,0)</f>
        <v>0</v>
      </c>
      <c r="AC2283">
        <f>N(AC2282)+$AB2283</f>
        <v>0</v>
      </c>
      <c r="AD2283">
        <f>IF(AND($M2283=1,LEFT(对接源_02物料!$D1083,4)="成品出库"),1,0)</f>
        <v>0</v>
      </c>
      <c r="AE2283">
        <f>N(AE2282)+$AD2283</f>
        <v>0</v>
      </c>
      <c r="AF2283">
        <f>IF(AND($N2283=1,AND(LEFT(对接源_02物料!$D1083,4)="包装物料",N(对接源_02物料!$K1083)&lt;&gt;0)),1,0)</f>
        <v>0</v>
      </c>
      <c r="AG2283">
        <f>N(AG2282)+$AF2283</f>
        <v>10</v>
      </c>
      <c r="AH2283">
        <f>IF(AND($N2283=1,AND(对接源_02物料!$D1083="周转筐－销售出库",N(对接源_02物料!$K1083)&lt;&gt;0)),1,0)</f>
        <v>0</v>
      </c>
      <c r="AI2283">
        <f>N(AI2282)+$AH2283</f>
        <v>0</v>
      </c>
      <c r="AL2283" t="n">
        <v>0</v>
      </c>
      <c r="AM2283">
        <f>N(AM2282)+$AL2283</f>
        <v>2</v>
      </c>
      <c r="AN2283">
        <f>""</f>
      </c>
      <c r="AO2283" t="n">
        <v>0</v>
      </c>
      <c r="AP2283">
        <f>N(AP2282)+$AO2283</f>
        <v>13</v>
      </c>
      <c r="AR2283">
        <f>IF(OR($AF2283=1,$AH2283=1),1,0)</f>
        <v>0</v>
      </c>
      <c r="AS2283">
        <f>N(AS2282)+$AR2283</f>
        <v>10</v>
      </c>
    </row>
    <row r="2284" s="127">
      <c r="A2284">
        <f>IF(对接源_02物料!$C1084="","",对接源_02物料!$C1084)</f>
      </c>
      <c r="B2284">
        <f>IF(A2284="",0,IF(MATCH(A2284,$A$4:$A$2403,0)=ROW()-3,1,0))</f>
        <v>0</v>
      </c>
      <c r="C2284">
        <f>N(C2283)+B2284</f>
        <v>26</v>
      </c>
      <c r="K2284">
        <f>IF(OR($K$1="",对接源_02物料!$C1084="",对接源_02物料!$C1084&lt;&gt;$K$1,对接源_02物料!$B1084=""),0,IF(OR(N(对接源_02物料!$B1084)&lt;$K$2,N(对接源_02物料!$B1084)&gt;$K$3),0,1))</f>
        <v>0</v>
      </c>
      <c r="L2284">
        <f>IF(OR($L$1="",对接源_02物料!$C1084="",对接源_02物料!$C1084&lt;&gt;$L$1,对接源_02物料!$B1084=""),0,IF(OR(N(对接源_02物料!$B1084)&lt;$L$2,N(对接源_02物料!$B1084)&gt;$L$3),0,1))</f>
        <v>0</v>
      </c>
      <c r="M2284">
        <f>IF(OR($M$1="",对接源_02物料!$C1084="",对接源_02物料!$C1084&lt;&gt;$M$1,对接源_02物料!$B1084=""),0,IF(OR(N(对接源_02物料!$B1084)&lt;$M$2,N(对接源_02物料!$B1084)&gt;$M$3),0,1))</f>
        <v>0</v>
      </c>
      <c r="N2284">
        <f>IF(OR($N$1="",对接源_02物料!$C1084="",对接源_02物料!$C1084&lt;&gt;$N$1,对接源_02物料!$B1084=""),0,IF(OR(N(对接源_02物料!$B1084)&lt;$N$2,N(对接源_02物料!$B1084)&gt;$N$3),0,1))</f>
        <v>0</v>
      </c>
      <c r="P2284">
        <f>IF(AND($K2284=1,AND(对接源_02物料!$X1084="公司筐",N(对接源_02物料!$T1084)&lt;&gt;0)),1,0)</f>
        <v>0</v>
      </c>
      <c r="Q2284">
        <f>N(Q2283)+$P2284</f>
        <v>14</v>
      </c>
      <c r="R2284">
        <f>IF(AND($K2284=1,AND(对接源_02物料!$X1084="公司筐",N(对接源_02物料!$U1084)&lt;&gt;0)),1,0)</f>
        <v>0</v>
      </c>
      <c r="S2284">
        <f>N(S2283)+$R2284</f>
        <v>1</v>
      </c>
      <c r="T2284">
        <f>IF(AND($K2284=1,AND(对接源_02物料!$X1084="公司筐",N(对接源_02物料!$V1084)&lt;&gt;0)),1,0)</f>
        <v>0</v>
      </c>
      <c r="U2284">
        <f>N(U2283)+$T2284</f>
        <v>47</v>
      </c>
      <c r="V2284">
        <f>IF(AND($L2284=1,AND(对接源_02物料!$X1084="自备筐",N(对接源_02物料!$V1084)&lt;&gt;0)),1,0)</f>
        <v>0</v>
      </c>
      <c r="W2284">
        <f>N(W2283)+$V2284</f>
        <v>11</v>
      </c>
      <c r="X2284">
        <f>IF(AND($L2284=1,AND(对接源_02物料!$X1084="自备筐",N(对接源_02物料!$T1084)&lt;&gt;0)),1,0)</f>
        <v>0</v>
      </c>
      <c r="Y2284">
        <f>N(Y2283)+$X2284</f>
        <v>0</v>
      </c>
      <c r="Z2284">
        <f>IF(AND($M2284=1,对接源_02物料!$D1084="原料入库"),1,0)</f>
        <v>0</v>
      </c>
      <c r="AA2284">
        <f>N(AA2283)+$Z2284</f>
        <v>24</v>
      </c>
      <c r="AB2284">
        <f>IF(AND($M2284=1,LEFT(对接源_02物料!$D1084,4)="原料出库"),1,0)</f>
        <v>0</v>
      </c>
      <c r="AC2284">
        <f>N(AC2283)+$AB2284</f>
        <v>0</v>
      </c>
      <c r="AD2284">
        <f>IF(AND($M2284=1,LEFT(对接源_02物料!$D1084,4)="成品出库"),1,0)</f>
        <v>0</v>
      </c>
      <c r="AE2284">
        <f>N(AE2283)+$AD2284</f>
        <v>0</v>
      </c>
      <c r="AF2284">
        <f>IF(AND($N2284=1,AND(LEFT(对接源_02物料!$D1084,4)="包装物料",N(对接源_02物料!$K1084)&lt;&gt;0)),1,0)</f>
        <v>0</v>
      </c>
      <c r="AG2284">
        <f>N(AG2283)+$AF2284</f>
        <v>10</v>
      </c>
      <c r="AH2284">
        <f>IF(AND($N2284=1,AND(对接源_02物料!$D1084="周转筐－销售出库",N(对接源_02物料!$K1084)&lt;&gt;0)),1,0)</f>
        <v>0</v>
      </c>
      <c r="AI2284">
        <f>N(AI2283)+$AH2284</f>
        <v>0</v>
      </c>
      <c r="AL2284" t="n">
        <v>0</v>
      </c>
      <c r="AM2284">
        <f>N(AM2283)+$AL2284</f>
        <v>2</v>
      </c>
      <c r="AN2284">
        <f>""</f>
      </c>
      <c r="AO2284" t="n">
        <v>0</v>
      </c>
      <c r="AP2284">
        <f>N(AP2283)+$AO2284</f>
        <v>13</v>
      </c>
      <c r="AR2284">
        <f>IF(OR($AF2284=1,$AH2284=1),1,0)</f>
        <v>0</v>
      </c>
      <c r="AS2284">
        <f>N(AS2283)+$AR2284</f>
        <v>10</v>
      </c>
    </row>
    <row r="2285" s="127">
      <c r="A2285">
        <f>IF(对接源_02物料!$C1085="","",对接源_02物料!$C1085)</f>
      </c>
      <c r="B2285">
        <f>IF(A2285="",0,IF(MATCH(A2285,$A$4:$A$2403,0)=ROW()-3,1,0))</f>
        <v>0</v>
      </c>
      <c r="C2285">
        <f>N(C2284)+B2285</f>
        <v>26</v>
      </c>
      <c r="K2285">
        <f>IF(OR($K$1="",对接源_02物料!$C1085="",对接源_02物料!$C1085&lt;&gt;$K$1,对接源_02物料!$B1085=""),0,IF(OR(N(对接源_02物料!$B1085)&lt;$K$2,N(对接源_02物料!$B1085)&gt;$K$3),0,1))</f>
        <v>0</v>
      </c>
      <c r="L2285">
        <f>IF(OR($L$1="",对接源_02物料!$C1085="",对接源_02物料!$C1085&lt;&gt;$L$1,对接源_02物料!$B1085=""),0,IF(OR(N(对接源_02物料!$B1085)&lt;$L$2,N(对接源_02物料!$B1085)&gt;$L$3),0,1))</f>
        <v>0</v>
      </c>
      <c r="M2285">
        <f>IF(OR($M$1="",对接源_02物料!$C1085="",对接源_02物料!$C1085&lt;&gt;$M$1,对接源_02物料!$B1085=""),0,IF(OR(N(对接源_02物料!$B1085)&lt;$M$2,N(对接源_02物料!$B1085)&gt;$M$3),0,1))</f>
        <v>0</v>
      </c>
      <c r="N2285">
        <f>IF(OR($N$1="",对接源_02物料!$C1085="",对接源_02物料!$C1085&lt;&gt;$N$1,对接源_02物料!$B1085=""),0,IF(OR(N(对接源_02物料!$B1085)&lt;$N$2,N(对接源_02物料!$B1085)&gt;$N$3),0,1))</f>
        <v>0</v>
      </c>
      <c r="P2285">
        <f>IF(AND($K2285=1,AND(对接源_02物料!$X1085="公司筐",N(对接源_02物料!$T1085)&lt;&gt;0)),1,0)</f>
        <v>0</v>
      </c>
      <c r="Q2285">
        <f>N(Q2284)+$P2285</f>
        <v>14</v>
      </c>
      <c r="R2285">
        <f>IF(AND($K2285=1,AND(对接源_02物料!$X1085="公司筐",N(对接源_02物料!$U1085)&lt;&gt;0)),1,0)</f>
        <v>0</v>
      </c>
      <c r="S2285">
        <f>N(S2284)+$R2285</f>
        <v>1</v>
      </c>
      <c r="T2285">
        <f>IF(AND($K2285=1,AND(对接源_02物料!$X1085="公司筐",N(对接源_02物料!$V1085)&lt;&gt;0)),1,0)</f>
        <v>0</v>
      </c>
      <c r="U2285">
        <f>N(U2284)+$T2285</f>
        <v>47</v>
      </c>
      <c r="V2285">
        <f>IF(AND($L2285=1,AND(对接源_02物料!$X1085="自备筐",N(对接源_02物料!$V1085)&lt;&gt;0)),1,0)</f>
        <v>0</v>
      </c>
      <c r="W2285">
        <f>N(W2284)+$V2285</f>
        <v>11</v>
      </c>
      <c r="X2285">
        <f>IF(AND($L2285=1,AND(对接源_02物料!$X1085="自备筐",N(对接源_02物料!$T1085)&lt;&gt;0)),1,0)</f>
        <v>0</v>
      </c>
      <c r="Y2285">
        <f>N(Y2284)+$X2285</f>
        <v>0</v>
      </c>
      <c r="Z2285">
        <f>IF(AND($M2285=1,对接源_02物料!$D1085="原料入库"),1,0)</f>
        <v>0</v>
      </c>
      <c r="AA2285">
        <f>N(AA2284)+$Z2285</f>
        <v>24</v>
      </c>
      <c r="AB2285">
        <f>IF(AND($M2285=1,LEFT(对接源_02物料!$D1085,4)="原料出库"),1,0)</f>
        <v>0</v>
      </c>
      <c r="AC2285">
        <f>N(AC2284)+$AB2285</f>
        <v>0</v>
      </c>
      <c r="AD2285">
        <f>IF(AND($M2285=1,LEFT(对接源_02物料!$D1085,4)="成品出库"),1,0)</f>
        <v>0</v>
      </c>
      <c r="AE2285">
        <f>N(AE2284)+$AD2285</f>
        <v>0</v>
      </c>
      <c r="AF2285">
        <f>IF(AND($N2285=1,AND(LEFT(对接源_02物料!$D1085,4)="包装物料",N(对接源_02物料!$K1085)&lt;&gt;0)),1,0)</f>
        <v>0</v>
      </c>
      <c r="AG2285">
        <f>N(AG2284)+$AF2285</f>
        <v>10</v>
      </c>
      <c r="AH2285">
        <f>IF(AND($N2285=1,AND(对接源_02物料!$D1085="周转筐－销售出库",N(对接源_02物料!$K1085)&lt;&gt;0)),1,0)</f>
        <v>0</v>
      </c>
      <c r="AI2285">
        <f>N(AI2284)+$AH2285</f>
        <v>0</v>
      </c>
      <c r="AL2285" t="n">
        <v>0</v>
      </c>
      <c r="AM2285">
        <f>N(AM2284)+$AL2285</f>
        <v>2</v>
      </c>
      <c r="AN2285">
        <f>""</f>
      </c>
      <c r="AO2285" t="n">
        <v>0</v>
      </c>
      <c r="AP2285">
        <f>N(AP2284)+$AO2285</f>
        <v>13</v>
      </c>
      <c r="AR2285">
        <f>IF(OR($AF2285=1,$AH2285=1),1,0)</f>
        <v>0</v>
      </c>
      <c r="AS2285">
        <f>N(AS2284)+$AR2285</f>
        <v>10</v>
      </c>
    </row>
    <row r="2286" s="127">
      <c r="A2286">
        <f>IF(对接源_02物料!$C1086="","",对接源_02物料!$C1086)</f>
      </c>
      <c r="B2286">
        <f>IF(A2286="",0,IF(MATCH(A2286,$A$4:$A$2403,0)=ROW()-3,1,0))</f>
        <v>0</v>
      </c>
      <c r="C2286">
        <f>N(C2285)+B2286</f>
        <v>26</v>
      </c>
      <c r="K2286">
        <f>IF(OR($K$1="",对接源_02物料!$C1086="",对接源_02物料!$C1086&lt;&gt;$K$1,对接源_02物料!$B1086=""),0,IF(OR(N(对接源_02物料!$B1086)&lt;$K$2,N(对接源_02物料!$B1086)&gt;$K$3),0,1))</f>
        <v>0</v>
      </c>
      <c r="L2286">
        <f>IF(OR($L$1="",对接源_02物料!$C1086="",对接源_02物料!$C1086&lt;&gt;$L$1,对接源_02物料!$B1086=""),0,IF(OR(N(对接源_02物料!$B1086)&lt;$L$2,N(对接源_02物料!$B1086)&gt;$L$3),0,1))</f>
        <v>0</v>
      </c>
      <c r="M2286">
        <f>IF(OR($M$1="",对接源_02物料!$C1086="",对接源_02物料!$C1086&lt;&gt;$M$1,对接源_02物料!$B1086=""),0,IF(OR(N(对接源_02物料!$B1086)&lt;$M$2,N(对接源_02物料!$B1086)&gt;$M$3),0,1))</f>
        <v>0</v>
      </c>
      <c r="N2286">
        <f>IF(OR($N$1="",对接源_02物料!$C1086="",对接源_02物料!$C1086&lt;&gt;$N$1,对接源_02物料!$B1086=""),0,IF(OR(N(对接源_02物料!$B1086)&lt;$N$2,N(对接源_02物料!$B1086)&gt;$N$3),0,1))</f>
        <v>0</v>
      </c>
      <c r="P2286">
        <f>IF(AND($K2286=1,AND(对接源_02物料!$X1086="公司筐",N(对接源_02物料!$T1086)&lt;&gt;0)),1,0)</f>
        <v>0</v>
      </c>
      <c r="Q2286">
        <f>N(Q2285)+$P2286</f>
        <v>14</v>
      </c>
      <c r="R2286">
        <f>IF(AND($K2286=1,AND(对接源_02物料!$X1086="公司筐",N(对接源_02物料!$U1086)&lt;&gt;0)),1,0)</f>
        <v>0</v>
      </c>
      <c r="S2286">
        <f>N(S2285)+$R2286</f>
        <v>1</v>
      </c>
      <c r="T2286">
        <f>IF(AND($K2286=1,AND(对接源_02物料!$X1086="公司筐",N(对接源_02物料!$V1086)&lt;&gt;0)),1,0)</f>
        <v>0</v>
      </c>
      <c r="U2286">
        <f>N(U2285)+$T2286</f>
        <v>47</v>
      </c>
      <c r="V2286">
        <f>IF(AND($L2286=1,AND(对接源_02物料!$X1086="自备筐",N(对接源_02物料!$V1086)&lt;&gt;0)),1,0)</f>
        <v>0</v>
      </c>
      <c r="W2286">
        <f>N(W2285)+$V2286</f>
        <v>11</v>
      </c>
      <c r="X2286">
        <f>IF(AND($L2286=1,AND(对接源_02物料!$X1086="自备筐",N(对接源_02物料!$T1086)&lt;&gt;0)),1,0)</f>
        <v>0</v>
      </c>
      <c r="Y2286">
        <f>N(Y2285)+$X2286</f>
        <v>0</v>
      </c>
      <c r="Z2286">
        <f>IF(AND($M2286=1,对接源_02物料!$D1086="原料入库"),1,0)</f>
        <v>0</v>
      </c>
      <c r="AA2286">
        <f>N(AA2285)+$Z2286</f>
        <v>24</v>
      </c>
      <c r="AB2286">
        <f>IF(AND($M2286=1,LEFT(对接源_02物料!$D1086,4)="原料出库"),1,0)</f>
        <v>0</v>
      </c>
      <c r="AC2286">
        <f>N(AC2285)+$AB2286</f>
        <v>0</v>
      </c>
      <c r="AD2286">
        <f>IF(AND($M2286=1,LEFT(对接源_02物料!$D1086,4)="成品出库"),1,0)</f>
        <v>0</v>
      </c>
      <c r="AE2286">
        <f>N(AE2285)+$AD2286</f>
        <v>0</v>
      </c>
      <c r="AF2286">
        <f>IF(AND($N2286=1,AND(LEFT(对接源_02物料!$D1086,4)="包装物料",N(对接源_02物料!$K1086)&lt;&gt;0)),1,0)</f>
        <v>0</v>
      </c>
      <c r="AG2286">
        <f>N(AG2285)+$AF2286</f>
        <v>10</v>
      </c>
      <c r="AH2286">
        <f>IF(AND($N2286=1,AND(对接源_02物料!$D1086="周转筐－销售出库",N(对接源_02物料!$K1086)&lt;&gt;0)),1,0)</f>
        <v>0</v>
      </c>
      <c r="AI2286">
        <f>N(AI2285)+$AH2286</f>
        <v>0</v>
      </c>
      <c r="AL2286" t="n">
        <v>0</v>
      </c>
      <c r="AM2286">
        <f>N(AM2285)+$AL2286</f>
        <v>2</v>
      </c>
      <c r="AN2286">
        <f>""</f>
      </c>
      <c r="AO2286" t="n">
        <v>0</v>
      </c>
      <c r="AP2286">
        <f>N(AP2285)+$AO2286</f>
        <v>13</v>
      </c>
      <c r="AR2286">
        <f>IF(OR($AF2286=1,$AH2286=1),1,0)</f>
        <v>0</v>
      </c>
      <c r="AS2286">
        <f>N(AS2285)+$AR2286</f>
        <v>10</v>
      </c>
    </row>
    <row r="2287" s="127">
      <c r="A2287">
        <f>IF(对接源_02物料!$C1087="","",对接源_02物料!$C1087)</f>
      </c>
      <c r="B2287">
        <f>IF(A2287="",0,IF(MATCH(A2287,$A$4:$A$2403,0)=ROW()-3,1,0))</f>
        <v>0</v>
      </c>
      <c r="C2287">
        <f>N(C2286)+B2287</f>
        <v>26</v>
      </c>
      <c r="K2287">
        <f>IF(OR($K$1="",对接源_02物料!$C1087="",对接源_02物料!$C1087&lt;&gt;$K$1,对接源_02物料!$B1087=""),0,IF(OR(N(对接源_02物料!$B1087)&lt;$K$2,N(对接源_02物料!$B1087)&gt;$K$3),0,1))</f>
        <v>0</v>
      </c>
      <c r="L2287">
        <f>IF(OR($L$1="",对接源_02物料!$C1087="",对接源_02物料!$C1087&lt;&gt;$L$1,对接源_02物料!$B1087=""),0,IF(OR(N(对接源_02物料!$B1087)&lt;$L$2,N(对接源_02物料!$B1087)&gt;$L$3),0,1))</f>
        <v>0</v>
      </c>
      <c r="M2287">
        <f>IF(OR($M$1="",对接源_02物料!$C1087="",对接源_02物料!$C1087&lt;&gt;$M$1,对接源_02物料!$B1087=""),0,IF(OR(N(对接源_02物料!$B1087)&lt;$M$2,N(对接源_02物料!$B1087)&gt;$M$3),0,1))</f>
        <v>0</v>
      </c>
      <c r="N2287">
        <f>IF(OR($N$1="",对接源_02物料!$C1087="",对接源_02物料!$C1087&lt;&gt;$N$1,对接源_02物料!$B1087=""),0,IF(OR(N(对接源_02物料!$B1087)&lt;$N$2,N(对接源_02物料!$B1087)&gt;$N$3),0,1))</f>
        <v>0</v>
      </c>
      <c r="P2287">
        <f>IF(AND($K2287=1,AND(对接源_02物料!$X1087="公司筐",N(对接源_02物料!$T1087)&lt;&gt;0)),1,0)</f>
        <v>0</v>
      </c>
      <c r="Q2287">
        <f>N(Q2286)+$P2287</f>
        <v>14</v>
      </c>
      <c r="R2287">
        <f>IF(AND($K2287=1,AND(对接源_02物料!$X1087="公司筐",N(对接源_02物料!$U1087)&lt;&gt;0)),1,0)</f>
        <v>0</v>
      </c>
      <c r="S2287">
        <f>N(S2286)+$R2287</f>
        <v>1</v>
      </c>
      <c r="T2287">
        <f>IF(AND($K2287=1,AND(对接源_02物料!$X1087="公司筐",N(对接源_02物料!$V1087)&lt;&gt;0)),1,0)</f>
        <v>0</v>
      </c>
      <c r="U2287">
        <f>N(U2286)+$T2287</f>
        <v>47</v>
      </c>
      <c r="V2287">
        <f>IF(AND($L2287=1,AND(对接源_02物料!$X1087="自备筐",N(对接源_02物料!$V1087)&lt;&gt;0)),1,0)</f>
        <v>0</v>
      </c>
      <c r="W2287">
        <f>N(W2286)+$V2287</f>
        <v>11</v>
      </c>
      <c r="X2287">
        <f>IF(AND($L2287=1,AND(对接源_02物料!$X1087="自备筐",N(对接源_02物料!$T1087)&lt;&gt;0)),1,0)</f>
        <v>0</v>
      </c>
      <c r="Y2287">
        <f>N(Y2286)+$X2287</f>
        <v>0</v>
      </c>
      <c r="Z2287">
        <f>IF(AND($M2287=1,对接源_02物料!$D1087="原料入库"),1,0)</f>
        <v>0</v>
      </c>
      <c r="AA2287">
        <f>N(AA2286)+$Z2287</f>
        <v>24</v>
      </c>
      <c r="AB2287">
        <f>IF(AND($M2287=1,LEFT(对接源_02物料!$D1087,4)="原料出库"),1,0)</f>
        <v>0</v>
      </c>
      <c r="AC2287">
        <f>N(AC2286)+$AB2287</f>
        <v>0</v>
      </c>
      <c r="AD2287">
        <f>IF(AND($M2287=1,LEFT(对接源_02物料!$D1087,4)="成品出库"),1,0)</f>
        <v>0</v>
      </c>
      <c r="AE2287">
        <f>N(AE2286)+$AD2287</f>
        <v>0</v>
      </c>
      <c r="AF2287">
        <f>IF(AND($N2287=1,AND(LEFT(对接源_02物料!$D1087,4)="包装物料",N(对接源_02物料!$K1087)&lt;&gt;0)),1,0)</f>
        <v>0</v>
      </c>
      <c r="AG2287">
        <f>N(AG2286)+$AF2287</f>
        <v>10</v>
      </c>
      <c r="AH2287">
        <f>IF(AND($N2287=1,AND(对接源_02物料!$D1087="周转筐－销售出库",N(对接源_02物料!$K1087)&lt;&gt;0)),1,0)</f>
        <v>0</v>
      </c>
      <c r="AI2287">
        <f>N(AI2286)+$AH2287</f>
        <v>0</v>
      </c>
      <c r="AL2287" t="n">
        <v>0</v>
      </c>
      <c r="AM2287">
        <f>N(AM2286)+$AL2287</f>
        <v>2</v>
      </c>
      <c r="AN2287">
        <f>""</f>
      </c>
      <c r="AO2287" t="n">
        <v>0</v>
      </c>
      <c r="AP2287">
        <f>N(AP2286)+$AO2287</f>
        <v>13</v>
      </c>
      <c r="AR2287">
        <f>IF(OR($AF2287=1,$AH2287=1),1,0)</f>
        <v>0</v>
      </c>
      <c r="AS2287">
        <f>N(AS2286)+$AR2287</f>
        <v>10</v>
      </c>
    </row>
    <row r="2288" s="127">
      <c r="A2288">
        <f>IF(对接源_02物料!$C1088="","",对接源_02物料!$C1088)</f>
      </c>
      <c r="B2288">
        <f>IF(A2288="",0,IF(MATCH(A2288,$A$4:$A$2403,0)=ROW()-3,1,0))</f>
        <v>0</v>
      </c>
      <c r="C2288">
        <f>N(C2287)+B2288</f>
        <v>26</v>
      </c>
      <c r="K2288">
        <f>IF(OR($K$1="",对接源_02物料!$C1088="",对接源_02物料!$C1088&lt;&gt;$K$1,对接源_02物料!$B1088=""),0,IF(OR(N(对接源_02物料!$B1088)&lt;$K$2,N(对接源_02物料!$B1088)&gt;$K$3),0,1))</f>
        <v>0</v>
      </c>
      <c r="L2288">
        <f>IF(OR($L$1="",对接源_02物料!$C1088="",对接源_02物料!$C1088&lt;&gt;$L$1,对接源_02物料!$B1088=""),0,IF(OR(N(对接源_02物料!$B1088)&lt;$L$2,N(对接源_02物料!$B1088)&gt;$L$3),0,1))</f>
        <v>0</v>
      </c>
      <c r="M2288">
        <f>IF(OR($M$1="",对接源_02物料!$C1088="",对接源_02物料!$C1088&lt;&gt;$M$1,对接源_02物料!$B1088=""),0,IF(OR(N(对接源_02物料!$B1088)&lt;$M$2,N(对接源_02物料!$B1088)&gt;$M$3),0,1))</f>
        <v>0</v>
      </c>
      <c r="N2288">
        <f>IF(OR($N$1="",对接源_02物料!$C1088="",对接源_02物料!$C1088&lt;&gt;$N$1,对接源_02物料!$B1088=""),0,IF(OR(N(对接源_02物料!$B1088)&lt;$N$2,N(对接源_02物料!$B1088)&gt;$N$3),0,1))</f>
        <v>0</v>
      </c>
      <c r="P2288">
        <f>IF(AND($K2288=1,AND(对接源_02物料!$X1088="公司筐",N(对接源_02物料!$T1088)&lt;&gt;0)),1,0)</f>
        <v>0</v>
      </c>
      <c r="Q2288">
        <f>N(Q2287)+$P2288</f>
        <v>14</v>
      </c>
      <c r="R2288">
        <f>IF(AND($K2288=1,AND(对接源_02物料!$X1088="公司筐",N(对接源_02物料!$U1088)&lt;&gt;0)),1,0)</f>
        <v>0</v>
      </c>
      <c r="S2288">
        <f>N(S2287)+$R2288</f>
        <v>1</v>
      </c>
      <c r="T2288">
        <f>IF(AND($K2288=1,AND(对接源_02物料!$X1088="公司筐",N(对接源_02物料!$V1088)&lt;&gt;0)),1,0)</f>
        <v>0</v>
      </c>
      <c r="U2288">
        <f>N(U2287)+$T2288</f>
        <v>47</v>
      </c>
      <c r="V2288">
        <f>IF(AND($L2288=1,AND(对接源_02物料!$X1088="自备筐",N(对接源_02物料!$V1088)&lt;&gt;0)),1,0)</f>
        <v>0</v>
      </c>
      <c r="W2288">
        <f>N(W2287)+$V2288</f>
        <v>11</v>
      </c>
      <c r="X2288">
        <f>IF(AND($L2288=1,AND(对接源_02物料!$X1088="自备筐",N(对接源_02物料!$T1088)&lt;&gt;0)),1,0)</f>
        <v>0</v>
      </c>
      <c r="Y2288">
        <f>N(Y2287)+$X2288</f>
        <v>0</v>
      </c>
      <c r="Z2288">
        <f>IF(AND($M2288=1,对接源_02物料!$D1088="原料入库"),1,0)</f>
        <v>0</v>
      </c>
      <c r="AA2288">
        <f>N(AA2287)+$Z2288</f>
        <v>24</v>
      </c>
      <c r="AB2288">
        <f>IF(AND($M2288=1,LEFT(对接源_02物料!$D1088,4)="原料出库"),1,0)</f>
        <v>0</v>
      </c>
      <c r="AC2288">
        <f>N(AC2287)+$AB2288</f>
        <v>0</v>
      </c>
      <c r="AD2288">
        <f>IF(AND($M2288=1,LEFT(对接源_02物料!$D1088,4)="成品出库"),1,0)</f>
        <v>0</v>
      </c>
      <c r="AE2288">
        <f>N(AE2287)+$AD2288</f>
        <v>0</v>
      </c>
      <c r="AF2288">
        <f>IF(AND($N2288=1,AND(LEFT(对接源_02物料!$D1088,4)="包装物料",N(对接源_02物料!$K1088)&lt;&gt;0)),1,0)</f>
        <v>0</v>
      </c>
      <c r="AG2288">
        <f>N(AG2287)+$AF2288</f>
        <v>10</v>
      </c>
      <c r="AH2288">
        <f>IF(AND($N2288=1,AND(对接源_02物料!$D1088="周转筐－销售出库",N(对接源_02物料!$K1088)&lt;&gt;0)),1,0)</f>
        <v>0</v>
      </c>
      <c r="AI2288">
        <f>N(AI2287)+$AH2288</f>
        <v>0</v>
      </c>
      <c r="AL2288" t="n">
        <v>0</v>
      </c>
      <c r="AM2288">
        <f>N(AM2287)+$AL2288</f>
        <v>2</v>
      </c>
      <c r="AN2288">
        <f>""</f>
      </c>
      <c r="AO2288" t="n">
        <v>0</v>
      </c>
      <c r="AP2288">
        <f>N(AP2287)+$AO2288</f>
        <v>13</v>
      </c>
      <c r="AR2288">
        <f>IF(OR($AF2288=1,$AH2288=1),1,0)</f>
        <v>0</v>
      </c>
      <c r="AS2288">
        <f>N(AS2287)+$AR2288</f>
        <v>10</v>
      </c>
    </row>
    <row r="2289" s="127">
      <c r="A2289">
        <f>IF(对接源_02物料!$C1089="","",对接源_02物料!$C1089)</f>
      </c>
      <c r="B2289">
        <f>IF(A2289="",0,IF(MATCH(A2289,$A$4:$A$2403,0)=ROW()-3,1,0))</f>
        <v>0</v>
      </c>
      <c r="C2289">
        <f>N(C2288)+B2289</f>
        <v>26</v>
      </c>
      <c r="K2289">
        <f>IF(OR($K$1="",对接源_02物料!$C1089="",对接源_02物料!$C1089&lt;&gt;$K$1,对接源_02物料!$B1089=""),0,IF(OR(N(对接源_02物料!$B1089)&lt;$K$2,N(对接源_02物料!$B1089)&gt;$K$3),0,1))</f>
        <v>0</v>
      </c>
      <c r="L2289">
        <f>IF(OR($L$1="",对接源_02物料!$C1089="",对接源_02物料!$C1089&lt;&gt;$L$1,对接源_02物料!$B1089=""),0,IF(OR(N(对接源_02物料!$B1089)&lt;$L$2,N(对接源_02物料!$B1089)&gt;$L$3),0,1))</f>
        <v>0</v>
      </c>
      <c r="M2289">
        <f>IF(OR($M$1="",对接源_02物料!$C1089="",对接源_02物料!$C1089&lt;&gt;$M$1,对接源_02物料!$B1089=""),0,IF(OR(N(对接源_02物料!$B1089)&lt;$M$2,N(对接源_02物料!$B1089)&gt;$M$3),0,1))</f>
        <v>0</v>
      </c>
      <c r="N2289">
        <f>IF(OR($N$1="",对接源_02物料!$C1089="",对接源_02物料!$C1089&lt;&gt;$N$1,对接源_02物料!$B1089=""),0,IF(OR(N(对接源_02物料!$B1089)&lt;$N$2,N(对接源_02物料!$B1089)&gt;$N$3),0,1))</f>
        <v>0</v>
      </c>
      <c r="P2289">
        <f>IF(AND($K2289=1,AND(对接源_02物料!$X1089="公司筐",N(对接源_02物料!$T1089)&lt;&gt;0)),1,0)</f>
        <v>0</v>
      </c>
      <c r="Q2289">
        <f>N(Q2288)+$P2289</f>
        <v>14</v>
      </c>
      <c r="R2289">
        <f>IF(AND($K2289=1,AND(对接源_02物料!$X1089="公司筐",N(对接源_02物料!$U1089)&lt;&gt;0)),1,0)</f>
        <v>0</v>
      </c>
      <c r="S2289">
        <f>N(S2288)+$R2289</f>
        <v>1</v>
      </c>
      <c r="T2289">
        <f>IF(AND($K2289=1,AND(对接源_02物料!$X1089="公司筐",N(对接源_02物料!$V1089)&lt;&gt;0)),1,0)</f>
        <v>0</v>
      </c>
      <c r="U2289">
        <f>N(U2288)+$T2289</f>
        <v>47</v>
      </c>
      <c r="V2289">
        <f>IF(AND($L2289=1,AND(对接源_02物料!$X1089="自备筐",N(对接源_02物料!$V1089)&lt;&gt;0)),1,0)</f>
        <v>0</v>
      </c>
      <c r="W2289">
        <f>N(W2288)+$V2289</f>
        <v>11</v>
      </c>
      <c r="X2289">
        <f>IF(AND($L2289=1,AND(对接源_02物料!$X1089="自备筐",N(对接源_02物料!$T1089)&lt;&gt;0)),1,0)</f>
        <v>0</v>
      </c>
      <c r="Y2289">
        <f>N(Y2288)+$X2289</f>
        <v>0</v>
      </c>
      <c r="Z2289">
        <f>IF(AND($M2289=1,对接源_02物料!$D1089="原料入库"),1,0)</f>
        <v>0</v>
      </c>
      <c r="AA2289">
        <f>N(AA2288)+$Z2289</f>
        <v>24</v>
      </c>
      <c r="AB2289">
        <f>IF(AND($M2289=1,LEFT(对接源_02物料!$D1089,4)="原料出库"),1,0)</f>
        <v>0</v>
      </c>
      <c r="AC2289">
        <f>N(AC2288)+$AB2289</f>
        <v>0</v>
      </c>
      <c r="AD2289">
        <f>IF(AND($M2289=1,LEFT(对接源_02物料!$D1089,4)="成品出库"),1,0)</f>
        <v>0</v>
      </c>
      <c r="AE2289">
        <f>N(AE2288)+$AD2289</f>
        <v>0</v>
      </c>
      <c r="AF2289">
        <f>IF(AND($N2289=1,AND(LEFT(对接源_02物料!$D1089,4)="包装物料",N(对接源_02物料!$K1089)&lt;&gt;0)),1,0)</f>
        <v>0</v>
      </c>
      <c r="AG2289">
        <f>N(AG2288)+$AF2289</f>
        <v>10</v>
      </c>
      <c r="AH2289">
        <f>IF(AND($N2289=1,AND(对接源_02物料!$D1089="周转筐－销售出库",N(对接源_02物料!$K1089)&lt;&gt;0)),1,0)</f>
        <v>0</v>
      </c>
      <c r="AI2289">
        <f>N(AI2288)+$AH2289</f>
        <v>0</v>
      </c>
      <c r="AL2289" t="n">
        <v>0</v>
      </c>
      <c r="AM2289">
        <f>N(AM2288)+$AL2289</f>
        <v>2</v>
      </c>
      <c r="AN2289">
        <f>""</f>
      </c>
      <c r="AO2289" t="n">
        <v>0</v>
      </c>
      <c r="AP2289">
        <f>N(AP2288)+$AO2289</f>
        <v>13</v>
      </c>
      <c r="AR2289">
        <f>IF(OR($AF2289=1,$AH2289=1),1,0)</f>
        <v>0</v>
      </c>
      <c r="AS2289">
        <f>N(AS2288)+$AR2289</f>
        <v>10</v>
      </c>
    </row>
    <row r="2290" s="127">
      <c r="A2290">
        <f>IF(对接源_02物料!$C1090="","",对接源_02物料!$C1090)</f>
      </c>
      <c r="B2290">
        <f>IF(A2290="",0,IF(MATCH(A2290,$A$4:$A$2403,0)=ROW()-3,1,0))</f>
        <v>0</v>
      </c>
      <c r="C2290">
        <f>N(C2289)+B2290</f>
        <v>26</v>
      </c>
      <c r="K2290">
        <f>IF(OR($K$1="",对接源_02物料!$C1090="",对接源_02物料!$C1090&lt;&gt;$K$1,对接源_02物料!$B1090=""),0,IF(OR(N(对接源_02物料!$B1090)&lt;$K$2,N(对接源_02物料!$B1090)&gt;$K$3),0,1))</f>
        <v>0</v>
      </c>
      <c r="L2290">
        <f>IF(OR($L$1="",对接源_02物料!$C1090="",对接源_02物料!$C1090&lt;&gt;$L$1,对接源_02物料!$B1090=""),0,IF(OR(N(对接源_02物料!$B1090)&lt;$L$2,N(对接源_02物料!$B1090)&gt;$L$3),0,1))</f>
        <v>0</v>
      </c>
      <c r="M2290">
        <f>IF(OR($M$1="",对接源_02物料!$C1090="",对接源_02物料!$C1090&lt;&gt;$M$1,对接源_02物料!$B1090=""),0,IF(OR(N(对接源_02物料!$B1090)&lt;$M$2,N(对接源_02物料!$B1090)&gt;$M$3),0,1))</f>
        <v>0</v>
      </c>
      <c r="N2290">
        <f>IF(OR($N$1="",对接源_02物料!$C1090="",对接源_02物料!$C1090&lt;&gt;$N$1,对接源_02物料!$B1090=""),0,IF(OR(N(对接源_02物料!$B1090)&lt;$N$2,N(对接源_02物料!$B1090)&gt;$N$3),0,1))</f>
        <v>0</v>
      </c>
      <c r="P2290">
        <f>IF(AND($K2290=1,AND(对接源_02物料!$X1090="公司筐",N(对接源_02物料!$T1090)&lt;&gt;0)),1,0)</f>
        <v>0</v>
      </c>
      <c r="Q2290">
        <f>N(Q2289)+$P2290</f>
        <v>14</v>
      </c>
      <c r="R2290">
        <f>IF(AND($K2290=1,AND(对接源_02物料!$X1090="公司筐",N(对接源_02物料!$U1090)&lt;&gt;0)),1,0)</f>
        <v>0</v>
      </c>
      <c r="S2290">
        <f>N(S2289)+$R2290</f>
        <v>1</v>
      </c>
      <c r="T2290">
        <f>IF(AND($K2290=1,AND(对接源_02物料!$X1090="公司筐",N(对接源_02物料!$V1090)&lt;&gt;0)),1,0)</f>
        <v>0</v>
      </c>
      <c r="U2290">
        <f>N(U2289)+$T2290</f>
        <v>47</v>
      </c>
      <c r="V2290">
        <f>IF(AND($L2290=1,AND(对接源_02物料!$X1090="自备筐",N(对接源_02物料!$V1090)&lt;&gt;0)),1,0)</f>
        <v>0</v>
      </c>
      <c r="W2290">
        <f>N(W2289)+$V2290</f>
        <v>11</v>
      </c>
      <c r="X2290">
        <f>IF(AND($L2290=1,AND(对接源_02物料!$X1090="自备筐",N(对接源_02物料!$T1090)&lt;&gt;0)),1,0)</f>
        <v>0</v>
      </c>
      <c r="Y2290">
        <f>N(Y2289)+$X2290</f>
        <v>0</v>
      </c>
      <c r="Z2290">
        <f>IF(AND($M2290=1,对接源_02物料!$D1090="原料入库"),1,0)</f>
        <v>0</v>
      </c>
      <c r="AA2290">
        <f>N(AA2289)+$Z2290</f>
        <v>24</v>
      </c>
      <c r="AB2290">
        <f>IF(AND($M2290=1,LEFT(对接源_02物料!$D1090,4)="原料出库"),1,0)</f>
        <v>0</v>
      </c>
      <c r="AC2290">
        <f>N(AC2289)+$AB2290</f>
        <v>0</v>
      </c>
      <c r="AD2290">
        <f>IF(AND($M2290=1,LEFT(对接源_02物料!$D1090,4)="成品出库"),1,0)</f>
        <v>0</v>
      </c>
      <c r="AE2290">
        <f>N(AE2289)+$AD2290</f>
        <v>0</v>
      </c>
      <c r="AF2290">
        <f>IF(AND($N2290=1,AND(LEFT(对接源_02物料!$D1090,4)="包装物料",N(对接源_02物料!$K1090)&lt;&gt;0)),1,0)</f>
        <v>0</v>
      </c>
      <c r="AG2290">
        <f>N(AG2289)+$AF2290</f>
        <v>10</v>
      </c>
      <c r="AH2290">
        <f>IF(AND($N2290=1,AND(对接源_02物料!$D1090="周转筐－销售出库",N(对接源_02物料!$K1090)&lt;&gt;0)),1,0)</f>
        <v>0</v>
      </c>
      <c r="AI2290">
        <f>N(AI2289)+$AH2290</f>
        <v>0</v>
      </c>
      <c r="AL2290" t="n">
        <v>0</v>
      </c>
      <c r="AM2290">
        <f>N(AM2289)+$AL2290</f>
        <v>2</v>
      </c>
      <c r="AN2290">
        <f>""</f>
      </c>
      <c r="AO2290" t="n">
        <v>0</v>
      </c>
      <c r="AP2290">
        <f>N(AP2289)+$AO2290</f>
        <v>13</v>
      </c>
      <c r="AR2290">
        <f>IF(OR($AF2290=1,$AH2290=1),1,0)</f>
        <v>0</v>
      </c>
      <c r="AS2290">
        <f>N(AS2289)+$AR2290</f>
        <v>10</v>
      </c>
    </row>
    <row r="2291" s="127">
      <c r="A2291">
        <f>IF(对接源_02物料!$C1091="","",对接源_02物料!$C1091)</f>
      </c>
      <c r="B2291">
        <f>IF(A2291="",0,IF(MATCH(A2291,$A$4:$A$2403,0)=ROW()-3,1,0))</f>
        <v>0</v>
      </c>
      <c r="C2291">
        <f>N(C2290)+B2291</f>
        <v>26</v>
      </c>
      <c r="K2291">
        <f>IF(OR($K$1="",对接源_02物料!$C1091="",对接源_02物料!$C1091&lt;&gt;$K$1,对接源_02物料!$B1091=""),0,IF(OR(N(对接源_02物料!$B1091)&lt;$K$2,N(对接源_02物料!$B1091)&gt;$K$3),0,1))</f>
        <v>0</v>
      </c>
      <c r="L2291">
        <f>IF(OR($L$1="",对接源_02物料!$C1091="",对接源_02物料!$C1091&lt;&gt;$L$1,对接源_02物料!$B1091=""),0,IF(OR(N(对接源_02物料!$B1091)&lt;$L$2,N(对接源_02物料!$B1091)&gt;$L$3),0,1))</f>
        <v>0</v>
      </c>
      <c r="M2291">
        <f>IF(OR($M$1="",对接源_02物料!$C1091="",对接源_02物料!$C1091&lt;&gt;$M$1,对接源_02物料!$B1091=""),0,IF(OR(N(对接源_02物料!$B1091)&lt;$M$2,N(对接源_02物料!$B1091)&gt;$M$3),0,1))</f>
        <v>0</v>
      </c>
      <c r="N2291">
        <f>IF(OR($N$1="",对接源_02物料!$C1091="",对接源_02物料!$C1091&lt;&gt;$N$1,对接源_02物料!$B1091=""),0,IF(OR(N(对接源_02物料!$B1091)&lt;$N$2,N(对接源_02物料!$B1091)&gt;$N$3),0,1))</f>
        <v>0</v>
      </c>
      <c r="P2291">
        <f>IF(AND($K2291=1,AND(对接源_02物料!$X1091="公司筐",N(对接源_02物料!$T1091)&lt;&gt;0)),1,0)</f>
        <v>0</v>
      </c>
      <c r="Q2291">
        <f>N(Q2290)+$P2291</f>
        <v>14</v>
      </c>
      <c r="R2291">
        <f>IF(AND($K2291=1,AND(对接源_02物料!$X1091="公司筐",N(对接源_02物料!$U1091)&lt;&gt;0)),1,0)</f>
        <v>0</v>
      </c>
      <c r="S2291">
        <f>N(S2290)+$R2291</f>
        <v>1</v>
      </c>
      <c r="T2291">
        <f>IF(AND($K2291=1,AND(对接源_02物料!$X1091="公司筐",N(对接源_02物料!$V1091)&lt;&gt;0)),1,0)</f>
        <v>0</v>
      </c>
      <c r="U2291">
        <f>N(U2290)+$T2291</f>
        <v>47</v>
      </c>
      <c r="V2291">
        <f>IF(AND($L2291=1,AND(对接源_02物料!$X1091="自备筐",N(对接源_02物料!$V1091)&lt;&gt;0)),1,0)</f>
        <v>0</v>
      </c>
      <c r="W2291">
        <f>N(W2290)+$V2291</f>
        <v>11</v>
      </c>
      <c r="X2291">
        <f>IF(AND($L2291=1,AND(对接源_02物料!$X1091="自备筐",N(对接源_02物料!$T1091)&lt;&gt;0)),1,0)</f>
        <v>0</v>
      </c>
      <c r="Y2291">
        <f>N(Y2290)+$X2291</f>
        <v>0</v>
      </c>
      <c r="Z2291">
        <f>IF(AND($M2291=1,对接源_02物料!$D1091="原料入库"),1,0)</f>
        <v>0</v>
      </c>
      <c r="AA2291">
        <f>N(AA2290)+$Z2291</f>
        <v>24</v>
      </c>
      <c r="AB2291">
        <f>IF(AND($M2291=1,LEFT(对接源_02物料!$D1091,4)="原料出库"),1,0)</f>
        <v>0</v>
      </c>
      <c r="AC2291">
        <f>N(AC2290)+$AB2291</f>
        <v>0</v>
      </c>
      <c r="AD2291">
        <f>IF(AND($M2291=1,LEFT(对接源_02物料!$D1091,4)="成品出库"),1,0)</f>
        <v>0</v>
      </c>
      <c r="AE2291">
        <f>N(AE2290)+$AD2291</f>
        <v>0</v>
      </c>
      <c r="AF2291">
        <f>IF(AND($N2291=1,AND(LEFT(对接源_02物料!$D1091,4)="包装物料",N(对接源_02物料!$K1091)&lt;&gt;0)),1,0)</f>
        <v>0</v>
      </c>
      <c r="AG2291">
        <f>N(AG2290)+$AF2291</f>
        <v>10</v>
      </c>
      <c r="AH2291">
        <f>IF(AND($N2291=1,AND(对接源_02物料!$D1091="周转筐－销售出库",N(对接源_02物料!$K1091)&lt;&gt;0)),1,0)</f>
        <v>0</v>
      </c>
      <c r="AI2291">
        <f>N(AI2290)+$AH2291</f>
        <v>0</v>
      </c>
      <c r="AL2291" t="n">
        <v>0</v>
      </c>
      <c r="AM2291">
        <f>N(AM2290)+$AL2291</f>
        <v>2</v>
      </c>
      <c r="AN2291">
        <f>""</f>
      </c>
      <c r="AO2291" t="n">
        <v>0</v>
      </c>
      <c r="AP2291">
        <f>N(AP2290)+$AO2291</f>
        <v>13</v>
      </c>
      <c r="AR2291">
        <f>IF(OR($AF2291=1,$AH2291=1),1,0)</f>
        <v>0</v>
      </c>
      <c r="AS2291">
        <f>N(AS2290)+$AR2291</f>
        <v>10</v>
      </c>
    </row>
    <row r="2292" s="127">
      <c r="A2292">
        <f>IF(对接源_02物料!$C1092="","",对接源_02物料!$C1092)</f>
      </c>
      <c r="B2292">
        <f>IF(A2292="",0,IF(MATCH(A2292,$A$4:$A$2403,0)=ROW()-3,1,0))</f>
        <v>0</v>
      </c>
      <c r="C2292">
        <f>N(C2291)+B2292</f>
        <v>26</v>
      </c>
      <c r="K2292">
        <f>IF(OR($K$1="",对接源_02物料!$C1092="",对接源_02物料!$C1092&lt;&gt;$K$1,对接源_02物料!$B1092=""),0,IF(OR(N(对接源_02物料!$B1092)&lt;$K$2,N(对接源_02物料!$B1092)&gt;$K$3),0,1))</f>
        <v>0</v>
      </c>
      <c r="L2292">
        <f>IF(OR($L$1="",对接源_02物料!$C1092="",对接源_02物料!$C1092&lt;&gt;$L$1,对接源_02物料!$B1092=""),0,IF(OR(N(对接源_02物料!$B1092)&lt;$L$2,N(对接源_02物料!$B1092)&gt;$L$3),0,1))</f>
        <v>0</v>
      </c>
      <c r="M2292">
        <f>IF(OR($M$1="",对接源_02物料!$C1092="",对接源_02物料!$C1092&lt;&gt;$M$1,对接源_02物料!$B1092=""),0,IF(OR(N(对接源_02物料!$B1092)&lt;$M$2,N(对接源_02物料!$B1092)&gt;$M$3),0,1))</f>
        <v>0</v>
      </c>
      <c r="N2292">
        <f>IF(OR($N$1="",对接源_02物料!$C1092="",对接源_02物料!$C1092&lt;&gt;$N$1,对接源_02物料!$B1092=""),0,IF(OR(N(对接源_02物料!$B1092)&lt;$N$2,N(对接源_02物料!$B1092)&gt;$N$3),0,1))</f>
        <v>0</v>
      </c>
      <c r="P2292">
        <f>IF(AND($K2292=1,AND(对接源_02物料!$X1092="公司筐",N(对接源_02物料!$T1092)&lt;&gt;0)),1,0)</f>
        <v>0</v>
      </c>
      <c r="Q2292">
        <f>N(Q2291)+$P2292</f>
        <v>14</v>
      </c>
      <c r="R2292">
        <f>IF(AND($K2292=1,AND(对接源_02物料!$X1092="公司筐",N(对接源_02物料!$U1092)&lt;&gt;0)),1,0)</f>
        <v>0</v>
      </c>
      <c r="S2292">
        <f>N(S2291)+$R2292</f>
        <v>1</v>
      </c>
      <c r="T2292">
        <f>IF(AND($K2292=1,AND(对接源_02物料!$X1092="公司筐",N(对接源_02物料!$V1092)&lt;&gt;0)),1,0)</f>
        <v>0</v>
      </c>
      <c r="U2292">
        <f>N(U2291)+$T2292</f>
        <v>47</v>
      </c>
      <c r="V2292">
        <f>IF(AND($L2292=1,AND(对接源_02物料!$X1092="自备筐",N(对接源_02物料!$V1092)&lt;&gt;0)),1,0)</f>
        <v>0</v>
      </c>
      <c r="W2292">
        <f>N(W2291)+$V2292</f>
        <v>11</v>
      </c>
      <c r="X2292">
        <f>IF(AND($L2292=1,AND(对接源_02物料!$X1092="自备筐",N(对接源_02物料!$T1092)&lt;&gt;0)),1,0)</f>
        <v>0</v>
      </c>
      <c r="Y2292">
        <f>N(Y2291)+$X2292</f>
        <v>0</v>
      </c>
      <c r="Z2292">
        <f>IF(AND($M2292=1,对接源_02物料!$D1092="原料入库"),1,0)</f>
        <v>0</v>
      </c>
      <c r="AA2292">
        <f>N(AA2291)+$Z2292</f>
        <v>24</v>
      </c>
      <c r="AB2292">
        <f>IF(AND($M2292=1,LEFT(对接源_02物料!$D1092,4)="原料出库"),1,0)</f>
        <v>0</v>
      </c>
      <c r="AC2292">
        <f>N(AC2291)+$AB2292</f>
        <v>0</v>
      </c>
      <c r="AD2292">
        <f>IF(AND($M2292=1,LEFT(对接源_02物料!$D1092,4)="成品出库"),1,0)</f>
        <v>0</v>
      </c>
      <c r="AE2292">
        <f>N(AE2291)+$AD2292</f>
        <v>0</v>
      </c>
      <c r="AF2292">
        <f>IF(AND($N2292=1,AND(LEFT(对接源_02物料!$D1092,4)="包装物料",N(对接源_02物料!$K1092)&lt;&gt;0)),1,0)</f>
        <v>0</v>
      </c>
      <c r="AG2292">
        <f>N(AG2291)+$AF2292</f>
        <v>10</v>
      </c>
      <c r="AH2292">
        <f>IF(AND($N2292=1,AND(对接源_02物料!$D1092="周转筐－销售出库",N(对接源_02物料!$K1092)&lt;&gt;0)),1,0)</f>
        <v>0</v>
      </c>
      <c r="AI2292">
        <f>N(AI2291)+$AH2292</f>
        <v>0</v>
      </c>
      <c r="AL2292" t="n">
        <v>0</v>
      </c>
      <c r="AM2292">
        <f>N(AM2291)+$AL2292</f>
        <v>2</v>
      </c>
      <c r="AN2292">
        <f>""</f>
      </c>
      <c r="AO2292" t="n">
        <v>0</v>
      </c>
      <c r="AP2292">
        <f>N(AP2291)+$AO2292</f>
        <v>13</v>
      </c>
      <c r="AR2292">
        <f>IF(OR($AF2292=1,$AH2292=1),1,0)</f>
        <v>0</v>
      </c>
      <c r="AS2292">
        <f>N(AS2291)+$AR2292</f>
        <v>10</v>
      </c>
    </row>
    <row r="2293" s="127">
      <c r="A2293">
        <f>IF(对接源_02物料!$C1093="","",对接源_02物料!$C1093)</f>
      </c>
      <c r="B2293">
        <f>IF(A2293="",0,IF(MATCH(A2293,$A$4:$A$2403,0)=ROW()-3,1,0))</f>
        <v>0</v>
      </c>
      <c r="C2293">
        <f>N(C2292)+B2293</f>
        <v>26</v>
      </c>
      <c r="K2293">
        <f>IF(OR($K$1="",对接源_02物料!$C1093="",对接源_02物料!$C1093&lt;&gt;$K$1,对接源_02物料!$B1093=""),0,IF(OR(N(对接源_02物料!$B1093)&lt;$K$2,N(对接源_02物料!$B1093)&gt;$K$3),0,1))</f>
        <v>0</v>
      </c>
      <c r="L2293">
        <f>IF(OR($L$1="",对接源_02物料!$C1093="",对接源_02物料!$C1093&lt;&gt;$L$1,对接源_02物料!$B1093=""),0,IF(OR(N(对接源_02物料!$B1093)&lt;$L$2,N(对接源_02物料!$B1093)&gt;$L$3),0,1))</f>
        <v>0</v>
      </c>
      <c r="M2293">
        <f>IF(OR($M$1="",对接源_02物料!$C1093="",对接源_02物料!$C1093&lt;&gt;$M$1,对接源_02物料!$B1093=""),0,IF(OR(N(对接源_02物料!$B1093)&lt;$M$2,N(对接源_02物料!$B1093)&gt;$M$3),0,1))</f>
        <v>0</v>
      </c>
      <c r="N2293">
        <f>IF(OR($N$1="",对接源_02物料!$C1093="",对接源_02物料!$C1093&lt;&gt;$N$1,对接源_02物料!$B1093=""),0,IF(OR(N(对接源_02物料!$B1093)&lt;$N$2,N(对接源_02物料!$B1093)&gt;$N$3),0,1))</f>
        <v>0</v>
      </c>
      <c r="P2293">
        <f>IF(AND($K2293=1,AND(对接源_02物料!$X1093="公司筐",N(对接源_02物料!$T1093)&lt;&gt;0)),1,0)</f>
        <v>0</v>
      </c>
      <c r="Q2293">
        <f>N(Q2292)+$P2293</f>
        <v>14</v>
      </c>
      <c r="R2293">
        <f>IF(AND($K2293=1,AND(对接源_02物料!$X1093="公司筐",N(对接源_02物料!$U1093)&lt;&gt;0)),1,0)</f>
        <v>0</v>
      </c>
      <c r="S2293">
        <f>N(S2292)+$R2293</f>
        <v>1</v>
      </c>
      <c r="T2293">
        <f>IF(AND($K2293=1,AND(对接源_02物料!$X1093="公司筐",N(对接源_02物料!$V1093)&lt;&gt;0)),1,0)</f>
        <v>0</v>
      </c>
      <c r="U2293">
        <f>N(U2292)+$T2293</f>
        <v>47</v>
      </c>
      <c r="V2293">
        <f>IF(AND($L2293=1,AND(对接源_02物料!$X1093="自备筐",N(对接源_02物料!$V1093)&lt;&gt;0)),1,0)</f>
        <v>0</v>
      </c>
      <c r="W2293">
        <f>N(W2292)+$V2293</f>
        <v>11</v>
      </c>
      <c r="X2293">
        <f>IF(AND($L2293=1,AND(对接源_02物料!$X1093="自备筐",N(对接源_02物料!$T1093)&lt;&gt;0)),1,0)</f>
        <v>0</v>
      </c>
      <c r="Y2293">
        <f>N(Y2292)+$X2293</f>
        <v>0</v>
      </c>
      <c r="Z2293">
        <f>IF(AND($M2293=1,对接源_02物料!$D1093="原料入库"),1,0)</f>
        <v>0</v>
      </c>
      <c r="AA2293">
        <f>N(AA2292)+$Z2293</f>
        <v>24</v>
      </c>
      <c r="AB2293">
        <f>IF(AND($M2293=1,LEFT(对接源_02物料!$D1093,4)="原料出库"),1,0)</f>
        <v>0</v>
      </c>
      <c r="AC2293">
        <f>N(AC2292)+$AB2293</f>
        <v>0</v>
      </c>
      <c r="AD2293">
        <f>IF(AND($M2293=1,LEFT(对接源_02物料!$D1093,4)="成品出库"),1,0)</f>
        <v>0</v>
      </c>
      <c r="AE2293">
        <f>N(AE2292)+$AD2293</f>
        <v>0</v>
      </c>
      <c r="AF2293">
        <f>IF(AND($N2293=1,AND(LEFT(对接源_02物料!$D1093,4)="包装物料",N(对接源_02物料!$K1093)&lt;&gt;0)),1,0)</f>
        <v>0</v>
      </c>
      <c r="AG2293">
        <f>N(AG2292)+$AF2293</f>
        <v>10</v>
      </c>
      <c r="AH2293">
        <f>IF(AND($N2293=1,AND(对接源_02物料!$D1093="周转筐－销售出库",N(对接源_02物料!$K1093)&lt;&gt;0)),1,0)</f>
        <v>0</v>
      </c>
      <c r="AI2293">
        <f>N(AI2292)+$AH2293</f>
        <v>0</v>
      </c>
      <c r="AL2293" t="n">
        <v>0</v>
      </c>
      <c r="AM2293">
        <f>N(AM2292)+$AL2293</f>
        <v>2</v>
      </c>
      <c r="AN2293">
        <f>""</f>
      </c>
      <c r="AO2293" t="n">
        <v>0</v>
      </c>
      <c r="AP2293">
        <f>N(AP2292)+$AO2293</f>
        <v>13</v>
      </c>
      <c r="AR2293">
        <f>IF(OR($AF2293=1,$AH2293=1),1,0)</f>
        <v>0</v>
      </c>
      <c r="AS2293">
        <f>N(AS2292)+$AR2293</f>
        <v>10</v>
      </c>
    </row>
    <row r="2294" s="127">
      <c r="A2294">
        <f>IF(对接源_02物料!$C1094="","",对接源_02物料!$C1094)</f>
      </c>
      <c r="B2294">
        <f>IF(A2294="",0,IF(MATCH(A2294,$A$4:$A$2403,0)=ROW()-3,1,0))</f>
        <v>0</v>
      </c>
      <c r="C2294">
        <f>N(C2293)+B2294</f>
        <v>26</v>
      </c>
      <c r="K2294">
        <f>IF(OR($K$1="",对接源_02物料!$C1094="",对接源_02物料!$C1094&lt;&gt;$K$1,对接源_02物料!$B1094=""),0,IF(OR(N(对接源_02物料!$B1094)&lt;$K$2,N(对接源_02物料!$B1094)&gt;$K$3),0,1))</f>
        <v>0</v>
      </c>
      <c r="L2294">
        <f>IF(OR($L$1="",对接源_02物料!$C1094="",对接源_02物料!$C1094&lt;&gt;$L$1,对接源_02物料!$B1094=""),0,IF(OR(N(对接源_02物料!$B1094)&lt;$L$2,N(对接源_02物料!$B1094)&gt;$L$3),0,1))</f>
        <v>0</v>
      </c>
      <c r="M2294">
        <f>IF(OR($M$1="",对接源_02物料!$C1094="",对接源_02物料!$C1094&lt;&gt;$M$1,对接源_02物料!$B1094=""),0,IF(OR(N(对接源_02物料!$B1094)&lt;$M$2,N(对接源_02物料!$B1094)&gt;$M$3),0,1))</f>
        <v>0</v>
      </c>
      <c r="N2294">
        <f>IF(OR($N$1="",对接源_02物料!$C1094="",对接源_02物料!$C1094&lt;&gt;$N$1,对接源_02物料!$B1094=""),0,IF(OR(N(对接源_02物料!$B1094)&lt;$N$2,N(对接源_02物料!$B1094)&gt;$N$3),0,1))</f>
        <v>0</v>
      </c>
      <c r="P2294">
        <f>IF(AND($K2294=1,AND(对接源_02物料!$X1094="公司筐",N(对接源_02物料!$T1094)&lt;&gt;0)),1,0)</f>
        <v>0</v>
      </c>
      <c r="Q2294">
        <f>N(Q2293)+$P2294</f>
        <v>14</v>
      </c>
      <c r="R2294">
        <f>IF(AND($K2294=1,AND(对接源_02物料!$X1094="公司筐",N(对接源_02物料!$U1094)&lt;&gt;0)),1,0)</f>
        <v>0</v>
      </c>
      <c r="S2294">
        <f>N(S2293)+$R2294</f>
        <v>1</v>
      </c>
      <c r="T2294">
        <f>IF(AND($K2294=1,AND(对接源_02物料!$X1094="公司筐",N(对接源_02物料!$V1094)&lt;&gt;0)),1,0)</f>
        <v>0</v>
      </c>
      <c r="U2294">
        <f>N(U2293)+$T2294</f>
        <v>47</v>
      </c>
      <c r="V2294">
        <f>IF(AND($L2294=1,AND(对接源_02物料!$X1094="自备筐",N(对接源_02物料!$V1094)&lt;&gt;0)),1,0)</f>
        <v>0</v>
      </c>
      <c r="W2294">
        <f>N(W2293)+$V2294</f>
        <v>11</v>
      </c>
      <c r="X2294">
        <f>IF(AND($L2294=1,AND(对接源_02物料!$X1094="自备筐",N(对接源_02物料!$T1094)&lt;&gt;0)),1,0)</f>
        <v>0</v>
      </c>
      <c r="Y2294">
        <f>N(Y2293)+$X2294</f>
        <v>0</v>
      </c>
      <c r="Z2294">
        <f>IF(AND($M2294=1,对接源_02物料!$D1094="原料入库"),1,0)</f>
        <v>0</v>
      </c>
      <c r="AA2294">
        <f>N(AA2293)+$Z2294</f>
        <v>24</v>
      </c>
      <c r="AB2294">
        <f>IF(AND($M2294=1,LEFT(对接源_02物料!$D1094,4)="原料出库"),1,0)</f>
        <v>0</v>
      </c>
      <c r="AC2294">
        <f>N(AC2293)+$AB2294</f>
        <v>0</v>
      </c>
      <c r="AD2294">
        <f>IF(AND($M2294=1,LEFT(对接源_02物料!$D1094,4)="成品出库"),1,0)</f>
        <v>0</v>
      </c>
      <c r="AE2294">
        <f>N(AE2293)+$AD2294</f>
        <v>0</v>
      </c>
      <c r="AF2294">
        <f>IF(AND($N2294=1,AND(LEFT(对接源_02物料!$D1094,4)="包装物料",N(对接源_02物料!$K1094)&lt;&gt;0)),1,0)</f>
        <v>0</v>
      </c>
      <c r="AG2294">
        <f>N(AG2293)+$AF2294</f>
        <v>10</v>
      </c>
      <c r="AH2294">
        <f>IF(AND($N2294=1,AND(对接源_02物料!$D1094="周转筐－销售出库",N(对接源_02物料!$K1094)&lt;&gt;0)),1,0)</f>
        <v>0</v>
      </c>
      <c r="AI2294">
        <f>N(AI2293)+$AH2294</f>
        <v>0</v>
      </c>
      <c r="AL2294" t="n">
        <v>0</v>
      </c>
      <c r="AM2294">
        <f>N(AM2293)+$AL2294</f>
        <v>2</v>
      </c>
      <c r="AN2294">
        <f>""</f>
      </c>
      <c r="AO2294" t="n">
        <v>0</v>
      </c>
      <c r="AP2294">
        <f>N(AP2293)+$AO2294</f>
        <v>13</v>
      </c>
      <c r="AR2294">
        <f>IF(OR($AF2294=1,$AH2294=1),1,0)</f>
        <v>0</v>
      </c>
      <c r="AS2294">
        <f>N(AS2293)+$AR2294</f>
        <v>10</v>
      </c>
    </row>
    <row r="2295" s="127">
      <c r="A2295">
        <f>IF(对接源_02物料!$C1095="","",对接源_02物料!$C1095)</f>
      </c>
      <c r="B2295">
        <f>IF(A2295="",0,IF(MATCH(A2295,$A$4:$A$2403,0)=ROW()-3,1,0))</f>
        <v>0</v>
      </c>
      <c r="C2295">
        <f>N(C2294)+B2295</f>
        <v>26</v>
      </c>
      <c r="K2295">
        <f>IF(OR($K$1="",对接源_02物料!$C1095="",对接源_02物料!$C1095&lt;&gt;$K$1,对接源_02物料!$B1095=""),0,IF(OR(N(对接源_02物料!$B1095)&lt;$K$2,N(对接源_02物料!$B1095)&gt;$K$3),0,1))</f>
        <v>0</v>
      </c>
      <c r="L2295">
        <f>IF(OR($L$1="",对接源_02物料!$C1095="",对接源_02物料!$C1095&lt;&gt;$L$1,对接源_02物料!$B1095=""),0,IF(OR(N(对接源_02物料!$B1095)&lt;$L$2,N(对接源_02物料!$B1095)&gt;$L$3),0,1))</f>
        <v>0</v>
      </c>
      <c r="M2295">
        <f>IF(OR($M$1="",对接源_02物料!$C1095="",对接源_02物料!$C1095&lt;&gt;$M$1,对接源_02物料!$B1095=""),0,IF(OR(N(对接源_02物料!$B1095)&lt;$M$2,N(对接源_02物料!$B1095)&gt;$M$3),0,1))</f>
        <v>0</v>
      </c>
      <c r="N2295">
        <f>IF(OR($N$1="",对接源_02物料!$C1095="",对接源_02物料!$C1095&lt;&gt;$N$1,对接源_02物料!$B1095=""),0,IF(OR(N(对接源_02物料!$B1095)&lt;$N$2,N(对接源_02物料!$B1095)&gt;$N$3),0,1))</f>
        <v>0</v>
      </c>
      <c r="P2295">
        <f>IF(AND($K2295=1,AND(对接源_02物料!$X1095="公司筐",N(对接源_02物料!$T1095)&lt;&gt;0)),1,0)</f>
        <v>0</v>
      </c>
      <c r="Q2295">
        <f>N(Q2294)+$P2295</f>
        <v>14</v>
      </c>
      <c r="R2295">
        <f>IF(AND($K2295=1,AND(对接源_02物料!$X1095="公司筐",N(对接源_02物料!$U1095)&lt;&gt;0)),1,0)</f>
        <v>0</v>
      </c>
      <c r="S2295">
        <f>N(S2294)+$R2295</f>
        <v>1</v>
      </c>
      <c r="T2295">
        <f>IF(AND($K2295=1,AND(对接源_02物料!$X1095="公司筐",N(对接源_02物料!$V1095)&lt;&gt;0)),1,0)</f>
        <v>0</v>
      </c>
      <c r="U2295">
        <f>N(U2294)+$T2295</f>
        <v>47</v>
      </c>
      <c r="V2295">
        <f>IF(AND($L2295=1,AND(对接源_02物料!$X1095="自备筐",N(对接源_02物料!$V1095)&lt;&gt;0)),1,0)</f>
        <v>0</v>
      </c>
      <c r="W2295">
        <f>N(W2294)+$V2295</f>
        <v>11</v>
      </c>
      <c r="X2295">
        <f>IF(AND($L2295=1,AND(对接源_02物料!$X1095="自备筐",N(对接源_02物料!$T1095)&lt;&gt;0)),1,0)</f>
        <v>0</v>
      </c>
      <c r="Y2295">
        <f>N(Y2294)+$X2295</f>
        <v>0</v>
      </c>
      <c r="Z2295">
        <f>IF(AND($M2295=1,对接源_02物料!$D1095="原料入库"),1,0)</f>
        <v>0</v>
      </c>
      <c r="AA2295">
        <f>N(AA2294)+$Z2295</f>
        <v>24</v>
      </c>
      <c r="AB2295">
        <f>IF(AND($M2295=1,LEFT(对接源_02物料!$D1095,4)="原料出库"),1,0)</f>
        <v>0</v>
      </c>
      <c r="AC2295">
        <f>N(AC2294)+$AB2295</f>
        <v>0</v>
      </c>
      <c r="AD2295">
        <f>IF(AND($M2295=1,LEFT(对接源_02物料!$D1095,4)="成品出库"),1,0)</f>
        <v>0</v>
      </c>
      <c r="AE2295">
        <f>N(AE2294)+$AD2295</f>
        <v>0</v>
      </c>
      <c r="AF2295">
        <f>IF(AND($N2295=1,AND(LEFT(对接源_02物料!$D1095,4)="包装物料",N(对接源_02物料!$K1095)&lt;&gt;0)),1,0)</f>
        <v>0</v>
      </c>
      <c r="AG2295">
        <f>N(AG2294)+$AF2295</f>
        <v>10</v>
      </c>
      <c r="AH2295">
        <f>IF(AND($N2295=1,AND(对接源_02物料!$D1095="周转筐－销售出库",N(对接源_02物料!$K1095)&lt;&gt;0)),1,0)</f>
        <v>0</v>
      </c>
      <c r="AI2295">
        <f>N(AI2294)+$AH2295</f>
        <v>0</v>
      </c>
      <c r="AL2295" t="n">
        <v>0</v>
      </c>
      <c r="AM2295">
        <f>N(AM2294)+$AL2295</f>
        <v>2</v>
      </c>
      <c r="AN2295">
        <f>""</f>
      </c>
      <c r="AO2295" t="n">
        <v>0</v>
      </c>
      <c r="AP2295">
        <f>N(AP2294)+$AO2295</f>
        <v>13</v>
      </c>
      <c r="AR2295">
        <f>IF(OR($AF2295=1,$AH2295=1),1,0)</f>
        <v>0</v>
      </c>
      <c r="AS2295">
        <f>N(AS2294)+$AR2295</f>
        <v>10</v>
      </c>
    </row>
    <row r="2296" s="127">
      <c r="A2296">
        <f>IF(对接源_02物料!$C1096="","",对接源_02物料!$C1096)</f>
      </c>
      <c r="B2296">
        <f>IF(A2296="",0,IF(MATCH(A2296,$A$4:$A$2403,0)=ROW()-3,1,0))</f>
        <v>0</v>
      </c>
      <c r="C2296">
        <f>N(C2295)+B2296</f>
        <v>26</v>
      </c>
      <c r="K2296">
        <f>IF(OR($K$1="",对接源_02物料!$C1096="",对接源_02物料!$C1096&lt;&gt;$K$1,对接源_02物料!$B1096=""),0,IF(OR(N(对接源_02物料!$B1096)&lt;$K$2,N(对接源_02物料!$B1096)&gt;$K$3),0,1))</f>
        <v>0</v>
      </c>
      <c r="L2296">
        <f>IF(OR($L$1="",对接源_02物料!$C1096="",对接源_02物料!$C1096&lt;&gt;$L$1,对接源_02物料!$B1096=""),0,IF(OR(N(对接源_02物料!$B1096)&lt;$L$2,N(对接源_02物料!$B1096)&gt;$L$3),0,1))</f>
        <v>0</v>
      </c>
      <c r="M2296">
        <f>IF(OR($M$1="",对接源_02物料!$C1096="",对接源_02物料!$C1096&lt;&gt;$M$1,对接源_02物料!$B1096=""),0,IF(OR(N(对接源_02物料!$B1096)&lt;$M$2,N(对接源_02物料!$B1096)&gt;$M$3),0,1))</f>
        <v>0</v>
      </c>
      <c r="N2296">
        <f>IF(OR($N$1="",对接源_02物料!$C1096="",对接源_02物料!$C1096&lt;&gt;$N$1,对接源_02物料!$B1096=""),0,IF(OR(N(对接源_02物料!$B1096)&lt;$N$2,N(对接源_02物料!$B1096)&gt;$N$3),0,1))</f>
        <v>0</v>
      </c>
      <c r="P2296">
        <f>IF(AND($K2296=1,AND(对接源_02物料!$X1096="公司筐",N(对接源_02物料!$T1096)&lt;&gt;0)),1,0)</f>
        <v>0</v>
      </c>
      <c r="Q2296">
        <f>N(Q2295)+$P2296</f>
        <v>14</v>
      </c>
      <c r="R2296">
        <f>IF(AND($K2296=1,AND(对接源_02物料!$X1096="公司筐",N(对接源_02物料!$U1096)&lt;&gt;0)),1,0)</f>
        <v>0</v>
      </c>
      <c r="S2296">
        <f>N(S2295)+$R2296</f>
        <v>1</v>
      </c>
      <c r="T2296">
        <f>IF(AND($K2296=1,AND(对接源_02物料!$X1096="公司筐",N(对接源_02物料!$V1096)&lt;&gt;0)),1,0)</f>
        <v>0</v>
      </c>
      <c r="U2296">
        <f>N(U2295)+$T2296</f>
        <v>47</v>
      </c>
      <c r="V2296">
        <f>IF(AND($L2296=1,AND(对接源_02物料!$X1096="自备筐",N(对接源_02物料!$V1096)&lt;&gt;0)),1,0)</f>
        <v>0</v>
      </c>
      <c r="W2296">
        <f>N(W2295)+$V2296</f>
        <v>11</v>
      </c>
      <c r="X2296">
        <f>IF(AND($L2296=1,AND(对接源_02物料!$X1096="自备筐",N(对接源_02物料!$T1096)&lt;&gt;0)),1,0)</f>
        <v>0</v>
      </c>
      <c r="Y2296">
        <f>N(Y2295)+$X2296</f>
        <v>0</v>
      </c>
      <c r="Z2296">
        <f>IF(AND($M2296=1,对接源_02物料!$D1096="原料入库"),1,0)</f>
        <v>0</v>
      </c>
      <c r="AA2296">
        <f>N(AA2295)+$Z2296</f>
        <v>24</v>
      </c>
      <c r="AB2296">
        <f>IF(AND($M2296=1,LEFT(对接源_02物料!$D1096,4)="原料出库"),1,0)</f>
        <v>0</v>
      </c>
      <c r="AC2296">
        <f>N(AC2295)+$AB2296</f>
        <v>0</v>
      </c>
      <c r="AD2296">
        <f>IF(AND($M2296=1,LEFT(对接源_02物料!$D1096,4)="成品出库"),1,0)</f>
        <v>0</v>
      </c>
      <c r="AE2296">
        <f>N(AE2295)+$AD2296</f>
        <v>0</v>
      </c>
      <c r="AF2296">
        <f>IF(AND($N2296=1,AND(LEFT(对接源_02物料!$D1096,4)="包装物料",N(对接源_02物料!$K1096)&lt;&gt;0)),1,0)</f>
        <v>0</v>
      </c>
      <c r="AG2296">
        <f>N(AG2295)+$AF2296</f>
        <v>10</v>
      </c>
      <c r="AH2296">
        <f>IF(AND($N2296=1,AND(对接源_02物料!$D1096="周转筐－销售出库",N(对接源_02物料!$K1096)&lt;&gt;0)),1,0)</f>
        <v>0</v>
      </c>
      <c r="AI2296">
        <f>N(AI2295)+$AH2296</f>
        <v>0</v>
      </c>
      <c r="AL2296" t="n">
        <v>0</v>
      </c>
      <c r="AM2296">
        <f>N(AM2295)+$AL2296</f>
        <v>2</v>
      </c>
      <c r="AN2296">
        <f>""</f>
      </c>
      <c r="AO2296" t="n">
        <v>0</v>
      </c>
      <c r="AP2296">
        <f>N(AP2295)+$AO2296</f>
        <v>13</v>
      </c>
      <c r="AR2296">
        <f>IF(OR($AF2296=1,$AH2296=1),1,0)</f>
        <v>0</v>
      </c>
      <c r="AS2296">
        <f>N(AS2295)+$AR2296</f>
        <v>10</v>
      </c>
    </row>
    <row r="2297" s="127">
      <c r="A2297">
        <f>IF(对接源_02物料!$C1097="","",对接源_02物料!$C1097)</f>
      </c>
      <c r="B2297">
        <f>IF(A2297="",0,IF(MATCH(A2297,$A$4:$A$2403,0)=ROW()-3,1,0))</f>
        <v>0</v>
      </c>
      <c r="C2297">
        <f>N(C2296)+B2297</f>
        <v>26</v>
      </c>
      <c r="K2297">
        <f>IF(OR($K$1="",对接源_02物料!$C1097="",对接源_02物料!$C1097&lt;&gt;$K$1,对接源_02物料!$B1097=""),0,IF(OR(N(对接源_02物料!$B1097)&lt;$K$2,N(对接源_02物料!$B1097)&gt;$K$3),0,1))</f>
        <v>0</v>
      </c>
      <c r="L2297">
        <f>IF(OR($L$1="",对接源_02物料!$C1097="",对接源_02物料!$C1097&lt;&gt;$L$1,对接源_02物料!$B1097=""),0,IF(OR(N(对接源_02物料!$B1097)&lt;$L$2,N(对接源_02物料!$B1097)&gt;$L$3),0,1))</f>
        <v>0</v>
      </c>
      <c r="M2297">
        <f>IF(OR($M$1="",对接源_02物料!$C1097="",对接源_02物料!$C1097&lt;&gt;$M$1,对接源_02物料!$B1097=""),0,IF(OR(N(对接源_02物料!$B1097)&lt;$M$2,N(对接源_02物料!$B1097)&gt;$M$3),0,1))</f>
        <v>0</v>
      </c>
      <c r="N2297">
        <f>IF(OR($N$1="",对接源_02物料!$C1097="",对接源_02物料!$C1097&lt;&gt;$N$1,对接源_02物料!$B1097=""),0,IF(OR(N(对接源_02物料!$B1097)&lt;$N$2,N(对接源_02物料!$B1097)&gt;$N$3),0,1))</f>
        <v>0</v>
      </c>
      <c r="P2297">
        <f>IF(AND($K2297=1,AND(对接源_02物料!$X1097="公司筐",N(对接源_02物料!$T1097)&lt;&gt;0)),1,0)</f>
        <v>0</v>
      </c>
      <c r="Q2297">
        <f>N(Q2296)+$P2297</f>
        <v>14</v>
      </c>
      <c r="R2297">
        <f>IF(AND($K2297=1,AND(对接源_02物料!$X1097="公司筐",N(对接源_02物料!$U1097)&lt;&gt;0)),1,0)</f>
        <v>0</v>
      </c>
      <c r="S2297">
        <f>N(S2296)+$R2297</f>
        <v>1</v>
      </c>
      <c r="T2297">
        <f>IF(AND($K2297=1,AND(对接源_02物料!$X1097="公司筐",N(对接源_02物料!$V1097)&lt;&gt;0)),1,0)</f>
        <v>0</v>
      </c>
      <c r="U2297">
        <f>N(U2296)+$T2297</f>
        <v>47</v>
      </c>
      <c r="V2297">
        <f>IF(AND($L2297=1,AND(对接源_02物料!$X1097="自备筐",N(对接源_02物料!$V1097)&lt;&gt;0)),1,0)</f>
        <v>0</v>
      </c>
      <c r="W2297">
        <f>N(W2296)+$V2297</f>
        <v>11</v>
      </c>
      <c r="X2297">
        <f>IF(AND($L2297=1,AND(对接源_02物料!$X1097="自备筐",N(对接源_02物料!$T1097)&lt;&gt;0)),1,0)</f>
        <v>0</v>
      </c>
      <c r="Y2297">
        <f>N(Y2296)+$X2297</f>
        <v>0</v>
      </c>
      <c r="Z2297">
        <f>IF(AND($M2297=1,对接源_02物料!$D1097="原料入库"),1,0)</f>
        <v>0</v>
      </c>
      <c r="AA2297">
        <f>N(AA2296)+$Z2297</f>
        <v>24</v>
      </c>
      <c r="AB2297">
        <f>IF(AND($M2297=1,LEFT(对接源_02物料!$D1097,4)="原料出库"),1,0)</f>
        <v>0</v>
      </c>
      <c r="AC2297">
        <f>N(AC2296)+$AB2297</f>
        <v>0</v>
      </c>
      <c r="AD2297">
        <f>IF(AND($M2297=1,LEFT(对接源_02物料!$D1097,4)="成品出库"),1,0)</f>
        <v>0</v>
      </c>
      <c r="AE2297">
        <f>N(AE2296)+$AD2297</f>
        <v>0</v>
      </c>
      <c r="AF2297">
        <f>IF(AND($N2297=1,AND(LEFT(对接源_02物料!$D1097,4)="包装物料",N(对接源_02物料!$K1097)&lt;&gt;0)),1,0)</f>
        <v>0</v>
      </c>
      <c r="AG2297">
        <f>N(AG2296)+$AF2297</f>
        <v>10</v>
      </c>
      <c r="AH2297">
        <f>IF(AND($N2297=1,AND(对接源_02物料!$D1097="周转筐－销售出库",N(对接源_02物料!$K1097)&lt;&gt;0)),1,0)</f>
        <v>0</v>
      </c>
      <c r="AI2297">
        <f>N(AI2296)+$AH2297</f>
        <v>0</v>
      </c>
      <c r="AL2297" t="n">
        <v>0</v>
      </c>
      <c r="AM2297">
        <f>N(AM2296)+$AL2297</f>
        <v>2</v>
      </c>
      <c r="AN2297">
        <f>""</f>
      </c>
      <c r="AO2297" t="n">
        <v>0</v>
      </c>
      <c r="AP2297">
        <f>N(AP2296)+$AO2297</f>
        <v>13</v>
      </c>
      <c r="AR2297">
        <f>IF(OR($AF2297=1,$AH2297=1),1,0)</f>
        <v>0</v>
      </c>
      <c r="AS2297">
        <f>N(AS2296)+$AR2297</f>
        <v>10</v>
      </c>
    </row>
    <row r="2298" s="127">
      <c r="A2298">
        <f>IF(对接源_02物料!$C1098="","",对接源_02物料!$C1098)</f>
      </c>
      <c r="B2298">
        <f>IF(A2298="",0,IF(MATCH(A2298,$A$4:$A$2403,0)=ROW()-3,1,0))</f>
        <v>0</v>
      </c>
      <c r="C2298">
        <f>N(C2297)+B2298</f>
        <v>26</v>
      </c>
      <c r="K2298">
        <f>IF(OR($K$1="",对接源_02物料!$C1098="",对接源_02物料!$C1098&lt;&gt;$K$1,对接源_02物料!$B1098=""),0,IF(OR(N(对接源_02物料!$B1098)&lt;$K$2,N(对接源_02物料!$B1098)&gt;$K$3),0,1))</f>
        <v>0</v>
      </c>
      <c r="L2298">
        <f>IF(OR($L$1="",对接源_02物料!$C1098="",对接源_02物料!$C1098&lt;&gt;$L$1,对接源_02物料!$B1098=""),0,IF(OR(N(对接源_02物料!$B1098)&lt;$L$2,N(对接源_02物料!$B1098)&gt;$L$3),0,1))</f>
        <v>0</v>
      </c>
      <c r="M2298">
        <f>IF(OR($M$1="",对接源_02物料!$C1098="",对接源_02物料!$C1098&lt;&gt;$M$1,对接源_02物料!$B1098=""),0,IF(OR(N(对接源_02物料!$B1098)&lt;$M$2,N(对接源_02物料!$B1098)&gt;$M$3),0,1))</f>
        <v>0</v>
      </c>
      <c r="N2298">
        <f>IF(OR($N$1="",对接源_02物料!$C1098="",对接源_02物料!$C1098&lt;&gt;$N$1,对接源_02物料!$B1098=""),0,IF(OR(N(对接源_02物料!$B1098)&lt;$N$2,N(对接源_02物料!$B1098)&gt;$N$3),0,1))</f>
        <v>0</v>
      </c>
      <c r="P2298">
        <f>IF(AND($K2298=1,AND(对接源_02物料!$X1098="公司筐",N(对接源_02物料!$T1098)&lt;&gt;0)),1,0)</f>
        <v>0</v>
      </c>
      <c r="Q2298">
        <f>N(Q2297)+$P2298</f>
        <v>14</v>
      </c>
      <c r="R2298">
        <f>IF(AND($K2298=1,AND(对接源_02物料!$X1098="公司筐",N(对接源_02物料!$U1098)&lt;&gt;0)),1,0)</f>
        <v>0</v>
      </c>
      <c r="S2298">
        <f>N(S2297)+$R2298</f>
        <v>1</v>
      </c>
      <c r="T2298">
        <f>IF(AND($K2298=1,AND(对接源_02物料!$X1098="公司筐",N(对接源_02物料!$V1098)&lt;&gt;0)),1,0)</f>
        <v>0</v>
      </c>
      <c r="U2298">
        <f>N(U2297)+$T2298</f>
        <v>47</v>
      </c>
      <c r="V2298">
        <f>IF(AND($L2298=1,AND(对接源_02物料!$X1098="自备筐",N(对接源_02物料!$V1098)&lt;&gt;0)),1,0)</f>
        <v>0</v>
      </c>
      <c r="W2298">
        <f>N(W2297)+$V2298</f>
        <v>11</v>
      </c>
      <c r="X2298">
        <f>IF(AND($L2298=1,AND(对接源_02物料!$X1098="自备筐",N(对接源_02物料!$T1098)&lt;&gt;0)),1,0)</f>
        <v>0</v>
      </c>
      <c r="Y2298">
        <f>N(Y2297)+$X2298</f>
        <v>0</v>
      </c>
      <c r="Z2298">
        <f>IF(AND($M2298=1,对接源_02物料!$D1098="原料入库"),1,0)</f>
        <v>0</v>
      </c>
      <c r="AA2298">
        <f>N(AA2297)+$Z2298</f>
        <v>24</v>
      </c>
      <c r="AB2298">
        <f>IF(AND($M2298=1,LEFT(对接源_02物料!$D1098,4)="原料出库"),1,0)</f>
        <v>0</v>
      </c>
      <c r="AC2298">
        <f>N(AC2297)+$AB2298</f>
        <v>0</v>
      </c>
      <c r="AD2298">
        <f>IF(AND($M2298=1,LEFT(对接源_02物料!$D1098,4)="成品出库"),1,0)</f>
        <v>0</v>
      </c>
      <c r="AE2298">
        <f>N(AE2297)+$AD2298</f>
        <v>0</v>
      </c>
      <c r="AF2298">
        <f>IF(AND($N2298=1,AND(LEFT(对接源_02物料!$D1098,4)="包装物料",N(对接源_02物料!$K1098)&lt;&gt;0)),1,0)</f>
        <v>0</v>
      </c>
      <c r="AG2298">
        <f>N(AG2297)+$AF2298</f>
        <v>10</v>
      </c>
      <c r="AH2298">
        <f>IF(AND($N2298=1,AND(对接源_02物料!$D1098="周转筐－销售出库",N(对接源_02物料!$K1098)&lt;&gt;0)),1,0)</f>
        <v>0</v>
      </c>
      <c r="AI2298">
        <f>N(AI2297)+$AH2298</f>
        <v>0</v>
      </c>
      <c r="AL2298" t="n">
        <v>0</v>
      </c>
      <c r="AM2298">
        <f>N(AM2297)+$AL2298</f>
        <v>2</v>
      </c>
      <c r="AN2298">
        <f>""</f>
      </c>
      <c r="AO2298" t="n">
        <v>0</v>
      </c>
      <c r="AP2298">
        <f>N(AP2297)+$AO2298</f>
        <v>13</v>
      </c>
      <c r="AR2298">
        <f>IF(OR($AF2298=1,$AH2298=1),1,0)</f>
        <v>0</v>
      </c>
      <c r="AS2298">
        <f>N(AS2297)+$AR2298</f>
        <v>10</v>
      </c>
    </row>
    <row r="2299" s="127">
      <c r="A2299">
        <f>IF(对接源_02物料!$C1099="","",对接源_02物料!$C1099)</f>
      </c>
      <c r="B2299">
        <f>IF(A2299="",0,IF(MATCH(A2299,$A$4:$A$2403,0)=ROW()-3,1,0))</f>
        <v>0</v>
      </c>
      <c r="C2299">
        <f>N(C2298)+B2299</f>
        <v>26</v>
      </c>
      <c r="K2299">
        <f>IF(OR($K$1="",对接源_02物料!$C1099="",对接源_02物料!$C1099&lt;&gt;$K$1,对接源_02物料!$B1099=""),0,IF(OR(N(对接源_02物料!$B1099)&lt;$K$2,N(对接源_02物料!$B1099)&gt;$K$3),0,1))</f>
        <v>0</v>
      </c>
      <c r="L2299">
        <f>IF(OR($L$1="",对接源_02物料!$C1099="",对接源_02物料!$C1099&lt;&gt;$L$1,对接源_02物料!$B1099=""),0,IF(OR(N(对接源_02物料!$B1099)&lt;$L$2,N(对接源_02物料!$B1099)&gt;$L$3),0,1))</f>
        <v>0</v>
      </c>
      <c r="M2299">
        <f>IF(OR($M$1="",对接源_02物料!$C1099="",对接源_02物料!$C1099&lt;&gt;$M$1,对接源_02物料!$B1099=""),0,IF(OR(N(对接源_02物料!$B1099)&lt;$M$2,N(对接源_02物料!$B1099)&gt;$M$3),0,1))</f>
        <v>0</v>
      </c>
      <c r="N2299">
        <f>IF(OR($N$1="",对接源_02物料!$C1099="",对接源_02物料!$C1099&lt;&gt;$N$1,对接源_02物料!$B1099=""),0,IF(OR(N(对接源_02物料!$B1099)&lt;$N$2,N(对接源_02物料!$B1099)&gt;$N$3),0,1))</f>
        <v>0</v>
      </c>
      <c r="P2299">
        <f>IF(AND($K2299=1,AND(对接源_02物料!$X1099="公司筐",N(对接源_02物料!$T1099)&lt;&gt;0)),1,0)</f>
        <v>0</v>
      </c>
      <c r="Q2299">
        <f>N(Q2298)+$P2299</f>
        <v>14</v>
      </c>
      <c r="R2299">
        <f>IF(AND($K2299=1,AND(对接源_02物料!$X1099="公司筐",N(对接源_02物料!$U1099)&lt;&gt;0)),1,0)</f>
        <v>0</v>
      </c>
      <c r="S2299">
        <f>N(S2298)+$R2299</f>
        <v>1</v>
      </c>
      <c r="T2299">
        <f>IF(AND($K2299=1,AND(对接源_02物料!$X1099="公司筐",N(对接源_02物料!$V1099)&lt;&gt;0)),1,0)</f>
        <v>0</v>
      </c>
      <c r="U2299">
        <f>N(U2298)+$T2299</f>
        <v>47</v>
      </c>
      <c r="V2299">
        <f>IF(AND($L2299=1,AND(对接源_02物料!$X1099="自备筐",N(对接源_02物料!$V1099)&lt;&gt;0)),1,0)</f>
        <v>0</v>
      </c>
      <c r="W2299">
        <f>N(W2298)+$V2299</f>
        <v>11</v>
      </c>
      <c r="X2299">
        <f>IF(AND($L2299=1,AND(对接源_02物料!$X1099="自备筐",N(对接源_02物料!$T1099)&lt;&gt;0)),1,0)</f>
        <v>0</v>
      </c>
      <c r="Y2299">
        <f>N(Y2298)+$X2299</f>
        <v>0</v>
      </c>
      <c r="Z2299">
        <f>IF(AND($M2299=1,对接源_02物料!$D1099="原料入库"),1,0)</f>
        <v>0</v>
      </c>
      <c r="AA2299">
        <f>N(AA2298)+$Z2299</f>
        <v>24</v>
      </c>
      <c r="AB2299">
        <f>IF(AND($M2299=1,LEFT(对接源_02物料!$D1099,4)="原料出库"),1,0)</f>
        <v>0</v>
      </c>
      <c r="AC2299">
        <f>N(AC2298)+$AB2299</f>
        <v>0</v>
      </c>
      <c r="AD2299">
        <f>IF(AND($M2299=1,LEFT(对接源_02物料!$D1099,4)="成品出库"),1,0)</f>
        <v>0</v>
      </c>
      <c r="AE2299">
        <f>N(AE2298)+$AD2299</f>
        <v>0</v>
      </c>
      <c r="AF2299">
        <f>IF(AND($N2299=1,AND(LEFT(对接源_02物料!$D1099,4)="包装物料",N(对接源_02物料!$K1099)&lt;&gt;0)),1,0)</f>
        <v>0</v>
      </c>
      <c r="AG2299">
        <f>N(AG2298)+$AF2299</f>
        <v>10</v>
      </c>
      <c r="AH2299">
        <f>IF(AND($N2299=1,AND(对接源_02物料!$D1099="周转筐－销售出库",N(对接源_02物料!$K1099)&lt;&gt;0)),1,0)</f>
        <v>0</v>
      </c>
      <c r="AI2299">
        <f>N(AI2298)+$AH2299</f>
        <v>0</v>
      </c>
      <c r="AL2299" t="n">
        <v>0</v>
      </c>
      <c r="AM2299">
        <f>N(AM2298)+$AL2299</f>
        <v>2</v>
      </c>
      <c r="AN2299">
        <f>""</f>
      </c>
      <c r="AO2299" t="n">
        <v>0</v>
      </c>
      <c r="AP2299">
        <f>N(AP2298)+$AO2299</f>
        <v>13</v>
      </c>
      <c r="AR2299">
        <f>IF(OR($AF2299=1,$AH2299=1),1,0)</f>
        <v>0</v>
      </c>
      <c r="AS2299">
        <f>N(AS2298)+$AR2299</f>
        <v>10</v>
      </c>
    </row>
    <row r="2300" s="127">
      <c r="A2300">
        <f>IF(对接源_02物料!$C1100="","",对接源_02物料!$C1100)</f>
      </c>
      <c r="B2300">
        <f>IF(A2300="",0,IF(MATCH(A2300,$A$4:$A$2403,0)=ROW()-3,1,0))</f>
        <v>0</v>
      </c>
      <c r="C2300">
        <f>N(C2299)+B2300</f>
        <v>26</v>
      </c>
      <c r="K2300">
        <f>IF(OR($K$1="",对接源_02物料!$C1100="",对接源_02物料!$C1100&lt;&gt;$K$1,对接源_02物料!$B1100=""),0,IF(OR(N(对接源_02物料!$B1100)&lt;$K$2,N(对接源_02物料!$B1100)&gt;$K$3),0,1))</f>
        <v>0</v>
      </c>
      <c r="L2300">
        <f>IF(OR($L$1="",对接源_02物料!$C1100="",对接源_02物料!$C1100&lt;&gt;$L$1,对接源_02物料!$B1100=""),0,IF(OR(N(对接源_02物料!$B1100)&lt;$L$2,N(对接源_02物料!$B1100)&gt;$L$3),0,1))</f>
        <v>0</v>
      </c>
      <c r="M2300">
        <f>IF(OR($M$1="",对接源_02物料!$C1100="",对接源_02物料!$C1100&lt;&gt;$M$1,对接源_02物料!$B1100=""),0,IF(OR(N(对接源_02物料!$B1100)&lt;$M$2,N(对接源_02物料!$B1100)&gt;$M$3),0,1))</f>
        <v>0</v>
      </c>
      <c r="N2300">
        <f>IF(OR($N$1="",对接源_02物料!$C1100="",对接源_02物料!$C1100&lt;&gt;$N$1,对接源_02物料!$B1100=""),0,IF(OR(N(对接源_02物料!$B1100)&lt;$N$2,N(对接源_02物料!$B1100)&gt;$N$3),0,1))</f>
        <v>0</v>
      </c>
      <c r="P2300">
        <f>IF(AND($K2300=1,AND(对接源_02物料!$X1100="公司筐",N(对接源_02物料!$T1100)&lt;&gt;0)),1,0)</f>
        <v>0</v>
      </c>
      <c r="Q2300">
        <f>N(Q2299)+$P2300</f>
        <v>14</v>
      </c>
      <c r="R2300">
        <f>IF(AND($K2300=1,AND(对接源_02物料!$X1100="公司筐",N(对接源_02物料!$U1100)&lt;&gt;0)),1,0)</f>
        <v>0</v>
      </c>
      <c r="S2300">
        <f>N(S2299)+$R2300</f>
        <v>1</v>
      </c>
      <c r="T2300">
        <f>IF(AND($K2300=1,AND(对接源_02物料!$X1100="公司筐",N(对接源_02物料!$V1100)&lt;&gt;0)),1,0)</f>
        <v>0</v>
      </c>
      <c r="U2300">
        <f>N(U2299)+$T2300</f>
        <v>47</v>
      </c>
      <c r="V2300">
        <f>IF(AND($L2300=1,AND(对接源_02物料!$X1100="自备筐",N(对接源_02物料!$V1100)&lt;&gt;0)),1,0)</f>
        <v>0</v>
      </c>
      <c r="W2300">
        <f>N(W2299)+$V2300</f>
        <v>11</v>
      </c>
      <c r="X2300">
        <f>IF(AND($L2300=1,AND(对接源_02物料!$X1100="自备筐",N(对接源_02物料!$T1100)&lt;&gt;0)),1,0)</f>
        <v>0</v>
      </c>
      <c r="Y2300">
        <f>N(Y2299)+$X2300</f>
        <v>0</v>
      </c>
      <c r="Z2300">
        <f>IF(AND($M2300=1,对接源_02物料!$D1100="原料入库"),1,0)</f>
        <v>0</v>
      </c>
      <c r="AA2300">
        <f>N(AA2299)+$Z2300</f>
        <v>24</v>
      </c>
      <c r="AB2300">
        <f>IF(AND($M2300=1,LEFT(对接源_02物料!$D1100,4)="原料出库"),1,0)</f>
        <v>0</v>
      </c>
      <c r="AC2300">
        <f>N(AC2299)+$AB2300</f>
        <v>0</v>
      </c>
      <c r="AD2300">
        <f>IF(AND($M2300=1,LEFT(对接源_02物料!$D1100,4)="成品出库"),1,0)</f>
        <v>0</v>
      </c>
      <c r="AE2300">
        <f>N(AE2299)+$AD2300</f>
        <v>0</v>
      </c>
      <c r="AF2300">
        <f>IF(AND($N2300=1,AND(LEFT(对接源_02物料!$D1100,4)="包装物料",N(对接源_02物料!$K1100)&lt;&gt;0)),1,0)</f>
        <v>0</v>
      </c>
      <c r="AG2300">
        <f>N(AG2299)+$AF2300</f>
        <v>10</v>
      </c>
      <c r="AH2300">
        <f>IF(AND($N2300=1,AND(对接源_02物料!$D1100="周转筐－销售出库",N(对接源_02物料!$K1100)&lt;&gt;0)),1,0)</f>
        <v>0</v>
      </c>
      <c r="AI2300">
        <f>N(AI2299)+$AH2300</f>
        <v>0</v>
      </c>
      <c r="AL2300" t="n">
        <v>0</v>
      </c>
      <c r="AM2300">
        <f>N(AM2299)+$AL2300</f>
        <v>2</v>
      </c>
      <c r="AN2300">
        <f>""</f>
      </c>
      <c r="AO2300" t="n">
        <v>0</v>
      </c>
      <c r="AP2300">
        <f>N(AP2299)+$AO2300</f>
        <v>13</v>
      </c>
      <c r="AR2300">
        <f>IF(OR($AF2300=1,$AH2300=1),1,0)</f>
        <v>0</v>
      </c>
      <c r="AS2300">
        <f>N(AS2299)+$AR2300</f>
        <v>10</v>
      </c>
    </row>
    <row r="2301" s="127">
      <c r="A2301">
        <f>IF(对接源_02物料!$C1101="","",对接源_02物料!$C1101)</f>
      </c>
      <c r="B2301">
        <f>IF(A2301="",0,IF(MATCH(A2301,$A$4:$A$2403,0)=ROW()-3,1,0))</f>
        <v>0</v>
      </c>
      <c r="C2301">
        <f>N(C2300)+B2301</f>
        <v>26</v>
      </c>
      <c r="K2301">
        <f>IF(OR($K$1="",对接源_02物料!$C1101="",对接源_02物料!$C1101&lt;&gt;$K$1,对接源_02物料!$B1101=""),0,IF(OR(N(对接源_02物料!$B1101)&lt;$K$2,N(对接源_02物料!$B1101)&gt;$K$3),0,1))</f>
        <v>0</v>
      </c>
      <c r="L2301">
        <f>IF(OR($L$1="",对接源_02物料!$C1101="",对接源_02物料!$C1101&lt;&gt;$L$1,对接源_02物料!$B1101=""),0,IF(OR(N(对接源_02物料!$B1101)&lt;$L$2,N(对接源_02物料!$B1101)&gt;$L$3),0,1))</f>
        <v>0</v>
      </c>
      <c r="M2301">
        <f>IF(OR($M$1="",对接源_02物料!$C1101="",对接源_02物料!$C1101&lt;&gt;$M$1,对接源_02物料!$B1101=""),0,IF(OR(N(对接源_02物料!$B1101)&lt;$M$2,N(对接源_02物料!$B1101)&gt;$M$3),0,1))</f>
        <v>0</v>
      </c>
      <c r="N2301">
        <f>IF(OR($N$1="",对接源_02物料!$C1101="",对接源_02物料!$C1101&lt;&gt;$N$1,对接源_02物料!$B1101=""),0,IF(OR(N(对接源_02物料!$B1101)&lt;$N$2,N(对接源_02物料!$B1101)&gt;$N$3),0,1))</f>
        <v>0</v>
      </c>
      <c r="P2301">
        <f>IF(AND($K2301=1,AND(对接源_02物料!$X1101="公司筐",N(对接源_02物料!$T1101)&lt;&gt;0)),1,0)</f>
        <v>0</v>
      </c>
      <c r="Q2301">
        <f>N(Q2300)+$P2301</f>
        <v>14</v>
      </c>
      <c r="R2301">
        <f>IF(AND($K2301=1,AND(对接源_02物料!$X1101="公司筐",N(对接源_02物料!$U1101)&lt;&gt;0)),1,0)</f>
        <v>0</v>
      </c>
      <c r="S2301">
        <f>N(S2300)+$R2301</f>
        <v>1</v>
      </c>
      <c r="T2301">
        <f>IF(AND($K2301=1,AND(对接源_02物料!$X1101="公司筐",N(对接源_02物料!$V1101)&lt;&gt;0)),1,0)</f>
        <v>0</v>
      </c>
      <c r="U2301">
        <f>N(U2300)+$T2301</f>
        <v>47</v>
      </c>
      <c r="V2301">
        <f>IF(AND($L2301=1,AND(对接源_02物料!$X1101="自备筐",N(对接源_02物料!$V1101)&lt;&gt;0)),1,0)</f>
        <v>0</v>
      </c>
      <c r="W2301">
        <f>N(W2300)+$V2301</f>
        <v>11</v>
      </c>
      <c r="X2301">
        <f>IF(AND($L2301=1,AND(对接源_02物料!$X1101="自备筐",N(对接源_02物料!$T1101)&lt;&gt;0)),1,0)</f>
        <v>0</v>
      </c>
      <c r="Y2301">
        <f>N(Y2300)+$X2301</f>
        <v>0</v>
      </c>
      <c r="Z2301">
        <f>IF(AND($M2301=1,对接源_02物料!$D1101="原料入库"),1,0)</f>
        <v>0</v>
      </c>
      <c r="AA2301">
        <f>N(AA2300)+$Z2301</f>
        <v>24</v>
      </c>
      <c r="AB2301">
        <f>IF(AND($M2301=1,LEFT(对接源_02物料!$D1101,4)="原料出库"),1,0)</f>
        <v>0</v>
      </c>
      <c r="AC2301">
        <f>N(AC2300)+$AB2301</f>
        <v>0</v>
      </c>
      <c r="AD2301">
        <f>IF(AND($M2301=1,LEFT(对接源_02物料!$D1101,4)="成品出库"),1,0)</f>
        <v>0</v>
      </c>
      <c r="AE2301">
        <f>N(AE2300)+$AD2301</f>
        <v>0</v>
      </c>
      <c r="AF2301">
        <f>IF(AND($N2301=1,AND(LEFT(对接源_02物料!$D1101,4)="包装物料",N(对接源_02物料!$K1101)&lt;&gt;0)),1,0)</f>
        <v>0</v>
      </c>
      <c r="AG2301">
        <f>N(AG2300)+$AF2301</f>
        <v>10</v>
      </c>
      <c r="AH2301">
        <f>IF(AND($N2301=1,AND(对接源_02物料!$D1101="周转筐－销售出库",N(对接源_02物料!$K1101)&lt;&gt;0)),1,0)</f>
        <v>0</v>
      </c>
      <c r="AI2301">
        <f>N(AI2300)+$AH2301</f>
        <v>0</v>
      </c>
      <c r="AL2301" t="n">
        <v>0</v>
      </c>
      <c r="AM2301">
        <f>N(AM2300)+$AL2301</f>
        <v>2</v>
      </c>
      <c r="AN2301">
        <f>""</f>
      </c>
      <c r="AO2301" t="n">
        <v>0</v>
      </c>
      <c r="AP2301">
        <f>N(AP2300)+$AO2301</f>
        <v>13</v>
      </c>
      <c r="AR2301">
        <f>IF(OR($AF2301=1,$AH2301=1),1,0)</f>
        <v>0</v>
      </c>
      <c r="AS2301">
        <f>N(AS2300)+$AR2301</f>
        <v>10</v>
      </c>
    </row>
    <row r="2302" s="127">
      <c r="A2302">
        <f>IF(对接源_02物料!$C1102="","",对接源_02物料!$C1102)</f>
      </c>
      <c r="B2302">
        <f>IF(A2302="",0,IF(MATCH(A2302,$A$4:$A$2403,0)=ROW()-3,1,0))</f>
        <v>0</v>
      </c>
      <c r="C2302">
        <f>N(C2301)+B2302</f>
        <v>26</v>
      </c>
      <c r="K2302">
        <f>IF(OR($K$1="",对接源_02物料!$C1102="",对接源_02物料!$C1102&lt;&gt;$K$1,对接源_02物料!$B1102=""),0,IF(OR(N(对接源_02物料!$B1102)&lt;$K$2,N(对接源_02物料!$B1102)&gt;$K$3),0,1))</f>
        <v>0</v>
      </c>
      <c r="L2302">
        <f>IF(OR($L$1="",对接源_02物料!$C1102="",对接源_02物料!$C1102&lt;&gt;$L$1,对接源_02物料!$B1102=""),0,IF(OR(N(对接源_02物料!$B1102)&lt;$L$2,N(对接源_02物料!$B1102)&gt;$L$3),0,1))</f>
        <v>0</v>
      </c>
      <c r="M2302">
        <f>IF(OR($M$1="",对接源_02物料!$C1102="",对接源_02物料!$C1102&lt;&gt;$M$1,对接源_02物料!$B1102=""),0,IF(OR(N(对接源_02物料!$B1102)&lt;$M$2,N(对接源_02物料!$B1102)&gt;$M$3),0,1))</f>
        <v>0</v>
      </c>
      <c r="N2302">
        <f>IF(OR($N$1="",对接源_02物料!$C1102="",对接源_02物料!$C1102&lt;&gt;$N$1,对接源_02物料!$B1102=""),0,IF(OR(N(对接源_02物料!$B1102)&lt;$N$2,N(对接源_02物料!$B1102)&gt;$N$3),0,1))</f>
        <v>0</v>
      </c>
      <c r="P2302">
        <f>IF(AND($K2302=1,AND(对接源_02物料!$X1102="公司筐",N(对接源_02物料!$T1102)&lt;&gt;0)),1,0)</f>
        <v>0</v>
      </c>
      <c r="Q2302">
        <f>N(Q2301)+$P2302</f>
        <v>14</v>
      </c>
      <c r="R2302">
        <f>IF(AND($K2302=1,AND(对接源_02物料!$X1102="公司筐",N(对接源_02物料!$U1102)&lt;&gt;0)),1,0)</f>
        <v>0</v>
      </c>
      <c r="S2302">
        <f>N(S2301)+$R2302</f>
        <v>1</v>
      </c>
      <c r="T2302">
        <f>IF(AND($K2302=1,AND(对接源_02物料!$X1102="公司筐",N(对接源_02物料!$V1102)&lt;&gt;0)),1,0)</f>
        <v>0</v>
      </c>
      <c r="U2302">
        <f>N(U2301)+$T2302</f>
        <v>47</v>
      </c>
      <c r="V2302">
        <f>IF(AND($L2302=1,AND(对接源_02物料!$X1102="自备筐",N(对接源_02物料!$V1102)&lt;&gt;0)),1,0)</f>
        <v>0</v>
      </c>
      <c r="W2302">
        <f>N(W2301)+$V2302</f>
        <v>11</v>
      </c>
      <c r="X2302">
        <f>IF(AND($L2302=1,AND(对接源_02物料!$X1102="自备筐",N(对接源_02物料!$T1102)&lt;&gt;0)),1,0)</f>
        <v>0</v>
      </c>
      <c r="Y2302">
        <f>N(Y2301)+$X2302</f>
        <v>0</v>
      </c>
      <c r="Z2302">
        <f>IF(AND($M2302=1,对接源_02物料!$D1102="原料入库"),1,0)</f>
        <v>0</v>
      </c>
      <c r="AA2302">
        <f>N(AA2301)+$Z2302</f>
        <v>24</v>
      </c>
      <c r="AB2302">
        <f>IF(AND($M2302=1,LEFT(对接源_02物料!$D1102,4)="原料出库"),1,0)</f>
        <v>0</v>
      </c>
      <c r="AC2302">
        <f>N(AC2301)+$AB2302</f>
        <v>0</v>
      </c>
      <c r="AD2302">
        <f>IF(AND($M2302=1,LEFT(对接源_02物料!$D1102,4)="成品出库"),1,0)</f>
        <v>0</v>
      </c>
      <c r="AE2302">
        <f>N(AE2301)+$AD2302</f>
        <v>0</v>
      </c>
      <c r="AF2302">
        <f>IF(AND($N2302=1,AND(LEFT(对接源_02物料!$D1102,4)="包装物料",N(对接源_02物料!$K1102)&lt;&gt;0)),1,0)</f>
        <v>0</v>
      </c>
      <c r="AG2302">
        <f>N(AG2301)+$AF2302</f>
        <v>10</v>
      </c>
      <c r="AH2302">
        <f>IF(AND($N2302=1,AND(对接源_02物料!$D1102="周转筐－销售出库",N(对接源_02物料!$K1102)&lt;&gt;0)),1,0)</f>
        <v>0</v>
      </c>
      <c r="AI2302">
        <f>N(AI2301)+$AH2302</f>
        <v>0</v>
      </c>
      <c r="AL2302" t="n">
        <v>0</v>
      </c>
      <c r="AM2302">
        <f>N(AM2301)+$AL2302</f>
        <v>2</v>
      </c>
      <c r="AN2302">
        <f>""</f>
      </c>
      <c r="AO2302" t="n">
        <v>0</v>
      </c>
      <c r="AP2302">
        <f>N(AP2301)+$AO2302</f>
        <v>13</v>
      </c>
      <c r="AR2302">
        <f>IF(OR($AF2302=1,$AH2302=1),1,0)</f>
        <v>0</v>
      </c>
      <c r="AS2302">
        <f>N(AS2301)+$AR2302</f>
        <v>10</v>
      </c>
    </row>
    <row r="2303" s="127">
      <c r="A2303">
        <f>IF(对接源_02物料!$C1103="","",对接源_02物料!$C1103)</f>
      </c>
      <c r="B2303">
        <f>IF(A2303="",0,IF(MATCH(A2303,$A$4:$A$2403,0)=ROW()-3,1,0))</f>
        <v>0</v>
      </c>
      <c r="C2303">
        <f>N(C2302)+B2303</f>
        <v>26</v>
      </c>
      <c r="K2303">
        <f>IF(OR($K$1="",对接源_02物料!$C1103="",对接源_02物料!$C1103&lt;&gt;$K$1,对接源_02物料!$B1103=""),0,IF(OR(N(对接源_02物料!$B1103)&lt;$K$2,N(对接源_02物料!$B1103)&gt;$K$3),0,1))</f>
        <v>0</v>
      </c>
      <c r="L2303">
        <f>IF(OR($L$1="",对接源_02物料!$C1103="",对接源_02物料!$C1103&lt;&gt;$L$1,对接源_02物料!$B1103=""),0,IF(OR(N(对接源_02物料!$B1103)&lt;$L$2,N(对接源_02物料!$B1103)&gt;$L$3),0,1))</f>
        <v>0</v>
      </c>
      <c r="M2303">
        <f>IF(OR($M$1="",对接源_02物料!$C1103="",对接源_02物料!$C1103&lt;&gt;$M$1,对接源_02物料!$B1103=""),0,IF(OR(N(对接源_02物料!$B1103)&lt;$M$2,N(对接源_02物料!$B1103)&gt;$M$3),0,1))</f>
        <v>0</v>
      </c>
      <c r="N2303">
        <f>IF(OR($N$1="",对接源_02物料!$C1103="",对接源_02物料!$C1103&lt;&gt;$N$1,对接源_02物料!$B1103=""),0,IF(OR(N(对接源_02物料!$B1103)&lt;$N$2,N(对接源_02物料!$B1103)&gt;$N$3),0,1))</f>
        <v>0</v>
      </c>
      <c r="P2303">
        <f>IF(AND($K2303=1,AND(对接源_02物料!$X1103="公司筐",N(对接源_02物料!$T1103)&lt;&gt;0)),1,0)</f>
        <v>0</v>
      </c>
      <c r="Q2303">
        <f>N(Q2302)+$P2303</f>
        <v>14</v>
      </c>
      <c r="R2303">
        <f>IF(AND($K2303=1,AND(对接源_02物料!$X1103="公司筐",N(对接源_02物料!$U1103)&lt;&gt;0)),1,0)</f>
        <v>0</v>
      </c>
      <c r="S2303">
        <f>N(S2302)+$R2303</f>
        <v>1</v>
      </c>
      <c r="T2303">
        <f>IF(AND($K2303=1,AND(对接源_02物料!$X1103="公司筐",N(对接源_02物料!$V1103)&lt;&gt;0)),1,0)</f>
        <v>0</v>
      </c>
      <c r="U2303">
        <f>N(U2302)+$T2303</f>
        <v>47</v>
      </c>
      <c r="V2303">
        <f>IF(AND($L2303=1,AND(对接源_02物料!$X1103="自备筐",N(对接源_02物料!$V1103)&lt;&gt;0)),1,0)</f>
        <v>0</v>
      </c>
      <c r="W2303">
        <f>N(W2302)+$V2303</f>
        <v>11</v>
      </c>
      <c r="X2303">
        <f>IF(AND($L2303=1,AND(对接源_02物料!$X1103="自备筐",N(对接源_02物料!$T1103)&lt;&gt;0)),1,0)</f>
        <v>0</v>
      </c>
      <c r="Y2303">
        <f>N(Y2302)+$X2303</f>
        <v>0</v>
      </c>
      <c r="Z2303">
        <f>IF(AND($M2303=1,对接源_02物料!$D1103="原料入库"),1,0)</f>
        <v>0</v>
      </c>
      <c r="AA2303">
        <f>N(AA2302)+$Z2303</f>
        <v>24</v>
      </c>
      <c r="AB2303">
        <f>IF(AND($M2303=1,LEFT(对接源_02物料!$D1103,4)="原料出库"),1,0)</f>
        <v>0</v>
      </c>
      <c r="AC2303">
        <f>N(AC2302)+$AB2303</f>
        <v>0</v>
      </c>
      <c r="AD2303">
        <f>IF(AND($M2303=1,LEFT(对接源_02物料!$D1103,4)="成品出库"),1,0)</f>
        <v>0</v>
      </c>
      <c r="AE2303">
        <f>N(AE2302)+$AD2303</f>
        <v>0</v>
      </c>
      <c r="AF2303">
        <f>IF(AND($N2303=1,AND(LEFT(对接源_02物料!$D1103,4)="包装物料",N(对接源_02物料!$K1103)&lt;&gt;0)),1,0)</f>
        <v>0</v>
      </c>
      <c r="AG2303">
        <f>N(AG2302)+$AF2303</f>
        <v>10</v>
      </c>
      <c r="AH2303">
        <f>IF(AND($N2303=1,AND(对接源_02物料!$D1103="周转筐－销售出库",N(对接源_02物料!$K1103)&lt;&gt;0)),1,0)</f>
        <v>0</v>
      </c>
      <c r="AI2303">
        <f>N(AI2302)+$AH2303</f>
        <v>0</v>
      </c>
      <c r="AL2303" t="n">
        <v>0</v>
      </c>
      <c r="AM2303">
        <f>N(AM2302)+$AL2303</f>
        <v>2</v>
      </c>
      <c r="AN2303">
        <f>""</f>
      </c>
      <c r="AO2303" t="n">
        <v>0</v>
      </c>
      <c r="AP2303">
        <f>N(AP2302)+$AO2303</f>
        <v>13</v>
      </c>
      <c r="AR2303">
        <f>IF(OR($AF2303=1,$AH2303=1),1,0)</f>
        <v>0</v>
      </c>
      <c r="AS2303">
        <f>N(AS2302)+$AR2303</f>
        <v>10</v>
      </c>
    </row>
    <row r="2304" s="127">
      <c r="A2304">
        <f>IF(对接源_02物料!$C1104="","",对接源_02物料!$C1104)</f>
      </c>
      <c r="B2304">
        <f>IF(A2304="",0,IF(MATCH(A2304,$A$4:$A$2403,0)=ROW()-3,1,0))</f>
        <v>0</v>
      </c>
      <c r="C2304">
        <f>N(C2303)+B2304</f>
        <v>26</v>
      </c>
      <c r="K2304">
        <f>IF(OR($K$1="",对接源_02物料!$C1104="",对接源_02物料!$C1104&lt;&gt;$K$1,对接源_02物料!$B1104=""),0,IF(OR(N(对接源_02物料!$B1104)&lt;$K$2,N(对接源_02物料!$B1104)&gt;$K$3),0,1))</f>
        <v>0</v>
      </c>
      <c r="L2304">
        <f>IF(OR($L$1="",对接源_02物料!$C1104="",对接源_02物料!$C1104&lt;&gt;$L$1,对接源_02物料!$B1104=""),0,IF(OR(N(对接源_02物料!$B1104)&lt;$L$2,N(对接源_02物料!$B1104)&gt;$L$3),0,1))</f>
        <v>0</v>
      </c>
      <c r="M2304">
        <f>IF(OR($M$1="",对接源_02物料!$C1104="",对接源_02物料!$C1104&lt;&gt;$M$1,对接源_02物料!$B1104=""),0,IF(OR(N(对接源_02物料!$B1104)&lt;$M$2,N(对接源_02物料!$B1104)&gt;$M$3),0,1))</f>
        <v>0</v>
      </c>
      <c r="N2304">
        <f>IF(OR($N$1="",对接源_02物料!$C1104="",对接源_02物料!$C1104&lt;&gt;$N$1,对接源_02物料!$B1104=""),0,IF(OR(N(对接源_02物料!$B1104)&lt;$N$2,N(对接源_02物料!$B1104)&gt;$N$3),0,1))</f>
        <v>0</v>
      </c>
      <c r="P2304">
        <f>IF(AND($K2304=1,AND(对接源_02物料!$X1104="公司筐",N(对接源_02物料!$T1104)&lt;&gt;0)),1,0)</f>
        <v>0</v>
      </c>
      <c r="Q2304">
        <f>N(Q2303)+$P2304</f>
        <v>14</v>
      </c>
      <c r="R2304">
        <f>IF(AND($K2304=1,AND(对接源_02物料!$X1104="公司筐",N(对接源_02物料!$U1104)&lt;&gt;0)),1,0)</f>
        <v>0</v>
      </c>
      <c r="S2304">
        <f>N(S2303)+$R2304</f>
        <v>1</v>
      </c>
      <c r="T2304">
        <f>IF(AND($K2304=1,AND(对接源_02物料!$X1104="公司筐",N(对接源_02物料!$V1104)&lt;&gt;0)),1,0)</f>
        <v>0</v>
      </c>
      <c r="U2304">
        <f>N(U2303)+$T2304</f>
        <v>47</v>
      </c>
      <c r="V2304">
        <f>IF(AND($L2304=1,AND(对接源_02物料!$X1104="自备筐",N(对接源_02物料!$V1104)&lt;&gt;0)),1,0)</f>
        <v>0</v>
      </c>
      <c r="W2304">
        <f>N(W2303)+$V2304</f>
        <v>11</v>
      </c>
      <c r="X2304">
        <f>IF(AND($L2304=1,AND(对接源_02物料!$X1104="自备筐",N(对接源_02物料!$T1104)&lt;&gt;0)),1,0)</f>
        <v>0</v>
      </c>
      <c r="Y2304">
        <f>N(Y2303)+$X2304</f>
        <v>0</v>
      </c>
      <c r="Z2304">
        <f>IF(AND($M2304=1,对接源_02物料!$D1104="原料入库"),1,0)</f>
        <v>0</v>
      </c>
      <c r="AA2304">
        <f>N(AA2303)+$Z2304</f>
        <v>24</v>
      </c>
      <c r="AB2304">
        <f>IF(AND($M2304=1,LEFT(对接源_02物料!$D1104,4)="原料出库"),1,0)</f>
        <v>0</v>
      </c>
      <c r="AC2304">
        <f>N(AC2303)+$AB2304</f>
        <v>0</v>
      </c>
      <c r="AD2304">
        <f>IF(AND($M2304=1,LEFT(对接源_02物料!$D1104,4)="成品出库"),1,0)</f>
        <v>0</v>
      </c>
      <c r="AE2304">
        <f>N(AE2303)+$AD2304</f>
        <v>0</v>
      </c>
      <c r="AF2304">
        <f>IF(AND($N2304=1,AND(LEFT(对接源_02物料!$D1104,4)="包装物料",N(对接源_02物料!$K1104)&lt;&gt;0)),1,0)</f>
        <v>0</v>
      </c>
      <c r="AG2304">
        <f>N(AG2303)+$AF2304</f>
        <v>10</v>
      </c>
      <c r="AH2304">
        <f>IF(AND($N2304=1,AND(对接源_02物料!$D1104="周转筐－销售出库",N(对接源_02物料!$K1104)&lt;&gt;0)),1,0)</f>
        <v>0</v>
      </c>
      <c r="AI2304">
        <f>N(AI2303)+$AH2304</f>
        <v>0</v>
      </c>
      <c r="AL2304" t="n">
        <v>0</v>
      </c>
      <c r="AM2304">
        <f>N(AM2303)+$AL2304</f>
        <v>2</v>
      </c>
      <c r="AN2304">
        <f>""</f>
      </c>
      <c r="AO2304" t="n">
        <v>0</v>
      </c>
      <c r="AP2304">
        <f>N(AP2303)+$AO2304</f>
        <v>13</v>
      </c>
      <c r="AR2304">
        <f>IF(OR($AF2304=1,$AH2304=1),1,0)</f>
        <v>0</v>
      </c>
      <c r="AS2304">
        <f>N(AS2303)+$AR2304</f>
        <v>10</v>
      </c>
    </row>
    <row r="2305" s="127">
      <c r="A2305">
        <f>IF(对接源_02物料!$C1105="","",对接源_02物料!$C1105)</f>
      </c>
      <c r="B2305">
        <f>IF(A2305="",0,IF(MATCH(A2305,$A$4:$A$2403,0)=ROW()-3,1,0))</f>
        <v>0</v>
      </c>
      <c r="C2305">
        <f>N(C2304)+B2305</f>
        <v>26</v>
      </c>
      <c r="K2305">
        <f>IF(OR($K$1="",对接源_02物料!$C1105="",对接源_02物料!$C1105&lt;&gt;$K$1,对接源_02物料!$B1105=""),0,IF(OR(N(对接源_02物料!$B1105)&lt;$K$2,N(对接源_02物料!$B1105)&gt;$K$3),0,1))</f>
        <v>0</v>
      </c>
      <c r="L2305">
        <f>IF(OR($L$1="",对接源_02物料!$C1105="",对接源_02物料!$C1105&lt;&gt;$L$1,对接源_02物料!$B1105=""),0,IF(OR(N(对接源_02物料!$B1105)&lt;$L$2,N(对接源_02物料!$B1105)&gt;$L$3),0,1))</f>
        <v>0</v>
      </c>
      <c r="M2305">
        <f>IF(OR($M$1="",对接源_02物料!$C1105="",对接源_02物料!$C1105&lt;&gt;$M$1,对接源_02物料!$B1105=""),0,IF(OR(N(对接源_02物料!$B1105)&lt;$M$2,N(对接源_02物料!$B1105)&gt;$M$3),0,1))</f>
        <v>0</v>
      </c>
      <c r="N2305">
        <f>IF(OR($N$1="",对接源_02物料!$C1105="",对接源_02物料!$C1105&lt;&gt;$N$1,对接源_02物料!$B1105=""),0,IF(OR(N(对接源_02物料!$B1105)&lt;$N$2,N(对接源_02物料!$B1105)&gt;$N$3),0,1))</f>
        <v>0</v>
      </c>
      <c r="P2305">
        <f>IF(AND($K2305=1,AND(对接源_02物料!$X1105="公司筐",N(对接源_02物料!$T1105)&lt;&gt;0)),1,0)</f>
        <v>0</v>
      </c>
      <c r="Q2305">
        <f>N(Q2304)+$P2305</f>
        <v>14</v>
      </c>
      <c r="R2305">
        <f>IF(AND($K2305=1,AND(对接源_02物料!$X1105="公司筐",N(对接源_02物料!$U1105)&lt;&gt;0)),1,0)</f>
        <v>0</v>
      </c>
      <c r="S2305">
        <f>N(S2304)+$R2305</f>
        <v>1</v>
      </c>
      <c r="T2305">
        <f>IF(AND($K2305=1,AND(对接源_02物料!$X1105="公司筐",N(对接源_02物料!$V1105)&lt;&gt;0)),1,0)</f>
        <v>0</v>
      </c>
      <c r="U2305">
        <f>N(U2304)+$T2305</f>
        <v>47</v>
      </c>
      <c r="V2305">
        <f>IF(AND($L2305=1,AND(对接源_02物料!$X1105="自备筐",N(对接源_02物料!$V1105)&lt;&gt;0)),1,0)</f>
        <v>0</v>
      </c>
      <c r="W2305">
        <f>N(W2304)+$V2305</f>
        <v>11</v>
      </c>
      <c r="X2305">
        <f>IF(AND($L2305=1,AND(对接源_02物料!$X1105="自备筐",N(对接源_02物料!$T1105)&lt;&gt;0)),1,0)</f>
        <v>0</v>
      </c>
      <c r="Y2305">
        <f>N(Y2304)+$X2305</f>
        <v>0</v>
      </c>
      <c r="Z2305">
        <f>IF(AND($M2305=1,对接源_02物料!$D1105="原料入库"),1,0)</f>
        <v>0</v>
      </c>
      <c r="AA2305">
        <f>N(AA2304)+$Z2305</f>
        <v>24</v>
      </c>
      <c r="AB2305">
        <f>IF(AND($M2305=1,LEFT(对接源_02物料!$D1105,4)="原料出库"),1,0)</f>
        <v>0</v>
      </c>
      <c r="AC2305">
        <f>N(AC2304)+$AB2305</f>
        <v>0</v>
      </c>
      <c r="AD2305">
        <f>IF(AND($M2305=1,LEFT(对接源_02物料!$D1105,4)="成品出库"),1,0)</f>
        <v>0</v>
      </c>
      <c r="AE2305">
        <f>N(AE2304)+$AD2305</f>
        <v>0</v>
      </c>
      <c r="AF2305">
        <f>IF(AND($N2305=1,AND(LEFT(对接源_02物料!$D1105,4)="包装物料",N(对接源_02物料!$K1105)&lt;&gt;0)),1,0)</f>
        <v>0</v>
      </c>
      <c r="AG2305">
        <f>N(AG2304)+$AF2305</f>
        <v>10</v>
      </c>
      <c r="AH2305">
        <f>IF(AND($N2305=1,AND(对接源_02物料!$D1105="周转筐－销售出库",N(对接源_02物料!$K1105)&lt;&gt;0)),1,0)</f>
        <v>0</v>
      </c>
      <c r="AI2305">
        <f>N(AI2304)+$AH2305</f>
        <v>0</v>
      </c>
      <c r="AL2305" t="n">
        <v>0</v>
      </c>
      <c r="AM2305">
        <f>N(AM2304)+$AL2305</f>
        <v>2</v>
      </c>
      <c r="AN2305">
        <f>""</f>
      </c>
      <c r="AO2305" t="n">
        <v>0</v>
      </c>
      <c r="AP2305">
        <f>N(AP2304)+$AO2305</f>
        <v>13</v>
      </c>
      <c r="AR2305">
        <f>IF(OR($AF2305=1,$AH2305=1),1,0)</f>
        <v>0</v>
      </c>
      <c r="AS2305">
        <f>N(AS2304)+$AR2305</f>
        <v>10</v>
      </c>
    </row>
    <row r="2306" s="127">
      <c r="A2306">
        <f>IF(对接源_02物料!$C1106="","",对接源_02物料!$C1106)</f>
      </c>
      <c r="B2306">
        <f>IF(A2306="",0,IF(MATCH(A2306,$A$4:$A$2403,0)=ROW()-3,1,0))</f>
        <v>0</v>
      </c>
      <c r="C2306">
        <f>N(C2305)+B2306</f>
        <v>26</v>
      </c>
      <c r="K2306">
        <f>IF(OR($K$1="",对接源_02物料!$C1106="",对接源_02物料!$C1106&lt;&gt;$K$1,对接源_02物料!$B1106=""),0,IF(OR(N(对接源_02物料!$B1106)&lt;$K$2,N(对接源_02物料!$B1106)&gt;$K$3),0,1))</f>
        <v>0</v>
      </c>
      <c r="L2306">
        <f>IF(OR($L$1="",对接源_02物料!$C1106="",对接源_02物料!$C1106&lt;&gt;$L$1,对接源_02物料!$B1106=""),0,IF(OR(N(对接源_02物料!$B1106)&lt;$L$2,N(对接源_02物料!$B1106)&gt;$L$3),0,1))</f>
        <v>0</v>
      </c>
      <c r="M2306">
        <f>IF(OR($M$1="",对接源_02物料!$C1106="",对接源_02物料!$C1106&lt;&gt;$M$1,对接源_02物料!$B1106=""),0,IF(OR(N(对接源_02物料!$B1106)&lt;$M$2,N(对接源_02物料!$B1106)&gt;$M$3),0,1))</f>
        <v>0</v>
      </c>
      <c r="N2306">
        <f>IF(OR($N$1="",对接源_02物料!$C1106="",对接源_02物料!$C1106&lt;&gt;$N$1,对接源_02物料!$B1106=""),0,IF(OR(N(对接源_02物料!$B1106)&lt;$N$2,N(对接源_02物料!$B1106)&gt;$N$3),0,1))</f>
        <v>0</v>
      </c>
      <c r="P2306">
        <f>IF(AND($K2306=1,AND(对接源_02物料!$X1106="公司筐",N(对接源_02物料!$T1106)&lt;&gt;0)),1,0)</f>
        <v>0</v>
      </c>
      <c r="Q2306">
        <f>N(Q2305)+$P2306</f>
        <v>14</v>
      </c>
      <c r="R2306">
        <f>IF(AND($K2306=1,AND(对接源_02物料!$X1106="公司筐",N(对接源_02物料!$U1106)&lt;&gt;0)),1,0)</f>
        <v>0</v>
      </c>
      <c r="S2306">
        <f>N(S2305)+$R2306</f>
        <v>1</v>
      </c>
      <c r="T2306">
        <f>IF(AND($K2306=1,AND(对接源_02物料!$X1106="公司筐",N(对接源_02物料!$V1106)&lt;&gt;0)),1,0)</f>
        <v>0</v>
      </c>
      <c r="U2306">
        <f>N(U2305)+$T2306</f>
        <v>47</v>
      </c>
      <c r="V2306">
        <f>IF(AND($L2306=1,AND(对接源_02物料!$X1106="自备筐",N(对接源_02物料!$V1106)&lt;&gt;0)),1,0)</f>
        <v>0</v>
      </c>
      <c r="W2306">
        <f>N(W2305)+$V2306</f>
        <v>11</v>
      </c>
      <c r="X2306">
        <f>IF(AND($L2306=1,AND(对接源_02物料!$X1106="自备筐",N(对接源_02物料!$T1106)&lt;&gt;0)),1,0)</f>
        <v>0</v>
      </c>
      <c r="Y2306">
        <f>N(Y2305)+$X2306</f>
        <v>0</v>
      </c>
      <c r="Z2306">
        <f>IF(AND($M2306=1,对接源_02物料!$D1106="原料入库"),1,0)</f>
        <v>0</v>
      </c>
      <c r="AA2306">
        <f>N(AA2305)+$Z2306</f>
        <v>24</v>
      </c>
      <c r="AB2306">
        <f>IF(AND($M2306=1,LEFT(对接源_02物料!$D1106,4)="原料出库"),1,0)</f>
        <v>0</v>
      </c>
      <c r="AC2306">
        <f>N(AC2305)+$AB2306</f>
        <v>0</v>
      </c>
      <c r="AD2306">
        <f>IF(AND($M2306=1,LEFT(对接源_02物料!$D1106,4)="成品出库"),1,0)</f>
        <v>0</v>
      </c>
      <c r="AE2306">
        <f>N(AE2305)+$AD2306</f>
        <v>0</v>
      </c>
      <c r="AF2306">
        <f>IF(AND($N2306=1,AND(LEFT(对接源_02物料!$D1106,4)="包装物料",N(对接源_02物料!$K1106)&lt;&gt;0)),1,0)</f>
        <v>0</v>
      </c>
      <c r="AG2306">
        <f>N(AG2305)+$AF2306</f>
        <v>10</v>
      </c>
      <c r="AH2306">
        <f>IF(AND($N2306=1,AND(对接源_02物料!$D1106="周转筐－销售出库",N(对接源_02物料!$K1106)&lt;&gt;0)),1,0)</f>
        <v>0</v>
      </c>
      <c r="AI2306">
        <f>N(AI2305)+$AH2306</f>
        <v>0</v>
      </c>
      <c r="AL2306" t="n">
        <v>0</v>
      </c>
      <c r="AM2306">
        <f>N(AM2305)+$AL2306</f>
        <v>2</v>
      </c>
      <c r="AN2306">
        <f>""</f>
      </c>
      <c r="AO2306" t="n">
        <v>0</v>
      </c>
      <c r="AP2306">
        <f>N(AP2305)+$AO2306</f>
        <v>13</v>
      </c>
      <c r="AR2306">
        <f>IF(OR($AF2306=1,$AH2306=1),1,0)</f>
        <v>0</v>
      </c>
      <c r="AS2306">
        <f>N(AS2305)+$AR2306</f>
        <v>10</v>
      </c>
    </row>
    <row r="2307" s="127">
      <c r="A2307">
        <f>IF(对接源_02物料!$C1107="","",对接源_02物料!$C1107)</f>
      </c>
      <c r="B2307">
        <f>IF(A2307="",0,IF(MATCH(A2307,$A$4:$A$2403,0)=ROW()-3,1,0))</f>
        <v>0</v>
      </c>
      <c r="C2307">
        <f>N(C2306)+B2307</f>
        <v>26</v>
      </c>
      <c r="K2307">
        <f>IF(OR($K$1="",对接源_02物料!$C1107="",对接源_02物料!$C1107&lt;&gt;$K$1,对接源_02物料!$B1107=""),0,IF(OR(N(对接源_02物料!$B1107)&lt;$K$2,N(对接源_02物料!$B1107)&gt;$K$3),0,1))</f>
        <v>0</v>
      </c>
      <c r="L2307">
        <f>IF(OR($L$1="",对接源_02物料!$C1107="",对接源_02物料!$C1107&lt;&gt;$L$1,对接源_02物料!$B1107=""),0,IF(OR(N(对接源_02物料!$B1107)&lt;$L$2,N(对接源_02物料!$B1107)&gt;$L$3),0,1))</f>
        <v>0</v>
      </c>
      <c r="M2307">
        <f>IF(OR($M$1="",对接源_02物料!$C1107="",对接源_02物料!$C1107&lt;&gt;$M$1,对接源_02物料!$B1107=""),0,IF(OR(N(对接源_02物料!$B1107)&lt;$M$2,N(对接源_02物料!$B1107)&gt;$M$3),0,1))</f>
        <v>0</v>
      </c>
      <c r="N2307">
        <f>IF(OR($N$1="",对接源_02物料!$C1107="",对接源_02物料!$C1107&lt;&gt;$N$1,对接源_02物料!$B1107=""),0,IF(OR(N(对接源_02物料!$B1107)&lt;$N$2,N(对接源_02物料!$B1107)&gt;$N$3),0,1))</f>
        <v>0</v>
      </c>
      <c r="P2307">
        <f>IF(AND($K2307=1,AND(对接源_02物料!$X1107="公司筐",N(对接源_02物料!$T1107)&lt;&gt;0)),1,0)</f>
        <v>0</v>
      </c>
      <c r="Q2307">
        <f>N(Q2306)+$P2307</f>
        <v>14</v>
      </c>
      <c r="R2307">
        <f>IF(AND($K2307=1,AND(对接源_02物料!$X1107="公司筐",N(对接源_02物料!$U1107)&lt;&gt;0)),1,0)</f>
        <v>0</v>
      </c>
      <c r="S2307">
        <f>N(S2306)+$R2307</f>
        <v>1</v>
      </c>
      <c r="T2307">
        <f>IF(AND($K2307=1,AND(对接源_02物料!$X1107="公司筐",N(对接源_02物料!$V1107)&lt;&gt;0)),1,0)</f>
        <v>0</v>
      </c>
      <c r="U2307">
        <f>N(U2306)+$T2307</f>
        <v>47</v>
      </c>
      <c r="V2307">
        <f>IF(AND($L2307=1,AND(对接源_02物料!$X1107="自备筐",N(对接源_02物料!$V1107)&lt;&gt;0)),1,0)</f>
        <v>0</v>
      </c>
      <c r="W2307">
        <f>N(W2306)+$V2307</f>
        <v>11</v>
      </c>
      <c r="X2307">
        <f>IF(AND($L2307=1,AND(对接源_02物料!$X1107="自备筐",N(对接源_02物料!$T1107)&lt;&gt;0)),1,0)</f>
        <v>0</v>
      </c>
      <c r="Y2307">
        <f>N(Y2306)+$X2307</f>
        <v>0</v>
      </c>
      <c r="Z2307">
        <f>IF(AND($M2307=1,对接源_02物料!$D1107="原料入库"),1,0)</f>
        <v>0</v>
      </c>
      <c r="AA2307">
        <f>N(AA2306)+$Z2307</f>
        <v>24</v>
      </c>
      <c r="AB2307">
        <f>IF(AND($M2307=1,LEFT(对接源_02物料!$D1107,4)="原料出库"),1,0)</f>
        <v>0</v>
      </c>
      <c r="AC2307">
        <f>N(AC2306)+$AB2307</f>
        <v>0</v>
      </c>
      <c r="AD2307">
        <f>IF(AND($M2307=1,LEFT(对接源_02物料!$D1107,4)="成品出库"),1,0)</f>
        <v>0</v>
      </c>
      <c r="AE2307">
        <f>N(AE2306)+$AD2307</f>
        <v>0</v>
      </c>
      <c r="AF2307">
        <f>IF(AND($N2307=1,AND(LEFT(对接源_02物料!$D1107,4)="包装物料",N(对接源_02物料!$K1107)&lt;&gt;0)),1,0)</f>
        <v>0</v>
      </c>
      <c r="AG2307">
        <f>N(AG2306)+$AF2307</f>
        <v>10</v>
      </c>
      <c r="AH2307">
        <f>IF(AND($N2307=1,AND(对接源_02物料!$D1107="周转筐－销售出库",N(对接源_02物料!$K1107)&lt;&gt;0)),1,0)</f>
        <v>0</v>
      </c>
      <c r="AI2307">
        <f>N(AI2306)+$AH2307</f>
        <v>0</v>
      </c>
      <c r="AL2307" t="n">
        <v>0</v>
      </c>
      <c r="AM2307">
        <f>N(AM2306)+$AL2307</f>
        <v>2</v>
      </c>
      <c r="AN2307">
        <f>""</f>
      </c>
      <c r="AO2307" t="n">
        <v>0</v>
      </c>
      <c r="AP2307">
        <f>N(AP2306)+$AO2307</f>
        <v>13</v>
      </c>
      <c r="AR2307">
        <f>IF(OR($AF2307=1,$AH2307=1),1,0)</f>
        <v>0</v>
      </c>
      <c r="AS2307">
        <f>N(AS2306)+$AR2307</f>
        <v>10</v>
      </c>
    </row>
    <row r="2308" s="127">
      <c r="A2308">
        <f>IF(对接源_02物料!$C1108="","",对接源_02物料!$C1108)</f>
      </c>
      <c r="B2308">
        <f>IF(A2308="",0,IF(MATCH(A2308,$A$4:$A$2403,0)=ROW()-3,1,0))</f>
        <v>0</v>
      </c>
      <c r="C2308">
        <f>N(C2307)+B2308</f>
        <v>26</v>
      </c>
      <c r="K2308">
        <f>IF(OR($K$1="",对接源_02物料!$C1108="",对接源_02物料!$C1108&lt;&gt;$K$1,对接源_02物料!$B1108=""),0,IF(OR(N(对接源_02物料!$B1108)&lt;$K$2,N(对接源_02物料!$B1108)&gt;$K$3),0,1))</f>
        <v>0</v>
      </c>
      <c r="L2308">
        <f>IF(OR($L$1="",对接源_02物料!$C1108="",对接源_02物料!$C1108&lt;&gt;$L$1,对接源_02物料!$B1108=""),0,IF(OR(N(对接源_02物料!$B1108)&lt;$L$2,N(对接源_02物料!$B1108)&gt;$L$3),0,1))</f>
        <v>0</v>
      </c>
      <c r="M2308">
        <f>IF(OR($M$1="",对接源_02物料!$C1108="",对接源_02物料!$C1108&lt;&gt;$M$1,对接源_02物料!$B1108=""),0,IF(OR(N(对接源_02物料!$B1108)&lt;$M$2,N(对接源_02物料!$B1108)&gt;$M$3),0,1))</f>
        <v>0</v>
      </c>
      <c r="N2308">
        <f>IF(OR($N$1="",对接源_02物料!$C1108="",对接源_02物料!$C1108&lt;&gt;$N$1,对接源_02物料!$B1108=""),0,IF(OR(N(对接源_02物料!$B1108)&lt;$N$2,N(对接源_02物料!$B1108)&gt;$N$3),0,1))</f>
        <v>0</v>
      </c>
      <c r="P2308">
        <f>IF(AND($K2308=1,AND(对接源_02物料!$X1108="公司筐",N(对接源_02物料!$T1108)&lt;&gt;0)),1,0)</f>
        <v>0</v>
      </c>
      <c r="Q2308">
        <f>N(Q2307)+$P2308</f>
        <v>14</v>
      </c>
      <c r="R2308">
        <f>IF(AND($K2308=1,AND(对接源_02物料!$X1108="公司筐",N(对接源_02物料!$U1108)&lt;&gt;0)),1,0)</f>
        <v>0</v>
      </c>
      <c r="S2308">
        <f>N(S2307)+$R2308</f>
        <v>1</v>
      </c>
      <c r="T2308">
        <f>IF(AND($K2308=1,AND(对接源_02物料!$X1108="公司筐",N(对接源_02物料!$V1108)&lt;&gt;0)),1,0)</f>
        <v>0</v>
      </c>
      <c r="U2308">
        <f>N(U2307)+$T2308</f>
        <v>47</v>
      </c>
      <c r="V2308">
        <f>IF(AND($L2308=1,AND(对接源_02物料!$X1108="自备筐",N(对接源_02物料!$V1108)&lt;&gt;0)),1,0)</f>
        <v>0</v>
      </c>
      <c r="W2308">
        <f>N(W2307)+$V2308</f>
        <v>11</v>
      </c>
      <c r="X2308">
        <f>IF(AND($L2308=1,AND(对接源_02物料!$X1108="自备筐",N(对接源_02物料!$T1108)&lt;&gt;0)),1,0)</f>
        <v>0</v>
      </c>
      <c r="Y2308">
        <f>N(Y2307)+$X2308</f>
        <v>0</v>
      </c>
      <c r="Z2308">
        <f>IF(AND($M2308=1,对接源_02物料!$D1108="原料入库"),1,0)</f>
        <v>0</v>
      </c>
      <c r="AA2308">
        <f>N(AA2307)+$Z2308</f>
        <v>24</v>
      </c>
      <c r="AB2308">
        <f>IF(AND($M2308=1,LEFT(对接源_02物料!$D1108,4)="原料出库"),1,0)</f>
        <v>0</v>
      </c>
      <c r="AC2308">
        <f>N(AC2307)+$AB2308</f>
        <v>0</v>
      </c>
      <c r="AD2308">
        <f>IF(AND($M2308=1,LEFT(对接源_02物料!$D1108,4)="成品出库"),1,0)</f>
        <v>0</v>
      </c>
      <c r="AE2308">
        <f>N(AE2307)+$AD2308</f>
        <v>0</v>
      </c>
      <c r="AF2308">
        <f>IF(AND($N2308=1,AND(LEFT(对接源_02物料!$D1108,4)="包装物料",N(对接源_02物料!$K1108)&lt;&gt;0)),1,0)</f>
        <v>0</v>
      </c>
      <c r="AG2308">
        <f>N(AG2307)+$AF2308</f>
        <v>10</v>
      </c>
      <c r="AH2308">
        <f>IF(AND($N2308=1,AND(对接源_02物料!$D1108="周转筐－销售出库",N(对接源_02物料!$K1108)&lt;&gt;0)),1,0)</f>
        <v>0</v>
      </c>
      <c r="AI2308">
        <f>N(AI2307)+$AH2308</f>
        <v>0</v>
      </c>
      <c r="AL2308" t="n">
        <v>0</v>
      </c>
      <c r="AM2308">
        <f>N(AM2307)+$AL2308</f>
        <v>2</v>
      </c>
      <c r="AN2308">
        <f>""</f>
      </c>
      <c r="AO2308" t="n">
        <v>0</v>
      </c>
      <c r="AP2308">
        <f>N(AP2307)+$AO2308</f>
        <v>13</v>
      </c>
      <c r="AR2308">
        <f>IF(OR($AF2308=1,$AH2308=1),1,0)</f>
        <v>0</v>
      </c>
      <c r="AS2308">
        <f>N(AS2307)+$AR2308</f>
        <v>10</v>
      </c>
    </row>
    <row r="2309" s="127">
      <c r="A2309">
        <f>IF(对接源_02物料!$C1109="","",对接源_02物料!$C1109)</f>
      </c>
      <c r="B2309">
        <f>IF(A2309="",0,IF(MATCH(A2309,$A$4:$A$2403,0)=ROW()-3,1,0))</f>
        <v>0</v>
      </c>
      <c r="C2309">
        <f>N(C2308)+B2309</f>
        <v>26</v>
      </c>
      <c r="K2309">
        <f>IF(OR($K$1="",对接源_02物料!$C1109="",对接源_02物料!$C1109&lt;&gt;$K$1,对接源_02物料!$B1109=""),0,IF(OR(N(对接源_02物料!$B1109)&lt;$K$2,N(对接源_02物料!$B1109)&gt;$K$3),0,1))</f>
        <v>0</v>
      </c>
      <c r="L2309">
        <f>IF(OR($L$1="",对接源_02物料!$C1109="",对接源_02物料!$C1109&lt;&gt;$L$1,对接源_02物料!$B1109=""),0,IF(OR(N(对接源_02物料!$B1109)&lt;$L$2,N(对接源_02物料!$B1109)&gt;$L$3),0,1))</f>
        <v>0</v>
      </c>
      <c r="M2309">
        <f>IF(OR($M$1="",对接源_02物料!$C1109="",对接源_02物料!$C1109&lt;&gt;$M$1,对接源_02物料!$B1109=""),0,IF(OR(N(对接源_02物料!$B1109)&lt;$M$2,N(对接源_02物料!$B1109)&gt;$M$3),0,1))</f>
        <v>0</v>
      </c>
      <c r="N2309">
        <f>IF(OR($N$1="",对接源_02物料!$C1109="",对接源_02物料!$C1109&lt;&gt;$N$1,对接源_02物料!$B1109=""),0,IF(OR(N(对接源_02物料!$B1109)&lt;$N$2,N(对接源_02物料!$B1109)&gt;$N$3),0,1))</f>
        <v>0</v>
      </c>
      <c r="P2309">
        <f>IF(AND($K2309=1,AND(对接源_02物料!$X1109="公司筐",N(对接源_02物料!$T1109)&lt;&gt;0)),1,0)</f>
        <v>0</v>
      </c>
      <c r="Q2309">
        <f>N(Q2308)+$P2309</f>
        <v>14</v>
      </c>
      <c r="R2309">
        <f>IF(AND($K2309=1,AND(对接源_02物料!$X1109="公司筐",N(对接源_02物料!$U1109)&lt;&gt;0)),1,0)</f>
        <v>0</v>
      </c>
      <c r="S2309">
        <f>N(S2308)+$R2309</f>
        <v>1</v>
      </c>
      <c r="T2309">
        <f>IF(AND($K2309=1,AND(对接源_02物料!$X1109="公司筐",N(对接源_02物料!$V1109)&lt;&gt;0)),1,0)</f>
        <v>0</v>
      </c>
      <c r="U2309">
        <f>N(U2308)+$T2309</f>
        <v>47</v>
      </c>
      <c r="V2309">
        <f>IF(AND($L2309=1,AND(对接源_02物料!$X1109="自备筐",N(对接源_02物料!$V1109)&lt;&gt;0)),1,0)</f>
        <v>0</v>
      </c>
      <c r="W2309">
        <f>N(W2308)+$V2309</f>
        <v>11</v>
      </c>
      <c r="X2309">
        <f>IF(AND($L2309=1,AND(对接源_02物料!$X1109="自备筐",N(对接源_02物料!$T1109)&lt;&gt;0)),1,0)</f>
        <v>0</v>
      </c>
      <c r="Y2309">
        <f>N(Y2308)+$X2309</f>
        <v>0</v>
      </c>
      <c r="Z2309">
        <f>IF(AND($M2309=1,对接源_02物料!$D1109="原料入库"),1,0)</f>
        <v>0</v>
      </c>
      <c r="AA2309">
        <f>N(AA2308)+$Z2309</f>
        <v>24</v>
      </c>
      <c r="AB2309">
        <f>IF(AND($M2309=1,LEFT(对接源_02物料!$D1109,4)="原料出库"),1,0)</f>
        <v>0</v>
      </c>
      <c r="AC2309">
        <f>N(AC2308)+$AB2309</f>
        <v>0</v>
      </c>
      <c r="AD2309">
        <f>IF(AND($M2309=1,LEFT(对接源_02物料!$D1109,4)="成品出库"),1,0)</f>
        <v>0</v>
      </c>
      <c r="AE2309">
        <f>N(AE2308)+$AD2309</f>
        <v>0</v>
      </c>
      <c r="AF2309">
        <f>IF(AND($N2309=1,AND(LEFT(对接源_02物料!$D1109,4)="包装物料",N(对接源_02物料!$K1109)&lt;&gt;0)),1,0)</f>
        <v>0</v>
      </c>
      <c r="AG2309">
        <f>N(AG2308)+$AF2309</f>
        <v>10</v>
      </c>
      <c r="AH2309">
        <f>IF(AND($N2309=1,AND(对接源_02物料!$D1109="周转筐－销售出库",N(对接源_02物料!$K1109)&lt;&gt;0)),1,0)</f>
        <v>0</v>
      </c>
      <c r="AI2309">
        <f>N(AI2308)+$AH2309</f>
        <v>0</v>
      </c>
      <c r="AL2309" t="n">
        <v>0</v>
      </c>
      <c r="AM2309">
        <f>N(AM2308)+$AL2309</f>
        <v>2</v>
      </c>
      <c r="AN2309">
        <f>""</f>
      </c>
      <c r="AO2309" t="n">
        <v>0</v>
      </c>
      <c r="AP2309">
        <f>N(AP2308)+$AO2309</f>
        <v>13</v>
      </c>
      <c r="AR2309">
        <f>IF(OR($AF2309=1,$AH2309=1),1,0)</f>
        <v>0</v>
      </c>
      <c r="AS2309">
        <f>N(AS2308)+$AR2309</f>
        <v>10</v>
      </c>
    </row>
    <row r="2310" s="127">
      <c r="A2310">
        <f>IF(对接源_02物料!$C1110="","",对接源_02物料!$C1110)</f>
      </c>
      <c r="B2310">
        <f>IF(A2310="",0,IF(MATCH(A2310,$A$4:$A$2403,0)=ROW()-3,1,0))</f>
        <v>0</v>
      </c>
      <c r="C2310">
        <f>N(C2309)+B2310</f>
        <v>26</v>
      </c>
      <c r="K2310">
        <f>IF(OR($K$1="",对接源_02物料!$C1110="",对接源_02物料!$C1110&lt;&gt;$K$1,对接源_02物料!$B1110=""),0,IF(OR(N(对接源_02物料!$B1110)&lt;$K$2,N(对接源_02物料!$B1110)&gt;$K$3),0,1))</f>
        <v>0</v>
      </c>
      <c r="L2310">
        <f>IF(OR($L$1="",对接源_02物料!$C1110="",对接源_02物料!$C1110&lt;&gt;$L$1,对接源_02物料!$B1110=""),0,IF(OR(N(对接源_02物料!$B1110)&lt;$L$2,N(对接源_02物料!$B1110)&gt;$L$3),0,1))</f>
        <v>0</v>
      </c>
      <c r="M2310">
        <f>IF(OR($M$1="",对接源_02物料!$C1110="",对接源_02物料!$C1110&lt;&gt;$M$1,对接源_02物料!$B1110=""),0,IF(OR(N(对接源_02物料!$B1110)&lt;$M$2,N(对接源_02物料!$B1110)&gt;$M$3),0,1))</f>
        <v>0</v>
      </c>
      <c r="N2310">
        <f>IF(OR($N$1="",对接源_02物料!$C1110="",对接源_02物料!$C1110&lt;&gt;$N$1,对接源_02物料!$B1110=""),0,IF(OR(N(对接源_02物料!$B1110)&lt;$N$2,N(对接源_02物料!$B1110)&gt;$N$3),0,1))</f>
        <v>0</v>
      </c>
      <c r="P2310">
        <f>IF(AND($K2310=1,AND(对接源_02物料!$X1110="公司筐",N(对接源_02物料!$T1110)&lt;&gt;0)),1,0)</f>
        <v>0</v>
      </c>
      <c r="Q2310">
        <f>N(Q2309)+$P2310</f>
        <v>14</v>
      </c>
      <c r="R2310">
        <f>IF(AND($K2310=1,AND(对接源_02物料!$X1110="公司筐",N(对接源_02物料!$U1110)&lt;&gt;0)),1,0)</f>
        <v>0</v>
      </c>
      <c r="S2310">
        <f>N(S2309)+$R2310</f>
        <v>1</v>
      </c>
      <c r="T2310">
        <f>IF(AND($K2310=1,AND(对接源_02物料!$X1110="公司筐",N(对接源_02物料!$V1110)&lt;&gt;0)),1,0)</f>
        <v>0</v>
      </c>
      <c r="U2310">
        <f>N(U2309)+$T2310</f>
        <v>47</v>
      </c>
      <c r="V2310">
        <f>IF(AND($L2310=1,AND(对接源_02物料!$X1110="自备筐",N(对接源_02物料!$V1110)&lt;&gt;0)),1,0)</f>
        <v>0</v>
      </c>
      <c r="W2310">
        <f>N(W2309)+$V2310</f>
        <v>11</v>
      </c>
      <c r="X2310">
        <f>IF(AND($L2310=1,AND(对接源_02物料!$X1110="自备筐",N(对接源_02物料!$T1110)&lt;&gt;0)),1,0)</f>
        <v>0</v>
      </c>
      <c r="Y2310">
        <f>N(Y2309)+$X2310</f>
        <v>0</v>
      </c>
      <c r="Z2310">
        <f>IF(AND($M2310=1,对接源_02物料!$D1110="原料入库"),1,0)</f>
        <v>0</v>
      </c>
      <c r="AA2310">
        <f>N(AA2309)+$Z2310</f>
        <v>24</v>
      </c>
      <c r="AB2310">
        <f>IF(AND($M2310=1,LEFT(对接源_02物料!$D1110,4)="原料出库"),1,0)</f>
        <v>0</v>
      </c>
      <c r="AC2310">
        <f>N(AC2309)+$AB2310</f>
        <v>0</v>
      </c>
      <c r="AD2310">
        <f>IF(AND($M2310=1,LEFT(对接源_02物料!$D1110,4)="成品出库"),1,0)</f>
        <v>0</v>
      </c>
      <c r="AE2310">
        <f>N(AE2309)+$AD2310</f>
        <v>0</v>
      </c>
      <c r="AF2310">
        <f>IF(AND($N2310=1,AND(LEFT(对接源_02物料!$D1110,4)="包装物料",N(对接源_02物料!$K1110)&lt;&gt;0)),1,0)</f>
        <v>0</v>
      </c>
      <c r="AG2310">
        <f>N(AG2309)+$AF2310</f>
        <v>10</v>
      </c>
      <c r="AH2310">
        <f>IF(AND($N2310=1,AND(对接源_02物料!$D1110="周转筐－销售出库",N(对接源_02物料!$K1110)&lt;&gt;0)),1,0)</f>
        <v>0</v>
      </c>
      <c r="AI2310">
        <f>N(AI2309)+$AH2310</f>
        <v>0</v>
      </c>
      <c r="AL2310" t="n">
        <v>0</v>
      </c>
      <c r="AM2310">
        <f>N(AM2309)+$AL2310</f>
        <v>2</v>
      </c>
      <c r="AN2310">
        <f>""</f>
      </c>
      <c r="AO2310" t="n">
        <v>0</v>
      </c>
      <c r="AP2310">
        <f>N(AP2309)+$AO2310</f>
        <v>13</v>
      </c>
      <c r="AR2310">
        <f>IF(OR($AF2310=1,$AH2310=1),1,0)</f>
        <v>0</v>
      </c>
      <c r="AS2310">
        <f>N(AS2309)+$AR2310</f>
        <v>10</v>
      </c>
    </row>
    <row r="2311" s="127">
      <c r="A2311">
        <f>IF(对接源_02物料!$C1111="","",对接源_02物料!$C1111)</f>
      </c>
      <c r="B2311">
        <f>IF(A2311="",0,IF(MATCH(A2311,$A$4:$A$2403,0)=ROW()-3,1,0))</f>
        <v>0</v>
      </c>
      <c r="C2311">
        <f>N(C2310)+B2311</f>
        <v>26</v>
      </c>
      <c r="K2311">
        <f>IF(OR($K$1="",对接源_02物料!$C1111="",对接源_02物料!$C1111&lt;&gt;$K$1,对接源_02物料!$B1111=""),0,IF(OR(N(对接源_02物料!$B1111)&lt;$K$2,N(对接源_02物料!$B1111)&gt;$K$3),0,1))</f>
        <v>0</v>
      </c>
      <c r="L2311">
        <f>IF(OR($L$1="",对接源_02物料!$C1111="",对接源_02物料!$C1111&lt;&gt;$L$1,对接源_02物料!$B1111=""),0,IF(OR(N(对接源_02物料!$B1111)&lt;$L$2,N(对接源_02物料!$B1111)&gt;$L$3),0,1))</f>
        <v>0</v>
      </c>
      <c r="M2311">
        <f>IF(OR($M$1="",对接源_02物料!$C1111="",对接源_02物料!$C1111&lt;&gt;$M$1,对接源_02物料!$B1111=""),0,IF(OR(N(对接源_02物料!$B1111)&lt;$M$2,N(对接源_02物料!$B1111)&gt;$M$3),0,1))</f>
        <v>0</v>
      </c>
      <c r="N2311">
        <f>IF(OR($N$1="",对接源_02物料!$C1111="",对接源_02物料!$C1111&lt;&gt;$N$1,对接源_02物料!$B1111=""),0,IF(OR(N(对接源_02物料!$B1111)&lt;$N$2,N(对接源_02物料!$B1111)&gt;$N$3),0,1))</f>
        <v>0</v>
      </c>
      <c r="P2311">
        <f>IF(AND($K2311=1,AND(对接源_02物料!$X1111="公司筐",N(对接源_02物料!$T1111)&lt;&gt;0)),1,0)</f>
        <v>0</v>
      </c>
      <c r="Q2311">
        <f>N(Q2310)+$P2311</f>
        <v>14</v>
      </c>
      <c r="R2311">
        <f>IF(AND($K2311=1,AND(对接源_02物料!$X1111="公司筐",N(对接源_02物料!$U1111)&lt;&gt;0)),1,0)</f>
        <v>0</v>
      </c>
      <c r="S2311">
        <f>N(S2310)+$R2311</f>
        <v>1</v>
      </c>
      <c r="T2311">
        <f>IF(AND($K2311=1,AND(对接源_02物料!$X1111="公司筐",N(对接源_02物料!$V1111)&lt;&gt;0)),1,0)</f>
        <v>0</v>
      </c>
      <c r="U2311">
        <f>N(U2310)+$T2311</f>
        <v>47</v>
      </c>
      <c r="V2311">
        <f>IF(AND($L2311=1,AND(对接源_02物料!$X1111="自备筐",N(对接源_02物料!$V1111)&lt;&gt;0)),1,0)</f>
        <v>0</v>
      </c>
      <c r="W2311">
        <f>N(W2310)+$V2311</f>
        <v>11</v>
      </c>
      <c r="X2311">
        <f>IF(AND($L2311=1,AND(对接源_02物料!$X1111="自备筐",N(对接源_02物料!$T1111)&lt;&gt;0)),1,0)</f>
        <v>0</v>
      </c>
      <c r="Y2311">
        <f>N(Y2310)+$X2311</f>
        <v>0</v>
      </c>
      <c r="Z2311">
        <f>IF(AND($M2311=1,对接源_02物料!$D1111="原料入库"),1,0)</f>
        <v>0</v>
      </c>
      <c r="AA2311">
        <f>N(AA2310)+$Z2311</f>
        <v>24</v>
      </c>
      <c r="AB2311">
        <f>IF(AND($M2311=1,LEFT(对接源_02物料!$D1111,4)="原料出库"),1,0)</f>
        <v>0</v>
      </c>
      <c r="AC2311">
        <f>N(AC2310)+$AB2311</f>
        <v>0</v>
      </c>
      <c r="AD2311">
        <f>IF(AND($M2311=1,LEFT(对接源_02物料!$D1111,4)="成品出库"),1,0)</f>
        <v>0</v>
      </c>
      <c r="AE2311">
        <f>N(AE2310)+$AD2311</f>
        <v>0</v>
      </c>
      <c r="AF2311">
        <f>IF(AND($N2311=1,AND(LEFT(对接源_02物料!$D1111,4)="包装物料",N(对接源_02物料!$K1111)&lt;&gt;0)),1,0)</f>
        <v>0</v>
      </c>
      <c r="AG2311">
        <f>N(AG2310)+$AF2311</f>
        <v>10</v>
      </c>
      <c r="AH2311">
        <f>IF(AND($N2311=1,AND(对接源_02物料!$D1111="周转筐－销售出库",N(对接源_02物料!$K1111)&lt;&gt;0)),1,0)</f>
        <v>0</v>
      </c>
      <c r="AI2311">
        <f>N(AI2310)+$AH2311</f>
        <v>0</v>
      </c>
      <c r="AL2311" t="n">
        <v>0</v>
      </c>
      <c r="AM2311">
        <f>N(AM2310)+$AL2311</f>
        <v>2</v>
      </c>
      <c r="AN2311">
        <f>""</f>
      </c>
      <c r="AO2311" t="n">
        <v>0</v>
      </c>
      <c r="AP2311">
        <f>N(AP2310)+$AO2311</f>
        <v>13</v>
      </c>
      <c r="AR2311">
        <f>IF(OR($AF2311=1,$AH2311=1),1,0)</f>
        <v>0</v>
      </c>
      <c r="AS2311">
        <f>N(AS2310)+$AR2311</f>
        <v>10</v>
      </c>
    </row>
    <row r="2312" s="127">
      <c r="A2312">
        <f>IF(对接源_02物料!$C1112="","",对接源_02物料!$C1112)</f>
      </c>
      <c r="B2312">
        <f>IF(A2312="",0,IF(MATCH(A2312,$A$4:$A$2403,0)=ROW()-3,1,0))</f>
        <v>0</v>
      </c>
      <c r="C2312">
        <f>N(C2311)+B2312</f>
        <v>26</v>
      </c>
      <c r="K2312">
        <f>IF(OR($K$1="",对接源_02物料!$C1112="",对接源_02物料!$C1112&lt;&gt;$K$1,对接源_02物料!$B1112=""),0,IF(OR(N(对接源_02物料!$B1112)&lt;$K$2,N(对接源_02物料!$B1112)&gt;$K$3),0,1))</f>
        <v>0</v>
      </c>
      <c r="L2312">
        <f>IF(OR($L$1="",对接源_02物料!$C1112="",对接源_02物料!$C1112&lt;&gt;$L$1,对接源_02物料!$B1112=""),0,IF(OR(N(对接源_02物料!$B1112)&lt;$L$2,N(对接源_02物料!$B1112)&gt;$L$3),0,1))</f>
        <v>0</v>
      </c>
      <c r="M2312">
        <f>IF(OR($M$1="",对接源_02物料!$C1112="",对接源_02物料!$C1112&lt;&gt;$M$1,对接源_02物料!$B1112=""),0,IF(OR(N(对接源_02物料!$B1112)&lt;$M$2,N(对接源_02物料!$B1112)&gt;$M$3),0,1))</f>
        <v>0</v>
      </c>
      <c r="N2312">
        <f>IF(OR($N$1="",对接源_02物料!$C1112="",对接源_02物料!$C1112&lt;&gt;$N$1,对接源_02物料!$B1112=""),0,IF(OR(N(对接源_02物料!$B1112)&lt;$N$2,N(对接源_02物料!$B1112)&gt;$N$3),0,1))</f>
        <v>0</v>
      </c>
      <c r="P2312">
        <f>IF(AND($K2312=1,AND(对接源_02物料!$X1112="公司筐",N(对接源_02物料!$T1112)&lt;&gt;0)),1,0)</f>
        <v>0</v>
      </c>
      <c r="Q2312">
        <f>N(Q2311)+$P2312</f>
        <v>14</v>
      </c>
      <c r="R2312">
        <f>IF(AND($K2312=1,AND(对接源_02物料!$X1112="公司筐",N(对接源_02物料!$U1112)&lt;&gt;0)),1,0)</f>
        <v>0</v>
      </c>
      <c r="S2312">
        <f>N(S2311)+$R2312</f>
        <v>1</v>
      </c>
      <c r="T2312">
        <f>IF(AND($K2312=1,AND(对接源_02物料!$X1112="公司筐",N(对接源_02物料!$V1112)&lt;&gt;0)),1,0)</f>
        <v>0</v>
      </c>
      <c r="U2312">
        <f>N(U2311)+$T2312</f>
        <v>47</v>
      </c>
      <c r="V2312">
        <f>IF(AND($L2312=1,AND(对接源_02物料!$X1112="自备筐",N(对接源_02物料!$V1112)&lt;&gt;0)),1,0)</f>
        <v>0</v>
      </c>
      <c r="W2312">
        <f>N(W2311)+$V2312</f>
        <v>11</v>
      </c>
      <c r="X2312">
        <f>IF(AND($L2312=1,AND(对接源_02物料!$X1112="自备筐",N(对接源_02物料!$T1112)&lt;&gt;0)),1,0)</f>
        <v>0</v>
      </c>
      <c r="Y2312">
        <f>N(Y2311)+$X2312</f>
        <v>0</v>
      </c>
      <c r="Z2312">
        <f>IF(AND($M2312=1,对接源_02物料!$D1112="原料入库"),1,0)</f>
        <v>0</v>
      </c>
      <c r="AA2312">
        <f>N(AA2311)+$Z2312</f>
        <v>24</v>
      </c>
      <c r="AB2312">
        <f>IF(AND($M2312=1,LEFT(对接源_02物料!$D1112,4)="原料出库"),1,0)</f>
        <v>0</v>
      </c>
      <c r="AC2312">
        <f>N(AC2311)+$AB2312</f>
        <v>0</v>
      </c>
      <c r="AD2312">
        <f>IF(AND($M2312=1,LEFT(对接源_02物料!$D1112,4)="成品出库"),1,0)</f>
        <v>0</v>
      </c>
      <c r="AE2312">
        <f>N(AE2311)+$AD2312</f>
        <v>0</v>
      </c>
      <c r="AF2312">
        <f>IF(AND($N2312=1,AND(LEFT(对接源_02物料!$D1112,4)="包装物料",N(对接源_02物料!$K1112)&lt;&gt;0)),1,0)</f>
        <v>0</v>
      </c>
      <c r="AG2312">
        <f>N(AG2311)+$AF2312</f>
        <v>10</v>
      </c>
      <c r="AH2312">
        <f>IF(AND($N2312=1,AND(对接源_02物料!$D1112="周转筐－销售出库",N(对接源_02物料!$K1112)&lt;&gt;0)),1,0)</f>
        <v>0</v>
      </c>
      <c r="AI2312">
        <f>N(AI2311)+$AH2312</f>
        <v>0</v>
      </c>
      <c r="AL2312" t="n">
        <v>0</v>
      </c>
      <c r="AM2312">
        <f>N(AM2311)+$AL2312</f>
        <v>2</v>
      </c>
      <c r="AN2312">
        <f>""</f>
      </c>
      <c r="AO2312" t="n">
        <v>0</v>
      </c>
      <c r="AP2312">
        <f>N(AP2311)+$AO2312</f>
        <v>13</v>
      </c>
      <c r="AR2312">
        <f>IF(OR($AF2312=1,$AH2312=1),1,0)</f>
        <v>0</v>
      </c>
      <c r="AS2312">
        <f>N(AS2311)+$AR2312</f>
        <v>10</v>
      </c>
    </row>
    <row r="2313" s="127">
      <c r="A2313">
        <f>IF(对接源_02物料!$C1113="","",对接源_02物料!$C1113)</f>
      </c>
      <c r="B2313">
        <f>IF(A2313="",0,IF(MATCH(A2313,$A$4:$A$2403,0)=ROW()-3,1,0))</f>
        <v>0</v>
      </c>
      <c r="C2313">
        <f>N(C2312)+B2313</f>
        <v>26</v>
      </c>
      <c r="K2313">
        <f>IF(OR($K$1="",对接源_02物料!$C1113="",对接源_02物料!$C1113&lt;&gt;$K$1,对接源_02物料!$B1113=""),0,IF(OR(N(对接源_02物料!$B1113)&lt;$K$2,N(对接源_02物料!$B1113)&gt;$K$3),0,1))</f>
        <v>0</v>
      </c>
      <c r="L2313">
        <f>IF(OR($L$1="",对接源_02物料!$C1113="",对接源_02物料!$C1113&lt;&gt;$L$1,对接源_02物料!$B1113=""),0,IF(OR(N(对接源_02物料!$B1113)&lt;$L$2,N(对接源_02物料!$B1113)&gt;$L$3),0,1))</f>
        <v>0</v>
      </c>
      <c r="M2313">
        <f>IF(OR($M$1="",对接源_02物料!$C1113="",对接源_02物料!$C1113&lt;&gt;$M$1,对接源_02物料!$B1113=""),0,IF(OR(N(对接源_02物料!$B1113)&lt;$M$2,N(对接源_02物料!$B1113)&gt;$M$3),0,1))</f>
        <v>0</v>
      </c>
      <c r="N2313">
        <f>IF(OR($N$1="",对接源_02物料!$C1113="",对接源_02物料!$C1113&lt;&gt;$N$1,对接源_02物料!$B1113=""),0,IF(OR(N(对接源_02物料!$B1113)&lt;$N$2,N(对接源_02物料!$B1113)&gt;$N$3),0,1))</f>
        <v>0</v>
      </c>
      <c r="P2313">
        <f>IF(AND($K2313=1,AND(对接源_02物料!$X1113="公司筐",N(对接源_02物料!$T1113)&lt;&gt;0)),1,0)</f>
        <v>0</v>
      </c>
      <c r="Q2313">
        <f>N(Q2312)+$P2313</f>
        <v>14</v>
      </c>
      <c r="R2313">
        <f>IF(AND($K2313=1,AND(对接源_02物料!$X1113="公司筐",N(对接源_02物料!$U1113)&lt;&gt;0)),1,0)</f>
        <v>0</v>
      </c>
      <c r="S2313">
        <f>N(S2312)+$R2313</f>
        <v>1</v>
      </c>
      <c r="T2313">
        <f>IF(AND($K2313=1,AND(对接源_02物料!$X1113="公司筐",N(对接源_02物料!$V1113)&lt;&gt;0)),1,0)</f>
        <v>0</v>
      </c>
      <c r="U2313">
        <f>N(U2312)+$T2313</f>
        <v>47</v>
      </c>
      <c r="V2313">
        <f>IF(AND($L2313=1,AND(对接源_02物料!$X1113="自备筐",N(对接源_02物料!$V1113)&lt;&gt;0)),1,0)</f>
        <v>0</v>
      </c>
      <c r="W2313">
        <f>N(W2312)+$V2313</f>
        <v>11</v>
      </c>
      <c r="X2313">
        <f>IF(AND($L2313=1,AND(对接源_02物料!$X1113="自备筐",N(对接源_02物料!$T1113)&lt;&gt;0)),1,0)</f>
        <v>0</v>
      </c>
      <c r="Y2313">
        <f>N(Y2312)+$X2313</f>
        <v>0</v>
      </c>
      <c r="Z2313">
        <f>IF(AND($M2313=1,对接源_02物料!$D1113="原料入库"),1,0)</f>
        <v>0</v>
      </c>
      <c r="AA2313">
        <f>N(AA2312)+$Z2313</f>
        <v>24</v>
      </c>
      <c r="AB2313">
        <f>IF(AND($M2313=1,LEFT(对接源_02物料!$D1113,4)="原料出库"),1,0)</f>
        <v>0</v>
      </c>
      <c r="AC2313">
        <f>N(AC2312)+$AB2313</f>
        <v>0</v>
      </c>
      <c r="AD2313">
        <f>IF(AND($M2313=1,LEFT(对接源_02物料!$D1113,4)="成品出库"),1,0)</f>
        <v>0</v>
      </c>
      <c r="AE2313">
        <f>N(AE2312)+$AD2313</f>
        <v>0</v>
      </c>
      <c r="AF2313">
        <f>IF(AND($N2313=1,AND(LEFT(对接源_02物料!$D1113,4)="包装物料",N(对接源_02物料!$K1113)&lt;&gt;0)),1,0)</f>
        <v>0</v>
      </c>
      <c r="AG2313">
        <f>N(AG2312)+$AF2313</f>
        <v>10</v>
      </c>
      <c r="AH2313">
        <f>IF(AND($N2313=1,AND(对接源_02物料!$D1113="周转筐－销售出库",N(对接源_02物料!$K1113)&lt;&gt;0)),1,0)</f>
        <v>0</v>
      </c>
      <c r="AI2313">
        <f>N(AI2312)+$AH2313</f>
        <v>0</v>
      </c>
      <c r="AL2313" t="n">
        <v>0</v>
      </c>
      <c r="AM2313">
        <f>N(AM2312)+$AL2313</f>
        <v>2</v>
      </c>
      <c r="AN2313">
        <f>""</f>
      </c>
      <c r="AO2313" t="n">
        <v>0</v>
      </c>
      <c r="AP2313">
        <f>N(AP2312)+$AO2313</f>
        <v>13</v>
      </c>
      <c r="AR2313">
        <f>IF(OR($AF2313=1,$AH2313=1),1,0)</f>
        <v>0</v>
      </c>
      <c r="AS2313">
        <f>N(AS2312)+$AR2313</f>
        <v>10</v>
      </c>
    </row>
    <row r="2314" s="127">
      <c r="A2314">
        <f>IF(对接源_02物料!$C1114="","",对接源_02物料!$C1114)</f>
      </c>
      <c r="B2314">
        <f>IF(A2314="",0,IF(MATCH(A2314,$A$4:$A$2403,0)=ROW()-3,1,0))</f>
        <v>0</v>
      </c>
      <c r="C2314">
        <f>N(C2313)+B2314</f>
        <v>26</v>
      </c>
      <c r="K2314">
        <f>IF(OR($K$1="",对接源_02物料!$C1114="",对接源_02物料!$C1114&lt;&gt;$K$1,对接源_02物料!$B1114=""),0,IF(OR(N(对接源_02物料!$B1114)&lt;$K$2,N(对接源_02物料!$B1114)&gt;$K$3),0,1))</f>
        <v>0</v>
      </c>
      <c r="L2314">
        <f>IF(OR($L$1="",对接源_02物料!$C1114="",对接源_02物料!$C1114&lt;&gt;$L$1,对接源_02物料!$B1114=""),0,IF(OR(N(对接源_02物料!$B1114)&lt;$L$2,N(对接源_02物料!$B1114)&gt;$L$3),0,1))</f>
        <v>0</v>
      </c>
      <c r="M2314">
        <f>IF(OR($M$1="",对接源_02物料!$C1114="",对接源_02物料!$C1114&lt;&gt;$M$1,对接源_02物料!$B1114=""),0,IF(OR(N(对接源_02物料!$B1114)&lt;$M$2,N(对接源_02物料!$B1114)&gt;$M$3),0,1))</f>
        <v>0</v>
      </c>
      <c r="N2314">
        <f>IF(OR($N$1="",对接源_02物料!$C1114="",对接源_02物料!$C1114&lt;&gt;$N$1,对接源_02物料!$B1114=""),0,IF(OR(N(对接源_02物料!$B1114)&lt;$N$2,N(对接源_02物料!$B1114)&gt;$N$3),0,1))</f>
        <v>0</v>
      </c>
      <c r="P2314">
        <f>IF(AND($K2314=1,AND(对接源_02物料!$X1114="公司筐",N(对接源_02物料!$T1114)&lt;&gt;0)),1,0)</f>
        <v>0</v>
      </c>
      <c r="Q2314">
        <f>N(Q2313)+$P2314</f>
        <v>14</v>
      </c>
      <c r="R2314">
        <f>IF(AND($K2314=1,AND(对接源_02物料!$X1114="公司筐",N(对接源_02物料!$U1114)&lt;&gt;0)),1,0)</f>
        <v>0</v>
      </c>
      <c r="S2314">
        <f>N(S2313)+$R2314</f>
        <v>1</v>
      </c>
      <c r="T2314">
        <f>IF(AND($K2314=1,AND(对接源_02物料!$X1114="公司筐",N(对接源_02物料!$V1114)&lt;&gt;0)),1,0)</f>
        <v>0</v>
      </c>
      <c r="U2314">
        <f>N(U2313)+$T2314</f>
        <v>47</v>
      </c>
      <c r="V2314">
        <f>IF(AND($L2314=1,AND(对接源_02物料!$X1114="自备筐",N(对接源_02物料!$V1114)&lt;&gt;0)),1,0)</f>
        <v>0</v>
      </c>
      <c r="W2314">
        <f>N(W2313)+$V2314</f>
        <v>11</v>
      </c>
      <c r="X2314">
        <f>IF(AND($L2314=1,AND(对接源_02物料!$X1114="自备筐",N(对接源_02物料!$T1114)&lt;&gt;0)),1,0)</f>
        <v>0</v>
      </c>
      <c r="Y2314">
        <f>N(Y2313)+$X2314</f>
        <v>0</v>
      </c>
      <c r="Z2314">
        <f>IF(AND($M2314=1,对接源_02物料!$D1114="原料入库"),1,0)</f>
        <v>0</v>
      </c>
      <c r="AA2314">
        <f>N(AA2313)+$Z2314</f>
        <v>24</v>
      </c>
      <c r="AB2314">
        <f>IF(AND($M2314=1,LEFT(对接源_02物料!$D1114,4)="原料出库"),1,0)</f>
        <v>0</v>
      </c>
      <c r="AC2314">
        <f>N(AC2313)+$AB2314</f>
        <v>0</v>
      </c>
      <c r="AD2314">
        <f>IF(AND($M2314=1,LEFT(对接源_02物料!$D1114,4)="成品出库"),1,0)</f>
        <v>0</v>
      </c>
      <c r="AE2314">
        <f>N(AE2313)+$AD2314</f>
        <v>0</v>
      </c>
      <c r="AF2314">
        <f>IF(AND($N2314=1,AND(LEFT(对接源_02物料!$D1114,4)="包装物料",N(对接源_02物料!$K1114)&lt;&gt;0)),1,0)</f>
        <v>0</v>
      </c>
      <c r="AG2314">
        <f>N(AG2313)+$AF2314</f>
        <v>10</v>
      </c>
      <c r="AH2314">
        <f>IF(AND($N2314=1,AND(对接源_02物料!$D1114="周转筐－销售出库",N(对接源_02物料!$K1114)&lt;&gt;0)),1,0)</f>
        <v>0</v>
      </c>
      <c r="AI2314">
        <f>N(AI2313)+$AH2314</f>
        <v>0</v>
      </c>
      <c r="AL2314" t="n">
        <v>0</v>
      </c>
      <c r="AM2314">
        <f>N(AM2313)+$AL2314</f>
        <v>2</v>
      </c>
      <c r="AN2314">
        <f>""</f>
      </c>
      <c r="AO2314" t="n">
        <v>0</v>
      </c>
      <c r="AP2314">
        <f>N(AP2313)+$AO2314</f>
        <v>13</v>
      </c>
      <c r="AR2314">
        <f>IF(OR($AF2314=1,$AH2314=1),1,0)</f>
        <v>0</v>
      </c>
      <c r="AS2314">
        <f>N(AS2313)+$AR2314</f>
        <v>10</v>
      </c>
    </row>
    <row r="2315" s="127">
      <c r="A2315">
        <f>IF(对接源_02物料!$C1115="","",对接源_02物料!$C1115)</f>
      </c>
      <c r="B2315">
        <f>IF(A2315="",0,IF(MATCH(A2315,$A$4:$A$2403,0)=ROW()-3,1,0))</f>
        <v>0</v>
      </c>
      <c r="C2315">
        <f>N(C2314)+B2315</f>
        <v>26</v>
      </c>
      <c r="K2315">
        <f>IF(OR($K$1="",对接源_02物料!$C1115="",对接源_02物料!$C1115&lt;&gt;$K$1,对接源_02物料!$B1115=""),0,IF(OR(N(对接源_02物料!$B1115)&lt;$K$2,N(对接源_02物料!$B1115)&gt;$K$3),0,1))</f>
        <v>0</v>
      </c>
      <c r="L2315">
        <f>IF(OR($L$1="",对接源_02物料!$C1115="",对接源_02物料!$C1115&lt;&gt;$L$1,对接源_02物料!$B1115=""),0,IF(OR(N(对接源_02物料!$B1115)&lt;$L$2,N(对接源_02物料!$B1115)&gt;$L$3),0,1))</f>
        <v>0</v>
      </c>
      <c r="M2315">
        <f>IF(OR($M$1="",对接源_02物料!$C1115="",对接源_02物料!$C1115&lt;&gt;$M$1,对接源_02物料!$B1115=""),0,IF(OR(N(对接源_02物料!$B1115)&lt;$M$2,N(对接源_02物料!$B1115)&gt;$M$3),0,1))</f>
        <v>0</v>
      </c>
      <c r="N2315">
        <f>IF(OR($N$1="",对接源_02物料!$C1115="",对接源_02物料!$C1115&lt;&gt;$N$1,对接源_02物料!$B1115=""),0,IF(OR(N(对接源_02物料!$B1115)&lt;$N$2,N(对接源_02物料!$B1115)&gt;$N$3),0,1))</f>
        <v>0</v>
      </c>
      <c r="P2315">
        <f>IF(AND($K2315=1,AND(对接源_02物料!$X1115="公司筐",N(对接源_02物料!$T1115)&lt;&gt;0)),1,0)</f>
        <v>0</v>
      </c>
      <c r="Q2315">
        <f>N(Q2314)+$P2315</f>
        <v>14</v>
      </c>
      <c r="R2315">
        <f>IF(AND($K2315=1,AND(对接源_02物料!$X1115="公司筐",N(对接源_02物料!$U1115)&lt;&gt;0)),1,0)</f>
        <v>0</v>
      </c>
      <c r="S2315">
        <f>N(S2314)+$R2315</f>
        <v>1</v>
      </c>
      <c r="T2315">
        <f>IF(AND($K2315=1,AND(对接源_02物料!$X1115="公司筐",N(对接源_02物料!$V1115)&lt;&gt;0)),1,0)</f>
        <v>0</v>
      </c>
      <c r="U2315">
        <f>N(U2314)+$T2315</f>
        <v>47</v>
      </c>
      <c r="V2315">
        <f>IF(AND($L2315=1,AND(对接源_02物料!$X1115="自备筐",N(对接源_02物料!$V1115)&lt;&gt;0)),1,0)</f>
        <v>0</v>
      </c>
      <c r="W2315">
        <f>N(W2314)+$V2315</f>
        <v>11</v>
      </c>
      <c r="X2315">
        <f>IF(AND($L2315=1,AND(对接源_02物料!$X1115="自备筐",N(对接源_02物料!$T1115)&lt;&gt;0)),1,0)</f>
        <v>0</v>
      </c>
      <c r="Y2315">
        <f>N(Y2314)+$X2315</f>
        <v>0</v>
      </c>
      <c r="Z2315">
        <f>IF(AND($M2315=1,对接源_02物料!$D1115="原料入库"),1,0)</f>
        <v>0</v>
      </c>
      <c r="AA2315">
        <f>N(AA2314)+$Z2315</f>
        <v>24</v>
      </c>
      <c r="AB2315">
        <f>IF(AND($M2315=1,LEFT(对接源_02物料!$D1115,4)="原料出库"),1,0)</f>
        <v>0</v>
      </c>
      <c r="AC2315">
        <f>N(AC2314)+$AB2315</f>
        <v>0</v>
      </c>
      <c r="AD2315">
        <f>IF(AND($M2315=1,LEFT(对接源_02物料!$D1115,4)="成品出库"),1,0)</f>
        <v>0</v>
      </c>
      <c r="AE2315">
        <f>N(AE2314)+$AD2315</f>
        <v>0</v>
      </c>
      <c r="AF2315">
        <f>IF(AND($N2315=1,AND(LEFT(对接源_02物料!$D1115,4)="包装物料",N(对接源_02物料!$K1115)&lt;&gt;0)),1,0)</f>
        <v>0</v>
      </c>
      <c r="AG2315">
        <f>N(AG2314)+$AF2315</f>
        <v>10</v>
      </c>
      <c r="AH2315">
        <f>IF(AND($N2315=1,AND(对接源_02物料!$D1115="周转筐－销售出库",N(对接源_02物料!$K1115)&lt;&gt;0)),1,0)</f>
        <v>0</v>
      </c>
      <c r="AI2315">
        <f>N(AI2314)+$AH2315</f>
        <v>0</v>
      </c>
      <c r="AL2315" t="n">
        <v>0</v>
      </c>
      <c r="AM2315">
        <f>N(AM2314)+$AL2315</f>
        <v>2</v>
      </c>
      <c r="AN2315">
        <f>""</f>
      </c>
      <c r="AO2315" t="n">
        <v>0</v>
      </c>
      <c r="AP2315">
        <f>N(AP2314)+$AO2315</f>
        <v>13</v>
      </c>
      <c r="AR2315">
        <f>IF(OR($AF2315=1,$AH2315=1),1,0)</f>
        <v>0</v>
      </c>
      <c r="AS2315">
        <f>N(AS2314)+$AR2315</f>
        <v>10</v>
      </c>
    </row>
    <row r="2316" s="127">
      <c r="A2316">
        <f>IF(对接源_02物料!$C1116="","",对接源_02物料!$C1116)</f>
      </c>
      <c r="B2316">
        <f>IF(A2316="",0,IF(MATCH(A2316,$A$4:$A$2403,0)=ROW()-3,1,0))</f>
        <v>0</v>
      </c>
      <c r="C2316">
        <f>N(C2315)+B2316</f>
        <v>26</v>
      </c>
      <c r="K2316">
        <f>IF(OR($K$1="",对接源_02物料!$C1116="",对接源_02物料!$C1116&lt;&gt;$K$1,对接源_02物料!$B1116=""),0,IF(OR(N(对接源_02物料!$B1116)&lt;$K$2,N(对接源_02物料!$B1116)&gt;$K$3),0,1))</f>
        <v>0</v>
      </c>
      <c r="L2316">
        <f>IF(OR($L$1="",对接源_02物料!$C1116="",对接源_02物料!$C1116&lt;&gt;$L$1,对接源_02物料!$B1116=""),0,IF(OR(N(对接源_02物料!$B1116)&lt;$L$2,N(对接源_02物料!$B1116)&gt;$L$3),0,1))</f>
        <v>0</v>
      </c>
      <c r="M2316">
        <f>IF(OR($M$1="",对接源_02物料!$C1116="",对接源_02物料!$C1116&lt;&gt;$M$1,对接源_02物料!$B1116=""),0,IF(OR(N(对接源_02物料!$B1116)&lt;$M$2,N(对接源_02物料!$B1116)&gt;$M$3),0,1))</f>
        <v>0</v>
      </c>
      <c r="N2316">
        <f>IF(OR($N$1="",对接源_02物料!$C1116="",对接源_02物料!$C1116&lt;&gt;$N$1,对接源_02物料!$B1116=""),0,IF(OR(N(对接源_02物料!$B1116)&lt;$N$2,N(对接源_02物料!$B1116)&gt;$N$3),0,1))</f>
        <v>0</v>
      </c>
      <c r="P2316">
        <f>IF(AND($K2316=1,AND(对接源_02物料!$X1116="公司筐",N(对接源_02物料!$T1116)&lt;&gt;0)),1,0)</f>
        <v>0</v>
      </c>
      <c r="Q2316">
        <f>N(Q2315)+$P2316</f>
        <v>14</v>
      </c>
      <c r="R2316">
        <f>IF(AND($K2316=1,AND(对接源_02物料!$X1116="公司筐",N(对接源_02物料!$U1116)&lt;&gt;0)),1,0)</f>
        <v>0</v>
      </c>
      <c r="S2316">
        <f>N(S2315)+$R2316</f>
        <v>1</v>
      </c>
      <c r="T2316">
        <f>IF(AND($K2316=1,AND(对接源_02物料!$X1116="公司筐",N(对接源_02物料!$V1116)&lt;&gt;0)),1,0)</f>
        <v>0</v>
      </c>
      <c r="U2316">
        <f>N(U2315)+$T2316</f>
        <v>47</v>
      </c>
      <c r="V2316">
        <f>IF(AND($L2316=1,AND(对接源_02物料!$X1116="自备筐",N(对接源_02物料!$V1116)&lt;&gt;0)),1,0)</f>
        <v>0</v>
      </c>
      <c r="W2316">
        <f>N(W2315)+$V2316</f>
        <v>11</v>
      </c>
      <c r="X2316">
        <f>IF(AND($L2316=1,AND(对接源_02物料!$X1116="自备筐",N(对接源_02物料!$T1116)&lt;&gt;0)),1,0)</f>
        <v>0</v>
      </c>
      <c r="Y2316">
        <f>N(Y2315)+$X2316</f>
        <v>0</v>
      </c>
      <c r="Z2316">
        <f>IF(AND($M2316=1,对接源_02物料!$D1116="原料入库"),1,0)</f>
        <v>0</v>
      </c>
      <c r="AA2316">
        <f>N(AA2315)+$Z2316</f>
        <v>24</v>
      </c>
      <c r="AB2316">
        <f>IF(AND($M2316=1,LEFT(对接源_02物料!$D1116,4)="原料出库"),1,0)</f>
        <v>0</v>
      </c>
      <c r="AC2316">
        <f>N(AC2315)+$AB2316</f>
        <v>0</v>
      </c>
      <c r="AD2316">
        <f>IF(AND($M2316=1,LEFT(对接源_02物料!$D1116,4)="成品出库"),1,0)</f>
        <v>0</v>
      </c>
      <c r="AE2316">
        <f>N(AE2315)+$AD2316</f>
        <v>0</v>
      </c>
      <c r="AF2316">
        <f>IF(AND($N2316=1,AND(LEFT(对接源_02物料!$D1116,4)="包装物料",N(对接源_02物料!$K1116)&lt;&gt;0)),1,0)</f>
        <v>0</v>
      </c>
      <c r="AG2316">
        <f>N(AG2315)+$AF2316</f>
        <v>10</v>
      </c>
      <c r="AH2316">
        <f>IF(AND($N2316=1,AND(对接源_02物料!$D1116="周转筐－销售出库",N(对接源_02物料!$K1116)&lt;&gt;0)),1,0)</f>
        <v>0</v>
      </c>
      <c r="AI2316">
        <f>N(AI2315)+$AH2316</f>
        <v>0</v>
      </c>
      <c r="AL2316" t="n">
        <v>0</v>
      </c>
      <c r="AM2316">
        <f>N(AM2315)+$AL2316</f>
        <v>2</v>
      </c>
      <c r="AN2316">
        <f>""</f>
      </c>
      <c r="AO2316" t="n">
        <v>0</v>
      </c>
      <c r="AP2316">
        <f>N(AP2315)+$AO2316</f>
        <v>13</v>
      </c>
      <c r="AR2316">
        <f>IF(OR($AF2316=1,$AH2316=1),1,0)</f>
        <v>0</v>
      </c>
      <c r="AS2316">
        <f>N(AS2315)+$AR2316</f>
        <v>10</v>
      </c>
    </row>
    <row r="2317" s="127">
      <c r="A2317">
        <f>IF(对接源_02物料!$C1117="","",对接源_02物料!$C1117)</f>
      </c>
      <c r="B2317">
        <f>IF(A2317="",0,IF(MATCH(A2317,$A$4:$A$2403,0)=ROW()-3,1,0))</f>
        <v>0</v>
      </c>
      <c r="C2317">
        <f>N(C2316)+B2317</f>
        <v>26</v>
      </c>
      <c r="K2317">
        <f>IF(OR($K$1="",对接源_02物料!$C1117="",对接源_02物料!$C1117&lt;&gt;$K$1,对接源_02物料!$B1117=""),0,IF(OR(N(对接源_02物料!$B1117)&lt;$K$2,N(对接源_02物料!$B1117)&gt;$K$3),0,1))</f>
        <v>0</v>
      </c>
      <c r="L2317">
        <f>IF(OR($L$1="",对接源_02物料!$C1117="",对接源_02物料!$C1117&lt;&gt;$L$1,对接源_02物料!$B1117=""),0,IF(OR(N(对接源_02物料!$B1117)&lt;$L$2,N(对接源_02物料!$B1117)&gt;$L$3),0,1))</f>
        <v>0</v>
      </c>
      <c r="M2317">
        <f>IF(OR($M$1="",对接源_02物料!$C1117="",对接源_02物料!$C1117&lt;&gt;$M$1,对接源_02物料!$B1117=""),0,IF(OR(N(对接源_02物料!$B1117)&lt;$M$2,N(对接源_02物料!$B1117)&gt;$M$3),0,1))</f>
        <v>0</v>
      </c>
      <c r="N2317">
        <f>IF(OR($N$1="",对接源_02物料!$C1117="",对接源_02物料!$C1117&lt;&gt;$N$1,对接源_02物料!$B1117=""),0,IF(OR(N(对接源_02物料!$B1117)&lt;$N$2,N(对接源_02物料!$B1117)&gt;$N$3),0,1))</f>
        <v>0</v>
      </c>
      <c r="P2317">
        <f>IF(AND($K2317=1,AND(对接源_02物料!$X1117="公司筐",N(对接源_02物料!$T1117)&lt;&gt;0)),1,0)</f>
        <v>0</v>
      </c>
      <c r="Q2317">
        <f>N(Q2316)+$P2317</f>
        <v>14</v>
      </c>
      <c r="R2317">
        <f>IF(AND($K2317=1,AND(对接源_02物料!$X1117="公司筐",N(对接源_02物料!$U1117)&lt;&gt;0)),1,0)</f>
        <v>0</v>
      </c>
      <c r="S2317">
        <f>N(S2316)+$R2317</f>
        <v>1</v>
      </c>
      <c r="T2317">
        <f>IF(AND($K2317=1,AND(对接源_02物料!$X1117="公司筐",N(对接源_02物料!$V1117)&lt;&gt;0)),1,0)</f>
        <v>0</v>
      </c>
      <c r="U2317">
        <f>N(U2316)+$T2317</f>
        <v>47</v>
      </c>
      <c r="V2317">
        <f>IF(AND($L2317=1,AND(对接源_02物料!$X1117="自备筐",N(对接源_02物料!$V1117)&lt;&gt;0)),1,0)</f>
        <v>0</v>
      </c>
      <c r="W2317">
        <f>N(W2316)+$V2317</f>
        <v>11</v>
      </c>
      <c r="X2317">
        <f>IF(AND($L2317=1,AND(对接源_02物料!$X1117="自备筐",N(对接源_02物料!$T1117)&lt;&gt;0)),1,0)</f>
        <v>0</v>
      </c>
      <c r="Y2317">
        <f>N(Y2316)+$X2317</f>
        <v>0</v>
      </c>
      <c r="Z2317">
        <f>IF(AND($M2317=1,对接源_02物料!$D1117="原料入库"),1,0)</f>
        <v>0</v>
      </c>
      <c r="AA2317">
        <f>N(AA2316)+$Z2317</f>
        <v>24</v>
      </c>
      <c r="AB2317">
        <f>IF(AND($M2317=1,LEFT(对接源_02物料!$D1117,4)="原料出库"),1,0)</f>
        <v>0</v>
      </c>
      <c r="AC2317">
        <f>N(AC2316)+$AB2317</f>
        <v>0</v>
      </c>
      <c r="AD2317">
        <f>IF(AND($M2317=1,LEFT(对接源_02物料!$D1117,4)="成品出库"),1,0)</f>
        <v>0</v>
      </c>
      <c r="AE2317">
        <f>N(AE2316)+$AD2317</f>
        <v>0</v>
      </c>
      <c r="AF2317">
        <f>IF(AND($N2317=1,AND(LEFT(对接源_02物料!$D1117,4)="包装物料",N(对接源_02物料!$K1117)&lt;&gt;0)),1,0)</f>
        <v>0</v>
      </c>
      <c r="AG2317">
        <f>N(AG2316)+$AF2317</f>
        <v>10</v>
      </c>
      <c r="AH2317">
        <f>IF(AND($N2317=1,AND(对接源_02物料!$D1117="周转筐－销售出库",N(对接源_02物料!$K1117)&lt;&gt;0)),1,0)</f>
        <v>0</v>
      </c>
      <c r="AI2317">
        <f>N(AI2316)+$AH2317</f>
        <v>0</v>
      </c>
      <c r="AL2317" t="n">
        <v>0</v>
      </c>
      <c r="AM2317">
        <f>N(AM2316)+$AL2317</f>
        <v>2</v>
      </c>
      <c r="AN2317">
        <f>""</f>
      </c>
      <c r="AO2317" t="n">
        <v>0</v>
      </c>
      <c r="AP2317">
        <f>N(AP2316)+$AO2317</f>
        <v>13</v>
      </c>
      <c r="AR2317">
        <f>IF(OR($AF2317=1,$AH2317=1),1,0)</f>
        <v>0</v>
      </c>
      <c r="AS2317">
        <f>N(AS2316)+$AR2317</f>
        <v>10</v>
      </c>
    </row>
    <row r="2318" s="127">
      <c r="A2318">
        <f>IF(对接源_02物料!$C1118="","",对接源_02物料!$C1118)</f>
      </c>
      <c r="B2318">
        <f>IF(A2318="",0,IF(MATCH(A2318,$A$4:$A$2403,0)=ROW()-3,1,0))</f>
        <v>0</v>
      </c>
      <c r="C2318">
        <f>N(C2317)+B2318</f>
        <v>26</v>
      </c>
      <c r="K2318">
        <f>IF(OR($K$1="",对接源_02物料!$C1118="",对接源_02物料!$C1118&lt;&gt;$K$1,对接源_02物料!$B1118=""),0,IF(OR(N(对接源_02物料!$B1118)&lt;$K$2,N(对接源_02物料!$B1118)&gt;$K$3),0,1))</f>
        <v>0</v>
      </c>
      <c r="L2318">
        <f>IF(OR($L$1="",对接源_02物料!$C1118="",对接源_02物料!$C1118&lt;&gt;$L$1,对接源_02物料!$B1118=""),0,IF(OR(N(对接源_02物料!$B1118)&lt;$L$2,N(对接源_02物料!$B1118)&gt;$L$3),0,1))</f>
        <v>0</v>
      </c>
      <c r="M2318">
        <f>IF(OR($M$1="",对接源_02物料!$C1118="",对接源_02物料!$C1118&lt;&gt;$M$1,对接源_02物料!$B1118=""),0,IF(OR(N(对接源_02物料!$B1118)&lt;$M$2,N(对接源_02物料!$B1118)&gt;$M$3),0,1))</f>
        <v>0</v>
      </c>
      <c r="N2318">
        <f>IF(OR($N$1="",对接源_02物料!$C1118="",对接源_02物料!$C1118&lt;&gt;$N$1,对接源_02物料!$B1118=""),0,IF(OR(N(对接源_02物料!$B1118)&lt;$N$2,N(对接源_02物料!$B1118)&gt;$N$3),0,1))</f>
        <v>0</v>
      </c>
      <c r="P2318">
        <f>IF(AND($K2318=1,AND(对接源_02物料!$X1118="公司筐",N(对接源_02物料!$T1118)&lt;&gt;0)),1,0)</f>
        <v>0</v>
      </c>
      <c r="Q2318">
        <f>N(Q2317)+$P2318</f>
        <v>14</v>
      </c>
      <c r="R2318">
        <f>IF(AND($K2318=1,AND(对接源_02物料!$X1118="公司筐",N(对接源_02物料!$U1118)&lt;&gt;0)),1,0)</f>
        <v>0</v>
      </c>
      <c r="S2318">
        <f>N(S2317)+$R2318</f>
        <v>1</v>
      </c>
      <c r="T2318">
        <f>IF(AND($K2318=1,AND(对接源_02物料!$X1118="公司筐",N(对接源_02物料!$V1118)&lt;&gt;0)),1,0)</f>
        <v>0</v>
      </c>
      <c r="U2318">
        <f>N(U2317)+$T2318</f>
        <v>47</v>
      </c>
      <c r="V2318">
        <f>IF(AND($L2318=1,AND(对接源_02物料!$X1118="自备筐",N(对接源_02物料!$V1118)&lt;&gt;0)),1,0)</f>
        <v>0</v>
      </c>
      <c r="W2318">
        <f>N(W2317)+$V2318</f>
        <v>11</v>
      </c>
      <c r="X2318">
        <f>IF(AND($L2318=1,AND(对接源_02物料!$X1118="自备筐",N(对接源_02物料!$T1118)&lt;&gt;0)),1,0)</f>
        <v>0</v>
      </c>
      <c r="Y2318">
        <f>N(Y2317)+$X2318</f>
        <v>0</v>
      </c>
      <c r="Z2318">
        <f>IF(AND($M2318=1,对接源_02物料!$D1118="原料入库"),1,0)</f>
        <v>0</v>
      </c>
      <c r="AA2318">
        <f>N(AA2317)+$Z2318</f>
        <v>24</v>
      </c>
      <c r="AB2318">
        <f>IF(AND($M2318=1,LEFT(对接源_02物料!$D1118,4)="原料出库"),1,0)</f>
        <v>0</v>
      </c>
      <c r="AC2318">
        <f>N(AC2317)+$AB2318</f>
        <v>0</v>
      </c>
      <c r="AD2318">
        <f>IF(AND($M2318=1,LEFT(对接源_02物料!$D1118,4)="成品出库"),1,0)</f>
        <v>0</v>
      </c>
      <c r="AE2318">
        <f>N(AE2317)+$AD2318</f>
        <v>0</v>
      </c>
      <c r="AF2318">
        <f>IF(AND($N2318=1,AND(LEFT(对接源_02物料!$D1118,4)="包装物料",N(对接源_02物料!$K1118)&lt;&gt;0)),1,0)</f>
        <v>0</v>
      </c>
      <c r="AG2318">
        <f>N(AG2317)+$AF2318</f>
        <v>10</v>
      </c>
      <c r="AH2318">
        <f>IF(AND($N2318=1,AND(对接源_02物料!$D1118="周转筐－销售出库",N(对接源_02物料!$K1118)&lt;&gt;0)),1,0)</f>
        <v>0</v>
      </c>
      <c r="AI2318">
        <f>N(AI2317)+$AH2318</f>
        <v>0</v>
      </c>
      <c r="AL2318" t="n">
        <v>0</v>
      </c>
      <c r="AM2318">
        <f>N(AM2317)+$AL2318</f>
        <v>2</v>
      </c>
      <c r="AN2318">
        <f>""</f>
      </c>
      <c r="AO2318" t="n">
        <v>0</v>
      </c>
      <c r="AP2318">
        <f>N(AP2317)+$AO2318</f>
        <v>13</v>
      </c>
      <c r="AR2318">
        <f>IF(OR($AF2318=1,$AH2318=1),1,0)</f>
        <v>0</v>
      </c>
      <c r="AS2318">
        <f>N(AS2317)+$AR2318</f>
        <v>10</v>
      </c>
    </row>
    <row r="2319" s="127">
      <c r="A2319">
        <f>IF(对接源_02物料!$C1119="","",对接源_02物料!$C1119)</f>
      </c>
      <c r="B2319">
        <f>IF(A2319="",0,IF(MATCH(A2319,$A$4:$A$2403,0)=ROW()-3,1,0))</f>
        <v>0</v>
      </c>
      <c r="C2319">
        <f>N(C2318)+B2319</f>
        <v>26</v>
      </c>
      <c r="K2319">
        <f>IF(OR($K$1="",对接源_02物料!$C1119="",对接源_02物料!$C1119&lt;&gt;$K$1,对接源_02物料!$B1119=""),0,IF(OR(N(对接源_02物料!$B1119)&lt;$K$2,N(对接源_02物料!$B1119)&gt;$K$3),0,1))</f>
        <v>0</v>
      </c>
      <c r="L2319">
        <f>IF(OR($L$1="",对接源_02物料!$C1119="",对接源_02物料!$C1119&lt;&gt;$L$1,对接源_02物料!$B1119=""),0,IF(OR(N(对接源_02物料!$B1119)&lt;$L$2,N(对接源_02物料!$B1119)&gt;$L$3),0,1))</f>
        <v>0</v>
      </c>
      <c r="M2319">
        <f>IF(OR($M$1="",对接源_02物料!$C1119="",对接源_02物料!$C1119&lt;&gt;$M$1,对接源_02物料!$B1119=""),0,IF(OR(N(对接源_02物料!$B1119)&lt;$M$2,N(对接源_02物料!$B1119)&gt;$M$3),0,1))</f>
        <v>0</v>
      </c>
      <c r="N2319">
        <f>IF(OR($N$1="",对接源_02物料!$C1119="",对接源_02物料!$C1119&lt;&gt;$N$1,对接源_02物料!$B1119=""),0,IF(OR(N(对接源_02物料!$B1119)&lt;$N$2,N(对接源_02物料!$B1119)&gt;$N$3),0,1))</f>
        <v>0</v>
      </c>
      <c r="P2319">
        <f>IF(AND($K2319=1,AND(对接源_02物料!$X1119="公司筐",N(对接源_02物料!$T1119)&lt;&gt;0)),1,0)</f>
        <v>0</v>
      </c>
      <c r="Q2319">
        <f>N(Q2318)+$P2319</f>
        <v>14</v>
      </c>
      <c r="R2319">
        <f>IF(AND($K2319=1,AND(对接源_02物料!$X1119="公司筐",N(对接源_02物料!$U1119)&lt;&gt;0)),1,0)</f>
        <v>0</v>
      </c>
      <c r="S2319">
        <f>N(S2318)+$R2319</f>
        <v>1</v>
      </c>
      <c r="T2319">
        <f>IF(AND($K2319=1,AND(对接源_02物料!$X1119="公司筐",N(对接源_02物料!$V1119)&lt;&gt;0)),1,0)</f>
        <v>0</v>
      </c>
      <c r="U2319">
        <f>N(U2318)+$T2319</f>
        <v>47</v>
      </c>
      <c r="V2319">
        <f>IF(AND($L2319=1,AND(对接源_02物料!$X1119="自备筐",N(对接源_02物料!$V1119)&lt;&gt;0)),1,0)</f>
        <v>0</v>
      </c>
      <c r="W2319">
        <f>N(W2318)+$V2319</f>
        <v>11</v>
      </c>
      <c r="X2319">
        <f>IF(AND($L2319=1,AND(对接源_02物料!$X1119="自备筐",N(对接源_02物料!$T1119)&lt;&gt;0)),1,0)</f>
        <v>0</v>
      </c>
      <c r="Y2319">
        <f>N(Y2318)+$X2319</f>
        <v>0</v>
      </c>
      <c r="Z2319">
        <f>IF(AND($M2319=1,对接源_02物料!$D1119="原料入库"),1,0)</f>
        <v>0</v>
      </c>
      <c r="AA2319">
        <f>N(AA2318)+$Z2319</f>
        <v>24</v>
      </c>
      <c r="AB2319">
        <f>IF(AND($M2319=1,LEFT(对接源_02物料!$D1119,4)="原料出库"),1,0)</f>
        <v>0</v>
      </c>
      <c r="AC2319">
        <f>N(AC2318)+$AB2319</f>
        <v>0</v>
      </c>
      <c r="AD2319">
        <f>IF(AND($M2319=1,LEFT(对接源_02物料!$D1119,4)="成品出库"),1,0)</f>
        <v>0</v>
      </c>
      <c r="AE2319">
        <f>N(AE2318)+$AD2319</f>
        <v>0</v>
      </c>
      <c r="AF2319">
        <f>IF(AND($N2319=1,AND(LEFT(对接源_02物料!$D1119,4)="包装物料",N(对接源_02物料!$K1119)&lt;&gt;0)),1,0)</f>
        <v>0</v>
      </c>
      <c r="AG2319">
        <f>N(AG2318)+$AF2319</f>
        <v>10</v>
      </c>
      <c r="AH2319">
        <f>IF(AND($N2319=1,AND(对接源_02物料!$D1119="周转筐－销售出库",N(对接源_02物料!$K1119)&lt;&gt;0)),1,0)</f>
        <v>0</v>
      </c>
      <c r="AI2319">
        <f>N(AI2318)+$AH2319</f>
        <v>0</v>
      </c>
      <c r="AL2319" t="n">
        <v>0</v>
      </c>
      <c r="AM2319">
        <f>N(AM2318)+$AL2319</f>
        <v>2</v>
      </c>
      <c r="AN2319">
        <f>""</f>
      </c>
      <c r="AO2319" t="n">
        <v>0</v>
      </c>
      <c r="AP2319">
        <f>N(AP2318)+$AO2319</f>
        <v>13</v>
      </c>
      <c r="AR2319">
        <f>IF(OR($AF2319=1,$AH2319=1),1,0)</f>
        <v>0</v>
      </c>
      <c r="AS2319">
        <f>N(AS2318)+$AR2319</f>
        <v>10</v>
      </c>
    </row>
    <row r="2320" s="127">
      <c r="A2320">
        <f>IF(对接源_02物料!$C1120="","",对接源_02物料!$C1120)</f>
      </c>
      <c r="B2320">
        <f>IF(A2320="",0,IF(MATCH(A2320,$A$4:$A$2403,0)=ROW()-3,1,0))</f>
        <v>0</v>
      </c>
      <c r="C2320">
        <f>N(C2319)+B2320</f>
        <v>26</v>
      </c>
      <c r="K2320">
        <f>IF(OR($K$1="",对接源_02物料!$C1120="",对接源_02物料!$C1120&lt;&gt;$K$1,对接源_02物料!$B1120=""),0,IF(OR(N(对接源_02物料!$B1120)&lt;$K$2,N(对接源_02物料!$B1120)&gt;$K$3),0,1))</f>
        <v>0</v>
      </c>
      <c r="L2320">
        <f>IF(OR($L$1="",对接源_02物料!$C1120="",对接源_02物料!$C1120&lt;&gt;$L$1,对接源_02物料!$B1120=""),0,IF(OR(N(对接源_02物料!$B1120)&lt;$L$2,N(对接源_02物料!$B1120)&gt;$L$3),0,1))</f>
        <v>0</v>
      </c>
      <c r="M2320">
        <f>IF(OR($M$1="",对接源_02物料!$C1120="",对接源_02物料!$C1120&lt;&gt;$M$1,对接源_02物料!$B1120=""),0,IF(OR(N(对接源_02物料!$B1120)&lt;$M$2,N(对接源_02物料!$B1120)&gt;$M$3),0,1))</f>
        <v>0</v>
      </c>
      <c r="N2320">
        <f>IF(OR($N$1="",对接源_02物料!$C1120="",对接源_02物料!$C1120&lt;&gt;$N$1,对接源_02物料!$B1120=""),0,IF(OR(N(对接源_02物料!$B1120)&lt;$N$2,N(对接源_02物料!$B1120)&gt;$N$3),0,1))</f>
        <v>0</v>
      </c>
      <c r="P2320">
        <f>IF(AND($K2320=1,AND(对接源_02物料!$X1120="公司筐",N(对接源_02物料!$T1120)&lt;&gt;0)),1,0)</f>
        <v>0</v>
      </c>
      <c r="Q2320">
        <f>N(Q2319)+$P2320</f>
        <v>14</v>
      </c>
      <c r="R2320">
        <f>IF(AND($K2320=1,AND(对接源_02物料!$X1120="公司筐",N(对接源_02物料!$U1120)&lt;&gt;0)),1,0)</f>
        <v>0</v>
      </c>
      <c r="S2320">
        <f>N(S2319)+$R2320</f>
        <v>1</v>
      </c>
      <c r="T2320">
        <f>IF(AND($K2320=1,AND(对接源_02物料!$X1120="公司筐",N(对接源_02物料!$V1120)&lt;&gt;0)),1,0)</f>
        <v>0</v>
      </c>
      <c r="U2320">
        <f>N(U2319)+$T2320</f>
        <v>47</v>
      </c>
      <c r="V2320">
        <f>IF(AND($L2320=1,AND(对接源_02物料!$X1120="自备筐",N(对接源_02物料!$V1120)&lt;&gt;0)),1,0)</f>
        <v>0</v>
      </c>
      <c r="W2320">
        <f>N(W2319)+$V2320</f>
        <v>11</v>
      </c>
      <c r="X2320">
        <f>IF(AND($L2320=1,AND(对接源_02物料!$X1120="自备筐",N(对接源_02物料!$T1120)&lt;&gt;0)),1,0)</f>
        <v>0</v>
      </c>
      <c r="Y2320">
        <f>N(Y2319)+$X2320</f>
        <v>0</v>
      </c>
      <c r="Z2320">
        <f>IF(AND($M2320=1,对接源_02物料!$D1120="原料入库"),1,0)</f>
        <v>0</v>
      </c>
      <c r="AA2320">
        <f>N(AA2319)+$Z2320</f>
        <v>24</v>
      </c>
      <c r="AB2320">
        <f>IF(AND($M2320=1,LEFT(对接源_02物料!$D1120,4)="原料出库"),1,0)</f>
        <v>0</v>
      </c>
      <c r="AC2320">
        <f>N(AC2319)+$AB2320</f>
        <v>0</v>
      </c>
      <c r="AD2320">
        <f>IF(AND($M2320=1,LEFT(对接源_02物料!$D1120,4)="成品出库"),1,0)</f>
        <v>0</v>
      </c>
      <c r="AE2320">
        <f>N(AE2319)+$AD2320</f>
        <v>0</v>
      </c>
      <c r="AF2320">
        <f>IF(AND($N2320=1,AND(LEFT(对接源_02物料!$D1120,4)="包装物料",N(对接源_02物料!$K1120)&lt;&gt;0)),1,0)</f>
        <v>0</v>
      </c>
      <c r="AG2320">
        <f>N(AG2319)+$AF2320</f>
        <v>10</v>
      </c>
      <c r="AH2320">
        <f>IF(AND($N2320=1,AND(对接源_02物料!$D1120="周转筐－销售出库",N(对接源_02物料!$K1120)&lt;&gt;0)),1,0)</f>
        <v>0</v>
      </c>
      <c r="AI2320">
        <f>N(AI2319)+$AH2320</f>
        <v>0</v>
      </c>
      <c r="AL2320" t="n">
        <v>0</v>
      </c>
      <c r="AM2320">
        <f>N(AM2319)+$AL2320</f>
        <v>2</v>
      </c>
      <c r="AN2320">
        <f>""</f>
      </c>
      <c r="AO2320" t="n">
        <v>0</v>
      </c>
      <c r="AP2320">
        <f>N(AP2319)+$AO2320</f>
        <v>13</v>
      </c>
      <c r="AR2320">
        <f>IF(OR($AF2320=1,$AH2320=1),1,0)</f>
        <v>0</v>
      </c>
      <c r="AS2320">
        <f>N(AS2319)+$AR2320</f>
        <v>10</v>
      </c>
    </row>
    <row r="2321" s="127">
      <c r="A2321">
        <f>IF(对接源_02物料!$C1121="","",对接源_02物料!$C1121)</f>
      </c>
      <c r="B2321">
        <f>IF(A2321="",0,IF(MATCH(A2321,$A$4:$A$2403,0)=ROW()-3,1,0))</f>
        <v>0</v>
      </c>
      <c r="C2321">
        <f>N(C2320)+B2321</f>
        <v>26</v>
      </c>
      <c r="K2321">
        <f>IF(OR($K$1="",对接源_02物料!$C1121="",对接源_02物料!$C1121&lt;&gt;$K$1,对接源_02物料!$B1121=""),0,IF(OR(N(对接源_02物料!$B1121)&lt;$K$2,N(对接源_02物料!$B1121)&gt;$K$3),0,1))</f>
        <v>0</v>
      </c>
      <c r="L2321">
        <f>IF(OR($L$1="",对接源_02物料!$C1121="",对接源_02物料!$C1121&lt;&gt;$L$1,对接源_02物料!$B1121=""),0,IF(OR(N(对接源_02物料!$B1121)&lt;$L$2,N(对接源_02物料!$B1121)&gt;$L$3),0,1))</f>
        <v>0</v>
      </c>
      <c r="M2321">
        <f>IF(OR($M$1="",对接源_02物料!$C1121="",对接源_02物料!$C1121&lt;&gt;$M$1,对接源_02物料!$B1121=""),0,IF(OR(N(对接源_02物料!$B1121)&lt;$M$2,N(对接源_02物料!$B1121)&gt;$M$3),0,1))</f>
        <v>0</v>
      </c>
      <c r="N2321">
        <f>IF(OR($N$1="",对接源_02物料!$C1121="",对接源_02物料!$C1121&lt;&gt;$N$1,对接源_02物料!$B1121=""),0,IF(OR(N(对接源_02物料!$B1121)&lt;$N$2,N(对接源_02物料!$B1121)&gt;$N$3),0,1))</f>
        <v>0</v>
      </c>
      <c r="P2321">
        <f>IF(AND($K2321=1,AND(对接源_02物料!$X1121="公司筐",N(对接源_02物料!$T1121)&lt;&gt;0)),1,0)</f>
        <v>0</v>
      </c>
      <c r="Q2321">
        <f>N(Q2320)+$P2321</f>
        <v>14</v>
      </c>
      <c r="R2321">
        <f>IF(AND($K2321=1,AND(对接源_02物料!$X1121="公司筐",N(对接源_02物料!$U1121)&lt;&gt;0)),1,0)</f>
        <v>0</v>
      </c>
      <c r="S2321">
        <f>N(S2320)+$R2321</f>
        <v>1</v>
      </c>
      <c r="T2321">
        <f>IF(AND($K2321=1,AND(对接源_02物料!$X1121="公司筐",N(对接源_02物料!$V1121)&lt;&gt;0)),1,0)</f>
        <v>0</v>
      </c>
      <c r="U2321">
        <f>N(U2320)+$T2321</f>
        <v>47</v>
      </c>
      <c r="V2321">
        <f>IF(AND($L2321=1,AND(对接源_02物料!$X1121="自备筐",N(对接源_02物料!$V1121)&lt;&gt;0)),1,0)</f>
        <v>0</v>
      </c>
      <c r="W2321">
        <f>N(W2320)+$V2321</f>
        <v>11</v>
      </c>
      <c r="X2321">
        <f>IF(AND($L2321=1,AND(对接源_02物料!$X1121="自备筐",N(对接源_02物料!$T1121)&lt;&gt;0)),1,0)</f>
        <v>0</v>
      </c>
      <c r="Y2321">
        <f>N(Y2320)+$X2321</f>
        <v>0</v>
      </c>
      <c r="Z2321">
        <f>IF(AND($M2321=1,对接源_02物料!$D1121="原料入库"),1,0)</f>
        <v>0</v>
      </c>
      <c r="AA2321">
        <f>N(AA2320)+$Z2321</f>
        <v>24</v>
      </c>
      <c r="AB2321">
        <f>IF(AND($M2321=1,LEFT(对接源_02物料!$D1121,4)="原料出库"),1,0)</f>
        <v>0</v>
      </c>
      <c r="AC2321">
        <f>N(AC2320)+$AB2321</f>
        <v>0</v>
      </c>
      <c r="AD2321">
        <f>IF(AND($M2321=1,LEFT(对接源_02物料!$D1121,4)="成品出库"),1,0)</f>
        <v>0</v>
      </c>
      <c r="AE2321">
        <f>N(AE2320)+$AD2321</f>
        <v>0</v>
      </c>
      <c r="AF2321">
        <f>IF(AND($N2321=1,AND(LEFT(对接源_02物料!$D1121,4)="包装物料",N(对接源_02物料!$K1121)&lt;&gt;0)),1,0)</f>
        <v>0</v>
      </c>
      <c r="AG2321">
        <f>N(AG2320)+$AF2321</f>
        <v>10</v>
      </c>
      <c r="AH2321">
        <f>IF(AND($N2321=1,AND(对接源_02物料!$D1121="周转筐－销售出库",N(对接源_02物料!$K1121)&lt;&gt;0)),1,0)</f>
        <v>0</v>
      </c>
      <c r="AI2321">
        <f>N(AI2320)+$AH2321</f>
        <v>0</v>
      </c>
      <c r="AL2321" t="n">
        <v>0</v>
      </c>
      <c r="AM2321">
        <f>N(AM2320)+$AL2321</f>
        <v>2</v>
      </c>
      <c r="AN2321">
        <f>""</f>
      </c>
      <c r="AO2321" t="n">
        <v>0</v>
      </c>
      <c r="AP2321">
        <f>N(AP2320)+$AO2321</f>
        <v>13</v>
      </c>
      <c r="AR2321">
        <f>IF(OR($AF2321=1,$AH2321=1),1,0)</f>
        <v>0</v>
      </c>
      <c r="AS2321">
        <f>N(AS2320)+$AR2321</f>
        <v>10</v>
      </c>
    </row>
    <row r="2322" s="127">
      <c r="A2322">
        <f>IF(对接源_02物料!$C1122="","",对接源_02物料!$C1122)</f>
      </c>
      <c r="B2322">
        <f>IF(A2322="",0,IF(MATCH(A2322,$A$4:$A$2403,0)=ROW()-3,1,0))</f>
        <v>0</v>
      </c>
      <c r="C2322">
        <f>N(C2321)+B2322</f>
        <v>26</v>
      </c>
      <c r="K2322">
        <f>IF(OR($K$1="",对接源_02物料!$C1122="",对接源_02物料!$C1122&lt;&gt;$K$1,对接源_02物料!$B1122=""),0,IF(OR(N(对接源_02物料!$B1122)&lt;$K$2,N(对接源_02物料!$B1122)&gt;$K$3),0,1))</f>
        <v>0</v>
      </c>
      <c r="L2322">
        <f>IF(OR($L$1="",对接源_02物料!$C1122="",对接源_02物料!$C1122&lt;&gt;$L$1,对接源_02物料!$B1122=""),0,IF(OR(N(对接源_02物料!$B1122)&lt;$L$2,N(对接源_02物料!$B1122)&gt;$L$3),0,1))</f>
        <v>0</v>
      </c>
      <c r="M2322">
        <f>IF(OR($M$1="",对接源_02物料!$C1122="",对接源_02物料!$C1122&lt;&gt;$M$1,对接源_02物料!$B1122=""),0,IF(OR(N(对接源_02物料!$B1122)&lt;$M$2,N(对接源_02物料!$B1122)&gt;$M$3),0,1))</f>
        <v>0</v>
      </c>
      <c r="N2322">
        <f>IF(OR($N$1="",对接源_02物料!$C1122="",对接源_02物料!$C1122&lt;&gt;$N$1,对接源_02物料!$B1122=""),0,IF(OR(N(对接源_02物料!$B1122)&lt;$N$2,N(对接源_02物料!$B1122)&gt;$N$3),0,1))</f>
        <v>0</v>
      </c>
      <c r="P2322">
        <f>IF(AND($K2322=1,AND(对接源_02物料!$X1122="公司筐",N(对接源_02物料!$T1122)&lt;&gt;0)),1,0)</f>
        <v>0</v>
      </c>
      <c r="Q2322">
        <f>N(Q2321)+$P2322</f>
        <v>14</v>
      </c>
      <c r="R2322">
        <f>IF(AND($K2322=1,AND(对接源_02物料!$X1122="公司筐",N(对接源_02物料!$U1122)&lt;&gt;0)),1,0)</f>
        <v>0</v>
      </c>
      <c r="S2322">
        <f>N(S2321)+$R2322</f>
        <v>1</v>
      </c>
      <c r="T2322">
        <f>IF(AND($K2322=1,AND(对接源_02物料!$X1122="公司筐",N(对接源_02物料!$V1122)&lt;&gt;0)),1,0)</f>
        <v>0</v>
      </c>
      <c r="U2322">
        <f>N(U2321)+$T2322</f>
        <v>47</v>
      </c>
      <c r="V2322">
        <f>IF(AND($L2322=1,AND(对接源_02物料!$X1122="自备筐",N(对接源_02物料!$V1122)&lt;&gt;0)),1,0)</f>
        <v>0</v>
      </c>
      <c r="W2322">
        <f>N(W2321)+$V2322</f>
        <v>11</v>
      </c>
      <c r="X2322">
        <f>IF(AND($L2322=1,AND(对接源_02物料!$X1122="自备筐",N(对接源_02物料!$T1122)&lt;&gt;0)),1,0)</f>
        <v>0</v>
      </c>
      <c r="Y2322">
        <f>N(Y2321)+$X2322</f>
        <v>0</v>
      </c>
      <c r="Z2322">
        <f>IF(AND($M2322=1,对接源_02物料!$D1122="原料入库"),1,0)</f>
        <v>0</v>
      </c>
      <c r="AA2322">
        <f>N(AA2321)+$Z2322</f>
        <v>24</v>
      </c>
      <c r="AB2322">
        <f>IF(AND($M2322=1,LEFT(对接源_02物料!$D1122,4)="原料出库"),1,0)</f>
        <v>0</v>
      </c>
      <c r="AC2322">
        <f>N(AC2321)+$AB2322</f>
        <v>0</v>
      </c>
      <c r="AD2322">
        <f>IF(AND($M2322=1,LEFT(对接源_02物料!$D1122,4)="成品出库"),1,0)</f>
        <v>0</v>
      </c>
      <c r="AE2322">
        <f>N(AE2321)+$AD2322</f>
        <v>0</v>
      </c>
      <c r="AF2322">
        <f>IF(AND($N2322=1,AND(LEFT(对接源_02物料!$D1122,4)="包装物料",N(对接源_02物料!$K1122)&lt;&gt;0)),1,0)</f>
        <v>0</v>
      </c>
      <c r="AG2322">
        <f>N(AG2321)+$AF2322</f>
        <v>10</v>
      </c>
      <c r="AH2322">
        <f>IF(AND($N2322=1,AND(对接源_02物料!$D1122="周转筐－销售出库",N(对接源_02物料!$K1122)&lt;&gt;0)),1,0)</f>
        <v>0</v>
      </c>
      <c r="AI2322">
        <f>N(AI2321)+$AH2322</f>
        <v>0</v>
      </c>
      <c r="AL2322" t="n">
        <v>0</v>
      </c>
      <c r="AM2322">
        <f>N(AM2321)+$AL2322</f>
        <v>2</v>
      </c>
      <c r="AN2322">
        <f>""</f>
      </c>
      <c r="AO2322" t="n">
        <v>0</v>
      </c>
      <c r="AP2322">
        <f>N(AP2321)+$AO2322</f>
        <v>13</v>
      </c>
      <c r="AR2322">
        <f>IF(OR($AF2322=1,$AH2322=1),1,0)</f>
        <v>0</v>
      </c>
      <c r="AS2322">
        <f>N(AS2321)+$AR2322</f>
        <v>10</v>
      </c>
    </row>
    <row r="2323" s="127">
      <c r="A2323">
        <f>IF(对接源_02物料!$C1123="","",对接源_02物料!$C1123)</f>
      </c>
      <c r="B2323">
        <f>IF(A2323="",0,IF(MATCH(A2323,$A$4:$A$2403,0)=ROW()-3,1,0))</f>
        <v>0</v>
      </c>
      <c r="C2323">
        <f>N(C2322)+B2323</f>
        <v>26</v>
      </c>
      <c r="K2323">
        <f>IF(OR($K$1="",对接源_02物料!$C1123="",对接源_02物料!$C1123&lt;&gt;$K$1,对接源_02物料!$B1123=""),0,IF(OR(N(对接源_02物料!$B1123)&lt;$K$2,N(对接源_02物料!$B1123)&gt;$K$3),0,1))</f>
        <v>0</v>
      </c>
      <c r="L2323">
        <f>IF(OR($L$1="",对接源_02物料!$C1123="",对接源_02物料!$C1123&lt;&gt;$L$1,对接源_02物料!$B1123=""),0,IF(OR(N(对接源_02物料!$B1123)&lt;$L$2,N(对接源_02物料!$B1123)&gt;$L$3),0,1))</f>
        <v>0</v>
      </c>
      <c r="M2323">
        <f>IF(OR($M$1="",对接源_02物料!$C1123="",对接源_02物料!$C1123&lt;&gt;$M$1,对接源_02物料!$B1123=""),0,IF(OR(N(对接源_02物料!$B1123)&lt;$M$2,N(对接源_02物料!$B1123)&gt;$M$3),0,1))</f>
        <v>0</v>
      </c>
      <c r="N2323">
        <f>IF(OR($N$1="",对接源_02物料!$C1123="",对接源_02物料!$C1123&lt;&gt;$N$1,对接源_02物料!$B1123=""),0,IF(OR(N(对接源_02物料!$B1123)&lt;$N$2,N(对接源_02物料!$B1123)&gt;$N$3),0,1))</f>
        <v>0</v>
      </c>
      <c r="P2323">
        <f>IF(AND($K2323=1,AND(对接源_02物料!$X1123="公司筐",N(对接源_02物料!$T1123)&lt;&gt;0)),1,0)</f>
        <v>0</v>
      </c>
      <c r="Q2323">
        <f>N(Q2322)+$P2323</f>
        <v>14</v>
      </c>
      <c r="R2323">
        <f>IF(AND($K2323=1,AND(对接源_02物料!$X1123="公司筐",N(对接源_02物料!$U1123)&lt;&gt;0)),1,0)</f>
        <v>0</v>
      </c>
      <c r="S2323">
        <f>N(S2322)+$R2323</f>
        <v>1</v>
      </c>
      <c r="T2323">
        <f>IF(AND($K2323=1,AND(对接源_02物料!$X1123="公司筐",N(对接源_02物料!$V1123)&lt;&gt;0)),1,0)</f>
        <v>0</v>
      </c>
      <c r="U2323">
        <f>N(U2322)+$T2323</f>
        <v>47</v>
      </c>
      <c r="V2323">
        <f>IF(AND($L2323=1,AND(对接源_02物料!$X1123="自备筐",N(对接源_02物料!$V1123)&lt;&gt;0)),1,0)</f>
        <v>0</v>
      </c>
      <c r="W2323">
        <f>N(W2322)+$V2323</f>
        <v>11</v>
      </c>
      <c r="X2323">
        <f>IF(AND($L2323=1,AND(对接源_02物料!$X1123="自备筐",N(对接源_02物料!$T1123)&lt;&gt;0)),1,0)</f>
        <v>0</v>
      </c>
      <c r="Y2323">
        <f>N(Y2322)+$X2323</f>
        <v>0</v>
      </c>
      <c r="Z2323">
        <f>IF(AND($M2323=1,对接源_02物料!$D1123="原料入库"),1,0)</f>
        <v>0</v>
      </c>
      <c r="AA2323">
        <f>N(AA2322)+$Z2323</f>
        <v>24</v>
      </c>
      <c r="AB2323">
        <f>IF(AND($M2323=1,LEFT(对接源_02物料!$D1123,4)="原料出库"),1,0)</f>
        <v>0</v>
      </c>
      <c r="AC2323">
        <f>N(AC2322)+$AB2323</f>
        <v>0</v>
      </c>
      <c r="AD2323">
        <f>IF(AND($M2323=1,LEFT(对接源_02物料!$D1123,4)="成品出库"),1,0)</f>
        <v>0</v>
      </c>
      <c r="AE2323">
        <f>N(AE2322)+$AD2323</f>
        <v>0</v>
      </c>
      <c r="AF2323">
        <f>IF(AND($N2323=1,AND(LEFT(对接源_02物料!$D1123,4)="包装物料",N(对接源_02物料!$K1123)&lt;&gt;0)),1,0)</f>
        <v>0</v>
      </c>
      <c r="AG2323">
        <f>N(AG2322)+$AF2323</f>
        <v>10</v>
      </c>
      <c r="AH2323">
        <f>IF(AND($N2323=1,AND(对接源_02物料!$D1123="周转筐－销售出库",N(对接源_02物料!$K1123)&lt;&gt;0)),1,0)</f>
        <v>0</v>
      </c>
      <c r="AI2323">
        <f>N(AI2322)+$AH2323</f>
        <v>0</v>
      </c>
      <c r="AL2323" t="n">
        <v>0</v>
      </c>
      <c r="AM2323">
        <f>N(AM2322)+$AL2323</f>
        <v>2</v>
      </c>
      <c r="AN2323">
        <f>""</f>
      </c>
      <c r="AO2323" t="n">
        <v>0</v>
      </c>
      <c r="AP2323">
        <f>N(AP2322)+$AO2323</f>
        <v>13</v>
      </c>
      <c r="AR2323">
        <f>IF(OR($AF2323=1,$AH2323=1),1,0)</f>
        <v>0</v>
      </c>
      <c r="AS2323">
        <f>N(AS2322)+$AR2323</f>
        <v>10</v>
      </c>
    </row>
    <row r="2324" s="127">
      <c r="A2324">
        <f>IF(对接源_02物料!$C1124="","",对接源_02物料!$C1124)</f>
      </c>
      <c r="B2324">
        <f>IF(A2324="",0,IF(MATCH(A2324,$A$4:$A$2403,0)=ROW()-3,1,0))</f>
        <v>0</v>
      </c>
      <c r="C2324">
        <f>N(C2323)+B2324</f>
        <v>26</v>
      </c>
      <c r="K2324">
        <f>IF(OR($K$1="",对接源_02物料!$C1124="",对接源_02物料!$C1124&lt;&gt;$K$1,对接源_02物料!$B1124=""),0,IF(OR(N(对接源_02物料!$B1124)&lt;$K$2,N(对接源_02物料!$B1124)&gt;$K$3),0,1))</f>
        <v>0</v>
      </c>
      <c r="L2324">
        <f>IF(OR($L$1="",对接源_02物料!$C1124="",对接源_02物料!$C1124&lt;&gt;$L$1,对接源_02物料!$B1124=""),0,IF(OR(N(对接源_02物料!$B1124)&lt;$L$2,N(对接源_02物料!$B1124)&gt;$L$3),0,1))</f>
        <v>0</v>
      </c>
      <c r="M2324">
        <f>IF(OR($M$1="",对接源_02物料!$C1124="",对接源_02物料!$C1124&lt;&gt;$M$1,对接源_02物料!$B1124=""),0,IF(OR(N(对接源_02物料!$B1124)&lt;$M$2,N(对接源_02物料!$B1124)&gt;$M$3),0,1))</f>
        <v>0</v>
      </c>
      <c r="N2324">
        <f>IF(OR($N$1="",对接源_02物料!$C1124="",对接源_02物料!$C1124&lt;&gt;$N$1,对接源_02物料!$B1124=""),0,IF(OR(N(对接源_02物料!$B1124)&lt;$N$2,N(对接源_02物料!$B1124)&gt;$N$3),0,1))</f>
        <v>0</v>
      </c>
      <c r="P2324">
        <f>IF(AND($K2324=1,AND(对接源_02物料!$X1124="公司筐",N(对接源_02物料!$T1124)&lt;&gt;0)),1,0)</f>
        <v>0</v>
      </c>
      <c r="Q2324">
        <f>N(Q2323)+$P2324</f>
        <v>14</v>
      </c>
      <c r="R2324">
        <f>IF(AND($K2324=1,AND(对接源_02物料!$X1124="公司筐",N(对接源_02物料!$U1124)&lt;&gt;0)),1,0)</f>
        <v>0</v>
      </c>
      <c r="S2324">
        <f>N(S2323)+$R2324</f>
        <v>1</v>
      </c>
      <c r="T2324">
        <f>IF(AND($K2324=1,AND(对接源_02物料!$X1124="公司筐",N(对接源_02物料!$V1124)&lt;&gt;0)),1,0)</f>
        <v>0</v>
      </c>
      <c r="U2324">
        <f>N(U2323)+$T2324</f>
        <v>47</v>
      </c>
      <c r="V2324">
        <f>IF(AND($L2324=1,AND(对接源_02物料!$X1124="自备筐",N(对接源_02物料!$V1124)&lt;&gt;0)),1,0)</f>
        <v>0</v>
      </c>
      <c r="W2324">
        <f>N(W2323)+$V2324</f>
        <v>11</v>
      </c>
      <c r="X2324">
        <f>IF(AND($L2324=1,AND(对接源_02物料!$X1124="自备筐",N(对接源_02物料!$T1124)&lt;&gt;0)),1,0)</f>
        <v>0</v>
      </c>
      <c r="Y2324">
        <f>N(Y2323)+$X2324</f>
        <v>0</v>
      </c>
      <c r="Z2324">
        <f>IF(AND($M2324=1,对接源_02物料!$D1124="原料入库"),1,0)</f>
        <v>0</v>
      </c>
      <c r="AA2324">
        <f>N(AA2323)+$Z2324</f>
        <v>24</v>
      </c>
      <c r="AB2324">
        <f>IF(AND($M2324=1,LEFT(对接源_02物料!$D1124,4)="原料出库"),1,0)</f>
        <v>0</v>
      </c>
      <c r="AC2324">
        <f>N(AC2323)+$AB2324</f>
        <v>0</v>
      </c>
      <c r="AD2324">
        <f>IF(AND($M2324=1,LEFT(对接源_02物料!$D1124,4)="成品出库"),1,0)</f>
        <v>0</v>
      </c>
      <c r="AE2324">
        <f>N(AE2323)+$AD2324</f>
        <v>0</v>
      </c>
      <c r="AF2324">
        <f>IF(AND($N2324=1,AND(LEFT(对接源_02物料!$D1124,4)="包装物料",N(对接源_02物料!$K1124)&lt;&gt;0)),1,0)</f>
        <v>0</v>
      </c>
      <c r="AG2324">
        <f>N(AG2323)+$AF2324</f>
        <v>10</v>
      </c>
      <c r="AH2324">
        <f>IF(AND($N2324=1,AND(对接源_02物料!$D1124="周转筐－销售出库",N(对接源_02物料!$K1124)&lt;&gt;0)),1,0)</f>
        <v>0</v>
      </c>
      <c r="AI2324">
        <f>N(AI2323)+$AH2324</f>
        <v>0</v>
      </c>
      <c r="AL2324" t="n">
        <v>0</v>
      </c>
      <c r="AM2324">
        <f>N(AM2323)+$AL2324</f>
        <v>2</v>
      </c>
      <c r="AN2324">
        <f>""</f>
      </c>
      <c r="AO2324" t="n">
        <v>0</v>
      </c>
      <c r="AP2324">
        <f>N(AP2323)+$AO2324</f>
        <v>13</v>
      </c>
      <c r="AR2324">
        <f>IF(OR($AF2324=1,$AH2324=1),1,0)</f>
        <v>0</v>
      </c>
      <c r="AS2324">
        <f>N(AS2323)+$AR2324</f>
        <v>10</v>
      </c>
    </row>
    <row r="2325" s="127">
      <c r="A2325">
        <f>IF(对接源_02物料!$C1125="","",对接源_02物料!$C1125)</f>
      </c>
      <c r="B2325">
        <f>IF(A2325="",0,IF(MATCH(A2325,$A$4:$A$2403,0)=ROW()-3,1,0))</f>
        <v>0</v>
      </c>
      <c r="C2325">
        <f>N(C2324)+B2325</f>
        <v>26</v>
      </c>
      <c r="K2325">
        <f>IF(OR($K$1="",对接源_02物料!$C1125="",对接源_02物料!$C1125&lt;&gt;$K$1,对接源_02物料!$B1125=""),0,IF(OR(N(对接源_02物料!$B1125)&lt;$K$2,N(对接源_02物料!$B1125)&gt;$K$3),0,1))</f>
        <v>0</v>
      </c>
      <c r="L2325">
        <f>IF(OR($L$1="",对接源_02物料!$C1125="",对接源_02物料!$C1125&lt;&gt;$L$1,对接源_02物料!$B1125=""),0,IF(OR(N(对接源_02物料!$B1125)&lt;$L$2,N(对接源_02物料!$B1125)&gt;$L$3),0,1))</f>
        <v>0</v>
      </c>
      <c r="M2325">
        <f>IF(OR($M$1="",对接源_02物料!$C1125="",对接源_02物料!$C1125&lt;&gt;$M$1,对接源_02物料!$B1125=""),0,IF(OR(N(对接源_02物料!$B1125)&lt;$M$2,N(对接源_02物料!$B1125)&gt;$M$3),0,1))</f>
        <v>0</v>
      </c>
      <c r="N2325">
        <f>IF(OR($N$1="",对接源_02物料!$C1125="",对接源_02物料!$C1125&lt;&gt;$N$1,对接源_02物料!$B1125=""),0,IF(OR(N(对接源_02物料!$B1125)&lt;$N$2,N(对接源_02物料!$B1125)&gt;$N$3),0,1))</f>
        <v>0</v>
      </c>
      <c r="P2325">
        <f>IF(AND($K2325=1,AND(对接源_02物料!$X1125="公司筐",N(对接源_02物料!$T1125)&lt;&gt;0)),1,0)</f>
        <v>0</v>
      </c>
      <c r="Q2325">
        <f>N(Q2324)+$P2325</f>
        <v>14</v>
      </c>
      <c r="R2325">
        <f>IF(AND($K2325=1,AND(对接源_02物料!$X1125="公司筐",N(对接源_02物料!$U1125)&lt;&gt;0)),1,0)</f>
        <v>0</v>
      </c>
      <c r="S2325">
        <f>N(S2324)+$R2325</f>
        <v>1</v>
      </c>
      <c r="T2325">
        <f>IF(AND($K2325=1,AND(对接源_02物料!$X1125="公司筐",N(对接源_02物料!$V1125)&lt;&gt;0)),1,0)</f>
        <v>0</v>
      </c>
      <c r="U2325">
        <f>N(U2324)+$T2325</f>
        <v>47</v>
      </c>
      <c r="V2325">
        <f>IF(AND($L2325=1,AND(对接源_02物料!$X1125="自备筐",N(对接源_02物料!$V1125)&lt;&gt;0)),1,0)</f>
        <v>0</v>
      </c>
      <c r="W2325">
        <f>N(W2324)+$V2325</f>
        <v>11</v>
      </c>
      <c r="X2325">
        <f>IF(AND($L2325=1,AND(对接源_02物料!$X1125="自备筐",N(对接源_02物料!$T1125)&lt;&gt;0)),1,0)</f>
        <v>0</v>
      </c>
      <c r="Y2325">
        <f>N(Y2324)+$X2325</f>
        <v>0</v>
      </c>
      <c r="Z2325">
        <f>IF(AND($M2325=1,对接源_02物料!$D1125="原料入库"),1,0)</f>
        <v>0</v>
      </c>
      <c r="AA2325">
        <f>N(AA2324)+$Z2325</f>
        <v>24</v>
      </c>
      <c r="AB2325">
        <f>IF(AND($M2325=1,LEFT(对接源_02物料!$D1125,4)="原料出库"),1,0)</f>
        <v>0</v>
      </c>
      <c r="AC2325">
        <f>N(AC2324)+$AB2325</f>
        <v>0</v>
      </c>
      <c r="AD2325">
        <f>IF(AND($M2325=1,LEFT(对接源_02物料!$D1125,4)="成品出库"),1,0)</f>
        <v>0</v>
      </c>
      <c r="AE2325">
        <f>N(AE2324)+$AD2325</f>
        <v>0</v>
      </c>
      <c r="AF2325">
        <f>IF(AND($N2325=1,AND(LEFT(对接源_02物料!$D1125,4)="包装物料",N(对接源_02物料!$K1125)&lt;&gt;0)),1,0)</f>
        <v>0</v>
      </c>
      <c r="AG2325">
        <f>N(AG2324)+$AF2325</f>
        <v>10</v>
      </c>
      <c r="AH2325">
        <f>IF(AND($N2325=1,AND(对接源_02物料!$D1125="周转筐－销售出库",N(对接源_02物料!$K1125)&lt;&gt;0)),1,0)</f>
        <v>0</v>
      </c>
      <c r="AI2325">
        <f>N(AI2324)+$AH2325</f>
        <v>0</v>
      </c>
      <c r="AL2325" t="n">
        <v>0</v>
      </c>
      <c r="AM2325">
        <f>N(AM2324)+$AL2325</f>
        <v>2</v>
      </c>
      <c r="AN2325">
        <f>""</f>
      </c>
      <c r="AO2325" t="n">
        <v>0</v>
      </c>
      <c r="AP2325">
        <f>N(AP2324)+$AO2325</f>
        <v>13</v>
      </c>
      <c r="AR2325">
        <f>IF(OR($AF2325=1,$AH2325=1),1,0)</f>
        <v>0</v>
      </c>
      <c r="AS2325">
        <f>N(AS2324)+$AR2325</f>
        <v>10</v>
      </c>
    </row>
    <row r="2326" s="127">
      <c r="A2326">
        <f>IF(对接源_02物料!$C1126="","",对接源_02物料!$C1126)</f>
      </c>
      <c r="B2326">
        <f>IF(A2326="",0,IF(MATCH(A2326,$A$4:$A$2403,0)=ROW()-3,1,0))</f>
        <v>0</v>
      </c>
      <c r="C2326">
        <f>N(C2325)+B2326</f>
        <v>26</v>
      </c>
      <c r="K2326">
        <f>IF(OR($K$1="",对接源_02物料!$C1126="",对接源_02物料!$C1126&lt;&gt;$K$1,对接源_02物料!$B1126=""),0,IF(OR(N(对接源_02物料!$B1126)&lt;$K$2,N(对接源_02物料!$B1126)&gt;$K$3),0,1))</f>
        <v>0</v>
      </c>
      <c r="L2326">
        <f>IF(OR($L$1="",对接源_02物料!$C1126="",对接源_02物料!$C1126&lt;&gt;$L$1,对接源_02物料!$B1126=""),0,IF(OR(N(对接源_02物料!$B1126)&lt;$L$2,N(对接源_02物料!$B1126)&gt;$L$3),0,1))</f>
        <v>0</v>
      </c>
      <c r="M2326">
        <f>IF(OR($M$1="",对接源_02物料!$C1126="",对接源_02物料!$C1126&lt;&gt;$M$1,对接源_02物料!$B1126=""),0,IF(OR(N(对接源_02物料!$B1126)&lt;$M$2,N(对接源_02物料!$B1126)&gt;$M$3),0,1))</f>
        <v>0</v>
      </c>
      <c r="N2326">
        <f>IF(OR($N$1="",对接源_02物料!$C1126="",对接源_02物料!$C1126&lt;&gt;$N$1,对接源_02物料!$B1126=""),0,IF(OR(N(对接源_02物料!$B1126)&lt;$N$2,N(对接源_02物料!$B1126)&gt;$N$3),0,1))</f>
        <v>0</v>
      </c>
      <c r="P2326">
        <f>IF(AND($K2326=1,AND(对接源_02物料!$X1126="公司筐",N(对接源_02物料!$T1126)&lt;&gt;0)),1,0)</f>
        <v>0</v>
      </c>
      <c r="Q2326">
        <f>N(Q2325)+$P2326</f>
        <v>14</v>
      </c>
      <c r="R2326">
        <f>IF(AND($K2326=1,AND(对接源_02物料!$X1126="公司筐",N(对接源_02物料!$U1126)&lt;&gt;0)),1,0)</f>
        <v>0</v>
      </c>
      <c r="S2326">
        <f>N(S2325)+$R2326</f>
        <v>1</v>
      </c>
      <c r="T2326">
        <f>IF(AND($K2326=1,AND(对接源_02物料!$X1126="公司筐",N(对接源_02物料!$V1126)&lt;&gt;0)),1,0)</f>
        <v>0</v>
      </c>
      <c r="U2326">
        <f>N(U2325)+$T2326</f>
        <v>47</v>
      </c>
      <c r="V2326">
        <f>IF(AND($L2326=1,AND(对接源_02物料!$X1126="自备筐",N(对接源_02物料!$V1126)&lt;&gt;0)),1,0)</f>
        <v>0</v>
      </c>
      <c r="W2326">
        <f>N(W2325)+$V2326</f>
        <v>11</v>
      </c>
      <c r="X2326">
        <f>IF(AND($L2326=1,AND(对接源_02物料!$X1126="自备筐",N(对接源_02物料!$T1126)&lt;&gt;0)),1,0)</f>
        <v>0</v>
      </c>
      <c r="Y2326">
        <f>N(Y2325)+$X2326</f>
        <v>0</v>
      </c>
      <c r="Z2326">
        <f>IF(AND($M2326=1,对接源_02物料!$D1126="原料入库"),1,0)</f>
        <v>0</v>
      </c>
      <c r="AA2326">
        <f>N(AA2325)+$Z2326</f>
        <v>24</v>
      </c>
      <c r="AB2326">
        <f>IF(AND($M2326=1,LEFT(对接源_02物料!$D1126,4)="原料出库"),1,0)</f>
        <v>0</v>
      </c>
      <c r="AC2326">
        <f>N(AC2325)+$AB2326</f>
        <v>0</v>
      </c>
      <c r="AD2326">
        <f>IF(AND($M2326=1,LEFT(对接源_02物料!$D1126,4)="成品出库"),1,0)</f>
        <v>0</v>
      </c>
      <c r="AE2326">
        <f>N(AE2325)+$AD2326</f>
        <v>0</v>
      </c>
      <c r="AF2326">
        <f>IF(AND($N2326=1,AND(LEFT(对接源_02物料!$D1126,4)="包装物料",N(对接源_02物料!$K1126)&lt;&gt;0)),1,0)</f>
        <v>0</v>
      </c>
      <c r="AG2326">
        <f>N(AG2325)+$AF2326</f>
        <v>10</v>
      </c>
      <c r="AH2326">
        <f>IF(AND($N2326=1,AND(对接源_02物料!$D1126="周转筐－销售出库",N(对接源_02物料!$K1126)&lt;&gt;0)),1,0)</f>
        <v>0</v>
      </c>
      <c r="AI2326">
        <f>N(AI2325)+$AH2326</f>
        <v>0</v>
      </c>
      <c r="AL2326" t="n">
        <v>0</v>
      </c>
      <c r="AM2326">
        <f>N(AM2325)+$AL2326</f>
        <v>2</v>
      </c>
      <c r="AN2326">
        <f>""</f>
      </c>
      <c r="AO2326" t="n">
        <v>0</v>
      </c>
      <c r="AP2326">
        <f>N(AP2325)+$AO2326</f>
        <v>13</v>
      </c>
      <c r="AR2326">
        <f>IF(OR($AF2326=1,$AH2326=1),1,0)</f>
        <v>0</v>
      </c>
      <c r="AS2326">
        <f>N(AS2325)+$AR2326</f>
        <v>10</v>
      </c>
    </row>
    <row r="2327" s="127">
      <c r="A2327">
        <f>IF(对接源_02物料!$C1127="","",对接源_02物料!$C1127)</f>
      </c>
      <c r="B2327">
        <f>IF(A2327="",0,IF(MATCH(A2327,$A$4:$A$2403,0)=ROW()-3,1,0))</f>
        <v>0</v>
      </c>
      <c r="C2327">
        <f>N(C2326)+B2327</f>
        <v>26</v>
      </c>
      <c r="K2327">
        <f>IF(OR($K$1="",对接源_02物料!$C1127="",对接源_02物料!$C1127&lt;&gt;$K$1,对接源_02物料!$B1127=""),0,IF(OR(N(对接源_02物料!$B1127)&lt;$K$2,N(对接源_02物料!$B1127)&gt;$K$3),0,1))</f>
        <v>0</v>
      </c>
      <c r="L2327">
        <f>IF(OR($L$1="",对接源_02物料!$C1127="",对接源_02物料!$C1127&lt;&gt;$L$1,对接源_02物料!$B1127=""),0,IF(OR(N(对接源_02物料!$B1127)&lt;$L$2,N(对接源_02物料!$B1127)&gt;$L$3),0,1))</f>
        <v>0</v>
      </c>
      <c r="M2327">
        <f>IF(OR($M$1="",对接源_02物料!$C1127="",对接源_02物料!$C1127&lt;&gt;$M$1,对接源_02物料!$B1127=""),0,IF(OR(N(对接源_02物料!$B1127)&lt;$M$2,N(对接源_02物料!$B1127)&gt;$M$3),0,1))</f>
        <v>0</v>
      </c>
      <c r="N2327">
        <f>IF(OR($N$1="",对接源_02物料!$C1127="",对接源_02物料!$C1127&lt;&gt;$N$1,对接源_02物料!$B1127=""),0,IF(OR(N(对接源_02物料!$B1127)&lt;$N$2,N(对接源_02物料!$B1127)&gt;$N$3),0,1))</f>
        <v>0</v>
      </c>
      <c r="P2327">
        <f>IF(AND($K2327=1,AND(对接源_02物料!$X1127="公司筐",N(对接源_02物料!$T1127)&lt;&gt;0)),1,0)</f>
        <v>0</v>
      </c>
      <c r="Q2327">
        <f>N(Q2326)+$P2327</f>
        <v>14</v>
      </c>
      <c r="R2327">
        <f>IF(AND($K2327=1,AND(对接源_02物料!$X1127="公司筐",N(对接源_02物料!$U1127)&lt;&gt;0)),1,0)</f>
        <v>0</v>
      </c>
      <c r="S2327">
        <f>N(S2326)+$R2327</f>
        <v>1</v>
      </c>
      <c r="T2327">
        <f>IF(AND($K2327=1,AND(对接源_02物料!$X1127="公司筐",N(对接源_02物料!$V1127)&lt;&gt;0)),1,0)</f>
        <v>0</v>
      </c>
      <c r="U2327">
        <f>N(U2326)+$T2327</f>
        <v>47</v>
      </c>
      <c r="V2327">
        <f>IF(AND($L2327=1,AND(对接源_02物料!$X1127="自备筐",N(对接源_02物料!$V1127)&lt;&gt;0)),1,0)</f>
        <v>0</v>
      </c>
      <c r="W2327">
        <f>N(W2326)+$V2327</f>
        <v>11</v>
      </c>
      <c r="X2327">
        <f>IF(AND($L2327=1,AND(对接源_02物料!$X1127="自备筐",N(对接源_02物料!$T1127)&lt;&gt;0)),1,0)</f>
        <v>0</v>
      </c>
      <c r="Y2327">
        <f>N(Y2326)+$X2327</f>
        <v>0</v>
      </c>
      <c r="Z2327">
        <f>IF(AND($M2327=1,对接源_02物料!$D1127="原料入库"),1,0)</f>
        <v>0</v>
      </c>
      <c r="AA2327">
        <f>N(AA2326)+$Z2327</f>
        <v>24</v>
      </c>
      <c r="AB2327">
        <f>IF(AND($M2327=1,LEFT(对接源_02物料!$D1127,4)="原料出库"),1,0)</f>
        <v>0</v>
      </c>
      <c r="AC2327">
        <f>N(AC2326)+$AB2327</f>
        <v>0</v>
      </c>
      <c r="AD2327">
        <f>IF(AND($M2327=1,LEFT(对接源_02物料!$D1127,4)="成品出库"),1,0)</f>
        <v>0</v>
      </c>
      <c r="AE2327">
        <f>N(AE2326)+$AD2327</f>
        <v>0</v>
      </c>
      <c r="AF2327">
        <f>IF(AND($N2327=1,AND(LEFT(对接源_02物料!$D1127,4)="包装物料",N(对接源_02物料!$K1127)&lt;&gt;0)),1,0)</f>
        <v>0</v>
      </c>
      <c r="AG2327">
        <f>N(AG2326)+$AF2327</f>
        <v>10</v>
      </c>
      <c r="AH2327">
        <f>IF(AND($N2327=1,AND(对接源_02物料!$D1127="周转筐－销售出库",N(对接源_02物料!$K1127)&lt;&gt;0)),1,0)</f>
        <v>0</v>
      </c>
      <c r="AI2327">
        <f>N(AI2326)+$AH2327</f>
        <v>0</v>
      </c>
      <c r="AL2327" t="n">
        <v>0</v>
      </c>
      <c r="AM2327">
        <f>N(AM2326)+$AL2327</f>
        <v>2</v>
      </c>
      <c r="AN2327">
        <f>""</f>
      </c>
      <c r="AO2327" t="n">
        <v>0</v>
      </c>
      <c r="AP2327">
        <f>N(AP2326)+$AO2327</f>
        <v>13</v>
      </c>
      <c r="AR2327">
        <f>IF(OR($AF2327=1,$AH2327=1),1,0)</f>
        <v>0</v>
      </c>
      <c r="AS2327">
        <f>N(AS2326)+$AR2327</f>
        <v>10</v>
      </c>
    </row>
    <row r="2328" s="127">
      <c r="A2328">
        <f>IF(对接源_02物料!$C1128="","",对接源_02物料!$C1128)</f>
      </c>
      <c r="B2328">
        <f>IF(A2328="",0,IF(MATCH(A2328,$A$4:$A$2403,0)=ROW()-3,1,0))</f>
        <v>0</v>
      </c>
      <c r="C2328">
        <f>N(C2327)+B2328</f>
        <v>26</v>
      </c>
      <c r="K2328">
        <f>IF(OR($K$1="",对接源_02物料!$C1128="",对接源_02物料!$C1128&lt;&gt;$K$1,对接源_02物料!$B1128=""),0,IF(OR(N(对接源_02物料!$B1128)&lt;$K$2,N(对接源_02物料!$B1128)&gt;$K$3),0,1))</f>
        <v>0</v>
      </c>
      <c r="L2328">
        <f>IF(OR($L$1="",对接源_02物料!$C1128="",对接源_02物料!$C1128&lt;&gt;$L$1,对接源_02物料!$B1128=""),0,IF(OR(N(对接源_02物料!$B1128)&lt;$L$2,N(对接源_02物料!$B1128)&gt;$L$3),0,1))</f>
        <v>0</v>
      </c>
      <c r="M2328">
        <f>IF(OR($M$1="",对接源_02物料!$C1128="",对接源_02物料!$C1128&lt;&gt;$M$1,对接源_02物料!$B1128=""),0,IF(OR(N(对接源_02物料!$B1128)&lt;$M$2,N(对接源_02物料!$B1128)&gt;$M$3),0,1))</f>
        <v>0</v>
      </c>
      <c r="N2328">
        <f>IF(OR($N$1="",对接源_02物料!$C1128="",对接源_02物料!$C1128&lt;&gt;$N$1,对接源_02物料!$B1128=""),0,IF(OR(N(对接源_02物料!$B1128)&lt;$N$2,N(对接源_02物料!$B1128)&gt;$N$3),0,1))</f>
        <v>0</v>
      </c>
      <c r="P2328">
        <f>IF(AND($K2328=1,AND(对接源_02物料!$X1128="公司筐",N(对接源_02物料!$T1128)&lt;&gt;0)),1,0)</f>
        <v>0</v>
      </c>
      <c r="Q2328">
        <f>N(Q2327)+$P2328</f>
        <v>14</v>
      </c>
      <c r="R2328">
        <f>IF(AND($K2328=1,AND(对接源_02物料!$X1128="公司筐",N(对接源_02物料!$U1128)&lt;&gt;0)),1,0)</f>
        <v>0</v>
      </c>
      <c r="S2328">
        <f>N(S2327)+$R2328</f>
        <v>1</v>
      </c>
      <c r="T2328">
        <f>IF(AND($K2328=1,AND(对接源_02物料!$X1128="公司筐",N(对接源_02物料!$V1128)&lt;&gt;0)),1,0)</f>
        <v>0</v>
      </c>
      <c r="U2328">
        <f>N(U2327)+$T2328</f>
        <v>47</v>
      </c>
      <c r="V2328">
        <f>IF(AND($L2328=1,AND(对接源_02物料!$X1128="自备筐",N(对接源_02物料!$V1128)&lt;&gt;0)),1,0)</f>
        <v>0</v>
      </c>
      <c r="W2328">
        <f>N(W2327)+$V2328</f>
        <v>11</v>
      </c>
      <c r="X2328">
        <f>IF(AND($L2328=1,AND(对接源_02物料!$X1128="自备筐",N(对接源_02物料!$T1128)&lt;&gt;0)),1,0)</f>
        <v>0</v>
      </c>
      <c r="Y2328">
        <f>N(Y2327)+$X2328</f>
        <v>0</v>
      </c>
      <c r="Z2328">
        <f>IF(AND($M2328=1,对接源_02物料!$D1128="原料入库"),1,0)</f>
        <v>0</v>
      </c>
      <c r="AA2328">
        <f>N(AA2327)+$Z2328</f>
        <v>24</v>
      </c>
      <c r="AB2328">
        <f>IF(AND($M2328=1,LEFT(对接源_02物料!$D1128,4)="原料出库"),1,0)</f>
        <v>0</v>
      </c>
      <c r="AC2328">
        <f>N(AC2327)+$AB2328</f>
        <v>0</v>
      </c>
      <c r="AD2328">
        <f>IF(AND($M2328=1,LEFT(对接源_02物料!$D1128,4)="成品出库"),1,0)</f>
        <v>0</v>
      </c>
      <c r="AE2328">
        <f>N(AE2327)+$AD2328</f>
        <v>0</v>
      </c>
      <c r="AF2328">
        <f>IF(AND($N2328=1,AND(LEFT(对接源_02物料!$D1128,4)="包装物料",N(对接源_02物料!$K1128)&lt;&gt;0)),1,0)</f>
        <v>0</v>
      </c>
      <c r="AG2328">
        <f>N(AG2327)+$AF2328</f>
        <v>10</v>
      </c>
      <c r="AH2328">
        <f>IF(AND($N2328=1,AND(对接源_02物料!$D1128="周转筐－销售出库",N(对接源_02物料!$K1128)&lt;&gt;0)),1,0)</f>
        <v>0</v>
      </c>
      <c r="AI2328">
        <f>N(AI2327)+$AH2328</f>
        <v>0</v>
      </c>
      <c r="AL2328" t="n">
        <v>0</v>
      </c>
      <c r="AM2328">
        <f>N(AM2327)+$AL2328</f>
        <v>2</v>
      </c>
      <c r="AN2328">
        <f>""</f>
      </c>
      <c r="AO2328" t="n">
        <v>0</v>
      </c>
      <c r="AP2328">
        <f>N(AP2327)+$AO2328</f>
        <v>13</v>
      </c>
      <c r="AR2328">
        <f>IF(OR($AF2328=1,$AH2328=1),1,0)</f>
        <v>0</v>
      </c>
      <c r="AS2328">
        <f>N(AS2327)+$AR2328</f>
        <v>10</v>
      </c>
    </row>
    <row r="2329" s="127">
      <c r="A2329">
        <f>IF(对接源_02物料!$C1129="","",对接源_02物料!$C1129)</f>
      </c>
      <c r="B2329">
        <f>IF(A2329="",0,IF(MATCH(A2329,$A$4:$A$2403,0)=ROW()-3,1,0))</f>
        <v>0</v>
      </c>
      <c r="C2329">
        <f>N(C2328)+B2329</f>
        <v>26</v>
      </c>
      <c r="K2329">
        <f>IF(OR($K$1="",对接源_02物料!$C1129="",对接源_02物料!$C1129&lt;&gt;$K$1,对接源_02物料!$B1129=""),0,IF(OR(N(对接源_02物料!$B1129)&lt;$K$2,N(对接源_02物料!$B1129)&gt;$K$3),0,1))</f>
        <v>0</v>
      </c>
      <c r="L2329">
        <f>IF(OR($L$1="",对接源_02物料!$C1129="",对接源_02物料!$C1129&lt;&gt;$L$1,对接源_02物料!$B1129=""),0,IF(OR(N(对接源_02物料!$B1129)&lt;$L$2,N(对接源_02物料!$B1129)&gt;$L$3),0,1))</f>
        <v>0</v>
      </c>
      <c r="M2329">
        <f>IF(OR($M$1="",对接源_02物料!$C1129="",对接源_02物料!$C1129&lt;&gt;$M$1,对接源_02物料!$B1129=""),0,IF(OR(N(对接源_02物料!$B1129)&lt;$M$2,N(对接源_02物料!$B1129)&gt;$M$3),0,1))</f>
        <v>0</v>
      </c>
      <c r="N2329">
        <f>IF(OR($N$1="",对接源_02物料!$C1129="",对接源_02物料!$C1129&lt;&gt;$N$1,对接源_02物料!$B1129=""),0,IF(OR(N(对接源_02物料!$B1129)&lt;$N$2,N(对接源_02物料!$B1129)&gt;$N$3),0,1))</f>
        <v>0</v>
      </c>
      <c r="P2329">
        <f>IF(AND($K2329=1,AND(对接源_02物料!$X1129="公司筐",N(对接源_02物料!$T1129)&lt;&gt;0)),1,0)</f>
        <v>0</v>
      </c>
      <c r="Q2329">
        <f>N(Q2328)+$P2329</f>
        <v>14</v>
      </c>
      <c r="R2329">
        <f>IF(AND($K2329=1,AND(对接源_02物料!$X1129="公司筐",N(对接源_02物料!$U1129)&lt;&gt;0)),1,0)</f>
        <v>0</v>
      </c>
      <c r="S2329">
        <f>N(S2328)+$R2329</f>
        <v>1</v>
      </c>
      <c r="T2329">
        <f>IF(AND($K2329=1,AND(对接源_02物料!$X1129="公司筐",N(对接源_02物料!$V1129)&lt;&gt;0)),1,0)</f>
        <v>0</v>
      </c>
      <c r="U2329">
        <f>N(U2328)+$T2329</f>
        <v>47</v>
      </c>
      <c r="V2329">
        <f>IF(AND($L2329=1,AND(对接源_02物料!$X1129="自备筐",N(对接源_02物料!$V1129)&lt;&gt;0)),1,0)</f>
        <v>0</v>
      </c>
      <c r="W2329">
        <f>N(W2328)+$V2329</f>
        <v>11</v>
      </c>
      <c r="X2329">
        <f>IF(AND($L2329=1,AND(对接源_02物料!$X1129="自备筐",N(对接源_02物料!$T1129)&lt;&gt;0)),1,0)</f>
        <v>0</v>
      </c>
      <c r="Y2329">
        <f>N(Y2328)+$X2329</f>
        <v>0</v>
      </c>
      <c r="Z2329">
        <f>IF(AND($M2329=1,对接源_02物料!$D1129="原料入库"),1,0)</f>
        <v>0</v>
      </c>
      <c r="AA2329">
        <f>N(AA2328)+$Z2329</f>
        <v>24</v>
      </c>
      <c r="AB2329">
        <f>IF(AND($M2329=1,LEFT(对接源_02物料!$D1129,4)="原料出库"),1,0)</f>
        <v>0</v>
      </c>
      <c r="AC2329">
        <f>N(AC2328)+$AB2329</f>
        <v>0</v>
      </c>
      <c r="AD2329">
        <f>IF(AND($M2329=1,LEFT(对接源_02物料!$D1129,4)="成品出库"),1,0)</f>
        <v>0</v>
      </c>
      <c r="AE2329">
        <f>N(AE2328)+$AD2329</f>
        <v>0</v>
      </c>
      <c r="AF2329">
        <f>IF(AND($N2329=1,AND(LEFT(对接源_02物料!$D1129,4)="包装物料",N(对接源_02物料!$K1129)&lt;&gt;0)),1,0)</f>
        <v>0</v>
      </c>
      <c r="AG2329">
        <f>N(AG2328)+$AF2329</f>
        <v>10</v>
      </c>
      <c r="AH2329">
        <f>IF(AND($N2329=1,AND(对接源_02物料!$D1129="周转筐－销售出库",N(对接源_02物料!$K1129)&lt;&gt;0)),1,0)</f>
        <v>0</v>
      </c>
      <c r="AI2329">
        <f>N(AI2328)+$AH2329</f>
        <v>0</v>
      </c>
      <c r="AL2329" t="n">
        <v>0</v>
      </c>
      <c r="AM2329">
        <f>N(AM2328)+$AL2329</f>
        <v>2</v>
      </c>
      <c r="AN2329">
        <f>""</f>
      </c>
      <c r="AO2329" t="n">
        <v>0</v>
      </c>
      <c r="AP2329">
        <f>N(AP2328)+$AO2329</f>
        <v>13</v>
      </c>
      <c r="AR2329">
        <f>IF(OR($AF2329=1,$AH2329=1),1,0)</f>
        <v>0</v>
      </c>
      <c r="AS2329">
        <f>N(AS2328)+$AR2329</f>
        <v>10</v>
      </c>
    </row>
    <row r="2330" s="127">
      <c r="A2330">
        <f>IF(对接源_02物料!$C1130="","",对接源_02物料!$C1130)</f>
      </c>
      <c r="B2330">
        <f>IF(A2330="",0,IF(MATCH(A2330,$A$4:$A$2403,0)=ROW()-3,1,0))</f>
        <v>0</v>
      </c>
      <c r="C2330">
        <f>N(C2329)+B2330</f>
        <v>26</v>
      </c>
      <c r="K2330">
        <f>IF(OR($K$1="",对接源_02物料!$C1130="",对接源_02物料!$C1130&lt;&gt;$K$1,对接源_02物料!$B1130=""),0,IF(OR(N(对接源_02物料!$B1130)&lt;$K$2,N(对接源_02物料!$B1130)&gt;$K$3),0,1))</f>
        <v>0</v>
      </c>
      <c r="L2330">
        <f>IF(OR($L$1="",对接源_02物料!$C1130="",对接源_02物料!$C1130&lt;&gt;$L$1,对接源_02物料!$B1130=""),0,IF(OR(N(对接源_02物料!$B1130)&lt;$L$2,N(对接源_02物料!$B1130)&gt;$L$3),0,1))</f>
        <v>0</v>
      </c>
      <c r="M2330">
        <f>IF(OR($M$1="",对接源_02物料!$C1130="",对接源_02物料!$C1130&lt;&gt;$M$1,对接源_02物料!$B1130=""),0,IF(OR(N(对接源_02物料!$B1130)&lt;$M$2,N(对接源_02物料!$B1130)&gt;$M$3),0,1))</f>
        <v>0</v>
      </c>
      <c r="N2330">
        <f>IF(OR($N$1="",对接源_02物料!$C1130="",对接源_02物料!$C1130&lt;&gt;$N$1,对接源_02物料!$B1130=""),0,IF(OR(N(对接源_02物料!$B1130)&lt;$N$2,N(对接源_02物料!$B1130)&gt;$N$3),0,1))</f>
        <v>0</v>
      </c>
      <c r="P2330">
        <f>IF(AND($K2330=1,AND(对接源_02物料!$X1130="公司筐",N(对接源_02物料!$T1130)&lt;&gt;0)),1,0)</f>
        <v>0</v>
      </c>
      <c r="Q2330">
        <f>N(Q2329)+$P2330</f>
        <v>14</v>
      </c>
      <c r="R2330">
        <f>IF(AND($K2330=1,AND(对接源_02物料!$X1130="公司筐",N(对接源_02物料!$U1130)&lt;&gt;0)),1,0)</f>
        <v>0</v>
      </c>
      <c r="S2330">
        <f>N(S2329)+$R2330</f>
        <v>1</v>
      </c>
      <c r="T2330">
        <f>IF(AND($K2330=1,AND(对接源_02物料!$X1130="公司筐",N(对接源_02物料!$V1130)&lt;&gt;0)),1,0)</f>
        <v>0</v>
      </c>
      <c r="U2330">
        <f>N(U2329)+$T2330</f>
        <v>47</v>
      </c>
      <c r="V2330">
        <f>IF(AND($L2330=1,AND(对接源_02物料!$X1130="自备筐",N(对接源_02物料!$V1130)&lt;&gt;0)),1,0)</f>
        <v>0</v>
      </c>
      <c r="W2330">
        <f>N(W2329)+$V2330</f>
        <v>11</v>
      </c>
      <c r="X2330">
        <f>IF(AND($L2330=1,AND(对接源_02物料!$X1130="自备筐",N(对接源_02物料!$T1130)&lt;&gt;0)),1,0)</f>
        <v>0</v>
      </c>
      <c r="Y2330">
        <f>N(Y2329)+$X2330</f>
        <v>0</v>
      </c>
      <c r="Z2330">
        <f>IF(AND($M2330=1,对接源_02物料!$D1130="原料入库"),1,0)</f>
        <v>0</v>
      </c>
      <c r="AA2330">
        <f>N(AA2329)+$Z2330</f>
        <v>24</v>
      </c>
      <c r="AB2330">
        <f>IF(AND($M2330=1,LEFT(对接源_02物料!$D1130,4)="原料出库"),1,0)</f>
        <v>0</v>
      </c>
      <c r="AC2330">
        <f>N(AC2329)+$AB2330</f>
        <v>0</v>
      </c>
      <c r="AD2330">
        <f>IF(AND($M2330=1,LEFT(对接源_02物料!$D1130,4)="成品出库"),1,0)</f>
        <v>0</v>
      </c>
      <c r="AE2330">
        <f>N(AE2329)+$AD2330</f>
        <v>0</v>
      </c>
      <c r="AF2330">
        <f>IF(AND($N2330=1,AND(LEFT(对接源_02物料!$D1130,4)="包装物料",N(对接源_02物料!$K1130)&lt;&gt;0)),1,0)</f>
        <v>0</v>
      </c>
      <c r="AG2330">
        <f>N(AG2329)+$AF2330</f>
        <v>10</v>
      </c>
      <c r="AH2330">
        <f>IF(AND($N2330=1,AND(对接源_02物料!$D1130="周转筐－销售出库",N(对接源_02物料!$K1130)&lt;&gt;0)),1,0)</f>
        <v>0</v>
      </c>
      <c r="AI2330">
        <f>N(AI2329)+$AH2330</f>
        <v>0</v>
      </c>
      <c r="AL2330" t="n">
        <v>0</v>
      </c>
      <c r="AM2330">
        <f>N(AM2329)+$AL2330</f>
        <v>2</v>
      </c>
      <c r="AN2330">
        <f>""</f>
      </c>
      <c r="AO2330" t="n">
        <v>0</v>
      </c>
      <c r="AP2330">
        <f>N(AP2329)+$AO2330</f>
        <v>13</v>
      </c>
      <c r="AR2330">
        <f>IF(OR($AF2330=1,$AH2330=1),1,0)</f>
        <v>0</v>
      </c>
      <c r="AS2330">
        <f>N(AS2329)+$AR2330</f>
        <v>10</v>
      </c>
    </row>
    <row r="2331" s="127">
      <c r="A2331">
        <f>IF(对接源_02物料!$C1131="","",对接源_02物料!$C1131)</f>
      </c>
      <c r="B2331">
        <f>IF(A2331="",0,IF(MATCH(A2331,$A$4:$A$2403,0)=ROW()-3,1,0))</f>
        <v>0</v>
      </c>
      <c r="C2331">
        <f>N(C2330)+B2331</f>
        <v>26</v>
      </c>
      <c r="K2331">
        <f>IF(OR($K$1="",对接源_02物料!$C1131="",对接源_02物料!$C1131&lt;&gt;$K$1,对接源_02物料!$B1131=""),0,IF(OR(N(对接源_02物料!$B1131)&lt;$K$2,N(对接源_02物料!$B1131)&gt;$K$3),0,1))</f>
        <v>0</v>
      </c>
      <c r="L2331">
        <f>IF(OR($L$1="",对接源_02物料!$C1131="",对接源_02物料!$C1131&lt;&gt;$L$1,对接源_02物料!$B1131=""),0,IF(OR(N(对接源_02物料!$B1131)&lt;$L$2,N(对接源_02物料!$B1131)&gt;$L$3),0,1))</f>
        <v>0</v>
      </c>
      <c r="M2331">
        <f>IF(OR($M$1="",对接源_02物料!$C1131="",对接源_02物料!$C1131&lt;&gt;$M$1,对接源_02物料!$B1131=""),0,IF(OR(N(对接源_02物料!$B1131)&lt;$M$2,N(对接源_02物料!$B1131)&gt;$M$3),0,1))</f>
        <v>0</v>
      </c>
      <c r="N2331">
        <f>IF(OR($N$1="",对接源_02物料!$C1131="",对接源_02物料!$C1131&lt;&gt;$N$1,对接源_02物料!$B1131=""),0,IF(OR(N(对接源_02物料!$B1131)&lt;$N$2,N(对接源_02物料!$B1131)&gt;$N$3),0,1))</f>
        <v>0</v>
      </c>
      <c r="P2331">
        <f>IF(AND($K2331=1,AND(对接源_02物料!$X1131="公司筐",N(对接源_02物料!$T1131)&lt;&gt;0)),1,0)</f>
        <v>0</v>
      </c>
      <c r="Q2331">
        <f>N(Q2330)+$P2331</f>
        <v>14</v>
      </c>
      <c r="R2331">
        <f>IF(AND($K2331=1,AND(对接源_02物料!$X1131="公司筐",N(对接源_02物料!$U1131)&lt;&gt;0)),1,0)</f>
        <v>0</v>
      </c>
      <c r="S2331">
        <f>N(S2330)+$R2331</f>
        <v>1</v>
      </c>
      <c r="T2331">
        <f>IF(AND($K2331=1,AND(对接源_02物料!$X1131="公司筐",N(对接源_02物料!$V1131)&lt;&gt;0)),1,0)</f>
        <v>0</v>
      </c>
      <c r="U2331">
        <f>N(U2330)+$T2331</f>
        <v>47</v>
      </c>
      <c r="V2331">
        <f>IF(AND($L2331=1,AND(对接源_02物料!$X1131="自备筐",N(对接源_02物料!$V1131)&lt;&gt;0)),1,0)</f>
        <v>0</v>
      </c>
      <c r="W2331">
        <f>N(W2330)+$V2331</f>
        <v>11</v>
      </c>
      <c r="X2331">
        <f>IF(AND($L2331=1,AND(对接源_02物料!$X1131="自备筐",N(对接源_02物料!$T1131)&lt;&gt;0)),1,0)</f>
        <v>0</v>
      </c>
      <c r="Y2331">
        <f>N(Y2330)+$X2331</f>
        <v>0</v>
      </c>
      <c r="Z2331">
        <f>IF(AND($M2331=1,对接源_02物料!$D1131="原料入库"),1,0)</f>
        <v>0</v>
      </c>
      <c r="AA2331">
        <f>N(AA2330)+$Z2331</f>
        <v>24</v>
      </c>
      <c r="AB2331">
        <f>IF(AND($M2331=1,LEFT(对接源_02物料!$D1131,4)="原料出库"),1,0)</f>
        <v>0</v>
      </c>
      <c r="AC2331">
        <f>N(AC2330)+$AB2331</f>
        <v>0</v>
      </c>
      <c r="AD2331">
        <f>IF(AND($M2331=1,LEFT(对接源_02物料!$D1131,4)="成品出库"),1,0)</f>
        <v>0</v>
      </c>
      <c r="AE2331">
        <f>N(AE2330)+$AD2331</f>
        <v>0</v>
      </c>
      <c r="AF2331">
        <f>IF(AND($N2331=1,AND(LEFT(对接源_02物料!$D1131,4)="包装物料",N(对接源_02物料!$K1131)&lt;&gt;0)),1,0)</f>
        <v>0</v>
      </c>
      <c r="AG2331">
        <f>N(AG2330)+$AF2331</f>
        <v>10</v>
      </c>
      <c r="AH2331">
        <f>IF(AND($N2331=1,AND(对接源_02物料!$D1131="周转筐－销售出库",N(对接源_02物料!$K1131)&lt;&gt;0)),1,0)</f>
        <v>0</v>
      </c>
      <c r="AI2331">
        <f>N(AI2330)+$AH2331</f>
        <v>0</v>
      </c>
      <c r="AL2331" t="n">
        <v>0</v>
      </c>
      <c r="AM2331">
        <f>N(AM2330)+$AL2331</f>
        <v>2</v>
      </c>
      <c r="AN2331">
        <f>""</f>
      </c>
      <c r="AO2331" t="n">
        <v>0</v>
      </c>
      <c r="AP2331">
        <f>N(AP2330)+$AO2331</f>
        <v>13</v>
      </c>
      <c r="AR2331">
        <f>IF(OR($AF2331=1,$AH2331=1),1,0)</f>
        <v>0</v>
      </c>
      <c r="AS2331">
        <f>N(AS2330)+$AR2331</f>
        <v>10</v>
      </c>
    </row>
    <row r="2332" s="127">
      <c r="A2332">
        <f>IF(对接源_02物料!$C1132="","",对接源_02物料!$C1132)</f>
      </c>
      <c r="B2332">
        <f>IF(A2332="",0,IF(MATCH(A2332,$A$4:$A$2403,0)=ROW()-3,1,0))</f>
        <v>0</v>
      </c>
      <c r="C2332">
        <f>N(C2331)+B2332</f>
        <v>26</v>
      </c>
      <c r="K2332">
        <f>IF(OR($K$1="",对接源_02物料!$C1132="",对接源_02物料!$C1132&lt;&gt;$K$1,对接源_02物料!$B1132=""),0,IF(OR(N(对接源_02物料!$B1132)&lt;$K$2,N(对接源_02物料!$B1132)&gt;$K$3),0,1))</f>
        <v>0</v>
      </c>
      <c r="L2332">
        <f>IF(OR($L$1="",对接源_02物料!$C1132="",对接源_02物料!$C1132&lt;&gt;$L$1,对接源_02物料!$B1132=""),0,IF(OR(N(对接源_02物料!$B1132)&lt;$L$2,N(对接源_02物料!$B1132)&gt;$L$3),0,1))</f>
        <v>0</v>
      </c>
      <c r="M2332">
        <f>IF(OR($M$1="",对接源_02物料!$C1132="",对接源_02物料!$C1132&lt;&gt;$M$1,对接源_02物料!$B1132=""),0,IF(OR(N(对接源_02物料!$B1132)&lt;$M$2,N(对接源_02物料!$B1132)&gt;$M$3),0,1))</f>
        <v>0</v>
      </c>
      <c r="N2332">
        <f>IF(OR($N$1="",对接源_02物料!$C1132="",对接源_02物料!$C1132&lt;&gt;$N$1,对接源_02物料!$B1132=""),0,IF(OR(N(对接源_02物料!$B1132)&lt;$N$2,N(对接源_02物料!$B1132)&gt;$N$3),0,1))</f>
        <v>0</v>
      </c>
      <c r="P2332">
        <f>IF(AND($K2332=1,AND(对接源_02物料!$X1132="公司筐",N(对接源_02物料!$T1132)&lt;&gt;0)),1,0)</f>
        <v>0</v>
      </c>
      <c r="Q2332">
        <f>N(Q2331)+$P2332</f>
        <v>14</v>
      </c>
      <c r="R2332">
        <f>IF(AND($K2332=1,AND(对接源_02物料!$X1132="公司筐",N(对接源_02物料!$U1132)&lt;&gt;0)),1,0)</f>
        <v>0</v>
      </c>
      <c r="S2332">
        <f>N(S2331)+$R2332</f>
        <v>1</v>
      </c>
      <c r="T2332">
        <f>IF(AND($K2332=1,AND(对接源_02物料!$X1132="公司筐",N(对接源_02物料!$V1132)&lt;&gt;0)),1,0)</f>
        <v>0</v>
      </c>
      <c r="U2332">
        <f>N(U2331)+$T2332</f>
        <v>47</v>
      </c>
      <c r="V2332">
        <f>IF(AND($L2332=1,AND(对接源_02物料!$X1132="自备筐",N(对接源_02物料!$V1132)&lt;&gt;0)),1,0)</f>
        <v>0</v>
      </c>
      <c r="W2332">
        <f>N(W2331)+$V2332</f>
        <v>11</v>
      </c>
      <c r="X2332">
        <f>IF(AND($L2332=1,AND(对接源_02物料!$X1132="自备筐",N(对接源_02物料!$T1132)&lt;&gt;0)),1,0)</f>
        <v>0</v>
      </c>
      <c r="Y2332">
        <f>N(Y2331)+$X2332</f>
        <v>0</v>
      </c>
      <c r="Z2332">
        <f>IF(AND($M2332=1,对接源_02物料!$D1132="原料入库"),1,0)</f>
        <v>0</v>
      </c>
      <c r="AA2332">
        <f>N(AA2331)+$Z2332</f>
        <v>24</v>
      </c>
      <c r="AB2332">
        <f>IF(AND($M2332=1,LEFT(对接源_02物料!$D1132,4)="原料出库"),1,0)</f>
        <v>0</v>
      </c>
      <c r="AC2332">
        <f>N(AC2331)+$AB2332</f>
        <v>0</v>
      </c>
      <c r="AD2332">
        <f>IF(AND($M2332=1,LEFT(对接源_02物料!$D1132,4)="成品出库"),1,0)</f>
        <v>0</v>
      </c>
      <c r="AE2332">
        <f>N(AE2331)+$AD2332</f>
        <v>0</v>
      </c>
      <c r="AF2332">
        <f>IF(AND($N2332=1,AND(LEFT(对接源_02物料!$D1132,4)="包装物料",N(对接源_02物料!$K1132)&lt;&gt;0)),1,0)</f>
        <v>0</v>
      </c>
      <c r="AG2332">
        <f>N(AG2331)+$AF2332</f>
        <v>10</v>
      </c>
      <c r="AH2332">
        <f>IF(AND($N2332=1,AND(对接源_02物料!$D1132="周转筐－销售出库",N(对接源_02物料!$K1132)&lt;&gt;0)),1,0)</f>
        <v>0</v>
      </c>
      <c r="AI2332">
        <f>N(AI2331)+$AH2332</f>
        <v>0</v>
      </c>
      <c r="AL2332" t="n">
        <v>0</v>
      </c>
      <c r="AM2332">
        <f>N(AM2331)+$AL2332</f>
        <v>2</v>
      </c>
      <c r="AN2332">
        <f>""</f>
      </c>
      <c r="AO2332" t="n">
        <v>0</v>
      </c>
      <c r="AP2332">
        <f>N(AP2331)+$AO2332</f>
        <v>13</v>
      </c>
      <c r="AR2332">
        <f>IF(OR($AF2332=1,$AH2332=1),1,0)</f>
        <v>0</v>
      </c>
      <c r="AS2332">
        <f>N(AS2331)+$AR2332</f>
        <v>10</v>
      </c>
    </row>
    <row r="2333" s="127">
      <c r="A2333">
        <f>IF(对接源_02物料!$C1133="","",对接源_02物料!$C1133)</f>
      </c>
      <c r="B2333">
        <f>IF(A2333="",0,IF(MATCH(A2333,$A$4:$A$2403,0)=ROW()-3,1,0))</f>
        <v>0</v>
      </c>
      <c r="C2333">
        <f>N(C2332)+B2333</f>
        <v>26</v>
      </c>
      <c r="K2333">
        <f>IF(OR($K$1="",对接源_02物料!$C1133="",对接源_02物料!$C1133&lt;&gt;$K$1,对接源_02物料!$B1133=""),0,IF(OR(N(对接源_02物料!$B1133)&lt;$K$2,N(对接源_02物料!$B1133)&gt;$K$3),0,1))</f>
        <v>0</v>
      </c>
      <c r="L2333">
        <f>IF(OR($L$1="",对接源_02物料!$C1133="",对接源_02物料!$C1133&lt;&gt;$L$1,对接源_02物料!$B1133=""),0,IF(OR(N(对接源_02物料!$B1133)&lt;$L$2,N(对接源_02物料!$B1133)&gt;$L$3),0,1))</f>
        <v>0</v>
      </c>
      <c r="M2333">
        <f>IF(OR($M$1="",对接源_02物料!$C1133="",对接源_02物料!$C1133&lt;&gt;$M$1,对接源_02物料!$B1133=""),0,IF(OR(N(对接源_02物料!$B1133)&lt;$M$2,N(对接源_02物料!$B1133)&gt;$M$3),0,1))</f>
        <v>0</v>
      </c>
      <c r="N2333">
        <f>IF(OR($N$1="",对接源_02物料!$C1133="",对接源_02物料!$C1133&lt;&gt;$N$1,对接源_02物料!$B1133=""),0,IF(OR(N(对接源_02物料!$B1133)&lt;$N$2,N(对接源_02物料!$B1133)&gt;$N$3),0,1))</f>
        <v>0</v>
      </c>
      <c r="P2333">
        <f>IF(AND($K2333=1,AND(对接源_02物料!$X1133="公司筐",N(对接源_02物料!$T1133)&lt;&gt;0)),1,0)</f>
        <v>0</v>
      </c>
      <c r="Q2333">
        <f>N(Q2332)+$P2333</f>
        <v>14</v>
      </c>
      <c r="R2333">
        <f>IF(AND($K2333=1,AND(对接源_02物料!$X1133="公司筐",N(对接源_02物料!$U1133)&lt;&gt;0)),1,0)</f>
        <v>0</v>
      </c>
      <c r="S2333">
        <f>N(S2332)+$R2333</f>
        <v>1</v>
      </c>
      <c r="T2333">
        <f>IF(AND($K2333=1,AND(对接源_02物料!$X1133="公司筐",N(对接源_02物料!$V1133)&lt;&gt;0)),1,0)</f>
        <v>0</v>
      </c>
      <c r="U2333">
        <f>N(U2332)+$T2333</f>
        <v>47</v>
      </c>
      <c r="V2333">
        <f>IF(AND($L2333=1,AND(对接源_02物料!$X1133="自备筐",N(对接源_02物料!$V1133)&lt;&gt;0)),1,0)</f>
        <v>0</v>
      </c>
      <c r="W2333">
        <f>N(W2332)+$V2333</f>
        <v>11</v>
      </c>
      <c r="X2333">
        <f>IF(AND($L2333=1,AND(对接源_02物料!$X1133="自备筐",N(对接源_02物料!$T1133)&lt;&gt;0)),1,0)</f>
        <v>0</v>
      </c>
      <c r="Y2333">
        <f>N(Y2332)+$X2333</f>
        <v>0</v>
      </c>
      <c r="Z2333">
        <f>IF(AND($M2333=1,对接源_02物料!$D1133="原料入库"),1,0)</f>
        <v>0</v>
      </c>
      <c r="AA2333">
        <f>N(AA2332)+$Z2333</f>
        <v>24</v>
      </c>
      <c r="AB2333">
        <f>IF(AND($M2333=1,LEFT(对接源_02物料!$D1133,4)="原料出库"),1,0)</f>
        <v>0</v>
      </c>
      <c r="AC2333">
        <f>N(AC2332)+$AB2333</f>
        <v>0</v>
      </c>
      <c r="AD2333">
        <f>IF(AND($M2333=1,LEFT(对接源_02物料!$D1133,4)="成品出库"),1,0)</f>
        <v>0</v>
      </c>
      <c r="AE2333">
        <f>N(AE2332)+$AD2333</f>
        <v>0</v>
      </c>
      <c r="AF2333">
        <f>IF(AND($N2333=1,AND(LEFT(对接源_02物料!$D1133,4)="包装物料",N(对接源_02物料!$K1133)&lt;&gt;0)),1,0)</f>
        <v>0</v>
      </c>
      <c r="AG2333">
        <f>N(AG2332)+$AF2333</f>
        <v>10</v>
      </c>
      <c r="AH2333">
        <f>IF(AND($N2333=1,AND(对接源_02物料!$D1133="周转筐－销售出库",N(对接源_02物料!$K1133)&lt;&gt;0)),1,0)</f>
        <v>0</v>
      </c>
      <c r="AI2333">
        <f>N(AI2332)+$AH2333</f>
        <v>0</v>
      </c>
      <c r="AL2333" t="n">
        <v>0</v>
      </c>
      <c r="AM2333">
        <f>N(AM2332)+$AL2333</f>
        <v>2</v>
      </c>
      <c r="AN2333">
        <f>""</f>
      </c>
      <c r="AO2333" t="n">
        <v>0</v>
      </c>
      <c r="AP2333">
        <f>N(AP2332)+$AO2333</f>
        <v>13</v>
      </c>
      <c r="AR2333">
        <f>IF(OR($AF2333=1,$AH2333=1),1,0)</f>
        <v>0</v>
      </c>
      <c r="AS2333">
        <f>N(AS2332)+$AR2333</f>
        <v>10</v>
      </c>
    </row>
    <row r="2334" s="127">
      <c r="A2334">
        <f>IF(对接源_02物料!$C1134="","",对接源_02物料!$C1134)</f>
      </c>
      <c r="B2334">
        <f>IF(A2334="",0,IF(MATCH(A2334,$A$4:$A$2403,0)=ROW()-3,1,0))</f>
        <v>0</v>
      </c>
      <c r="C2334">
        <f>N(C2333)+B2334</f>
        <v>26</v>
      </c>
      <c r="K2334">
        <f>IF(OR($K$1="",对接源_02物料!$C1134="",对接源_02物料!$C1134&lt;&gt;$K$1,对接源_02物料!$B1134=""),0,IF(OR(N(对接源_02物料!$B1134)&lt;$K$2,N(对接源_02物料!$B1134)&gt;$K$3),0,1))</f>
        <v>0</v>
      </c>
      <c r="L2334">
        <f>IF(OR($L$1="",对接源_02物料!$C1134="",对接源_02物料!$C1134&lt;&gt;$L$1,对接源_02物料!$B1134=""),0,IF(OR(N(对接源_02物料!$B1134)&lt;$L$2,N(对接源_02物料!$B1134)&gt;$L$3),0,1))</f>
        <v>0</v>
      </c>
      <c r="M2334">
        <f>IF(OR($M$1="",对接源_02物料!$C1134="",对接源_02物料!$C1134&lt;&gt;$M$1,对接源_02物料!$B1134=""),0,IF(OR(N(对接源_02物料!$B1134)&lt;$M$2,N(对接源_02物料!$B1134)&gt;$M$3),0,1))</f>
        <v>0</v>
      </c>
      <c r="N2334">
        <f>IF(OR($N$1="",对接源_02物料!$C1134="",对接源_02物料!$C1134&lt;&gt;$N$1,对接源_02物料!$B1134=""),0,IF(OR(N(对接源_02物料!$B1134)&lt;$N$2,N(对接源_02物料!$B1134)&gt;$N$3),0,1))</f>
        <v>0</v>
      </c>
      <c r="P2334">
        <f>IF(AND($K2334=1,AND(对接源_02物料!$X1134="公司筐",N(对接源_02物料!$T1134)&lt;&gt;0)),1,0)</f>
        <v>0</v>
      </c>
      <c r="Q2334">
        <f>N(Q2333)+$P2334</f>
        <v>14</v>
      </c>
      <c r="R2334">
        <f>IF(AND($K2334=1,AND(对接源_02物料!$X1134="公司筐",N(对接源_02物料!$U1134)&lt;&gt;0)),1,0)</f>
        <v>0</v>
      </c>
      <c r="S2334">
        <f>N(S2333)+$R2334</f>
        <v>1</v>
      </c>
      <c r="T2334">
        <f>IF(AND($K2334=1,AND(对接源_02物料!$X1134="公司筐",N(对接源_02物料!$V1134)&lt;&gt;0)),1,0)</f>
        <v>0</v>
      </c>
      <c r="U2334">
        <f>N(U2333)+$T2334</f>
        <v>47</v>
      </c>
      <c r="V2334">
        <f>IF(AND($L2334=1,AND(对接源_02物料!$X1134="自备筐",N(对接源_02物料!$V1134)&lt;&gt;0)),1,0)</f>
        <v>0</v>
      </c>
      <c r="W2334">
        <f>N(W2333)+$V2334</f>
        <v>11</v>
      </c>
      <c r="X2334">
        <f>IF(AND($L2334=1,AND(对接源_02物料!$X1134="自备筐",N(对接源_02物料!$T1134)&lt;&gt;0)),1,0)</f>
        <v>0</v>
      </c>
      <c r="Y2334">
        <f>N(Y2333)+$X2334</f>
        <v>0</v>
      </c>
      <c r="Z2334">
        <f>IF(AND($M2334=1,对接源_02物料!$D1134="原料入库"),1,0)</f>
        <v>0</v>
      </c>
      <c r="AA2334">
        <f>N(AA2333)+$Z2334</f>
        <v>24</v>
      </c>
      <c r="AB2334">
        <f>IF(AND($M2334=1,LEFT(对接源_02物料!$D1134,4)="原料出库"),1,0)</f>
        <v>0</v>
      </c>
      <c r="AC2334">
        <f>N(AC2333)+$AB2334</f>
        <v>0</v>
      </c>
      <c r="AD2334">
        <f>IF(AND($M2334=1,LEFT(对接源_02物料!$D1134,4)="成品出库"),1,0)</f>
        <v>0</v>
      </c>
      <c r="AE2334">
        <f>N(AE2333)+$AD2334</f>
        <v>0</v>
      </c>
      <c r="AF2334">
        <f>IF(AND($N2334=1,AND(LEFT(对接源_02物料!$D1134,4)="包装物料",N(对接源_02物料!$K1134)&lt;&gt;0)),1,0)</f>
        <v>0</v>
      </c>
      <c r="AG2334">
        <f>N(AG2333)+$AF2334</f>
        <v>10</v>
      </c>
      <c r="AH2334">
        <f>IF(AND($N2334=1,AND(对接源_02物料!$D1134="周转筐－销售出库",N(对接源_02物料!$K1134)&lt;&gt;0)),1,0)</f>
        <v>0</v>
      </c>
      <c r="AI2334">
        <f>N(AI2333)+$AH2334</f>
        <v>0</v>
      </c>
      <c r="AL2334" t="n">
        <v>0</v>
      </c>
      <c r="AM2334">
        <f>N(AM2333)+$AL2334</f>
        <v>2</v>
      </c>
      <c r="AN2334">
        <f>""</f>
      </c>
      <c r="AO2334" t="n">
        <v>0</v>
      </c>
      <c r="AP2334">
        <f>N(AP2333)+$AO2334</f>
        <v>13</v>
      </c>
      <c r="AR2334">
        <f>IF(OR($AF2334=1,$AH2334=1),1,0)</f>
        <v>0</v>
      </c>
      <c r="AS2334">
        <f>N(AS2333)+$AR2334</f>
        <v>10</v>
      </c>
    </row>
    <row r="2335" s="127">
      <c r="A2335">
        <f>IF(对接源_02物料!$C1135="","",对接源_02物料!$C1135)</f>
      </c>
      <c r="B2335">
        <f>IF(A2335="",0,IF(MATCH(A2335,$A$4:$A$2403,0)=ROW()-3,1,0))</f>
        <v>0</v>
      </c>
      <c r="C2335">
        <f>N(C2334)+B2335</f>
        <v>26</v>
      </c>
      <c r="K2335">
        <f>IF(OR($K$1="",对接源_02物料!$C1135="",对接源_02物料!$C1135&lt;&gt;$K$1,对接源_02物料!$B1135=""),0,IF(OR(N(对接源_02物料!$B1135)&lt;$K$2,N(对接源_02物料!$B1135)&gt;$K$3),0,1))</f>
        <v>0</v>
      </c>
      <c r="L2335">
        <f>IF(OR($L$1="",对接源_02物料!$C1135="",对接源_02物料!$C1135&lt;&gt;$L$1,对接源_02物料!$B1135=""),0,IF(OR(N(对接源_02物料!$B1135)&lt;$L$2,N(对接源_02物料!$B1135)&gt;$L$3),0,1))</f>
        <v>0</v>
      </c>
      <c r="M2335">
        <f>IF(OR($M$1="",对接源_02物料!$C1135="",对接源_02物料!$C1135&lt;&gt;$M$1,对接源_02物料!$B1135=""),0,IF(OR(N(对接源_02物料!$B1135)&lt;$M$2,N(对接源_02物料!$B1135)&gt;$M$3),0,1))</f>
        <v>0</v>
      </c>
      <c r="N2335">
        <f>IF(OR($N$1="",对接源_02物料!$C1135="",对接源_02物料!$C1135&lt;&gt;$N$1,对接源_02物料!$B1135=""),0,IF(OR(N(对接源_02物料!$B1135)&lt;$N$2,N(对接源_02物料!$B1135)&gt;$N$3),0,1))</f>
        <v>0</v>
      </c>
      <c r="P2335">
        <f>IF(AND($K2335=1,AND(对接源_02物料!$X1135="公司筐",N(对接源_02物料!$T1135)&lt;&gt;0)),1,0)</f>
        <v>0</v>
      </c>
      <c r="Q2335">
        <f>N(Q2334)+$P2335</f>
        <v>14</v>
      </c>
      <c r="R2335">
        <f>IF(AND($K2335=1,AND(对接源_02物料!$X1135="公司筐",N(对接源_02物料!$U1135)&lt;&gt;0)),1,0)</f>
        <v>0</v>
      </c>
      <c r="S2335">
        <f>N(S2334)+$R2335</f>
        <v>1</v>
      </c>
      <c r="T2335">
        <f>IF(AND($K2335=1,AND(对接源_02物料!$X1135="公司筐",N(对接源_02物料!$V1135)&lt;&gt;0)),1,0)</f>
        <v>0</v>
      </c>
      <c r="U2335">
        <f>N(U2334)+$T2335</f>
        <v>47</v>
      </c>
      <c r="V2335">
        <f>IF(AND($L2335=1,AND(对接源_02物料!$X1135="自备筐",N(对接源_02物料!$V1135)&lt;&gt;0)),1,0)</f>
        <v>0</v>
      </c>
      <c r="W2335">
        <f>N(W2334)+$V2335</f>
        <v>11</v>
      </c>
      <c r="X2335">
        <f>IF(AND($L2335=1,AND(对接源_02物料!$X1135="自备筐",N(对接源_02物料!$T1135)&lt;&gt;0)),1,0)</f>
        <v>0</v>
      </c>
      <c r="Y2335">
        <f>N(Y2334)+$X2335</f>
        <v>0</v>
      </c>
      <c r="Z2335">
        <f>IF(AND($M2335=1,对接源_02物料!$D1135="原料入库"),1,0)</f>
        <v>0</v>
      </c>
      <c r="AA2335">
        <f>N(AA2334)+$Z2335</f>
        <v>24</v>
      </c>
      <c r="AB2335">
        <f>IF(AND($M2335=1,LEFT(对接源_02物料!$D1135,4)="原料出库"),1,0)</f>
        <v>0</v>
      </c>
      <c r="AC2335">
        <f>N(AC2334)+$AB2335</f>
        <v>0</v>
      </c>
      <c r="AD2335">
        <f>IF(AND($M2335=1,LEFT(对接源_02物料!$D1135,4)="成品出库"),1,0)</f>
        <v>0</v>
      </c>
      <c r="AE2335">
        <f>N(AE2334)+$AD2335</f>
        <v>0</v>
      </c>
      <c r="AF2335">
        <f>IF(AND($N2335=1,AND(LEFT(对接源_02物料!$D1135,4)="包装物料",N(对接源_02物料!$K1135)&lt;&gt;0)),1,0)</f>
        <v>0</v>
      </c>
      <c r="AG2335">
        <f>N(AG2334)+$AF2335</f>
        <v>10</v>
      </c>
      <c r="AH2335">
        <f>IF(AND($N2335=1,AND(对接源_02物料!$D1135="周转筐－销售出库",N(对接源_02物料!$K1135)&lt;&gt;0)),1,0)</f>
        <v>0</v>
      </c>
      <c r="AI2335">
        <f>N(AI2334)+$AH2335</f>
        <v>0</v>
      </c>
      <c r="AL2335" t="n">
        <v>0</v>
      </c>
      <c r="AM2335">
        <f>N(AM2334)+$AL2335</f>
        <v>2</v>
      </c>
      <c r="AN2335">
        <f>""</f>
      </c>
      <c r="AO2335" t="n">
        <v>0</v>
      </c>
      <c r="AP2335">
        <f>N(AP2334)+$AO2335</f>
        <v>13</v>
      </c>
      <c r="AR2335">
        <f>IF(OR($AF2335=1,$AH2335=1),1,0)</f>
        <v>0</v>
      </c>
      <c r="AS2335">
        <f>N(AS2334)+$AR2335</f>
        <v>10</v>
      </c>
    </row>
    <row r="2336" s="127">
      <c r="A2336">
        <f>IF(对接源_02物料!$C1136="","",对接源_02物料!$C1136)</f>
      </c>
      <c r="B2336">
        <f>IF(A2336="",0,IF(MATCH(A2336,$A$4:$A$2403,0)=ROW()-3,1,0))</f>
        <v>0</v>
      </c>
      <c r="C2336">
        <f>N(C2335)+B2336</f>
        <v>26</v>
      </c>
      <c r="K2336">
        <f>IF(OR($K$1="",对接源_02物料!$C1136="",对接源_02物料!$C1136&lt;&gt;$K$1,对接源_02物料!$B1136=""),0,IF(OR(N(对接源_02物料!$B1136)&lt;$K$2,N(对接源_02物料!$B1136)&gt;$K$3),0,1))</f>
        <v>0</v>
      </c>
      <c r="L2336">
        <f>IF(OR($L$1="",对接源_02物料!$C1136="",对接源_02物料!$C1136&lt;&gt;$L$1,对接源_02物料!$B1136=""),0,IF(OR(N(对接源_02物料!$B1136)&lt;$L$2,N(对接源_02物料!$B1136)&gt;$L$3),0,1))</f>
        <v>0</v>
      </c>
      <c r="M2336">
        <f>IF(OR($M$1="",对接源_02物料!$C1136="",对接源_02物料!$C1136&lt;&gt;$M$1,对接源_02物料!$B1136=""),0,IF(OR(N(对接源_02物料!$B1136)&lt;$M$2,N(对接源_02物料!$B1136)&gt;$M$3),0,1))</f>
        <v>0</v>
      </c>
      <c r="N2336">
        <f>IF(OR($N$1="",对接源_02物料!$C1136="",对接源_02物料!$C1136&lt;&gt;$N$1,对接源_02物料!$B1136=""),0,IF(OR(N(对接源_02物料!$B1136)&lt;$N$2,N(对接源_02物料!$B1136)&gt;$N$3),0,1))</f>
        <v>0</v>
      </c>
      <c r="P2336">
        <f>IF(AND($K2336=1,AND(对接源_02物料!$X1136="公司筐",N(对接源_02物料!$T1136)&lt;&gt;0)),1,0)</f>
        <v>0</v>
      </c>
      <c r="Q2336">
        <f>N(Q2335)+$P2336</f>
        <v>14</v>
      </c>
      <c r="R2336">
        <f>IF(AND($K2336=1,AND(对接源_02物料!$X1136="公司筐",N(对接源_02物料!$U1136)&lt;&gt;0)),1,0)</f>
        <v>0</v>
      </c>
      <c r="S2336">
        <f>N(S2335)+$R2336</f>
        <v>1</v>
      </c>
      <c r="T2336">
        <f>IF(AND($K2336=1,AND(对接源_02物料!$X1136="公司筐",N(对接源_02物料!$V1136)&lt;&gt;0)),1,0)</f>
        <v>0</v>
      </c>
      <c r="U2336">
        <f>N(U2335)+$T2336</f>
        <v>47</v>
      </c>
      <c r="V2336">
        <f>IF(AND($L2336=1,AND(对接源_02物料!$X1136="自备筐",N(对接源_02物料!$V1136)&lt;&gt;0)),1,0)</f>
        <v>0</v>
      </c>
      <c r="W2336">
        <f>N(W2335)+$V2336</f>
        <v>11</v>
      </c>
      <c r="X2336">
        <f>IF(AND($L2336=1,AND(对接源_02物料!$X1136="自备筐",N(对接源_02物料!$T1136)&lt;&gt;0)),1,0)</f>
        <v>0</v>
      </c>
      <c r="Y2336">
        <f>N(Y2335)+$X2336</f>
        <v>0</v>
      </c>
      <c r="Z2336">
        <f>IF(AND($M2336=1,对接源_02物料!$D1136="原料入库"),1,0)</f>
        <v>0</v>
      </c>
      <c r="AA2336">
        <f>N(AA2335)+$Z2336</f>
        <v>24</v>
      </c>
      <c r="AB2336">
        <f>IF(AND($M2336=1,LEFT(对接源_02物料!$D1136,4)="原料出库"),1,0)</f>
        <v>0</v>
      </c>
      <c r="AC2336">
        <f>N(AC2335)+$AB2336</f>
        <v>0</v>
      </c>
      <c r="AD2336">
        <f>IF(AND($M2336=1,LEFT(对接源_02物料!$D1136,4)="成品出库"),1,0)</f>
        <v>0</v>
      </c>
      <c r="AE2336">
        <f>N(AE2335)+$AD2336</f>
        <v>0</v>
      </c>
      <c r="AF2336">
        <f>IF(AND($N2336=1,AND(LEFT(对接源_02物料!$D1136,4)="包装物料",N(对接源_02物料!$K1136)&lt;&gt;0)),1,0)</f>
        <v>0</v>
      </c>
      <c r="AG2336">
        <f>N(AG2335)+$AF2336</f>
        <v>10</v>
      </c>
      <c r="AH2336">
        <f>IF(AND($N2336=1,AND(对接源_02物料!$D1136="周转筐－销售出库",N(对接源_02物料!$K1136)&lt;&gt;0)),1,0)</f>
        <v>0</v>
      </c>
      <c r="AI2336">
        <f>N(AI2335)+$AH2336</f>
        <v>0</v>
      </c>
      <c r="AL2336" t="n">
        <v>0</v>
      </c>
      <c r="AM2336">
        <f>N(AM2335)+$AL2336</f>
        <v>2</v>
      </c>
      <c r="AN2336">
        <f>""</f>
      </c>
      <c r="AO2336" t="n">
        <v>0</v>
      </c>
      <c r="AP2336">
        <f>N(AP2335)+$AO2336</f>
        <v>13</v>
      </c>
      <c r="AR2336">
        <f>IF(OR($AF2336=1,$AH2336=1),1,0)</f>
        <v>0</v>
      </c>
      <c r="AS2336">
        <f>N(AS2335)+$AR2336</f>
        <v>10</v>
      </c>
    </row>
    <row r="2337" s="127">
      <c r="A2337">
        <f>IF(对接源_02物料!$C1137="","",对接源_02物料!$C1137)</f>
      </c>
      <c r="B2337">
        <f>IF(A2337="",0,IF(MATCH(A2337,$A$4:$A$2403,0)=ROW()-3,1,0))</f>
        <v>0</v>
      </c>
      <c r="C2337">
        <f>N(C2336)+B2337</f>
        <v>26</v>
      </c>
      <c r="K2337">
        <f>IF(OR($K$1="",对接源_02物料!$C1137="",对接源_02物料!$C1137&lt;&gt;$K$1,对接源_02物料!$B1137=""),0,IF(OR(N(对接源_02物料!$B1137)&lt;$K$2,N(对接源_02物料!$B1137)&gt;$K$3),0,1))</f>
        <v>0</v>
      </c>
      <c r="L2337">
        <f>IF(OR($L$1="",对接源_02物料!$C1137="",对接源_02物料!$C1137&lt;&gt;$L$1,对接源_02物料!$B1137=""),0,IF(OR(N(对接源_02物料!$B1137)&lt;$L$2,N(对接源_02物料!$B1137)&gt;$L$3),0,1))</f>
        <v>0</v>
      </c>
      <c r="M2337">
        <f>IF(OR($M$1="",对接源_02物料!$C1137="",对接源_02物料!$C1137&lt;&gt;$M$1,对接源_02物料!$B1137=""),0,IF(OR(N(对接源_02物料!$B1137)&lt;$M$2,N(对接源_02物料!$B1137)&gt;$M$3),0,1))</f>
        <v>0</v>
      </c>
      <c r="N2337">
        <f>IF(OR($N$1="",对接源_02物料!$C1137="",对接源_02物料!$C1137&lt;&gt;$N$1,对接源_02物料!$B1137=""),0,IF(OR(N(对接源_02物料!$B1137)&lt;$N$2,N(对接源_02物料!$B1137)&gt;$N$3),0,1))</f>
        <v>0</v>
      </c>
      <c r="P2337">
        <f>IF(AND($K2337=1,AND(对接源_02物料!$X1137="公司筐",N(对接源_02物料!$T1137)&lt;&gt;0)),1,0)</f>
        <v>0</v>
      </c>
      <c r="Q2337">
        <f>N(Q2336)+$P2337</f>
        <v>14</v>
      </c>
      <c r="R2337">
        <f>IF(AND($K2337=1,AND(对接源_02物料!$X1137="公司筐",N(对接源_02物料!$U1137)&lt;&gt;0)),1,0)</f>
        <v>0</v>
      </c>
      <c r="S2337">
        <f>N(S2336)+$R2337</f>
        <v>1</v>
      </c>
      <c r="T2337">
        <f>IF(AND($K2337=1,AND(对接源_02物料!$X1137="公司筐",N(对接源_02物料!$V1137)&lt;&gt;0)),1,0)</f>
        <v>0</v>
      </c>
      <c r="U2337">
        <f>N(U2336)+$T2337</f>
        <v>47</v>
      </c>
      <c r="V2337">
        <f>IF(AND($L2337=1,AND(对接源_02物料!$X1137="自备筐",N(对接源_02物料!$V1137)&lt;&gt;0)),1,0)</f>
        <v>0</v>
      </c>
      <c r="W2337">
        <f>N(W2336)+$V2337</f>
        <v>11</v>
      </c>
      <c r="X2337">
        <f>IF(AND($L2337=1,AND(对接源_02物料!$X1137="自备筐",N(对接源_02物料!$T1137)&lt;&gt;0)),1,0)</f>
        <v>0</v>
      </c>
      <c r="Y2337">
        <f>N(Y2336)+$X2337</f>
        <v>0</v>
      </c>
      <c r="Z2337">
        <f>IF(AND($M2337=1,对接源_02物料!$D1137="原料入库"),1,0)</f>
        <v>0</v>
      </c>
      <c r="AA2337">
        <f>N(AA2336)+$Z2337</f>
        <v>24</v>
      </c>
      <c r="AB2337">
        <f>IF(AND($M2337=1,LEFT(对接源_02物料!$D1137,4)="原料出库"),1,0)</f>
        <v>0</v>
      </c>
      <c r="AC2337">
        <f>N(AC2336)+$AB2337</f>
        <v>0</v>
      </c>
      <c r="AD2337">
        <f>IF(AND($M2337=1,LEFT(对接源_02物料!$D1137,4)="成品出库"),1,0)</f>
        <v>0</v>
      </c>
      <c r="AE2337">
        <f>N(AE2336)+$AD2337</f>
        <v>0</v>
      </c>
      <c r="AF2337">
        <f>IF(AND($N2337=1,AND(LEFT(对接源_02物料!$D1137,4)="包装物料",N(对接源_02物料!$K1137)&lt;&gt;0)),1,0)</f>
        <v>0</v>
      </c>
      <c r="AG2337">
        <f>N(AG2336)+$AF2337</f>
        <v>10</v>
      </c>
      <c r="AH2337">
        <f>IF(AND($N2337=1,AND(对接源_02物料!$D1137="周转筐－销售出库",N(对接源_02物料!$K1137)&lt;&gt;0)),1,0)</f>
        <v>0</v>
      </c>
      <c r="AI2337">
        <f>N(AI2336)+$AH2337</f>
        <v>0</v>
      </c>
      <c r="AL2337" t="n">
        <v>0</v>
      </c>
      <c r="AM2337">
        <f>N(AM2336)+$AL2337</f>
        <v>2</v>
      </c>
      <c r="AN2337">
        <f>""</f>
      </c>
      <c r="AO2337" t="n">
        <v>0</v>
      </c>
      <c r="AP2337">
        <f>N(AP2336)+$AO2337</f>
        <v>13</v>
      </c>
      <c r="AR2337">
        <f>IF(OR($AF2337=1,$AH2337=1),1,0)</f>
        <v>0</v>
      </c>
      <c r="AS2337">
        <f>N(AS2336)+$AR2337</f>
        <v>10</v>
      </c>
    </row>
    <row r="2338" s="127">
      <c r="A2338">
        <f>IF(对接源_02物料!$C1138="","",对接源_02物料!$C1138)</f>
      </c>
      <c r="B2338">
        <f>IF(A2338="",0,IF(MATCH(A2338,$A$4:$A$2403,0)=ROW()-3,1,0))</f>
        <v>0</v>
      </c>
      <c r="C2338">
        <f>N(C2337)+B2338</f>
        <v>26</v>
      </c>
      <c r="K2338">
        <f>IF(OR($K$1="",对接源_02物料!$C1138="",对接源_02物料!$C1138&lt;&gt;$K$1,对接源_02物料!$B1138=""),0,IF(OR(N(对接源_02物料!$B1138)&lt;$K$2,N(对接源_02物料!$B1138)&gt;$K$3),0,1))</f>
        <v>0</v>
      </c>
      <c r="L2338">
        <f>IF(OR($L$1="",对接源_02物料!$C1138="",对接源_02物料!$C1138&lt;&gt;$L$1,对接源_02物料!$B1138=""),0,IF(OR(N(对接源_02物料!$B1138)&lt;$L$2,N(对接源_02物料!$B1138)&gt;$L$3),0,1))</f>
        <v>0</v>
      </c>
      <c r="M2338">
        <f>IF(OR($M$1="",对接源_02物料!$C1138="",对接源_02物料!$C1138&lt;&gt;$M$1,对接源_02物料!$B1138=""),0,IF(OR(N(对接源_02物料!$B1138)&lt;$M$2,N(对接源_02物料!$B1138)&gt;$M$3),0,1))</f>
        <v>0</v>
      </c>
      <c r="N2338">
        <f>IF(OR($N$1="",对接源_02物料!$C1138="",对接源_02物料!$C1138&lt;&gt;$N$1,对接源_02物料!$B1138=""),0,IF(OR(N(对接源_02物料!$B1138)&lt;$N$2,N(对接源_02物料!$B1138)&gt;$N$3),0,1))</f>
        <v>0</v>
      </c>
      <c r="P2338">
        <f>IF(AND($K2338=1,AND(对接源_02物料!$X1138="公司筐",N(对接源_02物料!$T1138)&lt;&gt;0)),1,0)</f>
        <v>0</v>
      </c>
      <c r="Q2338">
        <f>N(Q2337)+$P2338</f>
        <v>14</v>
      </c>
      <c r="R2338">
        <f>IF(AND($K2338=1,AND(对接源_02物料!$X1138="公司筐",N(对接源_02物料!$U1138)&lt;&gt;0)),1,0)</f>
        <v>0</v>
      </c>
      <c r="S2338">
        <f>N(S2337)+$R2338</f>
        <v>1</v>
      </c>
      <c r="T2338">
        <f>IF(AND($K2338=1,AND(对接源_02物料!$X1138="公司筐",N(对接源_02物料!$V1138)&lt;&gt;0)),1,0)</f>
        <v>0</v>
      </c>
      <c r="U2338">
        <f>N(U2337)+$T2338</f>
        <v>47</v>
      </c>
      <c r="V2338">
        <f>IF(AND($L2338=1,AND(对接源_02物料!$X1138="自备筐",N(对接源_02物料!$V1138)&lt;&gt;0)),1,0)</f>
        <v>0</v>
      </c>
      <c r="W2338">
        <f>N(W2337)+$V2338</f>
        <v>11</v>
      </c>
      <c r="X2338">
        <f>IF(AND($L2338=1,AND(对接源_02物料!$X1138="自备筐",N(对接源_02物料!$T1138)&lt;&gt;0)),1,0)</f>
        <v>0</v>
      </c>
      <c r="Y2338">
        <f>N(Y2337)+$X2338</f>
        <v>0</v>
      </c>
      <c r="Z2338">
        <f>IF(AND($M2338=1,对接源_02物料!$D1138="原料入库"),1,0)</f>
        <v>0</v>
      </c>
      <c r="AA2338">
        <f>N(AA2337)+$Z2338</f>
        <v>24</v>
      </c>
      <c r="AB2338">
        <f>IF(AND($M2338=1,LEFT(对接源_02物料!$D1138,4)="原料出库"),1,0)</f>
        <v>0</v>
      </c>
      <c r="AC2338">
        <f>N(AC2337)+$AB2338</f>
        <v>0</v>
      </c>
      <c r="AD2338">
        <f>IF(AND($M2338=1,LEFT(对接源_02物料!$D1138,4)="成品出库"),1,0)</f>
        <v>0</v>
      </c>
      <c r="AE2338">
        <f>N(AE2337)+$AD2338</f>
        <v>0</v>
      </c>
      <c r="AF2338">
        <f>IF(AND($N2338=1,AND(LEFT(对接源_02物料!$D1138,4)="包装物料",N(对接源_02物料!$K1138)&lt;&gt;0)),1,0)</f>
        <v>0</v>
      </c>
      <c r="AG2338">
        <f>N(AG2337)+$AF2338</f>
        <v>10</v>
      </c>
      <c r="AH2338">
        <f>IF(AND($N2338=1,AND(对接源_02物料!$D1138="周转筐－销售出库",N(对接源_02物料!$K1138)&lt;&gt;0)),1,0)</f>
        <v>0</v>
      </c>
      <c r="AI2338">
        <f>N(AI2337)+$AH2338</f>
        <v>0</v>
      </c>
      <c r="AL2338" t="n">
        <v>0</v>
      </c>
      <c r="AM2338">
        <f>N(AM2337)+$AL2338</f>
        <v>2</v>
      </c>
      <c r="AN2338">
        <f>""</f>
      </c>
      <c r="AO2338" t="n">
        <v>0</v>
      </c>
      <c r="AP2338">
        <f>N(AP2337)+$AO2338</f>
        <v>13</v>
      </c>
      <c r="AR2338">
        <f>IF(OR($AF2338=1,$AH2338=1),1,0)</f>
        <v>0</v>
      </c>
      <c r="AS2338">
        <f>N(AS2337)+$AR2338</f>
        <v>10</v>
      </c>
    </row>
    <row r="2339" s="127">
      <c r="A2339">
        <f>IF(对接源_02物料!$C1139="","",对接源_02物料!$C1139)</f>
      </c>
      <c r="B2339">
        <f>IF(A2339="",0,IF(MATCH(A2339,$A$4:$A$2403,0)=ROW()-3,1,0))</f>
        <v>0</v>
      </c>
      <c r="C2339">
        <f>N(C2338)+B2339</f>
        <v>26</v>
      </c>
      <c r="K2339">
        <f>IF(OR($K$1="",对接源_02物料!$C1139="",对接源_02物料!$C1139&lt;&gt;$K$1,对接源_02物料!$B1139=""),0,IF(OR(N(对接源_02物料!$B1139)&lt;$K$2,N(对接源_02物料!$B1139)&gt;$K$3),0,1))</f>
        <v>0</v>
      </c>
      <c r="L2339">
        <f>IF(OR($L$1="",对接源_02物料!$C1139="",对接源_02物料!$C1139&lt;&gt;$L$1,对接源_02物料!$B1139=""),0,IF(OR(N(对接源_02物料!$B1139)&lt;$L$2,N(对接源_02物料!$B1139)&gt;$L$3),0,1))</f>
        <v>0</v>
      </c>
      <c r="M2339">
        <f>IF(OR($M$1="",对接源_02物料!$C1139="",对接源_02物料!$C1139&lt;&gt;$M$1,对接源_02物料!$B1139=""),0,IF(OR(N(对接源_02物料!$B1139)&lt;$M$2,N(对接源_02物料!$B1139)&gt;$M$3),0,1))</f>
        <v>0</v>
      </c>
      <c r="N2339">
        <f>IF(OR($N$1="",对接源_02物料!$C1139="",对接源_02物料!$C1139&lt;&gt;$N$1,对接源_02物料!$B1139=""),0,IF(OR(N(对接源_02物料!$B1139)&lt;$N$2,N(对接源_02物料!$B1139)&gt;$N$3),0,1))</f>
        <v>0</v>
      </c>
      <c r="P2339">
        <f>IF(AND($K2339=1,AND(对接源_02物料!$X1139="公司筐",N(对接源_02物料!$T1139)&lt;&gt;0)),1,0)</f>
        <v>0</v>
      </c>
      <c r="Q2339">
        <f>N(Q2338)+$P2339</f>
        <v>14</v>
      </c>
      <c r="R2339">
        <f>IF(AND($K2339=1,AND(对接源_02物料!$X1139="公司筐",N(对接源_02物料!$U1139)&lt;&gt;0)),1,0)</f>
        <v>0</v>
      </c>
      <c r="S2339">
        <f>N(S2338)+$R2339</f>
        <v>1</v>
      </c>
      <c r="T2339">
        <f>IF(AND($K2339=1,AND(对接源_02物料!$X1139="公司筐",N(对接源_02物料!$V1139)&lt;&gt;0)),1,0)</f>
        <v>0</v>
      </c>
      <c r="U2339">
        <f>N(U2338)+$T2339</f>
        <v>47</v>
      </c>
      <c r="V2339">
        <f>IF(AND($L2339=1,AND(对接源_02物料!$X1139="自备筐",N(对接源_02物料!$V1139)&lt;&gt;0)),1,0)</f>
        <v>0</v>
      </c>
      <c r="W2339">
        <f>N(W2338)+$V2339</f>
        <v>11</v>
      </c>
      <c r="X2339">
        <f>IF(AND($L2339=1,AND(对接源_02物料!$X1139="自备筐",N(对接源_02物料!$T1139)&lt;&gt;0)),1,0)</f>
        <v>0</v>
      </c>
      <c r="Y2339">
        <f>N(Y2338)+$X2339</f>
        <v>0</v>
      </c>
      <c r="Z2339">
        <f>IF(AND($M2339=1,对接源_02物料!$D1139="原料入库"),1,0)</f>
        <v>0</v>
      </c>
      <c r="AA2339">
        <f>N(AA2338)+$Z2339</f>
        <v>24</v>
      </c>
      <c r="AB2339">
        <f>IF(AND($M2339=1,LEFT(对接源_02物料!$D1139,4)="原料出库"),1,0)</f>
        <v>0</v>
      </c>
      <c r="AC2339">
        <f>N(AC2338)+$AB2339</f>
        <v>0</v>
      </c>
      <c r="AD2339">
        <f>IF(AND($M2339=1,LEFT(对接源_02物料!$D1139,4)="成品出库"),1,0)</f>
        <v>0</v>
      </c>
      <c r="AE2339">
        <f>N(AE2338)+$AD2339</f>
        <v>0</v>
      </c>
      <c r="AF2339">
        <f>IF(AND($N2339=1,AND(LEFT(对接源_02物料!$D1139,4)="包装物料",N(对接源_02物料!$K1139)&lt;&gt;0)),1,0)</f>
        <v>0</v>
      </c>
      <c r="AG2339">
        <f>N(AG2338)+$AF2339</f>
        <v>10</v>
      </c>
      <c r="AH2339">
        <f>IF(AND($N2339=1,AND(对接源_02物料!$D1139="周转筐－销售出库",N(对接源_02物料!$K1139)&lt;&gt;0)),1,0)</f>
        <v>0</v>
      </c>
      <c r="AI2339">
        <f>N(AI2338)+$AH2339</f>
        <v>0</v>
      </c>
      <c r="AL2339" t="n">
        <v>0</v>
      </c>
      <c r="AM2339">
        <f>N(AM2338)+$AL2339</f>
        <v>2</v>
      </c>
      <c r="AN2339">
        <f>""</f>
      </c>
      <c r="AO2339" t="n">
        <v>0</v>
      </c>
      <c r="AP2339">
        <f>N(AP2338)+$AO2339</f>
        <v>13</v>
      </c>
      <c r="AR2339">
        <f>IF(OR($AF2339=1,$AH2339=1),1,0)</f>
        <v>0</v>
      </c>
      <c r="AS2339">
        <f>N(AS2338)+$AR2339</f>
        <v>10</v>
      </c>
    </row>
    <row r="2340" s="127">
      <c r="A2340">
        <f>IF(对接源_02物料!$C1140="","",对接源_02物料!$C1140)</f>
      </c>
      <c r="B2340">
        <f>IF(A2340="",0,IF(MATCH(A2340,$A$4:$A$2403,0)=ROW()-3,1,0))</f>
        <v>0</v>
      </c>
      <c r="C2340">
        <f>N(C2339)+B2340</f>
        <v>26</v>
      </c>
      <c r="K2340">
        <f>IF(OR($K$1="",对接源_02物料!$C1140="",对接源_02物料!$C1140&lt;&gt;$K$1,对接源_02物料!$B1140=""),0,IF(OR(N(对接源_02物料!$B1140)&lt;$K$2,N(对接源_02物料!$B1140)&gt;$K$3),0,1))</f>
        <v>0</v>
      </c>
      <c r="L2340">
        <f>IF(OR($L$1="",对接源_02物料!$C1140="",对接源_02物料!$C1140&lt;&gt;$L$1,对接源_02物料!$B1140=""),0,IF(OR(N(对接源_02物料!$B1140)&lt;$L$2,N(对接源_02物料!$B1140)&gt;$L$3),0,1))</f>
        <v>0</v>
      </c>
      <c r="M2340">
        <f>IF(OR($M$1="",对接源_02物料!$C1140="",对接源_02物料!$C1140&lt;&gt;$M$1,对接源_02物料!$B1140=""),0,IF(OR(N(对接源_02物料!$B1140)&lt;$M$2,N(对接源_02物料!$B1140)&gt;$M$3),0,1))</f>
        <v>0</v>
      </c>
      <c r="N2340">
        <f>IF(OR($N$1="",对接源_02物料!$C1140="",对接源_02物料!$C1140&lt;&gt;$N$1,对接源_02物料!$B1140=""),0,IF(OR(N(对接源_02物料!$B1140)&lt;$N$2,N(对接源_02物料!$B1140)&gt;$N$3),0,1))</f>
        <v>0</v>
      </c>
      <c r="P2340">
        <f>IF(AND($K2340=1,AND(对接源_02物料!$X1140="公司筐",N(对接源_02物料!$T1140)&lt;&gt;0)),1,0)</f>
        <v>0</v>
      </c>
      <c r="Q2340">
        <f>N(Q2339)+$P2340</f>
        <v>14</v>
      </c>
      <c r="R2340">
        <f>IF(AND($K2340=1,AND(对接源_02物料!$X1140="公司筐",N(对接源_02物料!$U1140)&lt;&gt;0)),1,0)</f>
        <v>0</v>
      </c>
      <c r="S2340">
        <f>N(S2339)+$R2340</f>
        <v>1</v>
      </c>
      <c r="T2340">
        <f>IF(AND($K2340=1,AND(对接源_02物料!$X1140="公司筐",N(对接源_02物料!$V1140)&lt;&gt;0)),1,0)</f>
        <v>0</v>
      </c>
      <c r="U2340">
        <f>N(U2339)+$T2340</f>
        <v>47</v>
      </c>
      <c r="V2340">
        <f>IF(AND($L2340=1,AND(对接源_02物料!$X1140="自备筐",N(对接源_02物料!$V1140)&lt;&gt;0)),1,0)</f>
        <v>0</v>
      </c>
      <c r="W2340">
        <f>N(W2339)+$V2340</f>
        <v>11</v>
      </c>
      <c r="X2340">
        <f>IF(AND($L2340=1,AND(对接源_02物料!$X1140="自备筐",N(对接源_02物料!$T1140)&lt;&gt;0)),1,0)</f>
        <v>0</v>
      </c>
      <c r="Y2340">
        <f>N(Y2339)+$X2340</f>
        <v>0</v>
      </c>
      <c r="Z2340">
        <f>IF(AND($M2340=1,对接源_02物料!$D1140="原料入库"),1,0)</f>
        <v>0</v>
      </c>
      <c r="AA2340">
        <f>N(AA2339)+$Z2340</f>
        <v>24</v>
      </c>
      <c r="AB2340">
        <f>IF(AND($M2340=1,LEFT(对接源_02物料!$D1140,4)="原料出库"),1,0)</f>
        <v>0</v>
      </c>
      <c r="AC2340">
        <f>N(AC2339)+$AB2340</f>
        <v>0</v>
      </c>
      <c r="AD2340">
        <f>IF(AND($M2340=1,LEFT(对接源_02物料!$D1140,4)="成品出库"),1,0)</f>
        <v>0</v>
      </c>
      <c r="AE2340">
        <f>N(AE2339)+$AD2340</f>
        <v>0</v>
      </c>
      <c r="AF2340">
        <f>IF(AND($N2340=1,AND(LEFT(对接源_02物料!$D1140,4)="包装物料",N(对接源_02物料!$K1140)&lt;&gt;0)),1,0)</f>
        <v>0</v>
      </c>
      <c r="AG2340">
        <f>N(AG2339)+$AF2340</f>
        <v>10</v>
      </c>
      <c r="AH2340">
        <f>IF(AND($N2340=1,AND(对接源_02物料!$D1140="周转筐－销售出库",N(对接源_02物料!$K1140)&lt;&gt;0)),1,0)</f>
        <v>0</v>
      </c>
      <c r="AI2340">
        <f>N(AI2339)+$AH2340</f>
        <v>0</v>
      </c>
      <c r="AL2340" t="n">
        <v>0</v>
      </c>
      <c r="AM2340">
        <f>N(AM2339)+$AL2340</f>
        <v>2</v>
      </c>
      <c r="AN2340">
        <f>""</f>
      </c>
      <c r="AO2340" t="n">
        <v>0</v>
      </c>
      <c r="AP2340">
        <f>N(AP2339)+$AO2340</f>
        <v>13</v>
      </c>
      <c r="AR2340">
        <f>IF(OR($AF2340=1,$AH2340=1),1,0)</f>
        <v>0</v>
      </c>
      <c r="AS2340">
        <f>N(AS2339)+$AR2340</f>
        <v>10</v>
      </c>
    </row>
    <row r="2341" s="127">
      <c r="A2341">
        <f>IF(对接源_02物料!$C1141="","",对接源_02物料!$C1141)</f>
      </c>
      <c r="B2341">
        <f>IF(A2341="",0,IF(MATCH(A2341,$A$4:$A$2403,0)=ROW()-3,1,0))</f>
        <v>0</v>
      </c>
      <c r="C2341">
        <f>N(C2340)+B2341</f>
        <v>26</v>
      </c>
      <c r="K2341">
        <f>IF(OR($K$1="",对接源_02物料!$C1141="",对接源_02物料!$C1141&lt;&gt;$K$1,对接源_02物料!$B1141=""),0,IF(OR(N(对接源_02物料!$B1141)&lt;$K$2,N(对接源_02物料!$B1141)&gt;$K$3),0,1))</f>
        <v>0</v>
      </c>
      <c r="L2341">
        <f>IF(OR($L$1="",对接源_02物料!$C1141="",对接源_02物料!$C1141&lt;&gt;$L$1,对接源_02物料!$B1141=""),0,IF(OR(N(对接源_02物料!$B1141)&lt;$L$2,N(对接源_02物料!$B1141)&gt;$L$3),0,1))</f>
        <v>0</v>
      </c>
      <c r="M2341">
        <f>IF(OR($M$1="",对接源_02物料!$C1141="",对接源_02物料!$C1141&lt;&gt;$M$1,对接源_02物料!$B1141=""),0,IF(OR(N(对接源_02物料!$B1141)&lt;$M$2,N(对接源_02物料!$B1141)&gt;$M$3),0,1))</f>
        <v>0</v>
      </c>
      <c r="N2341">
        <f>IF(OR($N$1="",对接源_02物料!$C1141="",对接源_02物料!$C1141&lt;&gt;$N$1,对接源_02物料!$B1141=""),0,IF(OR(N(对接源_02物料!$B1141)&lt;$N$2,N(对接源_02物料!$B1141)&gt;$N$3),0,1))</f>
        <v>0</v>
      </c>
      <c r="P2341">
        <f>IF(AND($K2341=1,AND(对接源_02物料!$X1141="公司筐",N(对接源_02物料!$T1141)&lt;&gt;0)),1,0)</f>
        <v>0</v>
      </c>
      <c r="Q2341">
        <f>N(Q2340)+$P2341</f>
        <v>14</v>
      </c>
      <c r="R2341">
        <f>IF(AND($K2341=1,AND(对接源_02物料!$X1141="公司筐",N(对接源_02物料!$U1141)&lt;&gt;0)),1,0)</f>
        <v>0</v>
      </c>
      <c r="S2341">
        <f>N(S2340)+$R2341</f>
        <v>1</v>
      </c>
      <c r="T2341">
        <f>IF(AND($K2341=1,AND(对接源_02物料!$X1141="公司筐",N(对接源_02物料!$V1141)&lt;&gt;0)),1,0)</f>
        <v>0</v>
      </c>
      <c r="U2341">
        <f>N(U2340)+$T2341</f>
        <v>47</v>
      </c>
      <c r="V2341">
        <f>IF(AND($L2341=1,AND(对接源_02物料!$X1141="自备筐",N(对接源_02物料!$V1141)&lt;&gt;0)),1,0)</f>
        <v>0</v>
      </c>
      <c r="W2341">
        <f>N(W2340)+$V2341</f>
        <v>11</v>
      </c>
      <c r="X2341">
        <f>IF(AND($L2341=1,AND(对接源_02物料!$X1141="自备筐",N(对接源_02物料!$T1141)&lt;&gt;0)),1,0)</f>
        <v>0</v>
      </c>
      <c r="Y2341">
        <f>N(Y2340)+$X2341</f>
        <v>0</v>
      </c>
      <c r="Z2341">
        <f>IF(AND($M2341=1,对接源_02物料!$D1141="原料入库"),1,0)</f>
        <v>0</v>
      </c>
      <c r="AA2341">
        <f>N(AA2340)+$Z2341</f>
        <v>24</v>
      </c>
      <c r="AB2341">
        <f>IF(AND($M2341=1,LEFT(对接源_02物料!$D1141,4)="原料出库"),1,0)</f>
        <v>0</v>
      </c>
      <c r="AC2341">
        <f>N(AC2340)+$AB2341</f>
        <v>0</v>
      </c>
      <c r="AD2341">
        <f>IF(AND($M2341=1,LEFT(对接源_02物料!$D1141,4)="成品出库"),1,0)</f>
        <v>0</v>
      </c>
      <c r="AE2341">
        <f>N(AE2340)+$AD2341</f>
        <v>0</v>
      </c>
      <c r="AF2341">
        <f>IF(AND($N2341=1,AND(LEFT(对接源_02物料!$D1141,4)="包装物料",N(对接源_02物料!$K1141)&lt;&gt;0)),1,0)</f>
        <v>0</v>
      </c>
      <c r="AG2341">
        <f>N(AG2340)+$AF2341</f>
        <v>10</v>
      </c>
      <c r="AH2341">
        <f>IF(AND($N2341=1,AND(对接源_02物料!$D1141="周转筐－销售出库",N(对接源_02物料!$K1141)&lt;&gt;0)),1,0)</f>
        <v>0</v>
      </c>
      <c r="AI2341">
        <f>N(AI2340)+$AH2341</f>
        <v>0</v>
      </c>
      <c r="AL2341" t="n">
        <v>0</v>
      </c>
      <c r="AM2341">
        <f>N(AM2340)+$AL2341</f>
        <v>2</v>
      </c>
      <c r="AN2341">
        <f>""</f>
      </c>
      <c r="AO2341" t="n">
        <v>0</v>
      </c>
      <c r="AP2341">
        <f>N(AP2340)+$AO2341</f>
        <v>13</v>
      </c>
      <c r="AR2341">
        <f>IF(OR($AF2341=1,$AH2341=1),1,0)</f>
        <v>0</v>
      </c>
      <c r="AS2341">
        <f>N(AS2340)+$AR2341</f>
        <v>10</v>
      </c>
    </row>
    <row r="2342" s="127">
      <c r="A2342">
        <f>IF(对接源_02物料!$C1142="","",对接源_02物料!$C1142)</f>
      </c>
      <c r="B2342">
        <f>IF(A2342="",0,IF(MATCH(A2342,$A$4:$A$2403,0)=ROW()-3,1,0))</f>
        <v>0</v>
      </c>
      <c r="C2342">
        <f>N(C2341)+B2342</f>
        <v>26</v>
      </c>
      <c r="K2342">
        <f>IF(OR($K$1="",对接源_02物料!$C1142="",对接源_02物料!$C1142&lt;&gt;$K$1,对接源_02物料!$B1142=""),0,IF(OR(N(对接源_02物料!$B1142)&lt;$K$2,N(对接源_02物料!$B1142)&gt;$K$3),0,1))</f>
        <v>0</v>
      </c>
      <c r="L2342">
        <f>IF(OR($L$1="",对接源_02物料!$C1142="",对接源_02物料!$C1142&lt;&gt;$L$1,对接源_02物料!$B1142=""),0,IF(OR(N(对接源_02物料!$B1142)&lt;$L$2,N(对接源_02物料!$B1142)&gt;$L$3),0,1))</f>
        <v>0</v>
      </c>
      <c r="M2342">
        <f>IF(OR($M$1="",对接源_02物料!$C1142="",对接源_02物料!$C1142&lt;&gt;$M$1,对接源_02物料!$B1142=""),0,IF(OR(N(对接源_02物料!$B1142)&lt;$M$2,N(对接源_02物料!$B1142)&gt;$M$3),0,1))</f>
        <v>0</v>
      </c>
      <c r="N2342">
        <f>IF(OR($N$1="",对接源_02物料!$C1142="",对接源_02物料!$C1142&lt;&gt;$N$1,对接源_02物料!$B1142=""),0,IF(OR(N(对接源_02物料!$B1142)&lt;$N$2,N(对接源_02物料!$B1142)&gt;$N$3),0,1))</f>
        <v>0</v>
      </c>
      <c r="P2342">
        <f>IF(AND($K2342=1,AND(对接源_02物料!$X1142="公司筐",N(对接源_02物料!$T1142)&lt;&gt;0)),1,0)</f>
        <v>0</v>
      </c>
      <c r="Q2342">
        <f>N(Q2341)+$P2342</f>
        <v>14</v>
      </c>
      <c r="R2342">
        <f>IF(AND($K2342=1,AND(对接源_02物料!$X1142="公司筐",N(对接源_02物料!$U1142)&lt;&gt;0)),1,0)</f>
        <v>0</v>
      </c>
      <c r="S2342">
        <f>N(S2341)+$R2342</f>
        <v>1</v>
      </c>
      <c r="T2342">
        <f>IF(AND($K2342=1,AND(对接源_02物料!$X1142="公司筐",N(对接源_02物料!$V1142)&lt;&gt;0)),1,0)</f>
        <v>0</v>
      </c>
      <c r="U2342">
        <f>N(U2341)+$T2342</f>
        <v>47</v>
      </c>
      <c r="V2342">
        <f>IF(AND($L2342=1,AND(对接源_02物料!$X1142="自备筐",N(对接源_02物料!$V1142)&lt;&gt;0)),1,0)</f>
        <v>0</v>
      </c>
      <c r="W2342">
        <f>N(W2341)+$V2342</f>
        <v>11</v>
      </c>
      <c r="X2342">
        <f>IF(AND($L2342=1,AND(对接源_02物料!$X1142="自备筐",N(对接源_02物料!$T1142)&lt;&gt;0)),1,0)</f>
        <v>0</v>
      </c>
      <c r="Y2342">
        <f>N(Y2341)+$X2342</f>
        <v>0</v>
      </c>
      <c r="Z2342">
        <f>IF(AND($M2342=1,对接源_02物料!$D1142="原料入库"),1,0)</f>
        <v>0</v>
      </c>
      <c r="AA2342">
        <f>N(AA2341)+$Z2342</f>
        <v>24</v>
      </c>
      <c r="AB2342">
        <f>IF(AND($M2342=1,LEFT(对接源_02物料!$D1142,4)="原料出库"),1,0)</f>
        <v>0</v>
      </c>
      <c r="AC2342">
        <f>N(AC2341)+$AB2342</f>
        <v>0</v>
      </c>
      <c r="AD2342">
        <f>IF(AND($M2342=1,LEFT(对接源_02物料!$D1142,4)="成品出库"),1,0)</f>
        <v>0</v>
      </c>
      <c r="AE2342">
        <f>N(AE2341)+$AD2342</f>
        <v>0</v>
      </c>
      <c r="AF2342">
        <f>IF(AND($N2342=1,AND(LEFT(对接源_02物料!$D1142,4)="包装物料",N(对接源_02物料!$K1142)&lt;&gt;0)),1,0)</f>
        <v>0</v>
      </c>
      <c r="AG2342">
        <f>N(AG2341)+$AF2342</f>
        <v>10</v>
      </c>
      <c r="AH2342">
        <f>IF(AND($N2342=1,AND(对接源_02物料!$D1142="周转筐－销售出库",N(对接源_02物料!$K1142)&lt;&gt;0)),1,0)</f>
        <v>0</v>
      </c>
      <c r="AI2342">
        <f>N(AI2341)+$AH2342</f>
        <v>0</v>
      </c>
      <c r="AL2342" t="n">
        <v>0</v>
      </c>
      <c r="AM2342">
        <f>N(AM2341)+$AL2342</f>
        <v>2</v>
      </c>
      <c r="AN2342">
        <f>""</f>
      </c>
      <c r="AO2342" t="n">
        <v>0</v>
      </c>
      <c r="AP2342">
        <f>N(AP2341)+$AO2342</f>
        <v>13</v>
      </c>
      <c r="AR2342">
        <f>IF(OR($AF2342=1,$AH2342=1),1,0)</f>
        <v>0</v>
      </c>
      <c r="AS2342">
        <f>N(AS2341)+$AR2342</f>
        <v>10</v>
      </c>
    </row>
    <row r="2343" s="127">
      <c r="A2343">
        <f>IF(对接源_02物料!$C1143="","",对接源_02物料!$C1143)</f>
      </c>
      <c r="B2343">
        <f>IF(A2343="",0,IF(MATCH(A2343,$A$4:$A$2403,0)=ROW()-3,1,0))</f>
        <v>0</v>
      </c>
      <c r="C2343">
        <f>N(C2342)+B2343</f>
        <v>26</v>
      </c>
      <c r="K2343">
        <f>IF(OR($K$1="",对接源_02物料!$C1143="",对接源_02物料!$C1143&lt;&gt;$K$1,对接源_02物料!$B1143=""),0,IF(OR(N(对接源_02物料!$B1143)&lt;$K$2,N(对接源_02物料!$B1143)&gt;$K$3),0,1))</f>
        <v>0</v>
      </c>
      <c r="L2343">
        <f>IF(OR($L$1="",对接源_02物料!$C1143="",对接源_02物料!$C1143&lt;&gt;$L$1,对接源_02物料!$B1143=""),0,IF(OR(N(对接源_02物料!$B1143)&lt;$L$2,N(对接源_02物料!$B1143)&gt;$L$3),0,1))</f>
        <v>0</v>
      </c>
      <c r="M2343">
        <f>IF(OR($M$1="",对接源_02物料!$C1143="",对接源_02物料!$C1143&lt;&gt;$M$1,对接源_02物料!$B1143=""),0,IF(OR(N(对接源_02物料!$B1143)&lt;$M$2,N(对接源_02物料!$B1143)&gt;$M$3),0,1))</f>
        <v>0</v>
      </c>
      <c r="N2343">
        <f>IF(OR($N$1="",对接源_02物料!$C1143="",对接源_02物料!$C1143&lt;&gt;$N$1,对接源_02物料!$B1143=""),0,IF(OR(N(对接源_02物料!$B1143)&lt;$N$2,N(对接源_02物料!$B1143)&gt;$N$3),0,1))</f>
        <v>0</v>
      </c>
      <c r="P2343">
        <f>IF(AND($K2343=1,AND(对接源_02物料!$X1143="公司筐",N(对接源_02物料!$T1143)&lt;&gt;0)),1,0)</f>
        <v>0</v>
      </c>
      <c r="Q2343">
        <f>N(Q2342)+$P2343</f>
        <v>14</v>
      </c>
      <c r="R2343">
        <f>IF(AND($K2343=1,AND(对接源_02物料!$X1143="公司筐",N(对接源_02物料!$U1143)&lt;&gt;0)),1,0)</f>
        <v>0</v>
      </c>
      <c r="S2343">
        <f>N(S2342)+$R2343</f>
        <v>1</v>
      </c>
      <c r="T2343">
        <f>IF(AND($K2343=1,AND(对接源_02物料!$X1143="公司筐",N(对接源_02物料!$V1143)&lt;&gt;0)),1,0)</f>
        <v>0</v>
      </c>
      <c r="U2343">
        <f>N(U2342)+$T2343</f>
        <v>47</v>
      </c>
      <c r="V2343">
        <f>IF(AND($L2343=1,AND(对接源_02物料!$X1143="自备筐",N(对接源_02物料!$V1143)&lt;&gt;0)),1,0)</f>
        <v>0</v>
      </c>
      <c r="W2343">
        <f>N(W2342)+$V2343</f>
        <v>11</v>
      </c>
      <c r="X2343">
        <f>IF(AND($L2343=1,AND(对接源_02物料!$X1143="自备筐",N(对接源_02物料!$T1143)&lt;&gt;0)),1,0)</f>
        <v>0</v>
      </c>
      <c r="Y2343">
        <f>N(Y2342)+$X2343</f>
        <v>0</v>
      </c>
      <c r="Z2343">
        <f>IF(AND($M2343=1,对接源_02物料!$D1143="原料入库"),1,0)</f>
        <v>0</v>
      </c>
      <c r="AA2343">
        <f>N(AA2342)+$Z2343</f>
        <v>24</v>
      </c>
      <c r="AB2343">
        <f>IF(AND($M2343=1,LEFT(对接源_02物料!$D1143,4)="原料出库"),1,0)</f>
        <v>0</v>
      </c>
      <c r="AC2343">
        <f>N(AC2342)+$AB2343</f>
        <v>0</v>
      </c>
      <c r="AD2343">
        <f>IF(AND($M2343=1,LEFT(对接源_02物料!$D1143,4)="成品出库"),1,0)</f>
        <v>0</v>
      </c>
      <c r="AE2343">
        <f>N(AE2342)+$AD2343</f>
        <v>0</v>
      </c>
      <c r="AF2343">
        <f>IF(AND($N2343=1,AND(LEFT(对接源_02物料!$D1143,4)="包装物料",N(对接源_02物料!$K1143)&lt;&gt;0)),1,0)</f>
        <v>0</v>
      </c>
      <c r="AG2343">
        <f>N(AG2342)+$AF2343</f>
        <v>10</v>
      </c>
      <c r="AH2343">
        <f>IF(AND($N2343=1,AND(对接源_02物料!$D1143="周转筐－销售出库",N(对接源_02物料!$K1143)&lt;&gt;0)),1,0)</f>
        <v>0</v>
      </c>
      <c r="AI2343">
        <f>N(AI2342)+$AH2343</f>
        <v>0</v>
      </c>
      <c r="AL2343" t="n">
        <v>0</v>
      </c>
      <c r="AM2343">
        <f>N(AM2342)+$AL2343</f>
        <v>2</v>
      </c>
      <c r="AN2343">
        <f>""</f>
      </c>
      <c r="AO2343" t="n">
        <v>0</v>
      </c>
      <c r="AP2343">
        <f>N(AP2342)+$AO2343</f>
        <v>13</v>
      </c>
      <c r="AR2343">
        <f>IF(OR($AF2343=1,$AH2343=1),1,0)</f>
        <v>0</v>
      </c>
      <c r="AS2343">
        <f>N(AS2342)+$AR2343</f>
        <v>10</v>
      </c>
    </row>
    <row r="2344" s="127">
      <c r="A2344">
        <f>IF(对接源_02物料!$C1144="","",对接源_02物料!$C1144)</f>
      </c>
      <c r="B2344">
        <f>IF(A2344="",0,IF(MATCH(A2344,$A$4:$A$2403,0)=ROW()-3,1,0))</f>
        <v>0</v>
      </c>
      <c r="C2344">
        <f>N(C2343)+B2344</f>
        <v>26</v>
      </c>
      <c r="K2344">
        <f>IF(OR($K$1="",对接源_02物料!$C1144="",对接源_02物料!$C1144&lt;&gt;$K$1,对接源_02物料!$B1144=""),0,IF(OR(N(对接源_02物料!$B1144)&lt;$K$2,N(对接源_02物料!$B1144)&gt;$K$3),0,1))</f>
        <v>0</v>
      </c>
      <c r="L2344">
        <f>IF(OR($L$1="",对接源_02物料!$C1144="",对接源_02物料!$C1144&lt;&gt;$L$1,对接源_02物料!$B1144=""),0,IF(OR(N(对接源_02物料!$B1144)&lt;$L$2,N(对接源_02物料!$B1144)&gt;$L$3),0,1))</f>
        <v>0</v>
      </c>
      <c r="M2344">
        <f>IF(OR($M$1="",对接源_02物料!$C1144="",对接源_02物料!$C1144&lt;&gt;$M$1,对接源_02物料!$B1144=""),0,IF(OR(N(对接源_02物料!$B1144)&lt;$M$2,N(对接源_02物料!$B1144)&gt;$M$3),0,1))</f>
        <v>0</v>
      </c>
      <c r="N2344">
        <f>IF(OR($N$1="",对接源_02物料!$C1144="",对接源_02物料!$C1144&lt;&gt;$N$1,对接源_02物料!$B1144=""),0,IF(OR(N(对接源_02物料!$B1144)&lt;$N$2,N(对接源_02物料!$B1144)&gt;$N$3),0,1))</f>
        <v>0</v>
      </c>
      <c r="P2344">
        <f>IF(AND($K2344=1,AND(对接源_02物料!$X1144="公司筐",N(对接源_02物料!$T1144)&lt;&gt;0)),1,0)</f>
        <v>0</v>
      </c>
      <c r="Q2344">
        <f>N(Q2343)+$P2344</f>
        <v>14</v>
      </c>
      <c r="R2344">
        <f>IF(AND($K2344=1,AND(对接源_02物料!$X1144="公司筐",N(对接源_02物料!$U1144)&lt;&gt;0)),1,0)</f>
        <v>0</v>
      </c>
      <c r="S2344">
        <f>N(S2343)+$R2344</f>
        <v>1</v>
      </c>
      <c r="T2344">
        <f>IF(AND($K2344=1,AND(对接源_02物料!$X1144="公司筐",N(对接源_02物料!$V1144)&lt;&gt;0)),1,0)</f>
        <v>0</v>
      </c>
      <c r="U2344">
        <f>N(U2343)+$T2344</f>
        <v>47</v>
      </c>
      <c r="V2344">
        <f>IF(AND($L2344=1,AND(对接源_02物料!$X1144="自备筐",N(对接源_02物料!$V1144)&lt;&gt;0)),1,0)</f>
        <v>0</v>
      </c>
      <c r="W2344">
        <f>N(W2343)+$V2344</f>
        <v>11</v>
      </c>
      <c r="X2344">
        <f>IF(AND($L2344=1,AND(对接源_02物料!$X1144="自备筐",N(对接源_02物料!$T1144)&lt;&gt;0)),1,0)</f>
        <v>0</v>
      </c>
      <c r="Y2344">
        <f>N(Y2343)+$X2344</f>
        <v>0</v>
      </c>
      <c r="Z2344">
        <f>IF(AND($M2344=1,对接源_02物料!$D1144="原料入库"),1,0)</f>
        <v>0</v>
      </c>
      <c r="AA2344">
        <f>N(AA2343)+$Z2344</f>
        <v>24</v>
      </c>
      <c r="AB2344">
        <f>IF(AND($M2344=1,LEFT(对接源_02物料!$D1144,4)="原料出库"),1,0)</f>
        <v>0</v>
      </c>
      <c r="AC2344">
        <f>N(AC2343)+$AB2344</f>
        <v>0</v>
      </c>
      <c r="AD2344">
        <f>IF(AND($M2344=1,LEFT(对接源_02物料!$D1144,4)="成品出库"),1,0)</f>
        <v>0</v>
      </c>
      <c r="AE2344">
        <f>N(AE2343)+$AD2344</f>
        <v>0</v>
      </c>
      <c r="AF2344">
        <f>IF(AND($N2344=1,AND(LEFT(对接源_02物料!$D1144,4)="包装物料",N(对接源_02物料!$K1144)&lt;&gt;0)),1,0)</f>
        <v>0</v>
      </c>
      <c r="AG2344">
        <f>N(AG2343)+$AF2344</f>
        <v>10</v>
      </c>
      <c r="AH2344">
        <f>IF(AND($N2344=1,AND(对接源_02物料!$D1144="周转筐－销售出库",N(对接源_02物料!$K1144)&lt;&gt;0)),1,0)</f>
        <v>0</v>
      </c>
      <c r="AI2344">
        <f>N(AI2343)+$AH2344</f>
        <v>0</v>
      </c>
      <c r="AL2344" t="n">
        <v>0</v>
      </c>
      <c r="AM2344">
        <f>N(AM2343)+$AL2344</f>
        <v>2</v>
      </c>
      <c r="AN2344">
        <f>""</f>
      </c>
      <c r="AO2344" t="n">
        <v>0</v>
      </c>
      <c r="AP2344">
        <f>N(AP2343)+$AO2344</f>
        <v>13</v>
      </c>
      <c r="AR2344">
        <f>IF(OR($AF2344=1,$AH2344=1),1,0)</f>
        <v>0</v>
      </c>
      <c r="AS2344">
        <f>N(AS2343)+$AR2344</f>
        <v>10</v>
      </c>
    </row>
    <row r="2345" s="127">
      <c r="A2345">
        <f>IF(对接源_02物料!$C1145="","",对接源_02物料!$C1145)</f>
      </c>
      <c r="B2345">
        <f>IF(A2345="",0,IF(MATCH(A2345,$A$4:$A$2403,0)=ROW()-3,1,0))</f>
        <v>0</v>
      </c>
      <c r="C2345">
        <f>N(C2344)+B2345</f>
        <v>26</v>
      </c>
      <c r="K2345">
        <f>IF(OR($K$1="",对接源_02物料!$C1145="",对接源_02物料!$C1145&lt;&gt;$K$1,对接源_02物料!$B1145=""),0,IF(OR(N(对接源_02物料!$B1145)&lt;$K$2,N(对接源_02物料!$B1145)&gt;$K$3),0,1))</f>
        <v>0</v>
      </c>
      <c r="L2345">
        <f>IF(OR($L$1="",对接源_02物料!$C1145="",对接源_02物料!$C1145&lt;&gt;$L$1,对接源_02物料!$B1145=""),0,IF(OR(N(对接源_02物料!$B1145)&lt;$L$2,N(对接源_02物料!$B1145)&gt;$L$3),0,1))</f>
        <v>0</v>
      </c>
      <c r="M2345">
        <f>IF(OR($M$1="",对接源_02物料!$C1145="",对接源_02物料!$C1145&lt;&gt;$M$1,对接源_02物料!$B1145=""),0,IF(OR(N(对接源_02物料!$B1145)&lt;$M$2,N(对接源_02物料!$B1145)&gt;$M$3),0,1))</f>
        <v>0</v>
      </c>
      <c r="N2345">
        <f>IF(OR($N$1="",对接源_02物料!$C1145="",对接源_02物料!$C1145&lt;&gt;$N$1,对接源_02物料!$B1145=""),0,IF(OR(N(对接源_02物料!$B1145)&lt;$N$2,N(对接源_02物料!$B1145)&gt;$N$3),0,1))</f>
        <v>0</v>
      </c>
      <c r="P2345">
        <f>IF(AND($K2345=1,AND(对接源_02物料!$X1145="公司筐",N(对接源_02物料!$T1145)&lt;&gt;0)),1,0)</f>
        <v>0</v>
      </c>
      <c r="Q2345">
        <f>N(Q2344)+$P2345</f>
        <v>14</v>
      </c>
      <c r="R2345">
        <f>IF(AND($K2345=1,AND(对接源_02物料!$X1145="公司筐",N(对接源_02物料!$U1145)&lt;&gt;0)),1,0)</f>
        <v>0</v>
      </c>
      <c r="S2345">
        <f>N(S2344)+$R2345</f>
        <v>1</v>
      </c>
      <c r="T2345">
        <f>IF(AND($K2345=1,AND(对接源_02物料!$X1145="公司筐",N(对接源_02物料!$V1145)&lt;&gt;0)),1,0)</f>
        <v>0</v>
      </c>
      <c r="U2345">
        <f>N(U2344)+$T2345</f>
        <v>47</v>
      </c>
      <c r="V2345">
        <f>IF(AND($L2345=1,AND(对接源_02物料!$X1145="自备筐",N(对接源_02物料!$V1145)&lt;&gt;0)),1,0)</f>
        <v>0</v>
      </c>
      <c r="W2345">
        <f>N(W2344)+$V2345</f>
        <v>11</v>
      </c>
      <c r="X2345">
        <f>IF(AND($L2345=1,AND(对接源_02物料!$X1145="自备筐",N(对接源_02物料!$T1145)&lt;&gt;0)),1,0)</f>
        <v>0</v>
      </c>
      <c r="Y2345">
        <f>N(Y2344)+$X2345</f>
        <v>0</v>
      </c>
      <c r="Z2345">
        <f>IF(AND($M2345=1,对接源_02物料!$D1145="原料入库"),1,0)</f>
        <v>0</v>
      </c>
      <c r="AA2345">
        <f>N(AA2344)+$Z2345</f>
        <v>24</v>
      </c>
      <c r="AB2345">
        <f>IF(AND($M2345=1,LEFT(对接源_02物料!$D1145,4)="原料出库"),1,0)</f>
        <v>0</v>
      </c>
      <c r="AC2345">
        <f>N(AC2344)+$AB2345</f>
        <v>0</v>
      </c>
      <c r="AD2345">
        <f>IF(AND($M2345=1,LEFT(对接源_02物料!$D1145,4)="成品出库"),1,0)</f>
        <v>0</v>
      </c>
      <c r="AE2345">
        <f>N(AE2344)+$AD2345</f>
        <v>0</v>
      </c>
      <c r="AF2345">
        <f>IF(AND($N2345=1,AND(LEFT(对接源_02物料!$D1145,4)="包装物料",N(对接源_02物料!$K1145)&lt;&gt;0)),1,0)</f>
        <v>0</v>
      </c>
      <c r="AG2345">
        <f>N(AG2344)+$AF2345</f>
        <v>10</v>
      </c>
      <c r="AH2345">
        <f>IF(AND($N2345=1,AND(对接源_02物料!$D1145="周转筐－销售出库",N(对接源_02物料!$K1145)&lt;&gt;0)),1,0)</f>
        <v>0</v>
      </c>
      <c r="AI2345">
        <f>N(AI2344)+$AH2345</f>
        <v>0</v>
      </c>
      <c r="AL2345" t="n">
        <v>0</v>
      </c>
      <c r="AM2345">
        <f>N(AM2344)+$AL2345</f>
        <v>2</v>
      </c>
      <c r="AN2345">
        <f>""</f>
      </c>
      <c r="AO2345" t="n">
        <v>0</v>
      </c>
      <c r="AP2345">
        <f>N(AP2344)+$AO2345</f>
        <v>13</v>
      </c>
      <c r="AR2345">
        <f>IF(OR($AF2345=1,$AH2345=1),1,0)</f>
        <v>0</v>
      </c>
      <c r="AS2345">
        <f>N(AS2344)+$AR2345</f>
        <v>10</v>
      </c>
    </row>
    <row r="2346" s="127">
      <c r="A2346">
        <f>IF(对接源_02物料!$C1146="","",对接源_02物料!$C1146)</f>
      </c>
      <c r="B2346">
        <f>IF(A2346="",0,IF(MATCH(A2346,$A$4:$A$2403,0)=ROW()-3,1,0))</f>
        <v>0</v>
      </c>
      <c r="C2346">
        <f>N(C2345)+B2346</f>
        <v>26</v>
      </c>
      <c r="K2346">
        <f>IF(OR($K$1="",对接源_02物料!$C1146="",对接源_02物料!$C1146&lt;&gt;$K$1,对接源_02物料!$B1146=""),0,IF(OR(N(对接源_02物料!$B1146)&lt;$K$2,N(对接源_02物料!$B1146)&gt;$K$3),0,1))</f>
        <v>0</v>
      </c>
      <c r="L2346">
        <f>IF(OR($L$1="",对接源_02物料!$C1146="",对接源_02物料!$C1146&lt;&gt;$L$1,对接源_02物料!$B1146=""),0,IF(OR(N(对接源_02物料!$B1146)&lt;$L$2,N(对接源_02物料!$B1146)&gt;$L$3),0,1))</f>
        <v>0</v>
      </c>
      <c r="M2346">
        <f>IF(OR($M$1="",对接源_02物料!$C1146="",对接源_02物料!$C1146&lt;&gt;$M$1,对接源_02物料!$B1146=""),0,IF(OR(N(对接源_02物料!$B1146)&lt;$M$2,N(对接源_02物料!$B1146)&gt;$M$3),0,1))</f>
        <v>0</v>
      </c>
      <c r="N2346">
        <f>IF(OR($N$1="",对接源_02物料!$C1146="",对接源_02物料!$C1146&lt;&gt;$N$1,对接源_02物料!$B1146=""),0,IF(OR(N(对接源_02物料!$B1146)&lt;$N$2,N(对接源_02物料!$B1146)&gt;$N$3),0,1))</f>
        <v>0</v>
      </c>
      <c r="P2346">
        <f>IF(AND($K2346=1,AND(对接源_02物料!$X1146="公司筐",N(对接源_02物料!$T1146)&lt;&gt;0)),1,0)</f>
        <v>0</v>
      </c>
      <c r="Q2346">
        <f>N(Q2345)+$P2346</f>
        <v>14</v>
      </c>
      <c r="R2346">
        <f>IF(AND($K2346=1,AND(对接源_02物料!$X1146="公司筐",N(对接源_02物料!$U1146)&lt;&gt;0)),1,0)</f>
        <v>0</v>
      </c>
      <c r="S2346">
        <f>N(S2345)+$R2346</f>
        <v>1</v>
      </c>
      <c r="T2346">
        <f>IF(AND($K2346=1,AND(对接源_02物料!$X1146="公司筐",N(对接源_02物料!$V1146)&lt;&gt;0)),1,0)</f>
        <v>0</v>
      </c>
      <c r="U2346">
        <f>N(U2345)+$T2346</f>
        <v>47</v>
      </c>
      <c r="V2346">
        <f>IF(AND($L2346=1,AND(对接源_02物料!$X1146="自备筐",N(对接源_02物料!$V1146)&lt;&gt;0)),1,0)</f>
        <v>0</v>
      </c>
      <c r="W2346">
        <f>N(W2345)+$V2346</f>
        <v>11</v>
      </c>
      <c r="X2346">
        <f>IF(AND($L2346=1,AND(对接源_02物料!$X1146="自备筐",N(对接源_02物料!$T1146)&lt;&gt;0)),1,0)</f>
        <v>0</v>
      </c>
      <c r="Y2346">
        <f>N(Y2345)+$X2346</f>
        <v>0</v>
      </c>
      <c r="Z2346">
        <f>IF(AND($M2346=1,对接源_02物料!$D1146="原料入库"),1,0)</f>
        <v>0</v>
      </c>
      <c r="AA2346">
        <f>N(AA2345)+$Z2346</f>
        <v>24</v>
      </c>
      <c r="AB2346">
        <f>IF(AND($M2346=1,LEFT(对接源_02物料!$D1146,4)="原料出库"),1,0)</f>
        <v>0</v>
      </c>
      <c r="AC2346">
        <f>N(AC2345)+$AB2346</f>
        <v>0</v>
      </c>
      <c r="AD2346">
        <f>IF(AND($M2346=1,LEFT(对接源_02物料!$D1146,4)="成品出库"),1,0)</f>
        <v>0</v>
      </c>
      <c r="AE2346">
        <f>N(AE2345)+$AD2346</f>
        <v>0</v>
      </c>
      <c r="AF2346">
        <f>IF(AND($N2346=1,AND(LEFT(对接源_02物料!$D1146,4)="包装物料",N(对接源_02物料!$K1146)&lt;&gt;0)),1,0)</f>
        <v>0</v>
      </c>
      <c r="AG2346">
        <f>N(AG2345)+$AF2346</f>
        <v>10</v>
      </c>
      <c r="AH2346">
        <f>IF(AND($N2346=1,AND(对接源_02物料!$D1146="周转筐－销售出库",N(对接源_02物料!$K1146)&lt;&gt;0)),1,0)</f>
        <v>0</v>
      </c>
      <c r="AI2346">
        <f>N(AI2345)+$AH2346</f>
        <v>0</v>
      </c>
      <c r="AL2346" t="n">
        <v>0</v>
      </c>
      <c r="AM2346">
        <f>N(AM2345)+$AL2346</f>
        <v>2</v>
      </c>
      <c r="AN2346">
        <f>""</f>
      </c>
      <c r="AO2346" t="n">
        <v>0</v>
      </c>
      <c r="AP2346">
        <f>N(AP2345)+$AO2346</f>
        <v>13</v>
      </c>
      <c r="AR2346">
        <f>IF(OR($AF2346=1,$AH2346=1),1,0)</f>
        <v>0</v>
      </c>
      <c r="AS2346">
        <f>N(AS2345)+$AR2346</f>
        <v>10</v>
      </c>
    </row>
    <row r="2347" s="127">
      <c r="A2347">
        <f>IF(对接源_02物料!$C1147="","",对接源_02物料!$C1147)</f>
      </c>
      <c r="B2347">
        <f>IF(A2347="",0,IF(MATCH(A2347,$A$4:$A$2403,0)=ROW()-3,1,0))</f>
        <v>0</v>
      </c>
      <c r="C2347">
        <f>N(C2346)+B2347</f>
        <v>26</v>
      </c>
      <c r="K2347">
        <f>IF(OR($K$1="",对接源_02物料!$C1147="",对接源_02物料!$C1147&lt;&gt;$K$1,对接源_02物料!$B1147=""),0,IF(OR(N(对接源_02物料!$B1147)&lt;$K$2,N(对接源_02物料!$B1147)&gt;$K$3),0,1))</f>
        <v>0</v>
      </c>
      <c r="L2347">
        <f>IF(OR($L$1="",对接源_02物料!$C1147="",对接源_02物料!$C1147&lt;&gt;$L$1,对接源_02物料!$B1147=""),0,IF(OR(N(对接源_02物料!$B1147)&lt;$L$2,N(对接源_02物料!$B1147)&gt;$L$3),0,1))</f>
        <v>0</v>
      </c>
      <c r="M2347">
        <f>IF(OR($M$1="",对接源_02物料!$C1147="",对接源_02物料!$C1147&lt;&gt;$M$1,对接源_02物料!$B1147=""),0,IF(OR(N(对接源_02物料!$B1147)&lt;$M$2,N(对接源_02物料!$B1147)&gt;$M$3),0,1))</f>
        <v>0</v>
      </c>
      <c r="N2347">
        <f>IF(OR($N$1="",对接源_02物料!$C1147="",对接源_02物料!$C1147&lt;&gt;$N$1,对接源_02物料!$B1147=""),0,IF(OR(N(对接源_02物料!$B1147)&lt;$N$2,N(对接源_02物料!$B1147)&gt;$N$3),0,1))</f>
        <v>0</v>
      </c>
      <c r="P2347">
        <f>IF(AND($K2347=1,AND(对接源_02物料!$X1147="公司筐",N(对接源_02物料!$T1147)&lt;&gt;0)),1,0)</f>
        <v>0</v>
      </c>
      <c r="Q2347">
        <f>N(Q2346)+$P2347</f>
        <v>14</v>
      </c>
      <c r="R2347">
        <f>IF(AND($K2347=1,AND(对接源_02物料!$X1147="公司筐",N(对接源_02物料!$U1147)&lt;&gt;0)),1,0)</f>
        <v>0</v>
      </c>
      <c r="S2347">
        <f>N(S2346)+$R2347</f>
        <v>1</v>
      </c>
      <c r="T2347">
        <f>IF(AND($K2347=1,AND(对接源_02物料!$X1147="公司筐",N(对接源_02物料!$V1147)&lt;&gt;0)),1,0)</f>
        <v>0</v>
      </c>
      <c r="U2347">
        <f>N(U2346)+$T2347</f>
        <v>47</v>
      </c>
      <c r="V2347">
        <f>IF(AND($L2347=1,AND(对接源_02物料!$X1147="自备筐",N(对接源_02物料!$V1147)&lt;&gt;0)),1,0)</f>
        <v>0</v>
      </c>
      <c r="W2347">
        <f>N(W2346)+$V2347</f>
        <v>11</v>
      </c>
      <c r="X2347">
        <f>IF(AND($L2347=1,AND(对接源_02物料!$X1147="自备筐",N(对接源_02物料!$T1147)&lt;&gt;0)),1,0)</f>
        <v>0</v>
      </c>
      <c r="Y2347">
        <f>N(Y2346)+$X2347</f>
        <v>0</v>
      </c>
      <c r="Z2347">
        <f>IF(AND($M2347=1,对接源_02物料!$D1147="原料入库"),1,0)</f>
        <v>0</v>
      </c>
      <c r="AA2347">
        <f>N(AA2346)+$Z2347</f>
        <v>24</v>
      </c>
      <c r="AB2347">
        <f>IF(AND($M2347=1,LEFT(对接源_02物料!$D1147,4)="原料出库"),1,0)</f>
        <v>0</v>
      </c>
      <c r="AC2347">
        <f>N(AC2346)+$AB2347</f>
        <v>0</v>
      </c>
      <c r="AD2347">
        <f>IF(AND($M2347=1,LEFT(对接源_02物料!$D1147,4)="成品出库"),1,0)</f>
        <v>0</v>
      </c>
      <c r="AE2347">
        <f>N(AE2346)+$AD2347</f>
        <v>0</v>
      </c>
      <c r="AF2347">
        <f>IF(AND($N2347=1,AND(LEFT(对接源_02物料!$D1147,4)="包装物料",N(对接源_02物料!$K1147)&lt;&gt;0)),1,0)</f>
        <v>0</v>
      </c>
      <c r="AG2347">
        <f>N(AG2346)+$AF2347</f>
        <v>10</v>
      </c>
      <c r="AH2347">
        <f>IF(AND($N2347=1,AND(对接源_02物料!$D1147="周转筐－销售出库",N(对接源_02物料!$K1147)&lt;&gt;0)),1,0)</f>
        <v>0</v>
      </c>
      <c r="AI2347">
        <f>N(AI2346)+$AH2347</f>
        <v>0</v>
      </c>
      <c r="AL2347" t="n">
        <v>0</v>
      </c>
      <c r="AM2347">
        <f>N(AM2346)+$AL2347</f>
        <v>2</v>
      </c>
      <c r="AN2347">
        <f>""</f>
      </c>
      <c r="AO2347" t="n">
        <v>0</v>
      </c>
      <c r="AP2347">
        <f>N(AP2346)+$AO2347</f>
        <v>13</v>
      </c>
      <c r="AR2347">
        <f>IF(OR($AF2347=1,$AH2347=1),1,0)</f>
        <v>0</v>
      </c>
      <c r="AS2347">
        <f>N(AS2346)+$AR2347</f>
        <v>10</v>
      </c>
    </row>
    <row r="2348" s="127">
      <c r="A2348">
        <f>IF(对接源_02物料!$C1148="","",对接源_02物料!$C1148)</f>
      </c>
      <c r="B2348">
        <f>IF(A2348="",0,IF(MATCH(A2348,$A$4:$A$2403,0)=ROW()-3,1,0))</f>
        <v>0</v>
      </c>
      <c r="C2348">
        <f>N(C2347)+B2348</f>
        <v>26</v>
      </c>
      <c r="K2348">
        <f>IF(OR($K$1="",对接源_02物料!$C1148="",对接源_02物料!$C1148&lt;&gt;$K$1,对接源_02物料!$B1148=""),0,IF(OR(N(对接源_02物料!$B1148)&lt;$K$2,N(对接源_02物料!$B1148)&gt;$K$3),0,1))</f>
        <v>0</v>
      </c>
      <c r="L2348">
        <f>IF(OR($L$1="",对接源_02物料!$C1148="",对接源_02物料!$C1148&lt;&gt;$L$1,对接源_02物料!$B1148=""),0,IF(OR(N(对接源_02物料!$B1148)&lt;$L$2,N(对接源_02物料!$B1148)&gt;$L$3),0,1))</f>
        <v>0</v>
      </c>
      <c r="M2348">
        <f>IF(OR($M$1="",对接源_02物料!$C1148="",对接源_02物料!$C1148&lt;&gt;$M$1,对接源_02物料!$B1148=""),0,IF(OR(N(对接源_02物料!$B1148)&lt;$M$2,N(对接源_02物料!$B1148)&gt;$M$3),0,1))</f>
        <v>0</v>
      </c>
      <c r="N2348">
        <f>IF(OR($N$1="",对接源_02物料!$C1148="",对接源_02物料!$C1148&lt;&gt;$N$1,对接源_02物料!$B1148=""),0,IF(OR(N(对接源_02物料!$B1148)&lt;$N$2,N(对接源_02物料!$B1148)&gt;$N$3),0,1))</f>
        <v>0</v>
      </c>
      <c r="P2348">
        <f>IF(AND($K2348=1,AND(对接源_02物料!$X1148="公司筐",N(对接源_02物料!$T1148)&lt;&gt;0)),1,0)</f>
        <v>0</v>
      </c>
      <c r="Q2348">
        <f>N(Q2347)+$P2348</f>
        <v>14</v>
      </c>
      <c r="R2348">
        <f>IF(AND($K2348=1,AND(对接源_02物料!$X1148="公司筐",N(对接源_02物料!$U1148)&lt;&gt;0)),1,0)</f>
        <v>0</v>
      </c>
      <c r="S2348">
        <f>N(S2347)+$R2348</f>
        <v>1</v>
      </c>
      <c r="T2348">
        <f>IF(AND($K2348=1,AND(对接源_02物料!$X1148="公司筐",N(对接源_02物料!$V1148)&lt;&gt;0)),1,0)</f>
        <v>0</v>
      </c>
      <c r="U2348">
        <f>N(U2347)+$T2348</f>
        <v>47</v>
      </c>
      <c r="V2348">
        <f>IF(AND($L2348=1,AND(对接源_02物料!$X1148="自备筐",N(对接源_02物料!$V1148)&lt;&gt;0)),1,0)</f>
        <v>0</v>
      </c>
      <c r="W2348">
        <f>N(W2347)+$V2348</f>
        <v>11</v>
      </c>
      <c r="X2348">
        <f>IF(AND($L2348=1,AND(对接源_02物料!$X1148="自备筐",N(对接源_02物料!$T1148)&lt;&gt;0)),1,0)</f>
        <v>0</v>
      </c>
      <c r="Y2348">
        <f>N(Y2347)+$X2348</f>
        <v>0</v>
      </c>
      <c r="Z2348">
        <f>IF(AND($M2348=1,对接源_02物料!$D1148="原料入库"),1,0)</f>
        <v>0</v>
      </c>
      <c r="AA2348">
        <f>N(AA2347)+$Z2348</f>
        <v>24</v>
      </c>
      <c r="AB2348">
        <f>IF(AND($M2348=1,LEFT(对接源_02物料!$D1148,4)="原料出库"),1,0)</f>
        <v>0</v>
      </c>
      <c r="AC2348">
        <f>N(AC2347)+$AB2348</f>
        <v>0</v>
      </c>
      <c r="AD2348">
        <f>IF(AND($M2348=1,LEFT(对接源_02物料!$D1148,4)="成品出库"),1,0)</f>
        <v>0</v>
      </c>
      <c r="AE2348">
        <f>N(AE2347)+$AD2348</f>
        <v>0</v>
      </c>
      <c r="AF2348">
        <f>IF(AND($N2348=1,AND(LEFT(对接源_02物料!$D1148,4)="包装物料",N(对接源_02物料!$K1148)&lt;&gt;0)),1,0)</f>
        <v>0</v>
      </c>
      <c r="AG2348">
        <f>N(AG2347)+$AF2348</f>
        <v>10</v>
      </c>
      <c r="AH2348">
        <f>IF(AND($N2348=1,AND(对接源_02物料!$D1148="周转筐－销售出库",N(对接源_02物料!$K1148)&lt;&gt;0)),1,0)</f>
        <v>0</v>
      </c>
      <c r="AI2348">
        <f>N(AI2347)+$AH2348</f>
        <v>0</v>
      </c>
      <c r="AL2348" t="n">
        <v>0</v>
      </c>
      <c r="AM2348">
        <f>N(AM2347)+$AL2348</f>
        <v>2</v>
      </c>
      <c r="AN2348">
        <f>""</f>
      </c>
      <c r="AO2348" t="n">
        <v>0</v>
      </c>
      <c r="AP2348">
        <f>N(AP2347)+$AO2348</f>
        <v>13</v>
      </c>
      <c r="AR2348">
        <f>IF(OR($AF2348=1,$AH2348=1),1,0)</f>
        <v>0</v>
      </c>
      <c r="AS2348">
        <f>N(AS2347)+$AR2348</f>
        <v>10</v>
      </c>
    </row>
    <row r="2349" s="127">
      <c r="A2349">
        <f>IF(对接源_02物料!$C1149="","",对接源_02物料!$C1149)</f>
      </c>
      <c r="B2349">
        <f>IF(A2349="",0,IF(MATCH(A2349,$A$4:$A$2403,0)=ROW()-3,1,0))</f>
        <v>0</v>
      </c>
      <c r="C2349">
        <f>N(C2348)+B2349</f>
        <v>26</v>
      </c>
      <c r="K2349">
        <f>IF(OR($K$1="",对接源_02物料!$C1149="",对接源_02物料!$C1149&lt;&gt;$K$1,对接源_02物料!$B1149=""),0,IF(OR(N(对接源_02物料!$B1149)&lt;$K$2,N(对接源_02物料!$B1149)&gt;$K$3),0,1))</f>
        <v>0</v>
      </c>
      <c r="L2349">
        <f>IF(OR($L$1="",对接源_02物料!$C1149="",对接源_02物料!$C1149&lt;&gt;$L$1,对接源_02物料!$B1149=""),0,IF(OR(N(对接源_02物料!$B1149)&lt;$L$2,N(对接源_02物料!$B1149)&gt;$L$3),0,1))</f>
        <v>0</v>
      </c>
      <c r="M2349">
        <f>IF(OR($M$1="",对接源_02物料!$C1149="",对接源_02物料!$C1149&lt;&gt;$M$1,对接源_02物料!$B1149=""),0,IF(OR(N(对接源_02物料!$B1149)&lt;$M$2,N(对接源_02物料!$B1149)&gt;$M$3),0,1))</f>
        <v>0</v>
      </c>
      <c r="N2349">
        <f>IF(OR($N$1="",对接源_02物料!$C1149="",对接源_02物料!$C1149&lt;&gt;$N$1,对接源_02物料!$B1149=""),0,IF(OR(N(对接源_02物料!$B1149)&lt;$N$2,N(对接源_02物料!$B1149)&gt;$N$3),0,1))</f>
        <v>0</v>
      </c>
      <c r="P2349">
        <f>IF(AND($K2349=1,AND(对接源_02物料!$X1149="公司筐",N(对接源_02物料!$T1149)&lt;&gt;0)),1,0)</f>
        <v>0</v>
      </c>
      <c r="Q2349">
        <f>N(Q2348)+$P2349</f>
        <v>14</v>
      </c>
      <c r="R2349">
        <f>IF(AND($K2349=1,AND(对接源_02物料!$X1149="公司筐",N(对接源_02物料!$U1149)&lt;&gt;0)),1,0)</f>
        <v>0</v>
      </c>
      <c r="S2349">
        <f>N(S2348)+$R2349</f>
        <v>1</v>
      </c>
      <c r="T2349">
        <f>IF(AND($K2349=1,AND(对接源_02物料!$X1149="公司筐",N(对接源_02物料!$V1149)&lt;&gt;0)),1,0)</f>
        <v>0</v>
      </c>
      <c r="U2349">
        <f>N(U2348)+$T2349</f>
        <v>47</v>
      </c>
      <c r="V2349">
        <f>IF(AND($L2349=1,AND(对接源_02物料!$X1149="自备筐",N(对接源_02物料!$V1149)&lt;&gt;0)),1,0)</f>
        <v>0</v>
      </c>
      <c r="W2349">
        <f>N(W2348)+$V2349</f>
        <v>11</v>
      </c>
      <c r="X2349">
        <f>IF(AND($L2349=1,AND(对接源_02物料!$X1149="自备筐",N(对接源_02物料!$T1149)&lt;&gt;0)),1,0)</f>
        <v>0</v>
      </c>
      <c r="Y2349">
        <f>N(Y2348)+$X2349</f>
        <v>0</v>
      </c>
      <c r="Z2349">
        <f>IF(AND($M2349=1,对接源_02物料!$D1149="原料入库"),1,0)</f>
        <v>0</v>
      </c>
      <c r="AA2349">
        <f>N(AA2348)+$Z2349</f>
        <v>24</v>
      </c>
      <c r="AB2349">
        <f>IF(AND($M2349=1,LEFT(对接源_02物料!$D1149,4)="原料出库"),1,0)</f>
        <v>0</v>
      </c>
      <c r="AC2349">
        <f>N(AC2348)+$AB2349</f>
        <v>0</v>
      </c>
      <c r="AD2349">
        <f>IF(AND($M2349=1,LEFT(对接源_02物料!$D1149,4)="成品出库"),1,0)</f>
        <v>0</v>
      </c>
      <c r="AE2349">
        <f>N(AE2348)+$AD2349</f>
        <v>0</v>
      </c>
      <c r="AF2349">
        <f>IF(AND($N2349=1,AND(LEFT(对接源_02物料!$D1149,4)="包装物料",N(对接源_02物料!$K1149)&lt;&gt;0)),1,0)</f>
        <v>0</v>
      </c>
      <c r="AG2349">
        <f>N(AG2348)+$AF2349</f>
        <v>10</v>
      </c>
      <c r="AH2349">
        <f>IF(AND($N2349=1,AND(对接源_02物料!$D1149="周转筐－销售出库",N(对接源_02物料!$K1149)&lt;&gt;0)),1,0)</f>
        <v>0</v>
      </c>
      <c r="AI2349">
        <f>N(AI2348)+$AH2349</f>
        <v>0</v>
      </c>
      <c r="AL2349" t="n">
        <v>0</v>
      </c>
      <c r="AM2349">
        <f>N(AM2348)+$AL2349</f>
        <v>2</v>
      </c>
      <c r="AN2349">
        <f>""</f>
      </c>
      <c r="AO2349" t="n">
        <v>0</v>
      </c>
      <c r="AP2349">
        <f>N(AP2348)+$AO2349</f>
        <v>13</v>
      </c>
      <c r="AR2349">
        <f>IF(OR($AF2349=1,$AH2349=1),1,0)</f>
        <v>0</v>
      </c>
      <c r="AS2349">
        <f>N(AS2348)+$AR2349</f>
        <v>10</v>
      </c>
    </row>
    <row r="2350" s="127">
      <c r="A2350">
        <f>IF(对接源_02物料!$C1150="","",对接源_02物料!$C1150)</f>
      </c>
      <c r="B2350">
        <f>IF(A2350="",0,IF(MATCH(A2350,$A$4:$A$2403,0)=ROW()-3,1,0))</f>
        <v>0</v>
      </c>
      <c r="C2350">
        <f>N(C2349)+B2350</f>
        <v>26</v>
      </c>
      <c r="K2350">
        <f>IF(OR($K$1="",对接源_02物料!$C1150="",对接源_02物料!$C1150&lt;&gt;$K$1,对接源_02物料!$B1150=""),0,IF(OR(N(对接源_02物料!$B1150)&lt;$K$2,N(对接源_02物料!$B1150)&gt;$K$3),0,1))</f>
        <v>0</v>
      </c>
      <c r="L2350">
        <f>IF(OR($L$1="",对接源_02物料!$C1150="",对接源_02物料!$C1150&lt;&gt;$L$1,对接源_02物料!$B1150=""),0,IF(OR(N(对接源_02物料!$B1150)&lt;$L$2,N(对接源_02物料!$B1150)&gt;$L$3),0,1))</f>
        <v>0</v>
      </c>
      <c r="M2350">
        <f>IF(OR($M$1="",对接源_02物料!$C1150="",对接源_02物料!$C1150&lt;&gt;$M$1,对接源_02物料!$B1150=""),0,IF(OR(N(对接源_02物料!$B1150)&lt;$M$2,N(对接源_02物料!$B1150)&gt;$M$3),0,1))</f>
        <v>0</v>
      </c>
      <c r="N2350">
        <f>IF(OR($N$1="",对接源_02物料!$C1150="",对接源_02物料!$C1150&lt;&gt;$N$1,对接源_02物料!$B1150=""),0,IF(OR(N(对接源_02物料!$B1150)&lt;$N$2,N(对接源_02物料!$B1150)&gt;$N$3),0,1))</f>
        <v>0</v>
      </c>
      <c r="P2350">
        <f>IF(AND($K2350=1,AND(对接源_02物料!$X1150="公司筐",N(对接源_02物料!$T1150)&lt;&gt;0)),1,0)</f>
        <v>0</v>
      </c>
      <c r="Q2350">
        <f>N(Q2349)+$P2350</f>
        <v>14</v>
      </c>
      <c r="R2350">
        <f>IF(AND($K2350=1,AND(对接源_02物料!$X1150="公司筐",N(对接源_02物料!$U1150)&lt;&gt;0)),1,0)</f>
        <v>0</v>
      </c>
      <c r="S2350">
        <f>N(S2349)+$R2350</f>
        <v>1</v>
      </c>
      <c r="T2350">
        <f>IF(AND($K2350=1,AND(对接源_02物料!$X1150="公司筐",N(对接源_02物料!$V1150)&lt;&gt;0)),1,0)</f>
        <v>0</v>
      </c>
      <c r="U2350">
        <f>N(U2349)+$T2350</f>
        <v>47</v>
      </c>
      <c r="V2350">
        <f>IF(AND($L2350=1,AND(对接源_02物料!$X1150="自备筐",N(对接源_02物料!$V1150)&lt;&gt;0)),1,0)</f>
        <v>0</v>
      </c>
      <c r="W2350">
        <f>N(W2349)+$V2350</f>
        <v>11</v>
      </c>
      <c r="X2350">
        <f>IF(AND($L2350=1,AND(对接源_02物料!$X1150="自备筐",N(对接源_02物料!$T1150)&lt;&gt;0)),1,0)</f>
        <v>0</v>
      </c>
      <c r="Y2350">
        <f>N(Y2349)+$X2350</f>
        <v>0</v>
      </c>
      <c r="Z2350">
        <f>IF(AND($M2350=1,对接源_02物料!$D1150="原料入库"),1,0)</f>
        <v>0</v>
      </c>
      <c r="AA2350">
        <f>N(AA2349)+$Z2350</f>
        <v>24</v>
      </c>
      <c r="AB2350">
        <f>IF(AND($M2350=1,LEFT(对接源_02物料!$D1150,4)="原料出库"),1,0)</f>
        <v>0</v>
      </c>
      <c r="AC2350">
        <f>N(AC2349)+$AB2350</f>
        <v>0</v>
      </c>
      <c r="AD2350">
        <f>IF(AND($M2350=1,LEFT(对接源_02物料!$D1150,4)="成品出库"),1,0)</f>
        <v>0</v>
      </c>
      <c r="AE2350">
        <f>N(AE2349)+$AD2350</f>
        <v>0</v>
      </c>
      <c r="AF2350">
        <f>IF(AND($N2350=1,AND(LEFT(对接源_02物料!$D1150,4)="包装物料",N(对接源_02物料!$K1150)&lt;&gt;0)),1,0)</f>
        <v>0</v>
      </c>
      <c r="AG2350">
        <f>N(AG2349)+$AF2350</f>
        <v>10</v>
      </c>
      <c r="AH2350">
        <f>IF(AND($N2350=1,AND(对接源_02物料!$D1150="周转筐－销售出库",N(对接源_02物料!$K1150)&lt;&gt;0)),1,0)</f>
        <v>0</v>
      </c>
      <c r="AI2350">
        <f>N(AI2349)+$AH2350</f>
        <v>0</v>
      </c>
      <c r="AL2350" t="n">
        <v>0</v>
      </c>
      <c r="AM2350">
        <f>N(AM2349)+$AL2350</f>
        <v>2</v>
      </c>
      <c r="AN2350">
        <f>""</f>
      </c>
      <c r="AO2350" t="n">
        <v>0</v>
      </c>
      <c r="AP2350">
        <f>N(AP2349)+$AO2350</f>
        <v>13</v>
      </c>
      <c r="AR2350">
        <f>IF(OR($AF2350=1,$AH2350=1),1,0)</f>
        <v>0</v>
      </c>
      <c r="AS2350">
        <f>N(AS2349)+$AR2350</f>
        <v>10</v>
      </c>
    </row>
    <row r="2351" s="127">
      <c r="A2351">
        <f>IF(对接源_02物料!$C1151="","",对接源_02物料!$C1151)</f>
      </c>
      <c r="B2351">
        <f>IF(A2351="",0,IF(MATCH(A2351,$A$4:$A$2403,0)=ROW()-3,1,0))</f>
        <v>0</v>
      </c>
      <c r="C2351">
        <f>N(C2350)+B2351</f>
        <v>26</v>
      </c>
      <c r="K2351">
        <f>IF(OR($K$1="",对接源_02物料!$C1151="",对接源_02物料!$C1151&lt;&gt;$K$1,对接源_02物料!$B1151=""),0,IF(OR(N(对接源_02物料!$B1151)&lt;$K$2,N(对接源_02物料!$B1151)&gt;$K$3),0,1))</f>
        <v>0</v>
      </c>
      <c r="L2351">
        <f>IF(OR($L$1="",对接源_02物料!$C1151="",对接源_02物料!$C1151&lt;&gt;$L$1,对接源_02物料!$B1151=""),0,IF(OR(N(对接源_02物料!$B1151)&lt;$L$2,N(对接源_02物料!$B1151)&gt;$L$3),0,1))</f>
        <v>0</v>
      </c>
      <c r="M2351">
        <f>IF(OR($M$1="",对接源_02物料!$C1151="",对接源_02物料!$C1151&lt;&gt;$M$1,对接源_02物料!$B1151=""),0,IF(OR(N(对接源_02物料!$B1151)&lt;$M$2,N(对接源_02物料!$B1151)&gt;$M$3),0,1))</f>
        <v>0</v>
      </c>
      <c r="N2351">
        <f>IF(OR($N$1="",对接源_02物料!$C1151="",对接源_02物料!$C1151&lt;&gt;$N$1,对接源_02物料!$B1151=""),0,IF(OR(N(对接源_02物料!$B1151)&lt;$N$2,N(对接源_02物料!$B1151)&gt;$N$3),0,1))</f>
        <v>0</v>
      </c>
      <c r="P2351">
        <f>IF(AND($K2351=1,AND(对接源_02物料!$X1151="公司筐",N(对接源_02物料!$T1151)&lt;&gt;0)),1,0)</f>
        <v>0</v>
      </c>
      <c r="Q2351">
        <f>N(Q2350)+$P2351</f>
        <v>14</v>
      </c>
      <c r="R2351">
        <f>IF(AND($K2351=1,AND(对接源_02物料!$X1151="公司筐",N(对接源_02物料!$U1151)&lt;&gt;0)),1,0)</f>
        <v>0</v>
      </c>
      <c r="S2351">
        <f>N(S2350)+$R2351</f>
        <v>1</v>
      </c>
      <c r="T2351">
        <f>IF(AND($K2351=1,AND(对接源_02物料!$X1151="公司筐",N(对接源_02物料!$V1151)&lt;&gt;0)),1,0)</f>
        <v>0</v>
      </c>
      <c r="U2351">
        <f>N(U2350)+$T2351</f>
        <v>47</v>
      </c>
      <c r="V2351">
        <f>IF(AND($L2351=1,AND(对接源_02物料!$X1151="自备筐",N(对接源_02物料!$V1151)&lt;&gt;0)),1,0)</f>
        <v>0</v>
      </c>
      <c r="W2351">
        <f>N(W2350)+$V2351</f>
        <v>11</v>
      </c>
      <c r="X2351">
        <f>IF(AND($L2351=1,AND(对接源_02物料!$X1151="自备筐",N(对接源_02物料!$T1151)&lt;&gt;0)),1,0)</f>
        <v>0</v>
      </c>
      <c r="Y2351">
        <f>N(Y2350)+$X2351</f>
        <v>0</v>
      </c>
      <c r="Z2351">
        <f>IF(AND($M2351=1,对接源_02物料!$D1151="原料入库"),1,0)</f>
        <v>0</v>
      </c>
      <c r="AA2351">
        <f>N(AA2350)+$Z2351</f>
        <v>24</v>
      </c>
      <c r="AB2351">
        <f>IF(AND($M2351=1,LEFT(对接源_02物料!$D1151,4)="原料出库"),1,0)</f>
        <v>0</v>
      </c>
      <c r="AC2351">
        <f>N(AC2350)+$AB2351</f>
        <v>0</v>
      </c>
      <c r="AD2351">
        <f>IF(AND($M2351=1,LEFT(对接源_02物料!$D1151,4)="成品出库"),1,0)</f>
        <v>0</v>
      </c>
      <c r="AE2351">
        <f>N(AE2350)+$AD2351</f>
        <v>0</v>
      </c>
      <c r="AF2351">
        <f>IF(AND($N2351=1,AND(LEFT(对接源_02物料!$D1151,4)="包装物料",N(对接源_02物料!$K1151)&lt;&gt;0)),1,0)</f>
        <v>0</v>
      </c>
      <c r="AG2351">
        <f>N(AG2350)+$AF2351</f>
        <v>10</v>
      </c>
      <c r="AH2351">
        <f>IF(AND($N2351=1,AND(对接源_02物料!$D1151="周转筐－销售出库",N(对接源_02物料!$K1151)&lt;&gt;0)),1,0)</f>
        <v>0</v>
      </c>
      <c r="AI2351">
        <f>N(AI2350)+$AH2351</f>
        <v>0</v>
      </c>
      <c r="AL2351" t="n">
        <v>0</v>
      </c>
      <c r="AM2351">
        <f>N(AM2350)+$AL2351</f>
        <v>2</v>
      </c>
      <c r="AN2351">
        <f>""</f>
      </c>
      <c r="AO2351" t="n">
        <v>0</v>
      </c>
      <c r="AP2351">
        <f>N(AP2350)+$AO2351</f>
        <v>13</v>
      </c>
      <c r="AR2351">
        <f>IF(OR($AF2351=1,$AH2351=1),1,0)</f>
        <v>0</v>
      </c>
      <c r="AS2351">
        <f>N(AS2350)+$AR2351</f>
        <v>10</v>
      </c>
    </row>
    <row r="2352" s="127">
      <c r="A2352">
        <f>IF(对接源_02物料!$C1152="","",对接源_02物料!$C1152)</f>
      </c>
      <c r="B2352">
        <f>IF(A2352="",0,IF(MATCH(A2352,$A$4:$A$2403,0)=ROW()-3,1,0))</f>
        <v>0</v>
      </c>
      <c r="C2352">
        <f>N(C2351)+B2352</f>
        <v>26</v>
      </c>
      <c r="K2352">
        <f>IF(OR($K$1="",对接源_02物料!$C1152="",对接源_02物料!$C1152&lt;&gt;$K$1,对接源_02物料!$B1152=""),0,IF(OR(N(对接源_02物料!$B1152)&lt;$K$2,N(对接源_02物料!$B1152)&gt;$K$3),0,1))</f>
        <v>0</v>
      </c>
      <c r="L2352">
        <f>IF(OR($L$1="",对接源_02物料!$C1152="",对接源_02物料!$C1152&lt;&gt;$L$1,对接源_02物料!$B1152=""),0,IF(OR(N(对接源_02物料!$B1152)&lt;$L$2,N(对接源_02物料!$B1152)&gt;$L$3),0,1))</f>
        <v>0</v>
      </c>
      <c r="M2352">
        <f>IF(OR($M$1="",对接源_02物料!$C1152="",对接源_02物料!$C1152&lt;&gt;$M$1,对接源_02物料!$B1152=""),0,IF(OR(N(对接源_02物料!$B1152)&lt;$M$2,N(对接源_02物料!$B1152)&gt;$M$3),0,1))</f>
        <v>0</v>
      </c>
      <c r="N2352">
        <f>IF(OR($N$1="",对接源_02物料!$C1152="",对接源_02物料!$C1152&lt;&gt;$N$1,对接源_02物料!$B1152=""),0,IF(OR(N(对接源_02物料!$B1152)&lt;$N$2,N(对接源_02物料!$B1152)&gt;$N$3),0,1))</f>
        <v>0</v>
      </c>
      <c r="P2352">
        <f>IF(AND($K2352=1,AND(对接源_02物料!$X1152="公司筐",N(对接源_02物料!$T1152)&lt;&gt;0)),1,0)</f>
        <v>0</v>
      </c>
      <c r="Q2352">
        <f>N(Q2351)+$P2352</f>
        <v>14</v>
      </c>
      <c r="R2352">
        <f>IF(AND($K2352=1,AND(对接源_02物料!$X1152="公司筐",N(对接源_02物料!$U1152)&lt;&gt;0)),1,0)</f>
        <v>0</v>
      </c>
      <c r="S2352">
        <f>N(S2351)+$R2352</f>
        <v>1</v>
      </c>
      <c r="T2352">
        <f>IF(AND($K2352=1,AND(对接源_02物料!$X1152="公司筐",N(对接源_02物料!$V1152)&lt;&gt;0)),1,0)</f>
        <v>0</v>
      </c>
      <c r="U2352">
        <f>N(U2351)+$T2352</f>
        <v>47</v>
      </c>
      <c r="V2352">
        <f>IF(AND($L2352=1,AND(对接源_02物料!$X1152="自备筐",N(对接源_02物料!$V1152)&lt;&gt;0)),1,0)</f>
        <v>0</v>
      </c>
      <c r="W2352">
        <f>N(W2351)+$V2352</f>
        <v>11</v>
      </c>
      <c r="X2352">
        <f>IF(AND($L2352=1,AND(对接源_02物料!$X1152="自备筐",N(对接源_02物料!$T1152)&lt;&gt;0)),1,0)</f>
        <v>0</v>
      </c>
      <c r="Y2352">
        <f>N(Y2351)+$X2352</f>
        <v>0</v>
      </c>
      <c r="Z2352">
        <f>IF(AND($M2352=1,对接源_02物料!$D1152="原料入库"),1,0)</f>
        <v>0</v>
      </c>
      <c r="AA2352">
        <f>N(AA2351)+$Z2352</f>
        <v>24</v>
      </c>
      <c r="AB2352">
        <f>IF(AND($M2352=1,LEFT(对接源_02物料!$D1152,4)="原料出库"),1,0)</f>
        <v>0</v>
      </c>
      <c r="AC2352">
        <f>N(AC2351)+$AB2352</f>
        <v>0</v>
      </c>
      <c r="AD2352">
        <f>IF(AND($M2352=1,LEFT(对接源_02物料!$D1152,4)="成品出库"),1,0)</f>
        <v>0</v>
      </c>
      <c r="AE2352">
        <f>N(AE2351)+$AD2352</f>
        <v>0</v>
      </c>
      <c r="AF2352">
        <f>IF(AND($N2352=1,AND(LEFT(对接源_02物料!$D1152,4)="包装物料",N(对接源_02物料!$K1152)&lt;&gt;0)),1,0)</f>
        <v>0</v>
      </c>
      <c r="AG2352">
        <f>N(AG2351)+$AF2352</f>
        <v>10</v>
      </c>
      <c r="AH2352">
        <f>IF(AND($N2352=1,AND(对接源_02物料!$D1152="周转筐－销售出库",N(对接源_02物料!$K1152)&lt;&gt;0)),1,0)</f>
        <v>0</v>
      </c>
      <c r="AI2352">
        <f>N(AI2351)+$AH2352</f>
        <v>0</v>
      </c>
      <c r="AL2352" t="n">
        <v>0</v>
      </c>
      <c r="AM2352">
        <f>N(AM2351)+$AL2352</f>
        <v>2</v>
      </c>
      <c r="AN2352">
        <f>""</f>
      </c>
      <c r="AO2352" t="n">
        <v>0</v>
      </c>
      <c r="AP2352">
        <f>N(AP2351)+$AO2352</f>
        <v>13</v>
      </c>
      <c r="AR2352">
        <f>IF(OR($AF2352=1,$AH2352=1),1,0)</f>
        <v>0</v>
      </c>
      <c r="AS2352">
        <f>N(AS2351)+$AR2352</f>
        <v>10</v>
      </c>
    </row>
    <row r="2353" s="127">
      <c r="A2353">
        <f>IF(对接源_02物料!$C1153="","",对接源_02物料!$C1153)</f>
      </c>
      <c r="B2353">
        <f>IF(A2353="",0,IF(MATCH(A2353,$A$4:$A$2403,0)=ROW()-3,1,0))</f>
        <v>0</v>
      </c>
      <c r="C2353">
        <f>N(C2352)+B2353</f>
        <v>26</v>
      </c>
      <c r="K2353">
        <f>IF(OR($K$1="",对接源_02物料!$C1153="",对接源_02物料!$C1153&lt;&gt;$K$1,对接源_02物料!$B1153=""),0,IF(OR(N(对接源_02物料!$B1153)&lt;$K$2,N(对接源_02物料!$B1153)&gt;$K$3),0,1))</f>
        <v>0</v>
      </c>
      <c r="L2353">
        <f>IF(OR($L$1="",对接源_02物料!$C1153="",对接源_02物料!$C1153&lt;&gt;$L$1,对接源_02物料!$B1153=""),0,IF(OR(N(对接源_02物料!$B1153)&lt;$L$2,N(对接源_02物料!$B1153)&gt;$L$3),0,1))</f>
        <v>0</v>
      </c>
      <c r="M2353">
        <f>IF(OR($M$1="",对接源_02物料!$C1153="",对接源_02物料!$C1153&lt;&gt;$M$1,对接源_02物料!$B1153=""),0,IF(OR(N(对接源_02物料!$B1153)&lt;$M$2,N(对接源_02物料!$B1153)&gt;$M$3),0,1))</f>
        <v>0</v>
      </c>
      <c r="N2353">
        <f>IF(OR($N$1="",对接源_02物料!$C1153="",对接源_02物料!$C1153&lt;&gt;$N$1,对接源_02物料!$B1153=""),0,IF(OR(N(对接源_02物料!$B1153)&lt;$N$2,N(对接源_02物料!$B1153)&gt;$N$3),0,1))</f>
        <v>0</v>
      </c>
      <c r="P2353">
        <f>IF(AND($K2353=1,AND(对接源_02物料!$X1153="公司筐",N(对接源_02物料!$T1153)&lt;&gt;0)),1,0)</f>
        <v>0</v>
      </c>
      <c r="Q2353">
        <f>N(Q2352)+$P2353</f>
        <v>14</v>
      </c>
      <c r="R2353">
        <f>IF(AND($K2353=1,AND(对接源_02物料!$X1153="公司筐",N(对接源_02物料!$U1153)&lt;&gt;0)),1,0)</f>
        <v>0</v>
      </c>
      <c r="S2353">
        <f>N(S2352)+$R2353</f>
        <v>1</v>
      </c>
      <c r="T2353">
        <f>IF(AND($K2353=1,AND(对接源_02物料!$X1153="公司筐",N(对接源_02物料!$V1153)&lt;&gt;0)),1,0)</f>
        <v>0</v>
      </c>
      <c r="U2353">
        <f>N(U2352)+$T2353</f>
        <v>47</v>
      </c>
      <c r="V2353">
        <f>IF(AND($L2353=1,AND(对接源_02物料!$X1153="自备筐",N(对接源_02物料!$V1153)&lt;&gt;0)),1,0)</f>
        <v>0</v>
      </c>
      <c r="W2353">
        <f>N(W2352)+$V2353</f>
        <v>11</v>
      </c>
      <c r="X2353">
        <f>IF(AND($L2353=1,AND(对接源_02物料!$X1153="自备筐",N(对接源_02物料!$T1153)&lt;&gt;0)),1,0)</f>
        <v>0</v>
      </c>
      <c r="Y2353">
        <f>N(Y2352)+$X2353</f>
        <v>0</v>
      </c>
      <c r="Z2353">
        <f>IF(AND($M2353=1,对接源_02物料!$D1153="原料入库"),1,0)</f>
        <v>0</v>
      </c>
      <c r="AA2353">
        <f>N(AA2352)+$Z2353</f>
        <v>24</v>
      </c>
      <c r="AB2353">
        <f>IF(AND($M2353=1,LEFT(对接源_02物料!$D1153,4)="原料出库"),1,0)</f>
        <v>0</v>
      </c>
      <c r="AC2353">
        <f>N(AC2352)+$AB2353</f>
        <v>0</v>
      </c>
      <c r="AD2353">
        <f>IF(AND($M2353=1,LEFT(对接源_02物料!$D1153,4)="成品出库"),1,0)</f>
        <v>0</v>
      </c>
      <c r="AE2353">
        <f>N(AE2352)+$AD2353</f>
        <v>0</v>
      </c>
      <c r="AF2353">
        <f>IF(AND($N2353=1,AND(LEFT(对接源_02物料!$D1153,4)="包装物料",N(对接源_02物料!$K1153)&lt;&gt;0)),1,0)</f>
        <v>0</v>
      </c>
      <c r="AG2353">
        <f>N(AG2352)+$AF2353</f>
        <v>10</v>
      </c>
      <c r="AH2353">
        <f>IF(AND($N2353=1,AND(对接源_02物料!$D1153="周转筐－销售出库",N(对接源_02物料!$K1153)&lt;&gt;0)),1,0)</f>
        <v>0</v>
      </c>
      <c r="AI2353">
        <f>N(AI2352)+$AH2353</f>
        <v>0</v>
      </c>
      <c r="AL2353" t="n">
        <v>0</v>
      </c>
      <c r="AM2353">
        <f>N(AM2352)+$AL2353</f>
        <v>2</v>
      </c>
      <c r="AN2353">
        <f>""</f>
      </c>
      <c r="AO2353" t="n">
        <v>0</v>
      </c>
      <c r="AP2353">
        <f>N(AP2352)+$AO2353</f>
        <v>13</v>
      </c>
      <c r="AR2353">
        <f>IF(OR($AF2353=1,$AH2353=1),1,0)</f>
        <v>0</v>
      </c>
      <c r="AS2353">
        <f>N(AS2352)+$AR2353</f>
        <v>10</v>
      </c>
    </row>
    <row r="2354" s="127">
      <c r="A2354">
        <f>IF(对接源_02物料!$C1154="","",对接源_02物料!$C1154)</f>
      </c>
      <c r="B2354">
        <f>IF(A2354="",0,IF(MATCH(A2354,$A$4:$A$2403,0)=ROW()-3,1,0))</f>
        <v>0</v>
      </c>
      <c r="C2354">
        <f>N(C2353)+B2354</f>
        <v>26</v>
      </c>
      <c r="K2354">
        <f>IF(OR($K$1="",对接源_02物料!$C1154="",对接源_02物料!$C1154&lt;&gt;$K$1,对接源_02物料!$B1154=""),0,IF(OR(N(对接源_02物料!$B1154)&lt;$K$2,N(对接源_02物料!$B1154)&gt;$K$3),0,1))</f>
        <v>0</v>
      </c>
      <c r="L2354">
        <f>IF(OR($L$1="",对接源_02物料!$C1154="",对接源_02物料!$C1154&lt;&gt;$L$1,对接源_02物料!$B1154=""),0,IF(OR(N(对接源_02物料!$B1154)&lt;$L$2,N(对接源_02物料!$B1154)&gt;$L$3),0,1))</f>
        <v>0</v>
      </c>
      <c r="M2354">
        <f>IF(OR($M$1="",对接源_02物料!$C1154="",对接源_02物料!$C1154&lt;&gt;$M$1,对接源_02物料!$B1154=""),0,IF(OR(N(对接源_02物料!$B1154)&lt;$M$2,N(对接源_02物料!$B1154)&gt;$M$3),0,1))</f>
        <v>0</v>
      </c>
      <c r="N2354">
        <f>IF(OR($N$1="",对接源_02物料!$C1154="",对接源_02物料!$C1154&lt;&gt;$N$1,对接源_02物料!$B1154=""),0,IF(OR(N(对接源_02物料!$B1154)&lt;$N$2,N(对接源_02物料!$B1154)&gt;$N$3),0,1))</f>
        <v>0</v>
      </c>
      <c r="P2354">
        <f>IF(AND($K2354=1,AND(对接源_02物料!$X1154="公司筐",N(对接源_02物料!$T1154)&lt;&gt;0)),1,0)</f>
        <v>0</v>
      </c>
      <c r="Q2354">
        <f>N(Q2353)+$P2354</f>
        <v>14</v>
      </c>
      <c r="R2354">
        <f>IF(AND($K2354=1,AND(对接源_02物料!$X1154="公司筐",N(对接源_02物料!$U1154)&lt;&gt;0)),1,0)</f>
        <v>0</v>
      </c>
      <c r="S2354">
        <f>N(S2353)+$R2354</f>
        <v>1</v>
      </c>
      <c r="T2354">
        <f>IF(AND($K2354=1,AND(对接源_02物料!$X1154="公司筐",N(对接源_02物料!$V1154)&lt;&gt;0)),1,0)</f>
        <v>0</v>
      </c>
      <c r="U2354">
        <f>N(U2353)+$T2354</f>
        <v>47</v>
      </c>
      <c r="V2354">
        <f>IF(AND($L2354=1,AND(对接源_02物料!$X1154="自备筐",N(对接源_02物料!$V1154)&lt;&gt;0)),1,0)</f>
        <v>0</v>
      </c>
      <c r="W2354">
        <f>N(W2353)+$V2354</f>
        <v>11</v>
      </c>
      <c r="X2354">
        <f>IF(AND($L2354=1,AND(对接源_02物料!$X1154="自备筐",N(对接源_02物料!$T1154)&lt;&gt;0)),1,0)</f>
        <v>0</v>
      </c>
      <c r="Y2354">
        <f>N(Y2353)+$X2354</f>
        <v>0</v>
      </c>
      <c r="Z2354">
        <f>IF(AND($M2354=1,对接源_02物料!$D1154="原料入库"),1,0)</f>
        <v>0</v>
      </c>
      <c r="AA2354">
        <f>N(AA2353)+$Z2354</f>
        <v>24</v>
      </c>
      <c r="AB2354">
        <f>IF(AND($M2354=1,LEFT(对接源_02物料!$D1154,4)="原料出库"),1,0)</f>
        <v>0</v>
      </c>
      <c r="AC2354">
        <f>N(AC2353)+$AB2354</f>
        <v>0</v>
      </c>
      <c r="AD2354">
        <f>IF(AND($M2354=1,LEFT(对接源_02物料!$D1154,4)="成品出库"),1,0)</f>
        <v>0</v>
      </c>
      <c r="AE2354">
        <f>N(AE2353)+$AD2354</f>
        <v>0</v>
      </c>
      <c r="AF2354">
        <f>IF(AND($N2354=1,AND(LEFT(对接源_02物料!$D1154,4)="包装物料",N(对接源_02物料!$K1154)&lt;&gt;0)),1,0)</f>
        <v>0</v>
      </c>
      <c r="AG2354">
        <f>N(AG2353)+$AF2354</f>
        <v>10</v>
      </c>
      <c r="AH2354">
        <f>IF(AND($N2354=1,AND(对接源_02物料!$D1154="周转筐－销售出库",N(对接源_02物料!$K1154)&lt;&gt;0)),1,0)</f>
        <v>0</v>
      </c>
      <c r="AI2354">
        <f>N(AI2353)+$AH2354</f>
        <v>0</v>
      </c>
      <c r="AL2354" t="n">
        <v>0</v>
      </c>
      <c r="AM2354">
        <f>N(AM2353)+$AL2354</f>
        <v>2</v>
      </c>
      <c r="AN2354">
        <f>""</f>
      </c>
      <c r="AO2354" t="n">
        <v>0</v>
      </c>
      <c r="AP2354">
        <f>N(AP2353)+$AO2354</f>
        <v>13</v>
      </c>
      <c r="AR2354">
        <f>IF(OR($AF2354=1,$AH2354=1),1,0)</f>
        <v>0</v>
      </c>
      <c r="AS2354">
        <f>N(AS2353)+$AR2354</f>
        <v>10</v>
      </c>
    </row>
    <row r="2355" s="127">
      <c r="A2355">
        <f>IF(对接源_02物料!$C1155="","",对接源_02物料!$C1155)</f>
      </c>
      <c r="B2355">
        <f>IF(A2355="",0,IF(MATCH(A2355,$A$4:$A$2403,0)=ROW()-3,1,0))</f>
        <v>0</v>
      </c>
      <c r="C2355">
        <f>N(C2354)+B2355</f>
        <v>26</v>
      </c>
      <c r="K2355">
        <f>IF(OR($K$1="",对接源_02物料!$C1155="",对接源_02物料!$C1155&lt;&gt;$K$1,对接源_02物料!$B1155=""),0,IF(OR(N(对接源_02物料!$B1155)&lt;$K$2,N(对接源_02物料!$B1155)&gt;$K$3),0,1))</f>
        <v>0</v>
      </c>
      <c r="L2355">
        <f>IF(OR($L$1="",对接源_02物料!$C1155="",对接源_02物料!$C1155&lt;&gt;$L$1,对接源_02物料!$B1155=""),0,IF(OR(N(对接源_02物料!$B1155)&lt;$L$2,N(对接源_02物料!$B1155)&gt;$L$3),0,1))</f>
        <v>0</v>
      </c>
      <c r="M2355">
        <f>IF(OR($M$1="",对接源_02物料!$C1155="",对接源_02物料!$C1155&lt;&gt;$M$1,对接源_02物料!$B1155=""),0,IF(OR(N(对接源_02物料!$B1155)&lt;$M$2,N(对接源_02物料!$B1155)&gt;$M$3),0,1))</f>
        <v>0</v>
      </c>
      <c r="N2355">
        <f>IF(OR($N$1="",对接源_02物料!$C1155="",对接源_02物料!$C1155&lt;&gt;$N$1,对接源_02物料!$B1155=""),0,IF(OR(N(对接源_02物料!$B1155)&lt;$N$2,N(对接源_02物料!$B1155)&gt;$N$3),0,1))</f>
        <v>0</v>
      </c>
      <c r="P2355">
        <f>IF(AND($K2355=1,AND(对接源_02物料!$X1155="公司筐",N(对接源_02物料!$T1155)&lt;&gt;0)),1,0)</f>
        <v>0</v>
      </c>
      <c r="Q2355">
        <f>N(Q2354)+$P2355</f>
        <v>14</v>
      </c>
      <c r="R2355">
        <f>IF(AND($K2355=1,AND(对接源_02物料!$X1155="公司筐",N(对接源_02物料!$U1155)&lt;&gt;0)),1,0)</f>
        <v>0</v>
      </c>
      <c r="S2355">
        <f>N(S2354)+$R2355</f>
        <v>1</v>
      </c>
      <c r="T2355">
        <f>IF(AND($K2355=1,AND(对接源_02物料!$X1155="公司筐",N(对接源_02物料!$V1155)&lt;&gt;0)),1,0)</f>
        <v>0</v>
      </c>
      <c r="U2355">
        <f>N(U2354)+$T2355</f>
        <v>47</v>
      </c>
      <c r="V2355">
        <f>IF(AND($L2355=1,AND(对接源_02物料!$X1155="自备筐",N(对接源_02物料!$V1155)&lt;&gt;0)),1,0)</f>
        <v>0</v>
      </c>
      <c r="W2355">
        <f>N(W2354)+$V2355</f>
        <v>11</v>
      </c>
      <c r="X2355">
        <f>IF(AND($L2355=1,AND(对接源_02物料!$X1155="自备筐",N(对接源_02物料!$T1155)&lt;&gt;0)),1,0)</f>
        <v>0</v>
      </c>
      <c r="Y2355">
        <f>N(Y2354)+$X2355</f>
        <v>0</v>
      </c>
      <c r="Z2355">
        <f>IF(AND($M2355=1,对接源_02物料!$D1155="原料入库"),1,0)</f>
        <v>0</v>
      </c>
      <c r="AA2355">
        <f>N(AA2354)+$Z2355</f>
        <v>24</v>
      </c>
      <c r="AB2355">
        <f>IF(AND($M2355=1,LEFT(对接源_02物料!$D1155,4)="原料出库"),1,0)</f>
        <v>0</v>
      </c>
      <c r="AC2355">
        <f>N(AC2354)+$AB2355</f>
        <v>0</v>
      </c>
      <c r="AD2355">
        <f>IF(AND($M2355=1,LEFT(对接源_02物料!$D1155,4)="成品出库"),1,0)</f>
        <v>0</v>
      </c>
      <c r="AE2355">
        <f>N(AE2354)+$AD2355</f>
        <v>0</v>
      </c>
      <c r="AF2355">
        <f>IF(AND($N2355=1,AND(LEFT(对接源_02物料!$D1155,4)="包装物料",N(对接源_02物料!$K1155)&lt;&gt;0)),1,0)</f>
        <v>0</v>
      </c>
      <c r="AG2355">
        <f>N(AG2354)+$AF2355</f>
        <v>10</v>
      </c>
      <c r="AH2355">
        <f>IF(AND($N2355=1,AND(对接源_02物料!$D1155="周转筐－销售出库",N(对接源_02物料!$K1155)&lt;&gt;0)),1,0)</f>
        <v>0</v>
      </c>
      <c r="AI2355">
        <f>N(AI2354)+$AH2355</f>
        <v>0</v>
      </c>
      <c r="AL2355" t="n">
        <v>0</v>
      </c>
      <c r="AM2355">
        <f>N(AM2354)+$AL2355</f>
        <v>2</v>
      </c>
      <c r="AN2355">
        <f>""</f>
      </c>
      <c r="AO2355" t="n">
        <v>0</v>
      </c>
      <c r="AP2355">
        <f>N(AP2354)+$AO2355</f>
        <v>13</v>
      </c>
      <c r="AR2355">
        <f>IF(OR($AF2355=1,$AH2355=1),1,0)</f>
        <v>0</v>
      </c>
      <c r="AS2355">
        <f>N(AS2354)+$AR2355</f>
        <v>10</v>
      </c>
    </row>
    <row r="2356" s="127">
      <c r="A2356">
        <f>IF(对接源_02物料!$C1156="","",对接源_02物料!$C1156)</f>
      </c>
      <c r="B2356">
        <f>IF(A2356="",0,IF(MATCH(A2356,$A$4:$A$2403,0)=ROW()-3,1,0))</f>
        <v>0</v>
      </c>
      <c r="C2356">
        <f>N(C2355)+B2356</f>
        <v>26</v>
      </c>
      <c r="K2356">
        <f>IF(OR($K$1="",对接源_02物料!$C1156="",对接源_02物料!$C1156&lt;&gt;$K$1,对接源_02物料!$B1156=""),0,IF(OR(N(对接源_02物料!$B1156)&lt;$K$2,N(对接源_02物料!$B1156)&gt;$K$3),0,1))</f>
        <v>0</v>
      </c>
      <c r="L2356">
        <f>IF(OR($L$1="",对接源_02物料!$C1156="",对接源_02物料!$C1156&lt;&gt;$L$1,对接源_02物料!$B1156=""),0,IF(OR(N(对接源_02物料!$B1156)&lt;$L$2,N(对接源_02物料!$B1156)&gt;$L$3),0,1))</f>
        <v>0</v>
      </c>
      <c r="M2356">
        <f>IF(OR($M$1="",对接源_02物料!$C1156="",对接源_02物料!$C1156&lt;&gt;$M$1,对接源_02物料!$B1156=""),0,IF(OR(N(对接源_02物料!$B1156)&lt;$M$2,N(对接源_02物料!$B1156)&gt;$M$3),0,1))</f>
        <v>0</v>
      </c>
      <c r="N2356">
        <f>IF(OR($N$1="",对接源_02物料!$C1156="",对接源_02物料!$C1156&lt;&gt;$N$1,对接源_02物料!$B1156=""),0,IF(OR(N(对接源_02物料!$B1156)&lt;$N$2,N(对接源_02物料!$B1156)&gt;$N$3),0,1))</f>
        <v>0</v>
      </c>
      <c r="P2356">
        <f>IF(AND($K2356=1,AND(对接源_02物料!$X1156="公司筐",N(对接源_02物料!$T1156)&lt;&gt;0)),1,0)</f>
        <v>0</v>
      </c>
      <c r="Q2356">
        <f>N(Q2355)+$P2356</f>
        <v>14</v>
      </c>
      <c r="R2356">
        <f>IF(AND($K2356=1,AND(对接源_02物料!$X1156="公司筐",N(对接源_02物料!$U1156)&lt;&gt;0)),1,0)</f>
        <v>0</v>
      </c>
      <c r="S2356">
        <f>N(S2355)+$R2356</f>
        <v>1</v>
      </c>
      <c r="T2356">
        <f>IF(AND($K2356=1,AND(对接源_02物料!$X1156="公司筐",N(对接源_02物料!$V1156)&lt;&gt;0)),1,0)</f>
        <v>0</v>
      </c>
      <c r="U2356">
        <f>N(U2355)+$T2356</f>
        <v>47</v>
      </c>
      <c r="V2356">
        <f>IF(AND($L2356=1,AND(对接源_02物料!$X1156="自备筐",N(对接源_02物料!$V1156)&lt;&gt;0)),1,0)</f>
        <v>0</v>
      </c>
      <c r="W2356">
        <f>N(W2355)+$V2356</f>
        <v>11</v>
      </c>
      <c r="X2356">
        <f>IF(AND($L2356=1,AND(对接源_02物料!$X1156="自备筐",N(对接源_02物料!$T1156)&lt;&gt;0)),1,0)</f>
        <v>0</v>
      </c>
      <c r="Y2356">
        <f>N(Y2355)+$X2356</f>
        <v>0</v>
      </c>
      <c r="Z2356">
        <f>IF(AND($M2356=1,对接源_02物料!$D1156="原料入库"),1,0)</f>
        <v>0</v>
      </c>
      <c r="AA2356">
        <f>N(AA2355)+$Z2356</f>
        <v>24</v>
      </c>
      <c r="AB2356">
        <f>IF(AND($M2356=1,LEFT(对接源_02物料!$D1156,4)="原料出库"),1,0)</f>
        <v>0</v>
      </c>
      <c r="AC2356">
        <f>N(AC2355)+$AB2356</f>
        <v>0</v>
      </c>
      <c r="AD2356">
        <f>IF(AND($M2356=1,LEFT(对接源_02物料!$D1156,4)="成品出库"),1,0)</f>
        <v>0</v>
      </c>
      <c r="AE2356">
        <f>N(AE2355)+$AD2356</f>
        <v>0</v>
      </c>
      <c r="AF2356">
        <f>IF(AND($N2356=1,AND(LEFT(对接源_02物料!$D1156,4)="包装物料",N(对接源_02物料!$K1156)&lt;&gt;0)),1,0)</f>
        <v>0</v>
      </c>
      <c r="AG2356">
        <f>N(AG2355)+$AF2356</f>
        <v>10</v>
      </c>
      <c r="AH2356">
        <f>IF(AND($N2356=1,AND(对接源_02物料!$D1156="周转筐－销售出库",N(对接源_02物料!$K1156)&lt;&gt;0)),1,0)</f>
        <v>0</v>
      </c>
      <c r="AI2356">
        <f>N(AI2355)+$AH2356</f>
        <v>0</v>
      </c>
      <c r="AL2356" t="n">
        <v>0</v>
      </c>
      <c r="AM2356">
        <f>N(AM2355)+$AL2356</f>
        <v>2</v>
      </c>
      <c r="AN2356">
        <f>""</f>
      </c>
      <c r="AO2356" t="n">
        <v>0</v>
      </c>
      <c r="AP2356">
        <f>N(AP2355)+$AO2356</f>
        <v>13</v>
      </c>
      <c r="AR2356">
        <f>IF(OR($AF2356=1,$AH2356=1),1,0)</f>
        <v>0</v>
      </c>
      <c r="AS2356">
        <f>N(AS2355)+$AR2356</f>
        <v>10</v>
      </c>
    </row>
    <row r="2357" s="127">
      <c r="A2357">
        <f>IF(对接源_02物料!$C1157="","",对接源_02物料!$C1157)</f>
      </c>
      <c r="B2357">
        <f>IF(A2357="",0,IF(MATCH(A2357,$A$4:$A$2403,0)=ROW()-3,1,0))</f>
        <v>0</v>
      </c>
      <c r="C2357">
        <f>N(C2356)+B2357</f>
        <v>26</v>
      </c>
      <c r="K2357">
        <f>IF(OR($K$1="",对接源_02物料!$C1157="",对接源_02物料!$C1157&lt;&gt;$K$1,对接源_02物料!$B1157=""),0,IF(OR(N(对接源_02物料!$B1157)&lt;$K$2,N(对接源_02物料!$B1157)&gt;$K$3),0,1))</f>
        <v>0</v>
      </c>
      <c r="L2357">
        <f>IF(OR($L$1="",对接源_02物料!$C1157="",对接源_02物料!$C1157&lt;&gt;$L$1,对接源_02物料!$B1157=""),0,IF(OR(N(对接源_02物料!$B1157)&lt;$L$2,N(对接源_02物料!$B1157)&gt;$L$3),0,1))</f>
        <v>0</v>
      </c>
      <c r="M2357">
        <f>IF(OR($M$1="",对接源_02物料!$C1157="",对接源_02物料!$C1157&lt;&gt;$M$1,对接源_02物料!$B1157=""),0,IF(OR(N(对接源_02物料!$B1157)&lt;$M$2,N(对接源_02物料!$B1157)&gt;$M$3),0,1))</f>
        <v>0</v>
      </c>
      <c r="N2357">
        <f>IF(OR($N$1="",对接源_02物料!$C1157="",对接源_02物料!$C1157&lt;&gt;$N$1,对接源_02物料!$B1157=""),0,IF(OR(N(对接源_02物料!$B1157)&lt;$N$2,N(对接源_02物料!$B1157)&gt;$N$3),0,1))</f>
        <v>0</v>
      </c>
      <c r="P2357">
        <f>IF(AND($K2357=1,AND(对接源_02物料!$X1157="公司筐",N(对接源_02物料!$T1157)&lt;&gt;0)),1,0)</f>
        <v>0</v>
      </c>
      <c r="Q2357">
        <f>N(Q2356)+$P2357</f>
        <v>14</v>
      </c>
      <c r="R2357">
        <f>IF(AND($K2357=1,AND(对接源_02物料!$X1157="公司筐",N(对接源_02物料!$U1157)&lt;&gt;0)),1,0)</f>
        <v>0</v>
      </c>
      <c r="S2357">
        <f>N(S2356)+$R2357</f>
        <v>1</v>
      </c>
      <c r="T2357">
        <f>IF(AND($K2357=1,AND(对接源_02物料!$X1157="公司筐",N(对接源_02物料!$V1157)&lt;&gt;0)),1,0)</f>
        <v>0</v>
      </c>
      <c r="U2357">
        <f>N(U2356)+$T2357</f>
        <v>47</v>
      </c>
      <c r="V2357">
        <f>IF(AND($L2357=1,AND(对接源_02物料!$X1157="自备筐",N(对接源_02物料!$V1157)&lt;&gt;0)),1,0)</f>
        <v>0</v>
      </c>
      <c r="W2357">
        <f>N(W2356)+$V2357</f>
        <v>11</v>
      </c>
      <c r="X2357">
        <f>IF(AND($L2357=1,AND(对接源_02物料!$X1157="自备筐",N(对接源_02物料!$T1157)&lt;&gt;0)),1,0)</f>
        <v>0</v>
      </c>
      <c r="Y2357">
        <f>N(Y2356)+$X2357</f>
        <v>0</v>
      </c>
      <c r="Z2357">
        <f>IF(AND($M2357=1,对接源_02物料!$D1157="原料入库"),1,0)</f>
        <v>0</v>
      </c>
      <c r="AA2357">
        <f>N(AA2356)+$Z2357</f>
        <v>24</v>
      </c>
      <c r="AB2357">
        <f>IF(AND($M2357=1,LEFT(对接源_02物料!$D1157,4)="原料出库"),1,0)</f>
        <v>0</v>
      </c>
      <c r="AC2357">
        <f>N(AC2356)+$AB2357</f>
        <v>0</v>
      </c>
      <c r="AD2357">
        <f>IF(AND($M2357=1,LEFT(对接源_02物料!$D1157,4)="成品出库"),1,0)</f>
        <v>0</v>
      </c>
      <c r="AE2357">
        <f>N(AE2356)+$AD2357</f>
        <v>0</v>
      </c>
      <c r="AF2357">
        <f>IF(AND($N2357=1,AND(LEFT(对接源_02物料!$D1157,4)="包装物料",N(对接源_02物料!$K1157)&lt;&gt;0)),1,0)</f>
        <v>0</v>
      </c>
      <c r="AG2357">
        <f>N(AG2356)+$AF2357</f>
        <v>10</v>
      </c>
      <c r="AH2357">
        <f>IF(AND($N2357=1,AND(对接源_02物料!$D1157="周转筐－销售出库",N(对接源_02物料!$K1157)&lt;&gt;0)),1,0)</f>
        <v>0</v>
      </c>
      <c r="AI2357">
        <f>N(AI2356)+$AH2357</f>
        <v>0</v>
      </c>
      <c r="AL2357" t="n">
        <v>0</v>
      </c>
      <c r="AM2357">
        <f>N(AM2356)+$AL2357</f>
        <v>2</v>
      </c>
      <c r="AN2357">
        <f>""</f>
      </c>
      <c r="AO2357" t="n">
        <v>0</v>
      </c>
      <c r="AP2357">
        <f>N(AP2356)+$AO2357</f>
        <v>13</v>
      </c>
      <c r="AR2357">
        <f>IF(OR($AF2357=1,$AH2357=1),1,0)</f>
        <v>0</v>
      </c>
      <c r="AS2357">
        <f>N(AS2356)+$AR2357</f>
        <v>10</v>
      </c>
    </row>
    <row r="2358" s="127">
      <c r="A2358">
        <f>IF(对接源_02物料!$C1158="","",对接源_02物料!$C1158)</f>
      </c>
      <c r="B2358">
        <f>IF(A2358="",0,IF(MATCH(A2358,$A$4:$A$2403,0)=ROW()-3,1,0))</f>
        <v>0</v>
      </c>
      <c r="C2358">
        <f>N(C2357)+B2358</f>
        <v>26</v>
      </c>
      <c r="K2358">
        <f>IF(OR($K$1="",对接源_02物料!$C1158="",对接源_02物料!$C1158&lt;&gt;$K$1,对接源_02物料!$B1158=""),0,IF(OR(N(对接源_02物料!$B1158)&lt;$K$2,N(对接源_02物料!$B1158)&gt;$K$3),0,1))</f>
        <v>0</v>
      </c>
      <c r="L2358">
        <f>IF(OR($L$1="",对接源_02物料!$C1158="",对接源_02物料!$C1158&lt;&gt;$L$1,对接源_02物料!$B1158=""),0,IF(OR(N(对接源_02物料!$B1158)&lt;$L$2,N(对接源_02物料!$B1158)&gt;$L$3),0,1))</f>
        <v>0</v>
      </c>
      <c r="M2358">
        <f>IF(OR($M$1="",对接源_02物料!$C1158="",对接源_02物料!$C1158&lt;&gt;$M$1,对接源_02物料!$B1158=""),0,IF(OR(N(对接源_02物料!$B1158)&lt;$M$2,N(对接源_02物料!$B1158)&gt;$M$3),0,1))</f>
        <v>0</v>
      </c>
      <c r="N2358">
        <f>IF(OR($N$1="",对接源_02物料!$C1158="",对接源_02物料!$C1158&lt;&gt;$N$1,对接源_02物料!$B1158=""),0,IF(OR(N(对接源_02物料!$B1158)&lt;$N$2,N(对接源_02物料!$B1158)&gt;$N$3),0,1))</f>
        <v>0</v>
      </c>
      <c r="P2358">
        <f>IF(AND($K2358=1,AND(对接源_02物料!$X1158="公司筐",N(对接源_02物料!$T1158)&lt;&gt;0)),1,0)</f>
        <v>0</v>
      </c>
      <c r="Q2358">
        <f>N(Q2357)+$P2358</f>
        <v>14</v>
      </c>
      <c r="R2358">
        <f>IF(AND($K2358=1,AND(对接源_02物料!$X1158="公司筐",N(对接源_02物料!$U1158)&lt;&gt;0)),1,0)</f>
        <v>0</v>
      </c>
      <c r="S2358">
        <f>N(S2357)+$R2358</f>
        <v>1</v>
      </c>
      <c r="T2358">
        <f>IF(AND($K2358=1,AND(对接源_02物料!$X1158="公司筐",N(对接源_02物料!$V1158)&lt;&gt;0)),1,0)</f>
        <v>0</v>
      </c>
      <c r="U2358">
        <f>N(U2357)+$T2358</f>
        <v>47</v>
      </c>
      <c r="V2358">
        <f>IF(AND($L2358=1,AND(对接源_02物料!$X1158="自备筐",N(对接源_02物料!$V1158)&lt;&gt;0)),1,0)</f>
        <v>0</v>
      </c>
      <c r="W2358">
        <f>N(W2357)+$V2358</f>
        <v>11</v>
      </c>
      <c r="X2358">
        <f>IF(AND($L2358=1,AND(对接源_02物料!$X1158="自备筐",N(对接源_02物料!$T1158)&lt;&gt;0)),1,0)</f>
        <v>0</v>
      </c>
      <c r="Y2358">
        <f>N(Y2357)+$X2358</f>
        <v>0</v>
      </c>
      <c r="Z2358">
        <f>IF(AND($M2358=1,对接源_02物料!$D1158="原料入库"),1,0)</f>
        <v>0</v>
      </c>
      <c r="AA2358">
        <f>N(AA2357)+$Z2358</f>
        <v>24</v>
      </c>
      <c r="AB2358">
        <f>IF(AND($M2358=1,LEFT(对接源_02物料!$D1158,4)="原料出库"),1,0)</f>
        <v>0</v>
      </c>
      <c r="AC2358">
        <f>N(AC2357)+$AB2358</f>
        <v>0</v>
      </c>
      <c r="AD2358">
        <f>IF(AND($M2358=1,LEFT(对接源_02物料!$D1158,4)="成品出库"),1,0)</f>
        <v>0</v>
      </c>
      <c r="AE2358">
        <f>N(AE2357)+$AD2358</f>
        <v>0</v>
      </c>
      <c r="AF2358">
        <f>IF(AND($N2358=1,AND(LEFT(对接源_02物料!$D1158,4)="包装物料",N(对接源_02物料!$K1158)&lt;&gt;0)),1,0)</f>
        <v>0</v>
      </c>
      <c r="AG2358">
        <f>N(AG2357)+$AF2358</f>
        <v>10</v>
      </c>
      <c r="AH2358">
        <f>IF(AND($N2358=1,AND(对接源_02物料!$D1158="周转筐－销售出库",N(对接源_02物料!$K1158)&lt;&gt;0)),1,0)</f>
        <v>0</v>
      </c>
      <c r="AI2358">
        <f>N(AI2357)+$AH2358</f>
        <v>0</v>
      </c>
      <c r="AL2358" t="n">
        <v>0</v>
      </c>
      <c r="AM2358">
        <f>N(AM2357)+$AL2358</f>
        <v>2</v>
      </c>
      <c r="AN2358">
        <f>""</f>
      </c>
      <c r="AO2358" t="n">
        <v>0</v>
      </c>
      <c r="AP2358">
        <f>N(AP2357)+$AO2358</f>
        <v>13</v>
      </c>
      <c r="AR2358">
        <f>IF(OR($AF2358=1,$AH2358=1),1,0)</f>
        <v>0</v>
      </c>
      <c r="AS2358">
        <f>N(AS2357)+$AR2358</f>
        <v>10</v>
      </c>
    </row>
    <row r="2359" s="127">
      <c r="A2359">
        <f>IF(对接源_02物料!$C1159="","",对接源_02物料!$C1159)</f>
      </c>
      <c r="B2359">
        <f>IF(A2359="",0,IF(MATCH(A2359,$A$4:$A$2403,0)=ROW()-3,1,0))</f>
        <v>0</v>
      </c>
      <c r="C2359">
        <f>N(C2358)+B2359</f>
        <v>26</v>
      </c>
      <c r="K2359">
        <f>IF(OR($K$1="",对接源_02物料!$C1159="",对接源_02物料!$C1159&lt;&gt;$K$1,对接源_02物料!$B1159=""),0,IF(OR(N(对接源_02物料!$B1159)&lt;$K$2,N(对接源_02物料!$B1159)&gt;$K$3),0,1))</f>
        <v>0</v>
      </c>
      <c r="L2359">
        <f>IF(OR($L$1="",对接源_02物料!$C1159="",对接源_02物料!$C1159&lt;&gt;$L$1,对接源_02物料!$B1159=""),0,IF(OR(N(对接源_02物料!$B1159)&lt;$L$2,N(对接源_02物料!$B1159)&gt;$L$3),0,1))</f>
        <v>0</v>
      </c>
      <c r="M2359">
        <f>IF(OR($M$1="",对接源_02物料!$C1159="",对接源_02物料!$C1159&lt;&gt;$M$1,对接源_02物料!$B1159=""),0,IF(OR(N(对接源_02物料!$B1159)&lt;$M$2,N(对接源_02物料!$B1159)&gt;$M$3),0,1))</f>
        <v>0</v>
      </c>
      <c r="N2359">
        <f>IF(OR($N$1="",对接源_02物料!$C1159="",对接源_02物料!$C1159&lt;&gt;$N$1,对接源_02物料!$B1159=""),0,IF(OR(N(对接源_02物料!$B1159)&lt;$N$2,N(对接源_02物料!$B1159)&gt;$N$3),0,1))</f>
        <v>0</v>
      </c>
      <c r="P2359">
        <f>IF(AND($K2359=1,AND(对接源_02物料!$X1159="公司筐",N(对接源_02物料!$T1159)&lt;&gt;0)),1,0)</f>
        <v>0</v>
      </c>
      <c r="Q2359">
        <f>N(Q2358)+$P2359</f>
        <v>14</v>
      </c>
      <c r="R2359">
        <f>IF(AND($K2359=1,AND(对接源_02物料!$X1159="公司筐",N(对接源_02物料!$U1159)&lt;&gt;0)),1,0)</f>
        <v>0</v>
      </c>
      <c r="S2359">
        <f>N(S2358)+$R2359</f>
        <v>1</v>
      </c>
      <c r="T2359">
        <f>IF(AND($K2359=1,AND(对接源_02物料!$X1159="公司筐",N(对接源_02物料!$V1159)&lt;&gt;0)),1,0)</f>
        <v>0</v>
      </c>
      <c r="U2359">
        <f>N(U2358)+$T2359</f>
        <v>47</v>
      </c>
      <c r="V2359">
        <f>IF(AND($L2359=1,AND(对接源_02物料!$X1159="自备筐",N(对接源_02物料!$V1159)&lt;&gt;0)),1,0)</f>
        <v>0</v>
      </c>
      <c r="W2359">
        <f>N(W2358)+$V2359</f>
        <v>11</v>
      </c>
      <c r="X2359">
        <f>IF(AND($L2359=1,AND(对接源_02物料!$X1159="自备筐",N(对接源_02物料!$T1159)&lt;&gt;0)),1,0)</f>
        <v>0</v>
      </c>
      <c r="Y2359">
        <f>N(Y2358)+$X2359</f>
        <v>0</v>
      </c>
      <c r="Z2359">
        <f>IF(AND($M2359=1,对接源_02物料!$D1159="原料入库"),1,0)</f>
        <v>0</v>
      </c>
      <c r="AA2359">
        <f>N(AA2358)+$Z2359</f>
        <v>24</v>
      </c>
      <c r="AB2359">
        <f>IF(AND($M2359=1,LEFT(对接源_02物料!$D1159,4)="原料出库"),1,0)</f>
        <v>0</v>
      </c>
      <c r="AC2359">
        <f>N(AC2358)+$AB2359</f>
        <v>0</v>
      </c>
      <c r="AD2359">
        <f>IF(AND($M2359=1,LEFT(对接源_02物料!$D1159,4)="成品出库"),1,0)</f>
        <v>0</v>
      </c>
      <c r="AE2359">
        <f>N(AE2358)+$AD2359</f>
        <v>0</v>
      </c>
      <c r="AF2359">
        <f>IF(AND($N2359=1,AND(LEFT(对接源_02物料!$D1159,4)="包装物料",N(对接源_02物料!$K1159)&lt;&gt;0)),1,0)</f>
        <v>0</v>
      </c>
      <c r="AG2359">
        <f>N(AG2358)+$AF2359</f>
        <v>10</v>
      </c>
      <c r="AH2359">
        <f>IF(AND($N2359=1,AND(对接源_02物料!$D1159="周转筐－销售出库",N(对接源_02物料!$K1159)&lt;&gt;0)),1,0)</f>
        <v>0</v>
      </c>
      <c r="AI2359">
        <f>N(AI2358)+$AH2359</f>
        <v>0</v>
      </c>
      <c r="AL2359" t="n">
        <v>0</v>
      </c>
      <c r="AM2359">
        <f>N(AM2358)+$AL2359</f>
        <v>2</v>
      </c>
      <c r="AN2359">
        <f>""</f>
      </c>
      <c r="AO2359" t="n">
        <v>0</v>
      </c>
      <c r="AP2359">
        <f>N(AP2358)+$AO2359</f>
        <v>13</v>
      </c>
      <c r="AR2359">
        <f>IF(OR($AF2359=1,$AH2359=1),1,0)</f>
        <v>0</v>
      </c>
      <c r="AS2359">
        <f>N(AS2358)+$AR2359</f>
        <v>10</v>
      </c>
    </row>
    <row r="2360" s="127">
      <c r="A2360">
        <f>IF(对接源_02物料!$C1160="","",对接源_02物料!$C1160)</f>
      </c>
      <c r="B2360">
        <f>IF(A2360="",0,IF(MATCH(A2360,$A$4:$A$2403,0)=ROW()-3,1,0))</f>
        <v>0</v>
      </c>
      <c r="C2360">
        <f>N(C2359)+B2360</f>
        <v>26</v>
      </c>
      <c r="K2360">
        <f>IF(OR($K$1="",对接源_02物料!$C1160="",对接源_02物料!$C1160&lt;&gt;$K$1,对接源_02物料!$B1160=""),0,IF(OR(N(对接源_02物料!$B1160)&lt;$K$2,N(对接源_02物料!$B1160)&gt;$K$3),0,1))</f>
        <v>0</v>
      </c>
      <c r="L2360">
        <f>IF(OR($L$1="",对接源_02物料!$C1160="",对接源_02物料!$C1160&lt;&gt;$L$1,对接源_02物料!$B1160=""),0,IF(OR(N(对接源_02物料!$B1160)&lt;$L$2,N(对接源_02物料!$B1160)&gt;$L$3),0,1))</f>
        <v>0</v>
      </c>
      <c r="M2360">
        <f>IF(OR($M$1="",对接源_02物料!$C1160="",对接源_02物料!$C1160&lt;&gt;$M$1,对接源_02物料!$B1160=""),0,IF(OR(N(对接源_02物料!$B1160)&lt;$M$2,N(对接源_02物料!$B1160)&gt;$M$3),0,1))</f>
        <v>0</v>
      </c>
      <c r="N2360">
        <f>IF(OR($N$1="",对接源_02物料!$C1160="",对接源_02物料!$C1160&lt;&gt;$N$1,对接源_02物料!$B1160=""),0,IF(OR(N(对接源_02物料!$B1160)&lt;$N$2,N(对接源_02物料!$B1160)&gt;$N$3),0,1))</f>
        <v>0</v>
      </c>
      <c r="P2360">
        <f>IF(AND($K2360=1,AND(对接源_02物料!$X1160="公司筐",N(对接源_02物料!$T1160)&lt;&gt;0)),1,0)</f>
        <v>0</v>
      </c>
      <c r="Q2360">
        <f>N(Q2359)+$P2360</f>
        <v>14</v>
      </c>
      <c r="R2360">
        <f>IF(AND($K2360=1,AND(对接源_02物料!$X1160="公司筐",N(对接源_02物料!$U1160)&lt;&gt;0)),1,0)</f>
        <v>0</v>
      </c>
      <c r="S2360">
        <f>N(S2359)+$R2360</f>
        <v>1</v>
      </c>
      <c r="T2360">
        <f>IF(AND($K2360=1,AND(对接源_02物料!$X1160="公司筐",N(对接源_02物料!$V1160)&lt;&gt;0)),1,0)</f>
        <v>0</v>
      </c>
      <c r="U2360">
        <f>N(U2359)+$T2360</f>
        <v>47</v>
      </c>
      <c r="V2360">
        <f>IF(AND($L2360=1,AND(对接源_02物料!$X1160="自备筐",N(对接源_02物料!$V1160)&lt;&gt;0)),1,0)</f>
        <v>0</v>
      </c>
      <c r="W2360">
        <f>N(W2359)+$V2360</f>
        <v>11</v>
      </c>
      <c r="X2360">
        <f>IF(AND($L2360=1,AND(对接源_02物料!$X1160="自备筐",N(对接源_02物料!$T1160)&lt;&gt;0)),1,0)</f>
        <v>0</v>
      </c>
      <c r="Y2360">
        <f>N(Y2359)+$X2360</f>
        <v>0</v>
      </c>
      <c r="Z2360">
        <f>IF(AND($M2360=1,对接源_02物料!$D1160="原料入库"),1,0)</f>
        <v>0</v>
      </c>
      <c r="AA2360">
        <f>N(AA2359)+$Z2360</f>
        <v>24</v>
      </c>
      <c r="AB2360">
        <f>IF(AND($M2360=1,LEFT(对接源_02物料!$D1160,4)="原料出库"),1,0)</f>
        <v>0</v>
      </c>
      <c r="AC2360">
        <f>N(AC2359)+$AB2360</f>
        <v>0</v>
      </c>
      <c r="AD2360">
        <f>IF(AND($M2360=1,LEFT(对接源_02物料!$D1160,4)="成品出库"),1,0)</f>
        <v>0</v>
      </c>
      <c r="AE2360">
        <f>N(AE2359)+$AD2360</f>
        <v>0</v>
      </c>
      <c r="AF2360">
        <f>IF(AND($N2360=1,AND(LEFT(对接源_02物料!$D1160,4)="包装物料",N(对接源_02物料!$K1160)&lt;&gt;0)),1,0)</f>
        <v>0</v>
      </c>
      <c r="AG2360">
        <f>N(AG2359)+$AF2360</f>
        <v>10</v>
      </c>
      <c r="AH2360">
        <f>IF(AND($N2360=1,AND(对接源_02物料!$D1160="周转筐－销售出库",N(对接源_02物料!$K1160)&lt;&gt;0)),1,0)</f>
        <v>0</v>
      </c>
      <c r="AI2360">
        <f>N(AI2359)+$AH2360</f>
        <v>0</v>
      </c>
      <c r="AL2360" t="n">
        <v>0</v>
      </c>
      <c r="AM2360">
        <f>N(AM2359)+$AL2360</f>
        <v>2</v>
      </c>
      <c r="AN2360">
        <f>""</f>
      </c>
      <c r="AO2360" t="n">
        <v>0</v>
      </c>
      <c r="AP2360">
        <f>N(AP2359)+$AO2360</f>
        <v>13</v>
      </c>
      <c r="AR2360">
        <f>IF(OR($AF2360=1,$AH2360=1),1,0)</f>
        <v>0</v>
      </c>
      <c r="AS2360">
        <f>N(AS2359)+$AR2360</f>
        <v>10</v>
      </c>
    </row>
    <row r="2361" s="127">
      <c r="A2361">
        <f>IF(对接源_02物料!$C1161="","",对接源_02物料!$C1161)</f>
      </c>
      <c r="B2361">
        <f>IF(A2361="",0,IF(MATCH(A2361,$A$4:$A$2403,0)=ROW()-3,1,0))</f>
        <v>0</v>
      </c>
      <c r="C2361">
        <f>N(C2360)+B2361</f>
        <v>26</v>
      </c>
      <c r="K2361">
        <f>IF(OR($K$1="",对接源_02物料!$C1161="",对接源_02物料!$C1161&lt;&gt;$K$1,对接源_02物料!$B1161=""),0,IF(OR(N(对接源_02物料!$B1161)&lt;$K$2,N(对接源_02物料!$B1161)&gt;$K$3),0,1))</f>
        <v>0</v>
      </c>
      <c r="L2361">
        <f>IF(OR($L$1="",对接源_02物料!$C1161="",对接源_02物料!$C1161&lt;&gt;$L$1,对接源_02物料!$B1161=""),0,IF(OR(N(对接源_02物料!$B1161)&lt;$L$2,N(对接源_02物料!$B1161)&gt;$L$3),0,1))</f>
        <v>0</v>
      </c>
      <c r="M2361">
        <f>IF(OR($M$1="",对接源_02物料!$C1161="",对接源_02物料!$C1161&lt;&gt;$M$1,对接源_02物料!$B1161=""),0,IF(OR(N(对接源_02物料!$B1161)&lt;$M$2,N(对接源_02物料!$B1161)&gt;$M$3),0,1))</f>
        <v>0</v>
      </c>
      <c r="N2361">
        <f>IF(OR($N$1="",对接源_02物料!$C1161="",对接源_02物料!$C1161&lt;&gt;$N$1,对接源_02物料!$B1161=""),0,IF(OR(N(对接源_02物料!$B1161)&lt;$N$2,N(对接源_02物料!$B1161)&gt;$N$3),0,1))</f>
        <v>0</v>
      </c>
      <c r="P2361">
        <f>IF(AND($K2361=1,AND(对接源_02物料!$X1161="公司筐",N(对接源_02物料!$T1161)&lt;&gt;0)),1,0)</f>
        <v>0</v>
      </c>
      <c r="Q2361">
        <f>N(Q2360)+$P2361</f>
        <v>14</v>
      </c>
      <c r="R2361">
        <f>IF(AND($K2361=1,AND(对接源_02物料!$X1161="公司筐",N(对接源_02物料!$U1161)&lt;&gt;0)),1,0)</f>
        <v>0</v>
      </c>
      <c r="S2361">
        <f>N(S2360)+$R2361</f>
        <v>1</v>
      </c>
      <c r="T2361">
        <f>IF(AND($K2361=1,AND(对接源_02物料!$X1161="公司筐",N(对接源_02物料!$V1161)&lt;&gt;0)),1,0)</f>
        <v>0</v>
      </c>
      <c r="U2361">
        <f>N(U2360)+$T2361</f>
        <v>47</v>
      </c>
      <c r="V2361">
        <f>IF(AND($L2361=1,AND(对接源_02物料!$X1161="自备筐",N(对接源_02物料!$V1161)&lt;&gt;0)),1,0)</f>
        <v>0</v>
      </c>
      <c r="W2361">
        <f>N(W2360)+$V2361</f>
        <v>11</v>
      </c>
      <c r="X2361">
        <f>IF(AND($L2361=1,AND(对接源_02物料!$X1161="自备筐",N(对接源_02物料!$T1161)&lt;&gt;0)),1,0)</f>
        <v>0</v>
      </c>
      <c r="Y2361">
        <f>N(Y2360)+$X2361</f>
        <v>0</v>
      </c>
      <c r="Z2361">
        <f>IF(AND($M2361=1,对接源_02物料!$D1161="原料入库"),1,0)</f>
        <v>0</v>
      </c>
      <c r="AA2361">
        <f>N(AA2360)+$Z2361</f>
        <v>24</v>
      </c>
      <c r="AB2361">
        <f>IF(AND($M2361=1,LEFT(对接源_02物料!$D1161,4)="原料出库"),1,0)</f>
        <v>0</v>
      </c>
      <c r="AC2361">
        <f>N(AC2360)+$AB2361</f>
        <v>0</v>
      </c>
      <c r="AD2361">
        <f>IF(AND($M2361=1,LEFT(对接源_02物料!$D1161,4)="成品出库"),1,0)</f>
        <v>0</v>
      </c>
      <c r="AE2361">
        <f>N(AE2360)+$AD2361</f>
        <v>0</v>
      </c>
      <c r="AF2361">
        <f>IF(AND($N2361=1,AND(LEFT(对接源_02物料!$D1161,4)="包装物料",N(对接源_02物料!$K1161)&lt;&gt;0)),1,0)</f>
        <v>0</v>
      </c>
      <c r="AG2361">
        <f>N(AG2360)+$AF2361</f>
        <v>10</v>
      </c>
      <c r="AH2361">
        <f>IF(AND($N2361=1,AND(对接源_02物料!$D1161="周转筐－销售出库",N(对接源_02物料!$K1161)&lt;&gt;0)),1,0)</f>
        <v>0</v>
      </c>
      <c r="AI2361">
        <f>N(AI2360)+$AH2361</f>
        <v>0</v>
      </c>
      <c r="AL2361" t="n">
        <v>0</v>
      </c>
      <c r="AM2361">
        <f>N(AM2360)+$AL2361</f>
        <v>2</v>
      </c>
      <c r="AN2361">
        <f>""</f>
      </c>
      <c r="AO2361" t="n">
        <v>0</v>
      </c>
      <c r="AP2361">
        <f>N(AP2360)+$AO2361</f>
        <v>13</v>
      </c>
      <c r="AR2361">
        <f>IF(OR($AF2361=1,$AH2361=1),1,0)</f>
        <v>0</v>
      </c>
      <c r="AS2361">
        <f>N(AS2360)+$AR2361</f>
        <v>10</v>
      </c>
    </row>
    <row r="2362" s="127">
      <c r="A2362">
        <f>IF(对接源_02物料!$C1162="","",对接源_02物料!$C1162)</f>
      </c>
      <c r="B2362">
        <f>IF(A2362="",0,IF(MATCH(A2362,$A$4:$A$2403,0)=ROW()-3,1,0))</f>
        <v>0</v>
      </c>
      <c r="C2362">
        <f>N(C2361)+B2362</f>
        <v>26</v>
      </c>
      <c r="K2362">
        <f>IF(OR($K$1="",对接源_02物料!$C1162="",对接源_02物料!$C1162&lt;&gt;$K$1,对接源_02物料!$B1162=""),0,IF(OR(N(对接源_02物料!$B1162)&lt;$K$2,N(对接源_02物料!$B1162)&gt;$K$3),0,1))</f>
        <v>0</v>
      </c>
      <c r="L2362">
        <f>IF(OR($L$1="",对接源_02物料!$C1162="",对接源_02物料!$C1162&lt;&gt;$L$1,对接源_02物料!$B1162=""),0,IF(OR(N(对接源_02物料!$B1162)&lt;$L$2,N(对接源_02物料!$B1162)&gt;$L$3),0,1))</f>
        <v>0</v>
      </c>
      <c r="M2362">
        <f>IF(OR($M$1="",对接源_02物料!$C1162="",对接源_02物料!$C1162&lt;&gt;$M$1,对接源_02物料!$B1162=""),0,IF(OR(N(对接源_02物料!$B1162)&lt;$M$2,N(对接源_02物料!$B1162)&gt;$M$3),0,1))</f>
        <v>0</v>
      </c>
      <c r="N2362">
        <f>IF(OR($N$1="",对接源_02物料!$C1162="",对接源_02物料!$C1162&lt;&gt;$N$1,对接源_02物料!$B1162=""),0,IF(OR(N(对接源_02物料!$B1162)&lt;$N$2,N(对接源_02物料!$B1162)&gt;$N$3),0,1))</f>
        <v>0</v>
      </c>
      <c r="P2362">
        <f>IF(AND($K2362=1,AND(对接源_02物料!$X1162="公司筐",N(对接源_02物料!$T1162)&lt;&gt;0)),1,0)</f>
        <v>0</v>
      </c>
      <c r="Q2362">
        <f>N(Q2361)+$P2362</f>
        <v>14</v>
      </c>
      <c r="R2362">
        <f>IF(AND($K2362=1,AND(对接源_02物料!$X1162="公司筐",N(对接源_02物料!$U1162)&lt;&gt;0)),1,0)</f>
        <v>0</v>
      </c>
      <c r="S2362">
        <f>N(S2361)+$R2362</f>
        <v>1</v>
      </c>
      <c r="T2362">
        <f>IF(AND($K2362=1,AND(对接源_02物料!$X1162="公司筐",N(对接源_02物料!$V1162)&lt;&gt;0)),1,0)</f>
        <v>0</v>
      </c>
      <c r="U2362">
        <f>N(U2361)+$T2362</f>
        <v>47</v>
      </c>
      <c r="V2362">
        <f>IF(AND($L2362=1,AND(对接源_02物料!$X1162="自备筐",N(对接源_02物料!$V1162)&lt;&gt;0)),1,0)</f>
        <v>0</v>
      </c>
      <c r="W2362">
        <f>N(W2361)+$V2362</f>
        <v>11</v>
      </c>
      <c r="X2362">
        <f>IF(AND($L2362=1,AND(对接源_02物料!$X1162="自备筐",N(对接源_02物料!$T1162)&lt;&gt;0)),1,0)</f>
        <v>0</v>
      </c>
      <c r="Y2362">
        <f>N(Y2361)+$X2362</f>
        <v>0</v>
      </c>
      <c r="Z2362">
        <f>IF(AND($M2362=1,对接源_02物料!$D1162="原料入库"),1,0)</f>
        <v>0</v>
      </c>
      <c r="AA2362">
        <f>N(AA2361)+$Z2362</f>
        <v>24</v>
      </c>
      <c r="AB2362">
        <f>IF(AND($M2362=1,LEFT(对接源_02物料!$D1162,4)="原料出库"),1,0)</f>
        <v>0</v>
      </c>
      <c r="AC2362">
        <f>N(AC2361)+$AB2362</f>
        <v>0</v>
      </c>
      <c r="AD2362">
        <f>IF(AND($M2362=1,LEFT(对接源_02物料!$D1162,4)="成品出库"),1,0)</f>
        <v>0</v>
      </c>
      <c r="AE2362">
        <f>N(AE2361)+$AD2362</f>
        <v>0</v>
      </c>
      <c r="AF2362">
        <f>IF(AND($N2362=1,AND(LEFT(对接源_02物料!$D1162,4)="包装物料",N(对接源_02物料!$K1162)&lt;&gt;0)),1,0)</f>
        <v>0</v>
      </c>
      <c r="AG2362">
        <f>N(AG2361)+$AF2362</f>
        <v>10</v>
      </c>
      <c r="AH2362">
        <f>IF(AND($N2362=1,AND(对接源_02物料!$D1162="周转筐－销售出库",N(对接源_02物料!$K1162)&lt;&gt;0)),1,0)</f>
        <v>0</v>
      </c>
      <c r="AI2362">
        <f>N(AI2361)+$AH2362</f>
        <v>0</v>
      </c>
      <c r="AL2362" t="n">
        <v>0</v>
      </c>
      <c r="AM2362">
        <f>N(AM2361)+$AL2362</f>
        <v>2</v>
      </c>
      <c r="AN2362">
        <f>""</f>
      </c>
      <c r="AO2362" t="n">
        <v>0</v>
      </c>
      <c r="AP2362">
        <f>N(AP2361)+$AO2362</f>
        <v>13</v>
      </c>
      <c r="AR2362">
        <f>IF(OR($AF2362=1,$AH2362=1),1,0)</f>
        <v>0</v>
      </c>
      <c r="AS2362">
        <f>N(AS2361)+$AR2362</f>
        <v>10</v>
      </c>
    </row>
    <row r="2363" s="127">
      <c r="A2363">
        <f>IF(对接源_02物料!$C1163="","",对接源_02物料!$C1163)</f>
      </c>
      <c r="B2363">
        <f>IF(A2363="",0,IF(MATCH(A2363,$A$4:$A$2403,0)=ROW()-3,1,0))</f>
        <v>0</v>
      </c>
      <c r="C2363">
        <f>N(C2362)+B2363</f>
        <v>26</v>
      </c>
      <c r="K2363">
        <f>IF(OR($K$1="",对接源_02物料!$C1163="",对接源_02物料!$C1163&lt;&gt;$K$1,对接源_02物料!$B1163=""),0,IF(OR(N(对接源_02物料!$B1163)&lt;$K$2,N(对接源_02物料!$B1163)&gt;$K$3),0,1))</f>
        <v>0</v>
      </c>
      <c r="L2363">
        <f>IF(OR($L$1="",对接源_02物料!$C1163="",对接源_02物料!$C1163&lt;&gt;$L$1,对接源_02物料!$B1163=""),0,IF(OR(N(对接源_02物料!$B1163)&lt;$L$2,N(对接源_02物料!$B1163)&gt;$L$3),0,1))</f>
        <v>0</v>
      </c>
      <c r="M2363">
        <f>IF(OR($M$1="",对接源_02物料!$C1163="",对接源_02物料!$C1163&lt;&gt;$M$1,对接源_02物料!$B1163=""),0,IF(OR(N(对接源_02物料!$B1163)&lt;$M$2,N(对接源_02物料!$B1163)&gt;$M$3),0,1))</f>
        <v>0</v>
      </c>
      <c r="N2363">
        <f>IF(OR($N$1="",对接源_02物料!$C1163="",对接源_02物料!$C1163&lt;&gt;$N$1,对接源_02物料!$B1163=""),0,IF(OR(N(对接源_02物料!$B1163)&lt;$N$2,N(对接源_02物料!$B1163)&gt;$N$3),0,1))</f>
        <v>0</v>
      </c>
      <c r="P2363">
        <f>IF(AND($K2363=1,AND(对接源_02物料!$X1163="公司筐",N(对接源_02物料!$T1163)&lt;&gt;0)),1,0)</f>
        <v>0</v>
      </c>
      <c r="Q2363">
        <f>N(Q2362)+$P2363</f>
        <v>14</v>
      </c>
      <c r="R2363">
        <f>IF(AND($K2363=1,AND(对接源_02物料!$X1163="公司筐",N(对接源_02物料!$U1163)&lt;&gt;0)),1,0)</f>
        <v>0</v>
      </c>
      <c r="S2363">
        <f>N(S2362)+$R2363</f>
        <v>1</v>
      </c>
      <c r="T2363">
        <f>IF(AND($K2363=1,AND(对接源_02物料!$X1163="公司筐",N(对接源_02物料!$V1163)&lt;&gt;0)),1,0)</f>
        <v>0</v>
      </c>
      <c r="U2363">
        <f>N(U2362)+$T2363</f>
        <v>47</v>
      </c>
      <c r="V2363">
        <f>IF(AND($L2363=1,AND(对接源_02物料!$X1163="自备筐",N(对接源_02物料!$V1163)&lt;&gt;0)),1,0)</f>
        <v>0</v>
      </c>
      <c r="W2363">
        <f>N(W2362)+$V2363</f>
        <v>11</v>
      </c>
      <c r="X2363">
        <f>IF(AND($L2363=1,AND(对接源_02物料!$X1163="自备筐",N(对接源_02物料!$T1163)&lt;&gt;0)),1,0)</f>
        <v>0</v>
      </c>
      <c r="Y2363">
        <f>N(Y2362)+$X2363</f>
        <v>0</v>
      </c>
      <c r="Z2363">
        <f>IF(AND($M2363=1,对接源_02物料!$D1163="原料入库"),1,0)</f>
        <v>0</v>
      </c>
      <c r="AA2363">
        <f>N(AA2362)+$Z2363</f>
        <v>24</v>
      </c>
      <c r="AB2363">
        <f>IF(AND($M2363=1,LEFT(对接源_02物料!$D1163,4)="原料出库"),1,0)</f>
        <v>0</v>
      </c>
      <c r="AC2363">
        <f>N(AC2362)+$AB2363</f>
        <v>0</v>
      </c>
      <c r="AD2363">
        <f>IF(AND($M2363=1,LEFT(对接源_02物料!$D1163,4)="成品出库"),1,0)</f>
        <v>0</v>
      </c>
      <c r="AE2363">
        <f>N(AE2362)+$AD2363</f>
        <v>0</v>
      </c>
      <c r="AF2363">
        <f>IF(AND($N2363=1,AND(LEFT(对接源_02物料!$D1163,4)="包装物料",N(对接源_02物料!$K1163)&lt;&gt;0)),1,0)</f>
        <v>0</v>
      </c>
      <c r="AG2363">
        <f>N(AG2362)+$AF2363</f>
        <v>10</v>
      </c>
      <c r="AH2363">
        <f>IF(AND($N2363=1,AND(对接源_02物料!$D1163="周转筐－销售出库",N(对接源_02物料!$K1163)&lt;&gt;0)),1,0)</f>
        <v>0</v>
      </c>
      <c r="AI2363">
        <f>N(AI2362)+$AH2363</f>
        <v>0</v>
      </c>
      <c r="AL2363" t="n">
        <v>0</v>
      </c>
      <c r="AM2363">
        <f>N(AM2362)+$AL2363</f>
        <v>2</v>
      </c>
      <c r="AN2363">
        <f>""</f>
      </c>
      <c r="AO2363" t="n">
        <v>0</v>
      </c>
      <c r="AP2363">
        <f>N(AP2362)+$AO2363</f>
        <v>13</v>
      </c>
      <c r="AR2363">
        <f>IF(OR($AF2363=1,$AH2363=1),1,0)</f>
        <v>0</v>
      </c>
      <c r="AS2363">
        <f>N(AS2362)+$AR2363</f>
        <v>10</v>
      </c>
    </row>
    <row r="2364" s="127">
      <c r="A2364">
        <f>IF(对接源_02物料!$C1164="","",对接源_02物料!$C1164)</f>
      </c>
      <c r="B2364">
        <f>IF(A2364="",0,IF(MATCH(A2364,$A$4:$A$2403,0)=ROW()-3,1,0))</f>
        <v>0</v>
      </c>
      <c r="C2364">
        <f>N(C2363)+B2364</f>
        <v>26</v>
      </c>
      <c r="K2364">
        <f>IF(OR($K$1="",对接源_02物料!$C1164="",对接源_02物料!$C1164&lt;&gt;$K$1,对接源_02物料!$B1164=""),0,IF(OR(N(对接源_02物料!$B1164)&lt;$K$2,N(对接源_02物料!$B1164)&gt;$K$3),0,1))</f>
        <v>0</v>
      </c>
      <c r="L2364">
        <f>IF(OR($L$1="",对接源_02物料!$C1164="",对接源_02物料!$C1164&lt;&gt;$L$1,对接源_02物料!$B1164=""),0,IF(OR(N(对接源_02物料!$B1164)&lt;$L$2,N(对接源_02物料!$B1164)&gt;$L$3),0,1))</f>
        <v>0</v>
      </c>
      <c r="M2364">
        <f>IF(OR($M$1="",对接源_02物料!$C1164="",对接源_02物料!$C1164&lt;&gt;$M$1,对接源_02物料!$B1164=""),0,IF(OR(N(对接源_02物料!$B1164)&lt;$M$2,N(对接源_02物料!$B1164)&gt;$M$3),0,1))</f>
        <v>0</v>
      </c>
      <c r="N2364">
        <f>IF(OR($N$1="",对接源_02物料!$C1164="",对接源_02物料!$C1164&lt;&gt;$N$1,对接源_02物料!$B1164=""),0,IF(OR(N(对接源_02物料!$B1164)&lt;$N$2,N(对接源_02物料!$B1164)&gt;$N$3),0,1))</f>
        <v>0</v>
      </c>
      <c r="P2364">
        <f>IF(AND($K2364=1,AND(对接源_02物料!$X1164="公司筐",N(对接源_02物料!$T1164)&lt;&gt;0)),1,0)</f>
        <v>0</v>
      </c>
      <c r="Q2364">
        <f>N(Q2363)+$P2364</f>
        <v>14</v>
      </c>
      <c r="R2364">
        <f>IF(AND($K2364=1,AND(对接源_02物料!$X1164="公司筐",N(对接源_02物料!$U1164)&lt;&gt;0)),1,0)</f>
        <v>0</v>
      </c>
      <c r="S2364">
        <f>N(S2363)+$R2364</f>
        <v>1</v>
      </c>
      <c r="T2364">
        <f>IF(AND($K2364=1,AND(对接源_02物料!$X1164="公司筐",N(对接源_02物料!$V1164)&lt;&gt;0)),1,0)</f>
        <v>0</v>
      </c>
      <c r="U2364">
        <f>N(U2363)+$T2364</f>
        <v>47</v>
      </c>
      <c r="V2364">
        <f>IF(AND($L2364=1,AND(对接源_02物料!$X1164="自备筐",N(对接源_02物料!$V1164)&lt;&gt;0)),1,0)</f>
        <v>0</v>
      </c>
      <c r="W2364">
        <f>N(W2363)+$V2364</f>
        <v>11</v>
      </c>
      <c r="X2364">
        <f>IF(AND($L2364=1,AND(对接源_02物料!$X1164="自备筐",N(对接源_02物料!$T1164)&lt;&gt;0)),1,0)</f>
        <v>0</v>
      </c>
      <c r="Y2364">
        <f>N(Y2363)+$X2364</f>
        <v>0</v>
      </c>
      <c r="Z2364">
        <f>IF(AND($M2364=1,对接源_02物料!$D1164="原料入库"),1,0)</f>
        <v>0</v>
      </c>
      <c r="AA2364">
        <f>N(AA2363)+$Z2364</f>
        <v>24</v>
      </c>
      <c r="AB2364">
        <f>IF(AND($M2364=1,LEFT(对接源_02物料!$D1164,4)="原料出库"),1,0)</f>
        <v>0</v>
      </c>
      <c r="AC2364">
        <f>N(AC2363)+$AB2364</f>
        <v>0</v>
      </c>
      <c r="AD2364">
        <f>IF(AND($M2364=1,LEFT(对接源_02物料!$D1164,4)="成品出库"),1,0)</f>
        <v>0</v>
      </c>
      <c r="AE2364">
        <f>N(AE2363)+$AD2364</f>
        <v>0</v>
      </c>
      <c r="AF2364">
        <f>IF(AND($N2364=1,AND(LEFT(对接源_02物料!$D1164,4)="包装物料",N(对接源_02物料!$K1164)&lt;&gt;0)),1,0)</f>
        <v>0</v>
      </c>
      <c r="AG2364">
        <f>N(AG2363)+$AF2364</f>
        <v>10</v>
      </c>
      <c r="AH2364">
        <f>IF(AND($N2364=1,AND(对接源_02物料!$D1164="周转筐－销售出库",N(对接源_02物料!$K1164)&lt;&gt;0)),1,0)</f>
        <v>0</v>
      </c>
      <c r="AI2364">
        <f>N(AI2363)+$AH2364</f>
        <v>0</v>
      </c>
      <c r="AL2364" t="n">
        <v>0</v>
      </c>
      <c r="AM2364">
        <f>N(AM2363)+$AL2364</f>
        <v>2</v>
      </c>
      <c r="AN2364">
        <f>""</f>
      </c>
      <c r="AO2364" t="n">
        <v>0</v>
      </c>
      <c r="AP2364">
        <f>N(AP2363)+$AO2364</f>
        <v>13</v>
      </c>
      <c r="AR2364">
        <f>IF(OR($AF2364=1,$AH2364=1),1,0)</f>
        <v>0</v>
      </c>
      <c r="AS2364">
        <f>N(AS2363)+$AR2364</f>
        <v>10</v>
      </c>
    </row>
    <row r="2365" s="127">
      <c r="A2365">
        <f>IF(对接源_02物料!$C1165="","",对接源_02物料!$C1165)</f>
      </c>
      <c r="B2365">
        <f>IF(A2365="",0,IF(MATCH(A2365,$A$4:$A$2403,0)=ROW()-3,1,0))</f>
        <v>0</v>
      </c>
      <c r="C2365">
        <f>N(C2364)+B2365</f>
        <v>26</v>
      </c>
      <c r="K2365">
        <f>IF(OR($K$1="",对接源_02物料!$C1165="",对接源_02物料!$C1165&lt;&gt;$K$1,对接源_02物料!$B1165=""),0,IF(OR(N(对接源_02物料!$B1165)&lt;$K$2,N(对接源_02物料!$B1165)&gt;$K$3),0,1))</f>
        <v>0</v>
      </c>
      <c r="L2365">
        <f>IF(OR($L$1="",对接源_02物料!$C1165="",对接源_02物料!$C1165&lt;&gt;$L$1,对接源_02物料!$B1165=""),0,IF(OR(N(对接源_02物料!$B1165)&lt;$L$2,N(对接源_02物料!$B1165)&gt;$L$3),0,1))</f>
        <v>0</v>
      </c>
      <c r="M2365">
        <f>IF(OR($M$1="",对接源_02物料!$C1165="",对接源_02物料!$C1165&lt;&gt;$M$1,对接源_02物料!$B1165=""),0,IF(OR(N(对接源_02物料!$B1165)&lt;$M$2,N(对接源_02物料!$B1165)&gt;$M$3),0,1))</f>
        <v>0</v>
      </c>
      <c r="N2365">
        <f>IF(OR($N$1="",对接源_02物料!$C1165="",对接源_02物料!$C1165&lt;&gt;$N$1,对接源_02物料!$B1165=""),0,IF(OR(N(对接源_02物料!$B1165)&lt;$N$2,N(对接源_02物料!$B1165)&gt;$N$3),0,1))</f>
        <v>0</v>
      </c>
      <c r="P2365">
        <f>IF(AND($K2365=1,AND(对接源_02物料!$X1165="公司筐",N(对接源_02物料!$T1165)&lt;&gt;0)),1,0)</f>
        <v>0</v>
      </c>
      <c r="Q2365">
        <f>N(Q2364)+$P2365</f>
        <v>14</v>
      </c>
      <c r="R2365">
        <f>IF(AND($K2365=1,AND(对接源_02物料!$X1165="公司筐",N(对接源_02物料!$U1165)&lt;&gt;0)),1,0)</f>
        <v>0</v>
      </c>
      <c r="S2365">
        <f>N(S2364)+$R2365</f>
        <v>1</v>
      </c>
      <c r="T2365">
        <f>IF(AND($K2365=1,AND(对接源_02物料!$X1165="公司筐",N(对接源_02物料!$V1165)&lt;&gt;0)),1,0)</f>
        <v>0</v>
      </c>
      <c r="U2365">
        <f>N(U2364)+$T2365</f>
        <v>47</v>
      </c>
      <c r="V2365">
        <f>IF(AND($L2365=1,AND(对接源_02物料!$X1165="自备筐",N(对接源_02物料!$V1165)&lt;&gt;0)),1,0)</f>
        <v>0</v>
      </c>
      <c r="W2365">
        <f>N(W2364)+$V2365</f>
        <v>11</v>
      </c>
      <c r="X2365">
        <f>IF(AND($L2365=1,AND(对接源_02物料!$X1165="自备筐",N(对接源_02物料!$T1165)&lt;&gt;0)),1,0)</f>
        <v>0</v>
      </c>
      <c r="Y2365">
        <f>N(Y2364)+$X2365</f>
        <v>0</v>
      </c>
      <c r="Z2365">
        <f>IF(AND($M2365=1,对接源_02物料!$D1165="原料入库"),1,0)</f>
        <v>0</v>
      </c>
      <c r="AA2365">
        <f>N(AA2364)+$Z2365</f>
        <v>24</v>
      </c>
      <c r="AB2365">
        <f>IF(AND($M2365=1,LEFT(对接源_02物料!$D1165,4)="原料出库"),1,0)</f>
        <v>0</v>
      </c>
      <c r="AC2365">
        <f>N(AC2364)+$AB2365</f>
        <v>0</v>
      </c>
      <c r="AD2365">
        <f>IF(AND($M2365=1,LEFT(对接源_02物料!$D1165,4)="成品出库"),1,0)</f>
        <v>0</v>
      </c>
      <c r="AE2365">
        <f>N(AE2364)+$AD2365</f>
        <v>0</v>
      </c>
      <c r="AF2365">
        <f>IF(AND($N2365=1,AND(LEFT(对接源_02物料!$D1165,4)="包装物料",N(对接源_02物料!$K1165)&lt;&gt;0)),1,0)</f>
        <v>0</v>
      </c>
      <c r="AG2365">
        <f>N(AG2364)+$AF2365</f>
        <v>10</v>
      </c>
      <c r="AH2365">
        <f>IF(AND($N2365=1,AND(对接源_02物料!$D1165="周转筐－销售出库",N(对接源_02物料!$K1165)&lt;&gt;0)),1,0)</f>
        <v>0</v>
      </c>
      <c r="AI2365">
        <f>N(AI2364)+$AH2365</f>
        <v>0</v>
      </c>
      <c r="AL2365" t="n">
        <v>0</v>
      </c>
      <c r="AM2365">
        <f>N(AM2364)+$AL2365</f>
        <v>2</v>
      </c>
      <c r="AN2365">
        <f>""</f>
      </c>
      <c r="AO2365" t="n">
        <v>0</v>
      </c>
      <c r="AP2365">
        <f>N(AP2364)+$AO2365</f>
        <v>13</v>
      </c>
      <c r="AR2365">
        <f>IF(OR($AF2365=1,$AH2365=1),1,0)</f>
        <v>0</v>
      </c>
      <c r="AS2365">
        <f>N(AS2364)+$AR2365</f>
        <v>10</v>
      </c>
    </row>
    <row r="2366" s="127">
      <c r="A2366">
        <f>IF(对接源_02物料!$C1166="","",对接源_02物料!$C1166)</f>
      </c>
      <c r="B2366">
        <f>IF(A2366="",0,IF(MATCH(A2366,$A$4:$A$2403,0)=ROW()-3,1,0))</f>
        <v>0</v>
      </c>
      <c r="C2366">
        <f>N(C2365)+B2366</f>
        <v>26</v>
      </c>
      <c r="K2366">
        <f>IF(OR($K$1="",对接源_02物料!$C1166="",对接源_02物料!$C1166&lt;&gt;$K$1,对接源_02物料!$B1166=""),0,IF(OR(N(对接源_02物料!$B1166)&lt;$K$2,N(对接源_02物料!$B1166)&gt;$K$3),0,1))</f>
        <v>0</v>
      </c>
      <c r="L2366">
        <f>IF(OR($L$1="",对接源_02物料!$C1166="",对接源_02物料!$C1166&lt;&gt;$L$1,对接源_02物料!$B1166=""),0,IF(OR(N(对接源_02物料!$B1166)&lt;$L$2,N(对接源_02物料!$B1166)&gt;$L$3),0,1))</f>
        <v>0</v>
      </c>
      <c r="M2366">
        <f>IF(OR($M$1="",对接源_02物料!$C1166="",对接源_02物料!$C1166&lt;&gt;$M$1,对接源_02物料!$B1166=""),0,IF(OR(N(对接源_02物料!$B1166)&lt;$M$2,N(对接源_02物料!$B1166)&gt;$M$3),0,1))</f>
        <v>0</v>
      </c>
      <c r="N2366">
        <f>IF(OR($N$1="",对接源_02物料!$C1166="",对接源_02物料!$C1166&lt;&gt;$N$1,对接源_02物料!$B1166=""),0,IF(OR(N(对接源_02物料!$B1166)&lt;$N$2,N(对接源_02物料!$B1166)&gt;$N$3),0,1))</f>
        <v>0</v>
      </c>
      <c r="P2366">
        <f>IF(AND($K2366=1,AND(对接源_02物料!$X1166="公司筐",N(对接源_02物料!$T1166)&lt;&gt;0)),1,0)</f>
        <v>0</v>
      </c>
      <c r="Q2366">
        <f>N(Q2365)+$P2366</f>
        <v>14</v>
      </c>
      <c r="R2366">
        <f>IF(AND($K2366=1,AND(对接源_02物料!$X1166="公司筐",N(对接源_02物料!$U1166)&lt;&gt;0)),1,0)</f>
        <v>0</v>
      </c>
      <c r="S2366">
        <f>N(S2365)+$R2366</f>
        <v>1</v>
      </c>
      <c r="T2366">
        <f>IF(AND($K2366=1,AND(对接源_02物料!$X1166="公司筐",N(对接源_02物料!$V1166)&lt;&gt;0)),1,0)</f>
        <v>0</v>
      </c>
      <c r="U2366">
        <f>N(U2365)+$T2366</f>
        <v>47</v>
      </c>
      <c r="V2366">
        <f>IF(AND($L2366=1,AND(对接源_02物料!$X1166="自备筐",N(对接源_02物料!$V1166)&lt;&gt;0)),1,0)</f>
        <v>0</v>
      </c>
      <c r="W2366">
        <f>N(W2365)+$V2366</f>
        <v>11</v>
      </c>
      <c r="X2366">
        <f>IF(AND($L2366=1,AND(对接源_02物料!$X1166="自备筐",N(对接源_02物料!$T1166)&lt;&gt;0)),1,0)</f>
        <v>0</v>
      </c>
      <c r="Y2366">
        <f>N(Y2365)+$X2366</f>
        <v>0</v>
      </c>
      <c r="Z2366">
        <f>IF(AND($M2366=1,对接源_02物料!$D1166="原料入库"),1,0)</f>
        <v>0</v>
      </c>
      <c r="AA2366">
        <f>N(AA2365)+$Z2366</f>
        <v>24</v>
      </c>
      <c r="AB2366">
        <f>IF(AND($M2366=1,LEFT(对接源_02物料!$D1166,4)="原料出库"),1,0)</f>
        <v>0</v>
      </c>
      <c r="AC2366">
        <f>N(AC2365)+$AB2366</f>
        <v>0</v>
      </c>
      <c r="AD2366">
        <f>IF(AND($M2366=1,LEFT(对接源_02物料!$D1166,4)="成品出库"),1,0)</f>
        <v>0</v>
      </c>
      <c r="AE2366">
        <f>N(AE2365)+$AD2366</f>
        <v>0</v>
      </c>
      <c r="AF2366">
        <f>IF(AND($N2366=1,AND(LEFT(对接源_02物料!$D1166,4)="包装物料",N(对接源_02物料!$K1166)&lt;&gt;0)),1,0)</f>
        <v>0</v>
      </c>
      <c r="AG2366">
        <f>N(AG2365)+$AF2366</f>
        <v>10</v>
      </c>
      <c r="AH2366">
        <f>IF(AND($N2366=1,AND(对接源_02物料!$D1166="周转筐－销售出库",N(对接源_02物料!$K1166)&lt;&gt;0)),1,0)</f>
        <v>0</v>
      </c>
      <c r="AI2366">
        <f>N(AI2365)+$AH2366</f>
        <v>0</v>
      </c>
      <c r="AL2366" t="n">
        <v>0</v>
      </c>
      <c r="AM2366">
        <f>N(AM2365)+$AL2366</f>
        <v>2</v>
      </c>
      <c r="AN2366">
        <f>""</f>
      </c>
      <c r="AO2366" t="n">
        <v>0</v>
      </c>
      <c r="AP2366">
        <f>N(AP2365)+$AO2366</f>
        <v>13</v>
      </c>
      <c r="AR2366">
        <f>IF(OR($AF2366=1,$AH2366=1),1,0)</f>
        <v>0</v>
      </c>
      <c r="AS2366">
        <f>N(AS2365)+$AR2366</f>
        <v>10</v>
      </c>
    </row>
    <row r="2367" s="127">
      <c r="A2367">
        <f>IF(对接源_02物料!$C1167="","",对接源_02物料!$C1167)</f>
      </c>
      <c r="B2367">
        <f>IF(A2367="",0,IF(MATCH(A2367,$A$4:$A$2403,0)=ROW()-3,1,0))</f>
        <v>0</v>
      </c>
      <c r="C2367">
        <f>N(C2366)+B2367</f>
        <v>26</v>
      </c>
      <c r="K2367">
        <f>IF(OR($K$1="",对接源_02物料!$C1167="",对接源_02物料!$C1167&lt;&gt;$K$1,对接源_02物料!$B1167=""),0,IF(OR(N(对接源_02物料!$B1167)&lt;$K$2,N(对接源_02物料!$B1167)&gt;$K$3),0,1))</f>
        <v>0</v>
      </c>
      <c r="L2367">
        <f>IF(OR($L$1="",对接源_02物料!$C1167="",对接源_02物料!$C1167&lt;&gt;$L$1,对接源_02物料!$B1167=""),0,IF(OR(N(对接源_02物料!$B1167)&lt;$L$2,N(对接源_02物料!$B1167)&gt;$L$3),0,1))</f>
        <v>0</v>
      </c>
      <c r="M2367">
        <f>IF(OR($M$1="",对接源_02物料!$C1167="",对接源_02物料!$C1167&lt;&gt;$M$1,对接源_02物料!$B1167=""),0,IF(OR(N(对接源_02物料!$B1167)&lt;$M$2,N(对接源_02物料!$B1167)&gt;$M$3),0,1))</f>
        <v>0</v>
      </c>
      <c r="N2367">
        <f>IF(OR($N$1="",对接源_02物料!$C1167="",对接源_02物料!$C1167&lt;&gt;$N$1,对接源_02物料!$B1167=""),0,IF(OR(N(对接源_02物料!$B1167)&lt;$N$2,N(对接源_02物料!$B1167)&gt;$N$3),0,1))</f>
        <v>0</v>
      </c>
      <c r="P2367">
        <f>IF(AND($K2367=1,AND(对接源_02物料!$X1167="公司筐",N(对接源_02物料!$T1167)&lt;&gt;0)),1,0)</f>
        <v>0</v>
      </c>
      <c r="Q2367">
        <f>N(Q2366)+$P2367</f>
        <v>14</v>
      </c>
      <c r="R2367">
        <f>IF(AND($K2367=1,AND(对接源_02物料!$X1167="公司筐",N(对接源_02物料!$U1167)&lt;&gt;0)),1,0)</f>
        <v>0</v>
      </c>
      <c r="S2367">
        <f>N(S2366)+$R2367</f>
        <v>1</v>
      </c>
      <c r="T2367">
        <f>IF(AND($K2367=1,AND(对接源_02物料!$X1167="公司筐",N(对接源_02物料!$V1167)&lt;&gt;0)),1,0)</f>
        <v>0</v>
      </c>
      <c r="U2367">
        <f>N(U2366)+$T2367</f>
        <v>47</v>
      </c>
      <c r="V2367">
        <f>IF(AND($L2367=1,AND(对接源_02物料!$X1167="自备筐",N(对接源_02物料!$V1167)&lt;&gt;0)),1,0)</f>
        <v>0</v>
      </c>
      <c r="W2367">
        <f>N(W2366)+$V2367</f>
        <v>11</v>
      </c>
      <c r="X2367">
        <f>IF(AND($L2367=1,AND(对接源_02物料!$X1167="自备筐",N(对接源_02物料!$T1167)&lt;&gt;0)),1,0)</f>
        <v>0</v>
      </c>
      <c r="Y2367">
        <f>N(Y2366)+$X2367</f>
        <v>0</v>
      </c>
      <c r="Z2367">
        <f>IF(AND($M2367=1,对接源_02物料!$D1167="原料入库"),1,0)</f>
        <v>0</v>
      </c>
      <c r="AA2367">
        <f>N(AA2366)+$Z2367</f>
        <v>24</v>
      </c>
      <c r="AB2367">
        <f>IF(AND($M2367=1,LEFT(对接源_02物料!$D1167,4)="原料出库"),1,0)</f>
        <v>0</v>
      </c>
      <c r="AC2367">
        <f>N(AC2366)+$AB2367</f>
        <v>0</v>
      </c>
      <c r="AD2367">
        <f>IF(AND($M2367=1,LEFT(对接源_02物料!$D1167,4)="成品出库"),1,0)</f>
        <v>0</v>
      </c>
      <c r="AE2367">
        <f>N(AE2366)+$AD2367</f>
        <v>0</v>
      </c>
      <c r="AF2367">
        <f>IF(AND($N2367=1,AND(LEFT(对接源_02物料!$D1167,4)="包装物料",N(对接源_02物料!$K1167)&lt;&gt;0)),1,0)</f>
        <v>0</v>
      </c>
      <c r="AG2367">
        <f>N(AG2366)+$AF2367</f>
        <v>10</v>
      </c>
      <c r="AH2367">
        <f>IF(AND($N2367=1,AND(对接源_02物料!$D1167="周转筐－销售出库",N(对接源_02物料!$K1167)&lt;&gt;0)),1,0)</f>
        <v>0</v>
      </c>
      <c r="AI2367">
        <f>N(AI2366)+$AH2367</f>
        <v>0</v>
      </c>
      <c r="AL2367" t="n">
        <v>0</v>
      </c>
      <c r="AM2367">
        <f>N(AM2366)+$AL2367</f>
        <v>2</v>
      </c>
      <c r="AN2367">
        <f>""</f>
      </c>
      <c r="AO2367" t="n">
        <v>0</v>
      </c>
      <c r="AP2367">
        <f>N(AP2366)+$AO2367</f>
        <v>13</v>
      </c>
      <c r="AR2367">
        <f>IF(OR($AF2367=1,$AH2367=1),1,0)</f>
        <v>0</v>
      </c>
      <c r="AS2367">
        <f>N(AS2366)+$AR2367</f>
        <v>10</v>
      </c>
    </row>
    <row r="2368" s="127">
      <c r="A2368">
        <f>IF(对接源_02物料!$C1168="","",对接源_02物料!$C1168)</f>
      </c>
      <c r="B2368">
        <f>IF(A2368="",0,IF(MATCH(A2368,$A$4:$A$2403,0)=ROW()-3,1,0))</f>
        <v>0</v>
      </c>
      <c r="C2368">
        <f>N(C2367)+B2368</f>
        <v>26</v>
      </c>
      <c r="K2368">
        <f>IF(OR($K$1="",对接源_02物料!$C1168="",对接源_02物料!$C1168&lt;&gt;$K$1,对接源_02物料!$B1168=""),0,IF(OR(N(对接源_02物料!$B1168)&lt;$K$2,N(对接源_02物料!$B1168)&gt;$K$3),0,1))</f>
        <v>0</v>
      </c>
      <c r="L2368">
        <f>IF(OR($L$1="",对接源_02物料!$C1168="",对接源_02物料!$C1168&lt;&gt;$L$1,对接源_02物料!$B1168=""),0,IF(OR(N(对接源_02物料!$B1168)&lt;$L$2,N(对接源_02物料!$B1168)&gt;$L$3),0,1))</f>
        <v>0</v>
      </c>
      <c r="M2368">
        <f>IF(OR($M$1="",对接源_02物料!$C1168="",对接源_02物料!$C1168&lt;&gt;$M$1,对接源_02物料!$B1168=""),0,IF(OR(N(对接源_02物料!$B1168)&lt;$M$2,N(对接源_02物料!$B1168)&gt;$M$3),0,1))</f>
        <v>0</v>
      </c>
      <c r="N2368">
        <f>IF(OR($N$1="",对接源_02物料!$C1168="",对接源_02物料!$C1168&lt;&gt;$N$1,对接源_02物料!$B1168=""),0,IF(OR(N(对接源_02物料!$B1168)&lt;$N$2,N(对接源_02物料!$B1168)&gt;$N$3),0,1))</f>
        <v>0</v>
      </c>
      <c r="P2368">
        <f>IF(AND($K2368=1,AND(对接源_02物料!$X1168="公司筐",N(对接源_02物料!$T1168)&lt;&gt;0)),1,0)</f>
        <v>0</v>
      </c>
      <c r="Q2368">
        <f>N(Q2367)+$P2368</f>
        <v>14</v>
      </c>
      <c r="R2368">
        <f>IF(AND($K2368=1,AND(对接源_02物料!$X1168="公司筐",N(对接源_02物料!$U1168)&lt;&gt;0)),1,0)</f>
        <v>0</v>
      </c>
      <c r="S2368">
        <f>N(S2367)+$R2368</f>
        <v>1</v>
      </c>
      <c r="T2368">
        <f>IF(AND($K2368=1,AND(对接源_02物料!$X1168="公司筐",N(对接源_02物料!$V1168)&lt;&gt;0)),1,0)</f>
        <v>0</v>
      </c>
      <c r="U2368">
        <f>N(U2367)+$T2368</f>
        <v>47</v>
      </c>
      <c r="V2368">
        <f>IF(AND($L2368=1,AND(对接源_02物料!$X1168="自备筐",N(对接源_02物料!$V1168)&lt;&gt;0)),1,0)</f>
        <v>0</v>
      </c>
      <c r="W2368">
        <f>N(W2367)+$V2368</f>
        <v>11</v>
      </c>
      <c r="X2368">
        <f>IF(AND($L2368=1,AND(对接源_02物料!$X1168="自备筐",N(对接源_02物料!$T1168)&lt;&gt;0)),1,0)</f>
        <v>0</v>
      </c>
      <c r="Y2368">
        <f>N(Y2367)+$X2368</f>
        <v>0</v>
      </c>
      <c r="Z2368">
        <f>IF(AND($M2368=1,对接源_02物料!$D1168="原料入库"),1,0)</f>
        <v>0</v>
      </c>
      <c r="AA2368">
        <f>N(AA2367)+$Z2368</f>
        <v>24</v>
      </c>
      <c r="AB2368">
        <f>IF(AND($M2368=1,LEFT(对接源_02物料!$D1168,4)="原料出库"),1,0)</f>
        <v>0</v>
      </c>
      <c r="AC2368">
        <f>N(AC2367)+$AB2368</f>
        <v>0</v>
      </c>
      <c r="AD2368">
        <f>IF(AND($M2368=1,LEFT(对接源_02物料!$D1168,4)="成品出库"),1,0)</f>
        <v>0</v>
      </c>
      <c r="AE2368">
        <f>N(AE2367)+$AD2368</f>
        <v>0</v>
      </c>
      <c r="AF2368">
        <f>IF(AND($N2368=1,AND(LEFT(对接源_02物料!$D1168,4)="包装物料",N(对接源_02物料!$K1168)&lt;&gt;0)),1,0)</f>
        <v>0</v>
      </c>
      <c r="AG2368">
        <f>N(AG2367)+$AF2368</f>
        <v>10</v>
      </c>
      <c r="AH2368">
        <f>IF(AND($N2368=1,AND(对接源_02物料!$D1168="周转筐－销售出库",N(对接源_02物料!$K1168)&lt;&gt;0)),1,0)</f>
        <v>0</v>
      </c>
      <c r="AI2368">
        <f>N(AI2367)+$AH2368</f>
        <v>0</v>
      </c>
      <c r="AL2368" t="n">
        <v>0</v>
      </c>
      <c r="AM2368">
        <f>N(AM2367)+$AL2368</f>
        <v>2</v>
      </c>
      <c r="AN2368">
        <f>""</f>
      </c>
      <c r="AO2368" t="n">
        <v>0</v>
      </c>
      <c r="AP2368">
        <f>N(AP2367)+$AO2368</f>
        <v>13</v>
      </c>
      <c r="AR2368">
        <f>IF(OR($AF2368=1,$AH2368=1),1,0)</f>
        <v>0</v>
      </c>
      <c r="AS2368">
        <f>N(AS2367)+$AR2368</f>
        <v>10</v>
      </c>
    </row>
    <row r="2369" s="127">
      <c r="A2369">
        <f>IF(对接源_02物料!$C1169="","",对接源_02物料!$C1169)</f>
      </c>
      <c r="B2369">
        <f>IF(A2369="",0,IF(MATCH(A2369,$A$4:$A$2403,0)=ROW()-3,1,0))</f>
        <v>0</v>
      </c>
      <c r="C2369">
        <f>N(C2368)+B2369</f>
        <v>26</v>
      </c>
      <c r="K2369">
        <f>IF(OR($K$1="",对接源_02物料!$C1169="",对接源_02物料!$C1169&lt;&gt;$K$1,对接源_02物料!$B1169=""),0,IF(OR(N(对接源_02物料!$B1169)&lt;$K$2,N(对接源_02物料!$B1169)&gt;$K$3),0,1))</f>
        <v>0</v>
      </c>
      <c r="L2369">
        <f>IF(OR($L$1="",对接源_02物料!$C1169="",对接源_02物料!$C1169&lt;&gt;$L$1,对接源_02物料!$B1169=""),0,IF(OR(N(对接源_02物料!$B1169)&lt;$L$2,N(对接源_02物料!$B1169)&gt;$L$3),0,1))</f>
        <v>0</v>
      </c>
      <c r="M2369">
        <f>IF(OR($M$1="",对接源_02物料!$C1169="",对接源_02物料!$C1169&lt;&gt;$M$1,对接源_02物料!$B1169=""),0,IF(OR(N(对接源_02物料!$B1169)&lt;$M$2,N(对接源_02物料!$B1169)&gt;$M$3),0,1))</f>
        <v>0</v>
      </c>
      <c r="N2369">
        <f>IF(OR($N$1="",对接源_02物料!$C1169="",对接源_02物料!$C1169&lt;&gt;$N$1,对接源_02物料!$B1169=""),0,IF(OR(N(对接源_02物料!$B1169)&lt;$N$2,N(对接源_02物料!$B1169)&gt;$N$3),0,1))</f>
        <v>0</v>
      </c>
      <c r="P2369">
        <f>IF(AND($K2369=1,AND(对接源_02物料!$X1169="公司筐",N(对接源_02物料!$T1169)&lt;&gt;0)),1,0)</f>
        <v>0</v>
      </c>
      <c r="Q2369">
        <f>N(Q2368)+$P2369</f>
        <v>14</v>
      </c>
      <c r="R2369">
        <f>IF(AND($K2369=1,AND(对接源_02物料!$X1169="公司筐",N(对接源_02物料!$U1169)&lt;&gt;0)),1,0)</f>
        <v>0</v>
      </c>
      <c r="S2369">
        <f>N(S2368)+$R2369</f>
        <v>1</v>
      </c>
      <c r="T2369">
        <f>IF(AND($K2369=1,AND(对接源_02物料!$X1169="公司筐",N(对接源_02物料!$V1169)&lt;&gt;0)),1,0)</f>
        <v>0</v>
      </c>
      <c r="U2369">
        <f>N(U2368)+$T2369</f>
        <v>47</v>
      </c>
      <c r="V2369">
        <f>IF(AND($L2369=1,AND(对接源_02物料!$X1169="自备筐",N(对接源_02物料!$V1169)&lt;&gt;0)),1,0)</f>
        <v>0</v>
      </c>
      <c r="W2369">
        <f>N(W2368)+$V2369</f>
        <v>11</v>
      </c>
      <c r="X2369">
        <f>IF(AND($L2369=1,AND(对接源_02物料!$X1169="自备筐",N(对接源_02物料!$T1169)&lt;&gt;0)),1,0)</f>
        <v>0</v>
      </c>
      <c r="Y2369">
        <f>N(Y2368)+$X2369</f>
        <v>0</v>
      </c>
      <c r="Z2369">
        <f>IF(AND($M2369=1,对接源_02物料!$D1169="原料入库"),1,0)</f>
        <v>0</v>
      </c>
      <c r="AA2369">
        <f>N(AA2368)+$Z2369</f>
        <v>24</v>
      </c>
      <c r="AB2369">
        <f>IF(AND($M2369=1,LEFT(对接源_02物料!$D1169,4)="原料出库"),1,0)</f>
        <v>0</v>
      </c>
      <c r="AC2369">
        <f>N(AC2368)+$AB2369</f>
        <v>0</v>
      </c>
      <c r="AD2369">
        <f>IF(AND($M2369=1,LEFT(对接源_02物料!$D1169,4)="成品出库"),1,0)</f>
        <v>0</v>
      </c>
      <c r="AE2369">
        <f>N(AE2368)+$AD2369</f>
        <v>0</v>
      </c>
      <c r="AF2369">
        <f>IF(AND($N2369=1,AND(LEFT(对接源_02物料!$D1169,4)="包装物料",N(对接源_02物料!$K1169)&lt;&gt;0)),1,0)</f>
        <v>0</v>
      </c>
      <c r="AG2369">
        <f>N(AG2368)+$AF2369</f>
        <v>10</v>
      </c>
      <c r="AH2369">
        <f>IF(AND($N2369=1,AND(对接源_02物料!$D1169="周转筐－销售出库",N(对接源_02物料!$K1169)&lt;&gt;0)),1,0)</f>
        <v>0</v>
      </c>
      <c r="AI2369">
        <f>N(AI2368)+$AH2369</f>
        <v>0</v>
      </c>
      <c r="AL2369" t="n">
        <v>0</v>
      </c>
      <c r="AM2369">
        <f>N(AM2368)+$AL2369</f>
        <v>2</v>
      </c>
      <c r="AN2369">
        <f>""</f>
      </c>
      <c r="AO2369" t="n">
        <v>0</v>
      </c>
      <c r="AP2369">
        <f>N(AP2368)+$AO2369</f>
        <v>13</v>
      </c>
      <c r="AR2369">
        <f>IF(OR($AF2369=1,$AH2369=1),1,0)</f>
        <v>0</v>
      </c>
      <c r="AS2369">
        <f>N(AS2368)+$AR2369</f>
        <v>10</v>
      </c>
    </row>
    <row r="2370" s="127">
      <c r="A2370">
        <f>IF(对接源_02物料!$C1170="","",对接源_02物料!$C1170)</f>
      </c>
      <c r="B2370">
        <f>IF(A2370="",0,IF(MATCH(A2370,$A$4:$A$2403,0)=ROW()-3,1,0))</f>
        <v>0</v>
      </c>
      <c r="C2370">
        <f>N(C2369)+B2370</f>
        <v>26</v>
      </c>
      <c r="K2370">
        <f>IF(OR($K$1="",对接源_02物料!$C1170="",对接源_02物料!$C1170&lt;&gt;$K$1,对接源_02物料!$B1170=""),0,IF(OR(N(对接源_02物料!$B1170)&lt;$K$2,N(对接源_02物料!$B1170)&gt;$K$3),0,1))</f>
        <v>0</v>
      </c>
      <c r="L2370">
        <f>IF(OR($L$1="",对接源_02物料!$C1170="",对接源_02物料!$C1170&lt;&gt;$L$1,对接源_02物料!$B1170=""),0,IF(OR(N(对接源_02物料!$B1170)&lt;$L$2,N(对接源_02物料!$B1170)&gt;$L$3),0,1))</f>
        <v>0</v>
      </c>
      <c r="M2370">
        <f>IF(OR($M$1="",对接源_02物料!$C1170="",对接源_02物料!$C1170&lt;&gt;$M$1,对接源_02物料!$B1170=""),0,IF(OR(N(对接源_02物料!$B1170)&lt;$M$2,N(对接源_02物料!$B1170)&gt;$M$3),0,1))</f>
        <v>0</v>
      </c>
      <c r="N2370">
        <f>IF(OR($N$1="",对接源_02物料!$C1170="",对接源_02物料!$C1170&lt;&gt;$N$1,对接源_02物料!$B1170=""),0,IF(OR(N(对接源_02物料!$B1170)&lt;$N$2,N(对接源_02物料!$B1170)&gt;$N$3),0,1))</f>
        <v>0</v>
      </c>
      <c r="P2370">
        <f>IF(AND($K2370=1,AND(对接源_02物料!$X1170="公司筐",N(对接源_02物料!$T1170)&lt;&gt;0)),1,0)</f>
        <v>0</v>
      </c>
      <c r="Q2370">
        <f>N(Q2369)+$P2370</f>
        <v>14</v>
      </c>
      <c r="R2370">
        <f>IF(AND($K2370=1,AND(对接源_02物料!$X1170="公司筐",N(对接源_02物料!$U1170)&lt;&gt;0)),1,0)</f>
        <v>0</v>
      </c>
      <c r="S2370">
        <f>N(S2369)+$R2370</f>
        <v>1</v>
      </c>
      <c r="T2370">
        <f>IF(AND($K2370=1,AND(对接源_02物料!$X1170="公司筐",N(对接源_02物料!$V1170)&lt;&gt;0)),1,0)</f>
        <v>0</v>
      </c>
      <c r="U2370">
        <f>N(U2369)+$T2370</f>
        <v>47</v>
      </c>
      <c r="V2370">
        <f>IF(AND($L2370=1,AND(对接源_02物料!$X1170="自备筐",N(对接源_02物料!$V1170)&lt;&gt;0)),1,0)</f>
        <v>0</v>
      </c>
      <c r="W2370">
        <f>N(W2369)+$V2370</f>
        <v>11</v>
      </c>
      <c r="X2370">
        <f>IF(AND($L2370=1,AND(对接源_02物料!$X1170="自备筐",N(对接源_02物料!$T1170)&lt;&gt;0)),1,0)</f>
        <v>0</v>
      </c>
      <c r="Y2370">
        <f>N(Y2369)+$X2370</f>
        <v>0</v>
      </c>
      <c r="Z2370">
        <f>IF(AND($M2370=1,对接源_02物料!$D1170="原料入库"),1,0)</f>
        <v>0</v>
      </c>
      <c r="AA2370">
        <f>N(AA2369)+$Z2370</f>
        <v>24</v>
      </c>
      <c r="AB2370">
        <f>IF(AND($M2370=1,LEFT(对接源_02物料!$D1170,4)="原料出库"),1,0)</f>
        <v>0</v>
      </c>
      <c r="AC2370">
        <f>N(AC2369)+$AB2370</f>
        <v>0</v>
      </c>
      <c r="AD2370">
        <f>IF(AND($M2370=1,LEFT(对接源_02物料!$D1170,4)="成品出库"),1,0)</f>
        <v>0</v>
      </c>
      <c r="AE2370">
        <f>N(AE2369)+$AD2370</f>
        <v>0</v>
      </c>
      <c r="AF2370">
        <f>IF(AND($N2370=1,AND(LEFT(对接源_02物料!$D1170,4)="包装物料",N(对接源_02物料!$K1170)&lt;&gt;0)),1,0)</f>
        <v>0</v>
      </c>
      <c r="AG2370">
        <f>N(AG2369)+$AF2370</f>
        <v>10</v>
      </c>
      <c r="AH2370">
        <f>IF(AND($N2370=1,AND(对接源_02物料!$D1170="周转筐－销售出库",N(对接源_02物料!$K1170)&lt;&gt;0)),1,0)</f>
        <v>0</v>
      </c>
      <c r="AI2370">
        <f>N(AI2369)+$AH2370</f>
        <v>0</v>
      </c>
      <c r="AL2370" t="n">
        <v>0</v>
      </c>
      <c r="AM2370">
        <f>N(AM2369)+$AL2370</f>
        <v>2</v>
      </c>
      <c r="AN2370">
        <f>""</f>
      </c>
      <c r="AO2370" t="n">
        <v>0</v>
      </c>
      <c r="AP2370">
        <f>N(AP2369)+$AO2370</f>
        <v>13</v>
      </c>
      <c r="AR2370">
        <f>IF(OR($AF2370=1,$AH2370=1),1,0)</f>
        <v>0</v>
      </c>
      <c r="AS2370">
        <f>N(AS2369)+$AR2370</f>
        <v>10</v>
      </c>
    </row>
    <row r="2371" s="127">
      <c r="A2371">
        <f>IF(对接源_02物料!$C1171="","",对接源_02物料!$C1171)</f>
      </c>
      <c r="B2371">
        <f>IF(A2371="",0,IF(MATCH(A2371,$A$4:$A$2403,0)=ROW()-3,1,0))</f>
        <v>0</v>
      </c>
      <c r="C2371">
        <f>N(C2370)+B2371</f>
        <v>26</v>
      </c>
      <c r="K2371">
        <f>IF(OR($K$1="",对接源_02物料!$C1171="",对接源_02物料!$C1171&lt;&gt;$K$1,对接源_02物料!$B1171=""),0,IF(OR(N(对接源_02物料!$B1171)&lt;$K$2,N(对接源_02物料!$B1171)&gt;$K$3),0,1))</f>
        <v>0</v>
      </c>
      <c r="L2371">
        <f>IF(OR($L$1="",对接源_02物料!$C1171="",对接源_02物料!$C1171&lt;&gt;$L$1,对接源_02物料!$B1171=""),0,IF(OR(N(对接源_02物料!$B1171)&lt;$L$2,N(对接源_02物料!$B1171)&gt;$L$3),0,1))</f>
        <v>0</v>
      </c>
      <c r="M2371">
        <f>IF(OR($M$1="",对接源_02物料!$C1171="",对接源_02物料!$C1171&lt;&gt;$M$1,对接源_02物料!$B1171=""),0,IF(OR(N(对接源_02物料!$B1171)&lt;$M$2,N(对接源_02物料!$B1171)&gt;$M$3),0,1))</f>
        <v>0</v>
      </c>
      <c r="N2371">
        <f>IF(OR($N$1="",对接源_02物料!$C1171="",对接源_02物料!$C1171&lt;&gt;$N$1,对接源_02物料!$B1171=""),0,IF(OR(N(对接源_02物料!$B1171)&lt;$N$2,N(对接源_02物料!$B1171)&gt;$N$3),0,1))</f>
        <v>0</v>
      </c>
      <c r="P2371">
        <f>IF(AND($K2371=1,AND(对接源_02物料!$X1171="公司筐",N(对接源_02物料!$T1171)&lt;&gt;0)),1,0)</f>
        <v>0</v>
      </c>
      <c r="Q2371">
        <f>N(Q2370)+$P2371</f>
        <v>14</v>
      </c>
      <c r="R2371">
        <f>IF(AND($K2371=1,AND(对接源_02物料!$X1171="公司筐",N(对接源_02物料!$U1171)&lt;&gt;0)),1,0)</f>
        <v>0</v>
      </c>
      <c r="S2371">
        <f>N(S2370)+$R2371</f>
        <v>1</v>
      </c>
      <c r="T2371">
        <f>IF(AND($K2371=1,AND(对接源_02物料!$X1171="公司筐",N(对接源_02物料!$V1171)&lt;&gt;0)),1,0)</f>
        <v>0</v>
      </c>
      <c r="U2371">
        <f>N(U2370)+$T2371</f>
        <v>47</v>
      </c>
      <c r="V2371">
        <f>IF(AND($L2371=1,AND(对接源_02物料!$X1171="自备筐",N(对接源_02物料!$V1171)&lt;&gt;0)),1,0)</f>
        <v>0</v>
      </c>
      <c r="W2371">
        <f>N(W2370)+$V2371</f>
        <v>11</v>
      </c>
      <c r="X2371">
        <f>IF(AND($L2371=1,AND(对接源_02物料!$X1171="自备筐",N(对接源_02物料!$T1171)&lt;&gt;0)),1,0)</f>
        <v>0</v>
      </c>
      <c r="Y2371">
        <f>N(Y2370)+$X2371</f>
        <v>0</v>
      </c>
      <c r="Z2371">
        <f>IF(AND($M2371=1,对接源_02物料!$D1171="原料入库"),1,0)</f>
        <v>0</v>
      </c>
      <c r="AA2371">
        <f>N(AA2370)+$Z2371</f>
        <v>24</v>
      </c>
      <c r="AB2371">
        <f>IF(AND($M2371=1,LEFT(对接源_02物料!$D1171,4)="原料出库"),1,0)</f>
        <v>0</v>
      </c>
      <c r="AC2371">
        <f>N(AC2370)+$AB2371</f>
        <v>0</v>
      </c>
      <c r="AD2371">
        <f>IF(AND($M2371=1,LEFT(对接源_02物料!$D1171,4)="成品出库"),1,0)</f>
        <v>0</v>
      </c>
      <c r="AE2371">
        <f>N(AE2370)+$AD2371</f>
        <v>0</v>
      </c>
      <c r="AF2371">
        <f>IF(AND($N2371=1,AND(LEFT(对接源_02物料!$D1171,4)="包装物料",N(对接源_02物料!$K1171)&lt;&gt;0)),1,0)</f>
        <v>0</v>
      </c>
      <c r="AG2371">
        <f>N(AG2370)+$AF2371</f>
        <v>10</v>
      </c>
      <c r="AH2371">
        <f>IF(AND($N2371=1,AND(对接源_02物料!$D1171="周转筐－销售出库",N(对接源_02物料!$K1171)&lt;&gt;0)),1,0)</f>
        <v>0</v>
      </c>
      <c r="AI2371">
        <f>N(AI2370)+$AH2371</f>
        <v>0</v>
      </c>
      <c r="AL2371" t="n">
        <v>0</v>
      </c>
      <c r="AM2371">
        <f>N(AM2370)+$AL2371</f>
        <v>2</v>
      </c>
      <c r="AN2371">
        <f>""</f>
      </c>
      <c r="AO2371" t="n">
        <v>0</v>
      </c>
      <c r="AP2371">
        <f>N(AP2370)+$AO2371</f>
        <v>13</v>
      </c>
      <c r="AR2371">
        <f>IF(OR($AF2371=1,$AH2371=1),1,0)</f>
        <v>0</v>
      </c>
      <c r="AS2371">
        <f>N(AS2370)+$AR2371</f>
        <v>10</v>
      </c>
    </row>
    <row r="2372" s="127">
      <c r="A2372">
        <f>IF(对接源_02物料!$C1172="","",对接源_02物料!$C1172)</f>
      </c>
      <c r="B2372">
        <f>IF(A2372="",0,IF(MATCH(A2372,$A$4:$A$2403,0)=ROW()-3,1,0))</f>
        <v>0</v>
      </c>
      <c r="C2372">
        <f>N(C2371)+B2372</f>
        <v>26</v>
      </c>
      <c r="K2372">
        <f>IF(OR($K$1="",对接源_02物料!$C1172="",对接源_02物料!$C1172&lt;&gt;$K$1,对接源_02物料!$B1172=""),0,IF(OR(N(对接源_02物料!$B1172)&lt;$K$2,N(对接源_02物料!$B1172)&gt;$K$3),0,1))</f>
        <v>0</v>
      </c>
      <c r="L2372">
        <f>IF(OR($L$1="",对接源_02物料!$C1172="",对接源_02物料!$C1172&lt;&gt;$L$1,对接源_02物料!$B1172=""),0,IF(OR(N(对接源_02物料!$B1172)&lt;$L$2,N(对接源_02物料!$B1172)&gt;$L$3),0,1))</f>
        <v>0</v>
      </c>
      <c r="M2372">
        <f>IF(OR($M$1="",对接源_02物料!$C1172="",对接源_02物料!$C1172&lt;&gt;$M$1,对接源_02物料!$B1172=""),0,IF(OR(N(对接源_02物料!$B1172)&lt;$M$2,N(对接源_02物料!$B1172)&gt;$M$3),0,1))</f>
        <v>0</v>
      </c>
      <c r="N2372">
        <f>IF(OR($N$1="",对接源_02物料!$C1172="",对接源_02物料!$C1172&lt;&gt;$N$1,对接源_02物料!$B1172=""),0,IF(OR(N(对接源_02物料!$B1172)&lt;$N$2,N(对接源_02物料!$B1172)&gt;$N$3),0,1))</f>
        <v>0</v>
      </c>
      <c r="P2372">
        <f>IF(AND($K2372=1,AND(对接源_02物料!$X1172="公司筐",N(对接源_02物料!$T1172)&lt;&gt;0)),1,0)</f>
        <v>0</v>
      </c>
      <c r="Q2372">
        <f>N(Q2371)+$P2372</f>
        <v>14</v>
      </c>
      <c r="R2372">
        <f>IF(AND($K2372=1,AND(对接源_02物料!$X1172="公司筐",N(对接源_02物料!$U1172)&lt;&gt;0)),1,0)</f>
        <v>0</v>
      </c>
      <c r="S2372">
        <f>N(S2371)+$R2372</f>
        <v>1</v>
      </c>
      <c r="T2372">
        <f>IF(AND($K2372=1,AND(对接源_02物料!$X1172="公司筐",N(对接源_02物料!$V1172)&lt;&gt;0)),1,0)</f>
        <v>0</v>
      </c>
      <c r="U2372">
        <f>N(U2371)+$T2372</f>
        <v>47</v>
      </c>
      <c r="V2372">
        <f>IF(AND($L2372=1,AND(对接源_02物料!$X1172="自备筐",N(对接源_02物料!$V1172)&lt;&gt;0)),1,0)</f>
        <v>0</v>
      </c>
      <c r="W2372">
        <f>N(W2371)+$V2372</f>
        <v>11</v>
      </c>
      <c r="X2372">
        <f>IF(AND($L2372=1,AND(对接源_02物料!$X1172="自备筐",N(对接源_02物料!$T1172)&lt;&gt;0)),1,0)</f>
        <v>0</v>
      </c>
      <c r="Y2372">
        <f>N(Y2371)+$X2372</f>
        <v>0</v>
      </c>
      <c r="Z2372">
        <f>IF(AND($M2372=1,对接源_02物料!$D1172="原料入库"),1,0)</f>
        <v>0</v>
      </c>
      <c r="AA2372">
        <f>N(AA2371)+$Z2372</f>
        <v>24</v>
      </c>
      <c r="AB2372">
        <f>IF(AND($M2372=1,LEFT(对接源_02物料!$D1172,4)="原料出库"),1,0)</f>
        <v>0</v>
      </c>
      <c r="AC2372">
        <f>N(AC2371)+$AB2372</f>
        <v>0</v>
      </c>
      <c r="AD2372">
        <f>IF(AND($M2372=1,LEFT(对接源_02物料!$D1172,4)="成品出库"),1,0)</f>
        <v>0</v>
      </c>
      <c r="AE2372">
        <f>N(AE2371)+$AD2372</f>
        <v>0</v>
      </c>
      <c r="AF2372">
        <f>IF(AND($N2372=1,AND(LEFT(对接源_02物料!$D1172,4)="包装物料",N(对接源_02物料!$K1172)&lt;&gt;0)),1,0)</f>
        <v>0</v>
      </c>
      <c r="AG2372">
        <f>N(AG2371)+$AF2372</f>
        <v>10</v>
      </c>
      <c r="AH2372">
        <f>IF(AND($N2372=1,AND(对接源_02物料!$D1172="周转筐－销售出库",N(对接源_02物料!$K1172)&lt;&gt;0)),1,0)</f>
        <v>0</v>
      </c>
      <c r="AI2372">
        <f>N(AI2371)+$AH2372</f>
        <v>0</v>
      </c>
      <c r="AL2372" t="n">
        <v>0</v>
      </c>
      <c r="AM2372">
        <f>N(AM2371)+$AL2372</f>
        <v>2</v>
      </c>
      <c r="AN2372">
        <f>""</f>
      </c>
      <c r="AO2372" t="n">
        <v>0</v>
      </c>
      <c r="AP2372">
        <f>N(AP2371)+$AO2372</f>
        <v>13</v>
      </c>
      <c r="AR2372">
        <f>IF(OR($AF2372=1,$AH2372=1),1,0)</f>
        <v>0</v>
      </c>
      <c r="AS2372">
        <f>N(AS2371)+$AR2372</f>
        <v>10</v>
      </c>
    </row>
    <row r="2373" s="127">
      <c r="A2373">
        <f>IF(对接源_02物料!$C1173="","",对接源_02物料!$C1173)</f>
      </c>
      <c r="B2373">
        <f>IF(A2373="",0,IF(MATCH(A2373,$A$4:$A$2403,0)=ROW()-3,1,0))</f>
        <v>0</v>
      </c>
      <c r="C2373">
        <f>N(C2372)+B2373</f>
        <v>26</v>
      </c>
      <c r="K2373">
        <f>IF(OR($K$1="",对接源_02物料!$C1173="",对接源_02物料!$C1173&lt;&gt;$K$1,对接源_02物料!$B1173=""),0,IF(OR(N(对接源_02物料!$B1173)&lt;$K$2,N(对接源_02物料!$B1173)&gt;$K$3),0,1))</f>
        <v>0</v>
      </c>
      <c r="L2373">
        <f>IF(OR($L$1="",对接源_02物料!$C1173="",对接源_02物料!$C1173&lt;&gt;$L$1,对接源_02物料!$B1173=""),0,IF(OR(N(对接源_02物料!$B1173)&lt;$L$2,N(对接源_02物料!$B1173)&gt;$L$3),0,1))</f>
        <v>0</v>
      </c>
      <c r="M2373">
        <f>IF(OR($M$1="",对接源_02物料!$C1173="",对接源_02物料!$C1173&lt;&gt;$M$1,对接源_02物料!$B1173=""),0,IF(OR(N(对接源_02物料!$B1173)&lt;$M$2,N(对接源_02物料!$B1173)&gt;$M$3),0,1))</f>
        <v>0</v>
      </c>
      <c r="N2373">
        <f>IF(OR($N$1="",对接源_02物料!$C1173="",对接源_02物料!$C1173&lt;&gt;$N$1,对接源_02物料!$B1173=""),0,IF(OR(N(对接源_02物料!$B1173)&lt;$N$2,N(对接源_02物料!$B1173)&gt;$N$3),0,1))</f>
        <v>0</v>
      </c>
      <c r="P2373">
        <f>IF(AND($K2373=1,AND(对接源_02物料!$X1173="公司筐",N(对接源_02物料!$T1173)&lt;&gt;0)),1,0)</f>
        <v>0</v>
      </c>
      <c r="Q2373">
        <f>N(Q2372)+$P2373</f>
        <v>14</v>
      </c>
      <c r="R2373">
        <f>IF(AND($K2373=1,AND(对接源_02物料!$X1173="公司筐",N(对接源_02物料!$U1173)&lt;&gt;0)),1,0)</f>
        <v>0</v>
      </c>
      <c r="S2373">
        <f>N(S2372)+$R2373</f>
        <v>1</v>
      </c>
      <c r="T2373">
        <f>IF(AND($K2373=1,AND(对接源_02物料!$X1173="公司筐",N(对接源_02物料!$V1173)&lt;&gt;0)),1,0)</f>
        <v>0</v>
      </c>
      <c r="U2373">
        <f>N(U2372)+$T2373</f>
        <v>47</v>
      </c>
      <c r="V2373">
        <f>IF(AND($L2373=1,AND(对接源_02物料!$X1173="自备筐",N(对接源_02物料!$V1173)&lt;&gt;0)),1,0)</f>
        <v>0</v>
      </c>
      <c r="W2373">
        <f>N(W2372)+$V2373</f>
        <v>11</v>
      </c>
      <c r="X2373">
        <f>IF(AND($L2373=1,AND(对接源_02物料!$X1173="自备筐",N(对接源_02物料!$T1173)&lt;&gt;0)),1,0)</f>
        <v>0</v>
      </c>
      <c r="Y2373">
        <f>N(Y2372)+$X2373</f>
        <v>0</v>
      </c>
      <c r="Z2373">
        <f>IF(AND($M2373=1,对接源_02物料!$D1173="原料入库"),1,0)</f>
        <v>0</v>
      </c>
      <c r="AA2373">
        <f>N(AA2372)+$Z2373</f>
        <v>24</v>
      </c>
      <c r="AB2373">
        <f>IF(AND($M2373=1,LEFT(对接源_02物料!$D1173,4)="原料出库"),1,0)</f>
        <v>0</v>
      </c>
      <c r="AC2373">
        <f>N(AC2372)+$AB2373</f>
        <v>0</v>
      </c>
      <c r="AD2373">
        <f>IF(AND($M2373=1,LEFT(对接源_02物料!$D1173,4)="成品出库"),1,0)</f>
        <v>0</v>
      </c>
      <c r="AE2373">
        <f>N(AE2372)+$AD2373</f>
        <v>0</v>
      </c>
      <c r="AF2373">
        <f>IF(AND($N2373=1,AND(LEFT(对接源_02物料!$D1173,4)="包装物料",N(对接源_02物料!$K1173)&lt;&gt;0)),1,0)</f>
        <v>0</v>
      </c>
      <c r="AG2373">
        <f>N(AG2372)+$AF2373</f>
        <v>10</v>
      </c>
      <c r="AH2373">
        <f>IF(AND($N2373=1,AND(对接源_02物料!$D1173="周转筐－销售出库",N(对接源_02物料!$K1173)&lt;&gt;0)),1,0)</f>
        <v>0</v>
      </c>
      <c r="AI2373">
        <f>N(AI2372)+$AH2373</f>
        <v>0</v>
      </c>
      <c r="AL2373" t="n">
        <v>0</v>
      </c>
      <c r="AM2373">
        <f>N(AM2372)+$AL2373</f>
        <v>2</v>
      </c>
      <c r="AN2373">
        <f>""</f>
      </c>
      <c r="AO2373" t="n">
        <v>0</v>
      </c>
      <c r="AP2373">
        <f>N(AP2372)+$AO2373</f>
        <v>13</v>
      </c>
      <c r="AR2373">
        <f>IF(OR($AF2373=1,$AH2373=1),1,0)</f>
        <v>0</v>
      </c>
      <c r="AS2373">
        <f>N(AS2372)+$AR2373</f>
        <v>10</v>
      </c>
    </row>
    <row r="2374" s="127">
      <c r="A2374">
        <f>IF(对接源_02物料!$C1174="","",对接源_02物料!$C1174)</f>
      </c>
      <c r="B2374">
        <f>IF(A2374="",0,IF(MATCH(A2374,$A$4:$A$2403,0)=ROW()-3,1,0))</f>
        <v>0</v>
      </c>
      <c r="C2374">
        <f>N(C2373)+B2374</f>
        <v>26</v>
      </c>
      <c r="K2374">
        <f>IF(OR($K$1="",对接源_02物料!$C1174="",对接源_02物料!$C1174&lt;&gt;$K$1,对接源_02物料!$B1174=""),0,IF(OR(N(对接源_02物料!$B1174)&lt;$K$2,N(对接源_02物料!$B1174)&gt;$K$3),0,1))</f>
        <v>0</v>
      </c>
      <c r="L2374">
        <f>IF(OR($L$1="",对接源_02物料!$C1174="",对接源_02物料!$C1174&lt;&gt;$L$1,对接源_02物料!$B1174=""),0,IF(OR(N(对接源_02物料!$B1174)&lt;$L$2,N(对接源_02物料!$B1174)&gt;$L$3),0,1))</f>
        <v>0</v>
      </c>
      <c r="M2374">
        <f>IF(OR($M$1="",对接源_02物料!$C1174="",对接源_02物料!$C1174&lt;&gt;$M$1,对接源_02物料!$B1174=""),0,IF(OR(N(对接源_02物料!$B1174)&lt;$M$2,N(对接源_02物料!$B1174)&gt;$M$3),0,1))</f>
        <v>0</v>
      </c>
      <c r="N2374">
        <f>IF(OR($N$1="",对接源_02物料!$C1174="",对接源_02物料!$C1174&lt;&gt;$N$1,对接源_02物料!$B1174=""),0,IF(OR(N(对接源_02物料!$B1174)&lt;$N$2,N(对接源_02物料!$B1174)&gt;$N$3),0,1))</f>
        <v>0</v>
      </c>
      <c r="P2374">
        <f>IF(AND($K2374=1,AND(对接源_02物料!$X1174="公司筐",N(对接源_02物料!$T1174)&lt;&gt;0)),1,0)</f>
        <v>0</v>
      </c>
      <c r="Q2374">
        <f>N(Q2373)+$P2374</f>
        <v>14</v>
      </c>
      <c r="R2374">
        <f>IF(AND($K2374=1,AND(对接源_02物料!$X1174="公司筐",N(对接源_02物料!$U1174)&lt;&gt;0)),1,0)</f>
        <v>0</v>
      </c>
      <c r="S2374">
        <f>N(S2373)+$R2374</f>
        <v>1</v>
      </c>
      <c r="T2374">
        <f>IF(AND($K2374=1,AND(对接源_02物料!$X1174="公司筐",N(对接源_02物料!$V1174)&lt;&gt;0)),1,0)</f>
        <v>0</v>
      </c>
      <c r="U2374">
        <f>N(U2373)+$T2374</f>
        <v>47</v>
      </c>
      <c r="V2374">
        <f>IF(AND($L2374=1,AND(对接源_02物料!$X1174="自备筐",N(对接源_02物料!$V1174)&lt;&gt;0)),1,0)</f>
        <v>0</v>
      </c>
      <c r="W2374">
        <f>N(W2373)+$V2374</f>
        <v>11</v>
      </c>
      <c r="X2374">
        <f>IF(AND($L2374=1,AND(对接源_02物料!$X1174="自备筐",N(对接源_02物料!$T1174)&lt;&gt;0)),1,0)</f>
        <v>0</v>
      </c>
      <c r="Y2374">
        <f>N(Y2373)+$X2374</f>
        <v>0</v>
      </c>
      <c r="Z2374">
        <f>IF(AND($M2374=1,对接源_02物料!$D1174="原料入库"),1,0)</f>
        <v>0</v>
      </c>
      <c r="AA2374">
        <f>N(AA2373)+$Z2374</f>
        <v>24</v>
      </c>
      <c r="AB2374">
        <f>IF(AND($M2374=1,LEFT(对接源_02物料!$D1174,4)="原料出库"),1,0)</f>
        <v>0</v>
      </c>
      <c r="AC2374">
        <f>N(AC2373)+$AB2374</f>
        <v>0</v>
      </c>
      <c r="AD2374">
        <f>IF(AND($M2374=1,LEFT(对接源_02物料!$D1174,4)="成品出库"),1,0)</f>
        <v>0</v>
      </c>
      <c r="AE2374">
        <f>N(AE2373)+$AD2374</f>
        <v>0</v>
      </c>
      <c r="AF2374">
        <f>IF(AND($N2374=1,AND(LEFT(对接源_02物料!$D1174,4)="包装物料",N(对接源_02物料!$K1174)&lt;&gt;0)),1,0)</f>
        <v>0</v>
      </c>
      <c r="AG2374">
        <f>N(AG2373)+$AF2374</f>
        <v>10</v>
      </c>
      <c r="AH2374">
        <f>IF(AND($N2374=1,AND(对接源_02物料!$D1174="周转筐－销售出库",N(对接源_02物料!$K1174)&lt;&gt;0)),1,0)</f>
        <v>0</v>
      </c>
      <c r="AI2374">
        <f>N(AI2373)+$AH2374</f>
        <v>0</v>
      </c>
      <c r="AL2374" t="n">
        <v>0</v>
      </c>
      <c r="AM2374">
        <f>N(AM2373)+$AL2374</f>
        <v>2</v>
      </c>
      <c r="AN2374">
        <f>""</f>
      </c>
      <c r="AO2374" t="n">
        <v>0</v>
      </c>
      <c r="AP2374">
        <f>N(AP2373)+$AO2374</f>
        <v>13</v>
      </c>
      <c r="AR2374">
        <f>IF(OR($AF2374=1,$AH2374=1),1,0)</f>
        <v>0</v>
      </c>
      <c r="AS2374">
        <f>N(AS2373)+$AR2374</f>
        <v>10</v>
      </c>
    </row>
    <row r="2375" s="127">
      <c r="A2375">
        <f>IF(对接源_02物料!$C1175="","",对接源_02物料!$C1175)</f>
      </c>
      <c r="B2375">
        <f>IF(A2375="",0,IF(MATCH(A2375,$A$4:$A$2403,0)=ROW()-3,1,0))</f>
        <v>0</v>
      </c>
      <c r="C2375">
        <f>N(C2374)+B2375</f>
        <v>26</v>
      </c>
      <c r="K2375">
        <f>IF(OR($K$1="",对接源_02物料!$C1175="",对接源_02物料!$C1175&lt;&gt;$K$1,对接源_02物料!$B1175=""),0,IF(OR(N(对接源_02物料!$B1175)&lt;$K$2,N(对接源_02物料!$B1175)&gt;$K$3),0,1))</f>
        <v>0</v>
      </c>
      <c r="L2375">
        <f>IF(OR($L$1="",对接源_02物料!$C1175="",对接源_02物料!$C1175&lt;&gt;$L$1,对接源_02物料!$B1175=""),0,IF(OR(N(对接源_02物料!$B1175)&lt;$L$2,N(对接源_02物料!$B1175)&gt;$L$3),0,1))</f>
        <v>0</v>
      </c>
      <c r="M2375">
        <f>IF(OR($M$1="",对接源_02物料!$C1175="",对接源_02物料!$C1175&lt;&gt;$M$1,对接源_02物料!$B1175=""),0,IF(OR(N(对接源_02物料!$B1175)&lt;$M$2,N(对接源_02物料!$B1175)&gt;$M$3),0,1))</f>
        <v>0</v>
      </c>
      <c r="N2375">
        <f>IF(OR($N$1="",对接源_02物料!$C1175="",对接源_02物料!$C1175&lt;&gt;$N$1,对接源_02物料!$B1175=""),0,IF(OR(N(对接源_02物料!$B1175)&lt;$N$2,N(对接源_02物料!$B1175)&gt;$N$3),0,1))</f>
        <v>0</v>
      </c>
      <c r="P2375">
        <f>IF(AND($K2375=1,AND(对接源_02物料!$X1175="公司筐",N(对接源_02物料!$T1175)&lt;&gt;0)),1,0)</f>
        <v>0</v>
      </c>
      <c r="Q2375">
        <f>N(Q2374)+$P2375</f>
        <v>14</v>
      </c>
      <c r="R2375">
        <f>IF(AND($K2375=1,AND(对接源_02物料!$X1175="公司筐",N(对接源_02物料!$U1175)&lt;&gt;0)),1,0)</f>
        <v>0</v>
      </c>
      <c r="S2375">
        <f>N(S2374)+$R2375</f>
        <v>1</v>
      </c>
      <c r="T2375">
        <f>IF(AND($K2375=1,AND(对接源_02物料!$X1175="公司筐",N(对接源_02物料!$V1175)&lt;&gt;0)),1,0)</f>
        <v>0</v>
      </c>
      <c r="U2375">
        <f>N(U2374)+$T2375</f>
        <v>47</v>
      </c>
      <c r="V2375">
        <f>IF(AND($L2375=1,AND(对接源_02物料!$X1175="自备筐",N(对接源_02物料!$V1175)&lt;&gt;0)),1,0)</f>
        <v>0</v>
      </c>
      <c r="W2375">
        <f>N(W2374)+$V2375</f>
        <v>11</v>
      </c>
      <c r="X2375">
        <f>IF(AND($L2375=1,AND(对接源_02物料!$X1175="自备筐",N(对接源_02物料!$T1175)&lt;&gt;0)),1,0)</f>
        <v>0</v>
      </c>
      <c r="Y2375">
        <f>N(Y2374)+$X2375</f>
        <v>0</v>
      </c>
      <c r="Z2375">
        <f>IF(AND($M2375=1,对接源_02物料!$D1175="原料入库"),1,0)</f>
        <v>0</v>
      </c>
      <c r="AA2375">
        <f>N(AA2374)+$Z2375</f>
        <v>24</v>
      </c>
      <c r="AB2375">
        <f>IF(AND($M2375=1,LEFT(对接源_02物料!$D1175,4)="原料出库"),1,0)</f>
        <v>0</v>
      </c>
      <c r="AC2375">
        <f>N(AC2374)+$AB2375</f>
        <v>0</v>
      </c>
      <c r="AD2375">
        <f>IF(AND($M2375=1,LEFT(对接源_02物料!$D1175,4)="成品出库"),1,0)</f>
        <v>0</v>
      </c>
      <c r="AE2375">
        <f>N(AE2374)+$AD2375</f>
        <v>0</v>
      </c>
      <c r="AF2375">
        <f>IF(AND($N2375=1,AND(LEFT(对接源_02物料!$D1175,4)="包装物料",N(对接源_02物料!$K1175)&lt;&gt;0)),1,0)</f>
        <v>0</v>
      </c>
      <c r="AG2375">
        <f>N(AG2374)+$AF2375</f>
        <v>10</v>
      </c>
      <c r="AH2375">
        <f>IF(AND($N2375=1,AND(对接源_02物料!$D1175="周转筐－销售出库",N(对接源_02物料!$K1175)&lt;&gt;0)),1,0)</f>
        <v>0</v>
      </c>
      <c r="AI2375">
        <f>N(AI2374)+$AH2375</f>
        <v>0</v>
      </c>
      <c r="AL2375" t="n">
        <v>0</v>
      </c>
      <c r="AM2375">
        <f>N(AM2374)+$AL2375</f>
        <v>2</v>
      </c>
      <c r="AN2375">
        <f>""</f>
      </c>
      <c r="AO2375" t="n">
        <v>0</v>
      </c>
      <c r="AP2375">
        <f>N(AP2374)+$AO2375</f>
        <v>13</v>
      </c>
      <c r="AR2375">
        <f>IF(OR($AF2375=1,$AH2375=1),1,0)</f>
        <v>0</v>
      </c>
      <c r="AS2375">
        <f>N(AS2374)+$AR2375</f>
        <v>10</v>
      </c>
    </row>
    <row r="2376" s="127">
      <c r="A2376">
        <f>IF(对接源_02物料!$C1176="","",对接源_02物料!$C1176)</f>
      </c>
      <c r="B2376">
        <f>IF(A2376="",0,IF(MATCH(A2376,$A$4:$A$2403,0)=ROW()-3,1,0))</f>
        <v>0</v>
      </c>
      <c r="C2376">
        <f>N(C2375)+B2376</f>
        <v>26</v>
      </c>
      <c r="K2376">
        <f>IF(OR($K$1="",对接源_02物料!$C1176="",对接源_02物料!$C1176&lt;&gt;$K$1,对接源_02物料!$B1176=""),0,IF(OR(N(对接源_02物料!$B1176)&lt;$K$2,N(对接源_02物料!$B1176)&gt;$K$3),0,1))</f>
        <v>0</v>
      </c>
      <c r="L2376">
        <f>IF(OR($L$1="",对接源_02物料!$C1176="",对接源_02物料!$C1176&lt;&gt;$L$1,对接源_02物料!$B1176=""),0,IF(OR(N(对接源_02物料!$B1176)&lt;$L$2,N(对接源_02物料!$B1176)&gt;$L$3),0,1))</f>
        <v>0</v>
      </c>
      <c r="M2376">
        <f>IF(OR($M$1="",对接源_02物料!$C1176="",对接源_02物料!$C1176&lt;&gt;$M$1,对接源_02物料!$B1176=""),0,IF(OR(N(对接源_02物料!$B1176)&lt;$M$2,N(对接源_02物料!$B1176)&gt;$M$3),0,1))</f>
        <v>0</v>
      </c>
      <c r="N2376">
        <f>IF(OR($N$1="",对接源_02物料!$C1176="",对接源_02物料!$C1176&lt;&gt;$N$1,对接源_02物料!$B1176=""),0,IF(OR(N(对接源_02物料!$B1176)&lt;$N$2,N(对接源_02物料!$B1176)&gt;$N$3),0,1))</f>
        <v>0</v>
      </c>
      <c r="P2376">
        <f>IF(AND($K2376=1,AND(对接源_02物料!$X1176="公司筐",N(对接源_02物料!$T1176)&lt;&gt;0)),1,0)</f>
        <v>0</v>
      </c>
      <c r="Q2376">
        <f>N(Q2375)+$P2376</f>
        <v>14</v>
      </c>
      <c r="R2376">
        <f>IF(AND($K2376=1,AND(对接源_02物料!$X1176="公司筐",N(对接源_02物料!$U1176)&lt;&gt;0)),1,0)</f>
        <v>0</v>
      </c>
      <c r="S2376">
        <f>N(S2375)+$R2376</f>
        <v>1</v>
      </c>
      <c r="T2376">
        <f>IF(AND($K2376=1,AND(对接源_02物料!$X1176="公司筐",N(对接源_02物料!$V1176)&lt;&gt;0)),1,0)</f>
        <v>0</v>
      </c>
      <c r="U2376">
        <f>N(U2375)+$T2376</f>
        <v>47</v>
      </c>
      <c r="V2376">
        <f>IF(AND($L2376=1,AND(对接源_02物料!$X1176="自备筐",N(对接源_02物料!$V1176)&lt;&gt;0)),1,0)</f>
        <v>0</v>
      </c>
      <c r="W2376">
        <f>N(W2375)+$V2376</f>
        <v>11</v>
      </c>
      <c r="X2376">
        <f>IF(AND($L2376=1,AND(对接源_02物料!$X1176="自备筐",N(对接源_02物料!$T1176)&lt;&gt;0)),1,0)</f>
        <v>0</v>
      </c>
      <c r="Y2376">
        <f>N(Y2375)+$X2376</f>
        <v>0</v>
      </c>
      <c r="Z2376">
        <f>IF(AND($M2376=1,对接源_02物料!$D1176="原料入库"),1,0)</f>
        <v>0</v>
      </c>
      <c r="AA2376">
        <f>N(AA2375)+$Z2376</f>
        <v>24</v>
      </c>
      <c r="AB2376">
        <f>IF(AND($M2376=1,LEFT(对接源_02物料!$D1176,4)="原料出库"),1,0)</f>
        <v>0</v>
      </c>
      <c r="AC2376">
        <f>N(AC2375)+$AB2376</f>
        <v>0</v>
      </c>
      <c r="AD2376">
        <f>IF(AND($M2376=1,LEFT(对接源_02物料!$D1176,4)="成品出库"),1,0)</f>
        <v>0</v>
      </c>
      <c r="AE2376">
        <f>N(AE2375)+$AD2376</f>
        <v>0</v>
      </c>
      <c r="AF2376">
        <f>IF(AND($N2376=1,AND(LEFT(对接源_02物料!$D1176,4)="包装物料",N(对接源_02物料!$K1176)&lt;&gt;0)),1,0)</f>
        <v>0</v>
      </c>
      <c r="AG2376">
        <f>N(AG2375)+$AF2376</f>
        <v>10</v>
      </c>
      <c r="AH2376">
        <f>IF(AND($N2376=1,AND(对接源_02物料!$D1176="周转筐－销售出库",N(对接源_02物料!$K1176)&lt;&gt;0)),1,0)</f>
        <v>0</v>
      </c>
      <c r="AI2376">
        <f>N(AI2375)+$AH2376</f>
        <v>0</v>
      </c>
      <c r="AL2376" t="n">
        <v>0</v>
      </c>
      <c r="AM2376">
        <f>N(AM2375)+$AL2376</f>
        <v>2</v>
      </c>
      <c r="AN2376">
        <f>""</f>
      </c>
      <c r="AO2376" t="n">
        <v>0</v>
      </c>
      <c r="AP2376">
        <f>N(AP2375)+$AO2376</f>
        <v>13</v>
      </c>
      <c r="AR2376">
        <f>IF(OR($AF2376=1,$AH2376=1),1,0)</f>
        <v>0</v>
      </c>
      <c r="AS2376">
        <f>N(AS2375)+$AR2376</f>
        <v>10</v>
      </c>
    </row>
    <row r="2377" s="127">
      <c r="A2377">
        <f>IF(对接源_02物料!$C1177="","",对接源_02物料!$C1177)</f>
      </c>
      <c r="B2377">
        <f>IF(A2377="",0,IF(MATCH(A2377,$A$4:$A$2403,0)=ROW()-3,1,0))</f>
        <v>0</v>
      </c>
      <c r="C2377">
        <f>N(C2376)+B2377</f>
        <v>26</v>
      </c>
      <c r="K2377">
        <f>IF(OR($K$1="",对接源_02物料!$C1177="",对接源_02物料!$C1177&lt;&gt;$K$1,对接源_02物料!$B1177=""),0,IF(OR(N(对接源_02物料!$B1177)&lt;$K$2,N(对接源_02物料!$B1177)&gt;$K$3),0,1))</f>
        <v>0</v>
      </c>
      <c r="L2377">
        <f>IF(OR($L$1="",对接源_02物料!$C1177="",对接源_02物料!$C1177&lt;&gt;$L$1,对接源_02物料!$B1177=""),0,IF(OR(N(对接源_02物料!$B1177)&lt;$L$2,N(对接源_02物料!$B1177)&gt;$L$3),0,1))</f>
        <v>0</v>
      </c>
      <c r="M2377">
        <f>IF(OR($M$1="",对接源_02物料!$C1177="",对接源_02物料!$C1177&lt;&gt;$M$1,对接源_02物料!$B1177=""),0,IF(OR(N(对接源_02物料!$B1177)&lt;$M$2,N(对接源_02物料!$B1177)&gt;$M$3),0,1))</f>
        <v>0</v>
      </c>
      <c r="N2377">
        <f>IF(OR($N$1="",对接源_02物料!$C1177="",对接源_02物料!$C1177&lt;&gt;$N$1,对接源_02物料!$B1177=""),0,IF(OR(N(对接源_02物料!$B1177)&lt;$N$2,N(对接源_02物料!$B1177)&gt;$N$3),0,1))</f>
        <v>0</v>
      </c>
      <c r="P2377">
        <f>IF(AND($K2377=1,AND(对接源_02物料!$X1177="公司筐",N(对接源_02物料!$T1177)&lt;&gt;0)),1,0)</f>
        <v>0</v>
      </c>
      <c r="Q2377">
        <f>N(Q2376)+$P2377</f>
        <v>14</v>
      </c>
      <c r="R2377">
        <f>IF(AND($K2377=1,AND(对接源_02物料!$X1177="公司筐",N(对接源_02物料!$U1177)&lt;&gt;0)),1,0)</f>
        <v>0</v>
      </c>
      <c r="S2377">
        <f>N(S2376)+$R2377</f>
        <v>1</v>
      </c>
      <c r="T2377">
        <f>IF(AND($K2377=1,AND(对接源_02物料!$X1177="公司筐",N(对接源_02物料!$V1177)&lt;&gt;0)),1,0)</f>
        <v>0</v>
      </c>
      <c r="U2377">
        <f>N(U2376)+$T2377</f>
        <v>47</v>
      </c>
      <c r="V2377">
        <f>IF(AND($L2377=1,AND(对接源_02物料!$X1177="自备筐",N(对接源_02物料!$V1177)&lt;&gt;0)),1,0)</f>
        <v>0</v>
      </c>
      <c r="W2377">
        <f>N(W2376)+$V2377</f>
        <v>11</v>
      </c>
      <c r="X2377">
        <f>IF(AND($L2377=1,AND(对接源_02物料!$X1177="自备筐",N(对接源_02物料!$T1177)&lt;&gt;0)),1,0)</f>
        <v>0</v>
      </c>
      <c r="Y2377">
        <f>N(Y2376)+$X2377</f>
        <v>0</v>
      </c>
      <c r="Z2377">
        <f>IF(AND($M2377=1,对接源_02物料!$D1177="原料入库"),1,0)</f>
        <v>0</v>
      </c>
      <c r="AA2377">
        <f>N(AA2376)+$Z2377</f>
        <v>24</v>
      </c>
      <c r="AB2377">
        <f>IF(AND($M2377=1,LEFT(对接源_02物料!$D1177,4)="原料出库"),1,0)</f>
        <v>0</v>
      </c>
      <c r="AC2377">
        <f>N(AC2376)+$AB2377</f>
        <v>0</v>
      </c>
      <c r="AD2377">
        <f>IF(AND($M2377=1,LEFT(对接源_02物料!$D1177,4)="成品出库"),1,0)</f>
        <v>0</v>
      </c>
      <c r="AE2377">
        <f>N(AE2376)+$AD2377</f>
        <v>0</v>
      </c>
      <c r="AF2377">
        <f>IF(AND($N2377=1,AND(LEFT(对接源_02物料!$D1177,4)="包装物料",N(对接源_02物料!$K1177)&lt;&gt;0)),1,0)</f>
        <v>0</v>
      </c>
      <c r="AG2377">
        <f>N(AG2376)+$AF2377</f>
        <v>10</v>
      </c>
      <c r="AH2377">
        <f>IF(AND($N2377=1,AND(对接源_02物料!$D1177="周转筐－销售出库",N(对接源_02物料!$K1177)&lt;&gt;0)),1,0)</f>
        <v>0</v>
      </c>
      <c r="AI2377">
        <f>N(AI2376)+$AH2377</f>
        <v>0</v>
      </c>
      <c r="AL2377" t="n">
        <v>0</v>
      </c>
      <c r="AM2377">
        <f>N(AM2376)+$AL2377</f>
        <v>2</v>
      </c>
      <c r="AN2377">
        <f>""</f>
      </c>
      <c r="AO2377" t="n">
        <v>0</v>
      </c>
      <c r="AP2377">
        <f>N(AP2376)+$AO2377</f>
        <v>13</v>
      </c>
      <c r="AR2377">
        <f>IF(OR($AF2377=1,$AH2377=1),1,0)</f>
        <v>0</v>
      </c>
      <c r="AS2377">
        <f>N(AS2376)+$AR2377</f>
        <v>10</v>
      </c>
    </row>
    <row r="2378" s="127">
      <c r="A2378">
        <f>IF(对接源_02物料!$C1178="","",对接源_02物料!$C1178)</f>
      </c>
      <c r="B2378">
        <f>IF(A2378="",0,IF(MATCH(A2378,$A$4:$A$2403,0)=ROW()-3,1,0))</f>
        <v>0</v>
      </c>
      <c r="C2378">
        <f>N(C2377)+B2378</f>
        <v>26</v>
      </c>
      <c r="K2378">
        <f>IF(OR($K$1="",对接源_02物料!$C1178="",对接源_02物料!$C1178&lt;&gt;$K$1,对接源_02物料!$B1178=""),0,IF(OR(N(对接源_02物料!$B1178)&lt;$K$2,N(对接源_02物料!$B1178)&gt;$K$3),0,1))</f>
        <v>0</v>
      </c>
      <c r="L2378">
        <f>IF(OR($L$1="",对接源_02物料!$C1178="",对接源_02物料!$C1178&lt;&gt;$L$1,对接源_02物料!$B1178=""),0,IF(OR(N(对接源_02物料!$B1178)&lt;$L$2,N(对接源_02物料!$B1178)&gt;$L$3),0,1))</f>
        <v>0</v>
      </c>
      <c r="M2378">
        <f>IF(OR($M$1="",对接源_02物料!$C1178="",对接源_02物料!$C1178&lt;&gt;$M$1,对接源_02物料!$B1178=""),0,IF(OR(N(对接源_02物料!$B1178)&lt;$M$2,N(对接源_02物料!$B1178)&gt;$M$3),0,1))</f>
        <v>0</v>
      </c>
      <c r="N2378">
        <f>IF(OR($N$1="",对接源_02物料!$C1178="",对接源_02物料!$C1178&lt;&gt;$N$1,对接源_02物料!$B1178=""),0,IF(OR(N(对接源_02物料!$B1178)&lt;$N$2,N(对接源_02物料!$B1178)&gt;$N$3),0,1))</f>
        <v>0</v>
      </c>
      <c r="P2378">
        <f>IF(AND($K2378=1,AND(对接源_02物料!$X1178="公司筐",N(对接源_02物料!$T1178)&lt;&gt;0)),1,0)</f>
        <v>0</v>
      </c>
      <c r="Q2378">
        <f>N(Q2377)+$P2378</f>
        <v>14</v>
      </c>
      <c r="R2378">
        <f>IF(AND($K2378=1,AND(对接源_02物料!$X1178="公司筐",N(对接源_02物料!$U1178)&lt;&gt;0)),1,0)</f>
        <v>0</v>
      </c>
      <c r="S2378">
        <f>N(S2377)+$R2378</f>
        <v>1</v>
      </c>
      <c r="T2378">
        <f>IF(AND($K2378=1,AND(对接源_02物料!$X1178="公司筐",N(对接源_02物料!$V1178)&lt;&gt;0)),1,0)</f>
        <v>0</v>
      </c>
      <c r="U2378">
        <f>N(U2377)+$T2378</f>
        <v>47</v>
      </c>
      <c r="V2378">
        <f>IF(AND($L2378=1,AND(对接源_02物料!$X1178="自备筐",N(对接源_02物料!$V1178)&lt;&gt;0)),1,0)</f>
        <v>0</v>
      </c>
      <c r="W2378">
        <f>N(W2377)+$V2378</f>
        <v>11</v>
      </c>
      <c r="X2378">
        <f>IF(AND($L2378=1,AND(对接源_02物料!$X1178="自备筐",N(对接源_02物料!$T1178)&lt;&gt;0)),1,0)</f>
        <v>0</v>
      </c>
      <c r="Y2378">
        <f>N(Y2377)+$X2378</f>
        <v>0</v>
      </c>
      <c r="Z2378">
        <f>IF(AND($M2378=1,对接源_02物料!$D1178="原料入库"),1,0)</f>
        <v>0</v>
      </c>
      <c r="AA2378">
        <f>N(AA2377)+$Z2378</f>
        <v>24</v>
      </c>
      <c r="AB2378">
        <f>IF(AND($M2378=1,LEFT(对接源_02物料!$D1178,4)="原料出库"),1,0)</f>
        <v>0</v>
      </c>
      <c r="AC2378">
        <f>N(AC2377)+$AB2378</f>
        <v>0</v>
      </c>
      <c r="AD2378">
        <f>IF(AND($M2378=1,LEFT(对接源_02物料!$D1178,4)="成品出库"),1,0)</f>
        <v>0</v>
      </c>
      <c r="AE2378">
        <f>N(AE2377)+$AD2378</f>
        <v>0</v>
      </c>
      <c r="AF2378">
        <f>IF(AND($N2378=1,AND(LEFT(对接源_02物料!$D1178,4)="包装物料",N(对接源_02物料!$K1178)&lt;&gt;0)),1,0)</f>
        <v>0</v>
      </c>
      <c r="AG2378">
        <f>N(AG2377)+$AF2378</f>
        <v>10</v>
      </c>
      <c r="AH2378">
        <f>IF(AND($N2378=1,AND(对接源_02物料!$D1178="周转筐－销售出库",N(对接源_02物料!$K1178)&lt;&gt;0)),1,0)</f>
        <v>0</v>
      </c>
      <c r="AI2378">
        <f>N(AI2377)+$AH2378</f>
        <v>0</v>
      </c>
      <c r="AL2378" t="n">
        <v>0</v>
      </c>
      <c r="AM2378">
        <f>N(AM2377)+$AL2378</f>
        <v>2</v>
      </c>
      <c r="AN2378">
        <f>""</f>
      </c>
      <c r="AO2378" t="n">
        <v>0</v>
      </c>
      <c r="AP2378">
        <f>N(AP2377)+$AO2378</f>
        <v>13</v>
      </c>
      <c r="AR2378">
        <f>IF(OR($AF2378=1,$AH2378=1),1,0)</f>
        <v>0</v>
      </c>
      <c r="AS2378">
        <f>N(AS2377)+$AR2378</f>
        <v>10</v>
      </c>
    </row>
    <row r="2379" s="127">
      <c r="A2379">
        <f>IF(对接源_02物料!$C1179="","",对接源_02物料!$C1179)</f>
      </c>
      <c r="B2379">
        <f>IF(A2379="",0,IF(MATCH(A2379,$A$4:$A$2403,0)=ROW()-3,1,0))</f>
        <v>0</v>
      </c>
      <c r="C2379">
        <f>N(C2378)+B2379</f>
        <v>26</v>
      </c>
      <c r="K2379">
        <f>IF(OR($K$1="",对接源_02物料!$C1179="",对接源_02物料!$C1179&lt;&gt;$K$1,对接源_02物料!$B1179=""),0,IF(OR(N(对接源_02物料!$B1179)&lt;$K$2,N(对接源_02物料!$B1179)&gt;$K$3),0,1))</f>
        <v>0</v>
      </c>
      <c r="L2379">
        <f>IF(OR($L$1="",对接源_02物料!$C1179="",对接源_02物料!$C1179&lt;&gt;$L$1,对接源_02物料!$B1179=""),0,IF(OR(N(对接源_02物料!$B1179)&lt;$L$2,N(对接源_02物料!$B1179)&gt;$L$3),0,1))</f>
        <v>0</v>
      </c>
      <c r="M2379">
        <f>IF(OR($M$1="",对接源_02物料!$C1179="",对接源_02物料!$C1179&lt;&gt;$M$1,对接源_02物料!$B1179=""),0,IF(OR(N(对接源_02物料!$B1179)&lt;$M$2,N(对接源_02物料!$B1179)&gt;$M$3),0,1))</f>
        <v>0</v>
      </c>
      <c r="N2379">
        <f>IF(OR($N$1="",对接源_02物料!$C1179="",对接源_02物料!$C1179&lt;&gt;$N$1,对接源_02物料!$B1179=""),0,IF(OR(N(对接源_02物料!$B1179)&lt;$N$2,N(对接源_02物料!$B1179)&gt;$N$3),0,1))</f>
        <v>0</v>
      </c>
      <c r="P2379">
        <f>IF(AND($K2379=1,AND(对接源_02物料!$X1179="公司筐",N(对接源_02物料!$T1179)&lt;&gt;0)),1,0)</f>
        <v>0</v>
      </c>
      <c r="Q2379">
        <f>N(Q2378)+$P2379</f>
        <v>14</v>
      </c>
      <c r="R2379">
        <f>IF(AND($K2379=1,AND(对接源_02物料!$X1179="公司筐",N(对接源_02物料!$U1179)&lt;&gt;0)),1,0)</f>
        <v>0</v>
      </c>
      <c r="S2379">
        <f>N(S2378)+$R2379</f>
        <v>1</v>
      </c>
      <c r="T2379">
        <f>IF(AND($K2379=1,AND(对接源_02物料!$X1179="公司筐",N(对接源_02物料!$V1179)&lt;&gt;0)),1,0)</f>
        <v>0</v>
      </c>
      <c r="U2379">
        <f>N(U2378)+$T2379</f>
        <v>47</v>
      </c>
      <c r="V2379">
        <f>IF(AND($L2379=1,AND(对接源_02物料!$X1179="自备筐",N(对接源_02物料!$V1179)&lt;&gt;0)),1,0)</f>
        <v>0</v>
      </c>
      <c r="W2379">
        <f>N(W2378)+$V2379</f>
        <v>11</v>
      </c>
      <c r="X2379">
        <f>IF(AND($L2379=1,AND(对接源_02物料!$X1179="自备筐",N(对接源_02物料!$T1179)&lt;&gt;0)),1,0)</f>
        <v>0</v>
      </c>
      <c r="Y2379">
        <f>N(Y2378)+$X2379</f>
        <v>0</v>
      </c>
      <c r="Z2379">
        <f>IF(AND($M2379=1,对接源_02物料!$D1179="原料入库"),1,0)</f>
        <v>0</v>
      </c>
      <c r="AA2379">
        <f>N(AA2378)+$Z2379</f>
        <v>24</v>
      </c>
      <c r="AB2379">
        <f>IF(AND($M2379=1,LEFT(对接源_02物料!$D1179,4)="原料出库"),1,0)</f>
        <v>0</v>
      </c>
      <c r="AC2379">
        <f>N(AC2378)+$AB2379</f>
        <v>0</v>
      </c>
      <c r="AD2379">
        <f>IF(AND($M2379=1,LEFT(对接源_02物料!$D1179,4)="成品出库"),1,0)</f>
        <v>0</v>
      </c>
      <c r="AE2379">
        <f>N(AE2378)+$AD2379</f>
        <v>0</v>
      </c>
      <c r="AF2379">
        <f>IF(AND($N2379=1,AND(LEFT(对接源_02物料!$D1179,4)="包装物料",N(对接源_02物料!$K1179)&lt;&gt;0)),1,0)</f>
        <v>0</v>
      </c>
      <c r="AG2379">
        <f>N(AG2378)+$AF2379</f>
        <v>10</v>
      </c>
      <c r="AH2379">
        <f>IF(AND($N2379=1,AND(对接源_02物料!$D1179="周转筐－销售出库",N(对接源_02物料!$K1179)&lt;&gt;0)),1,0)</f>
        <v>0</v>
      </c>
      <c r="AI2379">
        <f>N(AI2378)+$AH2379</f>
        <v>0</v>
      </c>
      <c r="AL2379" t="n">
        <v>0</v>
      </c>
      <c r="AM2379">
        <f>N(AM2378)+$AL2379</f>
        <v>2</v>
      </c>
      <c r="AN2379">
        <f>""</f>
      </c>
      <c r="AO2379" t="n">
        <v>0</v>
      </c>
      <c r="AP2379">
        <f>N(AP2378)+$AO2379</f>
        <v>13</v>
      </c>
      <c r="AR2379">
        <f>IF(OR($AF2379=1,$AH2379=1),1,0)</f>
        <v>0</v>
      </c>
      <c r="AS2379">
        <f>N(AS2378)+$AR2379</f>
        <v>10</v>
      </c>
    </row>
    <row r="2380" s="127">
      <c r="A2380">
        <f>IF(对接源_02物料!$C1180="","",对接源_02物料!$C1180)</f>
      </c>
      <c r="B2380">
        <f>IF(A2380="",0,IF(MATCH(A2380,$A$4:$A$2403,0)=ROW()-3,1,0))</f>
        <v>0</v>
      </c>
      <c r="C2380">
        <f>N(C2379)+B2380</f>
        <v>26</v>
      </c>
      <c r="K2380">
        <f>IF(OR($K$1="",对接源_02物料!$C1180="",对接源_02物料!$C1180&lt;&gt;$K$1,对接源_02物料!$B1180=""),0,IF(OR(N(对接源_02物料!$B1180)&lt;$K$2,N(对接源_02物料!$B1180)&gt;$K$3),0,1))</f>
        <v>0</v>
      </c>
      <c r="L2380">
        <f>IF(OR($L$1="",对接源_02物料!$C1180="",对接源_02物料!$C1180&lt;&gt;$L$1,对接源_02物料!$B1180=""),0,IF(OR(N(对接源_02物料!$B1180)&lt;$L$2,N(对接源_02物料!$B1180)&gt;$L$3),0,1))</f>
        <v>0</v>
      </c>
      <c r="M2380">
        <f>IF(OR($M$1="",对接源_02物料!$C1180="",对接源_02物料!$C1180&lt;&gt;$M$1,对接源_02物料!$B1180=""),0,IF(OR(N(对接源_02物料!$B1180)&lt;$M$2,N(对接源_02物料!$B1180)&gt;$M$3),0,1))</f>
        <v>0</v>
      </c>
      <c r="N2380">
        <f>IF(OR($N$1="",对接源_02物料!$C1180="",对接源_02物料!$C1180&lt;&gt;$N$1,对接源_02物料!$B1180=""),0,IF(OR(N(对接源_02物料!$B1180)&lt;$N$2,N(对接源_02物料!$B1180)&gt;$N$3),0,1))</f>
        <v>0</v>
      </c>
      <c r="P2380">
        <f>IF(AND($K2380=1,AND(对接源_02物料!$X1180="公司筐",N(对接源_02物料!$T1180)&lt;&gt;0)),1,0)</f>
        <v>0</v>
      </c>
      <c r="Q2380">
        <f>N(Q2379)+$P2380</f>
        <v>14</v>
      </c>
      <c r="R2380">
        <f>IF(AND($K2380=1,AND(对接源_02物料!$X1180="公司筐",N(对接源_02物料!$U1180)&lt;&gt;0)),1,0)</f>
        <v>0</v>
      </c>
      <c r="S2380">
        <f>N(S2379)+$R2380</f>
        <v>1</v>
      </c>
      <c r="T2380">
        <f>IF(AND($K2380=1,AND(对接源_02物料!$X1180="公司筐",N(对接源_02物料!$V1180)&lt;&gt;0)),1,0)</f>
        <v>0</v>
      </c>
      <c r="U2380">
        <f>N(U2379)+$T2380</f>
        <v>47</v>
      </c>
      <c r="V2380">
        <f>IF(AND($L2380=1,AND(对接源_02物料!$X1180="自备筐",N(对接源_02物料!$V1180)&lt;&gt;0)),1,0)</f>
        <v>0</v>
      </c>
      <c r="W2380">
        <f>N(W2379)+$V2380</f>
        <v>11</v>
      </c>
      <c r="X2380">
        <f>IF(AND($L2380=1,AND(对接源_02物料!$X1180="自备筐",N(对接源_02物料!$T1180)&lt;&gt;0)),1,0)</f>
        <v>0</v>
      </c>
      <c r="Y2380">
        <f>N(Y2379)+$X2380</f>
        <v>0</v>
      </c>
      <c r="Z2380">
        <f>IF(AND($M2380=1,对接源_02物料!$D1180="原料入库"),1,0)</f>
        <v>0</v>
      </c>
      <c r="AA2380">
        <f>N(AA2379)+$Z2380</f>
        <v>24</v>
      </c>
      <c r="AB2380">
        <f>IF(AND($M2380=1,LEFT(对接源_02物料!$D1180,4)="原料出库"),1,0)</f>
        <v>0</v>
      </c>
      <c r="AC2380">
        <f>N(AC2379)+$AB2380</f>
        <v>0</v>
      </c>
      <c r="AD2380">
        <f>IF(AND($M2380=1,LEFT(对接源_02物料!$D1180,4)="成品出库"),1,0)</f>
        <v>0</v>
      </c>
      <c r="AE2380">
        <f>N(AE2379)+$AD2380</f>
        <v>0</v>
      </c>
      <c r="AF2380">
        <f>IF(AND($N2380=1,AND(LEFT(对接源_02物料!$D1180,4)="包装物料",N(对接源_02物料!$K1180)&lt;&gt;0)),1,0)</f>
        <v>0</v>
      </c>
      <c r="AG2380">
        <f>N(AG2379)+$AF2380</f>
        <v>10</v>
      </c>
      <c r="AH2380">
        <f>IF(AND($N2380=1,AND(对接源_02物料!$D1180="周转筐－销售出库",N(对接源_02物料!$K1180)&lt;&gt;0)),1,0)</f>
        <v>0</v>
      </c>
      <c r="AI2380">
        <f>N(AI2379)+$AH2380</f>
        <v>0</v>
      </c>
      <c r="AL2380" t="n">
        <v>0</v>
      </c>
      <c r="AM2380">
        <f>N(AM2379)+$AL2380</f>
        <v>2</v>
      </c>
      <c r="AN2380">
        <f>""</f>
      </c>
      <c r="AO2380" t="n">
        <v>0</v>
      </c>
      <c r="AP2380">
        <f>N(AP2379)+$AO2380</f>
        <v>13</v>
      </c>
      <c r="AR2380">
        <f>IF(OR($AF2380=1,$AH2380=1),1,0)</f>
        <v>0</v>
      </c>
      <c r="AS2380">
        <f>N(AS2379)+$AR2380</f>
        <v>10</v>
      </c>
    </row>
    <row r="2381" s="127">
      <c r="A2381">
        <f>IF(对接源_02物料!$C1181="","",对接源_02物料!$C1181)</f>
      </c>
      <c r="B2381">
        <f>IF(A2381="",0,IF(MATCH(A2381,$A$4:$A$2403,0)=ROW()-3,1,0))</f>
        <v>0</v>
      </c>
      <c r="C2381">
        <f>N(C2380)+B2381</f>
        <v>26</v>
      </c>
      <c r="K2381">
        <f>IF(OR($K$1="",对接源_02物料!$C1181="",对接源_02物料!$C1181&lt;&gt;$K$1,对接源_02物料!$B1181=""),0,IF(OR(N(对接源_02物料!$B1181)&lt;$K$2,N(对接源_02物料!$B1181)&gt;$K$3),0,1))</f>
        <v>0</v>
      </c>
      <c r="L2381">
        <f>IF(OR($L$1="",对接源_02物料!$C1181="",对接源_02物料!$C1181&lt;&gt;$L$1,对接源_02物料!$B1181=""),0,IF(OR(N(对接源_02物料!$B1181)&lt;$L$2,N(对接源_02物料!$B1181)&gt;$L$3),0,1))</f>
        <v>0</v>
      </c>
      <c r="M2381">
        <f>IF(OR($M$1="",对接源_02物料!$C1181="",对接源_02物料!$C1181&lt;&gt;$M$1,对接源_02物料!$B1181=""),0,IF(OR(N(对接源_02物料!$B1181)&lt;$M$2,N(对接源_02物料!$B1181)&gt;$M$3),0,1))</f>
        <v>0</v>
      </c>
      <c r="N2381">
        <f>IF(OR($N$1="",对接源_02物料!$C1181="",对接源_02物料!$C1181&lt;&gt;$N$1,对接源_02物料!$B1181=""),0,IF(OR(N(对接源_02物料!$B1181)&lt;$N$2,N(对接源_02物料!$B1181)&gt;$N$3),0,1))</f>
        <v>0</v>
      </c>
      <c r="P2381">
        <f>IF(AND($K2381=1,AND(对接源_02物料!$X1181="公司筐",N(对接源_02物料!$T1181)&lt;&gt;0)),1,0)</f>
        <v>0</v>
      </c>
      <c r="Q2381">
        <f>N(Q2380)+$P2381</f>
        <v>14</v>
      </c>
      <c r="R2381">
        <f>IF(AND($K2381=1,AND(对接源_02物料!$X1181="公司筐",N(对接源_02物料!$U1181)&lt;&gt;0)),1,0)</f>
        <v>0</v>
      </c>
      <c r="S2381">
        <f>N(S2380)+$R2381</f>
        <v>1</v>
      </c>
      <c r="T2381">
        <f>IF(AND($K2381=1,AND(对接源_02物料!$X1181="公司筐",N(对接源_02物料!$V1181)&lt;&gt;0)),1,0)</f>
        <v>0</v>
      </c>
      <c r="U2381">
        <f>N(U2380)+$T2381</f>
        <v>47</v>
      </c>
      <c r="V2381">
        <f>IF(AND($L2381=1,AND(对接源_02物料!$X1181="自备筐",N(对接源_02物料!$V1181)&lt;&gt;0)),1,0)</f>
        <v>0</v>
      </c>
      <c r="W2381">
        <f>N(W2380)+$V2381</f>
        <v>11</v>
      </c>
      <c r="X2381">
        <f>IF(AND($L2381=1,AND(对接源_02物料!$X1181="自备筐",N(对接源_02物料!$T1181)&lt;&gt;0)),1,0)</f>
        <v>0</v>
      </c>
      <c r="Y2381">
        <f>N(Y2380)+$X2381</f>
        <v>0</v>
      </c>
      <c r="Z2381">
        <f>IF(AND($M2381=1,对接源_02物料!$D1181="原料入库"),1,0)</f>
        <v>0</v>
      </c>
      <c r="AA2381">
        <f>N(AA2380)+$Z2381</f>
        <v>24</v>
      </c>
      <c r="AB2381">
        <f>IF(AND($M2381=1,LEFT(对接源_02物料!$D1181,4)="原料出库"),1,0)</f>
        <v>0</v>
      </c>
      <c r="AC2381">
        <f>N(AC2380)+$AB2381</f>
        <v>0</v>
      </c>
      <c r="AD2381">
        <f>IF(AND($M2381=1,LEFT(对接源_02物料!$D1181,4)="成品出库"),1,0)</f>
        <v>0</v>
      </c>
      <c r="AE2381">
        <f>N(AE2380)+$AD2381</f>
        <v>0</v>
      </c>
      <c r="AF2381">
        <f>IF(AND($N2381=1,AND(LEFT(对接源_02物料!$D1181,4)="包装物料",N(对接源_02物料!$K1181)&lt;&gt;0)),1,0)</f>
        <v>0</v>
      </c>
      <c r="AG2381">
        <f>N(AG2380)+$AF2381</f>
        <v>10</v>
      </c>
      <c r="AH2381">
        <f>IF(AND($N2381=1,AND(对接源_02物料!$D1181="周转筐－销售出库",N(对接源_02物料!$K1181)&lt;&gt;0)),1,0)</f>
        <v>0</v>
      </c>
      <c r="AI2381">
        <f>N(AI2380)+$AH2381</f>
        <v>0</v>
      </c>
      <c r="AL2381" t="n">
        <v>0</v>
      </c>
      <c r="AM2381">
        <f>N(AM2380)+$AL2381</f>
        <v>2</v>
      </c>
      <c r="AN2381">
        <f>""</f>
      </c>
      <c r="AO2381" t="n">
        <v>0</v>
      </c>
      <c r="AP2381">
        <f>N(AP2380)+$AO2381</f>
        <v>13</v>
      </c>
      <c r="AR2381">
        <f>IF(OR($AF2381=1,$AH2381=1),1,0)</f>
        <v>0</v>
      </c>
      <c r="AS2381">
        <f>N(AS2380)+$AR2381</f>
        <v>10</v>
      </c>
    </row>
    <row r="2382" s="127">
      <c r="A2382">
        <f>IF(对接源_02物料!$C1182="","",对接源_02物料!$C1182)</f>
      </c>
      <c r="B2382">
        <f>IF(A2382="",0,IF(MATCH(A2382,$A$4:$A$2403,0)=ROW()-3,1,0))</f>
        <v>0</v>
      </c>
      <c r="C2382">
        <f>N(C2381)+B2382</f>
        <v>26</v>
      </c>
      <c r="K2382">
        <f>IF(OR($K$1="",对接源_02物料!$C1182="",对接源_02物料!$C1182&lt;&gt;$K$1,对接源_02物料!$B1182=""),0,IF(OR(N(对接源_02物料!$B1182)&lt;$K$2,N(对接源_02物料!$B1182)&gt;$K$3),0,1))</f>
        <v>0</v>
      </c>
      <c r="L2382">
        <f>IF(OR($L$1="",对接源_02物料!$C1182="",对接源_02物料!$C1182&lt;&gt;$L$1,对接源_02物料!$B1182=""),0,IF(OR(N(对接源_02物料!$B1182)&lt;$L$2,N(对接源_02物料!$B1182)&gt;$L$3),0,1))</f>
        <v>0</v>
      </c>
      <c r="M2382">
        <f>IF(OR($M$1="",对接源_02物料!$C1182="",对接源_02物料!$C1182&lt;&gt;$M$1,对接源_02物料!$B1182=""),0,IF(OR(N(对接源_02物料!$B1182)&lt;$M$2,N(对接源_02物料!$B1182)&gt;$M$3),0,1))</f>
        <v>0</v>
      </c>
      <c r="N2382">
        <f>IF(OR($N$1="",对接源_02物料!$C1182="",对接源_02物料!$C1182&lt;&gt;$N$1,对接源_02物料!$B1182=""),0,IF(OR(N(对接源_02物料!$B1182)&lt;$N$2,N(对接源_02物料!$B1182)&gt;$N$3),0,1))</f>
        <v>0</v>
      </c>
      <c r="P2382">
        <f>IF(AND($K2382=1,AND(对接源_02物料!$X1182="公司筐",N(对接源_02物料!$T1182)&lt;&gt;0)),1,0)</f>
        <v>0</v>
      </c>
      <c r="Q2382">
        <f>N(Q2381)+$P2382</f>
        <v>14</v>
      </c>
      <c r="R2382">
        <f>IF(AND($K2382=1,AND(对接源_02物料!$X1182="公司筐",N(对接源_02物料!$U1182)&lt;&gt;0)),1,0)</f>
        <v>0</v>
      </c>
      <c r="S2382">
        <f>N(S2381)+$R2382</f>
        <v>1</v>
      </c>
      <c r="T2382">
        <f>IF(AND($K2382=1,AND(对接源_02物料!$X1182="公司筐",N(对接源_02物料!$V1182)&lt;&gt;0)),1,0)</f>
        <v>0</v>
      </c>
      <c r="U2382">
        <f>N(U2381)+$T2382</f>
        <v>47</v>
      </c>
      <c r="V2382">
        <f>IF(AND($L2382=1,AND(对接源_02物料!$X1182="自备筐",N(对接源_02物料!$V1182)&lt;&gt;0)),1,0)</f>
        <v>0</v>
      </c>
      <c r="W2382">
        <f>N(W2381)+$V2382</f>
        <v>11</v>
      </c>
      <c r="X2382">
        <f>IF(AND($L2382=1,AND(对接源_02物料!$X1182="自备筐",N(对接源_02物料!$T1182)&lt;&gt;0)),1,0)</f>
        <v>0</v>
      </c>
      <c r="Y2382">
        <f>N(Y2381)+$X2382</f>
        <v>0</v>
      </c>
      <c r="Z2382">
        <f>IF(AND($M2382=1,对接源_02物料!$D1182="原料入库"),1,0)</f>
        <v>0</v>
      </c>
      <c r="AA2382">
        <f>N(AA2381)+$Z2382</f>
        <v>24</v>
      </c>
      <c r="AB2382">
        <f>IF(AND($M2382=1,LEFT(对接源_02物料!$D1182,4)="原料出库"),1,0)</f>
        <v>0</v>
      </c>
      <c r="AC2382">
        <f>N(AC2381)+$AB2382</f>
        <v>0</v>
      </c>
      <c r="AD2382">
        <f>IF(AND($M2382=1,LEFT(对接源_02物料!$D1182,4)="成品出库"),1,0)</f>
        <v>0</v>
      </c>
      <c r="AE2382">
        <f>N(AE2381)+$AD2382</f>
        <v>0</v>
      </c>
      <c r="AF2382">
        <f>IF(AND($N2382=1,AND(LEFT(对接源_02物料!$D1182,4)="包装物料",N(对接源_02物料!$K1182)&lt;&gt;0)),1,0)</f>
        <v>0</v>
      </c>
      <c r="AG2382">
        <f>N(AG2381)+$AF2382</f>
        <v>10</v>
      </c>
      <c r="AH2382">
        <f>IF(AND($N2382=1,AND(对接源_02物料!$D1182="周转筐－销售出库",N(对接源_02物料!$K1182)&lt;&gt;0)),1,0)</f>
        <v>0</v>
      </c>
      <c r="AI2382">
        <f>N(AI2381)+$AH2382</f>
        <v>0</v>
      </c>
      <c r="AL2382" t="n">
        <v>0</v>
      </c>
      <c r="AM2382">
        <f>N(AM2381)+$AL2382</f>
        <v>2</v>
      </c>
      <c r="AN2382">
        <f>""</f>
      </c>
      <c r="AO2382" t="n">
        <v>0</v>
      </c>
      <c r="AP2382">
        <f>N(AP2381)+$AO2382</f>
        <v>13</v>
      </c>
      <c r="AR2382">
        <f>IF(OR($AF2382=1,$AH2382=1),1,0)</f>
        <v>0</v>
      </c>
      <c r="AS2382">
        <f>N(AS2381)+$AR2382</f>
        <v>10</v>
      </c>
    </row>
    <row r="2383" s="127">
      <c r="A2383">
        <f>IF(对接源_02物料!$C1183="","",对接源_02物料!$C1183)</f>
      </c>
      <c r="B2383">
        <f>IF(A2383="",0,IF(MATCH(A2383,$A$4:$A$2403,0)=ROW()-3,1,0))</f>
        <v>0</v>
      </c>
      <c r="C2383">
        <f>N(C2382)+B2383</f>
        <v>26</v>
      </c>
      <c r="K2383">
        <f>IF(OR($K$1="",对接源_02物料!$C1183="",对接源_02物料!$C1183&lt;&gt;$K$1,对接源_02物料!$B1183=""),0,IF(OR(N(对接源_02物料!$B1183)&lt;$K$2,N(对接源_02物料!$B1183)&gt;$K$3),0,1))</f>
        <v>0</v>
      </c>
      <c r="L2383">
        <f>IF(OR($L$1="",对接源_02物料!$C1183="",对接源_02物料!$C1183&lt;&gt;$L$1,对接源_02物料!$B1183=""),0,IF(OR(N(对接源_02物料!$B1183)&lt;$L$2,N(对接源_02物料!$B1183)&gt;$L$3),0,1))</f>
        <v>0</v>
      </c>
      <c r="M2383">
        <f>IF(OR($M$1="",对接源_02物料!$C1183="",对接源_02物料!$C1183&lt;&gt;$M$1,对接源_02物料!$B1183=""),0,IF(OR(N(对接源_02物料!$B1183)&lt;$M$2,N(对接源_02物料!$B1183)&gt;$M$3),0,1))</f>
        <v>0</v>
      </c>
      <c r="N2383">
        <f>IF(OR($N$1="",对接源_02物料!$C1183="",对接源_02物料!$C1183&lt;&gt;$N$1,对接源_02物料!$B1183=""),0,IF(OR(N(对接源_02物料!$B1183)&lt;$N$2,N(对接源_02物料!$B1183)&gt;$N$3),0,1))</f>
        <v>0</v>
      </c>
      <c r="P2383">
        <f>IF(AND($K2383=1,AND(对接源_02物料!$X1183="公司筐",N(对接源_02物料!$T1183)&lt;&gt;0)),1,0)</f>
        <v>0</v>
      </c>
      <c r="Q2383">
        <f>N(Q2382)+$P2383</f>
        <v>14</v>
      </c>
      <c r="R2383">
        <f>IF(AND($K2383=1,AND(对接源_02物料!$X1183="公司筐",N(对接源_02物料!$U1183)&lt;&gt;0)),1,0)</f>
        <v>0</v>
      </c>
      <c r="S2383">
        <f>N(S2382)+$R2383</f>
        <v>1</v>
      </c>
      <c r="T2383">
        <f>IF(AND($K2383=1,AND(对接源_02物料!$X1183="公司筐",N(对接源_02物料!$V1183)&lt;&gt;0)),1,0)</f>
        <v>0</v>
      </c>
      <c r="U2383">
        <f>N(U2382)+$T2383</f>
        <v>47</v>
      </c>
      <c r="V2383">
        <f>IF(AND($L2383=1,AND(对接源_02物料!$X1183="自备筐",N(对接源_02物料!$V1183)&lt;&gt;0)),1,0)</f>
        <v>0</v>
      </c>
      <c r="W2383">
        <f>N(W2382)+$V2383</f>
        <v>11</v>
      </c>
      <c r="X2383">
        <f>IF(AND($L2383=1,AND(对接源_02物料!$X1183="自备筐",N(对接源_02物料!$T1183)&lt;&gt;0)),1,0)</f>
        <v>0</v>
      </c>
      <c r="Y2383">
        <f>N(Y2382)+$X2383</f>
        <v>0</v>
      </c>
      <c r="Z2383">
        <f>IF(AND($M2383=1,对接源_02物料!$D1183="原料入库"),1,0)</f>
        <v>0</v>
      </c>
      <c r="AA2383">
        <f>N(AA2382)+$Z2383</f>
        <v>24</v>
      </c>
      <c r="AB2383">
        <f>IF(AND($M2383=1,LEFT(对接源_02物料!$D1183,4)="原料出库"),1,0)</f>
        <v>0</v>
      </c>
      <c r="AC2383">
        <f>N(AC2382)+$AB2383</f>
        <v>0</v>
      </c>
      <c r="AD2383">
        <f>IF(AND($M2383=1,LEFT(对接源_02物料!$D1183,4)="成品出库"),1,0)</f>
        <v>0</v>
      </c>
      <c r="AE2383">
        <f>N(AE2382)+$AD2383</f>
        <v>0</v>
      </c>
      <c r="AF2383">
        <f>IF(AND($N2383=1,AND(LEFT(对接源_02物料!$D1183,4)="包装物料",N(对接源_02物料!$K1183)&lt;&gt;0)),1,0)</f>
        <v>0</v>
      </c>
      <c r="AG2383">
        <f>N(AG2382)+$AF2383</f>
        <v>10</v>
      </c>
      <c r="AH2383">
        <f>IF(AND($N2383=1,AND(对接源_02物料!$D1183="周转筐－销售出库",N(对接源_02物料!$K1183)&lt;&gt;0)),1,0)</f>
        <v>0</v>
      </c>
      <c r="AI2383">
        <f>N(AI2382)+$AH2383</f>
        <v>0</v>
      </c>
      <c r="AL2383" t="n">
        <v>0</v>
      </c>
      <c r="AM2383">
        <f>N(AM2382)+$AL2383</f>
        <v>2</v>
      </c>
      <c r="AN2383">
        <f>""</f>
      </c>
      <c r="AO2383" t="n">
        <v>0</v>
      </c>
      <c r="AP2383">
        <f>N(AP2382)+$AO2383</f>
        <v>13</v>
      </c>
      <c r="AR2383">
        <f>IF(OR($AF2383=1,$AH2383=1),1,0)</f>
        <v>0</v>
      </c>
      <c r="AS2383">
        <f>N(AS2382)+$AR2383</f>
        <v>10</v>
      </c>
    </row>
    <row r="2384" s="127">
      <c r="A2384">
        <f>IF(对接源_02物料!$C1184="","",对接源_02物料!$C1184)</f>
      </c>
      <c r="B2384">
        <f>IF(A2384="",0,IF(MATCH(A2384,$A$4:$A$2403,0)=ROW()-3,1,0))</f>
        <v>0</v>
      </c>
      <c r="C2384">
        <f>N(C2383)+B2384</f>
        <v>26</v>
      </c>
      <c r="K2384">
        <f>IF(OR($K$1="",对接源_02物料!$C1184="",对接源_02物料!$C1184&lt;&gt;$K$1,对接源_02物料!$B1184=""),0,IF(OR(N(对接源_02物料!$B1184)&lt;$K$2,N(对接源_02物料!$B1184)&gt;$K$3),0,1))</f>
        <v>0</v>
      </c>
      <c r="L2384">
        <f>IF(OR($L$1="",对接源_02物料!$C1184="",对接源_02物料!$C1184&lt;&gt;$L$1,对接源_02物料!$B1184=""),0,IF(OR(N(对接源_02物料!$B1184)&lt;$L$2,N(对接源_02物料!$B1184)&gt;$L$3),0,1))</f>
        <v>0</v>
      </c>
      <c r="M2384">
        <f>IF(OR($M$1="",对接源_02物料!$C1184="",对接源_02物料!$C1184&lt;&gt;$M$1,对接源_02物料!$B1184=""),0,IF(OR(N(对接源_02物料!$B1184)&lt;$M$2,N(对接源_02物料!$B1184)&gt;$M$3),0,1))</f>
        <v>0</v>
      </c>
      <c r="N2384">
        <f>IF(OR($N$1="",对接源_02物料!$C1184="",对接源_02物料!$C1184&lt;&gt;$N$1,对接源_02物料!$B1184=""),0,IF(OR(N(对接源_02物料!$B1184)&lt;$N$2,N(对接源_02物料!$B1184)&gt;$N$3),0,1))</f>
        <v>0</v>
      </c>
      <c r="P2384">
        <f>IF(AND($K2384=1,AND(对接源_02物料!$X1184="公司筐",N(对接源_02物料!$T1184)&lt;&gt;0)),1,0)</f>
        <v>0</v>
      </c>
      <c r="Q2384">
        <f>N(Q2383)+$P2384</f>
        <v>14</v>
      </c>
      <c r="R2384">
        <f>IF(AND($K2384=1,AND(对接源_02物料!$X1184="公司筐",N(对接源_02物料!$U1184)&lt;&gt;0)),1,0)</f>
        <v>0</v>
      </c>
      <c r="S2384">
        <f>N(S2383)+$R2384</f>
        <v>1</v>
      </c>
      <c r="T2384">
        <f>IF(AND($K2384=1,AND(对接源_02物料!$X1184="公司筐",N(对接源_02物料!$V1184)&lt;&gt;0)),1,0)</f>
        <v>0</v>
      </c>
      <c r="U2384">
        <f>N(U2383)+$T2384</f>
        <v>47</v>
      </c>
      <c r="V2384">
        <f>IF(AND($L2384=1,AND(对接源_02物料!$X1184="自备筐",N(对接源_02物料!$V1184)&lt;&gt;0)),1,0)</f>
        <v>0</v>
      </c>
      <c r="W2384">
        <f>N(W2383)+$V2384</f>
        <v>11</v>
      </c>
      <c r="X2384">
        <f>IF(AND($L2384=1,AND(对接源_02物料!$X1184="自备筐",N(对接源_02物料!$T1184)&lt;&gt;0)),1,0)</f>
        <v>0</v>
      </c>
      <c r="Y2384">
        <f>N(Y2383)+$X2384</f>
        <v>0</v>
      </c>
      <c r="Z2384">
        <f>IF(AND($M2384=1,对接源_02物料!$D1184="原料入库"),1,0)</f>
        <v>0</v>
      </c>
      <c r="AA2384">
        <f>N(AA2383)+$Z2384</f>
        <v>24</v>
      </c>
      <c r="AB2384">
        <f>IF(AND($M2384=1,LEFT(对接源_02物料!$D1184,4)="原料出库"),1,0)</f>
        <v>0</v>
      </c>
      <c r="AC2384">
        <f>N(AC2383)+$AB2384</f>
        <v>0</v>
      </c>
      <c r="AD2384">
        <f>IF(AND($M2384=1,LEFT(对接源_02物料!$D1184,4)="成品出库"),1,0)</f>
        <v>0</v>
      </c>
      <c r="AE2384">
        <f>N(AE2383)+$AD2384</f>
        <v>0</v>
      </c>
      <c r="AF2384">
        <f>IF(AND($N2384=1,AND(LEFT(对接源_02物料!$D1184,4)="包装物料",N(对接源_02物料!$K1184)&lt;&gt;0)),1,0)</f>
        <v>0</v>
      </c>
      <c r="AG2384">
        <f>N(AG2383)+$AF2384</f>
        <v>10</v>
      </c>
      <c r="AH2384">
        <f>IF(AND($N2384=1,AND(对接源_02物料!$D1184="周转筐－销售出库",N(对接源_02物料!$K1184)&lt;&gt;0)),1,0)</f>
        <v>0</v>
      </c>
      <c r="AI2384">
        <f>N(AI2383)+$AH2384</f>
        <v>0</v>
      </c>
      <c r="AL2384" t="n">
        <v>0</v>
      </c>
      <c r="AM2384">
        <f>N(AM2383)+$AL2384</f>
        <v>2</v>
      </c>
      <c r="AN2384">
        <f>""</f>
      </c>
      <c r="AO2384" t="n">
        <v>0</v>
      </c>
      <c r="AP2384">
        <f>N(AP2383)+$AO2384</f>
        <v>13</v>
      </c>
      <c r="AR2384">
        <f>IF(OR($AF2384=1,$AH2384=1),1,0)</f>
        <v>0</v>
      </c>
      <c r="AS2384">
        <f>N(AS2383)+$AR2384</f>
        <v>10</v>
      </c>
    </row>
    <row r="2385" s="127">
      <c r="A2385">
        <f>IF(对接源_02物料!$C1185="","",对接源_02物料!$C1185)</f>
      </c>
      <c r="B2385">
        <f>IF(A2385="",0,IF(MATCH(A2385,$A$4:$A$2403,0)=ROW()-3,1,0))</f>
        <v>0</v>
      </c>
      <c r="C2385">
        <f>N(C2384)+B2385</f>
        <v>26</v>
      </c>
      <c r="K2385">
        <f>IF(OR($K$1="",对接源_02物料!$C1185="",对接源_02物料!$C1185&lt;&gt;$K$1,对接源_02物料!$B1185=""),0,IF(OR(N(对接源_02物料!$B1185)&lt;$K$2,N(对接源_02物料!$B1185)&gt;$K$3),0,1))</f>
        <v>0</v>
      </c>
      <c r="L2385">
        <f>IF(OR($L$1="",对接源_02物料!$C1185="",对接源_02物料!$C1185&lt;&gt;$L$1,对接源_02物料!$B1185=""),0,IF(OR(N(对接源_02物料!$B1185)&lt;$L$2,N(对接源_02物料!$B1185)&gt;$L$3),0,1))</f>
        <v>0</v>
      </c>
      <c r="M2385">
        <f>IF(OR($M$1="",对接源_02物料!$C1185="",对接源_02物料!$C1185&lt;&gt;$M$1,对接源_02物料!$B1185=""),0,IF(OR(N(对接源_02物料!$B1185)&lt;$M$2,N(对接源_02物料!$B1185)&gt;$M$3),0,1))</f>
        <v>0</v>
      </c>
      <c r="N2385">
        <f>IF(OR($N$1="",对接源_02物料!$C1185="",对接源_02物料!$C1185&lt;&gt;$N$1,对接源_02物料!$B1185=""),0,IF(OR(N(对接源_02物料!$B1185)&lt;$N$2,N(对接源_02物料!$B1185)&gt;$N$3),0,1))</f>
        <v>0</v>
      </c>
      <c r="P2385">
        <f>IF(AND($K2385=1,AND(对接源_02物料!$X1185="公司筐",N(对接源_02物料!$T1185)&lt;&gt;0)),1,0)</f>
        <v>0</v>
      </c>
      <c r="Q2385">
        <f>N(Q2384)+$P2385</f>
        <v>14</v>
      </c>
      <c r="R2385">
        <f>IF(AND($K2385=1,AND(对接源_02物料!$X1185="公司筐",N(对接源_02物料!$U1185)&lt;&gt;0)),1,0)</f>
        <v>0</v>
      </c>
      <c r="S2385">
        <f>N(S2384)+$R2385</f>
        <v>1</v>
      </c>
      <c r="T2385">
        <f>IF(AND($K2385=1,AND(对接源_02物料!$X1185="公司筐",N(对接源_02物料!$V1185)&lt;&gt;0)),1,0)</f>
        <v>0</v>
      </c>
      <c r="U2385">
        <f>N(U2384)+$T2385</f>
        <v>47</v>
      </c>
      <c r="V2385">
        <f>IF(AND($L2385=1,AND(对接源_02物料!$X1185="自备筐",N(对接源_02物料!$V1185)&lt;&gt;0)),1,0)</f>
        <v>0</v>
      </c>
      <c r="W2385">
        <f>N(W2384)+$V2385</f>
        <v>11</v>
      </c>
      <c r="X2385">
        <f>IF(AND($L2385=1,AND(对接源_02物料!$X1185="自备筐",N(对接源_02物料!$T1185)&lt;&gt;0)),1,0)</f>
        <v>0</v>
      </c>
      <c r="Y2385">
        <f>N(Y2384)+$X2385</f>
        <v>0</v>
      </c>
      <c r="Z2385">
        <f>IF(AND($M2385=1,对接源_02物料!$D1185="原料入库"),1,0)</f>
        <v>0</v>
      </c>
      <c r="AA2385">
        <f>N(AA2384)+$Z2385</f>
        <v>24</v>
      </c>
      <c r="AB2385">
        <f>IF(AND($M2385=1,LEFT(对接源_02物料!$D1185,4)="原料出库"),1,0)</f>
        <v>0</v>
      </c>
      <c r="AC2385">
        <f>N(AC2384)+$AB2385</f>
        <v>0</v>
      </c>
      <c r="AD2385">
        <f>IF(AND($M2385=1,LEFT(对接源_02物料!$D1185,4)="成品出库"),1,0)</f>
        <v>0</v>
      </c>
      <c r="AE2385">
        <f>N(AE2384)+$AD2385</f>
        <v>0</v>
      </c>
      <c r="AF2385">
        <f>IF(AND($N2385=1,AND(LEFT(对接源_02物料!$D1185,4)="包装物料",N(对接源_02物料!$K1185)&lt;&gt;0)),1,0)</f>
        <v>0</v>
      </c>
      <c r="AG2385">
        <f>N(AG2384)+$AF2385</f>
        <v>10</v>
      </c>
      <c r="AH2385">
        <f>IF(AND($N2385=1,AND(对接源_02物料!$D1185="周转筐－销售出库",N(对接源_02物料!$K1185)&lt;&gt;0)),1,0)</f>
        <v>0</v>
      </c>
      <c r="AI2385">
        <f>N(AI2384)+$AH2385</f>
        <v>0</v>
      </c>
      <c r="AL2385" t="n">
        <v>0</v>
      </c>
      <c r="AM2385">
        <f>N(AM2384)+$AL2385</f>
        <v>2</v>
      </c>
      <c r="AN2385">
        <f>""</f>
      </c>
      <c r="AO2385" t="n">
        <v>0</v>
      </c>
      <c r="AP2385">
        <f>N(AP2384)+$AO2385</f>
        <v>13</v>
      </c>
      <c r="AR2385">
        <f>IF(OR($AF2385=1,$AH2385=1),1,0)</f>
        <v>0</v>
      </c>
      <c r="AS2385">
        <f>N(AS2384)+$AR2385</f>
        <v>10</v>
      </c>
    </row>
    <row r="2386" s="127">
      <c r="A2386">
        <f>IF(对接源_02物料!$C1186="","",对接源_02物料!$C1186)</f>
      </c>
      <c r="B2386">
        <f>IF(A2386="",0,IF(MATCH(A2386,$A$4:$A$2403,0)=ROW()-3,1,0))</f>
        <v>0</v>
      </c>
      <c r="C2386">
        <f>N(C2385)+B2386</f>
        <v>26</v>
      </c>
      <c r="K2386">
        <f>IF(OR($K$1="",对接源_02物料!$C1186="",对接源_02物料!$C1186&lt;&gt;$K$1,对接源_02物料!$B1186=""),0,IF(OR(N(对接源_02物料!$B1186)&lt;$K$2,N(对接源_02物料!$B1186)&gt;$K$3),0,1))</f>
        <v>0</v>
      </c>
      <c r="L2386">
        <f>IF(OR($L$1="",对接源_02物料!$C1186="",对接源_02物料!$C1186&lt;&gt;$L$1,对接源_02物料!$B1186=""),0,IF(OR(N(对接源_02物料!$B1186)&lt;$L$2,N(对接源_02物料!$B1186)&gt;$L$3),0,1))</f>
        <v>0</v>
      </c>
      <c r="M2386">
        <f>IF(OR($M$1="",对接源_02物料!$C1186="",对接源_02物料!$C1186&lt;&gt;$M$1,对接源_02物料!$B1186=""),0,IF(OR(N(对接源_02物料!$B1186)&lt;$M$2,N(对接源_02物料!$B1186)&gt;$M$3),0,1))</f>
        <v>0</v>
      </c>
      <c r="N2386">
        <f>IF(OR($N$1="",对接源_02物料!$C1186="",对接源_02物料!$C1186&lt;&gt;$N$1,对接源_02物料!$B1186=""),0,IF(OR(N(对接源_02物料!$B1186)&lt;$N$2,N(对接源_02物料!$B1186)&gt;$N$3),0,1))</f>
        <v>0</v>
      </c>
      <c r="P2386">
        <f>IF(AND($K2386=1,AND(对接源_02物料!$X1186="公司筐",N(对接源_02物料!$T1186)&lt;&gt;0)),1,0)</f>
        <v>0</v>
      </c>
      <c r="Q2386">
        <f>N(Q2385)+$P2386</f>
        <v>14</v>
      </c>
      <c r="R2386">
        <f>IF(AND($K2386=1,AND(对接源_02物料!$X1186="公司筐",N(对接源_02物料!$U1186)&lt;&gt;0)),1,0)</f>
        <v>0</v>
      </c>
      <c r="S2386">
        <f>N(S2385)+$R2386</f>
        <v>1</v>
      </c>
      <c r="T2386">
        <f>IF(AND($K2386=1,AND(对接源_02物料!$X1186="公司筐",N(对接源_02物料!$V1186)&lt;&gt;0)),1,0)</f>
        <v>0</v>
      </c>
      <c r="U2386">
        <f>N(U2385)+$T2386</f>
        <v>47</v>
      </c>
      <c r="V2386">
        <f>IF(AND($L2386=1,AND(对接源_02物料!$X1186="自备筐",N(对接源_02物料!$V1186)&lt;&gt;0)),1,0)</f>
        <v>0</v>
      </c>
      <c r="W2386">
        <f>N(W2385)+$V2386</f>
        <v>11</v>
      </c>
      <c r="X2386">
        <f>IF(AND($L2386=1,AND(对接源_02物料!$X1186="自备筐",N(对接源_02物料!$T1186)&lt;&gt;0)),1,0)</f>
        <v>0</v>
      </c>
      <c r="Y2386">
        <f>N(Y2385)+$X2386</f>
        <v>0</v>
      </c>
      <c r="Z2386">
        <f>IF(AND($M2386=1,对接源_02物料!$D1186="原料入库"),1,0)</f>
        <v>0</v>
      </c>
      <c r="AA2386">
        <f>N(AA2385)+$Z2386</f>
        <v>24</v>
      </c>
      <c r="AB2386">
        <f>IF(AND($M2386=1,LEFT(对接源_02物料!$D1186,4)="原料出库"),1,0)</f>
        <v>0</v>
      </c>
      <c r="AC2386">
        <f>N(AC2385)+$AB2386</f>
        <v>0</v>
      </c>
      <c r="AD2386">
        <f>IF(AND($M2386=1,LEFT(对接源_02物料!$D1186,4)="成品出库"),1,0)</f>
        <v>0</v>
      </c>
      <c r="AE2386">
        <f>N(AE2385)+$AD2386</f>
        <v>0</v>
      </c>
      <c r="AF2386">
        <f>IF(AND($N2386=1,AND(LEFT(对接源_02物料!$D1186,4)="包装物料",N(对接源_02物料!$K1186)&lt;&gt;0)),1,0)</f>
        <v>0</v>
      </c>
      <c r="AG2386">
        <f>N(AG2385)+$AF2386</f>
        <v>10</v>
      </c>
      <c r="AH2386">
        <f>IF(AND($N2386=1,AND(对接源_02物料!$D1186="周转筐－销售出库",N(对接源_02物料!$K1186)&lt;&gt;0)),1,0)</f>
        <v>0</v>
      </c>
      <c r="AI2386">
        <f>N(AI2385)+$AH2386</f>
        <v>0</v>
      </c>
      <c r="AL2386" t="n">
        <v>0</v>
      </c>
      <c r="AM2386">
        <f>N(AM2385)+$AL2386</f>
        <v>2</v>
      </c>
      <c r="AN2386">
        <f>""</f>
      </c>
      <c r="AO2386" t="n">
        <v>0</v>
      </c>
      <c r="AP2386">
        <f>N(AP2385)+$AO2386</f>
        <v>13</v>
      </c>
      <c r="AR2386">
        <f>IF(OR($AF2386=1,$AH2386=1),1,0)</f>
        <v>0</v>
      </c>
      <c r="AS2386">
        <f>N(AS2385)+$AR2386</f>
        <v>10</v>
      </c>
    </row>
    <row r="2387" s="127">
      <c r="A2387">
        <f>IF(对接源_02物料!$C1187="","",对接源_02物料!$C1187)</f>
      </c>
      <c r="B2387">
        <f>IF(A2387="",0,IF(MATCH(A2387,$A$4:$A$2403,0)=ROW()-3,1,0))</f>
        <v>0</v>
      </c>
      <c r="C2387">
        <f>N(C2386)+B2387</f>
        <v>26</v>
      </c>
      <c r="K2387">
        <f>IF(OR($K$1="",对接源_02物料!$C1187="",对接源_02物料!$C1187&lt;&gt;$K$1,对接源_02物料!$B1187=""),0,IF(OR(N(对接源_02物料!$B1187)&lt;$K$2,N(对接源_02物料!$B1187)&gt;$K$3),0,1))</f>
        <v>0</v>
      </c>
      <c r="L2387">
        <f>IF(OR($L$1="",对接源_02物料!$C1187="",对接源_02物料!$C1187&lt;&gt;$L$1,对接源_02物料!$B1187=""),0,IF(OR(N(对接源_02物料!$B1187)&lt;$L$2,N(对接源_02物料!$B1187)&gt;$L$3),0,1))</f>
        <v>0</v>
      </c>
      <c r="M2387">
        <f>IF(OR($M$1="",对接源_02物料!$C1187="",对接源_02物料!$C1187&lt;&gt;$M$1,对接源_02物料!$B1187=""),0,IF(OR(N(对接源_02物料!$B1187)&lt;$M$2,N(对接源_02物料!$B1187)&gt;$M$3),0,1))</f>
        <v>0</v>
      </c>
      <c r="N2387">
        <f>IF(OR($N$1="",对接源_02物料!$C1187="",对接源_02物料!$C1187&lt;&gt;$N$1,对接源_02物料!$B1187=""),0,IF(OR(N(对接源_02物料!$B1187)&lt;$N$2,N(对接源_02物料!$B1187)&gt;$N$3),0,1))</f>
        <v>0</v>
      </c>
      <c r="P2387">
        <f>IF(AND($K2387=1,AND(对接源_02物料!$X1187="公司筐",N(对接源_02物料!$T1187)&lt;&gt;0)),1,0)</f>
        <v>0</v>
      </c>
      <c r="Q2387">
        <f>N(Q2386)+$P2387</f>
        <v>14</v>
      </c>
      <c r="R2387">
        <f>IF(AND($K2387=1,AND(对接源_02物料!$X1187="公司筐",N(对接源_02物料!$U1187)&lt;&gt;0)),1,0)</f>
        <v>0</v>
      </c>
      <c r="S2387">
        <f>N(S2386)+$R2387</f>
        <v>1</v>
      </c>
      <c r="T2387">
        <f>IF(AND($K2387=1,AND(对接源_02物料!$X1187="公司筐",N(对接源_02物料!$V1187)&lt;&gt;0)),1,0)</f>
        <v>0</v>
      </c>
      <c r="U2387">
        <f>N(U2386)+$T2387</f>
        <v>47</v>
      </c>
      <c r="V2387">
        <f>IF(AND($L2387=1,AND(对接源_02物料!$X1187="自备筐",N(对接源_02物料!$V1187)&lt;&gt;0)),1,0)</f>
        <v>0</v>
      </c>
      <c r="W2387">
        <f>N(W2386)+$V2387</f>
        <v>11</v>
      </c>
      <c r="X2387">
        <f>IF(AND($L2387=1,AND(对接源_02物料!$X1187="自备筐",N(对接源_02物料!$T1187)&lt;&gt;0)),1,0)</f>
        <v>0</v>
      </c>
      <c r="Y2387">
        <f>N(Y2386)+$X2387</f>
        <v>0</v>
      </c>
      <c r="Z2387">
        <f>IF(AND($M2387=1,对接源_02物料!$D1187="原料入库"),1,0)</f>
        <v>0</v>
      </c>
      <c r="AA2387">
        <f>N(AA2386)+$Z2387</f>
        <v>24</v>
      </c>
      <c r="AB2387">
        <f>IF(AND($M2387=1,LEFT(对接源_02物料!$D1187,4)="原料出库"),1,0)</f>
        <v>0</v>
      </c>
      <c r="AC2387">
        <f>N(AC2386)+$AB2387</f>
        <v>0</v>
      </c>
      <c r="AD2387">
        <f>IF(AND($M2387=1,LEFT(对接源_02物料!$D1187,4)="成品出库"),1,0)</f>
        <v>0</v>
      </c>
      <c r="AE2387">
        <f>N(AE2386)+$AD2387</f>
        <v>0</v>
      </c>
      <c r="AF2387">
        <f>IF(AND($N2387=1,AND(LEFT(对接源_02物料!$D1187,4)="包装物料",N(对接源_02物料!$K1187)&lt;&gt;0)),1,0)</f>
        <v>0</v>
      </c>
      <c r="AG2387">
        <f>N(AG2386)+$AF2387</f>
        <v>10</v>
      </c>
      <c r="AH2387">
        <f>IF(AND($N2387=1,AND(对接源_02物料!$D1187="周转筐－销售出库",N(对接源_02物料!$K1187)&lt;&gt;0)),1,0)</f>
        <v>0</v>
      </c>
      <c r="AI2387">
        <f>N(AI2386)+$AH2387</f>
        <v>0</v>
      </c>
      <c r="AL2387" t="n">
        <v>0</v>
      </c>
      <c r="AM2387">
        <f>N(AM2386)+$AL2387</f>
        <v>2</v>
      </c>
      <c r="AN2387">
        <f>""</f>
      </c>
      <c r="AO2387" t="n">
        <v>0</v>
      </c>
      <c r="AP2387">
        <f>N(AP2386)+$AO2387</f>
        <v>13</v>
      </c>
      <c r="AR2387">
        <f>IF(OR($AF2387=1,$AH2387=1),1,0)</f>
        <v>0</v>
      </c>
      <c r="AS2387">
        <f>N(AS2386)+$AR2387</f>
        <v>10</v>
      </c>
    </row>
    <row r="2388" s="127">
      <c r="A2388">
        <f>IF(对接源_02物料!$C1188="","",对接源_02物料!$C1188)</f>
      </c>
      <c r="B2388">
        <f>IF(A2388="",0,IF(MATCH(A2388,$A$4:$A$2403,0)=ROW()-3,1,0))</f>
        <v>0</v>
      </c>
      <c r="C2388">
        <f>N(C2387)+B2388</f>
        <v>26</v>
      </c>
      <c r="K2388">
        <f>IF(OR($K$1="",对接源_02物料!$C1188="",对接源_02物料!$C1188&lt;&gt;$K$1,对接源_02物料!$B1188=""),0,IF(OR(N(对接源_02物料!$B1188)&lt;$K$2,N(对接源_02物料!$B1188)&gt;$K$3),0,1))</f>
        <v>0</v>
      </c>
      <c r="L2388">
        <f>IF(OR($L$1="",对接源_02物料!$C1188="",对接源_02物料!$C1188&lt;&gt;$L$1,对接源_02物料!$B1188=""),0,IF(OR(N(对接源_02物料!$B1188)&lt;$L$2,N(对接源_02物料!$B1188)&gt;$L$3),0,1))</f>
        <v>0</v>
      </c>
      <c r="M2388">
        <f>IF(OR($M$1="",对接源_02物料!$C1188="",对接源_02物料!$C1188&lt;&gt;$M$1,对接源_02物料!$B1188=""),0,IF(OR(N(对接源_02物料!$B1188)&lt;$M$2,N(对接源_02物料!$B1188)&gt;$M$3),0,1))</f>
        <v>0</v>
      </c>
      <c r="N2388">
        <f>IF(OR($N$1="",对接源_02物料!$C1188="",对接源_02物料!$C1188&lt;&gt;$N$1,对接源_02物料!$B1188=""),0,IF(OR(N(对接源_02物料!$B1188)&lt;$N$2,N(对接源_02物料!$B1188)&gt;$N$3),0,1))</f>
        <v>0</v>
      </c>
      <c r="P2388">
        <f>IF(AND($K2388=1,AND(对接源_02物料!$X1188="公司筐",N(对接源_02物料!$T1188)&lt;&gt;0)),1,0)</f>
        <v>0</v>
      </c>
      <c r="Q2388">
        <f>N(Q2387)+$P2388</f>
        <v>14</v>
      </c>
      <c r="R2388">
        <f>IF(AND($K2388=1,AND(对接源_02物料!$X1188="公司筐",N(对接源_02物料!$U1188)&lt;&gt;0)),1,0)</f>
        <v>0</v>
      </c>
      <c r="S2388">
        <f>N(S2387)+$R2388</f>
        <v>1</v>
      </c>
      <c r="T2388">
        <f>IF(AND($K2388=1,AND(对接源_02物料!$X1188="公司筐",N(对接源_02物料!$V1188)&lt;&gt;0)),1,0)</f>
        <v>0</v>
      </c>
      <c r="U2388">
        <f>N(U2387)+$T2388</f>
        <v>47</v>
      </c>
      <c r="V2388">
        <f>IF(AND($L2388=1,AND(对接源_02物料!$X1188="自备筐",N(对接源_02物料!$V1188)&lt;&gt;0)),1,0)</f>
        <v>0</v>
      </c>
      <c r="W2388">
        <f>N(W2387)+$V2388</f>
        <v>11</v>
      </c>
      <c r="X2388">
        <f>IF(AND($L2388=1,AND(对接源_02物料!$X1188="自备筐",N(对接源_02物料!$T1188)&lt;&gt;0)),1,0)</f>
        <v>0</v>
      </c>
      <c r="Y2388">
        <f>N(Y2387)+$X2388</f>
        <v>0</v>
      </c>
      <c r="Z2388">
        <f>IF(AND($M2388=1,对接源_02物料!$D1188="原料入库"),1,0)</f>
        <v>0</v>
      </c>
      <c r="AA2388">
        <f>N(AA2387)+$Z2388</f>
        <v>24</v>
      </c>
      <c r="AB2388">
        <f>IF(AND($M2388=1,LEFT(对接源_02物料!$D1188,4)="原料出库"),1,0)</f>
        <v>0</v>
      </c>
      <c r="AC2388">
        <f>N(AC2387)+$AB2388</f>
        <v>0</v>
      </c>
      <c r="AD2388">
        <f>IF(AND($M2388=1,LEFT(对接源_02物料!$D1188,4)="成品出库"),1,0)</f>
        <v>0</v>
      </c>
      <c r="AE2388">
        <f>N(AE2387)+$AD2388</f>
        <v>0</v>
      </c>
      <c r="AF2388">
        <f>IF(AND($N2388=1,AND(LEFT(对接源_02物料!$D1188,4)="包装物料",N(对接源_02物料!$K1188)&lt;&gt;0)),1,0)</f>
        <v>0</v>
      </c>
      <c r="AG2388">
        <f>N(AG2387)+$AF2388</f>
        <v>10</v>
      </c>
      <c r="AH2388">
        <f>IF(AND($N2388=1,AND(对接源_02物料!$D1188="周转筐－销售出库",N(对接源_02物料!$K1188)&lt;&gt;0)),1,0)</f>
        <v>0</v>
      </c>
      <c r="AI2388">
        <f>N(AI2387)+$AH2388</f>
        <v>0</v>
      </c>
      <c r="AL2388" t="n">
        <v>0</v>
      </c>
      <c r="AM2388">
        <f>N(AM2387)+$AL2388</f>
        <v>2</v>
      </c>
      <c r="AN2388">
        <f>""</f>
      </c>
      <c r="AO2388" t="n">
        <v>0</v>
      </c>
      <c r="AP2388">
        <f>N(AP2387)+$AO2388</f>
        <v>13</v>
      </c>
      <c r="AR2388">
        <f>IF(OR($AF2388=1,$AH2388=1),1,0)</f>
        <v>0</v>
      </c>
      <c r="AS2388">
        <f>N(AS2387)+$AR2388</f>
        <v>10</v>
      </c>
    </row>
    <row r="2389" s="127">
      <c r="A2389">
        <f>IF(对接源_02物料!$C1189="","",对接源_02物料!$C1189)</f>
      </c>
      <c r="B2389">
        <f>IF(A2389="",0,IF(MATCH(A2389,$A$4:$A$2403,0)=ROW()-3,1,0))</f>
        <v>0</v>
      </c>
      <c r="C2389">
        <f>N(C2388)+B2389</f>
        <v>26</v>
      </c>
      <c r="K2389">
        <f>IF(OR($K$1="",对接源_02物料!$C1189="",对接源_02物料!$C1189&lt;&gt;$K$1,对接源_02物料!$B1189=""),0,IF(OR(N(对接源_02物料!$B1189)&lt;$K$2,N(对接源_02物料!$B1189)&gt;$K$3),0,1))</f>
        <v>0</v>
      </c>
      <c r="L2389">
        <f>IF(OR($L$1="",对接源_02物料!$C1189="",对接源_02物料!$C1189&lt;&gt;$L$1,对接源_02物料!$B1189=""),0,IF(OR(N(对接源_02物料!$B1189)&lt;$L$2,N(对接源_02物料!$B1189)&gt;$L$3),0,1))</f>
        <v>0</v>
      </c>
      <c r="M2389">
        <f>IF(OR($M$1="",对接源_02物料!$C1189="",对接源_02物料!$C1189&lt;&gt;$M$1,对接源_02物料!$B1189=""),0,IF(OR(N(对接源_02物料!$B1189)&lt;$M$2,N(对接源_02物料!$B1189)&gt;$M$3),0,1))</f>
        <v>0</v>
      </c>
      <c r="N2389">
        <f>IF(OR($N$1="",对接源_02物料!$C1189="",对接源_02物料!$C1189&lt;&gt;$N$1,对接源_02物料!$B1189=""),0,IF(OR(N(对接源_02物料!$B1189)&lt;$N$2,N(对接源_02物料!$B1189)&gt;$N$3),0,1))</f>
        <v>0</v>
      </c>
      <c r="P2389">
        <f>IF(AND($K2389=1,AND(对接源_02物料!$X1189="公司筐",N(对接源_02物料!$T1189)&lt;&gt;0)),1,0)</f>
        <v>0</v>
      </c>
      <c r="Q2389">
        <f>N(Q2388)+$P2389</f>
        <v>14</v>
      </c>
      <c r="R2389">
        <f>IF(AND($K2389=1,AND(对接源_02物料!$X1189="公司筐",N(对接源_02物料!$U1189)&lt;&gt;0)),1,0)</f>
        <v>0</v>
      </c>
      <c r="S2389">
        <f>N(S2388)+$R2389</f>
        <v>1</v>
      </c>
      <c r="T2389">
        <f>IF(AND($K2389=1,AND(对接源_02物料!$X1189="公司筐",N(对接源_02物料!$V1189)&lt;&gt;0)),1,0)</f>
        <v>0</v>
      </c>
      <c r="U2389">
        <f>N(U2388)+$T2389</f>
        <v>47</v>
      </c>
      <c r="V2389">
        <f>IF(AND($L2389=1,AND(对接源_02物料!$X1189="自备筐",N(对接源_02物料!$V1189)&lt;&gt;0)),1,0)</f>
        <v>0</v>
      </c>
      <c r="W2389">
        <f>N(W2388)+$V2389</f>
        <v>11</v>
      </c>
      <c r="X2389">
        <f>IF(AND($L2389=1,AND(对接源_02物料!$X1189="自备筐",N(对接源_02物料!$T1189)&lt;&gt;0)),1,0)</f>
        <v>0</v>
      </c>
      <c r="Y2389">
        <f>N(Y2388)+$X2389</f>
        <v>0</v>
      </c>
      <c r="Z2389">
        <f>IF(AND($M2389=1,对接源_02物料!$D1189="原料入库"),1,0)</f>
        <v>0</v>
      </c>
      <c r="AA2389">
        <f>N(AA2388)+$Z2389</f>
        <v>24</v>
      </c>
      <c r="AB2389">
        <f>IF(AND($M2389=1,LEFT(对接源_02物料!$D1189,4)="原料出库"),1,0)</f>
        <v>0</v>
      </c>
      <c r="AC2389">
        <f>N(AC2388)+$AB2389</f>
        <v>0</v>
      </c>
      <c r="AD2389">
        <f>IF(AND($M2389=1,LEFT(对接源_02物料!$D1189,4)="成品出库"),1,0)</f>
        <v>0</v>
      </c>
      <c r="AE2389">
        <f>N(AE2388)+$AD2389</f>
        <v>0</v>
      </c>
      <c r="AF2389">
        <f>IF(AND($N2389=1,AND(LEFT(对接源_02物料!$D1189,4)="包装物料",N(对接源_02物料!$K1189)&lt;&gt;0)),1,0)</f>
        <v>0</v>
      </c>
      <c r="AG2389">
        <f>N(AG2388)+$AF2389</f>
        <v>10</v>
      </c>
      <c r="AH2389">
        <f>IF(AND($N2389=1,AND(对接源_02物料!$D1189="周转筐－销售出库",N(对接源_02物料!$K1189)&lt;&gt;0)),1,0)</f>
        <v>0</v>
      </c>
      <c r="AI2389">
        <f>N(AI2388)+$AH2389</f>
        <v>0</v>
      </c>
      <c r="AL2389" t="n">
        <v>0</v>
      </c>
      <c r="AM2389">
        <f>N(AM2388)+$AL2389</f>
        <v>2</v>
      </c>
      <c r="AN2389">
        <f>""</f>
      </c>
      <c r="AO2389" t="n">
        <v>0</v>
      </c>
      <c r="AP2389">
        <f>N(AP2388)+$AO2389</f>
        <v>13</v>
      </c>
      <c r="AR2389">
        <f>IF(OR($AF2389=1,$AH2389=1),1,0)</f>
        <v>0</v>
      </c>
      <c r="AS2389">
        <f>N(AS2388)+$AR2389</f>
        <v>10</v>
      </c>
    </row>
    <row r="2390" s="127">
      <c r="A2390">
        <f>IF(对接源_02物料!$C1190="","",对接源_02物料!$C1190)</f>
      </c>
      <c r="B2390">
        <f>IF(A2390="",0,IF(MATCH(A2390,$A$4:$A$2403,0)=ROW()-3,1,0))</f>
        <v>0</v>
      </c>
      <c r="C2390">
        <f>N(C2389)+B2390</f>
        <v>26</v>
      </c>
      <c r="K2390">
        <f>IF(OR($K$1="",对接源_02物料!$C1190="",对接源_02物料!$C1190&lt;&gt;$K$1,对接源_02物料!$B1190=""),0,IF(OR(N(对接源_02物料!$B1190)&lt;$K$2,N(对接源_02物料!$B1190)&gt;$K$3),0,1))</f>
        <v>0</v>
      </c>
      <c r="L2390">
        <f>IF(OR($L$1="",对接源_02物料!$C1190="",对接源_02物料!$C1190&lt;&gt;$L$1,对接源_02物料!$B1190=""),0,IF(OR(N(对接源_02物料!$B1190)&lt;$L$2,N(对接源_02物料!$B1190)&gt;$L$3),0,1))</f>
        <v>0</v>
      </c>
      <c r="M2390">
        <f>IF(OR($M$1="",对接源_02物料!$C1190="",对接源_02物料!$C1190&lt;&gt;$M$1,对接源_02物料!$B1190=""),0,IF(OR(N(对接源_02物料!$B1190)&lt;$M$2,N(对接源_02物料!$B1190)&gt;$M$3),0,1))</f>
        <v>0</v>
      </c>
      <c r="N2390">
        <f>IF(OR($N$1="",对接源_02物料!$C1190="",对接源_02物料!$C1190&lt;&gt;$N$1,对接源_02物料!$B1190=""),0,IF(OR(N(对接源_02物料!$B1190)&lt;$N$2,N(对接源_02物料!$B1190)&gt;$N$3),0,1))</f>
        <v>0</v>
      </c>
      <c r="P2390">
        <f>IF(AND($K2390=1,AND(对接源_02物料!$X1190="公司筐",N(对接源_02物料!$T1190)&lt;&gt;0)),1,0)</f>
        <v>0</v>
      </c>
      <c r="Q2390">
        <f>N(Q2389)+$P2390</f>
        <v>14</v>
      </c>
      <c r="R2390">
        <f>IF(AND($K2390=1,AND(对接源_02物料!$X1190="公司筐",N(对接源_02物料!$U1190)&lt;&gt;0)),1,0)</f>
        <v>0</v>
      </c>
      <c r="S2390">
        <f>N(S2389)+$R2390</f>
        <v>1</v>
      </c>
      <c r="T2390">
        <f>IF(AND($K2390=1,AND(对接源_02物料!$X1190="公司筐",N(对接源_02物料!$V1190)&lt;&gt;0)),1,0)</f>
        <v>0</v>
      </c>
      <c r="U2390">
        <f>N(U2389)+$T2390</f>
        <v>47</v>
      </c>
      <c r="V2390">
        <f>IF(AND($L2390=1,AND(对接源_02物料!$X1190="自备筐",N(对接源_02物料!$V1190)&lt;&gt;0)),1,0)</f>
        <v>0</v>
      </c>
      <c r="W2390">
        <f>N(W2389)+$V2390</f>
        <v>11</v>
      </c>
      <c r="X2390">
        <f>IF(AND($L2390=1,AND(对接源_02物料!$X1190="自备筐",N(对接源_02物料!$T1190)&lt;&gt;0)),1,0)</f>
        <v>0</v>
      </c>
      <c r="Y2390">
        <f>N(Y2389)+$X2390</f>
        <v>0</v>
      </c>
      <c r="Z2390">
        <f>IF(AND($M2390=1,对接源_02物料!$D1190="原料入库"),1,0)</f>
        <v>0</v>
      </c>
      <c r="AA2390">
        <f>N(AA2389)+$Z2390</f>
        <v>24</v>
      </c>
      <c r="AB2390">
        <f>IF(AND($M2390=1,LEFT(对接源_02物料!$D1190,4)="原料出库"),1,0)</f>
        <v>0</v>
      </c>
      <c r="AC2390">
        <f>N(AC2389)+$AB2390</f>
        <v>0</v>
      </c>
      <c r="AD2390">
        <f>IF(AND($M2390=1,LEFT(对接源_02物料!$D1190,4)="成品出库"),1,0)</f>
        <v>0</v>
      </c>
      <c r="AE2390">
        <f>N(AE2389)+$AD2390</f>
        <v>0</v>
      </c>
      <c r="AF2390">
        <f>IF(AND($N2390=1,AND(LEFT(对接源_02物料!$D1190,4)="包装物料",N(对接源_02物料!$K1190)&lt;&gt;0)),1,0)</f>
        <v>0</v>
      </c>
      <c r="AG2390">
        <f>N(AG2389)+$AF2390</f>
        <v>10</v>
      </c>
      <c r="AH2390">
        <f>IF(AND($N2390=1,AND(对接源_02物料!$D1190="周转筐－销售出库",N(对接源_02物料!$K1190)&lt;&gt;0)),1,0)</f>
        <v>0</v>
      </c>
      <c r="AI2390">
        <f>N(AI2389)+$AH2390</f>
        <v>0</v>
      </c>
      <c r="AL2390" t="n">
        <v>0</v>
      </c>
      <c r="AM2390">
        <f>N(AM2389)+$AL2390</f>
        <v>2</v>
      </c>
      <c r="AN2390">
        <f>""</f>
      </c>
      <c r="AO2390" t="n">
        <v>0</v>
      </c>
      <c r="AP2390">
        <f>N(AP2389)+$AO2390</f>
        <v>13</v>
      </c>
      <c r="AR2390">
        <f>IF(OR($AF2390=1,$AH2390=1),1,0)</f>
        <v>0</v>
      </c>
      <c r="AS2390">
        <f>N(AS2389)+$AR2390</f>
        <v>10</v>
      </c>
    </row>
    <row r="2391" s="127">
      <c r="A2391">
        <f>IF(对接源_02物料!$C1191="","",对接源_02物料!$C1191)</f>
      </c>
      <c r="B2391">
        <f>IF(A2391="",0,IF(MATCH(A2391,$A$4:$A$2403,0)=ROW()-3,1,0))</f>
        <v>0</v>
      </c>
      <c r="C2391">
        <f>N(C2390)+B2391</f>
        <v>26</v>
      </c>
      <c r="K2391">
        <f>IF(OR($K$1="",对接源_02物料!$C1191="",对接源_02物料!$C1191&lt;&gt;$K$1,对接源_02物料!$B1191=""),0,IF(OR(N(对接源_02物料!$B1191)&lt;$K$2,N(对接源_02物料!$B1191)&gt;$K$3),0,1))</f>
        <v>0</v>
      </c>
      <c r="L2391">
        <f>IF(OR($L$1="",对接源_02物料!$C1191="",对接源_02物料!$C1191&lt;&gt;$L$1,对接源_02物料!$B1191=""),0,IF(OR(N(对接源_02物料!$B1191)&lt;$L$2,N(对接源_02物料!$B1191)&gt;$L$3),0,1))</f>
        <v>0</v>
      </c>
      <c r="M2391">
        <f>IF(OR($M$1="",对接源_02物料!$C1191="",对接源_02物料!$C1191&lt;&gt;$M$1,对接源_02物料!$B1191=""),0,IF(OR(N(对接源_02物料!$B1191)&lt;$M$2,N(对接源_02物料!$B1191)&gt;$M$3),0,1))</f>
        <v>0</v>
      </c>
      <c r="N2391">
        <f>IF(OR($N$1="",对接源_02物料!$C1191="",对接源_02物料!$C1191&lt;&gt;$N$1,对接源_02物料!$B1191=""),0,IF(OR(N(对接源_02物料!$B1191)&lt;$N$2,N(对接源_02物料!$B1191)&gt;$N$3),0,1))</f>
        <v>0</v>
      </c>
      <c r="P2391">
        <f>IF(AND($K2391=1,AND(对接源_02物料!$X1191="公司筐",N(对接源_02物料!$T1191)&lt;&gt;0)),1,0)</f>
        <v>0</v>
      </c>
      <c r="Q2391">
        <f>N(Q2390)+$P2391</f>
        <v>14</v>
      </c>
      <c r="R2391">
        <f>IF(AND($K2391=1,AND(对接源_02物料!$X1191="公司筐",N(对接源_02物料!$U1191)&lt;&gt;0)),1,0)</f>
        <v>0</v>
      </c>
      <c r="S2391">
        <f>N(S2390)+$R2391</f>
        <v>1</v>
      </c>
      <c r="T2391">
        <f>IF(AND($K2391=1,AND(对接源_02物料!$X1191="公司筐",N(对接源_02物料!$V1191)&lt;&gt;0)),1,0)</f>
        <v>0</v>
      </c>
      <c r="U2391">
        <f>N(U2390)+$T2391</f>
        <v>47</v>
      </c>
      <c r="V2391">
        <f>IF(AND($L2391=1,AND(对接源_02物料!$X1191="自备筐",N(对接源_02物料!$V1191)&lt;&gt;0)),1,0)</f>
        <v>0</v>
      </c>
      <c r="W2391">
        <f>N(W2390)+$V2391</f>
        <v>11</v>
      </c>
      <c r="X2391">
        <f>IF(AND($L2391=1,AND(对接源_02物料!$X1191="自备筐",N(对接源_02物料!$T1191)&lt;&gt;0)),1,0)</f>
        <v>0</v>
      </c>
      <c r="Y2391">
        <f>N(Y2390)+$X2391</f>
        <v>0</v>
      </c>
      <c r="Z2391">
        <f>IF(AND($M2391=1,对接源_02物料!$D1191="原料入库"),1,0)</f>
        <v>0</v>
      </c>
      <c r="AA2391">
        <f>N(AA2390)+$Z2391</f>
        <v>24</v>
      </c>
      <c r="AB2391">
        <f>IF(AND($M2391=1,LEFT(对接源_02物料!$D1191,4)="原料出库"),1,0)</f>
        <v>0</v>
      </c>
      <c r="AC2391">
        <f>N(AC2390)+$AB2391</f>
        <v>0</v>
      </c>
      <c r="AD2391">
        <f>IF(AND($M2391=1,LEFT(对接源_02物料!$D1191,4)="成品出库"),1,0)</f>
        <v>0</v>
      </c>
      <c r="AE2391">
        <f>N(AE2390)+$AD2391</f>
        <v>0</v>
      </c>
      <c r="AF2391">
        <f>IF(AND($N2391=1,AND(LEFT(对接源_02物料!$D1191,4)="包装物料",N(对接源_02物料!$K1191)&lt;&gt;0)),1,0)</f>
        <v>0</v>
      </c>
      <c r="AG2391">
        <f>N(AG2390)+$AF2391</f>
        <v>10</v>
      </c>
      <c r="AH2391">
        <f>IF(AND($N2391=1,AND(对接源_02物料!$D1191="周转筐－销售出库",N(对接源_02物料!$K1191)&lt;&gt;0)),1,0)</f>
        <v>0</v>
      </c>
      <c r="AI2391">
        <f>N(AI2390)+$AH2391</f>
        <v>0</v>
      </c>
      <c r="AL2391" t="n">
        <v>0</v>
      </c>
      <c r="AM2391">
        <f>N(AM2390)+$AL2391</f>
        <v>2</v>
      </c>
      <c r="AN2391">
        <f>""</f>
      </c>
      <c r="AO2391" t="n">
        <v>0</v>
      </c>
      <c r="AP2391">
        <f>N(AP2390)+$AO2391</f>
        <v>13</v>
      </c>
      <c r="AR2391">
        <f>IF(OR($AF2391=1,$AH2391=1),1,0)</f>
        <v>0</v>
      </c>
      <c r="AS2391">
        <f>N(AS2390)+$AR2391</f>
        <v>10</v>
      </c>
    </row>
    <row r="2392" s="127">
      <c r="A2392">
        <f>IF(对接源_02物料!$C1192="","",对接源_02物料!$C1192)</f>
      </c>
      <c r="B2392">
        <f>IF(A2392="",0,IF(MATCH(A2392,$A$4:$A$2403,0)=ROW()-3,1,0))</f>
        <v>0</v>
      </c>
      <c r="C2392">
        <f>N(C2391)+B2392</f>
        <v>26</v>
      </c>
      <c r="K2392">
        <f>IF(OR($K$1="",对接源_02物料!$C1192="",对接源_02物料!$C1192&lt;&gt;$K$1,对接源_02物料!$B1192=""),0,IF(OR(N(对接源_02物料!$B1192)&lt;$K$2,N(对接源_02物料!$B1192)&gt;$K$3),0,1))</f>
        <v>0</v>
      </c>
      <c r="L2392">
        <f>IF(OR($L$1="",对接源_02物料!$C1192="",对接源_02物料!$C1192&lt;&gt;$L$1,对接源_02物料!$B1192=""),0,IF(OR(N(对接源_02物料!$B1192)&lt;$L$2,N(对接源_02物料!$B1192)&gt;$L$3),0,1))</f>
        <v>0</v>
      </c>
      <c r="M2392">
        <f>IF(OR($M$1="",对接源_02物料!$C1192="",对接源_02物料!$C1192&lt;&gt;$M$1,对接源_02物料!$B1192=""),0,IF(OR(N(对接源_02物料!$B1192)&lt;$M$2,N(对接源_02物料!$B1192)&gt;$M$3),0,1))</f>
        <v>0</v>
      </c>
      <c r="N2392">
        <f>IF(OR($N$1="",对接源_02物料!$C1192="",对接源_02物料!$C1192&lt;&gt;$N$1,对接源_02物料!$B1192=""),0,IF(OR(N(对接源_02物料!$B1192)&lt;$N$2,N(对接源_02物料!$B1192)&gt;$N$3),0,1))</f>
        <v>0</v>
      </c>
      <c r="P2392">
        <f>IF(AND($K2392=1,AND(对接源_02物料!$X1192="公司筐",N(对接源_02物料!$T1192)&lt;&gt;0)),1,0)</f>
        <v>0</v>
      </c>
      <c r="Q2392">
        <f>N(Q2391)+$P2392</f>
        <v>14</v>
      </c>
      <c r="R2392">
        <f>IF(AND($K2392=1,AND(对接源_02物料!$X1192="公司筐",N(对接源_02物料!$U1192)&lt;&gt;0)),1,0)</f>
        <v>0</v>
      </c>
      <c r="S2392">
        <f>N(S2391)+$R2392</f>
        <v>1</v>
      </c>
      <c r="T2392">
        <f>IF(AND($K2392=1,AND(对接源_02物料!$X1192="公司筐",N(对接源_02物料!$V1192)&lt;&gt;0)),1,0)</f>
        <v>0</v>
      </c>
      <c r="U2392">
        <f>N(U2391)+$T2392</f>
        <v>47</v>
      </c>
      <c r="V2392">
        <f>IF(AND($L2392=1,AND(对接源_02物料!$X1192="自备筐",N(对接源_02物料!$V1192)&lt;&gt;0)),1,0)</f>
        <v>0</v>
      </c>
      <c r="W2392">
        <f>N(W2391)+$V2392</f>
        <v>11</v>
      </c>
      <c r="X2392">
        <f>IF(AND($L2392=1,AND(对接源_02物料!$X1192="自备筐",N(对接源_02物料!$T1192)&lt;&gt;0)),1,0)</f>
        <v>0</v>
      </c>
      <c r="Y2392">
        <f>N(Y2391)+$X2392</f>
        <v>0</v>
      </c>
      <c r="Z2392">
        <f>IF(AND($M2392=1,对接源_02物料!$D1192="原料入库"),1,0)</f>
        <v>0</v>
      </c>
      <c r="AA2392">
        <f>N(AA2391)+$Z2392</f>
        <v>24</v>
      </c>
      <c r="AB2392">
        <f>IF(AND($M2392=1,LEFT(对接源_02物料!$D1192,4)="原料出库"),1,0)</f>
        <v>0</v>
      </c>
      <c r="AC2392">
        <f>N(AC2391)+$AB2392</f>
        <v>0</v>
      </c>
      <c r="AD2392">
        <f>IF(AND($M2392=1,LEFT(对接源_02物料!$D1192,4)="成品出库"),1,0)</f>
        <v>0</v>
      </c>
      <c r="AE2392">
        <f>N(AE2391)+$AD2392</f>
        <v>0</v>
      </c>
      <c r="AF2392">
        <f>IF(AND($N2392=1,AND(LEFT(对接源_02物料!$D1192,4)="包装物料",N(对接源_02物料!$K1192)&lt;&gt;0)),1,0)</f>
        <v>0</v>
      </c>
      <c r="AG2392">
        <f>N(AG2391)+$AF2392</f>
        <v>10</v>
      </c>
      <c r="AH2392">
        <f>IF(AND($N2392=1,AND(对接源_02物料!$D1192="周转筐－销售出库",N(对接源_02物料!$K1192)&lt;&gt;0)),1,0)</f>
        <v>0</v>
      </c>
      <c r="AI2392">
        <f>N(AI2391)+$AH2392</f>
        <v>0</v>
      </c>
      <c r="AL2392" t="n">
        <v>0</v>
      </c>
      <c r="AM2392">
        <f>N(AM2391)+$AL2392</f>
        <v>2</v>
      </c>
      <c r="AN2392">
        <f>""</f>
      </c>
      <c r="AO2392" t="n">
        <v>0</v>
      </c>
      <c r="AP2392">
        <f>N(AP2391)+$AO2392</f>
        <v>13</v>
      </c>
      <c r="AR2392">
        <f>IF(OR($AF2392=1,$AH2392=1),1,0)</f>
        <v>0</v>
      </c>
      <c r="AS2392">
        <f>N(AS2391)+$AR2392</f>
        <v>10</v>
      </c>
    </row>
    <row r="2393" s="127">
      <c r="A2393">
        <f>IF(对接源_02物料!$C1193="","",对接源_02物料!$C1193)</f>
      </c>
      <c r="B2393">
        <f>IF(A2393="",0,IF(MATCH(A2393,$A$4:$A$2403,0)=ROW()-3,1,0))</f>
        <v>0</v>
      </c>
      <c r="C2393">
        <f>N(C2392)+B2393</f>
        <v>26</v>
      </c>
      <c r="K2393">
        <f>IF(OR($K$1="",对接源_02物料!$C1193="",对接源_02物料!$C1193&lt;&gt;$K$1,对接源_02物料!$B1193=""),0,IF(OR(N(对接源_02物料!$B1193)&lt;$K$2,N(对接源_02物料!$B1193)&gt;$K$3),0,1))</f>
        <v>0</v>
      </c>
      <c r="L2393">
        <f>IF(OR($L$1="",对接源_02物料!$C1193="",对接源_02物料!$C1193&lt;&gt;$L$1,对接源_02物料!$B1193=""),0,IF(OR(N(对接源_02物料!$B1193)&lt;$L$2,N(对接源_02物料!$B1193)&gt;$L$3),0,1))</f>
        <v>0</v>
      </c>
      <c r="M2393">
        <f>IF(OR($M$1="",对接源_02物料!$C1193="",对接源_02物料!$C1193&lt;&gt;$M$1,对接源_02物料!$B1193=""),0,IF(OR(N(对接源_02物料!$B1193)&lt;$M$2,N(对接源_02物料!$B1193)&gt;$M$3),0,1))</f>
        <v>0</v>
      </c>
      <c r="N2393">
        <f>IF(OR($N$1="",对接源_02物料!$C1193="",对接源_02物料!$C1193&lt;&gt;$N$1,对接源_02物料!$B1193=""),0,IF(OR(N(对接源_02物料!$B1193)&lt;$N$2,N(对接源_02物料!$B1193)&gt;$N$3),0,1))</f>
        <v>0</v>
      </c>
      <c r="P2393">
        <f>IF(AND($K2393=1,AND(对接源_02物料!$X1193="公司筐",N(对接源_02物料!$T1193)&lt;&gt;0)),1,0)</f>
        <v>0</v>
      </c>
      <c r="Q2393">
        <f>N(Q2392)+$P2393</f>
        <v>14</v>
      </c>
      <c r="R2393">
        <f>IF(AND($K2393=1,AND(对接源_02物料!$X1193="公司筐",N(对接源_02物料!$U1193)&lt;&gt;0)),1,0)</f>
        <v>0</v>
      </c>
      <c r="S2393">
        <f>N(S2392)+$R2393</f>
        <v>1</v>
      </c>
      <c r="T2393">
        <f>IF(AND($K2393=1,AND(对接源_02物料!$X1193="公司筐",N(对接源_02物料!$V1193)&lt;&gt;0)),1,0)</f>
        <v>0</v>
      </c>
      <c r="U2393">
        <f>N(U2392)+$T2393</f>
        <v>47</v>
      </c>
      <c r="V2393">
        <f>IF(AND($L2393=1,AND(对接源_02物料!$X1193="自备筐",N(对接源_02物料!$V1193)&lt;&gt;0)),1,0)</f>
        <v>0</v>
      </c>
      <c r="W2393">
        <f>N(W2392)+$V2393</f>
        <v>11</v>
      </c>
      <c r="X2393">
        <f>IF(AND($L2393=1,AND(对接源_02物料!$X1193="自备筐",N(对接源_02物料!$T1193)&lt;&gt;0)),1,0)</f>
        <v>0</v>
      </c>
      <c r="Y2393">
        <f>N(Y2392)+$X2393</f>
        <v>0</v>
      </c>
      <c r="Z2393">
        <f>IF(AND($M2393=1,对接源_02物料!$D1193="原料入库"),1,0)</f>
        <v>0</v>
      </c>
      <c r="AA2393">
        <f>N(AA2392)+$Z2393</f>
        <v>24</v>
      </c>
      <c r="AB2393">
        <f>IF(AND($M2393=1,LEFT(对接源_02物料!$D1193,4)="原料出库"),1,0)</f>
        <v>0</v>
      </c>
      <c r="AC2393">
        <f>N(AC2392)+$AB2393</f>
        <v>0</v>
      </c>
      <c r="AD2393">
        <f>IF(AND($M2393=1,LEFT(对接源_02物料!$D1193,4)="成品出库"),1,0)</f>
        <v>0</v>
      </c>
      <c r="AE2393">
        <f>N(AE2392)+$AD2393</f>
        <v>0</v>
      </c>
      <c r="AF2393">
        <f>IF(AND($N2393=1,AND(LEFT(对接源_02物料!$D1193,4)="包装物料",N(对接源_02物料!$K1193)&lt;&gt;0)),1,0)</f>
        <v>0</v>
      </c>
      <c r="AG2393">
        <f>N(AG2392)+$AF2393</f>
        <v>10</v>
      </c>
      <c r="AH2393">
        <f>IF(AND($N2393=1,AND(对接源_02物料!$D1193="周转筐－销售出库",N(对接源_02物料!$K1193)&lt;&gt;0)),1,0)</f>
        <v>0</v>
      </c>
      <c r="AI2393">
        <f>N(AI2392)+$AH2393</f>
        <v>0</v>
      </c>
      <c r="AL2393" t="n">
        <v>0</v>
      </c>
      <c r="AM2393">
        <f>N(AM2392)+$AL2393</f>
        <v>2</v>
      </c>
      <c r="AN2393">
        <f>""</f>
      </c>
      <c r="AO2393" t="n">
        <v>0</v>
      </c>
      <c r="AP2393">
        <f>N(AP2392)+$AO2393</f>
        <v>13</v>
      </c>
      <c r="AR2393">
        <f>IF(OR($AF2393=1,$AH2393=1),1,0)</f>
        <v>0</v>
      </c>
      <c r="AS2393">
        <f>N(AS2392)+$AR2393</f>
        <v>10</v>
      </c>
    </row>
    <row r="2394" s="127">
      <c r="A2394">
        <f>IF(对接源_02物料!$C1194="","",对接源_02物料!$C1194)</f>
      </c>
      <c r="B2394">
        <f>IF(A2394="",0,IF(MATCH(A2394,$A$4:$A$2403,0)=ROW()-3,1,0))</f>
        <v>0</v>
      </c>
      <c r="C2394">
        <f>N(C2393)+B2394</f>
        <v>26</v>
      </c>
      <c r="K2394">
        <f>IF(OR($K$1="",对接源_02物料!$C1194="",对接源_02物料!$C1194&lt;&gt;$K$1,对接源_02物料!$B1194=""),0,IF(OR(N(对接源_02物料!$B1194)&lt;$K$2,N(对接源_02物料!$B1194)&gt;$K$3),0,1))</f>
        <v>0</v>
      </c>
      <c r="L2394">
        <f>IF(OR($L$1="",对接源_02物料!$C1194="",对接源_02物料!$C1194&lt;&gt;$L$1,对接源_02物料!$B1194=""),0,IF(OR(N(对接源_02物料!$B1194)&lt;$L$2,N(对接源_02物料!$B1194)&gt;$L$3),0,1))</f>
        <v>0</v>
      </c>
      <c r="M2394">
        <f>IF(OR($M$1="",对接源_02物料!$C1194="",对接源_02物料!$C1194&lt;&gt;$M$1,对接源_02物料!$B1194=""),0,IF(OR(N(对接源_02物料!$B1194)&lt;$M$2,N(对接源_02物料!$B1194)&gt;$M$3),0,1))</f>
        <v>0</v>
      </c>
      <c r="N2394">
        <f>IF(OR($N$1="",对接源_02物料!$C1194="",对接源_02物料!$C1194&lt;&gt;$N$1,对接源_02物料!$B1194=""),0,IF(OR(N(对接源_02物料!$B1194)&lt;$N$2,N(对接源_02物料!$B1194)&gt;$N$3),0,1))</f>
        <v>0</v>
      </c>
      <c r="P2394">
        <f>IF(AND($K2394=1,AND(对接源_02物料!$X1194="公司筐",N(对接源_02物料!$T1194)&lt;&gt;0)),1,0)</f>
        <v>0</v>
      </c>
      <c r="Q2394">
        <f>N(Q2393)+$P2394</f>
        <v>14</v>
      </c>
      <c r="R2394">
        <f>IF(AND($K2394=1,AND(对接源_02物料!$X1194="公司筐",N(对接源_02物料!$U1194)&lt;&gt;0)),1,0)</f>
        <v>0</v>
      </c>
      <c r="S2394">
        <f>N(S2393)+$R2394</f>
        <v>1</v>
      </c>
      <c r="T2394">
        <f>IF(AND($K2394=1,AND(对接源_02物料!$X1194="公司筐",N(对接源_02物料!$V1194)&lt;&gt;0)),1,0)</f>
        <v>0</v>
      </c>
      <c r="U2394">
        <f>N(U2393)+$T2394</f>
        <v>47</v>
      </c>
      <c r="V2394">
        <f>IF(AND($L2394=1,AND(对接源_02物料!$X1194="自备筐",N(对接源_02物料!$V1194)&lt;&gt;0)),1,0)</f>
        <v>0</v>
      </c>
      <c r="W2394">
        <f>N(W2393)+$V2394</f>
        <v>11</v>
      </c>
      <c r="X2394">
        <f>IF(AND($L2394=1,AND(对接源_02物料!$X1194="自备筐",N(对接源_02物料!$T1194)&lt;&gt;0)),1,0)</f>
        <v>0</v>
      </c>
      <c r="Y2394">
        <f>N(Y2393)+$X2394</f>
        <v>0</v>
      </c>
      <c r="Z2394">
        <f>IF(AND($M2394=1,对接源_02物料!$D1194="原料入库"),1,0)</f>
        <v>0</v>
      </c>
      <c r="AA2394">
        <f>N(AA2393)+$Z2394</f>
        <v>24</v>
      </c>
      <c r="AB2394">
        <f>IF(AND($M2394=1,LEFT(对接源_02物料!$D1194,4)="原料出库"),1,0)</f>
        <v>0</v>
      </c>
      <c r="AC2394">
        <f>N(AC2393)+$AB2394</f>
        <v>0</v>
      </c>
      <c r="AD2394">
        <f>IF(AND($M2394=1,LEFT(对接源_02物料!$D1194,4)="成品出库"),1,0)</f>
        <v>0</v>
      </c>
      <c r="AE2394">
        <f>N(AE2393)+$AD2394</f>
        <v>0</v>
      </c>
      <c r="AF2394">
        <f>IF(AND($N2394=1,AND(LEFT(对接源_02物料!$D1194,4)="包装物料",N(对接源_02物料!$K1194)&lt;&gt;0)),1,0)</f>
        <v>0</v>
      </c>
      <c r="AG2394">
        <f>N(AG2393)+$AF2394</f>
        <v>10</v>
      </c>
      <c r="AH2394">
        <f>IF(AND($N2394=1,AND(对接源_02物料!$D1194="周转筐－销售出库",N(对接源_02物料!$K1194)&lt;&gt;0)),1,0)</f>
        <v>0</v>
      </c>
      <c r="AI2394">
        <f>N(AI2393)+$AH2394</f>
        <v>0</v>
      </c>
      <c r="AL2394" t="n">
        <v>0</v>
      </c>
      <c r="AM2394">
        <f>N(AM2393)+$AL2394</f>
        <v>2</v>
      </c>
      <c r="AN2394">
        <f>""</f>
      </c>
      <c r="AO2394" t="n">
        <v>0</v>
      </c>
      <c r="AP2394">
        <f>N(AP2393)+$AO2394</f>
        <v>13</v>
      </c>
      <c r="AR2394">
        <f>IF(OR($AF2394=1,$AH2394=1),1,0)</f>
        <v>0</v>
      </c>
      <c r="AS2394">
        <f>N(AS2393)+$AR2394</f>
        <v>10</v>
      </c>
    </row>
    <row r="2395" s="127">
      <c r="A2395">
        <f>IF(对接源_02物料!$C1195="","",对接源_02物料!$C1195)</f>
      </c>
      <c r="B2395">
        <f>IF(A2395="",0,IF(MATCH(A2395,$A$4:$A$2403,0)=ROW()-3,1,0))</f>
        <v>0</v>
      </c>
      <c r="C2395">
        <f>N(C2394)+B2395</f>
        <v>26</v>
      </c>
      <c r="K2395">
        <f>IF(OR($K$1="",对接源_02物料!$C1195="",对接源_02物料!$C1195&lt;&gt;$K$1,对接源_02物料!$B1195=""),0,IF(OR(N(对接源_02物料!$B1195)&lt;$K$2,N(对接源_02物料!$B1195)&gt;$K$3),0,1))</f>
        <v>0</v>
      </c>
      <c r="L2395">
        <f>IF(OR($L$1="",对接源_02物料!$C1195="",对接源_02物料!$C1195&lt;&gt;$L$1,对接源_02物料!$B1195=""),0,IF(OR(N(对接源_02物料!$B1195)&lt;$L$2,N(对接源_02物料!$B1195)&gt;$L$3),0,1))</f>
        <v>0</v>
      </c>
      <c r="M2395">
        <f>IF(OR($M$1="",对接源_02物料!$C1195="",对接源_02物料!$C1195&lt;&gt;$M$1,对接源_02物料!$B1195=""),0,IF(OR(N(对接源_02物料!$B1195)&lt;$M$2,N(对接源_02物料!$B1195)&gt;$M$3),0,1))</f>
        <v>0</v>
      </c>
      <c r="N2395">
        <f>IF(OR($N$1="",对接源_02物料!$C1195="",对接源_02物料!$C1195&lt;&gt;$N$1,对接源_02物料!$B1195=""),0,IF(OR(N(对接源_02物料!$B1195)&lt;$N$2,N(对接源_02物料!$B1195)&gt;$N$3),0,1))</f>
        <v>0</v>
      </c>
      <c r="P2395">
        <f>IF(AND($K2395=1,AND(对接源_02物料!$X1195="公司筐",N(对接源_02物料!$T1195)&lt;&gt;0)),1,0)</f>
        <v>0</v>
      </c>
      <c r="Q2395">
        <f>N(Q2394)+$P2395</f>
        <v>14</v>
      </c>
      <c r="R2395">
        <f>IF(AND($K2395=1,AND(对接源_02物料!$X1195="公司筐",N(对接源_02物料!$U1195)&lt;&gt;0)),1,0)</f>
        <v>0</v>
      </c>
      <c r="S2395">
        <f>N(S2394)+$R2395</f>
        <v>1</v>
      </c>
      <c r="T2395">
        <f>IF(AND($K2395=1,AND(对接源_02物料!$X1195="公司筐",N(对接源_02物料!$V1195)&lt;&gt;0)),1,0)</f>
        <v>0</v>
      </c>
      <c r="U2395">
        <f>N(U2394)+$T2395</f>
        <v>47</v>
      </c>
      <c r="V2395">
        <f>IF(AND($L2395=1,AND(对接源_02物料!$X1195="自备筐",N(对接源_02物料!$V1195)&lt;&gt;0)),1,0)</f>
        <v>0</v>
      </c>
      <c r="W2395">
        <f>N(W2394)+$V2395</f>
        <v>11</v>
      </c>
      <c r="X2395">
        <f>IF(AND($L2395=1,AND(对接源_02物料!$X1195="自备筐",N(对接源_02物料!$T1195)&lt;&gt;0)),1,0)</f>
        <v>0</v>
      </c>
      <c r="Y2395">
        <f>N(Y2394)+$X2395</f>
        <v>0</v>
      </c>
      <c r="Z2395">
        <f>IF(AND($M2395=1,对接源_02物料!$D1195="原料入库"),1,0)</f>
        <v>0</v>
      </c>
      <c r="AA2395">
        <f>N(AA2394)+$Z2395</f>
        <v>24</v>
      </c>
      <c r="AB2395">
        <f>IF(AND($M2395=1,LEFT(对接源_02物料!$D1195,4)="原料出库"),1,0)</f>
        <v>0</v>
      </c>
      <c r="AC2395">
        <f>N(AC2394)+$AB2395</f>
        <v>0</v>
      </c>
      <c r="AD2395">
        <f>IF(AND($M2395=1,LEFT(对接源_02物料!$D1195,4)="成品出库"),1,0)</f>
        <v>0</v>
      </c>
      <c r="AE2395">
        <f>N(AE2394)+$AD2395</f>
        <v>0</v>
      </c>
      <c r="AF2395">
        <f>IF(AND($N2395=1,AND(LEFT(对接源_02物料!$D1195,4)="包装物料",N(对接源_02物料!$K1195)&lt;&gt;0)),1,0)</f>
        <v>0</v>
      </c>
      <c r="AG2395">
        <f>N(AG2394)+$AF2395</f>
        <v>10</v>
      </c>
      <c r="AH2395">
        <f>IF(AND($N2395=1,AND(对接源_02物料!$D1195="周转筐－销售出库",N(对接源_02物料!$K1195)&lt;&gt;0)),1,0)</f>
        <v>0</v>
      </c>
      <c r="AI2395">
        <f>N(AI2394)+$AH2395</f>
        <v>0</v>
      </c>
      <c r="AL2395" t="n">
        <v>0</v>
      </c>
      <c r="AM2395">
        <f>N(AM2394)+$AL2395</f>
        <v>2</v>
      </c>
      <c r="AN2395">
        <f>""</f>
      </c>
      <c r="AO2395" t="n">
        <v>0</v>
      </c>
      <c r="AP2395">
        <f>N(AP2394)+$AO2395</f>
        <v>13</v>
      </c>
      <c r="AR2395">
        <f>IF(OR($AF2395=1,$AH2395=1),1,0)</f>
        <v>0</v>
      </c>
      <c r="AS2395">
        <f>N(AS2394)+$AR2395</f>
        <v>10</v>
      </c>
    </row>
    <row r="2396" s="127">
      <c r="A2396">
        <f>IF(对接源_02物料!$C1196="","",对接源_02物料!$C1196)</f>
      </c>
      <c r="B2396">
        <f>IF(A2396="",0,IF(MATCH(A2396,$A$4:$A$2403,0)=ROW()-3,1,0))</f>
        <v>0</v>
      </c>
      <c r="C2396">
        <f>N(C2395)+B2396</f>
        <v>26</v>
      </c>
      <c r="K2396">
        <f>IF(OR($K$1="",对接源_02物料!$C1196="",对接源_02物料!$C1196&lt;&gt;$K$1,对接源_02物料!$B1196=""),0,IF(OR(N(对接源_02物料!$B1196)&lt;$K$2,N(对接源_02物料!$B1196)&gt;$K$3),0,1))</f>
        <v>0</v>
      </c>
      <c r="L2396">
        <f>IF(OR($L$1="",对接源_02物料!$C1196="",对接源_02物料!$C1196&lt;&gt;$L$1,对接源_02物料!$B1196=""),0,IF(OR(N(对接源_02物料!$B1196)&lt;$L$2,N(对接源_02物料!$B1196)&gt;$L$3),0,1))</f>
        <v>0</v>
      </c>
      <c r="M2396">
        <f>IF(OR($M$1="",对接源_02物料!$C1196="",对接源_02物料!$C1196&lt;&gt;$M$1,对接源_02物料!$B1196=""),0,IF(OR(N(对接源_02物料!$B1196)&lt;$M$2,N(对接源_02物料!$B1196)&gt;$M$3),0,1))</f>
        <v>0</v>
      </c>
      <c r="N2396">
        <f>IF(OR($N$1="",对接源_02物料!$C1196="",对接源_02物料!$C1196&lt;&gt;$N$1,对接源_02物料!$B1196=""),0,IF(OR(N(对接源_02物料!$B1196)&lt;$N$2,N(对接源_02物料!$B1196)&gt;$N$3),0,1))</f>
        <v>0</v>
      </c>
      <c r="P2396">
        <f>IF(AND($K2396=1,AND(对接源_02物料!$X1196="公司筐",N(对接源_02物料!$T1196)&lt;&gt;0)),1,0)</f>
        <v>0</v>
      </c>
      <c r="Q2396">
        <f>N(Q2395)+$P2396</f>
        <v>14</v>
      </c>
      <c r="R2396">
        <f>IF(AND($K2396=1,AND(对接源_02物料!$X1196="公司筐",N(对接源_02物料!$U1196)&lt;&gt;0)),1,0)</f>
        <v>0</v>
      </c>
      <c r="S2396">
        <f>N(S2395)+$R2396</f>
        <v>1</v>
      </c>
      <c r="T2396">
        <f>IF(AND($K2396=1,AND(对接源_02物料!$X1196="公司筐",N(对接源_02物料!$V1196)&lt;&gt;0)),1,0)</f>
        <v>0</v>
      </c>
      <c r="U2396">
        <f>N(U2395)+$T2396</f>
        <v>47</v>
      </c>
      <c r="V2396">
        <f>IF(AND($L2396=1,AND(对接源_02物料!$X1196="自备筐",N(对接源_02物料!$V1196)&lt;&gt;0)),1,0)</f>
        <v>0</v>
      </c>
      <c r="W2396">
        <f>N(W2395)+$V2396</f>
        <v>11</v>
      </c>
      <c r="X2396">
        <f>IF(AND($L2396=1,AND(对接源_02物料!$X1196="自备筐",N(对接源_02物料!$T1196)&lt;&gt;0)),1,0)</f>
        <v>0</v>
      </c>
      <c r="Y2396">
        <f>N(Y2395)+$X2396</f>
        <v>0</v>
      </c>
      <c r="Z2396">
        <f>IF(AND($M2396=1,对接源_02物料!$D1196="原料入库"),1,0)</f>
        <v>0</v>
      </c>
      <c r="AA2396">
        <f>N(AA2395)+$Z2396</f>
        <v>24</v>
      </c>
      <c r="AB2396">
        <f>IF(AND($M2396=1,LEFT(对接源_02物料!$D1196,4)="原料出库"),1,0)</f>
        <v>0</v>
      </c>
      <c r="AC2396">
        <f>N(AC2395)+$AB2396</f>
        <v>0</v>
      </c>
      <c r="AD2396">
        <f>IF(AND($M2396=1,LEFT(对接源_02物料!$D1196,4)="成品出库"),1,0)</f>
        <v>0</v>
      </c>
      <c r="AE2396">
        <f>N(AE2395)+$AD2396</f>
        <v>0</v>
      </c>
      <c r="AF2396">
        <f>IF(AND($N2396=1,AND(LEFT(对接源_02物料!$D1196,4)="包装物料",N(对接源_02物料!$K1196)&lt;&gt;0)),1,0)</f>
        <v>0</v>
      </c>
      <c r="AG2396">
        <f>N(AG2395)+$AF2396</f>
        <v>10</v>
      </c>
      <c r="AH2396">
        <f>IF(AND($N2396=1,AND(对接源_02物料!$D1196="周转筐－销售出库",N(对接源_02物料!$K1196)&lt;&gt;0)),1,0)</f>
        <v>0</v>
      </c>
      <c r="AI2396">
        <f>N(AI2395)+$AH2396</f>
        <v>0</v>
      </c>
      <c r="AL2396" t="n">
        <v>0</v>
      </c>
      <c r="AM2396">
        <f>N(AM2395)+$AL2396</f>
        <v>2</v>
      </c>
      <c r="AN2396">
        <f>""</f>
      </c>
      <c r="AO2396" t="n">
        <v>0</v>
      </c>
      <c r="AP2396">
        <f>N(AP2395)+$AO2396</f>
        <v>13</v>
      </c>
      <c r="AR2396">
        <f>IF(OR($AF2396=1,$AH2396=1),1,0)</f>
        <v>0</v>
      </c>
      <c r="AS2396">
        <f>N(AS2395)+$AR2396</f>
        <v>10</v>
      </c>
    </row>
    <row r="2397" s="127">
      <c r="A2397">
        <f>IF(对接源_02物料!$C1197="","",对接源_02物料!$C1197)</f>
      </c>
      <c r="B2397">
        <f>IF(A2397="",0,IF(MATCH(A2397,$A$4:$A$2403,0)=ROW()-3,1,0))</f>
        <v>0</v>
      </c>
      <c r="C2397">
        <f>N(C2396)+B2397</f>
        <v>26</v>
      </c>
      <c r="K2397">
        <f>IF(OR($K$1="",对接源_02物料!$C1197="",对接源_02物料!$C1197&lt;&gt;$K$1,对接源_02物料!$B1197=""),0,IF(OR(N(对接源_02物料!$B1197)&lt;$K$2,N(对接源_02物料!$B1197)&gt;$K$3),0,1))</f>
        <v>0</v>
      </c>
      <c r="L2397">
        <f>IF(OR($L$1="",对接源_02物料!$C1197="",对接源_02物料!$C1197&lt;&gt;$L$1,对接源_02物料!$B1197=""),0,IF(OR(N(对接源_02物料!$B1197)&lt;$L$2,N(对接源_02物料!$B1197)&gt;$L$3),0,1))</f>
        <v>0</v>
      </c>
      <c r="M2397">
        <f>IF(OR($M$1="",对接源_02物料!$C1197="",对接源_02物料!$C1197&lt;&gt;$M$1,对接源_02物料!$B1197=""),0,IF(OR(N(对接源_02物料!$B1197)&lt;$M$2,N(对接源_02物料!$B1197)&gt;$M$3),0,1))</f>
        <v>0</v>
      </c>
      <c r="N2397">
        <f>IF(OR($N$1="",对接源_02物料!$C1197="",对接源_02物料!$C1197&lt;&gt;$N$1,对接源_02物料!$B1197=""),0,IF(OR(N(对接源_02物料!$B1197)&lt;$N$2,N(对接源_02物料!$B1197)&gt;$N$3),0,1))</f>
        <v>0</v>
      </c>
      <c r="P2397">
        <f>IF(AND($K2397=1,AND(对接源_02物料!$X1197="公司筐",N(对接源_02物料!$T1197)&lt;&gt;0)),1,0)</f>
        <v>0</v>
      </c>
      <c r="Q2397">
        <f>N(Q2396)+$P2397</f>
        <v>14</v>
      </c>
      <c r="R2397">
        <f>IF(AND($K2397=1,AND(对接源_02物料!$X1197="公司筐",N(对接源_02物料!$U1197)&lt;&gt;0)),1,0)</f>
        <v>0</v>
      </c>
      <c r="S2397">
        <f>N(S2396)+$R2397</f>
        <v>1</v>
      </c>
      <c r="T2397">
        <f>IF(AND($K2397=1,AND(对接源_02物料!$X1197="公司筐",N(对接源_02物料!$V1197)&lt;&gt;0)),1,0)</f>
        <v>0</v>
      </c>
      <c r="U2397">
        <f>N(U2396)+$T2397</f>
        <v>47</v>
      </c>
      <c r="V2397">
        <f>IF(AND($L2397=1,AND(对接源_02物料!$X1197="自备筐",N(对接源_02物料!$V1197)&lt;&gt;0)),1,0)</f>
        <v>0</v>
      </c>
      <c r="W2397">
        <f>N(W2396)+$V2397</f>
        <v>11</v>
      </c>
      <c r="X2397">
        <f>IF(AND($L2397=1,AND(对接源_02物料!$X1197="自备筐",N(对接源_02物料!$T1197)&lt;&gt;0)),1,0)</f>
        <v>0</v>
      </c>
      <c r="Y2397">
        <f>N(Y2396)+$X2397</f>
        <v>0</v>
      </c>
      <c r="Z2397">
        <f>IF(AND($M2397=1,对接源_02物料!$D1197="原料入库"),1,0)</f>
        <v>0</v>
      </c>
      <c r="AA2397">
        <f>N(AA2396)+$Z2397</f>
        <v>24</v>
      </c>
      <c r="AB2397">
        <f>IF(AND($M2397=1,LEFT(对接源_02物料!$D1197,4)="原料出库"),1,0)</f>
        <v>0</v>
      </c>
      <c r="AC2397">
        <f>N(AC2396)+$AB2397</f>
        <v>0</v>
      </c>
      <c r="AD2397">
        <f>IF(AND($M2397=1,LEFT(对接源_02物料!$D1197,4)="成品出库"),1,0)</f>
        <v>0</v>
      </c>
      <c r="AE2397">
        <f>N(AE2396)+$AD2397</f>
        <v>0</v>
      </c>
      <c r="AF2397">
        <f>IF(AND($N2397=1,AND(LEFT(对接源_02物料!$D1197,4)="包装物料",N(对接源_02物料!$K1197)&lt;&gt;0)),1,0)</f>
        <v>0</v>
      </c>
      <c r="AG2397">
        <f>N(AG2396)+$AF2397</f>
        <v>10</v>
      </c>
      <c r="AH2397">
        <f>IF(AND($N2397=1,AND(对接源_02物料!$D1197="周转筐－销售出库",N(对接源_02物料!$K1197)&lt;&gt;0)),1,0)</f>
        <v>0</v>
      </c>
      <c r="AI2397">
        <f>N(AI2396)+$AH2397</f>
        <v>0</v>
      </c>
      <c r="AL2397" t="n">
        <v>0</v>
      </c>
      <c r="AM2397">
        <f>N(AM2396)+$AL2397</f>
        <v>2</v>
      </c>
      <c r="AN2397">
        <f>""</f>
      </c>
      <c r="AO2397" t="n">
        <v>0</v>
      </c>
      <c r="AP2397">
        <f>N(AP2396)+$AO2397</f>
        <v>13</v>
      </c>
      <c r="AR2397">
        <f>IF(OR($AF2397=1,$AH2397=1),1,0)</f>
        <v>0</v>
      </c>
      <c r="AS2397">
        <f>N(AS2396)+$AR2397</f>
        <v>10</v>
      </c>
    </row>
    <row r="2398" s="127">
      <c r="A2398">
        <f>IF(对接源_02物料!$C1198="","",对接源_02物料!$C1198)</f>
      </c>
      <c r="B2398">
        <f>IF(A2398="",0,IF(MATCH(A2398,$A$4:$A$2403,0)=ROW()-3,1,0))</f>
        <v>0</v>
      </c>
      <c r="C2398">
        <f>N(C2397)+B2398</f>
        <v>26</v>
      </c>
      <c r="K2398">
        <f>IF(OR($K$1="",对接源_02物料!$C1198="",对接源_02物料!$C1198&lt;&gt;$K$1,对接源_02物料!$B1198=""),0,IF(OR(N(对接源_02物料!$B1198)&lt;$K$2,N(对接源_02物料!$B1198)&gt;$K$3),0,1))</f>
        <v>0</v>
      </c>
      <c r="L2398">
        <f>IF(OR($L$1="",对接源_02物料!$C1198="",对接源_02物料!$C1198&lt;&gt;$L$1,对接源_02物料!$B1198=""),0,IF(OR(N(对接源_02物料!$B1198)&lt;$L$2,N(对接源_02物料!$B1198)&gt;$L$3),0,1))</f>
        <v>0</v>
      </c>
      <c r="M2398">
        <f>IF(OR($M$1="",对接源_02物料!$C1198="",对接源_02物料!$C1198&lt;&gt;$M$1,对接源_02物料!$B1198=""),0,IF(OR(N(对接源_02物料!$B1198)&lt;$M$2,N(对接源_02物料!$B1198)&gt;$M$3),0,1))</f>
        <v>0</v>
      </c>
      <c r="N2398">
        <f>IF(OR($N$1="",对接源_02物料!$C1198="",对接源_02物料!$C1198&lt;&gt;$N$1,对接源_02物料!$B1198=""),0,IF(OR(N(对接源_02物料!$B1198)&lt;$N$2,N(对接源_02物料!$B1198)&gt;$N$3),0,1))</f>
        <v>0</v>
      </c>
      <c r="P2398">
        <f>IF(AND($K2398=1,AND(对接源_02物料!$X1198="公司筐",N(对接源_02物料!$T1198)&lt;&gt;0)),1,0)</f>
        <v>0</v>
      </c>
      <c r="Q2398">
        <f>N(Q2397)+$P2398</f>
        <v>14</v>
      </c>
      <c r="R2398">
        <f>IF(AND($K2398=1,AND(对接源_02物料!$X1198="公司筐",N(对接源_02物料!$U1198)&lt;&gt;0)),1,0)</f>
        <v>0</v>
      </c>
      <c r="S2398">
        <f>N(S2397)+$R2398</f>
        <v>1</v>
      </c>
      <c r="T2398">
        <f>IF(AND($K2398=1,AND(对接源_02物料!$X1198="公司筐",N(对接源_02物料!$V1198)&lt;&gt;0)),1,0)</f>
        <v>0</v>
      </c>
      <c r="U2398">
        <f>N(U2397)+$T2398</f>
        <v>47</v>
      </c>
      <c r="V2398">
        <f>IF(AND($L2398=1,AND(对接源_02物料!$X1198="自备筐",N(对接源_02物料!$V1198)&lt;&gt;0)),1,0)</f>
        <v>0</v>
      </c>
      <c r="W2398">
        <f>N(W2397)+$V2398</f>
        <v>11</v>
      </c>
      <c r="X2398">
        <f>IF(AND($L2398=1,AND(对接源_02物料!$X1198="自备筐",N(对接源_02物料!$T1198)&lt;&gt;0)),1,0)</f>
        <v>0</v>
      </c>
      <c r="Y2398">
        <f>N(Y2397)+$X2398</f>
        <v>0</v>
      </c>
      <c r="Z2398">
        <f>IF(AND($M2398=1,对接源_02物料!$D1198="原料入库"),1,0)</f>
        <v>0</v>
      </c>
      <c r="AA2398">
        <f>N(AA2397)+$Z2398</f>
        <v>24</v>
      </c>
      <c r="AB2398">
        <f>IF(AND($M2398=1,LEFT(对接源_02物料!$D1198,4)="原料出库"),1,0)</f>
        <v>0</v>
      </c>
      <c r="AC2398">
        <f>N(AC2397)+$AB2398</f>
        <v>0</v>
      </c>
      <c r="AD2398">
        <f>IF(AND($M2398=1,LEFT(对接源_02物料!$D1198,4)="成品出库"),1,0)</f>
        <v>0</v>
      </c>
      <c r="AE2398">
        <f>N(AE2397)+$AD2398</f>
        <v>0</v>
      </c>
      <c r="AF2398">
        <f>IF(AND($N2398=1,AND(LEFT(对接源_02物料!$D1198,4)="包装物料",N(对接源_02物料!$K1198)&lt;&gt;0)),1,0)</f>
        <v>0</v>
      </c>
      <c r="AG2398">
        <f>N(AG2397)+$AF2398</f>
        <v>10</v>
      </c>
      <c r="AH2398">
        <f>IF(AND($N2398=1,AND(对接源_02物料!$D1198="周转筐－销售出库",N(对接源_02物料!$K1198)&lt;&gt;0)),1,0)</f>
        <v>0</v>
      </c>
      <c r="AI2398">
        <f>N(AI2397)+$AH2398</f>
        <v>0</v>
      </c>
      <c r="AL2398" t="n">
        <v>0</v>
      </c>
      <c r="AM2398">
        <f>N(AM2397)+$AL2398</f>
        <v>2</v>
      </c>
      <c r="AN2398">
        <f>""</f>
      </c>
      <c r="AO2398" t="n">
        <v>0</v>
      </c>
      <c r="AP2398">
        <f>N(AP2397)+$AO2398</f>
        <v>13</v>
      </c>
      <c r="AR2398">
        <f>IF(OR($AF2398=1,$AH2398=1),1,0)</f>
        <v>0</v>
      </c>
      <c r="AS2398">
        <f>N(AS2397)+$AR2398</f>
        <v>10</v>
      </c>
    </row>
    <row r="2399" s="127">
      <c r="A2399">
        <f>IF(对接源_02物料!$C1199="","",对接源_02物料!$C1199)</f>
      </c>
      <c r="B2399">
        <f>IF(A2399="",0,IF(MATCH(A2399,$A$4:$A$2403,0)=ROW()-3,1,0))</f>
        <v>0</v>
      </c>
      <c r="C2399">
        <f>N(C2398)+B2399</f>
        <v>26</v>
      </c>
      <c r="K2399">
        <f>IF(OR($K$1="",对接源_02物料!$C1199="",对接源_02物料!$C1199&lt;&gt;$K$1,对接源_02物料!$B1199=""),0,IF(OR(N(对接源_02物料!$B1199)&lt;$K$2,N(对接源_02物料!$B1199)&gt;$K$3),0,1))</f>
        <v>0</v>
      </c>
      <c r="L2399">
        <f>IF(OR($L$1="",对接源_02物料!$C1199="",对接源_02物料!$C1199&lt;&gt;$L$1,对接源_02物料!$B1199=""),0,IF(OR(N(对接源_02物料!$B1199)&lt;$L$2,N(对接源_02物料!$B1199)&gt;$L$3),0,1))</f>
        <v>0</v>
      </c>
      <c r="M2399">
        <f>IF(OR($M$1="",对接源_02物料!$C1199="",对接源_02物料!$C1199&lt;&gt;$M$1,对接源_02物料!$B1199=""),0,IF(OR(N(对接源_02物料!$B1199)&lt;$M$2,N(对接源_02物料!$B1199)&gt;$M$3),0,1))</f>
        <v>0</v>
      </c>
      <c r="N2399">
        <f>IF(OR($N$1="",对接源_02物料!$C1199="",对接源_02物料!$C1199&lt;&gt;$N$1,对接源_02物料!$B1199=""),0,IF(OR(N(对接源_02物料!$B1199)&lt;$N$2,N(对接源_02物料!$B1199)&gt;$N$3),0,1))</f>
        <v>0</v>
      </c>
      <c r="P2399">
        <f>IF(AND($K2399=1,AND(对接源_02物料!$X1199="公司筐",N(对接源_02物料!$T1199)&lt;&gt;0)),1,0)</f>
        <v>0</v>
      </c>
      <c r="Q2399">
        <f>N(Q2398)+$P2399</f>
        <v>14</v>
      </c>
      <c r="R2399">
        <f>IF(AND($K2399=1,AND(对接源_02物料!$X1199="公司筐",N(对接源_02物料!$U1199)&lt;&gt;0)),1,0)</f>
        <v>0</v>
      </c>
      <c r="S2399">
        <f>N(S2398)+$R2399</f>
        <v>1</v>
      </c>
      <c r="T2399">
        <f>IF(AND($K2399=1,AND(对接源_02物料!$X1199="公司筐",N(对接源_02物料!$V1199)&lt;&gt;0)),1,0)</f>
        <v>0</v>
      </c>
      <c r="U2399">
        <f>N(U2398)+$T2399</f>
        <v>47</v>
      </c>
      <c r="V2399">
        <f>IF(AND($L2399=1,AND(对接源_02物料!$X1199="自备筐",N(对接源_02物料!$V1199)&lt;&gt;0)),1,0)</f>
        <v>0</v>
      </c>
      <c r="W2399">
        <f>N(W2398)+$V2399</f>
        <v>11</v>
      </c>
      <c r="X2399">
        <f>IF(AND($L2399=1,AND(对接源_02物料!$X1199="自备筐",N(对接源_02物料!$T1199)&lt;&gt;0)),1,0)</f>
        <v>0</v>
      </c>
      <c r="Y2399">
        <f>N(Y2398)+$X2399</f>
        <v>0</v>
      </c>
      <c r="Z2399">
        <f>IF(AND($M2399=1,对接源_02物料!$D1199="原料入库"),1,0)</f>
        <v>0</v>
      </c>
      <c r="AA2399">
        <f>N(AA2398)+$Z2399</f>
        <v>24</v>
      </c>
      <c r="AB2399">
        <f>IF(AND($M2399=1,LEFT(对接源_02物料!$D1199,4)="原料出库"),1,0)</f>
        <v>0</v>
      </c>
      <c r="AC2399">
        <f>N(AC2398)+$AB2399</f>
        <v>0</v>
      </c>
      <c r="AD2399">
        <f>IF(AND($M2399=1,LEFT(对接源_02物料!$D1199,4)="成品出库"),1,0)</f>
        <v>0</v>
      </c>
      <c r="AE2399">
        <f>N(AE2398)+$AD2399</f>
        <v>0</v>
      </c>
      <c r="AF2399">
        <f>IF(AND($N2399=1,AND(LEFT(对接源_02物料!$D1199,4)="包装物料",N(对接源_02物料!$K1199)&lt;&gt;0)),1,0)</f>
        <v>0</v>
      </c>
      <c r="AG2399">
        <f>N(AG2398)+$AF2399</f>
        <v>10</v>
      </c>
      <c r="AH2399">
        <f>IF(AND($N2399=1,AND(对接源_02物料!$D1199="周转筐－销售出库",N(对接源_02物料!$K1199)&lt;&gt;0)),1,0)</f>
        <v>0</v>
      </c>
      <c r="AI2399">
        <f>N(AI2398)+$AH2399</f>
        <v>0</v>
      </c>
      <c r="AL2399" t="n">
        <v>0</v>
      </c>
      <c r="AM2399">
        <f>N(AM2398)+$AL2399</f>
        <v>2</v>
      </c>
      <c r="AN2399">
        <f>""</f>
      </c>
      <c r="AO2399" t="n">
        <v>0</v>
      </c>
      <c r="AP2399">
        <f>N(AP2398)+$AO2399</f>
        <v>13</v>
      </c>
      <c r="AR2399">
        <f>IF(OR($AF2399=1,$AH2399=1),1,0)</f>
        <v>0</v>
      </c>
      <c r="AS2399">
        <f>N(AS2398)+$AR2399</f>
        <v>10</v>
      </c>
    </row>
    <row r="2400" s="127">
      <c r="A2400">
        <f>IF(对接源_02物料!$C1200="","",对接源_02物料!$C1200)</f>
      </c>
      <c r="B2400">
        <f>IF(A2400="",0,IF(MATCH(A2400,$A$4:$A$2403,0)=ROW()-3,1,0))</f>
        <v>0</v>
      </c>
      <c r="C2400">
        <f>N(C2399)+B2400</f>
        <v>26</v>
      </c>
      <c r="K2400">
        <f>IF(OR($K$1="",对接源_02物料!$C1200="",对接源_02物料!$C1200&lt;&gt;$K$1,对接源_02物料!$B1200=""),0,IF(OR(N(对接源_02物料!$B1200)&lt;$K$2,N(对接源_02物料!$B1200)&gt;$K$3),0,1))</f>
        <v>0</v>
      </c>
      <c r="L2400">
        <f>IF(OR($L$1="",对接源_02物料!$C1200="",对接源_02物料!$C1200&lt;&gt;$L$1,对接源_02物料!$B1200=""),0,IF(OR(N(对接源_02物料!$B1200)&lt;$L$2,N(对接源_02物料!$B1200)&gt;$L$3),0,1))</f>
        <v>0</v>
      </c>
      <c r="M2400">
        <f>IF(OR($M$1="",对接源_02物料!$C1200="",对接源_02物料!$C1200&lt;&gt;$M$1,对接源_02物料!$B1200=""),0,IF(OR(N(对接源_02物料!$B1200)&lt;$M$2,N(对接源_02物料!$B1200)&gt;$M$3),0,1))</f>
        <v>0</v>
      </c>
      <c r="N2400">
        <f>IF(OR($N$1="",对接源_02物料!$C1200="",对接源_02物料!$C1200&lt;&gt;$N$1,对接源_02物料!$B1200=""),0,IF(OR(N(对接源_02物料!$B1200)&lt;$N$2,N(对接源_02物料!$B1200)&gt;$N$3),0,1))</f>
        <v>0</v>
      </c>
      <c r="P2400">
        <f>IF(AND($K2400=1,AND(对接源_02物料!$X1200="公司筐",N(对接源_02物料!$T1200)&lt;&gt;0)),1,0)</f>
        <v>0</v>
      </c>
      <c r="Q2400">
        <f>N(Q2399)+$P2400</f>
        <v>14</v>
      </c>
      <c r="R2400">
        <f>IF(AND($K2400=1,AND(对接源_02物料!$X1200="公司筐",N(对接源_02物料!$U1200)&lt;&gt;0)),1,0)</f>
        <v>0</v>
      </c>
      <c r="S2400">
        <f>N(S2399)+$R2400</f>
        <v>1</v>
      </c>
      <c r="T2400">
        <f>IF(AND($K2400=1,AND(对接源_02物料!$X1200="公司筐",N(对接源_02物料!$V1200)&lt;&gt;0)),1,0)</f>
        <v>0</v>
      </c>
      <c r="U2400">
        <f>N(U2399)+$T2400</f>
        <v>47</v>
      </c>
      <c r="V2400">
        <f>IF(AND($L2400=1,AND(对接源_02物料!$X1200="自备筐",N(对接源_02物料!$V1200)&lt;&gt;0)),1,0)</f>
        <v>0</v>
      </c>
      <c r="W2400">
        <f>N(W2399)+$V2400</f>
        <v>11</v>
      </c>
      <c r="X2400">
        <f>IF(AND($L2400=1,AND(对接源_02物料!$X1200="自备筐",N(对接源_02物料!$T1200)&lt;&gt;0)),1,0)</f>
        <v>0</v>
      </c>
      <c r="Y2400">
        <f>N(Y2399)+$X2400</f>
        <v>0</v>
      </c>
      <c r="Z2400">
        <f>IF(AND($M2400=1,对接源_02物料!$D1200="原料入库"),1,0)</f>
        <v>0</v>
      </c>
      <c r="AA2400">
        <f>N(AA2399)+$Z2400</f>
        <v>24</v>
      </c>
      <c r="AB2400">
        <f>IF(AND($M2400=1,LEFT(对接源_02物料!$D1200,4)="原料出库"),1,0)</f>
        <v>0</v>
      </c>
      <c r="AC2400">
        <f>N(AC2399)+$AB2400</f>
        <v>0</v>
      </c>
      <c r="AD2400">
        <f>IF(AND($M2400=1,LEFT(对接源_02物料!$D1200,4)="成品出库"),1,0)</f>
        <v>0</v>
      </c>
      <c r="AE2400">
        <f>N(AE2399)+$AD2400</f>
        <v>0</v>
      </c>
      <c r="AF2400">
        <f>IF(AND($N2400=1,AND(LEFT(对接源_02物料!$D1200,4)="包装物料",N(对接源_02物料!$K1200)&lt;&gt;0)),1,0)</f>
        <v>0</v>
      </c>
      <c r="AG2400">
        <f>N(AG2399)+$AF2400</f>
        <v>10</v>
      </c>
      <c r="AH2400">
        <f>IF(AND($N2400=1,AND(对接源_02物料!$D1200="周转筐－销售出库",N(对接源_02物料!$K1200)&lt;&gt;0)),1,0)</f>
        <v>0</v>
      </c>
      <c r="AI2400">
        <f>N(AI2399)+$AH2400</f>
        <v>0</v>
      </c>
      <c r="AL2400" t="n">
        <v>0</v>
      </c>
      <c r="AM2400">
        <f>N(AM2399)+$AL2400</f>
        <v>2</v>
      </c>
      <c r="AN2400">
        <f>""</f>
      </c>
      <c r="AO2400" t="n">
        <v>0</v>
      </c>
      <c r="AP2400">
        <f>N(AP2399)+$AO2400</f>
        <v>13</v>
      </c>
      <c r="AR2400">
        <f>IF(OR($AF2400=1,$AH2400=1),1,0)</f>
        <v>0</v>
      </c>
      <c r="AS2400">
        <f>N(AS2399)+$AR2400</f>
        <v>10</v>
      </c>
    </row>
    <row r="2401" s="127">
      <c r="A2401">
        <f>IF(对接源_02物料!$C1201="","",对接源_02物料!$C1201)</f>
      </c>
      <c r="B2401">
        <f>IF(A2401="",0,IF(MATCH(A2401,$A$4:$A$2403,0)=ROW()-3,1,0))</f>
        <v>0</v>
      </c>
      <c r="C2401">
        <f>N(C2400)+B2401</f>
        <v>26</v>
      </c>
      <c r="K2401">
        <f>IF(OR($K$1="",对接源_02物料!$C1201="",对接源_02物料!$C1201&lt;&gt;$K$1,对接源_02物料!$B1201=""),0,IF(OR(N(对接源_02物料!$B1201)&lt;$K$2,N(对接源_02物料!$B1201)&gt;$K$3),0,1))</f>
        <v>0</v>
      </c>
      <c r="L2401">
        <f>IF(OR($L$1="",对接源_02物料!$C1201="",对接源_02物料!$C1201&lt;&gt;$L$1,对接源_02物料!$B1201=""),0,IF(OR(N(对接源_02物料!$B1201)&lt;$L$2,N(对接源_02物料!$B1201)&gt;$L$3),0,1))</f>
        <v>0</v>
      </c>
      <c r="M2401">
        <f>IF(OR($M$1="",对接源_02物料!$C1201="",对接源_02物料!$C1201&lt;&gt;$M$1,对接源_02物料!$B1201=""),0,IF(OR(N(对接源_02物料!$B1201)&lt;$M$2,N(对接源_02物料!$B1201)&gt;$M$3),0,1))</f>
        <v>0</v>
      </c>
      <c r="N2401">
        <f>IF(OR($N$1="",对接源_02物料!$C1201="",对接源_02物料!$C1201&lt;&gt;$N$1,对接源_02物料!$B1201=""),0,IF(OR(N(对接源_02物料!$B1201)&lt;$N$2,N(对接源_02物料!$B1201)&gt;$N$3),0,1))</f>
        <v>0</v>
      </c>
      <c r="P2401">
        <f>IF(AND($K2401=1,AND(对接源_02物料!$X1201="公司筐",N(对接源_02物料!$T1201)&lt;&gt;0)),1,0)</f>
        <v>0</v>
      </c>
      <c r="Q2401">
        <f>N(Q2400)+$P2401</f>
        <v>14</v>
      </c>
      <c r="R2401">
        <f>IF(AND($K2401=1,AND(对接源_02物料!$X1201="公司筐",N(对接源_02物料!$U1201)&lt;&gt;0)),1,0)</f>
        <v>0</v>
      </c>
      <c r="S2401">
        <f>N(S2400)+$R2401</f>
        <v>1</v>
      </c>
      <c r="T2401">
        <f>IF(AND($K2401=1,AND(对接源_02物料!$X1201="公司筐",N(对接源_02物料!$V1201)&lt;&gt;0)),1,0)</f>
        <v>0</v>
      </c>
      <c r="U2401">
        <f>N(U2400)+$T2401</f>
        <v>47</v>
      </c>
      <c r="V2401">
        <f>IF(AND($L2401=1,AND(对接源_02物料!$X1201="自备筐",N(对接源_02物料!$V1201)&lt;&gt;0)),1,0)</f>
        <v>0</v>
      </c>
      <c r="W2401">
        <f>N(W2400)+$V2401</f>
        <v>11</v>
      </c>
      <c r="X2401">
        <f>IF(AND($L2401=1,AND(对接源_02物料!$X1201="自备筐",N(对接源_02物料!$T1201)&lt;&gt;0)),1,0)</f>
        <v>0</v>
      </c>
      <c r="Y2401">
        <f>N(Y2400)+$X2401</f>
        <v>0</v>
      </c>
      <c r="Z2401">
        <f>IF(AND($M2401=1,对接源_02物料!$D1201="原料入库"),1,0)</f>
        <v>0</v>
      </c>
      <c r="AA2401">
        <f>N(AA2400)+$Z2401</f>
        <v>24</v>
      </c>
      <c r="AB2401">
        <f>IF(AND($M2401=1,LEFT(对接源_02物料!$D1201,4)="原料出库"),1,0)</f>
        <v>0</v>
      </c>
      <c r="AC2401">
        <f>N(AC2400)+$AB2401</f>
        <v>0</v>
      </c>
      <c r="AD2401">
        <f>IF(AND($M2401=1,LEFT(对接源_02物料!$D1201,4)="成品出库"),1,0)</f>
        <v>0</v>
      </c>
      <c r="AE2401">
        <f>N(AE2400)+$AD2401</f>
        <v>0</v>
      </c>
      <c r="AF2401">
        <f>IF(AND($N2401=1,AND(LEFT(对接源_02物料!$D1201,4)="包装物料",N(对接源_02物料!$K1201)&lt;&gt;0)),1,0)</f>
        <v>0</v>
      </c>
      <c r="AG2401">
        <f>N(AG2400)+$AF2401</f>
        <v>10</v>
      </c>
      <c r="AH2401">
        <f>IF(AND($N2401=1,AND(对接源_02物料!$D1201="周转筐－销售出库",N(对接源_02物料!$K1201)&lt;&gt;0)),1,0)</f>
        <v>0</v>
      </c>
      <c r="AI2401">
        <f>N(AI2400)+$AH2401</f>
        <v>0</v>
      </c>
      <c r="AL2401" t="n">
        <v>0</v>
      </c>
      <c r="AM2401">
        <f>N(AM2400)+$AL2401</f>
        <v>2</v>
      </c>
      <c r="AN2401">
        <f>""</f>
      </c>
      <c r="AO2401" t="n">
        <v>0</v>
      </c>
      <c r="AP2401">
        <f>N(AP2400)+$AO2401</f>
        <v>13</v>
      </c>
      <c r="AR2401">
        <f>IF(OR($AF2401=1,$AH2401=1),1,0)</f>
        <v>0</v>
      </c>
      <c r="AS2401">
        <f>N(AS2400)+$AR2401</f>
        <v>10</v>
      </c>
    </row>
    <row r="2402" s="127">
      <c r="A2402">
        <f>IF(对接源_02物料!$C1202="","",对接源_02物料!$C1202)</f>
      </c>
      <c r="B2402">
        <f>IF(A2402="",0,IF(MATCH(A2402,$A$4:$A$2403,0)=ROW()-3,1,0))</f>
        <v>0</v>
      </c>
      <c r="C2402">
        <f>N(C2401)+B2402</f>
        <v>26</v>
      </c>
      <c r="K2402">
        <f>IF(OR($K$1="",对接源_02物料!$C1202="",对接源_02物料!$C1202&lt;&gt;$K$1,对接源_02物料!$B1202=""),0,IF(OR(N(对接源_02物料!$B1202)&lt;$K$2,N(对接源_02物料!$B1202)&gt;$K$3),0,1))</f>
        <v>0</v>
      </c>
      <c r="L2402">
        <f>IF(OR($L$1="",对接源_02物料!$C1202="",对接源_02物料!$C1202&lt;&gt;$L$1,对接源_02物料!$B1202=""),0,IF(OR(N(对接源_02物料!$B1202)&lt;$L$2,N(对接源_02物料!$B1202)&gt;$L$3),0,1))</f>
        <v>0</v>
      </c>
      <c r="M2402">
        <f>IF(OR($M$1="",对接源_02物料!$C1202="",对接源_02物料!$C1202&lt;&gt;$M$1,对接源_02物料!$B1202=""),0,IF(OR(N(对接源_02物料!$B1202)&lt;$M$2,N(对接源_02物料!$B1202)&gt;$M$3),0,1))</f>
        <v>0</v>
      </c>
      <c r="N2402">
        <f>IF(OR($N$1="",对接源_02物料!$C1202="",对接源_02物料!$C1202&lt;&gt;$N$1,对接源_02物料!$B1202=""),0,IF(OR(N(对接源_02物料!$B1202)&lt;$N$2,N(对接源_02物料!$B1202)&gt;$N$3),0,1))</f>
        <v>0</v>
      </c>
      <c r="P2402">
        <f>IF(AND($K2402=1,AND(对接源_02物料!$X1202="公司筐",N(对接源_02物料!$T1202)&lt;&gt;0)),1,0)</f>
        <v>0</v>
      </c>
      <c r="Q2402">
        <f>N(Q2401)+$P2402</f>
        <v>14</v>
      </c>
      <c r="R2402">
        <f>IF(AND($K2402=1,AND(对接源_02物料!$X1202="公司筐",N(对接源_02物料!$U1202)&lt;&gt;0)),1,0)</f>
        <v>0</v>
      </c>
      <c r="S2402">
        <f>N(S2401)+$R2402</f>
        <v>1</v>
      </c>
      <c r="T2402">
        <f>IF(AND($K2402=1,AND(对接源_02物料!$X1202="公司筐",N(对接源_02物料!$V1202)&lt;&gt;0)),1,0)</f>
        <v>0</v>
      </c>
      <c r="U2402">
        <f>N(U2401)+$T2402</f>
        <v>47</v>
      </c>
      <c r="V2402">
        <f>IF(AND($L2402=1,AND(对接源_02物料!$X1202="自备筐",N(对接源_02物料!$V1202)&lt;&gt;0)),1,0)</f>
        <v>0</v>
      </c>
      <c r="W2402">
        <f>N(W2401)+$V2402</f>
        <v>11</v>
      </c>
      <c r="X2402">
        <f>IF(AND($L2402=1,AND(对接源_02物料!$X1202="自备筐",N(对接源_02物料!$T1202)&lt;&gt;0)),1,0)</f>
        <v>0</v>
      </c>
      <c r="Y2402">
        <f>N(Y2401)+$X2402</f>
        <v>0</v>
      </c>
      <c r="Z2402">
        <f>IF(AND($M2402=1,对接源_02物料!$D1202="原料入库"),1,0)</f>
        <v>0</v>
      </c>
      <c r="AA2402">
        <f>N(AA2401)+$Z2402</f>
        <v>24</v>
      </c>
      <c r="AB2402">
        <f>IF(AND($M2402=1,LEFT(对接源_02物料!$D1202,4)="原料出库"),1,0)</f>
        <v>0</v>
      </c>
      <c r="AC2402">
        <f>N(AC2401)+$AB2402</f>
        <v>0</v>
      </c>
      <c r="AD2402">
        <f>IF(AND($M2402=1,LEFT(对接源_02物料!$D1202,4)="成品出库"),1,0)</f>
        <v>0</v>
      </c>
      <c r="AE2402">
        <f>N(AE2401)+$AD2402</f>
        <v>0</v>
      </c>
      <c r="AF2402">
        <f>IF(AND($N2402=1,AND(LEFT(对接源_02物料!$D1202,4)="包装物料",N(对接源_02物料!$K1202)&lt;&gt;0)),1,0)</f>
        <v>0</v>
      </c>
      <c r="AG2402">
        <f>N(AG2401)+$AF2402</f>
        <v>10</v>
      </c>
      <c r="AH2402">
        <f>IF(AND($N2402=1,AND(对接源_02物料!$D1202="周转筐－销售出库",N(对接源_02物料!$K1202)&lt;&gt;0)),1,0)</f>
        <v>0</v>
      </c>
      <c r="AI2402">
        <f>N(AI2401)+$AH2402</f>
        <v>0</v>
      </c>
      <c r="AL2402" t="n">
        <v>0</v>
      </c>
      <c r="AM2402">
        <f>N(AM2401)+$AL2402</f>
        <v>2</v>
      </c>
      <c r="AN2402">
        <f>""</f>
      </c>
      <c r="AO2402" t="n">
        <v>0</v>
      </c>
      <c r="AP2402">
        <f>N(AP2401)+$AO2402</f>
        <v>13</v>
      </c>
      <c r="AR2402">
        <f>IF(OR($AF2402=1,$AH2402=1),1,0)</f>
        <v>0</v>
      </c>
      <c r="AS2402">
        <f>N(AS2401)+$AR2402</f>
        <v>10</v>
      </c>
    </row>
    <row r="2403" s="127">
      <c r="A2403">
        <f>IF(对接源_02物料!$C1203="","",对接源_02物料!$C1203)</f>
      </c>
      <c r="B2403">
        <f>IF(A2403="",0,IF(MATCH(A2403,$A$4:$A$2403,0)=ROW()-3,1,0))</f>
        <v>0</v>
      </c>
      <c r="C2403">
        <f>N(C2402)+B2403</f>
        <v>26</v>
      </c>
      <c r="K2403">
        <f>IF(OR($K$1="",对接源_02物料!$C1203="",对接源_02物料!$C1203&lt;&gt;$K$1,对接源_02物料!$B1203=""),0,IF(OR(N(对接源_02物料!$B1203)&lt;$K$2,N(对接源_02物料!$B1203)&gt;$K$3),0,1))</f>
        <v>0</v>
      </c>
      <c r="L2403">
        <f>IF(OR($L$1="",对接源_02物料!$C1203="",对接源_02物料!$C1203&lt;&gt;$L$1,对接源_02物料!$B1203=""),0,IF(OR(N(对接源_02物料!$B1203)&lt;$L$2,N(对接源_02物料!$B1203)&gt;$L$3),0,1))</f>
        <v>0</v>
      </c>
      <c r="M2403">
        <f>IF(OR($M$1="",对接源_02物料!$C1203="",对接源_02物料!$C1203&lt;&gt;$M$1,对接源_02物料!$B1203=""),0,IF(OR(N(对接源_02物料!$B1203)&lt;$M$2,N(对接源_02物料!$B1203)&gt;$M$3),0,1))</f>
        <v>0</v>
      </c>
      <c r="N2403">
        <f>IF(OR($N$1="",对接源_02物料!$C1203="",对接源_02物料!$C1203&lt;&gt;$N$1,对接源_02物料!$B1203=""),0,IF(OR(N(对接源_02物料!$B1203)&lt;$N$2,N(对接源_02物料!$B1203)&gt;$N$3),0,1))</f>
        <v>0</v>
      </c>
      <c r="P2403">
        <f>IF(AND($K2403=1,AND(对接源_02物料!$X1203="公司筐",N(对接源_02物料!$T1203)&lt;&gt;0)),1,0)</f>
        <v>0</v>
      </c>
      <c r="Q2403">
        <f>N(Q2402)+$P2403</f>
        <v>14</v>
      </c>
      <c r="R2403">
        <f>IF(AND($K2403=1,AND(对接源_02物料!$X1203="公司筐",N(对接源_02物料!$U1203)&lt;&gt;0)),1,0)</f>
        <v>0</v>
      </c>
      <c r="S2403">
        <f>N(S2402)+$R2403</f>
        <v>1</v>
      </c>
      <c r="T2403">
        <f>IF(AND($K2403=1,AND(对接源_02物料!$X1203="公司筐",N(对接源_02物料!$V1203)&lt;&gt;0)),1,0)</f>
        <v>0</v>
      </c>
      <c r="U2403">
        <f>N(U2402)+$T2403</f>
        <v>47</v>
      </c>
      <c r="V2403">
        <f>IF(AND($L2403=1,AND(对接源_02物料!$X1203="自备筐",N(对接源_02物料!$V1203)&lt;&gt;0)),1,0)</f>
        <v>0</v>
      </c>
      <c r="W2403">
        <f>N(W2402)+$V2403</f>
        <v>11</v>
      </c>
      <c r="X2403">
        <f>IF(AND($L2403=1,AND(对接源_02物料!$X1203="自备筐",N(对接源_02物料!$T1203)&lt;&gt;0)),1,0)</f>
        <v>0</v>
      </c>
      <c r="Y2403">
        <f>N(Y2402)+$X2403</f>
        <v>0</v>
      </c>
      <c r="Z2403">
        <f>IF(AND($M2403=1,对接源_02物料!$D1203="原料入库"),1,0)</f>
        <v>0</v>
      </c>
      <c r="AA2403">
        <f>N(AA2402)+$Z2403</f>
        <v>24</v>
      </c>
      <c r="AB2403">
        <f>IF(AND($M2403=1,LEFT(对接源_02物料!$D1203,4)="原料出库"),1,0)</f>
        <v>0</v>
      </c>
      <c r="AC2403">
        <f>N(AC2402)+$AB2403</f>
        <v>0</v>
      </c>
      <c r="AD2403">
        <f>IF(AND($M2403=1,LEFT(对接源_02物料!$D1203,4)="成品出库"),1,0)</f>
        <v>0</v>
      </c>
      <c r="AE2403">
        <f>N(AE2402)+$AD2403</f>
        <v>0</v>
      </c>
      <c r="AF2403">
        <f>IF(AND($N2403=1,AND(LEFT(对接源_02物料!$D1203,4)="包装物料",N(对接源_02物料!$K1203)&lt;&gt;0)),1,0)</f>
        <v>0</v>
      </c>
      <c r="AG2403">
        <f>N(AG2402)+$AF2403</f>
        <v>10</v>
      </c>
      <c r="AH2403">
        <f>IF(AND($N2403=1,AND(对接源_02物料!$D1203="周转筐－销售出库",N(对接源_02物料!$K1203)&lt;&gt;0)),1,0)</f>
        <v>0</v>
      </c>
      <c r="AI2403">
        <f>N(AI2402)+$AH2403</f>
        <v>0</v>
      </c>
      <c r="AL2403" t="n">
        <v>0</v>
      </c>
      <c r="AM2403">
        <f>N(AM2402)+$AL2403</f>
        <v>2</v>
      </c>
      <c r="AN2403">
        <f>""</f>
      </c>
      <c r="AO2403" t="n">
        <v>0</v>
      </c>
      <c r="AP2403">
        <f>N(AP2402)+$AO2403</f>
        <v>13</v>
      </c>
      <c r="AR2403">
        <f>IF(OR($AF2403=1,$AH2403=1),1,0)</f>
        <v>0</v>
      </c>
      <c r="AS2403">
        <f>N(AS2402)+$AR2403</f>
        <v>10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2026-09-02T13:58:00Z</dcterms:created>
  <dcterms:modified xmlns:dcterms="http://purl.org/dc/terms/" xmlns:xsi="http://www.w3.org/2001/XMLSchema-instance" xsi:type="dcterms:W3CDTF">2026-09-28T13:46:28Z</dcterms:modified>
  <cp:lastModifiedBy>果然鲜仓储-任斌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B72781C8F673496983B4FD0A94971EAB_13</vt:lpwstr>
  </property>
  <property name="KSOProductBuildVer" fmtid="{D5CDD505-2E9C-101B-9397-08002B2CF9AE}" pid="4">
    <vt:lpwstr xmlns:vt="http://schemas.openxmlformats.org/officeDocument/2006/docPropsVTypes">2052-12.1.0.28505</vt:lpwstr>
  </property>
</Properties>
</file>